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corporativo\SGT\REAJUSTE\Concessionárias de Distribuição\2021\11 - D02 - Amazonas (Michelle)\estrutura\"/>
    </mc:Choice>
  </mc:AlternateContent>
  <xr:revisionPtr revIDLastSave="0" documentId="13_ncr:1_{9E3676E1-2CCD-46CE-A351-78B2CD64FC08}" xr6:coauthVersionLast="47" xr6:coauthVersionMax="47" xr10:uidLastSave="{00000000-0000-0000-0000-000000000000}"/>
  <bookViews>
    <workbookView xWindow="-120" yWindow="-120" windowWidth="20730" windowHeight="11160" tabRatio="1000" firstSheet="11" activeTab="19" xr2:uid="{DF938E2F-EEAB-45EB-A211-473824E0E313}"/>
  </bookViews>
  <sheets>
    <sheet name="Mercado_Receita" sheetId="1" r:id="rId1"/>
    <sheet name="EVENTOS" sheetId="2" r:id="rId2"/>
    <sheet name="TAR FIN" sheetId="21" r:id="rId3"/>
    <sheet name="MERCADO TUSD" sheetId="3" r:id="rId4"/>
    <sheet name="MERCADO TE" sheetId="4" r:id="rId5"/>
    <sheet name="CUSTOS" sheetId="5" r:id="rId6"/>
    <sheet name="TRANSICAO" sheetId="14" r:id="rId7"/>
    <sheet name="TR TUSD" sheetId="6" r:id="rId8"/>
    <sheet name="TUSD BE" sheetId="7" r:id="rId9"/>
    <sheet name="TUSD BF" sheetId="8" r:id="rId10"/>
    <sheet name="TUSD CVA" sheetId="9" r:id="rId11"/>
    <sheet name="TR TE" sheetId="10" r:id="rId12"/>
    <sheet name="TE BE" sheetId="11" r:id="rId13"/>
    <sheet name="TE BF" sheetId="12" r:id="rId14"/>
    <sheet name="TE CVA" sheetId="13" r:id="rId15"/>
    <sheet name="EFEITO" sheetId="22" r:id="rId16"/>
    <sheet name="SUBSIDIO" sheetId="23" r:id="rId17"/>
    <sheet name="TabDinEfeito" sheetId="24" r:id="rId18"/>
    <sheet name="TabDinSubsidio" sheetId="25" r:id="rId19"/>
    <sheet name="TABELAS REH" sheetId="33" r:id="rId20"/>
    <sheet name="CONSISTENCIA" sheetId="26" r:id="rId21"/>
    <sheet name="TUSD" sheetId="28" r:id="rId22"/>
    <sheet name="TE" sheetId="29" r:id="rId23"/>
    <sheet name="RESUMO TUSD" sheetId="30" r:id="rId24"/>
    <sheet name="RESUMO TE" sheetId="31" r:id="rId25"/>
    <sheet name="Descontos" sheetId="20" r:id="rId26"/>
    <sheet name="ERD" sheetId="32" r:id="rId27"/>
  </sheets>
  <calcPr calcId="191029" iterate="1"/>
  <pivotCaches>
    <pivotCache cacheId="0" r:id="rId28"/>
    <pivotCache cacheId="1" r:id="rId2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3" i="33" l="1"/>
  <c r="V32" i="33"/>
  <c r="V31" i="33"/>
  <c r="V30" i="33"/>
  <c r="V29" i="33"/>
  <c r="V28" i="33"/>
  <c r="V27" i="33"/>
  <c r="V26" i="33"/>
  <c r="V21" i="33"/>
  <c r="V16" i="33"/>
  <c r="V25" i="33"/>
  <c r="V20" i="33"/>
  <c r="V15" i="33"/>
  <c r="V24" i="33"/>
  <c r="V23" i="33"/>
  <c r="V22" i="33"/>
  <c r="V19" i="33"/>
  <c r="V18" i="33"/>
  <c r="V17" i="33"/>
  <c r="V14" i="33"/>
  <c r="V13" i="33"/>
  <c r="V12" i="33"/>
  <c r="V11" i="33"/>
  <c r="V9" i="33"/>
  <c r="V10" i="33"/>
  <c r="V8" i="33"/>
  <c r="V7" i="33"/>
  <c r="V6" i="33"/>
  <c r="V5" i="33"/>
  <c r="J16" i="33"/>
  <c r="J15" i="33"/>
  <c r="J11" i="33"/>
  <c r="J10" i="33"/>
  <c r="J6" i="33"/>
  <c r="J5" i="33"/>
  <c r="H9" i="33"/>
  <c r="G3" i="32"/>
  <c r="G2" i="32" s="1"/>
  <c r="I3" i="32"/>
  <c r="I2" i="32" s="1"/>
  <c r="B2" i="32"/>
  <c r="C2" i="32"/>
  <c r="D2" i="32"/>
  <c r="E2" i="32"/>
  <c r="F2" i="32"/>
  <c r="H2" i="32"/>
  <c r="J2" i="32"/>
  <c r="B11" i="32"/>
  <c r="K5" i="31" l="1"/>
  <c r="J5" i="31"/>
  <c r="I5" i="31"/>
  <c r="H5" i="31"/>
  <c r="G5" i="31"/>
  <c r="F5" i="31"/>
  <c r="E5" i="31"/>
  <c r="D5" i="31"/>
  <c r="C5" i="31"/>
  <c r="B5" i="31"/>
  <c r="I2" i="31"/>
  <c r="W5" i="30"/>
  <c r="V5" i="30"/>
  <c r="U5" i="30"/>
  <c r="T5" i="30"/>
  <c r="S5" i="30"/>
  <c r="R5" i="30"/>
  <c r="Q5" i="30"/>
  <c r="P5" i="30"/>
  <c r="O5" i="30"/>
  <c r="N5" i="30"/>
  <c r="M5" i="30"/>
  <c r="L5" i="30"/>
  <c r="K5" i="30"/>
  <c r="J5" i="30"/>
  <c r="I5" i="30"/>
  <c r="H5" i="30"/>
  <c r="G5" i="30"/>
  <c r="F5" i="30"/>
  <c r="E5" i="30"/>
  <c r="D5" i="30"/>
  <c r="C5" i="30"/>
  <c r="B5" i="30"/>
  <c r="I2" i="30"/>
  <c r="AE13" i="26"/>
  <c r="AD13" i="26"/>
  <c r="AC13" i="26"/>
  <c r="AB13" i="26"/>
  <c r="AA13" i="26"/>
  <c r="W13" i="26"/>
  <c r="V13" i="26"/>
  <c r="U13" i="26"/>
  <c r="AI13" i="26" s="1"/>
  <c r="T13" i="26"/>
  <c r="S13" i="26"/>
  <c r="Y13" i="26" s="1"/>
  <c r="AG13" i="26" s="1"/>
  <c r="R13" i="26"/>
  <c r="X13" i="26" s="1"/>
  <c r="AF13" i="26" s="1"/>
  <c r="AE12" i="26"/>
  <c r="AD12" i="26"/>
  <c r="AE8" i="26"/>
  <c r="AD8" i="26"/>
  <c r="AC8" i="26"/>
  <c r="AB8" i="26"/>
  <c r="AA8" i="26"/>
  <c r="W8" i="26"/>
  <c r="V8" i="26"/>
  <c r="U8" i="26"/>
  <c r="AI8" i="26" s="1"/>
  <c r="T8" i="26"/>
  <c r="S8" i="26"/>
  <c r="Y8" i="26" s="1"/>
  <c r="R8" i="26"/>
  <c r="X8" i="26" s="1"/>
  <c r="AF8" i="26" s="1"/>
  <c r="AE6" i="26"/>
  <c r="AD6" i="26"/>
  <c r="AC6" i="26"/>
  <c r="AB6" i="26"/>
  <c r="AA6" i="26"/>
  <c r="W6" i="26"/>
  <c r="V6" i="26"/>
  <c r="U6" i="26"/>
  <c r="AI6" i="26" s="1"/>
  <c r="T6" i="26"/>
  <c r="S6" i="26"/>
  <c r="R6" i="26"/>
  <c r="AE4" i="26"/>
  <c r="AD4" i="26"/>
  <c r="AC4" i="26"/>
  <c r="AB4" i="26"/>
  <c r="AA4" i="26"/>
  <c r="W4" i="26"/>
  <c r="V4" i="26"/>
  <c r="U4" i="26"/>
  <c r="T4" i="26"/>
  <c r="S4" i="26"/>
  <c r="R4" i="26"/>
  <c r="AE3" i="26"/>
  <c r="AD3" i="26"/>
  <c r="AC3" i="26"/>
  <c r="AB3" i="26"/>
  <c r="AA3" i="26"/>
  <c r="W3" i="26"/>
  <c r="V3" i="26"/>
  <c r="U3" i="26"/>
  <c r="AI3" i="26" s="1"/>
  <c r="T3" i="26"/>
  <c r="S3" i="26"/>
  <c r="R3" i="26"/>
  <c r="X3" i="26" s="1"/>
  <c r="AF3" i="26" s="1"/>
  <c r="J2548" i="26"/>
  <c r="J2547" i="26"/>
  <c r="M2547" i="26" s="1"/>
  <c r="J2546" i="26"/>
  <c r="M2546" i="26" s="1"/>
  <c r="J2545" i="26"/>
  <c r="M2545" i="26" s="1"/>
  <c r="J2544" i="26"/>
  <c r="M2544" i="26" s="1"/>
  <c r="J2543" i="26"/>
  <c r="J2542" i="26"/>
  <c r="M2542" i="26" s="1"/>
  <c r="J2541" i="26"/>
  <c r="M2541" i="26" s="1"/>
  <c r="J2540" i="26"/>
  <c r="J2539" i="26"/>
  <c r="J2538" i="26"/>
  <c r="M2538" i="26" s="1"/>
  <c r="J2537" i="26"/>
  <c r="M2537" i="26" s="1"/>
  <c r="J2536" i="26"/>
  <c r="M2536" i="26" s="1"/>
  <c r="J2535" i="26"/>
  <c r="J2534" i="26"/>
  <c r="M2534" i="26" s="1"/>
  <c r="J2533" i="26"/>
  <c r="M2533" i="26" s="1"/>
  <c r="J2532" i="26"/>
  <c r="J2531" i="26"/>
  <c r="J2530" i="26"/>
  <c r="M2530" i="26" s="1"/>
  <c r="J2529" i="26"/>
  <c r="M2529" i="26" s="1"/>
  <c r="J2528" i="26"/>
  <c r="M2528" i="26" s="1"/>
  <c r="J2527" i="26"/>
  <c r="J2526" i="26"/>
  <c r="M2526" i="26" s="1"/>
  <c r="J2525" i="26"/>
  <c r="M2525" i="26" s="1"/>
  <c r="J2524" i="26"/>
  <c r="J2523" i="26"/>
  <c r="J2522" i="26"/>
  <c r="M2522" i="26" s="1"/>
  <c r="J2521" i="26"/>
  <c r="M2521" i="26" s="1"/>
  <c r="J2520" i="26"/>
  <c r="M2520" i="26" s="1"/>
  <c r="J2519" i="26"/>
  <c r="J2518" i="26"/>
  <c r="M2518" i="26" s="1"/>
  <c r="J2517" i="26"/>
  <c r="M2517" i="26" s="1"/>
  <c r="J2516" i="26"/>
  <c r="J2515" i="26"/>
  <c r="J2514" i="26"/>
  <c r="M2514" i="26" s="1"/>
  <c r="J2513" i="26"/>
  <c r="M2513" i="26" s="1"/>
  <c r="J2512" i="26"/>
  <c r="M2512" i="26" s="1"/>
  <c r="J2511" i="26"/>
  <c r="J2510" i="26"/>
  <c r="M2510" i="26" s="1"/>
  <c r="J2509" i="26"/>
  <c r="M2509" i="26" s="1"/>
  <c r="J2508" i="26"/>
  <c r="J2507" i="26"/>
  <c r="J2506" i="26"/>
  <c r="M2506" i="26" s="1"/>
  <c r="J1535" i="26"/>
  <c r="J1534" i="26"/>
  <c r="J1533" i="26"/>
  <c r="J1532" i="26"/>
  <c r="J1531" i="26"/>
  <c r="J1530" i="26"/>
  <c r="J1529" i="26"/>
  <c r="J1528" i="26"/>
  <c r="J1527" i="26"/>
  <c r="J1526" i="26"/>
  <c r="J1525" i="26"/>
  <c r="J1524" i="26"/>
  <c r="J1523" i="26"/>
  <c r="J1522" i="26"/>
  <c r="J1521" i="26"/>
  <c r="J1520" i="26"/>
  <c r="J1519" i="26"/>
  <c r="J1518" i="26"/>
  <c r="J1517" i="26"/>
  <c r="J1516" i="26"/>
  <c r="J1515" i="26"/>
  <c r="J1514" i="26"/>
  <c r="J1513" i="26"/>
  <c r="J1512" i="26"/>
  <c r="J1511" i="26"/>
  <c r="L1510" i="26"/>
  <c r="K1510" i="26"/>
  <c r="L1509" i="26"/>
  <c r="K1509" i="26"/>
  <c r="L1508" i="26"/>
  <c r="K1508" i="26"/>
  <c r="L1507" i="26"/>
  <c r="K1507" i="26"/>
  <c r="L1506" i="26"/>
  <c r="K1506" i="26"/>
  <c r="L1505" i="26"/>
  <c r="K1505" i="26"/>
  <c r="L1504" i="26"/>
  <c r="K1504" i="26"/>
  <c r="L1503" i="26"/>
  <c r="K1503" i="26"/>
  <c r="L1502" i="26"/>
  <c r="K1502" i="26"/>
  <c r="L1501" i="26"/>
  <c r="K1501" i="26"/>
  <c r="L1500" i="26"/>
  <c r="K1500" i="26"/>
  <c r="L1499" i="26"/>
  <c r="K1499" i="26"/>
  <c r="L1498" i="26"/>
  <c r="K1498" i="26"/>
  <c r="L1497" i="26"/>
  <c r="K1497" i="26"/>
  <c r="L1496" i="26"/>
  <c r="K1496" i="26"/>
  <c r="L1495" i="26"/>
  <c r="K1495" i="26"/>
  <c r="L1494" i="26"/>
  <c r="K1494" i="26"/>
  <c r="L1493" i="26"/>
  <c r="K1493" i="26"/>
  <c r="L1492" i="26"/>
  <c r="K1492" i="26"/>
  <c r="L1491" i="26"/>
  <c r="K1491" i="26"/>
  <c r="L1490" i="26"/>
  <c r="K1490" i="26"/>
  <c r="L1489" i="26"/>
  <c r="K1489" i="26"/>
  <c r="L1488" i="26"/>
  <c r="K1488" i="26"/>
  <c r="L1487" i="26"/>
  <c r="K1487" i="26"/>
  <c r="L1486" i="26"/>
  <c r="K1486" i="26"/>
  <c r="L1485" i="26"/>
  <c r="K1485" i="26"/>
  <c r="J1484" i="26"/>
  <c r="J1483" i="26"/>
  <c r="J1482" i="26"/>
  <c r="J1481" i="26"/>
  <c r="J1480" i="26"/>
  <c r="J1479" i="26"/>
  <c r="J1478" i="26"/>
  <c r="J1477" i="26"/>
  <c r="J1476" i="26"/>
  <c r="J1475" i="26"/>
  <c r="J1474" i="26"/>
  <c r="J1473" i="26"/>
  <c r="J1472" i="26"/>
  <c r="J1471" i="26"/>
  <c r="J1470" i="26"/>
  <c r="J1469" i="26"/>
  <c r="J1468" i="26"/>
  <c r="J1467" i="26"/>
  <c r="J1466" i="26"/>
  <c r="J1465" i="26"/>
  <c r="J1464" i="26"/>
  <c r="J1463" i="26"/>
  <c r="J1462" i="26"/>
  <c r="J1461" i="26"/>
  <c r="J1460" i="26"/>
  <c r="J1459" i="26"/>
  <c r="J1458" i="26"/>
  <c r="J1457" i="26"/>
  <c r="J1456" i="26"/>
  <c r="J1455" i="26"/>
  <c r="J1454" i="26"/>
  <c r="J1453" i="26"/>
  <c r="J1452" i="26"/>
  <c r="J1451" i="26"/>
  <c r="J1450" i="26"/>
  <c r="J1449" i="26"/>
  <c r="J1448" i="26"/>
  <c r="J1447" i="26"/>
  <c r="J1446" i="26"/>
  <c r="J1445" i="26"/>
  <c r="J1444" i="26"/>
  <c r="J1443" i="26"/>
  <c r="J1442" i="26"/>
  <c r="J1441" i="26"/>
  <c r="J1440" i="26"/>
  <c r="J1439" i="26"/>
  <c r="J1438" i="26"/>
  <c r="J1437" i="26"/>
  <c r="J1436" i="26"/>
  <c r="J1435" i="26"/>
  <c r="J1434" i="26"/>
  <c r="J1433" i="26"/>
  <c r="J1432" i="26"/>
  <c r="L1431" i="26"/>
  <c r="K1431" i="26"/>
  <c r="L1430" i="26"/>
  <c r="K1430" i="26"/>
  <c r="L1429" i="26"/>
  <c r="K1429" i="26"/>
  <c r="L1428" i="26"/>
  <c r="K1428" i="26"/>
  <c r="L1427" i="26"/>
  <c r="K1427" i="26"/>
  <c r="L1426" i="26"/>
  <c r="K1426" i="26"/>
  <c r="L1425" i="26"/>
  <c r="K1425" i="26"/>
  <c r="L1424" i="26"/>
  <c r="K1424" i="26"/>
  <c r="L1423" i="26"/>
  <c r="K1423" i="26"/>
  <c r="L1422" i="26"/>
  <c r="K1422" i="26"/>
  <c r="L1421" i="26"/>
  <c r="K1421" i="26"/>
  <c r="L1420" i="26"/>
  <c r="K1420" i="26"/>
  <c r="L1419" i="26"/>
  <c r="K1419" i="26"/>
  <c r="L1418" i="26"/>
  <c r="K1418" i="26"/>
  <c r="L1417" i="26"/>
  <c r="K1417" i="26"/>
  <c r="L1416" i="26"/>
  <c r="K1416" i="26"/>
  <c r="L1415" i="26"/>
  <c r="K1415" i="26"/>
  <c r="L1414" i="26"/>
  <c r="K1414" i="26"/>
  <c r="L1413" i="26"/>
  <c r="K1413" i="26"/>
  <c r="L1412" i="26"/>
  <c r="K1412" i="26"/>
  <c r="L1411" i="26"/>
  <c r="K1411" i="26"/>
  <c r="L1410" i="26"/>
  <c r="K1410" i="26"/>
  <c r="L1409" i="26"/>
  <c r="K1409" i="26"/>
  <c r="L1408" i="26"/>
  <c r="K1408" i="26"/>
  <c r="L1407" i="26"/>
  <c r="K1407" i="26"/>
  <c r="L1406" i="26"/>
  <c r="K1406" i="26"/>
  <c r="L1405" i="26"/>
  <c r="K1405" i="26"/>
  <c r="L1404" i="26"/>
  <c r="K1404" i="26"/>
  <c r="L1403" i="26"/>
  <c r="K1403" i="26"/>
  <c r="J1402" i="26"/>
  <c r="J1401" i="26"/>
  <c r="J1400" i="26"/>
  <c r="J1399" i="26"/>
  <c r="J1398" i="26"/>
  <c r="J1397" i="26"/>
  <c r="J1396" i="26"/>
  <c r="J1395" i="26"/>
  <c r="J1394" i="26"/>
  <c r="J1393" i="26"/>
  <c r="J1392" i="26"/>
  <c r="J1391" i="26"/>
  <c r="J1390" i="26"/>
  <c r="J1389" i="26"/>
  <c r="J1388" i="26"/>
  <c r="J1387" i="26"/>
  <c r="J1386" i="26"/>
  <c r="J1385" i="26"/>
  <c r="J1384" i="26"/>
  <c r="J1383" i="26"/>
  <c r="J1382" i="26"/>
  <c r="J1381" i="26"/>
  <c r="J1380" i="26"/>
  <c r="J1379" i="26"/>
  <c r="J1378" i="26"/>
  <c r="J1377" i="26"/>
  <c r="J1376" i="26"/>
  <c r="J1375" i="26"/>
  <c r="J1374" i="26"/>
  <c r="L1373" i="26"/>
  <c r="K1373" i="26"/>
  <c r="L1372" i="26"/>
  <c r="K1372" i="26"/>
  <c r="L1371" i="26"/>
  <c r="K1371" i="26"/>
  <c r="L1370" i="26"/>
  <c r="K1370" i="26"/>
  <c r="J1369" i="26"/>
  <c r="J1368" i="26"/>
  <c r="J1367" i="26"/>
  <c r="J1366" i="26"/>
  <c r="J1365" i="26"/>
  <c r="J1364" i="26"/>
  <c r="J1363" i="26"/>
  <c r="J1362" i="26"/>
  <c r="J1361" i="26"/>
  <c r="J1360" i="26"/>
  <c r="J1359" i="26"/>
  <c r="J1358" i="26"/>
  <c r="J1357" i="26"/>
  <c r="J1356" i="26"/>
  <c r="L181" i="26"/>
  <c r="J181" i="26"/>
  <c r="L180" i="26"/>
  <c r="J180" i="26"/>
  <c r="L179" i="26"/>
  <c r="J179" i="26"/>
  <c r="L178" i="26"/>
  <c r="J178" i="26"/>
  <c r="L177" i="26"/>
  <c r="J177" i="26"/>
  <c r="L176" i="26"/>
  <c r="J176" i="26"/>
  <c r="L175" i="26"/>
  <c r="J175" i="26"/>
  <c r="L174" i="26"/>
  <c r="J174" i="26"/>
  <c r="L173" i="26"/>
  <c r="J173" i="26"/>
  <c r="L172" i="26"/>
  <c r="J172" i="26"/>
  <c r="L171" i="26"/>
  <c r="J171" i="26"/>
  <c r="L170" i="26"/>
  <c r="J170" i="26"/>
  <c r="J2578" i="26"/>
  <c r="M2578" i="26" s="1"/>
  <c r="J2577" i="26"/>
  <c r="M2577" i="26" s="1"/>
  <c r="J2576" i="26"/>
  <c r="M2576" i="26" s="1"/>
  <c r="J2575" i="26"/>
  <c r="M2575" i="26" s="1"/>
  <c r="J2574" i="26"/>
  <c r="M2574" i="26" s="1"/>
  <c r="J2573" i="26"/>
  <c r="M2573" i="26" s="1"/>
  <c r="J2572" i="26"/>
  <c r="M2572" i="26" s="1"/>
  <c r="J2571" i="26"/>
  <c r="M2571" i="26" s="1"/>
  <c r="J2570" i="26"/>
  <c r="M2570" i="26" s="1"/>
  <c r="J2569" i="26"/>
  <c r="M2569" i="26" s="1"/>
  <c r="J2568" i="26"/>
  <c r="M2568" i="26" s="1"/>
  <c r="J2567" i="26"/>
  <c r="M2567" i="26" s="1"/>
  <c r="J2566" i="26"/>
  <c r="M2566" i="26" s="1"/>
  <c r="J2565" i="26"/>
  <c r="M2565" i="26" s="1"/>
  <c r="J2564" i="26"/>
  <c r="M2564" i="26" s="1"/>
  <c r="J2563" i="26"/>
  <c r="M2563" i="26" s="1"/>
  <c r="J2562" i="26"/>
  <c r="M2562" i="26" s="1"/>
  <c r="J2561" i="26"/>
  <c r="M2561" i="26" s="1"/>
  <c r="J2560" i="26"/>
  <c r="M2560" i="26" s="1"/>
  <c r="J2559" i="26"/>
  <c r="M2559" i="26" s="1"/>
  <c r="J2558" i="26"/>
  <c r="M2558" i="26" s="1"/>
  <c r="J2557" i="26"/>
  <c r="M2557" i="26" s="1"/>
  <c r="J2556" i="26"/>
  <c r="M2556" i="26" s="1"/>
  <c r="J2555" i="26"/>
  <c r="M2555" i="26" s="1"/>
  <c r="J2554" i="26"/>
  <c r="M2554" i="26" s="1"/>
  <c r="J2553" i="26"/>
  <c r="M2553" i="26" s="1"/>
  <c r="J2552" i="26"/>
  <c r="M2552" i="26" s="1"/>
  <c r="J2551" i="26"/>
  <c r="M2551" i="26" s="1"/>
  <c r="J2550" i="26"/>
  <c r="M2550" i="26" s="1"/>
  <c r="J2549" i="26"/>
  <c r="M2548" i="26"/>
  <c r="M2543" i="26"/>
  <c r="M2540" i="26"/>
  <c r="M2539" i="26"/>
  <c r="M2535" i="26"/>
  <c r="M2532" i="26"/>
  <c r="M2531" i="26"/>
  <c r="M2527" i="26"/>
  <c r="M2524" i="26"/>
  <c r="M2523" i="26"/>
  <c r="M2519" i="26"/>
  <c r="M2516" i="26"/>
  <c r="M2515" i="26"/>
  <c r="M2511" i="26"/>
  <c r="M2508" i="26"/>
  <c r="M2507" i="26"/>
  <c r="J2505" i="26"/>
  <c r="M2505" i="26" s="1"/>
  <c r="M2504" i="26"/>
  <c r="J2504" i="26"/>
  <c r="J2503" i="26"/>
  <c r="M2503" i="26" s="1"/>
  <c r="M2502" i="26"/>
  <c r="J2502" i="26"/>
  <c r="J2501" i="26"/>
  <c r="M2501" i="26" s="1"/>
  <c r="M2500" i="26"/>
  <c r="J2500" i="26"/>
  <c r="J2499" i="26"/>
  <c r="M2499" i="26" s="1"/>
  <c r="M2498" i="26"/>
  <c r="J2498" i="26"/>
  <c r="J2497" i="26"/>
  <c r="M2497" i="26" s="1"/>
  <c r="M2496" i="26"/>
  <c r="J2496" i="26"/>
  <c r="J2495" i="26"/>
  <c r="M2495" i="26" s="1"/>
  <c r="M2494" i="26"/>
  <c r="J2494" i="26"/>
  <c r="J2493" i="26"/>
  <c r="M2493" i="26" s="1"/>
  <c r="M2492" i="26"/>
  <c r="J2492" i="26"/>
  <c r="J2491" i="26"/>
  <c r="M2491" i="26" s="1"/>
  <c r="M2490" i="26"/>
  <c r="J2490" i="26"/>
  <c r="J2489" i="26"/>
  <c r="M2489" i="26" s="1"/>
  <c r="M2488" i="26"/>
  <c r="J2488" i="26"/>
  <c r="J2487" i="26"/>
  <c r="M2487" i="26" s="1"/>
  <c r="M2486" i="26"/>
  <c r="J2486" i="26"/>
  <c r="J2485" i="26"/>
  <c r="M2485" i="26" s="1"/>
  <c r="M2484" i="26"/>
  <c r="J2484" i="26"/>
  <c r="J2483" i="26"/>
  <c r="M2483" i="26" s="1"/>
  <c r="M2482" i="26"/>
  <c r="J2482" i="26"/>
  <c r="J2481" i="26"/>
  <c r="M2481" i="26" s="1"/>
  <c r="M2480" i="26"/>
  <c r="J2480" i="26"/>
  <c r="J2479" i="26"/>
  <c r="M2479" i="26" s="1"/>
  <c r="M2478" i="26"/>
  <c r="J2478" i="26"/>
  <c r="J2477" i="26"/>
  <c r="M2477" i="26" s="1"/>
  <c r="M2476" i="26"/>
  <c r="J2476" i="26"/>
  <c r="J2475" i="26"/>
  <c r="M2475" i="26" s="1"/>
  <c r="M2474" i="26"/>
  <c r="J2474" i="26"/>
  <c r="J2473" i="26"/>
  <c r="M2473" i="26" s="1"/>
  <c r="M2472" i="26"/>
  <c r="J2472" i="26"/>
  <c r="J2471" i="26"/>
  <c r="M2471" i="26" s="1"/>
  <c r="M2470" i="26"/>
  <c r="J2470" i="26"/>
  <c r="J2469" i="26"/>
  <c r="M2469" i="26" s="1"/>
  <c r="M2468" i="26"/>
  <c r="J2468" i="26"/>
  <c r="J2467" i="26"/>
  <c r="M2467" i="26" s="1"/>
  <c r="M2466" i="26"/>
  <c r="J2466" i="26"/>
  <c r="J2465" i="26"/>
  <c r="M2465" i="26" s="1"/>
  <c r="M2464" i="26"/>
  <c r="J2464" i="26"/>
  <c r="J2463" i="26"/>
  <c r="M2463" i="26" s="1"/>
  <c r="M2462" i="26"/>
  <c r="J2462" i="26"/>
  <c r="J2461" i="26"/>
  <c r="M2461" i="26" s="1"/>
  <c r="M2460" i="26"/>
  <c r="J2460" i="26"/>
  <c r="J2459" i="26"/>
  <c r="M2459" i="26" s="1"/>
  <c r="M2458" i="26"/>
  <c r="J2458" i="26"/>
  <c r="J2457" i="26"/>
  <c r="M2457" i="26" s="1"/>
  <c r="M2456" i="26"/>
  <c r="J2456" i="26"/>
  <c r="J2455" i="26"/>
  <c r="M2455" i="26" s="1"/>
  <c r="M2454" i="26"/>
  <c r="J2454" i="26"/>
  <c r="J2453" i="26"/>
  <c r="M2453" i="26" s="1"/>
  <c r="M2452" i="26"/>
  <c r="J2452" i="26"/>
  <c r="J2451" i="26"/>
  <c r="M2451" i="26" s="1"/>
  <c r="M2450" i="26"/>
  <c r="J2450" i="26"/>
  <c r="J2449" i="26"/>
  <c r="M2449" i="26" s="1"/>
  <c r="M2448" i="26"/>
  <c r="J2448" i="26"/>
  <c r="J2447" i="26"/>
  <c r="M2447" i="26" s="1"/>
  <c r="M2446" i="26"/>
  <c r="J2446" i="26"/>
  <c r="J2445" i="26"/>
  <c r="M2445" i="26" s="1"/>
  <c r="M2444" i="26"/>
  <c r="J2444" i="26"/>
  <c r="J2443" i="26"/>
  <c r="M2443" i="26" s="1"/>
  <c r="M2442" i="26"/>
  <c r="J2442" i="26"/>
  <c r="J2441" i="26"/>
  <c r="M2441" i="26" s="1"/>
  <c r="J2440" i="26"/>
  <c r="M2440" i="26" s="1"/>
  <c r="J2439" i="26"/>
  <c r="M2439" i="26" s="1"/>
  <c r="J2438" i="26"/>
  <c r="M2438" i="26" s="1"/>
  <c r="J2437" i="26"/>
  <c r="M2437" i="26" s="1"/>
  <c r="J2436" i="26"/>
  <c r="M2436" i="26" s="1"/>
  <c r="J2435" i="26"/>
  <c r="M2435" i="26" s="1"/>
  <c r="J2434" i="26"/>
  <c r="M2434" i="26" s="1"/>
  <c r="J2433" i="26"/>
  <c r="M2433" i="26" s="1"/>
  <c r="J2432" i="26"/>
  <c r="M2432" i="26" s="1"/>
  <c r="J2431" i="26"/>
  <c r="M2431" i="26" s="1"/>
  <c r="J2430" i="26"/>
  <c r="M2430" i="26" s="1"/>
  <c r="J2429" i="26"/>
  <c r="M2429" i="26" s="1"/>
  <c r="J2428" i="26"/>
  <c r="M2428" i="26" s="1"/>
  <c r="J2427" i="26"/>
  <c r="M2427" i="26" s="1"/>
  <c r="J2426" i="26"/>
  <c r="M2426" i="26" s="1"/>
  <c r="J2425" i="26"/>
  <c r="M2425" i="26" s="1"/>
  <c r="J2424" i="26"/>
  <c r="M2424" i="26" s="1"/>
  <c r="J2423" i="26"/>
  <c r="M2423" i="26" s="1"/>
  <c r="J2422" i="26"/>
  <c r="M2422" i="26" s="1"/>
  <c r="J2421" i="26"/>
  <c r="M2421" i="26" s="1"/>
  <c r="J2420" i="26"/>
  <c r="M2420" i="26" s="1"/>
  <c r="J2419" i="26"/>
  <c r="M2419" i="26" s="1"/>
  <c r="J2418" i="26"/>
  <c r="M2418" i="26" s="1"/>
  <c r="J2417" i="26"/>
  <c r="M2417" i="26" s="1"/>
  <c r="J2416" i="26"/>
  <c r="M2416" i="26" s="1"/>
  <c r="J2415" i="26"/>
  <c r="M2415" i="26" s="1"/>
  <c r="J2414" i="26"/>
  <c r="M2414" i="26" s="1"/>
  <c r="J2413" i="26"/>
  <c r="M2413" i="26" s="1"/>
  <c r="J2412" i="26"/>
  <c r="M2412" i="26" s="1"/>
  <c r="J2411" i="26"/>
  <c r="M2411" i="26" s="1"/>
  <c r="J2410" i="26"/>
  <c r="M2410" i="26" s="1"/>
  <c r="J2409" i="26"/>
  <c r="M2409" i="26" s="1"/>
  <c r="J2408" i="26"/>
  <c r="M2408" i="26" s="1"/>
  <c r="J2407" i="26"/>
  <c r="M2407" i="26" s="1"/>
  <c r="J2406" i="26"/>
  <c r="M2406" i="26" s="1"/>
  <c r="J2405" i="26"/>
  <c r="M2405" i="26" s="1"/>
  <c r="J2404" i="26"/>
  <c r="M2404" i="26" s="1"/>
  <c r="J2403" i="26"/>
  <c r="M2403" i="26" s="1"/>
  <c r="J2402" i="26"/>
  <c r="M2402" i="26" s="1"/>
  <c r="J2401" i="26"/>
  <c r="M2401" i="26" s="1"/>
  <c r="J2400" i="26"/>
  <c r="M2400" i="26" s="1"/>
  <c r="J2399" i="26"/>
  <c r="M2399" i="26" s="1"/>
  <c r="J2398" i="26"/>
  <c r="M2398" i="26" s="1"/>
  <c r="J2397" i="26"/>
  <c r="M2397" i="26" s="1"/>
  <c r="J2396" i="26"/>
  <c r="M2396" i="26" s="1"/>
  <c r="J2395" i="26"/>
  <c r="M2395" i="26" s="1"/>
  <c r="J2394" i="26"/>
  <c r="M2394" i="26" s="1"/>
  <c r="J2393" i="26"/>
  <c r="M2393" i="26" s="1"/>
  <c r="J2392" i="26"/>
  <c r="M2392" i="26" s="1"/>
  <c r="J2391" i="26"/>
  <c r="M2391" i="26" s="1"/>
  <c r="J2390" i="26"/>
  <c r="M2390" i="26" s="1"/>
  <c r="J2389" i="26"/>
  <c r="M2389" i="26" s="1"/>
  <c r="J2388" i="26"/>
  <c r="M2388" i="26" s="1"/>
  <c r="J2387" i="26"/>
  <c r="M2387" i="26" s="1"/>
  <c r="J2386" i="26"/>
  <c r="M2386" i="26" s="1"/>
  <c r="J2385" i="26"/>
  <c r="M2385" i="26" s="1"/>
  <c r="J2384" i="26"/>
  <c r="M2384" i="26" s="1"/>
  <c r="J2383" i="26"/>
  <c r="M2383" i="26" s="1"/>
  <c r="J2382" i="26"/>
  <c r="M2382" i="26" s="1"/>
  <c r="J2381" i="26"/>
  <c r="M2381" i="26" s="1"/>
  <c r="J2380" i="26"/>
  <c r="M2380" i="26" s="1"/>
  <c r="J2379" i="26"/>
  <c r="M2379" i="26" s="1"/>
  <c r="J2378" i="26"/>
  <c r="M2378" i="26" s="1"/>
  <c r="J2377" i="26"/>
  <c r="M2377" i="26" s="1"/>
  <c r="J2376" i="26"/>
  <c r="M2376" i="26" s="1"/>
  <c r="J2375" i="26"/>
  <c r="M2375" i="26" s="1"/>
  <c r="J2374" i="26"/>
  <c r="M2374" i="26" s="1"/>
  <c r="J2373" i="26"/>
  <c r="M2373" i="26" s="1"/>
  <c r="J2372" i="26"/>
  <c r="M2372" i="26" s="1"/>
  <c r="J2371" i="26"/>
  <c r="M2371" i="26" s="1"/>
  <c r="J2370" i="26"/>
  <c r="M2370" i="26" s="1"/>
  <c r="J2369" i="26"/>
  <c r="M2369" i="26" s="1"/>
  <c r="J2368" i="26"/>
  <c r="M2368" i="26" s="1"/>
  <c r="J2367" i="26"/>
  <c r="M2367" i="26" s="1"/>
  <c r="J2366" i="26"/>
  <c r="M2366" i="26" s="1"/>
  <c r="J2365" i="26"/>
  <c r="M2365" i="26" s="1"/>
  <c r="J2364" i="26"/>
  <c r="M2364" i="26" s="1"/>
  <c r="J2363" i="26"/>
  <c r="M2363" i="26" s="1"/>
  <c r="J2362" i="26"/>
  <c r="M2362" i="26" s="1"/>
  <c r="J2361" i="26"/>
  <c r="M2361" i="26" s="1"/>
  <c r="J2360" i="26"/>
  <c r="M2360" i="26" s="1"/>
  <c r="J2359" i="26"/>
  <c r="M2359" i="26" s="1"/>
  <c r="J2358" i="26"/>
  <c r="M2358" i="26" s="1"/>
  <c r="J2357" i="26"/>
  <c r="M2357" i="26" s="1"/>
  <c r="J2356" i="26"/>
  <c r="M2356" i="26" s="1"/>
  <c r="J2355" i="26"/>
  <c r="M2355" i="26" s="1"/>
  <c r="J2354" i="26"/>
  <c r="M2354" i="26" s="1"/>
  <c r="J2353" i="26"/>
  <c r="M2353" i="26" s="1"/>
  <c r="J2352" i="26"/>
  <c r="M2352" i="26" s="1"/>
  <c r="J2351" i="26"/>
  <c r="M2351" i="26" s="1"/>
  <c r="J2350" i="26"/>
  <c r="M2350" i="26" s="1"/>
  <c r="J2349" i="26"/>
  <c r="M2349" i="26" s="1"/>
  <c r="J2348" i="26"/>
  <c r="M2348" i="26" s="1"/>
  <c r="J2347" i="26"/>
  <c r="M2347" i="26" s="1"/>
  <c r="J2346" i="26"/>
  <c r="M2346" i="26" s="1"/>
  <c r="J2345" i="26"/>
  <c r="M2345" i="26" s="1"/>
  <c r="J2344" i="26"/>
  <c r="M2344" i="26" s="1"/>
  <c r="J2343" i="26"/>
  <c r="M2343" i="26" s="1"/>
  <c r="J2342" i="26"/>
  <c r="M2342" i="26" s="1"/>
  <c r="J2341" i="26"/>
  <c r="M2341" i="26" s="1"/>
  <c r="J2340" i="26"/>
  <c r="M2340" i="26" s="1"/>
  <c r="J2339" i="26"/>
  <c r="M2339" i="26" s="1"/>
  <c r="J2338" i="26"/>
  <c r="M2338" i="26" s="1"/>
  <c r="J2337" i="26"/>
  <c r="M2337" i="26" s="1"/>
  <c r="J2336" i="26"/>
  <c r="M2336" i="26" s="1"/>
  <c r="J2335" i="26"/>
  <c r="M2335" i="26" s="1"/>
  <c r="J2334" i="26"/>
  <c r="M2334" i="26" s="1"/>
  <c r="J2333" i="26"/>
  <c r="M2333" i="26" s="1"/>
  <c r="J2332" i="26"/>
  <c r="M2332" i="26" s="1"/>
  <c r="J2331" i="26"/>
  <c r="M2331" i="26" s="1"/>
  <c r="J2330" i="26"/>
  <c r="M2330" i="26" s="1"/>
  <c r="J2329" i="26"/>
  <c r="M2329" i="26" s="1"/>
  <c r="J2328" i="26"/>
  <c r="M2328" i="26" s="1"/>
  <c r="J2327" i="26"/>
  <c r="M2327" i="26" s="1"/>
  <c r="J2326" i="26"/>
  <c r="M2326" i="26" s="1"/>
  <c r="J2325" i="26"/>
  <c r="M2325" i="26" s="1"/>
  <c r="J2324" i="26"/>
  <c r="M2324" i="26" s="1"/>
  <c r="J2323" i="26"/>
  <c r="M2323" i="26" s="1"/>
  <c r="J2322" i="26"/>
  <c r="M2322" i="26" s="1"/>
  <c r="J2321" i="26"/>
  <c r="M2321" i="26" s="1"/>
  <c r="J2320" i="26"/>
  <c r="M2320" i="26" s="1"/>
  <c r="J2319" i="26"/>
  <c r="M2319" i="26" s="1"/>
  <c r="J2318" i="26"/>
  <c r="M2318" i="26" s="1"/>
  <c r="J2317" i="26"/>
  <c r="M2317" i="26" s="1"/>
  <c r="J2316" i="26"/>
  <c r="M2316" i="26" s="1"/>
  <c r="J2315" i="26"/>
  <c r="M2315" i="26" s="1"/>
  <c r="J2314" i="26"/>
  <c r="M2314" i="26" s="1"/>
  <c r="J2313" i="26"/>
  <c r="M2313" i="26" s="1"/>
  <c r="J2312" i="26"/>
  <c r="M2312" i="26" s="1"/>
  <c r="J2311" i="26"/>
  <c r="M2311" i="26" s="1"/>
  <c r="J2310" i="26"/>
  <c r="M2310" i="26" s="1"/>
  <c r="J2309" i="26"/>
  <c r="M2309" i="26" s="1"/>
  <c r="J2308" i="26"/>
  <c r="M2308" i="26" s="1"/>
  <c r="J2307" i="26"/>
  <c r="M2307" i="26" s="1"/>
  <c r="J2306" i="26"/>
  <c r="M2306" i="26" s="1"/>
  <c r="J2305" i="26"/>
  <c r="M2305" i="26" s="1"/>
  <c r="J2304" i="26"/>
  <c r="M2304" i="26" s="1"/>
  <c r="J2303" i="26"/>
  <c r="M2303" i="26" s="1"/>
  <c r="J2302" i="26"/>
  <c r="M2302" i="26" s="1"/>
  <c r="J2301" i="26"/>
  <c r="M2301" i="26" s="1"/>
  <c r="J2300" i="26"/>
  <c r="M2300" i="26" s="1"/>
  <c r="J2299" i="26"/>
  <c r="M2299" i="26" s="1"/>
  <c r="J2298" i="26"/>
  <c r="M2298" i="26" s="1"/>
  <c r="J2297" i="26"/>
  <c r="M2297" i="26" s="1"/>
  <c r="J2296" i="26"/>
  <c r="M2296" i="26" s="1"/>
  <c r="J2295" i="26"/>
  <c r="M2295" i="26" s="1"/>
  <c r="J2294" i="26"/>
  <c r="M2294" i="26" s="1"/>
  <c r="J2293" i="26"/>
  <c r="M2293" i="26" s="1"/>
  <c r="J2292" i="26"/>
  <c r="M2292" i="26" s="1"/>
  <c r="J2291" i="26"/>
  <c r="M2291" i="26" s="1"/>
  <c r="J2290" i="26"/>
  <c r="M2290" i="26" s="1"/>
  <c r="J2289" i="26"/>
  <c r="M2289" i="26" s="1"/>
  <c r="J2288" i="26"/>
  <c r="M2288" i="26" s="1"/>
  <c r="J2287" i="26"/>
  <c r="M2287" i="26" s="1"/>
  <c r="J2286" i="26"/>
  <c r="M2286" i="26" s="1"/>
  <c r="J2285" i="26"/>
  <c r="M2285" i="26" s="1"/>
  <c r="J2284" i="26"/>
  <c r="M2284" i="26" s="1"/>
  <c r="J2283" i="26"/>
  <c r="M2283" i="26" s="1"/>
  <c r="J2282" i="26"/>
  <c r="M2282" i="26" s="1"/>
  <c r="J2281" i="26"/>
  <c r="M2281" i="26" s="1"/>
  <c r="J2280" i="26"/>
  <c r="M2280" i="26" s="1"/>
  <c r="J2279" i="26"/>
  <c r="M2279" i="26" s="1"/>
  <c r="J2278" i="26"/>
  <c r="M2278" i="26" s="1"/>
  <c r="J2277" i="26"/>
  <c r="M2277" i="26" s="1"/>
  <c r="J2276" i="26"/>
  <c r="M2276" i="26" s="1"/>
  <c r="J2275" i="26"/>
  <c r="M2275" i="26" s="1"/>
  <c r="J2274" i="26"/>
  <c r="M2274" i="26" s="1"/>
  <c r="J2273" i="26"/>
  <c r="M2273" i="26" s="1"/>
  <c r="J2272" i="26"/>
  <c r="M2272" i="26" s="1"/>
  <c r="J2271" i="26"/>
  <c r="M2271" i="26" s="1"/>
  <c r="J2270" i="26"/>
  <c r="M2270" i="26" s="1"/>
  <c r="J2269" i="26"/>
  <c r="M2269" i="26" s="1"/>
  <c r="J2268" i="26"/>
  <c r="M2268" i="26" s="1"/>
  <c r="J2267" i="26"/>
  <c r="M2267" i="26" s="1"/>
  <c r="J2266" i="26"/>
  <c r="M2266" i="26" s="1"/>
  <c r="J2265" i="26"/>
  <c r="M2265" i="26" s="1"/>
  <c r="J2264" i="26"/>
  <c r="M2264" i="26" s="1"/>
  <c r="J2263" i="26"/>
  <c r="M2263" i="26" s="1"/>
  <c r="J2262" i="26"/>
  <c r="M2262" i="26" s="1"/>
  <c r="J2261" i="26"/>
  <c r="M2261" i="26" s="1"/>
  <c r="J2260" i="26"/>
  <c r="M2260" i="26" s="1"/>
  <c r="J2259" i="26"/>
  <c r="M2259" i="26" s="1"/>
  <c r="J2258" i="26"/>
  <c r="M2258" i="26" s="1"/>
  <c r="J2257" i="26"/>
  <c r="M2257" i="26" s="1"/>
  <c r="J2256" i="26"/>
  <c r="M2256" i="26" s="1"/>
  <c r="J2255" i="26"/>
  <c r="M2255" i="26" s="1"/>
  <c r="J2254" i="26"/>
  <c r="M2254" i="26" s="1"/>
  <c r="J2253" i="26"/>
  <c r="M2253" i="26" s="1"/>
  <c r="J2252" i="26"/>
  <c r="M2252" i="26" s="1"/>
  <c r="J2251" i="26"/>
  <c r="M2251" i="26" s="1"/>
  <c r="J2250" i="26"/>
  <c r="M2250" i="26" s="1"/>
  <c r="J2249" i="26"/>
  <c r="M2249" i="26" s="1"/>
  <c r="J2248" i="26"/>
  <c r="M2248" i="26" s="1"/>
  <c r="J2247" i="26"/>
  <c r="M2247" i="26" s="1"/>
  <c r="J2246" i="26"/>
  <c r="M2246" i="26" s="1"/>
  <c r="J2245" i="26"/>
  <c r="M2245" i="26" s="1"/>
  <c r="J2244" i="26"/>
  <c r="M2244" i="26" s="1"/>
  <c r="J2243" i="26"/>
  <c r="M2243" i="26" s="1"/>
  <c r="J2242" i="26"/>
  <c r="M2242" i="26" s="1"/>
  <c r="J2241" i="26"/>
  <c r="M2241" i="26" s="1"/>
  <c r="J2240" i="26"/>
  <c r="M2240" i="26" s="1"/>
  <c r="J2239" i="26"/>
  <c r="M2239" i="26" s="1"/>
  <c r="J2238" i="26"/>
  <c r="M2238" i="26" s="1"/>
  <c r="J2237" i="26"/>
  <c r="M2237" i="26" s="1"/>
  <c r="J2236" i="26"/>
  <c r="M2236" i="26" s="1"/>
  <c r="J2235" i="26"/>
  <c r="M2235" i="26" s="1"/>
  <c r="J2234" i="26"/>
  <c r="M2234" i="26" s="1"/>
  <c r="J2233" i="26"/>
  <c r="M2233" i="26" s="1"/>
  <c r="J2232" i="26"/>
  <c r="M2232" i="26" s="1"/>
  <c r="J2231" i="26"/>
  <c r="M2231" i="26" s="1"/>
  <c r="J2230" i="26"/>
  <c r="M2230" i="26" s="1"/>
  <c r="J2229" i="26"/>
  <c r="M2229" i="26" s="1"/>
  <c r="J2228" i="26"/>
  <c r="M2228" i="26" s="1"/>
  <c r="J2227" i="26"/>
  <c r="M2227" i="26" s="1"/>
  <c r="J2226" i="26"/>
  <c r="M2226" i="26" s="1"/>
  <c r="J2225" i="26"/>
  <c r="M2225" i="26" s="1"/>
  <c r="J2224" i="26"/>
  <c r="M2224" i="26" s="1"/>
  <c r="J2223" i="26"/>
  <c r="M2223" i="26" s="1"/>
  <c r="J2222" i="26"/>
  <c r="M2222" i="26" s="1"/>
  <c r="J2221" i="26"/>
  <c r="M2221" i="26" s="1"/>
  <c r="J2220" i="26"/>
  <c r="M2220" i="26" s="1"/>
  <c r="J2219" i="26"/>
  <c r="M2219" i="26" s="1"/>
  <c r="J2218" i="26"/>
  <c r="M2218" i="26" s="1"/>
  <c r="J2217" i="26"/>
  <c r="M2217" i="26" s="1"/>
  <c r="J2216" i="26"/>
  <c r="M2216" i="26" s="1"/>
  <c r="J2215" i="26"/>
  <c r="M2215" i="26" s="1"/>
  <c r="J2214" i="26"/>
  <c r="M2214" i="26" s="1"/>
  <c r="J2213" i="26"/>
  <c r="M2213" i="26" s="1"/>
  <c r="J2212" i="26"/>
  <c r="M2212" i="26" s="1"/>
  <c r="J2211" i="26"/>
  <c r="M2211" i="26" s="1"/>
  <c r="J2210" i="26"/>
  <c r="M2210" i="26" s="1"/>
  <c r="J2209" i="26"/>
  <c r="M2209" i="26" s="1"/>
  <c r="J2208" i="26"/>
  <c r="M2208" i="26" s="1"/>
  <c r="J2207" i="26"/>
  <c r="M2207" i="26" s="1"/>
  <c r="J2206" i="26"/>
  <c r="M2206" i="26" s="1"/>
  <c r="J2205" i="26"/>
  <c r="M2205" i="26" s="1"/>
  <c r="J2204" i="26"/>
  <c r="M2204" i="26" s="1"/>
  <c r="J2203" i="26"/>
  <c r="M2203" i="26" s="1"/>
  <c r="J2202" i="26"/>
  <c r="M2202" i="26" s="1"/>
  <c r="J2201" i="26"/>
  <c r="M2201" i="26" s="1"/>
  <c r="J2200" i="26"/>
  <c r="M2200" i="26" s="1"/>
  <c r="J2199" i="26"/>
  <c r="M2199" i="26" s="1"/>
  <c r="J2198" i="26"/>
  <c r="M2198" i="26" s="1"/>
  <c r="J2197" i="26"/>
  <c r="M2197" i="26" s="1"/>
  <c r="J2196" i="26"/>
  <c r="M2196" i="26" s="1"/>
  <c r="J2195" i="26"/>
  <c r="M2195" i="26" s="1"/>
  <c r="J2194" i="26"/>
  <c r="M2194" i="26" s="1"/>
  <c r="J2193" i="26"/>
  <c r="M2193" i="26" s="1"/>
  <c r="J2192" i="26"/>
  <c r="M2192" i="26" s="1"/>
  <c r="J2191" i="26"/>
  <c r="M2191" i="26" s="1"/>
  <c r="J2190" i="26"/>
  <c r="M2190" i="26" s="1"/>
  <c r="J2189" i="26"/>
  <c r="M2189" i="26" s="1"/>
  <c r="J2188" i="26"/>
  <c r="M2188" i="26" s="1"/>
  <c r="J2187" i="26"/>
  <c r="M2187" i="26" s="1"/>
  <c r="J2186" i="26"/>
  <c r="M2186" i="26" s="1"/>
  <c r="J2185" i="26"/>
  <c r="M2185" i="26" s="1"/>
  <c r="J2184" i="26"/>
  <c r="M2184" i="26" s="1"/>
  <c r="J2183" i="26"/>
  <c r="M2183" i="26" s="1"/>
  <c r="J2182" i="26"/>
  <c r="M2182" i="26" s="1"/>
  <c r="J2181" i="26"/>
  <c r="M2181" i="26" s="1"/>
  <c r="J2180" i="26"/>
  <c r="M2180" i="26" s="1"/>
  <c r="J2179" i="26"/>
  <c r="M2179" i="26" s="1"/>
  <c r="J2178" i="26"/>
  <c r="M2178" i="26" s="1"/>
  <c r="J2177" i="26"/>
  <c r="M2177" i="26" s="1"/>
  <c r="J2176" i="26"/>
  <c r="M2176" i="26" s="1"/>
  <c r="J2175" i="26"/>
  <c r="M2175" i="26" s="1"/>
  <c r="J2174" i="26"/>
  <c r="M2174" i="26" s="1"/>
  <c r="J2173" i="26"/>
  <c r="M2173" i="26" s="1"/>
  <c r="J2172" i="26"/>
  <c r="M2172" i="26" s="1"/>
  <c r="J2171" i="26"/>
  <c r="M2171" i="26" s="1"/>
  <c r="J2170" i="26"/>
  <c r="M2170" i="26" s="1"/>
  <c r="J2169" i="26"/>
  <c r="M2169" i="26" s="1"/>
  <c r="J2168" i="26"/>
  <c r="M2168" i="26" s="1"/>
  <c r="J2167" i="26"/>
  <c r="M2167" i="26" s="1"/>
  <c r="J2166" i="26"/>
  <c r="M2166" i="26" s="1"/>
  <c r="J2165" i="26"/>
  <c r="M2165" i="26" s="1"/>
  <c r="J2164" i="26"/>
  <c r="M2164" i="26" s="1"/>
  <c r="J2163" i="26"/>
  <c r="M2163" i="26" s="1"/>
  <c r="J2162" i="26"/>
  <c r="M2162" i="26" s="1"/>
  <c r="J2161" i="26"/>
  <c r="M2161" i="26" s="1"/>
  <c r="J2160" i="26"/>
  <c r="M2160" i="26" s="1"/>
  <c r="J2159" i="26"/>
  <c r="M2159" i="26" s="1"/>
  <c r="J2158" i="26"/>
  <c r="M2158" i="26" s="1"/>
  <c r="J2157" i="26"/>
  <c r="M2157" i="26" s="1"/>
  <c r="J2156" i="26"/>
  <c r="M2156" i="26" s="1"/>
  <c r="J2155" i="26"/>
  <c r="M2155" i="26" s="1"/>
  <c r="J2154" i="26"/>
  <c r="M2154" i="26" s="1"/>
  <c r="J2153" i="26"/>
  <c r="M2153" i="26" s="1"/>
  <c r="J2152" i="26"/>
  <c r="M2152" i="26" s="1"/>
  <c r="J2151" i="26"/>
  <c r="M2151" i="26" s="1"/>
  <c r="J2150" i="26"/>
  <c r="M2150" i="26" s="1"/>
  <c r="J2149" i="26"/>
  <c r="M2149" i="26" s="1"/>
  <c r="J2148" i="26"/>
  <c r="M2148" i="26" s="1"/>
  <c r="J2147" i="26"/>
  <c r="M2147" i="26" s="1"/>
  <c r="J2146" i="26"/>
  <c r="M2146" i="26" s="1"/>
  <c r="J2145" i="26"/>
  <c r="M2145" i="26" s="1"/>
  <c r="J2144" i="26"/>
  <c r="M2144" i="26" s="1"/>
  <c r="J2143" i="26"/>
  <c r="M2143" i="26" s="1"/>
  <c r="J2142" i="26"/>
  <c r="M2142" i="26" s="1"/>
  <c r="J2141" i="26"/>
  <c r="M2141" i="26" s="1"/>
  <c r="J2140" i="26"/>
  <c r="M2140" i="26" s="1"/>
  <c r="J2139" i="26"/>
  <c r="M2139" i="26" s="1"/>
  <c r="J2138" i="26"/>
  <c r="M2138" i="26" s="1"/>
  <c r="J2137" i="26"/>
  <c r="M2137" i="26" s="1"/>
  <c r="J2136" i="26"/>
  <c r="M2136" i="26" s="1"/>
  <c r="J2135" i="26"/>
  <c r="M2135" i="26" s="1"/>
  <c r="J2134" i="26"/>
  <c r="M2134" i="26" s="1"/>
  <c r="J2133" i="26"/>
  <c r="M2133" i="26" s="1"/>
  <c r="J2132" i="26"/>
  <c r="M2132" i="26" s="1"/>
  <c r="J2131" i="26"/>
  <c r="M2131" i="26" s="1"/>
  <c r="J2130" i="26"/>
  <c r="M2130" i="26" s="1"/>
  <c r="J2129" i="26"/>
  <c r="M2129" i="26" s="1"/>
  <c r="J2128" i="26"/>
  <c r="M2128" i="26" s="1"/>
  <c r="J2127" i="26"/>
  <c r="M2127" i="26" s="1"/>
  <c r="J2126" i="26"/>
  <c r="M2126" i="26" s="1"/>
  <c r="J2125" i="26"/>
  <c r="M2125" i="26" s="1"/>
  <c r="J2124" i="26"/>
  <c r="M2124" i="26" s="1"/>
  <c r="J2123" i="26"/>
  <c r="M2123" i="26" s="1"/>
  <c r="J2122" i="26"/>
  <c r="M2122" i="26" s="1"/>
  <c r="J2121" i="26"/>
  <c r="M2121" i="26" s="1"/>
  <c r="J2120" i="26"/>
  <c r="M2120" i="26" s="1"/>
  <c r="J2119" i="26"/>
  <c r="M2119" i="26" s="1"/>
  <c r="J2118" i="26"/>
  <c r="M2118" i="26" s="1"/>
  <c r="J2117" i="26"/>
  <c r="M2117" i="26" s="1"/>
  <c r="J2116" i="26"/>
  <c r="M2116" i="26" s="1"/>
  <c r="J2115" i="26"/>
  <c r="M2115" i="26" s="1"/>
  <c r="J2114" i="26"/>
  <c r="M2114" i="26" s="1"/>
  <c r="J2113" i="26"/>
  <c r="M2113" i="26" s="1"/>
  <c r="J2112" i="26"/>
  <c r="M2112" i="26" s="1"/>
  <c r="J2111" i="26"/>
  <c r="M2111" i="26" s="1"/>
  <c r="J2110" i="26"/>
  <c r="M2110" i="26" s="1"/>
  <c r="J2109" i="26"/>
  <c r="M2109" i="26" s="1"/>
  <c r="J2108" i="26"/>
  <c r="M2108" i="26" s="1"/>
  <c r="J2107" i="26"/>
  <c r="M2107" i="26" s="1"/>
  <c r="J2106" i="26"/>
  <c r="M2106" i="26" s="1"/>
  <c r="J2105" i="26"/>
  <c r="M2105" i="26" s="1"/>
  <c r="J2104" i="26"/>
  <c r="M2104" i="26" s="1"/>
  <c r="J2103" i="26"/>
  <c r="M2103" i="26" s="1"/>
  <c r="J2102" i="26"/>
  <c r="M2102" i="26" s="1"/>
  <c r="J2101" i="26"/>
  <c r="M2101" i="26" s="1"/>
  <c r="J2100" i="26"/>
  <c r="M2100" i="26" s="1"/>
  <c r="J2099" i="26"/>
  <c r="M2099" i="26" s="1"/>
  <c r="J2098" i="26"/>
  <c r="M2098" i="26" s="1"/>
  <c r="J2097" i="26"/>
  <c r="M2097" i="26" s="1"/>
  <c r="J2096" i="26"/>
  <c r="M2096" i="26" s="1"/>
  <c r="J2095" i="26"/>
  <c r="M2095" i="26" s="1"/>
  <c r="J2094" i="26"/>
  <c r="M2094" i="26" s="1"/>
  <c r="J2093" i="26"/>
  <c r="M2093" i="26" s="1"/>
  <c r="J2092" i="26"/>
  <c r="M2092" i="26" s="1"/>
  <c r="J2091" i="26"/>
  <c r="M2091" i="26" s="1"/>
  <c r="J2090" i="26"/>
  <c r="M2090" i="26" s="1"/>
  <c r="J2089" i="26"/>
  <c r="M2089" i="26" s="1"/>
  <c r="J2088" i="26"/>
  <c r="J2087" i="26"/>
  <c r="M2087" i="26" s="1"/>
  <c r="J2086" i="26"/>
  <c r="M2086" i="26" s="1"/>
  <c r="J2085" i="26"/>
  <c r="M2085" i="26" s="1"/>
  <c r="J2084" i="26"/>
  <c r="M2084" i="26" s="1"/>
  <c r="J2083" i="26"/>
  <c r="M2083" i="26" s="1"/>
  <c r="J2082" i="26"/>
  <c r="M2082" i="26" s="1"/>
  <c r="J2081" i="26"/>
  <c r="M2081" i="26" s="1"/>
  <c r="J2080" i="26"/>
  <c r="M2080" i="26" s="1"/>
  <c r="J2079" i="26"/>
  <c r="M2079" i="26" s="1"/>
  <c r="J2078" i="26"/>
  <c r="M2078" i="26" s="1"/>
  <c r="J2077" i="26"/>
  <c r="M2077" i="26" s="1"/>
  <c r="J2076" i="26"/>
  <c r="M2076" i="26" s="1"/>
  <c r="J2075" i="26"/>
  <c r="M2075" i="26" s="1"/>
  <c r="J2074" i="26"/>
  <c r="M2074" i="26" s="1"/>
  <c r="J2073" i="26"/>
  <c r="M2073" i="26" s="1"/>
  <c r="J2072" i="26"/>
  <c r="M2072" i="26" s="1"/>
  <c r="J2071" i="26"/>
  <c r="M2071" i="26" s="1"/>
  <c r="J2070" i="26"/>
  <c r="M2070" i="26" s="1"/>
  <c r="J2069" i="26"/>
  <c r="M2069" i="26" s="1"/>
  <c r="J2068" i="26"/>
  <c r="M2068" i="26" s="1"/>
  <c r="J2067" i="26"/>
  <c r="M2067" i="26" s="1"/>
  <c r="J2066" i="26"/>
  <c r="M2066" i="26" s="1"/>
  <c r="J2065" i="26"/>
  <c r="M2065" i="26" s="1"/>
  <c r="J2064" i="26"/>
  <c r="M2064" i="26" s="1"/>
  <c r="J2063" i="26"/>
  <c r="M2063" i="26" s="1"/>
  <c r="J2062" i="26"/>
  <c r="M2062" i="26" s="1"/>
  <c r="J2061" i="26"/>
  <c r="M2061" i="26" s="1"/>
  <c r="J2060" i="26"/>
  <c r="M2060" i="26" s="1"/>
  <c r="J2059" i="26"/>
  <c r="M2059" i="26" s="1"/>
  <c r="J2058" i="26"/>
  <c r="M2058" i="26" s="1"/>
  <c r="J2057" i="26"/>
  <c r="M2057" i="26" s="1"/>
  <c r="J2056" i="26"/>
  <c r="M2056" i="26" s="1"/>
  <c r="J2055" i="26"/>
  <c r="M2055" i="26" s="1"/>
  <c r="J2054" i="26"/>
  <c r="M2054" i="26" s="1"/>
  <c r="J2053" i="26"/>
  <c r="M2053" i="26" s="1"/>
  <c r="J2052" i="26"/>
  <c r="M2052" i="26" s="1"/>
  <c r="J2051" i="26"/>
  <c r="M2051" i="26" s="1"/>
  <c r="J2050" i="26"/>
  <c r="M2050" i="26" s="1"/>
  <c r="J2049" i="26"/>
  <c r="M2049" i="26" s="1"/>
  <c r="J2048" i="26"/>
  <c r="M2048" i="26" s="1"/>
  <c r="J2047" i="26"/>
  <c r="M2047" i="26" s="1"/>
  <c r="J2046" i="26"/>
  <c r="M2046" i="26" s="1"/>
  <c r="J2045" i="26"/>
  <c r="M2045" i="26" s="1"/>
  <c r="J2044" i="26"/>
  <c r="M2044" i="26" s="1"/>
  <c r="J2043" i="26"/>
  <c r="M2043" i="26" s="1"/>
  <c r="J2042" i="26"/>
  <c r="M2042" i="26" s="1"/>
  <c r="J2041" i="26"/>
  <c r="M2041" i="26" s="1"/>
  <c r="J2040" i="26"/>
  <c r="M2040" i="26" s="1"/>
  <c r="J2039" i="26"/>
  <c r="M2039" i="26" s="1"/>
  <c r="J2038" i="26"/>
  <c r="M2038" i="26" s="1"/>
  <c r="J2037" i="26"/>
  <c r="M2037" i="26" s="1"/>
  <c r="J2036" i="26"/>
  <c r="M2036" i="26" s="1"/>
  <c r="J2035" i="26"/>
  <c r="M2035" i="26" s="1"/>
  <c r="J2034" i="26"/>
  <c r="M2034" i="26" s="1"/>
  <c r="J2033" i="26"/>
  <c r="M2033" i="26" s="1"/>
  <c r="J2032" i="26"/>
  <c r="M2032" i="26" s="1"/>
  <c r="J2031" i="26"/>
  <c r="M2031" i="26" s="1"/>
  <c r="J2030" i="26"/>
  <c r="M2030" i="26" s="1"/>
  <c r="J2029" i="26"/>
  <c r="M2029" i="26" s="1"/>
  <c r="J2028" i="26"/>
  <c r="M2028" i="26" s="1"/>
  <c r="J2027" i="26"/>
  <c r="M2027" i="26" s="1"/>
  <c r="J2026" i="26"/>
  <c r="M2026" i="26" s="1"/>
  <c r="J2025" i="26"/>
  <c r="M2025" i="26" s="1"/>
  <c r="J2024" i="26"/>
  <c r="M2024" i="26" s="1"/>
  <c r="J2023" i="26"/>
  <c r="M2023" i="26" s="1"/>
  <c r="J2022" i="26"/>
  <c r="M2022" i="26" s="1"/>
  <c r="J2021" i="26"/>
  <c r="M2021" i="26" s="1"/>
  <c r="J2020" i="26"/>
  <c r="M2020" i="26" s="1"/>
  <c r="J2019" i="26"/>
  <c r="M2019" i="26" s="1"/>
  <c r="J2018" i="26"/>
  <c r="M2018" i="26" s="1"/>
  <c r="J2017" i="26"/>
  <c r="M2017" i="26" s="1"/>
  <c r="J2016" i="26"/>
  <c r="M2016" i="26" s="1"/>
  <c r="J2015" i="26"/>
  <c r="M2015" i="26" s="1"/>
  <c r="J2014" i="26"/>
  <c r="M2014" i="26" s="1"/>
  <c r="J2013" i="26"/>
  <c r="M2013" i="26" s="1"/>
  <c r="J2012" i="26"/>
  <c r="M2012" i="26" s="1"/>
  <c r="J2011" i="26"/>
  <c r="M2011" i="26" s="1"/>
  <c r="J2010" i="26"/>
  <c r="M2010" i="26" s="1"/>
  <c r="J2009" i="26"/>
  <c r="M2009" i="26" s="1"/>
  <c r="J2008" i="26"/>
  <c r="M2008" i="26" s="1"/>
  <c r="J2007" i="26"/>
  <c r="M2007" i="26" s="1"/>
  <c r="J2006" i="26"/>
  <c r="M2006" i="26" s="1"/>
  <c r="J2005" i="26"/>
  <c r="M2005" i="26" s="1"/>
  <c r="J2004" i="26"/>
  <c r="M2004" i="26" s="1"/>
  <c r="J2003" i="26"/>
  <c r="M2003" i="26" s="1"/>
  <c r="J2002" i="26"/>
  <c r="M2002" i="26" s="1"/>
  <c r="J2001" i="26"/>
  <c r="M2001" i="26" s="1"/>
  <c r="J2000" i="26"/>
  <c r="M2000" i="26" s="1"/>
  <c r="J1999" i="26"/>
  <c r="M1999" i="26" s="1"/>
  <c r="J1998" i="26"/>
  <c r="M1998" i="26" s="1"/>
  <c r="J1997" i="26"/>
  <c r="M1997" i="26" s="1"/>
  <c r="J1996" i="26"/>
  <c r="M1996" i="26" s="1"/>
  <c r="J1995" i="26"/>
  <c r="M1995" i="26" s="1"/>
  <c r="J1994" i="26"/>
  <c r="M1994" i="26" s="1"/>
  <c r="J1993" i="26"/>
  <c r="M1993" i="26" s="1"/>
  <c r="J1992" i="26"/>
  <c r="M1992" i="26" s="1"/>
  <c r="J1991" i="26"/>
  <c r="M1991" i="26" s="1"/>
  <c r="J1990" i="26"/>
  <c r="M1990" i="26" s="1"/>
  <c r="J1989" i="26"/>
  <c r="M1989" i="26" s="1"/>
  <c r="J1988" i="26"/>
  <c r="M1988" i="26" s="1"/>
  <c r="J1987" i="26"/>
  <c r="M1987" i="26" s="1"/>
  <c r="J1986" i="26"/>
  <c r="M1986" i="26" s="1"/>
  <c r="M1970" i="26"/>
  <c r="J1970" i="26"/>
  <c r="J1969" i="26"/>
  <c r="M1969" i="26" s="1"/>
  <c r="M1968" i="26"/>
  <c r="J1968" i="26"/>
  <c r="J1967" i="26"/>
  <c r="M1967" i="26" s="1"/>
  <c r="M1966" i="26"/>
  <c r="J1966" i="26"/>
  <c r="J1965" i="26"/>
  <c r="M1965" i="26" s="1"/>
  <c r="M1964" i="26"/>
  <c r="J1964" i="26"/>
  <c r="J1963" i="26"/>
  <c r="M1963" i="26" s="1"/>
  <c r="M1962" i="26"/>
  <c r="J1962" i="26"/>
  <c r="J1961" i="26"/>
  <c r="M1961" i="26" s="1"/>
  <c r="M1960" i="26"/>
  <c r="J1960" i="26"/>
  <c r="J1959" i="26"/>
  <c r="M1959" i="26" s="1"/>
  <c r="M1958" i="26"/>
  <c r="J1958" i="26"/>
  <c r="J1957" i="26"/>
  <c r="M1957" i="26" s="1"/>
  <c r="M1956" i="26"/>
  <c r="J1956" i="26"/>
  <c r="J1955" i="26"/>
  <c r="M1955" i="26" s="1"/>
  <c r="M1954" i="26"/>
  <c r="J1954" i="26"/>
  <c r="J1953" i="26"/>
  <c r="M1953" i="26" s="1"/>
  <c r="M1952" i="26"/>
  <c r="J1952" i="26"/>
  <c r="J1951" i="26"/>
  <c r="M1951" i="26" s="1"/>
  <c r="M1950" i="26"/>
  <c r="J1950" i="26"/>
  <c r="J1949" i="26"/>
  <c r="M1949" i="26" s="1"/>
  <c r="M1948" i="26"/>
  <c r="J1948" i="26"/>
  <c r="J1947" i="26"/>
  <c r="M1947" i="26" s="1"/>
  <c r="M1946" i="26"/>
  <c r="J1946" i="26"/>
  <c r="J1945" i="26"/>
  <c r="M1945" i="26" s="1"/>
  <c r="M1944" i="26"/>
  <c r="J1944" i="26"/>
  <c r="J1943" i="26"/>
  <c r="M1943" i="26" s="1"/>
  <c r="M1942" i="26"/>
  <c r="J1942" i="26"/>
  <c r="J1941" i="26"/>
  <c r="M1941" i="26" s="1"/>
  <c r="M1940" i="26"/>
  <c r="J1940" i="26"/>
  <c r="J1939" i="26"/>
  <c r="M1939" i="26" s="1"/>
  <c r="M1938" i="26"/>
  <c r="J1938" i="26"/>
  <c r="J1937" i="26"/>
  <c r="M1937" i="26" s="1"/>
  <c r="M1936" i="26"/>
  <c r="J1936" i="26"/>
  <c r="J1935" i="26"/>
  <c r="M1935" i="26" s="1"/>
  <c r="M1934" i="26"/>
  <c r="J1934" i="26"/>
  <c r="J1933" i="26"/>
  <c r="M1933" i="26" s="1"/>
  <c r="M1932" i="26"/>
  <c r="J1932" i="26"/>
  <c r="J1931" i="26"/>
  <c r="M1931" i="26" s="1"/>
  <c r="M1930" i="26"/>
  <c r="J1930" i="26"/>
  <c r="J1929" i="26"/>
  <c r="M1929" i="26" s="1"/>
  <c r="M1928" i="26"/>
  <c r="J1928" i="26"/>
  <c r="J1927" i="26"/>
  <c r="M1927" i="26" s="1"/>
  <c r="M1926" i="26"/>
  <c r="J1926" i="26"/>
  <c r="J1925" i="26"/>
  <c r="M1925" i="26" s="1"/>
  <c r="M1924" i="26"/>
  <c r="J1924" i="26"/>
  <c r="J1923" i="26"/>
  <c r="M1923" i="26" s="1"/>
  <c r="M1922" i="26"/>
  <c r="J1922" i="26"/>
  <c r="J1921" i="26"/>
  <c r="M1921" i="26" s="1"/>
  <c r="M1920" i="26"/>
  <c r="J1920" i="26"/>
  <c r="J1919" i="26"/>
  <c r="M1919" i="26" s="1"/>
  <c r="M1918" i="26"/>
  <c r="J1918" i="26"/>
  <c r="J1917" i="26"/>
  <c r="M1917" i="26" s="1"/>
  <c r="M1916" i="26"/>
  <c r="J1916" i="26"/>
  <c r="J1915" i="26"/>
  <c r="M1915" i="26" s="1"/>
  <c r="M1914" i="26"/>
  <c r="J1914" i="26"/>
  <c r="J1913" i="26"/>
  <c r="M1913" i="26" s="1"/>
  <c r="M1912" i="26"/>
  <c r="J1912" i="26"/>
  <c r="J1911" i="26"/>
  <c r="M1911" i="26" s="1"/>
  <c r="M1910" i="26"/>
  <c r="J1910" i="26"/>
  <c r="J1909" i="26"/>
  <c r="M1909" i="26" s="1"/>
  <c r="M1908" i="26"/>
  <c r="J1908" i="26"/>
  <c r="J1907" i="26"/>
  <c r="M1907" i="26" s="1"/>
  <c r="M1906" i="26"/>
  <c r="J1906" i="26"/>
  <c r="J1905" i="26"/>
  <c r="M1905" i="26" s="1"/>
  <c r="M1904" i="26"/>
  <c r="J1904" i="26"/>
  <c r="J1903" i="26"/>
  <c r="M1903" i="26" s="1"/>
  <c r="M1902" i="26"/>
  <c r="J1902" i="26"/>
  <c r="J1901" i="26"/>
  <c r="M1901" i="26" s="1"/>
  <c r="M1900" i="26"/>
  <c r="J1900" i="26"/>
  <c r="J1899" i="26"/>
  <c r="M1899" i="26" s="1"/>
  <c r="M1898" i="26"/>
  <c r="J1898" i="26"/>
  <c r="J1897" i="26"/>
  <c r="M1897" i="26" s="1"/>
  <c r="M1896" i="26"/>
  <c r="J1896" i="26"/>
  <c r="J1895" i="26"/>
  <c r="M1895" i="26" s="1"/>
  <c r="M1894" i="26"/>
  <c r="J1894" i="26"/>
  <c r="J1893" i="26"/>
  <c r="M1893" i="26" s="1"/>
  <c r="M1892" i="26"/>
  <c r="J1892" i="26"/>
  <c r="J1891" i="26"/>
  <c r="M1891" i="26" s="1"/>
  <c r="M1890" i="26"/>
  <c r="J1890" i="26"/>
  <c r="J1889" i="26"/>
  <c r="M1889" i="26" s="1"/>
  <c r="M1888" i="26"/>
  <c r="J1888" i="26"/>
  <c r="J1887" i="26"/>
  <c r="M1887" i="26" s="1"/>
  <c r="M1886" i="26"/>
  <c r="J1886" i="26"/>
  <c r="J1885" i="26"/>
  <c r="M1885" i="26" s="1"/>
  <c r="M1884" i="26"/>
  <c r="J1884" i="26"/>
  <c r="J1883" i="26"/>
  <c r="M1883" i="26" s="1"/>
  <c r="M1882" i="26"/>
  <c r="J1882" i="26"/>
  <c r="J1881" i="26"/>
  <c r="M1881" i="26" s="1"/>
  <c r="M1880" i="26"/>
  <c r="J1880" i="26"/>
  <c r="J1879" i="26"/>
  <c r="M1879" i="26" s="1"/>
  <c r="M1878" i="26"/>
  <c r="J1878" i="26"/>
  <c r="J1877" i="26"/>
  <c r="M1877" i="26" s="1"/>
  <c r="M1876" i="26"/>
  <c r="J1876" i="26"/>
  <c r="J1875" i="26"/>
  <c r="M1875" i="26" s="1"/>
  <c r="M1874" i="26"/>
  <c r="J1874" i="26"/>
  <c r="J1873" i="26"/>
  <c r="M1873" i="26" s="1"/>
  <c r="M1872" i="26"/>
  <c r="J1872" i="26"/>
  <c r="J1871" i="26"/>
  <c r="M1871" i="26" s="1"/>
  <c r="M1870" i="26"/>
  <c r="J1870" i="26"/>
  <c r="J1869" i="26"/>
  <c r="M1869" i="26" s="1"/>
  <c r="M1868" i="26"/>
  <c r="J1868" i="26"/>
  <c r="J1867" i="26"/>
  <c r="M1867" i="26" s="1"/>
  <c r="M1866" i="26"/>
  <c r="J1866" i="26"/>
  <c r="J1865" i="26"/>
  <c r="M1865" i="26" s="1"/>
  <c r="M1864" i="26"/>
  <c r="J1864" i="26"/>
  <c r="J1863" i="26"/>
  <c r="M1863" i="26" s="1"/>
  <c r="M1862" i="26"/>
  <c r="J1862" i="26"/>
  <c r="J1861" i="26"/>
  <c r="M1861" i="26" s="1"/>
  <c r="M1860" i="26"/>
  <c r="J1860" i="26"/>
  <c r="J1859" i="26"/>
  <c r="M1859" i="26" s="1"/>
  <c r="M1858" i="26"/>
  <c r="J1858" i="26"/>
  <c r="J1857" i="26"/>
  <c r="M1857" i="26" s="1"/>
  <c r="M1856" i="26"/>
  <c r="J1856" i="26"/>
  <c r="J1855" i="26"/>
  <c r="M1855" i="26" s="1"/>
  <c r="M1854" i="26"/>
  <c r="J1854" i="26"/>
  <c r="J1853" i="26"/>
  <c r="M1853" i="26" s="1"/>
  <c r="M1852" i="26"/>
  <c r="J1852" i="26"/>
  <c r="J1851" i="26"/>
  <c r="M1851" i="26" s="1"/>
  <c r="M1850" i="26"/>
  <c r="J1850" i="26"/>
  <c r="J1849" i="26"/>
  <c r="M1849" i="26" s="1"/>
  <c r="M1848" i="26"/>
  <c r="J1848" i="26"/>
  <c r="J1847" i="26"/>
  <c r="M1847" i="26" s="1"/>
  <c r="M1846" i="26"/>
  <c r="J1846" i="26"/>
  <c r="J1845" i="26"/>
  <c r="M1845" i="26" s="1"/>
  <c r="M1844" i="26"/>
  <c r="J1844" i="26"/>
  <c r="J1843" i="26"/>
  <c r="M1843" i="26" s="1"/>
  <c r="M1842" i="26"/>
  <c r="J1842" i="26"/>
  <c r="J1841" i="26"/>
  <c r="M1841" i="26" s="1"/>
  <c r="M1840" i="26"/>
  <c r="J1840" i="26"/>
  <c r="J1839" i="26"/>
  <c r="M1839" i="26" s="1"/>
  <c r="M1838" i="26"/>
  <c r="J1838" i="26"/>
  <c r="J1837" i="26"/>
  <c r="M1837" i="26" s="1"/>
  <c r="M1836" i="26"/>
  <c r="J1836" i="26"/>
  <c r="J1835" i="26"/>
  <c r="M1835" i="26" s="1"/>
  <c r="M1834" i="26"/>
  <c r="J1834" i="26"/>
  <c r="J1833" i="26"/>
  <c r="M1833" i="26" s="1"/>
  <c r="M1832" i="26"/>
  <c r="J1832" i="26"/>
  <c r="J1831" i="26"/>
  <c r="M1831" i="26" s="1"/>
  <c r="M1830" i="26"/>
  <c r="J1830" i="26"/>
  <c r="J1829" i="26"/>
  <c r="M1829" i="26" s="1"/>
  <c r="M1828" i="26"/>
  <c r="J1828" i="26"/>
  <c r="J1827" i="26"/>
  <c r="M1827" i="26" s="1"/>
  <c r="M1826" i="26"/>
  <c r="J1826" i="26"/>
  <c r="J1825" i="26"/>
  <c r="M1825" i="26" s="1"/>
  <c r="M1824" i="26"/>
  <c r="J1824" i="26"/>
  <c r="J1823" i="26"/>
  <c r="M1823" i="26" s="1"/>
  <c r="M1822" i="26"/>
  <c r="J1822" i="26"/>
  <c r="J1821" i="26"/>
  <c r="M1821" i="26" s="1"/>
  <c r="M1820" i="26"/>
  <c r="J1820" i="26"/>
  <c r="J1819" i="26"/>
  <c r="M1819" i="26" s="1"/>
  <c r="M1818" i="26"/>
  <c r="J1818" i="26"/>
  <c r="J1817" i="26"/>
  <c r="M1817" i="26" s="1"/>
  <c r="M1816" i="26"/>
  <c r="J1816" i="26"/>
  <c r="J1815" i="26"/>
  <c r="M1815" i="26" s="1"/>
  <c r="M1814" i="26"/>
  <c r="J1814" i="26"/>
  <c r="J1813" i="26"/>
  <c r="M1813" i="26" s="1"/>
  <c r="M1812" i="26"/>
  <c r="J1812" i="26"/>
  <c r="J1811" i="26"/>
  <c r="M1811" i="26" s="1"/>
  <c r="M1810" i="26"/>
  <c r="J1810" i="26"/>
  <c r="J1809" i="26"/>
  <c r="M1809" i="26" s="1"/>
  <c r="M1808" i="26"/>
  <c r="J1808" i="26"/>
  <c r="J1807" i="26"/>
  <c r="M1807" i="26" s="1"/>
  <c r="M1806" i="26"/>
  <c r="J1806" i="26"/>
  <c r="J1805" i="26"/>
  <c r="M1805" i="26" s="1"/>
  <c r="M1804" i="26"/>
  <c r="J1804" i="26"/>
  <c r="J1803" i="26"/>
  <c r="M1803" i="26" s="1"/>
  <c r="M1802" i="26"/>
  <c r="J1802" i="26"/>
  <c r="J1801" i="26"/>
  <c r="M1801" i="26" s="1"/>
  <c r="M1800" i="26"/>
  <c r="J1800" i="26"/>
  <c r="J1799" i="26"/>
  <c r="M1799" i="26" s="1"/>
  <c r="M1798" i="26"/>
  <c r="J1798" i="26"/>
  <c r="J1797" i="26"/>
  <c r="M1797" i="26" s="1"/>
  <c r="M1796" i="26"/>
  <c r="J1796" i="26"/>
  <c r="J1795" i="26"/>
  <c r="M1795" i="26" s="1"/>
  <c r="M1794" i="26"/>
  <c r="J1794" i="26"/>
  <c r="J1793" i="26"/>
  <c r="M1793" i="26" s="1"/>
  <c r="M1792" i="26"/>
  <c r="J1792" i="26"/>
  <c r="J1791" i="26"/>
  <c r="M1791" i="26" s="1"/>
  <c r="M1790" i="26"/>
  <c r="J1790" i="26"/>
  <c r="J1789" i="26"/>
  <c r="M1789" i="26" s="1"/>
  <c r="M1788" i="26"/>
  <c r="J1788" i="26"/>
  <c r="J1787" i="26"/>
  <c r="M1787" i="26" s="1"/>
  <c r="M1786" i="26"/>
  <c r="J1786" i="26"/>
  <c r="J1785" i="26"/>
  <c r="M1785" i="26" s="1"/>
  <c r="M1784" i="26"/>
  <c r="J1784" i="26"/>
  <c r="J1783" i="26"/>
  <c r="M1783" i="26" s="1"/>
  <c r="M1782" i="26"/>
  <c r="J1782" i="26"/>
  <c r="J1781" i="26"/>
  <c r="M1781" i="26" s="1"/>
  <c r="M1780" i="26"/>
  <c r="J1780" i="26"/>
  <c r="J1779" i="26"/>
  <c r="M1779" i="26" s="1"/>
  <c r="M1778" i="26"/>
  <c r="J1778" i="26"/>
  <c r="J1777" i="26"/>
  <c r="M1777" i="26" s="1"/>
  <c r="M1776" i="26"/>
  <c r="J1776" i="26"/>
  <c r="J1775" i="26"/>
  <c r="M1775" i="26" s="1"/>
  <c r="M1774" i="26"/>
  <c r="J1774" i="26"/>
  <c r="J1773" i="26"/>
  <c r="M1773" i="26" s="1"/>
  <c r="M1772" i="26"/>
  <c r="J1772" i="26"/>
  <c r="J1771" i="26"/>
  <c r="M1771" i="26" s="1"/>
  <c r="M1770" i="26"/>
  <c r="J1770" i="26"/>
  <c r="J1769" i="26"/>
  <c r="M1769" i="26" s="1"/>
  <c r="M1768" i="26"/>
  <c r="J1768" i="26"/>
  <c r="J1767" i="26"/>
  <c r="M1767" i="26" s="1"/>
  <c r="M1766" i="26"/>
  <c r="J1766" i="26"/>
  <c r="J1765" i="26"/>
  <c r="M1765" i="26" s="1"/>
  <c r="M1764" i="26"/>
  <c r="J1764" i="26"/>
  <c r="J1763" i="26"/>
  <c r="M1763" i="26" s="1"/>
  <c r="M1762" i="26"/>
  <c r="J1762" i="26"/>
  <c r="J1761" i="26"/>
  <c r="M1761" i="26" s="1"/>
  <c r="M1760" i="26"/>
  <c r="J1760" i="26"/>
  <c r="J1759" i="26"/>
  <c r="M1759" i="26" s="1"/>
  <c r="M1758" i="26"/>
  <c r="J1758" i="26"/>
  <c r="J1757" i="26"/>
  <c r="M1757" i="26" s="1"/>
  <c r="M1756" i="26"/>
  <c r="J1756" i="26"/>
  <c r="J1755" i="26"/>
  <c r="M1755" i="26" s="1"/>
  <c r="M1754" i="26"/>
  <c r="J1754" i="26"/>
  <c r="J1753" i="26"/>
  <c r="M1753" i="26" s="1"/>
  <c r="M1752" i="26"/>
  <c r="J1752" i="26"/>
  <c r="J1751" i="26"/>
  <c r="M1751" i="26" s="1"/>
  <c r="M1750" i="26"/>
  <c r="J1750" i="26"/>
  <c r="J1749" i="26"/>
  <c r="M1749" i="26" s="1"/>
  <c r="M1748" i="26"/>
  <c r="J1748" i="26"/>
  <c r="J1747" i="26"/>
  <c r="M1747" i="26" s="1"/>
  <c r="M1746" i="26"/>
  <c r="J1746" i="26"/>
  <c r="J1745" i="26"/>
  <c r="M1745" i="26" s="1"/>
  <c r="M1744" i="26"/>
  <c r="J1744" i="26"/>
  <c r="J1743" i="26"/>
  <c r="M1743" i="26" s="1"/>
  <c r="M1742" i="26"/>
  <c r="J1742" i="26"/>
  <c r="J1741" i="26"/>
  <c r="M1741" i="26" s="1"/>
  <c r="M1740" i="26"/>
  <c r="J1740" i="26"/>
  <c r="J1739" i="26"/>
  <c r="M1739" i="26" s="1"/>
  <c r="M1738" i="26"/>
  <c r="J1738" i="26"/>
  <c r="J1737" i="26"/>
  <c r="M1737" i="26" s="1"/>
  <c r="J1736" i="26"/>
  <c r="M1736" i="26" s="1"/>
  <c r="J1735" i="26"/>
  <c r="M1735" i="26" s="1"/>
  <c r="J1734" i="26"/>
  <c r="M1734" i="26" s="1"/>
  <c r="M1733" i="26"/>
  <c r="J1733" i="26"/>
  <c r="J1732" i="26"/>
  <c r="M1732" i="26" s="1"/>
  <c r="J1731" i="26"/>
  <c r="M1731" i="26" s="1"/>
  <c r="J1730" i="26"/>
  <c r="M1730" i="26" s="1"/>
  <c r="M1729" i="26"/>
  <c r="J1729" i="26"/>
  <c r="M1728" i="26"/>
  <c r="J1728" i="26"/>
  <c r="M1727" i="26"/>
  <c r="J1727" i="26"/>
  <c r="J1726" i="26"/>
  <c r="M1726" i="26" s="1"/>
  <c r="J1725" i="26"/>
  <c r="M1725" i="26" s="1"/>
  <c r="M1724" i="26"/>
  <c r="J1724" i="26"/>
  <c r="J1723" i="26"/>
  <c r="M1723" i="26" s="1"/>
  <c r="J1722" i="26"/>
  <c r="M1722" i="26" s="1"/>
  <c r="M1721" i="26"/>
  <c r="J1721" i="26"/>
  <c r="M1720" i="26"/>
  <c r="J1720" i="26"/>
  <c r="M1719" i="26"/>
  <c r="J1719" i="26"/>
  <c r="J1718" i="26"/>
  <c r="M1718" i="26" s="1"/>
  <c r="M1717" i="26"/>
  <c r="J1717" i="26"/>
  <c r="J1716" i="26"/>
  <c r="M1716" i="26" s="1"/>
  <c r="M1715" i="26"/>
  <c r="J1715" i="26"/>
  <c r="J1714" i="26"/>
  <c r="M1714" i="26" s="1"/>
  <c r="J1713" i="26"/>
  <c r="M1713" i="26" s="1"/>
  <c r="M1712" i="26"/>
  <c r="J1712" i="26"/>
  <c r="J1711" i="26"/>
  <c r="M1711" i="26" s="1"/>
  <c r="J1710" i="26"/>
  <c r="M1710" i="26" s="1"/>
  <c r="J1709" i="26"/>
  <c r="M1709" i="26" s="1"/>
  <c r="J1708" i="26"/>
  <c r="M1708" i="26" s="1"/>
  <c r="J1707" i="26"/>
  <c r="M1707" i="26" s="1"/>
  <c r="J1706" i="26"/>
  <c r="M1706" i="26" s="1"/>
  <c r="M1705" i="26"/>
  <c r="J1705" i="26"/>
  <c r="M1704" i="26"/>
  <c r="J1704" i="26"/>
  <c r="M1703" i="26"/>
  <c r="J1703" i="26"/>
  <c r="J1702" i="26"/>
  <c r="M1702" i="26" s="1"/>
  <c r="M1701" i="26"/>
  <c r="J1701" i="26"/>
  <c r="J1700" i="26"/>
  <c r="M1700" i="26" s="1"/>
  <c r="M1699" i="26"/>
  <c r="J1699" i="26"/>
  <c r="J1698" i="26"/>
  <c r="M1698" i="26" s="1"/>
  <c r="M1697" i="26"/>
  <c r="J1697" i="26"/>
  <c r="M1696" i="26"/>
  <c r="J1696" i="26"/>
  <c r="M1695" i="26"/>
  <c r="J1695" i="26"/>
  <c r="J1694" i="26"/>
  <c r="M1694" i="26" s="1"/>
  <c r="J1693" i="26"/>
  <c r="M1693" i="26" s="1"/>
  <c r="M1692" i="26"/>
  <c r="J1692" i="26"/>
  <c r="J1691" i="26"/>
  <c r="M1691" i="26" s="1"/>
  <c r="J1690" i="26"/>
  <c r="M1690" i="26" s="1"/>
  <c r="M1689" i="26"/>
  <c r="J1689" i="26"/>
  <c r="M1688" i="26"/>
  <c r="J1688" i="26"/>
  <c r="M1687" i="26"/>
  <c r="J1687" i="26"/>
  <c r="J1686" i="26"/>
  <c r="M1686" i="26" s="1"/>
  <c r="J1685" i="26"/>
  <c r="M1685" i="26" s="1"/>
  <c r="J1684" i="26"/>
  <c r="M1684" i="26" s="1"/>
  <c r="J1683" i="26"/>
  <c r="M1683" i="26" s="1"/>
  <c r="J1682" i="26"/>
  <c r="M1682" i="26" s="1"/>
  <c r="J1681" i="26"/>
  <c r="M1681" i="26" s="1"/>
  <c r="J1680" i="26"/>
  <c r="M1680" i="26" s="1"/>
  <c r="J1679" i="26"/>
  <c r="M1679" i="26" s="1"/>
  <c r="J1678" i="26"/>
  <c r="M1678" i="26" s="1"/>
  <c r="J1677" i="26"/>
  <c r="M1677" i="26" s="1"/>
  <c r="J1676" i="26"/>
  <c r="M1676" i="26" s="1"/>
  <c r="J1675" i="26"/>
  <c r="M1675" i="26" s="1"/>
  <c r="J1674" i="26"/>
  <c r="M1674" i="26" s="1"/>
  <c r="J1673" i="26"/>
  <c r="M1673" i="26" s="1"/>
  <c r="J1672" i="26"/>
  <c r="M1672" i="26" s="1"/>
  <c r="J1671" i="26"/>
  <c r="M1671" i="26" s="1"/>
  <c r="J1670" i="26"/>
  <c r="M1670" i="26" s="1"/>
  <c r="J1669" i="26"/>
  <c r="M1669" i="26" s="1"/>
  <c r="J1668" i="26"/>
  <c r="M1668" i="26" s="1"/>
  <c r="J1667" i="26"/>
  <c r="M1667" i="26" s="1"/>
  <c r="J1666" i="26"/>
  <c r="M1666" i="26" s="1"/>
  <c r="J1665" i="26"/>
  <c r="M1665" i="26" s="1"/>
  <c r="J1664" i="26"/>
  <c r="M1664" i="26" s="1"/>
  <c r="J1663" i="26"/>
  <c r="M1663" i="26" s="1"/>
  <c r="J1662" i="26"/>
  <c r="M1662" i="26" s="1"/>
  <c r="J1661" i="26"/>
  <c r="M1661" i="26" s="1"/>
  <c r="J1660" i="26"/>
  <c r="M1660" i="26" s="1"/>
  <c r="J1659" i="26"/>
  <c r="M1659" i="26" s="1"/>
  <c r="J1658" i="26"/>
  <c r="M1658" i="26" s="1"/>
  <c r="J1657" i="26"/>
  <c r="M1657" i="26" s="1"/>
  <c r="J1656" i="26"/>
  <c r="M1656" i="26" s="1"/>
  <c r="J1655" i="26"/>
  <c r="M1655" i="26" s="1"/>
  <c r="J1654" i="26"/>
  <c r="M1654" i="26" s="1"/>
  <c r="J1653" i="26"/>
  <c r="M1653" i="26" s="1"/>
  <c r="J1652" i="26"/>
  <c r="M1652" i="26" s="1"/>
  <c r="J1651" i="26"/>
  <c r="M1651" i="26" s="1"/>
  <c r="J1650" i="26"/>
  <c r="M1650" i="26" s="1"/>
  <c r="J1649" i="26"/>
  <c r="M1649" i="26" s="1"/>
  <c r="J1648" i="26"/>
  <c r="M1648" i="26" s="1"/>
  <c r="J1647" i="26"/>
  <c r="M1647" i="26" s="1"/>
  <c r="J1646" i="26"/>
  <c r="M1646" i="26" s="1"/>
  <c r="J1645" i="26"/>
  <c r="M1645" i="26" s="1"/>
  <c r="J1644" i="26"/>
  <c r="M1644" i="26" s="1"/>
  <c r="J1643" i="26"/>
  <c r="M1643" i="26" s="1"/>
  <c r="J1642" i="26"/>
  <c r="M1642" i="26" s="1"/>
  <c r="J1641" i="26"/>
  <c r="M1641" i="26" s="1"/>
  <c r="J1640" i="26"/>
  <c r="M1640" i="26" s="1"/>
  <c r="J1639" i="26"/>
  <c r="M1639" i="26" s="1"/>
  <c r="J1638" i="26"/>
  <c r="M1638" i="26" s="1"/>
  <c r="J1637" i="26"/>
  <c r="M1637" i="26" s="1"/>
  <c r="J1636" i="26"/>
  <c r="M1636" i="26" s="1"/>
  <c r="J1635" i="26"/>
  <c r="M1635" i="26" s="1"/>
  <c r="J1634" i="26"/>
  <c r="M1634" i="26" s="1"/>
  <c r="J1633" i="26"/>
  <c r="M1633" i="26" s="1"/>
  <c r="J1632" i="26"/>
  <c r="M1632" i="26" s="1"/>
  <c r="J1631" i="26"/>
  <c r="M1631" i="26" s="1"/>
  <c r="J1630" i="26"/>
  <c r="M1630" i="26" s="1"/>
  <c r="J1629" i="26"/>
  <c r="M1629" i="26" s="1"/>
  <c r="J1628" i="26"/>
  <c r="M1628" i="26" s="1"/>
  <c r="J1627" i="26"/>
  <c r="M1627" i="26" s="1"/>
  <c r="J1626" i="26"/>
  <c r="M1626" i="26" s="1"/>
  <c r="J1625" i="26"/>
  <c r="M1625" i="26" s="1"/>
  <c r="J1624" i="26"/>
  <c r="M1624" i="26" s="1"/>
  <c r="J1623" i="26"/>
  <c r="M1623" i="26" s="1"/>
  <c r="J1622" i="26"/>
  <c r="M1622" i="26" s="1"/>
  <c r="J1621" i="26"/>
  <c r="M1621" i="26" s="1"/>
  <c r="J1620" i="26"/>
  <c r="M1620" i="26" s="1"/>
  <c r="J1619" i="26"/>
  <c r="M1619" i="26" s="1"/>
  <c r="J1618" i="26"/>
  <c r="M1618" i="26" s="1"/>
  <c r="J1617" i="26"/>
  <c r="M1617" i="26" s="1"/>
  <c r="J1616" i="26"/>
  <c r="M1616" i="26" s="1"/>
  <c r="J1615" i="26"/>
  <c r="M1615" i="26" s="1"/>
  <c r="J1614" i="26"/>
  <c r="M1614" i="26" s="1"/>
  <c r="J1613" i="26"/>
  <c r="M1613" i="26" s="1"/>
  <c r="J1612" i="26"/>
  <c r="M1612" i="26" s="1"/>
  <c r="J1611" i="26"/>
  <c r="M1611" i="26" s="1"/>
  <c r="J1610" i="26"/>
  <c r="M1610" i="26" s="1"/>
  <c r="J1609" i="26"/>
  <c r="M1609" i="26" s="1"/>
  <c r="J1608" i="26"/>
  <c r="M1608" i="26" s="1"/>
  <c r="J1607" i="26"/>
  <c r="M1607" i="26" s="1"/>
  <c r="J1606" i="26"/>
  <c r="M1606" i="26" s="1"/>
  <c r="J1605" i="26"/>
  <c r="M1605" i="26" s="1"/>
  <c r="J1604" i="26"/>
  <c r="M1604" i="26" s="1"/>
  <c r="J1603" i="26"/>
  <c r="M1603" i="26" s="1"/>
  <c r="J1602" i="26"/>
  <c r="M1602" i="26" s="1"/>
  <c r="J1601" i="26"/>
  <c r="M1601" i="26" s="1"/>
  <c r="J1600" i="26"/>
  <c r="M1600" i="26" s="1"/>
  <c r="J1599" i="26"/>
  <c r="M1599" i="26" s="1"/>
  <c r="J1598" i="26"/>
  <c r="M1598" i="26" s="1"/>
  <c r="J1597" i="26"/>
  <c r="M1597" i="26" s="1"/>
  <c r="J1596" i="26"/>
  <c r="M1596" i="26" s="1"/>
  <c r="J1595" i="26"/>
  <c r="M1595" i="26" s="1"/>
  <c r="J1594" i="26"/>
  <c r="M1594" i="26" s="1"/>
  <c r="J1593" i="26"/>
  <c r="M1593" i="26" s="1"/>
  <c r="J1592" i="26"/>
  <c r="M1592" i="26" s="1"/>
  <c r="J1591" i="26"/>
  <c r="M1591" i="26" s="1"/>
  <c r="J1590" i="26"/>
  <c r="M1590" i="26" s="1"/>
  <c r="J1589" i="26"/>
  <c r="M1589" i="26" s="1"/>
  <c r="J1588" i="26"/>
  <c r="M1588" i="26" s="1"/>
  <c r="J1587" i="26"/>
  <c r="M1587" i="26" s="1"/>
  <c r="J1586" i="26"/>
  <c r="M1586" i="26" s="1"/>
  <c r="J1585" i="26"/>
  <c r="M1585" i="26" s="1"/>
  <c r="J1584" i="26"/>
  <c r="M1584" i="26" s="1"/>
  <c r="J1583" i="26"/>
  <c r="M1583" i="26" s="1"/>
  <c r="J1582" i="26"/>
  <c r="M1582" i="26" s="1"/>
  <c r="J1581" i="26"/>
  <c r="M1581" i="26" s="1"/>
  <c r="J1580" i="26"/>
  <c r="M1580" i="26" s="1"/>
  <c r="J1579" i="26"/>
  <c r="M1579" i="26" s="1"/>
  <c r="J1578" i="26"/>
  <c r="M1578" i="26" s="1"/>
  <c r="J1577" i="26"/>
  <c r="M1577" i="26" s="1"/>
  <c r="J1576" i="26"/>
  <c r="M1576" i="26" s="1"/>
  <c r="J1575" i="26"/>
  <c r="M1575" i="26" s="1"/>
  <c r="J1574" i="26"/>
  <c r="M1574" i="26" s="1"/>
  <c r="J1573" i="26"/>
  <c r="M1573" i="26" s="1"/>
  <c r="J1572" i="26"/>
  <c r="M1572" i="26" s="1"/>
  <c r="J1571" i="26"/>
  <c r="M1571" i="26" s="1"/>
  <c r="J1570" i="26"/>
  <c r="M1570" i="26" s="1"/>
  <c r="J1569" i="26"/>
  <c r="M1569" i="26" s="1"/>
  <c r="J1568" i="26"/>
  <c r="M1568" i="26" s="1"/>
  <c r="J1567" i="26"/>
  <c r="M1567" i="26" s="1"/>
  <c r="J1566" i="26"/>
  <c r="M1566" i="26" s="1"/>
  <c r="J1565" i="26"/>
  <c r="M1565" i="26" s="1"/>
  <c r="J1564" i="26"/>
  <c r="M1564" i="26" s="1"/>
  <c r="J1563" i="26"/>
  <c r="M1563" i="26" s="1"/>
  <c r="J1562" i="26"/>
  <c r="M1562" i="26" s="1"/>
  <c r="J1561" i="26"/>
  <c r="M1561" i="26" s="1"/>
  <c r="J1560" i="26"/>
  <c r="M1560" i="26" s="1"/>
  <c r="J1559" i="26"/>
  <c r="M1559" i="26" s="1"/>
  <c r="J1558" i="26"/>
  <c r="M1558" i="26" s="1"/>
  <c r="J1557" i="26"/>
  <c r="M1557" i="26" s="1"/>
  <c r="J1556" i="26"/>
  <c r="M1556" i="26" s="1"/>
  <c r="J1555" i="26"/>
  <c r="M1555" i="26" s="1"/>
  <c r="J1554" i="26"/>
  <c r="M1554" i="26" s="1"/>
  <c r="J1553" i="26"/>
  <c r="M1553" i="26" s="1"/>
  <c r="J1552" i="26"/>
  <c r="M1552" i="26" s="1"/>
  <c r="J1551" i="26"/>
  <c r="M1551" i="26" s="1"/>
  <c r="J1550" i="26"/>
  <c r="M1550" i="26" s="1"/>
  <c r="J1549" i="26"/>
  <c r="M1549" i="26" s="1"/>
  <c r="J1548" i="26"/>
  <c r="M1548" i="26" s="1"/>
  <c r="J1547" i="26"/>
  <c r="M1547" i="26" s="1"/>
  <c r="J1546" i="26"/>
  <c r="M1546" i="26" s="1"/>
  <c r="J1545" i="26"/>
  <c r="M1545" i="26" s="1"/>
  <c r="J1544" i="26"/>
  <c r="M1544" i="26" s="1"/>
  <c r="J1543" i="26"/>
  <c r="M1543" i="26" s="1"/>
  <c r="J1542" i="26"/>
  <c r="M1542" i="26" s="1"/>
  <c r="J1541" i="26"/>
  <c r="M1541" i="26" s="1"/>
  <c r="J1540" i="26"/>
  <c r="M1540" i="26" s="1"/>
  <c r="J1539" i="26"/>
  <c r="M1539" i="26" s="1"/>
  <c r="J1538" i="26"/>
  <c r="M1538" i="26" s="1"/>
  <c r="J1537" i="26"/>
  <c r="M1537" i="26" s="1"/>
  <c r="J1536" i="26"/>
  <c r="M1535" i="26"/>
  <c r="M1534" i="26"/>
  <c r="M1533" i="26"/>
  <c r="M1532" i="26"/>
  <c r="M1531" i="26"/>
  <c r="M1530" i="26"/>
  <c r="M1529" i="26"/>
  <c r="M1528" i="26"/>
  <c r="M1527" i="26"/>
  <c r="M1526" i="26"/>
  <c r="M1525" i="26"/>
  <c r="M1524" i="26"/>
  <c r="M1523" i="26"/>
  <c r="M1522" i="26"/>
  <c r="M1521" i="26"/>
  <c r="M1520" i="26"/>
  <c r="M1519" i="26"/>
  <c r="M1518" i="26"/>
  <c r="M1517" i="26"/>
  <c r="M1516" i="26"/>
  <c r="M1515" i="26"/>
  <c r="M1514" i="26"/>
  <c r="M1513" i="26"/>
  <c r="M1512" i="26"/>
  <c r="M1511" i="26"/>
  <c r="O1510" i="26"/>
  <c r="N1510" i="26"/>
  <c r="O1509" i="26"/>
  <c r="N1509" i="26"/>
  <c r="O1508" i="26"/>
  <c r="N1508" i="26"/>
  <c r="O1507" i="26"/>
  <c r="N1507" i="26"/>
  <c r="O1506" i="26"/>
  <c r="N1506" i="26"/>
  <c r="O1505" i="26"/>
  <c r="N1505" i="26"/>
  <c r="O1504" i="26"/>
  <c r="N1504" i="26"/>
  <c r="O1503" i="26"/>
  <c r="N1503" i="26"/>
  <c r="O1502" i="26"/>
  <c r="N1502" i="26"/>
  <c r="O1501" i="26"/>
  <c r="N1501" i="26"/>
  <c r="O1500" i="26"/>
  <c r="N1500" i="26"/>
  <c r="O1499" i="26"/>
  <c r="N1499" i="26"/>
  <c r="O1498" i="26"/>
  <c r="N1498" i="26"/>
  <c r="O1497" i="26"/>
  <c r="N1497" i="26"/>
  <c r="O1496" i="26"/>
  <c r="N1496" i="26"/>
  <c r="O1495" i="26"/>
  <c r="N1495" i="26"/>
  <c r="O1494" i="26"/>
  <c r="N1494" i="26"/>
  <c r="O1493" i="26"/>
  <c r="N1493" i="26"/>
  <c r="O1492" i="26"/>
  <c r="N1492" i="26"/>
  <c r="O1491" i="26"/>
  <c r="N1491" i="26"/>
  <c r="O1490" i="26"/>
  <c r="N1490" i="26"/>
  <c r="O1489" i="26"/>
  <c r="N1489" i="26"/>
  <c r="O1488" i="26"/>
  <c r="N1488" i="26"/>
  <c r="O1487" i="26"/>
  <c r="N1487" i="26"/>
  <c r="O1486" i="26"/>
  <c r="N1486" i="26"/>
  <c r="O1485" i="26"/>
  <c r="N1485" i="26"/>
  <c r="M1484" i="26"/>
  <c r="M1483" i="26"/>
  <c r="M1482" i="26"/>
  <c r="M1481" i="26"/>
  <c r="M1480" i="26"/>
  <c r="M1479" i="26"/>
  <c r="M1478" i="26"/>
  <c r="M1477" i="26"/>
  <c r="M1476" i="26"/>
  <c r="M1475" i="26"/>
  <c r="M1474" i="26"/>
  <c r="M1473" i="26"/>
  <c r="M1472" i="26"/>
  <c r="M1471" i="26"/>
  <c r="M1470" i="26"/>
  <c r="M1469" i="26"/>
  <c r="M1468" i="26"/>
  <c r="M1467" i="26"/>
  <c r="M1466" i="26"/>
  <c r="M1465" i="26"/>
  <c r="M1464" i="26"/>
  <c r="M1463" i="26"/>
  <c r="M1462" i="26"/>
  <c r="M1461" i="26"/>
  <c r="M1460" i="26"/>
  <c r="M1459" i="26"/>
  <c r="M1458" i="26"/>
  <c r="M1457" i="26"/>
  <c r="M1456" i="26"/>
  <c r="M1455" i="26"/>
  <c r="M1454" i="26"/>
  <c r="M1453" i="26"/>
  <c r="M1452" i="26"/>
  <c r="M1451" i="26"/>
  <c r="M1450" i="26"/>
  <c r="M1449" i="26"/>
  <c r="M1448" i="26"/>
  <c r="M1447" i="26"/>
  <c r="M1446" i="26"/>
  <c r="M1445" i="26"/>
  <c r="M1444" i="26"/>
  <c r="M1443" i="26"/>
  <c r="M1442" i="26"/>
  <c r="M1441" i="26"/>
  <c r="M1440" i="26"/>
  <c r="M1439" i="26"/>
  <c r="M1438" i="26"/>
  <c r="M1437" i="26"/>
  <c r="M1436" i="26"/>
  <c r="M1435" i="26"/>
  <c r="M1434" i="26"/>
  <c r="M1433" i="26"/>
  <c r="M1432" i="26"/>
  <c r="O1431" i="26"/>
  <c r="N1431" i="26"/>
  <c r="O1430" i="26"/>
  <c r="N1430" i="26"/>
  <c r="O1429" i="26"/>
  <c r="N1429" i="26"/>
  <c r="O1428" i="26"/>
  <c r="N1428" i="26"/>
  <c r="O1427" i="26"/>
  <c r="N1427" i="26"/>
  <c r="O1426" i="26"/>
  <c r="N1426" i="26"/>
  <c r="O1425" i="26"/>
  <c r="N1425" i="26"/>
  <c r="O1424" i="26"/>
  <c r="N1424" i="26"/>
  <c r="O1423" i="26"/>
  <c r="N1423" i="26"/>
  <c r="O1422" i="26"/>
  <c r="N1422" i="26"/>
  <c r="O1421" i="26"/>
  <c r="N1421" i="26"/>
  <c r="O1420" i="26"/>
  <c r="N1420" i="26"/>
  <c r="O1419" i="26"/>
  <c r="N1419" i="26"/>
  <c r="O1418" i="26"/>
  <c r="N1418" i="26"/>
  <c r="O1417" i="26"/>
  <c r="N1417" i="26"/>
  <c r="O1416" i="26"/>
  <c r="N1416" i="26"/>
  <c r="O1415" i="26"/>
  <c r="N1415" i="26"/>
  <c r="O1414" i="26"/>
  <c r="N1414" i="26"/>
  <c r="O1413" i="26"/>
  <c r="N1413" i="26"/>
  <c r="O1412" i="26"/>
  <c r="N1412" i="26"/>
  <c r="O1411" i="26"/>
  <c r="N1411" i="26"/>
  <c r="O1410" i="26"/>
  <c r="N1410" i="26"/>
  <c r="O1409" i="26"/>
  <c r="N1409" i="26"/>
  <c r="O1408" i="26"/>
  <c r="N1408" i="26"/>
  <c r="O1407" i="26"/>
  <c r="N1407" i="26"/>
  <c r="O1406" i="26"/>
  <c r="N1406" i="26"/>
  <c r="O1405" i="26"/>
  <c r="N1405" i="26"/>
  <c r="O1404" i="26"/>
  <c r="N1404" i="26"/>
  <c r="O1403" i="26"/>
  <c r="N1403" i="26"/>
  <c r="M1402" i="26"/>
  <c r="M1401" i="26"/>
  <c r="M1400" i="26"/>
  <c r="M1399" i="26"/>
  <c r="M1398" i="26"/>
  <c r="M1397" i="26"/>
  <c r="M1396" i="26"/>
  <c r="M1395" i="26"/>
  <c r="M1394" i="26"/>
  <c r="M1393" i="26"/>
  <c r="M1392" i="26"/>
  <c r="M1391" i="26"/>
  <c r="M1390" i="26"/>
  <c r="M1389" i="26"/>
  <c r="M1388" i="26"/>
  <c r="M1387" i="26"/>
  <c r="M1386" i="26"/>
  <c r="M1385" i="26"/>
  <c r="M1384" i="26"/>
  <c r="M1383" i="26"/>
  <c r="M1382" i="26"/>
  <c r="M1381" i="26"/>
  <c r="M1380" i="26"/>
  <c r="M1379" i="26"/>
  <c r="M1378" i="26"/>
  <c r="M1377" i="26"/>
  <c r="M1376" i="26"/>
  <c r="M1375" i="26"/>
  <c r="M1374" i="26"/>
  <c r="O1373" i="26"/>
  <c r="N1373" i="26"/>
  <c r="O1372" i="26"/>
  <c r="N1372" i="26"/>
  <c r="O1371" i="26"/>
  <c r="N1371" i="26"/>
  <c r="O1370" i="26"/>
  <c r="N1370" i="26"/>
  <c r="M1369" i="26"/>
  <c r="M1368" i="26"/>
  <c r="M1367" i="26"/>
  <c r="M1366" i="26"/>
  <c r="M1365" i="26"/>
  <c r="M1364" i="26"/>
  <c r="M1363" i="26"/>
  <c r="M1362" i="26"/>
  <c r="M1361" i="26"/>
  <c r="M1360" i="26"/>
  <c r="M1359" i="26"/>
  <c r="M1358" i="26"/>
  <c r="M1357" i="26"/>
  <c r="M1356" i="26"/>
  <c r="J1355" i="26"/>
  <c r="M1355" i="26" s="1"/>
  <c r="J1354" i="26"/>
  <c r="M1354" i="26" s="1"/>
  <c r="J1353" i="26"/>
  <c r="M1353" i="26" s="1"/>
  <c r="J1352" i="26"/>
  <c r="M1352" i="26" s="1"/>
  <c r="J1351" i="26"/>
  <c r="M1351" i="26" s="1"/>
  <c r="J1350" i="26"/>
  <c r="M1350" i="26" s="1"/>
  <c r="J1349" i="26"/>
  <c r="M1349" i="26" s="1"/>
  <c r="J1348" i="26"/>
  <c r="M1348" i="26" s="1"/>
  <c r="J1347" i="26"/>
  <c r="M1347" i="26" s="1"/>
  <c r="J1346" i="26"/>
  <c r="M1346" i="26" s="1"/>
  <c r="J1345" i="26"/>
  <c r="M1345" i="26" s="1"/>
  <c r="J1344" i="26"/>
  <c r="M1344" i="26" s="1"/>
  <c r="J1343" i="26"/>
  <c r="M1343" i="26" s="1"/>
  <c r="J1342" i="26"/>
  <c r="M1342" i="26" s="1"/>
  <c r="J1341" i="26"/>
  <c r="M1341" i="26" s="1"/>
  <c r="J1340" i="26"/>
  <c r="M1340" i="26" s="1"/>
  <c r="J1339" i="26"/>
  <c r="M1339" i="26" s="1"/>
  <c r="J1338" i="26"/>
  <c r="M1338" i="26" s="1"/>
  <c r="J1337" i="26"/>
  <c r="M1337" i="26" s="1"/>
  <c r="L1336" i="26"/>
  <c r="O1336" i="26" s="1"/>
  <c r="K1336" i="26"/>
  <c r="N1336" i="26" s="1"/>
  <c r="L1335" i="26"/>
  <c r="O1335" i="26" s="1"/>
  <c r="K1335" i="26"/>
  <c r="N1335" i="26" s="1"/>
  <c r="N1334" i="26"/>
  <c r="L1334" i="26"/>
  <c r="O1334" i="26" s="1"/>
  <c r="K1334" i="26"/>
  <c r="N1333" i="26"/>
  <c r="L1333" i="26"/>
  <c r="O1333" i="26" s="1"/>
  <c r="K1333" i="26"/>
  <c r="L1332" i="26"/>
  <c r="O1332" i="26" s="1"/>
  <c r="K1332" i="26"/>
  <c r="N1332" i="26" s="1"/>
  <c r="N1331" i="26"/>
  <c r="L1331" i="26"/>
  <c r="O1331" i="26" s="1"/>
  <c r="K1331" i="26"/>
  <c r="N1330" i="26"/>
  <c r="L1330" i="26"/>
  <c r="O1330" i="26" s="1"/>
  <c r="K1330" i="26"/>
  <c r="L1329" i="26"/>
  <c r="O1329" i="26" s="1"/>
  <c r="K1329" i="26"/>
  <c r="N1329" i="26" s="1"/>
  <c r="L1328" i="26"/>
  <c r="O1328" i="26" s="1"/>
  <c r="K1328" i="26"/>
  <c r="N1328" i="26" s="1"/>
  <c r="N1327" i="26"/>
  <c r="L1327" i="26"/>
  <c r="O1327" i="26" s="1"/>
  <c r="K1327" i="26"/>
  <c r="N1326" i="26"/>
  <c r="L1326" i="26"/>
  <c r="O1326" i="26" s="1"/>
  <c r="K1326" i="26"/>
  <c r="L1325" i="26"/>
  <c r="O1325" i="26" s="1"/>
  <c r="K1325" i="26"/>
  <c r="N1325" i="26" s="1"/>
  <c r="L1324" i="26"/>
  <c r="O1324" i="26" s="1"/>
  <c r="K1324" i="26"/>
  <c r="N1324" i="26" s="1"/>
  <c r="L1323" i="26"/>
  <c r="O1323" i="26" s="1"/>
  <c r="K1323" i="26"/>
  <c r="N1323" i="26" s="1"/>
  <c r="N1322" i="26"/>
  <c r="L1322" i="26"/>
  <c r="O1322" i="26" s="1"/>
  <c r="K1322" i="26"/>
  <c r="N1321" i="26"/>
  <c r="L1321" i="26"/>
  <c r="O1321" i="26" s="1"/>
  <c r="K1321" i="26"/>
  <c r="L1320" i="26"/>
  <c r="O1320" i="26" s="1"/>
  <c r="K1320" i="26"/>
  <c r="N1320" i="26" s="1"/>
  <c r="L1319" i="26"/>
  <c r="O1319" i="26" s="1"/>
  <c r="K1319" i="26"/>
  <c r="N1319" i="26" s="1"/>
  <c r="N1318" i="26"/>
  <c r="L1318" i="26"/>
  <c r="O1318" i="26" s="1"/>
  <c r="K1318" i="26"/>
  <c r="J1317" i="26"/>
  <c r="M1317" i="26" s="1"/>
  <c r="J1316" i="26"/>
  <c r="M1316" i="26" s="1"/>
  <c r="J1315" i="26"/>
  <c r="M1315" i="26" s="1"/>
  <c r="J1314" i="26"/>
  <c r="M1314" i="26" s="1"/>
  <c r="J1313" i="26"/>
  <c r="M1313" i="26" s="1"/>
  <c r="J1312" i="26"/>
  <c r="M1312" i="26" s="1"/>
  <c r="J1311" i="26"/>
  <c r="M1311" i="26" s="1"/>
  <c r="J1310" i="26"/>
  <c r="M1310" i="26" s="1"/>
  <c r="J1309" i="26"/>
  <c r="M1309" i="26" s="1"/>
  <c r="J1308" i="26"/>
  <c r="M1308" i="26" s="1"/>
  <c r="J1307" i="26"/>
  <c r="M1307" i="26" s="1"/>
  <c r="J1306" i="26"/>
  <c r="M1306" i="26" s="1"/>
  <c r="J1305" i="26"/>
  <c r="M1305" i="26" s="1"/>
  <c r="J1304" i="26"/>
  <c r="M1304" i="26" s="1"/>
  <c r="J1303" i="26"/>
  <c r="M1303" i="26" s="1"/>
  <c r="J1302" i="26"/>
  <c r="M1302" i="26" s="1"/>
  <c r="J1301" i="26"/>
  <c r="M1301" i="26" s="1"/>
  <c r="J1300" i="26"/>
  <c r="M1300" i="26" s="1"/>
  <c r="J1299" i="26"/>
  <c r="M1299" i="26" s="1"/>
  <c r="J1298" i="26"/>
  <c r="M1298" i="26" s="1"/>
  <c r="J1297" i="26"/>
  <c r="M1297" i="26" s="1"/>
  <c r="J1296" i="26"/>
  <c r="M1296" i="26" s="1"/>
  <c r="J1295" i="26"/>
  <c r="M1295" i="26" s="1"/>
  <c r="J1294" i="26"/>
  <c r="M1294" i="26" s="1"/>
  <c r="J1293" i="26"/>
  <c r="M1293" i="26" s="1"/>
  <c r="J1292" i="26"/>
  <c r="M1292" i="26" s="1"/>
  <c r="J1291" i="26"/>
  <c r="M1291" i="26" s="1"/>
  <c r="J1290" i="26"/>
  <c r="M1290" i="26" s="1"/>
  <c r="J1289" i="26"/>
  <c r="M1289" i="26" s="1"/>
  <c r="J1288" i="26"/>
  <c r="M1288" i="26" s="1"/>
  <c r="J1287" i="26"/>
  <c r="M1287" i="26" s="1"/>
  <c r="J1286" i="26"/>
  <c r="M1286" i="26" s="1"/>
  <c r="J1285" i="26"/>
  <c r="M1285" i="26" s="1"/>
  <c r="J1284" i="26"/>
  <c r="M1284" i="26" s="1"/>
  <c r="J1283" i="26"/>
  <c r="M1283" i="26" s="1"/>
  <c r="J1282" i="26"/>
  <c r="M1282" i="26" s="1"/>
  <c r="J1281" i="26"/>
  <c r="M1281" i="26" s="1"/>
  <c r="J1280" i="26"/>
  <c r="M1280" i="26" s="1"/>
  <c r="J1279" i="26"/>
  <c r="M1279" i="26" s="1"/>
  <c r="J1278" i="26"/>
  <c r="M1278" i="26" s="1"/>
  <c r="J1277" i="26"/>
  <c r="M1277" i="26" s="1"/>
  <c r="J1276" i="26"/>
  <c r="M1276" i="26" s="1"/>
  <c r="J1275" i="26"/>
  <c r="M1275" i="26" s="1"/>
  <c r="J1274" i="26"/>
  <c r="M1274" i="26" s="1"/>
  <c r="J1273" i="26"/>
  <c r="M1273" i="26" s="1"/>
  <c r="J1272" i="26"/>
  <c r="M1272" i="26" s="1"/>
  <c r="J1271" i="26"/>
  <c r="M1271" i="26" s="1"/>
  <c r="J1270" i="26"/>
  <c r="M1270" i="26" s="1"/>
  <c r="J1269" i="26"/>
  <c r="M1269" i="26" s="1"/>
  <c r="J1268" i="26"/>
  <c r="M1268" i="26" s="1"/>
  <c r="J1267" i="26"/>
  <c r="M1267" i="26" s="1"/>
  <c r="J1266" i="26"/>
  <c r="M1266" i="26" s="1"/>
  <c r="J1265" i="26"/>
  <c r="M1265" i="26" s="1"/>
  <c r="J1264" i="26"/>
  <c r="M1264" i="26" s="1"/>
  <c r="J1263" i="26"/>
  <c r="M1263" i="26" s="1"/>
  <c r="J1262" i="26"/>
  <c r="M1262" i="26" s="1"/>
  <c r="J1261" i="26"/>
  <c r="M1261" i="26" s="1"/>
  <c r="J1260" i="26"/>
  <c r="M1260" i="26" s="1"/>
  <c r="J1259" i="26"/>
  <c r="M1259" i="26" s="1"/>
  <c r="J1258" i="26"/>
  <c r="M1258" i="26" s="1"/>
  <c r="J1257" i="26"/>
  <c r="M1257" i="26" s="1"/>
  <c r="J1256" i="26"/>
  <c r="M1256" i="26" s="1"/>
  <c r="J1255" i="26"/>
  <c r="M1255" i="26" s="1"/>
  <c r="J1254" i="26"/>
  <c r="M1254" i="26" s="1"/>
  <c r="J1253" i="26"/>
  <c r="M1253" i="26" s="1"/>
  <c r="J1252" i="26"/>
  <c r="M1252" i="26" s="1"/>
  <c r="J1251" i="26"/>
  <c r="M1251" i="26" s="1"/>
  <c r="J1250" i="26"/>
  <c r="M1250" i="26" s="1"/>
  <c r="J1249" i="26"/>
  <c r="M1249" i="26" s="1"/>
  <c r="J1248" i="26"/>
  <c r="M1248" i="26" s="1"/>
  <c r="L1247" i="26"/>
  <c r="O1247" i="26" s="1"/>
  <c r="K1247" i="26"/>
  <c r="N1247" i="26" s="1"/>
  <c r="N1246" i="26"/>
  <c r="L1246" i="26"/>
  <c r="O1246" i="26" s="1"/>
  <c r="K1246" i="26"/>
  <c r="N1245" i="26"/>
  <c r="L1245" i="26"/>
  <c r="O1245" i="26" s="1"/>
  <c r="K1245" i="26"/>
  <c r="L1244" i="26"/>
  <c r="O1244" i="26" s="1"/>
  <c r="K1244" i="26"/>
  <c r="N1244" i="26" s="1"/>
  <c r="N1243" i="26"/>
  <c r="L1243" i="26"/>
  <c r="O1243" i="26" s="1"/>
  <c r="K1243" i="26"/>
  <c r="N1242" i="26"/>
  <c r="L1242" i="26"/>
  <c r="O1242" i="26" s="1"/>
  <c r="K1242" i="26"/>
  <c r="L1241" i="26"/>
  <c r="O1241" i="26" s="1"/>
  <c r="K1241" i="26"/>
  <c r="N1241" i="26" s="1"/>
  <c r="L1240" i="26"/>
  <c r="O1240" i="26" s="1"/>
  <c r="K1240" i="26"/>
  <c r="N1240" i="26" s="1"/>
  <c r="N1239" i="26"/>
  <c r="L1239" i="26"/>
  <c r="O1239" i="26" s="1"/>
  <c r="K1239" i="26"/>
  <c r="N1238" i="26"/>
  <c r="L1238" i="26"/>
  <c r="O1238" i="26" s="1"/>
  <c r="K1238" i="26"/>
  <c r="L1237" i="26"/>
  <c r="O1237" i="26" s="1"/>
  <c r="K1237" i="26"/>
  <c r="N1237" i="26" s="1"/>
  <c r="L1236" i="26"/>
  <c r="O1236" i="26" s="1"/>
  <c r="K1236" i="26"/>
  <c r="N1236" i="26" s="1"/>
  <c r="L1235" i="26"/>
  <c r="O1235" i="26" s="1"/>
  <c r="K1235" i="26"/>
  <c r="N1235" i="26" s="1"/>
  <c r="N1234" i="26"/>
  <c r="L1234" i="26"/>
  <c r="O1234" i="26" s="1"/>
  <c r="K1234" i="26"/>
  <c r="N1233" i="26"/>
  <c r="L1233" i="26"/>
  <c r="O1233" i="26" s="1"/>
  <c r="K1233" i="26"/>
  <c r="L1232" i="26"/>
  <c r="O1232" i="26" s="1"/>
  <c r="K1232" i="26"/>
  <c r="N1232" i="26" s="1"/>
  <c r="L1231" i="26"/>
  <c r="O1231" i="26" s="1"/>
  <c r="K1231" i="26"/>
  <c r="N1231" i="26" s="1"/>
  <c r="N1230" i="26"/>
  <c r="L1230" i="26"/>
  <c r="O1230" i="26" s="1"/>
  <c r="K1230" i="26"/>
  <c r="N1229" i="26"/>
  <c r="L1229" i="26"/>
  <c r="O1229" i="26" s="1"/>
  <c r="K1229" i="26"/>
  <c r="L1228" i="26"/>
  <c r="O1228" i="26" s="1"/>
  <c r="K1228" i="26"/>
  <c r="N1228" i="26" s="1"/>
  <c r="N1227" i="26"/>
  <c r="L1227" i="26"/>
  <c r="O1227" i="26" s="1"/>
  <c r="K1227" i="26"/>
  <c r="N1226" i="26"/>
  <c r="L1226" i="26"/>
  <c r="O1226" i="26" s="1"/>
  <c r="K1226" i="26"/>
  <c r="L1225" i="26"/>
  <c r="O1225" i="26" s="1"/>
  <c r="K1225" i="26"/>
  <c r="N1225" i="26" s="1"/>
  <c r="L1224" i="26"/>
  <c r="O1224" i="26" s="1"/>
  <c r="K1224" i="26"/>
  <c r="N1224" i="26" s="1"/>
  <c r="N1223" i="26"/>
  <c r="L1223" i="26"/>
  <c r="O1223" i="26" s="1"/>
  <c r="K1223" i="26"/>
  <c r="N1222" i="26"/>
  <c r="L1222" i="26"/>
  <c r="O1222" i="26" s="1"/>
  <c r="K1222" i="26"/>
  <c r="L1221" i="26"/>
  <c r="O1221" i="26" s="1"/>
  <c r="K1221" i="26"/>
  <c r="N1221" i="26" s="1"/>
  <c r="L1220" i="26"/>
  <c r="O1220" i="26" s="1"/>
  <c r="K1220" i="26"/>
  <c r="N1220" i="26" s="1"/>
  <c r="L1219" i="26"/>
  <c r="O1219" i="26" s="1"/>
  <c r="K1219" i="26"/>
  <c r="N1219" i="26" s="1"/>
  <c r="N1218" i="26"/>
  <c r="L1218" i="26"/>
  <c r="O1218" i="26" s="1"/>
  <c r="K1218" i="26"/>
  <c r="N1217" i="26"/>
  <c r="L1217" i="26"/>
  <c r="O1217" i="26" s="1"/>
  <c r="K1217" i="26"/>
  <c r="L1216" i="26"/>
  <c r="O1216" i="26" s="1"/>
  <c r="K1216" i="26"/>
  <c r="N1216" i="26" s="1"/>
  <c r="L1215" i="26"/>
  <c r="O1215" i="26" s="1"/>
  <c r="K1215" i="26"/>
  <c r="N1215" i="26" s="1"/>
  <c r="N1214" i="26"/>
  <c r="L1214" i="26"/>
  <c r="O1214" i="26" s="1"/>
  <c r="K1214" i="26"/>
  <c r="N1213" i="26"/>
  <c r="L1213" i="26"/>
  <c r="O1213" i="26" s="1"/>
  <c r="K1213" i="26"/>
  <c r="L1212" i="26"/>
  <c r="O1212" i="26" s="1"/>
  <c r="K1212" i="26"/>
  <c r="N1212" i="26" s="1"/>
  <c r="N1211" i="26"/>
  <c r="L1211" i="26"/>
  <c r="O1211" i="26" s="1"/>
  <c r="K1211" i="26"/>
  <c r="N1210" i="26"/>
  <c r="L1210" i="26"/>
  <c r="O1210" i="26" s="1"/>
  <c r="K1210" i="26"/>
  <c r="L1209" i="26"/>
  <c r="O1209" i="26" s="1"/>
  <c r="K1209" i="26"/>
  <c r="N1209" i="26" s="1"/>
  <c r="L1208" i="26"/>
  <c r="O1208" i="26" s="1"/>
  <c r="K1208" i="26"/>
  <c r="N1208" i="26" s="1"/>
  <c r="N1207" i="26"/>
  <c r="L1207" i="26"/>
  <c r="O1207" i="26" s="1"/>
  <c r="K1207" i="26"/>
  <c r="N1206" i="26"/>
  <c r="L1206" i="26"/>
  <c r="O1206" i="26" s="1"/>
  <c r="K1206" i="26"/>
  <c r="L1205" i="26"/>
  <c r="O1205" i="26" s="1"/>
  <c r="K1205" i="26"/>
  <c r="N1205" i="26" s="1"/>
  <c r="L1204" i="26"/>
  <c r="O1204" i="26" s="1"/>
  <c r="K1204" i="26"/>
  <c r="N1204" i="26" s="1"/>
  <c r="L1203" i="26"/>
  <c r="O1203" i="26" s="1"/>
  <c r="K1203" i="26"/>
  <c r="N1203" i="26" s="1"/>
  <c r="N1202" i="26"/>
  <c r="L1202" i="26"/>
  <c r="O1202" i="26" s="1"/>
  <c r="K1202" i="26"/>
  <c r="N1201" i="26"/>
  <c r="L1201" i="26"/>
  <c r="O1201" i="26" s="1"/>
  <c r="K1201" i="26"/>
  <c r="L1200" i="26"/>
  <c r="O1200" i="26" s="1"/>
  <c r="K1200" i="26"/>
  <c r="N1200" i="26" s="1"/>
  <c r="L1199" i="26"/>
  <c r="O1199" i="26" s="1"/>
  <c r="K1199" i="26"/>
  <c r="N1199" i="26" s="1"/>
  <c r="N1198" i="26"/>
  <c r="L1198" i="26"/>
  <c r="O1198" i="26" s="1"/>
  <c r="K1198" i="26"/>
  <c r="N1197" i="26"/>
  <c r="L1197" i="26"/>
  <c r="O1197" i="26" s="1"/>
  <c r="K1197" i="26"/>
  <c r="L1196" i="26"/>
  <c r="O1196" i="26" s="1"/>
  <c r="K1196" i="26"/>
  <c r="N1196" i="26" s="1"/>
  <c r="N1195" i="26"/>
  <c r="L1195" i="26"/>
  <c r="O1195" i="26" s="1"/>
  <c r="K1195" i="26"/>
  <c r="J1194" i="26"/>
  <c r="M1194" i="26" s="1"/>
  <c r="J1193" i="26"/>
  <c r="M1193" i="26" s="1"/>
  <c r="J1192" i="26"/>
  <c r="M1192" i="26" s="1"/>
  <c r="J1191" i="26"/>
  <c r="M1191" i="26" s="1"/>
  <c r="J1190" i="26"/>
  <c r="M1190" i="26" s="1"/>
  <c r="J1189" i="26"/>
  <c r="M1189" i="26" s="1"/>
  <c r="J1188" i="26"/>
  <c r="M1188" i="26" s="1"/>
  <c r="J1187" i="26"/>
  <c r="M1187" i="26" s="1"/>
  <c r="J1186" i="26"/>
  <c r="M1186" i="26" s="1"/>
  <c r="J1185" i="26"/>
  <c r="M1185" i="26" s="1"/>
  <c r="J1184" i="26"/>
  <c r="M1184" i="26" s="1"/>
  <c r="J1183" i="26"/>
  <c r="M1183" i="26" s="1"/>
  <c r="J1182" i="26"/>
  <c r="M1182" i="26" s="1"/>
  <c r="J1181" i="26"/>
  <c r="M1181" i="26" s="1"/>
  <c r="J1180" i="26"/>
  <c r="M1180" i="26" s="1"/>
  <c r="J1179" i="26"/>
  <c r="M1179" i="26" s="1"/>
  <c r="J1178" i="26"/>
  <c r="M1178" i="26" s="1"/>
  <c r="J1177" i="26"/>
  <c r="M1177" i="26" s="1"/>
  <c r="J1176" i="26"/>
  <c r="M1176" i="26" s="1"/>
  <c r="J1175" i="26"/>
  <c r="M1175" i="26" s="1"/>
  <c r="J1174" i="26"/>
  <c r="M1174" i="26" s="1"/>
  <c r="J1173" i="26"/>
  <c r="M1173" i="26" s="1"/>
  <c r="J1172" i="26"/>
  <c r="M1172" i="26" s="1"/>
  <c r="J1171" i="26"/>
  <c r="M1171" i="26" s="1"/>
  <c r="M1170" i="26"/>
  <c r="J1170" i="26"/>
  <c r="J1169" i="26"/>
  <c r="M1169" i="26" s="1"/>
  <c r="M1168" i="26"/>
  <c r="J1168" i="26"/>
  <c r="J1167" i="26"/>
  <c r="M1167" i="26" s="1"/>
  <c r="J1166" i="26"/>
  <c r="M1166" i="26" s="1"/>
  <c r="J1165" i="26"/>
  <c r="M1165" i="26" s="1"/>
  <c r="J1164" i="26"/>
  <c r="M1164" i="26" s="1"/>
  <c r="J1163" i="26"/>
  <c r="M1163" i="26" s="1"/>
  <c r="M1162" i="26"/>
  <c r="J1162" i="26"/>
  <c r="J1161" i="26"/>
  <c r="M1161" i="26" s="1"/>
  <c r="M1160" i="26"/>
  <c r="J1160" i="26"/>
  <c r="J1159" i="26"/>
  <c r="M1159" i="26" s="1"/>
  <c r="J1158" i="26"/>
  <c r="M1158" i="26" s="1"/>
  <c r="J1157" i="26"/>
  <c r="M1157" i="26" s="1"/>
  <c r="J1156" i="26"/>
  <c r="M1156" i="26" s="1"/>
  <c r="J1155" i="26"/>
  <c r="M1155" i="26" s="1"/>
  <c r="M1154" i="26"/>
  <c r="J1154" i="26"/>
  <c r="J1153" i="26"/>
  <c r="M1153" i="26" s="1"/>
  <c r="M1152" i="26"/>
  <c r="J1152" i="26"/>
  <c r="J1151" i="26"/>
  <c r="M1151" i="26" s="1"/>
  <c r="J1150" i="26"/>
  <c r="M1150" i="26" s="1"/>
  <c r="J1149" i="26"/>
  <c r="M1149" i="26" s="1"/>
  <c r="J1148" i="26"/>
  <c r="M1148" i="26" s="1"/>
  <c r="J1147" i="26"/>
  <c r="M1147" i="26" s="1"/>
  <c r="M1146" i="26"/>
  <c r="J1146" i="26"/>
  <c r="J1145" i="26"/>
  <c r="M1145" i="26" s="1"/>
  <c r="M1144" i="26"/>
  <c r="L1144" i="26"/>
  <c r="O1144" i="26" s="1"/>
  <c r="J1144" i="26"/>
  <c r="J1143" i="26"/>
  <c r="M1143" i="26" s="1"/>
  <c r="M1142" i="26"/>
  <c r="J1142" i="26"/>
  <c r="J1141" i="26"/>
  <c r="M1141" i="26" s="1"/>
  <c r="J1140" i="26"/>
  <c r="M1140" i="26" s="1"/>
  <c r="J1139" i="26"/>
  <c r="M1139" i="26" s="1"/>
  <c r="L1138" i="26"/>
  <c r="O1138" i="26" s="1"/>
  <c r="J1138" i="26"/>
  <c r="M1138" i="26" s="1"/>
  <c r="J1137" i="26"/>
  <c r="M1137" i="26" s="1"/>
  <c r="J1136" i="26"/>
  <c r="M1136" i="26" s="1"/>
  <c r="J1135" i="26"/>
  <c r="M1135" i="26" s="1"/>
  <c r="M1134" i="26"/>
  <c r="J1134" i="26"/>
  <c r="J1133" i="26"/>
  <c r="M1133" i="26" s="1"/>
  <c r="M1132" i="26"/>
  <c r="L1132" i="26"/>
  <c r="O1132" i="26" s="1"/>
  <c r="J1132" i="26"/>
  <c r="J1131" i="26"/>
  <c r="M1131" i="26" s="1"/>
  <c r="M1130" i="26"/>
  <c r="J1130" i="26"/>
  <c r="J1129" i="26"/>
  <c r="M1129" i="26" s="1"/>
  <c r="J1128" i="26"/>
  <c r="M1128" i="26" s="1"/>
  <c r="O1127" i="26"/>
  <c r="L1127" i="26"/>
  <c r="J1127" i="26"/>
  <c r="M1127" i="26" s="1"/>
  <c r="M1126" i="26"/>
  <c r="J1126" i="26"/>
  <c r="J1125" i="26"/>
  <c r="M1125" i="26" s="1"/>
  <c r="J1124" i="26"/>
  <c r="M1124" i="26" s="1"/>
  <c r="J1123" i="26"/>
  <c r="M1123" i="26" s="1"/>
  <c r="J1122" i="26"/>
  <c r="M1122" i="26" s="1"/>
  <c r="J1121" i="26"/>
  <c r="M1121" i="26" s="1"/>
  <c r="M1120" i="26"/>
  <c r="J1120" i="26"/>
  <c r="L1119" i="26"/>
  <c r="O1119" i="26" s="1"/>
  <c r="J1119" i="26"/>
  <c r="M1119" i="26" s="1"/>
  <c r="J1118" i="26"/>
  <c r="M1118" i="26" s="1"/>
  <c r="J1117" i="26"/>
  <c r="M1117" i="26" s="1"/>
  <c r="M1116" i="26"/>
  <c r="J1116" i="26"/>
  <c r="J1115" i="26"/>
  <c r="M1115" i="26" s="1"/>
  <c r="M1114" i="26"/>
  <c r="J1114" i="26"/>
  <c r="J1113" i="26"/>
  <c r="M1113" i="26" s="1"/>
  <c r="J1112" i="26"/>
  <c r="M1112" i="26" s="1"/>
  <c r="J1111" i="26"/>
  <c r="M1111" i="26" s="1"/>
  <c r="J1110" i="26"/>
  <c r="M1110" i="26" s="1"/>
  <c r="J1109" i="26"/>
  <c r="M1109" i="26" s="1"/>
  <c r="M1108" i="26"/>
  <c r="J1108" i="26"/>
  <c r="J1107" i="26"/>
  <c r="M1107" i="26" s="1"/>
  <c r="M1106" i="26"/>
  <c r="J1106" i="26"/>
  <c r="J1105" i="26"/>
  <c r="M1105" i="26" s="1"/>
  <c r="J1104" i="26"/>
  <c r="M1104" i="26" s="1"/>
  <c r="J1103" i="26"/>
  <c r="M1103" i="26" s="1"/>
  <c r="J1102" i="26"/>
  <c r="M1102" i="26" s="1"/>
  <c r="J1101" i="26"/>
  <c r="M1101" i="26" s="1"/>
  <c r="M1100" i="26"/>
  <c r="J1100" i="26"/>
  <c r="J1099" i="26"/>
  <c r="M1099" i="26" s="1"/>
  <c r="M1098" i="26"/>
  <c r="J1098" i="26"/>
  <c r="J1097" i="26"/>
  <c r="M1097" i="26" s="1"/>
  <c r="J1096" i="26"/>
  <c r="M1096" i="26" s="1"/>
  <c r="J1095" i="26"/>
  <c r="M1095" i="26" s="1"/>
  <c r="J1094" i="26"/>
  <c r="M1094" i="26" s="1"/>
  <c r="J1093" i="26"/>
  <c r="M1093" i="26" s="1"/>
  <c r="M1092" i="26"/>
  <c r="J1092" i="26"/>
  <c r="J1091" i="26"/>
  <c r="M1091" i="26" s="1"/>
  <c r="M1090" i="26"/>
  <c r="J1090" i="26"/>
  <c r="L1089" i="26"/>
  <c r="O1089" i="26" s="1"/>
  <c r="K1089" i="26"/>
  <c r="N1089" i="26" s="1"/>
  <c r="L1088" i="26"/>
  <c r="O1088" i="26" s="1"/>
  <c r="K1088" i="26"/>
  <c r="N1088" i="26" s="1"/>
  <c r="O1087" i="26"/>
  <c r="L1087" i="26"/>
  <c r="K1087" i="26"/>
  <c r="N1087" i="26" s="1"/>
  <c r="N1086" i="26"/>
  <c r="L1086" i="26"/>
  <c r="O1086" i="26" s="1"/>
  <c r="K1086" i="26"/>
  <c r="L1085" i="26"/>
  <c r="O1085" i="26" s="1"/>
  <c r="K1085" i="26"/>
  <c r="N1085" i="26" s="1"/>
  <c r="L1084" i="26"/>
  <c r="O1084" i="26" s="1"/>
  <c r="K1084" i="26"/>
  <c r="N1084" i="26" s="1"/>
  <c r="O1083" i="26"/>
  <c r="L1083" i="26"/>
  <c r="K1083" i="26"/>
  <c r="N1083" i="26" s="1"/>
  <c r="N1082" i="26"/>
  <c r="L1082" i="26"/>
  <c r="O1082" i="26" s="1"/>
  <c r="K1082" i="26"/>
  <c r="L1081" i="26"/>
  <c r="O1081" i="26" s="1"/>
  <c r="K1081" i="26"/>
  <c r="N1081" i="26" s="1"/>
  <c r="L1080" i="26"/>
  <c r="O1080" i="26" s="1"/>
  <c r="K1080" i="26"/>
  <c r="N1080" i="26" s="1"/>
  <c r="O1079" i="26"/>
  <c r="L1079" i="26"/>
  <c r="K1079" i="26"/>
  <c r="N1079" i="26" s="1"/>
  <c r="N1078" i="26"/>
  <c r="L1078" i="26"/>
  <c r="O1078" i="26" s="1"/>
  <c r="K1078" i="26"/>
  <c r="L1077" i="26"/>
  <c r="O1077" i="26" s="1"/>
  <c r="K1077" i="26"/>
  <c r="N1077" i="26" s="1"/>
  <c r="L1076" i="26"/>
  <c r="O1076" i="26" s="1"/>
  <c r="K1076" i="26"/>
  <c r="N1076" i="26" s="1"/>
  <c r="O1075" i="26"/>
  <c r="L1075" i="26"/>
  <c r="K1075" i="26"/>
  <c r="N1075" i="26" s="1"/>
  <c r="N1074" i="26"/>
  <c r="L1074" i="26"/>
  <c r="O1074" i="26" s="1"/>
  <c r="K1074" i="26"/>
  <c r="L1073" i="26"/>
  <c r="O1073" i="26" s="1"/>
  <c r="K1073" i="26"/>
  <c r="N1073" i="26" s="1"/>
  <c r="L1072" i="26"/>
  <c r="O1072" i="26" s="1"/>
  <c r="K1072" i="26"/>
  <c r="N1072" i="26" s="1"/>
  <c r="O1071" i="26"/>
  <c r="L1071" i="26"/>
  <c r="K1071" i="26"/>
  <c r="N1071" i="26" s="1"/>
  <c r="N1070" i="26"/>
  <c r="L1070" i="26"/>
  <c r="O1070" i="26" s="1"/>
  <c r="K1070" i="26"/>
  <c r="L1069" i="26"/>
  <c r="O1069" i="26" s="1"/>
  <c r="K1069" i="26"/>
  <c r="N1069" i="26" s="1"/>
  <c r="L1068" i="26"/>
  <c r="O1068" i="26" s="1"/>
  <c r="K1068" i="26"/>
  <c r="N1068" i="26" s="1"/>
  <c r="O1067" i="26"/>
  <c r="L1067" i="26"/>
  <c r="K1067" i="26"/>
  <c r="N1067" i="26" s="1"/>
  <c r="N1066" i="26"/>
  <c r="L1066" i="26"/>
  <c r="O1066" i="26" s="1"/>
  <c r="K1066" i="26"/>
  <c r="L1065" i="26"/>
  <c r="O1065" i="26" s="1"/>
  <c r="K1065" i="26"/>
  <c r="N1065" i="26" s="1"/>
  <c r="L1064" i="26"/>
  <c r="O1064" i="26" s="1"/>
  <c r="K1064" i="26"/>
  <c r="N1064" i="26" s="1"/>
  <c r="O1063" i="26"/>
  <c r="L1063" i="26"/>
  <c r="K1063" i="26"/>
  <c r="N1063" i="26" s="1"/>
  <c r="N1062" i="26"/>
  <c r="L1062" i="26"/>
  <c r="O1062" i="26" s="1"/>
  <c r="K1062" i="26"/>
  <c r="L1061" i="26"/>
  <c r="O1061" i="26" s="1"/>
  <c r="K1061" i="26"/>
  <c r="N1061" i="26" s="1"/>
  <c r="L1060" i="26"/>
  <c r="O1060" i="26" s="1"/>
  <c r="K1060" i="26"/>
  <c r="N1060" i="26" s="1"/>
  <c r="L1059" i="26"/>
  <c r="O1059" i="26" s="1"/>
  <c r="K1059" i="26"/>
  <c r="N1059" i="26" s="1"/>
  <c r="L1058" i="26"/>
  <c r="O1058" i="26" s="1"/>
  <c r="K1058" i="26"/>
  <c r="N1058" i="26" s="1"/>
  <c r="L1057" i="26"/>
  <c r="O1057" i="26" s="1"/>
  <c r="K1057" i="26"/>
  <c r="N1057" i="26" s="1"/>
  <c r="N1056" i="26"/>
  <c r="L1056" i="26"/>
  <c r="O1056" i="26" s="1"/>
  <c r="K1056" i="26"/>
  <c r="L1055" i="26"/>
  <c r="O1055" i="26" s="1"/>
  <c r="K1055" i="26"/>
  <c r="N1055" i="26" s="1"/>
  <c r="N1054" i="26"/>
  <c r="L1054" i="26"/>
  <c r="O1054" i="26" s="1"/>
  <c r="K1054" i="26"/>
  <c r="L1053" i="26"/>
  <c r="O1053" i="26" s="1"/>
  <c r="K1053" i="26"/>
  <c r="N1053" i="26" s="1"/>
  <c r="L1052" i="26"/>
  <c r="O1052" i="26" s="1"/>
  <c r="K1052" i="26"/>
  <c r="N1052" i="26" s="1"/>
  <c r="L1051" i="26"/>
  <c r="O1051" i="26" s="1"/>
  <c r="K1051" i="26"/>
  <c r="N1051" i="26" s="1"/>
  <c r="L1050" i="26"/>
  <c r="O1050" i="26" s="1"/>
  <c r="K1050" i="26"/>
  <c r="N1050" i="26" s="1"/>
  <c r="L1049" i="26"/>
  <c r="O1049" i="26" s="1"/>
  <c r="K1049" i="26"/>
  <c r="N1049" i="26" s="1"/>
  <c r="N1048" i="26"/>
  <c r="L1048" i="26"/>
  <c r="O1048" i="26" s="1"/>
  <c r="K1048" i="26"/>
  <c r="L1047" i="26"/>
  <c r="O1047" i="26" s="1"/>
  <c r="K1047" i="26"/>
  <c r="N1047" i="26" s="1"/>
  <c r="N1046" i="26"/>
  <c r="L1046" i="26"/>
  <c r="O1046" i="26" s="1"/>
  <c r="K1046" i="26"/>
  <c r="L1045" i="26"/>
  <c r="O1045" i="26" s="1"/>
  <c r="K1045" i="26"/>
  <c r="N1045" i="26" s="1"/>
  <c r="L1044" i="26"/>
  <c r="O1044" i="26" s="1"/>
  <c r="K1044" i="26"/>
  <c r="N1044" i="26" s="1"/>
  <c r="L1043" i="26"/>
  <c r="O1043" i="26" s="1"/>
  <c r="K1043" i="26"/>
  <c r="N1043" i="26" s="1"/>
  <c r="L1042" i="26"/>
  <c r="O1042" i="26" s="1"/>
  <c r="K1042" i="26"/>
  <c r="N1042" i="26" s="1"/>
  <c r="L1041" i="26"/>
  <c r="O1041" i="26" s="1"/>
  <c r="K1041" i="26"/>
  <c r="N1041" i="26" s="1"/>
  <c r="N1040" i="26"/>
  <c r="L1040" i="26"/>
  <c r="O1040" i="26" s="1"/>
  <c r="K1040" i="26"/>
  <c r="L1039" i="26"/>
  <c r="O1039" i="26" s="1"/>
  <c r="K1039" i="26"/>
  <c r="N1039" i="26" s="1"/>
  <c r="N1038" i="26"/>
  <c r="L1038" i="26"/>
  <c r="O1038" i="26" s="1"/>
  <c r="K1038" i="26"/>
  <c r="L1037" i="26"/>
  <c r="O1037" i="26" s="1"/>
  <c r="K1037" i="26"/>
  <c r="N1037" i="26" s="1"/>
  <c r="L1036" i="26"/>
  <c r="O1036" i="26" s="1"/>
  <c r="K1036" i="26"/>
  <c r="N1036" i="26" s="1"/>
  <c r="L1035" i="26"/>
  <c r="O1035" i="26" s="1"/>
  <c r="K1035" i="26"/>
  <c r="N1035" i="26" s="1"/>
  <c r="L1034" i="26"/>
  <c r="O1034" i="26" s="1"/>
  <c r="K1034" i="26"/>
  <c r="N1034" i="26" s="1"/>
  <c r="L1033" i="26"/>
  <c r="O1033" i="26" s="1"/>
  <c r="K1033" i="26"/>
  <c r="N1033" i="26" s="1"/>
  <c r="N1032" i="26"/>
  <c r="L1032" i="26"/>
  <c r="O1032" i="26" s="1"/>
  <c r="K1032" i="26"/>
  <c r="L1031" i="26"/>
  <c r="O1031" i="26" s="1"/>
  <c r="K1031" i="26"/>
  <c r="N1031" i="26" s="1"/>
  <c r="N1030" i="26"/>
  <c r="L1030" i="26"/>
  <c r="O1030" i="26" s="1"/>
  <c r="K1030" i="26"/>
  <c r="L1029" i="26"/>
  <c r="O1029" i="26" s="1"/>
  <c r="K1029" i="26"/>
  <c r="N1029" i="26" s="1"/>
  <c r="L1028" i="26"/>
  <c r="O1028" i="26" s="1"/>
  <c r="J1028" i="26"/>
  <c r="M1028" i="26" s="1"/>
  <c r="J1027" i="26"/>
  <c r="M1027" i="26" s="1"/>
  <c r="J1026" i="26"/>
  <c r="M1026" i="26" s="1"/>
  <c r="J1025" i="26"/>
  <c r="M1025" i="26" s="1"/>
  <c r="J1024" i="26"/>
  <c r="M1024" i="26" s="1"/>
  <c r="J1023" i="26"/>
  <c r="M1023" i="26" s="1"/>
  <c r="L1022" i="26"/>
  <c r="O1022" i="26" s="1"/>
  <c r="J1022" i="26"/>
  <c r="M1022" i="26" s="1"/>
  <c r="J1021" i="26"/>
  <c r="M1021" i="26" s="1"/>
  <c r="J1020" i="26"/>
  <c r="M1020" i="26" s="1"/>
  <c r="J1019" i="26"/>
  <c r="M1019" i="26" s="1"/>
  <c r="J1018" i="26"/>
  <c r="M1018" i="26" s="1"/>
  <c r="J1017" i="26"/>
  <c r="M1017" i="26" s="1"/>
  <c r="L1016" i="26"/>
  <c r="O1016" i="26" s="1"/>
  <c r="J1016" i="26"/>
  <c r="M1016" i="26" s="1"/>
  <c r="J1015" i="26"/>
  <c r="M1015" i="26" s="1"/>
  <c r="J1014" i="26"/>
  <c r="M1014" i="26" s="1"/>
  <c r="J1013" i="26"/>
  <c r="M1013" i="26" s="1"/>
  <c r="J1012" i="26"/>
  <c r="M1012" i="26" s="1"/>
  <c r="L1011" i="26"/>
  <c r="O1011" i="26" s="1"/>
  <c r="J1011" i="26"/>
  <c r="M1011" i="26" s="1"/>
  <c r="J1010" i="26"/>
  <c r="M1010" i="26" s="1"/>
  <c r="J1009" i="26"/>
  <c r="M1009" i="26" s="1"/>
  <c r="J1008" i="26"/>
  <c r="M1008" i="26" s="1"/>
  <c r="J1007" i="26"/>
  <c r="M1007" i="26" s="1"/>
  <c r="J1006" i="26"/>
  <c r="M1006" i="26" s="1"/>
  <c r="J1005" i="26"/>
  <c r="M1005" i="26" s="1"/>
  <c r="J1004" i="26"/>
  <c r="M1004" i="26" s="1"/>
  <c r="L1003" i="26"/>
  <c r="O1003" i="26" s="1"/>
  <c r="J1003" i="26"/>
  <c r="M1003" i="26" s="1"/>
  <c r="J1002" i="26"/>
  <c r="M1002" i="26" s="1"/>
  <c r="J1001" i="26"/>
  <c r="M1001" i="26" s="1"/>
  <c r="J1000" i="26"/>
  <c r="M1000" i="26" s="1"/>
  <c r="J999" i="26"/>
  <c r="M999" i="26" s="1"/>
  <c r="J998" i="26"/>
  <c r="M998" i="26" s="1"/>
  <c r="J997" i="26"/>
  <c r="M997" i="26" s="1"/>
  <c r="J996" i="26"/>
  <c r="M996" i="26" s="1"/>
  <c r="J995" i="26"/>
  <c r="M995" i="26" s="1"/>
  <c r="J994" i="26"/>
  <c r="M994" i="26" s="1"/>
  <c r="J993" i="26"/>
  <c r="M993" i="26" s="1"/>
  <c r="J992" i="26"/>
  <c r="M992" i="26" s="1"/>
  <c r="J991" i="26"/>
  <c r="M991" i="26" s="1"/>
  <c r="J990" i="26"/>
  <c r="M990" i="26" s="1"/>
  <c r="J989" i="26"/>
  <c r="M989" i="26" s="1"/>
  <c r="J988" i="26"/>
  <c r="M988" i="26" s="1"/>
  <c r="J987" i="26"/>
  <c r="M987" i="26" s="1"/>
  <c r="J986" i="26"/>
  <c r="M986" i="26" s="1"/>
  <c r="J985" i="26"/>
  <c r="M985" i="26" s="1"/>
  <c r="J984" i="26"/>
  <c r="M984" i="26" s="1"/>
  <c r="J983" i="26"/>
  <c r="M983" i="26" s="1"/>
  <c r="J982" i="26"/>
  <c r="M982" i="26" s="1"/>
  <c r="J981" i="26"/>
  <c r="M981" i="26" s="1"/>
  <c r="J980" i="26"/>
  <c r="M980" i="26" s="1"/>
  <c r="J979" i="26"/>
  <c r="M979" i="26" s="1"/>
  <c r="J978" i="26"/>
  <c r="M978" i="26" s="1"/>
  <c r="J977" i="26"/>
  <c r="M977" i="26" s="1"/>
  <c r="J976" i="26"/>
  <c r="M976" i="26" s="1"/>
  <c r="J975" i="26"/>
  <c r="M975" i="26" s="1"/>
  <c r="J974" i="26"/>
  <c r="M974" i="26" s="1"/>
  <c r="J973" i="26"/>
  <c r="M973" i="26" s="1"/>
  <c r="L972" i="26"/>
  <c r="O972" i="26" s="1"/>
  <c r="J972" i="26"/>
  <c r="M972" i="26" s="1"/>
  <c r="L971" i="26"/>
  <c r="O971" i="26" s="1"/>
  <c r="J971" i="26"/>
  <c r="M971" i="26" s="1"/>
  <c r="L970" i="26"/>
  <c r="O970" i="26" s="1"/>
  <c r="J970" i="26"/>
  <c r="M970" i="26" s="1"/>
  <c r="L969" i="26"/>
  <c r="O969" i="26" s="1"/>
  <c r="J969" i="26"/>
  <c r="M969" i="26" s="1"/>
  <c r="L968" i="26"/>
  <c r="O968" i="26" s="1"/>
  <c r="J968" i="26"/>
  <c r="M968" i="26" s="1"/>
  <c r="L967" i="26"/>
  <c r="O967" i="26" s="1"/>
  <c r="J967" i="26"/>
  <c r="M967" i="26" s="1"/>
  <c r="L966" i="26"/>
  <c r="O966" i="26" s="1"/>
  <c r="J966" i="26"/>
  <c r="M966" i="26" s="1"/>
  <c r="L965" i="26"/>
  <c r="O965" i="26" s="1"/>
  <c r="J965" i="26"/>
  <c r="M965" i="26" s="1"/>
  <c r="L964" i="26"/>
  <c r="O964" i="26" s="1"/>
  <c r="J964" i="26"/>
  <c r="M964" i="26" s="1"/>
  <c r="L963" i="26"/>
  <c r="O963" i="26" s="1"/>
  <c r="J963" i="26"/>
  <c r="M963" i="26" s="1"/>
  <c r="L962" i="26"/>
  <c r="O962" i="26" s="1"/>
  <c r="J962" i="26"/>
  <c r="M962" i="26" s="1"/>
  <c r="L961" i="26"/>
  <c r="O961" i="26" s="1"/>
  <c r="J961" i="26"/>
  <c r="M961" i="26" s="1"/>
  <c r="L960" i="26"/>
  <c r="O960" i="26" s="1"/>
  <c r="K960" i="26"/>
  <c r="N960" i="26" s="1"/>
  <c r="L959" i="26"/>
  <c r="O959" i="26" s="1"/>
  <c r="K959" i="26"/>
  <c r="N959" i="26" s="1"/>
  <c r="N958" i="26"/>
  <c r="L958" i="26"/>
  <c r="O958" i="26" s="1"/>
  <c r="K958" i="26"/>
  <c r="N957" i="26"/>
  <c r="L957" i="26"/>
  <c r="O957" i="26" s="1"/>
  <c r="K957" i="26"/>
  <c r="L956" i="26"/>
  <c r="O956" i="26" s="1"/>
  <c r="K956" i="26"/>
  <c r="N956" i="26" s="1"/>
  <c r="L955" i="26"/>
  <c r="O955" i="26" s="1"/>
  <c r="K955" i="26"/>
  <c r="N955" i="26" s="1"/>
  <c r="N954" i="26"/>
  <c r="L954" i="26"/>
  <c r="O954" i="26" s="1"/>
  <c r="K954" i="26"/>
  <c r="N953" i="26"/>
  <c r="L953" i="26"/>
  <c r="O953" i="26" s="1"/>
  <c r="K953" i="26"/>
  <c r="L952" i="26"/>
  <c r="O952" i="26" s="1"/>
  <c r="K952" i="26"/>
  <c r="N952" i="26" s="1"/>
  <c r="L951" i="26"/>
  <c r="O951" i="26" s="1"/>
  <c r="K951" i="26"/>
  <c r="N951" i="26" s="1"/>
  <c r="N950" i="26"/>
  <c r="L950" i="26"/>
  <c r="O950" i="26" s="1"/>
  <c r="K950" i="26"/>
  <c r="N949" i="26"/>
  <c r="L949" i="26"/>
  <c r="O949" i="26" s="1"/>
  <c r="K949" i="26"/>
  <c r="L948" i="26"/>
  <c r="O948" i="26" s="1"/>
  <c r="J948" i="26"/>
  <c r="M948" i="26" s="1"/>
  <c r="L947" i="26"/>
  <c r="O947" i="26" s="1"/>
  <c r="J947" i="26"/>
  <c r="M947" i="26" s="1"/>
  <c r="L946" i="26"/>
  <c r="O946" i="26" s="1"/>
  <c r="J946" i="26"/>
  <c r="M946" i="26" s="1"/>
  <c r="L945" i="26"/>
  <c r="O945" i="26" s="1"/>
  <c r="J945" i="26"/>
  <c r="M945" i="26" s="1"/>
  <c r="L944" i="26"/>
  <c r="O944" i="26" s="1"/>
  <c r="J944" i="26"/>
  <c r="M944" i="26" s="1"/>
  <c r="L943" i="26"/>
  <c r="O943" i="26" s="1"/>
  <c r="J943" i="26"/>
  <c r="M943" i="26" s="1"/>
  <c r="L942" i="26"/>
  <c r="O942" i="26" s="1"/>
  <c r="J942" i="26"/>
  <c r="M942" i="26" s="1"/>
  <c r="L941" i="26"/>
  <c r="O941" i="26" s="1"/>
  <c r="J941" i="26"/>
  <c r="M941" i="26" s="1"/>
  <c r="L940" i="26"/>
  <c r="O940" i="26" s="1"/>
  <c r="J940" i="26"/>
  <c r="M940" i="26" s="1"/>
  <c r="L939" i="26"/>
  <c r="O939" i="26" s="1"/>
  <c r="J939" i="26"/>
  <c r="M939" i="26" s="1"/>
  <c r="L938" i="26"/>
  <c r="O938" i="26" s="1"/>
  <c r="J938" i="26"/>
  <c r="M938" i="26" s="1"/>
  <c r="L937" i="26"/>
  <c r="O937" i="26" s="1"/>
  <c r="J937" i="26"/>
  <c r="M937" i="26" s="1"/>
  <c r="J936" i="26"/>
  <c r="M936" i="26" s="1"/>
  <c r="J935" i="26"/>
  <c r="M935" i="26" s="1"/>
  <c r="J934" i="26"/>
  <c r="M934" i="26" s="1"/>
  <c r="J933" i="26"/>
  <c r="M933" i="26" s="1"/>
  <c r="J932" i="26"/>
  <c r="M932" i="26" s="1"/>
  <c r="J931" i="26"/>
  <c r="M931" i="26" s="1"/>
  <c r="J930" i="26"/>
  <c r="M930" i="26" s="1"/>
  <c r="J929" i="26"/>
  <c r="M929" i="26" s="1"/>
  <c r="J928" i="26"/>
  <c r="M928" i="26" s="1"/>
  <c r="J927" i="26"/>
  <c r="M927" i="26" s="1"/>
  <c r="J926" i="26"/>
  <c r="M926" i="26" s="1"/>
  <c r="J925" i="26"/>
  <c r="M925" i="26" s="1"/>
  <c r="L924" i="26"/>
  <c r="O924" i="26" s="1"/>
  <c r="K924" i="26"/>
  <c r="N924" i="26" s="1"/>
  <c r="L923" i="26"/>
  <c r="O923" i="26" s="1"/>
  <c r="K923" i="26"/>
  <c r="N923" i="26" s="1"/>
  <c r="N922" i="26"/>
  <c r="L922" i="26"/>
  <c r="O922" i="26" s="1"/>
  <c r="K922" i="26"/>
  <c r="N921" i="26"/>
  <c r="L921" i="26"/>
  <c r="O921" i="26" s="1"/>
  <c r="K921" i="26"/>
  <c r="L920" i="26"/>
  <c r="O920" i="26" s="1"/>
  <c r="K920" i="26"/>
  <c r="N920" i="26" s="1"/>
  <c r="L919" i="26"/>
  <c r="O919" i="26" s="1"/>
  <c r="K919" i="26"/>
  <c r="N919" i="26" s="1"/>
  <c r="N918" i="26"/>
  <c r="L918" i="26"/>
  <c r="O918" i="26" s="1"/>
  <c r="K918" i="26"/>
  <c r="N917" i="26"/>
  <c r="L917" i="26"/>
  <c r="O917" i="26" s="1"/>
  <c r="K917" i="26"/>
  <c r="L916" i="26"/>
  <c r="O916" i="26" s="1"/>
  <c r="K916" i="26"/>
  <c r="N916" i="26" s="1"/>
  <c r="L915" i="26"/>
  <c r="O915" i="26" s="1"/>
  <c r="K915" i="26"/>
  <c r="N915" i="26" s="1"/>
  <c r="N914" i="26"/>
  <c r="L914" i="26"/>
  <c r="O914" i="26" s="1"/>
  <c r="K914" i="26"/>
  <c r="N913" i="26"/>
  <c r="L913" i="26"/>
  <c r="O913" i="26" s="1"/>
  <c r="K913" i="26"/>
  <c r="J912" i="26"/>
  <c r="M912" i="26" s="1"/>
  <c r="J911" i="26"/>
  <c r="M911" i="26" s="1"/>
  <c r="J910" i="26"/>
  <c r="M910" i="26" s="1"/>
  <c r="J909" i="26"/>
  <c r="M909" i="26" s="1"/>
  <c r="J908" i="26"/>
  <c r="M908" i="26" s="1"/>
  <c r="J907" i="26"/>
  <c r="M907" i="26" s="1"/>
  <c r="J906" i="26"/>
  <c r="M906" i="26" s="1"/>
  <c r="J905" i="26"/>
  <c r="M905" i="26" s="1"/>
  <c r="J904" i="26"/>
  <c r="M904" i="26" s="1"/>
  <c r="J903" i="26"/>
  <c r="M903" i="26" s="1"/>
  <c r="J902" i="26"/>
  <c r="M902" i="26" s="1"/>
  <c r="J901" i="26"/>
  <c r="M901" i="26" s="1"/>
  <c r="L900" i="26"/>
  <c r="O900" i="26" s="1"/>
  <c r="J900" i="26"/>
  <c r="M900" i="26" s="1"/>
  <c r="J899" i="26"/>
  <c r="M899" i="26" s="1"/>
  <c r="J898" i="26"/>
  <c r="M898" i="26" s="1"/>
  <c r="J897" i="26"/>
  <c r="M897" i="26" s="1"/>
  <c r="J896" i="26"/>
  <c r="M896" i="26" s="1"/>
  <c r="L895" i="26"/>
  <c r="O895" i="26" s="1"/>
  <c r="J895" i="26"/>
  <c r="M895" i="26" s="1"/>
  <c r="J894" i="26"/>
  <c r="M894" i="26" s="1"/>
  <c r="J893" i="26"/>
  <c r="M893" i="26" s="1"/>
  <c r="J892" i="26"/>
  <c r="M892" i="26" s="1"/>
  <c r="J891" i="26"/>
  <c r="M891" i="26" s="1"/>
  <c r="L890" i="26"/>
  <c r="O890" i="26" s="1"/>
  <c r="J890" i="26"/>
  <c r="M890" i="26" s="1"/>
  <c r="J889" i="26"/>
  <c r="M889" i="26" s="1"/>
  <c r="J888" i="26"/>
  <c r="M888" i="26" s="1"/>
  <c r="J887" i="26"/>
  <c r="M887" i="26" s="1"/>
  <c r="J886" i="26"/>
  <c r="M886" i="26" s="1"/>
  <c r="J885" i="26"/>
  <c r="M885" i="26" s="1"/>
  <c r="L884" i="26"/>
  <c r="O884" i="26" s="1"/>
  <c r="J884" i="26"/>
  <c r="M884" i="26" s="1"/>
  <c r="J883" i="26"/>
  <c r="M883" i="26" s="1"/>
  <c r="J882" i="26"/>
  <c r="M882" i="26" s="1"/>
  <c r="J881" i="26"/>
  <c r="M881" i="26" s="1"/>
  <c r="J880" i="26"/>
  <c r="M880" i="26" s="1"/>
  <c r="J879" i="26"/>
  <c r="M879" i="26" s="1"/>
  <c r="J878" i="26"/>
  <c r="M878" i="26" s="1"/>
  <c r="L877" i="26"/>
  <c r="O877" i="26" s="1"/>
  <c r="J877" i="26"/>
  <c r="M877" i="26" s="1"/>
  <c r="J876" i="26"/>
  <c r="M876" i="26" s="1"/>
  <c r="J875" i="26"/>
  <c r="M875" i="26" s="1"/>
  <c r="J874" i="26"/>
  <c r="M874" i="26" s="1"/>
  <c r="J873" i="26"/>
  <c r="M873" i="26" s="1"/>
  <c r="J872" i="26"/>
  <c r="M872" i="26" s="1"/>
  <c r="L871" i="26"/>
  <c r="O871" i="26" s="1"/>
  <c r="J871" i="26"/>
  <c r="M871" i="26" s="1"/>
  <c r="J870" i="26"/>
  <c r="M870" i="26" s="1"/>
  <c r="J869" i="26"/>
  <c r="M869" i="26" s="1"/>
  <c r="J868" i="26"/>
  <c r="M868" i="26" s="1"/>
  <c r="J867" i="26"/>
  <c r="M867" i="26" s="1"/>
  <c r="L866" i="26"/>
  <c r="O866" i="26" s="1"/>
  <c r="J866" i="26"/>
  <c r="M866" i="26" s="1"/>
  <c r="J865" i="26"/>
  <c r="M865" i="26" s="1"/>
  <c r="J864" i="26"/>
  <c r="M864" i="26" s="1"/>
  <c r="J863" i="26"/>
  <c r="M863" i="26" s="1"/>
  <c r="J862" i="26"/>
  <c r="M862" i="26" s="1"/>
  <c r="L861" i="26"/>
  <c r="O861" i="26" s="1"/>
  <c r="J861" i="26"/>
  <c r="M861" i="26" s="1"/>
  <c r="J860" i="26"/>
  <c r="M860" i="26" s="1"/>
  <c r="J859" i="26"/>
  <c r="M859" i="26" s="1"/>
  <c r="J858" i="26"/>
  <c r="M858" i="26" s="1"/>
  <c r="J857" i="26"/>
  <c r="M857" i="26" s="1"/>
  <c r="L856" i="26"/>
  <c r="O856" i="26" s="1"/>
  <c r="J856" i="26"/>
  <c r="M856" i="26" s="1"/>
  <c r="J855" i="26"/>
  <c r="M855" i="26" s="1"/>
  <c r="J854" i="26"/>
  <c r="M854" i="26" s="1"/>
  <c r="J853" i="26"/>
  <c r="M853" i="26" s="1"/>
  <c r="J852" i="26"/>
  <c r="M852" i="26" s="1"/>
  <c r="J851" i="26"/>
  <c r="M851" i="26" s="1"/>
  <c r="L850" i="26"/>
  <c r="O850" i="26" s="1"/>
  <c r="J850" i="26"/>
  <c r="M850" i="26" s="1"/>
  <c r="J849" i="26"/>
  <c r="M849" i="26" s="1"/>
  <c r="J848" i="26"/>
  <c r="M848" i="26" s="1"/>
  <c r="J847" i="26"/>
  <c r="M847" i="26" s="1"/>
  <c r="J846" i="26"/>
  <c r="M846" i="26" s="1"/>
  <c r="J845" i="26"/>
  <c r="M845" i="26" s="1"/>
  <c r="L844" i="26"/>
  <c r="O844" i="26" s="1"/>
  <c r="J844" i="26"/>
  <c r="M844" i="26" s="1"/>
  <c r="J843" i="26"/>
  <c r="M843" i="26" s="1"/>
  <c r="J842" i="26"/>
  <c r="M842" i="26" s="1"/>
  <c r="J841" i="26"/>
  <c r="M841" i="26" s="1"/>
  <c r="J840" i="26"/>
  <c r="M840" i="26" s="1"/>
  <c r="L839" i="26"/>
  <c r="O839" i="26" s="1"/>
  <c r="J839" i="26"/>
  <c r="M839" i="26" s="1"/>
  <c r="J838" i="26"/>
  <c r="M838" i="26" s="1"/>
  <c r="J837" i="26"/>
  <c r="M837" i="26" s="1"/>
  <c r="J836" i="26"/>
  <c r="M836" i="26" s="1"/>
  <c r="J835" i="26"/>
  <c r="M835" i="26" s="1"/>
  <c r="N834" i="26"/>
  <c r="L834" i="26"/>
  <c r="O834" i="26" s="1"/>
  <c r="K834" i="26"/>
  <c r="L833" i="26"/>
  <c r="O833" i="26" s="1"/>
  <c r="K833" i="26"/>
  <c r="N833" i="26" s="1"/>
  <c r="L832" i="26"/>
  <c r="O832" i="26" s="1"/>
  <c r="K832" i="26"/>
  <c r="N832" i="26" s="1"/>
  <c r="L831" i="26"/>
  <c r="O831" i="26" s="1"/>
  <c r="K831" i="26"/>
  <c r="N831" i="26" s="1"/>
  <c r="L830" i="26"/>
  <c r="O830" i="26" s="1"/>
  <c r="K830" i="26"/>
  <c r="N830" i="26" s="1"/>
  <c r="L829" i="26"/>
  <c r="O829" i="26" s="1"/>
  <c r="K829" i="26"/>
  <c r="N829" i="26" s="1"/>
  <c r="N828" i="26"/>
  <c r="L828" i="26"/>
  <c r="O828" i="26" s="1"/>
  <c r="K828" i="26"/>
  <c r="L827" i="26"/>
  <c r="O827" i="26" s="1"/>
  <c r="K827" i="26"/>
  <c r="N827" i="26" s="1"/>
  <c r="N826" i="26"/>
  <c r="L826" i="26"/>
  <c r="O826" i="26" s="1"/>
  <c r="K826" i="26"/>
  <c r="L825" i="26"/>
  <c r="O825" i="26" s="1"/>
  <c r="K825" i="26"/>
  <c r="N825" i="26" s="1"/>
  <c r="L824" i="26"/>
  <c r="O824" i="26" s="1"/>
  <c r="K824" i="26"/>
  <c r="N824" i="26" s="1"/>
  <c r="L823" i="26"/>
  <c r="O823" i="26" s="1"/>
  <c r="K823" i="26"/>
  <c r="N823" i="26" s="1"/>
  <c r="L822" i="26"/>
  <c r="O822" i="26" s="1"/>
  <c r="K822" i="26"/>
  <c r="N822" i="26" s="1"/>
  <c r="L821" i="26"/>
  <c r="O821" i="26" s="1"/>
  <c r="K821" i="26"/>
  <c r="N821" i="26" s="1"/>
  <c r="N820" i="26"/>
  <c r="L820" i="26"/>
  <c r="O820" i="26" s="1"/>
  <c r="K820" i="26"/>
  <c r="L819" i="26"/>
  <c r="O819" i="26" s="1"/>
  <c r="K819" i="26"/>
  <c r="N819" i="26" s="1"/>
  <c r="N818" i="26"/>
  <c r="L818" i="26"/>
  <c r="O818" i="26" s="1"/>
  <c r="K818" i="26"/>
  <c r="L817" i="26"/>
  <c r="O817" i="26" s="1"/>
  <c r="K817" i="26"/>
  <c r="N817" i="26" s="1"/>
  <c r="L816" i="26"/>
  <c r="O816" i="26" s="1"/>
  <c r="K816" i="26"/>
  <c r="N816" i="26" s="1"/>
  <c r="L815" i="26"/>
  <c r="O815" i="26" s="1"/>
  <c r="K815" i="26"/>
  <c r="N815" i="26" s="1"/>
  <c r="L814" i="26"/>
  <c r="O814" i="26" s="1"/>
  <c r="K814" i="26"/>
  <c r="N814" i="26" s="1"/>
  <c r="L813" i="26"/>
  <c r="O813" i="26" s="1"/>
  <c r="K813" i="26"/>
  <c r="N813" i="26" s="1"/>
  <c r="N812" i="26"/>
  <c r="L812" i="26"/>
  <c r="O812" i="26" s="1"/>
  <c r="K812" i="26"/>
  <c r="L811" i="26"/>
  <c r="O811" i="26" s="1"/>
  <c r="K811" i="26"/>
  <c r="N811" i="26" s="1"/>
  <c r="N810" i="26"/>
  <c r="L810" i="26"/>
  <c r="O810" i="26" s="1"/>
  <c r="K810" i="26"/>
  <c r="L809" i="26"/>
  <c r="O809" i="26" s="1"/>
  <c r="K809" i="26"/>
  <c r="N809" i="26" s="1"/>
  <c r="L808" i="26"/>
  <c r="O808" i="26" s="1"/>
  <c r="K808" i="26"/>
  <c r="N808" i="26" s="1"/>
  <c r="L807" i="26"/>
  <c r="O807" i="26" s="1"/>
  <c r="K807" i="26"/>
  <c r="N807" i="26" s="1"/>
  <c r="L806" i="26"/>
  <c r="O806" i="26" s="1"/>
  <c r="K806" i="26"/>
  <c r="N806" i="26" s="1"/>
  <c r="L805" i="26"/>
  <c r="O805" i="26" s="1"/>
  <c r="K805" i="26"/>
  <c r="N805" i="26" s="1"/>
  <c r="N804" i="26"/>
  <c r="L804" i="26"/>
  <c r="O804" i="26" s="1"/>
  <c r="K804" i="26"/>
  <c r="L803" i="26"/>
  <c r="O803" i="26" s="1"/>
  <c r="K803" i="26"/>
  <c r="N803" i="26" s="1"/>
  <c r="N802" i="26"/>
  <c r="L802" i="26"/>
  <c r="O802" i="26" s="1"/>
  <c r="K802" i="26"/>
  <c r="L801" i="26"/>
  <c r="O801" i="26" s="1"/>
  <c r="K801" i="26"/>
  <c r="N801" i="26" s="1"/>
  <c r="L800" i="26"/>
  <c r="O800" i="26" s="1"/>
  <c r="K800" i="26"/>
  <c r="N800" i="26" s="1"/>
  <c r="L799" i="26"/>
  <c r="O799" i="26" s="1"/>
  <c r="K799" i="26"/>
  <c r="N799" i="26" s="1"/>
  <c r="L798" i="26"/>
  <c r="O798" i="26" s="1"/>
  <c r="K798" i="26"/>
  <c r="N798" i="26" s="1"/>
  <c r="L797" i="26"/>
  <c r="O797" i="26" s="1"/>
  <c r="K797" i="26"/>
  <c r="N797" i="26" s="1"/>
  <c r="N796" i="26"/>
  <c r="L796" i="26"/>
  <c r="O796" i="26" s="1"/>
  <c r="K796" i="26"/>
  <c r="L795" i="26"/>
  <c r="O795" i="26" s="1"/>
  <c r="K795" i="26"/>
  <c r="N795" i="26" s="1"/>
  <c r="N794" i="26"/>
  <c r="L794" i="26"/>
  <c r="O794" i="26" s="1"/>
  <c r="K794" i="26"/>
  <c r="L793" i="26"/>
  <c r="O793" i="26" s="1"/>
  <c r="K793" i="26"/>
  <c r="N793" i="26" s="1"/>
  <c r="L792" i="26"/>
  <c r="O792" i="26" s="1"/>
  <c r="K792" i="26"/>
  <c r="N792" i="26" s="1"/>
  <c r="L791" i="26"/>
  <c r="O791" i="26" s="1"/>
  <c r="K791" i="26"/>
  <c r="N791" i="26" s="1"/>
  <c r="L790" i="26"/>
  <c r="O790" i="26" s="1"/>
  <c r="K790" i="26"/>
  <c r="N790" i="26" s="1"/>
  <c r="L789" i="26"/>
  <c r="O789" i="26" s="1"/>
  <c r="K789" i="26"/>
  <c r="N789" i="26" s="1"/>
  <c r="N788" i="26"/>
  <c r="L788" i="26"/>
  <c r="O788" i="26" s="1"/>
  <c r="K788" i="26"/>
  <c r="L787" i="26"/>
  <c r="O787" i="26" s="1"/>
  <c r="K787" i="26"/>
  <c r="N787" i="26" s="1"/>
  <c r="N786" i="26"/>
  <c r="L786" i="26"/>
  <c r="O786" i="26" s="1"/>
  <c r="K786" i="26"/>
  <c r="L785" i="26"/>
  <c r="O785" i="26" s="1"/>
  <c r="K785" i="26"/>
  <c r="N785" i="26" s="1"/>
  <c r="L784" i="26"/>
  <c r="O784" i="26" s="1"/>
  <c r="K784" i="26"/>
  <c r="N784" i="26" s="1"/>
  <c r="L783" i="26"/>
  <c r="O783" i="26" s="1"/>
  <c r="K783" i="26"/>
  <c r="N783" i="26" s="1"/>
  <c r="L782" i="26"/>
  <c r="O782" i="26" s="1"/>
  <c r="K782" i="26"/>
  <c r="N782" i="26" s="1"/>
  <c r="L781" i="26"/>
  <c r="O781" i="26" s="1"/>
  <c r="K781" i="26"/>
  <c r="N781" i="26" s="1"/>
  <c r="N780" i="26"/>
  <c r="L780" i="26"/>
  <c r="O780" i="26" s="1"/>
  <c r="K780" i="26"/>
  <c r="L779" i="26"/>
  <c r="O779" i="26" s="1"/>
  <c r="K779" i="26"/>
  <c r="N779" i="26" s="1"/>
  <c r="N778" i="26"/>
  <c r="L778" i="26"/>
  <c r="O778" i="26" s="1"/>
  <c r="K778" i="26"/>
  <c r="L777" i="26"/>
  <c r="O777" i="26" s="1"/>
  <c r="K777" i="26"/>
  <c r="N777" i="26" s="1"/>
  <c r="L776" i="26"/>
  <c r="O776" i="26" s="1"/>
  <c r="K776" i="26"/>
  <c r="N776" i="26" s="1"/>
  <c r="L775" i="26"/>
  <c r="O775" i="26" s="1"/>
  <c r="K775" i="26"/>
  <c r="N775" i="26" s="1"/>
  <c r="L774" i="26"/>
  <c r="O774" i="26" s="1"/>
  <c r="K774" i="26"/>
  <c r="N774" i="26" s="1"/>
  <c r="L773" i="26"/>
  <c r="O773" i="26" s="1"/>
  <c r="K773" i="26"/>
  <c r="N773" i="26" s="1"/>
  <c r="N772" i="26"/>
  <c r="L772" i="26"/>
  <c r="O772" i="26" s="1"/>
  <c r="K772" i="26"/>
  <c r="L771" i="26"/>
  <c r="O771" i="26" s="1"/>
  <c r="K771" i="26"/>
  <c r="N771" i="26" s="1"/>
  <c r="N770" i="26"/>
  <c r="L770" i="26"/>
  <c r="O770" i="26" s="1"/>
  <c r="K770" i="26"/>
  <c r="L769" i="26"/>
  <c r="O769" i="26" s="1"/>
  <c r="K769" i="26"/>
  <c r="N769" i="26" s="1"/>
  <c r="L768" i="26"/>
  <c r="O768" i="26" s="1"/>
  <c r="J768" i="26"/>
  <c r="M768" i="26" s="1"/>
  <c r="J767" i="26"/>
  <c r="M767" i="26" s="1"/>
  <c r="J766" i="26"/>
  <c r="M766" i="26" s="1"/>
  <c r="J765" i="26"/>
  <c r="M765" i="26" s="1"/>
  <c r="J764" i="26"/>
  <c r="M764" i="26" s="1"/>
  <c r="L763" i="26"/>
  <c r="O763" i="26" s="1"/>
  <c r="J763" i="26"/>
  <c r="M763" i="26" s="1"/>
  <c r="J762" i="26"/>
  <c r="M762" i="26" s="1"/>
  <c r="J761" i="26"/>
  <c r="M761" i="26" s="1"/>
  <c r="J760" i="26"/>
  <c r="M760" i="26" s="1"/>
  <c r="J759" i="26"/>
  <c r="M759" i="26" s="1"/>
  <c r="L758" i="26"/>
  <c r="O758" i="26" s="1"/>
  <c r="J758" i="26"/>
  <c r="M758" i="26" s="1"/>
  <c r="J757" i="26"/>
  <c r="M757" i="26" s="1"/>
  <c r="J756" i="26"/>
  <c r="M756" i="26" s="1"/>
  <c r="J755" i="26"/>
  <c r="M755" i="26" s="1"/>
  <c r="J754" i="26"/>
  <c r="M754" i="26" s="1"/>
  <c r="J753" i="26"/>
  <c r="M753" i="26" s="1"/>
  <c r="L752" i="26"/>
  <c r="O752" i="26" s="1"/>
  <c r="J752" i="26"/>
  <c r="M752" i="26" s="1"/>
  <c r="J751" i="26"/>
  <c r="M751" i="26" s="1"/>
  <c r="J750" i="26"/>
  <c r="M750" i="26" s="1"/>
  <c r="J749" i="26"/>
  <c r="M749" i="26" s="1"/>
  <c r="J748" i="26"/>
  <c r="M748" i="26" s="1"/>
  <c r="J747" i="26"/>
  <c r="M747" i="26" s="1"/>
  <c r="J746" i="26"/>
  <c r="M746" i="26" s="1"/>
  <c r="L745" i="26"/>
  <c r="O745" i="26" s="1"/>
  <c r="J745" i="26"/>
  <c r="M745" i="26" s="1"/>
  <c r="J744" i="26"/>
  <c r="M744" i="26" s="1"/>
  <c r="J743" i="26"/>
  <c r="M743" i="26" s="1"/>
  <c r="J742" i="26"/>
  <c r="M742" i="26" s="1"/>
  <c r="J741" i="26"/>
  <c r="M741" i="26" s="1"/>
  <c r="J740" i="26"/>
  <c r="M740" i="26" s="1"/>
  <c r="L739" i="26"/>
  <c r="O739" i="26" s="1"/>
  <c r="J739" i="26"/>
  <c r="M739" i="26" s="1"/>
  <c r="J738" i="26"/>
  <c r="M738" i="26" s="1"/>
  <c r="J737" i="26"/>
  <c r="M737" i="26" s="1"/>
  <c r="J736" i="26"/>
  <c r="M736" i="26" s="1"/>
  <c r="J735" i="26"/>
  <c r="M735" i="26" s="1"/>
  <c r="L734" i="26"/>
  <c r="O734" i="26" s="1"/>
  <c r="J734" i="26"/>
  <c r="M734" i="26" s="1"/>
  <c r="J733" i="26"/>
  <c r="M733" i="26" s="1"/>
  <c r="J732" i="26"/>
  <c r="M732" i="26" s="1"/>
  <c r="J731" i="26"/>
  <c r="M731" i="26" s="1"/>
  <c r="J730" i="26"/>
  <c r="M730" i="26" s="1"/>
  <c r="L729" i="26"/>
  <c r="O729" i="26" s="1"/>
  <c r="J729" i="26"/>
  <c r="M729" i="26" s="1"/>
  <c r="J728" i="26"/>
  <c r="M728" i="26" s="1"/>
  <c r="J727" i="26"/>
  <c r="M727" i="26" s="1"/>
  <c r="J726" i="26"/>
  <c r="M726" i="26" s="1"/>
  <c r="J725" i="26"/>
  <c r="M725" i="26" s="1"/>
  <c r="L724" i="26"/>
  <c r="O724" i="26" s="1"/>
  <c r="J724" i="26"/>
  <c r="M724" i="26" s="1"/>
  <c r="J723" i="26"/>
  <c r="M723" i="26" s="1"/>
  <c r="J722" i="26"/>
  <c r="M722" i="26" s="1"/>
  <c r="J721" i="26"/>
  <c r="M721" i="26" s="1"/>
  <c r="J720" i="26"/>
  <c r="M720" i="26" s="1"/>
  <c r="J719" i="26"/>
  <c r="M719" i="26" s="1"/>
  <c r="L718" i="26"/>
  <c r="O718" i="26" s="1"/>
  <c r="J718" i="26"/>
  <c r="M718" i="26" s="1"/>
  <c r="J717" i="26"/>
  <c r="M717" i="26" s="1"/>
  <c r="J716" i="26"/>
  <c r="M716" i="26" s="1"/>
  <c r="J715" i="26"/>
  <c r="M715" i="26" s="1"/>
  <c r="J714" i="26"/>
  <c r="M714" i="26" s="1"/>
  <c r="J713" i="26"/>
  <c r="M713" i="26" s="1"/>
  <c r="L712" i="26"/>
  <c r="O712" i="26" s="1"/>
  <c r="J712" i="26"/>
  <c r="M712" i="26" s="1"/>
  <c r="J711" i="26"/>
  <c r="M711" i="26" s="1"/>
  <c r="J710" i="26"/>
  <c r="M710" i="26" s="1"/>
  <c r="J709" i="26"/>
  <c r="M709" i="26" s="1"/>
  <c r="J708" i="26"/>
  <c r="M708" i="26" s="1"/>
  <c r="L707" i="26"/>
  <c r="O707" i="26" s="1"/>
  <c r="J707" i="26"/>
  <c r="M707" i="26" s="1"/>
  <c r="J706" i="26"/>
  <c r="M706" i="26" s="1"/>
  <c r="J705" i="26"/>
  <c r="M705" i="26" s="1"/>
  <c r="J704" i="26"/>
  <c r="M704" i="26" s="1"/>
  <c r="J703" i="26"/>
  <c r="M703" i="26" s="1"/>
  <c r="L529" i="26"/>
  <c r="O529" i="26" s="1"/>
  <c r="L525" i="26"/>
  <c r="O525" i="26" s="1"/>
  <c r="L521" i="26"/>
  <c r="O521" i="26" s="1"/>
  <c r="L515" i="26"/>
  <c r="O515" i="26" s="1"/>
  <c r="L510" i="26"/>
  <c r="O510" i="26" s="1"/>
  <c r="L504" i="26"/>
  <c r="O504" i="26" s="1"/>
  <c r="L499" i="26"/>
  <c r="O499" i="26" s="1"/>
  <c r="L494" i="26"/>
  <c r="O494" i="26" s="1"/>
  <c r="L490" i="26"/>
  <c r="O490" i="26" s="1"/>
  <c r="L485" i="26"/>
  <c r="O485" i="26" s="1"/>
  <c r="L480" i="26"/>
  <c r="O480" i="26" s="1"/>
  <c r="L474" i="26"/>
  <c r="O474" i="26" s="1"/>
  <c r="L469" i="26"/>
  <c r="O469" i="26" s="1"/>
  <c r="J469" i="26"/>
  <c r="M469" i="26" s="1"/>
  <c r="L468" i="26"/>
  <c r="O468" i="26" s="1"/>
  <c r="J468" i="26"/>
  <c r="M468" i="26" s="1"/>
  <c r="L467" i="26"/>
  <c r="O467" i="26" s="1"/>
  <c r="J467" i="26"/>
  <c r="M467" i="26" s="1"/>
  <c r="L466" i="26"/>
  <c r="O466" i="26" s="1"/>
  <c r="J466" i="26"/>
  <c r="M466" i="26" s="1"/>
  <c r="L465" i="26"/>
  <c r="O465" i="26" s="1"/>
  <c r="J465" i="26"/>
  <c r="M465" i="26" s="1"/>
  <c r="L464" i="26"/>
  <c r="O464" i="26" s="1"/>
  <c r="J464" i="26"/>
  <c r="M464" i="26" s="1"/>
  <c r="L463" i="26"/>
  <c r="O463" i="26" s="1"/>
  <c r="J463" i="26"/>
  <c r="M463" i="26" s="1"/>
  <c r="L462" i="26"/>
  <c r="O462" i="26" s="1"/>
  <c r="J462" i="26"/>
  <c r="M462" i="26" s="1"/>
  <c r="L461" i="26"/>
  <c r="O461" i="26" s="1"/>
  <c r="J461" i="26"/>
  <c r="M461" i="26" s="1"/>
  <c r="L460" i="26"/>
  <c r="O460" i="26" s="1"/>
  <c r="J460" i="26"/>
  <c r="M460" i="26" s="1"/>
  <c r="L459" i="26"/>
  <c r="O459" i="26" s="1"/>
  <c r="J459" i="26"/>
  <c r="M459" i="26" s="1"/>
  <c r="L458" i="26"/>
  <c r="O458" i="26" s="1"/>
  <c r="J458" i="26"/>
  <c r="M458" i="26" s="1"/>
  <c r="L457" i="26"/>
  <c r="O457" i="26" s="1"/>
  <c r="L453" i="26"/>
  <c r="O453" i="26" s="1"/>
  <c r="L449" i="26"/>
  <c r="O449" i="26" s="1"/>
  <c r="L443" i="26"/>
  <c r="O443" i="26" s="1"/>
  <c r="L438" i="26"/>
  <c r="O438" i="26" s="1"/>
  <c r="L432" i="26"/>
  <c r="O432" i="26" s="1"/>
  <c r="L427" i="26"/>
  <c r="O427" i="26" s="1"/>
  <c r="L422" i="26"/>
  <c r="O422" i="26" s="1"/>
  <c r="L418" i="26"/>
  <c r="O418" i="26" s="1"/>
  <c r="L413" i="26"/>
  <c r="O413" i="26" s="1"/>
  <c r="L408" i="26"/>
  <c r="O408" i="26" s="1"/>
  <c r="L402" i="26"/>
  <c r="O402" i="26" s="1"/>
  <c r="L397" i="26"/>
  <c r="O397" i="26" s="1"/>
  <c r="L396" i="26"/>
  <c r="O396" i="26" s="1"/>
  <c r="L395" i="26"/>
  <c r="O395" i="26" s="1"/>
  <c r="L394" i="26"/>
  <c r="O394" i="26" s="1"/>
  <c r="L393" i="26"/>
  <c r="O393" i="26" s="1"/>
  <c r="L392" i="26"/>
  <c r="O392" i="26" s="1"/>
  <c r="L391" i="26"/>
  <c r="O391" i="26" s="1"/>
  <c r="L390" i="26"/>
  <c r="O390" i="26" s="1"/>
  <c r="L389" i="26"/>
  <c r="O389" i="26" s="1"/>
  <c r="L388" i="26"/>
  <c r="O388" i="26" s="1"/>
  <c r="L387" i="26"/>
  <c r="O387" i="26" s="1"/>
  <c r="L386" i="26"/>
  <c r="O386" i="26" s="1"/>
  <c r="L385" i="26"/>
  <c r="O385" i="26" s="1"/>
  <c r="J385" i="26"/>
  <c r="M385" i="26" s="1"/>
  <c r="L384" i="26"/>
  <c r="O384" i="26" s="1"/>
  <c r="J384" i="26"/>
  <c r="M384" i="26" s="1"/>
  <c r="L383" i="26"/>
  <c r="O383" i="26" s="1"/>
  <c r="J383" i="26"/>
  <c r="M383" i="26" s="1"/>
  <c r="L382" i="26"/>
  <c r="O382" i="26" s="1"/>
  <c r="J382" i="26"/>
  <c r="M382" i="26" s="1"/>
  <c r="L381" i="26"/>
  <c r="O381" i="26" s="1"/>
  <c r="J381" i="26"/>
  <c r="M381" i="26" s="1"/>
  <c r="L380" i="26"/>
  <c r="O380" i="26" s="1"/>
  <c r="J380" i="26"/>
  <c r="M380" i="26" s="1"/>
  <c r="L379" i="26"/>
  <c r="O379" i="26" s="1"/>
  <c r="J379" i="26"/>
  <c r="M379" i="26" s="1"/>
  <c r="L378" i="26"/>
  <c r="O378" i="26" s="1"/>
  <c r="J378" i="26"/>
  <c r="M378" i="26" s="1"/>
  <c r="L377" i="26"/>
  <c r="O377" i="26" s="1"/>
  <c r="J377" i="26"/>
  <c r="M377" i="26" s="1"/>
  <c r="L376" i="26"/>
  <c r="O376" i="26" s="1"/>
  <c r="J376" i="26"/>
  <c r="M376" i="26" s="1"/>
  <c r="L375" i="26"/>
  <c r="O375" i="26" s="1"/>
  <c r="J375" i="26"/>
  <c r="M375" i="26" s="1"/>
  <c r="L374" i="26"/>
  <c r="O374" i="26" s="1"/>
  <c r="J374" i="26"/>
  <c r="M374" i="26" s="1"/>
  <c r="L373" i="26"/>
  <c r="O373" i="26" s="1"/>
  <c r="L372" i="26"/>
  <c r="O372" i="26" s="1"/>
  <c r="L371" i="26"/>
  <c r="O371" i="26" s="1"/>
  <c r="L370" i="26"/>
  <c r="O370" i="26" s="1"/>
  <c r="L369" i="26"/>
  <c r="O369" i="26" s="1"/>
  <c r="L368" i="26"/>
  <c r="O368" i="26" s="1"/>
  <c r="L367" i="26"/>
  <c r="O367" i="26" s="1"/>
  <c r="L366" i="26"/>
  <c r="O366" i="26" s="1"/>
  <c r="L365" i="26"/>
  <c r="O365" i="26" s="1"/>
  <c r="L364" i="26"/>
  <c r="O364" i="26" s="1"/>
  <c r="L363" i="26"/>
  <c r="O363" i="26" s="1"/>
  <c r="L362" i="26"/>
  <c r="O362" i="26" s="1"/>
  <c r="L361" i="26"/>
  <c r="O361" i="26" s="1"/>
  <c r="L355" i="26"/>
  <c r="O355" i="26" s="1"/>
  <c r="L349" i="26"/>
  <c r="O349" i="26" s="1"/>
  <c r="L344" i="26"/>
  <c r="O344" i="26" s="1"/>
  <c r="L335" i="26"/>
  <c r="O335" i="26" s="1"/>
  <c r="L331" i="26"/>
  <c r="O331" i="26" s="1"/>
  <c r="L310" i="26"/>
  <c r="O310" i="26" s="1"/>
  <c r="J310" i="26"/>
  <c r="M310" i="26" s="1"/>
  <c r="L309" i="26"/>
  <c r="O309" i="26" s="1"/>
  <c r="J309" i="26"/>
  <c r="M309" i="26" s="1"/>
  <c r="L308" i="26"/>
  <c r="O308" i="26" s="1"/>
  <c r="J308" i="26"/>
  <c r="M308" i="26" s="1"/>
  <c r="L307" i="26"/>
  <c r="O307" i="26" s="1"/>
  <c r="J307" i="26"/>
  <c r="M307" i="26" s="1"/>
  <c r="L306" i="26"/>
  <c r="O306" i="26" s="1"/>
  <c r="J306" i="26"/>
  <c r="M306" i="26" s="1"/>
  <c r="L305" i="26"/>
  <c r="O305" i="26" s="1"/>
  <c r="J305" i="26"/>
  <c r="M305" i="26" s="1"/>
  <c r="L304" i="26"/>
  <c r="O304" i="26" s="1"/>
  <c r="L298" i="26"/>
  <c r="O298" i="26" s="1"/>
  <c r="L292" i="26"/>
  <c r="O292" i="26" s="1"/>
  <c r="L287" i="26"/>
  <c r="O287" i="26" s="1"/>
  <c r="L278" i="26"/>
  <c r="O278" i="26" s="1"/>
  <c r="L274" i="26"/>
  <c r="O274" i="26" s="1"/>
  <c r="L253" i="26"/>
  <c r="O253" i="26" s="1"/>
  <c r="K253" i="26"/>
  <c r="N253" i="26" s="1"/>
  <c r="L252" i="26"/>
  <c r="O252" i="26" s="1"/>
  <c r="K252" i="26"/>
  <c r="N252" i="26" s="1"/>
  <c r="L251" i="26"/>
  <c r="O251" i="26" s="1"/>
  <c r="K251" i="26"/>
  <c r="N251" i="26" s="1"/>
  <c r="L250" i="26"/>
  <c r="O250" i="26" s="1"/>
  <c r="K250" i="26"/>
  <c r="N250" i="26" s="1"/>
  <c r="L249" i="26"/>
  <c r="O249" i="26" s="1"/>
  <c r="K249" i="26"/>
  <c r="N249" i="26" s="1"/>
  <c r="L248" i="26"/>
  <c r="O248" i="26" s="1"/>
  <c r="K248" i="26"/>
  <c r="N248" i="26" s="1"/>
  <c r="L247" i="26"/>
  <c r="O247" i="26" s="1"/>
  <c r="K247" i="26"/>
  <c r="N247" i="26" s="1"/>
  <c r="N246" i="26"/>
  <c r="L246" i="26"/>
  <c r="O246" i="26" s="1"/>
  <c r="K246" i="26"/>
  <c r="L245" i="26"/>
  <c r="O245" i="26" s="1"/>
  <c r="K245" i="26"/>
  <c r="N245" i="26" s="1"/>
  <c r="L244" i="26"/>
  <c r="O244" i="26" s="1"/>
  <c r="K244" i="26"/>
  <c r="N244" i="26" s="1"/>
  <c r="L243" i="26"/>
  <c r="O243" i="26" s="1"/>
  <c r="K243" i="26"/>
  <c r="N243" i="26" s="1"/>
  <c r="L242" i="26"/>
  <c r="O242" i="26" s="1"/>
  <c r="K242" i="26"/>
  <c r="N242" i="26" s="1"/>
  <c r="L241" i="26"/>
  <c r="O241" i="26" s="1"/>
  <c r="K241" i="26"/>
  <c r="N241" i="26" s="1"/>
  <c r="L240" i="26"/>
  <c r="O240" i="26" s="1"/>
  <c r="K240" i="26"/>
  <c r="N240" i="26" s="1"/>
  <c r="L239" i="26"/>
  <c r="O239" i="26" s="1"/>
  <c r="K239" i="26"/>
  <c r="N239" i="26" s="1"/>
  <c r="N238" i="26"/>
  <c r="L238" i="26"/>
  <c r="O238" i="26" s="1"/>
  <c r="K238" i="26"/>
  <c r="L237" i="26"/>
  <c r="O237" i="26" s="1"/>
  <c r="K237" i="26"/>
  <c r="N237" i="26" s="1"/>
  <c r="N236" i="26"/>
  <c r="L236" i="26"/>
  <c r="O236" i="26" s="1"/>
  <c r="K236" i="26"/>
  <c r="L235" i="26"/>
  <c r="O235" i="26" s="1"/>
  <c r="K235" i="26"/>
  <c r="N235" i="26" s="1"/>
  <c r="L234" i="26"/>
  <c r="O234" i="26" s="1"/>
  <c r="K234" i="26"/>
  <c r="N234" i="26" s="1"/>
  <c r="L233" i="26"/>
  <c r="O233" i="26" s="1"/>
  <c r="K233" i="26"/>
  <c r="N233" i="26" s="1"/>
  <c r="L232" i="26"/>
  <c r="O232" i="26" s="1"/>
  <c r="K232" i="26"/>
  <c r="N232" i="26" s="1"/>
  <c r="L231" i="26"/>
  <c r="O231" i="26" s="1"/>
  <c r="K231" i="26"/>
  <c r="N231" i="26" s="1"/>
  <c r="N230" i="26"/>
  <c r="L230" i="26"/>
  <c r="O230" i="26" s="1"/>
  <c r="K230" i="26"/>
  <c r="L229" i="26"/>
  <c r="O229" i="26" s="1"/>
  <c r="K229" i="26"/>
  <c r="N229" i="26" s="1"/>
  <c r="L228" i="26"/>
  <c r="O228" i="26" s="1"/>
  <c r="K228" i="26"/>
  <c r="N228" i="26" s="1"/>
  <c r="L227" i="26"/>
  <c r="O227" i="26" s="1"/>
  <c r="K227" i="26"/>
  <c r="N227" i="26" s="1"/>
  <c r="L226" i="26"/>
  <c r="O226" i="26" s="1"/>
  <c r="K226" i="26"/>
  <c r="N226" i="26" s="1"/>
  <c r="L225" i="26"/>
  <c r="O225" i="26" s="1"/>
  <c r="K225" i="26"/>
  <c r="N225" i="26" s="1"/>
  <c r="L224" i="26"/>
  <c r="O224" i="26" s="1"/>
  <c r="K224" i="26"/>
  <c r="N224" i="26" s="1"/>
  <c r="L223" i="26"/>
  <c r="O223" i="26" s="1"/>
  <c r="K223" i="26"/>
  <c r="N223" i="26" s="1"/>
  <c r="N222" i="26"/>
  <c r="L222" i="26"/>
  <c r="O222" i="26" s="1"/>
  <c r="K222" i="26"/>
  <c r="L221" i="26"/>
  <c r="O221" i="26" s="1"/>
  <c r="K221" i="26"/>
  <c r="N221" i="26" s="1"/>
  <c r="L220" i="26"/>
  <c r="O220" i="26" s="1"/>
  <c r="K220" i="26"/>
  <c r="N220" i="26" s="1"/>
  <c r="L219" i="26"/>
  <c r="O219" i="26" s="1"/>
  <c r="K219" i="26"/>
  <c r="N219" i="26" s="1"/>
  <c r="L218" i="26"/>
  <c r="O218" i="26" s="1"/>
  <c r="K218" i="26"/>
  <c r="N218" i="26" s="1"/>
  <c r="L217" i="26"/>
  <c r="O217" i="26" s="1"/>
  <c r="K217" i="26"/>
  <c r="N217" i="26" s="1"/>
  <c r="L216" i="26"/>
  <c r="O216" i="26" s="1"/>
  <c r="K216" i="26"/>
  <c r="N216" i="26" s="1"/>
  <c r="L215" i="26"/>
  <c r="O215" i="26" s="1"/>
  <c r="K215" i="26"/>
  <c r="N215" i="26" s="1"/>
  <c r="N214" i="26"/>
  <c r="L214" i="26"/>
  <c r="O214" i="26" s="1"/>
  <c r="K214" i="26"/>
  <c r="L213" i="26"/>
  <c r="O213" i="26" s="1"/>
  <c r="K213" i="26"/>
  <c r="N213" i="26" s="1"/>
  <c r="L212" i="26"/>
  <c r="O212" i="26" s="1"/>
  <c r="K212" i="26"/>
  <c r="N212" i="26" s="1"/>
  <c r="L211" i="26"/>
  <c r="O211" i="26" s="1"/>
  <c r="K211" i="26"/>
  <c r="N211" i="26" s="1"/>
  <c r="L210" i="26"/>
  <c r="O210" i="26" s="1"/>
  <c r="K210" i="26"/>
  <c r="N210" i="26" s="1"/>
  <c r="L209" i="26"/>
  <c r="O209" i="26" s="1"/>
  <c r="K209" i="26"/>
  <c r="N209" i="26" s="1"/>
  <c r="N208" i="26"/>
  <c r="L208" i="26"/>
  <c r="O208" i="26" s="1"/>
  <c r="K208" i="26"/>
  <c r="L207" i="26"/>
  <c r="O207" i="26" s="1"/>
  <c r="K207" i="26"/>
  <c r="N207" i="26" s="1"/>
  <c r="N206" i="26"/>
  <c r="L206" i="26"/>
  <c r="O206" i="26" s="1"/>
  <c r="K206" i="26"/>
  <c r="L205" i="26"/>
  <c r="O205" i="26" s="1"/>
  <c r="K205" i="26"/>
  <c r="N205" i="26" s="1"/>
  <c r="L204" i="26"/>
  <c r="O204" i="26" s="1"/>
  <c r="K204" i="26"/>
  <c r="N204" i="26" s="1"/>
  <c r="L203" i="26"/>
  <c r="O203" i="26" s="1"/>
  <c r="K203" i="26"/>
  <c r="N203" i="26" s="1"/>
  <c r="L202" i="26"/>
  <c r="O202" i="26" s="1"/>
  <c r="K202" i="26"/>
  <c r="N202" i="26" s="1"/>
  <c r="L201" i="26"/>
  <c r="O201" i="26" s="1"/>
  <c r="K201" i="26"/>
  <c r="N201" i="26" s="1"/>
  <c r="N200" i="26"/>
  <c r="L200" i="26"/>
  <c r="O200" i="26" s="1"/>
  <c r="K200" i="26"/>
  <c r="L199" i="26"/>
  <c r="O199" i="26" s="1"/>
  <c r="K199" i="26"/>
  <c r="N199" i="26" s="1"/>
  <c r="L198" i="26"/>
  <c r="O198" i="26" s="1"/>
  <c r="K198" i="26"/>
  <c r="N198" i="26" s="1"/>
  <c r="N197" i="26"/>
  <c r="L197" i="26"/>
  <c r="O197" i="26" s="1"/>
  <c r="K197" i="26"/>
  <c r="N196" i="26"/>
  <c r="L196" i="26"/>
  <c r="O196" i="26" s="1"/>
  <c r="K196" i="26"/>
  <c r="L195" i="26"/>
  <c r="O195" i="26" s="1"/>
  <c r="K195" i="26"/>
  <c r="N195" i="26" s="1"/>
  <c r="L194" i="26"/>
  <c r="O194" i="26" s="1"/>
  <c r="K194" i="26"/>
  <c r="N194" i="26" s="1"/>
  <c r="O181" i="26"/>
  <c r="M181" i="26"/>
  <c r="O180" i="26"/>
  <c r="M180" i="26"/>
  <c r="O179" i="26"/>
  <c r="M179" i="26"/>
  <c r="O178" i="26"/>
  <c r="M178" i="26"/>
  <c r="O177" i="26"/>
  <c r="M177" i="26"/>
  <c r="O176" i="26"/>
  <c r="M176" i="26"/>
  <c r="O175" i="26"/>
  <c r="M175" i="26"/>
  <c r="O174" i="26"/>
  <c r="M174" i="26"/>
  <c r="O173" i="26"/>
  <c r="M173" i="26"/>
  <c r="O172" i="26"/>
  <c r="M172" i="26"/>
  <c r="O171" i="26"/>
  <c r="M171" i="26"/>
  <c r="O170" i="26"/>
  <c r="M170" i="26"/>
  <c r="O133" i="26"/>
  <c r="L133" i="26"/>
  <c r="O131" i="26"/>
  <c r="L131" i="26"/>
  <c r="O129" i="26"/>
  <c r="L129" i="26"/>
  <c r="O127" i="26"/>
  <c r="L127" i="26"/>
  <c r="O125" i="26"/>
  <c r="L125" i="26"/>
  <c r="O123" i="26"/>
  <c r="L123" i="26"/>
  <c r="O121" i="26"/>
  <c r="L121" i="26"/>
  <c r="O119" i="26"/>
  <c r="L119" i="26"/>
  <c r="O117" i="26"/>
  <c r="L117" i="26"/>
  <c r="O115" i="26"/>
  <c r="L115" i="26"/>
  <c r="O113" i="26"/>
  <c r="L113" i="26"/>
  <c r="O111" i="26"/>
  <c r="L111" i="26"/>
  <c r="O109" i="26"/>
  <c r="L109" i="26"/>
  <c r="J109" i="26"/>
  <c r="M109" i="26" s="1"/>
  <c r="M108" i="26"/>
  <c r="L108" i="26"/>
  <c r="O108" i="26" s="1"/>
  <c r="J108" i="26"/>
  <c r="O107" i="26"/>
  <c r="L107" i="26"/>
  <c r="J107" i="26"/>
  <c r="M107" i="26" s="1"/>
  <c r="L106" i="26"/>
  <c r="O106" i="26" s="1"/>
  <c r="J106" i="26"/>
  <c r="M106" i="26" s="1"/>
  <c r="O105" i="26"/>
  <c r="L105" i="26"/>
  <c r="J105" i="26"/>
  <c r="M105" i="26" s="1"/>
  <c r="M104" i="26"/>
  <c r="L104" i="26"/>
  <c r="O104" i="26" s="1"/>
  <c r="J104" i="26"/>
  <c r="O103" i="26"/>
  <c r="L103" i="26"/>
  <c r="J103" i="26"/>
  <c r="M103" i="26" s="1"/>
  <c r="L102" i="26"/>
  <c r="O102" i="26" s="1"/>
  <c r="J102" i="26"/>
  <c r="M102" i="26" s="1"/>
  <c r="O101" i="26"/>
  <c r="L101" i="26"/>
  <c r="J101" i="26"/>
  <c r="M101" i="26" s="1"/>
  <c r="M100" i="26"/>
  <c r="L100" i="26"/>
  <c r="O100" i="26" s="1"/>
  <c r="J100" i="26"/>
  <c r="O99" i="26"/>
  <c r="L99" i="26"/>
  <c r="J99" i="26"/>
  <c r="M99" i="26" s="1"/>
  <c r="L98" i="26"/>
  <c r="O98" i="26" s="1"/>
  <c r="J98" i="26"/>
  <c r="M98" i="26" s="1"/>
  <c r="O97" i="26"/>
  <c r="L97" i="26"/>
  <c r="O95" i="26"/>
  <c r="L95" i="26"/>
  <c r="O93" i="26"/>
  <c r="L93" i="26"/>
  <c r="O91" i="26"/>
  <c r="L91" i="26"/>
  <c r="O89" i="26"/>
  <c r="L89" i="26"/>
  <c r="O87" i="26"/>
  <c r="L87" i="26"/>
  <c r="O85" i="26"/>
  <c r="L85" i="26"/>
  <c r="O83" i="26"/>
  <c r="L83" i="26"/>
  <c r="O81" i="26"/>
  <c r="L81" i="26"/>
  <c r="O79" i="26"/>
  <c r="L79" i="26"/>
  <c r="O77" i="26"/>
  <c r="L77" i="26"/>
  <c r="O75" i="26"/>
  <c r="L75" i="26"/>
  <c r="O73" i="26"/>
  <c r="L73" i="26"/>
  <c r="L72" i="26"/>
  <c r="O72" i="26" s="1"/>
  <c r="L71" i="26"/>
  <c r="O71" i="26" s="1"/>
  <c r="L70" i="26"/>
  <c r="O70" i="26" s="1"/>
  <c r="O69" i="26"/>
  <c r="L69" i="26"/>
  <c r="L68" i="26"/>
  <c r="O68" i="26" s="1"/>
  <c r="L67" i="26"/>
  <c r="O67" i="26" s="1"/>
  <c r="L66" i="26"/>
  <c r="O66" i="26" s="1"/>
  <c r="O65" i="26"/>
  <c r="L65" i="26"/>
  <c r="L64" i="26"/>
  <c r="O64" i="26" s="1"/>
  <c r="L63" i="26"/>
  <c r="O63" i="26" s="1"/>
  <c r="L62" i="26"/>
  <c r="O62" i="26" s="1"/>
  <c r="O61" i="26"/>
  <c r="L61" i="26"/>
  <c r="J61" i="26"/>
  <c r="M61" i="26" s="1"/>
  <c r="L60" i="26"/>
  <c r="O60" i="26" s="1"/>
  <c r="J60" i="26"/>
  <c r="M60" i="26" s="1"/>
  <c r="O59" i="26"/>
  <c r="L59" i="26"/>
  <c r="J59" i="26"/>
  <c r="M59" i="26" s="1"/>
  <c r="L58" i="26"/>
  <c r="O58" i="26" s="1"/>
  <c r="J58" i="26"/>
  <c r="M58" i="26" s="1"/>
  <c r="O57" i="26"/>
  <c r="L57" i="26"/>
  <c r="J57" i="26"/>
  <c r="M57" i="26" s="1"/>
  <c r="L56" i="26"/>
  <c r="O56" i="26" s="1"/>
  <c r="J56" i="26"/>
  <c r="M56" i="26" s="1"/>
  <c r="O55" i="26"/>
  <c r="L55" i="26"/>
  <c r="J55" i="26"/>
  <c r="M55" i="26" s="1"/>
  <c r="M54" i="26"/>
  <c r="L54" i="26"/>
  <c r="O54" i="26" s="1"/>
  <c r="J54" i="26"/>
  <c r="O53" i="26"/>
  <c r="L53" i="26"/>
  <c r="J53" i="26"/>
  <c r="M53" i="26" s="1"/>
  <c r="L52" i="26"/>
  <c r="O52" i="26" s="1"/>
  <c r="J52" i="26"/>
  <c r="M52" i="26" s="1"/>
  <c r="O51" i="26"/>
  <c r="L51" i="26"/>
  <c r="J51" i="26"/>
  <c r="M51" i="26" s="1"/>
  <c r="M50" i="26"/>
  <c r="L50" i="26"/>
  <c r="O50" i="26" s="1"/>
  <c r="J50" i="26"/>
  <c r="O49" i="26"/>
  <c r="L49" i="26"/>
  <c r="L48" i="26"/>
  <c r="O48" i="26" s="1"/>
  <c r="L47" i="26"/>
  <c r="O47" i="26" s="1"/>
  <c r="L46" i="26"/>
  <c r="O46" i="26" s="1"/>
  <c r="O45" i="26"/>
  <c r="L45" i="26"/>
  <c r="L44" i="26"/>
  <c r="O44" i="26" s="1"/>
  <c r="L43" i="26"/>
  <c r="O43" i="26" s="1"/>
  <c r="L42" i="26"/>
  <c r="O42" i="26" s="1"/>
  <c r="O41" i="26"/>
  <c r="L41" i="26"/>
  <c r="L40" i="26"/>
  <c r="O40" i="26" s="1"/>
  <c r="L39" i="26"/>
  <c r="O39" i="26" s="1"/>
  <c r="L38" i="26"/>
  <c r="O38" i="26" s="1"/>
  <c r="O37" i="26"/>
  <c r="L37" i="26"/>
  <c r="L36" i="26"/>
  <c r="O36" i="26" s="1"/>
  <c r="L35" i="26"/>
  <c r="O35" i="26" s="1"/>
  <c r="L34" i="26"/>
  <c r="O34" i="26" s="1"/>
  <c r="O33" i="26"/>
  <c r="L33" i="26"/>
  <c r="L32" i="26"/>
  <c r="O32" i="26" s="1"/>
  <c r="L31" i="26"/>
  <c r="O31" i="26" s="1"/>
  <c r="L30" i="26"/>
  <c r="O30" i="26" s="1"/>
  <c r="O29" i="26"/>
  <c r="L29" i="26"/>
  <c r="L28" i="26"/>
  <c r="O28" i="26" s="1"/>
  <c r="L27" i="26"/>
  <c r="O27" i="26" s="1"/>
  <c r="L26" i="26"/>
  <c r="O26" i="26" s="1"/>
  <c r="O25" i="26"/>
  <c r="L25" i="26"/>
  <c r="J25" i="26"/>
  <c r="M25" i="26" s="1"/>
  <c r="L24" i="26"/>
  <c r="O24" i="26" s="1"/>
  <c r="J24" i="26"/>
  <c r="M24" i="26" s="1"/>
  <c r="O23" i="26"/>
  <c r="L23" i="26"/>
  <c r="J23" i="26"/>
  <c r="M23" i="26" s="1"/>
  <c r="L22" i="26"/>
  <c r="O22" i="26" s="1"/>
  <c r="J22" i="26"/>
  <c r="M22" i="26" s="1"/>
  <c r="O21" i="26"/>
  <c r="L21" i="26"/>
  <c r="J21" i="26"/>
  <c r="M21" i="26" s="1"/>
  <c r="L20" i="26"/>
  <c r="O20" i="26" s="1"/>
  <c r="J20" i="26"/>
  <c r="M20" i="26" s="1"/>
  <c r="O19" i="26"/>
  <c r="L19" i="26"/>
  <c r="J19" i="26"/>
  <c r="M19" i="26" s="1"/>
  <c r="M18" i="26"/>
  <c r="L18" i="26"/>
  <c r="O18" i="26" s="1"/>
  <c r="J18" i="26"/>
  <c r="O17" i="26"/>
  <c r="L17" i="26"/>
  <c r="J17" i="26"/>
  <c r="M17" i="26" s="1"/>
  <c r="L16" i="26"/>
  <c r="O16" i="26" s="1"/>
  <c r="J16" i="26"/>
  <c r="M16" i="26" s="1"/>
  <c r="O15" i="26"/>
  <c r="L15" i="26"/>
  <c r="J15" i="26"/>
  <c r="M15" i="26" s="1"/>
  <c r="M14" i="26"/>
  <c r="L14" i="26"/>
  <c r="O14" i="26" s="1"/>
  <c r="J14" i="26"/>
  <c r="O13" i="26"/>
  <c r="L13" i="26"/>
  <c r="L12" i="26"/>
  <c r="O12" i="26" s="1"/>
  <c r="L11" i="26"/>
  <c r="O11" i="26" s="1"/>
  <c r="L10" i="26"/>
  <c r="O10" i="26" s="1"/>
  <c r="O9" i="26"/>
  <c r="L9" i="26"/>
  <c r="L8" i="26"/>
  <c r="O8" i="26" s="1"/>
  <c r="L7" i="26"/>
  <c r="O7" i="26" s="1"/>
  <c r="L6" i="26"/>
  <c r="O6" i="26" s="1"/>
  <c r="O5" i="26"/>
  <c r="L5" i="26"/>
  <c r="L4" i="26"/>
  <c r="O4" i="26" s="1"/>
  <c r="L3" i="26"/>
  <c r="O3" i="26" s="1"/>
  <c r="L2" i="26"/>
  <c r="X2548" i="22"/>
  <c r="W2548" i="22"/>
  <c r="X2547" i="22"/>
  <c r="W2547" i="22"/>
  <c r="X2546" i="22"/>
  <c r="W2546" i="22"/>
  <c r="X2545" i="22"/>
  <c r="W2545" i="22"/>
  <c r="X2544" i="22"/>
  <c r="W2544" i="22"/>
  <c r="X2543" i="22"/>
  <c r="W2543" i="22"/>
  <c r="X2542" i="22"/>
  <c r="W2542" i="22"/>
  <c r="X2541" i="22"/>
  <c r="W2541" i="22"/>
  <c r="X2540" i="22"/>
  <c r="W2540" i="22"/>
  <c r="X2539" i="22"/>
  <c r="W2539" i="22"/>
  <c r="X2538" i="22"/>
  <c r="W2538" i="22"/>
  <c r="X2537" i="22"/>
  <c r="W2537" i="22"/>
  <c r="X2536" i="22"/>
  <c r="W2536" i="22"/>
  <c r="X2535" i="22"/>
  <c r="W2535" i="22"/>
  <c r="X2534" i="22"/>
  <c r="W2534" i="22"/>
  <c r="X2533" i="22"/>
  <c r="W2533" i="22"/>
  <c r="X2532" i="22"/>
  <c r="W2532" i="22"/>
  <c r="X2531" i="22"/>
  <c r="W2531" i="22"/>
  <c r="X2530" i="22"/>
  <c r="W2530" i="22"/>
  <c r="X2529" i="22"/>
  <c r="W2529" i="22"/>
  <c r="X2528" i="22"/>
  <c r="W2528" i="22"/>
  <c r="X2527" i="22"/>
  <c r="W2527" i="22"/>
  <c r="X2526" i="22"/>
  <c r="W2526" i="22"/>
  <c r="X2525" i="22"/>
  <c r="W2525" i="22"/>
  <c r="X2524" i="22"/>
  <c r="W2524" i="22"/>
  <c r="X2523" i="22"/>
  <c r="W2523" i="22"/>
  <c r="X2522" i="22"/>
  <c r="W2522" i="22"/>
  <c r="X2521" i="22"/>
  <c r="W2521" i="22"/>
  <c r="X2520" i="22"/>
  <c r="W2520" i="22"/>
  <c r="X2519" i="22"/>
  <c r="W2519" i="22"/>
  <c r="X2518" i="22"/>
  <c r="W2518" i="22"/>
  <c r="X2517" i="22"/>
  <c r="W2517" i="22"/>
  <c r="X2516" i="22"/>
  <c r="W2516" i="22"/>
  <c r="X2515" i="22"/>
  <c r="W2515" i="22"/>
  <c r="X2514" i="22"/>
  <c r="W2514" i="22"/>
  <c r="X2513" i="22"/>
  <c r="W2513" i="22"/>
  <c r="X2512" i="22"/>
  <c r="W2512" i="22"/>
  <c r="X2511" i="22"/>
  <c r="W2511" i="22"/>
  <c r="X2510" i="22"/>
  <c r="W2510" i="22"/>
  <c r="X2509" i="22"/>
  <c r="W2509" i="22"/>
  <c r="X2508" i="22"/>
  <c r="W2508" i="22"/>
  <c r="X2507" i="22"/>
  <c r="W2507" i="22"/>
  <c r="X2506" i="22"/>
  <c r="W2506" i="22"/>
  <c r="X1535" i="22"/>
  <c r="W1535" i="22"/>
  <c r="X1534" i="22"/>
  <c r="W1534" i="22"/>
  <c r="X1533" i="22"/>
  <c r="W1533" i="22"/>
  <c r="X1532" i="22"/>
  <c r="W1532" i="22"/>
  <c r="X1531" i="22"/>
  <c r="W1531" i="22"/>
  <c r="X1530" i="22"/>
  <c r="W1530" i="22"/>
  <c r="X1529" i="22"/>
  <c r="W1529" i="22"/>
  <c r="X1528" i="22"/>
  <c r="W1528" i="22"/>
  <c r="X1527" i="22"/>
  <c r="W1527" i="22"/>
  <c r="X1526" i="22"/>
  <c r="W1526" i="22"/>
  <c r="X1525" i="22"/>
  <c r="W1525" i="22"/>
  <c r="X1524" i="22"/>
  <c r="W1524" i="22"/>
  <c r="X1523" i="22"/>
  <c r="W1523" i="22"/>
  <c r="X1522" i="22"/>
  <c r="W1522" i="22"/>
  <c r="X1521" i="22"/>
  <c r="W1521" i="22"/>
  <c r="X1520" i="22"/>
  <c r="W1520" i="22"/>
  <c r="X1519" i="22"/>
  <c r="W1519" i="22"/>
  <c r="X1518" i="22"/>
  <c r="W1518" i="22"/>
  <c r="X1517" i="22"/>
  <c r="W1517" i="22"/>
  <c r="X1516" i="22"/>
  <c r="W1516" i="22"/>
  <c r="X1515" i="22"/>
  <c r="W1515" i="22"/>
  <c r="X1514" i="22"/>
  <c r="W1514" i="22"/>
  <c r="X1513" i="22"/>
  <c r="W1513" i="22"/>
  <c r="X1512" i="22"/>
  <c r="W1512" i="22"/>
  <c r="X1511" i="22"/>
  <c r="W1511" i="22"/>
  <c r="V1510" i="22"/>
  <c r="V1509" i="22"/>
  <c r="V1508" i="22"/>
  <c r="V1507" i="22"/>
  <c r="V1506" i="22"/>
  <c r="V1505" i="22"/>
  <c r="V1504" i="22"/>
  <c r="V1503" i="22"/>
  <c r="V1502" i="22"/>
  <c r="V1501" i="22"/>
  <c r="V1500" i="22"/>
  <c r="V1499" i="22"/>
  <c r="V1498" i="22"/>
  <c r="V1497" i="22"/>
  <c r="V1496" i="22"/>
  <c r="V1495" i="22"/>
  <c r="V1494" i="22"/>
  <c r="V1493" i="22"/>
  <c r="V1492" i="22"/>
  <c r="V1491" i="22"/>
  <c r="V1490" i="22"/>
  <c r="V1489" i="22"/>
  <c r="V1488" i="22"/>
  <c r="V1487" i="22"/>
  <c r="V1486" i="22"/>
  <c r="V1485" i="22"/>
  <c r="X1484" i="22"/>
  <c r="W1484" i="22"/>
  <c r="X1483" i="22"/>
  <c r="W1483" i="22"/>
  <c r="X1482" i="22"/>
  <c r="W1482" i="22"/>
  <c r="X1481" i="22"/>
  <c r="W1481" i="22"/>
  <c r="X1480" i="22"/>
  <c r="W1480" i="22"/>
  <c r="X1479" i="22"/>
  <c r="W1479" i="22"/>
  <c r="X1478" i="22"/>
  <c r="W1478" i="22"/>
  <c r="X1477" i="22"/>
  <c r="W1477" i="22"/>
  <c r="X1476" i="22"/>
  <c r="W1476" i="22"/>
  <c r="X1475" i="22"/>
  <c r="W1475" i="22"/>
  <c r="X1474" i="22"/>
  <c r="W1474" i="22"/>
  <c r="X1473" i="22"/>
  <c r="W1473" i="22"/>
  <c r="X1472" i="22"/>
  <c r="W1472" i="22"/>
  <c r="X1471" i="22"/>
  <c r="W1471" i="22"/>
  <c r="X1470" i="22"/>
  <c r="W1470" i="22"/>
  <c r="X1469" i="22"/>
  <c r="W1469" i="22"/>
  <c r="X1468" i="22"/>
  <c r="W1468" i="22"/>
  <c r="X1467" i="22"/>
  <c r="W1467" i="22"/>
  <c r="X1466" i="22"/>
  <c r="W1466" i="22"/>
  <c r="X1465" i="22"/>
  <c r="W1465" i="22"/>
  <c r="X1464" i="22"/>
  <c r="W1464" i="22"/>
  <c r="X1463" i="22"/>
  <c r="W1463" i="22"/>
  <c r="X1462" i="22"/>
  <c r="W1462" i="22"/>
  <c r="X1461" i="22"/>
  <c r="W1461" i="22"/>
  <c r="X1460" i="22"/>
  <c r="W1460" i="22"/>
  <c r="X1459" i="22"/>
  <c r="W1459" i="22"/>
  <c r="X1458" i="22"/>
  <c r="W1458" i="22"/>
  <c r="X1457" i="22"/>
  <c r="W1457" i="22"/>
  <c r="X1456" i="22"/>
  <c r="W1456" i="22"/>
  <c r="X1455" i="22"/>
  <c r="W1455" i="22"/>
  <c r="X1454" i="22"/>
  <c r="W1454" i="22"/>
  <c r="X1453" i="22"/>
  <c r="W1453" i="22"/>
  <c r="X1452" i="22"/>
  <c r="W1452" i="22"/>
  <c r="X1451" i="22"/>
  <c r="W1451" i="22"/>
  <c r="X1450" i="22"/>
  <c r="W1450" i="22"/>
  <c r="X1449" i="22"/>
  <c r="W1449" i="22"/>
  <c r="X1448" i="22"/>
  <c r="W1448" i="22"/>
  <c r="X1447" i="22"/>
  <c r="W1447" i="22"/>
  <c r="X1446" i="22"/>
  <c r="W1446" i="22"/>
  <c r="X1445" i="22"/>
  <c r="W1445" i="22"/>
  <c r="X1444" i="22"/>
  <c r="W1444" i="22"/>
  <c r="X1443" i="22"/>
  <c r="W1443" i="22"/>
  <c r="X1442" i="22"/>
  <c r="W1442" i="22"/>
  <c r="X1441" i="22"/>
  <c r="W1441" i="22"/>
  <c r="X1440" i="22"/>
  <c r="W1440" i="22"/>
  <c r="X1439" i="22"/>
  <c r="W1439" i="22"/>
  <c r="X1438" i="22"/>
  <c r="W1438" i="22"/>
  <c r="X1437" i="22"/>
  <c r="W1437" i="22"/>
  <c r="X1436" i="22"/>
  <c r="W1436" i="22"/>
  <c r="X1435" i="22"/>
  <c r="W1435" i="22"/>
  <c r="X1434" i="22"/>
  <c r="W1434" i="22"/>
  <c r="X1433" i="22"/>
  <c r="W1433" i="22"/>
  <c r="X1432" i="22"/>
  <c r="W1432" i="22"/>
  <c r="V1431" i="22"/>
  <c r="V1430" i="22"/>
  <c r="V1429" i="22"/>
  <c r="V1428" i="22"/>
  <c r="V1427" i="22"/>
  <c r="V1426" i="22"/>
  <c r="V1425" i="22"/>
  <c r="V1424" i="22"/>
  <c r="V1423" i="22"/>
  <c r="V1422" i="22"/>
  <c r="V1421" i="22"/>
  <c r="V1420" i="22"/>
  <c r="V1419" i="22"/>
  <c r="V1418" i="22"/>
  <c r="V1417" i="22"/>
  <c r="V1416" i="22"/>
  <c r="V1415" i="22"/>
  <c r="V1414" i="22"/>
  <c r="V1413" i="22"/>
  <c r="V1412" i="22"/>
  <c r="V1411" i="22"/>
  <c r="V1410" i="22"/>
  <c r="V1409" i="22"/>
  <c r="V1408" i="22"/>
  <c r="V1407" i="22"/>
  <c r="V1406" i="22"/>
  <c r="V1405" i="22"/>
  <c r="V1404" i="22"/>
  <c r="V1403" i="22"/>
  <c r="X1402" i="22"/>
  <c r="W1402" i="22"/>
  <c r="X1401" i="22"/>
  <c r="W1401" i="22"/>
  <c r="X1400" i="22"/>
  <c r="W1400" i="22"/>
  <c r="X1399" i="22"/>
  <c r="W1399" i="22"/>
  <c r="X1398" i="22"/>
  <c r="W1398" i="22"/>
  <c r="X1397" i="22"/>
  <c r="W1397" i="22"/>
  <c r="X1396" i="22"/>
  <c r="W1396" i="22"/>
  <c r="X1395" i="22"/>
  <c r="W1395" i="22"/>
  <c r="X1394" i="22"/>
  <c r="W1394" i="22"/>
  <c r="X1393" i="22"/>
  <c r="W1393" i="22"/>
  <c r="X1392" i="22"/>
  <c r="W1392" i="22"/>
  <c r="X1391" i="22"/>
  <c r="W1391" i="22"/>
  <c r="X1390" i="22"/>
  <c r="W1390" i="22"/>
  <c r="X1389" i="22"/>
  <c r="W1389" i="22"/>
  <c r="X1388" i="22"/>
  <c r="W1388" i="22"/>
  <c r="X1387" i="22"/>
  <c r="W1387" i="22"/>
  <c r="X1386" i="22"/>
  <c r="W1386" i="22"/>
  <c r="X1385" i="22"/>
  <c r="W1385" i="22"/>
  <c r="X1384" i="22"/>
  <c r="W1384" i="22"/>
  <c r="X1383" i="22"/>
  <c r="W1383" i="22"/>
  <c r="X1382" i="22"/>
  <c r="W1382" i="22"/>
  <c r="X1381" i="22"/>
  <c r="W1381" i="22"/>
  <c r="X1380" i="22"/>
  <c r="W1380" i="22"/>
  <c r="X1379" i="22"/>
  <c r="W1379" i="22"/>
  <c r="X1378" i="22"/>
  <c r="W1378" i="22"/>
  <c r="X1377" i="22"/>
  <c r="W1377" i="22"/>
  <c r="X1376" i="22"/>
  <c r="W1376" i="22"/>
  <c r="X1375" i="22"/>
  <c r="W1375" i="22"/>
  <c r="X1374" i="22"/>
  <c r="W1374" i="22"/>
  <c r="V1373" i="22"/>
  <c r="V1372" i="22"/>
  <c r="V1371" i="22"/>
  <c r="V1370" i="22"/>
  <c r="X1364" i="22"/>
  <c r="W1364" i="22"/>
  <c r="X1363" i="22"/>
  <c r="W1363" i="22"/>
  <c r="X1362" i="22"/>
  <c r="W1362" i="22"/>
  <c r="X1361" i="22"/>
  <c r="W1361" i="22"/>
  <c r="X1360" i="22"/>
  <c r="W1360" i="22"/>
  <c r="X1359" i="22"/>
  <c r="W1359" i="22"/>
  <c r="X1358" i="22"/>
  <c r="W1358" i="22"/>
  <c r="X1357" i="22"/>
  <c r="W1357" i="22"/>
  <c r="X1356" i="22"/>
  <c r="W1356" i="22"/>
  <c r="AD875" i="23"/>
  <c r="X875" i="23"/>
  <c r="W875" i="23"/>
  <c r="AC875" i="23" s="1"/>
  <c r="AD874" i="23"/>
  <c r="X874" i="23"/>
  <c r="W874" i="23"/>
  <c r="AC874" i="23" s="1"/>
  <c r="AD873" i="23"/>
  <c r="X873" i="23"/>
  <c r="W873" i="23"/>
  <c r="AC873" i="23" s="1"/>
  <c r="AD872" i="23"/>
  <c r="X872" i="23"/>
  <c r="W872" i="23"/>
  <c r="AC872" i="23" s="1"/>
  <c r="AD871" i="23"/>
  <c r="X871" i="23"/>
  <c r="W871" i="23"/>
  <c r="AC871" i="23" s="1"/>
  <c r="AD870" i="23"/>
  <c r="X870" i="23"/>
  <c r="W870" i="23"/>
  <c r="AC870" i="23" s="1"/>
  <c r="AD869" i="23"/>
  <c r="X869" i="23"/>
  <c r="W869" i="23"/>
  <c r="AC869" i="23" s="1"/>
  <c r="AD868" i="23"/>
  <c r="X868" i="23"/>
  <c r="W868" i="23"/>
  <c r="AD867" i="23"/>
  <c r="X867" i="23"/>
  <c r="W867" i="23"/>
  <c r="AC867" i="23" s="1"/>
  <c r="AD866" i="23"/>
  <c r="X866" i="23"/>
  <c r="W866" i="23"/>
  <c r="AC866" i="23" s="1"/>
  <c r="AD865" i="23"/>
  <c r="X865" i="23"/>
  <c r="W865" i="23"/>
  <c r="AC865" i="23" s="1"/>
  <c r="AD864" i="23"/>
  <c r="X864" i="23"/>
  <c r="W864" i="23"/>
  <c r="AC864" i="23" s="1"/>
  <c r="AD863" i="23"/>
  <c r="X863" i="23"/>
  <c r="W863" i="23"/>
  <c r="AC863" i="23" s="1"/>
  <c r="AD862" i="23"/>
  <c r="X862" i="23"/>
  <c r="W862" i="23"/>
  <c r="AC862" i="23" s="1"/>
  <c r="AD861" i="23"/>
  <c r="X861" i="23"/>
  <c r="W861" i="23"/>
  <c r="AC861" i="23" s="1"/>
  <c r="AD860" i="23"/>
  <c r="X860" i="23"/>
  <c r="W860" i="23"/>
  <c r="AC860" i="23" s="1"/>
  <c r="AD859" i="23"/>
  <c r="X859" i="23"/>
  <c r="W859" i="23"/>
  <c r="AC859" i="23" s="1"/>
  <c r="AD858" i="23"/>
  <c r="X858" i="23"/>
  <c r="W858" i="23"/>
  <c r="AC858" i="23" s="1"/>
  <c r="AD857" i="23"/>
  <c r="X857" i="23"/>
  <c r="W857" i="23"/>
  <c r="AC857" i="23" s="1"/>
  <c r="AD856" i="23"/>
  <c r="X856" i="23"/>
  <c r="W856" i="23"/>
  <c r="AC856" i="23" s="1"/>
  <c r="AD855" i="23"/>
  <c r="X855" i="23"/>
  <c r="W855" i="23"/>
  <c r="AC855" i="23" s="1"/>
  <c r="AD854" i="23"/>
  <c r="X854" i="23"/>
  <c r="W854" i="23"/>
  <c r="AC854" i="23" s="1"/>
  <c r="AD853" i="23"/>
  <c r="X853" i="23"/>
  <c r="W853" i="23"/>
  <c r="AC853" i="23" s="1"/>
  <c r="AD852" i="23"/>
  <c r="X852" i="23"/>
  <c r="W852" i="23"/>
  <c r="AC852" i="23" s="1"/>
  <c r="AD851" i="23"/>
  <c r="X851" i="23"/>
  <c r="W851" i="23"/>
  <c r="AC851" i="23" s="1"/>
  <c r="AD850" i="23"/>
  <c r="X850" i="23"/>
  <c r="W850" i="23"/>
  <c r="AC850" i="23" s="1"/>
  <c r="AD849" i="23"/>
  <c r="X849" i="23"/>
  <c r="W849" i="23"/>
  <c r="AC849" i="23" s="1"/>
  <c r="AD848" i="23"/>
  <c r="X848" i="23"/>
  <c r="W848" i="23"/>
  <c r="AC848" i="23" s="1"/>
  <c r="AD847" i="23"/>
  <c r="X847" i="23"/>
  <c r="W847" i="23"/>
  <c r="AC847" i="23" s="1"/>
  <c r="AD846" i="23"/>
  <c r="X846" i="23"/>
  <c r="W846" i="23"/>
  <c r="AC846" i="23" s="1"/>
  <c r="AD845" i="23"/>
  <c r="X845" i="23"/>
  <c r="W845" i="23"/>
  <c r="AC845" i="23" s="1"/>
  <c r="AD844" i="23"/>
  <c r="X844" i="23"/>
  <c r="W844" i="23"/>
  <c r="AC844" i="23" s="1"/>
  <c r="AD843" i="23"/>
  <c r="X843" i="23"/>
  <c r="W843" i="23"/>
  <c r="AC843" i="23" s="1"/>
  <c r="AD842" i="23"/>
  <c r="X842" i="23"/>
  <c r="W842" i="23"/>
  <c r="AC842" i="23" s="1"/>
  <c r="AD841" i="23"/>
  <c r="X841" i="23"/>
  <c r="W841" i="23"/>
  <c r="AC841" i="23" s="1"/>
  <c r="AD840" i="23"/>
  <c r="X840" i="23"/>
  <c r="W840" i="23"/>
  <c r="AD839" i="23"/>
  <c r="X839" i="23"/>
  <c r="W839" i="23"/>
  <c r="AC839" i="23" s="1"/>
  <c r="AD838" i="23"/>
  <c r="X838" i="23"/>
  <c r="W838" i="23"/>
  <c r="AD837" i="23"/>
  <c r="X837" i="23"/>
  <c r="W837" i="23"/>
  <c r="AC837" i="23" s="1"/>
  <c r="AD836" i="23"/>
  <c r="X836" i="23"/>
  <c r="W836" i="23"/>
  <c r="AD835" i="23"/>
  <c r="X835" i="23"/>
  <c r="W835" i="23"/>
  <c r="AC835" i="23" s="1"/>
  <c r="AD834" i="23"/>
  <c r="X834" i="23"/>
  <c r="W834" i="23"/>
  <c r="AD833" i="23"/>
  <c r="AD11" i="26" s="1"/>
  <c r="X833" i="23"/>
  <c r="W833" i="23"/>
  <c r="AC833" i="23" s="1"/>
  <c r="X702" i="22"/>
  <c r="W702" i="22"/>
  <c r="V702" i="22"/>
  <c r="X701" i="22"/>
  <c r="W701" i="22"/>
  <c r="V701" i="22"/>
  <c r="X700" i="22"/>
  <c r="W700" i="22"/>
  <c r="V700" i="22"/>
  <c r="X699" i="22"/>
  <c r="W699" i="22"/>
  <c r="V699" i="22"/>
  <c r="X698" i="22"/>
  <c r="W698" i="22"/>
  <c r="V698" i="22"/>
  <c r="X697" i="22"/>
  <c r="W697" i="22"/>
  <c r="V697" i="22"/>
  <c r="X696" i="22"/>
  <c r="W696" i="22"/>
  <c r="V696" i="22"/>
  <c r="X695" i="22"/>
  <c r="W695" i="22"/>
  <c r="V695" i="22"/>
  <c r="X694" i="22"/>
  <c r="W694" i="22"/>
  <c r="V694" i="22"/>
  <c r="X693" i="22"/>
  <c r="W693" i="22"/>
  <c r="V693" i="22"/>
  <c r="X692" i="22"/>
  <c r="W692" i="22"/>
  <c r="V692" i="22"/>
  <c r="X691" i="22"/>
  <c r="W691" i="22"/>
  <c r="V691" i="22"/>
  <c r="X690" i="22"/>
  <c r="W690" i="22"/>
  <c r="V690" i="22"/>
  <c r="X689" i="22"/>
  <c r="W689" i="22"/>
  <c r="V689" i="22"/>
  <c r="X688" i="22"/>
  <c r="W688" i="22"/>
  <c r="V688" i="22"/>
  <c r="X687" i="22"/>
  <c r="W687" i="22"/>
  <c r="V687" i="22"/>
  <c r="X686" i="22"/>
  <c r="W686" i="22"/>
  <c r="V686" i="22"/>
  <c r="X685" i="22"/>
  <c r="W685" i="22"/>
  <c r="V685" i="22"/>
  <c r="X684" i="22"/>
  <c r="W684" i="22"/>
  <c r="V684" i="22"/>
  <c r="X683" i="22"/>
  <c r="W683" i="22"/>
  <c r="V683" i="22"/>
  <c r="X682" i="22"/>
  <c r="W682" i="22"/>
  <c r="V682" i="22"/>
  <c r="X681" i="22"/>
  <c r="W681" i="22"/>
  <c r="V681" i="22"/>
  <c r="X680" i="22"/>
  <c r="W680" i="22"/>
  <c r="V680" i="22"/>
  <c r="X679" i="22"/>
  <c r="W679" i="22"/>
  <c r="V679" i="22"/>
  <c r="X678" i="22"/>
  <c r="W678" i="22"/>
  <c r="V678" i="22"/>
  <c r="X677" i="22"/>
  <c r="W677" i="22"/>
  <c r="V677" i="22"/>
  <c r="X676" i="22"/>
  <c r="W676" i="22"/>
  <c r="V676" i="22"/>
  <c r="X675" i="22"/>
  <c r="W675" i="22"/>
  <c r="V675" i="22"/>
  <c r="X674" i="22"/>
  <c r="W674" i="22"/>
  <c r="V674" i="22"/>
  <c r="X673" i="22"/>
  <c r="W673" i="22"/>
  <c r="V673" i="22"/>
  <c r="X672" i="22"/>
  <c r="W672" i="22"/>
  <c r="V672" i="22"/>
  <c r="X671" i="22"/>
  <c r="W671" i="22"/>
  <c r="V671" i="22"/>
  <c r="X670" i="22"/>
  <c r="W670" i="22"/>
  <c r="V670" i="22"/>
  <c r="X669" i="22"/>
  <c r="W669" i="22"/>
  <c r="V669" i="22"/>
  <c r="X668" i="22"/>
  <c r="W668" i="22"/>
  <c r="V668" i="22"/>
  <c r="X667" i="22"/>
  <c r="W667" i="22"/>
  <c r="V667" i="22"/>
  <c r="X666" i="22"/>
  <c r="W666" i="22"/>
  <c r="V666" i="22"/>
  <c r="X665" i="22"/>
  <c r="W665" i="22"/>
  <c r="V665" i="22"/>
  <c r="X664" i="22"/>
  <c r="W664" i="22"/>
  <c r="V664" i="22"/>
  <c r="X663" i="22"/>
  <c r="W663" i="22"/>
  <c r="V663" i="22"/>
  <c r="X662" i="22"/>
  <c r="W662" i="22"/>
  <c r="V662" i="22"/>
  <c r="X661" i="22"/>
  <c r="W661" i="22"/>
  <c r="V661" i="22"/>
  <c r="X660" i="22"/>
  <c r="W660" i="22"/>
  <c r="V660" i="22"/>
  <c r="X659" i="22"/>
  <c r="W659" i="22"/>
  <c r="V659" i="22"/>
  <c r="X658" i="22"/>
  <c r="W658" i="22"/>
  <c r="V658" i="22"/>
  <c r="X657" i="22"/>
  <c r="W657" i="22"/>
  <c r="V657" i="22"/>
  <c r="X656" i="22"/>
  <c r="W656" i="22"/>
  <c r="V656" i="22"/>
  <c r="X655" i="22"/>
  <c r="W655" i="22"/>
  <c r="V655" i="22"/>
  <c r="X654" i="22"/>
  <c r="W654" i="22"/>
  <c r="V654" i="22"/>
  <c r="X653" i="22"/>
  <c r="W653" i="22"/>
  <c r="V653" i="22"/>
  <c r="X652" i="22"/>
  <c r="W652" i="22"/>
  <c r="V652" i="22"/>
  <c r="X651" i="22"/>
  <c r="W651" i="22"/>
  <c r="V651" i="22"/>
  <c r="X650" i="22"/>
  <c r="W650" i="22"/>
  <c r="V650" i="22"/>
  <c r="X649" i="22"/>
  <c r="W649" i="22"/>
  <c r="V649" i="22"/>
  <c r="X648" i="22"/>
  <c r="W648" i="22"/>
  <c r="V648" i="22"/>
  <c r="X647" i="22"/>
  <c r="W647" i="22"/>
  <c r="V647" i="22"/>
  <c r="X646" i="22"/>
  <c r="W646" i="22"/>
  <c r="V646" i="22"/>
  <c r="X645" i="22"/>
  <c r="W645" i="22"/>
  <c r="V645" i="22"/>
  <c r="X644" i="22"/>
  <c r="W644" i="22"/>
  <c r="V644" i="22"/>
  <c r="X643" i="22"/>
  <c r="W643" i="22"/>
  <c r="V643" i="22"/>
  <c r="X642" i="22"/>
  <c r="W642" i="22"/>
  <c r="V642" i="22"/>
  <c r="X641" i="22"/>
  <c r="W641" i="22"/>
  <c r="V641" i="22"/>
  <c r="X640" i="22"/>
  <c r="W640" i="22"/>
  <c r="V640" i="22"/>
  <c r="X639" i="22"/>
  <c r="W639" i="22"/>
  <c r="V639" i="22"/>
  <c r="X638" i="22"/>
  <c r="W638" i="22"/>
  <c r="V638" i="22"/>
  <c r="X637" i="22"/>
  <c r="W637" i="22"/>
  <c r="V637" i="22"/>
  <c r="X636" i="22"/>
  <c r="W636" i="22"/>
  <c r="V636" i="22"/>
  <c r="X635" i="22"/>
  <c r="W635" i="22"/>
  <c r="V635" i="22"/>
  <c r="X634" i="22"/>
  <c r="W634" i="22"/>
  <c r="V634" i="22"/>
  <c r="X633" i="22"/>
  <c r="W633" i="22"/>
  <c r="V633" i="22"/>
  <c r="X632" i="22"/>
  <c r="W632" i="22"/>
  <c r="V632" i="22"/>
  <c r="X631" i="22"/>
  <c r="W631" i="22"/>
  <c r="V631" i="22"/>
  <c r="X630" i="22"/>
  <c r="W630" i="22"/>
  <c r="V630" i="22"/>
  <c r="X629" i="22"/>
  <c r="W629" i="22"/>
  <c r="V629" i="22"/>
  <c r="X628" i="22"/>
  <c r="W628" i="22"/>
  <c r="V628" i="22"/>
  <c r="X627" i="22"/>
  <c r="W627" i="22"/>
  <c r="V627" i="22"/>
  <c r="X626" i="22"/>
  <c r="W626" i="22"/>
  <c r="V626" i="22"/>
  <c r="X625" i="22"/>
  <c r="W625" i="22"/>
  <c r="V625" i="22"/>
  <c r="X624" i="22"/>
  <c r="W624" i="22"/>
  <c r="V624" i="22"/>
  <c r="X623" i="22"/>
  <c r="W623" i="22"/>
  <c r="V623" i="22"/>
  <c r="X622" i="22"/>
  <c r="W622" i="22"/>
  <c r="V622" i="22"/>
  <c r="X621" i="22"/>
  <c r="W621" i="22"/>
  <c r="V621" i="22"/>
  <c r="X620" i="22"/>
  <c r="W620" i="22"/>
  <c r="V620" i="22"/>
  <c r="X619" i="22"/>
  <c r="W619" i="22"/>
  <c r="V619" i="22"/>
  <c r="X618" i="22"/>
  <c r="W618" i="22"/>
  <c r="V618" i="22"/>
  <c r="X617" i="22"/>
  <c r="W617" i="22"/>
  <c r="V617" i="22"/>
  <c r="X616" i="22"/>
  <c r="W616" i="22"/>
  <c r="V616" i="22"/>
  <c r="X615" i="22"/>
  <c r="W615" i="22"/>
  <c r="V615" i="22"/>
  <c r="X614" i="22"/>
  <c r="W614" i="22"/>
  <c r="V614" i="22"/>
  <c r="X613" i="22"/>
  <c r="W613" i="22"/>
  <c r="V613" i="22"/>
  <c r="X612" i="22"/>
  <c r="W612" i="22"/>
  <c r="V612" i="22"/>
  <c r="X611" i="22"/>
  <c r="W611" i="22"/>
  <c r="V611" i="22"/>
  <c r="X610" i="22"/>
  <c r="W610" i="22"/>
  <c r="V610" i="22"/>
  <c r="X609" i="22"/>
  <c r="W609" i="22"/>
  <c r="V609" i="22"/>
  <c r="X608" i="22"/>
  <c r="W608" i="22"/>
  <c r="V608" i="22"/>
  <c r="X607" i="22"/>
  <c r="W607" i="22"/>
  <c r="V607" i="22"/>
  <c r="AD481" i="23"/>
  <c r="X481" i="23"/>
  <c r="W481" i="23"/>
  <c r="AC481" i="23" s="1"/>
  <c r="AD480" i="23"/>
  <c r="X480" i="23"/>
  <c r="W480" i="23"/>
  <c r="AC480" i="23" s="1"/>
  <c r="AD479" i="23"/>
  <c r="X479" i="23"/>
  <c r="W479" i="23"/>
  <c r="AC479" i="23" s="1"/>
  <c r="AD478" i="23"/>
  <c r="X478" i="23"/>
  <c r="W478" i="23"/>
  <c r="AC478" i="23" s="1"/>
  <c r="AD477" i="23"/>
  <c r="X477" i="23"/>
  <c r="W477" i="23"/>
  <c r="AC477" i="23" s="1"/>
  <c r="AD476" i="23"/>
  <c r="X476" i="23"/>
  <c r="W476" i="23"/>
  <c r="AC476" i="23" s="1"/>
  <c r="AD475" i="23"/>
  <c r="X475" i="23"/>
  <c r="W475" i="23"/>
  <c r="AC475" i="23" s="1"/>
  <c r="AD474" i="23"/>
  <c r="X474" i="23"/>
  <c r="W474" i="23"/>
  <c r="AC474" i="23" s="1"/>
  <c r="AD473" i="23"/>
  <c r="X473" i="23"/>
  <c r="W473" i="23"/>
  <c r="AC473" i="23" s="1"/>
  <c r="AD472" i="23"/>
  <c r="X472" i="23"/>
  <c r="W472" i="23"/>
  <c r="AC472" i="23" s="1"/>
  <c r="AD471" i="23"/>
  <c r="X471" i="23"/>
  <c r="W471" i="23"/>
  <c r="AD470" i="23"/>
  <c r="X470" i="23"/>
  <c r="W470" i="23"/>
  <c r="AC470" i="23" s="1"/>
  <c r="AD469" i="23"/>
  <c r="X469" i="23"/>
  <c r="W469" i="23"/>
  <c r="AD468" i="23"/>
  <c r="X468" i="23"/>
  <c r="W468" i="23"/>
  <c r="AC468" i="23" s="1"/>
  <c r="AD467" i="23"/>
  <c r="X467" i="23"/>
  <c r="W467" i="23"/>
  <c r="AD466" i="23"/>
  <c r="X466" i="23"/>
  <c r="W466" i="23"/>
  <c r="AD465" i="23"/>
  <c r="X465" i="23"/>
  <c r="W465" i="23"/>
  <c r="AD464" i="23"/>
  <c r="X464" i="23"/>
  <c r="W464" i="23"/>
  <c r="AC464" i="23" s="1"/>
  <c r="AD463" i="23"/>
  <c r="X463" i="23"/>
  <c r="W463" i="23"/>
  <c r="AD462" i="23"/>
  <c r="X462" i="23"/>
  <c r="W462" i="23"/>
  <c r="AC462" i="23" s="1"/>
  <c r="AD461" i="23"/>
  <c r="X461" i="23"/>
  <c r="W461" i="23"/>
  <c r="AD460" i="23"/>
  <c r="X460" i="23"/>
  <c r="W460" i="23"/>
  <c r="AC460" i="23" s="1"/>
  <c r="AD459" i="23"/>
  <c r="X459" i="23"/>
  <c r="W459" i="23"/>
  <c r="AD458" i="23"/>
  <c r="X458" i="23"/>
  <c r="W458" i="23"/>
  <c r="AC458" i="23" s="1"/>
  <c r="AD457" i="23"/>
  <c r="X457" i="23"/>
  <c r="W457" i="23"/>
  <c r="AE456" i="23"/>
  <c r="V456" i="23"/>
  <c r="AB456" i="23" s="1"/>
  <c r="AE455" i="23"/>
  <c r="V455" i="23"/>
  <c r="AB455" i="23" s="1"/>
  <c r="AE454" i="23"/>
  <c r="V454" i="23"/>
  <c r="AB454" i="23" s="1"/>
  <c r="AE453" i="23"/>
  <c r="AB453" i="23"/>
  <c r="V453" i="23"/>
  <c r="AE452" i="23"/>
  <c r="V452" i="23"/>
  <c r="AB452" i="23" s="1"/>
  <c r="AE451" i="23"/>
  <c r="AB451" i="23"/>
  <c r="V451" i="23"/>
  <c r="AE450" i="23"/>
  <c r="V450" i="23"/>
  <c r="AB450" i="23" s="1"/>
  <c r="AE449" i="23"/>
  <c r="V449" i="23"/>
  <c r="AB449" i="23" s="1"/>
  <c r="AE448" i="23"/>
  <c r="V448" i="23"/>
  <c r="AB448" i="23" s="1"/>
  <c r="AE447" i="23"/>
  <c r="V447" i="23"/>
  <c r="AB447" i="23" s="1"/>
  <c r="AE446" i="23"/>
  <c r="V446" i="23"/>
  <c r="AB446" i="23" s="1"/>
  <c r="AE445" i="23"/>
  <c r="AB445" i="23"/>
  <c r="V445" i="23"/>
  <c r="AE444" i="23"/>
  <c r="V444" i="23"/>
  <c r="AB444" i="23" s="1"/>
  <c r="AE443" i="23"/>
  <c r="AB443" i="23"/>
  <c r="V443" i="23"/>
  <c r="AE442" i="23"/>
  <c r="V442" i="23"/>
  <c r="AB442" i="23" s="1"/>
  <c r="AE441" i="23"/>
  <c r="V441" i="23"/>
  <c r="AB441" i="23" s="1"/>
  <c r="AE440" i="23"/>
  <c r="V440" i="23"/>
  <c r="AB440" i="23" s="1"/>
  <c r="AE439" i="23"/>
  <c r="V439" i="23"/>
  <c r="AB439" i="23" s="1"/>
  <c r="AE438" i="23"/>
  <c r="V438" i="23"/>
  <c r="AB438" i="23" s="1"/>
  <c r="AE437" i="23"/>
  <c r="V437" i="23"/>
  <c r="AB437" i="23" s="1"/>
  <c r="AE436" i="23"/>
  <c r="V436" i="23"/>
  <c r="AB436" i="23" s="1"/>
  <c r="AE435" i="23"/>
  <c r="AB435" i="23"/>
  <c r="V435" i="23"/>
  <c r="AE434" i="23"/>
  <c r="V434" i="23"/>
  <c r="AB434" i="23" s="1"/>
  <c r="AE433" i="23"/>
  <c r="AB433" i="23"/>
  <c r="V433" i="23"/>
  <c r="AE432" i="23"/>
  <c r="V432" i="23"/>
  <c r="AB432" i="23" s="1"/>
  <c r="AE431" i="23"/>
  <c r="V431" i="23"/>
  <c r="AB431" i="23" s="1"/>
  <c r="AD430" i="23"/>
  <c r="X430" i="23"/>
  <c r="W430" i="23"/>
  <c r="AD429" i="23"/>
  <c r="X429" i="23"/>
  <c r="W429" i="23"/>
  <c r="AC429" i="23" s="1"/>
  <c r="AD428" i="23"/>
  <c r="X428" i="23"/>
  <c r="W428" i="23"/>
  <c r="AD427" i="23"/>
  <c r="X427" i="23"/>
  <c r="W427" i="23"/>
  <c r="AC427" i="23" s="1"/>
  <c r="AD426" i="23"/>
  <c r="X426" i="23"/>
  <c r="W426" i="23"/>
  <c r="AD425" i="23"/>
  <c r="X425" i="23"/>
  <c r="W425" i="23"/>
  <c r="AC425" i="23" s="1"/>
  <c r="AD424" i="23"/>
  <c r="X424" i="23"/>
  <c r="W424" i="23"/>
  <c r="AD423" i="23"/>
  <c r="X423" i="23"/>
  <c r="W423" i="23"/>
  <c r="AC423" i="23" s="1"/>
  <c r="AD422" i="23"/>
  <c r="X422" i="23"/>
  <c r="W422" i="23"/>
  <c r="AD421" i="23"/>
  <c r="X421" i="23"/>
  <c r="W421" i="23"/>
  <c r="AC421" i="23" s="1"/>
  <c r="AD420" i="23"/>
  <c r="X420" i="23"/>
  <c r="W420" i="23"/>
  <c r="AD419" i="23"/>
  <c r="X419" i="23"/>
  <c r="W419" i="23"/>
  <c r="AC419" i="23" s="1"/>
  <c r="AD418" i="23"/>
  <c r="X418" i="23"/>
  <c r="W418" i="23"/>
  <c r="AD417" i="23"/>
  <c r="X417" i="23"/>
  <c r="W417" i="23"/>
  <c r="AC417" i="23" s="1"/>
  <c r="AD416" i="23"/>
  <c r="X416" i="23"/>
  <c r="W416" i="23"/>
  <c r="AD415" i="23"/>
  <c r="X415" i="23"/>
  <c r="W415" i="23"/>
  <c r="AC415" i="23" s="1"/>
  <c r="AD414" i="23"/>
  <c r="X414" i="23"/>
  <c r="W414" i="23"/>
  <c r="AD413" i="23"/>
  <c r="X413" i="23"/>
  <c r="W413" i="23"/>
  <c r="AC413" i="23" s="1"/>
  <c r="AD412" i="23"/>
  <c r="X412" i="23"/>
  <c r="W412" i="23"/>
  <c r="AD411" i="23"/>
  <c r="X411" i="23"/>
  <c r="W411" i="23"/>
  <c r="AC411" i="23" s="1"/>
  <c r="AD410" i="23"/>
  <c r="X410" i="23"/>
  <c r="W410" i="23"/>
  <c r="AD409" i="23"/>
  <c r="X409" i="23"/>
  <c r="W409" i="23"/>
  <c r="AC409" i="23" s="1"/>
  <c r="AD408" i="23"/>
  <c r="X408" i="23"/>
  <c r="W408" i="23"/>
  <c r="AD407" i="23"/>
  <c r="X407" i="23"/>
  <c r="W407" i="23"/>
  <c r="AC407" i="23" s="1"/>
  <c r="AD406" i="23"/>
  <c r="X406" i="23"/>
  <c r="W406" i="23"/>
  <c r="AD405" i="23"/>
  <c r="X405" i="23"/>
  <c r="W405" i="23"/>
  <c r="AC405" i="23" s="1"/>
  <c r="AD404" i="23"/>
  <c r="X404" i="23"/>
  <c r="W404" i="23"/>
  <c r="AD403" i="23"/>
  <c r="X403" i="23"/>
  <c r="W403" i="23"/>
  <c r="AC403" i="23" s="1"/>
  <c r="AD402" i="23"/>
  <c r="X402" i="23"/>
  <c r="W402" i="23"/>
  <c r="AD401" i="23"/>
  <c r="X401" i="23"/>
  <c r="W401" i="23"/>
  <c r="AC401" i="23" s="1"/>
  <c r="AD400" i="23"/>
  <c r="X400" i="23"/>
  <c r="W400" i="23"/>
  <c r="AD399" i="23"/>
  <c r="X399" i="23"/>
  <c r="W399" i="23"/>
  <c r="AC399" i="23" s="1"/>
  <c r="AD398" i="23"/>
  <c r="X398" i="23"/>
  <c r="W398" i="23"/>
  <c r="AD397" i="23"/>
  <c r="X397" i="23"/>
  <c r="W397" i="23"/>
  <c r="AC397" i="23" s="1"/>
  <c r="AD396" i="23"/>
  <c r="X396" i="23"/>
  <c r="W396" i="23"/>
  <c r="AD395" i="23"/>
  <c r="X395" i="23"/>
  <c r="W395" i="23"/>
  <c r="AC395" i="23" s="1"/>
  <c r="AD394" i="23"/>
  <c r="X394" i="23"/>
  <c r="W394" i="23"/>
  <c r="AD393" i="23"/>
  <c r="X393" i="23"/>
  <c r="W393" i="23"/>
  <c r="AC393" i="23" s="1"/>
  <c r="AD392" i="23"/>
  <c r="X392" i="23"/>
  <c r="W392" i="23"/>
  <c r="AD391" i="23"/>
  <c r="X391" i="23"/>
  <c r="W391" i="23"/>
  <c r="AD390" i="23"/>
  <c r="X390" i="23"/>
  <c r="W390" i="23"/>
  <c r="AD389" i="23"/>
  <c r="X389" i="23"/>
  <c r="W389" i="23"/>
  <c r="AC389" i="23" s="1"/>
  <c r="AD388" i="23"/>
  <c r="X388" i="23"/>
  <c r="W388" i="23"/>
  <c r="AD387" i="23"/>
  <c r="X387" i="23"/>
  <c r="W387" i="23"/>
  <c r="AD386" i="23"/>
  <c r="X386" i="23"/>
  <c r="W386" i="23"/>
  <c r="AC386" i="23" s="1"/>
  <c r="AD385" i="23"/>
  <c r="X385" i="23"/>
  <c r="W385" i="23"/>
  <c r="AC385" i="23" s="1"/>
  <c r="AD384" i="23"/>
  <c r="X384" i="23"/>
  <c r="W384" i="23"/>
  <c r="AD383" i="23"/>
  <c r="X383" i="23"/>
  <c r="W383" i="23"/>
  <c r="AD382" i="23"/>
  <c r="X382" i="23"/>
  <c r="W382" i="23"/>
  <c r="AC382" i="23" s="1"/>
  <c r="AD381" i="23"/>
  <c r="X381" i="23"/>
  <c r="W381" i="23"/>
  <c r="AC381" i="23" s="1"/>
  <c r="AD380" i="23"/>
  <c r="X380" i="23"/>
  <c r="W380" i="23"/>
  <c r="AD379" i="23"/>
  <c r="X379" i="23"/>
  <c r="W379" i="23"/>
  <c r="AD378" i="23"/>
  <c r="X378" i="23"/>
  <c r="W378" i="23"/>
  <c r="AC378" i="23" s="1"/>
  <c r="AE377" i="23"/>
  <c r="V377" i="23"/>
  <c r="AB377" i="23" s="1"/>
  <c r="AE376" i="23"/>
  <c r="V376" i="23"/>
  <c r="AB376" i="23" s="1"/>
  <c r="AE375" i="23"/>
  <c r="V375" i="23"/>
  <c r="AB375" i="23" s="1"/>
  <c r="AE374" i="23"/>
  <c r="V374" i="23"/>
  <c r="AB374" i="23" s="1"/>
  <c r="AE373" i="23"/>
  <c r="V373" i="23"/>
  <c r="AB373" i="23" s="1"/>
  <c r="AE372" i="23"/>
  <c r="AB372" i="23"/>
  <c r="V372" i="23"/>
  <c r="AE371" i="23"/>
  <c r="V371" i="23"/>
  <c r="AB371" i="23" s="1"/>
  <c r="AE370" i="23"/>
  <c r="V370" i="23"/>
  <c r="AB370" i="23" s="1"/>
  <c r="AE369" i="23"/>
  <c r="V369" i="23"/>
  <c r="AB369" i="23" s="1"/>
  <c r="AE368" i="23"/>
  <c r="V368" i="23"/>
  <c r="AB368" i="23" s="1"/>
  <c r="AE367" i="23"/>
  <c r="V367" i="23"/>
  <c r="AB367" i="23" s="1"/>
  <c r="AE366" i="23"/>
  <c r="V366" i="23"/>
  <c r="AB366" i="23" s="1"/>
  <c r="AE365" i="23"/>
  <c r="V365" i="23"/>
  <c r="AB365" i="23" s="1"/>
  <c r="AE364" i="23"/>
  <c r="AB364" i="23"/>
  <c r="V364" i="23"/>
  <c r="AE363" i="23"/>
  <c r="V363" i="23"/>
  <c r="AB363" i="23" s="1"/>
  <c r="AE362" i="23"/>
  <c r="V362" i="23"/>
  <c r="AB362" i="23" s="1"/>
  <c r="AE361" i="23"/>
  <c r="V361" i="23"/>
  <c r="AB361" i="23" s="1"/>
  <c r="AE360" i="23"/>
  <c r="V360" i="23"/>
  <c r="AB360" i="23" s="1"/>
  <c r="AE359" i="23"/>
  <c r="V359" i="23"/>
  <c r="AB359" i="23" s="1"/>
  <c r="AE358" i="23"/>
  <c r="V358" i="23"/>
  <c r="AB358" i="23" s="1"/>
  <c r="AE357" i="23"/>
  <c r="V357" i="23"/>
  <c r="AB357" i="23" s="1"/>
  <c r="AE356" i="23"/>
  <c r="V356" i="23"/>
  <c r="AB356" i="23" s="1"/>
  <c r="AE355" i="23"/>
  <c r="V355" i="23"/>
  <c r="AB355" i="23" s="1"/>
  <c r="AE354" i="23"/>
  <c r="V354" i="23"/>
  <c r="AB354" i="23" s="1"/>
  <c r="AE353" i="23"/>
  <c r="AB353" i="23"/>
  <c r="V353" i="23"/>
  <c r="AE352" i="23"/>
  <c r="AB352" i="23"/>
  <c r="V352" i="23"/>
  <c r="AE351" i="23"/>
  <c r="AB351" i="23"/>
  <c r="V351" i="23"/>
  <c r="AE350" i="23"/>
  <c r="AB350" i="23"/>
  <c r="V350" i="23"/>
  <c r="AE349" i="23"/>
  <c r="AB349" i="23"/>
  <c r="V349" i="23"/>
  <c r="AD348" i="23"/>
  <c r="X348" i="23"/>
  <c r="W348" i="23"/>
  <c r="AD347" i="23"/>
  <c r="X347" i="23"/>
  <c r="W347" i="23"/>
  <c r="AD346" i="23"/>
  <c r="X346" i="23"/>
  <c r="W346" i="23"/>
  <c r="AD345" i="23"/>
  <c r="X345" i="23"/>
  <c r="W345" i="23"/>
  <c r="AD344" i="23"/>
  <c r="X344" i="23"/>
  <c r="W344" i="23"/>
  <c r="AD343" i="23"/>
  <c r="X343" i="23"/>
  <c r="W343" i="23"/>
  <c r="AD342" i="23"/>
  <c r="X342" i="23"/>
  <c r="W342" i="23"/>
  <c r="AD341" i="23"/>
  <c r="X341" i="23"/>
  <c r="W341" i="23"/>
  <c r="AD340" i="23"/>
  <c r="X340" i="23"/>
  <c r="W340" i="23"/>
  <c r="AD339" i="23"/>
  <c r="X339" i="23"/>
  <c r="W339" i="23"/>
  <c r="AD338" i="23"/>
  <c r="X338" i="23"/>
  <c r="W338" i="23"/>
  <c r="AD337" i="23"/>
  <c r="X337" i="23"/>
  <c r="W337" i="23"/>
  <c r="AD336" i="23"/>
  <c r="X336" i="23"/>
  <c r="W336" i="23"/>
  <c r="AD335" i="23"/>
  <c r="X335" i="23"/>
  <c r="W335" i="23"/>
  <c r="AD334" i="23"/>
  <c r="X334" i="23"/>
  <c r="W334" i="23"/>
  <c r="AD333" i="23"/>
  <c r="X333" i="23"/>
  <c r="W333" i="23"/>
  <c r="AD332" i="23"/>
  <c r="X332" i="23"/>
  <c r="W332" i="23"/>
  <c r="AD331" i="23"/>
  <c r="X331" i="23"/>
  <c r="W331" i="23"/>
  <c r="AD330" i="23"/>
  <c r="X330" i="23"/>
  <c r="W330" i="23"/>
  <c r="AD329" i="23"/>
  <c r="X329" i="23"/>
  <c r="W329" i="23"/>
  <c r="AD328" i="23"/>
  <c r="X328" i="23"/>
  <c r="W328" i="23"/>
  <c r="AD327" i="23"/>
  <c r="X327" i="23"/>
  <c r="W327" i="23"/>
  <c r="AD326" i="23"/>
  <c r="X326" i="23"/>
  <c r="W326" i="23"/>
  <c r="AD325" i="23"/>
  <c r="X325" i="23"/>
  <c r="W325" i="23"/>
  <c r="AD324" i="23"/>
  <c r="X324" i="23"/>
  <c r="W324" i="23"/>
  <c r="AD323" i="23"/>
  <c r="X323" i="23"/>
  <c r="W323" i="23"/>
  <c r="AD322" i="23"/>
  <c r="X322" i="23"/>
  <c r="W322" i="23"/>
  <c r="AD321" i="23"/>
  <c r="X321" i="23"/>
  <c r="W321" i="23"/>
  <c r="AD320" i="23"/>
  <c r="X320" i="23"/>
  <c r="W320" i="23"/>
  <c r="AE319" i="23"/>
  <c r="V319" i="23"/>
  <c r="AB319" i="23" s="1"/>
  <c r="AE318" i="23"/>
  <c r="V318" i="23"/>
  <c r="AB318" i="23" s="1"/>
  <c r="AE317" i="23"/>
  <c r="V317" i="23"/>
  <c r="AB317" i="23" s="1"/>
  <c r="AE316" i="23"/>
  <c r="V316" i="23"/>
  <c r="AB316" i="23" s="1"/>
  <c r="AD310" i="23"/>
  <c r="X310" i="23"/>
  <c r="W310" i="23"/>
  <c r="AD309" i="23"/>
  <c r="X309" i="23"/>
  <c r="W309" i="23"/>
  <c r="AD308" i="23"/>
  <c r="X308" i="23"/>
  <c r="W308" i="23"/>
  <c r="AC308" i="23" s="1"/>
  <c r="AD307" i="23"/>
  <c r="X307" i="23"/>
  <c r="W307" i="23"/>
  <c r="AD306" i="23"/>
  <c r="X306" i="23"/>
  <c r="W306" i="23"/>
  <c r="AD305" i="23"/>
  <c r="X305" i="23"/>
  <c r="W305" i="23"/>
  <c r="AC305" i="23" s="1"/>
  <c r="AD304" i="23"/>
  <c r="X304" i="23"/>
  <c r="W304" i="23"/>
  <c r="AD303" i="23"/>
  <c r="X303" i="23"/>
  <c r="W303" i="23"/>
  <c r="AD302" i="23"/>
  <c r="X302" i="23"/>
  <c r="W302" i="23"/>
  <c r="X265" i="23"/>
  <c r="W265" i="23"/>
  <c r="V265" i="23"/>
  <c r="AB265" i="23" s="1"/>
  <c r="X264" i="23"/>
  <c r="W264" i="23"/>
  <c r="AC264" i="23" s="1"/>
  <c r="V264" i="23"/>
  <c r="AB264" i="23" s="1"/>
  <c r="X263" i="23"/>
  <c r="W263" i="23"/>
  <c r="V263" i="23"/>
  <c r="AB263" i="23" s="1"/>
  <c r="X262" i="23"/>
  <c r="W262" i="23"/>
  <c r="V262" i="23"/>
  <c r="AB262" i="23" s="1"/>
  <c r="X261" i="23"/>
  <c r="W261" i="23"/>
  <c r="V261" i="23"/>
  <c r="AB261" i="23" s="1"/>
  <c r="X260" i="23"/>
  <c r="W260" i="23"/>
  <c r="V260" i="23"/>
  <c r="AB260" i="23" s="1"/>
  <c r="X259" i="23"/>
  <c r="W259" i="23"/>
  <c r="V259" i="23"/>
  <c r="AB259" i="23" s="1"/>
  <c r="X258" i="23"/>
  <c r="W258" i="23"/>
  <c r="V258" i="23"/>
  <c r="AB258" i="23" s="1"/>
  <c r="X257" i="23"/>
  <c r="W257" i="23"/>
  <c r="V257" i="23"/>
  <c r="AB257" i="23" s="1"/>
  <c r="X256" i="23"/>
  <c r="W256" i="23"/>
  <c r="V256" i="23"/>
  <c r="AB256" i="23" s="1"/>
  <c r="X255" i="23"/>
  <c r="W255" i="23"/>
  <c r="V255" i="23"/>
  <c r="AB255" i="23" s="1"/>
  <c r="X254" i="23"/>
  <c r="W254" i="23"/>
  <c r="V254" i="23"/>
  <c r="AB254" i="23" s="1"/>
  <c r="X253" i="23"/>
  <c r="W253" i="23"/>
  <c r="V253" i="23"/>
  <c r="AB253" i="23" s="1"/>
  <c r="X252" i="23"/>
  <c r="W252" i="23"/>
  <c r="V252" i="23"/>
  <c r="AB252" i="23" s="1"/>
  <c r="X251" i="23"/>
  <c r="W251" i="23"/>
  <c r="V251" i="23"/>
  <c r="AB251" i="23" s="1"/>
  <c r="X250" i="23"/>
  <c r="W250" i="23"/>
  <c r="V250" i="23"/>
  <c r="AB250" i="23" s="1"/>
  <c r="X249" i="23"/>
  <c r="W249" i="23"/>
  <c r="V249" i="23"/>
  <c r="AB249" i="23" s="1"/>
  <c r="X248" i="23"/>
  <c r="W248" i="23"/>
  <c r="V248" i="23"/>
  <c r="AB248" i="23" s="1"/>
  <c r="X247" i="23"/>
  <c r="W247" i="23"/>
  <c r="V247" i="23"/>
  <c r="AB247" i="23" s="1"/>
  <c r="X246" i="23"/>
  <c r="W246" i="23"/>
  <c r="V246" i="23"/>
  <c r="AB246" i="23" s="1"/>
  <c r="X245" i="23"/>
  <c r="W245" i="23"/>
  <c r="V245" i="23"/>
  <c r="AB245" i="23" s="1"/>
  <c r="X244" i="23"/>
  <c r="W244" i="23"/>
  <c r="AC244" i="23" s="1"/>
  <c r="V244" i="23"/>
  <c r="AB244" i="23" s="1"/>
  <c r="X243" i="23"/>
  <c r="W243" i="23"/>
  <c r="V243" i="23"/>
  <c r="AB243" i="23" s="1"/>
  <c r="X242" i="23"/>
  <c r="W242" i="23"/>
  <c r="AC242" i="23" s="1"/>
  <c r="V242" i="23"/>
  <c r="AB242" i="23" s="1"/>
  <c r="X241" i="23"/>
  <c r="W241" i="23"/>
  <c r="V241" i="23"/>
  <c r="AB241" i="23" s="1"/>
  <c r="X240" i="23"/>
  <c r="W240" i="23"/>
  <c r="AC240" i="23" s="1"/>
  <c r="V240" i="23"/>
  <c r="AB240" i="23" s="1"/>
  <c r="X239" i="23"/>
  <c r="W239" i="23"/>
  <c r="V239" i="23"/>
  <c r="AB239" i="23" s="1"/>
  <c r="X238" i="23"/>
  <c r="W238" i="23"/>
  <c r="AC238" i="23" s="1"/>
  <c r="V238" i="23"/>
  <c r="AB238" i="23" s="1"/>
  <c r="X237" i="23"/>
  <c r="W237" i="23"/>
  <c r="V237" i="23"/>
  <c r="AB237" i="23" s="1"/>
  <c r="X236" i="23"/>
  <c r="W236" i="23"/>
  <c r="AC236" i="23" s="1"/>
  <c r="V236" i="23"/>
  <c r="AB236" i="23" s="1"/>
  <c r="X235" i="23"/>
  <c r="W235" i="23"/>
  <c r="V235" i="23"/>
  <c r="AB235" i="23" s="1"/>
  <c r="X234" i="23"/>
  <c r="W234" i="23"/>
  <c r="AC234" i="23" s="1"/>
  <c r="V234" i="23"/>
  <c r="AB234" i="23" s="1"/>
  <c r="X233" i="23"/>
  <c r="W233" i="23"/>
  <c r="V233" i="23"/>
  <c r="AB233" i="23" s="1"/>
  <c r="X232" i="23"/>
  <c r="W232" i="23"/>
  <c r="AC232" i="23" s="1"/>
  <c r="V232" i="23"/>
  <c r="AB232" i="23" s="1"/>
  <c r="X231" i="23"/>
  <c r="W231" i="23"/>
  <c r="V231" i="23"/>
  <c r="AB231" i="23" s="1"/>
  <c r="X230" i="23"/>
  <c r="W230" i="23"/>
  <c r="AC230" i="23" s="1"/>
  <c r="V230" i="23"/>
  <c r="AB230" i="23" s="1"/>
  <c r="X229" i="23"/>
  <c r="W229" i="23"/>
  <c r="V229" i="23"/>
  <c r="AB229" i="23" s="1"/>
  <c r="X228" i="23"/>
  <c r="W228" i="23"/>
  <c r="AC228" i="23" s="1"/>
  <c r="V228" i="23"/>
  <c r="AB228" i="23" s="1"/>
  <c r="X227" i="23"/>
  <c r="W227" i="23"/>
  <c r="V227" i="23"/>
  <c r="AB227" i="23" s="1"/>
  <c r="X226" i="23"/>
  <c r="W226" i="23"/>
  <c r="AC226" i="23" s="1"/>
  <c r="V226" i="23"/>
  <c r="AB226" i="23" s="1"/>
  <c r="X225" i="23"/>
  <c r="W225" i="23"/>
  <c r="V225" i="23"/>
  <c r="AB225" i="23" s="1"/>
  <c r="X224" i="23"/>
  <c r="W224" i="23"/>
  <c r="AC224" i="23" s="1"/>
  <c r="V224" i="23"/>
  <c r="AB224" i="23" s="1"/>
  <c r="X223" i="23"/>
  <c r="W223" i="23"/>
  <c r="V223" i="23"/>
  <c r="AB223" i="23" s="1"/>
  <c r="X222" i="23"/>
  <c r="W222" i="23"/>
  <c r="AC222" i="23" s="1"/>
  <c r="V222" i="23"/>
  <c r="AB222" i="23" s="1"/>
  <c r="X221" i="23"/>
  <c r="W221" i="23"/>
  <c r="V221" i="23"/>
  <c r="AB221" i="23" s="1"/>
  <c r="X220" i="23"/>
  <c r="W220" i="23"/>
  <c r="AC220" i="23" s="1"/>
  <c r="V220" i="23"/>
  <c r="AB220" i="23" s="1"/>
  <c r="X219" i="23"/>
  <c r="W219" i="23"/>
  <c r="V219" i="23"/>
  <c r="AB219" i="23" s="1"/>
  <c r="X218" i="23"/>
  <c r="W218" i="23"/>
  <c r="AC218" i="23" s="1"/>
  <c r="V218" i="23"/>
  <c r="AB218" i="23" s="1"/>
  <c r="X217" i="23"/>
  <c r="W217" i="23"/>
  <c r="V217" i="23"/>
  <c r="AB217" i="23" s="1"/>
  <c r="X216" i="23"/>
  <c r="W216" i="23"/>
  <c r="AC216" i="23" s="1"/>
  <c r="V216" i="23"/>
  <c r="AB216" i="23" s="1"/>
  <c r="X215" i="23"/>
  <c r="W215" i="23"/>
  <c r="V215" i="23"/>
  <c r="AB215" i="23" s="1"/>
  <c r="X214" i="23"/>
  <c r="W214" i="23"/>
  <c r="AC214" i="23" s="1"/>
  <c r="V214" i="23"/>
  <c r="AB214" i="23" s="1"/>
  <c r="X213" i="23"/>
  <c r="W213" i="23"/>
  <c r="V213" i="23"/>
  <c r="AB213" i="23" s="1"/>
  <c r="X212" i="23"/>
  <c r="W212" i="23"/>
  <c r="AC212" i="23" s="1"/>
  <c r="V212" i="23"/>
  <c r="AB212" i="23" s="1"/>
  <c r="X211" i="23"/>
  <c r="W211" i="23"/>
  <c r="V211" i="23"/>
  <c r="AB211" i="23" s="1"/>
  <c r="X210" i="23"/>
  <c r="W210" i="23"/>
  <c r="AC210" i="23" s="1"/>
  <c r="V210" i="23"/>
  <c r="AB210" i="23" s="1"/>
  <c r="X209" i="23"/>
  <c r="W209" i="23"/>
  <c r="V209" i="23"/>
  <c r="AB209" i="23" s="1"/>
  <c r="X208" i="23"/>
  <c r="W208" i="23"/>
  <c r="AC208" i="23" s="1"/>
  <c r="V208" i="23"/>
  <c r="AB208" i="23" s="1"/>
  <c r="X207" i="23"/>
  <c r="W207" i="23"/>
  <c r="V207" i="23"/>
  <c r="AB207" i="23" s="1"/>
  <c r="X206" i="23"/>
  <c r="W206" i="23"/>
  <c r="AC206" i="23" s="1"/>
  <c r="V206" i="23"/>
  <c r="AB206" i="23" s="1"/>
  <c r="X205" i="23"/>
  <c r="W205" i="23"/>
  <c r="AC205" i="23" s="1"/>
  <c r="V205" i="23"/>
  <c r="AB205" i="23" s="1"/>
  <c r="X204" i="23"/>
  <c r="W204" i="23"/>
  <c r="V204" i="23"/>
  <c r="AB204" i="23" s="1"/>
  <c r="X203" i="23"/>
  <c r="W203" i="23"/>
  <c r="V203" i="23"/>
  <c r="AB203" i="23" s="1"/>
  <c r="X202" i="23"/>
  <c r="W202" i="23"/>
  <c r="V202" i="23"/>
  <c r="AB202" i="23" s="1"/>
  <c r="X201" i="23"/>
  <c r="W201" i="23"/>
  <c r="V201" i="23"/>
  <c r="AB201" i="23" s="1"/>
  <c r="X200" i="23"/>
  <c r="W200" i="23"/>
  <c r="V200" i="23"/>
  <c r="AB200" i="23" s="1"/>
  <c r="X199" i="23"/>
  <c r="W199" i="23"/>
  <c r="AC199" i="23" s="1"/>
  <c r="V199" i="23"/>
  <c r="AB199" i="23" s="1"/>
  <c r="AC198" i="23"/>
  <c r="X198" i="23"/>
  <c r="W198" i="23"/>
  <c r="V198" i="23"/>
  <c r="AB198" i="23" s="1"/>
  <c r="X197" i="23"/>
  <c r="W197" i="23"/>
  <c r="V197" i="23"/>
  <c r="AB197" i="23" s="1"/>
  <c r="X196" i="23"/>
  <c r="W196" i="23"/>
  <c r="AC196" i="23" s="1"/>
  <c r="V196" i="23"/>
  <c r="AB196" i="23" s="1"/>
  <c r="X195" i="23"/>
  <c r="W195" i="23"/>
  <c r="V195" i="23"/>
  <c r="AB195" i="23" s="1"/>
  <c r="X194" i="23"/>
  <c r="W194" i="23"/>
  <c r="AC194" i="23" s="1"/>
  <c r="V194" i="23"/>
  <c r="AB194" i="23" s="1"/>
  <c r="X193" i="23"/>
  <c r="W193" i="23"/>
  <c r="V193" i="23"/>
  <c r="AB193" i="23" s="1"/>
  <c r="W193" i="22"/>
  <c r="V193" i="22"/>
  <c r="X192" i="23"/>
  <c r="W192" i="23"/>
  <c r="V192" i="23"/>
  <c r="AB192" i="23" s="1"/>
  <c r="W192" i="22"/>
  <c r="V192" i="22"/>
  <c r="X191" i="23"/>
  <c r="W191" i="23"/>
  <c r="V191" i="23"/>
  <c r="AB191" i="23" s="1"/>
  <c r="W191" i="22"/>
  <c r="V191" i="22"/>
  <c r="AB190" i="23"/>
  <c r="X190" i="23"/>
  <c r="W190" i="23"/>
  <c r="AC190" i="23" s="1"/>
  <c r="V190" i="23"/>
  <c r="W190" i="22"/>
  <c r="V190" i="22"/>
  <c r="X189" i="23"/>
  <c r="W189" i="23"/>
  <c r="AC189" i="23" s="1"/>
  <c r="V189" i="23"/>
  <c r="AB189" i="23" s="1"/>
  <c r="W189" i="22"/>
  <c r="V189" i="22"/>
  <c r="AC188" i="23"/>
  <c r="X188" i="23"/>
  <c r="W188" i="23"/>
  <c r="V188" i="23"/>
  <c r="AB188" i="23" s="1"/>
  <c r="W188" i="22"/>
  <c r="V188" i="22"/>
  <c r="X187" i="23"/>
  <c r="W187" i="23"/>
  <c r="AC187" i="23" s="1"/>
  <c r="V187" i="23"/>
  <c r="AB187" i="23" s="1"/>
  <c r="W187" i="22"/>
  <c r="V187" i="22"/>
  <c r="AC186" i="23"/>
  <c r="X186" i="23"/>
  <c r="W186" i="23"/>
  <c r="V186" i="23"/>
  <c r="AB186" i="23" s="1"/>
  <c r="W186" i="22"/>
  <c r="V186" i="22"/>
  <c r="X185" i="23"/>
  <c r="W185" i="23"/>
  <c r="AC185" i="23" s="1"/>
  <c r="V185" i="23"/>
  <c r="AB185" i="23" s="1"/>
  <c r="W185" i="22"/>
  <c r="V185" i="22"/>
  <c r="AC184" i="23"/>
  <c r="X184" i="23"/>
  <c r="W184" i="23"/>
  <c r="V184" i="23"/>
  <c r="AB184" i="23" s="1"/>
  <c r="W184" i="22"/>
  <c r="V184" i="22"/>
  <c r="X183" i="23"/>
  <c r="W183" i="23"/>
  <c r="AC183" i="23" s="1"/>
  <c r="V183" i="23"/>
  <c r="AB183" i="23" s="1"/>
  <c r="W183" i="22"/>
  <c r="V183" i="22"/>
  <c r="AC182" i="23"/>
  <c r="X182" i="23"/>
  <c r="W182" i="23"/>
  <c r="V182" i="23"/>
  <c r="AB182" i="23" s="1"/>
  <c r="W182" i="22"/>
  <c r="V182" i="22"/>
  <c r="X181" i="23"/>
  <c r="W181" i="23"/>
  <c r="AC181" i="23" s="1"/>
  <c r="V181" i="23"/>
  <c r="AB181" i="23" s="1"/>
  <c r="W181" i="22"/>
  <c r="X180" i="23"/>
  <c r="W180" i="23"/>
  <c r="AC180" i="23" s="1"/>
  <c r="V180" i="23"/>
  <c r="AB180" i="23" s="1"/>
  <c r="W180" i="22"/>
  <c r="X179" i="23"/>
  <c r="AC179" i="23" s="1"/>
  <c r="W179" i="23"/>
  <c r="V179" i="23"/>
  <c r="AB179" i="23" s="1"/>
  <c r="W179" i="22"/>
  <c r="X178" i="23"/>
  <c r="W178" i="23"/>
  <c r="V178" i="23"/>
  <c r="AB178" i="23" s="1"/>
  <c r="W178" i="22"/>
  <c r="AC177" i="23"/>
  <c r="X177" i="23"/>
  <c r="W177" i="23"/>
  <c r="V177" i="23"/>
  <c r="AB177" i="23" s="1"/>
  <c r="W177" i="22"/>
  <c r="X176" i="23"/>
  <c r="W176" i="23"/>
  <c r="V176" i="23"/>
  <c r="AB176" i="23" s="1"/>
  <c r="W176" i="22"/>
  <c r="X175" i="23"/>
  <c r="W175" i="23"/>
  <c r="AC175" i="23" s="1"/>
  <c r="V175" i="23"/>
  <c r="AB175" i="23" s="1"/>
  <c r="W175" i="22"/>
  <c r="X174" i="23"/>
  <c r="W174" i="23"/>
  <c r="AC174" i="23" s="1"/>
  <c r="V174" i="23"/>
  <c r="AB174" i="23" s="1"/>
  <c r="W174" i="22"/>
  <c r="X173" i="23"/>
  <c r="W173" i="23"/>
  <c r="AC173" i="23" s="1"/>
  <c r="V173" i="23"/>
  <c r="AB173" i="23" s="1"/>
  <c r="W173" i="22"/>
  <c r="X172" i="23"/>
  <c r="W172" i="23"/>
  <c r="AC172" i="23" s="1"/>
  <c r="V172" i="23"/>
  <c r="AB172" i="23" s="1"/>
  <c r="W172" i="22"/>
  <c r="X171" i="23"/>
  <c r="AC171" i="23" s="1"/>
  <c r="W171" i="23"/>
  <c r="V171" i="23"/>
  <c r="AB171" i="23" s="1"/>
  <c r="W171" i="22"/>
  <c r="X170" i="23"/>
  <c r="W170" i="23"/>
  <c r="V170" i="23"/>
  <c r="AB170" i="23" s="1"/>
  <c r="W170" i="22"/>
  <c r="W169" i="22"/>
  <c r="V169" i="22"/>
  <c r="W168" i="22"/>
  <c r="V168" i="22"/>
  <c r="W167" i="22"/>
  <c r="V167" i="22"/>
  <c r="W166" i="22"/>
  <c r="V166" i="22"/>
  <c r="W165" i="22"/>
  <c r="V165" i="22"/>
  <c r="W164" i="22"/>
  <c r="V164" i="22"/>
  <c r="W163" i="22"/>
  <c r="V163" i="22"/>
  <c r="W162" i="22"/>
  <c r="V162" i="22"/>
  <c r="W161" i="22"/>
  <c r="V161" i="22"/>
  <c r="W160" i="22"/>
  <c r="V160" i="22"/>
  <c r="W159" i="22"/>
  <c r="V159" i="22"/>
  <c r="W158" i="22"/>
  <c r="V158" i="22"/>
  <c r="W73" i="23"/>
  <c r="V73" i="23"/>
  <c r="AB73" i="23" s="1"/>
  <c r="W72" i="23"/>
  <c r="AC72" i="23" s="1"/>
  <c r="V72" i="23"/>
  <c r="AB72" i="23" s="1"/>
  <c r="W71" i="23"/>
  <c r="V71" i="23"/>
  <c r="AB71" i="23" s="1"/>
  <c r="W70" i="23"/>
  <c r="AC70" i="23" s="1"/>
  <c r="V70" i="23"/>
  <c r="AB70" i="23" s="1"/>
  <c r="W69" i="23"/>
  <c r="V69" i="23"/>
  <c r="AB69" i="23" s="1"/>
  <c r="W68" i="23"/>
  <c r="AC68" i="23" s="1"/>
  <c r="V68" i="23"/>
  <c r="AB68" i="23" s="1"/>
  <c r="W67" i="23"/>
  <c r="V67" i="23"/>
  <c r="AB67" i="23" s="1"/>
  <c r="W66" i="23"/>
  <c r="AC66" i="23" s="1"/>
  <c r="V66" i="23"/>
  <c r="AB66" i="23" s="1"/>
  <c r="W65" i="23"/>
  <c r="V65" i="23"/>
  <c r="AB65" i="23" s="1"/>
  <c r="W64" i="23"/>
  <c r="V64" i="23"/>
  <c r="AB64" i="23" s="1"/>
  <c r="W63" i="23"/>
  <c r="V63" i="23"/>
  <c r="AB63" i="23" s="1"/>
  <c r="W62" i="23"/>
  <c r="V62" i="23"/>
  <c r="AB62" i="23" s="1"/>
  <c r="AD61" i="23"/>
  <c r="W61" i="23"/>
  <c r="AC61" i="23" s="1"/>
  <c r="AD60" i="23"/>
  <c r="W60" i="23"/>
  <c r="AD59" i="23"/>
  <c r="W59" i="23"/>
  <c r="AD58" i="23"/>
  <c r="W58" i="23"/>
  <c r="AD57" i="23"/>
  <c r="W57" i="23"/>
  <c r="AD56" i="23"/>
  <c r="W56" i="23"/>
  <c r="AD55" i="23"/>
  <c r="W55" i="23"/>
  <c r="AD54" i="23"/>
  <c r="W54" i="23"/>
  <c r="AD53" i="23"/>
  <c r="W53" i="23"/>
  <c r="AC53" i="23" s="1"/>
  <c r="AD52" i="23"/>
  <c r="W52" i="23"/>
  <c r="AD51" i="23"/>
  <c r="W51" i="23"/>
  <c r="AD50" i="23"/>
  <c r="W50" i="23"/>
  <c r="W49" i="23"/>
  <c r="V49" i="23"/>
  <c r="AB49" i="23" s="1"/>
  <c r="W48" i="23"/>
  <c r="V48" i="23"/>
  <c r="AB48" i="23" s="1"/>
  <c r="W47" i="23"/>
  <c r="V47" i="23"/>
  <c r="AB47" i="23" s="1"/>
  <c r="W46" i="23"/>
  <c r="V46" i="23"/>
  <c r="AB46" i="23" s="1"/>
  <c r="W45" i="23"/>
  <c r="V45" i="23"/>
  <c r="AB45" i="23" s="1"/>
  <c r="W44" i="23"/>
  <c r="V44" i="23"/>
  <c r="AB44" i="23" s="1"/>
  <c r="W43" i="23"/>
  <c r="V43" i="23"/>
  <c r="AB43" i="23" s="1"/>
  <c r="W42" i="23"/>
  <c r="AC42" i="23" s="1"/>
  <c r="V42" i="23"/>
  <c r="AB42" i="23" s="1"/>
  <c r="W41" i="23"/>
  <c r="AC41" i="23" s="1"/>
  <c r="V41" i="23"/>
  <c r="AB41" i="23" s="1"/>
  <c r="W40" i="23"/>
  <c r="V40" i="23"/>
  <c r="AB40" i="23" s="1"/>
  <c r="W39" i="23"/>
  <c r="V39" i="23"/>
  <c r="AB39" i="23" s="1"/>
  <c r="W38" i="23"/>
  <c r="AC38" i="23" s="1"/>
  <c r="V38" i="23"/>
  <c r="AB38" i="23" s="1"/>
  <c r="M40" i="5"/>
  <c r="M39" i="5"/>
  <c r="M38" i="5"/>
  <c r="AJ9" i="23"/>
  <c r="AI9" i="23"/>
  <c r="AJ4" i="23"/>
  <c r="AI4" i="23"/>
  <c r="AD832" i="23"/>
  <c r="AD831" i="23"/>
  <c r="AD830" i="23"/>
  <c r="AD829" i="23"/>
  <c r="AD828" i="23"/>
  <c r="AD827" i="23"/>
  <c r="AD826" i="23"/>
  <c r="AD825" i="23"/>
  <c r="AD824" i="23"/>
  <c r="AD823" i="23"/>
  <c r="AD822" i="23"/>
  <c r="AD821" i="23"/>
  <c r="AD820" i="23"/>
  <c r="AD819" i="23"/>
  <c r="AD818" i="23"/>
  <c r="AD817" i="23"/>
  <c r="AD816" i="23"/>
  <c r="AD815" i="23"/>
  <c r="AD814" i="23"/>
  <c r="AD813" i="23"/>
  <c r="AD812" i="23"/>
  <c r="AD811" i="23"/>
  <c r="AD810" i="23"/>
  <c r="AD809" i="23"/>
  <c r="AD808" i="23"/>
  <c r="AD807" i="23"/>
  <c r="AD806" i="23"/>
  <c r="AD805" i="23"/>
  <c r="AD804" i="23"/>
  <c r="AD803" i="23"/>
  <c r="AD802" i="23"/>
  <c r="AD801" i="23"/>
  <c r="AD800" i="23"/>
  <c r="AD799" i="23"/>
  <c r="AD798" i="23"/>
  <c r="AD797" i="23"/>
  <c r="AD796" i="23"/>
  <c r="AD795" i="23"/>
  <c r="AD794" i="23"/>
  <c r="AD793" i="23"/>
  <c r="AD792" i="23"/>
  <c r="AD791" i="23"/>
  <c r="AD790" i="23"/>
  <c r="AD789" i="23"/>
  <c r="AD788" i="23"/>
  <c r="AD787" i="23"/>
  <c r="AD786" i="23"/>
  <c r="AD785" i="23"/>
  <c r="AD784" i="23"/>
  <c r="AD783" i="23"/>
  <c r="AD782" i="23"/>
  <c r="AD781" i="23"/>
  <c r="AD780" i="23"/>
  <c r="AD779" i="23"/>
  <c r="AD778" i="23"/>
  <c r="AD777" i="23"/>
  <c r="AD776" i="23"/>
  <c r="AD775" i="23"/>
  <c r="AD774" i="23"/>
  <c r="AD773" i="23"/>
  <c r="AD772" i="23"/>
  <c r="AD771" i="23"/>
  <c r="AD770" i="23"/>
  <c r="AD769" i="23"/>
  <c r="AD768" i="23"/>
  <c r="AD767" i="23"/>
  <c r="AD766" i="23"/>
  <c r="AD765" i="23"/>
  <c r="AD764" i="23"/>
  <c r="AD763" i="23"/>
  <c r="AD762" i="23"/>
  <c r="AD761" i="23"/>
  <c r="AD760" i="23"/>
  <c r="AD759" i="23"/>
  <c r="AD758" i="23"/>
  <c r="AD757" i="23"/>
  <c r="AD756" i="23"/>
  <c r="AD755" i="23"/>
  <c r="AD754" i="23"/>
  <c r="AD753" i="23"/>
  <c r="AD752" i="23"/>
  <c r="AD751" i="23"/>
  <c r="AD750" i="23"/>
  <c r="AD749" i="23"/>
  <c r="AD748" i="23"/>
  <c r="AD747" i="23"/>
  <c r="AD746" i="23"/>
  <c r="AD745" i="23"/>
  <c r="AD744" i="23"/>
  <c r="AD743" i="23"/>
  <c r="AD742" i="23"/>
  <c r="AD741" i="23"/>
  <c r="AD740" i="23"/>
  <c r="AD739" i="23"/>
  <c r="AD738" i="23"/>
  <c r="AD737" i="23"/>
  <c r="AD736" i="23"/>
  <c r="AD735" i="23"/>
  <c r="AD734" i="23"/>
  <c r="AD733" i="23"/>
  <c r="AD732" i="23"/>
  <c r="AD731" i="23"/>
  <c r="AD730" i="23"/>
  <c r="AD729" i="23"/>
  <c r="AD728" i="23"/>
  <c r="AD727" i="23"/>
  <c r="AD726" i="23"/>
  <c r="AD725" i="23"/>
  <c r="AD724" i="23"/>
  <c r="AD723" i="23"/>
  <c r="AD722" i="23"/>
  <c r="AD721" i="23"/>
  <c r="AD720" i="23"/>
  <c r="AD719" i="23"/>
  <c r="AD718" i="23"/>
  <c r="AD717" i="23"/>
  <c r="AD716" i="23"/>
  <c r="AD10" i="26" s="1"/>
  <c r="AD715" i="23"/>
  <c r="AD714" i="23"/>
  <c r="AD713" i="23"/>
  <c r="AD712" i="23"/>
  <c r="AD711" i="23"/>
  <c r="AD710" i="23"/>
  <c r="AD709" i="23"/>
  <c r="AD708" i="23"/>
  <c r="AD707" i="23"/>
  <c r="AD706" i="23"/>
  <c r="AD705" i="23"/>
  <c r="AD704" i="23"/>
  <c r="AD703" i="23"/>
  <c r="AD702" i="23"/>
  <c r="AD701" i="23"/>
  <c r="AD700" i="23"/>
  <c r="AD699" i="23"/>
  <c r="AD698" i="23"/>
  <c r="AD697" i="23"/>
  <c r="AD696" i="23"/>
  <c r="AD695" i="23"/>
  <c r="AD694" i="23"/>
  <c r="AD693" i="23"/>
  <c r="AD692" i="23"/>
  <c r="AD691" i="23"/>
  <c r="AD690" i="23"/>
  <c r="AD689" i="23"/>
  <c r="AD688" i="23"/>
  <c r="AD687" i="23"/>
  <c r="AD686" i="23"/>
  <c r="AD685" i="23"/>
  <c r="AD684" i="23"/>
  <c r="AD683" i="23"/>
  <c r="AD682" i="23"/>
  <c r="AD681" i="23"/>
  <c r="AD680" i="23"/>
  <c r="AD679" i="23"/>
  <c r="AD678" i="23"/>
  <c r="AD677" i="23"/>
  <c r="AD676" i="23"/>
  <c r="AD675" i="23"/>
  <c r="AD674" i="23"/>
  <c r="AD673" i="23"/>
  <c r="AD672" i="23"/>
  <c r="AD671" i="23"/>
  <c r="AD670" i="23"/>
  <c r="AD669" i="23"/>
  <c r="AD668" i="23"/>
  <c r="AD667" i="23"/>
  <c r="AD666" i="23"/>
  <c r="AD665" i="23"/>
  <c r="AD664" i="23"/>
  <c r="AD663" i="23"/>
  <c r="AD662" i="23"/>
  <c r="AD661" i="23"/>
  <c r="AD660" i="23"/>
  <c r="AD659" i="23"/>
  <c r="AD658" i="23"/>
  <c r="AD657" i="23"/>
  <c r="AD656" i="23"/>
  <c r="AD655" i="23"/>
  <c r="AD654" i="23"/>
  <c r="AD653" i="23"/>
  <c r="AD652" i="23"/>
  <c r="AD651" i="23"/>
  <c r="AD650" i="23"/>
  <c r="AD649" i="23"/>
  <c r="AD648" i="23"/>
  <c r="AD647" i="23"/>
  <c r="AD646" i="23"/>
  <c r="AD645" i="23"/>
  <c r="AD644" i="23"/>
  <c r="AD643" i="23"/>
  <c r="AD642" i="23"/>
  <c r="AD641" i="23"/>
  <c r="AD640" i="23"/>
  <c r="AD639" i="23"/>
  <c r="AD638" i="23"/>
  <c r="AD637" i="23"/>
  <c r="AD636" i="23"/>
  <c r="AD635" i="23"/>
  <c r="AD634" i="23"/>
  <c r="AD633" i="23"/>
  <c r="AD632" i="23"/>
  <c r="AD631" i="23"/>
  <c r="AD630" i="23"/>
  <c r="AD629" i="23"/>
  <c r="AD628" i="23"/>
  <c r="AD627" i="23"/>
  <c r="AD626" i="23"/>
  <c r="AD625" i="23"/>
  <c r="AD624" i="23"/>
  <c r="AD623" i="23"/>
  <c r="AD622" i="23"/>
  <c r="AD621" i="23"/>
  <c r="AD620" i="23"/>
  <c r="AD619" i="23"/>
  <c r="AD618" i="23"/>
  <c r="AD617" i="23"/>
  <c r="AD616" i="23"/>
  <c r="AD615" i="23"/>
  <c r="AD614" i="23"/>
  <c r="AD613" i="23"/>
  <c r="AD612" i="23"/>
  <c r="AD611" i="23"/>
  <c r="AD610" i="23"/>
  <c r="AD609" i="23"/>
  <c r="AD608" i="23"/>
  <c r="AD607" i="23"/>
  <c r="AD606" i="23"/>
  <c r="AD605" i="23"/>
  <c r="AD604" i="23"/>
  <c r="AD603" i="23"/>
  <c r="AD602" i="23"/>
  <c r="AD601" i="23"/>
  <c r="AD600" i="23"/>
  <c r="AD599" i="23"/>
  <c r="AD598" i="23"/>
  <c r="AD597" i="23"/>
  <c r="AD596" i="23"/>
  <c r="AD595" i="23"/>
  <c r="AD594" i="23"/>
  <c r="AD593" i="23"/>
  <c r="AD592" i="23"/>
  <c r="AD591" i="23"/>
  <c r="AD590" i="23"/>
  <c r="AD589" i="23"/>
  <c r="AD588" i="23"/>
  <c r="AD587" i="23"/>
  <c r="AD586" i="23"/>
  <c r="AD585" i="23"/>
  <c r="AD584" i="23"/>
  <c r="AD583" i="23"/>
  <c r="AD582" i="23"/>
  <c r="AD581" i="23"/>
  <c r="AD580" i="23"/>
  <c r="AD579" i="23"/>
  <c r="AD578" i="23"/>
  <c r="AD577" i="23"/>
  <c r="AD576" i="23"/>
  <c r="AD575" i="23"/>
  <c r="AD574" i="23"/>
  <c r="AD573" i="23"/>
  <c r="AD572" i="23"/>
  <c r="AD571" i="23"/>
  <c r="AD570" i="23"/>
  <c r="AD569" i="23"/>
  <c r="AD568" i="23"/>
  <c r="AD567" i="23"/>
  <c r="AD566" i="23"/>
  <c r="AD565" i="23"/>
  <c r="AD564" i="23"/>
  <c r="AD563" i="23"/>
  <c r="AD562" i="23"/>
  <c r="AD561" i="23"/>
  <c r="AD560" i="23"/>
  <c r="AD559" i="23"/>
  <c r="AD558" i="23"/>
  <c r="AD557" i="23"/>
  <c r="AD556" i="23"/>
  <c r="AD555" i="23"/>
  <c r="AD554" i="23"/>
  <c r="AD553" i="23"/>
  <c r="AD552" i="23"/>
  <c r="AD551" i="23"/>
  <c r="AD550" i="23"/>
  <c r="AD549" i="23"/>
  <c r="AD548" i="23"/>
  <c r="AD547" i="23"/>
  <c r="AD546" i="23"/>
  <c r="AD545" i="23"/>
  <c r="AD544" i="23"/>
  <c r="AD543" i="23"/>
  <c r="AD542" i="23"/>
  <c r="AD541" i="23"/>
  <c r="AD540" i="23"/>
  <c r="AD539" i="23"/>
  <c r="AD538" i="23"/>
  <c r="AD537" i="23"/>
  <c r="AD536" i="23"/>
  <c r="AD535" i="23"/>
  <c r="AD534" i="23"/>
  <c r="AD533" i="23"/>
  <c r="AD532" i="23"/>
  <c r="AD531" i="23"/>
  <c r="AD530" i="23"/>
  <c r="AD529" i="23"/>
  <c r="AD528" i="23"/>
  <c r="AD527" i="23"/>
  <c r="AD526" i="23"/>
  <c r="AD525" i="23"/>
  <c r="AD524" i="23"/>
  <c r="AD523" i="23"/>
  <c r="AD522" i="23"/>
  <c r="AD521" i="23"/>
  <c r="AD520" i="23"/>
  <c r="AD519" i="23"/>
  <c r="AD518" i="23"/>
  <c r="AD517" i="23"/>
  <c r="AD516" i="23"/>
  <c r="AD515" i="23"/>
  <c r="AD514" i="23"/>
  <c r="AD513" i="23"/>
  <c r="AD512" i="23"/>
  <c r="AD511" i="23"/>
  <c r="AD510" i="23"/>
  <c r="AD509" i="23"/>
  <c r="AD508" i="23"/>
  <c r="AD507" i="23"/>
  <c r="AD506" i="23"/>
  <c r="AD505" i="23"/>
  <c r="AD504" i="23"/>
  <c r="AD503" i="23"/>
  <c r="AD502" i="23"/>
  <c r="AD501" i="23"/>
  <c r="AD500" i="23"/>
  <c r="AD499" i="23"/>
  <c r="AD498" i="23"/>
  <c r="AD497" i="23"/>
  <c r="AD496" i="23"/>
  <c r="AD495" i="23"/>
  <c r="AD494" i="23"/>
  <c r="AD493" i="23"/>
  <c r="AD492" i="23"/>
  <c r="AD491" i="23"/>
  <c r="AD490" i="23"/>
  <c r="AD489" i="23"/>
  <c r="AD488" i="23"/>
  <c r="AD487" i="23"/>
  <c r="AD486" i="23"/>
  <c r="AD485" i="23"/>
  <c r="AD484" i="23"/>
  <c r="AD483" i="23"/>
  <c r="AD482" i="23"/>
  <c r="AD315" i="23"/>
  <c r="AD314" i="23"/>
  <c r="AD313" i="23"/>
  <c r="AD312" i="23"/>
  <c r="AD311" i="23"/>
  <c r="AD301" i="23"/>
  <c r="AD300" i="23"/>
  <c r="AD299" i="23"/>
  <c r="AD298" i="23"/>
  <c r="AD297" i="23"/>
  <c r="AD296" i="23"/>
  <c r="AD295" i="23"/>
  <c r="AD294" i="23"/>
  <c r="AD293" i="23"/>
  <c r="AD292" i="23"/>
  <c r="AD291" i="23"/>
  <c r="AD290" i="23"/>
  <c r="AE289" i="23"/>
  <c r="AE288" i="23"/>
  <c r="AE287" i="23"/>
  <c r="AE286" i="23"/>
  <c r="AE285" i="23"/>
  <c r="AE284" i="23"/>
  <c r="AE283" i="23"/>
  <c r="AE282" i="23"/>
  <c r="AE281" i="23"/>
  <c r="AE280" i="23"/>
  <c r="AE279" i="23"/>
  <c r="AE278" i="23"/>
  <c r="AD277" i="23"/>
  <c r="AD276" i="23"/>
  <c r="AD275" i="23"/>
  <c r="AD274" i="23"/>
  <c r="AD273" i="23"/>
  <c r="AD272" i="23"/>
  <c r="AD271" i="23"/>
  <c r="AD270" i="23"/>
  <c r="AD269" i="23"/>
  <c r="AD268" i="23"/>
  <c r="AD267" i="23"/>
  <c r="AD266" i="23"/>
  <c r="AD157" i="23"/>
  <c r="AD156" i="23"/>
  <c r="AD155" i="23"/>
  <c r="AD154" i="23"/>
  <c r="AD153" i="23"/>
  <c r="AD152" i="23"/>
  <c r="AD151" i="23"/>
  <c r="AD150" i="23"/>
  <c r="AD149" i="23"/>
  <c r="AD148" i="23"/>
  <c r="AD147" i="23"/>
  <c r="AD146" i="23"/>
  <c r="AE133" i="23"/>
  <c r="AE132" i="23"/>
  <c r="AE131" i="23"/>
  <c r="AE130" i="23"/>
  <c r="AE129" i="23"/>
  <c r="AE128" i="23"/>
  <c r="AE127" i="23"/>
  <c r="AE126" i="23"/>
  <c r="AE125" i="23"/>
  <c r="AE124" i="23"/>
  <c r="AE123" i="23"/>
  <c r="AE122" i="23"/>
  <c r="AE121" i="23"/>
  <c r="AE120" i="23"/>
  <c r="AE119" i="23"/>
  <c r="AE118" i="23"/>
  <c r="AE117" i="23"/>
  <c r="AE116" i="23"/>
  <c r="AE115" i="23"/>
  <c r="AE114" i="23"/>
  <c r="AE113" i="23"/>
  <c r="AE112" i="23"/>
  <c r="AE111" i="23"/>
  <c r="AE110" i="23"/>
  <c r="AE109" i="23"/>
  <c r="AE108" i="23"/>
  <c r="AE107" i="23"/>
  <c r="AE106" i="23"/>
  <c r="AE105" i="23"/>
  <c r="AE104" i="23"/>
  <c r="AE103" i="23"/>
  <c r="AE102" i="23"/>
  <c r="AE101" i="23"/>
  <c r="AE100" i="23"/>
  <c r="AE99" i="23"/>
  <c r="AE98" i="23"/>
  <c r="AE97" i="23"/>
  <c r="AE96" i="23"/>
  <c r="AE95" i="23"/>
  <c r="AE94" i="23"/>
  <c r="AE93" i="23"/>
  <c r="AE92" i="23"/>
  <c r="AE91" i="23"/>
  <c r="AE90" i="23"/>
  <c r="AE89" i="23"/>
  <c r="AE88" i="23"/>
  <c r="AE87" i="23"/>
  <c r="AE86" i="23"/>
  <c r="AE85" i="23"/>
  <c r="AE84" i="23"/>
  <c r="AE83" i="23"/>
  <c r="AE82" i="23"/>
  <c r="AE81" i="23"/>
  <c r="AE80" i="23"/>
  <c r="AE79" i="23"/>
  <c r="AE78" i="23"/>
  <c r="AE77" i="23"/>
  <c r="AE76" i="23"/>
  <c r="AE75" i="23"/>
  <c r="AE74" i="23"/>
  <c r="AD25" i="23"/>
  <c r="AD24" i="23"/>
  <c r="AD23" i="23"/>
  <c r="AD22" i="23"/>
  <c r="AD21" i="23"/>
  <c r="AD20" i="23"/>
  <c r="AD19" i="23"/>
  <c r="AD18" i="23"/>
  <c r="AD17" i="23"/>
  <c r="AD16" i="23"/>
  <c r="AD15" i="23"/>
  <c r="AD14" i="23"/>
  <c r="V875" i="23"/>
  <c r="AB875" i="23" s="1"/>
  <c r="V874" i="23"/>
  <c r="AB874" i="23" s="1"/>
  <c r="V873" i="23"/>
  <c r="AB873" i="23" s="1"/>
  <c r="V872" i="23"/>
  <c r="AB872" i="23" s="1"/>
  <c r="V871" i="23"/>
  <c r="AB871" i="23" s="1"/>
  <c r="V870" i="23"/>
  <c r="AB870" i="23" s="1"/>
  <c r="V869" i="23"/>
  <c r="AB869" i="23" s="1"/>
  <c r="V868" i="23"/>
  <c r="AB868" i="23" s="1"/>
  <c r="V867" i="23"/>
  <c r="AB867" i="23" s="1"/>
  <c r="V866" i="23"/>
  <c r="AB866" i="23" s="1"/>
  <c r="V865" i="23"/>
  <c r="AB865" i="23" s="1"/>
  <c r="V864" i="23"/>
  <c r="AB864" i="23" s="1"/>
  <c r="V863" i="23"/>
  <c r="AB863" i="23" s="1"/>
  <c r="V862" i="23"/>
  <c r="AB862" i="23" s="1"/>
  <c r="V861" i="23"/>
  <c r="AB861" i="23" s="1"/>
  <c r="V860" i="23"/>
  <c r="AB860" i="23" s="1"/>
  <c r="V859" i="23"/>
  <c r="AB859" i="23" s="1"/>
  <c r="V858" i="23"/>
  <c r="AB858" i="23" s="1"/>
  <c r="V857" i="23"/>
  <c r="AB857" i="23" s="1"/>
  <c r="V856" i="23"/>
  <c r="AB856" i="23" s="1"/>
  <c r="V855" i="23"/>
  <c r="AB855" i="23" s="1"/>
  <c r="V854" i="23"/>
  <c r="AB854" i="23" s="1"/>
  <c r="V853" i="23"/>
  <c r="AB853" i="23" s="1"/>
  <c r="V852" i="23"/>
  <c r="AB852" i="23" s="1"/>
  <c r="V851" i="23"/>
  <c r="AB851" i="23" s="1"/>
  <c r="V850" i="23"/>
  <c r="AB850" i="23" s="1"/>
  <c r="V849" i="23"/>
  <c r="AB849" i="23" s="1"/>
  <c r="V848" i="23"/>
  <c r="AB848" i="23" s="1"/>
  <c r="V847" i="23"/>
  <c r="AB847" i="23" s="1"/>
  <c r="V846" i="23"/>
  <c r="AB846" i="23" s="1"/>
  <c r="V845" i="23"/>
  <c r="AB845" i="23" s="1"/>
  <c r="V844" i="23"/>
  <c r="AB844" i="23" s="1"/>
  <c r="V843" i="23"/>
  <c r="AB843" i="23" s="1"/>
  <c r="V842" i="23"/>
  <c r="AB842" i="23" s="1"/>
  <c r="V841" i="23"/>
  <c r="AB841" i="23" s="1"/>
  <c r="V840" i="23"/>
  <c r="AB840" i="23" s="1"/>
  <c r="V839" i="23"/>
  <c r="AB839" i="23" s="1"/>
  <c r="V838" i="23"/>
  <c r="AB838" i="23" s="1"/>
  <c r="V837" i="23"/>
  <c r="AB837" i="23" s="1"/>
  <c r="V836" i="23"/>
  <c r="AB836" i="23" s="1"/>
  <c r="V835" i="23"/>
  <c r="AB835" i="23" s="1"/>
  <c r="V834" i="23"/>
  <c r="AB834" i="23" s="1"/>
  <c r="V833" i="23"/>
  <c r="AB833" i="23" s="1"/>
  <c r="X832" i="23"/>
  <c r="W832" i="23"/>
  <c r="V832" i="23"/>
  <c r="AB832" i="23" s="1"/>
  <c r="X831" i="23"/>
  <c r="W831" i="23"/>
  <c r="V831" i="23"/>
  <c r="AB831" i="23" s="1"/>
  <c r="X830" i="23"/>
  <c r="W830" i="23"/>
  <c r="V830" i="23"/>
  <c r="AB830" i="23" s="1"/>
  <c r="X829" i="23"/>
  <c r="W829" i="23"/>
  <c r="V829" i="23"/>
  <c r="AB829" i="23" s="1"/>
  <c r="X828" i="23"/>
  <c r="W828" i="23"/>
  <c r="V828" i="23"/>
  <c r="AB828" i="23" s="1"/>
  <c r="X827" i="23"/>
  <c r="W827" i="23"/>
  <c r="V827" i="23"/>
  <c r="AB827" i="23" s="1"/>
  <c r="X826" i="23"/>
  <c r="W826" i="23"/>
  <c r="V826" i="23"/>
  <c r="AB826" i="23" s="1"/>
  <c r="X825" i="23"/>
  <c r="W825" i="23"/>
  <c r="V825" i="23"/>
  <c r="AB825" i="23" s="1"/>
  <c r="X824" i="23"/>
  <c r="W824" i="23"/>
  <c r="V824" i="23"/>
  <c r="AB824" i="23" s="1"/>
  <c r="X823" i="23"/>
  <c r="W823" i="23"/>
  <c r="V823" i="23"/>
  <c r="AB823" i="23" s="1"/>
  <c r="X822" i="23"/>
  <c r="W822" i="23"/>
  <c r="V822" i="23"/>
  <c r="AB822" i="23" s="1"/>
  <c r="X821" i="23"/>
  <c r="W821" i="23"/>
  <c r="V821" i="23"/>
  <c r="AB821" i="23" s="1"/>
  <c r="X820" i="23"/>
  <c r="W820" i="23"/>
  <c r="V820" i="23"/>
  <c r="AB820" i="23" s="1"/>
  <c r="X819" i="23"/>
  <c r="W819" i="23"/>
  <c r="V819" i="23"/>
  <c r="AB819" i="23" s="1"/>
  <c r="X818" i="23"/>
  <c r="W818" i="23"/>
  <c r="V818" i="23"/>
  <c r="AB818" i="23" s="1"/>
  <c r="X817" i="23"/>
  <c r="W817" i="23"/>
  <c r="V817" i="23"/>
  <c r="AB817" i="23" s="1"/>
  <c r="X816" i="23"/>
  <c r="W816" i="23"/>
  <c r="V816" i="23"/>
  <c r="AB816" i="23" s="1"/>
  <c r="X815" i="23"/>
  <c r="W815" i="23"/>
  <c r="V815" i="23"/>
  <c r="AB815" i="23" s="1"/>
  <c r="X814" i="23"/>
  <c r="W814" i="23"/>
  <c r="V814" i="23"/>
  <c r="AB814" i="23" s="1"/>
  <c r="X813" i="23"/>
  <c r="W813" i="23"/>
  <c r="V813" i="23"/>
  <c r="AB813" i="23" s="1"/>
  <c r="X812" i="23"/>
  <c r="W812" i="23"/>
  <c r="V812" i="23"/>
  <c r="AB812" i="23" s="1"/>
  <c r="X811" i="23"/>
  <c r="W811" i="23"/>
  <c r="V811" i="23"/>
  <c r="AB811" i="23" s="1"/>
  <c r="X810" i="23"/>
  <c r="W810" i="23"/>
  <c r="V810" i="23"/>
  <c r="AB810" i="23" s="1"/>
  <c r="X809" i="23"/>
  <c r="W809" i="23"/>
  <c r="V809" i="23"/>
  <c r="AB809" i="23" s="1"/>
  <c r="X808" i="23"/>
  <c r="W808" i="23"/>
  <c r="V808" i="23"/>
  <c r="AB808" i="23" s="1"/>
  <c r="X807" i="23"/>
  <c r="W807" i="23"/>
  <c r="V807" i="23"/>
  <c r="AB807" i="23" s="1"/>
  <c r="X806" i="23"/>
  <c r="W806" i="23"/>
  <c r="V806" i="23"/>
  <c r="AB806" i="23" s="1"/>
  <c r="X805" i="23"/>
  <c r="W805" i="23"/>
  <c r="V805" i="23"/>
  <c r="AB805" i="23" s="1"/>
  <c r="X804" i="23"/>
  <c r="W804" i="23"/>
  <c r="V804" i="23"/>
  <c r="AB804" i="23" s="1"/>
  <c r="X803" i="23"/>
  <c r="W803" i="23"/>
  <c r="V803" i="23"/>
  <c r="AB803" i="23" s="1"/>
  <c r="X802" i="23"/>
  <c r="W802" i="23"/>
  <c r="V802" i="23"/>
  <c r="AB802" i="23" s="1"/>
  <c r="X801" i="23"/>
  <c r="W801" i="23"/>
  <c r="V801" i="23"/>
  <c r="AB801" i="23" s="1"/>
  <c r="X800" i="23"/>
  <c r="W800" i="23"/>
  <c r="V800" i="23"/>
  <c r="AB800" i="23" s="1"/>
  <c r="X799" i="23"/>
  <c r="W799" i="23"/>
  <c r="V799" i="23"/>
  <c r="AB799" i="23" s="1"/>
  <c r="X798" i="23"/>
  <c r="W798" i="23"/>
  <c r="V798" i="23"/>
  <c r="AB798" i="23" s="1"/>
  <c r="X797" i="23"/>
  <c r="W797" i="23"/>
  <c r="V797" i="23"/>
  <c r="AB797" i="23" s="1"/>
  <c r="X796" i="23"/>
  <c r="W796" i="23"/>
  <c r="V796" i="23"/>
  <c r="AB796" i="23" s="1"/>
  <c r="X795" i="23"/>
  <c r="W795" i="23"/>
  <c r="V795" i="23"/>
  <c r="AB795" i="23" s="1"/>
  <c r="X794" i="23"/>
  <c r="W794" i="23"/>
  <c r="V794" i="23"/>
  <c r="AB794" i="23" s="1"/>
  <c r="X793" i="23"/>
  <c r="W793" i="23"/>
  <c r="V793" i="23"/>
  <c r="AB793" i="23" s="1"/>
  <c r="X792" i="23"/>
  <c r="W792" i="23"/>
  <c r="V792" i="23"/>
  <c r="AB792" i="23" s="1"/>
  <c r="X791" i="23"/>
  <c r="W791" i="23"/>
  <c r="V791" i="23"/>
  <c r="AB791" i="23" s="1"/>
  <c r="X790" i="23"/>
  <c r="W790" i="23"/>
  <c r="V790" i="23"/>
  <c r="AB790" i="23" s="1"/>
  <c r="X789" i="23"/>
  <c r="W789" i="23"/>
  <c r="V789" i="23"/>
  <c r="AB789" i="23" s="1"/>
  <c r="X788" i="23"/>
  <c r="W788" i="23"/>
  <c r="V788" i="23"/>
  <c r="AB788" i="23" s="1"/>
  <c r="X787" i="23"/>
  <c r="W787" i="23"/>
  <c r="V787" i="23"/>
  <c r="AB787" i="23" s="1"/>
  <c r="X786" i="23"/>
  <c r="W786" i="23"/>
  <c r="V786" i="23"/>
  <c r="AB786" i="23" s="1"/>
  <c r="X785" i="23"/>
  <c r="W785" i="23"/>
  <c r="V785" i="23"/>
  <c r="AB785" i="23" s="1"/>
  <c r="X784" i="23"/>
  <c r="W784" i="23"/>
  <c r="V784" i="23"/>
  <c r="AB784" i="23" s="1"/>
  <c r="X783" i="23"/>
  <c r="W783" i="23"/>
  <c r="V783" i="23"/>
  <c r="AB783" i="23" s="1"/>
  <c r="X782" i="23"/>
  <c r="W782" i="23"/>
  <c r="V782" i="23"/>
  <c r="AB782" i="23" s="1"/>
  <c r="X781" i="23"/>
  <c r="W781" i="23"/>
  <c r="V781" i="23"/>
  <c r="AB781" i="23" s="1"/>
  <c r="X780" i="23"/>
  <c r="W780" i="23"/>
  <c r="V780" i="23"/>
  <c r="AB780" i="23" s="1"/>
  <c r="X779" i="23"/>
  <c r="W779" i="23"/>
  <c r="V779" i="23"/>
  <c r="AB779" i="23" s="1"/>
  <c r="X778" i="23"/>
  <c r="W778" i="23"/>
  <c r="V778" i="23"/>
  <c r="AB778" i="23" s="1"/>
  <c r="X777" i="23"/>
  <c r="W777" i="23"/>
  <c r="V777" i="23"/>
  <c r="AB777" i="23" s="1"/>
  <c r="X776" i="23"/>
  <c r="W776" i="23"/>
  <c r="V776" i="23"/>
  <c r="AB776" i="23" s="1"/>
  <c r="X775" i="23"/>
  <c r="W775" i="23"/>
  <c r="V775" i="23"/>
  <c r="AB775" i="23" s="1"/>
  <c r="X774" i="23"/>
  <c r="W774" i="23"/>
  <c r="V774" i="23"/>
  <c r="AB774" i="23" s="1"/>
  <c r="X773" i="23"/>
  <c r="W773" i="23"/>
  <c r="V773" i="23"/>
  <c r="AB773" i="23" s="1"/>
  <c r="X772" i="23"/>
  <c r="W772" i="23"/>
  <c r="V772" i="23"/>
  <c r="AB772" i="23" s="1"/>
  <c r="X771" i="23"/>
  <c r="W771" i="23"/>
  <c r="V771" i="23"/>
  <c r="AB771" i="23" s="1"/>
  <c r="X770" i="23"/>
  <c r="W770" i="23"/>
  <c r="V770" i="23"/>
  <c r="AB770" i="23" s="1"/>
  <c r="X769" i="23"/>
  <c r="W769" i="23"/>
  <c r="V769" i="23"/>
  <c r="AB769" i="23" s="1"/>
  <c r="X768" i="23"/>
  <c r="W768" i="23"/>
  <c r="V768" i="23"/>
  <c r="AB768" i="23" s="1"/>
  <c r="X767" i="23"/>
  <c r="W767" i="23"/>
  <c r="V767" i="23"/>
  <c r="AB767" i="23" s="1"/>
  <c r="X766" i="23"/>
  <c r="W766" i="23"/>
  <c r="V766" i="23"/>
  <c r="AB766" i="23" s="1"/>
  <c r="X765" i="23"/>
  <c r="W765" i="23"/>
  <c r="V765" i="23"/>
  <c r="AB765" i="23" s="1"/>
  <c r="X764" i="23"/>
  <c r="W764" i="23"/>
  <c r="V764" i="23"/>
  <c r="AB764" i="23" s="1"/>
  <c r="X763" i="23"/>
  <c r="W763" i="23"/>
  <c r="V763" i="23"/>
  <c r="AB763" i="23" s="1"/>
  <c r="X762" i="23"/>
  <c r="W762" i="23"/>
  <c r="V762" i="23"/>
  <c r="AB762" i="23" s="1"/>
  <c r="X761" i="23"/>
  <c r="W761" i="23"/>
  <c r="V761" i="23"/>
  <c r="AB761" i="23" s="1"/>
  <c r="X760" i="23"/>
  <c r="W760" i="23"/>
  <c r="V760" i="23"/>
  <c r="AB760" i="23" s="1"/>
  <c r="X759" i="23"/>
  <c r="W759" i="23"/>
  <c r="V759" i="23"/>
  <c r="AB759" i="23" s="1"/>
  <c r="X758" i="23"/>
  <c r="W758" i="23"/>
  <c r="V758" i="23"/>
  <c r="AB758" i="23" s="1"/>
  <c r="X757" i="23"/>
  <c r="W757" i="23"/>
  <c r="V757" i="23"/>
  <c r="AB757" i="23" s="1"/>
  <c r="X756" i="23"/>
  <c r="W756" i="23"/>
  <c r="V756" i="23"/>
  <c r="AB756" i="23" s="1"/>
  <c r="X755" i="23"/>
  <c r="W755" i="23"/>
  <c r="V755" i="23"/>
  <c r="AB755" i="23" s="1"/>
  <c r="X754" i="23"/>
  <c r="W754" i="23"/>
  <c r="V754" i="23"/>
  <c r="AB754" i="23" s="1"/>
  <c r="X753" i="23"/>
  <c r="W753" i="23"/>
  <c r="V753" i="23"/>
  <c r="AB753" i="23" s="1"/>
  <c r="X752" i="23"/>
  <c r="W752" i="23"/>
  <c r="V752" i="23"/>
  <c r="AB752" i="23" s="1"/>
  <c r="X751" i="23"/>
  <c r="W751" i="23"/>
  <c r="V751" i="23"/>
  <c r="AB751" i="23" s="1"/>
  <c r="X750" i="23"/>
  <c r="W750" i="23"/>
  <c r="V750" i="23"/>
  <c r="AB750" i="23" s="1"/>
  <c r="X749" i="23"/>
  <c r="W749" i="23"/>
  <c r="V749" i="23"/>
  <c r="AB749" i="23" s="1"/>
  <c r="X748" i="23"/>
  <c r="W748" i="23"/>
  <c r="V748" i="23"/>
  <c r="AB748" i="23" s="1"/>
  <c r="X747" i="23"/>
  <c r="W747" i="23"/>
  <c r="V747" i="23"/>
  <c r="AB747" i="23" s="1"/>
  <c r="X746" i="23"/>
  <c r="W746" i="23"/>
  <c r="V746" i="23"/>
  <c r="AB746" i="23" s="1"/>
  <c r="X745" i="23"/>
  <c r="W745" i="23"/>
  <c r="V745" i="23"/>
  <c r="AB745" i="23" s="1"/>
  <c r="X744" i="23"/>
  <c r="W744" i="23"/>
  <c r="V744" i="23"/>
  <c r="AB744" i="23" s="1"/>
  <c r="X743" i="23"/>
  <c r="W743" i="23"/>
  <c r="V743" i="23"/>
  <c r="AB743" i="23" s="1"/>
  <c r="X742" i="23"/>
  <c r="W742" i="23"/>
  <c r="V742" i="23"/>
  <c r="AB742" i="23" s="1"/>
  <c r="X741" i="23"/>
  <c r="W741" i="23"/>
  <c r="V741" i="23"/>
  <c r="AB741" i="23" s="1"/>
  <c r="X740" i="23"/>
  <c r="W740" i="23"/>
  <c r="V740" i="23"/>
  <c r="AB740" i="23" s="1"/>
  <c r="X739" i="23"/>
  <c r="W739" i="23"/>
  <c r="V739" i="23"/>
  <c r="AB739" i="23" s="1"/>
  <c r="X738" i="23"/>
  <c r="W738" i="23"/>
  <c r="V738" i="23"/>
  <c r="AB738" i="23" s="1"/>
  <c r="X737" i="23"/>
  <c r="W737" i="23"/>
  <c r="V737" i="23"/>
  <c r="AB737" i="23" s="1"/>
  <c r="X736" i="23"/>
  <c r="W736" i="23"/>
  <c r="V736" i="23"/>
  <c r="AB736" i="23" s="1"/>
  <c r="X735" i="23"/>
  <c r="W735" i="23"/>
  <c r="V735" i="23"/>
  <c r="AB735" i="23" s="1"/>
  <c r="X734" i="23"/>
  <c r="W734" i="23"/>
  <c r="V734" i="23"/>
  <c r="AB734" i="23" s="1"/>
  <c r="X733" i="23"/>
  <c r="W733" i="23"/>
  <c r="V733" i="23"/>
  <c r="AB733" i="23" s="1"/>
  <c r="X732" i="23"/>
  <c r="W732" i="23"/>
  <c r="V732" i="23"/>
  <c r="AB732" i="23" s="1"/>
  <c r="X731" i="23"/>
  <c r="W731" i="23"/>
  <c r="V731" i="23"/>
  <c r="AB731" i="23" s="1"/>
  <c r="X730" i="23"/>
  <c r="W730" i="23"/>
  <c r="V730" i="23"/>
  <c r="AB730" i="23" s="1"/>
  <c r="X729" i="23"/>
  <c r="W729" i="23"/>
  <c r="V729" i="23"/>
  <c r="AB729" i="23" s="1"/>
  <c r="X728" i="23"/>
  <c r="W728" i="23"/>
  <c r="V728" i="23"/>
  <c r="AB728" i="23" s="1"/>
  <c r="X727" i="23"/>
  <c r="W727" i="23"/>
  <c r="V727" i="23"/>
  <c r="AB727" i="23" s="1"/>
  <c r="X726" i="23"/>
  <c r="W726" i="23"/>
  <c r="V726" i="23"/>
  <c r="AB726" i="23" s="1"/>
  <c r="X725" i="23"/>
  <c r="W725" i="23"/>
  <c r="V725" i="23"/>
  <c r="AB725" i="23" s="1"/>
  <c r="X724" i="23"/>
  <c r="W724" i="23"/>
  <c r="V724" i="23"/>
  <c r="AB724" i="23" s="1"/>
  <c r="X723" i="23"/>
  <c r="W723" i="23"/>
  <c r="V723" i="23"/>
  <c r="AB723" i="23" s="1"/>
  <c r="X722" i="23"/>
  <c r="W722" i="23"/>
  <c r="V722" i="23"/>
  <c r="AB722" i="23" s="1"/>
  <c r="X721" i="23"/>
  <c r="W721" i="23"/>
  <c r="V721" i="23"/>
  <c r="AB721" i="23" s="1"/>
  <c r="X720" i="23"/>
  <c r="W720" i="23"/>
  <c r="V720" i="23"/>
  <c r="AB720" i="23" s="1"/>
  <c r="X719" i="23"/>
  <c r="W719" i="23"/>
  <c r="V719" i="23"/>
  <c r="AB719" i="23" s="1"/>
  <c r="X718" i="23"/>
  <c r="W718" i="23"/>
  <c r="V718" i="23"/>
  <c r="AB718" i="23" s="1"/>
  <c r="X717" i="23"/>
  <c r="W717" i="23"/>
  <c r="V717" i="23"/>
  <c r="AB717" i="23" s="1"/>
  <c r="X716" i="23"/>
  <c r="W716" i="23"/>
  <c r="V716" i="23"/>
  <c r="AB716" i="23" s="1"/>
  <c r="X715" i="23"/>
  <c r="W715" i="23"/>
  <c r="V715" i="23"/>
  <c r="AB715" i="23" s="1"/>
  <c r="X714" i="23"/>
  <c r="W714" i="23"/>
  <c r="V714" i="23"/>
  <c r="AB714" i="23" s="1"/>
  <c r="X713" i="23"/>
  <c r="W713" i="23"/>
  <c r="V713" i="23"/>
  <c r="AB713" i="23" s="1"/>
  <c r="X712" i="23"/>
  <c r="W712" i="23"/>
  <c r="V712" i="23"/>
  <c r="AB712" i="23" s="1"/>
  <c r="X711" i="23"/>
  <c r="W711" i="23"/>
  <c r="V711" i="23"/>
  <c r="AB711" i="23" s="1"/>
  <c r="X710" i="23"/>
  <c r="W710" i="23"/>
  <c r="V710" i="23"/>
  <c r="AB710" i="23" s="1"/>
  <c r="X709" i="23"/>
  <c r="W709" i="23"/>
  <c r="V709" i="23"/>
  <c r="AB709" i="23" s="1"/>
  <c r="X708" i="23"/>
  <c r="W708" i="23"/>
  <c r="V708" i="23"/>
  <c r="AB708" i="23" s="1"/>
  <c r="X707" i="23"/>
  <c r="W707" i="23"/>
  <c r="V707" i="23"/>
  <c r="AB707" i="23" s="1"/>
  <c r="X706" i="23"/>
  <c r="W706" i="23"/>
  <c r="V706" i="23"/>
  <c r="AB706" i="23" s="1"/>
  <c r="X705" i="23"/>
  <c r="W705" i="23"/>
  <c r="V705" i="23"/>
  <c r="AB705" i="23" s="1"/>
  <c r="X704" i="23"/>
  <c r="W704" i="23"/>
  <c r="V704" i="23"/>
  <c r="AB704" i="23" s="1"/>
  <c r="X703" i="23"/>
  <c r="W703" i="23"/>
  <c r="V703" i="23"/>
  <c r="AB703" i="23" s="1"/>
  <c r="X702" i="23"/>
  <c r="W702" i="23"/>
  <c r="V702" i="23"/>
  <c r="AB702" i="23" s="1"/>
  <c r="X701" i="23"/>
  <c r="W701" i="23"/>
  <c r="V701" i="23"/>
  <c r="AB701" i="23" s="1"/>
  <c r="X700" i="23"/>
  <c r="W700" i="23"/>
  <c r="V700" i="23"/>
  <c r="AB700" i="23" s="1"/>
  <c r="X699" i="23"/>
  <c r="W699" i="23"/>
  <c r="V699" i="23"/>
  <c r="AB699" i="23" s="1"/>
  <c r="X698" i="23"/>
  <c r="W698" i="23"/>
  <c r="V698" i="23"/>
  <c r="AB698" i="23" s="1"/>
  <c r="X697" i="23"/>
  <c r="W697" i="23"/>
  <c r="V697" i="23"/>
  <c r="AB697" i="23" s="1"/>
  <c r="X696" i="23"/>
  <c r="W696" i="23"/>
  <c r="V696" i="23"/>
  <c r="AB696" i="23" s="1"/>
  <c r="X695" i="23"/>
  <c r="W695" i="23"/>
  <c r="V695" i="23"/>
  <c r="AB695" i="23" s="1"/>
  <c r="X694" i="23"/>
  <c r="W694" i="23"/>
  <c r="V694" i="23"/>
  <c r="AB694" i="23" s="1"/>
  <c r="X693" i="23"/>
  <c r="W693" i="23"/>
  <c r="V693" i="23"/>
  <c r="AB693" i="23" s="1"/>
  <c r="X692" i="23"/>
  <c r="W692" i="23"/>
  <c r="V692" i="23"/>
  <c r="AB692" i="23" s="1"/>
  <c r="X691" i="23"/>
  <c r="W691" i="23"/>
  <c r="V691" i="23"/>
  <c r="AB691" i="23" s="1"/>
  <c r="X690" i="23"/>
  <c r="W690" i="23"/>
  <c r="V690" i="23"/>
  <c r="AB690" i="23" s="1"/>
  <c r="X689" i="23"/>
  <c r="W689" i="23"/>
  <c r="V689" i="23"/>
  <c r="AB689" i="23" s="1"/>
  <c r="X688" i="23"/>
  <c r="W688" i="23"/>
  <c r="V688" i="23"/>
  <c r="AB688" i="23" s="1"/>
  <c r="X687" i="23"/>
  <c r="W687" i="23"/>
  <c r="V687" i="23"/>
  <c r="AB687" i="23" s="1"/>
  <c r="X686" i="23"/>
  <c r="W686" i="23"/>
  <c r="V686" i="23"/>
  <c r="AB686" i="23" s="1"/>
  <c r="X685" i="23"/>
  <c r="W685" i="23"/>
  <c r="V685" i="23"/>
  <c r="AB685" i="23" s="1"/>
  <c r="X684" i="23"/>
  <c r="W684" i="23"/>
  <c r="V684" i="23"/>
  <c r="AB684" i="23" s="1"/>
  <c r="X683" i="23"/>
  <c r="W683" i="23"/>
  <c r="V683" i="23"/>
  <c r="AB683" i="23" s="1"/>
  <c r="X682" i="23"/>
  <c r="W682" i="23"/>
  <c r="V682" i="23"/>
  <c r="AB682" i="23" s="1"/>
  <c r="X681" i="23"/>
  <c r="W681" i="23"/>
  <c r="V681" i="23"/>
  <c r="AB681" i="23" s="1"/>
  <c r="X680" i="23"/>
  <c r="W680" i="23"/>
  <c r="V680" i="23"/>
  <c r="AB680" i="23" s="1"/>
  <c r="X679" i="23"/>
  <c r="W679" i="23"/>
  <c r="V679" i="23"/>
  <c r="AB679" i="23" s="1"/>
  <c r="X678" i="23"/>
  <c r="W678" i="23"/>
  <c r="V678" i="23"/>
  <c r="AB678" i="23" s="1"/>
  <c r="X677" i="23"/>
  <c r="W677" i="23"/>
  <c r="V677" i="23"/>
  <c r="AB677" i="23" s="1"/>
  <c r="X676" i="23"/>
  <c r="W676" i="23"/>
  <c r="V676" i="23"/>
  <c r="AB676" i="23" s="1"/>
  <c r="X675" i="23"/>
  <c r="W675" i="23"/>
  <c r="V675" i="23"/>
  <c r="AB675" i="23" s="1"/>
  <c r="X674" i="23"/>
  <c r="W674" i="23"/>
  <c r="V674" i="23"/>
  <c r="AB674" i="23" s="1"/>
  <c r="X673" i="23"/>
  <c r="W673" i="23"/>
  <c r="V673" i="23"/>
  <c r="AB673" i="23" s="1"/>
  <c r="X672" i="23"/>
  <c r="W672" i="23"/>
  <c r="V672" i="23"/>
  <c r="AB672" i="23" s="1"/>
  <c r="X671" i="23"/>
  <c r="W671" i="23"/>
  <c r="V671" i="23"/>
  <c r="AB671" i="23" s="1"/>
  <c r="X670" i="23"/>
  <c r="W670" i="23"/>
  <c r="V670" i="23"/>
  <c r="AB670" i="23" s="1"/>
  <c r="X669" i="23"/>
  <c r="W669" i="23"/>
  <c r="V669" i="23"/>
  <c r="AB669" i="23" s="1"/>
  <c r="X668" i="23"/>
  <c r="W668" i="23"/>
  <c r="V668" i="23"/>
  <c r="AB668" i="23" s="1"/>
  <c r="X667" i="23"/>
  <c r="W667" i="23"/>
  <c r="V667" i="23"/>
  <c r="AB667" i="23" s="1"/>
  <c r="X666" i="23"/>
  <c r="W666" i="23"/>
  <c r="V666" i="23"/>
  <c r="AB666" i="23" s="1"/>
  <c r="X665" i="23"/>
  <c r="W665" i="23"/>
  <c r="V665" i="23"/>
  <c r="AB665" i="23" s="1"/>
  <c r="X664" i="23"/>
  <c r="W664" i="23"/>
  <c r="V664" i="23"/>
  <c r="AB664" i="23" s="1"/>
  <c r="X663" i="23"/>
  <c r="W663" i="23"/>
  <c r="V663" i="23"/>
  <c r="AB663" i="23" s="1"/>
  <c r="X662" i="23"/>
  <c r="W662" i="23"/>
  <c r="V662" i="23"/>
  <c r="AB662" i="23" s="1"/>
  <c r="X661" i="23"/>
  <c r="W661" i="23"/>
  <c r="V661" i="23"/>
  <c r="AB661" i="23" s="1"/>
  <c r="X660" i="23"/>
  <c r="W660" i="23"/>
  <c r="V660" i="23"/>
  <c r="AB660" i="23" s="1"/>
  <c r="X659" i="23"/>
  <c r="W659" i="23"/>
  <c r="AC659" i="23" s="1"/>
  <c r="V659" i="23"/>
  <c r="AB659" i="23" s="1"/>
  <c r="X658" i="23"/>
  <c r="W658" i="23"/>
  <c r="V658" i="23"/>
  <c r="AB658" i="23" s="1"/>
  <c r="X657" i="23"/>
  <c r="W657" i="23"/>
  <c r="V657" i="23"/>
  <c r="AB657" i="23" s="1"/>
  <c r="X656" i="23"/>
  <c r="W656" i="23"/>
  <c r="V656" i="23"/>
  <c r="AB656" i="23" s="1"/>
  <c r="X655" i="23"/>
  <c r="W655" i="23"/>
  <c r="AC655" i="23" s="1"/>
  <c r="V655" i="23"/>
  <c r="AB655" i="23" s="1"/>
  <c r="X654" i="23"/>
  <c r="W654" i="23"/>
  <c r="V654" i="23"/>
  <c r="AB654" i="23" s="1"/>
  <c r="X653" i="23"/>
  <c r="W653" i="23"/>
  <c r="V653" i="23"/>
  <c r="AB653" i="23" s="1"/>
  <c r="X652" i="23"/>
  <c r="W652" i="23"/>
  <c r="V652" i="23"/>
  <c r="AB652" i="23" s="1"/>
  <c r="X651" i="23"/>
  <c r="W651" i="23"/>
  <c r="AC651" i="23" s="1"/>
  <c r="V651" i="23"/>
  <c r="AB651" i="23" s="1"/>
  <c r="X650" i="23"/>
  <c r="W650" i="23"/>
  <c r="V650" i="23"/>
  <c r="AB650" i="23" s="1"/>
  <c r="X649" i="23"/>
  <c r="W649" i="23"/>
  <c r="V649" i="23"/>
  <c r="AB649" i="23" s="1"/>
  <c r="X648" i="23"/>
  <c r="W648" i="23"/>
  <c r="V648" i="23"/>
  <c r="AB648" i="23" s="1"/>
  <c r="X647" i="23"/>
  <c r="W647" i="23"/>
  <c r="AC647" i="23" s="1"/>
  <c r="V647" i="23"/>
  <c r="AB647" i="23" s="1"/>
  <c r="X646" i="23"/>
  <c r="W646" i="23"/>
  <c r="V646" i="23"/>
  <c r="AB646" i="23" s="1"/>
  <c r="X645" i="23"/>
  <c r="W645" i="23"/>
  <c r="V645" i="23"/>
  <c r="AB645" i="23" s="1"/>
  <c r="X644" i="23"/>
  <c r="W644" i="23"/>
  <c r="V644" i="23"/>
  <c r="AB644" i="23" s="1"/>
  <c r="X643" i="23"/>
  <c r="W643" i="23"/>
  <c r="AC643" i="23" s="1"/>
  <c r="V643" i="23"/>
  <c r="AB643" i="23" s="1"/>
  <c r="X642" i="23"/>
  <c r="W642" i="23"/>
  <c r="V642" i="23"/>
  <c r="AB642" i="23" s="1"/>
  <c r="X641" i="23"/>
  <c r="W641" i="23"/>
  <c r="V641" i="23"/>
  <c r="AB641" i="23" s="1"/>
  <c r="X640" i="23"/>
  <c r="W640" i="23"/>
  <c r="V640" i="23"/>
  <c r="AB640" i="23" s="1"/>
  <c r="X639" i="23"/>
  <c r="W639" i="23"/>
  <c r="AC639" i="23" s="1"/>
  <c r="V639" i="23"/>
  <c r="AB639" i="23" s="1"/>
  <c r="X638" i="23"/>
  <c r="W638" i="23"/>
  <c r="V638" i="23"/>
  <c r="AB638" i="23" s="1"/>
  <c r="X637" i="23"/>
  <c r="W637" i="23"/>
  <c r="V637" i="23"/>
  <c r="AB637" i="23" s="1"/>
  <c r="X636" i="23"/>
  <c r="W636" i="23"/>
  <c r="V636" i="23"/>
  <c r="AB636" i="23" s="1"/>
  <c r="X635" i="23"/>
  <c r="W635" i="23"/>
  <c r="AC635" i="23" s="1"/>
  <c r="V635" i="23"/>
  <c r="AB635" i="23" s="1"/>
  <c r="X634" i="23"/>
  <c r="W634" i="23"/>
  <c r="V634" i="23"/>
  <c r="AB634" i="23" s="1"/>
  <c r="X633" i="23"/>
  <c r="W633" i="23"/>
  <c r="V633" i="23"/>
  <c r="AB633" i="23" s="1"/>
  <c r="X632" i="23"/>
  <c r="W632" i="23"/>
  <c r="V632" i="23"/>
  <c r="AB632" i="23" s="1"/>
  <c r="X631" i="23"/>
  <c r="W631" i="23"/>
  <c r="AC631" i="23" s="1"/>
  <c r="V631" i="23"/>
  <c r="AB631" i="23" s="1"/>
  <c r="X630" i="23"/>
  <c r="W630" i="23"/>
  <c r="V630" i="23"/>
  <c r="AB630" i="23" s="1"/>
  <c r="X629" i="23"/>
  <c r="W629" i="23"/>
  <c r="V629" i="23"/>
  <c r="AB629" i="23" s="1"/>
  <c r="X628" i="23"/>
  <c r="W628" i="23"/>
  <c r="V628" i="23"/>
  <c r="AB628" i="23" s="1"/>
  <c r="X627" i="23"/>
  <c r="W627" i="23"/>
  <c r="AC627" i="23" s="1"/>
  <c r="V627" i="23"/>
  <c r="AB627" i="23" s="1"/>
  <c r="X626" i="23"/>
  <c r="W626" i="23"/>
  <c r="V626" i="23"/>
  <c r="AB626" i="23" s="1"/>
  <c r="X625" i="23"/>
  <c r="W625" i="23"/>
  <c r="V625" i="23"/>
  <c r="AB625" i="23" s="1"/>
  <c r="X624" i="23"/>
  <c r="W624" i="23"/>
  <c r="V624" i="23"/>
  <c r="AB624" i="23" s="1"/>
  <c r="X623" i="23"/>
  <c r="W623" i="23"/>
  <c r="AC623" i="23" s="1"/>
  <c r="V623" i="23"/>
  <c r="AB623" i="23" s="1"/>
  <c r="X622" i="23"/>
  <c r="W622" i="23"/>
  <c r="V622" i="23"/>
  <c r="AB622" i="23" s="1"/>
  <c r="X621" i="23"/>
  <c r="W621" i="23"/>
  <c r="V621" i="23"/>
  <c r="AB621" i="23" s="1"/>
  <c r="X620" i="23"/>
  <c r="W620" i="23"/>
  <c r="V620" i="23"/>
  <c r="AB620" i="23" s="1"/>
  <c r="X619" i="23"/>
  <c r="W619" i="23"/>
  <c r="AC619" i="23" s="1"/>
  <c r="V619" i="23"/>
  <c r="AB619" i="23" s="1"/>
  <c r="X618" i="23"/>
  <c r="W618" i="23"/>
  <c r="V618" i="23"/>
  <c r="AB618" i="23" s="1"/>
  <c r="X617" i="23"/>
  <c r="W617" i="23"/>
  <c r="V617" i="23"/>
  <c r="AB617" i="23" s="1"/>
  <c r="X616" i="23"/>
  <c r="W616" i="23"/>
  <c r="V616" i="23"/>
  <c r="AB616" i="23" s="1"/>
  <c r="X615" i="23"/>
  <c r="W615" i="23"/>
  <c r="AC615" i="23" s="1"/>
  <c r="V615" i="23"/>
  <c r="AB615" i="23" s="1"/>
  <c r="X614" i="23"/>
  <c r="W614" i="23"/>
  <c r="V614" i="23"/>
  <c r="AB614" i="23" s="1"/>
  <c r="X613" i="23"/>
  <c r="W613" i="23"/>
  <c r="V613" i="23"/>
  <c r="AB613" i="23" s="1"/>
  <c r="X612" i="23"/>
  <c r="W612" i="23"/>
  <c r="V612" i="23"/>
  <c r="AB612" i="23" s="1"/>
  <c r="X611" i="23"/>
  <c r="W611" i="23"/>
  <c r="AC611" i="23" s="1"/>
  <c r="V611" i="23"/>
  <c r="AB611" i="23" s="1"/>
  <c r="X610" i="23"/>
  <c r="W610" i="23"/>
  <c r="V610" i="23"/>
  <c r="AB610" i="23" s="1"/>
  <c r="X609" i="23"/>
  <c r="W609" i="23"/>
  <c r="V609" i="23"/>
  <c r="AB609" i="23" s="1"/>
  <c r="X608" i="23"/>
  <c r="W608" i="23"/>
  <c r="V608" i="23"/>
  <c r="AB608" i="23" s="1"/>
  <c r="X607" i="23"/>
  <c r="W607" i="23"/>
  <c r="AC607" i="23" s="1"/>
  <c r="V607" i="23"/>
  <c r="AB607" i="23" s="1"/>
  <c r="X606" i="23"/>
  <c r="W606" i="23"/>
  <c r="V606" i="23"/>
  <c r="AB606" i="23" s="1"/>
  <c r="X605" i="23"/>
  <c r="W605" i="23"/>
  <c r="V605" i="23"/>
  <c r="AB605" i="23" s="1"/>
  <c r="X604" i="23"/>
  <c r="W604" i="23"/>
  <c r="V604" i="23"/>
  <c r="AB604" i="23" s="1"/>
  <c r="X603" i="23"/>
  <c r="W603" i="23"/>
  <c r="AC603" i="23" s="1"/>
  <c r="V603" i="23"/>
  <c r="AB603" i="23" s="1"/>
  <c r="X602" i="23"/>
  <c r="W602" i="23"/>
  <c r="V602" i="23"/>
  <c r="AB602" i="23" s="1"/>
  <c r="X601" i="23"/>
  <c r="W601" i="23"/>
  <c r="V601" i="23"/>
  <c r="AB601" i="23" s="1"/>
  <c r="X600" i="23"/>
  <c r="W600" i="23"/>
  <c r="V600" i="23"/>
  <c r="AB600" i="23" s="1"/>
  <c r="X599" i="23"/>
  <c r="W599" i="23"/>
  <c r="AC599" i="23" s="1"/>
  <c r="V599" i="23"/>
  <c r="AB599" i="23" s="1"/>
  <c r="X598" i="23"/>
  <c r="W598" i="23"/>
  <c r="V598" i="23"/>
  <c r="AB598" i="23" s="1"/>
  <c r="X597" i="23"/>
  <c r="W597" i="23"/>
  <c r="V597" i="23"/>
  <c r="AB597" i="23" s="1"/>
  <c r="X596" i="23"/>
  <c r="W596" i="23"/>
  <c r="V596" i="23"/>
  <c r="AB596" i="23" s="1"/>
  <c r="X595" i="23"/>
  <c r="W595" i="23"/>
  <c r="AC595" i="23" s="1"/>
  <c r="V595" i="23"/>
  <c r="AB595" i="23" s="1"/>
  <c r="X594" i="23"/>
  <c r="W594" i="23"/>
  <c r="V594" i="23"/>
  <c r="AB594" i="23" s="1"/>
  <c r="X593" i="23"/>
  <c r="W593" i="23"/>
  <c r="V593" i="23"/>
  <c r="AB593" i="23" s="1"/>
  <c r="X592" i="23"/>
  <c r="W592" i="23"/>
  <c r="V592" i="23"/>
  <c r="AB592" i="23" s="1"/>
  <c r="X591" i="23"/>
  <c r="W591" i="23"/>
  <c r="AC591" i="23" s="1"/>
  <c r="V591" i="23"/>
  <c r="AB591" i="23" s="1"/>
  <c r="X590" i="23"/>
  <c r="W590" i="23"/>
  <c r="V590" i="23"/>
  <c r="AB590" i="23" s="1"/>
  <c r="X589" i="23"/>
  <c r="W589" i="23"/>
  <c r="V589" i="23"/>
  <c r="AB589" i="23" s="1"/>
  <c r="X588" i="23"/>
  <c r="W588" i="23"/>
  <c r="V588" i="23"/>
  <c r="AB588" i="23" s="1"/>
  <c r="X587" i="23"/>
  <c r="W587" i="23"/>
  <c r="AC587" i="23" s="1"/>
  <c r="V587" i="23"/>
  <c r="AB587" i="23" s="1"/>
  <c r="X586" i="23"/>
  <c r="W586" i="23"/>
  <c r="V586" i="23"/>
  <c r="AB586" i="23" s="1"/>
  <c r="X585" i="23"/>
  <c r="W585" i="23"/>
  <c r="V585" i="23"/>
  <c r="AB585" i="23" s="1"/>
  <c r="X584" i="23"/>
  <c r="W584" i="23"/>
  <c r="V584" i="23"/>
  <c r="AB584" i="23" s="1"/>
  <c r="X583" i="23"/>
  <c r="W583" i="23"/>
  <c r="AC583" i="23" s="1"/>
  <c r="V583" i="23"/>
  <c r="AB583" i="23" s="1"/>
  <c r="X582" i="23"/>
  <c r="W582" i="23"/>
  <c r="V582" i="23"/>
  <c r="AB582" i="23" s="1"/>
  <c r="X581" i="23"/>
  <c r="W581" i="23"/>
  <c r="V581" i="23"/>
  <c r="AB581" i="23" s="1"/>
  <c r="X580" i="23"/>
  <c r="W580" i="23"/>
  <c r="V580" i="23"/>
  <c r="AB580" i="23" s="1"/>
  <c r="X579" i="23"/>
  <c r="W579" i="23"/>
  <c r="AC579" i="23" s="1"/>
  <c r="V579" i="23"/>
  <c r="AB579" i="23" s="1"/>
  <c r="X578" i="23"/>
  <c r="W578" i="23"/>
  <c r="V578" i="23"/>
  <c r="AB578" i="23" s="1"/>
  <c r="X577" i="23"/>
  <c r="W577" i="23"/>
  <c r="V577" i="23"/>
  <c r="AB577" i="23" s="1"/>
  <c r="X576" i="23"/>
  <c r="W576" i="23"/>
  <c r="V576" i="23"/>
  <c r="AB576" i="23" s="1"/>
  <c r="X575" i="23"/>
  <c r="W575" i="23"/>
  <c r="AC575" i="23" s="1"/>
  <c r="V575" i="23"/>
  <c r="AB575" i="23" s="1"/>
  <c r="X574" i="23"/>
  <c r="W574" i="23"/>
  <c r="V574" i="23"/>
  <c r="AB574" i="23" s="1"/>
  <c r="X573" i="23"/>
  <c r="W573" i="23"/>
  <c r="V573" i="23"/>
  <c r="AB573" i="23" s="1"/>
  <c r="X572" i="23"/>
  <c r="W572" i="23"/>
  <c r="V572" i="23"/>
  <c r="AB572" i="23" s="1"/>
  <c r="X571" i="23"/>
  <c r="W571" i="23"/>
  <c r="AC571" i="23" s="1"/>
  <c r="V571" i="23"/>
  <c r="AB571" i="23" s="1"/>
  <c r="X570" i="23"/>
  <c r="W570" i="23"/>
  <c r="V570" i="23"/>
  <c r="AB570" i="23" s="1"/>
  <c r="X569" i="23"/>
  <c r="W569" i="23"/>
  <c r="V569" i="23"/>
  <c r="AB569" i="23" s="1"/>
  <c r="X568" i="23"/>
  <c r="W568" i="23"/>
  <c r="V568" i="23"/>
  <c r="AB568" i="23" s="1"/>
  <c r="X567" i="23"/>
  <c r="W567" i="23"/>
  <c r="AC567" i="23" s="1"/>
  <c r="V567" i="23"/>
  <c r="AB567" i="23" s="1"/>
  <c r="X566" i="23"/>
  <c r="W566" i="23"/>
  <c r="V566" i="23"/>
  <c r="AB566" i="23" s="1"/>
  <c r="X565" i="23"/>
  <c r="W565" i="23"/>
  <c r="V565" i="23"/>
  <c r="AB565" i="23" s="1"/>
  <c r="X564" i="23"/>
  <c r="W564" i="23"/>
  <c r="V564" i="23"/>
  <c r="AB564" i="23" s="1"/>
  <c r="X563" i="23"/>
  <c r="W563" i="23"/>
  <c r="AC563" i="23" s="1"/>
  <c r="V563" i="23"/>
  <c r="AB563" i="23" s="1"/>
  <c r="X562" i="23"/>
  <c r="W562" i="23"/>
  <c r="V562" i="23"/>
  <c r="AB562" i="23" s="1"/>
  <c r="X561" i="23"/>
  <c r="W561" i="23"/>
  <c r="V561" i="23"/>
  <c r="AB561" i="23" s="1"/>
  <c r="X560" i="23"/>
  <c r="W560" i="23"/>
  <c r="V560" i="23"/>
  <c r="AB560" i="23" s="1"/>
  <c r="X559" i="23"/>
  <c r="W559" i="23"/>
  <c r="AC559" i="23" s="1"/>
  <c r="V559" i="23"/>
  <c r="AB559" i="23" s="1"/>
  <c r="X558" i="23"/>
  <c r="W558" i="23"/>
  <c r="V558" i="23"/>
  <c r="AB558" i="23" s="1"/>
  <c r="X557" i="23"/>
  <c r="W557" i="23"/>
  <c r="V557" i="23"/>
  <c r="AB557" i="23" s="1"/>
  <c r="X556" i="23"/>
  <c r="W556" i="23"/>
  <c r="V556" i="23"/>
  <c r="AB556" i="23" s="1"/>
  <c r="X555" i="23"/>
  <c r="W555" i="23"/>
  <c r="AC555" i="23" s="1"/>
  <c r="V555" i="23"/>
  <c r="AB555" i="23" s="1"/>
  <c r="X554" i="23"/>
  <c r="W554" i="23"/>
  <c r="V554" i="23"/>
  <c r="AB554" i="23" s="1"/>
  <c r="X553" i="23"/>
  <c r="W553" i="23"/>
  <c r="V553" i="23"/>
  <c r="AB553" i="23" s="1"/>
  <c r="X552" i="23"/>
  <c r="W552" i="23"/>
  <c r="V552" i="23"/>
  <c r="AB552" i="23" s="1"/>
  <c r="X551" i="23"/>
  <c r="W551" i="23"/>
  <c r="AC551" i="23" s="1"/>
  <c r="V551" i="23"/>
  <c r="AB551" i="23" s="1"/>
  <c r="X550" i="23"/>
  <c r="W550" i="23"/>
  <c r="V550" i="23"/>
  <c r="AB550" i="23" s="1"/>
  <c r="X549" i="23"/>
  <c r="W549" i="23"/>
  <c r="V549" i="23"/>
  <c r="AB549" i="23" s="1"/>
  <c r="X548" i="23"/>
  <c r="W548" i="23"/>
  <c r="V548" i="23"/>
  <c r="AB548" i="23" s="1"/>
  <c r="X547" i="23"/>
  <c r="W547" i="23"/>
  <c r="AC547" i="23" s="1"/>
  <c r="V547" i="23"/>
  <c r="AB547" i="23" s="1"/>
  <c r="X546" i="23"/>
  <c r="W546" i="23"/>
  <c r="V546" i="23"/>
  <c r="AB546" i="23" s="1"/>
  <c r="X545" i="23"/>
  <c r="W545" i="23"/>
  <c r="V545" i="23"/>
  <c r="AB545" i="23" s="1"/>
  <c r="X544" i="23"/>
  <c r="W544" i="23"/>
  <c r="V544" i="23"/>
  <c r="AB544" i="23" s="1"/>
  <c r="X543" i="23"/>
  <c r="W543" i="23"/>
  <c r="AC543" i="23" s="1"/>
  <c r="V543" i="23"/>
  <c r="AB543" i="23" s="1"/>
  <c r="X542" i="23"/>
  <c r="W542" i="23"/>
  <c r="V542" i="23"/>
  <c r="AB542" i="23" s="1"/>
  <c r="X541" i="23"/>
  <c r="W541" i="23"/>
  <c r="V541" i="23"/>
  <c r="AB541" i="23" s="1"/>
  <c r="X540" i="23"/>
  <c r="W540" i="23"/>
  <c r="V540" i="23"/>
  <c r="AB540" i="23" s="1"/>
  <c r="X539" i="23"/>
  <c r="W539" i="23"/>
  <c r="AC539" i="23" s="1"/>
  <c r="V539" i="23"/>
  <c r="AB539" i="23" s="1"/>
  <c r="X538" i="23"/>
  <c r="W538" i="23"/>
  <c r="V538" i="23"/>
  <c r="AB538" i="23" s="1"/>
  <c r="X537" i="23"/>
  <c r="W537" i="23"/>
  <c r="V537" i="23"/>
  <c r="AB537" i="23" s="1"/>
  <c r="X536" i="23"/>
  <c r="W536" i="23"/>
  <c r="V536" i="23"/>
  <c r="AB536" i="23" s="1"/>
  <c r="X535" i="23"/>
  <c r="W535" i="23"/>
  <c r="AC535" i="23" s="1"/>
  <c r="V535" i="23"/>
  <c r="AB535" i="23" s="1"/>
  <c r="X534" i="23"/>
  <c r="W534" i="23"/>
  <c r="V534" i="23"/>
  <c r="AB534" i="23" s="1"/>
  <c r="X533" i="23"/>
  <c r="W533" i="23"/>
  <c r="V533" i="23"/>
  <c r="AB533" i="23" s="1"/>
  <c r="X532" i="23"/>
  <c r="W532" i="23"/>
  <c r="V532" i="23"/>
  <c r="AB532" i="23" s="1"/>
  <c r="X531" i="23"/>
  <c r="W531" i="23"/>
  <c r="AC531" i="23" s="1"/>
  <c r="V531" i="23"/>
  <c r="AB531" i="23" s="1"/>
  <c r="X530" i="23"/>
  <c r="W530" i="23"/>
  <c r="V530" i="23"/>
  <c r="AB530" i="23" s="1"/>
  <c r="X529" i="23"/>
  <c r="W529" i="23"/>
  <c r="V529" i="23"/>
  <c r="AB529" i="23" s="1"/>
  <c r="X528" i="23"/>
  <c r="W528" i="23"/>
  <c r="V528" i="23"/>
  <c r="AB528" i="23" s="1"/>
  <c r="X527" i="23"/>
  <c r="W527" i="23"/>
  <c r="AC527" i="23" s="1"/>
  <c r="V527" i="23"/>
  <c r="AB527" i="23" s="1"/>
  <c r="X526" i="23"/>
  <c r="W526" i="23"/>
  <c r="V526" i="23"/>
  <c r="AB526" i="23" s="1"/>
  <c r="X525" i="23"/>
  <c r="W525" i="23"/>
  <c r="V525" i="23"/>
  <c r="AB525" i="23" s="1"/>
  <c r="X524" i="23"/>
  <c r="W524" i="23"/>
  <c r="V524" i="23"/>
  <c r="AB524" i="23" s="1"/>
  <c r="X523" i="23"/>
  <c r="W523" i="23"/>
  <c r="AC523" i="23" s="1"/>
  <c r="V523" i="23"/>
  <c r="AB523" i="23" s="1"/>
  <c r="X522" i="23"/>
  <c r="W522" i="23"/>
  <c r="V522" i="23"/>
  <c r="AB522" i="23" s="1"/>
  <c r="X521" i="23"/>
  <c r="W521" i="23"/>
  <c r="V521" i="23"/>
  <c r="AB521" i="23" s="1"/>
  <c r="X520" i="23"/>
  <c r="W520" i="23"/>
  <c r="V520" i="23"/>
  <c r="AB520" i="23" s="1"/>
  <c r="X519" i="23"/>
  <c r="W519" i="23"/>
  <c r="AC519" i="23" s="1"/>
  <c r="V519" i="23"/>
  <c r="AB519" i="23" s="1"/>
  <c r="X518" i="23"/>
  <c r="W518" i="23"/>
  <c r="V518" i="23"/>
  <c r="AB518" i="23" s="1"/>
  <c r="X517" i="23"/>
  <c r="W517" i="23"/>
  <c r="V517" i="23"/>
  <c r="AB517" i="23" s="1"/>
  <c r="X516" i="23"/>
  <c r="W516" i="23"/>
  <c r="V516" i="23"/>
  <c r="AB516" i="23" s="1"/>
  <c r="X515" i="23"/>
  <c r="W515" i="23"/>
  <c r="AC515" i="23" s="1"/>
  <c r="V515" i="23"/>
  <c r="AB515" i="23" s="1"/>
  <c r="X514" i="23"/>
  <c r="W514" i="23"/>
  <c r="AC514" i="23" s="1"/>
  <c r="V514" i="23"/>
  <c r="AB514" i="23" s="1"/>
  <c r="X513" i="23"/>
  <c r="W513" i="23"/>
  <c r="V513" i="23"/>
  <c r="AB513" i="23" s="1"/>
  <c r="X512" i="23"/>
  <c r="W512" i="23"/>
  <c r="V512" i="23"/>
  <c r="AB512" i="23" s="1"/>
  <c r="X511" i="23"/>
  <c r="W511" i="23"/>
  <c r="AC511" i="23" s="1"/>
  <c r="V511" i="23"/>
  <c r="AB511" i="23" s="1"/>
  <c r="X510" i="23"/>
  <c r="W510" i="23"/>
  <c r="AC510" i="23" s="1"/>
  <c r="V510" i="23"/>
  <c r="AB510" i="23" s="1"/>
  <c r="X509" i="23"/>
  <c r="W509" i="23"/>
  <c r="V509" i="23"/>
  <c r="AB509" i="23" s="1"/>
  <c r="X508" i="23"/>
  <c r="W508" i="23"/>
  <c r="V508" i="23"/>
  <c r="AB508" i="23" s="1"/>
  <c r="X507" i="23"/>
  <c r="W507" i="23"/>
  <c r="AC507" i="23" s="1"/>
  <c r="V507" i="23"/>
  <c r="AB507" i="23" s="1"/>
  <c r="X506" i="23"/>
  <c r="W506" i="23"/>
  <c r="AC506" i="23" s="1"/>
  <c r="V506" i="23"/>
  <c r="AB506" i="23" s="1"/>
  <c r="X505" i="23"/>
  <c r="W505" i="23"/>
  <c r="V505" i="23"/>
  <c r="AB505" i="23" s="1"/>
  <c r="X504" i="23"/>
  <c r="W504" i="23"/>
  <c r="V504" i="23"/>
  <c r="AB504" i="23" s="1"/>
  <c r="X503" i="23"/>
  <c r="W503" i="23"/>
  <c r="AC503" i="23" s="1"/>
  <c r="V503" i="23"/>
  <c r="AB503" i="23" s="1"/>
  <c r="X502" i="23"/>
  <c r="W502" i="23"/>
  <c r="AC502" i="23" s="1"/>
  <c r="V502" i="23"/>
  <c r="AB502" i="23" s="1"/>
  <c r="X501" i="23"/>
  <c r="W501" i="23"/>
  <c r="V501" i="23"/>
  <c r="AB501" i="23" s="1"/>
  <c r="X500" i="23"/>
  <c r="W500" i="23"/>
  <c r="V500" i="23"/>
  <c r="AB500" i="23" s="1"/>
  <c r="X499" i="23"/>
  <c r="W499" i="23"/>
  <c r="AC499" i="23" s="1"/>
  <c r="V499" i="23"/>
  <c r="AB499" i="23" s="1"/>
  <c r="X498" i="23"/>
  <c r="W498" i="23"/>
  <c r="AC498" i="23" s="1"/>
  <c r="V498" i="23"/>
  <c r="AB498" i="23" s="1"/>
  <c r="X497" i="23"/>
  <c r="W497" i="23"/>
  <c r="V497" i="23"/>
  <c r="AB497" i="23" s="1"/>
  <c r="X496" i="23"/>
  <c r="W496" i="23"/>
  <c r="V496" i="23"/>
  <c r="AB496" i="23" s="1"/>
  <c r="X495" i="23"/>
  <c r="W495" i="23"/>
  <c r="AC495" i="23" s="1"/>
  <c r="V495" i="23"/>
  <c r="AB495" i="23" s="1"/>
  <c r="X494" i="23"/>
  <c r="W494" i="23"/>
  <c r="AC494" i="23" s="1"/>
  <c r="V494" i="23"/>
  <c r="AB494" i="23" s="1"/>
  <c r="X493" i="23"/>
  <c r="W493" i="23"/>
  <c r="V493" i="23"/>
  <c r="AB493" i="23" s="1"/>
  <c r="X492" i="23"/>
  <c r="W492" i="23"/>
  <c r="V492" i="23"/>
  <c r="AB492" i="23" s="1"/>
  <c r="X491" i="23"/>
  <c r="W491" i="23"/>
  <c r="AC491" i="23" s="1"/>
  <c r="V491" i="23"/>
  <c r="AB491" i="23" s="1"/>
  <c r="X490" i="23"/>
  <c r="W490" i="23"/>
  <c r="AC490" i="23" s="1"/>
  <c r="V490" i="23"/>
  <c r="AB490" i="23" s="1"/>
  <c r="X489" i="23"/>
  <c r="W489" i="23"/>
  <c r="V489" i="23"/>
  <c r="AB489" i="23" s="1"/>
  <c r="X488" i="23"/>
  <c r="W488" i="23"/>
  <c r="V488" i="23"/>
  <c r="AB488" i="23" s="1"/>
  <c r="X487" i="23"/>
  <c r="W487" i="23"/>
  <c r="AC487" i="23" s="1"/>
  <c r="V487" i="23"/>
  <c r="AB487" i="23" s="1"/>
  <c r="X486" i="23"/>
  <c r="W486" i="23"/>
  <c r="AC486" i="23" s="1"/>
  <c r="V486" i="23"/>
  <c r="AB486" i="23" s="1"/>
  <c r="X485" i="23"/>
  <c r="W485" i="23"/>
  <c r="V485" i="23"/>
  <c r="AB485" i="23" s="1"/>
  <c r="X484" i="23"/>
  <c r="W484" i="23"/>
  <c r="V484" i="23"/>
  <c r="AB484" i="23" s="1"/>
  <c r="X483" i="23"/>
  <c r="W483" i="23"/>
  <c r="AC483" i="23" s="1"/>
  <c r="V483" i="23"/>
  <c r="AB483" i="23" s="1"/>
  <c r="X482" i="23"/>
  <c r="W482" i="23"/>
  <c r="AC482" i="23" s="1"/>
  <c r="V482" i="23"/>
  <c r="AB482" i="23" s="1"/>
  <c r="V481" i="23"/>
  <c r="AB481" i="23" s="1"/>
  <c r="V480" i="23"/>
  <c r="AB480" i="23" s="1"/>
  <c r="V479" i="23"/>
  <c r="AB479" i="23" s="1"/>
  <c r="V478" i="23"/>
  <c r="AB478" i="23" s="1"/>
  <c r="V477" i="23"/>
  <c r="AB477" i="23" s="1"/>
  <c r="V476" i="23"/>
  <c r="AB476" i="23" s="1"/>
  <c r="V475" i="23"/>
  <c r="AB475" i="23" s="1"/>
  <c r="V474" i="23"/>
  <c r="AB474" i="23" s="1"/>
  <c r="V473" i="23"/>
  <c r="AB473" i="23" s="1"/>
  <c r="V472" i="23"/>
  <c r="AB472" i="23" s="1"/>
  <c r="V471" i="23"/>
  <c r="AB471" i="23" s="1"/>
  <c r="V470" i="23"/>
  <c r="AB470" i="23" s="1"/>
  <c r="V469" i="23"/>
  <c r="AB469" i="23" s="1"/>
  <c r="V468" i="23"/>
  <c r="AB468" i="23" s="1"/>
  <c r="V467" i="23"/>
  <c r="AB467" i="23" s="1"/>
  <c r="V466" i="23"/>
  <c r="AB466" i="23" s="1"/>
  <c r="V465" i="23"/>
  <c r="AB465" i="23" s="1"/>
  <c r="V464" i="23"/>
  <c r="AB464" i="23" s="1"/>
  <c r="V463" i="23"/>
  <c r="AB463" i="23" s="1"/>
  <c r="V462" i="23"/>
  <c r="AB462" i="23" s="1"/>
  <c r="V461" i="23"/>
  <c r="AB461" i="23" s="1"/>
  <c r="V460" i="23"/>
  <c r="AB460" i="23" s="1"/>
  <c r="V459" i="23"/>
  <c r="AB459" i="23" s="1"/>
  <c r="V458" i="23"/>
  <c r="AB458" i="23" s="1"/>
  <c r="V457" i="23"/>
  <c r="AB457" i="23" s="1"/>
  <c r="X456" i="23"/>
  <c r="W456" i="23"/>
  <c r="AC456" i="23" s="1"/>
  <c r="X455" i="23"/>
  <c r="W455" i="23"/>
  <c r="X454" i="23"/>
  <c r="W454" i="23"/>
  <c r="AC454" i="23" s="1"/>
  <c r="X453" i="23"/>
  <c r="W453" i="23"/>
  <c r="AC453" i="23" s="1"/>
  <c r="X452" i="23"/>
  <c r="W452" i="23"/>
  <c r="AC452" i="23" s="1"/>
  <c r="X451" i="23"/>
  <c r="W451" i="23"/>
  <c r="AC451" i="23" s="1"/>
  <c r="X450" i="23"/>
  <c r="W450" i="23"/>
  <c r="AC450" i="23" s="1"/>
  <c r="X449" i="23"/>
  <c r="W449" i="23"/>
  <c r="X448" i="23"/>
  <c r="W448" i="23"/>
  <c r="AC448" i="23" s="1"/>
  <c r="X447" i="23"/>
  <c r="W447" i="23"/>
  <c r="X446" i="23"/>
  <c r="W446" i="23"/>
  <c r="AC446" i="23" s="1"/>
  <c r="X445" i="23"/>
  <c r="W445" i="23"/>
  <c r="AC445" i="23" s="1"/>
  <c r="X444" i="23"/>
  <c r="W444" i="23"/>
  <c r="AC444" i="23" s="1"/>
  <c r="X443" i="23"/>
  <c r="W443" i="23"/>
  <c r="AC443" i="23" s="1"/>
  <c r="X442" i="23"/>
  <c r="W442" i="23"/>
  <c r="AC442" i="23" s="1"/>
  <c r="X441" i="23"/>
  <c r="W441" i="23"/>
  <c r="X440" i="23"/>
  <c r="W440" i="23"/>
  <c r="AC440" i="23" s="1"/>
  <c r="X439" i="23"/>
  <c r="W439" i="23"/>
  <c r="X438" i="23"/>
  <c r="W438" i="23"/>
  <c r="AC438" i="23" s="1"/>
  <c r="X437" i="23"/>
  <c r="W437" i="23"/>
  <c r="AC437" i="23" s="1"/>
  <c r="X436" i="23"/>
  <c r="W436" i="23"/>
  <c r="AC436" i="23" s="1"/>
  <c r="X435" i="23"/>
  <c r="W435" i="23"/>
  <c r="AC435" i="23" s="1"/>
  <c r="X434" i="23"/>
  <c r="W434" i="23"/>
  <c r="AC434" i="23" s="1"/>
  <c r="X433" i="23"/>
  <c r="W433" i="23"/>
  <c r="X432" i="23"/>
  <c r="W432" i="23"/>
  <c r="AC432" i="23" s="1"/>
  <c r="X431" i="23"/>
  <c r="W431" i="23"/>
  <c r="V430" i="23"/>
  <c r="AB430" i="23" s="1"/>
  <c r="V429" i="23"/>
  <c r="AB429" i="23" s="1"/>
  <c r="V428" i="23"/>
  <c r="AB428" i="23" s="1"/>
  <c r="V427" i="23"/>
  <c r="AB427" i="23" s="1"/>
  <c r="V426" i="23"/>
  <c r="AB426" i="23" s="1"/>
  <c r="V425" i="23"/>
  <c r="AB425" i="23" s="1"/>
  <c r="V424" i="23"/>
  <c r="AB424" i="23" s="1"/>
  <c r="V423" i="23"/>
  <c r="AB423" i="23" s="1"/>
  <c r="V422" i="23"/>
  <c r="AB422" i="23" s="1"/>
  <c r="V421" i="23"/>
  <c r="AB421" i="23" s="1"/>
  <c r="V420" i="23"/>
  <c r="AB420" i="23" s="1"/>
  <c r="V419" i="23"/>
  <c r="AB419" i="23" s="1"/>
  <c r="V418" i="23"/>
  <c r="AB418" i="23" s="1"/>
  <c r="V417" i="23"/>
  <c r="AB417" i="23" s="1"/>
  <c r="V416" i="23"/>
  <c r="AB416" i="23" s="1"/>
  <c r="V415" i="23"/>
  <c r="AB415" i="23" s="1"/>
  <c r="V414" i="23"/>
  <c r="AB414" i="23" s="1"/>
  <c r="V413" i="23"/>
  <c r="AB413" i="23" s="1"/>
  <c r="V412" i="23"/>
  <c r="AB412" i="23" s="1"/>
  <c r="V411" i="23"/>
  <c r="AB411" i="23" s="1"/>
  <c r="V410" i="23"/>
  <c r="AB410" i="23" s="1"/>
  <c r="V409" i="23"/>
  <c r="AB409" i="23" s="1"/>
  <c r="V408" i="23"/>
  <c r="AB408" i="23" s="1"/>
  <c r="V407" i="23"/>
  <c r="AB407" i="23" s="1"/>
  <c r="V406" i="23"/>
  <c r="AB406" i="23" s="1"/>
  <c r="V405" i="23"/>
  <c r="AB405" i="23" s="1"/>
  <c r="V404" i="23"/>
  <c r="AB404" i="23" s="1"/>
  <c r="V403" i="23"/>
  <c r="AB403" i="23" s="1"/>
  <c r="V402" i="23"/>
  <c r="AB402" i="23" s="1"/>
  <c r="V401" i="23"/>
  <c r="AB401" i="23" s="1"/>
  <c r="V400" i="23"/>
  <c r="AB400" i="23" s="1"/>
  <c r="V399" i="23"/>
  <c r="AB399" i="23" s="1"/>
  <c r="V398" i="23"/>
  <c r="AB398" i="23" s="1"/>
  <c r="V397" i="23"/>
  <c r="AB397" i="23" s="1"/>
  <c r="V396" i="23"/>
  <c r="AB396" i="23" s="1"/>
  <c r="V395" i="23"/>
  <c r="AB395" i="23" s="1"/>
  <c r="V394" i="23"/>
  <c r="AB394" i="23" s="1"/>
  <c r="V393" i="23"/>
  <c r="AB393" i="23" s="1"/>
  <c r="V392" i="23"/>
  <c r="AB392" i="23" s="1"/>
  <c r="V391" i="23"/>
  <c r="AB391" i="23" s="1"/>
  <c r="V390" i="23"/>
  <c r="AB390" i="23" s="1"/>
  <c r="V389" i="23"/>
  <c r="AB389" i="23" s="1"/>
  <c r="V388" i="23"/>
  <c r="AB388" i="23" s="1"/>
  <c r="V387" i="23"/>
  <c r="AB387" i="23" s="1"/>
  <c r="V386" i="23"/>
  <c r="AB386" i="23" s="1"/>
  <c r="V385" i="23"/>
  <c r="AB385" i="23" s="1"/>
  <c r="V384" i="23"/>
  <c r="AB384" i="23" s="1"/>
  <c r="V383" i="23"/>
  <c r="AB383" i="23" s="1"/>
  <c r="V382" i="23"/>
  <c r="AB382" i="23" s="1"/>
  <c r="V381" i="23"/>
  <c r="AB381" i="23" s="1"/>
  <c r="V380" i="23"/>
  <c r="AB380" i="23" s="1"/>
  <c r="V379" i="23"/>
  <c r="AB379" i="23" s="1"/>
  <c r="V378" i="23"/>
  <c r="AB378" i="23" s="1"/>
  <c r="X377" i="23"/>
  <c r="W377" i="23"/>
  <c r="AC377" i="23" s="1"/>
  <c r="X376" i="23"/>
  <c r="W376" i="23"/>
  <c r="AC376" i="23" s="1"/>
  <c r="X375" i="23"/>
  <c r="W375" i="23"/>
  <c r="AC375" i="23" s="1"/>
  <c r="X374" i="23"/>
  <c r="W374" i="23"/>
  <c r="AC374" i="23" s="1"/>
  <c r="X373" i="23"/>
  <c r="W373" i="23"/>
  <c r="AC373" i="23" s="1"/>
  <c r="X372" i="23"/>
  <c r="W372" i="23"/>
  <c r="X371" i="23"/>
  <c r="W371" i="23"/>
  <c r="AC371" i="23" s="1"/>
  <c r="X370" i="23"/>
  <c r="W370" i="23"/>
  <c r="AC370" i="23" s="1"/>
  <c r="X369" i="23"/>
  <c r="W369" i="23"/>
  <c r="AC369" i="23" s="1"/>
  <c r="X368" i="23"/>
  <c r="W368" i="23"/>
  <c r="AC368" i="23" s="1"/>
  <c r="X367" i="23"/>
  <c r="W367" i="23"/>
  <c r="AC367" i="23" s="1"/>
  <c r="X366" i="23"/>
  <c r="W366" i="23"/>
  <c r="X365" i="23"/>
  <c r="W365" i="23"/>
  <c r="AC365" i="23" s="1"/>
  <c r="X364" i="23"/>
  <c r="W364" i="23"/>
  <c r="AC364" i="23" s="1"/>
  <c r="X363" i="23"/>
  <c r="W363" i="23"/>
  <c r="AC363" i="23" s="1"/>
  <c r="X362" i="23"/>
  <c r="W362" i="23"/>
  <c r="AC362" i="23" s="1"/>
  <c r="X361" i="23"/>
  <c r="W361" i="23"/>
  <c r="AC361" i="23" s="1"/>
  <c r="X360" i="23"/>
  <c r="W360" i="23"/>
  <c r="AC360" i="23" s="1"/>
  <c r="X359" i="23"/>
  <c r="W359" i="23"/>
  <c r="AC359" i="23" s="1"/>
  <c r="X358" i="23"/>
  <c r="W358" i="23"/>
  <c r="AC358" i="23" s="1"/>
  <c r="X357" i="23"/>
  <c r="W357" i="23"/>
  <c r="AC357" i="23" s="1"/>
  <c r="X356" i="23"/>
  <c r="W356" i="23"/>
  <c r="X355" i="23"/>
  <c r="W355" i="23"/>
  <c r="AC355" i="23" s="1"/>
  <c r="X354" i="23"/>
  <c r="W354" i="23"/>
  <c r="AC354" i="23" s="1"/>
  <c r="X353" i="23"/>
  <c r="W353" i="23"/>
  <c r="AC353" i="23" s="1"/>
  <c r="X352" i="23"/>
  <c r="W352" i="23"/>
  <c r="AC352" i="23" s="1"/>
  <c r="X351" i="23"/>
  <c r="W351" i="23"/>
  <c r="AC351" i="23" s="1"/>
  <c r="X350" i="23"/>
  <c r="W350" i="23"/>
  <c r="AC350" i="23" s="1"/>
  <c r="X349" i="23"/>
  <c r="W349" i="23"/>
  <c r="AC349" i="23" s="1"/>
  <c r="V348" i="23"/>
  <c r="AB348" i="23" s="1"/>
  <c r="V347" i="23"/>
  <c r="AB347" i="23" s="1"/>
  <c r="V346" i="23"/>
  <c r="AB346" i="23" s="1"/>
  <c r="V345" i="23"/>
  <c r="AB345" i="23" s="1"/>
  <c r="V344" i="23"/>
  <c r="AB344" i="23" s="1"/>
  <c r="V343" i="23"/>
  <c r="AB343" i="23" s="1"/>
  <c r="V342" i="23"/>
  <c r="AB342" i="23" s="1"/>
  <c r="V341" i="23"/>
  <c r="AB341" i="23" s="1"/>
  <c r="V340" i="23"/>
  <c r="AB340" i="23" s="1"/>
  <c r="V339" i="23"/>
  <c r="AB339" i="23" s="1"/>
  <c r="V338" i="23"/>
  <c r="AB338" i="23" s="1"/>
  <c r="V337" i="23"/>
  <c r="AB337" i="23" s="1"/>
  <c r="V336" i="23"/>
  <c r="AB336" i="23" s="1"/>
  <c r="V335" i="23"/>
  <c r="AB335" i="23" s="1"/>
  <c r="V334" i="23"/>
  <c r="AB334" i="23" s="1"/>
  <c r="V333" i="23"/>
  <c r="AB333" i="23" s="1"/>
  <c r="V332" i="23"/>
  <c r="AB332" i="23" s="1"/>
  <c r="V331" i="23"/>
  <c r="AB331" i="23" s="1"/>
  <c r="V330" i="23"/>
  <c r="AB330" i="23" s="1"/>
  <c r="V329" i="23"/>
  <c r="AB329" i="23" s="1"/>
  <c r="V328" i="23"/>
  <c r="AB328" i="23" s="1"/>
  <c r="V327" i="23"/>
  <c r="AB327" i="23" s="1"/>
  <c r="V326" i="23"/>
  <c r="AB326" i="23" s="1"/>
  <c r="V325" i="23"/>
  <c r="AB325" i="23" s="1"/>
  <c r="V324" i="23"/>
  <c r="AB324" i="23" s="1"/>
  <c r="V323" i="23"/>
  <c r="AB323" i="23" s="1"/>
  <c r="V322" i="23"/>
  <c r="AB322" i="23" s="1"/>
  <c r="V321" i="23"/>
  <c r="AB321" i="23" s="1"/>
  <c r="V320" i="23"/>
  <c r="AB320" i="23" s="1"/>
  <c r="X319" i="23"/>
  <c r="W319" i="23"/>
  <c r="AC319" i="23" s="1"/>
  <c r="X318" i="23"/>
  <c r="W318" i="23"/>
  <c r="AC318" i="23" s="1"/>
  <c r="X317" i="23"/>
  <c r="W317" i="23"/>
  <c r="AC317" i="23" s="1"/>
  <c r="X316" i="23"/>
  <c r="W316" i="23"/>
  <c r="X315" i="23"/>
  <c r="W315" i="23"/>
  <c r="V315" i="23"/>
  <c r="AB315" i="23" s="1"/>
  <c r="X314" i="23"/>
  <c r="W314" i="23"/>
  <c r="V314" i="23"/>
  <c r="AB314" i="23" s="1"/>
  <c r="X313" i="23"/>
  <c r="W313" i="23"/>
  <c r="V313" i="23"/>
  <c r="AB313" i="23" s="1"/>
  <c r="X312" i="23"/>
  <c r="W312" i="23"/>
  <c r="V312" i="23"/>
  <c r="AB312" i="23" s="1"/>
  <c r="X311" i="23"/>
  <c r="W311" i="23"/>
  <c r="V311" i="23"/>
  <c r="AB311" i="23" s="1"/>
  <c r="V310" i="23"/>
  <c r="AB310" i="23" s="1"/>
  <c r="V309" i="23"/>
  <c r="AB309" i="23" s="1"/>
  <c r="V308" i="23"/>
  <c r="AB308" i="23" s="1"/>
  <c r="V307" i="23"/>
  <c r="AB307" i="23" s="1"/>
  <c r="V306" i="23"/>
  <c r="AB306" i="23" s="1"/>
  <c r="V305" i="23"/>
  <c r="AB305" i="23" s="1"/>
  <c r="V304" i="23"/>
  <c r="AB304" i="23" s="1"/>
  <c r="V303" i="23"/>
  <c r="AB303" i="23" s="1"/>
  <c r="V302" i="23"/>
  <c r="AB302" i="23" s="1"/>
  <c r="X301" i="23"/>
  <c r="W301" i="23"/>
  <c r="AC301" i="23" s="1"/>
  <c r="V301" i="23"/>
  <c r="AB301" i="23" s="1"/>
  <c r="X300" i="23"/>
  <c r="W300" i="23"/>
  <c r="V300" i="23"/>
  <c r="AB300" i="23" s="1"/>
  <c r="X299" i="23"/>
  <c r="W299" i="23"/>
  <c r="V299" i="23"/>
  <c r="AB299" i="23" s="1"/>
  <c r="X298" i="23"/>
  <c r="W298" i="23"/>
  <c r="AC298" i="23" s="1"/>
  <c r="V298" i="23"/>
  <c r="AB298" i="23" s="1"/>
  <c r="X297" i="23"/>
  <c r="W297" i="23"/>
  <c r="AC297" i="23" s="1"/>
  <c r="V297" i="23"/>
  <c r="AB297" i="23" s="1"/>
  <c r="X296" i="23"/>
  <c r="W296" i="23"/>
  <c r="V296" i="23"/>
  <c r="AB296" i="23" s="1"/>
  <c r="X295" i="23"/>
  <c r="W295" i="23"/>
  <c r="V295" i="23"/>
  <c r="AB295" i="23" s="1"/>
  <c r="X294" i="23"/>
  <c r="W294" i="23"/>
  <c r="AC294" i="23" s="1"/>
  <c r="V294" i="23"/>
  <c r="AB294" i="23" s="1"/>
  <c r="X293" i="23"/>
  <c r="W293" i="23"/>
  <c r="AC293" i="23" s="1"/>
  <c r="V293" i="23"/>
  <c r="AB293" i="23" s="1"/>
  <c r="X292" i="23"/>
  <c r="W292" i="23"/>
  <c r="V292" i="23"/>
  <c r="AB292" i="23" s="1"/>
  <c r="X291" i="23"/>
  <c r="W291" i="23"/>
  <c r="V291" i="23"/>
  <c r="AB291" i="23" s="1"/>
  <c r="X290" i="23"/>
  <c r="W290" i="23"/>
  <c r="AC290" i="23" s="1"/>
  <c r="V290" i="23"/>
  <c r="AB290" i="23" s="1"/>
  <c r="X289" i="23"/>
  <c r="W289" i="23"/>
  <c r="AC289" i="23" s="1"/>
  <c r="V289" i="23"/>
  <c r="AB289" i="23" s="1"/>
  <c r="X288" i="23"/>
  <c r="W288" i="23"/>
  <c r="V288" i="23"/>
  <c r="AB288" i="23" s="1"/>
  <c r="X287" i="23"/>
  <c r="W287" i="23"/>
  <c r="V287" i="23"/>
  <c r="AB287" i="23" s="1"/>
  <c r="X286" i="23"/>
  <c r="W286" i="23"/>
  <c r="AC286" i="23" s="1"/>
  <c r="V286" i="23"/>
  <c r="AB286" i="23" s="1"/>
  <c r="X285" i="23"/>
  <c r="W285" i="23"/>
  <c r="AC285" i="23" s="1"/>
  <c r="V285" i="23"/>
  <c r="AB285" i="23" s="1"/>
  <c r="X284" i="23"/>
  <c r="W284" i="23"/>
  <c r="V284" i="23"/>
  <c r="AB284" i="23" s="1"/>
  <c r="X283" i="23"/>
  <c r="W283" i="23"/>
  <c r="V283" i="23"/>
  <c r="AB283" i="23" s="1"/>
  <c r="X282" i="23"/>
  <c r="W282" i="23"/>
  <c r="AC282" i="23" s="1"/>
  <c r="V282" i="23"/>
  <c r="AB282" i="23" s="1"/>
  <c r="X281" i="23"/>
  <c r="W281" i="23"/>
  <c r="AC281" i="23" s="1"/>
  <c r="V281" i="23"/>
  <c r="AB281" i="23" s="1"/>
  <c r="X280" i="23"/>
  <c r="W280" i="23"/>
  <c r="V280" i="23"/>
  <c r="AB280" i="23" s="1"/>
  <c r="X279" i="23"/>
  <c r="W279" i="23"/>
  <c r="V279" i="23"/>
  <c r="AB279" i="23" s="1"/>
  <c r="X278" i="23"/>
  <c r="W278" i="23"/>
  <c r="AC278" i="23" s="1"/>
  <c r="V278" i="23"/>
  <c r="AB278" i="23" s="1"/>
  <c r="X277" i="23"/>
  <c r="W277" i="23"/>
  <c r="AC277" i="23" s="1"/>
  <c r="V277" i="23"/>
  <c r="AB277" i="23" s="1"/>
  <c r="X276" i="23"/>
  <c r="W276" i="23"/>
  <c r="V276" i="23"/>
  <c r="AB276" i="23" s="1"/>
  <c r="X275" i="23"/>
  <c r="W275" i="23"/>
  <c r="V275" i="23"/>
  <c r="AB275" i="23" s="1"/>
  <c r="X274" i="23"/>
  <c r="W274" i="23"/>
  <c r="AC274" i="23" s="1"/>
  <c r="V274" i="23"/>
  <c r="AB274" i="23" s="1"/>
  <c r="X273" i="23"/>
  <c r="W273" i="23"/>
  <c r="AC273" i="23" s="1"/>
  <c r="V273" i="23"/>
  <c r="AB273" i="23" s="1"/>
  <c r="X272" i="23"/>
  <c r="W272" i="23"/>
  <c r="V272" i="23"/>
  <c r="AB272" i="23" s="1"/>
  <c r="X271" i="23"/>
  <c r="W271" i="23"/>
  <c r="V271" i="23"/>
  <c r="AB271" i="23" s="1"/>
  <c r="X270" i="23"/>
  <c r="W270" i="23"/>
  <c r="AC270" i="23" s="1"/>
  <c r="V270" i="23"/>
  <c r="AB270" i="23" s="1"/>
  <c r="X269" i="23"/>
  <c r="W269" i="23"/>
  <c r="AC269" i="23" s="1"/>
  <c r="V269" i="23"/>
  <c r="AB269" i="23" s="1"/>
  <c r="X268" i="23"/>
  <c r="W268" i="23"/>
  <c r="V268" i="23"/>
  <c r="AB268" i="23" s="1"/>
  <c r="X267" i="23"/>
  <c r="W267" i="23"/>
  <c r="V267" i="23"/>
  <c r="AB267" i="23" s="1"/>
  <c r="X266" i="23"/>
  <c r="W266" i="23"/>
  <c r="AC266" i="23" s="1"/>
  <c r="V266" i="23"/>
  <c r="AB266" i="23" s="1"/>
  <c r="X169" i="23"/>
  <c r="W169" i="23"/>
  <c r="AC169" i="23" s="1"/>
  <c r="V169" i="23"/>
  <c r="AB169" i="23" s="1"/>
  <c r="X168" i="23"/>
  <c r="W168" i="23"/>
  <c r="V168" i="23"/>
  <c r="AB168" i="23" s="1"/>
  <c r="X167" i="23"/>
  <c r="W167" i="23"/>
  <c r="V167" i="23"/>
  <c r="AB167" i="23" s="1"/>
  <c r="X166" i="23"/>
  <c r="W166" i="23"/>
  <c r="V166" i="23"/>
  <c r="AB166" i="23" s="1"/>
  <c r="X165" i="23"/>
  <c r="W165" i="23"/>
  <c r="AC165" i="23" s="1"/>
  <c r="V165" i="23"/>
  <c r="AB165" i="23" s="1"/>
  <c r="X164" i="23"/>
  <c r="W164" i="23"/>
  <c r="V164" i="23"/>
  <c r="AB164" i="23" s="1"/>
  <c r="X163" i="23"/>
  <c r="W163" i="23"/>
  <c r="V163" i="23"/>
  <c r="AB163" i="23" s="1"/>
  <c r="X162" i="23"/>
  <c r="W162" i="23"/>
  <c r="V162" i="23"/>
  <c r="AB162" i="23" s="1"/>
  <c r="X161" i="23"/>
  <c r="W161" i="23"/>
  <c r="AC161" i="23" s="1"/>
  <c r="V161" i="23"/>
  <c r="AB161" i="23" s="1"/>
  <c r="X160" i="23"/>
  <c r="W160" i="23"/>
  <c r="V160" i="23"/>
  <c r="AB160" i="23" s="1"/>
  <c r="X159" i="23"/>
  <c r="W159" i="23"/>
  <c r="V159" i="23"/>
  <c r="AB159" i="23" s="1"/>
  <c r="X158" i="23"/>
  <c r="W158" i="23"/>
  <c r="V158" i="23"/>
  <c r="AB158" i="23" s="1"/>
  <c r="X157" i="23"/>
  <c r="W157" i="23"/>
  <c r="V157" i="23"/>
  <c r="AB157" i="23" s="1"/>
  <c r="X156" i="23"/>
  <c r="W156" i="23"/>
  <c r="V156" i="23"/>
  <c r="AB156" i="23" s="1"/>
  <c r="X155" i="23"/>
  <c r="W155" i="23"/>
  <c r="V155" i="23"/>
  <c r="AB155" i="23" s="1"/>
  <c r="X154" i="23"/>
  <c r="W154" i="23"/>
  <c r="V154" i="23"/>
  <c r="AB154" i="23" s="1"/>
  <c r="X153" i="23"/>
  <c r="W153" i="23"/>
  <c r="V153" i="23"/>
  <c r="AB153" i="23" s="1"/>
  <c r="X152" i="23"/>
  <c r="W152" i="23"/>
  <c r="V152" i="23"/>
  <c r="AB152" i="23" s="1"/>
  <c r="X151" i="23"/>
  <c r="W151" i="23"/>
  <c r="V151" i="23"/>
  <c r="AB151" i="23" s="1"/>
  <c r="X150" i="23"/>
  <c r="W150" i="23"/>
  <c r="V150" i="23"/>
  <c r="AB150" i="23" s="1"/>
  <c r="X149" i="23"/>
  <c r="W149" i="23"/>
  <c r="V149" i="23"/>
  <c r="AB149" i="23" s="1"/>
  <c r="X148" i="23"/>
  <c r="W148" i="23"/>
  <c r="V148" i="23"/>
  <c r="AB148" i="23" s="1"/>
  <c r="X147" i="23"/>
  <c r="W147" i="23"/>
  <c r="V147" i="23"/>
  <c r="AB147" i="23" s="1"/>
  <c r="X146" i="23"/>
  <c r="W146" i="23"/>
  <c r="V146" i="23"/>
  <c r="AB146" i="23" s="1"/>
  <c r="X145" i="23"/>
  <c r="W145" i="23"/>
  <c r="AC145" i="23" s="1"/>
  <c r="V145" i="23"/>
  <c r="AB145" i="23" s="1"/>
  <c r="X144" i="23"/>
  <c r="W144" i="23"/>
  <c r="V144" i="23"/>
  <c r="AB144" i="23" s="1"/>
  <c r="X143" i="23"/>
  <c r="W143" i="23"/>
  <c r="V143" i="23"/>
  <c r="AB143" i="23" s="1"/>
  <c r="X142" i="23"/>
  <c r="W142" i="23"/>
  <c r="V142" i="23"/>
  <c r="AB142" i="23" s="1"/>
  <c r="X141" i="23"/>
  <c r="W141" i="23"/>
  <c r="AC141" i="23" s="1"/>
  <c r="V141" i="23"/>
  <c r="AB141" i="23" s="1"/>
  <c r="X140" i="23"/>
  <c r="W140" i="23"/>
  <c r="V140" i="23"/>
  <c r="AB140" i="23" s="1"/>
  <c r="X139" i="23"/>
  <c r="W139" i="23"/>
  <c r="V139" i="23"/>
  <c r="AB139" i="23" s="1"/>
  <c r="X138" i="23"/>
  <c r="W138" i="23"/>
  <c r="V138" i="23"/>
  <c r="AB138" i="23" s="1"/>
  <c r="X137" i="23"/>
  <c r="W137" i="23"/>
  <c r="AC137" i="23" s="1"/>
  <c r="V137" i="23"/>
  <c r="AB137" i="23" s="1"/>
  <c r="X136" i="23"/>
  <c r="W136" i="23"/>
  <c r="V136" i="23"/>
  <c r="AB136" i="23" s="1"/>
  <c r="X135" i="23"/>
  <c r="W135" i="23"/>
  <c r="V135" i="23"/>
  <c r="AB135" i="23" s="1"/>
  <c r="X134" i="23"/>
  <c r="W134" i="23"/>
  <c r="V134" i="23"/>
  <c r="AB134" i="23" s="1"/>
  <c r="X133" i="23"/>
  <c r="W133" i="23"/>
  <c r="V133" i="23"/>
  <c r="AB133" i="23" s="1"/>
  <c r="X132" i="23"/>
  <c r="W132" i="23"/>
  <c r="V132" i="23"/>
  <c r="AB132" i="23" s="1"/>
  <c r="X131" i="23"/>
  <c r="W131" i="23"/>
  <c r="V131" i="23"/>
  <c r="AB131" i="23" s="1"/>
  <c r="X130" i="23"/>
  <c r="W130" i="23"/>
  <c r="V130" i="23"/>
  <c r="AB130" i="23" s="1"/>
  <c r="X129" i="23"/>
  <c r="W129" i="23"/>
  <c r="V129" i="23"/>
  <c r="AB129" i="23" s="1"/>
  <c r="X128" i="23"/>
  <c r="W128" i="23"/>
  <c r="V128" i="23"/>
  <c r="AB128" i="23" s="1"/>
  <c r="X127" i="23"/>
  <c r="W127" i="23"/>
  <c r="V127" i="23"/>
  <c r="AB127" i="23" s="1"/>
  <c r="X126" i="23"/>
  <c r="W126" i="23"/>
  <c r="V126" i="23"/>
  <c r="AB126" i="23" s="1"/>
  <c r="X125" i="23"/>
  <c r="W125" i="23"/>
  <c r="V125" i="23"/>
  <c r="AB125" i="23" s="1"/>
  <c r="X124" i="23"/>
  <c r="W124" i="23"/>
  <c r="V124" i="23"/>
  <c r="AB124" i="23" s="1"/>
  <c r="X123" i="23"/>
  <c r="W123" i="23"/>
  <c r="V123" i="23"/>
  <c r="AB123" i="23" s="1"/>
  <c r="X122" i="23"/>
  <c r="W122" i="23"/>
  <c r="V122" i="23"/>
  <c r="AB122" i="23" s="1"/>
  <c r="X121" i="23"/>
  <c r="W121" i="23"/>
  <c r="V121" i="23"/>
  <c r="AB121" i="23" s="1"/>
  <c r="X120" i="23"/>
  <c r="W120" i="23"/>
  <c r="V120" i="23"/>
  <c r="AB120" i="23" s="1"/>
  <c r="X119" i="23"/>
  <c r="W119" i="23"/>
  <c r="V119" i="23"/>
  <c r="AB119" i="23" s="1"/>
  <c r="X118" i="23"/>
  <c r="W118" i="23"/>
  <c r="V118" i="23"/>
  <c r="AB118" i="23" s="1"/>
  <c r="X117" i="23"/>
  <c r="W117" i="23"/>
  <c r="V117" i="23"/>
  <c r="AB117" i="23" s="1"/>
  <c r="X116" i="23"/>
  <c r="W116" i="23"/>
  <c r="V116" i="23"/>
  <c r="AB116" i="23" s="1"/>
  <c r="X115" i="23"/>
  <c r="W115" i="23"/>
  <c r="V115" i="23"/>
  <c r="AB115" i="23" s="1"/>
  <c r="X114" i="23"/>
  <c r="W114" i="23"/>
  <c r="V114" i="23"/>
  <c r="AB114" i="23" s="1"/>
  <c r="X113" i="23"/>
  <c r="W113" i="23"/>
  <c r="V113" i="23"/>
  <c r="AB113" i="23" s="1"/>
  <c r="X112" i="23"/>
  <c r="W112" i="23"/>
  <c r="V112" i="23"/>
  <c r="AB112" i="23" s="1"/>
  <c r="X111" i="23"/>
  <c r="W111" i="23"/>
  <c r="V111" i="23"/>
  <c r="AB111" i="23" s="1"/>
  <c r="X110" i="23"/>
  <c r="W110" i="23"/>
  <c r="V110" i="23"/>
  <c r="AB110" i="23" s="1"/>
  <c r="X109" i="23"/>
  <c r="W109" i="23"/>
  <c r="V109" i="23"/>
  <c r="AB109" i="23" s="1"/>
  <c r="X108" i="23"/>
  <c r="W108" i="23"/>
  <c r="V108" i="23"/>
  <c r="AB108" i="23" s="1"/>
  <c r="X107" i="23"/>
  <c r="W107" i="23"/>
  <c r="V107" i="23"/>
  <c r="AB107" i="23" s="1"/>
  <c r="X106" i="23"/>
  <c r="W106" i="23"/>
  <c r="V106" i="23"/>
  <c r="AB106" i="23" s="1"/>
  <c r="X105" i="23"/>
  <c r="W105" i="23"/>
  <c r="V105" i="23"/>
  <c r="AB105" i="23" s="1"/>
  <c r="X104" i="23"/>
  <c r="W104" i="23"/>
  <c r="V104" i="23"/>
  <c r="AB104" i="23" s="1"/>
  <c r="X103" i="23"/>
  <c r="W103" i="23"/>
  <c r="V103" i="23"/>
  <c r="AB103" i="23" s="1"/>
  <c r="X102" i="23"/>
  <c r="W102" i="23"/>
  <c r="V102" i="23"/>
  <c r="AB102" i="23" s="1"/>
  <c r="X101" i="23"/>
  <c r="W101" i="23"/>
  <c r="V101" i="23"/>
  <c r="AB101" i="23" s="1"/>
  <c r="X100" i="23"/>
  <c r="W100" i="23"/>
  <c r="V100" i="23"/>
  <c r="AB100" i="23" s="1"/>
  <c r="X99" i="23"/>
  <c r="W99" i="23"/>
  <c r="V99" i="23"/>
  <c r="AB99" i="23" s="1"/>
  <c r="X98" i="23"/>
  <c r="W98" i="23"/>
  <c r="V98" i="23"/>
  <c r="AB98" i="23" s="1"/>
  <c r="X97" i="23"/>
  <c r="W97" i="23"/>
  <c r="V97" i="23"/>
  <c r="AB97" i="23" s="1"/>
  <c r="X96" i="23"/>
  <c r="W96" i="23"/>
  <c r="V96" i="23"/>
  <c r="AB96" i="23" s="1"/>
  <c r="X95" i="23"/>
  <c r="W95" i="23"/>
  <c r="V95" i="23"/>
  <c r="AB95" i="23" s="1"/>
  <c r="X94" i="23"/>
  <c r="W94" i="23"/>
  <c r="V94" i="23"/>
  <c r="AB94" i="23" s="1"/>
  <c r="X93" i="23"/>
  <c r="W93" i="23"/>
  <c r="V93" i="23"/>
  <c r="AB93" i="23" s="1"/>
  <c r="X92" i="23"/>
  <c r="W92" i="23"/>
  <c r="V92" i="23"/>
  <c r="AB92" i="23" s="1"/>
  <c r="X91" i="23"/>
  <c r="W91" i="23"/>
  <c r="V91" i="23"/>
  <c r="AB91" i="23" s="1"/>
  <c r="X90" i="23"/>
  <c r="W90" i="23"/>
  <c r="V90" i="23"/>
  <c r="AB90" i="23" s="1"/>
  <c r="X89" i="23"/>
  <c r="W89" i="23"/>
  <c r="V89" i="23"/>
  <c r="AB89" i="23" s="1"/>
  <c r="X88" i="23"/>
  <c r="W88" i="23"/>
  <c r="V88" i="23"/>
  <c r="AB88" i="23" s="1"/>
  <c r="X87" i="23"/>
  <c r="W87" i="23"/>
  <c r="V87" i="23"/>
  <c r="AB87" i="23" s="1"/>
  <c r="X86" i="23"/>
  <c r="W86" i="23"/>
  <c r="V86" i="23"/>
  <c r="AB86" i="23" s="1"/>
  <c r="X85" i="23"/>
  <c r="W85" i="23"/>
  <c r="V85" i="23"/>
  <c r="AB85" i="23" s="1"/>
  <c r="X84" i="23"/>
  <c r="W84" i="23"/>
  <c r="V84" i="23"/>
  <c r="AB84" i="23" s="1"/>
  <c r="X83" i="23"/>
  <c r="W83" i="23"/>
  <c r="V83" i="23"/>
  <c r="AB83" i="23" s="1"/>
  <c r="X82" i="23"/>
  <c r="W82" i="23"/>
  <c r="V82" i="23"/>
  <c r="AB82" i="23" s="1"/>
  <c r="X81" i="23"/>
  <c r="W81" i="23"/>
  <c r="V81" i="23"/>
  <c r="AB81" i="23" s="1"/>
  <c r="X80" i="23"/>
  <c r="W80" i="23"/>
  <c r="V80" i="23"/>
  <c r="AB80" i="23" s="1"/>
  <c r="X79" i="23"/>
  <c r="W79" i="23"/>
  <c r="V79" i="23"/>
  <c r="AB79" i="23" s="1"/>
  <c r="X78" i="23"/>
  <c r="W78" i="23"/>
  <c r="V78" i="23"/>
  <c r="AB78" i="23" s="1"/>
  <c r="X77" i="23"/>
  <c r="W77" i="23"/>
  <c r="V77" i="23"/>
  <c r="AB77" i="23" s="1"/>
  <c r="X76" i="23"/>
  <c r="W76" i="23"/>
  <c r="V76" i="23"/>
  <c r="AB76" i="23" s="1"/>
  <c r="X75" i="23"/>
  <c r="W75" i="23"/>
  <c r="V75" i="23"/>
  <c r="AB75" i="23" s="1"/>
  <c r="X74" i="23"/>
  <c r="W74" i="23"/>
  <c r="V74" i="23"/>
  <c r="AB74" i="23" s="1"/>
  <c r="X73" i="23"/>
  <c r="AC73" i="23" s="1"/>
  <c r="X72" i="23"/>
  <c r="X71" i="23"/>
  <c r="AC71" i="23" s="1"/>
  <c r="X70" i="23"/>
  <c r="X69" i="23"/>
  <c r="AC69" i="23" s="1"/>
  <c r="X68" i="23"/>
  <c r="X67" i="23"/>
  <c r="AC67" i="23" s="1"/>
  <c r="X66" i="23"/>
  <c r="X65" i="23"/>
  <c r="AC65" i="23" s="1"/>
  <c r="X64" i="23"/>
  <c r="X63" i="23"/>
  <c r="X62" i="23"/>
  <c r="X61" i="23"/>
  <c r="V61" i="23"/>
  <c r="AB61" i="23" s="1"/>
  <c r="X60" i="23"/>
  <c r="V60" i="23"/>
  <c r="AB60" i="23" s="1"/>
  <c r="X59" i="23"/>
  <c r="V59" i="23"/>
  <c r="AB59" i="23" s="1"/>
  <c r="X58" i="23"/>
  <c r="V58" i="23"/>
  <c r="AB58" i="23" s="1"/>
  <c r="X57" i="23"/>
  <c r="AC57" i="23" s="1"/>
  <c r="V57" i="23"/>
  <c r="AB57" i="23" s="1"/>
  <c r="X56" i="23"/>
  <c r="AC56" i="23" s="1"/>
  <c r="V56" i="23"/>
  <c r="AB56" i="23" s="1"/>
  <c r="X55" i="23"/>
  <c r="V55" i="23"/>
  <c r="AB55" i="23" s="1"/>
  <c r="X54" i="23"/>
  <c r="V54" i="23"/>
  <c r="AB54" i="23" s="1"/>
  <c r="X53" i="23"/>
  <c r="V53" i="23"/>
  <c r="AB53" i="23" s="1"/>
  <c r="X52" i="23"/>
  <c r="V52" i="23"/>
  <c r="AB52" i="23" s="1"/>
  <c r="X51" i="23"/>
  <c r="V51" i="23"/>
  <c r="AB51" i="23" s="1"/>
  <c r="X50" i="23"/>
  <c r="V50" i="23"/>
  <c r="AB50" i="23" s="1"/>
  <c r="X49" i="23"/>
  <c r="X48" i="23"/>
  <c r="X47" i="23"/>
  <c r="X46" i="23"/>
  <c r="X45" i="23"/>
  <c r="X44" i="23"/>
  <c r="X43" i="23"/>
  <c r="X42" i="23"/>
  <c r="X41" i="23"/>
  <c r="X40" i="23"/>
  <c r="AC40" i="23" s="1"/>
  <c r="X39" i="23"/>
  <c r="X38" i="23"/>
  <c r="X37" i="23"/>
  <c r="W37" i="23"/>
  <c r="AC37" i="23" s="1"/>
  <c r="V37" i="23"/>
  <c r="AB37" i="23" s="1"/>
  <c r="X36" i="23"/>
  <c r="W36" i="23"/>
  <c r="V36" i="23"/>
  <c r="AB36" i="23" s="1"/>
  <c r="X35" i="23"/>
  <c r="W35" i="23"/>
  <c r="V35" i="23"/>
  <c r="AB35" i="23" s="1"/>
  <c r="X34" i="23"/>
  <c r="W34" i="23"/>
  <c r="V34" i="23"/>
  <c r="AB34" i="23" s="1"/>
  <c r="X33" i="23"/>
  <c r="W33" i="23"/>
  <c r="AC33" i="23" s="1"/>
  <c r="V33" i="23"/>
  <c r="AB33" i="23" s="1"/>
  <c r="X32" i="23"/>
  <c r="W32" i="23"/>
  <c r="V32" i="23"/>
  <c r="AB32" i="23" s="1"/>
  <c r="X31" i="23"/>
  <c r="W31" i="23"/>
  <c r="V31" i="23"/>
  <c r="AB31" i="23" s="1"/>
  <c r="X30" i="23"/>
  <c r="W30" i="23"/>
  <c r="V30" i="23"/>
  <c r="AB30" i="23" s="1"/>
  <c r="X29" i="23"/>
  <c r="W29" i="23"/>
  <c r="AC29" i="23" s="1"/>
  <c r="V29" i="23"/>
  <c r="AB29" i="23" s="1"/>
  <c r="X28" i="23"/>
  <c r="W28" i="23"/>
  <c r="V28" i="23"/>
  <c r="AB28" i="23" s="1"/>
  <c r="X27" i="23"/>
  <c r="W27" i="23"/>
  <c r="V27" i="23"/>
  <c r="AB27" i="23" s="1"/>
  <c r="X26" i="23"/>
  <c r="W26" i="23"/>
  <c r="V26" i="23"/>
  <c r="AB26" i="23" s="1"/>
  <c r="X25" i="23"/>
  <c r="W25" i="23"/>
  <c r="V25" i="23"/>
  <c r="AB25" i="23" s="1"/>
  <c r="X24" i="23"/>
  <c r="W24" i="23"/>
  <c r="V24" i="23"/>
  <c r="AB24" i="23" s="1"/>
  <c r="X23" i="23"/>
  <c r="W23" i="23"/>
  <c r="V23" i="23"/>
  <c r="AB23" i="23" s="1"/>
  <c r="X22" i="23"/>
  <c r="W22" i="23"/>
  <c r="V22" i="23"/>
  <c r="AB22" i="23" s="1"/>
  <c r="X21" i="23"/>
  <c r="W21" i="23"/>
  <c r="V21" i="23"/>
  <c r="AB21" i="23" s="1"/>
  <c r="X20" i="23"/>
  <c r="W20" i="23"/>
  <c r="V20" i="23"/>
  <c r="AB20" i="23" s="1"/>
  <c r="X19" i="23"/>
  <c r="W19" i="23"/>
  <c r="V19" i="23"/>
  <c r="AB19" i="23" s="1"/>
  <c r="X18" i="23"/>
  <c r="W18" i="23"/>
  <c r="V18" i="23"/>
  <c r="AB18" i="23" s="1"/>
  <c r="X17" i="23"/>
  <c r="W17" i="23"/>
  <c r="V17" i="23"/>
  <c r="AB17" i="23" s="1"/>
  <c r="X16" i="23"/>
  <c r="W16" i="23"/>
  <c r="V16" i="23"/>
  <c r="AB16" i="23" s="1"/>
  <c r="X15" i="23"/>
  <c r="W15" i="23"/>
  <c r="V15" i="23"/>
  <c r="AB15" i="23" s="1"/>
  <c r="X14" i="23"/>
  <c r="W14" i="23"/>
  <c r="V14" i="23"/>
  <c r="AB14" i="23" s="1"/>
  <c r="X13" i="23"/>
  <c r="W13" i="23"/>
  <c r="AC13" i="23" s="1"/>
  <c r="V13" i="23"/>
  <c r="AB13" i="23" s="1"/>
  <c r="X12" i="23"/>
  <c r="W12" i="23"/>
  <c r="V12" i="23"/>
  <c r="AB12" i="23" s="1"/>
  <c r="X11" i="23"/>
  <c r="W11" i="23"/>
  <c r="V11" i="23"/>
  <c r="AB11" i="23" s="1"/>
  <c r="X10" i="23"/>
  <c r="W10" i="23"/>
  <c r="V10" i="23"/>
  <c r="AB10" i="23" s="1"/>
  <c r="X9" i="23"/>
  <c r="W9" i="23"/>
  <c r="AC9" i="23" s="1"/>
  <c r="V9" i="23"/>
  <c r="AB9" i="23" s="1"/>
  <c r="X8" i="23"/>
  <c r="W8" i="23"/>
  <c r="V8" i="23"/>
  <c r="AB8" i="23" s="1"/>
  <c r="X7" i="23"/>
  <c r="W7" i="23"/>
  <c r="V7" i="23"/>
  <c r="AB7" i="23" s="1"/>
  <c r="X6" i="23"/>
  <c r="W6" i="23"/>
  <c r="V6" i="23"/>
  <c r="AB6" i="23" s="1"/>
  <c r="X5" i="23"/>
  <c r="W5" i="23"/>
  <c r="AC5" i="23" s="1"/>
  <c r="V5" i="23"/>
  <c r="AB5" i="23" s="1"/>
  <c r="X4" i="23"/>
  <c r="W4" i="23"/>
  <c r="V4" i="23"/>
  <c r="AB4" i="23" s="1"/>
  <c r="X3" i="23"/>
  <c r="W3" i="23"/>
  <c r="V3" i="23"/>
  <c r="AB3" i="23" s="1"/>
  <c r="X2" i="23"/>
  <c r="W2" i="23"/>
  <c r="V2" i="23"/>
  <c r="AB2" i="23" s="1"/>
  <c r="AE2578" i="22"/>
  <c r="AE2577" i="22"/>
  <c r="AE2576" i="22"/>
  <c r="AE2575" i="22"/>
  <c r="AE2574" i="22"/>
  <c r="AE2573" i="22"/>
  <c r="AE2572" i="22"/>
  <c r="AE2571" i="22"/>
  <c r="AE2570" i="22"/>
  <c r="AE2569" i="22"/>
  <c r="AE2568" i="22"/>
  <c r="AE2567" i="22"/>
  <c r="AE2566" i="22"/>
  <c r="AE2565" i="22"/>
  <c r="AE2564" i="22"/>
  <c r="AE2563" i="22"/>
  <c r="AE2562" i="22"/>
  <c r="AE2561" i="22"/>
  <c r="AE2560" i="22"/>
  <c r="AE2559" i="22"/>
  <c r="AE2558" i="22"/>
  <c r="AE2557" i="22"/>
  <c r="AE2556" i="22"/>
  <c r="AE2555" i="22"/>
  <c r="AE2554" i="22"/>
  <c r="AE2553" i="22"/>
  <c r="AE2552" i="22"/>
  <c r="AE2551" i="22"/>
  <c r="AE2550" i="22"/>
  <c r="AE2549" i="22"/>
  <c r="AA12" i="26" s="1"/>
  <c r="AE2548" i="22"/>
  <c r="AD2548" i="22"/>
  <c r="AC2548" i="22"/>
  <c r="AE2547" i="22"/>
  <c r="AD2547" i="22"/>
  <c r="AC2547" i="22"/>
  <c r="AE2546" i="22"/>
  <c r="AD2546" i="22"/>
  <c r="AC2546" i="22"/>
  <c r="AE2545" i="22"/>
  <c r="AD2545" i="22"/>
  <c r="AC2545" i="22"/>
  <c r="AE2544" i="22"/>
  <c r="AD2544" i="22"/>
  <c r="AC2544" i="22"/>
  <c r="AE2543" i="22"/>
  <c r="AD2543" i="22"/>
  <c r="AC2543" i="22"/>
  <c r="AE2542" i="22"/>
  <c r="AD2542" i="22"/>
  <c r="AC2542" i="22"/>
  <c r="AE2541" i="22"/>
  <c r="AD2541" i="22"/>
  <c r="AC2541" i="22"/>
  <c r="AE2540" i="22"/>
  <c r="AD2540" i="22"/>
  <c r="AC2540" i="22"/>
  <c r="AE2539" i="22"/>
  <c r="AD2539" i="22"/>
  <c r="AC2539" i="22"/>
  <c r="AE2538" i="22"/>
  <c r="AD2538" i="22"/>
  <c r="AC2538" i="22"/>
  <c r="AE2537" i="22"/>
  <c r="AD2537" i="22"/>
  <c r="AC2537" i="22"/>
  <c r="AE2536" i="22"/>
  <c r="AD2536" i="22"/>
  <c r="AC2536" i="22"/>
  <c r="AE2535" i="22"/>
  <c r="AD2535" i="22"/>
  <c r="AC2535" i="22"/>
  <c r="AE2534" i="22"/>
  <c r="AD2534" i="22"/>
  <c r="AC2534" i="22"/>
  <c r="AE2533" i="22"/>
  <c r="AD2533" i="22"/>
  <c r="AC2533" i="22"/>
  <c r="AE2532" i="22"/>
  <c r="AD2532" i="22"/>
  <c r="AC2532" i="22"/>
  <c r="AE2531" i="22"/>
  <c r="AD2531" i="22"/>
  <c r="AC2531" i="22"/>
  <c r="AE2530" i="22"/>
  <c r="AD2530" i="22"/>
  <c r="AC2530" i="22"/>
  <c r="AE2529" i="22"/>
  <c r="AD2529" i="22"/>
  <c r="AC2529" i="22"/>
  <c r="AE2528" i="22"/>
  <c r="AD2528" i="22"/>
  <c r="AC2528" i="22"/>
  <c r="AE2527" i="22"/>
  <c r="AD2527" i="22"/>
  <c r="AC2527" i="22"/>
  <c r="AE2526" i="22"/>
  <c r="AD2526" i="22"/>
  <c r="AC2526" i="22"/>
  <c r="AE2525" i="22"/>
  <c r="AD2525" i="22"/>
  <c r="AC2525" i="22"/>
  <c r="AE2524" i="22"/>
  <c r="AD2524" i="22"/>
  <c r="AC2524" i="22"/>
  <c r="AE2523" i="22"/>
  <c r="AD2523" i="22"/>
  <c r="AC2523" i="22"/>
  <c r="AE2522" i="22"/>
  <c r="AD2522" i="22"/>
  <c r="AC2522" i="22"/>
  <c r="AE2521" i="22"/>
  <c r="AD2521" i="22"/>
  <c r="AC2521" i="22"/>
  <c r="AE2520" i="22"/>
  <c r="AD2520" i="22"/>
  <c r="AC2520" i="22"/>
  <c r="AE2519" i="22"/>
  <c r="AD2519" i="22"/>
  <c r="AC2519" i="22"/>
  <c r="AE2518" i="22"/>
  <c r="AD2518" i="22"/>
  <c r="AC2518" i="22"/>
  <c r="AE2517" i="22"/>
  <c r="AD2517" i="22"/>
  <c r="AC2517" i="22"/>
  <c r="AE2516" i="22"/>
  <c r="AD2516" i="22"/>
  <c r="AC2516" i="22"/>
  <c r="AE2515" i="22"/>
  <c r="AD2515" i="22"/>
  <c r="AC2515" i="22"/>
  <c r="AE2514" i="22"/>
  <c r="AD2514" i="22"/>
  <c r="AC2514" i="22"/>
  <c r="AE2513" i="22"/>
  <c r="AD2513" i="22"/>
  <c r="AC2513" i="22"/>
  <c r="AE2512" i="22"/>
  <c r="AD2512" i="22"/>
  <c r="AC2512" i="22"/>
  <c r="AE2511" i="22"/>
  <c r="AD2511" i="22"/>
  <c r="AC2511" i="22"/>
  <c r="AE2510" i="22"/>
  <c r="AD2510" i="22"/>
  <c r="AC2510" i="22"/>
  <c r="AE2509" i="22"/>
  <c r="AD2509" i="22"/>
  <c r="AC2509" i="22"/>
  <c r="AE2508" i="22"/>
  <c r="AD2508" i="22"/>
  <c r="AC2508" i="22"/>
  <c r="AE2507" i="22"/>
  <c r="AD2507" i="22"/>
  <c r="AC2507" i="22"/>
  <c r="AE2506" i="22"/>
  <c r="AD2506" i="22"/>
  <c r="AC2506" i="22"/>
  <c r="AE2505" i="22"/>
  <c r="AE2504" i="22"/>
  <c r="AE2503" i="22"/>
  <c r="AE2502" i="22"/>
  <c r="AE2501" i="22"/>
  <c r="AE2500" i="22"/>
  <c r="AE2499" i="22"/>
  <c r="AE2498" i="22"/>
  <c r="AE2497" i="22"/>
  <c r="AE2496" i="22"/>
  <c r="AE2495" i="22"/>
  <c r="AE2494" i="22"/>
  <c r="AE2493" i="22"/>
  <c r="AE2492" i="22"/>
  <c r="AE2491" i="22"/>
  <c r="AE2490" i="22"/>
  <c r="AE2489" i="22"/>
  <c r="AE2488" i="22"/>
  <c r="AE2487" i="22"/>
  <c r="AE2486" i="22"/>
  <c r="AE2485" i="22"/>
  <c r="AE2484" i="22"/>
  <c r="AE2483" i="22"/>
  <c r="AE2482" i="22"/>
  <c r="AE2481" i="22"/>
  <c r="AE2480" i="22"/>
  <c r="AE2479" i="22"/>
  <c r="AE2478" i="22"/>
  <c r="AE2477" i="22"/>
  <c r="AE2476" i="22"/>
  <c r="AE2475" i="22"/>
  <c r="AE2474" i="22"/>
  <c r="AE2473" i="22"/>
  <c r="AE2472" i="22"/>
  <c r="AE2471" i="22"/>
  <c r="AE2470" i="22"/>
  <c r="AE2469" i="22"/>
  <c r="AE2468" i="22"/>
  <c r="AE2467" i="22"/>
  <c r="AE2466" i="22"/>
  <c r="AE2465" i="22"/>
  <c r="AE2464" i="22"/>
  <c r="AE2463" i="22"/>
  <c r="AE2462" i="22"/>
  <c r="AE2461" i="22"/>
  <c r="AE2460" i="22"/>
  <c r="AE2459" i="22"/>
  <c r="AE2458" i="22"/>
  <c r="AE2457" i="22"/>
  <c r="AE2456" i="22"/>
  <c r="AE2455" i="22"/>
  <c r="AE2454" i="22"/>
  <c r="AE2453" i="22"/>
  <c r="AE2452" i="22"/>
  <c r="AE2451" i="22"/>
  <c r="AE2450" i="22"/>
  <c r="AE2449" i="22"/>
  <c r="AE2448" i="22"/>
  <c r="AE2447" i="22"/>
  <c r="AE2446" i="22"/>
  <c r="AE2445" i="22"/>
  <c r="AE2444" i="22"/>
  <c r="AE2443" i="22"/>
  <c r="AE2442" i="22"/>
  <c r="AE2441" i="22"/>
  <c r="AE2440" i="22"/>
  <c r="AE2439" i="22"/>
  <c r="AE2438" i="22"/>
  <c r="AE2437" i="22"/>
  <c r="AE2436" i="22"/>
  <c r="AE2435" i="22"/>
  <c r="AE2434" i="22"/>
  <c r="AE2433" i="22"/>
  <c r="AE2432" i="22"/>
  <c r="AE2431" i="22"/>
  <c r="AE2430" i="22"/>
  <c r="AE2429" i="22"/>
  <c r="AE2428" i="22"/>
  <c r="AE2427" i="22"/>
  <c r="AE2426" i="22"/>
  <c r="AE2425" i="22"/>
  <c r="AE2424" i="22"/>
  <c r="AE2423" i="22"/>
  <c r="AE2422" i="22"/>
  <c r="AE2421" i="22"/>
  <c r="AE2420" i="22"/>
  <c r="AE2419" i="22"/>
  <c r="AE2418" i="22"/>
  <c r="AE2417" i="22"/>
  <c r="AE2416" i="22"/>
  <c r="AE2415" i="22"/>
  <c r="AE2414" i="22"/>
  <c r="AE2413" i="22"/>
  <c r="AE2412" i="22"/>
  <c r="AE2411" i="22"/>
  <c r="AE2410" i="22"/>
  <c r="AE2409" i="22"/>
  <c r="AE2408" i="22"/>
  <c r="AE2407" i="22"/>
  <c r="AE2406" i="22"/>
  <c r="AE2405" i="22"/>
  <c r="AE2404" i="22"/>
  <c r="AE2403" i="22"/>
  <c r="AE2402" i="22"/>
  <c r="AE2401" i="22"/>
  <c r="AE2400" i="22"/>
  <c r="AE2399" i="22"/>
  <c r="AE2398" i="22"/>
  <c r="AE2397" i="22"/>
  <c r="AE2396" i="22"/>
  <c r="AE2395" i="22"/>
  <c r="AE2394" i="22"/>
  <c r="AE2393" i="22"/>
  <c r="AE2392" i="22"/>
  <c r="AE2391" i="22"/>
  <c r="AE2390" i="22"/>
  <c r="AE2389" i="22"/>
  <c r="AE2388" i="22"/>
  <c r="AE2387" i="22"/>
  <c r="AE2386" i="22"/>
  <c r="AE2385" i="22"/>
  <c r="AE2384" i="22"/>
  <c r="AE2383" i="22"/>
  <c r="AE2382" i="22"/>
  <c r="AE2381" i="22"/>
  <c r="AE2380" i="22"/>
  <c r="AE2379" i="22"/>
  <c r="AE2378" i="22"/>
  <c r="AE2377" i="22"/>
  <c r="AE2376" i="22"/>
  <c r="AE2375" i="22"/>
  <c r="AE2374" i="22"/>
  <c r="AE2373" i="22"/>
  <c r="AE2372" i="22"/>
  <c r="AE2371" i="22"/>
  <c r="AE2370" i="22"/>
  <c r="AE2369" i="22"/>
  <c r="AE2368" i="22"/>
  <c r="AE2367" i="22"/>
  <c r="AE2366" i="22"/>
  <c r="AE2365" i="22"/>
  <c r="AE2364" i="22"/>
  <c r="AE2363" i="22"/>
  <c r="AE2362" i="22"/>
  <c r="AE2361" i="22"/>
  <c r="AE2360" i="22"/>
  <c r="AE2359" i="22"/>
  <c r="AE2358" i="22"/>
  <c r="AE2357" i="22"/>
  <c r="AE2356" i="22"/>
  <c r="AE2355" i="22"/>
  <c r="AE2354" i="22"/>
  <c r="AE2353" i="22"/>
  <c r="AE2352" i="22"/>
  <c r="AE2351" i="22"/>
  <c r="AE2350" i="22"/>
  <c r="AE2349" i="22"/>
  <c r="AE2348" i="22"/>
  <c r="AE2347" i="22"/>
  <c r="AE2346" i="22"/>
  <c r="AE2345" i="22"/>
  <c r="AE2344" i="22"/>
  <c r="AE2343" i="22"/>
  <c r="AE2342" i="22"/>
  <c r="AE2341" i="22"/>
  <c r="AE2340" i="22"/>
  <c r="AE2339" i="22"/>
  <c r="AE2338" i="22"/>
  <c r="AE2337" i="22"/>
  <c r="AE2336" i="22"/>
  <c r="AE2335" i="22"/>
  <c r="AE2334" i="22"/>
  <c r="AE2333" i="22"/>
  <c r="AE2332" i="22"/>
  <c r="AE2331" i="22"/>
  <c r="AE2330" i="22"/>
  <c r="AE2329" i="22"/>
  <c r="AE2328" i="22"/>
  <c r="AE2327" i="22"/>
  <c r="AE2326" i="22"/>
  <c r="AE2325" i="22"/>
  <c r="AE2324" i="22"/>
  <c r="AE2323" i="22"/>
  <c r="AE2322" i="22"/>
  <c r="AE2321" i="22"/>
  <c r="AE2320" i="22"/>
  <c r="AE2319" i="22"/>
  <c r="AE2318" i="22"/>
  <c r="AE2317" i="22"/>
  <c r="AE2316" i="22"/>
  <c r="AE2315" i="22"/>
  <c r="AE2314" i="22"/>
  <c r="AE2313" i="22"/>
  <c r="AE2312" i="22"/>
  <c r="AE2311" i="22"/>
  <c r="AE2310" i="22"/>
  <c r="AE2309" i="22"/>
  <c r="AE2308" i="22"/>
  <c r="AE2307" i="22"/>
  <c r="AE2306" i="22"/>
  <c r="AE2305" i="22"/>
  <c r="AE2304" i="22"/>
  <c r="AE2303" i="22"/>
  <c r="AE2302" i="22"/>
  <c r="AE2301" i="22"/>
  <c r="AE2300" i="22"/>
  <c r="AE2299" i="22"/>
  <c r="AE2298" i="22"/>
  <c r="AE2297" i="22"/>
  <c r="AE2296" i="22"/>
  <c r="AE2295" i="22"/>
  <c r="AE2294" i="22"/>
  <c r="AE2293" i="22"/>
  <c r="AE2292" i="22"/>
  <c r="AE2291" i="22"/>
  <c r="AE2290" i="22"/>
  <c r="AE2289" i="22"/>
  <c r="AE2288" i="22"/>
  <c r="AE2287" i="22"/>
  <c r="AE2286" i="22"/>
  <c r="AE2285" i="22"/>
  <c r="AE2284" i="22"/>
  <c r="AE2283" i="22"/>
  <c r="AE2282" i="22"/>
  <c r="AE2281" i="22"/>
  <c r="AE2280" i="22"/>
  <c r="AE2279" i="22"/>
  <c r="AE2278" i="22"/>
  <c r="AE2277" i="22"/>
  <c r="AE2276" i="22"/>
  <c r="AE2275" i="22"/>
  <c r="AE2274" i="22"/>
  <c r="AE2273" i="22"/>
  <c r="AE2272" i="22"/>
  <c r="AE2271" i="22"/>
  <c r="AE2270" i="22"/>
  <c r="AE2269" i="22"/>
  <c r="AE2268" i="22"/>
  <c r="AE2267" i="22"/>
  <c r="AE2266" i="22"/>
  <c r="AE2265" i="22"/>
  <c r="AE2264" i="22"/>
  <c r="AE2263" i="22"/>
  <c r="AE2262" i="22"/>
  <c r="AE2261" i="22"/>
  <c r="AE2260" i="22"/>
  <c r="AE2259" i="22"/>
  <c r="AE2258" i="22"/>
  <c r="AE2257" i="22"/>
  <c r="AE2256" i="22"/>
  <c r="AE2255" i="22"/>
  <c r="AE2254" i="22"/>
  <c r="AE2253" i="22"/>
  <c r="AE2252" i="22"/>
  <c r="AE2251" i="22"/>
  <c r="AE2250" i="22"/>
  <c r="AE2249" i="22"/>
  <c r="AE2248" i="22"/>
  <c r="AE2247" i="22"/>
  <c r="AE2246" i="22"/>
  <c r="AE2245" i="22"/>
  <c r="AE2244" i="22"/>
  <c r="AE2243" i="22"/>
  <c r="AE2242" i="22"/>
  <c r="AE2241" i="22"/>
  <c r="AE2240" i="22"/>
  <c r="AE2239" i="22"/>
  <c r="AE2238" i="22"/>
  <c r="AE2237" i="22"/>
  <c r="AE2236" i="22"/>
  <c r="AE2235" i="22"/>
  <c r="AE2234" i="22"/>
  <c r="AE2233" i="22"/>
  <c r="AE2232" i="22"/>
  <c r="AE2231" i="22"/>
  <c r="AE2230" i="22"/>
  <c r="AE2229" i="22"/>
  <c r="AE2228" i="22"/>
  <c r="AE2227" i="22"/>
  <c r="AE2226" i="22"/>
  <c r="AE2225" i="22"/>
  <c r="AE2224" i="22"/>
  <c r="AE2223" i="22"/>
  <c r="AE2222" i="22"/>
  <c r="AE2221" i="22"/>
  <c r="AE2220" i="22"/>
  <c r="AE2219" i="22"/>
  <c r="AE2218" i="22"/>
  <c r="AE2217" i="22"/>
  <c r="AE2216" i="22"/>
  <c r="AE2215" i="22"/>
  <c r="AE2214" i="22"/>
  <c r="AE2213" i="22"/>
  <c r="AE2212" i="22"/>
  <c r="AE2211" i="22"/>
  <c r="AE2210" i="22"/>
  <c r="AE2209" i="22"/>
  <c r="AE2208" i="22"/>
  <c r="AE2207" i="22"/>
  <c r="AE2206" i="22"/>
  <c r="AE2205" i="22"/>
  <c r="AE2204" i="22"/>
  <c r="AE2203" i="22"/>
  <c r="AE2202" i="22"/>
  <c r="AE2201" i="22"/>
  <c r="AE2200" i="22"/>
  <c r="AE2199" i="22"/>
  <c r="AE2198" i="22"/>
  <c r="AE2197" i="22"/>
  <c r="AE2196" i="22"/>
  <c r="AE2195" i="22"/>
  <c r="AE2194" i="22"/>
  <c r="AE2193" i="22"/>
  <c r="AE2192" i="22"/>
  <c r="AE2191" i="22"/>
  <c r="AE2190" i="22"/>
  <c r="AE2189" i="22"/>
  <c r="AE2188" i="22"/>
  <c r="AE2187" i="22"/>
  <c r="AE2186" i="22"/>
  <c r="AE2185" i="22"/>
  <c r="AE2184" i="22"/>
  <c r="AE2183" i="22"/>
  <c r="AE2182" i="22"/>
  <c r="AE2181" i="22"/>
  <c r="AE2180" i="22"/>
  <c r="AE2179" i="22"/>
  <c r="AE2178" i="22"/>
  <c r="AE2177" i="22"/>
  <c r="AE2176" i="22"/>
  <c r="AE2175" i="22"/>
  <c r="AE2174" i="22"/>
  <c r="AE2173" i="22"/>
  <c r="AE2172" i="22"/>
  <c r="AE2171" i="22"/>
  <c r="AE2170" i="22"/>
  <c r="AE2169" i="22"/>
  <c r="AE2168" i="22"/>
  <c r="AE2167" i="22"/>
  <c r="AE2166" i="22"/>
  <c r="AE2165" i="22"/>
  <c r="AE2164" i="22"/>
  <c r="AE2163" i="22"/>
  <c r="AE2162" i="22"/>
  <c r="AE2161" i="22"/>
  <c r="AE2160" i="22"/>
  <c r="AE2159" i="22"/>
  <c r="AE2158" i="22"/>
  <c r="AE2157" i="22"/>
  <c r="AE2156" i="22"/>
  <c r="AE2155" i="22"/>
  <c r="AE2154" i="22"/>
  <c r="AE2153" i="22"/>
  <c r="AE2152" i="22"/>
  <c r="AE2151" i="22"/>
  <c r="AE2150" i="22"/>
  <c r="AE2149" i="22"/>
  <c r="AE2148" i="22"/>
  <c r="AE2147" i="22"/>
  <c r="AE2146" i="22"/>
  <c r="AE2145" i="22"/>
  <c r="AE2144" i="22"/>
  <c r="AE2143" i="22"/>
  <c r="AE2142" i="22"/>
  <c r="AE2141" i="22"/>
  <c r="AE2140" i="22"/>
  <c r="AE2139" i="22"/>
  <c r="AE2138" i="22"/>
  <c r="AE2137" i="22"/>
  <c r="AE2136" i="22"/>
  <c r="AE2135" i="22"/>
  <c r="AE2134" i="22"/>
  <c r="AE2133" i="22"/>
  <c r="AE2132" i="22"/>
  <c r="AE2131" i="22"/>
  <c r="AE2130" i="22"/>
  <c r="AE2129" i="22"/>
  <c r="AE2128" i="22"/>
  <c r="AE2127" i="22"/>
  <c r="AE2126" i="22"/>
  <c r="AE2125" i="22"/>
  <c r="AE2124" i="22"/>
  <c r="AE2123" i="22"/>
  <c r="AE2122" i="22"/>
  <c r="AE2121" i="22"/>
  <c r="AE2120" i="22"/>
  <c r="AE2119" i="22"/>
  <c r="AE2118" i="22"/>
  <c r="AE2117" i="22"/>
  <c r="AE2116" i="22"/>
  <c r="AE2115" i="22"/>
  <c r="AE2114" i="22"/>
  <c r="AE2113" i="22"/>
  <c r="AE2112" i="22"/>
  <c r="AE2111" i="22"/>
  <c r="AE2110" i="22"/>
  <c r="AE2109" i="22"/>
  <c r="AE2108" i="22"/>
  <c r="AE2107" i="22"/>
  <c r="AE2106" i="22"/>
  <c r="AE2105" i="22"/>
  <c r="AE2104" i="22"/>
  <c r="AE2103" i="22"/>
  <c r="AE2102" i="22"/>
  <c r="AE2101" i="22"/>
  <c r="AE2100" i="22"/>
  <c r="AE2099" i="22"/>
  <c r="AE2098" i="22"/>
  <c r="AE2097" i="22"/>
  <c r="AE2096" i="22"/>
  <c r="AE2095" i="22"/>
  <c r="AE2094" i="22"/>
  <c r="AE2093" i="22"/>
  <c r="AE2092" i="22"/>
  <c r="AE2091" i="22"/>
  <c r="AE2090" i="22"/>
  <c r="AE2089" i="22"/>
  <c r="AE2088" i="22"/>
  <c r="AE2087" i="22"/>
  <c r="AE2086" i="22"/>
  <c r="AE2085" i="22"/>
  <c r="AE2084" i="22"/>
  <c r="AE2083" i="22"/>
  <c r="AE2082" i="22"/>
  <c r="AE2081" i="22"/>
  <c r="AE2080" i="22"/>
  <c r="AE2079" i="22"/>
  <c r="AE2078" i="22"/>
  <c r="AE2077" i="22"/>
  <c r="AE2076" i="22"/>
  <c r="AE2075" i="22"/>
  <c r="AE2074" i="22"/>
  <c r="AE2073" i="22"/>
  <c r="AE2072" i="22"/>
  <c r="AE2071" i="22"/>
  <c r="AE2070" i="22"/>
  <c r="AE2069" i="22"/>
  <c r="AE2068" i="22"/>
  <c r="AE2067" i="22"/>
  <c r="AE2066" i="22"/>
  <c r="AE2065" i="22"/>
  <c r="AE2064" i="22"/>
  <c r="AE2063" i="22"/>
  <c r="AE2062" i="22"/>
  <c r="AE2061" i="22"/>
  <c r="AE2060" i="22"/>
  <c r="AE2059" i="22"/>
  <c r="AE2058" i="22"/>
  <c r="AE2057" i="22"/>
  <c r="AE2056" i="22"/>
  <c r="AE2055" i="22"/>
  <c r="AE2054" i="22"/>
  <c r="AE2053" i="22"/>
  <c r="AE2052" i="22"/>
  <c r="AE2051" i="22"/>
  <c r="AE2050" i="22"/>
  <c r="AE2049" i="22"/>
  <c r="AE2048" i="22"/>
  <c r="AE2047" i="22"/>
  <c r="AE2046" i="22"/>
  <c r="AE2045" i="22"/>
  <c r="AE2044" i="22"/>
  <c r="AE2043" i="22"/>
  <c r="AE2042" i="22"/>
  <c r="AE2041" i="22"/>
  <c r="AE2040" i="22"/>
  <c r="AE2039" i="22"/>
  <c r="AE2038" i="22"/>
  <c r="AE2037" i="22"/>
  <c r="AE2036" i="22"/>
  <c r="AE2035" i="22"/>
  <c r="AE2034" i="22"/>
  <c r="AE2033" i="22"/>
  <c r="AE2032" i="22"/>
  <c r="AE2031" i="22"/>
  <c r="AE2030" i="22"/>
  <c r="AE2029" i="22"/>
  <c r="AE2028" i="22"/>
  <c r="AE2027" i="22"/>
  <c r="AE2026" i="22"/>
  <c r="AE2025" i="22"/>
  <c r="AE2024" i="22"/>
  <c r="AE2023" i="22"/>
  <c r="AE2022" i="22"/>
  <c r="AE2021" i="22"/>
  <c r="AE2020" i="22"/>
  <c r="AE2019" i="22"/>
  <c r="AE2018" i="22"/>
  <c r="AE2017" i="22"/>
  <c r="AE2016" i="22"/>
  <c r="AE2015" i="22"/>
  <c r="AE2014" i="22"/>
  <c r="AE2013" i="22"/>
  <c r="AE2012" i="22"/>
  <c r="AE2011" i="22"/>
  <c r="AE2010" i="22"/>
  <c r="AE2009" i="22"/>
  <c r="AE2008" i="22"/>
  <c r="AE2007" i="22"/>
  <c r="AE2006" i="22"/>
  <c r="AE2005" i="22"/>
  <c r="AE2004" i="22"/>
  <c r="AE2003" i="22"/>
  <c r="AE2002" i="22"/>
  <c r="AE2001" i="22"/>
  <c r="AE2000" i="22"/>
  <c r="AE1999" i="22"/>
  <c r="AE1998" i="22"/>
  <c r="AE1997" i="22"/>
  <c r="AE1996" i="22"/>
  <c r="AE1995" i="22"/>
  <c r="AE1994" i="22"/>
  <c r="AE1993" i="22"/>
  <c r="AE1992" i="22"/>
  <c r="AE1991" i="22"/>
  <c r="AE1990" i="22"/>
  <c r="AE1989" i="22"/>
  <c r="AE1988" i="22"/>
  <c r="AE1987" i="22"/>
  <c r="AE1986" i="22"/>
  <c r="AE1985" i="22"/>
  <c r="AE1984" i="22"/>
  <c r="AE1983" i="22"/>
  <c r="AE1982" i="22"/>
  <c r="AE1981" i="22"/>
  <c r="AE1980" i="22"/>
  <c r="AE1979" i="22"/>
  <c r="AE1978" i="22"/>
  <c r="AE1977" i="22"/>
  <c r="AE1976" i="22"/>
  <c r="AE1975" i="22"/>
  <c r="AE1974" i="22"/>
  <c r="AE1973" i="22"/>
  <c r="AE1972" i="22"/>
  <c r="AE1971" i="22"/>
  <c r="AE1970" i="22"/>
  <c r="AE1969" i="22"/>
  <c r="AE1968" i="22"/>
  <c r="AE1967" i="22"/>
  <c r="AE1966" i="22"/>
  <c r="AE1965" i="22"/>
  <c r="AE1964" i="22"/>
  <c r="AE1963" i="22"/>
  <c r="AE1962" i="22"/>
  <c r="AE1961" i="22"/>
  <c r="AE1960" i="22"/>
  <c r="AE1959" i="22"/>
  <c r="AE1958" i="22"/>
  <c r="AE1957" i="22"/>
  <c r="AE1956" i="22"/>
  <c r="AE1955" i="22"/>
  <c r="AE1954" i="22"/>
  <c r="AE1953" i="22"/>
  <c r="AE1952" i="22"/>
  <c r="AE1951" i="22"/>
  <c r="AE1950" i="22"/>
  <c r="AE1949" i="22"/>
  <c r="AE1948" i="22"/>
  <c r="AE1947" i="22"/>
  <c r="AE1946" i="22"/>
  <c r="AE1945" i="22"/>
  <c r="AE1944" i="22"/>
  <c r="AE1943" i="22"/>
  <c r="AE1942" i="22"/>
  <c r="AE1941" i="22"/>
  <c r="AE1940" i="22"/>
  <c r="AE1939" i="22"/>
  <c r="AE1938" i="22"/>
  <c r="AE1937" i="22"/>
  <c r="AE1936" i="22"/>
  <c r="AE1935" i="22"/>
  <c r="AE1934" i="22"/>
  <c r="AE1933" i="22"/>
  <c r="AE1932" i="22"/>
  <c r="AE1931" i="22"/>
  <c r="AE1930" i="22"/>
  <c r="AE1929" i="22"/>
  <c r="AE1928" i="22"/>
  <c r="AE1927" i="22"/>
  <c r="AE1926" i="22"/>
  <c r="AE1925" i="22"/>
  <c r="AE1924" i="22"/>
  <c r="AE1923" i="22"/>
  <c r="AE1922" i="22"/>
  <c r="AE1921" i="22"/>
  <c r="AE1920" i="22"/>
  <c r="AE1919" i="22"/>
  <c r="AE1918" i="22"/>
  <c r="AE1917" i="22"/>
  <c r="AE1916" i="22"/>
  <c r="AE1915" i="22"/>
  <c r="AE1914" i="22"/>
  <c r="AE1913" i="22"/>
  <c r="AE1912" i="22"/>
  <c r="AE1911" i="22"/>
  <c r="AE1910" i="22"/>
  <c r="AE1909" i="22"/>
  <c r="AE1908" i="22"/>
  <c r="AE1907" i="22"/>
  <c r="AE1906" i="22"/>
  <c r="AE1905" i="22"/>
  <c r="AE1904" i="22"/>
  <c r="AE1903" i="22"/>
  <c r="AE1902" i="22"/>
  <c r="AE1901" i="22"/>
  <c r="AE1900" i="22"/>
  <c r="AE1899" i="22"/>
  <c r="AE1898" i="22"/>
  <c r="AE1897" i="22"/>
  <c r="AE1896" i="22"/>
  <c r="AE1895" i="22"/>
  <c r="AE1894" i="22"/>
  <c r="AE1893" i="22"/>
  <c r="AE1892" i="22"/>
  <c r="AE1891" i="22"/>
  <c r="AE1890" i="22"/>
  <c r="AE1889" i="22"/>
  <c r="AE1888" i="22"/>
  <c r="AE1887" i="22"/>
  <c r="AE1886" i="22"/>
  <c r="AE1885" i="22"/>
  <c r="AE1884" i="22"/>
  <c r="AE1883" i="22"/>
  <c r="AE1882" i="22"/>
  <c r="AE1881" i="22"/>
  <c r="AE1880" i="22"/>
  <c r="AE1879" i="22"/>
  <c r="AE1878" i="22"/>
  <c r="AE1877" i="22"/>
  <c r="AE1876" i="22"/>
  <c r="AE1875" i="22"/>
  <c r="AE1874" i="22"/>
  <c r="AE1873" i="22"/>
  <c r="AE1872" i="22"/>
  <c r="AE1871" i="22"/>
  <c r="AE1870" i="22"/>
  <c r="AE1869" i="22"/>
  <c r="AE1868" i="22"/>
  <c r="AE1867" i="22"/>
  <c r="AE1866" i="22"/>
  <c r="AE1865" i="22"/>
  <c r="AE1864" i="22"/>
  <c r="AE1863" i="22"/>
  <c r="AE1862" i="22"/>
  <c r="AE1861" i="22"/>
  <c r="AE1860" i="22"/>
  <c r="AE1859" i="22"/>
  <c r="AE1858" i="22"/>
  <c r="AE1857" i="22"/>
  <c r="AE1856" i="22"/>
  <c r="AE1855" i="22"/>
  <c r="AE1854" i="22"/>
  <c r="AE1853" i="22"/>
  <c r="AE1852" i="22"/>
  <c r="AE1851" i="22"/>
  <c r="AE1850" i="22"/>
  <c r="AE1849" i="22"/>
  <c r="AE1848" i="22"/>
  <c r="AE1847" i="22"/>
  <c r="AE1846" i="22"/>
  <c r="AE1845" i="22"/>
  <c r="AE1844" i="22"/>
  <c r="AE1843" i="22"/>
  <c r="AE1842" i="22"/>
  <c r="AE1841" i="22"/>
  <c r="AE1840" i="22"/>
  <c r="AE1839" i="22"/>
  <c r="AE1838" i="22"/>
  <c r="AE1837" i="22"/>
  <c r="AE1836" i="22"/>
  <c r="AE1835" i="22"/>
  <c r="AE1834" i="22"/>
  <c r="AE1833" i="22"/>
  <c r="AE1832" i="22"/>
  <c r="AE1831" i="22"/>
  <c r="AE1830" i="22"/>
  <c r="AE1829" i="22"/>
  <c r="AE1828" i="22"/>
  <c r="AE1827" i="22"/>
  <c r="AE1826" i="22"/>
  <c r="AE1825" i="22"/>
  <c r="AE1824" i="22"/>
  <c r="AE1823" i="22"/>
  <c r="AE1822" i="22"/>
  <c r="AE1821" i="22"/>
  <c r="AE1820" i="22"/>
  <c r="AE1819" i="22"/>
  <c r="AE1818" i="22"/>
  <c r="AE1817" i="22"/>
  <c r="AE1816" i="22"/>
  <c r="AE1815" i="22"/>
  <c r="AE1814" i="22"/>
  <c r="AE1813" i="22"/>
  <c r="AE1812" i="22"/>
  <c r="AE1811" i="22"/>
  <c r="AE1810" i="22"/>
  <c r="AE1809" i="22"/>
  <c r="AE1808" i="22"/>
  <c r="AE1807" i="22"/>
  <c r="AE1806" i="22"/>
  <c r="AE1805" i="22"/>
  <c r="AE1804" i="22"/>
  <c r="AE1803" i="22"/>
  <c r="AE1802" i="22"/>
  <c r="AE1801" i="22"/>
  <c r="AE1800" i="22"/>
  <c r="AE1799" i="22"/>
  <c r="AE1798" i="22"/>
  <c r="AE1797" i="22"/>
  <c r="AE1796" i="22"/>
  <c r="AE1795" i="22"/>
  <c r="AE1794" i="22"/>
  <c r="AE1793" i="22"/>
  <c r="AE1792" i="22"/>
  <c r="AE1791" i="22"/>
  <c r="AE1790" i="22"/>
  <c r="AE1789" i="22"/>
  <c r="AE1788" i="22"/>
  <c r="AE1787" i="22"/>
  <c r="AE1786" i="22"/>
  <c r="AE1785" i="22"/>
  <c r="AE1784" i="22"/>
  <c r="AE1783" i="22"/>
  <c r="AE1782" i="22"/>
  <c r="AE1781" i="22"/>
  <c r="AE1780" i="22"/>
  <c r="AE1779" i="22"/>
  <c r="AE1778" i="22"/>
  <c r="AE1777" i="22"/>
  <c r="AE1776" i="22"/>
  <c r="AE1775" i="22"/>
  <c r="AE1774" i="22"/>
  <c r="AE1773" i="22"/>
  <c r="AE1772" i="22"/>
  <c r="AE1771" i="22"/>
  <c r="AE1770" i="22"/>
  <c r="AE1769" i="22"/>
  <c r="AE1768" i="22"/>
  <c r="AE1767" i="22"/>
  <c r="AE1766" i="22"/>
  <c r="AE1765" i="22"/>
  <c r="AE1764" i="22"/>
  <c r="AE1763" i="22"/>
  <c r="AE1762" i="22"/>
  <c r="AE1761" i="22"/>
  <c r="AE1760" i="22"/>
  <c r="AE1759" i="22"/>
  <c r="AE1758" i="22"/>
  <c r="AE1757" i="22"/>
  <c r="AE1756" i="22"/>
  <c r="AE1755" i="22"/>
  <c r="AE1754" i="22"/>
  <c r="AE1753" i="22"/>
  <c r="AE1752" i="22"/>
  <c r="AE1751" i="22"/>
  <c r="AE1750" i="22"/>
  <c r="AE1749" i="22"/>
  <c r="AE1748" i="22"/>
  <c r="AE1747" i="22"/>
  <c r="AE1746" i="22"/>
  <c r="AE1745" i="22"/>
  <c r="AE1744" i="22"/>
  <c r="AE1743" i="22"/>
  <c r="AE1742" i="22"/>
  <c r="AE1741" i="22"/>
  <c r="AE1740" i="22"/>
  <c r="AE1739" i="22"/>
  <c r="AE1738" i="22"/>
  <c r="AE1737" i="22"/>
  <c r="AE1736" i="22"/>
  <c r="AE1735" i="22"/>
  <c r="AE1734" i="22"/>
  <c r="AE1733" i="22"/>
  <c r="AE1732" i="22"/>
  <c r="AE1731" i="22"/>
  <c r="AE1730" i="22"/>
  <c r="AE1729" i="22"/>
  <c r="AE1728" i="22"/>
  <c r="AE1727" i="22"/>
  <c r="AE1726" i="22"/>
  <c r="AE1725" i="22"/>
  <c r="AE1724" i="22"/>
  <c r="AE1723" i="22"/>
  <c r="AE1722" i="22"/>
  <c r="AE1721" i="22"/>
  <c r="AE1720" i="22"/>
  <c r="AE1719" i="22"/>
  <c r="AE1718" i="22"/>
  <c r="AE1717" i="22"/>
  <c r="AE1716" i="22"/>
  <c r="AE1715" i="22"/>
  <c r="AE1714" i="22"/>
  <c r="AE1713" i="22"/>
  <c r="AE1712" i="22"/>
  <c r="AE1711" i="22"/>
  <c r="AE1710" i="22"/>
  <c r="AE1709" i="22"/>
  <c r="AE1708" i="22"/>
  <c r="AE1707" i="22"/>
  <c r="AE1706" i="22"/>
  <c r="AE1705" i="22"/>
  <c r="AE1704" i="22"/>
  <c r="AE1703" i="22"/>
  <c r="AE1702" i="22"/>
  <c r="AE1701" i="22"/>
  <c r="AE1700" i="22"/>
  <c r="AE1699" i="22"/>
  <c r="AE1698" i="22"/>
  <c r="AE1697" i="22"/>
  <c r="AE1696" i="22"/>
  <c r="AE1695" i="22"/>
  <c r="AE1694" i="22"/>
  <c r="AE1693" i="22"/>
  <c r="AE1692" i="22"/>
  <c r="AE1691" i="22"/>
  <c r="AE1690" i="22"/>
  <c r="AE1689" i="22"/>
  <c r="AE1688" i="22"/>
  <c r="AE1687" i="22"/>
  <c r="AE1686" i="22"/>
  <c r="AE1685" i="22"/>
  <c r="AE1684" i="22"/>
  <c r="AE1683" i="22"/>
  <c r="AE1682" i="22"/>
  <c r="AE1681" i="22"/>
  <c r="AE1680" i="22"/>
  <c r="AE1679" i="22"/>
  <c r="AE1678" i="22"/>
  <c r="AE1677" i="22"/>
  <c r="AE1676" i="22"/>
  <c r="AE1675" i="22"/>
  <c r="AE1674" i="22"/>
  <c r="AE1673" i="22"/>
  <c r="AE1672" i="22"/>
  <c r="AE1671" i="22"/>
  <c r="AE1670" i="22"/>
  <c r="AE1669" i="22"/>
  <c r="AE1668" i="22"/>
  <c r="AE1667" i="22"/>
  <c r="AE1666" i="22"/>
  <c r="AE1665" i="22"/>
  <c r="AE1664" i="22"/>
  <c r="AE1663" i="22"/>
  <c r="AE1662" i="22"/>
  <c r="AE1661" i="22"/>
  <c r="AE1660" i="22"/>
  <c r="AE1659" i="22"/>
  <c r="AE1658" i="22"/>
  <c r="AE1657" i="22"/>
  <c r="AE1656" i="22"/>
  <c r="AE1655" i="22"/>
  <c r="AE1654" i="22"/>
  <c r="AE1653" i="22"/>
  <c r="AE1652" i="22"/>
  <c r="AE1651" i="22"/>
  <c r="AE1650" i="22"/>
  <c r="AE1649" i="22"/>
  <c r="AE1648" i="22"/>
  <c r="AE1647" i="22"/>
  <c r="AE1646" i="22"/>
  <c r="AE1645" i="22"/>
  <c r="AE1644" i="22"/>
  <c r="AE1643" i="22"/>
  <c r="AE1642" i="22"/>
  <c r="AE1641" i="22"/>
  <c r="AE1640" i="22"/>
  <c r="AE1639" i="22"/>
  <c r="AE1638" i="22"/>
  <c r="AE1637" i="22"/>
  <c r="AE1636" i="22"/>
  <c r="AE1635" i="22"/>
  <c r="AE1634" i="22"/>
  <c r="AE1633" i="22"/>
  <c r="AE1632" i="22"/>
  <c r="AE1631" i="22"/>
  <c r="AE1630" i="22"/>
  <c r="AE1629" i="22"/>
  <c r="AE1628" i="22"/>
  <c r="AE1627" i="22"/>
  <c r="AE1626" i="22"/>
  <c r="AE1625" i="22"/>
  <c r="AE1624" i="22"/>
  <c r="AE1623" i="22"/>
  <c r="AE1622" i="22"/>
  <c r="AE1621" i="22"/>
  <c r="AE1620" i="22"/>
  <c r="AE1619" i="22"/>
  <c r="AE1618" i="22"/>
  <c r="AE1617" i="22"/>
  <c r="AE1616" i="22"/>
  <c r="AE1615" i="22"/>
  <c r="AE1614" i="22"/>
  <c r="AE1613" i="22"/>
  <c r="AE1612" i="22"/>
  <c r="AE1611" i="22"/>
  <c r="AE1610" i="22"/>
  <c r="AE1609" i="22"/>
  <c r="AE1608" i="22"/>
  <c r="AE1607" i="22"/>
  <c r="AE1606" i="22"/>
  <c r="AE1605" i="22"/>
  <c r="AE1604" i="22"/>
  <c r="AE1603" i="22"/>
  <c r="AE1602" i="22"/>
  <c r="AE1601" i="22"/>
  <c r="AE1600" i="22"/>
  <c r="AE1599" i="22"/>
  <c r="AE1598" i="22"/>
  <c r="AE1597" i="22"/>
  <c r="AE1596" i="22"/>
  <c r="AE1595" i="22"/>
  <c r="AE1594" i="22"/>
  <c r="AE1593" i="22"/>
  <c r="AE1592" i="22"/>
  <c r="AE1591" i="22"/>
  <c r="AE1590" i="22"/>
  <c r="AE1589" i="22"/>
  <c r="AE1588" i="22"/>
  <c r="AE1587" i="22"/>
  <c r="AE1586" i="22"/>
  <c r="AE1585" i="22"/>
  <c r="AE1584" i="22"/>
  <c r="AE1583" i="22"/>
  <c r="AE1582" i="22"/>
  <c r="AE1581" i="22"/>
  <c r="AE1580" i="22"/>
  <c r="AE1579" i="22"/>
  <c r="AE1578" i="22"/>
  <c r="AE1577" i="22"/>
  <c r="AE1576" i="22"/>
  <c r="AE1575" i="22"/>
  <c r="AE1574" i="22"/>
  <c r="AE1573" i="22"/>
  <c r="AE1572" i="22"/>
  <c r="AE1571" i="22"/>
  <c r="AE1570" i="22"/>
  <c r="AE1569" i="22"/>
  <c r="AE1568" i="22"/>
  <c r="AE1567" i="22"/>
  <c r="AE1566" i="22"/>
  <c r="AE1565" i="22"/>
  <c r="AE1564" i="22"/>
  <c r="AE1563" i="22"/>
  <c r="AE1562" i="22"/>
  <c r="AE1561" i="22"/>
  <c r="AE1560" i="22"/>
  <c r="AE1559" i="22"/>
  <c r="AE1558" i="22"/>
  <c r="AE1557" i="22"/>
  <c r="AE1556" i="22"/>
  <c r="AE1555" i="22"/>
  <c r="AE1554" i="22"/>
  <c r="AE1553" i="22"/>
  <c r="AE1552" i="22"/>
  <c r="AE1551" i="22"/>
  <c r="AE1550" i="22"/>
  <c r="AE1549" i="22"/>
  <c r="AE1548" i="22"/>
  <c r="AE1547" i="22"/>
  <c r="AE1546" i="22"/>
  <c r="AE1545" i="22"/>
  <c r="AE1544" i="22"/>
  <c r="AE1543" i="22"/>
  <c r="AE1542" i="22"/>
  <c r="AE1541" i="22"/>
  <c r="AE1540" i="22"/>
  <c r="AE1539" i="22"/>
  <c r="AE1538" i="22"/>
  <c r="AE1537" i="22"/>
  <c r="AE1536" i="22"/>
  <c r="AA9" i="26" s="1"/>
  <c r="AE1535" i="22"/>
  <c r="AD1535" i="22"/>
  <c r="AC1535" i="22"/>
  <c r="AE1534" i="22"/>
  <c r="AD1534" i="22"/>
  <c r="AC1534" i="22"/>
  <c r="AE1533" i="22"/>
  <c r="AD1533" i="22"/>
  <c r="AC1533" i="22"/>
  <c r="AE1532" i="22"/>
  <c r="AD1532" i="22"/>
  <c r="AC1532" i="22"/>
  <c r="AE1531" i="22"/>
  <c r="AD1531" i="22"/>
  <c r="AC1531" i="22"/>
  <c r="AE1530" i="22"/>
  <c r="AD1530" i="22"/>
  <c r="AC1530" i="22"/>
  <c r="AE1529" i="22"/>
  <c r="AD1529" i="22"/>
  <c r="AC1529" i="22"/>
  <c r="AE1528" i="22"/>
  <c r="AD1528" i="22"/>
  <c r="AC1528" i="22"/>
  <c r="AE1527" i="22"/>
  <c r="AD1527" i="22"/>
  <c r="AC1527" i="22"/>
  <c r="AE1526" i="22"/>
  <c r="AD1526" i="22"/>
  <c r="AC1526" i="22"/>
  <c r="AE1525" i="22"/>
  <c r="AD1525" i="22"/>
  <c r="AC1525" i="22"/>
  <c r="AE1524" i="22"/>
  <c r="AD1524" i="22"/>
  <c r="AC1524" i="22"/>
  <c r="AE1523" i="22"/>
  <c r="AD1523" i="22"/>
  <c r="AC1523" i="22"/>
  <c r="AE1522" i="22"/>
  <c r="AD1522" i="22"/>
  <c r="AC1522" i="22"/>
  <c r="AE1521" i="22"/>
  <c r="AD1521" i="22"/>
  <c r="AC1521" i="22"/>
  <c r="AE1520" i="22"/>
  <c r="AD1520" i="22"/>
  <c r="AC1520" i="22"/>
  <c r="AE1519" i="22"/>
  <c r="AD1519" i="22"/>
  <c r="AC1519" i="22"/>
  <c r="AE1518" i="22"/>
  <c r="AD1518" i="22"/>
  <c r="AC1518" i="22"/>
  <c r="AE1517" i="22"/>
  <c r="AD1517" i="22"/>
  <c r="AC1517" i="22"/>
  <c r="AE1516" i="22"/>
  <c r="AD1516" i="22"/>
  <c r="AC1516" i="22"/>
  <c r="AE1515" i="22"/>
  <c r="AD1515" i="22"/>
  <c r="AC1515" i="22"/>
  <c r="AE1514" i="22"/>
  <c r="AD1514" i="22"/>
  <c r="AC1514" i="22"/>
  <c r="AE1513" i="22"/>
  <c r="AD1513" i="22"/>
  <c r="AC1513" i="22"/>
  <c r="AE1512" i="22"/>
  <c r="AD1512" i="22"/>
  <c r="AC1512" i="22"/>
  <c r="AE1511" i="22"/>
  <c r="AD1511" i="22"/>
  <c r="AC1511" i="22"/>
  <c r="AG1510" i="22"/>
  <c r="AF1510" i="22"/>
  <c r="AB1510" i="22"/>
  <c r="AG1509" i="22"/>
  <c r="AF1509" i="22"/>
  <c r="AB1509" i="22"/>
  <c r="AG1508" i="22"/>
  <c r="AF1508" i="22"/>
  <c r="AB1508" i="22"/>
  <c r="AG1507" i="22"/>
  <c r="AF1507" i="22"/>
  <c r="AB1507" i="22"/>
  <c r="AG1506" i="22"/>
  <c r="AF1506" i="22"/>
  <c r="AB1506" i="22"/>
  <c r="AG1505" i="22"/>
  <c r="AF1505" i="22"/>
  <c r="AB1505" i="22"/>
  <c r="AG1504" i="22"/>
  <c r="AF1504" i="22"/>
  <c r="AB1504" i="22"/>
  <c r="AG1503" i="22"/>
  <c r="AF1503" i="22"/>
  <c r="AB1503" i="22"/>
  <c r="AG1502" i="22"/>
  <c r="AF1502" i="22"/>
  <c r="AB1502" i="22"/>
  <c r="AG1501" i="22"/>
  <c r="AF1501" i="22"/>
  <c r="AB1501" i="22"/>
  <c r="AG1500" i="22"/>
  <c r="AF1500" i="22"/>
  <c r="AB1500" i="22"/>
  <c r="AG1499" i="22"/>
  <c r="AF1499" i="22"/>
  <c r="AB1499" i="22"/>
  <c r="AG1498" i="22"/>
  <c r="AF1498" i="22"/>
  <c r="AB1498" i="22"/>
  <c r="AG1497" i="22"/>
  <c r="AF1497" i="22"/>
  <c r="AB1497" i="22"/>
  <c r="AG1496" i="22"/>
  <c r="AF1496" i="22"/>
  <c r="AB1496" i="22"/>
  <c r="AG1495" i="22"/>
  <c r="AF1495" i="22"/>
  <c r="AB1495" i="22"/>
  <c r="AG1494" i="22"/>
  <c r="AF1494" i="22"/>
  <c r="AB1494" i="22"/>
  <c r="AG1493" i="22"/>
  <c r="AF1493" i="22"/>
  <c r="AB1493" i="22"/>
  <c r="AG1492" i="22"/>
  <c r="AF1492" i="22"/>
  <c r="AB1492" i="22"/>
  <c r="AG1491" i="22"/>
  <c r="AF1491" i="22"/>
  <c r="AB1491" i="22"/>
  <c r="AG1490" i="22"/>
  <c r="AF1490" i="22"/>
  <c r="AB1490" i="22"/>
  <c r="AG1489" i="22"/>
  <c r="AF1489" i="22"/>
  <c r="AB1489" i="22"/>
  <c r="AG1488" i="22"/>
  <c r="AF1488" i="22"/>
  <c r="AB1488" i="22"/>
  <c r="AG1487" i="22"/>
  <c r="AF1487" i="22"/>
  <c r="AB1487" i="22"/>
  <c r="AG1486" i="22"/>
  <c r="AF1486" i="22"/>
  <c r="AB1486" i="22"/>
  <c r="AG1485" i="22"/>
  <c r="AF1485" i="22"/>
  <c r="AB1485" i="22"/>
  <c r="AE1484" i="22"/>
  <c r="AD1484" i="22"/>
  <c r="AC1484" i="22"/>
  <c r="AE1483" i="22"/>
  <c r="AD1483" i="22"/>
  <c r="AC1483" i="22"/>
  <c r="AE1482" i="22"/>
  <c r="AD1482" i="22"/>
  <c r="AC1482" i="22"/>
  <c r="AE1481" i="22"/>
  <c r="AD1481" i="22"/>
  <c r="AC1481" i="22"/>
  <c r="AE1480" i="22"/>
  <c r="AD1480" i="22"/>
  <c r="AC1480" i="22"/>
  <c r="AE1479" i="22"/>
  <c r="AD1479" i="22"/>
  <c r="AC1479" i="22"/>
  <c r="AE1478" i="22"/>
  <c r="AD1478" i="22"/>
  <c r="AC1478" i="22"/>
  <c r="AE1477" i="22"/>
  <c r="AD1477" i="22"/>
  <c r="AC1477" i="22"/>
  <c r="AE1476" i="22"/>
  <c r="AD1476" i="22"/>
  <c r="AC1476" i="22"/>
  <c r="AE1475" i="22"/>
  <c r="AD1475" i="22"/>
  <c r="AC1475" i="22"/>
  <c r="AE1474" i="22"/>
  <c r="AD1474" i="22"/>
  <c r="AC1474" i="22"/>
  <c r="AE1473" i="22"/>
  <c r="AD1473" i="22"/>
  <c r="AC1473" i="22"/>
  <c r="AE1472" i="22"/>
  <c r="AD1472" i="22"/>
  <c r="AC1472" i="22"/>
  <c r="AE1471" i="22"/>
  <c r="AD1471" i="22"/>
  <c r="AC1471" i="22"/>
  <c r="AE1470" i="22"/>
  <c r="AD1470" i="22"/>
  <c r="AC1470" i="22"/>
  <c r="AE1469" i="22"/>
  <c r="AD1469" i="22"/>
  <c r="AC1469" i="22"/>
  <c r="AE1468" i="22"/>
  <c r="AD1468" i="22"/>
  <c r="AC1468" i="22"/>
  <c r="AE1467" i="22"/>
  <c r="AD1467" i="22"/>
  <c r="AC1467" i="22"/>
  <c r="AE1466" i="22"/>
  <c r="AD1466" i="22"/>
  <c r="AC1466" i="22"/>
  <c r="AE1465" i="22"/>
  <c r="AD1465" i="22"/>
  <c r="AC1465" i="22"/>
  <c r="AE1464" i="22"/>
  <c r="AD1464" i="22"/>
  <c r="AC1464" i="22"/>
  <c r="AE1463" i="22"/>
  <c r="AD1463" i="22"/>
  <c r="AC1463" i="22"/>
  <c r="AE1462" i="22"/>
  <c r="AD1462" i="22"/>
  <c r="AC1462" i="22"/>
  <c r="AE1461" i="22"/>
  <c r="AD1461" i="22"/>
  <c r="AC1461" i="22"/>
  <c r="AE1460" i="22"/>
  <c r="AD1460" i="22"/>
  <c r="AC1460" i="22"/>
  <c r="AE1459" i="22"/>
  <c r="AD1459" i="22"/>
  <c r="AC1459" i="22"/>
  <c r="AE1458" i="22"/>
  <c r="AD1458" i="22"/>
  <c r="AC1458" i="22"/>
  <c r="AE1457" i="22"/>
  <c r="AD1457" i="22"/>
  <c r="AC1457" i="22"/>
  <c r="AE1456" i="22"/>
  <c r="AD1456" i="22"/>
  <c r="AC1456" i="22"/>
  <c r="AE1455" i="22"/>
  <c r="AD1455" i="22"/>
  <c r="AC1455" i="22"/>
  <c r="AE1454" i="22"/>
  <c r="AD1454" i="22"/>
  <c r="AC1454" i="22"/>
  <c r="AE1453" i="22"/>
  <c r="AD1453" i="22"/>
  <c r="AC1453" i="22"/>
  <c r="AE1452" i="22"/>
  <c r="AD1452" i="22"/>
  <c r="AC1452" i="22"/>
  <c r="AE1451" i="22"/>
  <c r="AD1451" i="22"/>
  <c r="AC1451" i="22"/>
  <c r="AE1450" i="22"/>
  <c r="AD1450" i="22"/>
  <c r="AC1450" i="22"/>
  <c r="AE1449" i="22"/>
  <c r="AD1449" i="22"/>
  <c r="AC1449" i="22"/>
  <c r="AE1448" i="22"/>
  <c r="AD1448" i="22"/>
  <c r="AC1448" i="22"/>
  <c r="AE1447" i="22"/>
  <c r="AD1447" i="22"/>
  <c r="AC1447" i="22"/>
  <c r="AE1446" i="22"/>
  <c r="AD1446" i="22"/>
  <c r="AC1446" i="22"/>
  <c r="AE1445" i="22"/>
  <c r="AD1445" i="22"/>
  <c r="AC1445" i="22"/>
  <c r="AE1444" i="22"/>
  <c r="AD1444" i="22"/>
  <c r="AC1444" i="22"/>
  <c r="AE1443" i="22"/>
  <c r="AD1443" i="22"/>
  <c r="AC1443" i="22"/>
  <c r="AE1442" i="22"/>
  <c r="AD1442" i="22"/>
  <c r="AC1442" i="22"/>
  <c r="AE1441" i="22"/>
  <c r="AD1441" i="22"/>
  <c r="AC1441" i="22"/>
  <c r="AE1440" i="22"/>
  <c r="AD1440" i="22"/>
  <c r="AC1440" i="22"/>
  <c r="AE1439" i="22"/>
  <c r="AD1439" i="22"/>
  <c r="AC1439" i="22"/>
  <c r="AE1438" i="22"/>
  <c r="AD1438" i="22"/>
  <c r="AC1438" i="22"/>
  <c r="AE1437" i="22"/>
  <c r="AD1437" i="22"/>
  <c r="AC1437" i="22"/>
  <c r="AE1436" i="22"/>
  <c r="AD1436" i="22"/>
  <c r="AC1436" i="22"/>
  <c r="AE1435" i="22"/>
  <c r="AD1435" i="22"/>
  <c r="AC1435" i="22"/>
  <c r="AE1434" i="22"/>
  <c r="AD1434" i="22"/>
  <c r="AC1434" i="22"/>
  <c r="AE1433" i="22"/>
  <c r="AD1433" i="22"/>
  <c r="AC1433" i="22"/>
  <c r="AE1432" i="22"/>
  <c r="AD1432" i="22"/>
  <c r="AC1432" i="22"/>
  <c r="AG1431" i="22"/>
  <c r="AF1431" i="22"/>
  <c r="AB1431" i="22"/>
  <c r="AG1430" i="22"/>
  <c r="AF1430" i="22"/>
  <c r="AB1430" i="22"/>
  <c r="AG1429" i="22"/>
  <c r="AF1429" i="22"/>
  <c r="AB1429" i="22"/>
  <c r="AG1428" i="22"/>
  <c r="AF1428" i="22"/>
  <c r="AB1428" i="22"/>
  <c r="AG1427" i="22"/>
  <c r="AF1427" i="22"/>
  <c r="AB1427" i="22"/>
  <c r="AG1426" i="22"/>
  <c r="AF1426" i="22"/>
  <c r="AB1426" i="22"/>
  <c r="AG1425" i="22"/>
  <c r="AF1425" i="22"/>
  <c r="AB1425" i="22"/>
  <c r="AG1424" i="22"/>
  <c r="AF1424" i="22"/>
  <c r="AB1424" i="22"/>
  <c r="AG1423" i="22"/>
  <c r="AF1423" i="22"/>
  <c r="AB1423" i="22"/>
  <c r="AG1422" i="22"/>
  <c r="AF1422" i="22"/>
  <c r="AB1422" i="22"/>
  <c r="AG1421" i="22"/>
  <c r="AF1421" i="22"/>
  <c r="AB1421" i="22"/>
  <c r="AG1420" i="22"/>
  <c r="AF1420" i="22"/>
  <c r="AB1420" i="22"/>
  <c r="AG1419" i="22"/>
  <c r="AF1419" i="22"/>
  <c r="AB1419" i="22"/>
  <c r="AG1418" i="22"/>
  <c r="AF1418" i="22"/>
  <c r="AB1418" i="22"/>
  <c r="AG1417" i="22"/>
  <c r="AF1417" i="22"/>
  <c r="AB1417" i="22"/>
  <c r="AG1416" i="22"/>
  <c r="AF1416" i="22"/>
  <c r="AB1416" i="22"/>
  <c r="AG1415" i="22"/>
  <c r="AF1415" i="22"/>
  <c r="AB1415" i="22"/>
  <c r="AG1414" i="22"/>
  <c r="AF1414" i="22"/>
  <c r="AB1414" i="22"/>
  <c r="AG1413" i="22"/>
  <c r="AF1413" i="22"/>
  <c r="AB1413" i="22"/>
  <c r="AG1412" i="22"/>
  <c r="AF1412" i="22"/>
  <c r="AB1412" i="22"/>
  <c r="AG1411" i="22"/>
  <c r="AF1411" i="22"/>
  <c r="AB1411" i="22"/>
  <c r="AG1410" i="22"/>
  <c r="AF1410" i="22"/>
  <c r="AB1410" i="22"/>
  <c r="AG1409" i="22"/>
  <c r="AF1409" i="22"/>
  <c r="AB1409" i="22"/>
  <c r="AG1408" i="22"/>
  <c r="AF1408" i="22"/>
  <c r="AB1408" i="22"/>
  <c r="AG1407" i="22"/>
  <c r="AF1407" i="22"/>
  <c r="AB1407" i="22"/>
  <c r="AG1406" i="22"/>
  <c r="AF1406" i="22"/>
  <c r="AB1406" i="22"/>
  <c r="AG1405" i="22"/>
  <c r="AF1405" i="22"/>
  <c r="AB1405" i="22"/>
  <c r="AG1404" i="22"/>
  <c r="AF1404" i="22"/>
  <c r="AB1404" i="22"/>
  <c r="AG1403" i="22"/>
  <c r="AF1403" i="22"/>
  <c r="AB1403" i="22"/>
  <c r="AE1402" i="22"/>
  <c r="AD1402" i="22"/>
  <c r="AC1402" i="22"/>
  <c r="AE1401" i="22"/>
  <c r="AD1401" i="22"/>
  <c r="AC1401" i="22"/>
  <c r="AE1400" i="22"/>
  <c r="AD1400" i="22"/>
  <c r="AC1400" i="22"/>
  <c r="AE1399" i="22"/>
  <c r="AD1399" i="22"/>
  <c r="AC1399" i="22"/>
  <c r="AE1398" i="22"/>
  <c r="AD1398" i="22"/>
  <c r="AC1398" i="22"/>
  <c r="AE1397" i="22"/>
  <c r="AD1397" i="22"/>
  <c r="AC1397" i="22"/>
  <c r="AE1396" i="22"/>
  <c r="AD1396" i="22"/>
  <c r="AC1396" i="22"/>
  <c r="AE1395" i="22"/>
  <c r="AD1395" i="22"/>
  <c r="AC1395" i="22"/>
  <c r="AE1394" i="22"/>
  <c r="AD1394" i="22"/>
  <c r="AC1394" i="22"/>
  <c r="AE1393" i="22"/>
  <c r="AD1393" i="22"/>
  <c r="AC1393" i="22"/>
  <c r="AE1392" i="22"/>
  <c r="AD1392" i="22"/>
  <c r="AC1392" i="22"/>
  <c r="AE1391" i="22"/>
  <c r="AD1391" i="22"/>
  <c r="AC1391" i="22"/>
  <c r="AE1390" i="22"/>
  <c r="AD1390" i="22"/>
  <c r="AC1390" i="22"/>
  <c r="AE1389" i="22"/>
  <c r="AD1389" i="22"/>
  <c r="AC1389" i="22"/>
  <c r="AE1388" i="22"/>
  <c r="AD1388" i="22"/>
  <c r="AC1388" i="22"/>
  <c r="AE1387" i="22"/>
  <c r="AD1387" i="22"/>
  <c r="AC1387" i="22"/>
  <c r="AE1386" i="22"/>
  <c r="AD1386" i="22"/>
  <c r="AC1386" i="22"/>
  <c r="AE1385" i="22"/>
  <c r="AD1385" i="22"/>
  <c r="AC1385" i="22"/>
  <c r="AE1384" i="22"/>
  <c r="AD1384" i="22"/>
  <c r="AC1384" i="22"/>
  <c r="AE1383" i="22"/>
  <c r="AD1383" i="22"/>
  <c r="AC1383" i="22"/>
  <c r="AE1382" i="22"/>
  <c r="AD1382" i="22"/>
  <c r="AC1382" i="22"/>
  <c r="AE1381" i="22"/>
  <c r="AD1381" i="22"/>
  <c r="AC1381" i="22"/>
  <c r="AE1380" i="22"/>
  <c r="AD1380" i="22"/>
  <c r="AC1380" i="22"/>
  <c r="AE1379" i="22"/>
  <c r="AD1379" i="22"/>
  <c r="AC1379" i="22"/>
  <c r="AE1378" i="22"/>
  <c r="AD1378" i="22"/>
  <c r="AC1378" i="22"/>
  <c r="AE1377" i="22"/>
  <c r="AD1377" i="22"/>
  <c r="AC1377" i="22"/>
  <c r="AE1376" i="22"/>
  <c r="AD1376" i="22"/>
  <c r="AC1376" i="22"/>
  <c r="AE1375" i="22"/>
  <c r="AD1375" i="22"/>
  <c r="AC1375" i="22"/>
  <c r="AE1374" i="22"/>
  <c r="AD1374" i="22"/>
  <c r="AC1374" i="22"/>
  <c r="AG1373" i="22"/>
  <c r="AF1373" i="22"/>
  <c r="AB1373" i="22"/>
  <c r="AG1372" i="22"/>
  <c r="AF1372" i="22"/>
  <c r="AB1372" i="22"/>
  <c r="AG1371" i="22"/>
  <c r="AF1371" i="22"/>
  <c r="AB1371" i="22"/>
  <c r="AG1370" i="22"/>
  <c r="AF1370" i="22"/>
  <c r="AB1370" i="22"/>
  <c r="AE1369" i="22"/>
  <c r="AE1368" i="22"/>
  <c r="AE1367" i="22"/>
  <c r="AE1366" i="22"/>
  <c r="AE1365" i="22"/>
  <c r="AE1364" i="22"/>
  <c r="AD1364" i="22"/>
  <c r="AC1364" i="22"/>
  <c r="AE1363" i="22"/>
  <c r="AD1363" i="22"/>
  <c r="AC1363" i="22"/>
  <c r="AE1362" i="22"/>
  <c r="AD1362" i="22"/>
  <c r="AC1362" i="22"/>
  <c r="AE1361" i="22"/>
  <c r="AD1361" i="22"/>
  <c r="AC1361" i="22"/>
  <c r="AE1360" i="22"/>
  <c r="AD1360" i="22"/>
  <c r="AC1360" i="22"/>
  <c r="AE1359" i="22"/>
  <c r="AD1359" i="22"/>
  <c r="AC1359" i="22"/>
  <c r="AE1358" i="22"/>
  <c r="AD1358" i="22"/>
  <c r="AC1358" i="22"/>
  <c r="AE1357" i="22"/>
  <c r="AD1357" i="22"/>
  <c r="AC1357" i="22"/>
  <c r="AE1356" i="22"/>
  <c r="AD1356" i="22"/>
  <c r="AC1356" i="22"/>
  <c r="AE1355" i="22"/>
  <c r="AE1354" i="22"/>
  <c r="AE1353" i="22"/>
  <c r="AE1352" i="22"/>
  <c r="AE1351" i="22"/>
  <c r="AE1350" i="22"/>
  <c r="AE1349" i="22"/>
  <c r="AE1348" i="22"/>
  <c r="AE1347" i="22"/>
  <c r="AE1346" i="22"/>
  <c r="AE1345" i="22"/>
  <c r="AE1344" i="22"/>
  <c r="AE1343" i="22"/>
  <c r="AE1342" i="22"/>
  <c r="AE1341" i="22"/>
  <c r="AE1340" i="22"/>
  <c r="AE1339" i="22"/>
  <c r="AE1338" i="22"/>
  <c r="AE1337" i="22"/>
  <c r="AG1336" i="22"/>
  <c r="AF1336" i="22"/>
  <c r="AG1335" i="22"/>
  <c r="AF1335" i="22"/>
  <c r="AG1334" i="22"/>
  <c r="AF1334" i="22"/>
  <c r="AG1333" i="22"/>
  <c r="AF1333" i="22"/>
  <c r="AG1332" i="22"/>
  <c r="AF1332" i="22"/>
  <c r="AG1331" i="22"/>
  <c r="AF1331" i="22"/>
  <c r="AG1330" i="22"/>
  <c r="AF1330" i="22"/>
  <c r="AG1329" i="22"/>
  <c r="AF1329" i="22"/>
  <c r="AG1328" i="22"/>
  <c r="AF1328" i="22"/>
  <c r="AG1327" i="22"/>
  <c r="AF1327" i="22"/>
  <c r="AG1326" i="22"/>
  <c r="AF1326" i="22"/>
  <c r="AG1325" i="22"/>
  <c r="AF1325" i="22"/>
  <c r="AG1324" i="22"/>
  <c r="AF1324" i="22"/>
  <c r="AG1323" i="22"/>
  <c r="AF1323" i="22"/>
  <c r="AG1322" i="22"/>
  <c r="AF1322" i="22"/>
  <c r="AG1321" i="22"/>
  <c r="AF1321" i="22"/>
  <c r="AG1320" i="22"/>
  <c r="AF1320" i="22"/>
  <c r="AG1319" i="22"/>
  <c r="AF1319" i="22"/>
  <c r="AG1318" i="22"/>
  <c r="AF1318" i="22"/>
  <c r="AE1317" i="22"/>
  <c r="AE1316" i="22"/>
  <c r="AE1315" i="22"/>
  <c r="AE1314" i="22"/>
  <c r="AE1313" i="22"/>
  <c r="AE1312" i="22"/>
  <c r="AE1311" i="22"/>
  <c r="AE1310" i="22"/>
  <c r="AE1309" i="22"/>
  <c r="AE1308" i="22"/>
  <c r="AE1307" i="22"/>
  <c r="AE1306" i="22"/>
  <c r="AE1305" i="22"/>
  <c r="AE1304" i="22"/>
  <c r="AE1303" i="22"/>
  <c r="AE1302" i="22"/>
  <c r="AE1301" i="22"/>
  <c r="AE1300" i="22"/>
  <c r="AE1299" i="22"/>
  <c r="AE1298" i="22"/>
  <c r="AE1297" i="22"/>
  <c r="AE1296" i="22"/>
  <c r="AE1295" i="22"/>
  <c r="AE1294" i="22"/>
  <c r="AE1293" i="22"/>
  <c r="AE1292" i="22"/>
  <c r="AE1291" i="22"/>
  <c r="AE1290" i="22"/>
  <c r="AE1289" i="22"/>
  <c r="AE1288" i="22"/>
  <c r="AE1287" i="22"/>
  <c r="AE1286" i="22"/>
  <c r="AE1285" i="22"/>
  <c r="AE1284" i="22"/>
  <c r="AE1283" i="22"/>
  <c r="AE1282" i="22"/>
  <c r="AE1281" i="22"/>
  <c r="AE1280" i="22"/>
  <c r="AE1279" i="22"/>
  <c r="AE1278" i="22"/>
  <c r="AE1277" i="22"/>
  <c r="AE1276" i="22"/>
  <c r="AE1275" i="22"/>
  <c r="AE1274" i="22"/>
  <c r="AE1273" i="22"/>
  <c r="AE1272" i="22"/>
  <c r="AE1271" i="22"/>
  <c r="AE1270" i="22"/>
  <c r="AE1269" i="22"/>
  <c r="AE1268" i="22"/>
  <c r="AE1267" i="22"/>
  <c r="AE1266" i="22"/>
  <c r="AE1265" i="22"/>
  <c r="AE1264" i="22"/>
  <c r="AE1263" i="22"/>
  <c r="AE1262" i="22"/>
  <c r="AE1261" i="22"/>
  <c r="AE1260" i="22"/>
  <c r="AE1259" i="22"/>
  <c r="AE1258" i="22"/>
  <c r="AE1257" i="22"/>
  <c r="AE1256" i="22"/>
  <c r="AE1255" i="22"/>
  <c r="AE1254" i="22"/>
  <c r="AE1253" i="22"/>
  <c r="AE1252" i="22"/>
  <c r="AE1251" i="22"/>
  <c r="AE1250" i="22"/>
  <c r="AE1249" i="22"/>
  <c r="AE1248" i="22"/>
  <c r="AG1247" i="22"/>
  <c r="AF1247" i="22"/>
  <c r="AG1246" i="22"/>
  <c r="AF1246" i="22"/>
  <c r="AG1245" i="22"/>
  <c r="AF1245" i="22"/>
  <c r="AG1244" i="22"/>
  <c r="AF1244" i="22"/>
  <c r="AG1243" i="22"/>
  <c r="AF1243" i="22"/>
  <c r="AG1242" i="22"/>
  <c r="AF1242" i="22"/>
  <c r="AG1241" i="22"/>
  <c r="AF1241" i="22"/>
  <c r="AG1240" i="22"/>
  <c r="AF1240" i="22"/>
  <c r="AG1239" i="22"/>
  <c r="AF1239" i="22"/>
  <c r="AG1238" i="22"/>
  <c r="AF1238" i="22"/>
  <c r="AG1237" i="22"/>
  <c r="AF1237" i="22"/>
  <c r="AG1236" i="22"/>
  <c r="AF1236" i="22"/>
  <c r="AG1235" i="22"/>
  <c r="AF1235" i="22"/>
  <c r="AG1234" i="22"/>
  <c r="AF1234" i="22"/>
  <c r="AG1233" i="22"/>
  <c r="AF1233" i="22"/>
  <c r="AG1232" i="22"/>
  <c r="AF1232" i="22"/>
  <c r="AG1231" i="22"/>
  <c r="AF1231" i="22"/>
  <c r="AG1230" i="22"/>
  <c r="AF1230" i="22"/>
  <c r="AG1229" i="22"/>
  <c r="AF1229" i="22"/>
  <c r="AG1228" i="22"/>
  <c r="AF1228" i="22"/>
  <c r="AG1227" i="22"/>
  <c r="AF1227" i="22"/>
  <c r="AG1226" i="22"/>
  <c r="AF1226" i="22"/>
  <c r="AG1225" i="22"/>
  <c r="AF1225" i="22"/>
  <c r="AG1224" i="22"/>
  <c r="AF1224" i="22"/>
  <c r="AG1223" i="22"/>
  <c r="AF1223" i="22"/>
  <c r="AG1222" i="22"/>
  <c r="AF1222" i="22"/>
  <c r="AG1221" i="22"/>
  <c r="AF1221" i="22"/>
  <c r="AG1220" i="22"/>
  <c r="AF1220" i="22"/>
  <c r="AG1219" i="22"/>
  <c r="AF1219" i="22"/>
  <c r="AG1218" i="22"/>
  <c r="AF1218" i="22"/>
  <c r="AG1217" i="22"/>
  <c r="AF1217" i="22"/>
  <c r="AG1216" i="22"/>
  <c r="AF1216" i="22"/>
  <c r="AG1215" i="22"/>
  <c r="AF1215" i="22"/>
  <c r="AG1214" i="22"/>
  <c r="AF1214" i="22"/>
  <c r="AG1213" i="22"/>
  <c r="AF1213" i="22"/>
  <c r="AG1212" i="22"/>
  <c r="AF1212" i="22"/>
  <c r="AG1211" i="22"/>
  <c r="AF1211" i="22"/>
  <c r="AG1210" i="22"/>
  <c r="AF1210" i="22"/>
  <c r="AG1209" i="22"/>
  <c r="AF1209" i="22"/>
  <c r="AG1208" i="22"/>
  <c r="AF1208" i="22"/>
  <c r="AG1207" i="22"/>
  <c r="AF1207" i="22"/>
  <c r="AG1206" i="22"/>
  <c r="AF1206" i="22"/>
  <c r="AG1205" i="22"/>
  <c r="AF1205" i="22"/>
  <c r="AG1204" i="22"/>
  <c r="AF1204" i="22"/>
  <c r="AG1203" i="22"/>
  <c r="AF1203" i="22"/>
  <c r="AG1202" i="22"/>
  <c r="AF1202" i="22"/>
  <c r="AG1201" i="22"/>
  <c r="AF1201" i="22"/>
  <c r="AG1200" i="22"/>
  <c r="AF1200" i="22"/>
  <c r="AG1199" i="22"/>
  <c r="AF1199" i="22"/>
  <c r="AG1198" i="22"/>
  <c r="AF1198" i="22"/>
  <c r="AG1197" i="22"/>
  <c r="AF1197" i="22"/>
  <c r="AG1196" i="22"/>
  <c r="AF1196" i="22"/>
  <c r="AG1195" i="22"/>
  <c r="AF1195" i="22"/>
  <c r="AE1194" i="22"/>
  <c r="AE1193" i="22"/>
  <c r="AE1192" i="22"/>
  <c r="AE1191" i="22"/>
  <c r="AE1190" i="22"/>
  <c r="AE1189" i="22"/>
  <c r="AE1188" i="22"/>
  <c r="AE1187" i="22"/>
  <c r="AE1186" i="22"/>
  <c r="AE1185" i="22"/>
  <c r="AE1184" i="22"/>
  <c r="AE1183" i="22"/>
  <c r="AE1182" i="22"/>
  <c r="AE1181" i="22"/>
  <c r="AE1180" i="22"/>
  <c r="AE1179" i="22"/>
  <c r="AE1178" i="22"/>
  <c r="AE1177" i="22"/>
  <c r="AE1176" i="22"/>
  <c r="AE1175" i="22"/>
  <c r="AE1174" i="22"/>
  <c r="AE1173" i="22"/>
  <c r="AE1172" i="22"/>
  <c r="AE1171" i="22"/>
  <c r="AE1170" i="22"/>
  <c r="AE1169" i="22"/>
  <c r="AE1168" i="22"/>
  <c r="AE1167" i="22"/>
  <c r="AE1166" i="22"/>
  <c r="AE1165" i="22"/>
  <c r="AE1164" i="22"/>
  <c r="AE1163" i="22"/>
  <c r="AE1162" i="22"/>
  <c r="AE1161" i="22"/>
  <c r="AE1160" i="22"/>
  <c r="AE1159" i="22"/>
  <c r="AE1158" i="22"/>
  <c r="AE1157" i="22"/>
  <c r="AE1156" i="22"/>
  <c r="AE1155" i="22"/>
  <c r="AE1154" i="22"/>
  <c r="AE1153" i="22"/>
  <c r="AE1152" i="22"/>
  <c r="AE1151" i="22"/>
  <c r="AE1150" i="22"/>
  <c r="AE1149" i="22"/>
  <c r="AE1148" i="22"/>
  <c r="AE1147" i="22"/>
  <c r="AE1146" i="22"/>
  <c r="AE1145" i="22"/>
  <c r="AG1144" i="22"/>
  <c r="AE1144" i="22"/>
  <c r="AE1143" i="22"/>
  <c r="AE1142" i="22"/>
  <c r="AE1141" i="22"/>
  <c r="AE1140" i="22"/>
  <c r="AE1139" i="22"/>
  <c r="AG1138" i="22"/>
  <c r="AE1138" i="22"/>
  <c r="AE1137" i="22"/>
  <c r="AE1136" i="22"/>
  <c r="AE1135" i="22"/>
  <c r="AE1134" i="22"/>
  <c r="AE1133" i="22"/>
  <c r="AG1132" i="22"/>
  <c r="AE1132" i="22"/>
  <c r="AE1131" i="22"/>
  <c r="AE1130" i="22"/>
  <c r="AE1129" i="22"/>
  <c r="AE1128" i="22"/>
  <c r="AG1127" i="22"/>
  <c r="AE1127" i="22"/>
  <c r="AE1126" i="22"/>
  <c r="AE1125" i="22"/>
  <c r="AE1124" i="22"/>
  <c r="AE1123" i="22"/>
  <c r="AE1122" i="22"/>
  <c r="AE1121" i="22"/>
  <c r="AE1120" i="22"/>
  <c r="AG1119" i="22"/>
  <c r="AE1119" i="22"/>
  <c r="AE1118" i="22"/>
  <c r="AE1117" i="22"/>
  <c r="AE1116" i="22"/>
  <c r="AE1115" i="22"/>
  <c r="AE1114" i="22"/>
  <c r="AE1113" i="22"/>
  <c r="AE1112" i="22"/>
  <c r="AE1111" i="22"/>
  <c r="AE1110" i="22"/>
  <c r="AE1109" i="22"/>
  <c r="AE1108" i="22"/>
  <c r="AE1107" i="22"/>
  <c r="AE1106" i="22"/>
  <c r="AE1105" i="22"/>
  <c r="AE1104" i="22"/>
  <c r="AE1103" i="22"/>
  <c r="AE1102" i="22"/>
  <c r="AE1101" i="22"/>
  <c r="AE1100" i="22"/>
  <c r="AE1099" i="22"/>
  <c r="AE1098" i="22"/>
  <c r="AE1097" i="22"/>
  <c r="AE1096" i="22"/>
  <c r="AE1095" i="22"/>
  <c r="AE1094" i="22"/>
  <c r="AE1093" i="22"/>
  <c r="AE1092" i="22"/>
  <c r="AE1091" i="22"/>
  <c r="AE1090" i="22"/>
  <c r="AG1089" i="22"/>
  <c r="AF1089" i="22"/>
  <c r="AG1088" i="22"/>
  <c r="AF1088" i="22"/>
  <c r="AG1087" i="22"/>
  <c r="AF1087" i="22"/>
  <c r="AG1086" i="22"/>
  <c r="AF1086" i="22"/>
  <c r="AG1085" i="22"/>
  <c r="AF1085" i="22"/>
  <c r="AG1084" i="22"/>
  <c r="AF1084" i="22"/>
  <c r="AG1083" i="22"/>
  <c r="AF1083" i="22"/>
  <c r="AG1082" i="22"/>
  <c r="AF1082" i="22"/>
  <c r="AG1081" i="22"/>
  <c r="AF1081" i="22"/>
  <c r="AG1080" i="22"/>
  <c r="AF1080" i="22"/>
  <c r="AG1079" i="22"/>
  <c r="AF1079" i="22"/>
  <c r="AG1078" i="22"/>
  <c r="AF1078" i="22"/>
  <c r="AG1077" i="22"/>
  <c r="AF1077" i="22"/>
  <c r="AG1076" i="22"/>
  <c r="AF1076" i="22"/>
  <c r="AG1075" i="22"/>
  <c r="AF1075" i="22"/>
  <c r="AG1074" i="22"/>
  <c r="AF1074" i="22"/>
  <c r="AG1073" i="22"/>
  <c r="AF1073" i="22"/>
  <c r="AG1072" i="22"/>
  <c r="AF1072" i="22"/>
  <c r="AG1071" i="22"/>
  <c r="AF1071" i="22"/>
  <c r="AG1070" i="22"/>
  <c r="AF1070" i="22"/>
  <c r="AG1069" i="22"/>
  <c r="AF1069" i="22"/>
  <c r="AG1068" i="22"/>
  <c r="AF1068" i="22"/>
  <c r="AG1067" i="22"/>
  <c r="AF1067" i="22"/>
  <c r="AG1066" i="22"/>
  <c r="AF1066" i="22"/>
  <c r="AG1065" i="22"/>
  <c r="AF1065" i="22"/>
  <c r="AG1064" i="22"/>
  <c r="AF1064" i="22"/>
  <c r="AG1063" i="22"/>
  <c r="AF1063" i="22"/>
  <c r="AG1062" i="22"/>
  <c r="AF1062" i="22"/>
  <c r="AG1061" i="22"/>
  <c r="AF1061" i="22"/>
  <c r="AG1060" i="22"/>
  <c r="AF1060" i="22"/>
  <c r="AG1059" i="22"/>
  <c r="AF1059" i="22"/>
  <c r="AG1058" i="22"/>
  <c r="AF1058" i="22"/>
  <c r="AG1057" i="22"/>
  <c r="AF1057" i="22"/>
  <c r="AG1056" i="22"/>
  <c r="AF1056" i="22"/>
  <c r="AG1055" i="22"/>
  <c r="AF1055" i="22"/>
  <c r="AG1054" i="22"/>
  <c r="AF1054" i="22"/>
  <c r="AG1053" i="22"/>
  <c r="AF1053" i="22"/>
  <c r="AG1052" i="22"/>
  <c r="AF1052" i="22"/>
  <c r="AG1051" i="22"/>
  <c r="AF1051" i="22"/>
  <c r="AG1050" i="22"/>
  <c r="AF1050" i="22"/>
  <c r="AG1049" i="22"/>
  <c r="AF1049" i="22"/>
  <c r="AG1048" i="22"/>
  <c r="AF1048" i="22"/>
  <c r="AG1047" i="22"/>
  <c r="AF1047" i="22"/>
  <c r="AG1046" i="22"/>
  <c r="AF1046" i="22"/>
  <c r="AG1045" i="22"/>
  <c r="AF1045" i="22"/>
  <c r="AG1044" i="22"/>
  <c r="AF1044" i="22"/>
  <c r="AG1043" i="22"/>
  <c r="AF1043" i="22"/>
  <c r="AG1042" i="22"/>
  <c r="AF1042" i="22"/>
  <c r="AG1041" i="22"/>
  <c r="AF1041" i="22"/>
  <c r="AG1040" i="22"/>
  <c r="AF1040" i="22"/>
  <c r="AG1039" i="22"/>
  <c r="AF1039" i="22"/>
  <c r="AG1038" i="22"/>
  <c r="AF1038" i="22"/>
  <c r="AG1037" i="22"/>
  <c r="AF1037" i="22"/>
  <c r="AG1036" i="22"/>
  <c r="AF1036" i="22"/>
  <c r="AG1035" i="22"/>
  <c r="AF1035" i="22"/>
  <c r="AG1034" i="22"/>
  <c r="AF1034" i="22"/>
  <c r="AG1033" i="22"/>
  <c r="AF1033" i="22"/>
  <c r="AG1032" i="22"/>
  <c r="AF1032" i="22"/>
  <c r="AG1031" i="22"/>
  <c r="AF1031" i="22"/>
  <c r="AG1030" i="22"/>
  <c r="AF1030" i="22"/>
  <c r="AG1029" i="22"/>
  <c r="AF1029" i="22"/>
  <c r="AG1028" i="22"/>
  <c r="AE1028" i="22"/>
  <c r="AE1027" i="22"/>
  <c r="AE1026" i="22"/>
  <c r="AE1025" i="22"/>
  <c r="AE1024" i="22"/>
  <c r="AE1023" i="22"/>
  <c r="AG1022" i="22"/>
  <c r="AE1022" i="22"/>
  <c r="AE1021" i="22"/>
  <c r="AE1020" i="22"/>
  <c r="AE1019" i="22"/>
  <c r="AE1018" i="22"/>
  <c r="AE1017" i="22"/>
  <c r="AG1016" i="22"/>
  <c r="AE1016" i="22"/>
  <c r="AE1015" i="22"/>
  <c r="AE1014" i="22"/>
  <c r="AE1013" i="22"/>
  <c r="AE1012" i="22"/>
  <c r="AG1011" i="22"/>
  <c r="AE1011" i="22"/>
  <c r="AE1010" i="22"/>
  <c r="AE1009" i="22"/>
  <c r="AE1008" i="22"/>
  <c r="AE1007" i="22"/>
  <c r="AE1006" i="22"/>
  <c r="AE1005" i="22"/>
  <c r="AE1004" i="22"/>
  <c r="AG1003" i="22"/>
  <c r="AE1003" i="22"/>
  <c r="AE1002" i="22"/>
  <c r="AE1001" i="22"/>
  <c r="AE1000" i="22"/>
  <c r="AE999" i="22"/>
  <c r="AE998" i="22"/>
  <c r="AE997" i="22"/>
  <c r="AE996" i="22"/>
  <c r="AE995" i="22"/>
  <c r="AE994" i="22"/>
  <c r="AE993" i="22"/>
  <c r="AE992" i="22"/>
  <c r="AE991" i="22"/>
  <c r="AE990" i="22"/>
  <c r="AE989" i="22"/>
  <c r="AE988" i="22"/>
  <c r="AE987" i="22"/>
  <c r="AE986" i="22"/>
  <c r="AE985" i="22"/>
  <c r="AE984" i="22"/>
  <c r="AE983" i="22"/>
  <c r="AE982" i="22"/>
  <c r="AE981" i="22"/>
  <c r="AE980" i="22"/>
  <c r="AE979" i="22"/>
  <c r="AE978" i="22"/>
  <c r="AE977" i="22"/>
  <c r="AE976" i="22"/>
  <c r="AE975" i="22"/>
  <c r="AE974" i="22"/>
  <c r="AE973" i="22"/>
  <c r="AG972" i="22"/>
  <c r="AE972" i="22"/>
  <c r="AG971" i="22"/>
  <c r="AE971" i="22"/>
  <c r="AG970" i="22"/>
  <c r="AE970" i="22"/>
  <c r="AG969" i="22"/>
  <c r="AE969" i="22"/>
  <c r="AG968" i="22"/>
  <c r="AE968" i="22"/>
  <c r="AG967" i="22"/>
  <c r="AE967" i="22"/>
  <c r="AG966" i="22"/>
  <c r="AE966" i="22"/>
  <c r="AG965" i="22"/>
  <c r="AE965" i="22"/>
  <c r="AG964" i="22"/>
  <c r="AE964" i="22"/>
  <c r="AG963" i="22"/>
  <c r="AE963" i="22"/>
  <c r="AG962" i="22"/>
  <c r="AE962" i="22"/>
  <c r="AG961" i="22"/>
  <c r="AE961" i="22"/>
  <c r="AG960" i="22"/>
  <c r="AF960" i="22"/>
  <c r="AG959" i="22"/>
  <c r="AF959" i="22"/>
  <c r="AG958" i="22"/>
  <c r="AF958" i="22"/>
  <c r="AG957" i="22"/>
  <c r="AF957" i="22"/>
  <c r="AG956" i="22"/>
  <c r="AF956" i="22"/>
  <c r="AG955" i="22"/>
  <c r="AF955" i="22"/>
  <c r="AG954" i="22"/>
  <c r="AF954" i="22"/>
  <c r="AG953" i="22"/>
  <c r="AF953" i="22"/>
  <c r="AG952" i="22"/>
  <c r="AF952" i="22"/>
  <c r="AG951" i="22"/>
  <c r="AF951" i="22"/>
  <c r="AG950" i="22"/>
  <c r="AF950" i="22"/>
  <c r="AG949" i="22"/>
  <c r="AF949" i="22"/>
  <c r="AG948" i="22"/>
  <c r="AE948" i="22"/>
  <c r="AG947" i="22"/>
  <c r="AE947" i="22"/>
  <c r="AG946" i="22"/>
  <c r="AE946" i="22"/>
  <c r="AG945" i="22"/>
  <c r="AE945" i="22"/>
  <c r="AG944" i="22"/>
  <c r="AE944" i="22"/>
  <c r="AG943" i="22"/>
  <c r="AE943" i="22"/>
  <c r="AG942" i="22"/>
  <c r="AE942" i="22"/>
  <c r="AG941" i="22"/>
  <c r="AE941" i="22"/>
  <c r="AG940" i="22"/>
  <c r="AE940" i="22"/>
  <c r="AG939" i="22"/>
  <c r="AE939" i="22"/>
  <c r="AG938" i="22"/>
  <c r="AE938" i="22"/>
  <c r="AG937" i="22"/>
  <c r="AE937" i="22"/>
  <c r="AE936" i="22"/>
  <c r="AE935" i="22"/>
  <c r="AE934" i="22"/>
  <c r="AE933" i="22"/>
  <c r="AE932" i="22"/>
  <c r="AE931" i="22"/>
  <c r="AE930" i="22"/>
  <c r="AE929" i="22"/>
  <c r="AE928" i="22"/>
  <c r="AE927" i="22"/>
  <c r="AE926" i="22"/>
  <c r="AE925" i="22"/>
  <c r="AG924" i="22"/>
  <c r="AF924" i="22"/>
  <c r="AG923" i="22"/>
  <c r="AF923" i="22"/>
  <c r="AG922" i="22"/>
  <c r="AF922" i="22"/>
  <c r="AG921" i="22"/>
  <c r="AF921" i="22"/>
  <c r="AG920" i="22"/>
  <c r="AF920" i="22"/>
  <c r="AG919" i="22"/>
  <c r="AF919" i="22"/>
  <c r="AG918" i="22"/>
  <c r="AF918" i="22"/>
  <c r="AG917" i="22"/>
  <c r="AF917" i="22"/>
  <c r="AG916" i="22"/>
  <c r="AF916" i="22"/>
  <c r="AG915" i="22"/>
  <c r="AF915" i="22"/>
  <c r="AG914" i="22"/>
  <c r="AF914" i="22"/>
  <c r="AG913" i="22"/>
  <c r="AF913" i="22"/>
  <c r="AE912" i="22"/>
  <c r="AE911" i="22"/>
  <c r="AE910" i="22"/>
  <c r="AE909" i="22"/>
  <c r="AE908" i="22"/>
  <c r="AE907" i="22"/>
  <c r="AE906" i="22"/>
  <c r="AE905" i="22"/>
  <c r="AE904" i="22"/>
  <c r="AE903" i="22"/>
  <c r="AE902" i="22"/>
  <c r="AE901" i="22"/>
  <c r="AG900" i="22"/>
  <c r="AE900" i="22"/>
  <c r="AE899" i="22"/>
  <c r="AE898" i="22"/>
  <c r="AE897" i="22"/>
  <c r="AE896" i="22"/>
  <c r="AG895" i="22"/>
  <c r="AE895" i="22"/>
  <c r="AE894" i="22"/>
  <c r="AE893" i="22"/>
  <c r="AE892" i="22"/>
  <c r="AE891" i="22"/>
  <c r="AG890" i="22"/>
  <c r="AE890" i="22"/>
  <c r="AE889" i="22"/>
  <c r="AE888" i="22"/>
  <c r="AE887" i="22"/>
  <c r="AE886" i="22"/>
  <c r="AE885" i="22"/>
  <c r="AG884" i="22"/>
  <c r="AE884" i="22"/>
  <c r="AE883" i="22"/>
  <c r="AE882" i="22"/>
  <c r="AE881" i="22"/>
  <c r="AE880" i="22"/>
  <c r="AE879" i="22"/>
  <c r="AE878" i="22"/>
  <c r="AG877" i="22"/>
  <c r="AE877" i="22"/>
  <c r="AE876" i="22"/>
  <c r="AE875" i="22"/>
  <c r="AE874" i="22"/>
  <c r="AE873" i="22"/>
  <c r="AE872" i="22"/>
  <c r="AG871" i="22"/>
  <c r="AE871" i="22"/>
  <c r="AE870" i="22"/>
  <c r="AE869" i="22"/>
  <c r="AE868" i="22"/>
  <c r="AE867" i="22"/>
  <c r="AG866" i="22"/>
  <c r="AE866" i="22"/>
  <c r="AE865" i="22"/>
  <c r="AE864" i="22"/>
  <c r="AE863" i="22"/>
  <c r="AE862" i="22"/>
  <c r="AG861" i="22"/>
  <c r="AE861" i="22"/>
  <c r="AE860" i="22"/>
  <c r="AE859" i="22"/>
  <c r="AE858" i="22"/>
  <c r="AE857" i="22"/>
  <c r="AG856" i="22"/>
  <c r="AE856" i="22"/>
  <c r="AE855" i="22"/>
  <c r="AE854" i="22"/>
  <c r="AE853" i="22"/>
  <c r="AE852" i="22"/>
  <c r="AE851" i="22"/>
  <c r="AG850" i="22"/>
  <c r="AE850" i="22"/>
  <c r="AE849" i="22"/>
  <c r="AE848" i="22"/>
  <c r="AE847" i="22"/>
  <c r="AE846" i="22"/>
  <c r="AE845" i="22"/>
  <c r="AG844" i="22"/>
  <c r="AE844" i="22"/>
  <c r="AE843" i="22"/>
  <c r="AE842" i="22"/>
  <c r="AE841" i="22"/>
  <c r="AE840" i="22"/>
  <c r="AG839" i="22"/>
  <c r="AE839" i="22"/>
  <c r="AE838" i="22"/>
  <c r="AE837" i="22"/>
  <c r="AE836" i="22"/>
  <c r="AE835" i="22"/>
  <c r="AG834" i="22"/>
  <c r="AF834" i="22"/>
  <c r="AG833" i="22"/>
  <c r="AF833" i="22"/>
  <c r="AG832" i="22"/>
  <c r="AF832" i="22"/>
  <c r="AG831" i="22"/>
  <c r="AF831" i="22"/>
  <c r="AG830" i="22"/>
  <c r="AF830" i="22"/>
  <c r="AG829" i="22"/>
  <c r="AF829" i="22"/>
  <c r="AG828" i="22"/>
  <c r="AF828" i="22"/>
  <c r="AG827" i="22"/>
  <c r="AF827" i="22"/>
  <c r="AG826" i="22"/>
  <c r="AF826" i="22"/>
  <c r="AG825" i="22"/>
  <c r="AF825" i="22"/>
  <c r="AG824" i="22"/>
  <c r="AF824" i="22"/>
  <c r="AG823" i="22"/>
  <c r="AF823" i="22"/>
  <c r="AG822" i="22"/>
  <c r="AF822" i="22"/>
  <c r="AG821" i="22"/>
  <c r="AF821" i="22"/>
  <c r="AG820" i="22"/>
  <c r="AF820" i="22"/>
  <c r="AG819" i="22"/>
  <c r="AF819" i="22"/>
  <c r="AG818" i="22"/>
  <c r="AF818" i="22"/>
  <c r="AG817" i="22"/>
  <c r="AF817" i="22"/>
  <c r="AG816" i="22"/>
  <c r="AF816" i="22"/>
  <c r="AG815" i="22"/>
  <c r="AF815" i="22"/>
  <c r="AG814" i="22"/>
  <c r="AF814" i="22"/>
  <c r="AG813" i="22"/>
  <c r="AF813" i="22"/>
  <c r="AG812" i="22"/>
  <c r="AF812" i="22"/>
  <c r="AG811" i="22"/>
  <c r="AF811" i="22"/>
  <c r="AG810" i="22"/>
  <c r="AF810" i="22"/>
  <c r="AG809" i="22"/>
  <c r="AF809" i="22"/>
  <c r="AG808" i="22"/>
  <c r="AF808" i="22"/>
  <c r="AG807" i="22"/>
  <c r="AF807" i="22"/>
  <c r="AG806" i="22"/>
  <c r="AF806" i="22"/>
  <c r="AG805" i="22"/>
  <c r="AF805" i="22"/>
  <c r="AG804" i="22"/>
  <c r="AF804" i="22"/>
  <c r="AG803" i="22"/>
  <c r="AF803" i="22"/>
  <c r="AG802" i="22"/>
  <c r="AF802" i="22"/>
  <c r="AG801" i="22"/>
  <c r="AF801" i="22"/>
  <c r="AG800" i="22"/>
  <c r="AF800" i="22"/>
  <c r="AG799" i="22"/>
  <c r="AF799" i="22"/>
  <c r="AG798" i="22"/>
  <c r="AF798" i="22"/>
  <c r="AG797" i="22"/>
  <c r="AF797" i="22"/>
  <c r="AG796" i="22"/>
  <c r="AF796" i="22"/>
  <c r="AG795" i="22"/>
  <c r="AF795" i="22"/>
  <c r="AG794" i="22"/>
  <c r="AF794" i="22"/>
  <c r="AG793" i="22"/>
  <c r="AF793" i="22"/>
  <c r="AG792" i="22"/>
  <c r="AF792" i="22"/>
  <c r="AG791" i="22"/>
  <c r="AF791" i="22"/>
  <c r="AG790" i="22"/>
  <c r="AF790" i="22"/>
  <c r="AG789" i="22"/>
  <c r="AF789" i="22"/>
  <c r="AG788" i="22"/>
  <c r="AF788" i="22"/>
  <c r="AG787" i="22"/>
  <c r="AF787" i="22"/>
  <c r="AG786" i="22"/>
  <c r="AF786" i="22"/>
  <c r="AG785" i="22"/>
  <c r="AF785" i="22"/>
  <c r="AG784" i="22"/>
  <c r="AF784" i="22"/>
  <c r="AG783" i="22"/>
  <c r="AF783" i="22"/>
  <c r="AG782" i="22"/>
  <c r="AF782" i="22"/>
  <c r="AG781" i="22"/>
  <c r="AF781" i="22"/>
  <c r="AG780" i="22"/>
  <c r="AF780" i="22"/>
  <c r="AG779" i="22"/>
  <c r="AF779" i="22"/>
  <c r="AG778" i="22"/>
  <c r="AF778" i="22"/>
  <c r="AG777" i="22"/>
  <c r="AF777" i="22"/>
  <c r="AG776" i="22"/>
  <c r="AF776" i="22"/>
  <c r="AG775" i="22"/>
  <c r="AF775" i="22"/>
  <c r="AG774" i="22"/>
  <c r="AF774" i="22"/>
  <c r="AG773" i="22"/>
  <c r="AF773" i="22"/>
  <c r="AG772" i="22"/>
  <c r="AF772" i="22"/>
  <c r="AG771" i="22"/>
  <c r="AF771" i="22"/>
  <c r="AG770" i="22"/>
  <c r="AF770" i="22"/>
  <c r="AG769" i="22"/>
  <c r="AF769" i="22"/>
  <c r="AG768" i="22"/>
  <c r="AE768" i="22"/>
  <c r="AE767" i="22"/>
  <c r="AE766" i="22"/>
  <c r="AE765" i="22"/>
  <c r="AE764" i="22"/>
  <c r="AG763" i="22"/>
  <c r="AE763" i="22"/>
  <c r="AE762" i="22"/>
  <c r="AE761" i="22"/>
  <c r="AE760" i="22"/>
  <c r="AE759" i="22"/>
  <c r="AG758" i="22"/>
  <c r="AE758" i="22"/>
  <c r="AE757" i="22"/>
  <c r="AE756" i="22"/>
  <c r="AE755" i="22"/>
  <c r="AE754" i="22"/>
  <c r="AE753" i="22"/>
  <c r="AG752" i="22"/>
  <c r="AE752" i="22"/>
  <c r="AE751" i="22"/>
  <c r="AE750" i="22"/>
  <c r="AE749" i="22"/>
  <c r="AE748" i="22"/>
  <c r="AE747" i="22"/>
  <c r="AE746" i="22"/>
  <c r="AG745" i="22"/>
  <c r="AE745" i="22"/>
  <c r="AE744" i="22"/>
  <c r="AE743" i="22"/>
  <c r="AE742" i="22"/>
  <c r="AE741" i="22"/>
  <c r="AE740" i="22"/>
  <c r="AG739" i="22"/>
  <c r="AE739" i="22"/>
  <c r="AE738" i="22"/>
  <c r="AE737" i="22"/>
  <c r="AE736" i="22"/>
  <c r="AE735" i="22"/>
  <c r="AG734" i="22"/>
  <c r="AE734" i="22"/>
  <c r="AE733" i="22"/>
  <c r="AE732" i="22"/>
  <c r="AE731" i="22"/>
  <c r="AE730" i="22"/>
  <c r="AG729" i="22"/>
  <c r="AE729" i="22"/>
  <c r="AE728" i="22"/>
  <c r="AE727" i="22"/>
  <c r="AE726" i="22"/>
  <c r="AE725" i="22"/>
  <c r="AG724" i="22"/>
  <c r="AE724" i="22"/>
  <c r="AE723" i="22"/>
  <c r="AE722" i="22"/>
  <c r="AE721" i="22"/>
  <c r="AE720" i="22"/>
  <c r="AE719" i="22"/>
  <c r="AG718" i="22"/>
  <c r="AE718" i="22"/>
  <c r="AE717" i="22"/>
  <c r="AE716" i="22"/>
  <c r="AE715" i="22"/>
  <c r="AE714" i="22"/>
  <c r="AE713" i="22"/>
  <c r="AG712" i="22"/>
  <c r="AE712" i="22"/>
  <c r="AE711" i="22"/>
  <c r="AE710" i="22"/>
  <c r="AE709" i="22"/>
  <c r="AE708" i="22"/>
  <c r="AG707" i="22"/>
  <c r="AE707" i="22"/>
  <c r="AE706" i="22"/>
  <c r="AE705" i="22"/>
  <c r="AE704" i="22"/>
  <c r="AE703" i="22"/>
  <c r="AD702" i="22"/>
  <c r="AC702" i="22"/>
  <c r="AB702" i="22"/>
  <c r="AD701" i="22"/>
  <c r="AC701" i="22"/>
  <c r="AB701" i="22"/>
  <c r="AD700" i="22"/>
  <c r="AC700" i="22"/>
  <c r="AB700" i="22"/>
  <c r="AD699" i="22"/>
  <c r="AC699" i="22"/>
  <c r="AB699" i="22"/>
  <c r="AD698" i="22"/>
  <c r="AC698" i="22"/>
  <c r="AB698" i="22"/>
  <c r="AD697" i="22"/>
  <c r="AC697" i="22"/>
  <c r="AB697" i="22"/>
  <c r="AD696" i="22"/>
  <c r="AC696" i="22"/>
  <c r="AB696" i="22"/>
  <c r="AD695" i="22"/>
  <c r="AC695" i="22"/>
  <c r="AB695" i="22"/>
  <c r="AD694" i="22"/>
  <c r="AC694" i="22"/>
  <c r="AB694" i="22"/>
  <c r="AD693" i="22"/>
  <c r="AC693" i="22"/>
  <c r="AB693" i="22"/>
  <c r="AD692" i="22"/>
  <c r="AC692" i="22"/>
  <c r="AB692" i="22"/>
  <c r="AD691" i="22"/>
  <c r="AC691" i="22"/>
  <c r="AB691" i="22"/>
  <c r="AD690" i="22"/>
  <c r="AC690" i="22"/>
  <c r="AB690" i="22"/>
  <c r="AD689" i="22"/>
  <c r="AC689" i="22"/>
  <c r="AB689" i="22"/>
  <c r="AD688" i="22"/>
  <c r="AC688" i="22"/>
  <c r="AB688" i="22"/>
  <c r="AD687" i="22"/>
  <c r="AC687" i="22"/>
  <c r="AB687" i="22"/>
  <c r="AD686" i="22"/>
  <c r="AC686" i="22"/>
  <c r="AB686" i="22"/>
  <c r="AD685" i="22"/>
  <c r="AC685" i="22"/>
  <c r="AB685" i="22"/>
  <c r="AD684" i="22"/>
  <c r="AC684" i="22"/>
  <c r="AB684" i="22"/>
  <c r="AD683" i="22"/>
  <c r="AC683" i="22"/>
  <c r="AB683" i="22"/>
  <c r="AD682" i="22"/>
  <c r="AC682" i="22"/>
  <c r="AB682" i="22"/>
  <c r="AD681" i="22"/>
  <c r="AC681" i="22"/>
  <c r="AB681" i="22"/>
  <c r="AD680" i="22"/>
  <c r="AC680" i="22"/>
  <c r="AB680" i="22"/>
  <c r="AD679" i="22"/>
  <c r="AC679" i="22"/>
  <c r="AB679" i="22"/>
  <c r="AD678" i="22"/>
  <c r="AC678" i="22"/>
  <c r="AB678" i="22"/>
  <c r="AD677" i="22"/>
  <c r="AC677" i="22"/>
  <c r="AB677" i="22"/>
  <c r="AD676" i="22"/>
  <c r="AC676" i="22"/>
  <c r="AB676" i="22"/>
  <c r="AD675" i="22"/>
  <c r="AC675" i="22"/>
  <c r="AB675" i="22"/>
  <c r="AD674" i="22"/>
  <c r="AC674" i="22"/>
  <c r="AB674" i="22"/>
  <c r="AD673" i="22"/>
  <c r="AC673" i="22"/>
  <c r="AB673" i="22"/>
  <c r="AD672" i="22"/>
  <c r="AC672" i="22"/>
  <c r="AB672" i="22"/>
  <c r="AD671" i="22"/>
  <c r="AC671" i="22"/>
  <c r="AB671" i="22"/>
  <c r="AD670" i="22"/>
  <c r="AC670" i="22"/>
  <c r="AB670" i="22"/>
  <c r="AD669" i="22"/>
  <c r="AC669" i="22"/>
  <c r="AB669" i="22"/>
  <c r="AD668" i="22"/>
  <c r="AC668" i="22"/>
  <c r="AB668" i="22"/>
  <c r="AD667" i="22"/>
  <c r="AC667" i="22"/>
  <c r="AB667" i="22"/>
  <c r="AD666" i="22"/>
  <c r="AC666" i="22"/>
  <c r="AB666" i="22"/>
  <c r="AD665" i="22"/>
  <c r="AC665" i="22"/>
  <c r="AB665" i="22"/>
  <c r="AD664" i="22"/>
  <c r="AC664" i="22"/>
  <c r="AB664" i="22"/>
  <c r="AD663" i="22"/>
  <c r="AC663" i="22"/>
  <c r="AB663" i="22"/>
  <c r="AD662" i="22"/>
  <c r="AC662" i="22"/>
  <c r="AB662" i="22"/>
  <c r="AD661" i="22"/>
  <c r="AC661" i="22"/>
  <c r="AB661" i="22"/>
  <c r="AD660" i="22"/>
  <c r="AC660" i="22"/>
  <c r="AB660" i="22"/>
  <c r="AD659" i="22"/>
  <c r="AC659" i="22"/>
  <c r="AB659" i="22"/>
  <c r="AD658" i="22"/>
  <c r="AC658" i="22"/>
  <c r="AB658" i="22"/>
  <c r="AD657" i="22"/>
  <c r="AC657" i="22"/>
  <c r="AB657" i="22"/>
  <c r="AD656" i="22"/>
  <c r="AC656" i="22"/>
  <c r="AB656" i="22"/>
  <c r="AD655" i="22"/>
  <c r="AC655" i="22"/>
  <c r="AB655" i="22"/>
  <c r="AD654" i="22"/>
  <c r="AC654" i="22"/>
  <c r="AB654" i="22"/>
  <c r="AD653" i="22"/>
  <c r="AC653" i="22"/>
  <c r="AB653" i="22"/>
  <c r="AD652" i="22"/>
  <c r="AC652" i="22"/>
  <c r="AB652" i="22"/>
  <c r="AD651" i="22"/>
  <c r="AC651" i="22"/>
  <c r="AB651" i="22"/>
  <c r="AD650" i="22"/>
  <c r="AC650" i="22"/>
  <c r="AB650" i="22"/>
  <c r="AD649" i="22"/>
  <c r="AC649" i="22"/>
  <c r="AB649" i="22"/>
  <c r="AD648" i="22"/>
  <c r="AC648" i="22"/>
  <c r="AB648" i="22"/>
  <c r="AD647" i="22"/>
  <c r="AC647" i="22"/>
  <c r="AB647" i="22"/>
  <c r="AD646" i="22"/>
  <c r="AC646" i="22"/>
  <c r="AB646" i="22"/>
  <c r="AD645" i="22"/>
  <c r="AC645" i="22"/>
  <c r="AB645" i="22"/>
  <c r="AD644" i="22"/>
  <c r="AC644" i="22"/>
  <c r="AB644" i="22"/>
  <c r="AD643" i="22"/>
  <c r="AC643" i="22"/>
  <c r="AB643" i="22"/>
  <c r="AD642" i="22"/>
  <c r="AC642" i="22"/>
  <c r="AB642" i="22"/>
  <c r="AD641" i="22"/>
  <c r="AC641" i="22"/>
  <c r="AB641" i="22"/>
  <c r="AD640" i="22"/>
  <c r="AC640" i="22"/>
  <c r="AB640" i="22"/>
  <c r="AD639" i="22"/>
  <c r="AC639" i="22"/>
  <c r="AB639" i="22"/>
  <c r="AD638" i="22"/>
  <c r="AC638" i="22"/>
  <c r="AB638" i="22"/>
  <c r="AD637" i="22"/>
  <c r="AC637" i="22"/>
  <c r="AB637" i="22"/>
  <c r="AD636" i="22"/>
  <c r="AC636" i="22"/>
  <c r="AB636" i="22"/>
  <c r="AD635" i="22"/>
  <c r="AC635" i="22"/>
  <c r="AB635" i="22"/>
  <c r="AD634" i="22"/>
  <c r="AC634" i="22"/>
  <c r="AB634" i="22"/>
  <c r="AD633" i="22"/>
  <c r="AC633" i="22"/>
  <c r="AB633" i="22"/>
  <c r="AD632" i="22"/>
  <c r="AC632" i="22"/>
  <c r="AB632" i="22"/>
  <c r="AD631" i="22"/>
  <c r="AC631" i="22"/>
  <c r="AB631" i="22"/>
  <c r="AD630" i="22"/>
  <c r="AC630" i="22"/>
  <c r="AB630" i="22"/>
  <c r="AD629" i="22"/>
  <c r="AC629" i="22"/>
  <c r="AB629" i="22"/>
  <c r="AD628" i="22"/>
  <c r="AC628" i="22"/>
  <c r="AB628" i="22"/>
  <c r="AD627" i="22"/>
  <c r="AC627" i="22"/>
  <c r="AB627" i="22"/>
  <c r="AD626" i="22"/>
  <c r="AC626" i="22"/>
  <c r="AB626" i="22"/>
  <c r="AD625" i="22"/>
  <c r="AC625" i="22"/>
  <c r="AB625" i="22"/>
  <c r="AD624" i="22"/>
  <c r="AC624" i="22"/>
  <c r="AB624" i="22"/>
  <c r="AD623" i="22"/>
  <c r="AC623" i="22"/>
  <c r="AB623" i="22"/>
  <c r="AD622" i="22"/>
  <c r="AC622" i="22"/>
  <c r="AB622" i="22"/>
  <c r="AD621" i="22"/>
  <c r="AC621" i="22"/>
  <c r="AB621" i="22"/>
  <c r="AD620" i="22"/>
  <c r="AC620" i="22"/>
  <c r="AB620" i="22"/>
  <c r="AD619" i="22"/>
  <c r="AC619" i="22"/>
  <c r="AB619" i="22"/>
  <c r="AD618" i="22"/>
  <c r="AC618" i="22"/>
  <c r="AB618" i="22"/>
  <c r="AD617" i="22"/>
  <c r="AC617" i="22"/>
  <c r="AB617" i="22"/>
  <c r="AD616" i="22"/>
  <c r="AC616" i="22"/>
  <c r="AB616" i="22"/>
  <c r="AD615" i="22"/>
  <c r="AC615" i="22"/>
  <c r="AB615" i="22"/>
  <c r="AD614" i="22"/>
  <c r="AC614" i="22"/>
  <c r="AB614" i="22"/>
  <c r="AD613" i="22"/>
  <c r="AC613" i="22"/>
  <c r="AB613" i="22"/>
  <c r="AD612" i="22"/>
  <c r="AC612" i="22"/>
  <c r="AB612" i="22"/>
  <c r="AD611" i="22"/>
  <c r="AC611" i="22"/>
  <c r="AB611" i="22"/>
  <c r="AD610" i="22"/>
  <c r="AC610" i="22"/>
  <c r="AB610" i="22"/>
  <c r="AD609" i="22"/>
  <c r="AC609" i="22"/>
  <c r="AB609" i="22"/>
  <c r="AD608" i="22"/>
  <c r="AC608" i="22"/>
  <c r="AB608" i="22"/>
  <c r="AD607" i="22"/>
  <c r="AC607" i="22"/>
  <c r="AB607" i="22"/>
  <c r="AG529" i="22"/>
  <c r="AG525" i="22"/>
  <c r="AG521" i="22"/>
  <c r="AG515" i="22"/>
  <c r="AG510" i="22"/>
  <c r="AG504" i="22"/>
  <c r="AG499" i="22"/>
  <c r="AG494" i="22"/>
  <c r="AG490" i="22"/>
  <c r="AG485" i="22"/>
  <c r="AG480" i="22"/>
  <c r="AG474" i="22"/>
  <c r="AG469" i="22"/>
  <c r="AE469" i="22"/>
  <c r="AG468" i="22"/>
  <c r="AE468" i="22"/>
  <c r="AG467" i="22"/>
  <c r="AE467" i="22"/>
  <c r="AG466" i="22"/>
  <c r="AE466" i="22"/>
  <c r="AG465" i="22"/>
  <c r="AE465" i="22"/>
  <c r="AG464" i="22"/>
  <c r="AE464" i="22"/>
  <c r="AG463" i="22"/>
  <c r="AE463" i="22"/>
  <c r="AG462" i="22"/>
  <c r="AE462" i="22"/>
  <c r="AG461" i="22"/>
  <c r="AE461" i="22"/>
  <c r="AG460" i="22"/>
  <c r="AE460" i="22"/>
  <c r="AG459" i="22"/>
  <c r="AE459" i="22"/>
  <c r="AG458" i="22"/>
  <c r="AE458" i="22"/>
  <c r="AG457" i="22"/>
  <c r="AG453" i="22"/>
  <c r="AG449" i="22"/>
  <c r="AG443" i="22"/>
  <c r="AG438" i="22"/>
  <c r="AG432" i="22"/>
  <c r="AG427" i="22"/>
  <c r="AG422" i="22"/>
  <c r="AG418" i="22"/>
  <c r="AG413" i="22"/>
  <c r="AG408" i="22"/>
  <c r="AG402" i="22"/>
  <c r="AG397" i="22"/>
  <c r="AG396" i="22"/>
  <c r="AG395" i="22"/>
  <c r="AG394" i="22"/>
  <c r="AG393" i="22"/>
  <c r="AG392" i="22"/>
  <c r="AG391" i="22"/>
  <c r="AG390" i="22"/>
  <c r="AG389" i="22"/>
  <c r="AG388" i="22"/>
  <c r="AG387" i="22"/>
  <c r="AG386" i="22"/>
  <c r="AG385" i="22"/>
  <c r="AE385" i="22"/>
  <c r="AG384" i="22"/>
  <c r="AE384" i="22"/>
  <c r="AG383" i="22"/>
  <c r="AE383" i="22"/>
  <c r="AG382" i="22"/>
  <c r="AE382" i="22"/>
  <c r="AG381" i="22"/>
  <c r="AE381" i="22"/>
  <c r="AG380" i="22"/>
  <c r="AE380" i="22"/>
  <c r="AG379" i="22"/>
  <c r="AE379" i="22"/>
  <c r="AG378" i="22"/>
  <c r="AE378" i="22"/>
  <c r="AG377" i="22"/>
  <c r="AE377" i="22"/>
  <c r="AG376" i="22"/>
  <c r="AE376" i="22"/>
  <c r="AG375" i="22"/>
  <c r="AE375" i="22"/>
  <c r="AG374" i="22"/>
  <c r="AE374" i="22"/>
  <c r="AG373" i="22"/>
  <c r="AG372" i="22"/>
  <c r="AG371" i="22"/>
  <c r="AG370" i="22"/>
  <c r="AG369" i="22"/>
  <c r="AG368" i="22"/>
  <c r="AG367" i="22"/>
  <c r="AG366" i="22"/>
  <c r="AG365" i="22"/>
  <c r="AG364" i="22"/>
  <c r="AG363" i="22"/>
  <c r="AG362" i="22"/>
  <c r="AG361" i="22"/>
  <c r="AG355" i="22"/>
  <c r="AG349" i="22"/>
  <c r="AG344" i="22"/>
  <c r="AG335" i="22"/>
  <c r="AG331" i="22"/>
  <c r="AG310" i="22"/>
  <c r="AE310" i="22"/>
  <c r="AG309" i="22"/>
  <c r="AE309" i="22"/>
  <c r="AG308" i="22"/>
  <c r="AE308" i="22"/>
  <c r="AG307" i="22"/>
  <c r="AE307" i="22"/>
  <c r="AG306" i="22"/>
  <c r="AE306" i="22"/>
  <c r="AG305" i="22"/>
  <c r="AE305" i="22"/>
  <c r="AG304" i="22"/>
  <c r="AG298" i="22"/>
  <c r="AG292" i="22"/>
  <c r="AG287" i="22"/>
  <c r="AG278" i="22"/>
  <c r="AG274" i="22"/>
  <c r="AG253" i="22"/>
  <c r="AF253" i="22"/>
  <c r="AG252" i="22"/>
  <c r="AF252" i="22"/>
  <c r="AG251" i="22"/>
  <c r="AF251" i="22"/>
  <c r="AG250" i="22"/>
  <c r="AF250" i="22"/>
  <c r="AG249" i="22"/>
  <c r="AF249" i="22"/>
  <c r="AG248" i="22"/>
  <c r="AF248" i="22"/>
  <c r="AG247" i="22"/>
  <c r="AF247" i="22"/>
  <c r="AG246" i="22"/>
  <c r="AF246" i="22"/>
  <c r="AG245" i="22"/>
  <c r="AF245" i="22"/>
  <c r="AG244" i="22"/>
  <c r="AF244" i="22"/>
  <c r="AG243" i="22"/>
  <c r="AF243" i="22"/>
  <c r="AG242" i="22"/>
  <c r="AF242" i="22"/>
  <c r="AG241" i="22"/>
  <c r="AF241" i="22"/>
  <c r="AG240" i="22"/>
  <c r="AF240" i="22"/>
  <c r="AG239" i="22"/>
  <c r="AF239" i="22"/>
  <c r="AG238" i="22"/>
  <c r="AF238" i="22"/>
  <c r="AG237" i="22"/>
  <c r="AF237" i="22"/>
  <c r="AG236" i="22"/>
  <c r="AF236" i="22"/>
  <c r="AG235" i="22"/>
  <c r="AF235" i="22"/>
  <c r="AG234" i="22"/>
  <c r="AF234" i="22"/>
  <c r="AG233" i="22"/>
  <c r="AF233" i="22"/>
  <c r="AG232" i="22"/>
  <c r="AF232" i="22"/>
  <c r="AG231" i="22"/>
  <c r="AF231" i="22"/>
  <c r="AG230" i="22"/>
  <c r="AF230" i="22"/>
  <c r="AG229" i="22"/>
  <c r="AF229" i="22"/>
  <c r="AG228" i="22"/>
  <c r="AF228" i="22"/>
  <c r="AG227" i="22"/>
  <c r="AF227" i="22"/>
  <c r="AG226" i="22"/>
  <c r="AF226" i="22"/>
  <c r="AG225" i="22"/>
  <c r="AF225" i="22"/>
  <c r="AG224" i="22"/>
  <c r="AF224" i="22"/>
  <c r="AG223" i="22"/>
  <c r="AF223" i="22"/>
  <c r="AG222" i="22"/>
  <c r="AF222" i="22"/>
  <c r="AG221" i="22"/>
  <c r="AF221" i="22"/>
  <c r="AG220" i="22"/>
  <c r="AF220" i="22"/>
  <c r="AG219" i="22"/>
  <c r="AF219" i="22"/>
  <c r="AG218" i="22"/>
  <c r="AF218" i="22"/>
  <c r="AG217" i="22"/>
  <c r="AF217" i="22"/>
  <c r="AG216" i="22"/>
  <c r="AF216" i="22"/>
  <c r="AG215" i="22"/>
  <c r="AF215" i="22"/>
  <c r="AG214" i="22"/>
  <c r="AF214" i="22"/>
  <c r="AG213" i="22"/>
  <c r="AF213" i="22"/>
  <c r="AG212" i="22"/>
  <c r="AF212" i="22"/>
  <c r="AG211" i="22"/>
  <c r="AF211" i="22"/>
  <c r="AG210" i="22"/>
  <c r="AF210" i="22"/>
  <c r="AG209" i="22"/>
  <c r="AF209" i="22"/>
  <c r="AG208" i="22"/>
  <c r="AF208" i="22"/>
  <c r="AG207" i="22"/>
  <c r="AF207" i="22"/>
  <c r="AG206" i="22"/>
  <c r="AF206" i="22"/>
  <c r="AG205" i="22"/>
  <c r="AF205" i="22"/>
  <c r="AG204" i="22"/>
  <c r="AF204" i="22"/>
  <c r="AG203" i="22"/>
  <c r="AF203" i="22"/>
  <c r="AG202" i="22"/>
  <c r="AF202" i="22"/>
  <c r="AG201" i="22"/>
  <c r="AF201" i="22"/>
  <c r="AG200" i="22"/>
  <c r="AF200" i="22"/>
  <c r="AG199" i="22"/>
  <c r="AF199" i="22"/>
  <c r="AG198" i="22"/>
  <c r="AF198" i="22"/>
  <c r="AG197" i="22"/>
  <c r="AF197" i="22"/>
  <c r="AG196" i="22"/>
  <c r="AF196" i="22"/>
  <c r="AG195" i="22"/>
  <c r="AF195" i="22"/>
  <c r="AG194" i="22"/>
  <c r="AF194" i="22"/>
  <c r="AG193" i="22"/>
  <c r="AC193" i="22"/>
  <c r="AB193" i="22"/>
  <c r="AG192" i="22"/>
  <c r="AC192" i="22"/>
  <c r="AB192" i="22"/>
  <c r="AG191" i="22"/>
  <c r="AC191" i="22"/>
  <c r="AB191" i="22"/>
  <c r="AG190" i="22"/>
  <c r="AC190" i="22"/>
  <c r="AB190" i="22"/>
  <c r="AG189" i="22"/>
  <c r="AC189" i="22"/>
  <c r="AB189" i="22"/>
  <c r="AG188" i="22"/>
  <c r="AC188" i="22"/>
  <c r="AB188" i="22"/>
  <c r="AG187" i="22"/>
  <c r="AC187" i="22"/>
  <c r="AB187" i="22"/>
  <c r="AG186" i="22"/>
  <c r="AC186" i="22"/>
  <c r="AB186" i="22"/>
  <c r="AG185" i="22"/>
  <c r="AC185" i="22"/>
  <c r="AB185" i="22"/>
  <c r="AG184" i="22"/>
  <c r="AC184" i="22"/>
  <c r="AB184" i="22"/>
  <c r="AG183" i="22"/>
  <c r="AC183" i="22"/>
  <c r="AB183" i="22"/>
  <c r="AG182" i="22"/>
  <c r="AC182" i="22"/>
  <c r="AB182" i="22"/>
  <c r="AG181" i="22"/>
  <c r="AE181" i="22"/>
  <c r="AC181" i="22"/>
  <c r="AG180" i="22"/>
  <c r="AE180" i="22"/>
  <c r="AC180" i="22"/>
  <c r="AG179" i="22"/>
  <c r="AE179" i="22"/>
  <c r="AC179" i="22"/>
  <c r="AG178" i="22"/>
  <c r="AE178" i="22"/>
  <c r="AC178" i="22"/>
  <c r="AG177" i="22"/>
  <c r="AE177" i="22"/>
  <c r="AC177" i="22"/>
  <c r="AG176" i="22"/>
  <c r="AE176" i="22"/>
  <c r="AC176" i="22"/>
  <c r="AG175" i="22"/>
  <c r="AE175" i="22"/>
  <c r="AC175" i="22"/>
  <c r="AG174" i="22"/>
  <c r="AE174" i="22"/>
  <c r="AC174" i="22"/>
  <c r="AG173" i="22"/>
  <c r="AE173" i="22"/>
  <c r="AC173" i="22"/>
  <c r="AG172" i="22"/>
  <c r="AE172" i="22"/>
  <c r="AC172" i="22"/>
  <c r="AG171" i="22"/>
  <c r="AE171" i="22"/>
  <c r="AC171" i="22"/>
  <c r="AG170" i="22"/>
  <c r="AE170" i="22"/>
  <c r="AC170" i="22"/>
  <c r="AG169" i="22"/>
  <c r="AC169" i="22"/>
  <c r="AB169" i="22"/>
  <c r="AG168" i="22"/>
  <c r="AC168" i="22"/>
  <c r="AB168" i="22"/>
  <c r="AG167" i="22"/>
  <c r="AC167" i="22"/>
  <c r="AB167" i="22"/>
  <c r="AG166" i="22"/>
  <c r="AC166" i="22"/>
  <c r="AB166" i="22"/>
  <c r="AG165" i="22"/>
  <c r="AC165" i="22"/>
  <c r="AB165" i="22"/>
  <c r="AG164" i="22"/>
  <c r="AC164" i="22"/>
  <c r="AB164" i="22"/>
  <c r="AG163" i="22"/>
  <c r="AC163" i="22"/>
  <c r="AB163" i="22"/>
  <c r="AG162" i="22"/>
  <c r="AC162" i="22"/>
  <c r="AB162" i="22"/>
  <c r="AG161" i="22"/>
  <c r="AC161" i="22"/>
  <c r="AB161" i="22"/>
  <c r="AG160" i="22"/>
  <c r="AC160" i="22"/>
  <c r="AB160" i="22"/>
  <c r="AG159" i="22"/>
  <c r="AC159" i="22"/>
  <c r="AB159" i="22"/>
  <c r="AG158" i="22"/>
  <c r="AC158" i="22"/>
  <c r="AB158" i="22"/>
  <c r="AG133" i="22"/>
  <c r="AG131" i="22"/>
  <c r="AG129" i="22"/>
  <c r="AG127" i="22"/>
  <c r="AG125" i="22"/>
  <c r="AG123" i="22"/>
  <c r="AG121" i="22"/>
  <c r="AG119" i="22"/>
  <c r="AG117" i="22"/>
  <c r="AG115" i="22"/>
  <c r="AG113" i="22"/>
  <c r="AG111" i="22"/>
  <c r="AG109" i="22"/>
  <c r="AE109" i="22"/>
  <c r="AG108" i="22"/>
  <c r="AE108" i="22"/>
  <c r="AG107" i="22"/>
  <c r="AE107" i="22"/>
  <c r="AG106" i="22"/>
  <c r="AE106" i="22"/>
  <c r="AG105" i="22"/>
  <c r="AE105" i="22"/>
  <c r="AG104" i="22"/>
  <c r="AE104" i="22"/>
  <c r="AG103" i="22"/>
  <c r="AE103" i="22"/>
  <c r="AG102" i="22"/>
  <c r="AE102" i="22"/>
  <c r="AG101" i="22"/>
  <c r="AE101" i="22"/>
  <c r="AG100" i="22"/>
  <c r="AE100" i="22"/>
  <c r="AG99" i="22"/>
  <c r="AE99" i="22"/>
  <c r="AG98" i="22"/>
  <c r="AE98" i="22"/>
  <c r="AG97" i="22"/>
  <c r="AG95" i="22"/>
  <c r="AG93" i="22"/>
  <c r="AG91" i="22"/>
  <c r="AG89" i="22"/>
  <c r="AG87" i="22"/>
  <c r="AG85" i="22"/>
  <c r="AG83" i="22"/>
  <c r="AG81" i="22"/>
  <c r="AG79" i="22"/>
  <c r="AG77" i="22"/>
  <c r="AG75" i="22"/>
  <c r="AG73" i="22"/>
  <c r="AG72" i="22"/>
  <c r="AG71" i="22"/>
  <c r="AG70" i="22"/>
  <c r="AG69" i="22"/>
  <c r="AG68" i="22"/>
  <c r="AG67" i="22"/>
  <c r="AG66" i="22"/>
  <c r="AG65" i="22"/>
  <c r="AG64" i="22"/>
  <c r="AG63" i="22"/>
  <c r="AG62" i="22"/>
  <c r="AG61" i="22"/>
  <c r="AE61" i="22"/>
  <c r="AG60" i="22"/>
  <c r="AE60" i="22"/>
  <c r="AG59" i="22"/>
  <c r="AE59" i="22"/>
  <c r="AG58" i="22"/>
  <c r="AE58" i="22"/>
  <c r="AG57" i="22"/>
  <c r="AE57" i="22"/>
  <c r="AG56" i="22"/>
  <c r="AE56" i="22"/>
  <c r="AG55" i="22"/>
  <c r="AE55" i="22"/>
  <c r="AG54" i="22"/>
  <c r="AE54" i="22"/>
  <c r="AG53" i="22"/>
  <c r="AE53" i="22"/>
  <c r="AG52" i="22"/>
  <c r="AE52" i="22"/>
  <c r="AG51" i="22"/>
  <c r="AE51" i="22"/>
  <c r="AG50" i="22"/>
  <c r="AE50" i="22"/>
  <c r="AG49" i="22"/>
  <c r="AG48" i="22"/>
  <c r="AG47" i="22"/>
  <c r="AG46" i="22"/>
  <c r="AG45" i="22"/>
  <c r="AG44" i="22"/>
  <c r="AG43" i="22"/>
  <c r="AG42" i="22"/>
  <c r="AG41" i="22"/>
  <c r="AG40" i="22"/>
  <c r="AG39" i="22"/>
  <c r="AG38" i="22"/>
  <c r="AG37" i="22"/>
  <c r="AG36" i="22"/>
  <c r="AG35" i="22"/>
  <c r="AG34" i="22"/>
  <c r="AG33" i="22"/>
  <c r="AG32" i="22"/>
  <c r="AG31" i="22"/>
  <c r="AG30" i="22"/>
  <c r="AG29" i="22"/>
  <c r="AG28" i="22"/>
  <c r="AG27" i="22"/>
  <c r="AG26" i="22"/>
  <c r="AG25" i="22"/>
  <c r="AE25" i="22"/>
  <c r="AG24" i="22"/>
  <c r="AE24" i="22"/>
  <c r="AG23" i="22"/>
  <c r="AE23" i="22"/>
  <c r="AG22" i="22"/>
  <c r="AE22" i="22"/>
  <c r="AG21" i="22"/>
  <c r="AE21" i="22"/>
  <c r="AG20" i="22"/>
  <c r="AE20" i="22"/>
  <c r="AG19" i="22"/>
  <c r="AE19" i="22"/>
  <c r="AG18" i="22"/>
  <c r="AE18" i="22"/>
  <c r="AG17" i="22"/>
  <c r="AE17" i="22"/>
  <c r="AG16" i="22"/>
  <c r="AE16" i="22"/>
  <c r="AG15" i="22"/>
  <c r="AE15" i="22"/>
  <c r="AG14" i="22"/>
  <c r="AE14" i="22"/>
  <c r="AG13" i="22"/>
  <c r="AG12" i="22"/>
  <c r="AG11" i="22"/>
  <c r="AG10" i="22"/>
  <c r="AG9" i="22"/>
  <c r="AG8" i="22"/>
  <c r="AG7" i="22"/>
  <c r="AG6" i="22"/>
  <c r="AG5" i="22"/>
  <c r="AG4" i="22"/>
  <c r="AG3" i="22"/>
  <c r="AG2" i="22"/>
  <c r="X2578" i="22"/>
  <c r="AD2578" i="22" s="1"/>
  <c r="W2578" i="22"/>
  <c r="AC2578" i="22" s="1"/>
  <c r="V2578" i="22"/>
  <c r="AB2578" i="22" s="1"/>
  <c r="X2577" i="22"/>
  <c r="AD2577" i="22" s="1"/>
  <c r="W2577" i="22"/>
  <c r="AC2577" i="22" s="1"/>
  <c r="V2577" i="22"/>
  <c r="AB2577" i="22" s="1"/>
  <c r="X2576" i="22"/>
  <c r="AD2576" i="22" s="1"/>
  <c r="W2576" i="22"/>
  <c r="AC2576" i="22" s="1"/>
  <c r="V2576" i="22"/>
  <c r="AB2576" i="22" s="1"/>
  <c r="X2575" i="22"/>
  <c r="AD2575" i="22" s="1"/>
  <c r="W2575" i="22"/>
  <c r="AC2575" i="22" s="1"/>
  <c r="V2575" i="22"/>
  <c r="AB2575" i="22" s="1"/>
  <c r="X2574" i="22"/>
  <c r="AD2574" i="22" s="1"/>
  <c r="W2574" i="22"/>
  <c r="AC2574" i="22" s="1"/>
  <c r="V2574" i="22"/>
  <c r="AB2574" i="22" s="1"/>
  <c r="X2573" i="22"/>
  <c r="AD2573" i="22" s="1"/>
  <c r="W2573" i="22"/>
  <c r="AC2573" i="22" s="1"/>
  <c r="V2573" i="22"/>
  <c r="AB2573" i="22" s="1"/>
  <c r="X2572" i="22"/>
  <c r="AD2572" i="22" s="1"/>
  <c r="W2572" i="22"/>
  <c r="AC2572" i="22" s="1"/>
  <c r="V2572" i="22"/>
  <c r="AB2572" i="22" s="1"/>
  <c r="X2571" i="22"/>
  <c r="AD2571" i="22" s="1"/>
  <c r="W2571" i="22"/>
  <c r="AC2571" i="22" s="1"/>
  <c r="V2571" i="22"/>
  <c r="AB2571" i="22" s="1"/>
  <c r="X2570" i="22"/>
  <c r="AD2570" i="22" s="1"/>
  <c r="W2570" i="22"/>
  <c r="AC2570" i="22" s="1"/>
  <c r="V2570" i="22"/>
  <c r="AB2570" i="22" s="1"/>
  <c r="X2569" i="22"/>
  <c r="AD2569" i="22" s="1"/>
  <c r="W2569" i="22"/>
  <c r="AC2569" i="22" s="1"/>
  <c r="V2569" i="22"/>
  <c r="AB2569" i="22" s="1"/>
  <c r="X2568" i="22"/>
  <c r="AD2568" i="22" s="1"/>
  <c r="W2568" i="22"/>
  <c r="AC2568" i="22" s="1"/>
  <c r="V2568" i="22"/>
  <c r="AB2568" i="22" s="1"/>
  <c r="X2567" i="22"/>
  <c r="AD2567" i="22" s="1"/>
  <c r="W2567" i="22"/>
  <c r="AC2567" i="22" s="1"/>
  <c r="V2567" i="22"/>
  <c r="AB2567" i="22" s="1"/>
  <c r="X2566" i="22"/>
  <c r="AD2566" i="22" s="1"/>
  <c r="W2566" i="22"/>
  <c r="AC2566" i="22" s="1"/>
  <c r="V2566" i="22"/>
  <c r="AB2566" i="22" s="1"/>
  <c r="X2565" i="22"/>
  <c r="AD2565" i="22" s="1"/>
  <c r="W2565" i="22"/>
  <c r="AC2565" i="22" s="1"/>
  <c r="V2565" i="22"/>
  <c r="AB2565" i="22" s="1"/>
  <c r="X2564" i="22"/>
  <c r="AD2564" i="22" s="1"/>
  <c r="W2564" i="22"/>
  <c r="AC2564" i="22" s="1"/>
  <c r="V2564" i="22"/>
  <c r="AB2564" i="22" s="1"/>
  <c r="X2563" i="22"/>
  <c r="AD2563" i="22" s="1"/>
  <c r="W2563" i="22"/>
  <c r="AC2563" i="22" s="1"/>
  <c r="V2563" i="22"/>
  <c r="AB2563" i="22" s="1"/>
  <c r="X2562" i="22"/>
  <c r="AD2562" i="22" s="1"/>
  <c r="W2562" i="22"/>
  <c r="AC2562" i="22" s="1"/>
  <c r="V2562" i="22"/>
  <c r="AB2562" i="22" s="1"/>
  <c r="X2561" i="22"/>
  <c r="AD2561" i="22" s="1"/>
  <c r="W2561" i="22"/>
  <c r="AC2561" i="22" s="1"/>
  <c r="V2561" i="22"/>
  <c r="AB2561" i="22" s="1"/>
  <c r="X2560" i="22"/>
  <c r="AD2560" i="22" s="1"/>
  <c r="W2560" i="22"/>
  <c r="AC2560" i="22" s="1"/>
  <c r="V2560" i="22"/>
  <c r="AB2560" i="22" s="1"/>
  <c r="X2559" i="22"/>
  <c r="AD2559" i="22" s="1"/>
  <c r="W2559" i="22"/>
  <c r="AC2559" i="22" s="1"/>
  <c r="V2559" i="22"/>
  <c r="AB2559" i="22" s="1"/>
  <c r="X2558" i="22"/>
  <c r="AD2558" i="22" s="1"/>
  <c r="W2558" i="22"/>
  <c r="AC2558" i="22" s="1"/>
  <c r="V2558" i="22"/>
  <c r="AB2558" i="22" s="1"/>
  <c r="X2557" i="22"/>
  <c r="AD2557" i="22" s="1"/>
  <c r="W2557" i="22"/>
  <c r="AC2557" i="22" s="1"/>
  <c r="V2557" i="22"/>
  <c r="AB2557" i="22" s="1"/>
  <c r="X2556" i="22"/>
  <c r="AD2556" i="22" s="1"/>
  <c r="W2556" i="22"/>
  <c r="AC2556" i="22" s="1"/>
  <c r="V2556" i="22"/>
  <c r="AB2556" i="22" s="1"/>
  <c r="X2555" i="22"/>
  <c r="AD2555" i="22" s="1"/>
  <c r="W2555" i="22"/>
  <c r="AC2555" i="22" s="1"/>
  <c r="V2555" i="22"/>
  <c r="AB2555" i="22" s="1"/>
  <c r="X2554" i="22"/>
  <c r="AD2554" i="22" s="1"/>
  <c r="W2554" i="22"/>
  <c r="AC2554" i="22" s="1"/>
  <c r="V2554" i="22"/>
  <c r="AB2554" i="22" s="1"/>
  <c r="X2553" i="22"/>
  <c r="AD2553" i="22" s="1"/>
  <c r="W2553" i="22"/>
  <c r="AC2553" i="22" s="1"/>
  <c r="V2553" i="22"/>
  <c r="AB2553" i="22" s="1"/>
  <c r="X2552" i="22"/>
  <c r="AD2552" i="22" s="1"/>
  <c r="W2552" i="22"/>
  <c r="AC2552" i="22" s="1"/>
  <c r="V2552" i="22"/>
  <c r="AB2552" i="22" s="1"/>
  <c r="X2551" i="22"/>
  <c r="AD2551" i="22" s="1"/>
  <c r="W2551" i="22"/>
  <c r="AC2551" i="22" s="1"/>
  <c r="V2551" i="22"/>
  <c r="AB2551" i="22" s="1"/>
  <c r="X2550" i="22"/>
  <c r="AD2550" i="22" s="1"/>
  <c r="W2550" i="22"/>
  <c r="AC2550" i="22" s="1"/>
  <c r="V2550" i="22"/>
  <c r="AB2550" i="22" s="1"/>
  <c r="X2549" i="22"/>
  <c r="AD2549" i="22" s="1"/>
  <c r="AO7" i="22" s="1"/>
  <c r="W2549" i="22"/>
  <c r="AC2549" i="22" s="1"/>
  <c r="V2549" i="22"/>
  <c r="AB2549" i="22" s="1"/>
  <c r="V2548" i="22"/>
  <c r="AB2548" i="22" s="1"/>
  <c r="V2547" i="22"/>
  <c r="AB2547" i="22" s="1"/>
  <c r="V2546" i="22"/>
  <c r="AB2546" i="22" s="1"/>
  <c r="V2545" i="22"/>
  <c r="AB2545" i="22" s="1"/>
  <c r="V2544" i="22"/>
  <c r="AB2544" i="22" s="1"/>
  <c r="V2543" i="22"/>
  <c r="AB2543" i="22" s="1"/>
  <c r="V2542" i="22"/>
  <c r="AB2542" i="22" s="1"/>
  <c r="V2541" i="22"/>
  <c r="AB2541" i="22" s="1"/>
  <c r="V2540" i="22"/>
  <c r="AB2540" i="22" s="1"/>
  <c r="V2539" i="22"/>
  <c r="AB2539" i="22" s="1"/>
  <c r="V2538" i="22"/>
  <c r="AB2538" i="22" s="1"/>
  <c r="V2537" i="22"/>
  <c r="AB2537" i="22" s="1"/>
  <c r="V2536" i="22"/>
  <c r="AB2536" i="22" s="1"/>
  <c r="V2535" i="22"/>
  <c r="AB2535" i="22" s="1"/>
  <c r="V2534" i="22"/>
  <c r="AB2534" i="22" s="1"/>
  <c r="V2533" i="22"/>
  <c r="AB2533" i="22" s="1"/>
  <c r="V2532" i="22"/>
  <c r="AB2532" i="22" s="1"/>
  <c r="V2531" i="22"/>
  <c r="AB2531" i="22" s="1"/>
  <c r="V2530" i="22"/>
  <c r="AB2530" i="22" s="1"/>
  <c r="V2529" i="22"/>
  <c r="AB2529" i="22" s="1"/>
  <c r="V2528" i="22"/>
  <c r="AB2528" i="22" s="1"/>
  <c r="V2527" i="22"/>
  <c r="AB2527" i="22" s="1"/>
  <c r="V2526" i="22"/>
  <c r="AB2526" i="22" s="1"/>
  <c r="V2525" i="22"/>
  <c r="AB2525" i="22" s="1"/>
  <c r="V2524" i="22"/>
  <c r="AB2524" i="22" s="1"/>
  <c r="V2523" i="22"/>
  <c r="AB2523" i="22" s="1"/>
  <c r="V2522" i="22"/>
  <c r="AB2522" i="22" s="1"/>
  <c r="V2521" i="22"/>
  <c r="AB2521" i="22" s="1"/>
  <c r="V2520" i="22"/>
  <c r="AB2520" i="22" s="1"/>
  <c r="V2519" i="22"/>
  <c r="AB2519" i="22" s="1"/>
  <c r="V2518" i="22"/>
  <c r="AB2518" i="22" s="1"/>
  <c r="V2517" i="22"/>
  <c r="AB2517" i="22" s="1"/>
  <c r="V2516" i="22"/>
  <c r="AB2516" i="22" s="1"/>
  <c r="V2515" i="22"/>
  <c r="AB2515" i="22" s="1"/>
  <c r="V2514" i="22"/>
  <c r="AB2514" i="22" s="1"/>
  <c r="V2513" i="22"/>
  <c r="AB2513" i="22" s="1"/>
  <c r="V2512" i="22"/>
  <c r="AB2512" i="22" s="1"/>
  <c r="V2511" i="22"/>
  <c r="AB2511" i="22" s="1"/>
  <c r="V2510" i="22"/>
  <c r="AB2510" i="22" s="1"/>
  <c r="V2509" i="22"/>
  <c r="AB2509" i="22" s="1"/>
  <c r="V2508" i="22"/>
  <c r="AB2508" i="22" s="1"/>
  <c r="V2507" i="22"/>
  <c r="AB2507" i="22" s="1"/>
  <c r="V2506" i="22"/>
  <c r="AB2506" i="22" s="1"/>
  <c r="X2505" i="22"/>
  <c r="AD2505" i="22" s="1"/>
  <c r="W2505" i="22"/>
  <c r="AC2505" i="22" s="1"/>
  <c r="V2505" i="22"/>
  <c r="AB2505" i="22" s="1"/>
  <c r="X2504" i="22"/>
  <c r="AD2504" i="22" s="1"/>
  <c r="W2504" i="22"/>
  <c r="AC2504" i="22" s="1"/>
  <c r="V2504" i="22"/>
  <c r="AB2504" i="22" s="1"/>
  <c r="X2503" i="22"/>
  <c r="AD2503" i="22" s="1"/>
  <c r="W2503" i="22"/>
  <c r="AC2503" i="22" s="1"/>
  <c r="V2503" i="22"/>
  <c r="AB2503" i="22" s="1"/>
  <c r="X2502" i="22"/>
  <c r="AD2502" i="22" s="1"/>
  <c r="W2502" i="22"/>
  <c r="AC2502" i="22" s="1"/>
  <c r="V2502" i="22"/>
  <c r="AB2502" i="22" s="1"/>
  <c r="X2501" i="22"/>
  <c r="AD2501" i="22" s="1"/>
  <c r="W2501" i="22"/>
  <c r="AC2501" i="22" s="1"/>
  <c r="V2501" i="22"/>
  <c r="AB2501" i="22" s="1"/>
  <c r="X2500" i="22"/>
  <c r="AD2500" i="22" s="1"/>
  <c r="W2500" i="22"/>
  <c r="AC2500" i="22" s="1"/>
  <c r="V2500" i="22"/>
  <c r="AB2500" i="22" s="1"/>
  <c r="X2499" i="22"/>
  <c r="AD2499" i="22" s="1"/>
  <c r="W2499" i="22"/>
  <c r="AC2499" i="22" s="1"/>
  <c r="V2499" i="22"/>
  <c r="AB2499" i="22" s="1"/>
  <c r="X2498" i="22"/>
  <c r="AD2498" i="22" s="1"/>
  <c r="W2498" i="22"/>
  <c r="AC2498" i="22" s="1"/>
  <c r="V2498" i="22"/>
  <c r="AB2498" i="22" s="1"/>
  <c r="X2497" i="22"/>
  <c r="AD2497" i="22" s="1"/>
  <c r="W2497" i="22"/>
  <c r="AC2497" i="22" s="1"/>
  <c r="V2497" i="22"/>
  <c r="AB2497" i="22" s="1"/>
  <c r="X2496" i="22"/>
  <c r="AD2496" i="22" s="1"/>
  <c r="W2496" i="22"/>
  <c r="AC2496" i="22" s="1"/>
  <c r="V2496" i="22"/>
  <c r="AB2496" i="22" s="1"/>
  <c r="X2495" i="22"/>
  <c r="AD2495" i="22" s="1"/>
  <c r="W2495" i="22"/>
  <c r="AC2495" i="22" s="1"/>
  <c r="V2495" i="22"/>
  <c r="AB2495" i="22" s="1"/>
  <c r="X2494" i="22"/>
  <c r="AD2494" i="22" s="1"/>
  <c r="W2494" i="22"/>
  <c r="AC2494" i="22" s="1"/>
  <c r="V2494" i="22"/>
  <c r="AB2494" i="22" s="1"/>
  <c r="X2493" i="22"/>
  <c r="AD2493" i="22" s="1"/>
  <c r="W2493" i="22"/>
  <c r="AC2493" i="22" s="1"/>
  <c r="V2493" i="22"/>
  <c r="AB2493" i="22" s="1"/>
  <c r="X2492" i="22"/>
  <c r="AD2492" i="22" s="1"/>
  <c r="W2492" i="22"/>
  <c r="AC2492" i="22" s="1"/>
  <c r="V2492" i="22"/>
  <c r="AB2492" i="22" s="1"/>
  <c r="X2491" i="22"/>
  <c r="AD2491" i="22" s="1"/>
  <c r="W2491" i="22"/>
  <c r="AC2491" i="22" s="1"/>
  <c r="V2491" i="22"/>
  <c r="AB2491" i="22" s="1"/>
  <c r="X2490" i="22"/>
  <c r="AD2490" i="22" s="1"/>
  <c r="W2490" i="22"/>
  <c r="AC2490" i="22" s="1"/>
  <c r="V2490" i="22"/>
  <c r="AB2490" i="22" s="1"/>
  <c r="X2489" i="22"/>
  <c r="AD2489" i="22" s="1"/>
  <c r="W2489" i="22"/>
  <c r="AC2489" i="22" s="1"/>
  <c r="V2489" i="22"/>
  <c r="AB2489" i="22" s="1"/>
  <c r="X2488" i="22"/>
  <c r="AD2488" i="22" s="1"/>
  <c r="W2488" i="22"/>
  <c r="AC2488" i="22" s="1"/>
  <c r="V2488" i="22"/>
  <c r="AB2488" i="22" s="1"/>
  <c r="X2487" i="22"/>
  <c r="AD2487" i="22" s="1"/>
  <c r="W2487" i="22"/>
  <c r="AC2487" i="22" s="1"/>
  <c r="V2487" i="22"/>
  <c r="AB2487" i="22" s="1"/>
  <c r="X2486" i="22"/>
  <c r="AD2486" i="22" s="1"/>
  <c r="W2486" i="22"/>
  <c r="AC2486" i="22" s="1"/>
  <c r="V2486" i="22"/>
  <c r="AB2486" i="22" s="1"/>
  <c r="X2485" i="22"/>
  <c r="AD2485" i="22" s="1"/>
  <c r="W2485" i="22"/>
  <c r="AC2485" i="22" s="1"/>
  <c r="V2485" i="22"/>
  <c r="AB2485" i="22" s="1"/>
  <c r="X2484" i="22"/>
  <c r="AD2484" i="22" s="1"/>
  <c r="W2484" i="22"/>
  <c r="AC2484" i="22" s="1"/>
  <c r="V2484" i="22"/>
  <c r="AB2484" i="22" s="1"/>
  <c r="X2483" i="22"/>
  <c r="AD2483" i="22" s="1"/>
  <c r="W2483" i="22"/>
  <c r="AC2483" i="22" s="1"/>
  <c r="V2483" i="22"/>
  <c r="AB2483" i="22" s="1"/>
  <c r="X2482" i="22"/>
  <c r="AD2482" i="22" s="1"/>
  <c r="W2482" i="22"/>
  <c r="AC2482" i="22" s="1"/>
  <c r="V2482" i="22"/>
  <c r="AB2482" i="22" s="1"/>
  <c r="X2481" i="22"/>
  <c r="AD2481" i="22" s="1"/>
  <c r="W2481" i="22"/>
  <c r="AC2481" i="22" s="1"/>
  <c r="V2481" i="22"/>
  <c r="AB2481" i="22" s="1"/>
  <c r="X2480" i="22"/>
  <c r="AD2480" i="22" s="1"/>
  <c r="W2480" i="22"/>
  <c r="AC2480" i="22" s="1"/>
  <c r="V2480" i="22"/>
  <c r="AB2480" i="22" s="1"/>
  <c r="X2479" i="22"/>
  <c r="AD2479" i="22" s="1"/>
  <c r="W2479" i="22"/>
  <c r="AC2479" i="22" s="1"/>
  <c r="V2479" i="22"/>
  <c r="AB2479" i="22" s="1"/>
  <c r="X2478" i="22"/>
  <c r="AD2478" i="22" s="1"/>
  <c r="W2478" i="22"/>
  <c r="AC2478" i="22" s="1"/>
  <c r="V2478" i="22"/>
  <c r="AB2478" i="22" s="1"/>
  <c r="X2477" i="22"/>
  <c r="AD2477" i="22" s="1"/>
  <c r="W2477" i="22"/>
  <c r="AC2477" i="22" s="1"/>
  <c r="V2477" i="22"/>
  <c r="AB2477" i="22" s="1"/>
  <c r="X2476" i="22"/>
  <c r="AD2476" i="22" s="1"/>
  <c r="W2476" i="22"/>
  <c r="AC2476" i="22" s="1"/>
  <c r="V2476" i="22"/>
  <c r="AB2476" i="22" s="1"/>
  <c r="X2475" i="22"/>
  <c r="AD2475" i="22" s="1"/>
  <c r="W2475" i="22"/>
  <c r="AC2475" i="22" s="1"/>
  <c r="V2475" i="22"/>
  <c r="AB2475" i="22" s="1"/>
  <c r="X2474" i="22"/>
  <c r="AD2474" i="22" s="1"/>
  <c r="W2474" i="22"/>
  <c r="AC2474" i="22" s="1"/>
  <c r="V2474" i="22"/>
  <c r="AB2474" i="22" s="1"/>
  <c r="X2473" i="22"/>
  <c r="AD2473" i="22" s="1"/>
  <c r="W2473" i="22"/>
  <c r="AC2473" i="22" s="1"/>
  <c r="V2473" i="22"/>
  <c r="AB2473" i="22" s="1"/>
  <c r="X2472" i="22"/>
  <c r="AD2472" i="22" s="1"/>
  <c r="W2472" i="22"/>
  <c r="AC2472" i="22" s="1"/>
  <c r="V2472" i="22"/>
  <c r="AB2472" i="22" s="1"/>
  <c r="X2471" i="22"/>
  <c r="AD2471" i="22" s="1"/>
  <c r="W2471" i="22"/>
  <c r="AC2471" i="22" s="1"/>
  <c r="V2471" i="22"/>
  <c r="AB2471" i="22" s="1"/>
  <c r="X2470" i="22"/>
  <c r="AD2470" i="22" s="1"/>
  <c r="W2470" i="22"/>
  <c r="AC2470" i="22" s="1"/>
  <c r="V2470" i="22"/>
  <c r="AB2470" i="22" s="1"/>
  <c r="X2469" i="22"/>
  <c r="AD2469" i="22" s="1"/>
  <c r="W2469" i="22"/>
  <c r="AC2469" i="22" s="1"/>
  <c r="V2469" i="22"/>
  <c r="AB2469" i="22" s="1"/>
  <c r="X2468" i="22"/>
  <c r="AD2468" i="22" s="1"/>
  <c r="W2468" i="22"/>
  <c r="AC2468" i="22" s="1"/>
  <c r="V2468" i="22"/>
  <c r="AB2468" i="22" s="1"/>
  <c r="X2467" i="22"/>
  <c r="AD2467" i="22" s="1"/>
  <c r="W2467" i="22"/>
  <c r="AC2467" i="22" s="1"/>
  <c r="V2467" i="22"/>
  <c r="AB2467" i="22" s="1"/>
  <c r="X2466" i="22"/>
  <c r="AD2466" i="22" s="1"/>
  <c r="W2466" i="22"/>
  <c r="AC2466" i="22" s="1"/>
  <c r="V2466" i="22"/>
  <c r="AB2466" i="22" s="1"/>
  <c r="X2465" i="22"/>
  <c r="AD2465" i="22" s="1"/>
  <c r="W2465" i="22"/>
  <c r="AC2465" i="22" s="1"/>
  <c r="V2465" i="22"/>
  <c r="AB2465" i="22" s="1"/>
  <c r="X2464" i="22"/>
  <c r="AD2464" i="22" s="1"/>
  <c r="W2464" i="22"/>
  <c r="AC2464" i="22" s="1"/>
  <c r="V2464" i="22"/>
  <c r="AB2464" i="22" s="1"/>
  <c r="X2463" i="22"/>
  <c r="AD2463" i="22" s="1"/>
  <c r="W2463" i="22"/>
  <c r="AC2463" i="22" s="1"/>
  <c r="V2463" i="22"/>
  <c r="AB2463" i="22" s="1"/>
  <c r="X2462" i="22"/>
  <c r="AD2462" i="22" s="1"/>
  <c r="W2462" i="22"/>
  <c r="AC2462" i="22" s="1"/>
  <c r="V2462" i="22"/>
  <c r="AB2462" i="22" s="1"/>
  <c r="X2461" i="22"/>
  <c r="AD2461" i="22" s="1"/>
  <c r="W2461" i="22"/>
  <c r="AC2461" i="22" s="1"/>
  <c r="V2461" i="22"/>
  <c r="AB2461" i="22" s="1"/>
  <c r="X2460" i="22"/>
  <c r="AD2460" i="22" s="1"/>
  <c r="W2460" i="22"/>
  <c r="AC2460" i="22" s="1"/>
  <c r="V2460" i="22"/>
  <c r="AB2460" i="22" s="1"/>
  <c r="X2459" i="22"/>
  <c r="AD2459" i="22" s="1"/>
  <c r="W2459" i="22"/>
  <c r="AC2459" i="22" s="1"/>
  <c r="V2459" i="22"/>
  <c r="AB2459" i="22" s="1"/>
  <c r="X2458" i="22"/>
  <c r="AD2458" i="22" s="1"/>
  <c r="W2458" i="22"/>
  <c r="AC2458" i="22" s="1"/>
  <c r="V2458" i="22"/>
  <c r="AB2458" i="22" s="1"/>
  <c r="X2457" i="22"/>
  <c r="AD2457" i="22" s="1"/>
  <c r="W2457" i="22"/>
  <c r="AC2457" i="22" s="1"/>
  <c r="V2457" i="22"/>
  <c r="AB2457" i="22" s="1"/>
  <c r="X2456" i="22"/>
  <c r="AD2456" i="22" s="1"/>
  <c r="W2456" i="22"/>
  <c r="AC2456" i="22" s="1"/>
  <c r="V2456" i="22"/>
  <c r="AB2456" i="22" s="1"/>
  <c r="X2455" i="22"/>
  <c r="AD2455" i="22" s="1"/>
  <c r="W2455" i="22"/>
  <c r="AC2455" i="22" s="1"/>
  <c r="V2455" i="22"/>
  <c r="AB2455" i="22" s="1"/>
  <c r="X2454" i="22"/>
  <c r="AD2454" i="22" s="1"/>
  <c r="W2454" i="22"/>
  <c r="AC2454" i="22" s="1"/>
  <c r="V2454" i="22"/>
  <c r="AB2454" i="22" s="1"/>
  <c r="X2453" i="22"/>
  <c r="AD2453" i="22" s="1"/>
  <c r="W2453" i="22"/>
  <c r="AC2453" i="22" s="1"/>
  <c r="V2453" i="22"/>
  <c r="AB2453" i="22" s="1"/>
  <c r="X2452" i="22"/>
  <c r="AD2452" i="22" s="1"/>
  <c r="W2452" i="22"/>
  <c r="AC2452" i="22" s="1"/>
  <c r="V2452" i="22"/>
  <c r="AB2452" i="22" s="1"/>
  <c r="X2451" i="22"/>
  <c r="AD2451" i="22" s="1"/>
  <c r="W2451" i="22"/>
  <c r="AC2451" i="22" s="1"/>
  <c r="V2451" i="22"/>
  <c r="AB2451" i="22" s="1"/>
  <c r="X2450" i="22"/>
  <c r="AD2450" i="22" s="1"/>
  <c r="W2450" i="22"/>
  <c r="AC2450" i="22" s="1"/>
  <c r="V2450" i="22"/>
  <c r="AB2450" i="22" s="1"/>
  <c r="X2449" i="22"/>
  <c r="AD2449" i="22" s="1"/>
  <c r="W2449" i="22"/>
  <c r="AC2449" i="22" s="1"/>
  <c r="V2449" i="22"/>
  <c r="AB2449" i="22" s="1"/>
  <c r="X2448" i="22"/>
  <c r="AD2448" i="22" s="1"/>
  <c r="W2448" i="22"/>
  <c r="AC2448" i="22" s="1"/>
  <c r="V2448" i="22"/>
  <c r="AB2448" i="22" s="1"/>
  <c r="X2447" i="22"/>
  <c r="AD2447" i="22" s="1"/>
  <c r="W2447" i="22"/>
  <c r="AC2447" i="22" s="1"/>
  <c r="V2447" i="22"/>
  <c r="AB2447" i="22" s="1"/>
  <c r="X2446" i="22"/>
  <c r="AD2446" i="22" s="1"/>
  <c r="W2446" i="22"/>
  <c r="AC2446" i="22" s="1"/>
  <c r="V2446" i="22"/>
  <c r="AB2446" i="22" s="1"/>
  <c r="X2445" i="22"/>
  <c r="AD2445" i="22" s="1"/>
  <c r="W2445" i="22"/>
  <c r="AC2445" i="22" s="1"/>
  <c r="V2445" i="22"/>
  <c r="AB2445" i="22" s="1"/>
  <c r="X2444" i="22"/>
  <c r="AD2444" i="22" s="1"/>
  <c r="W2444" i="22"/>
  <c r="AC2444" i="22" s="1"/>
  <c r="V2444" i="22"/>
  <c r="AB2444" i="22" s="1"/>
  <c r="X2443" i="22"/>
  <c r="AD2443" i="22" s="1"/>
  <c r="W2443" i="22"/>
  <c r="AC2443" i="22" s="1"/>
  <c r="V2443" i="22"/>
  <c r="AB2443" i="22" s="1"/>
  <c r="X2442" i="22"/>
  <c r="AD2442" i="22" s="1"/>
  <c r="W2442" i="22"/>
  <c r="AC2442" i="22" s="1"/>
  <c r="V2442" i="22"/>
  <c r="AB2442" i="22" s="1"/>
  <c r="X2441" i="22"/>
  <c r="AD2441" i="22" s="1"/>
  <c r="W2441" i="22"/>
  <c r="AC2441" i="22" s="1"/>
  <c r="V2441" i="22"/>
  <c r="AB2441" i="22" s="1"/>
  <c r="X2440" i="22"/>
  <c r="AD2440" i="22" s="1"/>
  <c r="W2440" i="22"/>
  <c r="AC2440" i="22" s="1"/>
  <c r="V2440" i="22"/>
  <c r="AB2440" i="22" s="1"/>
  <c r="X2439" i="22"/>
  <c r="AD2439" i="22" s="1"/>
  <c r="W2439" i="22"/>
  <c r="AC2439" i="22" s="1"/>
  <c r="V2439" i="22"/>
  <c r="AB2439" i="22" s="1"/>
  <c r="X2438" i="22"/>
  <c r="AD2438" i="22" s="1"/>
  <c r="W2438" i="22"/>
  <c r="AC2438" i="22" s="1"/>
  <c r="V2438" i="22"/>
  <c r="AB2438" i="22" s="1"/>
  <c r="X2437" i="22"/>
  <c r="AD2437" i="22" s="1"/>
  <c r="W2437" i="22"/>
  <c r="AC2437" i="22" s="1"/>
  <c r="V2437" i="22"/>
  <c r="AB2437" i="22" s="1"/>
  <c r="X2436" i="22"/>
  <c r="AD2436" i="22" s="1"/>
  <c r="W2436" i="22"/>
  <c r="AC2436" i="22" s="1"/>
  <c r="V2436" i="22"/>
  <c r="AB2436" i="22" s="1"/>
  <c r="X2435" i="22"/>
  <c r="AD2435" i="22" s="1"/>
  <c r="W2435" i="22"/>
  <c r="AC2435" i="22" s="1"/>
  <c r="V2435" i="22"/>
  <c r="AB2435" i="22" s="1"/>
  <c r="X2434" i="22"/>
  <c r="AD2434" i="22" s="1"/>
  <c r="W2434" i="22"/>
  <c r="AC2434" i="22" s="1"/>
  <c r="V2434" i="22"/>
  <c r="AB2434" i="22" s="1"/>
  <c r="X2433" i="22"/>
  <c r="AD2433" i="22" s="1"/>
  <c r="W2433" i="22"/>
  <c r="AC2433" i="22" s="1"/>
  <c r="V2433" i="22"/>
  <c r="AB2433" i="22" s="1"/>
  <c r="X2432" i="22"/>
  <c r="AD2432" i="22" s="1"/>
  <c r="W2432" i="22"/>
  <c r="AC2432" i="22" s="1"/>
  <c r="V2432" i="22"/>
  <c r="AB2432" i="22" s="1"/>
  <c r="X2431" i="22"/>
  <c r="AD2431" i="22" s="1"/>
  <c r="W2431" i="22"/>
  <c r="AC2431" i="22" s="1"/>
  <c r="V2431" i="22"/>
  <c r="AB2431" i="22" s="1"/>
  <c r="X2430" i="22"/>
  <c r="AD2430" i="22" s="1"/>
  <c r="W2430" i="22"/>
  <c r="AC2430" i="22" s="1"/>
  <c r="V2430" i="22"/>
  <c r="AB2430" i="22" s="1"/>
  <c r="X2429" i="22"/>
  <c r="AD2429" i="22" s="1"/>
  <c r="W2429" i="22"/>
  <c r="AC2429" i="22" s="1"/>
  <c r="V2429" i="22"/>
  <c r="AB2429" i="22" s="1"/>
  <c r="X2428" i="22"/>
  <c r="AD2428" i="22" s="1"/>
  <c r="W2428" i="22"/>
  <c r="AC2428" i="22" s="1"/>
  <c r="V2428" i="22"/>
  <c r="AB2428" i="22" s="1"/>
  <c r="X2427" i="22"/>
  <c r="AD2427" i="22" s="1"/>
  <c r="W2427" i="22"/>
  <c r="AC2427" i="22" s="1"/>
  <c r="V2427" i="22"/>
  <c r="AB2427" i="22" s="1"/>
  <c r="X2426" i="22"/>
  <c r="AD2426" i="22" s="1"/>
  <c r="W2426" i="22"/>
  <c r="AC2426" i="22" s="1"/>
  <c r="V2426" i="22"/>
  <c r="AB2426" i="22" s="1"/>
  <c r="X2425" i="22"/>
  <c r="AD2425" i="22" s="1"/>
  <c r="W2425" i="22"/>
  <c r="AC2425" i="22" s="1"/>
  <c r="V2425" i="22"/>
  <c r="AB2425" i="22" s="1"/>
  <c r="X2424" i="22"/>
  <c r="AD2424" i="22" s="1"/>
  <c r="W2424" i="22"/>
  <c r="AC2424" i="22" s="1"/>
  <c r="V2424" i="22"/>
  <c r="AB2424" i="22" s="1"/>
  <c r="X2423" i="22"/>
  <c r="AD2423" i="22" s="1"/>
  <c r="W2423" i="22"/>
  <c r="AC2423" i="22" s="1"/>
  <c r="V2423" i="22"/>
  <c r="AB2423" i="22" s="1"/>
  <c r="X2422" i="22"/>
  <c r="AD2422" i="22" s="1"/>
  <c r="W2422" i="22"/>
  <c r="AC2422" i="22" s="1"/>
  <c r="V2422" i="22"/>
  <c r="AB2422" i="22" s="1"/>
  <c r="X2421" i="22"/>
  <c r="AD2421" i="22" s="1"/>
  <c r="W2421" i="22"/>
  <c r="AC2421" i="22" s="1"/>
  <c r="V2421" i="22"/>
  <c r="AB2421" i="22" s="1"/>
  <c r="X2420" i="22"/>
  <c r="AD2420" i="22" s="1"/>
  <c r="W2420" i="22"/>
  <c r="AC2420" i="22" s="1"/>
  <c r="V2420" i="22"/>
  <c r="AB2420" i="22" s="1"/>
  <c r="X2419" i="22"/>
  <c r="AD2419" i="22" s="1"/>
  <c r="W2419" i="22"/>
  <c r="AC2419" i="22" s="1"/>
  <c r="V2419" i="22"/>
  <c r="AB2419" i="22" s="1"/>
  <c r="X2418" i="22"/>
  <c r="AD2418" i="22" s="1"/>
  <c r="W2418" i="22"/>
  <c r="AC2418" i="22" s="1"/>
  <c r="V2418" i="22"/>
  <c r="AB2418" i="22" s="1"/>
  <c r="X2417" i="22"/>
  <c r="AD2417" i="22" s="1"/>
  <c r="W2417" i="22"/>
  <c r="AC2417" i="22" s="1"/>
  <c r="V2417" i="22"/>
  <c r="AB2417" i="22" s="1"/>
  <c r="X2416" i="22"/>
  <c r="AD2416" i="22" s="1"/>
  <c r="W2416" i="22"/>
  <c r="AC2416" i="22" s="1"/>
  <c r="V2416" i="22"/>
  <c r="AB2416" i="22" s="1"/>
  <c r="X2415" i="22"/>
  <c r="AD2415" i="22" s="1"/>
  <c r="W2415" i="22"/>
  <c r="AC2415" i="22" s="1"/>
  <c r="V2415" i="22"/>
  <c r="AB2415" i="22" s="1"/>
  <c r="X2414" i="22"/>
  <c r="AD2414" i="22" s="1"/>
  <c r="W2414" i="22"/>
  <c r="AC2414" i="22" s="1"/>
  <c r="V2414" i="22"/>
  <c r="AB2414" i="22" s="1"/>
  <c r="X2413" i="22"/>
  <c r="AD2413" i="22" s="1"/>
  <c r="W2413" i="22"/>
  <c r="AC2413" i="22" s="1"/>
  <c r="V2413" i="22"/>
  <c r="AB2413" i="22" s="1"/>
  <c r="X2412" i="22"/>
  <c r="AD2412" i="22" s="1"/>
  <c r="W2412" i="22"/>
  <c r="AC2412" i="22" s="1"/>
  <c r="V2412" i="22"/>
  <c r="AB2412" i="22" s="1"/>
  <c r="X2411" i="22"/>
  <c r="AD2411" i="22" s="1"/>
  <c r="W2411" i="22"/>
  <c r="AC2411" i="22" s="1"/>
  <c r="V2411" i="22"/>
  <c r="AB2411" i="22" s="1"/>
  <c r="X2410" i="22"/>
  <c r="AD2410" i="22" s="1"/>
  <c r="W2410" i="22"/>
  <c r="AC2410" i="22" s="1"/>
  <c r="V2410" i="22"/>
  <c r="AB2410" i="22" s="1"/>
  <c r="X2409" i="22"/>
  <c r="AD2409" i="22" s="1"/>
  <c r="W2409" i="22"/>
  <c r="AC2409" i="22" s="1"/>
  <c r="V2409" i="22"/>
  <c r="AB2409" i="22" s="1"/>
  <c r="X2408" i="22"/>
  <c r="AD2408" i="22" s="1"/>
  <c r="W2408" i="22"/>
  <c r="AC2408" i="22" s="1"/>
  <c r="V2408" i="22"/>
  <c r="AB2408" i="22" s="1"/>
  <c r="X2407" i="22"/>
  <c r="AD2407" i="22" s="1"/>
  <c r="W2407" i="22"/>
  <c r="AC2407" i="22" s="1"/>
  <c r="V2407" i="22"/>
  <c r="AB2407" i="22" s="1"/>
  <c r="X2406" i="22"/>
  <c r="AD2406" i="22" s="1"/>
  <c r="W2406" i="22"/>
  <c r="AC2406" i="22" s="1"/>
  <c r="V2406" i="22"/>
  <c r="AB2406" i="22" s="1"/>
  <c r="X2405" i="22"/>
  <c r="AD2405" i="22" s="1"/>
  <c r="W2405" i="22"/>
  <c r="AC2405" i="22" s="1"/>
  <c r="V2405" i="22"/>
  <c r="AB2405" i="22" s="1"/>
  <c r="X2404" i="22"/>
  <c r="AD2404" i="22" s="1"/>
  <c r="W2404" i="22"/>
  <c r="AC2404" i="22" s="1"/>
  <c r="V2404" i="22"/>
  <c r="AB2404" i="22" s="1"/>
  <c r="X2403" i="22"/>
  <c r="AD2403" i="22" s="1"/>
  <c r="W2403" i="22"/>
  <c r="AC2403" i="22" s="1"/>
  <c r="V2403" i="22"/>
  <c r="AB2403" i="22" s="1"/>
  <c r="X2402" i="22"/>
  <c r="AD2402" i="22" s="1"/>
  <c r="W2402" i="22"/>
  <c r="AC2402" i="22" s="1"/>
  <c r="V2402" i="22"/>
  <c r="AB2402" i="22" s="1"/>
  <c r="X2401" i="22"/>
  <c r="AD2401" i="22" s="1"/>
  <c r="W2401" i="22"/>
  <c r="AC2401" i="22" s="1"/>
  <c r="V2401" i="22"/>
  <c r="AB2401" i="22" s="1"/>
  <c r="X2400" i="22"/>
  <c r="AD2400" i="22" s="1"/>
  <c r="W2400" i="22"/>
  <c r="AC2400" i="22" s="1"/>
  <c r="V2400" i="22"/>
  <c r="AB2400" i="22" s="1"/>
  <c r="X2399" i="22"/>
  <c r="AD2399" i="22" s="1"/>
  <c r="W2399" i="22"/>
  <c r="AC2399" i="22" s="1"/>
  <c r="V2399" i="22"/>
  <c r="AB2399" i="22" s="1"/>
  <c r="X2398" i="22"/>
  <c r="AD2398" i="22" s="1"/>
  <c r="W2398" i="22"/>
  <c r="AC2398" i="22" s="1"/>
  <c r="V2398" i="22"/>
  <c r="AB2398" i="22" s="1"/>
  <c r="X2397" i="22"/>
  <c r="AD2397" i="22" s="1"/>
  <c r="W2397" i="22"/>
  <c r="AC2397" i="22" s="1"/>
  <c r="V2397" i="22"/>
  <c r="AB2397" i="22" s="1"/>
  <c r="X2396" i="22"/>
  <c r="AD2396" i="22" s="1"/>
  <c r="W2396" i="22"/>
  <c r="AC2396" i="22" s="1"/>
  <c r="V2396" i="22"/>
  <c r="AB2396" i="22" s="1"/>
  <c r="X2395" i="22"/>
  <c r="AD2395" i="22" s="1"/>
  <c r="W2395" i="22"/>
  <c r="AC2395" i="22" s="1"/>
  <c r="V2395" i="22"/>
  <c r="AB2395" i="22" s="1"/>
  <c r="X2394" i="22"/>
  <c r="AD2394" i="22" s="1"/>
  <c r="W2394" i="22"/>
  <c r="AC2394" i="22" s="1"/>
  <c r="V2394" i="22"/>
  <c r="AB2394" i="22" s="1"/>
  <c r="X2393" i="22"/>
  <c r="AD2393" i="22" s="1"/>
  <c r="W2393" i="22"/>
  <c r="AC2393" i="22" s="1"/>
  <c r="V2393" i="22"/>
  <c r="AB2393" i="22" s="1"/>
  <c r="X2392" i="22"/>
  <c r="AD2392" i="22" s="1"/>
  <c r="W2392" i="22"/>
  <c r="AC2392" i="22" s="1"/>
  <c r="V2392" i="22"/>
  <c r="AB2392" i="22" s="1"/>
  <c r="X2391" i="22"/>
  <c r="AD2391" i="22" s="1"/>
  <c r="W2391" i="22"/>
  <c r="AC2391" i="22" s="1"/>
  <c r="V2391" i="22"/>
  <c r="AB2391" i="22" s="1"/>
  <c r="X2390" i="22"/>
  <c r="AD2390" i="22" s="1"/>
  <c r="W2390" i="22"/>
  <c r="AC2390" i="22" s="1"/>
  <c r="V2390" i="22"/>
  <c r="AB2390" i="22" s="1"/>
  <c r="X2389" i="22"/>
  <c r="AD2389" i="22" s="1"/>
  <c r="W2389" i="22"/>
  <c r="AC2389" i="22" s="1"/>
  <c r="V2389" i="22"/>
  <c r="AB2389" i="22" s="1"/>
  <c r="X2388" i="22"/>
  <c r="AD2388" i="22" s="1"/>
  <c r="W2388" i="22"/>
  <c r="AC2388" i="22" s="1"/>
  <c r="V2388" i="22"/>
  <c r="AB2388" i="22" s="1"/>
  <c r="X2387" i="22"/>
  <c r="AD2387" i="22" s="1"/>
  <c r="W2387" i="22"/>
  <c r="AC2387" i="22" s="1"/>
  <c r="V2387" i="22"/>
  <c r="AB2387" i="22" s="1"/>
  <c r="X2386" i="22"/>
  <c r="AD2386" i="22" s="1"/>
  <c r="W2386" i="22"/>
  <c r="AC2386" i="22" s="1"/>
  <c r="V2386" i="22"/>
  <c r="AB2386" i="22" s="1"/>
  <c r="X2385" i="22"/>
  <c r="AD2385" i="22" s="1"/>
  <c r="W2385" i="22"/>
  <c r="AC2385" i="22" s="1"/>
  <c r="V2385" i="22"/>
  <c r="AB2385" i="22" s="1"/>
  <c r="X2384" i="22"/>
  <c r="AD2384" i="22" s="1"/>
  <c r="W2384" i="22"/>
  <c r="AC2384" i="22" s="1"/>
  <c r="V2384" i="22"/>
  <c r="AB2384" i="22" s="1"/>
  <c r="X2383" i="22"/>
  <c r="AD2383" i="22" s="1"/>
  <c r="W2383" i="22"/>
  <c r="AC2383" i="22" s="1"/>
  <c r="V2383" i="22"/>
  <c r="AB2383" i="22" s="1"/>
  <c r="X2382" i="22"/>
  <c r="AD2382" i="22" s="1"/>
  <c r="W2382" i="22"/>
  <c r="AC2382" i="22" s="1"/>
  <c r="V2382" i="22"/>
  <c r="AB2382" i="22" s="1"/>
  <c r="X2381" i="22"/>
  <c r="AD2381" i="22" s="1"/>
  <c r="W2381" i="22"/>
  <c r="AC2381" i="22" s="1"/>
  <c r="V2381" i="22"/>
  <c r="AB2381" i="22" s="1"/>
  <c r="X2380" i="22"/>
  <c r="AD2380" i="22" s="1"/>
  <c r="W2380" i="22"/>
  <c r="AC2380" i="22" s="1"/>
  <c r="V2380" i="22"/>
  <c r="AB2380" i="22" s="1"/>
  <c r="X2379" i="22"/>
  <c r="AD2379" i="22" s="1"/>
  <c r="W2379" i="22"/>
  <c r="AC2379" i="22" s="1"/>
  <c r="V2379" i="22"/>
  <c r="AB2379" i="22" s="1"/>
  <c r="X2378" i="22"/>
  <c r="AD2378" i="22" s="1"/>
  <c r="W2378" i="22"/>
  <c r="AC2378" i="22" s="1"/>
  <c r="V2378" i="22"/>
  <c r="AB2378" i="22" s="1"/>
  <c r="X2377" i="22"/>
  <c r="AD2377" i="22" s="1"/>
  <c r="W2377" i="22"/>
  <c r="AC2377" i="22" s="1"/>
  <c r="V2377" i="22"/>
  <c r="AB2377" i="22" s="1"/>
  <c r="X2376" i="22"/>
  <c r="AD2376" i="22" s="1"/>
  <c r="W2376" i="22"/>
  <c r="AC2376" i="22" s="1"/>
  <c r="V2376" i="22"/>
  <c r="AB2376" i="22" s="1"/>
  <c r="X2375" i="22"/>
  <c r="AD2375" i="22" s="1"/>
  <c r="W2375" i="22"/>
  <c r="AC2375" i="22" s="1"/>
  <c r="V2375" i="22"/>
  <c r="AB2375" i="22" s="1"/>
  <c r="X2374" i="22"/>
  <c r="AD2374" i="22" s="1"/>
  <c r="W2374" i="22"/>
  <c r="AC2374" i="22" s="1"/>
  <c r="V2374" i="22"/>
  <c r="AB2374" i="22" s="1"/>
  <c r="X2373" i="22"/>
  <c r="AD2373" i="22" s="1"/>
  <c r="W2373" i="22"/>
  <c r="AC2373" i="22" s="1"/>
  <c r="V2373" i="22"/>
  <c r="AB2373" i="22" s="1"/>
  <c r="X2372" i="22"/>
  <c r="AD2372" i="22" s="1"/>
  <c r="W2372" i="22"/>
  <c r="AC2372" i="22" s="1"/>
  <c r="V2372" i="22"/>
  <c r="AB2372" i="22" s="1"/>
  <c r="X2371" i="22"/>
  <c r="AD2371" i="22" s="1"/>
  <c r="W2371" i="22"/>
  <c r="AC2371" i="22" s="1"/>
  <c r="V2371" i="22"/>
  <c r="AB2371" i="22" s="1"/>
  <c r="X2370" i="22"/>
  <c r="AD2370" i="22" s="1"/>
  <c r="W2370" i="22"/>
  <c r="AC2370" i="22" s="1"/>
  <c r="V2370" i="22"/>
  <c r="AB2370" i="22" s="1"/>
  <c r="X2369" i="22"/>
  <c r="AD2369" i="22" s="1"/>
  <c r="W2369" i="22"/>
  <c r="AC2369" i="22" s="1"/>
  <c r="V2369" i="22"/>
  <c r="AB2369" i="22" s="1"/>
  <c r="X2368" i="22"/>
  <c r="AD2368" i="22" s="1"/>
  <c r="W2368" i="22"/>
  <c r="AC2368" i="22" s="1"/>
  <c r="V2368" i="22"/>
  <c r="AB2368" i="22" s="1"/>
  <c r="X2367" i="22"/>
  <c r="AD2367" i="22" s="1"/>
  <c r="W2367" i="22"/>
  <c r="AC2367" i="22" s="1"/>
  <c r="V2367" i="22"/>
  <c r="AB2367" i="22" s="1"/>
  <c r="X2366" i="22"/>
  <c r="AD2366" i="22" s="1"/>
  <c r="W2366" i="22"/>
  <c r="AC2366" i="22" s="1"/>
  <c r="V2366" i="22"/>
  <c r="AB2366" i="22" s="1"/>
  <c r="X2365" i="22"/>
  <c r="AD2365" i="22" s="1"/>
  <c r="W2365" i="22"/>
  <c r="AC2365" i="22" s="1"/>
  <c r="V2365" i="22"/>
  <c r="AB2365" i="22" s="1"/>
  <c r="X2364" i="22"/>
  <c r="AD2364" i="22" s="1"/>
  <c r="W2364" i="22"/>
  <c r="AC2364" i="22" s="1"/>
  <c r="V2364" i="22"/>
  <c r="AB2364" i="22" s="1"/>
  <c r="X2363" i="22"/>
  <c r="AD2363" i="22" s="1"/>
  <c r="W2363" i="22"/>
  <c r="AC2363" i="22" s="1"/>
  <c r="V2363" i="22"/>
  <c r="AB2363" i="22" s="1"/>
  <c r="X2362" i="22"/>
  <c r="AD2362" i="22" s="1"/>
  <c r="W2362" i="22"/>
  <c r="AC2362" i="22" s="1"/>
  <c r="V2362" i="22"/>
  <c r="AB2362" i="22" s="1"/>
  <c r="X2361" i="22"/>
  <c r="AD2361" i="22" s="1"/>
  <c r="W2361" i="22"/>
  <c r="AC2361" i="22" s="1"/>
  <c r="V2361" i="22"/>
  <c r="AB2361" i="22" s="1"/>
  <c r="X2360" i="22"/>
  <c r="AD2360" i="22" s="1"/>
  <c r="W2360" i="22"/>
  <c r="AC2360" i="22" s="1"/>
  <c r="V2360" i="22"/>
  <c r="AB2360" i="22" s="1"/>
  <c r="X2359" i="22"/>
  <c r="AD2359" i="22" s="1"/>
  <c r="W2359" i="22"/>
  <c r="AC2359" i="22" s="1"/>
  <c r="V2359" i="22"/>
  <c r="AB2359" i="22" s="1"/>
  <c r="X2358" i="22"/>
  <c r="AD2358" i="22" s="1"/>
  <c r="W2358" i="22"/>
  <c r="AC2358" i="22" s="1"/>
  <c r="V2358" i="22"/>
  <c r="AB2358" i="22" s="1"/>
  <c r="X2357" i="22"/>
  <c r="AD2357" i="22" s="1"/>
  <c r="W2357" i="22"/>
  <c r="AC2357" i="22" s="1"/>
  <c r="V2357" i="22"/>
  <c r="AB2357" i="22" s="1"/>
  <c r="X2356" i="22"/>
  <c r="AD2356" i="22" s="1"/>
  <c r="W2356" i="22"/>
  <c r="AC2356" i="22" s="1"/>
  <c r="V2356" i="22"/>
  <c r="AB2356" i="22" s="1"/>
  <c r="X2355" i="22"/>
  <c r="AD2355" i="22" s="1"/>
  <c r="W2355" i="22"/>
  <c r="AC2355" i="22" s="1"/>
  <c r="V2355" i="22"/>
  <c r="AB2355" i="22" s="1"/>
  <c r="X2354" i="22"/>
  <c r="AD2354" i="22" s="1"/>
  <c r="W2354" i="22"/>
  <c r="AC2354" i="22" s="1"/>
  <c r="V2354" i="22"/>
  <c r="AB2354" i="22" s="1"/>
  <c r="X2353" i="22"/>
  <c r="AD2353" i="22" s="1"/>
  <c r="W2353" i="22"/>
  <c r="AC2353" i="22" s="1"/>
  <c r="V2353" i="22"/>
  <c r="AB2353" i="22" s="1"/>
  <c r="X2352" i="22"/>
  <c r="AD2352" i="22" s="1"/>
  <c r="W2352" i="22"/>
  <c r="AC2352" i="22" s="1"/>
  <c r="V2352" i="22"/>
  <c r="AB2352" i="22" s="1"/>
  <c r="X2351" i="22"/>
  <c r="AD2351" i="22" s="1"/>
  <c r="W2351" i="22"/>
  <c r="AC2351" i="22" s="1"/>
  <c r="V2351" i="22"/>
  <c r="AB2351" i="22" s="1"/>
  <c r="X2350" i="22"/>
  <c r="AD2350" i="22" s="1"/>
  <c r="W2350" i="22"/>
  <c r="AC2350" i="22" s="1"/>
  <c r="V2350" i="22"/>
  <c r="AB2350" i="22" s="1"/>
  <c r="X2349" i="22"/>
  <c r="AD2349" i="22" s="1"/>
  <c r="W2349" i="22"/>
  <c r="AC2349" i="22" s="1"/>
  <c r="V2349" i="22"/>
  <c r="AB2349" i="22" s="1"/>
  <c r="X2348" i="22"/>
  <c r="AD2348" i="22" s="1"/>
  <c r="W2348" i="22"/>
  <c r="AC2348" i="22" s="1"/>
  <c r="V2348" i="22"/>
  <c r="AB2348" i="22" s="1"/>
  <c r="X2347" i="22"/>
  <c r="AD2347" i="22" s="1"/>
  <c r="W2347" i="22"/>
  <c r="AC2347" i="22" s="1"/>
  <c r="V2347" i="22"/>
  <c r="AB2347" i="22" s="1"/>
  <c r="X2346" i="22"/>
  <c r="AD2346" i="22" s="1"/>
  <c r="W2346" i="22"/>
  <c r="AC2346" i="22" s="1"/>
  <c r="V2346" i="22"/>
  <c r="AB2346" i="22" s="1"/>
  <c r="X2345" i="22"/>
  <c r="AD2345" i="22" s="1"/>
  <c r="W2345" i="22"/>
  <c r="AC2345" i="22" s="1"/>
  <c r="V2345" i="22"/>
  <c r="AB2345" i="22" s="1"/>
  <c r="X2344" i="22"/>
  <c r="AD2344" i="22" s="1"/>
  <c r="W2344" i="22"/>
  <c r="AC2344" i="22" s="1"/>
  <c r="V2344" i="22"/>
  <c r="AB2344" i="22" s="1"/>
  <c r="X2343" i="22"/>
  <c r="AD2343" i="22" s="1"/>
  <c r="W2343" i="22"/>
  <c r="AC2343" i="22" s="1"/>
  <c r="V2343" i="22"/>
  <c r="AB2343" i="22" s="1"/>
  <c r="X2342" i="22"/>
  <c r="AD2342" i="22" s="1"/>
  <c r="W2342" i="22"/>
  <c r="AC2342" i="22" s="1"/>
  <c r="V2342" i="22"/>
  <c r="AB2342" i="22" s="1"/>
  <c r="X2341" i="22"/>
  <c r="AD2341" i="22" s="1"/>
  <c r="W2341" i="22"/>
  <c r="AC2341" i="22" s="1"/>
  <c r="V2341" i="22"/>
  <c r="AB2341" i="22" s="1"/>
  <c r="X2340" i="22"/>
  <c r="AD2340" i="22" s="1"/>
  <c r="W2340" i="22"/>
  <c r="AC2340" i="22" s="1"/>
  <c r="V2340" i="22"/>
  <c r="AB2340" i="22" s="1"/>
  <c r="X2339" i="22"/>
  <c r="AD2339" i="22" s="1"/>
  <c r="W2339" i="22"/>
  <c r="AC2339" i="22" s="1"/>
  <c r="V2339" i="22"/>
  <c r="AB2339" i="22" s="1"/>
  <c r="X2338" i="22"/>
  <c r="AD2338" i="22" s="1"/>
  <c r="W2338" i="22"/>
  <c r="AC2338" i="22" s="1"/>
  <c r="V2338" i="22"/>
  <c r="AB2338" i="22" s="1"/>
  <c r="X2337" i="22"/>
  <c r="AD2337" i="22" s="1"/>
  <c r="W2337" i="22"/>
  <c r="AC2337" i="22" s="1"/>
  <c r="V2337" i="22"/>
  <c r="AB2337" i="22" s="1"/>
  <c r="X2336" i="22"/>
  <c r="AD2336" i="22" s="1"/>
  <c r="W2336" i="22"/>
  <c r="AC2336" i="22" s="1"/>
  <c r="V2336" i="22"/>
  <c r="AB2336" i="22" s="1"/>
  <c r="X2335" i="22"/>
  <c r="AD2335" i="22" s="1"/>
  <c r="W2335" i="22"/>
  <c r="AC2335" i="22" s="1"/>
  <c r="V2335" i="22"/>
  <c r="AB2335" i="22" s="1"/>
  <c r="X2334" i="22"/>
  <c r="AD2334" i="22" s="1"/>
  <c r="W2334" i="22"/>
  <c r="AC2334" i="22" s="1"/>
  <c r="V2334" i="22"/>
  <c r="AB2334" i="22" s="1"/>
  <c r="X2333" i="22"/>
  <c r="AD2333" i="22" s="1"/>
  <c r="W2333" i="22"/>
  <c r="AC2333" i="22" s="1"/>
  <c r="V2333" i="22"/>
  <c r="AB2333" i="22" s="1"/>
  <c r="X2332" i="22"/>
  <c r="AD2332" i="22" s="1"/>
  <c r="W2332" i="22"/>
  <c r="AC2332" i="22" s="1"/>
  <c r="V2332" i="22"/>
  <c r="AB2332" i="22" s="1"/>
  <c r="X2331" i="22"/>
  <c r="AD2331" i="22" s="1"/>
  <c r="W2331" i="22"/>
  <c r="AC2331" i="22" s="1"/>
  <c r="V2331" i="22"/>
  <c r="AB2331" i="22" s="1"/>
  <c r="X2330" i="22"/>
  <c r="AD2330" i="22" s="1"/>
  <c r="W2330" i="22"/>
  <c r="AC2330" i="22" s="1"/>
  <c r="V2330" i="22"/>
  <c r="AB2330" i="22" s="1"/>
  <c r="X2329" i="22"/>
  <c r="AD2329" i="22" s="1"/>
  <c r="W2329" i="22"/>
  <c r="AC2329" i="22" s="1"/>
  <c r="V2329" i="22"/>
  <c r="AB2329" i="22" s="1"/>
  <c r="X2328" i="22"/>
  <c r="AD2328" i="22" s="1"/>
  <c r="W2328" i="22"/>
  <c r="AC2328" i="22" s="1"/>
  <c r="V2328" i="22"/>
  <c r="AB2328" i="22" s="1"/>
  <c r="X2327" i="22"/>
  <c r="AD2327" i="22" s="1"/>
  <c r="W2327" i="22"/>
  <c r="AC2327" i="22" s="1"/>
  <c r="V2327" i="22"/>
  <c r="AB2327" i="22" s="1"/>
  <c r="X2326" i="22"/>
  <c r="AD2326" i="22" s="1"/>
  <c r="W2326" i="22"/>
  <c r="AC2326" i="22" s="1"/>
  <c r="V2326" i="22"/>
  <c r="AB2326" i="22" s="1"/>
  <c r="X2325" i="22"/>
  <c r="AD2325" i="22" s="1"/>
  <c r="W2325" i="22"/>
  <c r="AC2325" i="22" s="1"/>
  <c r="V2325" i="22"/>
  <c r="AB2325" i="22" s="1"/>
  <c r="X2324" i="22"/>
  <c r="AD2324" i="22" s="1"/>
  <c r="W2324" i="22"/>
  <c r="AC2324" i="22" s="1"/>
  <c r="V2324" i="22"/>
  <c r="AB2324" i="22" s="1"/>
  <c r="X2323" i="22"/>
  <c r="AD2323" i="22" s="1"/>
  <c r="W2323" i="22"/>
  <c r="AC2323" i="22" s="1"/>
  <c r="V2323" i="22"/>
  <c r="AB2323" i="22" s="1"/>
  <c r="X2322" i="22"/>
  <c r="AD2322" i="22" s="1"/>
  <c r="W2322" i="22"/>
  <c r="AC2322" i="22" s="1"/>
  <c r="V2322" i="22"/>
  <c r="AB2322" i="22" s="1"/>
  <c r="X2321" i="22"/>
  <c r="AD2321" i="22" s="1"/>
  <c r="W2321" i="22"/>
  <c r="AC2321" i="22" s="1"/>
  <c r="V2321" i="22"/>
  <c r="AB2321" i="22" s="1"/>
  <c r="X2320" i="22"/>
  <c r="AD2320" i="22" s="1"/>
  <c r="W2320" i="22"/>
  <c r="AC2320" i="22" s="1"/>
  <c r="V2320" i="22"/>
  <c r="AB2320" i="22" s="1"/>
  <c r="X2319" i="22"/>
  <c r="AD2319" i="22" s="1"/>
  <c r="W2319" i="22"/>
  <c r="AC2319" i="22" s="1"/>
  <c r="V2319" i="22"/>
  <c r="AB2319" i="22" s="1"/>
  <c r="X2318" i="22"/>
  <c r="AD2318" i="22" s="1"/>
  <c r="W2318" i="22"/>
  <c r="AC2318" i="22" s="1"/>
  <c r="V2318" i="22"/>
  <c r="AB2318" i="22" s="1"/>
  <c r="X2317" i="22"/>
  <c r="AD2317" i="22" s="1"/>
  <c r="W2317" i="22"/>
  <c r="AC2317" i="22" s="1"/>
  <c r="V2317" i="22"/>
  <c r="AB2317" i="22" s="1"/>
  <c r="X2316" i="22"/>
  <c r="AD2316" i="22" s="1"/>
  <c r="W2316" i="22"/>
  <c r="AC2316" i="22" s="1"/>
  <c r="V2316" i="22"/>
  <c r="AB2316" i="22" s="1"/>
  <c r="X2315" i="22"/>
  <c r="AD2315" i="22" s="1"/>
  <c r="W2315" i="22"/>
  <c r="AC2315" i="22" s="1"/>
  <c r="V2315" i="22"/>
  <c r="AB2315" i="22" s="1"/>
  <c r="X2314" i="22"/>
  <c r="AD2314" i="22" s="1"/>
  <c r="W2314" i="22"/>
  <c r="AC2314" i="22" s="1"/>
  <c r="V2314" i="22"/>
  <c r="AB2314" i="22" s="1"/>
  <c r="X2313" i="22"/>
  <c r="AD2313" i="22" s="1"/>
  <c r="W2313" i="22"/>
  <c r="AC2313" i="22" s="1"/>
  <c r="V2313" i="22"/>
  <c r="AB2313" i="22" s="1"/>
  <c r="X2312" i="22"/>
  <c r="AD2312" i="22" s="1"/>
  <c r="W2312" i="22"/>
  <c r="AC2312" i="22" s="1"/>
  <c r="V2312" i="22"/>
  <c r="AB2312" i="22" s="1"/>
  <c r="X2311" i="22"/>
  <c r="AD2311" i="22" s="1"/>
  <c r="W2311" i="22"/>
  <c r="AC2311" i="22" s="1"/>
  <c r="V2311" i="22"/>
  <c r="AB2311" i="22" s="1"/>
  <c r="X2310" i="22"/>
  <c r="AD2310" i="22" s="1"/>
  <c r="W2310" i="22"/>
  <c r="AC2310" i="22" s="1"/>
  <c r="V2310" i="22"/>
  <c r="AB2310" i="22" s="1"/>
  <c r="X2309" i="22"/>
  <c r="AD2309" i="22" s="1"/>
  <c r="W2309" i="22"/>
  <c r="AC2309" i="22" s="1"/>
  <c r="V2309" i="22"/>
  <c r="AB2309" i="22" s="1"/>
  <c r="X2308" i="22"/>
  <c r="AD2308" i="22" s="1"/>
  <c r="W2308" i="22"/>
  <c r="AC2308" i="22" s="1"/>
  <c r="V2308" i="22"/>
  <c r="AB2308" i="22" s="1"/>
  <c r="X2307" i="22"/>
  <c r="AD2307" i="22" s="1"/>
  <c r="W2307" i="22"/>
  <c r="AC2307" i="22" s="1"/>
  <c r="V2307" i="22"/>
  <c r="AB2307" i="22" s="1"/>
  <c r="X2306" i="22"/>
  <c r="AD2306" i="22" s="1"/>
  <c r="W2306" i="22"/>
  <c r="AC2306" i="22" s="1"/>
  <c r="V2306" i="22"/>
  <c r="AB2306" i="22" s="1"/>
  <c r="X2305" i="22"/>
  <c r="AD2305" i="22" s="1"/>
  <c r="W2305" i="22"/>
  <c r="AC2305" i="22" s="1"/>
  <c r="V2305" i="22"/>
  <c r="AB2305" i="22" s="1"/>
  <c r="X2304" i="22"/>
  <c r="AD2304" i="22" s="1"/>
  <c r="W2304" i="22"/>
  <c r="AC2304" i="22" s="1"/>
  <c r="V2304" i="22"/>
  <c r="AB2304" i="22" s="1"/>
  <c r="X2303" i="22"/>
  <c r="AD2303" i="22" s="1"/>
  <c r="W2303" i="22"/>
  <c r="AC2303" i="22" s="1"/>
  <c r="V2303" i="22"/>
  <c r="AB2303" i="22" s="1"/>
  <c r="X2302" i="22"/>
  <c r="AD2302" i="22" s="1"/>
  <c r="W2302" i="22"/>
  <c r="AC2302" i="22" s="1"/>
  <c r="V2302" i="22"/>
  <c r="AB2302" i="22" s="1"/>
  <c r="X2301" i="22"/>
  <c r="AD2301" i="22" s="1"/>
  <c r="W2301" i="22"/>
  <c r="AC2301" i="22" s="1"/>
  <c r="V2301" i="22"/>
  <c r="AB2301" i="22" s="1"/>
  <c r="X2300" i="22"/>
  <c r="AD2300" i="22" s="1"/>
  <c r="W2300" i="22"/>
  <c r="AC2300" i="22" s="1"/>
  <c r="V2300" i="22"/>
  <c r="AB2300" i="22" s="1"/>
  <c r="X2299" i="22"/>
  <c r="AD2299" i="22" s="1"/>
  <c r="W2299" i="22"/>
  <c r="AC2299" i="22" s="1"/>
  <c r="V2299" i="22"/>
  <c r="AB2299" i="22" s="1"/>
  <c r="X2298" i="22"/>
  <c r="AD2298" i="22" s="1"/>
  <c r="W2298" i="22"/>
  <c r="AC2298" i="22" s="1"/>
  <c r="V2298" i="22"/>
  <c r="AB2298" i="22" s="1"/>
  <c r="X2297" i="22"/>
  <c r="AD2297" i="22" s="1"/>
  <c r="W2297" i="22"/>
  <c r="AC2297" i="22" s="1"/>
  <c r="V2297" i="22"/>
  <c r="AB2297" i="22" s="1"/>
  <c r="X2296" i="22"/>
  <c r="AD2296" i="22" s="1"/>
  <c r="W2296" i="22"/>
  <c r="AC2296" i="22" s="1"/>
  <c r="V2296" i="22"/>
  <c r="AB2296" i="22" s="1"/>
  <c r="X2295" i="22"/>
  <c r="AD2295" i="22" s="1"/>
  <c r="W2295" i="22"/>
  <c r="AC2295" i="22" s="1"/>
  <c r="V2295" i="22"/>
  <c r="AB2295" i="22" s="1"/>
  <c r="X2294" i="22"/>
  <c r="AD2294" i="22" s="1"/>
  <c r="W2294" i="22"/>
  <c r="AC2294" i="22" s="1"/>
  <c r="V2294" i="22"/>
  <c r="AB2294" i="22" s="1"/>
  <c r="X2293" i="22"/>
  <c r="AD2293" i="22" s="1"/>
  <c r="W2293" i="22"/>
  <c r="AC2293" i="22" s="1"/>
  <c r="V2293" i="22"/>
  <c r="AB2293" i="22" s="1"/>
  <c r="X2292" i="22"/>
  <c r="AD2292" i="22" s="1"/>
  <c r="W2292" i="22"/>
  <c r="AC2292" i="22" s="1"/>
  <c r="V2292" i="22"/>
  <c r="AB2292" i="22" s="1"/>
  <c r="X2291" i="22"/>
  <c r="AD2291" i="22" s="1"/>
  <c r="W2291" i="22"/>
  <c r="AC2291" i="22" s="1"/>
  <c r="V2291" i="22"/>
  <c r="AB2291" i="22" s="1"/>
  <c r="X2290" i="22"/>
  <c r="AD2290" i="22" s="1"/>
  <c r="W2290" i="22"/>
  <c r="AC2290" i="22" s="1"/>
  <c r="V2290" i="22"/>
  <c r="AB2290" i="22" s="1"/>
  <c r="X2289" i="22"/>
  <c r="AD2289" i="22" s="1"/>
  <c r="W2289" i="22"/>
  <c r="AC2289" i="22" s="1"/>
  <c r="V2289" i="22"/>
  <c r="AB2289" i="22" s="1"/>
  <c r="X2288" i="22"/>
  <c r="AD2288" i="22" s="1"/>
  <c r="W2288" i="22"/>
  <c r="AC2288" i="22" s="1"/>
  <c r="V2288" i="22"/>
  <c r="AB2288" i="22" s="1"/>
  <c r="X2287" i="22"/>
  <c r="AD2287" i="22" s="1"/>
  <c r="W2287" i="22"/>
  <c r="AC2287" i="22" s="1"/>
  <c r="V2287" i="22"/>
  <c r="AB2287" i="22" s="1"/>
  <c r="X2286" i="22"/>
  <c r="AD2286" i="22" s="1"/>
  <c r="W2286" i="22"/>
  <c r="AC2286" i="22" s="1"/>
  <c r="V2286" i="22"/>
  <c r="AB2286" i="22" s="1"/>
  <c r="X2285" i="22"/>
  <c r="AD2285" i="22" s="1"/>
  <c r="W2285" i="22"/>
  <c r="AC2285" i="22" s="1"/>
  <c r="V2285" i="22"/>
  <c r="AB2285" i="22" s="1"/>
  <c r="X2284" i="22"/>
  <c r="AD2284" i="22" s="1"/>
  <c r="W2284" i="22"/>
  <c r="AC2284" i="22" s="1"/>
  <c r="V2284" i="22"/>
  <c r="AB2284" i="22" s="1"/>
  <c r="X2283" i="22"/>
  <c r="AD2283" i="22" s="1"/>
  <c r="W2283" i="22"/>
  <c r="AC2283" i="22" s="1"/>
  <c r="V2283" i="22"/>
  <c r="AB2283" i="22" s="1"/>
  <c r="X2282" i="22"/>
  <c r="AD2282" i="22" s="1"/>
  <c r="W2282" i="22"/>
  <c r="AC2282" i="22" s="1"/>
  <c r="V2282" i="22"/>
  <c r="AB2282" i="22" s="1"/>
  <c r="X2281" i="22"/>
  <c r="AD2281" i="22" s="1"/>
  <c r="W2281" i="22"/>
  <c r="AC2281" i="22" s="1"/>
  <c r="V2281" i="22"/>
  <c r="AB2281" i="22" s="1"/>
  <c r="X2280" i="22"/>
  <c r="AD2280" i="22" s="1"/>
  <c r="W2280" i="22"/>
  <c r="AC2280" i="22" s="1"/>
  <c r="V2280" i="22"/>
  <c r="AB2280" i="22" s="1"/>
  <c r="X2279" i="22"/>
  <c r="AD2279" i="22" s="1"/>
  <c r="W2279" i="22"/>
  <c r="AC2279" i="22" s="1"/>
  <c r="V2279" i="22"/>
  <c r="AB2279" i="22" s="1"/>
  <c r="X2278" i="22"/>
  <c r="AD2278" i="22" s="1"/>
  <c r="W2278" i="22"/>
  <c r="AC2278" i="22" s="1"/>
  <c r="V2278" i="22"/>
  <c r="AB2278" i="22" s="1"/>
  <c r="X2277" i="22"/>
  <c r="AD2277" i="22" s="1"/>
  <c r="W2277" i="22"/>
  <c r="AC2277" i="22" s="1"/>
  <c r="V2277" i="22"/>
  <c r="AB2277" i="22" s="1"/>
  <c r="X2276" i="22"/>
  <c r="AD2276" i="22" s="1"/>
  <c r="W2276" i="22"/>
  <c r="AC2276" i="22" s="1"/>
  <c r="V2276" i="22"/>
  <c r="AB2276" i="22" s="1"/>
  <c r="X2275" i="22"/>
  <c r="AD2275" i="22" s="1"/>
  <c r="W2275" i="22"/>
  <c r="AC2275" i="22" s="1"/>
  <c r="V2275" i="22"/>
  <c r="AB2275" i="22" s="1"/>
  <c r="X2274" i="22"/>
  <c r="AD2274" i="22" s="1"/>
  <c r="W2274" i="22"/>
  <c r="AC2274" i="22" s="1"/>
  <c r="V2274" i="22"/>
  <c r="AB2274" i="22" s="1"/>
  <c r="X2273" i="22"/>
  <c r="AD2273" i="22" s="1"/>
  <c r="W2273" i="22"/>
  <c r="AC2273" i="22" s="1"/>
  <c r="V2273" i="22"/>
  <c r="AB2273" i="22" s="1"/>
  <c r="X2272" i="22"/>
  <c r="AD2272" i="22" s="1"/>
  <c r="W2272" i="22"/>
  <c r="AC2272" i="22" s="1"/>
  <c r="V2272" i="22"/>
  <c r="AB2272" i="22" s="1"/>
  <c r="X2271" i="22"/>
  <c r="AD2271" i="22" s="1"/>
  <c r="W2271" i="22"/>
  <c r="AC2271" i="22" s="1"/>
  <c r="V2271" i="22"/>
  <c r="AB2271" i="22" s="1"/>
  <c r="X2270" i="22"/>
  <c r="AD2270" i="22" s="1"/>
  <c r="W2270" i="22"/>
  <c r="AC2270" i="22" s="1"/>
  <c r="V2270" i="22"/>
  <c r="AB2270" i="22" s="1"/>
  <c r="X2269" i="22"/>
  <c r="AD2269" i="22" s="1"/>
  <c r="W2269" i="22"/>
  <c r="AC2269" i="22" s="1"/>
  <c r="V2269" i="22"/>
  <c r="AB2269" i="22" s="1"/>
  <c r="X2268" i="22"/>
  <c r="AD2268" i="22" s="1"/>
  <c r="W2268" i="22"/>
  <c r="AC2268" i="22" s="1"/>
  <c r="V2268" i="22"/>
  <c r="AB2268" i="22" s="1"/>
  <c r="X2267" i="22"/>
  <c r="AD2267" i="22" s="1"/>
  <c r="W2267" i="22"/>
  <c r="AC2267" i="22" s="1"/>
  <c r="V2267" i="22"/>
  <c r="AB2267" i="22" s="1"/>
  <c r="X2266" i="22"/>
  <c r="AD2266" i="22" s="1"/>
  <c r="W2266" i="22"/>
  <c r="AC2266" i="22" s="1"/>
  <c r="V2266" i="22"/>
  <c r="AB2266" i="22" s="1"/>
  <c r="X2265" i="22"/>
  <c r="AD2265" i="22" s="1"/>
  <c r="W2265" i="22"/>
  <c r="AC2265" i="22" s="1"/>
  <c r="V2265" i="22"/>
  <c r="AB2265" i="22" s="1"/>
  <c r="X2264" i="22"/>
  <c r="AD2264" i="22" s="1"/>
  <c r="W2264" i="22"/>
  <c r="AC2264" i="22" s="1"/>
  <c r="V2264" i="22"/>
  <c r="AB2264" i="22" s="1"/>
  <c r="X2263" i="22"/>
  <c r="AD2263" i="22" s="1"/>
  <c r="W2263" i="22"/>
  <c r="AC2263" i="22" s="1"/>
  <c r="V2263" i="22"/>
  <c r="AB2263" i="22" s="1"/>
  <c r="X2262" i="22"/>
  <c r="AD2262" i="22" s="1"/>
  <c r="W2262" i="22"/>
  <c r="AC2262" i="22" s="1"/>
  <c r="V2262" i="22"/>
  <c r="AB2262" i="22" s="1"/>
  <c r="X2261" i="22"/>
  <c r="AD2261" i="22" s="1"/>
  <c r="W2261" i="22"/>
  <c r="AC2261" i="22" s="1"/>
  <c r="V2261" i="22"/>
  <c r="AB2261" i="22" s="1"/>
  <c r="X2260" i="22"/>
  <c r="AD2260" i="22" s="1"/>
  <c r="W2260" i="22"/>
  <c r="AC2260" i="22" s="1"/>
  <c r="V2260" i="22"/>
  <c r="AB2260" i="22" s="1"/>
  <c r="X2259" i="22"/>
  <c r="AD2259" i="22" s="1"/>
  <c r="W2259" i="22"/>
  <c r="AC2259" i="22" s="1"/>
  <c r="V2259" i="22"/>
  <c r="AB2259" i="22" s="1"/>
  <c r="X2258" i="22"/>
  <c r="AD2258" i="22" s="1"/>
  <c r="W2258" i="22"/>
  <c r="AC2258" i="22" s="1"/>
  <c r="V2258" i="22"/>
  <c r="AB2258" i="22" s="1"/>
  <c r="X2257" i="22"/>
  <c r="AD2257" i="22" s="1"/>
  <c r="W2257" i="22"/>
  <c r="AC2257" i="22" s="1"/>
  <c r="V2257" i="22"/>
  <c r="AB2257" i="22" s="1"/>
  <c r="X2256" i="22"/>
  <c r="AD2256" i="22" s="1"/>
  <c r="W2256" i="22"/>
  <c r="AC2256" i="22" s="1"/>
  <c r="V2256" i="22"/>
  <c r="AB2256" i="22" s="1"/>
  <c r="X2255" i="22"/>
  <c r="AD2255" i="22" s="1"/>
  <c r="W2255" i="22"/>
  <c r="AC2255" i="22" s="1"/>
  <c r="V2255" i="22"/>
  <c r="AB2255" i="22" s="1"/>
  <c r="X2254" i="22"/>
  <c r="AD2254" i="22" s="1"/>
  <c r="W2254" i="22"/>
  <c r="AC2254" i="22" s="1"/>
  <c r="V2254" i="22"/>
  <c r="AB2254" i="22" s="1"/>
  <c r="X2253" i="22"/>
  <c r="AD2253" i="22" s="1"/>
  <c r="W2253" i="22"/>
  <c r="AC2253" i="22" s="1"/>
  <c r="V2253" i="22"/>
  <c r="AB2253" i="22" s="1"/>
  <c r="X2252" i="22"/>
  <c r="AD2252" i="22" s="1"/>
  <c r="W2252" i="22"/>
  <c r="AC2252" i="22" s="1"/>
  <c r="V2252" i="22"/>
  <c r="AB2252" i="22" s="1"/>
  <c r="X2251" i="22"/>
  <c r="AD2251" i="22" s="1"/>
  <c r="W2251" i="22"/>
  <c r="AC2251" i="22" s="1"/>
  <c r="V2251" i="22"/>
  <c r="AB2251" i="22" s="1"/>
  <c r="X2250" i="22"/>
  <c r="AD2250" i="22" s="1"/>
  <c r="W2250" i="22"/>
  <c r="AC2250" i="22" s="1"/>
  <c r="V2250" i="22"/>
  <c r="AB2250" i="22" s="1"/>
  <c r="X2249" i="22"/>
  <c r="AD2249" i="22" s="1"/>
  <c r="W2249" i="22"/>
  <c r="AC2249" i="22" s="1"/>
  <c r="V2249" i="22"/>
  <c r="AB2249" i="22" s="1"/>
  <c r="X2248" i="22"/>
  <c r="AD2248" i="22" s="1"/>
  <c r="W2248" i="22"/>
  <c r="AC2248" i="22" s="1"/>
  <c r="V2248" i="22"/>
  <c r="AB2248" i="22" s="1"/>
  <c r="X2247" i="22"/>
  <c r="AD2247" i="22" s="1"/>
  <c r="W2247" i="22"/>
  <c r="AC2247" i="22" s="1"/>
  <c r="V2247" i="22"/>
  <c r="AB2247" i="22" s="1"/>
  <c r="X2246" i="22"/>
  <c r="AD2246" i="22" s="1"/>
  <c r="W2246" i="22"/>
  <c r="AC2246" i="22" s="1"/>
  <c r="V2246" i="22"/>
  <c r="AB2246" i="22" s="1"/>
  <c r="X2245" i="22"/>
  <c r="AD2245" i="22" s="1"/>
  <c r="W2245" i="22"/>
  <c r="AC2245" i="22" s="1"/>
  <c r="V2245" i="22"/>
  <c r="AB2245" i="22" s="1"/>
  <c r="X2244" i="22"/>
  <c r="AD2244" i="22" s="1"/>
  <c r="W2244" i="22"/>
  <c r="AC2244" i="22" s="1"/>
  <c r="V2244" i="22"/>
  <c r="AB2244" i="22" s="1"/>
  <c r="X2243" i="22"/>
  <c r="AD2243" i="22" s="1"/>
  <c r="W2243" i="22"/>
  <c r="AC2243" i="22" s="1"/>
  <c r="V2243" i="22"/>
  <c r="AB2243" i="22" s="1"/>
  <c r="X2242" i="22"/>
  <c r="AD2242" i="22" s="1"/>
  <c r="W2242" i="22"/>
  <c r="AC2242" i="22" s="1"/>
  <c r="V2242" i="22"/>
  <c r="AB2242" i="22" s="1"/>
  <c r="X2241" i="22"/>
  <c r="AD2241" i="22" s="1"/>
  <c r="W2241" i="22"/>
  <c r="AC2241" i="22" s="1"/>
  <c r="V2241" i="22"/>
  <c r="AB2241" i="22" s="1"/>
  <c r="X2240" i="22"/>
  <c r="AD2240" i="22" s="1"/>
  <c r="W2240" i="22"/>
  <c r="AC2240" i="22" s="1"/>
  <c r="V2240" i="22"/>
  <c r="AB2240" i="22" s="1"/>
  <c r="X2239" i="22"/>
  <c r="AD2239" i="22" s="1"/>
  <c r="W2239" i="22"/>
  <c r="AC2239" i="22" s="1"/>
  <c r="V2239" i="22"/>
  <c r="AB2239" i="22" s="1"/>
  <c r="X2238" i="22"/>
  <c r="AD2238" i="22" s="1"/>
  <c r="W2238" i="22"/>
  <c r="AC2238" i="22" s="1"/>
  <c r="V2238" i="22"/>
  <c r="AB2238" i="22" s="1"/>
  <c r="X2237" i="22"/>
  <c r="AD2237" i="22" s="1"/>
  <c r="W2237" i="22"/>
  <c r="AC2237" i="22" s="1"/>
  <c r="V2237" i="22"/>
  <c r="AB2237" i="22" s="1"/>
  <c r="X2236" i="22"/>
  <c r="AD2236" i="22" s="1"/>
  <c r="W2236" i="22"/>
  <c r="AC2236" i="22" s="1"/>
  <c r="V2236" i="22"/>
  <c r="AB2236" i="22" s="1"/>
  <c r="X2235" i="22"/>
  <c r="AD2235" i="22" s="1"/>
  <c r="W2235" i="22"/>
  <c r="AC2235" i="22" s="1"/>
  <c r="V2235" i="22"/>
  <c r="AB2235" i="22" s="1"/>
  <c r="X2234" i="22"/>
  <c r="AD2234" i="22" s="1"/>
  <c r="W2234" i="22"/>
  <c r="AC2234" i="22" s="1"/>
  <c r="V2234" i="22"/>
  <c r="AB2234" i="22" s="1"/>
  <c r="X2233" i="22"/>
  <c r="AD2233" i="22" s="1"/>
  <c r="W2233" i="22"/>
  <c r="AC2233" i="22" s="1"/>
  <c r="V2233" i="22"/>
  <c r="AB2233" i="22" s="1"/>
  <c r="X2232" i="22"/>
  <c r="AD2232" i="22" s="1"/>
  <c r="W2232" i="22"/>
  <c r="AC2232" i="22" s="1"/>
  <c r="V2232" i="22"/>
  <c r="AB2232" i="22" s="1"/>
  <c r="X2231" i="22"/>
  <c r="AD2231" i="22" s="1"/>
  <c r="W2231" i="22"/>
  <c r="AC2231" i="22" s="1"/>
  <c r="V2231" i="22"/>
  <c r="AB2231" i="22" s="1"/>
  <c r="X2230" i="22"/>
  <c r="AD2230" i="22" s="1"/>
  <c r="W2230" i="22"/>
  <c r="AC2230" i="22" s="1"/>
  <c r="V2230" i="22"/>
  <c r="AB2230" i="22" s="1"/>
  <c r="X2229" i="22"/>
  <c r="AD2229" i="22" s="1"/>
  <c r="W2229" i="22"/>
  <c r="AC2229" i="22" s="1"/>
  <c r="V2229" i="22"/>
  <c r="AB2229" i="22" s="1"/>
  <c r="X2228" i="22"/>
  <c r="AD2228" i="22" s="1"/>
  <c r="W2228" i="22"/>
  <c r="AC2228" i="22" s="1"/>
  <c r="V2228" i="22"/>
  <c r="AB2228" i="22" s="1"/>
  <c r="X2227" i="22"/>
  <c r="AD2227" i="22" s="1"/>
  <c r="W2227" i="22"/>
  <c r="AC2227" i="22" s="1"/>
  <c r="V2227" i="22"/>
  <c r="AB2227" i="22" s="1"/>
  <c r="X2226" i="22"/>
  <c r="AD2226" i="22" s="1"/>
  <c r="W2226" i="22"/>
  <c r="AC2226" i="22" s="1"/>
  <c r="V2226" i="22"/>
  <c r="AB2226" i="22" s="1"/>
  <c r="X2225" i="22"/>
  <c r="AD2225" i="22" s="1"/>
  <c r="W2225" i="22"/>
  <c r="AC2225" i="22" s="1"/>
  <c r="V2225" i="22"/>
  <c r="AB2225" i="22" s="1"/>
  <c r="X2224" i="22"/>
  <c r="AD2224" i="22" s="1"/>
  <c r="W2224" i="22"/>
  <c r="AC2224" i="22" s="1"/>
  <c r="V2224" i="22"/>
  <c r="AB2224" i="22" s="1"/>
  <c r="X2223" i="22"/>
  <c r="AD2223" i="22" s="1"/>
  <c r="W2223" i="22"/>
  <c r="AC2223" i="22" s="1"/>
  <c r="V2223" i="22"/>
  <c r="AB2223" i="22" s="1"/>
  <c r="X2222" i="22"/>
  <c r="AD2222" i="22" s="1"/>
  <c r="W2222" i="22"/>
  <c r="AC2222" i="22" s="1"/>
  <c r="V2222" i="22"/>
  <c r="AB2222" i="22" s="1"/>
  <c r="X2221" i="22"/>
  <c r="AD2221" i="22" s="1"/>
  <c r="W2221" i="22"/>
  <c r="AC2221" i="22" s="1"/>
  <c r="V2221" i="22"/>
  <c r="AB2221" i="22" s="1"/>
  <c r="X2220" i="22"/>
  <c r="AD2220" i="22" s="1"/>
  <c r="W2220" i="22"/>
  <c r="AC2220" i="22" s="1"/>
  <c r="V2220" i="22"/>
  <c r="AB2220" i="22" s="1"/>
  <c r="X2219" i="22"/>
  <c r="AD2219" i="22" s="1"/>
  <c r="W2219" i="22"/>
  <c r="AC2219" i="22" s="1"/>
  <c r="V2219" i="22"/>
  <c r="AB2219" i="22" s="1"/>
  <c r="X2218" i="22"/>
  <c r="AD2218" i="22" s="1"/>
  <c r="W2218" i="22"/>
  <c r="AC2218" i="22" s="1"/>
  <c r="V2218" i="22"/>
  <c r="AB2218" i="22" s="1"/>
  <c r="X2217" i="22"/>
  <c r="AD2217" i="22" s="1"/>
  <c r="W2217" i="22"/>
  <c r="AC2217" i="22" s="1"/>
  <c r="V2217" i="22"/>
  <c r="AB2217" i="22" s="1"/>
  <c r="X2216" i="22"/>
  <c r="AD2216" i="22" s="1"/>
  <c r="W2216" i="22"/>
  <c r="AC2216" i="22" s="1"/>
  <c r="V2216" i="22"/>
  <c r="AB2216" i="22" s="1"/>
  <c r="X2215" i="22"/>
  <c r="AD2215" i="22" s="1"/>
  <c r="W2215" i="22"/>
  <c r="AC2215" i="22" s="1"/>
  <c r="V2215" i="22"/>
  <c r="AB2215" i="22" s="1"/>
  <c r="X2214" i="22"/>
  <c r="AD2214" i="22" s="1"/>
  <c r="W2214" i="22"/>
  <c r="AC2214" i="22" s="1"/>
  <c r="V2214" i="22"/>
  <c r="AB2214" i="22" s="1"/>
  <c r="X2213" i="22"/>
  <c r="AD2213" i="22" s="1"/>
  <c r="W2213" i="22"/>
  <c r="AC2213" i="22" s="1"/>
  <c r="V2213" i="22"/>
  <c r="AB2213" i="22" s="1"/>
  <c r="X2212" i="22"/>
  <c r="AD2212" i="22" s="1"/>
  <c r="W2212" i="22"/>
  <c r="AC2212" i="22" s="1"/>
  <c r="V2212" i="22"/>
  <c r="AB2212" i="22" s="1"/>
  <c r="X2211" i="22"/>
  <c r="AD2211" i="22" s="1"/>
  <c r="W2211" i="22"/>
  <c r="AC2211" i="22" s="1"/>
  <c r="V2211" i="22"/>
  <c r="AB2211" i="22" s="1"/>
  <c r="X2210" i="22"/>
  <c r="AD2210" i="22" s="1"/>
  <c r="W2210" i="22"/>
  <c r="AC2210" i="22" s="1"/>
  <c r="V2210" i="22"/>
  <c r="AB2210" i="22" s="1"/>
  <c r="X2209" i="22"/>
  <c r="AD2209" i="22" s="1"/>
  <c r="W2209" i="22"/>
  <c r="AC2209" i="22" s="1"/>
  <c r="V2209" i="22"/>
  <c r="AB2209" i="22" s="1"/>
  <c r="X2208" i="22"/>
  <c r="AD2208" i="22" s="1"/>
  <c r="W2208" i="22"/>
  <c r="AC2208" i="22" s="1"/>
  <c r="V2208" i="22"/>
  <c r="AB2208" i="22" s="1"/>
  <c r="X2207" i="22"/>
  <c r="AD2207" i="22" s="1"/>
  <c r="W2207" i="22"/>
  <c r="AC2207" i="22" s="1"/>
  <c r="V2207" i="22"/>
  <c r="AB2207" i="22" s="1"/>
  <c r="X2206" i="22"/>
  <c r="AD2206" i="22" s="1"/>
  <c r="W2206" i="22"/>
  <c r="AC2206" i="22" s="1"/>
  <c r="V2206" i="22"/>
  <c r="AB2206" i="22" s="1"/>
  <c r="X2205" i="22"/>
  <c r="AD2205" i="22" s="1"/>
  <c r="W2205" i="22"/>
  <c r="AC2205" i="22" s="1"/>
  <c r="V2205" i="22"/>
  <c r="AB2205" i="22" s="1"/>
  <c r="X2204" i="22"/>
  <c r="AD2204" i="22" s="1"/>
  <c r="W2204" i="22"/>
  <c r="AC2204" i="22" s="1"/>
  <c r="V2204" i="22"/>
  <c r="AB2204" i="22" s="1"/>
  <c r="X2203" i="22"/>
  <c r="AD2203" i="22" s="1"/>
  <c r="W2203" i="22"/>
  <c r="AC2203" i="22" s="1"/>
  <c r="V2203" i="22"/>
  <c r="AB2203" i="22" s="1"/>
  <c r="X2202" i="22"/>
  <c r="AD2202" i="22" s="1"/>
  <c r="W2202" i="22"/>
  <c r="AC2202" i="22" s="1"/>
  <c r="V2202" i="22"/>
  <c r="AB2202" i="22" s="1"/>
  <c r="X2201" i="22"/>
  <c r="AD2201" i="22" s="1"/>
  <c r="W2201" i="22"/>
  <c r="AC2201" i="22" s="1"/>
  <c r="V2201" i="22"/>
  <c r="AB2201" i="22" s="1"/>
  <c r="X2200" i="22"/>
  <c r="AD2200" i="22" s="1"/>
  <c r="W2200" i="22"/>
  <c r="AC2200" i="22" s="1"/>
  <c r="V2200" i="22"/>
  <c r="AB2200" i="22" s="1"/>
  <c r="X2199" i="22"/>
  <c r="AD2199" i="22" s="1"/>
  <c r="W2199" i="22"/>
  <c r="AC2199" i="22" s="1"/>
  <c r="V2199" i="22"/>
  <c r="AB2199" i="22" s="1"/>
  <c r="X2198" i="22"/>
  <c r="AD2198" i="22" s="1"/>
  <c r="W2198" i="22"/>
  <c r="AC2198" i="22" s="1"/>
  <c r="V2198" i="22"/>
  <c r="AB2198" i="22" s="1"/>
  <c r="X2197" i="22"/>
  <c r="AD2197" i="22" s="1"/>
  <c r="W2197" i="22"/>
  <c r="AC2197" i="22" s="1"/>
  <c r="V2197" i="22"/>
  <c r="AB2197" i="22" s="1"/>
  <c r="X2196" i="22"/>
  <c r="AD2196" i="22" s="1"/>
  <c r="W2196" i="22"/>
  <c r="AC2196" i="22" s="1"/>
  <c r="V2196" i="22"/>
  <c r="AB2196" i="22" s="1"/>
  <c r="X2195" i="22"/>
  <c r="AD2195" i="22" s="1"/>
  <c r="W2195" i="22"/>
  <c r="AC2195" i="22" s="1"/>
  <c r="V2195" i="22"/>
  <c r="AB2195" i="22" s="1"/>
  <c r="X2194" i="22"/>
  <c r="AD2194" i="22" s="1"/>
  <c r="W2194" i="22"/>
  <c r="AC2194" i="22" s="1"/>
  <c r="V2194" i="22"/>
  <c r="AB2194" i="22" s="1"/>
  <c r="X2193" i="22"/>
  <c r="AD2193" i="22" s="1"/>
  <c r="W2193" i="22"/>
  <c r="AC2193" i="22" s="1"/>
  <c r="V2193" i="22"/>
  <c r="AB2193" i="22" s="1"/>
  <c r="X2192" i="22"/>
  <c r="AD2192" i="22" s="1"/>
  <c r="W2192" i="22"/>
  <c r="AC2192" i="22" s="1"/>
  <c r="V2192" i="22"/>
  <c r="AB2192" i="22" s="1"/>
  <c r="X2191" i="22"/>
  <c r="AD2191" i="22" s="1"/>
  <c r="W2191" i="22"/>
  <c r="AC2191" i="22" s="1"/>
  <c r="V2191" i="22"/>
  <c r="AB2191" i="22" s="1"/>
  <c r="X2190" i="22"/>
  <c r="AD2190" i="22" s="1"/>
  <c r="W2190" i="22"/>
  <c r="AC2190" i="22" s="1"/>
  <c r="V2190" i="22"/>
  <c r="AB2190" i="22" s="1"/>
  <c r="X2189" i="22"/>
  <c r="AD2189" i="22" s="1"/>
  <c r="W2189" i="22"/>
  <c r="AC2189" i="22" s="1"/>
  <c r="V2189" i="22"/>
  <c r="AB2189" i="22" s="1"/>
  <c r="X2188" i="22"/>
  <c r="AD2188" i="22" s="1"/>
  <c r="W2188" i="22"/>
  <c r="AC2188" i="22" s="1"/>
  <c r="V2188" i="22"/>
  <c r="AB2188" i="22" s="1"/>
  <c r="X2187" i="22"/>
  <c r="AD2187" i="22" s="1"/>
  <c r="W2187" i="22"/>
  <c r="AC2187" i="22" s="1"/>
  <c r="V2187" i="22"/>
  <c r="AB2187" i="22" s="1"/>
  <c r="X2186" i="22"/>
  <c r="AD2186" i="22" s="1"/>
  <c r="W2186" i="22"/>
  <c r="AC2186" i="22" s="1"/>
  <c r="V2186" i="22"/>
  <c r="AB2186" i="22" s="1"/>
  <c r="X2185" i="22"/>
  <c r="AD2185" i="22" s="1"/>
  <c r="W2185" i="22"/>
  <c r="AC2185" i="22" s="1"/>
  <c r="V2185" i="22"/>
  <c r="AB2185" i="22" s="1"/>
  <c r="X2184" i="22"/>
  <c r="AD2184" i="22" s="1"/>
  <c r="W2184" i="22"/>
  <c r="AC2184" i="22" s="1"/>
  <c r="V2184" i="22"/>
  <c r="AB2184" i="22" s="1"/>
  <c r="X2183" i="22"/>
  <c r="AD2183" i="22" s="1"/>
  <c r="W2183" i="22"/>
  <c r="AC2183" i="22" s="1"/>
  <c r="V2183" i="22"/>
  <c r="AB2183" i="22" s="1"/>
  <c r="X2182" i="22"/>
  <c r="AD2182" i="22" s="1"/>
  <c r="W2182" i="22"/>
  <c r="AC2182" i="22" s="1"/>
  <c r="V2182" i="22"/>
  <c r="AB2182" i="22" s="1"/>
  <c r="X2181" i="22"/>
  <c r="AD2181" i="22" s="1"/>
  <c r="W2181" i="22"/>
  <c r="AC2181" i="22" s="1"/>
  <c r="V2181" i="22"/>
  <c r="AB2181" i="22" s="1"/>
  <c r="X2180" i="22"/>
  <c r="AD2180" i="22" s="1"/>
  <c r="W2180" i="22"/>
  <c r="AC2180" i="22" s="1"/>
  <c r="V2180" i="22"/>
  <c r="AB2180" i="22" s="1"/>
  <c r="X2179" i="22"/>
  <c r="AD2179" i="22" s="1"/>
  <c r="W2179" i="22"/>
  <c r="AC2179" i="22" s="1"/>
  <c r="V2179" i="22"/>
  <c r="AB2179" i="22" s="1"/>
  <c r="X2178" i="22"/>
  <c r="AD2178" i="22" s="1"/>
  <c r="W2178" i="22"/>
  <c r="AC2178" i="22" s="1"/>
  <c r="V2178" i="22"/>
  <c r="AB2178" i="22" s="1"/>
  <c r="X2177" i="22"/>
  <c r="AD2177" i="22" s="1"/>
  <c r="W2177" i="22"/>
  <c r="AC2177" i="22" s="1"/>
  <c r="V2177" i="22"/>
  <c r="AB2177" i="22" s="1"/>
  <c r="X2176" i="22"/>
  <c r="AD2176" i="22" s="1"/>
  <c r="W2176" i="22"/>
  <c r="AC2176" i="22" s="1"/>
  <c r="V2176" i="22"/>
  <c r="AB2176" i="22" s="1"/>
  <c r="X2175" i="22"/>
  <c r="AD2175" i="22" s="1"/>
  <c r="W2175" i="22"/>
  <c r="AC2175" i="22" s="1"/>
  <c r="V2175" i="22"/>
  <c r="AB2175" i="22" s="1"/>
  <c r="X2174" i="22"/>
  <c r="AD2174" i="22" s="1"/>
  <c r="W2174" i="22"/>
  <c r="AC2174" i="22" s="1"/>
  <c r="V2174" i="22"/>
  <c r="AB2174" i="22" s="1"/>
  <c r="X2173" i="22"/>
  <c r="AD2173" i="22" s="1"/>
  <c r="W2173" i="22"/>
  <c r="AC2173" i="22" s="1"/>
  <c r="V2173" i="22"/>
  <c r="AB2173" i="22" s="1"/>
  <c r="X2172" i="22"/>
  <c r="AD2172" i="22" s="1"/>
  <c r="W2172" i="22"/>
  <c r="AC2172" i="22" s="1"/>
  <c r="V2172" i="22"/>
  <c r="AB2172" i="22" s="1"/>
  <c r="X2171" i="22"/>
  <c r="AD2171" i="22" s="1"/>
  <c r="W2171" i="22"/>
  <c r="AC2171" i="22" s="1"/>
  <c r="V2171" i="22"/>
  <c r="AB2171" i="22" s="1"/>
  <c r="X2170" i="22"/>
  <c r="AD2170" i="22" s="1"/>
  <c r="W2170" i="22"/>
  <c r="AC2170" i="22" s="1"/>
  <c r="V2170" i="22"/>
  <c r="AB2170" i="22" s="1"/>
  <c r="X2169" i="22"/>
  <c r="AD2169" i="22" s="1"/>
  <c r="W2169" i="22"/>
  <c r="AC2169" i="22" s="1"/>
  <c r="V2169" i="22"/>
  <c r="AB2169" i="22" s="1"/>
  <c r="X2168" i="22"/>
  <c r="AD2168" i="22" s="1"/>
  <c r="W2168" i="22"/>
  <c r="AC2168" i="22" s="1"/>
  <c r="V2168" i="22"/>
  <c r="AB2168" i="22" s="1"/>
  <c r="X2167" i="22"/>
  <c r="AD2167" i="22" s="1"/>
  <c r="W2167" i="22"/>
  <c r="AC2167" i="22" s="1"/>
  <c r="V2167" i="22"/>
  <c r="AB2167" i="22" s="1"/>
  <c r="X2166" i="22"/>
  <c r="AD2166" i="22" s="1"/>
  <c r="W2166" i="22"/>
  <c r="AC2166" i="22" s="1"/>
  <c r="V2166" i="22"/>
  <c r="AB2166" i="22" s="1"/>
  <c r="X2165" i="22"/>
  <c r="AD2165" i="22" s="1"/>
  <c r="W2165" i="22"/>
  <c r="AC2165" i="22" s="1"/>
  <c r="V2165" i="22"/>
  <c r="AB2165" i="22" s="1"/>
  <c r="X2164" i="22"/>
  <c r="AD2164" i="22" s="1"/>
  <c r="W2164" i="22"/>
  <c r="AC2164" i="22" s="1"/>
  <c r="V2164" i="22"/>
  <c r="AB2164" i="22" s="1"/>
  <c r="X2163" i="22"/>
  <c r="AD2163" i="22" s="1"/>
  <c r="W2163" i="22"/>
  <c r="AC2163" i="22" s="1"/>
  <c r="V2163" i="22"/>
  <c r="AB2163" i="22" s="1"/>
  <c r="X2162" i="22"/>
  <c r="AD2162" i="22" s="1"/>
  <c r="W2162" i="22"/>
  <c r="AC2162" i="22" s="1"/>
  <c r="V2162" i="22"/>
  <c r="AB2162" i="22" s="1"/>
  <c r="X2161" i="22"/>
  <c r="AD2161" i="22" s="1"/>
  <c r="W2161" i="22"/>
  <c r="AC2161" i="22" s="1"/>
  <c r="V2161" i="22"/>
  <c r="AB2161" i="22" s="1"/>
  <c r="X2160" i="22"/>
  <c r="AD2160" i="22" s="1"/>
  <c r="W2160" i="22"/>
  <c r="AC2160" i="22" s="1"/>
  <c r="V2160" i="22"/>
  <c r="AB2160" i="22" s="1"/>
  <c r="X2159" i="22"/>
  <c r="AD2159" i="22" s="1"/>
  <c r="W2159" i="22"/>
  <c r="AC2159" i="22" s="1"/>
  <c r="V2159" i="22"/>
  <c r="AB2159" i="22" s="1"/>
  <c r="X2158" i="22"/>
  <c r="AD2158" i="22" s="1"/>
  <c r="W2158" i="22"/>
  <c r="AC2158" i="22" s="1"/>
  <c r="V2158" i="22"/>
  <c r="AB2158" i="22" s="1"/>
  <c r="X2157" i="22"/>
  <c r="AD2157" i="22" s="1"/>
  <c r="W2157" i="22"/>
  <c r="AC2157" i="22" s="1"/>
  <c r="V2157" i="22"/>
  <c r="AB2157" i="22" s="1"/>
  <c r="X2156" i="22"/>
  <c r="AD2156" i="22" s="1"/>
  <c r="W2156" i="22"/>
  <c r="AC2156" i="22" s="1"/>
  <c r="V2156" i="22"/>
  <c r="AB2156" i="22" s="1"/>
  <c r="X2155" i="22"/>
  <c r="AD2155" i="22" s="1"/>
  <c r="W2155" i="22"/>
  <c r="AC2155" i="22" s="1"/>
  <c r="V2155" i="22"/>
  <c r="AB2155" i="22" s="1"/>
  <c r="X2154" i="22"/>
  <c r="AD2154" i="22" s="1"/>
  <c r="W2154" i="22"/>
  <c r="AC2154" i="22" s="1"/>
  <c r="V2154" i="22"/>
  <c r="AB2154" i="22" s="1"/>
  <c r="X2153" i="22"/>
  <c r="AD2153" i="22" s="1"/>
  <c r="W2153" i="22"/>
  <c r="AC2153" i="22" s="1"/>
  <c r="V2153" i="22"/>
  <c r="AB2153" i="22" s="1"/>
  <c r="X2152" i="22"/>
  <c r="AD2152" i="22" s="1"/>
  <c r="W2152" i="22"/>
  <c r="AC2152" i="22" s="1"/>
  <c r="V2152" i="22"/>
  <c r="AB2152" i="22" s="1"/>
  <c r="X2151" i="22"/>
  <c r="AD2151" i="22" s="1"/>
  <c r="W2151" i="22"/>
  <c r="AC2151" i="22" s="1"/>
  <c r="V2151" i="22"/>
  <c r="AB2151" i="22" s="1"/>
  <c r="X2150" i="22"/>
  <c r="AD2150" i="22" s="1"/>
  <c r="W2150" i="22"/>
  <c r="AC2150" i="22" s="1"/>
  <c r="V2150" i="22"/>
  <c r="AB2150" i="22" s="1"/>
  <c r="X2149" i="22"/>
  <c r="AD2149" i="22" s="1"/>
  <c r="W2149" i="22"/>
  <c r="AC2149" i="22" s="1"/>
  <c r="V2149" i="22"/>
  <c r="AB2149" i="22" s="1"/>
  <c r="X2148" i="22"/>
  <c r="AD2148" i="22" s="1"/>
  <c r="W2148" i="22"/>
  <c r="AC2148" i="22" s="1"/>
  <c r="V2148" i="22"/>
  <c r="AB2148" i="22" s="1"/>
  <c r="X2147" i="22"/>
  <c r="AD2147" i="22" s="1"/>
  <c r="W2147" i="22"/>
  <c r="AC2147" i="22" s="1"/>
  <c r="V2147" i="22"/>
  <c r="AB2147" i="22" s="1"/>
  <c r="X2146" i="22"/>
  <c r="AD2146" i="22" s="1"/>
  <c r="W2146" i="22"/>
  <c r="AC2146" i="22" s="1"/>
  <c r="V2146" i="22"/>
  <c r="AB2146" i="22" s="1"/>
  <c r="X2145" i="22"/>
  <c r="AD2145" i="22" s="1"/>
  <c r="W2145" i="22"/>
  <c r="AC2145" i="22" s="1"/>
  <c r="V2145" i="22"/>
  <c r="AB2145" i="22" s="1"/>
  <c r="X2144" i="22"/>
  <c r="AD2144" i="22" s="1"/>
  <c r="W2144" i="22"/>
  <c r="AC2144" i="22" s="1"/>
  <c r="V2144" i="22"/>
  <c r="AB2144" i="22" s="1"/>
  <c r="X2143" i="22"/>
  <c r="AD2143" i="22" s="1"/>
  <c r="W2143" i="22"/>
  <c r="AC2143" i="22" s="1"/>
  <c r="V2143" i="22"/>
  <c r="AB2143" i="22" s="1"/>
  <c r="X2142" i="22"/>
  <c r="AD2142" i="22" s="1"/>
  <c r="W2142" i="22"/>
  <c r="AC2142" i="22" s="1"/>
  <c r="V2142" i="22"/>
  <c r="AB2142" i="22" s="1"/>
  <c r="X2141" i="22"/>
  <c r="AD2141" i="22" s="1"/>
  <c r="W2141" i="22"/>
  <c r="AC2141" i="22" s="1"/>
  <c r="V2141" i="22"/>
  <c r="AB2141" i="22" s="1"/>
  <c r="X2140" i="22"/>
  <c r="AD2140" i="22" s="1"/>
  <c r="W2140" i="22"/>
  <c r="AC2140" i="22" s="1"/>
  <c r="V2140" i="22"/>
  <c r="AB2140" i="22" s="1"/>
  <c r="X2139" i="22"/>
  <c r="AD2139" i="22" s="1"/>
  <c r="W2139" i="22"/>
  <c r="AC2139" i="22" s="1"/>
  <c r="V2139" i="22"/>
  <c r="AB2139" i="22" s="1"/>
  <c r="X2138" i="22"/>
  <c r="AD2138" i="22" s="1"/>
  <c r="W2138" i="22"/>
  <c r="AC2138" i="22" s="1"/>
  <c r="V2138" i="22"/>
  <c r="AB2138" i="22" s="1"/>
  <c r="X2137" i="22"/>
  <c r="AD2137" i="22" s="1"/>
  <c r="W2137" i="22"/>
  <c r="AC2137" i="22" s="1"/>
  <c r="V2137" i="22"/>
  <c r="AB2137" i="22" s="1"/>
  <c r="X2136" i="22"/>
  <c r="AD2136" i="22" s="1"/>
  <c r="W2136" i="22"/>
  <c r="AC2136" i="22" s="1"/>
  <c r="V2136" i="22"/>
  <c r="AB2136" i="22" s="1"/>
  <c r="X2135" i="22"/>
  <c r="AD2135" i="22" s="1"/>
  <c r="W2135" i="22"/>
  <c r="AC2135" i="22" s="1"/>
  <c r="V2135" i="22"/>
  <c r="AB2135" i="22" s="1"/>
  <c r="X2134" i="22"/>
  <c r="AD2134" i="22" s="1"/>
  <c r="W2134" i="22"/>
  <c r="AC2134" i="22" s="1"/>
  <c r="V2134" i="22"/>
  <c r="AB2134" i="22" s="1"/>
  <c r="X2133" i="22"/>
  <c r="AD2133" i="22" s="1"/>
  <c r="W2133" i="22"/>
  <c r="AC2133" i="22" s="1"/>
  <c r="V2133" i="22"/>
  <c r="AB2133" i="22" s="1"/>
  <c r="X2132" i="22"/>
  <c r="AD2132" i="22" s="1"/>
  <c r="W2132" i="22"/>
  <c r="AC2132" i="22" s="1"/>
  <c r="V2132" i="22"/>
  <c r="AB2132" i="22" s="1"/>
  <c r="X2131" i="22"/>
  <c r="AD2131" i="22" s="1"/>
  <c r="W2131" i="22"/>
  <c r="AC2131" i="22" s="1"/>
  <c r="V2131" i="22"/>
  <c r="AB2131" i="22" s="1"/>
  <c r="X2130" i="22"/>
  <c r="AD2130" i="22" s="1"/>
  <c r="W2130" i="22"/>
  <c r="AC2130" i="22" s="1"/>
  <c r="V2130" i="22"/>
  <c r="AB2130" i="22" s="1"/>
  <c r="X2129" i="22"/>
  <c r="AD2129" i="22" s="1"/>
  <c r="W2129" i="22"/>
  <c r="AC2129" i="22" s="1"/>
  <c r="V2129" i="22"/>
  <c r="AB2129" i="22" s="1"/>
  <c r="X2128" i="22"/>
  <c r="AD2128" i="22" s="1"/>
  <c r="W2128" i="22"/>
  <c r="AC2128" i="22" s="1"/>
  <c r="V2128" i="22"/>
  <c r="AB2128" i="22" s="1"/>
  <c r="X2127" i="22"/>
  <c r="AD2127" i="22" s="1"/>
  <c r="W2127" i="22"/>
  <c r="AC2127" i="22" s="1"/>
  <c r="V2127" i="22"/>
  <c r="AB2127" i="22" s="1"/>
  <c r="X2126" i="22"/>
  <c r="AD2126" i="22" s="1"/>
  <c r="W2126" i="22"/>
  <c r="AC2126" i="22" s="1"/>
  <c r="V2126" i="22"/>
  <c r="AB2126" i="22" s="1"/>
  <c r="X2125" i="22"/>
  <c r="AD2125" i="22" s="1"/>
  <c r="W2125" i="22"/>
  <c r="AC2125" i="22" s="1"/>
  <c r="V2125" i="22"/>
  <c r="AB2125" i="22" s="1"/>
  <c r="X2124" i="22"/>
  <c r="AD2124" i="22" s="1"/>
  <c r="W2124" i="22"/>
  <c r="AC2124" i="22" s="1"/>
  <c r="V2124" i="22"/>
  <c r="AB2124" i="22" s="1"/>
  <c r="X2123" i="22"/>
  <c r="AD2123" i="22" s="1"/>
  <c r="W2123" i="22"/>
  <c r="AC2123" i="22" s="1"/>
  <c r="V2123" i="22"/>
  <c r="AB2123" i="22" s="1"/>
  <c r="X2122" i="22"/>
  <c r="AD2122" i="22" s="1"/>
  <c r="W2122" i="22"/>
  <c r="AC2122" i="22" s="1"/>
  <c r="V2122" i="22"/>
  <c r="AB2122" i="22" s="1"/>
  <c r="X2121" i="22"/>
  <c r="AD2121" i="22" s="1"/>
  <c r="W2121" i="22"/>
  <c r="AC2121" i="22" s="1"/>
  <c r="V2121" i="22"/>
  <c r="AB2121" i="22" s="1"/>
  <c r="X2120" i="22"/>
  <c r="AD2120" i="22" s="1"/>
  <c r="W2120" i="22"/>
  <c r="AC2120" i="22" s="1"/>
  <c r="V2120" i="22"/>
  <c r="AB2120" i="22" s="1"/>
  <c r="X2119" i="22"/>
  <c r="AD2119" i="22" s="1"/>
  <c r="W2119" i="22"/>
  <c r="AC2119" i="22" s="1"/>
  <c r="V2119" i="22"/>
  <c r="AB2119" i="22" s="1"/>
  <c r="X2118" i="22"/>
  <c r="AD2118" i="22" s="1"/>
  <c r="W2118" i="22"/>
  <c r="AC2118" i="22" s="1"/>
  <c r="V2118" i="22"/>
  <c r="AB2118" i="22" s="1"/>
  <c r="X2117" i="22"/>
  <c r="AD2117" i="22" s="1"/>
  <c r="W2117" i="22"/>
  <c r="AC2117" i="22" s="1"/>
  <c r="V2117" i="22"/>
  <c r="AB2117" i="22" s="1"/>
  <c r="X2116" i="22"/>
  <c r="AD2116" i="22" s="1"/>
  <c r="W2116" i="22"/>
  <c r="AC2116" i="22" s="1"/>
  <c r="V2116" i="22"/>
  <c r="AB2116" i="22" s="1"/>
  <c r="X2115" i="22"/>
  <c r="AD2115" i="22" s="1"/>
  <c r="W2115" i="22"/>
  <c r="AC2115" i="22" s="1"/>
  <c r="V2115" i="22"/>
  <c r="AB2115" i="22" s="1"/>
  <c r="X2114" i="22"/>
  <c r="AD2114" i="22" s="1"/>
  <c r="W2114" i="22"/>
  <c r="AC2114" i="22" s="1"/>
  <c r="V2114" i="22"/>
  <c r="AB2114" i="22" s="1"/>
  <c r="X2113" i="22"/>
  <c r="AD2113" i="22" s="1"/>
  <c r="W2113" i="22"/>
  <c r="AC2113" i="22" s="1"/>
  <c r="V2113" i="22"/>
  <c r="AB2113" i="22" s="1"/>
  <c r="X2112" i="22"/>
  <c r="AD2112" i="22" s="1"/>
  <c r="W2112" i="22"/>
  <c r="AC2112" i="22" s="1"/>
  <c r="V2112" i="22"/>
  <c r="AB2112" i="22" s="1"/>
  <c r="X2111" i="22"/>
  <c r="AD2111" i="22" s="1"/>
  <c r="W2111" i="22"/>
  <c r="AC2111" i="22" s="1"/>
  <c r="V2111" i="22"/>
  <c r="AB2111" i="22" s="1"/>
  <c r="X2110" i="22"/>
  <c r="AD2110" i="22" s="1"/>
  <c r="W2110" i="22"/>
  <c r="AC2110" i="22" s="1"/>
  <c r="V2110" i="22"/>
  <c r="AB2110" i="22" s="1"/>
  <c r="X2109" i="22"/>
  <c r="AD2109" i="22" s="1"/>
  <c r="W2109" i="22"/>
  <c r="AC2109" i="22" s="1"/>
  <c r="V2109" i="22"/>
  <c r="AB2109" i="22" s="1"/>
  <c r="X2108" i="22"/>
  <c r="AD2108" i="22" s="1"/>
  <c r="W2108" i="22"/>
  <c r="AC2108" i="22" s="1"/>
  <c r="V2108" i="22"/>
  <c r="AB2108" i="22" s="1"/>
  <c r="X2107" i="22"/>
  <c r="AD2107" i="22" s="1"/>
  <c r="W2107" i="22"/>
  <c r="AC2107" i="22" s="1"/>
  <c r="V2107" i="22"/>
  <c r="AB2107" i="22" s="1"/>
  <c r="X2106" i="22"/>
  <c r="AD2106" i="22" s="1"/>
  <c r="W2106" i="22"/>
  <c r="AC2106" i="22" s="1"/>
  <c r="V2106" i="22"/>
  <c r="AB2106" i="22" s="1"/>
  <c r="X2105" i="22"/>
  <c r="AD2105" i="22" s="1"/>
  <c r="W2105" i="22"/>
  <c r="AC2105" i="22" s="1"/>
  <c r="V2105" i="22"/>
  <c r="AB2105" i="22" s="1"/>
  <c r="X2104" i="22"/>
  <c r="AD2104" i="22" s="1"/>
  <c r="W2104" i="22"/>
  <c r="AC2104" i="22" s="1"/>
  <c r="V2104" i="22"/>
  <c r="AB2104" i="22" s="1"/>
  <c r="X2103" i="22"/>
  <c r="AD2103" i="22" s="1"/>
  <c r="W2103" i="22"/>
  <c r="AC2103" i="22" s="1"/>
  <c r="V2103" i="22"/>
  <c r="AB2103" i="22" s="1"/>
  <c r="X2102" i="22"/>
  <c r="AD2102" i="22" s="1"/>
  <c r="W2102" i="22"/>
  <c r="AC2102" i="22" s="1"/>
  <c r="V2102" i="22"/>
  <c r="AB2102" i="22" s="1"/>
  <c r="X2101" i="22"/>
  <c r="AD2101" i="22" s="1"/>
  <c r="W2101" i="22"/>
  <c r="AC2101" i="22" s="1"/>
  <c r="V2101" i="22"/>
  <c r="AB2101" i="22" s="1"/>
  <c r="X2100" i="22"/>
  <c r="AD2100" i="22" s="1"/>
  <c r="W2100" i="22"/>
  <c r="AC2100" i="22" s="1"/>
  <c r="V2100" i="22"/>
  <c r="AB2100" i="22" s="1"/>
  <c r="X2099" i="22"/>
  <c r="AD2099" i="22" s="1"/>
  <c r="W2099" i="22"/>
  <c r="AC2099" i="22" s="1"/>
  <c r="V2099" i="22"/>
  <c r="AB2099" i="22" s="1"/>
  <c r="X2098" i="22"/>
  <c r="AD2098" i="22" s="1"/>
  <c r="W2098" i="22"/>
  <c r="AC2098" i="22" s="1"/>
  <c r="V2098" i="22"/>
  <c r="AB2098" i="22" s="1"/>
  <c r="X2097" i="22"/>
  <c r="AD2097" i="22" s="1"/>
  <c r="W2097" i="22"/>
  <c r="AC2097" i="22" s="1"/>
  <c r="V2097" i="22"/>
  <c r="AB2097" i="22" s="1"/>
  <c r="X2096" i="22"/>
  <c r="AD2096" i="22" s="1"/>
  <c r="W2096" i="22"/>
  <c r="AC2096" i="22" s="1"/>
  <c r="V2096" i="22"/>
  <c r="AB2096" i="22" s="1"/>
  <c r="X2095" i="22"/>
  <c r="AD2095" i="22" s="1"/>
  <c r="W2095" i="22"/>
  <c r="AC2095" i="22" s="1"/>
  <c r="V2095" i="22"/>
  <c r="AB2095" i="22" s="1"/>
  <c r="X2094" i="22"/>
  <c r="AD2094" i="22" s="1"/>
  <c r="W2094" i="22"/>
  <c r="AC2094" i="22" s="1"/>
  <c r="V2094" i="22"/>
  <c r="AB2094" i="22" s="1"/>
  <c r="X2093" i="22"/>
  <c r="AD2093" i="22" s="1"/>
  <c r="W2093" i="22"/>
  <c r="AC2093" i="22" s="1"/>
  <c r="V2093" i="22"/>
  <c r="AB2093" i="22" s="1"/>
  <c r="X2092" i="22"/>
  <c r="AD2092" i="22" s="1"/>
  <c r="W2092" i="22"/>
  <c r="AC2092" i="22" s="1"/>
  <c r="V2092" i="22"/>
  <c r="AB2092" i="22" s="1"/>
  <c r="X2091" i="22"/>
  <c r="AD2091" i="22" s="1"/>
  <c r="W2091" i="22"/>
  <c r="AC2091" i="22" s="1"/>
  <c r="V2091" i="22"/>
  <c r="AB2091" i="22" s="1"/>
  <c r="X2090" i="22"/>
  <c r="AD2090" i="22" s="1"/>
  <c r="W2090" i="22"/>
  <c r="AC2090" i="22" s="1"/>
  <c r="V2090" i="22"/>
  <c r="AB2090" i="22" s="1"/>
  <c r="X2089" i="22"/>
  <c r="AD2089" i="22" s="1"/>
  <c r="W2089" i="22"/>
  <c r="AC2089" i="22" s="1"/>
  <c r="V2089" i="22"/>
  <c r="AB2089" i="22" s="1"/>
  <c r="X2088" i="22"/>
  <c r="AD2088" i="22" s="1"/>
  <c r="W2088" i="22"/>
  <c r="AC2088" i="22" s="1"/>
  <c r="V2088" i="22"/>
  <c r="AB2088" i="22" s="1"/>
  <c r="X2087" i="22"/>
  <c r="AD2087" i="22" s="1"/>
  <c r="W2087" i="22"/>
  <c r="AC2087" i="22" s="1"/>
  <c r="V2087" i="22"/>
  <c r="AB2087" i="22" s="1"/>
  <c r="X2086" i="22"/>
  <c r="AD2086" i="22" s="1"/>
  <c r="W2086" i="22"/>
  <c r="AC2086" i="22" s="1"/>
  <c r="V2086" i="22"/>
  <c r="AB2086" i="22" s="1"/>
  <c r="X2085" i="22"/>
  <c r="AD2085" i="22" s="1"/>
  <c r="W2085" i="22"/>
  <c r="AC2085" i="22" s="1"/>
  <c r="V2085" i="22"/>
  <c r="AB2085" i="22" s="1"/>
  <c r="X2084" i="22"/>
  <c r="AD2084" i="22" s="1"/>
  <c r="W2084" i="22"/>
  <c r="AC2084" i="22" s="1"/>
  <c r="V2084" i="22"/>
  <c r="AB2084" i="22" s="1"/>
  <c r="X2083" i="22"/>
  <c r="AD2083" i="22" s="1"/>
  <c r="W2083" i="22"/>
  <c r="AC2083" i="22" s="1"/>
  <c r="V2083" i="22"/>
  <c r="AB2083" i="22" s="1"/>
  <c r="X2082" i="22"/>
  <c r="AD2082" i="22" s="1"/>
  <c r="W2082" i="22"/>
  <c r="AC2082" i="22" s="1"/>
  <c r="V2082" i="22"/>
  <c r="AB2082" i="22" s="1"/>
  <c r="X2081" i="22"/>
  <c r="AD2081" i="22" s="1"/>
  <c r="W2081" i="22"/>
  <c r="AC2081" i="22" s="1"/>
  <c r="V2081" i="22"/>
  <c r="AB2081" i="22" s="1"/>
  <c r="X2080" i="22"/>
  <c r="AD2080" i="22" s="1"/>
  <c r="W2080" i="22"/>
  <c r="AC2080" i="22" s="1"/>
  <c r="V2080" i="22"/>
  <c r="AB2080" i="22" s="1"/>
  <c r="X2079" i="22"/>
  <c r="AD2079" i="22" s="1"/>
  <c r="W2079" i="22"/>
  <c r="AC2079" i="22" s="1"/>
  <c r="V2079" i="22"/>
  <c r="AB2079" i="22" s="1"/>
  <c r="X2078" i="22"/>
  <c r="AD2078" i="22" s="1"/>
  <c r="W2078" i="22"/>
  <c r="AC2078" i="22" s="1"/>
  <c r="V2078" i="22"/>
  <c r="AB2078" i="22" s="1"/>
  <c r="X2077" i="22"/>
  <c r="AD2077" i="22" s="1"/>
  <c r="W2077" i="22"/>
  <c r="AC2077" i="22" s="1"/>
  <c r="V2077" i="22"/>
  <c r="AB2077" i="22" s="1"/>
  <c r="X2076" i="22"/>
  <c r="AD2076" i="22" s="1"/>
  <c r="W2076" i="22"/>
  <c r="AC2076" i="22" s="1"/>
  <c r="V2076" i="22"/>
  <c r="AB2076" i="22" s="1"/>
  <c r="X2075" i="22"/>
  <c r="AD2075" i="22" s="1"/>
  <c r="W2075" i="22"/>
  <c r="AC2075" i="22" s="1"/>
  <c r="V2075" i="22"/>
  <c r="AB2075" i="22" s="1"/>
  <c r="X2074" i="22"/>
  <c r="AD2074" i="22" s="1"/>
  <c r="W2074" i="22"/>
  <c r="AC2074" i="22" s="1"/>
  <c r="V2074" i="22"/>
  <c r="AB2074" i="22" s="1"/>
  <c r="X2073" i="22"/>
  <c r="AD2073" i="22" s="1"/>
  <c r="W2073" i="22"/>
  <c r="AC2073" i="22" s="1"/>
  <c r="V2073" i="22"/>
  <c r="AB2073" i="22" s="1"/>
  <c r="X2072" i="22"/>
  <c r="AD2072" i="22" s="1"/>
  <c r="W2072" i="22"/>
  <c r="AC2072" i="22" s="1"/>
  <c r="V2072" i="22"/>
  <c r="AB2072" i="22" s="1"/>
  <c r="X2071" i="22"/>
  <c r="AD2071" i="22" s="1"/>
  <c r="W2071" i="22"/>
  <c r="AC2071" i="22" s="1"/>
  <c r="V2071" i="22"/>
  <c r="AB2071" i="22" s="1"/>
  <c r="X2070" i="22"/>
  <c r="AD2070" i="22" s="1"/>
  <c r="W2070" i="22"/>
  <c r="AC2070" i="22" s="1"/>
  <c r="V2070" i="22"/>
  <c r="AB2070" i="22" s="1"/>
  <c r="X2069" i="22"/>
  <c r="AD2069" i="22" s="1"/>
  <c r="W2069" i="22"/>
  <c r="AC2069" i="22" s="1"/>
  <c r="V2069" i="22"/>
  <c r="AB2069" i="22" s="1"/>
  <c r="X2068" i="22"/>
  <c r="AD2068" i="22" s="1"/>
  <c r="W2068" i="22"/>
  <c r="AC2068" i="22" s="1"/>
  <c r="V2068" i="22"/>
  <c r="AB2068" i="22" s="1"/>
  <c r="X2067" i="22"/>
  <c r="AD2067" i="22" s="1"/>
  <c r="W2067" i="22"/>
  <c r="AC2067" i="22" s="1"/>
  <c r="V2067" i="22"/>
  <c r="AB2067" i="22" s="1"/>
  <c r="X2066" i="22"/>
  <c r="AD2066" i="22" s="1"/>
  <c r="W2066" i="22"/>
  <c r="AC2066" i="22" s="1"/>
  <c r="V2066" i="22"/>
  <c r="AB2066" i="22" s="1"/>
  <c r="X2065" i="22"/>
  <c r="AD2065" i="22" s="1"/>
  <c r="W2065" i="22"/>
  <c r="AC2065" i="22" s="1"/>
  <c r="V2065" i="22"/>
  <c r="AB2065" i="22" s="1"/>
  <c r="X2064" i="22"/>
  <c r="AD2064" i="22" s="1"/>
  <c r="W2064" i="22"/>
  <c r="AC2064" i="22" s="1"/>
  <c r="V2064" i="22"/>
  <c r="AB2064" i="22" s="1"/>
  <c r="X2063" i="22"/>
  <c r="AD2063" i="22" s="1"/>
  <c r="W2063" i="22"/>
  <c r="AC2063" i="22" s="1"/>
  <c r="V2063" i="22"/>
  <c r="AB2063" i="22" s="1"/>
  <c r="X2062" i="22"/>
  <c r="AD2062" i="22" s="1"/>
  <c r="W2062" i="22"/>
  <c r="AC2062" i="22" s="1"/>
  <c r="V2062" i="22"/>
  <c r="AB2062" i="22" s="1"/>
  <c r="X2061" i="22"/>
  <c r="AD2061" i="22" s="1"/>
  <c r="W2061" i="22"/>
  <c r="AC2061" i="22" s="1"/>
  <c r="V2061" i="22"/>
  <c r="AB2061" i="22" s="1"/>
  <c r="X2060" i="22"/>
  <c r="AD2060" i="22" s="1"/>
  <c r="W2060" i="22"/>
  <c r="AC2060" i="22" s="1"/>
  <c r="V2060" i="22"/>
  <c r="AB2060" i="22" s="1"/>
  <c r="X2059" i="22"/>
  <c r="AD2059" i="22" s="1"/>
  <c r="W2059" i="22"/>
  <c r="AC2059" i="22" s="1"/>
  <c r="V2059" i="22"/>
  <c r="AB2059" i="22" s="1"/>
  <c r="X2058" i="22"/>
  <c r="AD2058" i="22" s="1"/>
  <c r="W2058" i="22"/>
  <c r="AC2058" i="22" s="1"/>
  <c r="V2058" i="22"/>
  <c r="AB2058" i="22" s="1"/>
  <c r="X2057" i="22"/>
  <c r="AD2057" i="22" s="1"/>
  <c r="W2057" i="22"/>
  <c r="AC2057" i="22" s="1"/>
  <c r="V2057" i="22"/>
  <c r="AB2057" i="22" s="1"/>
  <c r="X2056" i="22"/>
  <c r="AD2056" i="22" s="1"/>
  <c r="W2056" i="22"/>
  <c r="AC2056" i="22" s="1"/>
  <c r="V2056" i="22"/>
  <c r="AB2056" i="22" s="1"/>
  <c r="X2055" i="22"/>
  <c r="AD2055" i="22" s="1"/>
  <c r="W2055" i="22"/>
  <c r="AC2055" i="22" s="1"/>
  <c r="V2055" i="22"/>
  <c r="AB2055" i="22" s="1"/>
  <c r="X2054" i="22"/>
  <c r="AD2054" i="22" s="1"/>
  <c r="W2054" i="22"/>
  <c r="AC2054" i="22" s="1"/>
  <c r="V2054" i="22"/>
  <c r="AB2054" i="22" s="1"/>
  <c r="X2053" i="22"/>
  <c r="AD2053" i="22" s="1"/>
  <c r="W2053" i="22"/>
  <c r="AC2053" i="22" s="1"/>
  <c r="V2053" i="22"/>
  <c r="AB2053" i="22" s="1"/>
  <c r="X2052" i="22"/>
  <c r="AD2052" i="22" s="1"/>
  <c r="W2052" i="22"/>
  <c r="AC2052" i="22" s="1"/>
  <c r="V2052" i="22"/>
  <c r="AB2052" i="22" s="1"/>
  <c r="X2051" i="22"/>
  <c r="AD2051" i="22" s="1"/>
  <c r="W2051" i="22"/>
  <c r="AC2051" i="22" s="1"/>
  <c r="V2051" i="22"/>
  <c r="AB2051" i="22" s="1"/>
  <c r="X2050" i="22"/>
  <c r="AD2050" i="22" s="1"/>
  <c r="W2050" i="22"/>
  <c r="AC2050" i="22" s="1"/>
  <c r="V2050" i="22"/>
  <c r="AB2050" i="22" s="1"/>
  <c r="X2049" i="22"/>
  <c r="AD2049" i="22" s="1"/>
  <c r="W2049" i="22"/>
  <c r="AC2049" i="22" s="1"/>
  <c r="V2049" i="22"/>
  <c r="AB2049" i="22" s="1"/>
  <c r="X2048" i="22"/>
  <c r="AD2048" i="22" s="1"/>
  <c r="W2048" i="22"/>
  <c r="AC2048" i="22" s="1"/>
  <c r="V2048" i="22"/>
  <c r="AB2048" i="22" s="1"/>
  <c r="X2047" i="22"/>
  <c r="AD2047" i="22" s="1"/>
  <c r="W2047" i="22"/>
  <c r="AC2047" i="22" s="1"/>
  <c r="V2047" i="22"/>
  <c r="AB2047" i="22" s="1"/>
  <c r="X2046" i="22"/>
  <c r="AD2046" i="22" s="1"/>
  <c r="W2046" i="22"/>
  <c r="AC2046" i="22" s="1"/>
  <c r="V2046" i="22"/>
  <c r="AB2046" i="22" s="1"/>
  <c r="X2045" i="22"/>
  <c r="AD2045" i="22" s="1"/>
  <c r="W2045" i="22"/>
  <c r="AC2045" i="22" s="1"/>
  <c r="V2045" i="22"/>
  <c r="AB2045" i="22" s="1"/>
  <c r="X2044" i="22"/>
  <c r="AD2044" i="22" s="1"/>
  <c r="W2044" i="22"/>
  <c r="AC2044" i="22" s="1"/>
  <c r="V2044" i="22"/>
  <c r="AB2044" i="22" s="1"/>
  <c r="X2043" i="22"/>
  <c r="AD2043" i="22" s="1"/>
  <c r="W2043" i="22"/>
  <c r="AC2043" i="22" s="1"/>
  <c r="V2043" i="22"/>
  <c r="AB2043" i="22" s="1"/>
  <c r="X2042" i="22"/>
  <c r="AD2042" i="22" s="1"/>
  <c r="W2042" i="22"/>
  <c r="AC2042" i="22" s="1"/>
  <c r="V2042" i="22"/>
  <c r="AB2042" i="22" s="1"/>
  <c r="X2041" i="22"/>
  <c r="AD2041" i="22" s="1"/>
  <c r="W2041" i="22"/>
  <c r="AC2041" i="22" s="1"/>
  <c r="V2041" i="22"/>
  <c r="AB2041" i="22" s="1"/>
  <c r="X2040" i="22"/>
  <c r="AD2040" i="22" s="1"/>
  <c r="W2040" i="22"/>
  <c r="AC2040" i="22" s="1"/>
  <c r="V2040" i="22"/>
  <c r="AB2040" i="22" s="1"/>
  <c r="X2039" i="22"/>
  <c r="AD2039" i="22" s="1"/>
  <c r="W2039" i="22"/>
  <c r="AC2039" i="22" s="1"/>
  <c r="V2039" i="22"/>
  <c r="AB2039" i="22" s="1"/>
  <c r="X2038" i="22"/>
  <c r="AD2038" i="22" s="1"/>
  <c r="W2038" i="22"/>
  <c r="AC2038" i="22" s="1"/>
  <c r="V2038" i="22"/>
  <c r="AB2038" i="22" s="1"/>
  <c r="X2037" i="22"/>
  <c r="AD2037" i="22" s="1"/>
  <c r="W2037" i="22"/>
  <c r="AC2037" i="22" s="1"/>
  <c r="V2037" i="22"/>
  <c r="AB2037" i="22" s="1"/>
  <c r="X2036" i="22"/>
  <c r="AD2036" i="22" s="1"/>
  <c r="W2036" i="22"/>
  <c r="AC2036" i="22" s="1"/>
  <c r="V2036" i="22"/>
  <c r="AB2036" i="22" s="1"/>
  <c r="X2035" i="22"/>
  <c r="AD2035" i="22" s="1"/>
  <c r="W2035" i="22"/>
  <c r="AC2035" i="22" s="1"/>
  <c r="V2035" i="22"/>
  <c r="AB2035" i="22" s="1"/>
  <c r="X2034" i="22"/>
  <c r="AD2034" i="22" s="1"/>
  <c r="W2034" i="22"/>
  <c r="AC2034" i="22" s="1"/>
  <c r="V2034" i="22"/>
  <c r="AB2034" i="22" s="1"/>
  <c r="X2033" i="22"/>
  <c r="AD2033" i="22" s="1"/>
  <c r="W2033" i="22"/>
  <c r="AC2033" i="22" s="1"/>
  <c r="V2033" i="22"/>
  <c r="AB2033" i="22" s="1"/>
  <c r="X2032" i="22"/>
  <c r="AD2032" i="22" s="1"/>
  <c r="W2032" i="22"/>
  <c r="AC2032" i="22" s="1"/>
  <c r="V2032" i="22"/>
  <c r="AB2032" i="22" s="1"/>
  <c r="X2031" i="22"/>
  <c r="AD2031" i="22" s="1"/>
  <c r="W2031" i="22"/>
  <c r="AC2031" i="22" s="1"/>
  <c r="V2031" i="22"/>
  <c r="AB2031" i="22" s="1"/>
  <c r="X2030" i="22"/>
  <c r="AD2030" i="22" s="1"/>
  <c r="W2030" i="22"/>
  <c r="AC2030" i="22" s="1"/>
  <c r="V2030" i="22"/>
  <c r="AB2030" i="22" s="1"/>
  <c r="X2029" i="22"/>
  <c r="AD2029" i="22" s="1"/>
  <c r="W2029" i="22"/>
  <c r="AC2029" i="22" s="1"/>
  <c r="V2029" i="22"/>
  <c r="AB2029" i="22" s="1"/>
  <c r="X2028" i="22"/>
  <c r="AD2028" i="22" s="1"/>
  <c r="W2028" i="22"/>
  <c r="AC2028" i="22" s="1"/>
  <c r="V2028" i="22"/>
  <c r="AB2028" i="22" s="1"/>
  <c r="X2027" i="22"/>
  <c r="AD2027" i="22" s="1"/>
  <c r="W2027" i="22"/>
  <c r="AC2027" i="22" s="1"/>
  <c r="V2027" i="22"/>
  <c r="AB2027" i="22" s="1"/>
  <c r="X2026" i="22"/>
  <c r="AD2026" i="22" s="1"/>
  <c r="W2026" i="22"/>
  <c r="AC2026" i="22" s="1"/>
  <c r="V2026" i="22"/>
  <c r="AB2026" i="22" s="1"/>
  <c r="X2025" i="22"/>
  <c r="AD2025" i="22" s="1"/>
  <c r="W2025" i="22"/>
  <c r="AC2025" i="22" s="1"/>
  <c r="V2025" i="22"/>
  <c r="AB2025" i="22" s="1"/>
  <c r="X2024" i="22"/>
  <c r="AD2024" i="22" s="1"/>
  <c r="W2024" i="22"/>
  <c r="AC2024" i="22" s="1"/>
  <c r="V2024" i="22"/>
  <c r="AB2024" i="22" s="1"/>
  <c r="X2023" i="22"/>
  <c r="AD2023" i="22" s="1"/>
  <c r="W2023" i="22"/>
  <c r="AC2023" i="22" s="1"/>
  <c r="V2023" i="22"/>
  <c r="AB2023" i="22" s="1"/>
  <c r="X2022" i="22"/>
  <c r="AD2022" i="22" s="1"/>
  <c r="W2022" i="22"/>
  <c r="AC2022" i="22" s="1"/>
  <c r="V2022" i="22"/>
  <c r="AB2022" i="22" s="1"/>
  <c r="X2021" i="22"/>
  <c r="AD2021" i="22" s="1"/>
  <c r="W2021" i="22"/>
  <c r="AC2021" i="22" s="1"/>
  <c r="V2021" i="22"/>
  <c r="AB2021" i="22" s="1"/>
  <c r="X2020" i="22"/>
  <c r="AD2020" i="22" s="1"/>
  <c r="W2020" i="22"/>
  <c r="AC2020" i="22" s="1"/>
  <c r="V2020" i="22"/>
  <c r="AB2020" i="22" s="1"/>
  <c r="X2019" i="22"/>
  <c r="AD2019" i="22" s="1"/>
  <c r="W2019" i="22"/>
  <c r="AC2019" i="22" s="1"/>
  <c r="V2019" i="22"/>
  <c r="AB2019" i="22" s="1"/>
  <c r="X2018" i="22"/>
  <c r="AD2018" i="22" s="1"/>
  <c r="W2018" i="22"/>
  <c r="AC2018" i="22" s="1"/>
  <c r="V2018" i="22"/>
  <c r="AB2018" i="22" s="1"/>
  <c r="X2017" i="22"/>
  <c r="AD2017" i="22" s="1"/>
  <c r="W2017" i="22"/>
  <c r="AC2017" i="22" s="1"/>
  <c r="V2017" i="22"/>
  <c r="AB2017" i="22" s="1"/>
  <c r="X2016" i="22"/>
  <c r="AD2016" i="22" s="1"/>
  <c r="W2016" i="22"/>
  <c r="AC2016" i="22" s="1"/>
  <c r="V2016" i="22"/>
  <c r="AB2016" i="22" s="1"/>
  <c r="X2015" i="22"/>
  <c r="AD2015" i="22" s="1"/>
  <c r="W2015" i="22"/>
  <c r="AC2015" i="22" s="1"/>
  <c r="V2015" i="22"/>
  <c r="AB2015" i="22" s="1"/>
  <c r="X2014" i="22"/>
  <c r="AD2014" i="22" s="1"/>
  <c r="W2014" i="22"/>
  <c r="AC2014" i="22" s="1"/>
  <c r="V2014" i="22"/>
  <c r="AB2014" i="22" s="1"/>
  <c r="X2013" i="22"/>
  <c r="AD2013" i="22" s="1"/>
  <c r="W2013" i="22"/>
  <c r="AC2013" i="22" s="1"/>
  <c r="V2013" i="22"/>
  <c r="AB2013" i="22" s="1"/>
  <c r="X2012" i="22"/>
  <c r="AD2012" i="22" s="1"/>
  <c r="W2012" i="22"/>
  <c r="AC2012" i="22" s="1"/>
  <c r="V2012" i="22"/>
  <c r="AB2012" i="22" s="1"/>
  <c r="X2011" i="22"/>
  <c r="AD2011" i="22" s="1"/>
  <c r="W2011" i="22"/>
  <c r="AC2011" i="22" s="1"/>
  <c r="V2011" i="22"/>
  <c r="AB2011" i="22" s="1"/>
  <c r="X2010" i="22"/>
  <c r="AD2010" i="22" s="1"/>
  <c r="W2010" i="22"/>
  <c r="AC2010" i="22" s="1"/>
  <c r="V2010" i="22"/>
  <c r="AB2010" i="22" s="1"/>
  <c r="X2009" i="22"/>
  <c r="AD2009" i="22" s="1"/>
  <c r="W2009" i="22"/>
  <c r="AC2009" i="22" s="1"/>
  <c r="V2009" i="22"/>
  <c r="AB2009" i="22" s="1"/>
  <c r="X2008" i="22"/>
  <c r="AD2008" i="22" s="1"/>
  <c r="W2008" i="22"/>
  <c r="AC2008" i="22" s="1"/>
  <c r="V2008" i="22"/>
  <c r="AB2008" i="22" s="1"/>
  <c r="X2007" i="22"/>
  <c r="AD2007" i="22" s="1"/>
  <c r="W2007" i="22"/>
  <c r="AC2007" i="22" s="1"/>
  <c r="V2007" i="22"/>
  <c r="AB2007" i="22" s="1"/>
  <c r="X2006" i="22"/>
  <c r="AD2006" i="22" s="1"/>
  <c r="W2006" i="22"/>
  <c r="AC2006" i="22" s="1"/>
  <c r="V2006" i="22"/>
  <c r="AB2006" i="22" s="1"/>
  <c r="X2005" i="22"/>
  <c r="AD2005" i="22" s="1"/>
  <c r="W2005" i="22"/>
  <c r="AC2005" i="22" s="1"/>
  <c r="V2005" i="22"/>
  <c r="AB2005" i="22" s="1"/>
  <c r="X2004" i="22"/>
  <c r="AD2004" i="22" s="1"/>
  <c r="W2004" i="22"/>
  <c r="AC2004" i="22" s="1"/>
  <c r="V2004" i="22"/>
  <c r="AB2004" i="22" s="1"/>
  <c r="X2003" i="22"/>
  <c r="AD2003" i="22" s="1"/>
  <c r="W2003" i="22"/>
  <c r="AC2003" i="22" s="1"/>
  <c r="V2003" i="22"/>
  <c r="AB2003" i="22" s="1"/>
  <c r="X2002" i="22"/>
  <c r="AD2002" i="22" s="1"/>
  <c r="W2002" i="22"/>
  <c r="AC2002" i="22" s="1"/>
  <c r="V2002" i="22"/>
  <c r="AB2002" i="22" s="1"/>
  <c r="X2001" i="22"/>
  <c r="AD2001" i="22" s="1"/>
  <c r="W2001" i="22"/>
  <c r="AC2001" i="22" s="1"/>
  <c r="V2001" i="22"/>
  <c r="AB2001" i="22" s="1"/>
  <c r="X2000" i="22"/>
  <c r="AD2000" i="22" s="1"/>
  <c r="W2000" i="22"/>
  <c r="AC2000" i="22" s="1"/>
  <c r="V2000" i="22"/>
  <c r="AB2000" i="22" s="1"/>
  <c r="X1999" i="22"/>
  <c r="AD1999" i="22" s="1"/>
  <c r="W1999" i="22"/>
  <c r="AC1999" i="22" s="1"/>
  <c r="V1999" i="22"/>
  <c r="AB1999" i="22" s="1"/>
  <c r="X1998" i="22"/>
  <c r="AD1998" i="22" s="1"/>
  <c r="W1998" i="22"/>
  <c r="AC1998" i="22" s="1"/>
  <c r="V1998" i="22"/>
  <c r="AB1998" i="22" s="1"/>
  <c r="X1997" i="22"/>
  <c r="AD1997" i="22" s="1"/>
  <c r="W1997" i="22"/>
  <c r="AC1997" i="22" s="1"/>
  <c r="V1997" i="22"/>
  <c r="AB1997" i="22" s="1"/>
  <c r="X1996" i="22"/>
  <c r="AD1996" i="22" s="1"/>
  <c r="W1996" i="22"/>
  <c r="AC1996" i="22" s="1"/>
  <c r="V1996" i="22"/>
  <c r="AB1996" i="22" s="1"/>
  <c r="X1995" i="22"/>
  <c r="AD1995" i="22" s="1"/>
  <c r="W1995" i="22"/>
  <c r="AC1995" i="22" s="1"/>
  <c r="V1995" i="22"/>
  <c r="AB1995" i="22" s="1"/>
  <c r="X1994" i="22"/>
  <c r="AD1994" i="22" s="1"/>
  <c r="W1994" i="22"/>
  <c r="AC1994" i="22" s="1"/>
  <c r="V1994" i="22"/>
  <c r="AB1994" i="22" s="1"/>
  <c r="X1993" i="22"/>
  <c r="AD1993" i="22" s="1"/>
  <c r="W1993" i="22"/>
  <c r="AC1993" i="22" s="1"/>
  <c r="V1993" i="22"/>
  <c r="AB1993" i="22" s="1"/>
  <c r="X1992" i="22"/>
  <c r="AD1992" i="22" s="1"/>
  <c r="W1992" i="22"/>
  <c r="AC1992" i="22" s="1"/>
  <c r="V1992" i="22"/>
  <c r="AB1992" i="22" s="1"/>
  <c r="X1991" i="22"/>
  <c r="AD1991" i="22" s="1"/>
  <c r="W1991" i="22"/>
  <c r="AC1991" i="22" s="1"/>
  <c r="V1991" i="22"/>
  <c r="AB1991" i="22" s="1"/>
  <c r="X1990" i="22"/>
  <c r="AD1990" i="22" s="1"/>
  <c r="W1990" i="22"/>
  <c r="AC1990" i="22" s="1"/>
  <c r="V1990" i="22"/>
  <c r="AB1990" i="22" s="1"/>
  <c r="X1989" i="22"/>
  <c r="AD1989" i="22" s="1"/>
  <c r="W1989" i="22"/>
  <c r="AC1989" i="22" s="1"/>
  <c r="V1989" i="22"/>
  <c r="AB1989" i="22" s="1"/>
  <c r="X1988" i="22"/>
  <c r="AD1988" i="22" s="1"/>
  <c r="W1988" i="22"/>
  <c r="AC1988" i="22" s="1"/>
  <c r="V1988" i="22"/>
  <c r="AB1988" i="22" s="1"/>
  <c r="X1987" i="22"/>
  <c r="AD1987" i="22" s="1"/>
  <c r="W1987" i="22"/>
  <c r="AC1987" i="22" s="1"/>
  <c r="V1987" i="22"/>
  <c r="AB1987" i="22" s="1"/>
  <c r="X1986" i="22"/>
  <c r="AD1986" i="22" s="1"/>
  <c r="W1986" i="22"/>
  <c r="AC1986" i="22" s="1"/>
  <c r="V1986" i="22"/>
  <c r="AB1986" i="22" s="1"/>
  <c r="X1985" i="22"/>
  <c r="AD1985" i="22" s="1"/>
  <c r="W1985" i="22"/>
  <c r="AC1985" i="22" s="1"/>
  <c r="V1985" i="22"/>
  <c r="AB1985" i="22" s="1"/>
  <c r="X1984" i="22"/>
  <c r="AD1984" i="22" s="1"/>
  <c r="W1984" i="22"/>
  <c r="AC1984" i="22" s="1"/>
  <c r="V1984" i="22"/>
  <c r="AB1984" i="22" s="1"/>
  <c r="X1983" i="22"/>
  <c r="AD1983" i="22" s="1"/>
  <c r="W1983" i="22"/>
  <c r="AC1983" i="22" s="1"/>
  <c r="V1983" i="22"/>
  <c r="AB1983" i="22" s="1"/>
  <c r="X1982" i="22"/>
  <c r="AD1982" i="22" s="1"/>
  <c r="W1982" i="22"/>
  <c r="AC1982" i="22" s="1"/>
  <c r="V1982" i="22"/>
  <c r="AB1982" i="22" s="1"/>
  <c r="X1981" i="22"/>
  <c r="AD1981" i="22" s="1"/>
  <c r="W1981" i="22"/>
  <c r="AC1981" i="22" s="1"/>
  <c r="V1981" i="22"/>
  <c r="AB1981" i="22" s="1"/>
  <c r="X1980" i="22"/>
  <c r="AD1980" i="22" s="1"/>
  <c r="W1980" i="22"/>
  <c r="AC1980" i="22" s="1"/>
  <c r="V1980" i="22"/>
  <c r="AB1980" i="22" s="1"/>
  <c r="X1979" i="22"/>
  <c r="AD1979" i="22" s="1"/>
  <c r="W1979" i="22"/>
  <c r="AC1979" i="22" s="1"/>
  <c r="V1979" i="22"/>
  <c r="AB1979" i="22" s="1"/>
  <c r="X1978" i="22"/>
  <c r="AD1978" i="22" s="1"/>
  <c r="W1978" i="22"/>
  <c r="AC1978" i="22" s="1"/>
  <c r="V1978" i="22"/>
  <c r="AB1978" i="22" s="1"/>
  <c r="X1977" i="22"/>
  <c r="AD1977" i="22" s="1"/>
  <c r="W1977" i="22"/>
  <c r="AC1977" i="22" s="1"/>
  <c r="V1977" i="22"/>
  <c r="AB1977" i="22" s="1"/>
  <c r="X1976" i="22"/>
  <c r="AD1976" i="22" s="1"/>
  <c r="W1976" i="22"/>
  <c r="AC1976" i="22" s="1"/>
  <c r="V1976" i="22"/>
  <c r="AB1976" i="22" s="1"/>
  <c r="X1975" i="22"/>
  <c r="AD1975" i="22" s="1"/>
  <c r="W1975" i="22"/>
  <c r="AC1975" i="22" s="1"/>
  <c r="V1975" i="22"/>
  <c r="AB1975" i="22" s="1"/>
  <c r="X1974" i="22"/>
  <c r="AD1974" i="22" s="1"/>
  <c r="W1974" i="22"/>
  <c r="AC1974" i="22" s="1"/>
  <c r="V1974" i="22"/>
  <c r="AB1974" i="22" s="1"/>
  <c r="X1973" i="22"/>
  <c r="AD1973" i="22" s="1"/>
  <c r="W1973" i="22"/>
  <c r="AC1973" i="22" s="1"/>
  <c r="V1973" i="22"/>
  <c r="AB1973" i="22" s="1"/>
  <c r="X1972" i="22"/>
  <c r="AD1972" i="22" s="1"/>
  <c r="W1972" i="22"/>
  <c r="AC1972" i="22" s="1"/>
  <c r="V1972" i="22"/>
  <c r="AB1972" i="22" s="1"/>
  <c r="X1971" i="22"/>
  <c r="AD1971" i="22" s="1"/>
  <c r="AO5" i="22" s="1"/>
  <c r="W1971" i="22"/>
  <c r="AC1971" i="22" s="1"/>
  <c r="V1971" i="22"/>
  <c r="AB1971" i="22" s="1"/>
  <c r="X1970" i="22"/>
  <c r="AD1970" i="22" s="1"/>
  <c r="W1970" i="22"/>
  <c r="AC1970" i="22" s="1"/>
  <c r="V1970" i="22"/>
  <c r="AB1970" i="22" s="1"/>
  <c r="X1969" i="22"/>
  <c r="AD1969" i="22" s="1"/>
  <c r="W1969" i="22"/>
  <c r="AC1969" i="22" s="1"/>
  <c r="V1969" i="22"/>
  <c r="AB1969" i="22" s="1"/>
  <c r="X1968" i="22"/>
  <c r="AD1968" i="22" s="1"/>
  <c r="W1968" i="22"/>
  <c r="AC1968" i="22" s="1"/>
  <c r="V1968" i="22"/>
  <c r="AB1968" i="22" s="1"/>
  <c r="X1967" i="22"/>
  <c r="AD1967" i="22" s="1"/>
  <c r="W1967" i="22"/>
  <c r="AC1967" i="22" s="1"/>
  <c r="V1967" i="22"/>
  <c r="AB1967" i="22" s="1"/>
  <c r="X1966" i="22"/>
  <c r="AD1966" i="22" s="1"/>
  <c r="W1966" i="22"/>
  <c r="AC1966" i="22" s="1"/>
  <c r="V1966" i="22"/>
  <c r="AB1966" i="22" s="1"/>
  <c r="X1965" i="22"/>
  <c r="AD1965" i="22" s="1"/>
  <c r="W1965" i="22"/>
  <c r="AC1965" i="22" s="1"/>
  <c r="V1965" i="22"/>
  <c r="AB1965" i="22" s="1"/>
  <c r="X1964" i="22"/>
  <c r="AD1964" i="22" s="1"/>
  <c r="W1964" i="22"/>
  <c r="AC1964" i="22" s="1"/>
  <c r="V1964" i="22"/>
  <c r="AB1964" i="22" s="1"/>
  <c r="X1963" i="22"/>
  <c r="AD1963" i="22" s="1"/>
  <c r="W1963" i="22"/>
  <c r="AC1963" i="22" s="1"/>
  <c r="V1963" i="22"/>
  <c r="AB1963" i="22" s="1"/>
  <c r="X1962" i="22"/>
  <c r="AD1962" i="22" s="1"/>
  <c r="W1962" i="22"/>
  <c r="AC1962" i="22" s="1"/>
  <c r="V1962" i="22"/>
  <c r="AB1962" i="22" s="1"/>
  <c r="X1961" i="22"/>
  <c r="AD1961" i="22" s="1"/>
  <c r="W1961" i="22"/>
  <c r="AC1961" i="22" s="1"/>
  <c r="V1961" i="22"/>
  <c r="AB1961" i="22" s="1"/>
  <c r="X1960" i="22"/>
  <c r="AD1960" i="22" s="1"/>
  <c r="W1960" i="22"/>
  <c r="AC1960" i="22" s="1"/>
  <c r="V1960" i="22"/>
  <c r="AB1960" i="22" s="1"/>
  <c r="X1959" i="22"/>
  <c r="AD1959" i="22" s="1"/>
  <c r="W1959" i="22"/>
  <c r="AC1959" i="22" s="1"/>
  <c r="V1959" i="22"/>
  <c r="AB1959" i="22" s="1"/>
  <c r="X1958" i="22"/>
  <c r="AD1958" i="22" s="1"/>
  <c r="W1958" i="22"/>
  <c r="AC1958" i="22" s="1"/>
  <c r="V1958" i="22"/>
  <c r="AB1958" i="22" s="1"/>
  <c r="X1957" i="22"/>
  <c r="AD1957" i="22" s="1"/>
  <c r="W1957" i="22"/>
  <c r="AC1957" i="22" s="1"/>
  <c r="V1957" i="22"/>
  <c r="AB1957" i="22" s="1"/>
  <c r="X1956" i="22"/>
  <c r="AD1956" i="22" s="1"/>
  <c r="W1956" i="22"/>
  <c r="AC1956" i="22" s="1"/>
  <c r="V1956" i="22"/>
  <c r="AB1956" i="22" s="1"/>
  <c r="X1955" i="22"/>
  <c r="AD1955" i="22" s="1"/>
  <c r="W1955" i="22"/>
  <c r="AC1955" i="22" s="1"/>
  <c r="V1955" i="22"/>
  <c r="AB1955" i="22" s="1"/>
  <c r="X1954" i="22"/>
  <c r="AD1954" i="22" s="1"/>
  <c r="W1954" i="22"/>
  <c r="AC1954" i="22" s="1"/>
  <c r="V1954" i="22"/>
  <c r="AB1954" i="22" s="1"/>
  <c r="X1953" i="22"/>
  <c r="AD1953" i="22" s="1"/>
  <c r="W1953" i="22"/>
  <c r="AC1953" i="22" s="1"/>
  <c r="V1953" i="22"/>
  <c r="AB1953" i="22" s="1"/>
  <c r="X1952" i="22"/>
  <c r="AD1952" i="22" s="1"/>
  <c r="W1952" i="22"/>
  <c r="AC1952" i="22" s="1"/>
  <c r="V1952" i="22"/>
  <c r="AB1952" i="22" s="1"/>
  <c r="X1951" i="22"/>
  <c r="AD1951" i="22" s="1"/>
  <c r="W1951" i="22"/>
  <c r="AC1951" i="22" s="1"/>
  <c r="V1951" i="22"/>
  <c r="AB1951" i="22" s="1"/>
  <c r="X1950" i="22"/>
  <c r="AD1950" i="22" s="1"/>
  <c r="W1950" i="22"/>
  <c r="AC1950" i="22" s="1"/>
  <c r="V1950" i="22"/>
  <c r="AB1950" i="22" s="1"/>
  <c r="X1949" i="22"/>
  <c r="AD1949" i="22" s="1"/>
  <c r="W1949" i="22"/>
  <c r="AC1949" i="22" s="1"/>
  <c r="V1949" i="22"/>
  <c r="AB1949" i="22" s="1"/>
  <c r="X1948" i="22"/>
  <c r="AD1948" i="22" s="1"/>
  <c r="W1948" i="22"/>
  <c r="AC1948" i="22" s="1"/>
  <c r="V1948" i="22"/>
  <c r="AB1948" i="22" s="1"/>
  <c r="X1947" i="22"/>
  <c r="AD1947" i="22" s="1"/>
  <c r="W1947" i="22"/>
  <c r="AC1947" i="22" s="1"/>
  <c r="V1947" i="22"/>
  <c r="AB1947" i="22" s="1"/>
  <c r="X1946" i="22"/>
  <c r="AD1946" i="22" s="1"/>
  <c r="W1946" i="22"/>
  <c r="AC1946" i="22" s="1"/>
  <c r="V1946" i="22"/>
  <c r="AB1946" i="22" s="1"/>
  <c r="X1945" i="22"/>
  <c r="AD1945" i="22" s="1"/>
  <c r="W1945" i="22"/>
  <c r="AC1945" i="22" s="1"/>
  <c r="V1945" i="22"/>
  <c r="AB1945" i="22" s="1"/>
  <c r="X1944" i="22"/>
  <c r="AD1944" i="22" s="1"/>
  <c r="W1944" i="22"/>
  <c r="AC1944" i="22" s="1"/>
  <c r="V1944" i="22"/>
  <c r="AB1944" i="22" s="1"/>
  <c r="X1943" i="22"/>
  <c r="AD1943" i="22" s="1"/>
  <c r="W1943" i="22"/>
  <c r="AC1943" i="22" s="1"/>
  <c r="V1943" i="22"/>
  <c r="AB1943" i="22" s="1"/>
  <c r="X1942" i="22"/>
  <c r="AD1942" i="22" s="1"/>
  <c r="W1942" i="22"/>
  <c r="AC1942" i="22" s="1"/>
  <c r="V1942" i="22"/>
  <c r="AB1942" i="22" s="1"/>
  <c r="X1941" i="22"/>
  <c r="AD1941" i="22" s="1"/>
  <c r="W1941" i="22"/>
  <c r="AC1941" i="22" s="1"/>
  <c r="V1941" i="22"/>
  <c r="AB1941" i="22" s="1"/>
  <c r="X1940" i="22"/>
  <c r="AD1940" i="22" s="1"/>
  <c r="W1940" i="22"/>
  <c r="AC1940" i="22" s="1"/>
  <c r="V1940" i="22"/>
  <c r="AB1940" i="22" s="1"/>
  <c r="X1939" i="22"/>
  <c r="AD1939" i="22" s="1"/>
  <c r="W1939" i="22"/>
  <c r="AC1939" i="22" s="1"/>
  <c r="V1939" i="22"/>
  <c r="AB1939" i="22" s="1"/>
  <c r="X1938" i="22"/>
  <c r="AD1938" i="22" s="1"/>
  <c r="W1938" i="22"/>
  <c r="AC1938" i="22" s="1"/>
  <c r="V1938" i="22"/>
  <c r="AB1938" i="22" s="1"/>
  <c r="X1937" i="22"/>
  <c r="AD1937" i="22" s="1"/>
  <c r="W1937" i="22"/>
  <c r="AC1937" i="22" s="1"/>
  <c r="V1937" i="22"/>
  <c r="AB1937" i="22" s="1"/>
  <c r="X1936" i="22"/>
  <c r="AD1936" i="22" s="1"/>
  <c r="W1936" i="22"/>
  <c r="AC1936" i="22" s="1"/>
  <c r="V1936" i="22"/>
  <c r="AB1936" i="22" s="1"/>
  <c r="X1935" i="22"/>
  <c r="AD1935" i="22" s="1"/>
  <c r="W1935" i="22"/>
  <c r="AC1935" i="22" s="1"/>
  <c r="V1935" i="22"/>
  <c r="AB1935" i="22" s="1"/>
  <c r="X1934" i="22"/>
  <c r="AD1934" i="22" s="1"/>
  <c r="W1934" i="22"/>
  <c r="AC1934" i="22" s="1"/>
  <c r="V1934" i="22"/>
  <c r="AB1934" i="22" s="1"/>
  <c r="X1933" i="22"/>
  <c r="AD1933" i="22" s="1"/>
  <c r="W1933" i="22"/>
  <c r="AC1933" i="22" s="1"/>
  <c r="V1933" i="22"/>
  <c r="AB1933" i="22" s="1"/>
  <c r="X1932" i="22"/>
  <c r="AD1932" i="22" s="1"/>
  <c r="W1932" i="22"/>
  <c r="AC1932" i="22" s="1"/>
  <c r="V1932" i="22"/>
  <c r="AB1932" i="22" s="1"/>
  <c r="X1931" i="22"/>
  <c r="AD1931" i="22" s="1"/>
  <c r="W1931" i="22"/>
  <c r="AC1931" i="22" s="1"/>
  <c r="V1931" i="22"/>
  <c r="AB1931" i="22" s="1"/>
  <c r="X1930" i="22"/>
  <c r="AD1930" i="22" s="1"/>
  <c r="W1930" i="22"/>
  <c r="AC1930" i="22" s="1"/>
  <c r="V1930" i="22"/>
  <c r="AB1930" i="22" s="1"/>
  <c r="X1929" i="22"/>
  <c r="AD1929" i="22" s="1"/>
  <c r="W1929" i="22"/>
  <c r="AC1929" i="22" s="1"/>
  <c r="V1929" i="22"/>
  <c r="AB1929" i="22" s="1"/>
  <c r="X1928" i="22"/>
  <c r="AD1928" i="22" s="1"/>
  <c r="W1928" i="22"/>
  <c r="AC1928" i="22" s="1"/>
  <c r="V1928" i="22"/>
  <c r="AB1928" i="22" s="1"/>
  <c r="X1927" i="22"/>
  <c r="AD1927" i="22" s="1"/>
  <c r="W1927" i="22"/>
  <c r="AC1927" i="22" s="1"/>
  <c r="V1927" i="22"/>
  <c r="AB1927" i="22" s="1"/>
  <c r="X1926" i="22"/>
  <c r="AD1926" i="22" s="1"/>
  <c r="W1926" i="22"/>
  <c r="AC1926" i="22" s="1"/>
  <c r="V1926" i="22"/>
  <c r="AB1926" i="22" s="1"/>
  <c r="X1925" i="22"/>
  <c r="AD1925" i="22" s="1"/>
  <c r="W1925" i="22"/>
  <c r="AC1925" i="22" s="1"/>
  <c r="V1925" i="22"/>
  <c r="AB1925" i="22" s="1"/>
  <c r="X1924" i="22"/>
  <c r="AD1924" i="22" s="1"/>
  <c r="W1924" i="22"/>
  <c r="AC1924" i="22" s="1"/>
  <c r="V1924" i="22"/>
  <c r="AB1924" i="22" s="1"/>
  <c r="X1923" i="22"/>
  <c r="AD1923" i="22" s="1"/>
  <c r="W1923" i="22"/>
  <c r="AC1923" i="22" s="1"/>
  <c r="V1923" i="22"/>
  <c r="AB1923" i="22" s="1"/>
  <c r="X1922" i="22"/>
  <c r="AD1922" i="22" s="1"/>
  <c r="W1922" i="22"/>
  <c r="AC1922" i="22" s="1"/>
  <c r="V1922" i="22"/>
  <c r="AB1922" i="22" s="1"/>
  <c r="X1921" i="22"/>
  <c r="AD1921" i="22" s="1"/>
  <c r="W1921" i="22"/>
  <c r="AC1921" i="22" s="1"/>
  <c r="V1921" i="22"/>
  <c r="AB1921" i="22" s="1"/>
  <c r="X1920" i="22"/>
  <c r="AD1920" i="22" s="1"/>
  <c r="W1920" i="22"/>
  <c r="AC1920" i="22" s="1"/>
  <c r="V1920" i="22"/>
  <c r="AB1920" i="22" s="1"/>
  <c r="X1919" i="22"/>
  <c r="AD1919" i="22" s="1"/>
  <c r="W1919" i="22"/>
  <c r="AC1919" i="22" s="1"/>
  <c r="V1919" i="22"/>
  <c r="AB1919" i="22" s="1"/>
  <c r="X1918" i="22"/>
  <c r="AD1918" i="22" s="1"/>
  <c r="W1918" i="22"/>
  <c r="AC1918" i="22" s="1"/>
  <c r="V1918" i="22"/>
  <c r="AB1918" i="22" s="1"/>
  <c r="X1917" i="22"/>
  <c r="AD1917" i="22" s="1"/>
  <c r="W1917" i="22"/>
  <c r="AC1917" i="22" s="1"/>
  <c r="V1917" i="22"/>
  <c r="AB1917" i="22" s="1"/>
  <c r="X1916" i="22"/>
  <c r="AD1916" i="22" s="1"/>
  <c r="W1916" i="22"/>
  <c r="AC1916" i="22" s="1"/>
  <c r="V1916" i="22"/>
  <c r="AB1916" i="22" s="1"/>
  <c r="X1915" i="22"/>
  <c r="AD1915" i="22" s="1"/>
  <c r="W1915" i="22"/>
  <c r="AC1915" i="22" s="1"/>
  <c r="V1915" i="22"/>
  <c r="AB1915" i="22" s="1"/>
  <c r="X1914" i="22"/>
  <c r="AD1914" i="22" s="1"/>
  <c r="W1914" i="22"/>
  <c r="AC1914" i="22" s="1"/>
  <c r="V1914" i="22"/>
  <c r="AB1914" i="22" s="1"/>
  <c r="X1913" i="22"/>
  <c r="AD1913" i="22" s="1"/>
  <c r="W1913" i="22"/>
  <c r="AC1913" i="22" s="1"/>
  <c r="V1913" i="22"/>
  <c r="AB1913" i="22" s="1"/>
  <c r="X1912" i="22"/>
  <c r="AD1912" i="22" s="1"/>
  <c r="W1912" i="22"/>
  <c r="AC1912" i="22" s="1"/>
  <c r="V1912" i="22"/>
  <c r="AB1912" i="22" s="1"/>
  <c r="X1911" i="22"/>
  <c r="AD1911" i="22" s="1"/>
  <c r="W1911" i="22"/>
  <c r="AC1911" i="22" s="1"/>
  <c r="V1911" i="22"/>
  <c r="AB1911" i="22" s="1"/>
  <c r="X1910" i="22"/>
  <c r="AD1910" i="22" s="1"/>
  <c r="W1910" i="22"/>
  <c r="AC1910" i="22" s="1"/>
  <c r="V1910" i="22"/>
  <c r="AB1910" i="22" s="1"/>
  <c r="X1909" i="22"/>
  <c r="AD1909" i="22" s="1"/>
  <c r="W1909" i="22"/>
  <c r="AC1909" i="22" s="1"/>
  <c r="V1909" i="22"/>
  <c r="AB1909" i="22" s="1"/>
  <c r="X1908" i="22"/>
  <c r="AD1908" i="22" s="1"/>
  <c r="W1908" i="22"/>
  <c r="AC1908" i="22" s="1"/>
  <c r="V1908" i="22"/>
  <c r="AB1908" i="22" s="1"/>
  <c r="X1907" i="22"/>
  <c r="AD1907" i="22" s="1"/>
  <c r="W1907" i="22"/>
  <c r="AC1907" i="22" s="1"/>
  <c r="V1907" i="22"/>
  <c r="AB1907" i="22" s="1"/>
  <c r="X1906" i="22"/>
  <c r="AD1906" i="22" s="1"/>
  <c r="W1906" i="22"/>
  <c r="AC1906" i="22" s="1"/>
  <c r="V1906" i="22"/>
  <c r="AB1906" i="22" s="1"/>
  <c r="X1905" i="22"/>
  <c r="AD1905" i="22" s="1"/>
  <c r="W1905" i="22"/>
  <c r="AC1905" i="22" s="1"/>
  <c r="V1905" i="22"/>
  <c r="AB1905" i="22" s="1"/>
  <c r="X1904" i="22"/>
  <c r="AD1904" i="22" s="1"/>
  <c r="W1904" i="22"/>
  <c r="AC1904" i="22" s="1"/>
  <c r="V1904" i="22"/>
  <c r="AB1904" i="22" s="1"/>
  <c r="X1903" i="22"/>
  <c r="AD1903" i="22" s="1"/>
  <c r="W1903" i="22"/>
  <c r="AC1903" i="22" s="1"/>
  <c r="V1903" i="22"/>
  <c r="AB1903" i="22" s="1"/>
  <c r="X1902" i="22"/>
  <c r="AD1902" i="22" s="1"/>
  <c r="W1902" i="22"/>
  <c r="AC1902" i="22" s="1"/>
  <c r="V1902" i="22"/>
  <c r="AB1902" i="22" s="1"/>
  <c r="X1901" i="22"/>
  <c r="AD1901" i="22" s="1"/>
  <c r="W1901" i="22"/>
  <c r="AC1901" i="22" s="1"/>
  <c r="V1901" i="22"/>
  <c r="AB1901" i="22" s="1"/>
  <c r="X1900" i="22"/>
  <c r="AD1900" i="22" s="1"/>
  <c r="W1900" i="22"/>
  <c r="AC1900" i="22" s="1"/>
  <c r="V1900" i="22"/>
  <c r="AB1900" i="22" s="1"/>
  <c r="X1899" i="22"/>
  <c r="AD1899" i="22" s="1"/>
  <c r="W1899" i="22"/>
  <c r="AC1899" i="22" s="1"/>
  <c r="V1899" i="22"/>
  <c r="AB1899" i="22" s="1"/>
  <c r="X1898" i="22"/>
  <c r="AD1898" i="22" s="1"/>
  <c r="W1898" i="22"/>
  <c r="AC1898" i="22" s="1"/>
  <c r="V1898" i="22"/>
  <c r="AB1898" i="22" s="1"/>
  <c r="X1897" i="22"/>
  <c r="AD1897" i="22" s="1"/>
  <c r="W1897" i="22"/>
  <c r="AC1897" i="22" s="1"/>
  <c r="V1897" i="22"/>
  <c r="AB1897" i="22" s="1"/>
  <c r="X1896" i="22"/>
  <c r="AD1896" i="22" s="1"/>
  <c r="W1896" i="22"/>
  <c r="AC1896" i="22" s="1"/>
  <c r="V1896" i="22"/>
  <c r="AB1896" i="22" s="1"/>
  <c r="X1895" i="22"/>
  <c r="AD1895" i="22" s="1"/>
  <c r="W1895" i="22"/>
  <c r="AC1895" i="22" s="1"/>
  <c r="V1895" i="22"/>
  <c r="AB1895" i="22" s="1"/>
  <c r="X1894" i="22"/>
  <c r="AD1894" i="22" s="1"/>
  <c r="W1894" i="22"/>
  <c r="AC1894" i="22" s="1"/>
  <c r="V1894" i="22"/>
  <c r="AB1894" i="22" s="1"/>
  <c r="X1893" i="22"/>
  <c r="AD1893" i="22" s="1"/>
  <c r="W1893" i="22"/>
  <c r="AC1893" i="22" s="1"/>
  <c r="V1893" i="22"/>
  <c r="AB1893" i="22" s="1"/>
  <c r="X1892" i="22"/>
  <c r="AD1892" i="22" s="1"/>
  <c r="W1892" i="22"/>
  <c r="AC1892" i="22" s="1"/>
  <c r="V1892" i="22"/>
  <c r="AB1892" i="22" s="1"/>
  <c r="X1891" i="22"/>
  <c r="AD1891" i="22" s="1"/>
  <c r="W1891" i="22"/>
  <c r="AC1891" i="22" s="1"/>
  <c r="V1891" i="22"/>
  <c r="AB1891" i="22" s="1"/>
  <c r="X1890" i="22"/>
  <c r="AD1890" i="22" s="1"/>
  <c r="W1890" i="22"/>
  <c r="AC1890" i="22" s="1"/>
  <c r="V1890" i="22"/>
  <c r="AB1890" i="22" s="1"/>
  <c r="X1889" i="22"/>
  <c r="AD1889" i="22" s="1"/>
  <c r="W1889" i="22"/>
  <c r="AC1889" i="22" s="1"/>
  <c r="V1889" i="22"/>
  <c r="AB1889" i="22" s="1"/>
  <c r="X1888" i="22"/>
  <c r="AD1888" i="22" s="1"/>
  <c r="W1888" i="22"/>
  <c r="AC1888" i="22" s="1"/>
  <c r="V1888" i="22"/>
  <c r="AB1888" i="22" s="1"/>
  <c r="X1887" i="22"/>
  <c r="AD1887" i="22" s="1"/>
  <c r="W1887" i="22"/>
  <c r="AC1887" i="22" s="1"/>
  <c r="V1887" i="22"/>
  <c r="AB1887" i="22" s="1"/>
  <c r="X1886" i="22"/>
  <c r="AD1886" i="22" s="1"/>
  <c r="W1886" i="22"/>
  <c r="AC1886" i="22" s="1"/>
  <c r="V1886" i="22"/>
  <c r="AB1886" i="22" s="1"/>
  <c r="X1885" i="22"/>
  <c r="AD1885" i="22" s="1"/>
  <c r="W1885" i="22"/>
  <c r="AC1885" i="22" s="1"/>
  <c r="V1885" i="22"/>
  <c r="AB1885" i="22" s="1"/>
  <c r="X1884" i="22"/>
  <c r="AD1884" i="22" s="1"/>
  <c r="W1884" i="22"/>
  <c r="AC1884" i="22" s="1"/>
  <c r="V1884" i="22"/>
  <c r="AB1884" i="22" s="1"/>
  <c r="X1883" i="22"/>
  <c r="AD1883" i="22" s="1"/>
  <c r="W1883" i="22"/>
  <c r="AC1883" i="22" s="1"/>
  <c r="V1883" i="22"/>
  <c r="AB1883" i="22" s="1"/>
  <c r="X1882" i="22"/>
  <c r="AD1882" i="22" s="1"/>
  <c r="W1882" i="22"/>
  <c r="AC1882" i="22" s="1"/>
  <c r="V1882" i="22"/>
  <c r="AB1882" i="22" s="1"/>
  <c r="X1881" i="22"/>
  <c r="AD1881" i="22" s="1"/>
  <c r="W1881" i="22"/>
  <c r="AC1881" i="22" s="1"/>
  <c r="V1881" i="22"/>
  <c r="AB1881" i="22" s="1"/>
  <c r="X1880" i="22"/>
  <c r="AD1880" i="22" s="1"/>
  <c r="W1880" i="22"/>
  <c r="AC1880" i="22" s="1"/>
  <c r="V1880" i="22"/>
  <c r="AB1880" i="22" s="1"/>
  <c r="X1879" i="22"/>
  <c r="AD1879" i="22" s="1"/>
  <c r="W1879" i="22"/>
  <c r="AC1879" i="22" s="1"/>
  <c r="V1879" i="22"/>
  <c r="AB1879" i="22" s="1"/>
  <c r="X1878" i="22"/>
  <c r="AD1878" i="22" s="1"/>
  <c r="W1878" i="22"/>
  <c r="AC1878" i="22" s="1"/>
  <c r="V1878" i="22"/>
  <c r="AB1878" i="22" s="1"/>
  <c r="X1877" i="22"/>
  <c r="AD1877" i="22" s="1"/>
  <c r="W1877" i="22"/>
  <c r="AC1877" i="22" s="1"/>
  <c r="V1877" i="22"/>
  <c r="AB1877" i="22" s="1"/>
  <c r="X1876" i="22"/>
  <c r="AD1876" i="22" s="1"/>
  <c r="W1876" i="22"/>
  <c r="AC1876" i="22" s="1"/>
  <c r="V1876" i="22"/>
  <c r="AB1876" i="22" s="1"/>
  <c r="X1875" i="22"/>
  <c r="AD1875" i="22" s="1"/>
  <c r="W1875" i="22"/>
  <c r="AC1875" i="22" s="1"/>
  <c r="V1875" i="22"/>
  <c r="AB1875" i="22" s="1"/>
  <c r="X1874" i="22"/>
  <c r="AD1874" i="22" s="1"/>
  <c r="W1874" i="22"/>
  <c r="AC1874" i="22" s="1"/>
  <c r="V1874" i="22"/>
  <c r="AB1874" i="22" s="1"/>
  <c r="X1873" i="22"/>
  <c r="AD1873" i="22" s="1"/>
  <c r="W1873" i="22"/>
  <c r="AC1873" i="22" s="1"/>
  <c r="V1873" i="22"/>
  <c r="AB1873" i="22" s="1"/>
  <c r="X1872" i="22"/>
  <c r="AD1872" i="22" s="1"/>
  <c r="W1872" i="22"/>
  <c r="AC1872" i="22" s="1"/>
  <c r="V1872" i="22"/>
  <c r="AB1872" i="22" s="1"/>
  <c r="X1871" i="22"/>
  <c r="AD1871" i="22" s="1"/>
  <c r="W1871" i="22"/>
  <c r="AC1871" i="22" s="1"/>
  <c r="V1871" i="22"/>
  <c r="AB1871" i="22" s="1"/>
  <c r="X1870" i="22"/>
  <c r="AD1870" i="22" s="1"/>
  <c r="W1870" i="22"/>
  <c r="AC1870" i="22" s="1"/>
  <c r="V1870" i="22"/>
  <c r="AB1870" i="22" s="1"/>
  <c r="X1869" i="22"/>
  <c r="AD1869" i="22" s="1"/>
  <c r="W1869" i="22"/>
  <c r="AC1869" i="22" s="1"/>
  <c r="V1869" i="22"/>
  <c r="AB1869" i="22" s="1"/>
  <c r="X1868" i="22"/>
  <c r="AD1868" i="22" s="1"/>
  <c r="W1868" i="22"/>
  <c r="AC1868" i="22" s="1"/>
  <c r="V1868" i="22"/>
  <c r="AB1868" i="22" s="1"/>
  <c r="X1867" i="22"/>
  <c r="AD1867" i="22" s="1"/>
  <c r="W1867" i="22"/>
  <c r="AC1867" i="22" s="1"/>
  <c r="V1867" i="22"/>
  <c r="AB1867" i="22" s="1"/>
  <c r="X1866" i="22"/>
  <c r="AD1866" i="22" s="1"/>
  <c r="W1866" i="22"/>
  <c r="AC1866" i="22" s="1"/>
  <c r="V1866" i="22"/>
  <c r="AB1866" i="22" s="1"/>
  <c r="X1865" i="22"/>
  <c r="AD1865" i="22" s="1"/>
  <c r="W1865" i="22"/>
  <c r="AC1865" i="22" s="1"/>
  <c r="V1865" i="22"/>
  <c r="AB1865" i="22" s="1"/>
  <c r="X1864" i="22"/>
  <c r="AD1864" i="22" s="1"/>
  <c r="W1864" i="22"/>
  <c r="AC1864" i="22" s="1"/>
  <c r="V1864" i="22"/>
  <c r="AB1864" i="22" s="1"/>
  <c r="X1863" i="22"/>
  <c r="AD1863" i="22" s="1"/>
  <c r="W1863" i="22"/>
  <c r="AC1863" i="22" s="1"/>
  <c r="V1863" i="22"/>
  <c r="AB1863" i="22" s="1"/>
  <c r="X1862" i="22"/>
  <c r="AD1862" i="22" s="1"/>
  <c r="W1862" i="22"/>
  <c r="AC1862" i="22" s="1"/>
  <c r="V1862" i="22"/>
  <c r="AB1862" i="22" s="1"/>
  <c r="X1861" i="22"/>
  <c r="AD1861" i="22" s="1"/>
  <c r="W1861" i="22"/>
  <c r="AC1861" i="22" s="1"/>
  <c r="V1861" i="22"/>
  <c r="AB1861" i="22" s="1"/>
  <c r="X1860" i="22"/>
  <c r="AD1860" i="22" s="1"/>
  <c r="W1860" i="22"/>
  <c r="AC1860" i="22" s="1"/>
  <c r="V1860" i="22"/>
  <c r="AB1860" i="22" s="1"/>
  <c r="X1859" i="22"/>
  <c r="AD1859" i="22" s="1"/>
  <c r="W1859" i="22"/>
  <c r="AC1859" i="22" s="1"/>
  <c r="V1859" i="22"/>
  <c r="AB1859" i="22" s="1"/>
  <c r="X1858" i="22"/>
  <c r="AD1858" i="22" s="1"/>
  <c r="W1858" i="22"/>
  <c r="AC1858" i="22" s="1"/>
  <c r="V1858" i="22"/>
  <c r="AB1858" i="22" s="1"/>
  <c r="X1857" i="22"/>
  <c r="AD1857" i="22" s="1"/>
  <c r="W1857" i="22"/>
  <c r="AC1857" i="22" s="1"/>
  <c r="V1857" i="22"/>
  <c r="AB1857" i="22" s="1"/>
  <c r="X1856" i="22"/>
  <c r="AD1856" i="22" s="1"/>
  <c r="W1856" i="22"/>
  <c r="AC1856" i="22" s="1"/>
  <c r="V1856" i="22"/>
  <c r="AB1856" i="22" s="1"/>
  <c r="X1855" i="22"/>
  <c r="AD1855" i="22" s="1"/>
  <c r="W1855" i="22"/>
  <c r="AC1855" i="22" s="1"/>
  <c r="V1855" i="22"/>
  <c r="AB1855" i="22" s="1"/>
  <c r="X1854" i="22"/>
  <c r="AD1854" i="22" s="1"/>
  <c r="W1854" i="22"/>
  <c r="AC1854" i="22" s="1"/>
  <c r="V1854" i="22"/>
  <c r="AB1854" i="22" s="1"/>
  <c r="X1853" i="22"/>
  <c r="AD1853" i="22" s="1"/>
  <c r="W1853" i="22"/>
  <c r="AC1853" i="22" s="1"/>
  <c r="V1853" i="22"/>
  <c r="AB1853" i="22" s="1"/>
  <c r="X1852" i="22"/>
  <c r="AD1852" i="22" s="1"/>
  <c r="W1852" i="22"/>
  <c r="AC1852" i="22" s="1"/>
  <c r="V1852" i="22"/>
  <c r="AB1852" i="22" s="1"/>
  <c r="X1851" i="22"/>
  <c r="AD1851" i="22" s="1"/>
  <c r="W1851" i="22"/>
  <c r="AC1851" i="22" s="1"/>
  <c r="V1851" i="22"/>
  <c r="AB1851" i="22" s="1"/>
  <c r="X1850" i="22"/>
  <c r="AD1850" i="22" s="1"/>
  <c r="W1850" i="22"/>
  <c r="AC1850" i="22" s="1"/>
  <c r="V1850" i="22"/>
  <c r="AB1850" i="22" s="1"/>
  <c r="X1849" i="22"/>
  <c r="AD1849" i="22" s="1"/>
  <c r="W1849" i="22"/>
  <c r="AC1849" i="22" s="1"/>
  <c r="V1849" i="22"/>
  <c r="AB1849" i="22" s="1"/>
  <c r="X1848" i="22"/>
  <c r="AD1848" i="22" s="1"/>
  <c r="W1848" i="22"/>
  <c r="AC1848" i="22" s="1"/>
  <c r="V1848" i="22"/>
  <c r="AB1848" i="22" s="1"/>
  <c r="X1847" i="22"/>
  <c r="AD1847" i="22" s="1"/>
  <c r="W1847" i="22"/>
  <c r="AC1847" i="22" s="1"/>
  <c r="V1847" i="22"/>
  <c r="AB1847" i="22" s="1"/>
  <c r="X1846" i="22"/>
  <c r="AD1846" i="22" s="1"/>
  <c r="W1846" i="22"/>
  <c r="AC1846" i="22" s="1"/>
  <c r="V1846" i="22"/>
  <c r="AB1846" i="22" s="1"/>
  <c r="X1845" i="22"/>
  <c r="AD1845" i="22" s="1"/>
  <c r="W1845" i="22"/>
  <c r="AC1845" i="22" s="1"/>
  <c r="V1845" i="22"/>
  <c r="AB1845" i="22" s="1"/>
  <c r="X1844" i="22"/>
  <c r="AD1844" i="22" s="1"/>
  <c r="W1844" i="22"/>
  <c r="AC1844" i="22" s="1"/>
  <c r="V1844" i="22"/>
  <c r="AB1844" i="22" s="1"/>
  <c r="X1843" i="22"/>
  <c r="AD1843" i="22" s="1"/>
  <c r="W1843" i="22"/>
  <c r="AC1843" i="22" s="1"/>
  <c r="V1843" i="22"/>
  <c r="AB1843" i="22" s="1"/>
  <c r="X1842" i="22"/>
  <c r="AD1842" i="22" s="1"/>
  <c r="W1842" i="22"/>
  <c r="AC1842" i="22" s="1"/>
  <c r="V1842" i="22"/>
  <c r="AB1842" i="22" s="1"/>
  <c r="X1841" i="22"/>
  <c r="AD1841" i="22" s="1"/>
  <c r="W1841" i="22"/>
  <c r="AC1841" i="22" s="1"/>
  <c r="V1841" i="22"/>
  <c r="AB1841" i="22" s="1"/>
  <c r="X1840" i="22"/>
  <c r="AD1840" i="22" s="1"/>
  <c r="W1840" i="22"/>
  <c r="AC1840" i="22" s="1"/>
  <c r="V1840" i="22"/>
  <c r="AB1840" i="22" s="1"/>
  <c r="X1839" i="22"/>
  <c r="AD1839" i="22" s="1"/>
  <c r="W1839" i="22"/>
  <c r="AC1839" i="22" s="1"/>
  <c r="V1839" i="22"/>
  <c r="AB1839" i="22" s="1"/>
  <c r="X1838" i="22"/>
  <c r="AD1838" i="22" s="1"/>
  <c r="W1838" i="22"/>
  <c r="AC1838" i="22" s="1"/>
  <c r="V1838" i="22"/>
  <c r="AB1838" i="22" s="1"/>
  <c r="X1837" i="22"/>
  <c r="AD1837" i="22" s="1"/>
  <c r="W1837" i="22"/>
  <c r="AC1837" i="22" s="1"/>
  <c r="V1837" i="22"/>
  <c r="AB1837" i="22" s="1"/>
  <c r="X1836" i="22"/>
  <c r="AD1836" i="22" s="1"/>
  <c r="W1836" i="22"/>
  <c r="AC1836" i="22" s="1"/>
  <c r="V1836" i="22"/>
  <c r="AB1836" i="22" s="1"/>
  <c r="X1835" i="22"/>
  <c r="AD1835" i="22" s="1"/>
  <c r="W1835" i="22"/>
  <c r="AC1835" i="22" s="1"/>
  <c r="V1835" i="22"/>
  <c r="AB1835" i="22" s="1"/>
  <c r="X1834" i="22"/>
  <c r="AD1834" i="22" s="1"/>
  <c r="W1834" i="22"/>
  <c r="AC1834" i="22" s="1"/>
  <c r="V1834" i="22"/>
  <c r="AB1834" i="22" s="1"/>
  <c r="X1833" i="22"/>
  <c r="AD1833" i="22" s="1"/>
  <c r="W1833" i="22"/>
  <c r="AC1833" i="22" s="1"/>
  <c r="V1833" i="22"/>
  <c r="AB1833" i="22" s="1"/>
  <c r="X1832" i="22"/>
  <c r="AD1832" i="22" s="1"/>
  <c r="W1832" i="22"/>
  <c r="AC1832" i="22" s="1"/>
  <c r="V1832" i="22"/>
  <c r="AB1832" i="22" s="1"/>
  <c r="X1831" i="22"/>
  <c r="AD1831" i="22" s="1"/>
  <c r="W1831" i="22"/>
  <c r="AC1831" i="22" s="1"/>
  <c r="V1831" i="22"/>
  <c r="AB1831" i="22" s="1"/>
  <c r="X1830" i="22"/>
  <c r="AD1830" i="22" s="1"/>
  <c r="W1830" i="22"/>
  <c r="AC1830" i="22" s="1"/>
  <c r="V1830" i="22"/>
  <c r="AB1830" i="22" s="1"/>
  <c r="X1829" i="22"/>
  <c r="AD1829" i="22" s="1"/>
  <c r="W1829" i="22"/>
  <c r="AC1829" i="22" s="1"/>
  <c r="V1829" i="22"/>
  <c r="AB1829" i="22" s="1"/>
  <c r="X1828" i="22"/>
  <c r="AD1828" i="22" s="1"/>
  <c r="W1828" i="22"/>
  <c r="AC1828" i="22" s="1"/>
  <c r="V1828" i="22"/>
  <c r="AB1828" i="22" s="1"/>
  <c r="X1827" i="22"/>
  <c r="AD1827" i="22" s="1"/>
  <c r="W1827" i="22"/>
  <c r="AC1827" i="22" s="1"/>
  <c r="V1827" i="22"/>
  <c r="AB1827" i="22" s="1"/>
  <c r="X1826" i="22"/>
  <c r="AD1826" i="22" s="1"/>
  <c r="W1826" i="22"/>
  <c r="AC1826" i="22" s="1"/>
  <c r="V1826" i="22"/>
  <c r="AB1826" i="22" s="1"/>
  <c r="X1825" i="22"/>
  <c r="AD1825" i="22" s="1"/>
  <c r="W1825" i="22"/>
  <c r="AC1825" i="22" s="1"/>
  <c r="V1825" i="22"/>
  <c r="AB1825" i="22" s="1"/>
  <c r="X1824" i="22"/>
  <c r="AD1824" i="22" s="1"/>
  <c r="W1824" i="22"/>
  <c r="AC1824" i="22" s="1"/>
  <c r="V1824" i="22"/>
  <c r="AB1824" i="22" s="1"/>
  <c r="X1823" i="22"/>
  <c r="AD1823" i="22" s="1"/>
  <c r="W1823" i="22"/>
  <c r="AC1823" i="22" s="1"/>
  <c r="V1823" i="22"/>
  <c r="AB1823" i="22" s="1"/>
  <c r="X1822" i="22"/>
  <c r="AD1822" i="22" s="1"/>
  <c r="W1822" i="22"/>
  <c r="AC1822" i="22" s="1"/>
  <c r="V1822" i="22"/>
  <c r="AB1822" i="22" s="1"/>
  <c r="X1821" i="22"/>
  <c r="AD1821" i="22" s="1"/>
  <c r="W1821" i="22"/>
  <c r="AC1821" i="22" s="1"/>
  <c r="V1821" i="22"/>
  <c r="AB1821" i="22" s="1"/>
  <c r="X1820" i="22"/>
  <c r="AD1820" i="22" s="1"/>
  <c r="W1820" i="22"/>
  <c r="AC1820" i="22" s="1"/>
  <c r="V1820" i="22"/>
  <c r="AB1820" i="22" s="1"/>
  <c r="X1819" i="22"/>
  <c r="AD1819" i="22" s="1"/>
  <c r="W1819" i="22"/>
  <c r="AC1819" i="22" s="1"/>
  <c r="V1819" i="22"/>
  <c r="AB1819" i="22" s="1"/>
  <c r="X1818" i="22"/>
  <c r="AD1818" i="22" s="1"/>
  <c r="W1818" i="22"/>
  <c r="AC1818" i="22" s="1"/>
  <c r="V1818" i="22"/>
  <c r="AB1818" i="22" s="1"/>
  <c r="X1817" i="22"/>
  <c r="AD1817" i="22" s="1"/>
  <c r="W1817" i="22"/>
  <c r="AC1817" i="22" s="1"/>
  <c r="V1817" i="22"/>
  <c r="AB1817" i="22" s="1"/>
  <c r="X1816" i="22"/>
  <c r="AD1816" i="22" s="1"/>
  <c r="W1816" i="22"/>
  <c r="AC1816" i="22" s="1"/>
  <c r="V1816" i="22"/>
  <c r="AB1816" i="22" s="1"/>
  <c r="X1815" i="22"/>
  <c r="AD1815" i="22" s="1"/>
  <c r="W1815" i="22"/>
  <c r="AC1815" i="22" s="1"/>
  <c r="V1815" i="22"/>
  <c r="AB1815" i="22" s="1"/>
  <c r="X1814" i="22"/>
  <c r="AD1814" i="22" s="1"/>
  <c r="W1814" i="22"/>
  <c r="AC1814" i="22" s="1"/>
  <c r="V1814" i="22"/>
  <c r="AB1814" i="22" s="1"/>
  <c r="X1813" i="22"/>
  <c r="AD1813" i="22" s="1"/>
  <c r="W1813" i="22"/>
  <c r="AC1813" i="22" s="1"/>
  <c r="V1813" i="22"/>
  <c r="AB1813" i="22" s="1"/>
  <c r="X1812" i="22"/>
  <c r="AD1812" i="22" s="1"/>
  <c r="W1812" i="22"/>
  <c r="AC1812" i="22" s="1"/>
  <c r="V1812" i="22"/>
  <c r="AB1812" i="22" s="1"/>
  <c r="X1811" i="22"/>
  <c r="AD1811" i="22" s="1"/>
  <c r="W1811" i="22"/>
  <c r="AC1811" i="22" s="1"/>
  <c r="V1811" i="22"/>
  <c r="AB1811" i="22" s="1"/>
  <c r="X1810" i="22"/>
  <c r="AD1810" i="22" s="1"/>
  <c r="W1810" i="22"/>
  <c r="AC1810" i="22" s="1"/>
  <c r="V1810" i="22"/>
  <c r="AB1810" i="22" s="1"/>
  <c r="X1809" i="22"/>
  <c r="AD1809" i="22" s="1"/>
  <c r="W1809" i="22"/>
  <c r="AC1809" i="22" s="1"/>
  <c r="V1809" i="22"/>
  <c r="AB1809" i="22" s="1"/>
  <c r="X1808" i="22"/>
  <c r="AD1808" i="22" s="1"/>
  <c r="W1808" i="22"/>
  <c r="AC1808" i="22" s="1"/>
  <c r="V1808" i="22"/>
  <c r="AB1808" i="22" s="1"/>
  <c r="X1807" i="22"/>
  <c r="AD1807" i="22" s="1"/>
  <c r="W1807" i="22"/>
  <c r="AC1807" i="22" s="1"/>
  <c r="V1807" i="22"/>
  <c r="AB1807" i="22" s="1"/>
  <c r="X1806" i="22"/>
  <c r="AD1806" i="22" s="1"/>
  <c r="W1806" i="22"/>
  <c r="AC1806" i="22" s="1"/>
  <c r="V1806" i="22"/>
  <c r="AB1806" i="22" s="1"/>
  <c r="X1805" i="22"/>
  <c r="AD1805" i="22" s="1"/>
  <c r="W1805" i="22"/>
  <c r="AC1805" i="22" s="1"/>
  <c r="V1805" i="22"/>
  <c r="AB1805" i="22" s="1"/>
  <c r="X1804" i="22"/>
  <c r="AD1804" i="22" s="1"/>
  <c r="W1804" i="22"/>
  <c r="AC1804" i="22" s="1"/>
  <c r="V1804" i="22"/>
  <c r="AB1804" i="22" s="1"/>
  <c r="X1803" i="22"/>
  <c r="AD1803" i="22" s="1"/>
  <c r="W1803" i="22"/>
  <c r="AC1803" i="22" s="1"/>
  <c r="V1803" i="22"/>
  <c r="AB1803" i="22" s="1"/>
  <c r="X1802" i="22"/>
  <c r="AD1802" i="22" s="1"/>
  <c r="W1802" i="22"/>
  <c r="AC1802" i="22" s="1"/>
  <c r="V1802" i="22"/>
  <c r="AB1802" i="22" s="1"/>
  <c r="X1801" i="22"/>
  <c r="AD1801" i="22" s="1"/>
  <c r="W1801" i="22"/>
  <c r="AC1801" i="22" s="1"/>
  <c r="V1801" i="22"/>
  <c r="AB1801" i="22" s="1"/>
  <c r="X1800" i="22"/>
  <c r="AD1800" i="22" s="1"/>
  <c r="W1800" i="22"/>
  <c r="AC1800" i="22" s="1"/>
  <c r="V1800" i="22"/>
  <c r="AB1800" i="22" s="1"/>
  <c r="X1799" i="22"/>
  <c r="AD1799" i="22" s="1"/>
  <c r="W1799" i="22"/>
  <c r="AC1799" i="22" s="1"/>
  <c r="V1799" i="22"/>
  <c r="AB1799" i="22" s="1"/>
  <c r="X1798" i="22"/>
  <c r="AD1798" i="22" s="1"/>
  <c r="W1798" i="22"/>
  <c r="AC1798" i="22" s="1"/>
  <c r="V1798" i="22"/>
  <c r="AB1798" i="22" s="1"/>
  <c r="X1797" i="22"/>
  <c r="AD1797" i="22" s="1"/>
  <c r="W1797" i="22"/>
  <c r="AC1797" i="22" s="1"/>
  <c r="V1797" i="22"/>
  <c r="AB1797" i="22" s="1"/>
  <c r="X1796" i="22"/>
  <c r="AD1796" i="22" s="1"/>
  <c r="W1796" i="22"/>
  <c r="AC1796" i="22" s="1"/>
  <c r="V1796" i="22"/>
  <c r="AB1796" i="22" s="1"/>
  <c r="X1795" i="22"/>
  <c r="AD1795" i="22" s="1"/>
  <c r="W1795" i="22"/>
  <c r="AC1795" i="22" s="1"/>
  <c r="V1795" i="22"/>
  <c r="AB1795" i="22" s="1"/>
  <c r="X1794" i="22"/>
  <c r="AD1794" i="22" s="1"/>
  <c r="W1794" i="22"/>
  <c r="AC1794" i="22" s="1"/>
  <c r="V1794" i="22"/>
  <c r="AB1794" i="22" s="1"/>
  <c r="X1793" i="22"/>
  <c r="AD1793" i="22" s="1"/>
  <c r="W1793" i="22"/>
  <c r="AC1793" i="22" s="1"/>
  <c r="V1793" i="22"/>
  <c r="AB1793" i="22" s="1"/>
  <c r="X1792" i="22"/>
  <c r="AD1792" i="22" s="1"/>
  <c r="W1792" i="22"/>
  <c r="AC1792" i="22" s="1"/>
  <c r="V1792" i="22"/>
  <c r="AB1792" i="22" s="1"/>
  <c r="X1791" i="22"/>
  <c r="AD1791" i="22" s="1"/>
  <c r="W1791" i="22"/>
  <c r="AC1791" i="22" s="1"/>
  <c r="V1791" i="22"/>
  <c r="AB1791" i="22" s="1"/>
  <c r="X1790" i="22"/>
  <c r="AD1790" i="22" s="1"/>
  <c r="W1790" i="22"/>
  <c r="AC1790" i="22" s="1"/>
  <c r="V1790" i="22"/>
  <c r="AB1790" i="22" s="1"/>
  <c r="X1789" i="22"/>
  <c r="AD1789" i="22" s="1"/>
  <c r="W1789" i="22"/>
  <c r="AC1789" i="22" s="1"/>
  <c r="V1789" i="22"/>
  <c r="AB1789" i="22" s="1"/>
  <c r="X1788" i="22"/>
  <c r="AD1788" i="22" s="1"/>
  <c r="W1788" i="22"/>
  <c r="AC1788" i="22" s="1"/>
  <c r="V1788" i="22"/>
  <c r="AB1788" i="22" s="1"/>
  <c r="X1787" i="22"/>
  <c r="AD1787" i="22" s="1"/>
  <c r="W1787" i="22"/>
  <c r="AC1787" i="22" s="1"/>
  <c r="V1787" i="22"/>
  <c r="AB1787" i="22" s="1"/>
  <c r="X1786" i="22"/>
  <c r="AD1786" i="22" s="1"/>
  <c r="W1786" i="22"/>
  <c r="AC1786" i="22" s="1"/>
  <c r="V1786" i="22"/>
  <c r="AB1786" i="22" s="1"/>
  <c r="X1785" i="22"/>
  <c r="AD1785" i="22" s="1"/>
  <c r="W1785" i="22"/>
  <c r="AC1785" i="22" s="1"/>
  <c r="V1785" i="22"/>
  <c r="AB1785" i="22" s="1"/>
  <c r="X1784" i="22"/>
  <c r="AD1784" i="22" s="1"/>
  <c r="W1784" i="22"/>
  <c r="AC1784" i="22" s="1"/>
  <c r="V1784" i="22"/>
  <c r="AB1784" i="22" s="1"/>
  <c r="X1783" i="22"/>
  <c r="AD1783" i="22" s="1"/>
  <c r="W1783" i="22"/>
  <c r="AC1783" i="22" s="1"/>
  <c r="V1783" i="22"/>
  <c r="AB1783" i="22" s="1"/>
  <c r="X1782" i="22"/>
  <c r="AD1782" i="22" s="1"/>
  <c r="W1782" i="22"/>
  <c r="AC1782" i="22" s="1"/>
  <c r="V1782" i="22"/>
  <c r="AB1782" i="22" s="1"/>
  <c r="X1781" i="22"/>
  <c r="AD1781" i="22" s="1"/>
  <c r="W1781" i="22"/>
  <c r="AC1781" i="22" s="1"/>
  <c r="V1781" i="22"/>
  <c r="AB1781" i="22" s="1"/>
  <c r="X1780" i="22"/>
  <c r="AD1780" i="22" s="1"/>
  <c r="W1780" i="22"/>
  <c r="AC1780" i="22" s="1"/>
  <c r="V1780" i="22"/>
  <c r="AB1780" i="22" s="1"/>
  <c r="X1779" i="22"/>
  <c r="AD1779" i="22" s="1"/>
  <c r="W1779" i="22"/>
  <c r="AC1779" i="22" s="1"/>
  <c r="V1779" i="22"/>
  <c r="AB1779" i="22" s="1"/>
  <c r="X1778" i="22"/>
  <c r="AD1778" i="22" s="1"/>
  <c r="W1778" i="22"/>
  <c r="AC1778" i="22" s="1"/>
  <c r="V1778" i="22"/>
  <c r="AB1778" i="22" s="1"/>
  <c r="X1777" i="22"/>
  <c r="AD1777" i="22" s="1"/>
  <c r="W1777" i="22"/>
  <c r="AC1777" i="22" s="1"/>
  <c r="V1777" i="22"/>
  <c r="AB1777" i="22" s="1"/>
  <c r="X1776" i="22"/>
  <c r="AD1776" i="22" s="1"/>
  <c r="W1776" i="22"/>
  <c r="AC1776" i="22" s="1"/>
  <c r="V1776" i="22"/>
  <c r="AB1776" i="22" s="1"/>
  <c r="X1775" i="22"/>
  <c r="AD1775" i="22" s="1"/>
  <c r="W1775" i="22"/>
  <c r="AC1775" i="22" s="1"/>
  <c r="V1775" i="22"/>
  <c r="AB1775" i="22" s="1"/>
  <c r="X1774" i="22"/>
  <c r="AD1774" i="22" s="1"/>
  <c r="W1774" i="22"/>
  <c r="AC1774" i="22" s="1"/>
  <c r="V1774" i="22"/>
  <c r="AB1774" i="22" s="1"/>
  <c r="X1773" i="22"/>
  <c r="AD1773" i="22" s="1"/>
  <c r="W1773" i="22"/>
  <c r="AC1773" i="22" s="1"/>
  <c r="V1773" i="22"/>
  <c r="AB1773" i="22" s="1"/>
  <c r="X1772" i="22"/>
  <c r="AD1772" i="22" s="1"/>
  <c r="W1772" i="22"/>
  <c r="AC1772" i="22" s="1"/>
  <c r="V1772" i="22"/>
  <c r="AB1772" i="22" s="1"/>
  <c r="X1771" i="22"/>
  <c r="AD1771" i="22" s="1"/>
  <c r="W1771" i="22"/>
  <c r="AC1771" i="22" s="1"/>
  <c r="V1771" i="22"/>
  <c r="AB1771" i="22" s="1"/>
  <c r="X1770" i="22"/>
  <c r="AD1770" i="22" s="1"/>
  <c r="W1770" i="22"/>
  <c r="AC1770" i="22" s="1"/>
  <c r="V1770" i="22"/>
  <c r="AB1770" i="22" s="1"/>
  <c r="X1769" i="22"/>
  <c r="AD1769" i="22" s="1"/>
  <c r="W1769" i="22"/>
  <c r="AC1769" i="22" s="1"/>
  <c r="V1769" i="22"/>
  <c r="AB1769" i="22" s="1"/>
  <c r="X1768" i="22"/>
  <c r="AD1768" i="22" s="1"/>
  <c r="W1768" i="22"/>
  <c r="AC1768" i="22" s="1"/>
  <c r="V1768" i="22"/>
  <c r="AB1768" i="22" s="1"/>
  <c r="X1767" i="22"/>
  <c r="AD1767" i="22" s="1"/>
  <c r="W1767" i="22"/>
  <c r="AC1767" i="22" s="1"/>
  <c r="V1767" i="22"/>
  <c r="AB1767" i="22" s="1"/>
  <c r="X1766" i="22"/>
  <c r="AD1766" i="22" s="1"/>
  <c r="W1766" i="22"/>
  <c r="AC1766" i="22" s="1"/>
  <c r="V1766" i="22"/>
  <c r="AB1766" i="22" s="1"/>
  <c r="X1765" i="22"/>
  <c r="AD1765" i="22" s="1"/>
  <c r="W1765" i="22"/>
  <c r="AC1765" i="22" s="1"/>
  <c r="V1765" i="22"/>
  <c r="AB1765" i="22" s="1"/>
  <c r="X1764" i="22"/>
  <c r="AD1764" i="22" s="1"/>
  <c r="W1764" i="22"/>
  <c r="AC1764" i="22" s="1"/>
  <c r="V1764" i="22"/>
  <c r="AB1764" i="22" s="1"/>
  <c r="X1763" i="22"/>
  <c r="AD1763" i="22" s="1"/>
  <c r="W1763" i="22"/>
  <c r="AC1763" i="22" s="1"/>
  <c r="V1763" i="22"/>
  <c r="AB1763" i="22" s="1"/>
  <c r="X1762" i="22"/>
  <c r="AD1762" i="22" s="1"/>
  <c r="W1762" i="22"/>
  <c r="AC1762" i="22" s="1"/>
  <c r="V1762" i="22"/>
  <c r="AB1762" i="22" s="1"/>
  <c r="X1761" i="22"/>
  <c r="AD1761" i="22" s="1"/>
  <c r="W1761" i="22"/>
  <c r="AC1761" i="22" s="1"/>
  <c r="V1761" i="22"/>
  <c r="AB1761" i="22" s="1"/>
  <c r="X1760" i="22"/>
  <c r="AD1760" i="22" s="1"/>
  <c r="W1760" i="22"/>
  <c r="AC1760" i="22" s="1"/>
  <c r="V1760" i="22"/>
  <c r="AB1760" i="22" s="1"/>
  <c r="X1759" i="22"/>
  <c r="AD1759" i="22" s="1"/>
  <c r="W1759" i="22"/>
  <c r="AC1759" i="22" s="1"/>
  <c r="V1759" i="22"/>
  <c r="AB1759" i="22" s="1"/>
  <c r="X1758" i="22"/>
  <c r="AD1758" i="22" s="1"/>
  <c r="W1758" i="22"/>
  <c r="AC1758" i="22" s="1"/>
  <c r="V1758" i="22"/>
  <c r="AB1758" i="22" s="1"/>
  <c r="X1757" i="22"/>
  <c r="AD1757" i="22" s="1"/>
  <c r="W1757" i="22"/>
  <c r="AC1757" i="22" s="1"/>
  <c r="V1757" i="22"/>
  <c r="AB1757" i="22" s="1"/>
  <c r="X1756" i="22"/>
  <c r="AD1756" i="22" s="1"/>
  <c r="W1756" i="22"/>
  <c r="AC1756" i="22" s="1"/>
  <c r="V1756" i="22"/>
  <c r="AB1756" i="22" s="1"/>
  <c r="X1755" i="22"/>
  <c r="AD1755" i="22" s="1"/>
  <c r="W1755" i="22"/>
  <c r="AC1755" i="22" s="1"/>
  <c r="V1755" i="22"/>
  <c r="AB1755" i="22" s="1"/>
  <c r="X1754" i="22"/>
  <c r="AD1754" i="22" s="1"/>
  <c r="W1754" i="22"/>
  <c r="AC1754" i="22" s="1"/>
  <c r="V1754" i="22"/>
  <c r="AB1754" i="22" s="1"/>
  <c r="X1753" i="22"/>
  <c r="AD1753" i="22" s="1"/>
  <c r="W1753" i="22"/>
  <c r="AC1753" i="22" s="1"/>
  <c r="V1753" i="22"/>
  <c r="AB1753" i="22" s="1"/>
  <c r="X1752" i="22"/>
  <c r="AD1752" i="22" s="1"/>
  <c r="W1752" i="22"/>
  <c r="AC1752" i="22" s="1"/>
  <c r="V1752" i="22"/>
  <c r="AB1752" i="22" s="1"/>
  <c r="X1751" i="22"/>
  <c r="AD1751" i="22" s="1"/>
  <c r="W1751" i="22"/>
  <c r="AC1751" i="22" s="1"/>
  <c r="V1751" i="22"/>
  <c r="AB1751" i="22" s="1"/>
  <c r="X1750" i="22"/>
  <c r="AD1750" i="22" s="1"/>
  <c r="W1750" i="22"/>
  <c r="AC1750" i="22" s="1"/>
  <c r="V1750" i="22"/>
  <c r="AB1750" i="22" s="1"/>
  <c r="X1749" i="22"/>
  <c r="AD1749" i="22" s="1"/>
  <c r="W1749" i="22"/>
  <c r="AC1749" i="22" s="1"/>
  <c r="V1749" i="22"/>
  <c r="AB1749" i="22" s="1"/>
  <c r="X1748" i="22"/>
  <c r="AD1748" i="22" s="1"/>
  <c r="W1748" i="22"/>
  <c r="AC1748" i="22" s="1"/>
  <c r="V1748" i="22"/>
  <c r="AB1748" i="22" s="1"/>
  <c r="X1747" i="22"/>
  <c r="AD1747" i="22" s="1"/>
  <c r="W1747" i="22"/>
  <c r="AC1747" i="22" s="1"/>
  <c r="V1747" i="22"/>
  <c r="AB1747" i="22" s="1"/>
  <c r="X1746" i="22"/>
  <c r="AD1746" i="22" s="1"/>
  <c r="W1746" i="22"/>
  <c r="AC1746" i="22" s="1"/>
  <c r="V1746" i="22"/>
  <c r="AB1746" i="22" s="1"/>
  <c r="X1745" i="22"/>
  <c r="AD1745" i="22" s="1"/>
  <c r="W1745" i="22"/>
  <c r="AC1745" i="22" s="1"/>
  <c r="V1745" i="22"/>
  <c r="AB1745" i="22" s="1"/>
  <c r="X1744" i="22"/>
  <c r="AD1744" i="22" s="1"/>
  <c r="W1744" i="22"/>
  <c r="AC1744" i="22" s="1"/>
  <c r="V1744" i="22"/>
  <c r="AB1744" i="22" s="1"/>
  <c r="X1743" i="22"/>
  <c r="AD1743" i="22" s="1"/>
  <c r="W1743" i="22"/>
  <c r="AC1743" i="22" s="1"/>
  <c r="V1743" i="22"/>
  <c r="AB1743" i="22" s="1"/>
  <c r="X1742" i="22"/>
  <c r="AD1742" i="22" s="1"/>
  <c r="W1742" i="22"/>
  <c r="AC1742" i="22" s="1"/>
  <c r="V1742" i="22"/>
  <c r="AB1742" i="22" s="1"/>
  <c r="X1741" i="22"/>
  <c r="AD1741" i="22" s="1"/>
  <c r="W1741" i="22"/>
  <c r="AC1741" i="22" s="1"/>
  <c r="V1741" i="22"/>
  <c r="AB1741" i="22" s="1"/>
  <c r="X1740" i="22"/>
  <c r="AD1740" i="22" s="1"/>
  <c r="W1740" i="22"/>
  <c r="AC1740" i="22" s="1"/>
  <c r="V1740" i="22"/>
  <c r="AB1740" i="22" s="1"/>
  <c r="X1739" i="22"/>
  <c r="AD1739" i="22" s="1"/>
  <c r="W1739" i="22"/>
  <c r="AC1739" i="22" s="1"/>
  <c r="V1739" i="22"/>
  <c r="AB1739" i="22" s="1"/>
  <c r="X1738" i="22"/>
  <c r="AD1738" i="22" s="1"/>
  <c r="W1738" i="22"/>
  <c r="AC1738" i="22" s="1"/>
  <c r="V1738" i="22"/>
  <c r="AB1738" i="22" s="1"/>
  <c r="X1737" i="22"/>
  <c r="AD1737" i="22" s="1"/>
  <c r="W1737" i="22"/>
  <c r="AC1737" i="22" s="1"/>
  <c r="V1737" i="22"/>
  <c r="AB1737" i="22" s="1"/>
  <c r="X1736" i="22"/>
  <c r="AD1736" i="22" s="1"/>
  <c r="W1736" i="22"/>
  <c r="AC1736" i="22" s="1"/>
  <c r="V1736" i="22"/>
  <c r="AB1736" i="22" s="1"/>
  <c r="X1735" i="22"/>
  <c r="AD1735" i="22" s="1"/>
  <c r="W1735" i="22"/>
  <c r="AC1735" i="22" s="1"/>
  <c r="V1735" i="22"/>
  <c r="AB1735" i="22" s="1"/>
  <c r="X1734" i="22"/>
  <c r="AD1734" i="22" s="1"/>
  <c r="W1734" i="22"/>
  <c r="AC1734" i="22" s="1"/>
  <c r="V1734" i="22"/>
  <c r="AB1734" i="22" s="1"/>
  <c r="X1733" i="22"/>
  <c r="AD1733" i="22" s="1"/>
  <c r="W1733" i="22"/>
  <c r="AC1733" i="22" s="1"/>
  <c r="V1733" i="22"/>
  <c r="AB1733" i="22" s="1"/>
  <c r="X1732" i="22"/>
  <c r="AD1732" i="22" s="1"/>
  <c r="W1732" i="22"/>
  <c r="AC1732" i="22" s="1"/>
  <c r="V1732" i="22"/>
  <c r="AB1732" i="22" s="1"/>
  <c r="X1731" i="22"/>
  <c r="AD1731" i="22" s="1"/>
  <c r="W1731" i="22"/>
  <c r="AC1731" i="22" s="1"/>
  <c r="V1731" i="22"/>
  <c r="AB1731" i="22" s="1"/>
  <c r="X1730" i="22"/>
  <c r="AD1730" i="22" s="1"/>
  <c r="W1730" i="22"/>
  <c r="AC1730" i="22" s="1"/>
  <c r="V1730" i="22"/>
  <c r="AB1730" i="22" s="1"/>
  <c r="X1729" i="22"/>
  <c r="AD1729" i="22" s="1"/>
  <c r="W1729" i="22"/>
  <c r="AC1729" i="22" s="1"/>
  <c r="V1729" i="22"/>
  <c r="AB1729" i="22" s="1"/>
  <c r="X1728" i="22"/>
  <c r="AD1728" i="22" s="1"/>
  <c r="W1728" i="22"/>
  <c r="AC1728" i="22" s="1"/>
  <c r="V1728" i="22"/>
  <c r="AB1728" i="22" s="1"/>
  <c r="X1727" i="22"/>
  <c r="AD1727" i="22" s="1"/>
  <c r="W1727" i="22"/>
  <c r="AC1727" i="22" s="1"/>
  <c r="V1727" i="22"/>
  <c r="AB1727" i="22" s="1"/>
  <c r="X1726" i="22"/>
  <c r="AD1726" i="22" s="1"/>
  <c r="W1726" i="22"/>
  <c r="AC1726" i="22" s="1"/>
  <c r="V1726" i="22"/>
  <c r="AB1726" i="22" s="1"/>
  <c r="X1725" i="22"/>
  <c r="AD1725" i="22" s="1"/>
  <c r="W1725" i="22"/>
  <c r="AC1725" i="22" s="1"/>
  <c r="V1725" i="22"/>
  <c r="AB1725" i="22" s="1"/>
  <c r="X1724" i="22"/>
  <c r="AD1724" i="22" s="1"/>
  <c r="W1724" i="22"/>
  <c r="AC1724" i="22" s="1"/>
  <c r="V1724" i="22"/>
  <c r="AB1724" i="22" s="1"/>
  <c r="X1723" i="22"/>
  <c r="AD1723" i="22" s="1"/>
  <c r="W1723" i="22"/>
  <c r="AC1723" i="22" s="1"/>
  <c r="V1723" i="22"/>
  <c r="AB1723" i="22" s="1"/>
  <c r="X1722" i="22"/>
  <c r="AD1722" i="22" s="1"/>
  <c r="W1722" i="22"/>
  <c r="AC1722" i="22" s="1"/>
  <c r="V1722" i="22"/>
  <c r="AB1722" i="22" s="1"/>
  <c r="X1721" i="22"/>
  <c r="AD1721" i="22" s="1"/>
  <c r="W1721" i="22"/>
  <c r="AC1721" i="22" s="1"/>
  <c r="V1721" i="22"/>
  <c r="AB1721" i="22" s="1"/>
  <c r="X1720" i="22"/>
  <c r="AD1720" i="22" s="1"/>
  <c r="W1720" i="22"/>
  <c r="AC1720" i="22" s="1"/>
  <c r="V1720" i="22"/>
  <c r="AB1720" i="22" s="1"/>
  <c r="X1719" i="22"/>
  <c r="AD1719" i="22" s="1"/>
  <c r="W1719" i="22"/>
  <c r="AC1719" i="22" s="1"/>
  <c r="V1719" i="22"/>
  <c r="AB1719" i="22" s="1"/>
  <c r="X1718" i="22"/>
  <c r="AD1718" i="22" s="1"/>
  <c r="W1718" i="22"/>
  <c r="AC1718" i="22" s="1"/>
  <c r="V1718" i="22"/>
  <c r="AB1718" i="22" s="1"/>
  <c r="X1717" i="22"/>
  <c r="AD1717" i="22" s="1"/>
  <c r="W1717" i="22"/>
  <c r="AC1717" i="22" s="1"/>
  <c r="V1717" i="22"/>
  <c r="AB1717" i="22" s="1"/>
  <c r="X1716" i="22"/>
  <c r="AD1716" i="22" s="1"/>
  <c r="W1716" i="22"/>
  <c r="AC1716" i="22" s="1"/>
  <c r="V1716" i="22"/>
  <c r="AB1716" i="22" s="1"/>
  <c r="X1715" i="22"/>
  <c r="AD1715" i="22" s="1"/>
  <c r="W1715" i="22"/>
  <c r="AC1715" i="22" s="1"/>
  <c r="V1715" i="22"/>
  <c r="AB1715" i="22" s="1"/>
  <c r="X1714" i="22"/>
  <c r="AD1714" i="22" s="1"/>
  <c r="W1714" i="22"/>
  <c r="AC1714" i="22" s="1"/>
  <c r="V1714" i="22"/>
  <c r="AB1714" i="22" s="1"/>
  <c r="X1713" i="22"/>
  <c r="AD1713" i="22" s="1"/>
  <c r="W1713" i="22"/>
  <c r="AC1713" i="22" s="1"/>
  <c r="V1713" i="22"/>
  <c r="AB1713" i="22" s="1"/>
  <c r="X1712" i="22"/>
  <c r="AD1712" i="22" s="1"/>
  <c r="W1712" i="22"/>
  <c r="AC1712" i="22" s="1"/>
  <c r="V1712" i="22"/>
  <c r="AB1712" i="22" s="1"/>
  <c r="X1711" i="22"/>
  <c r="AD1711" i="22" s="1"/>
  <c r="W1711" i="22"/>
  <c r="AC1711" i="22" s="1"/>
  <c r="V1711" i="22"/>
  <c r="AB1711" i="22" s="1"/>
  <c r="X1710" i="22"/>
  <c r="AD1710" i="22" s="1"/>
  <c r="W1710" i="22"/>
  <c r="AC1710" i="22" s="1"/>
  <c r="V1710" i="22"/>
  <c r="AB1710" i="22" s="1"/>
  <c r="X1709" i="22"/>
  <c r="AD1709" i="22" s="1"/>
  <c r="W1709" i="22"/>
  <c r="AC1709" i="22" s="1"/>
  <c r="V1709" i="22"/>
  <c r="AB1709" i="22" s="1"/>
  <c r="X1708" i="22"/>
  <c r="AD1708" i="22" s="1"/>
  <c r="W1708" i="22"/>
  <c r="AC1708" i="22" s="1"/>
  <c r="V1708" i="22"/>
  <c r="AB1708" i="22" s="1"/>
  <c r="X1707" i="22"/>
  <c r="AD1707" i="22" s="1"/>
  <c r="W1707" i="22"/>
  <c r="AC1707" i="22" s="1"/>
  <c r="V1707" i="22"/>
  <c r="AB1707" i="22" s="1"/>
  <c r="X1706" i="22"/>
  <c r="AD1706" i="22" s="1"/>
  <c r="W1706" i="22"/>
  <c r="AC1706" i="22" s="1"/>
  <c r="V1706" i="22"/>
  <c r="AB1706" i="22" s="1"/>
  <c r="X1705" i="22"/>
  <c r="AD1705" i="22" s="1"/>
  <c r="W1705" i="22"/>
  <c r="AC1705" i="22" s="1"/>
  <c r="V1705" i="22"/>
  <c r="AB1705" i="22" s="1"/>
  <c r="X1704" i="22"/>
  <c r="AD1704" i="22" s="1"/>
  <c r="W1704" i="22"/>
  <c r="AC1704" i="22" s="1"/>
  <c r="V1704" i="22"/>
  <c r="AB1704" i="22" s="1"/>
  <c r="X1703" i="22"/>
  <c r="AD1703" i="22" s="1"/>
  <c r="W1703" i="22"/>
  <c r="AC1703" i="22" s="1"/>
  <c r="V1703" i="22"/>
  <c r="AB1703" i="22" s="1"/>
  <c r="X1702" i="22"/>
  <c r="AD1702" i="22" s="1"/>
  <c r="W1702" i="22"/>
  <c r="AC1702" i="22" s="1"/>
  <c r="V1702" i="22"/>
  <c r="AB1702" i="22" s="1"/>
  <c r="X1701" i="22"/>
  <c r="AD1701" i="22" s="1"/>
  <c r="W1701" i="22"/>
  <c r="AC1701" i="22" s="1"/>
  <c r="V1701" i="22"/>
  <c r="AB1701" i="22" s="1"/>
  <c r="X1700" i="22"/>
  <c r="AD1700" i="22" s="1"/>
  <c r="W1700" i="22"/>
  <c r="AC1700" i="22" s="1"/>
  <c r="V1700" i="22"/>
  <c r="AB1700" i="22" s="1"/>
  <c r="X1699" i="22"/>
  <c r="AD1699" i="22" s="1"/>
  <c r="W1699" i="22"/>
  <c r="AC1699" i="22" s="1"/>
  <c r="V1699" i="22"/>
  <c r="AB1699" i="22" s="1"/>
  <c r="X1698" i="22"/>
  <c r="AD1698" i="22" s="1"/>
  <c r="W1698" i="22"/>
  <c r="AC1698" i="22" s="1"/>
  <c r="V1698" i="22"/>
  <c r="AB1698" i="22" s="1"/>
  <c r="X1697" i="22"/>
  <c r="AD1697" i="22" s="1"/>
  <c r="W1697" i="22"/>
  <c r="AC1697" i="22" s="1"/>
  <c r="V1697" i="22"/>
  <c r="AB1697" i="22" s="1"/>
  <c r="X1696" i="22"/>
  <c r="AD1696" i="22" s="1"/>
  <c r="W1696" i="22"/>
  <c r="AC1696" i="22" s="1"/>
  <c r="V1696" i="22"/>
  <c r="AB1696" i="22" s="1"/>
  <c r="X1695" i="22"/>
  <c r="AD1695" i="22" s="1"/>
  <c r="W1695" i="22"/>
  <c r="AC1695" i="22" s="1"/>
  <c r="V1695" i="22"/>
  <c r="AB1695" i="22" s="1"/>
  <c r="X1694" i="22"/>
  <c r="AD1694" i="22" s="1"/>
  <c r="W1694" i="22"/>
  <c r="AC1694" i="22" s="1"/>
  <c r="V1694" i="22"/>
  <c r="AB1694" i="22" s="1"/>
  <c r="X1693" i="22"/>
  <c r="AD1693" i="22" s="1"/>
  <c r="W1693" i="22"/>
  <c r="AC1693" i="22" s="1"/>
  <c r="V1693" i="22"/>
  <c r="AB1693" i="22" s="1"/>
  <c r="X1692" i="22"/>
  <c r="AD1692" i="22" s="1"/>
  <c r="W1692" i="22"/>
  <c r="AC1692" i="22" s="1"/>
  <c r="V1692" i="22"/>
  <c r="AB1692" i="22" s="1"/>
  <c r="X1691" i="22"/>
  <c r="AD1691" i="22" s="1"/>
  <c r="W1691" i="22"/>
  <c r="AC1691" i="22" s="1"/>
  <c r="V1691" i="22"/>
  <c r="AB1691" i="22" s="1"/>
  <c r="X1690" i="22"/>
  <c r="AD1690" i="22" s="1"/>
  <c r="W1690" i="22"/>
  <c r="AC1690" i="22" s="1"/>
  <c r="V1690" i="22"/>
  <c r="AB1690" i="22" s="1"/>
  <c r="X1689" i="22"/>
  <c r="AD1689" i="22" s="1"/>
  <c r="W1689" i="22"/>
  <c r="AC1689" i="22" s="1"/>
  <c r="V1689" i="22"/>
  <c r="AB1689" i="22" s="1"/>
  <c r="X1688" i="22"/>
  <c r="AD1688" i="22" s="1"/>
  <c r="W1688" i="22"/>
  <c r="AC1688" i="22" s="1"/>
  <c r="V1688" i="22"/>
  <c r="AB1688" i="22" s="1"/>
  <c r="X1687" i="22"/>
  <c r="AD1687" i="22" s="1"/>
  <c r="W1687" i="22"/>
  <c r="AC1687" i="22" s="1"/>
  <c r="V1687" i="22"/>
  <c r="AB1687" i="22" s="1"/>
  <c r="X1686" i="22"/>
  <c r="AD1686" i="22" s="1"/>
  <c r="W1686" i="22"/>
  <c r="AC1686" i="22" s="1"/>
  <c r="V1686" i="22"/>
  <c r="AB1686" i="22" s="1"/>
  <c r="X1685" i="22"/>
  <c r="AD1685" i="22" s="1"/>
  <c r="W1685" i="22"/>
  <c r="AC1685" i="22" s="1"/>
  <c r="V1685" i="22"/>
  <c r="AB1685" i="22" s="1"/>
  <c r="X1684" i="22"/>
  <c r="AD1684" i="22" s="1"/>
  <c r="W1684" i="22"/>
  <c r="AC1684" i="22" s="1"/>
  <c r="V1684" i="22"/>
  <c r="AB1684" i="22" s="1"/>
  <c r="X1683" i="22"/>
  <c r="AD1683" i="22" s="1"/>
  <c r="W1683" i="22"/>
  <c r="AC1683" i="22" s="1"/>
  <c r="V1683" i="22"/>
  <c r="AB1683" i="22" s="1"/>
  <c r="X1682" i="22"/>
  <c r="AD1682" i="22" s="1"/>
  <c r="W1682" i="22"/>
  <c r="AC1682" i="22" s="1"/>
  <c r="V1682" i="22"/>
  <c r="AB1682" i="22" s="1"/>
  <c r="X1681" i="22"/>
  <c r="AD1681" i="22" s="1"/>
  <c r="W1681" i="22"/>
  <c r="AC1681" i="22" s="1"/>
  <c r="V1681" i="22"/>
  <c r="AB1681" i="22" s="1"/>
  <c r="X1680" i="22"/>
  <c r="AD1680" i="22" s="1"/>
  <c r="W1680" i="22"/>
  <c r="AC1680" i="22" s="1"/>
  <c r="V1680" i="22"/>
  <c r="AB1680" i="22" s="1"/>
  <c r="X1679" i="22"/>
  <c r="AD1679" i="22" s="1"/>
  <c r="W1679" i="22"/>
  <c r="AC1679" i="22" s="1"/>
  <c r="V1679" i="22"/>
  <c r="AB1679" i="22" s="1"/>
  <c r="X1678" i="22"/>
  <c r="AD1678" i="22" s="1"/>
  <c r="W1678" i="22"/>
  <c r="AC1678" i="22" s="1"/>
  <c r="V1678" i="22"/>
  <c r="AB1678" i="22" s="1"/>
  <c r="X1677" i="22"/>
  <c r="AD1677" i="22" s="1"/>
  <c r="W1677" i="22"/>
  <c r="AC1677" i="22" s="1"/>
  <c r="V1677" i="22"/>
  <c r="AB1677" i="22" s="1"/>
  <c r="X1676" i="22"/>
  <c r="AD1676" i="22" s="1"/>
  <c r="W1676" i="22"/>
  <c r="AC1676" i="22" s="1"/>
  <c r="V1676" i="22"/>
  <c r="AB1676" i="22" s="1"/>
  <c r="X1675" i="22"/>
  <c r="AD1675" i="22" s="1"/>
  <c r="W1675" i="22"/>
  <c r="AC1675" i="22" s="1"/>
  <c r="V1675" i="22"/>
  <c r="AB1675" i="22" s="1"/>
  <c r="X1674" i="22"/>
  <c r="AD1674" i="22" s="1"/>
  <c r="W1674" i="22"/>
  <c r="AC1674" i="22" s="1"/>
  <c r="V1674" i="22"/>
  <c r="AB1674" i="22" s="1"/>
  <c r="X1673" i="22"/>
  <c r="AD1673" i="22" s="1"/>
  <c r="W1673" i="22"/>
  <c r="AC1673" i="22" s="1"/>
  <c r="V1673" i="22"/>
  <c r="AB1673" i="22" s="1"/>
  <c r="X1672" i="22"/>
  <c r="AD1672" i="22" s="1"/>
  <c r="W1672" i="22"/>
  <c r="AC1672" i="22" s="1"/>
  <c r="V1672" i="22"/>
  <c r="AB1672" i="22" s="1"/>
  <c r="X1671" i="22"/>
  <c r="AD1671" i="22" s="1"/>
  <c r="W1671" i="22"/>
  <c r="AC1671" i="22" s="1"/>
  <c r="V1671" i="22"/>
  <c r="AB1671" i="22" s="1"/>
  <c r="X1670" i="22"/>
  <c r="AD1670" i="22" s="1"/>
  <c r="W1670" i="22"/>
  <c r="AC1670" i="22" s="1"/>
  <c r="V1670" i="22"/>
  <c r="AB1670" i="22" s="1"/>
  <c r="X1669" i="22"/>
  <c r="AD1669" i="22" s="1"/>
  <c r="W1669" i="22"/>
  <c r="AC1669" i="22" s="1"/>
  <c r="V1669" i="22"/>
  <c r="AB1669" i="22" s="1"/>
  <c r="X1668" i="22"/>
  <c r="AD1668" i="22" s="1"/>
  <c r="W1668" i="22"/>
  <c r="AC1668" i="22" s="1"/>
  <c r="V1668" i="22"/>
  <c r="AB1668" i="22" s="1"/>
  <c r="X1667" i="22"/>
  <c r="AD1667" i="22" s="1"/>
  <c r="W1667" i="22"/>
  <c r="AC1667" i="22" s="1"/>
  <c r="V1667" i="22"/>
  <c r="AB1667" i="22" s="1"/>
  <c r="X1666" i="22"/>
  <c r="AD1666" i="22" s="1"/>
  <c r="W1666" i="22"/>
  <c r="AC1666" i="22" s="1"/>
  <c r="V1666" i="22"/>
  <c r="AB1666" i="22" s="1"/>
  <c r="X1665" i="22"/>
  <c r="AD1665" i="22" s="1"/>
  <c r="W1665" i="22"/>
  <c r="AC1665" i="22" s="1"/>
  <c r="V1665" i="22"/>
  <c r="AB1665" i="22" s="1"/>
  <c r="X1664" i="22"/>
  <c r="AD1664" i="22" s="1"/>
  <c r="W1664" i="22"/>
  <c r="AC1664" i="22" s="1"/>
  <c r="V1664" i="22"/>
  <c r="AB1664" i="22" s="1"/>
  <c r="X1663" i="22"/>
  <c r="AD1663" i="22" s="1"/>
  <c r="W1663" i="22"/>
  <c r="AC1663" i="22" s="1"/>
  <c r="V1663" i="22"/>
  <c r="AB1663" i="22" s="1"/>
  <c r="X1662" i="22"/>
  <c r="AD1662" i="22" s="1"/>
  <c r="W1662" i="22"/>
  <c r="AC1662" i="22" s="1"/>
  <c r="V1662" i="22"/>
  <c r="AB1662" i="22" s="1"/>
  <c r="X1661" i="22"/>
  <c r="AD1661" i="22" s="1"/>
  <c r="W1661" i="22"/>
  <c r="AC1661" i="22" s="1"/>
  <c r="V1661" i="22"/>
  <c r="AB1661" i="22" s="1"/>
  <c r="X1660" i="22"/>
  <c r="AD1660" i="22" s="1"/>
  <c r="W1660" i="22"/>
  <c r="AC1660" i="22" s="1"/>
  <c r="V1660" i="22"/>
  <c r="AB1660" i="22" s="1"/>
  <c r="X1659" i="22"/>
  <c r="AD1659" i="22" s="1"/>
  <c r="W1659" i="22"/>
  <c r="AC1659" i="22" s="1"/>
  <c r="V1659" i="22"/>
  <c r="AB1659" i="22" s="1"/>
  <c r="X1658" i="22"/>
  <c r="AD1658" i="22" s="1"/>
  <c r="W1658" i="22"/>
  <c r="AC1658" i="22" s="1"/>
  <c r="V1658" i="22"/>
  <c r="AB1658" i="22" s="1"/>
  <c r="X1657" i="22"/>
  <c r="AD1657" i="22" s="1"/>
  <c r="W1657" i="22"/>
  <c r="AC1657" i="22" s="1"/>
  <c r="V1657" i="22"/>
  <c r="AB1657" i="22" s="1"/>
  <c r="X1656" i="22"/>
  <c r="AD1656" i="22" s="1"/>
  <c r="W1656" i="22"/>
  <c r="AC1656" i="22" s="1"/>
  <c r="V1656" i="22"/>
  <c r="AB1656" i="22" s="1"/>
  <c r="X1655" i="22"/>
  <c r="AD1655" i="22" s="1"/>
  <c r="W1655" i="22"/>
  <c r="AC1655" i="22" s="1"/>
  <c r="V1655" i="22"/>
  <c r="AB1655" i="22" s="1"/>
  <c r="X1654" i="22"/>
  <c r="AD1654" i="22" s="1"/>
  <c r="W1654" i="22"/>
  <c r="AC1654" i="22" s="1"/>
  <c r="V1654" i="22"/>
  <c r="AB1654" i="22" s="1"/>
  <c r="X1653" i="22"/>
  <c r="AD1653" i="22" s="1"/>
  <c r="W1653" i="22"/>
  <c r="AC1653" i="22" s="1"/>
  <c r="V1653" i="22"/>
  <c r="AB1653" i="22" s="1"/>
  <c r="X1652" i="22"/>
  <c r="AD1652" i="22" s="1"/>
  <c r="W1652" i="22"/>
  <c r="AC1652" i="22" s="1"/>
  <c r="V1652" i="22"/>
  <c r="AB1652" i="22" s="1"/>
  <c r="X1651" i="22"/>
  <c r="AD1651" i="22" s="1"/>
  <c r="W1651" i="22"/>
  <c r="AC1651" i="22" s="1"/>
  <c r="V1651" i="22"/>
  <c r="AB1651" i="22" s="1"/>
  <c r="X1650" i="22"/>
  <c r="AD1650" i="22" s="1"/>
  <c r="W1650" i="22"/>
  <c r="AC1650" i="22" s="1"/>
  <c r="V1650" i="22"/>
  <c r="AB1650" i="22" s="1"/>
  <c r="X1649" i="22"/>
  <c r="AD1649" i="22" s="1"/>
  <c r="W1649" i="22"/>
  <c r="AC1649" i="22" s="1"/>
  <c r="V1649" i="22"/>
  <c r="AB1649" i="22" s="1"/>
  <c r="X1648" i="22"/>
  <c r="AD1648" i="22" s="1"/>
  <c r="W1648" i="22"/>
  <c r="AC1648" i="22" s="1"/>
  <c r="V1648" i="22"/>
  <c r="AB1648" i="22" s="1"/>
  <c r="X1647" i="22"/>
  <c r="AD1647" i="22" s="1"/>
  <c r="W1647" i="22"/>
  <c r="AC1647" i="22" s="1"/>
  <c r="V1647" i="22"/>
  <c r="AB1647" i="22" s="1"/>
  <c r="X1646" i="22"/>
  <c r="AD1646" i="22" s="1"/>
  <c r="W1646" i="22"/>
  <c r="AC1646" i="22" s="1"/>
  <c r="V1646" i="22"/>
  <c r="AB1646" i="22" s="1"/>
  <c r="X1645" i="22"/>
  <c r="AD1645" i="22" s="1"/>
  <c r="W1645" i="22"/>
  <c r="AC1645" i="22" s="1"/>
  <c r="V1645" i="22"/>
  <c r="AB1645" i="22" s="1"/>
  <c r="X1644" i="22"/>
  <c r="AD1644" i="22" s="1"/>
  <c r="W1644" i="22"/>
  <c r="AC1644" i="22" s="1"/>
  <c r="V1644" i="22"/>
  <c r="AB1644" i="22" s="1"/>
  <c r="X1643" i="22"/>
  <c r="AD1643" i="22" s="1"/>
  <c r="W1643" i="22"/>
  <c r="AC1643" i="22" s="1"/>
  <c r="V1643" i="22"/>
  <c r="AB1643" i="22" s="1"/>
  <c r="X1642" i="22"/>
  <c r="AD1642" i="22" s="1"/>
  <c r="W1642" i="22"/>
  <c r="AC1642" i="22" s="1"/>
  <c r="V1642" i="22"/>
  <c r="AB1642" i="22" s="1"/>
  <c r="X1641" i="22"/>
  <c r="AD1641" i="22" s="1"/>
  <c r="W1641" i="22"/>
  <c r="AC1641" i="22" s="1"/>
  <c r="V1641" i="22"/>
  <c r="AB1641" i="22" s="1"/>
  <c r="X1640" i="22"/>
  <c r="AD1640" i="22" s="1"/>
  <c r="W1640" i="22"/>
  <c r="AC1640" i="22" s="1"/>
  <c r="V1640" i="22"/>
  <c r="AB1640" i="22" s="1"/>
  <c r="X1639" i="22"/>
  <c r="AD1639" i="22" s="1"/>
  <c r="W1639" i="22"/>
  <c r="AC1639" i="22" s="1"/>
  <c r="V1639" i="22"/>
  <c r="AB1639" i="22" s="1"/>
  <c r="X1638" i="22"/>
  <c r="AD1638" i="22" s="1"/>
  <c r="W1638" i="22"/>
  <c r="AC1638" i="22" s="1"/>
  <c r="V1638" i="22"/>
  <c r="AB1638" i="22" s="1"/>
  <c r="X1637" i="22"/>
  <c r="AD1637" i="22" s="1"/>
  <c r="W1637" i="22"/>
  <c r="AC1637" i="22" s="1"/>
  <c r="V1637" i="22"/>
  <c r="AB1637" i="22" s="1"/>
  <c r="X1636" i="22"/>
  <c r="AD1636" i="22" s="1"/>
  <c r="W1636" i="22"/>
  <c r="AC1636" i="22" s="1"/>
  <c r="V1636" i="22"/>
  <c r="AB1636" i="22" s="1"/>
  <c r="X1635" i="22"/>
  <c r="AD1635" i="22" s="1"/>
  <c r="W1635" i="22"/>
  <c r="AC1635" i="22" s="1"/>
  <c r="V1635" i="22"/>
  <c r="AB1635" i="22" s="1"/>
  <c r="X1634" i="22"/>
  <c r="AD1634" i="22" s="1"/>
  <c r="W1634" i="22"/>
  <c r="AC1634" i="22" s="1"/>
  <c r="V1634" i="22"/>
  <c r="AB1634" i="22" s="1"/>
  <c r="X1633" i="22"/>
  <c r="AD1633" i="22" s="1"/>
  <c r="W1633" i="22"/>
  <c r="AC1633" i="22" s="1"/>
  <c r="V1633" i="22"/>
  <c r="AB1633" i="22" s="1"/>
  <c r="X1632" i="22"/>
  <c r="AD1632" i="22" s="1"/>
  <c r="W1632" i="22"/>
  <c r="AC1632" i="22" s="1"/>
  <c r="V1632" i="22"/>
  <c r="AB1632" i="22" s="1"/>
  <c r="X1631" i="22"/>
  <c r="AD1631" i="22" s="1"/>
  <c r="W1631" i="22"/>
  <c r="AC1631" i="22" s="1"/>
  <c r="V1631" i="22"/>
  <c r="AB1631" i="22" s="1"/>
  <c r="X1630" i="22"/>
  <c r="AD1630" i="22" s="1"/>
  <c r="W1630" i="22"/>
  <c r="AC1630" i="22" s="1"/>
  <c r="V1630" i="22"/>
  <c r="AB1630" i="22" s="1"/>
  <c r="X1629" i="22"/>
  <c r="AD1629" i="22" s="1"/>
  <c r="W1629" i="22"/>
  <c r="AC1629" i="22" s="1"/>
  <c r="V1629" i="22"/>
  <c r="AB1629" i="22" s="1"/>
  <c r="X1628" i="22"/>
  <c r="AD1628" i="22" s="1"/>
  <c r="W1628" i="22"/>
  <c r="AC1628" i="22" s="1"/>
  <c r="V1628" i="22"/>
  <c r="AB1628" i="22" s="1"/>
  <c r="X1627" i="22"/>
  <c r="AD1627" i="22" s="1"/>
  <c r="W1627" i="22"/>
  <c r="AC1627" i="22" s="1"/>
  <c r="V1627" i="22"/>
  <c r="AB1627" i="22" s="1"/>
  <c r="X1626" i="22"/>
  <c r="AD1626" i="22" s="1"/>
  <c r="W1626" i="22"/>
  <c r="AC1626" i="22" s="1"/>
  <c r="V1626" i="22"/>
  <c r="AB1626" i="22" s="1"/>
  <c r="X1625" i="22"/>
  <c r="AD1625" i="22" s="1"/>
  <c r="W1625" i="22"/>
  <c r="AC1625" i="22" s="1"/>
  <c r="V1625" i="22"/>
  <c r="AB1625" i="22" s="1"/>
  <c r="X1624" i="22"/>
  <c r="AD1624" i="22" s="1"/>
  <c r="W1624" i="22"/>
  <c r="AC1624" i="22" s="1"/>
  <c r="V1624" i="22"/>
  <c r="AB1624" i="22" s="1"/>
  <c r="X1623" i="22"/>
  <c r="AD1623" i="22" s="1"/>
  <c r="W1623" i="22"/>
  <c r="AC1623" i="22" s="1"/>
  <c r="V1623" i="22"/>
  <c r="AB1623" i="22" s="1"/>
  <c r="X1622" i="22"/>
  <c r="AD1622" i="22" s="1"/>
  <c r="W1622" i="22"/>
  <c r="AC1622" i="22" s="1"/>
  <c r="V1622" i="22"/>
  <c r="AB1622" i="22" s="1"/>
  <c r="X1621" i="22"/>
  <c r="AD1621" i="22" s="1"/>
  <c r="W1621" i="22"/>
  <c r="AC1621" i="22" s="1"/>
  <c r="V1621" i="22"/>
  <c r="AB1621" i="22" s="1"/>
  <c r="X1620" i="22"/>
  <c r="AD1620" i="22" s="1"/>
  <c r="W1620" i="22"/>
  <c r="AC1620" i="22" s="1"/>
  <c r="V1620" i="22"/>
  <c r="AB1620" i="22" s="1"/>
  <c r="X1619" i="22"/>
  <c r="AD1619" i="22" s="1"/>
  <c r="W1619" i="22"/>
  <c r="AC1619" i="22" s="1"/>
  <c r="V1619" i="22"/>
  <c r="AB1619" i="22" s="1"/>
  <c r="X1618" i="22"/>
  <c r="AD1618" i="22" s="1"/>
  <c r="W1618" i="22"/>
  <c r="AC1618" i="22" s="1"/>
  <c r="V1618" i="22"/>
  <c r="AB1618" i="22" s="1"/>
  <c r="X1617" i="22"/>
  <c r="AD1617" i="22" s="1"/>
  <c r="W1617" i="22"/>
  <c r="AC1617" i="22" s="1"/>
  <c r="V1617" i="22"/>
  <c r="AB1617" i="22" s="1"/>
  <c r="X1616" i="22"/>
  <c r="AD1616" i="22" s="1"/>
  <c r="W1616" i="22"/>
  <c r="AC1616" i="22" s="1"/>
  <c r="V1616" i="22"/>
  <c r="AB1616" i="22" s="1"/>
  <c r="X1615" i="22"/>
  <c r="AD1615" i="22" s="1"/>
  <c r="W1615" i="22"/>
  <c r="AC1615" i="22" s="1"/>
  <c r="V1615" i="22"/>
  <c r="AB1615" i="22" s="1"/>
  <c r="X1614" i="22"/>
  <c r="AD1614" i="22" s="1"/>
  <c r="W1614" i="22"/>
  <c r="AC1614" i="22" s="1"/>
  <c r="V1614" i="22"/>
  <c r="AB1614" i="22" s="1"/>
  <c r="X1613" i="22"/>
  <c r="AD1613" i="22" s="1"/>
  <c r="W1613" i="22"/>
  <c r="AC1613" i="22" s="1"/>
  <c r="V1613" i="22"/>
  <c r="AB1613" i="22" s="1"/>
  <c r="X1612" i="22"/>
  <c r="AD1612" i="22" s="1"/>
  <c r="W1612" i="22"/>
  <c r="AC1612" i="22" s="1"/>
  <c r="V1612" i="22"/>
  <c r="AB1612" i="22" s="1"/>
  <c r="X1611" i="22"/>
  <c r="AD1611" i="22" s="1"/>
  <c r="W1611" i="22"/>
  <c r="AC1611" i="22" s="1"/>
  <c r="V1611" i="22"/>
  <c r="AB1611" i="22" s="1"/>
  <c r="X1610" i="22"/>
  <c r="AD1610" i="22" s="1"/>
  <c r="W1610" i="22"/>
  <c r="AC1610" i="22" s="1"/>
  <c r="V1610" i="22"/>
  <c r="AB1610" i="22" s="1"/>
  <c r="X1609" i="22"/>
  <c r="AD1609" i="22" s="1"/>
  <c r="W1609" i="22"/>
  <c r="AC1609" i="22" s="1"/>
  <c r="V1609" i="22"/>
  <c r="AB1609" i="22" s="1"/>
  <c r="X1608" i="22"/>
  <c r="AD1608" i="22" s="1"/>
  <c r="W1608" i="22"/>
  <c r="AC1608" i="22" s="1"/>
  <c r="V1608" i="22"/>
  <c r="AB1608" i="22" s="1"/>
  <c r="X1607" i="22"/>
  <c r="AD1607" i="22" s="1"/>
  <c r="W1607" i="22"/>
  <c r="AC1607" i="22" s="1"/>
  <c r="V1607" i="22"/>
  <c r="AB1607" i="22" s="1"/>
  <c r="X1606" i="22"/>
  <c r="AD1606" i="22" s="1"/>
  <c r="W1606" i="22"/>
  <c r="AC1606" i="22" s="1"/>
  <c r="V1606" i="22"/>
  <c r="AB1606" i="22" s="1"/>
  <c r="X1605" i="22"/>
  <c r="AD1605" i="22" s="1"/>
  <c r="W1605" i="22"/>
  <c r="AC1605" i="22" s="1"/>
  <c r="V1605" i="22"/>
  <c r="AB1605" i="22" s="1"/>
  <c r="X1604" i="22"/>
  <c r="AD1604" i="22" s="1"/>
  <c r="W1604" i="22"/>
  <c r="AC1604" i="22" s="1"/>
  <c r="V1604" i="22"/>
  <c r="AB1604" i="22" s="1"/>
  <c r="X1603" i="22"/>
  <c r="AD1603" i="22" s="1"/>
  <c r="W1603" i="22"/>
  <c r="AC1603" i="22" s="1"/>
  <c r="V1603" i="22"/>
  <c r="AB1603" i="22" s="1"/>
  <c r="X1602" i="22"/>
  <c r="AD1602" i="22" s="1"/>
  <c r="W1602" i="22"/>
  <c r="AC1602" i="22" s="1"/>
  <c r="V1602" i="22"/>
  <c r="AB1602" i="22" s="1"/>
  <c r="X1601" i="22"/>
  <c r="AD1601" i="22" s="1"/>
  <c r="W1601" i="22"/>
  <c r="AC1601" i="22" s="1"/>
  <c r="V1601" i="22"/>
  <c r="AB1601" i="22" s="1"/>
  <c r="X1600" i="22"/>
  <c r="AD1600" i="22" s="1"/>
  <c r="W1600" i="22"/>
  <c r="AC1600" i="22" s="1"/>
  <c r="V1600" i="22"/>
  <c r="AB1600" i="22" s="1"/>
  <c r="X1599" i="22"/>
  <c r="AD1599" i="22" s="1"/>
  <c r="W1599" i="22"/>
  <c r="AC1599" i="22" s="1"/>
  <c r="V1599" i="22"/>
  <c r="AB1599" i="22" s="1"/>
  <c r="X1598" i="22"/>
  <c r="AD1598" i="22" s="1"/>
  <c r="W1598" i="22"/>
  <c r="AC1598" i="22" s="1"/>
  <c r="V1598" i="22"/>
  <c r="AB1598" i="22" s="1"/>
  <c r="X1597" i="22"/>
  <c r="AD1597" i="22" s="1"/>
  <c r="W1597" i="22"/>
  <c r="AC1597" i="22" s="1"/>
  <c r="V1597" i="22"/>
  <c r="AB1597" i="22" s="1"/>
  <c r="X1596" i="22"/>
  <c r="AD1596" i="22" s="1"/>
  <c r="W1596" i="22"/>
  <c r="AC1596" i="22" s="1"/>
  <c r="V1596" i="22"/>
  <c r="AB1596" i="22" s="1"/>
  <c r="X1595" i="22"/>
  <c r="AD1595" i="22" s="1"/>
  <c r="W1595" i="22"/>
  <c r="AC1595" i="22" s="1"/>
  <c r="V1595" i="22"/>
  <c r="AB1595" i="22" s="1"/>
  <c r="X1594" i="22"/>
  <c r="AD1594" i="22" s="1"/>
  <c r="W1594" i="22"/>
  <c r="AC1594" i="22" s="1"/>
  <c r="V1594" i="22"/>
  <c r="AB1594" i="22" s="1"/>
  <c r="X1593" i="22"/>
  <c r="AD1593" i="22" s="1"/>
  <c r="W1593" i="22"/>
  <c r="AC1593" i="22" s="1"/>
  <c r="V1593" i="22"/>
  <c r="AB1593" i="22" s="1"/>
  <c r="X1592" i="22"/>
  <c r="AD1592" i="22" s="1"/>
  <c r="W1592" i="22"/>
  <c r="AC1592" i="22" s="1"/>
  <c r="V1592" i="22"/>
  <c r="AB1592" i="22" s="1"/>
  <c r="X1591" i="22"/>
  <c r="AD1591" i="22" s="1"/>
  <c r="W1591" i="22"/>
  <c r="AC1591" i="22" s="1"/>
  <c r="V1591" i="22"/>
  <c r="AB1591" i="22" s="1"/>
  <c r="X1590" i="22"/>
  <c r="AD1590" i="22" s="1"/>
  <c r="W1590" i="22"/>
  <c r="AC1590" i="22" s="1"/>
  <c r="V1590" i="22"/>
  <c r="AB1590" i="22" s="1"/>
  <c r="X1589" i="22"/>
  <c r="AD1589" i="22" s="1"/>
  <c r="W1589" i="22"/>
  <c r="AC1589" i="22" s="1"/>
  <c r="V1589" i="22"/>
  <c r="AB1589" i="22" s="1"/>
  <c r="X1588" i="22"/>
  <c r="AD1588" i="22" s="1"/>
  <c r="W1588" i="22"/>
  <c r="AC1588" i="22" s="1"/>
  <c r="V1588" i="22"/>
  <c r="AB1588" i="22" s="1"/>
  <c r="X1587" i="22"/>
  <c r="AD1587" i="22" s="1"/>
  <c r="W1587" i="22"/>
  <c r="AC1587" i="22" s="1"/>
  <c r="V1587" i="22"/>
  <c r="AB1587" i="22" s="1"/>
  <c r="X1586" i="22"/>
  <c r="AD1586" i="22" s="1"/>
  <c r="W1586" i="22"/>
  <c r="AC1586" i="22" s="1"/>
  <c r="V1586" i="22"/>
  <c r="AB1586" i="22" s="1"/>
  <c r="X1585" i="22"/>
  <c r="AD1585" i="22" s="1"/>
  <c r="W1585" i="22"/>
  <c r="AC1585" i="22" s="1"/>
  <c r="V1585" i="22"/>
  <c r="AB1585" i="22" s="1"/>
  <c r="X1584" i="22"/>
  <c r="AD1584" i="22" s="1"/>
  <c r="W1584" i="22"/>
  <c r="AC1584" i="22" s="1"/>
  <c r="V1584" i="22"/>
  <c r="AB1584" i="22" s="1"/>
  <c r="X1583" i="22"/>
  <c r="AD1583" i="22" s="1"/>
  <c r="W1583" i="22"/>
  <c r="AC1583" i="22" s="1"/>
  <c r="V1583" i="22"/>
  <c r="AB1583" i="22" s="1"/>
  <c r="X1582" i="22"/>
  <c r="AD1582" i="22" s="1"/>
  <c r="W1582" i="22"/>
  <c r="AC1582" i="22" s="1"/>
  <c r="V1582" i="22"/>
  <c r="AB1582" i="22" s="1"/>
  <c r="X1581" i="22"/>
  <c r="AD1581" i="22" s="1"/>
  <c r="W1581" i="22"/>
  <c r="AC1581" i="22" s="1"/>
  <c r="V1581" i="22"/>
  <c r="AB1581" i="22" s="1"/>
  <c r="X1580" i="22"/>
  <c r="AD1580" i="22" s="1"/>
  <c r="W1580" i="22"/>
  <c r="AC1580" i="22" s="1"/>
  <c r="V1580" i="22"/>
  <c r="AB1580" i="22" s="1"/>
  <c r="X1579" i="22"/>
  <c r="AD1579" i="22" s="1"/>
  <c r="W1579" i="22"/>
  <c r="AC1579" i="22" s="1"/>
  <c r="V1579" i="22"/>
  <c r="AB1579" i="22" s="1"/>
  <c r="X1578" i="22"/>
  <c r="AD1578" i="22" s="1"/>
  <c r="W1578" i="22"/>
  <c r="AC1578" i="22" s="1"/>
  <c r="V1578" i="22"/>
  <c r="AB1578" i="22" s="1"/>
  <c r="X1577" i="22"/>
  <c r="AD1577" i="22" s="1"/>
  <c r="W1577" i="22"/>
  <c r="AC1577" i="22" s="1"/>
  <c r="V1577" i="22"/>
  <c r="AB1577" i="22" s="1"/>
  <c r="X1576" i="22"/>
  <c r="AD1576" i="22" s="1"/>
  <c r="W1576" i="22"/>
  <c r="AC1576" i="22" s="1"/>
  <c r="V1576" i="22"/>
  <c r="AB1576" i="22" s="1"/>
  <c r="X1575" i="22"/>
  <c r="AD1575" i="22" s="1"/>
  <c r="W1575" i="22"/>
  <c r="AC1575" i="22" s="1"/>
  <c r="V1575" i="22"/>
  <c r="AB1575" i="22" s="1"/>
  <c r="X1574" i="22"/>
  <c r="AD1574" i="22" s="1"/>
  <c r="W1574" i="22"/>
  <c r="AC1574" i="22" s="1"/>
  <c r="V1574" i="22"/>
  <c r="AB1574" i="22" s="1"/>
  <c r="X1573" i="22"/>
  <c r="AD1573" i="22" s="1"/>
  <c r="W1573" i="22"/>
  <c r="AC1573" i="22" s="1"/>
  <c r="V1573" i="22"/>
  <c r="AB1573" i="22" s="1"/>
  <c r="X1572" i="22"/>
  <c r="AD1572" i="22" s="1"/>
  <c r="W1572" i="22"/>
  <c r="AC1572" i="22" s="1"/>
  <c r="V1572" i="22"/>
  <c r="AB1572" i="22" s="1"/>
  <c r="X1571" i="22"/>
  <c r="AD1571" i="22" s="1"/>
  <c r="W1571" i="22"/>
  <c r="AC1571" i="22" s="1"/>
  <c r="V1571" i="22"/>
  <c r="AB1571" i="22" s="1"/>
  <c r="X1570" i="22"/>
  <c r="AD1570" i="22" s="1"/>
  <c r="W1570" i="22"/>
  <c r="AC1570" i="22" s="1"/>
  <c r="V1570" i="22"/>
  <c r="AB1570" i="22" s="1"/>
  <c r="X1569" i="22"/>
  <c r="AD1569" i="22" s="1"/>
  <c r="W1569" i="22"/>
  <c r="AC1569" i="22" s="1"/>
  <c r="V1569" i="22"/>
  <c r="AB1569" i="22" s="1"/>
  <c r="X1568" i="22"/>
  <c r="AD1568" i="22" s="1"/>
  <c r="W1568" i="22"/>
  <c r="AC1568" i="22" s="1"/>
  <c r="V1568" i="22"/>
  <c r="AB1568" i="22" s="1"/>
  <c r="X1567" i="22"/>
  <c r="AD1567" i="22" s="1"/>
  <c r="W1567" i="22"/>
  <c r="AC1567" i="22" s="1"/>
  <c r="V1567" i="22"/>
  <c r="AB1567" i="22" s="1"/>
  <c r="X1566" i="22"/>
  <c r="AD1566" i="22" s="1"/>
  <c r="W1566" i="22"/>
  <c r="AC1566" i="22" s="1"/>
  <c r="V1566" i="22"/>
  <c r="AB1566" i="22" s="1"/>
  <c r="X1565" i="22"/>
  <c r="AD1565" i="22" s="1"/>
  <c r="W1565" i="22"/>
  <c r="AC1565" i="22" s="1"/>
  <c r="V1565" i="22"/>
  <c r="AB1565" i="22" s="1"/>
  <c r="X1564" i="22"/>
  <c r="AD1564" i="22" s="1"/>
  <c r="W1564" i="22"/>
  <c r="AC1564" i="22" s="1"/>
  <c r="V1564" i="22"/>
  <c r="AB1564" i="22" s="1"/>
  <c r="X1563" i="22"/>
  <c r="AD1563" i="22" s="1"/>
  <c r="W1563" i="22"/>
  <c r="AC1563" i="22" s="1"/>
  <c r="V1563" i="22"/>
  <c r="AB1563" i="22" s="1"/>
  <c r="X1562" i="22"/>
  <c r="AD1562" i="22" s="1"/>
  <c r="W1562" i="22"/>
  <c r="AC1562" i="22" s="1"/>
  <c r="V1562" i="22"/>
  <c r="AB1562" i="22" s="1"/>
  <c r="X1561" i="22"/>
  <c r="AD1561" i="22" s="1"/>
  <c r="W1561" i="22"/>
  <c r="AC1561" i="22" s="1"/>
  <c r="V1561" i="22"/>
  <c r="AB1561" i="22" s="1"/>
  <c r="X1560" i="22"/>
  <c r="AD1560" i="22" s="1"/>
  <c r="W1560" i="22"/>
  <c r="AC1560" i="22" s="1"/>
  <c r="V1560" i="22"/>
  <c r="AB1560" i="22" s="1"/>
  <c r="X1559" i="22"/>
  <c r="AD1559" i="22" s="1"/>
  <c r="W1559" i="22"/>
  <c r="AC1559" i="22" s="1"/>
  <c r="V1559" i="22"/>
  <c r="AB1559" i="22" s="1"/>
  <c r="X1558" i="22"/>
  <c r="AD1558" i="22" s="1"/>
  <c r="W1558" i="22"/>
  <c r="AC1558" i="22" s="1"/>
  <c r="V1558" i="22"/>
  <c r="AB1558" i="22" s="1"/>
  <c r="X1557" i="22"/>
  <c r="AD1557" i="22" s="1"/>
  <c r="W1557" i="22"/>
  <c r="AC1557" i="22" s="1"/>
  <c r="V1557" i="22"/>
  <c r="AB1557" i="22" s="1"/>
  <c r="X1556" i="22"/>
  <c r="AD1556" i="22" s="1"/>
  <c r="W1556" i="22"/>
  <c r="AC1556" i="22" s="1"/>
  <c r="V1556" i="22"/>
  <c r="AB1556" i="22" s="1"/>
  <c r="X1555" i="22"/>
  <c r="AD1555" i="22" s="1"/>
  <c r="W1555" i="22"/>
  <c r="AC1555" i="22" s="1"/>
  <c r="V1555" i="22"/>
  <c r="AB1555" i="22" s="1"/>
  <c r="X1554" i="22"/>
  <c r="AD1554" i="22" s="1"/>
  <c r="W1554" i="22"/>
  <c r="AC1554" i="22" s="1"/>
  <c r="V1554" i="22"/>
  <c r="AB1554" i="22" s="1"/>
  <c r="X1553" i="22"/>
  <c r="AD1553" i="22" s="1"/>
  <c r="W1553" i="22"/>
  <c r="AC1553" i="22" s="1"/>
  <c r="V1553" i="22"/>
  <c r="AB1553" i="22" s="1"/>
  <c r="X1552" i="22"/>
  <c r="AD1552" i="22" s="1"/>
  <c r="W1552" i="22"/>
  <c r="AC1552" i="22" s="1"/>
  <c r="V1552" i="22"/>
  <c r="AB1552" i="22" s="1"/>
  <c r="X1551" i="22"/>
  <c r="AD1551" i="22" s="1"/>
  <c r="W1551" i="22"/>
  <c r="AC1551" i="22" s="1"/>
  <c r="V1551" i="22"/>
  <c r="AB1551" i="22" s="1"/>
  <c r="X1550" i="22"/>
  <c r="AD1550" i="22" s="1"/>
  <c r="W1550" i="22"/>
  <c r="AC1550" i="22" s="1"/>
  <c r="V1550" i="22"/>
  <c r="AB1550" i="22" s="1"/>
  <c r="X1549" i="22"/>
  <c r="AD1549" i="22" s="1"/>
  <c r="W1549" i="22"/>
  <c r="AC1549" i="22" s="1"/>
  <c r="V1549" i="22"/>
  <c r="AB1549" i="22" s="1"/>
  <c r="X1548" i="22"/>
  <c r="AD1548" i="22" s="1"/>
  <c r="W1548" i="22"/>
  <c r="AC1548" i="22" s="1"/>
  <c r="V1548" i="22"/>
  <c r="AB1548" i="22" s="1"/>
  <c r="X1547" i="22"/>
  <c r="AD1547" i="22" s="1"/>
  <c r="W1547" i="22"/>
  <c r="AC1547" i="22" s="1"/>
  <c r="V1547" i="22"/>
  <c r="AB1547" i="22" s="1"/>
  <c r="X1546" i="22"/>
  <c r="AD1546" i="22" s="1"/>
  <c r="W1546" i="22"/>
  <c r="AC1546" i="22" s="1"/>
  <c r="V1546" i="22"/>
  <c r="AB1546" i="22" s="1"/>
  <c r="X1545" i="22"/>
  <c r="AD1545" i="22" s="1"/>
  <c r="W1545" i="22"/>
  <c r="AC1545" i="22" s="1"/>
  <c r="V1545" i="22"/>
  <c r="AB1545" i="22" s="1"/>
  <c r="X1544" i="22"/>
  <c r="AD1544" i="22" s="1"/>
  <c r="W1544" i="22"/>
  <c r="AC1544" i="22" s="1"/>
  <c r="V1544" i="22"/>
  <c r="AB1544" i="22" s="1"/>
  <c r="X1543" i="22"/>
  <c r="AD1543" i="22" s="1"/>
  <c r="W1543" i="22"/>
  <c r="AC1543" i="22" s="1"/>
  <c r="V1543" i="22"/>
  <c r="AB1543" i="22" s="1"/>
  <c r="X1542" i="22"/>
  <c r="AD1542" i="22" s="1"/>
  <c r="W1542" i="22"/>
  <c r="AC1542" i="22" s="1"/>
  <c r="V1542" i="22"/>
  <c r="AB1542" i="22" s="1"/>
  <c r="X1541" i="22"/>
  <c r="AD1541" i="22" s="1"/>
  <c r="W1541" i="22"/>
  <c r="AC1541" i="22" s="1"/>
  <c r="V1541" i="22"/>
  <c r="AB1541" i="22" s="1"/>
  <c r="X1540" i="22"/>
  <c r="AD1540" i="22" s="1"/>
  <c r="W1540" i="22"/>
  <c r="AC1540" i="22" s="1"/>
  <c r="V1540" i="22"/>
  <c r="AB1540" i="22" s="1"/>
  <c r="X1539" i="22"/>
  <c r="AD1539" i="22" s="1"/>
  <c r="W1539" i="22"/>
  <c r="AC1539" i="22" s="1"/>
  <c r="V1539" i="22"/>
  <c r="AB1539" i="22" s="1"/>
  <c r="X1538" i="22"/>
  <c r="AD1538" i="22" s="1"/>
  <c r="W1538" i="22"/>
  <c r="AC1538" i="22" s="1"/>
  <c r="V1538" i="22"/>
  <c r="AB1538" i="22" s="1"/>
  <c r="X1537" i="22"/>
  <c r="AD1537" i="22" s="1"/>
  <c r="W1537" i="22"/>
  <c r="AC1537" i="22" s="1"/>
  <c r="V1537" i="22"/>
  <c r="AB1537" i="22" s="1"/>
  <c r="X1536" i="22"/>
  <c r="AD1536" i="22" s="1"/>
  <c r="AO4" i="22" s="1"/>
  <c r="W1536" i="22"/>
  <c r="AC1536" i="22" s="1"/>
  <c r="V1536" i="22"/>
  <c r="AB1536" i="22" s="1"/>
  <c r="V1535" i="22"/>
  <c r="AB1535" i="22" s="1"/>
  <c r="V1534" i="22"/>
  <c r="AB1534" i="22" s="1"/>
  <c r="V1533" i="22"/>
  <c r="AB1533" i="22" s="1"/>
  <c r="V1532" i="22"/>
  <c r="AB1532" i="22" s="1"/>
  <c r="V1531" i="22"/>
  <c r="AB1531" i="22" s="1"/>
  <c r="V1530" i="22"/>
  <c r="AB1530" i="22" s="1"/>
  <c r="V1529" i="22"/>
  <c r="AB1529" i="22" s="1"/>
  <c r="V1528" i="22"/>
  <c r="AB1528" i="22" s="1"/>
  <c r="V1527" i="22"/>
  <c r="AB1527" i="22" s="1"/>
  <c r="V1526" i="22"/>
  <c r="AB1526" i="22" s="1"/>
  <c r="V1525" i="22"/>
  <c r="AB1525" i="22" s="1"/>
  <c r="V1524" i="22"/>
  <c r="AB1524" i="22" s="1"/>
  <c r="V1523" i="22"/>
  <c r="AB1523" i="22" s="1"/>
  <c r="V1522" i="22"/>
  <c r="AB1522" i="22" s="1"/>
  <c r="V1521" i="22"/>
  <c r="AB1521" i="22" s="1"/>
  <c r="V1520" i="22"/>
  <c r="AB1520" i="22" s="1"/>
  <c r="V1519" i="22"/>
  <c r="AB1519" i="22" s="1"/>
  <c r="V1518" i="22"/>
  <c r="AB1518" i="22" s="1"/>
  <c r="V1517" i="22"/>
  <c r="AB1517" i="22" s="1"/>
  <c r="V1516" i="22"/>
  <c r="AB1516" i="22" s="1"/>
  <c r="V1515" i="22"/>
  <c r="AB1515" i="22" s="1"/>
  <c r="V1514" i="22"/>
  <c r="AB1514" i="22" s="1"/>
  <c r="V1513" i="22"/>
  <c r="AB1513" i="22" s="1"/>
  <c r="V1512" i="22"/>
  <c r="AB1512" i="22" s="1"/>
  <c r="V1511" i="22"/>
  <c r="AB1511" i="22" s="1"/>
  <c r="X1510" i="22"/>
  <c r="AD1510" i="22" s="1"/>
  <c r="W1510" i="22"/>
  <c r="AC1510" i="22" s="1"/>
  <c r="X1509" i="22"/>
  <c r="AD1509" i="22" s="1"/>
  <c r="W1509" i="22"/>
  <c r="AC1509" i="22" s="1"/>
  <c r="X1508" i="22"/>
  <c r="AD1508" i="22" s="1"/>
  <c r="W1508" i="22"/>
  <c r="AC1508" i="22" s="1"/>
  <c r="X1507" i="22"/>
  <c r="AD1507" i="22" s="1"/>
  <c r="W1507" i="22"/>
  <c r="AC1507" i="22" s="1"/>
  <c r="X1506" i="22"/>
  <c r="AD1506" i="22" s="1"/>
  <c r="W1506" i="22"/>
  <c r="AC1506" i="22" s="1"/>
  <c r="X1505" i="22"/>
  <c r="AD1505" i="22" s="1"/>
  <c r="W1505" i="22"/>
  <c r="AC1505" i="22" s="1"/>
  <c r="X1504" i="22"/>
  <c r="AD1504" i="22" s="1"/>
  <c r="W1504" i="22"/>
  <c r="AC1504" i="22" s="1"/>
  <c r="X1503" i="22"/>
  <c r="AD1503" i="22" s="1"/>
  <c r="W1503" i="22"/>
  <c r="AC1503" i="22" s="1"/>
  <c r="X1502" i="22"/>
  <c r="AD1502" i="22" s="1"/>
  <c r="W1502" i="22"/>
  <c r="AC1502" i="22" s="1"/>
  <c r="X1501" i="22"/>
  <c r="AD1501" i="22" s="1"/>
  <c r="W1501" i="22"/>
  <c r="AC1501" i="22" s="1"/>
  <c r="X1500" i="22"/>
  <c r="AD1500" i="22" s="1"/>
  <c r="W1500" i="22"/>
  <c r="AC1500" i="22" s="1"/>
  <c r="X1499" i="22"/>
  <c r="AD1499" i="22" s="1"/>
  <c r="W1499" i="22"/>
  <c r="AC1499" i="22" s="1"/>
  <c r="X1498" i="22"/>
  <c r="AD1498" i="22" s="1"/>
  <c r="W1498" i="22"/>
  <c r="AC1498" i="22" s="1"/>
  <c r="X1497" i="22"/>
  <c r="AD1497" i="22" s="1"/>
  <c r="W1497" i="22"/>
  <c r="AC1497" i="22" s="1"/>
  <c r="X1496" i="22"/>
  <c r="AD1496" i="22" s="1"/>
  <c r="W1496" i="22"/>
  <c r="AC1496" i="22" s="1"/>
  <c r="X1495" i="22"/>
  <c r="AD1495" i="22" s="1"/>
  <c r="W1495" i="22"/>
  <c r="AC1495" i="22" s="1"/>
  <c r="X1494" i="22"/>
  <c r="AD1494" i="22" s="1"/>
  <c r="W1494" i="22"/>
  <c r="AC1494" i="22" s="1"/>
  <c r="X1493" i="22"/>
  <c r="AD1493" i="22" s="1"/>
  <c r="W1493" i="22"/>
  <c r="AC1493" i="22" s="1"/>
  <c r="X1492" i="22"/>
  <c r="AD1492" i="22" s="1"/>
  <c r="W1492" i="22"/>
  <c r="AC1492" i="22" s="1"/>
  <c r="X1491" i="22"/>
  <c r="AD1491" i="22" s="1"/>
  <c r="W1491" i="22"/>
  <c r="AC1491" i="22" s="1"/>
  <c r="X1490" i="22"/>
  <c r="AD1490" i="22" s="1"/>
  <c r="W1490" i="22"/>
  <c r="AC1490" i="22" s="1"/>
  <c r="X1489" i="22"/>
  <c r="AD1489" i="22" s="1"/>
  <c r="W1489" i="22"/>
  <c r="AC1489" i="22" s="1"/>
  <c r="X1488" i="22"/>
  <c r="AD1488" i="22" s="1"/>
  <c r="W1488" i="22"/>
  <c r="AC1488" i="22" s="1"/>
  <c r="X1487" i="22"/>
  <c r="AD1487" i="22" s="1"/>
  <c r="W1487" i="22"/>
  <c r="AC1487" i="22" s="1"/>
  <c r="X1486" i="22"/>
  <c r="AD1486" i="22" s="1"/>
  <c r="W1486" i="22"/>
  <c r="AC1486" i="22" s="1"/>
  <c r="X1485" i="22"/>
  <c r="AD1485" i="22" s="1"/>
  <c r="W1485" i="22"/>
  <c r="AC1485" i="22" s="1"/>
  <c r="V1484" i="22"/>
  <c r="AB1484" i="22" s="1"/>
  <c r="V1483" i="22"/>
  <c r="AB1483" i="22" s="1"/>
  <c r="V1482" i="22"/>
  <c r="AB1482" i="22" s="1"/>
  <c r="V1481" i="22"/>
  <c r="AB1481" i="22" s="1"/>
  <c r="V1480" i="22"/>
  <c r="AB1480" i="22" s="1"/>
  <c r="V1479" i="22"/>
  <c r="AB1479" i="22" s="1"/>
  <c r="V1478" i="22"/>
  <c r="AB1478" i="22" s="1"/>
  <c r="V1477" i="22"/>
  <c r="AB1477" i="22" s="1"/>
  <c r="V1476" i="22"/>
  <c r="AB1476" i="22" s="1"/>
  <c r="V1475" i="22"/>
  <c r="AB1475" i="22" s="1"/>
  <c r="V1474" i="22"/>
  <c r="AB1474" i="22" s="1"/>
  <c r="V1473" i="22"/>
  <c r="AB1473" i="22" s="1"/>
  <c r="V1472" i="22"/>
  <c r="AB1472" i="22" s="1"/>
  <c r="V1471" i="22"/>
  <c r="AB1471" i="22" s="1"/>
  <c r="V1470" i="22"/>
  <c r="AB1470" i="22" s="1"/>
  <c r="V1469" i="22"/>
  <c r="AB1469" i="22" s="1"/>
  <c r="V1468" i="22"/>
  <c r="AB1468" i="22" s="1"/>
  <c r="V1467" i="22"/>
  <c r="AB1467" i="22" s="1"/>
  <c r="V1466" i="22"/>
  <c r="AB1466" i="22" s="1"/>
  <c r="V1465" i="22"/>
  <c r="AB1465" i="22" s="1"/>
  <c r="V1464" i="22"/>
  <c r="AB1464" i="22" s="1"/>
  <c r="V1463" i="22"/>
  <c r="AB1463" i="22" s="1"/>
  <c r="V1462" i="22"/>
  <c r="AB1462" i="22" s="1"/>
  <c r="V1461" i="22"/>
  <c r="AB1461" i="22" s="1"/>
  <c r="V1460" i="22"/>
  <c r="AB1460" i="22" s="1"/>
  <c r="V1459" i="22"/>
  <c r="AB1459" i="22" s="1"/>
  <c r="V1458" i="22"/>
  <c r="AB1458" i="22" s="1"/>
  <c r="V1457" i="22"/>
  <c r="AB1457" i="22" s="1"/>
  <c r="V1456" i="22"/>
  <c r="AB1456" i="22" s="1"/>
  <c r="V1455" i="22"/>
  <c r="AB1455" i="22" s="1"/>
  <c r="V1454" i="22"/>
  <c r="AB1454" i="22" s="1"/>
  <c r="V1453" i="22"/>
  <c r="AB1453" i="22" s="1"/>
  <c r="V1452" i="22"/>
  <c r="AB1452" i="22" s="1"/>
  <c r="V1451" i="22"/>
  <c r="AB1451" i="22" s="1"/>
  <c r="V1450" i="22"/>
  <c r="AB1450" i="22" s="1"/>
  <c r="V1449" i="22"/>
  <c r="AB1449" i="22" s="1"/>
  <c r="V1448" i="22"/>
  <c r="AB1448" i="22" s="1"/>
  <c r="V1447" i="22"/>
  <c r="AB1447" i="22" s="1"/>
  <c r="V1446" i="22"/>
  <c r="AB1446" i="22" s="1"/>
  <c r="V1445" i="22"/>
  <c r="AB1445" i="22" s="1"/>
  <c r="V1444" i="22"/>
  <c r="AB1444" i="22" s="1"/>
  <c r="V1443" i="22"/>
  <c r="AB1443" i="22" s="1"/>
  <c r="V1442" i="22"/>
  <c r="AB1442" i="22" s="1"/>
  <c r="V1441" i="22"/>
  <c r="AB1441" i="22" s="1"/>
  <c r="V1440" i="22"/>
  <c r="AB1440" i="22" s="1"/>
  <c r="V1439" i="22"/>
  <c r="AB1439" i="22" s="1"/>
  <c r="V1438" i="22"/>
  <c r="AB1438" i="22" s="1"/>
  <c r="V1437" i="22"/>
  <c r="AB1437" i="22" s="1"/>
  <c r="V1436" i="22"/>
  <c r="AB1436" i="22" s="1"/>
  <c r="V1435" i="22"/>
  <c r="AB1435" i="22" s="1"/>
  <c r="V1434" i="22"/>
  <c r="AB1434" i="22" s="1"/>
  <c r="V1433" i="22"/>
  <c r="AB1433" i="22" s="1"/>
  <c r="V1432" i="22"/>
  <c r="AB1432" i="22" s="1"/>
  <c r="X1431" i="22"/>
  <c r="AD1431" i="22" s="1"/>
  <c r="W1431" i="22"/>
  <c r="AC1431" i="22" s="1"/>
  <c r="X1430" i="22"/>
  <c r="AD1430" i="22" s="1"/>
  <c r="W1430" i="22"/>
  <c r="AC1430" i="22" s="1"/>
  <c r="X1429" i="22"/>
  <c r="AD1429" i="22" s="1"/>
  <c r="W1429" i="22"/>
  <c r="AC1429" i="22" s="1"/>
  <c r="X1428" i="22"/>
  <c r="AD1428" i="22" s="1"/>
  <c r="W1428" i="22"/>
  <c r="AC1428" i="22" s="1"/>
  <c r="X1427" i="22"/>
  <c r="AD1427" i="22" s="1"/>
  <c r="W1427" i="22"/>
  <c r="AC1427" i="22" s="1"/>
  <c r="X1426" i="22"/>
  <c r="AD1426" i="22" s="1"/>
  <c r="W1426" i="22"/>
  <c r="AC1426" i="22" s="1"/>
  <c r="X1425" i="22"/>
  <c r="AD1425" i="22" s="1"/>
  <c r="W1425" i="22"/>
  <c r="AC1425" i="22" s="1"/>
  <c r="X1424" i="22"/>
  <c r="AD1424" i="22" s="1"/>
  <c r="W1424" i="22"/>
  <c r="AC1424" i="22" s="1"/>
  <c r="X1423" i="22"/>
  <c r="AD1423" i="22" s="1"/>
  <c r="W1423" i="22"/>
  <c r="AC1423" i="22" s="1"/>
  <c r="X1422" i="22"/>
  <c r="AD1422" i="22" s="1"/>
  <c r="W1422" i="22"/>
  <c r="AC1422" i="22" s="1"/>
  <c r="X1421" i="22"/>
  <c r="AD1421" i="22" s="1"/>
  <c r="W1421" i="22"/>
  <c r="AC1421" i="22" s="1"/>
  <c r="X1420" i="22"/>
  <c r="AD1420" i="22" s="1"/>
  <c r="W1420" i="22"/>
  <c r="AC1420" i="22" s="1"/>
  <c r="X1419" i="22"/>
  <c r="AD1419" i="22" s="1"/>
  <c r="W1419" i="22"/>
  <c r="AC1419" i="22" s="1"/>
  <c r="X1418" i="22"/>
  <c r="AD1418" i="22" s="1"/>
  <c r="W1418" i="22"/>
  <c r="AC1418" i="22" s="1"/>
  <c r="X1417" i="22"/>
  <c r="AD1417" i="22" s="1"/>
  <c r="W1417" i="22"/>
  <c r="AC1417" i="22" s="1"/>
  <c r="X1416" i="22"/>
  <c r="AD1416" i="22" s="1"/>
  <c r="W1416" i="22"/>
  <c r="AC1416" i="22" s="1"/>
  <c r="X1415" i="22"/>
  <c r="AD1415" i="22" s="1"/>
  <c r="W1415" i="22"/>
  <c r="AC1415" i="22" s="1"/>
  <c r="X1414" i="22"/>
  <c r="AD1414" i="22" s="1"/>
  <c r="W1414" i="22"/>
  <c r="AC1414" i="22" s="1"/>
  <c r="X1413" i="22"/>
  <c r="AD1413" i="22" s="1"/>
  <c r="W1413" i="22"/>
  <c r="AC1413" i="22" s="1"/>
  <c r="X1412" i="22"/>
  <c r="AD1412" i="22" s="1"/>
  <c r="W1412" i="22"/>
  <c r="AC1412" i="22" s="1"/>
  <c r="X1411" i="22"/>
  <c r="AD1411" i="22" s="1"/>
  <c r="W1411" i="22"/>
  <c r="AC1411" i="22" s="1"/>
  <c r="X1410" i="22"/>
  <c r="AD1410" i="22" s="1"/>
  <c r="W1410" i="22"/>
  <c r="AC1410" i="22" s="1"/>
  <c r="X1409" i="22"/>
  <c r="AD1409" i="22" s="1"/>
  <c r="W1409" i="22"/>
  <c r="AC1409" i="22" s="1"/>
  <c r="X1408" i="22"/>
  <c r="AD1408" i="22" s="1"/>
  <c r="W1408" i="22"/>
  <c r="AC1408" i="22" s="1"/>
  <c r="X1407" i="22"/>
  <c r="AD1407" i="22" s="1"/>
  <c r="W1407" i="22"/>
  <c r="AC1407" i="22" s="1"/>
  <c r="X1406" i="22"/>
  <c r="AD1406" i="22" s="1"/>
  <c r="W1406" i="22"/>
  <c r="AC1406" i="22" s="1"/>
  <c r="X1405" i="22"/>
  <c r="AD1405" i="22" s="1"/>
  <c r="W1405" i="22"/>
  <c r="AC1405" i="22" s="1"/>
  <c r="X1404" i="22"/>
  <c r="AD1404" i="22" s="1"/>
  <c r="W1404" i="22"/>
  <c r="AC1404" i="22" s="1"/>
  <c r="X1403" i="22"/>
  <c r="AD1403" i="22" s="1"/>
  <c r="W1403" i="22"/>
  <c r="AC1403" i="22" s="1"/>
  <c r="V1402" i="22"/>
  <c r="AB1402" i="22" s="1"/>
  <c r="V1401" i="22"/>
  <c r="AB1401" i="22" s="1"/>
  <c r="V1400" i="22"/>
  <c r="AB1400" i="22" s="1"/>
  <c r="V1399" i="22"/>
  <c r="AB1399" i="22" s="1"/>
  <c r="V1398" i="22"/>
  <c r="AB1398" i="22" s="1"/>
  <c r="V1397" i="22"/>
  <c r="AB1397" i="22" s="1"/>
  <c r="V1396" i="22"/>
  <c r="AB1396" i="22" s="1"/>
  <c r="V1395" i="22"/>
  <c r="AB1395" i="22" s="1"/>
  <c r="V1394" i="22"/>
  <c r="AB1394" i="22" s="1"/>
  <c r="V1393" i="22"/>
  <c r="AB1393" i="22" s="1"/>
  <c r="V1392" i="22"/>
  <c r="AB1392" i="22" s="1"/>
  <c r="V1391" i="22"/>
  <c r="AB1391" i="22" s="1"/>
  <c r="V1390" i="22"/>
  <c r="AB1390" i="22" s="1"/>
  <c r="V1389" i="22"/>
  <c r="AB1389" i="22" s="1"/>
  <c r="V1388" i="22"/>
  <c r="AB1388" i="22" s="1"/>
  <c r="V1387" i="22"/>
  <c r="AB1387" i="22" s="1"/>
  <c r="V1386" i="22"/>
  <c r="AB1386" i="22" s="1"/>
  <c r="V1385" i="22"/>
  <c r="AB1385" i="22" s="1"/>
  <c r="V1384" i="22"/>
  <c r="AB1384" i="22" s="1"/>
  <c r="V1383" i="22"/>
  <c r="AB1383" i="22" s="1"/>
  <c r="V1382" i="22"/>
  <c r="AB1382" i="22" s="1"/>
  <c r="V1381" i="22"/>
  <c r="AB1381" i="22" s="1"/>
  <c r="V1380" i="22"/>
  <c r="AB1380" i="22" s="1"/>
  <c r="V1379" i="22"/>
  <c r="AB1379" i="22" s="1"/>
  <c r="V1378" i="22"/>
  <c r="AB1378" i="22" s="1"/>
  <c r="V1377" i="22"/>
  <c r="AB1377" i="22" s="1"/>
  <c r="V1376" i="22"/>
  <c r="AB1376" i="22" s="1"/>
  <c r="V1375" i="22"/>
  <c r="AB1375" i="22" s="1"/>
  <c r="V1374" i="22"/>
  <c r="AB1374" i="22" s="1"/>
  <c r="X1373" i="22"/>
  <c r="AD1373" i="22" s="1"/>
  <c r="W1373" i="22"/>
  <c r="AC1373" i="22" s="1"/>
  <c r="X1372" i="22"/>
  <c r="AD1372" i="22" s="1"/>
  <c r="W1372" i="22"/>
  <c r="AC1372" i="22" s="1"/>
  <c r="X1371" i="22"/>
  <c r="AD1371" i="22" s="1"/>
  <c r="W1371" i="22"/>
  <c r="AC1371" i="22" s="1"/>
  <c r="X1370" i="22"/>
  <c r="AD1370" i="22" s="1"/>
  <c r="W1370" i="22"/>
  <c r="AC1370" i="22" s="1"/>
  <c r="X1369" i="22"/>
  <c r="AD1369" i="22" s="1"/>
  <c r="W1369" i="22"/>
  <c r="AC1369" i="22" s="1"/>
  <c r="V1369" i="22"/>
  <c r="AB1369" i="22" s="1"/>
  <c r="X1368" i="22"/>
  <c r="AD1368" i="22" s="1"/>
  <c r="W1368" i="22"/>
  <c r="AC1368" i="22" s="1"/>
  <c r="V1368" i="22"/>
  <c r="AB1368" i="22" s="1"/>
  <c r="X1367" i="22"/>
  <c r="AD1367" i="22" s="1"/>
  <c r="W1367" i="22"/>
  <c r="AC1367" i="22" s="1"/>
  <c r="V1367" i="22"/>
  <c r="AB1367" i="22" s="1"/>
  <c r="X1366" i="22"/>
  <c r="AD1366" i="22" s="1"/>
  <c r="W1366" i="22"/>
  <c r="AC1366" i="22" s="1"/>
  <c r="V1366" i="22"/>
  <c r="AB1366" i="22" s="1"/>
  <c r="X1365" i="22"/>
  <c r="AD1365" i="22" s="1"/>
  <c r="W1365" i="22"/>
  <c r="AC1365" i="22" s="1"/>
  <c r="V1365" i="22"/>
  <c r="AB1365" i="22" s="1"/>
  <c r="V1364" i="22"/>
  <c r="AB1364" i="22" s="1"/>
  <c r="V1363" i="22"/>
  <c r="AB1363" i="22" s="1"/>
  <c r="V1362" i="22"/>
  <c r="AB1362" i="22" s="1"/>
  <c r="V1361" i="22"/>
  <c r="AB1361" i="22" s="1"/>
  <c r="V1360" i="22"/>
  <c r="AB1360" i="22" s="1"/>
  <c r="V1359" i="22"/>
  <c r="AB1359" i="22" s="1"/>
  <c r="V1358" i="22"/>
  <c r="AB1358" i="22" s="1"/>
  <c r="V1357" i="22"/>
  <c r="AB1357" i="22" s="1"/>
  <c r="V1356" i="22"/>
  <c r="AB1356" i="22" s="1"/>
  <c r="X1355" i="22"/>
  <c r="AD1355" i="22" s="1"/>
  <c r="W1355" i="22"/>
  <c r="AC1355" i="22" s="1"/>
  <c r="V1355" i="22"/>
  <c r="AB1355" i="22" s="1"/>
  <c r="X1354" i="22"/>
  <c r="AD1354" i="22" s="1"/>
  <c r="W1354" i="22"/>
  <c r="AC1354" i="22" s="1"/>
  <c r="V1354" i="22"/>
  <c r="AB1354" i="22" s="1"/>
  <c r="X1353" i="22"/>
  <c r="AD1353" i="22" s="1"/>
  <c r="W1353" i="22"/>
  <c r="AC1353" i="22" s="1"/>
  <c r="V1353" i="22"/>
  <c r="AB1353" i="22" s="1"/>
  <c r="X1352" i="22"/>
  <c r="AD1352" i="22" s="1"/>
  <c r="W1352" i="22"/>
  <c r="AC1352" i="22" s="1"/>
  <c r="V1352" i="22"/>
  <c r="AB1352" i="22" s="1"/>
  <c r="X1351" i="22"/>
  <c r="AD1351" i="22" s="1"/>
  <c r="W1351" i="22"/>
  <c r="AC1351" i="22" s="1"/>
  <c r="V1351" i="22"/>
  <c r="AB1351" i="22" s="1"/>
  <c r="X1350" i="22"/>
  <c r="AD1350" i="22" s="1"/>
  <c r="W1350" i="22"/>
  <c r="AC1350" i="22" s="1"/>
  <c r="V1350" i="22"/>
  <c r="AB1350" i="22" s="1"/>
  <c r="X1349" i="22"/>
  <c r="AD1349" i="22" s="1"/>
  <c r="W1349" i="22"/>
  <c r="AC1349" i="22" s="1"/>
  <c r="V1349" i="22"/>
  <c r="AB1349" i="22" s="1"/>
  <c r="X1348" i="22"/>
  <c r="AD1348" i="22" s="1"/>
  <c r="W1348" i="22"/>
  <c r="AC1348" i="22" s="1"/>
  <c r="V1348" i="22"/>
  <c r="AB1348" i="22" s="1"/>
  <c r="X1347" i="22"/>
  <c r="AD1347" i="22" s="1"/>
  <c r="W1347" i="22"/>
  <c r="AC1347" i="22" s="1"/>
  <c r="V1347" i="22"/>
  <c r="AB1347" i="22" s="1"/>
  <c r="X1346" i="22"/>
  <c r="AD1346" i="22" s="1"/>
  <c r="W1346" i="22"/>
  <c r="AC1346" i="22" s="1"/>
  <c r="V1346" i="22"/>
  <c r="AB1346" i="22" s="1"/>
  <c r="X1345" i="22"/>
  <c r="AD1345" i="22" s="1"/>
  <c r="W1345" i="22"/>
  <c r="AC1345" i="22" s="1"/>
  <c r="V1345" i="22"/>
  <c r="AB1345" i="22" s="1"/>
  <c r="X1344" i="22"/>
  <c r="AD1344" i="22" s="1"/>
  <c r="W1344" i="22"/>
  <c r="AC1344" i="22" s="1"/>
  <c r="V1344" i="22"/>
  <c r="AB1344" i="22" s="1"/>
  <c r="X1343" i="22"/>
  <c r="AD1343" i="22" s="1"/>
  <c r="W1343" i="22"/>
  <c r="AC1343" i="22" s="1"/>
  <c r="V1343" i="22"/>
  <c r="AB1343" i="22" s="1"/>
  <c r="X1342" i="22"/>
  <c r="AD1342" i="22" s="1"/>
  <c r="W1342" i="22"/>
  <c r="AC1342" i="22" s="1"/>
  <c r="V1342" i="22"/>
  <c r="AB1342" i="22" s="1"/>
  <c r="X1341" i="22"/>
  <c r="AD1341" i="22" s="1"/>
  <c r="W1341" i="22"/>
  <c r="AC1341" i="22" s="1"/>
  <c r="V1341" i="22"/>
  <c r="AB1341" i="22" s="1"/>
  <c r="X1340" i="22"/>
  <c r="AD1340" i="22" s="1"/>
  <c r="W1340" i="22"/>
  <c r="AC1340" i="22" s="1"/>
  <c r="V1340" i="22"/>
  <c r="AB1340" i="22" s="1"/>
  <c r="X1339" i="22"/>
  <c r="AD1339" i="22" s="1"/>
  <c r="W1339" i="22"/>
  <c r="AC1339" i="22" s="1"/>
  <c r="V1339" i="22"/>
  <c r="AB1339" i="22" s="1"/>
  <c r="X1338" i="22"/>
  <c r="AD1338" i="22" s="1"/>
  <c r="W1338" i="22"/>
  <c r="AC1338" i="22" s="1"/>
  <c r="V1338" i="22"/>
  <c r="AB1338" i="22" s="1"/>
  <c r="X1337" i="22"/>
  <c r="AD1337" i="22" s="1"/>
  <c r="W1337" i="22"/>
  <c r="AC1337" i="22" s="1"/>
  <c r="V1337" i="22"/>
  <c r="AB1337" i="22" s="1"/>
  <c r="X1336" i="22"/>
  <c r="AD1336" i="22" s="1"/>
  <c r="W1336" i="22"/>
  <c r="AC1336" i="22" s="1"/>
  <c r="V1336" i="22"/>
  <c r="AB1336" i="22" s="1"/>
  <c r="X1335" i="22"/>
  <c r="AD1335" i="22" s="1"/>
  <c r="W1335" i="22"/>
  <c r="AC1335" i="22" s="1"/>
  <c r="V1335" i="22"/>
  <c r="AB1335" i="22" s="1"/>
  <c r="X1334" i="22"/>
  <c r="AD1334" i="22" s="1"/>
  <c r="W1334" i="22"/>
  <c r="AC1334" i="22" s="1"/>
  <c r="V1334" i="22"/>
  <c r="AB1334" i="22" s="1"/>
  <c r="X1333" i="22"/>
  <c r="AD1333" i="22" s="1"/>
  <c r="W1333" i="22"/>
  <c r="AC1333" i="22" s="1"/>
  <c r="V1333" i="22"/>
  <c r="AB1333" i="22" s="1"/>
  <c r="X1332" i="22"/>
  <c r="AD1332" i="22" s="1"/>
  <c r="W1332" i="22"/>
  <c r="AC1332" i="22" s="1"/>
  <c r="V1332" i="22"/>
  <c r="AB1332" i="22" s="1"/>
  <c r="X1331" i="22"/>
  <c r="AD1331" i="22" s="1"/>
  <c r="W1331" i="22"/>
  <c r="AC1331" i="22" s="1"/>
  <c r="V1331" i="22"/>
  <c r="AB1331" i="22" s="1"/>
  <c r="X1330" i="22"/>
  <c r="AD1330" i="22" s="1"/>
  <c r="W1330" i="22"/>
  <c r="AC1330" i="22" s="1"/>
  <c r="V1330" i="22"/>
  <c r="AB1330" i="22" s="1"/>
  <c r="X1329" i="22"/>
  <c r="AD1329" i="22" s="1"/>
  <c r="W1329" i="22"/>
  <c r="AC1329" i="22" s="1"/>
  <c r="V1329" i="22"/>
  <c r="AB1329" i="22" s="1"/>
  <c r="X1328" i="22"/>
  <c r="AD1328" i="22" s="1"/>
  <c r="W1328" i="22"/>
  <c r="AC1328" i="22" s="1"/>
  <c r="V1328" i="22"/>
  <c r="AB1328" i="22" s="1"/>
  <c r="X1327" i="22"/>
  <c r="AD1327" i="22" s="1"/>
  <c r="W1327" i="22"/>
  <c r="AC1327" i="22" s="1"/>
  <c r="V1327" i="22"/>
  <c r="AB1327" i="22" s="1"/>
  <c r="X1326" i="22"/>
  <c r="AD1326" i="22" s="1"/>
  <c r="W1326" i="22"/>
  <c r="AC1326" i="22" s="1"/>
  <c r="V1326" i="22"/>
  <c r="AB1326" i="22" s="1"/>
  <c r="X1325" i="22"/>
  <c r="AD1325" i="22" s="1"/>
  <c r="W1325" i="22"/>
  <c r="AC1325" i="22" s="1"/>
  <c r="V1325" i="22"/>
  <c r="AB1325" i="22" s="1"/>
  <c r="X1324" i="22"/>
  <c r="AD1324" i="22" s="1"/>
  <c r="W1324" i="22"/>
  <c r="AC1324" i="22" s="1"/>
  <c r="V1324" i="22"/>
  <c r="AB1324" i="22" s="1"/>
  <c r="X1323" i="22"/>
  <c r="AD1323" i="22" s="1"/>
  <c r="W1323" i="22"/>
  <c r="AC1323" i="22" s="1"/>
  <c r="V1323" i="22"/>
  <c r="AB1323" i="22" s="1"/>
  <c r="X1322" i="22"/>
  <c r="AD1322" i="22" s="1"/>
  <c r="W1322" i="22"/>
  <c r="AC1322" i="22" s="1"/>
  <c r="V1322" i="22"/>
  <c r="AB1322" i="22" s="1"/>
  <c r="X1321" i="22"/>
  <c r="AD1321" i="22" s="1"/>
  <c r="W1321" i="22"/>
  <c r="AC1321" i="22" s="1"/>
  <c r="V1321" i="22"/>
  <c r="AB1321" i="22" s="1"/>
  <c r="X1320" i="22"/>
  <c r="AD1320" i="22" s="1"/>
  <c r="W1320" i="22"/>
  <c r="AC1320" i="22" s="1"/>
  <c r="V1320" i="22"/>
  <c r="AB1320" i="22" s="1"/>
  <c r="X1319" i="22"/>
  <c r="AD1319" i="22" s="1"/>
  <c r="W1319" i="22"/>
  <c r="AC1319" i="22" s="1"/>
  <c r="V1319" i="22"/>
  <c r="AB1319" i="22" s="1"/>
  <c r="X1318" i="22"/>
  <c r="AD1318" i="22" s="1"/>
  <c r="W1318" i="22"/>
  <c r="AC1318" i="22" s="1"/>
  <c r="V1318" i="22"/>
  <c r="AB1318" i="22" s="1"/>
  <c r="X1317" i="22"/>
  <c r="AD1317" i="22" s="1"/>
  <c r="W1317" i="22"/>
  <c r="AC1317" i="22" s="1"/>
  <c r="V1317" i="22"/>
  <c r="AB1317" i="22" s="1"/>
  <c r="X1316" i="22"/>
  <c r="AD1316" i="22" s="1"/>
  <c r="W1316" i="22"/>
  <c r="AC1316" i="22" s="1"/>
  <c r="V1316" i="22"/>
  <c r="AB1316" i="22" s="1"/>
  <c r="X1315" i="22"/>
  <c r="AD1315" i="22" s="1"/>
  <c r="W1315" i="22"/>
  <c r="AC1315" i="22" s="1"/>
  <c r="V1315" i="22"/>
  <c r="AB1315" i="22" s="1"/>
  <c r="X1314" i="22"/>
  <c r="AD1314" i="22" s="1"/>
  <c r="W1314" i="22"/>
  <c r="AC1314" i="22" s="1"/>
  <c r="V1314" i="22"/>
  <c r="AB1314" i="22" s="1"/>
  <c r="X1313" i="22"/>
  <c r="AD1313" i="22" s="1"/>
  <c r="W1313" i="22"/>
  <c r="AC1313" i="22" s="1"/>
  <c r="V1313" i="22"/>
  <c r="AB1313" i="22" s="1"/>
  <c r="X1312" i="22"/>
  <c r="AD1312" i="22" s="1"/>
  <c r="W1312" i="22"/>
  <c r="AC1312" i="22" s="1"/>
  <c r="V1312" i="22"/>
  <c r="AB1312" i="22" s="1"/>
  <c r="X1311" i="22"/>
  <c r="AD1311" i="22" s="1"/>
  <c r="W1311" i="22"/>
  <c r="AC1311" i="22" s="1"/>
  <c r="V1311" i="22"/>
  <c r="AB1311" i="22" s="1"/>
  <c r="X1310" i="22"/>
  <c r="AD1310" i="22" s="1"/>
  <c r="W1310" i="22"/>
  <c r="AC1310" i="22" s="1"/>
  <c r="V1310" i="22"/>
  <c r="AB1310" i="22" s="1"/>
  <c r="X1309" i="22"/>
  <c r="AD1309" i="22" s="1"/>
  <c r="W1309" i="22"/>
  <c r="AC1309" i="22" s="1"/>
  <c r="V1309" i="22"/>
  <c r="AB1309" i="22" s="1"/>
  <c r="X1308" i="22"/>
  <c r="AD1308" i="22" s="1"/>
  <c r="W1308" i="22"/>
  <c r="AC1308" i="22" s="1"/>
  <c r="V1308" i="22"/>
  <c r="AB1308" i="22" s="1"/>
  <c r="X1307" i="22"/>
  <c r="AD1307" i="22" s="1"/>
  <c r="W1307" i="22"/>
  <c r="AC1307" i="22" s="1"/>
  <c r="V1307" i="22"/>
  <c r="AB1307" i="22" s="1"/>
  <c r="X1306" i="22"/>
  <c r="AD1306" i="22" s="1"/>
  <c r="W1306" i="22"/>
  <c r="AC1306" i="22" s="1"/>
  <c r="V1306" i="22"/>
  <c r="AB1306" i="22" s="1"/>
  <c r="X1305" i="22"/>
  <c r="AD1305" i="22" s="1"/>
  <c r="W1305" i="22"/>
  <c r="AC1305" i="22" s="1"/>
  <c r="V1305" i="22"/>
  <c r="AB1305" i="22" s="1"/>
  <c r="X1304" i="22"/>
  <c r="AD1304" i="22" s="1"/>
  <c r="W1304" i="22"/>
  <c r="AC1304" i="22" s="1"/>
  <c r="V1304" i="22"/>
  <c r="AB1304" i="22" s="1"/>
  <c r="X1303" i="22"/>
  <c r="AD1303" i="22" s="1"/>
  <c r="W1303" i="22"/>
  <c r="AC1303" i="22" s="1"/>
  <c r="V1303" i="22"/>
  <c r="AB1303" i="22" s="1"/>
  <c r="X1302" i="22"/>
  <c r="AD1302" i="22" s="1"/>
  <c r="W1302" i="22"/>
  <c r="AC1302" i="22" s="1"/>
  <c r="V1302" i="22"/>
  <c r="AB1302" i="22" s="1"/>
  <c r="X1301" i="22"/>
  <c r="AD1301" i="22" s="1"/>
  <c r="W1301" i="22"/>
  <c r="AC1301" i="22" s="1"/>
  <c r="V1301" i="22"/>
  <c r="AB1301" i="22" s="1"/>
  <c r="X1300" i="22"/>
  <c r="AD1300" i="22" s="1"/>
  <c r="W1300" i="22"/>
  <c r="AC1300" i="22" s="1"/>
  <c r="V1300" i="22"/>
  <c r="AB1300" i="22" s="1"/>
  <c r="X1299" i="22"/>
  <c r="AD1299" i="22" s="1"/>
  <c r="W1299" i="22"/>
  <c r="AC1299" i="22" s="1"/>
  <c r="V1299" i="22"/>
  <c r="AB1299" i="22" s="1"/>
  <c r="X1298" i="22"/>
  <c r="AD1298" i="22" s="1"/>
  <c r="W1298" i="22"/>
  <c r="AC1298" i="22" s="1"/>
  <c r="V1298" i="22"/>
  <c r="AB1298" i="22" s="1"/>
  <c r="X1297" i="22"/>
  <c r="AD1297" i="22" s="1"/>
  <c r="W1297" i="22"/>
  <c r="AC1297" i="22" s="1"/>
  <c r="V1297" i="22"/>
  <c r="AB1297" i="22" s="1"/>
  <c r="X1296" i="22"/>
  <c r="AD1296" i="22" s="1"/>
  <c r="W1296" i="22"/>
  <c r="AC1296" i="22" s="1"/>
  <c r="V1296" i="22"/>
  <c r="AB1296" i="22" s="1"/>
  <c r="X1295" i="22"/>
  <c r="AD1295" i="22" s="1"/>
  <c r="W1295" i="22"/>
  <c r="AC1295" i="22" s="1"/>
  <c r="V1295" i="22"/>
  <c r="AB1295" i="22" s="1"/>
  <c r="X1294" i="22"/>
  <c r="AD1294" i="22" s="1"/>
  <c r="W1294" i="22"/>
  <c r="AC1294" i="22" s="1"/>
  <c r="V1294" i="22"/>
  <c r="AB1294" i="22" s="1"/>
  <c r="X1293" i="22"/>
  <c r="AD1293" i="22" s="1"/>
  <c r="W1293" i="22"/>
  <c r="AC1293" i="22" s="1"/>
  <c r="V1293" i="22"/>
  <c r="AB1293" i="22" s="1"/>
  <c r="X1292" i="22"/>
  <c r="AD1292" i="22" s="1"/>
  <c r="W1292" i="22"/>
  <c r="AC1292" i="22" s="1"/>
  <c r="V1292" i="22"/>
  <c r="AB1292" i="22" s="1"/>
  <c r="X1291" i="22"/>
  <c r="AD1291" i="22" s="1"/>
  <c r="W1291" i="22"/>
  <c r="AC1291" i="22" s="1"/>
  <c r="V1291" i="22"/>
  <c r="AB1291" i="22" s="1"/>
  <c r="X1290" i="22"/>
  <c r="AD1290" i="22" s="1"/>
  <c r="W1290" i="22"/>
  <c r="AC1290" i="22" s="1"/>
  <c r="V1290" i="22"/>
  <c r="AB1290" i="22" s="1"/>
  <c r="X1289" i="22"/>
  <c r="AD1289" i="22" s="1"/>
  <c r="W1289" i="22"/>
  <c r="AC1289" i="22" s="1"/>
  <c r="V1289" i="22"/>
  <c r="AB1289" i="22" s="1"/>
  <c r="X1288" i="22"/>
  <c r="AD1288" i="22" s="1"/>
  <c r="W1288" i="22"/>
  <c r="AC1288" i="22" s="1"/>
  <c r="V1288" i="22"/>
  <c r="AB1288" i="22" s="1"/>
  <c r="X1287" i="22"/>
  <c r="AD1287" i="22" s="1"/>
  <c r="W1287" i="22"/>
  <c r="AC1287" i="22" s="1"/>
  <c r="V1287" i="22"/>
  <c r="AB1287" i="22" s="1"/>
  <c r="X1286" i="22"/>
  <c r="AD1286" i="22" s="1"/>
  <c r="W1286" i="22"/>
  <c r="AC1286" i="22" s="1"/>
  <c r="V1286" i="22"/>
  <c r="AB1286" i="22" s="1"/>
  <c r="X1285" i="22"/>
  <c r="AD1285" i="22" s="1"/>
  <c r="W1285" i="22"/>
  <c r="AC1285" i="22" s="1"/>
  <c r="V1285" i="22"/>
  <c r="AB1285" i="22" s="1"/>
  <c r="X1284" i="22"/>
  <c r="AD1284" i="22" s="1"/>
  <c r="W1284" i="22"/>
  <c r="AC1284" i="22" s="1"/>
  <c r="V1284" i="22"/>
  <c r="AB1284" i="22" s="1"/>
  <c r="X1283" i="22"/>
  <c r="AD1283" i="22" s="1"/>
  <c r="W1283" i="22"/>
  <c r="AC1283" i="22" s="1"/>
  <c r="V1283" i="22"/>
  <c r="AB1283" i="22" s="1"/>
  <c r="X1282" i="22"/>
  <c r="AD1282" i="22" s="1"/>
  <c r="W1282" i="22"/>
  <c r="AC1282" i="22" s="1"/>
  <c r="V1282" i="22"/>
  <c r="AB1282" i="22" s="1"/>
  <c r="X1281" i="22"/>
  <c r="AD1281" i="22" s="1"/>
  <c r="W1281" i="22"/>
  <c r="AC1281" i="22" s="1"/>
  <c r="V1281" i="22"/>
  <c r="AB1281" i="22" s="1"/>
  <c r="X1280" i="22"/>
  <c r="AD1280" i="22" s="1"/>
  <c r="W1280" i="22"/>
  <c r="AC1280" i="22" s="1"/>
  <c r="V1280" i="22"/>
  <c r="AB1280" i="22" s="1"/>
  <c r="X1279" i="22"/>
  <c r="AD1279" i="22" s="1"/>
  <c r="W1279" i="22"/>
  <c r="AC1279" i="22" s="1"/>
  <c r="V1279" i="22"/>
  <c r="AB1279" i="22" s="1"/>
  <c r="X1278" i="22"/>
  <c r="AD1278" i="22" s="1"/>
  <c r="W1278" i="22"/>
  <c r="AC1278" i="22" s="1"/>
  <c r="V1278" i="22"/>
  <c r="AB1278" i="22" s="1"/>
  <c r="X1277" i="22"/>
  <c r="AD1277" i="22" s="1"/>
  <c r="W1277" i="22"/>
  <c r="AC1277" i="22" s="1"/>
  <c r="V1277" i="22"/>
  <c r="AB1277" i="22" s="1"/>
  <c r="X1276" i="22"/>
  <c r="AD1276" i="22" s="1"/>
  <c r="W1276" i="22"/>
  <c r="AC1276" i="22" s="1"/>
  <c r="V1276" i="22"/>
  <c r="AB1276" i="22" s="1"/>
  <c r="X1275" i="22"/>
  <c r="AD1275" i="22" s="1"/>
  <c r="W1275" i="22"/>
  <c r="AC1275" i="22" s="1"/>
  <c r="V1275" i="22"/>
  <c r="AB1275" i="22" s="1"/>
  <c r="X1274" i="22"/>
  <c r="AD1274" i="22" s="1"/>
  <c r="W1274" i="22"/>
  <c r="AC1274" i="22" s="1"/>
  <c r="V1274" i="22"/>
  <c r="AB1274" i="22" s="1"/>
  <c r="X1273" i="22"/>
  <c r="AD1273" i="22" s="1"/>
  <c r="W1273" i="22"/>
  <c r="AC1273" i="22" s="1"/>
  <c r="V1273" i="22"/>
  <c r="AB1273" i="22" s="1"/>
  <c r="X1272" i="22"/>
  <c r="AD1272" i="22" s="1"/>
  <c r="W1272" i="22"/>
  <c r="AC1272" i="22" s="1"/>
  <c r="V1272" i="22"/>
  <c r="AB1272" i="22" s="1"/>
  <c r="X1271" i="22"/>
  <c r="AD1271" i="22" s="1"/>
  <c r="W1271" i="22"/>
  <c r="AC1271" i="22" s="1"/>
  <c r="V1271" i="22"/>
  <c r="AB1271" i="22" s="1"/>
  <c r="X1270" i="22"/>
  <c r="AD1270" i="22" s="1"/>
  <c r="W1270" i="22"/>
  <c r="AC1270" i="22" s="1"/>
  <c r="V1270" i="22"/>
  <c r="AB1270" i="22" s="1"/>
  <c r="X1269" i="22"/>
  <c r="AD1269" i="22" s="1"/>
  <c r="W1269" i="22"/>
  <c r="AC1269" i="22" s="1"/>
  <c r="V1269" i="22"/>
  <c r="AB1269" i="22" s="1"/>
  <c r="X1268" i="22"/>
  <c r="AD1268" i="22" s="1"/>
  <c r="W1268" i="22"/>
  <c r="AC1268" i="22" s="1"/>
  <c r="V1268" i="22"/>
  <c r="AB1268" i="22" s="1"/>
  <c r="X1267" i="22"/>
  <c r="AD1267" i="22" s="1"/>
  <c r="W1267" i="22"/>
  <c r="AC1267" i="22" s="1"/>
  <c r="V1267" i="22"/>
  <c r="AB1267" i="22" s="1"/>
  <c r="X1266" i="22"/>
  <c r="AD1266" i="22" s="1"/>
  <c r="W1266" i="22"/>
  <c r="AC1266" i="22" s="1"/>
  <c r="V1266" i="22"/>
  <c r="AB1266" i="22" s="1"/>
  <c r="X1265" i="22"/>
  <c r="AD1265" i="22" s="1"/>
  <c r="W1265" i="22"/>
  <c r="AC1265" i="22" s="1"/>
  <c r="V1265" i="22"/>
  <c r="AB1265" i="22" s="1"/>
  <c r="X1264" i="22"/>
  <c r="AD1264" i="22" s="1"/>
  <c r="W1264" i="22"/>
  <c r="AC1264" i="22" s="1"/>
  <c r="V1264" i="22"/>
  <c r="AB1264" i="22" s="1"/>
  <c r="X1263" i="22"/>
  <c r="AD1263" i="22" s="1"/>
  <c r="W1263" i="22"/>
  <c r="AC1263" i="22" s="1"/>
  <c r="V1263" i="22"/>
  <c r="AB1263" i="22" s="1"/>
  <c r="X1262" i="22"/>
  <c r="AD1262" i="22" s="1"/>
  <c r="W1262" i="22"/>
  <c r="AC1262" i="22" s="1"/>
  <c r="V1262" i="22"/>
  <c r="AB1262" i="22" s="1"/>
  <c r="X1261" i="22"/>
  <c r="AD1261" i="22" s="1"/>
  <c r="W1261" i="22"/>
  <c r="AC1261" i="22" s="1"/>
  <c r="V1261" i="22"/>
  <c r="AB1261" i="22" s="1"/>
  <c r="X1260" i="22"/>
  <c r="AD1260" i="22" s="1"/>
  <c r="W1260" i="22"/>
  <c r="AC1260" i="22" s="1"/>
  <c r="V1260" i="22"/>
  <c r="AB1260" i="22" s="1"/>
  <c r="X1259" i="22"/>
  <c r="AD1259" i="22" s="1"/>
  <c r="W1259" i="22"/>
  <c r="AC1259" i="22" s="1"/>
  <c r="V1259" i="22"/>
  <c r="AB1259" i="22" s="1"/>
  <c r="X1258" i="22"/>
  <c r="AD1258" i="22" s="1"/>
  <c r="W1258" i="22"/>
  <c r="AC1258" i="22" s="1"/>
  <c r="V1258" i="22"/>
  <c r="AB1258" i="22" s="1"/>
  <c r="X1257" i="22"/>
  <c r="AD1257" i="22" s="1"/>
  <c r="W1257" i="22"/>
  <c r="AC1257" i="22" s="1"/>
  <c r="V1257" i="22"/>
  <c r="AB1257" i="22" s="1"/>
  <c r="X1256" i="22"/>
  <c r="AD1256" i="22" s="1"/>
  <c r="W1256" i="22"/>
  <c r="AC1256" i="22" s="1"/>
  <c r="V1256" i="22"/>
  <c r="AB1256" i="22" s="1"/>
  <c r="X1255" i="22"/>
  <c r="AD1255" i="22" s="1"/>
  <c r="W1255" i="22"/>
  <c r="AC1255" i="22" s="1"/>
  <c r="V1255" i="22"/>
  <c r="AB1255" i="22" s="1"/>
  <c r="X1254" i="22"/>
  <c r="AD1254" i="22" s="1"/>
  <c r="W1254" i="22"/>
  <c r="AC1254" i="22" s="1"/>
  <c r="V1254" i="22"/>
  <c r="AB1254" i="22" s="1"/>
  <c r="X1253" i="22"/>
  <c r="AD1253" i="22" s="1"/>
  <c r="W1253" i="22"/>
  <c r="AC1253" i="22" s="1"/>
  <c r="V1253" i="22"/>
  <c r="AB1253" i="22" s="1"/>
  <c r="X1252" i="22"/>
  <c r="AD1252" i="22" s="1"/>
  <c r="W1252" i="22"/>
  <c r="AC1252" i="22" s="1"/>
  <c r="V1252" i="22"/>
  <c r="AB1252" i="22" s="1"/>
  <c r="X1251" i="22"/>
  <c r="AD1251" i="22" s="1"/>
  <c r="W1251" i="22"/>
  <c r="AC1251" i="22" s="1"/>
  <c r="V1251" i="22"/>
  <c r="AB1251" i="22" s="1"/>
  <c r="X1250" i="22"/>
  <c r="AD1250" i="22" s="1"/>
  <c r="W1250" i="22"/>
  <c r="AC1250" i="22" s="1"/>
  <c r="V1250" i="22"/>
  <c r="AB1250" i="22" s="1"/>
  <c r="X1249" i="22"/>
  <c r="AD1249" i="22" s="1"/>
  <c r="W1249" i="22"/>
  <c r="AC1249" i="22" s="1"/>
  <c r="V1249" i="22"/>
  <c r="AB1249" i="22" s="1"/>
  <c r="X1248" i="22"/>
  <c r="AD1248" i="22" s="1"/>
  <c r="W1248" i="22"/>
  <c r="AC1248" i="22" s="1"/>
  <c r="V1248" i="22"/>
  <c r="AB1248" i="22" s="1"/>
  <c r="X1247" i="22"/>
  <c r="AD1247" i="22" s="1"/>
  <c r="W1247" i="22"/>
  <c r="AC1247" i="22" s="1"/>
  <c r="V1247" i="22"/>
  <c r="AB1247" i="22" s="1"/>
  <c r="X1246" i="22"/>
  <c r="AD1246" i="22" s="1"/>
  <c r="W1246" i="22"/>
  <c r="AC1246" i="22" s="1"/>
  <c r="V1246" i="22"/>
  <c r="AB1246" i="22" s="1"/>
  <c r="X1245" i="22"/>
  <c r="AD1245" i="22" s="1"/>
  <c r="W1245" i="22"/>
  <c r="AC1245" i="22" s="1"/>
  <c r="V1245" i="22"/>
  <c r="AB1245" i="22" s="1"/>
  <c r="X1244" i="22"/>
  <c r="AD1244" i="22" s="1"/>
  <c r="W1244" i="22"/>
  <c r="AC1244" i="22" s="1"/>
  <c r="V1244" i="22"/>
  <c r="AB1244" i="22" s="1"/>
  <c r="X1243" i="22"/>
  <c r="AD1243" i="22" s="1"/>
  <c r="W1243" i="22"/>
  <c r="AC1243" i="22" s="1"/>
  <c r="V1243" i="22"/>
  <c r="AB1243" i="22" s="1"/>
  <c r="X1242" i="22"/>
  <c r="AD1242" i="22" s="1"/>
  <c r="W1242" i="22"/>
  <c r="AC1242" i="22" s="1"/>
  <c r="V1242" i="22"/>
  <c r="AB1242" i="22" s="1"/>
  <c r="X1241" i="22"/>
  <c r="AD1241" i="22" s="1"/>
  <c r="W1241" i="22"/>
  <c r="AC1241" i="22" s="1"/>
  <c r="V1241" i="22"/>
  <c r="AB1241" i="22" s="1"/>
  <c r="X1240" i="22"/>
  <c r="AD1240" i="22" s="1"/>
  <c r="W1240" i="22"/>
  <c r="AC1240" i="22" s="1"/>
  <c r="V1240" i="22"/>
  <c r="AB1240" i="22" s="1"/>
  <c r="X1239" i="22"/>
  <c r="AD1239" i="22" s="1"/>
  <c r="W1239" i="22"/>
  <c r="AC1239" i="22" s="1"/>
  <c r="V1239" i="22"/>
  <c r="AB1239" i="22" s="1"/>
  <c r="X1238" i="22"/>
  <c r="AD1238" i="22" s="1"/>
  <c r="W1238" i="22"/>
  <c r="AC1238" i="22" s="1"/>
  <c r="V1238" i="22"/>
  <c r="AB1238" i="22" s="1"/>
  <c r="X1237" i="22"/>
  <c r="AD1237" i="22" s="1"/>
  <c r="W1237" i="22"/>
  <c r="AC1237" i="22" s="1"/>
  <c r="V1237" i="22"/>
  <c r="AB1237" i="22" s="1"/>
  <c r="X1236" i="22"/>
  <c r="AD1236" i="22" s="1"/>
  <c r="W1236" i="22"/>
  <c r="AC1236" i="22" s="1"/>
  <c r="V1236" i="22"/>
  <c r="AB1236" i="22" s="1"/>
  <c r="X1235" i="22"/>
  <c r="AD1235" i="22" s="1"/>
  <c r="W1235" i="22"/>
  <c r="AC1235" i="22" s="1"/>
  <c r="V1235" i="22"/>
  <c r="AB1235" i="22" s="1"/>
  <c r="X1234" i="22"/>
  <c r="AD1234" i="22" s="1"/>
  <c r="W1234" i="22"/>
  <c r="AC1234" i="22" s="1"/>
  <c r="V1234" i="22"/>
  <c r="AB1234" i="22" s="1"/>
  <c r="X1233" i="22"/>
  <c r="AD1233" i="22" s="1"/>
  <c r="W1233" i="22"/>
  <c r="AC1233" i="22" s="1"/>
  <c r="V1233" i="22"/>
  <c r="AB1233" i="22" s="1"/>
  <c r="X1232" i="22"/>
  <c r="AD1232" i="22" s="1"/>
  <c r="W1232" i="22"/>
  <c r="AC1232" i="22" s="1"/>
  <c r="V1232" i="22"/>
  <c r="AB1232" i="22" s="1"/>
  <c r="X1231" i="22"/>
  <c r="AD1231" i="22" s="1"/>
  <c r="W1231" i="22"/>
  <c r="AC1231" i="22" s="1"/>
  <c r="V1231" i="22"/>
  <c r="AB1231" i="22" s="1"/>
  <c r="X1230" i="22"/>
  <c r="AD1230" i="22" s="1"/>
  <c r="W1230" i="22"/>
  <c r="AC1230" i="22" s="1"/>
  <c r="V1230" i="22"/>
  <c r="AB1230" i="22" s="1"/>
  <c r="X1229" i="22"/>
  <c r="AD1229" i="22" s="1"/>
  <c r="W1229" i="22"/>
  <c r="AC1229" i="22" s="1"/>
  <c r="V1229" i="22"/>
  <c r="AB1229" i="22" s="1"/>
  <c r="X1228" i="22"/>
  <c r="AD1228" i="22" s="1"/>
  <c r="W1228" i="22"/>
  <c r="AC1228" i="22" s="1"/>
  <c r="V1228" i="22"/>
  <c r="AB1228" i="22" s="1"/>
  <c r="X1227" i="22"/>
  <c r="AD1227" i="22" s="1"/>
  <c r="W1227" i="22"/>
  <c r="AC1227" i="22" s="1"/>
  <c r="V1227" i="22"/>
  <c r="AB1227" i="22" s="1"/>
  <c r="X1226" i="22"/>
  <c r="AD1226" i="22" s="1"/>
  <c r="W1226" i="22"/>
  <c r="AC1226" i="22" s="1"/>
  <c r="V1226" i="22"/>
  <c r="AB1226" i="22" s="1"/>
  <c r="X1225" i="22"/>
  <c r="AD1225" i="22" s="1"/>
  <c r="W1225" i="22"/>
  <c r="AC1225" i="22" s="1"/>
  <c r="V1225" i="22"/>
  <c r="AB1225" i="22" s="1"/>
  <c r="X1224" i="22"/>
  <c r="AD1224" i="22" s="1"/>
  <c r="W1224" i="22"/>
  <c r="AC1224" i="22" s="1"/>
  <c r="V1224" i="22"/>
  <c r="AB1224" i="22" s="1"/>
  <c r="X1223" i="22"/>
  <c r="AD1223" i="22" s="1"/>
  <c r="W1223" i="22"/>
  <c r="AC1223" i="22" s="1"/>
  <c r="V1223" i="22"/>
  <c r="AB1223" i="22" s="1"/>
  <c r="X1222" i="22"/>
  <c r="AD1222" i="22" s="1"/>
  <c r="W1222" i="22"/>
  <c r="AC1222" i="22" s="1"/>
  <c r="V1222" i="22"/>
  <c r="AB1222" i="22" s="1"/>
  <c r="X1221" i="22"/>
  <c r="AD1221" i="22" s="1"/>
  <c r="W1221" i="22"/>
  <c r="AC1221" i="22" s="1"/>
  <c r="V1221" i="22"/>
  <c r="AB1221" i="22" s="1"/>
  <c r="X1220" i="22"/>
  <c r="AD1220" i="22" s="1"/>
  <c r="W1220" i="22"/>
  <c r="AC1220" i="22" s="1"/>
  <c r="V1220" i="22"/>
  <c r="AB1220" i="22" s="1"/>
  <c r="X1219" i="22"/>
  <c r="AD1219" i="22" s="1"/>
  <c r="W1219" i="22"/>
  <c r="AC1219" i="22" s="1"/>
  <c r="V1219" i="22"/>
  <c r="AB1219" i="22" s="1"/>
  <c r="X1218" i="22"/>
  <c r="AD1218" i="22" s="1"/>
  <c r="W1218" i="22"/>
  <c r="AC1218" i="22" s="1"/>
  <c r="V1218" i="22"/>
  <c r="AB1218" i="22" s="1"/>
  <c r="X1217" i="22"/>
  <c r="AD1217" i="22" s="1"/>
  <c r="W1217" i="22"/>
  <c r="AC1217" i="22" s="1"/>
  <c r="V1217" i="22"/>
  <c r="AB1217" i="22" s="1"/>
  <c r="X1216" i="22"/>
  <c r="AD1216" i="22" s="1"/>
  <c r="W1216" i="22"/>
  <c r="AC1216" i="22" s="1"/>
  <c r="V1216" i="22"/>
  <c r="AB1216" i="22" s="1"/>
  <c r="X1215" i="22"/>
  <c r="AD1215" i="22" s="1"/>
  <c r="W1215" i="22"/>
  <c r="AC1215" i="22" s="1"/>
  <c r="V1215" i="22"/>
  <c r="AB1215" i="22" s="1"/>
  <c r="X1214" i="22"/>
  <c r="AD1214" i="22" s="1"/>
  <c r="W1214" i="22"/>
  <c r="AC1214" i="22" s="1"/>
  <c r="V1214" i="22"/>
  <c r="AB1214" i="22" s="1"/>
  <c r="X1213" i="22"/>
  <c r="AD1213" i="22" s="1"/>
  <c r="W1213" i="22"/>
  <c r="AC1213" i="22" s="1"/>
  <c r="V1213" i="22"/>
  <c r="AB1213" i="22" s="1"/>
  <c r="X1212" i="22"/>
  <c r="AD1212" i="22" s="1"/>
  <c r="W1212" i="22"/>
  <c r="AC1212" i="22" s="1"/>
  <c r="V1212" i="22"/>
  <c r="AB1212" i="22" s="1"/>
  <c r="X1211" i="22"/>
  <c r="AD1211" i="22" s="1"/>
  <c r="W1211" i="22"/>
  <c r="AC1211" i="22" s="1"/>
  <c r="V1211" i="22"/>
  <c r="AB1211" i="22" s="1"/>
  <c r="X1210" i="22"/>
  <c r="AD1210" i="22" s="1"/>
  <c r="W1210" i="22"/>
  <c r="AC1210" i="22" s="1"/>
  <c r="V1210" i="22"/>
  <c r="AB1210" i="22" s="1"/>
  <c r="X1209" i="22"/>
  <c r="AD1209" i="22" s="1"/>
  <c r="W1209" i="22"/>
  <c r="AC1209" i="22" s="1"/>
  <c r="V1209" i="22"/>
  <c r="AB1209" i="22" s="1"/>
  <c r="X1208" i="22"/>
  <c r="AD1208" i="22" s="1"/>
  <c r="W1208" i="22"/>
  <c r="AC1208" i="22" s="1"/>
  <c r="V1208" i="22"/>
  <c r="AB1208" i="22" s="1"/>
  <c r="X1207" i="22"/>
  <c r="AD1207" i="22" s="1"/>
  <c r="W1207" i="22"/>
  <c r="AC1207" i="22" s="1"/>
  <c r="V1207" i="22"/>
  <c r="AB1207" i="22" s="1"/>
  <c r="X1206" i="22"/>
  <c r="AD1206" i="22" s="1"/>
  <c r="W1206" i="22"/>
  <c r="AC1206" i="22" s="1"/>
  <c r="V1206" i="22"/>
  <c r="AB1206" i="22" s="1"/>
  <c r="X1205" i="22"/>
  <c r="AD1205" i="22" s="1"/>
  <c r="W1205" i="22"/>
  <c r="AC1205" i="22" s="1"/>
  <c r="V1205" i="22"/>
  <c r="AB1205" i="22" s="1"/>
  <c r="X1204" i="22"/>
  <c r="AD1204" i="22" s="1"/>
  <c r="W1204" i="22"/>
  <c r="AC1204" i="22" s="1"/>
  <c r="V1204" i="22"/>
  <c r="AB1204" i="22" s="1"/>
  <c r="X1203" i="22"/>
  <c r="AD1203" i="22" s="1"/>
  <c r="W1203" i="22"/>
  <c r="AC1203" i="22" s="1"/>
  <c r="V1203" i="22"/>
  <c r="AB1203" i="22" s="1"/>
  <c r="X1202" i="22"/>
  <c r="AD1202" i="22" s="1"/>
  <c r="W1202" i="22"/>
  <c r="AC1202" i="22" s="1"/>
  <c r="V1202" i="22"/>
  <c r="AB1202" i="22" s="1"/>
  <c r="X1201" i="22"/>
  <c r="AD1201" i="22" s="1"/>
  <c r="W1201" i="22"/>
  <c r="AC1201" i="22" s="1"/>
  <c r="V1201" i="22"/>
  <c r="AB1201" i="22" s="1"/>
  <c r="X1200" i="22"/>
  <c r="AD1200" i="22" s="1"/>
  <c r="W1200" i="22"/>
  <c r="AC1200" i="22" s="1"/>
  <c r="V1200" i="22"/>
  <c r="AB1200" i="22" s="1"/>
  <c r="X1199" i="22"/>
  <c r="AD1199" i="22" s="1"/>
  <c r="W1199" i="22"/>
  <c r="AC1199" i="22" s="1"/>
  <c r="V1199" i="22"/>
  <c r="AB1199" i="22" s="1"/>
  <c r="X1198" i="22"/>
  <c r="AD1198" i="22" s="1"/>
  <c r="W1198" i="22"/>
  <c r="AC1198" i="22" s="1"/>
  <c r="V1198" i="22"/>
  <c r="AB1198" i="22" s="1"/>
  <c r="X1197" i="22"/>
  <c r="AD1197" i="22" s="1"/>
  <c r="W1197" i="22"/>
  <c r="AC1197" i="22" s="1"/>
  <c r="V1197" i="22"/>
  <c r="AB1197" i="22" s="1"/>
  <c r="X1196" i="22"/>
  <c r="AD1196" i="22" s="1"/>
  <c r="W1196" i="22"/>
  <c r="AC1196" i="22" s="1"/>
  <c r="V1196" i="22"/>
  <c r="AB1196" i="22" s="1"/>
  <c r="X1195" i="22"/>
  <c r="AD1195" i="22" s="1"/>
  <c r="W1195" i="22"/>
  <c r="AC1195" i="22" s="1"/>
  <c r="V1195" i="22"/>
  <c r="AB1195" i="22" s="1"/>
  <c r="X1194" i="22"/>
  <c r="AD1194" i="22" s="1"/>
  <c r="W1194" i="22"/>
  <c r="AC1194" i="22" s="1"/>
  <c r="V1194" i="22"/>
  <c r="AB1194" i="22" s="1"/>
  <c r="X1193" i="22"/>
  <c r="AD1193" i="22" s="1"/>
  <c r="W1193" i="22"/>
  <c r="AC1193" i="22" s="1"/>
  <c r="V1193" i="22"/>
  <c r="AB1193" i="22" s="1"/>
  <c r="X1192" i="22"/>
  <c r="AD1192" i="22" s="1"/>
  <c r="W1192" i="22"/>
  <c r="AC1192" i="22" s="1"/>
  <c r="V1192" i="22"/>
  <c r="AB1192" i="22" s="1"/>
  <c r="X1191" i="22"/>
  <c r="AD1191" i="22" s="1"/>
  <c r="W1191" i="22"/>
  <c r="AC1191" i="22" s="1"/>
  <c r="V1191" i="22"/>
  <c r="AB1191" i="22" s="1"/>
  <c r="X1190" i="22"/>
  <c r="AD1190" i="22" s="1"/>
  <c r="W1190" i="22"/>
  <c r="AC1190" i="22" s="1"/>
  <c r="V1190" i="22"/>
  <c r="AB1190" i="22" s="1"/>
  <c r="X1189" i="22"/>
  <c r="AD1189" i="22" s="1"/>
  <c r="W1189" i="22"/>
  <c r="AC1189" i="22" s="1"/>
  <c r="V1189" i="22"/>
  <c r="AB1189" i="22" s="1"/>
  <c r="X1188" i="22"/>
  <c r="AD1188" i="22" s="1"/>
  <c r="W1188" i="22"/>
  <c r="AC1188" i="22" s="1"/>
  <c r="V1188" i="22"/>
  <c r="AB1188" i="22" s="1"/>
  <c r="X1187" i="22"/>
  <c r="AD1187" i="22" s="1"/>
  <c r="W1187" i="22"/>
  <c r="AC1187" i="22" s="1"/>
  <c r="V1187" i="22"/>
  <c r="AB1187" i="22" s="1"/>
  <c r="X1186" i="22"/>
  <c r="AD1186" i="22" s="1"/>
  <c r="W1186" i="22"/>
  <c r="AC1186" i="22" s="1"/>
  <c r="V1186" i="22"/>
  <c r="AB1186" i="22" s="1"/>
  <c r="X1185" i="22"/>
  <c r="AD1185" i="22" s="1"/>
  <c r="W1185" i="22"/>
  <c r="AC1185" i="22" s="1"/>
  <c r="V1185" i="22"/>
  <c r="AB1185" i="22" s="1"/>
  <c r="X1184" i="22"/>
  <c r="AD1184" i="22" s="1"/>
  <c r="W1184" i="22"/>
  <c r="AC1184" i="22" s="1"/>
  <c r="V1184" i="22"/>
  <c r="AB1184" i="22" s="1"/>
  <c r="X1183" i="22"/>
  <c r="AD1183" i="22" s="1"/>
  <c r="W1183" i="22"/>
  <c r="AC1183" i="22" s="1"/>
  <c r="V1183" i="22"/>
  <c r="AB1183" i="22" s="1"/>
  <c r="X1182" i="22"/>
  <c r="AD1182" i="22" s="1"/>
  <c r="W1182" i="22"/>
  <c r="AC1182" i="22" s="1"/>
  <c r="V1182" i="22"/>
  <c r="AB1182" i="22" s="1"/>
  <c r="X1181" i="22"/>
  <c r="AD1181" i="22" s="1"/>
  <c r="W1181" i="22"/>
  <c r="AC1181" i="22" s="1"/>
  <c r="V1181" i="22"/>
  <c r="AB1181" i="22" s="1"/>
  <c r="X1180" i="22"/>
  <c r="AD1180" i="22" s="1"/>
  <c r="W1180" i="22"/>
  <c r="AC1180" i="22" s="1"/>
  <c r="V1180" i="22"/>
  <c r="AB1180" i="22" s="1"/>
  <c r="X1179" i="22"/>
  <c r="AD1179" i="22" s="1"/>
  <c r="W1179" i="22"/>
  <c r="AC1179" i="22" s="1"/>
  <c r="V1179" i="22"/>
  <c r="AB1179" i="22" s="1"/>
  <c r="X1178" i="22"/>
  <c r="AD1178" i="22" s="1"/>
  <c r="W1178" i="22"/>
  <c r="AC1178" i="22" s="1"/>
  <c r="V1178" i="22"/>
  <c r="AB1178" i="22" s="1"/>
  <c r="X1177" i="22"/>
  <c r="AD1177" i="22" s="1"/>
  <c r="W1177" i="22"/>
  <c r="AC1177" i="22" s="1"/>
  <c r="V1177" i="22"/>
  <c r="AB1177" i="22" s="1"/>
  <c r="X1176" i="22"/>
  <c r="AD1176" i="22" s="1"/>
  <c r="W1176" i="22"/>
  <c r="AC1176" i="22" s="1"/>
  <c r="V1176" i="22"/>
  <c r="AB1176" i="22" s="1"/>
  <c r="X1175" i="22"/>
  <c r="AD1175" i="22" s="1"/>
  <c r="W1175" i="22"/>
  <c r="AC1175" i="22" s="1"/>
  <c r="V1175" i="22"/>
  <c r="AB1175" i="22" s="1"/>
  <c r="X1174" i="22"/>
  <c r="AD1174" i="22" s="1"/>
  <c r="W1174" i="22"/>
  <c r="AC1174" i="22" s="1"/>
  <c r="V1174" i="22"/>
  <c r="AB1174" i="22" s="1"/>
  <c r="X1173" i="22"/>
  <c r="AD1173" i="22" s="1"/>
  <c r="W1173" i="22"/>
  <c r="AC1173" i="22" s="1"/>
  <c r="V1173" i="22"/>
  <c r="AB1173" i="22" s="1"/>
  <c r="X1172" i="22"/>
  <c r="AD1172" i="22" s="1"/>
  <c r="W1172" i="22"/>
  <c r="AC1172" i="22" s="1"/>
  <c r="V1172" i="22"/>
  <c r="AB1172" i="22" s="1"/>
  <c r="X1171" i="22"/>
  <c r="AD1171" i="22" s="1"/>
  <c r="W1171" i="22"/>
  <c r="AC1171" i="22" s="1"/>
  <c r="V1171" i="22"/>
  <c r="AB1171" i="22" s="1"/>
  <c r="X1170" i="22"/>
  <c r="AD1170" i="22" s="1"/>
  <c r="W1170" i="22"/>
  <c r="AC1170" i="22" s="1"/>
  <c r="V1170" i="22"/>
  <c r="AB1170" i="22" s="1"/>
  <c r="X1169" i="22"/>
  <c r="AD1169" i="22" s="1"/>
  <c r="W1169" i="22"/>
  <c r="AC1169" i="22" s="1"/>
  <c r="V1169" i="22"/>
  <c r="AB1169" i="22" s="1"/>
  <c r="X1168" i="22"/>
  <c r="AD1168" i="22" s="1"/>
  <c r="W1168" i="22"/>
  <c r="AC1168" i="22" s="1"/>
  <c r="V1168" i="22"/>
  <c r="AB1168" i="22" s="1"/>
  <c r="X1167" i="22"/>
  <c r="AD1167" i="22" s="1"/>
  <c r="W1167" i="22"/>
  <c r="AC1167" i="22" s="1"/>
  <c r="V1167" i="22"/>
  <c r="AB1167" i="22" s="1"/>
  <c r="X1166" i="22"/>
  <c r="AD1166" i="22" s="1"/>
  <c r="W1166" i="22"/>
  <c r="AC1166" i="22" s="1"/>
  <c r="V1166" i="22"/>
  <c r="AB1166" i="22" s="1"/>
  <c r="X1165" i="22"/>
  <c r="AD1165" i="22" s="1"/>
  <c r="W1165" i="22"/>
  <c r="AC1165" i="22" s="1"/>
  <c r="V1165" i="22"/>
  <c r="AB1165" i="22" s="1"/>
  <c r="X1164" i="22"/>
  <c r="AD1164" i="22" s="1"/>
  <c r="W1164" i="22"/>
  <c r="AC1164" i="22" s="1"/>
  <c r="V1164" i="22"/>
  <c r="AB1164" i="22" s="1"/>
  <c r="X1163" i="22"/>
  <c r="AD1163" i="22" s="1"/>
  <c r="W1163" i="22"/>
  <c r="AC1163" i="22" s="1"/>
  <c r="V1163" i="22"/>
  <c r="AB1163" i="22" s="1"/>
  <c r="X1162" i="22"/>
  <c r="AD1162" i="22" s="1"/>
  <c r="W1162" i="22"/>
  <c r="AC1162" i="22" s="1"/>
  <c r="V1162" i="22"/>
  <c r="AB1162" i="22" s="1"/>
  <c r="X1161" i="22"/>
  <c r="AD1161" i="22" s="1"/>
  <c r="W1161" i="22"/>
  <c r="AC1161" i="22" s="1"/>
  <c r="V1161" i="22"/>
  <c r="AB1161" i="22" s="1"/>
  <c r="X1160" i="22"/>
  <c r="AD1160" i="22" s="1"/>
  <c r="W1160" i="22"/>
  <c r="AC1160" i="22" s="1"/>
  <c r="V1160" i="22"/>
  <c r="AB1160" i="22" s="1"/>
  <c r="X1159" i="22"/>
  <c r="AD1159" i="22" s="1"/>
  <c r="W1159" i="22"/>
  <c r="AC1159" i="22" s="1"/>
  <c r="V1159" i="22"/>
  <c r="AB1159" i="22" s="1"/>
  <c r="X1158" i="22"/>
  <c r="AD1158" i="22" s="1"/>
  <c r="W1158" i="22"/>
  <c r="AC1158" i="22" s="1"/>
  <c r="V1158" i="22"/>
  <c r="AB1158" i="22" s="1"/>
  <c r="X1157" i="22"/>
  <c r="AD1157" i="22" s="1"/>
  <c r="W1157" i="22"/>
  <c r="AC1157" i="22" s="1"/>
  <c r="V1157" i="22"/>
  <c r="AB1157" i="22" s="1"/>
  <c r="X1156" i="22"/>
  <c r="AD1156" i="22" s="1"/>
  <c r="W1156" i="22"/>
  <c r="AC1156" i="22" s="1"/>
  <c r="V1156" i="22"/>
  <c r="AB1156" i="22" s="1"/>
  <c r="X1155" i="22"/>
  <c r="AD1155" i="22" s="1"/>
  <c r="W1155" i="22"/>
  <c r="AC1155" i="22" s="1"/>
  <c r="V1155" i="22"/>
  <c r="AB1155" i="22" s="1"/>
  <c r="X1154" i="22"/>
  <c r="AD1154" i="22" s="1"/>
  <c r="W1154" i="22"/>
  <c r="AC1154" i="22" s="1"/>
  <c r="V1154" i="22"/>
  <c r="AB1154" i="22" s="1"/>
  <c r="X1153" i="22"/>
  <c r="AD1153" i="22" s="1"/>
  <c r="W1153" i="22"/>
  <c r="AC1153" i="22" s="1"/>
  <c r="V1153" i="22"/>
  <c r="AB1153" i="22" s="1"/>
  <c r="X1152" i="22"/>
  <c r="AD1152" i="22" s="1"/>
  <c r="W1152" i="22"/>
  <c r="AC1152" i="22" s="1"/>
  <c r="V1152" i="22"/>
  <c r="AB1152" i="22" s="1"/>
  <c r="X1151" i="22"/>
  <c r="AD1151" i="22" s="1"/>
  <c r="W1151" i="22"/>
  <c r="AC1151" i="22" s="1"/>
  <c r="V1151" i="22"/>
  <c r="AB1151" i="22" s="1"/>
  <c r="X1150" i="22"/>
  <c r="AD1150" i="22" s="1"/>
  <c r="W1150" i="22"/>
  <c r="AC1150" i="22" s="1"/>
  <c r="V1150" i="22"/>
  <c r="AB1150" i="22" s="1"/>
  <c r="X1149" i="22"/>
  <c r="AD1149" i="22" s="1"/>
  <c r="W1149" i="22"/>
  <c r="AC1149" i="22" s="1"/>
  <c r="V1149" i="22"/>
  <c r="AB1149" i="22" s="1"/>
  <c r="X1148" i="22"/>
  <c r="AD1148" i="22" s="1"/>
  <c r="W1148" i="22"/>
  <c r="AC1148" i="22" s="1"/>
  <c r="V1148" i="22"/>
  <c r="AB1148" i="22" s="1"/>
  <c r="X1147" i="22"/>
  <c r="AD1147" i="22" s="1"/>
  <c r="W1147" i="22"/>
  <c r="AC1147" i="22" s="1"/>
  <c r="V1147" i="22"/>
  <c r="AB1147" i="22" s="1"/>
  <c r="X1146" i="22"/>
  <c r="AD1146" i="22" s="1"/>
  <c r="W1146" i="22"/>
  <c r="AC1146" i="22" s="1"/>
  <c r="V1146" i="22"/>
  <c r="AB1146" i="22" s="1"/>
  <c r="X1145" i="22"/>
  <c r="AD1145" i="22" s="1"/>
  <c r="W1145" i="22"/>
  <c r="AC1145" i="22" s="1"/>
  <c r="V1145" i="22"/>
  <c r="AB1145" i="22" s="1"/>
  <c r="X1144" i="22"/>
  <c r="AD1144" i="22" s="1"/>
  <c r="W1144" i="22"/>
  <c r="AC1144" i="22" s="1"/>
  <c r="V1144" i="22"/>
  <c r="AB1144" i="22" s="1"/>
  <c r="X1143" i="22"/>
  <c r="AD1143" i="22" s="1"/>
  <c r="W1143" i="22"/>
  <c r="AC1143" i="22" s="1"/>
  <c r="V1143" i="22"/>
  <c r="AB1143" i="22" s="1"/>
  <c r="X1142" i="22"/>
  <c r="AD1142" i="22" s="1"/>
  <c r="W1142" i="22"/>
  <c r="AC1142" i="22" s="1"/>
  <c r="V1142" i="22"/>
  <c r="AB1142" i="22" s="1"/>
  <c r="X1141" i="22"/>
  <c r="AD1141" i="22" s="1"/>
  <c r="W1141" i="22"/>
  <c r="AC1141" i="22" s="1"/>
  <c r="V1141" i="22"/>
  <c r="AB1141" i="22" s="1"/>
  <c r="X1140" i="22"/>
  <c r="AD1140" i="22" s="1"/>
  <c r="W1140" i="22"/>
  <c r="AC1140" i="22" s="1"/>
  <c r="V1140" i="22"/>
  <c r="AB1140" i="22" s="1"/>
  <c r="X1139" i="22"/>
  <c r="AD1139" i="22" s="1"/>
  <c r="W1139" i="22"/>
  <c r="AC1139" i="22" s="1"/>
  <c r="V1139" i="22"/>
  <c r="AB1139" i="22" s="1"/>
  <c r="X1138" i="22"/>
  <c r="AD1138" i="22" s="1"/>
  <c r="W1138" i="22"/>
  <c r="AC1138" i="22" s="1"/>
  <c r="V1138" i="22"/>
  <c r="AB1138" i="22" s="1"/>
  <c r="X1137" i="22"/>
  <c r="AD1137" i="22" s="1"/>
  <c r="W1137" i="22"/>
  <c r="AC1137" i="22" s="1"/>
  <c r="V1137" i="22"/>
  <c r="AB1137" i="22" s="1"/>
  <c r="X1136" i="22"/>
  <c r="AD1136" i="22" s="1"/>
  <c r="W1136" i="22"/>
  <c r="AC1136" i="22" s="1"/>
  <c r="V1136" i="22"/>
  <c r="AB1136" i="22" s="1"/>
  <c r="X1135" i="22"/>
  <c r="AD1135" i="22" s="1"/>
  <c r="W1135" i="22"/>
  <c r="AC1135" i="22" s="1"/>
  <c r="V1135" i="22"/>
  <c r="AB1135" i="22" s="1"/>
  <c r="X1134" i="22"/>
  <c r="AD1134" i="22" s="1"/>
  <c r="W1134" i="22"/>
  <c r="AC1134" i="22" s="1"/>
  <c r="V1134" i="22"/>
  <c r="AB1134" i="22" s="1"/>
  <c r="X1133" i="22"/>
  <c r="AD1133" i="22" s="1"/>
  <c r="W1133" i="22"/>
  <c r="AC1133" i="22" s="1"/>
  <c r="V1133" i="22"/>
  <c r="AB1133" i="22" s="1"/>
  <c r="X1132" i="22"/>
  <c r="AD1132" i="22" s="1"/>
  <c r="W1132" i="22"/>
  <c r="AC1132" i="22" s="1"/>
  <c r="V1132" i="22"/>
  <c r="AB1132" i="22" s="1"/>
  <c r="X1131" i="22"/>
  <c r="AD1131" i="22" s="1"/>
  <c r="W1131" i="22"/>
  <c r="AC1131" i="22" s="1"/>
  <c r="V1131" i="22"/>
  <c r="AB1131" i="22" s="1"/>
  <c r="X1130" i="22"/>
  <c r="AD1130" i="22" s="1"/>
  <c r="W1130" i="22"/>
  <c r="AC1130" i="22" s="1"/>
  <c r="V1130" i="22"/>
  <c r="AB1130" i="22" s="1"/>
  <c r="X1129" i="22"/>
  <c r="AD1129" i="22" s="1"/>
  <c r="W1129" i="22"/>
  <c r="AC1129" i="22" s="1"/>
  <c r="V1129" i="22"/>
  <c r="AB1129" i="22" s="1"/>
  <c r="X1128" i="22"/>
  <c r="AD1128" i="22" s="1"/>
  <c r="W1128" i="22"/>
  <c r="AC1128" i="22" s="1"/>
  <c r="V1128" i="22"/>
  <c r="AB1128" i="22" s="1"/>
  <c r="X1127" i="22"/>
  <c r="AD1127" i="22" s="1"/>
  <c r="W1127" i="22"/>
  <c r="AC1127" i="22" s="1"/>
  <c r="V1127" i="22"/>
  <c r="AB1127" i="22" s="1"/>
  <c r="X1126" i="22"/>
  <c r="AD1126" i="22" s="1"/>
  <c r="W1126" i="22"/>
  <c r="AC1126" i="22" s="1"/>
  <c r="V1126" i="22"/>
  <c r="AB1126" i="22" s="1"/>
  <c r="X1125" i="22"/>
  <c r="AD1125" i="22" s="1"/>
  <c r="W1125" i="22"/>
  <c r="AC1125" i="22" s="1"/>
  <c r="V1125" i="22"/>
  <c r="AB1125" i="22" s="1"/>
  <c r="X1124" i="22"/>
  <c r="AD1124" i="22" s="1"/>
  <c r="W1124" i="22"/>
  <c r="AC1124" i="22" s="1"/>
  <c r="V1124" i="22"/>
  <c r="AB1124" i="22" s="1"/>
  <c r="X1123" i="22"/>
  <c r="AD1123" i="22" s="1"/>
  <c r="W1123" i="22"/>
  <c r="AC1123" i="22" s="1"/>
  <c r="V1123" i="22"/>
  <c r="AB1123" i="22" s="1"/>
  <c r="X1122" i="22"/>
  <c r="AD1122" i="22" s="1"/>
  <c r="W1122" i="22"/>
  <c r="AC1122" i="22" s="1"/>
  <c r="V1122" i="22"/>
  <c r="AB1122" i="22" s="1"/>
  <c r="X1121" i="22"/>
  <c r="AD1121" i="22" s="1"/>
  <c r="W1121" i="22"/>
  <c r="AC1121" i="22" s="1"/>
  <c r="V1121" i="22"/>
  <c r="AB1121" i="22" s="1"/>
  <c r="X1120" i="22"/>
  <c r="AD1120" i="22" s="1"/>
  <c r="W1120" i="22"/>
  <c r="AC1120" i="22" s="1"/>
  <c r="V1120" i="22"/>
  <c r="AB1120" i="22" s="1"/>
  <c r="X1119" i="22"/>
  <c r="AD1119" i="22" s="1"/>
  <c r="W1119" i="22"/>
  <c r="AC1119" i="22" s="1"/>
  <c r="V1119" i="22"/>
  <c r="AB1119" i="22" s="1"/>
  <c r="X1118" i="22"/>
  <c r="AD1118" i="22" s="1"/>
  <c r="W1118" i="22"/>
  <c r="AC1118" i="22" s="1"/>
  <c r="V1118" i="22"/>
  <c r="AB1118" i="22" s="1"/>
  <c r="X1117" i="22"/>
  <c r="AD1117" i="22" s="1"/>
  <c r="W1117" i="22"/>
  <c r="AC1117" i="22" s="1"/>
  <c r="V1117" i="22"/>
  <c r="AB1117" i="22" s="1"/>
  <c r="X1116" i="22"/>
  <c r="AD1116" i="22" s="1"/>
  <c r="W1116" i="22"/>
  <c r="AC1116" i="22" s="1"/>
  <c r="V1116" i="22"/>
  <c r="AB1116" i="22" s="1"/>
  <c r="X1115" i="22"/>
  <c r="AD1115" i="22" s="1"/>
  <c r="W1115" i="22"/>
  <c r="AC1115" i="22" s="1"/>
  <c r="V1115" i="22"/>
  <c r="AB1115" i="22" s="1"/>
  <c r="X1114" i="22"/>
  <c r="AD1114" i="22" s="1"/>
  <c r="W1114" i="22"/>
  <c r="AC1114" i="22" s="1"/>
  <c r="V1114" i="22"/>
  <c r="AB1114" i="22" s="1"/>
  <c r="X1113" i="22"/>
  <c r="AD1113" i="22" s="1"/>
  <c r="W1113" i="22"/>
  <c r="AC1113" i="22" s="1"/>
  <c r="V1113" i="22"/>
  <c r="AB1113" i="22" s="1"/>
  <c r="X1112" i="22"/>
  <c r="AD1112" i="22" s="1"/>
  <c r="W1112" i="22"/>
  <c r="AC1112" i="22" s="1"/>
  <c r="V1112" i="22"/>
  <c r="AB1112" i="22" s="1"/>
  <c r="X1111" i="22"/>
  <c r="AD1111" i="22" s="1"/>
  <c r="W1111" i="22"/>
  <c r="AC1111" i="22" s="1"/>
  <c r="V1111" i="22"/>
  <c r="AB1111" i="22" s="1"/>
  <c r="X1110" i="22"/>
  <c r="AD1110" i="22" s="1"/>
  <c r="W1110" i="22"/>
  <c r="AC1110" i="22" s="1"/>
  <c r="V1110" i="22"/>
  <c r="AB1110" i="22" s="1"/>
  <c r="X1109" i="22"/>
  <c r="AD1109" i="22" s="1"/>
  <c r="W1109" i="22"/>
  <c r="AC1109" i="22" s="1"/>
  <c r="V1109" i="22"/>
  <c r="AB1109" i="22" s="1"/>
  <c r="X1108" i="22"/>
  <c r="AD1108" i="22" s="1"/>
  <c r="W1108" i="22"/>
  <c r="AC1108" i="22" s="1"/>
  <c r="V1108" i="22"/>
  <c r="AB1108" i="22" s="1"/>
  <c r="X1107" i="22"/>
  <c r="AD1107" i="22" s="1"/>
  <c r="W1107" i="22"/>
  <c r="AC1107" i="22" s="1"/>
  <c r="V1107" i="22"/>
  <c r="AB1107" i="22" s="1"/>
  <c r="X1106" i="22"/>
  <c r="AD1106" i="22" s="1"/>
  <c r="W1106" i="22"/>
  <c r="AC1106" i="22" s="1"/>
  <c r="V1106" i="22"/>
  <c r="AB1106" i="22" s="1"/>
  <c r="X1105" i="22"/>
  <c r="AD1105" i="22" s="1"/>
  <c r="W1105" i="22"/>
  <c r="AC1105" i="22" s="1"/>
  <c r="V1105" i="22"/>
  <c r="AB1105" i="22" s="1"/>
  <c r="X1104" i="22"/>
  <c r="AD1104" i="22" s="1"/>
  <c r="W1104" i="22"/>
  <c r="AC1104" i="22" s="1"/>
  <c r="V1104" i="22"/>
  <c r="AB1104" i="22" s="1"/>
  <c r="X1103" i="22"/>
  <c r="AD1103" i="22" s="1"/>
  <c r="W1103" i="22"/>
  <c r="AC1103" i="22" s="1"/>
  <c r="V1103" i="22"/>
  <c r="AB1103" i="22" s="1"/>
  <c r="X1102" i="22"/>
  <c r="AD1102" i="22" s="1"/>
  <c r="W1102" i="22"/>
  <c r="AC1102" i="22" s="1"/>
  <c r="V1102" i="22"/>
  <c r="AB1102" i="22" s="1"/>
  <c r="X1101" i="22"/>
  <c r="AD1101" i="22" s="1"/>
  <c r="W1101" i="22"/>
  <c r="AC1101" i="22" s="1"/>
  <c r="V1101" i="22"/>
  <c r="AB1101" i="22" s="1"/>
  <c r="X1100" i="22"/>
  <c r="AD1100" i="22" s="1"/>
  <c r="W1100" i="22"/>
  <c r="AC1100" i="22" s="1"/>
  <c r="V1100" i="22"/>
  <c r="AB1100" i="22" s="1"/>
  <c r="X1099" i="22"/>
  <c r="AD1099" i="22" s="1"/>
  <c r="W1099" i="22"/>
  <c r="AC1099" i="22" s="1"/>
  <c r="V1099" i="22"/>
  <c r="AB1099" i="22" s="1"/>
  <c r="X1098" i="22"/>
  <c r="AD1098" i="22" s="1"/>
  <c r="W1098" i="22"/>
  <c r="AC1098" i="22" s="1"/>
  <c r="V1098" i="22"/>
  <c r="AB1098" i="22" s="1"/>
  <c r="X1097" i="22"/>
  <c r="AD1097" i="22" s="1"/>
  <c r="W1097" i="22"/>
  <c r="AC1097" i="22" s="1"/>
  <c r="V1097" i="22"/>
  <c r="AB1097" i="22" s="1"/>
  <c r="X1096" i="22"/>
  <c r="AD1096" i="22" s="1"/>
  <c r="W1096" i="22"/>
  <c r="AC1096" i="22" s="1"/>
  <c r="V1096" i="22"/>
  <c r="AB1096" i="22" s="1"/>
  <c r="X1095" i="22"/>
  <c r="AD1095" i="22" s="1"/>
  <c r="W1095" i="22"/>
  <c r="AC1095" i="22" s="1"/>
  <c r="V1095" i="22"/>
  <c r="AB1095" i="22" s="1"/>
  <c r="X1094" i="22"/>
  <c r="AD1094" i="22" s="1"/>
  <c r="W1094" i="22"/>
  <c r="AC1094" i="22" s="1"/>
  <c r="V1094" i="22"/>
  <c r="AB1094" i="22" s="1"/>
  <c r="X1093" i="22"/>
  <c r="AD1093" i="22" s="1"/>
  <c r="W1093" i="22"/>
  <c r="AC1093" i="22" s="1"/>
  <c r="V1093" i="22"/>
  <c r="AB1093" i="22" s="1"/>
  <c r="X1092" i="22"/>
  <c r="AD1092" i="22" s="1"/>
  <c r="W1092" i="22"/>
  <c r="AC1092" i="22" s="1"/>
  <c r="V1092" i="22"/>
  <c r="AB1092" i="22" s="1"/>
  <c r="X1091" i="22"/>
  <c r="AD1091" i="22" s="1"/>
  <c r="W1091" i="22"/>
  <c r="AC1091" i="22" s="1"/>
  <c r="V1091" i="22"/>
  <c r="AB1091" i="22" s="1"/>
  <c r="X1090" i="22"/>
  <c r="AD1090" i="22" s="1"/>
  <c r="W1090" i="22"/>
  <c r="AC1090" i="22" s="1"/>
  <c r="V1090" i="22"/>
  <c r="AB1090" i="22" s="1"/>
  <c r="X1089" i="22"/>
  <c r="AD1089" i="22" s="1"/>
  <c r="W1089" i="22"/>
  <c r="AC1089" i="22" s="1"/>
  <c r="V1089" i="22"/>
  <c r="AB1089" i="22" s="1"/>
  <c r="X1088" i="22"/>
  <c r="AD1088" i="22" s="1"/>
  <c r="W1088" i="22"/>
  <c r="AC1088" i="22" s="1"/>
  <c r="V1088" i="22"/>
  <c r="AB1088" i="22" s="1"/>
  <c r="X1087" i="22"/>
  <c r="AD1087" i="22" s="1"/>
  <c r="W1087" i="22"/>
  <c r="AC1087" i="22" s="1"/>
  <c r="V1087" i="22"/>
  <c r="AB1087" i="22" s="1"/>
  <c r="X1086" i="22"/>
  <c r="AD1086" i="22" s="1"/>
  <c r="W1086" i="22"/>
  <c r="AC1086" i="22" s="1"/>
  <c r="V1086" i="22"/>
  <c r="AB1086" i="22" s="1"/>
  <c r="X1085" i="22"/>
  <c r="AD1085" i="22" s="1"/>
  <c r="W1085" i="22"/>
  <c r="AC1085" i="22" s="1"/>
  <c r="V1085" i="22"/>
  <c r="AB1085" i="22" s="1"/>
  <c r="X1084" i="22"/>
  <c r="AD1084" i="22" s="1"/>
  <c r="W1084" i="22"/>
  <c r="AC1084" i="22" s="1"/>
  <c r="V1084" i="22"/>
  <c r="AB1084" i="22" s="1"/>
  <c r="X1083" i="22"/>
  <c r="AD1083" i="22" s="1"/>
  <c r="W1083" i="22"/>
  <c r="AC1083" i="22" s="1"/>
  <c r="V1083" i="22"/>
  <c r="AB1083" i="22" s="1"/>
  <c r="X1082" i="22"/>
  <c r="AD1082" i="22" s="1"/>
  <c r="W1082" i="22"/>
  <c r="AC1082" i="22" s="1"/>
  <c r="V1082" i="22"/>
  <c r="AB1082" i="22" s="1"/>
  <c r="X1081" i="22"/>
  <c r="AD1081" i="22" s="1"/>
  <c r="W1081" i="22"/>
  <c r="AC1081" i="22" s="1"/>
  <c r="V1081" i="22"/>
  <c r="AB1081" i="22" s="1"/>
  <c r="X1080" i="22"/>
  <c r="AD1080" i="22" s="1"/>
  <c r="W1080" i="22"/>
  <c r="AC1080" i="22" s="1"/>
  <c r="V1080" i="22"/>
  <c r="AB1080" i="22" s="1"/>
  <c r="X1079" i="22"/>
  <c r="AD1079" i="22" s="1"/>
  <c r="W1079" i="22"/>
  <c r="AC1079" i="22" s="1"/>
  <c r="V1079" i="22"/>
  <c r="AB1079" i="22" s="1"/>
  <c r="X1078" i="22"/>
  <c r="AD1078" i="22" s="1"/>
  <c r="W1078" i="22"/>
  <c r="AC1078" i="22" s="1"/>
  <c r="V1078" i="22"/>
  <c r="AB1078" i="22" s="1"/>
  <c r="X1077" i="22"/>
  <c r="AD1077" i="22" s="1"/>
  <c r="W1077" i="22"/>
  <c r="AC1077" i="22" s="1"/>
  <c r="V1077" i="22"/>
  <c r="AB1077" i="22" s="1"/>
  <c r="X1076" i="22"/>
  <c r="AD1076" i="22" s="1"/>
  <c r="W1076" i="22"/>
  <c r="AC1076" i="22" s="1"/>
  <c r="V1076" i="22"/>
  <c r="AB1076" i="22" s="1"/>
  <c r="X1075" i="22"/>
  <c r="AD1075" i="22" s="1"/>
  <c r="W1075" i="22"/>
  <c r="AC1075" i="22" s="1"/>
  <c r="V1075" i="22"/>
  <c r="AB1075" i="22" s="1"/>
  <c r="X1074" i="22"/>
  <c r="AD1074" i="22" s="1"/>
  <c r="W1074" i="22"/>
  <c r="AC1074" i="22" s="1"/>
  <c r="V1074" i="22"/>
  <c r="AB1074" i="22" s="1"/>
  <c r="X1073" i="22"/>
  <c r="AD1073" i="22" s="1"/>
  <c r="W1073" i="22"/>
  <c r="AC1073" i="22" s="1"/>
  <c r="V1073" i="22"/>
  <c r="AB1073" i="22" s="1"/>
  <c r="X1072" i="22"/>
  <c r="AD1072" i="22" s="1"/>
  <c r="W1072" i="22"/>
  <c r="AC1072" i="22" s="1"/>
  <c r="V1072" i="22"/>
  <c r="AB1072" i="22" s="1"/>
  <c r="X1071" i="22"/>
  <c r="AD1071" i="22" s="1"/>
  <c r="W1071" i="22"/>
  <c r="AC1071" i="22" s="1"/>
  <c r="V1071" i="22"/>
  <c r="AB1071" i="22" s="1"/>
  <c r="X1070" i="22"/>
  <c r="AD1070" i="22" s="1"/>
  <c r="W1070" i="22"/>
  <c r="AC1070" i="22" s="1"/>
  <c r="V1070" i="22"/>
  <c r="AB1070" i="22" s="1"/>
  <c r="X1069" i="22"/>
  <c r="AD1069" i="22" s="1"/>
  <c r="W1069" i="22"/>
  <c r="AC1069" i="22" s="1"/>
  <c r="V1069" i="22"/>
  <c r="AB1069" i="22" s="1"/>
  <c r="X1068" i="22"/>
  <c r="AD1068" i="22" s="1"/>
  <c r="W1068" i="22"/>
  <c r="AC1068" i="22" s="1"/>
  <c r="V1068" i="22"/>
  <c r="AB1068" i="22" s="1"/>
  <c r="X1067" i="22"/>
  <c r="AD1067" i="22" s="1"/>
  <c r="W1067" i="22"/>
  <c r="AC1067" i="22" s="1"/>
  <c r="V1067" i="22"/>
  <c r="AB1067" i="22" s="1"/>
  <c r="X1066" i="22"/>
  <c r="AD1066" i="22" s="1"/>
  <c r="W1066" i="22"/>
  <c r="AC1066" i="22" s="1"/>
  <c r="V1066" i="22"/>
  <c r="AB1066" i="22" s="1"/>
  <c r="X1065" i="22"/>
  <c r="AD1065" i="22" s="1"/>
  <c r="W1065" i="22"/>
  <c r="AC1065" i="22" s="1"/>
  <c r="V1065" i="22"/>
  <c r="AB1065" i="22" s="1"/>
  <c r="X1064" i="22"/>
  <c r="AD1064" i="22" s="1"/>
  <c r="W1064" i="22"/>
  <c r="AC1064" i="22" s="1"/>
  <c r="V1064" i="22"/>
  <c r="AB1064" i="22" s="1"/>
  <c r="X1063" i="22"/>
  <c r="AD1063" i="22" s="1"/>
  <c r="W1063" i="22"/>
  <c r="AC1063" i="22" s="1"/>
  <c r="V1063" i="22"/>
  <c r="AB1063" i="22" s="1"/>
  <c r="X1062" i="22"/>
  <c r="AD1062" i="22" s="1"/>
  <c r="W1062" i="22"/>
  <c r="AC1062" i="22" s="1"/>
  <c r="V1062" i="22"/>
  <c r="AB1062" i="22" s="1"/>
  <c r="X1061" i="22"/>
  <c r="AD1061" i="22" s="1"/>
  <c r="W1061" i="22"/>
  <c r="AC1061" i="22" s="1"/>
  <c r="V1061" i="22"/>
  <c r="AB1061" i="22" s="1"/>
  <c r="X1060" i="22"/>
  <c r="AD1060" i="22" s="1"/>
  <c r="W1060" i="22"/>
  <c r="AC1060" i="22" s="1"/>
  <c r="V1060" i="22"/>
  <c r="AB1060" i="22" s="1"/>
  <c r="X1059" i="22"/>
  <c r="AD1059" i="22" s="1"/>
  <c r="W1059" i="22"/>
  <c r="AC1059" i="22" s="1"/>
  <c r="V1059" i="22"/>
  <c r="AB1059" i="22" s="1"/>
  <c r="X1058" i="22"/>
  <c r="AD1058" i="22" s="1"/>
  <c r="W1058" i="22"/>
  <c r="AC1058" i="22" s="1"/>
  <c r="V1058" i="22"/>
  <c r="AB1058" i="22" s="1"/>
  <c r="X1057" i="22"/>
  <c r="AD1057" i="22" s="1"/>
  <c r="W1057" i="22"/>
  <c r="AC1057" i="22" s="1"/>
  <c r="V1057" i="22"/>
  <c r="AB1057" i="22" s="1"/>
  <c r="X1056" i="22"/>
  <c r="AD1056" i="22" s="1"/>
  <c r="W1056" i="22"/>
  <c r="AC1056" i="22" s="1"/>
  <c r="V1056" i="22"/>
  <c r="AB1056" i="22" s="1"/>
  <c r="X1055" i="22"/>
  <c r="AD1055" i="22" s="1"/>
  <c r="W1055" i="22"/>
  <c r="AC1055" i="22" s="1"/>
  <c r="V1055" i="22"/>
  <c r="AB1055" i="22" s="1"/>
  <c r="X1054" i="22"/>
  <c r="AD1054" i="22" s="1"/>
  <c r="W1054" i="22"/>
  <c r="AC1054" i="22" s="1"/>
  <c r="V1054" i="22"/>
  <c r="AB1054" i="22" s="1"/>
  <c r="X1053" i="22"/>
  <c r="AD1053" i="22" s="1"/>
  <c r="W1053" i="22"/>
  <c r="AC1053" i="22" s="1"/>
  <c r="V1053" i="22"/>
  <c r="AB1053" i="22" s="1"/>
  <c r="X1052" i="22"/>
  <c r="AD1052" i="22" s="1"/>
  <c r="W1052" i="22"/>
  <c r="AC1052" i="22" s="1"/>
  <c r="V1052" i="22"/>
  <c r="AB1052" i="22" s="1"/>
  <c r="X1051" i="22"/>
  <c r="AD1051" i="22" s="1"/>
  <c r="W1051" i="22"/>
  <c r="AC1051" i="22" s="1"/>
  <c r="V1051" i="22"/>
  <c r="AB1051" i="22" s="1"/>
  <c r="X1050" i="22"/>
  <c r="AD1050" i="22" s="1"/>
  <c r="W1050" i="22"/>
  <c r="AC1050" i="22" s="1"/>
  <c r="V1050" i="22"/>
  <c r="AB1050" i="22" s="1"/>
  <c r="X1049" i="22"/>
  <c r="AD1049" i="22" s="1"/>
  <c r="W1049" i="22"/>
  <c r="AC1049" i="22" s="1"/>
  <c r="V1049" i="22"/>
  <c r="AB1049" i="22" s="1"/>
  <c r="X1048" i="22"/>
  <c r="AD1048" i="22" s="1"/>
  <c r="W1048" i="22"/>
  <c r="AC1048" i="22" s="1"/>
  <c r="V1048" i="22"/>
  <c r="AB1048" i="22" s="1"/>
  <c r="X1047" i="22"/>
  <c r="AD1047" i="22" s="1"/>
  <c r="W1047" i="22"/>
  <c r="AC1047" i="22" s="1"/>
  <c r="V1047" i="22"/>
  <c r="AB1047" i="22" s="1"/>
  <c r="X1046" i="22"/>
  <c r="AD1046" i="22" s="1"/>
  <c r="W1046" i="22"/>
  <c r="AC1046" i="22" s="1"/>
  <c r="V1046" i="22"/>
  <c r="AB1046" i="22" s="1"/>
  <c r="X1045" i="22"/>
  <c r="AD1045" i="22" s="1"/>
  <c r="W1045" i="22"/>
  <c r="AC1045" i="22" s="1"/>
  <c r="V1045" i="22"/>
  <c r="AB1045" i="22" s="1"/>
  <c r="X1044" i="22"/>
  <c r="AD1044" i="22" s="1"/>
  <c r="W1044" i="22"/>
  <c r="AC1044" i="22" s="1"/>
  <c r="V1044" i="22"/>
  <c r="AB1044" i="22" s="1"/>
  <c r="X1043" i="22"/>
  <c r="AD1043" i="22" s="1"/>
  <c r="W1043" i="22"/>
  <c r="AC1043" i="22" s="1"/>
  <c r="V1043" i="22"/>
  <c r="AB1043" i="22" s="1"/>
  <c r="X1042" i="22"/>
  <c r="AD1042" i="22" s="1"/>
  <c r="W1042" i="22"/>
  <c r="AC1042" i="22" s="1"/>
  <c r="V1042" i="22"/>
  <c r="AB1042" i="22" s="1"/>
  <c r="X1041" i="22"/>
  <c r="AD1041" i="22" s="1"/>
  <c r="W1041" i="22"/>
  <c r="AC1041" i="22" s="1"/>
  <c r="V1041" i="22"/>
  <c r="AB1041" i="22" s="1"/>
  <c r="X1040" i="22"/>
  <c r="AD1040" i="22" s="1"/>
  <c r="W1040" i="22"/>
  <c r="AC1040" i="22" s="1"/>
  <c r="V1040" i="22"/>
  <c r="AB1040" i="22" s="1"/>
  <c r="X1039" i="22"/>
  <c r="AD1039" i="22" s="1"/>
  <c r="W1039" i="22"/>
  <c r="AC1039" i="22" s="1"/>
  <c r="V1039" i="22"/>
  <c r="AB1039" i="22" s="1"/>
  <c r="X1038" i="22"/>
  <c r="AD1038" i="22" s="1"/>
  <c r="W1038" i="22"/>
  <c r="AC1038" i="22" s="1"/>
  <c r="V1038" i="22"/>
  <c r="AB1038" i="22" s="1"/>
  <c r="X1037" i="22"/>
  <c r="AD1037" i="22" s="1"/>
  <c r="W1037" i="22"/>
  <c r="AC1037" i="22" s="1"/>
  <c r="V1037" i="22"/>
  <c r="AB1037" i="22" s="1"/>
  <c r="X1036" i="22"/>
  <c r="AD1036" i="22" s="1"/>
  <c r="W1036" i="22"/>
  <c r="AC1036" i="22" s="1"/>
  <c r="V1036" i="22"/>
  <c r="AB1036" i="22" s="1"/>
  <c r="X1035" i="22"/>
  <c r="AD1035" i="22" s="1"/>
  <c r="W1035" i="22"/>
  <c r="AC1035" i="22" s="1"/>
  <c r="V1035" i="22"/>
  <c r="AB1035" i="22" s="1"/>
  <c r="X1034" i="22"/>
  <c r="AD1034" i="22" s="1"/>
  <c r="W1034" i="22"/>
  <c r="AC1034" i="22" s="1"/>
  <c r="V1034" i="22"/>
  <c r="AB1034" i="22" s="1"/>
  <c r="X1033" i="22"/>
  <c r="AD1033" i="22" s="1"/>
  <c r="W1033" i="22"/>
  <c r="AC1033" i="22" s="1"/>
  <c r="V1033" i="22"/>
  <c r="AB1033" i="22" s="1"/>
  <c r="X1032" i="22"/>
  <c r="AD1032" i="22" s="1"/>
  <c r="W1032" i="22"/>
  <c r="AC1032" i="22" s="1"/>
  <c r="V1032" i="22"/>
  <c r="AB1032" i="22" s="1"/>
  <c r="X1031" i="22"/>
  <c r="AD1031" i="22" s="1"/>
  <c r="W1031" i="22"/>
  <c r="AC1031" i="22" s="1"/>
  <c r="V1031" i="22"/>
  <c r="AB1031" i="22" s="1"/>
  <c r="X1030" i="22"/>
  <c r="AD1030" i="22" s="1"/>
  <c r="W1030" i="22"/>
  <c r="AC1030" i="22" s="1"/>
  <c r="V1030" i="22"/>
  <c r="AB1030" i="22" s="1"/>
  <c r="X1029" i="22"/>
  <c r="AD1029" i="22" s="1"/>
  <c r="W1029" i="22"/>
  <c r="AC1029" i="22" s="1"/>
  <c r="V1029" i="22"/>
  <c r="AB1029" i="22" s="1"/>
  <c r="X1028" i="22"/>
  <c r="AD1028" i="22" s="1"/>
  <c r="W1028" i="22"/>
  <c r="AC1028" i="22" s="1"/>
  <c r="V1028" i="22"/>
  <c r="AB1028" i="22" s="1"/>
  <c r="X1027" i="22"/>
  <c r="AD1027" i="22" s="1"/>
  <c r="W1027" i="22"/>
  <c r="AC1027" i="22" s="1"/>
  <c r="V1027" i="22"/>
  <c r="AB1027" i="22" s="1"/>
  <c r="X1026" i="22"/>
  <c r="AD1026" i="22" s="1"/>
  <c r="W1026" i="22"/>
  <c r="AC1026" i="22" s="1"/>
  <c r="V1026" i="22"/>
  <c r="AB1026" i="22" s="1"/>
  <c r="X1025" i="22"/>
  <c r="AD1025" i="22" s="1"/>
  <c r="W1025" i="22"/>
  <c r="AC1025" i="22" s="1"/>
  <c r="V1025" i="22"/>
  <c r="AB1025" i="22" s="1"/>
  <c r="X1024" i="22"/>
  <c r="AD1024" i="22" s="1"/>
  <c r="W1024" i="22"/>
  <c r="AC1024" i="22" s="1"/>
  <c r="V1024" i="22"/>
  <c r="AB1024" i="22" s="1"/>
  <c r="X1023" i="22"/>
  <c r="AD1023" i="22" s="1"/>
  <c r="W1023" i="22"/>
  <c r="AC1023" i="22" s="1"/>
  <c r="V1023" i="22"/>
  <c r="AB1023" i="22" s="1"/>
  <c r="X1022" i="22"/>
  <c r="AD1022" i="22" s="1"/>
  <c r="W1022" i="22"/>
  <c r="AC1022" i="22" s="1"/>
  <c r="V1022" i="22"/>
  <c r="AB1022" i="22" s="1"/>
  <c r="X1021" i="22"/>
  <c r="AD1021" i="22" s="1"/>
  <c r="W1021" i="22"/>
  <c r="AC1021" i="22" s="1"/>
  <c r="V1021" i="22"/>
  <c r="AB1021" i="22" s="1"/>
  <c r="X1020" i="22"/>
  <c r="AD1020" i="22" s="1"/>
  <c r="W1020" i="22"/>
  <c r="AC1020" i="22" s="1"/>
  <c r="V1020" i="22"/>
  <c r="AB1020" i="22" s="1"/>
  <c r="X1019" i="22"/>
  <c r="AD1019" i="22" s="1"/>
  <c r="W1019" i="22"/>
  <c r="AC1019" i="22" s="1"/>
  <c r="V1019" i="22"/>
  <c r="AB1019" i="22" s="1"/>
  <c r="X1018" i="22"/>
  <c r="AD1018" i="22" s="1"/>
  <c r="W1018" i="22"/>
  <c r="AC1018" i="22" s="1"/>
  <c r="V1018" i="22"/>
  <c r="AB1018" i="22" s="1"/>
  <c r="X1017" i="22"/>
  <c r="AD1017" i="22" s="1"/>
  <c r="W1017" i="22"/>
  <c r="AC1017" i="22" s="1"/>
  <c r="V1017" i="22"/>
  <c r="AB1017" i="22" s="1"/>
  <c r="X1016" i="22"/>
  <c r="AD1016" i="22" s="1"/>
  <c r="W1016" i="22"/>
  <c r="AC1016" i="22" s="1"/>
  <c r="V1016" i="22"/>
  <c r="AB1016" i="22" s="1"/>
  <c r="X1015" i="22"/>
  <c r="AD1015" i="22" s="1"/>
  <c r="W1015" i="22"/>
  <c r="AC1015" i="22" s="1"/>
  <c r="V1015" i="22"/>
  <c r="AB1015" i="22" s="1"/>
  <c r="X1014" i="22"/>
  <c r="AD1014" i="22" s="1"/>
  <c r="W1014" i="22"/>
  <c r="AC1014" i="22" s="1"/>
  <c r="V1014" i="22"/>
  <c r="AB1014" i="22" s="1"/>
  <c r="X1013" i="22"/>
  <c r="AD1013" i="22" s="1"/>
  <c r="W1013" i="22"/>
  <c r="AC1013" i="22" s="1"/>
  <c r="V1013" i="22"/>
  <c r="AB1013" i="22" s="1"/>
  <c r="X1012" i="22"/>
  <c r="AD1012" i="22" s="1"/>
  <c r="W1012" i="22"/>
  <c r="AC1012" i="22" s="1"/>
  <c r="V1012" i="22"/>
  <c r="AB1012" i="22" s="1"/>
  <c r="X1011" i="22"/>
  <c r="AD1011" i="22" s="1"/>
  <c r="W1011" i="22"/>
  <c r="AC1011" i="22" s="1"/>
  <c r="V1011" i="22"/>
  <c r="AB1011" i="22" s="1"/>
  <c r="X1010" i="22"/>
  <c r="AD1010" i="22" s="1"/>
  <c r="W1010" i="22"/>
  <c r="AC1010" i="22" s="1"/>
  <c r="V1010" i="22"/>
  <c r="AB1010" i="22" s="1"/>
  <c r="X1009" i="22"/>
  <c r="AD1009" i="22" s="1"/>
  <c r="W1009" i="22"/>
  <c r="AC1009" i="22" s="1"/>
  <c r="V1009" i="22"/>
  <c r="AB1009" i="22" s="1"/>
  <c r="X1008" i="22"/>
  <c r="AD1008" i="22" s="1"/>
  <c r="W1008" i="22"/>
  <c r="AC1008" i="22" s="1"/>
  <c r="V1008" i="22"/>
  <c r="AB1008" i="22" s="1"/>
  <c r="X1007" i="22"/>
  <c r="AD1007" i="22" s="1"/>
  <c r="W1007" i="22"/>
  <c r="AC1007" i="22" s="1"/>
  <c r="V1007" i="22"/>
  <c r="AB1007" i="22" s="1"/>
  <c r="X1006" i="22"/>
  <c r="AD1006" i="22" s="1"/>
  <c r="W1006" i="22"/>
  <c r="AC1006" i="22" s="1"/>
  <c r="V1006" i="22"/>
  <c r="AB1006" i="22" s="1"/>
  <c r="X1005" i="22"/>
  <c r="AD1005" i="22" s="1"/>
  <c r="W1005" i="22"/>
  <c r="AC1005" i="22" s="1"/>
  <c r="V1005" i="22"/>
  <c r="AB1005" i="22" s="1"/>
  <c r="X1004" i="22"/>
  <c r="AD1004" i="22" s="1"/>
  <c r="W1004" i="22"/>
  <c r="AC1004" i="22" s="1"/>
  <c r="V1004" i="22"/>
  <c r="AB1004" i="22" s="1"/>
  <c r="X1003" i="22"/>
  <c r="AD1003" i="22" s="1"/>
  <c r="W1003" i="22"/>
  <c r="AC1003" i="22" s="1"/>
  <c r="V1003" i="22"/>
  <c r="AB1003" i="22" s="1"/>
  <c r="X1002" i="22"/>
  <c r="AD1002" i="22" s="1"/>
  <c r="W1002" i="22"/>
  <c r="AC1002" i="22" s="1"/>
  <c r="V1002" i="22"/>
  <c r="AB1002" i="22" s="1"/>
  <c r="X1001" i="22"/>
  <c r="AD1001" i="22" s="1"/>
  <c r="W1001" i="22"/>
  <c r="AC1001" i="22" s="1"/>
  <c r="V1001" i="22"/>
  <c r="AB1001" i="22" s="1"/>
  <c r="X1000" i="22"/>
  <c r="AD1000" i="22" s="1"/>
  <c r="W1000" i="22"/>
  <c r="AC1000" i="22" s="1"/>
  <c r="V1000" i="22"/>
  <c r="AB1000" i="22" s="1"/>
  <c r="X999" i="22"/>
  <c r="AD999" i="22" s="1"/>
  <c r="W999" i="22"/>
  <c r="AC999" i="22" s="1"/>
  <c r="V999" i="22"/>
  <c r="AB999" i="22" s="1"/>
  <c r="X998" i="22"/>
  <c r="AD998" i="22" s="1"/>
  <c r="W998" i="22"/>
  <c r="AC998" i="22" s="1"/>
  <c r="V998" i="22"/>
  <c r="AB998" i="22" s="1"/>
  <c r="X997" i="22"/>
  <c r="AD997" i="22" s="1"/>
  <c r="W997" i="22"/>
  <c r="AC997" i="22" s="1"/>
  <c r="V997" i="22"/>
  <c r="AB997" i="22" s="1"/>
  <c r="X996" i="22"/>
  <c r="AD996" i="22" s="1"/>
  <c r="W996" i="22"/>
  <c r="AC996" i="22" s="1"/>
  <c r="V996" i="22"/>
  <c r="AB996" i="22" s="1"/>
  <c r="X995" i="22"/>
  <c r="AD995" i="22" s="1"/>
  <c r="W995" i="22"/>
  <c r="AC995" i="22" s="1"/>
  <c r="V995" i="22"/>
  <c r="AB995" i="22" s="1"/>
  <c r="X994" i="22"/>
  <c r="AD994" i="22" s="1"/>
  <c r="W994" i="22"/>
  <c r="AC994" i="22" s="1"/>
  <c r="V994" i="22"/>
  <c r="AB994" i="22" s="1"/>
  <c r="X993" i="22"/>
  <c r="AD993" i="22" s="1"/>
  <c r="W993" i="22"/>
  <c r="AC993" i="22" s="1"/>
  <c r="V993" i="22"/>
  <c r="AB993" i="22" s="1"/>
  <c r="X992" i="22"/>
  <c r="AD992" i="22" s="1"/>
  <c r="W992" i="22"/>
  <c r="AC992" i="22" s="1"/>
  <c r="V992" i="22"/>
  <c r="AB992" i="22" s="1"/>
  <c r="X991" i="22"/>
  <c r="AD991" i="22" s="1"/>
  <c r="W991" i="22"/>
  <c r="AC991" i="22" s="1"/>
  <c r="V991" i="22"/>
  <c r="AB991" i="22" s="1"/>
  <c r="X990" i="22"/>
  <c r="AD990" i="22" s="1"/>
  <c r="W990" i="22"/>
  <c r="AC990" i="22" s="1"/>
  <c r="V990" i="22"/>
  <c r="AB990" i="22" s="1"/>
  <c r="X989" i="22"/>
  <c r="AD989" i="22" s="1"/>
  <c r="W989" i="22"/>
  <c r="AC989" i="22" s="1"/>
  <c r="V989" i="22"/>
  <c r="AB989" i="22" s="1"/>
  <c r="X988" i="22"/>
  <c r="AD988" i="22" s="1"/>
  <c r="W988" i="22"/>
  <c r="AC988" i="22" s="1"/>
  <c r="V988" i="22"/>
  <c r="AB988" i="22" s="1"/>
  <c r="X987" i="22"/>
  <c r="AD987" i="22" s="1"/>
  <c r="W987" i="22"/>
  <c r="AC987" i="22" s="1"/>
  <c r="V987" i="22"/>
  <c r="AB987" i="22" s="1"/>
  <c r="X986" i="22"/>
  <c r="AD986" i="22" s="1"/>
  <c r="W986" i="22"/>
  <c r="AC986" i="22" s="1"/>
  <c r="V986" i="22"/>
  <c r="AB986" i="22" s="1"/>
  <c r="X985" i="22"/>
  <c r="AD985" i="22" s="1"/>
  <c r="W985" i="22"/>
  <c r="AC985" i="22" s="1"/>
  <c r="V985" i="22"/>
  <c r="AB985" i="22" s="1"/>
  <c r="X984" i="22"/>
  <c r="AD984" i="22" s="1"/>
  <c r="W984" i="22"/>
  <c r="AC984" i="22" s="1"/>
  <c r="V984" i="22"/>
  <c r="AB984" i="22" s="1"/>
  <c r="X983" i="22"/>
  <c r="AD983" i="22" s="1"/>
  <c r="W983" i="22"/>
  <c r="AC983" i="22" s="1"/>
  <c r="V983" i="22"/>
  <c r="AB983" i="22" s="1"/>
  <c r="X982" i="22"/>
  <c r="AD982" i="22" s="1"/>
  <c r="W982" i="22"/>
  <c r="AC982" i="22" s="1"/>
  <c r="V982" i="22"/>
  <c r="AB982" i="22" s="1"/>
  <c r="X981" i="22"/>
  <c r="AD981" i="22" s="1"/>
  <c r="W981" i="22"/>
  <c r="AC981" i="22" s="1"/>
  <c r="V981" i="22"/>
  <c r="AB981" i="22" s="1"/>
  <c r="X980" i="22"/>
  <c r="AD980" i="22" s="1"/>
  <c r="W980" i="22"/>
  <c r="AC980" i="22" s="1"/>
  <c r="V980" i="22"/>
  <c r="AB980" i="22" s="1"/>
  <c r="X979" i="22"/>
  <c r="AD979" i="22" s="1"/>
  <c r="W979" i="22"/>
  <c r="AC979" i="22" s="1"/>
  <c r="V979" i="22"/>
  <c r="AB979" i="22" s="1"/>
  <c r="X978" i="22"/>
  <c r="AD978" i="22" s="1"/>
  <c r="W978" i="22"/>
  <c r="AC978" i="22" s="1"/>
  <c r="V978" i="22"/>
  <c r="AB978" i="22" s="1"/>
  <c r="X977" i="22"/>
  <c r="AD977" i="22" s="1"/>
  <c r="W977" i="22"/>
  <c r="AC977" i="22" s="1"/>
  <c r="V977" i="22"/>
  <c r="AB977" i="22" s="1"/>
  <c r="X976" i="22"/>
  <c r="AD976" i="22" s="1"/>
  <c r="W976" i="22"/>
  <c r="AC976" i="22" s="1"/>
  <c r="V976" i="22"/>
  <c r="AB976" i="22" s="1"/>
  <c r="X975" i="22"/>
  <c r="AD975" i="22" s="1"/>
  <c r="W975" i="22"/>
  <c r="AC975" i="22" s="1"/>
  <c r="V975" i="22"/>
  <c r="AB975" i="22" s="1"/>
  <c r="X974" i="22"/>
  <c r="AD974" i="22" s="1"/>
  <c r="W974" i="22"/>
  <c r="AC974" i="22" s="1"/>
  <c r="V974" i="22"/>
  <c r="AB974" i="22" s="1"/>
  <c r="X973" i="22"/>
  <c r="AD973" i="22" s="1"/>
  <c r="W973" i="22"/>
  <c r="AC973" i="22" s="1"/>
  <c r="V973" i="22"/>
  <c r="AB973" i="22" s="1"/>
  <c r="X972" i="22"/>
  <c r="AD972" i="22" s="1"/>
  <c r="W972" i="22"/>
  <c r="AC972" i="22" s="1"/>
  <c r="V972" i="22"/>
  <c r="AB972" i="22" s="1"/>
  <c r="X971" i="22"/>
  <c r="AD971" i="22" s="1"/>
  <c r="W971" i="22"/>
  <c r="AC971" i="22" s="1"/>
  <c r="V971" i="22"/>
  <c r="AB971" i="22" s="1"/>
  <c r="X970" i="22"/>
  <c r="AD970" i="22" s="1"/>
  <c r="W970" i="22"/>
  <c r="AC970" i="22" s="1"/>
  <c r="V970" i="22"/>
  <c r="AB970" i="22" s="1"/>
  <c r="X969" i="22"/>
  <c r="AD969" i="22" s="1"/>
  <c r="W969" i="22"/>
  <c r="AC969" i="22" s="1"/>
  <c r="V969" i="22"/>
  <c r="AB969" i="22" s="1"/>
  <c r="X968" i="22"/>
  <c r="AD968" i="22" s="1"/>
  <c r="W968" i="22"/>
  <c r="AC968" i="22" s="1"/>
  <c r="V968" i="22"/>
  <c r="AB968" i="22" s="1"/>
  <c r="X967" i="22"/>
  <c r="AD967" i="22" s="1"/>
  <c r="W967" i="22"/>
  <c r="AC967" i="22" s="1"/>
  <c r="V967" i="22"/>
  <c r="AB967" i="22" s="1"/>
  <c r="X966" i="22"/>
  <c r="AD966" i="22" s="1"/>
  <c r="W966" i="22"/>
  <c r="AC966" i="22" s="1"/>
  <c r="V966" i="22"/>
  <c r="AB966" i="22" s="1"/>
  <c r="X965" i="22"/>
  <c r="AD965" i="22" s="1"/>
  <c r="W965" i="22"/>
  <c r="AC965" i="22" s="1"/>
  <c r="V965" i="22"/>
  <c r="AB965" i="22" s="1"/>
  <c r="X964" i="22"/>
  <c r="AD964" i="22" s="1"/>
  <c r="W964" i="22"/>
  <c r="AC964" i="22" s="1"/>
  <c r="V964" i="22"/>
  <c r="AB964" i="22" s="1"/>
  <c r="X963" i="22"/>
  <c r="AD963" i="22" s="1"/>
  <c r="W963" i="22"/>
  <c r="AC963" i="22" s="1"/>
  <c r="V963" i="22"/>
  <c r="AB963" i="22" s="1"/>
  <c r="X962" i="22"/>
  <c r="AD962" i="22" s="1"/>
  <c r="W962" i="22"/>
  <c r="AC962" i="22" s="1"/>
  <c r="V962" i="22"/>
  <c r="AB962" i="22" s="1"/>
  <c r="X961" i="22"/>
  <c r="AD961" i="22" s="1"/>
  <c r="W961" i="22"/>
  <c r="AC961" i="22" s="1"/>
  <c r="V961" i="22"/>
  <c r="AB961" i="22" s="1"/>
  <c r="X960" i="22"/>
  <c r="AD960" i="22" s="1"/>
  <c r="W960" i="22"/>
  <c r="AC960" i="22" s="1"/>
  <c r="V960" i="22"/>
  <c r="AB960" i="22" s="1"/>
  <c r="X959" i="22"/>
  <c r="AD959" i="22" s="1"/>
  <c r="W959" i="22"/>
  <c r="AC959" i="22" s="1"/>
  <c r="V959" i="22"/>
  <c r="AB959" i="22" s="1"/>
  <c r="X958" i="22"/>
  <c r="AD958" i="22" s="1"/>
  <c r="W958" i="22"/>
  <c r="AC958" i="22" s="1"/>
  <c r="V958" i="22"/>
  <c r="AB958" i="22" s="1"/>
  <c r="X957" i="22"/>
  <c r="AD957" i="22" s="1"/>
  <c r="W957" i="22"/>
  <c r="AC957" i="22" s="1"/>
  <c r="V957" i="22"/>
  <c r="AB957" i="22" s="1"/>
  <c r="X956" i="22"/>
  <c r="AD956" i="22" s="1"/>
  <c r="W956" i="22"/>
  <c r="AC956" i="22" s="1"/>
  <c r="V956" i="22"/>
  <c r="AB956" i="22" s="1"/>
  <c r="X955" i="22"/>
  <c r="AD955" i="22" s="1"/>
  <c r="W955" i="22"/>
  <c r="AC955" i="22" s="1"/>
  <c r="V955" i="22"/>
  <c r="AB955" i="22" s="1"/>
  <c r="X954" i="22"/>
  <c r="AD954" i="22" s="1"/>
  <c r="W954" i="22"/>
  <c r="AC954" i="22" s="1"/>
  <c r="V954" i="22"/>
  <c r="AB954" i="22" s="1"/>
  <c r="X953" i="22"/>
  <c r="AD953" i="22" s="1"/>
  <c r="W953" i="22"/>
  <c r="AC953" i="22" s="1"/>
  <c r="V953" i="22"/>
  <c r="AB953" i="22" s="1"/>
  <c r="X952" i="22"/>
  <c r="AD952" i="22" s="1"/>
  <c r="W952" i="22"/>
  <c r="AC952" i="22" s="1"/>
  <c r="V952" i="22"/>
  <c r="AB952" i="22" s="1"/>
  <c r="X951" i="22"/>
  <c r="AD951" i="22" s="1"/>
  <c r="W951" i="22"/>
  <c r="AC951" i="22" s="1"/>
  <c r="V951" i="22"/>
  <c r="AB951" i="22" s="1"/>
  <c r="X950" i="22"/>
  <c r="AD950" i="22" s="1"/>
  <c r="W950" i="22"/>
  <c r="AC950" i="22" s="1"/>
  <c r="V950" i="22"/>
  <c r="AB950" i="22" s="1"/>
  <c r="X949" i="22"/>
  <c r="AD949" i="22" s="1"/>
  <c r="W949" i="22"/>
  <c r="AC949" i="22" s="1"/>
  <c r="V949" i="22"/>
  <c r="AB949" i="22" s="1"/>
  <c r="X948" i="22"/>
  <c r="AD948" i="22" s="1"/>
  <c r="W948" i="22"/>
  <c r="AC948" i="22" s="1"/>
  <c r="V948" i="22"/>
  <c r="AB948" i="22" s="1"/>
  <c r="X947" i="22"/>
  <c r="AD947" i="22" s="1"/>
  <c r="W947" i="22"/>
  <c r="AC947" i="22" s="1"/>
  <c r="V947" i="22"/>
  <c r="AB947" i="22" s="1"/>
  <c r="X946" i="22"/>
  <c r="AD946" i="22" s="1"/>
  <c r="W946" i="22"/>
  <c r="AC946" i="22" s="1"/>
  <c r="V946" i="22"/>
  <c r="AB946" i="22" s="1"/>
  <c r="X945" i="22"/>
  <c r="AD945" i="22" s="1"/>
  <c r="W945" i="22"/>
  <c r="AC945" i="22" s="1"/>
  <c r="V945" i="22"/>
  <c r="AB945" i="22" s="1"/>
  <c r="X944" i="22"/>
  <c r="AD944" i="22" s="1"/>
  <c r="W944" i="22"/>
  <c r="AC944" i="22" s="1"/>
  <c r="V944" i="22"/>
  <c r="AB944" i="22" s="1"/>
  <c r="X943" i="22"/>
  <c r="AD943" i="22" s="1"/>
  <c r="W943" i="22"/>
  <c r="AC943" i="22" s="1"/>
  <c r="V943" i="22"/>
  <c r="AB943" i="22" s="1"/>
  <c r="X942" i="22"/>
  <c r="AD942" i="22" s="1"/>
  <c r="W942" i="22"/>
  <c r="AC942" i="22" s="1"/>
  <c r="V942" i="22"/>
  <c r="AB942" i="22" s="1"/>
  <c r="X941" i="22"/>
  <c r="AD941" i="22" s="1"/>
  <c r="W941" i="22"/>
  <c r="AC941" i="22" s="1"/>
  <c r="V941" i="22"/>
  <c r="AB941" i="22" s="1"/>
  <c r="X940" i="22"/>
  <c r="AD940" i="22" s="1"/>
  <c r="W940" i="22"/>
  <c r="AC940" i="22" s="1"/>
  <c r="V940" i="22"/>
  <c r="AB940" i="22" s="1"/>
  <c r="X939" i="22"/>
  <c r="AD939" i="22" s="1"/>
  <c r="W939" i="22"/>
  <c r="AC939" i="22" s="1"/>
  <c r="V939" i="22"/>
  <c r="AB939" i="22" s="1"/>
  <c r="X938" i="22"/>
  <c r="AD938" i="22" s="1"/>
  <c r="W938" i="22"/>
  <c r="AC938" i="22" s="1"/>
  <c r="V938" i="22"/>
  <c r="AB938" i="22" s="1"/>
  <c r="X937" i="22"/>
  <c r="AD937" i="22" s="1"/>
  <c r="W937" i="22"/>
  <c r="AC937" i="22" s="1"/>
  <c r="V937" i="22"/>
  <c r="AB937" i="22" s="1"/>
  <c r="X936" i="22"/>
  <c r="AD936" i="22" s="1"/>
  <c r="W936" i="22"/>
  <c r="AC936" i="22" s="1"/>
  <c r="V936" i="22"/>
  <c r="AB936" i="22" s="1"/>
  <c r="X935" i="22"/>
  <c r="AD935" i="22" s="1"/>
  <c r="W935" i="22"/>
  <c r="AC935" i="22" s="1"/>
  <c r="V935" i="22"/>
  <c r="AB935" i="22" s="1"/>
  <c r="X934" i="22"/>
  <c r="AD934" i="22" s="1"/>
  <c r="W934" i="22"/>
  <c r="AC934" i="22" s="1"/>
  <c r="V934" i="22"/>
  <c r="AB934" i="22" s="1"/>
  <c r="X933" i="22"/>
  <c r="AD933" i="22" s="1"/>
  <c r="W933" i="22"/>
  <c r="AC933" i="22" s="1"/>
  <c r="V933" i="22"/>
  <c r="AB933" i="22" s="1"/>
  <c r="X932" i="22"/>
  <c r="AD932" i="22" s="1"/>
  <c r="W932" i="22"/>
  <c r="AC932" i="22" s="1"/>
  <c r="V932" i="22"/>
  <c r="AB932" i="22" s="1"/>
  <c r="X931" i="22"/>
  <c r="AD931" i="22" s="1"/>
  <c r="W931" i="22"/>
  <c r="AC931" i="22" s="1"/>
  <c r="V931" i="22"/>
  <c r="AB931" i="22" s="1"/>
  <c r="X930" i="22"/>
  <c r="AD930" i="22" s="1"/>
  <c r="W930" i="22"/>
  <c r="AC930" i="22" s="1"/>
  <c r="V930" i="22"/>
  <c r="AB930" i="22" s="1"/>
  <c r="X929" i="22"/>
  <c r="AD929" i="22" s="1"/>
  <c r="W929" i="22"/>
  <c r="AC929" i="22" s="1"/>
  <c r="V929" i="22"/>
  <c r="AB929" i="22" s="1"/>
  <c r="X928" i="22"/>
  <c r="AD928" i="22" s="1"/>
  <c r="W928" i="22"/>
  <c r="AC928" i="22" s="1"/>
  <c r="V928" i="22"/>
  <c r="AB928" i="22" s="1"/>
  <c r="X927" i="22"/>
  <c r="AD927" i="22" s="1"/>
  <c r="W927" i="22"/>
  <c r="AC927" i="22" s="1"/>
  <c r="V927" i="22"/>
  <c r="AB927" i="22" s="1"/>
  <c r="X926" i="22"/>
  <c r="AD926" i="22" s="1"/>
  <c r="W926" i="22"/>
  <c r="AC926" i="22" s="1"/>
  <c r="V926" i="22"/>
  <c r="AB926" i="22" s="1"/>
  <c r="X925" i="22"/>
  <c r="AD925" i="22" s="1"/>
  <c r="W925" i="22"/>
  <c r="AC925" i="22" s="1"/>
  <c r="V925" i="22"/>
  <c r="AB925" i="22" s="1"/>
  <c r="X924" i="22"/>
  <c r="AD924" i="22" s="1"/>
  <c r="W924" i="22"/>
  <c r="AC924" i="22" s="1"/>
  <c r="V924" i="22"/>
  <c r="AB924" i="22" s="1"/>
  <c r="X923" i="22"/>
  <c r="AD923" i="22" s="1"/>
  <c r="W923" i="22"/>
  <c r="AC923" i="22" s="1"/>
  <c r="V923" i="22"/>
  <c r="AB923" i="22" s="1"/>
  <c r="X922" i="22"/>
  <c r="AD922" i="22" s="1"/>
  <c r="W922" i="22"/>
  <c r="AC922" i="22" s="1"/>
  <c r="V922" i="22"/>
  <c r="AB922" i="22" s="1"/>
  <c r="X921" i="22"/>
  <c r="AD921" i="22" s="1"/>
  <c r="W921" i="22"/>
  <c r="AC921" i="22" s="1"/>
  <c r="V921" i="22"/>
  <c r="AB921" i="22" s="1"/>
  <c r="X920" i="22"/>
  <c r="AD920" i="22" s="1"/>
  <c r="W920" i="22"/>
  <c r="AC920" i="22" s="1"/>
  <c r="V920" i="22"/>
  <c r="AB920" i="22" s="1"/>
  <c r="X919" i="22"/>
  <c r="AD919" i="22" s="1"/>
  <c r="W919" i="22"/>
  <c r="AC919" i="22" s="1"/>
  <c r="V919" i="22"/>
  <c r="AB919" i="22" s="1"/>
  <c r="X918" i="22"/>
  <c r="AD918" i="22" s="1"/>
  <c r="W918" i="22"/>
  <c r="AC918" i="22" s="1"/>
  <c r="V918" i="22"/>
  <c r="AB918" i="22" s="1"/>
  <c r="X917" i="22"/>
  <c r="AD917" i="22" s="1"/>
  <c r="W917" i="22"/>
  <c r="AC917" i="22" s="1"/>
  <c r="V917" i="22"/>
  <c r="AB917" i="22" s="1"/>
  <c r="X916" i="22"/>
  <c r="AD916" i="22" s="1"/>
  <c r="W916" i="22"/>
  <c r="AC916" i="22" s="1"/>
  <c r="V916" i="22"/>
  <c r="AB916" i="22" s="1"/>
  <c r="X915" i="22"/>
  <c r="AD915" i="22" s="1"/>
  <c r="W915" i="22"/>
  <c r="AC915" i="22" s="1"/>
  <c r="V915" i="22"/>
  <c r="AB915" i="22" s="1"/>
  <c r="X914" i="22"/>
  <c r="AD914" i="22" s="1"/>
  <c r="W914" i="22"/>
  <c r="AC914" i="22" s="1"/>
  <c r="V914" i="22"/>
  <c r="AB914" i="22" s="1"/>
  <c r="X913" i="22"/>
  <c r="AD913" i="22" s="1"/>
  <c r="W913" i="22"/>
  <c r="AC913" i="22" s="1"/>
  <c r="V913" i="22"/>
  <c r="AB913" i="22" s="1"/>
  <c r="X912" i="22"/>
  <c r="AD912" i="22" s="1"/>
  <c r="W912" i="22"/>
  <c r="AC912" i="22" s="1"/>
  <c r="V912" i="22"/>
  <c r="AB912" i="22" s="1"/>
  <c r="X911" i="22"/>
  <c r="AD911" i="22" s="1"/>
  <c r="W911" i="22"/>
  <c r="AC911" i="22" s="1"/>
  <c r="V911" i="22"/>
  <c r="AB911" i="22" s="1"/>
  <c r="X910" i="22"/>
  <c r="AD910" i="22" s="1"/>
  <c r="W910" i="22"/>
  <c r="AC910" i="22" s="1"/>
  <c r="V910" i="22"/>
  <c r="AB910" i="22" s="1"/>
  <c r="X909" i="22"/>
  <c r="AD909" i="22" s="1"/>
  <c r="W909" i="22"/>
  <c r="AC909" i="22" s="1"/>
  <c r="V909" i="22"/>
  <c r="AB909" i="22" s="1"/>
  <c r="X908" i="22"/>
  <c r="AD908" i="22" s="1"/>
  <c r="W908" i="22"/>
  <c r="AC908" i="22" s="1"/>
  <c r="V908" i="22"/>
  <c r="AB908" i="22" s="1"/>
  <c r="X907" i="22"/>
  <c r="AD907" i="22" s="1"/>
  <c r="W907" i="22"/>
  <c r="AC907" i="22" s="1"/>
  <c r="V907" i="22"/>
  <c r="AB907" i="22" s="1"/>
  <c r="X906" i="22"/>
  <c r="AD906" i="22" s="1"/>
  <c r="W906" i="22"/>
  <c r="AC906" i="22" s="1"/>
  <c r="V906" i="22"/>
  <c r="AB906" i="22" s="1"/>
  <c r="X905" i="22"/>
  <c r="AD905" i="22" s="1"/>
  <c r="W905" i="22"/>
  <c r="AC905" i="22" s="1"/>
  <c r="V905" i="22"/>
  <c r="AB905" i="22" s="1"/>
  <c r="X904" i="22"/>
  <c r="AD904" i="22" s="1"/>
  <c r="W904" i="22"/>
  <c r="AC904" i="22" s="1"/>
  <c r="V904" i="22"/>
  <c r="AB904" i="22" s="1"/>
  <c r="X903" i="22"/>
  <c r="AD903" i="22" s="1"/>
  <c r="W903" i="22"/>
  <c r="AC903" i="22" s="1"/>
  <c r="V903" i="22"/>
  <c r="AB903" i="22" s="1"/>
  <c r="X902" i="22"/>
  <c r="AD902" i="22" s="1"/>
  <c r="W902" i="22"/>
  <c r="AC902" i="22" s="1"/>
  <c r="V902" i="22"/>
  <c r="AB902" i="22" s="1"/>
  <c r="X901" i="22"/>
  <c r="AD901" i="22" s="1"/>
  <c r="W901" i="22"/>
  <c r="AC901" i="22" s="1"/>
  <c r="V901" i="22"/>
  <c r="AB901" i="22" s="1"/>
  <c r="X900" i="22"/>
  <c r="AD900" i="22" s="1"/>
  <c r="W900" i="22"/>
  <c r="AC900" i="22" s="1"/>
  <c r="V900" i="22"/>
  <c r="AB900" i="22" s="1"/>
  <c r="X899" i="22"/>
  <c r="AD899" i="22" s="1"/>
  <c r="W899" i="22"/>
  <c r="AC899" i="22" s="1"/>
  <c r="V899" i="22"/>
  <c r="AB899" i="22" s="1"/>
  <c r="X898" i="22"/>
  <c r="AD898" i="22" s="1"/>
  <c r="W898" i="22"/>
  <c r="AC898" i="22" s="1"/>
  <c r="V898" i="22"/>
  <c r="AB898" i="22" s="1"/>
  <c r="X897" i="22"/>
  <c r="AD897" i="22" s="1"/>
  <c r="W897" i="22"/>
  <c r="AC897" i="22" s="1"/>
  <c r="V897" i="22"/>
  <c r="AB897" i="22" s="1"/>
  <c r="X896" i="22"/>
  <c r="AD896" i="22" s="1"/>
  <c r="W896" i="22"/>
  <c r="AC896" i="22" s="1"/>
  <c r="V896" i="22"/>
  <c r="AB896" i="22" s="1"/>
  <c r="X895" i="22"/>
  <c r="AD895" i="22" s="1"/>
  <c r="W895" i="22"/>
  <c r="AC895" i="22" s="1"/>
  <c r="V895" i="22"/>
  <c r="AB895" i="22" s="1"/>
  <c r="X894" i="22"/>
  <c r="AD894" i="22" s="1"/>
  <c r="W894" i="22"/>
  <c r="AC894" i="22" s="1"/>
  <c r="V894" i="22"/>
  <c r="AB894" i="22" s="1"/>
  <c r="X893" i="22"/>
  <c r="AD893" i="22" s="1"/>
  <c r="W893" i="22"/>
  <c r="AC893" i="22" s="1"/>
  <c r="V893" i="22"/>
  <c r="AB893" i="22" s="1"/>
  <c r="X892" i="22"/>
  <c r="AD892" i="22" s="1"/>
  <c r="W892" i="22"/>
  <c r="AC892" i="22" s="1"/>
  <c r="V892" i="22"/>
  <c r="AB892" i="22" s="1"/>
  <c r="X891" i="22"/>
  <c r="AD891" i="22" s="1"/>
  <c r="W891" i="22"/>
  <c r="AC891" i="22" s="1"/>
  <c r="V891" i="22"/>
  <c r="AB891" i="22" s="1"/>
  <c r="X890" i="22"/>
  <c r="AD890" i="22" s="1"/>
  <c r="W890" i="22"/>
  <c r="AC890" i="22" s="1"/>
  <c r="V890" i="22"/>
  <c r="AB890" i="22" s="1"/>
  <c r="X889" i="22"/>
  <c r="AD889" i="22" s="1"/>
  <c r="W889" i="22"/>
  <c r="AC889" i="22" s="1"/>
  <c r="V889" i="22"/>
  <c r="AB889" i="22" s="1"/>
  <c r="X888" i="22"/>
  <c r="AD888" i="22" s="1"/>
  <c r="W888" i="22"/>
  <c r="AC888" i="22" s="1"/>
  <c r="V888" i="22"/>
  <c r="AB888" i="22" s="1"/>
  <c r="X887" i="22"/>
  <c r="AD887" i="22" s="1"/>
  <c r="W887" i="22"/>
  <c r="AC887" i="22" s="1"/>
  <c r="V887" i="22"/>
  <c r="AB887" i="22" s="1"/>
  <c r="X886" i="22"/>
  <c r="AD886" i="22" s="1"/>
  <c r="W886" i="22"/>
  <c r="AC886" i="22" s="1"/>
  <c r="V886" i="22"/>
  <c r="AB886" i="22" s="1"/>
  <c r="X885" i="22"/>
  <c r="AD885" i="22" s="1"/>
  <c r="W885" i="22"/>
  <c r="AC885" i="22" s="1"/>
  <c r="V885" i="22"/>
  <c r="AB885" i="22" s="1"/>
  <c r="X884" i="22"/>
  <c r="AD884" i="22" s="1"/>
  <c r="W884" i="22"/>
  <c r="AC884" i="22" s="1"/>
  <c r="V884" i="22"/>
  <c r="AB884" i="22" s="1"/>
  <c r="X883" i="22"/>
  <c r="AD883" i="22" s="1"/>
  <c r="W883" i="22"/>
  <c r="AC883" i="22" s="1"/>
  <c r="V883" i="22"/>
  <c r="AB883" i="22" s="1"/>
  <c r="X882" i="22"/>
  <c r="AD882" i="22" s="1"/>
  <c r="W882" i="22"/>
  <c r="AC882" i="22" s="1"/>
  <c r="V882" i="22"/>
  <c r="AB882" i="22" s="1"/>
  <c r="X881" i="22"/>
  <c r="AD881" i="22" s="1"/>
  <c r="W881" i="22"/>
  <c r="AC881" i="22" s="1"/>
  <c r="V881" i="22"/>
  <c r="AB881" i="22" s="1"/>
  <c r="X880" i="22"/>
  <c r="AD880" i="22" s="1"/>
  <c r="W880" i="22"/>
  <c r="AC880" i="22" s="1"/>
  <c r="V880" i="22"/>
  <c r="AB880" i="22" s="1"/>
  <c r="X879" i="22"/>
  <c r="AD879" i="22" s="1"/>
  <c r="W879" i="22"/>
  <c r="AC879" i="22" s="1"/>
  <c r="V879" i="22"/>
  <c r="AB879" i="22" s="1"/>
  <c r="X878" i="22"/>
  <c r="AD878" i="22" s="1"/>
  <c r="W878" i="22"/>
  <c r="AC878" i="22" s="1"/>
  <c r="V878" i="22"/>
  <c r="AB878" i="22" s="1"/>
  <c r="X877" i="22"/>
  <c r="AD877" i="22" s="1"/>
  <c r="W877" i="22"/>
  <c r="AC877" i="22" s="1"/>
  <c r="V877" i="22"/>
  <c r="AB877" i="22" s="1"/>
  <c r="X876" i="22"/>
  <c r="AD876" i="22" s="1"/>
  <c r="W876" i="22"/>
  <c r="AC876" i="22" s="1"/>
  <c r="V876" i="22"/>
  <c r="AB876" i="22" s="1"/>
  <c r="X875" i="22"/>
  <c r="AD875" i="22" s="1"/>
  <c r="W875" i="22"/>
  <c r="AC875" i="22" s="1"/>
  <c r="V875" i="22"/>
  <c r="AB875" i="22" s="1"/>
  <c r="X874" i="22"/>
  <c r="AD874" i="22" s="1"/>
  <c r="W874" i="22"/>
  <c r="AC874" i="22" s="1"/>
  <c r="V874" i="22"/>
  <c r="AB874" i="22" s="1"/>
  <c r="X873" i="22"/>
  <c r="AD873" i="22" s="1"/>
  <c r="W873" i="22"/>
  <c r="AC873" i="22" s="1"/>
  <c r="V873" i="22"/>
  <c r="AB873" i="22" s="1"/>
  <c r="X872" i="22"/>
  <c r="AD872" i="22" s="1"/>
  <c r="W872" i="22"/>
  <c r="AC872" i="22" s="1"/>
  <c r="V872" i="22"/>
  <c r="AB872" i="22" s="1"/>
  <c r="X871" i="22"/>
  <c r="AD871" i="22" s="1"/>
  <c r="W871" i="22"/>
  <c r="AC871" i="22" s="1"/>
  <c r="V871" i="22"/>
  <c r="AB871" i="22" s="1"/>
  <c r="X870" i="22"/>
  <c r="AD870" i="22" s="1"/>
  <c r="W870" i="22"/>
  <c r="AC870" i="22" s="1"/>
  <c r="V870" i="22"/>
  <c r="AB870" i="22" s="1"/>
  <c r="X869" i="22"/>
  <c r="AD869" i="22" s="1"/>
  <c r="W869" i="22"/>
  <c r="AC869" i="22" s="1"/>
  <c r="V869" i="22"/>
  <c r="AB869" i="22" s="1"/>
  <c r="X868" i="22"/>
  <c r="AD868" i="22" s="1"/>
  <c r="W868" i="22"/>
  <c r="AC868" i="22" s="1"/>
  <c r="V868" i="22"/>
  <c r="AB868" i="22" s="1"/>
  <c r="X867" i="22"/>
  <c r="AD867" i="22" s="1"/>
  <c r="W867" i="22"/>
  <c r="AC867" i="22" s="1"/>
  <c r="V867" i="22"/>
  <c r="AB867" i="22" s="1"/>
  <c r="X866" i="22"/>
  <c r="AD866" i="22" s="1"/>
  <c r="W866" i="22"/>
  <c r="AC866" i="22" s="1"/>
  <c r="V866" i="22"/>
  <c r="AB866" i="22" s="1"/>
  <c r="X865" i="22"/>
  <c r="AD865" i="22" s="1"/>
  <c r="W865" i="22"/>
  <c r="AC865" i="22" s="1"/>
  <c r="V865" i="22"/>
  <c r="AB865" i="22" s="1"/>
  <c r="X864" i="22"/>
  <c r="AD864" i="22" s="1"/>
  <c r="W864" i="22"/>
  <c r="AC864" i="22" s="1"/>
  <c r="V864" i="22"/>
  <c r="AB864" i="22" s="1"/>
  <c r="X863" i="22"/>
  <c r="AD863" i="22" s="1"/>
  <c r="W863" i="22"/>
  <c r="AC863" i="22" s="1"/>
  <c r="V863" i="22"/>
  <c r="AB863" i="22" s="1"/>
  <c r="X862" i="22"/>
  <c r="AD862" i="22" s="1"/>
  <c r="W862" i="22"/>
  <c r="AC862" i="22" s="1"/>
  <c r="V862" i="22"/>
  <c r="AB862" i="22" s="1"/>
  <c r="X861" i="22"/>
  <c r="AD861" i="22" s="1"/>
  <c r="W861" i="22"/>
  <c r="AC861" i="22" s="1"/>
  <c r="V861" i="22"/>
  <c r="AB861" i="22" s="1"/>
  <c r="X860" i="22"/>
  <c r="AD860" i="22" s="1"/>
  <c r="W860" i="22"/>
  <c r="AC860" i="22" s="1"/>
  <c r="V860" i="22"/>
  <c r="AB860" i="22" s="1"/>
  <c r="X859" i="22"/>
  <c r="AD859" i="22" s="1"/>
  <c r="W859" i="22"/>
  <c r="AC859" i="22" s="1"/>
  <c r="V859" i="22"/>
  <c r="AB859" i="22" s="1"/>
  <c r="X858" i="22"/>
  <c r="AD858" i="22" s="1"/>
  <c r="W858" i="22"/>
  <c r="AC858" i="22" s="1"/>
  <c r="V858" i="22"/>
  <c r="AB858" i="22" s="1"/>
  <c r="X857" i="22"/>
  <c r="AD857" i="22" s="1"/>
  <c r="W857" i="22"/>
  <c r="AC857" i="22" s="1"/>
  <c r="V857" i="22"/>
  <c r="AB857" i="22" s="1"/>
  <c r="X856" i="22"/>
  <c r="AD856" i="22" s="1"/>
  <c r="W856" i="22"/>
  <c r="AC856" i="22" s="1"/>
  <c r="V856" i="22"/>
  <c r="AB856" i="22" s="1"/>
  <c r="X855" i="22"/>
  <c r="AD855" i="22" s="1"/>
  <c r="W855" i="22"/>
  <c r="AC855" i="22" s="1"/>
  <c r="V855" i="22"/>
  <c r="AB855" i="22" s="1"/>
  <c r="X854" i="22"/>
  <c r="AD854" i="22" s="1"/>
  <c r="W854" i="22"/>
  <c r="AC854" i="22" s="1"/>
  <c r="V854" i="22"/>
  <c r="AB854" i="22" s="1"/>
  <c r="X853" i="22"/>
  <c r="AD853" i="22" s="1"/>
  <c r="W853" i="22"/>
  <c r="AC853" i="22" s="1"/>
  <c r="V853" i="22"/>
  <c r="AB853" i="22" s="1"/>
  <c r="X852" i="22"/>
  <c r="AD852" i="22" s="1"/>
  <c r="W852" i="22"/>
  <c r="AC852" i="22" s="1"/>
  <c r="V852" i="22"/>
  <c r="AB852" i="22" s="1"/>
  <c r="X851" i="22"/>
  <c r="AD851" i="22" s="1"/>
  <c r="W851" i="22"/>
  <c r="AC851" i="22" s="1"/>
  <c r="V851" i="22"/>
  <c r="AB851" i="22" s="1"/>
  <c r="X850" i="22"/>
  <c r="AD850" i="22" s="1"/>
  <c r="W850" i="22"/>
  <c r="AC850" i="22" s="1"/>
  <c r="V850" i="22"/>
  <c r="AB850" i="22" s="1"/>
  <c r="X849" i="22"/>
  <c r="AD849" i="22" s="1"/>
  <c r="W849" i="22"/>
  <c r="AC849" i="22" s="1"/>
  <c r="V849" i="22"/>
  <c r="AB849" i="22" s="1"/>
  <c r="X848" i="22"/>
  <c r="AD848" i="22" s="1"/>
  <c r="W848" i="22"/>
  <c r="AC848" i="22" s="1"/>
  <c r="V848" i="22"/>
  <c r="AB848" i="22" s="1"/>
  <c r="X847" i="22"/>
  <c r="AD847" i="22" s="1"/>
  <c r="W847" i="22"/>
  <c r="AC847" i="22" s="1"/>
  <c r="V847" i="22"/>
  <c r="AB847" i="22" s="1"/>
  <c r="X846" i="22"/>
  <c r="AD846" i="22" s="1"/>
  <c r="W846" i="22"/>
  <c r="AC846" i="22" s="1"/>
  <c r="V846" i="22"/>
  <c r="AB846" i="22" s="1"/>
  <c r="X845" i="22"/>
  <c r="AD845" i="22" s="1"/>
  <c r="W845" i="22"/>
  <c r="AC845" i="22" s="1"/>
  <c r="V845" i="22"/>
  <c r="AB845" i="22" s="1"/>
  <c r="X844" i="22"/>
  <c r="AD844" i="22" s="1"/>
  <c r="W844" i="22"/>
  <c r="AC844" i="22" s="1"/>
  <c r="V844" i="22"/>
  <c r="AB844" i="22" s="1"/>
  <c r="X843" i="22"/>
  <c r="AD843" i="22" s="1"/>
  <c r="W843" i="22"/>
  <c r="AC843" i="22" s="1"/>
  <c r="V843" i="22"/>
  <c r="AB843" i="22" s="1"/>
  <c r="X842" i="22"/>
  <c r="AD842" i="22" s="1"/>
  <c r="W842" i="22"/>
  <c r="AC842" i="22" s="1"/>
  <c r="V842" i="22"/>
  <c r="AB842" i="22" s="1"/>
  <c r="X841" i="22"/>
  <c r="AD841" i="22" s="1"/>
  <c r="W841" i="22"/>
  <c r="AC841" i="22" s="1"/>
  <c r="V841" i="22"/>
  <c r="AB841" i="22" s="1"/>
  <c r="X840" i="22"/>
  <c r="AD840" i="22" s="1"/>
  <c r="W840" i="22"/>
  <c r="AC840" i="22" s="1"/>
  <c r="V840" i="22"/>
  <c r="AB840" i="22" s="1"/>
  <c r="X839" i="22"/>
  <c r="AD839" i="22" s="1"/>
  <c r="W839" i="22"/>
  <c r="AC839" i="22" s="1"/>
  <c r="V839" i="22"/>
  <c r="AB839" i="22" s="1"/>
  <c r="X838" i="22"/>
  <c r="AD838" i="22" s="1"/>
  <c r="W838" i="22"/>
  <c r="AC838" i="22" s="1"/>
  <c r="V838" i="22"/>
  <c r="AB838" i="22" s="1"/>
  <c r="X837" i="22"/>
  <c r="AD837" i="22" s="1"/>
  <c r="W837" i="22"/>
  <c r="AC837" i="22" s="1"/>
  <c r="V837" i="22"/>
  <c r="AB837" i="22" s="1"/>
  <c r="X836" i="22"/>
  <c r="AD836" i="22" s="1"/>
  <c r="W836" i="22"/>
  <c r="AC836" i="22" s="1"/>
  <c r="V836" i="22"/>
  <c r="AB836" i="22" s="1"/>
  <c r="X835" i="22"/>
  <c r="AD835" i="22" s="1"/>
  <c r="W835" i="22"/>
  <c r="AC835" i="22" s="1"/>
  <c r="V835" i="22"/>
  <c r="AB835" i="22" s="1"/>
  <c r="X834" i="22"/>
  <c r="AD834" i="22" s="1"/>
  <c r="W834" i="22"/>
  <c r="AC834" i="22" s="1"/>
  <c r="V834" i="22"/>
  <c r="AB834" i="22" s="1"/>
  <c r="X833" i="22"/>
  <c r="AD833" i="22" s="1"/>
  <c r="W833" i="22"/>
  <c r="AC833" i="22" s="1"/>
  <c r="V833" i="22"/>
  <c r="AB833" i="22" s="1"/>
  <c r="X832" i="22"/>
  <c r="AD832" i="22" s="1"/>
  <c r="W832" i="22"/>
  <c r="AC832" i="22" s="1"/>
  <c r="V832" i="22"/>
  <c r="AB832" i="22" s="1"/>
  <c r="X831" i="22"/>
  <c r="AD831" i="22" s="1"/>
  <c r="W831" i="22"/>
  <c r="AC831" i="22" s="1"/>
  <c r="V831" i="22"/>
  <c r="AB831" i="22" s="1"/>
  <c r="X830" i="22"/>
  <c r="AD830" i="22" s="1"/>
  <c r="W830" i="22"/>
  <c r="AC830" i="22" s="1"/>
  <c r="V830" i="22"/>
  <c r="AB830" i="22" s="1"/>
  <c r="X829" i="22"/>
  <c r="AD829" i="22" s="1"/>
  <c r="W829" i="22"/>
  <c r="AC829" i="22" s="1"/>
  <c r="V829" i="22"/>
  <c r="AB829" i="22" s="1"/>
  <c r="X828" i="22"/>
  <c r="AD828" i="22" s="1"/>
  <c r="W828" i="22"/>
  <c r="AC828" i="22" s="1"/>
  <c r="V828" i="22"/>
  <c r="AB828" i="22" s="1"/>
  <c r="X827" i="22"/>
  <c r="AD827" i="22" s="1"/>
  <c r="W827" i="22"/>
  <c r="AC827" i="22" s="1"/>
  <c r="V827" i="22"/>
  <c r="AB827" i="22" s="1"/>
  <c r="X826" i="22"/>
  <c r="AD826" i="22" s="1"/>
  <c r="W826" i="22"/>
  <c r="AC826" i="22" s="1"/>
  <c r="V826" i="22"/>
  <c r="AB826" i="22" s="1"/>
  <c r="X825" i="22"/>
  <c r="AD825" i="22" s="1"/>
  <c r="W825" i="22"/>
  <c r="AC825" i="22" s="1"/>
  <c r="V825" i="22"/>
  <c r="AB825" i="22" s="1"/>
  <c r="X824" i="22"/>
  <c r="AD824" i="22" s="1"/>
  <c r="W824" i="22"/>
  <c r="AC824" i="22" s="1"/>
  <c r="V824" i="22"/>
  <c r="AB824" i="22" s="1"/>
  <c r="X823" i="22"/>
  <c r="AD823" i="22" s="1"/>
  <c r="W823" i="22"/>
  <c r="AC823" i="22" s="1"/>
  <c r="V823" i="22"/>
  <c r="AB823" i="22" s="1"/>
  <c r="X822" i="22"/>
  <c r="AD822" i="22" s="1"/>
  <c r="W822" i="22"/>
  <c r="AC822" i="22" s="1"/>
  <c r="V822" i="22"/>
  <c r="AB822" i="22" s="1"/>
  <c r="X821" i="22"/>
  <c r="AD821" i="22" s="1"/>
  <c r="W821" i="22"/>
  <c r="AC821" i="22" s="1"/>
  <c r="V821" i="22"/>
  <c r="AB821" i="22" s="1"/>
  <c r="X820" i="22"/>
  <c r="AD820" i="22" s="1"/>
  <c r="W820" i="22"/>
  <c r="AC820" i="22" s="1"/>
  <c r="V820" i="22"/>
  <c r="AB820" i="22" s="1"/>
  <c r="X819" i="22"/>
  <c r="AD819" i="22" s="1"/>
  <c r="W819" i="22"/>
  <c r="AC819" i="22" s="1"/>
  <c r="V819" i="22"/>
  <c r="AB819" i="22" s="1"/>
  <c r="X818" i="22"/>
  <c r="AD818" i="22" s="1"/>
  <c r="W818" i="22"/>
  <c r="AC818" i="22" s="1"/>
  <c r="V818" i="22"/>
  <c r="AB818" i="22" s="1"/>
  <c r="X817" i="22"/>
  <c r="AD817" i="22" s="1"/>
  <c r="W817" i="22"/>
  <c r="AC817" i="22" s="1"/>
  <c r="V817" i="22"/>
  <c r="AB817" i="22" s="1"/>
  <c r="X816" i="22"/>
  <c r="AD816" i="22" s="1"/>
  <c r="W816" i="22"/>
  <c r="AC816" i="22" s="1"/>
  <c r="V816" i="22"/>
  <c r="AB816" i="22" s="1"/>
  <c r="X815" i="22"/>
  <c r="AD815" i="22" s="1"/>
  <c r="W815" i="22"/>
  <c r="AC815" i="22" s="1"/>
  <c r="V815" i="22"/>
  <c r="AB815" i="22" s="1"/>
  <c r="X814" i="22"/>
  <c r="AD814" i="22" s="1"/>
  <c r="W814" i="22"/>
  <c r="AC814" i="22" s="1"/>
  <c r="V814" i="22"/>
  <c r="AB814" i="22" s="1"/>
  <c r="X813" i="22"/>
  <c r="AD813" i="22" s="1"/>
  <c r="W813" i="22"/>
  <c r="AC813" i="22" s="1"/>
  <c r="V813" i="22"/>
  <c r="AB813" i="22" s="1"/>
  <c r="X812" i="22"/>
  <c r="AD812" i="22" s="1"/>
  <c r="W812" i="22"/>
  <c r="AC812" i="22" s="1"/>
  <c r="V812" i="22"/>
  <c r="AB812" i="22" s="1"/>
  <c r="X811" i="22"/>
  <c r="AD811" i="22" s="1"/>
  <c r="W811" i="22"/>
  <c r="AC811" i="22" s="1"/>
  <c r="V811" i="22"/>
  <c r="AB811" i="22" s="1"/>
  <c r="X810" i="22"/>
  <c r="AD810" i="22" s="1"/>
  <c r="W810" i="22"/>
  <c r="AC810" i="22" s="1"/>
  <c r="V810" i="22"/>
  <c r="AB810" i="22" s="1"/>
  <c r="X809" i="22"/>
  <c r="AD809" i="22" s="1"/>
  <c r="W809" i="22"/>
  <c r="AC809" i="22" s="1"/>
  <c r="V809" i="22"/>
  <c r="AB809" i="22" s="1"/>
  <c r="X808" i="22"/>
  <c r="AD808" i="22" s="1"/>
  <c r="W808" i="22"/>
  <c r="AC808" i="22" s="1"/>
  <c r="V808" i="22"/>
  <c r="AB808" i="22" s="1"/>
  <c r="X807" i="22"/>
  <c r="AD807" i="22" s="1"/>
  <c r="W807" i="22"/>
  <c r="AC807" i="22" s="1"/>
  <c r="V807" i="22"/>
  <c r="AB807" i="22" s="1"/>
  <c r="X806" i="22"/>
  <c r="AD806" i="22" s="1"/>
  <c r="W806" i="22"/>
  <c r="AC806" i="22" s="1"/>
  <c r="V806" i="22"/>
  <c r="AB806" i="22" s="1"/>
  <c r="X805" i="22"/>
  <c r="AD805" i="22" s="1"/>
  <c r="W805" i="22"/>
  <c r="AC805" i="22" s="1"/>
  <c r="V805" i="22"/>
  <c r="AB805" i="22" s="1"/>
  <c r="X804" i="22"/>
  <c r="AD804" i="22" s="1"/>
  <c r="W804" i="22"/>
  <c r="AC804" i="22" s="1"/>
  <c r="V804" i="22"/>
  <c r="AB804" i="22" s="1"/>
  <c r="X803" i="22"/>
  <c r="AD803" i="22" s="1"/>
  <c r="W803" i="22"/>
  <c r="AC803" i="22" s="1"/>
  <c r="V803" i="22"/>
  <c r="AB803" i="22" s="1"/>
  <c r="X802" i="22"/>
  <c r="AD802" i="22" s="1"/>
  <c r="W802" i="22"/>
  <c r="AC802" i="22" s="1"/>
  <c r="V802" i="22"/>
  <c r="AB802" i="22" s="1"/>
  <c r="X801" i="22"/>
  <c r="AD801" i="22" s="1"/>
  <c r="W801" i="22"/>
  <c r="AC801" i="22" s="1"/>
  <c r="V801" i="22"/>
  <c r="AB801" i="22" s="1"/>
  <c r="X800" i="22"/>
  <c r="AD800" i="22" s="1"/>
  <c r="W800" i="22"/>
  <c r="AC800" i="22" s="1"/>
  <c r="V800" i="22"/>
  <c r="AB800" i="22" s="1"/>
  <c r="X799" i="22"/>
  <c r="AD799" i="22" s="1"/>
  <c r="W799" i="22"/>
  <c r="AC799" i="22" s="1"/>
  <c r="V799" i="22"/>
  <c r="AB799" i="22" s="1"/>
  <c r="X798" i="22"/>
  <c r="AD798" i="22" s="1"/>
  <c r="W798" i="22"/>
  <c r="AC798" i="22" s="1"/>
  <c r="V798" i="22"/>
  <c r="AB798" i="22" s="1"/>
  <c r="X797" i="22"/>
  <c r="AD797" i="22" s="1"/>
  <c r="W797" i="22"/>
  <c r="AC797" i="22" s="1"/>
  <c r="V797" i="22"/>
  <c r="AB797" i="22" s="1"/>
  <c r="X796" i="22"/>
  <c r="AD796" i="22" s="1"/>
  <c r="W796" i="22"/>
  <c r="AC796" i="22" s="1"/>
  <c r="V796" i="22"/>
  <c r="AB796" i="22" s="1"/>
  <c r="X795" i="22"/>
  <c r="AD795" i="22" s="1"/>
  <c r="W795" i="22"/>
  <c r="AC795" i="22" s="1"/>
  <c r="V795" i="22"/>
  <c r="AB795" i="22" s="1"/>
  <c r="X794" i="22"/>
  <c r="AD794" i="22" s="1"/>
  <c r="W794" i="22"/>
  <c r="AC794" i="22" s="1"/>
  <c r="V794" i="22"/>
  <c r="AB794" i="22" s="1"/>
  <c r="X793" i="22"/>
  <c r="AD793" i="22" s="1"/>
  <c r="W793" i="22"/>
  <c r="AC793" i="22" s="1"/>
  <c r="V793" i="22"/>
  <c r="AB793" i="22" s="1"/>
  <c r="X792" i="22"/>
  <c r="AD792" i="22" s="1"/>
  <c r="W792" i="22"/>
  <c r="AC792" i="22" s="1"/>
  <c r="V792" i="22"/>
  <c r="AB792" i="22" s="1"/>
  <c r="X791" i="22"/>
  <c r="AD791" i="22" s="1"/>
  <c r="W791" i="22"/>
  <c r="AC791" i="22" s="1"/>
  <c r="V791" i="22"/>
  <c r="AB791" i="22" s="1"/>
  <c r="X790" i="22"/>
  <c r="AD790" i="22" s="1"/>
  <c r="W790" i="22"/>
  <c r="AC790" i="22" s="1"/>
  <c r="V790" i="22"/>
  <c r="AB790" i="22" s="1"/>
  <c r="X789" i="22"/>
  <c r="AD789" i="22" s="1"/>
  <c r="W789" i="22"/>
  <c r="AC789" i="22" s="1"/>
  <c r="V789" i="22"/>
  <c r="AB789" i="22" s="1"/>
  <c r="X788" i="22"/>
  <c r="AD788" i="22" s="1"/>
  <c r="W788" i="22"/>
  <c r="AC788" i="22" s="1"/>
  <c r="V788" i="22"/>
  <c r="AB788" i="22" s="1"/>
  <c r="X787" i="22"/>
  <c r="AD787" i="22" s="1"/>
  <c r="W787" i="22"/>
  <c r="AC787" i="22" s="1"/>
  <c r="V787" i="22"/>
  <c r="AB787" i="22" s="1"/>
  <c r="X786" i="22"/>
  <c r="AD786" i="22" s="1"/>
  <c r="W786" i="22"/>
  <c r="AC786" i="22" s="1"/>
  <c r="V786" i="22"/>
  <c r="AB786" i="22" s="1"/>
  <c r="X785" i="22"/>
  <c r="AD785" i="22" s="1"/>
  <c r="W785" i="22"/>
  <c r="AC785" i="22" s="1"/>
  <c r="V785" i="22"/>
  <c r="AB785" i="22" s="1"/>
  <c r="X784" i="22"/>
  <c r="AD784" i="22" s="1"/>
  <c r="W784" i="22"/>
  <c r="AC784" i="22" s="1"/>
  <c r="V784" i="22"/>
  <c r="AB784" i="22" s="1"/>
  <c r="X783" i="22"/>
  <c r="AD783" i="22" s="1"/>
  <c r="W783" i="22"/>
  <c r="AC783" i="22" s="1"/>
  <c r="V783" i="22"/>
  <c r="AB783" i="22" s="1"/>
  <c r="X782" i="22"/>
  <c r="AD782" i="22" s="1"/>
  <c r="W782" i="22"/>
  <c r="AC782" i="22" s="1"/>
  <c r="V782" i="22"/>
  <c r="AB782" i="22" s="1"/>
  <c r="X781" i="22"/>
  <c r="AD781" i="22" s="1"/>
  <c r="W781" i="22"/>
  <c r="AC781" i="22" s="1"/>
  <c r="V781" i="22"/>
  <c r="AB781" i="22" s="1"/>
  <c r="X780" i="22"/>
  <c r="AD780" i="22" s="1"/>
  <c r="W780" i="22"/>
  <c r="AC780" i="22" s="1"/>
  <c r="V780" i="22"/>
  <c r="AB780" i="22" s="1"/>
  <c r="X779" i="22"/>
  <c r="AD779" i="22" s="1"/>
  <c r="W779" i="22"/>
  <c r="AC779" i="22" s="1"/>
  <c r="V779" i="22"/>
  <c r="AB779" i="22" s="1"/>
  <c r="X778" i="22"/>
  <c r="AD778" i="22" s="1"/>
  <c r="W778" i="22"/>
  <c r="AC778" i="22" s="1"/>
  <c r="V778" i="22"/>
  <c r="AB778" i="22" s="1"/>
  <c r="X777" i="22"/>
  <c r="AD777" i="22" s="1"/>
  <c r="W777" i="22"/>
  <c r="AC777" i="22" s="1"/>
  <c r="V777" i="22"/>
  <c r="AB777" i="22" s="1"/>
  <c r="X776" i="22"/>
  <c r="AD776" i="22" s="1"/>
  <c r="W776" i="22"/>
  <c r="AC776" i="22" s="1"/>
  <c r="V776" i="22"/>
  <c r="AB776" i="22" s="1"/>
  <c r="X775" i="22"/>
  <c r="AD775" i="22" s="1"/>
  <c r="W775" i="22"/>
  <c r="AC775" i="22" s="1"/>
  <c r="V775" i="22"/>
  <c r="AB775" i="22" s="1"/>
  <c r="X774" i="22"/>
  <c r="AD774" i="22" s="1"/>
  <c r="W774" i="22"/>
  <c r="AC774" i="22" s="1"/>
  <c r="V774" i="22"/>
  <c r="AB774" i="22" s="1"/>
  <c r="X773" i="22"/>
  <c r="AD773" i="22" s="1"/>
  <c r="W773" i="22"/>
  <c r="AC773" i="22" s="1"/>
  <c r="V773" i="22"/>
  <c r="AB773" i="22" s="1"/>
  <c r="X772" i="22"/>
  <c r="AD772" i="22" s="1"/>
  <c r="W772" i="22"/>
  <c r="AC772" i="22" s="1"/>
  <c r="V772" i="22"/>
  <c r="AB772" i="22" s="1"/>
  <c r="X771" i="22"/>
  <c r="AD771" i="22" s="1"/>
  <c r="W771" i="22"/>
  <c r="AC771" i="22" s="1"/>
  <c r="V771" i="22"/>
  <c r="AB771" i="22" s="1"/>
  <c r="X770" i="22"/>
  <c r="AD770" i="22" s="1"/>
  <c r="W770" i="22"/>
  <c r="AC770" i="22" s="1"/>
  <c r="V770" i="22"/>
  <c r="AB770" i="22" s="1"/>
  <c r="X769" i="22"/>
  <c r="AD769" i="22" s="1"/>
  <c r="W769" i="22"/>
  <c r="AC769" i="22" s="1"/>
  <c r="V769" i="22"/>
  <c r="AB769" i="22" s="1"/>
  <c r="X768" i="22"/>
  <c r="AD768" i="22" s="1"/>
  <c r="W768" i="22"/>
  <c r="AC768" i="22" s="1"/>
  <c r="V768" i="22"/>
  <c r="AB768" i="22" s="1"/>
  <c r="X767" i="22"/>
  <c r="AD767" i="22" s="1"/>
  <c r="W767" i="22"/>
  <c r="AC767" i="22" s="1"/>
  <c r="V767" i="22"/>
  <c r="AB767" i="22" s="1"/>
  <c r="X766" i="22"/>
  <c r="AD766" i="22" s="1"/>
  <c r="W766" i="22"/>
  <c r="AC766" i="22" s="1"/>
  <c r="V766" i="22"/>
  <c r="AB766" i="22" s="1"/>
  <c r="X765" i="22"/>
  <c r="AD765" i="22" s="1"/>
  <c r="W765" i="22"/>
  <c r="AC765" i="22" s="1"/>
  <c r="V765" i="22"/>
  <c r="AB765" i="22" s="1"/>
  <c r="X764" i="22"/>
  <c r="AD764" i="22" s="1"/>
  <c r="W764" i="22"/>
  <c r="AC764" i="22" s="1"/>
  <c r="V764" i="22"/>
  <c r="AB764" i="22" s="1"/>
  <c r="X763" i="22"/>
  <c r="AD763" i="22" s="1"/>
  <c r="W763" i="22"/>
  <c r="AC763" i="22" s="1"/>
  <c r="V763" i="22"/>
  <c r="AB763" i="22" s="1"/>
  <c r="X762" i="22"/>
  <c r="AD762" i="22" s="1"/>
  <c r="W762" i="22"/>
  <c r="AC762" i="22" s="1"/>
  <c r="V762" i="22"/>
  <c r="AB762" i="22" s="1"/>
  <c r="X761" i="22"/>
  <c r="AD761" i="22" s="1"/>
  <c r="W761" i="22"/>
  <c r="AC761" i="22" s="1"/>
  <c r="V761" i="22"/>
  <c r="AB761" i="22" s="1"/>
  <c r="X760" i="22"/>
  <c r="AD760" i="22" s="1"/>
  <c r="W760" i="22"/>
  <c r="AC760" i="22" s="1"/>
  <c r="V760" i="22"/>
  <c r="AB760" i="22" s="1"/>
  <c r="X759" i="22"/>
  <c r="AD759" i="22" s="1"/>
  <c r="W759" i="22"/>
  <c r="AC759" i="22" s="1"/>
  <c r="V759" i="22"/>
  <c r="AB759" i="22" s="1"/>
  <c r="X758" i="22"/>
  <c r="AD758" i="22" s="1"/>
  <c r="W758" i="22"/>
  <c r="AC758" i="22" s="1"/>
  <c r="V758" i="22"/>
  <c r="AB758" i="22" s="1"/>
  <c r="X757" i="22"/>
  <c r="AD757" i="22" s="1"/>
  <c r="W757" i="22"/>
  <c r="AC757" i="22" s="1"/>
  <c r="V757" i="22"/>
  <c r="AB757" i="22" s="1"/>
  <c r="X756" i="22"/>
  <c r="AD756" i="22" s="1"/>
  <c r="W756" i="22"/>
  <c r="AC756" i="22" s="1"/>
  <c r="V756" i="22"/>
  <c r="AB756" i="22" s="1"/>
  <c r="X755" i="22"/>
  <c r="AD755" i="22" s="1"/>
  <c r="W755" i="22"/>
  <c r="AC755" i="22" s="1"/>
  <c r="V755" i="22"/>
  <c r="AB755" i="22" s="1"/>
  <c r="X754" i="22"/>
  <c r="AD754" i="22" s="1"/>
  <c r="W754" i="22"/>
  <c r="AC754" i="22" s="1"/>
  <c r="V754" i="22"/>
  <c r="AB754" i="22" s="1"/>
  <c r="X753" i="22"/>
  <c r="AD753" i="22" s="1"/>
  <c r="W753" i="22"/>
  <c r="AC753" i="22" s="1"/>
  <c r="V753" i="22"/>
  <c r="AB753" i="22" s="1"/>
  <c r="X752" i="22"/>
  <c r="AD752" i="22" s="1"/>
  <c r="W752" i="22"/>
  <c r="AC752" i="22" s="1"/>
  <c r="V752" i="22"/>
  <c r="AB752" i="22" s="1"/>
  <c r="X751" i="22"/>
  <c r="AD751" i="22" s="1"/>
  <c r="W751" i="22"/>
  <c r="AC751" i="22" s="1"/>
  <c r="V751" i="22"/>
  <c r="AB751" i="22" s="1"/>
  <c r="X750" i="22"/>
  <c r="AD750" i="22" s="1"/>
  <c r="W750" i="22"/>
  <c r="AC750" i="22" s="1"/>
  <c r="V750" i="22"/>
  <c r="AB750" i="22" s="1"/>
  <c r="X749" i="22"/>
  <c r="AD749" i="22" s="1"/>
  <c r="W749" i="22"/>
  <c r="AC749" i="22" s="1"/>
  <c r="V749" i="22"/>
  <c r="AB749" i="22" s="1"/>
  <c r="X748" i="22"/>
  <c r="AD748" i="22" s="1"/>
  <c r="W748" i="22"/>
  <c r="AC748" i="22" s="1"/>
  <c r="V748" i="22"/>
  <c r="AB748" i="22" s="1"/>
  <c r="X747" i="22"/>
  <c r="AD747" i="22" s="1"/>
  <c r="W747" i="22"/>
  <c r="AC747" i="22" s="1"/>
  <c r="V747" i="22"/>
  <c r="AB747" i="22" s="1"/>
  <c r="X746" i="22"/>
  <c r="AD746" i="22" s="1"/>
  <c r="W746" i="22"/>
  <c r="AC746" i="22" s="1"/>
  <c r="V746" i="22"/>
  <c r="AB746" i="22" s="1"/>
  <c r="X745" i="22"/>
  <c r="AD745" i="22" s="1"/>
  <c r="W745" i="22"/>
  <c r="AC745" i="22" s="1"/>
  <c r="V745" i="22"/>
  <c r="AB745" i="22" s="1"/>
  <c r="X744" i="22"/>
  <c r="AD744" i="22" s="1"/>
  <c r="W744" i="22"/>
  <c r="AC744" i="22" s="1"/>
  <c r="V744" i="22"/>
  <c r="AB744" i="22" s="1"/>
  <c r="X743" i="22"/>
  <c r="AD743" i="22" s="1"/>
  <c r="W743" i="22"/>
  <c r="AC743" i="22" s="1"/>
  <c r="V743" i="22"/>
  <c r="AB743" i="22" s="1"/>
  <c r="X742" i="22"/>
  <c r="AD742" i="22" s="1"/>
  <c r="W742" i="22"/>
  <c r="AC742" i="22" s="1"/>
  <c r="V742" i="22"/>
  <c r="AB742" i="22" s="1"/>
  <c r="X741" i="22"/>
  <c r="AD741" i="22" s="1"/>
  <c r="W741" i="22"/>
  <c r="AC741" i="22" s="1"/>
  <c r="V741" i="22"/>
  <c r="AB741" i="22" s="1"/>
  <c r="X740" i="22"/>
  <c r="AD740" i="22" s="1"/>
  <c r="W740" i="22"/>
  <c r="AC740" i="22" s="1"/>
  <c r="V740" i="22"/>
  <c r="AB740" i="22" s="1"/>
  <c r="X739" i="22"/>
  <c r="AD739" i="22" s="1"/>
  <c r="W739" i="22"/>
  <c r="AC739" i="22" s="1"/>
  <c r="V739" i="22"/>
  <c r="AB739" i="22" s="1"/>
  <c r="X738" i="22"/>
  <c r="AD738" i="22" s="1"/>
  <c r="W738" i="22"/>
  <c r="AC738" i="22" s="1"/>
  <c r="V738" i="22"/>
  <c r="AB738" i="22" s="1"/>
  <c r="X737" i="22"/>
  <c r="AD737" i="22" s="1"/>
  <c r="W737" i="22"/>
  <c r="AC737" i="22" s="1"/>
  <c r="V737" i="22"/>
  <c r="AB737" i="22" s="1"/>
  <c r="X736" i="22"/>
  <c r="AD736" i="22" s="1"/>
  <c r="W736" i="22"/>
  <c r="AC736" i="22" s="1"/>
  <c r="V736" i="22"/>
  <c r="AB736" i="22" s="1"/>
  <c r="X735" i="22"/>
  <c r="AD735" i="22" s="1"/>
  <c r="W735" i="22"/>
  <c r="AC735" i="22" s="1"/>
  <c r="V735" i="22"/>
  <c r="AB735" i="22" s="1"/>
  <c r="X734" i="22"/>
  <c r="AD734" i="22" s="1"/>
  <c r="W734" i="22"/>
  <c r="AC734" i="22" s="1"/>
  <c r="V734" i="22"/>
  <c r="AB734" i="22" s="1"/>
  <c r="X733" i="22"/>
  <c r="AD733" i="22" s="1"/>
  <c r="W733" i="22"/>
  <c r="AC733" i="22" s="1"/>
  <c r="V733" i="22"/>
  <c r="AB733" i="22" s="1"/>
  <c r="X732" i="22"/>
  <c r="AD732" i="22" s="1"/>
  <c r="W732" i="22"/>
  <c r="AC732" i="22" s="1"/>
  <c r="V732" i="22"/>
  <c r="AB732" i="22" s="1"/>
  <c r="X731" i="22"/>
  <c r="AD731" i="22" s="1"/>
  <c r="W731" i="22"/>
  <c r="AC731" i="22" s="1"/>
  <c r="V731" i="22"/>
  <c r="AB731" i="22" s="1"/>
  <c r="X730" i="22"/>
  <c r="AD730" i="22" s="1"/>
  <c r="W730" i="22"/>
  <c r="AC730" i="22" s="1"/>
  <c r="V730" i="22"/>
  <c r="AB730" i="22" s="1"/>
  <c r="X729" i="22"/>
  <c r="AD729" i="22" s="1"/>
  <c r="W729" i="22"/>
  <c r="AC729" i="22" s="1"/>
  <c r="V729" i="22"/>
  <c r="AB729" i="22" s="1"/>
  <c r="X728" i="22"/>
  <c r="AD728" i="22" s="1"/>
  <c r="W728" i="22"/>
  <c r="AC728" i="22" s="1"/>
  <c r="V728" i="22"/>
  <c r="AB728" i="22" s="1"/>
  <c r="X727" i="22"/>
  <c r="AD727" i="22" s="1"/>
  <c r="W727" i="22"/>
  <c r="AC727" i="22" s="1"/>
  <c r="V727" i="22"/>
  <c r="AB727" i="22" s="1"/>
  <c r="X726" i="22"/>
  <c r="AD726" i="22" s="1"/>
  <c r="W726" i="22"/>
  <c r="AC726" i="22" s="1"/>
  <c r="V726" i="22"/>
  <c r="AB726" i="22" s="1"/>
  <c r="X725" i="22"/>
  <c r="AD725" i="22" s="1"/>
  <c r="W725" i="22"/>
  <c r="AC725" i="22" s="1"/>
  <c r="V725" i="22"/>
  <c r="AB725" i="22" s="1"/>
  <c r="X724" i="22"/>
  <c r="AD724" i="22" s="1"/>
  <c r="W724" i="22"/>
  <c r="AC724" i="22" s="1"/>
  <c r="V724" i="22"/>
  <c r="AB724" i="22" s="1"/>
  <c r="X723" i="22"/>
  <c r="AD723" i="22" s="1"/>
  <c r="W723" i="22"/>
  <c r="AC723" i="22" s="1"/>
  <c r="V723" i="22"/>
  <c r="AB723" i="22" s="1"/>
  <c r="X722" i="22"/>
  <c r="AD722" i="22" s="1"/>
  <c r="W722" i="22"/>
  <c r="AC722" i="22" s="1"/>
  <c r="V722" i="22"/>
  <c r="AB722" i="22" s="1"/>
  <c r="X721" i="22"/>
  <c r="AD721" i="22" s="1"/>
  <c r="W721" i="22"/>
  <c r="AC721" i="22" s="1"/>
  <c r="V721" i="22"/>
  <c r="AB721" i="22" s="1"/>
  <c r="X720" i="22"/>
  <c r="AD720" i="22" s="1"/>
  <c r="W720" i="22"/>
  <c r="AC720" i="22" s="1"/>
  <c r="V720" i="22"/>
  <c r="AB720" i="22" s="1"/>
  <c r="X719" i="22"/>
  <c r="AD719" i="22" s="1"/>
  <c r="W719" i="22"/>
  <c r="AC719" i="22" s="1"/>
  <c r="V719" i="22"/>
  <c r="AB719" i="22" s="1"/>
  <c r="X718" i="22"/>
  <c r="AD718" i="22" s="1"/>
  <c r="W718" i="22"/>
  <c r="AC718" i="22" s="1"/>
  <c r="V718" i="22"/>
  <c r="AB718" i="22" s="1"/>
  <c r="X717" i="22"/>
  <c r="AD717" i="22" s="1"/>
  <c r="W717" i="22"/>
  <c r="AC717" i="22" s="1"/>
  <c r="V717" i="22"/>
  <c r="AB717" i="22" s="1"/>
  <c r="X716" i="22"/>
  <c r="AD716" i="22" s="1"/>
  <c r="W716" i="22"/>
  <c r="AC716" i="22" s="1"/>
  <c r="V716" i="22"/>
  <c r="AB716" i="22" s="1"/>
  <c r="X715" i="22"/>
  <c r="AD715" i="22" s="1"/>
  <c r="W715" i="22"/>
  <c r="AC715" i="22" s="1"/>
  <c r="V715" i="22"/>
  <c r="AB715" i="22" s="1"/>
  <c r="X714" i="22"/>
  <c r="AD714" i="22" s="1"/>
  <c r="W714" i="22"/>
  <c r="AC714" i="22" s="1"/>
  <c r="V714" i="22"/>
  <c r="AB714" i="22" s="1"/>
  <c r="X713" i="22"/>
  <c r="AD713" i="22" s="1"/>
  <c r="W713" i="22"/>
  <c r="AC713" i="22" s="1"/>
  <c r="V713" i="22"/>
  <c r="AB713" i="22" s="1"/>
  <c r="X712" i="22"/>
  <c r="AD712" i="22" s="1"/>
  <c r="W712" i="22"/>
  <c r="AC712" i="22" s="1"/>
  <c r="V712" i="22"/>
  <c r="AB712" i="22" s="1"/>
  <c r="X711" i="22"/>
  <c r="AD711" i="22" s="1"/>
  <c r="W711" i="22"/>
  <c r="AC711" i="22" s="1"/>
  <c r="V711" i="22"/>
  <c r="AB711" i="22" s="1"/>
  <c r="X710" i="22"/>
  <c r="AD710" i="22" s="1"/>
  <c r="W710" i="22"/>
  <c r="AC710" i="22" s="1"/>
  <c r="V710" i="22"/>
  <c r="AB710" i="22" s="1"/>
  <c r="X709" i="22"/>
  <c r="AD709" i="22" s="1"/>
  <c r="W709" i="22"/>
  <c r="AC709" i="22" s="1"/>
  <c r="V709" i="22"/>
  <c r="AB709" i="22" s="1"/>
  <c r="X708" i="22"/>
  <c r="AD708" i="22" s="1"/>
  <c r="W708" i="22"/>
  <c r="AC708" i="22" s="1"/>
  <c r="V708" i="22"/>
  <c r="AB708" i="22" s="1"/>
  <c r="X707" i="22"/>
  <c r="AD707" i="22" s="1"/>
  <c r="W707" i="22"/>
  <c r="AC707" i="22" s="1"/>
  <c r="V707" i="22"/>
  <c r="AB707" i="22" s="1"/>
  <c r="X706" i="22"/>
  <c r="AD706" i="22" s="1"/>
  <c r="W706" i="22"/>
  <c r="AC706" i="22" s="1"/>
  <c r="V706" i="22"/>
  <c r="AB706" i="22" s="1"/>
  <c r="X705" i="22"/>
  <c r="AD705" i="22" s="1"/>
  <c r="W705" i="22"/>
  <c r="AC705" i="22" s="1"/>
  <c r="V705" i="22"/>
  <c r="AB705" i="22" s="1"/>
  <c r="X704" i="22"/>
  <c r="AD704" i="22" s="1"/>
  <c r="W704" i="22"/>
  <c r="AC704" i="22" s="1"/>
  <c r="V704" i="22"/>
  <c r="AB704" i="22" s="1"/>
  <c r="X703" i="22"/>
  <c r="AD703" i="22" s="1"/>
  <c r="W703" i="22"/>
  <c r="AC703" i="22" s="1"/>
  <c r="V703" i="22"/>
  <c r="AB703" i="22" s="1"/>
  <c r="X606" i="22"/>
  <c r="AD606" i="22" s="1"/>
  <c r="W606" i="22"/>
  <c r="AC606" i="22" s="1"/>
  <c r="V606" i="22"/>
  <c r="AB606" i="22" s="1"/>
  <c r="X605" i="22"/>
  <c r="AD605" i="22" s="1"/>
  <c r="W605" i="22"/>
  <c r="AC605" i="22" s="1"/>
  <c r="V605" i="22"/>
  <c r="AB605" i="22" s="1"/>
  <c r="X604" i="22"/>
  <c r="AD604" i="22" s="1"/>
  <c r="W604" i="22"/>
  <c r="AC604" i="22" s="1"/>
  <c r="V604" i="22"/>
  <c r="AB604" i="22" s="1"/>
  <c r="X603" i="22"/>
  <c r="AD603" i="22" s="1"/>
  <c r="W603" i="22"/>
  <c r="AC603" i="22" s="1"/>
  <c r="V603" i="22"/>
  <c r="AB603" i="22" s="1"/>
  <c r="X602" i="22"/>
  <c r="AD602" i="22" s="1"/>
  <c r="W602" i="22"/>
  <c r="AC602" i="22" s="1"/>
  <c r="V602" i="22"/>
  <c r="AB602" i="22" s="1"/>
  <c r="X601" i="22"/>
  <c r="AD601" i="22" s="1"/>
  <c r="W601" i="22"/>
  <c r="AC601" i="22" s="1"/>
  <c r="V601" i="22"/>
  <c r="AB601" i="22" s="1"/>
  <c r="X600" i="22"/>
  <c r="AD600" i="22" s="1"/>
  <c r="W600" i="22"/>
  <c r="AC600" i="22" s="1"/>
  <c r="V600" i="22"/>
  <c r="AB600" i="22" s="1"/>
  <c r="X599" i="22"/>
  <c r="AD599" i="22" s="1"/>
  <c r="W599" i="22"/>
  <c r="AC599" i="22" s="1"/>
  <c r="V599" i="22"/>
  <c r="AB599" i="22" s="1"/>
  <c r="X598" i="22"/>
  <c r="AD598" i="22" s="1"/>
  <c r="W598" i="22"/>
  <c r="AC598" i="22" s="1"/>
  <c r="V598" i="22"/>
  <c r="AB598" i="22" s="1"/>
  <c r="X597" i="22"/>
  <c r="AD597" i="22" s="1"/>
  <c r="W597" i="22"/>
  <c r="AC597" i="22" s="1"/>
  <c r="V597" i="22"/>
  <c r="AB597" i="22" s="1"/>
  <c r="X596" i="22"/>
  <c r="AD596" i="22" s="1"/>
  <c r="W596" i="22"/>
  <c r="AC596" i="22" s="1"/>
  <c r="V596" i="22"/>
  <c r="AB596" i="22" s="1"/>
  <c r="X595" i="22"/>
  <c r="AD595" i="22" s="1"/>
  <c r="W595" i="22"/>
  <c r="AC595" i="22" s="1"/>
  <c r="V595" i="22"/>
  <c r="AB595" i="22" s="1"/>
  <c r="X594" i="22"/>
  <c r="AD594" i="22" s="1"/>
  <c r="W594" i="22"/>
  <c r="AC594" i="22" s="1"/>
  <c r="V594" i="22"/>
  <c r="AB594" i="22" s="1"/>
  <c r="X593" i="22"/>
  <c r="AD593" i="22" s="1"/>
  <c r="W593" i="22"/>
  <c r="AC593" i="22" s="1"/>
  <c r="V593" i="22"/>
  <c r="AB593" i="22" s="1"/>
  <c r="X592" i="22"/>
  <c r="AD592" i="22" s="1"/>
  <c r="W592" i="22"/>
  <c r="AC592" i="22" s="1"/>
  <c r="V592" i="22"/>
  <c r="AB592" i="22" s="1"/>
  <c r="X591" i="22"/>
  <c r="AD591" i="22" s="1"/>
  <c r="W591" i="22"/>
  <c r="AC591" i="22" s="1"/>
  <c r="V591" i="22"/>
  <c r="AB591" i="22" s="1"/>
  <c r="X590" i="22"/>
  <c r="AD590" i="22" s="1"/>
  <c r="W590" i="22"/>
  <c r="AC590" i="22" s="1"/>
  <c r="V590" i="22"/>
  <c r="AB590" i="22" s="1"/>
  <c r="X589" i="22"/>
  <c r="AD589" i="22" s="1"/>
  <c r="W589" i="22"/>
  <c r="AC589" i="22" s="1"/>
  <c r="V589" i="22"/>
  <c r="AB589" i="22" s="1"/>
  <c r="X588" i="22"/>
  <c r="AD588" i="22" s="1"/>
  <c r="W588" i="22"/>
  <c r="AC588" i="22" s="1"/>
  <c r="V588" i="22"/>
  <c r="AB588" i="22" s="1"/>
  <c r="X587" i="22"/>
  <c r="AD587" i="22" s="1"/>
  <c r="W587" i="22"/>
  <c r="AC587" i="22" s="1"/>
  <c r="V587" i="22"/>
  <c r="AB587" i="22" s="1"/>
  <c r="X586" i="22"/>
  <c r="AD586" i="22" s="1"/>
  <c r="W586" i="22"/>
  <c r="AC586" i="22" s="1"/>
  <c r="V586" i="22"/>
  <c r="AB586" i="22" s="1"/>
  <c r="X585" i="22"/>
  <c r="AD585" i="22" s="1"/>
  <c r="W585" i="22"/>
  <c r="AC585" i="22" s="1"/>
  <c r="V585" i="22"/>
  <c r="AB585" i="22" s="1"/>
  <c r="X584" i="22"/>
  <c r="AD584" i="22" s="1"/>
  <c r="W584" i="22"/>
  <c r="AC584" i="22" s="1"/>
  <c r="V584" i="22"/>
  <c r="AB584" i="22" s="1"/>
  <c r="X583" i="22"/>
  <c r="AD583" i="22" s="1"/>
  <c r="W583" i="22"/>
  <c r="AC583" i="22" s="1"/>
  <c r="V583" i="22"/>
  <c r="AB583" i="22" s="1"/>
  <c r="X582" i="22"/>
  <c r="AD582" i="22" s="1"/>
  <c r="W582" i="22"/>
  <c r="AC582" i="22" s="1"/>
  <c r="V582" i="22"/>
  <c r="AB582" i="22" s="1"/>
  <c r="X581" i="22"/>
  <c r="AD581" i="22" s="1"/>
  <c r="W581" i="22"/>
  <c r="AC581" i="22" s="1"/>
  <c r="V581" i="22"/>
  <c r="AB581" i="22" s="1"/>
  <c r="X580" i="22"/>
  <c r="AD580" i="22" s="1"/>
  <c r="W580" i="22"/>
  <c r="AC580" i="22" s="1"/>
  <c r="V580" i="22"/>
  <c r="AB580" i="22" s="1"/>
  <c r="X579" i="22"/>
  <c r="AD579" i="22" s="1"/>
  <c r="W579" i="22"/>
  <c r="AC579" i="22" s="1"/>
  <c r="V579" i="22"/>
  <c r="AB579" i="22" s="1"/>
  <c r="X578" i="22"/>
  <c r="AD578" i="22" s="1"/>
  <c r="W578" i="22"/>
  <c r="AC578" i="22" s="1"/>
  <c r="V578" i="22"/>
  <c r="AB578" i="22" s="1"/>
  <c r="X577" i="22"/>
  <c r="AD577" i="22" s="1"/>
  <c r="W577" i="22"/>
  <c r="AC577" i="22" s="1"/>
  <c r="V577" i="22"/>
  <c r="AB577" i="22" s="1"/>
  <c r="X576" i="22"/>
  <c r="AD576" i="22" s="1"/>
  <c r="W576" i="22"/>
  <c r="AC576" i="22" s="1"/>
  <c r="V576" i="22"/>
  <c r="AB576" i="22" s="1"/>
  <c r="X575" i="22"/>
  <c r="AD575" i="22" s="1"/>
  <c r="W575" i="22"/>
  <c r="AC575" i="22" s="1"/>
  <c r="V575" i="22"/>
  <c r="AB575" i="22" s="1"/>
  <c r="X574" i="22"/>
  <c r="AD574" i="22" s="1"/>
  <c r="W574" i="22"/>
  <c r="AC574" i="22" s="1"/>
  <c r="V574" i="22"/>
  <c r="AB574" i="22" s="1"/>
  <c r="X573" i="22"/>
  <c r="AD573" i="22" s="1"/>
  <c r="W573" i="22"/>
  <c r="AC573" i="22" s="1"/>
  <c r="V573" i="22"/>
  <c r="AB573" i="22" s="1"/>
  <c r="X572" i="22"/>
  <c r="AD572" i="22" s="1"/>
  <c r="W572" i="22"/>
  <c r="AC572" i="22" s="1"/>
  <c r="V572" i="22"/>
  <c r="AB572" i="22" s="1"/>
  <c r="X571" i="22"/>
  <c r="AD571" i="22" s="1"/>
  <c r="W571" i="22"/>
  <c r="AC571" i="22" s="1"/>
  <c r="V571" i="22"/>
  <c r="AB571" i="22" s="1"/>
  <c r="X570" i="22"/>
  <c r="AD570" i="22" s="1"/>
  <c r="W570" i="22"/>
  <c r="AC570" i="22" s="1"/>
  <c r="V570" i="22"/>
  <c r="AB570" i="22" s="1"/>
  <c r="X569" i="22"/>
  <c r="AD569" i="22" s="1"/>
  <c r="W569" i="22"/>
  <c r="AC569" i="22" s="1"/>
  <c r="V569" i="22"/>
  <c r="AB569" i="22" s="1"/>
  <c r="X568" i="22"/>
  <c r="AD568" i="22" s="1"/>
  <c r="W568" i="22"/>
  <c r="AC568" i="22" s="1"/>
  <c r="V568" i="22"/>
  <c r="AB568" i="22" s="1"/>
  <c r="X567" i="22"/>
  <c r="AD567" i="22" s="1"/>
  <c r="W567" i="22"/>
  <c r="AC567" i="22" s="1"/>
  <c r="V567" i="22"/>
  <c r="AB567" i="22" s="1"/>
  <c r="X566" i="22"/>
  <c r="AD566" i="22" s="1"/>
  <c r="W566" i="22"/>
  <c r="AC566" i="22" s="1"/>
  <c r="V566" i="22"/>
  <c r="AB566" i="22" s="1"/>
  <c r="X565" i="22"/>
  <c r="AD565" i="22" s="1"/>
  <c r="W565" i="22"/>
  <c r="AC565" i="22" s="1"/>
  <c r="V565" i="22"/>
  <c r="AB565" i="22" s="1"/>
  <c r="X564" i="22"/>
  <c r="AD564" i="22" s="1"/>
  <c r="W564" i="22"/>
  <c r="AC564" i="22" s="1"/>
  <c r="V564" i="22"/>
  <c r="AB564" i="22" s="1"/>
  <c r="X563" i="22"/>
  <c r="AD563" i="22" s="1"/>
  <c r="W563" i="22"/>
  <c r="AC563" i="22" s="1"/>
  <c r="V563" i="22"/>
  <c r="AB563" i="22" s="1"/>
  <c r="X562" i="22"/>
  <c r="AD562" i="22" s="1"/>
  <c r="W562" i="22"/>
  <c r="AC562" i="22" s="1"/>
  <c r="V562" i="22"/>
  <c r="AB562" i="22" s="1"/>
  <c r="X561" i="22"/>
  <c r="AD561" i="22" s="1"/>
  <c r="W561" i="22"/>
  <c r="AC561" i="22" s="1"/>
  <c r="V561" i="22"/>
  <c r="AB561" i="22" s="1"/>
  <c r="X560" i="22"/>
  <c r="AD560" i="22" s="1"/>
  <c r="W560" i="22"/>
  <c r="AC560" i="22" s="1"/>
  <c r="V560" i="22"/>
  <c r="AB560" i="22" s="1"/>
  <c r="X559" i="22"/>
  <c r="AD559" i="22" s="1"/>
  <c r="W559" i="22"/>
  <c r="AC559" i="22" s="1"/>
  <c r="V559" i="22"/>
  <c r="AB559" i="22" s="1"/>
  <c r="X558" i="22"/>
  <c r="AD558" i="22" s="1"/>
  <c r="W558" i="22"/>
  <c r="AC558" i="22" s="1"/>
  <c r="V558" i="22"/>
  <c r="AB558" i="22" s="1"/>
  <c r="X557" i="22"/>
  <c r="AD557" i="22" s="1"/>
  <c r="W557" i="22"/>
  <c r="AC557" i="22" s="1"/>
  <c r="V557" i="22"/>
  <c r="AB557" i="22" s="1"/>
  <c r="X556" i="22"/>
  <c r="AD556" i="22" s="1"/>
  <c r="W556" i="22"/>
  <c r="AC556" i="22" s="1"/>
  <c r="V556" i="22"/>
  <c r="AB556" i="22" s="1"/>
  <c r="X555" i="22"/>
  <c r="AD555" i="22" s="1"/>
  <c r="W555" i="22"/>
  <c r="AC555" i="22" s="1"/>
  <c r="V555" i="22"/>
  <c r="AB555" i="22" s="1"/>
  <c r="X554" i="22"/>
  <c r="AD554" i="22" s="1"/>
  <c r="W554" i="22"/>
  <c r="AC554" i="22" s="1"/>
  <c r="V554" i="22"/>
  <c r="AB554" i="22" s="1"/>
  <c r="X553" i="22"/>
  <c r="AD553" i="22" s="1"/>
  <c r="W553" i="22"/>
  <c r="AC553" i="22" s="1"/>
  <c r="V553" i="22"/>
  <c r="AB553" i="22" s="1"/>
  <c r="X552" i="22"/>
  <c r="AD552" i="22" s="1"/>
  <c r="W552" i="22"/>
  <c r="AC552" i="22" s="1"/>
  <c r="V552" i="22"/>
  <c r="AB552" i="22" s="1"/>
  <c r="X551" i="22"/>
  <c r="AD551" i="22" s="1"/>
  <c r="W551" i="22"/>
  <c r="AC551" i="22" s="1"/>
  <c r="V551" i="22"/>
  <c r="AB551" i="22" s="1"/>
  <c r="X550" i="22"/>
  <c r="AD550" i="22" s="1"/>
  <c r="W550" i="22"/>
  <c r="AC550" i="22" s="1"/>
  <c r="V550" i="22"/>
  <c r="AB550" i="22" s="1"/>
  <c r="X549" i="22"/>
  <c r="AD549" i="22" s="1"/>
  <c r="W549" i="22"/>
  <c r="AC549" i="22" s="1"/>
  <c r="V549" i="22"/>
  <c r="AB549" i="22" s="1"/>
  <c r="X548" i="22"/>
  <c r="AD548" i="22" s="1"/>
  <c r="W548" i="22"/>
  <c r="AC548" i="22" s="1"/>
  <c r="V548" i="22"/>
  <c r="AB548" i="22" s="1"/>
  <c r="X547" i="22"/>
  <c r="AD547" i="22" s="1"/>
  <c r="W547" i="22"/>
  <c r="AC547" i="22" s="1"/>
  <c r="V547" i="22"/>
  <c r="AB547" i="22" s="1"/>
  <c r="X546" i="22"/>
  <c r="AD546" i="22" s="1"/>
  <c r="W546" i="22"/>
  <c r="AC546" i="22" s="1"/>
  <c r="V546" i="22"/>
  <c r="AB546" i="22" s="1"/>
  <c r="X545" i="22"/>
  <c r="AD545" i="22" s="1"/>
  <c r="W545" i="22"/>
  <c r="AC545" i="22" s="1"/>
  <c r="V545" i="22"/>
  <c r="AB545" i="22" s="1"/>
  <c r="X544" i="22"/>
  <c r="AD544" i="22" s="1"/>
  <c r="W544" i="22"/>
  <c r="AC544" i="22" s="1"/>
  <c r="V544" i="22"/>
  <c r="AB544" i="22" s="1"/>
  <c r="X543" i="22"/>
  <c r="AD543" i="22" s="1"/>
  <c r="W543" i="22"/>
  <c r="AC543" i="22" s="1"/>
  <c r="V543" i="22"/>
  <c r="AB543" i="22" s="1"/>
  <c r="X542" i="22"/>
  <c r="AD542" i="22" s="1"/>
  <c r="W542" i="22"/>
  <c r="AC542" i="22" s="1"/>
  <c r="V542" i="22"/>
  <c r="AB542" i="22" s="1"/>
  <c r="X541" i="22"/>
  <c r="AD541" i="22" s="1"/>
  <c r="W541" i="22"/>
  <c r="AC541" i="22" s="1"/>
  <c r="V541" i="22"/>
  <c r="AB541" i="22" s="1"/>
  <c r="X540" i="22"/>
  <c r="AD540" i="22" s="1"/>
  <c r="W540" i="22"/>
  <c r="AC540" i="22" s="1"/>
  <c r="V540" i="22"/>
  <c r="AB540" i="22" s="1"/>
  <c r="X539" i="22"/>
  <c r="AD539" i="22" s="1"/>
  <c r="W539" i="22"/>
  <c r="AC539" i="22" s="1"/>
  <c r="V539" i="22"/>
  <c r="AB539" i="22" s="1"/>
  <c r="X538" i="22"/>
  <c r="AD538" i="22" s="1"/>
  <c r="W538" i="22"/>
  <c r="AC538" i="22" s="1"/>
  <c r="V538" i="22"/>
  <c r="AB538" i="22" s="1"/>
  <c r="X537" i="22"/>
  <c r="AD537" i="22" s="1"/>
  <c r="W537" i="22"/>
  <c r="AC537" i="22" s="1"/>
  <c r="V537" i="22"/>
  <c r="AB537" i="22" s="1"/>
  <c r="X536" i="22"/>
  <c r="AD536" i="22" s="1"/>
  <c r="W536" i="22"/>
  <c r="AC536" i="22" s="1"/>
  <c r="V536" i="22"/>
  <c r="AB536" i="22" s="1"/>
  <c r="X535" i="22"/>
  <c r="AD535" i="22" s="1"/>
  <c r="W535" i="22"/>
  <c r="AC535" i="22" s="1"/>
  <c r="V535" i="22"/>
  <c r="AB535" i="22" s="1"/>
  <c r="X534" i="22"/>
  <c r="AD534" i="22" s="1"/>
  <c r="W534" i="22"/>
  <c r="AC534" i="22" s="1"/>
  <c r="V534" i="22"/>
  <c r="AB534" i="22" s="1"/>
  <c r="X533" i="22"/>
  <c r="AD533" i="22" s="1"/>
  <c r="W533" i="22"/>
  <c r="AC533" i="22" s="1"/>
  <c r="V533" i="22"/>
  <c r="AB533" i="22" s="1"/>
  <c r="X532" i="22"/>
  <c r="AD532" i="22" s="1"/>
  <c r="W532" i="22"/>
  <c r="AC532" i="22" s="1"/>
  <c r="V532" i="22"/>
  <c r="AB532" i="22" s="1"/>
  <c r="X531" i="22"/>
  <c r="AD531" i="22" s="1"/>
  <c r="W531" i="22"/>
  <c r="AC531" i="22" s="1"/>
  <c r="V531" i="22"/>
  <c r="AB531" i="22" s="1"/>
  <c r="X530" i="22"/>
  <c r="AD530" i="22" s="1"/>
  <c r="W530" i="22"/>
  <c r="AC530" i="22" s="1"/>
  <c r="V530" i="22"/>
  <c r="AB530" i="22" s="1"/>
  <c r="X529" i="22"/>
  <c r="AD529" i="22" s="1"/>
  <c r="W529" i="22"/>
  <c r="AC529" i="22" s="1"/>
  <c r="V529" i="22"/>
  <c r="AB529" i="22" s="1"/>
  <c r="X528" i="22"/>
  <c r="AD528" i="22" s="1"/>
  <c r="W528" i="22"/>
  <c r="AC528" i="22" s="1"/>
  <c r="V528" i="22"/>
  <c r="AB528" i="22" s="1"/>
  <c r="X527" i="22"/>
  <c r="AD527" i="22" s="1"/>
  <c r="W527" i="22"/>
  <c r="AC527" i="22" s="1"/>
  <c r="V527" i="22"/>
  <c r="AB527" i="22" s="1"/>
  <c r="X526" i="22"/>
  <c r="AD526" i="22" s="1"/>
  <c r="W526" i="22"/>
  <c r="AC526" i="22" s="1"/>
  <c r="V526" i="22"/>
  <c r="AB526" i="22" s="1"/>
  <c r="X525" i="22"/>
  <c r="AD525" i="22" s="1"/>
  <c r="W525" i="22"/>
  <c r="AC525" i="22" s="1"/>
  <c r="V525" i="22"/>
  <c r="AB525" i="22" s="1"/>
  <c r="X524" i="22"/>
  <c r="AD524" i="22" s="1"/>
  <c r="W524" i="22"/>
  <c r="AC524" i="22" s="1"/>
  <c r="V524" i="22"/>
  <c r="AB524" i="22" s="1"/>
  <c r="X523" i="22"/>
  <c r="AD523" i="22" s="1"/>
  <c r="W523" i="22"/>
  <c r="AC523" i="22" s="1"/>
  <c r="V523" i="22"/>
  <c r="AB523" i="22" s="1"/>
  <c r="X522" i="22"/>
  <c r="AD522" i="22" s="1"/>
  <c r="W522" i="22"/>
  <c r="AC522" i="22" s="1"/>
  <c r="V522" i="22"/>
  <c r="AB522" i="22" s="1"/>
  <c r="X521" i="22"/>
  <c r="AD521" i="22" s="1"/>
  <c r="W521" i="22"/>
  <c r="AC521" i="22" s="1"/>
  <c r="V521" i="22"/>
  <c r="AB521" i="22" s="1"/>
  <c r="X520" i="22"/>
  <c r="AD520" i="22" s="1"/>
  <c r="W520" i="22"/>
  <c r="AC520" i="22" s="1"/>
  <c r="V520" i="22"/>
  <c r="AB520" i="22" s="1"/>
  <c r="X519" i="22"/>
  <c r="AD519" i="22" s="1"/>
  <c r="W519" i="22"/>
  <c r="AC519" i="22" s="1"/>
  <c r="V519" i="22"/>
  <c r="AB519" i="22" s="1"/>
  <c r="X518" i="22"/>
  <c r="AD518" i="22" s="1"/>
  <c r="W518" i="22"/>
  <c r="AC518" i="22" s="1"/>
  <c r="V518" i="22"/>
  <c r="AB518" i="22" s="1"/>
  <c r="X517" i="22"/>
  <c r="AD517" i="22" s="1"/>
  <c r="W517" i="22"/>
  <c r="AC517" i="22" s="1"/>
  <c r="V517" i="22"/>
  <c r="AB517" i="22" s="1"/>
  <c r="X516" i="22"/>
  <c r="AD516" i="22" s="1"/>
  <c r="W516" i="22"/>
  <c r="AC516" i="22" s="1"/>
  <c r="V516" i="22"/>
  <c r="AB516" i="22" s="1"/>
  <c r="X515" i="22"/>
  <c r="AD515" i="22" s="1"/>
  <c r="W515" i="22"/>
  <c r="AC515" i="22" s="1"/>
  <c r="V515" i="22"/>
  <c r="AB515" i="22" s="1"/>
  <c r="X514" i="22"/>
  <c r="AD514" i="22" s="1"/>
  <c r="W514" i="22"/>
  <c r="AC514" i="22" s="1"/>
  <c r="V514" i="22"/>
  <c r="AB514" i="22" s="1"/>
  <c r="X513" i="22"/>
  <c r="AD513" i="22" s="1"/>
  <c r="W513" i="22"/>
  <c r="AC513" i="22" s="1"/>
  <c r="V513" i="22"/>
  <c r="AB513" i="22" s="1"/>
  <c r="X512" i="22"/>
  <c r="AD512" i="22" s="1"/>
  <c r="W512" i="22"/>
  <c r="AC512" i="22" s="1"/>
  <c r="V512" i="22"/>
  <c r="AB512" i="22" s="1"/>
  <c r="X511" i="22"/>
  <c r="AD511" i="22" s="1"/>
  <c r="W511" i="22"/>
  <c r="AC511" i="22" s="1"/>
  <c r="V511" i="22"/>
  <c r="AB511" i="22" s="1"/>
  <c r="X510" i="22"/>
  <c r="AD510" i="22" s="1"/>
  <c r="W510" i="22"/>
  <c r="AC510" i="22" s="1"/>
  <c r="V510" i="22"/>
  <c r="AB510" i="22" s="1"/>
  <c r="X509" i="22"/>
  <c r="AD509" i="22" s="1"/>
  <c r="W509" i="22"/>
  <c r="AC509" i="22" s="1"/>
  <c r="V509" i="22"/>
  <c r="AB509" i="22" s="1"/>
  <c r="X508" i="22"/>
  <c r="AD508" i="22" s="1"/>
  <c r="W508" i="22"/>
  <c r="AC508" i="22" s="1"/>
  <c r="V508" i="22"/>
  <c r="AB508" i="22" s="1"/>
  <c r="X507" i="22"/>
  <c r="AD507" i="22" s="1"/>
  <c r="W507" i="22"/>
  <c r="AC507" i="22" s="1"/>
  <c r="V507" i="22"/>
  <c r="AB507" i="22" s="1"/>
  <c r="X506" i="22"/>
  <c r="AD506" i="22" s="1"/>
  <c r="W506" i="22"/>
  <c r="AC506" i="22" s="1"/>
  <c r="V506" i="22"/>
  <c r="AB506" i="22" s="1"/>
  <c r="X505" i="22"/>
  <c r="AD505" i="22" s="1"/>
  <c r="W505" i="22"/>
  <c r="AC505" i="22" s="1"/>
  <c r="V505" i="22"/>
  <c r="AB505" i="22" s="1"/>
  <c r="X504" i="22"/>
  <c r="AD504" i="22" s="1"/>
  <c r="W504" i="22"/>
  <c r="AC504" i="22" s="1"/>
  <c r="V504" i="22"/>
  <c r="AB504" i="22" s="1"/>
  <c r="X503" i="22"/>
  <c r="AD503" i="22" s="1"/>
  <c r="W503" i="22"/>
  <c r="AC503" i="22" s="1"/>
  <c r="V503" i="22"/>
  <c r="AB503" i="22" s="1"/>
  <c r="X502" i="22"/>
  <c r="AD502" i="22" s="1"/>
  <c r="W502" i="22"/>
  <c r="AC502" i="22" s="1"/>
  <c r="V502" i="22"/>
  <c r="AB502" i="22" s="1"/>
  <c r="X501" i="22"/>
  <c r="AD501" i="22" s="1"/>
  <c r="W501" i="22"/>
  <c r="AC501" i="22" s="1"/>
  <c r="V501" i="22"/>
  <c r="AB501" i="22" s="1"/>
  <c r="X500" i="22"/>
  <c r="AD500" i="22" s="1"/>
  <c r="W500" i="22"/>
  <c r="AC500" i="22" s="1"/>
  <c r="V500" i="22"/>
  <c r="AB500" i="22" s="1"/>
  <c r="X499" i="22"/>
  <c r="AD499" i="22" s="1"/>
  <c r="W499" i="22"/>
  <c r="AC499" i="22" s="1"/>
  <c r="V499" i="22"/>
  <c r="AB499" i="22" s="1"/>
  <c r="X498" i="22"/>
  <c r="AD498" i="22" s="1"/>
  <c r="W498" i="22"/>
  <c r="AC498" i="22" s="1"/>
  <c r="V498" i="22"/>
  <c r="AB498" i="22" s="1"/>
  <c r="X497" i="22"/>
  <c r="AD497" i="22" s="1"/>
  <c r="W497" i="22"/>
  <c r="AC497" i="22" s="1"/>
  <c r="V497" i="22"/>
  <c r="AB497" i="22" s="1"/>
  <c r="X496" i="22"/>
  <c r="AD496" i="22" s="1"/>
  <c r="W496" i="22"/>
  <c r="AC496" i="22" s="1"/>
  <c r="V496" i="22"/>
  <c r="AB496" i="22" s="1"/>
  <c r="X495" i="22"/>
  <c r="AD495" i="22" s="1"/>
  <c r="W495" i="22"/>
  <c r="AC495" i="22" s="1"/>
  <c r="V495" i="22"/>
  <c r="AB495" i="22" s="1"/>
  <c r="X494" i="22"/>
  <c r="AD494" i="22" s="1"/>
  <c r="W494" i="22"/>
  <c r="AC494" i="22" s="1"/>
  <c r="V494" i="22"/>
  <c r="AB494" i="22" s="1"/>
  <c r="X493" i="22"/>
  <c r="AD493" i="22" s="1"/>
  <c r="W493" i="22"/>
  <c r="AC493" i="22" s="1"/>
  <c r="V493" i="22"/>
  <c r="AB493" i="22" s="1"/>
  <c r="X492" i="22"/>
  <c r="AD492" i="22" s="1"/>
  <c r="W492" i="22"/>
  <c r="AC492" i="22" s="1"/>
  <c r="V492" i="22"/>
  <c r="AB492" i="22" s="1"/>
  <c r="X491" i="22"/>
  <c r="AD491" i="22" s="1"/>
  <c r="W491" i="22"/>
  <c r="AC491" i="22" s="1"/>
  <c r="V491" i="22"/>
  <c r="AB491" i="22" s="1"/>
  <c r="X490" i="22"/>
  <c r="AD490" i="22" s="1"/>
  <c r="W490" i="22"/>
  <c r="AC490" i="22" s="1"/>
  <c r="V490" i="22"/>
  <c r="AB490" i="22" s="1"/>
  <c r="X489" i="22"/>
  <c r="AD489" i="22" s="1"/>
  <c r="W489" i="22"/>
  <c r="AC489" i="22" s="1"/>
  <c r="V489" i="22"/>
  <c r="AB489" i="22" s="1"/>
  <c r="X488" i="22"/>
  <c r="AD488" i="22" s="1"/>
  <c r="W488" i="22"/>
  <c r="AC488" i="22" s="1"/>
  <c r="V488" i="22"/>
  <c r="AB488" i="22" s="1"/>
  <c r="X487" i="22"/>
  <c r="AD487" i="22" s="1"/>
  <c r="W487" i="22"/>
  <c r="AC487" i="22" s="1"/>
  <c r="V487" i="22"/>
  <c r="AB487" i="22" s="1"/>
  <c r="X486" i="22"/>
  <c r="AD486" i="22" s="1"/>
  <c r="W486" i="22"/>
  <c r="AC486" i="22" s="1"/>
  <c r="V486" i="22"/>
  <c r="AB486" i="22" s="1"/>
  <c r="X485" i="22"/>
  <c r="AD485" i="22" s="1"/>
  <c r="W485" i="22"/>
  <c r="AC485" i="22" s="1"/>
  <c r="V485" i="22"/>
  <c r="AB485" i="22" s="1"/>
  <c r="X484" i="22"/>
  <c r="AD484" i="22" s="1"/>
  <c r="W484" i="22"/>
  <c r="AC484" i="22" s="1"/>
  <c r="V484" i="22"/>
  <c r="AB484" i="22" s="1"/>
  <c r="X483" i="22"/>
  <c r="AD483" i="22" s="1"/>
  <c r="W483" i="22"/>
  <c r="AC483" i="22" s="1"/>
  <c r="V483" i="22"/>
  <c r="AB483" i="22" s="1"/>
  <c r="X482" i="22"/>
  <c r="AD482" i="22" s="1"/>
  <c r="W482" i="22"/>
  <c r="AC482" i="22" s="1"/>
  <c r="V482" i="22"/>
  <c r="AB482" i="22" s="1"/>
  <c r="X481" i="22"/>
  <c r="AD481" i="22" s="1"/>
  <c r="W481" i="22"/>
  <c r="AC481" i="22" s="1"/>
  <c r="V481" i="22"/>
  <c r="AB481" i="22" s="1"/>
  <c r="X480" i="22"/>
  <c r="AD480" i="22" s="1"/>
  <c r="W480" i="22"/>
  <c r="AC480" i="22" s="1"/>
  <c r="V480" i="22"/>
  <c r="AB480" i="22" s="1"/>
  <c r="X479" i="22"/>
  <c r="AD479" i="22" s="1"/>
  <c r="W479" i="22"/>
  <c r="AC479" i="22" s="1"/>
  <c r="V479" i="22"/>
  <c r="AB479" i="22" s="1"/>
  <c r="X478" i="22"/>
  <c r="AD478" i="22" s="1"/>
  <c r="W478" i="22"/>
  <c r="AC478" i="22" s="1"/>
  <c r="V478" i="22"/>
  <c r="AB478" i="22" s="1"/>
  <c r="X477" i="22"/>
  <c r="AD477" i="22" s="1"/>
  <c r="W477" i="22"/>
  <c r="AC477" i="22" s="1"/>
  <c r="V477" i="22"/>
  <c r="AB477" i="22" s="1"/>
  <c r="X476" i="22"/>
  <c r="AD476" i="22" s="1"/>
  <c r="W476" i="22"/>
  <c r="AC476" i="22" s="1"/>
  <c r="V476" i="22"/>
  <c r="AB476" i="22" s="1"/>
  <c r="X475" i="22"/>
  <c r="AD475" i="22" s="1"/>
  <c r="W475" i="22"/>
  <c r="AC475" i="22" s="1"/>
  <c r="V475" i="22"/>
  <c r="AB475" i="22" s="1"/>
  <c r="X474" i="22"/>
  <c r="AD474" i="22" s="1"/>
  <c r="W474" i="22"/>
  <c r="AC474" i="22" s="1"/>
  <c r="V474" i="22"/>
  <c r="AB474" i="22" s="1"/>
  <c r="X473" i="22"/>
  <c r="AD473" i="22" s="1"/>
  <c r="W473" i="22"/>
  <c r="AC473" i="22" s="1"/>
  <c r="V473" i="22"/>
  <c r="AB473" i="22" s="1"/>
  <c r="X472" i="22"/>
  <c r="AD472" i="22" s="1"/>
  <c r="W472" i="22"/>
  <c r="AC472" i="22" s="1"/>
  <c r="V472" i="22"/>
  <c r="AB472" i="22" s="1"/>
  <c r="X471" i="22"/>
  <c r="AD471" i="22" s="1"/>
  <c r="W471" i="22"/>
  <c r="AC471" i="22" s="1"/>
  <c r="V471" i="22"/>
  <c r="AB471" i="22" s="1"/>
  <c r="X470" i="22"/>
  <c r="AD470" i="22" s="1"/>
  <c r="W470" i="22"/>
  <c r="AC470" i="22" s="1"/>
  <c r="V470" i="22"/>
  <c r="AB470" i="22" s="1"/>
  <c r="X469" i="22"/>
  <c r="AD469" i="22" s="1"/>
  <c r="W469" i="22"/>
  <c r="AC469" i="22" s="1"/>
  <c r="V469" i="22"/>
  <c r="AB469" i="22" s="1"/>
  <c r="X468" i="22"/>
  <c r="AD468" i="22" s="1"/>
  <c r="W468" i="22"/>
  <c r="AC468" i="22" s="1"/>
  <c r="V468" i="22"/>
  <c r="AB468" i="22" s="1"/>
  <c r="X467" i="22"/>
  <c r="AD467" i="22" s="1"/>
  <c r="W467" i="22"/>
  <c r="AC467" i="22" s="1"/>
  <c r="V467" i="22"/>
  <c r="AB467" i="22" s="1"/>
  <c r="X466" i="22"/>
  <c r="AD466" i="22" s="1"/>
  <c r="W466" i="22"/>
  <c r="AC466" i="22" s="1"/>
  <c r="V466" i="22"/>
  <c r="AB466" i="22" s="1"/>
  <c r="X465" i="22"/>
  <c r="AD465" i="22" s="1"/>
  <c r="W465" i="22"/>
  <c r="AC465" i="22" s="1"/>
  <c r="V465" i="22"/>
  <c r="AB465" i="22" s="1"/>
  <c r="X464" i="22"/>
  <c r="AD464" i="22" s="1"/>
  <c r="W464" i="22"/>
  <c r="AC464" i="22" s="1"/>
  <c r="V464" i="22"/>
  <c r="AB464" i="22" s="1"/>
  <c r="X463" i="22"/>
  <c r="AD463" i="22" s="1"/>
  <c r="W463" i="22"/>
  <c r="AC463" i="22" s="1"/>
  <c r="V463" i="22"/>
  <c r="AB463" i="22" s="1"/>
  <c r="X462" i="22"/>
  <c r="AD462" i="22" s="1"/>
  <c r="W462" i="22"/>
  <c r="AC462" i="22" s="1"/>
  <c r="V462" i="22"/>
  <c r="AB462" i="22" s="1"/>
  <c r="X461" i="22"/>
  <c r="AD461" i="22" s="1"/>
  <c r="W461" i="22"/>
  <c r="AC461" i="22" s="1"/>
  <c r="V461" i="22"/>
  <c r="AB461" i="22" s="1"/>
  <c r="X460" i="22"/>
  <c r="AD460" i="22" s="1"/>
  <c r="W460" i="22"/>
  <c r="AC460" i="22" s="1"/>
  <c r="V460" i="22"/>
  <c r="AB460" i="22" s="1"/>
  <c r="X459" i="22"/>
  <c r="AD459" i="22" s="1"/>
  <c r="W459" i="22"/>
  <c r="AC459" i="22" s="1"/>
  <c r="V459" i="22"/>
  <c r="AB459" i="22" s="1"/>
  <c r="X458" i="22"/>
  <c r="AD458" i="22" s="1"/>
  <c r="W458" i="22"/>
  <c r="AC458" i="22" s="1"/>
  <c r="V458" i="22"/>
  <c r="AB458" i="22" s="1"/>
  <c r="X457" i="22"/>
  <c r="AD457" i="22" s="1"/>
  <c r="W457" i="22"/>
  <c r="AC457" i="22" s="1"/>
  <c r="V457" i="22"/>
  <c r="AB457" i="22" s="1"/>
  <c r="X456" i="22"/>
  <c r="AD456" i="22" s="1"/>
  <c r="W456" i="22"/>
  <c r="AC456" i="22" s="1"/>
  <c r="V456" i="22"/>
  <c r="AB456" i="22" s="1"/>
  <c r="X455" i="22"/>
  <c r="AD455" i="22" s="1"/>
  <c r="W455" i="22"/>
  <c r="AC455" i="22" s="1"/>
  <c r="V455" i="22"/>
  <c r="AB455" i="22" s="1"/>
  <c r="X454" i="22"/>
  <c r="AD454" i="22" s="1"/>
  <c r="W454" i="22"/>
  <c r="AC454" i="22" s="1"/>
  <c r="V454" i="22"/>
  <c r="AB454" i="22" s="1"/>
  <c r="X453" i="22"/>
  <c r="AD453" i="22" s="1"/>
  <c r="W453" i="22"/>
  <c r="AC453" i="22" s="1"/>
  <c r="V453" i="22"/>
  <c r="AB453" i="22" s="1"/>
  <c r="X452" i="22"/>
  <c r="AD452" i="22" s="1"/>
  <c r="W452" i="22"/>
  <c r="AC452" i="22" s="1"/>
  <c r="V452" i="22"/>
  <c r="AB452" i="22" s="1"/>
  <c r="X451" i="22"/>
  <c r="AD451" i="22" s="1"/>
  <c r="W451" i="22"/>
  <c r="AC451" i="22" s="1"/>
  <c r="V451" i="22"/>
  <c r="AB451" i="22" s="1"/>
  <c r="X450" i="22"/>
  <c r="AD450" i="22" s="1"/>
  <c r="W450" i="22"/>
  <c r="AC450" i="22" s="1"/>
  <c r="V450" i="22"/>
  <c r="AB450" i="22" s="1"/>
  <c r="X449" i="22"/>
  <c r="AD449" i="22" s="1"/>
  <c r="W449" i="22"/>
  <c r="AC449" i="22" s="1"/>
  <c r="V449" i="22"/>
  <c r="AB449" i="22" s="1"/>
  <c r="X448" i="22"/>
  <c r="AD448" i="22" s="1"/>
  <c r="W448" i="22"/>
  <c r="AC448" i="22" s="1"/>
  <c r="V448" i="22"/>
  <c r="AB448" i="22" s="1"/>
  <c r="X447" i="22"/>
  <c r="AD447" i="22" s="1"/>
  <c r="W447" i="22"/>
  <c r="AC447" i="22" s="1"/>
  <c r="V447" i="22"/>
  <c r="AB447" i="22" s="1"/>
  <c r="X446" i="22"/>
  <c r="AD446" i="22" s="1"/>
  <c r="W446" i="22"/>
  <c r="AC446" i="22" s="1"/>
  <c r="V446" i="22"/>
  <c r="AB446" i="22" s="1"/>
  <c r="X445" i="22"/>
  <c r="AD445" i="22" s="1"/>
  <c r="W445" i="22"/>
  <c r="AC445" i="22" s="1"/>
  <c r="V445" i="22"/>
  <c r="AB445" i="22" s="1"/>
  <c r="X444" i="22"/>
  <c r="AD444" i="22" s="1"/>
  <c r="W444" i="22"/>
  <c r="AC444" i="22" s="1"/>
  <c r="V444" i="22"/>
  <c r="AB444" i="22" s="1"/>
  <c r="X443" i="22"/>
  <c r="AD443" i="22" s="1"/>
  <c r="W443" i="22"/>
  <c r="AC443" i="22" s="1"/>
  <c r="V443" i="22"/>
  <c r="AB443" i="22" s="1"/>
  <c r="X442" i="22"/>
  <c r="AD442" i="22" s="1"/>
  <c r="W442" i="22"/>
  <c r="AC442" i="22" s="1"/>
  <c r="V442" i="22"/>
  <c r="AB442" i="22" s="1"/>
  <c r="X441" i="22"/>
  <c r="AD441" i="22" s="1"/>
  <c r="W441" i="22"/>
  <c r="AC441" i="22" s="1"/>
  <c r="V441" i="22"/>
  <c r="AB441" i="22" s="1"/>
  <c r="X440" i="22"/>
  <c r="AD440" i="22" s="1"/>
  <c r="W440" i="22"/>
  <c r="AC440" i="22" s="1"/>
  <c r="V440" i="22"/>
  <c r="AB440" i="22" s="1"/>
  <c r="X439" i="22"/>
  <c r="AD439" i="22" s="1"/>
  <c r="W439" i="22"/>
  <c r="AC439" i="22" s="1"/>
  <c r="V439" i="22"/>
  <c r="AB439" i="22" s="1"/>
  <c r="X438" i="22"/>
  <c r="AD438" i="22" s="1"/>
  <c r="W438" i="22"/>
  <c r="AC438" i="22" s="1"/>
  <c r="V438" i="22"/>
  <c r="AB438" i="22" s="1"/>
  <c r="X437" i="22"/>
  <c r="AD437" i="22" s="1"/>
  <c r="W437" i="22"/>
  <c r="AC437" i="22" s="1"/>
  <c r="V437" i="22"/>
  <c r="AB437" i="22" s="1"/>
  <c r="X436" i="22"/>
  <c r="AD436" i="22" s="1"/>
  <c r="W436" i="22"/>
  <c r="AC436" i="22" s="1"/>
  <c r="V436" i="22"/>
  <c r="AB436" i="22" s="1"/>
  <c r="X435" i="22"/>
  <c r="AD435" i="22" s="1"/>
  <c r="W435" i="22"/>
  <c r="AC435" i="22" s="1"/>
  <c r="V435" i="22"/>
  <c r="AB435" i="22" s="1"/>
  <c r="X434" i="22"/>
  <c r="AD434" i="22" s="1"/>
  <c r="W434" i="22"/>
  <c r="AC434" i="22" s="1"/>
  <c r="V434" i="22"/>
  <c r="AB434" i="22" s="1"/>
  <c r="X433" i="22"/>
  <c r="AD433" i="22" s="1"/>
  <c r="W433" i="22"/>
  <c r="AC433" i="22" s="1"/>
  <c r="V433" i="22"/>
  <c r="AB433" i="22" s="1"/>
  <c r="X432" i="22"/>
  <c r="AD432" i="22" s="1"/>
  <c r="W432" i="22"/>
  <c r="AC432" i="22" s="1"/>
  <c r="V432" i="22"/>
  <c r="AB432" i="22" s="1"/>
  <c r="X431" i="22"/>
  <c r="AD431" i="22" s="1"/>
  <c r="W431" i="22"/>
  <c r="AC431" i="22" s="1"/>
  <c r="V431" i="22"/>
  <c r="AB431" i="22" s="1"/>
  <c r="X430" i="22"/>
  <c r="AD430" i="22" s="1"/>
  <c r="W430" i="22"/>
  <c r="AC430" i="22" s="1"/>
  <c r="V430" i="22"/>
  <c r="AB430" i="22" s="1"/>
  <c r="X429" i="22"/>
  <c r="AD429" i="22" s="1"/>
  <c r="W429" i="22"/>
  <c r="AC429" i="22" s="1"/>
  <c r="V429" i="22"/>
  <c r="AB429" i="22" s="1"/>
  <c r="X428" i="22"/>
  <c r="AD428" i="22" s="1"/>
  <c r="W428" i="22"/>
  <c r="AC428" i="22" s="1"/>
  <c r="V428" i="22"/>
  <c r="AB428" i="22" s="1"/>
  <c r="X427" i="22"/>
  <c r="AD427" i="22" s="1"/>
  <c r="W427" i="22"/>
  <c r="AC427" i="22" s="1"/>
  <c r="V427" i="22"/>
  <c r="AB427" i="22" s="1"/>
  <c r="X426" i="22"/>
  <c r="AD426" i="22" s="1"/>
  <c r="W426" i="22"/>
  <c r="AC426" i="22" s="1"/>
  <c r="V426" i="22"/>
  <c r="AB426" i="22" s="1"/>
  <c r="X425" i="22"/>
  <c r="AD425" i="22" s="1"/>
  <c r="W425" i="22"/>
  <c r="AC425" i="22" s="1"/>
  <c r="V425" i="22"/>
  <c r="AB425" i="22" s="1"/>
  <c r="X424" i="22"/>
  <c r="AD424" i="22" s="1"/>
  <c r="W424" i="22"/>
  <c r="AC424" i="22" s="1"/>
  <c r="V424" i="22"/>
  <c r="AB424" i="22" s="1"/>
  <c r="X423" i="22"/>
  <c r="AD423" i="22" s="1"/>
  <c r="W423" i="22"/>
  <c r="AC423" i="22" s="1"/>
  <c r="V423" i="22"/>
  <c r="AB423" i="22" s="1"/>
  <c r="X422" i="22"/>
  <c r="AD422" i="22" s="1"/>
  <c r="W422" i="22"/>
  <c r="AC422" i="22" s="1"/>
  <c r="V422" i="22"/>
  <c r="AB422" i="22" s="1"/>
  <c r="X421" i="22"/>
  <c r="AD421" i="22" s="1"/>
  <c r="W421" i="22"/>
  <c r="AC421" i="22" s="1"/>
  <c r="V421" i="22"/>
  <c r="AB421" i="22" s="1"/>
  <c r="X420" i="22"/>
  <c r="AD420" i="22" s="1"/>
  <c r="W420" i="22"/>
  <c r="AC420" i="22" s="1"/>
  <c r="V420" i="22"/>
  <c r="AB420" i="22" s="1"/>
  <c r="X419" i="22"/>
  <c r="AD419" i="22" s="1"/>
  <c r="W419" i="22"/>
  <c r="AC419" i="22" s="1"/>
  <c r="V419" i="22"/>
  <c r="AB419" i="22" s="1"/>
  <c r="X418" i="22"/>
  <c r="AD418" i="22" s="1"/>
  <c r="W418" i="22"/>
  <c r="AC418" i="22" s="1"/>
  <c r="V418" i="22"/>
  <c r="AB418" i="22" s="1"/>
  <c r="X417" i="22"/>
  <c r="AD417" i="22" s="1"/>
  <c r="W417" i="22"/>
  <c r="AC417" i="22" s="1"/>
  <c r="V417" i="22"/>
  <c r="AB417" i="22" s="1"/>
  <c r="X416" i="22"/>
  <c r="AD416" i="22" s="1"/>
  <c r="W416" i="22"/>
  <c r="AC416" i="22" s="1"/>
  <c r="V416" i="22"/>
  <c r="AB416" i="22" s="1"/>
  <c r="X415" i="22"/>
  <c r="AD415" i="22" s="1"/>
  <c r="W415" i="22"/>
  <c r="AC415" i="22" s="1"/>
  <c r="V415" i="22"/>
  <c r="AB415" i="22" s="1"/>
  <c r="X414" i="22"/>
  <c r="AD414" i="22" s="1"/>
  <c r="W414" i="22"/>
  <c r="AC414" i="22" s="1"/>
  <c r="V414" i="22"/>
  <c r="AB414" i="22" s="1"/>
  <c r="X413" i="22"/>
  <c r="AD413" i="22" s="1"/>
  <c r="W413" i="22"/>
  <c r="AC413" i="22" s="1"/>
  <c r="V413" i="22"/>
  <c r="AB413" i="22" s="1"/>
  <c r="X412" i="22"/>
  <c r="AD412" i="22" s="1"/>
  <c r="W412" i="22"/>
  <c r="AC412" i="22" s="1"/>
  <c r="V412" i="22"/>
  <c r="AB412" i="22" s="1"/>
  <c r="X411" i="22"/>
  <c r="AD411" i="22" s="1"/>
  <c r="W411" i="22"/>
  <c r="AC411" i="22" s="1"/>
  <c r="V411" i="22"/>
  <c r="AB411" i="22" s="1"/>
  <c r="X410" i="22"/>
  <c r="AD410" i="22" s="1"/>
  <c r="W410" i="22"/>
  <c r="AC410" i="22" s="1"/>
  <c r="V410" i="22"/>
  <c r="AB410" i="22" s="1"/>
  <c r="X409" i="22"/>
  <c r="AD409" i="22" s="1"/>
  <c r="W409" i="22"/>
  <c r="AC409" i="22" s="1"/>
  <c r="V409" i="22"/>
  <c r="AB409" i="22" s="1"/>
  <c r="X408" i="22"/>
  <c r="AD408" i="22" s="1"/>
  <c r="W408" i="22"/>
  <c r="AC408" i="22" s="1"/>
  <c r="V408" i="22"/>
  <c r="AB408" i="22" s="1"/>
  <c r="X407" i="22"/>
  <c r="AD407" i="22" s="1"/>
  <c r="W407" i="22"/>
  <c r="AC407" i="22" s="1"/>
  <c r="V407" i="22"/>
  <c r="AB407" i="22" s="1"/>
  <c r="X406" i="22"/>
  <c r="AD406" i="22" s="1"/>
  <c r="W406" i="22"/>
  <c r="AC406" i="22" s="1"/>
  <c r="V406" i="22"/>
  <c r="AB406" i="22" s="1"/>
  <c r="X405" i="22"/>
  <c r="AD405" i="22" s="1"/>
  <c r="W405" i="22"/>
  <c r="AC405" i="22" s="1"/>
  <c r="V405" i="22"/>
  <c r="AB405" i="22" s="1"/>
  <c r="X404" i="22"/>
  <c r="AD404" i="22" s="1"/>
  <c r="W404" i="22"/>
  <c r="AC404" i="22" s="1"/>
  <c r="V404" i="22"/>
  <c r="AB404" i="22" s="1"/>
  <c r="X403" i="22"/>
  <c r="AD403" i="22" s="1"/>
  <c r="W403" i="22"/>
  <c r="AC403" i="22" s="1"/>
  <c r="V403" i="22"/>
  <c r="AB403" i="22" s="1"/>
  <c r="X402" i="22"/>
  <c r="AD402" i="22" s="1"/>
  <c r="W402" i="22"/>
  <c r="AC402" i="22" s="1"/>
  <c r="V402" i="22"/>
  <c r="AB402" i="22" s="1"/>
  <c r="X401" i="22"/>
  <c r="AD401" i="22" s="1"/>
  <c r="W401" i="22"/>
  <c r="AC401" i="22" s="1"/>
  <c r="V401" i="22"/>
  <c r="AB401" i="22" s="1"/>
  <c r="X400" i="22"/>
  <c r="AD400" i="22" s="1"/>
  <c r="W400" i="22"/>
  <c r="AC400" i="22" s="1"/>
  <c r="V400" i="22"/>
  <c r="AB400" i="22" s="1"/>
  <c r="X399" i="22"/>
  <c r="AD399" i="22" s="1"/>
  <c r="W399" i="22"/>
  <c r="AC399" i="22" s="1"/>
  <c r="V399" i="22"/>
  <c r="AB399" i="22" s="1"/>
  <c r="X398" i="22"/>
  <c r="AD398" i="22" s="1"/>
  <c r="W398" i="22"/>
  <c r="AC398" i="22" s="1"/>
  <c r="V398" i="22"/>
  <c r="AB398" i="22" s="1"/>
  <c r="X397" i="22"/>
  <c r="AD397" i="22" s="1"/>
  <c r="W397" i="22"/>
  <c r="AC397" i="22" s="1"/>
  <c r="V397" i="22"/>
  <c r="AB397" i="22" s="1"/>
  <c r="X396" i="22"/>
  <c r="AD396" i="22" s="1"/>
  <c r="W396" i="22"/>
  <c r="AC396" i="22" s="1"/>
  <c r="V396" i="22"/>
  <c r="AB396" i="22" s="1"/>
  <c r="X395" i="22"/>
  <c r="AD395" i="22" s="1"/>
  <c r="W395" i="22"/>
  <c r="AC395" i="22" s="1"/>
  <c r="V395" i="22"/>
  <c r="AB395" i="22" s="1"/>
  <c r="X394" i="22"/>
  <c r="AD394" i="22" s="1"/>
  <c r="W394" i="22"/>
  <c r="AC394" i="22" s="1"/>
  <c r="V394" i="22"/>
  <c r="AB394" i="22" s="1"/>
  <c r="X393" i="22"/>
  <c r="AD393" i="22" s="1"/>
  <c r="W393" i="22"/>
  <c r="AC393" i="22" s="1"/>
  <c r="V393" i="22"/>
  <c r="AB393" i="22" s="1"/>
  <c r="X392" i="22"/>
  <c r="AD392" i="22" s="1"/>
  <c r="W392" i="22"/>
  <c r="AC392" i="22" s="1"/>
  <c r="V392" i="22"/>
  <c r="AB392" i="22" s="1"/>
  <c r="X391" i="22"/>
  <c r="AD391" i="22" s="1"/>
  <c r="W391" i="22"/>
  <c r="AC391" i="22" s="1"/>
  <c r="V391" i="22"/>
  <c r="AB391" i="22" s="1"/>
  <c r="X390" i="22"/>
  <c r="AD390" i="22" s="1"/>
  <c r="W390" i="22"/>
  <c r="AC390" i="22" s="1"/>
  <c r="V390" i="22"/>
  <c r="AB390" i="22" s="1"/>
  <c r="X389" i="22"/>
  <c r="AD389" i="22" s="1"/>
  <c r="W389" i="22"/>
  <c r="AC389" i="22" s="1"/>
  <c r="V389" i="22"/>
  <c r="AB389" i="22" s="1"/>
  <c r="X388" i="22"/>
  <c r="AD388" i="22" s="1"/>
  <c r="W388" i="22"/>
  <c r="AC388" i="22" s="1"/>
  <c r="V388" i="22"/>
  <c r="AB388" i="22" s="1"/>
  <c r="X387" i="22"/>
  <c r="AD387" i="22" s="1"/>
  <c r="W387" i="22"/>
  <c r="AC387" i="22" s="1"/>
  <c r="V387" i="22"/>
  <c r="AB387" i="22" s="1"/>
  <c r="X386" i="22"/>
  <c r="AD386" i="22" s="1"/>
  <c r="W386" i="22"/>
  <c r="AC386" i="22" s="1"/>
  <c r="V386" i="22"/>
  <c r="AB386" i="22" s="1"/>
  <c r="X385" i="22"/>
  <c r="AD385" i="22" s="1"/>
  <c r="W385" i="22"/>
  <c r="AC385" i="22" s="1"/>
  <c r="V385" i="22"/>
  <c r="AB385" i="22" s="1"/>
  <c r="X384" i="22"/>
  <c r="AD384" i="22" s="1"/>
  <c r="W384" i="22"/>
  <c r="AC384" i="22" s="1"/>
  <c r="V384" i="22"/>
  <c r="AB384" i="22" s="1"/>
  <c r="X383" i="22"/>
  <c r="AD383" i="22" s="1"/>
  <c r="W383" i="22"/>
  <c r="AC383" i="22" s="1"/>
  <c r="V383" i="22"/>
  <c r="AB383" i="22" s="1"/>
  <c r="X382" i="22"/>
  <c r="AD382" i="22" s="1"/>
  <c r="W382" i="22"/>
  <c r="AC382" i="22" s="1"/>
  <c r="V382" i="22"/>
  <c r="AB382" i="22" s="1"/>
  <c r="X381" i="22"/>
  <c r="AD381" i="22" s="1"/>
  <c r="W381" i="22"/>
  <c r="AC381" i="22" s="1"/>
  <c r="V381" i="22"/>
  <c r="AB381" i="22" s="1"/>
  <c r="X380" i="22"/>
  <c r="AD380" i="22" s="1"/>
  <c r="W380" i="22"/>
  <c r="AC380" i="22" s="1"/>
  <c r="V380" i="22"/>
  <c r="AB380" i="22" s="1"/>
  <c r="X379" i="22"/>
  <c r="AD379" i="22" s="1"/>
  <c r="W379" i="22"/>
  <c r="AC379" i="22" s="1"/>
  <c r="V379" i="22"/>
  <c r="AB379" i="22" s="1"/>
  <c r="X378" i="22"/>
  <c r="AD378" i="22" s="1"/>
  <c r="W378" i="22"/>
  <c r="AC378" i="22" s="1"/>
  <c r="V378" i="22"/>
  <c r="AB378" i="22" s="1"/>
  <c r="X377" i="22"/>
  <c r="AD377" i="22" s="1"/>
  <c r="W377" i="22"/>
  <c r="AC377" i="22" s="1"/>
  <c r="V377" i="22"/>
  <c r="AB377" i="22" s="1"/>
  <c r="X376" i="22"/>
  <c r="AD376" i="22" s="1"/>
  <c r="W376" i="22"/>
  <c r="AC376" i="22" s="1"/>
  <c r="V376" i="22"/>
  <c r="AB376" i="22" s="1"/>
  <c r="X375" i="22"/>
  <c r="AD375" i="22" s="1"/>
  <c r="W375" i="22"/>
  <c r="AC375" i="22" s="1"/>
  <c r="V375" i="22"/>
  <c r="AB375" i="22" s="1"/>
  <c r="X374" i="22"/>
  <c r="AD374" i="22" s="1"/>
  <c r="W374" i="22"/>
  <c r="AC374" i="22" s="1"/>
  <c r="V374" i="22"/>
  <c r="AB374" i="22" s="1"/>
  <c r="X373" i="22"/>
  <c r="AD373" i="22" s="1"/>
  <c r="W373" i="22"/>
  <c r="AC373" i="22" s="1"/>
  <c r="V373" i="22"/>
  <c r="AB373" i="22" s="1"/>
  <c r="X372" i="22"/>
  <c r="AD372" i="22" s="1"/>
  <c r="W372" i="22"/>
  <c r="AC372" i="22" s="1"/>
  <c r="V372" i="22"/>
  <c r="AB372" i="22" s="1"/>
  <c r="X371" i="22"/>
  <c r="AD371" i="22" s="1"/>
  <c r="W371" i="22"/>
  <c r="AC371" i="22" s="1"/>
  <c r="V371" i="22"/>
  <c r="AB371" i="22" s="1"/>
  <c r="X370" i="22"/>
  <c r="AD370" i="22" s="1"/>
  <c r="W370" i="22"/>
  <c r="AC370" i="22" s="1"/>
  <c r="V370" i="22"/>
  <c r="AB370" i="22" s="1"/>
  <c r="X369" i="22"/>
  <c r="AD369" i="22" s="1"/>
  <c r="W369" i="22"/>
  <c r="AC369" i="22" s="1"/>
  <c r="V369" i="22"/>
  <c r="AB369" i="22" s="1"/>
  <c r="X368" i="22"/>
  <c r="AD368" i="22" s="1"/>
  <c r="W368" i="22"/>
  <c r="AC368" i="22" s="1"/>
  <c r="V368" i="22"/>
  <c r="AB368" i="22" s="1"/>
  <c r="X367" i="22"/>
  <c r="AD367" i="22" s="1"/>
  <c r="W367" i="22"/>
  <c r="AC367" i="22" s="1"/>
  <c r="V367" i="22"/>
  <c r="AB367" i="22" s="1"/>
  <c r="X366" i="22"/>
  <c r="AD366" i="22" s="1"/>
  <c r="W366" i="22"/>
  <c r="AC366" i="22" s="1"/>
  <c r="V366" i="22"/>
  <c r="AB366" i="22" s="1"/>
  <c r="X365" i="22"/>
  <c r="AD365" i="22" s="1"/>
  <c r="W365" i="22"/>
  <c r="AC365" i="22" s="1"/>
  <c r="V365" i="22"/>
  <c r="AB365" i="22" s="1"/>
  <c r="X364" i="22"/>
  <c r="AD364" i="22" s="1"/>
  <c r="W364" i="22"/>
  <c r="AC364" i="22" s="1"/>
  <c r="V364" i="22"/>
  <c r="AB364" i="22" s="1"/>
  <c r="X363" i="22"/>
  <c r="AD363" i="22" s="1"/>
  <c r="W363" i="22"/>
  <c r="AC363" i="22" s="1"/>
  <c r="V363" i="22"/>
  <c r="AB363" i="22" s="1"/>
  <c r="X362" i="22"/>
  <c r="AD362" i="22" s="1"/>
  <c r="W362" i="22"/>
  <c r="AC362" i="22" s="1"/>
  <c r="V362" i="22"/>
  <c r="AB362" i="22" s="1"/>
  <c r="X361" i="22"/>
  <c r="AD361" i="22" s="1"/>
  <c r="W361" i="22"/>
  <c r="AC361" i="22" s="1"/>
  <c r="V361" i="22"/>
  <c r="AB361" i="22" s="1"/>
  <c r="X360" i="22"/>
  <c r="AD360" i="22" s="1"/>
  <c r="W360" i="22"/>
  <c r="AC360" i="22" s="1"/>
  <c r="V360" i="22"/>
  <c r="AB360" i="22" s="1"/>
  <c r="X359" i="22"/>
  <c r="AD359" i="22" s="1"/>
  <c r="W359" i="22"/>
  <c r="AC359" i="22" s="1"/>
  <c r="V359" i="22"/>
  <c r="AB359" i="22" s="1"/>
  <c r="X358" i="22"/>
  <c r="AD358" i="22" s="1"/>
  <c r="W358" i="22"/>
  <c r="AC358" i="22" s="1"/>
  <c r="V358" i="22"/>
  <c r="AB358" i="22" s="1"/>
  <c r="X357" i="22"/>
  <c r="AD357" i="22" s="1"/>
  <c r="W357" i="22"/>
  <c r="AC357" i="22" s="1"/>
  <c r="V357" i="22"/>
  <c r="AB357" i="22" s="1"/>
  <c r="X356" i="22"/>
  <c r="AD356" i="22" s="1"/>
  <c r="W356" i="22"/>
  <c r="AC356" i="22" s="1"/>
  <c r="V356" i="22"/>
  <c r="AB356" i="22" s="1"/>
  <c r="X355" i="22"/>
  <c r="AD355" i="22" s="1"/>
  <c r="W355" i="22"/>
  <c r="AC355" i="22" s="1"/>
  <c r="V355" i="22"/>
  <c r="AB355" i="22" s="1"/>
  <c r="X354" i="22"/>
  <c r="AD354" i="22" s="1"/>
  <c r="W354" i="22"/>
  <c r="AC354" i="22" s="1"/>
  <c r="V354" i="22"/>
  <c r="AB354" i="22" s="1"/>
  <c r="X353" i="22"/>
  <c r="AD353" i="22" s="1"/>
  <c r="W353" i="22"/>
  <c r="AC353" i="22" s="1"/>
  <c r="V353" i="22"/>
  <c r="AB353" i="22" s="1"/>
  <c r="X352" i="22"/>
  <c r="AD352" i="22" s="1"/>
  <c r="W352" i="22"/>
  <c r="AC352" i="22" s="1"/>
  <c r="V352" i="22"/>
  <c r="AB352" i="22" s="1"/>
  <c r="X351" i="22"/>
  <c r="AD351" i="22" s="1"/>
  <c r="W351" i="22"/>
  <c r="AC351" i="22" s="1"/>
  <c r="V351" i="22"/>
  <c r="AB351" i="22" s="1"/>
  <c r="X350" i="22"/>
  <c r="AD350" i="22" s="1"/>
  <c r="W350" i="22"/>
  <c r="AC350" i="22" s="1"/>
  <c r="V350" i="22"/>
  <c r="AB350" i="22" s="1"/>
  <c r="X349" i="22"/>
  <c r="AD349" i="22" s="1"/>
  <c r="W349" i="22"/>
  <c r="AC349" i="22" s="1"/>
  <c r="V349" i="22"/>
  <c r="AB349" i="22" s="1"/>
  <c r="X348" i="22"/>
  <c r="AD348" i="22" s="1"/>
  <c r="W348" i="22"/>
  <c r="AC348" i="22" s="1"/>
  <c r="V348" i="22"/>
  <c r="AB348" i="22" s="1"/>
  <c r="X347" i="22"/>
  <c r="AD347" i="22" s="1"/>
  <c r="W347" i="22"/>
  <c r="AC347" i="22" s="1"/>
  <c r="V347" i="22"/>
  <c r="AB347" i="22" s="1"/>
  <c r="X346" i="22"/>
  <c r="AD346" i="22" s="1"/>
  <c r="W346" i="22"/>
  <c r="AC346" i="22" s="1"/>
  <c r="V346" i="22"/>
  <c r="AB346" i="22" s="1"/>
  <c r="X345" i="22"/>
  <c r="AD345" i="22" s="1"/>
  <c r="W345" i="22"/>
  <c r="AC345" i="22" s="1"/>
  <c r="V345" i="22"/>
  <c r="AB345" i="22" s="1"/>
  <c r="X344" i="22"/>
  <c r="AD344" i="22" s="1"/>
  <c r="W344" i="22"/>
  <c r="AC344" i="22" s="1"/>
  <c r="V344" i="22"/>
  <c r="AB344" i="22" s="1"/>
  <c r="X343" i="22"/>
  <c r="AD343" i="22" s="1"/>
  <c r="W343" i="22"/>
  <c r="AC343" i="22" s="1"/>
  <c r="V343" i="22"/>
  <c r="AB343" i="22" s="1"/>
  <c r="X342" i="22"/>
  <c r="AD342" i="22" s="1"/>
  <c r="W342" i="22"/>
  <c r="AC342" i="22" s="1"/>
  <c r="V342" i="22"/>
  <c r="AB342" i="22" s="1"/>
  <c r="X341" i="22"/>
  <c r="AD341" i="22" s="1"/>
  <c r="W341" i="22"/>
  <c r="AC341" i="22" s="1"/>
  <c r="V341" i="22"/>
  <c r="AB341" i="22" s="1"/>
  <c r="X340" i="22"/>
  <c r="AD340" i="22" s="1"/>
  <c r="W340" i="22"/>
  <c r="AC340" i="22" s="1"/>
  <c r="V340" i="22"/>
  <c r="AB340" i="22" s="1"/>
  <c r="X339" i="22"/>
  <c r="AD339" i="22" s="1"/>
  <c r="W339" i="22"/>
  <c r="AC339" i="22" s="1"/>
  <c r="V339" i="22"/>
  <c r="AB339" i="22" s="1"/>
  <c r="X338" i="22"/>
  <c r="AD338" i="22" s="1"/>
  <c r="W338" i="22"/>
  <c r="AC338" i="22" s="1"/>
  <c r="V338" i="22"/>
  <c r="AB338" i="22" s="1"/>
  <c r="X337" i="22"/>
  <c r="AD337" i="22" s="1"/>
  <c r="W337" i="22"/>
  <c r="AC337" i="22" s="1"/>
  <c r="V337" i="22"/>
  <c r="AB337" i="22" s="1"/>
  <c r="X336" i="22"/>
  <c r="AD336" i="22" s="1"/>
  <c r="W336" i="22"/>
  <c r="AC336" i="22" s="1"/>
  <c r="V336" i="22"/>
  <c r="AB336" i="22" s="1"/>
  <c r="X335" i="22"/>
  <c r="AD335" i="22" s="1"/>
  <c r="W335" i="22"/>
  <c r="AC335" i="22" s="1"/>
  <c r="V335" i="22"/>
  <c r="AB335" i="22" s="1"/>
  <c r="X334" i="22"/>
  <c r="AD334" i="22" s="1"/>
  <c r="W334" i="22"/>
  <c r="AC334" i="22" s="1"/>
  <c r="V334" i="22"/>
  <c r="AB334" i="22" s="1"/>
  <c r="X333" i="22"/>
  <c r="AD333" i="22" s="1"/>
  <c r="W333" i="22"/>
  <c r="AC333" i="22" s="1"/>
  <c r="V333" i="22"/>
  <c r="AB333" i="22" s="1"/>
  <c r="X332" i="22"/>
  <c r="AD332" i="22" s="1"/>
  <c r="W332" i="22"/>
  <c r="AC332" i="22" s="1"/>
  <c r="V332" i="22"/>
  <c r="AB332" i="22" s="1"/>
  <c r="X331" i="22"/>
  <c r="AD331" i="22" s="1"/>
  <c r="W331" i="22"/>
  <c r="AC331" i="22" s="1"/>
  <c r="V331" i="22"/>
  <c r="AB331" i="22" s="1"/>
  <c r="X330" i="22"/>
  <c r="AD330" i="22" s="1"/>
  <c r="W330" i="22"/>
  <c r="AC330" i="22" s="1"/>
  <c r="V330" i="22"/>
  <c r="AB330" i="22" s="1"/>
  <c r="X329" i="22"/>
  <c r="AD329" i="22" s="1"/>
  <c r="W329" i="22"/>
  <c r="AC329" i="22" s="1"/>
  <c r="V329" i="22"/>
  <c r="AB329" i="22" s="1"/>
  <c r="X328" i="22"/>
  <c r="AD328" i="22" s="1"/>
  <c r="W328" i="22"/>
  <c r="AC328" i="22" s="1"/>
  <c r="V328" i="22"/>
  <c r="AB328" i="22" s="1"/>
  <c r="X327" i="22"/>
  <c r="AD327" i="22" s="1"/>
  <c r="W327" i="22"/>
  <c r="AC327" i="22" s="1"/>
  <c r="V327" i="22"/>
  <c r="AB327" i="22" s="1"/>
  <c r="X326" i="22"/>
  <c r="AD326" i="22" s="1"/>
  <c r="W326" i="22"/>
  <c r="AC326" i="22" s="1"/>
  <c r="V326" i="22"/>
  <c r="AB326" i="22" s="1"/>
  <c r="X325" i="22"/>
  <c r="AD325" i="22" s="1"/>
  <c r="W325" i="22"/>
  <c r="AC325" i="22" s="1"/>
  <c r="V325" i="22"/>
  <c r="AB325" i="22" s="1"/>
  <c r="X324" i="22"/>
  <c r="AD324" i="22" s="1"/>
  <c r="W324" i="22"/>
  <c r="AC324" i="22" s="1"/>
  <c r="V324" i="22"/>
  <c r="AB324" i="22" s="1"/>
  <c r="X323" i="22"/>
  <c r="AD323" i="22" s="1"/>
  <c r="W323" i="22"/>
  <c r="AC323" i="22" s="1"/>
  <c r="V323" i="22"/>
  <c r="AB323" i="22" s="1"/>
  <c r="X322" i="22"/>
  <c r="AD322" i="22" s="1"/>
  <c r="W322" i="22"/>
  <c r="AC322" i="22" s="1"/>
  <c r="V322" i="22"/>
  <c r="AB322" i="22" s="1"/>
  <c r="X321" i="22"/>
  <c r="AD321" i="22" s="1"/>
  <c r="W321" i="22"/>
  <c r="AC321" i="22" s="1"/>
  <c r="V321" i="22"/>
  <c r="AB321" i="22" s="1"/>
  <c r="X320" i="22"/>
  <c r="AD320" i="22" s="1"/>
  <c r="W320" i="22"/>
  <c r="AC320" i="22" s="1"/>
  <c r="V320" i="22"/>
  <c r="AB320" i="22" s="1"/>
  <c r="X319" i="22"/>
  <c r="AD319" i="22" s="1"/>
  <c r="W319" i="22"/>
  <c r="AC319" i="22" s="1"/>
  <c r="V319" i="22"/>
  <c r="AB319" i="22" s="1"/>
  <c r="X318" i="22"/>
  <c r="AD318" i="22" s="1"/>
  <c r="W318" i="22"/>
  <c r="AC318" i="22" s="1"/>
  <c r="V318" i="22"/>
  <c r="AB318" i="22" s="1"/>
  <c r="X317" i="22"/>
  <c r="AD317" i="22" s="1"/>
  <c r="W317" i="22"/>
  <c r="AC317" i="22" s="1"/>
  <c r="V317" i="22"/>
  <c r="AB317" i="22" s="1"/>
  <c r="X316" i="22"/>
  <c r="AD316" i="22" s="1"/>
  <c r="W316" i="22"/>
  <c r="AC316" i="22" s="1"/>
  <c r="V316" i="22"/>
  <c r="AB316" i="22" s="1"/>
  <c r="X315" i="22"/>
  <c r="AD315" i="22" s="1"/>
  <c r="W315" i="22"/>
  <c r="AC315" i="22" s="1"/>
  <c r="V315" i="22"/>
  <c r="AB315" i="22" s="1"/>
  <c r="X314" i="22"/>
  <c r="AD314" i="22" s="1"/>
  <c r="W314" i="22"/>
  <c r="AC314" i="22" s="1"/>
  <c r="V314" i="22"/>
  <c r="AB314" i="22" s="1"/>
  <c r="X313" i="22"/>
  <c r="AD313" i="22" s="1"/>
  <c r="W313" i="22"/>
  <c r="AC313" i="22" s="1"/>
  <c r="V313" i="22"/>
  <c r="AB313" i="22" s="1"/>
  <c r="X312" i="22"/>
  <c r="AD312" i="22" s="1"/>
  <c r="W312" i="22"/>
  <c r="AC312" i="22" s="1"/>
  <c r="V312" i="22"/>
  <c r="AB312" i="22" s="1"/>
  <c r="X311" i="22"/>
  <c r="AD311" i="22" s="1"/>
  <c r="W311" i="22"/>
  <c r="AC311" i="22" s="1"/>
  <c r="V311" i="22"/>
  <c r="AB311" i="22" s="1"/>
  <c r="X310" i="22"/>
  <c r="AD310" i="22" s="1"/>
  <c r="W310" i="22"/>
  <c r="AC310" i="22" s="1"/>
  <c r="V310" i="22"/>
  <c r="AB310" i="22" s="1"/>
  <c r="X309" i="22"/>
  <c r="AD309" i="22" s="1"/>
  <c r="W309" i="22"/>
  <c r="AC309" i="22" s="1"/>
  <c r="V309" i="22"/>
  <c r="AB309" i="22" s="1"/>
  <c r="X308" i="22"/>
  <c r="AD308" i="22" s="1"/>
  <c r="W308" i="22"/>
  <c r="AC308" i="22" s="1"/>
  <c r="V308" i="22"/>
  <c r="AB308" i="22" s="1"/>
  <c r="X307" i="22"/>
  <c r="AD307" i="22" s="1"/>
  <c r="W307" i="22"/>
  <c r="AC307" i="22" s="1"/>
  <c r="V307" i="22"/>
  <c r="AB307" i="22" s="1"/>
  <c r="X306" i="22"/>
  <c r="AD306" i="22" s="1"/>
  <c r="W306" i="22"/>
  <c r="AC306" i="22" s="1"/>
  <c r="V306" i="22"/>
  <c r="AB306" i="22" s="1"/>
  <c r="X305" i="22"/>
  <c r="AD305" i="22" s="1"/>
  <c r="W305" i="22"/>
  <c r="AC305" i="22" s="1"/>
  <c r="V305" i="22"/>
  <c r="AB305" i="22" s="1"/>
  <c r="X304" i="22"/>
  <c r="AD304" i="22" s="1"/>
  <c r="W304" i="22"/>
  <c r="AC304" i="22" s="1"/>
  <c r="V304" i="22"/>
  <c r="AB304" i="22" s="1"/>
  <c r="X303" i="22"/>
  <c r="AD303" i="22" s="1"/>
  <c r="W303" i="22"/>
  <c r="AC303" i="22" s="1"/>
  <c r="V303" i="22"/>
  <c r="AB303" i="22" s="1"/>
  <c r="X302" i="22"/>
  <c r="AD302" i="22" s="1"/>
  <c r="W302" i="22"/>
  <c r="AC302" i="22" s="1"/>
  <c r="V302" i="22"/>
  <c r="AB302" i="22" s="1"/>
  <c r="X301" i="22"/>
  <c r="AD301" i="22" s="1"/>
  <c r="W301" i="22"/>
  <c r="AC301" i="22" s="1"/>
  <c r="V301" i="22"/>
  <c r="AB301" i="22" s="1"/>
  <c r="X300" i="22"/>
  <c r="AD300" i="22" s="1"/>
  <c r="W300" i="22"/>
  <c r="AC300" i="22" s="1"/>
  <c r="V300" i="22"/>
  <c r="AB300" i="22" s="1"/>
  <c r="X299" i="22"/>
  <c r="AD299" i="22" s="1"/>
  <c r="W299" i="22"/>
  <c r="AC299" i="22" s="1"/>
  <c r="V299" i="22"/>
  <c r="AB299" i="22" s="1"/>
  <c r="X298" i="22"/>
  <c r="AD298" i="22" s="1"/>
  <c r="W298" i="22"/>
  <c r="AC298" i="22" s="1"/>
  <c r="V298" i="22"/>
  <c r="AB298" i="22" s="1"/>
  <c r="X297" i="22"/>
  <c r="AD297" i="22" s="1"/>
  <c r="W297" i="22"/>
  <c r="AC297" i="22" s="1"/>
  <c r="V297" i="22"/>
  <c r="AB297" i="22" s="1"/>
  <c r="X296" i="22"/>
  <c r="AD296" i="22" s="1"/>
  <c r="W296" i="22"/>
  <c r="AC296" i="22" s="1"/>
  <c r="V296" i="22"/>
  <c r="AB296" i="22" s="1"/>
  <c r="X295" i="22"/>
  <c r="AD295" i="22" s="1"/>
  <c r="W295" i="22"/>
  <c r="AC295" i="22" s="1"/>
  <c r="V295" i="22"/>
  <c r="AB295" i="22" s="1"/>
  <c r="X294" i="22"/>
  <c r="AD294" i="22" s="1"/>
  <c r="W294" i="22"/>
  <c r="AC294" i="22" s="1"/>
  <c r="V294" i="22"/>
  <c r="AB294" i="22" s="1"/>
  <c r="X293" i="22"/>
  <c r="AD293" i="22" s="1"/>
  <c r="W293" i="22"/>
  <c r="AC293" i="22" s="1"/>
  <c r="V293" i="22"/>
  <c r="AB293" i="22" s="1"/>
  <c r="X292" i="22"/>
  <c r="AD292" i="22" s="1"/>
  <c r="W292" i="22"/>
  <c r="AC292" i="22" s="1"/>
  <c r="V292" i="22"/>
  <c r="AB292" i="22" s="1"/>
  <c r="X291" i="22"/>
  <c r="AD291" i="22" s="1"/>
  <c r="W291" i="22"/>
  <c r="AC291" i="22" s="1"/>
  <c r="V291" i="22"/>
  <c r="AB291" i="22" s="1"/>
  <c r="X290" i="22"/>
  <c r="AD290" i="22" s="1"/>
  <c r="W290" i="22"/>
  <c r="AC290" i="22" s="1"/>
  <c r="V290" i="22"/>
  <c r="AB290" i="22" s="1"/>
  <c r="X289" i="22"/>
  <c r="AD289" i="22" s="1"/>
  <c r="W289" i="22"/>
  <c r="AC289" i="22" s="1"/>
  <c r="V289" i="22"/>
  <c r="AB289" i="22" s="1"/>
  <c r="X288" i="22"/>
  <c r="AD288" i="22" s="1"/>
  <c r="W288" i="22"/>
  <c r="AC288" i="22" s="1"/>
  <c r="V288" i="22"/>
  <c r="AB288" i="22" s="1"/>
  <c r="X287" i="22"/>
  <c r="AD287" i="22" s="1"/>
  <c r="W287" i="22"/>
  <c r="AC287" i="22" s="1"/>
  <c r="V287" i="22"/>
  <c r="AB287" i="22" s="1"/>
  <c r="X286" i="22"/>
  <c r="AD286" i="22" s="1"/>
  <c r="W286" i="22"/>
  <c r="AC286" i="22" s="1"/>
  <c r="V286" i="22"/>
  <c r="AB286" i="22" s="1"/>
  <c r="X285" i="22"/>
  <c r="AD285" i="22" s="1"/>
  <c r="W285" i="22"/>
  <c r="AC285" i="22" s="1"/>
  <c r="V285" i="22"/>
  <c r="AB285" i="22" s="1"/>
  <c r="X284" i="22"/>
  <c r="AD284" i="22" s="1"/>
  <c r="W284" i="22"/>
  <c r="AC284" i="22" s="1"/>
  <c r="V284" i="22"/>
  <c r="AB284" i="22" s="1"/>
  <c r="X283" i="22"/>
  <c r="AD283" i="22" s="1"/>
  <c r="W283" i="22"/>
  <c r="AC283" i="22" s="1"/>
  <c r="V283" i="22"/>
  <c r="AB283" i="22" s="1"/>
  <c r="X282" i="22"/>
  <c r="AD282" i="22" s="1"/>
  <c r="W282" i="22"/>
  <c r="AC282" i="22" s="1"/>
  <c r="V282" i="22"/>
  <c r="AB282" i="22" s="1"/>
  <c r="X281" i="22"/>
  <c r="AD281" i="22" s="1"/>
  <c r="W281" i="22"/>
  <c r="AC281" i="22" s="1"/>
  <c r="V281" i="22"/>
  <c r="AB281" i="22" s="1"/>
  <c r="X280" i="22"/>
  <c r="AD280" i="22" s="1"/>
  <c r="W280" i="22"/>
  <c r="AC280" i="22" s="1"/>
  <c r="V280" i="22"/>
  <c r="AB280" i="22" s="1"/>
  <c r="X279" i="22"/>
  <c r="AD279" i="22" s="1"/>
  <c r="W279" i="22"/>
  <c r="AC279" i="22" s="1"/>
  <c r="V279" i="22"/>
  <c r="AB279" i="22" s="1"/>
  <c r="X278" i="22"/>
  <c r="AD278" i="22" s="1"/>
  <c r="W278" i="22"/>
  <c r="AC278" i="22" s="1"/>
  <c r="V278" i="22"/>
  <c r="AB278" i="22" s="1"/>
  <c r="X277" i="22"/>
  <c r="AD277" i="22" s="1"/>
  <c r="W277" i="22"/>
  <c r="AC277" i="22" s="1"/>
  <c r="V277" i="22"/>
  <c r="AB277" i="22" s="1"/>
  <c r="X276" i="22"/>
  <c r="AD276" i="22" s="1"/>
  <c r="W276" i="22"/>
  <c r="AC276" i="22" s="1"/>
  <c r="V276" i="22"/>
  <c r="AB276" i="22" s="1"/>
  <c r="X275" i="22"/>
  <c r="AD275" i="22" s="1"/>
  <c r="W275" i="22"/>
  <c r="AC275" i="22" s="1"/>
  <c r="V275" i="22"/>
  <c r="AB275" i="22" s="1"/>
  <c r="X274" i="22"/>
  <c r="AD274" i="22" s="1"/>
  <c r="W274" i="22"/>
  <c r="AC274" i="22" s="1"/>
  <c r="V274" i="22"/>
  <c r="AB274" i="22" s="1"/>
  <c r="X273" i="22"/>
  <c r="AD273" i="22" s="1"/>
  <c r="W273" i="22"/>
  <c r="AC273" i="22" s="1"/>
  <c r="V273" i="22"/>
  <c r="AB273" i="22" s="1"/>
  <c r="X272" i="22"/>
  <c r="AD272" i="22" s="1"/>
  <c r="W272" i="22"/>
  <c r="AC272" i="22" s="1"/>
  <c r="V272" i="22"/>
  <c r="AB272" i="22" s="1"/>
  <c r="X271" i="22"/>
  <c r="AD271" i="22" s="1"/>
  <c r="W271" i="22"/>
  <c r="AC271" i="22" s="1"/>
  <c r="V271" i="22"/>
  <c r="AB271" i="22" s="1"/>
  <c r="X270" i="22"/>
  <c r="AD270" i="22" s="1"/>
  <c r="W270" i="22"/>
  <c r="AC270" i="22" s="1"/>
  <c r="V270" i="22"/>
  <c r="AB270" i="22" s="1"/>
  <c r="X269" i="22"/>
  <c r="AD269" i="22" s="1"/>
  <c r="W269" i="22"/>
  <c r="AC269" i="22" s="1"/>
  <c r="V269" i="22"/>
  <c r="AB269" i="22" s="1"/>
  <c r="X268" i="22"/>
  <c r="AD268" i="22" s="1"/>
  <c r="W268" i="22"/>
  <c r="AC268" i="22" s="1"/>
  <c r="V268" i="22"/>
  <c r="AB268" i="22" s="1"/>
  <c r="X267" i="22"/>
  <c r="AD267" i="22" s="1"/>
  <c r="W267" i="22"/>
  <c r="AC267" i="22" s="1"/>
  <c r="V267" i="22"/>
  <c r="AB267" i="22" s="1"/>
  <c r="X266" i="22"/>
  <c r="AD266" i="22" s="1"/>
  <c r="W266" i="22"/>
  <c r="AC266" i="22" s="1"/>
  <c r="V266" i="22"/>
  <c r="AB266" i="22" s="1"/>
  <c r="X265" i="22"/>
  <c r="AD265" i="22" s="1"/>
  <c r="W265" i="22"/>
  <c r="AC265" i="22" s="1"/>
  <c r="V265" i="22"/>
  <c r="AB265" i="22" s="1"/>
  <c r="X264" i="22"/>
  <c r="AD264" i="22" s="1"/>
  <c r="W264" i="22"/>
  <c r="AC264" i="22" s="1"/>
  <c r="V264" i="22"/>
  <c r="AB264" i="22" s="1"/>
  <c r="X263" i="22"/>
  <c r="AD263" i="22" s="1"/>
  <c r="W263" i="22"/>
  <c r="AC263" i="22" s="1"/>
  <c r="V263" i="22"/>
  <c r="AB263" i="22" s="1"/>
  <c r="X262" i="22"/>
  <c r="AD262" i="22" s="1"/>
  <c r="W262" i="22"/>
  <c r="AC262" i="22" s="1"/>
  <c r="V262" i="22"/>
  <c r="AB262" i="22" s="1"/>
  <c r="X261" i="22"/>
  <c r="AD261" i="22" s="1"/>
  <c r="W261" i="22"/>
  <c r="AC261" i="22" s="1"/>
  <c r="V261" i="22"/>
  <c r="AB261" i="22" s="1"/>
  <c r="X260" i="22"/>
  <c r="AD260" i="22" s="1"/>
  <c r="W260" i="22"/>
  <c r="AC260" i="22" s="1"/>
  <c r="V260" i="22"/>
  <c r="AB260" i="22" s="1"/>
  <c r="X259" i="22"/>
  <c r="AD259" i="22" s="1"/>
  <c r="W259" i="22"/>
  <c r="AC259" i="22" s="1"/>
  <c r="V259" i="22"/>
  <c r="AB259" i="22" s="1"/>
  <c r="X258" i="22"/>
  <c r="AD258" i="22" s="1"/>
  <c r="W258" i="22"/>
  <c r="AC258" i="22" s="1"/>
  <c r="V258" i="22"/>
  <c r="AB258" i="22" s="1"/>
  <c r="X257" i="22"/>
  <c r="AD257" i="22" s="1"/>
  <c r="W257" i="22"/>
  <c r="AC257" i="22" s="1"/>
  <c r="V257" i="22"/>
  <c r="AB257" i="22" s="1"/>
  <c r="X256" i="22"/>
  <c r="AD256" i="22" s="1"/>
  <c r="W256" i="22"/>
  <c r="AC256" i="22" s="1"/>
  <c r="V256" i="22"/>
  <c r="AB256" i="22" s="1"/>
  <c r="X255" i="22"/>
  <c r="AD255" i="22" s="1"/>
  <c r="W255" i="22"/>
  <c r="AC255" i="22" s="1"/>
  <c r="V255" i="22"/>
  <c r="AB255" i="22" s="1"/>
  <c r="X254" i="22"/>
  <c r="AD254" i="22" s="1"/>
  <c r="W254" i="22"/>
  <c r="AC254" i="22" s="1"/>
  <c r="V254" i="22"/>
  <c r="AB254" i="22" s="1"/>
  <c r="X253" i="22"/>
  <c r="AD253" i="22" s="1"/>
  <c r="W253" i="22"/>
  <c r="AC253" i="22" s="1"/>
  <c r="V253" i="22"/>
  <c r="AB253" i="22" s="1"/>
  <c r="X252" i="22"/>
  <c r="AD252" i="22" s="1"/>
  <c r="W252" i="22"/>
  <c r="AC252" i="22" s="1"/>
  <c r="V252" i="22"/>
  <c r="AB252" i="22" s="1"/>
  <c r="X251" i="22"/>
  <c r="AD251" i="22" s="1"/>
  <c r="W251" i="22"/>
  <c r="AC251" i="22" s="1"/>
  <c r="V251" i="22"/>
  <c r="AB251" i="22" s="1"/>
  <c r="X250" i="22"/>
  <c r="AD250" i="22" s="1"/>
  <c r="W250" i="22"/>
  <c r="AC250" i="22" s="1"/>
  <c r="V250" i="22"/>
  <c r="AB250" i="22" s="1"/>
  <c r="X249" i="22"/>
  <c r="AD249" i="22" s="1"/>
  <c r="W249" i="22"/>
  <c r="AC249" i="22" s="1"/>
  <c r="V249" i="22"/>
  <c r="AB249" i="22" s="1"/>
  <c r="X248" i="22"/>
  <c r="AD248" i="22" s="1"/>
  <c r="W248" i="22"/>
  <c r="AC248" i="22" s="1"/>
  <c r="V248" i="22"/>
  <c r="AB248" i="22" s="1"/>
  <c r="X247" i="22"/>
  <c r="AD247" i="22" s="1"/>
  <c r="W247" i="22"/>
  <c r="AC247" i="22" s="1"/>
  <c r="V247" i="22"/>
  <c r="AB247" i="22" s="1"/>
  <c r="X246" i="22"/>
  <c r="AD246" i="22" s="1"/>
  <c r="W246" i="22"/>
  <c r="AC246" i="22" s="1"/>
  <c r="V246" i="22"/>
  <c r="AB246" i="22" s="1"/>
  <c r="X245" i="22"/>
  <c r="AD245" i="22" s="1"/>
  <c r="W245" i="22"/>
  <c r="AC245" i="22" s="1"/>
  <c r="V245" i="22"/>
  <c r="AB245" i="22" s="1"/>
  <c r="X244" i="22"/>
  <c r="AD244" i="22" s="1"/>
  <c r="W244" i="22"/>
  <c r="AC244" i="22" s="1"/>
  <c r="V244" i="22"/>
  <c r="AB244" i="22" s="1"/>
  <c r="X243" i="22"/>
  <c r="AD243" i="22" s="1"/>
  <c r="W243" i="22"/>
  <c r="AC243" i="22" s="1"/>
  <c r="V243" i="22"/>
  <c r="AB243" i="22" s="1"/>
  <c r="X242" i="22"/>
  <c r="AD242" i="22" s="1"/>
  <c r="W242" i="22"/>
  <c r="AC242" i="22" s="1"/>
  <c r="V242" i="22"/>
  <c r="AB242" i="22" s="1"/>
  <c r="X241" i="22"/>
  <c r="AD241" i="22" s="1"/>
  <c r="W241" i="22"/>
  <c r="AC241" i="22" s="1"/>
  <c r="V241" i="22"/>
  <c r="AB241" i="22" s="1"/>
  <c r="X240" i="22"/>
  <c r="AD240" i="22" s="1"/>
  <c r="W240" i="22"/>
  <c r="AC240" i="22" s="1"/>
  <c r="V240" i="22"/>
  <c r="AB240" i="22" s="1"/>
  <c r="X239" i="22"/>
  <c r="AD239" i="22" s="1"/>
  <c r="W239" i="22"/>
  <c r="AC239" i="22" s="1"/>
  <c r="V239" i="22"/>
  <c r="AB239" i="22" s="1"/>
  <c r="X238" i="22"/>
  <c r="AD238" i="22" s="1"/>
  <c r="W238" i="22"/>
  <c r="AC238" i="22" s="1"/>
  <c r="V238" i="22"/>
  <c r="AB238" i="22" s="1"/>
  <c r="X237" i="22"/>
  <c r="AD237" i="22" s="1"/>
  <c r="W237" i="22"/>
  <c r="AC237" i="22" s="1"/>
  <c r="V237" i="22"/>
  <c r="AB237" i="22" s="1"/>
  <c r="X236" i="22"/>
  <c r="AD236" i="22" s="1"/>
  <c r="W236" i="22"/>
  <c r="AC236" i="22" s="1"/>
  <c r="V236" i="22"/>
  <c r="AB236" i="22" s="1"/>
  <c r="X235" i="22"/>
  <c r="AD235" i="22" s="1"/>
  <c r="W235" i="22"/>
  <c r="AC235" i="22" s="1"/>
  <c r="V235" i="22"/>
  <c r="AB235" i="22" s="1"/>
  <c r="X234" i="22"/>
  <c r="AD234" i="22" s="1"/>
  <c r="W234" i="22"/>
  <c r="AC234" i="22" s="1"/>
  <c r="V234" i="22"/>
  <c r="AB234" i="22" s="1"/>
  <c r="X233" i="22"/>
  <c r="AD233" i="22" s="1"/>
  <c r="W233" i="22"/>
  <c r="AC233" i="22" s="1"/>
  <c r="V233" i="22"/>
  <c r="AB233" i="22" s="1"/>
  <c r="X232" i="22"/>
  <c r="AD232" i="22" s="1"/>
  <c r="W232" i="22"/>
  <c r="AC232" i="22" s="1"/>
  <c r="V232" i="22"/>
  <c r="AB232" i="22" s="1"/>
  <c r="X231" i="22"/>
  <c r="AD231" i="22" s="1"/>
  <c r="W231" i="22"/>
  <c r="AC231" i="22" s="1"/>
  <c r="V231" i="22"/>
  <c r="AB231" i="22" s="1"/>
  <c r="X230" i="22"/>
  <c r="AD230" i="22" s="1"/>
  <c r="W230" i="22"/>
  <c r="AC230" i="22" s="1"/>
  <c r="V230" i="22"/>
  <c r="AB230" i="22" s="1"/>
  <c r="X229" i="22"/>
  <c r="AD229" i="22" s="1"/>
  <c r="W229" i="22"/>
  <c r="AC229" i="22" s="1"/>
  <c r="V229" i="22"/>
  <c r="AB229" i="22" s="1"/>
  <c r="X228" i="22"/>
  <c r="AD228" i="22" s="1"/>
  <c r="W228" i="22"/>
  <c r="AC228" i="22" s="1"/>
  <c r="V228" i="22"/>
  <c r="AB228" i="22" s="1"/>
  <c r="X227" i="22"/>
  <c r="AD227" i="22" s="1"/>
  <c r="W227" i="22"/>
  <c r="AC227" i="22" s="1"/>
  <c r="V227" i="22"/>
  <c r="AB227" i="22" s="1"/>
  <c r="X226" i="22"/>
  <c r="AD226" i="22" s="1"/>
  <c r="W226" i="22"/>
  <c r="AC226" i="22" s="1"/>
  <c r="V226" i="22"/>
  <c r="AB226" i="22" s="1"/>
  <c r="X225" i="22"/>
  <c r="AD225" i="22" s="1"/>
  <c r="W225" i="22"/>
  <c r="AC225" i="22" s="1"/>
  <c r="V225" i="22"/>
  <c r="AB225" i="22" s="1"/>
  <c r="X224" i="22"/>
  <c r="AD224" i="22" s="1"/>
  <c r="W224" i="22"/>
  <c r="AC224" i="22" s="1"/>
  <c r="V224" i="22"/>
  <c r="AB224" i="22" s="1"/>
  <c r="X223" i="22"/>
  <c r="AD223" i="22" s="1"/>
  <c r="W223" i="22"/>
  <c r="AC223" i="22" s="1"/>
  <c r="V223" i="22"/>
  <c r="AB223" i="22" s="1"/>
  <c r="X222" i="22"/>
  <c r="AD222" i="22" s="1"/>
  <c r="W222" i="22"/>
  <c r="AC222" i="22" s="1"/>
  <c r="V222" i="22"/>
  <c r="AB222" i="22" s="1"/>
  <c r="X221" i="22"/>
  <c r="AD221" i="22" s="1"/>
  <c r="W221" i="22"/>
  <c r="AC221" i="22" s="1"/>
  <c r="V221" i="22"/>
  <c r="AB221" i="22" s="1"/>
  <c r="X220" i="22"/>
  <c r="AD220" i="22" s="1"/>
  <c r="W220" i="22"/>
  <c r="AC220" i="22" s="1"/>
  <c r="V220" i="22"/>
  <c r="AB220" i="22" s="1"/>
  <c r="X219" i="22"/>
  <c r="AD219" i="22" s="1"/>
  <c r="W219" i="22"/>
  <c r="AC219" i="22" s="1"/>
  <c r="V219" i="22"/>
  <c r="AB219" i="22" s="1"/>
  <c r="X218" i="22"/>
  <c r="AD218" i="22" s="1"/>
  <c r="W218" i="22"/>
  <c r="AC218" i="22" s="1"/>
  <c r="V218" i="22"/>
  <c r="AB218" i="22" s="1"/>
  <c r="X217" i="22"/>
  <c r="AD217" i="22" s="1"/>
  <c r="W217" i="22"/>
  <c r="AC217" i="22" s="1"/>
  <c r="V217" i="22"/>
  <c r="AB217" i="22" s="1"/>
  <c r="X216" i="22"/>
  <c r="AD216" i="22" s="1"/>
  <c r="W216" i="22"/>
  <c r="AC216" i="22" s="1"/>
  <c r="V216" i="22"/>
  <c r="AB216" i="22" s="1"/>
  <c r="X215" i="22"/>
  <c r="AD215" i="22" s="1"/>
  <c r="W215" i="22"/>
  <c r="AC215" i="22" s="1"/>
  <c r="V215" i="22"/>
  <c r="AB215" i="22" s="1"/>
  <c r="X214" i="22"/>
  <c r="AD214" i="22" s="1"/>
  <c r="W214" i="22"/>
  <c r="AC214" i="22" s="1"/>
  <c r="V214" i="22"/>
  <c r="AB214" i="22" s="1"/>
  <c r="X213" i="22"/>
  <c r="AD213" i="22" s="1"/>
  <c r="W213" i="22"/>
  <c r="AC213" i="22" s="1"/>
  <c r="V213" i="22"/>
  <c r="AB213" i="22" s="1"/>
  <c r="X212" i="22"/>
  <c r="AD212" i="22" s="1"/>
  <c r="W212" i="22"/>
  <c r="AC212" i="22" s="1"/>
  <c r="V212" i="22"/>
  <c r="AB212" i="22" s="1"/>
  <c r="X211" i="22"/>
  <c r="AD211" i="22" s="1"/>
  <c r="W211" i="22"/>
  <c r="AC211" i="22" s="1"/>
  <c r="V211" i="22"/>
  <c r="AB211" i="22" s="1"/>
  <c r="X210" i="22"/>
  <c r="AD210" i="22" s="1"/>
  <c r="W210" i="22"/>
  <c r="AC210" i="22" s="1"/>
  <c r="V210" i="22"/>
  <c r="AB210" i="22" s="1"/>
  <c r="X209" i="22"/>
  <c r="AD209" i="22" s="1"/>
  <c r="W209" i="22"/>
  <c r="AC209" i="22" s="1"/>
  <c r="V209" i="22"/>
  <c r="AB209" i="22" s="1"/>
  <c r="X208" i="22"/>
  <c r="AD208" i="22" s="1"/>
  <c r="W208" i="22"/>
  <c r="AC208" i="22" s="1"/>
  <c r="V208" i="22"/>
  <c r="AB208" i="22" s="1"/>
  <c r="X207" i="22"/>
  <c r="AD207" i="22" s="1"/>
  <c r="W207" i="22"/>
  <c r="AC207" i="22" s="1"/>
  <c r="V207" i="22"/>
  <c r="AB207" i="22" s="1"/>
  <c r="X206" i="22"/>
  <c r="AD206" i="22" s="1"/>
  <c r="W206" i="22"/>
  <c r="AC206" i="22" s="1"/>
  <c r="V206" i="22"/>
  <c r="AB206" i="22" s="1"/>
  <c r="X205" i="22"/>
  <c r="AD205" i="22" s="1"/>
  <c r="W205" i="22"/>
  <c r="AC205" i="22" s="1"/>
  <c r="V205" i="22"/>
  <c r="AB205" i="22" s="1"/>
  <c r="X204" i="22"/>
  <c r="AD204" i="22" s="1"/>
  <c r="W204" i="22"/>
  <c r="AC204" i="22" s="1"/>
  <c r="V204" i="22"/>
  <c r="AB204" i="22" s="1"/>
  <c r="X203" i="22"/>
  <c r="AD203" i="22" s="1"/>
  <c r="W203" i="22"/>
  <c r="AC203" i="22" s="1"/>
  <c r="V203" i="22"/>
  <c r="AB203" i="22" s="1"/>
  <c r="X202" i="22"/>
  <c r="AD202" i="22" s="1"/>
  <c r="W202" i="22"/>
  <c r="AC202" i="22" s="1"/>
  <c r="V202" i="22"/>
  <c r="AB202" i="22" s="1"/>
  <c r="X201" i="22"/>
  <c r="AD201" i="22" s="1"/>
  <c r="W201" i="22"/>
  <c r="AC201" i="22" s="1"/>
  <c r="V201" i="22"/>
  <c r="AB201" i="22" s="1"/>
  <c r="X200" i="22"/>
  <c r="AD200" i="22" s="1"/>
  <c r="W200" i="22"/>
  <c r="AC200" i="22" s="1"/>
  <c r="V200" i="22"/>
  <c r="AB200" i="22" s="1"/>
  <c r="X199" i="22"/>
  <c r="AD199" i="22" s="1"/>
  <c r="W199" i="22"/>
  <c r="AC199" i="22" s="1"/>
  <c r="V199" i="22"/>
  <c r="AB199" i="22" s="1"/>
  <c r="X198" i="22"/>
  <c r="AD198" i="22" s="1"/>
  <c r="W198" i="22"/>
  <c r="AC198" i="22" s="1"/>
  <c r="V198" i="22"/>
  <c r="AB198" i="22" s="1"/>
  <c r="X197" i="22"/>
  <c r="AD197" i="22" s="1"/>
  <c r="W197" i="22"/>
  <c r="AC197" i="22" s="1"/>
  <c r="V197" i="22"/>
  <c r="AB197" i="22" s="1"/>
  <c r="X196" i="22"/>
  <c r="AD196" i="22" s="1"/>
  <c r="W196" i="22"/>
  <c r="AC196" i="22" s="1"/>
  <c r="V196" i="22"/>
  <c r="AB196" i="22" s="1"/>
  <c r="X195" i="22"/>
  <c r="AD195" i="22" s="1"/>
  <c r="W195" i="22"/>
  <c r="AC195" i="22" s="1"/>
  <c r="V195" i="22"/>
  <c r="AB195" i="22" s="1"/>
  <c r="X194" i="22"/>
  <c r="AD194" i="22" s="1"/>
  <c r="W194" i="22"/>
  <c r="AC194" i="22" s="1"/>
  <c r="V194" i="22"/>
  <c r="AB194" i="22" s="1"/>
  <c r="X193" i="22"/>
  <c r="AD193" i="22" s="1"/>
  <c r="X192" i="22"/>
  <c r="AD192" i="22" s="1"/>
  <c r="X191" i="22"/>
  <c r="AD191" i="22" s="1"/>
  <c r="X190" i="22"/>
  <c r="AD190" i="22" s="1"/>
  <c r="X189" i="22"/>
  <c r="AD189" i="22" s="1"/>
  <c r="X188" i="22"/>
  <c r="AD188" i="22" s="1"/>
  <c r="X187" i="22"/>
  <c r="AD187" i="22" s="1"/>
  <c r="X186" i="22"/>
  <c r="AD186" i="22" s="1"/>
  <c r="X185" i="22"/>
  <c r="AD185" i="22" s="1"/>
  <c r="X184" i="22"/>
  <c r="AD184" i="22" s="1"/>
  <c r="X183" i="22"/>
  <c r="AD183" i="22" s="1"/>
  <c r="X182" i="22"/>
  <c r="AD182" i="22" s="1"/>
  <c r="X181" i="22"/>
  <c r="AD181" i="22" s="1"/>
  <c r="V181" i="22"/>
  <c r="AB181" i="22" s="1"/>
  <c r="X180" i="22"/>
  <c r="AD180" i="22" s="1"/>
  <c r="V180" i="22"/>
  <c r="AB180" i="22" s="1"/>
  <c r="X179" i="22"/>
  <c r="AD179" i="22" s="1"/>
  <c r="V179" i="22"/>
  <c r="AB179" i="22" s="1"/>
  <c r="X178" i="22"/>
  <c r="AD178" i="22" s="1"/>
  <c r="V178" i="22"/>
  <c r="AB178" i="22" s="1"/>
  <c r="X177" i="22"/>
  <c r="AD177" i="22" s="1"/>
  <c r="V177" i="22"/>
  <c r="AB177" i="22" s="1"/>
  <c r="X176" i="22"/>
  <c r="AD176" i="22" s="1"/>
  <c r="V176" i="22"/>
  <c r="AB176" i="22" s="1"/>
  <c r="X175" i="22"/>
  <c r="AD175" i="22" s="1"/>
  <c r="V175" i="22"/>
  <c r="AB175" i="22" s="1"/>
  <c r="X174" i="22"/>
  <c r="AD174" i="22" s="1"/>
  <c r="V174" i="22"/>
  <c r="AB174" i="22" s="1"/>
  <c r="X173" i="22"/>
  <c r="AD173" i="22" s="1"/>
  <c r="V173" i="22"/>
  <c r="AB173" i="22" s="1"/>
  <c r="X172" i="22"/>
  <c r="AD172" i="22" s="1"/>
  <c r="V172" i="22"/>
  <c r="AB172" i="22" s="1"/>
  <c r="X171" i="22"/>
  <c r="AD171" i="22" s="1"/>
  <c r="V171" i="22"/>
  <c r="AB171" i="22" s="1"/>
  <c r="X170" i="22"/>
  <c r="AD170" i="22" s="1"/>
  <c r="V170" i="22"/>
  <c r="AB170" i="22" s="1"/>
  <c r="X169" i="22"/>
  <c r="AD169" i="22" s="1"/>
  <c r="X168" i="22"/>
  <c r="AD168" i="22" s="1"/>
  <c r="X167" i="22"/>
  <c r="AD167" i="22" s="1"/>
  <c r="X166" i="22"/>
  <c r="AD166" i="22" s="1"/>
  <c r="X165" i="22"/>
  <c r="AD165" i="22" s="1"/>
  <c r="X164" i="22"/>
  <c r="AD164" i="22" s="1"/>
  <c r="X163" i="22"/>
  <c r="AD163" i="22" s="1"/>
  <c r="X162" i="22"/>
  <c r="AD162" i="22" s="1"/>
  <c r="X161" i="22"/>
  <c r="AD161" i="22" s="1"/>
  <c r="X160" i="22"/>
  <c r="AD160" i="22" s="1"/>
  <c r="X159" i="22"/>
  <c r="AD159" i="22" s="1"/>
  <c r="X158" i="22"/>
  <c r="AD158" i="22" s="1"/>
  <c r="X157" i="22"/>
  <c r="AD157" i="22" s="1"/>
  <c r="W157" i="22"/>
  <c r="AC157" i="22" s="1"/>
  <c r="V157" i="22"/>
  <c r="AB157" i="22" s="1"/>
  <c r="X156" i="22"/>
  <c r="AD156" i="22" s="1"/>
  <c r="W156" i="22"/>
  <c r="AC156" i="22" s="1"/>
  <c r="V156" i="22"/>
  <c r="AB156" i="22" s="1"/>
  <c r="X155" i="22"/>
  <c r="AD155" i="22" s="1"/>
  <c r="W155" i="22"/>
  <c r="AC155" i="22" s="1"/>
  <c r="V155" i="22"/>
  <c r="AB155" i="22" s="1"/>
  <c r="X154" i="22"/>
  <c r="AD154" i="22" s="1"/>
  <c r="W154" i="22"/>
  <c r="AC154" i="22" s="1"/>
  <c r="V154" i="22"/>
  <c r="AB154" i="22" s="1"/>
  <c r="X153" i="22"/>
  <c r="AD153" i="22" s="1"/>
  <c r="W153" i="22"/>
  <c r="AC153" i="22" s="1"/>
  <c r="V153" i="22"/>
  <c r="AB153" i="22" s="1"/>
  <c r="X152" i="22"/>
  <c r="AD152" i="22" s="1"/>
  <c r="W152" i="22"/>
  <c r="AC152" i="22" s="1"/>
  <c r="V152" i="22"/>
  <c r="AB152" i="22" s="1"/>
  <c r="X151" i="22"/>
  <c r="AD151" i="22" s="1"/>
  <c r="W151" i="22"/>
  <c r="AC151" i="22" s="1"/>
  <c r="V151" i="22"/>
  <c r="AB151" i="22" s="1"/>
  <c r="X150" i="22"/>
  <c r="AD150" i="22" s="1"/>
  <c r="W150" i="22"/>
  <c r="AC150" i="22" s="1"/>
  <c r="V150" i="22"/>
  <c r="AB150" i="22" s="1"/>
  <c r="X149" i="22"/>
  <c r="AD149" i="22" s="1"/>
  <c r="W149" i="22"/>
  <c r="AC149" i="22" s="1"/>
  <c r="V149" i="22"/>
  <c r="AB149" i="22" s="1"/>
  <c r="X148" i="22"/>
  <c r="AD148" i="22" s="1"/>
  <c r="W148" i="22"/>
  <c r="AC148" i="22" s="1"/>
  <c r="V148" i="22"/>
  <c r="AB148" i="22" s="1"/>
  <c r="X147" i="22"/>
  <c r="AD147" i="22" s="1"/>
  <c r="W147" i="22"/>
  <c r="AC147" i="22" s="1"/>
  <c r="V147" i="22"/>
  <c r="AB147" i="22" s="1"/>
  <c r="X146" i="22"/>
  <c r="AD146" i="22" s="1"/>
  <c r="W146" i="22"/>
  <c r="AC146" i="22" s="1"/>
  <c r="V146" i="22"/>
  <c r="AB146" i="22" s="1"/>
  <c r="X145" i="22"/>
  <c r="AD145" i="22" s="1"/>
  <c r="W145" i="22"/>
  <c r="AC145" i="22" s="1"/>
  <c r="V145" i="22"/>
  <c r="AB145" i="22" s="1"/>
  <c r="X144" i="22"/>
  <c r="AD144" i="22" s="1"/>
  <c r="W144" i="22"/>
  <c r="AC144" i="22" s="1"/>
  <c r="V144" i="22"/>
  <c r="AB144" i="22" s="1"/>
  <c r="X143" i="22"/>
  <c r="AD143" i="22" s="1"/>
  <c r="W143" i="22"/>
  <c r="AC143" i="22" s="1"/>
  <c r="V143" i="22"/>
  <c r="AB143" i="22" s="1"/>
  <c r="X142" i="22"/>
  <c r="AD142" i="22" s="1"/>
  <c r="W142" i="22"/>
  <c r="AC142" i="22" s="1"/>
  <c r="V142" i="22"/>
  <c r="AB142" i="22" s="1"/>
  <c r="X141" i="22"/>
  <c r="AD141" i="22" s="1"/>
  <c r="W141" i="22"/>
  <c r="AC141" i="22" s="1"/>
  <c r="V141" i="22"/>
  <c r="AB141" i="22" s="1"/>
  <c r="X140" i="22"/>
  <c r="AD140" i="22" s="1"/>
  <c r="W140" i="22"/>
  <c r="AC140" i="22" s="1"/>
  <c r="V140" i="22"/>
  <c r="AB140" i="22" s="1"/>
  <c r="X139" i="22"/>
  <c r="AD139" i="22" s="1"/>
  <c r="W139" i="22"/>
  <c r="AC139" i="22" s="1"/>
  <c r="V139" i="22"/>
  <c r="AB139" i="22" s="1"/>
  <c r="X138" i="22"/>
  <c r="AD138" i="22" s="1"/>
  <c r="W138" i="22"/>
  <c r="AC138" i="22" s="1"/>
  <c r="V138" i="22"/>
  <c r="AB138" i="22" s="1"/>
  <c r="X137" i="22"/>
  <c r="AD137" i="22" s="1"/>
  <c r="W137" i="22"/>
  <c r="AC137" i="22" s="1"/>
  <c r="V137" i="22"/>
  <c r="AB137" i="22" s="1"/>
  <c r="X136" i="22"/>
  <c r="AD136" i="22" s="1"/>
  <c r="W136" i="22"/>
  <c r="AC136" i="22" s="1"/>
  <c r="V136" i="22"/>
  <c r="AB136" i="22" s="1"/>
  <c r="X135" i="22"/>
  <c r="AD135" i="22" s="1"/>
  <c r="W135" i="22"/>
  <c r="AC135" i="22" s="1"/>
  <c r="V135" i="22"/>
  <c r="AB135" i="22" s="1"/>
  <c r="X134" i="22"/>
  <c r="AD134" i="22" s="1"/>
  <c r="W134" i="22"/>
  <c r="AC134" i="22" s="1"/>
  <c r="V134" i="22"/>
  <c r="AB134" i="22" s="1"/>
  <c r="X133" i="22"/>
  <c r="AD133" i="22" s="1"/>
  <c r="W133" i="22"/>
  <c r="AC133" i="22" s="1"/>
  <c r="V133" i="22"/>
  <c r="AB133" i="22" s="1"/>
  <c r="X132" i="22"/>
  <c r="AD132" i="22" s="1"/>
  <c r="W132" i="22"/>
  <c r="AC132" i="22" s="1"/>
  <c r="V132" i="22"/>
  <c r="AB132" i="22" s="1"/>
  <c r="X131" i="22"/>
  <c r="AD131" i="22" s="1"/>
  <c r="W131" i="22"/>
  <c r="AC131" i="22" s="1"/>
  <c r="V131" i="22"/>
  <c r="AB131" i="22" s="1"/>
  <c r="X130" i="22"/>
  <c r="AD130" i="22" s="1"/>
  <c r="W130" i="22"/>
  <c r="AC130" i="22" s="1"/>
  <c r="V130" i="22"/>
  <c r="AB130" i="22" s="1"/>
  <c r="X129" i="22"/>
  <c r="AD129" i="22" s="1"/>
  <c r="W129" i="22"/>
  <c r="AC129" i="22" s="1"/>
  <c r="V129" i="22"/>
  <c r="AB129" i="22" s="1"/>
  <c r="X128" i="22"/>
  <c r="AD128" i="22" s="1"/>
  <c r="W128" i="22"/>
  <c r="AC128" i="22" s="1"/>
  <c r="V128" i="22"/>
  <c r="AB128" i="22" s="1"/>
  <c r="X127" i="22"/>
  <c r="AD127" i="22" s="1"/>
  <c r="W127" i="22"/>
  <c r="AC127" i="22" s="1"/>
  <c r="V127" i="22"/>
  <c r="AB127" i="22" s="1"/>
  <c r="X126" i="22"/>
  <c r="AD126" i="22" s="1"/>
  <c r="W126" i="22"/>
  <c r="AC126" i="22" s="1"/>
  <c r="V126" i="22"/>
  <c r="AB126" i="22" s="1"/>
  <c r="X125" i="22"/>
  <c r="AD125" i="22" s="1"/>
  <c r="W125" i="22"/>
  <c r="AC125" i="22" s="1"/>
  <c r="V125" i="22"/>
  <c r="AB125" i="22" s="1"/>
  <c r="X124" i="22"/>
  <c r="AD124" i="22" s="1"/>
  <c r="W124" i="22"/>
  <c r="AC124" i="22" s="1"/>
  <c r="V124" i="22"/>
  <c r="AB124" i="22" s="1"/>
  <c r="X123" i="22"/>
  <c r="AD123" i="22" s="1"/>
  <c r="W123" i="22"/>
  <c r="AC123" i="22" s="1"/>
  <c r="V123" i="22"/>
  <c r="AB123" i="22" s="1"/>
  <c r="X122" i="22"/>
  <c r="AD122" i="22" s="1"/>
  <c r="W122" i="22"/>
  <c r="AC122" i="22" s="1"/>
  <c r="V122" i="22"/>
  <c r="AB122" i="22" s="1"/>
  <c r="X121" i="22"/>
  <c r="AD121" i="22" s="1"/>
  <c r="W121" i="22"/>
  <c r="AC121" i="22" s="1"/>
  <c r="V121" i="22"/>
  <c r="AB121" i="22" s="1"/>
  <c r="X120" i="22"/>
  <c r="AD120" i="22" s="1"/>
  <c r="W120" i="22"/>
  <c r="AC120" i="22" s="1"/>
  <c r="V120" i="22"/>
  <c r="AB120" i="22" s="1"/>
  <c r="X119" i="22"/>
  <c r="AD119" i="22" s="1"/>
  <c r="W119" i="22"/>
  <c r="AC119" i="22" s="1"/>
  <c r="V119" i="22"/>
  <c r="AB119" i="22" s="1"/>
  <c r="X118" i="22"/>
  <c r="AD118" i="22" s="1"/>
  <c r="W118" i="22"/>
  <c r="AC118" i="22" s="1"/>
  <c r="V118" i="22"/>
  <c r="AB118" i="22" s="1"/>
  <c r="X117" i="22"/>
  <c r="AD117" i="22" s="1"/>
  <c r="W117" i="22"/>
  <c r="AC117" i="22" s="1"/>
  <c r="V117" i="22"/>
  <c r="AB117" i="22" s="1"/>
  <c r="X116" i="22"/>
  <c r="AD116" i="22" s="1"/>
  <c r="W116" i="22"/>
  <c r="AC116" i="22" s="1"/>
  <c r="V116" i="22"/>
  <c r="AB116" i="22" s="1"/>
  <c r="X115" i="22"/>
  <c r="AD115" i="22" s="1"/>
  <c r="W115" i="22"/>
  <c r="AC115" i="22" s="1"/>
  <c r="V115" i="22"/>
  <c r="AB115" i="22" s="1"/>
  <c r="X114" i="22"/>
  <c r="AD114" i="22" s="1"/>
  <c r="W114" i="22"/>
  <c r="AC114" i="22" s="1"/>
  <c r="V114" i="22"/>
  <c r="AB114" i="22" s="1"/>
  <c r="X113" i="22"/>
  <c r="AD113" i="22" s="1"/>
  <c r="W113" i="22"/>
  <c r="AC113" i="22" s="1"/>
  <c r="V113" i="22"/>
  <c r="AB113" i="22" s="1"/>
  <c r="X112" i="22"/>
  <c r="AD112" i="22" s="1"/>
  <c r="W112" i="22"/>
  <c r="AC112" i="22" s="1"/>
  <c r="V112" i="22"/>
  <c r="AB112" i="22" s="1"/>
  <c r="X111" i="22"/>
  <c r="AD111" i="22" s="1"/>
  <c r="W111" i="22"/>
  <c r="AC111" i="22" s="1"/>
  <c r="V111" i="22"/>
  <c r="AB111" i="22" s="1"/>
  <c r="X110" i="22"/>
  <c r="AD110" i="22" s="1"/>
  <c r="W110" i="22"/>
  <c r="AC110" i="22" s="1"/>
  <c r="V110" i="22"/>
  <c r="AB110" i="22" s="1"/>
  <c r="X109" i="22"/>
  <c r="AD109" i="22" s="1"/>
  <c r="W109" i="22"/>
  <c r="AC109" i="22" s="1"/>
  <c r="V109" i="22"/>
  <c r="AB109" i="22" s="1"/>
  <c r="X108" i="22"/>
  <c r="AD108" i="22" s="1"/>
  <c r="W108" i="22"/>
  <c r="AC108" i="22" s="1"/>
  <c r="V108" i="22"/>
  <c r="AB108" i="22" s="1"/>
  <c r="X107" i="22"/>
  <c r="AD107" i="22" s="1"/>
  <c r="W107" i="22"/>
  <c r="AC107" i="22" s="1"/>
  <c r="V107" i="22"/>
  <c r="AB107" i="22" s="1"/>
  <c r="X106" i="22"/>
  <c r="AD106" i="22" s="1"/>
  <c r="W106" i="22"/>
  <c r="AC106" i="22" s="1"/>
  <c r="V106" i="22"/>
  <c r="AB106" i="22" s="1"/>
  <c r="X105" i="22"/>
  <c r="AD105" i="22" s="1"/>
  <c r="W105" i="22"/>
  <c r="AC105" i="22" s="1"/>
  <c r="V105" i="22"/>
  <c r="AB105" i="22" s="1"/>
  <c r="X104" i="22"/>
  <c r="AD104" i="22" s="1"/>
  <c r="W104" i="22"/>
  <c r="AC104" i="22" s="1"/>
  <c r="V104" i="22"/>
  <c r="AB104" i="22" s="1"/>
  <c r="X103" i="22"/>
  <c r="AD103" i="22" s="1"/>
  <c r="W103" i="22"/>
  <c r="AC103" i="22" s="1"/>
  <c r="V103" i="22"/>
  <c r="AB103" i="22" s="1"/>
  <c r="X102" i="22"/>
  <c r="AD102" i="22" s="1"/>
  <c r="W102" i="22"/>
  <c r="AC102" i="22" s="1"/>
  <c r="V102" i="22"/>
  <c r="AB102" i="22" s="1"/>
  <c r="X101" i="22"/>
  <c r="AD101" i="22" s="1"/>
  <c r="W101" i="22"/>
  <c r="AC101" i="22" s="1"/>
  <c r="V101" i="22"/>
  <c r="AB101" i="22" s="1"/>
  <c r="X100" i="22"/>
  <c r="AD100" i="22" s="1"/>
  <c r="W100" i="22"/>
  <c r="AC100" i="22" s="1"/>
  <c r="V100" i="22"/>
  <c r="AB100" i="22" s="1"/>
  <c r="X99" i="22"/>
  <c r="AD99" i="22" s="1"/>
  <c r="W99" i="22"/>
  <c r="AC99" i="22" s="1"/>
  <c r="V99" i="22"/>
  <c r="AB99" i="22" s="1"/>
  <c r="X98" i="22"/>
  <c r="AD98" i="22" s="1"/>
  <c r="W98" i="22"/>
  <c r="AC98" i="22" s="1"/>
  <c r="V98" i="22"/>
  <c r="AB98" i="22" s="1"/>
  <c r="X97" i="22"/>
  <c r="AD97" i="22" s="1"/>
  <c r="W97" i="22"/>
  <c r="AC97" i="22" s="1"/>
  <c r="V97" i="22"/>
  <c r="AB97" i="22" s="1"/>
  <c r="X96" i="22"/>
  <c r="AD96" i="22" s="1"/>
  <c r="W96" i="22"/>
  <c r="AC96" i="22" s="1"/>
  <c r="V96" i="22"/>
  <c r="AB96" i="22" s="1"/>
  <c r="X95" i="22"/>
  <c r="AD95" i="22" s="1"/>
  <c r="W95" i="22"/>
  <c r="AC95" i="22" s="1"/>
  <c r="V95" i="22"/>
  <c r="AB95" i="22" s="1"/>
  <c r="X94" i="22"/>
  <c r="AD94" i="22" s="1"/>
  <c r="W94" i="22"/>
  <c r="AC94" i="22" s="1"/>
  <c r="V94" i="22"/>
  <c r="AB94" i="22" s="1"/>
  <c r="X93" i="22"/>
  <c r="AD93" i="22" s="1"/>
  <c r="W93" i="22"/>
  <c r="AC93" i="22" s="1"/>
  <c r="V93" i="22"/>
  <c r="AB93" i="22" s="1"/>
  <c r="X92" i="22"/>
  <c r="AD92" i="22" s="1"/>
  <c r="W92" i="22"/>
  <c r="AC92" i="22" s="1"/>
  <c r="V92" i="22"/>
  <c r="AB92" i="22" s="1"/>
  <c r="X91" i="22"/>
  <c r="AD91" i="22" s="1"/>
  <c r="W91" i="22"/>
  <c r="AC91" i="22" s="1"/>
  <c r="V91" i="22"/>
  <c r="AB91" i="22" s="1"/>
  <c r="X90" i="22"/>
  <c r="AD90" i="22" s="1"/>
  <c r="W90" i="22"/>
  <c r="AC90" i="22" s="1"/>
  <c r="V90" i="22"/>
  <c r="AB90" i="22" s="1"/>
  <c r="X89" i="22"/>
  <c r="AD89" i="22" s="1"/>
  <c r="W89" i="22"/>
  <c r="AC89" i="22" s="1"/>
  <c r="V89" i="22"/>
  <c r="AB89" i="22" s="1"/>
  <c r="X88" i="22"/>
  <c r="AD88" i="22" s="1"/>
  <c r="W88" i="22"/>
  <c r="AC88" i="22" s="1"/>
  <c r="V88" i="22"/>
  <c r="AB88" i="22" s="1"/>
  <c r="X87" i="22"/>
  <c r="AD87" i="22" s="1"/>
  <c r="W87" i="22"/>
  <c r="AC87" i="22" s="1"/>
  <c r="V87" i="22"/>
  <c r="AB87" i="22" s="1"/>
  <c r="X86" i="22"/>
  <c r="AD86" i="22" s="1"/>
  <c r="W86" i="22"/>
  <c r="AC86" i="22" s="1"/>
  <c r="V86" i="22"/>
  <c r="AB86" i="22" s="1"/>
  <c r="X85" i="22"/>
  <c r="AD85" i="22" s="1"/>
  <c r="W85" i="22"/>
  <c r="AC85" i="22" s="1"/>
  <c r="V85" i="22"/>
  <c r="AB85" i="22" s="1"/>
  <c r="X84" i="22"/>
  <c r="AD84" i="22" s="1"/>
  <c r="W84" i="22"/>
  <c r="AC84" i="22" s="1"/>
  <c r="V84" i="22"/>
  <c r="AB84" i="22" s="1"/>
  <c r="X83" i="22"/>
  <c r="AD83" i="22" s="1"/>
  <c r="W83" i="22"/>
  <c r="AC83" i="22" s="1"/>
  <c r="V83" i="22"/>
  <c r="AB83" i="22" s="1"/>
  <c r="X82" i="22"/>
  <c r="AD82" i="22" s="1"/>
  <c r="W82" i="22"/>
  <c r="AC82" i="22" s="1"/>
  <c r="V82" i="22"/>
  <c r="AB82" i="22" s="1"/>
  <c r="X81" i="22"/>
  <c r="AD81" i="22" s="1"/>
  <c r="W81" i="22"/>
  <c r="AC81" i="22" s="1"/>
  <c r="V81" i="22"/>
  <c r="AB81" i="22" s="1"/>
  <c r="X80" i="22"/>
  <c r="AD80" i="22" s="1"/>
  <c r="W80" i="22"/>
  <c r="AC80" i="22" s="1"/>
  <c r="V80" i="22"/>
  <c r="AB80" i="22" s="1"/>
  <c r="X79" i="22"/>
  <c r="AD79" i="22" s="1"/>
  <c r="W79" i="22"/>
  <c r="AC79" i="22" s="1"/>
  <c r="V79" i="22"/>
  <c r="AB79" i="22" s="1"/>
  <c r="X78" i="22"/>
  <c r="AD78" i="22" s="1"/>
  <c r="W78" i="22"/>
  <c r="AC78" i="22" s="1"/>
  <c r="V78" i="22"/>
  <c r="AB78" i="22" s="1"/>
  <c r="X77" i="22"/>
  <c r="AD77" i="22" s="1"/>
  <c r="W77" i="22"/>
  <c r="AC77" i="22" s="1"/>
  <c r="V77" i="22"/>
  <c r="AB77" i="22" s="1"/>
  <c r="X76" i="22"/>
  <c r="AD76" i="22" s="1"/>
  <c r="W76" i="22"/>
  <c r="AC76" i="22" s="1"/>
  <c r="V76" i="22"/>
  <c r="AB76" i="22" s="1"/>
  <c r="X75" i="22"/>
  <c r="AD75" i="22" s="1"/>
  <c r="W75" i="22"/>
  <c r="AC75" i="22" s="1"/>
  <c r="V75" i="22"/>
  <c r="AB75" i="22" s="1"/>
  <c r="X74" i="22"/>
  <c r="AD74" i="22" s="1"/>
  <c r="W74" i="22"/>
  <c r="AC74" i="22" s="1"/>
  <c r="V74" i="22"/>
  <c r="AB74" i="22" s="1"/>
  <c r="X73" i="22"/>
  <c r="AD73" i="22" s="1"/>
  <c r="W73" i="22"/>
  <c r="AC73" i="22" s="1"/>
  <c r="V73" i="22"/>
  <c r="AB73" i="22" s="1"/>
  <c r="X72" i="22"/>
  <c r="AD72" i="22" s="1"/>
  <c r="W72" i="22"/>
  <c r="AC72" i="22" s="1"/>
  <c r="V72" i="22"/>
  <c r="AB72" i="22" s="1"/>
  <c r="X71" i="22"/>
  <c r="AD71" i="22" s="1"/>
  <c r="W71" i="22"/>
  <c r="AC71" i="22" s="1"/>
  <c r="V71" i="22"/>
  <c r="AB71" i="22" s="1"/>
  <c r="X70" i="22"/>
  <c r="AD70" i="22" s="1"/>
  <c r="W70" i="22"/>
  <c r="AC70" i="22" s="1"/>
  <c r="V70" i="22"/>
  <c r="AB70" i="22" s="1"/>
  <c r="X69" i="22"/>
  <c r="AD69" i="22" s="1"/>
  <c r="W69" i="22"/>
  <c r="AC69" i="22" s="1"/>
  <c r="V69" i="22"/>
  <c r="AB69" i="22" s="1"/>
  <c r="X68" i="22"/>
  <c r="AD68" i="22" s="1"/>
  <c r="W68" i="22"/>
  <c r="AC68" i="22" s="1"/>
  <c r="V68" i="22"/>
  <c r="AB68" i="22" s="1"/>
  <c r="X67" i="22"/>
  <c r="AD67" i="22" s="1"/>
  <c r="W67" i="22"/>
  <c r="AC67" i="22" s="1"/>
  <c r="V67" i="22"/>
  <c r="AB67" i="22" s="1"/>
  <c r="X66" i="22"/>
  <c r="AD66" i="22" s="1"/>
  <c r="W66" i="22"/>
  <c r="AC66" i="22" s="1"/>
  <c r="V66" i="22"/>
  <c r="AB66" i="22" s="1"/>
  <c r="X65" i="22"/>
  <c r="AD65" i="22" s="1"/>
  <c r="W65" i="22"/>
  <c r="AC65" i="22" s="1"/>
  <c r="V65" i="22"/>
  <c r="AB65" i="22" s="1"/>
  <c r="X64" i="22"/>
  <c r="AD64" i="22" s="1"/>
  <c r="W64" i="22"/>
  <c r="AC64" i="22" s="1"/>
  <c r="V64" i="22"/>
  <c r="AB64" i="22" s="1"/>
  <c r="X63" i="22"/>
  <c r="AD63" i="22" s="1"/>
  <c r="W63" i="22"/>
  <c r="AC63" i="22" s="1"/>
  <c r="V63" i="22"/>
  <c r="AB63" i="22" s="1"/>
  <c r="X62" i="22"/>
  <c r="AD62" i="22" s="1"/>
  <c r="W62" i="22"/>
  <c r="AC62" i="22" s="1"/>
  <c r="V62" i="22"/>
  <c r="AB62" i="22" s="1"/>
  <c r="X61" i="22"/>
  <c r="AD61" i="22" s="1"/>
  <c r="W61" i="22"/>
  <c r="AC61" i="22" s="1"/>
  <c r="V61" i="22"/>
  <c r="AB61" i="22" s="1"/>
  <c r="X60" i="22"/>
  <c r="AD60" i="22" s="1"/>
  <c r="W60" i="22"/>
  <c r="AC60" i="22" s="1"/>
  <c r="V60" i="22"/>
  <c r="AB60" i="22" s="1"/>
  <c r="X59" i="22"/>
  <c r="AD59" i="22" s="1"/>
  <c r="W59" i="22"/>
  <c r="AC59" i="22" s="1"/>
  <c r="V59" i="22"/>
  <c r="AB59" i="22" s="1"/>
  <c r="X58" i="22"/>
  <c r="AD58" i="22" s="1"/>
  <c r="W58" i="22"/>
  <c r="AC58" i="22" s="1"/>
  <c r="V58" i="22"/>
  <c r="AB58" i="22" s="1"/>
  <c r="X57" i="22"/>
  <c r="AD57" i="22" s="1"/>
  <c r="W57" i="22"/>
  <c r="AC57" i="22" s="1"/>
  <c r="V57" i="22"/>
  <c r="AB57" i="22" s="1"/>
  <c r="X56" i="22"/>
  <c r="AD56" i="22" s="1"/>
  <c r="W56" i="22"/>
  <c r="AC56" i="22" s="1"/>
  <c r="V56" i="22"/>
  <c r="AB56" i="22" s="1"/>
  <c r="X55" i="22"/>
  <c r="AD55" i="22" s="1"/>
  <c r="W55" i="22"/>
  <c r="AC55" i="22" s="1"/>
  <c r="V55" i="22"/>
  <c r="AB55" i="22" s="1"/>
  <c r="X54" i="22"/>
  <c r="AD54" i="22" s="1"/>
  <c r="W54" i="22"/>
  <c r="AC54" i="22" s="1"/>
  <c r="V54" i="22"/>
  <c r="AB54" i="22" s="1"/>
  <c r="X53" i="22"/>
  <c r="AD53" i="22" s="1"/>
  <c r="W53" i="22"/>
  <c r="AC53" i="22" s="1"/>
  <c r="V53" i="22"/>
  <c r="AB53" i="22" s="1"/>
  <c r="X52" i="22"/>
  <c r="AD52" i="22" s="1"/>
  <c r="W52" i="22"/>
  <c r="AC52" i="22" s="1"/>
  <c r="V52" i="22"/>
  <c r="AB52" i="22" s="1"/>
  <c r="X51" i="22"/>
  <c r="AD51" i="22" s="1"/>
  <c r="W51" i="22"/>
  <c r="AC51" i="22" s="1"/>
  <c r="V51" i="22"/>
  <c r="AB51" i="22" s="1"/>
  <c r="X50" i="22"/>
  <c r="AD50" i="22" s="1"/>
  <c r="W50" i="22"/>
  <c r="AC50" i="22" s="1"/>
  <c r="V50" i="22"/>
  <c r="AB50" i="22" s="1"/>
  <c r="X49" i="22"/>
  <c r="AD49" i="22" s="1"/>
  <c r="W49" i="22"/>
  <c r="AC49" i="22" s="1"/>
  <c r="V49" i="22"/>
  <c r="AB49" i="22" s="1"/>
  <c r="X48" i="22"/>
  <c r="AD48" i="22" s="1"/>
  <c r="W48" i="22"/>
  <c r="AC48" i="22" s="1"/>
  <c r="V48" i="22"/>
  <c r="AB48" i="22" s="1"/>
  <c r="X47" i="22"/>
  <c r="AD47" i="22" s="1"/>
  <c r="W47" i="22"/>
  <c r="AC47" i="22" s="1"/>
  <c r="V47" i="22"/>
  <c r="AB47" i="22" s="1"/>
  <c r="X46" i="22"/>
  <c r="AD46" i="22" s="1"/>
  <c r="W46" i="22"/>
  <c r="AC46" i="22" s="1"/>
  <c r="V46" i="22"/>
  <c r="AB46" i="22" s="1"/>
  <c r="X45" i="22"/>
  <c r="AD45" i="22" s="1"/>
  <c r="W45" i="22"/>
  <c r="AC45" i="22" s="1"/>
  <c r="V45" i="22"/>
  <c r="AB45" i="22" s="1"/>
  <c r="X44" i="22"/>
  <c r="AD44" i="22" s="1"/>
  <c r="W44" i="22"/>
  <c r="AC44" i="22" s="1"/>
  <c r="V44" i="22"/>
  <c r="AB44" i="22" s="1"/>
  <c r="X43" i="22"/>
  <c r="AD43" i="22" s="1"/>
  <c r="W43" i="22"/>
  <c r="AC43" i="22" s="1"/>
  <c r="V43" i="22"/>
  <c r="AB43" i="22" s="1"/>
  <c r="X42" i="22"/>
  <c r="AD42" i="22" s="1"/>
  <c r="W42" i="22"/>
  <c r="AC42" i="22" s="1"/>
  <c r="V42" i="22"/>
  <c r="AB42" i="22" s="1"/>
  <c r="X41" i="22"/>
  <c r="AD41" i="22" s="1"/>
  <c r="W41" i="22"/>
  <c r="AC41" i="22" s="1"/>
  <c r="V41" i="22"/>
  <c r="AB41" i="22" s="1"/>
  <c r="X40" i="22"/>
  <c r="AD40" i="22" s="1"/>
  <c r="W40" i="22"/>
  <c r="AC40" i="22" s="1"/>
  <c r="V40" i="22"/>
  <c r="AB40" i="22" s="1"/>
  <c r="X39" i="22"/>
  <c r="AD39" i="22" s="1"/>
  <c r="W39" i="22"/>
  <c r="AC39" i="22" s="1"/>
  <c r="V39" i="22"/>
  <c r="AB39" i="22" s="1"/>
  <c r="X38" i="22"/>
  <c r="AD38" i="22" s="1"/>
  <c r="W38" i="22"/>
  <c r="AC38" i="22" s="1"/>
  <c r="V38" i="22"/>
  <c r="AB38" i="22" s="1"/>
  <c r="X37" i="22"/>
  <c r="AD37" i="22" s="1"/>
  <c r="W37" i="22"/>
  <c r="AC37" i="22" s="1"/>
  <c r="V37" i="22"/>
  <c r="AB37" i="22" s="1"/>
  <c r="X36" i="22"/>
  <c r="AD36" i="22" s="1"/>
  <c r="W36" i="22"/>
  <c r="AC36" i="22" s="1"/>
  <c r="V36" i="22"/>
  <c r="AB36" i="22" s="1"/>
  <c r="X35" i="22"/>
  <c r="AD35" i="22" s="1"/>
  <c r="W35" i="22"/>
  <c r="AC35" i="22" s="1"/>
  <c r="V35" i="22"/>
  <c r="AB35" i="22" s="1"/>
  <c r="X34" i="22"/>
  <c r="AD34" i="22" s="1"/>
  <c r="W34" i="22"/>
  <c r="AC34" i="22" s="1"/>
  <c r="V34" i="22"/>
  <c r="AB34" i="22" s="1"/>
  <c r="X33" i="22"/>
  <c r="AD33" i="22" s="1"/>
  <c r="W33" i="22"/>
  <c r="AC33" i="22" s="1"/>
  <c r="V33" i="22"/>
  <c r="AB33" i="22" s="1"/>
  <c r="X32" i="22"/>
  <c r="AD32" i="22" s="1"/>
  <c r="W32" i="22"/>
  <c r="AC32" i="22" s="1"/>
  <c r="V32" i="22"/>
  <c r="AB32" i="22" s="1"/>
  <c r="X31" i="22"/>
  <c r="AD31" i="22" s="1"/>
  <c r="W31" i="22"/>
  <c r="AC31" i="22" s="1"/>
  <c r="V31" i="22"/>
  <c r="AB31" i="22" s="1"/>
  <c r="X30" i="22"/>
  <c r="AD30" i="22" s="1"/>
  <c r="W30" i="22"/>
  <c r="AC30" i="22" s="1"/>
  <c r="V30" i="22"/>
  <c r="AB30" i="22" s="1"/>
  <c r="X29" i="22"/>
  <c r="AD29" i="22" s="1"/>
  <c r="W29" i="22"/>
  <c r="AC29" i="22" s="1"/>
  <c r="V29" i="22"/>
  <c r="AB29" i="22" s="1"/>
  <c r="X28" i="22"/>
  <c r="AD28" i="22" s="1"/>
  <c r="W28" i="22"/>
  <c r="AC28" i="22" s="1"/>
  <c r="V28" i="22"/>
  <c r="AB28" i="22" s="1"/>
  <c r="X27" i="22"/>
  <c r="AD27" i="22" s="1"/>
  <c r="W27" i="22"/>
  <c r="AC27" i="22" s="1"/>
  <c r="V27" i="22"/>
  <c r="AB27" i="22" s="1"/>
  <c r="X26" i="22"/>
  <c r="AD26" i="22" s="1"/>
  <c r="W26" i="22"/>
  <c r="AC26" i="22" s="1"/>
  <c r="V26" i="22"/>
  <c r="AB26" i="22" s="1"/>
  <c r="X25" i="22"/>
  <c r="AD25" i="22" s="1"/>
  <c r="W25" i="22"/>
  <c r="AC25" i="22" s="1"/>
  <c r="V25" i="22"/>
  <c r="AB25" i="22" s="1"/>
  <c r="X24" i="22"/>
  <c r="AD24" i="22" s="1"/>
  <c r="W24" i="22"/>
  <c r="AC24" i="22" s="1"/>
  <c r="V24" i="22"/>
  <c r="AB24" i="22" s="1"/>
  <c r="X23" i="22"/>
  <c r="AD23" i="22" s="1"/>
  <c r="W23" i="22"/>
  <c r="AC23" i="22" s="1"/>
  <c r="V23" i="22"/>
  <c r="AB23" i="22" s="1"/>
  <c r="X22" i="22"/>
  <c r="AD22" i="22" s="1"/>
  <c r="W22" i="22"/>
  <c r="AC22" i="22" s="1"/>
  <c r="V22" i="22"/>
  <c r="AB22" i="22" s="1"/>
  <c r="X21" i="22"/>
  <c r="AD21" i="22" s="1"/>
  <c r="W21" i="22"/>
  <c r="AC21" i="22" s="1"/>
  <c r="V21" i="22"/>
  <c r="AB21" i="22" s="1"/>
  <c r="X20" i="22"/>
  <c r="AD20" i="22" s="1"/>
  <c r="W20" i="22"/>
  <c r="AC20" i="22" s="1"/>
  <c r="V20" i="22"/>
  <c r="AB20" i="22" s="1"/>
  <c r="X19" i="22"/>
  <c r="AD19" i="22" s="1"/>
  <c r="W19" i="22"/>
  <c r="AC19" i="22" s="1"/>
  <c r="V19" i="22"/>
  <c r="AB19" i="22" s="1"/>
  <c r="X18" i="22"/>
  <c r="AD18" i="22" s="1"/>
  <c r="W18" i="22"/>
  <c r="AC18" i="22" s="1"/>
  <c r="V18" i="22"/>
  <c r="AB18" i="22" s="1"/>
  <c r="X17" i="22"/>
  <c r="AD17" i="22" s="1"/>
  <c r="W17" i="22"/>
  <c r="AC17" i="22" s="1"/>
  <c r="V17" i="22"/>
  <c r="AB17" i="22" s="1"/>
  <c r="X16" i="22"/>
  <c r="AD16" i="22" s="1"/>
  <c r="W16" i="22"/>
  <c r="AC16" i="22" s="1"/>
  <c r="V16" i="22"/>
  <c r="AB16" i="22" s="1"/>
  <c r="X15" i="22"/>
  <c r="AD15" i="22" s="1"/>
  <c r="W15" i="22"/>
  <c r="AC15" i="22" s="1"/>
  <c r="V15" i="22"/>
  <c r="AB15" i="22" s="1"/>
  <c r="X14" i="22"/>
  <c r="AD14" i="22" s="1"/>
  <c r="W14" i="22"/>
  <c r="AC14" i="22" s="1"/>
  <c r="V14" i="22"/>
  <c r="AB14" i="22" s="1"/>
  <c r="X13" i="22"/>
  <c r="AD13" i="22" s="1"/>
  <c r="W13" i="22"/>
  <c r="AC13" i="22" s="1"/>
  <c r="V13" i="22"/>
  <c r="AB13" i="22" s="1"/>
  <c r="X12" i="22"/>
  <c r="AD12" i="22" s="1"/>
  <c r="W12" i="22"/>
  <c r="AC12" i="22" s="1"/>
  <c r="V12" i="22"/>
  <c r="AB12" i="22" s="1"/>
  <c r="X11" i="22"/>
  <c r="AD11" i="22" s="1"/>
  <c r="W11" i="22"/>
  <c r="AC11" i="22" s="1"/>
  <c r="V11" i="22"/>
  <c r="AB11" i="22" s="1"/>
  <c r="X10" i="22"/>
  <c r="AD10" i="22" s="1"/>
  <c r="W10" i="22"/>
  <c r="AC10" i="22" s="1"/>
  <c r="V10" i="22"/>
  <c r="AB10" i="22" s="1"/>
  <c r="X9" i="22"/>
  <c r="AD9" i="22" s="1"/>
  <c r="W9" i="22"/>
  <c r="AC9" i="22" s="1"/>
  <c r="V9" i="22"/>
  <c r="AB9" i="22" s="1"/>
  <c r="X8" i="22"/>
  <c r="AD8" i="22" s="1"/>
  <c r="W8" i="22"/>
  <c r="AC8" i="22" s="1"/>
  <c r="V8" i="22"/>
  <c r="AB8" i="22" s="1"/>
  <c r="X7" i="22"/>
  <c r="AD7" i="22" s="1"/>
  <c r="W7" i="22"/>
  <c r="AC7" i="22" s="1"/>
  <c r="V7" i="22"/>
  <c r="AB7" i="22" s="1"/>
  <c r="X6" i="22"/>
  <c r="AD6" i="22" s="1"/>
  <c r="W6" i="22"/>
  <c r="AC6" i="22" s="1"/>
  <c r="V6" i="22"/>
  <c r="AB6" i="22" s="1"/>
  <c r="X5" i="22"/>
  <c r="AD5" i="22" s="1"/>
  <c r="W5" i="22"/>
  <c r="AC5" i="22" s="1"/>
  <c r="V5" i="22"/>
  <c r="AB5" i="22" s="1"/>
  <c r="X4" i="22"/>
  <c r="AD4" i="22" s="1"/>
  <c r="W4" i="22"/>
  <c r="AC4" i="22" s="1"/>
  <c r="V4" i="22"/>
  <c r="AB4" i="22" s="1"/>
  <c r="X3" i="22"/>
  <c r="AD3" i="22" s="1"/>
  <c r="W3" i="22"/>
  <c r="AC3" i="22" s="1"/>
  <c r="V3" i="22"/>
  <c r="AB3" i="22" s="1"/>
  <c r="X2" i="22"/>
  <c r="AD2" i="22" s="1"/>
  <c r="W2" i="22"/>
  <c r="AC2" i="22" s="1"/>
  <c r="V2" i="22"/>
  <c r="AB2" i="22" s="1"/>
  <c r="AD56" i="6"/>
  <c r="AB56" i="6"/>
  <c r="AA56" i="6"/>
  <c r="AA56" i="7" s="1"/>
  <c r="Z56" i="6"/>
  <c r="X56" i="6"/>
  <c r="AD55" i="6"/>
  <c r="AB55" i="6"/>
  <c r="AA55" i="6"/>
  <c r="Z55" i="6"/>
  <c r="X55" i="6"/>
  <c r="AD54" i="6"/>
  <c r="AB54" i="6"/>
  <c r="AA54" i="6"/>
  <c r="AA54" i="7" s="1"/>
  <c r="Z54" i="6"/>
  <c r="X54" i="6"/>
  <c r="AD53" i="6"/>
  <c r="AC53" i="6"/>
  <c r="AB53" i="6"/>
  <c r="AA53" i="6"/>
  <c r="Z53" i="6"/>
  <c r="X53" i="6"/>
  <c r="AD52" i="6"/>
  <c r="AB52" i="6"/>
  <c r="AA52" i="6"/>
  <c r="AA52" i="7" s="1"/>
  <c r="Z52" i="6"/>
  <c r="X52" i="6"/>
  <c r="AD51" i="6"/>
  <c r="AB51" i="6"/>
  <c r="AA51" i="6"/>
  <c r="Z51" i="6"/>
  <c r="X51" i="6"/>
  <c r="AD50" i="6"/>
  <c r="AB50" i="6"/>
  <c r="AA50" i="6"/>
  <c r="AA50" i="7" s="1"/>
  <c r="Z50" i="6"/>
  <c r="X50" i="6"/>
  <c r="AD49" i="6"/>
  <c r="AB49" i="6"/>
  <c r="AA49" i="6"/>
  <c r="Z49" i="6"/>
  <c r="X49" i="6"/>
  <c r="U49" i="6"/>
  <c r="AD48" i="6"/>
  <c r="AB48" i="6"/>
  <c r="AA48" i="6"/>
  <c r="AA48" i="7" s="1"/>
  <c r="Z48" i="6"/>
  <c r="X48" i="6"/>
  <c r="AD47" i="6"/>
  <c r="AB47" i="6"/>
  <c r="AA47" i="6"/>
  <c r="Z47" i="6"/>
  <c r="X47" i="6"/>
  <c r="AD46" i="6"/>
  <c r="AB46" i="6"/>
  <c r="AA46" i="6"/>
  <c r="AA46" i="7" s="1"/>
  <c r="Z46" i="6"/>
  <c r="X46" i="6"/>
  <c r="AD45" i="6"/>
  <c r="AC45" i="6"/>
  <c r="AB45" i="6"/>
  <c r="AA45" i="6"/>
  <c r="Z45" i="6"/>
  <c r="X45" i="6"/>
  <c r="AD44" i="6"/>
  <c r="AB44" i="6"/>
  <c r="AA44" i="6"/>
  <c r="AA44" i="7" s="1"/>
  <c r="Z44" i="6"/>
  <c r="X44" i="6"/>
  <c r="AD43" i="6"/>
  <c r="AB43" i="6"/>
  <c r="AA43" i="6"/>
  <c r="Z43" i="6"/>
  <c r="X43" i="6"/>
  <c r="AD42" i="6"/>
  <c r="AB42" i="6"/>
  <c r="AA42" i="6"/>
  <c r="AA42" i="7" s="1"/>
  <c r="Z42" i="6"/>
  <c r="X42" i="6"/>
  <c r="AD41" i="6"/>
  <c r="AB41" i="6"/>
  <c r="AA41" i="6"/>
  <c r="Z41" i="6"/>
  <c r="X41" i="6"/>
  <c r="U41" i="6"/>
  <c r="AD40" i="6"/>
  <c r="AB40" i="6"/>
  <c r="AA40" i="6"/>
  <c r="AA40" i="7" s="1"/>
  <c r="Z40" i="6"/>
  <c r="X40" i="6"/>
  <c r="AD39" i="6"/>
  <c r="AB39" i="6"/>
  <c r="AA39" i="6"/>
  <c r="Z39" i="6"/>
  <c r="X39" i="6"/>
  <c r="AD38" i="6"/>
  <c r="AB38" i="6"/>
  <c r="AA38" i="6"/>
  <c r="AA38" i="7" s="1"/>
  <c r="Z38" i="6"/>
  <c r="X38" i="6"/>
  <c r="AD37" i="6"/>
  <c r="AC37" i="6"/>
  <c r="AB37" i="6"/>
  <c r="AA37" i="6"/>
  <c r="Z37" i="6"/>
  <c r="X37" i="6"/>
  <c r="AD36" i="6"/>
  <c r="AB36" i="6"/>
  <c r="AA36" i="6"/>
  <c r="AA36" i="7" s="1"/>
  <c r="Z36" i="6"/>
  <c r="X36" i="6"/>
  <c r="AD35" i="6"/>
  <c r="AB35" i="6"/>
  <c r="AA35" i="6"/>
  <c r="Z35" i="6"/>
  <c r="X35" i="6"/>
  <c r="AD34" i="6"/>
  <c r="AB34" i="6"/>
  <c r="AA34" i="6"/>
  <c r="AA34" i="7" s="1"/>
  <c r="Z34" i="6"/>
  <c r="X34" i="6"/>
  <c r="AD33" i="6"/>
  <c r="AB33" i="6"/>
  <c r="AA33" i="6"/>
  <c r="Z33" i="6"/>
  <c r="X33" i="6"/>
  <c r="U33" i="6"/>
  <c r="AD32" i="6"/>
  <c r="AB32" i="6"/>
  <c r="AA32" i="6"/>
  <c r="AA32" i="7" s="1"/>
  <c r="Z32" i="6"/>
  <c r="X32" i="6"/>
  <c r="AD31" i="6"/>
  <c r="AB31" i="6"/>
  <c r="AA31" i="6"/>
  <c r="Z31" i="6"/>
  <c r="X31" i="6"/>
  <c r="AD30" i="6"/>
  <c r="AC30" i="6"/>
  <c r="AB30" i="6"/>
  <c r="AA30" i="6"/>
  <c r="AA30" i="7" s="1"/>
  <c r="Z30" i="6"/>
  <c r="Y30" i="6"/>
  <c r="X30" i="6"/>
  <c r="W30" i="6"/>
  <c r="V30" i="6"/>
  <c r="U30" i="6"/>
  <c r="AD29" i="6"/>
  <c r="AB29" i="6"/>
  <c r="AA29" i="6"/>
  <c r="Z29" i="6"/>
  <c r="X29" i="6"/>
  <c r="AD28" i="6"/>
  <c r="AB28" i="6"/>
  <c r="AA28" i="6"/>
  <c r="AA28" i="7" s="1"/>
  <c r="Z28" i="6"/>
  <c r="X28" i="6"/>
  <c r="AD27" i="6"/>
  <c r="AB27" i="6"/>
  <c r="AA27" i="6"/>
  <c r="Z27" i="6"/>
  <c r="X27" i="6"/>
  <c r="U27" i="6"/>
  <c r="AD26" i="6"/>
  <c r="AB26" i="6"/>
  <c r="AA26" i="6"/>
  <c r="AA26" i="7" s="1"/>
  <c r="Z26" i="6"/>
  <c r="X26" i="6"/>
  <c r="AD25" i="6"/>
  <c r="AC25" i="6"/>
  <c r="AB25" i="6"/>
  <c r="AA25" i="6"/>
  <c r="Z25" i="6"/>
  <c r="Y25" i="6"/>
  <c r="X25" i="6"/>
  <c r="W25" i="6"/>
  <c r="V25" i="6"/>
  <c r="U25" i="6"/>
  <c r="AD24" i="6"/>
  <c r="AC24" i="6"/>
  <c r="AB24" i="6"/>
  <c r="AA24" i="6"/>
  <c r="AA24" i="7" s="1"/>
  <c r="Z24" i="6"/>
  <c r="Y24" i="6"/>
  <c r="X24" i="6"/>
  <c r="W24" i="6"/>
  <c r="V24" i="6"/>
  <c r="U24" i="6"/>
  <c r="AD23" i="6"/>
  <c r="AC23" i="6"/>
  <c r="AB23" i="6"/>
  <c r="AA23" i="6"/>
  <c r="Z23" i="6"/>
  <c r="Y23" i="6"/>
  <c r="X23" i="6"/>
  <c r="W23" i="6"/>
  <c r="V23" i="6"/>
  <c r="U23" i="6"/>
  <c r="AD22" i="6"/>
  <c r="AC22" i="6"/>
  <c r="AB22" i="6"/>
  <c r="AA22" i="6"/>
  <c r="AA22" i="7" s="1"/>
  <c r="Z22" i="6"/>
  <c r="Y22" i="6"/>
  <c r="X22" i="6"/>
  <c r="W22" i="6"/>
  <c r="V22" i="6"/>
  <c r="U22" i="6"/>
  <c r="AD21" i="6"/>
  <c r="AC21" i="6"/>
  <c r="AB21" i="6"/>
  <c r="AA21" i="6"/>
  <c r="Z21" i="6"/>
  <c r="Y21" i="6"/>
  <c r="X21" i="6"/>
  <c r="W21" i="6"/>
  <c r="V21" i="6"/>
  <c r="U21" i="6"/>
  <c r="AD20" i="6"/>
  <c r="AC20" i="6"/>
  <c r="AB20" i="6"/>
  <c r="AA20" i="6"/>
  <c r="AA20" i="7" s="1"/>
  <c r="Z20" i="6"/>
  <c r="Y20" i="6"/>
  <c r="X20" i="6"/>
  <c r="W20" i="6"/>
  <c r="V20" i="6"/>
  <c r="U20" i="6"/>
  <c r="AD19" i="6"/>
  <c r="AC19" i="6"/>
  <c r="AB19" i="6"/>
  <c r="AA19" i="6"/>
  <c r="Z19" i="6"/>
  <c r="Y19" i="6"/>
  <c r="X19" i="6"/>
  <c r="W19" i="6"/>
  <c r="V19" i="6"/>
  <c r="U19" i="6"/>
  <c r="AD18" i="6"/>
  <c r="AC18" i="6"/>
  <c r="AB18" i="6"/>
  <c r="AA18" i="6"/>
  <c r="AA18" i="7" s="1"/>
  <c r="Z18" i="6"/>
  <c r="Y18" i="6"/>
  <c r="X18" i="6"/>
  <c r="W18" i="6"/>
  <c r="V18" i="6"/>
  <c r="U18" i="6"/>
  <c r="AD17" i="6"/>
  <c r="AC17" i="6"/>
  <c r="AB17" i="6"/>
  <c r="AA17" i="6"/>
  <c r="Z17" i="6"/>
  <c r="Y17" i="6"/>
  <c r="X17" i="6"/>
  <c r="W17" i="6"/>
  <c r="V17" i="6"/>
  <c r="U17" i="6"/>
  <c r="AD16" i="6"/>
  <c r="AC16" i="6"/>
  <c r="AB16" i="6"/>
  <c r="AA16" i="6"/>
  <c r="AA16" i="7" s="1"/>
  <c r="Z16" i="6"/>
  <c r="Y16" i="6"/>
  <c r="X16" i="6"/>
  <c r="W16" i="6"/>
  <c r="V16" i="6"/>
  <c r="U16" i="6"/>
  <c r="AD15" i="6"/>
  <c r="AC15" i="6"/>
  <c r="AB15" i="6"/>
  <c r="AA15" i="6"/>
  <c r="Z15" i="6"/>
  <c r="Y15" i="6"/>
  <c r="X15" i="6"/>
  <c r="W15" i="6"/>
  <c r="V15" i="6"/>
  <c r="U15" i="6"/>
  <c r="AD14" i="6"/>
  <c r="AC14" i="6"/>
  <c r="AB14" i="6"/>
  <c r="AA14" i="6"/>
  <c r="AA14" i="7" s="1"/>
  <c r="Z14" i="6"/>
  <c r="Y14" i="6"/>
  <c r="X14" i="6"/>
  <c r="W14" i="6"/>
  <c r="V14" i="6"/>
  <c r="U14" i="6"/>
  <c r="AD13" i="6"/>
  <c r="AC13" i="6"/>
  <c r="AB13" i="6"/>
  <c r="AA13" i="6"/>
  <c r="Z13" i="6"/>
  <c r="Y13" i="6"/>
  <c r="X13" i="6"/>
  <c r="W13" i="6"/>
  <c r="V13" i="6"/>
  <c r="U13" i="6"/>
  <c r="AD12" i="6"/>
  <c r="AC12" i="6"/>
  <c r="AB12" i="6"/>
  <c r="AA12" i="6"/>
  <c r="AA12" i="7" s="1"/>
  <c r="Z12" i="6"/>
  <c r="Y12" i="6"/>
  <c r="X12" i="6"/>
  <c r="W12" i="6"/>
  <c r="V12" i="6"/>
  <c r="U12" i="6"/>
  <c r="AD11" i="6"/>
  <c r="AC11" i="6"/>
  <c r="AB11" i="6"/>
  <c r="AA11" i="6"/>
  <c r="Z11" i="6"/>
  <c r="Y11" i="6"/>
  <c r="X11" i="6"/>
  <c r="W11" i="6"/>
  <c r="V11" i="6"/>
  <c r="U11" i="6"/>
  <c r="AD10" i="6"/>
  <c r="AC10" i="6"/>
  <c r="AB10" i="6"/>
  <c r="AA10" i="6"/>
  <c r="AA10" i="7" s="1"/>
  <c r="Z10" i="6"/>
  <c r="Y10" i="6"/>
  <c r="X10" i="6"/>
  <c r="W10" i="6"/>
  <c r="V10" i="6"/>
  <c r="U10" i="6"/>
  <c r="AD9" i="6"/>
  <c r="AB9" i="6"/>
  <c r="AA9" i="6"/>
  <c r="Z9" i="6"/>
  <c r="AD8" i="6"/>
  <c r="AC8" i="6"/>
  <c r="AB8" i="6"/>
  <c r="AA8" i="6"/>
  <c r="AA8" i="7" s="1"/>
  <c r="Z8" i="6"/>
  <c r="Y8" i="6"/>
  <c r="X8" i="6"/>
  <c r="W8" i="6"/>
  <c r="V8" i="6"/>
  <c r="U8" i="6"/>
  <c r="AD7" i="6"/>
  <c r="AC7" i="6"/>
  <c r="AB7" i="6"/>
  <c r="AA7" i="6"/>
  <c r="Z7" i="6"/>
  <c r="Y7" i="6"/>
  <c r="X7" i="6"/>
  <c r="W7" i="6"/>
  <c r="V7" i="6"/>
  <c r="U7" i="6"/>
  <c r="AD6" i="6"/>
  <c r="AC6" i="6"/>
  <c r="AB6" i="6"/>
  <c r="AA6" i="6"/>
  <c r="Z6" i="6"/>
  <c r="Y6" i="6"/>
  <c r="X6" i="6"/>
  <c r="W6" i="6"/>
  <c r="V6" i="6"/>
  <c r="U6" i="6"/>
  <c r="AD5" i="6"/>
  <c r="AC5" i="6"/>
  <c r="AB5" i="6"/>
  <c r="AA5" i="6"/>
  <c r="Z5" i="6"/>
  <c r="Y5" i="6"/>
  <c r="X5" i="6"/>
  <c r="W5" i="6"/>
  <c r="V5" i="6"/>
  <c r="U5" i="6"/>
  <c r="AP56" i="14"/>
  <c r="AC56" i="14"/>
  <c r="AC56" i="6" s="1"/>
  <c r="Y56" i="14"/>
  <c r="Y56" i="6" s="1"/>
  <c r="W56" i="14"/>
  <c r="W56" i="6" s="1"/>
  <c r="V56" i="14"/>
  <c r="V56" i="6" s="1"/>
  <c r="U56" i="14"/>
  <c r="U56" i="6" s="1"/>
  <c r="AP55" i="14"/>
  <c r="AC55" i="14"/>
  <c r="AC55" i="6" s="1"/>
  <c r="Y55" i="14"/>
  <c r="Y55" i="6" s="1"/>
  <c r="W55" i="14"/>
  <c r="W55" i="6" s="1"/>
  <c r="V55" i="14"/>
  <c r="V55" i="6" s="1"/>
  <c r="U55" i="14"/>
  <c r="U55" i="6" s="1"/>
  <c r="AP54" i="14"/>
  <c r="AC54" i="14"/>
  <c r="AC54" i="6" s="1"/>
  <c r="Y54" i="14"/>
  <c r="Y54" i="6" s="1"/>
  <c r="W54" i="14"/>
  <c r="W54" i="6" s="1"/>
  <c r="V54" i="14"/>
  <c r="V54" i="6" s="1"/>
  <c r="U54" i="14"/>
  <c r="U54" i="6" s="1"/>
  <c r="AP53" i="14"/>
  <c r="AC53" i="14"/>
  <c r="Y53" i="14"/>
  <c r="Y53" i="6" s="1"/>
  <c r="W53" i="14"/>
  <c r="W53" i="6" s="1"/>
  <c r="V53" i="14"/>
  <c r="V53" i="6" s="1"/>
  <c r="U53" i="14"/>
  <c r="U53" i="6" s="1"/>
  <c r="AP52" i="14"/>
  <c r="AC52" i="14"/>
  <c r="AC52" i="6" s="1"/>
  <c r="Y52" i="14"/>
  <c r="Y52" i="6" s="1"/>
  <c r="W52" i="14"/>
  <c r="W52" i="6" s="1"/>
  <c r="V52" i="14"/>
  <c r="V52" i="6" s="1"/>
  <c r="U52" i="14"/>
  <c r="U52" i="6" s="1"/>
  <c r="AP51" i="14"/>
  <c r="AC51" i="14"/>
  <c r="AC51" i="6" s="1"/>
  <c r="Y51" i="14"/>
  <c r="Y51" i="6" s="1"/>
  <c r="W51" i="14"/>
  <c r="W51" i="6" s="1"/>
  <c r="V51" i="14"/>
  <c r="V51" i="6" s="1"/>
  <c r="U51" i="14"/>
  <c r="U51" i="6" s="1"/>
  <c r="AP50" i="14"/>
  <c r="AC50" i="14"/>
  <c r="AC50" i="6" s="1"/>
  <c r="Y50" i="14"/>
  <c r="Y50" i="6" s="1"/>
  <c r="W50" i="14"/>
  <c r="W50" i="6" s="1"/>
  <c r="V50" i="14"/>
  <c r="V50" i="6" s="1"/>
  <c r="U50" i="14"/>
  <c r="U50" i="6" s="1"/>
  <c r="AP49" i="14"/>
  <c r="AC49" i="14"/>
  <c r="AC49" i="6" s="1"/>
  <c r="Y49" i="14"/>
  <c r="Y49" i="6" s="1"/>
  <c r="W49" i="14"/>
  <c r="W49" i="6" s="1"/>
  <c r="V49" i="14"/>
  <c r="V49" i="6" s="1"/>
  <c r="U49" i="14"/>
  <c r="AP48" i="14"/>
  <c r="AC48" i="14"/>
  <c r="AC48" i="6" s="1"/>
  <c r="Y48" i="14"/>
  <c r="Y48" i="6" s="1"/>
  <c r="W48" i="14"/>
  <c r="W48" i="6" s="1"/>
  <c r="V48" i="14"/>
  <c r="V48" i="6" s="1"/>
  <c r="U48" i="14"/>
  <c r="U48" i="6" s="1"/>
  <c r="AP47" i="14"/>
  <c r="AC47" i="14"/>
  <c r="AC47" i="6" s="1"/>
  <c r="Y47" i="14"/>
  <c r="Y47" i="6" s="1"/>
  <c r="W47" i="14"/>
  <c r="W47" i="6" s="1"/>
  <c r="V47" i="14"/>
  <c r="V47" i="6" s="1"/>
  <c r="U47" i="14"/>
  <c r="U47" i="6" s="1"/>
  <c r="AP46" i="14"/>
  <c r="AC46" i="14"/>
  <c r="AC46" i="6" s="1"/>
  <c r="Y46" i="14"/>
  <c r="Y46" i="6" s="1"/>
  <c r="W46" i="14"/>
  <c r="W46" i="6" s="1"/>
  <c r="V46" i="14"/>
  <c r="V46" i="6" s="1"/>
  <c r="U46" i="14"/>
  <c r="U46" i="6" s="1"/>
  <c r="AP45" i="14"/>
  <c r="AC45" i="14"/>
  <c r="Y45" i="14"/>
  <c r="Y45" i="6" s="1"/>
  <c r="W45" i="14"/>
  <c r="W45" i="6" s="1"/>
  <c r="V45" i="14"/>
  <c r="V45" i="6" s="1"/>
  <c r="U45" i="14"/>
  <c r="U45" i="6" s="1"/>
  <c r="AP44" i="14"/>
  <c r="AC44" i="14"/>
  <c r="AC44" i="6" s="1"/>
  <c r="Y44" i="14"/>
  <c r="Y44" i="6" s="1"/>
  <c r="W44" i="14"/>
  <c r="W44" i="6" s="1"/>
  <c r="V44" i="14"/>
  <c r="V44" i="6" s="1"/>
  <c r="U44" i="14"/>
  <c r="U44" i="6" s="1"/>
  <c r="AP43" i="14"/>
  <c r="AC43" i="14"/>
  <c r="AC43" i="6" s="1"/>
  <c r="Y43" i="14"/>
  <c r="Y43" i="6" s="1"/>
  <c r="W43" i="14"/>
  <c r="W43" i="6" s="1"/>
  <c r="V43" i="14"/>
  <c r="V43" i="6" s="1"/>
  <c r="U43" i="14"/>
  <c r="U43" i="6" s="1"/>
  <c r="AP42" i="14"/>
  <c r="AC42" i="14"/>
  <c r="AC42" i="6" s="1"/>
  <c r="Y42" i="14"/>
  <c r="Y42" i="6" s="1"/>
  <c r="W42" i="14"/>
  <c r="W42" i="6" s="1"/>
  <c r="V42" i="14"/>
  <c r="V42" i="6" s="1"/>
  <c r="U42" i="14"/>
  <c r="U42" i="6" s="1"/>
  <c r="AP41" i="14"/>
  <c r="AC41" i="14"/>
  <c r="AC41" i="6" s="1"/>
  <c r="Y41" i="14"/>
  <c r="Y41" i="6" s="1"/>
  <c r="W41" i="14"/>
  <c r="W41" i="6" s="1"/>
  <c r="V41" i="14"/>
  <c r="V41" i="6" s="1"/>
  <c r="U41" i="14"/>
  <c r="AP40" i="14"/>
  <c r="AC40" i="14"/>
  <c r="AC40" i="6" s="1"/>
  <c r="Y40" i="14"/>
  <c r="Y40" i="6" s="1"/>
  <c r="W40" i="14"/>
  <c r="W40" i="6" s="1"/>
  <c r="V40" i="14"/>
  <c r="V40" i="6" s="1"/>
  <c r="U40" i="14"/>
  <c r="U40" i="6" s="1"/>
  <c r="AP39" i="14"/>
  <c r="AC39" i="14"/>
  <c r="AC39" i="6" s="1"/>
  <c r="Y39" i="14"/>
  <c r="Y39" i="6" s="1"/>
  <c r="W39" i="14"/>
  <c r="W39" i="6" s="1"/>
  <c r="V39" i="14"/>
  <c r="V39" i="6" s="1"/>
  <c r="U39" i="14"/>
  <c r="U39" i="6" s="1"/>
  <c r="AP38" i="14"/>
  <c r="AC38" i="14"/>
  <c r="AC38" i="6" s="1"/>
  <c r="Y38" i="14"/>
  <c r="Y38" i="6" s="1"/>
  <c r="W38" i="14"/>
  <c r="W38" i="6" s="1"/>
  <c r="V38" i="14"/>
  <c r="V38" i="6" s="1"/>
  <c r="U38" i="14"/>
  <c r="U38" i="6" s="1"/>
  <c r="AP37" i="14"/>
  <c r="AC37" i="14"/>
  <c r="Y37" i="14"/>
  <c r="Y37" i="6" s="1"/>
  <c r="W37" i="14"/>
  <c r="W37" i="6" s="1"/>
  <c r="V37" i="14"/>
  <c r="V37" i="6" s="1"/>
  <c r="U37" i="14"/>
  <c r="U37" i="6" s="1"/>
  <c r="AP36" i="14"/>
  <c r="AC36" i="14"/>
  <c r="AC36" i="6" s="1"/>
  <c r="Y36" i="14"/>
  <c r="Y36" i="6" s="1"/>
  <c r="W36" i="14"/>
  <c r="W36" i="6" s="1"/>
  <c r="V36" i="14"/>
  <c r="V36" i="6" s="1"/>
  <c r="U36" i="14"/>
  <c r="U36" i="6" s="1"/>
  <c r="AP35" i="14"/>
  <c r="AC35" i="14"/>
  <c r="AC35" i="6" s="1"/>
  <c r="Y35" i="14"/>
  <c r="Y35" i="6" s="1"/>
  <c r="W35" i="14"/>
  <c r="W35" i="6" s="1"/>
  <c r="V35" i="14"/>
  <c r="V35" i="6" s="1"/>
  <c r="U35" i="14"/>
  <c r="U35" i="6" s="1"/>
  <c r="AP34" i="14"/>
  <c r="AC34" i="14"/>
  <c r="AC34" i="6" s="1"/>
  <c r="Y34" i="14"/>
  <c r="Y34" i="6" s="1"/>
  <c r="W34" i="14"/>
  <c r="W34" i="6" s="1"/>
  <c r="V34" i="14"/>
  <c r="V34" i="6" s="1"/>
  <c r="U34" i="14"/>
  <c r="U34" i="6" s="1"/>
  <c r="AP33" i="14"/>
  <c r="AC33" i="14"/>
  <c r="AC33" i="6" s="1"/>
  <c r="Y33" i="14"/>
  <c r="Y33" i="6" s="1"/>
  <c r="W33" i="14"/>
  <c r="W33" i="6" s="1"/>
  <c r="V33" i="14"/>
  <c r="V33" i="6" s="1"/>
  <c r="U33" i="14"/>
  <c r="AP32" i="14"/>
  <c r="AC32" i="14"/>
  <c r="AC32" i="6" s="1"/>
  <c r="Y32" i="14"/>
  <c r="Y32" i="6" s="1"/>
  <c r="W32" i="14"/>
  <c r="W32" i="6" s="1"/>
  <c r="V32" i="14"/>
  <c r="V32" i="6" s="1"/>
  <c r="U32" i="14"/>
  <c r="U32" i="6" s="1"/>
  <c r="AP31" i="14"/>
  <c r="AC31" i="14"/>
  <c r="AC31" i="6" s="1"/>
  <c r="Y31" i="14"/>
  <c r="Y31" i="6" s="1"/>
  <c r="W31" i="14"/>
  <c r="W31" i="6" s="1"/>
  <c r="V31" i="14"/>
  <c r="V31" i="6" s="1"/>
  <c r="U31" i="14"/>
  <c r="U31" i="6" s="1"/>
  <c r="AP29" i="14"/>
  <c r="AC29" i="14"/>
  <c r="AC29" i="6" s="1"/>
  <c r="Y29" i="14"/>
  <c r="Y29" i="6" s="1"/>
  <c r="W29" i="14"/>
  <c r="W29" i="6" s="1"/>
  <c r="V29" i="14"/>
  <c r="V29" i="6" s="1"/>
  <c r="U29" i="14"/>
  <c r="U29" i="6" s="1"/>
  <c r="AP28" i="14"/>
  <c r="AC28" i="14"/>
  <c r="AC28" i="6" s="1"/>
  <c r="Y28" i="14"/>
  <c r="Y28" i="6" s="1"/>
  <c r="W28" i="14"/>
  <c r="W28" i="6" s="1"/>
  <c r="V28" i="14"/>
  <c r="V28" i="6" s="1"/>
  <c r="U28" i="14"/>
  <c r="U28" i="6" s="1"/>
  <c r="AP27" i="14"/>
  <c r="AC27" i="14"/>
  <c r="AC27" i="6" s="1"/>
  <c r="Y27" i="14"/>
  <c r="Y27" i="6" s="1"/>
  <c r="W27" i="14"/>
  <c r="W27" i="6" s="1"/>
  <c r="V27" i="14"/>
  <c r="V27" i="6" s="1"/>
  <c r="U27" i="14"/>
  <c r="AP26" i="14"/>
  <c r="AC26" i="14"/>
  <c r="AC26" i="6" s="1"/>
  <c r="Y26" i="14"/>
  <c r="Y26" i="6" s="1"/>
  <c r="W26" i="14"/>
  <c r="W26" i="6" s="1"/>
  <c r="V26" i="14"/>
  <c r="V26" i="6" s="1"/>
  <c r="U26" i="14"/>
  <c r="U26" i="6" s="1"/>
  <c r="AC9" i="14"/>
  <c r="AC9" i="6" s="1"/>
  <c r="Y9" i="14"/>
  <c r="Y9" i="6" s="1"/>
  <c r="X9" i="14"/>
  <c r="X9" i="6" s="1"/>
  <c r="W9" i="14"/>
  <c r="W9" i="6" s="1"/>
  <c r="V9" i="14"/>
  <c r="V9" i="6" s="1"/>
  <c r="U9" i="14"/>
  <c r="U9" i="6" s="1"/>
  <c r="W49" i="13"/>
  <c r="U49" i="13"/>
  <c r="S49" i="13"/>
  <c r="O49" i="13"/>
  <c r="N49" i="13"/>
  <c r="M49" i="13"/>
  <c r="U48" i="13"/>
  <c r="T48" i="13"/>
  <c r="S48" i="13"/>
  <c r="O48" i="13"/>
  <c r="N48" i="13"/>
  <c r="M48" i="13"/>
  <c r="W47" i="13"/>
  <c r="U47" i="13"/>
  <c r="T47" i="13"/>
  <c r="S47" i="13"/>
  <c r="O47" i="13"/>
  <c r="N47" i="13"/>
  <c r="M47" i="13"/>
  <c r="W49" i="12"/>
  <c r="U49" i="12"/>
  <c r="S49" i="12"/>
  <c r="O49" i="12"/>
  <c r="N49" i="12"/>
  <c r="M49" i="12"/>
  <c r="U48" i="12"/>
  <c r="T48" i="12"/>
  <c r="S48" i="12"/>
  <c r="O48" i="12"/>
  <c r="N48" i="12"/>
  <c r="M48" i="12"/>
  <c r="W47" i="12"/>
  <c r="U47" i="12"/>
  <c r="U51" i="12" s="1"/>
  <c r="T47" i="12"/>
  <c r="T51" i="12" s="1"/>
  <c r="S47" i="12"/>
  <c r="S51" i="12" s="1"/>
  <c r="O47" i="12"/>
  <c r="N47" i="12"/>
  <c r="N51" i="12" s="1"/>
  <c r="M47" i="12"/>
  <c r="M51" i="12" s="1"/>
  <c r="X44" i="11"/>
  <c r="X43" i="11"/>
  <c r="X42" i="11"/>
  <c r="X41" i="11"/>
  <c r="X40" i="11"/>
  <c r="X39" i="11"/>
  <c r="X38" i="11"/>
  <c r="X37" i="11"/>
  <c r="X36" i="11"/>
  <c r="X35" i="11"/>
  <c r="X34" i="11"/>
  <c r="X33" i="11"/>
  <c r="X32" i="11"/>
  <c r="X31" i="11"/>
  <c r="X30" i="11"/>
  <c r="X29" i="11"/>
  <c r="X28" i="11"/>
  <c r="X27" i="11"/>
  <c r="X26" i="11"/>
  <c r="X25" i="11"/>
  <c r="X24" i="11"/>
  <c r="X23" i="11"/>
  <c r="X22" i="11"/>
  <c r="X21" i="11"/>
  <c r="X20" i="11"/>
  <c r="X19" i="11"/>
  <c r="X18" i="11"/>
  <c r="X17" i="11"/>
  <c r="X16" i="11"/>
  <c r="X15" i="11"/>
  <c r="X14" i="11"/>
  <c r="X13" i="11"/>
  <c r="X12" i="11"/>
  <c r="X11" i="11"/>
  <c r="X10" i="11"/>
  <c r="X9" i="11"/>
  <c r="X8" i="11"/>
  <c r="X7" i="11"/>
  <c r="X6" i="11"/>
  <c r="X5" i="11"/>
  <c r="W49" i="11"/>
  <c r="U49" i="11"/>
  <c r="S49" i="11"/>
  <c r="O49" i="11"/>
  <c r="N49" i="11"/>
  <c r="M49" i="11"/>
  <c r="U48" i="11"/>
  <c r="T48" i="11"/>
  <c r="S48" i="11"/>
  <c r="O48" i="11"/>
  <c r="N48" i="11"/>
  <c r="M48" i="11"/>
  <c r="W47" i="11"/>
  <c r="U47" i="11"/>
  <c r="U51" i="11" s="1"/>
  <c r="T47" i="11"/>
  <c r="T51" i="11" s="1"/>
  <c r="S47" i="11"/>
  <c r="S51" i="11" s="1"/>
  <c r="O47" i="11"/>
  <c r="O51" i="11" s="1"/>
  <c r="N47" i="11"/>
  <c r="N51" i="11" s="1"/>
  <c r="M47" i="11"/>
  <c r="M51" i="11" s="1"/>
  <c r="W49" i="10"/>
  <c r="W47" i="10"/>
  <c r="U49" i="10"/>
  <c r="U48" i="10"/>
  <c r="U47" i="10"/>
  <c r="T48" i="10"/>
  <c r="T47" i="10"/>
  <c r="S49" i="10"/>
  <c r="S48" i="10"/>
  <c r="S47" i="10"/>
  <c r="Q50" i="10"/>
  <c r="O49" i="10"/>
  <c r="O48" i="10"/>
  <c r="O47" i="10"/>
  <c r="N49" i="10"/>
  <c r="N48" i="10"/>
  <c r="N47" i="10"/>
  <c r="M49" i="10"/>
  <c r="M48" i="10"/>
  <c r="M47" i="10"/>
  <c r="Y44" i="10"/>
  <c r="Y43" i="10"/>
  <c r="Y42" i="10"/>
  <c r="Y41" i="10"/>
  <c r="Y40" i="10"/>
  <c r="Y39" i="10"/>
  <c r="Y38" i="10"/>
  <c r="Y37" i="10"/>
  <c r="Y36" i="10"/>
  <c r="Y35" i="10"/>
  <c r="Y34" i="10"/>
  <c r="Y33" i="10"/>
  <c r="Y32" i="10"/>
  <c r="Y31" i="10"/>
  <c r="Y30" i="10"/>
  <c r="Y29" i="10"/>
  <c r="Y28" i="10"/>
  <c r="Y27" i="10"/>
  <c r="Y26" i="10"/>
  <c r="Y25" i="10"/>
  <c r="Y24" i="10"/>
  <c r="Y23" i="10"/>
  <c r="Y22" i="10"/>
  <c r="Y21" i="10"/>
  <c r="Y20" i="10"/>
  <c r="Y19" i="10"/>
  <c r="Y17" i="10"/>
  <c r="Y16" i="10"/>
  <c r="Y15" i="10"/>
  <c r="Y14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7" i="10"/>
  <c r="U16" i="10"/>
  <c r="U15" i="10"/>
  <c r="U14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7" i="10"/>
  <c r="T16" i="10"/>
  <c r="T15" i="10"/>
  <c r="T14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7" i="10"/>
  <c r="S16" i="10"/>
  <c r="S15" i="10"/>
  <c r="S14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7" i="10"/>
  <c r="Q16" i="10"/>
  <c r="Q15" i="10"/>
  <c r="Q14" i="10"/>
  <c r="O44" i="10"/>
  <c r="O43" i="10"/>
  <c r="O42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3" i="10"/>
  <c r="O22" i="10"/>
  <c r="O21" i="10"/>
  <c r="O20" i="10"/>
  <c r="O19" i="10"/>
  <c r="O17" i="10"/>
  <c r="O16" i="10"/>
  <c r="O15" i="10"/>
  <c r="O14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7" i="10"/>
  <c r="N16" i="10"/>
  <c r="N15" i="10"/>
  <c r="N14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7" i="10"/>
  <c r="M16" i="10"/>
  <c r="M15" i="10"/>
  <c r="M14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7" i="10"/>
  <c r="L16" i="10"/>
  <c r="L15" i="10"/>
  <c r="L14" i="10"/>
  <c r="AK61" i="9"/>
  <c r="AF61" i="9"/>
  <c r="AP59" i="9" s="1"/>
  <c r="AE61" i="9"/>
  <c r="AO59" i="9" s="1"/>
  <c r="AC61" i="9"/>
  <c r="Y61" i="9"/>
  <c r="X61" i="9"/>
  <c r="W61" i="9"/>
  <c r="S61" i="9"/>
  <c r="R61" i="9"/>
  <c r="Q61" i="9"/>
  <c r="P61" i="9"/>
  <c r="O61" i="9"/>
  <c r="M61" i="9"/>
  <c r="L61" i="9"/>
  <c r="AK60" i="9"/>
  <c r="AF60" i="9"/>
  <c r="AC60" i="9"/>
  <c r="AA60" i="9"/>
  <c r="Z60" i="9"/>
  <c r="Y60" i="9"/>
  <c r="X60" i="9"/>
  <c r="W60" i="9"/>
  <c r="V60" i="9"/>
  <c r="U60" i="9"/>
  <c r="S60" i="9"/>
  <c r="R60" i="9"/>
  <c r="Q60" i="9"/>
  <c r="P60" i="9"/>
  <c r="O60" i="9"/>
  <c r="M60" i="9"/>
  <c r="L60" i="9"/>
  <c r="AL62" i="8"/>
  <c r="AG62" i="8"/>
  <c r="AD62" i="8"/>
  <c r="AB62" i="8"/>
  <c r="T62" i="8"/>
  <c r="AK61" i="8"/>
  <c r="AF61" i="8"/>
  <c r="AE61" i="8"/>
  <c r="AC61" i="8"/>
  <c r="Y61" i="8"/>
  <c r="X61" i="8"/>
  <c r="W61" i="8"/>
  <c r="S61" i="8"/>
  <c r="R61" i="8"/>
  <c r="Q61" i="8"/>
  <c r="P61" i="8"/>
  <c r="O61" i="8"/>
  <c r="M61" i="8"/>
  <c r="L61" i="8"/>
  <c r="AK60" i="8"/>
  <c r="AF60" i="8"/>
  <c r="AP59" i="8" s="1"/>
  <c r="AC60" i="8"/>
  <c r="AA60" i="8"/>
  <c r="Z60" i="8"/>
  <c r="Y60" i="8"/>
  <c r="X60" i="8"/>
  <c r="W60" i="8"/>
  <c r="V60" i="8"/>
  <c r="U60" i="8"/>
  <c r="S60" i="8"/>
  <c r="R60" i="8"/>
  <c r="Q60" i="8"/>
  <c r="P60" i="8"/>
  <c r="O60" i="8"/>
  <c r="M60" i="8"/>
  <c r="L60" i="8"/>
  <c r="AL62" i="7"/>
  <c r="AG62" i="7"/>
  <c r="AD62" i="7"/>
  <c r="AB62" i="7"/>
  <c r="T62" i="7"/>
  <c r="AM62" i="7" s="1"/>
  <c r="AG56" i="7"/>
  <c r="Z56" i="7"/>
  <c r="AG55" i="7"/>
  <c r="AA55" i="7"/>
  <c r="Z55" i="7"/>
  <c r="AG54" i="7"/>
  <c r="Z54" i="7"/>
  <c r="AG53" i="7"/>
  <c r="AA53" i="7"/>
  <c r="Z53" i="7"/>
  <c r="AG52" i="7"/>
  <c r="Z52" i="7"/>
  <c r="AG51" i="7"/>
  <c r="AA51" i="7"/>
  <c r="Z51" i="7"/>
  <c r="AG50" i="7"/>
  <c r="Z50" i="7"/>
  <c r="AG49" i="7"/>
  <c r="AA49" i="7"/>
  <c r="Z49" i="7"/>
  <c r="AG48" i="7"/>
  <c r="Z48" i="7"/>
  <c r="AG47" i="7"/>
  <c r="AA47" i="7"/>
  <c r="Z47" i="7"/>
  <c r="AG46" i="7"/>
  <c r="Z46" i="7"/>
  <c r="AG45" i="7"/>
  <c r="AA45" i="7"/>
  <c r="Z45" i="7"/>
  <c r="AG44" i="7"/>
  <c r="Z44" i="7"/>
  <c r="AG43" i="7"/>
  <c r="AA43" i="7"/>
  <c r="Z43" i="7"/>
  <c r="AG42" i="7"/>
  <c r="Z42" i="7"/>
  <c r="AG41" i="7"/>
  <c r="AA41" i="7"/>
  <c r="Z41" i="7"/>
  <c r="AG40" i="7"/>
  <c r="Z40" i="7"/>
  <c r="AG39" i="7"/>
  <c r="AA39" i="7"/>
  <c r="Z39" i="7"/>
  <c r="AG38" i="7"/>
  <c r="Z38" i="7"/>
  <c r="AG37" i="7"/>
  <c r="AA37" i="7"/>
  <c r="Z37" i="7"/>
  <c r="AG36" i="7"/>
  <c r="Z36" i="7"/>
  <c r="AG35" i="7"/>
  <c r="AA35" i="7"/>
  <c r="Z35" i="7"/>
  <c r="AG34" i="7"/>
  <c r="Z34" i="7"/>
  <c r="AG33" i="7"/>
  <c r="AA33" i="7"/>
  <c r="Z33" i="7"/>
  <c r="AG32" i="7"/>
  <c r="Z32" i="7"/>
  <c r="AG31" i="7"/>
  <c r="AA31" i="7"/>
  <c r="Z31" i="7"/>
  <c r="AG30" i="7"/>
  <c r="Z30" i="7"/>
  <c r="AG29" i="7"/>
  <c r="AA29" i="7"/>
  <c r="Z29" i="7"/>
  <c r="AG28" i="7"/>
  <c r="Z28" i="7"/>
  <c r="AG27" i="7"/>
  <c r="AA27" i="7"/>
  <c r="Z27" i="7"/>
  <c r="AG26" i="7"/>
  <c r="Z26" i="7"/>
  <c r="AG25" i="7"/>
  <c r="AA25" i="7"/>
  <c r="Z25" i="7"/>
  <c r="AG24" i="7"/>
  <c r="Z24" i="7"/>
  <c r="AG23" i="7"/>
  <c r="AA23" i="7"/>
  <c r="Z23" i="7"/>
  <c r="AG22" i="7"/>
  <c r="Z22" i="7"/>
  <c r="AG21" i="7"/>
  <c r="AA21" i="7"/>
  <c r="Z21" i="7"/>
  <c r="AG20" i="7"/>
  <c r="Z20" i="7"/>
  <c r="AG19" i="7"/>
  <c r="AA19" i="7"/>
  <c r="Z19" i="7"/>
  <c r="AG18" i="7"/>
  <c r="Z18" i="7"/>
  <c r="AG17" i="7"/>
  <c r="AA17" i="7"/>
  <c r="Z17" i="7"/>
  <c r="AG16" i="7"/>
  <c r="Z16" i="7"/>
  <c r="AG15" i="7"/>
  <c r="AA15" i="7"/>
  <c r="Z15" i="7"/>
  <c r="AG14" i="7"/>
  <c r="Z14" i="7"/>
  <c r="AG13" i="7"/>
  <c r="AA13" i="7"/>
  <c r="Z13" i="7"/>
  <c r="AG12" i="7"/>
  <c r="Z12" i="7"/>
  <c r="AG11" i="7"/>
  <c r="AA11" i="7"/>
  <c r="Z11" i="7"/>
  <c r="AG10" i="7"/>
  <c r="Z10" i="7"/>
  <c r="AJ9" i="7"/>
  <c r="AG9" i="7"/>
  <c r="AA9" i="7"/>
  <c r="Z9" i="7"/>
  <c r="S9" i="7"/>
  <c r="R9" i="7"/>
  <c r="Q9" i="7"/>
  <c r="P9" i="7"/>
  <c r="L9" i="7"/>
  <c r="AG8" i="7"/>
  <c r="Z8" i="7"/>
  <c r="AG7" i="7"/>
  <c r="AA7" i="7"/>
  <c r="Z7" i="7"/>
  <c r="AG6" i="7"/>
  <c r="AA6" i="7"/>
  <c r="Z6" i="7"/>
  <c r="AG5" i="7"/>
  <c r="AA5" i="7"/>
  <c r="Z5" i="7"/>
  <c r="AK61" i="7"/>
  <c r="AF61" i="7"/>
  <c r="AE61" i="7"/>
  <c r="AC61" i="7"/>
  <c r="Y61" i="7"/>
  <c r="X61" i="7"/>
  <c r="W61" i="7"/>
  <c r="S61" i="7"/>
  <c r="R61" i="7"/>
  <c r="Q61" i="7"/>
  <c r="P61" i="7"/>
  <c r="O61" i="7"/>
  <c r="M61" i="7"/>
  <c r="L61" i="7"/>
  <c r="AK60" i="7"/>
  <c r="AF60" i="7"/>
  <c r="AC60" i="7"/>
  <c r="AA60" i="7"/>
  <c r="Z60" i="7"/>
  <c r="Y60" i="7"/>
  <c r="X60" i="7"/>
  <c r="W60" i="7"/>
  <c r="V60" i="7"/>
  <c r="U60" i="7"/>
  <c r="S60" i="7"/>
  <c r="R60" i="7"/>
  <c r="Q60" i="7"/>
  <c r="P60" i="7"/>
  <c r="O60" i="7"/>
  <c r="M60" i="7"/>
  <c r="L60" i="7"/>
  <c r="AP56" i="7"/>
  <c r="AP55" i="7"/>
  <c r="AP54" i="7"/>
  <c r="AP53" i="7"/>
  <c r="AP52" i="7"/>
  <c r="AP51" i="7"/>
  <c r="AP50" i="7"/>
  <c r="AP49" i="7"/>
  <c r="AP48" i="7"/>
  <c r="AP47" i="7"/>
  <c r="AP46" i="7"/>
  <c r="AP45" i="7"/>
  <c r="AP44" i="7"/>
  <c r="AP43" i="7"/>
  <c r="AP42" i="7"/>
  <c r="AP41" i="7"/>
  <c r="AP40" i="7"/>
  <c r="AP39" i="7"/>
  <c r="AP38" i="7"/>
  <c r="AP37" i="7"/>
  <c r="AP36" i="7"/>
  <c r="AP35" i="7"/>
  <c r="AP34" i="7"/>
  <c r="AP33" i="7"/>
  <c r="AP32" i="7"/>
  <c r="AP31" i="7"/>
  <c r="AP29" i="7"/>
  <c r="AP28" i="7"/>
  <c r="AP27" i="7"/>
  <c r="AP26" i="7"/>
  <c r="AK63" i="6"/>
  <c r="AK62" i="6"/>
  <c r="AK61" i="6"/>
  <c r="AF63" i="6"/>
  <c r="AF62" i="6"/>
  <c r="AF61" i="6"/>
  <c r="AE63" i="6"/>
  <c r="AE61" i="6"/>
  <c r="AC63" i="6"/>
  <c r="AC62" i="6"/>
  <c r="AC61" i="6"/>
  <c r="AA62" i="6"/>
  <c r="Z62" i="6"/>
  <c r="Y63" i="6"/>
  <c r="Y62" i="6"/>
  <c r="X63" i="6"/>
  <c r="X62" i="6"/>
  <c r="X61" i="6"/>
  <c r="W63" i="6"/>
  <c r="W62" i="6"/>
  <c r="V62" i="6"/>
  <c r="U62" i="6"/>
  <c r="U61" i="6"/>
  <c r="S63" i="6"/>
  <c r="S62" i="6"/>
  <c r="S61" i="6"/>
  <c r="R63" i="6"/>
  <c r="R62" i="6"/>
  <c r="R61" i="6"/>
  <c r="Q63" i="6"/>
  <c r="Q62" i="6"/>
  <c r="Q61" i="6"/>
  <c r="P63" i="6"/>
  <c r="P62" i="6"/>
  <c r="P61" i="6"/>
  <c r="O63" i="6"/>
  <c r="O62" i="6"/>
  <c r="O61" i="6"/>
  <c r="M63" i="6"/>
  <c r="M62" i="6"/>
  <c r="M61" i="6"/>
  <c r="L63" i="6"/>
  <c r="L62" i="6"/>
  <c r="L61" i="6"/>
  <c r="AK21" i="6"/>
  <c r="AK20" i="6"/>
  <c r="AK15" i="6"/>
  <c r="AK14" i="6"/>
  <c r="AK11" i="6"/>
  <c r="AK10" i="6"/>
  <c r="AK9" i="6"/>
  <c r="AK6" i="6"/>
  <c r="AK5" i="6"/>
  <c r="AI56" i="6"/>
  <c r="AI55" i="6"/>
  <c r="AI54" i="6"/>
  <c r="AI53" i="6"/>
  <c r="AI52" i="6"/>
  <c r="AI51" i="6"/>
  <c r="AI50" i="6"/>
  <c r="AI49" i="6"/>
  <c r="AI48" i="6"/>
  <c r="AI47" i="6"/>
  <c r="AI46" i="6"/>
  <c r="AI45" i="6"/>
  <c r="AI44" i="6"/>
  <c r="AI43" i="6"/>
  <c r="AI42" i="6"/>
  <c r="AI41" i="6"/>
  <c r="AI40" i="6"/>
  <c r="AI39" i="6"/>
  <c r="AI38" i="6"/>
  <c r="AI37" i="6"/>
  <c r="AI36" i="6"/>
  <c r="AI35" i="6"/>
  <c r="AI34" i="6"/>
  <c r="AI33" i="6"/>
  <c r="AI32" i="6"/>
  <c r="AI31" i="6"/>
  <c r="AI29" i="6"/>
  <c r="AI28" i="6"/>
  <c r="AI27" i="6"/>
  <c r="AI26" i="6"/>
  <c r="AI9" i="6"/>
  <c r="AH56" i="6"/>
  <c r="AH55" i="6"/>
  <c r="AH54" i="6"/>
  <c r="AH53" i="6"/>
  <c r="AH52" i="6"/>
  <c r="AH51" i="6"/>
  <c r="AH50" i="6"/>
  <c r="AH49" i="6"/>
  <c r="AH48" i="6"/>
  <c r="AH47" i="6"/>
  <c r="AH46" i="6"/>
  <c r="AH45" i="6"/>
  <c r="AH44" i="6"/>
  <c r="AH43" i="6"/>
  <c r="AH42" i="6"/>
  <c r="AH41" i="6"/>
  <c r="AH40" i="6"/>
  <c r="AH39" i="6"/>
  <c r="AH38" i="6"/>
  <c r="AH37" i="6"/>
  <c r="AH36" i="6"/>
  <c r="AH35" i="6"/>
  <c r="AH34" i="6"/>
  <c r="AH33" i="6"/>
  <c r="AH32" i="6"/>
  <c r="AH31" i="6"/>
  <c r="AH29" i="6"/>
  <c r="AH28" i="6"/>
  <c r="AH27" i="6"/>
  <c r="AH26" i="6"/>
  <c r="AH9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29" i="6"/>
  <c r="S28" i="6"/>
  <c r="S27" i="6"/>
  <c r="S26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40" i="6"/>
  <c r="Q39" i="6"/>
  <c r="Q38" i="6"/>
  <c r="Q37" i="6"/>
  <c r="Q36" i="6"/>
  <c r="Q35" i="6"/>
  <c r="Q30" i="6"/>
  <c r="Q25" i="6"/>
  <c r="Q24" i="6"/>
  <c r="Q23" i="6"/>
  <c r="Q22" i="6"/>
  <c r="Q17" i="6"/>
  <c r="Q16" i="6"/>
  <c r="Q12" i="6"/>
  <c r="Q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6" i="6"/>
  <c r="O35" i="6"/>
  <c r="O34" i="6"/>
  <c r="O33" i="6"/>
  <c r="O32" i="6"/>
  <c r="O31" i="6"/>
  <c r="O29" i="6"/>
  <c r="O28" i="6"/>
  <c r="O27" i="6"/>
  <c r="O26" i="6"/>
  <c r="O9" i="6"/>
  <c r="N21" i="6"/>
  <c r="N20" i="6"/>
  <c r="N14" i="6"/>
  <c r="N9" i="6"/>
  <c r="AP56" i="6"/>
  <c r="AP55" i="6"/>
  <c r="AP54" i="6"/>
  <c r="AP53" i="6"/>
  <c r="AP52" i="6"/>
  <c r="AP51" i="6"/>
  <c r="AP50" i="6"/>
  <c r="AP49" i="6"/>
  <c r="AP48" i="6"/>
  <c r="AP47" i="6"/>
  <c r="AP46" i="6"/>
  <c r="AP45" i="6"/>
  <c r="AP44" i="6"/>
  <c r="AP43" i="6"/>
  <c r="AP42" i="6"/>
  <c r="AP41" i="6"/>
  <c r="AP40" i="6"/>
  <c r="AP39" i="6"/>
  <c r="AP38" i="6"/>
  <c r="AP37" i="6"/>
  <c r="AP36" i="6"/>
  <c r="AP35" i="6"/>
  <c r="AP34" i="6"/>
  <c r="AP33" i="6"/>
  <c r="AP32" i="6"/>
  <c r="AP31" i="6"/>
  <c r="AP29" i="6"/>
  <c r="AP28" i="6"/>
  <c r="AP27" i="6"/>
  <c r="AP26" i="6"/>
  <c r="M9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0" i="6"/>
  <c r="L25" i="6"/>
  <c r="L24" i="6"/>
  <c r="L23" i="6"/>
  <c r="L22" i="6"/>
  <c r="L17" i="6"/>
  <c r="L16" i="6"/>
  <c r="L12" i="6"/>
  <c r="L7" i="6"/>
  <c r="P11" i="5"/>
  <c r="R11" i="5" s="1"/>
  <c r="P10" i="5"/>
  <c r="R10" i="5" s="1"/>
  <c r="P9" i="5"/>
  <c r="R9" i="5" s="1"/>
  <c r="F43" i="5"/>
  <c r="E43" i="5"/>
  <c r="D43" i="5"/>
  <c r="F26" i="5"/>
  <c r="E26" i="5"/>
  <c r="D26" i="5"/>
  <c r="AJ61" i="6" s="1"/>
  <c r="F25" i="5"/>
  <c r="E25" i="5"/>
  <c r="D25" i="5"/>
  <c r="AI61" i="6" s="1"/>
  <c r="F24" i="5"/>
  <c r="E24" i="5"/>
  <c r="D24" i="5"/>
  <c r="AH61" i="6" s="1"/>
  <c r="D13" i="5"/>
  <c r="W61" i="6" s="1"/>
  <c r="F38" i="5"/>
  <c r="F17" i="5"/>
  <c r="F16" i="5"/>
  <c r="F12" i="5"/>
  <c r="F11" i="5"/>
  <c r="M15" i="5"/>
  <c r="M7" i="5"/>
  <c r="D35" i="5" s="1"/>
  <c r="F44" i="5"/>
  <c r="E44" i="5"/>
  <c r="D44" i="5"/>
  <c r="F42" i="5"/>
  <c r="D42" i="5"/>
  <c r="F40" i="5"/>
  <c r="E40" i="5"/>
  <c r="D40" i="5"/>
  <c r="F23" i="5"/>
  <c r="D23" i="5"/>
  <c r="AG61" i="6" s="1"/>
  <c r="F20" i="5"/>
  <c r="E20" i="5"/>
  <c r="D20" i="5"/>
  <c r="AD61" i="6" s="1"/>
  <c r="E18" i="5"/>
  <c r="D18" i="5"/>
  <c r="AB61" i="6" s="1"/>
  <c r="T41" i="4"/>
  <c r="S41" i="4"/>
  <c r="R41" i="4"/>
  <c r="Q41" i="4"/>
  <c r="P41" i="4"/>
  <c r="O41" i="4"/>
  <c r="N41" i="4"/>
  <c r="M41" i="4"/>
  <c r="L41" i="4"/>
  <c r="K41" i="4"/>
  <c r="J41" i="4"/>
  <c r="I41" i="4"/>
  <c r="U41" i="4" s="1"/>
  <c r="T40" i="4"/>
  <c r="S40" i="4"/>
  <c r="R40" i="4"/>
  <c r="Q40" i="4"/>
  <c r="P40" i="4"/>
  <c r="O40" i="4"/>
  <c r="N40" i="4"/>
  <c r="M40" i="4"/>
  <c r="L40" i="4"/>
  <c r="K40" i="4"/>
  <c r="J40" i="4"/>
  <c r="I40" i="4"/>
  <c r="U40" i="4" s="1"/>
  <c r="T39" i="4"/>
  <c r="S39" i="4"/>
  <c r="R39" i="4"/>
  <c r="Q39" i="4"/>
  <c r="P39" i="4"/>
  <c r="O39" i="4"/>
  <c r="N39" i="4"/>
  <c r="M39" i="4"/>
  <c r="L39" i="4"/>
  <c r="K39" i="4"/>
  <c r="J39" i="4"/>
  <c r="I39" i="4"/>
  <c r="U39" i="4" s="1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L12" i="4"/>
  <c r="K12" i="4"/>
  <c r="J12" i="4"/>
  <c r="I12" i="4"/>
  <c r="U12" i="4" s="1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J5" i="4"/>
  <c r="I5" i="4"/>
  <c r="U5" i="4" s="1"/>
  <c r="T4" i="4"/>
  <c r="S4" i="4"/>
  <c r="R4" i="4"/>
  <c r="Q4" i="4"/>
  <c r="P4" i="4"/>
  <c r="O4" i="4"/>
  <c r="N4" i="4"/>
  <c r="M4" i="4"/>
  <c r="L4" i="4"/>
  <c r="K4" i="4"/>
  <c r="J4" i="4"/>
  <c r="I4" i="4"/>
  <c r="U4" i="4" s="1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L2" i="4"/>
  <c r="K2" i="4"/>
  <c r="J2" i="4"/>
  <c r="I2" i="4"/>
  <c r="U2" i="4" s="1"/>
  <c r="T53" i="3"/>
  <c r="S53" i="3"/>
  <c r="R53" i="3"/>
  <c r="Q53" i="3"/>
  <c r="P53" i="3"/>
  <c r="O53" i="3"/>
  <c r="N53" i="3"/>
  <c r="M53" i="3"/>
  <c r="L53" i="3"/>
  <c r="K53" i="3"/>
  <c r="J53" i="3"/>
  <c r="I53" i="3"/>
  <c r="U53" i="3" s="1"/>
  <c r="T52" i="3"/>
  <c r="S52" i="3"/>
  <c r="R52" i="3"/>
  <c r="Q52" i="3"/>
  <c r="P52" i="3"/>
  <c r="O52" i="3"/>
  <c r="N52" i="3"/>
  <c r="M52" i="3"/>
  <c r="L52" i="3"/>
  <c r="K52" i="3"/>
  <c r="J52" i="3"/>
  <c r="I52" i="3"/>
  <c r="U52" i="3" s="1"/>
  <c r="T51" i="3"/>
  <c r="S51" i="3"/>
  <c r="R51" i="3"/>
  <c r="Q51" i="3"/>
  <c r="P51" i="3"/>
  <c r="O51" i="3"/>
  <c r="N51" i="3"/>
  <c r="M51" i="3"/>
  <c r="L51" i="3"/>
  <c r="K51" i="3"/>
  <c r="J51" i="3"/>
  <c r="I51" i="3"/>
  <c r="U51" i="3" s="1"/>
  <c r="T50" i="3"/>
  <c r="S50" i="3"/>
  <c r="R50" i="3"/>
  <c r="Q50" i="3"/>
  <c r="P50" i="3"/>
  <c r="O50" i="3"/>
  <c r="N50" i="3"/>
  <c r="M50" i="3"/>
  <c r="L50" i="3"/>
  <c r="K50" i="3"/>
  <c r="J50" i="3"/>
  <c r="I50" i="3"/>
  <c r="U50" i="3" s="1"/>
  <c r="T49" i="3"/>
  <c r="S49" i="3"/>
  <c r="R49" i="3"/>
  <c r="Q49" i="3"/>
  <c r="P49" i="3"/>
  <c r="O49" i="3"/>
  <c r="N49" i="3"/>
  <c r="M49" i="3"/>
  <c r="L49" i="3"/>
  <c r="K49" i="3"/>
  <c r="J49" i="3"/>
  <c r="I49" i="3"/>
  <c r="U49" i="3" s="1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T47" i="3"/>
  <c r="S47" i="3"/>
  <c r="R47" i="3"/>
  <c r="Q47" i="3"/>
  <c r="P47" i="3"/>
  <c r="O47" i="3"/>
  <c r="N47" i="3"/>
  <c r="M47" i="3"/>
  <c r="L47" i="3"/>
  <c r="K47" i="3"/>
  <c r="J47" i="3"/>
  <c r="I47" i="3"/>
  <c r="U47" i="3" s="1"/>
  <c r="T46" i="3"/>
  <c r="S46" i="3"/>
  <c r="R46" i="3"/>
  <c r="Q46" i="3"/>
  <c r="P46" i="3"/>
  <c r="O46" i="3"/>
  <c r="N46" i="3"/>
  <c r="M46" i="3"/>
  <c r="L46" i="3"/>
  <c r="K46" i="3"/>
  <c r="J46" i="3"/>
  <c r="I46" i="3"/>
  <c r="U46" i="3" s="1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U44" i="3" s="1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K39" i="3"/>
  <c r="J39" i="3"/>
  <c r="I39" i="3"/>
  <c r="U39" i="3" s="1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L36" i="3"/>
  <c r="K36" i="3"/>
  <c r="J36" i="3"/>
  <c r="I36" i="3"/>
  <c r="U36" i="3" s="1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J28" i="3"/>
  <c r="I28" i="3"/>
  <c r="U28" i="3" s="1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U20" i="3" s="1"/>
  <c r="T19" i="3"/>
  <c r="S19" i="3"/>
  <c r="R19" i="3"/>
  <c r="Q19" i="3"/>
  <c r="P19" i="3"/>
  <c r="O19" i="3"/>
  <c r="N19" i="3"/>
  <c r="M19" i="3"/>
  <c r="L19" i="3"/>
  <c r="K19" i="3"/>
  <c r="J19" i="3"/>
  <c r="I19" i="3"/>
  <c r="U19" i="3" s="1"/>
  <c r="T18" i="3"/>
  <c r="S18" i="3"/>
  <c r="R18" i="3"/>
  <c r="Q18" i="3"/>
  <c r="P18" i="3"/>
  <c r="O18" i="3"/>
  <c r="N18" i="3"/>
  <c r="M18" i="3"/>
  <c r="L18" i="3"/>
  <c r="K18" i="3"/>
  <c r="J18" i="3"/>
  <c r="I18" i="3"/>
  <c r="U18" i="3" s="1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T16" i="3"/>
  <c r="S16" i="3"/>
  <c r="R16" i="3"/>
  <c r="Q16" i="3"/>
  <c r="P16" i="3"/>
  <c r="O16" i="3"/>
  <c r="N16" i="3"/>
  <c r="M16" i="3"/>
  <c r="L16" i="3"/>
  <c r="K16" i="3"/>
  <c r="J16" i="3"/>
  <c r="I16" i="3"/>
  <c r="U16" i="3" s="1"/>
  <c r="T15" i="3"/>
  <c r="S15" i="3"/>
  <c r="R15" i="3"/>
  <c r="Q15" i="3"/>
  <c r="P15" i="3"/>
  <c r="O15" i="3"/>
  <c r="N15" i="3"/>
  <c r="M15" i="3"/>
  <c r="L15" i="3"/>
  <c r="K15" i="3"/>
  <c r="J15" i="3"/>
  <c r="I15" i="3"/>
  <c r="U15" i="3" s="1"/>
  <c r="T14" i="3"/>
  <c r="S14" i="3"/>
  <c r="R14" i="3"/>
  <c r="Q14" i="3"/>
  <c r="P14" i="3"/>
  <c r="O14" i="3"/>
  <c r="N14" i="3"/>
  <c r="M14" i="3"/>
  <c r="L14" i="3"/>
  <c r="K14" i="3"/>
  <c r="J14" i="3"/>
  <c r="I14" i="3"/>
  <c r="U14" i="3" s="1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K12" i="3"/>
  <c r="J12" i="3"/>
  <c r="I12" i="3"/>
  <c r="U12" i="3" s="1"/>
  <c r="T11" i="3"/>
  <c r="S11" i="3"/>
  <c r="R11" i="3"/>
  <c r="Q11" i="3"/>
  <c r="P11" i="3"/>
  <c r="O11" i="3"/>
  <c r="N11" i="3"/>
  <c r="M11" i="3"/>
  <c r="L11" i="3"/>
  <c r="K11" i="3"/>
  <c r="J11" i="3"/>
  <c r="I11" i="3"/>
  <c r="U11" i="3" s="1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S9" i="3"/>
  <c r="R9" i="3"/>
  <c r="Q9" i="3"/>
  <c r="P9" i="3"/>
  <c r="O9" i="3"/>
  <c r="N9" i="3"/>
  <c r="M9" i="3"/>
  <c r="L9" i="3"/>
  <c r="K9" i="3"/>
  <c r="J9" i="3"/>
  <c r="I9" i="3"/>
  <c r="U9" i="3" s="1"/>
  <c r="T8" i="3"/>
  <c r="S8" i="3"/>
  <c r="R8" i="3"/>
  <c r="Q8" i="3"/>
  <c r="P8" i="3"/>
  <c r="O8" i="3"/>
  <c r="N8" i="3"/>
  <c r="M8" i="3"/>
  <c r="L8" i="3"/>
  <c r="K8" i="3"/>
  <c r="J8" i="3"/>
  <c r="I8" i="3"/>
  <c r="U8" i="3" s="1"/>
  <c r="T7" i="3"/>
  <c r="S7" i="3"/>
  <c r="R7" i="3"/>
  <c r="Q7" i="3"/>
  <c r="P7" i="3"/>
  <c r="O7" i="3"/>
  <c r="N7" i="3"/>
  <c r="M7" i="3"/>
  <c r="L7" i="3"/>
  <c r="K7" i="3"/>
  <c r="J7" i="3"/>
  <c r="I7" i="3"/>
  <c r="U7" i="3" s="1"/>
  <c r="T6" i="3"/>
  <c r="S6" i="3"/>
  <c r="R6" i="3"/>
  <c r="Q6" i="3"/>
  <c r="P6" i="3"/>
  <c r="O6" i="3"/>
  <c r="N6" i="3"/>
  <c r="M6" i="3"/>
  <c r="L6" i="3"/>
  <c r="K6" i="3"/>
  <c r="J6" i="3"/>
  <c r="I6" i="3"/>
  <c r="U6" i="3" s="1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L2" i="3"/>
  <c r="K2" i="3"/>
  <c r="J2" i="3"/>
  <c r="I2" i="3"/>
  <c r="U2" i="3" s="1"/>
  <c r="H1" i="2"/>
  <c r="AO2" i="22" l="1"/>
  <c r="AT2" i="22"/>
  <c r="I5" i="28"/>
  <c r="I5" i="9"/>
  <c r="I5" i="8"/>
  <c r="I5" i="7"/>
  <c r="P12" i="5"/>
  <c r="I5" i="6"/>
  <c r="I5" i="14"/>
  <c r="I6" i="28"/>
  <c r="I6" i="9"/>
  <c r="I6" i="8"/>
  <c r="I6" i="7"/>
  <c r="I6" i="6"/>
  <c r="I6" i="14"/>
  <c r="I7" i="28"/>
  <c r="I7" i="6"/>
  <c r="P13" i="5"/>
  <c r="I7" i="14"/>
  <c r="I7" i="9"/>
  <c r="I7" i="8"/>
  <c r="I7" i="7"/>
  <c r="M68" i="6" s="1"/>
  <c r="I8" i="28"/>
  <c r="I8" i="14"/>
  <c r="I8" i="9"/>
  <c r="I8" i="8"/>
  <c r="I8" i="7"/>
  <c r="I8" i="6"/>
  <c r="I9" i="28"/>
  <c r="I9" i="9"/>
  <c r="I9" i="8"/>
  <c r="I9" i="7"/>
  <c r="I9" i="6"/>
  <c r="AE59" i="6" s="1"/>
  <c r="I9" i="14"/>
  <c r="I10" i="28"/>
  <c r="I10" i="14"/>
  <c r="I10" i="9"/>
  <c r="I10" i="8"/>
  <c r="I10" i="7"/>
  <c r="I10" i="6"/>
  <c r="I11" i="28"/>
  <c r="I11" i="6"/>
  <c r="I11" i="14"/>
  <c r="I11" i="9"/>
  <c r="I11" i="8"/>
  <c r="I11" i="7"/>
  <c r="I12" i="28"/>
  <c r="I12" i="14"/>
  <c r="I12" i="9"/>
  <c r="I12" i="8"/>
  <c r="I12" i="7"/>
  <c r="I12" i="6"/>
  <c r="I13" i="28"/>
  <c r="I13" i="14"/>
  <c r="I13" i="9"/>
  <c r="I13" i="8"/>
  <c r="I13" i="7"/>
  <c r="I13" i="6"/>
  <c r="I14" i="28"/>
  <c r="I14" i="14"/>
  <c r="I14" i="9"/>
  <c r="I14" i="8"/>
  <c r="I14" i="7"/>
  <c r="I14" i="6"/>
  <c r="I15" i="28"/>
  <c r="I15" i="6"/>
  <c r="I15" i="14"/>
  <c r="I15" i="9"/>
  <c r="I15" i="8"/>
  <c r="I15" i="7"/>
  <c r="I16" i="28"/>
  <c r="I16" i="14"/>
  <c r="I16" i="9"/>
  <c r="I16" i="8"/>
  <c r="I16" i="7"/>
  <c r="I16" i="6"/>
  <c r="I17" i="28"/>
  <c r="I17" i="14"/>
  <c r="I17" i="9"/>
  <c r="I17" i="8"/>
  <c r="I17" i="7"/>
  <c r="I17" i="6"/>
  <c r="I18" i="28"/>
  <c r="I18" i="14"/>
  <c r="I18" i="9"/>
  <c r="I18" i="8"/>
  <c r="I18" i="7"/>
  <c r="I18" i="6"/>
  <c r="I19" i="28"/>
  <c r="I19" i="6"/>
  <c r="I19" i="14"/>
  <c r="I19" i="9"/>
  <c r="I19" i="8"/>
  <c r="I19" i="7"/>
  <c r="I20" i="28"/>
  <c r="I20" i="6"/>
  <c r="I20" i="14"/>
  <c r="I20" i="9"/>
  <c r="I20" i="8"/>
  <c r="I20" i="7"/>
  <c r="I21" i="28"/>
  <c r="I21" i="14"/>
  <c r="I21" i="9"/>
  <c r="I21" i="8"/>
  <c r="I21" i="7"/>
  <c r="I21" i="6"/>
  <c r="I22" i="28"/>
  <c r="I22" i="14"/>
  <c r="I22" i="9"/>
  <c r="I22" i="8"/>
  <c r="I22" i="7"/>
  <c r="I22" i="6"/>
  <c r="I23" i="28"/>
  <c r="I23" i="6"/>
  <c r="I23" i="14"/>
  <c r="I23" i="9"/>
  <c r="I23" i="8"/>
  <c r="I23" i="7"/>
  <c r="I24" i="28"/>
  <c r="I24" i="6"/>
  <c r="I24" i="14"/>
  <c r="I24" i="9"/>
  <c r="I24" i="8"/>
  <c r="I24" i="7"/>
  <c r="I25" i="28"/>
  <c r="I25" i="6"/>
  <c r="I25" i="14"/>
  <c r="I25" i="9"/>
  <c r="I25" i="8"/>
  <c r="I25" i="7"/>
  <c r="I26" i="28"/>
  <c r="I26" i="14"/>
  <c r="I26" i="9"/>
  <c r="I26" i="8"/>
  <c r="I26" i="7"/>
  <c r="I26" i="6"/>
  <c r="I27" i="28"/>
  <c r="I27" i="14"/>
  <c r="I27" i="7"/>
  <c r="I27" i="6"/>
  <c r="I27" i="9"/>
  <c r="I27" i="8"/>
  <c r="I28" i="28"/>
  <c r="I28" i="7"/>
  <c r="I28" i="6"/>
  <c r="I28" i="14"/>
  <c r="I28" i="9"/>
  <c r="I28" i="8"/>
  <c r="I29" i="28"/>
  <c r="I29" i="6"/>
  <c r="I29" i="9"/>
  <c r="I29" i="8"/>
  <c r="I29" i="7"/>
  <c r="I29" i="14"/>
  <c r="I30" i="28"/>
  <c r="I30" i="14"/>
  <c r="I30" i="9"/>
  <c r="I30" i="8"/>
  <c r="I30" i="7"/>
  <c r="I30" i="6"/>
  <c r="I31" i="28"/>
  <c r="I31" i="6"/>
  <c r="I31" i="14"/>
  <c r="I31" i="9"/>
  <c r="I31" i="8"/>
  <c r="I31" i="7"/>
  <c r="I32" i="28"/>
  <c r="I32" i="14"/>
  <c r="I32" i="7"/>
  <c r="I32" i="6"/>
  <c r="I32" i="9"/>
  <c r="I32" i="8"/>
  <c r="I33" i="28"/>
  <c r="I33" i="6"/>
  <c r="I33" i="14"/>
  <c r="I33" i="9"/>
  <c r="I33" i="8"/>
  <c r="I33" i="7"/>
  <c r="I34" i="28"/>
  <c r="I34" i="9"/>
  <c r="I34" i="8"/>
  <c r="I34" i="7"/>
  <c r="I34" i="14"/>
  <c r="I34" i="6"/>
  <c r="I35" i="28"/>
  <c r="I35" i="6"/>
  <c r="I35" i="14"/>
  <c r="I35" i="9"/>
  <c r="I35" i="8"/>
  <c r="I35" i="7"/>
  <c r="I36" i="28"/>
  <c r="I36" i="14"/>
  <c r="I36" i="7"/>
  <c r="I36" i="6"/>
  <c r="I36" i="9"/>
  <c r="I36" i="8"/>
  <c r="I37" i="28"/>
  <c r="I37" i="6"/>
  <c r="I37" i="14"/>
  <c r="I37" i="9"/>
  <c r="I37" i="8"/>
  <c r="I37" i="7"/>
  <c r="I38" i="28"/>
  <c r="I38" i="9"/>
  <c r="I38" i="8"/>
  <c r="I38" i="7"/>
  <c r="I38" i="14"/>
  <c r="I38" i="6"/>
  <c r="I39" i="28"/>
  <c r="I39" i="6"/>
  <c r="I39" i="14"/>
  <c r="I39" i="9"/>
  <c r="I39" i="8"/>
  <c r="I39" i="7"/>
  <c r="I40" i="28"/>
  <c r="I40" i="14"/>
  <c r="I40" i="7"/>
  <c r="I40" i="6"/>
  <c r="I40" i="9"/>
  <c r="I40" i="8"/>
  <c r="I41" i="28"/>
  <c r="I41" i="6"/>
  <c r="I41" i="14"/>
  <c r="I41" i="9"/>
  <c r="I41" i="8"/>
  <c r="I41" i="7"/>
  <c r="I42" i="28"/>
  <c r="I42" i="9"/>
  <c r="I42" i="8"/>
  <c r="I42" i="7"/>
  <c r="I42" i="14"/>
  <c r="I42" i="6"/>
  <c r="I43" i="28"/>
  <c r="I43" i="6"/>
  <c r="I43" i="14"/>
  <c r="I43" i="9"/>
  <c r="I43" i="8"/>
  <c r="I43" i="7"/>
  <c r="I44" i="28"/>
  <c r="I44" i="14"/>
  <c r="I44" i="7"/>
  <c r="I44" i="6"/>
  <c r="I44" i="9"/>
  <c r="I44" i="8"/>
  <c r="I45" i="28"/>
  <c r="I45" i="6"/>
  <c r="I45" i="14"/>
  <c r="I45" i="9"/>
  <c r="I45" i="8"/>
  <c r="I45" i="7"/>
  <c r="I46" i="28"/>
  <c r="I46" i="9"/>
  <c r="I46" i="8"/>
  <c r="I46" i="7"/>
  <c r="I46" i="14"/>
  <c r="I46" i="6"/>
  <c r="I47" i="28"/>
  <c r="I47" i="6"/>
  <c r="I47" i="14"/>
  <c r="I47" i="9"/>
  <c r="I47" i="8"/>
  <c r="I47" i="7"/>
  <c r="I48" i="28"/>
  <c r="I48" i="14"/>
  <c r="I48" i="7"/>
  <c r="I48" i="6"/>
  <c r="I48" i="9"/>
  <c r="I48" i="8"/>
  <c r="I49" i="28"/>
  <c r="I49" i="6"/>
  <c r="I49" i="14"/>
  <c r="I49" i="9"/>
  <c r="I49" i="8"/>
  <c r="I49" i="7"/>
  <c r="I50" i="28"/>
  <c r="I50" i="9"/>
  <c r="I50" i="8"/>
  <c r="I50" i="7"/>
  <c r="I50" i="14"/>
  <c r="I50" i="6"/>
  <c r="I51" i="28"/>
  <c r="I51" i="6"/>
  <c r="I51" i="14"/>
  <c r="I51" i="9"/>
  <c r="I51" i="8"/>
  <c r="I51" i="7"/>
  <c r="I52" i="28"/>
  <c r="I52" i="14"/>
  <c r="I52" i="7"/>
  <c r="I52" i="6"/>
  <c r="I52" i="9"/>
  <c r="I52" i="8"/>
  <c r="I53" i="28"/>
  <c r="I53" i="6"/>
  <c r="I53" i="14"/>
  <c r="I53" i="9"/>
  <c r="I53" i="8"/>
  <c r="I53" i="7"/>
  <c r="I54" i="28"/>
  <c r="I54" i="9"/>
  <c r="I54" i="8"/>
  <c r="I54" i="7"/>
  <c r="I54" i="14"/>
  <c r="I54" i="6"/>
  <c r="I55" i="28"/>
  <c r="I55" i="6"/>
  <c r="I55" i="14"/>
  <c r="I55" i="9"/>
  <c r="I55" i="8"/>
  <c r="I55" i="7"/>
  <c r="M75" i="6" s="1"/>
  <c r="I56" i="28"/>
  <c r="I56" i="14"/>
  <c r="I56" i="7"/>
  <c r="I56" i="6"/>
  <c r="I56" i="9"/>
  <c r="I56" i="8"/>
  <c r="I5" i="29"/>
  <c r="AE50" i="29" s="1"/>
  <c r="I5" i="11"/>
  <c r="I5" i="12"/>
  <c r="I5" i="13"/>
  <c r="I5" i="10"/>
  <c r="P14" i="5"/>
  <c r="I6" i="29"/>
  <c r="AE51" i="29" s="1"/>
  <c r="I6" i="12"/>
  <c r="I6" i="13"/>
  <c r="I6" i="10"/>
  <c r="I6" i="11"/>
  <c r="I7" i="29"/>
  <c r="AD52" i="29" s="1"/>
  <c r="I7" i="13"/>
  <c r="I7" i="10"/>
  <c r="I7" i="11"/>
  <c r="I7" i="12"/>
  <c r="I8" i="29"/>
  <c r="I8" i="11"/>
  <c r="I8" i="12"/>
  <c r="I8" i="13"/>
  <c r="I8" i="10"/>
  <c r="I9" i="29"/>
  <c r="Z54" i="29" s="1"/>
  <c r="I9" i="11"/>
  <c r="I9" i="12"/>
  <c r="I9" i="13"/>
  <c r="I9" i="10"/>
  <c r="I10" i="29"/>
  <c r="Y55" i="29" s="1"/>
  <c r="I10" i="12"/>
  <c r="I10" i="13"/>
  <c r="I10" i="10"/>
  <c r="I10" i="11"/>
  <c r="I11" i="29"/>
  <c r="AD56" i="29" s="1"/>
  <c r="I11" i="13"/>
  <c r="I11" i="10"/>
  <c r="I11" i="11"/>
  <c r="I11" i="12"/>
  <c r="I12" i="29"/>
  <c r="I12" i="11"/>
  <c r="I12" i="12"/>
  <c r="I12" i="13"/>
  <c r="I12" i="10"/>
  <c r="I13" i="29"/>
  <c r="Z58" i="29" s="1"/>
  <c r="I13" i="11"/>
  <c r="I13" i="12"/>
  <c r="I13" i="13"/>
  <c r="I13" i="10"/>
  <c r="I14" i="29"/>
  <c r="Y59" i="29" s="1"/>
  <c r="I14" i="12"/>
  <c r="I14" i="13"/>
  <c r="I14" i="10"/>
  <c r="I14" i="11"/>
  <c r="I15" i="29"/>
  <c r="AD60" i="29" s="1"/>
  <c r="I15" i="13"/>
  <c r="I15" i="10"/>
  <c r="I15" i="11"/>
  <c r="I15" i="12"/>
  <c r="I16" i="29"/>
  <c r="I16" i="11"/>
  <c r="I16" i="12"/>
  <c r="I16" i="13"/>
  <c r="I16" i="10"/>
  <c r="I17" i="29"/>
  <c r="AC62" i="29" s="1"/>
  <c r="I17" i="11"/>
  <c r="I17" i="12"/>
  <c r="I17" i="13"/>
  <c r="I17" i="10"/>
  <c r="I18" i="29"/>
  <c r="AC63" i="29" s="1"/>
  <c r="I18" i="12"/>
  <c r="I18" i="13"/>
  <c r="I18" i="10"/>
  <c r="I18" i="11"/>
  <c r="I19" i="29"/>
  <c r="AC64" i="29" s="1"/>
  <c r="I19" i="13"/>
  <c r="I19" i="10"/>
  <c r="I19" i="11"/>
  <c r="I19" i="12"/>
  <c r="I20" i="29"/>
  <c r="I20" i="11"/>
  <c r="I20" i="12"/>
  <c r="I20" i="13"/>
  <c r="I20" i="10"/>
  <c r="I21" i="29"/>
  <c r="AC66" i="29" s="1"/>
  <c r="I21" i="11"/>
  <c r="I21" i="12"/>
  <c r="I21" i="13"/>
  <c r="I21" i="10"/>
  <c r="I22" i="29"/>
  <c r="AC67" i="29" s="1"/>
  <c r="I22" i="12"/>
  <c r="I22" i="13"/>
  <c r="I22" i="10"/>
  <c r="I22" i="11"/>
  <c r="I23" i="29"/>
  <c r="AC68" i="29" s="1"/>
  <c r="I23" i="13"/>
  <c r="I23" i="10"/>
  <c r="I23" i="11"/>
  <c r="I23" i="12"/>
  <c r="I24" i="29"/>
  <c r="I24" i="11"/>
  <c r="I24" i="12"/>
  <c r="I24" i="13"/>
  <c r="I24" i="10"/>
  <c r="I25" i="29"/>
  <c r="AC70" i="29" s="1"/>
  <c r="I25" i="11"/>
  <c r="I25" i="12"/>
  <c r="I25" i="13"/>
  <c r="I25" i="10"/>
  <c r="I26" i="29"/>
  <c r="AC71" i="29" s="1"/>
  <c r="I26" i="12"/>
  <c r="I26" i="13"/>
  <c r="I26" i="10"/>
  <c r="I26" i="11"/>
  <c r="I27" i="29"/>
  <c r="AC72" i="29" s="1"/>
  <c r="I27" i="13"/>
  <c r="I27" i="10"/>
  <c r="I27" i="11"/>
  <c r="I27" i="12"/>
  <c r="I28" i="29"/>
  <c r="I28" i="11"/>
  <c r="I28" i="12"/>
  <c r="I28" i="13"/>
  <c r="I28" i="10"/>
  <c r="I29" i="29"/>
  <c r="AC74" i="29" s="1"/>
  <c r="I29" i="11"/>
  <c r="I29" i="12"/>
  <c r="I29" i="13"/>
  <c r="I29" i="10"/>
  <c r="I30" i="29"/>
  <c r="I30" i="12"/>
  <c r="I30" i="13"/>
  <c r="I30" i="10"/>
  <c r="I30" i="11"/>
  <c r="I31" i="29"/>
  <c r="Z76" i="29" s="1"/>
  <c r="I31" i="13"/>
  <c r="I31" i="10"/>
  <c r="I31" i="11"/>
  <c r="I31" i="12"/>
  <c r="I32" i="29"/>
  <c r="I32" i="11"/>
  <c r="I32" i="12"/>
  <c r="I32" i="13"/>
  <c r="I32" i="10"/>
  <c r="I33" i="29"/>
  <c r="I33" i="11"/>
  <c r="I33" i="12"/>
  <c r="I33" i="13"/>
  <c r="I33" i="10"/>
  <c r="I34" i="29"/>
  <c r="I34" i="12"/>
  <c r="I34" i="13"/>
  <c r="I34" i="10"/>
  <c r="I34" i="11"/>
  <c r="I35" i="29"/>
  <c r="I35" i="13"/>
  <c r="I35" i="10"/>
  <c r="I35" i="11"/>
  <c r="I35" i="12"/>
  <c r="I36" i="29"/>
  <c r="I36" i="11"/>
  <c r="I36" i="12"/>
  <c r="I36" i="13"/>
  <c r="I36" i="10"/>
  <c r="I37" i="29"/>
  <c r="I37" i="11"/>
  <c r="I37" i="12"/>
  <c r="I37" i="13"/>
  <c r="I37" i="10"/>
  <c r="I38" i="29"/>
  <c r="I38" i="12"/>
  <c r="I38" i="13"/>
  <c r="I38" i="10"/>
  <c r="I38" i="11"/>
  <c r="I39" i="29"/>
  <c r="I39" i="13"/>
  <c r="I39" i="10"/>
  <c r="I39" i="11"/>
  <c r="I39" i="12"/>
  <c r="I40" i="29"/>
  <c r="I40" i="11"/>
  <c r="I40" i="12"/>
  <c r="I40" i="13"/>
  <c r="I40" i="10"/>
  <c r="I41" i="29"/>
  <c r="I41" i="11"/>
  <c r="I41" i="12"/>
  <c r="I41" i="13"/>
  <c r="I41" i="10"/>
  <c r="I42" i="29"/>
  <c r="I42" i="12"/>
  <c r="I42" i="13"/>
  <c r="I42" i="10"/>
  <c r="I42" i="11"/>
  <c r="I43" i="29"/>
  <c r="I43" i="13"/>
  <c r="I43" i="10"/>
  <c r="I43" i="11"/>
  <c r="I43" i="12"/>
  <c r="I44" i="29"/>
  <c r="I44" i="11"/>
  <c r="I44" i="12"/>
  <c r="I44" i="13"/>
  <c r="I44" i="10"/>
  <c r="Y59" i="6"/>
  <c r="O51" i="12"/>
  <c r="X59" i="6"/>
  <c r="AJ4" i="22"/>
  <c r="AT4" i="22"/>
  <c r="AJ5" i="22"/>
  <c r="AT5" i="22"/>
  <c r="AT7" i="22"/>
  <c r="AJ7" i="22"/>
  <c r="AI59" i="6"/>
  <c r="AC59" i="6"/>
  <c r="AT6" i="22"/>
  <c r="AH59" i="6"/>
  <c r="AK59" i="6"/>
  <c r="AK9" i="7"/>
  <c r="W59" i="6"/>
  <c r="AJ2" i="22"/>
  <c r="AJ3" i="22"/>
  <c r="AO3" i="22"/>
  <c r="AA10" i="26"/>
  <c r="AA11" i="26"/>
  <c r="AC39" i="23"/>
  <c r="AC43" i="23"/>
  <c r="AC52" i="23"/>
  <c r="AC60" i="23"/>
  <c r="AO6" i="22"/>
  <c r="AC518" i="23"/>
  <c r="AC522" i="23"/>
  <c r="AC526" i="23"/>
  <c r="AC530" i="23"/>
  <c r="AC534" i="23"/>
  <c r="AC538" i="23"/>
  <c r="AC542" i="23"/>
  <c r="AC546" i="23"/>
  <c r="AC550" i="23"/>
  <c r="AC554" i="23"/>
  <c r="AC558" i="23"/>
  <c r="AC562" i="23"/>
  <c r="AC566" i="23"/>
  <c r="AC570" i="23"/>
  <c r="AC574" i="23"/>
  <c r="AC578" i="23"/>
  <c r="AC582" i="23"/>
  <c r="AC586" i="23"/>
  <c r="AC590" i="23"/>
  <c r="AC594" i="23"/>
  <c r="AC598" i="23"/>
  <c r="AC602" i="23"/>
  <c r="AC606" i="23"/>
  <c r="AC610" i="23"/>
  <c r="AC614" i="23"/>
  <c r="AC618" i="23"/>
  <c r="AC622" i="23"/>
  <c r="AC626" i="23"/>
  <c r="AC630" i="23"/>
  <c r="AC634" i="23"/>
  <c r="AC638" i="23"/>
  <c r="AC642" i="23"/>
  <c r="AC646" i="23"/>
  <c r="AC650" i="23"/>
  <c r="AC654" i="23"/>
  <c r="AC658" i="23"/>
  <c r="AC662" i="23"/>
  <c r="AC666" i="23"/>
  <c r="AC670" i="23"/>
  <c r="AC674" i="23"/>
  <c r="AC678" i="23"/>
  <c r="AC682" i="23"/>
  <c r="AC686" i="23"/>
  <c r="AC690" i="23"/>
  <c r="AC694" i="23"/>
  <c r="AC698" i="23"/>
  <c r="AC702" i="23"/>
  <c r="AC706" i="23"/>
  <c r="AC710" i="23"/>
  <c r="AC714" i="23"/>
  <c r="J1984" i="26"/>
  <c r="M1984" i="26" s="1"/>
  <c r="J1980" i="26"/>
  <c r="M1980" i="26" s="1"/>
  <c r="J1978" i="26"/>
  <c r="M1978" i="26" s="1"/>
  <c r="J1976" i="26"/>
  <c r="M1976" i="26" s="1"/>
  <c r="J1974" i="26"/>
  <c r="M1974" i="26" s="1"/>
  <c r="J1972" i="26"/>
  <c r="M1972" i="26" s="1"/>
  <c r="J1983" i="26"/>
  <c r="M1983" i="26" s="1"/>
  <c r="J1979" i="26"/>
  <c r="M1979" i="26" s="1"/>
  <c r="J1975" i="26"/>
  <c r="M1975" i="26" s="1"/>
  <c r="J1971" i="26"/>
  <c r="M1971" i="26" s="1"/>
  <c r="J1985" i="26"/>
  <c r="M1985" i="26" s="1"/>
  <c r="J1982" i="26"/>
  <c r="M1982" i="26" s="1"/>
  <c r="J1977" i="26"/>
  <c r="M1977" i="26" s="1"/>
  <c r="J1973" i="26"/>
  <c r="M1973" i="26" s="1"/>
  <c r="J1981" i="26"/>
  <c r="M1981" i="26" s="1"/>
  <c r="AC45" i="23"/>
  <c r="AC47" i="23"/>
  <c r="AC49" i="23"/>
  <c r="AC51" i="23"/>
  <c r="AC59" i="23"/>
  <c r="AC62" i="23"/>
  <c r="AC64" i="23"/>
  <c r="AC192" i="23"/>
  <c r="AC200" i="23"/>
  <c r="AC204" i="23"/>
  <c r="AC209" i="23"/>
  <c r="AC213" i="23"/>
  <c r="AC217" i="23"/>
  <c r="AC221" i="23"/>
  <c r="AC225" i="23"/>
  <c r="AC229" i="23"/>
  <c r="AC233" i="23"/>
  <c r="AC237" i="23"/>
  <c r="AC241" i="23"/>
  <c r="AC245" i="23"/>
  <c r="AC246" i="23"/>
  <c r="AC249" i="23"/>
  <c r="AC250" i="23"/>
  <c r="AC253" i="23"/>
  <c r="AC254" i="23"/>
  <c r="AC257" i="23"/>
  <c r="AC258" i="23"/>
  <c r="AC268" i="23"/>
  <c r="AC272" i="23"/>
  <c r="AC276" i="23"/>
  <c r="AC280" i="23"/>
  <c r="AC284" i="23"/>
  <c r="AC288" i="23"/>
  <c r="AC292" i="23"/>
  <c r="AC296" i="23"/>
  <c r="AC300" i="23"/>
  <c r="AC314" i="23"/>
  <c r="AC356" i="23"/>
  <c r="AC366" i="23"/>
  <c r="AC372" i="23"/>
  <c r="AD9" i="26"/>
  <c r="AC50" i="23"/>
  <c r="AC58" i="23"/>
  <c r="AC176" i="23"/>
  <c r="AC380" i="23"/>
  <c r="AC384" i="23"/>
  <c r="AC466" i="23"/>
  <c r="AC3" i="23"/>
  <c r="AC7" i="23"/>
  <c r="AC11" i="23"/>
  <c r="AC27" i="23"/>
  <c r="AC31" i="23"/>
  <c r="AC35" i="23"/>
  <c r="AC135" i="23"/>
  <c r="AC139" i="23"/>
  <c r="AC143" i="23"/>
  <c r="AC159" i="23"/>
  <c r="AC163" i="23"/>
  <c r="AC167" i="23"/>
  <c r="AC267" i="23"/>
  <c r="AC271" i="23"/>
  <c r="AC275" i="23"/>
  <c r="AC279" i="23"/>
  <c r="AC283" i="23"/>
  <c r="AC287" i="23"/>
  <c r="AC291" i="23"/>
  <c r="AC295" i="23"/>
  <c r="AC299" i="23"/>
  <c r="AC313" i="23"/>
  <c r="AC316" i="23"/>
  <c r="AC431" i="23"/>
  <c r="AC433" i="23"/>
  <c r="AC439" i="23"/>
  <c r="AC441" i="23"/>
  <c r="AC447" i="23"/>
  <c r="AC449" i="23"/>
  <c r="AC455" i="23"/>
  <c r="AC44" i="23"/>
  <c r="AC46" i="23"/>
  <c r="AC48" i="23"/>
  <c r="AC55" i="23"/>
  <c r="AC63" i="23"/>
  <c r="AC170" i="23"/>
  <c r="AC178" i="23"/>
  <c r="AC197" i="23"/>
  <c r="AC202" i="23"/>
  <c r="AC207" i="23"/>
  <c r="AC211" i="23"/>
  <c r="AC215" i="23"/>
  <c r="AC219" i="23"/>
  <c r="AC223" i="23"/>
  <c r="AC227" i="23"/>
  <c r="AC231" i="23"/>
  <c r="AC235" i="23"/>
  <c r="AC239" i="23"/>
  <c r="AC243" i="23"/>
  <c r="AC247" i="23"/>
  <c r="AC248" i="23"/>
  <c r="AC251" i="23"/>
  <c r="AC252" i="23"/>
  <c r="AC255" i="23"/>
  <c r="AC256" i="23"/>
  <c r="AC259" i="23"/>
  <c r="AC260" i="23"/>
  <c r="AC302" i="23"/>
  <c r="AC306" i="23"/>
  <c r="AC310" i="23"/>
  <c r="AC379" i="23"/>
  <c r="AC383" i="23"/>
  <c r="AC387" i="23"/>
  <c r="AC391" i="23"/>
  <c r="AC663" i="23"/>
  <c r="AC54" i="23"/>
  <c r="AC261" i="23"/>
  <c r="AC262" i="23"/>
  <c r="AC265" i="23"/>
  <c r="AC320" i="23"/>
  <c r="AC322" i="23"/>
  <c r="AC324" i="23"/>
  <c r="AC326" i="23"/>
  <c r="AC328" i="23"/>
  <c r="AC330" i="23"/>
  <c r="AC334" i="23"/>
  <c r="AC335" i="23"/>
  <c r="AC336" i="23"/>
  <c r="AC337" i="23"/>
  <c r="AC338" i="23"/>
  <c r="AC339" i="23"/>
  <c r="AC340" i="23"/>
  <c r="AC341" i="23"/>
  <c r="AC342" i="23"/>
  <c r="AC343" i="23"/>
  <c r="AC344" i="23"/>
  <c r="AC345" i="23"/>
  <c r="AC346" i="23"/>
  <c r="AC347" i="23"/>
  <c r="AC348" i="23"/>
  <c r="AI4" i="26"/>
  <c r="X4" i="26"/>
  <c r="AF4" i="26" s="1"/>
  <c r="Y3" i="26"/>
  <c r="AG3" i="26" s="1"/>
  <c r="AJ8" i="26"/>
  <c r="Y4" i="26"/>
  <c r="AG4" i="26" s="1"/>
  <c r="AJ4" i="26"/>
  <c r="BC63" i="28"/>
  <c r="AY63" i="28"/>
  <c r="AU63" i="28"/>
  <c r="AQ63" i="28"/>
  <c r="J8" i="30" s="1"/>
  <c r="AM63" i="28"/>
  <c r="AI63" i="28"/>
  <c r="BB63" i="28"/>
  <c r="AX63" i="28"/>
  <c r="Q8" i="30" s="1"/>
  <c r="AT63" i="28"/>
  <c r="AP63" i="28"/>
  <c r="AL63" i="28"/>
  <c r="BA63" i="28"/>
  <c r="T8" i="30" s="1"/>
  <c r="AW63" i="28"/>
  <c r="AS63" i="28"/>
  <c r="AO63" i="28"/>
  <c r="AK63" i="28"/>
  <c r="D8" i="30" s="1"/>
  <c r="BD63" i="28"/>
  <c r="AZ63" i="28"/>
  <c r="AV63" i="28"/>
  <c r="AR63" i="28"/>
  <c r="AN63" i="28"/>
  <c r="AJ63" i="28"/>
  <c r="BD67" i="28"/>
  <c r="AZ67" i="28"/>
  <c r="AV67" i="28"/>
  <c r="BA67" i="28"/>
  <c r="AU67" i="28"/>
  <c r="AQ67" i="28"/>
  <c r="AM67" i="28"/>
  <c r="AI67" i="28"/>
  <c r="AY67" i="28"/>
  <c r="AT67" i="28"/>
  <c r="AP67" i="28"/>
  <c r="AL67" i="28"/>
  <c r="BC67" i="28"/>
  <c r="AX67" i="28"/>
  <c r="AS67" i="28"/>
  <c r="AO67" i="28"/>
  <c r="AK67" i="28"/>
  <c r="BB67" i="28"/>
  <c r="AW67" i="28"/>
  <c r="AR67" i="28"/>
  <c r="AN67" i="28"/>
  <c r="AJ67" i="28"/>
  <c r="BA71" i="28"/>
  <c r="AW71" i="28"/>
  <c r="AS71" i="28"/>
  <c r="AO71" i="28"/>
  <c r="AK71" i="28"/>
  <c r="BD71" i="28"/>
  <c r="AZ71" i="28"/>
  <c r="AV71" i="28"/>
  <c r="AR71" i="28"/>
  <c r="AN71" i="28"/>
  <c r="AJ71" i="28"/>
  <c r="AY71" i="28"/>
  <c r="AQ71" i="28"/>
  <c r="AI71" i="28"/>
  <c r="AX71" i="28"/>
  <c r="AP71" i="28"/>
  <c r="BC71" i="28"/>
  <c r="AU71" i="28"/>
  <c r="AM71" i="28"/>
  <c r="BB71" i="28"/>
  <c r="AT71" i="28"/>
  <c r="AL71" i="28"/>
  <c r="BC75" i="28"/>
  <c r="AY75" i="28"/>
  <c r="AU75" i="28"/>
  <c r="AQ75" i="28"/>
  <c r="AM75" i="28"/>
  <c r="AI75" i="28"/>
  <c r="BB75" i="28"/>
  <c r="AX75" i="28"/>
  <c r="AT75" i="28"/>
  <c r="AP75" i="28"/>
  <c r="AL75" i="28"/>
  <c r="BA75" i="28"/>
  <c r="AW75" i="28"/>
  <c r="AS75" i="28"/>
  <c r="AO75" i="28"/>
  <c r="AK75" i="28"/>
  <c r="BD75" i="28"/>
  <c r="AZ75" i="28"/>
  <c r="AV75" i="28"/>
  <c r="AR75" i="28"/>
  <c r="AN75" i="28"/>
  <c r="AJ75" i="28"/>
  <c r="BC79" i="28"/>
  <c r="AY79" i="28"/>
  <c r="AU79" i="28"/>
  <c r="AQ79" i="28"/>
  <c r="AM79" i="28"/>
  <c r="AI79" i="28"/>
  <c r="BB79" i="28"/>
  <c r="AX79" i="28"/>
  <c r="AT79" i="28"/>
  <c r="AP79" i="28"/>
  <c r="AL79" i="28"/>
  <c r="BA79" i="28"/>
  <c r="AW79" i="28"/>
  <c r="AS79" i="28"/>
  <c r="AO79" i="28"/>
  <c r="AK79" i="28"/>
  <c r="BD79" i="28"/>
  <c r="AZ79" i="28"/>
  <c r="AV79" i="28"/>
  <c r="AR79" i="28"/>
  <c r="AN79" i="28"/>
  <c r="AJ79" i="28"/>
  <c r="BC83" i="28"/>
  <c r="AY83" i="28"/>
  <c r="AU83" i="28"/>
  <c r="AQ83" i="28"/>
  <c r="AM83" i="28"/>
  <c r="AI83" i="28"/>
  <c r="R83" i="28"/>
  <c r="BB83" i="28"/>
  <c r="AX83" i="28"/>
  <c r="AT83" i="28"/>
  <c r="AP83" i="28"/>
  <c r="AL83" i="28"/>
  <c r="BA83" i="28"/>
  <c r="AW83" i="28"/>
  <c r="AS83" i="28"/>
  <c r="AO83" i="28"/>
  <c r="AK83" i="28"/>
  <c r="P83" i="28"/>
  <c r="BD83" i="28"/>
  <c r="AZ83" i="28"/>
  <c r="AV83" i="28"/>
  <c r="AR83" i="28"/>
  <c r="AN83" i="28"/>
  <c r="AJ83" i="28"/>
  <c r="BA87" i="28"/>
  <c r="AW87" i="28"/>
  <c r="AS87" i="28"/>
  <c r="AO87" i="28"/>
  <c r="AK87" i="28"/>
  <c r="BD87" i="28"/>
  <c r="AZ87" i="28"/>
  <c r="AV87" i="28"/>
  <c r="AR87" i="28"/>
  <c r="AN87" i="28"/>
  <c r="AJ87" i="28"/>
  <c r="AY87" i="28"/>
  <c r="AQ87" i="28"/>
  <c r="AI87" i="28"/>
  <c r="AX87" i="28"/>
  <c r="AP87" i="28"/>
  <c r="BC87" i="28"/>
  <c r="AU87" i="28"/>
  <c r="AM87" i="28"/>
  <c r="BB87" i="28"/>
  <c r="AT87" i="28"/>
  <c r="AL87" i="28"/>
  <c r="BC91" i="28"/>
  <c r="AY91" i="28"/>
  <c r="AU91" i="28"/>
  <c r="AQ91" i="28"/>
  <c r="AM91" i="28"/>
  <c r="AI91" i="28"/>
  <c r="R91" i="28"/>
  <c r="BA91" i="28"/>
  <c r="AW91" i="28"/>
  <c r="AS91" i="28"/>
  <c r="AO91" i="28"/>
  <c r="AK91" i="28"/>
  <c r="P91" i="28"/>
  <c r="BD91" i="28"/>
  <c r="AZ91" i="28"/>
  <c r="AV91" i="28"/>
  <c r="AR91" i="28"/>
  <c r="AN91" i="28"/>
  <c r="AJ91" i="28"/>
  <c r="AT91" i="28"/>
  <c r="AP91" i="28"/>
  <c r="BB91" i="28"/>
  <c r="AL91" i="28"/>
  <c r="AX91" i="28"/>
  <c r="BC95" i="28"/>
  <c r="AY95" i="28"/>
  <c r="AU95" i="28"/>
  <c r="AQ95" i="28"/>
  <c r="AM95" i="28"/>
  <c r="AI95" i="28"/>
  <c r="BA95" i="28"/>
  <c r="AW95" i="28"/>
  <c r="AS95" i="28"/>
  <c r="AO95" i="28"/>
  <c r="AK95" i="28"/>
  <c r="BD95" i="28"/>
  <c r="AZ95" i="28"/>
  <c r="AV95" i="28"/>
  <c r="AR95" i="28"/>
  <c r="AN95" i="28"/>
  <c r="AJ95" i="28"/>
  <c r="AT95" i="28"/>
  <c r="AP95" i="28"/>
  <c r="BB95" i="28"/>
  <c r="AL95" i="28"/>
  <c r="AX95" i="28"/>
  <c r="BC99" i="28"/>
  <c r="AY99" i="28"/>
  <c r="AU99" i="28"/>
  <c r="AQ99" i="28"/>
  <c r="AM99" i="28"/>
  <c r="AI99" i="28"/>
  <c r="BB99" i="28"/>
  <c r="AX99" i="28"/>
  <c r="AT99" i="28"/>
  <c r="AP99" i="28"/>
  <c r="AL99" i="28"/>
  <c r="AW99" i="28"/>
  <c r="AO99" i="28"/>
  <c r="BD99" i="28"/>
  <c r="AV99" i="28"/>
  <c r="AN99" i="28"/>
  <c r="BA99" i="28"/>
  <c r="AS99" i="28"/>
  <c r="AK99" i="28"/>
  <c r="AZ99" i="28"/>
  <c r="AR99" i="28"/>
  <c r="AJ99" i="28"/>
  <c r="BD103" i="28"/>
  <c r="AZ103" i="28"/>
  <c r="AV103" i="28"/>
  <c r="AR103" i="28"/>
  <c r="AN103" i="28"/>
  <c r="AJ103" i="28"/>
  <c r="BC103" i="28"/>
  <c r="AY103" i="28"/>
  <c r="AU103" i="28"/>
  <c r="AQ103" i="28"/>
  <c r="AM103" i="28"/>
  <c r="AI103" i="28"/>
  <c r="BB103" i="28"/>
  <c r="AX103" i="28"/>
  <c r="AT103" i="28"/>
  <c r="AP103" i="28"/>
  <c r="AL103" i="28"/>
  <c r="AO103" i="28"/>
  <c r="BA103" i="28"/>
  <c r="AK103" i="28"/>
  <c r="AW103" i="28"/>
  <c r="AS103" i="28"/>
  <c r="BA107" i="28"/>
  <c r="AW107" i="28"/>
  <c r="AS107" i="28"/>
  <c r="AO107" i="28"/>
  <c r="AK107" i="28"/>
  <c r="BD107" i="28"/>
  <c r="AZ107" i="28"/>
  <c r="AV107" i="28"/>
  <c r="AR107" i="28"/>
  <c r="AN107" i="28"/>
  <c r="AJ107" i="28"/>
  <c r="BC107" i="28"/>
  <c r="AY107" i="28"/>
  <c r="AU107" i="28"/>
  <c r="AQ107" i="28"/>
  <c r="AM107" i="28"/>
  <c r="AI107" i="28"/>
  <c r="BB107" i="28"/>
  <c r="AX107" i="28"/>
  <c r="AT107" i="28"/>
  <c r="AP107" i="28"/>
  <c r="AL107" i="28"/>
  <c r="BC111" i="28"/>
  <c r="AY111" i="28"/>
  <c r="AU111" i="28"/>
  <c r="AQ111" i="28"/>
  <c r="AM111" i="28"/>
  <c r="BB111" i="28"/>
  <c r="AX111" i="28"/>
  <c r="AT111" i="28"/>
  <c r="AP111" i="28"/>
  <c r="BA111" i="28"/>
  <c r="AW111" i="28"/>
  <c r="AS111" i="28"/>
  <c r="AO111" i="28"/>
  <c r="AK111" i="28"/>
  <c r="BD111" i="28"/>
  <c r="AZ111" i="28"/>
  <c r="AV111" i="28"/>
  <c r="AR111" i="28"/>
  <c r="AN111" i="28"/>
  <c r="AJ111" i="28"/>
  <c r="AL111" i="28"/>
  <c r="AI111" i="28"/>
  <c r="BC64" i="28"/>
  <c r="V8" i="30" s="1"/>
  <c r="AY64" i="28"/>
  <c r="AU64" i="28"/>
  <c r="AQ64" i="28"/>
  <c r="AM64" i="28"/>
  <c r="F8" i="30" s="1"/>
  <c r="AI64" i="28"/>
  <c r="BB64" i="28"/>
  <c r="AX64" i="28"/>
  <c r="AT64" i="28"/>
  <c r="AP64" i="28"/>
  <c r="AL64" i="28"/>
  <c r="BA64" i="28"/>
  <c r="AW64" i="28"/>
  <c r="AS64" i="28"/>
  <c r="AO64" i="28"/>
  <c r="AK64" i="28"/>
  <c r="BD64" i="28"/>
  <c r="AZ64" i="28"/>
  <c r="AV64" i="28"/>
  <c r="AR64" i="28"/>
  <c r="AN64" i="28"/>
  <c r="AJ64" i="28"/>
  <c r="BA68" i="28"/>
  <c r="AW68" i="28"/>
  <c r="AS68" i="28"/>
  <c r="AO68" i="28"/>
  <c r="AK68" i="28"/>
  <c r="BD68" i="28"/>
  <c r="AZ68" i="28"/>
  <c r="AV68" i="28"/>
  <c r="AR68" i="28"/>
  <c r="AN68" i="28"/>
  <c r="AJ68" i="28"/>
  <c r="BC68" i="28"/>
  <c r="AU68" i="28"/>
  <c r="AM68" i="28"/>
  <c r="BB68" i="28"/>
  <c r="AT68" i="28"/>
  <c r="AL68" i="28"/>
  <c r="AY68" i="28"/>
  <c r="AQ68" i="28"/>
  <c r="AI68" i="28"/>
  <c r="AX68" i="28"/>
  <c r="AP68" i="28"/>
  <c r="BA72" i="28"/>
  <c r="AW72" i="28"/>
  <c r="AS72" i="28"/>
  <c r="AO72" i="28"/>
  <c r="AK72" i="28"/>
  <c r="BD72" i="28"/>
  <c r="AZ72" i="28"/>
  <c r="AV72" i="28"/>
  <c r="AR72" i="28"/>
  <c r="AN72" i="28"/>
  <c r="AJ72" i="28"/>
  <c r="BC72" i="28"/>
  <c r="AU72" i="28"/>
  <c r="AM72" i="28"/>
  <c r="BB72" i="28"/>
  <c r="AT72" i="28"/>
  <c r="AL72" i="28"/>
  <c r="AY72" i="28"/>
  <c r="AQ72" i="28"/>
  <c r="AI72" i="28"/>
  <c r="AX72" i="28"/>
  <c r="AP72" i="28"/>
  <c r="BC76" i="28"/>
  <c r="AY76" i="28"/>
  <c r="AU76" i="28"/>
  <c r="AQ76" i="28"/>
  <c r="AM76" i="28"/>
  <c r="AI76" i="28"/>
  <c r="BB76" i="28"/>
  <c r="AX76" i="28"/>
  <c r="AT76" i="28"/>
  <c r="AP76" i="28"/>
  <c r="AL76" i="28"/>
  <c r="BA76" i="28"/>
  <c r="AW76" i="28"/>
  <c r="AS76" i="28"/>
  <c r="AO76" i="28"/>
  <c r="AK76" i="28"/>
  <c r="BD76" i="28"/>
  <c r="AZ76" i="28"/>
  <c r="AV76" i="28"/>
  <c r="AR76" i="28"/>
  <c r="AN76" i="28"/>
  <c r="AJ76" i="28"/>
  <c r="BC80" i="28"/>
  <c r="AY80" i="28"/>
  <c r="AU80" i="28"/>
  <c r="AQ80" i="28"/>
  <c r="AM80" i="28"/>
  <c r="AI80" i="28"/>
  <c r="BB80" i="28"/>
  <c r="AX80" i="28"/>
  <c r="AT80" i="28"/>
  <c r="AP80" i="28"/>
  <c r="AL80" i="28"/>
  <c r="BA80" i="28"/>
  <c r="AW80" i="28"/>
  <c r="AS80" i="28"/>
  <c r="AO80" i="28"/>
  <c r="AK80" i="28"/>
  <c r="BD80" i="28"/>
  <c r="AZ80" i="28"/>
  <c r="AV80" i="28"/>
  <c r="AR80" i="28"/>
  <c r="AN80" i="28"/>
  <c r="AJ80" i="28"/>
  <c r="BA84" i="28"/>
  <c r="AW84" i="28"/>
  <c r="AS84" i="28"/>
  <c r="BD84" i="28"/>
  <c r="AZ84" i="28"/>
  <c r="AV84" i="28"/>
  <c r="AR84" i="28"/>
  <c r="AN84" i="28"/>
  <c r="AJ84" i="28"/>
  <c r="BC84" i="28"/>
  <c r="AU84" i="28"/>
  <c r="AO84" i="28"/>
  <c r="AI84" i="28"/>
  <c r="R84" i="28"/>
  <c r="BB84" i="28"/>
  <c r="AT84" i="28"/>
  <c r="AM84" i="28"/>
  <c r="AY84" i="28"/>
  <c r="AQ84" i="28"/>
  <c r="AL84" i="28"/>
  <c r="P84" i="28"/>
  <c r="AX84" i="28"/>
  <c r="AP84" i="28"/>
  <c r="AK84" i="28"/>
  <c r="BA88" i="28"/>
  <c r="AW88" i="28"/>
  <c r="AS88" i="28"/>
  <c r="AO88" i="28"/>
  <c r="AK88" i="28"/>
  <c r="P88" i="28"/>
  <c r="BD88" i="28"/>
  <c r="AZ88" i="28"/>
  <c r="AV88" i="28"/>
  <c r="AR88" i="28"/>
  <c r="AN88" i="28"/>
  <c r="AJ88" i="28"/>
  <c r="BC88" i="28"/>
  <c r="AU88" i="28"/>
  <c r="AM88" i="28"/>
  <c r="BB88" i="28"/>
  <c r="AT88" i="28"/>
  <c r="AL88" i="28"/>
  <c r="AY88" i="28"/>
  <c r="AQ88" i="28"/>
  <c r="AI88" i="28"/>
  <c r="R88" i="28"/>
  <c r="AX88" i="28"/>
  <c r="AP88" i="28"/>
  <c r="BC92" i="28"/>
  <c r="AY92" i="28"/>
  <c r="AU92" i="28"/>
  <c r="AQ92" i="28"/>
  <c r="AM92" i="28"/>
  <c r="AI92" i="28"/>
  <c r="BA92" i="28"/>
  <c r="AW92" i="28"/>
  <c r="AS92" i="28"/>
  <c r="AO92" i="28"/>
  <c r="AK92" i="28"/>
  <c r="BD92" i="28"/>
  <c r="AZ92" i="28"/>
  <c r="AV92" i="28"/>
  <c r="AR92" i="28"/>
  <c r="AN92" i="28"/>
  <c r="AJ92" i="28"/>
  <c r="AX92" i="28"/>
  <c r="AT92" i="28"/>
  <c r="AP92" i="28"/>
  <c r="BB92" i="28"/>
  <c r="AL92" i="28"/>
  <c r="BC96" i="28"/>
  <c r="AY96" i="28"/>
  <c r="AU96" i="28"/>
  <c r="AQ96" i="28"/>
  <c r="AM96" i="28"/>
  <c r="AI96" i="28"/>
  <c r="BB96" i="28"/>
  <c r="AX96" i="28"/>
  <c r="AT96" i="28"/>
  <c r="AP96" i="28"/>
  <c r="AL96" i="28"/>
  <c r="BA96" i="28"/>
  <c r="AS96" i="28"/>
  <c r="AK96" i="28"/>
  <c r="AZ96" i="28"/>
  <c r="AR96" i="28"/>
  <c r="AJ96" i="28"/>
  <c r="AW96" i="28"/>
  <c r="AO96" i="28"/>
  <c r="BD96" i="28"/>
  <c r="AV96" i="28"/>
  <c r="AN96" i="28"/>
  <c r="BC100" i="28"/>
  <c r="AY100" i="28"/>
  <c r="AU100" i="28"/>
  <c r="AQ100" i="28"/>
  <c r="AM100" i="28"/>
  <c r="AI100" i="28"/>
  <c r="BB100" i="28"/>
  <c r="AX100" i="28"/>
  <c r="AT100" i="28"/>
  <c r="AP100" i="28"/>
  <c r="AL100" i="28"/>
  <c r="BA100" i="28"/>
  <c r="AS100" i="28"/>
  <c r="AK100" i="28"/>
  <c r="AZ100" i="28"/>
  <c r="AR100" i="28"/>
  <c r="AJ100" i="28"/>
  <c r="AW100" i="28"/>
  <c r="AO100" i="28"/>
  <c r="BD100" i="28"/>
  <c r="AV100" i="28"/>
  <c r="AN100" i="28"/>
  <c r="BD104" i="28"/>
  <c r="AZ104" i="28"/>
  <c r="AV104" i="28"/>
  <c r="AR104" i="28"/>
  <c r="AN104" i="28"/>
  <c r="AJ104" i="28"/>
  <c r="BC104" i="28"/>
  <c r="AY104" i="28"/>
  <c r="AU104" i="28"/>
  <c r="AQ104" i="28"/>
  <c r="AM104" i="28"/>
  <c r="AI104" i="28"/>
  <c r="BB104" i="28"/>
  <c r="AX104" i="28"/>
  <c r="AT104" i="28"/>
  <c r="AP104" i="28"/>
  <c r="AL104" i="28"/>
  <c r="AS104" i="28"/>
  <c r="AO104" i="28"/>
  <c r="BA104" i="28"/>
  <c r="AK104" i="28"/>
  <c r="AW104" i="28"/>
  <c r="BA108" i="28"/>
  <c r="AW108" i="28"/>
  <c r="AS108" i="28"/>
  <c r="AO108" i="28"/>
  <c r="AK108" i="28"/>
  <c r="BD108" i="28"/>
  <c r="AZ108" i="28"/>
  <c r="AV108" i="28"/>
  <c r="AR108" i="28"/>
  <c r="AN108" i="28"/>
  <c r="AJ108" i="28"/>
  <c r="BC108" i="28"/>
  <c r="AY108" i="28"/>
  <c r="AU108" i="28"/>
  <c r="AQ108" i="28"/>
  <c r="AM108" i="28"/>
  <c r="AI108" i="28"/>
  <c r="BB108" i="28"/>
  <c r="AX108" i="28"/>
  <c r="AT108" i="28"/>
  <c r="AP108" i="28"/>
  <c r="AL108" i="28"/>
  <c r="BC112" i="28"/>
  <c r="AY112" i="28"/>
  <c r="AU112" i="28"/>
  <c r="AQ112" i="28"/>
  <c r="AM112" i="28"/>
  <c r="AI112" i="28"/>
  <c r="BB112" i="28"/>
  <c r="AX112" i="28"/>
  <c r="AT112" i="28"/>
  <c r="AP112" i="28"/>
  <c r="AL112" i="28"/>
  <c r="BA112" i="28"/>
  <c r="AW112" i="28"/>
  <c r="AS112" i="28"/>
  <c r="AO112" i="28"/>
  <c r="AK112" i="28"/>
  <c r="BD112" i="28"/>
  <c r="AZ112" i="28"/>
  <c r="AV112" i="28"/>
  <c r="AR112" i="28"/>
  <c r="AN112" i="28"/>
  <c r="AJ112" i="28"/>
  <c r="BC65" i="28"/>
  <c r="AY65" i="28"/>
  <c r="R8" i="30" s="1"/>
  <c r="AU65" i="28"/>
  <c r="AQ65" i="28"/>
  <c r="AM65" i="28"/>
  <c r="AI65" i="28"/>
  <c r="B8" i="30" s="1"/>
  <c r="BB65" i="28"/>
  <c r="AX65" i="28"/>
  <c r="AT65" i="28"/>
  <c r="AP65" i="28"/>
  <c r="AL65" i="28"/>
  <c r="BA65" i="28"/>
  <c r="AW65" i="28"/>
  <c r="AS65" i="28"/>
  <c r="L8" i="30" s="1"/>
  <c r="AO65" i="28"/>
  <c r="AK65" i="28"/>
  <c r="BD65" i="28"/>
  <c r="AZ65" i="28"/>
  <c r="S8" i="30" s="1"/>
  <c r="AV65" i="28"/>
  <c r="AR65" i="28"/>
  <c r="AN65" i="28"/>
  <c r="AJ65" i="28"/>
  <c r="BA69" i="28"/>
  <c r="AW69" i="28"/>
  <c r="AS69" i="28"/>
  <c r="AO69" i="28"/>
  <c r="AK69" i="28"/>
  <c r="BD69" i="28"/>
  <c r="AZ69" i="28"/>
  <c r="AV69" i="28"/>
  <c r="AR69" i="28"/>
  <c r="AN69" i="28"/>
  <c r="AJ69" i="28"/>
  <c r="AY69" i="28"/>
  <c r="AQ69" i="28"/>
  <c r="AI69" i="28"/>
  <c r="AX69" i="28"/>
  <c r="AP69" i="28"/>
  <c r="BC69" i="28"/>
  <c r="AU69" i="28"/>
  <c r="AM69" i="28"/>
  <c r="BB69" i="28"/>
  <c r="AT69" i="28"/>
  <c r="AL69" i="28"/>
  <c r="BB73" i="28"/>
  <c r="AX73" i="28"/>
  <c r="AT73" i="28"/>
  <c r="AP73" i="28"/>
  <c r="AL73" i="28"/>
  <c r="BA73" i="28"/>
  <c r="AW73" i="28"/>
  <c r="AS73" i="28"/>
  <c r="AO73" i="28"/>
  <c r="AK73" i="28"/>
  <c r="BD73" i="28"/>
  <c r="AZ73" i="28"/>
  <c r="AV73" i="28"/>
  <c r="AR73" i="28"/>
  <c r="AN73" i="28"/>
  <c r="AJ73" i="28"/>
  <c r="BC73" i="28"/>
  <c r="AM73" i="28"/>
  <c r="AY73" i="28"/>
  <c r="AI73" i="28"/>
  <c r="AU73" i="28"/>
  <c r="AQ73" i="28"/>
  <c r="BC77" i="28"/>
  <c r="AY77" i="28"/>
  <c r="AU77" i="28"/>
  <c r="AQ77" i="28"/>
  <c r="AM77" i="28"/>
  <c r="AI77" i="28"/>
  <c r="BB77" i="28"/>
  <c r="AX77" i="28"/>
  <c r="AT77" i="28"/>
  <c r="AP77" i="28"/>
  <c r="AL77" i="28"/>
  <c r="BA77" i="28"/>
  <c r="AW77" i="28"/>
  <c r="AS77" i="28"/>
  <c r="AO77" i="28"/>
  <c r="AK77" i="28"/>
  <c r="BD77" i="28"/>
  <c r="AZ77" i="28"/>
  <c r="AV77" i="28"/>
  <c r="AR77" i="28"/>
  <c r="AN77" i="28"/>
  <c r="AJ77" i="28"/>
  <c r="BC81" i="28"/>
  <c r="AY81" i="28"/>
  <c r="AU81" i="28"/>
  <c r="AQ81" i="28"/>
  <c r="AM81" i="28"/>
  <c r="AI81" i="28"/>
  <c r="BB81" i="28"/>
  <c r="AX81" i="28"/>
  <c r="AT81" i="28"/>
  <c r="AP81" i="28"/>
  <c r="AL81" i="28"/>
  <c r="BA81" i="28"/>
  <c r="AW81" i="28"/>
  <c r="AS81" i="28"/>
  <c r="AO81" i="28"/>
  <c r="AK81" i="28"/>
  <c r="BD81" i="28"/>
  <c r="AZ81" i="28"/>
  <c r="AV81" i="28"/>
  <c r="AR81" i="28"/>
  <c r="AN81" i="28"/>
  <c r="AJ81" i="28"/>
  <c r="BA85" i="28"/>
  <c r="AW85" i="28"/>
  <c r="AS85" i="28"/>
  <c r="AO85" i="28"/>
  <c r="AK85" i="28"/>
  <c r="P85" i="28"/>
  <c r="BD85" i="28"/>
  <c r="AZ85" i="28"/>
  <c r="AV85" i="28"/>
  <c r="AR85" i="28"/>
  <c r="AN85" i="28"/>
  <c r="AJ85" i="28"/>
  <c r="AY85" i="28"/>
  <c r="AQ85" i="28"/>
  <c r="AI85" i="28"/>
  <c r="R85" i="28"/>
  <c r="AX85" i="28"/>
  <c r="AP85" i="28"/>
  <c r="BC85" i="28"/>
  <c r="AU85" i="28"/>
  <c r="AM85" i="28"/>
  <c r="BB85" i="28"/>
  <c r="AT85" i="28"/>
  <c r="AL85" i="28"/>
  <c r="BC89" i="28"/>
  <c r="AY89" i="28"/>
  <c r="AU89" i="28"/>
  <c r="AQ89" i="28"/>
  <c r="AM89" i="28"/>
  <c r="AI89" i="28"/>
  <c r="R89" i="28"/>
  <c r="BA89" i="28"/>
  <c r="AW89" i="28"/>
  <c r="AS89" i="28"/>
  <c r="AO89" i="28"/>
  <c r="AK89" i="28"/>
  <c r="P89" i="28"/>
  <c r="BD89" i="28"/>
  <c r="AZ89" i="28"/>
  <c r="AV89" i="28"/>
  <c r="AR89" i="28"/>
  <c r="AN89" i="28"/>
  <c r="AJ89" i="28"/>
  <c r="BB89" i="28"/>
  <c r="AL89" i="28"/>
  <c r="AX89" i="28"/>
  <c r="AT89" i="28"/>
  <c r="AP89" i="28"/>
  <c r="BC93" i="28"/>
  <c r="AY93" i="28"/>
  <c r="AU93" i="28"/>
  <c r="AQ93" i="28"/>
  <c r="AM93" i="28"/>
  <c r="AI93" i="28"/>
  <c r="BA93" i="28"/>
  <c r="AW93" i="28"/>
  <c r="AS93" i="28"/>
  <c r="AO93" i="28"/>
  <c r="AK93" i="28"/>
  <c r="BD93" i="28"/>
  <c r="AZ93" i="28"/>
  <c r="AV93" i="28"/>
  <c r="AR93" i="28"/>
  <c r="AN93" i="28"/>
  <c r="AJ93" i="28"/>
  <c r="BB93" i="28"/>
  <c r="AL93" i="28"/>
  <c r="AX93" i="28"/>
  <c r="AT93" i="28"/>
  <c r="AP93" i="28"/>
  <c r="BC97" i="28"/>
  <c r="AY97" i="28"/>
  <c r="AU97" i="28"/>
  <c r="AQ97" i="28"/>
  <c r="AM97" i="28"/>
  <c r="AI97" i="28"/>
  <c r="BB97" i="28"/>
  <c r="AX97" i="28"/>
  <c r="AT97" i="28"/>
  <c r="AP97" i="28"/>
  <c r="AL97" i="28"/>
  <c r="AW97" i="28"/>
  <c r="AO97" i="28"/>
  <c r="BD97" i="28"/>
  <c r="AV97" i="28"/>
  <c r="AN97" i="28"/>
  <c r="BA97" i="28"/>
  <c r="AS97" i="28"/>
  <c r="AK97" i="28"/>
  <c r="AZ97" i="28"/>
  <c r="AR97" i="28"/>
  <c r="AJ97" i="28"/>
  <c r="BC101" i="28"/>
  <c r="AY101" i="28"/>
  <c r="AU101" i="28"/>
  <c r="AQ101" i="28"/>
  <c r="AM101" i="28"/>
  <c r="AI101" i="28"/>
  <c r="BB101" i="28"/>
  <c r="AX101" i="28"/>
  <c r="AT101" i="28"/>
  <c r="AP101" i="28"/>
  <c r="AL101" i="28"/>
  <c r="AW101" i="28"/>
  <c r="AO101" i="28"/>
  <c r="BD101" i="28"/>
  <c r="AV101" i="28"/>
  <c r="AN101" i="28"/>
  <c r="BA101" i="28"/>
  <c r="AS101" i="28"/>
  <c r="AK101" i="28"/>
  <c r="AZ101" i="28"/>
  <c r="AR101" i="28"/>
  <c r="AJ101" i="28"/>
  <c r="BD105" i="28"/>
  <c r="AZ105" i="28"/>
  <c r="AV105" i="28"/>
  <c r="AR105" i="28"/>
  <c r="AN105" i="28"/>
  <c r="AJ105" i="28"/>
  <c r="BC105" i="28"/>
  <c r="AY105" i="28"/>
  <c r="AU105" i="28"/>
  <c r="AQ105" i="28"/>
  <c r="AM105" i="28"/>
  <c r="AI105" i="28"/>
  <c r="BB105" i="28"/>
  <c r="AX105" i="28"/>
  <c r="AT105" i="28"/>
  <c r="AP105" i="28"/>
  <c r="AL105" i="28"/>
  <c r="AW105" i="28"/>
  <c r="AS105" i="28"/>
  <c r="AO105" i="28"/>
  <c r="BA105" i="28"/>
  <c r="AK105" i="28"/>
  <c r="BA109" i="28"/>
  <c r="AW109" i="28"/>
  <c r="AS109" i="28"/>
  <c r="AO109" i="28"/>
  <c r="AK109" i="28"/>
  <c r="BD109" i="28"/>
  <c r="AZ109" i="28"/>
  <c r="AV109" i="28"/>
  <c r="AR109" i="28"/>
  <c r="AN109" i="28"/>
  <c r="AJ109" i="28"/>
  <c r="BC109" i="28"/>
  <c r="AY109" i="28"/>
  <c r="AU109" i="28"/>
  <c r="AQ109" i="28"/>
  <c r="AM109" i="28"/>
  <c r="AI109" i="28"/>
  <c r="BB109" i="28"/>
  <c r="AX109" i="28"/>
  <c r="AT109" i="28"/>
  <c r="AP109" i="28"/>
  <c r="AL109" i="28"/>
  <c r="BC113" i="28"/>
  <c r="AY113" i="28"/>
  <c r="AU113" i="28"/>
  <c r="AQ113" i="28"/>
  <c r="AM113" i="28"/>
  <c r="AI113" i="28"/>
  <c r="BB113" i="28"/>
  <c r="AX113" i="28"/>
  <c r="AT113" i="28"/>
  <c r="AP113" i="28"/>
  <c r="AL113" i="28"/>
  <c r="BA113" i="28"/>
  <c r="AW113" i="28"/>
  <c r="AS113" i="28"/>
  <c r="AO113" i="28"/>
  <c r="AK113" i="28"/>
  <c r="BD113" i="28"/>
  <c r="AZ113" i="28"/>
  <c r="AV113" i="28"/>
  <c r="AR113" i="28"/>
  <c r="AN113" i="28"/>
  <c r="AJ113" i="28"/>
  <c r="BC62" i="28"/>
  <c r="AY62" i="28"/>
  <c r="AU62" i="28"/>
  <c r="N8" i="30" s="1"/>
  <c r="AQ62" i="28"/>
  <c r="AM62" i="28"/>
  <c r="AI62" i="28"/>
  <c r="BB62" i="28"/>
  <c r="U8" i="30" s="1"/>
  <c r="AX62" i="28"/>
  <c r="AT62" i="28"/>
  <c r="AP62" i="28"/>
  <c r="AL62" i="28"/>
  <c r="BA62" i="28"/>
  <c r="AW62" i="28"/>
  <c r="AS62" i="28"/>
  <c r="AO62" i="28"/>
  <c r="AK62" i="28"/>
  <c r="BD62" i="28"/>
  <c r="AZ62" i="28"/>
  <c r="AV62" i="28"/>
  <c r="AR62" i="28"/>
  <c r="AN62" i="28"/>
  <c r="AJ62" i="28"/>
  <c r="BC66" i="28"/>
  <c r="AY66" i="28"/>
  <c r="AU66" i="28"/>
  <c r="AQ66" i="28"/>
  <c r="AM66" i="28"/>
  <c r="AI66" i="28"/>
  <c r="BB66" i="28"/>
  <c r="AX66" i="28"/>
  <c r="AT66" i="28"/>
  <c r="AP66" i="28"/>
  <c r="AL66" i="28"/>
  <c r="BA66" i="28"/>
  <c r="AW66" i="28"/>
  <c r="AS66" i="28"/>
  <c r="AO66" i="28"/>
  <c r="AK66" i="28"/>
  <c r="BD66" i="28"/>
  <c r="AZ66" i="28"/>
  <c r="AV66" i="28"/>
  <c r="AR66" i="28"/>
  <c r="AN66" i="28"/>
  <c r="AJ66" i="28"/>
  <c r="BA70" i="28"/>
  <c r="AW70" i="28"/>
  <c r="AS70" i="28"/>
  <c r="AO70" i="28"/>
  <c r="AK70" i="28"/>
  <c r="BD70" i="28"/>
  <c r="AZ70" i="28"/>
  <c r="AV70" i="28"/>
  <c r="AR70" i="28"/>
  <c r="AN70" i="28"/>
  <c r="AJ70" i="28"/>
  <c r="BC70" i="28"/>
  <c r="AU70" i="28"/>
  <c r="AM70" i="28"/>
  <c r="BB70" i="28"/>
  <c r="AT70" i="28"/>
  <c r="AL70" i="28"/>
  <c r="AY70" i="28"/>
  <c r="AQ70" i="28"/>
  <c r="AI70" i="28"/>
  <c r="AX70" i="28"/>
  <c r="AP70" i="28"/>
  <c r="BB74" i="28"/>
  <c r="AX74" i="28"/>
  <c r="AT74" i="28"/>
  <c r="AP74" i="28"/>
  <c r="AL74" i="28"/>
  <c r="BA74" i="28"/>
  <c r="AW74" i="28"/>
  <c r="AS74" i="28"/>
  <c r="AO74" i="28"/>
  <c r="AK74" i="28"/>
  <c r="BD74" i="28"/>
  <c r="AZ74" i="28"/>
  <c r="AV74" i="28"/>
  <c r="AR74" i="28"/>
  <c r="AN74" i="28"/>
  <c r="AJ74" i="28"/>
  <c r="AQ74" i="28"/>
  <c r="BC74" i="28"/>
  <c r="AM74" i="28"/>
  <c r="AY74" i="28"/>
  <c r="AI74" i="28"/>
  <c r="AU74" i="28"/>
  <c r="BC78" i="28"/>
  <c r="AY78" i="28"/>
  <c r="AU78" i="28"/>
  <c r="AQ78" i="28"/>
  <c r="AM78" i="28"/>
  <c r="AI78" i="28"/>
  <c r="BB78" i="28"/>
  <c r="AX78" i="28"/>
  <c r="AT78" i="28"/>
  <c r="AP78" i="28"/>
  <c r="AL78" i="28"/>
  <c r="BA78" i="28"/>
  <c r="AW78" i="28"/>
  <c r="AS78" i="28"/>
  <c r="AO78" i="28"/>
  <c r="AK78" i="28"/>
  <c r="BD78" i="28"/>
  <c r="AZ78" i="28"/>
  <c r="AV78" i="28"/>
  <c r="AR78" i="28"/>
  <c r="AN78" i="28"/>
  <c r="AJ78" i="28"/>
  <c r="BC82" i="28"/>
  <c r="AY82" i="28"/>
  <c r="AU82" i="28"/>
  <c r="AQ82" i="28"/>
  <c r="AM82" i="28"/>
  <c r="AI82" i="28"/>
  <c r="BB82" i="28"/>
  <c r="AX82" i="28"/>
  <c r="AT82" i="28"/>
  <c r="AP82" i="28"/>
  <c r="AL82" i="28"/>
  <c r="BA82" i="28"/>
  <c r="AW82" i="28"/>
  <c r="AS82" i="28"/>
  <c r="AO82" i="28"/>
  <c r="AK82" i="28"/>
  <c r="BD82" i="28"/>
  <c r="AZ82" i="28"/>
  <c r="AV82" i="28"/>
  <c r="AR82" i="28"/>
  <c r="AN82" i="28"/>
  <c r="AJ82" i="28"/>
  <c r="BA86" i="28"/>
  <c r="AW86" i="28"/>
  <c r="AS86" i="28"/>
  <c r="AO86" i="28"/>
  <c r="AK86" i="28"/>
  <c r="P86" i="28"/>
  <c r="BD86" i="28"/>
  <c r="AZ86" i="28"/>
  <c r="AV86" i="28"/>
  <c r="AR86" i="28"/>
  <c r="AN86" i="28"/>
  <c r="AJ86" i="28"/>
  <c r="BC86" i="28"/>
  <c r="AU86" i="28"/>
  <c r="AM86" i="28"/>
  <c r="BB86" i="28"/>
  <c r="AT86" i="28"/>
  <c r="AL86" i="28"/>
  <c r="AY86" i="28"/>
  <c r="AQ86" i="28"/>
  <c r="AI86" i="28"/>
  <c r="R86" i="28"/>
  <c r="AX86" i="28"/>
  <c r="AP86" i="28"/>
  <c r="BC90" i="28"/>
  <c r="AY90" i="28"/>
  <c r="AU90" i="28"/>
  <c r="AQ90" i="28"/>
  <c r="AM90" i="28"/>
  <c r="AI90" i="28"/>
  <c r="R90" i="28"/>
  <c r="BA90" i="28"/>
  <c r="AW90" i="28"/>
  <c r="AS90" i="28"/>
  <c r="AO90" i="28"/>
  <c r="AK90" i="28"/>
  <c r="P90" i="28"/>
  <c r="BD90" i="28"/>
  <c r="AZ90" i="28"/>
  <c r="AV90" i="28"/>
  <c r="AR90" i="28"/>
  <c r="AN90" i="28"/>
  <c r="AJ90" i="28"/>
  <c r="AP90" i="28"/>
  <c r="BB90" i="28"/>
  <c r="AL90" i="28"/>
  <c r="AX90" i="28"/>
  <c r="AT90" i="28"/>
  <c r="BC94" i="28"/>
  <c r="AY94" i="28"/>
  <c r="AU94" i="28"/>
  <c r="AQ94" i="28"/>
  <c r="AM94" i="28"/>
  <c r="AI94" i="28"/>
  <c r="BA94" i="28"/>
  <c r="AW94" i="28"/>
  <c r="AS94" i="28"/>
  <c r="AO94" i="28"/>
  <c r="AK94" i="28"/>
  <c r="BD94" i="28"/>
  <c r="AZ94" i="28"/>
  <c r="AV94" i="28"/>
  <c r="AR94" i="28"/>
  <c r="AN94" i="28"/>
  <c r="AJ94" i="28"/>
  <c r="AP94" i="28"/>
  <c r="BB94" i="28"/>
  <c r="AL94" i="28"/>
  <c r="AX94" i="28"/>
  <c r="AT94" i="28"/>
  <c r="BC98" i="28"/>
  <c r="AY98" i="28"/>
  <c r="AU98" i="28"/>
  <c r="AQ98" i="28"/>
  <c r="AM98" i="28"/>
  <c r="AI98" i="28"/>
  <c r="BB98" i="28"/>
  <c r="AX98" i="28"/>
  <c r="AT98" i="28"/>
  <c r="AP98" i="28"/>
  <c r="AL98" i="28"/>
  <c r="BA98" i="28"/>
  <c r="AS98" i="28"/>
  <c r="AK98" i="28"/>
  <c r="AZ98" i="28"/>
  <c r="AR98" i="28"/>
  <c r="AJ98" i="28"/>
  <c r="AW98" i="28"/>
  <c r="AO98" i="28"/>
  <c r="BD98" i="28"/>
  <c r="AV98" i="28"/>
  <c r="AN98" i="28"/>
  <c r="BD102" i="28"/>
  <c r="AZ102" i="28"/>
  <c r="AV102" i="28"/>
  <c r="AR102" i="28"/>
  <c r="AN102" i="28"/>
  <c r="AJ102" i="28"/>
  <c r="BC102" i="28"/>
  <c r="AY102" i="28"/>
  <c r="AU102" i="28"/>
  <c r="AQ102" i="28"/>
  <c r="AM102" i="28"/>
  <c r="AI102" i="28"/>
  <c r="BB102" i="28"/>
  <c r="AX102" i="28"/>
  <c r="AT102" i="28"/>
  <c r="AP102" i="28"/>
  <c r="AL102" i="28"/>
  <c r="BA102" i="28"/>
  <c r="AK102" i="28"/>
  <c r="AW102" i="28"/>
  <c r="AS102" i="28"/>
  <c r="AO102" i="28"/>
  <c r="BA106" i="28"/>
  <c r="AW106" i="28"/>
  <c r="AS106" i="28"/>
  <c r="AO106" i="28"/>
  <c r="AK106" i="28"/>
  <c r="BD106" i="28"/>
  <c r="AZ106" i="28"/>
  <c r="AV106" i="28"/>
  <c r="AR106" i="28"/>
  <c r="AN106" i="28"/>
  <c r="AJ106" i="28"/>
  <c r="BC106" i="28"/>
  <c r="AY106" i="28"/>
  <c r="AU106" i="28"/>
  <c r="AQ106" i="28"/>
  <c r="AM106" i="28"/>
  <c r="AI106" i="28"/>
  <c r="BB106" i="28"/>
  <c r="AX106" i="28"/>
  <c r="AT106" i="28"/>
  <c r="AP106" i="28"/>
  <c r="AL106" i="28"/>
  <c r="BA110" i="28"/>
  <c r="AW110" i="28"/>
  <c r="AS110" i="28"/>
  <c r="AO110" i="28"/>
  <c r="AK110" i="28"/>
  <c r="BD110" i="28"/>
  <c r="AZ110" i="28"/>
  <c r="AV110" i="28"/>
  <c r="AR110" i="28"/>
  <c r="AN110" i="28"/>
  <c r="AJ110" i="28"/>
  <c r="BC110" i="28"/>
  <c r="AY110" i="28"/>
  <c r="AU110" i="28"/>
  <c r="AQ110" i="28"/>
  <c r="AM110" i="28"/>
  <c r="AI110" i="28"/>
  <c r="BB110" i="28"/>
  <c r="AX110" i="28"/>
  <c r="AT110" i="28"/>
  <c r="AP110" i="28"/>
  <c r="AL110" i="28"/>
  <c r="J10" i="31"/>
  <c r="AF53" i="29"/>
  <c r="AB53" i="29"/>
  <c r="X53" i="29"/>
  <c r="AE53" i="29"/>
  <c r="AA53" i="29"/>
  <c r="W53" i="29"/>
  <c r="AF57" i="29"/>
  <c r="AB57" i="29"/>
  <c r="X57" i="29"/>
  <c r="AE57" i="29"/>
  <c r="AA57" i="29"/>
  <c r="W57" i="29"/>
  <c r="AF61" i="29"/>
  <c r="AB61" i="29"/>
  <c r="X61" i="29"/>
  <c r="AE61" i="29"/>
  <c r="AA61" i="29"/>
  <c r="W61" i="29"/>
  <c r="AD65" i="29"/>
  <c r="Z65" i="29"/>
  <c r="AF65" i="29"/>
  <c r="AB65" i="29"/>
  <c r="X65" i="29"/>
  <c r="AE65" i="29"/>
  <c r="AA65" i="29"/>
  <c r="W65" i="29"/>
  <c r="AD69" i="29"/>
  <c r="Z69" i="29"/>
  <c r="AF69" i="29"/>
  <c r="AB69" i="29"/>
  <c r="X69" i="29"/>
  <c r="AE69" i="29"/>
  <c r="AA69" i="29"/>
  <c r="W69" i="29"/>
  <c r="AD73" i="29"/>
  <c r="Z73" i="29"/>
  <c r="AF73" i="29"/>
  <c r="AB73" i="29"/>
  <c r="X73" i="29"/>
  <c r="AE73" i="29"/>
  <c r="AA73" i="29"/>
  <c r="W73" i="29"/>
  <c r="AC77" i="29"/>
  <c r="Y77" i="29"/>
  <c r="AF77" i="29"/>
  <c r="AB77" i="29"/>
  <c r="X77" i="29"/>
  <c r="AE77" i="29"/>
  <c r="W77" i="29"/>
  <c r="AA77" i="29"/>
  <c r="Z77" i="29"/>
  <c r="AE81" i="29"/>
  <c r="AA81" i="29"/>
  <c r="W81" i="29"/>
  <c r="AC81" i="29"/>
  <c r="Y81" i="29"/>
  <c r="AF81" i="29"/>
  <c r="AB81" i="29"/>
  <c r="X81" i="29"/>
  <c r="AD81" i="29"/>
  <c r="Z81" i="29"/>
  <c r="AE85" i="29"/>
  <c r="AA85" i="29"/>
  <c r="W85" i="29"/>
  <c r="AC85" i="29"/>
  <c r="Y85" i="29"/>
  <c r="AF85" i="29"/>
  <c r="AB85" i="29"/>
  <c r="X85" i="29"/>
  <c r="AD85" i="29"/>
  <c r="Z85" i="29"/>
  <c r="AC89" i="29"/>
  <c r="AF89" i="29"/>
  <c r="AA89" i="29"/>
  <c r="W89" i="29"/>
  <c r="AE89" i="29"/>
  <c r="AD89" i="29"/>
  <c r="Y89" i="29"/>
  <c r="AB89" i="29"/>
  <c r="X89" i="29"/>
  <c r="Z89" i="29"/>
  <c r="X50" i="29"/>
  <c r="AB50" i="29"/>
  <c r="AF50" i="29"/>
  <c r="X51" i="29"/>
  <c r="AB51" i="29"/>
  <c r="AF51" i="29"/>
  <c r="X52" i="29"/>
  <c r="AB52" i="29"/>
  <c r="AD53" i="29"/>
  <c r="AD55" i="29"/>
  <c r="Z56" i="29"/>
  <c r="AD57" i="29"/>
  <c r="AD59" i="29"/>
  <c r="Z60" i="29"/>
  <c r="AD61" i="29"/>
  <c r="Y63" i="29"/>
  <c r="Y67" i="29"/>
  <c r="Y71" i="29"/>
  <c r="AD77" i="29"/>
  <c r="AF54" i="29"/>
  <c r="AB54" i="29"/>
  <c r="X54" i="29"/>
  <c r="AE54" i="29"/>
  <c r="AA54" i="29"/>
  <c r="W54" i="29"/>
  <c r="AF58" i="29"/>
  <c r="AB58" i="29"/>
  <c r="X58" i="29"/>
  <c r="AE58" i="29"/>
  <c r="AA58" i="29"/>
  <c r="W58" i="29"/>
  <c r="AD62" i="29"/>
  <c r="Z62" i="29"/>
  <c r="AF62" i="29"/>
  <c r="AB62" i="29"/>
  <c r="X62" i="29"/>
  <c r="AE62" i="29"/>
  <c r="AA62" i="29"/>
  <c r="W62" i="29"/>
  <c r="AD66" i="29"/>
  <c r="Z66" i="29"/>
  <c r="AF66" i="29"/>
  <c r="AB66" i="29"/>
  <c r="X66" i="29"/>
  <c r="AE66" i="29"/>
  <c r="AA66" i="29"/>
  <c r="W66" i="29"/>
  <c r="AD70" i="29"/>
  <c r="Z70" i="29"/>
  <c r="AF70" i="29"/>
  <c r="AB70" i="29"/>
  <c r="X70" i="29"/>
  <c r="AE70" i="29"/>
  <c r="AA70" i="29"/>
  <c r="W70" i="29"/>
  <c r="AF74" i="29"/>
  <c r="AD74" i="29"/>
  <c r="Z74" i="29"/>
  <c r="AB74" i="29"/>
  <c r="X74" i="29"/>
  <c r="AE74" i="29"/>
  <c r="AA74" i="29"/>
  <c r="W74" i="29"/>
  <c r="AE78" i="29"/>
  <c r="AA78" i="29"/>
  <c r="AC78" i="29"/>
  <c r="Y78" i="29"/>
  <c r="AF78" i="29"/>
  <c r="AB78" i="29"/>
  <c r="X78" i="29"/>
  <c r="AD78" i="29"/>
  <c r="Z78" i="29"/>
  <c r="W78" i="29"/>
  <c r="AE82" i="29"/>
  <c r="AA82" i="29"/>
  <c r="W82" i="29"/>
  <c r="AC82" i="29"/>
  <c r="Y82" i="29"/>
  <c r="AF82" i="29"/>
  <c r="AB82" i="29"/>
  <c r="X82" i="29"/>
  <c r="AD82" i="29"/>
  <c r="Z82" i="29"/>
  <c r="AE86" i="29"/>
  <c r="AA86" i="29"/>
  <c r="W86" i="29"/>
  <c r="AC86" i="29"/>
  <c r="Y86" i="29"/>
  <c r="AF86" i="29"/>
  <c r="AB86" i="29"/>
  <c r="X86" i="29"/>
  <c r="AD86" i="29"/>
  <c r="Z86" i="29"/>
  <c r="Y50" i="29"/>
  <c r="D8" i="31" s="1"/>
  <c r="AC50" i="29"/>
  <c r="Y51" i="29"/>
  <c r="AC51" i="29"/>
  <c r="Y52" i="29"/>
  <c r="AC52" i="29"/>
  <c r="Y53" i="29"/>
  <c r="AC54" i="29"/>
  <c r="AC56" i="29"/>
  <c r="Y57" i="29"/>
  <c r="AC58" i="29"/>
  <c r="AC60" i="29"/>
  <c r="Y61" i="29"/>
  <c r="Y64" i="29"/>
  <c r="Y68" i="29"/>
  <c r="Y72" i="29"/>
  <c r="AF55" i="29"/>
  <c r="AB55" i="29"/>
  <c r="X55" i="29"/>
  <c r="AE55" i="29"/>
  <c r="AA55" i="29"/>
  <c r="W55" i="29"/>
  <c r="AF59" i="29"/>
  <c r="AB59" i="29"/>
  <c r="X59" i="29"/>
  <c r="AE59" i="29"/>
  <c r="AA59" i="29"/>
  <c r="W59" i="29"/>
  <c r="AD63" i="29"/>
  <c r="Z63" i="29"/>
  <c r="AF63" i="29"/>
  <c r="AB63" i="29"/>
  <c r="X63" i="29"/>
  <c r="AE63" i="29"/>
  <c r="AA63" i="29"/>
  <c r="W63" i="29"/>
  <c r="AD67" i="29"/>
  <c r="Z67" i="29"/>
  <c r="AF67" i="29"/>
  <c r="AB67" i="29"/>
  <c r="X67" i="29"/>
  <c r="AE67" i="29"/>
  <c r="AA67" i="29"/>
  <c r="W67" i="29"/>
  <c r="AD71" i="29"/>
  <c r="Z71" i="29"/>
  <c r="AF71" i="29"/>
  <c r="AB71" i="29"/>
  <c r="X71" i="29"/>
  <c r="AE71" i="29"/>
  <c r="AA71" i="29"/>
  <c r="W71" i="29"/>
  <c r="AC75" i="29"/>
  <c r="Y75" i="29"/>
  <c r="AF75" i="29"/>
  <c r="AB75" i="29"/>
  <c r="X75" i="29"/>
  <c r="AE75" i="29"/>
  <c r="W75" i="29"/>
  <c r="AA75" i="29"/>
  <c r="Z75" i="29"/>
  <c r="AE79" i="29"/>
  <c r="AA79" i="29"/>
  <c r="W79" i="29"/>
  <c r="AC79" i="29"/>
  <c r="Y79" i="29"/>
  <c r="AF79" i="29"/>
  <c r="AB79" i="29"/>
  <c r="X79" i="29"/>
  <c r="Z79" i="29"/>
  <c r="AD79" i="29"/>
  <c r="AE83" i="29"/>
  <c r="AA83" i="29"/>
  <c r="W83" i="29"/>
  <c r="AC83" i="29"/>
  <c r="Y83" i="29"/>
  <c r="AF83" i="29"/>
  <c r="AB83" i="29"/>
  <c r="X83" i="29"/>
  <c r="Z83" i="29"/>
  <c r="AD83" i="29"/>
  <c r="AE87" i="29"/>
  <c r="AA87" i="29"/>
  <c r="W87" i="29"/>
  <c r="AC87" i="29"/>
  <c r="Y87" i="29"/>
  <c r="AF87" i="29"/>
  <c r="AB87" i="29"/>
  <c r="X87" i="29"/>
  <c r="Z87" i="29"/>
  <c r="AD87" i="29"/>
  <c r="Z50" i="29"/>
  <c r="AD50" i="29"/>
  <c r="Z51" i="29"/>
  <c r="AD51" i="29"/>
  <c r="I8" i="31" s="1"/>
  <c r="Z52" i="29"/>
  <c r="Z53" i="29"/>
  <c r="AD54" i="29"/>
  <c r="Z55" i="29"/>
  <c r="Z57" i="29"/>
  <c r="AD58" i="29"/>
  <c r="Z59" i="29"/>
  <c r="Z61" i="29"/>
  <c r="Y65" i="29"/>
  <c r="Y69" i="29"/>
  <c r="Y73" i="29"/>
  <c r="AF52" i="29"/>
  <c r="AE52" i="29"/>
  <c r="AF56" i="29"/>
  <c r="AB56" i="29"/>
  <c r="X56" i="29"/>
  <c r="AE56" i="29"/>
  <c r="AA56" i="29"/>
  <c r="W56" i="29"/>
  <c r="AF60" i="29"/>
  <c r="AB60" i="29"/>
  <c r="X60" i="29"/>
  <c r="AE60" i="29"/>
  <c r="AA60" i="29"/>
  <c r="W60" i="29"/>
  <c r="AD64" i="29"/>
  <c r="Z64" i="29"/>
  <c r="AF64" i="29"/>
  <c r="AB64" i="29"/>
  <c r="X64" i="29"/>
  <c r="AE64" i="29"/>
  <c r="AA64" i="29"/>
  <c r="W64" i="29"/>
  <c r="AD68" i="29"/>
  <c r="Z68" i="29"/>
  <c r="AF68" i="29"/>
  <c r="AB68" i="29"/>
  <c r="X68" i="29"/>
  <c r="AE68" i="29"/>
  <c r="AA68" i="29"/>
  <c r="W68" i="29"/>
  <c r="AD72" i="29"/>
  <c r="Z72" i="29"/>
  <c r="AF72" i="29"/>
  <c r="AB72" i="29"/>
  <c r="X72" i="29"/>
  <c r="AE72" i="29"/>
  <c r="AA72" i="29"/>
  <c r="W72" i="29"/>
  <c r="AC76" i="29"/>
  <c r="Y76" i="29"/>
  <c r="AF76" i="29"/>
  <c r="AB76" i="29"/>
  <c r="X76" i="29"/>
  <c r="AA76" i="29"/>
  <c r="AE76" i="29"/>
  <c r="W76" i="29"/>
  <c r="AD76" i="29"/>
  <c r="AE80" i="29"/>
  <c r="AA80" i="29"/>
  <c r="W80" i="29"/>
  <c r="AC80" i="29"/>
  <c r="Y80" i="29"/>
  <c r="AF80" i="29"/>
  <c r="AB80" i="29"/>
  <c r="X80" i="29"/>
  <c r="AD80" i="29"/>
  <c r="Z80" i="29"/>
  <c r="AE84" i="29"/>
  <c r="AA84" i="29"/>
  <c r="W84" i="29"/>
  <c r="AC84" i="29"/>
  <c r="Y84" i="29"/>
  <c r="AF84" i="29"/>
  <c r="AB84" i="29"/>
  <c r="X84" i="29"/>
  <c r="AD84" i="29"/>
  <c r="Z84" i="29"/>
  <c r="AE88" i="29"/>
  <c r="AA88" i="29"/>
  <c r="W88" i="29"/>
  <c r="AC88" i="29"/>
  <c r="Y88" i="29"/>
  <c r="AF88" i="29"/>
  <c r="AB88" i="29"/>
  <c r="X88" i="29"/>
  <c r="AD88" i="29"/>
  <c r="Z88" i="29"/>
  <c r="W50" i="29"/>
  <c r="AA50" i="29"/>
  <c r="W51" i="29"/>
  <c r="AA51" i="29"/>
  <c r="W52" i="29"/>
  <c r="AA52" i="29"/>
  <c r="AC53" i="29"/>
  <c r="Y54" i="29"/>
  <c r="AC55" i="29"/>
  <c r="Y56" i="29"/>
  <c r="AC57" i="29"/>
  <c r="Y58" i="29"/>
  <c r="AC59" i="29"/>
  <c r="Y60" i="29"/>
  <c r="AC61" i="29"/>
  <c r="Y62" i="29"/>
  <c r="AC65" i="29"/>
  <c r="Y66" i="29"/>
  <c r="AC69" i="29"/>
  <c r="Y70" i="29"/>
  <c r="AC73" i="29"/>
  <c r="Y74" i="29"/>
  <c r="AD75" i="29"/>
  <c r="H8" i="30"/>
  <c r="P8" i="30"/>
  <c r="C8" i="31"/>
  <c r="E8" i="31"/>
  <c r="G8" i="31"/>
  <c r="K8" i="31"/>
  <c r="W8" i="30"/>
  <c r="B8" i="31"/>
  <c r="F8" i="31"/>
  <c r="H8" i="31"/>
  <c r="J8" i="31"/>
  <c r="Z6" i="26"/>
  <c r="AH6" i="26" s="1"/>
  <c r="AJ3" i="26"/>
  <c r="Z13" i="26"/>
  <c r="AH13" i="26" s="1"/>
  <c r="AJ6" i="26"/>
  <c r="Z4" i="26"/>
  <c r="AH4" i="26" s="1"/>
  <c r="Z3" i="26"/>
  <c r="AH3" i="26" s="1"/>
  <c r="Z8" i="26"/>
  <c r="AH8" i="26" s="1"/>
  <c r="AJ13" i="26"/>
  <c r="O2" i="26"/>
  <c r="R9" i="26"/>
  <c r="X9" i="26" s="1"/>
  <c r="AF9" i="26" s="1"/>
  <c r="M1536" i="26"/>
  <c r="U9" i="26" s="1"/>
  <c r="AI9" i="26" s="1"/>
  <c r="R11" i="26"/>
  <c r="X11" i="26" s="1"/>
  <c r="AF11" i="26" s="1"/>
  <c r="M2088" i="26"/>
  <c r="U11" i="26" s="1"/>
  <c r="AI11" i="26" s="1"/>
  <c r="U10" i="26"/>
  <c r="AI10" i="26" s="1"/>
  <c r="R10" i="26"/>
  <c r="R12" i="26"/>
  <c r="X12" i="26" s="1"/>
  <c r="AF12" i="26" s="1"/>
  <c r="M2549" i="26"/>
  <c r="U12" i="26" s="1"/>
  <c r="AI12" i="26" s="1"/>
  <c r="Y6" i="26"/>
  <c r="AG6" i="26" s="1"/>
  <c r="X6" i="26"/>
  <c r="AF6" i="26" s="1"/>
  <c r="AG8" i="26"/>
  <c r="AJ8" i="22"/>
  <c r="AT9" i="22"/>
  <c r="AJ6" i="22"/>
  <c r="AJ9" i="22" s="1"/>
  <c r="AC191" i="23"/>
  <c r="AC195" i="23"/>
  <c r="AC203" i="23"/>
  <c r="AT3" i="22"/>
  <c r="AT8" i="22" s="1"/>
  <c r="AT10" i="22" s="1"/>
  <c r="AC193" i="23"/>
  <c r="AC201" i="23"/>
  <c r="AC263" i="23"/>
  <c r="AC304" i="23"/>
  <c r="AC303" i="23"/>
  <c r="AC307" i="23"/>
  <c r="AC309" i="23"/>
  <c r="AC321" i="23"/>
  <c r="AC323" i="23"/>
  <c r="AC325" i="23"/>
  <c r="AC327" i="23"/>
  <c r="AC329" i="23"/>
  <c r="AC331" i="23"/>
  <c r="AC333" i="23"/>
  <c r="AC332" i="23"/>
  <c r="AC457" i="23"/>
  <c r="AC459" i="23"/>
  <c r="AC461" i="23"/>
  <c r="AC463" i="23"/>
  <c r="AC465" i="23"/>
  <c r="AC467" i="23"/>
  <c r="AC469" i="23"/>
  <c r="AC471" i="23"/>
  <c r="AC388" i="23"/>
  <c r="AC390" i="23"/>
  <c r="AC392" i="23"/>
  <c r="AC394" i="23"/>
  <c r="AC396" i="23"/>
  <c r="AC398" i="23"/>
  <c r="AC400" i="23"/>
  <c r="AC402" i="23"/>
  <c r="AC404" i="23"/>
  <c r="AC406" i="23"/>
  <c r="AC408" i="23"/>
  <c r="AC410" i="23"/>
  <c r="AC412" i="23"/>
  <c r="AC414" i="23"/>
  <c r="AC416" i="23"/>
  <c r="AC418" i="23"/>
  <c r="AC420" i="23"/>
  <c r="AC422" i="23"/>
  <c r="AC424" i="23"/>
  <c r="AC426" i="23"/>
  <c r="AC428" i="23"/>
  <c r="AC430" i="23"/>
  <c r="AC834" i="23"/>
  <c r="AC836" i="23"/>
  <c r="AC838" i="23"/>
  <c r="AC840" i="23"/>
  <c r="AC868" i="23"/>
  <c r="AC719" i="23"/>
  <c r="AC723" i="23"/>
  <c r="AC727" i="23"/>
  <c r="AC718" i="23"/>
  <c r="AC722" i="23"/>
  <c r="AC726" i="23"/>
  <c r="AC730" i="23"/>
  <c r="AC2" i="23"/>
  <c r="AI2" i="23" s="1"/>
  <c r="AC6" i="23"/>
  <c r="AC10" i="23"/>
  <c r="AC14" i="23"/>
  <c r="AC15" i="23"/>
  <c r="AC16" i="23"/>
  <c r="AC17" i="23"/>
  <c r="AC18" i="23"/>
  <c r="AC19" i="23"/>
  <c r="AC20" i="23"/>
  <c r="AC21" i="23"/>
  <c r="AC22" i="23"/>
  <c r="AC23" i="23"/>
  <c r="AC24" i="23"/>
  <c r="AC25" i="23"/>
  <c r="AC26" i="23"/>
  <c r="AC30" i="23"/>
  <c r="AC34" i="23"/>
  <c r="AC74" i="23"/>
  <c r="AI3" i="23" s="1"/>
  <c r="AC75" i="23"/>
  <c r="AC76" i="23"/>
  <c r="AC77" i="23"/>
  <c r="AC78" i="23"/>
  <c r="AC79" i="23"/>
  <c r="AC80" i="23"/>
  <c r="AC81" i="23"/>
  <c r="AC82" i="23"/>
  <c r="AC83" i="23"/>
  <c r="AC84" i="23"/>
  <c r="AC85" i="23"/>
  <c r="AC86" i="23"/>
  <c r="AC87" i="23"/>
  <c r="AC88" i="23"/>
  <c r="AC89" i="23"/>
  <c r="AC90" i="23"/>
  <c r="AC91" i="23"/>
  <c r="AC92" i="23"/>
  <c r="AC93" i="23"/>
  <c r="AC94" i="23"/>
  <c r="AC95" i="23"/>
  <c r="AC96" i="23"/>
  <c r="AC97" i="23"/>
  <c r="AC98" i="23"/>
  <c r="AC99" i="23"/>
  <c r="AC100" i="23"/>
  <c r="AC101" i="23"/>
  <c r="AC102" i="23"/>
  <c r="AC103" i="23"/>
  <c r="AC104" i="23"/>
  <c r="AC105" i="23"/>
  <c r="AC106" i="23"/>
  <c r="AC107" i="23"/>
  <c r="AC108" i="23"/>
  <c r="AC109" i="23"/>
  <c r="AC110" i="23"/>
  <c r="AC111" i="23"/>
  <c r="AC112" i="23"/>
  <c r="AC113" i="23"/>
  <c r="AC114" i="23"/>
  <c r="AC115" i="23"/>
  <c r="AC116" i="23"/>
  <c r="AC117" i="23"/>
  <c r="AC118" i="23"/>
  <c r="AC119" i="23"/>
  <c r="AC120" i="23"/>
  <c r="AC121" i="23"/>
  <c r="AC122" i="23"/>
  <c r="AC123" i="23"/>
  <c r="AC124" i="23"/>
  <c r="AC125" i="23"/>
  <c r="AC126" i="23"/>
  <c r="AC127" i="23"/>
  <c r="AC128" i="23"/>
  <c r="AC129" i="23"/>
  <c r="AC130" i="23"/>
  <c r="AC131" i="23"/>
  <c r="AC132" i="23"/>
  <c r="AC133" i="23"/>
  <c r="AC134" i="23"/>
  <c r="AC138" i="23"/>
  <c r="AC142" i="23"/>
  <c r="AC146" i="23"/>
  <c r="AC147" i="23"/>
  <c r="AC148" i="23"/>
  <c r="AC149" i="23"/>
  <c r="AC150" i="23"/>
  <c r="AC151" i="23"/>
  <c r="AC152" i="23"/>
  <c r="AC153" i="23"/>
  <c r="AC154" i="23"/>
  <c r="AC155" i="23"/>
  <c r="AC156" i="23"/>
  <c r="AC157" i="23"/>
  <c r="AC158" i="23"/>
  <c r="AC162" i="23"/>
  <c r="AC166" i="23"/>
  <c r="AC311" i="23"/>
  <c r="AC315" i="23"/>
  <c r="AC4" i="23"/>
  <c r="AC8" i="23"/>
  <c r="AC12" i="23"/>
  <c r="AC28" i="23"/>
  <c r="AC32" i="23"/>
  <c r="AC36" i="23"/>
  <c r="AC136" i="23"/>
  <c r="AC140" i="23"/>
  <c r="AC144" i="23"/>
  <c r="AC160" i="23"/>
  <c r="AC164" i="23"/>
  <c r="AC168" i="23"/>
  <c r="AC312" i="23"/>
  <c r="AC734" i="23"/>
  <c r="AC738" i="23"/>
  <c r="AC742" i="23"/>
  <c r="AC746" i="23"/>
  <c r="AC750" i="23"/>
  <c r="AI7" i="23" s="1"/>
  <c r="AC754" i="23"/>
  <c r="AC758" i="23"/>
  <c r="AC762" i="23"/>
  <c r="AC766" i="23"/>
  <c r="AC770" i="23"/>
  <c r="AC774" i="23"/>
  <c r="AC778" i="23"/>
  <c r="AC782" i="23"/>
  <c r="AC786" i="23"/>
  <c r="AC790" i="23"/>
  <c r="AC794" i="23"/>
  <c r="AC798" i="23"/>
  <c r="AC802" i="23"/>
  <c r="AC806" i="23"/>
  <c r="AC810" i="23"/>
  <c r="AC814" i="23"/>
  <c r="AC818" i="23"/>
  <c r="AC822" i="23"/>
  <c r="AC826" i="23"/>
  <c r="AC830" i="23"/>
  <c r="AC667" i="23"/>
  <c r="AC671" i="23"/>
  <c r="AC675" i="23"/>
  <c r="AC679" i="23"/>
  <c r="AC683" i="23"/>
  <c r="AC687" i="23"/>
  <c r="AC691" i="23"/>
  <c r="AC695" i="23"/>
  <c r="AC699" i="23"/>
  <c r="AC703" i="23"/>
  <c r="AC707" i="23"/>
  <c r="AC711" i="23"/>
  <c r="AC715" i="23"/>
  <c r="AC731" i="23"/>
  <c r="AC735" i="23"/>
  <c r="AC739" i="23"/>
  <c r="AC743" i="23"/>
  <c r="AC747" i="23"/>
  <c r="AC751" i="23"/>
  <c r="AC755" i="23"/>
  <c r="AC759" i="23"/>
  <c r="AC763" i="23"/>
  <c r="AC767" i="23"/>
  <c r="AC771" i="23"/>
  <c r="AC775" i="23"/>
  <c r="AC779" i="23"/>
  <c r="AC783" i="23"/>
  <c r="AC787" i="23"/>
  <c r="AC791" i="23"/>
  <c r="AC795" i="23"/>
  <c r="AC799" i="23"/>
  <c r="AC803" i="23"/>
  <c r="AC807" i="23"/>
  <c r="AC811" i="23"/>
  <c r="AC815" i="23"/>
  <c r="AC819" i="23"/>
  <c r="AC823" i="23"/>
  <c r="AC827" i="23"/>
  <c r="AC831" i="23"/>
  <c r="AC484" i="23"/>
  <c r="AI8" i="23" s="1"/>
  <c r="AC488" i="23"/>
  <c r="AC492" i="23"/>
  <c r="AC496" i="23"/>
  <c r="AC500" i="23"/>
  <c r="AC504" i="23"/>
  <c r="AC508" i="23"/>
  <c r="AC512" i="23"/>
  <c r="AC516" i="23"/>
  <c r="AC520" i="23"/>
  <c r="AC524" i="23"/>
  <c r="AC528" i="23"/>
  <c r="AC532" i="23"/>
  <c r="AC536" i="23"/>
  <c r="AC540" i="23"/>
  <c r="AC544" i="23"/>
  <c r="AC548" i="23"/>
  <c r="AC552" i="23"/>
  <c r="AC556" i="23"/>
  <c r="AC560" i="23"/>
  <c r="AC564" i="23"/>
  <c r="AC568" i="23"/>
  <c r="AC572" i="23"/>
  <c r="AC576" i="23"/>
  <c r="AC580" i="23"/>
  <c r="AC584" i="23"/>
  <c r="AC588" i="23"/>
  <c r="AC592" i="23"/>
  <c r="AC596" i="23"/>
  <c r="AC600" i="23"/>
  <c r="AC604" i="23"/>
  <c r="AC608" i="23"/>
  <c r="AC612" i="23"/>
  <c r="AC616" i="23"/>
  <c r="AC620" i="23"/>
  <c r="AC624" i="23"/>
  <c r="AC628" i="23"/>
  <c r="AC632" i="23"/>
  <c r="AC636" i="23"/>
  <c r="AC640" i="23"/>
  <c r="AC644" i="23"/>
  <c r="AC648" i="23"/>
  <c r="AC652" i="23"/>
  <c r="AC656" i="23"/>
  <c r="AC660" i="23"/>
  <c r="AC664" i="23"/>
  <c r="AC668" i="23"/>
  <c r="AC672" i="23"/>
  <c r="AC676" i="23"/>
  <c r="AC680" i="23"/>
  <c r="AC684" i="23"/>
  <c r="AC688" i="23"/>
  <c r="AC692" i="23"/>
  <c r="AC696" i="23"/>
  <c r="AC700" i="23"/>
  <c r="AC704" i="23"/>
  <c r="AC708" i="23"/>
  <c r="AC712" i="23"/>
  <c r="AC716" i="23"/>
  <c r="AC720" i="23"/>
  <c r="AC724" i="23"/>
  <c r="AC728" i="23"/>
  <c r="AC732" i="23"/>
  <c r="AC736" i="23"/>
  <c r="AC740" i="23"/>
  <c r="AC744" i="23"/>
  <c r="AC748" i="23"/>
  <c r="AC752" i="23"/>
  <c r="AC756" i="23"/>
  <c r="AC760" i="23"/>
  <c r="AC764" i="23"/>
  <c r="AC768" i="23"/>
  <c r="AC772" i="23"/>
  <c r="AC776" i="23"/>
  <c r="AC780" i="23"/>
  <c r="AC784" i="23"/>
  <c r="AC788" i="23"/>
  <c r="AC792" i="23"/>
  <c r="AC796" i="23"/>
  <c r="AC800" i="23"/>
  <c r="AC804" i="23"/>
  <c r="AC808" i="23"/>
  <c r="AC812" i="23"/>
  <c r="AC816" i="23"/>
  <c r="AC820" i="23"/>
  <c r="AC824" i="23"/>
  <c r="AC828" i="23"/>
  <c r="AC832" i="23"/>
  <c r="AO9" i="22"/>
  <c r="AC485" i="23"/>
  <c r="AC489" i="23"/>
  <c r="AC493" i="23"/>
  <c r="AC497" i="23"/>
  <c r="AC501" i="23"/>
  <c r="AC505" i="23"/>
  <c r="AC509" i="23"/>
  <c r="AC513" i="23"/>
  <c r="AC517" i="23"/>
  <c r="AC521" i="23"/>
  <c r="AC525" i="23"/>
  <c r="AC529" i="23"/>
  <c r="AC533" i="23"/>
  <c r="AC537" i="23"/>
  <c r="AC541" i="23"/>
  <c r="AC545" i="23"/>
  <c r="AC549" i="23"/>
  <c r="AC553" i="23"/>
  <c r="AC557" i="23"/>
  <c r="AC561" i="23"/>
  <c r="AC565" i="23"/>
  <c r="AC569" i="23"/>
  <c r="AC573" i="23"/>
  <c r="AC577" i="23"/>
  <c r="AC581" i="23"/>
  <c r="AC585" i="23"/>
  <c r="AC589" i="23"/>
  <c r="AC593" i="23"/>
  <c r="AC597" i="23"/>
  <c r="AC601" i="23"/>
  <c r="AC605" i="23"/>
  <c r="AC609" i="23"/>
  <c r="AC613" i="23"/>
  <c r="AC617" i="23"/>
  <c r="AC621" i="23"/>
  <c r="AC625" i="23"/>
  <c r="AC629" i="23"/>
  <c r="AC633" i="23"/>
  <c r="AC637" i="23"/>
  <c r="AC641" i="23"/>
  <c r="AC645" i="23"/>
  <c r="AC649" i="23"/>
  <c r="AC653" i="23"/>
  <c r="AC657" i="23"/>
  <c r="AC661" i="23"/>
  <c r="AC665" i="23"/>
  <c r="AC669" i="23"/>
  <c r="AC673" i="23"/>
  <c r="AC677" i="23"/>
  <c r="AC681" i="23"/>
  <c r="AC685" i="23"/>
  <c r="AC689" i="23"/>
  <c r="AC693" i="23"/>
  <c r="AC697" i="23"/>
  <c r="AC701" i="23"/>
  <c r="AC705" i="23"/>
  <c r="AC709" i="23"/>
  <c r="AC713" i="23"/>
  <c r="AC717" i="23"/>
  <c r="AC721" i="23"/>
  <c r="AC725" i="23"/>
  <c r="AC729" i="23"/>
  <c r="AC733" i="23"/>
  <c r="AC737" i="23"/>
  <c r="AC741" i="23"/>
  <c r="AC745" i="23"/>
  <c r="AC749" i="23"/>
  <c r="AC753" i="23"/>
  <c r="AC757" i="23"/>
  <c r="AC761" i="23"/>
  <c r="AC765" i="23"/>
  <c r="AC769" i="23"/>
  <c r="AC773" i="23"/>
  <c r="AC777" i="23"/>
  <c r="AC781" i="23"/>
  <c r="AC785" i="23"/>
  <c r="AC789" i="23"/>
  <c r="AC793" i="23"/>
  <c r="AC797" i="23"/>
  <c r="AC801" i="23"/>
  <c r="AC805" i="23"/>
  <c r="AC809" i="23"/>
  <c r="AC813" i="23"/>
  <c r="AC817" i="23"/>
  <c r="AC821" i="23"/>
  <c r="AC825" i="23"/>
  <c r="AC829" i="23"/>
  <c r="M7" i="6"/>
  <c r="T50" i="10"/>
  <c r="M55" i="6"/>
  <c r="M19" i="6"/>
  <c r="P15" i="5"/>
  <c r="M59" i="6"/>
  <c r="M9" i="7"/>
  <c r="V59" i="6"/>
  <c r="V9" i="7"/>
  <c r="AD59" i="8"/>
  <c r="AD59" i="9"/>
  <c r="AD59" i="7"/>
  <c r="AG61" i="9"/>
  <c r="AG61" i="8"/>
  <c r="AG61" i="7"/>
  <c r="AG63" i="6"/>
  <c r="V47" i="13"/>
  <c r="V47" i="12"/>
  <c r="V47" i="11"/>
  <c r="V47" i="10"/>
  <c r="X49" i="13"/>
  <c r="X49" i="12"/>
  <c r="X49" i="11"/>
  <c r="X49" i="10"/>
  <c r="Q47" i="13"/>
  <c r="Q47" i="12"/>
  <c r="Q47" i="10"/>
  <c r="Q47" i="11"/>
  <c r="Z61" i="9"/>
  <c r="Z61" i="8"/>
  <c r="Z61" i="7"/>
  <c r="Z63" i="6"/>
  <c r="AH59" i="8"/>
  <c r="AH59" i="9"/>
  <c r="AH59" i="7"/>
  <c r="AI60" i="9"/>
  <c r="AI60" i="8"/>
  <c r="AI62" i="6"/>
  <c r="AI60" i="7"/>
  <c r="AJ61" i="9"/>
  <c r="AJ61" i="8"/>
  <c r="AJ63" i="6"/>
  <c r="AJ61" i="7"/>
  <c r="AB59" i="8"/>
  <c r="AB59" i="9"/>
  <c r="AB59" i="7"/>
  <c r="AD60" i="9"/>
  <c r="AD60" i="8"/>
  <c r="AD60" i="7"/>
  <c r="AD62" i="6"/>
  <c r="D28" i="5"/>
  <c r="AL61" i="6" s="1"/>
  <c r="V48" i="13"/>
  <c r="V48" i="12"/>
  <c r="V48" i="10"/>
  <c r="V48" i="11"/>
  <c r="Z47" i="13"/>
  <c r="Z47" i="12"/>
  <c r="Z47" i="11"/>
  <c r="Z47" i="10"/>
  <c r="AA61" i="9"/>
  <c r="AA61" i="8"/>
  <c r="AA63" i="6"/>
  <c r="AA61" i="7"/>
  <c r="AH60" i="9"/>
  <c r="AH60" i="8"/>
  <c r="AH60" i="7"/>
  <c r="AH62" i="6"/>
  <c r="AI61" i="9"/>
  <c r="AI61" i="8"/>
  <c r="AI61" i="7"/>
  <c r="AI63" i="6"/>
  <c r="Y47" i="13"/>
  <c r="Y47" i="12"/>
  <c r="Y47" i="10"/>
  <c r="Y47" i="11"/>
  <c r="AB60" i="9"/>
  <c r="AB60" i="8"/>
  <c r="AB60" i="7"/>
  <c r="AB62" i="6"/>
  <c r="AD61" i="9"/>
  <c r="AD61" i="8"/>
  <c r="AD61" i="7"/>
  <c r="AD63" i="6"/>
  <c r="E28" i="5"/>
  <c r="V49" i="13"/>
  <c r="V49" i="12"/>
  <c r="V49" i="11"/>
  <c r="V49" i="10"/>
  <c r="Z48" i="13"/>
  <c r="Z48" i="12"/>
  <c r="Z48" i="10"/>
  <c r="Z48" i="11"/>
  <c r="U61" i="9"/>
  <c r="U61" i="8"/>
  <c r="U61" i="7"/>
  <c r="U63" i="6"/>
  <c r="T49" i="13"/>
  <c r="T49" i="12"/>
  <c r="T49" i="11"/>
  <c r="T49" i="10"/>
  <c r="AH61" i="9"/>
  <c r="AH61" i="8"/>
  <c r="AH61" i="7"/>
  <c r="AH63" i="6"/>
  <c r="AJ59" i="8"/>
  <c r="AJ63" i="8" s="1"/>
  <c r="AJ9" i="9" s="1"/>
  <c r="AJ59" i="9"/>
  <c r="AJ59" i="7"/>
  <c r="Y48" i="13"/>
  <c r="Y48" i="12"/>
  <c r="Y48" i="10"/>
  <c r="Y48" i="11"/>
  <c r="F18" i="5"/>
  <c r="AG59" i="8"/>
  <c r="AG59" i="9"/>
  <c r="AG59" i="7"/>
  <c r="F28" i="5"/>
  <c r="X47" i="13"/>
  <c r="X47" i="12"/>
  <c r="X47" i="11"/>
  <c r="X47" i="10"/>
  <c r="Z49" i="13"/>
  <c r="Z49" i="12"/>
  <c r="Z49" i="11"/>
  <c r="Z49" i="10"/>
  <c r="V61" i="9"/>
  <c r="V61" i="8"/>
  <c r="V61" i="7"/>
  <c r="V63" i="6"/>
  <c r="W59" i="8"/>
  <c r="W63" i="8" s="1"/>
  <c r="W59" i="9"/>
  <c r="W59" i="7"/>
  <c r="AI59" i="8"/>
  <c r="AI63" i="8" s="1"/>
  <c r="AI59" i="9"/>
  <c r="AI59" i="7"/>
  <c r="AJ60" i="9"/>
  <c r="AJ60" i="8"/>
  <c r="AJ62" i="6"/>
  <c r="AJ60" i="7"/>
  <c r="Y49" i="13"/>
  <c r="Y49" i="12"/>
  <c r="Y49" i="11"/>
  <c r="Y49" i="10"/>
  <c r="P16" i="5"/>
  <c r="N59" i="6"/>
  <c r="N9" i="7"/>
  <c r="T9" i="7" s="1"/>
  <c r="O59" i="6"/>
  <c r="O9" i="7"/>
  <c r="U59" i="6"/>
  <c r="U9" i="7"/>
  <c r="P17" i="5"/>
  <c r="M59" i="8"/>
  <c r="M63" i="8" s="1"/>
  <c r="M59" i="9"/>
  <c r="M59" i="7"/>
  <c r="R59" i="8"/>
  <c r="R63" i="8" s="1"/>
  <c r="R59" i="9"/>
  <c r="R59" i="7"/>
  <c r="AE59" i="8"/>
  <c r="AE59" i="9"/>
  <c r="AE59" i="7"/>
  <c r="AK59" i="8"/>
  <c r="AK63" i="8" s="1"/>
  <c r="AK9" i="9" s="1"/>
  <c r="AK59" i="9"/>
  <c r="AK59" i="7"/>
  <c r="L59" i="8"/>
  <c r="L63" i="8" s="1"/>
  <c r="L59" i="9"/>
  <c r="L59" i="7"/>
  <c r="Q59" i="8"/>
  <c r="Q63" i="8" s="1"/>
  <c r="Q59" i="9"/>
  <c r="Q59" i="7"/>
  <c r="W9" i="7"/>
  <c r="AH9" i="7"/>
  <c r="P59" i="8"/>
  <c r="P63" i="8" s="1"/>
  <c r="P59" i="9"/>
  <c r="P59" i="7"/>
  <c r="U59" i="8"/>
  <c r="U63" i="8" s="1"/>
  <c r="U59" i="9"/>
  <c r="U59" i="7"/>
  <c r="X59" i="8"/>
  <c r="X63" i="8" s="1"/>
  <c r="X59" i="9"/>
  <c r="X59" i="7"/>
  <c r="AC59" i="8"/>
  <c r="AC63" i="8" s="1"/>
  <c r="AC9" i="9" s="1"/>
  <c r="AD9" i="9" s="1"/>
  <c r="AC59" i="9"/>
  <c r="AC59" i="7"/>
  <c r="AF59" i="8"/>
  <c r="AF59" i="9"/>
  <c r="AF59" i="7"/>
  <c r="X9" i="7"/>
  <c r="AC9" i="7"/>
  <c r="AI9" i="7"/>
  <c r="O59" i="8"/>
  <c r="O63" i="8" s="1"/>
  <c r="O9" i="9" s="1"/>
  <c r="O59" i="9"/>
  <c r="O59" i="7"/>
  <c r="S59" i="8"/>
  <c r="S59" i="9"/>
  <c r="S59" i="7"/>
  <c r="Y9" i="7"/>
  <c r="T50" i="11"/>
  <c r="T50" i="12"/>
  <c r="X46" i="11"/>
  <c r="W46" i="11"/>
  <c r="N50" i="10"/>
  <c r="N50" i="11" s="1"/>
  <c r="M46" i="10"/>
  <c r="O46" i="10"/>
  <c r="R46" i="10"/>
  <c r="S46" i="10"/>
  <c r="U46" i="10"/>
  <c r="X46" i="10"/>
  <c r="Y46" i="10"/>
  <c r="W50" i="10"/>
  <c r="M50" i="10"/>
  <c r="M50" i="11" s="1"/>
  <c r="O50" i="10"/>
  <c r="O50" i="11" s="1"/>
  <c r="S50" i="10"/>
  <c r="S50" i="11" s="1"/>
  <c r="U50" i="10"/>
  <c r="U50" i="12" s="1"/>
  <c r="Y50" i="10"/>
  <c r="L46" i="10"/>
  <c r="N46" i="10"/>
  <c r="N51" i="10" s="1"/>
  <c r="N29" i="11" s="1"/>
  <c r="P46" i="10"/>
  <c r="Q46" i="10"/>
  <c r="Q51" i="10" s="1"/>
  <c r="Q43" i="11" s="1"/>
  <c r="T46" i="10"/>
  <c r="T51" i="10" s="1"/>
  <c r="V46" i="10"/>
  <c r="W46" i="10"/>
  <c r="W51" i="10" s="1"/>
  <c r="Z46" i="10"/>
  <c r="W9" i="9"/>
  <c r="Q9" i="9"/>
  <c r="AI9" i="9"/>
  <c r="M9" i="9"/>
  <c r="R9" i="9"/>
  <c r="L9" i="9"/>
  <c r="P9" i="9"/>
  <c r="X9" i="9"/>
  <c r="AG58" i="7"/>
  <c r="AF58" i="7"/>
  <c r="AE58" i="7"/>
  <c r="AA58" i="7"/>
  <c r="AA63" i="7" s="1"/>
  <c r="Z58" i="7"/>
  <c r="Z63" i="7" s="1"/>
  <c r="M74" i="6"/>
  <c r="M72" i="6"/>
  <c r="M69" i="6"/>
  <c r="M8" i="6"/>
  <c r="M16" i="6"/>
  <c r="M24" i="6"/>
  <c r="M27" i="6"/>
  <c r="M29" i="6"/>
  <c r="L59" i="6"/>
  <c r="P59" i="6"/>
  <c r="R59" i="6"/>
  <c r="U60" i="6"/>
  <c r="Z60" i="6"/>
  <c r="AA60" i="6"/>
  <c r="AE60" i="6"/>
  <c r="AE65" i="6" s="1"/>
  <c r="M17" i="6"/>
  <c r="M25" i="6"/>
  <c r="M32" i="6"/>
  <c r="M34" i="6"/>
  <c r="M36" i="6"/>
  <c r="M38" i="6"/>
  <c r="M40" i="6"/>
  <c r="M42" i="6"/>
  <c r="M44" i="6"/>
  <c r="M46" i="6"/>
  <c r="M48" i="6"/>
  <c r="M50" i="6"/>
  <c r="M52" i="6"/>
  <c r="M54" i="6"/>
  <c r="M56" i="6"/>
  <c r="L60" i="6"/>
  <c r="L65" i="6" s="1"/>
  <c r="P60" i="6"/>
  <c r="R60" i="6"/>
  <c r="X60" i="6"/>
  <c r="X65" i="6" s="1"/>
  <c r="AF59" i="6"/>
  <c r="AI60" i="6"/>
  <c r="AI65" i="6" s="1"/>
  <c r="M12" i="6"/>
  <c r="M18" i="6"/>
  <c r="M22" i="6"/>
  <c r="M26" i="6"/>
  <c r="M28" i="6"/>
  <c r="M30" i="6"/>
  <c r="Q59" i="6"/>
  <c r="S59" i="6"/>
  <c r="V60" i="6"/>
  <c r="AF60" i="6"/>
  <c r="AF65" i="6" s="1"/>
  <c r="AJ59" i="6"/>
  <c r="M13" i="6"/>
  <c r="M23" i="6"/>
  <c r="M31" i="6"/>
  <c r="M33" i="6"/>
  <c r="M35" i="6"/>
  <c r="M37" i="6"/>
  <c r="M39" i="6"/>
  <c r="M41" i="6"/>
  <c r="M43" i="6"/>
  <c r="M45" i="6"/>
  <c r="M47" i="6"/>
  <c r="M49" i="6"/>
  <c r="M51" i="6"/>
  <c r="M53" i="6"/>
  <c r="O60" i="6"/>
  <c r="O65" i="6" s="1"/>
  <c r="Q60" i="6"/>
  <c r="Q65" i="6" s="1"/>
  <c r="S60" i="6"/>
  <c r="S65" i="6" s="1"/>
  <c r="W60" i="6"/>
  <c r="W65" i="6" s="1"/>
  <c r="Y60" i="6"/>
  <c r="Z59" i="6"/>
  <c r="Z61" i="6" s="1"/>
  <c r="AA59" i="6"/>
  <c r="AA61" i="6" s="1"/>
  <c r="AC60" i="6"/>
  <c r="AC65" i="6" s="1"/>
  <c r="AH60" i="6"/>
  <c r="AH65" i="6" s="1"/>
  <c r="D36" i="5"/>
  <c r="E35" i="5"/>
  <c r="F35" i="5"/>
  <c r="AI5" i="23" l="1"/>
  <c r="J6" i="31"/>
  <c r="R65" i="6"/>
  <c r="U9" i="9"/>
  <c r="M73" i="6"/>
  <c r="M70" i="6" s="1"/>
  <c r="M76" i="6" s="1"/>
  <c r="P65" i="6"/>
  <c r="AA46" i="10"/>
  <c r="AO8" i="22"/>
  <c r="E10" i="31"/>
  <c r="E6" i="31"/>
  <c r="D10" i="31"/>
  <c r="D6" i="31"/>
  <c r="O10" i="30"/>
  <c r="O6" i="30"/>
  <c r="O8" i="30"/>
  <c r="P10" i="30"/>
  <c r="P6" i="30"/>
  <c r="E10" i="30"/>
  <c r="E6" i="30"/>
  <c r="E8" i="30"/>
  <c r="U10" i="30"/>
  <c r="U6" i="30"/>
  <c r="J10" i="30"/>
  <c r="J6" i="30"/>
  <c r="F10" i="31"/>
  <c r="F6" i="31"/>
  <c r="K10" i="31"/>
  <c r="K6" i="31"/>
  <c r="C10" i="30"/>
  <c r="C6" i="30"/>
  <c r="C8" i="30"/>
  <c r="S10" i="30"/>
  <c r="S6" i="30"/>
  <c r="D10" i="30"/>
  <c r="D6" i="30"/>
  <c r="T10" i="30"/>
  <c r="T6" i="30"/>
  <c r="I10" i="30"/>
  <c r="I6" i="30"/>
  <c r="I8" i="30"/>
  <c r="N10" i="30"/>
  <c r="N6" i="30"/>
  <c r="L8" i="31"/>
  <c r="B10" i="31"/>
  <c r="B6" i="31"/>
  <c r="G10" i="31"/>
  <c r="G6" i="31"/>
  <c r="G10" i="30"/>
  <c r="G6" i="30"/>
  <c r="G8" i="30"/>
  <c r="W10" i="30"/>
  <c r="W6" i="30"/>
  <c r="H10" i="30"/>
  <c r="H6" i="30"/>
  <c r="M10" i="30"/>
  <c r="M6" i="30"/>
  <c r="M8" i="30"/>
  <c r="B6" i="30"/>
  <c r="B10" i="30"/>
  <c r="R10" i="30"/>
  <c r="R6" i="30"/>
  <c r="I10" i="31"/>
  <c r="I6" i="31"/>
  <c r="H10" i="31"/>
  <c r="H6" i="31"/>
  <c r="C10" i="31"/>
  <c r="C6" i="31"/>
  <c r="K10" i="30"/>
  <c r="K6" i="30"/>
  <c r="K8" i="30"/>
  <c r="L6" i="30"/>
  <c r="L10" i="30"/>
  <c r="Q10" i="30"/>
  <c r="Q6" i="30"/>
  <c r="F10" i="30"/>
  <c r="F6" i="30"/>
  <c r="V10" i="30"/>
  <c r="V6" i="30"/>
  <c r="X10" i="26"/>
  <c r="AF10" i="26" s="1"/>
  <c r="AI6" i="23"/>
  <c r="AJ10" i="22"/>
  <c r="AO10" i="22"/>
  <c r="V61" i="6"/>
  <c r="V59" i="9" s="1"/>
  <c r="U65" i="6"/>
  <c r="W24" i="7"/>
  <c r="W19" i="7"/>
  <c r="W16" i="7"/>
  <c r="W7" i="7"/>
  <c r="W30" i="7"/>
  <c r="W25" i="7"/>
  <c r="W22" i="7"/>
  <c r="W17" i="7"/>
  <c r="W14" i="7"/>
  <c r="W12" i="7"/>
  <c r="W10" i="7"/>
  <c r="W8" i="7"/>
  <c r="W5" i="7"/>
  <c r="W23" i="7"/>
  <c r="W20" i="7"/>
  <c r="W15" i="7"/>
  <c r="W6" i="7"/>
  <c r="W21" i="7"/>
  <c r="W18" i="7"/>
  <c r="W13" i="7"/>
  <c r="W11" i="7"/>
  <c r="W31" i="7"/>
  <c r="W32" i="7"/>
  <c r="W37" i="7"/>
  <c r="W46" i="7"/>
  <c r="W51" i="7"/>
  <c r="W52" i="7"/>
  <c r="W45" i="7"/>
  <c r="W29" i="7"/>
  <c r="W35" i="7"/>
  <c r="W36" i="7"/>
  <c r="W50" i="7"/>
  <c r="W55" i="7"/>
  <c r="W40" i="7"/>
  <c r="W56" i="7"/>
  <c r="W49" i="7"/>
  <c r="W34" i="7"/>
  <c r="W39" i="7"/>
  <c r="W28" i="7"/>
  <c r="W54" i="7"/>
  <c r="W43" i="7"/>
  <c r="W44" i="7"/>
  <c r="W53" i="7"/>
  <c r="W27" i="7"/>
  <c r="W33" i="7"/>
  <c r="W42" i="7"/>
  <c r="W48" i="7"/>
  <c r="W41" i="7"/>
  <c r="W47" i="7"/>
  <c r="W38" i="7"/>
  <c r="W26" i="7"/>
  <c r="V59" i="8"/>
  <c r="V63" i="8" s="1"/>
  <c r="V9" i="9" s="1"/>
  <c r="V59" i="7"/>
  <c r="R32" i="7"/>
  <c r="R27" i="7"/>
  <c r="R24" i="7"/>
  <c r="R19" i="7"/>
  <c r="R16" i="7"/>
  <c r="R7" i="7"/>
  <c r="R33" i="7"/>
  <c r="R30" i="7"/>
  <c r="R25" i="7"/>
  <c r="R22" i="7"/>
  <c r="R17" i="7"/>
  <c r="R14" i="7"/>
  <c r="R12" i="7"/>
  <c r="R10" i="7"/>
  <c r="R8" i="7"/>
  <c r="R5" i="7"/>
  <c r="R31" i="7"/>
  <c r="R28" i="7"/>
  <c r="R23" i="7"/>
  <c r="R20" i="7"/>
  <c r="R15" i="7"/>
  <c r="R6" i="7"/>
  <c r="R34" i="7"/>
  <c r="R29" i="7"/>
  <c r="R26" i="7"/>
  <c r="R21" i="7"/>
  <c r="R18" i="7"/>
  <c r="R13" i="7"/>
  <c r="R11" i="7"/>
  <c r="R37" i="7"/>
  <c r="R53" i="7"/>
  <c r="R46" i="7"/>
  <c r="R47" i="7"/>
  <c r="R48" i="7"/>
  <c r="R41" i="7"/>
  <c r="R50" i="7"/>
  <c r="R35" i="7"/>
  <c r="R51" i="7"/>
  <c r="R36" i="7"/>
  <c r="R52" i="7"/>
  <c r="R45" i="7"/>
  <c r="R38" i="7"/>
  <c r="R54" i="7"/>
  <c r="R39" i="7"/>
  <c r="R55" i="7"/>
  <c r="R40" i="7"/>
  <c r="R56" i="7"/>
  <c r="R43" i="7"/>
  <c r="R49" i="7"/>
  <c r="R44" i="7"/>
  <c r="R42" i="7"/>
  <c r="Z52" i="8"/>
  <c r="Z49" i="8"/>
  <c r="Z44" i="8"/>
  <c r="Z41" i="8"/>
  <c r="Z37" i="8"/>
  <c r="Z22" i="8"/>
  <c r="Z54" i="8"/>
  <c r="Z51" i="8"/>
  <c r="Z46" i="8"/>
  <c r="Z43" i="8"/>
  <c r="Z40" i="8"/>
  <c r="Z36" i="8"/>
  <c r="Z34" i="8"/>
  <c r="Z32" i="8"/>
  <c r="Z30" i="8"/>
  <c r="Z28" i="8"/>
  <c r="Z26" i="8"/>
  <c r="Z24" i="8"/>
  <c r="Z21" i="8"/>
  <c r="Z56" i="8"/>
  <c r="Z53" i="8"/>
  <c r="Z48" i="8"/>
  <c r="Z45" i="8"/>
  <c r="Z39" i="8"/>
  <c r="Z55" i="8"/>
  <c r="Z50" i="8"/>
  <c r="Z47" i="8"/>
  <c r="Z42" i="8"/>
  <c r="Z38" i="8"/>
  <c r="Z35" i="8"/>
  <c r="Z33" i="8"/>
  <c r="Z31" i="8"/>
  <c r="Z29" i="8"/>
  <c r="Z27" i="8"/>
  <c r="Z25" i="8"/>
  <c r="Z23" i="8"/>
  <c r="Z12" i="8"/>
  <c r="Z10" i="8"/>
  <c r="Z9" i="8"/>
  <c r="Z7" i="8"/>
  <c r="Z5" i="8"/>
  <c r="Z19" i="8"/>
  <c r="Z17" i="8"/>
  <c r="Z15" i="8"/>
  <c r="Z13" i="8"/>
  <c r="Z11" i="8"/>
  <c r="Z8" i="8"/>
  <c r="Z6" i="8"/>
  <c r="Z20" i="8"/>
  <c r="Z18" i="8"/>
  <c r="Z16" i="8"/>
  <c r="Z14" i="8"/>
  <c r="N29" i="12"/>
  <c r="N29" i="29" s="1"/>
  <c r="N74" i="29" s="1"/>
  <c r="N29" i="13"/>
  <c r="AC30" i="7"/>
  <c r="AC25" i="7"/>
  <c r="AC22" i="7"/>
  <c r="AC17" i="7"/>
  <c r="AC14" i="7"/>
  <c r="AC12" i="7"/>
  <c r="AC10" i="7"/>
  <c r="AC8" i="7"/>
  <c r="AC5" i="7"/>
  <c r="AC23" i="7"/>
  <c r="AC20" i="7"/>
  <c r="AC15" i="7"/>
  <c r="AC6" i="7"/>
  <c r="AC21" i="7"/>
  <c r="AC18" i="7"/>
  <c r="AC13" i="7"/>
  <c r="AC11" i="7"/>
  <c r="AC24" i="7"/>
  <c r="AC19" i="7"/>
  <c r="AC16" i="7"/>
  <c r="AC7" i="7"/>
  <c r="AC35" i="7"/>
  <c r="AC36" i="7"/>
  <c r="AC29" i="7"/>
  <c r="AC39" i="7"/>
  <c r="AC55" i="7"/>
  <c r="AC44" i="7"/>
  <c r="AC41" i="7"/>
  <c r="AC42" i="7"/>
  <c r="AC28" i="7"/>
  <c r="AC34" i="7"/>
  <c r="AC43" i="7"/>
  <c r="AC48" i="7"/>
  <c r="AC45" i="7"/>
  <c r="AC46" i="7"/>
  <c r="AC26" i="7"/>
  <c r="AC27" i="7"/>
  <c r="AC33" i="7"/>
  <c r="AC47" i="7"/>
  <c r="AC52" i="7"/>
  <c r="AC49" i="7"/>
  <c r="AC50" i="7"/>
  <c r="AC31" i="7"/>
  <c r="AC40" i="7"/>
  <c r="AC32" i="7"/>
  <c r="AC56" i="7"/>
  <c r="AC37" i="7"/>
  <c r="AC38" i="7"/>
  <c r="AC51" i="7"/>
  <c r="AC53" i="7"/>
  <c r="AC54" i="7"/>
  <c r="E36" i="5"/>
  <c r="Q48" i="13"/>
  <c r="Q48" i="12"/>
  <c r="Q48" i="10"/>
  <c r="Q48" i="11"/>
  <c r="AA59" i="8"/>
  <c r="AA63" i="8" s="1"/>
  <c r="AA59" i="9"/>
  <c r="AA59" i="7"/>
  <c r="AI30" i="7"/>
  <c r="AI22" i="7"/>
  <c r="AI19" i="7"/>
  <c r="AI14" i="7"/>
  <c r="AI5" i="7"/>
  <c r="AI25" i="7"/>
  <c r="AI20" i="7"/>
  <c r="AI17" i="7"/>
  <c r="AI12" i="7"/>
  <c r="AI10" i="7"/>
  <c r="AI8" i="7"/>
  <c r="AI23" i="7"/>
  <c r="AI18" i="7"/>
  <c r="AI15" i="7"/>
  <c r="AI6" i="7"/>
  <c r="AI24" i="7"/>
  <c r="AI21" i="7"/>
  <c r="AI16" i="7"/>
  <c r="AI13" i="7"/>
  <c r="AI11" i="7"/>
  <c r="AI7" i="7"/>
  <c r="AI28" i="7"/>
  <c r="AI29" i="7"/>
  <c r="AI35" i="7"/>
  <c r="AI49" i="7"/>
  <c r="AI38" i="7"/>
  <c r="AI54" i="7"/>
  <c r="AI39" i="7"/>
  <c r="AI55" i="7"/>
  <c r="AI52" i="7"/>
  <c r="AI33" i="7"/>
  <c r="AI34" i="7"/>
  <c r="AI27" i="7"/>
  <c r="AI53" i="7"/>
  <c r="AI42" i="7"/>
  <c r="AI43" i="7"/>
  <c r="AI40" i="7"/>
  <c r="AI56" i="7"/>
  <c r="AI37" i="7"/>
  <c r="AI26" i="7"/>
  <c r="AI32" i="7"/>
  <c r="AI41" i="7"/>
  <c r="AI46" i="7"/>
  <c r="AI47" i="7"/>
  <c r="AI44" i="7"/>
  <c r="AI45" i="7"/>
  <c r="AI51" i="7"/>
  <c r="AI48" i="7"/>
  <c r="AI31" i="7"/>
  <c r="AI36" i="7"/>
  <c r="AI50" i="7"/>
  <c r="P31" i="7"/>
  <c r="P28" i="7"/>
  <c r="P23" i="7"/>
  <c r="P20" i="7"/>
  <c r="P15" i="7"/>
  <c r="P6" i="7"/>
  <c r="P34" i="7"/>
  <c r="P29" i="7"/>
  <c r="P26" i="7"/>
  <c r="P21" i="7"/>
  <c r="P18" i="7"/>
  <c r="P13" i="7"/>
  <c r="P11" i="7"/>
  <c r="P32" i="7"/>
  <c r="P27" i="7"/>
  <c r="P24" i="7"/>
  <c r="P19" i="7"/>
  <c r="P16" i="7"/>
  <c r="P7" i="7"/>
  <c r="P33" i="7"/>
  <c r="P30" i="7"/>
  <c r="P25" i="7"/>
  <c r="P22" i="7"/>
  <c r="P17" i="7"/>
  <c r="P14" i="7"/>
  <c r="P12" i="7"/>
  <c r="P10" i="7"/>
  <c r="P8" i="7"/>
  <c r="P5" i="7"/>
  <c r="P38" i="7"/>
  <c r="P54" i="7"/>
  <c r="P42" i="7"/>
  <c r="P35" i="7"/>
  <c r="P51" i="7"/>
  <c r="P36" i="7"/>
  <c r="P52" i="7"/>
  <c r="P37" i="7"/>
  <c r="P53" i="7"/>
  <c r="P46" i="7"/>
  <c r="P39" i="7"/>
  <c r="P55" i="7"/>
  <c r="P40" i="7"/>
  <c r="P56" i="7"/>
  <c r="P41" i="7"/>
  <c r="P50" i="7"/>
  <c r="P43" i="7"/>
  <c r="P44" i="7"/>
  <c r="P45" i="7"/>
  <c r="P47" i="7"/>
  <c r="P48" i="7"/>
  <c r="P49" i="7"/>
  <c r="U23" i="7"/>
  <c r="U20" i="7"/>
  <c r="U15" i="7"/>
  <c r="U6" i="7"/>
  <c r="U21" i="7"/>
  <c r="U18" i="7"/>
  <c r="U13" i="7"/>
  <c r="U11" i="7"/>
  <c r="U24" i="7"/>
  <c r="U19" i="7"/>
  <c r="U16" i="7"/>
  <c r="U7" i="7"/>
  <c r="U30" i="7"/>
  <c r="U25" i="7"/>
  <c r="U22" i="7"/>
  <c r="U17" i="7"/>
  <c r="U14" i="7"/>
  <c r="U12" i="7"/>
  <c r="U10" i="7"/>
  <c r="U8" i="7"/>
  <c r="U5" i="7"/>
  <c r="U40" i="7"/>
  <c r="U56" i="7"/>
  <c r="U33" i="7"/>
  <c r="U49" i="7"/>
  <c r="U29" i="7"/>
  <c r="U46" i="7"/>
  <c r="U35" i="7"/>
  <c r="U51" i="7"/>
  <c r="U27" i="7"/>
  <c r="U44" i="7"/>
  <c r="U37" i="7"/>
  <c r="U53" i="7"/>
  <c r="U34" i="7"/>
  <c r="U50" i="7"/>
  <c r="U39" i="7"/>
  <c r="U55" i="7"/>
  <c r="U32" i="7"/>
  <c r="U48" i="7"/>
  <c r="U41" i="7"/>
  <c r="U38" i="7"/>
  <c r="U54" i="7"/>
  <c r="U26" i="7"/>
  <c r="U43" i="7"/>
  <c r="U36" i="7"/>
  <c r="U31" i="7"/>
  <c r="U52" i="7"/>
  <c r="U42" i="7"/>
  <c r="U47" i="7"/>
  <c r="U28" i="7"/>
  <c r="U45" i="7"/>
  <c r="F36" i="5"/>
  <c r="Q49" i="13"/>
  <c r="Q49" i="12"/>
  <c r="Q49" i="11"/>
  <c r="Q49" i="10"/>
  <c r="R47" i="13"/>
  <c r="R47" i="12"/>
  <c r="R47" i="11"/>
  <c r="R47" i="10"/>
  <c r="Z59" i="8"/>
  <c r="Z63" i="8" s="1"/>
  <c r="Z59" i="9"/>
  <c r="Z59" i="7"/>
  <c r="Q34" i="7"/>
  <c r="Q29" i="7"/>
  <c r="Q26" i="7"/>
  <c r="Q21" i="7"/>
  <c r="Q18" i="7"/>
  <c r="Q13" i="7"/>
  <c r="Q11" i="7"/>
  <c r="Q32" i="7"/>
  <c r="Q27" i="7"/>
  <c r="Q19" i="7"/>
  <c r="Q33" i="7"/>
  <c r="Q14" i="7"/>
  <c r="Q10" i="7"/>
  <c r="Q8" i="7"/>
  <c r="Q5" i="7"/>
  <c r="Q31" i="7"/>
  <c r="Q28" i="7"/>
  <c r="Q20" i="7"/>
  <c r="Q15" i="7"/>
  <c r="Q6" i="7"/>
  <c r="Q39" i="7"/>
  <c r="Q12" i="7"/>
  <c r="Q43" i="7"/>
  <c r="Q36" i="7"/>
  <c r="Q52" i="7"/>
  <c r="Q37" i="7"/>
  <c r="Q53" i="7"/>
  <c r="Q38" i="7"/>
  <c r="Q54" i="7"/>
  <c r="Q23" i="7"/>
  <c r="Q47" i="7"/>
  <c r="Q40" i="7"/>
  <c r="Q56" i="7"/>
  <c r="Q41" i="7"/>
  <c r="Q7" i="7"/>
  <c r="Q42" i="7"/>
  <c r="Q35" i="7"/>
  <c r="Q51" i="7"/>
  <c r="Q16" i="7"/>
  <c r="Q44" i="7"/>
  <c r="Q17" i="7"/>
  <c r="Q45" i="7"/>
  <c r="Q22" i="7"/>
  <c r="Q46" i="7"/>
  <c r="Q55" i="7"/>
  <c r="Q50" i="7"/>
  <c r="Q24" i="7"/>
  <c r="Q48" i="7"/>
  <c r="Q25" i="7"/>
  <c r="Q49" i="7"/>
  <c r="Q30" i="7"/>
  <c r="L34" i="7"/>
  <c r="L29" i="7"/>
  <c r="L26" i="7"/>
  <c r="L21" i="7"/>
  <c r="L18" i="7"/>
  <c r="L13" i="7"/>
  <c r="L11" i="7"/>
  <c r="L32" i="7"/>
  <c r="L27" i="7"/>
  <c r="L19" i="7"/>
  <c r="L33" i="7"/>
  <c r="L14" i="7"/>
  <c r="L10" i="7"/>
  <c r="L8" i="7"/>
  <c r="L5" i="7"/>
  <c r="L31" i="7"/>
  <c r="L28" i="7"/>
  <c r="L20" i="7"/>
  <c r="L15" i="7"/>
  <c r="L6" i="7"/>
  <c r="L16" i="7"/>
  <c r="L44" i="7"/>
  <c r="L24" i="7"/>
  <c r="L48" i="7"/>
  <c r="L17" i="7"/>
  <c r="L45" i="7"/>
  <c r="L38" i="7"/>
  <c r="L54" i="7"/>
  <c r="L12" i="7"/>
  <c r="L43" i="7"/>
  <c r="L36" i="7"/>
  <c r="L52" i="7"/>
  <c r="L25" i="7"/>
  <c r="L49" i="7"/>
  <c r="L7" i="7"/>
  <c r="L42" i="7"/>
  <c r="L23" i="7"/>
  <c r="L47" i="7"/>
  <c r="L40" i="7"/>
  <c r="L56" i="7"/>
  <c r="L37" i="7"/>
  <c r="L53" i="7"/>
  <c r="L22" i="7"/>
  <c r="L46" i="7"/>
  <c r="L35" i="7"/>
  <c r="L51" i="7"/>
  <c r="L30" i="7"/>
  <c r="L50" i="7"/>
  <c r="L39" i="7"/>
  <c r="L41" i="7"/>
  <c r="L55" i="7"/>
  <c r="AA54" i="8"/>
  <c r="AA51" i="8"/>
  <c r="AA46" i="8"/>
  <c r="AA43" i="8"/>
  <c r="AA40" i="8"/>
  <c r="AA36" i="8"/>
  <c r="AA34" i="8"/>
  <c r="AA32" i="8"/>
  <c r="AA30" i="8"/>
  <c r="AA28" i="8"/>
  <c r="AA26" i="8"/>
  <c r="AA24" i="8"/>
  <c r="AA21" i="8"/>
  <c r="AA56" i="8"/>
  <c r="AA53" i="8"/>
  <c r="AA48" i="8"/>
  <c r="AA45" i="8"/>
  <c r="AA39" i="8"/>
  <c r="AA55" i="8"/>
  <c r="AA50" i="8"/>
  <c r="AA47" i="8"/>
  <c r="AA42" i="8"/>
  <c r="AA38" i="8"/>
  <c r="AA35" i="8"/>
  <c r="AA33" i="8"/>
  <c r="AA31" i="8"/>
  <c r="AA29" i="8"/>
  <c r="AA52" i="8"/>
  <c r="AA49" i="8"/>
  <c r="AA44" i="8"/>
  <c r="AA41" i="8"/>
  <c r="AA37" i="8"/>
  <c r="AA22" i="8"/>
  <c r="AA23" i="8"/>
  <c r="AA19" i="8"/>
  <c r="AA17" i="8"/>
  <c r="AA15" i="8"/>
  <c r="AA13" i="8"/>
  <c r="AA11" i="8"/>
  <c r="AA8" i="8"/>
  <c r="AA6" i="8"/>
  <c r="AA27" i="8"/>
  <c r="AA20" i="8"/>
  <c r="AA18" i="8"/>
  <c r="AA16" i="8"/>
  <c r="AA14" i="8"/>
  <c r="AA25" i="8"/>
  <c r="AA12" i="8"/>
  <c r="AA10" i="8"/>
  <c r="AA9" i="8"/>
  <c r="AA7" i="8"/>
  <c r="AA5" i="8"/>
  <c r="R43" i="11"/>
  <c r="S30" i="7"/>
  <c r="S25" i="7"/>
  <c r="S22" i="7"/>
  <c r="S17" i="7"/>
  <c r="S14" i="7"/>
  <c r="S12" i="7"/>
  <c r="S10" i="7"/>
  <c r="S8" i="7"/>
  <c r="S5" i="7"/>
  <c r="S23" i="7"/>
  <c r="S20" i="7"/>
  <c r="S15" i="7"/>
  <c r="S6" i="7"/>
  <c r="S21" i="7"/>
  <c r="S18" i="7"/>
  <c r="S13" i="7"/>
  <c r="S11" i="7"/>
  <c r="S24" i="7"/>
  <c r="S19" i="7"/>
  <c r="S16" i="7"/>
  <c r="S7" i="7"/>
  <c r="S39" i="7"/>
  <c r="S55" i="7"/>
  <c r="S32" i="7"/>
  <c r="S48" i="7"/>
  <c r="S33" i="7"/>
  <c r="S49" i="7"/>
  <c r="S34" i="7"/>
  <c r="S50" i="7"/>
  <c r="S26" i="7"/>
  <c r="S43" i="7"/>
  <c r="S36" i="7"/>
  <c r="S52" i="7"/>
  <c r="S37" i="7"/>
  <c r="S53" i="7"/>
  <c r="S38" i="7"/>
  <c r="S54" i="7"/>
  <c r="S31" i="7"/>
  <c r="S47" i="7"/>
  <c r="S40" i="7"/>
  <c r="S56" i="7"/>
  <c r="S41" i="7"/>
  <c r="S42" i="7"/>
  <c r="S27" i="7"/>
  <c r="S44" i="7"/>
  <c r="S28" i="7"/>
  <c r="S35" i="7"/>
  <c r="S45" i="7"/>
  <c r="S29" i="7"/>
  <c r="S51" i="7"/>
  <c r="S46" i="7"/>
  <c r="AH24" i="7"/>
  <c r="AH21" i="7"/>
  <c r="AH16" i="7"/>
  <c r="AH13" i="7"/>
  <c r="AH11" i="7"/>
  <c r="AH7" i="7"/>
  <c r="AH30" i="7"/>
  <c r="AH22" i="7"/>
  <c r="AH19" i="7"/>
  <c r="AH14" i="7"/>
  <c r="AH5" i="7"/>
  <c r="AH25" i="7"/>
  <c r="AH20" i="7"/>
  <c r="AH17" i="7"/>
  <c r="AH12" i="7"/>
  <c r="AH10" i="7"/>
  <c r="AH8" i="7"/>
  <c r="AH23" i="7"/>
  <c r="AH18" i="7"/>
  <c r="AH15" i="7"/>
  <c r="AH6" i="7"/>
  <c r="AH34" i="7"/>
  <c r="AH35" i="7"/>
  <c r="AH52" i="7"/>
  <c r="AH41" i="7"/>
  <c r="AH42" i="7"/>
  <c r="AH39" i="7"/>
  <c r="AH55" i="7"/>
  <c r="AH27" i="7"/>
  <c r="AH28" i="7"/>
  <c r="AH38" i="7"/>
  <c r="AH40" i="7"/>
  <c r="AH56" i="7"/>
  <c r="AH45" i="7"/>
  <c r="AH46" i="7"/>
  <c r="AH43" i="7"/>
  <c r="AH32" i="7"/>
  <c r="AH33" i="7"/>
  <c r="AH26" i="7"/>
  <c r="AH44" i="7"/>
  <c r="AH49" i="7"/>
  <c r="AH50" i="7"/>
  <c r="AH47" i="7"/>
  <c r="AH48" i="7"/>
  <c r="AH54" i="7"/>
  <c r="AH51" i="7"/>
  <c r="AH36" i="7"/>
  <c r="AH37" i="7"/>
  <c r="AH29" i="7"/>
  <c r="AH31" i="7"/>
  <c r="AH53" i="7"/>
  <c r="O30" i="7"/>
  <c r="O25" i="7"/>
  <c r="O22" i="7"/>
  <c r="O17" i="7"/>
  <c r="O14" i="7"/>
  <c r="O12" i="7"/>
  <c r="O10" i="7"/>
  <c r="O8" i="7"/>
  <c r="O5" i="7"/>
  <c r="O23" i="7"/>
  <c r="O20" i="7"/>
  <c r="O15" i="7"/>
  <c r="O6" i="7"/>
  <c r="O21" i="7"/>
  <c r="O18" i="7"/>
  <c r="O13" i="7"/>
  <c r="O11" i="7"/>
  <c r="O24" i="7"/>
  <c r="O19" i="7"/>
  <c r="O16" i="7"/>
  <c r="O7" i="7"/>
  <c r="O27" i="7"/>
  <c r="O44" i="7"/>
  <c r="O32" i="7"/>
  <c r="O48" i="7"/>
  <c r="O41" i="7"/>
  <c r="O42" i="7"/>
  <c r="O26" i="7"/>
  <c r="O43" i="7"/>
  <c r="O36" i="7"/>
  <c r="O52" i="7"/>
  <c r="O28" i="7"/>
  <c r="O45" i="7"/>
  <c r="O29" i="7"/>
  <c r="O46" i="7"/>
  <c r="O31" i="7"/>
  <c r="O47" i="7"/>
  <c r="O40" i="7"/>
  <c r="O56" i="7"/>
  <c r="O33" i="7"/>
  <c r="O49" i="7"/>
  <c r="O34" i="7"/>
  <c r="O50" i="7"/>
  <c r="O35" i="7"/>
  <c r="O51" i="7"/>
  <c r="O54" i="7"/>
  <c r="O39" i="7"/>
  <c r="O55" i="7"/>
  <c r="O37" i="7"/>
  <c r="O53" i="7"/>
  <c r="O38" i="7"/>
  <c r="X56" i="7"/>
  <c r="X54" i="7"/>
  <c r="X52" i="7"/>
  <c r="X50" i="7"/>
  <c r="X48" i="7"/>
  <c r="X46" i="7"/>
  <c r="X44" i="7"/>
  <c r="X42" i="7"/>
  <c r="X40" i="7"/>
  <c r="X38" i="7"/>
  <c r="X55" i="7"/>
  <c r="X53" i="7"/>
  <c r="X51" i="7"/>
  <c r="X49" i="7"/>
  <c r="X47" i="7"/>
  <c r="X45" i="7"/>
  <c r="X43" i="7"/>
  <c r="X41" i="7"/>
  <c r="X39" i="7"/>
  <c r="X37" i="7"/>
  <c r="X33" i="7"/>
  <c r="X30" i="7"/>
  <c r="X25" i="7"/>
  <c r="X22" i="7"/>
  <c r="X17" i="7"/>
  <c r="X14" i="7"/>
  <c r="X12" i="7"/>
  <c r="X10" i="7"/>
  <c r="X8" i="7"/>
  <c r="X5" i="7"/>
  <c r="X36" i="7"/>
  <c r="X31" i="7"/>
  <c r="X28" i="7"/>
  <c r="X23" i="7"/>
  <c r="X20" i="7"/>
  <c r="X15" i="7"/>
  <c r="X6" i="7"/>
  <c r="X34" i="7"/>
  <c r="X29" i="7"/>
  <c r="X26" i="7"/>
  <c r="X21" i="7"/>
  <c r="X18" i="7"/>
  <c r="X13" i="7"/>
  <c r="X11" i="7"/>
  <c r="X35" i="7"/>
  <c r="X32" i="7"/>
  <c r="X27" i="7"/>
  <c r="X24" i="7"/>
  <c r="X19" i="7"/>
  <c r="X16" i="7"/>
  <c r="X7" i="7"/>
  <c r="T13" i="11"/>
  <c r="T6" i="11"/>
  <c r="T10" i="11"/>
  <c r="T8" i="11"/>
  <c r="T7" i="11"/>
  <c r="T5" i="11"/>
  <c r="T18" i="11"/>
  <c r="T12" i="11"/>
  <c r="T11" i="11"/>
  <c r="T9" i="11"/>
  <c r="T19" i="11"/>
  <c r="T35" i="11"/>
  <c r="T28" i="11"/>
  <c r="T44" i="11"/>
  <c r="T25" i="11"/>
  <c r="T41" i="11"/>
  <c r="T17" i="11"/>
  <c r="T34" i="11"/>
  <c r="T23" i="11"/>
  <c r="T39" i="11"/>
  <c r="T15" i="11"/>
  <c r="T32" i="11"/>
  <c r="T29" i="11"/>
  <c r="T27" i="11"/>
  <c r="T43" i="11"/>
  <c r="T20" i="11"/>
  <c r="T36" i="11"/>
  <c r="T16" i="11"/>
  <c r="T33" i="11"/>
  <c r="T26" i="11"/>
  <c r="T42" i="11"/>
  <c r="M50" i="12"/>
  <c r="T38" i="11"/>
  <c r="Q34" i="11"/>
  <c r="N38" i="11"/>
  <c r="T24" i="11"/>
  <c r="Q20" i="11"/>
  <c r="N15" i="11"/>
  <c r="U50" i="11"/>
  <c r="N39" i="11"/>
  <c r="Q7" i="11"/>
  <c r="Q5" i="11"/>
  <c r="Q18" i="11"/>
  <c r="Q11" i="11"/>
  <c r="Q9" i="11"/>
  <c r="Q8" i="11"/>
  <c r="Q13" i="11"/>
  <c r="Q12" i="11"/>
  <c r="Q6" i="11"/>
  <c r="Q10" i="11"/>
  <c r="Q14" i="11"/>
  <c r="Q31" i="11"/>
  <c r="Q24" i="11"/>
  <c r="Q40" i="11"/>
  <c r="Q21" i="11"/>
  <c r="Q37" i="11"/>
  <c r="Q30" i="11"/>
  <c r="Q19" i="11"/>
  <c r="Q35" i="11"/>
  <c r="Q28" i="11"/>
  <c r="Q44" i="11"/>
  <c r="Q25" i="11"/>
  <c r="Q41" i="11"/>
  <c r="Q17" i="11"/>
  <c r="Q23" i="11"/>
  <c r="Q39" i="11"/>
  <c r="Q15" i="11"/>
  <c r="Q32" i="11"/>
  <c r="Q29" i="11"/>
  <c r="Q22" i="11"/>
  <c r="Q38" i="11"/>
  <c r="O51" i="10"/>
  <c r="O50" i="12"/>
  <c r="N50" i="12"/>
  <c r="T30" i="11"/>
  <c r="Q26" i="11"/>
  <c r="N22" i="11"/>
  <c r="T31" i="11"/>
  <c r="Q27" i="11"/>
  <c r="N23" i="11"/>
  <c r="AB9" i="7"/>
  <c r="AP9" i="8" s="1"/>
  <c r="S50" i="12"/>
  <c r="T22" i="11"/>
  <c r="T37" i="11"/>
  <c r="Q33" i="11"/>
  <c r="T14" i="11"/>
  <c r="N13" i="11"/>
  <c r="N12" i="11"/>
  <c r="N6" i="11"/>
  <c r="N10" i="11"/>
  <c r="N7" i="11"/>
  <c r="N5" i="11"/>
  <c r="N18" i="11"/>
  <c r="N11" i="11"/>
  <c r="N9" i="11"/>
  <c r="N8" i="11"/>
  <c r="N27" i="11"/>
  <c r="N43" i="11"/>
  <c r="N20" i="11"/>
  <c r="N36" i="11"/>
  <c r="N16" i="11"/>
  <c r="N33" i="11"/>
  <c r="N26" i="11"/>
  <c r="N42" i="11"/>
  <c r="N14" i="11"/>
  <c r="N31" i="11"/>
  <c r="N24" i="11"/>
  <c r="N40" i="11"/>
  <c r="N21" i="11"/>
  <c r="N37" i="11"/>
  <c r="N30" i="11"/>
  <c r="N19" i="11"/>
  <c r="N35" i="11"/>
  <c r="N28" i="11"/>
  <c r="N44" i="11"/>
  <c r="N25" i="11"/>
  <c r="N41" i="11"/>
  <c r="N17" i="11"/>
  <c r="N34" i="11"/>
  <c r="Q42" i="11"/>
  <c r="T21" i="11"/>
  <c r="Q16" i="11"/>
  <c r="T40" i="11"/>
  <c r="Q36" i="11"/>
  <c r="N32" i="11"/>
  <c r="X19" i="9"/>
  <c r="Y51" i="11"/>
  <c r="Y50" i="11" s="1"/>
  <c r="AL59" i="8"/>
  <c r="AL59" i="9"/>
  <c r="AL59" i="7"/>
  <c r="Q51" i="12"/>
  <c r="Q50" i="12" s="1"/>
  <c r="AD9" i="7"/>
  <c r="P20" i="9"/>
  <c r="Y51" i="12"/>
  <c r="Y50" i="12" s="1"/>
  <c r="AH63" i="8"/>
  <c r="AH9" i="9" s="1"/>
  <c r="AL9" i="9" s="1"/>
  <c r="AL9" i="7"/>
  <c r="AL61" i="9"/>
  <c r="AL61" i="8"/>
  <c r="AL61" i="7"/>
  <c r="AL63" i="6"/>
  <c r="AB61" i="9"/>
  <c r="AB61" i="8"/>
  <c r="AB61" i="7"/>
  <c r="AB63" i="6"/>
  <c r="AL60" i="9"/>
  <c r="AL60" i="8"/>
  <c r="AL60" i="7"/>
  <c r="AL62" i="6"/>
  <c r="Q51" i="11"/>
  <c r="Q50" i="11" s="1"/>
  <c r="Y51" i="10"/>
  <c r="U51" i="10"/>
  <c r="M51" i="10"/>
  <c r="S51" i="10"/>
  <c r="M60" i="6"/>
  <c r="M65" i="6" s="1"/>
  <c r="M23" i="7" s="1"/>
  <c r="V65" i="6"/>
  <c r="Y61" i="6"/>
  <c r="D30" i="5"/>
  <c r="AP9" i="9" l="1"/>
  <c r="L21" i="9"/>
  <c r="X8" i="30"/>
  <c r="L6" i="31"/>
  <c r="X10" i="30"/>
  <c r="L10" i="31"/>
  <c r="X6" i="30"/>
  <c r="AO9" i="8"/>
  <c r="AM9" i="7"/>
  <c r="M23" i="9"/>
  <c r="Y59" i="8"/>
  <c r="Y63" i="8" s="1"/>
  <c r="Y9" i="9" s="1"/>
  <c r="Y59" i="9"/>
  <c r="Y59" i="7"/>
  <c r="M18" i="11"/>
  <c r="M11" i="11"/>
  <c r="M9" i="11"/>
  <c r="M8" i="11"/>
  <c r="M13" i="11"/>
  <c r="M12" i="11"/>
  <c r="M6" i="11"/>
  <c r="M10" i="11"/>
  <c r="M7" i="11"/>
  <c r="M5" i="11"/>
  <c r="M25" i="11"/>
  <c r="M41" i="11"/>
  <c r="M17" i="11"/>
  <c r="M34" i="11"/>
  <c r="M14" i="11"/>
  <c r="M31" i="11"/>
  <c r="M24" i="11"/>
  <c r="M40" i="11"/>
  <c r="M29" i="11"/>
  <c r="M22" i="11"/>
  <c r="M38" i="11"/>
  <c r="M19" i="11"/>
  <c r="M35" i="11"/>
  <c r="M28" i="11"/>
  <c r="M44" i="11"/>
  <c r="M16" i="11"/>
  <c r="M33" i="11"/>
  <c r="M26" i="11"/>
  <c r="M42" i="11"/>
  <c r="M23" i="11"/>
  <c r="M39" i="11"/>
  <c r="M15" i="11"/>
  <c r="M32" i="11"/>
  <c r="M21" i="11"/>
  <c r="M43" i="11"/>
  <c r="M20" i="11"/>
  <c r="M37" i="11"/>
  <c r="M36" i="11"/>
  <c r="M30" i="11"/>
  <c r="M27" i="11"/>
  <c r="N32" i="12"/>
  <c r="N32" i="29" s="1"/>
  <c r="N77" i="29" s="1"/>
  <c r="N32" i="13"/>
  <c r="T21" i="12"/>
  <c r="R21" i="29" s="1"/>
  <c r="R66" i="29" s="1"/>
  <c r="T21" i="13"/>
  <c r="N41" i="12"/>
  <c r="N41" i="29" s="1"/>
  <c r="N86" i="29" s="1"/>
  <c r="N41" i="13"/>
  <c r="N35" i="12"/>
  <c r="N35" i="29" s="1"/>
  <c r="N80" i="29" s="1"/>
  <c r="N35" i="13"/>
  <c r="N21" i="12"/>
  <c r="N21" i="29" s="1"/>
  <c r="N66" i="29" s="1"/>
  <c r="N21" i="13"/>
  <c r="N14" i="12"/>
  <c r="N14" i="29" s="1"/>
  <c r="N59" i="29" s="1"/>
  <c r="N14" i="13"/>
  <c r="N16" i="12"/>
  <c r="N16" i="29" s="1"/>
  <c r="N61" i="29" s="1"/>
  <c r="N16" i="13"/>
  <c r="N27" i="12"/>
  <c r="N27" i="29" s="1"/>
  <c r="N72" i="29" s="1"/>
  <c r="N27" i="13"/>
  <c r="N18" i="12"/>
  <c r="N18" i="29" s="1"/>
  <c r="N63" i="29" s="1"/>
  <c r="N18" i="13"/>
  <c r="N6" i="12"/>
  <c r="N6" i="29" s="1"/>
  <c r="N51" i="29" s="1"/>
  <c r="N6" i="13"/>
  <c r="T14" i="12"/>
  <c r="R14" i="29" s="1"/>
  <c r="R59" i="29" s="1"/>
  <c r="T14" i="13"/>
  <c r="R27" i="11"/>
  <c r="Q27" i="12"/>
  <c r="R27" i="12" s="1"/>
  <c r="Q27" i="13"/>
  <c r="R27" i="13" s="1"/>
  <c r="T30" i="12"/>
  <c r="R30" i="29" s="1"/>
  <c r="R75" i="29" s="1"/>
  <c r="T30" i="13"/>
  <c r="R38" i="11"/>
  <c r="Q38" i="12"/>
  <c r="R38" i="12" s="1"/>
  <c r="Q38" i="13"/>
  <c r="R38" i="13" s="1"/>
  <c r="R15" i="11"/>
  <c r="Q15" i="12"/>
  <c r="R15" i="12" s="1"/>
  <c r="Q15" i="13"/>
  <c r="R15" i="13" s="1"/>
  <c r="R41" i="11"/>
  <c r="Q41" i="12"/>
  <c r="R41" i="12" s="1"/>
  <c r="Q41" i="13"/>
  <c r="R41" i="13" s="1"/>
  <c r="R35" i="11"/>
  <c r="Q35" i="12"/>
  <c r="R35" i="12" s="1"/>
  <c r="Q35" i="13"/>
  <c r="R35" i="13" s="1"/>
  <c r="R21" i="11"/>
  <c r="Q21" i="12"/>
  <c r="R21" i="12" s="1"/>
  <c r="Q21" i="13"/>
  <c r="R21" i="13" s="1"/>
  <c r="R14" i="11"/>
  <c r="Q14" i="12"/>
  <c r="R14" i="12" s="1"/>
  <c r="Q14" i="13"/>
  <c r="R14" i="13" s="1"/>
  <c r="R13" i="11"/>
  <c r="Q13" i="12"/>
  <c r="R13" i="12" s="1"/>
  <c r="Q13" i="13"/>
  <c r="R13" i="13" s="1"/>
  <c r="R18" i="11"/>
  <c r="Q18" i="12"/>
  <c r="R18" i="12" s="1"/>
  <c r="Q18" i="13"/>
  <c r="R18" i="13" s="1"/>
  <c r="N38" i="12"/>
  <c r="N38" i="29" s="1"/>
  <c r="N83" i="29" s="1"/>
  <c r="N38" i="13"/>
  <c r="T42" i="12"/>
  <c r="R42" i="29" s="1"/>
  <c r="R87" i="29" s="1"/>
  <c r="T42" i="13"/>
  <c r="T36" i="12"/>
  <c r="R36" i="29" s="1"/>
  <c r="R81" i="29" s="1"/>
  <c r="T36" i="13"/>
  <c r="T29" i="12"/>
  <c r="R29" i="29" s="1"/>
  <c r="R74" i="29" s="1"/>
  <c r="T29" i="13"/>
  <c r="T23" i="12"/>
  <c r="R23" i="29" s="1"/>
  <c r="R68" i="29" s="1"/>
  <c r="T23" i="13"/>
  <c r="T25" i="12"/>
  <c r="R25" i="29" s="1"/>
  <c r="R70" i="29" s="1"/>
  <c r="T25" i="13"/>
  <c r="T19" i="12"/>
  <c r="R19" i="29" s="1"/>
  <c r="R64" i="29" s="1"/>
  <c r="T19" i="13"/>
  <c r="T18" i="12"/>
  <c r="R18" i="29" s="1"/>
  <c r="R63" i="29" s="1"/>
  <c r="T18" i="13"/>
  <c r="T10" i="12"/>
  <c r="R10" i="29" s="1"/>
  <c r="R55" i="29" s="1"/>
  <c r="T10" i="13"/>
  <c r="M32" i="7"/>
  <c r="X7" i="9"/>
  <c r="X27" i="9"/>
  <c r="X13" i="9"/>
  <c r="X29" i="9"/>
  <c r="X20" i="9"/>
  <c r="X36" i="9"/>
  <c r="X12" i="9"/>
  <c r="X25" i="9"/>
  <c r="X39" i="9"/>
  <c r="X47" i="9"/>
  <c r="X55" i="9"/>
  <c r="X44" i="9"/>
  <c r="X52" i="9"/>
  <c r="M30" i="7"/>
  <c r="O38" i="9"/>
  <c r="O39" i="9"/>
  <c r="O50" i="9"/>
  <c r="O56" i="9"/>
  <c r="O46" i="9"/>
  <c r="O52" i="9"/>
  <c r="O42" i="9"/>
  <c r="O44" i="9"/>
  <c r="O19" i="9"/>
  <c r="O18" i="9"/>
  <c r="O20" i="9"/>
  <c r="O10" i="9"/>
  <c r="O22" i="9"/>
  <c r="AH31" i="9"/>
  <c r="AH51" i="9"/>
  <c r="AH50" i="9"/>
  <c r="AH33" i="9"/>
  <c r="AH45" i="9"/>
  <c r="AH28" i="9"/>
  <c r="AH42" i="9"/>
  <c r="AH34" i="9"/>
  <c r="AH23" i="9"/>
  <c r="AH17" i="9"/>
  <c r="AH14" i="9"/>
  <c r="AH7" i="9"/>
  <c r="AH21" i="9"/>
  <c r="S58" i="7"/>
  <c r="M50" i="7"/>
  <c r="L50" i="9"/>
  <c r="L46" i="9"/>
  <c r="L56" i="9"/>
  <c r="L42" i="9"/>
  <c r="L52" i="9"/>
  <c r="L54" i="9"/>
  <c r="L48" i="9"/>
  <c r="L6" i="9"/>
  <c r="L31" i="9"/>
  <c r="L14" i="9"/>
  <c r="L32" i="9"/>
  <c r="M22" i="7"/>
  <c r="Q30" i="9"/>
  <c r="Q24" i="9"/>
  <c r="Q22" i="9"/>
  <c r="Q16" i="9"/>
  <c r="Q7" i="9"/>
  <c r="Q47" i="9"/>
  <c r="Q53" i="9"/>
  <c r="Q43" i="9"/>
  <c r="Q15" i="9"/>
  <c r="Q5" i="9"/>
  <c r="Q58" i="7"/>
  <c r="Q63" i="7" s="1"/>
  <c r="Q9" i="8" s="1"/>
  <c r="Q9" i="28" s="1"/>
  <c r="Q66" i="28" s="1"/>
  <c r="Q33" i="9"/>
  <c r="Q11" i="9"/>
  <c r="Q26" i="9"/>
  <c r="M8" i="7"/>
  <c r="U47" i="9"/>
  <c r="U36" i="9"/>
  <c r="U38" i="9"/>
  <c r="U55" i="9"/>
  <c r="U53" i="9"/>
  <c r="U51" i="9"/>
  <c r="U49" i="9"/>
  <c r="U5" i="9"/>
  <c r="U58" i="7"/>
  <c r="U63" i="7" s="1"/>
  <c r="U9" i="8" s="1"/>
  <c r="T9" i="28" s="1"/>
  <c r="T66" i="28" s="1"/>
  <c r="U14" i="9"/>
  <c r="U30" i="9"/>
  <c r="U24" i="9"/>
  <c r="U21" i="9"/>
  <c r="U23" i="9"/>
  <c r="M52" i="7"/>
  <c r="P45" i="9"/>
  <c r="P41" i="9"/>
  <c r="P39" i="9"/>
  <c r="P52" i="9"/>
  <c r="P42" i="9"/>
  <c r="P8" i="9"/>
  <c r="P17" i="9"/>
  <c r="P33" i="9"/>
  <c r="P24" i="9"/>
  <c r="P13" i="9"/>
  <c r="P29" i="9"/>
  <c r="AI50" i="9"/>
  <c r="AI51" i="9"/>
  <c r="AI46" i="9"/>
  <c r="AI37" i="9"/>
  <c r="AI42" i="9"/>
  <c r="AI33" i="9"/>
  <c r="AI54" i="9"/>
  <c r="AI29" i="9"/>
  <c r="AI13" i="9"/>
  <c r="AI6" i="9"/>
  <c r="AI8" i="9"/>
  <c r="AI20" i="9"/>
  <c r="AI19" i="9"/>
  <c r="M13" i="7"/>
  <c r="AD53" i="7"/>
  <c r="AC53" i="9"/>
  <c r="AD53" i="9" s="1"/>
  <c r="AD56" i="7"/>
  <c r="AC56" i="9"/>
  <c r="AD56" i="9" s="1"/>
  <c r="AD50" i="7"/>
  <c r="AC50" i="9"/>
  <c r="AD50" i="9" s="1"/>
  <c r="AD33" i="7"/>
  <c r="AC33" i="9"/>
  <c r="AD33" i="9" s="1"/>
  <c r="AD45" i="7"/>
  <c r="AC45" i="9"/>
  <c r="AD45" i="9" s="1"/>
  <c r="AD28" i="7"/>
  <c r="AC28" i="9"/>
  <c r="AD28" i="9" s="1"/>
  <c r="AD55" i="7"/>
  <c r="AC55" i="9"/>
  <c r="AD55" i="9" s="1"/>
  <c r="AD35" i="7"/>
  <c r="AC35" i="9"/>
  <c r="AD35" i="9" s="1"/>
  <c r="AD24" i="7"/>
  <c r="AC24" i="9"/>
  <c r="AD24" i="9" s="1"/>
  <c r="AD21" i="7"/>
  <c r="AC21" i="9"/>
  <c r="AD21" i="9" s="1"/>
  <c r="AD23" i="7"/>
  <c r="AC23" i="9"/>
  <c r="AD23" i="9" s="1"/>
  <c r="AD12" i="7"/>
  <c r="AC12" i="9"/>
  <c r="AD12" i="9" s="1"/>
  <c r="AD25" i="7"/>
  <c r="AC25" i="9"/>
  <c r="AD25" i="9" s="1"/>
  <c r="M16" i="7"/>
  <c r="M54" i="7"/>
  <c r="R43" i="9"/>
  <c r="R39" i="9"/>
  <c r="R52" i="9"/>
  <c r="R50" i="9"/>
  <c r="R46" i="9"/>
  <c r="R13" i="9"/>
  <c r="R29" i="9"/>
  <c r="R20" i="9"/>
  <c r="R5" i="9"/>
  <c r="R58" i="7"/>
  <c r="R14" i="9"/>
  <c r="R30" i="9"/>
  <c r="R19" i="9"/>
  <c r="M12" i="7"/>
  <c r="M53" i="7"/>
  <c r="W41" i="9"/>
  <c r="W27" i="9"/>
  <c r="W54" i="9"/>
  <c r="W49" i="9"/>
  <c r="W50" i="9"/>
  <c r="W45" i="9"/>
  <c r="W37" i="9"/>
  <c r="W13" i="9"/>
  <c r="W15" i="9"/>
  <c r="W8" i="9"/>
  <c r="W17" i="9"/>
  <c r="W7" i="9"/>
  <c r="V21" i="7"/>
  <c r="V18" i="7"/>
  <c r="V13" i="7"/>
  <c r="V11" i="7"/>
  <c r="V24" i="7"/>
  <c r="V19" i="7"/>
  <c r="V16" i="7"/>
  <c r="V7" i="7"/>
  <c r="V30" i="7"/>
  <c r="V25" i="7"/>
  <c r="V22" i="7"/>
  <c r="V17" i="7"/>
  <c r="V14" i="7"/>
  <c r="V12" i="7"/>
  <c r="V10" i="7"/>
  <c r="V8" i="7"/>
  <c r="V5" i="7"/>
  <c r="V23" i="7"/>
  <c r="V20" i="7"/>
  <c r="V15" i="7"/>
  <c r="V6" i="7"/>
  <c r="V41" i="7"/>
  <c r="V29" i="7"/>
  <c r="V46" i="7"/>
  <c r="V31" i="7"/>
  <c r="V47" i="7"/>
  <c r="V36" i="7"/>
  <c r="V52" i="7"/>
  <c r="V45" i="7"/>
  <c r="V28" i="7"/>
  <c r="V34" i="7"/>
  <c r="V50" i="7"/>
  <c r="V35" i="7"/>
  <c r="V51" i="7"/>
  <c r="V40" i="7"/>
  <c r="V56" i="7"/>
  <c r="V49" i="7"/>
  <c r="V33" i="7"/>
  <c r="V38" i="7"/>
  <c r="V54" i="7"/>
  <c r="V39" i="7"/>
  <c r="V55" i="7"/>
  <c r="V27" i="7"/>
  <c r="V44" i="7"/>
  <c r="V53" i="7"/>
  <c r="V37" i="7"/>
  <c r="V42" i="7"/>
  <c r="V26" i="7"/>
  <c r="V32" i="7"/>
  <c r="V43" i="7"/>
  <c r="V48" i="7"/>
  <c r="U10" i="11"/>
  <c r="U8" i="11"/>
  <c r="U7" i="11"/>
  <c r="U5" i="11"/>
  <c r="U18" i="11"/>
  <c r="U12" i="11"/>
  <c r="U11" i="11"/>
  <c r="U9" i="11"/>
  <c r="U13" i="11"/>
  <c r="U6" i="11"/>
  <c r="U21" i="11"/>
  <c r="U37" i="11"/>
  <c r="U30" i="11"/>
  <c r="U27" i="11"/>
  <c r="U43" i="11"/>
  <c r="U20" i="11"/>
  <c r="U36" i="11"/>
  <c r="U25" i="11"/>
  <c r="U41" i="11"/>
  <c r="U17" i="11"/>
  <c r="U34" i="11"/>
  <c r="U14" i="11"/>
  <c r="U31" i="11"/>
  <c r="U29" i="11"/>
  <c r="U22" i="11"/>
  <c r="U38" i="11"/>
  <c r="U19" i="11"/>
  <c r="U35" i="11"/>
  <c r="U28" i="11"/>
  <c r="U44" i="11"/>
  <c r="U33" i="11"/>
  <c r="U15" i="11"/>
  <c r="U26" i="11"/>
  <c r="U24" i="11"/>
  <c r="U42" i="11"/>
  <c r="U23" i="11"/>
  <c r="U32" i="11"/>
  <c r="U16" i="11"/>
  <c r="U39" i="11"/>
  <c r="U40" i="11"/>
  <c r="Q36" i="12"/>
  <c r="R36" i="12" s="1"/>
  <c r="R36" i="11"/>
  <c r="Q36" i="13"/>
  <c r="R36" i="13" s="1"/>
  <c r="R42" i="11"/>
  <c r="Q42" i="12"/>
  <c r="R42" i="12" s="1"/>
  <c r="Q42" i="13"/>
  <c r="R42" i="13" s="1"/>
  <c r="N25" i="12"/>
  <c r="N25" i="29" s="1"/>
  <c r="N70" i="29" s="1"/>
  <c r="N25" i="13"/>
  <c r="N19" i="12"/>
  <c r="N19" i="29" s="1"/>
  <c r="N64" i="29" s="1"/>
  <c r="N19" i="13"/>
  <c r="N40" i="12"/>
  <c r="N40" i="29" s="1"/>
  <c r="N85" i="29" s="1"/>
  <c r="N40" i="13"/>
  <c r="N42" i="12"/>
  <c r="N42" i="29" s="1"/>
  <c r="N87" i="29" s="1"/>
  <c r="N42" i="13"/>
  <c r="N36" i="12"/>
  <c r="N36" i="29" s="1"/>
  <c r="N81" i="29" s="1"/>
  <c r="N36" i="13"/>
  <c r="N8" i="12"/>
  <c r="N8" i="29" s="1"/>
  <c r="N53" i="29" s="1"/>
  <c r="N8" i="13"/>
  <c r="N5" i="12"/>
  <c r="N5" i="29" s="1"/>
  <c r="N50" i="29" s="1"/>
  <c r="N5" i="13"/>
  <c r="N46" i="11"/>
  <c r="N12" i="12"/>
  <c r="N12" i="29" s="1"/>
  <c r="N57" i="29" s="1"/>
  <c r="N12" i="13"/>
  <c r="R33" i="11"/>
  <c r="Q33" i="12"/>
  <c r="R33" i="12" s="1"/>
  <c r="Q33" i="13"/>
  <c r="R33" i="13" s="1"/>
  <c r="T31" i="12"/>
  <c r="R31" i="29" s="1"/>
  <c r="R76" i="29" s="1"/>
  <c r="T31" i="13"/>
  <c r="R22" i="11"/>
  <c r="Q22" i="12"/>
  <c r="R22" i="12" s="1"/>
  <c r="Q22" i="13"/>
  <c r="R22" i="13" s="1"/>
  <c r="R39" i="11"/>
  <c r="Q39" i="12"/>
  <c r="R39" i="12" s="1"/>
  <c r="Q39" i="13"/>
  <c r="R39" i="13" s="1"/>
  <c r="R25" i="11"/>
  <c r="Q25" i="12"/>
  <c r="R25" i="12" s="1"/>
  <c r="Q25" i="13"/>
  <c r="R25" i="13" s="1"/>
  <c r="R19" i="11"/>
  <c r="Q19" i="12"/>
  <c r="R19" i="12" s="1"/>
  <c r="Q19" i="13"/>
  <c r="R19" i="13" s="1"/>
  <c r="Q40" i="12"/>
  <c r="R40" i="12" s="1"/>
  <c r="R40" i="11"/>
  <c r="Q40" i="13"/>
  <c r="R40" i="13" s="1"/>
  <c r="R10" i="11"/>
  <c r="Q10" i="12"/>
  <c r="R10" i="12" s="1"/>
  <c r="Q10" i="13"/>
  <c r="R10" i="13" s="1"/>
  <c r="Q8" i="12"/>
  <c r="R8" i="12" s="1"/>
  <c r="R8" i="11"/>
  <c r="Q8" i="13"/>
  <c r="R8" i="13" s="1"/>
  <c r="R5" i="11"/>
  <c r="Q5" i="12"/>
  <c r="P5" i="29" s="1"/>
  <c r="P50" i="29" s="1"/>
  <c r="Q5" i="13"/>
  <c r="Q46" i="11"/>
  <c r="N15" i="12"/>
  <c r="N15" i="29" s="1"/>
  <c r="N60" i="29" s="1"/>
  <c r="N15" i="13"/>
  <c r="R34" i="11"/>
  <c r="Q34" i="12"/>
  <c r="R34" i="12" s="1"/>
  <c r="Q34" i="13"/>
  <c r="R34" i="13" s="1"/>
  <c r="T26" i="12"/>
  <c r="R26" i="29" s="1"/>
  <c r="R71" i="29" s="1"/>
  <c r="T26" i="13"/>
  <c r="T20" i="12"/>
  <c r="R20" i="29" s="1"/>
  <c r="R65" i="29" s="1"/>
  <c r="T20" i="13"/>
  <c r="T32" i="12"/>
  <c r="R32" i="29" s="1"/>
  <c r="R77" i="29" s="1"/>
  <c r="T32" i="13"/>
  <c r="T34" i="12"/>
  <c r="R34" i="29" s="1"/>
  <c r="R79" i="29" s="1"/>
  <c r="T34" i="13"/>
  <c r="T44" i="12"/>
  <c r="R44" i="29" s="1"/>
  <c r="R89" i="29" s="1"/>
  <c r="T44" i="13"/>
  <c r="T9" i="12"/>
  <c r="R9" i="29" s="1"/>
  <c r="R54" i="29" s="1"/>
  <c r="T9" i="13"/>
  <c r="T5" i="12"/>
  <c r="R5" i="29" s="1"/>
  <c r="R50" i="29" s="1"/>
  <c r="T5" i="13"/>
  <c r="T46" i="11"/>
  <c r="T6" i="12"/>
  <c r="R6" i="29" s="1"/>
  <c r="R51" i="29" s="1"/>
  <c r="T6" i="13"/>
  <c r="M40" i="7"/>
  <c r="X16" i="9"/>
  <c r="X32" i="9"/>
  <c r="X18" i="9"/>
  <c r="X34" i="9"/>
  <c r="X23" i="9"/>
  <c r="X58" i="7"/>
  <c r="X63" i="7" s="1"/>
  <c r="X9" i="8" s="1"/>
  <c r="W9" i="28" s="1"/>
  <c r="W66" i="28" s="1"/>
  <c r="X5" i="9"/>
  <c r="X14" i="9"/>
  <c r="X30" i="8"/>
  <c r="W30" i="28" s="1"/>
  <c r="W87" i="28" s="1"/>
  <c r="X30" i="9"/>
  <c r="X41" i="9"/>
  <c r="X49" i="9"/>
  <c r="X38" i="9"/>
  <c r="X46" i="8"/>
  <c r="W46" i="28" s="1"/>
  <c r="W103" i="28" s="1"/>
  <c r="X46" i="9"/>
  <c r="X54" i="9"/>
  <c r="M31" i="7"/>
  <c r="O53" i="9"/>
  <c r="O54" i="9"/>
  <c r="O34" i="9"/>
  <c r="O40" i="9"/>
  <c r="O29" i="9"/>
  <c r="O36" i="9"/>
  <c r="O41" i="9"/>
  <c r="O27" i="9"/>
  <c r="O24" i="9"/>
  <c r="O21" i="9"/>
  <c r="O23" i="9"/>
  <c r="O12" i="9"/>
  <c r="O25" i="9"/>
  <c r="AH29" i="9"/>
  <c r="AH54" i="9"/>
  <c r="AH49" i="9"/>
  <c r="AH32" i="9"/>
  <c r="AH56" i="9"/>
  <c r="AH27" i="9"/>
  <c r="AH41" i="9"/>
  <c r="AH6" i="9"/>
  <c r="AH8" i="9"/>
  <c r="AH20" i="9"/>
  <c r="AH19" i="9"/>
  <c r="AH11" i="9"/>
  <c r="AH24" i="9"/>
  <c r="AA58" i="8"/>
  <c r="M27" i="7"/>
  <c r="L55" i="9"/>
  <c r="L30" i="9"/>
  <c r="L22" i="9"/>
  <c r="L40" i="9"/>
  <c r="L7" i="9"/>
  <c r="L36" i="9"/>
  <c r="L38" i="9"/>
  <c r="L24" i="9"/>
  <c r="L15" i="9"/>
  <c r="L5" i="9"/>
  <c r="L58" i="7"/>
  <c r="L63" i="7" s="1"/>
  <c r="L9" i="8" s="1"/>
  <c r="L9" i="28" s="1"/>
  <c r="L66" i="28" s="1"/>
  <c r="L33" i="9"/>
  <c r="L11" i="9"/>
  <c r="L26" i="9"/>
  <c r="M33" i="7"/>
  <c r="Q49" i="8"/>
  <c r="Q49" i="28" s="1"/>
  <c r="Q106" i="28" s="1"/>
  <c r="Q49" i="9"/>
  <c r="Q50" i="8"/>
  <c r="Q50" i="28" s="1"/>
  <c r="Q107" i="28" s="1"/>
  <c r="Q50" i="9"/>
  <c r="Q45" i="8"/>
  <c r="Q45" i="28" s="1"/>
  <c r="Q102" i="28" s="1"/>
  <c r="Q45" i="9"/>
  <c r="Q51" i="8"/>
  <c r="Q51" i="28" s="1"/>
  <c r="Q108" i="28" s="1"/>
  <c r="Q51" i="9"/>
  <c r="Q41" i="8"/>
  <c r="Q41" i="28" s="1"/>
  <c r="Q98" i="28" s="1"/>
  <c r="Q41" i="9"/>
  <c r="Q23" i="8"/>
  <c r="Q23" i="28" s="1"/>
  <c r="Q80" i="28" s="1"/>
  <c r="Q23" i="9"/>
  <c r="Q37" i="8"/>
  <c r="Q37" i="28" s="1"/>
  <c r="Q94" i="28" s="1"/>
  <c r="Q37" i="9"/>
  <c r="Q12" i="8"/>
  <c r="Q12" i="28" s="1"/>
  <c r="Q69" i="28" s="1"/>
  <c r="Q12" i="9"/>
  <c r="Q20" i="8"/>
  <c r="Q20" i="28" s="1"/>
  <c r="Q77" i="28" s="1"/>
  <c r="Q20" i="9"/>
  <c r="Q8" i="8"/>
  <c r="Q8" i="28" s="1"/>
  <c r="Q65" i="28" s="1"/>
  <c r="Q8" i="9"/>
  <c r="Q19" i="8"/>
  <c r="Q19" i="28" s="1"/>
  <c r="Q76" i="28" s="1"/>
  <c r="Q19" i="9"/>
  <c r="Q13" i="8"/>
  <c r="Q13" i="28" s="1"/>
  <c r="Q70" i="28" s="1"/>
  <c r="Q13" i="9"/>
  <c r="Q29" i="8"/>
  <c r="Q29" i="28" s="1"/>
  <c r="Q86" i="28" s="1"/>
  <c r="Q29" i="9"/>
  <c r="Z54" i="9"/>
  <c r="Y54" i="28" s="1"/>
  <c r="Y111" i="28" s="1"/>
  <c r="Z55" i="9"/>
  <c r="Y55" i="28" s="1"/>
  <c r="Y112" i="28" s="1"/>
  <c r="Z47" i="9"/>
  <c r="Y47" i="28" s="1"/>
  <c r="Y104" i="28" s="1"/>
  <c r="Z40" i="9"/>
  <c r="Y40" i="28" s="1"/>
  <c r="Y97" i="28" s="1"/>
  <c r="Z33" i="9"/>
  <c r="Y33" i="28" s="1"/>
  <c r="Y90" i="28" s="1"/>
  <c r="Z38" i="9"/>
  <c r="Y38" i="28" s="1"/>
  <c r="Y95" i="28" s="1"/>
  <c r="Z22" i="9"/>
  <c r="Y22" i="28" s="1"/>
  <c r="Y79" i="28" s="1"/>
  <c r="Z27" i="9"/>
  <c r="Y27" i="28" s="1"/>
  <c r="Y84" i="28" s="1"/>
  <c r="Z32" i="9"/>
  <c r="Y32" i="28" s="1"/>
  <c r="Y89" i="28" s="1"/>
  <c r="Z21" i="9"/>
  <c r="Y21" i="28" s="1"/>
  <c r="Y78" i="28" s="1"/>
  <c r="Z9" i="9"/>
  <c r="Y9" i="28" s="1"/>
  <c r="Y66" i="28" s="1"/>
  <c r="Z14" i="9"/>
  <c r="Y14" i="28" s="1"/>
  <c r="Y71" i="28" s="1"/>
  <c r="Z10" i="9"/>
  <c r="Y10" i="28" s="1"/>
  <c r="Y67" i="28" s="1"/>
  <c r="Z52" i="9"/>
  <c r="Y52" i="28" s="1"/>
  <c r="Y109" i="28" s="1"/>
  <c r="Z53" i="9"/>
  <c r="Y53" i="28" s="1"/>
  <c r="Y110" i="28" s="1"/>
  <c r="Z46" i="9"/>
  <c r="Y46" i="28" s="1"/>
  <c r="Y103" i="28" s="1"/>
  <c r="Z41" i="9"/>
  <c r="Y41" i="28" s="1"/>
  <c r="Y98" i="28" s="1"/>
  <c r="Z31" i="9"/>
  <c r="Y31" i="28" s="1"/>
  <c r="Y88" i="28" s="1"/>
  <c r="Z39" i="9"/>
  <c r="Y39" i="28" s="1"/>
  <c r="Y96" i="28" s="1"/>
  <c r="Z45" i="9"/>
  <c r="Y45" i="28" s="1"/>
  <c r="Y102" i="28" s="1"/>
  <c r="Z25" i="9"/>
  <c r="Y25" i="28" s="1"/>
  <c r="Y82" i="28" s="1"/>
  <c r="Z28" i="9"/>
  <c r="Y28" i="28" s="1"/>
  <c r="Y85" i="28" s="1"/>
  <c r="Z16" i="9"/>
  <c r="Y16" i="28" s="1"/>
  <c r="Y73" i="28" s="1"/>
  <c r="Z7" i="9"/>
  <c r="Y7" i="28" s="1"/>
  <c r="Y64" i="28" s="1"/>
  <c r="Z20" i="9"/>
  <c r="Y20" i="28" s="1"/>
  <c r="Y77" i="28" s="1"/>
  <c r="Z8" i="9"/>
  <c r="Y8" i="28" s="1"/>
  <c r="Y65" i="28" s="1"/>
  <c r="Z50" i="9"/>
  <c r="Y50" i="28" s="1"/>
  <c r="Y107" i="28" s="1"/>
  <c r="Z51" i="9"/>
  <c r="Y51" i="28" s="1"/>
  <c r="Y108" i="28" s="1"/>
  <c r="Z44" i="9"/>
  <c r="Y44" i="28" s="1"/>
  <c r="Y101" i="28" s="1"/>
  <c r="Z37" i="9"/>
  <c r="Y37" i="28" s="1"/>
  <c r="Y94" i="28" s="1"/>
  <c r="Z29" i="9"/>
  <c r="Y29" i="28" s="1"/>
  <c r="Y86" i="28" s="1"/>
  <c r="Z26" i="9"/>
  <c r="Y26" i="28" s="1"/>
  <c r="Y83" i="28" s="1"/>
  <c r="Z34" i="9"/>
  <c r="Y34" i="28" s="1"/>
  <c r="Y91" i="28" s="1"/>
  <c r="Z23" i="9"/>
  <c r="Y23" i="28" s="1"/>
  <c r="Y80" i="28" s="1"/>
  <c r="Z18" i="9"/>
  <c r="Y18" i="28" s="1"/>
  <c r="Y75" i="28" s="1"/>
  <c r="Z13" i="9"/>
  <c r="Y13" i="28" s="1"/>
  <c r="Y70" i="28" s="1"/>
  <c r="Z5" i="9"/>
  <c r="Y5" i="28" s="1"/>
  <c r="Y62" i="28" s="1"/>
  <c r="Z17" i="9"/>
  <c r="Y17" i="28" s="1"/>
  <c r="Y74" i="28" s="1"/>
  <c r="Z6" i="9"/>
  <c r="Y6" i="28" s="1"/>
  <c r="Y63" i="28" s="1"/>
  <c r="Z56" i="9"/>
  <c r="Y56" i="28" s="1"/>
  <c r="Y113" i="28" s="1"/>
  <c r="Z48" i="9"/>
  <c r="Y48" i="28" s="1"/>
  <c r="Y105" i="28" s="1"/>
  <c r="Z49" i="9"/>
  <c r="Y49" i="28" s="1"/>
  <c r="Y106" i="28" s="1"/>
  <c r="Z42" i="9"/>
  <c r="Y42" i="28" s="1"/>
  <c r="Y99" i="28" s="1"/>
  <c r="Z35" i="9"/>
  <c r="Y35" i="28" s="1"/>
  <c r="Y92" i="28" s="1"/>
  <c r="Z43" i="9"/>
  <c r="Y43" i="28" s="1"/>
  <c r="Y100" i="28" s="1"/>
  <c r="Z24" i="9"/>
  <c r="Y24" i="28" s="1"/>
  <c r="Y81" i="28" s="1"/>
  <c r="Z30" i="9"/>
  <c r="Y30" i="28" s="1"/>
  <c r="Y87" i="28" s="1"/>
  <c r="Z36" i="9"/>
  <c r="Y36" i="28" s="1"/>
  <c r="Y93" i="28" s="1"/>
  <c r="Z15" i="9"/>
  <c r="Y15" i="28" s="1"/>
  <c r="Y72" i="28" s="1"/>
  <c r="Z11" i="9"/>
  <c r="Y11" i="28" s="1"/>
  <c r="Y68" i="28" s="1"/>
  <c r="Z19" i="9"/>
  <c r="Y19" i="28" s="1"/>
  <c r="Y76" i="28" s="1"/>
  <c r="Z12" i="9"/>
  <c r="Y12" i="28" s="1"/>
  <c r="Y69" i="28" s="1"/>
  <c r="M29" i="7"/>
  <c r="U42" i="8"/>
  <c r="T42" i="28" s="1"/>
  <c r="T99" i="28" s="1"/>
  <c r="U42" i="9"/>
  <c r="U43" i="8"/>
  <c r="T43" i="28" s="1"/>
  <c r="T100" i="28" s="1"/>
  <c r="U43" i="9"/>
  <c r="U41" i="8"/>
  <c r="T41" i="28" s="1"/>
  <c r="T98" i="28" s="1"/>
  <c r="U41" i="9"/>
  <c r="U39" i="8"/>
  <c r="T39" i="28" s="1"/>
  <c r="T96" i="28" s="1"/>
  <c r="U39" i="9"/>
  <c r="U37" i="8"/>
  <c r="T37" i="28" s="1"/>
  <c r="T94" i="28" s="1"/>
  <c r="U37" i="9"/>
  <c r="U35" i="8"/>
  <c r="T35" i="28" s="1"/>
  <c r="T92" i="28" s="1"/>
  <c r="U35" i="9"/>
  <c r="U33" i="8"/>
  <c r="T33" i="28" s="1"/>
  <c r="T90" i="28" s="1"/>
  <c r="U33" i="9"/>
  <c r="U8" i="8"/>
  <c r="T8" i="28" s="1"/>
  <c r="T65" i="28" s="1"/>
  <c r="U8" i="9"/>
  <c r="U17" i="8"/>
  <c r="T17" i="28" s="1"/>
  <c r="T74" i="28" s="1"/>
  <c r="U17" i="9"/>
  <c r="U7" i="8"/>
  <c r="T7" i="28" s="1"/>
  <c r="T64" i="28" s="1"/>
  <c r="U7" i="9"/>
  <c r="U11" i="8"/>
  <c r="T11" i="28" s="1"/>
  <c r="T68" i="28" s="1"/>
  <c r="U11" i="9"/>
  <c r="U6" i="8"/>
  <c r="T6" i="28" s="1"/>
  <c r="T63" i="28" s="1"/>
  <c r="U6" i="9"/>
  <c r="M17" i="7"/>
  <c r="P49" i="9"/>
  <c r="P44" i="9"/>
  <c r="P56" i="9"/>
  <c r="P46" i="9"/>
  <c r="P36" i="9"/>
  <c r="P54" i="9"/>
  <c r="P10" i="9"/>
  <c r="P22" i="9"/>
  <c r="P7" i="9"/>
  <c r="P27" i="9"/>
  <c r="P18" i="9"/>
  <c r="P34" i="9"/>
  <c r="P23" i="9"/>
  <c r="AI36" i="9"/>
  <c r="AI45" i="9"/>
  <c r="AI41" i="9"/>
  <c r="AI56" i="9"/>
  <c r="AI53" i="9"/>
  <c r="AI52" i="9"/>
  <c r="AI38" i="9"/>
  <c r="AI28" i="9"/>
  <c r="AI16" i="9"/>
  <c r="AI15" i="9"/>
  <c r="AI10" i="9"/>
  <c r="AI25" i="9"/>
  <c r="AI22" i="9"/>
  <c r="M35" i="7"/>
  <c r="AA54" i="9"/>
  <c r="Z54" i="28" s="1"/>
  <c r="Z111" i="28" s="1"/>
  <c r="AA55" i="9"/>
  <c r="Z55" i="28" s="1"/>
  <c r="Z112" i="28" s="1"/>
  <c r="AA46" i="9"/>
  <c r="Z46" i="28" s="1"/>
  <c r="Z103" i="28" s="1"/>
  <c r="AA38" i="9"/>
  <c r="Z38" i="28" s="1"/>
  <c r="Z95" i="28" s="1"/>
  <c r="AA39" i="9"/>
  <c r="Z39" i="28" s="1"/>
  <c r="Z96" i="28" s="1"/>
  <c r="AA35" i="9"/>
  <c r="Z35" i="28" s="1"/>
  <c r="Z92" i="28" s="1"/>
  <c r="AA34" i="9"/>
  <c r="Z34" i="28" s="1"/>
  <c r="Z91" i="28" s="1"/>
  <c r="AA23" i="9"/>
  <c r="Z23" i="28" s="1"/>
  <c r="Z80" i="28" s="1"/>
  <c r="AA24" i="9"/>
  <c r="Z24" i="28" s="1"/>
  <c r="Z81" i="28" s="1"/>
  <c r="AA16" i="9"/>
  <c r="Z16" i="28" s="1"/>
  <c r="Z73" i="28" s="1"/>
  <c r="AA13" i="9"/>
  <c r="Z13" i="28" s="1"/>
  <c r="Z70" i="28" s="1"/>
  <c r="AA5" i="9"/>
  <c r="Z5" i="28" s="1"/>
  <c r="Z62" i="28" s="1"/>
  <c r="AA8" i="9"/>
  <c r="Z8" i="28" s="1"/>
  <c r="Z65" i="28" s="1"/>
  <c r="AA52" i="9"/>
  <c r="Z52" i="28" s="1"/>
  <c r="Z109" i="28" s="1"/>
  <c r="AA53" i="9"/>
  <c r="Z53" i="28" s="1"/>
  <c r="Z110" i="28" s="1"/>
  <c r="AA44" i="9"/>
  <c r="Z44" i="28" s="1"/>
  <c r="Z101" i="28" s="1"/>
  <c r="AA45" i="9"/>
  <c r="Z45" i="28" s="1"/>
  <c r="Z102" i="28" s="1"/>
  <c r="AA37" i="9"/>
  <c r="Z37" i="28" s="1"/>
  <c r="Z94" i="28" s="1"/>
  <c r="AA33" i="9"/>
  <c r="Z33" i="28" s="1"/>
  <c r="Z90" i="28" s="1"/>
  <c r="AA30" i="9"/>
  <c r="Z30" i="28" s="1"/>
  <c r="Z87" i="28" s="1"/>
  <c r="AA32" i="9"/>
  <c r="Z32" i="28" s="1"/>
  <c r="Z89" i="28" s="1"/>
  <c r="AA22" i="9"/>
  <c r="Z22" i="28" s="1"/>
  <c r="Z79" i="28" s="1"/>
  <c r="AA14" i="9"/>
  <c r="Z14" i="28" s="1"/>
  <c r="Z71" i="28" s="1"/>
  <c r="AA11" i="9"/>
  <c r="Z11" i="28" s="1"/>
  <c r="Z68" i="28" s="1"/>
  <c r="AA19" i="9"/>
  <c r="Z19" i="28" s="1"/>
  <c r="Z76" i="28" s="1"/>
  <c r="AA6" i="9"/>
  <c r="Z6" i="28" s="1"/>
  <c r="Z63" i="28" s="1"/>
  <c r="AA50" i="9"/>
  <c r="Z50" i="28" s="1"/>
  <c r="Z107" i="28" s="1"/>
  <c r="AA51" i="9"/>
  <c r="Z51" i="28" s="1"/>
  <c r="Z108" i="28" s="1"/>
  <c r="AA42" i="9"/>
  <c r="Z42" i="28" s="1"/>
  <c r="Z99" i="28" s="1"/>
  <c r="AA43" i="9"/>
  <c r="Z43" i="28" s="1"/>
  <c r="Z100" i="28" s="1"/>
  <c r="AA47" i="9"/>
  <c r="Z47" i="28" s="1"/>
  <c r="Z104" i="28" s="1"/>
  <c r="AA31" i="9"/>
  <c r="Z31" i="28" s="1"/>
  <c r="Z88" i="28" s="1"/>
  <c r="AA27" i="9"/>
  <c r="Z27" i="28" s="1"/>
  <c r="Z84" i="28" s="1"/>
  <c r="AA28" i="9"/>
  <c r="Z28" i="28" s="1"/>
  <c r="Z85" i="28" s="1"/>
  <c r="AA20" i="9"/>
  <c r="Z20" i="28" s="1"/>
  <c r="Z77" i="28" s="1"/>
  <c r="AA12" i="9"/>
  <c r="Z12" i="28" s="1"/>
  <c r="Z69" i="28" s="1"/>
  <c r="AA9" i="9"/>
  <c r="Z9" i="28" s="1"/>
  <c r="Z66" i="28" s="1"/>
  <c r="AA17" i="9"/>
  <c r="Z17" i="28" s="1"/>
  <c r="Z74" i="28" s="1"/>
  <c r="AA15" i="9"/>
  <c r="Z15" i="28" s="1"/>
  <c r="Z72" i="28" s="1"/>
  <c r="AA56" i="9"/>
  <c r="Z56" i="28" s="1"/>
  <c r="Z113" i="28" s="1"/>
  <c r="AA48" i="9"/>
  <c r="Z48" i="28" s="1"/>
  <c r="Z105" i="28" s="1"/>
  <c r="AA49" i="9"/>
  <c r="Z49" i="28" s="1"/>
  <c r="Z106" i="28" s="1"/>
  <c r="AA40" i="9"/>
  <c r="Z40" i="28" s="1"/>
  <c r="Z97" i="28" s="1"/>
  <c r="AA41" i="9"/>
  <c r="Z41" i="28" s="1"/>
  <c r="Z98" i="28" s="1"/>
  <c r="AA36" i="9"/>
  <c r="Z36" i="28" s="1"/>
  <c r="Z93" i="28" s="1"/>
  <c r="AA29" i="9"/>
  <c r="Z29" i="28" s="1"/>
  <c r="Z86" i="28" s="1"/>
  <c r="AA25" i="9"/>
  <c r="Z25" i="28" s="1"/>
  <c r="Z82" i="28" s="1"/>
  <c r="AA26" i="9"/>
  <c r="Z26" i="28" s="1"/>
  <c r="Z83" i="28" s="1"/>
  <c r="AA18" i="9"/>
  <c r="Z18" i="28" s="1"/>
  <c r="Z75" i="28" s="1"/>
  <c r="AA21" i="9"/>
  <c r="Z21" i="28" s="1"/>
  <c r="Z78" i="28" s="1"/>
  <c r="AA7" i="9"/>
  <c r="Z7" i="28" s="1"/>
  <c r="Z64" i="28" s="1"/>
  <c r="AA10" i="9"/>
  <c r="Z10" i="28" s="1"/>
  <c r="Z67" i="28" s="1"/>
  <c r="AD51" i="7"/>
  <c r="AC51" i="9"/>
  <c r="AD51" i="9" s="1"/>
  <c r="AD32" i="7"/>
  <c r="AC32" i="9"/>
  <c r="AD32" i="9" s="1"/>
  <c r="AD49" i="7"/>
  <c r="AC49" i="9"/>
  <c r="AD49" i="9" s="1"/>
  <c r="AD27" i="7"/>
  <c r="AC27" i="9"/>
  <c r="AD27" i="9" s="1"/>
  <c r="AD48" i="7"/>
  <c r="AC48" i="9"/>
  <c r="AD48" i="9" s="1"/>
  <c r="AD42" i="7"/>
  <c r="AC42" i="9"/>
  <c r="AD42" i="9" s="1"/>
  <c r="AD39" i="7"/>
  <c r="AC39" i="9"/>
  <c r="AD39" i="9" s="1"/>
  <c r="AD7" i="7"/>
  <c r="AC7" i="9"/>
  <c r="AD7" i="9" s="1"/>
  <c r="AD11" i="7"/>
  <c r="AC11" i="9"/>
  <c r="AD11" i="9" s="1"/>
  <c r="AD6" i="7"/>
  <c r="AC6" i="9"/>
  <c r="AD6" i="9" s="1"/>
  <c r="AD5" i="7"/>
  <c r="AC5" i="9"/>
  <c r="AC58" i="7"/>
  <c r="AC63" i="7" s="1"/>
  <c r="AC9" i="8" s="1"/>
  <c r="AD14" i="7"/>
  <c r="AC14" i="9"/>
  <c r="AD14" i="9" s="1"/>
  <c r="AC30" i="8"/>
  <c r="AD30" i="8" s="1"/>
  <c r="AD30" i="7"/>
  <c r="AC30" i="9"/>
  <c r="AD30" i="9" s="1"/>
  <c r="M25" i="7"/>
  <c r="R42" i="9"/>
  <c r="R56" i="9"/>
  <c r="R54" i="9"/>
  <c r="R36" i="9"/>
  <c r="R41" i="9"/>
  <c r="R53" i="9"/>
  <c r="R18" i="9"/>
  <c r="R34" i="9"/>
  <c r="R23" i="9"/>
  <c r="R8" i="9"/>
  <c r="R17" i="9"/>
  <c r="R33" i="9"/>
  <c r="R24" i="9"/>
  <c r="M28" i="7"/>
  <c r="W26" i="9"/>
  <c r="W48" i="9"/>
  <c r="W53" i="9"/>
  <c r="W28" i="9"/>
  <c r="W56" i="9"/>
  <c r="W36" i="9"/>
  <c r="W52" i="9"/>
  <c r="W32" i="9"/>
  <c r="W18" i="9"/>
  <c r="W20" i="9"/>
  <c r="W10" i="9"/>
  <c r="W22" i="9"/>
  <c r="W16" i="9"/>
  <c r="M14" i="7"/>
  <c r="M10" i="7"/>
  <c r="M5" i="7"/>
  <c r="M20" i="7"/>
  <c r="M15" i="7"/>
  <c r="M6" i="7"/>
  <c r="M21" i="7"/>
  <c r="M11" i="7"/>
  <c r="M7" i="7"/>
  <c r="M19" i="7"/>
  <c r="M55" i="7"/>
  <c r="Y18" i="11"/>
  <c r="Y11" i="11"/>
  <c r="Y9" i="11"/>
  <c r="Y13" i="11"/>
  <c r="Y6" i="11"/>
  <c r="Y10" i="11"/>
  <c r="Y8" i="11"/>
  <c r="Y12" i="11"/>
  <c r="Y7" i="11"/>
  <c r="Y5" i="11"/>
  <c r="Y23" i="11"/>
  <c r="Y39" i="11"/>
  <c r="Y15" i="11"/>
  <c r="Y32" i="11"/>
  <c r="Y29" i="11"/>
  <c r="Y22" i="11"/>
  <c r="Y27" i="11"/>
  <c r="Y43" i="11"/>
  <c r="Y20" i="11"/>
  <c r="Y36" i="11"/>
  <c r="Y16" i="11"/>
  <c r="Y33" i="11"/>
  <c r="Y14" i="11"/>
  <c r="Y31" i="11"/>
  <c r="Y24" i="11"/>
  <c r="Y40" i="11"/>
  <c r="Y21" i="11"/>
  <c r="Y37" i="11"/>
  <c r="Y30" i="11"/>
  <c r="Y44" i="11"/>
  <c r="Y25" i="11"/>
  <c r="Y17" i="11"/>
  <c r="Y42" i="11"/>
  <c r="Y19" i="11"/>
  <c r="Y41" i="11"/>
  <c r="Y26" i="11"/>
  <c r="Y35" i="11"/>
  <c r="Y34" i="11"/>
  <c r="Y28" i="11"/>
  <c r="Y38" i="11"/>
  <c r="AO9" i="9"/>
  <c r="T40" i="12"/>
  <c r="R40" i="29" s="1"/>
  <c r="R85" i="29" s="1"/>
  <c r="T40" i="13"/>
  <c r="N34" i="12"/>
  <c r="N34" i="29" s="1"/>
  <c r="N79" i="29" s="1"/>
  <c r="N34" i="13"/>
  <c r="N44" i="12"/>
  <c r="N44" i="29" s="1"/>
  <c r="N89" i="29" s="1"/>
  <c r="N44" i="13"/>
  <c r="N30" i="12"/>
  <c r="N30" i="29" s="1"/>
  <c r="N75" i="29" s="1"/>
  <c r="N30" i="13"/>
  <c r="N24" i="12"/>
  <c r="N24" i="29" s="1"/>
  <c r="N69" i="29" s="1"/>
  <c r="N24" i="13"/>
  <c r="N26" i="12"/>
  <c r="N26" i="29" s="1"/>
  <c r="N71" i="29" s="1"/>
  <c r="N26" i="13"/>
  <c r="N20" i="12"/>
  <c r="N20" i="29" s="1"/>
  <c r="N65" i="29" s="1"/>
  <c r="N20" i="13"/>
  <c r="N9" i="12"/>
  <c r="N9" i="29" s="1"/>
  <c r="N54" i="29" s="1"/>
  <c r="N9" i="13"/>
  <c r="N7" i="12"/>
  <c r="N7" i="29" s="1"/>
  <c r="N52" i="29" s="1"/>
  <c r="N7" i="13"/>
  <c r="N13" i="12"/>
  <c r="N13" i="29" s="1"/>
  <c r="N58" i="29" s="1"/>
  <c r="N13" i="13"/>
  <c r="T37" i="12"/>
  <c r="R37" i="29" s="1"/>
  <c r="R82" i="29" s="1"/>
  <c r="T37" i="13"/>
  <c r="N22" i="12"/>
  <c r="N22" i="29" s="1"/>
  <c r="N67" i="29" s="1"/>
  <c r="N22" i="13"/>
  <c r="R29" i="11"/>
  <c r="Q29" i="12"/>
  <c r="R29" i="12" s="1"/>
  <c r="Q29" i="13"/>
  <c r="R29" i="13" s="1"/>
  <c r="R23" i="11"/>
  <c r="Q23" i="12"/>
  <c r="R23" i="12" s="1"/>
  <c r="Q23" i="13"/>
  <c r="R23" i="13" s="1"/>
  <c r="Q44" i="12"/>
  <c r="R44" i="12" s="1"/>
  <c r="R44" i="11"/>
  <c r="Q44" i="13"/>
  <c r="R44" i="13" s="1"/>
  <c r="R30" i="11"/>
  <c r="Q30" i="12"/>
  <c r="R30" i="12" s="1"/>
  <c r="Q30" i="13"/>
  <c r="R30" i="13" s="1"/>
  <c r="Q24" i="12"/>
  <c r="R24" i="12" s="1"/>
  <c r="R24" i="11"/>
  <c r="Q24" i="13"/>
  <c r="R24" i="13" s="1"/>
  <c r="R6" i="11"/>
  <c r="Q6" i="12"/>
  <c r="R6" i="12" s="1"/>
  <c r="Q6" i="13"/>
  <c r="R6" i="13" s="1"/>
  <c r="R9" i="11"/>
  <c r="Q9" i="12"/>
  <c r="R9" i="12" s="1"/>
  <c r="Q9" i="13"/>
  <c r="R9" i="13" s="1"/>
  <c r="R7" i="11"/>
  <c r="Q7" i="12"/>
  <c r="R7" i="12" s="1"/>
  <c r="Q7" i="13"/>
  <c r="R7" i="13" s="1"/>
  <c r="Q20" i="12"/>
  <c r="R20" i="12" s="1"/>
  <c r="R20" i="11"/>
  <c r="Q20" i="13"/>
  <c r="R20" i="13" s="1"/>
  <c r="T38" i="12"/>
  <c r="R38" i="29" s="1"/>
  <c r="R83" i="29" s="1"/>
  <c r="T38" i="13"/>
  <c r="T33" i="12"/>
  <c r="R33" i="29" s="1"/>
  <c r="R78" i="29" s="1"/>
  <c r="T33" i="13"/>
  <c r="T43" i="12"/>
  <c r="R43" i="29" s="1"/>
  <c r="R88" i="29" s="1"/>
  <c r="T43" i="13"/>
  <c r="T15" i="12"/>
  <c r="R15" i="29" s="1"/>
  <c r="R60" i="29" s="1"/>
  <c r="T15" i="13"/>
  <c r="T17" i="12"/>
  <c r="R17" i="29" s="1"/>
  <c r="R62" i="29" s="1"/>
  <c r="T17" i="13"/>
  <c r="T28" i="12"/>
  <c r="R28" i="29" s="1"/>
  <c r="R73" i="29" s="1"/>
  <c r="T28" i="13"/>
  <c r="T11" i="12"/>
  <c r="R11" i="29" s="1"/>
  <c r="R56" i="29" s="1"/>
  <c r="T11" i="13"/>
  <c r="T7" i="12"/>
  <c r="R7" i="29" s="1"/>
  <c r="R52" i="29" s="1"/>
  <c r="T7" i="13"/>
  <c r="T13" i="12"/>
  <c r="R13" i="29" s="1"/>
  <c r="R58" i="29" s="1"/>
  <c r="T13" i="13"/>
  <c r="M48" i="7"/>
  <c r="X19" i="8"/>
  <c r="W19" i="28" s="1"/>
  <c r="W76" i="28" s="1"/>
  <c r="X35" i="8"/>
  <c r="W35" i="28" s="1"/>
  <c r="W92" i="28" s="1"/>
  <c r="X35" i="9"/>
  <c r="X21" i="8"/>
  <c r="W21" i="28" s="1"/>
  <c r="W78" i="28" s="1"/>
  <c r="X21" i="9"/>
  <c r="X6" i="8"/>
  <c r="W6" i="28" s="1"/>
  <c r="W63" i="28" s="1"/>
  <c r="X6" i="9"/>
  <c r="X28" i="8"/>
  <c r="W28" i="28" s="1"/>
  <c r="W85" i="28" s="1"/>
  <c r="X28" i="9"/>
  <c r="X8" i="8"/>
  <c r="W8" i="28" s="1"/>
  <c r="W65" i="28" s="1"/>
  <c r="X8" i="9"/>
  <c r="X17" i="8"/>
  <c r="W17" i="28" s="1"/>
  <c r="W74" i="28" s="1"/>
  <c r="X17" i="9"/>
  <c r="X33" i="8"/>
  <c r="W33" i="28" s="1"/>
  <c r="W90" i="28" s="1"/>
  <c r="X33" i="9"/>
  <c r="X43" i="8"/>
  <c r="W43" i="28" s="1"/>
  <c r="W100" i="28" s="1"/>
  <c r="X43" i="9"/>
  <c r="X51" i="8"/>
  <c r="W51" i="28" s="1"/>
  <c r="W108" i="28" s="1"/>
  <c r="X51" i="9"/>
  <c r="X40" i="8"/>
  <c r="W40" i="28" s="1"/>
  <c r="W97" i="28" s="1"/>
  <c r="X40" i="9"/>
  <c r="X48" i="8"/>
  <c r="W48" i="28" s="1"/>
  <c r="W105" i="28" s="1"/>
  <c r="X48" i="9"/>
  <c r="X56" i="8"/>
  <c r="W56" i="28" s="1"/>
  <c r="W113" i="28" s="1"/>
  <c r="X56" i="9"/>
  <c r="M39" i="7"/>
  <c r="O37" i="9"/>
  <c r="O51" i="9"/>
  <c r="O49" i="9"/>
  <c r="O47" i="9"/>
  <c r="O45" i="9"/>
  <c r="O43" i="9"/>
  <c r="O48" i="9"/>
  <c r="O7" i="9"/>
  <c r="O11" i="9"/>
  <c r="O6" i="9"/>
  <c r="O5" i="9"/>
  <c r="O58" i="7"/>
  <c r="O63" i="7" s="1"/>
  <c r="O9" i="8" s="1"/>
  <c r="O9" i="28" s="1"/>
  <c r="O66" i="28" s="1"/>
  <c r="O14" i="9"/>
  <c r="O30" i="9"/>
  <c r="AH37" i="9"/>
  <c r="AH48" i="9"/>
  <c r="AH44" i="9"/>
  <c r="AH43" i="9"/>
  <c r="AH40" i="9"/>
  <c r="AH55" i="9"/>
  <c r="AH52" i="9"/>
  <c r="AH15" i="9"/>
  <c r="AH10" i="9"/>
  <c r="AH25" i="9"/>
  <c r="AH22" i="9"/>
  <c r="AH13" i="9"/>
  <c r="Q43" i="13"/>
  <c r="R43" i="13" s="1"/>
  <c r="M34" i="7"/>
  <c r="L41" i="8"/>
  <c r="L41" i="28" s="1"/>
  <c r="L98" i="28" s="1"/>
  <c r="L41" i="9"/>
  <c r="L51" i="8"/>
  <c r="L51" i="28" s="1"/>
  <c r="L108" i="28" s="1"/>
  <c r="L51" i="9"/>
  <c r="L53" i="8"/>
  <c r="L53" i="28" s="1"/>
  <c r="L110" i="28" s="1"/>
  <c r="L53" i="9"/>
  <c r="L47" i="8"/>
  <c r="L47" i="28" s="1"/>
  <c r="L104" i="28" s="1"/>
  <c r="L47" i="9"/>
  <c r="L49" i="8"/>
  <c r="L49" i="28" s="1"/>
  <c r="L106" i="28" s="1"/>
  <c r="L49" i="9"/>
  <c r="L43" i="8"/>
  <c r="L43" i="28" s="1"/>
  <c r="L100" i="28" s="1"/>
  <c r="L43" i="9"/>
  <c r="L45" i="8"/>
  <c r="L45" i="28" s="1"/>
  <c r="L102" i="28" s="1"/>
  <c r="L45" i="9"/>
  <c r="L44" i="8"/>
  <c r="L44" i="28" s="1"/>
  <c r="L101" i="28" s="1"/>
  <c r="L44" i="9"/>
  <c r="L20" i="8"/>
  <c r="L20" i="28" s="1"/>
  <c r="L77" i="28" s="1"/>
  <c r="L20" i="9"/>
  <c r="L8" i="8"/>
  <c r="L8" i="28" s="1"/>
  <c r="L65" i="28" s="1"/>
  <c r="L8" i="9"/>
  <c r="L19" i="8"/>
  <c r="L19" i="28" s="1"/>
  <c r="L76" i="28" s="1"/>
  <c r="L19" i="9"/>
  <c r="L13" i="8"/>
  <c r="L13" i="28" s="1"/>
  <c r="L70" i="28" s="1"/>
  <c r="L13" i="9"/>
  <c r="L29" i="8"/>
  <c r="L29" i="28" s="1"/>
  <c r="L86" i="28" s="1"/>
  <c r="L29" i="9"/>
  <c r="M41" i="7"/>
  <c r="Q25" i="8"/>
  <c r="Q25" i="28" s="1"/>
  <c r="Q82" i="28" s="1"/>
  <c r="Q25" i="9"/>
  <c r="Q55" i="8"/>
  <c r="Q55" i="28" s="1"/>
  <c r="Q112" i="28" s="1"/>
  <c r="Q55" i="9"/>
  <c r="Q17" i="8"/>
  <c r="Q17" i="28" s="1"/>
  <c r="Q74" i="28" s="1"/>
  <c r="Q17" i="9"/>
  <c r="Q35" i="8"/>
  <c r="Q35" i="28" s="1"/>
  <c r="Q92" i="28" s="1"/>
  <c r="Q35" i="9"/>
  <c r="Q56" i="8"/>
  <c r="Q56" i="28" s="1"/>
  <c r="Q113" i="28" s="1"/>
  <c r="Q56" i="9"/>
  <c r="Q54" i="8"/>
  <c r="Q54" i="28" s="1"/>
  <c r="Q111" i="28" s="1"/>
  <c r="Q54" i="9"/>
  <c r="Q52" i="8"/>
  <c r="Q52" i="28" s="1"/>
  <c r="Q109" i="28" s="1"/>
  <c r="Q52" i="9"/>
  <c r="Q39" i="8"/>
  <c r="Q39" i="28" s="1"/>
  <c r="Q96" i="28" s="1"/>
  <c r="Q39" i="9"/>
  <c r="Q28" i="8"/>
  <c r="Q28" i="28" s="1"/>
  <c r="Q85" i="28" s="1"/>
  <c r="Q28" i="9"/>
  <c r="Q10" i="8"/>
  <c r="Q10" i="28" s="1"/>
  <c r="Q67" i="28" s="1"/>
  <c r="Q10" i="9"/>
  <c r="Q27" i="8"/>
  <c r="Q27" i="28" s="1"/>
  <c r="Q84" i="28" s="1"/>
  <c r="Q27" i="9"/>
  <c r="Q18" i="8"/>
  <c r="Q18" i="28" s="1"/>
  <c r="Q75" i="28" s="1"/>
  <c r="Q18" i="9"/>
  <c r="Q34" i="8"/>
  <c r="Q34" i="28" s="1"/>
  <c r="Q91" i="28" s="1"/>
  <c r="Q34" i="9"/>
  <c r="M51" i="7"/>
  <c r="U45" i="8"/>
  <c r="T45" i="28" s="1"/>
  <c r="T102" i="28" s="1"/>
  <c r="U45" i="9"/>
  <c r="U52" i="8"/>
  <c r="T52" i="28" s="1"/>
  <c r="T109" i="28" s="1"/>
  <c r="U52" i="9"/>
  <c r="U26" i="8"/>
  <c r="T26" i="28" s="1"/>
  <c r="T83" i="28" s="1"/>
  <c r="U26" i="9"/>
  <c r="U48" i="8"/>
  <c r="T48" i="28" s="1"/>
  <c r="T105" i="28" s="1"/>
  <c r="U48" i="9"/>
  <c r="U50" i="8"/>
  <c r="T50" i="28" s="1"/>
  <c r="T107" i="28" s="1"/>
  <c r="U50" i="9"/>
  <c r="U44" i="8"/>
  <c r="T44" i="28" s="1"/>
  <c r="T101" i="28" s="1"/>
  <c r="U44" i="9"/>
  <c r="U46" i="8"/>
  <c r="T46" i="28" s="1"/>
  <c r="T103" i="28" s="1"/>
  <c r="U46" i="9"/>
  <c r="U56" i="8"/>
  <c r="T56" i="28" s="1"/>
  <c r="T113" i="28" s="1"/>
  <c r="U56" i="9"/>
  <c r="U10" i="8"/>
  <c r="T10" i="28" s="1"/>
  <c r="T67" i="28" s="1"/>
  <c r="U10" i="9"/>
  <c r="U22" i="8"/>
  <c r="T22" i="28" s="1"/>
  <c r="T79" i="28" s="1"/>
  <c r="U22" i="9"/>
  <c r="U16" i="8"/>
  <c r="T16" i="28" s="1"/>
  <c r="T73" i="28" s="1"/>
  <c r="U16" i="9"/>
  <c r="U13" i="8"/>
  <c r="T13" i="28" s="1"/>
  <c r="T70" i="28" s="1"/>
  <c r="U13" i="9"/>
  <c r="U15" i="8"/>
  <c r="T15" i="28" s="1"/>
  <c r="T72" i="28" s="1"/>
  <c r="U15" i="9"/>
  <c r="M36" i="7"/>
  <c r="P48" i="9"/>
  <c r="P43" i="9"/>
  <c r="P40" i="9"/>
  <c r="P53" i="9"/>
  <c r="P51" i="9"/>
  <c r="P38" i="9"/>
  <c r="P12" i="9"/>
  <c r="P25" i="9"/>
  <c r="P16" i="9"/>
  <c r="P32" i="9"/>
  <c r="P21" i="9"/>
  <c r="P6" i="9"/>
  <c r="P28" i="9"/>
  <c r="AI31" i="9"/>
  <c r="AI44" i="9"/>
  <c r="AI32" i="9"/>
  <c r="AI40" i="9"/>
  <c r="AI27" i="9"/>
  <c r="AI55" i="9"/>
  <c r="AI49" i="9"/>
  <c r="AI7" i="9"/>
  <c r="AI21" i="9"/>
  <c r="AI18" i="9"/>
  <c r="AI12" i="9"/>
  <c r="AI5" i="9"/>
  <c r="AI58" i="7"/>
  <c r="AI63" i="7" s="1"/>
  <c r="AI9" i="8" s="1"/>
  <c r="AE9" i="28" s="1"/>
  <c r="AE66" i="28" s="1"/>
  <c r="AI30" i="9"/>
  <c r="M43" i="7"/>
  <c r="R48" i="13"/>
  <c r="R48" i="12"/>
  <c r="R48" i="10"/>
  <c r="R48" i="11"/>
  <c r="AC38" i="8"/>
  <c r="AD38" i="8" s="1"/>
  <c r="AD38" i="7"/>
  <c r="AC38" i="9"/>
  <c r="AD38" i="9" s="1"/>
  <c r="AD40" i="7"/>
  <c r="AC40" i="8"/>
  <c r="AD40" i="8" s="1"/>
  <c r="AC40" i="9"/>
  <c r="AD40" i="9" s="1"/>
  <c r="AD52" i="7"/>
  <c r="AC52" i="8"/>
  <c r="AD52" i="8" s="1"/>
  <c r="AC52" i="9"/>
  <c r="AD52" i="9" s="1"/>
  <c r="AC26" i="8"/>
  <c r="AD26" i="8" s="1"/>
  <c r="AD26" i="7"/>
  <c r="AC26" i="9"/>
  <c r="AD26" i="9" s="1"/>
  <c r="AD43" i="7"/>
  <c r="AC43" i="8"/>
  <c r="AD43" i="8" s="1"/>
  <c r="AC43" i="9"/>
  <c r="AD43" i="9" s="1"/>
  <c r="AD41" i="7"/>
  <c r="AC41" i="8"/>
  <c r="AD41" i="8" s="1"/>
  <c r="AC41" i="9"/>
  <c r="AD41" i="9" s="1"/>
  <c r="AD29" i="7"/>
  <c r="AC29" i="8"/>
  <c r="AD29" i="8" s="1"/>
  <c r="AC29" i="9"/>
  <c r="AD29" i="9" s="1"/>
  <c r="AC16" i="8"/>
  <c r="AD16" i="8" s="1"/>
  <c r="AD16" i="7"/>
  <c r="AC16" i="9"/>
  <c r="AD16" i="9" s="1"/>
  <c r="AD13" i="7"/>
  <c r="AC13" i="8"/>
  <c r="AD13" i="8" s="1"/>
  <c r="AC13" i="9"/>
  <c r="AD13" i="9" s="1"/>
  <c r="AD15" i="7"/>
  <c r="AC15" i="8"/>
  <c r="AD15" i="8" s="1"/>
  <c r="AC15" i="9"/>
  <c r="AD15" i="9" s="1"/>
  <c r="AD8" i="7"/>
  <c r="AC8" i="8"/>
  <c r="AD8" i="8" s="1"/>
  <c r="AC8" i="9"/>
  <c r="AD8" i="9" s="1"/>
  <c r="AD17" i="7"/>
  <c r="AC17" i="8"/>
  <c r="AD17" i="8" s="1"/>
  <c r="AC17" i="9"/>
  <c r="AD17" i="9" s="1"/>
  <c r="M38" i="7"/>
  <c r="R44" i="9"/>
  <c r="R40" i="9"/>
  <c r="R38" i="9"/>
  <c r="R51" i="9"/>
  <c r="R48" i="9"/>
  <c r="R37" i="9"/>
  <c r="R21" i="9"/>
  <c r="R6" i="9"/>
  <c r="R28" i="9"/>
  <c r="R10" i="9"/>
  <c r="R22" i="9"/>
  <c r="R7" i="9"/>
  <c r="R27" i="9"/>
  <c r="M37" i="7"/>
  <c r="W38" i="9"/>
  <c r="W42" i="9"/>
  <c r="W44" i="9"/>
  <c r="W39" i="9"/>
  <c r="W40" i="9"/>
  <c r="W35" i="9"/>
  <c r="W51" i="9"/>
  <c r="W31" i="9"/>
  <c r="W21" i="9"/>
  <c r="W23" i="9"/>
  <c r="W12" i="9"/>
  <c r="W25" i="9"/>
  <c r="W19" i="9"/>
  <c r="L47" i="13"/>
  <c r="L47" i="12"/>
  <c r="L47" i="11"/>
  <c r="L47" i="10"/>
  <c r="Y65" i="6"/>
  <c r="S18" i="11"/>
  <c r="S12" i="11"/>
  <c r="S11" i="11"/>
  <c r="S9" i="11"/>
  <c r="S13" i="11"/>
  <c r="S6" i="11"/>
  <c r="S10" i="11"/>
  <c r="S8" i="11"/>
  <c r="S7" i="11"/>
  <c r="S5" i="11"/>
  <c r="S16" i="11"/>
  <c r="S33" i="11"/>
  <c r="S26" i="11"/>
  <c r="S42" i="11"/>
  <c r="S23" i="11"/>
  <c r="S39" i="11"/>
  <c r="S15" i="11"/>
  <c r="S32" i="11"/>
  <c r="S21" i="11"/>
  <c r="S37" i="11"/>
  <c r="S30" i="11"/>
  <c r="S27" i="11"/>
  <c r="S43" i="11"/>
  <c r="S25" i="11"/>
  <c r="S41" i="11"/>
  <c r="S17" i="11"/>
  <c r="S34" i="11"/>
  <c r="S14" i="11"/>
  <c r="S31" i="11"/>
  <c r="S24" i="11"/>
  <c r="S40" i="11"/>
  <c r="S29" i="11"/>
  <c r="S44" i="11"/>
  <c r="S22" i="11"/>
  <c r="S20" i="11"/>
  <c r="S38" i="11"/>
  <c r="S19" i="11"/>
  <c r="S28" i="11"/>
  <c r="S35" i="11"/>
  <c r="S36" i="11"/>
  <c r="Q16" i="12"/>
  <c r="R16" i="12" s="1"/>
  <c r="R16" i="11"/>
  <c r="Q16" i="13"/>
  <c r="R16" i="13" s="1"/>
  <c r="N17" i="12"/>
  <c r="N17" i="29" s="1"/>
  <c r="N62" i="29" s="1"/>
  <c r="N17" i="13"/>
  <c r="N28" i="12"/>
  <c r="N28" i="29" s="1"/>
  <c r="N73" i="29" s="1"/>
  <c r="N28" i="13"/>
  <c r="N37" i="12"/>
  <c r="N37" i="29" s="1"/>
  <c r="N82" i="29" s="1"/>
  <c r="N37" i="13"/>
  <c r="N31" i="12"/>
  <c r="N31" i="29" s="1"/>
  <c r="N76" i="29" s="1"/>
  <c r="N31" i="13"/>
  <c r="N33" i="12"/>
  <c r="N33" i="29" s="1"/>
  <c r="N78" i="29" s="1"/>
  <c r="N33" i="13"/>
  <c r="N43" i="12"/>
  <c r="N43" i="29" s="1"/>
  <c r="N88" i="29" s="1"/>
  <c r="N43" i="13"/>
  <c r="N11" i="12"/>
  <c r="N11" i="29" s="1"/>
  <c r="N56" i="29" s="1"/>
  <c r="N11" i="13"/>
  <c r="N10" i="12"/>
  <c r="N10" i="29" s="1"/>
  <c r="N55" i="29" s="1"/>
  <c r="N10" i="13"/>
  <c r="V22" i="11"/>
  <c r="T22" i="12"/>
  <c r="R22" i="29" s="1"/>
  <c r="R67" i="29" s="1"/>
  <c r="T22" i="13"/>
  <c r="N23" i="12"/>
  <c r="N23" i="29" s="1"/>
  <c r="N68" i="29" s="1"/>
  <c r="N23" i="13"/>
  <c r="Q26" i="12"/>
  <c r="R26" i="12" s="1"/>
  <c r="R26" i="11"/>
  <c r="Q26" i="13"/>
  <c r="R26" i="13" s="1"/>
  <c r="O10" i="11"/>
  <c r="O7" i="11"/>
  <c r="O5" i="11"/>
  <c r="O18" i="11"/>
  <c r="O11" i="11"/>
  <c r="O9" i="11"/>
  <c r="O8" i="11"/>
  <c r="O13" i="11"/>
  <c r="O12" i="11"/>
  <c r="O6" i="11"/>
  <c r="O29" i="11"/>
  <c r="O22" i="11"/>
  <c r="O38" i="11"/>
  <c r="O19" i="11"/>
  <c r="O35" i="11"/>
  <c r="O28" i="11"/>
  <c r="O44" i="11"/>
  <c r="O16" i="11"/>
  <c r="O33" i="11"/>
  <c r="O26" i="11"/>
  <c r="O42" i="11"/>
  <c r="O23" i="11"/>
  <c r="O39" i="11"/>
  <c r="O15" i="11"/>
  <c r="O32" i="11"/>
  <c r="O21" i="11"/>
  <c r="O37" i="11"/>
  <c r="O30" i="11"/>
  <c r="O27" i="11"/>
  <c r="O43" i="11"/>
  <c r="O20" i="11"/>
  <c r="O36" i="11"/>
  <c r="O25" i="11"/>
  <c r="O24" i="11"/>
  <c r="O41" i="11"/>
  <c r="O17" i="11"/>
  <c r="O40" i="11"/>
  <c r="O34" i="11"/>
  <c r="O14" i="11"/>
  <c r="O31" i="11"/>
  <c r="Q32" i="12"/>
  <c r="R32" i="12" s="1"/>
  <c r="R32" i="11"/>
  <c r="Q32" i="13"/>
  <c r="R32" i="13" s="1"/>
  <c r="R17" i="11"/>
  <c r="Q17" i="12"/>
  <c r="R17" i="12" s="1"/>
  <c r="Q17" i="13"/>
  <c r="R17" i="13" s="1"/>
  <c r="Q28" i="12"/>
  <c r="R28" i="12" s="1"/>
  <c r="R28" i="11"/>
  <c r="Q28" i="13"/>
  <c r="R28" i="13" s="1"/>
  <c r="R37" i="11"/>
  <c r="Q37" i="12"/>
  <c r="R37" i="12" s="1"/>
  <c r="Q37" i="13"/>
  <c r="R37" i="13" s="1"/>
  <c r="R31" i="11"/>
  <c r="Q31" i="12"/>
  <c r="R31" i="12" s="1"/>
  <c r="Q31" i="13"/>
  <c r="R31" i="13" s="1"/>
  <c r="Q12" i="12"/>
  <c r="R12" i="12" s="1"/>
  <c r="R12" i="11"/>
  <c r="Q12" i="13"/>
  <c r="R12" i="13" s="1"/>
  <c r="R11" i="11"/>
  <c r="Q11" i="12"/>
  <c r="R11" i="12" s="1"/>
  <c r="Q11" i="13"/>
  <c r="R11" i="13" s="1"/>
  <c r="N39" i="12"/>
  <c r="N39" i="29" s="1"/>
  <c r="N84" i="29" s="1"/>
  <c r="N39" i="13"/>
  <c r="T24" i="12"/>
  <c r="R24" i="29" s="1"/>
  <c r="R69" i="29" s="1"/>
  <c r="T24" i="13"/>
  <c r="T16" i="12"/>
  <c r="R16" i="29" s="1"/>
  <c r="R61" i="29" s="1"/>
  <c r="T16" i="13"/>
  <c r="T27" i="12"/>
  <c r="R27" i="29" s="1"/>
  <c r="R72" i="29" s="1"/>
  <c r="T27" i="13"/>
  <c r="T39" i="12"/>
  <c r="R39" i="29" s="1"/>
  <c r="R84" i="29" s="1"/>
  <c r="T39" i="13"/>
  <c r="T41" i="12"/>
  <c r="R41" i="29" s="1"/>
  <c r="R86" i="29" s="1"/>
  <c r="T41" i="13"/>
  <c r="T35" i="12"/>
  <c r="R35" i="29" s="1"/>
  <c r="R80" i="29" s="1"/>
  <c r="T35" i="13"/>
  <c r="T12" i="12"/>
  <c r="R12" i="29" s="1"/>
  <c r="R57" i="29" s="1"/>
  <c r="T12" i="13"/>
  <c r="T8" i="12"/>
  <c r="R8" i="29" s="1"/>
  <c r="R53" i="29" s="1"/>
  <c r="T8" i="13"/>
  <c r="M24" i="7"/>
  <c r="M56" i="7"/>
  <c r="X24" i="8"/>
  <c r="W24" i="28" s="1"/>
  <c r="W81" i="28" s="1"/>
  <c r="X24" i="9"/>
  <c r="X11" i="8"/>
  <c r="W11" i="28" s="1"/>
  <c r="W68" i="28" s="1"/>
  <c r="X11" i="9"/>
  <c r="X26" i="8"/>
  <c r="W26" i="28" s="1"/>
  <c r="W83" i="28" s="1"/>
  <c r="X26" i="9"/>
  <c r="X15" i="8"/>
  <c r="W15" i="28" s="1"/>
  <c r="W72" i="28" s="1"/>
  <c r="X15" i="9"/>
  <c r="X31" i="8"/>
  <c r="W31" i="28" s="1"/>
  <c r="W88" i="28" s="1"/>
  <c r="X31" i="9"/>
  <c r="X10" i="8"/>
  <c r="W10" i="28" s="1"/>
  <c r="W67" i="28" s="1"/>
  <c r="X10" i="9"/>
  <c r="X22" i="8"/>
  <c r="W22" i="28" s="1"/>
  <c r="W79" i="28" s="1"/>
  <c r="X22" i="9"/>
  <c r="X37" i="8"/>
  <c r="W37" i="28" s="1"/>
  <c r="W94" i="28" s="1"/>
  <c r="X37" i="9"/>
  <c r="X45" i="8"/>
  <c r="W45" i="28" s="1"/>
  <c r="W102" i="28" s="1"/>
  <c r="X45" i="9"/>
  <c r="X53" i="8"/>
  <c r="W53" i="28" s="1"/>
  <c r="W110" i="28" s="1"/>
  <c r="X53" i="9"/>
  <c r="X42" i="8"/>
  <c r="W42" i="28" s="1"/>
  <c r="W99" i="28" s="1"/>
  <c r="X42" i="9"/>
  <c r="X50" i="8"/>
  <c r="W50" i="28" s="1"/>
  <c r="W107" i="28" s="1"/>
  <c r="X50" i="9"/>
  <c r="M18" i="7"/>
  <c r="M47" i="7"/>
  <c r="O55" i="9"/>
  <c r="O35" i="8"/>
  <c r="O35" i="28" s="1"/>
  <c r="O92" i="28" s="1"/>
  <c r="O35" i="9"/>
  <c r="O33" i="9"/>
  <c r="O31" i="8"/>
  <c r="O31" i="28" s="1"/>
  <c r="O88" i="28" s="1"/>
  <c r="O31" i="9"/>
  <c r="O28" i="9"/>
  <c r="O26" i="8"/>
  <c r="O26" i="28" s="1"/>
  <c r="O83" i="28" s="1"/>
  <c r="O26" i="9"/>
  <c r="O32" i="9"/>
  <c r="O16" i="8"/>
  <c r="O16" i="28" s="1"/>
  <c r="O73" i="28" s="1"/>
  <c r="O16" i="9"/>
  <c r="O13" i="9"/>
  <c r="O15" i="8"/>
  <c r="O15" i="28" s="1"/>
  <c r="O72" i="28" s="1"/>
  <c r="O15" i="9"/>
  <c r="O8" i="9"/>
  <c r="O17" i="8"/>
  <c r="O17" i="28" s="1"/>
  <c r="O74" i="28" s="1"/>
  <c r="O17" i="9"/>
  <c r="AH53" i="9"/>
  <c r="AH36" i="9"/>
  <c r="AH47" i="9"/>
  <c r="AH26" i="9"/>
  <c r="AH46" i="9"/>
  <c r="AH38" i="9"/>
  <c r="AH39" i="9"/>
  <c r="AH35" i="9"/>
  <c r="AH18" i="9"/>
  <c r="AH12" i="9"/>
  <c r="AH58" i="7"/>
  <c r="AH63" i="7" s="1"/>
  <c r="AH9" i="8" s="1"/>
  <c r="AD9" i="28" s="1"/>
  <c r="AD66" i="28" s="1"/>
  <c r="AH5" i="9"/>
  <c r="AH30" i="9"/>
  <c r="AH16" i="9"/>
  <c r="Q43" i="12"/>
  <c r="M42" i="7"/>
  <c r="L39" i="8"/>
  <c r="L39" i="28" s="1"/>
  <c r="L96" i="28" s="1"/>
  <c r="L39" i="9"/>
  <c r="L35" i="8"/>
  <c r="L35" i="28" s="1"/>
  <c r="L92" i="28" s="1"/>
  <c r="L35" i="9"/>
  <c r="L37" i="8"/>
  <c r="L37" i="28" s="1"/>
  <c r="L94" i="28" s="1"/>
  <c r="L37" i="9"/>
  <c r="L23" i="8"/>
  <c r="L23" i="28" s="1"/>
  <c r="L80" i="28" s="1"/>
  <c r="L23" i="9"/>
  <c r="L25" i="8"/>
  <c r="L25" i="28" s="1"/>
  <c r="L82" i="28" s="1"/>
  <c r="L25" i="9"/>
  <c r="L12" i="8"/>
  <c r="L12" i="28" s="1"/>
  <c r="L69" i="28" s="1"/>
  <c r="L12" i="9"/>
  <c r="L17" i="8"/>
  <c r="L17" i="28" s="1"/>
  <c r="L74" i="28" s="1"/>
  <c r="L17" i="9"/>
  <c r="L16" i="8"/>
  <c r="L16" i="28" s="1"/>
  <c r="L73" i="28" s="1"/>
  <c r="L16" i="9"/>
  <c r="L28" i="8"/>
  <c r="L28" i="28" s="1"/>
  <c r="L85" i="28" s="1"/>
  <c r="L28" i="9"/>
  <c r="L10" i="8"/>
  <c r="L10" i="28" s="1"/>
  <c r="L67" i="28" s="1"/>
  <c r="L10" i="9"/>
  <c r="L27" i="8"/>
  <c r="L27" i="28" s="1"/>
  <c r="L84" i="28" s="1"/>
  <c r="L27" i="9"/>
  <c r="L18" i="8"/>
  <c r="L18" i="28" s="1"/>
  <c r="L75" i="28" s="1"/>
  <c r="L18" i="9"/>
  <c r="L34" i="8"/>
  <c r="L34" i="28" s="1"/>
  <c r="L91" i="28" s="1"/>
  <c r="L34" i="9"/>
  <c r="M49" i="7"/>
  <c r="Q48" i="8"/>
  <c r="Q48" i="28" s="1"/>
  <c r="Q105" i="28" s="1"/>
  <c r="Q48" i="9"/>
  <c r="Q46" i="8"/>
  <c r="Q46" i="28" s="1"/>
  <c r="Q103" i="28" s="1"/>
  <c r="Q46" i="9"/>
  <c r="Q44" i="8"/>
  <c r="Q44" i="28" s="1"/>
  <c r="Q101" i="28" s="1"/>
  <c r="Q44" i="9"/>
  <c r="Q42" i="8"/>
  <c r="Q42" i="28" s="1"/>
  <c r="Q99" i="28" s="1"/>
  <c r="Q42" i="9"/>
  <c r="Q40" i="8"/>
  <c r="Q40" i="28" s="1"/>
  <c r="Q97" i="28" s="1"/>
  <c r="Q40" i="9"/>
  <c r="Q38" i="8"/>
  <c r="Q38" i="28" s="1"/>
  <c r="Q95" i="28" s="1"/>
  <c r="Q38" i="9"/>
  <c r="Q36" i="8"/>
  <c r="Q36" i="28" s="1"/>
  <c r="Q93" i="28" s="1"/>
  <c r="Q36" i="9"/>
  <c r="Q6" i="8"/>
  <c r="Q6" i="28" s="1"/>
  <c r="Q63" i="28" s="1"/>
  <c r="Q6" i="9"/>
  <c r="Q31" i="8"/>
  <c r="Q31" i="28" s="1"/>
  <c r="Q88" i="28" s="1"/>
  <c r="Q31" i="9"/>
  <c r="Q14" i="8"/>
  <c r="Q14" i="28" s="1"/>
  <c r="Q71" i="28" s="1"/>
  <c r="Q14" i="9"/>
  <c r="Q32" i="8"/>
  <c r="Q32" i="28" s="1"/>
  <c r="Q89" i="28" s="1"/>
  <c r="Q32" i="9"/>
  <c r="Q21" i="8"/>
  <c r="Q21" i="28" s="1"/>
  <c r="Q78" i="28" s="1"/>
  <c r="Q21" i="9"/>
  <c r="R49" i="13"/>
  <c r="R49" i="12"/>
  <c r="R49" i="11"/>
  <c r="R49" i="10"/>
  <c r="U28" i="8"/>
  <c r="T28" i="28" s="1"/>
  <c r="T85" i="28" s="1"/>
  <c r="U28" i="9"/>
  <c r="U31" i="8"/>
  <c r="T31" i="28" s="1"/>
  <c r="T88" i="28" s="1"/>
  <c r="U31" i="9"/>
  <c r="U54" i="8"/>
  <c r="T54" i="28" s="1"/>
  <c r="T111" i="28" s="1"/>
  <c r="U54" i="9"/>
  <c r="U32" i="8"/>
  <c r="T32" i="28" s="1"/>
  <c r="T89" i="28" s="1"/>
  <c r="U32" i="9"/>
  <c r="U34" i="8"/>
  <c r="T34" i="28" s="1"/>
  <c r="T91" i="28" s="1"/>
  <c r="U34" i="9"/>
  <c r="U27" i="8"/>
  <c r="T27" i="28" s="1"/>
  <c r="T84" i="28" s="1"/>
  <c r="U27" i="9"/>
  <c r="U29" i="8"/>
  <c r="T29" i="28" s="1"/>
  <c r="T86" i="28" s="1"/>
  <c r="U29" i="9"/>
  <c r="U40" i="8"/>
  <c r="T40" i="28" s="1"/>
  <c r="T97" i="28" s="1"/>
  <c r="U40" i="9"/>
  <c r="U12" i="8"/>
  <c r="T12" i="28" s="1"/>
  <c r="T69" i="28" s="1"/>
  <c r="U12" i="9"/>
  <c r="U25" i="8"/>
  <c r="T25" i="28" s="1"/>
  <c r="T82" i="28" s="1"/>
  <c r="U25" i="9"/>
  <c r="U19" i="8"/>
  <c r="T19" i="28" s="1"/>
  <c r="T76" i="28" s="1"/>
  <c r="U19" i="9"/>
  <c r="U18" i="8"/>
  <c r="T18" i="28" s="1"/>
  <c r="T75" i="28" s="1"/>
  <c r="U18" i="9"/>
  <c r="U20" i="8"/>
  <c r="T20" i="28" s="1"/>
  <c r="T77" i="28" s="1"/>
  <c r="U20" i="9"/>
  <c r="M44" i="7"/>
  <c r="P47" i="9"/>
  <c r="P50" i="9"/>
  <c r="P55" i="9"/>
  <c r="P37" i="9"/>
  <c r="P35" i="9"/>
  <c r="P58" i="7"/>
  <c r="P63" i="7" s="1"/>
  <c r="P9" i="8" s="1"/>
  <c r="P9" i="28" s="1"/>
  <c r="P66" i="28" s="1"/>
  <c r="P5" i="9"/>
  <c r="P14" i="9"/>
  <c r="P30" i="9"/>
  <c r="P19" i="9"/>
  <c r="P11" i="9"/>
  <c r="P26" i="9"/>
  <c r="P15" i="9"/>
  <c r="P31" i="9"/>
  <c r="AI48" i="9"/>
  <c r="AI47" i="8"/>
  <c r="AE47" i="28" s="1"/>
  <c r="AE104" i="28" s="1"/>
  <c r="AI47" i="9"/>
  <c r="AI26" i="9"/>
  <c r="AI43" i="8"/>
  <c r="AE43" i="28" s="1"/>
  <c r="AE100" i="28" s="1"/>
  <c r="AI43" i="9"/>
  <c r="AI34" i="9"/>
  <c r="AI39" i="8"/>
  <c r="AE39" i="28" s="1"/>
  <c r="AE96" i="28" s="1"/>
  <c r="AI39" i="9"/>
  <c r="AI35" i="9"/>
  <c r="AI11" i="8"/>
  <c r="AE11" i="28" s="1"/>
  <c r="AE68" i="28" s="1"/>
  <c r="AI11" i="9"/>
  <c r="AI24" i="9"/>
  <c r="AI23" i="8"/>
  <c r="AE23" i="28" s="1"/>
  <c r="AE80" i="28" s="1"/>
  <c r="AI23" i="9"/>
  <c r="AI17" i="9"/>
  <c r="AI14" i="8"/>
  <c r="AE14" i="28" s="1"/>
  <c r="AE71" i="28" s="1"/>
  <c r="AI14" i="9"/>
  <c r="M26" i="7"/>
  <c r="AD54" i="7"/>
  <c r="AC54" i="8"/>
  <c r="AD54" i="8" s="1"/>
  <c r="AC54" i="9"/>
  <c r="AD54" i="9" s="1"/>
  <c r="AD37" i="7"/>
  <c r="AC37" i="8"/>
  <c r="AD37" i="8" s="1"/>
  <c r="AC37" i="9"/>
  <c r="AD37" i="9" s="1"/>
  <c r="AD31" i="7"/>
  <c r="AC31" i="8"/>
  <c r="AD31" i="8" s="1"/>
  <c r="AC31" i="9"/>
  <c r="AD31" i="9" s="1"/>
  <c r="AD47" i="7"/>
  <c r="AC47" i="8"/>
  <c r="AD47" i="8" s="1"/>
  <c r="AC47" i="9"/>
  <c r="AD47" i="9" s="1"/>
  <c r="AD46" i="7"/>
  <c r="AC46" i="8"/>
  <c r="AD46" i="8" s="1"/>
  <c r="AC46" i="9"/>
  <c r="AD46" i="9" s="1"/>
  <c r="AC34" i="8"/>
  <c r="AD34" i="8" s="1"/>
  <c r="AD34" i="7"/>
  <c r="AC34" i="9"/>
  <c r="AD34" i="9" s="1"/>
  <c r="AD44" i="7"/>
  <c r="AC44" i="8"/>
  <c r="AD44" i="8" s="1"/>
  <c r="AC44" i="9"/>
  <c r="AD44" i="9" s="1"/>
  <c r="AC36" i="8"/>
  <c r="AD36" i="8" s="1"/>
  <c r="AD36" i="7"/>
  <c r="AC36" i="9"/>
  <c r="AD36" i="9" s="1"/>
  <c r="AD19" i="7"/>
  <c r="AC19" i="8"/>
  <c r="AD19" i="8" s="1"/>
  <c r="AC19" i="9"/>
  <c r="AD19" i="9" s="1"/>
  <c r="AC18" i="8"/>
  <c r="AD18" i="8" s="1"/>
  <c r="AD18" i="7"/>
  <c r="AC18" i="9"/>
  <c r="AD18" i="9" s="1"/>
  <c r="AC20" i="8"/>
  <c r="AD20" i="8" s="1"/>
  <c r="AD20" i="7"/>
  <c r="AC20" i="9"/>
  <c r="AD20" i="9" s="1"/>
  <c r="AD10" i="7"/>
  <c r="AC10" i="8"/>
  <c r="AD10" i="8" s="1"/>
  <c r="AC10" i="9"/>
  <c r="AD10" i="9" s="1"/>
  <c r="AC22" i="8"/>
  <c r="AD22" i="8" s="1"/>
  <c r="AD22" i="7"/>
  <c r="AC22" i="9"/>
  <c r="AD22" i="9" s="1"/>
  <c r="Z58" i="8"/>
  <c r="M46" i="7"/>
  <c r="R49" i="9"/>
  <c r="R55" i="9"/>
  <c r="R45" i="9"/>
  <c r="R35" i="9"/>
  <c r="R47" i="9"/>
  <c r="R11" i="9"/>
  <c r="R26" i="9"/>
  <c r="R15" i="9"/>
  <c r="R31" i="9"/>
  <c r="R12" i="9"/>
  <c r="R25" i="9"/>
  <c r="R16" i="9"/>
  <c r="R32" i="9"/>
  <c r="M45" i="7"/>
  <c r="W47" i="9"/>
  <c r="W33" i="9"/>
  <c r="W43" i="9"/>
  <c r="W34" i="9"/>
  <c r="W55" i="9"/>
  <c r="W29" i="9"/>
  <c r="W46" i="9"/>
  <c r="W11" i="9"/>
  <c r="W6" i="9"/>
  <c r="W5" i="9"/>
  <c r="W58" i="7"/>
  <c r="W63" i="7" s="1"/>
  <c r="W9" i="8" s="1"/>
  <c r="V9" i="28" s="1"/>
  <c r="V66" i="28" s="1"/>
  <c r="W14" i="9"/>
  <c r="W30" i="9"/>
  <c r="W24" i="9"/>
  <c r="D4" i="5"/>
  <c r="N61" i="6" s="1"/>
  <c r="D34" i="5"/>
  <c r="P9" i="30" l="1"/>
  <c r="P11" i="30"/>
  <c r="P7" i="30"/>
  <c r="O9" i="30"/>
  <c r="O11" i="30"/>
  <c r="O7" i="30"/>
  <c r="H9" i="31"/>
  <c r="H15" i="31" s="1"/>
  <c r="H7" i="31"/>
  <c r="H11" i="31"/>
  <c r="D9" i="31"/>
  <c r="D15" i="31" s="1"/>
  <c r="D11" i="31"/>
  <c r="D7" i="31"/>
  <c r="P47" i="8"/>
  <c r="P47" i="28" s="1"/>
  <c r="P104" i="28" s="1"/>
  <c r="R43" i="12"/>
  <c r="P43" i="29"/>
  <c r="P88" i="29" s="1"/>
  <c r="AH46" i="8"/>
  <c r="AD46" i="28" s="1"/>
  <c r="AD103" i="28" s="1"/>
  <c r="V30" i="11"/>
  <c r="V26" i="11"/>
  <c r="V18" i="11"/>
  <c r="AD9" i="8"/>
  <c r="AA9" i="28"/>
  <c r="AA66" i="28" s="1"/>
  <c r="P13" i="29"/>
  <c r="P58" i="29" s="1"/>
  <c r="P27" i="29"/>
  <c r="P72" i="29" s="1"/>
  <c r="AA20" i="28"/>
  <c r="AA77" i="28" s="1"/>
  <c r="AA44" i="28"/>
  <c r="AA101" i="28" s="1"/>
  <c r="AA31" i="28"/>
  <c r="AA88" i="28" s="1"/>
  <c r="P31" i="29"/>
  <c r="P76" i="29" s="1"/>
  <c r="P32" i="29"/>
  <c r="P77" i="29" s="1"/>
  <c r="P42" i="29"/>
  <c r="P87" i="29" s="1"/>
  <c r="P24" i="29"/>
  <c r="P69" i="29" s="1"/>
  <c r="AA8" i="28"/>
  <c r="AA65" i="28" s="1"/>
  <c r="AA29" i="28"/>
  <c r="AA86" i="28" s="1"/>
  <c r="AA52" i="28"/>
  <c r="AA109" i="28" s="1"/>
  <c r="P6" i="29"/>
  <c r="P51" i="29" s="1"/>
  <c r="F9" i="31" s="1"/>
  <c r="P33" i="29"/>
  <c r="P78" i="29" s="1"/>
  <c r="AA30" i="28"/>
  <c r="AA87" i="28" s="1"/>
  <c r="P40" i="29"/>
  <c r="P85" i="29" s="1"/>
  <c r="P22" i="29"/>
  <c r="P67" i="29" s="1"/>
  <c r="P14" i="29"/>
  <c r="P59" i="29" s="1"/>
  <c r="P11" i="8"/>
  <c r="P11" i="28" s="1"/>
  <c r="P68" i="28" s="1"/>
  <c r="P55" i="8"/>
  <c r="P55" i="28" s="1"/>
  <c r="P112" i="28" s="1"/>
  <c r="AH39" i="8"/>
  <c r="AD39" i="28" s="1"/>
  <c r="AD96" i="28" s="1"/>
  <c r="P21" i="29"/>
  <c r="P66" i="29" s="1"/>
  <c r="AA18" i="28"/>
  <c r="AA75" i="28" s="1"/>
  <c r="AA34" i="28"/>
  <c r="AA91" i="28" s="1"/>
  <c r="AA37" i="28"/>
  <c r="AA94" i="28" s="1"/>
  <c r="P37" i="29"/>
  <c r="P82" i="29" s="1"/>
  <c r="P26" i="29"/>
  <c r="P71" i="29" s="1"/>
  <c r="P36" i="29"/>
  <c r="P81" i="29" s="1"/>
  <c r="P44" i="29"/>
  <c r="P89" i="29" s="1"/>
  <c r="AA15" i="28"/>
  <c r="AA72" i="28" s="1"/>
  <c r="AA41" i="28"/>
  <c r="AA98" i="28" s="1"/>
  <c r="AA40" i="28"/>
  <c r="AA97" i="28" s="1"/>
  <c r="P30" i="29"/>
  <c r="P75" i="29" s="1"/>
  <c r="P19" i="29"/>
  <c r="P64" i="29" s="1"/>
  <c r="P35" i="29"/>
  <c r="P80" i="29" s="1"/>
  <c r="W24" i="8"/>
  <c r="V24" i="28" s="1"/>
  <c r="V81" i="28" s="1"/>
  <c r="P31" i="8"/>
  <c r="P26" i="8"/>
  <c r="P19" i="8"/>
  <c r="P19" i="28" s="1"/>
  <c r="P76" i="28" s="1"/>
  <c r="P14" i="8"/>
  <c r="P14" i="28" s="1"/>
  <c r="P71" i="28" s="1"/>
  <c r="P35" i="8"/>
  <c r="P35" i="28" s="1"/>
  <c r="P92" i="28" s="1"/>
  <c r="P41" i="29"/>
  <c r="P86" i="29" s="1"/>
  <c r="AA22" i="28"/>
  <c r="AA79" i="28" s="1"/>
  <c r="AA19" i="28"/>
  <c r="AA76" i="28" s="1"/>
  <c r="AA46" i="28"/>
  <c r="AA103" i="28" s="1"/>
  <c r="AA54" i="28"/>
  <c r="AA111" i="28" s="1"/>
  <c r="P11" i="29"/>
  <c r="P56" i="29" s="1"/>
  <c r="P28" i="29"/>
  <c r="P73" i="29" s="1"/>
  <c r="P29" i="29"/>
  <c r="P74" i="29" s="1"/>
  <c r="AA13" i="28"/>
  <c r="AA70" i="28" s="1"/>
  <c r="AA43" i="28"/>
  <c r="AA100" i="28" s="1"/>
  <c r="AA38" i="28"/>
  <c r="AA95" i="28" s="1"/>
  <c r="P7" i="29"/>
  <c r="P52" i="29" s="1"/>
  <c r="P23" i="29"/>
  <c r="P68" i="29" s="1"/>
  <c r="P8" i="29"/>
  <c r="P53" i="29" s="1"/>
  <c r="P25" i="29"/>
  <c r="P70" i="29" s="1"/>
  <c r="P15" i="29"/>
  <c r="P60" i="29" s="1"/>
  <c r="P15" i="8"/>
  <c r="P15" i="28" s="1"/>
  <c r="P72" i="28" s="1"/>
  <c r="P30" i="8"/>
  <c r="P30" i="28" s="1"/>
  <c r="P87" i="28" s="1"/>
  <c r="W14" i="8"/>
  <c r="V14" i="28" s="1"/>
  <c r="V71" i="28" s="1"/>
  <c r="V6" i="11"/>
  <c r="U23" i="8"/>
  <c r="T23" i="28" s="1"/>
  <c r="T80" i="28" s="1"/>
  <c r="U30" i="8"/>
  <c r="T30" i="28" s="1"/>
  <c r="T87" i="28" s="1"/>
  <c r="P18" i="29"/>
  <c r="P63" i="29" s="1"/>
  <c r="P38" i="29"/>
  <c r="P83" i="29" s="1"/>
  <c r="AA10" i="28"/>
  <c r="AA67" i="28" s="1"/>
  <c r="AA36" i="28"/>
  <c r="AA93" i="28" s="1"/>
  <c r="AA47" i="28"/>
  <c r="AA104" i="28" s="1"/>
  <c r="P12" i="29"/>
  <c r="P57" i="29" s="1"/>
  <c r="P17" i="29"/>
  <c r="P62" i="29" s="1"/>
  <c r="P20" i="29"/>
  <c r="P65" i="29" s="1"/>
  <c r="AA17" i="28"/>
  <c r="AA74" i="28" s="1"/>
  <c r="AA16" i="28"/>
  <c r="AA73" i="28" s="1"/>
  <c r="AA26" i="28"/>
  <c r="AA83" i="28" s="1"/>
  <c r="P9" i="29"/>
  <c r="P54" i="29" s="1"/>
  <c r="P34" i="29"/>
  <c r="P79" i="29" s="1"/>
  <c r="P10" i="29"/>
  <c r="P55" i="29" s="1"/>
  <c r="P39" i="29"/>
  <c r="P84" i="29" s="1"/>
  <c r="P16" i="29"/>
  <c r="P61" i="29" s="1"/>
  <c r="P15" i="30"/>
  <c r="O15" i="30"/>
  <c r="O14" i="30"/>
  <c r="P14" i="30"/>
  <c r="P13" i="30"/>
  <c r="O13" i="30"/>
  <c r="H13" i="31"/>
  <c r="D13" i="31"/>
  <c r="H14" i="31"/>
  <c r="D14" i="31"/>
  <c r="AC14" i="8"/>
  <c r="AC5" i="8"/>
  <c r="AA5" i="28" s="1"/>
  <c r="AA62" i="28" s="1"/>
  <c r="AI17" i="8"/>
  <c r="AE17" i="28" s="1"/>
  <c r="AE74" i="28" s="1"/>
  <c r="AI24" i="8"/>
  <c r="AE24" i="28" s="1"/>
  <c r="AE81" i="28" s="1"/>
  <c r="AI35" i="8"/>
  <c r="AE35" i="28" s="1"/>
  <c r="AE92" i="28" s="1"/>
  <c r="AI34" i="8"/>
  <c r="AE34" i="28" s="1"/>
  <c r="AE91" i="28" s="1"/>
  <c r="AI26" i="8"/>
  <c r="AE26" i="28" s="1"/>
  <c r="AE83" i="28" s="1"/>
  <c r="AI48" i="8"/>
  <c r="AE48" i="28" s="1"/>
  <c r="AE105" i="28" s="1"/>
  <c r="AH18" i="8"/>
  <c r="AD18" i="28" s="1"/>
  <c r="AD75" i="28" s="1"/>
  <c r="AH53" i="8"/>
  <c r="AD53" i="28" s="1"/>
  <c r="AD110" i="28" s="1"/>
  <c r="O8" i="8"/>
  <c r="O8" i="28" s="1"/>
  <c r="O65" i="28" s="1"/>
  <c r="O13" i="8"/>
  <c r="O13" i="28" s="1"/>
  <c r="O70" i="28" s="1"/>
  <c r="O32" i="8"/>
  <c r="O32" i="28" s="1"/>
  <c r="O89" i="28" s="1"/>
  <c r="O28" i="8"/>
  <c r="O28" i="28" s="1"/>
  <c r="O85" i="28" s="1"/>
  <c r="O33" i="8"/>
  <c r="O33" i="28" s="1"/>
  <c r="O90" i="28" s="1"/>
  <c r="O55" i="8"/>
  <c r="O55" i="28" s="1"/>
  <c r="O112" i="28" s="1"/>
  <c r="W11" i="8"/>
  <c r="V11" i="28" s="1"/>
  <c r="V68" i="28" s="1"/>
  <c r="P5" i="8"/>
  <c r="P5" i="28" s="1"/>
  <c r="P62" i="28" s="1"/>
  <c r="P37" i="8"/>
  <c r="P37" i="28" s="1"/>
  <c r="P94" i="28" s="1"/>
  <c r="P50" i="8"/>
  <c r="P50" i="28" s="1"/>
  <c r="P107" i="28" s="1"/>
  <c r="AH16" i="8"/>
  <c r="AD16" i="28" s="1"/>
  <c r="AD73" i="28" s="1"/>
  <c r="AH5" i="8"/>
  <c r="AD5" i="28" s="1"/>
  <c r="AD62" i="28" s="1"/>
  <c r="AH47" i="8"/>
  <c r="AD47" i="28" s="1"/>
  <c r="AD104" i="28" s="1"/>
  <c r="O14" i="8"/>
  <c r="O14" i="28" s="1"/>
  <c r="O71" i="28" s="1"/>
  <c r="AC27" i="8"/>
  <c r="X49" i="8"/>
  <c r="W49" i="28" s="1"/>
  <c r="W106" i="28" s="1"/>
  <c r="M42" i="9"/>
  <c r="M56" i="9"/>
  <c r="O40" i="12"/>
  <c r="O40" i="29" s="1"/>
  <c r="O85" i="29" s="1"/>
  <c r="O40" i="13"/>
  <c r="O25" i="12"/>
  <c r="O25" i="29" s="1"/>
  <c r="O70" i="29" s="1"/>
  <c r="O25" i="13"/>
  <c r="O27" i="12"/>
  <c r="O27" i="29" s="1"/>
  <c r="O72" i="29" s="1"/>
  <c r="O27" i="13"/>
  <c r="O32" i="12"/>
  <c r="O32" i="29" s="1"/>
  <c r="O77" i="29" s="1"/>
  <c r="O32" i="13"/>
  <c r="O42" i="12"/>
  <c r="O42" i="29" s="1"/>
  <c r="O87" i="29" s="1"/>
  <c r="O42" i="13"/>
  <c r="O44" i="12"/>
  <c r="O44" i="29" s="1"/>
  <c r="O89" i="29" s="1"/>
  <c r="O44" i="13"/>
  <c r="O38" i="12"/>
  <c r="O38" i="29" s="1"/>
  <c r="O83" i="29" s="1"/>
  <c r="O38" i="13"/>
  <c r="O12" i="12"/>
  <c r="O12" i="29" s="1"/>
  <c r="O57" i="29" s="1"/>
  <c r="O12" i="13"/>
  <c r="O11" i="12"/>
  <c r="O11" i="29" s="1"/>
  <c r="O56" i="29" s="1"/>
  <c r="O11" i="13"/>
  <c r="O10" i="12"/>
  <c r="O10" i="29" s="1"/>
  <c r="O55" i="29" s="1"/>
  <c r="O10" i="13"/>
  <c r="S36" i="12"/>
  <c r="Q36" i="29" s="1"/>
  <c r="Q81" i="29" s="1"/>
  <c r="V36" i="11"/>
  <c r="S36" i="13"/>
  <c r="S38" i="12"/>
  <c r="Q38" i="29" s="1"/>
  <c r="Q83" i="29" s="1"/>
  <c r="S38" i="13"/>
  <c r="V29" i="11"/>
  <c r="S29" i="12"/>
  <c r="Q29" i="29" s="1"/>
  <c r="Q74" i="29" s="1"/>
  <c r="S29" i="13"/>
  <c r="S14" i="12"/>
  <c r="Q14" i="29" s="1"/>
  <c r="Q59" i="29" s="1"/>
  <c r="S14" i="13"/>
  <c r="V25" i="11"/>
  <c r="S25" i="12"/>
  <c r="Q25" i="29" s="1"/>
  <c r="Q70" i="29" s="1"/>
  <c r="S25" i="13"/>
  <c r="V37" i="11"/>
  <c r="S37" i="12"/>
  <c r="Q37" i="29" s="1"/>
  <c r="Q82" i="29" s="1"/>
  <c r="S37" i="13"/>
  <c r="S39" i="12"/>
  <c r="Q39" i="29" s="1"/>
  <c r="Q84" i="29" s="1"/>
  <c r="S39" i="13"/>
  <c r="V33" i="11"/>
  <c r="S33" i="12"/>
  <c r="Q33" i="29" s="1"/>
  <c r="Q78" i="29" s="1"/>
  <c r="S33" i="13"/>
  <c r="S8" i="12"/>
  <c r="Q8" i="29" s="1"/>
  <c r="Q53" i="29" s="1"/>
  <c r="V8" i="11"/>
  <c r="S8" i="13"/>
  <c r="V9" i="11"/>
  <c r="S9" i="12"/>
  <c r="Q9" i="29" s="1"/>
  <c r="Q54" i="29" s="1"/>
  <c r="S9" i="13"/>
  <c r="Y23" i="7"/>
  <c r="Y20" i="7"/>
  <c r="Y15" i="7"/>
  <c r="Y6" i="7"/>
  <c r="Y21" i="7"/>
  <c r="Y18" i="7"/>
  <c r="Y13" i="7"/>
  <c r="Y11" i="7"/>
  <c r="Y24" i="7"/>
  <c r="Y19" i="7"/>
  <c r="Y16" i="7"/>
  <c r="Y7" i="7"/>
  <c r="Y30" i="7"/>
  <c r="Y25" i="7"/>
  <c r="Y22" i="7"/>
  <c r="Y17" i="7"/>
  <c r="Y14" i="7"/>
  <c r="Y12" i="7"/>
  <c r="Y10" i="7"/>
  <c r="Y8" i="7"/>
  <c r="Y5" i="7"/>
  <c r="Y29" i="7"/>
  <c r="Y31" i="7"/>
  <c r="Y36" i="7"/>
  <c r="Y42" i="7"/>
  <c r="Y47" i="7"/>
  <c r="Y48" i="7"/>
  <c r="Y45" i="7"/>
  <c r="Y34" i="7"/>
  <c r="Y35" i="7"/>
  <c r="Y28" i="7"/>
  <c r="Y46" i="7"/>
  <c r="Y51" i="7"/>
  <c r="Y52" i="7"/>
  <c r="Y49" i="7"/>
  <c r="Y27" i="7"/>
  <c r="Y33" i="7"/>
  <c r="Y50" i="7"/>
  <c r="Y39" i="7"/>
  <c r="Y55" i="7"/>
  <c r="Y40" i="7"/>
  <c r="Y56" i="7"/>
  <c r="Y53" i="7"/>
  <c r="Y26" i="7"/>
  <c r="Y32" i="7"/>
  <c r="Y37" i="7"/>
  <c r="Y38" i="7"/>
  <c r="Y44" i="7"/>
  <c r="Y41" i="7"/>
  <c r="Y54" i="7"/>
  <c r="Y43" i="7"/>
  <c r="W25" i="8"/>
  <c r="V25" i="28" s="1"/>
  <c r="V82" i="28" s="1"/>
  <c r="W23" i="8"/>
  <c r="V23" i="28" s="1"/>
  <c r="V80" i="28" s="1"/>
  <c r="W31" i="8"/>
  <c r="V31" i="28" s="1"/>
  <c r="V88" i="28" s="1"/>
  <c r="W35" i="8"/>
  <c r="V35" i="28" s="1"/>
  <c r="V92" i="28" s="1"/>
  <c r="W39" i="8"/>
  <c r="V39" i="28" s="1"/>
  <c r="V96" i="28" s="1"/>
  <c r="W42" i="8"/>
  <c r="V42" i="28" s="1"/>
  <c r="V99" i="28" s="1"/>
  <c r="M38" i="9"/>
  <c r="AI12" i="8"/>
  <c r="AE12" i="28" s="1"/>
  <c r="AE69" i="28" s="1"/>
  <c r="AI21" i="8"/>
  <c r="AE21" i="28" s="1"/>
  <c r="AE78" i="28" s="1"/>
  <c r="AI49" i="8"/>
  <c r="AE49" i="28" s="1"/>
  <c r="AE106" i="28" s="1"/>
  <c r="AI27" i="8"/>
  <c r="AE27" i="28" s="1"/>
  <c r="AE84" i="28" s="1"/>
  <c r="AI32" i="8"/>
  <c r="AE32" i="28" s="1"/>
  <c r="AE89" i="28" s="1"/>
  <c r="AI31" i="8"/>
  <c r="AE31" i="28" s="1"/>
  <c r="AE88" i="28" s="1"/>
  <c r="P6" i="8"/>
  <c r="P6" i="28" s="1"/>
  <c r="P63" i="28" s="1"/>
  <c r="P32" i="8"/>
  <c r="P25" i="8"/>
  <c r="P25" i="28" s="1"/>
  <c r="P82" i="28" s="1"/>
  <c r="P38" i="8"/>
  <c r="P38" i="28" s="1"/>
  <c r="P95" i="28" s="1"/>
  <c r="P53" i="8"/>
  <c r="P53" i="28" s="1"/>
  <c r="P110" i="28" s="1"/>
  <c r="P43" i="8"/>
  <c r="P43" i="28" s="1"/>
  <c r="P100" i="28" s="1"/>
  <c r="M41" i="9"/>
  <c r="AH22" i="8"/>
  <c r="AD22" i="28" s="1"/>
  <c r="AD79" i="28" s="1"/>
  <c r="AH10" i="8"/>
  <c r="AD10" i="28" s="1"/>
  <c r="AD67" i="28" s="1"/>
  <c r="AH52" i="8"/>
  <c r="AD52" i="28" s="1"/>
  <c r="AD109" i="28" s="1"/>
  <c r="AH40" i="8"/>
  <c r="AD40" i="28" s="1"/>
  <c r="AD97" i="28" s="1"/>
  <c r="AH44" i="8"/>
  <c r="AD44" i="28" s="1"/>
  <c r="AD101" i="28" s="1"/>
  <c r="AH37" i="8"/>
  <c r="AD37" i="28" s="1"/>
  <c r="AD94" i="28" s="1"/>
  <c r="M39" i="9"/>
  <c r="X58" i="9"/>
  <c r="M48" i="9"/>
  <c r="Z38" i="11"/>
  <c r="Y38" i="12"/>
  <c r="Z38" i="12" s="1"/>
  <c r="Y38" i="13"/>
  <c r="Z38" i="13" s="1"/>
  <c r="Z26" i="11"/>
  <c r="Y26" i="12"/>
  <c r="Z26" i="12" s="1"/>
  <c r="Y26" i="13"/>
  <c r="Z26" i="13" s="1"/>
  <c r="Z17" i="11"/>
  <c r="Y17" i="12"/>
  <c r="Z17" i="12" s="1"/>
  <c r="Y17" i="13"/>
  <c r="Z17" i="13" s="1"/>
  <c r="Z37" i="11"/>
  <c r="Y37" i="12"/>
  <c r="Z37" i="12" s="1"/>
  <c r="Y37" i="13"/>
  <c r="Z37" i="13" s="1"/>
  <c r="Y31" i="12"/>
  <c r="Z31" i="12" s="1"/>
  <c r="Z31" i="11"/>
  <c r="Y31" i="13"/>
  <c r="Z31" i="13" s="1"/>
  <c r="Z36" i="11"/>
  <c r="Y36" i="12"/>
  <c r="Z36" i="12" s="1"/>
  <c r="Y36" i="13"/>
  <c r="Z36" i="13" s="1"/>
  <c r="Z22" i="11"/>
  <c r="Y22" i="12"/>
  <c r="Z22" i="12" s="1"/>
  <c r="Y22" i="13"/>
  <c r="Z22" i="13" s="1"/>
  <c r="Y39" i="12"/>
  <c r="Z39" i="12" s="1"/>
  <c r="Z39" i="11"/>
  <c r="Y39" i="13"/>
  <c r="Z39" i="13" s="1"/>
  <c r="Z12" i="11"/>
  <c r="Y12" i="12"/>
  <c r="Z12" i="12" s="1"/>
  <c r="Y12" i="13"/>
  <c r="Z12" i="13" s="1"/>
  <c r="Z13" i="11"/>
  <c r="Y13" i="12"/>
  <c r="Z13" i="12" s="1"/>
  <c r="Y13" i="13"/>
  <c r="Z13" i="13" s="1"/>
  <c r="M55" i="9"/>
  <c r="M21" i="9"/>
  <c r="M5" i="9"/>
  <c r="M58" i="7"/>
  <c r="M63" i="7" s="1"/>
  <c r="M38" i="8" s="1"/>
  <c r="M38" i="28" s="1"/>
  <c r="M95" i="28" s="1"/>
  <c r="W16" i="8"/>
  <c r="V16" i="28" s="1"/>
  <c r="V73" i="28" s="1"/>
  <c r="W10" i="8"/>
  <c r="V10" i="28" s="1"/>
  <c r="V67" i="28" s="1"/>
  <c r="W18" i="8"/>
  <c r="V18" i="28" s="1"/>
  <c r="V75" i="28" s="1"/>
  <c r="W52" i="8"/>
  <c r="V52" i="28" s="1"/>
  <c r="V109" i="28" s="1"/>
  <c r="W56" i="8"/>
  <c r="V56" i="28" s="1"/>
  <c r="V113" i="28" s="1"/>
  <c r="W53" i="8"/>
  <c r="V53" i="28" s="1"/>
  <c r="V110" i="28" s="1"/>
  <c r="W26" i="8"/>
  <c r="V26" i="28" s="1"/>
  <c r="V83" i="28" s="1"/>
  <c r="AD5" i="8"/>
  <c r="M17" i="9"/>
  <c r="M29" i="9"/>
  <c r="Z58" i="9"/>
  <c r="L5" i="8"/>
  <c r="L5" i="28" s="1"/>
  <c r="L62" i="28" s="1"/>
  <c r="L24" i="8"/>
  <c r="L24" i="28" s="1"/>
  <c r="L81" i="28" s="1"/>
  <c r="L36" i="8"/>
  <c r="L36" i="28" s="1"/>
  <c r="L93" i="28" s="1"/>
  <c r="L40" i="8"/>
  <c r="L40" i="28" s="1"/>
  <c r="L97" i="28" s="1"/>
  <c r="L30" i="8"/>
  <c r="L30" i="28" s="1"/>
  <c r="L87" i="28" s="1"/>
  <c r="AH11" i="8"/>
  <c r="AD11" i="28" s="1"/>
  <c r="AD68" i="28" s="1"/>
  <c r="AH20" i="8"/>
  <c r="AD20" i="28" s="1"/>
  <c r="AD77" i="28" s="1"/>
  <c r="AH6" i="8"/>
  <c r="AD6" i="28" s="1"/>
  <c r="AD63" i="28" s="1"/>
  <c r="AH27" i="8"/>
  <c r="AD27" i="28" s="1"/>
  <c r="AD84" i="28" s="1"/>
  <c r="AH32" i="8"/>
  <c r="AD32" i="28" s="1"/>
  <c r="AD89" i="28" s="1"/>
  <c r="AH54" i="8"/>
  <c r="AD54" i="28" s="1"/>
  <c r="AD111" i="28" s="1"/>
  <c r="O25" i="8"/>
  <c r="O25" i="28" s="1"/>
  <c r="O82" i="28" s="1"/>
  <c r="O23" i="8"/>
  <c r="O23" i="28" s="1"/>
  <c r="O80" i="28" s="1"/>
  <c r="O24" i="8"/>
  <c r="O24" i="28" s="1"/>
  <c r="O81" i="28" s="1"/>
  <c r="O41" i="8"/>
  <c r="O41" i="28" s="1"/>
  <c r="O98" i="28" s="1"/>
  <c r="O29" i="8"/>
  <c r="O29" i="28" s="1"/>
  <c r="O86" i="28" s="1"/>
  <c r="O34" i="8"/>
  <c r="O34" i="28" s="1"/>
  <c r="O91" i="28" s="1"/>
  <c r="O53" i="8"/>
  <c r="O53" i="28" s="1"/>
  <c r="O110" i="28" s="1"/>
  <c r="X23" i="8"/>
  <c r="W23" i="28" s="1"/>
  <c r="W80" i="28" s="1"/>
  <c r="X18" i="8"/>
  <c r="W18" i="28" s="1"/>
  <c r="W75" i="28" s="1"/>
  <c r="X16" i="8"/>
  <c r="W16" i="28" s="1"/>
  <c r="W73" i="28" s="1"/>
  <c r="R5" i="13"/>
  <c r="R46" i="13" s="1"/>
  <c r="Q46" i="13"/>
  <c r="N46" i="13"/>
  <c r="U40" i="12"/>
  <c r="S40" i="29" s="1"/>
  <c r="S85" i="29" s="1"/>
  <c r="U40" i="13"/>
  <c r="V23" i="11"/>
  <c r="U23" i="12"/>
  <c r="S23" i="29" s="1"/>
  <c r="S68" i="29" s="1"/>
  <c r="U23" i="13"/>
  <c r="V15" i="11"/>
  <c r="U15" i="12"/>
  <c r="S15" i="29" s="1"/>
  <c r="S60" i="29" s="1"/>
  <c r="U15" i="13"/>
  <c r="V35" i="11"/>
  <c r="U35" i="12"/>
  <c r="S35" i="29" s="1"/>
  <c r="S80" i="29" s="1"/>
  <c r="U35" i="13"/>
  <c r="U29" i="12"/>
  <c r="S29" i="29" s="1"/>
  <c r="S74" i="29" s="1"/>
  <c r="U29" i="13"/>
  <c r="U17" i="12"/>
  <c r="S17" i="29" s="1"/>
  <c r="S62" i="29" s="1"/>
  <c r="U17" i="13"/>
  <c r="U20" i="12"/>
  <c r="S20" i="29" s="1"/>
  <c r="S65" i="29" s="1"/>
  <c r="U20" i="13"/>
  <c r="U37" i="12"/>
  <c r="S37" i="29" s="1"/>
  <c r="S82" i="29" s="1"/>
  <c r="U37" i="13"/>
  <c r="U9" i="12"/>
  <c r="S9" i="29" s="1"/>
  <c r="S54" i="29" s="1"/>
  <c r="U9" i="13"/>
  <c r="U5" i="12"/>
  <c r="S5" i="29" s="1"/>
  <c r="S50" i="29" s="1"/>
  <c r="U5" i="13"/>
  <c r="U46" i="11"/>
  <c r="V48" i="9"/>
  <c r="V42" i="9"/>
  <c r="V27" i="9"/>
  <c r="V38" i="9"/>
  <c r="V40" i="9"/>
  <c r="AB34" i="7"/>
  <c r="V34" i="9"/>
  <c r="AB36" i="7"/>
  <c r="V36" i="9"/>
  <c r="V29" i="9"/>
  <c r="AB20" i="7"/>
  <c r="V20" i="9"/>
  <c r="V10" i="9"/>
  <c r="AB22" i="7"/>
  <c r="V22" i="9"/>
  <c r="V16" i="9"/>
  <c r="V13" i="9"/>
  <c r="W7" i="8"/>
  <c r="V7" i="28" s="1"/>
  <c r="V64" i="28" s="1"/>
  <c r="M53" i="9"/>
  <c r="R58" i="9"/>
  <c r="M16" i="8"/>
  <c r="M16" i="28" s="1"/>
  <c r="M73" i="28" s="1"/>
  <c r="M16" i="9"/>
  <c r="AC23" i="8"/>
  <c r="AC55" i="8"/>
  <c r="AC28" i="8"/>
  <c r="AC50" i="8"/>
  <c r="M13" i="8"/>
  <c r="M13" i="28" s="1"/>
  <c r="M70" i="28" s="1"/>
  <c r="M13" i="9"/>
  <c r="AI20" i="8"/>
  <c r="AE20" i="28" s="1"/>
  <c r="AE77" i="28" s="1"/>
  <c r="AI6" i="8"/>
  <c r="AE6" i="28" s="1"/>
  <c r="AE63" i="28" s="1"/>
  <c r="AI29" i="8"/>
  <c r="AE29" i="28" s="1"/>
  <c r="AE86" i="28" s="1"/>
  <c r="AI33" i="8"/>
  <c r="AE33" i="28" s="1"/>
  <c r="AE90" i="28" s="1"/>
  <c r="AI37" i="8"/>
  <c r="AE37" i="28" s="1"/>
  <c r="AE94" i="28" s="1"/>
  <c r="AI51" i="8"/>
  <c r="AE51" i="28" s="1"/>
  <c r="AE108" i="28" s="1"/>
  <c r="U49" i="8"/>
  <c r="T49" i="28" s="1"/>
  <c r="T106" i="28" s="1"/>
  <c r="Q5" i="8"/>
  <c r="Q5" i="28" s="1"/>
  <c r="Q62" i="28" s="1"/>
  <c r="Q43" i="8"/>
  <c r="Q43" i="28" s="1"/>
  <c r="Q100" i="28" s="1"/>
  <c r="Q47" i="8"/>
  <c r="Q47" i="28" s="1"/>
  <c r="Q104" i="28" s="1"/>
  <c r="Q16" i="8"/>
  <c r="Q16" i="28" s="1"/>
  <c r="Q73" i="28" s="1"/>
  <c r="Q24" i="8"/>
  <c r="Q24" i="28" s="1"/>
  <c r="Q81" i="28" s="1"/>
  <c r="L21" i="8"/>
  <c r="L21" i="28" s="1"/>
  <c r="L78" i="28" s="1"/>
  <c r="L14" i="8"/>
  <c r="L14" i="28" s="1"/>
  <c r="L71" i="28" s="1"/>
  <c r="L6" i="8"/>
  <c r="L6" i="28" s="1"/>
  <c r="L63" i="28" s="1"/>
  <c r="L54" i="8"/>
  <c r="L54" i="28" s="1"/>
  <c r="L111" i="28" s="1"/>
  <c r="L42" i="8"/>
  <c r="L42" i="28" s="1"/>
  <c r="L99" i="28" s="1"/>
  <c r="L46" i="8"/>
  <c r="L46" i="28" s="1"/>
  <c r="L103" i="28" s="1"/>
  <c r="AH7" i="8"/>
  <c r="AD7" i="28" s="1"/>
  <c r="AD64" i="28" s="1"/>
  <c r="AH17" i="8"/>
  <c r="AD17" i="28" s="1"/>
  <c r="AD74" i="28" s="1"/>
  <c r="AH34" i="8"/>
  <c r="AD34" i="28" s="1"/>
  <c r="AD91" i="28" s="1"/>
  <c r="AH28" i="8"/>
  <c r="AD28" i="28" s="1"/>
  <c r="AD85" i="28" s="1"/>
  <c r="AH33" i="8"/>
  <c r="AD33" i="28" s="1"/>
  <c r="AD90" i="28" s="1"/>
  <c r="AH51" i="8"/>
  <c r="AD51" i="28" s="1"/>
  <c r="AD108" i="28" s="1"/>
  <c r="O22" i="8"/>
  <c r="O22" i="28" s="1"/>
  <c r="O79" i="28" s="1"/>
  <c r="O20" i="8"/>
  <c r="O20" i="28" s="1"/>
  <c r="O77" i="28" s="1"/>
  <c r="O19" i="8"/>
  <c r="O19" i="28" s="1"/>
  <c r="O76" i="28" s="1"/>
  <c r="O42" i="8"/>
  <c r="O42" i="28" s="1"/>
  <c r="O99" i="28" s="1"/>
  <c r="O46" i="8"/>
  <c r="O46" i="28" s="1"/>
  <c r="O103" i="28" s="1"/>
  <c r="O50" i="8"/>
  <c r="O50" i="28" s="1"/>
  <c r="O107" i="28" s="1"/>
  <c r="O38" i="8"/>
  <c r="O38" i="28" s="1"/>
  <c r="O95" i="28" s="1"/>
  <c r="M32" i="8"/>
  <c r="M32" i="28" s="1"/>
  <c r="M89" i="28" s="1"/>
  <c r="M32" i="9"/>
  <c r="M30" i="12"/>
  <c r="M30" i="29" s="1"/>
  <c r="M75" i="29" s="1"/>
  <c r="M30" i="13"/>
  <c r="M43" i="12"/>
  <c r="M43" i="29" s="1"/>
  <c r="M88" i="29" s="1"/>
  <c r="M43" i="13"/>
  <c r="M39" i="12"/>
  <c r="M39" i="29" s="1"/>
  <c r="M84" i="29" s="1"/>
  <c r="M39" i="13"/>
  <c r="M33" i="12"/>
  <c r="M33" i="29" s="1"/>
  <c r="M78" i="29" s="1"/>
  <c r="M33" i="13"/>
  <c r="M35" i="12"/>
  <c r="M35" i="29" s="1"/>
  <c r="M80" i="29" s="1"/>
  <c r="M35" i="13"/>
  <c r="M29" i="12"/>
  <c r="M29" i="29" s="1"/>
  <c r="M74" i="29" s="1"/>
  <c r="M29" i="13"/>
  <c r="M14" i="12"/>
  <c r="M14" i="29" s="1"/>
  <c r="M59" i="29" s="1"/>
  <c r="M14" i="13"/>
  <c r="M25" i="12"/>
  <c r="M25" i="29" s="1"/>
  <c r="M70" i="29" s="1"/>
  <c r="M25" i="13"/>
  <c r="M6" i="12"/>
  <c r="M6" i="29" s="1"/>
  <c r="M51" i="29" s="1"/>
  <c r="M6" i="13"/>
  <c r="M9" i="12"/>
  <c r="M9" i="29" s="1"/>
  <c r="M54" i="29" s="1"/>
  <c r="M9" i="13"/>
  <c r="D45" i="5"/>
  <c r="P47" i="13"/>
  <c r="P47" i="12"/>
  <c r="P47" i="11"/>
  <c r="P47" i="10"/>
  <c r="W29" i="8"/>
  <c r="V29" i="28" s="1"/>
  <c r="V86" i="28" s="1"/>
  <c r="W34" i="8"/>
  <c r="V34" i="28" s="1"/>
  <c r="V91" i="28" s="1"/>
  <c r="W33" i="8"/>
  <c r="V33" i="28" s="1"/>
  <c r="V90" i="28" s="1"/>
  <c r="M46" i="9"/>
  <c r="P58" i="9"/>
  <c r="M49" i="8"/>
  <c r="M49" i="28" s="1"/>
  <c r="M106" i="28" s="1"/>
  <c r="M49" i="9"/>
  <c r="AH30" i="8"/>
  <c r="AD30" i="28" s="1"/>
  <c r="AD87" i="28" s="1"/>
  <c r="M47" i="8"/>
  <c r="M47" i="28" s="1"/>
  <c r="M104" i="28" s="1"/>
  <c r="M47" i="9"/>
  <c r="M24" i="9"/>
  <c r="O31" i="12"/>
  <c r="O31" i="29" s="1"/>
  <c r="O76" i="29" s="1"/>
  <c r="O31" i="13"/>
  <c r="O17" i="12"/>
  <c r="O17" i="29" s="1"/>
  <c r="O62" i="29" s="1"/>
  <c r="O17" i="13"/>
  <c r="O36" i="12"/>
  <c r="O36" i="29" s="1"/>
  <c r="O81" i="29" s="1"/>
  <c r="O36" i="13"/>
  <c r="O30" i="12"/>
  <c r="O30" i="29" s="1"/>
  <c r="O75" i="29" s="1"/>
  <c r="O30" i="13"/>
  <c r="O15" i="12"/>
  <c r="O15" i="29" s="1"/>
  <c r="O60" i="29" s="1"/>
  <c r="O15" i="13"/>
  <c r="O26" i="12"/>
  <c r="O26" i="29" s="1"/>
  <c r="O71" i="29" s="1"/>
  <c r="O26" i="13"/>
  <c r="O28" i="12"/>
  <c r="O28" i="29" s="1"/>
  <c r="O73" i="29" s="1"/>
  <c r="O28" i="13"/>
  <c r="O22" i="12"/>
  <c r="O22" i="29" s="1"/>
  <c r="O67" i="29" s="1"/>
  <c r="O22" i="13"/>
  <c r="O13" i="12"/>
  <c r="O13" i="29" s="1"/>
  <c r="O58" i="29" s="1"/>
  <c r="O13" i="13"/>
  <c r="O18" i="12"/>
  <c r="O18" i="29" s="1"/>
  <c r="O63" i="29" s="1"/>
  <c r="O18" i="13"/>
  <c r="S35" i="12"/>
  <c r="Q35" i="29" s="1"/>
  <c r="Q80" i="29" s="1"/>
  <c r="S35" i="13"/>
  <c r="V35" i="13" s="1"/>
  <c r="S20" i="12"/>
  <c r="Q20" i="29" s="1"/>
  <c r="Q65" i="29" s="1"/>
  <c r="V20" i="11"/>
  <c r="S20" i="13"/>
  <c r="V20" i="13" s="1"/>
  <c r="S40" i="12"/>
  <c r="Q40" i="29" s="1"/>
  <c r="Q85" i="29" s="1"/>
  <c r="V40" i="11"/>
  <c r="S40" i="13"/>
  <c r="V40" i="13" s="1"/>
  <c r="S34" i="12"/>
  <c r="Q34" i="29" s="1"/>
  <c r="Q79" i="29" s="1"/>
  <c r="S34" i="13"/>
  <c r="S43" i="12"/>
  <c r="Q43" i="29" s="1"/>
  <c r="Q88" i="29" s="1"/>
  <c r="S43" i="13"/>
  <c r="V21" i="11"/>
  <c r="S21" i="12"/>
  <c r="Q21" i="29" s="1"/>
  <c r="Q66" i="29" s="1"/>
  <c r="S21" i="13"/>
  <c r="S23" i="12"/>
  <c r="V23" i="12" s="1"/>
  <c r="S23" i="13"/>
  <c r="V23" i="13" s="1"/>
  <c r="S16" i="12"/>
  <c r="Q16" i="29" s="1"/>
  <c r="Q61" i="29" s="1"/>
  <c r="V16" i="11"/>
  <c r="S16" i="13"/>
  <c r="S10" i="12"/>
  <c r="Q10" i="29" s="1"/>
  <c r="Q55" i="29" s="1"/>
  <c r="S10" i="13"/>
  <c r="S11" i="12"/>
  <c r="Q11" i="29" s="1"/>
  <c r="Q56" i="29" s="1"/>
  <c r="S11" i="13"/>
  <c r="L50" i="10"/>
  <c r="L51" i="10" s="1"/>
  <c r="M43" i="8"/>
  <c r="M43" i="28" s="1"/>
  <c r="M100" i="28" s="1"/>
  <c r="M43" i="9"/>
  <c r="AI58" i="9"/>
  <c r="M51" i="8"/>
  <c r="M51" i="28" s="1"/>
  <c r="M108" i="28" s="1"/>
  <c r="M51" i="9"/>
  <c r="O6" i="8"/>
  <c r="O6" i="28" s="1"/>
  <c r="O63" i="28" s="1"/>
  <c r="O7" i="8"/>
  <c r="O7" i="28" s="1"/>
  <c r="O64" i="28" s="1"/>
  <c r="O43" i="8"/>
  <c r="O43" i="28" s="1"/>
  <c r="O100" i="28" s="1"/>
  <c r="O47" i="8"/>
  <c r="O47" i="28" s="1"/>
  <c r="O104" i="28" s="1"/>
  <c r="O51" i="8"/>
  <c r="O51" i="28" s="1"/>
  <c r="O108" i="28" s="1"/>
  <c r="Z28" i="11"/>
  <c r="Y28" i="12"/>
  <c r="Z28" i="12" s="1"/>
  <c r="Y28" i="13"/>
  <c r="Z28" i="13" s="1"/>
  <c r="Z41" i="11"/>
  <c r="Y41" i="12"/>
  <c r="Z41" i="12" s="1"/>
  <c r="Y41" i="13"/>
  <c r="Z41" i="13" s="1"/>
  <c r="Y25" i="12"/>
  <c r="Z25" i="12" s="1"/>
  <c r="Z25" i="11"/>
  <c r="Y25" i="13"/>
  <c r="Z25" i="13" s="1"/>
  <c r="Z21" i="11"/>
  <c r="Y21" i="12"/>
  <c r="Z21" i="12" s="1"/>
  <c r="Y21" i="13"/>
  <c r="Z21" i="13" s="1"/>
  <c r="Z14" i="11"/>
  <c r="Y14" i="12"/>
  <c r="Z14" i="12" s="1"/>
  <c r="Y14" i="13"/>
  <c r="Z14" i="13" s="1"/>
  <c r="Z20" i="11"/>
  <c r="Y20" i="12"/>
  <c r="Z20" i="12" s="1"/>
  <c r="Y20" i="13"/>
  <c r="Z20" i="13" s="1"/>
  <c r="Z29" i="11"/>
  <c r="Y29" i="12"/>
  <c r="Z29" i="12" s="1"/>
  <c r="Y29" i="13"/>
  <c r="Z29" i="13" s="1"/>
  <c r="Y23" i="12"/>
  <c r="Z23" i="12" s="1"/>
  <c r="Z23" i="11"/>
  <c r="Y23" i="13"/>
  <c r="Z23" i="13" s="1"/>
  <c r="Z8" i="11"/>
  <c r="Y8" i="12"/>
  <c r="Z8" i="12" s="1"/>
  <c r="Y8" i="13"/>
  <c r="Z8" i="13" s="1"/>
  <c r="Z9" i="11"/>
  <c r="Y9" i="12"/>
  <c r="Z9" i="12" s="1"/>
  <c r="Y9" i="13"/>
  <c r="Z9" i="13" s="1"/>
  <c r="M19" i="8"/>
  <c r="M19" i="28" s="1"/>
  <c r="M76" i="28" s="1"/>
  <c r="M19" i="9"/>
  <c r="M6" i="8"/>
  <c r="M6" i="28" s="1"/>
  <c r="M63" i="28" s="1"/>
  <c r="M6" i="9"/>
  <c r="M10" i="8"/>
  <c r="M10" i="28" s="1"/>
  <c r="M67" i="28" s="1"/>
  <c r="M10" i="9"/>
  <c r="M28" i="8"/>
  <c r="M28" i="28" s="1"/>
  <c r="M85" i="28" s="1"/>
  <c r="M28" i="9"/>
  <c r="AC11" i="8"/>
  <c r="AC7" i="8"/>
  <c r="AC48" i="8"/>
  <c r="AC51" i="8"/>
  <c r="AI22" i="8"/>
  <c r="AE22" i="28" s="1"/>
  <c r="AE79" i="28" s="1"/>
  <c r="AI10" i="8"/>
  <c r="AE10" i="28" s="1"/>
  <c r="AE67" i="28" s="1"/>
  <c r="AI16" i="8"/>
  <c r="AE16" i="28" s="1"/>
  <c r="AE73" i="28" s="1"/>
  <c r="AI38" i="8"/>
  <c r="AE38" i="28" s="1"/>
  <c r="AE95" i="28" s="1"/>
  <c r="AI53" i="8"/>
  <c r="AE53" i="28" s="1"/>
  <c r="AE110" i="28" s="1"/>
  <c r="AI41" i="8"/>
  <c r="AE41" i="28" s="1"/>
  <c r="AE98" i="28" s="1"/>
  <c r="AI36" i="8"/>
  <c r="AE36" i="28" s="1"/>
  <c r="AE93" i="28" s="1"/>
  <c r="P34" i="8"/>
  <c r="P27" i="8"/>
  <c r="P22" i="8"/>
  <c r="P22" i="28" s="1"/>
  <c r="P79" i="28" s="1"/>
  <c r="P54" i="8"/>
  <c r="P54" i="28" s="1"/>
  <c r="P111" i="28" s="1"/>
  <c r="P46" i="8"/>
  <c r="P46" i="28" s="1"/>
  <c r="P103" i="28" s="1"/>
  <c r="P44" i="8"/>
  <c r="P44" i="28" s="1"/>
  <c r="P101" i="28" s="1"/>
  <c r="L26" i="8"/>
  <c r="L26" i="28" s="1"/>
  <c r="L83" i="28" s="1"/>
  <c r="L33" i="8"/>
  <c r="L33" i="28" s="1"/>
  <c r="L90" i="28" s="1"/>
  <c r="M31" i="8"/>
  <c r="M31" i="28" s="1"/>
  <c r="M88" i="28" s="1"/>
  <c r="M31" i="9"/>
  <c r="M40" i="8"/>
  <c r="M40" i="28" s="1"/>
  <c r="M97" i="28" s="1"/>
  <c r="M40" i="9"/>
  <c r="R5" i="12"/>
  <c r="R46" i="12" s="1"/>
  <c r="Q46" i="12"/>
  <c r="N46" i="12"/>
  <c r="V39" i="11"/>
  <c r="U39" i="12"/>
  <c r="S39" i="29" s="1"/>
  <c r="S84" i="29" s="1"/>
  <c r="U39" i="13"/>
  <c r="U42" i="12"/>
  <c r="S42" i="29" s="1"/>
  <c r="S87" i="29" s="1"/>
  <c r="U42" i="13"/>
  <c r="U33" i="12"/>
  <c r="V33" i="12" s="1"/>
  <c r="U33" i="13"/>
  <c r="V19" i="11"/>
  <c r="U19" i="12"/>
  <c r="S19" i="29" s="1"/>
  <c r="S64" i="29" s="1"/>
  <c r="U19" i="13"/>
  <c r="V31" i="11"/>
  <c r="U31" i="12"/>
  <c r="S31" i="29" s="1"/>
  <c r="S76" i="29" s="1"/>
  <c r="U31" i="13"/>
  <c r="U41" i="12"/>
  <c r="S41" i="29" s="1"/>
  <c r="S86" i="29" s="1"/>
  <c r="U41" i="13"/>
  <c r="V43" i="11"/>
  <c r="U43" i="12"/>
  <c r="V43" i="12" s="1"/>
  <c r="U43" i="13"/>
  <c r="U21" i="12"/>
  <c r="S21" i="29" s="1"/>
  <c r="S66" i="29" s="1"/>
  <c r="U21" i="13"/>
  <c r="V11" i="11"/>
  <c r="U11" i="12"/>
  <c r="S11" i="29" s="1"/>
  <c r="S56" i="29" s="1"/>
  <c r="U11" i="13"/>
  <c r="V7" i="11"/>
  <c r="U7" i="12"/>
  <c r="S7" i="29" s="1"/>
  <c r="S52" i="29" s="1"/>
  <c r="U7" i="13"/>
  <c r="V43" i="9"/>
  <c r="V37" i="9"/>
  <c r="V55" i="9"/>
  <c r="V33" i="9"/>
  <c r="V51" i="9"/>
  <c r="AB28" i="7"/>
  <c r="V28" i="9"/>
  <c r="V47" i="9"/>
  <c r="V41" i="9"/>
  <c r="V23" i="9"/>
  <c r="V12" i="9"/>
  <c r="V25" i="9"/>
  <c r="V19" i="9"/>
  <c r="AB18" i="7"/>
  <c r="V18" i="9"/>
  <c r="W8" i="8"/>
  <c r="V8" i="28" s="1"/>
  <c r="V65" i="28" s="1"/>
  <c r="W13" i="8"/>
  <c r="V13" i="28" s="1"/>
  <c r="V70" i="28" s="1"/>
  <c r="W45" i="8"/>
  <c r="V45" i="28" s="1"/>
  <c r="V102" i="28" s="1"/>
  <c r="W49" i="8"/>
  <c r="V49" i="28" s="1"/>
  <c r="V106" i="28" s="1"/>
  <c r="W27" i="8"/>
  <c r="V27" i="28" s="1"/>
  <c r="V84" i="28" s="1"/>
  <c r="M12" i="8"/>
  <c r="M12" i="28" s="1"/>
  <c r="M69" i="28" s="1"/>
  <c r="M12" i="9"/>
  <c r="AC12" i="8"/>
  <c r="AC35" i="8"/>
  <c r="AC33" i="8"/>
  <c r="P29" i="8"/>
  <c r="P24" i="8"/>
  <c r="P24" i="28" s="1"/>
  <c r="P81" i="28" s="1"/>
  <c r="P17" i="8"/>
  <c r="P17" i="28" s="1"/>
  <c r="P74" i="28" s="1"/>
  <c r="P42" i="8"/>
  <c r="P42" i="28" s="1"/>
  <c r="P99" i="28" s="1"/>
  <c r="P39" i="8"/>
  <c r="P39" i="28" s="1"/>
  <c r="P96" i="28" s="1"/>
  <c r="P45" i="8"/>
  <c r="P45" i="28" s="1"/>
  <c r="P102" i="28" s="1"/>
  <c r="AB23" i="7"/>
  <c r="U58" i="9"/>
  <c r="U55" i="8"/>
  <c r="T55" i="28" s="1"/>
  <c r="T112" i="28" s="1"/>
  <c r="U38" i="8"/>
  <c r="T38" i="28" s="1"/>
  <c r="T95" i="28" s="1"/>
  <c r="U47" i="8"/>
  <c r="T47" i="28" s="1"/>
  <c r="T104" i="28" s="1"/>
  <c r="Q26" i="8"/>
  <c r="Q26" i="28" s="1"/>
  <c r="Q83" i="28" s="1"/>
  <c r="Q33" i="8"/>
  <c r="Q33" i="28" s="1"/>
  <c r="Q90" i="28" s="1"/>
  <c r="M30" i="8"/>
  <c r="M30" i="28" s="1"/>
  <c r="M87" i="28" s="1"/>
  <c r="M30" i="9"/>
  <c r="X44" i="8"/>
  <c r="W44" i="28" s="1"/>
  <c r="W101" i="28" s="1"/>
  <c r="X47" i="8"/>
  <c r="W47" i="28" s="1"/>
  <c r="W104" i="28" s="1"/>
  <c r="X25" i="8"/>
  <c r="W25" i="28" s="1"/>
  <c r="W82" i="28" s="1"/>
  <c r="X36" i="8"/>
  <c r="W36" i="28" s="1"/>
  <c r="W93" i="28" s="1"/>
  <c r="X29" i="8"/>
  <c r="W29" i="28" s="1"/>
  <c r="W86" i="28" s="1"/>
  <c r="X27" i="8"/>
  <c r="W27" i="28" s="1"/>
  <c r="W84" i="28" s="1"/>
  <c r="M36" i="12"/>
  <c r="M36" i="29" s="1"/>
  <c r="M81" i="29" s="1"/>
  <c r="M36" i="13"/>
  <c r="M21" i="12"/>
  <c r="M21" i="29" s="1"/>
  <c r="M66" i="29" s="1"/>
  <c r="M21" i="13"/>
  <c r="M23" i="12"/>
  <c r="M23" i="29" s="1"/>
  <c r="M68" i="29" s="1"/>
  <c r="M23" i="13"/>
  <c r="M16" i="12"/>
  <c r="M16" i="29" s="1"/>
  <c r="M61" i="29" s="1"/>
  <c r="M16" i="13"/>
  <c r="M19" i="12"/>
  <c r="M19" i="29" s="1"/>
  <c r="M64" i="29" s="1"/>
  <c r="M19" i="13"/>
  <c r="M40" i="12"/>
  <c r="M40" i="29" s="1"/>
  <c r="M85" i="29" s="1"/>
  <c r="M40" i="13"/>
  <c r="M34" i="12"/>
  <c r="M34" i="29" s="1"/>
  <c r="M79" i="29" s="1"/>
  <c r="M34" i="13"/>
  <c r="M5" i="12"/>
  <c r="M5" i="29" s="1"/>
  <c r="M50" i="29" s="1"/>
  <c r="M5" i="13"/>
  <c r="M46" i="11"/>
  <c r="M12" i="12"/>
  <c r="M12" i="29" s="1"/>
  <c r="M57" i="29" s="1"/>
  <c r="M12" i="13"/>
  <c r="M11" i="12"/>
  <c r="M11" i="29" s="1"/>
  <c r="M56" i="29" s="1"/>
  <c r="M11" i="13"/>
  <c r="AB9" i="9"/>
  <c r="F30" i="5"/>
  <c r="W30" i="8"/>
  <c r="V30" i="28" s="1"/>
  <c r="V87" i="28" s="1"/>
  <c r="W58" i="9"/>
  <c r="W6" i="8"/>
  <c r="V6" i="28" s="1"/>
  <c r="V63" i="28" s="1"/>
  <c r="M26" i="8"/>
  <c r="M26" i="28" s="1"/>
  <c r="M83" i="28" s="1"/>
  <c r="M26" i="9"/>
  <c r="M44" i="8"/>
  <c r="M44" i="28" s="1"/>
  <c r="M101" i="28" s="1"/>
  <c r="M44" i="9"/>
  <c r="AH58" i="9"/>
  <c r="AH12" i="8"/>
  <c r="AD12" i="28" s="1"/>
  <c r="AD69" i="28" s="1"/>
  <c r="AH35" i="8"/>
  <c r="AD35" i="28" s="1"/>
  <c r="AD92" i="28" s="1"/>
  <c r="AH38" i="8"/>
  <c r="AD38" i="28" s="1"/>
  <c r="AD95" i="28" s="1"/>
  <c r="AH26" i="8"/>
  <c r="AD26" i="28" s="1"/>
  <c r="AD83" i="28" s="1"/>
  <c r="AH36" i="8"/>
  <c r="AD36" i="28" s="1"/>
  <c r="AD93" i="28" s="1"/>
  <c r="M18" i="8"/>
  <c r="M18" i="28" s="1"/>
  <c r="M75" i="28" s="1"/>
  <c r="M18" i="9"/>
  <c r="O14" i="12"/>
  <c r="O14" i="29" s="1"/>
  <c r="O59" i="29" s="1"/>
  <c r="O14" i="13"/>
  <c r="O41" i="12"/>
  <c r="O41" i="29" s="1"/>
  <c r="O86" i="29" s="1"/>
  <c r="O41" i="13"/>
  <c r="O20" i="12"/>
  <c r="O20" i="29" s="1"/>
  <c r="O65" i="29" s="1"/>
  <c r="O20" i="13"/>
  <c r="O37" i="12"/>
  <c r="O37" i="29" s="1"/>
  <c r="O82" i="29" s="1"/>
  <c r="O37" i="13"/>
  <c r="O39" i="12"/>
  <c r="O39" i="29" s="1"/>
  <c r="O84" i="29" s="1"/>
  <c r="O39" i="13"/>
  <c r="O33" i="12"/>
  <c r="O33" i="29" s="1"/>
  <c r="O78" i="29" s="1"/>
  <c r="O33" i="13"/>
  <c r="O35" i="12"/>
  <c r="O35" i="29" s="1"/>
  <c r="O80" i="29" s="1"/>
  <c r="O35" i="13"/>
  <c r="O29" i="12"/>
  <c r="O29" i="29" s="1"/>
  <c r="O74" i="29" s="1"/>
  <c r="O29" i="13"/>
  <c r="O8" i="12"/>
  <c r="O8" i="29" s="1"/>
  <c r="O53" i="29" s="1"/>
  <c r="O8" i="13"/>
  <c r="O5" i="12"/>
  <c r="O5" i="29" s="1"/>
  <c r="O50" i="29" s="1"/>
  <c r="O5" i="13"/>
  <c r="O46" i="11"/>
  <c r="S28" i="12"/>
  <c r="Q28" i="29" s="1"/>
  <c r="Q73" i="29" s="1"/>
  <c r="V28" i="11"/>
  <c r="S28" i="13"/>
  <c r="S22" i="12"/>
  <c r="Q22" i="29" s="1"/>
  <c r="Q67" i="29" s="1"/>
  <c r="S22" i="13"/>
  <c r="S24" i="12"/>
  <c r="Q24" i="29" s="1"/>
  <c r="Q69" i="29" s="1"/>
  <c r="V24" i="11"/>
  <c r="S24" i="13"/>
  <c r="V17" i="11"/>
  <c r="S17" i="12"/>
  <c r="V17" i="12" s="1"/>
  <c r="S17" i="13"/>
  <c r="V17" i="13" s="1"/>
  <c r="S27" i="12"/>
  <c r="Q27" i="29" s="1"/>
  <c r="Q72" i="29" s="1"/>
  <c r="S27" i="13"/>
  <c r="S32" i="12"/>
  <c r="Q32" i="29" s="1"/>
  <c r="Q77" i="29" s="1"/>
  <c r="V32" i="11"/>
  <c r="S32" i="13"/>
  <c r="S42" i="12"/>
  <c r="Q42" i="29" s="1"/>
  <c r="Q87" i="29" s="1"/>
  <c r="S42" i="13"/>
  <c r="V42" i="13" s="1"/>
  <c r="V5" i="11"/>
  <c r="S5" i="12"/>
  <c r="Q5" i="29" s="1"/>
  <c r="Q50" i="29" s="1"/>
  <c r="S46" i="11"/>
  <c r="S5" i="13"/>
  <c r="S6" i="12"/>
  <c r="Q6" i="29" s="1"/>
  <c r="Q51" i="29" s="1"/>
  <c r="S6" i="13"/>
  <c r="S12" i="12"/>
  <c r="Q12" i="29" s="1"/>
  <c r="Q57" i="29" s="1"/>
  <c r="V12" i="11"/>
  <c r="S12" i="13"/>
  <c r="W19" i="8"/>
  <c r="V19" i="28" s="1"/>
  <c r="V76" i="28" s="1"/>
  <c r="W12" i="8"/>
  <c r="V12" i="28" s="1"/>
  <c r="V69" i="28" s="1"/>
  <c r="W21" i="8"/>
  <c r="V21" i="28" s="1"/>
  <c r="V78" i="28" s="1"/>
  <c r="W51" i="8"/>
  <c r="V51" i="28" s="1"/>
  <c r="V108" i="28" s="1"/>
  <c r="W40" i="8"/>
  <c r="V40" i="28" s="1"/>
  <c r="V97" i="28" s="1"/>
  <c r="W44" i="8"/>
  <c r="V44" i="28" s="1"/>
  <c r="V101" i="28" s="1"/>
  <c r="W38" i="8"/>
  <c r="V38" i="28" s="1"/>
  <c r="V95" i="28" s="1"/>
  <c r="AI5" i="8"/>
  <c r="AE5" i="28" s="1"/>
  <c r="AE62" i="28" s="1"/>
  <c r="AI18" i="8"/>
  <c r="AE18" i="28" s="1"/>
  <c r="AE75" i="28" s="1"/>
  <c r="AI7" i="8"/>
  <c r="AE7" i="28" s="1"/>
  <c r="AE64" i="28" s="1"/>
  <c r="AI55" i="8"/>
  <c r="AE55" i="28" s="1"/>
  <c r="AE112" i="28" s="1"/>
  <c r="AI40" i="8"/>
  <c r="AE40" i="28" s="1"/>
  <c r="AE97" i="28" s="1"/>
  <c r="AI44" i="8"/>
  <c r="AE44" i="28" s="1"/>
  <c r="AE101" i="28" s="1"/>
  <c r="P28" i="8"/>
  <c r="P21" i="8"/>
  <c r="P21" i="28" s="1"/>
  <c r="P78" i="28" s="1"/>
  <c r="P16" i="8"/>
  <c r="P16" i="28" s="1"/>
  <c r="P73" i="28" s="1"/>
  <c r="P12" i="8"/>
  <c r="P12" i="28" s="1"/>
  <c r="P69" i="28" s="1"/>
  <c r="P51" i="8"/>
  <c r="P51" i="28" s="1"/>
  <c r="P108" i="28" s="1"/>
  <c r="P40" i="8"/>
  <c r="P40" i="28" s="1"/>
  <c r="P97" i="28" s="1"/>
  <c r="P48" i="8"/>
  <c r="P48" i="28" s="1"/>
  <c r="P105" i="28" s="1"/>
  <c r="AH13" i="8"/>
  <c r="AD13" i="28" s="1"/>
  <c r="AD70" i="28" s="1"/>
  <c r="AH25" i="8"/>
  <c r="AD25" i="28" s="1"/>
  <c r="AD82" i="28" s="1"/>
  <c r="AH15" i="8"/>
  <c r="AD15" i="28" s="1"/>
  <c r="AD72" i="28" s="1"/>
  <c r="AH55" i="8"/>
  <c r="AD55" i="28" s="1"/>
  <c r="AD112" i="28" s="1"/>
  <c r="AH43" i="8"/>
  <c r="AD43" i="28" s="1"/>
  <c r="AD100" i="28" s="1"/>
  <c r="AH48" i="8"/>
  <c r="AD48" i="28" s="1"/>
  <c r="AD105" i="28" s="1"/>
  <c r="O30" i="8"/>
  <c r="O30" i="28" s="1"/>
  <c r="O87" i="28" s="1"/>
  <c r="O58" i="9"/>
  <c r="V37" i="12"/>
  <c r="V40" i="12"/>
  <c r="Z34" i="11"/>
  <c r="Y34" i="12"/>
  <c r="Z34" i="12" s="1"/>
  <c r="Y34" i="13"/>
  <c r="Z34" i="13" s="1"/>
  <c r="Y19" i="12"/>
  <c r="Z19" i="12" s="1"/>
  <c r="Z19" i="11"/>
  <c r="Y19" i="13"/>
  <c r="Z19" i="13" s="1"/>
  <c r="Z44" i="11"/>
  <c r="Y44" i="12"/>
  <c r="Z44" i="12" s="1"/>
  <c r="Y44" i="13"/>
  <c r="Z44" i="13" s="1"/>
  <c r="Z40" i="11"/>
  <c r="Y40" i="12"/>
  <c r="Z40" i="12" s="1"/>
  <c r="Y40" i="13"/>
  <c r="Z40" i="13" s="1"/>
  <c r="Z33" i="11"/>
  <c r="Y33" i="12"/>
  <c r="Z33" i="12" s="1"/>
  <c r="Y33" i="13"/>
  <c r="Z33" i="13" s="1"/>
  <c r="Y43" i="12"/>
  <c r="Z43" i="12" s="1"/>
  <c r="Z43" i="11"/>
  <c r="Y43" i="13"/>
  <c r="Z43" i="13" s="1"/>
  <c r="Z32" i="11"/>
  <c r="Y32" i="12"/>
  <c r="Z32" i="12" s="1"/>
  <c r="Y32" i="13"/>
  <c r="Z32" i="13" s="1"/>
  <c r="Z5" i="11"/>
  <c r="Y5" i="12"/>
  <c r="U5" i="29" s="1"/>
  <c r="U50" i="29" s="1"/>
  <c r="Y5" i="13"/>
  <c r="Y46" i="11"/>
  <c r="Z10" i="11"/>
  <c r="Y10" i="12"/>
  <c r="Z10" i="12" s="1"/>
  <c r="Y10" i="13"/>
  <c r="Z10" i="13" s="1"/>
  <c r="Y11" i="12"/>
  <c r="Z11" i="12" s="1"/>
  <c r="Z11" i="11"/>
  <c r="Y11" i="13"/>
  <c r="Z11" i="13" s="1"/>
  <c r="M7" i="8"/>
  <c r="M7" i="28" s="1"/>
  <c r="M64" i="28" s="1"/>
  <c r="M7" i="9"/>
  <c r="M15" i="8"/>
  <c r="M15" i="28" s="1"/>
  <c r="M72" i="28" s="1"/>
  <c r="M15" i="9"/>
  <c r="M14" i="8"/>
  <c r="M14" i="28" s="1"/>
  <c r="M71" i="28" s="1"/>
  <c r="M14" i="9"/>
  <c r="W22" i="8"/>
  <c r="V22" i="28" s="1"/>
  <c r="V79" i="28" s="1"/>
  <c r="W20" i="8"/>
  <c r="V20" i="28" s="1"/>
  <c r="V77" i="28" s="1"/>
  <c r="W32" i="8"/>
  <c r="V32" i="28" s="1"/>
  <c r="V89" i="28" s="1"/>
  <c r="W36" i="8"/>
  <c r="V36" i="28" s="1"/>
  <c r="V93" i="28" s="1"/>
  <c r="W28" i="8"/>
  <c r="V28" i="28" s="1"/>
  <c r="V85" i="28" s="1"/>
  <c r="W48" i="8"/>
  <c r="V48" i="28" s="1"/>
  <c r="V105" i="28" s="1"/>
  <c r="M25" i="8"/>
  <c r="M25" i="28" s="1"/>
  <c r="M82" i="28" s="1"/>
  <c r="M25" i="9"/>
  <c r="AD5" i="9"/>
  <c r="AD58" i="9" s="1"/>
  <c r="AC58" i="9"/>
  <c r="AC6" i="8"/>
  <c r="AC42" i="8"/>
  <c r="L15" i="8"/>
  <c r="L15" i="28" s="1"/>
  <c r="L72" i="28" s="1"/>
  <c r="L38" i="8"/>
  <c r="L38" i="28" s="1"/>
  <c r="L95" i="28" s="1"/>
  <c r="L7" i="8"/>
  <c r="L7" i="28" s="1"/>
  <c r="L64" i="28" s="1"/>
  <c r="L22" i="8"/>
  <c r="L22" i="28" s="1"/>
  <c r="L79" i="28" s="1"/>
  <c r="L55" i="8"/>
  <c r="L55" i="28" s="1"/>
  <c r="L112" i="28" s="1"/>
  <c r="AH24" i="8"/>
  <c r="AD24" i="28" s="1"/>
  <c r="AD81" i="28" s="1"/>
  <c r="AH19" i="8"/>
  <c r="AD19" i="28" s="1"/>
  <c r="AD76" i="28" s="1"/>
  <c r="AH8" i="8"/>
  <c r="AD8" i="28" s="1"/>
  <c r="AD65" i="28" s="1"/>
  <c r="AH41" i="8"/>
  <c r="AD41" i="28" s="1"/>
  <c r="AD98" i="28" s="1"/>
  <c r="AH56" i="8"/>
  <c r="AD56" i="28" s="1"/>
  <c r="AD113" i="28" s="1"/>
  <c r="AH49" i="8"/>
  <c r="AD49" i="28" s="1"/>
  <c r="AD106" i="28" s="1"/>
  <c r="AH29" i="8"/>
  <c r="AD29" i="28" s="1"/>
  <c r="AD86" i="28" s="1"/>
  <c r="O12" i="8"/>
  <c r="O12" i="28" s="1"/>
  <c r="O69" i="28" s="1"/>
  <c r="O21" i="8"/>
  <c r="O21" i="28" s="1"/>
  <c r="O78" i="28" s="1"/>
  <c r="O27" i="8"/>
  <c r="O27" i="28" s="1"/>
  <c r="O84" i="28" s="1"/>
  <c r="O36" i="8"/>
  <c r="O36" i="28" s="1"/>
  <c r="O93" i="28" s="1"/>
  <c r="O40" i="8"/>
  <c r="O40" i="28" s="1"/>
  <c r="O97" i="28" s="1"/>
  <c r="O54" i="8"/>
  <c r="O54" i="28" s="1"/>
  <c r="O111" i="28" s="1"/>
  <c r="X5" i="8"/>
  <c r="W5" i="28" s="1"/>
  <c r="W62" i="28" s="1"/>
  <c r="X34" i="8"/>
  <c r="W34" i="28" s="1"/>
  <c r="W91" i="28" s="1"/>
  <c r="X32" i="8"/>
  <c r="W32" i="28" s="1"/>
  <c r="W89" i="28" s="1"/>
  <c r="T46" i="13"/>
  <c r="V34" i="11"/>
  <c r="R46" i="11"/>
  <c r="U16" i="12"/>
  <c r="S16" i="29" s="1"/>
  <c r="S61" i="29" s="1"/>
  <c r="U16" i="13"/>
  <c r="U24" i="12"/>
  <c r="S24" i="29" s="1"/>
  <c r="S69" i="29" s="1"/>
  <c r="U24" i="13"/>
  <c r="U44" i="12"/>
  <c r="S44" i="29" s="1"/>
  <c r="S89" i="29" s="1"/>
  <c r="U44" i="13"/>
  <c r="U38" i="12"/>
  <c r="V38" i="12" s="1"/>
  <c r="U38" i="13"/>
  <c r="U14" i="12"/>
  <c r="S14" i="29" s="1"/>
  <c r="S59" i="29" s="1"/>
  <c r="U14" i="13"/>
  <c r="U25" i="12"/>
  <c r="S25" i="29" s="1"/>
  <c r="S70" i="29" s="1"/>
  <c r="U25" i="13"/>
  <c r="V27" i="11"/>
  <c r="U27" i="12"/>
  <c r="S27" i="29" s="1"/>
  <c r="S72" i="29" s="1"/>
  <c r="U27" i="13"/>
  <c r="U6" i="12"/>
  <c r="S6" i="29" s="1"/>
  <c r="S51" i="29" s="1"/>
  <c r="U6" i="13"/>
  <c r="U12" i="12"/>
  <c r="S12" i="29" s="1"/>
  <c r="S57" i="29" s="1"/>
  <c r="U12" i="13"/>
  <c r="U8" i="12"/>
  <c r="S8" i="29" s="1"/>
  <c r="S53" i="29" s="1"/>
  <c r="U8" i="13"/>
  <c r="AB32" i="7"/>
  <c r="V32" i="9"/>
  <c r="V53" i="9"/>
  <c r="V39" i="8"/>
  <c r="U39" i="28" s="1"/>
  <c r="U96" i="28" s="1"/>
  <c r="V39" i="9"/>
  <c r="V49" i="9"/>
  <c r="V35" i="9"/>
  <c r="V45" i="9"/>
  <c r="V31" i="9"/>
  <c r="V6" i="9"/>
  <c r="V5" i="8"/>
  <c r="U5" i="28" s="1"/>
  <c r="U62" i="28" s="1"/>
  <c r="V5" i="9"/>
  <c r="V58" i="7"/>
  <c r="V63" i="7" s="1"/>
  <c r="V9" i="8" s="1"/>
  <c r="U9" i="28" s="1"/>
  <c r="U66" i="28" s="1"/>
  <c r="V14" i="8"/>
  <c r="U14" i="28" s="1"/>
  <c r="U71" i="28" s="1"/>
  <c r="V14" i="9"/>
  <c r="AB30" i="7"/>
  <c r="V30" i="8"/>
  <c r="U30" i="28" s="1"/>
  <c r="U87" i="28" s="1"/>
  <c r="V30" i="9"/>
  <c r="AB24" i="7"/>
  <c r="V24" i="9"/>
  <c r="V21" i="8"/>
  <c r="U21" i="28" s="1"/>
  <c r="U78" i="28" s="1"/>
  <c r="V21" i="9"/>
  <c r="S63" i="7"/>
  <c r="R63" i="7"/>
  <c r="AC25" i="8"/>
  <c r="AC45" i="8"/>
  <c r="AC53" i="8"/>
  <c r="AI19" i="8"/>
  <c r="AE19" i="28" s="1"/>
  <c r="AE76" i="28" s="1"/>
  <c r="AI8" i="8"/>
  <c r="AE8" i="28" s="1"/>
  <c r="AE65" i="28" s="1"/>
  <c r="AI13" i="8"/>
  <c r="AE13" i="28" s="1"/>
  <c r="AE70" i="28" s="1"/>
  <c r="AI54" i="8"/>
  <c r="AE54" i="28" s="1"/>
  <c r="AE111" i="28" s="1"/>
  <c r="AI42" i="8"/>
  <c r="AE42" i="28" s="1"/>
  <c r="AE99" i="28" s="1"/>
  <c r="AI46" i="8"/>
  <c r="AE46" i="28" s="1"/>
  <c r="AE103" i="28" s="1"/>
  <c r="AI50" i="8"/>
  <c r="AE50" i="28" s="1"/>
  <c r="AE107" i="28" s="1"/>
  <c r="M52" i="8"/>
  <c r="M52" i="28" s="1"/>
  <c r="M109" i="28" s="1"/>
  <c r="M52" i="9"/>
  <c r="U24" i="8"/>
  <c r="T24" i="28" s="1"/>
  <c r="T81" i="28" s="1"/>
  <c r="U5" i="8"/>
  <c r="T5" i="28" s="1"/>
  <c r="T62" i="28" s="1"/>
  <c r="U53" i="8"/>
  <c r="T53" i="28" s="1"/>
  <c r="T110" i="28" s="1"/>
  <c r="AB55" i="7"/>
  <c r="AB47" i="7"/>
  <c r="Q15" i="8"/>
  <c r="Q15" i="28" s="1"/>
  <c r="Q72" i="28" s="1"/>
  <c r="Q53" i="8"/>
  <c r="Q53" i="28" s="1"/>
  <c r="Q110" i="28" s="1"/>
  <c r="Q7" i="8"/>
  <c r="Q7" i="28" s="1"/>
  <c r="Q64" i="28" s="1"/>
  <c r="Q22" i="8"/>
  <c r="Q22" i="28" s="1"/>
  <c r="Q79" i="28" s="1"/>
  <c r="Q30" i="8"/>
  <c r="Q30" i="28" s="1"/>
  <c r="Q87" i="28" s="1"/>
  <c r="L32" i="8"/>
  <c r="L32" i="28" s="1"/>
  <c r="L89" i="28" s="1"/>
  <c r="L31" i="8"/>
  <c r="L31" i="28" s="1"/>
  <c r="L88" i="28" s="1"/>
  <c r="L48" i="8"/>
  <c r="L48" i="28" s="1"/>
  <c r="L105" i="28" s="1"/>
  <c r="L52" i="8"/>
  <c r="L52" i="28" s="1"/>
  <c r="L109" i="28" s="1"/>
  <c r="L56" i="8"/>
  <c r="L56" i="28" s="1"/>
  <c r="L113" i="28" s="1"/>
  <c r="L50" i="8"/>
  <c r="L50" i="28" s="1"/>
  <c r="L107" i="28" s="1"/>
  <c r="AH21" i="8"/>
  <c r="AD21" i="28" s="1"/>
  <c r="AD78" i="28" s="1"/>
  <c r="AH14" i="8"/>
  <c r="AD14" i="28" s="1"/>
  <c r="AD71" i="28" s="1"/>
  <c r="AH23" i="8"/>
  <c r="AD23" i="28" s="1"/>
  <c r="AD80" i="28" s="1"/>
  <c r="AH42" i="8"/>
  <c r="AD42" i="28" s="1"/>
  <c r="AD99" i="28" s="1"/>
  <c r="AH45" i="8"/>
  <c r="AD45" i="28" s="1"/>
  <c r="AD102" i="28" s="1"/>
  <c r="AH50" i="8"/>
  <c r="AD50" i="28" s="1"/>
  <c r="AD107" i="28" s="1"/>
  <c r="AH31" i="8"/>
  <c r="AD31" i="28" s="1"/>
  <c r="AD88" i="28" s="1"/>
  <c r="O10" i="8"/>
  <c r="O10" i="28" s="1"/>
  <c r="O67" i="28" s="1"/>
  <c r="O18" i="8"/>
  <c r="O18" i="28" s="1"/>
  <c r="O75" i="28" s="1"/>
  <c r="O44" i="8"/>
  <c r="O44" i="28" s="1"/>
  <c r="O101" i="28" s="1"/>
  <c r="O52" i="8"/>
  <c r="O52" i="28" s="1"/>
  <c r="O109" i="28" s="1"/>
  <c r="O56" i="8"/>
  <c r="O56" i="28" s="1"/>
  <c r="O113" i="28" s="1"/>
  <c r="O39" i="8"/>
  <c r="O39" i="28" s="1"/>
  <c r="O96" i="28" s="1"/>
  <c r="V29" i="12"/>
  <c r="V42" i="12"/>
  <c r="V14" i="11"/>
  <c r="M37" i="12"/>
  <c r="M37" i="29" s="1"/>
  <c r="M82" i="29" s="1"/>
  <c r="M37" i="13"/>
  <c r="M32" i="12"/>
  <c r="M32" i="29" s="1"/>
  <c r="M77" i="29" s="1"/>
  <c r="M32" i="13"/>
  <c r="M42" i="12"/>
  <c r="M42" i="29" s="1"/>
  <c r="M87" i="29" s="1"/>
  <c r="M42" i="13"/>
  <c r="M44" i="12"/>
  <c r="M44" i="29" s="1"/>
  <c r="M89" i="29" s="1"/>
  <c r="M44" i="13"/>
  <c r="M38" i="12"/>
  <c r="M38" i="29" s="1"/>
  <c r="M83" i="29" s="1"/>
  <c r="M38" i="13"/>
  <c r="M24" i="12"/>
  <c r="M24" i="29" s="1"/>
  <c r="M69" i="29" s="1"/>
  <c r="M24" i="13"/>
  <c r="M17" i="12"/>
  <c r="M17" i="29" s="1"/>
  <c r="M62" i="29" s="1"/>
  <c r="M17" i="13"/>
  <c r="M7" i="12"/>
  <c r="M7" i="29" s="1"/>
  <c r="M52" i="29" s="1"/>
  <c r="M7" i="13"/>
  <c r="M13" i="12"/>
  <c r="M13" i="29" s="1"/>
  <c r="M58" i="29" s="1"/>
  <c r="M13" i="13"/>
  <c r="M18" i="12"/>
  <c r="M18" i="29" s="1"/>
  <c r="M63" i="29" s="1"/>
  <c r="M18" i="13"/>
  <c r="M45" i="8"/>
  <c r="M45" i="28" s="1"/>
  <c r="M102" i="28" s="1"/>
  <c r="M45" i="9"/>
  <c r="N59" i="8"/>
  <c r="N59" i="9"/>
  <c r="N59" i="7"/>
  <c r="W5" i="8"/>
  <c r="V5" i="28" s="1"/>
  <c r="V62" i="28" s="1"/>
  <c r="W46" i="8"/>
  <c r="V46" i="28" s="1"/>
  <c r="V103" i="28" s="1"/>
  <c r="W55" i="8"/>
  <c r="V55" i="28" s="1"/>
  <c r="V112" i="28" s="1"/>
  <c r="W43" i="8"/>
  <c r="V43" i="28" s="1"/>
  <c r="V100" i="28" s="1"/>
  <c r="W47" i="8"/>
  <c r="V47" i="28" s="1"/>
  <c r="V104" i="28" s="1"/>
  <c r="V35" i="12"/>
  <c r="V39" i="12"/>
  <c r="O34" i="12"/>
  <c r="O34" i="29" s="1"/>
  <c r="O79" i="29" s="1"/>
  <c r="O34" i="13"/>
  <c r="O24" i="12"/>
  <c r="O24" i="29" s="1"/>
  <c r="O69" i="29" s="1"/>
  <c r="O24" i="13"/>
  <c r="O43" i="12"/>
  <c r="O43" i="29" s="1"/>
  <c r="O88" i="29" s="1"/>
  <c r="O43" i="13"/>
  <c r="O21" i="12"/>
  <c r="O21" i="29" s="1"/>
  <c r="O66" i="29" s="1"/>
  <c r="O21" i="13"/>
  <c r="O23" i="12"/>
  <c r="O23" i="29" s="1"/>
  <c r="O68" i="29" s="1"/>
  <c r="O23" i="13"/>
  <c r="O16" i="12"/>
  <c r="O16" i="29" s="1"/>
  <c r="O61" i="29" s="1"/>
  <c r="O16" i="13"/>
  <c r="O19" i="12"/>
  <c r="O19" i="29" s="1"/>
  <c r="O64" i="29" s="1"/>
  <c r="O19" i="13"/>
  <c r="O6" i="12"/>
  <c r="O6" i="29" s="1"/>
  <c r="O51" i="29" s="1"/>
  <c r="O6" i="13"/>
  <c r="O9" i="12"/>
  <c r="O9" i="29" s="1"/>
  <c r="O54" i="29" s="1"/>
  <c r="O9" i="13"/>
  <c r="O7" i="12"/>
  <c r="O7" i="29" s="1"/>
  <c r="O52" i="29" s="1"/>
  <c r="O7" i="13"/>
  <c r="S19" i="12"/>
  <c r="V19" i="12" s="1"/>
  <c r="S19" i="13"/>
  <c r="V19" i="13" s="1"/>
  <c r="S44" i="12"/>
  <c r="Q44" i="29" s="1"/>
  <c r="Q89" i="29" s="1"/>
  <c r="V44" i="11"/>
  <c r="S44" i="13"/>
  <c r="S31" i="12"/>
  <c r="V31" i="12" s="1"/>
  <c r="S31" i="13"/>
  <c r="V31" i="13" s="1"/>
  <c r="V41" i="11"/>
  <c r="S41" i="12"/>
  <c r="V41" i="12" s="1"/>
  <c r="S41" i="13"/>
  <c r="V41" i="13" s="1"/>
  <c r="S30" i="12"/>
  <c r="Q30" i="29" s="1"/>
  <c r="Q75" i="29" s="1"/>
  <c r="S30" i="13"/>
  <c r="S15" i="12"/>
  <c r="V15" i="12" s="1"/>
  <c r="S15" i="13"/>
  <c r="V15" i="13" s="1"/>
  <c r="S26" i="12"/>
  <c r="Q26" i="29" s="1"/>
  <c r="Q71" i="29" s="1"/>
  <c r="S26" i="13"/>
  <c r="S7" i="12"/>
  <c r="V7" i="12" s="1"/>
  <c r="S7" i="13"/>
  <c r="V7" i="13" s="1"/>
  <c r="V13" i="11"/>
  <c r="S13" i="12"/>
  <c r="Q13" i="29" s="1"/>
  <c r="Q58" i="29" s="1"/>
  <c r="S13" i="13"/>
  <c r="S18" i="12"/>
  <c r="Q18" i="29" s="1"/>
  <c r="Q63" i="29" s="1"/>
  <c r="S18" i="13"/>
  <c r="M37" i="8"/>
  <c r="M37" i="28" s="1"/>
  <c r="M94" i="28" s="1"/>
  <c r="M37" i="9"/>
  <c r="AI30" i="8"/>
  <c r="AE30" i="28" s="1"/>
  <c r="AE87" i="28" s="1"/>
  <c r="M36" i="8"/>
  <c r="M36" i="28" s="1"/>
  <c r="M93" i="28" s="1"/>
  <c r="M36" i="9"/>
  <c r="M34" i="8"/>
  <c r="M34" i="28" s="1"/>
  <c r="M91" i="28" s="1"/>
  <c r="M34" i="9"/>
  <c r="O5" i="8"/>
  <c r="O5" i="28" s="1"/>
  <c r="O62" i="28" s="1"/>
  <c r="O11" i="8"/>
  <c r="O11" i="28" s="1"/>
  <c r="O68" i="28" s="1"/>
  <c r="O48" i="8"/>
  <c r="O48" i="28" s="1"/>
  <c r="O105" i="28" s="1"/>
  <c r="O45" i="8"/>
  <c r="O45" i="28" s="1"/>
  <c r="O102" i="28" s="1"/>
  <c r="O49" i="8"/>
  <c r="O49" i="28" s="1"/>
  <c r="O106" i="28" s="1"/>
  <c r="O37" i="8"/>
  <c r="O37" i="28" s="1"/>
  <c r="O94" i="28" s="1"/>
  <c r="V38" i="11"/>
  <c r="Y35" i="12"/>
  <c r="Z35" i="12" s="1"/>
  <c r="Z35" i="11"/>
  <c r="Y35" i="13"/>
  <c r="Z35" i="13" s="1"/>
  <c r="Z42" i="11"/>
  <c r="Y42" i="12"/>
  <c r="Z42" i="12" s="1"/>
  <c r="Y42" i="13"/>
  <c r="Z42" i="13" s="1"/>
  <c r="Z30" i="11"/>
  <c r="Y30" i="12"/>
  <c r="Z30" i="12" s="1"/>
  <c r="Y30" i="13"/>
  <c r="Z30" i="13" s="1"/>
  <c r="Z24" i="11"/>
  <c r="Y24" i="12"/>
  <c r="Z24" i="12" s="1"/>
  <c r="Y24" i="13"/>
  <c r="Z24" i="13" s="1"/>
  <c r="Z16" i="11"/>
  <c r="Y16" i="12"/>
  <c r="Z16" i="12" s="1"/>
  <c r="Y16" i="13"/>
  <c r="Z16" i="13" s="1"/>
  <c r="Y27" i="12"/>
  <c r="Z27" i="12" s="1"/>
  <c r="Z27" i="11"/>
  <c r="Y27" i="13"/>
  <c r="Z27" i="13" s="1"/>
  <c r="Y15" i="12"/>
  <c r="Z15" i="12" s="1"/>
  <c r="Z15" i="11"/>
  <c r="Y15" i="13"/>
  <c r="Z15" i="13" s="1"/>
  <c r="Y7" i="12"/>
  <c r="Z7" i="12" s="1"/>
  <c r="Z7" i="11"/>
  <c r="Y7" i="13"/>
  <c r="Z7" i="13" s="1"/>
  <c r="Z6" i="11"/>
  <c r="Y6" i="12"/>
  <c r="Z6" i="12" s="1"/>
  <c r="Y6" i="13"/>
  <c r="Z6" i="13" s="1"/>
  <c r="Z18" i="11"/>
  <c r="Y18" i="12"/>
  <c r="Z18" i="12" s="1"/>
  <c r="Y18" i="13"/>
  <c r="Z18" i="13" s="1"/>
  <c r="M11" i="8"/>
  <c r="M11" i="28" s="1"/>
  <c r="M68" i="28" s="1"/>
  <c r="M11" i="9"/>
  <c r="M20" i="8"/>
  <c r="M20" i="28" s="1"/>
  <c r="M77" i="28" s="1"/>
  <c r="M20" i="9"/>
  <c r="AD58" i="7"/>
  <c r="AC39" i="8"/>
  <c r="AC49" i="8"/>
  <c r="AC32" i="8"/>
  <c r="AA58" i="9"/>
  <c r="M35" i="8"/>
  <c r="M35" i="28" s="1"/>
  <c r="M92" i="28" s="1"/>
  <c r="M35" i="9"/>
  <c r="AI25" i="8"/>
  <c r="AE25" i="28" s="1"/>
  <c r="AE82" i="28" s="1"/>
  <c r="AI15" i="8"/>
  <c r="AE15" i="28" s="1"/>
  <c r="AE72" i="28" s="1"/>
  <c r="AI28" i="8"/>
  <c r="AE28" i="28" s="1"/>
  <c r="AE85" i="28" s="1"/>
  <c r="AI52" i="8"/>
  <c r="AE52" i="28" s="1"/>
  <c r="AE109" i="28" s="1"/>
  <c r="AI56" i="8"/>
  <c r="AE56" i="28" s="1"/>
  <c r="AE113" i="28" s="1"/>
  <c r="AI45" i="8"/>
  <c r="AE45" i="28" s="1"/>
  <c r="AE102" i="28" s="1"/>
  <c r="P23" i="8"/>
  <c r="P23" i="28" s="1"/>
  <c r="P80" i="28" s="1"/>
  <c r="P18" i="8"/>
  <c r="P18" i="28" s="1"/>
  <c r="P75" i="28" s="1"/>
  <c r="P7" i="8"/>
  <c r="P7" i="28" s="1"/>
  <c r="P64" i="28" s="1"/>
  <c r="P10" i="8"/>
  <c r="P10" i="28" s="1"/>
  <c r="P67" i="28" s="1"/>
  <c r="P36" i="8"/>
  <c r="P36" i="28" s="1"/>
  <c r="P93" i="28" s="1"/>
  <c r="P56" i="8"/>
  <c r="P56" i="28" s="1"/>
  <c r="P113" i="28" s="1"/>
  <c r="P49" i="8"/>
  <c r="P49" i="28" s="1"/>
  <c r="P106" i="28" s="1"/>
  <c r="M33" i="8"/>
  <c r="M33" i="28" s="1"/>
  <c r="M90" i="28" s="1"/>
  <c r="M33" i="9"/>
  <c r="L11" i="8"/>
  <c r="L11" i="28" s="1"/>
  <c r="L68" i="28" s="1"/>
  <c r="L58" i="9"/>
  <c r="M27" i="8"/>
  <c r="M27" i="28" s="1"/>
  <c r="M84" i="28" s="1"/>
  <c r="M27" i="9"/>
  <c r="X54" i="8"/>
  <c r="W54" i="28" s="1"/>
  <c r="W111" i="28" s="1"/>
  <c r="X38" i="8"/>
  <c r="W38" i="28" s="1"/>
  <c r="W95" i="28" s="1"/>
  <c r="X41" i="8"/>
  <c r="W41" i="28" s="1"/>
  <c r="W98" i="28" s="1"/>
  <c r="X14" i="8"/>
  <c r="W14" i="28" s="1"/>
  <c r="W71" i="28" s="1"/>
  <c r="T46" i="12"/>
  <c r="V44" i="12"/>
  <c r="U32" i="12"/>
  <c r="S32" i="29" s="1"/>
  <c r="S77" i="29" s="1"/>
  <c r="U32" i="13"/>
  <c r="U26" i="12"/>
  <c r="S26" i="29" s="1"/>
  <c r="S71" i="29" s="1"/>
  <c r="U26" i="13"/>
  <c r="U28" i="12"/>
  <c r="S28" i="29" s="1"/>
  <c r="S73" i="29" s="1"/>
  <c r="U28" i="13"/>
  <c r="U22" i="12"/>
  <c r="S22" i="29" s="1"/>
  <c r="S67" i="29" s="1"/>
  <c r="U22" i="13"/>
  <c r="U34" i="12"/>
  <c r="S34" i="29" s="1"/>
  <c r="S79" i="29" s="1"/>
  <c r="U34" i="13"/>
  <c r="U36" i="12"/>
  <c r="V36" i="12" s="1"/>
  <c r="U36" i="13"/>
  <c r="U30" i="12"/>
  <c r="S30" i="29" s="1"/>
  <c r="S75" i="29" s="1"/>
  <c r="U30" i="13"/>
  <c r="U13" i="12"/>
  <c r="S13" i="29" s="1"/>
  <c r="S58" i="29" s="1"/>
  <c r="U13" i="13"/>
  <c r="U18" i="12"/>
  <c r="S18" i="29" s="1"/>
  <c r="S63" i="29" s="1"/>
  <c r="U18" i="13"/>
  <c r="U10" i="12"/>
  <c r="S10" i="29" s="1"/>
  <c r="S55" i="29" s="1"/>
  <c r="U10" i="13"/>
  <c r="AB26" i="7"/>
  <c r="V26" i="8"/>
  <c r="U26" i="28" s="1"/>
  <c r="U83" i="28" s="1"/>
  <c r="V26" i="9"/>
  <c r="V44" i="8"/>
  <c r="U44" i="28" s="1"/>
  <c r="U101" i="28" s="1"/>
  <c r="V44" i="9"/>
  <c r="V54" i="8"/>
  <c r="U54" i="28" s="1"/>
  <c r="U111" i="28" s="1"/>
  <c r="V54" i="9"/>
  <c r="V56" i="8"/>
  <c r="U56" i="28" s="1"/>
  <c r="U113" i="28" s="1"/>
  <c r="V56" i="9"/>
  <c r="V50" i="8"/>
  <c r="U50" i="28" s="1"/>
  <c r="U107" i="28" s="1"/>
  <c r="V50" i="9"/>
  <c r="V52" i="8"/>
  <c r="U52" i="28" s="1"/>
  <c r="U109" i="28" s="1"/>
  <c r="V52" i="9"/>
  <c r="V46" i="8"/>
  <c r="U46" i="28" s="1"/>
  <c r="U103" i="28" s="1"/>
  <c r="V46" i="9"/>
  <c r="V15" i="8"/>
  <c r="U15" i="28" s="1"/>
  <c r="U72" i="28" s="1"/>
  <c r="V15" i="9"/>
  <c r="V8" i="8"/>
  <c r="U8" i="28" s="1"/>
  <c r="U65" i="28" s="1"/>
  <c r="V8" i="9"/>
  <c r="V17" i="8"/>
  <c r="U17" i="28" s="1"/>
  <c r="U74" i="28" s="1"/>
  <c r="V17" i="9"/>
  <c r="V7" i="8"/>
  <c r="U7" i="28" s="1"/>
  <c r="U64" i="28" s="1"/>
  <c r="V7" i="9"/>
  <c r="V11" i="8"/>
  <c r="U11" i="28" s="1"/>
  <c r="U68" i="28" s="1"/>
  <c r="V11" i="9"/>
  <c r="W17" i="8"/>
  <c r="V17" i="28" s="1"/>
  <c r="V74" i="28" s="1"/>
  <c r="W15" i="8"/>
  <c r="V15" i="28" s="1"/>
  <c r="V72" i="28" s="1"/>
  <c r="W37" i="8"/>
  <c r="V37" i="28" s="1"/>
  <c r="V94" i="28" s="1"/>
  <c r="W50" i="8"/>
  <c r="V50" i="28" s="1"/>
  <c r="V107" i="28" s="1"/>
  <c r="W54" i="8"/>
  <c r="V54" i="28" s="1"/>
  <c r="V111" i="28" s="1"/>
  <c r="W41" i="8"/>
  <c r="V41" i="28" s="1"/>
  <c r="V98" i="28" s="1"/>
  <c r="M54" i="8"/>
  <c r="M54" i="28" s="1"/>
  <c r="M111" i="28" s="1"/>
  <c r="M54" i="9"/>
  <c r="AC21" i="8"/>
  <c r="AC24" i="8"/>
  <c r="AC56" i="8"/>
  <c r="P20" i="8"/>
  <c r="P20" i="28" s="1"/>
  <c r="P77" i="28" s="1"/>
  <c r="P13" i="8"/>
  <c r="P13" i="28" s="1"/>
  <c r="P70" i="28" s="1"/>
  <c r="P33" i="8"/>
  <c r="P8" i="8"/>
  <c r="P8" i="28" s="1"/>
  <c r="P65" i="28" s="1"/>
  <c r="P52" i="8"/>
  <c r="P52" i="28" s="1"/>
  <c r="P109" i="28" s="1"/>
  <c r="P41" i="8"/>
  <c r="P41" i="28" s="1"/>
  <c r="P98" i="28" s="1"/>
  <c r="U21" i="8"/>
  <c r="T21" i="28" s="1"/>
  <c r="T78" i="28" s="1"/>
  <c r="U14" i="8"/>
  <c r="T14" i="28" s="1"/>
  <c r="T71" i="28" s="1"/>
  <c r="U51" i="8"/>
  <c r="T51" i="28" s="1"/>
  <c r="T108" i="28" s="1"/>
  <c r="AB53" i="7"/>
  <c r="AB38" i="7"/>
  <c r="U36" i="8"/>
  <c r="T36" i="28" s="1"/>
  <c r="T93" i="28" s="1"/>
  <c r="M8" i="8"/>
  <c r="M8" i="28" s="1"/>
  <c r="M65" i="28" s="1"/>
  <c r="M8" i="9"/>
  <c r="Q11" i="8"/>
  <c r="Q11" i="28" s="1"/>
  <c r="Q68" i="28" s="1"/>
  <c r="Q58" i="9"/>
  <c r="M22" i="8"/>
  <c r="M22" i="28" s="1"/>
  <c r="M79" i="28" s="1"/>
  <c r="M22" i="9"/>
  <c r="M50" i="8"/>
  <c r="M50" i="28" s="1"/>
  <c r="M107" i="28" s="1"/>
  <c r="M50" i="9"/>
  <c r="X52" i="8"/>
  <c r="W52" i="28" s="1"/>
  <c r="W109" i="28" s="1"/>
  <c r="X55" i="8"/>
  <c r="W55" i="28" s="1"/>
  <c r="W112" i="28" s="1"/>
  <c r="X39" i="8"/>
  <c r="W39" i="28" s="1"/>
  <c r="W96" i="28" s="1"/>
  <c r="X12" i="8"/>
  <c r="W12" i="28" s="1"/>
  <c r="W69" i="28" s="1"/>
  <c r="X20" i="8"/>
  <c r="W20" i="28" s="1"/>
  <c r="W77" i="28" s="1"/>
  <c r="X13" i="8"/>
  <c r="W13" i="28" s="1"/>
  <c r="W70" i="28" s="1"/>
  <c r="X7" i="8"/>
  <c r="W7" i="28" s="1"/>
  <c r="W64" i="28" s="1"/>
  <c r="V10" i="11"/>
  <c r="V42" i="11"/>
  <c r="M27" i="12"/>
  <c r="M27" i="29" s="1"/>
  <c r="M72" i="29" s="1"/>
  <c r="M27" i="13"/>
  <c r="M20" i="12"/>
  <c r="M20" i="29" s="1"/>
  <c r="M65" i="29" s="1"/>
  <c r="M20" i="13"/>
  <c r="M15" i="12"/>
  <c r="M15" i="29" s="1"/>
  <c r="M60" i="29" s="1"/>
  <c r="M15" i="13"/>
  <c r="M26" i="12"/>
  <c r="M26" i="29" s="1"/>
  <c r="M71" i="29" s="1"/>
  <c r="M26" i="13"/>
  <c r="M28" i="12"/>
  <c r="M28" i="29" s="1"/>
  <c r="M73" i="29" s="1"/>
  <c r="M28" i="13"/>
  <c r="M22" i="12"/>
  <c r="M22" i="29" s="1"/>
  <c r="M67" i="29" s="1"/>
  <c r="M22" i="13"/>
  <c r="M31" i="12"/>
  <c r="M31" i="29" s="1"/>
  <c r="M76" i="29" s="1"/>
  <c r="M31" i="13"/>
  <c r="M41" i="12"/>
  <c r="M41" i="29" s="1"/>
  <c r="M86" i="29" s="1"/>
  <c r="M41" i="13"/>
  <c r="M10" i="12"/>
  <c r="M10" i="29" s="1"/>
  <c r="M55" i="29" s="1"/>
  <c r="M10" i="13"/>
  <c r="M8" i="12"/>
  <c r="M8" i="29" s="1"/>
  <c r="M53" i="29" s="1"/>
  <c r="M8" i="13"/>
  <c r="F4" i="5"/>
  <c r="D10" i="5"/>
  <c r="T61" i="6" s="1"/>
  <c r="E4" i="5"/>
  <c r="E30" i="5"/>
  <c r="I9" i="31" l="1"/>
  <c r="I11" i="31"/>
  <c r="E9" i="31"/>
  <c r="E7" i="31"/>
  <c r="E13" i="31" s="1"/>
  <c r="E11" i="31"/>
  <c r="F15" i="31"/>
  <c r="F14" i="31"/>
  <c r="G9" i="31"/>
  <c r="G11" i="31"/>
  <c r="C9" i="31"/>
  <c r="C7" i="31"/>
  <c r="C13" i="31" s="1"/>
  <c r="C11" i="31"/>
  <c r="AD21" i="8"/>
  <c r="AA21" i="28"/>
  <c r="AA78" i="28" s="1"/>
  <c r="AD39" i="8"/>
  <c r="AA39" i="28"/>
  <c r="AA96" i="28" s="1"/>
  <c r="AD25" i="8"/>
  <c r="AA25" i="28"/>
  <c r="AA82" i="28" s="1"/>
  <c r="AD42" i="8"/>
  <c r="AA42" i="28"/>
  <c r="AA99" i="28" s="1"/>
  <c r="AD12" i="8"/>
  <c r="AA12" i="28"/>
  <c r="AA69" i="28" s="1"/>
  <c r="AD48" i="8"/>
  <c r="AA48" i="28"/>
  <c r="AA105" i="28" s="1"/>
  <c r="AD28" i="8"/>
  <c r="AA28" i="28"/>
  <c r="AA85" i="28" s="1"/>
  <c r="B7" i="30"/>
  <c r="B13" i="30" s="1"/>
  <c r="B11" i="30"/>
  <c r="B9" i="30"/>
  <c r="AD27" i="8"/>
  <c r="AA27" i="28"/>
  <c r="AA84" i="28" s="1"/>
  <c r="AD14" i="8"/>
  <c r="AA14" i="28"/>
  <c r="AA71" i="28" s="1"/>
  <c r="S43" i="29"/>
  <c r="S88" i="29" s="1"/>
  <c r="S33" i="29"/>
  <c r="S78" i="29" s="1"/>
  <c r="I7" i="31" s="1"/>
  <c r="I13" i="31" s="1"/>
  <c r="U6" i="29"/>
  <c r="U51" i="29" s="1"/>
  <c r="K7" i="31" s="1"/>
  <c r="K13" i="31" s="1"/>
  <c r="U16" i="29"/>
  <c r="U61" i="29" s="1"/>
  <c r="U35" i="29"/>
  <c r="U80" i="29" s="1"/>
  <c r="U10" i="29"/>
  <c r="U55" i="29" s="1"/>
  <c r="U33" i="29"/>
  <c r="U78" i="29" s="1"/>
  <c r="U34" i="29"/>
  <c r="U79" i="29" s="1"/>
  <c r="U9" i="29"/>
  <c r="U54" i="29" s="1"/>
  <c r="U20" i="29"/>
  <c r="U65" i="29" s="1"/>
  <c r="U41" i="29"/>
  <c r="U86" i="29" s="1"/>
  <c r="U22" i="29"/>
  <c r="U67" i="29" s="1"/>
  <c r="U17" i="29"/>
  <c r="U62" i="29" s="1"/>
  <c r="Q19" i="29"/>
  <c r="Q64" i="29" s="1"/>
  <c r="F7" i="31"/>
  <c r="F13" i="31" s="1"/>
  <c r="AD24" i="8"/>
  <c r="AA24" i="28"/>
  <c r="AA81" i="28" s="1"/>
  <c r="V31" i="8"/>
  <c r="U31" i="28" s="1"/>
  <c r="U88" i="28" s="1"/>
  <c r="V32" i="8"/>
  <c r="U32" i="28" s="1"/>
  <c r="U89" i="28" s="1"/>
  <c r="M9" i="30"/>
  <c r="M11" i="30"/>
  <c r="M7" i="30"/>
  <c r="M13" i="30" s="1"/>
  <c r="AD6" i="8"/>
  <c r="AA6" i="28"/>
  <c r="AA63" i="28" s="1"/>
  <c r="AD7" i="8"/>
  <c r="AA7" i="28"/>
  <c r="AA64" i="28" s="1"/>
  <c r="G9" i="30"/>
  <c r="G11" i="30"/>
  <c r="G7" i="30"/>
  <c r="G13" i="30" s="1"/>
  <c r="AD55" i="8"/>
  <c r="AA55" i="28"/>
  <c r="AA112" i="28" s="1"/>
  <c r="AB21" i="7"/>
  <c r="U7" i="29"/>
  <c r="U52" i="29" s="1"/>
  <c r="U24" i="29"/>
  <c r="U69" i="29" s="1"/>
  <c r="U40" i="29"/>
  <c r="U85" i="29" s="1"/>
  <c r="S36" i="29"/>
  <c r="S81" i="29" s="1"/>
  <c r="U8" i="29"/>
  <c r="U53" i="29" s="1"/>
  <c r="U14" i="29"/>
  <c r="U59" i="29" s="1"/>
  <c r="U28" i="29"/>
  <c r="U73" i="29" s="1"/>
  <c r="U13" i="29"/>
  <c r="U58" i="29" s="1"/>
  <c r="U36" i="29"/>
  <c r="U81" i="29" s="1"/>
  <c r="U26" i="29"/>
  <c r="U71" i="29" s="1"/>
  <c r="Q41" i="29"/>
  <c r="Q86" i="29" s="1"/>
  <c r="F11" i="31"/>
  <c r="AD56" i="8"/>
  <c r="AA56" i="28"/>
  <c r="AA113" i="28" s="1"/>
  <c r="AD32" i="8"/>
  <c r="AA32" i="28"/>
  <c r="AA89" i="28" s="1"/>
  <c r="E7" i="30"/>
  <c r="E13" i="30" s="1"/>
  <c r="E9" i="30"/>
  <c r="E11" i="30"/>
  <c r="V18" i="13"/>
  <c r="AD53" i="8"/>
  <c r="AA53" i="28"/>
  <c r="AA110" i="28" s="1"/>
  <c r="AD33" i="8"/>
  <c r="AA33" i="28"/>
  <c r="AA90" i="28" s="1"/>
  <c r="AD11" i="8"/>
  <c r="AA11" i="28"/>
  <c r="AA68" i="28" s="1"/>
  <c r="AD23" i="8"/>
  <c r="AA23" i="28"/>
  <c r="AA80" i="28" s="1"/>
  <c r="U15" i="29"/>
  <c r="U60" i="29" s="1"/>
  <c r="U30" i="29"/>
  <c r="U75" i="29" s="1"/>
  <c r="U32" i="29"/>
  <c r="U77" i="29" s="1"/>
  <c r="U44" i="29"/>
  <c r="U89" i="29" s="1"/>
  <c r="Q23" i="29"/>
  <c r="Q68" i="29" s="1"/>
  <c r="U23" i="29"/>
  <c r="U68" i="29" s="1"/>
  <c r="U21" i="29"/>
  <c r="U66" i="29" s="1"/>
  <c r="U12" i="29"/>
  <c r="U57" i="29" s="1"/>
  <c r="U31" i="29"/>
  <c r="U76" i="29" s="1"/>
  <c r="U38" i="29"/>
  <c r="U83" i="29" s="1"/>
  <c r="Q15" i="29"/>
  <c r="Q60" i="29" s="1"/>
  <c r="Q31" i="29"/>
  <c r="Q76" i="29" s="1"/>
  <c r="AD49" i="8"/>
  <c r="AA49" i="28"/>
  <c r="AA106" i="28" s="1"/>
  <c r="L9" i="30"/>
  <c r="L11" i="30"/>
  <c r="L7" i="30"/>
  <c r="L13" i="30" s="1"/>
  <c r="J9" i="30"/>
  <c r="J11" i="30"/>
  <c r="J7" i="30"/>
  <c r="J13" i="30" s="1"/>
  <c r="AD45" i="8"/>
  <c r="AA45" i="28"/>
  <c r="AA102" i="28" s="1"/>
  <c r="U9" i="30"/>
  <c r="U11" i="30"/>
  <c r="U7" i="30"/>
  <c r="U13" i="30" s="1"/>
  <c r="AD35" i="8"/>
  <c r="AA35" i="28"/>
  <c r="AA92" i="28" s="1"/>
  <c r="Q7" i="30" s="1"/>
  <c r="Q13" i="30" s="1"/>
  <c r="AD51" i="8"/>
  <c r="AA51" i="28"/>
  <c r="AA108" i="28" s="1"/>
  <c r="AD50" i="8"/>
  <c r="AA50" i="28"/>
  <c r="AA107" i="28" s="1"/>
  <c r="AB49" i="7"/>
  <c r="T9" i="30"/>
  <c r="T7" i="30"/>
  <c r="T13" i="30" s="1"/>
  <c r="T11" i="30"/>
  <c r="F9" i="30"/>
  <c r="F11" i="30"/>
  <c r="F7" i="30"/>
  <c r="F13" i="30" s="1"/>
  <c r="Q9" i="30"/>
  <c r="Q11" i="30"/>
  <c r="U18" i="29"/>
  <c r="U63" i="29" s="1"/>
  <c r="U27" i="29"/>
  <c r="U72" i="29" s="1"/>
  <c r="U42" i="29"/>
  <c r="U87" i="29" s="1"/>
  <c r="Q17" i="29"/>
  <c r="Q62" i="29" s="1"/>
  <c r="U11" i="29"/>
  <c r="U56" i="29" s="1"/>
  <c r="U43" i="29"/>
  <c r="U88" i="29" s="1"/>
  <c r="U19" i="29"/>
  <c r="U64" i="29" s="1"/>
  <c r="U29" i="29"/>
  <c r="U74" i="29" s="1"/>
  <c r="U25" i="29"/>
  <c r="U70" i="29" s="1"/>
  <c r="S38" i="29"/>
  <c r="S83" i="29" s="1"/>
  <c r="U39" i="29"/>
  <c r="U84" i="29" s="1"/>
  <c r="U37" i="29"/>
  <c r="U82" i="29" s="1"/>
  <c r="Q7" i="29"/>
  <c r="Q52" i="29" s="1"/>
  <c r="G7" i="31" s="1"/>
  <c r="G13" i="31" s="1"/>
  <c r="V44" i="13"/>
  <c r="V35" i="8"/>
  <c r="U35" i="28" s="1"/>
  <c r="U92" i="28" s="1"/>
  <c r="M24" i="8"/>
  <c r="M24" i="28" s="1"/>
  <c r="M81" i="28" s="1"/>
  <c r="M46" i="8"/>
  <c r="M46" i="28" s="1"/>
  <c r="M103" i="28" s="1"/>
  <c r="M53" i="8"/>
  <c r="M53" i="28" s="1"/>
  <c r="M110" i="28" s="1"/>
  <c r="V6" i="12"/>
  <c r="M29" i="8"/>
  <c r="M29" i="28" s="1"/>
  <c r="M86" i="28" s="1"/>
  <c r="P58" i="8"/>
  <c r="V30" i="12"/>
  <c r="V32" i="12"/>
  <c r="V34" i="12"/>
  <c r="V18" i="12"/>
  <c r="AH58" i="8"/>
  <c r="N61" i="9"/>
  <c r="N61" i="8"/>
  <c r="N63" i="8" s="1"/>
  <c r="N9" i="9" s="1"/>
  <c r="N61" i="7"/>
  <c r="E34" i="5"/>
  <c r="L48" i="13"/>
  <c r="L48" i="12"/>
  <c r="L48" i="11"/>
  <c r="L51" i="11" s="1"/>
  <c r="L50" i="11" s="1"/>
  <c r="L48" i="10"/>
  <c r="O58" i="8"/>
  <c r="V13" i="12"/>
  <c r="V26" i="13"/>
  <c r="V30" i="13"/>
  <c r="S9" i="8"/>
  <c r="S44" i="8"/>
  <c r="S38" i="8"/>
  <c r="S48" i="8"/>
  <c r="S37" i="8"/>
  <c r="S6" i="8"/>
  <c r="S10" i="8"/>
  <c r="S7" i="8"/>
  <c r="S27" i="8"/>
  <c r="S26" i="8"/>
  <c r="S15" i="8"/>
  <c r="S32" i="8"/>
  <c r="S39" i="8"/>
  <c r="S52" i="8"/>
  <c r="S50" i="8"/>
  <c r="S29" i="8"/>
  <c r="S20" i="8"/>
  <c r="S5" i="8"/>
  <c r="S40" i="8"/>
  <c r="S51" i="8"/>
  <c r="S21" i="8"/>
  <c r="S28" i="8"/>
  <c r="S22" i="8"/>
  <c r="S43" i="8"/>
  <c r="S46" i="8"/>
  <c r="S13" i="8"/>
  <c r="S14" i="8"/>
  <c r="S42" i="8"/>
  <c r="S56" i="8"/>
  <c r="S41" i="8"/>
  <c r="S53" i="8"/>
  <c r="S18" i="8"/>
  <c r="S23" i="8"/>
  <c r="S8" i="8"/>
  <c r="S33" i="8"/>
  <c r="S30" i="8"/>
  <c r="S19" i="8"/>
  <c r="S54" i="8"/>
  <c r="S36" i="8"/>
  <c r="S34" i="8"/>
  <c r="S17" i="8"/>
  <c r="S24" i="8"/>
  <c r="S49" i="8"/>
  <c r="S55" i="8"/>
  <c r="S45" i="8"/>
  <c r="S35" i="8"/>
  <c r="S47" i="8"/>
  <c r="S11" i="8"/>
  <c r="S31" i="8"/>
  <c r="S12" i="8"/>
  <c r="S25" i="8"/>
  <c r="S16" i="8"/>
  <c r="V24" i="8"/>
  <c r="U24" i="28" s="1"/>
  <c r="U81" i="28" s="1"/>
  <c r="V58" i="9"/>
  <c r="AI58" i="8"/>
  <c r="V6" i="13"/>
  <c r="V5" i="12"/>
  <c r="S46" i="12"/>
  <c r="V32" i="13"/>
  <c r="V27" i="12"/>
  <c r="V24" i="13"/>
  <c r="V22" i="12"/>
  <c r="M46" i="13"/>
  <c r="V25" i="8"/>
  <c r="U25" i="28" s="1"/>
  <c r="U82" i="28" s="1"/>
  <c r="V23" i="8"/>
  <c r="U23" i="28" s="1"/>
  <c r="U80" i="28" s="1"/>
  <c r="V47" i="8"/>
  <c r="U47" i="28" s="1"/>
  <c r="U104" i="28" s="1"/>
  <c r="V11" i="12"/>
  <c r="V21" i="13"/>
  <c r="V20" i="12"/>
  <c r="V13" i="8"/>
  <c r="U13" i="28" s="1"/>
  <c r="U70" i="28" s="1"/>
  <c r="V22" i="8"/>
  <c r="U22" i="28" s="1"/>
  <c r="U79" i="28" s="1"/>
  <c r="V29" i="8"/>
  <c r="U29" i="28" s="1"/>
  <c r="U86" i="28" s="1"/>
  <c r="V40" i="8"/>
  <c r="U40" i="28" s="1"/>
  <c r="U97" i="28" s="1"/>
  <c r="V27" i="8"/>
  <c r="U27" i="28" s="1"/>
  <c r="U84" i="28" s="1"/>
  <c r="V48" i="8"/>
  <c r="U48" i="28" s="1"/>
  <c r="U105" i="28" s="1"/>
  <c r="AD58" i="8"/>
  <c r="M48" i="8"/>
  <c r="M48" i="28" s="1"/>
  <c r="M105" i="28" s="1"/>
  <c r="Y54" i="9"/>
  <c r="AB54" i="9" s="1"/>
  <c r="AB54" i="7"/>
  <c r="Y37" i="9"/>
  <c r="AB37" i="9" s="1"/>
  <c r="AB37" i="7"/>
  <c r="Y56" i="9"/>
  <c r="AB56" i="9" s="1"/>
  <c r="AB56" i="7"/>
  <c r="Y50" i="9"/>
  <c r="AB50" i="9" s="1"/>
  <c r="AB50" i="7"/>
  <c r="Y52" i="9"/>
  <c r="AB52" i="9" s="1"/>
  <c r="AB52" i="7"/>
  <c r="Y35" i="9"/>
  <c r="AB35" i="9" s="1"/>
  <c r="AB35" i="7"/>
  <c r="Y47" i="9"/>
  <c r="AB47" i="9" s="1"/>
  <c r="Y29" i="9"/>
  <c r="AB29" i="9" s="1"/>
  <c r="AB29" i="7"/>
  <c r="Y12" i="9"/>
  <c r="AB12" i="9" s="1"/>
  <c r="AB12" i="7"/>
  <c r="Y25" i="9"/>
  <c r="AB25" i="9" s="1"/>
  <c r="AB25" i="7"/>
  <c r="Y19" i="9"/>
  <c r="AB19" i="9" s="1"/>
  <c r="AB19" i="7"/>
  <c r="Y18" i="9"/>
  <c r="AB18" i="9" s="1"/>
  <c r="Y20" i="9"/>
  <c r="AB20" i="9" s="1"/>
  <c r="V33" i="13"/>
  <c r="V25" i="13"/>
  <c r="V14" i="12"/>
  <c r="V38" i="13"/>
  <c r="V26" i="12"/>
  <c r="W58" i="8"/>
  <c r="X58" i="8"/>
  <c r="Z5" i="13"/>
  <c r="Z46" i="13" s="1"/>
  <c r="Y46" i="13"/>
  <c r="V12" i="13"/>
  <c r="V46" i="11"/>
  <c r="V28" i="13"/>
  <c r="O46" i="13"/>
  <c r="F34" i="5"/>
  <c r="L49" i="13"/>
  <c r="L49" i="12"/>
  <c r="L51" i="12" s="1"/>
  <c r="L49" i="11"/>
  <c r="L49" i="10"/>
  <c r="M46" i="12"/>
  <c r="V51" i="8"/>
  <c r="U51" i="28" s="1"/>
  <c r="U108" i="28" s="1"/>
  <c r="V55" i="8"/>
  <c r="U55" i="28" s="1"/>
  <c r="U112" i="28" s="1"/>
  <c r="V43" i="8"/>
  <c r="U43" i="28" s="1"/>
  <c r="U100" i="28" s="1"/>
  <c r="L7" i="11"/>
  <c r="L5" i="11"/>
  <c r="L18" i="11"/>
  <c r="L11" i="11"/>
  <c r="L9" i="11"/>
  <c r="L8" i="11"/>
  <c r="L13" i="11"/>
  <c r="L12" i="11"/>
  <c r="L6" i="11"/>
  <c r="L10" i="11"/>
  <c r="L23" i="11"/>
  <c r="L39" i="11"/>
  <c r="L15" i="11"/>
  <c r="L32" i="11"/>
  <c r="L29" i="11"/>
  <c r="L22" i="11"/>
  <c r="L38" i="11"/>
  <c r="L27" i="11"/>
  <c r="L43" i="11"/>
  <c r="L20" i="11"/>
  <c r="L36" i="11"/>
  <c r="L16" i="11"/>
  <c r="L33" i="11"/>
  <c r="L26" i="11"/>
  <c r="L42" i="11"/>
  <c r="L14" i="11"/>
  <c r="L31" i="11"/>
  <c r="L24" i="11"/>
  <c r="L40" i="11"/>
  <c r="L21" i="11"/>
  <c r="L37" i="11"/>
  <c r="L30" i="11"/>
  <c r="L28" i="11"/>
  <c r="L44" i="11"/>
  <c r="L25" i="11"/>
  <c r="L19" i="11"/>
  <c r="L41" i="11"/>
  <c r="L17" i="11"/>
  <c r="L35" i="11"/>
  <c r="L34" i="11"/>
  <c r="V10" i="13"/>
  <c r="V16" i="12"/>
  <c r="V21" i="12"/>
  <c r="V34" i="13"/>
  <c r="V20" i="8"/>
  <c r="U20" i="28" s="1"/>
  <c r="U77" i="28" s="1"/>
  <c r="V34" i="8"/>
  <c r="U34" i="28" s="1"/>
  <c r="U91" i="28" s="1"/>
  <c r="L58" i="8"/>
  <c r="AC58" i="8"/>
  <c r="M9" i="8"/>
  <c r="M9" i="28" s="1"/>
  <c r="M66" i="28" s="1"/>
  <c r="M23" i="8"/>
  <c r="M23" i="28" s="1"/>
  <c r="M80" i="28" s="1"/>
  <c r="M21" i="8"/>
  <c r="M21" i="28" s="1"/>
  <c r="M78" i="28" s="1"/>
  <c r="M39" i="8"/>
  <c r="M39" i="28" s="1"/>
  <c r="M96" i="28" s="1"/>
  <c r="M41" i="8"/>
  <c r="M41" i="28" s="1"/>
  <c r="M98" i="28" s="1"/>
  <c r="Y41" i="9"/>
  <c r="AB41" i="9" s="1"/>
  <c r="AB41" i="7"/>
  <c r="Y32" i="9"/>
  <c r="AB32" i="9" s="1"/>
  <c r="Y40" i="9"/>
  <c r="AB40" i="9" s="1"/>
  <c r="AB40" i="7"/>
  <c r="Y33" i="9"/>
  <c r="AB33" i="9" s="1"/>
  <c r="AB33" i="7"/>
  <c r="Y51" i="9"/>
  <c r="AB51" i="9" s="1"/>
  <c r="Y34" i="9"/>
  <c r="AB34" i="9" s="1"/>
  <c r="Y42" i="9"/>
  <c r="AB42" i="9" s="1"/>
  <c r="AB42" i="7"/>
  <c r="Y5" i="9"/>
  <c r="Y58" i="7"/>
  <c r="Y63" i="7" s="1"/>
  <c r="Y9" i="8" s="1"/>
  <c r="AB5" i="7"/>
  <c r="Y14" i="9"/>
  <c r="AB14" i="9" s="1"/>
  <c r="Y30" i="8"/>
  <c r="AB30" i="8" s="1"/>
  <c r="Y30" i="9"/>
  <c r="AB30" i="9" s="1"/>
  <c r="Y24" i="9"/>
  <c r="AB24" i="9" s="1"/>
  <c r="Y21" i="9"/>
  <c r="AB21" i="9" s="1"/>
  <c r="Y23" i="9"/>
  <c r="AB23" i="9" s="1"/>
  <c r="V8" i="13"/>
  <c r="V37" i="13"/>
  <c r="V25" i="12"/>
  <c r="V29" i="13"/>
  <c r="AB14" i="7"/>
  <c r="N60" i="9"/>
  <c r="N60" i="8"/>
  <c r="N60" i="7"/>
  <c r="Z5" i="12"/>
  <c r="Z46" i="12" s="1"/>
  <c r="Y46" i="12"/>
  <c r="V5" i="13"/>
  <c r="S46" i="13"/>
  <c r="V24" i="12"/>
  <c r="O46" i="12"/>
  <c r="AB5" i="9"/>
  <c r="V19" i="8"/>
  <c r="U19" i="28" s="1"/>
  <c r="U76" i="28" s="1"/>
  <c r="V12" i="8"/>
  <c r="U12" i="28" s="1"/>
  <c r="U69" i="28" s="1"/>
  <c r="V41" i="8"/>
  <c r="U41" i="28" s="1"/>
  <c r="U98" i="28" s="1"/>
  <c r="V28" i="8"/>
  <c r="U28" i="28" s="1"/>
  <c r="U85" i="28" s="1"/>
  <c r="L50" i="12"/>
  <c r="V10" i="12"/>
  <c r="Q58" i="8"/>
  <c r="V16" i="8"/>
  <c r="U16" i="28" s="1"/>
  <c r="U73" i="28" s="1"/>
  <c r="V36" i="8"/>
  <c r="V38" i="8"/>
  <c r="U38" i="28" s="1"/>
  <c r="U95" i="28" s="1"/>
  <c r="V42" i="8"/>
  <c r="U42" i="28" s="1"/>
  <c r="U99" i="28" s="1"/>
  <c r="U46" i="13"/>
  <c r="M58" i="9"/>
  <c r="Y44" i="9"/>
  <c r="AB44" i="9" s="1"/>
  <c r="AB44" i="7"/>
  <c r="Y26" i="9"/>
  <c r="AB26" i="9" s="1"/>
  <c r="Y55" i="9"/>
  <c r="AB55" i="9" s="1"/>
  <c r="Y27" i="9"/>
  <c r="AB27" i="9" s="1"/>
  <c r="AB27" i="7"/>
  <c r="Y46" i="8"/>
  <c r="AB46" i="8" s="1"/>
  <c r="Y46" i="9"/>
  <c r="AB46" i="9" s="1"/>
  <c r="AB46" i="7"/>
  <c r="Y45" i="9"/>
  <c r="AB45" i="9" s="1"/>
  <c r="AB45" i="7"/>
  <c r="Y36" i="8"/>
  <c r="X36" i="28" s="1"/>
  <c r="X93" i="28" s="1"/>
  <c r="Y36" i="9"/>
  <c r="AB36" i="9" s="1"/>
  <c r="Y8" i="8"/>
  <c r="AB8" i="8" s="1"/>
  <c r="Y8" i="9"/>
  <c r="AB8" i="9" s="1"/>
  <c r="AB8" i="7"/>
  <c r="Y17" i="9"/>
  <c r="AB17" i="9" s="1"/>
  <c r="AB17" i="7"/>
  <c r="Y7" i="8"/>
  <c r="AB7" i="8" s="1"/>
  <c r="Y7" i="9"/>
  <c r="AB7" i="9" s="1"/>
  <c r="AB7" i="7"/>
  <c r="Y11" i="8"/>
  <c r="AB11" i="8" s="1"/>
  <c r="Y11" i="9"/>
  <c r="AB11" i="9" s="1"/>
  <c r="AB11" i="7"/>
  <c r="Y6" i="8"/>
  <c r="X6" i="28" s="1"/>
  <c r="X63" i="28" s="1"/>
  <c r="Y6" i="9"/>
  <c r="AB6" i="9" s="1"/>
  <c r="AB6" i="7"/>
  <c r="V9" i="13"/>
  <c r="V36" i="13"/>
  <c r="M56" i="8"/>
  <c r="M56" i="28" s="1"/>
  <c r="M113" i="28" s="1"/>
  <c r="M42" i="8"/>
  <c r="M42" i="28" s="1"/>
  <c r="M99" i="28" s="1"/>
  <c r="T59" i="8"/>
  <c r="T59" i="9"/>
  <c r="T59" i="7"/>
  <c r="V13" i="13"/>
  <c r="U58" i="8"/>
  <c r="R9" i="8"/>
  <c r="R9" i="28" s="1"/>
  <c r="R66" i="28" s="1"/>
  <c r="R40" i="8"/>
  <c r="R40" i="28" s="1"/>
  <c r="R97" i="28" s="1"/>
  <c r="R51" i="8"/>
  <c r="R51" i="28" s="1"/>
  <c r="R108" i="28" s="1"/>
  <c r="R21" i="8"/>
  <c r="R21" i="28" s="1"/>
  <c r="R78" i="28" s="1"/>
  <c r="R28" i="8"/>
  <c r="R22" i="8"/>
  <c r="R22" i="28" s="1"/>
  <c r="R79" i="28" s="1"/>
  <c r="R49" i="8"/>
  <c r="R49" i="28" s="1"/>
  <c r="R106" i="28" s="1"/>
  <c r="R55" i="8"/>
  <c r="R55" i="28" s="1"/>
  <c r="R112" i="28" s="1"/>
  <c r="R45" i="8"/>
  <c r="R45" i="28" s="1"/>
  <c r="R102" i="28" s="1"/>
  <c r="R35" i="8"/>
  <c r="R35" i="28" s="1"/>
  <c r="R92" i="28" s="1"/>
  <c r="R47" i="8"/>
  <c r="R47" i="28" s="1"/>
  <c r="R104" i="28" s="1"/>
  <c r="R11" i="8"/>
  <c r="R11" i="28" s="1"/>
  <c r="R68" i="28" s="1"/>
  <c r="R31" i="8"/>
  <c r="R12" i="8"/>
  <c r="R12" i="28" s="1"/>
  <c r="R69" i="28" s="1"/>
  <c r="R25" i="8"/>
  <c r="R25" i="28" s="1"/>
  <c r="R82" i="28" s="1"/>
  <c r="R16" i="8"/>
  <c r="R16" i="28" s="1"/>
  <c r="R73" i="28" s="1"/>
  <c r="R43" i="8"/>
  <c r="R43" i="28" s="1"/>
  <c r="R100" i="28" s="1"/>
  <c r="R46" i="8"/>
  <c r="R46" i="28" s="1"/>
  <c r="R103" i="28" s="1"/>
  <c r="R13" i="8"/>
  <c r="R13" i="28" s="1"/>
  <c r="R70" i="28" s="1"/>
  <c r="R44" i="8"/>
  <c r="R44" i="28" s="1"/>
  <c r="R101" i="28" s="1"/>
  <c r="R38" i="8"/>
  <c r="R38" i="28" s="1"/>
  <c r="R95" i="28" s="1"/>
  <c r="R48" i="8"/>
  <c r="R48" i="28" s="1"/>
  <c r="R105" i="28" s="1"/>
  <c r="R37" i="8"/>
  <c r="R37" i="28" s="1"/>
  <c r="R94" i="28" s="1"/>
  <c r="R6" i="8"/>
  <c r="R6" i="28" s="1"/>
  <c r="R63" i="28" s="1"/>
  <c r="R10" i="8"/>
  <c r="R10" i="28" s="1"/>
  <c r="R67" i="28" s="1"/>
  <c r="R7" i="8"/>
  <c r="R7" i="28" s="1"/>
  <c r="R64" i="28" s="1"/>
  <c r="R27" i="8"/>
  <c r="R39" i="8"/>
  <c r="R39" i="28" s="1"/>
  <c r="R96" i="28" s="1"/>
  <c r="R52" i="8"/>
  <c r="R52" i="28" s="1"/>
  <c r="R109" i="28" s="1"/>
  <c r="R50" i="8"/>
  <c r="R50" i="28" s="1"/>
  <c r="R107" i="28" s="1"/>
  <c r="R29" i="8"/>
  <c r="R20" i="8"/>
  <c r="R20" i="28" s="1"/>
  <c r="R77" i="28" s="1"/>
  <c r="R5" i="8"/>
  <c r="R5" i="28" s="1"/>
  <c r="R62" i="28" s="1"/>
  <c r="R30" i="8"/>
  <c r="R30" i="28" s="1"/>
  <c r="R87" i="28" s="1"/>
  <c r="R19" i="8"/>
  <c r="R19" i="28" s="1"/>
  <c r="R76" i="28" s="1"/>
  <c r="R54" i="8"/>
  <c r="R54" i="28" s="1"/>
  <c r="R111" i="28" s="1"/>
  <c r="R36" i="8"/>
  <c r="R36" i="28" s="1"/>
  <c r="R93" i="28" s="1"/>
  <c r="R34" i="8"/>
  <c r="R17" i="8"/>
  <c r="R17" i="28" s="1"/>
  <c r="R74" i="28" s="1"/>
  <c r="R24" i="8"/>
  <c r="R24" i="28" s="1"/>
  <c r="R81" i="28" s="1"/>
  <c r="R14" i="8"/>
  <c r="R14" i="28" s="1"/>
  <c r="R71" i="28" s="1"/>
  <c r="R42" i="8"/>
  <c r="R42" i="28" s="1"/>
  <c r="R99" i="28" s="1"/>
  <c r="R56" i="8"/>
  <c r="R56" i="28" s="1"/>
  <c r="R113" i="28" s="1"/>
  <c r="R41" i="8"/>
  <c r="R41" i="28" s="1"/>
  <c r="R98" i="28" s="1"/>
  <c r="R53" i="8"/>
  <c r="R53" i="28" s="1"/>
  <c r="R110" i="28" s="1"/>
  <c r="R18" i="8"/>
  <c r="R18" i="28" s="1"/>
  <c r="R75" i="28" s="1"/>
  <c r="R23" i="8"/>
  <c r="R23" i="28" s="1"/>
  <c r="R80" i="28" s="1"/>
  <c r="R8" i="8"/>
  <c r="R8" i="28" s="1"/>
  <c r="R65" i="28" s="1"/>
  <c r="R33" i="8"/>
  <c r="R26" i="8"/>
  <c r="R15" i="8"/>
  <c r="R15" i="28" s="1"/>
  <c r="R72" i="28" s="1"/>
  <c r="R32" i="8"/>
  <c r="V6" i="8"/>
  <c r="V45" i="8"/>
  <c r="U45" i="28" s="1"/>
  <c r="U102" i="28" s="1"/>
  <c r="V49" i="8"/>
  <c r="U49" i="28" s="1"/>
  <c r="U106" i="28" s="1"/>
  <c r="V53" i="8"/>
  <c r="U53" i="28" s="1"/>
  <c r="U110" i="28" s="1"/>
  <c r="Z46" i="11"/>
  <c r="V12" i="12"/>
  <c r="V27" i="13"/>
  <c r="V22" i="13"/>
  <c r="V28" i="12"/>
  <c r="V18" i="8"/>
  <c r="U18" i="28" s="1"/>
  <c r="U75" i="28" s="1"/>
  <c r="V33" i="8"/>
  <c r="U33" i="28" s="1"/>
  <c r="U90" i="28" s="1"/>
  <c r="V37" i="8"/>
  <c r="U37" i="28" s="1"/>
  <c r="U94" i="28" s="1"/>
  <c r="V11" i="13"/>
  <c r="V16" i="13"/>
  <c r="V43" i="13"/>
  <c r="AA47" i="13"/>
  <c r="AA47" i="12"/>
  <c r="W51" i="12" s="1"/>
  <c r="AA47" i="11"/>
  <c r="AA47" i="10"/>
  <c r="V10" i="8"/>
  <c r="U10" i="28" s="1"/>
  <c r="U67" i="28" s="1"/>
  <c r="U46" i="12"/>
  <c r="M17" i="8"/>
  <c r="M17" i="28" s="1"/>
  <c r="M74" i="28" s="1"/>
  <c r="M5" i="8"/>
  <c r="M5" i="28" s="1"/>
  <c r="M62" i="28" s="1"/>
  <c r="M55" i="8"/>
  <c r="M55" i="28" s="1"/>
  <c r="M112" i="28" s="1"/>
  <c r="Y43" i="8"/>
  <c r="X43" i="28" s="1"/>
  <c r="X100" i="28" s="1"/>
  <c r="Y43" i="9"/>
  <c r="AB43" i="9" s="1"/>
  <c r="AB43" i="7"/>
  <c r="Y38" i="8"/>
  <c r="AB38" i="8" s="1"/>
  <c r="Y38" i="9"/>
  <c r="AB38" i="9" s="1"/>
  <c r="Y53" i="8"/>
  <c r="X53" i="28" s="1"/>
  <c r="X110" i="28" s="1"/>
  <c r="Y53" i="9"/>
  <c r="AB53" i="9" s="1"/>
  <c r="Y39" i="8"/>
  <c r="AB39" i="8" s="1"/>
  <c r="Y39" i="9"/>
  <c r="AB39" i="9" s="1"/>
  <c r="AB39" i="7"/>
  <c r="Y49" i="8"/>
  <c r="X49" i="28" s="1"/>
  <c r="X106" i="28" s="1"/>
  <c r="Y49" i="9"/>
  <c r="AB49" i="9" s="1"/>
  <c r="Y28" i="8"/>
  <c r="X28" i="28" s="1"/>
  <c r="X85" i="28" s="1"/>
  <c r="Y28" i="9"/>
  <c r="AB28" i="9" s="1"/>
  <c r="Y48" i="8"/>
  <c r="X48" i="28" s="1"/>
  <c r="X105" i="28" s="1"/>
  <c r="Y48" i="9"/>
  <c r="AB48" i="9" s="1"/>
  <c r="AB48" i="7"/>
  <c r="Y31" i="8"/>
  <c r="AB31" i="8" s="1"/>
  <c r="Y31" i="9"/>
  <c r="AB31" i="9" s="1"/>
  <c r="AB31" i="7"/>
  <c r="Y10" i="8"/>
  <c r="X10" i="28" s="1"/>
  <c r="X67" i="28" s="1"/>
  <c r="Y10" i="9"/>
  <c r="AB10" i="9" s="1"/>
  <c r="AB10" i="7"/>
  <c r="Y22" i="8"/>
  <c r="X22" i="28" s="1"/>
  <c r="X79" i="28" s="1"/>
  <c r="Y22" i="9"/>
  <c r="AB22" i="9" s="1"/>
  <c r="Y16" i="8"/>
  <c r="AB16" i="8" s="1"/>
  <c r="Y16" i="9"/>
  <c r="AB16" i="9" s="1"/>
  <c r="AB16" i="7"/>
  <c r="Y13" i="8"/>
  <c r="X13" i="28" s="1"/>
  <c r="X70" i="28" s="1"/>
  <c r="Y13" i="9"/>
  <c r="AB13" i="9" s="1"/>
  <c r="AB13" i="7"/>
  <c r="Y15" i="8"/>
  <c r="AB15" i="8" s="1"/>
  <c r="Y15" i="9"/>
  <c r="AB15" i="9" s="1"/>
  <c r="AB15" i="7"/>
  <c r="V9" i="12"/>
  <c r="V8" i="12"/>
  <c r="V39" i="13"/>
  <c r="V14" i="13"/>
  <c r="AB51" i="7"/>
  <c r="E10" i="5"/>
  <c r="N62" i="6"/>
  <c r="F10" i="5"/>
  <c r="F46" i="5" s="1"/>
  <c r="N63" i="6"/>
  <c r="D46" i="5"/>
  <c r="D29" i="5"/>
  <c r="F29" i="5"/>
  <c r="AB6" i="8" l="1"/>
  <c r="U6" i="28"/>
  <c r="U63" i="28" s="1"/>
  <c r="H9" i="30"/>
  <c r="H11" i="30"/>
  <c r="H7" i="30"/>
  <c r="H13" i="30" s="1"/>
  <c r="AB9" i="8"/>
  <c r="X9" i="28"/>
  <c r="X66" i="28" s="1"/>
  <c r="F15" i="30"/>
  <c r="F14" i="30"/>
  <c r="X15" i="28"/>
  <c r="X72" i="28" s="1"/>
  <c r="X38" i="28"/>
  <c r="X95" i="28" s="1"/>
  <c r="X46" i="28"/>
  <c r="X103" i="28" s="1"/>
  <c r="K9" i="31"/>
  <c r="D50" i="5"/>
  <c r="D52" i="5" s="1"/>
  <c r="AB36" i="8"/>
  <c r="U36" i="28"/>
  <c r="U93" i="28" s="1"/>
  <c r="Q14" i="30"/>
  <c r="Q15" i="30"/>
  <c r="X31" i="28"/>
  <c r="X88" i="28" s="1"/>
  <c r="X8" i="28"/>
  <c r="X65" i="28" s="1"/>
  <c r="X30" i="28"/>
  <c r="X87" i="28" s="1"/>
  <c r="G15" i="31"/>
  <c r="G14" i="31"/>
  <c r="E15" i="31"/>
  <c r="E14" i="31"/>
  <c r="C11" i="30"/>
  <c r="C9" i="30"/>
  <c r="C7" i="30"/>
  <c r="C13" i="30" s="1"/>
  <c r="X16" i="28"/>
  <c r="X73" i="28" s="1"/>
  <c r="X39" i="28"/>
  <c r="X96" i="28" s="1"/>
  <c r="U15" i="30"/>
  <c r="U14" i="30"/>
  <c r="L15" i="30"/>
  <c r="L14" i="30"/>
  <c r="X11" i="28"/>
  <c r="X68" i="28" s="1"/>
  <c r="M15" i="30"/>
  <c r="M14" i="30"/>
  <c r="C15" i="31"/>
  <c r="C14" i="31"/>
  <c r="K11" i="31"/>
  <c r="T15" i="30"/>
  <c r="T14" i="30"/>
  <c r="J15" i="30"/>
  <c r="J14" i="30"/>
  <c r="X7" i="28"/>
  <c r="X64" i="28" s="1"/>
  <c r="E15" i="30"/>
  <c r="E14" i="30"/>
  <c r="G15" i="30"/>
  <c r="G14" i="30"/>
  <c r="B15" i="30"/>
  <c r="B14" i="30"/>
  <c r="I15" i="31"/>
  <c r="I14" i="31"/>
  <c r="R58" i="8"/>
  <c r="S63" i="8" s="1"/>
  <c r="Y21" i="8"/>
  <c r="AB53" i="8"/>
  <c r="Y44" i="8"/>
  <c r="T62" i="6"/>
  <c r="T60" i="9"/>
  <c r="T60" i="8"/>
  <c r="T60" i="7"/>
  <c r="M58" i="8"/>
  <c r="AB10" i="8"/>
  <c r="Y17" i="8"/>
  <c r="Y45" i="8"/>
  <c r="X45" i="28" s="1"/>
  <c r="X102" i="28" s="1"/>
  <c r="Y55" i="8"/>
  <c r="Y58" i="9"/>
  <c r="Y42" i="8"/>
  <c r="X42" i="28" s="1"/>
  <c r="X99" i="28" s="1"/>
  <c r="Y51" i="8"/>
  <c r="Y32" i="8"/>
  <c r="P35" i="11"/>
  <c r="AA35" i="11" s="1"/>
  <c r="L35" i="12"/>
  <c r="P35" i="12" s="1"/>
  <c r="L35" i="13"/>
  <c r="P35" i="13" s="1"/>
  <c r="P25" i="11"/>
  <c r="AA25" i="11" s="1"/>
  <c r="L25" i="12"/>
  <c r="P25" i="12" s="1"/>
  <c r="L25" i="13"/>
  <c r="P25" i="13" s="1"/>
  <c r="P37" i="11"/>
  <c r="AA37" i="11" s="1"/>
  <c r="L37" i="12"/>
  <c r="P37" i="12" s="1"/>
  <c r="L37" i="13"/>
  <c r="P37" i="13" s="1"/>
  <c r="P31" i="11"/>
  <c r="AA31" i="11" s="1"/>
  <c r="L31" i="12"/>
  <c r="P31" i="12" s="1"/>
  <c r="L31" i="13"/>
  <c r="P31" i="13" s="1"/>
  <c r="P33" i="11"/>
  <c r="AA33" i="11" s="1"/>
  <c r="L33" i="12"/>
  <c r="P33" i="12" s="1"/>
  <c r="L33" i="13"/>
  <c r="P33" i="13" s="1"/>
  <c r="P43" i="11"/>
  <c r="AA43" i="11" s="1"/>
  <c r="L43" i="12"/>
  <c r="P43" i="12" s="1"/>
  <c r="L43" i="13"/>
  <c r="P43" i="13" s="1"/>
  <c r="P29" i="11"/>
  <c r="AA29" i="11" s="1"/>
  <c r="L29" i="12"/>
  <c r="P29" i="12" s="1"/>
  <c r="L29" i="13"/>
  <c r="P29" i="13" s="1"/>
  <c r="P23" i="11"/>
  <c r="AA23" i="11" s="1"/>
  <c r="L23" i="12"/>
  <c r="P23" i="12" s="1"/>
  <c r="L23" i="13"/>
  <c r="P23" i="13" s="1"/>
  <c r="P13" i="11"/>
  <c r="AA13" i="11" s="1"/>
  <c r="L13" i="12"/>
  <c r="P13" i="12" s="1"/>
  <c r="L13" i="13"/>
  <c r="P13" i="13" s="1"/>
  <c r="P18" i="11"/>
  <c r="AA18" i="11" s="1"/>
  <c r="L18" i="12"/>
  <c r="P18" i="12" s="1"/>
  <c r="L18" i="13"/>
  <c r="P18" i="13" s="1"/>
  <c r="F45" i="5"/>
  <c r="P49" i="13"/>
  <c r="P49" i="12"/>
  <c r="P49" i="11"/>
  <c r="P49" i="10"/>
  <c r="Y19" i="8"/>
  <c r="Y50" i="8"/>
  <c r="AB48" i="8"/>
  <c r="AB22" i="8"/>
  <c r="AM63" i="6"/>
  <c r="AM61" i="9"/>
  <c r="AM61" i="8"/>
  <c r="AM61" i="7"/>
  <c r="T63" i="6"/>
  <c r="T61" i="9"/>
  <c r="T61" i="8"/>
  <c r="T61" i="7"/>
  <c r="AB49" i="8"/>
  <c r="AB42" i="8"/>
  <c r="AB28" i="8"/>
  <c r="AB58" i="9"/>
  <c r="V46" i="13"/>
  <c r="Y23" i="8"/>
  <c r="Y24" i="8"/>
  <c r="Y14" i="8"/>
  <c r="Y5" i="8"/>
  <c r="X5" i="28" s="1"/>
  <c r="X62" i="28" s="1"/>
  <c r="P17" i="11"/>
  <c r="AA17" i="11" s="1"/>
  <c r="L17" i="12"/>
  <c r="P17" i="12" s="1"/>
  <c r="L17" i="13"/>
  <c r="P17" i="13" s="1"/>
  <c r="P44" i="11"/>
  <c r="AA44" i="11" s="1"/>
  <c r="L44" i="12"/>
  <c r="P44" i="12" s="1"/>
  <c r="L44" i="13"/>
  <c r="P44" i="13" s="1"/>
  <c r="P21" i="11"/>
  <c r="AA21" i="11" s="1"/>
  <c r="L21" i="12"/>
  <c r="P21" i="12" s="1"/>
  <c r="L21" i="13"/>
  <c r="P21" i="13" s="1"/>
  <c r="P14" i="11"/>
  <c r="AA14" i="11" s="1"/>
  <c r="L14" i="12"/>
  <c r="P14" i="12" s="1"/>
  <c r="L14" i="13"/>
  <c r="P14" i="13" s="1"/>
  <c r="P16" i="11"/>
  <c r="AA16" i="11" s="1"/>
  <c r="L16" i="12"/>
  <c r="P16" i="12" s="1"/>
  <c r="L16" i="13"/>
  <c r="P16" i="13" s="1"/>
  <c r="P27" i="11"/>
  <c r="AA27" i="11" s="1"/>
  <c r="L27" i="12"/>
  <c r="P27" i="12" s="1"/>
  <c r="L27" i="13"/>
  <c r="P27" i="13" s="1"/>
  <c r="P32" i="11"/>
  <c r="AA32" i="11" s="1"/>
  <c r="L32" i="12"/>
  <c r="P32" i="12" s="1"/>
  <c r="L32" i="13"/>
  <c r="P32" i="13" s="1"/>
  <c r="P10" i="11"/>
  <c r="AA10" i="11" s="1"/>
  <c r="L10" i="12"/>
  <c r="P10" i="12" s="1"/>
  <c r="L10" i="13"/>
  <c r="P10" i="13" s="1"/>
  <c r="P8" i="11"/>
  <c r="AA8" i="11" s="1"/>
  <c r="L8" i="12"/>
  <c r="P8" i="12" s="1"/>
  <c r="L8" i="13"/>
  <c r="P8" i="13" s="1"/>
  <c r="P5" i="11"/>
  <c r="L5" i="12"/>
  <c r="L5" i="29" s="1"/>
  <c r="L50" i="29" s="1"/>
  <c r="L5" i="13"/>
  <c r="L46" i="11"/>
  <c r="V58" i="8"/>
  <c r="Y18" i="8"/>
  <c r="Y29" i="8"/>
  <c r="Y52" i="8"/>
  <c r="Y54" i="8"/>
  <c r="AB13" i="8"/>
  <c r="S9" i="9"/>
  <c r="S9" i="28" s="1"/>
  <c r="S66" i="28" s="1"/>
  <c r="S43" i="9"/>
  <c r="S43" i="28" s="1"/>
  <c r="S100" i="28" s="1"/>
  <c r="S29" i="9"/>
  <c r="S29" i="28" s="1"/>
  <c r="S86" i="28" s="1"/>
  <c r="S20" i="9"/>
  <c r="S20" i="28" s="1"/>
  <c r="S77" i="28" s="1"/>
  <c r="S5" i="9"/>
  <c r="S5" i="28" s="1"/>
  <c r="S62" i="28" s="1"/>
  <c r="S14" i="9"/>
  <c r="S14" i="28" s="1"/>
  <c r="S71" i="28" s="1"/>
  <c r="S30" i="9"/>
  <c r="S30" i="28" s="1"/>
  <c r="S87" i="28" s="1"/>
  <c r="S19" i="9"/>
  <c r="S19" i="28" s="1"/>
  <c r="S76" i="28" s="1"/>
  <c r="S42" i="9"/>
  <c r="S42" i="28" s="1"/>
  <c r="S99" i="28" s="1"/>
  <c r="S56" i="9"/>
  <c r="S56" i="28" s="1"/>
  <c r="S113" i="28" s="1"/>
  <c r="S54" i="9"/>
  <c r="S54" i="28" s="1"/>
  <c r="S111" i="28" s="1"/>
  <c r="S36" i="9"/>
  <c r="S36" i="28" s="1"/>
  <c r="S93" i="28" s="1"/>
  <c r="S41" i="9"/>
  <c r="S41" i="28" s="1"/>
  <c r="S98" i="28" s="1"/>
  <c r="S53" i="9"/>
  <c r="S53" i="28" s="1"/>
  <c r="S110" i="28" s="1"/>
  <c r="S34" i="9"/>
  <c r="S34" i="28" s="1"/>
  <c r="S91" i="28" s="1"/>
  <c r="S23" i="9"/>
  <c r="S23" i="28" s="1"/>
  <c r="S80" i="28" s="1"/>
  <c r="S8" i="9"/>
  <c r="S8" i="28" s="1"/>
  <c r="S65" i="28" s="1"/>
  <c r="S24" i="9"/>
  <c r="S24" i="28" s="1"/>
  <c r="S81" i="28" s="1"/>
  <c r="S18" i="9"/>
  <c r="S18" i="28" s="1"/>
  <c r="S75" i="28" s="1"/>
  <c r="S17" i="9"/>
  <c r="S17" i="28" s="1"/>
  <c r="S74" i="28" s="1"/>
  <c r="S33" i="9"/>
  <c r="S33" i="28" s="1"/>
  <c r="S90" i="28" s="1"/>
  <c r="S49" i="9"/>
  <c r="S49" i="28" s="1"/>
  <c r="S106" i="28" s="1"/>
  <c r="S55" i="9"/>
  <c r="S55" i="28" s="1"/>
  <c r="S112" i="28" s="1"/>
  <c r="S35" i="9"/>
  <c r="S35" i="28" s="1"/>
  <c r="S92" i="28" s="1"/>
  <c r="S26" i="9"/>
  <c r="S26" i="28" s="1"/>
  <c r="S83" i="28" s="1"/>
  <c r="S15" i="9"/>
  <c r="S15" i="28" s="1"/>
  <c r="S72" i="28" s="1"/>
  <c r="S12" i="9"/>
  <c r="S12" i="28" s="1"/>
  <c r="S69" i="28" s="1"/>
  <c r="S25" i="9"/>
  <c r="S25" i="28" s="1"/>
  <c r="S82" i="28" s="1"/>
  <c r="S16" i="9"/>
  <c r="S16" i="28" s="1"/>
  <c r="S73" i="28" s="1"/>
  <c r="S32" i="9"/>
  <c r="S32" i="28" s="1"/>
  <c r="S89" i="28" s="1"/>
  <c r="S44" i="9"/>
  <c r="S44" i="28" s="1"/>
  <c r="S101" i="28" s="1"/>
  <c r="S40" i="9"/>
  <c r="S40" i="28" s="1"/>
  <c r="S97" i="28" s="1"/>
  <c r="S38" i="9"/>
  <c r="S38" i="28" s="1"/>
  <c r="S95" i="28" s="1"/>
  <c r="S51" i="9"/>
  <c r="S51" i="28" s="1"/>
  <c r="S108" i="28" s="1"/>
  <c r="S48" i="9"/>
  <c r="S48" i="28" s="1"/>
  <c r="S105" i="28" s="1"/>
  <c r="S37" i="9"/>
  <c r="S37" i="28" s="1"/>
  <c r="S94" i="28" s="1"/>
  <c r="S21" i="9"/>
  <c r="S21" i="28" s="1"/>
  <c r="S78" i="28" s="1"/>
  <c r="S6" i="9"/>
  <c r="S6" i="28" s="1"/>
  <c r="S63" i="28" s="1"/>
  <c r="S28" i="9"/>
  <c r="S28" i="28" s="1"/>
  <c r="S85" i="28" s="1"/>
  <c r="S22" i="9"/>
  <c r="S22" i="28" s="1"/>
  <c r="S79" i="28" s="1"/>
  <c r="S27" i="9"/>
  <c r="S27" i="28" s="1"/>
  <c r="S84" i="28" s="1"/>
  <c r="S45" i="9"/>
  <c r="S45" i="28" s="1"/>
  <c r="S102" i="28" s="1"/>
  <c r="S47" i="9"/>
  <c r="S47" i="28" s="1"/>
  <c r="S104" i="28" s="1"/>
  <c r="S11" i="9"/>
  <c r="S11" i="28" s="1"/>
  <c r="S68" i="28" s="1"/>
  <c r="S31" i="9"/>
  <c r="S31" i="28" s="1"/>
  <c r="S88" i="28" s="1"/>
  <c r="S39" i="9"/>
  <c r="S39" i="28" s="1"/>
  <c r="S96" i="28" s="1"/>
  <c r="S52" i="9"/>
  <c r="S52" i="28" s="1"/>
  <c r="S109" i="28" s="1"/>
  <c r="S50" i="9"/>
  <c r="S50" i="28" s="1"/>
  <c r="S107" i="28" s="1"/>
  <c r="S46" i="9"/>
  <c r="S46" i="28" s="1"/>
  <c r="S103" i="28" s="1"/>
  <c r="S13" i="9"/>
  <c r="S13" i="28" s="1"/>
  <c r="S70" i="28" s="1"/>
  <c r="S10" i="9"/>
  <c r="S10" i="28" s="1"/>
  <c r="S67" i="28" s="1"/>
  <c r="S7" i="9"/>
  <c r="S7" i="28" s="1"/>
  <c r="S64" i="28" s="1"/>
  <c r="AM61" i="6"/>
  <c r="AM59" i="9"/>
  <c r="AM59" i="7"/>
  <c r="AM59" i="8" s="1"/>
  <c r="AB45" i="8"/>
  <c r="Y27" i="8"/>
  <c r="Y26" i="8"/>
  <c r="Y34" i="8"/>
  <c r="Y40" i="8"/>
  <c r="X40" i="28" s="1"/>
  <c r="X97" i="28" s="1"/>
  <c r="P41" i="11"/>
  <c r="AA41" i="11" s="1"/>
  <c r="L41" i="12"/>
  <c r="P41" i="12" s="1"/>
  <c r="L41" i="13"/>
  <c r="P41" i="13" s="1"/>
  <c r="P28" i="11"/>
  <c r="AA28" i="11" s="1"/>
  <c r="L28" i="12"/>
  <c r="P28" i="12" s="1"/>
  <c r="L28" i="13"/>
  <c r="P28" i="13" s="1"/>
  <c r="P40" i="11"/>
  <c r="AA40" i="11" s="1"/>
  <c r="L40" i="12"/>
  <c r="P40" i="12" s="1"/>
  <c r="L40" i="13"/>
  <c r="P40" i="13" s="1"/>
  <c r="P42" i="11"/>
  <c r="AA42" i="11" s="1"/>
  <c r="L42" i="12"/>
  <c r="P42" i="12" s="1"/>
  <c r="L42" i="13"/>
  <c r="P42" i="13" s="1"/>
  <c r="P36" i="11"/>
  <c r="AA36" i="11" s="1"/>
  <c r="L36" i="12"/>
  <c r="P36" i="12" s="1"/>
  <c r="L36" i="13"/>
  <c r="P36" i="13" s="1"/>
  <c r="P38" i="11"/>
  <c r="AA38" i="11" s="1"/>
  <c r="L38" i="12"/>
  <c r="P38" i="12" s="1"/>
  <c r="L38" i="13"/>
  <c r="P38" i="13" s="1"/>
  <c r="P15" i="11"/>
  <c r="AA15" i="11" s="1"/>
  <c r="L15" i="12"/>
  <c r="P15" i="12" s="1"/>
  <c r="L15" i="13"/>
  <c r="P15" i="13" s="1"/>
  <c r="P6" i="11"/>
  <c r="AA6" i="11" s="1"/>
  <c r="L6" i="12"/>
  <c r="P6" i="12" s="1"/>
  <c r="L6" i="13"/>
  <c r="P6" i="13" s="1"/>
  <c r="P9" i="11"/>
  <c r="AA9" i="11" s="1"/>
  <c r="L9" i="12"/>
  <c r="P9" i="12" s="1"/>
  <c r="L9" i="13"/>
  <c r="P9" i="13" s="1"/>
  <c r="P7" i="11"/>
  <c r="AA7" i="11" s="1"/>
  <c r="L7" i="12"/>
  <c r="P7" i="12" s="1"/>
  <c r="L7" i="13"/>
  <c r="P7" i="13" s="1"/>
  <c r="Y12" i="8"/>
  <c r="X12" i="28" s="1"/>
  <c r="X69" i="28" s="1"/>
  <c r="Y35" i="8"/>
  <c r="Y37" i="8"/>
  <c r="AB40" i="8"/>
  <c r="AB12" i="8"/>
  <c r="AB58" i="7"/>
  <c r="Y33" i="8"/>
  <c r="Y41" i="8"/>
  <c r="L34" i="12"/>
  <c r="P34" i="12" s="1"/>
  <c r="P34" i="11"/>
  <c r="AA34" i="11" s="1"/>
  <c r="L34" i="13"/>
  <c r="P34" i="13" s="1"/>
  <c r="P19" i="11"/>
  <c r="AA19" i="11" s="1"/>
  <c r="L19" i="12"/>
  <c r="P19" i="12" s="1"/>
  <c r="L19" i="13"/>
  <c r="P19" i="13" s="1"/>
  <c r="P30" i="11"/>
  <c r="AA30" i="11" s="1"/>
  <c r="L30" i="12"/>
  <c r="P30" i="12" s="1"/>
  <c r="L30" i="13"/>
  <c r="P30" i="13" s="1"/>
  <c r="P24" i="11"/>
  <c r="AA24" i="11" s="1"/>
  <c r="L24" i="12"/>
  <c r="P24" i="12" s="1"/>
  <c r="L24" i="13"/>
  <c r="P24" i="13" s="1"/>
  <c r="P26" i="11"/>
  <c r="AA26" i="11" s="1"/>
  <c r="L26" i="12"/>
  <c r="P26" i="12" s="1"/>
  <c r="L26" i="13"/>
  <c r="P26" i="13" s="1"/>
  <c r="P20" i="11"/>
  <c r="AA20" i="11" s="1"/>
  <c r="L20" i="12"/>
  <c r="P20" i="12" s="1"/>
  <c r="L20" i="13"/>
  <c r="P20" i="13" s="1"/>
  <c r="P22" i="11"/>
  <c r="AA22" i="11" s="1"/>
  <c r="L22" i="12"/>
  <c r="P22" i="12" s="1"/>
  <c r="L22" i="13"/>
  <c r="P22" i="13" s="1"/>
  <c r="P39" i="11"/>
  <c r="AA39" i="11" s="1"/>
  <c r="L39" i="12"/>
  <c r="P39" i="12" s="1"/>
  <c r="L39" i="13"/>
  <c r="P39" i="13" s="1"/>
  <c r="P12" i="11"/>
  <c r="AA12" i="11" s="1"/>
  <c r="L12" i="12"/>
  <c r="P12" i="12" s="1"/>
  <c r="L12" i="13"/>
  <c r="P12" i="13" s="1"/>
  <c r="P11" i="11"/>
  <c r="AA11" i="11" s="1"/>
  <c r="L11" i="12"/>
  <c r="P11" i="12" s="1"/>
  <c r="L11" i="13"/>
  <c r="P11" i="13" s="1"/>
  <c r="AB43" i="8"/>
  <c r="V46" i="12"/>
  <c r="Y20" i="8"/>
  <c r="Y25" i="8"/>
  <c r="Y47" i="8"/>
  <c r="Y56" i="8"/>
  <c r="S58" i="8"/>
  <c r="P48" i="13"/>
  <c r="P48" i="12"/>
  <c r="P48" i="11"/>
  <c r="P48" i="10"/>
  <c r="E41" i="5"/>
  <c r="E21" i="5"/>
  <c r="I9" i="30" l="1"/>
  <c r="I11" i="30"/>
  <c r="I7" i="30"/>
  <c r="I13" i="30" s="1"/>
  <c r="AB20" i="8"/>
  <c r="X20" i="28"/>
  <c r="X77" i="28" s="1"/>
  <c r="AB34" i="8"/>
  <c r="X34" i="28"/>
  <c r="X91" i="28" s="1"/>
  <c r="AB18" i="8"/>
  <c r="X18" i="28"/>
  <c r="X75" i="28" s="1"/>
  <c r="AB23" i="8"/>
  <c r="X23" i="28"/>
  <c r="X80" i="28" s="1"/>
  <c r="AB50" i="8"/>
  <c r="X50" i="28"/>
  <c r="X107" i="28" s="1"/>
  <c r="AB21" i="8"/>
  <c r="X21" i="28"/>
  <c r="X78" i="28" s="1"/>
  <c r="L18" i="29"/>
  <c r="L63" i="29" s="1"/>
  <c r="L43" i="29"/>
  <c r="L88" i="29" s="1"/>
  <c r="L25" i="29"/>
  <c r="L70" i="29" s="1"/>
  <c r="L12" i="29"/>
  <c r="L57" i="29" s="1"/>
  <c r="L26" i="29"/>
  <c r="L71" i="29" s="1"/>
  <c r="L34" i="29"/>
  <c r="L79" i="29" s="1"/>
  <c r="L6" i="29"/>
  <c r="L51" i="29" s="1"/>
  <c r="B7" i="31" s="1"/>
  <c r="B13" i="31" s="1"/>
  <c r="L42" i="29"/>
  <c r="L87" i="29" s="1"/>
  <c r="K15" i="31"/>
  <c r="K14" i="31"/>
  <c r="L8" i="29"/>
  <c r="L53" i="29" s="1"/>
  <c r="L16" i="29"/>
  <c r="L61" i="29" s="1"/>
  <c r="L17" i="29"/>
  <c r="L62" i="29" s="1"/>
  <c r="AB41" i="8"/>
  <c r="X41" i="28"/>
  <c r="X98" i="28" s="1"/>
  <c r="AB26" i="8"/>
  <c r="X26" i="28"/>
  <c r="X83" i="28" s="1"/>
  <c r="AB54" i="8"/>
  <c r="X54" i="28"/>
  <c r="X111" i="28" s="1"/>
  <c r="N9" i="30"/>
  <c r="N11" i="30"/>
  <c r="AB19" i="8"/>
  <c r="X19" i="28"/>
  <c r="X76" i="28" s="1"/>
  <c r="AB32" i="8"/>
  <c r="X32" i="28"/>
  <c r="X89" i="28" s="1"/>
  <c r="AB55" i="8"/>
  <c r="X55" i="28"/>
  <c r="X112" i="28" s="1"/>
  <c r="L13" i="29"/>
  <c r="L58" i="29" s="1"/>
  <c r="L33" i="29"/>
  <c r="L78" i="29" s="1"/>
  <c r="L35" i="29"/>
  <c r="L80" i="29" s="1"/>
  <c r="L39" i="29"/>
  <c r="L84" i="29" s="1"/>
  <c r="L24" i="29"/>
  <c r="L69" i="29" s="1"/>
  <c r="L15" i="29"/>
  <c r="L60" i="29" s="1"/>
  <c r="L40" i="29"/>
  <c r="L85" i="29" s="1"/>
  <c r="L10" i="29"/>
  <c r="L55" i="29" s="1"/>
  <c r="L14" i="29"/>
  <c r="L59" i="29" s="1"/>
  <c r="H14" i="30"/>
  <c r="H15" i="30"/>
  <c r="AB47" i="8"/>
  <c r="X47" i="28"/>
  <c r="X104" i="28" s="1"/>
  <c r="AB33" i="8"/>
  <c r="X33" i="28"/>
  <c r="X90" i="28" s="1"/>
  <c r="AB37" i="8"/>
  <c r="X37" i="28"/>
  <c r="X94" i="28" s="1"/>
  <c r="AB27" i="8"/>
  <c r="X27" i="28"/>
  <c r="X84" i="28" s="1"/>
  <c r="AB52" i="8"/>
  <c r="X52" i="28"/>
  <c r="X109" i="28" s="1"/>
  <c r="AB14" i="8"/>
  <c r="X14" i="28"/>
  <c r="X71" i="28" s="1"/>
  <c r="N7" i="30" s="1"/>
  <c r="N13" i="30" s="1"/>
  <c r="AB51" i="8"/>
  <c r="X51" i="28"/>
  <c r="X108" i="28" s="1"/>
  <c r="AB44" i="8"/>
  <c r="X44" i="28"/>
  <c r="X101" i="28" s="1"/>
  <c r="L23" i="29"/>
  <c r="L68" i="29" s="1"/>
  <c r="L31" i="29"/>
  <c r="L76" i="29" s="1"/>
  <c r="L22" i="29"/>
  <c r="L67" i="29" s="1"/>
  <c r="L30" i="29"/>
  <c r="L75" i="29" s="1"/>
  <c r="C15" i="30"/>
  <c r="C14" i="30"/>
  <c r="L7" i="29"/>
  <c r="L52" i="29" s="1"/>
  <c r="L38" i="29"/>
  <c r="L83" i="29" s="1"/>
  <c r="L28" i="29"/>
  <c r="L73" i="29" s="1"/>
  <c r="L32" i="29"/>
  <c r="L77" i="29" s="1"/>
  <c r="L21" i="29"/>
  <c r="L66" i="29" s="1"/>
  <c r="K11" i="30"/>
  <c r="K7" i="30"/>
  <c r="K13" i="30" s="1"/>
  <c r="K9" i="30"/>
  <c r="AB56" i="8"/>
  <c r="X56" i="28"/>
  <c r="X113" i="28" s="1"/>
  <c r="AB25" i="8"/>
  <c r="X25" i="28"/>
  <c r="X82" i="28" s="1"/>
  <c r="AB35" i="8"/>
  <c r="X35" i="28"/>
  <c r="X92" i="28" s="1"/>
  <c r="T9" i="9"/>
  <c r="AB29" i="8"/>
  <c r="X29" i="28"/>
  <c r="X86" i="28" s="1"/>
  <c r="AB24" i="8"/>
  <c r="X24" i="28"/>
  <c r="X81" i="28" s="1"/>
  <c r="AB17" i="8"/>
  <c r="X17" i="28"/>
  <c r="X74" i="28" s="1"/>
  <c r="L29" i="29"/>
  <c r="L74" i="29" s="1"/>
  <c r="L37" i="29"/>
  <c r="L82" i="29" s="1"/>
  <c r="L11" i="29"/>
  <c r="L56" i="29" s="1"/>
  <c r="L20" i="29"/>
  <c r="L65" i="29" s="1"/>
  <c r="L19" i="29"/>
  <c r="L64" i="29" s="1"/>
  <c r="L9" i="29"/>
  <c r="L54" i="29" s="1"/>
  <c r="L36" i="29"/>
  <c r="L81" i="29" s="1"/>
  <c r="L41" i="29"/>
  <c r="L86" i="29" s="1"/>
  <c r="L27" i="29"/>
  <c r="L72" i="29" s="1"/>
  <c r="L44" i="29"/>
  <c r="L89" i="29" s="1"/>
  <c r="AE60" i="9"/>
  <c r="AE60" i="8"/>
  <c r="AO59" i="8" s="1"/>
  <c r="AE60" i="7"/>
  <c r="E42" i="5"/>
  <c r="W48" i="13"/>
  <c r="W48" i="12"/>
  <c r="W48" i="11"/>
  <c r="W51" i="11" s="1"/>
  <c r="W48" i="10"/>
  <c r="W22" i="12"/>
  <c r="X22" i="12" s="1"/>
  <c r="W22" i="13"/>
  <c r="W30" i="12"/>
  <c r="X30" i="12" s="1"/>
  <c r="W30" i="13"/>
  <c r="W7" i="12"/>
  <c r="X7" i="12" s="1"/>
  <c r="W7" i="13"/>
  <c r="W38" i="12"/>
  <c r="X38" i="12" s="1"/>
  <c r="W38" i="13"/>
  <c r="W28" i="12"/>
  <c r="X28" i="12" s="1"/>
  <c r="W28" i="13"/>
  <c r="P5" i="13"/>
  <c r="L46" i="13"/>
  <c r="W10" i="12"/>
  <c r="X10" i="12" s="1"/>
  <c r="W10" i="13"/>
  <c r="W14" i="12"/>
  <c r="X14" i="12" s="1"/>
  <c r="W14" i="13"/>
  <c r="W13" i="12"/>
  <c r="X13" i="12" s="1"/>
  <c r="W13" i="13"/>
  <c r="W33" i="12"/>
  <c r="X33" i="12" s="1"/>
  <c r="W33" i="13"/>
  <c r="W35" i="12"/>
  <c r="X35" i="12" s="1"/>
  <c r="W35" i="13"/>
  <c r="W39" i="12"/>
  <c r="X39" i="12" s="1"/>
  <c r="AA39" i="12" s="1"/>
  <c r="W39" i="13"/>
  <c r="W24" i="12"/>
  <c r="X24" i="12" s="1"/>
  <c r="AA24" i="12" s="1"/>
  <c r="W24" i="13"/>
  <c r="W34" i="12"/>
  <c r="X34" i="12" s="1"/>
  <c r="W34" i="13"/>
  <c r="W15" i="12"/>
  <c r="X15" i="12" s="1"/>
  <c r="AA15" i="12" s="1"/>
  <c r="W15" i="13"/>
  <c r="W40" i="12"/>
  <c r="X40" i="12" s="1"/>
  <c r="AA40" i="12" s="1"/>
  <c r="W40" i="13"/>
  <c r="P5" i="12"/>
  <c r="L46" i="12"/>
  <c r="W8" i="12"/>
  <c r="X8" i="12" s="1"/>
  <c r="AA8" i="12" s="1"/>
  <c r="W8" i="13"/>
  <c r="W16" i="12"/>
  <c r="X16" i="12" s="1"/>
  <c r="AA16" i="12" s="1"/>
  <c r="W16" i="13"/>
  <c r="W17" i="12"/>
  <c r="X17" i="12" s="1"/>
  <c r="AA17" i="12" s="1"/>
  <c r="W17" i="13"/>
  <c r="W18" i="12"/>
  <c r="X18" i="12" s="1"/>
  <c r="AA18" i="12" s="1"/>
  <c r="W18" i="13"/>
  <c r="W43" i="12"/>
  <c r="X43" i="12" s="1"/>
  <c r="AA43" i="12" s="1"/>
  <c r="W43" i="13"/>
  <c r="W25" i="12"/>
  <c r="X25" i="12" s="1"/>
  <c r="AA25" i="12" s="1"/>
  <c r="W25" i="13"/>
  <c r="W12" i="12"/>
  <c r="X12" i="12" s="1"/>
  <c r="AA12" i="12" s="1"/>
  <c r="W12" i="13"/>
  <c r="W26" i="12"/>
  <c r="X26" i="12" s="1"/>
  <c r="AA26" i="12" s="1"/>
  <c r="W26" i="13"/>
  <c r="AA34" i="12"/>
  <c r="W6" i="12"/>
  <c r="X6" i="12" s="1"/>
  <c r="AA6" i="12" s="1"/>
  <c r="W6" i="13"/>
  <c r="W42" i="12"/>
  <c r="X42" i="12" s="1"/>
  <c r="AA42" i="12" s="1"/>
  <c r="W42" i="13"/>
  <c r="S58" i="9"/>
  <c r="AA5" i="11"/>
  <c r="P46" i="11"/>
  <c r="W27" i="12"/>
  <c r="X27" i="12" s="1"/>
  <c r="AA27" i="12" s="1"/>
  <c r="W27" i="13"/>
  <c r="W44" i="12"/>
  <c r="X44" i="12" s="1"/>
  <c r="AA44" i="12" s="1"/>
  <c r="W44" i="13"/>
  <c r="AA49" i="13"/>
  <c r="AA49" i="12"/>
  <c r="AA49" i="11"/>
  <c r="AA49" i="10"/>
  <c r="W29" i="12"/>
  <c r="X29" i="12" s="1"/>
  <c r="AA29" i="12" s="1"/>
  <c r="W29" i="13"/>
  <c r="W37" i="12"/>
  <c r="X37" i="12" s="1"/>
  <c r="AA37" i="12" s="1"/>
  <c r="W37" i="13"/>
  <c r="W11" i="12"/>
  <c r="X11" i="12" s="1"/>
  <c r="AA11" i="12" s="1"/>
  <c r="W11" i="13"/>
  <c r="AA22" i="12"/>
  <c r="W20" i="12"/>
  <c r="X20" i="12" s="1"/>
  <c r="AA20" i="12" s="1"/>
  <c r="W20" i="13"/>
  <c r="AA30" i="12"/>
  <c r="W19" i="12"/>
  <c r="X19" i="12" s="1"/>
  <c r="AA19" i="12" s="1"/>
  <c r="W19" i="13"/>
  <c r="AA7" i="12"/>
  <c r="W9" i="12"/>
  <c r="X9" i="12" s="1"/>
  <c r="AA9" i="12" s="1"/>
  <c r="W9" i="13"/>
  <c r="AA38" i="12"/>
  <c r="W36" i="12"/>
  <c r="X36" i="12" s="1"/>
  <c r="AA36" i="12" s="1"/>
  <c r="W36" i="13"/>
  <c r="AA28" i="12"/>
  <c r="W41" i="12"/>
  <c r="X41" i="12" s="1"/>
  <c r="AA41" i="12" s="1"/>
  <c r="W41" i="13"/>
  <c r="AA10" i="12"/>
  <c r="W32" i="12"/>
  <c r="X32" i="12" s="1"/>
  <c r="AA32" i="12" s="1"/>
  <c r="W32" i="13"/>
  <c r="AA14" i="12"/>
  <c r="W21" i="12"/>
  <c r="X21" i="12" s="1"/>
  <c r="AA21" i="12" s="1"/>
  <c r="W21" i="13"/>
  <c r="Y58" i="8"/>
  <c r="AB5" i="8"/>
  <c r="AB58" i="8" s="1"/>
  <c r="AA13" i="12"/>
  <c r="W23" i="12"/>
  <c r="X23" i="12" s="1"/>
  <c r="AA23" i="12" s="1"/>
  <c r="W23" i="13"/>
  <c r="AA33" i="12"/>
  <c r="W31" i="12"/>
  <c r="X31" i="12" s="1"/>
  <c r="AA31" i="12" s="1"/>
  <c r="W31" i="13"/>
  <c r="AA35" i="12"/>
  <c r="E23" i="5"/>
  <c r="E46" i="5" s="1"/>
  <c r="D53" i="5" s="1"/>
  <c r="AE62" i="6"/>
  <c r="E29" i="5"/>
  <c r="B9" i="31" l="1"/>
  <c r="K15" i="30"/>
  <c r="K14" i="30"/>
  <c r="N15" i="30"/>
  <c r="N14" i="30"/>
  <c r="B11" i="31"/>
  <c r="I14" i="30"/>
  <c r="I15" i="30"/>
  <c r="X9" i="13"/>
  <c r="AA9" i="13" s="1"/>
  <c r="T9" i="29"/>
  <c r="T54" i="29" s="1"/>
  <c r="X36" i="13"/>
  <c r="AA36" i="13" s="1"/>
  <c r="T36" i="29"/>
  <c r="T81" i="29" s="1"/>
  <c r="X29" i="13"/>
  <c r="AA29" i="13" s="1"/>
  <c r="S19" i="33" s="1"/>
  <c r="T29" i="29"/>
  <c r="T74" i="29" s="1"/>
  <c r="X43" i="13"/>
  <c r="AA43" i="13" s="1"/>
  <c r="AA2560" i="22" s="1"/>
  <c r="T43" i="29"/>
  <c r="T88" i="29" s="1"/>
  <c r="X8" i="13"/>
  <c r="AA8" i="13" s="1"/>
  <c r="AA678" i="22" s="1"/>
  <c r="AG678" i="22" s="1"/>
  <c r="T8" i="29"/>
  <c r="T53" i="29" s="1"/>
  <c r="X40" i="13"/>
  <c r="AA40" i="13" s="1"/>
  <c r="S29" i="33" s="1"/>
  <c r="T40" i="29"/>
  <c r="T85" i="29" s="1"/>
  <c r="X34" i="13"/>
  <c r="AA34" i="13" s="1"/>
  <c r="T34" i="29"/>
  <c r="T79" i="29" s="1"/>
  <c r="X39" i="13"/>
  <c r="AA39" i="13" s="1"/>
  <c r="S28" i="33" s="1"/>
  <c r="T39" i="29"/>
  <c r="T84" i="29" s="1"/>
  <c r="X33" i="13"/>
  <c r="AA33" i="13" s="1"/>
  <c r="S24" i="33" s="1"/>
  <c r="T33" i="29"/>
  <c r="T78" i="29" s="1"/>
  <c r="X14" i="13"/>
  <c r="AA14" i="13" s="1"/>
  <c r="S11" i="33" s="1"/>
  <c r="T14" i="29"/>
  <c r="T59" i="29" s="1"/>
  <c r="X38" i="13"/>
  <c r="AA38" i="13" s="1"/>
  <c r="S27" i="33" s="1"/>
  <c r="T38" i="29"/>
  <c r="T83" i="29" s="1"/>
  <c r="X30" i="13"/>
  <c r="AA30" i="13" s="1"/>
  <c r="T30" i="29"/>
  <c r="T75" i="29" s="1"/>
  <c r="X21" i="13"/>
  <c r="AA21" i="13" s="1"/>
  <c r="T21" i="29"/>
  <c r="T66" i="29" s="1"/>
  <c r="X11" i="13"/>
  <c r="AA11" i="13" s="1"/>
  <c r="AA1589" i="22" s="1"/>
  <c r="T11" i="29"/>
  <c r="T56" i="29" s="1"/>
  <c r="X27" i="13"/>
  <c r="AA27" i="13" s="1"/>
  <c r="S17" i="33" s="1"/>
  <c r="T27" i="29"/>
  <c r="T72" i="29" s="1"/>
  <c r="X12" i="13"/>
  <c r="AA12" i="13" s="1"/>
  <c r="S7" i="33" s="1"/>
  <c r="T12" i="29"/>
  <c r="T57" i="29" s="1"/>
  <c r="X17" i="13"/>
  <c r="AA17" i="13" s="1"/>
  <c r="T17" i="29"/>
  <c r="T62" i="29" s="1"/>
  <c r="X41" i="13"/>
  <c r="AA41" i="13" s="1"/>
  <c r="T41" i="29"/>
  <c r="T86" i="29" s="1"/>
  <c r="X20" i="13"/>
  <c r="AA20" i="13" s="1"/>
  <c r="T20" i="29"/>
  <c r="T65" i="29" s="1"/>
  <c r="X42" i="13"/>
  <c r="AA42" i="13" s="1"/>
  <c r="S30" i="33" s="1"/>
  <c r="T42" i="29"/>
  <c r="T87" i="29" s="1"/>
  <c r="X31" i="13"/>
  <c r="AA31" i="13" s="1"/>
  <c r="S22" i="33" s="1"/>
  <c r="T31" i="29"/>
  <c r="T76" i="29" s="1"/>
  <c r="X23" i="13"/>
  <c r="AA23" i="13" s="1"/>
  <c r="S12" i="33" s="1"/>
  <c r="T23" i="29"/>
  <c r="T68" i="29" s="1"/>
  <c r="X32" i="13"/>
  <c r="AA32" i="13" s="1"/>
  <c r="S23" i="33" s="1"/>
  <c r="T32" i="29"/>
  <c r="T77" i="29" s="1"/>
  <c r="X19" i="13"/>
  <c r="AA19" i="13" s="1"/>
  <c r="S10" i="33" s="1"/>
  <c r="T19" i="29"/>
  <c r="T64" i="29" s="1"/>
  <c r="X37" i="13"/>
  <c r="AA37" i="13" s="1"/>
  <c r="T37" i="29"/>
  <c r="T82" i="29" s="1"/>
  <c r="X44" i="13"/>
  <c r="AA44" i="13" s="1"/>
  <c r="S33" i="33" s="1"/>
  <c r="T44" i="29"/>
  <c r="T89" i="29" s="1"/>
  <c r="X26" i="13"/>
  <c r="AA26" i="13" s="1"/>
  <c r="T26" i="29"/>
  <c r="T71" i="29" s="1"/>
  <c r="X25" i="13"/>
  <c r="AA25" i="13" s="1"/>
  <c r="S14" i="33" s="1"/>
  <c r="T25" i="29"/>
  <c r="T70" i="29" s="1"/>
  <c r="X18" i="13"/>
  <c r="AA18" i="13" s="1"/>
  <c r="S8" i="33" s="1"/>
  <c r="T18" i="29"/>
  <c r="T63" i="29" s="1"/>
  <c r="X16" i="13"/>
  <c r="AA16" i="13" s="1"/>
  <c r="T16" i="29"/>
  <c r="T61" i="29" s="1"/>
  <c r="X15" i="13"/>
  <c r="AA15" i="13" s="1"/>
  <c r="T15" i="29"/>
  <c r="T60" i="29" s="1"/>
  <c r="X24" i="13"/>
  <c r="AA24" i="13" s="1"/>
  <c r="S13" i="33" s="1"/>
  <c r="T24" i="29"/>
  <c r="T69" i="29" s="1"/>
  <c r="X35" i="13"/>
  <c r="AA35" i="13" s="1"/>
  <c r="T35" i="29"/>
  <c r="T80" i="29" s="1"/>
  <c r="X13" i="13"/>
  <c r="AA13" i="13" s="1"/>
  <c r="S9" i="33" s="1"/>
  <c r="T13" i="29"/>
  <c r="T58" i="29" s="1"/>
  <c r="X10" i="13"/>
  <c r="AA10" i="13" s="1"/>
  <c r="S5" i="33" s="1"/>
  <c r="T10" i="29"/>
  <c r="T55" i="29" s="1"/>
  <c r="X28" i="13"/>
  <c r="AA28" i="13" s="1"/>
  <c r="S18" i="33" s="1"/>
  <c r="T28" i="29"/>
  <c r="T73" i="29" s="1"/>
  <c r="X7" i="13"/>
  <c r="AA7" i="13" s="1"/>
  <c r="AA208" i="23" s="1"/>
  <c r="T7" i="29"/>
  <c r="T52" i="29" s="1"/>
  <c r="X22" i="13"/>
  <c r="AA22" i="13" s="1"/>
  <c r="T22" i="29"/>
  <c r="T67" i="29" s="1"/>
  <c r="X6" i="13"/>
  <c r="AA6" i="13" s="1"/>
  <c r="G6" i="33" s="1"/>
  <c r="T6" i="29"/>
  <c r="T51" i="29" s="1"/>
  <c r="AA2548" i="22"/>
  <c r="AA1391" i="22"/>
  <c r="AG1391" i="22" s="1"/>
  <c r="AA673" i="22"/>
  <c r="AG673" i="22" s="1"/>
  <c r="AA1462" i="22"/>
  <c r="AG1462" i="22" s="1"/>
  <c r="AA1483" i="22"/>
  <c r="AG1483" i="22" s="1"/>
  <c r="AA1476" i="22"/>
  <c r="AG1476" i="22" s="1"/>
  <c r="AA666" i="22"/>
  <c r="AG666" i="22" s="1"/>
  <c r="AA658" i="22"/>
  <c r="AG658" i="22" s="1"/>
  <c r="AA626" i="22"/>
  <c r="AG626" i="22" s="1"/>
  <c r="AA618" i="22"/>
  <c r="AG618" i="22" s="1"/>
  <c r="AA610" i="22"/>
  <c r="AG610" i="22" s="1"/>
  <c r="AA413" i="23"/>
  <c r="AA322" i="23"/>
  <c r="AA235" i="23"/>
  <c r="AA227" i="23"/>
  <c r="AA219" i="23"/>
  <c r="AA1463" i="22"/>
  <c r="AG1463" i="22" s="1"/>
  <c r="AA423" i="23"/>
  <c r="AA336" i="23"/>
  <c r="AA305" i="23"/>
  <c r="AA182" i="23"/>
  <c r="AA1472" i="22"/>
  <c r="AG1472" i="22" s="1"/>
  <c r="AA424" i="23"/>
  <c r="AA408" i="23"/>
  <c r="AA306" i="23"/>
  <c r="AA185" i="23"/>
  <c r="AA170" i="23"/>
  <c r="AA410" i="23"/>
  <c r="AA418" i="23"/>
  <c r="AA430" i="23"/>
  <c r="AA1605" i="22"/>
  <c r="AA1616" i="22"/>
  <c r="AA1584" i="22"/>
  <c r="AA1595" i="22"/>
  <c r="AA1602" i="22"/>
  <c r="AA2576" i="22"/>
  <c r="AA2568" i="22"/>
  <c r="AA2552" i="22"/>
  <c r="AA2571" i="22"/>
  <c r="AA2563" i="22"/>
  <c r="AA2578" i="22"/>
  <c r="AA2570" i="22"/>
  <c r="AA2562" i="22"/>
  <c r="AA2577" i="22"/>
  <c r="AA2569" i="22"/>
  <c r="AA2561" i="22"/>
  <c r="AA315" i="23"/>
  <c r="AA311" i="23"/>
  <c r="AA1315" i="22"/>
  <c r="AA1299" i="22"/>
  <c r="AA1182" i="22"/>
  <c r="AA1166" i="22"/>
  <c r="AA1150" i="22"/>
  <c r="AA1018" i="22"/>
  <c r="AA999" i="22"/>
  <c r="AA983" i="22"/>
  <c r="AA907" i="22"/>
  <c r="AA754" i="22"/>
  <c r="AA735" i="22"/>
  <c r="AA715" i="22"/>
  <c r="AA557" i="22"/>
  <c r="AA545" i="22"/>
  <c r="AA537" i="22"/>
  <c r="AA456" i="22"/>
  <c r="AA446" i="22"/>
  <c r="AA436" i="22"/>
  <c r="AA426" i="22"/>
  <c r="AA416" i="22"/>
  <c r="AA406" i="22"/>
  <c r="AA300" i="22"/>
  <c r="AA290" i="22"/>
  <c r="AA281" i="22"/>
  <c r="AA271" i="22"/>
  <c r="AA263" i="22"/>
  <c r="AA255" i="22"/>
  <c r="AA1365" i="22"/>
  <c r="AG1365" i="22" s="1"/>
  <c r="AA1314" i="22"/>
  <c r="AA1306" i="22"/>
  <c r="AA1193" i="22"/>
  <c r="AA1185" i="22"/>
  <c r="AA1177" i="22"/>
  <c r="AA1169" i="22"/>
  <c r="AA1161" i="22"/>
  <c r="AA1153" i="22"/>
  <c r="AA1145" i="22"/>
  <c r="AA1021" i="22"/>
  <c r="AA1012" i="22"/>
  <c r="AA1002" i="22"/>
  <c r="AA994" i="22"/>
  <c r="AA986" i="22"/>
  <c r="AA978" i="22"/>
  <c r="AA910" i="22"/>
  <c r="AA902" i="22"/>
  <c r="AA762" i="22"/>
  <c r="AA753" i="22"/>
  <c r="AA743" i="22"/>
  <c r="AA733" i="22"/>
  <c r="AA723" i="22"/>
  <c r="AA714" i="22"/>
  <c r="AA704" i="22"/>
  <c r="AA564" i="22"/>
  <c r="AA556" i="22"/>
  <c r="AA548" i="22"/>
  <c r="AA540" i="22"/>
  <c r="AA532" i="22"/>
  <c r="AA450" i="22"/>
  <c r="AA440" i="22"/>
  <c r="AA430" i="22"/>
  <c r="AA420" i="22"/>
  <c r="AA410" i="22"/>
  <c r="AA400" i="22"/>
  <c r="AA299" i="22"/>
  <c r="AA289" i="22"/>
  <c r="AA280" i="22"/>
  <c r="AA270" i="22"/>
  <c r="AA262" i="22"/>
  <c r="AA254" i="22"/>
  <c r="AA1317" i="22"/>
  <c r="AA1309" i="22"/>
  <c r="AA1301" i="22"/>
  <c r="AA1188" i="22"/>
  <c r="AA1180" i="22"/>
  <c r="AA1172" i="22"/>
  <c r="AA1164" i="22"/>
  <c r="AA1156" i="22"/>
  <c r="AA1148" i="22"/>
  <c r="AA1020" i="22"/>
  <c r="AA1010" i="22"/>
  <c r="AA1001" i="22"/>
  <c r="AA993" i="22"/>
  <c r="AA985" i="22"/>
  <c r="AA977" i="22"/>
  <c r="AA909" i="22"/>
  <c r="AA901" i="22"/>
  <c r="AA761" i="22"/>
  <c r="AA751" i="22"/>
  <c r="AA742" i="22"/>
  <c r="AA732" i="22"/>
  <c r="AA722" i="22"/>
  <c r="AA713" i="22"/>
  <c r="AA703" i="22"/>
  <c r="AA563" i="22"/>
  <c r="AA555" i="22"/>
  <c r="AA547" i="22"/>
  <c r="AA539" i="22"/>
  <c r="AA531" i="22"/>
  <c r="AA448" i="22"/>
  <c r="AA439" i="22"/>
  <c r="AA429" i="22"/>
  <c r="AA419" i="22"/>
  <c r="AA409" i="22"/>
  <c r="AA404" i="22"/>
  <c r="AA399" i="22"/>
  <c r="AA297" i="22"/>
  <c r="AA293" i="22"/>
  <c r="AA288" i="22"/>
  <c r="AA279" i="22"/>
  <c r="AA273" i="22"/>
  <c r="AA269" i="22"/>
  <c r="AA261" i="22"/>
  <c r="AA257" i="22"/>
  <c r="AA1316" i="22"/>
  <c r="AA1312" i="22"/>
  <c r="AA1308" i="22"/>
  <c r="AA1300" i="22"/>
  <c r="AA1191" i="22"/>
  <c r="AA1187" i="22"/>
  <c r="AA1179" i="22"/>
  <c r="AA1175" i="22"/>
  <c r="AA1171" i="22"/>
  <c r="AA1163" i="22"/>
  <c r="AA1159" i="22"/>
  <c r="AA1155" i="22"/>
  <c r="AA1147" i="22"/>
  <c r="AA1024" i="22"/>
  <c r="AA1019" i="22"/>
  <c r="AA1014" i="22"/>
  <c r="AA1009" i="22"/>
  <c r="AA1005" i="22"/>
  <c r="AA1000" i="22"/>
  <c r="AA996" i="22"/>
  <c r="AA992" i="22"/>
  <c r="AA988" i="22"/>
  <c r="AA984" i="22"/>
  <c r="AA980" i="22"/>
  <c r="AA976" i="22"/>
  <c r="AA912" i="22"/>
  <c r="AA908" i="22"/>
  <c r="AA904" i="22"/>
  <c r="AA765" i="22"/>
  <c r="AA760" i="22"/>
  <c r="AA755" i="22"/>
  <c r="AA750" i="22"/>
  <c r="AA746" i="22"/>
  <c r="AA741" i="22"/>
  <c r="AA736" i="22"/>
  <c r="AA731" i="22"/>
  <c r="AA726" i="22"/>
  <c r="AA721" i="22"/>
  <c r="AA716" i="22"/>
  <c r="AA711" i="22"/>
  <c r="AA706" i="22"/>
  <c r="AA566" i="22"/>
  <c r="AA562" i="22"/>
  <c r="AA558" i="22"/>
  <c r="AA554" i="22"/>
  <c r="AA550" i="22"/>
  <c r="AA546" i="22"/>
  <c r="AA542" i="22"/>
  <c r="AA538" i="22"/>
  <c r="AA534" i="22"/>
  <c r="AA530" i="22"/>
  <c r="AA452" i="22"/>
  <c r="AA447" i="22"/>
  <c r="AA442" i="22"/>
  <c r="AA437" i="22"/>
  <c r="AA433" i="22"/>
  <c r="AA428" i="22"/>
  <c r="AA423" i="22"/>
  <c r="AA417" i="22"/>
  <c r="AA412" i="22"/>
  <c r="AA407" i="22"/>
  <c r="AA403" i="22"/>
  <c r="AA398" i="22"/>
  <c r="AA301" i="22"/>
  <c r="AA296" i="22"/>
  <c r="AA291" i="22"/>
  <c r="AA286" i="22"/>
  <c r="AA282" i="22"/>
  <c r="AA277" i="22"/>
  <c r="AA272" i="22"/>
  <c r="AA268" i="22"/>
  <c r="AA264" i="22"/>
  <c r="AA260" i="22"/>
  <c r="AA256" i="22"/>
  <c r="AA832" i="23"/>
  <c r="AA831" i="23"/>
  <c r="AA830" i="23"/>
  <c r="AA829" i="23"/>
  <c r="AA2084" i="22"/>
  <c r="AG2084" i="22" s="1"/>
  <c r="AA2087" i="22"/>
  <c r="AG2087" i="22" s="1"/>
  <c r="AA2086" i="22"/>
  <c r="AG2086" i="22" s="1"/>
  <c r="AA2085" i="22"/>
  <c r="AG2085" i="22" s="1"/>
  <c r="AA542" i="23"/>
  <c r="AA541" i="23"/>
  <c r="AA540" i="23"/>
  <c r="AA539" i="23"/>
  <c r="AA538" i="23"/>
  <c r="AA537" i="23"/>
  <c r="AA536" i="23"/>
  <c r="AA535" i="23"/>
  <c r="AA534" i="23"/>
  <c r="AA533" i="23"/>
  <c r="AA532" i="23"/>
  <c r="AA531" i="23"/>
  <c r="AA530" i="23"/>
  <c r="AA529" i="23"/>
  <c r="AA528" i="23"/>
  <c r="AA527" i="23"/>
  <c r="AA526" i="23"/>
  <c r="AA525" i="23"/>
  <c r="AA524" i="23"/>
  <c r="AA523" i="23"/>
  <c r="AA522" i="23"/>
  <c r="AA521" i="23"/>
  <c r="AA520" i="23"/>
  <c r="AA519" i="23"/>
  <c r="AA518" i="23"/>
  <c r="AA517" i="23"/>
  <c r="AA516" i="23"/>
  <c r="AA515" i="23"/>
  <c r="AA514" i="23"/>
  <c r="AA513" i="23"/>
  <c r="AA512" i="23"/>
  <c r="AA511" i="23"/>
  <c r="AA510" i="23"/>
  <c r="AA509" i="23"/>
  <c r="AA508" i="23"/>
  <c r="AA507" i="23"/>
  <c r="AA506" i="23"/>
  <c r="AA505" i="23"/>
  <c r="AA504" i="23"/>
  <c r="AA503" i="23"/>
  <c r="AA502" i="23"/>
  <c r="AA501" i="23"/>
  <c r="AA500" i="23"/>
  <c r="AA499" i="23"/>
  <c r="AA498" i="23"/>
  <c r="AA497" i="23"/>
  <c r="AA496" i="23"/>
  <c r="AA495" i="23"/>
  <c r="AA494" i="23"/>
  <c r="AA493" i="23"/>
  <c r="AA492" i="23"/>
  <c r="AA491" i="23"/>
  <c r="AA490" i="23"/>
  <c r="AA489" i="23"/>
  <c r="AA488" i="23"/>
  <c r="AA487" i="23"/>
  <c r="AA486" i="23"/>
  <c r="AA485" i="23"/>
  <c r="AA484" i="23"/>
  <c r="AA483" i="23"/>
  <c r="AA1797" i="22"/>
  <c r="AG1797" i="22" s="1"/>
  <c r="AA1793" i="22"/>
  <c r="AG1793" i="22" s="1"/>
  <c r="AA1789" i="22"/>
  <c r="AG1789" i="22" s="1"/>
  <c r="AA1785" i="22"/>
  <c r="AG1785" i="22" s="1"/>
  <c r="AA1781" i="22"/>
  <c r="AG1781" i="22" s="1"/>
  <c r="AA1777" i="22"/>
  <c r="AG1777" i="22" s="1"/>
  <c r="AA1773" i="22"/>
  <c r="AG1773" i="22" s="1"/>
  <c r="AA1769" i="22"/>
  <c r="AG1769" i="22" s="1"/>
  <c r="AA1765" i="22"/>
  <c r="AG1765" i="22" s="1"/>
  <c r="AA1761" i="22"/>
  <c r="AG1761" i="22" s="1"/>
  <c r="AA1757" i="22"/>
  <c r="AG1757" i="22" s="1"/>
  <c r="AA1753" i="22"/>
  <c r="AG1753" i="22" s="1"/>
  <c r="AA1749" i="22"/>
  <c r="AG1749" i="22" s="1"/>
  <c r="AA1745" i="22"/>
  <c r="AG1745" i="22" s="1"/>
  <c r="AA1741" i="22"/>
  <c r="AG1741" i="22" s="1"/>
  <c r="AA1796" i="22"/>
  <c r="AG1796" i="22" s="1"/>
  <c r="AA1792" i="22"/>
  <c r="AG1792" i="22" s="1"/>
  <c r="AA1788" i="22"/>
  <c r="AG1788" i="22" s="1"/>
  <c r="AA1784" i="22"/>
  <c r="AG1784" i="22" s="1"/>
  <c r="AA1780" i="22"/>
  <c r="AG1780" i="22" s="1"/>
  <c r="AA1776" i="22"/>
  <c r="AG1776" i="22" s="1"/>
  <c r="AA1772" i="22"/>
  <c r="AG1772" i="22" s="1"/>
  <c r="AA1768" i="22"/>
  <c r="AG1768" i="22" s="1"/>
  <c r="AA1764" i="22"/>
  <c r="AG1764" i="22" s="1"/>
  <c r="AA1760" i="22"/>
  <c r="AG1760" i="22" s="1"/>
  <c r="AA1756" i="22"/>
  <c r="AG1756" i="22" s="1"/>
  <c r="AA1752" i="22"/>
  <c r="AG1752" i="22" s="1"/>
  <c r="AA1748" i="22"/>
  <c r="AG1748" i="22" s="1"/>
  <c r="AA1744" i="22"/>
  <c r="AG1744" i="22" s="1"/>
  <c r="AA1740" i="22"/>
  <c r="AG1740" i="22" s="1"/>
  <c r="AA1795" i="22"/>
  <c r="AG1795" i="22" s="1"/>
  <c r="AA1791" i="22"/>
  <c r="AG1791" i="22" s="1"/>
  <c r="AA1787" i="22"/>
  <c r="AG1787" i="22" s="1"/>
  <c r="AA1783" i="22"/>
  <c r="AG1783" i="22" s="1"/>
  <c r="AA1779" i="22"/>
  <c r="AG1779" i="22" s="1"/>
  <c r="AA1775" i="22"/>
  <c r="AG1775" i="22" s="1"/>
  <c r="AA1771" i="22"/>
  <c r="AG1771" i="22" s="1"/>
  <c r="AA1767" i="22"/>
  <c r="AG1767" i="22" s="1"/>
  <c r="AA1763" i="22"/>
  <c r="AG1763" i="22" s="1"/>
  <c r="AA1759" i="22"/>
  <c r="AG1759" i="22" s="1"/>
  <c r="AA1755" i="22"/>
  <c r="AG1755" i="22" s="1"/>
  <c r="AA1751" i="22"/>
  <c r="AG1751" i="22" s="1"/>
  <c r="AA1747" i="22"/>
  <c r="AG1747" i="22" s="1"/>
  <c r="AA1743" i="22"/>
  <c r="AG1743" i="22" s="1"/>
  <c r="AA1739" i="22"/>
  <c r="AG1739" i="22" s="1"/>
  <c r="AA1794" i="22"/>
  <c r="AG1794" i="22" s="1"/>
  <c r="AA1790" i="22"/>
  <c r="AG1790" i="22" s="1"/>
  <c r="AA1786" i="22"/>
  <c r="AG1786" i="22" s="1"/>
  <c r="AA1782" i="22"/>
  <c r="AG1782" i="22" s="1"/>
  <c r="AA1778" i="22"/>
  <c r="AG1778" i="22" s="1"/>
  <c r="AA1774" i="22"/>
  <c r="AG1774" i="22" s="1"/>
  <c r="AA1770" i="22"/>
  <c r="AG1770" i="22" s="1"/>
  <c r="AA1766" i="22"/>
  <c r="AG1766" i="22" s="1"/>
  <c r="AA1762" i="22"/>
  <c r="AG1762" i="22" s="1"/>
  <c r="AA1758" i="22"/>
  <c r="AG1758" i="22" s="1"/>
  <c r="AA1754" i="22"/>
  <c r="AG1754" i="22" s="1"/>
  <c r="AA1750" i="22"/>
  <c r="AG1750" i="22" s="1"/>
  <c r="AA1746" i="22"/>
  <c r="AG1746" i="22" s="1"/>
  <c r="AA1742" i="22"/>
  <c r="AG1742" i="22" s="1"/>
  <c r="AA1738" i="22"/>
  <c r="AG1738" i="22" s="1"/>
  <c r="AA2280" i="22"/>
  <c r="AA2276" i="22"/>
  <c r="AA2272" i="22"/>
  <c r="AA2268" i="22"/>
  <c r="AA2264" i="22"/>
  <c r="AA2260" i="22"/>
  <c r="AA2212" i="22"/>
  <c r="AA2208" i="22"/>
  <c r="AA2204" i="22"/>
  <c r="AA2176" i="22"/>
  <c r="AA2172" i="22"/>
  <c r="AA2168" i="22"/>
  <c r="AA2164" i="22"/>
  <c r="AA2160" i="22"/>
  <c r="AA2156" i="22"/>
  <c r="AA2152" i="22"/>
  <c r="AA2148" i="22"/>
  <c r="AA2283" i="22"/>
  <c r="AA2279" i="22"/>
  <c r="AA2275" i="22"/>
  <c r="AA2271" i="22"/>
  <c r="AA2267" i="22"/>
  <c r="AA2263" i="22"/>
  <c r="AA2211" i="22"/>
  <c r="AA2207" i="22"/>
  <c r="AA2203" i="22"/>
  <c r="AA2175" i="22"/>
  <c r="AA2171" i="22"/>
  <c r="AA2167" i="22"/>
  <c r="AA2163" i="22"/>
  <c r="AA2159" i="22"/>
  <c r="AA2155" i="22"/>
  <c r="AA2151" i="22"/>
  <c r="AA2147" i="22"/>
  <c r="AA2282" i="22"/>
  <c r="AA2278" i="22"/>
  <c r="AA2274" i="22"/>
  <c r="AA2270" i="22"/>
  <c r="AA2266" i="22"/>
  <c r="AA2262" i="22"/>
  <c r="AA2214" i="22"/>
  <c r="AA2210" i="22"/>
  <c r="AA2206" i="22"/>
  <c r="AA2178" i="22"/>
  <c r="AA2174" i="22"/>
  <c r="AA2170" i="22"/>
  <c r="AA2166" i="22"/>
  <c r="AA2162" i="22"/>
  <c r="AA2158" i="22"/>
  <c r="AA2154" i="22"/>
  <c r="AA2150" i="22"/>
  <c r="AA2146" i="22"/>
  <c r="AA2281" i="22"/>
  <c r="AA2277" i="22"/>
  <c r="AA2273" i="22"/>
  <c r="AA2269" i="22"/>
  <c r="AA2265" i="22"/>
  <c r="AA2261" i="22"/>
  <c r="AA2213" i="22"/>
  <c r="AA2209" i="22"/>
  <c r="AA2205" i="22"/>
  <c r="AA2177" i="22"/>
  <c r="AA2173" i="22"/>
  <c r="AA2169" i="22"/>
  <c r="AA2165" i="22"/>
  <c r="AA2161" i="22"/>
  <c r="AA2157" i="22"/>
  <c r="AA2153" i="22"/>
  <c r="AA2149" i="22"/>
  <c r="AA1577" i="22"/>
  <c r="AA1573" i="22"/>
  <c r="AA1569" i="22"/>
  <c r="AA1565" i="22"/>
  <c r="AA1561" i="22"/>
  <c r="AA1557" i="22"/>
  <c r="AA1553" i="22"/>
  <c r="AA1549" i="22"/>
  <c r="AA1545" i="22"/>
  <c r="AA1541" i="22"/>
  <c r="AA1537" i="22"/>
  <c r="AA1576" i="22"/>
  <c r="AA1572" i="22"/>
  <c r="AA1568" i="22"/>
  <c r="AA1564" i="22"/>
  <c r="AA1560" i="22"/>
  <c r="AA1556" i="22"/>
  <c r="AA1552" i="22"/>
  <c r="AA1548" i="22"/>
  <c r="AA1544" i="22"/>
  <c r="AA1540" i="22"/>
  <c r="AA1536" i="22"/>
  <c r="AA1579" i="22"/>
  <c r="AA1575" i="22"/>
  <c r="AA1571" i="22"/>
  <c r="AA1567" i="22"/>
  <c r="AA1563" i="22"/>
  <c r="AA1559" i="22"/>
  <c r="AA1555" i="22"/>
  <c r="AA1551" i="22"/>
  <c r="AA1547" i="22"/>
  <c r="AA1543" i="22"/>
  <c r="AA1539" i="22"/>
  <c r="AA1578" i="22"/>
  <c r="AA1574" i="22"/>
  <c r="AA1570" i="22"/>
  <c r="AA1566" i="22"/>
  <c r="AA1562" i="22"/>
  <c r="AA1558" i="22"/>
  <c r="AA1554" i="22"/>
  <c r="AA1550" i="22"/>
  <c r="AA1546" i="22"/>
  <c r="AA1542" i="22"/>
  <c r="AA1538" i="22"/>
  <c r="AA715" i="23"/>
  <c r="AA714" i="23"/>
  <c r="AA713" i="23"/>
  <c r="AA712" i="23"/>
  <c r="AA711" i="23"/>
  <c r="AA710" i="23"/>
  <c r="AA709" i="23"/>
  <c r="AA708" i="23"/>
  <c r="AA707" i="23"/>
  <c r="AA706" i="23"/>
  <c r="AA705" i="23"/>
  <c r="AA704" i="23"/>
  <c r="AA703" i="23"/>
  <c r="AA702" i="23"/>
  <c r="AA701" i="23"/>
  <c r="AA700" i="23"/>
  <c r="AA699" i="23"/>
  <c r="AA698" i="23"/>
  <c r="AA697" i="23"/>
  <c r="AA696" i="23"/>
  <c r="AA695" i="23"/>
  <c r="AA694" i="23"/>
  <c r="AA693" i="23"/>
  <c r="AA692" i="23"/>
  <c r="AA691" i="23"/>
  <c r="AA690" i="23"/>
  <c r="AA689" i="23"/>
  <c r="AA688" i="23"/>
  <c r="AA687" i="23"/>
  <c r="AA686" i="23"/>
  <c r="AA685" i="23"/>
  <c r="AA684" i="23"/>
  <c r="AA683" i="23"/>
  <c r="AA682" i="23"/>
  <c r="AA681" i="23"/>
  <c r="AA680" i="23"/>
  <c r="AA679" i="23"/>
  <c r="AA678" i="23"/>
  <c r="AA677" i="23"/>
  <c r="AA676" i="23"/>
  <c r="AA675" i="23"/>
  <c r="AA674" i="23"/>
  <c r="AA673" i="23"/>
  <c r="AA672" i="23"/>
  <c r="AA671" i="23"/>
  <c r="AA670" i="23"/>
  <c r="AA669" i="23"/>
  <c r="AA668" i="23"/>
  <c r="AA667" i="23"/>
  <c r="AA666" i="23"/>
  <c r="AA665" i="23"/>
  <c r="AA664" i="23"/>
  <c r="AA663" i="23"/>
  <c r="AA662" i="23"/>
  <c r="AA661" i="23"/>
  <c r="AA660" i="23"/>
  <c r="AA1968" i="22"/>
  <c r="AG1968" i="22" s="1"/>
  <c r="AA1964" i="22"/>
  <c r="AG1964" i="22" s="1"/>
  <c r="AA1960" i="22"/>
  <c r="AG1960" i="22" s="1"/>
  <c r="AA1956" i="22"/>
  <c r="AG1956" i="22" s="1"/>
  <c r="AA1952" i="22"/>
  <c r="AG1952" i="22" s="1"/>
  <c r="AA1948" i="22"/>
  <c r="AG1948" i="22" s="1"/>
  <c r="AA1944" i="22"/>
  <c r="AG1944" i="22" s="1"/>
  <c r="AA1940" i="22"/>
  <c r="AG1940" i="22" s="1"/>
  <c r="AA1936" i="22"/>
  <c r="AG1936" i="22" s="1"/>
  <c r="AA1932" i="22"/>
  <c r="AG1932" i="22" s="1"/>
  <c r="AA1928" i="22"/>
  <c r="AG1928" i="22" s="1"/>
  <c r="AA1924" i="22"/>
  <c r="AG1924" i="22" s="1"/>
  <c r="AA1920" i="22"/>
  <c r="AG1920" i="22" s="1"/>
  <c r="AA1916" i="22"/>
  <c r="AG1916" i="22" s="1"/>
  <c r="AA1967" i="22"/>
  <c r="AG1967" i="22" s="1"/>
  <c r="AA1963" i="22"/>
  <c r="AG1963" i="22" s="1"/>
  <c r="AA1959" i="22"/>
  <c r="AG1959" i="22" s="1"/>
  <c r="AA1955" i="22"/>
  <c r="AG1955" i="22" s="1"/>
  <c r="AA1951" i="22"/>
  <c r="AG1951" i="22" s="1"/>
  <c r="AA1947" i="22"/>
  <c r="AG1947" i="22" s="1"/>
  <c r="AA1943" i="22"/>
  <c r="AG1943" i="22" s="1"/>
  <c r="AA1939" i="22"/>
  <c r="AG1939" i="22" s="1"/>
  <c r="AA1935" i="22"/>
  <c r="AG1935" i="22" s="1"/>
  <c r="AA1931" i="22"/>
  <c r="AG1931" i="22" s="1"/>
  <c r="AA1927" i="22"/>
  <c r="AG1927" i="22" s="1"/>
  <c r="AA1923" i="22"/>
  <c r="AG1923" i="22" s="1"/>
  <c r="AA1919" i="22"/>
  <c r="AG1919" i="22" s="1"/>
  <c r="AA1915" i="22"/>
  <c r="AA1970" i="22"/>
  <c r="AG1970" i="22" s="1"/>
  <c r="AA1966" i="22"/>
  <c r="AG1966" i="22" s="1"/>
  <c r="AA1962" i="22"/>
  <c r="AG1962" i="22" s="1"/>
  <c r="AA1958" i="22"/>
  <c r="AG1958" i="22" s="1"/>
  <c r="AA1954" i="22"/>
  <c r="AG1954" i="22" s="1"/>
  <c r="AA1950" i="22"/>
  <c r="AG1950" i="22" s="1"/>
  <c r="AA1946" i="22"/>
  <c r="AG1946" i="22" s="1"/>
  <c r="AA1942" i="22"/>
  <c r="AG1942" i="22" s="1"/>
  <c r="AA1938" i="22"/>
  <c r="AG1938" i="22" s="1"/>
  <c r="AA1934" i="22"/>
  <c r="AG1934" i="22" s="1"/>
  <c r="AA1930" i="22"/>
  <c r="AG1930" i="22" s="1"/>
  <c r="AA1926" i="22"/>
  <c r="AG1926" i="22" s="1"/>
  <c r="AA1922" i="22"/>
  <c r="AG1922" i="22" s="1"/>
  <c r="AA1918" i="22"/>
  <c r="AG1918" i="22" s="1"/>
  <c r="AA1969" i="22"/>
  <c r="AG1969" i="22" s="1"/>
  <c r="AA1965" i="22"/>
  <c r="AG1965" i="22" s="1"/>
  <c r="AA1961" i="22"/>
  <c r="AG1961" i="22" s="1"/>
  <c r="AA1957" i="22"/>
  <c r="AG1957" i="22" s="1"/>
  <c r="AA1953" i="22"/>
  <c r="AG1953" i="22" s="1"/>
  <c r="AA1949" i="22"/>
  <c r="AG1949" i="22" s="1"/>
  <c r="AA1945" i="22"/>
  <c r="AG1945" i="22" s="1"/>
  <c r="AA1941" i="22"/>
  <c r="AG1941" i="22" s="1"/>
  <c r="AA1937" i="22"/>
  <c r="AG1937" i="22" s="1"/>
  <c r="AA1933" i="22"/>
  <c r="AG1933" i="22" s="1"/>
  <c r="AA1929" i="22"/>
  <c r="AG1929" i="22" s="1"/>
  <c r="AA1925" i="22"/>
  <c r="AG1925" i="22" s="1"/>
  <c r="AA1921" i="22"/>
  <c r="AG1921" i="22" s="1"/>
  <c r="AA1917" i="22"/>
  <c r="AG1917" i="22" s="1"/>
  <c r="AA2236" i="22"/>
  <c r="AA2232" i="22"/>
  <c r="AA2228" i="22"/>
  <c r="AA2224" i="22"/>
  <c r="AA2220" i="22"/>
  <c r="AA2216" i="22"/>
  <c r="AA2188" i="22"/>
  <c r="AA2184" i="22"/>
  <c r="AA2180" i="22"/>
  <c r="AA2116" i="22"/>
  <c r="AA2112" i="22"/>
  <c r="AA2108" i="22"/>
  <c r="AA2104" i="22"/>
  <c r="AA2100" i="22"/>
  <c r="AA2096" i="22"/>
  <c r="AA2092" i="22"/>
  <c r="AA2088" i="22"/>
  <c r="AA2235" i="22"/>
  <c r="AA2231" i="22"/>
  <c r="AA2227" i="22"/>
  <c r="AA2223" i="22"/>
  <c r="AA2219" i="22"/>
  <c r="AA2215" i="22"/>
  <c r="AA2187" i="22"/>
  <c r="AA2183" i="22"/>
  <c r="AA2179" i="22"/>
  <c r="AA2115" i="22"/>
  <c r="AA2111" i="22"/>
  <c r="AA2107" i="22"/>
  <c r="AA2103" i="22"/>
  <c r="AA2099" i="22"/>
  <c r="AA2095" i="22"/>
  <c r="AA2091" i="22"/>
  <c r="AA2234" i="22"/>
  <c r="AA2230" i="22"/>
  <c r="AA2226" i="22"/>
  <c r="AA2222" i="22"/>
  <c r="AA2218" i="22"/>
  <c r="AA2190" i="22"/>
  <c r="AA2186" i="22"/>
  <c r="AA2182" i="22"/>
  <c r="AA2118" i="22"/>
  <c r="AA2114" i="22"/>
  <c r="AA2110" i="22"/>
  <c r="AA2106" i="22"/>
  <c r="AA2102" i="22"/>
  <c r="AA2098" i="22"/>
  <c r="AA2094" i="22"/>
  <c r="AA2090" i="22"/>
  <c r="AA2237" i="22"/>
  <c r="AA2233" i="22"/>
  <c r="AA2229" i="22"/>
  <c r="AA2225" i="22"/>
  <c r="AA2221" i="22"/>
  <c r="AA2217" i="22"/>
  <c r="AA2189" i="22"/>
  <c r="AA2185" i="22"/>
  <c r="AA2181" i="22"/>
  <c r="AA2117" i="22"/>
  <c r="AA2113" i="22"/>
  <c r="AA2109" i="22"/>
  <c r="AA2105" i="22"/>
  <c r="AA2101" i="22"/>
  <c r="AA2097" i="22"/>
  <c r="AA2093" i="22"/>
  <c r="AA2089" i="22"/>
  <c r="AA2256" i="22"/>
  <c r="AA2252" i="22"/>
  <c r="AA2248" i="22"/>
  <c r="AA2244" i="22"/>
  <c r="AA2240" i="22"/>
  <c r="AA2200" i="22"/>
  <c r="AA2196" i="22"/>
  <c r="AA2192" i="22"/>
  <c r="AA2144" i="22"/>
  <c r="AA2140" i="22"/>
  <c r="AA2136" i="22"/>
  <c r="AA2132" i="22"/>
  <c r="AA2128" i="22"/>
  <c r="AA2124" i="22"/>
  <c r="AA2120" i="22"/>
  <c r="AA2259" i="22"/>
  <c r="AA2255" i="22"/>
  <c r="AA2251" i="22"/>
  <c r="AA2247" i="22"/>
  <c r="AA2243" i="22"/>
  <c r="AA2239" i="22"/>
  <c r="AA2199" i="22"/>
  <c r="AA2195" i="22"/>
  <c r="AA2191" i="22"/>
  <c r="AA2143" i="22"/>
  <c r="AA2139" i="22"/>
  <c r="AA2135" i="22"/>
  <c r="AA2131" i="22"/>
  <c r="AA2127" i="22"/>
  <c r="AA2123" i="22"/>
  <c r="AA2119" i="22"/>
  <c r="AA2258" i="22"/>
  <c r="AA2254" i="22"/>
  <c r="AA2250" i="22"/>
  <c r="AA2246" i="22"/>
  <c r="AA2242" i="22"/>
  <c r="AA2238" i="22"/>
  <c r="AA2202" i="22"/>
  <c r="AA2198" i="22"/>
  <c r="AA2194" i="22"/>
  <c r="AA2142" i="22"/>
  <c r="AA2138" i="22"/>
  <c r="AA2134" i="22"/>
  <c r="AA2130" i="22"/>
  <c r="AA2126" i="22"/>
  <c r="AA2122" i="22"/>
  <c r="AA2257" i="22"/>
  <c r="AA2253" i="22"/>
  <c r="AA2249" i="22"/>
  <c r="AA2245" i="22"/>
  <c r="AA2241" i="22"/>
  <c r="AA2201" i="22"/>
  <c r="AA2197" i="22"/>
  <c r="AA2193" i="22"/>
  <c r="AA2145" i="22"/>
  <c r="AA2141" i="22"/>
  <c r="AA2137" i="22"/>
  <c r="AA2133" i="22"/>
  <c r="AA2129" i="22"/>
  <c r="AA2125" i="22"/>
  <c r="AA2121" i="22"/>
  <c r="AG2548" i="22"/>
  <c r="AA2504" i="22"/>
  <c r="AA2500" i="22"/>
  <c r="AA2496" i="22"/>
  <c r="AA2492" i="22"/>
  <c r="AA2488" i="22"/>
  <c r="AA2484" i="22"/>
  <c r="AA2480" i="22"/>
  <c r="AA2476" i="22"/>
  <c r="AA2472" i="22"/>
  <c r="AA2468" i="22"/>
  <c r="AA2464" i="22"/>
  <c r="AA2460" i="22"/>
  <c r="AA2456" i="22"/>
  <c r="AA2452" i="22"/>
  <c r="AA2448" i="22"/>
  <c r="AA2444" i="22"/>
  <c r="AA2440" i="22"/>
  <c r="AA2436" i="22"/>
  <c r="AA2432" i="22"/>
  <c r="AA2428" i="22"/>
  <c r="AA2424" i="22"/>
  <c r="AA2420" i="22"/>
  <c r="AA2416" i="22"/>
  <c r="AA2412" i="22"/>
  <c r="AA2408" i="22"/>
  <c r="AA2404" i="22"/>
  <c r="AA2400" i="22"/>
  <c r="AA2396" i="22"/>
  <c r="AA2392" i="22"/>
  <c r="AA2388" i="22"/>
  <c r="AA2384" i="22"/>
  <c r="AA2380" i="22"/>
  <c r="AA2376" i="22"/>
  <c r="AA2372" i="22"/>
  <c r="AA2368" i="22"/>
  <c r="AA2364" i="22"/>
  <c r="AA2360" i="22"/>
  <c r="AA2356" i="22"/>
  <c r="AA2352" i="22"/>
  <c r="AA2348" i="22"/>
  <c r="AA2344" i="22"/>
  <c r="AA2340" i="22"/>
  <c r="AA2336" i="22"/>
  <c r="AA2332" i="22"/>
  <c r="AA2328" i="22"/>
  <c r="AA2324" i="22"/>
  <c r="AA2320" i="22"/>
  <c r="AA2316" i="22"/>
  <c r="AA2312" i="22"/>
  <c r="AA2308" i="22"/>
  <c r="AA2304" i="22"/>
  <c r="AA2300" i="22"/>
  <c r="AA2296" i="22"/>
  <c r="AA2292" i="22"/>
  <c r="AA2288" i="22"/>
  <c r="AA2284" i="22"/>
  <c r="AA2503" i="22"/>
  <c r="AA2499" i="22"/>
  <c r="AA2495" i="22"/>
  <c r="AA2491" i="22"/>
  <c r="AA2487" i="22"/>
  <c r="AA2483" i="22"/>
  <c r="AA2479" i="22"/>
  <c r="AA2475" i="22"/>
  <c r="AA2471" i="22"/>
  <c r="AA2467" i="22"/>
  <c r="AA2463" i="22"/>
  <c r="AA2459" i="22"/>
  <c r="AA2455" i="22"/>
  <c r="AA2451" i="22"/>
  <c r="AA2447" i="22"/>
  <c r="AA2443" i="22"/>
  <c r="AA2439" i="22"/>
  <c r="AA2435" i="22"/>
  <c r="AA2431" i="22"/>
  <c r="AA2427" i="22"/>
  <c r="AA2423" i="22"/>
  <c r="AA2419" i="22"/>
  <c r="AA2415" i="22"/>
  <c r="AA2411" i="22"/>
  <c r="AA2407" i="22"/>
  <c r="AA2403" i="22"/>
  <c r="AA2399" i="22"/>
  <c r="AA2395" i="22"/>
  <c r="AA2391" i="22"/>
  <c r="AA2387" i="22"/>
  <c r="AA2383" i="22"/>
  <c r="AA2379" i="22"/>
  <c r="AA2375" i="22"/>
  <c r="AA2371" i="22"/>
  <c r="AA2367" i="22"/>
  <c r="AA2363" i="22"/>
  <c r="AA2359" i="22"/>
  <c r="AA2355" i="22"/>
  <c r="AA2351" i="22"/>
  <c r="AA2347" i="22"/>
  <c r="AA2343" i="22"/>
  <c r="AA2339" i="22"/>
  <c r="AA2335" i="22"/>
  <c r="AA2331" i="22"/>
  <c r="AA2327" i="22"/>
  <c r="AA2323" i="22"/>
  <c r="AA2319" i="22"/>
  <c r="AA2315" i="22"/>
  <c r="AA2311" i="22"/>
  <c r="AA2307" i="22"/>
  <c r="AA2303" i="22"/>
  <c r="AA2299" i="22"/>
  <c r="AA2295" i="22"/>
  <c r="AA2291" i="22"/>
  <c r="AA2287" i="22"/>
  <c r="AA2502" i="22"/>
  <c r="AA2498" i="22"/>
  <c r="AA2494" i="22"/>
  <c r="AA2490" i="22"/>
  <c r="AA2486" i="22"/>
  <c r="AA2482" i="22"/>
  <c r="AA2478" i="22"/>
  <c r="AA2474" i="22"/>
  <c r="AA2470" i="22"/>
  <c r="AA2466" i="22"/>
  <c r="AA2462" i="22"/>
  <c r="AA2458" i="22"/>
  <c r="AA2454" i="22"/>
  <c r="AA2450" i="22"/>
  <c r="AA2446" i="22"/>
  <c r="AA2442" i="22"/>
  <c r="AA2438" i="22"/>
  <c r="AA2434" i="22"/>
  <c r="AA2430" i="22"/>
  <c r="AA2426" i="22"/>
  <c r="AA2422" i="22"/>
  <c r="AA2418" i="22"/>
  <c r="AA2414" i="22"/>
  <c r="AA2410" i="22"/>
  <c r="AA2406" i="22"/>
  <c r="AA2402" i="22"/>
  <c r="AA2398" i="22"/>
  <c r="AA2394" i="22"/>
  <c r="AA2390" i="22"/>
  <c r="AA2386" i="22"/>
  <c r="AA2382" i="22"/>
  <c r="AA2378" i="22"/>
  <c r="AA2374" i="22"/>
  <c r="AA2370" i="22"/>
  <c r="AA2366" i="22"/>
  <c r="AA2362" i="22"/>
  <c r="AA2358" i="22"/>
  <c r="AA2354" i="22"/>
  <c r="AA2350" i="22"/>
  <c r="AA2346" i="22"/>
  <c r="AA2342" i="22"/>
  <c r="AA2338" i="22"/>
  <c r="AA2334" i="22"/>
  <c r="AA2330" i="22"/>
  <c r="AA2326" i="22"/>
  <c r="AA2322" i="22"/>
  <c r="AA2318" i="22"/>
  <c r="AA2314" i="22"/>
  <c r="AA2310" i="22"/>
  <c r="AA2306" i="22"/>
  <c r="AA2302" i="22"/>
  <c r="AA2298" i="22"/>
  <c r="AA2294" i="22"/>
  <c r="AA2290" i="22"/>
  <c r="AA2286" i="22"/>
  <c r="AA2505" i="22"/>
  <c r="AA2501" i="22"/>
  <c r="AA2497" i="22"/>
  <c r="AA2493" i="22"/>
  <c r="AA2489" i="22"/>
  <c r="AA2485" i="22"/>
  <c r="AA2481" i="22"/>
  <c r="AA2477" i="22"/>
  <c r="AA2473" i="22"/>
  <c r="AA2469" i="22"/>
  <c r="AA2465" i="22"/>
  <c r="AA2461" i="22"/>
  <c r="AA2457" i="22"/>
  <c r="AA2453" i="22"/>
  <c r="AA2449" i="22"/>
  <c r="AA2445" i="22"/>
  <c r="AA2441" i="22"/>
  <c r="AA2437" i="22"/>
  <c r="AA2433" i="22"/>
  <c r="AA2429" i="22"/>
  <c r="AA2425" i="22"/>
  <c r="AA2421" i="22"/>
  <c r="AA2417" i="22"/>
  <c r="AA2413" i="22"/>
  <c r="AA2409" i="22"/>
  <c r="AA2405" i="22"/>
  <c r="AA2401" i="22"/>
  <c r="AA2397" i="22"/>
  <c r="AA2393" i="22"/>
  <c r="AA2389" i="22"/>
  <c r="AA2385" i="22"/>
  <c r="AA2381" i="22"/>
  <c r="AA2377" i="22"/>
  <c r="AA2373" i="22"/>
  <c r="AA2369" i="22"/>
  <c r="AA2365" i="22"/>
  <c r="AA2361" i="22"/>
  <c r="AA2357" i="22"/>
  <c r="AA2353" i="22"/>
  <c r="AA2349" i="22"/>
  <c r="AA2345" i="22"/>
  <c r="AA2341" i="22"/>
  <c r="AA2337" i="22"/>
  <c r="AA2333" i="22"/>
  <c r="AA2329" i="22"/>
  <c r="AA2325" i="22"/>
  <c r="AA2321" i="22"/>
  <c r="AA2317" i="22"/>
  <c r="AA2313" i="22"/>
  <c r="AA2309" i="22"/>
  <c r="AA2305" i="22"/>
  <c r="AA2301" i="22"/>
  <c r="AA2297" i="22"/>
  <c r="AA2293" i="22"/>
  <c r="AA2289" i="22"/>
  <c r="AA2285" i="22"/>
  <c r="AA827" i="23"/>
  <c r="AA826" i="23"/>
  <c r="AA823" i="23"/>
  <c r="AA822" i="23"/>
  <c r="AA819" i="23"/>
  <c r="AA818" i="23"/>
  <c r="AA815" i="23"/>
  <c r="AA814" i="23"/>
  <c r="AA811" i="23"/>
  <c r="AA810" i="23"/>
  <c r="AA807" i="23"/>
  <c r="AA806" i="23"/>
  <c r="AA803" i="23"/>
  <c r="AA802" i="23"/>
  <c r="AA799" i="23"/>
  <c r="AA798" i="23"/>
  <c r="AA795" i="23"/>
  <c r="AA794" i="23"/>
  <c r="AA791" i="23"/>
  <c r="AA790" i="23"/>
  <c r="AA787" i="23"/>
  <c r="AA786" i="23"/>
  <c r="AA783" i="23"/>
  <c r="AA782" i="23"/>
  <c r="AA779" i="23"/>
  <c r="AA778" i="23"/>
  <c r="AA775" i="23"/>
  <c r="AA774" i="23"/>
  <c r="AA771" i="23"/>
  <c r="AA770" i="23"/>
  <c r="AA767" i="23"/>
  <c r="AA766" i="23"/>
  <c r="AA763" i="23"/>
  <c r="AA762" i="23"/>
  <c r="AA759" i="23"/>
  <c r="AA758" i="23"/>
  <c r="AA755" i="23"/>
  <c r="AA754" i="23"/>
  <c r="AA751" i="23"/>
  <c r="AA750" i="23"/>
  <c r="AA747" i="23"/>
  <c r="AA746" i="23"/>
  <c r="AA743" i="23"/>
  <c r="AA742" i="23"/>
  <c r="AA739" i="23"/>
  <c r="AA738" i="23"/>
  <c r="AA735" i="23"/>
  <c r="AA734" i="23"/>
  <c r="AA731" i="23"/>
  <c r="AA2080" i="22"/>
  <c r="AG2080" i="22" s="1"/>
  <c r="AA2068" i="22"/>
  <c r="AG2068" i="22" s="1"/>
  <c r="AA2064" i="22"/>
  <c r="AG2064" i="22" s="1"/>
  <c r="AA2052" i="22"/>
  <c r="AG2052" i="22" s="1"/>
  <c r="AA2048" i="22"/>
  <c r="AG2048" i="22" s="1"/>
  <c r="AA2036" i="22"/>
  <c r="AG2036" i="22" s="1"/>
  <c r="AA2032" i="22"/>
  <c r="AG2032" i="22" s="1"/>
  <c r="AA2020" i="22"/>
  <c r="AG2020" i="22" s="1"/>
  <c r="AA2016" i="22"/>
  <c r="AG2016" i="22" s="1"/>
  <c r="AA2004" i="22"/>
  <c r="AG2004" i="22" s="1"/>
  <c r="AA2000" i="22"/>
  <c r="AG2000" i="22" s="1"/>
  <c r="AA1988" i="22"/>
  <c r="AG1988" i="22" s="1"/>
  <c r="AA2083" i="22"/>
  <c r="AG2083" i="22" s="1"/>
  <c r="AA2071" i="22"/>
  <c r="AG2071" i="22" s="1"/>
  <c r="AA2067" i="22"/>
  <c r="AG2067" i="22" s="1"/>
  <c r="AA2055" i="22"/>
  <c r="AG2055" i="22" s="1"/>
  <c r="AA2051" i="22"/>
  <c r="AG2051" i="22" s="1"/>
  <c r="AA2039" i="22"/>
  <c r="AG2039" i="22" s="1"/>
  <c r="AA2035" i="22"/>
  <c r="AG2035" i="22" s="1"/>
  <c r="AA2023" i="22"/>
  <c r="AG2023" i="22" s="1"/>
  <c r="AA2019" i="22"/>
  <c r="AG2019" i="22" s="1"/>
  <c r="AA2007" i="22"/>
  <c r="AG2007" i="22" s="1"/>
  <c r="AA2003" i="22"/>
  <c r="AG2003" i="22" s="1"/>
  <c r="AA1991" i="22"/>
  <c r="AG1991" i="22" s="1"/>
  <c r="AA1987" i="22"/>
  <c r="AG1987" i="22" s="1"/>
  <c r="AA2074" i="22"/>
  <c r="AG2074" i="22" s="1"/>
  <c r="AA2070" i="22"/>
  <c r="AG2070" i="22" s="1"/>
  <c r="AA2058" i="22"/>
  <c r="AG2058" i="22" s="1"/>
  <c r="AA2054" i="22"/>
  <c r="AG2054" i="22" s="1"/>
  <c r="AA2042" i="22"/>
  <c r="AG2042" i="22" s="1"/>
  <c r="AA2038" i="22"/>
  <c r="AG2038" i="22" s="1"/>
  <c r="AA2026" i="22"/>
  <c r="AG2026" i="22" s="1"/>
  <c r="AA2022" i="22"/>
  <c r="AG2022" i="22" s="1"/>
  <c r="AA2010" i="22"/>
  <c r="AG2010" i="22" s="1"/>
  <c r="AA2006" i="22"/>
  <c r="AG2006" i="22" s="1"/>
  <c r="AA1994" i="22"/>
  <c r="AG1994" i="22" s="1"/>
  <c r="AA1990" i="22"/>
  <c r="AG1990" i="22" s="1"/>
  <c r="AA2077" i="22"/>
  <c r="AG2077" i="22" s="1"/>
  <c r="AA2073" i="22"/>
  <c r="AG2073" i="22" s="1"/>
  <c r="AA2061" i="22"/>
  <c r="AG2061" i="22" s="1"/>
  <c r="AA2057" i="22"/>
  <c r="AG2057" i="22" s="1"/>
  <c r="AA2045" i="22"/>
  <c r="AG2045" i="22" s="1"/>
  <c r="AA2041" i="22"/>
  <c r="AG2041" i="22" s="1"/>
  <c r="AA2029" i="22"/>
  <c r="AG2029" i="22" s="1"/>
  <c r="AA2025" i="22"/>
  <c r="AG2025" i="22" s="1"/>
  <c r="AA2021" i="22"/>
  <c r="AG2021" i="22" s="1"/>
  <c r="AA2017" i="22"/>
  <c r="AG2017" i="22" s="1"/>
  <c r="AA2013" i="22"/>
  <c r="AG2013" i="22" s="1"/>
  <c r="AA2009" i="22"/>
  <c r="AG2009" i="22" s="1"/>
  <c r="AA2005" i="22"/>
  <c r="AG2005" i="22" s="1"/>
  <c r="AA2001" i="22"/>
  <c r="AG2001" i="22" s="1"/>
  <c r="AA1997" i="22"/>
  <c r="AG1997" i="22" s="1"/>
  <c r="AA1993" i="22"/>
  <c r="AG1993" i="22" s="1"/>
  <c r="AA1989" i="22"/>
  <c r="AG1989" i="22" s="1"/>
  <c r="AA730" i="23"/>
  <c r="AA729" i="23"/>
  <c r="AA728" i="23"/>
  <c r="AA1984" i="22"/>
  <c r="AA1983" i="22"/>
  <c r="AA1985" i="22"/>
  <c r="AA482" i="23"/>
  <c r="AA1737" i="22"/>
  <c r="AA1733" i="22"/>
  <c r="AA1729" i="22"/>
  <c r="AA1725" i="22"/>
  <c r="AA1721" i="22"/>
  <c r="AA1717" i="22"/>
  <c r="AA1713" i="22"/>
  <c r="AA1709" i="22"/>
  <c r="AA1705" i="22"/>
  <c r="AA1701" i="22"/>
  <c r="AA1697" i="22"/>
  <c r="AA1693" i="22"/>
  <c r="AA1689" i="22"/>
  <c r="AA1685" i="22"/>
  <c r="AA1681" i="22"/>
  <c r="AA1677" i="22"/>
  <c r="AA1673" i="22"/>
  <c r="AA1669" i="22"/>
  <c r="AA1736" i="22"/>
  <c r="AA1732" i="22"/>
  <c r="AA1728" i="22"/>
  <c r="AA1724" i="22"/>
  <c r="AA1720" i="22"/>
  <c r="AA1716" i="22"/>
  <c r="AA1712" i="22"/>
  <c r="AA1708" i="22"/>
  <c r="AA1704" i="22"/>
  <c r="AA1700" i="22"/>
  <c r="AA1696" i="22"/>
  <c r="AA1692" i="22"/>
  <c r="AA1688" i="22"/>
  <c r="AA1684" i="22"/>
  <c r="AA1680" i="22"/>
  <c r="AA1676" i="22"/>
  <c r="AA1672" i="22"/>
  <c r="AA1668" i="22"/>
  <c r="AA1735" i="22"/>
  <c r="AA1731" i="22"/>
  <c r="AA1727" i="22"/>
  <c r="AA1723" i="22"/>
  <c r="AA1719" i="22"/>
  <c r="AA1715" i="22"/>
  <c r="AA1711" i="22"/>
  <c r="AA1707" i="22"/>
  <c r="AA1703" i="22"/>
  <c r="AA1699" i="22"/>
  <c r="AA1695" i="22"/>
  <c r="AA1691" i="22"/>
  <c r="AA1687" i="22"/>
  <c r="AA1683" i="22"/>
  <c r="AA1679" i="22"/>
  <c r="AA1675" i="22"/>
  <c r="AA1671" i="22"/>
  <c r="AA1667" i="22"/>
  <c r="AA1734" i="22"/>
  <c r="AA1730" i="22"/>
  <c r="AA1726" i="22"/>
  <c r="AA1722" i="22"/>
  <c r="AA1718" i="22"/>
  <c r="AA1714" i="22"/>
  <c r="AA1710" i="22"/>
  <c r="AA1706" i="22"/>
  <c r="AA1702" i="22"/>
  <c r="AA1698" i="22"/>
  <c r="AA1694" i="22"/>
  <c r="AA1690" i="22"/>
  <c r="AA1686" i="22"/>
  <c r="AA1682" i="22"/>
  <c r="AA1678" i="22"/>
  <c r="AA1674" i="22"/>
  <c r="AA1670" i="22"/>
  <c r="AA1666" i="22"/>
  <c r="AA1665" i="22"/>
  <c r="AA1661" i="22"/>
  <c r="AA1657" i="22"/>
  <c r="AA1653" i="22"/>
  <c r="AA1649" i="22"/>
  <c r="AA1645" i="22"/>
  <c r="AA1641" i="22"/>
  <c r="AA1637" i="22"/>
  <c r="AA1633" i="22"/>
  <c r="AA1629" i="22"/>
  <c r="AA1625" i="22"/>
  <c r="AA1621" i="22"/>
  <c r="AA1664" i="22"/>
  <c r="AA1660" i="22"/>
  <c r="AA1656" i="22"/>
  <c r="AA1652" i="22"/>
  <c r="AA1648" i="22"/>
  <c r="AA1644" i="22"/>
  <c r="AA1640" i="22"/>
  <c r="AA1636" i="22"/>
  <c r="AA1632" i="22"/>
  <c r="AA1628" i="22"/>
  <c r="AA1624" i="22"/>
  <c r="AA1663" i="22"/>
  <c r="AA1659" i="22"/>
  <c r="AA1655" i="22"/>
  <c r="AA1651" i="22"/>
  <c r="AA1647" i="22"/>
  <c r="AA1643" i="22"/>
  <c r="AA1639" i="22"/>
  <c r="AA1635" i="22"/>
  <c r="AA1631" i="22"/>
  <c r="AA1627" i="22"/>
  <c r="AA1623" i="22"/>
  <c r="AA1662" i="22"/>
  <c r="AA1658" i="22"/>
  <c r="AA1654" i="22"/>
  <c r="AA1650" i="22"/>
  <c r="AA1646" i="22"/>
  <c r="AA1642" i="22"/>
  <c r="AA1638" i="22"/>
  <c r="AA1634" i="22"/>
  <c r="AA1630" i="22"/>
  <c r="AA1626" i="22"/>
  <c r="AA1622" i="22"/>
  <c r="AA1354" i="22"/>
  <c r="AA1350" i="22"/>
  <c r="AA1346" i="22"/>
  <c r="AA1342" i="22"/>
  <c r="AA1338" i="22"/>
  <c r="AA1295" i="22"/>
  <c r="AA1291" i="22"/>
  <c r="AA1287" i="22"/>
  <c r="AA1283" i="22"/>
  <c r="AA1279" i="22"/>
  <c r="AA1275" i="22"/>
  <c r="AA1271" i="22"/>
  <c r="AA1267" i="22"/>
  <c r="AA1263" i="22"/>
  <c r="AA1259" i="22"/>
  <c r="AA1255" i="22"/>
  <c r="AA1251" i="22"/>
  <c r="AA1141" i="22"/>
  <c r="AA1136" i="22"/>
  <c r="AA1131" i="22"/>
  <c r="AA1126" i="22"/>
  <c r="AA1122" i="22"/>
  <c r="AA1117" i="22"/>
  <c r="AA1113" i="22"/>
  <c r="AA1109" i="22"/>
  <c r="AA1105" i="22"/>
  <c r="AA1101" i="22"/>
  <c r="AA1097" i="22"/>
  <c r="AA1093" i="22"/>
  <c r="AA935" i="22"/>
  <c r="AA931" i="22"/>
  <c r="AA927" i="22"/>
  <c r="AA898" i="22"/>
  <c r="AA893" i="22"/>
  <c r="AA888" i="22"/>
  <c r="AA883" i="22"/>
  <c r="AA879" i="22"/>
  <c r="AA874" i="22"/>
  <c r="AA869" i="22"/>
  <c r="AA864" i="22"/>
  <c r="AA859" i="22"/>
  <c r="AA854" i="22"/>
  <c r="AA849" i="22"/>
  <c r="AA845" i="22"/>
  <c r="AA840" i="22"/>
  <c r="AA835" i="22"/>
  <c r="AA605" i="22"/>
  <c r="AA601" i="22"/>
  <c r="AA597" i="22"/>
  <c r="AA593" i="22"/>
  <c r="AA589" i="22"/>
  <c r="AA585" i="22"/>
  <c r="AA581" i="22"/>
  <c r="AA577" i="22"/>
  <c r="AA573" i="22"/>
  <c r="AA569" i="22"/>
  <c r="AA528" i="22"/>
  <c r="AA523" i="22"/>
  <c r="AA518" i="22"/>
  <c r="AA513" i="22"/>
  <c r="AA508" i="22"/>
  <c r="AA503" i="22"/>
  <c r="AA498" i="22"/>
  <c r="AA493" i="22"/>
  <c r="AA488" i="22"/>
  <c r="AA483" i="22"/>
  <c r="AA478" i="22"/>
  <c r="AA473" i="22"/>
  <c r="AA360" i="22"/>
  <c r="AA356" i="22"/>
  <c r="AA351" i="22"/>
  <c r="AA346" i="22"/>
  <c r="AA341" i="22"/>
  <c r="AA337" i="22"/>
  <c r="AA332" i="22"/>
  <c r="AA327" i="22"/>
  <c r="AA323" i="22"/>
  <c r="AA319" i="22"/>
  <c r="AA315" i="22"/>
  <c r="AA311" i="22"/>
  <c r="AA1353" i="22"/>
  <c r="AA1349" i="22"/>
  <c r="AA1345" i="22"/>
  <c r="AA1341" i="22"/>
  <c r="AA1337" i="22"/>
  <c r="AA1298" i="22"/>
  <c r="AA1294" i="22"/>
  <c r="AA1290" i="22"/>
  <c r="AA1286" i="22"/>
  <c r="AA1282" i="22"/>
  <c r="AA1278" i="22"/>
  <c r="AA1274" i="22"/>
  <c r="AA1270" i="22"/>
  <c r="AA1266" i="22"/>
  <c r="AA1262" i="22"/>
  <c r="AA1258" i="22"/>
  <c r="AA1254" i="22"/>
  <c r="AA1250" i="22"/>
  <c r="AA1140" i="22"/>
  <c r="AA1135" i="22"/>
  <c r="AA1130" i="22"/>
  <c r="AA1125" i="22"/>
  <c r="AA1121" i="22"/>
  <c r="AA1116" i="22"/>
  <c r="AA1112" i="22"/>
  <c r="AA1108" i="22"/>
  <c r="AA1104" i="22"/>
  <c r="AA1100" i="22"/>
  <c r="AA1096" i="22"/>
  <c r="AA1092" i="22"/>
  <c r="AA934" i="22"/>
  <c r="AA930" i="22"/>
  <c r="AA926" i="22"/>
  <c r="AA897" i="22"/>
  <c r="AA892" i="22"/>
  <c r="AA887" i="22"/>
  <c r="AA882" i="22"/>
  <c r="AA878" i="22"/>
  <c r="AA873" i="22"/>
  <c r="AA868" i="22"/>
  <c r="AA863" i="22"/>
  <c r="AA858" i="22"/>
  <c r="AA853" i="22"/>
  <c r="AA848" i="22"/>
  <c r="AA843" i="22"/>
  <c r="AA838" i="22"/>
  <c r="AA604" i="22"/>
  <c r="AA600" i="22"/>
  <c r="AA596" i="22"/>
  <c r="AA592" i="22"/>
  <c r="AA588" i="22"/>
  <c r="AA584" i="22"/>
  <c r="AA580" i="22"/>
  <c r="AA576" i="22"/>
  <c r="AA572" i="22"/>
  <c r="AA568" i="22"/>
  <c r="AA527" i="22"/>
  <c r="AA522" i="22"/>
  <c r="AA517" i="22"/>
  <c r="AA512" i="22"/>
  <c r="AA507" i="22"/>
  <c r="AA502" i="22"/>
  <c r="AA497" i="22"/>
  <c r="AA492" i="22"/>
  <c r="AA487" i="22"/>
  <c r="AA482" i="22"/>
  <c r="AA477" i="22"/>
  <c r="AA472" i="22"/>
  <c r="AA359" i="22"/>
  <c r="AA354" i="22"/>
  <c r="AA350" i="22"/>
  <c r="AA345" i="22"/>
  <c r="AA340" i="22"/>
  <c r="AA336" i="22"/>
  <c r="AA330" i="22"/>
  <c r="AA326" i="22"/>
  <c r="AA322" i="22"/>
  <c r="AA318" i="22"/>
  <c r="AA314" i="22"/>
  <c r="AA1352" i="22"/>
  <c r="AA1348" i="22"/>
  <c r="AA1344" i="22"/>
  <c r="AA1340" i="22"/>
  <c r="AA1297" i="22"/>
  <c r="AA1293" i="22"/>
  <c r="AA1289" i="22"/>
  <c r="AA1285" i="22"/>
  <c r="AA1281" i="22"/>
  <c r="AA1277" i="22"/>
  <c r="AA1273" i="22"/>
  <c r="AA1269" i="22"/>
  <c r="AA1265" i="22"/>
  <c r="AA1261" i="22"/>
  <c r="AA1257" i="22"/>
  <c r="AA1253" i="22"/>
  <c r="AA1249" i="22"/>
  <c r="AA1143" i="22"/>
  <c r="AA1139" i="22"/>
  <c r="AA1134" i="22"/>
  <c r="AA1129" i="22"/>
  <c r="AA1124" i="22"/>
  <c r="AA1120" i="22"/>
  <c r="AA1115" i="22"/>
  <c r="AA1111" i="22"/>
  <c r="AA1107" i="22"/>
  <c r="AA1103" i="22"/>
  <c r="AA1099" i="22"/>
  <c r="AA1095" i="22"/>
  <c r="AA1091" i="22"/>
  <c r="AA933" i="22"/>
  <c r="AA929" i="22"/>
  <c r="AA925" i="22"/>
  <c r="AA896" i="22"/>
  <c r="AA891" i="22"/>
  <c r="AA886" i="22"/>
  <c r="AA881" i="22"/>
  <c r="AA876" i="22"/>
  <c r="AA872" i="22"/>
  <c r="AA867" i="22"/>
  <c r="AA862" i="22"/>
  <c r="AA857" i="22"/>
  <c r="AA852" i="22"/>
  <c r="AA847" i="22"/>
  <c r="AA842" i="22"/>
  <c r="AA837" i="22"/>
  <c r="AA603" i="22"/>
  <c r="AA599" i="22"/>
  <c r="AA595" i="22"/>
  <c r="AA591" i="22"/>
  <c r="AA587" i="22"/>
  <c r="AA583" i="22"/>
  <c r="AA579" i="22"/>
  <c r="AA575" i="22"/>
  <c r="AA571" i="22"/>
  <c r="AA526" i="22"/>
  <c r="AA520" i="22"/>
  <c r="AA516" i="22"/>
  <c r="AA511" i="22"/>
  <c r="AA506" i="22"/>
  <c r="AA501" i="22"/>
  <c r="AA496" i="22"/>
  <c r="AA491" i="22"/>
  <c r="AA486" i="22"/>
  <c r="AA481" i="22"/>
  <c r="AA476" i="22"/>
  <c r="AA471" i="22"/>
  <c r="AA358" i="22"/>
  <c r="AA353" i="22"/>
  <c r="AA348" i="22"/>
  <c r="AA343" i="22"/>
  <c r="AA339" i="22"/>
  <c r="AA334" i="22"/>
  <c r="AA329" i="22"/>
  <c r="AA325" i="22"/>
  <c r="AA321" i="22"/>
  <c r="AA317" i="22"/>
  <c r="AA313" i="22"/>
  <c r="AA1355" i="22"/>
  <c r="AA1351" i="22"/>
  <c r="AA1347" i="22"/>
  <c r="AA1343" i="22"/>
  <c r="AA1339" i="22"/>
  <c r="AA1296" i="22"/>
  <c r="AA1292" i="22"/>
  <c r="AA1288" i="22"/>
  <c r="AA1284" i="22"/>
  <c r="AA1280" i="22"/>
  <c r="AA1276" i="22"/>
  <c r="AA1272" i="22"/>
  <c r="AA1268" i="22"/>
  <c r="AA1264" i="22"/>
  <c r="AA1260" i="22"/>
  <c r="AA1256" i="22"/>
  <c r="AA1252" i="22"/>
  <c r="AA1248" i="22"/>
  <c r="AA1142" i="22"/>
  <c r="AA1137" i="22"/>
  <c r="AA1133" i="22"/>
  <c r="AA1128" i="22"/>
  <c r="AA1123" i="22"/>
  <c r="AA1118" i="22"/>
  <c r="AA1114" i="22"/>
  <c r="AA1110" i="22"/>
  <c r="AA1106" i="22"/>
  <c r="AA1102" i="22"/>
  <c r="AA1098" i="22"/>
  <c r="AA1094" i="22"/>
  <c r="AA1090" i="22"/>
  <c r="AA936" i="22"/>
  <c r="AA932" i="22"/>
  <c r="AA928" i="22"/>
  <c r="AA899" i="22"/>
  <c r="AA894" i="22"/>
  <c r="AA889" i="22"/>
  <c r="AA885" i="22"/>
  <c r="AA880" i="22"/>
  <c r="AA875" i="22"/>
  <c r="AA870" i="22"/>
  <c r="AA865" i="22"/>
  <c r="AA860" i="22"/>
  <c r="AA855" i="22"/>
  <c r="AA851" i="22"/>
  <c r="AA846" i="22"/>
  <c r="AA841" i="22"/>
  <c r="AA836" i="22"/>
  <c r="AA606" i="22"/>
  <c r="AA602" i="22"/>
  <c r="AA598" i="22"/>
  <c r="AA594" i="22"/>
  <c r="AA590" i="22"/>
  <c r="AA586" i="22"/>
  <c r="AA582" i="22"/>
  <c r="AA578" i="22"/>
  <c r="AA574" i="22"/>
  <c r="AA570" i="22"/>
  <c r="AA524" i="22"/>
  <c r="AA519" i="22"/>
  <c r="AA514" i="22"/>
  <c r="AA509" i="22"/>
  <c r="AA505" i="22"/>
  <c r="AA500" i="22"/>
  <c r="AA495" i="22"/>
  <c r="AA489" i="22"/>
  <c r="AA484" i="22"/>
  <c r="AA479" i="22"/>
  <c r="AA475" i="22"/>
  <c r="AA470" i="22"/>
  <c r="AA357" i="22"/>
  <c r="AA352" i="22"/>
  <c r="AA347" i="22"/>
  <c r="AA342" i="22"/>
  <c r="AA338" i="22"/>
  <c r="AA333" i="22"/>
  <c r="AA328" i="22"/>
  <c r="AA324" i="22"/>
  <c r="AA320" i="22"/>
  <c r="AA316" i="22"/>
  <c r="AA312" i="22"/>
  <c r="AA727" i="23"/>
  <c r="AA726" i="23"/>
  <c r="AA725" i="23"/>
  <c r="AA724" i="23"/>
  <c r="AA723" i="23"/>
  <c r="AA722" i="23"/>
  <c r="AA721" i="23"/>
  <c r="AA720" i="23"/>
  <c r="AA719" i="23"/>
  <c r="AA718" i="23"/>
  <c r="AA717" i="23"/>
  <c r="AA716" i="23"/>
  <c r="AA1980" i="22"/>
  <c r="AA1976" i="22"/>
  <c r="AA1972" i="22"/>
  <c r="AA1979" i="22"/>
  <c r="AA1975" i="22"/>
  <c r="AA1971" i="22"/>
  <c r="AA1982" i="22"/>
  <c r="AA1978" i="22"/>
  <c r="AA1974" i="22"/>
  <c r="AA1981" i="22"/>
  <c r="AA1977" i="22"/>
  <c r="AA1973" i="22"/>
  <c r="AA659" i="23"/>
  <c r="AA658" i="23"/>
  <c r="AA657" i="23"/>
  <c r="AA656" i="23"/>
  <c r="AA655" i="23"/>
  <c r="AA654" i="23"/>
  <c r="AA653" i="23"/>
  <c r="AA652" i="23"/>
  <c r="AA651" i="23"/>
  <c r="AA650" i="23"/>
  <c r="AA649" i="23"/>
  <c r="AA648" i="23"/>
  <c r="AA647" i="23"/>
  <c r="AA646" i="23"/>
  <c r="AA645" i="23"/>
  <c r="AA644" i="23"/>
  <c r="AA643" i="23"/>
  <c r="AA642" i="23"/>
  <c r="AA641" i="23"/>
  <c r="AA640" i="23"/>
  <c r="AA639" i="23"/>
  <c r="AA638" i="23"/>
  <c r="AA637" i="23"/>
  <c r="AA636" i="23"/>
  <c r="AA635" i="23"/>
  <c r="AA634" i="23"/>
  <c r="AA633" i="23"/>
  <c r="AA632" i="23"/>
  <c r="AA631" i="23"/>
  <c r="AA630" i="23"/>
  <c r="AA629" i="23"/>
  <c r="AA628" i="23"/>
  <c r="AA627" i="23"/>
  <c r="AA626" i="23"/>
  <c r="AA625" i="23"/>
  <c r="AA624" i="23"/>
  <c r="AA623" i="23"/>
  <c r="AA622" i="23"/>
  <c r="AA621" i="23"/>
  <c r="AA620" i="23"/>
  <c r="AA619" i="23"/>
  <c r="AA618" i="23"/>
  <c r="AA617" i="23"/>
  <c r="AA616" i="23"/>
  <c r="AA615" i="23"/>
  <c r="AA614" i="23"/>
  <c r="AA613" i="23"/>
  <c r="AA612" i="23"/>
  <c r="AA611" i="23"/>
  <c r="AA610" i="23"/>
  <c r="AA609" i="23"/>
  <c r="AA608" i="23"/>
  <c r="AA607" i="23"/>
  <c r="AA606" i="23"/>
  <c r="AA605" i="23"/>
  <c r="AA604" i="23"/>
  <c r="AA603" i="23"/>
  <c r="AA1912" i="22"/>
  <c r="AG1912" i="22" s="1"/>
  <c r="AA1908" i="22"/>
  <c r="AG1908" i="22" s="1"/>
  <c r="AA1904" i="22"/>
  <c r="AG1904" i="22" s="1"/>
  <c r="AA1900" i="22"/>
  <c r="AG1900" i="22" s="1"/>
  <c r="AA1896" i="22"/>
  <c r="AG1896" i="22" s="1"/>
  <c r="AA1892" i="22"/>
  <c r="AG1892" i="22" s="1"/>
  <c r="AA1888" i="22"/>
  <c r="AG1888" i="22" s="1"/>
  <c r="AA1884" i="22"/>
  <c r="AG1884" i="22" s="1"/>
  <c r="AA1880" i="22"/>
  <c r="AG1880" i="22" s="1"/>
  <c r="AA1876" i="22"/>
  <c r="AG1876" i="22" s="1"/>
  <c r="AA1872" i="22"/>
  <c r="AG1872" i="22" s="1"/>
  <c r="AA1868" i="22"/>
  <c r="AG1868" i="22" s="1"/>
  <c r="AA1864" i="22"/>
  <c r="AG1864" i="22" s="1"/>
  <c r="AA1911" i="22"/>
  <c r="AG1911" i="22" s="1"/>
  <c r="AA1907" i="22"/>
  <c r="AG1907" i="22" s="1"/>
  <c r="AA1903" i="22"/>
  <c r="AG1903" i="22" s="1"/>
  <c r="AA1899" i="22"/>
  <c r="AG1899" i="22" s="1"/>
  <c r="AA1895" i="22"/>
  <c r="AG1895" i="22" s="1"/>
  <c r="AA1891" i="22"/>
  <c r="AG1891" i="22" s="1"/>
  <c r="AA1887" i="22"/>
  <c r="AG1887" i="22" s="1"/>
  <c r="AA1883" i="22"/>
  <c r="AG1883" i="22" s="1"/>
  <c r="AA1879" i="22"/>
  <c r="AG1879" i="22" s="1"/>
  <c r="AA1875" i="22"/>
  <c r="AG1875" i="22" s="1"/>
  <c r="AA1871" i="22"/>
  <c r="AG1871" i="22" s="1"/>
  <c r="AA1867" i="22"/>
  <c r="AG1867" i="22" s="1"/>
  <c r="AA1863" i="22"/>
  <c r="AG1863" i="22" s="1"/>
  <c r="AA1859" i="22"/>
  <c r="AG1859" i="22" s="1"/>
  <c r="AA1914" i="22"/>
  <c r="AG1914" i="22" s="1"/>
  <c r="AA1910" i="22"/>
  <c r="AG1910" i="22" s="1"/>
  <c r="AA1906" i="22"/>
  <c r="AG1906" i="22" s="1"/>
  <c r="AA1902" i="22"/>
  <c r="AG1902" i="22" s="1"/>
  <c r="AA1898" i="22"/>
  <c r="AG1898" i="22" s="1"/>
  <c r="AA1894" i="22"/>
  <c r="AG1894" i="22" s="1"/>
  <c r="AA1890" i="22"/>
  <c r="AG1890" i="22" s="1"/>
  <c r="AA1886" i="22"/>
  <c r="AG1886" i="22" s="1"/>
  <c r="AA1882" i="22"/>
  <c r="AG1882" i="22" s="1"/>
  <c r="AA1878" i="22"/>
  <c r="AG1878" i="22" s="1"/>
  <c r="AA1874" i="22"/>
  <c r="AG1874" i="22" s="1"/>
  <c r="AA1870" i="22"/>
  <c r="AG1870" i="22" s="1"/>
  <c r="AA1866" i="22"/>
  <c r="AG1866" i="22" s="1"/>
  <c r="AA1862" i="22"/>
  <c r="AG1862" i="22" s="1"/>
  <c r="AA1858" i="22"/>
  <c r="AG1858" i="22" s="1"/>
  <c r="AA1913" i="22"/>
  <c r="AG1913" i="22" s="1"/>
  <c r="AA1909" i="22"/>
  <c r="AG1909" i="22" s="1"/>
  <c r="AA1905" i="22"/>
  <c r="AG1905" i="22" s="1"/>
  <c r="AA1901" i="22"/>
  <c r="AG1901" i="22" s="1"/>
  <c r="AA1897" i="22"/>
  <c r="AG1897" i="22" s="1"/>
  <c r="AA1893" i="22"/>
  <c r="AG1893" i="22" s="1"/>
  <c r="AA1889" i="22"/>
  <c r="AG1889" i="22" s="1"/>
  <c r="AA1885" i="22"/>
  <c r="AG1885" i="22" s="1"/>
  <c r="AA1881" i="22"/>
  <c r="AG1881" i="22" s="1"/>
  <c r="AA1877" i="22"/>
  <c r="AG1877" i="22" s="1"/>
  <c r="AA1873" i="22"/>
  <c r="AG1873" i="22" s="1"/>
  <c r="AA1869" i="22"/>
  <c r="AG1869" i="22" s="1"/>
  <c r="AA1865" i="22"/>
  <c r="AG1865" i="22" s="1"/>
  <c r="AA1861" i="22"/>
  <c r="AG1861" i="22" s="1"/>
  <c r="AA1860" i="22"/>
  <c r="AG1860" i="22" s="1"/>
  <c r="AA602" i="23"/>
  <c r="AA601" i="23"/>
  <c r="AA600" i="23"/>
  <c r="AA599" i="23"/>
  <c r="AA598" i="23"/>
  <c r="AA597" i="23"/>
  <c r="AA596" i="23"/>
  <c r="AA595" i="23"/>
  <c r="AA594" i="23"/>
  <c r="AA593" i="23"/>
  <c r="AA592" i="23"/>
  <c r="AA591" i="23"/>
  <c r="AA590" i="23"/>
  <c r="AA589" i="23"/>
  <c r="AA588" i="23"/>
  <c r="AA587" i="23"/>
  <c r="AA586" i="23"/>
  <c r="AA585" i="23"/>
  <c r="AA584" i="23"/>
  <c r="AA583" i="23"/>
  <c r="AA582" i="23"/>
  <c r="AA581" i="23"/>
  <c r="AA580" i="23"/>
  <c r="AA579" i="23"/>
  <c r="AA578" i="23"/>
  <c r="AA577" i="23"/>
  <c r="AA576" i="23"/>
  <c r="AA575" i="23"/>
  <c r="AA574" i="23"/>
  <c r="AA573" i="23"/>
  <c r="AA572" i="23"/>
  <c r="AA571" i="23"/>
  <c r="AA570" i="23"/>
  <c r="AA569" i="23"/>
  <c r="AA568" i="23"/>
  <c r="AA567" i="23"/>
  <c r="AA566" i="23"/>
  <c r="AA565" i="23"/>
  <c r="AA564" i="23"/>
  <c r="AA563" i="23"/>
  <c r="AA562" i="23"/>
  <c r="AA561" i="23"/>
  <c r="AA560" i="23"/>
  <c r="AA559" i="23"/>
  <c r="AA558" i="23"/>
  <c r="AA557" i="23"/>
  <c r="AA556" i="23"/>
  <c r="AA555" i="23"/>
  <c r="AA554" i="23"/>
  <c r="AA553" i="23"/>
  <c r="AA552" i="23"/>
  <c r="AA551" i="23"/>
  <c r="AA550" i="23"/>
  <c r="AA549" i="23"/>
  <c r="AA548" i="23"/>
  <c r="AA547" i="23"/>
  <c r="AA546" i="23"/>
  <c r="AA545" i="23"/>
  <c r="AA544" i="23"/>
  <c r="AA543" i="23"/>
  <c r="AA1855" i="22"/>
  <c r="AG1855" i="22" s="1"/>
  <c r="AA1851" i="22"/>
  <c r="AG1851" i="22" s="1"/>
  <c r="AA1847" i="22"/>
  <c r="AG1847" i="22" s="1"/>
  <c r="AA1843" i="22"/>
  <c r="AG1843" i="22" s="1"/>
  <c r="AA1839" i="22"/>
  <c r="AG1839" i="22" s="1"/>
  <c r="AA1835" i="22"/>
  <c r="AG1835" i="22" s="1"/>
  <c r="AA1831" i="22"/>
  <c r="AG1831" i="22" s="1"/>
  <c r="AA1827" i="22"/>
  <c r="AG1827" i="22" s="1"/>
  <c r="AA1823" i="22"/>
  <c r="AG1823" i="22" s="1"/>
  <c r="AA1819" i="22"/>
  <c r="AG1819" i="22" s="1"/>
  <c r="AA1815" i="22"/>
  <c r="AG1815" i="22" s="1"/>
  <c r="AA1854" i="22"/>
  <c r="AG1854" i="22" s="1"/>
  <c r="AA1850" i="22"/>
  <c r="AG1850" i="22" s="1"/>
  <c r="AA1846" i="22"/>
  <c r="AG1846" i="22" s="1"/>
  <c r="AA1842" i="22"/>
  <c r="AG1842" i="22" s="1"/>
  <c r="AA1838" i="22"/>
  <c r="AG1838" i="22" s="1"/>
  <c r="AA1857" i="22"/>
  <c r="AG1857" i="22" s="1"/>
  <c r="AA1853" i="22"/>
  <c r="AG1853" i="22" s="1"/>
  <c r="AA1849" i="22"/>
  <c r="AG1849" i="22" s="1"/>
  <c r="AA1845" i="22"/>
  <c r="AG1845" i="22" s="1"/>
  <c r="AA1841" i="22"/>
  <c r="AG1841" i="22" s="1"/>
  <c r="AA1837" i="22"/>
  <c r="AG1837" i="22" s="1"/>
  <c r="AA1833" i="22"/>
  <c r="AG1833" i="22" s="1"/>
  <c r="AA1829" i="22"/>
  <c r="AG1829" i="22" s="1"/>
  <c r="AA1825" i="22"/>
  <c r="AG1825" i="22" s="1"/>
  <c r="AA1821" i="22"/>
  <c r="AG1821" i="22" s="1"/>
  <c r="AA1817" i="22"/>
  <c r="AG1817" i="22" s="1"/>
  <c r="AA1813" i="22"/>
  <c r="AG1813" i="22" s="1"/>
  <c r="AA1809" i="22"/>
  <c r="AG1809" i="22" s="1"/>
  <c r="AA1805" i="22"/>
  <c r="AG1805" i="22" s="1"/>
  <c r="AA1801" i="22"/>
  <c r="AG1801" i="22" s="1"/>
  <c r="AA1856" i="22"/>
  <c r="AG1856" i="22" s="1"/>
  <c r="AA1840" i="22"/>
  <c r="AG1840" i="22" s="1"/>
  <c r="AA1830" i="22"/>
  <c r="AG1830" i="22" s="1"/>
  <c r="AA1822" i="22"/>
  <c r="AG1822" i="22" s="1"/>
  <c r="AA1814" i="22"/>
  <c r="AG1814" i="22" s="1"/>
  <c r="AA1808" i="22"/>
  <c r="AG1808" i="22" s="1"/>
  <c r="AA1803" i="22"/>
  <c r="AG1803" i="22" s="1"/>
  <c r="AA1798" i="22"/>
  <c r="AG1798" i="22" s="1"/>
  <c r="AA1852" i="22"/>
  <c r="AG1852" i="22" s="1"/>
  <c r="AA1836" i="22"/>
  <c r="AG1836" i="22" s="1"/>
  <c r="AA1828" i="22"/>
  <c r="AG1828" i="22" s="1"/>
  <c r="AA1820" i="22"/>
  <c r="AG1820" i="22" s="1"/>
  <c r="AA1812" i="22"/>
  <c r="AG1812" i="22" s="1"/>
  <c r="AA1807" i="22"/>
  <c r="AG1807" i="22" s="1"/>
  <c r="AA1802" i="22"/>
  <c r="AG1802" i="22" s="1"/>
  <c r="AA1848" i="22"/>
  <c r="AG1848" i="22" s="1"/>
  <c r="AA1834" i="22"/>
  <c r="AG1834" i="22" s="1"/>
  <c r="AA1826" i="22"/>
  <c r="AG1826" i="22" s="1"/>
  <c r="AA1818" i="22"/>
  <c r="AG1818" i="22" s="1"/>
  <c r="AA1811" i="22"/>
  <c r="AG1811" i="22" s="1"/>
  <c r="AA1806" i="22"/>
  <c r="AG1806" i="22" s="1"/>
  <c r="AA1800" i="22"/>
  <c r="AG1800" i="22" s="1"/>
  <c r="AA1844" i="22"/>
  <c r="AG1844" i="22" s="1"/>
  <c r="AA1832" i="22"/>
  <c r="AG1832" i="22" s="1"/>
  <c r="AA1824" i="22"/>
  <c r="AG1824" i="22" s="1"/>
  <c r="AA1816" i="22"/>
  <c r="AG1816" i="22" s="1"/>
  <c r="AA1810" i="22"/>
  <c r="AG1810" i="22" s="1"/>
  <c r="AA1804" i="22"/>
  <c r="AG1804" i="22" s="1"/>
  <c r="AA1799" i="22"/>
  <c r="AG1799" i="22" s="1"/>
  <c r="AA143" i="22"/>
  <c r="AA139" i="22"/>
  <c r="AA135" i="22"/>
  <c r="AA92" i="22"/>
  <c r="AA84" i="22"/>
  <c r="AA76" i="22"/>
  <c r="AA142" i="22"/>
  <c r="AA138" i="22"/>
  <c r="AA134" i="22"/>
  <c r="AA90" i="22"/>
  <c r="AA82" i="22"/>
  <c r="AA74" i="22"/>
  <c r="AA145" i="22"/>
  <c r="AA141" i="22"/>
  <c r="AA137" i="22"/>
  <c r="AA96" i="22"/>
  <c r="AA88" i="22"/>
  <c r="AA80" i="22"/>
  <c r="AA144" i="22"/>
  <c r="AA140" i="22"/>
  <c r="AA136" i="22"/>
  <c r="AA94" i="22"/>
  <c r="AA86" i="22"/>
  <c r="AA78" i="22"/>
  <c r="AM62" i="6"/>
  <c r="AM60" i="9"/>
  <c r="AM60" i="8"/>
  <c r="AM60" i="7"/>
  <c r="W5" i="12"/>
  <c r="W5" i="13"/>
  <c r="T5" i="29" s="1"/>
  <c r="T50" i="29" s="1"/>
  <c r="E45" i="5"/>
  <c r="X48" i="13"/>
  <c r="X48" i="12"/>
  <c r="X48" i="11"/>
  <c r="X48" i="10"/>
  <c r="AA46" i="11"/>
  <c r="AG62" i="6"/>
  <c r="AG60" i="9"/>
  <c r="AG60" i="8"/>
  <c r="AG60" i="7"/>
  <c r="P46" i="12"/>
  <c r="P46" i="13"/>
  <c r="AA1586" i="22" l="1"/>
  <c r="AA1611" i="22"/>
  <c r="AA609" i="22"/>
  <c r="AG609" i="22" s="1"/>
  <c r="AA223" i="23"/>
  <c r="AA239" i="23"/>
  <c r="AA429" i="23"/>
  <c r="AA622" i="22"/>
  <c r="AG622" i="22" s="1"/>
  <c r="AA662" i="22"/>
  <c r="AG662" i="22" s="1"/>
  <c r="AA1389" i="22"/>
  <c r="AG1389" i="22" s="1"/>
  <c r="AA668" i="22"/>
  <c r="AG668" i="22" s="1"/>
  <c r="AA1469" i="22"/>
  <c r="AG1469" i="22" s="1"/>
  <c r="S31" i="33"/>
  <c r="AA2526" i="22"/>
  <c r="AG2526" i="22" s="1"/>
  <c r="S6" i="33"/>
  <c r="AA1609" i="22"/>
  <c r="AA1593" i="22"/>
  <c r="AA1620" i="22"/>
  <c r="AA1604" i="22"/>
  <c r="AA1588" i="22"/>
  <c r="AA1615" i="22"/>
  <c r="AA1599" i="22"/>
  <c r="AA1583" i="22"/>
  <c r="AA1606" i="22"/>
  <c r="AA1590" i="22"/>
  <c r="AA1617" i="22"/>
  <c r="AA1601" i="22"/>
  <c r="AA1585" i="22"/>
  <c r="AA1612" i="22"/>
  <c r="AA1596" i="22"/>
  <c r="AA1580" i="22"/>
  <c r="AA1607" i="22"/>
  <c r="AA1591" i="22"/>
  <c r="AA1614" i="22"/>
  <c r="AA1598" i="22"/>
  <c r="AA1582" i="22"/>
  <c r="AA1613" i="22"/>
  <c r="AA1581" i="22"/>
  <c r="AA1592" i="22"/>
  <c r="AA1603" i="22"/>
  <c r="AA1610" i="22"/>
  <c r="AA1597" i="22"/>
  <c r="AA1608" i="22"/>
  <c r="AA1619" i="22"/>
  <c r="AA1587" i="22"/>
  <c r="AA1594" i="22"/>
  <c r="AA1618" i="22"/>
  <c r="AA1600" i="22"/>
  <c r="AA183" i="23"/>
  <c r="AA323" i="23"/>
  <c r="AA333" i="23"/>
  <c r="AA1480" i="22"/>
  <c r="AG1480" i="22" s="1"/>
  <c r="AA407" i="23"/>
  <c r="AA179" i="23"/>
  <c r="AA231" i="23"/>
  <c r="AA338" i="23"/>
  <c r="AA614" i="22"/>
  <c r="AG614" i="22" s="1"/>
  <c r="AA630" i="22"/>
  <c r="AG630" i="22" s="1"/>
  <c r="AA1390" i="22"/>
  <c r="AG1390" i="22" s="1"/>
  <c r="AA1384" i="22"/>
  <c r="AG1384" i="22" s="1"/>
  <c r="AA1477" i="22"/>
  <c r="AG1477" i="22" s="1"/>
  <c r="AA1473" i="22"/>
  <c r="AG1473" i="22" s="1"/>
  <c r="AA1395" i="22"/>
  <c r="AG1395" i="22" s="1"/>
  <c r="AA1375" i="22"/>
  <c r="AG1375" i="22" s="1"/>
  <c r="AA674" i="22"/>
  <c r="AG674" i="22" s="1"/>
  <c r="AA669" i="22"/>
  <c r="AG669" i="22" s="1"/>
  <c r="AA1470" i="22"/>
  <c r="AG1470" i="22" s="1"/>
  <c r="AA1388" i="22"/>
  <c r="AG1388" i="22" s="1"/>
  <c r="AA1359" i="22"/>
  <c r="AG1359" i="22" s="1"/>
  <c r="AA1397" i="22"/>
  <c r="AG1397" i="22" s="1"/>
  <c r="AA1484" i="22"/>
  <c r="AG1484" i="22" s="1"/>
  <c r="AA1398" i="22"/>
  <c r="AG1398" i="22" s="1"/>
  <c r="AA667" i="22"/>
  <c r="AG667" i="22" s="1"/>
  <c r="AA663" i="22"/>
  <c r="AG663" i="22" s="1"/>
  <c r="AA659" i="22"/>
  <c r="AG659" i="22" s="1"/>
  <c r="AA655" i="22"/>
  <c r="AG655" i="22" s="1"/>
  <c r="AA627" i="22"/>
  <c r="AG627" i="22" s="1"/>
  <c r="AA623" i="22"/>
  <c r="AG623" i="22" s="1"/>
  <c r="AA619" i="22"/>
  <c r="AG619" i="22" s="1"/>
  <c r="AA615" i="22"/>
  <c r="AG615" i="22" s="1"/>
  <c r="AA611" i="22"/>
  <c r="AG611" i="22" s="1"/>
  <c r="AA1377" i="22"/>
  <c r="AG1377" i="22" s="1"/>
  <c r="AA417" i="23"/>
  <c r="AA342" i="23"/>
  <c r="AA326" i="23"/>
  <c r="AA240" i="23"/>
  <c r="AA236" i="23"/>
  <c r="AA232" i="23"/>
  <c r="AA228" i="23"/>
  <c r="AA224" i="23"/>
  <c r="AA220" i="23"/>
  <c r="AA184" i="23"/>
  <c r="AA1479" i="22"/>
  <c r="AG1479" i="22" s="1"/>
  <c r="AA1360" i="22"/>
  <c r="AG1360" i="22" s="1"/>
  <c r="AA427" i="23"/>
  <c r="AA411" i="23"/>
  <c r="AA340" i="23"/>
  <c r="AA324" i="23"/>
  <c r="AA186" i="23"/>
  <c r="AA172" i="23"/>
  <c r="AA1386" i="22"/>
  <c r="AG1386" i="22" s="1"/>
  <c r="AA428" i="23"/>
  <c r="AA412" i="23"/>
  <c r="AA337" i="23"/>
  <c r="AA321" i="23"/>
  <c r="AA189" i="23"/>
  <c r="AA173" i="23"/>
  <c r="AA339" i="23"/>
  <c r="AA426" i="23"/>
  <c r="AA174" i="23"/>
  <c r="AA177" i="23"/>
  <c r="AA331" i="23"/>
  <c r="AA312" i="23"/>
  <c r="AA1366" i="22"/>
  <c r="AG1366" i="22" s="1"/>
  <c r="AA1303" i="22"/>
  <c r="AA1186" i="22"/>
  <c r="AA1170" i="22"/>
  <c r="AA1154" i="22"/>
  <c r="AA1023" i="22"/>
  <c r="AA1004" i="22"/>
  <c r="AA987" i="22"/>
  <c r="AA911" i="22"/>
  <c r="AA759" i="22"/>
  <c r="AA740" i="22"/>
  <c r="AA720" i="22"/>
  <c r="AA1465" i="22"/>
  <c r="AG1465" i="22" s="1"/>
  <c r="AA1383" i="22"/>
  <c r="AG1383" i="22" s="1"/>
  <c r="AA677" i="22"/>
  <c r="AG677" i="22" s="1"/>
  <c r="AA672" i="22"/>
  <c r="AG672" i="22" s="1"/>
  <c r="AA1478" i="22"/>
  <c r="AG1478" i="22" s="1"/>
  <c r="AA1400" i="22"/>
  <c r="AG1400" i="22" s="1"/>
  <c r="AA1380" i="22"/>
  <c r="AG1380" i="22" s="1"/>
  <c r="AA1475" i="22"/>
  <c r="AG1475" i="22" s="1"/>
  <c r="AA1381" i="22"/>
  <c r="AG1381" i="22" s="1"/>
  <c r="AA1468" i="22"/>
  <c r="AG1468" i="22" s="1"/>
  <c r="AA1382" i="22"/>
  <c r="AG1382" i="22" s="1"/>
  <c r="AA665" i="22"/>
  <c r="AG665" i="22" s="1"/>
  <c r="AA661" i="22"/>
  <c r="AG661" i="22" s="1"/>
  <c r="AA657" i="22"/>
  <c r="AG657" i="22" s="1"/>
  <c r="AA629" i="22"/>
  <c r="AG629" i="22" s="1"/>
  <c r="AA625" i="22"/>
  <c r="AG625" i="22" s="1"/>
  <c r="AA621" i="22"/>
  <c r="AG621" i="22" s="1"/>
  <c r="AA617" i="22"/>
  <c r="AG617" i="22" s="1"/>
  <c r="AA613" i="22"/>
  <c r="AG613" i="22" s="1"/>
  <c r="AA1471" i="22"/>
  <c r="AG1471" i="22" s="1"/>
  <c r="AA425" i="23"/>
  <c r="AA409" i="23"/>
  <c r="AA334" i="23"/>
  <c r="AA303" i="23"/>
  <c r="AA238" i="23"/>
  <c r="AA234" i="23"/>
  <c r="AA230" i="23"/>
  <c r="AA226" i="23"/>
  <c r="AA222" i="23"/>
  <c r="AA218" i="23"/>
  <c r="AA176" i="23"/>
  <c r="AA1401" i="22"/>
  <c r="AG1401" i="22" s="1"/>
  <c r="AA608" i="22"/>
  <c r="AG608" i="22" s="1"/>
  <c r="AA419" i="23"/>
  <c r="AA348" i="23"/>
  <c r="AA332" i="23"/>
  <c r="AA193" i="23"/>
  <c r="AA180" i="23"/>
  <c r="AA1464" i="22"/>
  <c r="AG1464" i="22" s="1"/>
  <c r="AA1394" i="22"/>
  <c r="AG1394" i="22" s="1"/>
  <c r="AA420" i="23"/>
  <c r="AA345" i="23"/>
  <c r="AA329" i="23"/>
  <c r="AA302" i="23"/>
  <c r="AA181" i="23"/>
  <c r="AA422" i="23"/>
  <c r="AA304" i="23"/>
  <c r="AA343" i="23"/>
  <c r="AA335" i="23"/>
  <c r="AA414" i="23"/>
  <c r="AA314" i="23"/>
  <c r="AA1311" i="22"/>
  <c r="AA1194" i="22"/>
  <c r="AA1178" i="22"/>
  <c r="AA1162" i="22"/>
  <c r="AA1146" i="22"/>
  <c r="AA1013" i="22"/>
  <c r="AA995" i="22"/>
  <c r="AA979" i="22"/>
  <c r="AA903" i="22"/>
  <c r="AA749" i="22"/>
  <c r="AA730" i="22"/>
  <c r="AA710" i="22"/>
  <c r="AA565" i="22"/>
  <c r="AA549" i="22"/>
  <c r="AA1399" i="22"/>
  <c r="AG1399" i="22" s="1"/>
  <c r="AA676" i="22"/>
  <c r="AG676" i="22" s="1"/>
  <c r="AA1474" i="22"/>
  <c r="AG1474" i="22" s="1"/>
  <c r="AA1376" i="22"/>
  <c r="AG1376" i="22" s="1"/>
  <c r="AA1356" i="22"/>
  <c r="AG1356" i="22" s="1"/>
  <c r="AA1357" i="22"/>
  <c r="AG1357" i="22" s="1"/>
  <c r="AA660" i="22"/>
  <c r="AG660" i="22" s="1"/>
  <c r="AA628" i="22"/>
  <c r="AG628" i="22" s="1"/>
  <c r="AA620" i="22"/>
  <c r="AG620" i="22" s="1"/>
  <c r="AA612" i="22"/>
  <c r="AG612" i="22" s="1"/>
  <c r="AA421" i="23"/>
  <c r="AA330" i="23"/>
  <c r="AA237" i="23"/>
  <c r="AA229" i="23"/>
  <c r="AA221" i="23"/>
  <c r="AA171" i="23"/>
  <c r="AA607" i="22"/>
  <c r="AG607" i="22" s="1"/>
  <c r="AA344" i="23"/>
  <c r="AA190" i="23"/>
  <c r="AA1402" i="22"/>
  <c r="AG1402" i="22" s="1"/>
  <c r="AA416" i="23"/>
  <c r="AA325" i="23"/>
  <c r="AA178" i="23"/>
  <c r="AA191" i="23"/>
  <c r="AA187" i="23"/>
  <c r="AA313" i="23"/>
  <c r="AA1307" i="22"/>
  <c r="AA1174" i="22"/>
  <c r="AA1027" i="22"/>
  <c r="AA991" i="22"/>
  <c r="AA764" i="22"/>
  <c r="AA725" i="22"/>
  <c r="AA561" i="22"/>
  <c r="AA541" i="22"/>
  <c r="AA451" i="22"/>
  <c r="AA431" i="22"/>
  <c r="AA411" i="22"/>
  <c r="AA295" i="22"/>
  <c r="AA276" i="22"/>
  <c r="AA259" i="22"/>
  <c r="AA1369" i="22"/>
  <c r="AG1369" i="22" s="1"/>
  <c r="AA1310" i="22"/>
  <c r="AA1189" i="22"/>
  <c r="AA1173" i="22"/>
  <c r="AA1157" i="22"/>
  <c r="AA1026" i="22"/>
  <c r="AA1007" i="22"/>
  <c r="AA990" i="22"/>
  <c r="AA974" i="22"/>
  <c r="AA767" i="22"/>
  <c r="AA748" i="22"/>
  <c r="AA728" i="22"/>
  <c r="AA709" i="22"/>
  <c r="AA552" i="22"/>
  <c r="AA536" i="22"/>
  <c r="AA445" i="22"/>
  <c r="AA425" i="22"/>
  <c r="AA405" i="22"/>
  <c r="AA294" i="22"/>
  <c r="AA275" i="22"/>
  <c r="AA258" i="22"/>
  <c r="AA1313" i="22"/>
  <c r="AA1192" i="22"/>
  <c r="AA1176" i="22"/>
  <c r="AA1160" i="22"/>
  <c r="AA1025" i="22"/>
  <c r="AA1006" i="22"/>
  <c r="AA989" i="22"/>
  <c r="AA973" i="22"/>
  <c r="AA766" i="22"/>
  <c r="AA747" i="22"/>
  <c r="AA727" i="22"/>
  <c r="AA708" i="22"/>
  <c r="AA567" i="22"/>
  <c r="AA551" i="22"/>
  <c r="AA535" i="22"/>
  <c r="AA444" i="22"/>
  <c r="AA424" i="22"/>
  <c r="AA1481" i="22"/>
  <c r="AG1481" i="22" s="1"/>
  <c r="AA1379" i="22"/>
  <c r="AG1379" i="22" s="1"/>
  <c r="AA670" i="22"/>
  <c r="AG670" i="22" s="1"/>
  <c r="AA1396" i="22"/>
  <c r="AG1396" i="22" s="1"/>
  <c r="AA1467" i="22"/>
  <c r="AG1467" i="22" s="1"/>
  <c r="AA1460" i="22"/>
  <c r="AG1460" i="22" s="1"/>
  <c r="AA664" i="22"/>
  <c r="AG664" i="22" s="1"/>
  <c r="AA656" i="22"/>
  <c r="AG656" i="22" s="1"/>
  <c r="AA624" i="22"/>
  <c r="AG624" i="22" s="1"/>
  <c r="AA616" i="22"/>
  <c r="AG616" i="22" s="1"/>
  <c r="AA1393" i="22"/>
  <c r="AG1393" i="22" s="1"/>
  <c r="AA346" i="23"/>
  <c r="AA241" i="23"/>
  <c r="AA233" i="23"/>
  <c r="AA225" i="23"/>
  <c r="AA188" i="23"/>
  <c r="AA1385" i="22"/>
  <c r="AG1385" i="22" s="1"/>
  <c r="AA415" i="23"/>
  <c r="AA328" i="23"/>
  <c r="AA175" i="23"/>
  <c r="AA1378" i="22"/>
  <c r="AG1378" i="22" s="1"/>
  <c r="AA341" i="23"/>
  <c r="AA192" i="23"/>
  <c r="AA406" i="23"/>
  <c r="AA327" i="23"/>
  <c r="AA347" i="23"/>
  <c r="AA1190" i="22"/>
  <c r="AA1158" i="22"/>
  <c r="AA1008" i="22"/>
  <c r="AA975" i="22"/>
  <c r="AA744" i="22"/>
  <c r="AA705" i="22"/>
  <c r="AA553" i="22"/>
  <c r="AA533" i="22"/>
  <c r="AA441" i="22"/>
  <c r="AA421" i="22"/>
  <c r="AA401" i="22"/>
  <c r="AA285" i="22"/>
  <c r="AA267" i="22"/>
  <c r="AA1302" i="22"/>
  <c r="AA1181" i="22"/>
  <c r="AA1165" i="22"/>
  <c r="AA1149" i="22"/>
  <c r="AA1017" i="22"/>
  <c r="AA998" i="22"/>
  <c r="AA982" i="22"/>
  <c r="AA906" i="22"/>
  <c r="AA757" i="22"/>
  <c r="AA738" i="22"/>
  <c r="AA719" i="22"/>
  <c r="AA560" i="22"/>
  <c r="AA544" i="22"/>
  <c r="AA455" i="22"/>
  <c r="AA435" i="22"/>
  <c r="AA415" i="22"/>
  <c r="AA303" i="22"/>
  <c r="AA284" i="22"/>
  <c r="AA266" i="22"/>
  <c r="AA1368" i="22"/>
  <c r="AG1368" i="22" s="1"/>
  <c r="AA1305" i="22"/>
  <c r="AA1184" i="22"/>
  <c r="AA1168" i="22"/>
  <c r="AA1152" i="22"/>
  <c r="AA1015" i="22"/>
  <c r="AA997" i="22"/>
  <c r="AA981" i="22"/>
  <c r="AA905" i="22"/>
  <c r="AA756" i="22"/>
  <c r="AA737" i="22"/>
  <c r="AA717" i="22"/>
  <c r="AA559" i="22"/>
  <c r="AA543" i="22"/>
  <c r="AA454" i="22"/>
  <c r="AA434" i="22"/>
  <c r="AA414" i="22"/>
  <c r="AA302" i="22"/>
  <c r="AA283" i="22"/>
  <c r="AA265" i="22"/>
  <c r="AA1367" i="22"/>
  <c r="AG1367" i="22" s="1"/>
  <c r="AA1304" i="22"/>
  <c r="AA1183" i="22"/>
  <c r="AA1167" i="22"/>
  <c r="AA1151" i="22"/>
  <c r="AA2553" i="22"/>
  <c r="AA2554" i="22"/>
  <c r="AA2555" i="22"/>
  <c r="S32" i="33"/>
  <c r="AA2572" i="22"/>
  <c r="AA2556" i="22"/>
  <c r="AA2567" i="22"/>
  <c r="AA2551" i="22"/>
  <c r="AA2566" i="22"/>
  <c r="AA2550" i="22"/>
  <c r="AA2565" i="22"/>
  <c r="AA2549" i="22"/>
  <c r="AA2564" i="22"/>
  <c r="AA2575" i="22"/>
  <c r="AA2559" i="22"/>
  <c r="AA2574" i="22"/>
  <c r="AA2558" i="22"/>
  <c r="AA2573" i="22"/>
  <c r="AA2557" i="22"/>
  <c r="AA1392" i="22"/>
  <c r="AG1392" i="22" s="1"/>
  <c r="AA1466" i="22"/>
  <c r="AG1466" i="22" s="1"/>
  <c r="AA1482" i="22"/>
  <c r="AG1482" i="22" s="1"/>
  <c r="AA671" i="22"/>
  <c r="AG671" i="22" s="1"/>
  <c r="AA675" i="22"/>
  <c r="AG675" i="22" s="1"/>
  <c r="AA1358" i="22"/>
  <c r="AG1358" i="22" s="1"/>
  <c r="AA1387" i="22"/>
  <c r="AG1387" i="22" s="1"/>
  <c r="AA1461" i="22"/>
  <c r="AG1461" i="22" s="1"/>
  <c r="AA844" i="23"/>
  <c r="AA1525" i="22"/>
  <c r="AG1525" i="22" s="1"/>
  <c r="G15" i="33"/>
  <c r="G10" i="33"/>
  <c r="S25" i="33"/>
  <c r="S15" i="33"/>
  <c r="S20" i="33"/>
  <c r="S21" i="33"/>
  <c r="S26" i="33"/>
  <c r="S16" i="33"/>
  <c r="G16" i="33"/>
  <c r="G11" i="33"/>
  <c r="AA843" i="23"/>
  <c r="AA2515" i="22"/>
  <c r="AG2515" i="22" s="1"/>
  <c r="AA1443" i="22"/>
  <c r="AG1443" i="22" s="1"/>
  <c r="AA853" i="23"/>
  <c r="AA392" i="23"/>
  <c r="AA698" i="22"/>
  <c r="AG698" i="22" s="1"/>
  <c r="AA875" i="23"/>
  <c r="AA2516" i="22"/>
  <c r="AG2516" i="22" s="1"/>
  <c r="AA2547" i="22"/>
  <c r="AG2547" i="22" s="1"/>
  <c r="AA264" i="23"/>
  <c r="AA2533" i="22"/>
  <c r="AG2533" i="22" s="1"/>
  <c r="AA2545" i="22"/>
  <c r="AG2545" i="22" s="1"/>
  <c r="AA854" i="23"/>
  <c r="AA479" i="23"/>
  <c r="AA645" i="22"/>
  <c r="AG645" i="22" s="1"/>
  <c r="AA856" i="23"/>
  <c r="AA855" i="23"/>
  <c r="AA2546" i="22"/>
  <c r="AG2546" i="22" s="1"/>
  <c r="AA845" i="23"/>
  <c r="AA2524" i="22"/>
  <c r="AG2524" i="22" s="1"/>
  <c r="AA870" i="23"/>
  <c r="AA398" i="23"/>
  <c r="AA256" i="23"/>
  <c r="AA1434" i="22"/>
  <c r="AG1434" i="22" s="1"/>
  <c r="AA2534" i="22"/>
  <c r="AG2534" i="22" s="1"/>
  <c r="AA859" i="23"/>
  <c r="AA2513" i="22"/>
  <c r="AG2513" i="22" s="1"/>
  <c r="AA2508" i="22"/>
  <c r="AG2508" i="22" s="1"/>
  <c r="AA838" i="23"/>
  <c r="AA2523" i="22"/>
  <c r="AG2523" i="22" s="1"/>
  <c r="B15" i="31"/>
  <c r="B14" i="31"/>
  <c r="AA462" i="23"/>
  <c r="AA637" i="22"/>
  <c r="AG637" i="22" s="1"/>
  <c r="AA690" i="22"/>
  <c r="AG690" i="22" s="1"/>
  <c r="AA872" i="23"/>
  <c r="AA2509" i="22"/>
  <c r="AG2509" i="22" s="1"/>
  <c r="AA2530" i="22"/>
  <c r="AG2530" i="22" s="1"/>
  <c r="AA2529" i="22"/>
  <c r="AG2529" i="22" s="1"/>
  <c r="AA861" i="23"/>
  <c r="AA2540" i="22"/>
  <c r="AG2540" i="22" s="1"/>
  <c r="AA862" i="23"/>
  <c r="AA2531" i="22"/>
  <c r="AG2531" i="22" s="1"/>
  <c r="AA394" i="23"/>
  <c r="AA1532" i="22"/>
  <c r="AG1532" i="22" s="1"/>
  <c r="AA216" i="23"/>
  <c r="AA401" i="23"/>
  <c r="AA653" i="22"/>
  <c r="AG653" i="22" s="1"/>
  <c r="AA1518" i="22"/>
  <c r="AG1518" i="22" s="1"/>
  <c r="AA1441" i="22"/>
  <c r="AG1441" i="22" s="1"/>
  <c r="AA203" i="23"/>
  <c r="AA379" i="23"/>
  <c r="AA248" i="23"/>
  <c r="AA1455" i="22"/>
  <c r="AG1455" i="22" s="1"/>
  <c r="AA1528" i="22"/>
  <c r="AG1528" i="22" s="1"/>
  <c r="AA682" i="22"/>
  <c r="AG682" i="22" s="1"/>
  <c r="AA1517" i="22"/>
  <c r="AG1517" i="22" s="1"/>
  <c r="AA1433" i="22"/>
  <c r="AG1433" i="22" s="1"/>
  <c r="AA696" i="22"/>
  <c r="AG696" i="22" s="1"/>
  <c r="AA688" i="22"/>
  <c r="AG688" i="22" s="1"/>
  <c r="AA680" i="22"/>
  <c r="AG680" i="22" s="1"/>
  <c r="AA1458" i="22"/>
  <c r="AG1458" i="22" s="1"/>
  <c r="AA1535" i="22"/>
  <c r="AG1535" i="22" s="1"/>
  <c r="AA1364" i="22"/>
  <c r="AG1364" i="22" s="1"/>
  <c r="AA1512" i="22"/>
  <c r="AG1512" i="22" s="1"/>
  <c r="AA651" i="22"/>
  <c r="AG651" i="22" s="1"/>
  <c r="AA643" i="22"/>
  <c r="AG643" i="22" s="1"/>
  <c r="AA635" i="22"/>
  <c r="AG635" i="22" s="1"/>
  <c r="AA481" i="23"/>
  <c r="AA393" i="23"/>
  <c r="AA262" i="23"/>
  <c r="AA254" i="23"/>
  <c r="AA246" i="23"/>
  <c r="AA214" i="23"/>
  <c r="AA1531" i="22"/>
  <c r="AG1531" i="22" s="1"/>
  <c r="AA403" i="23"/>
  <c r="AA309" i="23"/>
  <c r="AA1448" i="22"/>
  <c r="AG1448" i="22" s="1"/>
  <c r="AA469" i="23"/>
  <c r="AA384" i="23"/>
  <c r="AA201" i="23"/>
  <c r="AA308" i="23"/>
  <c r="AA1457" i="22"/>
  <c r="AG1457" i="22" s="1"/>
  <c r="AA702" i="22"/>
  <c r="AG702" i="22" s="1"/>
  <c r="AA694" i="22"/>
  <c r="AG694" i="22" s="1"/>
  <c r="AA686" i="22"/>
  <c r="AG686" i="22" s="1"/>
  <c r="AA1534" i="22"/>
  <c r="AG1534" i="22" s="1"/>
  <c r="AA1450" i="22"/>
  <c r="AG1450" i="22" s="1"/>
  <c r="AA1519" i="22"/>
  <c r="AG1519" i="22" s="1"/>
  <c r="AA476" i="23"/>
  <c r="AA1444" i="22"/>
  <c r="AG1444" i="22" s="1"/>
  <c r="AA649" i="22"/>
  <c r="AG649" i="22" s="1"/>
  <c r="AA641" i="22"/>
  <c r="AG641" i="22" s="1"/>
  <c r="AA633" i="22"/>
  <c r="AG633" i="22" s="1"/>
  <c r="AA470" i="23"/>
  <c r="AA385" i="23"/>
  <c r="AA260" i="23"/>
  <c r="AA252" i="23"/>
  <c r="AA244" i="23"/>
  <c r="AA212" i="23"/>
  <c r="AA1447" i="22"/>
  <c r="AG1447" i="22" s="1"/>
  <c r="AA395" i="23"/>
  <c r="AA197" i="23"/>
  <c r="AA1361" i="22"/>
  <c r="AG1361" i="22" s="1"/>
  <c r="AA459" i="23"/>
  <c r="AA310" i="23"/>
  <c r="AA199" i="23"/>
  <c r="AA402" i="23"/>
  <c r="AA1533" i="22"/>
  <c r="AG1533" i="22" s="1"/>
  <c r="AA1449" i="22"/>
  <c r="AG1449" i="22" s="1"/>
  <c r="AA700" i="22"/>
  <c r="AG700" i="22" s="1"/>
  <c r="AA692" i="22"/>
  <c r="AG692" i="22" s="1"/>
  <c r="AA684" i="22"/>
  <c r="AG684" i="22" s="1"/>
  <c r="AA1526" i="22"/>
  <c r="AG1526" i="22" s="1"/>
  <c r="AA1442" i="22"/>
  <c r="AG1442" i="22" s="1"/>
  <c r="AA1459" i="22"/>
  <c r="AG1459" i="22" s="1"/>
  <c r="AA468" i="23"/>
  <c r="AA1374" i="22"/>
  <c r="AG1374" i="22" s="1"/>
  <c r="AA647" i="22"/>
  <c r="AG647" i="22" s="1"/>
  <c r="AA639" i="22"/>
  <c r="AG639" i="22" s="1"/>
  <c r="AA631" i="22"/>
  <c r="AG631" i="22" s="1"/>
  <c r="AA460" i="23"/>
  <c r="AA307" i="23"/>
  <c r="AA258" i="23"/>
  <c r="AA250" i="23"/>
  <c r="AA242" i="23"/>
  <c r="AA210" i="23"/>
  <c r="AA473" i="23"/>
  <c r="AA387" i="23"/>
  <c r="AA195" i="23"/>
  <c r="AA1456" i="22"/>
  <c r="AG1456" i="22" s="1"/>
  <c r="AA400" i="23"/>
  <c r="AA205" i="23"/>
  <c r="AA390" i="23"/>
  <c r="AA477" i="23"/>
  <c r="AA825" i="23"/>
  <c r="AA821" i="23"/>
  <c r="AA817" i="23"/>
  <c r="AA813" i="23"/>
  <c r="AA809" i="23"/>
  <c r="AA805" i="23"/>
  <c r="AA801" i="23"/>
  <c r="AA797" i="23"/>
  <c r="AA793" i="23"/>
  <c r="AA789" i="23"/>
  <c r="AA785" i="23"/>
  <c r="AA781" i="23"/>
  <c r="AA777" i="23"/>
  <c r="AA773" i="23"/>
  <c r="AA769" i="23"/>
  <c r="AA765" i="23"/>
  <c r="AA761" i="23"/>
  <c r="AA757" i="23"/>
  <c r="AA753" i="23"/>
  <c r="AA749" i="23"/>
  <c r="AA745" i="23"/>
  <c r="AA741" i="23"/>
  <c r="AA737" i="23"/>
  <c r="AA733" i="23"/>
  <c r="AA2076" i="22"/>
  <c r="AG2076" i="22" s="1"/>
  <c r="AA2060" i="22"/>
  <c r="AG2060" i="22" s="1"/>
  <c r="AA2044" i="22"/>
  <c r="AG2044" i="22" s="1"/>
  <c r="AA2028" i="22"/>
  <c r="AG2028" i="22" s="1"/>
  <c r="AA2012" i="22"/>
  <c r="AG2012" i="22" s="1"/>
  <c r="AA1996" i="22"/>
  <c r="AG1996" i="22" s="1"/>
  <c r="AA2079" i="22"/>
  <c r="AG2079" i="22" s="1"/>
  <c r="AA2063" i="22"/>
  <c r="AG2063" i="22" s="1"/>
  <c r="AA2047" i="22"/>
  <c r="AG2047" i="22" s="1"/>
  <c r="AA2031" i="22"/>
  <c r="AG2031" i="22" s="1"/>
  <c r="AA2015" i="22"/>
  <c r="AG2015" i="22" s="1"/>
  <c r="AA1999" i="22"/>
  <c r="AG1999" i="22" s="1"/>
  <c r="AA2082" i="22"/>
  <c r="AG2082" i="22" s="1"/>
  <c r="AA2066" i="22"/>
  <c r="AG2066" i="22" s="1"/>
  <c r="AA2050" i="22"/>
  <c r="AG2050" i="22" s="1"/>
  <c r="AA2034" i="22"/>
  <c r="AG2034" i="22" s="1"/>
  <c r="AA2018" i="22"/>
  <c r="AG2018" i="22" s="1"/>
  <c r="AA2002" i="22"/>
  <c r="AG2002" i="22" s="1"/>
  <c r="AA1986" i="22"/>
  <c r="AG1986" i="22" s="1"/>
  <c r="AA2069" i="22"/>
  <c r="AG2069" i="22" s="1"/>
  <c r="AA2053" i="22"/>
  <c r="AG2053" i="22" s="1"/>
  <c r="AA2037" i="22"/>
  <c r="AG2037" i="22" s="1"/>
  <c r="AA828" i="23"/>
  <c r="AA824" i="23"/>
  <c r="AA820" i="23"/>
  <c r="AA816" i="23"/>
  <c r="AA812" i="23"/>
  <c r="AA808" i="23"/>
  <c r="AA804" i="23"/>
  <c r="AA800" i="23"/>
  <c r="AA796" i="23"/>
  <c r="AA792" i="23"/>
  <c r="AA788" i="23"/>
  <c r="AA784" i="23"/>
  <c r="AA780" i="23"/>
  <c r="AA776" i="23"/>
  <c r="AA772" i="23"/>
  <c r="AA768" i="23"/>
  <c r="AA764" i="23"/>
  <c r="AA760" i="23"/>
  <c r="AA756" i="23"/>
  <c r="AA752" i="23"/>
  <c r="AA748" i="23"/>
  <c r="AA744" i="23"/>
  <c r="AA740" i="23"/>
  <c r="AA736" i="23"/>
  <c r="AA732" i="23"/>
  <c r="AA2072" i="22"/>
  <c r="AG2072" i="22" s="1"/>
  <c r="AA2056" i="22"/>
  <c r="AG2056" i="22" s="1"/>
  <c r="AA2040" i="22"/>
  <c r="AG2040" i="22" s="1"/>
  <c r="AA2024" i="22"/>
  <c r="AG2024" i="22" s="1"/>
  <c r="AA2008" i="22"/>
  <c r="AG2008" i="22" s="1"/>
  <c r="AA1992" i="22"/>
  <c r="AG1992" i="22" s="1"/>
  <c r="AA2075" i="22"/>
  <c r="AG2075" i="22" s="1"/>
  <c r="AA2059" i="22"/>
  <c r="AG2059" i="22" s="1"/>
  <c r="AA2043" i="22"/>
  <c r="AG2043" i="22" s="1"/>
  <c r="AA2027" i="22"/>
  <c r="AG2027" i="22" s="1"/>
  <c r="AA2011" i="22"/>
  <c r="AG2011" i="22" s="1"/>
  <c r="AA1995" i="22"/>
  <c r="AG1995" i="22" s="1"/>
  <c r="AA2078" i="22"/>
  <c r="AG2078" i="22" s="1"/>
  <c r="AA2062" i="22"/>
  <c r="AG2062" i="22" s="1"/>
  <c r="AA2046" i="22"/>
  <c r="AG2046" i="22" s="1"/>
  <c r="AA2030" i="22"/>
  <c r="AG2030" i="22" s="1"/>
  <c r="AA2014" i="22"/>
  <c r="AG2014" i="22" s="1"/>
  <c r="AA1998" i="22"/>
  <c r="AG1998" i="22" s="1"/>
  <c r="AA2081" i="22"/>
  <c r="AG2081" i="22" s="1"/>
  <c r="AA2065" i="22"/>
  <c r="AG2065" i="22" s="1"/>
  <c r="AA2049" i="22"/>
  <c r="AG2049" i="22" s="1"/>
  <c r="AA2033" i="22"/>
  <c r="AG2033" i="22" s="1"/>
  <c r="AA864" i="23"/>
  <c r="AA863" i="23"/>
  <c r="AA2541" i="22"/>
  <c r="AG2541" i="22" s="1"/>
  <c r="AA2514" i="22"/>
  <c r="AG2514" i="22" s="1"/>
  <c r="AA860" i="23"/>
  <c r="AA837" i="23"/>
  <c r="AA869" i="23"/>
  <c r="AA2532" i="22"/>
  <c r="AG2532" i="22" s="1"/>
  <c r="AA846" i="23"/>
  <c r="AA2507" i="22"/>
  <c r="AG2507" i="22" s="1"/>
  <c r="AA2539" i="22"/>
  <c r="AG2539" i="22" s="1"/>
  <c r="J9" i="31"/>
  <c r="J11" i="31"/>
  <c r="L11" i="31" s="1"/>
  <c r="J7" i="31"/>
  <c r="AA457" i="23"/>
  <c r="AA461" i="23"/>
  <c r="AA471" i="23"/>
  <c r="AA200" i="23"/>
  <c r="AA204" i="23"/>
  <c r="AA380" i="23"/>
  <c r="AA396" i="23"/>
  <c r="AA463" i="23"/>
  <c r="AA1440" i="22"/>
  <c r="AG1440" i="22" s="1"/>
  <c r="AA1432" i="22"/>
  <c r="AG1432" i="22" s="1"/>
  <c r="AA194" i="23"/>
  <c r="AA198" i="23"/>
  <c r="AA383" i="23"/>
  <c r="AA399" i="23"/>
  <c r="AA467" i="23"/>
  <c r="AA1515" i="22"/>
  <c r="AG1515" i="22" s="1"/>
  <c r="AA209" i="23"/>
  <c r="AA213" i="23"/>
  <c r="AA217" i="23"/>
  <c r="AA245" i="23"/>
  <c r="AA249" i="23"/>
  <c r="AA253" i="23"/>
  <c r="AA257" i="23"/>
  <c r="AA261" i="23"/>
  <c r="AA265" i="23"/>
  <c r="AA389" i="23"/>
  <c r="AA405" i="23"/>
  <c r="AA475" i="23"/>
  <c r="AA1523" i="22"/>
  <c r="AG1523" i="22" s="1"/>
  <c r="AA634" i="22"/>
  <c r="AG634" i="22" s="1"/>
  <c r="AA638" i="22"/>
  <c r="AG638" i="22" s="1"/>
  <c r="AA642" i="22"/>
  <c r="AG642" i="22" s="1"/>
  <c r="AA646" i="22"/>
  <c r="AG646" i="22" s="1"/>
  <c r="AA650" i="22"/>
  <c r="AG650" i="22" s="1"/>
  <c r="AA654" i="22"/>
  <c r="AG654" i="22" s="1"/>
  <c r="AA1452" i="22"/>
  <c r="AG1452" i="22" s="1"/>
  <c r="AA464" i="23"/>
  <c r="AA480" i="23"/>
  <c r="AA1451" i="22"/>
  <c r="AG1451" i="22" s="1"/>
  <c r="AA1527" i="22"/>
  <c r="AG1527" i="22" s="1"/>
  <c r="AA1438" i="22"/>
  <c r="AG1438" i="22" s="1"/>
  <c r="AA1454" i="22"/>
  <c r="AG1454" i="22" s="1"/>
  <c r="AA1522" i="22"/>
  <c r="AG1522" i="22" s="1"/>
  <c r="AA679" i="22"/>
  <c r="AG679" i="22" s="1"/>
  <c r="AA683" i="22"/>
  <c r="AG683" i="22" s="1"/>
  <c r="AA687" i="22"/>
  <c r="AG687" i="22" s="1"/>
  <c r="AA691" i="22"/>
  <c r="AG691" i="22" s="1"/>
  <c r="AA695" i="22"/>
  <c r="AG695" i="22" s="1"/>
  <c r="AA699" i="22"/>
  <c r="AG699" i="22" s="1"/>
  <c r="AA1362" i="22"/>
  <c r="AG1362" i="22" s="1"/>
  <c r="AA1445" i="22"/>
  <c r="AG1445" i="22" s="1"/>
  <c r="AA1513" i="22"/>
  <c r="AG1513" i="22" s="1"/>
  <c r="AA1529" i="22"/>
  <c r="AG1529" i="22" s="1"/>
  <c r="AA848" i="23"/>
  <c r="AA2542" i="22"/>
  <c r="AG2542" i="22" s="1"/>
  <c r="AA847" i="23"/>
  <c r="AA839" i="23"/>
  <c r="AA2525" i="22"/>
  <c r="AG2525" i="22" s="1"/>
  <c r="AA851" i="23"/>
  <c r="AA2506" i="22"/>
  <c r="AG2506" i="22" s="1"/>
  <c r="AA2538" i="22"/>
  <c r="AG2538" i="22" s="1"/>
  <c r="AA852" i="23"/>
  <c r="AA2521" i="22"/>
  <c r="AG2521" i="22" s="1"/>
  <c r="AA833" i="23"/>
  <c r="AA849" i="23"/>
  <c r="AA865" i="23"/>
  <c r="AA2512" i="22"/>
  <c r="AG2512" i="22" s="1"/>
  <c r="AA2528" i="22"/>
  <c r="AG2528" i="22" s="1"/>
  <c r="AA2544" i="22"/>
  <c r="AG2544" i="22" s="1"/>
  <c r="AA842" i="23"/>
  <c r="AA858" i="23"/>
  <c r="AA874" i="23"/>
  <c r="AA2519" i="22"/>
  <c r="AG2519" i="22" s="1"/>
  <c r="AA2535" i="22"/>
  <c r="AG2535" i="22" s="1"/>
  <c r="AA382" i="23"/>
  <c r="AA386" i="23"/>
  <c r="AA378" i="23"/>
  <c r="AA466" i="23"/>
  <c r="AA202" i="23"/>
  <c r="AA206" i="23"/>
  <c r="AA388" i="23"/>
  <c r="AA404" i="23"/>
  <c r="AA474" i="23"/>
  <c r="AA1524" i="22"/>
  <c r="AG1524" i="22" s="1"/>
  <c r="AA1516" i="22"/>
  <c r="AG1516" i="22" s="1"/>
  <c r="AA196" i="23"/>
  <c r="AA320" i="23"/>
  <c r="AA391" i="23"/>
  <c r="AA458" i="23"/>
  <c r="AA478" i="23"/>
  <c r="AA207" i="23"/>
  <c r="AA211" i="23"/>
  <c r="AA215" i="23"/>
  <c r="AA243" i="23"/>
  <c r="AA247" i="23"/>
  <c r="AA251" i="23"/>
  <c r="AA255" i="23"/>
  <c r="AA259" i="23"/>
  <c r="AA263" i="23"/>
  <c r="AA381" i="23"/>
  <c r="AA397" i="23"/>
  <c r="AA465" i="23"/>
  <c r="AA1439" i="22"/>
  <c r="AG1439" i="22" s="1"/>
  <c r="AA632" i="22"/>
  <c r="AG632" i="22" s="1"/>
  <c r="AA636" i="22"/>
  <c r="AG636" i="22" s="1"/>
  <c r="AA640" i="22"/>
  <c r="AG640" i="22" s="1"/>
  <c r="AA644" i="22"/>
  <c r="AG644" i="22" s="1"/>
  <c r="AA648" i="22"/>
  <c r="AG648" i="22" s="1"/>
  <c r="AA652" i="22"/>
  <c r="AG652" i="22" s="1"/>
  <c r="AA1436" i="22"/>
  <c r="AG1436" i="22" s="1"/>
  <c r="AA1520" i="22"/>
  <c r="AG1520" i="22" s="1"/>
  <c r="AA472" i="23"/>
  <c r="AA1435" i="22"/>
  <c r="AG1435" i="22" s="1"/>
  <c r="AA1511" i="22"/>
  <c r="AG1511" i="22" s="1"/>
  <c r="AA1363" i="22"/>
  <c r="AG1363" i="22" s="1"/>
  <c r="AA1446" i="22"/>
  <c r="AG1446" i="22" s="1"/>
  <c r="AA1514" i="22"/>
  <c r="AG1514" i="22" s="1"/>
  <c r="AA1530" i="22"/>
  <c r="AG1530" i="22" s="1"/>
  <c r="AA681" i="22"/>
  <c r="AG681" i="22" s="1"/>
  <c r="AA685" i="22"/>
  <c r="AG685" i="22" s="1"/>
  <c r="AA689" i="22"/>
  <c r="AG689" i="22" s="1"/>
  <c r="AA693" i="22"/>
  <c r="AG693" i="22" s="1"/>
  <c r="AA697" i="22"/>
  <c r="AG697" i="22" s="1"/>
  <c r="AA701" i="22"/>
  <c r="AG701" i="22" s="1"/>
  <c r="AA1437" i="22"/>
  <c r="AG1437" i="22" s="1"/>
  <c r="AA1453" i="22"/>
  <c r="AG1453" i="22" s="1"/>
  <c r="AA1521" i="22"/>
  <c r="AG1521" i="22" s="1"/>
  <c r="AA840" i="23"/>
  <c r="AA2510" i="22"/>
  <c r="AG2510" i="22" s="1"/>
  <c r="AA2518" i="22"/>
  <c r="AG2518" i="22" s="1"/>
  <c r="AA2517" i="22"/>
  <c r="AG2517" i="22" s="1"/>
  <c r="AA871" i="23"/>
  <c r="AA835" i="23"/>
  <c r="AA867" i="23"/>
  <c r="AA2522" i="22"/>
  <c r="AG2522" i="22" s="1"/>
  <c r="AA836" i="23"/>
  <c r="AA868" i="23"/>
  <c r="AA2537" i="22"/>
  <c r="AG2537" i="22" s="1"/>
  <c r="AA841" i="23"/>
  <c r="AA857" i="23"/>
  <c r="AA873" i="23"/>
  <c r="AA2520" i="22"/>
  <c r="AG2520" i="22" s="1"/>
  <c r="AA2536" i="22"/>
  <c r="AG2536" i="22" s="1"/>
  <c r="AA834" i="23"/>
  <c r="AA850" i="23"/>
  <c r="AA866" i="23"/>
  <c r="AA2511" i="22"/>
  <c r="AG2511" i="22" s="1"/>
  <c r="AA2527" i="22"/>
  <c r="AG2527" i="22" s="1"/>
  <c r="AA2543" i="22"/>
  <c r="AG2543" i="22" s="1"/>
  <c r="AG1248" i="22"/>
  <c r="L1248" i="26"/>
  <c r="O1248" i="26" s="1"/>
  <c r="AG137" i="22"/>
  <c r="L137" i="26"/>
  <c r="O137" i="26" s="1"/>
  <c r="AG1975" i="22"/>
  <c r="L1975" i="26"/>
  <c r="O1975" i="26" s="1"/>
  <c r="AG324" i="22"/>
  <c r="L324" i="26"/>
  <c r="O324" i="26" s="1"/>
  <c r="AG570" i="22"/>
  <c r="L570" i="26"/>
  <c r="O570" i="26" s="1"/>
  <c r="AG846" i="22"/>
  <c r="L846" i="26"/>
  <c r="O846" i="26" s="1"/>
  <c r="AG928" i="22"/>
  <c r="L928" i="26"/>
  <c r="O928" i="26" s="1"/>
  <c r="AG1110" i="22"/>
  <c r="L1110" i="26"/>
  <c r="O1110" i="26" s="1"/>
  <c r="AG1264" i="22"/>
  <c r="L1264" i="26"/>
  <c r="O1264" i="26" s="1"/>
  <c r="AG1351" i="22"/>
  <c r="L1351" i="26"/>
  <c r="O1351" i="26" s="1"/>
  <c r="AG329" i="22"/>
  <c r="L329" i="26"/>
  <c r="O329" i="26" s="1"/>
  <c r="AG496" i="22"/>
  <c r="L496" i="26"/>
  <c r="O496" i="26" s="1"/>
  <c r="AG591" i="22"/>
  <c r="L591" i="26"/>
  <c r="O591" i="26" s="1"/>
  <c r="AG837" i="22"/>
  <c r="L837" i="26"/>
  <c r="O837" i="26" s="1"/>
  <c r="AG896" i="22"/>
  <c r="L896" i="26"/>
  <c r="O896" i="26" s="1"/>
  <c r="AG1107" i="22"/>
  <c r="L1107" i="26"/>
  <c r="O1107" i="26" s="1"/>
  <c r="AG1143" i="22"/>
  <c r="L1143" i="26"/>
  <c r="O1143" i="26" s="1"/>
  <c r="AG1293" i="22"/>
  <c r="L1293" i="26"/>
  <c r="O1293" i="26" s="1"/>
  <c r="AG345" i="22"/>
  <c r="L345" i="26"/>
  <c r="O345" i="26" s="1"/>
  <c r="AG492" i="22"/>
  <c r="L492" i="26"/>
  <c r="O492" i="26" s="1"/>
  <c r="AG568" i="22"/>
  <c r="L568" i="26"/>
  <c r="O568" i="26" s="1"/>
  <c r="AG848" i="22"/>
  <c r="L848" i="26"/>
  <c r="O848" i="26" s="1"/>
  <c r="AG887" i="22"/>
  <c r="L887" i="26"/>
  <c r="O887" i="26" s="1"/>
  <c r="AG930" i="22"/>
  <c r="L930" i="26"/>
  <c r="O930" i="26" s="1"/>
  <c r="AG1100" i="22"/>
  <c r="L1100" i="26"/>
  <c r="O1100" i="26" s="1"/>
  <c r="AG1135" i="22"/>
  <c r="L1135" i="26"/>
  <c r="O1135" i="26" s="1"/>
  <c r="AG1258" i="22"/>
  <c r="L1258" i="26"/>
  <c r="O1258" i="26" s="1"/>
  <c r="AG1274" i="22"/>
  <c r="L1274" i="26"/>
  <c r="O1274" i="26" s="1"/>
  <c r="AG1290" i="22"/>
  <c r="L1290" i="26"/>
  <c r="O1290" i="26" s="1"/>
  <c r="AG1341" i="22"/>
  <c r="L1341" i="26"/>
  <c r="O1341" i="26" s="1"/>
  <c r="AG319" i="22"/>
  <c r="L319" i="26"/>
  <c r="O319" i="26" s="1"/>
  <c r="AG337" i="22"/>
  <c r="L337" i="26"/>
  <c r="O337" i="26" s="1"/>
  <c r="AG356" i="22"/>
  <c r="L356" i="26"/>
  <c r="O356" i="26" s="1"/>
  <c r="AG483" i="22"/>
  <c r="L483" i="26"/>
  <c r="O483" i="26" s="1"/>
  <c r="AG503" i="22"/>
  <c r="L503" i="26"/>
  <c r="O503" i="26" s="1"/>
  <c r="AG577" i="22"/>
  <c r="L577" i="26"/>
  <c r="O577" i="26" s="1"/>
  <c r="AG593" i="22"/>
  <c r="L593" i="26"/>
  <c r="O593" i="26" s="1"/>
  <c r="AG835" i="22"/>
  <c r="L835" i="26"/>
  <c r="O835" i="26" s="1"/>
  <c r="AG854" i="22"/>
  <c r="L854" i="26"/>
  <c r="O854" i="26" s="1"/>
  <c r="AG874" i="22"/>
  <c r="L874" i="26"/>
  <c r="O874" i="26" s="1"/>
  <c r="AG893" i="22"/>
  <c r="L893" i="26"/>
  <c r="O893" i="26" s="1"/>
  <c r="AG935" i="22"/>
  <c r="L935" i="26"/>
  <c r="O935" i="26" s="1"/>
  <c r="AG1105" i="22"/>
  <c r="L1105" i="26"/>
  <c r="O1105" i="26" s="1"/>
  <c r="AG1141" i="22"/>
  <c r="L1141" i="26"/>
  <c r="O1141" i="26" s="1"/>
  <c r="AG1279" i="22"/>
  <c r="L1279" i="26"/>
  <c r="O1279" i="26" s="1"/>
  <c r="AG1350" i="22"/>
  <c r="L1350" i="26"/>
  <c r="O1350" i="26" s="1"/>
  <c r="AG1634" i="22"/>
  <c r="L1634" i="26"/>
  <c r="O1634" i="26" s="1"/>
  <c r="AG1623" i="22"/>
  <c r="L1623" i="26"/>
  <c r="O1623" i="26" s="1"/>
  <c r="AG1655" i="22"/>
  <c r="L1655" i="26"/>
  <c r="O1655" i="26" s="1"/>
  <c r="AG1644" i="22"/>
  <c r="L1644" i="26"/>
  <c r="O1644" i="26" s="1"/>
  <c r="AG1629" i="22"/>
  <c r="L1629" i="26"/>
  <c r="O1629" i="26" s="1"/>
  <c r="AG1661" i="22"/>
  <c r="L1661" i="26"/>
  <c r="O1661" i="26" s="1"/>
  <c r="AG1690" i="22"/>
  <c r="L1690" i="26"/>
  <c r="O1690" i="26" s="1"/>
  <c r="AG1722" i="22"/>
  <c r="L1722" i="26"/>
  <c r="O1722" i="26" s="1"/>
  <c r="AG1683" i="22"/>
  <c r="L1683" i="26"/>
  <c r="O1683" i="26" s="1"/>
  <c r="AG1699" i="22"/>
  <c r="L1699" i="26"/>
  <c r="O1699" i="26" s="1"/>
  <c r="AG1731" i="22"/>
  <c r="L1731" i="26"/>
  <c r="O1731" i="26" s="1"/>
  <c r="AG1692" i="22"/>
  <c r="L1692" i="26"/>
  <c r="O1692" i="26" s="1"/>
  <c r="AG1724" i="22"/>
  <c r="L1724" i="26"/>
  <c r="O1724" i="26" s="1"/>
  <c r="AG1685" i="22"/>
  <c r="L1685" i="26"/>
  <c r="O1685" i="26" s="1"/>
  <c r="AG1717" i="22"/>
  <c r="L1717" i="26"/>
  <c r="O1717" i="26" s="1"/>
  <c r="AG1983" i="22"/>
  <c r="L1983" i="26"/>
  <c r="O1983" i="26" s="1"/>
  <c r="AG2329" i="22"/>
  <c r="L2329" i="26"/>
  <c r="O2329" i="26" s="1"/>
  <c r="AG2377" i="22"/>
  <c r="L2377" i="26"/>
  <c r="O2377" i="26" s="1"/>
  <c r="AG2425" i="22"/>
  <c r="L2425" i="26"/>
  <c r="O2425" i="26" s="1"/>
  <c r="AG2473" i="22"/>
  <c r="L2473" i="26"/>
  <c r="O2473" i="26" s="1"/>
  <c r="AG2306" i="22"/>
  <c r="L2306" i="26"/>
  <c r="O2306" i="26" s="1"/>
  <c r="AG2354" i="22"/>
  <c r="L2354" i="26"/>
  <c r="O2354" i="26" s="1"/>
  <c r="AG2402" i="22"/>
  <c r="L2402" i="26"/>
  <c r="O2402" i="26" s="1"/>
  <c r="AG2450" i="22"/>
  <c r="L2450" i="26"/>
  <c r="O2450" i="26" s="1"/>
  <c r="AG2498" i="22"/>
  <c r="L2498" i="26"/>
  <c r="O2498" i="26" s="1"/>
  <c r="AG2299" i="22"/>
  <c r="L2299" i="26"/>
  <c r="O2299" i="26" s="1"/>
  <c r="AG2331" i="22"/>
  <c r="L2331" i="26"/>
  <c r="O2331" i="26" s="1"/>
  <c r="AG2379" i="22"/>
  <c r="L2379" i="26"/>
  <c r="O2379" i="26" s="1"/>
  <c r="AG2427" i="22"/>
  <c r="L2427" i="26"/>
  <c r="O2427" i="26" s="1"/>
  <c r="AG2475" i="22"/>
  <c r="L2475" i="26"/>
  <c r="O2475" i="26" s="1"/>
  <c r="AG2304" i="22"/>
  <c r="L2304" i="26"/>
  <c r="O2304" i="26" s="1"/>
  <c r="AG2320" i="22"/>
  <c r="L2320" i="26"/>
  <c r="O2320" i="26" s="1"/>
  <c r="AG2368" i="22"/>
  <c r="L2368" i="26"/>
  <c r="O2368" i="26" s="1"/>
  <c r="AG2432" i="22"/>
  <c r="L2432" i="26"/>
  <c r="O2432" i="26" s="1"/>
  <c r="AG2480" i="22"/>
  <c r="L2480" i="26"/>
  <c r="O2480" i="26" s="1"/>
  <c r="AG2145" i="22"/>
  <c r="L2145" i="26"/>
  <c r="O2145" i="26" s="1"/>
  <c r="AG2134" i="22"/>
  <c r="L2134" i="26"/>
  <c r="O2134" i="26" s="1"/>
  <c r="AG2119" i="22"/>
  <c r="L2119" i="26"/>
  <c r="O2119" i="26" s="1"/>
  <c r="AG2195" i="22"/>
  <c r="L2195" i="26"/>
  <c r="O2195" i="26" s="1"/>
  <c r="AG2136" i="22"/>
  <c r="L2136" i="26"/>
  <c r="O2136" i="26" s="1"/>
  <c r="AG2093" i="22"/>
  <c r="L2093" i="26"/>
  <c r="O2093" i="26" s="1"/>
  <c r="AG2225" i="22"/>
  <c r="L2225" i="26"/>
  <c r="O2225" i="26" s="1"/>
  <c r="AG2106" i="22"/>
  <c r="L2106" i="26"/>
  <c r="O2106" i="26" s="1"/>
  <c r="AG2091" i="22"/>
  <c r="L2091" i="26"/>
  <c r="O2091" i="26" s="1"/>
  <c r="AG2223" i="22"/>
  <c r="L2223" i="26"/>
  <c r="O2223" i="26" s="1"/>
  <c r="AG2104" i="22"/>
  <c r="L2104" i="26"/>
  <c r="O2104" i="26" s="1"/>
  <c r="AG2220" i="22"/>
  <c r="L2220" i="26"/>
  <c r="O2220" i="26" s="1"/>
  <c r="AG1566" i="22"/>
  <c r="L1566" i="26"/>
  <c r="O1566" i="26" s="1"/>
  <c r="AG1571" i="22"/>
  <c r="L1571" i="26"/>
  <c r="O1571" i="26" s="1"/>
  <c r="AG1572" i="22"/>
  <c r="L1572" i="26"/>
  <c r="O1572" i="26" s="1"/>
  <c r="AG1577" i="22"/>
  <c r="L1577" i="26"/>
  <c r="O1577" i="26" s="1"/>
  <c r="AG2261" i="22"/>
  <c r="L2261" i="26"/>
  <c r="O2261" i="26" s="1"/>
  <c r="AG2210" i="22"/>
  <c r="L2210" i="26"/>
  <c r="O2210" i="26" s="1"/>
  <c r="AG2163" i="22"/>
  <c r="L2163" i="26"/>
  <c r="O2163" i="26" s="1"/>
  <c r="AG2283" i="22"/>
  <c r="L2283" i="26"/>
  <c r="O2283" i="26" s="1"/>
  <c r="AG2260" i="22"/>
  <c r="L2260" i="26"/>
  <c r="O2260" i="26" s="1"/>
  <c r="AG282" i="22"/>
  <c r="L282" i="26"/>
  <c r="O282" i="26" s="1"/>
  <c r="AG433" i="22"/>
  <c r="L433" i="26"/>
  <c r="O433" i="26" s="1"/>
  <c r="AG542" i="22"/>
  <c r="L542" i="26"/>
  <c r="O542" i="26" s="1"/>
  <c r="AG731" i="22"/>
  <c r="L731" i="26"/>
  <c r="O731" i="26" s="1"/>
  <c r="AG980" i="22"/>
  <c r="L980" i="26"/>
  <c r="O980" i="26" s="1"/>
  <c r="AG1151" i="22"/>
  <c r="L1151" i="26"/>
  <c r="O1151" i="26" s="1"/>
  <c r="AG1304" i="22"/>
  <c r="L1304" i="26"/>
  <c r="O1304" i="26" s="1"/>
  <c r="AG257" i="22"/>
  <c r="L257" i="26"/>
  <c r="O257" i="26" s="1"/>
  <c r="AG404" i="22"/>
  <c r="L404" i="26"/>
  <c r="O404" i="26" s="1"/>
  <c r="AG535" i="22"/>
  <c r="L535" i="26"/>
  <c r="O535" i="26" s="1"/>
  <c r="AG737" i="22"/>
  <c r="L737" i="26"/>
  <c r="O737" i="26" s="1"/>
  <c r="AG981" i="22"/>
  <c r="L981" i="26"/>
  <c r="O981" i="26" s="1"/>
  <c r="AG1152" i="22"/>
  <c r="L1152" i="26"/>
  <c r="O1152" i="26" s="1"/>
  <c r="AG1184" i="22"/>
  <c r="L1184" i="26"/>
  <c r="O1184" i="26" s="1"/>
  <c r="AG289" i="22"/>
  <c r="L289" i="26"/>
  <c r="O289" i="26" s="1"/>
  <c r="AG532" i="22"/>
  <c r="L532" i="26"/>
  <c r="O532" i="26" s="1"/>
  <c r="AG738" i="22"/>
  <c r="L738" i="26"/>
  <c r="O738" i="26" s="1"/>
  <c r="AG906" i="22"/>
  <c r="L906" i="26"/>
  <c r="O906" i="26" s="1"/>
  <c r="AG1149" i="22"/>
  <c r="L1149" i="26"/>
  <c r="O1149" i="26" s="1"/>
  <c r="AG1302" i="22"/>
  <c r="L1302" i="26"/>
  <c r="O1302" i="26" s="1"/>
  <c r="AG271" i="22"/>
  <c r="L271" i="26"/>
  <c r="O271" i="26" s="1"/>
  <c r="AG426" i="22"/>
  <c r="L426" i="26"/>
  <c r="O426" i="26" s="1"/>
  <c r="AG553" i="22"/>
  <c r="L553" i="26"/>
  <c r="O553" i="26" s="1"/>
  <c r="AG744" i="22"/>
  <c r="L744" i="26"/>
  <c r="O744" i="26" s="1"/>
  <c r="AG991" i="22"/>
  <c r="L991" i="26"/>
  <c r="O991" i="26" s="1"/>
  <c r="AG1158" i="22"/>
  <c r="L1158" i="26"/>
  <c r="O1158" i="26" s="1"/>
  <c r="AG2569" i="22"/>
  <c r="L2569" i="26"/>
  <c r="O2569" i="26" s="1"/>
  <c r="AG2570" i="22"/>
  <c r="L2570" i="26"/>
  <c r="O2570" i="26" s="1"/>
  <c r="AG2560" i="22"/>
  <c r="L2560" i="26"/>
  <c r="O2560" i="26" s="1"/>
  <c r="AG1610" i="22"/>
  <c r="L1610" i="26"/>
  <c r="O1610" i="26" s="1"/>
  <c r="AG1619" i="22"/>
  <c r="L1619" i="26"/>
  <c r="O1619" i="26" s="1"/>
  <c r="AG1581" i="22"/>
  <c r="L1581" i="26"/>
  <c r="O1581" i="26" s="1"/>
  <c r="AG94" i="22"/>
  <c r="L94" i="26"/>
  <c r="O94" i="26" s="1"/>
  <c r="AG80" i="22"/>
  <c r="L80" i="26"/>
  <c r="O80" i="26" s="1"/>
  <c r="AG141" i="22"/>
  <c r="L141" i="26"/>
  <c r="O141" i="26" s="1"/>
  <c r="AG90" i="22"/>
  <c r="L90" i="26"/>
  <c r="O90" i="26" s="1"/>
  <c r="AG76" i="22"/>
  <c r="L76" i="26"/>
  <c r="O76" i="26" s="1"/>
  <c r="AG139" i="22"/>
  <c r="L139" i="26"/>
  <c r="O139" i="26" s="1"/>
  <c r="AG1973" i="22"/>
  <c r="L1973" i="26"/>
  <c r="O1973" i="26" s="1"/>
  <c r="AG1978" i="22"/>
  <c r="L1978" i="26"/>
  <c r="O1978" i="26" s="1"/>
  <c r="AG1979" i="22"/>
  <c r="L1979" i="26"/>
  <c r="O1979" i="26" s="1"/>
  <c r="AG312" i="22"/>
  <c r="L312" i="26"/>
  <c r="O312" i="26" s="1"/>
  <c r="AG328" i="22"/>
  <c r="L328" i="26"/>
  <c r="O328" i="26" s="1"/>
  <c r="AG347" i="22"/>
  <c r="L347" i="26"/>
  <c r="O347" i="26" s="1"/>
  <c r="AG475" i="22"/>
  <c r="L475" i="26"/>
  <c r="O475" i="26" s="1"/>
  <c r="AG495" i="22"/>
  <c r="L495" i="26"/>
  <c r="O495" i="26" s="1"/>
  <c r="AG514" i="22"/>
  <c r="L514" i="26"/>
  <c r="O514" i="26" s="1"/>
  <c r="AG574" i="22"/>
  <c r="L574" i="26"/>
  <c r="O574" i="26" s="1"/>
  <c r="AG590" i="22"/>
  <c r="L590" i="26"/>
  <c r="O590" i="26" s="1"/>
  <c r="AG606" i="22"/>
  <c r="L701" i="26"/>
  <c r="O701" i="26" s="1"/>
  <c r="L697" i="26"/>
  <c r="O697" i="26" s="1"/>
  <c r="L693" i="26"/>
  <c r="L689" i="26"/>
  <c r="L685" i="26"/>
  <c r="O685" i="26" s="1"/>
  <c r="L681" i="26"/>
  <c r="O681" i="26" s="1"/>
  <c r="L702" i="26"/>
  <c r="L698" i="26"/>
  <c r="O698" i="26" s="1"/>
  <c r="L694" i="26"/>
  <c r="O694" i="26" s="1"/>
  <c r="L690" i="26"/>
  <c r="O690" i="26" s="1"/>
  <c r="L686" i="26"/>
  <c r="L682" i="26"/>
  <c r="O682" i="26" s="1"/>
  <c r="L696" i="26"/>
  <c r="O696" i="26" s="1"/>
  <c r="L688" i="26"/>
  <c r="L680" i="26"/>
  <c r="L652" i="26"/>
  <c r="L648" i="26"/>
  <c r="O648" i="26" s="1"/>
  <c r="L644" i="26"/>
  <c r="O644" i="26" s="1"/>
  <c r="L640" i="26"/>
  <c r="L636" i="26"/>
  <c r="L632" i="26"/>
  <c r="O632" i="26" s="1"/>
  <c r="L699" i="26"/>
  <c r="L695" i="26"/>
  <c r="O695" i="26" s="1"/>
  <c r="L692" i="26"/>
  <c r="O692" i="26" s="1"/>
  <c r="L651" i="26"/>
  <c r="L649" i="26"/>
  <c r="L642" i="26"/>
  <c r="O642" i="26" s="1"/>
  <c r="L635" i="26"/>
  <c r="O635" i="26" s="1"/>
  <c r="L633" i="26"/>
  <c r="L691" i="26"/>
  <c r="O691" i="26" s="1"/>
  <c r="L687" i="26"/>
  <c r="L684" i="26"/>
  <c r="L654" i="26"/>
  <c r="L647" i="26"/>
  <c r="O647" i="26" s="1"/>
  <c r="L645" i="26"/>
  <c r="O645" i="26" s="1"/>
  <c r="L638" i="26"/>
  <c r="L631" i="26"/>
  <c r="O631" i="26" s="1"/>
  <c r="L683" i="26"/>
  <c r="L679" i="26"/>
  <c r="O679" i="26" s="1"/>
  <c r="L650" i="26"/>
  <c r="L643" i="26"/>
  <c r="O643" i="26" s="1"/>
  <c r="L641" i="26"/>
  <c r="L634" i="26"/>
  <c r="L700" i="26"/>
  <c r="O700" i="26" s="1"/>
  <c r="L653" i="26"/>
  <c r="L646" i="26"/>
  <c r="L639" i="26"/>
  <c r="L637" i="26"/>
  <c r="O637" i="26" s="1"/>
  <c r="L606" i="26"/>
  <c r="O606" i="26" s="1"/>
  <c r="AG851" i="22"/>
  <c r="L851" i="26"/>
  <c r="O851" i="26" s="1"/>
  <c r="AG870" i="22"/>
  <c r="L870" i="26"/>
  <c r="O870" i="26" s="1"/>
  <c r="AG889" i="22"/>
  <c r="L889" i="26"/>
  <c r="O889" i="26" s="1"/>
  <c r="AG932" i="22"/>
  <c r="L932" i="26"/>
  <c r="O932" i="26" s="1"/>
  <c r="AG1098" i="22"/>
  <c r="L1098" i="26"/>
  <c r="O1098" i="26" s="1"/>
  <c r="AG1114" i="22"/>
  <c r="L1114" i="26"/>
  <c r="O1114" i="26" s="1"/>
  <c r="AG1133" i="22"/>
  <c r="L1133" i="26"/>
  <c r="O1133" i="26" s="1"/>
  <c r="AG1252" i="22"/>
  <c r="L1252" i="26"/>
  <c r="O1252" i="26" s="1"/>
  <c r="AG1268" i="22"/>
  <c r="L1268" i="26"/>
  <c r="O1268" i="26" s="1"/>
  <c r="AG1284" i="22"/>
  <c r="L1284" i="26"/>
  <c r="O1284" i="26" s="1"/>
  <c r="AG1339" i="22"/>
  <c r="L1339" i="26"/>
  <c r="O1339" i="26" s="1"/>
  <c r="AG1355" i="22"/>
  <c r="L1534" i="26"/>
  <c r="O1534" i="26" s="1"/>
  <c r="L1530" i="26"/>
  <c r="O1530" i="26" s="1"/>
  <c r="L1526" i="26"/>
  <c r="L1522" i="26"/>
  <c r="L1518" i="26"/>
  <c r="O1518" i="26" s="1"/>
  <c r="L1514" i="26"/>
  <c r="L1531" i="26"/>
  <c r="O1531" i="26" s="1"/>
  <c r="L1523" i="26"/>
  <c r="O1523" i="26" s="1"/>
  <c r="L1515" i="26"/>
  <c r="O1515" i="26" s="1"/>
  <c r="L1456" i="26"/>
  <c r="O1456" i="26" s="1"/>
  <c r="L1452" i="26"/>
  <c r="O1452" i="26" s="1"/>
  <c r="L1448" i="26"/>
  <c r="L1444" i="26"/>
  <c r="O1444" i="26" s="1"/>
  <c r="L1440" i="26"/>
  <c r="L1436" i="26"/>
  <c r="L1432" i="26"/>
  <c r="L1364" i="26"/>
  <c r="O1364" i="26" s="1"/>
  <c r="L1535" i="26"/>
  <c r="O1535" i="26" s="1"/>
  <c r="L1528" i="26"/>
  <c r="L1521" i="26"/>
  <c r="O1521" i="26" s="1"/>
  <c r="L1519" i="26"/>
  <c r="O1519" i="26" s="1"/>
  <c r="L1512" i="26"/>
  <c r="L1457" i="26"/>
  <c r="O1457" i="26" s="1"/>
  <c r="L1449" i="26"/>
  <c r="L1441" i="26"/>
  <c r="O1441" i="26" s="1"/>
  <c r="L1433" i="26"/>
  <c r="O1433" i="26" s="1"/>
  <c r="L1363" i="26"/>
  <c r="O1363" i="26" s="1"/>
  <c r="L1533" i="26"/>
  <c r="L1524" i="26"/>
  <c r="O1524" i="26" s="1"/>
  <c r="L1517" i="26"/>
  <c r="L1458" i="26"/>
  <c r="L1455" i="26"/>
  <c r="L1450" i="26"/>
  <c r="O1450" i="26" s="1"/>
  <c r="L1447" i="26"/>
  <c r="L1442" i="26"/>
  <c r="O1442" i="26" s="1"/>
  <c r="L1439" i="26"/>
  <c r="O1439" i="26" s="1"/>
  <c r="L1434" i="26"/>
  <c r="O1434" i="26" s="1"/>
  <c r="L1361" i="26"/>
  <c r="L1529" i="26"/>
  <c r="L1513" i="26"/>
  <c r="O1513" i="26" s="1"/>
  <c r="L1374" i="26"/>
  <c r="L1532" i="26"/>
  <c r="O1532" i="26" s="1"/>
  <c r="L1459" i="26"/>
  <c r="L1451" i="26"/>
  <c r="L1443" i="26"/>
  <c r="O1443" i="26" s="1"/>
  <c r="L1435" i="26"/>
  <c r="L1520" i="26"/>
  <c r="O1520" i="26" s="1"/>
  <c r="L1511" i="26"/>
  <c r="L1453" i="26"/>
  <c r="L1445" i="26"/>
  <c r="O1445" i="26" s="1"/>
  <c r="L1437" i="26"/>
  <c r="L1525" i="26"/>
  <c r="O1525" i="26" s="1"/>
  <c r="L1516" i="26"/>
  <c r="O1516" i="26" s="1"/>
  <c r="L1527" i="26"/>
  <c r="O1527" i="26" s="1"/>
  <c r="L1446" i="26"/>
  <c r="L1438" i="26"/>
  <c r="O1438" i="26" s="1"/>
  <c r="L1454" i="26"/>
  <c r="O1454" i="26" s="1"/>
  <c r="L1362" i="26"/>
  <c r="L1355" i="26"/>
  <c r="O1355" i="26" s="1"/>
  <c r="AG317" i="22"/>
  <c r="L317" i="26"/>
  <c r="O317" i="26" s="1"/>
  <c r="AG334" i="22"/>
  <c r="L334" i="26"/>
  <c r="O334" i="26" s="1"/>
  <c r="AG353" i="22"/>
  <c r="L353" i="26"/>
  <c r="O353" i="26" s="1"/>
  <c r="AG481" i="22"/>
  <c r="L481" i="26"/>
  <c r="O481" i="26" s="1"/>
  <c r="AG501" i="22"/>
  <c r="L501" i="26"/>
  <c r="O501" i="26" s="1"/>
  <c r="AG520" i="22"/>
  <c r="L520" i="26"/>
  <c r="O520" i="26" s="1"/>
  <c r="AG579" i="22"/>
  <c r="L579" i="26"/>
  <c r="O579" i="26" s="1"/>
  <c r="AG595" i="22"/>
  <c r="L595" i="26"/>
  <c r="O595" i="26" s="1"/>
  <c r="AG842" i="22"/>
  <c r="L842" i="26"/>
  <c r="O842" i="26" s="1"/>
  <c r="AG862" i="22"/>
  <c r="L862" i="26"/>
  <c r="O862" i="26" s="1"/>
  <c r="AG881" i="22"/>
  <c r="L881" i="26"/>
  <c r="O881" i="26" s="1"/>
  <c r="AG925" i="22"/>
  <c r="L925" i="26"/>
  <c r="O925" i="26" s="1"/>
  <c r="AG1095" i="22"/>
  <c r="L1095" i="26"/>
  <c r="O1095" i="26" s="1"/>
  <c r="AG1111" i="22"/>
  <c r="L1111" i="26"/>
  <c r="O1111" i="26" s="1"/>
  <c r="AG1129" i="22"/>
  <c r="L1129" i="26"/>
  <c r="O1129" i="26" s="1"/>
  <c r="AG1249" i="22"/>
  <c r="L1249" i="26"/>
  <c r="O1249" i="26" s="1"/>
  <c r="AG1265" i="22"/>
  <c r="L1265" i="26"/>
  <c r="O1265" i="26" s="1"/>
  <c r="AG1281" i="22"/>
  <c r="L1281" i="26"/>
  <c r="O1281" i="26" s="1"/>
  <c r="AG1297" i="22"/>
  <c r="L1297" i="26"/>
  <c r="O1297" i="26" s="1"/>
  <c r="AG1352" i="22"/>
  <c r="L1352" i="26"/>
  <c r="O1352" i="26" s="1"/>
  <c r="AG314" i="22"/>
  <c r="L314" i="26"/>
  <c r="O314" i="26" s="1"/>
  <c r="AG330" i="22"/>
  <c r="L330" i="26"/>
  <c r="O330" i="26" s="1"/>
  <c r="AG350" i="22"/>
  <c r="L350" i="26"/>
  <c r="O350" i="26" s="1"/>
  <c r="AG477" i="22"/>
  <c r="L477" i="26"/>
  <c r="O477" i="26" s="1"/>
  <c r="AG497" i="22"/>
  <c r="L497" i="26"/>
  <c r="O497" i="26" s="1"/>
  <c r="AG517" i="22"/>
  <c r="L517" i="26"/>
  <c r="O517" i="26" s="1"/>
  <c r="AG572" i="22"/>
  <c r="L572" i="26"/>
  <c r="O572" i="26" s="1"/>
  <c r="AG588" i="22"/>
  <c r="L588" i="26"/>
  <c r="O588" i="26" s="1"/>
  <c r="AG604" i="22"/>
  <c r="L604" i="26"/>
  <c r="O604" i="26" s="1"/>
  <c r="AG853" i="22"/>
  <c r="L853" i="26"/>
  <c r="O853" i="26" s="1"/>
  <c r="AG873" i="22"/>
  <c r="L873" i="26"/>
  <c r="O873" i="26" s="1"/>
  <c r="AG892" i="22"/>
  <c r="L892" i="26"/>
  <c r="O892" i="26" s="1"/>
  <c r="AG934" i="22"/>
  <c r="L934" i="26"/>
  <c r="O934" i="26" s="1"/>
  <c r="AG1104" i="22"/>
  <c r="L1104" i="26"/>
  <c r="O1104" i="26" s="1"/>
  <c r="AG1121" i="22"/>
  <c r="L1121" i="26"/>
  <c r="O1121" i="26" s="1"/>
  <c r="AG1140" i="22"/>
  <c r="L1140" i="26"/>
  <c r="O1140" i="26" s="1"/>
  <c r="AG1262" i="22"/>
  <c r="L1262" i="26"/>
  <c r="O1262" i="26" s="1"/>
  <c r="AG1278" i="22"/>
  <c r="L1278" i="26"/>
  <c r="O1278" i="26" s="1"/>
  <c r="AG1294" i="22"/>
  <c r="L1294" i="26"/>
  <c r="O1294" i="26" s="1"/>
  <c r="AG1345" i="22"/>
  <c r="L1345" i="26"/>
  <c r="O1345" i="26" s="1"/>
  <c r="AG323" i="22"/>
  <c r="L323" i="26"/>
  <c r="O323" i="26" s="1"/>
  <c r="AG341" i="22"/>
  <c r="L341" i="26"/>
  <c r="O341" i="26" s="1"/>
  <c r="AG360" i="22"/>
  <c r="L360" i="26"/>
  <c r="O360" i="26" s="1"/>
  <c r="AG488" i="22"/>
  <c r="L488" i="26"/>
  <c r="O488" i="26" s="1"/>
  <c r="AG508" i="22"/>
  <c r="L508" i="26"/>
  <c r="O508" i="26" s="1"/>
  <c r="AG528" i="22"/>
  <c r="L528" i="26"/>
  <c r="O528" i="26" s="1"/>
  <c r="AG581" i="22"/>
  <c r="L581" i="26"/>
  <c r="O581" i="26" s="1"/>
  <c r="AG597" i="22"/>
  <c r="L597" i="26"/>
  <c r="O597" i="26" s="1"/>
  <c r="AG840" i="22"/>
  <c r="L840" i="26"/>
  <c r="O840" i="26" s="1"/>
  <c r="AG859" i="22"/>
  <c r="L859" i="26"/>
  <c r="O859" i="26" s="1"/>
  <c r="AG879" i="22"/>
  <c r="L879" i="26"/>
  <c r="O879" i="26" s="1"/>
  <c r="AG898" i="22"/>
  <c r="L898" i="26"/>
  <c r="O898" i="26" s="1"/>
  <c r="AG1093" i="22"/>
  <c r="L1093" i="26"/>
  <c r="O1093" i="26" s="1"/>
  <c r="AG1109" i="22"/>
  <c r="L1109" i="26"/>
  <c r="O1109" i="26" s="1"/>
  <c r="AG1126" i="22"/>
  <c r="L1126" i="26"/>
  <c r="O1126" i="26" s="1"/>
  <c r="AG1251" i="22"/>
  <c r="L1251" i="26"/>
  <c r="O1251" i="26" s="1"/>
  <c r="AG1267" i="22"/>
  <c r="L1267" i="26"/>
  <c r="O1267" i="26" s="1"/>
  <c r="AG1283" i="22"/>
  <c r="L1283" i="26"/>
  <c r="O1283" i="26" s="1"/>
  <c r="AG1338" i="22"/>
  <c r="L1338" i="26"/>
  <c r="O1338" i="26" s="1"/>
  <c r="AG1354" i="22"/>
  <c r="L1354" i="26"/>
  <c r="O1354" i="26" s="1"/>
  <c r="AG1622" i="22"/>
  <c r="L1622" i="26"/>
  <c r="O1622" i="26" s="1"/>
  <c r="AG1638" i="22"/>
  <c r="L1638" i="26"/>
  <c r="O1638" i="26" s="1"/>
  <c r="AG1654" i="22"/>
  <c r="L1654" i="26"/>
  <c r="O1654" i="26" s="1"/>
  <c r="AG1627" i="22"/>
  <c r="L1627" i="26"/>
  <c r="O1627" i="26" s="1"/>
  <c r="AG1643" i="22"/>
  <c r="L1643" i="26"/>
  <c r="O1643" i="26" s="1"/>
  <c r="AG1659" i="22"/>
  <c r="L1659" i="26"/>
  <c r="O1659" i="26" s="1"/>
  <c r="AG1632" i="22"/>
  <c r="L1632" i="26"/>
  <c r="O1632" i="26" s="1"/>
  <c r="AG1648" i="22"/>
  <c r="L1648" i="26"/>
  <c r="O1648" i="26" s="1"/>
  <c r="AG1664" i="22"/>
  <c r="L1664" i="26"/>
  <c r="O1664" i="26" s="1"/>
  <c r="AG1633" i="22"/>
  <c r="L1633" i="26"/>
  <c r="O1633" i="26" s="1"/>
  <c r="AG1649" i="22"/>
  <c r="L1649" i="26"/>
  <c r="O1649" i="26" s="1"/>
  <c r="AG1665" i="22"/>
  <c r="L1665" i="26"/>
  <c r="O1665" i="26" s="1"/>
  <c r="AG1678" i="22"/>
  <c r="L1678" i="26"/>
  <c r="O1678" i="26" s="1"/>
  <c r="AG1694" i="22"/>
  <c r="L1694" i="26"/>
  <c r="O1694" i="26" s="1"/>
  <c r="AG1710" i="22"/>
  <c r="L1710" i="26"/>
  <c r="O1710" i="26" s="1"/>
  <c r="AG1726" i="22"/>
  <c r="L1726" i="26"/>
  <c r="O1726" i="26" s="1"/>
  <c r="AG1671" i="22"/>
  <c r="L1671" i="26"/>
  <c r="O1671" i="26" s="1"/>
  <c r="AG1687" i="22"/>
  <c r="L1687" i="26"/>
  <c r="O1687" i="26" s="1"/>
  <c r="AG1703" i="22"/>
  <c r="L1703" i="26"/>
  <c r="O1703" i="26" s="1"/>
  <c r="AG1719" i="22"/>
  <c r="L1719" i="26"/>
  <c r="O1719" i="26" s="1"/>
  <c r="AG1735" i="22"/>
  <c r="L1735" i="26"/>
  <c r="O1735" i="26" s="1"/>
  <c r="AG1680" i="22"/>
  <c r="L1680" i="26"/>
  <c r="O1680" i="26" s="1"/>
  <c r="AG1696" i="22"/>
  <c r="L1696" i="26"/>
  <c r="O1696" i="26" s="1"/>
  <c r="AG1712" i="22"/>
  <c r="L1712" i="26"/>
  <c r="O1712" i="26" s="1"/>
  <c r="AG1728" i="22"/>
  <c r="L1728" i="26"/>
  <c r="O1728" i="26" s="1"/>
  <c r="AG1673" i="22"/>
  <c r="L1673" i="26"/>
  <c r="O1673" i="26" s="1"/>
  <c r="AG1689" i="22"/>
  <c r="L1689" i="26"/>
  <c r="O1689" i="26" s="1"/>
  <c r="AG1705" i="22"/>
  <c r="L1705" i="26"/>
  <c r="O1705" i="26" s="1"/>
  <c r="AG1721" i="22"/>
  <c r="L1721" i="26"/>
  <c r="O1721" i="26" s="1"/>
  <c r="AG1737" i="22"/>
  <c r="L1737" i="26"/>
  <c r="O1737" i="26" s="1"/>
  <c r="AG1984" i="22"/>
  <c r="L1984" i="26"/>
  <c r="O1984" i="26" s="1"/>
  <c r="AG2285" i="22"/>
  <c r="L2285" i="26"/>
  <c r="O2285" i="26" s="1"/>
  <c r="AG2301" i="22"/>
  <c r="L2301" i="26"/>
  <c r="O2301" i="26" s="1"/>
  <c r="AG2317" i="22"/>
  <c r="L2317" i="26"/>
  <c r="O2317" i="26" s="1"/>
  <c r="AG2333" i="22"/>
  <c r="L2333" i="26"/>
  <c r="O2333" i="26" s="1"/>
  <c r="AG2349" i="22"/>
  <c r="L2349" i="26"/>
  <c r="O2349" i="26" s="1"/>
  <c r="AG2365" i="22"/>
  <c r="L2365" i="26"/>
  <c r="O2365" i="26" s="1"/>
  <c r="AG2381" i="22"/>
  <c r="L2381" i="26"/>
  <c r="O2381" i="26" s="1"/>
  <c r="AG2397" i="22"/>
  <c r="L2397" i="26"/>
  <c r="O2397" i="26" s="1"/>
  <c r="AG2413" i="22"/>
  <c r="L2413" i="26"/>
  <c r="O2413" i="26" s="1"/>
  <c r="AG2429" i="22"/>
  <c r="L2429" i="26"/>
  <c r="O2429" i="26" s="1"/>
  <c r="AG2445" i="22"/>
  <c r="L2445" i="26"/>
  <c r="O2445" i="26" s="1"/>
  <c r="AG2461" i="22"/>
  <c r="L2461" i="26"/>
  <c r="O2461" i="26" s="1"/>
  <c r="AG2477" i="22"/>
  <c r="L2477" i="26"/>
  <c r="O2477" i="26" s="1"/>
  <c r="AG2493" i="22"/>
  <c r="L2493" i="26"/>
  <c r="O2493" i="26" s="1"/>
  <c r="AG2294" i="22"/>
  <c r="L2294" i="26"/>
  <c r="O2294" i="26" s="1"/>
  <c r="AG2310" i="22"/>
  <c r="L2310" i="26"/>
  <c r="O2310" i="26" s="1"/>
  <c r="AG2326" i="22"/>
  <c r="L2326" i="26"/>
  <c r="O2326" i="26" s="1"/>
  <c r="AG2342" i="22"/>
  <c r="L2342" i="26"/>
  <c r="O2342" i="26" s="1"/>
  <c r="AG2358" i="22"/>
  <c r="L2358" i="26"/>
  <c r="O2358" i="26" s="1"/>
  <c r="AG2374" i="22"/>
  <c r="L2374" i="26"/>
  <c r="O2374" i="26" s="1"/>
  <c r="AG2390" i="22"/>
  <c r="L2390" i="26"/>
  <c r="O2390" i="26" s="1"/>
  <c r="AG2406" i="22"/>
  <c r="L2406" i="26"/>
  <c r="O2406" i="26" s="1"/>
  <c r="AG2422" i="22"/>
  <c r="L2422" i="26"/>
  <c r="O2422" i="26" s="1"/>
  <c r="AG2438" i="22"/>
  <c r="L2438" i="26"/>
  <c r="O2438" i="26" s="1"/>
  <c r="AG2454" i="22"/>
  <c r="L2454" i="26"/>
  <c r="O2454" i="26" s="1"/>
  <c r="AG2470" i="22"/>
  <c r="L2470" i="26"/>
  <c r="O2470" i="26" s="1"/>
  <c r="AG2486" i="22"/>
  <c r="L2486" i="26"/>
  <c r="O2486" i="26" s="1"/>
  <c r="AG2502" i="22"/>
  <c r="L2502" i="26"/>
  <c r="O2502" i="26" s="1"/>
  <c r="AG2287" i="22"/>
  <c r="L2287" i="26"/>
  <c r="O2287" i="26" s="1"/>
  <c r="AG2303" i="22"/>
  <c r="L2303" i="26"/>
  <c r="O2303" i="26" s="1"/>
  <c r="AG2319" i="22"/>
  <c r="L2319" i="26"/>
  <c r="O2319" i="26" s="1"/>
  <c r="AG2335" i="22"/>
  <c r="L2335" i="26"/>
  <c r="O2335" i="26" s="1"/>
  <c r="AG2351" i="22"/>
  <c r="L2351" i="26"/>
  <c r="O2351" i="26" s="1"/>
  <c r="AG2367" i="22"/>
  <c r="L2367" i="26"/>
  <c r="O2367" i="26" s="1"/>
  <c r="AG2383" i="22"/>
  <c r="L2383" i="26"/>
  <c r="O2383" i="26" s="1"/>
  <c r="AG2399" i="22"/>
  <c r="L2399" i="26"/>
  <c r="O2399" i="26" s="1"/>
  <c r="AG2415" i="22"/>
  <c r="L2415" i="26"/>
  <c r="O2415" i="26" s="1"/>
  <c r="AG2431" i="22"/>
  <c r="L2431" i="26"/>
  <c r="O2431" i="26" s="1"/>
  <c r="AG2447" i="22"/>
  <c r="L2447" i="26"/>
  <c r="O2447" i="26" s="1"/>
  <c r="AG2463" i="22"/>
  <c r="L2463" i="26"/>
  <c r="O2463" i="26" s="1"/>
  <c r="AG2479" i="22"/>
  <c r="L2479" i="26"/>
  <c r="O2479" i="26" s="1"/>
  <c r="AG2495" i="22"/>
  <c r="L2495" i="26"/>
  <c r="O2495" i="26" s="1"/>
  <c r="AG2292" i="22"/>
  <c r="L2292" i="26"/>
  <c r="O2292" i="26" s="1"/>
  <c r="AG2308" i="22"/>
  <c r="L2308" i="26"/>
  <c r="O2308" i="26" s="1"/>
  <c r="AG2324" i="22"/>
  <c r="L2324" i="26"/>
  <c r="O2324" i="26" s="1"/>
  <c r="AG2340" i="22"/>
  <c r="L2340" i="26"/>
  <c r="O2340" i="26" s="1"/>
  <c r="AG2356" i="22"/>
  <c r="L2356" i="26"/>
  <c r="O2356" i="26" s="1"/>
  <c r="AG2372" i="22"/>
  <c r="L2372" i="26"/>
  <c r="O2372" i="26" s="1"/>
  <c r="AG2388" i="22"/>
  <c r="L2388" i="26"/>
  <c r="O2388" i="26" s="1"/>
  <c r="AG2404" i="22"/>
  <c r="L2404" i="26"/>
  <c r="O2404" i="26" s="1"/>
  <c r="AG2420" i="22"/>
  <c r="L2420" i="26"/>
  <c r="O2420" i="26" s="1"/>
  <c r="AG2436" i="22"/>
  <c r="L2436" i="26"/>
  <c r="O2436" i="26" s="1"/>
  <c r="AG2452" i="22"/>
  <c r="L2452" i="26"/>
  <c r="O2452" i="26" s="1"/>
  <c r="AG2468" i="22"/>
  <c r="L2468" i="26"/>
  <c r="O2468" i="26" s="1"/>
  <c r="AG2484" i="22"/>
  <c r="L2484" i="26"/>
  <c r="O2484" i="26" s="1"/>
  <c r="AG2500" i="22"/>
  <c r="L2500" i="26"/>
  <c r="O2500" i="26" s="1"/>
  <c r="AG2133" i="22"/>
  <c r="L2133" i="26"/>
  <c r="O2133" i="26" s="1"/>
  <c r="AG2193" i="22"/>
  <c r="L2193" i="26"/>
  <c r="O2193" i="26" s="1"/>
  <c r="AG2245" i="22"/>
  <c r="L2245" i="26"/>
  <c r="O2245" i="26" s="1"/>
  <c r="AG2122" i="22"/>
  <c r="L2122" i="26"/>
  <c r="O2122" i="26" s="1"/>
  <c r="AG2138" i="22"/>
  <c r="L2138" i="26"/>
  <c r="O2138" i="26" s="1"/>
  <c r="AG2202" i="22"/>
  <c r="L2202" i="26"/>
  <c r="O2202" i="26" s="1"/>
  <c r="AG2250" i="22"/>
  <c r="L2250" i="26"/>
  <c r="O2250" i="26" s="1"/>
  <c r="AG2123" i="22"/>
  <c r="L2123" i="26"/>
  <c r="O2123" i="26" s="1"/>
  <c r="AG2139" i="22"/>
  <c r="L2139" i="26"/>
  <c r="O2139" i="26" s="1"/>
  <c r="AG2199" i="22"/>
  <c r="L2199" i="26"/>
  <c r="O2199" i="26" s="1"/>
  <c r="AG2251" i="22"/>
  <c r="L2251" i="26"/>
  <c r="O2251" i="26" s="1"/>
  <c r="AG2124" i="22"/>
  <c r="L2124" i="26"/>
  <c r="O2124" i="26" s="1"/>
  <c r="AG2140" i="22"/>
  <c r="L2140" i="26"/>
  <c r="O2140" i="26" s="1"/>
  <c r="AG2200" i="22"/>
  <c r="L2200" i="26"/>
  <c r="O2200" i="26" s="1"/>
  <c r="AG2252" i="22"/>
  <c r="L2252" i="26"/>
  <c r="O2252" i="26" s="1"/>
  <c r="AG2097" i="22"/>
  <c r="L2097" i="26"/>
  <c r="O2097" i="26" s="1"/>
  <c r="AG2113" i="22"/>
  <c r="L2113" i="26"/>
  <c r="O2113" i="26" s="1"/>
  <c r="AG2189" i="22"/>
  <c r="L2189" i="26"/>
  <c r="O2189" i="26" s="1"/>
  <c r="AG2229" i="22"/>
  <c r="L2229" i="26"/>
  <c r="O2229" i="26" s="1"/>
  <c r="AG2094" i="22"/>
  <c r="L2094" i="26"/>
  <c r="O2094" i="26" s="1"/>
  <c r="AG2110" i="22"/>
  <c r="L2110" i="26"/>
  <c r="O2110" i="26" s="1"/>
  <c r="AG2186" i="22"/>
  <c r="L2186" i="26"/>
  <c r="O2186" i="26" s="1"/>
  <c r="AG2226" i="22"/>
  <c r="L2226" i="26"/>
  <c r="O2226" i="26" s="1"/>
  <c r="AG2095" i="22"/>
  <c r="L2095" i="26"/>
  <c r="O2095" i="26" s="1"/>
  <c r="AG2111" i="22"/>
  <c r="L2111" i="26"/>
  <c r="O2111" i="26" s="1"/>
  <c r="AG2187" i="22"/>
  <c r="L2187" i="26"/>
  <c r="O2187" i="26" s="1"/>
  <c r="AG2227" i="22"/>
  <c r="L2227" i="26"/>
  <c r="O2227" i="26" s="1"/>
  <c r="AG2092" i="22"/>
  <c r="L2092" i="26"/>
  <c r="O2092" i="26" s="1"/>
  <c r="AG2108" i="22"/>
  <c r="L2108" i="26"/>
  <c r="O2108" i="26" s="1"/>
  <c r="AG2184" i="22"/>
  <c r="L2184" i="26"/>
  <c r="O2184" i="26" s="1"/>
  <c r="AG2224" i="22"/>
  <c r="L2224" i="26"/>
  <c r="O2224" i="26" s="1"/>
  <c r="AG1915" i="22"/>
  <c r="L1969" i="26"/>
  <c r="O1969" i="26" s="1"/>
  <c r="L1967" i="26"/>
  <c r="O1967" i="26" s="1"/>
  <c r="L1965" i="26"/>
  <c r="O1965" i="26" s="1"/>
  <c r="L1963" i="26"/>
  <c r="O1963" i="26" s="1"/>
  <c r="L1961" i="26"/>
  <c r="O1961" i="26" s="1"/>
  <c r="L1959" i="26"/>
  <c r="O1959" i="26" s="1"/>
  <c r="L1957" i="26"/>
  <c r="O1957" i="26" s="1"/>
  <c r="L1955" i="26"/>
  <c r="O1955" i="26" s="1"/>
  <c r="L1953" i="26"/>
  <c r="O1953" i="26" s="1"/>
  <c r="L1951" i="26"/>
  <c r="O1951" i="26" s="1"/>
  <c r="L1949" i="26"/>
  <c r="O1949" i="26" s="1"/>
  <c r="L1947" i="26"/>
  <c r="O1947" i="26" s="1"/>
  <c r="L1945" i="26"/>
  <c r="O1945" i="26" s="1"/>
  <c r="L1943" i="26"/>
  <c r="O1943" i="26" s="1"/>
  <c r="L1941" i="26"/>
  <c r="O1941" i="26" s="1"/>
  <c r="L1939" i="26"/>
  <c r="O1939" i="26" s="1"/>
  <c r="L1937" i="26"/>
  <c r="O1937" i="26" s="1"/>
  <c r="L1935" i="26"/>
  <c r="O1935" i="26" s="1"/>
  <c r="L1933" i="26"/>
  <c r="O1933" i="26" s="1"/>
  <c r="L1931" i="26"/>
  <c r="O1931" i="26" s="1"/>
  <c r="L1929" i="26"/>
  <c r="O1929" i="26" s="1"/>
  <c r="L1927" i="26"/>
  <c r="O1927" i="26" s="1"/>
  <c r="L1925" i="26"/>
  <c r="O1925" i="26" s="1"/>
  <c r="L1923" i="26"/>
  <c r="O1923" i="26" s="1"/>
  <c r="L1921" i="26"/>
  <c r="O1921" i="26" s="1"/>
  <c r="L1919" i="26"/>
  <c r="O1919" i="26" s="1"/>
  <c r="L1917" i="26"/>
  <c r="O1917" i="26" s="1"/>
  <c r="L1915" i="26"/>
  <c r="O1915" i="26" s="1"/>
  <c r="L1913" i="26"/>
  <c r="O1913" i="26" s="1"/>
  <c r="L1911" i="26"/>
  <c r="O1911" i="26" s="1"/>
  <c r="L1909" i="26"/>
  <c r="O1909" i="26" s="1"/>
  <c r="L1907" i="26"/>
  <c r="O1907" i="26" s="1"/>
  <c r="L1905" i="26"/>
  <c r="O1905" i="26" s="1"/>
  <c r="L1903" i="26"/>
  <c r="O1903" i="26" s="1"/>
  <c r="L1901" i="26"/>
  <c r="O1901" i="26" s="1"/>
  <c r="L1899" i="26"/>
  <c r="O1899" i="26" s="1"/>
  <c r="L1897" i="26"/>
  <c r="O1897" i="26" s="1"/>
  <c r="L1895" i="26"/>
  <c r="O1895" i="26" s="1"/>
  <c r="L1893" i="26"/>
  <c r="O1893" i="26" s="1"/>
  <c r="L1891" i="26"/>
  <c r="O1891" i="26" s="1"/>
  <c r="L1889" i="26"/>
  <c r="O1889" i="26" s="1"/>
  <c r="L1887" i="26"/>
  <c r="O1887" i="26" s="1"/>
  <c r="L1885" i="26"/>
  <c r="O1885" i="26" s="1"/>
  <c r="L1883" i="26"/>
  <c r="O1883" i="26" s="1"/>
  <c r="L1881" i="26"/>
  <c r="O1881" i="26" s="1"/>
  <c r="L1879" i="26"/>
  <c r="O1879" i="26" s="1"/>
  <c r="L1877" i="26"/>
  <c r="O1877" i="26" s="1"/>
  <c r="L1875" i="26"/>
  <c r="O1875" i="26" s="1"/>
  <c r="L1873" i="26"/>
  <c r="O1873" i="26" s="1"/>
  <c r="L1871" i="26"/>
  <c r="O1871" i="26" s="1"/>
  <c r="L1869" i="26"/>
  <c r="O1869" i="26" s="1"/>
  <c r="L1867" i="26"/>
  <c r="O1867" i="26" s="1"/>
  <c r="L1865" i="26"/>
  <c r="O1865" i="26" s="1"/>
  <c r="L1863" i="26"/>
  <c r="O1863" i="26" s="1"/>
  <c r="L1970" i="26"/>
  <c r="O1970" i="26" s="1"/>
  <c r="L1962" i="26"/>
  <c r="O1962" i="26" s="1"/>
  <c r="L1954" i="26"/>
  <c r="O1954" i="26" s="1"/>
  <c r="L1946" i="26"/>
  <c r="O1946" i="26" s="1"/>
  <c r="L1938" i="26"/>
  <c r="O1938" i="26" s="1"/>
  <c r="L1930" i="26"/>
  <c r="O1930" i="26" s="1"/>
  <c r="L1922" i="26"/>
  <c r="O1922" i="26" s="1"/>
  <c r="L1914" i="26"/>
  <c r="O1914" i="26" s="1"/>
  <c r="L1906" i="26"/>
  <c r="O1906" i="26" s="1"/>
  <c r="L1898" i="26"/>
  <c r="O1898" i="26" s="1"/>
  <c r="L1890" i="26"/>
  <c r="O1890" i="26" s="1"/>
  <c r="L1882" i="26"/>
  <c r="O1882" i="26" s="1"/>
  <c r="L1874" i="26"/>
  <c r="O1874" i="26" s="1"/>
  <c r="L1866" i="26"/>
  <c r="O1866" i="26" s="1"/>
  <c r="L1861" i="26"/>
  <c r="O1861" i="26" s="1"/>
  <c r="L1859" i="26"/>
  <c r="O1859" i="26" s="1"/>
  <c r="L1857" i="26"/>
  <c r="O1857" i="26" s="1"/>
  <c r="L1855" i="26"/>
  <c r="O1855" i="26" s="1"/>
  <c r="L1853" i="26"/>
  <c r="O1853" i="26" s="1"/>
  <c r="L1851" i="26"/>
  <c r="O1851" i="26" s="1"/>
  <c r="L1849" i="26"/>
  <c r="O1849" i="26" s="1"/>
  <c r="L1847" i="26"/>
  <c r="O1847" i="26" s="1"/>
  <c r="L1845" i="26"/>
  <c r="O1845" i="26" s="1"/>
  <c r="L1843" i="26"/>
  <c r="O1843" i="26" s="1"/>
  <c r="L1841" i="26"/>
  <c r="O1841" i="26" s="1"/>
  <c r="L1839" i="26"/>
  <c r="O1839" i="26" s="1"/>
  <c r="L1837" i="26"/>
  <c r="O1837" i="26" s="1"/>
  <c r="L1835" i="26"/>
  <c r="O1835" i="26" s="1"/>
  <c r="L1833" i="26"/>
  <c r="O1833" i="26" s="1"/>
  <c r="L1831" i="26"/>
  <c r="O1831" i="26" s="1"/>
  <c r="L1829" i="26"/>
  <c r="O1829" i="26" s="1"/>
  <c r="L1827" i="26"/>
  <c r="O1827" i="26" s="1"/>
  <c r="L1825" i="26"/>
  <c r="O1825" i="26" s="1"/>
  <c r="L1823" i="26"/>
  <c r="O1823" i="26" s="1"/>
  <c r="L1821" i="26"/>
  <c r="O1821" i="26" s="1"/>
  <c r="L1819" i="26"/>
  <c r="O1819" i="26" s="1"/>
  <c r="L1817" i="26"/>
  <c r="O1817" i="26" s="1"/>
  <c r="L1815" i="26"/>
  <c r="O1815" i="26" s="1"/>
  <c r="L1813" i="26"/>
  <c r="O1813" i="26" s="1"/>
  <c r="L1811" i="26"/>
  <c r="O1811" i="26" s="1"/>
  <c r="L1809" i="26"/>
  <c r="O1809" i="26" s="1"/>
  <c r="L1807" i="26"/>
  <c r="O1807" i="26" s="1"/>
  <c r="L1805" i="26"/>
  <c r="O1805" i="26" s="1"/>
  <c r="L1803" i="26"/>
  <c r="O1803" i="26" s="1"/>
  <c r="L1801" i="26"/>
  <c r="O1801" i="26" s="1"/>
  <c r="L1799" i="26"/>
  <c r="O1799" i="26" s="1"/>
  <c r="L1797" i="26"/>
  <c r="O1797" i="26" s="1"/>
  <c r="L1795" i="26"/>
  <c r="O1795" i="26" s="1"/>
  <c r="L1793" i="26"/>
  <c r="O1793" i="26" s="1"/>
  <c r="L1791" i="26"/>
  <c r="O1791" i="26" s="1"/>
  <c r="L1789" i="26"/>
  <c r="O1789" i="26" s="1"/>
  <c r="L1787" i="26"/>
  <c r="O1787" i="26" s="1"/>
  <c r="L1785" i="26"/>
  <c r="O1785" i="26" s="1"/>
  <c r="L1783" i="26"/>
  <c r="O1783" i="26" s="1"/>
  <c r="L1781" i="26"/>
  <c r="O1781" i="26" s="1"/>
  <c r="L1779" i="26"/>
  <c r="O1779" i="26" s="1"/>
  <c r="L1777" i="26"/>
  <c r="O1777" i="26" s="1"/>
  <c r="L1775" i="26"/>
  <c r="O1775" i="26" s="1"/>
  <c r="L1773" i="26"/>
  <c r="O1773" i="26" s="1"/>
  <c r="L1771" i="26"/>
  <c r="O1771" i="26" s="1"/>
  <c r="L1769" i="26"/>
  <c r="O1769" i="26" s="1"/>
  <c r="L1964" i="26"/>
  <c r="O1964" i="26" s="1"/>
  <c r="L1956" i="26"/>
  <c r="O1956" i="26" s="1"/>
  <c r="L1948" i="26"/>
  <c r="O1948" i="26" s="1"/>
  <c r="L1940" i="26"/>
  <c r="O1940" i="26" s="1"/>
  <c r="L1932" i="26"/>
  <c r="O1932" i="26" s="1"/>
  <c r="L1924" i="26"/>
  <c r="O1924" i="26" s="1"/>
  <c r="L1916" i="26"/>
  <c r="O1916" i="26" s="1"/>
  <c r="L1908" i="26"/>
  <c r="O1908" i="26" s="1"/>
  <c r="L1900" i="26"/>
  <c r="O1900" i="26" s="1"/>
  <c r="L1892" i="26"/>
  <c r="O1892" i="26" s="1"/>
  <c r="L1884" i="26"/>
  <c r="O1884" i="26" s="1"/>
  <c r="L1876" i="26"/>
  <c r="O1876" i="26" s="1"/>
  <c r="L1868" i="26"/>
  <c r="O1868" i="26" s="1"/>
  <c r="L1966" i="26"/>
  <c r="O1966" i="26" s="1"/>
  <c r="L1958" i="26"/>
  <c r="O1958" i="26" s="1"/>
  <c r="L1950" i="26"/>
  <c r="O1950" i="26" s="1"/>
  <c r="L1942" i="26"/>
  <c r="O1942" i="26" s="1"/>
  <c r="L1934" i="26"/>
  <c r="O1934" i="26" s="1"/>
  <c r="L1926" i="26"/>
  <c r="O1926" i="26" s="1"/>
  <c r="L1918" i="26"/>
  <c r="O1918" i="26" s="1"/>
  <c r="L1910" i="26"/>
  <c r="O1910" i="26" s="1"/>
  <c r="L1902" i="26"/>
  <c r="O1902" i="26" s="1"/>
  <c r="L1894" i="26"/>
  <c r="O1894" i="26" s="1"/>
  <c r="L1886" i="26"/>
  <c r="O1886" i="26" s="1"/>
  <c r="L1878" i="26"/>
  <c r="O1878" i="26" s="1"/>
  <c r="L1870" i="26"/>
  <c r="O1870" i="26" s="1"/>
  <c r="L1862" i="26"/>
  <c r="O1862" i="26" s="1"/>
  <c r="L1860" i="26"/>
  <c r="O1860" i="26" s="1"/>
  <c r="L1858" i="26"/>
  <c r="O1858" i="26" s="1"/>
  <c r="L1856" i="26"/>
  <c r="O1856" i="26" s="1"/>
  <c r="L1854" i="26"/>
  <c r="O1854" i="26" s="1"/>
  <c r="L1852" i="26"/>
  <c r="O1852" i="26" s="1"/>
  <c r="L1850" i="26"/>
  <c r="O1850" i="26" s="1"/>
  <c r="L1848" i="26"/>
  <c r="O1848" i="26" s="1"/>
  <c r="L1846" i="26"/>
  <c r="O1846" i="26" s="1"/>
  <c r="L1844" i="26"/>
  <c r="O1844" i="26" s="1"/>
  <c r="L1842" i="26"/>
  <c r="O1842" i="26" s="1"/>
  <c r="L1840" i="26"/>
  <c r="O1840" i="26" s="1"/>
  <c r="L1838" i="26"/>
  <c r="O1838" i="26" s="1"/>
  <c r="L1836" i="26"/>
  <c r="O1836" i="26" s="1"/>
  <c r="L1834" i="26"/>
  <c r="O1834" i="26" s="1"/>
  <c r="L1832" i="26"/>
  <c r="O1832" i="26" s="1"/>
  <c r="L1830" i="26"/>
  <c r="O1830" i="26" s="1"/>
  <c r="L1828" i="26"/>
  <c r="O1828" i="26" s="1"/>
  <c r="L1826" i="26"/>
  <c r="O1826" i="26" s="1"/>
  <c r="L1824" i="26"/>
  <c r="O1824" i="26" s="1"/>
  <c r="L1822" i="26"/>
  <c r="O1822" i="26" s="1"/>
  <c r="L1820" i="26"/>
  <c r="O1820" i="26" s="1"/>
  <c r="L1818" i="26"/>
  <c r="O1818" i="26" s="1"/>
  <c r="L1816" i="26"/>
  <c r="O1816" i="26" s="1"/>
  <c r="L1814" i="26"/>
  <c r="O1814" i="26" s="1"/>
  <c r="L1812" i="26"/>
  <c r="O1812" i="26" s="1"/>
  <c r="L1810" i="26"/>
  <c r="O1810" i="26" s="1"/>
  <c r="L1808" i="26"/>
  <c r="O1808" i="26" s="1"/>
  <c r="L1806" i="26"/>
  <c r="O1806" i="26" s="1"/>
  <c r="L1804" i="26"/>
  <c r="O1804" i="26" s="1"/>
  <c r="L1802" i="26"/>
  <c r="O1802" i="26" s="1"/>
  <c r="L1800" i="26"/>
  <c r="O1800" i="26" s="1"/>
  <c r="L1798" i="26"/>
  <c r="O1798" i="26" s="1"/>
  <c r="L1796" i="26"/>
  <c r="O1796" i="26" s="1"/>
  <c r="L1794" i="26"/>
  <c r="O1794" i="26" s="1"/>
  <c r="L1792" i="26"/>
  <c r="O1792" i="26" s="1"/>
  <c r="L1790" i="26"/>
  <c r="O1790" i="26" s="1"/>
  <c r="L1788" i="26"/>
  <c r="O1788" i="26" s="1"/>
  <c r="L1786" i="26"/>
  <c r="O1786" i="26" s="1"/>
  <c r="L1784" i="26"/>
  <c r="O1784" i="26" s="1"/>
  <c r="L1782" i="26"/>
  <c r="O1782" i="26" s="1"/>
  <c r="L1780" i="26"/>
  <c r="O1780" i="26" s="1"/>
  <c r="L1778" i="26"/>
  <c r="O1778" i="26" s="1"/>
  <c r="L1776" i="26"/>
  <c r="O1776" i="26" s="1"/>
  <c r="L1774" i="26"/>
  <c r="O1774" i="26" s="1"/>
  <c r="L1772" i="26"/>
  <c r="O1772" i="26" s="1"/>
  <c r="L1960" i="26"/>
  <c r="O1960" i="26" s="1"/>
  <c r="L1928" i="26"/>
  <c r="O1928" i="26" s="1"/>
  <c r="L1896" i="26"/>
  <c r="O1896" i="26" s="1"/>
  <c r="L1864" i="26"/>
  <c r="O1864" i="26" s="1"/>
  <c r="L1767" i="26"/>
  <c r="O1767" i="26" s="1"/>
  <c r="L1765" i="26"/>
  <c r="O1765" i="26" s="1"/>
  <c r="L1763" i="26"/>
  <c r="O1763" i="26" s="1"/>
  <c r="L1761" i="26"/>
  <c r="O1761" i="26" s="1"/>
  <c r="L1759" i="26"/>
  <c r="O1759" i="26" s="1"/>
  <c r="L1757" i="26"/>
  <c r="O1757" i="26" s="1"/>
  <c r="L1755" i="26"/>
  <c r="O1755" i="26" s="1"/>
  <c r="L1753" i="26"/>
  <c r="O1753" i="26" s="1"/>
  <c r="L1751" i="26"/>
  <c r="O1751" i="26" s="1"/>
  <c r="L1749" i="26"/>
  <c r="O1749" i="26" s="1"/>
  <c r="L1747" i="26"/>
  <c r="O1747" i="26" s="1"/>
  <c r="L1745" i="26"/>
  <c r="O1745" i="26" s="1"/>
  <c r="L1743" i="26"/>
  <c r="O1743" i="26" s="1"/>
  <c r="L1741" i="26"/>
  <c r="O1741" i="26" s="1"/>
  <c r="L1739" i="26"/>
  <c r="O1739" i="26" s="1"/>
  <c r="L1968" i="26"/>
  <c r="O1968" i="26" s="1"/>
  <c r="L1936" i="26"/>
  <c r="O1936" i="26" s="1"/>
  <c r="L1904" i="26"/>
  <c r="O1904" i="26" s="1"/>
  <c r="L1872" i="26"/>
  <c r="O1872" i="26" s="1"/>
  <c r="L1944" i="26"/>
  <c r="O1944" i="26" s="1"/>
  <c r="L1912" i="26"/>
  <c r="O1912" i="26" s="1"/>
  <c r="L1880" i="26"/>
  <c r="O1880" i="26" s="1"/>
  <c r="L1768" i="26"/>
  <c r="O1768" i="26" s="1"/>
  <c r="L1766" i="26"/>
  <c r="O1766" i="26" s="1"/>
  <c r="L1764" i="26"/>
  <c r="O1764" i="26" s="1"/>
  <c r="L1762" i="26"/>
  <c r="O1762" i="26" s="1"/>
  <c r="L1760" i="26"/>
  <c r="O1760" i="26" s="1"/>
  <c r="L1758" i="26"/>
  <c r="O1758" i="26" s="1"/>
  <c r="L1756" i="26"/>
  <c r="O1756" i="26" s="1"/>
  <c r="L1754" i="26"/>
  <c r="O1754" i="26" s="1"/>
  <c r="L1752" i="26"/>
  <c r="O1752" i="26" s="1"/>
  <c r="L1750" i="26"/>
  <c r="O1750" i="26" s="1"/>
  <c r="L1748" i="26"/>
  <c r="O1748" i="26" s="1"/>
  <c r="L1746" i="26"/>
  <c r="O1746" i="26" s="1"/>
  <c r="L1744" i="26"/>
  <c r="O1744" i="26" s="1"/>
  <c r="L1742" i="26"/>
  <c r="O1742" i="26" s="1"/>
  <c r="L1740" i="26"/>
  <c r="O1740" i="26" s="1"/>
  <c r="L1738" i="26"/>
  <c r="O1738" i="26" s="1"/>
  <c r="L1920" i="26"/>
  <c r="O1920" i="26" s="1"/>
  <c r="L1952" i="26"/>
  <c r="O1952" i="26" s="1"/>
  <c r="L1770" i="26"/>
  <c r="O1770" i="26" s="1"/>
  <c r="L1888" i="26"/>
  <c r="O1888" i="26" s="1"/>
  <c r="AG1538" i="22"/>
  <c r="L1538" i="26"/>
  <c r="O1538" i="26" s="1"/>
  <c r="AG1554" i="22"/>
  <c r="L1554" i="26"/>
  <c r="O1554" i="26" s="1"/>
  <c r="AG1570" i="22"/>
  <c r="L1570" i="26"/>
  <c r="O1570" i="26" s="1"/>
  <c r="AG1543" i="22"/>
  <c r="L1543" i="26"/>
  <c r="O1543" i="26" s="1"/>
  <c r="AG1559" i="22"/>
  <c r="L1559" i="26"/>
  <c r="O1559" i="26" s="1"/>
  <c r="AG1575" i="22"/>
  <c r="L1575" i="26"/>
  <c r="O1575" i="26" s="1"/>
  <c r="AG1544" i="22"/>
  <c r="L1544" i="26"/>
  <c r="O1544" i="26" s="1"/>
  <c r="AG1560" i="22"/>
  <c r="L1560" i="26"/>
  <c r="O1560" i="26" s="1"/>
  <c r="AG1576" i="22"/>
  <c r="L1576" i="26"/>
  <c r="O1576" i="26" s="1"/>
  <c r="AG1549" i="22"/>
  <c r="L1549" i="26"/>
  <c r="O1549" i="26" s="1"/>
  <c r="AG1565" i="22"/>
  <c r="L1565" i="26"/>
  <c r="O1565" i="26" s="1"/>
  <c r="AG2149" i="22"/>
  <c r="L2149" i="26"/>
  <c r="O2149" i="26" s="1"/>
  <c r="AG2165" i="22"/>
  <c r="L2165" i="26"/>
  <c r="O2165" i="26" s="1"/>
  <c r="AG2205" i="22"/>
  <c r="L2205" i="26"/>
  <c r="O2205" i="26" s="1"/>
  <c r="AG2265" i="22"/>
  <c r="L2265" i="26"/>
  <c r="O2265" i="26" s="1"/>
  <c r="AG2281" i="22"/>
  <c r="L2281" i="26"/>
  <c r="O2281" i="26" s="1"/>
  <c r="AG2158" i="22"/>
  <c r="L2158" i="26"/>
  <c r="O2158" i="26" s="1"/>
  <c r="AG2174" i="22"/>
  <c r="L2174" i="26"/>
  <c r="O2174" i="26" s="1"/>
  <c r="AG2214" i="22"/>
  <c r="L2214" i="26"/>
  <c r="O2214" i="26" s="1"/>
  <c r="AG2274" i="22"/>
  <c r="L2274" i="26"/>
  <c r="O2274" i="26" s="1"/>
  <c r="AG2151" i="22"/>
  <c r="L2151" i="26"/>
  <c r="O2151" i="26" s="1"/>
  <c r="AG2167" i="22"/>
  <c r="L2167" i="26"/>
  <c r="O2167" i="26" s="1"/>
  <c r="AG2207" i="22"/>
  <c r="L2207" i="26"/>
  <c r="O2207" i="26" s="1"/>
  <c r="AG2271" i="22"/>
  <c r="L2271" i="26"/>
  <c r="O2271" i="26" s="1"/>
  <c r="AG2148" i="22"/>
  <c r="L2148" i="26"/>
  <c r="O2148" i="26" s="1"/>
  <c r="AG2164" i="22"/>
  <c r="L2164" i="26"/>
  <c r="O2164" i="26" s="1"/>
  <c r="AG2204" i="22"/>
  <c r="L2204" i="26"/>
  <c r="O2204" i="26" s="1"/>
  <c r="AG2264" i="22"/>
  <c r="L2264" i="26"/>
  <c r="O2264" i="26" s="1"/>
  <c r="AG2280" i="22"/>
  <c r="L2280" i="26"/>
  <c r="O2280" i="26" s="1"/>
  <c r="AG268" i="22"/>
  <c r="L268" i="26"/>
  <c r="O268" i="26" s="1"/>
  <c r="AG286" i="22"/>
  <c r="L286" i="26"/>
  <c r="O286" i="26" s="1"/>
  <c r="AG398" i="22"/>
  <c r="L398" i="26"/>
  <c r="O398" i="26" s="1"/>
  <c r="AG417" i="22"/>
  <c r="L417" i="26"/>
  <c r="O417" i="26" s="1"/>
  <c r="AG437" i="22"/>
  <c r="L437" i="26"/>
  <c r="O437" i="26" s="1"/>
  <c r="AG530" i="22"/>
  <c r="L530" i="26"/>
  <c r="O530" i="26" s="1"/>
  <c r="AG546" i="22"/>
  <c r="L546" i="26"/>
  <c r="O546" i="26" s="1"/>
  <c r="AG562" i="22"/>
  <c r="L562" i="26"/>
  <c r="O562" i="26" s="1"/>
  <c r="AG716" i="22"/>
  <c r="L716" i="26"/>
  <c r="O716" i="26" s="1"/>
  <c r="AG736" i="22"/>
  <c r="L736" i="26"/>
  <c r="O736" i="26" s="1"/>
  <c r="AG755" i="22"/>
  <c r="L755" i="26"/>
  <c r="O755" i="26" s="1"/>
  <c r="AG908" i="22"/>
  <c r="L908" i="26"/>
  <c r="O908" i="26" s="1"/>
  <c r="AG984" i="22"/>
  <c r="L984" i="26"/>
  <c r="O984" i="26" s="1"/>
  <c r="AG1000" i="22"/>
  <c r="L1000" i="26"/>
  <c r="O1000" i="26" s="1"/>
  <c r="AG1019" i="22"/>
  <c r="L1019" i="26"/>
  <c r="O1019" i="26" s="1"/>
  <c r="AG1155" i="22"/>
  <c r="L1155" i="26"/>
  <c r="O1155" i="26" s="1"/>
  <c r="AG1171" i="22"/>
  <c r="L1171" i="26"/>
  <c r="O1171" i="26" s="1"/>
  <c r="AG1187" i="22"/>
  <c r="L1187" i="26"/>
  <c r="O1187" i="26" s="1"/>
  <c r="AG1308" i="22"/>
  <c r="L1308" i="26"/>
  <c r="O1308" i="26" s="1"/>
  <c r="AG261" i="22"/>
  <c r="L261" i="26"/>
  <c r="O261" i="26" s="1"/>
  <c r="AG279" i="22"/>
  <c r="L279" i="26"/>
  <c r="O279" i="26" s="1"/>
  <c r="AG297" i="22"/>
  <c r="L297" i="26"/>
  <c r="O297" i="26" s="1"/>
  <c r="AG409" i="22"/>
  <c r="L409" i="26"/>
  <c r="O409" i="26" s="1"/>
  <c r="AG429" i="22"/>
  <c r="L429" i="26"/>
  <c r="O429" i="26" s="1"/>
  <c r="AG448" i="22"/>
  <c r="L448" i="26"/>
  <c r="O448" i="26" s="1"/>
  <c r="AG539" i="22"/>
  <c r="L539" i="26"/>
  <c r="O539" i="26" s="1"/>
  <c r="AG555" i="22"/>
  <c r="L555" i="26"/>
  <c r="O555" i="26" s="1"/>
  <c r="AG703" i="22"/>
  <c r="L703" i="26"/>
  <c r="O703" i="26" s="1"/>
  <c r="AG722" i="22"/>
  <c r="L722" i="26"/>
  <c r="O722" i="26" s="1"/>
  <c r="AG742" i="22"/>
  <c r="L742" i="26"/>
  <c r="O742" i="26" s="1"/>
  <c r="AG761" i="22"/>
  <c r="L761" i="26"/>
  <c r="O761" i="26" s="1"/>
  <c r="AG909" i="22"/>
  <c r="L909" i="26"/>
  <c r="O909" i="26" s="1"/>
  <c r="AG985" i="22"/>
  <c r="L985" i="26"/>
  <c r="O985" i="26" s="1"/>
  <c r="AG1001" i="22"/>
  <c r="L1001" i="26"/>
  <c r="O1001" i="26" s="1"/>
  <c r="AG1020" i="22"/>
  <c r="L1020" i="26"/>
  <c r="O1020" i="26" s="1"/>
  <c r="AG1156" i="22"/>
  <c r="L1156" i="26"/>
  <c r="O1156" i="26" s="1"/>
  <c r="AG1172" i="22"/>
  <c r="L1172" i="26"/>
  <c r="O1172" i="26" s="1"/>
  <c r="AG1188" i="22"/>
  <c r="L1188" i="26"/>
  <c r="O1188" i="26" s="1"/>
  <c r="AG1309" i="22"/>
  <c r="L1309" i="26"/>
  <c r="O1309" i="26" s="1"/>
  <c r="AG258" i="22"/>
  <c r="L258" i="26"/>
  <c r="O258" i="26" s="1"/>
  <c r="AG275" i="22"/>
  <c r="L275" i="26"/>
  <c r="O275" i="26" s="1"/>
  <c r="AG294" i="22"/>
  <c r="L294" i="26"/>
  <c r="O294" i="26" s="1"/>
  <c r="AG405" i="22"/>
  <c r="L405" i="26"/>
  <c r="O405" i="26" s="1"/>
  <c r="AG425" i="22"/>
  <c r="L425" i="26"/>
  <c r="O425" i="26" s="1"/>
  <c r="AG445" i="22"/>
  <c r="L445" i="26"/>
  <c r="O445" i="26" s="1"/>
  <c r="AG536" i="22"/>
  <c r="L536" i="26"/>
  <c r="O536" i="26" s="1"/>
  <c r="AG552" i="22"/>
  <c r="L552" i="26"/>
  <c r="O552" i="26" s="1"/>
  <c r="AG704" i="22"/>
  <c r="L704" i="26"/>
  <c r="O704" i="26" s="1"/>
  <c r="AG723" i="22"/>
  <c r="L723" i="26"/>
  <c r="O723" i="26" s="1"/>
  <c r="AG743" i="22"/>
  <c r="L743" i="26"/>
  <c r="O743" i="26" s="1"/>
  <c r="AG762" i="22"/>
  <c r="L762" i="26"/>
  <c r="O762" i="26" s="1"/>
  <c r="AG910" i="22"/>
  <c r="L910" i="26"/>
  <c r="O910" i="26" s="1"/>
  <c r="AG986" i="22"/>
  <c r="L986" i="26"/>
  <c r="O986" i="26" s="1"/>
  <c r="AG1002" i="22"/>
  <c r="L1002" i="26"/>
  <c r="O1002" i="26" s="1"/>
  <c r="AG1021" i="22"/>
  <c r="L1021" i="26"/>
  <c r="O1021" i="26" s="1"/>
  <c r="AG1153" i="22"/>
  <c r="L1153" i="26"/>
  <c r="O1153" i="26" s="1"/>
  <c r="AG1169" i="22"/>
  <c r="L1169" i="26"/>
  <c r="O1169" i="26" s="1"/>
  <c r="AG1185" i="22"/>
  <c r="L1185" i="26"/>
  <c r="O1185" i="26" s="1"/>
  <c r="AG1306" i="22"/>
  <c r="L1306" i="26"/>
  <c r="O1306" i="26" s="1"/>
  <c r="AG259" i="22"/>
  <c r="L259" i="26"/>
  <c r="O259" i="26" s="1"/>
  <c r="AG276" i="22"/>
  <c r="L276" i="26"/>
  <c r="O276" i="26" s="1"/>
  <c r="AG295" i="22"/>
  <c r="L295" i="26"/>
  <c r="O295" i="26" s="1"/>
  <c r="AG411" i="22"/>
  <c r="L411" i="26"/>
  <c r="O411" i="26" s="1"/>
  <c r="AG431" i="22"/>
  <c r="L431" i="26"/>
  <c r="O431" i="26" s="1"/>
  <c r="AG451" i="22"/>
  <c r="L451" i="26"/>
  <c r="O451" i="26" s="1"/>
  <c r="AG541" i="22"/>
  <c r="L541" i="26"/>
  <c r="O541" i="26" s="1"/>
  <c r="AG557" i="22"/>
  <c r="L557" i="26"/>
  <c r="O557" i="26" s="1"/>
  <c r="AG710" i="22"/>
  <c r="L710" i="26"/>
  <c r="O710" i="26" s="1"/>
  <c r="AG730" i="22"/>
  <c r="L730" i="26"/>
  <c r="O730" i="26" s="1"/>
  <c r="AG749" i="22"/>
  <c r="L749" i="26"/>
  <c r="O749" i="26" s="1"/>
  <c r="AG903" i="22"/>
  <c r="L903" i="26"/>
  <c r="O903" i="26" s="1"/>
  <c r="AG979" i="22"/>
  <c r="L979" i="26"/>
  <c r="O979" i="26" s="1"/>
  <c r="AG995" i="22"/>
  <c r="L995" i="26"/>
  <c r="O995" i="26" s="1"/>
  <c r="AG1013" i="22"/>
  <c r="L1013" i="26"/>
  <c r="O1013" i="26" s="1"/>
  <c r="AG1146" i="22"/>
  <c r="L1146" i="26"/>
  <c r="O1146" i="26" s="1"/>
  <c r="AG1162" i="22"/>
  <c r="L1162" i="26"/>
  <c r="O1162" i="26" s="1"/>
  <c r="AG1178" i="22"/>
  <c r="L1178" i="26"/>
  <c r="O1178" i="26" s="1"/>
  <c r="AG1194" i="22"/>
  <c r="L1194" i="26"/>
  <c r="O1194" i="26" s="1"/>
  <c r="AG1311" i="22"/>
  <c r="L1311" i="26"/>
  <c r="O1311" i="26" s="1"/>
  <c r="AG2557" i="22"/>
  <c r="L2557" i="26"/>
  <c r="O2557" i="26" s="1"/>
  <c r="AG2573" i="22"/>
  <c r="L2573" i="26"/>
  <c r="O2573" i="26" s="1"/>
  <c r="AG2558" i="22"/>
  <c r="L2558" i="26"/>
  <c r="O2558" i="26" s="1"/>
  <c r="AG2574" i="22"/>
  <c r="L2574" i="26"/>
  <c r="O2574" i="26" s="1"/>
  <c r="AG2559" i="22"/>
  <c r="L2559" i="26"/>
  <c r="O2559" i="26" s="1"/>
  <c r="AG2575" i="22"/>
  <c r="L2575" i="26"/>
  <c r="O2575" i="26" s="1"/>
  <c r="AG2564" i="22"/>
  <c r="L2564" i="26"/>
  <c r="O2564" i="26" s="1"/>
  <c r="AG1582" i="22"/>
  <c r="L1582" i="26"/>
  <c r="O1582" i="26" s="1"/>
  <c r="AG1598" i="22"/>
  <c r="L1598" i="26"/>
  <c r="O1598" i="26" s="1"/>
  <c r="AG1614" i="22"/>
  <c r="L1614" i="26"/>
  <c r="O1614" i="26" s="1"/>
  <c r="AG1591" i="22"/>
  <c r="L1591" i="26"/>
  <c r="O1591" i="26" s="1"/>
  <c r="AG1607" i="22"/>
  <c r="L1607" i="26"/>
  <c r="O1607" i="26" s="1"/>
  <c r="AG1580" i="22"/>
  <c r="L1580" i="26"/>
  <c r="O1580" i="26" s="1"/>
  <c r="AG1596" i="22"/>
  <c r="L1596" i="26"/>
  <c r="O1596" i="26" s="1"/>
  <c r="AG1612" i="22"/>
  <c r="L1612" i="26"/>
  <c r="O1612" i="26" s="1"/>
  <c r="AG1585" i="22"/>
  <c r="L1585" i="26"/>
  <c r="O1585" i="26" s="1"/>
  <c r="AG1601" i="22"/>
  <c r="L1601" i="26"/>
  <c r="O1601" i="26" s="1"/>
  <c r="AG1617" i="22"/>
  <c r="L1617" i="26"/>
  <c r="O1617" i="26" s="1"/>
  <c r="AG86" i="22"/>
  <c r="L86" i="26"/>
  <c r="O86" i="26" s="1"/>
  <c r="AG82" i="22"/>
  <c r="L82" i="26"/>
  <c r="O82" i="26" s="1"/>
  <c r="AG135" i="22"/>
  <c r="L135" i="26"/>
  <c r="O135" i="26" s="1"/>
  <c r="AG1980" i="22"/>
  <c r="L1980" i="26"/>
  <c r="O1980" i="26" s="1"/>
  <c r="AG470" i="22"/>
  <c r="L470" i="26"/>
  <c r="O470" i="26" s="1"/>
  <c r="AG509" i="22"/>
  <c r="L509" i="26"/>
  <c r="O509" i="26" s="1"/>
  <c r="AG602" i="22"/>
  <c r="L602" i="26"/>
  <c r="O602" i="26" s="1"/>
  <c r="AG865" i="22"/>
  <c r="L865" i="26"/>
  <c r="O865" i="26" s="1"/>
  <c r="AG1094" i="22"/>
  <c r="L1094" i="26"/>
  <c r="O1094" i="26" s="1"/>
  <c r="AG1280" i="22"/>
  <c r="L1280" i="26"/>
  <c r="O1280" i="26" s="1"/>
  <c r="AG348" i="22"/>
  <c r="L348" i="26"/>
  <c r="O348" i="26" s="1"/>
  <c r="AG516" i="22"/>
  <c r="L516" i="26"/>
  <c r="O516" i="26" s="1"/>
  <c r="AG857" i="22"/>
  <c r="L857" i="26"/>
  <c r="O857" i="26" s="1"/>
  <c r="AG1091" i="22"/>
  <c r="L1091" i="26"/>
  <c r="O1091" i="26" s="1"/>
  <c r="AG1277" i="22"/>
  <c r="L1277" i="26"/>
  <c r="O1277" i="26" s="1"/>
  <c r="AG584" i="22"/>
  <c r="L584" i="26"/>
  <c r="O584" i="26" s="1"/>
  <c r="AG523" i="22"/>
  <c r="L523" i="26"/>
  <c r="O523" i="26" s="1"/>
  <c r="AG2297" i="22"/>
  <c r="L2297" i="26"/>
  <c r="O2297" i="26" s="1"/>
  <c r="AG2345" i="22"/>
  <c r="L2345" i="26"/>
  <c r="O2345" i="26" s="1"/>
  <c r="AG2393" i="22"/>
  <c r="L2393" i="26"/>
  <c r="O2393" i="26" s="1"/>
  <c r="AG2457" i="22"/>
  <c r="L2457" i="26"/>
  <c r="O2457" i="26" s="1"/>
  <c r="AG2505" i="22"/>
  <c r="L2548" i="26"/>
  <c r="O2548" i="26" s="1"/>
  <c r="L2544" i="26"/>
  <c r="L2540" i="26"/>
  <c r="O2540" i="26" s="1"/>
  <c r="L2536" i="26"/>
  <c r="O2536" i="26" s="1"/>
  <c r="L2532" i="26"/>
  <c r="O2532" i="26" s="1"/>
  <c r="L2528" i="26"/>
  <c r="O2528" i="26" s="1"/>
  <c r="L2524" i="26"/>
  <c r="O2524" i="26" s="1"/>
  <c r="L2520" i="26"/>
  <c r="L2516" i="26"/>
  <c r="O2516" i="26" s="1"/>
  <c r="L2512" i="26"/>
  <c r="O2512" i="26" s="1"/>
  <c r="L2508" i="26"/>
  <c r="O2508" i="26" s="1"/>
  <c r="L2541" i="26"/>
  <c r="O2541" i="26" s="1"/>
  <c r="L2533" i="26"/>
  <c r="O2533" i="26" s="1"/>
  <c r="L2525" i="26"/>
  <c r="L2517" i="26"/>
  <c r="O2517" i="26" s="1"/>
  <c r="L2509" i="26"/>
  <c r="O2509" i="26" s="1"/>
  <c r="L2546" i="26"/>
  <c r="O2546" i="26" s="1"/>
  <c r="L2539" i="26"/>
  <c r="L2537" i="26"/>
  <c r="L2530" i="26"/>
  <c r="O2530" i="26" s="1"/>
  <c r="L2523" i="26"/>
  <c r="O2523" i="26" s="1"/>
  <c r="L2521" i="26"/>
  <c r="O2521" i="26" s="1"/>
  <c r="L2514" i="26"/>
  <c r="L2507" i="26"/>
  <c r="O2507" i="26" s="1"/>
  <c r="L2542" i="26"/>
  <c r="L2535" i="26"/>
  <c r="L2526" i="26"/>
  <c r="O2526" i="26" s="1"/>
  <c r="L2519" i="26"/>
  <c r="O2519" i="26" s="1"/>
  <c r="L2510" i="26"/>
  <c r="O2510" i="26" s="1"/>
  <c r="L2531" i="26"/>
  <c r="O2531" i="26" s="1"/>
  <c r="L2547" i="26"/>
  <c r="O2547" i="26" s="1"/>
  <c r="L2515" i="26"/>
  <c r="O2515" i="26" s="1"/>
  <c r="L2543" i="26"/>
  <c r="O2543" i="26" s="1"/>
  <c r="L2534" i="26"/>
  <c r="O2534" i="26" s="1"/>
  <c r="L2511" i="26"/>
  <c r="O2511" i="26" s="1"/>
  <c r="L2545" i="26"/>
  <c r="O2545" i="26" s="1"/>
  <c r="L2522" i="26"/>
  <c r="O2522" i="26" s="1"/>
  <c r="L2513" i="26"/>
  <c r="O2513" i="26" s="1"/>
  <c r="L2527" i="26"/>
  <c r="L2518" i="26"/>
  <c r="L2538" i="26"/>
  <c r="O2538" i="26" s="1"/>
  <c r="L2505" i="26"/>
  <c r="O2505" i="26" s="1"/>
  <c r="L2529" i="26"/>
  <c r="O2529" i="26" s="1"/>
  <c r="L2506" i="26"/>
  <c r="O2506" i="26" s="1"/>
  <c r="AG2290" i="22"/>
  <c r="L2290" i="26"/>
  <c r="O2290" i="26" s="1"/>
  <c r="AG2338" i="22"/>
  <c r="L2338" i="26"/>
  <c r="O2338" i="26" s="1"/>
  <c r="AG2386" i="22"/>
  <c r="L2386" i="26"/>
  <c r="O2386" i="26" s="1"/>
  <c r="AG2434" i="22"/>
  <c r="L2434" i="26"/>
  <c r="O2434" i="26" s="1"/>
  <c r="AG2482" i="22"/>
  <c r="L2482" i="26"/>
  <c r="O2482" i="26" s="1"/>
  <c r="AG2347" i="22"/>
  <c r="L2347" i="26"/>
  <c r="O2347" i="26" s="1"/>
  <c r="AG2395" i="22"/>
  <c r="L2395" i="26"/>
  <c r="O2395" i="26" s="1"/>
  <c r="AG2443" i="22"/>
  <c r="L2443" i="26"/>
  <c r="O2443" i="26" s="1"/>
  <c r="AG2491" i="22"/>
  <c r="L2491" i="26"/>
  <c r="O2491" i="26" s="1"/>
  <c r="AG2352" i="22"/>
  <c r="L2352" i="26"/>
  <c r="O2352" i="26" s="1"/>
  <c r="AG2400" i="22"/>
  <c r="L2400" i="26"/>
  <c r="O2400" i="26" s="1"/>
  <c r="AG2448" i="22"/>
  <c r="L2448" i="26"/>
  <c r="O2448" i="26" s="1"/>
  <c r="AG2496" i="22"/>
  <c r="L2496" i="26"/>
  <c r="O2496" i="26" s="1"/>
  <c r="AG2129" i="22"/>
  <c r="L2129" i="26"/>
  <c r="O2129" i="26" s="1"/>
  <c r="AG2257" i="22"/>
  <c r="L2257" i="26"/>
  <c r="O2257" i="26" s="1"/>
  <c r="AG2246" i="22"/>
  <c r="L2246" i="26"/>
  <c r="O2246" i="26" s="1"/>
  <c r="AG2247" i="22"/>
  <c r="L2247" i="26"/>
  <c r="O2247" i="26" s="1"/>
  <c r="AG2196" i="22"/>
  <c r="L2196" i="26"/>
  <c r="O2196" i="26" s="1"/>
  <c r="AG2109" i="22"/>
  <c r="L2109" i="26"/>
  <c r="O2109" i="26" s="1"/>
  <c r="AG2090" i="22"/>
  <c r="L2090" i="26"/>
  <c r="O2090" i="26" s="1"/>
  <c r="AG2222" i="22"/>
  <c r="L2222" i="26"/>
  <c r="O2222" i="26" s="1"/>
  <c r="AG2183" i="22"/>
  <c r="L2183" i="26"/>
  <c r="O2183" i="26" s="1"/>
  <c r="AG2180" i="22"/>
  <c r="L2180" i="26"/>
  <c r="O2180" i="26" s="1"/>
  <c r="AG2236" i="22"/>
  <c r="L2236" i="26"/>
  <c r="O2236" i="26" s="1"/>
  <c r="AG1539" i="22"/>
  <c r="L1539" i="26"/>
  <c r="O1539" i="26" s="1"/>
  <c r="AG1540" i="22"/>
  <c r="L1540" i="26"/>
  <c r="O1540" i="26" s="1"/>
  <c r="AG1545" i="22"/>
  <c r="L1545" i="26"/>
  <c r="O1545" i="26" s="1"/>
  <c r="AG2177" i="22"/>
  <c r="L2177" i="26"/>
  <c r="O2177" i="26" s="1"/>
  <c r="AG2154" i="22"/>
  <c r="L2154" i="26"/>
  <c r="O2154" i="26" s="1"/>
  <c r="AG2270" i="22"/>
  <c r="L2270" i="26"/>
  <c r="O2270" i="26" s="1"/>
  <c r="AG2203" i="22"/>
  <c r="L2203" i="26"/>
  <c r="O2203" i="26" s="1"/>
  <c r="AG2176" i="22"/>
  <c r="L2176" i="26"/>
  <c r="O2176" i="26" s="1"/>
  <c r="AG301" i="22"/>
  <c r="L301" i="26"/>
  <c r="O301" i="26" s="1"/>
  <c r="AG452" i="22"/>
  <c r="L452" i="26"/>
  <c r="O452" i="26" s="1"/>
  <c r="AG750" i="22"/>
  <c r="L750" i="26"/>
  <c r="O750" i="26" s="1"/>
  <c r="AG1014" i="22"/>
  <c r="L1014" i="26"/>
  <c r="O1014" i="26" s="1"/>
  <c r="AG1183" i="22"/>
  <c r="L1183" i="26"/>
  <c r="O1183" i="26" s="1"/>
  <c r="AG273" i="22"/>
  <c r="L273" i="26"/>
  <c r="O273" i="26" s="1"/>
  <c r="AG424" i="22"/>
  <c r="L424" i="26"/>
  <c r="O424" i="26" s="1"/>
  <c r="AG551" i="22"/>
  <c r="L551" i="26"/>
  <c r="O551" i="26" s="1"/>
  <c r="AG756" i="22"/>
  <c r="L756" i="26"/>
  <c r="O756" i="26" s="1"/>
  <c r="AG1015" i="22"/>
  <c r="L1015" i="26"/>
  <c r="O1015" i="26" s="1"/>
  <c r="AG1305" i="22"/>
  <c r="L1305" i="26"/>
  <c r="O1305" i="26" s="1"/>
  <c r="AG270" i="22"/>
  <c r="L270" i="26"/>
  <c r="O270" i="26" s="1"/>
  <c r="AG420" i="22"/>
  <c r="L420" i="26"/>
  <c r="O420" i="26" s="1"/>
  <c r="AG548" i="22"/>
  <c r="L548" i="26"/>
  <c r="O548" i="26" s="1"/>
  <c r="AG719" i="22"/>
  <c r="L719" i="26"/>
  <c r="O719" i="26" s="1"/>
  <c r="AG982" i="22"/>
  <c r="L982" i="26"/>
  <c r="O982" i="26" s="1"/>
  <c r="AG1017" i="22"/>
  <c r="L1017" i="26"/>
  <c r="O1017" i="26" s="1"/>
  <c r="AG1181" i="22"/>
  <c r="L1181" i="26"/>
  <c r="O1181" i="26" s="1"/>
  <c r="AG290" i="22"/>
  <c r="L290" i="26"/>
  <c r="O290" i="26" s="1"/>
  <c r="AG446" i="22"/>
  <c r="L446" i="26"/>
  <c r="O446" i="26" s="1"/>
  <c r="AG705" i="22"/>
  <c r="L705" i="26"/>
  <c r="O705" i="26" s="1"/>
  <c r="AG764" i="22"/>
  <c r="L764" i="26"/>
  <c r="O764" i="26" s="1"/>
  <c r="AG1008" i="22"/>
  <c r="L1008" i="26"/>
  <c r="O1008" i="26" s="1"/>
  <c r="AG1174" i="22"/>
  <c r="L1174" i="26"/>
  <c r="O1174" i="26" s="1"/>
  <c r="AG1307" i="22"/>
  <c r="L1307" i="26"/>
  <c r="O1307" i="26" s="1"/>
  <c r="AG2553" i="22"/>
  <c r="L2553" i="26"/>
  <c r="O2553" i="26" s="1"/>
  <c r="AG2555" i="22"/>
  <c r="L2555" i="26"/>
  <c r="O2555" i="26" s="1"/>
  <c r="AG2576" i="22"/>
  <c r="L2576" i="26"/>
  <c r="O2576" i="26" s="1"/>
  <c r="AG1587" i="22"/>
  <c r="L1587" i="26"/>
  <c r="O1587" i="26" s="1"/>
  <c r="AG1592" i="22"/>
  <c r="L1592" i="26"/>
  <c r="O1592" i="26" s="1"/>
  <c r="AG1597" i="22"/>
  <c r="L1597" i="26"/>
  <c r="O1597" i="26" s="1"/>
  <c r="AG88" i="22"/>
  <c r="L88" i="26"/>
  <c r="O88" i="26" s="1"/>
  <c r="AG134" i="22"/>
  <c r="L134" i="26"/>
  <c r="O134" i="26" s="1"/>
  <c r="AG143" i="22"/>
  <c r="L143" i="26"/>
  <c r="O143" i="26" s="1"/>
  <c r="AG1977" i="22"/>
  <c r="L1977" i="26"/>
  <c r="O1977" i="26" s="1"/>
  <c r="AG1982" i="22"/>
  <c r="L1982" i="26"/>
  <c r="O1982" i="26" s="1"/>
  <c r="AG1972" i="22"/>
  <c r="L1972" i="26"/>
  <c r="O1972" i="26" s="1"/>
  <c r="AG316" i="22"/>
  <c r="L316" i="26"/>
  <c r="O316" i="26" s="1"/>
  <c r="AG333" i="22"/>
  <c r="L333" i="26"/>
  <c r="O333" i="26" s="1"/>
  <c r="AG352" i="22"/>
  <c r="L352" i="26"/>
  <c r="O352" i="26" s="1"/>
  <c r="AG479" i="22"/>
  <c r="L479" i="26"/>
  <c r="O479" i="26" s="1"/>
  <c r="AG500" i="22"/>
  <c r="L500" i="26"/>
  <c r="O500" i="26" s="1"/>
  <c r="AG519" i="22"/>
  <c r="L519" i="26"/>
  <c r="O519" i="26" s="1"/>
  <c r="AG578" i="22"/>
  <c r="L578" i="26"/>
  <c r="O578" i="26" s="1"/>
  <c r="AG594" i="22"/>
  <c r="L594" i="26"/>
  <c r="O594" i="26" s="1"/>
  <c r="AG836" i="22"/>
  <c r="L836" i="26"/>
  <c r="O836" i="26" s="1"/>
  <c r="AG855" i="22"/>
  <c r="L855" i="26"/>
  <c r="O855" i="26" s="1"/>
  <c r="AG875" i="22"/>
  <c r="L875" i="26"/>
  <c r="O875" i="26" s="1"/>
  <c r="AG894" i="22"/>
  <c r="L894" i="26"/>
  <c r="O894" i="26" s="1"/>
  <c r="AG936" i="22"/>
  <c r="L936" i="26"/>
  <c r="O936" i="26" s="1"/>
  <c r="AG1102" i="22"/>
  <c r="L1102" i="26"/>
  <c r="O1102" i="26" s="1"/>
  <c r="AG1118" i="22"/>
  <c r="L1118" i="26"/>
  <c r="O1118" i="26" s="1"/>
  <c r="AG1137" i="22"/>
  <c r="L1137" i="26"/>
  <c r="O1137" i="26" s="1"/>
  <c r="AG1256" i="22"/>
  <c r="L1256" i="26"/>
  <c r="O1256" i="26" s="1"/>
  <c r="AG1272" i="22"/>
  <c r="L1272" i="26"/>
  <c r="O1272" i="26" s="1"/>
  <c r="AG1288" i="22"/>
  <c r="L1288" i="26"/>
  <c r="O1288" i="26" s="1"/>
  <c r="AG1343" i="22"/>
  <c r="L1343" i="26"/>
  <c r="O1343" i="26" s="1"/>
  <c r="AG321" i="22"/>
  <c r="L321" i="26"/>
  <c r="O321" i="26" s="1"/>
  <c r="AG339" i="22"/>
  <c r="L339" i="26"/>
  <c r="O339" i="26" s="1"/>
  <c r="AG358" i="22"/>
  <c r="L358" i="26"/>
  <c r="O358" i="26" s="1"/>
  <c r="AG486" i="22"/>
  <c r="L486" i="26"/>
  <c r="O486" i="26" s="1"/>
  <c r="AG506" i="22"/>
  <c r="L506" i="26"/>
  <c r="O506" i="26" s="1"/>
  <c r="AG526" i="22"/>
  <c r="L526" i="26"/>
  <c r="O526" i="26" s="1"/>
  <c r="AG583" i="22"/>
  <c r="L583" i="26"/>
  <c r="O583" i="26" s="1"/>
  <c r="AG599" i="22"/>
  <c r="L599" i="26"/>
  <c r="O599" i="26" s="1"/>
  <c r="AG847" i="22"/>
  <c r="L847" i="26"/>
  <c r="O847" i="26" s="1"/>
  <c r="AG867" i="22"/>
  <c r="L867" i="26"/>
  <c r="O867" i="26" s="1"/>
  <c r="AG886" i="22"/>
  <c r="L886" i="26"/>
  <c r="O886" i="26" s="1"/>
  <c r="AG929" i="22"/>
  <c r="L929" i="26"/>
  <c r="O929" i="26" s="1"/>
  <c r="AG1099" i="22"/>
  <c r="L1099" i="26"/>
  <c r="O1099" i="26" s="1"/>
  <c r="AG1115" i="22"/>
  <c r="L1115" i="26"/>
  <c r="O1115" i="26" s="1"/>
  <c r="AG1134" i="22"/>
  <c r="L1134" i="26"/>
  <c r="O1134" i="26" s="1"/>
  <c r="AG1253" i="22"/>
  <c r="L1253" i="26"/>
  <c r="O1253" i="26" s="1"/>
  <c r="AG1269" i="22"/>
  <c r="L1269" i="26"/>
  <c r="O1269" i="26" s="1"/>
  <c r="AG1285" i="22"/>
  <c r="L1285" i="26"/>
  <c r="O1285" i="26" s="1"/>
  <c r="AG1340" i="22"/>
  <c r="L1340" i="26"/>
  <c r="O1340" i="26" s="1"/>
  <c r="AG318" i="22"/>
  <c r="L318" i="26"/>
  <c r="O318" i="26" s="1"/>
  <c r="AG336" i="22"/>
  <c r="L336" i="26"/>
  <c r="O336" i="26" s="1"/>
  <c r="AG354" i="22"/>
  <c r="L354" i="26"/>
  <c r="O354" i="26" s="1"/>
  <c r="AG482" i="22"/>
  <c r="L482" i="26"/>
  <c r="O482" i="26" s="1"/>
  <c r="AG502" i="22"/>
  <c r="L502" i="26"/>
  <c r="O502" i="26" s="1"/>
  <c r="AG522" i="22"/>
  <c r="L522" i="26"/>
  <c r="O522" i="26" s="1"/>
  <c r="AG576" i="22"/>
  <c r="L576" i="26"/>
  <c r="O576" i="26" s="1"/>
  <c r="AG592" i="22"/>
  <c r="L592" i="26"/>
  <c r="O592" i="26" s="1"/>
  <c r="AG838" i="22"/>
  <c r="L838" i="26"/>
  <c r="O838" i="26" s="1"/>
  <c r="AG858" i="22"/>
  <c r="L858" i="26"/>
  <c r="O858" i="26" s="1"/>
  <c r="AG878" i="22"/>
  <c r="L878" i="26"/>
  <c r="O878" i="26" s="1"/>
  <c r="AG897" i="22"/>
  <c r="L897" i="26"/>
  <c r="O897" i="26" s="1"/>
  <c r="AG1092" i="22"/>
  <c r="L1092" i="26"/>
  <c r="O1092" i="26" s="1"/>
  <c r="AG1108" i="22"/>
  <c r="L1108" i="26"/>
  <c r="O1108" i="26" s="1"/>
  <c r="AG1125" i="22"/>
  <c r="L1125" i="26"/>
  <c r="O1125" i="26" s="1"/>
  <c r="AG1250" i="22"/>
  <c r="L1250" i="26"/>
  <c r="O1250" i="26" s="1"/>
  <c r="AG1266" i="22"/>
  <c r="L1266" i="26"/>
  <c r="O1266" i="26" s="1"/>
  <c r="AG1282" i="22"/>
  <c r="L1282" i="26"/>
  <c r="O1282" i="26" s="1"/>
  <c r="AG1298" i="22"/>
  <c r="L1298" i="26"/>
  <c r="O1298" i="26" s="1"/>
  <c r="AG1349" i="22"/>
  <c r="L1349" i="26"/>
  <c r="O1349" i="26" s="1"/>
  <c r="AG311" i="22"/>
  <c r="L311" i="26"/>
  <c r="O311" i="26" s="1"/>
  <c r="AG327" i="22"/>
  <c r="L327" i="26"/>
  <c r="O327" i="26" s="1"/>
  <c r="AG346" i="22"/>
  <c r="L346" i="26"/>
  <c r="O346" i="26" s="1"/>
  <c r="AG473" i="22"/>
  <c r="L473" i="26"/>
  <c r="O473" i="26" s="1"/>
  <c r="AG493" i="22"/>
  <c r="L493" i="26"/>
  <c r="O493" i="26" s="1"/>
  <c r="AG513" i="22"/>
  <c r="L513" i="26"/>
  <c r="O513" i="26" s="1"/>
  <c r="AG569" i="22"/>
  <c r="L569" i="26"/>
  <c r="O569" i="26" s="1"/>
  <c r="AG585" i="22"/>
  <c r="L585" i="26"/>
  <c r="O585" i="26" s="1"/>
  <c r="AG601" i="22"/>
  <c r="L601" i="26"/>
  <c r="O601" i="26" s="1"/>
  <c r="AG845" i="22"/>
  <c r="L845" i="26"/>
  <c r="O845" i="26" s="1"/>
  <c r="AG864" i="22"/>
  <c r="L864" i="26"/>
  <c r="O864" i="26" s="1"/>
  <c r="AG883" i="22"/>
  <c r="L883" i="26"/>
  <c r="O883" i="26" s="1"/>
  <c r="AG927" i="22"/>
  <c r="L927" i="26"/>
  <c r="O927" i="26" s="1"/>
  <c r="AG1097" i="22"/>
  <c r="L1097" i="26"/>
  <c r="O1097" i="26" s="1"/>
  <c r="AG1113" i="22"/>
  <c r="L1113" i="26"/>
  <c r="O1113" i="26" s="1"/>
  <c r="AG1131" i="22"/>
  <c r="L1131" i="26"/>
  <c r="O1131" i="26" s="1"/>
  <c r="AG1255" i="22"/>
  <c r="L1255" i="26"/>
  <c r="O1255" i="26" s="1"/>
  <c r="AG1271" i="22"/>
  <c r="L1271" i="26"/>
  <c r="O1271" i="26" s="1"/>
  <c r="AG1287" i="22"/>
  <c r="L1287" i="26"/>
  <c r="O1287" i="26" s="1"/>
  <c r="AG1342" i="22"/>
  <c r="L1342" i="26"/>
  <c r="O1342" i="26" s="1"/>
  <c r="AG1626" i="22"/>
  <c r="L1626" i="26"/>
  <c r="O1626" i="26" s="1"/>
  <c r="AG1642" i="22"/>
  <c r="L1642" i="26"/>
  <c r="O1642" i="26" s="1"/>
  <c r="AG1658" i="22"/>
  <c r="L1658" i="26"/>
  <c r="O1658" i="26" s="1"/>
  <c r="AG1631" i="22"/>
  <c r="L1631" i="26"/>
  <c r="O1631" i="26" s="1"/>
  <c r="AG1647" i="22"/>
  <c r="L1647" i="26"/>
  <c r="O1647" i="26" s="1"/>
  <c r="AG1663" i="22"/>
  <c r="L1663" i="26"/>
  <c r="O1663" i="26" s="1"/>
  <c r="AG1636" i="22"/>
  <c r="L1636" i="26"/>
  <c r="O1636" i="26" s="1"/>
  <c r="AG1652" i="22"/>
  <c r="L1652" i="26"/>
  <c r="O1652" i="26" s="1"/>
  <c r="AG1621" i="22"/>
  <c r="L1621" i="26"/>
  <c r="O1621" i="26" s="1"/>
  <c r="AG1637" i="22"/>
  <c r="L1637" i="26"/>
  <c r="O1637" i="26" s="1"/>
  <c r="AG1653" i="22"/>
  <c r="L1653" i="26"/>
  <c r="O1653" i="26" s="1"/>
  <c r="AG1666" i="22"/>
  <c r="L2086" i="26"/>
  <c r="O2086" i="26" s="1"/>
  <c r="L2084" i="26"/>
  <c r="O2084" i="26" s="1"/>
  <c r="L2082" i="26"/>
  <c r="O2082" i="26" s="1"/>
  <c r="L2080" i="26"/>
  <c r="O2080" i="26" s="1"/>
  <c r="L2078" i="26"/>
  <c r="O2078" i="26" s="1"/>
  <c r="L2076" i="26"/>
  <c r="O2076" i="26" s="1"/>
  <c r="L2074" i="26"/>
  <c r="O2074" i="26" s="1"/>
  <c r="L2072" i="26"/>
  <c r="O2072" i="26" s="1"/>
  <c r="L2070" i="26"/>
  <c r="O2070" i="26" s="1"/>
  <c r="L2068" i="26"/>
  <c r="O2068" i="26" s="1"/>
  <c r="L2066" i="26"/>
  <c r="L2064" i="26"/>
  <c r="O2064" i="26" s="1"/>
  <c r="L2062" i="26"/>
  <c r="O2062" i="26" s="1"/>
  <c r="L2060" i="26"/>
  <c r="O2060" i="26" s="1"/>
  <c r="L2058" i="26"/>
  <c r="O2058" i="26" s="1"/>
  <c r="L2056" i="26"/>
  <c r="L2054" i="26"/>
  <c r="O2054" i="26" s="1"/>
  <c r="L2052" i="26"/>
  <c r="O2052" i="26" s="1"/>
  <c r="L2050" i="26"/>
  <c r="L2048" i="26"/>
  <c r="O2048" i="26" s="1"/>
  <c r="L2046" i="26"/>
  <c r="L2044" i="26"/>
  <c r="O2044" i="26" s="1"/>
  <c r="L2042" i="26"/>
  <c r="O2042" i="26" s="1"/>
  <c r="L2040" i="26"/>
  <c r="L2038" i="26"/>
  <c r="O2038" i="26" s="1"/>
  <c r="L2036" i="26"/>
  <c r="O2036" i="26" s="1"/>
  <c r="L2034" i="26"/>
  <c r="O2034" i="26" s="1"/>
  <c r="L2032" i="26"/>
  <c r="O2032" i="26" s="1"/>
  <c r="L2030" i="26"/>
  <c r="O2030" i="26" s="1"/>
  <c r="L2028" i="26"/>
  <c r="O2028" i="26" s="1"/>
  <c r="L2026" i="26"/>
  <c r="O2026" i="26" s="1"/>
  <c r="L2024" i="26"/>
  <c r="O2024" i="26" s="1"/>
  <c r="L2022" i="26"/>
  <c r="O2022" i="26" s="1"/>
  <c r="L2020" i="26"/>
  <c r="O2020" i="26" s="1"/>
  <c r="L2018" i="26"/>
  <c r="O2018" i="26" s="1"/>
  <c r="L2016" i="26"/>
  <c r="O2016" i="26" s="1"/>
  <c r="L2014" i="26"/>
  <c r="O2014" i="26" s="1"/>
  <c r="L2012" i="26"/>
  <c r="O2012" i="26" s="1"/>
  <c r="L2010" i="26"/>
  <c r="O2010" i="26" s="1"/>
  <c r="L2008" i="26"/>
  <c r="O2008" i="26" s="1"/>
  <c r="L2006" i="26"/>
  <c r="O2006" i="26" s="1"/>
  <c r="L2004" i="26"/>
  <c r="O2004" i="26" s="1"/>
  <c r="L2002" i="26"/>
  <c r="L2000" i="26"/>
  <c r="O2000" i="26" s="1"/>
  <c r="L1998" i="26"/>
  <c r="O1998" i="26" s="1"/>
  <c r="L1996" i="26"/>
  <c r="O1996" i="26" s="1"/>
  <c r="L1994" i="26"/>
  <c r="O1994" i="26" s="1"/>
  <c r="L1992" i="26"/>
  <c r="L1990" i="26"/>
  <c r="O1990" i="26" s="1"/>
  <c r="L1988" i="26"/>
  <c r="O1988" i="26" s="1"/>
  <c r="L1986" i="26"/>
  <c r="L2081" i="26"/>
  <c r="L2073" i="26"/>
  <c r="O2073" i="26" s="1"/>
  <c r="L2065" i="26"/>
  <c r="O2065" i="26" s="1"/>
  <c r="L2057" i="26"/>
  <c r="O2057" i="26" s="1"/>
  <c r="L2049" i="26"/>
  <c r="O2049" i="26" s="1"/>
  <c r="L2041" i="26"/>
  <c r="O2041" i="26" s="1"/>
  <c r="L2033" i="26"/>
  <c r="O2033" i="26" s="1"/>
  <c r="L2025" i="26"/>
  <c r="O2025" i="26" s="1"/>
  <c r="L2017" i="26"/>
  <c r="O2017" i="26" s="1"/>
  <c r="L2009" i="26"/>
  <c r="O2009" i="26" s="1"/>
  <c r="L2001" i="26"/>
  <c r="O2001" i="26" s="1"/>
  <c r="L1993" i="26"/>
  <c r="O1993" i="26" s="1"/>
  <c r="L2083" i="26"/>
  <c r="O2083" i="26" s="1"/>
  <c r="L2075" i="26"/>
  <c r="L2067" i="26"/>
  <c r="O2067" i="26" s="1"/>
  <c r="L2059" i="26"/>
  <c r="O2059" i="26" s="1"/>
  <c r="L2051" i="26"/>
  <c r="O2051" i="26" s="1"/>
  <c r="L2043" i="26"/>
  <c r="O2043" i="26" s="1"/>
  <c r="L2035" i="26"/>
  <c r="O2035" i="26" s="1"/>
  <c r="L2027" i="26"/>
  <c r="L2019" i="26"/>
  <c r="O2019" i="26" s="1"/>
  <c r="L2011" i="26"/>
  <c r="L2003" i="26"/>
  <c r="O2003" i="26" s="1"/>
  <c r="L1995" i="26"/>
  <c r="O1995" i="26" s="1"/>
  <c r="L1987" i="26"/>
  <c r="O1987" i="26" s="1"/>
  <c r="L1666" i="26"/>
  <c r="O1666" i="26" s="1"/>
  <c r="L2085" i="26"/>
  <c r="O2085" i="26" s="1"/>
  <c r="L2077" i="26"/>
  <c r="O2077" i="26" s="1"/>
  <c r="L2069" i="26"/>
  <c r="O2069" i="26" s="1"/>
  <c r="L2061" i="26"/>
  <c r="O2061" i="26" s="1"/>
  <c r="L2053" i="26"/>
  <c r="O2053" i="26" s="1"/>
  <c r="L2045" i="26"/>
  <c r="O2045" i="26" s="1"/>
  <c r="L2037" i="26"/>
  <c r="L2029" i="26"/>
  <c r="O2029" i="26" s="1"/>
  <c r="L2021" i="26"/>
  <c r="O2021" i="26" s="1"/>
  <c r="L2013" i="26"/>
  <c r="O2013" i="26" s="1"/>
  <c r="L2005" i="26"/>
  <c r="O2005" i="26" s="1"/>
  <c r="L1997" i="26"/>
  <c r="O1997" i="26" s="1"/>
  <c r="L1989" i="26"/>
  <c r="O1989" i="26" s="1"/>
  <c r="L2071" i="26"/>
  <c r="O2071" i="26" s="1"/>
  <c r="L2039" i="26"/>
  <c r="O2039" i="26" s="1"/>
  <c r="L2007" i="26"/>
  <c r="O2007" i="26" s="1"/>
  <c r="L2063" i="26"/>
  <c r="O2063" i="26" s="1"/>
  <c r="L2031" i="26"/>
  <c r="L1999" i="26"/>
  <c r="O1999" i="26" s="1"/>
  <c r="L2087" i="26"/>
  <c r="O2087" i="26" s="1"/>
  <c r="L2055" i="26"/>
  <c r="O2055" i="26" s="1"/>
  <c r="L2023" i="26"/>
  <c r="O2023" i="26" s="1"/>
  <c r="L1991" i="26"/>
  <c r="O1991" i="26" s="1"/>
  <c r="L2079" i="26"/>
  <c r="L2047" i="26"/>
  <c r="O2047" i="26" s="1"/>
  <c r="L2015" i="26"/>
  <c r="AG1682" i="22"/>
  <c r="L1682" i="26"/>
  <c r="O1682" i="26" s="1"/>
  <c r="AG1698" i="22"/>
  <c r="L1698" i="26"/>
  <c r="O1698" i="26" s="1"/>
  <c r="AG1714" i="22"/>
  <c r="L1714" i="26"/>
  <c r="O1714" i="26" s="1"/>
  <c r="AG1730" i="22"/>
  <c r="L1730" i="26"/>
  <c r="O1730" i="26" s="1"/>
  <c r="AG1675" i="22"/>
  <c r="L1675" i="26"/>
  <c r="O1675" i="26" s="1"/>
  <c r="AG1691" i="22"/>
  <c r="L1691" i="26"/>
  <c r="O1691" i="26" s="1"/>
  <c r="AG1707" i="22"/>
  <c r="L1707" i="26"/>
  <c r="O1707" i="26" s="1"/>
  <c r="AG1723" i="22"/>
  <c r="L1723" i="26"/>
  <c r="O1723" i="26" s="1"/>
  <c r="AG1668" i="22"/>
  <c r="L1668" i="26"/>
  <c r="O1668" i="26" s="1"/>
  <c r="AG1684" i="22"/>
  <c r="L1684" i="26"/>
  <c r="O1684" i="26" s="1"/>
  <c r="AG1700" i="22"/>
  <c r="L1700" i="26"/>
  <c r="O1700" i="26" s="1"/>
  <c r="AG1716" i="22"/>
  <c r="L1716" i="26"/>
  <c r="O1716" i="26" s="1"/>
  <c r="AG1732" i="22"/>
  <c r="L1732" i="26"/>
  <c r="O1732" i="26" s="1"/>
  <c r="AG1677" i="22"/>
  <c r="L1677" i="26"/>
  <c r="O1677" i="26" s="1"/>
  <c r="AG1693" i="22"/>
  <c r="L1693" i="26"/>
  <c r="O1693" i="26" s="1"/>
  <c r="AG1709" i="22"/>
  <c r="L1709" i="26"/>
  <c r="O1709" i="26" s="1"/>
  <c r="AG1725" i="22"/>
  <c r="L1725" i="26"/>
  <c r="O1725" i="26" s="1"/>
  <c r="AG2289" i="22"/>
  <c r="L2289" i="26"/>
  <c r="O2289" i="26" s="1"/>
  <c r="AG2305" i="22"/>
  <c r="L2305" i="26"/>
  <c r="O2305" i="26" s="1"/>
  <c r="AG2321" i="22"/>
  <c r="L2321" i="26"/>
  <c r="O2321" i="26" s="1"/>
  <c r="AG2337" i="22"/>
  <c r="L2337" i="26"/>
  <c r="O2337" i="26" s="1"/>
  <c r="AG2353" i="22"/>
  <c r="L2353" i="26"/>
  <c r="O2353" i="26" s="1"/>
  <c r="AG2369" i="22"/>
  <c r="L2369" i="26"/>
  <c r="O2369" i="26" s="1"/>
  <c r="AG2385" i="22"/>
  <c r="L2385" i="26"/>
  <c r="O2385" i="26" s="1"/>
  <c r="AG2401" i="22"/>
  <c r="L2401" i="26"/>
  <c r="O2401" i="26" s="1"/>
  <c r="AG2417" i="22"/>
  <c r="L2417" i="26"/>
  <c r="O2417" i="26" s="1"/>
  <c r="AG2433" i="22"/>
  <c r="L2433" i="26"/>
  <c r="O2433" i="26" s="1"/>
  <c r="AG2449" i="22"/>
  <c r="L2449" i="26"/>
  <c r="O2449" i="26" s="1"/>
  <c r="AG2465" i="22"/>
  <c r="L2465" i="26"/>
  <c r="O2465" i="26" s="1"/>
  <c r="AG2481" i="22"/>
  <c r="L2481" i="26"/>
  <c r="O2481" i="26" s="1"/>
  <c r="AG2497" i="22"/>
  <c r="L2497" i="26"/>
  <c r="O2497" i="26" s="1"/>
  <c r="AG2298" i="22"/>
  <c r="L2298" i="26"/>
  <c r="O2298" i="26" s="1"/>
  <c r="AG2314" i="22"/>
  <c r="L2314" i="26"/>
  <c r="O2314" i="26" s="1"/>
  <c r="AG2330" i="22"/>
  <c r="L2330" i="26"/>
  <c r="O2330" i="26" s="1"/>
  <c r="AG2346" i="22"/>
  <c r="L2346" i="26"/>
  <c r="O2346" i="26" s="1"/>
  <c r="AG2362" i="22"/>
  <c r="L2362" i="26"/>
  <c r="O2362" i="26" s="1"/>
  <c r="AG2378" i="22"/>
  <c r="L2378" i="26"/>
  <c r="O2378" i="26" s="1"/>
  <c r="AG2394" i="22"/>
  <c r="L2394" i="26"/>
  <c r="O2394" i="26" s="1"/>
  <c r="AG2410" i="22"/>
  <c r="L2410" i="26"/>
  <c r="O2410" i="26" s="1"/>
  <c r="AG2426" i="22"/>
  <c r="L2426" i="26"/>
  <c r="O2426" i="26" s="1"/>
  <c r="AG2442" i="22"/>
  <c r="L2442" i="26"/>
  <c r="O2442" i="26" s="1"/>
  <c r="AG2458" i="22"/>
  <c r="L2458" i="26"/>
  <c r="O2458" i="26" s="1"/>
  <c r="AG2474" i="22"/>
  <c r="L2474" i="26"/>
  <c r="O2474" i="26" s="1"/>
  <c r="AG2490" i="22"/>
  <c r="L2490" i="26"/>
  <c r="O2490" i="26" s="1"/>
  <c r="AG2291" i="22"/>
  <c r="L2291" i="26"/>
  <c r="O2291" i="26" s="1"/>
  <c r="AG2307" i="22"/>
  <c r="L2307" i="26"/>
  <c r="O2307" i="26" s="1"/>
  <c r="AG2323" i="22"/>
  <c r="L2323" i="26"/>
  <c r="O2323" i="26" s="1"/>
  <c r="AG2339" i="22"/>
  <c r="L2339" i="26"/>
  <c r="O2339" i="26" s="1"/>
  <c r="AG2355" i="22"/>
  <c r="L2355" i="26"/>
  <c r="O2355" i="26" s="1"/>
  <c r="AG2371" i="22"/>
  <c r="L2371" i="26"/>
  <c r="O2371" i="26" s="1"/>
  <c r="AG2387" i="22"/>
  <c r="L2387" i="26"/>
  <c r="O2387" i="26" s="1"/>
  <c r="AG2403" i="22"/>
  <c r="L2403" i="26"/>
  <c r="O2403" i="26" s="1"/>
  <c r="AG2419" i="22"/>
  <c r="L2419" i="26"/>
  <c r="O2419" i="26" s="1"/>
  <c r="AG2435" i="22"/>
  <c r="L2435" i="26"/>
  <c r="O2435" i="26" s="1"/>
  <c r="AG2451" i="22"/>
  <c r="L2451" i="26"/>
  <c r="O2451" i="26" s="1"/>
  <c r="AG2467" i="22"/>
  <c r="L2467" i="26"/>
  <c r="O2467" i="26" s="1"/>
  <c r="AG2483" i="22"/>
  <c r="L2483" i="26"/>
  <c r="O2483" i="26" s="1"/>
  <c r="AG2499" i="22"/>
  <c r="L2499" i="26"/>
  <c r="O2499" i="26" s="1"/>
  <c r="AG2296" i="22"/>
  <c r="L2296" i="26"/>
  <c r="O2296" i="26" s="1"/>
  <c r="AG2312" i="22"/>
  <c r="L2312" i="26"/>
  <c r="O2312" i="26" s="1"/>
  <c r="AG2328" i="22"/>
  <c r="L2328" i="26"/>
  <c r="O2328" i="26" s="1"/>
  <c r="AG2344" i="22"/>
  <c r="L2344" i="26"/>
  <c r="O2344" i="26" s="1"/>
  <c r="AG2360" i="22"/>
  <c r="L2360" i="26"/>
  <c r="O2360" i="26" s="1"/>
  <c r="AG2376" i="22"/>
  <c r="L2376" i="26"/>
  <c r="O2376" i="26" s="1"/>
  <c r="AG2392" i="22"/>
  <c r="L2392" i="26"/>
  <c r="O2392" i="26" s="1"/>
  <c r="AG2408" i="22"/>
  <c r="L2408" i="26"/>
  <c r="O2408" i="26" s="1"/>
  <c r="AG2424" i="22"/>
  <c r="L2424" i="26"/>
  <c r="O2424" i="26" s="1"/>
  <c r="AG2440" i="22"/>
  <c r="L2440" i="26"/>
  <c r="O2440" i="26" s="1"/>
  <c r="AG2456" i="22"/>
  <c r="L2456" i="26"/>
  <c r="O2456" i="26" s="1"/>
  <c r="AG2472" i="22"/>
  <c r="L2472" i="26"/>
  <c r="O2472" i="26" s="1"/>
  <c r="AG2488" i="22"/>
  <c r="L2488" i="26"/>
  <c r="O2488" i="26" s="1"/>
  <c r="AG2504" i="22"/>
  <c r="L2504" i="26"/>
  <c r="O2504" i="26" s="1"/>
  <c r="AG2121" i="22"/>
  <c r="L2121" i="26"/>
  <c r="O2121" i="26" s="1"/>
  <c r="AG2137" i="22"/>
  <c r="L2137" i="26"/>
  <c r="O2137" i="26" s="1"/>
  <c r="AG2197" i="22"/>
  <c r="L2197" i="26"/>
  <c r="O2197" i="26" s="1"/>
  <c r="AG2249" i="22"/>
  <c r="L2249" i="26"/>
  <c r="O2249" i="26" s="1"/>
  <c r="AG2126" i="22"/>
  <c r="L2126" i="26"/>
  <c r="O2126" i="26" s="1"/>
  <c r="AG2142" i="22"/>
  <c r="L2142" i="26"/>
  <c r="O2142" i="26" s="1"/>
  <c r="AG2238" i="22"/>
  <c r="L2238" i="26"/>
  <c r="O2238" i="26" s="1"/>
  <c r="AG2254" i="22"/>
  <c r="L2254" i="26"/>
  <c r="O2254" i="26" s="1"/>
  <c r="AG2127" i="22"/>
  <c r="L2127" i="26"/>
  <c r="O2127" i="26" s="1"/>
  <c r="AG2143" i="22"/>
  <c r="L2143" i="26"/>
  <c r="O2143" i="26" s="1"/>
  <c r="AG2239" i="22"/>
  <c r="L2239" i="26"/>
  <c r="O2239" i="26" s="1"/>
  <c r="AG2255" i="22"/>
  <c r="L2255" i="26"/>
  <c r="O2255" i="26" s="1"/>
  <c r="AG2128" i="22"/>
  <c r="L2128" i="26"/>
  <c r="O2128" i="26" s="1"/>
  <c r="AG2144" i="22"/>
  <c r="L2144" i="26"/>
  <c r="O2144" i="26" s="1"/>
  <c r="AG2240" i="22"/>
  <c r="L2240" i="26"/>
  <c r="O2240" i="26" s="1"/>
  <c r="AG2256" i="22"/>
  <c r="L2256" i="26"/>
  <c r="O2256" i="26" s="1"/>
  <c r="AG2101" i="22"/>
  <c r="L2101" i="26"/>
  <c r="O2101" i="26" s="1"/>
  <c r="AG2117" i="22"/>
  <c r="L2117" i="26"/>
  <c r="O2117" i="26" s="1"/>
  <c r="AG2217" i="22"/>
  <c r="L2217" i="26"/>
  <c r="O2217" i="26" s="1"/>
  <c r="AG2233" i="22"/>
  <c r="L2233" i="26"/>
  <c r="O2233" i="26" s="1"/>
  <c r="AG2098" i="22"/>
  <c r="L2098" i="26"/>
  <c r="O2098" i="26" s="1"/>
  <c r="AG2114" i="22"/>
  <c r="L2114" i="26"/>
  <c r="O2114" i="26" s="1"/>
  <c r="AG2190" i="22"/>
  <c r="L2190" i="26"/>
  <c r="O2190" i="26" s="1"/>
  <c r="AG2230" i="22"/>
  <c r="L2230" i="26"/>
  <c r="O2230" i="26" s="1"/>
  <c r="AG2099" i="22"/>
  <c r="L2099" i="26"/>
  <c r="O2099" i="26" s="1"/>
  <c r="AG2115" i="22"/>
  <c r="L2115" i="26"/>
  <c r="O2115" i="26" s="1"/>
  <c r="AG2215" i="22"/>
  <c r="L2215" i="26"/>
  <c r="O2215" i="26" s="1"/>
  <c r="AG2231" i="22"/>
  <c r="L2231" i="26"/>
  <c r="O2231" i="26" s="1"/>
  <c r="AG2096" i="22"/>
  <c r="L2096" i="26"/>
  <c r="O2096" i="26" s="1"/>
  <c r="AG2112" i="22"/>
  <c r="L2112" i="26"/>
  <c r="O2112" i="26" s="1"/>
  <c r="AG2188" i="22"/>
  <c r="L2188" i="26"/>
  <c r="O2188" i="26" s="1"/>
  <c r="AG2228" i="22"/>
  <c r="L2228" i="26"/>
  <c r="O2228" i="26" s="1"/>
  <c r="AG1542" i="22"/>
  <c r="L1542" i="26"/>
  <c r="O1542" i="26" s="1"/>
  <c r="AG1558" i="22"/>
  <c r="L1558" i="26"/>
  <c r="O1558" i="26" s="1"/>
  <c r="AG1574" i="22"/>
  <c r="L1574" i="26"/>
  <c r="O1574" i="26" s="1"/>
  <c r="AG1547" i="22"/>
  <c r="L1547" i="26"/>
  <c r="O1547" i="26" s="1"/>
  <c r="AG1563" i="22"/>
  <c r="L1563" i="26"/>
  <c r="O1563" i="26" s="1"/>
  <c r="AG1579" i="22"/>
  <c r="L1579" i="26"/>
  <c r="O1579" i="26" s="1"/>
  <c r="AG1548" i="22"/>
  <c r="L1548" i="26"/>
  <c r="O1548" i="26" s="1"/>
  <c r="AG1564" i="22"/>
  <c r="L1564" i="26"/>
  <c r="O1564" i="26" s="1"/>
  <c r="AG1537" i="22"/>
  <c r="L1537" i="26"/>
  <c r="O1537" i="26" s="1"/>
  <c r="AG1553" i="22"/>
  <c r="L1553" i="26"/>
  <c r="O1553" i="26" s="1"/>
  <c r="AG1569" i="22"/>
  <c r="L1569" i="26"/>
  <c r="O1569" i="26" s="1"/>
  <c r="AG2153" i="22"/>
  <c r="L2153" i="26"/>
  <c r="O2153" i="26" s="1"/>
  <c r="AG2169" i="22"/>
  <c r="L2169" i="26"/>
  <c r="O2169" i="26" s="1"/>
  <c r="AG2209" i="22"/>
  <c r="L2209" i="26"/>
  <c r="O2209" i="26" s="1"/>
  <c r="AG2269" i="22"/>
  <c r="L2269" i="26"/>
  <c r="O2269" i="26" s="1"/>
  <c r="AG2146" i="22"/>
  <c r="L2146" i="26"/>
  <c r="O2146" i="26" s="1"/>
  <c r="AG2162" i="22"/>
  <c r="L2162" i="26"/>
  <c r="O2162" i="26" s="1"/>
  <c r="AG2178" i="22"/>
  <c r="L2178" i="26"/>
  <c r="O2178" i="26" s="1"/>
  <c r="AG2262" i="22"/>
  <c r="L2262" i="26"/>
  <c r="O2262" i="26" s="1"/>
  <c r="AG2278" i="22"/>
  <c r="L2278" i="26"/>
  <c r="O2278" i="26" s="1"/>
  <c r="AG2155" i="22"/>
  <c r="L2155" i="26"/>
  <c r="O2155" i="26" s="1"/>
  <c r="AG2171" i="22"/>
  <c r="L2171" i="26"/>
  <c r="O2171" i="26" s="1"/>
  <c r="AG2211" i="22"/>
  <c r="L2211" i="26"/>
  <c r="O2211" i="26" s="1"/>
  <c r="AG2275" i="22"/>
  <c r="L2275" i="26"/>
  <c r="O2275" i="26" s="1"/>
  <c r="AG2152" i="22"/>
  <c r="L2152" i="26"/>
  <c r="O2152" i="26" s="1"/>
  <c r="AG2168" i="22"/>
  <c r="L2168" i="26"/>
  <c r="O2168" i="26" s="1"/>
  <c r="AG2208" i="22"/>
  <c r="L2208" i="26"/>
  <c r="O2208" i="26" s="1"/>
  <c r="AG2268" i="22"/>
  <c r="L2268" i="26"/>
  <c r="O2268" i="26" s="1"/>
  <c r="AG256" i="22"/>
  <c r="L256" i="26"/>
  <c r="O256" i="26" s="1"/>
  <c r="AG272" i="22"/>
  <c r="L272" i="26"/>
  <c r="O272" i="26" s="1"/>
  <c r="AG291" i="22"/>
  <c r="L291" i="26"/>
  <c r="O291" i="26" s="1"/>
  <c r="AG403" i="22"/>
  <c r="L403" i="26"/>
  <c r="O403" i="26" s="1"/>
  <c r="AG423" i="22"/>
  <c r="L423" i="26"/>
  <c r="O423" i="26" s="1"/>
  <c r="AG442" i="22"/>
  <c r="L442" i="26"/>
  <c r="O442" i="26" s="1"/>
  <c r="AG534" i="22"/>
  <c r="L534" i="26"/>
  <c r="O534" i="26" s="1"/>
  <c r="AG550" i="22"/>
  <c r="L550" i="26"/>
  <c r="O550" i="26" s="1"/>
  <c r="AG566" i="22"/>
  <c r="L566" i="26"/>
  <c r="O566" i="26" s="1"/>
  <c r="AG721" i="22"/>
  <c r="L721" i="26"/>
  <c r="O721" i="26" s="1"/>
  <c r="AG741" i="22"/>
  <c r="L741" i="26"/>
  <c r="O741" i="26" s="1"/>
  <c r="AG760" i="22"/>
  <c r="L760" i="26"/>
  <c r="O760" i="26" s="1"/>
  <c r="AG912" i="22"/>
  <c r="L912" i="26"/>
  <c r="O912" i="26" s="1"/>
  <c r="AG988" i="22"/>
  <c r="L988" i="26"/>
  <c r="O988" i="26" s="1"/>
  <c r="AG1005" i="22"/>
  <c r="L1005" i="26"/>
  <c r="O1005" i="26" s="1"/>
  <c r="AG1024" i="22"/>
  <c r="L1024" i="26"/>
  <c r="O1024" i="26" s="1"/>
  <c r="AG1159" i="22"/>
  <c r="L1159" i="26"/>
  <c r="O1159" i="26" s="1"/>
  <c r="AG1175" i="22"/>
  <c r="L1175" i="26"/>
  <c r="O1175" i="26" s="1"/>
  <c r="AG1191" i="22"/>
  <c r="L1191" i="26"/>
  <c r="O1191" i="26" s="1"/>
  <c r="AG1312" i="22"/>
  <c r="L1312" i="26"/>
  <c r="O1312" i="26" s="1"/>
  <c r="AG265" i="22"/>
  <c r="L265" i="26"/>
  <c r="O265" i="26" s="1"/>
  <c r="AG283" i="22"/>
  <c r="L283" i="26"/>
  <c r="O283" i="26" s="1"/>
  <c r="AG302" i="22"/>
  <c r="L302" i="26"/>
  <c r="O302" i="26" s="1"/>
  <c r="AG414" i="22"/>
  <c r="L414" i="26"/>
  <c r="O414" i="26" s="1"/>
  <c r="AG434" i="22"/>
  <c r="L434" i="26"/>
  <c r="O434" i="26" s="1"/>
  <c r="AG454" i="22"/>
  <c r="L454" i="26"/>
  <c r="O454" i="26" s="1"/>
  <c r="AG543" i="22"/>
  <c r="L543" i="26"/>
  <c r="O543" i="26" s="1"/>
  <c r="AG559" i="22"/>
  <c r="L559" i="26"/>
  <c r="O559" i="26" s="1"/>
  <c r="AG708" i="22"/>
  <c r="L708" i="26"/>
  <c r="O708" i="26" s="1"/>
  <c r="AG727" i="22"/>
  <c r="L727" i="26"/>
  <c r="O727" i="26" s="1"/>
  <c r="AG747" i="22"/>
  <c r="L747" i="26"/>
  <c r="O747" i="26" s="1"/>
  <c r="AG766" i="22"/>
  <c r="L766" i="26"/>
  <c r="O766" i="26" s="1"/>
  <c r="AG973" i="22"/>
  <c r="L973" i="26"/>
  <c r="O973" i="26" s="1"/>
  <c r="AG989" i="22"/>
  <c r="L989" i="26"/>
  <c r="O989" i="26" s="1"/>
  <c r="AG1006" i="22"/>
  <c r="L1006" i="26"/>
  <c r="O1006" i="26" s="1"/>
  <c r="AG1025" i="22"/>
  <c r="L1025" i="26"/>
  <c r="O1025" i="26" s="1"/>
  <c r="AG1160" i="22"/>
  <c r="L1160" i="26"/>
  <c r="O1160" i="26" s="1"/>
  <c r="AG1176" i="22"/>
  <c r="L1176" i="26"/>
  <c r="O1176" i="26" s="1"/>
  <c r="AG1192" i="22"/>
  <c r="L1192" i="26"/>
  <c r="O1192" i="26" s="1"/>
  <c r="AG1313" i="22"/>
  <c r="L1313" i="26"/>
  <c r="O1313" i="26" s="1"/>
  <c r="AG262" i="22"/>
  <c r="L262" i="26"/>
  <c r="O262" i="26" s="1"/>
  <c r="AG280" i="22"/>
  <c r="L280" i="26"/>
  <c r="O280" i="26" s="1"/>
  <c r="AG299" i="22"/>
  <c r="L299" i="26"/>
  <c r="O299" i="26" s="1"/>
  <c r="AG410" i="22"/>
  <c r="L410" i="26"/>
  <c r="O410" i="26" s="1"/>
  <c r="AG430" i="22"/>
  <c r="L430" i="26"/>
  <c r="O430" i="26" s="1"/>
  <c r="AG450" i="22"/>
  <c r="L450" i="26"/>
  <c r="O450" i="26" s="1"/>
  <c r="AG540" i="22"/>
  <c r="L540" i="26"/>
  <c r="O540" i="26" s="1"/>
  <c r="AG556" i="22"/>
  <c r="L556" i="26"/>
  <c r="O556" i="26" s="1"/>
  <c r="AG709" i="22"/>
  <c r="L709" i="26"/>
  <c r="O709" i="26" s="1"/>
  <c r="AG728" i="22"/>
  <c r="L728" i="26"/>
  <c r="O728" i="26" s="1"/>
  <c r="AG748" i="22"/>
  <c r="L748" i="26"/>
  <c r="O748" i="26" s="1"/>
  <c r="AG767" i="22"/>
  <c r="L767" i="26"/>
  <c r="O767" i="26" s="1"/>
  <c r="AG974" i="22"/>
  <c r="L974" i="26"/>
  <c r="O974" i="26" s="1"/>
  <c r="AG990" i="22"/>
  <c r="L990" i="26"/>
  <c r="O990" i="26" s="1"/>
  <c r="AG1007" i="22"/>
  <c r="L1007" i="26"/>
  <c r="O1007" i="26" s="1"/>
  <c r="AG1026" i="22"/>
  <c r="L1026" i="26"/>
  <c r="O1026" i="26" s="1"/>
  <c r="AG1157" i="22"/>
  <c r="L1157" i="26"/>
  <c r="O1157" i="26" s="1"/>
  <c r="AG1173" i="22"/>
  <c r="L1173" i="26"/>
  <c r="O1173" i="26" s="1"/>
  <c r="AG1189" i="22"/>
  <c r="L1189" i="26"/>
  <c r="O1189" i="26" s="1"/>
  <c r="AG1310" i="22"/>
  <c r="L1310" i="26"/>
  <c r="O1310" i="26" s="1"/>
  <c r="AG263" i="22"/>
  <c r="L263" i="26"/>
  <c r="O263" i="26" s="1"/>
  <c r="AG281" i="22"/>
  <c r="L281" i="26"/>
  <c r="O281" i="26" s="1"/>
  <c r="AG300" i="22"/>
  <c r="L300" i="26"/>
  <c r="O300" i="26" s="1"/>
  <c r="AG416" i="22"/>
  <c r="L416" i="26"/>
  <c r="O416" i="26" s="1"/>
  <c r="AG436" i="22"/>
  <c r="L436" i="26"/>
  <c r="O436" i="26" s="1"/>
  <c r="AG456" i="22"/>
  <c r="L456" i="26"/>
  <c r="O456" i="26" s="1"/>
  <c r="AG545" i="22"/>
  <c r="L545" i="26"/>
  <c r="O545" i="26" s="1"/>
  <c r="AG561" i="22"/>
  <c r="L561" i="26"/>
  <c r="O561" i="26" s="1"/>
  <c r="AG715" i="22"/>
  <c r="L715" i="26"/>
  <c r="O715" i="26" s="1"/>
  <c r="AG735" i="22"/>
  <c r="L735" i="26"/>
  <c r="O735" i="26" s="1"/>
  <c r="AG754" i="22"/>
  <c r="L754" i="26"/>
  <c r="O754" i="26" s="1"/>
  <c r="AG907" i="22"/>
  <c r="L907" i="26"/>
  <c r="O907" i="26" s="1"/>
  <c r="AG983" i="22"/>
  <c r="L983" i="26"/>
  <c r="O983" i="26" s="1"/>
  <c r="AG999" i="22"/>
  <c r="L999" i="26"/>
  <c r="O999" i="26" s="1"/>
  <c r="AG1018" i="22"/>
  <c r="L1018" i="26"/>
  <c r="O1018" i="26" s="1"/>
  <c r="AG1150" i="22"/>
  <c r="L1150" i="26"/>
  <c r="O1150" i="26" s="1"/>
  <c r="AG1166" i="22"/>
  <c r="L1166" i="26"/>
  <c r="O1166" i="26" s="1"/>
  <c r="AG1182" i="22"/>
  <c r="L1182" i="26"/>
  <c r="O1182" i="26" s="1"/>
  <c r="AG1299" i="22"/>
  <c r="L1299" i="26"/>
  <c r="O1299" i="26" s="1"/>
  <c r="AG1315" i="22"/>
  <c r="L1315" i="26"/>
  <c r="O1315" i="26" s="1"/>
  <c r="AG2561" i="22"/>
  <c r="L2561" i="26"/>
  <c r="O2561" i="26" s="1"/>
  <c r="AG2577" i="22"/>
  <c r="L2577" i="26"/>
  <c r="O2577" i="26" s="1"/>
  <c r="AG2562" i="22"/>
  <c r="L2562" i="26"/>
  <c r="O2562" i="26" s="1"/>
  <c r="AG2578" i="22"/>
  <c r="L2578" i="26"/>
  <c r="O2578" i="26" s="1"/>
  <c r="AG2563" i="22"/>
  <c r="L2563" i="26"/>
  <c r="O2563" i="26" s="1"/>
  <c r="AG2552" i="22"/>
  <c r="L2552" i="26"/>
  <c r="O2552" i="26" s="1"/>
  <c r="AG2568" i="22"/>
  <c r="L2568" i="26"/>
  <c r="O2568" i="26" s="1"/>
  <c r="AG1586" i="22"/>
  <c r="L1586" i="26"/>
  <c r="O1586" i="26" s="1"/>
  <c r="AG1602" i="22"/>
  <c r="L1602" i="26"/>
  <c r="O1602" i="26" s="1"/>
  <c r="AG1618" i="22"/>
  <c r="L1618" i="26"/>
  <c r="O1618" i="26" s="1"/>
  <c r="AG1595" i="22"/>
  <c r="L1595" i="26"/>
  <c r="O1595" i="26" s="1"/>
  <c r="AG1611" i="22"/>
  <c r="L1611" i="26"/>
  <c r="O1611" i="26" s="1"/>
  <c r="AG1584" i="22"/>
  <c r="L1584" i="26"/>
  <c r="O1584" i="26" s="1"/>
  <c r="AG1600" i="22"/>
  <c r="L1600" i="26"/>
  <c r="O1600" i="26" s="1"/>
  <c r="AG1616" i="22"/>
  <c r="L1616" i="26"/>
  <c r="O1616" i="26" s="1"/>
  <c r="AG1589" i="22"/>
  <c r="L1589" i="26"/>
  <c r="O1589" i="26" s="1"/>
  <c r="AG1605" i="22"/>
  <c r="L1605" i="26"/>
  <c r="O1605" i="26" s="1"/>
  <c r="AG144" i="22"/>
  <c r="L144" i="26"/>
  <c r="O144" i="26" s="1"/>
  <c r="AG142" i="22"/>
  <c r="L142" i="26"/>
  <c r="O142" i="26" s="1"/>
  <c r="AG1974" i="22"/>
  <c r="L1974" i="26"/>
  <c r="O1974" i="26" s="1"/>
  <c r="AG342" i="22"/>
  <c r="L342" i="26"/>
  <c r="O342" i="26" s="1"/>
  <c r="AG489" i="22"/>
  <c r="L489" i="26"/>
  <c r="O489" i="26" s="1"/>
  <c r="AG586" i="22"/>
  <c r="L586" i="26"/>
  <c r="O586" i="26" s="1"/>
  <c r="AG885" i="22"/>
  <c r="L885" i="26"/>
  <c r="O885" i="26" s="1"/>
  <c r="AG1128" i="22"/>
  <c r="L1128" i="26"/>
  <c r="O1128" i="26" s="1"/>
  <c r="AG1296" i="22"/>
  <c r="L1296" i="26"/>
  <c r="O1296" i="26" s="1"/>
  <c r="AG313" i="22"/>
  <c r="L313" i="26"/>
  <c r="O313" i="26" s="1"/>
  <c r="AG476" i="22"/>
  <c r="L476" i="26"/>
  <c r="O476" i="26" s="1"/>
  <c r="AG575" i="22"/>
  <c r="L575" i="26"/>
  <c r="O575" i="26" s="1"/>
  <c r="AG876" i="22"/>
  <c r="L876" i="26"/>
  <c r="O876" i="26" s="1"/>
  <c r="AG1124" i="22"/>
  <c r="L1124" i="26"/>
  <c r="O1124" i="26" s="1"/>
  <c r="AG1261" i="22"/>
  <c r="L1261" i="26"/>
  <c r="O1261" i="26" s="1"/>
  <c r="AG1348" i="22"/>
  <c r="L1348" i="26"/>
  <c r="O1348" i="26" s="1"/>
  <c r="AG326" i="22"/>
  <c r="L326" i="26"/>
  <c r="O326" i="26" s="1"/>
  <c r="AG472" i="22"/>
  <c r="L472" i="26"/>
  <c r="O472" i="26" s="1"/>
  <c r="AG512" i="22"/>
  <c r="L512" i="26"/>
  <c r="O512" i="26" s="1"/>
  <c r="AG600" i="22"/>
  <c r="L600" i="26"/>
  <c r="O600" i="26" s="1"/>
  <c r="AG868" i="22"/>
  <c r="L868" i="26"/>
  <c r="O868" i="26" s="1"/>
  <c r="AG1116" i="22"/>
  <c r="L1116" i="26"/>
  <c r="O1116" i="26" s="1"/>
  <c r="AG1122" i="22"/>
  <c r="L1122" i="26"/>
  <c r="O1122" i="26" s="1"/>
  <c r="AG1263" i="22"/>
  <c r="L1263" i="26"/>
  <c r="O1263" i="26" s="1"/>
  <c r="AG1295" i="22"/>
  <c r="L1295" i="26"/>
  <c r="O1295" i="26" s="1"/>
  <c r="AG1650" i="22"/>
  <c r="L1650" i="26"/>
  <c r="O1650" i="26" s="1"/>
  <c r="AG1639" i="22"/>
  <c r="L1639" i="26"/>
  <c r="O1639" i="26" s="1"/>
  <c r="AG1628" i="22"/>
  <c r="L1628" i="26"/>
  <c r="O1628" i="26" s="1"/>
  <c r="AG1660" i="22"/>
  <c r="L1660" i="26"/>
  <c r="O1660" i="26" s="1"/>
  <c r="AG1645" i="22"/>
  <c r="L1645" i="26"/>
  <c r="O1645" i="26" s="1"/>
  <c r="AG1674" i="22"/>
  <c r="L1674" i="26"/>
  <c r="O1674" i="26" s="1"/>
  <c r="AG1706" i="22"/>
  <c r="L1706" i="26"/>
  <c r="O1706" i="26" s="1"/>
  <c r="AG1667" i="22"/>
  <c r="L1667" i="26"/>
  <c r="O1667" i="26" s="1"/>
  <c r="AG1715" i="22"/>
  <c r="L1715" i="26"/>
  <c r="O1715" i="26" s="1"/>
  <c r="AG1676" i="22"/>
  <c r="L1676" i="26"/>
  <c r="O1676" i="26" s="1"/>
  <c r="AG1708" i="22"/>
  <c r="L1708" i="26"/>
  <c r="O1708" i="26" s="1"/>
  <c r="AG1669" i="22"/>
  <c r="L1669" i="26"/>
  <c r="O1669" i="26" s="1"/>
  <c r="AG1701" i="22"/>
  <c r="L1701" i="26"/>
  <c r="O1701" i="26" s="1"/>
  <c r="AG1733" i="22"/>
  <c r="L1733" i="26"/>
  <c r="O1733" i="26" s="1"/>
  <c r="AG2313" i="22"/>
  <c r="L2313" i="26"/>
  <c r="O2313" i="26" s="1"/>
  <c r="AG2361" i="22"/>
  <c r="L2361" i="26"/>
  <c r="O2361" i="26" s="1"/>
  <c r="AG2409" i="22"/>
  <c r="L2409" i="26"/>
  <c r="O2409" i="26" s="1"/>
  <c r="AG2441" i="22"/>
  <c r="L2441" i="26"/>
  <c r="O2441" i="26" s="1"/>
  <c r="AG2489" i="22"/>
  <c r="L2489" i="26"/>
  <c r="O2489" i="26" s="1"/>
  <c r="AG2322" i="22"/>
  <c r="L2322" i="26"/>
  <c r="O2322" i="26" s="1"/>
  <c r="AG2370" i="22"/>
  <c r="L2370" i="26"/>
  <c r="O2370" i="26" s="1"/>
  <c r="AG2418" i="22"/>
  <c r="L2418" i="26"/>
  <c r="O2418" i="26" s="1"/>
  <c r="AG2466" i="22"/>
  <c r="L2466" i="26"/>
  <c r="O2466" i="26" s="1"/>
  <c r="AG2315" i="22"/>
  <c r="L2315" i="26"/>
  <c r="O2315" i="26" s="1"/>
  <c r="AG2363" i="22"/>
  <c r="L2363" i="26"/>
  <c r="O2363" i="26" s="1"/>
  <c r="AG2411" i="22"/>
  <c r="L2411" i="26"/>
  <c r="O2411" i="26" s="1"/>
  <c r="AG2459" i="22"/>
  <c r="L2459" i="26"/>
  <c r="O2459" i="26" s="1"/>
  <c r="AG2288" i="22"/>
  <c r="L2288" i="26"/>
  <c r="O2288" i="26" s="1"/>
  <c r="AG2336" i="22"/>
  <c r="L2336" i="26"/>
  <c r="O2336" i="26" s="1"/>
  <c r="AG2384" i="22"/>
  <c r="L2384" i="26"/>
  <c r="O2384" i="26" s="1"/>
  <c r="AG2416" i="22"/>
  <c r="L2416" i="26"/>
  <c r="O2416" i="26" s="1"/>
  <c r="AG2464" i="22"/>
  <c r="L2464" i="26"/>
  <c r="O2464" i="26" s="1"/>
  <c r="AG2241" i="22"/>
  <c r="L2241" i="26"/>
  <c r="O2241" i="26" s="1"/>
  <c r="AG2198" i="22"/>
  <c r="L2198" i="26"/>
  <c r="O2198" i="26" s="1"/>
  <c r="AG2135" i="22"/>
  <c r="L2135" i="26"/>
  <c r="O2135" i="26" s="1"/>
  <c r="AG2120" i="22"/>
  <c r="L2120" i="26"/>
  <c r="O2120" i="26" s="1"/>
  <c r="AG2248" i="22"/>
  <c r="L2248" i="26"/>
  <c r="O2248" i="26" s="1"/>
  <c r="AG2185" i="22"/>
  <c r="L2185" i="26"/>
  <c r="O2185" i="26" s="1"/>
  <c r="AG2182" i="22"/>
  <c r="L2182" i="26"/>
  <c r="O2182" i="26" s="1"/>
  <c r="AG2107" i="22"/>
  <c r="L2107" i="26"/>
  <c r="O2107" i="26" s="1"/>
  <c r="AG2088" i="22"/>
  <c r="L2088" i="26"/>
  <c r="AG1550" i="22"/>
  <c r="L1550" i="26"/>
  <c r="O1550" i="26" s="1"/>
  <c r="AG1555" i="22"/>
  <c r="L1555" i="26"/>
  <c r="O1555" i="26" s="1"/>
  <c r="AG1556" i="22"/>
  <c r="L1556" i="26"/>
  <c r="O1556" i="26" s="1"/>
  <c r="AG1561" i="22"/>
  <c r="L1561" i="26"/>
  <c r="O1561" i="26" s="1"/>
  <c r="AG2161" i="22"/>
  <c r="L2161" i="26"/>
  <c r="O2161" i="26" s="1"/>
  <c r="AG2277" i="22"/>
  <c r="L2277" i="26"/>
  <c r="O2277" i="26" s="1"/>
  <c r="AG2170" i="22"/>
  <c r="L2170" i="26"/>
  <c r="O2170" i="26" s="1"/>
  <c r="AG2147" i="22"/>
  <c r="L2147" i="26"/>
  <c r="O2147" i="26" s="1"/>
  <c r="AG2267" i="22"/>
  <c r="L2267" i="26"/>
  <c r="O2267" i="26" s="1"/>
  <c r="AG2160" i="22"/>
  <c r="L2160" i="26"/>
  <c r="O2160" i="26" s="1"/>
  <c r="AG2276" i="22"/>
  <c r="L2276" i="26"/>
  <c r="O2276" i="26" s="1"/>
  <c r="AG264" i="22"/>
  <c r="L264" i="26"/>
  <c r="O264" i="26" s="1"/>
  <c r="AG412" i="22"/>
  <c r="L412" i="26"/>
  <c r="O412" i="26" s="1"/>
  <c r="AG558" i="22"/>
  <c r="L558" i="26"/>
  <c r="O558" i="26" s="1"/>
  <c r="AG711" i="22"/>
  <c r="L711" i="26"/>
  <c r="O711" i="26" s="1"/>
  <c r="AG904" i="22"/>
  <c r="L904" i="26"/>
  <c r="O904" i="26" s="1"/>
  <c r="AG996" i="22"/>
  <c r="L996" i="26"/>
  <c r="O996" i="26" s="1"/>
  <c r="AG1167" i="22"/>
  <c r="L1167" i="26"/>
  <c r="O1167" i="26" s="1"/>
  <c r="AG293" i="22"/>
  <c r="L293" i="26"/>
  <c r="O293" i="26" s="1"/>
  <c r="AG444" i="22"/>
  <c r="L444" i="26"/>
  <c r="O444" i="26" s="1"/>
  <c r="AG567" i="22"/>
  <c r="L678" i="26"/>
  <c r="O678" i="26" s="1"/>
  <c r="L676" i="26"/>
  <c r="O676" i="26" s="1"/>
  <c r="L672" i="26"/>
  <c r="O672" i="26" s="1"/>
  <c r="L668" i="26"/>
  <c r="O668" i="26" s="1"/>
  <c r="L664" i="26"/>
  <c r="O664" i="26" s="1"/>
  <c r="L660" i="26"/>
  <c r="O660" i="26" s="1"/>
  <c r="L656" i="26"/>
  <c r="O656" i="26" s="1"/>
  <c r="L628" i="26"/>
  <c r="O628" i="26" s="1"/>
  <c r="L624" i="26"/>
  <c r="O624" i="26" s="1"/>
  <c r="L620" i="26"/>
  <c r="O620" i="26" s="1"/>
  <c r="L616" i="26"/>
  <c r="O616" i="26" s="1"/>
  <c r="L612" i="26"/>
  <c r="O612" i="26" s="1"/>
  <c r="L608" i="26"/>
  <c r="O608" i="26" s="1"/>
  <c r="L674" i="26"/>
  <c r="O674" i="26" s="1"/>
  <c r="L667" i="26"/>
  <c r="O667" i="26" s="1"/>
  <c r="L665" i="26"/>
  <c r="O665" i="26" s="1"/>
  <c r="L658" i="26"/>
  <c r="O658" i="26" s="1"/>
  <c r="L626" i="26"/>
  <c r="O626" i="26" s="1"/>
  <c r="L619" i="26"/>
  <c r="O619" i="26" s="1"/>
  <c r="L617" i="26"/>
  <c r="O617" i="26" s="1"/>
  <c r="L610" i="26"/>
  <c r="O610" i="26" s="1"/>
  <c r="L677" i="26"/>
  <c r="O677" i="26" s="1"/>
  <c r="L670" i="26"/>
  <c r="O670" i="26" s="1"/>
  <c r="L663" i="26"/>
  <c r="O663" i="26" s="1"/>
  <c r="L661" i="26"/>
  <c r="O661" i="26" s="1"/>
  <c r="L629" i="26"/>
  <c r="O629" i="26" s="1"/>
  <c r="L622" i="26"/>
  <c r="O622" i="26" s="1"/>
  <c r="L615" i="26"/>
  <c r="O615" i="26" s="1"/>
  <c r="L613" i="26"/>
  <c r="O613" i="26" s="1"/>
  <c r="L675" i="26"/>
  <c r="O675" i="26" s="1"/>
  <c r="L673" i="26"/>
  <c r="O673" i="26" s="1"/>
  <c r="L666" i="26"/>
  <c r="O666" i="26" s="1"/>
  <c r="L659" i="26"/>
  <c r="O659" i="26" s="1"/>
  <c r="L657" i="26"/>
  <c r="O657" i="26" s="1"/>
  <c r="L627" i="26"/>
  <c r="O627" i="26" s="1"/>
  <c r="L625" i="26"/>
  <c r="O625" i="26" s="1"/>
  <c r="L618" i="26"/>
  <c r="O618" i="26" s="1"/>
  <c r="L611" i="26"/>
  <c r="O611" i="26" s="1"/>
  <c r="L609" i="26"/>
  <c r="O609" i="26" s="1"/>
  <c r="L669" i="26"/>
  <c r="O669" i="26" s="1"/>
  <c r="L662" i="26"/>
  <c r="O662" i="26" s="1"/>
  <c r="L655" i="26"/>
  <c r="O655" i="26" s="1"/>
  <c r="L630" i="26"/>
  <c r="O630" i="26" s="1"/>
  <c r="L623" i="26"/>
  <c r="O623" i="26" s="1"/>
  <c r="L621" i="26"/>
  <c r="O621" i="26" s="1"/>
  <c r="L671" i="26"/>
  <c r="O671" i="26" s="1"/>
  <c r="L614" i="26"/>
  <c r="O614" i="26" s="1"/>
  <c r="L607" i="26"/>
  <c r="O607" i="26" s="1"/>
  <c r="L567" i="26"/>
  <c r="O567" i="26" s="1"/>
  <c r="AG717" i="22"/>
  <c r="L717" i="26"/>
  <c r="O717" i="26" s="1"/>
  <c r="AG905" i="22"/>
  <c r="L905" i="26"/>
  <c r="O905" i="26" s="1"/>
  <c r="AG997" i="22"/>
  <c r="L997" i="26"/>
  <c r="O997" i="26" s="1"/>
  <c r="AG1168" i="22"/>
  <c r="L1168" i="26"/>
  <c r="O1168" i="26" s="1"/>
  <c r="AG254" i="22"/>
  <c r="L254" i="26"/>
  <c r="AG400" i="22"/>
  <c r="L400" i="26"/>
  <c r="O400" i="26" s="1"/>
  <c r="AG440" i="22"/>
  <c r="L440" i="26"/>
  <c r="O440" i="26" s="1"/>
  <c r="AG564" i="22"/>
  <c r="L564" i="26"/>
  <c r="O564" i="26" s="1"/>
  <c r="AG757" i="22"/>
  <c r="L757" i="26"/>
  <c r="O757" i="26" s="1"/>
  <c r="AG998" i="22"/>
  <c r="L998" i="26"/>
  <c r="O998" i="26" s="1"/>
  <c r="AG1165" i="22"/>
  <c r="L1165" i="26"/>
  <c r="O1165" i="26" s="1"/>
  <c r="AG255" i="22"/>
  <c r="L255" i="26"/>
  <c r="O255" i="26" s="1"/>
  <c r="AG406" i="22"/>
  <c r="L406" i="26"/>
  <c r="O406" i="26" s="1"/>
  <c r="AG537" i="22"/>
  <c r="L537" i="26"/>
  <c r="O537" i="26" s="1"/>
  <c r="AG725" i="22"/>
  <c r="L725" i="26"/>
  <c r="O725" i="26" s="1"/>
  <c r="AG975" i="22"/>
  <c r="L975" i="26"/>
  <c r="O975" i="26" s="1"/>
  <c r="AG1027" i="22"/>
  <c r="L1027" i="26"/>
  <c r="O1027" i="26" s="1"/>
  <c r="AG1190" i="22"/>
  <c r="L1190" i="26"/>
  <c r="O1190" i="26" s="1"/>
  <c r="AG2554" i="22"/>
  <c r="L2554" i="26"/>
  <c r="O2554" i="26" s="1"/>
  <c r="AG2571" i="22"/>
  <c r="L2571" i="26"/>
  <c r="O2571" i="26" s="1"/>
  <c r="AG1594" i="22"/>
  <c r="L1594" i="26"/>
  <c r="O1594" i="26" s="1"/>
  <c r="AG1603" i="22"/>
  <c r="L1603" i="26"/>
  <c r="O1603" i="26" s="1"/>
  <c r="AG1608" i="22"/>
  <c r="L1608" i="26"/>
  <c r="O1608" i="26" s="1"/>
  <c r="AG1613" i="22"/>
  <c r="L1613" i="26"/>
  <c r="O1613" i="26" s="1"/>
  <c r="AG136" i="22"/>
  <c r="L136" i="26"/>
  <c r="O136" i="26" s="1"/>
  <c r="AG145" i="22"/>
  <c r="L167" i="26"/>
  <c r="O167" i="26" s="1"/>
  <c r="L163" i="26"/>
  <c r="O163" i="26" s="1"/>
  <c r="L159" i="26"/>
  <c r="O159" i="26" s="1"/>
  <c r="L166" i="26"/>
  <c r="O166" i="26" s="1"/>
  <c r="L164" i="26"/>
  <c r="O164" i="26" s="1"/>
  <c r="L169" i="26"/>
  <c r="O169" i="26" s="1"/>
  <c r="L162" i="26"/>
  <c r="O162" i="26" s="1"/>
  <c r="L160" i="26"/>
  <c r="O160" i="26" s="1"/>
  <c r="L165" i="26"/>
  <c r="O165" i="26" s="1"/>
  <c r="L158" i="26"/>
  <c r="O158" i="26" s="1"/>
  <c r="L168" i="26"/>
  <c r="O168" i="26" s="1"/>
  <c r="L161" i="26"/>
  <c r="O161" i="26" s="1"/>
  <c r="L145" i="26"/>
  <c r="O145" i="26" s="1"/>
  <c r="AG84" i="22"/>
  <c r="L84" i="26"/>
  <c r="O84" i="26" s="1"/>
  <c r="AG78" i="22"/>
  <c r="L78" i="26"/>
  <c r="O78" i="26" s="1"/>
  <c r="AG140" i="22"/>
  <c r="L140" i="26"/>
  <c r="O140" i="26" s="1"/>
  <c r="AG96" i="22"/>
  <c r="L96" i="26"/>
  <c r="O96" i="26" s="1"/>
  <c r="AG74" i="22"/>
  <c r="L74" i="26"/>
  <c r="AG138" i="22"/>
  <c r="L138" i="26"/>
  <c r="O138" i="26" s="1"/>
  <c r="AG92" i="22"/>
  <c r="L92" i="26"/>
  <c r="O92" i="26" s="1"/>
  <c r="AG1981" i="22"/>
  <c r="L1981" i="26"/>
  <c r="O1981" i="26" s="1"/>
  <c r="AG1971" i="22"/>
  <c r="L1971" i="26"/>
  <c r="AG1976" i="22"/>
  <c r="L1976" i="26"/>
  <c r="O1976" i="26" s="1"/>
  <c r="AG320" i="22"/>
  <c r="L320" i="26"/>
  <c r="O320" i="26" s="1"/>
  <c r="AG338" i="22"/>
  <c r="L338" i="26"/>
  <c r="O338" i="26" s="1"/>
  <c r="AG357" i="22"/>
  <c r="L357" i="26"/>
  <c r="O357" i="26" s="1"/>
  <c r="AG484" i="22"/>
  <c r="L484" i="26"/>
  <c r="O484" i="26" s="1"/>
  <c r="AG505" i="22"/>
  <c r="L505" i="26"/>
  <c r="O505" i="26" s="1"/>
  <c r="AG524" i="22"/>
  <c r="L524" i="26"/>
  <c r="O524" i="26" s="1"/>
  <c r="AG582" i="22"/>
  <c r="L582" i="26"/>
  <c r="O582" i="26" s="1"/>
  <c r="AG598" i="22"/>
  <c r="L598" i="26"/>
  <c r="O598" i="26" s="1"/>
  <c r="AG841" i="22"/>
  <c r="L841" i="26"/>
  <c r="O841" i="26" s="1"/>
  <c r="AG860" i="22"/>
  <c r="L860" i="26"/>
  <c r="O860" i="26" s="1"/>
  <c r="AG880" i="22"/>
  <c r="L880" i="26"/>
  <c r="O880" i="26" s="1"/>
  <c r="AG899" i="22"/>
  <c r="L899" i="26"/>
  <c r="O899" i="26" s="1"/>
  <c r="AG1090" i="22"/>
  <c r="L1090" i="26"/>
  <c r="O1090" i="26" s="1"/>
  <c r="AG1106" i="22"/>
  <c r="L1106" i="26"/>
  <c r="O1106" i="26" s="1"/>
  <c r="AG1123" i="22"/>
  <c r="L1123" i="26"/>
  <c r="O1123" i="26" s="1"/>
  <c r="AG1142" i="22"/>
  <c r="L1142" i="26"/>
  <c r="O1142" i="26" s="1"/>
  <c r="AG1260" i="22"/>
  <c r="L1260" i="26"/>
  <c r="O1260" i="26" s="1"/>
  <c r="AG1276" i="22"/>
  <c r="L1276" i="26"/>
  <c r="O1276" i="26" s="1"/>
  <c r="AG1292" i="22"/>
  <c r="L1292" i="26"/>
  <c r="O1292" i="26" s="1"/>
  <c r="AG1347" i="22"/>
  <c r="L1347" i="26"/>
  <c r="O1347" i="26" s="1"/>
  <c r="AG325" i="22"/>
  <c r="L325" i="26"/>
  <c r="O325" i="26" s="1"/>
  <c r="AG343" i="22"/>
  <c r="L343" i="26"/>
  <c r="O343" i="26" s="1"/>
  <c r="AG471" i="22"/>
  <c r="L471" i="26"/>
  <c r="O471" i="26" s="1"/>
  <c r="AG491" i="22"/>
  <c r="L491" i="26"/>
  <c r="O491" i="26" s="1"/>
  <c r="AG511" i="22"/>
  <c r="L511" i="26"/>
  <c r="O511" i="26" s="1"/>
  <c r="AG571" i="22"/>
  <c r="L571" i="26"/>
  <c r="O571" i="26" s="1"/>
  <c r="AG587" i="22"/>
  <c r="L587" i="26"/>
  <c r="O587" i="26" s="1"/>
  <c r="AG603" i="22"/>
  <c r="L603" i="26"/>
  <c r="O603" i="26" s="1"/>
  <c r="AG852" i="22"/>
  <c r="L852" i="26"/>
  <c r="O852" i="26" s="1"/>
  <c r="AG872" i="22"/>
  <c r="L872" i="26"/>
  <c r="O872" i="26" s="1"/>
  <c r="AG891" i="22"/>
  <c r="L891" i="26"/>
  <c r="O891" i="26" s="1"/>
  <c r="AG933" i="22"/>
  <c r="L933" i="26"/>
  <c r="O933" i="26" s="1"/>
  <c r="AG1103" i="22"/>
  <c r="L1103" i="26"/>
  <c r="O1103" i="26" s="1"/>
  <c r="AG1120" i="22"/>
  <c r="L1120" i="26"/>
  <c r="O1120" i="26" s="1"/>
  <c r="AG1139" i="22"/>
  <c r="L1139" i="26"/>
  <c r="O1139" i="26" s="1"/>
  <c r="AG1257" i="22"/>
  <c r="L1257" i="26"/>
  <c r="O1257" i="26" s="1"/>
  <c r="AG1273" i="22"/>
  <c r="L1273" i="26"/>
  <c r="O1273" i="26" s="1"/>
  <c r="AG1289" i="22"/>
  <c r="L1289" i="26"/>
  <c r="O1289" i="26" s="1"/>
  <c r="AG1344" i="22"/>
  <c r="L1344" i="26"/>
  <c r="O1344" i="26" s="1"/>
  <c r="AG322" i="22"/>
  <c r="L322" i="26"/>
  <c r="O322" i="26" s="1"/>
  <c r="AG340" i="22"/>
  <c r="L340" i="26"/>
  <c r="O340" i="26" s="1"/>
  <c r="AG359" i="22"/>
  <c r="L359" i="26"/>
  <c r="O359" i="26" s="1"/>
  <c r="AG487" i="22"/>
  <c r="L487" i="26"/>
  <c r="O487" i="26" s="1"/>
  <c r="AG507" i="22"/>
  <c r="L507" i="26"/>
  <c r="O507" i="26" s="1"/>
  <c r="AG527" i="22"/>
  <c r="L527" i="26"/>
  <c r="O527" i="26" s="1"/>
  <c r="AG580" i="22"/>
  <c r="L580" i="26"/>
  <c r="O580" i="26" s="1"/>
  <c r="AG596" i="22"/>
  <c r="L596" i="26"/>
  <c r="O596" i="26" s="1"/>
  <c r="AG843" i="22"/>
  <c r="L843" i="26"/>
  <c r="O843" i="26" s="1"/>
  <c r="AG863" i="22"/>
  <c r="L863" i="26"/>
  <c r="O863" i="26" s="1"/>
  <c r="AG882" i="22"/>
  <c r="L882" i="26"/>
  <c r="O882" i="26" s="1"/>
  <c r="AG926" i="22"/>
  <c r="L926" i="26"/>
  <c r="O926" i="26" s="1"/>
  <c r="AG1096" i="22"/>
  <c r="L1096" i="26"/>
  <c r="O1096" i="26" s="1"/>
  <c r="AG1112" i="22"/>
  <c r="L1112" i="26"/>
  <c r="O1112" i="26" s="1"/>
  <c r="AG1130" i="22"/>
  <c r="L1130" i="26"/>
  <c r="O1130" i="26" s="1"/>
  <c r="AG1254" i="22"/>
  <c r="L1254" i="26"/>
  <c r="O1254" i="26" s="1"/>
  <c r="AG1270" i="22"/>
  <c r="L1270" i="26"/>
  <c r="O1270" i="26" s="1"/>
  <c r="AG1286" i="22"/>
  <c r="L1286" i="26"/>
  <c r="O1286" i="26" s="1"/>
  <c r="AG1337" i="22"/>
  <c r="L1337" i="26"/>
  <c r="O1337" i="26" s="1"/>
  <c r="AG1353" i="22"/>
  <c r="L1353" i="26"/>
  <c r="O1353" i="26" s="1"/>
  <c r="AG315" i="22"/>
  <c r="L315" i="26"/>
  <c r="O315" i="26" s="1"/>
  <c r="AG332" i="22"/>
  <c r="L332" i="26"/>
  <c r="O332" i="26" s="1"/>
  <c r="AG351" i="22"/>
  <c r="L351" i="26"/>
  <c r="O351" i="26" s="1"/>
  <c r="AG478" i="22"/>
  <c r="L478" i="26"/>
  <c r="O478" i="26" s="1"/>
  <c r="AG498" i="22"/>
  <c r="L498" i="26"/>
  <c r="O498" i="26" s="1"/>
  <c r="AG518" i="22"/>
  <c r="L518" i="26"/>
  <c r="O518" i="26" s="1"/>
  <c r="AG573" i="22"/>
  <c r="L573" i="26"/>
  <c r="O573" i="26" s="1"/>
  <c r="AG589" i="22"/>
  <c r="L589" i="26"/>
  <c r="O589" i="26" s="1"/>
  <c r="AG605" i="22"/>
  <c r="L605" i="26"/>
  <c r="O605" i="26" s="1"/>
  <c r="AG849" i="22"/>
  <c r="L849" i="26"/>
  <c r="O849" i="26" s="1"/>
  <c r="AG869" i="22"/>
  <c r="L869" i="26"/>
  <c r="O869" i="26" s="1"/>
  <c r="AG888" i="22"/>
  <c r="L888" i="26"/>
  <c r="O888" i="26" s="1"/>
  <c r="AG931" i="22"/>
  <c r="L931" i="26"/>
  <c r="O931" i="26" s="1"/>
  <c r="AG1101" i="22"/>
  <c r="L1101" i="26"/>
  <c r="O1101" i="26" s="1"/>
  <c r="AG1117" i="22"/>
  <c r="L1117" i="26"/>
  <c r="O1117" i="26" s="1"/>
  <c r="AG1136" i="22"/>
  <c r="L1136" i="26"/>
  <c r="O1136" i="26" s="1"/>
  <c r="AG1259" i="22"/>
  <c r="L1259" i="26"/>
  <c r="O1259" i="26" s="1"/>
  <c r="AG1275" i="22"/>
  <c r="L1275" i="26"/>
  <c r="O1275" i="26" s="1"/>
  <c r="AG1291" i="22"/>
  <c r="L1291" i="26"/>
  <c r="O1291" i="26" s="1"/>
  <c r="AG1346" i="22"/>
  <c r="L1346" i="26"/>
  <c r="O1346" i="26" s="1"/>
  <c r="AG1630" i="22"/>
  <c r="L1630" i="26"/>
  <c r="O1630" i="26" s="1"/>
  <c r="AG1646" i="22"/>
  <c r="L1646" i="26"/>
  <c r="O1646" i="26" s="1"/>
  <c r="AG1662" i="22"/>
  <c r="L1662" i="26"/>
  <c r="O1662" i="26" s="1"/>
  <c r="AG1635" i="22"/>
  <c r="L1635" i="26"/>
  <c r="O1635" i="26" s="1"/>
  <c r="AG1651" i="22"/>
  <c r="L1651" i="26"/>
  <c r="O1651" i="26" s="1"/>
  <c r="AG1624" i="22"/>
  <c r="L1624" i="26"/>
  <c r="O1624" i="26" s="1"/>
  <c r="AG1640" i="22"/>
  <c r="L1640" i="26"/>
  <c r="O1640" i="26" s="1"/>
  <c r="AG1656" i="22"/>
  <c r="L1656" i="26"/>
  <c r="O1656" i="26" s="1"/>
  <c r="AG1625" i="22"/>
  <c r="L1625" i="26"/>
  <c r="O1625" i="26" s="1"/>
  <c r="AG1641" i="22"/>
  <c r="L1641" i="26"/>
  <c r="O1641" i="26" s="1"/>
  <c r="AG1657" i="22"/>
  <c r="L1657" i="26"/>
  <c r="O1657" i="26" s="1"/>
  <c r="AG1670" i="22"/>
  <c r="L1670" i="26"/>
  <c r="O1670" i="26" s="1"/>
  <c r="AG1686" i="22"/>
  <c r="L1686" i="26"/>
  <c r="O1686" i="26" s="1"/>
  <c r="AG1702" i="22"/>
  <c r="L1702" i="26"/>
  <c r="O1702" i="26" s="1"/>
  <c r="AG1718" i="22"/>
  <c r="L1718" i="26"/>
  <c r="O1718" i="26" s="1"/>
  <c r="AG1734" i="22"/>
  <c r="L1734" i="26"/>
  <c r="O1734" i="26" s="1"/>
  <c r="AG1679" i="22"/>
  <c r="L1679" i="26"/>
  <c r="O1679" i="26" s="1"/>
  <c r="AG1695" i="22"/>
  <c r="L1695" i="26"/>
  <c r="O1695" i="26" s="1"/>
  <c r="AG1711" i="22"/>
  <c r="L1711" i="26"/>
  <c r="O1711" i="26" s="1"/>
  <c r="AG1727" i="22"/>
  <c r="L1727" i="26"/>
  <c r="O1727" i="26" s="1"/>
  <c r="AG1672" i="22"/>
  <c r="L1672" i="26"/>
  <c r="O1672" i="26" s="1"/>
  <c r="AG1688" i="22"/>
  <c r="L1688" i="26"/>
  <c r="O1688" i="26" s="1"/>
  <c r="AG1704" i="22"/>
  <c r="L1704" i="26"/>
  <c r="O1704" i="26" s="1"/>
  <c r="AG1720" i="22"/>
  <c r="L1720" i="26"/>
  <c r="O1720" i="26" s="1"/>
  <c r="AG1736" i="22"/>
  <c r="L1736" i="26"/>
  <c r="O1736" i="26" s="1"/>
  <c r="AG1681" i="22"/>
  <c r="L1681" i="26"/>
  <c r="O1681" i="26" s="1"/>
  <c r="AG1697" i="22"/>
  <c r="L1697" i="26"/>
  <c r="O1697" i="26" s="1"/>
  <c r="AG1713" i="22"/>
  <c r="L1713" i="26"/>
  <c r="O1713" i="26" s="1"/>
  <c r="AG1729" i="22"/>
  <c r="L1729" i="26"/>
  <c r="O1729" i="26" s="1"/>
  <c r="AG1985" i="22"/>
  <c r="L1985" i="26"/>
  <c r="O1985" i="26" s="1"/>
  <c r="AG2293" i="22"/>
  <c r="L2293" i="26"/>
  <c r="O2293" i="26" s="1"/>
  <c r="AG2309" i="22"/>
  <c r="L2309" i="26"/>
  <c r="O2309" i="26" s="1"/>
  <c r="AG2325" i="22"/>
  <c r="L2325" i="26"/>
  <c r="O2325" i="26" s="1"/>
  <c r="AG2341" i="22"/>
  <c r="L2341" i="26"/>
  <c r="O2341" i="26" s="1"/>
  <c r="AG2357" i="22"/>
  <c r="L2357" i="26"/>
  <c r="O2357" i="26" s="1"/>
  <c r="AG2373" i="22"/>
  <c r="L2373" i="26"/>
  <c r="O2373" i="26" s="1"/>
  <c r="AG2389" i="22"/>
  <c r="L2389" i="26"/>
  <c r="O2389" i="26" s="1"/>
  <c r="AG2405" i="22"/>
  <c r="L2405" i="26"/>
  <c r="O2405" i="26" s="1"/>
  <c r="AG2421" i="22"/>
  <c r="L2421" i="26"/>
  <c r="O2421" i="26" s="1"/>
  <c r="AG2437" i="22"/>
  <c r="L2437" i="26"/>
  <c r="O2437" i="26" s="1"/>
  <c r="AG2453" i="22"/>
  <c r="L2453" i="26"/>
  <c r="O2453" i="26" s="1"/>
  <c r="AG2469" i="22"/>
  <c r="L2469" i="26"/>
  <c r="O2469" i="26" s="1"/>
  <c r="AG2485" i="22"/>
  <c r="L2485" i="26"/>
  <c r="O2485" i="26" s="1"/>
  <c r="AG2501" i="22"/>
  <c r="L2501" i="26"/>
  <c r="O2501" i="26" s="1"/>
  <c r="AG2286" i="22"/>
  <c r="L2286" i="26"/>
  <c r="O2286" i="26" s="1"/>
  <c r="AG2302" i="22"/>
  <c r="L2302" i="26"/>
  <c r="O2302" i="26" s="1"/>
  <c r="AG2318" i="22"/>
  <c r="L2318" i="26"/>
  <c r="O2318" i="26" s="1"/>
  <c r="AG2334" i="22"/>
  <c r="L2334" i="26"/>
  <c r="O2334" i="26" s="1"/>
  <c r="AG2350" i="22"/>
  <c r="L2350" i="26"/>
  <c r="O2350" i="26" s="1"/>
  <c r="AG2366" i="22"/>
  <c r="L2366" i="26"/>
  <c r="O2366" i="26" s="1"/>
  <c r="AG2382" i="22"/>
  <c r="L2382" i="26"/>
  <c r="O2382" i="26" s="1"/>
  <c r="AG2398" i="22"/>
  <c r="L2398" i="26"/>
  <c r="O2398" i="26" s="1"/>
  <c r="AG2414" i="22"/>
  <c r="L2414" i="26"/>
  <c r="O2414" i="26" s="1"/>
  <c r="AG2430" i="22"/>
  <c r="L2430" i="26"/>
  <c r="O2430" i="26" s="1"/>
  <c r="AG2446" i="22"/>
  <c r="L2446" i="26"/>
  <c r="O2446" i="26" s="1"/>
  <c r="AG2462" i="22"/>
  <c r="L2462" i="26"/>
  <c r="O2462" i="26" s="1"/>
  <c r="AG2478" i="22"/>
  <c r="L2478" i="26"/>
  <c r="O2478" i="26" s="1"/>
  <c r="AG2494" i="22"/>
  <c r="L2494" i="26"/>
  <c r="O2494" i="26" s="1"/>
  <c r="AG2295" i="22"/>
  <c r="L2295" i="26"/>
  <c r="O2295" i="26" s="1"/>
  <c r="AG2311" i="22"/>
  <c r="L2311" i="26"/>
  <c r="O2311" i="26" s="1"/>
  <c r="AG2327" i="22"/>
  <c r="L2327" i="26"/>
  <c r="O2327" i="26" s="1"/>
  <c r="AG2343" i="22"/>
  <c r="L2343" i="26"/>
  <c r="O2343" i="26" s="1"/>
  <c r="AG2359" i="22"/>
  <c r="L2359" i="26"/>
  <c r="O2359" i="26" s="1"/>
  <c r="AG2375" i="22"/>
  <c r="L2375" i="26"/>
  <c r="O2375" i="26" s="1"/>
  <c r="AG2391" i="22"/>
  <c r="L2391" i="26"/>
  <c r="O2391" i="26" s="1"/>
  <c r="AG2407" i="22"/>
  <c r="L2407" i="26"/>
  <c r="O2407" i="26" s="1"/>
  <c r="AG2423" i="22"/>
  <c r="L2423" i="26"/>
  <c r="O2423" i="26" s="1"/>
  <c r="AG2439" i="22"/>
  <c r="L2439" i="26"/>
  <c r="O2439" i="26" s="1"/>
  <c r="AG2455" i="22"/>
  <c r="L2455" i="26"/>
  <c r="O2455" i="26" s="1"/>
  <c r="AG2471" i="22"/>
  <c r="L2471" i="26"/>
  <c r="O2471" i="26" s="1"/>
  <c r="AG2487" i="22"/>
  <c r="L2487" i="26"/>
  <c r="O2487" i="26" s="1"/>
  <c r="AG2503" i="22"/>
  <c r="L2503" i="26"/>
  <c r="O2503" i="26" s="1"/>
  <c r="AG2284" i="22"/>
  <c r="L2284" i="26"/>
  <c r="O2284" i="26" s="1"/>
  <c r="AG2300" i="22"/>
  <c r="L2300" i="26"/>
  <c r="O2300" i="26" s="1"/>
  <c r="AG2316" i="22"/>
  <c r="L2316" i="26"/>
  <c r="O2316" i="26" s="1"/>
  <c r="AG2332" i="22"/>
  <c r="L2332" i="26"/>
  <c r="O2332" i="26" s="1"/>
  <c r="AG2348" i="22"/>
  <c r="L2348" i="26"/>
  <c r="O2348" i="26" s="1"/>
  <c r="AG2364" i="22"/>
  <c r="L2364" i="26"/>
  <c r="O2364" i="26" s="1"/>
  <c r="AG2380" i="22"/>
  <c r="L2380" i="26"/>
  <c r="O2380" i="26" s="1"/>
  <c r="AG2396" i="22"/>
  <c r="L2396" i="26"/>
  <c r="O2396" i="26" s="1"/>
  <c r="AG2412" i="22"/>
  <c r="L2412" i="26"/>
  <c r="O2412" i="26" s="1"/>
  <c r="AG2428" i="22"/>
  <c r="L2428" i="26"/>
  <c r="O2428" i="26" s="1"/>
  <c r="AG2444" i="22"/>
  <c r="L2444" i="26"/>
  <c r="O2444" i="26" s="1"/>
  <c r="AG2460" i="22"/>
  <c r="L2460" i="26"/>
  <c r="O2460" i="26" s="1"/>
  <c r="AG2476" i="22"/>
  <c r="L2476" i="26"/>
  <c r="O2476" i="26" s="1"/>
  <c r="AG2492" i="22"/>
  <c r="L2492" i="26"/>
  <c r="O2492" i="26" s="1"/>
  <c r="AG2125" i="22"/>
  <c r="L2125" i="26"/>
  <c r="O2125" i="26" s="1"/>
  <c r="AG2141" i="22"/>
  <c r="L2141" i="26"/>
  <c r="O2141" i="26" s="1"/>
  <c r="AG2201" i="22"/>
  <c r="L2201" i="26"/>
  <c r="O2201" i="26" s="1"/>
  <c r="AG2253" i="22"/>
  <c r="L2253" i="26"/>
  <c r="O2253" i="26" s="1"/>
  <c r="AG2130" i="22"/>
  <c r="L2130" i="26"/>
  <c r="O2130" i="26" s="1"/>
  <c r="AG2194" i="22"/>
  <c r="L2194" i="26"/>
  <c r="O2194" i="26" s="1"/>
  <c r="AG2242" i="22"/>
  <c r="L2242" i="26"/>
  <c r="O2242" i="26" s="1"/>
  <c r="AG2258" i="22"/>
  <c r="L2258" i="26"/>
  <c r="O2258" i="26" s="1"/>
  <c r="AG2131" i="22"/>
  <c r="L2131" i="26"/>
  <c r="O2131" i="26" s="1"/>
  <c r="AG2191" i="22"/>
  <c r="L2191" i="26"/>
  <c r="O2191" i="26" s="1"/>
  <c r="AG2243" i="22"/>
  <c r="L2243" i="26"/>
  <c r="O2243" i="26" s="1"/>
  <c r="AG2259" i="22"/>
  <c r="L2259" i="26"/>
  <c r="O2259" i="26" s="1"/>
  <c r="AG2132" i="22"/>
  <c r="L2132" i="26"/>
  <c r="O2132" i="26" s="1"/>
  <c r="AG2192" i="22"/>
  <c r="L2192" i="26"/>
  <c r="O2192" i="26" s="1"/>
  <c r="AG2244" i="22"/>
  <c r="L2244" i="26"/>
  <c r="O2244" i="26" s="1"/>
  <c r="AG2089" i="22"/>
  <c r="L2089" i="26"/>
  <c r="O2089" i="26" s="1"/>
  <c r="AG2105" i="22"/>
  <c r="L2105" i="26"/>
  <c r="O2105" i="26" s="1"/>
  <c r="AG2181" i="22"/>
  <c r="L2181" i="26"/>
  <c r="O2181" i="26" s="1"/>
  <c r="AG2221" i="22"/>
  <c r="L2221" i="26"/>
  <c r="O2221" i="26" s="1"/>
  <c r="AG2237" i="22"/>
  <c r="L2237" i="26"/>
  <c r="O2237" i="26" s="1"/>
  <c r="AG2102" i="22"/>
  <c r="L2102" i="26"/>
  <c r="O2102" i="26" s="1"/>
  <c r="AG2118" i="22"/>
  <c r="L2118" i="26"/>
  <c r="O2118" i="26" s="1"/>
  <c r="AG2218" i="22"/>
  <c r="L2218" i="26"/>
  <c r="O2218" i="26" s="1"/>
  <c r="AG2234" i="22"/>
  <c r="L2234" i="26"/>
  <c r="O2234" i="26" s="1"/>
  <c r="AG2103" i="22"/>
  <c r="L2103" i="26"/>
  <c r="O2103" i="26" s="1"/>
  <c r="AG2179" i="22"/>
  <c r="L2179" i="26"/>
  <c r="O2179" i="26" s="1"/>
  <c r="AG2219" i="22"/>
  <c r="L2219" i="26"/>
  <c r="O2219" i="26" s="1"/>
  <c r="AG2235" i="22"/>
  <c r="L2235" i="26"/>
  <c r="O2235" i="26" s="1"/>
  <c r="AG2100" i="22"/>
  <c r="L2100" i="26"/>
  <c r="O2100" i="26" s="1"/>
  <c r="AG2116" i="22"/>
  <c r="L2116" i="26"/>
  <c r="O2116" i="26" s="1"/>
  <c r="AG2216" i="22"/>
  <c r="L2216" i="26"/>
  <c r="O2216" i="26" s="1"/>
  <c r="AG2232" i="22"/>
  <c r="L2232" i="26"/>
  <c r="O2232" i="26" s="1"/>
  <c r="AG1546" i="22"/>
  <c r="L1546" i="26"/>
  <c r="O1546" i="26" s="1"/>
  <c r="AG1562" i="22"/>
  <c r="L1562" i="26"/>
  <c r="O1562" i="26" s="1"/>
  <c r="AG1578" i="22"/>
  <c r="L1578" i="26"/>
  <c r="O1578" i="26" s="1"/>
  <c r="AG1551" i="22"/>
  <c r="L1551" i="26"/>
  <c r="O1551" i="26" s="1"/>
  <c r="AG1567" i="22"/>
  <c r="L1567" i="26"/>
  <c r="O1567" i="26" s="1"/>
  <c r="AG1536" i="22"/>
  <c r="L1536" i="26"/>
  <c r="AG1552" i="22"/>
  <c r="L1552" i="26"/>
  <c r="O1552" i="26" s="1"/>
  <c r="AG1568" i="22"/>
  <c r="L1568" i="26"/>
  <c r="O1568" i="26" s="1"/>
  <c r="AG1541" i="22"/>
  <c r="L1541" i="26"/>
  <c r="O1541" i="26" s="1"/>
  <c r="AG1557" i="22"/>
  <c r="L1557" i="26"/>
  <c r="O1557" i="26" s="1"/>
  <c r="AG1573" i="22"/>
  <c r="L1573" i="26"/>
  <c r="O1573" i="26" s="1"/>
  <c r="AG2157" i="22"/>
  <c r="L2157" i="26"/>
  <c r="O2157" i="26" s="1"/>
  <c r="AG2173" i="22"/>
  <c r="L2173" i="26"/>
  <c r="O2173" i="26" s="1"/>
  <c r="AG2213" i="22"/>
  <c r="L2213" i="26"/>
  <c r="O2213" i="26" s="1"/>
  <c r="AG2273" i="22"/>
  <c r="L2273" i="26"/>
  <c r="O2273" i="26" s="1"/>
  <c r="AG2150" i="22"/>
  <c r="L2150" i="26"/>
  <c r="O2150" i="26" s="1"/>
  <c r="AG2166" i="22"/>
  <c r="L2166" i="26"/>
  <c r="O2166" i="26" s="1"/>
  <c r="AG2206" i="22"/>
  <c r="L2206" i="26"/>
  <c r="O2206" i="26" s="1"/>
  <c r="AG2266" i="22"/>
  <c r="L2266" i="26"/>
  <c r="O2266" i="26" s="1"/>
  <c r="AG2282" i="22"/>
  <c r="L2282" i="26"/>
  <c r="O2282" i="26" s="1"/>
  <c r="AG2159" i="22"/>
  <c r="L2159" i="26"/>
  <c r="O2159" i="26" s="1"/>
  <c r="AG2175" i="22"/>
  <c r="L2175" i="26"/>
  <c r="O2175" i="26" s="1"/>
  <c r="AG2263" i="22"/>
  <c r="L2263" i="26"/>
  <c r="O2263" i="26" s="1"/>
  <c r="AG2279" i="22"/>
  <c r="L2279" i="26"/>
  <c r="O2279" i="26" s="1"/>
  <c r="AG2156" i="22"/>
  <c r="L2156" i="26"/>
  <c r="O2156" i="26" s="1"/>
  <c r="AG2172" i="22"/>
  <c r="L2172" i="26"/>
  <c r="O2172" i="26" s="1"/>
  <c r="AG2212" i="22"/>
  <c r="L2212" i="26"/>
  <c r="O2212" i="26" s="1"/>
  <c r="AG2272" i="22"/>
  <c r="L2272" i="26"/>
  <c r="O2272" i="26" s="1"/>
  <c r="AG260" i="22"/>
  <c r="L260" i="26"/>
  <c r="O260" i="26" s="1"/>
  <c r="AG277" i="22"/>
  <c r="L277" i="26"/>
  <c r="O277" i="26" s="1"/>
  <c r="AG296" i="22"/>
  <c r="L296" i="26"/>
  <c r="O296" i="26" s="1"/>
  <c r="AG407" i="22"/>
  <c r="L407" i="26"/>
  <c r="O407" i="26" s="1"/>
  <c r="AG428" i="22"/>
  <c r="L428" i="26"/>
  <c r="O428" i="26" s="1"/>
  <c r="AG447" i="22"/>
  <c r="L447" i="26"/>
  <c r="O447" i="26" s="1"/>
  <c r="AG538" i="22"/>
  <c r="L538" i="26"/>
  <c r="O538" i="26" s="1"/>
  <c r="AG554" i="22"/>
  <c r="L554" i="26"/>
  <c r="O554" i="26" s="1"/>
  <c r="AG706" i="22"/>
  <c r="L706" i="26"/>
  <c r="O706" i="26" s="1"/>
  <c r="AG726" i="22"/>
  <c r="L726" i="26"/>
  <c r="O726" i="26" s="1"/>
  <c r="AG746" i="22"/>
  <c r="L746" i="26"/>
  <c r="O746" i="26" s="1"/>
  <c r="AG765" i="22"/>
  <c r="L765" i="26"/>
  <c r="O765" i="26" s="1"/>
  <c r="AG976" i="22"/>
  <c r="L976" i="26"/>
  <c r="O976" i="26" s="1"/>
  <c r="AG992" i="22"/>
  <c r="L992" i="26"/>
  <c r="O992" i="26" s="1"/>
  <c r="AG1009" i="22"/>
  <c r="L1009" i="26"/>
  <c r="O1009" i="26" s="1"/>
  <c r="AG1147" i="22"/>
  <c r="L1147" i="26"/>
  <c r="O1147" i="26" s="1"/>
  <c r="AG1163" i="22"/>
  <c r="L1163" i="26"/>
  <c r="O1163" i="26" s="1"/>
  <c r="AG1179" i="22"/>
  <c r="L1179" i="26"/>
  <c r="O1179" i="26" s="1"/>
  <c r="AG1300" i="22"/>
  <c r="L1300" i="26"/>
  <c r="O1300" i="26" s="1"/>
  <c r="AG1316" i="22"/>
  <c r="L1316" i="26"/>
  <c r="O1316" i="26" s="1"/>
  <c r="AG269" i="22"/>
  <c r="L269" i="26"/>
  <c r="O269" i="26" s="1"/>
  <c r="AG288" i="22"/>
  <c r="L288" i="26"/>
  <c r="O288" i="26" s="1"/>
  <c r="AG399" i="22"/>
  <c r="L399" i="26"/>
  <c r="O399" i="26" s="1"/>
  <c r="AG419" i="22"/>
  <c r="L419" i="26"/>
  <c r="O419" i="26" s="1"/>
  <c r="AG439" i="22"/>
  <c r="L439" i="26"/>
  <c r="O439" i="26" s="1"/>
  <c r="AG531" i="22"/>
  <c r="L531" i="26"/>
  <c r="O531" i="26" s="1"/>
  <c r="AG547" i="22"/>
  <c r="L547" i="26"/>
  <c r="O547" i="26" s="1"/>
  <c r="AG563" i="22"/>
  <c r="L563" i="26"/>
  <c r="O563" i="26" s="1"/>
  <c r="AG713" i="22"/>
  <c r="L713" i="26"/>
  <c r="O713" i="26" s="1"/>
  <c r="AG732" i="22"/>
  <c r="L732" i="26"/>
  <c r="O732" i="26" s="1"/>
  <c r="AG751" i="22"/>
  <c r="L751" i="26"/>
  <c r="O751" i="26" s="1"/>
  <c r="AG901" i="22"/>
  <c r="L901" i="26"/>
  <c r="O901" i="26" s="1"/>
  <c r="AG977" i="22"/>
  <c r="L977" i="26"/>
  <c r="O977" i="26" s="1"/>
  <c r="AG993" i="22"/>
  <c r="L993" i="26"/>
  <c r="O993" i="26" s="1"/>
  <c r="AG1010" i="22"/>
  <c r="L1010" i="26"/>
  <c r="O1010" i="26" s="1"/>
  <c r="AG1148" i="22"/>
  <c r="L1148" i="26"/>
  <c r="O1148" i="26" s="1"/>
  <c r="AG1164" i="22"/>
  <c r="L1164" i="26"/>
  <c r="O1164" i="26" s="1"/>
  <c r="AG1180" i="22"/>
  <c r="L1180" i="26"/>
  <c r="O1180" i="26" s="1"/>
  <c r="AG1301" i="22"/>
  <c r="L1301" i="26"/>
  <c r="O1301" i="26" s="1"/>
  <c r="AG1317" i="22"/>
  <c r="L1482" i="26"/>
  <c r="O1482" i="26" s="1"/>
  <c r="L1478" i="26"/>
  <c r="O1478" i="26" s="1"/>
  <c r="L1474" i="26"/>
  <c r="O1474" i="26" s="1"/>
  <c r="L1470" i="26"/>
  <c r="O1470" i="26" s="1"/>
  <c r="L1466" i="26"/>
  <c r="O1466" i="26" s="1"/>
  <c r="L1483" i="26"/>
  <c r="O1483" i="26" s="1"/>
  <c r="L1475" i="26"/>
  <c r="O1475" i="26" s="1"/>
  <c r="L1467" i="26"/>
  <c r="O1467" i="26" s="1"/>
  <c r="L1464" i="26"/>
  <c r="O1464" i="26" s="1"/>
  <c r="L1460" i="26"/>
  <c r="O1460" i="26" s="1"/>
  <c r="L1400" i="26"/>
  <c r="O1400" i="26" s="1"/>
  <c r="L1396" i="26"/>
  <c r="O1396" i="26" s="1"/>
  <c r="L1392" i="26"/>
  <c r="O1392" i="26" s="1"/>
  <c r="L1388" i="26"/>
  <c r="O1388" i="26" s="1"/>
  <c r="L1384" i="26"/>
  <c r="O1384" i="26" s="1"/>
  <c r="L1380" i="26"/>
  <c r="O1380" i="26" s="1"/>
  <c r="L1376" i="26"/>
  <c r="O1376" i="26" s="1"/>
  <c r="L1368" i="26"/>
  <c r="O1368" i="26" s="1"/>
  <c r="L1360" i="26"/>
  <c r="O1360" i="26" s="1"/>
  <c r="L1481" i="26"/>
  <c r="O1481" i="26" s="1"/>
  <c r="L1479" i="26"/>
  <c r="O1479" i="26" s="1"/>
  <c r="L1472" i="26"/>
  <c r="O1472" i="26" s="1"/>
  <c r="L1465" i="26"/>
  <c r="O1465" i="26" s="1"/>
  <c r="L1401" i="26"/>
  <c r="O1401" i="26" s="1"/>
  <c r="L1393" i="26"/>
  <c r="O1393" i="26" s="1"/>
  <c r="L1385" i="26"/>
  <c r="O1385" i="26" s="1"/>
  <c r="L1377" i="26"/>
  <c r="O1377" i="26" s="1"/>
  <c r="L1366" i="26"/>
  <c r="O1366" i="26" s="1"/>
  <c r="L1358" i="26"/>
  <c r="O1358" i="26" s="1"/>
  <c r="L1484" i="26"/>
  <c r="O1484" i="26" s="1"/>
  <c r="L1477" i="26"/>
  <c r="O1477" i="26" s="1"/>
  <c r="L1468" i="26"/>
  <c r="O1468" i="26" s="1"/>
  <c r="L1463" i="26"/>
  <c r="O1463" i="26" s="1"/>
  <c r="L1402" i="26"/>
  <c r="O1402" i="26" s="1"/>
  <c r="L1399" i="26"/>
  <c r="O1399" i="26" s="1"/>
  <c r="L1394" i="26"/>
  <c r="O1394" i="26" s="1"/>
  <c r="L1391" i="26"/>
  <c r="O1391" i="26" s="1"/>
  <c r="L1386" i="26"/>
  <c r="O1386" i="26" s="1"/>
  <c r="L1383" i="26"/>
  <c r="O1383" i="26" s="1"/>
  <c r="L1378" i="26"/>
  <c r="O1378" i="26" s="1"/>
  <c r="L1375" i="26"/>
  <c r="O1375" i="26" s="1"/>
  <c r="L1369" i="26"/>
  <c r="O1369" i="26" s="1"/>
  <c r="L1480" i="26"/>
  <c r="O1480" i="26" s="1"/>
  <c r="L1398" i="26"/>
  <c r="O1398" i="26" s="1"/>
  <c r="L1389" i="26"/>
  <c r="O1389" i="26" s="1"/>
  <c r="L1387" i="26"/>
  <c r="O1387" i="26" s="1"/>
  <c r="L1382" i="26"/>
  <c r="O1382" i="26" s="1"/>
  <c r="L1365" i="26"/>
  <c r="O1365" i="26" s="1"/>
  <c r="L1356" i="26"/>
  <c r="O1356" i="26" s="1"/>
  <c r="L1476" i="26"/>
  <c r="O1476" i="26" s="1"/>
  <c r="L1471" i="26"/>
  <c r="O1471" i="26" s="1"/>
  <c r="L1469" i="26"/>
  <c r="O1469" i="26" s="1"/>
  <c r="L1397" i="26"/>
  <c r="O1397" i="26" s="1"/>
  <c r="L1395" i="26"/>
  <c r="O1395" i="26" s="1"/>
  <c r="L1390" i="26"/>
  <c r="O1390" i="26" s="1"/>
  <c r="L1381" i="26"/>
  <c r="O1381" i="26" s="1"/>
  <c r="L1379" i="26"/>
  <c r="O1379" i="26" s="1"/>
  <c r="L1357" i="26"/>
  <c r="O1357" i="26" s="1"/>
  <c r="L1473" i="26"/>
  <c r="O1473" i="26" s="1"/>
  <c r="L1461" i="26"/>
  <c r="O1461" i="26" s="1"/>
  <c r="L1367" i="26"/>
  <c r="O1367" i="26" s="1"/>
  <c r="L1462" i="26"/>
  <c r="O1462" i="26" s="1"/>
  <c r="L1359" i="26"/>
  <c r="O1359" i="26" s="1"/>
  <c r="L1317" i="26"/>
  <c r="O1317" i="26" s="1"/>
  <c r="AG266" i="22"/>
  <c r="L266" i="26"/>
  <c r="O266" i="26" s="1"/>
  <c r="AG284" i="22"/>
  <c r="L284" i="26"/>
  <c r="O284" i="26" s="1"/>
  <c r="AG303" i="22"/>
  <c r="L303" i="26"/>
  <c r="O303" i="26" s="1"/>
  <c r="AG415" i="22"/>
  <c r="L415" i="26"/>
  <c r="O415" i="26" s="1"/>
  <c r="AG435" i="22"/>
  <c r="L435" i="26"/>
  <c r="O435" i="26" s="1"/>
  <c r="AG455" i="22"/>
  <c r="L455" i="26"/>
  <c r="O455" i="26" s="1"/>
  <c r="AG544" i="22"/>
  <c r="L544" i="26"/>
  <c r="O544" i="26" s="1"/>
  <c r="AG560" i="22"/>
  <c r="L560" i="26"/>
  <c r="O560" i="26" s="1"/>
  <c r="AG714" i="22"/>
  <c r="L714" i="26"/>
  <c r="O714" i="26" s="1"/>
  <c r="AG733" i="22"/>
  <c r="L733" i="26"/>
  <c r="O733" i="26" s="1"/>
  <c r="AG753" i="22"/>
  <c r="L753" i="26"/>
  <c r="O753" i="26" s="1"/>
  <c r="AG902" i="22"/>
  <c r="L902" i="26"/>
  <c r="O902" i="26" s="1"/>
  <c r="AG978" i="22"/>
  <c r="L978" i="26"/>
  <c r="O978" i="26" s="1"/>
  <c r="AG994" i="22"/>
  <c r="L994" i="26"/>
  <c r="O994" i="26" s="1"/>
  <c r="AG1012" i="22"/>
  <c r="L1012" i="26"/>
  <c r="O1012" i="26" s="1"/>
  <c r="AG1145" i="22"/>
  <c r="L1145" i="26"/>
  <c r="O1145" i="26" s="1"/>
  <c r="AG1161" i="22"/>
  <c r="L1161" i="26"/>
  <c r="O1161" i="26" s="1"/>
  <c r="AG1177" i="22"/>
  <c r="L1177" i="26"/>
  <c r="O1177" i="26" s="1"/>
  <c r="AG1193" i="22"/>
  <c r="L1193" i="26"/>
  <c r="O1193" i="26" s="1"/>
  <c r="AG1314" i="22"/>
  <c r="L1314" i="26"/>
  <c r="O1314" i="26" s="1"/>
  <c r="AG267" i="22"/>
  <c r="L267" i="26"/>
  <c r="O267" i="26" s="1"/>
  <c r="AG285" i="22"/>
  <c r="L285" i="26"/>
  <c r="O285" i="26" s="1"/>
  <c r="AG401" i="22"/>
  <c r="L401" i="26"/>
  <c r="O401" i="26" s="1"/>
  <c r="AG421" i="22"/>
  <c r="L421" i="26"/>
  <c r="O421" i="26" s="1"/>
  <c r="AG441" i="22"/>
  <c r="L441" i="26"/>
  <c r="O441" i="26" s="1"/>
  <c r="AG533" i="22"/>
  <c r="L533" i="26"/>
  <c r="O533" i="26" s="1"/>
  <c r="AG549" i="22"/>
  <c r="L549" i="26"/>
  <c r="O549" i="26" s="1"/>
  <c r="AG565" i="22"/>
  <c r="L565" i="26"/>
  <c r="O565" i="26" s="1"/>
  <c r="AG720" i="22"/>
  <c r="L720" i="26"/>
  <c r="O720" i="26" s="1"/>
  <c r="AG740" i="22"/>
  <c r="L740" i="26"/>
  <c r="O740" i="26" s="1"/>
  <c r="AG759" i="22"/>
  <c r="L759" i="26"/>
  <c r="O759" i="26" s="1"/>
  <c r="AG911" i="22"/>
  <c r="L911" i="26"/>
  <c r="O911" i="26" s="1"/>
  <c r="AG987" i="22"/>
  <c r="L987" i="26"/>
  <c r="O987" i="26" s="1"/>
  <c r="AG1004" i="22"/>
  <c r="L1004" i="26"/>
  <c r="O1004" i="26" s="1"/>
  <c r="AG1023" i="22"/>
  <c r="L1023" i="26"/>
  <c r="O1023" i="26" s="1"/>
  <c r="AG1154" i="22"/>
  <c r="L1154" i="26"/>
  <c r="O1154" i="26" s="1"/>
  <c r="AG1170" i="22"/>
  <c r="L1170" i="26"/>
  <c r="O1170" i="26" s="1"/>
  <c r="AG1186" i="22"/>
  <c r="L1186" i="26"/>
  <c r="O1186" i="26" s="1"/>
  <c r="AG1303" i="22"/>
  <c r="L1303" i="26"/>
  <c r="O1303" i="26" s="1"/>
  <c r="AG2549" i="22"/>
  <c r="L2549" i="26"/>
  <c r="AG2565" i="22"/>
  <c r="L2565" i="26"/>
  <c r="O2565" i="26" s="1"/>
  <c r="AG2550" i="22"/>
  <c r="L2550" i="26"/>
  <c r="O2550" i="26" s="1"/>
  <c r="AG2566" i="22"/>
  <c r="L2566" i="26"/>
  <c r="O2566" i="26" s="1"/>
  <c r="AG2551" i="22"/>
  <c r="L2551" i="26"/>
  <c r="O2551" i="26" s="1"/>
  <c r="AG2567" i="22"/>
  <c r="L2567" i="26"/>
  <c r="O2567" i="26" s="1"/>
  <c r="AG2556" i="22"/>
  <c r="L2556" i="26"/>
  <c r="O2556" i="26" s="1"/>
  <c r="AG2572" i="22"/>
  <c r="L2572" i="26"/>
  <c r="O2572" i="26" s="1"/>
  <c r="AG1590" i="22"/>
  <c r="L1590" i="26"/>
  <c r="O1590" i="26" s="1"/>
  <c r="AG1606" i="22"/>
  <c r="L1606" i="26"/>
  <c r="O1606" i="26" s="1"/>
  <c r="AG1583" i="22"/>
  <c r="L1583" i="26"/>
  <c r="O1583" i="26" s="1"/>
  <c r="AG1599" i="22"/>
  <c r="L1599" i="26"/>
  <c r="O1599" i="26" s="1"/>
  <c r="AG1615" i="22"/>
  <c r="L1615" i="26"/>
  <c r="O1615" i="26" s="1"/>
  <c r="AG1588" i="22"/>
  <c r="L1588" i="26"/>
  <c r="O1588" i="26" s="1"/>
  <c r="AG1604" i="22"/>
  <c r="L1604" i="26"/>
  <c r="O1604" i="26" s="1"/>
  <c r="AG1620" i="22"/>
  <c r="L1620" i="26"/>
  <c r="O1620" i="26" s="1"/>
  <c r="AG1593" i="22"/>
  <c r="L1593" i="26"/>
  <c r="O1593" i="26" s="1"/>
  <c r="AG1609" i="22"/>
  <c r="L1609" i="26"/>
  <c r="O1609" i="26" s="1"/>
  <c r="AA48" i="13"/>
  <c r="AA48" i="12"/>
  <c r="AA48" i="11"/>
  <c r="AA48" i="10"/>
  <c r="X5" i="13"/>
  <c r="W46" i="13"/>
  <c r="X5" i="12"/>
  <c r="W46" i="12"/>
  <c r="O2542" i="26" l="1"/>
  <c r="O1453" i="26"/>
  <c r="O1374" i="26"/>
  <c r="O653" i="26"/>
  <c r="O654" i="26"/>
  <c r="O633" i="26"/>
  <c r="O651" i="26"/>
  <c r="O2518" i="26"/>
  <c r="O2520" i="26"/>
  <c r="O1511" i="26"/>
  <c r="O1451" i="26"/>
  <c r="O1449" i="26"/>
  <c r="O1448" i="26"/>
  <c r="O1522" i="26"/>
  <c r="O638" i="26"/>
  <c r="O2537" i="26"/>
  <c r="O1458" i="26"/>
  <c r="O1528" i="26"/>
  <c r="O1436" i="26"/>
  <c r="O1526" i="26"/>
  <c r="O640" i="26"/>
  <c r="O686" i="26"/>
  <c r="O693" i="26"/>
  <c r="O2011" i="26"/>
  <c r="O1455" i="26"/>
  <c r="O684" i="26"/>
  <c r="O652" i="26"/>
  <c r="O2079" i="26"/>
  <c r="O2046" i="26"/>
  <c r="O1533" i="26"/>
  <c r="O1432" i="26"/>
  <c r="O650" i="26"/>
  <c r="O636" i="26"/>
  <c r="O689" i="26"/>
  <c r="O2037" i="26"/>
  <c r="O2081" i="26"/>
  <c r="O1992" i="26"/>
  <c r="O2040" i="26"/>
  <c r="O2056" i="26"/>
  <c r="O2527" i="26"/>
  <c r="O2514" i="26"/>
  <c r="O1446" i="26"/>
  <c r="O1437" i="26"/>
  <c r="O1459" i="26"/>
  <c r="O1529" i="26"/>
  <c r="O639" i="26"/>
  <c r="O634" i="26"/>
  <c r="O687" i="26"/>
  <c r="O680" i="26"/>
  <c r="O702" i="26"/>
  <c r="O2075" i="26"/>
  <c r="O2015" i="26"/>
  <c r="O2031" i="26"/>
  <c r="O2027" i="26"/>
  <c r="O1986" i="26"/>
  <c r="O2002" i="26"/>
  <c r="O2050" i="26"/>
  <c r="O2066" i="26"/>
  <c r="O2535" i="26"/>
  <c r="O2539" i="26"/>
  <c r="O2525" i="26"/>
  <c r="O2544" i="26"/>
  <c r="O1362" i="26"/>
  <c r="O1435" i="26"/>
  <c r="O1361" i="26"/>
  <c r="O1447" i="26"/>
  <c r="O1517" i="26"/>
  <c r="O1512" i="26"/>
  <c r="O1440" i="26"/>
  <c r="O1514" i="26"/>
  <c r="O646" i="26"/>
  <c r="O641" i="26"/>
  <c r="O683" i="26"/>
  <c r="O649" i="26"/>
  <c r="O699" i="26"/>
  <c r="O688" i="26"/>
  <c r="L7" i="31"/>
  <c r="L13" i="31" s="1"/>
  <c r="J13" i="31"/>
  <c r="L9" i="31"/>
  <c r="J15" i="31"/>
  <c r="J14" i="31"/>
  <c r="AP3" i="22"/>
  <c r="AQ3" i="22" s="1"/>
  <c r="AP5" i="22"/>
  <c r="AQ5" i="22" s="1"/>
  <c r="AP6" i="22"/>
  <c r="AQ6" i="22" s="1"/>
  <c r="AC9" i="26"/>
  <c r="AP7" i="22"/>
  <c r="AQ7" i="22" s="1"/>
  <c r="AC12" i="26"/>
  <c r="AP4" i="22"/>
  <c r="AP9" i="22" s="1"/>
  <c r="T9" i="26"/>
  <c r="O1536" i="26"/>
  <c r="W9" i="26" s="1"/>
  <c r="T10" i="26"/>
  <c r="O1971" i="26"/>
  <c r="O74" i="26"/>
  <c r="T7" i="26"/>
  <c r="O254" i="26"/>
  <c r="T11" i="26"/>
  <c r="O2088" i="26"/>
  <c r="AC10" i="26"/>
  <c r="AC7" i="26"/>
  <c r="AC11" i="26"/>
  <c r="T12" i="26"/>
  <c r="O2549" i="26"/>
  <c r="W12" i="26" s="1"/>
  <c r="X46" i="12"/>
  <c r="AA5" i="12"/>
  <c r="AA46" i="12" s="1"/>
  <c r="X46" i="13"/>
  <c r="AA5" i="13"/>
  <c r="G5" i="33" s="1"/>
  <c r="AQ4" i="22" l="1"/>
  <c r="W7" i="26"/>
  <c r="Z7" i="26" s="1"/>
  <c r="AH7" i="26" s="1"/>
  <c r="W11" i="26"/>
  <c r="Z11" i="26" s="1"/>
  <c r="AH11" i="26" s="1"/>
  <c r="W10" i="26"/>
  <c r="Z10" i="26" s="1"/>
  <c r="AH10" i="26" s="1"/>
  <c r="L15" i="31"/>
  <c r="L14" i="31"/>
  <c r="Z9" i="26"/>
  <c r="AH9" i="26" s="1"/>
  <c r="Z12" i="26"/>
  <c r="AH12" i="26" s="1"/>
  <c r="AA155" i="22"/>
  <c r="AA151" i="22"/>
  <c r="AA147" i="22"/>
  <c r="AA128" i="22"/>
  <c r="AA120" i="22"/>
  <c r="AA112" i="22"/>
  <c r="AA154" i="22"/>
  <c r="AA150" i="22"/>
  <c r="AA146" i="22"/>
  <c r="AA126" i="22"/>
  <c r="AA118" i="22"/>
  <c r="AA110" i="22"/>
  <c r="AA157" i="22"/>
  <c r="AA153" i="22"/>
  <c r="AA149" i="22"/>
  <c r="AA132" i="22"/>
  <c r="AA124" i="22"/>
  <c r="AA116" i="22"/>
  <c r="AA156" i="22"/>
  <c r="AA152" i="22"/>
  <c r="AA148" i="22"/>
  <c r="AA130" i="22"/>
  <c r="AA122" i="22"/>
  <c r="AA114" i="22"/>
  <c r="AQ9" i="22"/>
  <c r="AA46" i="13"/>
  <c r="AG130" i="22" l="1"/>
  <c r="L130" i="26"/>
  <c r="O130" i="26" s="1"/>
  <c r="AG116" i="22"/>
  <c r="L116" i="26"/>
  <c r="O116" i="26" s="1"/>
  <c r="AG153" i="22"/>
  <c r="L153" i="26"/>
  <c r="O153" i="26" s="1"/>
  <c r="AG126" i="22"/>
  <c r="L126" i="26"/>
  <c r="O126" i="26" s="1"/>
  <c r="AG112" i="22"/>
  <c r="L112" i="26"/>
  <c r="O112" i="26" s="1"/>
  <c r="AG151" i="22"/>
  <c r="L151" i="26"/>
  <c r="O151" i="26" s="1"/>
  <c r="AG124" i="22"/>
  <c r="L124" i="26"/>
  <c r="O124" i="26" s="1"/>
  <c r="AG146" i="22"/>
  <c r="L146" i="26"/>
  <c r="O146" i="26" s="1"/>
  <c r="AG155" i="22"/>
  <c r="L155" i="26"/>
  <c r="O155" i="26" s="1"/>
  <c r="AG148" i="22"/>
  <c r="L148" i="26"/>
  <c r="O148" i="26" s="1"/>
  <c r="AG157" i="22"/>
  <c r="L191" i="26"/>
  <c r="O191" i="26" s="1"/>
  <c r="L187" i="26"/>
  <c r="O187" i="26" s="1"/>
  <c r="L183" i="26"/>
  <c r="O183" i="26" s="1"/>
  <c r="L190" i="26"/>
  <c r="O190" i="26" s="1"/>
  <c r="L188" i="26"/>
  <c r="O188" i="26" s="1"/>
  <c r="L193" i="26"/>
  <c r="O193" i="26" s="1"/>
  <c r="L186" i="26"/>
  <c r="O186" i="26" s="1"/>
  <c r="L184" i="26"/>
  <c r="O184" i="26" s="1"/>
  <c r="L189" i="26"/>
  <c r="O189" i="26" s="1"/>
  <c r="L182" i="26"/>
  <c r="O182" i="26" s="1"/>
  <c r="L192" i="26"/>
  <c r="O192" i="26" s="1"/>
  <c r="L185" i="26"/>
  <c r="O185" i="26" s="1"/>
  <c r="L157" i="26"/>
  <c r="O157" i="26" s="1"/>
  <c r="AG120" i="22"/>
  <c r="L120" i="26"/>
  <c r="O120" i="26" s="1"/>
  <c r="AG114" i="22"/>
  <c r="L114" i="26"/>
  <c r="O114" i="26" s="1"/>
  <c r="AG152" i="22"/>
  <c r="L152" i="26"/>
  <c r="O152" i="26" s="1"/>
  <c r="AG132" i="22"/>
  <c r="L132" i="26"/>
  <c r="O132" i="26" s="1"/>
  <c r="AG110" i="22"/>
  <c r="L110" i="26"/>
  <c r="AG150" i="22"/>
  <c r="L150" i="26"/>
  <c r="O150" i="26" s="1"/>
  <c r="AG128" i="22"/>
  <c r="L128" i="26"/>
  <c r="O128" i="26" s="1"/>
  <c r="AG122" i="22"/>
  <c r="L122" i="26"/>
  <c r="O122" i="26" s="1"/>
  <c r="AG156" i="22"/>
  <c r="L156" i="26"/>
  <c r="O156" i="26" s="1"/>
  <c r="AG149" i="22"/>
  <c r="L149" i="26"/>
  <c r="O149" i="26" s="1"/>
  <c r="AG118" i="22"/>
  <c r="L118" i="26"/>
  <c r="O118" i="26" s="1"/>
  <c r="AG154" i="22"/>
  <c r="L154" i="26"/>
  <c r="O154" i="26" s="1"/>
  <c r="AG147" i="22"/>
  <c r="L147" i="26"/>
  <c r="O147" i="26" s="1"/>
  <c r="O110" i="26" l="1"/>
  <c r="W5" i="26" s="1"/>
  <c r="T5" i="26"/>
  <c r="AP2" i="22"/>
  <c r="AC5" i="26"/>
  <c r="Z5" i="26" l="1"/>
  <c r="AH5" i="26" s="1"/>
  <c r="AP8" i="22"/>
  <c r="AQ2" i="22"/>
  <c r="AQ8" i="22" l="1"/>
  <c r="AP10" i="22"/>
  <c r="AQ10" i="22" s="1"/>
  <c r="J2" i="26" l="1"/>
  <c r="K2" i="26"/>
  <c r="M2" i="26"/>
  <c r="N2" i="26"/>
  <c r="J3" i="26"/>
  <c r="K3" i="26"/>
  <c r="M3" i="26"/>
  <c r="N3" i="26"/>
  <c r="J4" i="26"/>
  <c r="K4" i="26"/>
  <c r="M4" i="26"/>
  <c r="N4" i="26"/>
  <c r="J5" i="26"/>
  <c r="K5" i="26"/>
  <c r="M5" i="26"/>
  <c r="N5" i="26"/>
  <c r="R5" i="26"/>
  <c r="S5" i="26"/>
  <c r="U5" i="26"/>
  <c r="V5" i="26"/>
  <c r="X5" i="26"/>
  <c r="Y5" i="26"/>
  <c r="AA5" i="26"/>
  <c r="AB5" i="26"/>
  <c r="AD5" i="26"/>
  <c r="AE5" i="26"/>
  <c r="AF5" i="26"/>
  <c r="AG5" i="26"/>
  <c r="AI5" i="26"/>
  <c r="AJ5" i="26"/>
  <c r="J6" i="26"/>
  <c r="K6" i="26"/>
  <c r="M6" i="26"/>
  <c r="N6" i="26"/>
  <c r="J7" i="26"/>
  <c r="K7" i="26"/>
  <c r="M7" i="26"/>
  <c r="N7" i="26"/>
  <c r="R7" i="26"/>
  <c r="S7" i="26"/>
  <c r="U7" i="26"/>
  <c r="V7" i="26"/>
  <c r="X7" i="26"/>
  <c r="Y7" i="26"/>
  <c r="AA7" i="26"/>
  <c r="AB7" i="26"/>
  <c r="AD7" i="26"/>
  <c r="AE7" i="26"/>
  <c r="AF7" i="26"/>
  <c r="AG7" i="26"/>
  <c r="AI7" i="26"/>
  <c r="AJ7" i="26"/>
  <c r="J8" i="26"/>
  <c r="K8" i="26"/>
  <c r="M8" i="26"/>
  <c r="N8" i="26"/>
  <c r="J9" i="26"/>
  <c r="K9" i="26"/>
  <c r="M9" i="26"/>
  <c r="N9" i="26"/>
  <c r="S9" i="26"/>
  <c r="V9" i="26"/>
  <c r="Y9" i="26"/>
  <c r="AB9" i="26"/>
  <c r="AE9" i="26"/>
  <c r="AG9" i="26"/>
  <c r="AJ9" i="26"/>
  <c r="J10" i="26"/>
  <c r="K10" i="26"/>
  <c r="M10" i="26"/>
  <c r="N10" i="26"/>
  <c r="S10" i="26"/>
  <c r="V10" i="26"/>
  <c r="Y10" i="26"/>
  <c r="AB10" i="26"/>
  <c r="AE10" i="26"/>
  <c r="AG10" i="26"/>
  <c r="AJ10" i="26"/>
  <c r="J11" i="26"/>
  <c r="K11" i="26"/>
  <c r="M11" i="26"/>
  <c r="N11" i="26"/>
  <c r="S11" i="26"/>
  <c r="V11" i="26"/>
  <c r="Y11" i="26"/>
  <c r="AB11" i="26"/>
  <c r="AE11" i="26"/>
  <c r="AG11" i="26"/>
  <c r="AJ11" i="26"/>
  <c r="J12" i="26"/>
  <c r="K12" i="26"/>
  <c r="M12" i="26"/>
  <c r="N12" i="26"/>
  <c r="S12" i="26"/>
  <c r="V12" i="26"/>
  <c r="Y12" i="26"/>
  <c r="AB12" i="26"/>
  <c r="AG12" i="26"/>
  <c r="AJ12" i="26"/>
  <c r="J13" i="26"/>
  <c r="K13" i="26"/>
  <c r="M13" i="26"/>
  <c r="N13" i="26"/>
  <c r="K14" i="26"/>
  <c r="N14" i="26"/>
  <c r="K15" i="26"/>
  <c r="N15" i="26"/>
  <c r="K16" i="26"/>
  <c r="N16" i="26"/>
  <c r="K17" i="26"/>
  <c r="N17" i="26"/>
  <c r="K18" i="26"/>
  <c r="N18" i="26"/>
  <c r="K19" i="26"/>
  <c r="N19" i="26"/>
  <c r="K20" i="26"/>
  <c r="N20" i="26"/>
  <c r="K21" i="26"/>
  <c r="N21" i="26"/>
  <c r="K22" i="26"/>
  <c r="N22" i="26"/>
  <c r="K23" i="26"/>
  <c r="N23" i="26"/>
  <c r="K24" i="26"/>
  <c r="N24" i="26"/>
  <c r="K25" i="26"/>
  <c r="N25" i="26"/>
  <c r="J26" i="26"/>
  <c r="K26" i="26"/>
  <c r="M26" i="26"/>
  <c r="N26" i="26"/>
  <c r="J27" i="26"/>
  <c r="K27" i="26"/>
  <c r="M27" i="26"/>
  <c r="N27" i="26"/>
  <c r="J28" i="26"/>
  <c r="K28" i="26"/>
  <c r="M28" i="26"/>
  <c r="N28" i="26"/>
  <c r="J29" i="26"/>
  <c r="K29" i="26"/>
  <c r="M29" i="26"/>
  <c r="N29" i="26"/>
  <c r="J30" i="26"/>
  <c r="K30" i="26"/>
  <c r="M30" i="26"/>
  <c r="N30" i="26"/>
  <c r="J31" i="26"/>
  <c r="K31" i="26"/>
  <c r="M31" i="26"/>
  <c r="N31" i="26"/>
  <c r="J32" i="26"/>
  <c r="K32" i="26"/>
  <c r="M32" i="26"/>
  <c r="N32" i="26"/>
  <c r="J33" i="26"/>
  <c r="K33" i="26"/>
  <c r="M33" i="26"/>
  <c r="N33" i="26"/>
  <c r="J34" i="26"/>
  <c r="K34" i="26"/>
  <c r="M34" i="26"/>
  <c r="N34" i="26"/>
  <c r="J35" i="26"/>
  <c r="K35" i="26"/>
  <c r="M35" i="26"/>
  <c r="N35" i="26"/>
  <c r="J36" i="26"/>
  <c r="K36" i="26"/>
  <c r="M36" i="26"/>
  <c r="N36" i="26"/>
  <c r="J37" i="26"/>
  <c r="K37" i="26"/>
  <c r="M37" i="26"/>
  <c r="N37" i="26"/>
  <c r="J38" i="26"/>
  <c r="K38" i="26"/>
  <c r="M38" i="26"/>
  <c r="N38" i="26"/>
  <c r="J39" i="26"/>
  <c r="K39" i="26"/>
  <c r="M39" i="26"/>
  <c r="N39" i="26"/>
  <c r="J40" i="26"/>
  <c r="K40" i="26"/>
  <c r="M40" i="26"/>
  <c r="N40" i="26"/>
  <c r="J41" i="26"/>
  <c r="K41" i="26"/>
  <c r="M41" i="26"/>
  <c r="N41" i="26"/>
  <c r="J42" i="26"/>
  <c r="K42" i="26"/>
  <c r="M42" i="26"/>
  <c r="N42" i="26"/>
  <c r="J43" i="26"/>
  <c r="K43" i="26"/>
  <c r="M43" i="26"/>
  <c r="N43" i="26"/>
  <c r="J44" i="26"/>
  <c r="K44" i="26"/>
  <c r="M44" i="26"/>
  <c r="N44" i="26"/>
  <c r="J45" i="26"/>
  <c r="K45" i="26"/>
  <c r="M45" i="26"/>
  <c r="N45" i="26"/>
  <c r="J46" i="26"/>
  <c r="K46" i="26"/>
  <c r="M46" i="26"/>
  <c r="N46" i="26"/>
  <c r="J47" i="26"/>
  <c r="K47" i="26"/>
  <c r="M47" i="26"/>
  <c r="N47" i="26"/>
  <c r="J48" i="26"/>
  <c r="K48" i="26"/>
  <c r="M48" i="26"/>
  <c r="N48" i="26"/>
  <c r="J49" i="26"/>
  <c r="K49" i="26"/>
  <c r="M49" i="26"/>
  <c r="N49" i="26"/>
  <c r="K50" i="26"/>
  <c r="N50" i="26"/>
  <c r="K51" i="26"/>
  <c r="N51" i="26"/>
  <c r="K52" i="26"/>
  <c r="N52" i="26"/>
  <c r="K53" i="26"/>
  <c r="N53" i="26"/>
  <c r="K54" i="26"/>
  <c r="N54" i="26"/>
  <c r="K55" i="26"/>
  <c r="N55" i="26"/>
  <c r="K56" i="26"/>
  <c r="N56" i="26"/>
  <c r="K57" i="26"/>
  <c r="N57" i="26"/>
  <c r="K58" i="26"/>
  <c r="N58" i="26"/>
  <c r="K59" i="26"/>
  <c r="N59" i="26"/>
  <c r="K60" i="26"/>
  <c r="N60" i="26"/>
  <c r="K61" i="26"/>
  <c r="N61" i="26"/>
  <c r="J62" i="26"/>
  <c r="K62" i="26"/>
  <c r="M62" i="26"/>
  <c r="N62" i="26"/>
  <c r="J63" i="26"/>
  <c r="K63" i="26"/>
  <c r="M63" i="26"/>
  <c r="N63" i="26"/>
  <c r="J64" i="26"/>
  <c r="K64" i="26"/>
  <c r="M64" i="26"/>
  <c r="N64" i="26"/>
  <c r="J65" i="26"/>
  <c r="K65" i="26"/>
  <c r="M65" i="26"/>
  <c r="N65" i="26"/>
  <c r="J66" i="26"/>
  <c r="K66" i="26"/>
  <c r="M66" i="26"/>
  <c r="N66" i="26"/>
  <c r="J67" i="26"/>
  <c r="K67" i="26"/>
  <c r="M67" i="26"/>
  <c r="N67" i="26"/>
  <c r="J68" i="26"/>
  <c r="K68" i="26"/>
  <c r="M68" i="26"/>
  <c r="N68" i="26"/>
  <c r="J69" i="26"/>
  <c r="K69" i="26"/>
  <c r="M69" i="26"/>
  <c r="N69" i="26"/>
  <c r="J70" i="26"/>
  <c r="K70" i="26"/>
  <c r="M70" i="26"/>
  <c r="N70" i="26"/>
  <c r="J71" i="26"/>
  <c r="K71" i="26"/>
  <c r="M71" i="26"/>
  <c r="N71" i="26"/>
  <c r="J72" i="26"/>
  <c r="K72" i="26"/>
  <c r="M72" i="26"/>
  <c r="N72" i="26"/>
  <c r="J73" i="26"/>
  <c r="K73" i="26"/>
  <c r="M73" i="26"/>
  <c r="N73" i="26"/>
  <c r="J74" i="26"/>
  <c r="K74" i="26"/>
  <c r="M74" i="26"/>
  <c r="N74" i="26"/>
  <c r="J75" i="26"/>
  <c r="K75" i="26"/>
  <c r="M75" i="26"/>
  <c r="N75" i="26"/>
  <c r="J76" i="26"/>
  <c r="K76" i="26"/>
  <c r="M76" i="26"/>
  <c r="N76" i="26"/>
  <c r="J77" i="26"/>
  <c r="K77" i="26"/>
  <c r="M77" i="26"/>
  <c r="N77" i="26"/>
  <c r="J78" i="26"/>
  <c r="K78" i="26"/>
  <c r="M78" i="26"/>
  <c r="N78" i="26"/>
  <c r="J79" i="26"/>
  <c r="K79" i="26"/>
  <c r="M79" i="26"/>
  <c r="N79" i="26"/>
  <c r="J80" i="26"/>
  <c r="K80" i="26"/>
  <c r="M80" i="26"/>
  <c r="N80" i="26"/>
  <c r="J81" i="26"/>
  <c r="K81" i="26"/>
  <c r="M81" i="26"/>
  <c r="N81" i="26"/>
  <c r="J82" i="26"/>
  <c r="K82" i="26"/>
  <c r="M82" i="26"/>
  <c r="N82" i="26"/>
  <c r="J83" i="26"/>
  <c r="K83" i="26"/>
  <c r="M83" i="26"/>
  <c r="N83" i="26"/>
  <c r="J84" i="26"/>
  <c r="K84" i="26"/>
  <c r="M84" i="26"/>
  <c r="N84" i="26"/>
  <c r="J85" i="26"/>
  <c r="K85" i="26"/>
  <c r="M85" i="26"/>
  <c r="N85" i="26"/>
  <c r="J86" i="26"/>
  <c r="K86" i="26"/>
  <c r="M86" i="26"/>
  <c r="N86" i="26"/>
  <c r="J87" i="26"/>
  <c r="K87" i="26"/>
  <c r="M87" i="26"/>
  <c r="N87" i="26"/>
  <c r="J88" i="26"/>
  <c r="K88" i="26"/>
  <c r="M88" i="26"/>
  <c r="N88" i="26"/>
  <c r="J89" i="26"/>
  <c r="K89" i="26"/>
  <c r="M89" i="26"/>
  <c r="N89" i="26"/>
  <c r="J90" i="26"/>
  <c r="K90" i="26"/>
  <c r="M90" i="26"/>
  <c r="N90" i="26"/>
  <c r="J91" i="26"/>
  <c r="K91" i="26"/>
  <c r="M91" i="26"/>
  <c r="N91" i="26"/>
  <c r="J92" i="26"/>
  <c r="K92" i="26"/>
  <c r="M92" i="26"/>
  <c r="N92" i="26"/>
  <c r="J93" i="26"/>
  <c r="K93" i="26"/>
  <c r="M93" i="26"/>
  <c r="N93" i="26"/>
  <c r="J94" i="26"/>
  <c r="K94" i="26"/>
  <c r="M94" i="26"/>
  <c r="N94" i="26"/>
  <c r="J95" i="26"/>
  <c r="K95" i="26"/>
  <c r="M95" i="26"/>
  <c r="N95" i="26"/>
  <c r="J96" i="26"/>
  <c r="K96" i="26"/>
  <c r="M96" i="26"/>
  <c r="N96" i="26"/>
  <c r="J97" i="26"/>
  <c r="K97" i="26"/>
  <c r="M97" i="26"/>
  <c r="N97" i="26"/>
  <c r="K98" i="26"/>
  <c r="N98" i="26"/>
  <c r="K99" i="26"/>
  <c r="N99" i="26"/>
  <c r="K100" i="26"/>
  <c r="N100" i="26"/>
  <c r="K101" i="26"/>
  <c r="N101" i="26"/>
  <c r="K102" i="26"/>
  <c r="N102" i="26"/>
  <c r="K103" i="26"/>
  <c r="N103" i="26"/>
  <c r="K104" i="26"/>
  <c r="N104" i="26"/>
  <c r="K105" i="26"/>
  <c r="N105" i="26"/>
  <c r="K106" i="26"/>
  <c r="N106" i="26"/>
  <c r="K107" i="26"/>
  <c r="N107" i="26"/>
  <c r="K108" i="26"/>
  <c r="N108" i="26"/>
  <c r="K109" i="26"/>
  <c r="N109" i="26"/>
  <c r="J110" i="26"/>
  <c r="K110" i="26"/>
  <c r="M110" i="26"/>
  <c r="N110" i="26"/>
  <c r="J111" i="26"/>
  <c r="K111" i="26"/>
  <c r="M111" i="26"/>
  <c r="N111" i="26"/>
  <c r="J112" i="26"/>
  <c r="K112" i="26"/>
  <c r="M112" i="26"/>
  <c r="N112" i="26"/>
  <c r="J113" i="26"/>
  <c r="K113" i="26"/>
  <c r="M113" i="26"/>
  <c r="N113" i="26"/>
  <c r="J114" i="26"/>
  <c r="K114" i="26"/>
  <c r="M114" i="26"/>
  <c r="N114" i="26"/>
  <c r="J115" i="26"/>
  <c r="K115" i="26"/>
  <c r="M115" i="26"/>
  <c r="N115" i="26"/>
  <c r="J116" i="26"/>
  <c r="K116" i="26"/>
  <c r="M116" i="26"/>
  <c r="N116" i="26"/>
  <c r="J117" i="26"/>
  <c r="K117" i="26"/>
  <c r="M117" i="26"/>
  <c r="N117" i="26"/>
  <c r="J118" i="26"/>
  <c r="K118" i="26"/>
  <c r="M118" i="26"/>
  <c r="N118" i="26"/>
  <c r="J119" i="26"/>
  <c r="K119" i="26"/>
  <c r="M119" i="26"/>
  <c r="N119" i="26"/>
  <c r="J120" i="26"/>
  <c r="K120" i="26"/>
  <c r="M120" i="26"/>
  <c r="N120" i="26"/>
  <c r="J121" i="26"/>
  <c r="K121" i="26"/>
  <c r="M121" i="26"/>
  <c r="N121" i="26"/>
  <c r="J122" i="26"/>
  <c r="K122" i="26"/>
  <c r="M122" i="26"/>
  <c r="N122" i="26"/>
  <c r="J123" i="26"/>
  <c r="K123" i="26"/>
  <c r="M123" i="26"/>
  <c r="N123" i="26"/>
  <c r="J124" i="26"/>
  <c r="K124" i="26"/>
  <c r="M124" i="26"/>
  <c r="N124" i="26"/>
  <c r="J125" i="26"/>
  <c r="K125" i="26"/>
  <c r="M125" i="26"/>
  <c r="N125" i="26"/>
  <c r="J126" i="26"/>
  <c r="K126" i="26"/>
  <c r="M126" i="26"/>
  <c r="N126" i="26"/>
  <c r="J127" i="26"/>
  <c r="K127" i="26"/>
  <c r="M127" i="26"/>
  <c r="N127" i="26"/>
  <c r="J128" i="26"/>
  <c r="K128" i="26"/>
  <c r="M128" i="26"/>
  <c r="N128" i="26"/>
  <c r="J129" i="26"/>
  <c r="K129" i="26"/>
  <c r="M129" i="26"/>
  <c r="N129" i="26"/>
  <c r="J130" i="26"/>
  <c r="K130" i="26"/>
  <c r="M130" i="26"/>
  <c r="N130" i="26"/>
  <c r="J131" i="26"/>
  <c r="K131" i="26"/>
  <c r="M131" i="26"/>
  <c r="N131" i="26"/>
  <c r="J132" i="26"/>
  <c r="K132" i="26"/>
  <c r="M132" i="26"/>
  <c r="N132" i="26"/>
  <c r="J133" i="26"/>
  <c r="K133" i="26"/>
  <c r="M133" i="26"/>
  <c r="N133" i="26"/>
  <c r="J134" i="26"/>
  <c r="K134" i="26"/>
  <c r="M134" i="26"/>
  <c r="N134" i="26"/>
  <c r="J135" i="26"/>
  <c r="K135" i="26"/>
  <c r="M135" i="26"/>
  <c r="N135" i="26"/>
  <c r="J136" i="26"/>
  <c r="K136" i="26"/>
  <c r="M136" i="26"/>
  <c r="N136" i="26"/>
  <c r="J137" i="26"/>
  <c r="K137" i="26"/>
  <c r="M137" i="26"/>
  <c r="N137" i="26"/>
  <c r="J138" i="26"/>
  <c r="K138" i="26"/>
  <c r="M138" i="26"/>
  <c r="N138" i="26"/>
  <c r="J139" i="26"/>
  <c r="K139" i="26"/>
  <c r="M139" i="26"/>
  <c r="N139" i="26"/>
  <c r="J140" i="26"/>
  <c r="K140" i="26"/>
  <c r="M140" i="26"/>
  <c r="N140" i="26"/>
  <c r="J141" i="26"/>
  <c r="K141" i="26"/>
  <c r="M141" i="26"/>
  <c r="N141" i="26"/>
  <c r="J142" i="26"/>
  <c r="K142" i="26"/>
  <c r="M142" i="26"/>
  <c r="N142" i="26"/>
  <c r="J143" i="26"/>
  <c r="K143" i="26"/>
  <c r="M143" i="26"/>
  <c r="N143" i="26"/>
  <c r="J144" i="26"/>
  <c r="K144" i="26"/>
  <c r="M144" i="26"/>
  <c r="N144" i="26"/>
  <c r="J145" i="26"/>
  <c r="K145" i="26"/>
  <c r="M145" i="26"/>
  <c r="N145" i="26"/>
  <c r="J146" i="26"/>
  <c r="K146" i="26"/>
  <c r="M146" i="26"/>
  <c r="N146" i="26"/>
  <c r="J147" i="26"/>
  <c r="K147" i="26"/>
  <c r="M147" i="26"/>
  <c r="N147" i="26"/>
  <c r="J148" i="26"/>
  <c r="K148" i="26"/>
  <c r="M148" i="26"/>
  <c r="N148" i="26"/>
  <c r="J149" i="26"/>
  <c r="K149" i="26"/>
  <c r="M149" i="26"/>
  <c r="N149" i="26"/>
  <c r="J150" i="26"/>
  <c r="K150" i="26"/>
  <c r="M150" i="26"/>
  <c r="N150" i="26"/>
  <c r="J151" i="26"/>
  <c r="K151" i="26"/>
  <c r="M151" i="26"/>
  <c r="N151" i="26"/>
  <c r="J152" i="26"/>
  <c r="K152" i="26"/>
  <c r="M152" i="26"/>
  <c r="N152" i="26"/>
  <c r="J153" i="26"/>
  <c r="K153" i="26"/>
  <c r="M153" i="26"/>
  <c r="N153" i="26"/>
  <c r="J154" i="26"/>
  <c r="K154" i="26"/>
  <c r="M154" i="26"/>
  <c r="N154" i="26"/>
  <c r="J155" i="26"/>
  <c r="K155" i="26"/>
  <c r="M155" i="26"/>
  <c r="N155" i="26"/>
  <c r="J156" i="26"/>
  <c r="K156" i="26"/>
  <c r="M156" i="26"/>
  <c r="N156" i="26"/>
  <c r="J157" i="26"/>
  <c r="K157" i="26"/>
  <c r="M157" i="26"/>
  <c r="N157" i="26"/>
  <c r="J158" i="26"/>
  <c r="K158" i="26"/>
  <c r="M158" i="26"/>
  <c r="N158" i="26"/>
  <c r="J159" i="26"/>
  <c r="K159" i="26"/>
  <c r="M159" i="26"/>
  <c r="N159" i="26"/>
  <c r="J160" i="26"/>
  <c r="K160" i="26"/>
  <c r="M160" i="26"/>
  <c r="N160" i="26"/>
  <c r="J161" i="26"/>
  <c r="K161" i="26"/>
  <c r="M161" i="26"/>
  <c r="N161" i="26"/>
  <c r="J162" i="26"/>
  <c r="K162" i="26"/>
  <c r="M162" i="26"/>
  <c r="N162" i="26"/>
  <c r="J163" i="26"/>
  <c r="K163" i="26"/>
  <c r="M163" i="26"/>
  <c r="N163" i="26"/>
  <c r="J164" i="26"/>
  <c r="K164" i="26"/>
  <c r="M164" i="26"/>
  <c r="N164" i="26"/>
  <c r="J165" i="26"/>
  <c r="K165" i="26"/>
  <c r="M165" i="26"/>
  <c r="N165" i="26"/>
  <c r="J166" i="26"/>
  <c r="K166" i="26"/>
  <c r="M166" i="26"/>
  <c r="N166" i="26"/>
  <c r="J167" i="26"/>
  <c r="K167" i="26"/>
  <c r="M167" i="26"/>
  <c r="N167" i="26"/>
  <c r="J168" i="26"/>
  <c r="K168" i="26"/>
  <c r="M168" i="26"/>
  <c r="N168" i="26"/>
  <c r="J169" i="26"/>
  <c r="K169" i="26"/>
  <c r="M169" i="26"/>
  <c r="N169" i="26"/>
  <c r="K170" i="26"/>
  <c r="N170" i="26"/>
  <c r="K171" i="26"/>
  <c r="N171" i="26"/>
  <c r="K172" i="26"/>
  <c r="N172" i="26"/>
  <c r="K173" i="26"/>
  <c r="N173" i="26"/>
  <c r="K174" i="26"/>
  <c r="N174" i="26"/>
  <c r="K175" i="26"/>
  <c r="N175" i="26"/>
  <c r="K176" i="26"/>
  <c r="N176" i="26"/>
  <c r="K177" i="26"/>
  <c r="N177" i="26"/>
  <c r="K178" i="26"/>
  <c r="N178" i="26"/>
  <c r="K179" i="26"/>
  <c r="N179" i="26"/>
  <c r="K180" i="26"/>
  <c r="N180" i="26"/>
  <c r="K181" i="26"/>
  <c r="N181" i="26"/>
  <c r="J182" i="26"/>
  <c r="K182" i="26"/>
  <c r="M182" i="26"/>
  <c r="N182" i="26"/>
  <c r="J183" i="26"/>
  <c r="K183" i="26"/>
  <c r="M183" i="26"/>
  <c r="N183" i="26"/>
  <c r="J184" i="26"/>
  <c r="K184" i="26"/>
  <c r="M184" i="26"/>
  <c r="N184" i="26"/>
  <c r="J185" i="26"/>
  <c r="K185" i="26"/>
  <c r="M185" i="26"/>
  <c r="N185" i="26"/>
  <c r="J186" i="26"/>
  <c r="K186" i="26"/>
  <c r="M186" i="26"/>
  <c r="N186" i="26"/>
  <c r="J187" i="26"/>
  <c r="K187" i="26"/>
  <c r="M187" i="26"/>
  <c r="N187" i="26"/>
  <c r="J188" i="26"/>
  <c r="K188" i="26"/>
  <c r="M188" i="26"/>
  <c r="N188" i="26"/>
  <c r="J189" i="26"/>
  <c r="K189" i="26"/>
  <c r="M189" i="26"/>
  <c r="N189" i="26"/>
  <c r="J190" i="26"/>
  <c r="K190" i="26"/>
  <c r="M190" i="26"/>
  <c r="N190" i="26"/>
  <c r="J191" i="26"/>
  <c r="K191" i="26"/>
  <c r="M191" i="26"/>
  <c r="N191" i="26"/>
  <c r="J192" i="26"/>
  <c r="K192" i="26"/>
  <c r="M192" i="26"/>
  <c r="N192" i="26"/>
  <c r="J193" i="26"/>
  <c r="K193" i="26"/>
  <c r="M193" i="26"/>
  <c r="N193" i="26"/>
  <c r="J194" i="26"/>
  <c r="M194" i="26"/>
  <c r="J195" i="26"/>
  <c r="M195" i="26"/>
  <c r="J196" i="26"/>
  <c r="M196" i="26"/>
  <c r="J197" i="26"/>
  <c r="M197" i="26"/>
  <c r="J198" i="26"/>
  <c r="M198" i="26"/>
  <c r="J199" i="26"/>
  <c r="M199" i="26"/>
  <c r="J200" i="26"/>
  <c r="M200" i="26"/>
  <c r="J201" i="26"/>
  <c r="M201" i="26"/>
  <c r="J202" i="26"/>
  <c r="M202" i="26"/>
  <c r="J203" i="26"/>
  <c r="M203" i="26"/>
  <c r="J204" i="26"/>
  <c r="M204" i="26"/>
  <c r="J205" i="26"/>
  <c r="M205" i="26"/>
  <c r="J206" i="26"/>
  <c r="M206" i="26"/>
  <c r="J207" i="26"/>
  <c r="M207" i="26"/>
  <c r="J208" i="26"/>
  <c r="M208" i="26"/>
  <c r="J209" i="26"/>
  <c r="M209" i="26"/>
  <c r="J210" i="26"/>
  <c r="M210" i="26"/>
  <c r="J211" i="26"/>
  <c r="M211" i="26"/>
  <c r="J212" i="26"/>
  <c r="M212" i="26"/>
  <c r="J213" i="26"/>
  <c r="M213" i="26"/>
  <c r="J214" i="26"/>
  <c r="M214" i="26"/>
  <c r="J215" i="26"/>
  <c r="M215" i="26"/>
  <c r="J216" i="26"/>
  <c r="M216" i="26"/>
  <c r="J217" i="26"/>
  <c r="M217" i="26"/>
  <c r="J218" i="26"/>
  <c r="M218" i="26"/>
  <c r="J219" i="26"/>
  <c r="M219" i="26"/>
  <c r="J220" i="26"/>
  <c r="M220" i="26"/>
  <c r="J221" i="26"/>
  <c r="M221" i="26"/>
  <c r="J222" i="26"/>
  <c r="M222" i="26"/>
  <c r="J223" i="26"/>
  <c r="M223" i="26"/>
  <c r="J224" i="26"/>
  <c r="M224" i="26"/>
  <c r="J225" i="26"/>
  <c r="M225" i="26"/>
  <c r="J226" i="26"/>
  <c r="M226" i="26"/>
  <c r="J227" i="26"/>
  <c r="M227" i="26"/>
  <c r="J228" i="26"/>
  <c r="M228" i="26"/>
  <c r="J229" i="26"/>
  <c r="M229" i="26"/>
  <c r="J230" i="26"/>
  <c r="M230" i="26"/>
  <c r="J231" i="26"/>
  <c r="M231" i="26"/>
  <c r="J232" i="26"/>
  <c r="M232" i="26"/>
  <c r="J233" i="26"/>
  <c r="M233" i="26"/>
  <c r="J234" i="26"/>
  <c r="M234" i="26"/>
  <c r="J235" i="26"/>
  <c r="M235" i="26"/>
  <c r="J236" i="26"/>
  <c r="M236" i="26"/>
  <c r="J237" i="26"/>
  <c r="M237" i="26"/>
  <c r="J238" i="26"/>
  <c r="M238" i="26"/>
  <c r="J239" i="26"/>
  <c r="M239" i="26"/>
  <c r="J240" i="26"/>
  <c r="M240" i="26"/>
  <c r="J241" i="26"/>
  <c r="M241" i="26"/>
  <c r="J242" i="26"/>
  <c r="M242" i="26"/>
  <c r="J243" i="26"/>
  <c r="M243" i="26"/>
  <c r="J244" i="26"/>
  <c r="M244" i="26"/>
  <c r="J245" i="26"/>
  <c r="M245" i="26"/>
  <c r="J246" i="26"/>
  <c r="M246" i="26"/>
  <c r="J247" i="26"/>
  <c r="M247" i="26"/>
  <c r="J248" i="26"/>
  <c r="M248" i="26"/>
  <c r="J249" i="26"/>
  <c r="M249" i="26"/>
  <c r="J250" i="26"/>
  <c r="M250" i="26"/>
  <c r="J251" i="26"/>
  <c r="M251" i="26"/>
  <c r="J252" i="26"/>
  <c r="M252" i="26"/>
  <c r="J253" i="26"/>
  <c r="M253" i="26"/>
  <c r="J254" i="26"/>
  <c r="K254" i="26"/>
  <c r="M254" i="26"/>
  <c r="N254" i="26"/>
  <c r="J255" i="26"/>
  <c r="K255" i="26"/>
  <c r="M255" i="26"/>
  <c r="N255" i="26"/>
  <c r="J256" i="26"/>
  <c r="K256" i="26"/>
  <c r="M256" i="26"/>
  <c r="N256" i="26"/>
  <c r="J257" i="26"/>
  <c r="K257" i="26"/>
  <c r="M257" i="26"/>
  <c r="N257" i="26"/>
  <c r="J258" i="26"/>
  <c r="K258" i="26"/>
  <c r="M258" i="26"/>
  <c r="N258" i="26"/>
  <c r="J259" i="26"/>
  <c r="K259" i="26"/>
  <c r="M259" i="26"/>
  <c r="N259" i="26"/>
  <c r="J260" i="26"/>
  <c r="K260" i="26"/>
  <c r="M260" i="26"/>
  <c r="N260" i="26"/>
  <c r="J261" i="26"/>
  <c r="K261" i="26"/>
  <c r="M261" i="26"/>
  <c r="N261" i="26"/>
  <c r="J262" i="26"/>
  <c r="K262" i="26"/>
  <c r="M262" i="26"/>
  <c r="N262" i="26"/>
  <c r="J263" i="26"/>
  <c r="K263" i="26"/>
  <c r="M263" i="26"/>
  <c r="N263" i="26"/>
  <c r="J264" i="26"/>
  <c r="K264" i="26"/>
  <c r="M264" i="26"/>
  <c r="N264" i="26"/>
  <c r="J265" i="26"/>
  <c r="K265" i="26"/>
  <c r="M265" i="26"/>
  <c r="N265" i="26"/>
  <c r="J266" i="26"/>
  <c r="K266" i="26"/>
  <c r="M266" i="26"/>
  <c r="N266" i="26"/>
  <c r="J267" i="26"/>
  <c r="K267" i="26"/>
  <c r="M267" i="26"/>
  <c r="N267" i="26"/>
  <c r="J268" i="26"/>
  <c r="K268" i="26"/>
  <c r="M268" i="26"/>
  <c r="N268" i="26"/>
  <c r="J269" i="26"/>
  <c r="K269" i="26"/>
  <c r="M269" i="26"/>
  <c r="N269" i="26"/>
  <c r="J270" i="26"/>
  <c r="K270" i="26"/>
  <c r="M270" i="26"/>
  <c r="N270" i="26"/>
  <c r="J271" i="26"/>
  <c r="K271" i="26"/>
  <c r="M271" i="26"/>
  <c r="N271" i="26"/>
  <c r="J272" i="26"/>
  <c r="K272" i="26"/>
  <c r="M272" i="26"/>
  <c r="N272" i="26"/>
  <c r="J273" i="26"/>
  <c r="K273" i="26"/>
  <c r="M273" i="26"/>
  <c r="N273" i="26"/>
  <c r="J274" i="26"/>
  <c r="K274" i="26"/>
  <c r="M274" i="26"/>
  <c r="N274" i="26"/>
  <c r="J275" i="26"/>
  <c r="K275" i="26"/>
  <c r="M275" i="26"/>
  <c r="N275" i="26"/>
  <c r="J276" i="26"/>
  <c r="K276" i="26"/>
  <c r="M276" i="26"/>
  <c r="N276" i="26"/>
  <c r="J277" i="26"/>
  <c r="K277" i="26"/>
  <c r="M277" i="26"/>
  <c r="N277" i="26"/>
  <c r="J278" i="26"/>
  <c r="K278" i="26"/>
  <c r="M278" i="26"/>
  <c r="N278" i="26"/>
  <c r="J279" i="26"/>
  <c r="K279" i="26"/>
  <c r="M279" i="26"/>
  <c r="N279" i="26"/>
  <c r="J280" i="26"/>
  <c r="K280" i="26"/>
  <c r="M280" i="26"/>
  <c r="N280" i="26"/>
  <c r="J281" i="26"/>
  <c r="K281" i="26"/>
  <c r="M281" i="26"/>
  <c r="N281" i="26"/>
  <c r="J282" i="26"/>
  <c r="K282" i="26"/>
  <c r="M282" i="26"/>
  <c r="N282" i="26"/>
  <c r="J283" i="26"/>
  <c r="K283" i="26"/>
  <c r="M283" i="26"/>
  <c r="N283" i="26"/>
  <c r="J284" i="26"/>
  <c r="K284" i="26"/>
  <c r="M284" i="26"/>
  <c r="N284" i="26"/>
  <c r="J285" i="26"/>
  <c r="K285" i="26"/>
  <c r="M285" i="26"/>
  <c r="N285" i="26"/>
  <c r="J286" i="26"/>
  <c r="K286" i="26"/>
  <c r="M286" i="26"/>
  <c r="N286" i="26"/>
  <c r="J287" i="26"/>
  <c r="K287" i="26"/>
  <c r="M287" i="26"/>
  <c r="N287" i="26"/>
  <c r="J288" i="26"/>
  <c r="K288" i="26"/>
  <c r="M288" i="26"/>
  <c r="N288" i="26"/>
  <c r="J289" i="26"/>
  <c r="K289" i="26"/>
  <c r="M289" i="26"/>
  <c r="N289" i="26"/>
  <c r="J290" i="26"/>
  <c r="K290" i="26"/>
  <c r="M290" i="26"/>
  <c r="N290" i="26"/>
  <c r="J291" i="26"/>
  <c r="K291" i="26"/>
  <c r="M291" i="26"/>
  <c r="N291" i="26"/>
  <c r="J292" i="26"/>
  <c r="K292" i="26"/>
  <c r="M292" i="26"/>
  <c r="N292" i="26"/>
  <c r="J293" i="26"/>
  <c r="K293" i="26"/>
  <c r="M293" i="26"/>
  <c r="N293" i="26"/>
  <c r="J294" i="26"/>
  <c r="K294" i="26"/>
  <c r="M294" i="26"/>
  <c r="N294" i="26"/>
  <c r="J295" i="26"/>
  <c r="K295" i="26"/>
  <c r="M295" i="26"/>
  <c r="N295" i="26"/>
  <c r="J296" i="26"/>
  <c r="K296" i="26"/>
  <c r="M296" i="26"/>
  <c r="N296" i="26"/>
  <c r="J297" i="26"/>
  <c r="K297" i="26"/>
  <c r="M297" i="26"/>
  <c r="N297" i="26"/>
  <c r="J298" i="26"/>
  <c r="K298" i="26"/>
  <c r="M298" i="26"/>
  <c r="N298" i="26"/>
  <c r="J299" i="26"/>
  <c r="K299" i="26"/>
  <c r="M299" i="26"/>
  <c r="N299" i="26"/>
  <c r="J300" i="26"/>
  <c r="K300" i="26"/>
  <c r="M300" i="26"/>
  <c r="N300" i="26"/>
  <c r="J301" i="26"/>
  <c r="K301" i="26"/>
  <c r="M301" i="26"/>
  <c r="N301" i="26"/>
  <c r="J302" i="26"/>
  <c r="K302" i="26"/>
  <c r="M302" i="26"/>
  <c r="N302" i="26"/>
  <c r="J303" i="26"/>
  <c r="K303" i="26"/>
  <c r="M303" i="26"/>
  <c r="N303" i="26"/>
  <c r="J304" i="26"/>
  <c r="K304" i="26"/>
  <c r="M304" i="26"/>
  <c r="N304" i="26"/>
  <c r="K305" i="26"/>
  <c r="N305" i="26"/>
  <c r="K306" i="26"/>
  <c r="N306" i="26"/>
  <c r="K307" i="26"/>
  <c r="N307" i="26"/>
  <c r="K308" i="26"/>
  <c r="N308" i="26"/>
  <c r="K309" i="26"/>
  <c r="N309" i="26"/>
  <c r="K310" i="26"/>
  <c r="N310" i="26"/>
  <c r="J311" i="26"/>
  <c r="K311" i="26"/>
  <c r="M311" i="26"/>
  <c r="N311" i="26"/>
  <c r="J312" i="26"/>
  <c r="K312" i="26"/>
  <c r="M312" i="26"/>
  <c r="N312" i="26"/>
  <c r="J313" i="26"/>
  <c r="K313" i="26"/>
  <c r="M313" i="26"/>
  <c r="N313" i="26"/>
  <c r="J314" i="26"/>
  <c r="K314" i="26"/>
  <c r="M314" i="26"/>
  <c r="N314" i="26"/>
  <c r="J315" i="26"/>
  <c r="K315" i="26"/>
  <c r="M315" i="26"/>
  <c r="N315" i="26"/>
  <c r="J316" i="26"/>
  <c r="K316" i="26"/>
  <c r="M316" i="26"/>
  <c r="N316" i="26"/>
  <c r="J317" i="26"/>
  <c r="K317" i="26"/>
  <c r="M317" i="26"/>
  <c r="N317" i="26"/>
  <c r="J318" i="26"/>
  <c r="K318" i="26"/>
  <c r="M318" i="26"/>
  <c r="N318" i="26"/>
  <c r="J319" i="26"/>
  <c r="K319" i="26"/>
  <c r="M319" i="26"/>
  <c r="N319" i="26"/>
  <c r="J320" i="26"/>
  <c r="K320" i="26"/>
  <c r="M320" i="26"/>
  <c r="N320" i="26"/>
  <c r="J321" i="26"/>
  <c r="K321" i="26"/>
  <c r="M321" i="26"/>
  <c r="N321" i="26"/>
  <c r="J322" i="26"/>
  <c r="K322" i="26"/>
  <c r="M322" i="26"/>
  <c r="N322" i="26"/>
  <c r="J323" i="26"/>
  <c r="K323" i="26"/>
  <c r="M323" i="26"/>
  <c r="N323" i="26"/>
  <c r="J324" i="26"/>
  <c r="K324" i="26"/>
  <c r="M324" i="26"/>
  <c r="N324" i="26"/>
  <c r="J325" i="26"/>
  <c r="K325" i="26"/>
  <c r="M325" i="26"/>
  <c r="N325" i="26"/>
  <c r="J326" i="26"/>
  <c r="K326" i="26"/>
  <c r="M326" i="26"/>
  <c r="N326" i="26"/>
  <c r="J327" i="26"/>
  <c r="K327" i="26"/>
  <c r="M327" i="26"/>
  <c r="N327" i="26"/>
  <c r="J328" i="26"/>
  <c r="K328" i="26"/>
  <c r="M328" i="26"/>
  <c r="N328" i="26"/>
  <c r="J329" i="26"/>
  <c r="K329" i="26"/>
  <c r="M329" i="26"/>
  <c r="N329" i="26"/>
  <c r="J330" i="26"/>
  <c r="K330" i="26"/>
  <c r="M330" i="26"/>
  <c r="N330" i="26"/>
  <c r="J331" i="26"/>
  <c r="K331" i="26"/>
  <c r="M331" i="26"/>
  <c r="N331" i="26"/>
  <c r="J332" i="26"/>
  <c r="K332" i="26"/>
  <c r="M332" i="26"/>
  <c r="N332" i="26"/>
  <c r="J333" i="26"/>
  <c r="K333" i="26"/>
  <c r="M333" i="26"/>
  <c r="N333" i="26"/>
  <c r="J334" i="26"/>
  <c r="K334" i="26"/>
  <c r="M334" i="26"/>
  <c r="N334" i="26"/>
  <c r="J335" i="26"/>
  <c r="K335" i="26"/>
  <c r="M335" i="26"/>
  <c r="N335" i="26"/>
  <c r="J336" i="26"/>
  <c r="K336" i="26"/>
  <c r="M336" i="26"/>
  <c r="N336" i="26"/>
  <c r="J337" i="26"/>
  <c r="K337" i="26"/>
  <c r="M337" i="26"/>
  <c r="N337" i="26"/>
  <c r="J338" i="26"/>
  <c r="K338" i="26"/>
  <c r="M338" i="26"/>
  <c r="N338" i="26"/>
  <c r="J339" i="26"/>
  <c r="K339" i="26"/>
  <c r="M339" i="26"/>
  <c r="N339" i="26"/>
  <c r="J340" i="26"/>
  <c r="K340" i="26"/>
  <c r="M340" i="26"/>
  <c r="N340" i="26"/>
  <c r="J341" i="26"/>
  <c r="K341" i="26"/>
  <c r="M341" i="26"/>
  <c r="N341" i="26"/>
  <c r="J342" i="26"/>
  <c r="K342" i="26"/>
  <c r="M342" i="26"/>
  <c r="N342" i="26"/>
  <c r="J343" i="26"/>
  <c r="K343" i="26"/>
  <c r="M343" i="26"/>
  <c r="N343" i="26"/>
  <c r="J344" i="26"/>
  <c r="K344" i="26"/>
  <c r="M344" i="26"/>
  <c r="N344" i="26"/>
  <c r="J345" i="26"/>
  <c r="K345" i="26"/>
  <c r="M345" i="26"/>
  <c r="N345" i="26"/>
  <c r="J346" i="26"/>
  <c r="K346" i="26"/>
  <c r="M346" i="26"/>
  <c r="N346" i="26"/>
  <c r="J347" i="26"/>
  <c r="K347" i="26"/>
  <c r="M347" i="26"/>
  <c r="N347" i="26"/>
  <c r="J348" i="26"/>
  <c r="K348" i="26"/>
  <c r="M348" i="26"/>
  <c r="N348" i="26"/>
  <c r="J349" i="26"/>
  <c r="K349" i="26"/>
  <c r="M349" i="26"/>
  <c r="N349" i="26"/>
  <c r="J350" i="26"/>
  <c r="K350" i="26"/>
  <c r="M350" i="26"/>
  <c r="N350" i="26"/>
  <c r="J351" i="26"/>
  <c r="K351" i="26"/>
  <c r="M351" i="26"/>
  <c r="N351" i="26"/>
  <c r="J352" i="26"/>
  <c r="K352" i="26"/>
  <c r="M352" i="26"/>
  <c r="N352" i="26"/>
  <c r="J353" i="26"/>
  <c r="K353" i="26"/>
  <c r="M353" i="26"/>
  <c r="N353" i="26"/>
  <c r="J354" i="26"/>
  <c r="K354" i="26"/>
  <c r="M354" i="26"/>
  <c r="N354" i="26"/>
  <c r="J355" i="26"/>
  <c r="K355" i="26"/>
  <c r="M355" i="26"/>
  <c r="N355" i="26"/>
  <c r="J356" i="26"/>
  <c r="K356" i="26"/>
  <c r="M356" i="26"/>
  <c r="N356" i="26"/>
  <c r="J357" i="26"/>
  <c r="K357" i="26"/>
  <c r="M357" i="26"/>
  <c r="N357" i="26"/>
  <c r="J358" i="26"/>
  <c r="K358" i="26"/>
  <c r="M358" i="26"/>
  <c r="N358" i="26"/>
  <c r="J359" i="26"/>
  <c r="K359" i="26"/>
  <c r="M359" i="26"/>
  <c r="N359" i="26"/>
  <c r="J360" i="26"/>
  <c r="K360" i="26"/>
  <c r="M360" i="26"/>
  <c r="N360" i="26"/>
  <c r="J361" i="26"/>
  <c r="K361" i="26"/>
  <c r="M361" i="26"/>
  <c r="N361" i="26"/>
  <c r="J362" i="26"/>
  <c r="K362" i="26"/>
  <c r="M362" i="26"/>
  <c r="N362" i="26"/>
  <c r="J363" i="26"/>
  <c r="K363" i="26"/>
  <c r="M363" i="26"/>
  <c r="N363" i="26"/>
  <c r="J364" i="26"/>
  <c r="K364" i="26"/>
  <c r="M364" i="26"/>
  <c r="N364" i="26"/>
  <c r="J365" i="26"/>
  <c r="K365" i="26"/>
  <c r="M365" i="26"/>
  <c r="N365" i="26"/>
  <c r="J366" i="26"/>
  <c r="K366" i="26"/>
  <c r="M366" i="26"/>
  <c r="N366" i="26"/>
  <c r="J367" i="26"/>
  <c r="K367" i="26"/>
  <c r="M367" i="26"/>
  <c r="N367" i="26"/>
  <c r="J368" i="26"/>
  <c r="K368" i="26"/>
  <c r="M368" i="26"/>
  <c r="N368" i="26"/>
  <c r="J369" i="26"/>
  <c r="K369" i="26"/>
  <c r="M369" i="26"/>
  <c r="N369" i="26"/>
  <c r="J370" i="26"/>
  <c r="K370" i="26"/>
  <c r="M370" i="26"/>
  <c r="N370" i="26"/>
  <c r="J371" i="26"/>
  <c r="K371" i="26"/>
  <c r="M371" i="26"/>
  <c r="N371" i="26"/>
  <c r="J372" i="26"/>
  <c r="K372" i="26"/>
  <c r="M372" i="26"/>
  <c r="N372" i="26"/>
  <c r="J373" i="26"/>
  <c r="K373" i="26"/>
  <c r="M373" i="26"/>
  <c r="N373" i="26"/>
  <c r="K374" i="26"/>
  <c r="N374" i="26"/>
  <c r="K375" i="26"/>
  <c r="N375" i="26"/>
  <c r="K376" i="26"/>
  <c r="N376" i="26"/>
  <c r="K377" i="26"/>
  <c r="N377" i="26"/>
  <c r="K378" i="26"/>
  <c r="N378" i="26"/>
  <c r="K379" i="26"/>
  <c r="N379" i="26"/>
  <c r="K380" i="26"/>
  <c r="N380" i="26"/>
  <c r="K381" i="26"/>
  <c r="N381" i="26"/>
  <c r="K382" i="26"/>
  <c r="N382" i="26"/>
  <c r="K383" i="26"/>
  <c r="N383" i="26"/>
  <c r="K384" i="26"/>
  <c r="N384" i="26"/>
  <c r="K385" i="26"/>
  <c r="N385" i="26"/>
  <c r="J386" i="26"/>
  <c r="K386" i="26"/>
  <c r="M386" i="26"/>
  <c r="N386" i="26"/>
  <c r="J387" i="26"/>
  <c r="K387" i="26"/>
  <c r="M387" i="26"/>
  <c r="N387" i="26"/>
  <c r="J388" i="26"/>
  <c r="K388" i="26"/>
  <c r="M388" i="26"/>
  <c r="N388" i="26"/>
  <c r="J389" i="26"/>
  <c r="K389" i="26"/>
  <c r="M389" i="26"/>
  <c r="N389" i="26"/>
  <c r="J390" i="26"/>
  <c r="K390" i="26"/>
  <c r="M390" i="26"/>
  <c r="N390" i="26"/>
  <c r="J391" i="26"/>
  <c r="K391" i="26"/>
  <c r="M391" i="26"/>
  <c r="N391" i="26"/>
  <c r="J392" i="26"/>
  <c r="K392" i="26"/>
  <c r="M392" i="26"/>
  <c r="N392" i="26"/>
  <c r="J393" i="26"/>
  <c r="K393" i="26"/>
  <c r="M393" i="26"/>
  <c r="N393" i="26"/>
  <c r="J394" i="26"/>
  <c r="K394" i="26"/>
  <c r="M394" i="26"/>
  <c r="N394" i="26"/>
  <c r="J395" i="26"/>
  <c r="K395" i="26"/>
  <c r="M395" i="26"/>
  <c r="N395" i="26"/>
  <c r="J396" i="26"/>
  <c r="K396" i="26"/>
  <c r="M396" i="26"/>
  <c r="N396" i="26"/>
  <c r="J397" i="26"/>
  <c r="K397" i="26"/>
  <c r="M397" i="26"/>
  <c r="N397" i="26"/>
  <c r="J398" i="26"/>
  <c r="K398" i="26"/>
  <c r="M398" i="26"/>
  <c r="N398" i="26"/>
  <c r="J399" i="26"/>
  <c r="K399" i="26"/>
  <c r="M399" i="26"/>
  <c r="N399" i="26"/>
  <c r="J400" i="26"/>
  <c r="K400" i="26"/>
  <c r="M400" i="26"/>
  <c r="N400" i="26"/>
  <c r="J401" i="26"/>
  <c r="K401" i="26"/>
  <c r="M401" i="26"/>
  <c r="N401" i="26"/>
  <c r="J402" i="26"/>
  <c r="K402" i="26"/>
  <c r="M402" i="26"/>
  <c r="N402" i="26"/>
  <c r="J403" i="26"/>
  <c r="K403" i="26"/>
  <c r="M403" i="26"/>
  <c r="N403" i="26"/>
  <c r="J404" i="26"/>
  <c r="K404" i="26"/>
  <c r="M404" i="26"/>
  <c r="N404" i="26"/>
  <c r="J405" i="26"/>
  <c r="K405" i="26"/>
  <c r="M405" i="26"/>
  <c r="N405" i="26"/>
  <c r="J406" i="26"/>
  <c r="K406" i="26"/>
  <c r="M406" i="26"/>
  <c r="N406" i="26"/>
  <c r="J407" i="26"/>
  <c r="K407" i="26"/>
  <c r="M407" i="26"/>
  <c r="N407" i="26"/>
  <c r="J408" i="26"/>
  <c r="K408" i="26"/>
  <c r="M408" i="26"/>
  <c r="N408" i="26"/>
  <c r="J409" i="26"/>
  <c r="K409" i="26"/>
  <c r="M409" i="26"/>
  <c r="N409" i="26"/>
  <c r="J410" i="26"/>
  <c r="K410" i="26"/>
  <c r="M410" i="26"/>
  <c r="N410" i="26"/>
  <c r="J411" i="26"/>
  <c r="K411" i="26"/>
  <c r="M411" i="26"/>
  <c r="N411" i="26"/>
  <c r="J412" i="26"/>
  <c r="K412" i="26"/>
  <c r="M412" i="26"/>
  <c r="N412" i="26"/>
  <c r="J413" i="26"/>
  <c r="K413" i="26"/>
  <c r="M413" i="26"/>
  <c r="N413" i="26"/>
  <c r="J414" i="26"/>
  <c r="K414" i="26"/>
  <c r="M414" i="26"/>
  <c r="N414" i="26"/>
  <c r="J415" i="26"/>
  <c r="K415" i="26"/>
  <c r="M415" i="26"/>
  <c r="N415" i="26"/>
  <c r="J416" i="26"/>
  <c r="K416" i="26"/>
  <c r="M416" i="26"/>
  <c r="N416" i="26"/>
  <c r="J417" i="26"/>
  <c r="K417" i="26"/>
  <c r="M417" i="26"/>
  <c r="N417" i="26"/>
  <c r="J418" i="26"/>
  <c r="K418" i="26"/>
  <c r="M418" i="26"/>
  <c r="N418" i="26"/>
  <c r="J419" i="26"/>
  <c r="K419" i="26"/>
  <c r="M419" i="26"/>
  <c r="N419" i="26"/>
  <c r="J420" i="26"/>
  <c r="K420" i="26"/>
  <c r="M420" i="26"/>
  <c r="N420" i="26"/>
  <c r="J421" i="26"/>
  <c r="K421" i="26"/>
  <c r="M421" i="26"/>
  <c r="N421" i="26"/>
  <c r="J422" i="26"/>
  <c r="K422" i="26"/>
  <c r="M422" i="26"/>
  <c r="N422" i="26"/>
  <c r="J423" i="26"/>
  <c r="K423" i="26"/>
  <c r="M423" i="26"/>
  <c r="N423" i="26"/>
  <c r="J424" i="26"/>
  <c r="K424" i="26"/>
  <c r="M424" i="26"/>
  <c r="N424" i="26"/>
  <c r="J425" i="26"/>
  <c r="K425" i="26"/>
  <c r="M425" i="26"/>
  <c r="N425" i="26"/>
  <c r="J426" i="26"/>
  <c r="K426" i="26"/>
  <c r="M426" i="26"/>
  <c r="N426" i="26"/>
  <c r="J427" i="26"/>
  <c r="K427" i="26"/>
  <c r="M427" i="26"/>
  <c r="N427" i="26"/>
  <c r="J428" i="26"/>
  <c r="K428" i="26"/>
  <c r="M428" i="26"/>
  <c r="N428" i="26"/>
  <c r="J429" i="26"/>
  <c r="K429" i="26"/>
  <c r="M429" i="26"/>
  <c r="N429" i="26"/>
  <c r="J430" i="26"/>
  <c r="K430" i="26"/>
  <c r="M430" i="26"/>
  <c r="N430" i="26"/>
  <c r="J431" i="26"/>
  <c r="K431" i="26"/>
  <c r="M431" i="26"/>
  <c r="N431" i="26"/>
  <c r="J432" i="26"/>
  <c r="K432" i="26"/>
  <c r="M432" i="26"/>
  <c r="N432" i="26"/>
  <c r="J433" i="26"/>
  <c r="K433" i="26"/>
  <c r="M433" i="26"/>
  <c r="N433" i="26"/>
  <c r="J434" i="26"/>
  <c r="K434" i="26"/>
  <c r="M434" i="26"/>
  <c r="N434" i="26"/>
  <c r="J435" i="26"/>
  <c r="K435" i="26"/>
  <c r="M435" i="26"/>
  <c r="N435" i="26"/>
  <c r="J436" i="26"/>
  <c r="K436" i="26"/>
  <c r="M436" i="26"/>
  <c r="N436" i="26"/>
  <c r="J437" i="26"/>
  <c r="K437" i="26"/>
  <c r="M437" i="26"/>
  <c r="N437" i="26"/>
  <c r="J438" i="26"/>
  <c r="K438" i="26"/>
  <c r="M438" i="26"/>
  <c r="N438" i="26"/>
  <c r="J439" i="26"/>
  <c r="K439" i="26"/>
  <c r="M439" i="26"/>
  <c r="N439" i="26"/>
  <c r="J440" i="26"/>
  <c r="K440" i="26"/>
  <c r="M440" i="26"/>
  <c r="N440" i="26"/>
  <c r="J441" i="26"/>
  <c r="K441" i="26"/>
  <c r="M441" i="26"/>
  <c r="N441" i="26"/>
  <c r="J442" i="26"/>
  <c r="K442" i="26"/>
  <c r="M442" i="26"/>
  <c r="N442" i="26"/>
  <c r="J443" i="26"/>
  <c r="K443" i="26"/>
  <c r="M443" i="26"/>
  <c r="N443" i="26"/>
  <c r="J444" i="26"/>
  <c r="K444" i="26"/>
  <c r="M444" i="26"/>
  <c r="N444" i="26"/>
  <c r="J445" i="26"/>
  <c r="K445" i="26"/>
  <c r="M445" i="26"/>
  <c r="N445" i="26"/>
  <c r="J446" i="26"/>
  <c r="K446" i="26"/>
  <c r="M446" i="26"/>
  <c r="N446" i="26"/>
  <c r="J447" i="26"/>
  <c r="K447" i="26"/>
  <c r="M447" i="26"/>
  <c r="N447" i="26"/>
  <c r="J448" i="26"/>
  <c r="K448" i="26"/>
  <c r="M448" i="26"/>
  <c r="N448" i="26"/>
  <c r="J449" i="26"/>
  <c r="K449" i="26"/>
  <c r="M449" i="26"/>
  <c r="N449" i="26"/>
  <c r="J450" i="26"/>
  <c r="K450" i="26"/>
  <c r="M450" i="26"/>
  <c r="N450" i="26"/>
  <c r="J451" i="26"/>
  <c r="K451" i="26"/>
  <c r="M451" i="26"/>
  <c r="N451" i="26"/>
  <c r="J452" i="26"/>
  <c r="K452" i="26"/>
  <c r="M452" i="26"/>
  <c r="N452" i="26"/>
  <c r="J453" i="26"/>
  <c r="K453" i="26"/>
  <c r="M453" i="26"/>
  <c r="N453" i="26"/>
  <c r="J454" i="26"/>
  <c r="K454" i="26"/>
  <c r="M454" i="26"/>
  <c r="N454" i="26"/>
  <c r="J455" i="26"/>
  <c r="K455" i="26"/>
  <c r="M455" i="26"/>
  <c r="N455" i="26"/>
  <c r="J456" i="26"/>
  <c r="K456" i="26"/>
  <c r="M456" i="26"/>
  <c r="N456" i="26"/>
  <c r="J457" i="26"/>
  <c r="K457" i="26"/>
  <c r="M457" i="26"/>
  <c r="N457" i="26"/>
  <c r="K458" i="26"/>
  <c r="N458" i="26"/>
  <c r="K459" i="26"/>
  <c r="N459" i="26"/>
  <c r="K460" i="26"/>
  <c r="N460" i="26"/>
  <c r="K461" i="26"/>
  <c r="N461" i="26"/>
  <c r="K462" i="26"/>
  <c r="N462" i="26"/>
  <c r="K463" i="26"/>
  <c r="N463" i="26"/>
  <c r="K464" i="26"/>
  <c r="N464" i="26"/>
  <c r="K465" i="26"/>
  <c r="N465" i="26"/>
  <c r="K466" i="26"/>
  <c r="N466" i="26"/>
  <c r="K467" i="26"/>
  <c r="N467" i="26"/>
  <c r="K468" i="26"/>
  <c r="N468" i="26"/>
  <c r="K469" i="26"/>
  <c r="N469" i="26"/>
  <c r="J470" i="26"/>
  <c r="K470" i="26"/>
  <c r="M470" i="26"/>
  <c r="N470" i="26"/>
  <c r="J471" i="26"/>
  <c r="K471" i="26"/>
  <c r="M471" i="26"/>
  <c r="N471" i="26"/>
  <c r="J472" i="26"/>
  <c r="K472" i="26"/>
  <c r="M472" i="26"/>
  <c r="N472" i="26"/>
  <c r="J473" i="26"/>
  <c r="K473" i="26"/>
  <c r="M473" i="26"/>
  <c r="N473" i="26"/>
  <c r="J474" i="26"/>
  <c r="K474" i="26"/>
  <c r="M474" i="26"/>
  <c r="N474" i="26"/>
  <c r="J475" i="26"/>
  <c r="K475" i="26"/>
  <c r="M475" i="26"/>
  <c r="N475" i="26"/>
  <c r="J476" i="26"/>
  <c r="K476" i="26"/>
  <c r="M476" i="26"/>
  <c r="N476" i="26"/>
  <c r="J477" i="26"/>
  <c r="K477" i="26"/>
  <c r="M477" i="26"/>
  <c r="N477" i="26"/>
  <c r="J478" i="26"/>
  <c r="K478" i="26"/>
  <c r="M478" i="26"/>
  <c r="N478" i="26"/>
  <c r="J479" i="26"/>
  <c r="K479" i="26"/>
  <c r="M479" i="26"/>
  <c r="N479" i="26"/>
  <c r="J480" i="26"/>
  <c r="K480" i="26"/>
  <c r="M480" i="26"/>
  <c r="N480" i="26"/>
  <c r="J481" i="26"/>
  <c r="K481" i="26"/>
  <c r="M481" i="26"/>
  <c r="N481" i="26"/>
  <c r="J482" i="26"/>
  <c r="K482" i="26"/>
  <c r="M482" i="26"/>
  <c r="N482" i="26"/>
  <c r="J483" i="26"/>
  <c r="K483" i="26"/>
  <c r="M483" i="26"/>
  <c r="N483" i="26"/>
  <c r="J484" i="26"/>
  <c r="K484" i="26"/>
  <c r="M484" i="26"/>
  <c r="N484" i="26"/>
  <c r="J485" i="26"/>
  <c r="K485" i="26"/>
  <c r="M485" i="26"/>
  <c r="N485" i="26"/>
  <c r="J486" i="26"/>
  <c r="K486" i="26"/>
  <c r="M486" i="26"/>
  <c r="N486" i="26"/>
  <c r="J487" i="26"/>
  <c r="K487" i="26"/>
  <c r="M487" i="26"/>
  <c r="N487" i="26"/>
  <c r="J488" i="26"/>
  <c r="K488" i="26"/>
  <c r="M488" i="26"/>
  <c r="N488" i="26"/>
  <c r="J489" i="26"/>
  <c r="K489" i="26"/>
  <c r="M489" i="26"/>
  <c r="N489" i="26"/>
  <c r="J490" i="26"/>
  <c r="K490" i="26"/>
  <c r="M490" i="26"/>
  <c r="N490" i="26"/>
  <c r="J491" i="26"/>
  <c r="K491" i="26"/>
  <c r="M491" i="26"/>
  <c r="N491" i="26"/>
  <c r="J492" i="26"/>
  <c r="K492" i="26"/>
  <c r="M492" i="26"/>
  <c r="N492" i="26"/>
  <c r="J493" i="26"/>
  <c r="K493" i="26"/>
  <c r="M493" i="26"/>
  <c r="N493" i="26"/>
  <c r="J494" i="26"/>
  <c r="K494" i="26"/>
  <c r="M494" i="26"/>
  <c r="N494" i="26"/>
  <c r="J495" i="26"/>
  <c r="K495" i="26"/>
  <c r="M495" i="26"/>
  <c r="N495" i="26"/>
  <c r="J496" i="26"/>
  <c r="K496" i="26"/>
  <c r="M496" i="26"/>
  <c r="N496" i="26"/>
  <c r="J497" i="26"/>
  <c r="K497" i="26"/>
  <c r="M497" i="26"/>
  <c r="N497" i="26"/>
  <c r="J498" i="26"/>
  <c r="K498" i="26"/>
  <c r="M498" i="26"/>
  <c r="N498" i="26"/>
  <c r="J499" i="26"/>
  <c r="K499" i="26"/>
  <c r="M499" i="26"/>
  <c r="N499" i="26"/>
  <c r="J500" i="26"/>
  <c r="K500" i="26"/>
  <c r="M500" i="26"/>
  <c r="N500" i="26"/>
  <c r="J501" i="26"/>
  <c r="K501" i="26"/>
  <c r="M501" i="26"/>
  <c r="N501" i="26"/>
  <c r="J502" i="26"/>
  <c r="K502" i="26"/>
  <c r="M502" i="26"/>
  <c r="N502" i="26"/>
  <c r="J503" i="26"/>
  <c r="K503" i="26"/>
  <c r="M503" i="26"/>
  <c r="N503" i="26"/>
  <c r="J504" i="26"/>
  <c r="K504" i="26"/>
  <c r="M504" i="26"/>
  <c r="N504" i="26"/>
  <c r="J505" i="26"/>
  <c r="K505" i="26"/>
  <c r="M505" i="26"/>
  <c r="N505" i="26"/>
  <c r="J506" i="26"/>
  <c r="K506" i="26"/>
  <c r="M506" i="26"/>
  <c r="N506" i="26"/>
  <c r="J507" i="26"/>
  <c r="K507" i="26"/>
  <c r="M507" i="26"/>
  <c r="N507" i="26"/>
  <c r="J508" i="26"/>
  <c r="K508" i="26"/>
  <c r="M508" i="26"/>
  <c r="N508" i="26"/>
  <c r="J509" i="26"/>
  <c r="K509" i="26"/>
  <c r="M509" i="26"/>
  <c r="N509" i="26"/>
  <c r="J510" i="26"/>
  <c r="K510" i="26"/>
  <c r="M510" i="26"/>
  <c r="N510" i="26"/>
  <c r="J511" i="26"/>
  <c r="K511" i="26"/>
  <c r="M511" i="26"/>
  <c r="N511" i="26"/>
  <c r="J512" i="26"/>
  <c r="K512" i="26"/>
  <c r="M512" i="26"/>
  <c r="N512" i="26"/>
  <c r="J513" i="26"/>
  <c r="K513" i="26"/>
  <c r="M513" i="26"/>
  <c r="N513" i="26"/>
  <c r="J514" i="26"/>
  <c r="K514" i="26"/>
  <c r="M514" i="26"/>
  <c r="N514" i="26"/>
  <c r="J515" i="26"/>
  <c r="K515" i="26"/>
  <c r="M515" i="26"/>
  <c r="N515" i="26"/>
  <c r="J516" i="26"/>
  <c r="K516" i="26"/>
  <c r="M516" i="26"/>
  <c r="N516" i="26"/>
  <c r="J517" i="26"/>
  <c r="K517" i="26"/>
  <c r="M517" i="26"/>
  <c r="N517" i="26"/>
  <c r="J518" i="26"/>
  <c r="K518" i="26"/>
  <c r="M518" i="26"/>
  <c r="N518" i="26"/>
  <c r="J519" i="26"/>
  <c r="K519" i="26"/>
  <c r="M519" i="26"/>
  <c r="N519" i="26"/>
  <c r="J520" i="26"/>
  <c r="K520" i="26"/>
  <c r="M520" i="26"/>
  <c r="N520" i="26"/>
  <c r="J521" i="26"/>
  <c r="K521" i="26"/>
  <c r="M521" i="26"/>
  <c r="N521" i="26"/>
  <c r="J522" i="26"/>
  <c r="K522" i="26"/>
  <c r="M522" i="26"/>
  <c r="N522" i="26"/>
  <c r="J523" i="26"/>
  <c r="K523" i="26"/>
  <c r="M523" i="26"/>
  <c r="N523" i="26"/>
  <c r="J524" i="26"/>
  <c r="K524" i="26"/>
  <c r="M524" i="26"/>
  <c r="N524" i="26"/>
  <c r="J525" i="26"/>
  <c r="K525" i="26"/>
  <c r="M525" i="26"/>
  <c r="N525" i="26"/>
  <c r="J526" i="26"/>
  <c r="K526" i="26"/>
  <c r="M526" i="26"/>
  <c r="N526" i="26"/>
  <c r="J527" i="26"/>
  <c r="K527" i="26"/>
  <c r="M527" i="26"/>
  <c r="N527" i="26"/>
  <c r="J528" i="26"/>
  <c r="K528" i="26"/>
  <c r="M528" i="26"/>
  <c r="N528" i="26"/>
  <c r="J529" i="26"/>
  <c r="K529" i="26"/>
  <c r="M529" i="26"/>
  <c r="N529" i="26"/>
  <c r="J530" i="26"/>
  <c r="K530" i="26"/>
  <c r="M530" i="26"/>
  <c r="N530" i="26"/>
  <c r="J531" i="26"/>
  <c r="K531" i="26"/>
  <c r="M531" i="26"/>
  <c r="N531" i="26"/>
  <c r="J532" i="26"/>
  <c r="K532" i="26"/>
  <c r="M532" i="26"/>
  <c r="N532" i="26"/>
  <c r="J533" i="26"/>
  <c r="K533" i="26"/>
  <c r="M533" i="26"/>
  <c r="N533" i="26"/>
  <c r="J534" i="26"/>
  <c r="K534" i="26"/>
  <c r="M534" i="26"/>
  <c r="N534" i="26"/>
  <c r="J535" i="26"/>
  <c r="K535" i="26"/>
  <c r="M535" i="26"/>
  <c r="N535" i="26"/>
  <c r="J536" i="26"/>
  <c r="K536" i="26"/>
  <c r="M536" i="26"/>
  <c r="N536" i="26"/>
  <c r="J537" i="26"/>
  <c r="K537" i="26"/>
  <c r="M537" i="26"/>
  <c r="N537" i="26"/>
  <c r="J538" i="26"/>
  <c r="K538" i="26"/>
  <c r="M538" i="26"/>
  <c r="N538" i="26"/>
  <c r="J539" i="26"/>
  <c r="K539" i="26"/>
  <c r="M539" i="26"/>
  <c r="N539" i="26"/>
  <c r="J540" i="26"/>
  <c r="K540" i="26"/>
  <c r="M540" i="26"/>
  <c r="N540" i="26"/>
  <c r="J541" i="26"/>
  <c r="K541" i="26"/>
  <c r="M541" i="26"/>
  <c r="N541" i="26"/>
  <c r="J542" i="26"/>
  <c r="K542" i="26"/>
  <c r="M542" i="26"/>
  <c r="N542" i="26"/>
  <c r="J543" i="26"/>
  <c r="K543" i="26"/>
  <c r="M543" i="26"/>
  <c r="N543" i="26"/>
  <c r="J544" i="26"/>
  <c r="K544" i="26"/>
  <c r="M544" i="26"/>
  <c r="N544" i="26"/>
  <c r="J545" i="26"/>
  <c r="K545" i="26"/>
  <c r="M545" i="26"/>
  <c r="N545" i="26"/>
  <c r="J546" i="26"/>
  <c r="K546" i="26"/>
  <c r="M546" i="26"/>
  <c r="N546" i="26"/>
  <c r="J547" i="26"/>
  <c r="K547" i="26"/>
  <c r="M547" i="26"/>
  <c r="N547" i="26"/>
  <c r="J548" i="26"/>
  <c r="K548" i="26"/>
  <c r="M548" i="26"/>
  <c r="N548" i="26"/>
  <c r="J549" i="26"/>
  <c r="K549" i="26"/>
  <c r="M549" i="26"/>
  <c r="N549" i="26"/>
  <c r="J550" i="26"/>
  <c r="K550" i="26"/>
  <c r="M550" i="26"/>
  <c r="N550" i="26"/>
  <c r="J551" i="26"/>
  <c r="K551" i="26"/>
  <c r="M551" i="26"/>
  <c r="N551" i="26"/>
  <c r="J552" i="26"/>
  <c r="K552" i="26"/>
  <c r="M552" i="26"/>
  <c r="N552" i="26"/>
  <c r="J553" i="26"/>
  <c r="K553" i="26"/>
  <c r="M553" i="26"/>
  <c r="N553" i="26"/>
  <c r="J554" i="26"/>
  <c r="K554" i="26"/>
  <c r="M554" i="26"/>
  <c r="N554" i="26"/>
  <c r="J555" i="26"/>
  <c r="K555" i="26"/>
  <c r="M555" i="26"/>
  <c r="N555" i="26"/>
  <c r="J556" i="26"/>
  <c r="K556" i="26"/>
  <c r="M556" i="26"/>
  <c r="N556" i="26"/>
  <c r="J557" i="26"/>
  <c r="K557" i="26"/>
  <c r="M557" i="26"/>
  <c r="N557" i="26"/>
  <c r="J558" i="26"/>
  <c r="K558" i="26"/>
  <c r="M558" i="26"/>
  <c r="N558" i="26"/>
  <c r="J559" i="26"/>
  <c r="K559" i="26"/>
  <c r="M559" i="26"/>
  <c r="N559" i="26"/>
  <c r="J560" i="26"/>
  <c r="K560" i="26"/>
  <c r="M560" i="26"/>
  <c r="N560" i="26"/>
  <c r="J561" i="26"/>
  <c r="K561" i="26"/>
  <c r="M561" i="26"/>
  <c r="N561" i="26"/>
  <c r="J562" i="26"/>
  <c r="K562" i="26"/>
  <c r="M562" i="26"/>
  <c r="N562" i="26"/>
  <c r="J563" i="26"/>
  <c r="K563" i="26"/>
  <c r="M563" i="26"/>
  <c r="N563" i="26"/>
  <c r="J564" i="26"/>
  <c r="K564" i="26"/>
  <c r="M564" i="26"/>
  <c r="N564" i="26"/>
  <c r="J565" i="26"/>
  <c r="K565" i="26"/>
  <c r="M565" i="26"/>
  <c r="N565" i="26"/>
  <c r="J566" i="26"/>
  <c r="K566" i="26"/>
  <c r="M566" i="26"/>
  <c r="N566" i="26"/>
  <c r="J567" i="26"/>
  <c r="K567" i="26"/>
  <c r="M567" i="26"/>
  <c r="N567" i="26"/>
  <c r="J568" i="26"/>
  <c r="K568" i="26"/>
  <c r="M568" i="26"/>
  <c r="N568" i="26"/>
  <c r="J569" i="26"/>
  <c r="K569" i="26"/>
  <c r="M569" i="26"/>
  <c r="N569" i="26"/>
  <c r="J570" i="26"/>
  <c r="K570" i="26"/>
  <c r="M570" i="26"/>
  <c r="N570" i="26"/>
  <c r="J571" i="26"/>
  <c r="K571" i="26"/>
  <c r="M571" i="26"/>
  <c r="N571" i="26"/>
  <c r="J572" i="26"/>
  <c r="K572" i="26"/>
  <c r="M572" i="26"/>
  <c r="N572" i="26"/>
  <c r="J573" i="26"/>
  <c r="K573" i="26"/>
  <c r="M573" i="26"/>
  <c r="N573" i="26"/>
  <c r="J574" i="26"/>
  <c r="K574" i="26"/>
  <c r="M574" i="26"/>
  <c r="N574" i="26"/>
  <c r="J575" i="26"/>
  <c r="K575" i="26"/>
  <c r="M575" i="26"/>
  <c r="N575" i="26"/>
  <c r="J576" i="26"/>
  <c r="K576" i="26"/>
  <c r="M576" i="26"/>
  <c r="N576" i="26"/>
  <c r="J577" i="26"/>
  <c r="K577" i="26"/>
  <c r="M577" i="26"/>
  <c r="N577" i="26"/>
  <c r="J578" i="26"/>
  <c r="K578" i="26"/>
  <c r="M578" i="26"/>
  <c r="N578" i="26"/>
  <c r="J579" i="26"/>
  <c r="K579" i="26"/>
  <c r="M579" i="26"/>
  <c r="N579" i="26"/>
  <c r="J580" i="26"/>
  <c r="K580" i="26"/>
  <c r="M580" i="26"/>
  <c r="N580" i="26"/>
  <c r="J581" i="26"/>
  <c r="K581" i="26"/>
  <c r="M581" i="26"/>
  <c r="N581" i="26"/>
  <c r="J582" i="26"/>
  <c r="K582" i="26"/>
  <c r="M582" i="26"/>
  <c r="N582" i="26"/>
  <c r="J583" i="26"/>
  <c r="K583" i="26"/>
  <c r="M583" i="26"/>
  <c r="N583" i="26"/>
  <c r="J584" i="26"/>
  <c r="K584" i="26"/>
  <c r="M584" i="26"/>
  <c r="N584" i="26"/>
  <c r="J585" i="26"/>
  <c r="K585" i="26"/>
  <c r="M585" i="26"/>
  <c r="N585" i="26"/>
  <c r="J586" i="26"/>
  <c r="K586" i="26"/>
  <c r="M586" i="26"/>
  <c r="N586" i="26"/>
  <c r="J587" i="26"/>
  <c r="K587" i="26"/>
  <c r="M587" i="26"/>
  <c r="N587" i="26"/>
  <c r="J588" i="26"/>
  <c r="K588" i="26"/>
  <c r="M588" i="26"/>
  <c r="N588" i="26"/>
  <c r="J589" i="26"/>
  <c r="K589" i="26"/>
  <c r="M589" i="26"/>
  <c r="N589" i="26"/>
  <c r="J590" i="26"/>
  <c r="K590" i="26"/>
  <c r="M590" i="26"/>
  <c r="N590" i="26"/>
  <c r="J591" i="26"/>
  <c r="K591" i="26"/>
  <c r="M591" i="26"/>
  <c r="N591" i="26"/>
  <c r="J592" i="26"/>
  <c r="K592" i="26"/>
  <c r="M592" i="26"/>
  <c r="N592" i="26"/>
  <c r="J593" i="26"/>
  <c r="K593" i="26"/>
  <c r="M593" i="26"/>
  <c r="N593" i="26"/>
  <c r="J594" i="26"/>
  <c r="K594" i="26"/>
  <c r="M594" i="26"/>
  <c r="N594" i="26"/>
  <c r="J595" i="26"/>
  <c r="K595" i="26"/>
  <c r="M595" i="26"/>
  <c r="N595" i="26"/>
  <c r="J596" i="26"/>
  <c r="K596" i="26"/>
  <c r="M596" i="26"/>
  <c r="N596" i="26"/>
  <c r="J597" i="26"/>
  <c r="K597" i="26"/>
  <c r="M597" i="26"/>
  <c r="N597" i="26"/>
  <c r="J598" i="26"/>
  <c r="K598" i="26"/>
  <c r="M598" i="26"/>
  <c r="N598" i="26"/>
  <c r="J599" i="26"/>
  <c r="K599" i="26"/>
  <c r="M599" i="26"/>
  <c r="N599" i="26"/>
  <c r="J600" i="26"/>
  <c r="K600" i="26"/>
  <c r="M600" i="26"/>
  <c r="N600" i="26"/>
  <c r="J601" i="26"/>
  <c r="K601" i="26"/>
  <c r="M601" i="26"/>
  <c r="N601" i="26"/>
  <c r="J602" i="26"/>
  <c r="K602" i="26"/>
  <c r="M602" i="26"/>
  <c r="N602" i="26"/>
  <c r="J603" i="26"/>
  <c r="K603" i="26"/>
  <c r="M603" i="26"/>
  <c r="N603" i="26"/>
  <c r="J604" i="26"/>
  <c r="K604" i="26"/>
  <c r="M604" i="26"/>
  <c r="N604" i="26"/>
  <c r="J605" i="26"/>
  <c r="K605" i="26"/>
  <c r="M605" i="26"/>
  <c r="N605" i="26"/>
  <c r="J606" i="26"/>
  <c r="K606" i="26"/>
  <c r="M606" i="26"/>
  <c r="N606" i="26"/>
  <c r="J607" i="26"/>
  <c r="K607" i="26"/>
  <c r="M607" i="26"/>
  <c r="N607" i="26"/>
  <c r="J608" i="26"/>
  <c r="K608" i="26"/>
  <c r="M608" i="26"/>
  <c r="N608" i="26"/>
  <c r="J609" i="26"/>
  <c r="K609" i="26"/>
  <c r="M609" i="26"/>
  <c r="N609" i="26"/>
  <c r="J610" i="26"/>
  <c r="K610" i="26"/>
  <c r="M610" i="26"/>
  <c r="N610" i="26"/>
  <c r="J611" i="26"/>
  <c r="K611" i="26"/>
  <c r="M611" i="26"/>
  <c r="N611" i="26"/>
  <c r="J612" i="26"/>
  <c r="K612" i="26"/>
  <c r="M612" i="26"/>
  <c r="N612" i="26"/>
  <c r="J613" i="26"/>
  <c r="K613" i="26"/>
  <c r="M613" i="26"/>
  <c r="N613" i="26"/>
  <c r="J614" i="26"/>
  <c r="K614" i="26"/>
  <c r="M614" i="26"/>
  <c r="N614" i="26"/>
  <c r="J615" i="26"/>
  <c r="K615" i="26"/>
  <c r="M615" i="26"/>
  <c r="N615" i="26"/>
  <c r="J616" i="26"/>
  <c r="K616" i="26"/>
  <c r="M616" i="26"/>
  <c r="N616" i="26"/>
  <c r="J617" i="26"/>
  <c r="K617" i="26"/>
  <c r="M617" i="26"/>
  <c r="N617" i="26"/>
  <c r="J618" i="26"/>
  <c r="K618" i="26"/>
  <c r="M618" i="26"/>
  <c r="N618" i="26"/>
  <c r="J619" i="26"/>
  <c r="K619" i="26"/>
  <c r="M619" i="26"/>
  <c r="N619" i="26"/>
  <c r="J620" i="26"/>
  <c r="K620" i="26"/>
  <c r="M620" i="26"/>
  <c r="N620" i="26"/>
  <c r="J621" i="26"/>
  <c r="K621" i="26"/>
  <c r="M621" i="26"/>
  <c r="N621" i="26"/>
  <c r="J622" i="26"/>
  <c r="K622" i="26"/>
  <c r="M622" i="26"/>
  <c r="N622" i="26"/>
  <c r="J623" i="26"/>
  <c r="K623" i="26"/>
  <c r="M623" i="26"/>
  <c r="N623" i="26"/>
  <c r="J624" i="26"/>
  <c r="K624" i="26"/>
  <c r="M624" i="26"/>
  <c r="N624" i="26"/>
  <c r="J625" i="26"/>
  <c r="K625" i="26"/>
  <c r="M625" i="26"/>
  <c r="N625" i="26"/>
  <c r="J626" i="26"/>
  <c r="K626" i="26"/>
  <c r="M626" i="26"/>
  <c r="N626" i="26"/>
  <c r="J627" i="26"/>
  <c r="K627" i="26"/>
  <c r="M627" i="26"/>
  <c r="N627" i="26"/>
  <c r="J628" i="26"/>
  <c r="K628" i="26"/>
  <c r="M628" i="26"/>
  <c r="N628" i="26"/>
  <c r="J629" i="26"/>
  <c r="K629" i="26"/>
  <c r="M629" i="26"/>
  <c r="N629" i="26"/>
  <c r="J630" i="26"/>
  <c r="K630" i="26"/>
  <c r="M630" i="26"/>
  <c r="N630" i="26"/>
  <c r="J631" i="26"/>
  <c r="K631" i="26"/>
  <c r="M631" i="26"/>
  <c r="N631" i="26"/>
  <c r="J632" i="26"/>
  <c r="K632" i="26"/>
  <c r="M632" i="26"/>
  <c r="N632" i="26"/>
  <c r="J633" i="26"/>
  <c r="K633" i="26"/>
  <c r="M633" i="26"/>
  <c r="N633" i="26"/>
  <c r="J634" i="26"/>
  <c r="K634" i="26"/>
  <c r="M634" i="26"/>
  <c r="N634" i="26"/>
  <c r="J635" i="26"/>
  <c r="K635" i="26"/>
  <c r="M635" i="26"/>
  <c r="N635" i="26"/>
  <c r="J636" i="26"/>
  <c r="K636" i="26"/>
  <c r="M636" i="26"/>
  <c r="N636" i="26"/>
  <c r="J637" i="26"/>
  <c r="K637" i="26"/>
  <c r="M637" i="26"/>
  <c r="N637" i="26"/>
  <c r="J638" i="26"/>
  <c r="K638" i="26"/>
  <c r="M638" i="26"/>
  <c r="N638" i="26"/>
  <c r="J639" i="26"/>
  <c r="K639" i="26"/>
  <c r="M639" i="26"/>
  <c r="N639" i="26"/>
  <c r="J640" i="26"/>
  <c r="K640" i="26"/>
  <c r="M640" i="26"/>
  <c r="N640" i="26"/>
  <c r="J641" i="26"/>
  <c r="K641" i="26"/>
  <c r="M641" i="26"/>
  <c r="N641" i="26"/>
  <c r="J642" i="26"/>
  <c r="K642" i="26"/>
  <c r="M642" i="26"/>
  <c r="N642" i="26"/>
  <c r="J643" i="26"/>
  <c r="K643" i="26"/>
  <c r="M643" i="26"/>
  <c r="N643" i="26"/>
  <c r="J644" i="26"/>
  <c r="K644" i="26"/>
  <c r="M644" i="26"/>
  <c r="N644" i="26"/>
  <c r="J645" i="26"/>
  <c r="K645" i="26"/>
  <c r="M645" i="26"/>
  <c r="N645" i="26"/>
  <c r="J646" i="26"/>
  <c r="K646" i="26"/>
  <c r="M646" i="26"/>
  <c r="N646" i="26"/>
  <c r="J647" i="26"/>
  <c r="K647" i="26"/>
  <c r="M647" i="26"/>
  <c r="N647" i="26"/>
  <c r="J648" i="26"/>
  <c r="K648" i="26"/>
  <c r="M648" i="26"/>
  <c r="N648" i="26"/>
  <c r="J649" i="26"/>
  <c r="K649" i="26"/>
  <c r="M649" i="26"/>
  <c r="N649" i="26"/>
  <c r="J650" i="26"/>
  <c r="K650" i="26"/>
  <c r="M650" i="26"/>
  <c r="N650" i="26"/>
  <c r="J651" i="26"/>
  <c r="K651" i="26"/>
  <c r="M651" i="26"/>
  <c r="N651" i="26"/>
  <c r="J652" i="26"/>
  <c r="K652" i="26"/>
  <c r="M652" i="26"/>
  <c r="N652" i="26"/>
  <c r="J653" i="26"/>
  <c r="K653" i="26"/>
  <c r="M653" i="26"/>
  <c r="N653" i="26"/>
  <c r="J654" i="26"/>
  <c r="K654" i="26"/>
  <c r="M654" i="26"/>
  <c r="N654" i="26"/>
  <c r="J655" i="26"/>
  <c r="K655" i="26"/>
  <c r="M655" i="26"/>
  <c r="N655" i="26"/>
  <c r="J656" i="26"/>
  <c r="K656" i="26"/>
  <c r="M656" i="26"/>
  <c r="N656" i="26"/>
  <c r="J657" i="26"/>
  <c r="K657" i="26"/>
  <c r="M657" i="26"/>
  <c r="N657" i="26"/>
  <c r="J658" i="26"/>
  <c r="K658" i="26"/>
  <c r="M658" i="26"/>
  <c r="N658" i="26"/>
  <c r="J659" i="26"/>
  <c r="K659" i="26"/>
  <c r="M659" i="26"/>
  <c r="N659" i="26"/>
  <c r="J660" i="26"/>
  <c r="K660" i="26"/>
  <c r="M660" i="26"/>
  <c r="N660" i="26"/>
  <c r="J661" i="26"/>
  <c r="K661" i="26"/>
  <c r="M661" i="26"/>
  <c r="N661" i="26"/>
  <c r="J662" i="26"/>
  <c r="K662" i="26"/>
  <c r="M662" i="26"/>
  <c r="N662" i="26"/>
  <c r="J663" i="26"/>
  <c r="K663" i="26"/>
  <c r="M663" i="26"/>
  <c r="N663" i="26"/>
  <c r="J664" i="26"/>
  <c r="K664" i="26"/>
  <c r="M664" i="26"/>
  <c r="N664" i="26"/>
  <c r="J665" i="26"/>
  <c r="K665" i="26"/>
  <c r="M665" i="26"/>
  <c r="N665" i="26"/>
  <c r="J666" i="26"/>
  <c r="K666" i="26"/>
  <c r="M666" i="26"/>
  <c r="N666" i="26"/>
  <c r="J667" i="26"/>
  <c r="K667" i="26"/>
  <c r="M667" i="26"/>
  <c r="N667" i="26"/>
  <c r="J668" i="26"/>
  <c r="K668" i="26"/>
  <c r="M668" i="26"/>
  <c r="N668" i="26"/>
  <c r="J669" i="26"/>
  <c r="K669" i="26"/>
  <c r="M669" i="26"/>
  <c r="N669" i="26"/>
  <c r="J670" i="26"/>
  <c r="K670" i="26"/>
  <c r="M670" i="26"/>
  <c r="N670" i="26"/>
  <c r="J671" i="26"/>
  <c r="K671" i="26"/>
  <c r="M671" i="26"/>
  <c r="N671" i="26"/>
  <c r="J672" i="26"/>
  <c r="K672" i="26"/>
  <c r="M672" i="26"/>
  <c r="N672" i="26"/>
  <c r="J673" i="26"/>
  <c r="K673" i="26"/>
  <c r="M673" i="26"/>
  <c r="N673" i="26"/>
  <c r="J674" i="26"/>
  <c r="K674" i="26"/>
  <c r="M674" i="26"/>
  <c r="N674" i="26"/>
  <c r="J675" i="26"/>
  <c r="K675" i="26"/>
  <c r="M675" i="26"/>
  <c r="N675" i="26"/>
  <c r="J676" i="26"/>
  <c r="K676" i="26"/>
  <c r="M676" i="26"/>
  <c r="N676" i="26"/>
  <c r="J677" i="26"/>
  <c r="K677" i="26"/>
  <c r="M677" i="26"/>
  <c r="N677" i="26"/>
  <c r="J678" i="26"/>
  <c r="K678" i="26"/>
  <c r="M678" i="26"/>
  <c r="N678" i="26"/>
  <c r="J679" i="26"/>
  <c r="K679" i="26"/>
  <c r="M679" i="26"/>
  <c r="N679" i="26"/>
  <c r="J680" i="26"/>
  <c r="K680" i="26"/>
  <c r="M680" i="26"/>
  <c r="N680" i="26"/>
  <c r="J681" i="26"/>
  <c r="K681" i="26"/>
  <c r="M681" i="26"/>
  <c r="N681" i="26"/>
  <c r="J682" i="26"/>
  <c r="K682" i="26"/>
  <c r="M682" i="26"/>
  <c r="N682" i="26"/>
  <c r="J683" i="26"/>
  <c r="K683" i="26"/>
  <c r="M683" i="26"/>
  <c r="N683" i="26"/>
  <c r="J684" i="26"/>
  <c r="K684" i="26"/>
  <c r="M684" i="26"/>
  <c r="N684" i="26"/>
  <c r="J685" i="26"/>
  <c r="K685" i="26"/>
  <c r="M685" i="26"/>
  <c r="N685" i="26"/>
  <c r="J686" i="26"/>
  <c r="K686" i="26"/>
  <c r="M686" i="26"/>
  <c r="N686" i="26"/>
  <c r="J687" i="26"/>
  <c r="K687" i="26"/>
  <c r="M687" i="26"/>
  <c r="N687" i="26"/>
  <c r="J688" i="26"/>
  <c r="K688" i="26"/>
  <c r="M688" i="26"/>
  <c r="N688" i="26"/>
  <c r="J689" i="26"/>
  <c r="K689" i="26"/>
  <c r="M689" i="26"/>
  <c r="N689" i="26"/>
  <c r="J690" i="26"/>
  <c r="K690" i="26"/>
  <c r="M690" i="26"/>
  <c r="N690" i="26"/>
  <c r="J691" i="26"/>
  <c r="K691" i="26"/>
  <c r="M691" i="26"/>
  <c r="N691" i="26"/>
  <c r="J692" i="26"/>
  <c r="K692" i="26"/>
  <c r="M692" i="26"/>
  <c r="N692" i="26"/>
  <c r="J693" i="26"/>
  <c r="K693" i="26"/>
  <c r="M693" i="26"/>
  <c r="N693" i="26"/>
  <c r="J694" i="26"/>
  <c r="K694" i="26"/>
  <c r="M694" i="26"/>
  <c r="N694" i="26"/>
  <c r="J695" i="26"/>
  <c r="K695" i="26"/>
  <c r="M695" i="26"/>
  <c r="N695" i="26"/>
  <c r="J696" i="26"/>
  <c r="K696" i="26"/>
  <c r="M696" i="26"/>
  <c r="N696" i="26"/>
  <c r="J697" i="26"/>
  <c r="K697" i="26"/>
  <c r="M697" i="26"/>
  <c r="N697" i="26"/>
  <c r="J698" i="26"/>
  <c r="K698" i="26"/>
  <c r="M698" i="26"/>
  <c r="N698" i="26"/>
  <c r="J699" i="26"/>
  <c r="K699" i="26"/>
  <c r="M699" i="26"/>
  <c r="N699" i="26"/>
  <c r="J700" i="26"/>
  <c r="K700" i="26"/>
  <c r="M700" i="26"/>
  <c r="N700" i="26"/>
  <c r="J701" i="26"/>
  <c r="K701" i="26"/>
  <c r="M701" i="26"/>
  <c r="N701" i="26"/>
  <c r="J702" i="26"/>
  <c r="K702" i="26"/>
  <c r="M702" i="26"/>
  <c r="N702" i="26"/>
  <c r="K703" i="26"/>
  <c r="N703" i="26"/>
  <c r="K704" i="26"/>
  <c r="N704" i="26"/>
  <c r="K705" i="26"/>
  <c r="N705" i="26"/>
  <c r="K706" i="26"/>
  <c r="N706" i="26"/>
  <c r="K707" i="26"/>
  <c r="N707" i="26"/>
  <c r="K708" i="26"/>
  <c r="N708" i="26"/>
  <c r="K709" i="26"/>
  <c r="N709" i="26"/>
  <c r="K710" i="26"/>
  <c r="N710" i="26"/>
  <c r="K711" i="26"/>
  <c r="N711" i="26"/>
  <c r="K712" i="26"/>
  <c r="N712" i="26"/>
  <c r="K713" i="26"/>
  <c r="N713" i="26"/>
  <c r="K714" i="26"/>
  <c r="N714" i="26"/>
  <c r="K715" i="26"/>
  <c r="N715" i="26"/>
  <c r="K716" i="26"/>
  <c r="N716" i="26"/>
  <c r="K717" i="26"/>
  <c r="N717" i="26"/>
  <c r="K718" i="26"/>
  <c r="N718" i="26"/>
  <c r="K719" i="26"/>
  <c r="N719" i="26"/>
  <c r="K720" i="26"/>
  <c r="N720" i="26"/>
  <c r="K721" i="26"/>
  <c r="N721" i="26"/>
  <c r="K722" i="26"/>
  <c r="N722" i="26"/>
  <c r="K723" i="26"/>
  <c r="N723" i="26"/>
  <c r="K724" i="26"/>
  <c r="N724" i="26"/>
  <c r="K725" i="26"/>
  <c r="N725" i="26"/>
  <c r="K726" i="26"/>
  <c r="N726" i="26"/>
  <c r="K727" i="26"/>
  <c r="N727" i="26"/>
  <c r="K728" i="26"/>
  <c r="N728" i="26"/>
  <c r="K729" i="26"/>
  <c r="N729" i="26"/>
  <c r="K730" i="26"/>
  <c r="N730" i="26"/>
  <c r="K731" i="26"/>
  <c r="N731" i="26"/>
  <c r="K732" i="26"/>
  <c r="N732" i="26"/>
  <c r="K733" i="26"/>
  <c r="N733" i="26"/>
  <c r="K734" i="26"/>
  <c r="N734" i="26"/>
  <c r="K735" i="26"/>
  <c r="N735" i="26"/>
  <c r="K736" i="26"/>
  <c r="N736" i="26"/>
  <c r="K737" i="26"/>
  <c r="N737" i="26"/>
  <c r="K738" i="26"/>
  <c r="N738" i="26"/>
  <c r="K739" i="26"/>
  <c r="N739" i="26"/>
  <c r="K740" i="26"/>
  <c r="N740" i="26"/>
  <c r="K741" i="26"/>
  <c r="N741" i="26"/>
  <c r="K742" i="26"/>
  <c r="N742" i="26"/>
  <c r="K743" i="26"/>
  <c r="N743" i="26"/>
  <c r="K744" i="26"/>
  <c r="N744" i="26"/>
  <c r="K745" i="26"/>
  <c r="N745" i="26"/>
  <c r="K746" i="26"/>
  <c r="N746" i="26"/>
  <c r="K747" i="26"/>
  <c r="N747" i="26"/>
  <c r="K748" i="26"/>
  <c r="N748" i="26"/>
  <c r="K749" i="26"/>
  <c r="N749" i="26"/>
  <c r="K750" i="26"/>
  <c r="N750" i="26"/>
  <c r="K751" i="26"/>
  <c r="N751" i="26"/>
  <c r="K752" i="26"/>
  <c r="N752" i="26"/>
  <c r="K753" i="26"/>
  <c r="N753" i="26"/>
  <c r="K754" i="26"/>
  <c r="N754" i="26"/>
  <c r="K755" i="26"/>
  <c r="N755" i="26"/>
  <c r="K756" i="26"/>
  <c r="N756" i="26"/>
  <c r="K757" i="26"/>
  <c r="N757" i="26"/>
  <c r="K758" i="26"/>
  <c r="N758" i="26"/>
  <c r="K759" i="26"/>
  <c r="N759" i="26"/>
  <c r="K760" i="26"/>
  <c r="N760" i="26"/>
  <c r="K761" i="26"/>
  <c r="N761" i="26"/>
  <c r="K762" i="26"/>
  <c r="N762" i="26"/>
  <c r="K763" i="26"/>
  <c r="N763" i="26"/>
  <c r="K764" i="26"/>
  <c r="N764" i="26"/>
  <c r="K765" i="26"/>
  <c r="N765" i="26"/>
  <c r="K766" i="26"/>
  <c r="N766" i="26"/>
  <c r="K767" i="26"/>
  <c r="N767" i="26"/>
  <c r="K768" i="26"/>
  <c r="N768" i="26"/>
  <c r="J769" i="26"/>
  <c r="M769" i="26"/>
  <c r="J770" i="26"/>
  <c r="M770" i="26"/>
  <c r="J771" i="26"/>
  <c r="M771" i="26"/>
  <c r="J772" i="26"/>
  <c r="M772" i="26"/>
  <c r="J773" i="26"/>
  <c r="M773" i="26"/>
  <c r="J774" i="26"/>
  <c r="M774" i="26"/>
  <c r="J775" i="26"/>
  <c r="M775" i="26"/>
  <c r="J776" i="26"/>
  <c r="M776" i="26"/>
  <c r="J777" i="26"/>
  <c r="M777" i="26"/>
  <c r="J778" i="26"/>
  <c r="M778" i="26"/>
  <c r="J779" i="26"/>
  <c r="M779" i="26"/>
  <c r="J780" i="26"/>
  <c r="M780" i="26"/>
  <c r="J781" i="26"/>
  <c r="M781" i="26"/>
  <c r="J782" i="26"/>
  <c r="M782" i="26"/>
  <c r="J783" i="26"/>
  <c r="M783" i="26"/>
  <c r="J784" i="26"/>
  <c r="M784" i="26"/>
  <c r="J785" i="26"/>
  <c r="M785" i="26"/>
  <c r="J786" i="26"/>
  <c r="M786" i="26"/>
  <c r="J787" i="26"/>
  <c r="M787" i="26"/>
  <c r="J788" i="26"/>
  <c r="M788" i="26"/>
  <c r="J789" i="26"/>
  <c r="M789" i="26"/>
  <c r="J790" i="26"/>
  <c r="M790" i="26"/>
  <c r="J791" i="26"/>
  <c r="M791" i="26"/>
  <c r="J792" i="26"/>
  <c r="M792" i="26"/>
  <c r="J793" i="26"/>
  <c r="M793" i="26"/>
  <c r="J794" i="26"/>
  <c r="M794" i="26"/>
  <c r="J795" i="26"/>
  <c r="M795" i="26"/>
  <c r="J796" i="26"/>
  <c r="M796" i="26"/>
  <c r="J797" i="26"/>
  <c r="M797" i="26"/>
  <c r="J798" i="26"/>
  <c r="M798" i="26"/>
  <c r="J799" i="26"/>
  <c r="M799" i="26"/>
  <c r="J800" i="26"/>
  <c r="M800" i="26"/>
  <c r="J801" i="26"/>
  <c r="M801" i="26"/>
  <c r="J802" i="26"/>
  <c r="M802" i="26"/>
  <c r="J803" i="26"/>
  <c r="M803" i="26"/>
  <c r="J804" i="26"/>
  <c r="M804" i="26"/>
  <c r="J805" i="26"/>
  <c r="M805" i="26"/>
  <c r="J806" i="26"/>
  <c r="M806" i="26"/>
  <c r="J807" i="26"/>
  <c r="M807" i="26"/>
  <c r="J808" i="26"/>
  <c r="M808" i="26"/>
  <c r="J809" i="26"/>
  <c r="M809" i="26"/>
  <c r="J810" i="26"/>
  <c r="M810" i="26"/>
  <c r="J811" i="26"/>
  <c r="M811" i="26"/>
  <c r="J812" i="26"/>
  <c r="M812" i="26"/>
  <c r="J813" i="26"/>
  <c r="M813" i="26"/>
  <c r="J814" i="26"/>
  <c r="M814" i="26"/>
  <c r="J815" i="26"/>
  <c r="M815" i="26"/>
  <c r="J816" i="26"/>
  <c r="M816" i="26"/>
  <c r="J817" i="26"/>
  <c r="M817" i="26"/>
  <c r="J818" i="26"/>
  <c r="M818" i="26"/>
  <c r="J819" i="26"/>
  <c r="M819" i="26"/>
  <c r="J820" i="26"/>
  <c r="M820" i="26"/>
  <c r="J821" i="26"/>
  <c r="M821" i="26"/>
  <c r="J822" i="26"/>
  <c r="M822" i="26"/>
  <c r="J823" i="26"/>
  <c r="M823" i="26"/>
  <c r="J824" i="26"/>
  <c r="M824" i="26"/>
  <c r="J825" i="26"/>
  <c r="M825" i="26"/>
  <c r="J826" i="26"/>
  <c r="M826" i="26"/>
  <c r="J827" i="26"/>
  <c r="M827" i="26"/>
  <c r="J828" i="26"/>
  <c r="M828" i="26"/>
  <c r="J829" i="26"/>
  <c r="M829" i="26"/>
  <c r="J830" i="26"/>
  <c r="M830" i="26"/>
  <c r="J831" i="26"/>
  <c r="M831" i="26"/>
  <c r="J832" i="26"/>
  <c r="M832" i="26"/>
  <c r="J833" i="26"/>
  <c r="M833" i="26"/>
  <c r="J834" i="26"/>
  <c r="M834" i="26"/>
  <c r="K835" i="26"/>
  <c r="N835" i="26"/>
  <c r="K836" i="26"/>
  <c r="N836" i="26"/>
  <c r="K837" i="26"/>
  <c r="N837" i="26"/>
  <c r="K838" i="26"/>
  <c r="N838" i="26"/>
  <c r="K839" i="26"/>
  <c r="N839" i="26"/>
  <c r="K840" i="26"/>
  <c r="N840" i="26"/>
  <c r="K841" i="26"/>
  <c r="N841" i="26"/>
  <c r="K842" i="26"/>
  <c r="N842" i="26"/>
  <c r="K843" i="26"/>
  <c r="N843" i="26"/>
  <c r="K844" i="26"/>
  <c r="N844" i="26"/>
  <c r="K845" i="26"/>
  <c r="N845" i="26"/>
  <c r="K846" i="26"/>
  <c r="N846" i="26"/>
  <c r="K847" i="26"/>
  <c r="N847" i="26"/>
  <c r="K848" i="26"/>
  <c r="N848" i="26"/>
  <c r="K849" i="26"/>
  <c r="N849" i="26"/>
  <c r="K850" i="26"/>
  <c r="N850" i="26"/>
  <c r="K851" i="26"/>
  <c r="N851" i="26"/>
  <c r="K852" i="26"/>
  <c r="N852" i="26"/>
  <c r="K853" i="26"/>
  <c r="N853" i="26"/>
  <c r="K854" i="26"/>
  <c r="N854" i="26"/>
  <c r="K855" i="26"/>
  <c r="N855" i="26"/>
  <c r="K856" i="26"/>
  <c r="N856" i="26"/>
  <c r="K857" i="26"/>
  <c r="N857" i="26"/>
  <c r="K858" i="26"/>
  <c r="N858" i="26"/>
  <c r="K859" i="26"/>
  <c r="N859" i="26"/>
  <c r="K860" i="26"/>
  <c r="N860" i="26"/>
  <c r="K861" i="26"/>
  <c r="N861" i="26"/>
  <c r="K862" i="26"/>
  <c r="N862" i="26"/>
  <c r="K863" i="26"/>
  <c r="N863" i="26"/>
  <c r="K864" i="26"/>
  <c r="N864" i="26"/>
  <c r="K865" i="26"/>
  <c r="N865" i="26"/>
  <c r="K866" i="26"/>
  <c r="N866" i="26"/>
  <c r="K867" i="26"/>
  <c r="N867" i="26"/>
  <c r="K868" i="26"/>
  <c r="N868" i="26"/>
  <c r="K869" i="26"/>
  <c r="N869" i="26"/>
  <c r="K870" i="26"/>
  <c r="N870" i="26"/>
  <c r="K871" i="26"/>
  <c r="N871" i="26"/>
  <c r="K872" i="26"/>
  <c r="N872" i="26"/>
  <c r="K873" i="26"/>
  <c r="N873" i="26"/>
  <c r="K874" i="26"/>
  <c r="N874" i="26"/>
  <c r="K875" i="26"/>
  <c r="N875" i="26"/>
  <c r="K876" i="26"/>
  <c r="N876" i="26"/>
  <c r="K877" i="26"/>
  <c r="N877" i="26"/>
  <c r="K878" i="26"/>
  <c r="N878" i="26"/>
  <c r="K879" i="26"/>
  <c r="N879" i="26"/>
  <c r="K880" i="26"/>
  <c r="N880" i="26"/>
  <c r="K881" i="26"/>
  <c r="N881" i="26"/>
  <c r="K882" i="26"/>
  <c r="N882" i="26"/>
  <c r="K883" i="26"/>
  <c r="N883" i="26"/>
  <c r="K884" i="26"/>
  <c r="N884" i="26"/>
  <c r="K885" i="26"/>
  <c r="N885" i="26"/>
  <c r="K886" i="26"/>
  <c r="N886" i="26"/>
  <c r="K887" i="26"/>
  <c r="N887" i="26"/>
  <c r="K888" i="26"/>
  <c r="N888" i="26"/>
  <c r="K889" i="26"/>
  <c r="N889" i="26"/>
  <c r="K890" i="26"/>
  <c r="N890" i="26"/>
  <c r="K891" i="26"/>
  <c r="N891" i="26"/>
  <c r="K892" i="26"/>
  <c r="N892" i="26"/>
  <c r="K893" i="26"/>
  <c r="N893" i="26"/>
  <c r="K894" i="26"/>
  <c r="N894" i="26"/>
  <c r="K895" i="26"/>
  <c r="N895" i="26"/>
  <c r="K896" i="26"/>
  <c r="N896" i="26"/>
  <c r="K897" i="26"/>
  <c r="N897" i="26"/>
  <c r="K898" i="26"/>
  <c r="N898" i="26"/>
  <c r="K899" i="26"/>
  <c r="N899" i="26"/>
  <c r="K900" i="26"/>
  <c r="N900" i="26"/>
  <c r="K901" i="26"/>
  <c r="N901" i="26"/>
  <c r="K902" i="26"/>
  <c r="N902" i="26"/>
  <c r="K903" i="26"/>
  <c r="N903" i="26"/>
  <c r="K904" i="26"/>
  <c r="N904" i="26"/>
  <c r="K905" i="26"/>
  <c r="N905" i="26"/>
  <c r="K906" i="26"/>
  <c r="N906" i="26"/>
  <c r="K907" i="26"/>
  <c r="N907" i="26"/>
  <c r="K908" i="26"/>
  <c r="N908" i="26"/>
  <c r="K909" i="26"/>
  <c r="N909" i="26"/>
  <c r="K910" i="26"/>
  <c r="N910" i="26"/>
  <c r="K911" i="26"/>
  <c r="N911" i="26"/>
  <c r="K912" i="26"/>
  <c r="N912" i="26"/>
  <c r="J913" i="26"/>
  <c r="M913" i="26"/>
  <c r="J914" i="26"/>
  <c r="M914" i="26"/>
  <c r="J915" i="26"/>
  <c r="M915" i="26"/>
  <c r="J916" i="26"/>
  <c r="M916" i="26"/>
  <c r="J917" i="26"/>
  <c r="M917" i="26"/>
  <c r="J918" i="26"/>
  <c r="M918" i="26"/>
  <c r="J919" i="26"/>
  <c r="M919" i="26"/>
  <c r="J920" i="26"/>
  <c r="M920" i="26"/>
  <c r="J921" i="26"/>
  <c r="M921" i="26"/>
  <c r="J922" i="26"/>
  <c r="M922" i="26"/>
  <c r="J923" i="26"/>
  <c r="M923" i="26"/>
  <c r="J924" i="26"/>
  <c r="M924" i="26"/>
  <c r="K925" i="26"/>
  <c r="N925" i="26"/>
  <c r="K926" i="26"/>
  <c r="N926" i="26"/>
  <c r="K927" i="26"/>
  <c r="N927" i="26"/>
  <c r="K928" i="26"/>
  <c r="N928" i="26"/>
  <c r="K929" i="26"/>
  <c r="N929" i="26"/>
  <c r="K930" i="26"/>
  <c r="N930" i="26"/>
  <c r="K931" i="26"/>
  <c r="N931" i="26"/>
  <c r="K932" i="26"/>
  <c r="N932" i="26"/>
  <c r="K933" i="26"/>
  <c r="N933" i="26"/>
  <c r="K934" i="26"/>
  <c r="N934" i="26"/>
  <c r="K935" i="26"/>
  <c r="N935" i="26"/>
  <c r="K936" i="26"/>
  <c r="N936" i="26"/>
  <c r="K937" i="26"/>
  <c r="N937" i="26"/>
  <c r="K938" i="26"/>
  <c r="N938" i="26"/>
  <c r="K939" i="26"/>
  <c r="N939" i="26"/>
  <c r="K940" i="26"/>
  <c r="N940" i="26"/>
  <c r="K941" i="26"/>
  <c r="N941" i="26"/>
  <c r="K942" i="26"/>
  <c r="N942" i="26"/>
  <c r="K943" i="26"/>
  <c r="N943" i="26"/>
  <c r="K944" i="26"/>
  <c r="N944" i="26"/>
  <c r="K945" i="26"/>
  <c r="N945" i="26"/>
  <c r="K946" i="26"/>
  <c r="N946" i="26"/>
  <c r="K947" i="26"/>
  <c r="N947" i="26"/>
  <c r="K948" i="26"/>
  <c r="N948" i="26"/>
  <c r="J949" i="26"/>
  <c r="M949" i="26"/>
  <c r="J950" i="26"/>
  <c r="M950" i="26"/>
  <c r="J951" i="26"/>
  <c r="M951" i="26"/>
  <c r="J952" i="26"/>
  <c r="M952" i="26"/>
  <c r="J953" i="26"/>
  <c r="M953" i="26"/>
  <c r="J954" i="26"/>
  <c r="M954" i="26"/>
  <c r="J955" i="26"/>
  <c r="M955" i="26"/>
  <c r="J956" i="26"/>
  <c r="M956" i="26"/>
  <c r="J957" i="26"/>
  <c r="M957" i="26"/>
  <c r="J958" i="26"/>
  <c r="M958" i="26"/>
  <c r="J959" i="26"/>
  <c r="M959" i="26"/>
  <c r="J960" i="26"/>
  <c r="M960" i="26"/>
  <c r="K961" i="26"/>
  <c r="N961" i="26"/>
  <c r="K962" i="26"/>
  <c r="N962" i="26"/>
  <c r="K963" i="26"/>
  <c r="N963" i="26"/>
  <c r="K964" i="26"/>
  <c r="N964" i="26"/>
  <c r="K965" i="26"/>
  <c r="N965" i="26"/>
  <c r="K966" i="26"/>
  <c r="N966" i="26"/>
  <c r="K967" i="26"/>
  <c r="N967" i="26"/>
  <c r="K968" i="26"/>
  <c r="N968" i="26"/>
  <c r="K969" i="26"/>
  <c r="N969" i="26"/>
  <c r="K970" i="26"/>
  <c r="N970" i="26"/>
  <c r="K971" i="26"/>
  <c r="N971" i="26"/>
  <c r="K972" i="26"/>
  <c r="N972" i="26"/>
  <c r="K973" i="26"/>
  <c r="N973" i="26"/>
  <c r="K974" i="26"/>
  <c r="N974" i="26"/>
  <c r="K975" i="26"/>
  <c r="N975" i="26"/>
  <c r="K976" i="26"/>
  <c r="N976" i="26"/>
  <c r="K977" i="26"/>
  <c r="N977" i="26"/>
  <c r="K978" i="26"/>
  <c r="N978" i="26"/>
  <c r="K979" i="26"/>
  <c r="N979" i="26"/>
  <c r="K980" i="26"/>
  <c r="N980" i="26"/>
  <c r="K981" i="26"/>
  <c r="N981" i="26"/>
  <c r="K982" i="26"/>
  <c r="N982" i="26"/>
  <c r="K983" i="26"/>
  <c r="N983" i="26"/>
  <c r="K984" i="26"/>
  <c r="N984" i="26"/>
  <c r="K985" i="26"/>
  <c r="N985" i="26"/>
  <c r="K986" i="26"/>
  <c r="N986" i="26"/>
  <c r="K987" i="26"/>
  <c r="N987" i="26"/>
  <c r="K988" i="26"/>
  <c r="N988" i="26"/>
  <c r="K989" i="26"/>
  <c r="N989" i="26"/>
  <c r="K990" i="26"/>
  <c r="N990" i="26"/>
  <c r="K991" i="26"/>
  <c r="N991" i="26"/>
  <c r="K992" i="26"/>
  <c r="N992" i="26"/>
  <c r="K993" i="26"/>
  <c r="N993" i="26"/>
  <c r="K994" i="26"/>
  <c r="N994" i="26"/>
  <c r="K995" i="26"/>
  <c r="N995" i="26"/>
  <c r="K996" i="26"/>
  <c r="N996" i="26"/>
  <c r="K997" i="26"/>
  <c r="N997" i="26"/>
  <c r="K998" i="26"/>
  <c r="N998" i="26"/>
  <c r="K999" i="26"/>
  <c r="N999" i="26"/>
  <c r="K1000" i="26"/>
  <c r="N1000" i="26"/>
  <c r="K1001" i="26"/>
  <c r="N1001" i="26"/>
  <c r="K1002" i="26"/>
  <c r="N1002" i="26"/>
  <c r="K1003" i="26"/>
  <c r="N1003" i="26"/>
  <c r="K1004" i="26"/>
  <c r="N1004" i="26"/>
  <c r="K1005" i="26"/>
  <c r="N1005" i="26"/>
  <c r="K1006" i="26"/>
  <c r="N1006" i="26"/>
  <c r="K1007" i="26"/>
  <c r="N1007" i="26"/>
  <c r="K1008" i="26"/>
  <c r="N1008" i="26"/>
  <c r="K1009" i="26"/>
  <c r="N1009" i="26"/>
  <c r="K1010" i="26"/>
  <c r="N1010" i="26"/>
  <c r="K1011" i="26"/>
  <c r="N1011" i="26"/>
  <c r="K1012" i="26"/>
  <c r="N1012" i="26"/>
  <c r="K1013" i="26"/>
  <c r="N1013" i="26"/>
  <c r="K1014" i="26"/>
  <c r="N1014" i="26"/>
  <c r="K1015" i="26"/>
  <c r="N1015" i="26"/>
  <c r="K1016" i="26"/>
  <c r="N1016" i="26"/>
  <c r="K1017" i="26"/>
  <c r="N1017" i="26"/>
  <c r="K1018" i="26"/>
  <c r="N1018" i="26"/>
  <c r="K1019" i="26"/>
  <c r="N1019" i="26"/>
  <c r="K1020" i="26"/>
  <c r="N1020" i="26"/>
  <c r="K1021" i="26"/>
  <c r="N1021" i="26"/>
  <c r="K1022" i="26"/>
  <c r="N1022" i="26"/>
  <c r="K1023" i="26"/>
  <c r="N1023" i="26"/>
  <c r="K1024" i="26"/>
  <c r="N1024" i="26"/>
  <c r="K1025" i="26"/>
  <c r="N1025" i="26"/>
  <c r="K1026" i="26"/>
  <c r="N1026" i="26"/>
  <c r="K1027" i="26"/>
  <c r="N1027" i="26"/>
  <c r="K1028" i="26"/>
  <c r="N1028" i="26"/>
  <c r="J1029" i="26"/>
  <c r="M1029" i="26"/>
  <c r="J1030" i="26"/>
  <c r="M1030" i="26"/>
  <c r="J1031" i="26"/>
  <c r="M1031" i="26"/>
  <c r="J1032" i="26"/>
  <c r="M1032" i="26"/>
  <c r="J1033" i="26"/>
  <c r="M1033" i="26"/>
  <c r="J1034" i="26"/>
  <c r="M1034" i="26"/>
  <c r="J1035" i="26"/>
  <c r="M1035" i="26"/>
  <c r="J1036" i="26"/>
  <c r="M1036" i="26"/>
  <c r="J1037" i="26"/>
  <c r="M1037" i="26"/>
  <c r="J1038" i="26"/>
  <c r="M1038" i="26"/>
  <c r="J1039" i="26"/>
  <c r="M1039" i="26"/>
  <c r="J1040" i="26"/>
  <c r="M1040" i="26"/>
  <c r="J1041" i="26"/>
  <c r="M1041" i="26"/>
  <c r="J1042" i="26"/>
  <c r="M1042" i="26"/>
  <c r="J1043" i="26"/>
  <c r="M1043" i="26"/>
  <c r="J1044" i="26"/>
  <c r="M1044" i="26"/>
  <c r="J1045" i="26"/>
  <c r="M1045" i="26"/>
  <c r="J1046" i="26"/>
  <c r="M1046" i="26"/>
  <c r="J1047" i="26"/>
  <c r="M1047" i="26"/>
  <c r="J1048" i="26"/>
  <c r="M1048" i="26"/>
  <c r="J1049" i="26"/>
  <c r="M1049" i="26"/>
  <c r="J1050" i="26"/>
  <c r="M1050" i="26"/>
  <c r="J1051" i="26"/>
  <c r="M1051" i="26"/>
  <c r="J1052" i="26"/>
  <c r="M1052" i="26"/>
  <c r="J1053" i="26"/>
  <c r="M1053" i="26"/>
  <c r="J1054" i="26"/>
  <c r="M1054" i="26"/>
  <c r="J1055" i="26"/>
  <c r="M1055" i="26"/>
  <c r="J1056" i="26"/>
  <c r="M1056" i="26"/>
  <c r="J1057" i="26"/>
  <c r="M1057" i="26"/>
  <c r="J1058" i="26"/>
  <c r="M1058" i="26"/>
  <c r="J1059" i="26"/>
  <c r="M1059" i="26"/>
  <c r="J1060" i="26"/>
  <c r="M1060" i="26"/>
  <c r="J1061" i="26"/>
  <c r="M1061" i="26"/>
  <c r="J1062" i="26"/>
  <c r="M1062" i="26"/>
  <c r="J1063" i="26"/>
  <c r="M1063" i="26"/>
  <c r="J1064" i="26"/>
  <c r="M1064" i="26"/>
  <c r="J1065" i="26"/>
  <c r="M1065" i="26"/>
  <c r="J1066" i="26"/>
  <c r="M1066" i="26"/>
  <c r="J1067" i="26"/>
  <c r="M1067" i="26"/>
  <c r="J1068" i="26"/>
  <c r="M1068" i="26"/>
  <c r="J1069" i="26"/>
  <c r="M1069" i="26"/>
  <c r="J1070" i="26"/>
  <c r="M1070" i="26"/>
  <c r="J1071" i="26"/>
  <c r="M1071" i="26"/>
  <c r="J1072" i="26"/>
  <c r="M1072" i="26"/>
  <c r="J1073" i="26"/>
  <c r="M1073" i="26"/>
  <c r="J1074" i="26"/>
  <c r="M1074" i="26"/>
  <c r="J1075" i="26"/>
  <c r="M1075" i="26"/>
  <c r="J1076" i="26"/>
  <c r="M1076" i="26"/>
  <c r="J1077" i="26"/>
  <c r="M1077" i="26"/>
  <c r="J1078" i="26"/>
  <c r="M1078" i="26"/>
  <c r="J1079" i="26"/>
  <c r="M1079" i="26"/>
  <c r="J1080" i="26"/>
  <c r="M1080" i="26"/>
  <c r="J1081" i="26"/>
  <c r="M1081" i="26"/>
  <c r="J1082" i="26"/>
  <c r="M1082" i="26"/>
  <c r="J1083" i="26"/>
  <c r="M1083" i="26"/>
  <c r="J1084" i="26"/>
  <c r="M1084" i="26"/>
  <c r="J1085" i="26"/>
  <c r="M1085" i="26"/>
  <c r="J1086" i="26"/>
  <c r="M1086" i="26"/>
  <c r="J1087" i="26"/>
  <c r="M1087" i="26"/>
  <c r="J1088" i="26"/>
  <c r="M1088" i="26"/>
  <c r="J1089" i="26"/>
  <c r="M1089" i="26"/>
  <c r="K1090" i="26"/>
  <c r="N1090" i="26"/>
  <c r="K1091" i="26"/>
  <c r="N1091" i="26"/>
  <c r="K1092" i="26"/>
  <c r="N1092" i="26"/>
  <c r="K1093" i="26"/>
  <c r="N1093" i="26"/>
  <c r="K1094" i="26"/>
  <c r="N1094" i="26"/>
  <c r="K1095" i="26"/>
  <c r="N1095" i="26"/>
  <c r="K1096" i="26"/>
  <c r="N1096" i="26"/>
  <c r="K1097" i="26"/>
  <c r="N1097" i="26"/>
  <c r="K1098" i="26"/>
  <c r="N1098" i="26"/>
  <c r="K1099" i="26"/>
  <c r="N1099" i="26"/>
  <c r="K1100" i="26"/>
  <c r="N1100" i="26"/>
  <c r="K1101" i="26"/>
  <c r="N1101" i="26"/>
  <c r="K1102" i="26"/>
  <c r="N1102" i="26"/>
  <c r="K1103" i="26"/>
  <c r="N1103" i="26"/>
  <c r="K1104" i="26"/>
  <c r="N1104" i="26"/>
  <c r="K1105" i="26"/>
  <c r="N1105" i="26"/>
  <c r="K1106" i="26"/>
  <c r="N1106" i="26"/>
  <c r="K1107" i="26"/>
  <c r="N1107" i="26"/>
  <c r="K1108" i="26"/>
  <c r="N1108" i="26"/>
  <c r="K1109" i="26"/>
  <c r="N1109" i="26"/>
  <c r="K1110" i="26"/>
  <c r="N1110" i="26"/>
  <c r="K1111" i="26"/>
  <c r="N1111" i="26"/>
  <c r="K1112" i="26"/>
  <c r="N1112" i="26"/>
  <c r="K1113" i="26"/>
  <c r="N1113" i="26"/>
  <c r="K1114" i="26"/>
  <c r="N1114" i="26"/>
  <c r="K1115" i="26"/>
  <c r="N1115" i="26"/>
  <c r="K1116" i="26"/>
  <c r="N1116" i="26"/>
  <c r="K1117" i="26"/>
  <c r="N1117" i="26"/>
  <c r="K1118" i="26"/>
  <c r="N1118" i="26"/>
  <c r="K1119" i="26"/>
  <c r="N1119" i="26"/>
  <c r="K1120" i="26"/>
  <c r="N1120" i="26"/>
  <c r="K1121" i="26"/>
  <c r="N1121" i="26"/>
  <c r="K1122" i="26"/>
  <c r="N1122" i="26"/>
  <c r="K1123" i="26"/>
  <c r="N1123" i="26"/>
  <c r="K1124" i="26"/>
  <c r="N1124" i="26"/>
  <c r="K1125" i="26"/>
  <c r="N1125" i="26"/>
  <c r="K1126" i="26"/>
  <c r="N1126" i="26"/>
  <c r="K1127" i="26"/>
  <c r="N1127" i="26"/>
  <c r="K1128" i="26"/>
  <c r="N1128" i="26"/>
  <c r="K1129" i="26"/>
  <c r="N1129" i="26"/>
  <c r="K1130" i="26"/>
  <c r="N1130" i="26"/>
  <c r="K1131" i="26"/>
  <c r="N1131" i="26"/>
  <c r="K1132" i="26"/>
  <c r="N1132" i="26"/>
  <c r="K1133" i="26"/>
  <c r="N1133" i="26"/>
  <c r="K1134" i="26"/>
  <c r="N1134" i="26"/>
  <c r="K1135" i="26"/>
  <c r="N1135" i="26"/>
  <c r="K1136" i="26"/>
  <c r="N1136" i="26"/>
  <c r="K1137" i="26"/>
  <c r="N1137" i="26"/>
  <c r="K1138" i="26"/>
  <c r="N1138" i="26"/>
  <c r="K1139" i="26"/>
  <c r="N1139" i="26"/>
  <c r="K1140" i="26"/>
  <c r="N1140" i="26"/>
  <c r="K1141" i="26"/>
  <c r="N1141" i="26"/>
  <c r="K1142" i="26"/>
  <c r="N1142" i="26"/>
  <c r="K1143" i="26"/>
  <c r="N1143" i="26"/>
  <c r="K1144" i="26"/>
  <c r="N1144" i="26"/>
  <c r="K1145" i="26"/>
  <c r="N1145" i="26"/>
  <c r="K1146" i="26"/>
  <c r="N1146" i="26"/>
  <c r="K1147" i="26"/>
  <c r="N1147" i="26"/>
  <c r="K1148" i="26"/>
  <c r="N1148" i="26"/>
  <c r="K1149" i="26"/>
  <c r="N1149" i="26"/>
  <c r="K1150" i="26"/>
  <c r="N1150" i="26"/>
  <c r="K1151" i="26"/>
  <c r="N1151" i="26"/>
  <c r="K1152" i="26"/>
  <c r="N1152" i="26"/>
  <c r="K1153" i="26"/>
  <c r="N1153" i="26"/>
  <c r="K1154" i="26"/>
  <c r="N1154" i="26"/>
  <c r="K1155" i="26"/>
  <c r="N1155" i="26"/>
  <c r="K1156" i="26"/>
  <c r="N1156" i="26"/>
  <c r="K1157" i="26"/>
  <c r="N1157" i="26"/>
  <c r="K1158" i="26"/>
  <c r="N1158" i="26"/>
  <c r="K1159" i="26"/>
  <c r="N1159" i="26"/>
  <c r="K1160" i="26"/>
  <c r="N1160" i="26"/>
  <c r="K1161" i="26"/>
  <c r="N1161" i="26"/>
  <c r="K1162" i="26"/>
  <c r="N1162" i="26"/>
  <c r="K1163" i="26"/>
  <c r="N1163" i="26"/>
  <c r="K1164" i="26"/>
  <c r="N1164" i="26"/>
  <c r="K1165" i="26"/>
  <c r="N1165" i="26"/>
  <c r="K1166" i="26"/>
  <c r="N1166" i="26"/>
  <c r="K1167" i="26"/>
  <c r="N1167" i="26"/>
  <c r="K1168" i="26"/>
  <c r="N1168" i="26"/>
  <c r="K1169" i="26"/>
  <c r="N1169" i="26"/>
  <c r="K1170" i="26"/>
  <c r="N1170" i="26"/>
  <c r="K1171" i="26"/>
  <c r="N1171" i="26"/>
  <c r="K1172" i="26"/>
  <c r="N1172" i="26"/>
  <c r="K1173" i="26"/>
  <c r="N1173" i="26"/>
  <c r="K1174" i="26"/>
  <c r="N1174" i="26"/>
  <c r="K1175" i="26"/>
  <c r="N1175" i="26"/>
  <c r="K1176" i="26"/>
  <c r="N1176" i="26"/>
  <c r="K1177" i="26"/>
  <c r="N1177" i="26"/>
  <c r="K1178" i="26"/>
  <c r="N1178" i="26"/>
  <c r="K1179" i="26"/>
  <c r="N1179" i="26"/>
  <c r="K1180" i="26"/>
  <c r="N1180" i="26"/>
  <c r="K1181" i="26"/>
  <c r="N1181" i="26"/>
  <c r="K1182" i="26"/>
  <c r="N1182" i="26"/>
  <c r="K1183" i="26"/>
  <c r="N1183" i="26"/>
  <c r="K1184" i="26"/>
  <c r="N1184" i="26"/>
  <c r="K1185" i="26"/>
  <c r="N1185" i="26"/>
  <c r="K1186" i="26"/>
  <c r="N1186" i="26"/>
  <c r="K1187" i="26"/>
  <c r="N1187" i="26"/>
  <c r="K1188" i="26"/>
  <c r="N1188" i="26"/>
  <c r="K1189" i="26"/>
  <c r="N1189" i="26"/>
  <c r="K1190" i="26"/>
  <c r="N1190" i="26"/>
  <c r="K1191" i="26"/>
  <c r="N1191" i="26"/>
  <c r="K1192" i="26"/>
  <c r="N1192" i="26"/>
  <c r="K1193" i="26"/>
  <c r="N1193" i="26"/>
  <c r="K1194" i="26"/>
  <c r="N1194" i="26"/>
  <c r="J1195" i="26"/>
  <c r="M1195" i="26"/>
  <c r="J1196" i="26"/>
  <c r="M1196" i="26"/>
  <c r="J1197" i="26"/>
  <c r="M1197" i="26"/>
  <c r="J1198" i="26"/>
  <c r="M1198" i="26"/>
  <c r="J1199" i="26"/>
  <c r="M1199" i="26"/>
  <c r="J1200" i="26"/>
  <c r="M1200" i="26"/>
  <c r="J1201" i="26"/>
  <c r="M1201" i="26"/>
  <c r="J1202" i="26"/>
  <c r="M1202" i="26"/>
  <c r="J1203" i="26"/>
  <c r="M1203" i="26"/>
  <c r="J1204" i="26"/>
  <c r="M1204" i="26"/>
  <c r="J1205" i="26"/>
  <c r="M1205" i="26"/>
  <c r="J1206" i="26"/>
  <c r="M1206" i="26"/>
  <c r="J1207" i="26"/>
  <c r="M1207" i="26"/>
  <c r="J1208" i="26"/>
  <c r="M1208" i="26"/>
  <c r="J1209" i="26"/>
  <c r="M1209" i="26"/>
  <c r="J1210" i="26"/>
  <c r="M1210" i="26"/>
  <c r="J1211" i="26"/>
  <c r="M1211" i="26"/>
  <c r="J1212" i="26"/>
  <c r="M1212" i="26"/>
  <c r="J1213" i="26"/>
  <c r="M1213" i="26"/>
  <c r="J1214" i="26"/>
  <c r="M1214" i="26"/>
  <c r="J1215" i="26"/>
  <c r="M1215" i="26"/>
  <c r="J1216" i="26"/>
  <c r="M1216" i="26"/>
  <c r="J1217" i="26"/>
  <c r="M1217" i="26"/>
  <c r="J1218" i="26"/>
  <c r="M1218" i="26"/>
  <c r="J1219" i="26"/>
  <c r="M1219" i="26"/>
  <c r="J1220" i="26"/>
  <c r="M1220" i="26"/>
  <c r="J1221" i="26"/>
  <c r="M1221" i="26"/>
  <c r="J1222" i="26"/>
  <c r="M1222" i="26"/>
  <c r="J1223" i="26"/>
  <c r="M1223" i="26"/>
  <c r="J1224" i="26"/>
  <c r="M1224" i="26"/>
  <c r="J1225" i="26"/>
  <c r="M1225" i="26"/>
  <c r="J1226" i="26"/>
  <c r="M1226" i="26"/>
  <c r="J1227" i="26"/>
  <c r="M1227" i="26"/>
  <c r="J1228" i="26"/>
  <c r="M1228" i="26"/>
  <c r="J1229" i="26"/>
  <c r="M1229" i="26"/>
  <c r="J1230" i="26"/>
  <c r="M1230" i="26"/>
  <c r="J1231" i="26"/>
  <c r="M1231" i="26"/>
  <c r="J1232" i="26"/>
  <c r="M1232" i="26"/>
  <c r="J1233" i="26"/>
  <c r="M1233" i="26"/>
  <c r="J1234" i="26"/>
  <c r="M1234" i="26"/>
  <c r="J1235" i="26"/>
  <c r="M1235" i="26"/>
  <c r="J1236" i="26"/>
  <c r="M1236" i="26"/>
  <c r="J1237" i="26"/>
  <c r="M1237" i="26"/>
  <c r="J1238" i="26"/>
  <c r="M1238" i="26"/>
  <c r="J1239" i="26"/>
  <c r="M1239" i="26"/>
  <c r="J1240" i="26"/>
  <c r="M1240" i="26"/>
  <c r="J1241" i="26"/>
  <c r="M1241" i="26"/>
  <c r="J1242" i="26"/>
  <c r="M1242" i="26"/>
  <c r="J1243" i="26"/>
  <c r="M1243" i="26"/>
  <c r="J1244" i="26"/>
  <c r="M1244" i="26"/>
  <c r="J1245" i="26"/>
  <c r="M1245" i="26"/>
  <c r="J1246" i="26"/>
  <c r="M1246" i="26"/>
  <c r="J1247" i="26"/>
  <c r="M1247" i="26"/>
  <c r="K1248" i="26"/>
  <c r="N1248" i="26"/>
  <c r="K1249" i="26"/>
  <c r="N1249" i="26"/>
  <c r="K1250" i="26"/>
  <c r="N1250" i="26"/>
  <c r="K1251" i="26"/>
  <c r="N1251" i="26"/>
  <c r="K1252" i="26"/>
  <c r="N1252" i="26"/>
  <c r="K1253" i="26"/>
  <c r="N1253" i="26"/>
  <c r="K1254" i="26"/>
  <c r="N1254" i="26"/>
  <c r="K1255" i="26"/>
  <c r="N1255" i="26"/>
  <c r="K1256" i="26"/>
  <c r="N1256" i="26"/>
  <c r="K1257" i="26"/>
  <c r="N1257" i="26"/>
  <c r="K1258" i="26"/>
  <c r="N1258" i="26"/>
  <c r="K1259" i="26"/>
  <c r="N1259" i="26"/>
  <c r="K1260" i="26"/>
  <c r="N1260" i="26"/>
  <c r="K1261" i="26"/>
  <c r="N1261" i="26"/>
  <c r="K1262" i="26"/>
  <c r="N1262" i="26"/>
  <c r="K1263" i="26"/>
  <c r="N1263" i="26"/>
  <c r="K1264" i="26"/>
  <c r="N1264" i="26"/>
  <c r="K1265" i="26"/>
  <c r="N1265" i="26"/>
  <c r="K1266" i="26"/>
  <c r="N1266" i="26"/>
  <c r="K1267" i="26"/>
  <c r="N1267" i="26"/>
  <c r="K1268" i="26"/>
  <c r="N1268" i="26"/>
  <c r="K1269" i="26"/>
  <c r="N1269" i="26"/>
  <c r="K1270" i="26"/>
  <c r="N1270" i="26"/>
  <c r="K1271" i="26"/>
  <c r="N1271" i="26"/>
  <c r="K1272" i="26"/>
  <c r="N1272" i="26"/>
  <c r="K1273" i="26"/>
  <c r="N1273" i="26"/>
  <c r="K1274" i="26"/>
  <c r="N1274" i="26"/>
  <c r="K1275" i="26"/>
  <c r="N1275" i="26"/>
  <c r="K1276" i="26"/>
  <c r="N1276" i="26"/>
  <c r="K1277" i="26"/>
  <c r="N1277" i="26"/>
  <c r="K1278" i="26"/>
  <c r="N1278" i="26"/>
  <c r="K1279" i="26"/>
  <c r="N1279" i="26"/>
  <c r="K1280" i="26"/>
  <c r="N1280" i="26"/>
  <c r="K1281" i="26"/>
  <c r="N1281" i="26"/>
  <c r="K1282" i="26"/>
  <c r="N1282" i="26"/>
  <c r="K1283" i="26"/>
  <c r="N1283" i="26"/>
  <c r="K1284" i="26"/>
  <c r="N1284" i="26"/>
  <c r="K1285" i="26"/>
  <c r="N1285" i="26"/>
  <c r="K1286" i="26"/>
  <c r="N1286" i="26"/>
  <c r="K1287" i="26"/>
  <c r="N1287" i="26"/>
  <c r="K1288" i="26"/>
  <c r="N1288" i="26"/>
  <c r="K1289" i="26"/>
  <c r="N1289" i="26"/>
  <c r="K1290" i="26"/>
  <c r="N1290" i="26"/>
  <c r="K1291" i="26"/>
  <c r="N1291" i="26"/>
  <c r="K1292" i="26"/>
  <c r="N1292" i="26"/>
  <c r="K1293" i="26"/>
  <c r="N1293" i="26"/>
  <c r="K1294" i="26"/>
  <c r="N1294" i="26"/>
  <c r="K1295" i="26"/>
  <c r="N1295" i="26"/>
  <c r="K1296" i="26"/>
  <c r="N1296" i="26"/>
  <c r="K1297" i="26"/>
  <c r="N1297" i="26"/>
  <c r="K1298" i="26"/>
  <c r="N1298" i="26"/>
  <c r="K1299" i="26"/>
  <c r="N1299" i="26"/>
  <c r="K1300" i="26"/>
  <c r="N1300" i="26"/>
  <c r="K1301" i="26"/>
  <c r="N1301" i="26"/>
  <c r="K1302" i="26"/>
  <c r="N1302" i="26"/>
  <c r="K1303" i="26"/>
  <c r="N1303" i="26"/>
  <c r="K1304" i="26"/>
  <c r="N1304" i="26"/>
  <c r="K1305" i="26"/>
  <c r="N1305" i="26"/>
  <c r="K1306" i="26"/>
  <c r="N1306" i="26"/>
  <c r="K1307" i="26"/>
  <c r="N1307" i="26"/>
  <c r="K1308" i="26"/>
  <c r="N1308" i="26"/>
  <c r="K1309" i="26"/>
  <c r="N1309" i="26"/>
  <c r="K1310" i="26"/>
  <c r="N1310" i="26"/>
  <c r="K1311" i="26"/>
  <c r="N1311" i="26"/>
  <c r="K1312" i="26"/>
  <c r="N1312" i="26"/>
  <c r="K1313" i="26"/>
  <c r="N1313" i="26"/>
  <c r="K1314" i="26"/>
  <c r="N1314" i="26"/>
  <c r="K1315" i="26"/>
  <c r="N1315" i="26"/>
  <c r="K1316" i="26"/>
  <c r="N1316" i="26"/>
  <c r="K1317" i="26"/>
  <c r="N1317" i="26"/>
  <c r="J1318" i="26"/>
  <c r="M1318" i="26"/>
  <c r="J1319" i="26"/>
  <c r="M1319" i="26"/>
  <c r="J1320" i="26"/>
  <c r="M1320" i="26"/>
  <c r="J1321" i="26"/>
  <c r="M1321" i="26"/>
  <c r="J1322" i="26"/>
  <c r="M1322" i="26"/>
  <c r="J1323" i="26"/>
  <c r="M1323" i="26"/>
  <c r="J1324" i="26"/>
  <c r="M1324" i="26"/>
  <c r="J1325" i="26"/>
  <c r="M1325" i="26"/>
  <c r="J1326" i="26"/>
  <c r="M1326" i="26"/>
  <c r="J1327" i="26"/>
  <c r="M1327" i="26"/>
  <c r="J1328" i="26"/>
  <c r="M1328" i="26"/>
  <c r="J1329" i="26"/>
  <c r="M1329" i="26"/>
  <c r="J1330" i="26"/>
  <c r="M1330" i="26"/>
  <c r="J1331" i="26"/>
  <c r="M1331" i="26"/>
  <c r="J1332" i="26"/>
  <c r="M1332" i="26"/>
  <c r="J1333" i="26"/>
  <c r="M1333" i="26"/>
  <c r="J1334" i="26"/>
  <c r="M1334" i="26"/>
  <c r="J1335" i="26"/>
  <c r="M1335" i="26"/>
  <c r="J1336" i="26"/>
  <c r="M1336" i="26"/>
  <c r="K1337" i="26"/>
  <c r="N1337" i="26"/>
  <c r="K1338" i="26"/>
  <c r="N1338" i="26"/>
  <c r="K1339" i="26"/>
  <c r="N1339" i="26"/>
  <c r="K1340" i="26"/>
  <c r="N1340" i="26"/>
  <c r="K1341" i="26"/>
  <c r="N1341" i="26"/>
  <c r="K1342" i="26"/>
  <c r="N1342" i="26"/>
  <c r="K1343" i="26"/>
  <c r="N1343" i="26"/>
  <c r="K1344" i="26"/>
  <c r="N1344" i="26"/>
  <c r="K1345" i="26"/>
  <c r="N1345" i="26"/>
  <c r="K1346" i="26"/>
  <c r="N1346" i="26"/>
  <c r="K1347" i="26"/>
  <c r="N1347" i="26"/>
  <c r="K1348" i="26"/>
  <c r="N1348" i="26"/>
  <c r="K1349" i="26"/>
  <c r="N1349" i="26"/>
  <c r="K1350" i="26"/>
  <c r="N1350" i="26"/>
  <c r="K1351" i="26"/>
  <c r="N1351" i="26"/>
  <c r="K1352" i="26"/>
  <c r="N1352" i="26"/>
  <c r="K1353" i="26"/>
  <c r="N1353" i="26"/>
  <c r="K1354" i="26"/>
  <c r="N1354" i="26"/>
  <c r="K1355" i="26"/>
  <c r="N1355" i="26"/>
  <c r="K1356" i="26"/>
  <c r="N1356" i="26"/>
  <c r="K1357" i="26"/>
  <c r="N1357" i="26"/>
  <c r="K1358" i="26"/>
  <c r="N1358" i="26"/>
  <c r="K1359" i="26"/>
  <c r="N1359" i="26"/>
  <c r="K1360" i="26"/>
  <c r="N1360" i="26"/>
  <c r="K1361" i="26"/>
  <c r="N1361" i="26"/>
  <c r="K1362" i="26"/>
  <c r="N1362" i="26"/>
  <c r="K1363" i="26"/>
  <c r="N1363" i="26"/>
  <c r="K1364" i="26"/>
  <c r="N1364" i="26"/>
  <c r="K1365" i="26"/>
  <c r="N1365" i="26"/>
  <c r="K1366" i="26"/>
  <c r="N1366" i="26"/>
  <c r="K1367" i="26"/>
  <c r="N1367" i="26"/>
  <c r="K1368" i="26"/>
  <c r="N1368" i="26"/>
  <c r="K1369" i="26"/>
  <c r="N1369" i="26"/>
  <c r="J1370" i="26"/>
  <c r="M1370" i="26"/>
  <c r="J1371" i="26"/>
  <c r="M1371" i="26"/>
  <c r="J1372" i="26"/>
  <c r="M1372" i="26"/>
  <c r="J1373" i="26"/>
  <c r="M1373" i="26"/>
  <c r="K1374" i="26"/>
  <c r="N1374" i="26"/>
  <c r="K1375" i="26"/>
  <c r="N1375" i="26"/>
  <c r="K1376" i="26"/>
  <c r="N1376" i="26"/>
  <c r="K1377" i="26"/>
  <c r="N1377" i="26"/>
  <c r="K1378" i="26"/>
  <c r="N1378" i="26"/>
  <c r="K1379" i="26"/>
  <c r="N1379" i="26"/>
  <c r="K1380" i="26"/>
  <c r="N1380" i="26"/>
  <c r="K1381" i="26"/>
  <c r="N1381" i="26"/>
  <c r="K1382" i="26"/>
  <c r="N1382" i="26"/>
  <c r="K1383" i="26"/>
  <c r="N1383" i="26"/>
  <c r="K1384" i="26"/>
  <c r="N1384" i="26"/>
  <c r="K1385" i="26"/>
  <c r="N1385" i="26"/>
  <c r="K1386" i="26"/>
  <c r="N1386" i="26"/>
  <c r="K1387" i="26"/>
  <c r="N1387" i="26"/>
  <c r="K1388" i="26"/>
  <c r="N1388" i="26"/>
  <c r="K1389" i="26"/>
  <c r="N1389" i="26"/>
  <c r="K1390" i="26"/>
  <c r="N1390" i="26"/>
  <c r="K1391" i="26"/>
  <c r="N1391" i="26"/>
  <c r="K1392" i="26"/>
  <c r="N1392" i="26"/>
  <c r="K1393" i="26"/>
  <c r="N1393" i="26"/>
  <c r="K1394" i="26"/>
  <c r="N1394" i="26"/>
  <c r="K1395" i="26"/>
  <c r="N1395" i="26"/>
  <c r="K1396" i="26"/>
  <c r="N1396" i="26"/>
  <c r="K1397" i="26"/>
  <c r="N1397" i="26"/>
  <c r="K1398" i="26"/>
  <c r="N1398" i="26"/>
  <c r="K1399" i="26"/>
  <c r="N1399" i="26"/>
  <c r="K1400" i="26"/>
  <c r="N1400" i="26"/>
  <c r="K1401" i="26"/>
  <c r="N1401" i="26"/>
  <c r="K1402" i="26"/>
  <c r="N1402" i="26"/>
  <c r="J1403" i="26"/>
  <c r="M1403" i="26"/>
  <c r="J1404" i="26"/>
  <c r="M1404" i="26"/>
  <c r="J1405" i="26"/>
  <c r="M1405" i="26"/>
  <c r="J1406" i="26"/>
  <c r="M1406" i="26"/>
  <c r="J1407" i="26"/>
  <c r="M1407" i="26"/>
  <c r="J1408" i="26"/>
  <c r="M1408" i="26"/>
  <c r="J1409" i="26"/>
  <c r="M1409" i="26"/>
  <c r="J1410" i="26"/>
  <c r="M1410" i="26"/>
  <c r="J1411" i="26"/>
  <c r="M1411" i="26"/>
  <c r="J1412" i="26"/>
  <c r="M1412" i="26"/>
  <c r="J1413" i="26"/>
  <c r="M1413" i="26"/>
  <c r="J1414" i="26"/>
  <c r="M1414" i="26"/>
  <c r="J1415" i="26"/>
  <c r="M1415" i="26"/>
  <c r="J1416" i="26"/>
  <c r="M1416" i="26"/>
  <c r="J1417" i="26"/>
  <c r="M1417" i="26"/>
  <c r="J1418" i="26"/>
  <c r="M1418" i="26"/>
  <c r="J1419" i="26"/>
  <c r="M1419" i="26"/>
  <c r="J1420" i="26"/>
  <c r="M1420" i="26"/>
  <c r="J1421" i="26"/>
  <c r="M1421" i="26"/>
  <c r="J1422" i="26"/>
  <c r="M1422" i="26"/>
  <c r="J1423" i="26"/>
  <c r="M1423" i="26"/>
  <c r="J1424" i="26"/>
  <c r="M1424" i="26"/>
  <c r="J1425" i="26"/>
  <c r="M1425" i="26"/>
  <c r="J1426" i="26"/>
  <c r="M1426" i="26"/>
  <c r="J1427" i="26"/>
  <c r="M1427" i="26"/>
  <c r="J1428" i="26"/>
  <c r="M1428" i="26"/>
  <c r="J1429" i="26"/>
  <c r="M1429" i="26"/>
  <c r="J1430" i="26"/>
  <c r="M1430" i="26"/>
  <c r="J1431" i="26"/>
  <c r="M1431" i="26"/>
  <c r="K1432" i="26"/>
  <c r="N1432" i="26"/>
  <c r="K1433" i="26"/>
  <c r="N1433" i="26"/>
  <c r="K1434" i="26"/>
  <c r="N1434" i="26"/>
  <c r="K1435" i="26"/>
  <c r="N1435" i="26"/>
  <c r="K1436" i="26"/>
  <c r="N1436" i="26"/>
  <c r="K1437" i="26"/>
  <c r="N1437" i="26"/>
  <c r="K1438" i="26"/>
  <c r="N1438" i="26"/>
  <c r="K1439" i="26"/>
  <c r="N1439" i="26"/>
  <c r="K1440" i="26"/>
  <c r="N1440" i="26"/>
  <c r="K1441" i="26"/>
  <c r="N1441" i="26"/>
  <c r="K1442" i="26"/>
  <c r="N1442" i="26"/>
  <c r="K1443" i="26"/>
  <c r="N1443" i="26"/>
  <c r="K1444" i="26"/>
  <c r="N1444" i="26"/>
  <c r="K1445" i="26"/>
  <c r="N1445" i="26"/>
  <c r="K1446" i="26"/>
  <c r="N1446" i="26"/>
  <c r="K1447" i="26"/>
  <c r="N1447" i="26"/>
  <c r="K1448" i="26"/>
  <c r="N1448" i="26"/>
  <c r="K1449" i="26"/>
  <c r="N1449" i="26"/>
  <c r="K1450" i="26"/>
  <c r="N1450" i="26"/>
  <c r="K1451" i="26"/>
  <c r="N1451" i="26"/>
  <c r="K1452" i="26"/>
  <c r="N1452" i="26"/>
  <c r="K1453" i="26"/>
  <c r="N1453" i="26"/>
  <c r="K1454" i="26"/>
  <c r="N1454" i="26"/>
  <c r="K1455" i="26"/>
  <c r="N1455" i="26"/>
  <c r="K1456" i="26"/>
  <c r="N1456" i="26"/>
  <c r="K1457" i="26"/>
  <c r="N1457" i="26"/>
  <c r="K1458" i="26"/>
  <c r="N1458" i="26"/>
  <c r="K1459" i="26"/>
  <c r="N1459" i="26"/>
  <c r="K1460" i="26"/>
  <c r="N1460" i="26"/>
  <c r="K1461" i="26"/>
  <c r="N1461" i="26"/>
  <c r="K1462" i="26"/>
  <c r="N1462" i="26"/>
  <c r="K1463" i="26"/>
  <c r="N1463" i="26"/>
  <c r="K1464" i="26"/>
  <c r="N1464" i="26"/>
  <c r="K1465" i="26"/>
  <c r="N1465" i="26"/>
  <c r="K1466" i="26"/>
  <c r="N1466" i="26"/>
  <c r="K1467" i="26"/>
  <c r="N1467" i="26"/>
  <c r="K1468" i="26"/>
  <c r="N1468" i="26"/>
  <c r="K1469" i="26"/>
  <c r="N1469" i="26"/>
  <c r="K1470" i="26"/>
  <c r="N1470" i="26"/>
  <c r="K1471" i="26"/>
  <c r="N1471" i="26"/>
  <c r="K1472" i="26"/>
  <c r="N1472" i="26"/>
  <c r="K1473" i="26"/>
  <c r="N1473" i="26"/>
  <c r="K1474" i="26"/>
  <c r="N1474" i="26"/>
  <c r="K1475" i="26"/>
  <c r="N1475" i="26"/>
  <c r="K1476" i="26"/>
  <c r="N1476" i="26"/>
  <c r="K1477" i="26"/>
  <c r="N1477" i="26"/>
  <c r="K1478" i="26"/>
  <c r="N1478" i="26"/>
  <c r="K1479" i="26"/>
  <c r="N1479" i="26"/>
  <c r="K1480" i="26"/>
  <c r="N1480" i="26"/>
  <c r="K1481" i="26"/>
  <c r="N1481" i="26"/>
  <c r="K1482" i="26"/>
  <c r="N1482" i="26"/>
  <c r="K1483" i="26"/>
  <c r="N1483" i="26"/>
  <c r="K1484" i="26"/>
  <c r="N1484" i="26"/>
  <c r="J1485" i="26"/>
  <c r="M1485" i="26"/>
  <c r="J1486" i="26"/>
  <c r="M1486" i="26"/>
  <c r="J1487" i="26"/>
  <c r="M1487" i="26"/>
  <c r="J1488" i="26"/>
  <c r="M1488" i="26"/>
  <c r="J1489" i="26"/>
  <c r="M1489" i="26"/>
  <c r="J1490" i="26"/>
  <c r="M1490" i="26"/>
  <c r="J1491" i="26"/>
  <c r="M1491" i="26"/>
  <c r="J1492" i="26"/>
  <c r="M1492" i="26"/>
  <c r="J1493" i="26"/>
  <c r="M1493" i="26"/>
  <c r="J1494" i="26"/>
  <c r="M1494" i="26"/>
  <c r="J1495" i="26"/>
  <c r="M1495" i="26"/>
  <c r="J1496" i="26"/>
  <c r="M1496" i="26"/>
  <c r="J1497" i="26"/>
  <c r="M1497" i="26"/>
  <c r="J1498" i="26"/>
  <c r="M1498" i="26"/>
  <c r="J1499" i="26"/>
  <c r="M1499" i="26"/>
  <c r="J1500" i="26"/>
  <c r="M1500" i="26"/>
  <c r="J1501" i="26"/>
  <c r="M1501" i="26"/>
  <c r="J1502" i="26"/>
  <c r="M1502" i="26"/>
  <c r="J1503" i="26"/>
  <c r="M1503" i="26"/>
  <c r="J1504" i="26"/>
  <c r="M1504" i="26"/>
  <c r="J1505" i="26"/>
  <c r="M1505" i="26"/>
  <c r="J1506" i="26"/>
  <c r="M1506" i="26"/>
  <c r="J1507" i="26"/>
  <c r="M1507" i="26"/>
  <c r="J1508" i="26"/>
  <c r="M1508" i="26"/>
  <c r="J1509" i="26"/>
  <c r="M1509" i="26"/>
  <c r="J1510" i="26"/>
  <c r="M1510" i="26"/>
  <c r="K1511" i="26"/>
  <c r="N1511" i="26"/>
  <c r="K1512" i="26"/>
  <c r="N1512" i="26"/>
  <c r="K1513" i="26"/>
  <c r="N1513" i="26"/>
  <c r="K1514" i="26"/>
  <c r="N1514" i="26"/>
  <c r="K1515" i="26"/>
  <c r="N1515" i="26"/>
  <c r="K1516" i="26"/>
  <c r="N1516" i="26"/>
  <c r="K1517" i="26"/>
  <c r="N1517" i="26"/>
  <c r="K1518" i="26"/>
  <c r="N1518" i="26"/>
  <c r="K1519" i="26"/>
  <c r="N1519" i="26"/>
  <c r="K1520" i="26"/>
  <c r="N1520" i="26"/>
  <c r="K1521" i="26"/>
  <c r="N1521" i="26"/>
  <c r="K1522" i="26"/>
  <c r="N1522" i="26"/>
  <c r="K1523" i="26"/>
  <c r="N1523" i="26"/>
  <c r="K1524" i="26"/>
  <c r="N1524" i="26"/>
  <c r="K1525" i="26"/>
  <c r="N1525" i="26"/>
  <c r="K1526" i="26"/>
  <c r="N1526" i="26"/>
  <c r="K1527" i="26"/>
  <c r="N1527" i="26"/>
  <c r="K1528" i="26"/>
  <c r="N1528" i="26"/>
  <c r="K1529" i="26"/>
  <c r="N1529" i="26"/>
  <c r="K1530" i="26"/>
  <c r="N1530" i="26"/>
  <c r="K1531" i="26"/>
  <c r="N1531" i="26"/>
  <c r="K1532" i="26"/>
  <c r="N1532" i="26"/>
  <c r="K1533" i="26"/>
  <c r="N1533" i="26"/>
  <c r="K1534" i="26"/>
  <c r="N1534" i="26"/>
  <c r="K1535" i="26"/>
  <c r="N1535" i="26"/>
  <c r="K1536" i="26"/>
  <c r="N1536" i="26"/>
  <c r="K1537" i="26"/>
  <c r="N1537" i="26"/>
  <c r="K1538" i="26"/>
  <c r="N1538" i="26"/>
  <c r="K1539" i="26"/>
  <c r="N1539" i="26"/>
  <c r="K1540" i="26"/>
  <c r="N1540" i="26"/>
  <c r="K1541" i="26"/>
  <c r="N1541" i="26"/>
  <c r="K1542" i="26"/>
  <c r="N1542" i="26"/>
  <c r="K1543" i="26"/>
  <c r="N1543" i="26"/>
  <c r="K1544" i="26"/>
  <c r="N1544" i="26"/>
  <c r="K1545" i="26"/>
  <c r="N1545" i="26"/>
  <c r="K1546" i="26"/>
  <c r="N1546" i="26"/>
  <c r="K1547" i="26"/>
  <c r="N1547" i="26"/>
  <c r="K1548" i="26"/>
  <c r="N1548" i="26"/>
  <c r="K1549" i="26"/>
  <c r="N1549" i="26"/>
  <c r="K1550" i="26"/>
  <c r="N1550" i="26"/>
  <c r="K1551" i="26"/>
  <c r="N1551" i="26"/>
  <c r="K1552" i="26"/>
  <c r="N1552" i="26"/>
  <c r="K1553" i="26"/>
  <c r="N1553" i="26"/>
  <c r="K1554" i="26"/>
  <c r="N1554" i="26"/>
  <c r="K1555" i="26"/>
  <c r="N1555" i="26"/>
  <c r="K1556" i="26"/>
  <c r="N1556" i="26"/>
  <c r="K1557" i="26"/>
  <c r="N1557" i="26"/>
  <c r="K1558" i="26"/>
  <c r="N1558" i="26"/>
  <c r="K1559" i="26"/>
  <c r="N1559" i="26"/>
  <c r="K1560" i="26"/>
  <c r="N1560" i="26"/>
  <c r="K1561" i="26"/>
  <c r="N1561" i="26"/>
  <c r="K1562" i="26"/>
  <c r="N1562" i="26"/>
  <c r="K1563" i="26"/>
  <c r="N1563" i="26"/>
  <c r="K1564" i="26"/>
  <c r="N1564" i="26"/>
  <c r="K1565" i="26"/>
  <c r="N1565" i="26"/>
  <c r="K1566" i="26"/>
  <c r="N1566" i="26"/>
  <c r="K1567" i="26"/>
  <c r="N1567" i="26"/>
  <c r="K1568" i="26"/>
  <c r="N1568" i="26"/>
  <c r="K1569" i="26"/>
  <c r="N1569" i="26"/>
  <c r="K1570" i="26"/>
  <c r="N1570" i="26"/>
  <c r="K1571" i="26"/>
  <c r="N1571" i="26"/>
  <c r="K1572" i="26"/>
  <c r="N1572" i="26"/>
  <c r="K1573" i="26"/>
  <c r="N1573" i="26"/>
  <c r="K1574" i="26"/>
  <c r="N1574" i="26"/>
  <c r="K1575" i="26"/>
  <c r="N1575" i="26"/>
  <c r="K1576" i="26"/>
  <c r="N1576" i="26"/>
  <c r="K1577" i="26"/>
  <c r="N1577" i="26"/>
  <c r="K1578" i="26"/>
  <c r="N1578" i="26"/>
  <c r="K1579" i="26"/>
  <c r="N1579" i="26"/>
  <c r="K1580" i="26"/>
  <c r="N1580" i="26"/>
  <c r="K1581" i="26"/>
  <c r="N1581" i="26"/>
  <c r="K1582" i="26"/>
  <c r="N1582" i="26"/>
  <c r="K1583" i="26"/>
  <c r="N1583" i="26"/>
  <c r="K1584" i="26"/>
  <c r="N1584" i="26"/>
  <c r="K1585" i="26"/>
  <c r="N1585" i="26"/>
  <c r="K1586" i="26"/>
  <c r="N1586" i="26"/>
  <c r="K1587" i="26"/>
  <c r="N1587" i="26"/>
  <c r="K1588" i="26"/>
  <c r="N1588" i="26"/>
  <c r="K1589" i="26"/>
  <c r="N1589" i="26"/>
  <c r="K1590" i="26"/>
  <c r="N1590" i="26"/>
  <c r="K1591" i="26"/>
  <c r="N1591" i="26"/>
  <c r="K1592" i="26"/>
  <c r="N1592" i="26"/>
  <c r="K1593" i="26"/>
  <c r="N1593" i="26"/>
  <c r="K1594" i="26"/>
  <c r="N1594" i="26"/>
  <c r="K1595" i="26"/>
  <c r="N1595" i="26"/>
  <c r="K1596" i="26"/>
  <c r="N1596" i="26"/>
  <c r="K1597" i="26"/>
  <c r="N1597" i="26"/>
  <c r="K1598" i="26"/>
  <c r="N1598" i="26"/>
  <c r="K1599" i="26"/>
  <c r="N1599" i="26"/>
  <c r="K1600" i="26"/>
  <c r="N1600" i="26"/>
  <c r="K1601" i="26"/>
  <c r="N1601" i="26"/>
  <c r="K1602" i="26"/>
  <c r="N1602" i="26"/>
  <c r="K1603" i="26"/>
  <c r="N1603" i="26"/>
  <c r="K1604" i="26"/>
  <c r="N1604" i="26"/>
  <c r="K1605" i="26"/>
  <c r="N1605" i="26"/>
  <c r="K1606" i="26"/>
  <c r="N1606" i="26"/>
  <c r="K1607" i="26"/>
  <c r="N1607" i="26"/>
  <c r="K1608" i="26"/>
  <c r="N1608" i="26"/>
  <c r="K1609" i="26"/>
  <c r="N1609" i="26"/>
  <c r="K1610" i="26"/>
  <c r="N1610" i="26"/>
  <c r="K1611" i="26"/>
  <c r="N1611" i="26"/>
  <c r="K1612" i="26"/>
  <c r="N1612" i="26"/>
  <c r="K1613" i="26"/>
  <c r="N1613" i="26"/>
  <c r="K1614" i="26"/>
  <c r="N1614" i="26"/>
  <c r="K1615" i="26"/>
  <c r="N1615" i="26"/>
  <c r="K1616" i="26"/>
  <c r="N1616" i="26"/>
  <c r="K1617" i="26"/>
  <c r="N1617" i="26"/>
  <c r="K1618" i="26"/>
  <c r="N1618" i="26"/>
  <c r="K1619" i="26"/>
  <c r="N1619" i="26"/>
  <c r="K1620" i="26"/>
  <c r="N1620" i="26"/>
  <c r="K1621" i="26"/>
  <c r="N1621" i="26"/>
  <c r="K1622" i="26"/>
  <c r="N1622" i="26"/>
  <c r="K1623" i="26"/>
  <c r="N1623" i="26"/>
  <c r="K1624" i="26"/>
  <c r="N1624" i="26"/>
  <c r="K1625" i="26"/>
  <c r="N1625" i="26"/>
  <c r="K1626" i="26"/>
  <c r="N1626" i="26"/>
  <c r="K1627" i="26"/>
  <c r="N1627" i="26"/>
  <c r="K1628" i="26"/>
  <c r="N1628" i="26"/>
  <c r="K1629" i="26"/>
  <c r="N1629" i="26"/>
  <c r="K1630" i="26"/>
  <c r="N1630" i="26"/>
  <c r="K1631" i="26"/>
  <c r="N1631" i="26"/>
  <c r="K1632" i="26"/>
  <c r="N1632" i="26"/>
  <c r="K1633" i="26"/>
  <c r="N1633" i="26"/>
  <c r="K1634" i="26"/>
  <c r="N1634" i="26"/>
  <c r="K1635" i="26"/>
  <c r="N1635" i="26"/>
  <c r="K1636" i="26"/>
  <c r="N1636" i="26"/>
  <c r="K1637" i="26"/>
  <c r="N1637" i="26"/>
  <c r="K1638" i="26"/>
  <c r="N1638" i="26"/>
  <c r="K1639" i="26"/>
  <c r="N1639" i="26"/>
  <c r="K1640" i="26"/>
  <c r="N1640" i="26"/>
  <c r="K1641" i="26"/>
  <c r="N1641" i="26"/>
  <c r="K1642" i="26"/>
  <c r="N1642" i="26"/>
  <c r="K1643" i="26"/>
  <c r="N1643" i="26"/>
  <c r="K1644" i="26"/>
  <c r="N1644" i="26"/>
  <c r="K1645" i="26"/>
  <c r="N1645" i="26"/>
  <c r="K1646" i="26"/>
  <c r="N1646" i="26"/>
  <c r="K1647" i="26"/>
  <c r="N1647" i="26"/>
  <c r="K1648" i="26"/>
  <c r="N1648" i="26"/>
  <c r="K1649" i="26"/>
  <c r="N1649" i="26"/>
  <c r="K1650" i="26"/>
  <c r="N1650" i="26"/>
  <c r="K1651" i="26"/>
  <c r="N1651" i="26"/>
  <c r="K1652" i="26"/>
  <c r="N1652" i="26"/>
  <c r="K1653" i="26"/>
  <c r="N1653" i="26"/>
  <c r="K1654" i="26"/>
  <c r="N1654" i="26"/>
  <c r="K1655" i="26"/>
  <c r="N1655" i="26"/>
  <c r="K1656" i="26"/>
  <c r="N1656" i="26"/>
  <c r="K1657" i="26"/>
  <c r="N1657" i="26"/>
  <c r="K1658" i="26"/>
  <c r="N1658" i="26"/>
  <c r="K1659" i="26"/>
  <c r="N1659" i="26"/>
  <c r="K1660" i="26"/>
  <c r="N1660" i="26"/>
  <c r="K1661" i="26"/>
  <c r="N1661" i="26"/>
  <c r="K1662" i="26"/>
  <c r="N1662" i="26"/>
  <c r="K1663" i="26"/>
  <c r="N1663" i="26"/>
  <c r="K1664" i="26"/>
  <c r="N1664" i="26"/>
  <c r="K1665" i="26"/>
  <c r="N1665" i="26"/>
  <c r="K1666" i="26"/>
  <c r="N1666" i="26"/>
  <c r="K1667" i="26"/>
  <c r="N1667" i="26"/>
  <c r="K1668" i="26"/>
  <c r="N1668" i="26"/>
  <c r="K1669" i="26"/>
  <c r="N1669" i="26"/>
  <c r="K1670" i="26"/>
  <c r="N1670" i="26"/>
  <c r="K1671" i="26"/>
  <c r="N1671" i="26"/>
  <c r="K1672" i="26"/>
  <c r="N1672" i="26"/>
  <c r="K1673" i="26"/>
  <c r="N1673" i="26"/>
  <c r="K1674" i="26"/>
  <c r="N1674" i="26"/>
  <c r="K1675" i="26"/>
  <c r="N1675" i="26"/>
  <c r="K1676" i="26"/>
  <c r="N1676" i="26"/>
  <c r="K1677" i="26"/>
  <c r="N1677" i="26"/>
  <c r="K1678" i="26"/>
  <c r="N1678" i="26"/>
  <c r="K1679" i="26"/>
  <c r="N1679" i="26"/>
  <c r="K1680" i="26"/>
  <c r="N1680" i="26"/>
  <c r="K1681" i="26"/>
  <c r="N1681" i="26"/>
  <c r="K1682" i="26"/>
  <c r="N1682" i="26"/>
  <c r="K1683" i="26"/>
  <c r="N1683" i="26"/>
  <c r="K1684" i="26"/>
  <c r="N1684" i="26"/>
  <c r="K1685" i="26"/>
  <c r="N1685" i="26"/>
  <c r="K1686" i="26"/>
  <c r="N1686" i="26"/>
  <c r="K1687" i="26"/>
  <c r="N1687" i="26"/>
  <c r="K1688" i="26"/>
  <c r="N1688" i="26"/>
  <c r="K1689" i="26"/>
  <c r="N1689" i="26"/>
  <c r="K1690" i="26"/>
  <c r="N1690" i="26"/>
  <c r="K1691" i="26"/>
  <c r="N1691" i="26"/>
  <c r="K1692" i="26"/>
  <c r="N1692" i="26"/>
  <c r="K1693" i="26"/>
  <c r="N1693" i="26"/>
  <c r="K1694" i="26"/>
  <c r="N1694" i="26"/>
  <c r="K1695" i="26"/>
  <c r="N1695" i="26"/>
  <c r="K1696" i="26"/>
  <c r="N1696" i="26"/>
  <c r="K1697" i="26"/>
  <c r="N1697" i="26"/>
  <c r="K1698" i="26"/>
  <c r="N1698" i="26"/>
  <c r="K1699" i="26"/>
  <c r="N1699" i="26"/>
  <c r="K1700" i="26"/>
  <c r="N1700" i="26"/>
  <c r="K1701" i="26"/>
  <c r="N1701" i="26"/>
  <c r="K1702" i="26"/>
  <c r="N1702" i="26"/>
  <c r="K1703" i="26"/>
  <c r="N1703" i="26"/>
  <c r="K1704" i="26"/>
  <c r="N1704" i="26"/>
  <c r="K1705" i="26"/>
  <c r="N1705" i="26"/>
  <c r="K1706" i="26"/>
  <c r="N1706" i="26"/>
  <c r="K1707" i="26"/>
  <c r="N1707" i="26"/>
  <c r="K1708" i="26"/>
  <c r="N1708" i="26"/>
  <c r="K1709" i="26"/>
  <c r="N1709" i="26"/>
  <c r="K1710" i="26"/>
  <c r="N1710" i="26"/>
  <c r="K1711" i="26"/>
  <c r="N1711" i="26"/>
  <c r="K1712" i="26"/>
  <c r="N1712" i="26"/>
  <c r="K1713" i="26"/>
  <c r="N1713" i="26"/>
  <c r="K1714" i="26"/>
  <c r="N1714" i="26"/>
  <c r="K1715" i="26"/>
  <c r="N1715" i="26"/>
  <c r="K1716" i="26"/>
  <c r="N1716" i="26"/>
  <c r="K1717" i="26"/>
  <c r="N1717" i="26"/>
  <c r="K1718" i="26"/>
  <c r="N1718" i="26"/>
  <c r="K1719" i="26"/>
  <c r="N1719" i="26"/>
  <c r="K1720" i="26"/>
  <c r="N1720" i="26"/>
  <c r="K1721" i="26"/>
  <c r="N1721" i="26"/>
  <c r="K1722" i="26"/>
  <c r="N1722" i="26"/>
  <c r="K1723" i="26"/>
  <c r="N1723" i="26"/>
  <c r="K1724" i="26"/>
  <c r="N1724" i="26"/>
  <c r="K1725" i="26"/>
  <c r="N1725" i="26"/>
  <c r="K1726" i="26"/>
  <c r="N1726" i="26"/>
  <c r="K1727" i="26"/>
  <c r="N1727" i="26"/>
  <c r="K1728" i="26"/>
  <c r="N1728" i="26"/>
  <c r="K1729" i="26"/>
  <c r="N1729" i="26"/>
  <c r="K1730" i="26"/>
  <c r="N1730" i="26"/>
  <c r="K1731" i="26"/>
  <c r="N1731" i="26"/>
  <c r="K1732" i="26"/>
  <c r="N1732" i="26"/>
  <c r="K1733" i="26"/>
  <c r="N1733" i="26"/>
  <c r="K1734" i="26"/>
  <c r="N1734" i="26"/>
  <c r="K1735" i="26"/>
  <c r="N1735" i="26"/>
  <c r="K1736" i="26"/>
  <c r="N1736" i="26"/>
  <c r="K1737" i="26"/>
  <c r="N1737" i="26"/>
  <c r="K1738" i="26"/>
  <c r="N1738" i="26"/>
  <c r="K1739" i="26"/>
  <c r="N1739" i="26"/>
  <c r="K1740" i="26"/>
  <c r="N1740" i="26"/>
  <c r="K1741" i="26"/>
  <c r="N1741" i="26"/>
  <c r="K1742" i="26"/>
  <c r="N1742" i="26"/>
  <c r="K1743" i="26"/>
  <c r="N1743" i="26"/>
  <c r="K1744" i="26"/>
  <c r="N1744" i="26"/>
  <c r="K1745" i="26"/>
  <c r="N1745" i="26"/>
  <c r="K1746" i="26"/>
  <c r="N1746" i="26"/>
  <c r="K1747" i="26"/>
  <c r="N1747" i="26"/>
  <c r="K1748" i="26"/>
  <c r="N1748" i="26"/>
  <c r="K1749" i="26"/>
  <c r="N1749" i="26"/>
  <c r="K1750" i="26"/>
  <c r="N1750" i="26"/>
  <c r="K1751" i="26"/>
  <c r="N1751" i="26"/>
  <c r="K1752" i="26"/>
  <c r="N1752" i="26"/>
  <c r="K1753" i="26"/>
  <c r="N1753" i="26"/>
  <c r="K1754" i="26"/>
  <c r="N1754" i="26"/>
  <c r="K1755" i="26"/>
  <c r="N1755" i="26"/>
  <c r="K1756" i="26"/>
  <c r="N1756" i="26"/>
  <c r="K1757" i="26"/>
  <c r="N1757" i="26"/>
  <c r="K1758" i="26"/>
  <c r="N1758" i="26"/>
  <c r="K1759" i="26"/>
  <c r="N1759" i="26"/>
  <c r="K1760" i="26"/>
  <c r="N1760" i="26"/>
  <c r="K1761" i="26"/>
  <c r="N1761" i="26"/>
  <c r="K1762" i="26"/>
  <c r="N1762" i="26"/>
  <c r="K1763" i="26"/>
  <c r="N1763" i="26"/>
  <c r="K1764" i="26"/>
  <c r="N1764" i="26"/>
  <c r="K1765" i="26"/>
  <c r="N1765" i="26"/>
  <c r="K1766" i="26"/>
  <c r="N1766" i="26"/>
  <c r="K1767" i="26"/>
  <c r="N1767" i="26"/>
  <c r="K1768" i="26"/>
  <c r="N1768" i="26"/>
  <c r="K1769" i="26"/>
  <c r="N1769" i="26"/>
  <c r="K1770" i="26"/>
  <c r="N1770" i="26"/>
  <c r="K1771" i="26"/>
  <c r="N1771" i="26"/>
  <c r="K1772" i="26"/>
  <c r="N1772" i="26"/>
  <c r="K1773" i="26"/>
  <c r="N1773" i="26"/>
  <c r="K1774" i="26"/>
  <c r="N1774" i="26"/>
  <c r="K1775" i="26"/>
  <c r="N1775" i="26"/>
  <c r="K1776" i="26"/>
  <c r="N1776" i="26"/>
  <c r="K1777" i="26"/>
  <c r="N1777" i="26"/>
  <c r="K1778" i="26"/>
  <c r="N1778" i="26"/>
  <c r="K1779" i="26"/>
  <c r="N1779" i="26"/>
  <c r="K1780" i="26"/>
  <c r="N1780" i="26"/>
  <c r="K1781" i="26"/>
  <c r="N1781" i="26"/>
  <c r="K1782" i="26"/>
  <c r="N1782" i="26"/>
  <c r="K1783" i="26"/>
  <c r="N1783" i="26"/>
  <c r="K1784" i="26"/>
  <c r="N1784" i="26"/>
  <c r="K1785" i="26"/>
  <c r="N1785" i="26"/>
  <c r="K1786" i="26"/>
  <c r="N1786" i="26"/>
  <c r="K1787" i="26"/>
  <c r="N1787" i="26"/>
  <c r="K1788" i="26"/>
  <c r="N1788" i="26"/>
  <c r="K1789" i="26"/>
  <c r="N1789" i="26"/>
  <c r="K1790" i="26"/>
  <c r="N1790" i="26"/>
  <c r="K1791" i="26"/>
  <c r="N1791" i="26"/>
  <c r="K1792" i="26"/>
  <c r="N1792" i="26"/>
  <c r="K1793" i="26"/>
  <c r="N1793" i="26"/>
  <c r="K1794" i="26"/>
  <c r="N1794" i="26"/>
  <c r="K1795" i="26"/>
  <c r="N1795" i="26"/>
  <c r="K1796" i="26"/>
  <c r="N1796" i="26"/>
  <c r="K1797" i="26"/>
  <c r="N1797" i="26"/>
  <c r="K1798" i="26"/>
  <c r="N1798" i="26"/>
  <c r="K1799" i="26"/>
  <c r="N1799" i="26"/>
  <c r="K1800" i="26"/>
  <c r="N1800" i="26"/>
  <c r="K1801" i="26"/>
  <c r="N1801" i="26"/>
  <c r="K1802" i="26"/>
  <c r="N1802" i="26"/>
  <c r="K1803" i="26"/>
  <c r="N1803" i="26"/>
  <c r="K1804" i="26"/>
  <c r="N1804" i="26"/>
  <c r="K1805" i="26"/>
  <c r="N1805" i="26"/>
  <c r="K1806" i="26"/>
  <c r="N1806" i="26"/>
  <c r="K1807" i="26"/>
  <c r="N1807" i="26"/>
  <c r="K1808" i="26"/>
  <c r="N1808" i="26"/>
  <c r="K1809" i="26"/>
  <c r="N1809" i="26"/>
  <c r="K1810" i="26"/>
  <c r="N1810" i="26"/>
  <c r="K1811" i="26"/>
  <c r="N1811" i="26"/>
  <c r="K1812" i="26"/>
  <c r="N1812" i="26"/>
  <c r="K1813" i="26"/>
  <c r="N1813" i="26"/>
  <c r="K1814" i="26"/>
  <c r="N1814" i="26"/>
  <c r="K1815" i="26"/>
  <c r="N1815" i="26"/>
  <c r="K1816" i="26"/>
  <c r="N1816" i="26"/>
  <c r="K1817" i="26"/>
  <c r="N1817" i="26"/>
  <c r="K1818" i="26"/>
  <c r="N1818" i="26"/>
  <c r="K1819" i="26"/>
  <c r="N1819" i="26"/>
  <c r="K1820" i="26"/>
  <c r="N1820" i="26"/>
  <c r="K1821" i="26"/>
  <c r="N1821" i="26"/>
  <c r="K1822" i="26"/>
  <c r="N1822" i="26"/>
  <c r="K1823" i="26"/>
  <c r="N1823" i="26"/>
  <c r="K1824" i="26"/>
  <c r="N1824" i="26"/>
  <c r="K1825" i="26"/>
  <c r="N1825" i="26"/>
  <c r="K1826" i="26"/>
  <c r="N1826" i="26"/>
  <c r="K1827" i="26"/>
  <c r="N1827" i="26"/>
  <c r="K1828" i="26"/>
  <c r="N1828" i="26"/>
  <c r="K1829" i="26"/>
  <c r="N1829" i="26"/>
  <c r="K1830" i="26"/>
  <c r="N1830" i="26"/>
  <c r="K1831" i="26"/>
  <c r="N1831" i="26"/>
  <c r="K1832" i="26"/>
  <c r="N1832" i="26"/>
  <c r="K1833" i="26"/>
  <c r="N1833" i="26"/>
  <c r="K1834" i="26"/>
  <c r="N1834" i="26"/>
  <c r="K1835" i="26"/>
  <c r="N1835" i="26"/>
  <c r="K1836" i="26"/>
  <c r="N1836" i="26"/>
  <c r="K1837" i="26"/>
  <c r="N1837" i="26"/>
  <c r="K1838" i="26"/>
  <c r="N1838" i="26"/>
  <c r="K1839" i="26"/>
  <c r="N1839" i="26"/>
  <c r="K1840" i="26"/>
  <c r="N1840" i="26"/>
  <c r="K1841" i="26"/>
  <c r="N1841" i="26"/>
  <c r="K1842" i="26"/>
  <c r="N1842" i="26"/>
  <c r="K1843" i="26"/>
  <c r="N1843" i="26"/>
  <c r="K1844" i="26"/>
  <c r="N1844" i="26"/>
  <c r="K1845" i="26"/>
  <c r="N1845" i="26"/>
  <c r="K1846" i="26"/>
  <c r="N1846" i="26"/>
  <c r="K1847" i="26"/>
  <c r="N1847" i="26"/>
  <c r="K1848" i="26"/>
  <c r="N1848" i="26"/>
  <c r="K1849" i="26"/>
  <c r="N1849" i="26"/>
  <c r="K1850" i="26"/>
  <c r="N1850" i="26"/>
  <c r="K1851" i="26"/>
  <c r="N1851" i="26"/>
  <c r="K1852" i="26"/>
  <c r="N1852" i="26"/>
  <c r="K1853" i="26"/>
  <c r="N1853" i="26"/>
  <c r="K1854" i="26"/>
  <c r="N1854" i="26"/>
  <c r="K1855" i="26"/>
  <c r="N1855" i="26"/>
  <c r="K1856" i="26"/>
  <c r="N1856" i="26"/>
  <c r="K1857" i="26"/>
  <c r="N1857" i="26"/>
  <c r="K1858" i="26"/>
  <c r="N1858" i="26"/>
  <c r="K1859" i="26"/>
  <c r="N1859" i="26"/>
  <c r="K1860" i="26"/>
  <c r="N1860" i="26"/>
  <c r="K1861" i="26"/>
  <c r="N1861" i="26"/>
  <c r="K1862" i="26"/>
  <c r="N1862" i="26"/>
  <c r="K1863" i="26"/>
  <c r="N1863" i="26"/>
  <c r="K1864" i="26"/>
  <c r="N1864" i="26"/>
  <c r="K1865" i="26"/>
  <c r="N1865" i="26"/>
  <c r="K1866" i="26"/>
  <c r="N1866" i="26"/>
  <c r="K1867" i="26"/>
  <c r="N1867" i="26"/>
  <c r="K1868" i="26"/>
  <c r="N1868" i="26"/>
  <c r="K1869" i="26"/>
  <c r="N1869" i="26"/>
  <c r="K1870" i="26"/>
  <c r="N1870" i="26"/>
  <c r="K1871" i="26"/>
  <c r="N1871" i="26"/>
  <c r="K1872" i="26"/>
  <c r="N1872" i="26"/>
  <c r="K1873" i="26"/>
  <c r="N1873" i="26"/>
  <c r="K1874" i="26"/>
  <c r="N1874" i="26"/>
  <c r="K1875" i="26"/>
  <c r="N1875" i="26"/>
  <c r="K1876" i="26"/>
  <c r="N1876" i="26"/>
  <c r="K1877" i="26"/>
  <c r="N1877" i="26"/>
  <c r="K1878" i="26"/>
  <c r="N1878" i="26"/>
  <c r="K1879" i="26"/>
  <c r="N1879" i="26"/>
  <c r="K1880" i="26"/>
  <c r="N1880" i="26"/>
  <c r="K1881" i="26"/>
  <c r="N1881" i="26"/>
  <c r="K1882" i="26"/>
  <c r="N1882" i="26"/>
  <c r="K1883" i="26"/>
  <c r="N1883" i="26"/>
  <c r="K1884" i="26"/>
  <c r="N1884" i="26"/>
  <c r="K1885" i="26"/>
  <c r="N1885" i="26"/>
  <c r="K1886" i="26"/>
  <c r="N1886" i="26"/>
  <c r="K1887" i="26"/>
  <c r="N1887" i="26"/>
  <c r="K1888" i="26"/>
  <c r="N1888" i="26"/>
  <c r="K1889" i="26"/>
  <c r="N1889" i="26"/>
  <c r="K1890" i="26"/>
  <c r="N1890" i="26"/>
  <c r="K1891" i="26"/>
  <c r="N1891" i="26"/>
  <c r="K1892" i="26"/>
  <c r="N1892" i="26"/>
  <c r="K1893" i="26"/>
  <c r="N1893" i="26"/>
  <c r="K1894" i="26"/>
  <c r="N1894" i="26"/>
  <c r="K1895" i="26"/>
  <c r="N1895" i="26"/>
  <c r="K1896" i="26"/>
  <c r="N1896" i="26"/>
  <c r="K1897" i="26"/>
  <c r="N1897" i="26"/>
  <c r="K1898" i="26"/>
  <c r="N1898" i="26"/>
  <c r="K1899" i="26"/>
  <c r="N1899" i="26"/>
  <c r="K1900" i="26"/>
  <c r="N1900" i="26"/>
  <c r="K1901" i="26"/>
  <c r="N1901" i="26"/>
  <c r="K1902" i="26"/>
  <c r="N1902" i="26"/>
  <c r="K1903" i="26"/>
  <c r="N1903" i="26"/>
  <c r="K1904" i="26"/>
  <c r="N1904" i="26"/>
  <c r="K1905" i="26"/>
  <c r="N1905" i="26"/>
  <c r="K1906" i="26"/>
  <c r="N1906" i="26"/>
  <c r="K1907" i="26"/>
  <c r="N1907" i="26"/>
  <c r="K1908" i="26"/>
  <c r="N1908" i="26"/>
  <c r="K1909" i="26"/>
  <c r="N1909" i="26"/>
  <c r="K1910" i="26"/>
  <c r="N1910" i="26"/>
  <c r="K1911" i="26"/>
  <c r="N1911" i="26"/>
  <c r="K1912" i="26"/>
  <c r="N1912" i="26"/>
  <c r="K1913" i="26"/>
  <c r="N1913" i="26"/>
  <c r="K1914" i="26"/>
  <c r="N1914" i="26"/>
  <c r="K1915" i="26"/>
  <c r="N1915" i="26"/>
  <c r="K1916" i="26"/>
  <c r="N1916" i="26"/>
  <c r="K1917" i="26"/>
  <c r="N1917" i="26"/>
  <c r="K1918" i="26"/>
  <c r="N1918" i="26"/>
  <c r="K1919" i="26"/>
  <c r="N1919" i="26"/>
  <c r="K1920" i="26"/>
  <c r="N1920" i="26"/>
  <c r="K1921" i="26"/>
  <c r="N1921" i="26"/>
  <c r="K1922" i="26"/>
  <c r="N1922" i="26"/>
  <c r="K1923" i="26"/>
  <c r="N1923" i="26"/>
  <c r="K1924" i="26"/>
  <c r="N1924" i="26"/>
  <c r="K1925" i="26"/>
  <c r="N1925" i="26"/>
  <c r="K1926" i="26"/>
  <c r="N1926" i="26"/>
  <c r="K1927" i="26"/>
  <c r="N1927" i="26"/>
  <c r="K1928" i="26"/>
  <c r="N1928" i="26"/>
  <c r="K1929" i="26"/>
  <c r="N1929" i="26"/>
  <c r="K1930" i="26"/>
  <c r="N1930" i="26"/>
  <c r="K1931" i="26"/>
  <c r="N1931" i="26"/>
  <c r="K1932" i="26"/>
  <c r="N1932" i="26"/>
  <c r="K1933" i="26"/>
  <c r="N1933" i="26"/>
  <c r="K1934" i="26"/>
  <c r="N1934" i="26"/>
  <c r="K1935" i="26"/>
  <c r="N1935" i="26"/>
  <c r="K1936" i="26"/>
  <c r="N1936" i="26"/>
  <c r="K1937" i="26"/>
  <c r="N1937" i="26"/>
  <c r="K1938" i="26"/>
  <c r="N1938" i="26"/>
  <c r="K1939" i="26"/>
  <c r="N1939" i="26"/>
  <c r="K1940" i="26"/>
  <c r="N1940" i="26"/>
  <c r="K1941" i="26"/>
  <c r="N1941" i="26"/>
  <c r="K1942" i="26"/>
  <c r="N1942" i="26"/>
  <c r="K1943" i="26"/>
  <c r="N1943" i="26"/>
  <c r="K1944" i="26"/>
  <c r="N1944" i="26"/>
  <c r="K1945" i="26"/>
  <c r="N1945" i="26"/>
  <c r="K1946" i="26"/>
  <c r="N1946" i="26"/>
  <c r="K1947" i="26"/>
  <c r="N1947" i="26"/>
  <c r="K1948" i="26"/>
  <c r="N1948" i="26"/>
  <c r="K1949" i="26"/>
  <c r="N1949" i="26"/>
  <c r="K1950" i="26"/>
  <c r="N1950" i="26"/>
  <c r="K1951" i="26"/>
  <c r="N1951" i="26"/>
  <c r="K1952" i="26"/>
  <c r="N1952" i="26"/>
  <c r="K1953" i="26"/>
  <c r="N1953" i="26"/>
  <c r="K1954" i="26"/>
  <c r="N1954" i="26"/>
  <c r="K1955" i="26"/>
  <c r="N1955" i="26"/>
  <c r="K1956" i="26"/>
  <c r="N1956" i="26"/>
  <c r="K1957" i="26"/>
  <c r="N1957" i="26"/>
  <c r="K1958" i="26"/>
  <c r="N1958" i="26"/>
  <c r="K1959" i="26"/>
  <c r="N1959" i="26"/>
  <c r="K1960" i="26"/>
  <c r="N1960" i="26"/>
  <c r="K1961" i="26"/>
  <c r="N1961" i="26"/>
  <c r="K1962" i="26"/>
  <c r="N1962" i="26"/>
  <c r="K1963" i="26"/>
  <c r="N1963" i="26"/>
  <c r="K1964" i="26"/>
  <c r="N1964" i="26"/>
  <c r="K1965" i="26"/>
  <c r="N1965" i="26"/>
  <c r="K1966" i="26"/>
  <c r="N1966" i="26"/>
  <c r="K1967" i="26"/>
  <c r="N1967" i="26"/>
  <c r="K1968" i="26"/>
  <c r="N1968" i="26"/>
  <c r="K1969" i="26"/>
  <c r="N1969" i="26"/>
  <c r="K1970" i="26"/>
  <c r="N1970" i="26"/>
  <c r="K1971" i="26"/>
  <c r="N1971" i="26"/>
  <c r="K1972" i="26"/>
  <c r="N1972" i="26"/>
  <c r="K1973" i="26"/>
  <c r="N1973" i="26"/>
  <c r="K1974" i="26"/>
  <c r="N1974" i="26"/>
  <c r="K1975" i="26"/>
  <c r="N1975" i="26"/>
  <c r="K1976" i="26"/>
  <c r="N1976" i="26"/>
  <c r="K1977" i="26"/>
  <c r="N1977" i="26"/>
  <c r="K1978" i="26"/>
  <c r="N1978" i="26"/>
  <c r="K1979" i="26"/>
  <c r="N1979" i="26"/>
  <c r="K1980" i="26"/>
  <c r="N1980" i="26"/>
  <c r="K1981" i="26"/>
  <c r="N1981" i="26"/>
  <c r="K1982" i="26"/>
  <c r="N1982" i="26"/>
  <c r="K1983" i="26"/>
  <c r="N1983" i="26"/>
  <c r="K1984" i="26"/>
  <c r="N1984" i="26"/>
  <c r="K1985" i="26"/>
  <c r="N1985" i="26"/>
  <c r="K1986" i="26"/>
  <c r="N1986" i="26"/>
  <c r="K1987" i="26"/>
  <c r="N1987" i="26"/>
  <c r="K1988" i="26"/>
  <c r="N1988" i="26"/>
  <c r="K1989" i="26"/>
  <c r="N1989" i="26"/>
  <c r="K1990" i="26"/>
  <c r="N1990" i="26"/>
  <c r="K1991" i="26"/>
  <c r="N1991" i="26"/>
  <c r="K1992" i="26"/>
  <c r="N1992" i="26"/>
  <c r="K1993" i="26"/>
  <c r="N1993" i="26"/>
  <c r="K1994" i="26"/>
  <c r="N1994" i="26"/>
  <c r="K1995" i="26"/>
  <c r="N1995" i="26"/>
  <c r="K1996" i="26"/>
  <c r="N1996" i="26"/>
  <c r="K1997" i="26"/>
  <c r="N1997" i="26"/>
  <c r="K1998" i="26"/>
  <c r="N1998" i="26"/>
  <c r="K1999" i="26"/>
  <c r="N1999" i="26"/>
  <c r="K2000" i="26"/>
  <c r="N2000" i="26"/>
  <c r="K2001" i="26"/>
  <c r="N2001" i="26"/>
  <c r="K2002" i="26"/>
  <c r="N2002" i="26"/>
  <c r="K2003" i="26"/>
  <c r="N2003" i="26"/>
  <c r="K2004" i="26"/>
  <c r="N2004" i="26"/>
  <c r="K2005" i="26"/>
  <c r="N2005" i="26"/>
  <c r="K2006" i="26"/>
  <c r="N2006" i="26"/>
  <c r="K2007" i="26"/>
  <c r="N2007" i="26"/>
  <c r="K2008" i="26"/>
  <c r="N2008" i="26"/>
  <c r="K2009" i="26"/>
  <c r="N2009" i="26"/>
  <c r="K2010" i="26"/>
  <c r="N2010" i="26"/>
  <c r="K2011" i="26"/>
  <c r="N2011" i="26"/>
  <c r="K2012" i="26"/>
  <c r="N2012" i="26"/>
  <c r="K2013" i="26"/>
  <c r="N2013" i="26"/>
  <c r="K2014" i="26"/>
  <c r="N2014" i="26"/>
  <c r="K2015" i="26"/>
  <c r="N2015" i="26"/>
  <c r="K2016" i="26"/>
  <c r="N2016" i="26"/>
  <c r="K2017" i="26"/>
  <c r="N2017" i="26"/>
  <c r="K2018" i="26"/>
  <c r="N2018" i="26"/>
  <c r="K2019" i="26"/>
  <c r="N2019" i="26"/>
  <c r="K2020" i="26"/>
  <c r="N2020" i="26"/>
  <c r="K2021" i="26"/>
  <c r="N2021" i="26"/>
  <c r="K2022" i="26"/>
  <c r="N2022" i="26"/>
  <c r="K2023" i="26"/>
  <c r="N2023" i="26"/>
  <c r="K2024" i="26"/>
  <c r="N2024" i="26"/>
  <c r="K2025" i="26"/>
  <c r="N2025" i="26"/>
  <c r="K2026" i="26"/>
  <c r="N2026" i="26"/>
  <c r="K2027" i="26"/>
  <c r="N2027" i="26"/>
  <c r="K2028" i="26"/>
  <c r="N2028" i="26"/>
  <c r="K2029" i="26"/>
  <c r="N2029" i="26"/>
  <c r="K2030" i="26"/>
  <c r="N2030" i="26"/>
  <c r="K2031" i="26"/>
  <c r="N2031" i="26"/>
  <c r="K2032" i="26"/>
  <c r="N2032" i="26"/>
  <c r="K2033" i="26"/>
  <c r="N2033" i="26"/>
  <c r="K2034" i="26"/>
  <c r="N2034" i="26"/>
  <c r="K2035" i="26"/>
  <c r="N2035" i="26"/>
  <c r="K2036" i="26"/>
  <c r="N2036" i="26"/>
  <c r="K2037" i="26"/>
  <c r="N2037" i="26"/>
  <c r="K2038" i="26"/>
  <c r="N2038" i="26"/>
  <c r="K2039" i="26"/>
  <c r="N2039" i="26"/>
  <c r="K2040" i="26"/>
  <c r="N2040" i="26"/>
  <c r="K2041" i="26"/>
  <c r="N2041" i="26"/>
  <c r="K2042" i="26"/>
  <c r="N2042" i="26"/>
  <c r="K2043" i="26"/>
  <c r="N2043" i="26"/>
  <c r="K2044" i="26"/>
  <c r="N2044" i="26"/>
  <c r="K2045" i="26"/>
  <c r="N2045" i="26"/>
  <c r="K2046" i="26"/>
  <c r="N2046" i="26"/>
  <c r="K2047" i="26"/>
  <c r="N2047" i="26"/>
  <c r="K2048" i="26"/>
  <c r="N2048" i="26"/>
  <c r="K2049" i="26"/>
  <c r="N2049" i="26"/>
  <c r="K2050" i="26"/>
  <c r="N2050" i="26"/>
  <c r="K2051" i="26"/>
  <c r="N2051" i="26"/>
  <c r="K2052" i="26"/>
  <c r="N2052" i="26"/>
  <c r="K2053" i="26"/>
  <c r="N2053" i="26"/>
  <c r="K2054" i="26"/>
  <c r="N2054" i="26"/>
  <c r="K2055" i="26"/>
  <c r="N2055" i="26"/>
  <c r="K2056" i="26"/>
  <c r="N2056" i="26"/>
  <c r="K2057" i="26"/>
  <c r="N2057" i="26"/>
  <c r="K2058" i="26"/>
  <c r="N2058" i="26"/>
  <c r="K2059" i="26"/>
  <c r="N2059" i="26"/>
  <c r="K2060" i="26"/>
  <c r="N2060" i="26"/>
  <c r="K2061" i="26"/>
  <c r="N2061" i="26"/>
  <c r="K2062" i="26"/>
  <c r="N2062" i="26"/>
  <c r="K2063" i="26"/>
  <c r="N2063" i="26"/>
  <c r="K2064" i="26"/>
  <c r="N2064" i="26"/>
  <c r="K2065" i="26"/>
  <c r="N2065" i="26"/>
  <c r="K2066" i="26"/>
  <c r="N2066" i="26"/>
  <c r="K2067" i="26"/>
  <c r="N2067" i="26"/>
  <c r="K2068" i="26"/>
  <c r="N2068" i="26"/>
  <c r="K2069" i="26"/>
  <c r="N2069" i="26"/>
  <c r="K2070" i="26"/>
  <c r="N2070" i="26"/>
  <c r="K2071" i="26"/>
  <c r="N2071" i="26"/>
  <c r="K2072" i="26"/>
  <c r="N2072" i="26"/>
  <c r="K2073" i="26"/>
  <c r="N2073" i="26"/>
  <c r="K2074" i="26"/>
  <c r="N2074" i="26"/>
  <c r="K2075" i="26"/>
  <c r="N2075" i="26"/>
  <c r="K2076" i="26"/>
  <c r="N2076" i="26"/>
  <c r="K2077" i="26"/>
  <c r="N2077" i="26"/>
  <c r="K2078" i="26"/>
  <c r="N2078" i="26"/>
  <c r="K2079" i="26"/>
  <c r="N2079" i="26"/>
  <c r="K2080" i="26"/>
  <c r="N2080" i="26"/>
  <c r="K2081" i="26"/>
  <c r="N2081" i="26"/>
  <c r="K2082" i="26"/>
  <c r="N2082" i="26"/>
  <c r="K2083" i="26"/>
  <c r="N2083" i="26"/>
  <c r="K2084" i="26"/>
  <c r="N2084" i="26"/>
  <c r="K2085" i="26"/>
  <c r="N2085" i="26"/>
  <c r="K2086" i="26"/>
  <c r="N2086" i="26"/>
  <c r="K2087" i="26"/>
  <c r="N2087" i="26"/>
  <c r="K2088" i="26"/>
  <c r="N2088" i="26"/>
  <c r="K2089" i="26"/>
  <c r="N2089" i="26"/>
  <c r="K2090" i="26"/>
  <c r="N2090" i="26"/>
  <c r="K2091" i="26"/>
  <c r="N2091" i="26"/>
  <c r="K2092" i="26"/>
  <c r="N2092" i="26"/>
  <c r="K2093" i="26"/>
  <c r="N2093" i="26"/>
  <c r="K2094" i="26"/>
  <c r="N2094" i="26"/>
  <c r="K2095" i="26"/>
  <c r="N2095" i="26"/>
  <c r="K2096" i="26"/>
  <c r="N2096" i="26"/>
  <c r="K2097" i="26"/>
  <c r="N2097" i="26"/>
  <c r="K2098" i="26"/>
  <c r="N2098" i="26"/>
  <c r="K2099" i="26"/>
  <c r="N2099" i="26"/>
  <c r="K2100" i="26"/>
  <c r="N2100" i="26"/>
  <c r="K2101" i="26"/>
  <c r="N2101" i="26"/>
  <c r="K2102" i="26"/>
  <c r="N2102" i="26"/>
  <c r="K2103" i="26"/>
  <c r="N2103" i="26"/>
  <c r="K2104" i="26"/>
  <c r="N2104" i="26"/>
  <c r="K2105" i="26"/>
  <c r="N2105" i="26"/>
  <c r="K2106" i="26"/>
  <c r="N2106" i="26"/>
  <c r="K2107" i="26"/>
  <c r="N2107" i="26"/>
  <c r="K2108" i="26"/>
  <c r="N2108" i="26"/>
  <c r="K2109" i="26"/>
  <c r="N2109" i="26"/>
  <c r="K2110" i="26"/>
  <c r="N2110" i="26"/>
  <c r="K2111" i="26"/>
  <c r="N2111" i="26"/>
  <c r="K2112" i="26"/>
  <c r="N2112" i="26"/>
  <c r="K2113" i="26"/>
  <c r="N2113" i="26"/>
  <c r="K2114" i="26"/>
  <c r="N2114" i="26"/>
  <c r="K2115" i="26"/>
  <c r="N2115" i="26"/>
  <c r="K2116" i="26"/>
  <c r="N2116" i="26"/>
  <c r="K2117" i="26"/>
  <c r="N2117" i="26"/>
  <c r="K2118" i="26"/>
  <c r="N2118" i="26"/>
  <c r="K2119" i="26"/>
  <c r="N2119" i="26"/>
  <c r="K2120" i="26"/>
  <c r="N2120" i="26"/>
  <c r="K2121" i="26"/>
  <c r="N2121" i="26"/>
  <c r="K2122" i="26"/>
  <c r="N2122" i="26"/>
  <c r="K2123" i="26"/>
  <c r="N2123" i="26"/>
  <c r="K2124" i="26"/>
  <c r="N2124" i="26"/>
  <c r="K2125" i="26"/>
  <c r="N2125" i="26"/>
  <c r="K2126" i="26"/>
  <c r="N2126" i="26"/>
  <c r="K2127" i="26"/>
  <c r="N2127" i="26"/>
  <c r="K2128" i="26"/>
  <c r="N2128" i="26"/>
  <c r="K2129" i="26"/>
  <c r="N2129" i="26"/>
  <c r="K2130" i="26"/>
  <c r="N2130" i="26"/>
  <c r="K2131" i="26"/>
  <c r="N2131" i="26"/>
  <c r="K2132" i="26"/>
  <c r="N2132" i="26"/>
  <c r="K2133" i="26"/>
  <c r="N2133" i="26"/>
  <c r="K2134" i="26"/>
  <c r="N2134" i="26"/>
  <c r="K2135" i="26"/>
  <c r="N2135" i="26"/>
  <c r="K2136" i="26"/>
  <c r="N2136" i="26"/>
  <c r="K2137" i="26"/>
  <c r="N2137" i="26"/>
  <c r="K2138" i="26"/>
  <c r="N2138" i="26"/>
  <c r="K2139" i="26"/>
  <c r="N2139" i="26"/>
  <c r="K2140" i="26"/>
  <c r="N2140" i="26"/>
  <c r="K2141" i="26"/>
  <c r="N2141" i="26"/>
  <c r="K2142" i="26"/>
  <c r="N2142" i="26"/>
  <c r="K2143" i="26"/>
  <c r="N2143" i="26"/>
  <c r="K2144" i="26"/>
  <c r="N2144" i="26"/>
  <c r="K2145" i="26"/>
  <c r="N2145" i="26"/>
  <c r="K2146" i="26"/>
  <c r="N2146" i="26"/>
  <c r="K2147" i="26"/>
  <c r="N2147" i="26"/>
  <c r="K2148" i="26"/>
  <c r="N2148" i="26"/>
  <c r="K2149" i="26"/>
  <c r="N2149" i="26"/>
  <c r="K2150" i="26"/>
  <c r="N2150" i="26"/>
  <c r="K2151" i="26"/>
  <c r="N2151" i="26"/>
  <c r="K2152" i="26"/>
  <c r="N2152" i="26"/>
  <c r="K2153" i="26"/>
  <c r="N2153" i="26"/>
  <c r="K2154" i="26"/>
  <c r="N2154" i="26"/>
  <c r="K2155" i="26"/>
  <c r="N2155" i="26"/>
  <c r="K2156" i="26"/>
  <c r="N2156" i="26"/>
  <c r="K2157" i="26"/>
  <c r="N2157" i="26"/>
  <c r="K2158" i="26"/>
  <c r="N2158" i="26"/>
  <c r="K2159" i="26"/>
  <c r="N2159" i="26"/>
  <c r="K2160" i="26"/>
  <c r="N2160" i="26"/>
  <c r="K2161" i="26"/>
  <c r="N2161" i="26"/>
  <c r="K2162" i="26"/>
  <c r="N2162" i="26"/>
  <c r="K2163" i="26"/>
  <c r="N2163" i="26"/>
  <c r="K2164" i="26"/>
  <c r="N2164" i="26"/>
  <c r="K2165" i="26"/>
  <c r="N2165" i="26"/>
  <c r="K2166" i="26"/>
  <c r="N2166" i="26"/>
  <c r="K2167" i="26"/>
  <c r="N2167" i="26"/>
  <c r="K2168" i="26"/>
  <c r="N2168" i="26"/>
  <c r="K2169" i="26"/>
  <c r="N2169" i="26"/>
  <c r="K2170" i="26"/>
  <c r="N2170" i="26"/>
  <c r="K2171" i="26"/>
  <c r="N2171" i="26"/>
  <c r="K2172" i="26"/>
  <c r="N2172" i="26"/>
  <c r="K2173" i="26"/>
  <c r="N2173" i="26"/>
  <c r="K2174" i="26"/>
  <c r="N2174" i="26"/>
  <c r="K2175" i="26"/>
  <c r="N2175" i="26"/>
  <c r="K2176" i="26"/>
  <c r="N2176" i="26"/>
  <c r="K2177" i="26"/>
  <c r="N2177" i="26"/>
  <c r="K2178" i="26"/>
  <c r="N2178" i="26"/>
  <c r="K2179" i="26"/>
  <c r="N2179" i="26"/>
  <c r="K2180" i="26"/>
  <c r="N2180" i="26"/>
  <c r="K2181" i="26"/>
  <c r="N2181" i="26"/>
  <c r="K2182" i="26"/>
  <c r="N2182" i="26"/>
  <c r="K2183" i="26"/>
  <c r="N2183" i="26"/>
  <c r="K2184" i="26"/>
  <c r="N2184" i="26"/>
  <c r="K2185" i="26"/>
  <c r="N2185" i="26"/>
  <c r="K2186" i="26"/>
  <c r="N2186" i="26"/>
  <c r="K2187" i="26"/>
  <c r="N2187" i="26"/>
  <c r="K2188" i="26"/>
  <c r="N2188" i="26"/>
  <c r="K2189" i="26"/>
  <c r="N2189" i="26"/>
  <c r="K2190" i="26"/>
  <c r="N2190" i="26"/>
  <c r="K2191" i="26"/>
  <c r="N2191" i="26"/>
  <c r="K2192" i="26"/>
  <c r="N2192" i="26"/>
  <c r="K2193" i="26"/>
  <c r="N2193" i="26"/>
  <c r="K2194" i="26"/>
  <c r="N2194" i="26"/>
  <c r="K2195" i="26"/>
  <c r="N2195" i="26"/>
  <c r="K2196" i="26"/>
  <c r="N2196" i="26"/>
  <c r="K2197" i="26"/>
  <c r="N2197" i="26"/>
  <c r="K2198" i="26"/>
  <c r="N2198" i="26"/>
  <c r="K2199" i="26"/>
  <c r="N2199" i="26"/>
  <c r="K2200" i="26"/>
  <c r="N2200" i="26"/>
  <c r="K2201" i="26"/>
  <c r="N2201" i="26"/>
  <c r="K2202" i="26"/>
  <c r="N2202" i="26"/>
  <c r="K2203" i="26"/>
  <c r="N2203" i="26"/>
  <c r="K2204" i="26"/>
  <c r="N2204" i="26"/>
  <c r="K2205" i="26"/>
  <c r="N2205" i="26"/>
  <c r="K2206" i="26"/>
  <c r="N2206" i="26"/>
  <c r="K2207" i="26"/>
  <c r="N2207" i="26"/>
  <c r="K2208" i="26"/>
  <c r="N2208" i="26"/>
  <c r="K2209" i="26"/>
  <c r="N2209" i="26"/>
  <c r="K2210" i="26"/>
  <c r="N2210" i="26"/>
  <c r="K2211" i="26"/>
  <c r="N2211" i="26"/>
  <c r="K2212" i="26"/>
  <c r="N2212" i="26"/>
  <c r="K2213" i="26"/>
  <c r="N2213" i="26"/>
  <c r="K2214" i="26"/>
  <c r="N2214" i="26"/>
  <c r="K2215" i="26"/>
  <c r="N2215" i="26"/>
  <c r="K2216" i="26"/>
  <c r="N2216" i="26"/>
  <c r="K2217" i="26"/>
  <c r="N2217" i="26"/>
  <c r="K2218" i="26"/>
  <c r="N2218" i="26"/>
  <c r="K2219" i="26"/>
  <c r="N2219" i="26"/>
  <c r="K2220" i="26"/>
  <c r="N2220" i="26"/>
  <c r="K2221" i="26"/>
  <c r="N2221" i="26"/>
  <c r="K2222" i="26"/>
  <c r="N2222" i="26"/>
  <c r="K2223" i="26"/>
  <c r="N2223" i="26"/>
  <c r="K2224" i="26"/>
  <c r="N2224" i="26"/>
  <c r="K2225" i="26"/>
  <c r="N2225" i="26"/>
  <c r="K2226" i="26"/>
  <c r="N2226" i="26"/>
  <c r="K2227" i="26"/>
  <c r="N2227" i="26"/>
  <c r="K2228" i="26"/>
  <c r="N2228" i="26"/>
  <c r="K2229" i="26"/>
  <c r="N2229" i="26"/>
  <c r="K2230" i="26"/>
  <c r="N2230" i="26"/>
  <c r="K2231" i="26"/>
  <c r="N2231" i="26"/>
  <c r="K2232" i="26"/>
  <c r="N2232" i="26"/>
  <c r="K2233" i="26"/>
  <c r="N2233" i="26"/>
  <c r="K2234" i="26"/>
  <c r="N2234" i="26"/>
  <c r="K2235" i="26"/>
  <c r="N2235" i="26"/>
  <c r="K2236" i="26"/>
  <c r="N2236" i="26"/>
  <c r="K2237" i="26"/>
  <c r="N2237" i="26"/>
  <c r="K2238" i="26"/>
  <c r="N2238" i="26"/>
  <c r="K2239" i="26"/>
  <c r="N2239" i="26"/>
  <c r="K2240" i="26"/>
  <c r="N2240" i="26"/>
  <c r="K2241" i="26"/>
  <c r="N2241" i="26"/>
  <c r="K2242" i="26"/>
  <c r="N2242" i="26"/>
  <c r="K2243" i="26"/>
  <c r="N2243" i="26"/>
  <c r="K2244" i="26"/>
  <c r="N2244" i="26"/>
  <c r="K2245" i="26"/>
  <c r="N2245" i="26"/>
  <c r="K2246" i="26"/>
  <c r="N2246" i="26"/>
  <c r="K2247" i="26"/>
  <c r="N2247" i="26"/>
  <c r="K2248" i="26"/>
  <c r="N2248" i="26"/>
  <c r="K2249" i="26"/>
  <c r="N2249" i="26"/>
  <c r="K2250" i="26"/>
  <c r="N2250" i="26"/>
  <c r="K2251" i="26"/>
  <c r="N2251" i="26"/>
  <c r="K2252" i="26"/>
  <c r="N2252" i="26"/>
  <c r="K2253" i="26"/>
  <c r="N2253" i="26"/>
  <c r="K2254" i="26"/>
  <c r="N2254" i="26"/>
  <c r="K2255" i="26"/>
  <c r="N2255" i="26"/>
  <c r="K2256" i="26"/>
  <c r="N2256" i="26"/>
  <c r="K2257" i="26"/>
  <c r="N2257" i="26"/>
  <c r="K2258" i="26"/>
  <c r="N2258" i="26"/>
  <c r="K2259" i="26"/>
  <c r="N2259" i="26"/>
  <c r="K2260" i="26"/>
  <c r="N2260" i="26"/>
  <c r="K2261" i="26"/>
  <c r="N2261" i="26"/>
  <c r="K2262" i="26"/>
  <c r="N2262" i="26"/>
  <c r="K2263" i="26"/>
  <c r="N2263" i="26"/>
  <c r="K2264" i="26"/>
  <c r="N2264" i="26"/>
  <c r="K2265" i="26"/>
  <c r="N2265" i="26"/>
  <c r="K2266" i="26"/>
  <c r="N2266" i="26"/>
  <c r="K2267" i="26"/>
  <c r="N2267" i="26"/>
  <c r="K2268" i="26"/>
  <c r="N2268" i="26"/>
  <c r="K2269" i="26"/>
  <c r="N2269" i="26"/>
  <c r="K2270" i="26"/>
  <c r="N2270" i="26"/>
  <c r="K2271" i="26"/>
  <c r="N2271" i="26"/>
  <c r="K2272" i="26"/>
  <c r="N2272" i="26"/>
  <c r="K2273" i="26"/>
  <c r="N2273" i="26"/>
  <c r="K2274" i="26"/>
  <c r="N2274" i="26"/>
  <c r="K2275" i="26"/>
  <c r="N2275" i="26"/>
  <c r="K2276" i="26"/>
  <c r="N2276" i="26"/>
  <c r="K2277" i="26"/>
  <c r="N2277" i="26"/>
  <c r="K2278" i="26"/>
  <c r="N2278" i="26"/>
  <c r="K2279" i="26"/>
  <c r="N2279" i="26"/>
  <c r="K2280" i="26"/>
  <c r="N2280" i="26"/>
  <c r="K2281" i="26"/>
  <c r="N2281" i="26"/>
  <c r="K2282" i="26"/>
  <c r="N2282" i="26"/>
  <c r="K2283" i="26"/>
  <c r="N2283" i="26"/>
  <c r="K2284" i="26"/>
  <c r="N2284" i="26"/>
  <c r="K2285" i="26"/>
  <c r="N2285" i="26"/>
  <c r="K2286" i="26"/>
  <c r="N2286" i="26"/>
  <c r="K2287" i="26"/>
  <c r="N2287" i="26"/>
  <c r="K2288" i="26"/>
  <c r="N2288" i="26"/>
  <c r="K2289" i="26"/>
  <c r="N2289" i="26"/>
  <c r="K2290" i="26"/>
  <c r="N2290" i="26"/>
  <c r="K2291" i="26"/>
  <c r="N2291" i="26"/>
  <c r="K2292" i="26"/>
  <c r="N2292" i="26"/>
  <c r="K2293" i="26"/>
  <c r="N2293" i="26"/>
  <c r="K2294" i="26"/>
  <c r="N2294" i="26"/>
  <c r="K2295" i="26"/>
  <c r="N2295" i="26"/>
  <c r="K2296" i="26"/>
  <c r="N2296" i="26"/>
  <c r="K2297" i="26"/>
  <c r="N2297" i="26"/>
  <c r="K2298" i="26"/>
  <c r="N2298" i="26"/>
  <c r="K2299" i="26"/>
  <c r="N2299" i="26"/>
  <c r="K2300" i="26"/>
  <c r="N2300" i="26"/>
  <c r="K2301" i="26"/>
  <c r="N2301" i="26"/>
  <c r="K2302" i="26"/>
  <c r="N2302" i="26"/>
  <c r="K2303" i="26"/>
  <c r="N2303" i="26"/>
  <c r="K2304" i="26"/>
  <c r="N2304" i="26"/>
  <c r="K2305" i="26"/>
  <c r="N2305" i="26"/>
  <c r="K2306" i="26"/>
  <c r="N2306" i="26"/>
  <c r="K2307" i="26"/>
  <c r="N2307" i="26"/>
  <c r="K2308" i="26"/>
  <c r="N2308" i="26"/>
  <c r="K2309" i="26"/>
  <c r="N2309" i="26"/>
  <c r="K2310" i="26"/>
  <c r="N2310" i="26"/>
  <c r="K2311" i="26"/>
  <c r="N2311" i="26"/>
  <c r="K2312" i="26"/>
  <c r="N2312" i="26"/>
  <c r="K2313" i="26"/>
  <c r="N2313" i="26"/>
  <c r="K2314" i="26"/>
  <c r="N2314" i="26"/>
  <c r="K2315" i="26"/>
  <c r="N2315" i="26"/>
  <c r="K2316" i="26"/>
  <c r="N2316" i="26"/>
  <c r="K2317" i="26"/>
  <c r="N2317" i="26"/>
  <c r="K2318" i="26"/>
  <c r="N2318" i="26"/>
  <c r="K2319" i="26"/>
  <c r="N2319" i="26"/>
  <c r="K2320" i="26"/>
  <c r="N2320" i="26"/>
  <c r="K2321" i="26"/>
  <c r="N2321" i="26"/>
  <c r="K2322" i="26"/>
  <c r="N2322" i="26"/>
  <c r="K2323" i="26"/>
  <c r="N2323" i="26"/>
  <c r="K2324" i="26"/>
  <c r="N2324" i="26"/>
  <c r="K2325" i="26"/>
  <c r="N2325" i="26"/>
  <c r="K2326" i="26"/>
  <c r="N2326" i="26"/>
  <c r="K2327" i="26"/>
  <c r="N2327" i="26"/>
  <c r="K2328" i="26"/>
  <c r="N2328" i="26"/>
  <c r="K2329" i="26"/>
  <c r="N2329" i="26"/>
  <c r="K2330" i="26"/>
  <c r="N2330" i="26"/>
  <c r="K2331" i="26"/>
  <c r="N2331" i="26"/>
  <c r="K2332" i="26"/>
  <c r="N2332" i="26"/>
  <c r="K2333" i="26"/>
  <c r="N2333" i="26"/>
  <c r="K2334" i="26"/>
  <c r="N2334" i="26"/>
  <c r="K2335" i="26"/>
  <c r="N2335" i="26"/>
  <c r="K2336" i="26"/>
  <c r="N2336" i="26"/>
  <c r="K2337" i="26"/>
  <c r="N2337" i="26"/>
  <c r="K2338" i="26"/>
  <c r="N2338" i="26"/>
  <c r="K2339" i="26"/>
  <c r="N2339" i="26"/>
  <c r="K2340" i="26"/>
  <c r="N2340" i="26"/>
  <c r="K2341" i="26"/>
  <c r="N2341" i="26"/>
  <c r="K2342" i="26"/>
  <c r="N2342" i="26"/>
  <c r="K2343" i="26"/>
  <c r="N2343" i="26"/>
  <c r="K2344" i="26"/>
  <c r="N2344" i="26"/>
  <c r="K2345" i="26"/>
  <c r="N2345" i="26"/>
  <c r="K2346" i="26"/>
  <c r="N2346" i="26"/>
  <c r="K2347" i="26"/>
  <c r="N2347" i="26"/>
  <c r="K2348" i="26"/>
  <c r="N2348" i="26"/>
  <c r="K2349" i="26"/>
  <c r="N2349" i="26"/>
  <c r="K2350" i="26"/>
  <c r="N2350" i="26"/>
  <c r="K2351" i="26"/>
  <c r="N2351" i="26"/>
  <c r="K2352" i="26"/>
  <c r="N2352" i="26"/>
  <c r="K2353" i="26"/>
  <c r="N2353" i="26"/>
  <c r="K2354" i="26"/>
  <c r="N2354" i="26"/>
  <c r="K2355" i="26"/>
  <c r="N2355" i="26"/>
  <c r="K2356" i="26"/>
  <c r="N2356" i="26"/>
  <c r="K2357" i="26"/>
  <c r="N2357" i="26"/>
  <c r="K2358" i="26"/>
  <c r="N2358" i="26"/>
  <c r="K2359" i="26"/>
  <c r="N2359" i="26"/>
  <c r="K2360" i="26"/>
  <c r="N2360" i="26"/>
  <c r="K2361" i="26"/>
  <c r="N2361" i="26"/>
  <c r="K2362" i="26"/>
  <c r="N2362" i="26"/>
  <c r="K2363" i="26"/>
  <c r="N2363" i="26"/>
  <c r="K2364" i="26"/>
  <c r="N2364" i="26"/>
  <c r="K2365" i="26"/>
  <c r="N2365" i="26"/>
  <c r="K2366" i="26"/>
  <c r="N2366" i="26"/>
  <c r="K2367" i="26"/>
  <c r="N2367" i="26"/>
  <c r="K2368" i="26"/>
  <c r="N2368" i="26"/>
  <c r="K2369" i="26"/>
  <c r="N2369" i="26"/>
  <c r="K2370" i="26"/>
  <c r="N2370" i="26"/>
  <c r="K2371" i="26"/>
  <c r="N2371" i="26"/>
  <c r="K2372" i="26"/>
  <c r="N2372" i="26"/>
  <c r="K2373" i="26"/>
  <c r="N2373" i="26"/>
  <c r="K2374" i="26"/>
  <c r="N2374" i="26"/>
  <c r="K2375" i="26"/>
  <c r="N2375" i="26"/>
  <c r="K2376" i="26"/>
  <c r="N2376" i="26"/>
  <c r="K2377" i="26"/>
  <c r="N2377" i="26"/>
  <c r="K2378" i="26"/>
  <c r="N2378" i="26"/>
  <c r="K2379" i="26"/>
  <c r="N2379" i="26"/>
  <c r="K2380" i="26"/>
  <c r="N2380" i="26"/>
  <c r="K2381" i="26"/>
  <c r="N2381" i="26"/>
  <c r="K2382" i="26"/>
  <c r="N2382" i="26"/>
  <c r="K2383" i="26"/>
  <c r="N2383" i="26"/>
  <c r="K2384" i="26"/>
  <c r="N2384" i="26"/>
  <c r="K2385" i="26"/>
  <c r="N2385" i="26"/>
  <c r="K2386" i="26"/>
  <c r="N2386" i="26"/>
  <c r="K2387" i="26"/>
  <c r="N2387" i="26"/>
  <c r="K2388" i="26"/>
  <c r="N2388" i="26"/>
  <c r="K2389" i="26"/>
  <c r="N2389" i="26"/>
  <c r="K2390" i="26"/>
  <c r="N2390" i="26"/>
  <c r="K2391" i="26"/>
  <c r="N2391" i="26"/>
  <c r="K2392" i="26"/>
  <c r="N2392" i="26"/>
  <c r="K2393" i="26"/>
  <c r="N2393" i="26"/>
  <c r="K2394" i="26"/>
  <c r="N2394" i="26"/>
  <c r="K2395" i="26"/>
  <c r="N2395" i="26"/>
  <c r="K2396" i="26"/>
  <c r="N2396" i="26"/>
  <c r="K2397" i="26"/>
  <c r="N2397" i="26"/>
  <c r="K2398" i="26"/>
  <c r="N2398" i="26"/>
  <c r="K2399" i="26"/>
  <c r="N2399" i="26"/>
  <c r="K2400" i="26"/>
  <c r="N2400" i="26"/>
  <c r="K2401" i="26"/>
  <c r="N2401" i="26"/>
  <c r="K2402" i="26"/>
  <c r="N2402" i="26"/>
  <c r="K2403" i="26"/>
  <c r="N2403" i="26"/>
  <c r="K2404" i="26"/>
  <c r="N2404" i="26"/>
  <c r="K2405" i="26"/>
  <c r="N2405" i="26"/>
  <c r="K2406" i="26"/>
  <c r="N2406" i="26"/>
  <c r="K2407" i="26"/>
  <c r="N2407" i="26"/>
  <c r="K2408" i="26"/>
  <c r="N2408" i="26"/>
  <c r="K2409" i="26"/>
  <c r="N2409" i="26"/>
  <c r="K2410" i="26"/>
  <c r="N2410" i="26"/>
  <c r="K2411" i="26"/>
  <c r="N2411" i="26"/>
  <c r="K2412" i="26"/>
  <c r="N2412" i="26"/>
  <c r="K2413" i="26"/>
  <c r="N2413" i="26"/>
  <c r="K2414" i="26"/>
  <c r="N2414" i="26"/>
  <c r="K2415" i="26"/>
  <c r="N2415" i="26"/>
  <c r="K2416" i="26"/>
  <c r="N2416" i="26"/>
  <c r="K2417" i="26"/>
  <c r="N2417" i="26"/>
  <c r="K2418" i="26"/>
  <c r="N2418" i="26"/>
  <c r="K2419" i="26"/>
  <c r="N2419" i="26"/>
  <c r="K2420" i="26"/>
  <c r="N2420" i="26"/>
  <c r="K2421" i="26"/>
  <c r="N2421" i="26"/>
  <c r="K2422" i="26"/>
  <c r="N2422" i="26"/>
  <c r="K2423" i="26"/>
  <c r="N2423" i="26"/>
  <c r="K2424" i="26"/>
  <c r="N2424" i="26"/>
  <c r="K2425" i="26"/>
  <c r="N2425" i="26"/>
  <c r="K2426" i="26"/>
  <c r="N2426" i="26"/>
  <c r="K2427" i="26"/>
  <c r="N2427" i="26"/>
  <c r="K2428" i="26"/>
  <c r="N2428" i="26"/>
  <c r="K2429" i="26"/>
  <c r="N2429" i="26"/>
  <c r="K2430" i="26"/>
  <c r="N2430" i="26"/>
  <c r="K2431" i="26"/>
  <c r="N2431" i="26"/>
  <c r="K2432" i="26"/>
  <c r="N2432" i="26"/>
  <c r="K2433" i="26"/>
  <c r="N2433" i="26"/>
  <c r="K2434" i="26"/>
  <c r="N2434" i="26"/>
  <c r="K2435" i="26"/>
  <c r="N2435" i="26"/>
  <c r="K2436" i="26"/>
  <c r="N2436" i="26"/>
  <c r="K2437" i="26"/>
  <c r="N2437" i="26"/>
  <c r="K2438" i="26"/>
  <c r="N2438" i="26"/>
  <c r="K2439" i="26"/>
  <c r="N2439" i="26"/>
  <c r="K2440" i="26"/>
  <c r="N2440" i="26"/>
  <c r="K2441" i="26"/>
  <c r="N2441" i="26"/>
  <c r="K2442" i="26"/>
  <c r="N2442" i="26"/>
  <c r="K2443" i="26"/>
  <c r="N2443" i="26"/>
  <c r="K2444" i="26"/>
  <c r="N2444" i="26"/>
  <c r="K2445" i="26"/>
  <c r="N2445" i="26"/>
  <c r="K2446" i="26"/>
  <c r="N2446" i="26"/>
  <c r="K2447" i="26"/>
  <c r="N2447" i="26"/>
  <c r="K2448" i="26"/>
  <c r="N2448" i="26"/>
  <c r="K2449" i="26"/>
  <c r="N2449" i="26"/>
  <c r="K2450" i="26"/>
  <c r="N2450" i="26"/>
  <c r="K2451" i="26"/>
  <c r="N2451" i="26"/>
  <c r="K2452" i="26"/>
  <c r="N2452" i="26"/>
  <c r="K2453" i="26"/>
  <c r="N2453" i="26"/>
  <c r="K2454" i="26"/>
  <c r="N2454" i="26"/>
  <c r="K2455" i="26"/>
  <c r="N2455" i="26"/>
  <c r="K2456" i="26"/>
  <c r="N2456" i="26"/>
  <c r="K2457" i="26"/>
  <c r="N2457" i="26"/>
  <c r="K2458" i="26"/>
  <c r="N2458" i="26"/>
  <c r="K2459" i="26"/>
  <c r="N2459" i="26"/>
  <c r="K2460" i="26"/>
  <c r="N2460" i="26"/>
  <c r="K2461" i="26"/>
  <c r="N2461" i="26"/>
  <c r="K2462" i="26"/>
  <c r="N2462" i="26"/>
  <c r="K2463" i="26"/>
  <c r="N2463" i="26"/>
  <c r="K2464" i="26"/>
  <c r="N2464" i="26"/>
  <c r="K2465" i="26"/>
  <c r="N2465" i="26"/>
  <c r="K2466" i="26"/>
  <c r="N2466" i="26"/>
  <c r="K2467" i="26"/>
  <c r="N2467" i="26"/>
  <c r="K2468" i="26"/>
  <c r="N2468" i="26"/>
  <c r="K2469" i="26"/>
  <c r="N2469" i="26"/>
  <c r="K2470" i="26"/>
  <c r="N2470" i="26"/>
  <c r="K2471" i="26"/>
  <c r="N2471" i="26"/>
  <c r="K2472" i="26"/>
  <c r="N2472" i="26"/>
  <c r="K2473" i="26"/>
  <c r="N2473" i="26"/>
  <c r="K2474" i="26"/>
  <c r="N2474" i="26"/>
  <c r="K2475" i="26"/>
  <c r="N2475" i="26"/>
  <c r="K2476" i="26"/>
  <c r="N2476" i="26"/>
  <c r="K2477" i="26"/>
  <c r="N2477" i="26"/>
  <c r="K2478" i="26"/>
  <c r="N2478" i="26"/>
  <c r="K2479" i="26"/>
  <c r="N2479" i="26"/>
  <c r="K2480" i="26"/>
  <c r="N2480" i="26"/>
  <c r="K2481" i="26"/>
  <c r="N2481" i="26"/>
  <c r="K2482" i="26"/>
  <c r="N2482" i="26"/>
  <c r="K2483" i="26"/>
  <c r="N2483" i="26"/>
  <c r="K2484" i="26"/>
  <c r="N2484" i="26"/>
  <c r="K2485" i="26"/>
  <c r="N2485" i="26"/>
  <c r="K2486" i="26"/>
  <c r="N2486" i="26"/>
  <c r="K2487" i="26"/>
  <c r="N2487" i="26"/>
  <c r="K2488" i="26"/>
  <c r="N2488" i="26"/>
  <c r="K2489" i="26"/>
  <c r="N2489" i="26"/>
  <c r="K2490" i="26"/>
  <c r="N2490" i="26"/>
  <c r="K2491" i="26"/>
  <c r="N2491" i="26"/>
  <c r="K2492" i="26"/>
  <c r="N2492" i="26"/>
  <c r="K2493" i="26"/>
  <c r="N2493" i="26"/>
  <c r="K2494" i="26"/>
  <c r="N2494" i="26"/>
  <c r="K2495" i="26"/>
  <c r="N2495" i="26"/>
  <c r="K2496" i="26"/>
  <c r="N2496" i="26"/>
  <c r="K2497" i="26"/>
  <c r="N2497" i="26"/>
  <c r="K2498" i="26"/>
  <c r="N2498" i="26"/>
  <c r="K2499" i="26"/>
  <c r="N2499" i="26"/>
  <c r="K2500" i="26"/>
  <c r="N2500" i="26"/>
  <c r="K2501" i="26"/>
  <c r="N2501" i="26"/>
  <c r="K2502" i="26"/>
  <c r="N2502" i="26"/>
  <c r="K2503" i="26"/>
  <c r="N2503" i="26"/>
  <c r="K2504" i="26"/>
  <c r="N2504" i="26"/>
  <c r="K2505" i="26"/>
  <c r="N2505" i="26"/>
  <c r="K2506" i="26"/>
  <c r="N2506" i="26"/>
  <c r="K2507" i="26"/>
  <c r="N2507" i="26"/>
  <c r="K2508" i="26"/>
  <c r="N2508" i="26"/>
  <c r="K2509" i="26"/>
  <c r="N2509" i="26"/>
  <c r="K2510" i="26"/>
  <c r="N2510" i="26"/>
  <c r="K2511" i="26"/>
  <c r="N2511" i="26"/>
  <c r="K2512" i="26"/>
  <c r="N2512" i="26"/>
  <c r="K2513" i="26"/>
  <c r="N2513" i="26"/>
  <c r="K2514" i="26"/>
  <c r="N2514" i="26"/>
  <c r="K2515" i="26"/>
  <c r="N2515" i="26"/>
  <c r="K2516" i="26"/>
  <c r="N2516" i="26"/>
  <c r="K2517" i="26"/>
  <c r="N2517" i="26"/>
  <c r="K2518" i="26"/>
  <c r="N2518" i="26"/>
  <c r="K2519" i="26"/>
  <c r="N2519" i="26"/>
  <c r="K2520" i="26"/>
  <c r="N2520" i="26"/>
  <c r="K2521" i="26"/>
  <c r="N2521" i="26"/>
  <c r="K2522" i="26"/>
  <c r="N2522" i="26"/>
  <c r="K2523" i="26"/>
  <c r="N2523" i="26"/>
  <c r="K2524" i="26"/>
  <c r="N2524" i="26"/>
  <c r="K2525" i="26"/>
  <c r="N2525" i="26"/>
  <c r="K2526" i="26"/>
  <c r="N2526" i="26"/>
  <c r="K2527" i="26"/>
  <c r="N2527" i="26"/>
  <c r="K2528" i="26"/>
  <c r="N2528" i="26"/>
  <c r="K2529" i="26"/>
  <c r="N2529" i="26"/>
  <c r="K2530" i="26"/>
  <c r="N2530" i="26"/>
  <c r="K2531" i="26"/>
  <c r="N2531" i="26"/>
  <c r="K2532" i="26"/>
  <c r="N2532" i="26"/>
  <c r="K2533" i="26"/>
  <c r="N2533" i="26"/>
  <c r="K2534" i="26"/>
  <c r="N2534" i="26"/>
  <c r="K2535" i="26"/>
  <c r="N2535" i="26"/>
  <c r="K2536" i="26"/>
  <c r="N2536" i="26"/>
  <c r="K2537" i="26"/>
  <c r="N2537" i="26"/>
  <c r="K2538" i="26"/>
  <c r="N2538" i="26"/>
  <c r="K2539" i="26"/>
  <c r="N2539" i="26"/>
  <c r="K2540" i="26"/>
  <c r="N2540" i="26"/>
  <c r="K2541" i="26"/>
  <c r="N2541" i="26"/>
  <c r="K2542" i="26"/>
  <c r="N2542" i="26"/>
  <c r="K2543" i="26"/>
  <c r="N2543" i="26"/>
  <c r="K2544" i="26"/>
  <c r="N2544" i="26"/>
  <c r="K2545" i="26"/>
  <c r="N2545" i="26"/>
  <c r="K2546" i="26"/>
  <c r="N2546" i="26"/>
  <c r="K2547" i="26"/>
  <c r="N2547" i="26"/>
  <c r="K2548" i="26"/>
  <c r="N2548" i="26"/>
  <c r="K2549" i="26"/>
  <c r="N2549" i="26"/>
  <c r="K2550" i="26"/>
  <c r="N2550" i="26"/>
  <c r="K2551" i="26"/>
  <c r="N2551" i="26"/>
  <c r="K2552" i="26"/>
  <c r="N2552" i="26"/>
  <c r="K2553" i="26"/>
  <c r="N2553" i="26"/>
  <c r="K2554" i="26"/>
  <c r="N2554" i="26"/>
  <c r="K2555" i="26"/>
  <c r="N2555" i="26"/>
  <c r="K2556" i="26"/>
  <c r="N2556" i="26"/>
  <c r="K2557" i="26"/>
  <c r="N2557" i="26"/>
  <c r="K2558" i="26"/>
  <c r="N2558" i="26"/>
  <c r="K2559" i="26"/>
  <c r="N2559" i="26"/>
  <c r="K2560" i="26"/>
  <c r="N2560" i="26"/>
  <c r="K2561" i="26"/>
  <c r="N2561" i="26"/>
  <c r="K2562" i="26"/>
  <c r="N2562" i="26"/>
  <c r="K2563" i="26"/>
  <c r="N2563" i="26"/>
  <c r="K2564" i="26"/>
  <c r="N2564" i="26"/>
  <c r="K2565" i="26"/>
  <c r="N2565" i="26"/>
  <c r="K2566" i="26"/>
  <c r="N2566" i="26"/>
  <c r="K2567" i="26"/>
  <c r="N2567" i="26"/>
  <c r="K2568" i="26"/>
  <c r="N2568" i="26"/>
  <c r="K2569" i="26"/>
  <c r="N2569" i="26"/>
  <c r="K2570" i="26"/>
  <c r="N2570" i="26"/>
  <c r="K2571" i="26"/>
  <c r="N2571" i="26"/>
  <c r="K2572" i="26"/>
  <c r="N2572" i="26"/>
  <c r="K2573" i="26"/>
  <c r="N2573" i="26"/>
  <c r="K2574" i="26"/>
  <c r="N2574" i="26"/>
  <c r="K2575" i="26"/>
  <c r="N2575" i="26"/>
  <c r="K2576" i="26"/>
  <c r="N2576" i="26"/>
  <c r="K2577" i="26"/>
  <c r="N2577" i="26"/>
  <c r="K2578" i="26"/>
  <c r="N2578" i="26"/>
  <c r="D47" i="5"/>
  <c r="E47" i="5"/>
  <c r="F47" i="5"/>
  <c r="D48" i="5"/>
  <c r="E48" i="5"/>
  <c r="F48" i="5"/>
  <c r="D54" i="5"/>
  <c r="D55" i="5"/>
  <c r="Y2" i="22"/>
  <c r="Z2" i="22"/>
  <c r="AE2" i="22"/>
  <c r="AF2" i="22"/>
  <c r="AK2" i="22"/>
  <c r="AL2" i="22"/>
  <c r="AU2" i="22"/>
  <c r="AV2" i="22"/>
  <c r="Y3" i="22"/>
  <c r="Z3" i="22"/>
  <c r="AE3" i="22"/>
  <c r="AF3" i="22"/>
  <c r="AK3" i="22"/>
  <c r="AL3" i="22"/>
  <c r="AU3" i="22"/>
  <c r="AV3" i="22"/>
  <c r="Y4" i="22"/>
  <c r="Z4" i="22"/>
  <c r="AE4" i="22"/>
  <c r="AF4" i="22"/>
  <c r="AK4" i="22"/>
  <c r="AL4" i="22"/>
  <c r="AU4" i="22"/>
  <c r="AV4" i="22"/>
  <c r="Y5" i="22"/>
  <c r="Z5" i="22"/>
  <c r="AE5" i="22"/>
  <c r="AF5" i="22"/>
  <c r="AK5" i="22"/>
  <c r="AL5" i="22"/>
  <c r="AU5" i="22"/>
  <c r="AV5" i="22"/>
  <c r="Y6" i="22"/>
  <c r="Z6" i="22"/>
  <c r="AE6" i="22"/>
  <c r="AF6" i="22"/>
  <c r="AK6" i="22"/>
  <c r="AL6" i="22"/>
  <c r="AU6" i="22"/>
  <c r="AV6" i="22"/>
  <c r="Y7" i="22"/>
  <c r="Z7" i="22"/>
  <c r="AE7" i="22"/>
  <c r="AF7" i="22"/>
  <c r="AK7" i="22"/>
  <c r="AL7" i="22"/>
  <c r="AU7" i="22"/>
  <c r="AV7" i="22"/>
  <c r="Y8" i="22"/>
  <c r="Z8" i="22"/>
  <c r="AE8" i="22"/>
  <c r="AF8" i="22"/>
  <c r="AK8" i="22"/>
  <c r="AL8" i="22"/>
  <c r="AU8" i="22"/>
  <c r="AV8" i="22"/>
  <c r="Y9" i="22"/>
  <c r="Z9" i="22"/>
  <c r="AE9" i="22"/>
  <c r="AF9" i="22"/>
  <c r="AK9" i="22"/>
  <c r="AL9" i="22"/>
  <c r="AU9" i="22"/>
  <c r="AV9" i="22"/>
  <c r="Y10" i="22"/>
  <c r="Z10" i="22"/>
  <c r="AE10" i="22"/>
  <c r="AF10" i="22"/>
  <c r="AK10" i="22"/>
  <c r="AL10" i="22"/>
  <c r="AU10" i="22"/>
  <c r="AV10" i="22"/>
  <c r="Y11" i="22"/>
  <c r="Z11" i="22"/>
  <c r="AE11" i="22"/>
  <c r="AF11" i="22"/>
  <c r="Y12" i="22"/>
  <c r="Z12" i="22"/>
  <c r="AE12" i="22"/>
  <c r="AF12" i="22"/>
  <c r="Y13" i="22"/>
  <c r="Z13" i="22"/>
  <c r="AE13" i="22"/>
  <c r="AF13" i="22"/>
  <c r="Z14" i="22"/>
  <c r="AF14" i="22"/>
  <c r="Z15" i="22"/>
  <c r="AF15" i="22"/>
  <c r="Z16" i="22"/>
  <c r="AF16" i="22"/>
  <c r="Z17" i="22"/>
  <c r="AF17" i="22"/>
  <c r="Z18" i="22"/>
  <c r="AF18" i="22"/>
  <c r="Z19" i="22"/>
  <c r="AF19" i="22"/>
  <c r="Z20" i="22"/>
  <c r="AF20" i="22"/>
  <c r="Z21" i="22"/>
  <c r="AF21" i="22"/>
  <c r="Z22" i="22"/>
  <c r="AF22" i="22"/>
  <c r="Z23" i="22"/>
  <c r="AF23" i="22"/>
  <c r="Z24" i="22"/>
  <c r="AF24" i="22"/>
  <c r="Z25" i="22"/>
  <c r="AF25" i="22"/>
  <c r="Y26" i="22"/>
  <c r="Z26" i="22"/>
  <c r="AE26" i="22"/>
  <c r="AF26" i="22"/>
  <c r="Y27" i="22"/>
  <c r="Z27" i="22"/>
  <c r="AE27" i="22"/>
  <c r="AF27" i="22"/>
  <c r="Y28" i="22"/>
  <c r="Z28" i="22"/>
  <c r="AE28" i="22"/>
  <c r="AF28" i="22"/>
  <c r="Y29" i="22"/>
  <c r="Z29" i="22"/>
  <c r="AE29" i="22"/>
  <c r="AF29" i="22"/>
  <c r="Y30" i="22"/>
  <c r="Z30" i="22"/>
  <c r="AE30" i="22"/>
  <c r="AF30" i="22"/>
  <c r="Y31" i="22"/>
  <c r="Z31" i="22"/>
  <c r="AE31" i="22"/>
  <c r="AF31" i="22"/>
  <c r="Y32" i="22"/>
  <c r="Z32" i="22"/>
  <c r="AE32" i="22"/>
  <c r="AF32" i="22"/>
  <c r="Y33" i="22"/>
  <c r="Z33" i="22"/>
  <c r="AE33" i="22"/>
  <c r="AF33" i="22"/>
  <c r="Y34" i="22"/>
  <c r="Z34" i="22"/>
  <c r="AE34" i="22"/>
  <c r="AF34" i="22"/>
  <c r="Y35" i="22"/>
  <c r="Z35" i="22"/>
  <c r="AE35" i="22"/>
  <c r="AF35" i="22"/>
  <c r="Y36" i="22"/>
  <c r="Z36" i="22"/>
  <c r="AE36" i="22"/>
  <c r="AF36" i="22"/>
  <c r="Y37" i="22"/>
  <c r="Z37" i="22"/>
  <c r="AE37" i="22"/>
  <c r="AF37" i="22"/>
  <c r="Y38" i="22"/>
  <c r="Z38" i="22"/>
  <c r="AE38" i="22"/>
  <c r="AF38" i="22"/>
  <c r="Y39" i="22"/>
  <c r="Z39" i="22"/>
  <c r="AE39" i="22"/>
  <c r="AF39" i="22"/>
  <c r="Y40" i="22"/>
  <c r="Z40" i="22"/>
  <c r="AE40" i="22"/>
  <c r="AF40" i="22"/>
  <c r="Y41" i="22"/>
  <c r="Z41" i="22"/>
  <c r="AE41" i="22"/>
  <c r="AF41" i="22"/>
  <c r="Y42" i="22"/>
  <c r="Z42" i="22"/>
  <c r="AE42" i="22"/>
  <c r="AF42" i="22"/>
  <c r="Y43" i="22"/>
  <c r="Z43" i="22"/>
  <c r="AE43" i="22"/>
  <c r="AF43" i="22"/>
  <c r="Y44" i="22"/>
  <c r="Z44" i="22"/>
  <c r="AE44" i="22"/>
  <c r="AF44" i="22"/>
  <c r="Y45" i="22"/>
  <c r="Z45" i="22"/>
  <c r="AE45" i="22"/>
  <c r="AF45" i="22"/>
  <c r="Y46" i="22"/>
  <c r="Z46" i="22"/>
  <c r="AE46" i="22"/>
  <c r="AF46" i="22"/>
  <c r="Y47" i="22"/>
  <c r="Z47" i="22"/>
  <c r="AE47" i="22"/>
  <c r="AF47" i="22"/>
  <c r="Y48" i="22"/>
  <c r="Z48" i="22"/>
  <c r="AE48" i="22"/>
  <c r="AF48" i="22"/>
  <c r="Y49" i="22"/>
  <c r="Z49" i="22"/>
  <c r="AE49" i="22"/>
  <c r="AF49" i="22"/>
  <c r="Z50" i="22"/>
  <c r="AF50" i="22"/>
  <c r="Z51" i="22"/>
  <c r="AF51" i="22"/>
  <c r="Z52" i="22"/>
  <c r="AF52" i="22"/>
  <c r="Z53" i="22"/>
  <c r="AF53" i="22"/>
  <c r="Z54" i="22"/>
  <c r="AF54" i="22"/>
  <c r="Z55" i="22"/>
  <c r="AF55" i="22"/>
  <c r="Z56" i="22"/>
  <c r="AF56" i="22"/>
  <c r="Z57" i="22"/>
  <c r="AF57" i="22"/>
  <c r="Z58" i="22"/>
  <c r="AF58" i="22"/>
  <c r="Z59" i="22"/>
  <c r="AF59" i="22"/>
  <c r="Z60" i="22"/>
  <c r="AF60" i="22"/>
  <c r="Z61" i="22"/>
  <c r="AF61" i="22"/>
  <c r="Y62" i="22"/>
  <c r="Z62" i="22"/>
  <c r="AE62" i="22"/>
  <c r="AF62" i="22"/>
  <c r="Y63" i="22"/>
  <c r="Z63" i="22"/>
  <c r="AE63" i="22"/>
  <c r="AF63" i="22"/>
  <c r="Y64" i="22"/>
  <c r="Z64" i="22"/>
  <c r="AE64" i="22"/>
  <c r="AF64" i="22"/>
  <c r="Y65" i="22"/>
  <c r="Z65" i="22"/>
  <c r="AE65" i="22"/>
  <c r="AF65" i="22"/>
  <c r="Y66" i="22"/>
  <c r="Z66" i="22"/>
  <c r="AE66" i="22"/>
  <c r="AF66" i="22"/>
  <c r="Y67" i="22"/>
  <c r="Z67" i="22"/>
  <c r="AE67" i="22"/>
  <c r="AF67" i="22"/>
  <c r="Y68" i="22"/>
  <c r="Z68" i="22"/>
  <c r="AE68" i="22"/>
  <c r="AF68" i="22"/>
  <c r="Y69" i="22"/>
  <c r="Z69" i="22"/>
  <c r="AE69" i="22"/>
  <c r="AF69" i="22"/>
  <c r="Y70" i="22"/>
  <c r="Z70" i="22"/>
  <c r="AE70" i="22"/>
  <c r="AF70" i="22"/>
  <c r="Y71" i="22"/>
  <c r="Z71" i="22"/>
  <c r="AE71" i="22"/>
  <c r="AF71" i="22"/>
  <c r="Y72" i="22"/>
  <c r="Z72" i="22"/>
  <c r="AE72" i="22"/>
  <c r="AF72" i="22"/>
  <c r="Y73" i="22"/>
  <c r="Z73" i="22"/>
  <c r="AE73" i="22"/>
  <c r="AF73" i="22"/>
  <c r="Y74" i="22"/>
  <c r="Z74" i="22"/>
  <c r="AE74" i="22"/>
  <c r="AF74" i="22"/>
  <c r="Y75" i="22"/>
  <c r="Z75" i="22"/>
  <c r="AE75" i="22"/>
  <c r="AF75" i="22"/>
  <c r="Y76" i="22"/>
  <c r="Z76" i="22"/>
  <c r="AE76" i="22"/>
  <c r="AF76" i="22"/>
  <c r="Y77" i="22"/>
  <c r="Z77" i="22"/>
  <c r="AE77" i="22"/>
  <c r="AF77" i="22"/>
  <c r="Y78" i="22"/>
  <c r="Z78" i="22"/>
  <c r="AE78" i="22"/>
  <c r="AF78" i="22"/>
  <c r="Y79" i="22"/>
  <c r="Z79" i="22"/>
  <c r="AE79" i="22"/>
  <c r="AF79" i="22"/>
  <c r="Y80" i="22"/>
  <c r="Z80" i="22"/>
  <c r="AE80" i="22"/>
  <c r="AF80" i="22"/>
  <c r="Y81" i="22"/>
  <c r="Z81" i="22"/>
  <c r="AE81" i="22"/>
  <c r="AF81" i="22"/>
  <c r="Y82" i="22"/>
  <c r="Z82" i="22"/>
  <c r="AE82" i="22"/>
  <c r="AF82" i="22"/>
  <c r="Y83" i="22"/>
  <c r="Z83" i="22"/>
  <c r="AE83" i="22"/>
  <c r="AF83" i="22"/>
  <c r="Y84" i="22"/>
  <c r="Z84" i="22"/>
  <c r="AE84" i="22"/>
  <c r="AF84" i="22"/>
  <c r="Y85" i="22"/>
  <c r="Z85" i="22"/>
  <c r="AE85" i="22"/>
  <c r="AF85" i="22"/>
  <c r="Y86" i="22"/>
  <c r="Z86" i="22"/>
  <c r="AE86" i="22"/>
  <c r="AF86" i="22"/>
  <c r="Y87" i="22"/>
  <c r="Z87" i="22"/>
  <c r="AE87" i="22"/>
  <c r="AF87" i="22"/>
  <c r="Y88" i="22"/>
  <c r="Z88" i="22"/>
  <c r="AE88" i="22"/>
  <c r="AF88" i="22"/>
  <c r="Y89" i="22"/>
  <c r="Z89" i="22"/>
  <c r="AE89" i="22"/>
  <c r="AF89" i="22"/>
  <c r="Y90" i="22"/>
  <c r="Z90" i="22"/>
  <c r="AE90" i="22"/>
  <c r="AF90" i="22"/>
  <c r="Y91" i="22"/>
  <c r="Z91" i="22"/>
  <c r="AE91" i="22"/>
  <c r="AF91" i="22"/>
  <c r="Y92" i="22"/>
  <c r="Z92" i="22"/>
  <c r="AE92" i="22"/>
  <c r="AF92" i="22"/>
  <c r="Y93" i="22"/>
  <c r="Z93" i="22"/>
  <c r="AE93" i="22"/>
  <c r="AF93" i="22"/>
  <c r="Y94" i="22"/>
  <c r="Z94" i="22"/>
  <c r="AE94" i="22"/>
  <c r="AF94" i="22"/>
  <c r="Y95" i="22"/>
  <c r="Z95" i="22"/>
  <c r="AE95" i="22"/>
  <c r="AF95" i="22"/>
  <c r="Y96" i="22"/>
  <c r="Z96" i="22"/>
  <c r="AE96" i="22"/>
  <c r="AF96" i="22"/>
  <c r="Y97" i="22"/>
  <c r="Z97" i="22"/>
  <c r="AE97" i="22"/>
  <c r="AF97" i="22"/>
  <c r="Z98" i="22"/>
  <c r="AF98" i="22"/>
  <c r="Z99" i="22"/>
  <c r="AF99" i="22"/>
  <c r="Z100" i="22"/>
  <c r="AF100" i="22"/>
  <c r="Z101" i="22"/>
  <c r="AF101" i="22"/>
  <c r="Z102" i="22"/>
  <c r="AF102" i="22"/>
  <c r="Z103" i="22"/>
  <c r="AF103" i="22"/>
  <c r="Z104" i="22"/>
  <c r="AF104" i="22"/>
  <c r="Z105" i="22"/>
  <c r="AF105" i="22"/>
  <c r="Z106" i="22"/>
  <c r="AF106" i="22"/>
  <c r="Z107" i="22"/>
  <c r="AF107" i="22"/>
  <c r="Z108" i="22"/>
  <c r="AF108" i="22"/>
  <c r="Z109" i="22"/>
  <c r="AF109" i="22"/>
  <c r="Y110" i="22"/>
  <c r="Z110" i="22"/>
  <c r="AE110" i="22"/>
  <c r="AF110" i="22"/>
  <c r="Y111" i="22"/>
  <c r="Z111" i="22"/>
  <c r="AE111" i="22"/>
  <c r="AF111" i="22"/>
  <c r="Y112" i="22"/>
  <c r="Z112" i="22"/>
  <c r="AE112" i="22"/>
  <c r="AF112" i="22"/>
  <c r="Y113" i="22"/>
  <c r="Z113" i="22"/>
  <c r="AE113" i="22"/>
  <c r="AF113" i="22"/>
  <c r="Y114" i="22"/>
  <c r="Z114" i="22"/>
  <c r="AE114" i="22"/>
  <c r="AF114" i="22"/>
  <c r="Y115" i="22"/>
  <c r="Z115" i="22"/>
  <c r="AE115" i="22"/>
  <c r="AF115" i="22"/>
  <c r="Y116" i="22"/>
  <c r="Z116" i="22"/>
  <c r="AE116" i="22"/>
  <c r="AF116" i="22"/>
  <c r="Y117" i="22"/>
  <c r="Z117" i="22"/>
  <c r="AE117" i="22"/>
  <c r="AF117" i="22"/>
  <c r="Y118" i="22"/>
  <c r="Z118" i="22"/>
  <c r="AE118" i="22"/>
  <c r="AF118" i="22"/>
  <c r="Y119" i="22"/>
  <c r="Z119" i="22"/>
  <c r="AE119" i="22"/>
  <c r="AF119" i="22"/>
  <c r="Y120" i="22"/>
  <c r="Z120" i="22"/>
  <c r="AE120" i="22"/>
  <c r="AF120" i="22"/>
  <c r="Y121" i="22"/>
  <c r="Z121" i="22"/>
  <c r="AE121" i="22"/>
  <c r="AF121" i="22"/>
  <c r="Y122" i="22"/>
  <c r="Z122" i="22"/>
  <c r="AE122" i="22"/>
  <c r="AF122" i="22"/>
  <c r="Y123" i="22"/>
  <c r="Z123" i="22"/>
  <c r="AE123" i="22"/>
  <c r="AF123" i="22"/>
  <c r="Y124" i="22"/>
  <c r="Z124" i="22"/>
  <c r="AE124" i="22"/>
  <c r="AF124" i="22"/>
  <c r="Y125" i="22"/>
  <c r="Z125" i="22"/>
  <c r="AE125" i="22"/>
  <c r="AF125" i="22"/>
  <c r="Y126" i="22"/>
  <c r="Z126" i="22"/>
  <c r="AE126" i="22"/>
  <c r="AF126" i="22"/>
  <c r="Y127" i="22"/>
  <c r="Z127" i="22"/>
  <c r="AE127" i="22"/>
  <c r="AF127" i="22"/>
  <c r="Y128" i="22"/>
  <c r="Z128" i="22"/>
  <c r="AE128" i="22"/>
  <c r="AF128" i="22"/>
  <c r="Y129" i="22"/>
  <c r="Z129" i="22"/>
  <c r="AE129" i="22"/>
  <c r="AF129" i="22"/>
  <c r="Y130" i="22"/>
  <c r="Z130" i="22"/>
  <c r="AE130" i="22"/>
  <c r="AF130" i="22"/>
  <c r="Y131" i="22"/>
  <c r="Z131" i="22"/>
  <c r="AE131" i="22"/>
  <c r="AF131" i="22"/>
  <c r="Y132" i="22"/>
  <c r="Z132" i="22"/>
  <c r="AE132" i="22"/>
  <c r="AF132" i="22"/>
  <c r="Y133" i="22"/>
  <c r="Z133" i="22"/>
  <c r="AE133" i="22"/>
  <c r="AF133" i="22"/>
  <c r="Y134" i="22"/>
  <c r="Z134" i="22"/>
  <c r="AE134" i="22"/>
  <c r="AF134" i="22"/>
  <c r="Y135" i="22"/>
  <c r="Z135" i="22"/>
  <c r="AE135" i="22"/>
  <c r="AF135" i="22"/>
  <c r="Y136" i="22"/>
  <c r="Z136" i="22"/>
  <c r="AE136" i="22"/>
  <c r="AF136" i="22"/>
  <c r="Y137" i="22"/>
  <c r="Z137" i="22"/>
  <c r="AE137" i="22"/>
  <c r="AF137" i="22"/>
  <c r="Y138" i="22"/>
  <c r="Z138" i="22"/>
  <c r="AE138" i="22"/>
  <c r="AF138" i="22"/>
  <c r="Y139" i="22"/>
  <c r="Z139" i="22"/>
  <c r="AE139" i="22"/>
  <c r="AF139" i="22"/>
  <c r="Y140" i="22"/>
  <c r="Z140" i="22"/>
  <c r="AE140" i="22"/>
  <c r="AF140" i="22"/>
  <c r="Y141" i="22"/>
  <c r="Z141" i="22"/>
  <c r="AE141" i="22"/>
  <c r="AF141" i="22"/>
  <c r="Y142" i="22"/>
  <c r="Z142" i="22"/>
  <c r="AE142" i="22"/>
  <c r="AF142" i="22"/>
  <c r="Y143" i="22"/>
  <c r="Z143" i="22"/>
  <c r="AE143" i="22"/>
  <c r="AF143" i="22"/>
  <c r="Y144" i="22"/>
  <c r="Z144" i="22"/>
  <c r="AE144" i="22"/>
  <c r="AF144" i="22"/>
  <c r="Y145" i="22"/>
  <c r="Z145" i="22"/>
  <c r="AE145" i="22"/>
  <c r="AF145" i="22"/>
  <c r="Y146" i="22"/>
  <c r="Z146" i="22"/>
  <c r="AE146" i="22"/>
  <c r="AF146" i="22"/>
  <c r="Y147" i="22"/>
  <c r="Z147" i="22"/>
  <c r="AE147" i="22"/>
  <c r="AF147" i="22"/>
  <c r="Y148" i="22"/>
  <c r="Z148" i="22"/>
  <c r="AE148" i="22"/>
  <c r="AF148" i="22"/>
  <c r="Y149" i="22"/>
  <c r="Z149" i="22"/>
  <c r="AE149" i="22"/>
  <c r="AF149" i="22"/>
  <c r="Y150" i="22"/>
  <c r="Z150" i="22"/>
  <c r="AE150" i="22"/>
  <c r="AF150" i="22"/>
  <c r="Y151" i="22"/>
  <c r="Z151" i="22"/>
  <c r="AE151" i="22"/>
  <c r="AF151" i="22"/>
  <c r="Y152" i="22"/>
  <c r="Z152" i="22"/>
  <c r="AE152" i="22"/>
  <c r="AF152" i="22"/>
  <c r="Y153" i="22"/>
  <c r="Z153" i="22"/>
  <c r="AE153" i="22"/>
  <c r="AF153" i="22"/>
  <c r="Y154" i="22"/>
  <c r="Z154" i="22"/>
  <c r="AE154" i="22"/>
  <c r="AF154" i="22"/>
  <c r="Y155" i="22"/>
  <c r="Z155" i="22"/>
  <c r="AE155" i="22"/>
  <c r="AF155" i="22"/>
  <c r="Y156" i="22"/>
  <c r="Z156" i="22"/>
  <c r="AE156" i="22"/>
  <c r="AF156" i="22"/>
  <c r="Y157" i="22"/>
  <c r="Z157" i="22"/>
  <c r="AE157" i="22"/>
  <c r="AF157" i="22"/>
  <c r="Y158" i="22"/>
  <c r="Z158" i="22"/>
  <c r="AE158" i="22"/>
  <c r="AF158" i="22"/>
  <c r="Y159" i="22"/>
  <c r="Z159" i="22"/>
  <c r="AE159" i="22"/>
  <c r="AF159" i="22"/>
  <c r="Y160" i="22"/>
  <c r="Z160" i="22"/>
  <c r="AE160" i="22"/>
  <c r="AF160" i="22"/>
  <c r="Y161" i="22"/>
  <c r="Z161" i="22"/>
  <c r="AE161" i="22"/>
  <c r="AF161" i="22"/>
  <c r="Y162" i="22"/>
  <c r="Z162" i="22"/>
  <c r="AE162" i="22"/>
  <c r="AF162" i="22"/>
  <c r="Y163" i="22"/>
  <c r="Z163" i="22"/>
  <c r="AE163" i="22"/>
  <c r="AF163" i="22"/>
  <c r="Y164" i="22"/>
  <c r="Z164" i="22"/>
  <c r="AE164" i="22"/>
  <c r="AF164" i="22"/>
  <c r="Y165" i="22"/>
  <c r="Z165" i="22"/>
  <c r="AE165" i="22"/>
  <c r="AF165" i="22"/>
  <c r="Y166" i="22"/>
  <c r="Z166" i="22"/>
  <c r="AE166" i="22"/>
  <c r="AF166" i="22"/>
  <c r="Y167" i="22"/>
  <c r="Z167" i="22"/>
  <c r="AE167" i="22"/>
  <c r="AF167" i="22"/>
  <c r="Y168" i="22"/>
  <c r="Z168" i="22"/>
  <c r="AE168" i="22"/>
  <c r="AF168" i="22"/>
  <c r="Y169" i="22"/>
  <c r="Z169" i="22"/>
  <c r="AE169" i="22"/>
  <c r="AF169" i="22"/>
  <c r="Z170" i="22"/>
  <c r="AF170" i="22"/>
  <c r="Z171" i="22"/>
  <c r="AF171" i="22"/>
  <c r="Z172" i="22"/>
  <c r="AF172" i="22"/>
  <c r="Z173" i="22"/>
  <c r="AF173" i="22"/>
  <c r="Z174" i="22"/>
  <c r="AF174" i="22"/>
  <c r="Z175" i="22"/>
  <c r="AF175" i="22"/>
  <c r="Z176" i="22"/>
  <c r="AF176" i="22"/>
  <c r="Z177" i="22"/>
  <c r="AF177" i="22"/>
  <c r="Z178" i="22"/>
  <c r="AF178" i="22"/>
  <c r="Z179" i="22"/>
  <c r="AF179" i="22"/>
  <c r="Z180" i="22"/>
  <c r="AF180" i="22"/>
  <c r="Z181" i="22"/>
  <c r="AF181" i="22"/>
  <c r="Y182" i="22"/>
  <c r="Z182" i="22"/>
  <c r="AE182" i="22"/>
  <c r="AF182" i="22"/>
  <c r="Y183" i="22"/>
  <c r="Z183" i="22"/>
  <c r="AE183" i="22"/>
  <c r="AF183" i="22"/>
  <c r="Y184" i="22"/>
  <c r="Z184" i="22"/>
  <c r="AE184" i="22"/>
  <c r="AF184" i="22"/>
  <c r="Y185" i="22"/>
  <c r="Z185" i="22"/>
  <c r="AE185" i="22"/>
  <c r="AF185" i="22"/>
  <c r="Y186" i="22"/>
  <c r="Z186" i="22"/>
  <c r="AE186" i="22"/>
  <c r="AF186" i="22"/>
  <c r="Y187" i="22"/>
  <c r="Z187" i="22"/>
  <c r="AE187" i="22"/>
  <c r="AF187" i="22"/>
  <c r="Y188" i="22"/>
  <c r="Z188" i="22"/>
  <c r="AE188" i="22"/>
  <c r="AF188" i="22"/>
  <c r="Y189" i="22"/>
  <c r="Z189" i="22"/>
  <c r="AE189" i="22"/>
  <c r="AF189" i="22"/>
  <c r="Y190" i="22"/>
  <c r="Z190" i="22"/>
  <c r="AE190" i="22"/>
  <c r="AF190" i="22"/>
  <c r="Y191" i="22"/>
  <c r="Z191" i="22"/>
  <c r="AE191" i="22"/>
  <c r="AF191" i="22"/>
  <c r="Y192" i="22"/>
  <c r="Z192" i="22"/>
  <c r="AE192" i="22"/>
  <c r="AF192" i="22"/>
  <c r="Y193" i="22"/>
  <c r="Z193" i="22"/>
  <c r="AE193" i="22"/>
  <c r="AF193" i="22"/>
  <c r="Y194" i="22"/>
  <c r="AE194" i="22"/>
  <c r="Y195" i="22"/>
  <c r="AE195" i="22"/>
  <c r="Y196" i="22"/>
  <c r="AE196" i="22"/>
  <c r="Y197" i="22"/>
  <c r="AE197" i="22"/>
  <c r="Y198" i="22"/>
  <c r="AE198" i="22"/>
  <c r="Y199" i="22"/>
  <c r="AE199" i="22"/>
  <c r="Y200" i="22"/>
  <c r="AE200" i="22"/>
  <c r="Y201" i="22"/>
  <c r="AE201" i="22"/>
  <c r="Y202" i="22"/>
  <c r="AE202" i="22"/>
  <c r="Y203" i="22"/>
  <c r="AE203" i="22"/>
  <c r="Y204" i="22"/>
  <c r="AE204" i="22"/>
  <c r="Y205" i="22"/>
  <c r="AE205" i="22"/>
  <c r="Y206" i="22"/>
  <c r="AE206" i="22"/>
  <c r="Y207" i="22"/>
  <c r="AE207" i="22"/>
  <c r="Y208" i="22"/>
  <c r="AE208" i="22"/>
  <c r="Y209" i="22"/>
  <c r="AE209" i="22"/>
  <c r="Y210" i="22"/>
  <c r="AE210" i="22"/>
  <c r="Y211" i="22"/>
  <c r="AE211" i="22"/>
  <c r="Y212" i="22"/>
  <c r="AE212" i="22"/>
  <c r="Y213" i="22"/>
  <c r="AE213" i="22"/>
  <c r="Y214" i="22"/>
  <c r="AE214" i="22"/>
  <c r="Y215" i="22"/>
  <c r="AE215" i="22"/>
  <c r="Y216" i="22"/>
  <c r="AE216" i="22"/>
  <c r="Y217" i="22"/>
  <c r="AE217" i="22"/>
  <c r="Y218" i="22"/>
  <c r="AE218" i="22"/>
  <c r="Y219" i="22"/>
  <c r="AE219" i="22"/>
  <c r="Y220" i="22"/>
  <c r="AE220" i="22"/>
  <c r="Y221" i="22"/>
  <c r="AE221" i="22"/>
  <c r="Y222" i="22"/>
  <c r="AE222" i="22"/>
  <c r="Y223" i="22"/>
  <c r="AE223" i="22"/>
  <c r="Y224" i="22"/>
  <c r="AE224" i="22"/>
  <c r="Y225" i="22"/>
  <c r="AE225" i="22"/>
  <c r="Y226" i="22"/>
  <c r="AE226" i="22"/>
  <c r="Y227" i="22"/>
  <c r="AE227" i="22"/>
  <c r="Y228" i="22"/>
  <c r="AE228" i="22"/>
  <c r="Y229" i="22"/>
  <c r="AE229" i="22"/>
  <c r="Y230" i="22"/>
  <c r="AE230" i="22"/>
  <c r="Y231" i="22"/>
  <c r="AE231" i="22"/>
  <c r="Y232" i="22"/>
  <c r="AE232" i="22"/>
  <c r="Y233" i="22"/>
  <c r="AE233" i="22"/>
  <c r="Y234" i="22"/>
  <c r="AE234" i="22"/>
  <c r="Y235" i="22"/>
  <c r="AE235" i="22"/>
  <c r="Y236" i="22"/>
  <c r="AE236" i="22"/>
  <c r="Y237" i="22"/>
  <c r="AE237" i="22"/>
  <c r="Y238" i="22"/>
  <c r="AE238" i="22"/>
  <c r="Y239" i="22"/>
  <c r="AE239" i="22"/>
  <c r="Y240" i="22"/>
  <c r="AE240" i="22"/>
  <c r="Y241" i="22"/>
  <c r="AE241" i="22"/>
  <c r="Y242" i="22"/>
  <c r="AE242" i="22"/>
  <c r="Y243" i="22"/>
  <c r="AE243" i="22"/>
  <c r="Y244" i="22"/>
  <c r="AE244" i="22"/>
  <c r="Y245" i="22"/>
  <c r="AE245" i="22"/>
  <c r="Y246" i="22"/>
  <c r="AE246" i="22"/>
  <c r="Y247" i="22"/>
  <c r="AE247" i="22"/>
  <c r="Y248" i="22"/>
  <c r="AE248" i="22"/>
  <c r="Y249" i="22"/>
  <c r="AE249" i="22"/>
  <c r="Y250" i="22"/>
  <c r="AE250" i="22"/>
  <c r="Y251" i="22"/>
  <c r="AE251" i="22"/>
  <c r="Y252" i="22"/>
  <c r="AE252" i="22"/>
  <c r="Y253" i="22"/>
  <c r="AE253" i="22"/>
  <c r="Y254" i="22"/>
  <c r="Z254" i="22"/>
  <c r="AE254" i="22"/>
  <c r="AF254" i="22"/>
  <c r="Y255" i="22"/>
  <c r="Z255" i="22"/>
  <c r="AE255" i="22"/>
  <c r="AF255" i="22"/>
  <c r="Y256" i="22"/>
  <c r="Z256" i="22"/>
  <c r="AE256" i="22"/>
  <c r="AF256" i="22"/>
  <c r="Y257" i="22"/>
  <c r="Z257" i="22"/>
  <c r="AE257" i="22"/>
  <c r="AF257" i="22"/>
  <c r="Y258" i="22"/>
  <c r="Z258" i="22"/>
  <c r="AE258" i="22"/>
  <c r="AF258" i="22"/>
  <c r="Y259" i="22"/>
  <c r="Z259" i="22"/>
  <c r="AE259" i="22"/>
  <c r="AF259" i="22"/>
  <c r="Y260" i="22"/>
  <c r="Z260" i="22"/>
  <c r="AE260" i="22"/>
  <c r="AF260" i="22"/>
  <c r="Y261" i="22"/>
  <c r="Z261" i="22"/>
  <c r="AE261" i="22"/>
  <c r="AF261" i="22"/>
  <c r="Y262" i="22"/>
  <c r="Z262" i="22"/>
  <c r="AE262" i="22"/>
  <c r="AF262" i="22"/>
  <c r="Y263" i="22"/>
  <c r="Z263" i="22"/>
  <c r="AE263" i="22"/>
  <c r="AF263" i="22"/>
  <c r="Y264" i="22"/>
  <c r="Z264" i="22"/>
  <c r="AE264" i="22"/>
  <c r="AF264" i="22"/>
  <c r="Y265" i="22"/>
  <c r="Z265" i="22"/>
  <c r="AE265" i="22"/>
  <c r="AF265" i="22"/>
  <c r="Y266" i="22"/>
  <c r="Z266" i="22"/>
  <c r="AE266" i="22"/>
  <c r="AF266" i="22"/>
  <c r="Y267" i="22"/>
  <c r="Z267" i="22"/>
  <c r="AE267" i="22"/>
  <c r="AF267" i="22"/>
  <c r="Y268" i="22"/>
  <c r="Z268" i="22"/>
  <c r="AE268" i="22"/>
  <c r="AF268" i="22"/>
  <c r="Y269" i="22"/>
  <c r="Z269" i="22"/>
  <c r="AE269" i="22"/>
  <c r="AF269" i="22"/>
  <c r="Y270" i="22"/>
  <c r="Z270" i="22"/>
  <c r="AE270" i="22"/>
  <c r="AF270" i="22"/>
  <c r="Y271" i="22"/>
  <c r="Z271" i="22"/>
  <c r="AE271" i="22"/>
  <c r="AF271" i="22"/>
  <c r="Y272" i="22"/>
  <c r="Z272" i="22"/>
  <c r="AE272" i="22"/>
  <c r="AF272" i="22"/>
  <c r="Y273" i="22"/>
  <c r="Z273" i="22"/>
  <c r="AE273" i="22"/>
  <c r="AF273" i="22"/>
  <c r="Y274" i="22"/>
  <c r="Z274" i="22"/>
  <c r="AE274" i="22"/>
  <c r="AF274" i="22"/>
  <c r="Y275" i="22"/>
  <c r="Z275" i="22"/>
  <c r="AE275" i="22"/>
  <c r="AF275" i="22"/>
  <c r="Y276" i="22"/>
  <c r="Z276" i="22"/>
  <c r="AE276" i="22"/>
  <c r="AF276" i="22"/>
  <c r="Y277" i="22"/>
  <c r="Z277" i="22"/>
  <c r="AE277" i="22"/>
  <c r="AF277" i="22"/>
  <c r="Y278" i="22"/>
  <c r="Z278" i="22"/>
  <c r="AE278" i="22"/>
  <c r="AF278" i="22"/>
  <c r="Y279" i="22"/>
  <c r="Z279" i="22"/>
  <c r="AE279" i="22"/>
  <c r="AF279" i="22"/>
  <c r="Y280" i="22"/>
  <c r="Z280" i="22"/>
  <c r="AE280" i="22"/>
  <c r="AF280" i="22"/>
  <c r="Y281" i="22"/>
  <c r="Z281" i="22"/>
  <c r="AE281" i="22"/>
  <c r="AF281" i="22"/>
  <c r="Y282" i="22"/>
  <c r="Z282" i="22"/>
  <c r="AE282" i="22"/>
  <c r="AF282" i="22"/>
  <c r="Y283" i="22"/>
  <c r="Z283" i="22"/>
  <c r="AE283" i="22"/>
  <c r="AF283" i="22"/>
  <c r="Y284" i="22"/>
  <c r="Z284" i="22"/>
  <c r="AE284" i="22"/>
  <c r="AF284" i="22"/>
  <c r="Y285" i="22"/>
  <c r="Z285" i="22"/>
  <c r="AE285" i="22"/>
  <c r="AF285" i="22"/>
  <c r="Y286" i="22"/>
  <c r="Z286" i="22"/>
  <c r="AE286" i="22"/>
  <c r="AF286" i="22"/>
  <c r="Y287" i="22"/>
  <c r="Z287" i="22"/>
  <c r="AE287" i="22"/>
  <c r="AF287" i="22"/>
  <c r="Y288" i="22"/>
  <c r="Z288" i="22"/>
  <c r="AE288" i="22"/>
  <c r="AF288" i="22"/>
  <c r="Y289" i="22"/>
  <c r="Z289" i="22"/>
  <c r="AE289" i="22"/>
  <c r="AF289" i="22"/>
  <c r="Y290" i="22"/>
  <c r="Z290" i="22"/>
  <c r="AE290" i="22"/>
  <c r="AF290" i="22"/>
  <c r="Y291" i="22"/>
  <c r="Z291" i="22"/>
  <c r="AE291" i="22"/>
  <c r="AF291" i="22"/>
  <c r="Y292" i="22"/>
  <c r="Z292" i="22"/>
  <c r="AE292" i="22"/>
  <c r="AF292" i="22"/>
  <c r="Y293" i="22"/>
  <c r="Z293" i="22"/>
  <c r="AE293" i="22"/>
  <c r="AF293" i="22"/>
  <c r="Y294" i="22"/>
  <c r="Z294" i="22"/>
  <c r="AE294" i="22"/>
  <c r="AF294" i="22"/>
  <c r="Y295" i="22"/>
  <c r="Z295" i="22"/>
  <c r="AE295" i="22"/>
  <c r="AF295" i="22"/>
  <c r="Y296" i="22"/>
  <c r="Z296" i="22"/>
  <c r="AE296" i="22"/>
  <c r="AF296" i="22"/>
  <c r="Y297" i="22"/>
  <c r="Z297" i="22"/>
  <c r="AE297" i="22"/>
  <c r="AF297" i="22"/>
  <c r="Y298" i="22"/>
  <c r="Z298" i="22"/>
  <c r="AE298" i="22"/>
  <c r="AF298" i="22"/>
  <c r="Y299" i="22"/>
  <c r="Z299" i="22"/>
  <c r="AE299" i="22"/>
  <c r="AF299" i="22"/>
  <c r="Y300" i="22"/>
  <c r="Z300" i="22"/>
  <c r="AE300" i="22"/>
  <c r="AF300" i="22"/>
  <c r="Y301" i="22"/>
  <c r="Z301" i="22"/>
  <c r="AE301" i="22"/>
  <c r="AF301" i="22"/>
  <c r="Y302" i="22"/>
  <c r="Z302" i="22"/>
  <c r="AE302" i="22"/>
  <c r="AF302" i="22"/>
  <c r="Y303" i="22"/>
  <c r="Z303" i="22"/>
  <c r="AE303" i="22"/>
  <c r="AF303" i="22"/>
  <c r="Y304" i="22"/>
  <c r="Z304" i="22"/>
  <c r="AE304" i="22"/>
  <c r="AF304" i="22"/>
  <c r="Z305" i="22"/>
  <c r="AF305" i="22"/>
  <c r="Z306" i="22"/>
  <c r="AF306" i="22"/>
  <c r="Z307" i="22"/>
  <c r="AF307" i="22"/>
  <c r="Z308" i="22"/>
  <c r="AF308" i="22"/>
  <c r="Z309" i="22"/>
  <c r="AF309" i="22"/>
  <c r="Z310" i="22"/>
  <c r="AF310" i="22"/>
  <c r="Y311" i="22"/>
  <c r="Z311" i="22"/>
  <c r="AE311" i="22"/>
  <c r="AF311" i="22"/>
  <c r="Y312" i="22"/>
  <c r="Z312" i="22"/>
  <c r="AE312" i="22"/>
  <c r="AF312" i="22"/>
  <c r="Y313" i="22"/>
  <c r="Z313" i="22"/>
  <c r="AE313" i="22"/>
  <c r="AF313" i="22"/>
  <c r="Y314" i="22"/>
  <c r="Z314" i="22"/>
  <c r="AE314" i="22"/>
  <c r="AF314" i="22"/>
  <c r="Y315" i="22"/>
  <c r="Z315" i="22"/>
  <c r="AE315" i="22"/>
  <c r="AF315" i="22"/>
  <c r="Y316" i="22"/>
  <c r="Z316" i="22"/>
  <c r="AE316" i="22"/>
  <c r="AF316" i="22"/>
  <c r="Y317" i="22"/>
  <c r="Z317" i="22"/>
  <c r="AE317" i="22"/>
  <c r="AF317" i="22"/>
  <c r="Y318" i="22"/>
  <c r="Z318" i="22"/>
  <c r="AE318" i="22"/>
  <c r="AF318" i="22"/>
  <c r="Y319" i="22"/>
  <c r="Z319" i="22"/>
  <c r="AE319" i="22"/>
  <c r="AF319" i="22"/>
  <c r="Y320" i="22"/>
  <c r="Z320" i="22"/>
  <c r="AE320" i="22"/>
  <c r="AF320" i="22"/>
  <c r="Y321" i="22"/>
  <c r="Z321" i="22"/>
  <c r="AE321" i="22"/>
  <c r="AF321" i="22"/>
  <c r="Y322" i="22"/>
  <c r="Z322" i="22"/>
  <c r="AE322" i="22"/>
  <c r="AF322" i="22"/>
  <c r="Y323" i="22"/>
  <c r="Z323" i="22"/>
  <c r="AE323" i="22"/>
  <c r="AF323" i="22"/>
  <c r="Y324" i="22"/>
  <c r="Z324" i="22"/>
  <c r="AE324" i="22"/>
  <c r="AF324" i="22"/>
  <c r="Y325" i="22"/>
  <c r="Z325" i="22"/>
  <c r="AE325" i="22"/>
  <c r="AF325" i="22"/>
  <c r="Y326" i="22"/>
  <c r="Z326" i="22"/>
  <c r="AE326" i="22"/>
  <c r="AF326" i="22"/>
  <c r="Y327" i="22"/>
  <c r="Z327" i="22"/>
  <c r="AE327" i="22"/>
  <c r="AF327" i="22"/>
  <c r="Y328" i="22"/>
  <c r="Z328" i="22"/>
  <c r="AE328" i="22"/>
  <c r="AF328" i="22"/>
  <c r="Y329" i="22"/>
  <c r="Z329" i="22"/>
  <c r="AE329" i="22"/>
  <c r="AF329" i="22"/>
  <c r="Y330" i="22"/>
  <c r="Z330" i="22"/>
  <c r="AE330" i="22"/>
  <c r="AF330" i="22"/>
  <c r="Y331" i="22"/>
  <c r="Z331" i="22"/>
  <c r="AE331" i="22"/>
  <c r="AF331" i="22"/>
  <c r="Y332" i="22"/>
  <c r="Z332" i="22"/>
  <c r="AE332" i="22"/>
  <c r="AF332" i="22"/>
  <c r="Y333" i="22"/>
  <c r="Z333" i="22"/>
  <c r="AE333" i="22"/>
  <c r="AF333" i="22"/>
  <c r="Y334" i="22"/>
  <c r="Z334" i="22"/>
  <c r="AE334" i="22"/>
  <c r="AF334" i="22"/>
  <c r="Y335" i="22"/>
  <c r="Z335" i="22"/>
  <c r="AE335" i="22"/>
  <c r="AF335" i="22"/>
  <c r="Y336" i="22"/>
  <c r="Z336" i="22"/>
  <c r="AE336" i="22"/>
  <c r="AF336" i="22"/>
  <c r="Y337" i="22"/>
  <c r="Z337" i="22"/>
  <c r="AE337" i="22"/>
  <c r="AF337" i="22"/>
  <c r="Y338" i="22"/>
  <c r="Z338" i="22"/>
  <c r="AE338" i="22"/>
  <c r="AF338" i="22"/>
  <c r="Y339" i="22"/>
  <c r="Z339" i="22"/>
  <c r="AE339" i="22"/>
  <c r="AF339" i="22"/>
  <c r="Y340" i="22"/>
  <c r="Z340" i="22"/>
  <c r="AE340" i="22"/>
  <c r="AF340" i="22"/>
  <c r="Y341" i="22"/>
  <c r="Z341" i="22"/>
  <c r="AE341" i="22"/>
  <c r="AF341" i="22"/>
  <c r="Y342" i="22"/>
  <c r="Z342" i="22"/>
  <c r="AE342" i="22"/>
  <c r="AF342" i="22"/>
  <c r="Y343" i="22"/>
  <c r="Z343" i="22"/>
  <c r="AE343" i="22"/>
  <c r="AF343" i="22"/>
  <c r="Y344" i="22"/>
  <c r="Z344" i="22"/>
  <c r="AE344" i="22"/>
  <c r="AF344" i="22"/>
  <c r="Y345" i="22"/>
  <c r="Z345" i="22"/>
  <c r="AE345" i="22"/>
  <c r="AF345" i="22"/>
  <c r="Y346" i="22"/>
  <c r="Z346" i="22"/>
  <c r="AE346" i="22"/>
  <c r="AF346" i="22"/>
  <c r="Y347" i="22"/>
  <c r="Z347" i="22"/>
  <c r="AE347" i="22"/>
  <c r="AF347" i="22"/>
  <c r="Y348" i="22"/>
  <c r="Z348" i="22"/>
  <c r="AE348" i="22"/>
  <c r="AF348" i="22"/>
  <c r="Y349" i="22"/>
  <c r="Z349" i="22"/>
  <c r="AE349" i="22"/>
  <c r="AF349" i="22"/>
  <c r="Y350" i="22"/>
  <c r="Z350" i="22"/>
  <c r="AE350" i="22"/>
  <c r="AF350" i="22"/>
  <c r="Y351" i="22"/>
  <c r="Z351" i="22"/>
  <c r="AE351" i="22"/>
  <c r="AF351" i="22"/>
  <c r="Y352" i="22"/>
  <c r="Z352" i="22"/>
  <c r="AE352" i="22"/>
  <c r="AF352" i="22"/>
  <c r="Y353" i="22"/>
  <c r="Z353" i="22"/>
  <c r="AE353" i="22"/>
  <c r="AF353" i="22"/>
  <c r="Y354" i="22"/>
  <c r="Z354" i="22"/>
  <c r="AE354" i="22"/>
  <c r="AF354" i="22"/>
  <c r="Y355" i="22"/>
  <c r="Z355" i="22"/>
  <c r="AE355" i="22"/>
  <c r="AF355" i="22"/>
  <c r="Y356" i="22"/>
  <c r="Z356" i="22"/>
  <c r="AE356" i="22"/>
  <c r="AF356" i="22"/>
  <c r="Y357" i="22"/>
  <c r="Z357" i="22"/>
  <c r="AE357" i="22"/>
  <c r="AF357" i="22"/>
  <c r="Y358" i="22"/>
  <c r="Z358" i="22"/>
  <c r="AE358" i="22"/>
  <c r="AF358" i="22"/>
  <c r="Y359" i="22"/>
  <c r="Z359" i="22"/>
  <c r="AE359" i="22"/>
  <c r="AF359" i="22"/>
  <c r="Y360" i="22"/>
  <c r="Z360" i="22"/>
  <c r="AE360" i="22"/>
  <c r="AF360" i="22"/>
  <c r="Y361" i="22"/>
  <c r="Z361" i="22"/>
  <c r="AE361" i="22"/>
  <c r="AF361" i="22"/>
  <c r="Y362" i="22"/>
  <c r="Z362" i="22"/>
  <c r="AE362" i="22"/>
  <c r="AF362" i="22"/>
  <c r="Y363" i="22"/>
  <c r="Z363" i="22"/>
  <c r="AE363" i="22"/>
  <c r="AF363" i="22"/>
  <c r="Y364" i="22"/>
  <c r="Z364" i="22"/>
  <c r="AE364" i="22"/>
  <c r="AF364" i="22"/>
  <c r="Y365" i="22"/>
  <c r="Z365" i="22"/>
  <c r="AE365" i="22"/>
  <c r="AF365" i="22"/>
  <c r="Y366" i="22"/>
  <c r="Z366" i="22"/>
  <c r="AE366" i="22"/>
  <c r="AF366" i="22"/>
  <c r="Y367" i="22"/>
  <c r="Z367" i="22"/>
  <c r="AE367" i="22"/>
  <c r="AF367" i="22"/>
  <c r="Y368" i="22"/>
  <c r="Z368" i="22"/>
  <c r="AE368" i="22"/>
  <c r="AF368" i="22"/>
  <c r="Y369" i="22"/>
  <c r="Z369" i="22"/>
  <c r="AE369" i="22"/>
  <c r="AF369" i="22"/>
  <c r="Y370" i="22"/>
  <c r="Z370" i="22"/>
  <c r="AE370" i="22"/>
  <c r="AF370" i="22"/>
  <c r="Y371" i="22"/>
  <c r="Z371" i="22"/>
  <c r="AE371" i="22"/>
  <c r="AF371" i="22"/>
  <c r="Y372" i="22"/>
  <c r="Z372" i="22"/>
  <c r="AE372" i="22"/>
  <c r="AF372" i="22"/>
  <c r="Y373" i="22"/>
  <c r="Z373" i="22"/>
  <c r="AE373" i="22"/>
  <c r="AF373" i="22"/>
  <c r="Z374" i="22"/>
  <c r="AF374" i="22"/>
  <c r="Z375" i="22"/>
  <c r="AF375" i="22"/>
  <c r="Z376" i="22"/>
  <c r="AF376" i="22"/>
  <c r="Z377" i="22"/>
  <c r="AF377" i="22"/>
  <c r="Z378" i="22"/>
  <c r="AF378" i="22"/>
  <c r="Z379" i="22"/>
  <c r="AF379" i="22"/>
  <c r="Z380" i="22"/>
  <c r="AF380" i="22"/>
  <c r="Z381" i="22"/>
  <c r="AF381" i="22"/>
  <c r="Z382" i="22"/>
  <c r="AF382" i="22"/>
  <c r="Z383" i="22"/>
  <c r="AF383" i="22"/>
  <c r="Z384" i="22"/>
  <c r="AF384" i="22"/>
  <c r="Z385" i="22"/>
  <c r="AF385" i="22"/>
  <c r="Y386" i="22"/>
  <c r="Z386" i="22"/>
  <c r="AE386" i="22"/>
  <c r="AF386" i="22"/>
  <c r="Y387" i="22"/>
  <c r="Z387" i="22"/>
  <c r="AE387" i="22"/>
  <c r="AF387" i="22"/>
  <c r="Y388" i="22"/>
  <c r="Z388" i="22"/>
  <c r="AE388" i="22"/>
  <c r="AF388" i="22"/>
  <c r="Y389" i="22"/>
  <c r="Z389" i="22"/>
  <c r="AE389" i="22"/>
  <c r="AF389" i="22"/>
  <c r="Y390" i="22"/>
  <c r="Z390" i="22"/>
  <c r="AE390" i="22"/>
  <c r="AF390" i="22"/>
  <c r="Y391" i="22"/>
  <c r="Z391" i="22"/>
  <c r="AE391" i="22"/>
  <c r="AF391" i="22"/>
  <c r="Y392" i="22"/>
  <c r="Z392" i="22"/>
  <c r="AE392" i="22"/>
  <c r="AF392" i="22"/>
  <c r="Y393" i="22"/>
  <c r="Z393" i="22"/>
  <c r="AE393" i="22"/>
  <c r="AF393" i="22"/>
  <c r="Y394" i="22"/>
  <c r="Z394" i="22"/>
  <c r="AE394" i="22"/>
  <c r="AF394" i="22"/>
  <c r="Y395" i="22"/>
  <c r="Z395" i="22"/>
  <c r="AE395" i="22"/>
  <c r="AF395" i="22"/>
  <c r="Y396" i="22"/>
  <c r="Z396" i="22"/>
  <c r="AE396" i="22"/>
  <c r="AF396" i="22"/>
  <c r="Y397" i="22"/>
  <c r="Z397" i="22"/>
  <c r="AE397" i="22"/>
  <c r="AF397" i="22"/>
  <c r="Y398" i="22"/>
  <c r="Z398" i="22"/>
  <c r="AE398" i="22"/>
  <c r="AF398" i="22"/>
  <c r="Y399" i="22"/>
  <c r="Z399" i="22"/>
  <c r="AE399" i="22"/>
  <c r="AF399" i="22"/>
  <c r="Y400" i="22"/>
  <c r="Z400" i="22"/>
  <c r="AE400" i="22"/>
  <c r="AF400" i="22"/>
  <c r="Y401" i="22"/>
  <c r="Z401" i="22"/>
  <c r="AE401" i="22"/>
  <c r="AF401" i="22"/>
  <c r="Y402" i="22"/>
  <c r="Z402" i="22"/>
  <c r="AE402" i="22"/>
  <c r="AF402" i="22"/>
  <c r="Y403" i="22"/>
  <c r="Z403" i="22"/>
  <c r="AE403" i="22"/>
  <c r="AF403" i="22"/>
  <c r="Y404" i="22"/>
  <c r="Z404" i="22"/>
  <c r="AE404" i="22"/>
  <c r="AF404" i="22"/>
  <c r="Y405" i="22"/>
  <c r="Z405" i="22"/>
  <c r="AE405" i="22"/>
  <c r="AF405" i="22"/>
  <c r="Y406" i="22"/>
  <c r="Z406" i="22"/>
  <c r="AE406" i="22"/>
  <c r="AF406" i="22"/>
  <c r="Y407" i="22"/>
  <c r="Z407" i="22"/>
  <c r="AE407" i="22"/>
  <c r="AF407" i="22"/>
  <c r="Y408" i="22"/>
  <c r="Z408" i="22"/>
  <c r="AE408" i="22"/>
  <c r="AF408" i="22"/>
  <c r="Y409" i="22"/>
  <c r="Z409" i="22"/>
  <c r="AE409" i="22"/>
  <c r="AF409" i="22"/>
  <c r="Y410" i="22"/>
  <c r="Z410" i="22"/>
  <c r="AE410" i="22"/>
  <c r="AF410" i="22"/>
  <c r="Y411" i="22"/>
  <c r="Z411" i="22"/>
  <c r="AE411" i="22"/>
  <c r="AF411" i="22"/>
  <c r="Y412" i="22"/>
  <c r="Z412" i="22"/>
  <c r="AE412" i="22"/>
  <c r="AF412" i="22"/>
  <c r="Y413" i="22"/>
  <c r="Z413" i="22"/>
  <c r="AE413" i="22"/>
  <c r="AF413" i="22"/>
  <c r="Y414" i="22"/>
  <c r="Z414" i="22"/>
  <c r="AE414" i="22"/>
  <c r="AF414" i="22"/>
  <c r="Y415" i="22"/>
  <c r="Z415" i="22"/>
  <c r="AE415" i="22"/>
  <c r="AF415" i="22"/>
  <c r="Y416" i="22"/>
  <c r="Z416" i="22"/>
  <c r="AE416" i="22"/>
  <c r="AF416" i="22"/>
  <c r="Y417" i="22"/>
  <c r="Z417" i="22"/>
  <c r="AE417" i="22"/>
  <c r="AF417" i="22"/>
  <c r="Y418" i="22"/>
  <c r="Z418" i="22"/>
  <c r="AE418" i="22"/>
  <c r="AF418" i="22"/>
  <c r="Y419" i="22"/>
  <c r="Z419" i="22"/>
  <c r="AE419" i="22"/>
  <c r="AF419" i="22"/>
  <c r="Y420" i="22"/>
  <c r="Z420" i="22"/>
  <c r="AE420" i="22"/>
  <c r="AF420" i="22"/>
  <c r="Y421" i="22"/>
  <c r="Z421" i="22"/>
  <c r="AE421" i="22"/>
  <c r="AF421" i="22"/>
  <c r="Y422" i="22"/>
  <c r="Z422" i="22"/>
  <c r="AE422" i="22"/>
  <c r="AF422" i="22"/>
  <c r="Y423" i="22"/>
  <c r="Z423" i="22"/>
  <c r="AE423" i="22"/>
  <c r="AF423" i="22"/>
  <c r="Y424" i="22"/>
  <c r="Z424" i="22"/>
  <c r="AE424" i="22"/>
  <c r="AF424" i="22"/>
  <c r="Y425" i="22"/>
  <c r="Z425" i="22"/>
  <c r="AE425" i="22"/>
  <c r="AF425" i="22"/>
  <c r="Y426" i="22"/>
  <c r="Z426" i="22"/>
  <c r="AE426" i="22"/>
  <c r="AF426" i="22"/>
  <c r="Y427" i="22"/>
  <c r="Z427" i="22"/>
  <c r="AE427" i="22"/>
  <c r="AF427" i="22"/>
  <c r="Y428" i="22"/>
  <c r="Z428" i="22"/>
  <c r="AE428" i="22"/>
  <c r="AF428" i="22"/>
  <c r="Y429" i="22"/>
  <c r="Z429" i="22"/>
  <c r="AE429" i="22"/>
  <c r="AF429" i="22"/>
  <c r="Y430" i="22"/>
  <c r="Z430" i="22"/>
  <c r="AE430" i="22"/>
  <c r="AF430" i="22"/>
  <c r="Y431" i="22"/>
  <c r="Z431" i="22"/>
  <c r="AE431" i="22"/>
  <c r="AF431" i="22"/>
  <c r="Y432" i="22"/>
  <c r="Z432" i="22"/>
  <c r="AE432" i="22"/>
  <c r="AF432" i="22"/>
  <c r="Y433" i="22"/>
  <c r="Z433" i="22"/>
  <c r="AE433" i="22"/>
  <c r="AF433" i="22"/>
  <c r="Y434" i="22"/>
  <c r="Z434" i="22"/>
  <c r="AE434" i="22"/>
  <c r="AF434" i="22"/>
  <c r="Y435" i="22"/>
  <c r="Z435" i="22"/>
  <c r="AE435" i="22"/>
  <c r="AF435" i="22"/>
  <c r="Y436" i="22"/>
  <c r="Z436" i="22"/>
  <c r="AE436" i="22"/>
  <c r="AF436" i="22"/>
  <c r="Y437" i="22"/>
  <c r="Z437" i="22"/>
  <c r="AE437" i="22"/>
  <c r="AF437" i="22"/>
  <c r="Y438" i="22"/>
  <c r="Z438" i="22"/>
  <c r="AE438" i="22"/>
  <c r="AF438" i="22"/>
  <c r="Y439" i="22"/>
  <c r="Z439" i="22"/>
  <c r="AE439" i="22"/>
  <c r="AF439" i="22"/>
  <c r="Y440" i="22"/>
  <c r="Z440" i="22"/>
  <c r="AE440" i="22"/>
  <c r="AF440" i="22"/>
  <c r="Y441" i="22"/>
  <c r="Z441" i="22"/>
  <c r="AE441" i="22"/>
  <c r="AF441" i="22"/>
  <c r="Y442" i="22"/>
  <c r="Z442" i="22"/>
  <c r="AE442" i="22"/>
  <c r="AF442" i="22"/>
  <c r="Y443" i="22"/>
  <c r="Z443" i="22"/>
  <c r="AE443" i="22"/>
  <c r="AF443" i="22"/>
  <c r="Y444" i="22"/>
  <c r="Z444" i="22"/>
  <c r="AE444" i="22"/>
  <c r="AF444" i="22"/>
  <c r="Y445" i="22"/>
  <c r="Z445" i="22"/>
  <c r="AE445" i="22"/>
  <c r="AF445" i="22"/>
  <c r="Y446" i="22"/>
  <c r="Z446" i="22"/>
  <c r="AE446" i="22"/>
  <c r="AF446" i="22"/>
  <c r="Y447" i="22"/>
  <c r="Z447" i="22"/>
  <c r="AE447" i="22"/>
  <c r="AF447" i="22"/>
  <c r="Y448" i="22"/>
  <c r="Z448" i="22"/>
  <c r="AE448" i="22"/>
  <c r="AF448" i="22"/>
  <c r="Y449" i="22"/>
  <c r="Z449" i="22"/>
  <c r="AE449" i="22"/>
  <c r="AF449" i="22"/>
  <c r="Y450" i="22"/>
  <c r="Z450" i="22"/>
  <c r="AE450" i="22"/>
  <c r="AF450" i="22"/>
  <c r="Y451" i="22"/>
  <c r="Z451" i="22"/>
  <c r="AE451" i="22"/>
  <c r="AF451" i="22"/>
  <c r="Y452" i="22"/>
  <c r="Z452" i="22"/>
  <c r="AE452" i="22"/>
  <c r="AF452" i="22"/>
  <c r="Y453" i="22"/>
  <c r="Z453" i="22"/>
  <c r="AE453" i="22"/>
  <c r="AF453" i="22"/>
  <c r="Y454" i="22"/>
  <c r="Z454" i="22"/>
  <c r="AE454" i="22"/>
  <c r="AF454" i="22"/>
  <c r="Y455" i="22"/>
  <c r="Z455" i="22"/>
  <c r="AE455" i="22"/>
  <c r="AF455" i="22"/>
  <c r="Y456" i="22"/>
  <c r="Z456" i="22"/>
  <c r="AE456" i="22"/>
  <c r="AF456" i="22"/>
  <c r="Y457" i="22"/>
  <c r="Z457" i="22"/>
  <c r="AE457" i="22"/>
  <c r="AF457" i="22"/>
  <c r="Z458" i="22"/>
  <c r="AF458" i="22"/>
  <c r="Z459" i="22"/>
  <c r="AF459" i="22"/>
  <c r="Z460" i="22"/>
  <c r="AF460" i="22"/>
  <c r="Z461" i="22"/>
  <c r="AF461" i="22"/>
  <c r="Z462" i="22"/>
  <c r="AF462" i="22"/>
  <c r="Z463" i="22"/>
  <c r="AF463" i="22"/>
  <c r="Z464" i="22"/>
  <c r="AF464" i="22"/>
  <c r="Z465" i="22"/>
  <c r="AF465" i="22"/>
  <c r="Z466" i="22"/>
  <c r="AF466" i="22"/>
  <c r="Z467" i="22"/>
  <c r="AF467" i="22"/>
  <c r="Z468" i="22"/>
  <c r="AF468" i="22"/>
  <c r="Z469" i="22"/>
  <c r="AF469" i="22"/>
  <c r="Y470" i="22"/>
  <c r="Z470" i="22"/>
  <c r="AE470" i="22"/>
  <c r="AF470" i="22"/>
  <c r="Y471" i="22"/>
  <c r="Z471" i="22"/>
  <c r="AE471" i="22"/>
  <c r="AF471" i="22"/>
  <c r="Y472" i="22"/>
  <c r="Z472" i="22"/>
  <c r="AE472" i="22"/>
  <c r="AF472" i="22"/>
  <c r="Y473" i="22"/>
  <c r="Z473" i="22"/>
  <c r="AE473" i="22"/>
  <c r="AF473" i="22"/>
  <c r="Y474" i="22"/>
  <c r="Z474" i="22"/>
  <c r="AE474" i="22"/>
  <c r="AF474" i="22"/>
  <c r="Y475" i="22"/>
  <c r="Z475" i="22"/>
  <c r="AE475" i="22"/>
  <c r="AF475" i="22"/>
  <c r="Y476" i="22"/>
  <c r="Z476" i="22"/>
  <c r="AE476" i="22"/>
  <c r="AF476" i="22"/>
  <c r="Y477" i="22"/>
  <c r="Z477" i="22"/>
  <c r="AE477" i="22"/>
  <c r="AF477" i="22"/>
  <c r="Y478" i="22"/>
  <c r="Z478" i="22"/>
  <c r="AE478" i="22"/>
  <c r="AF478" i="22"/>
  <c r="Y479" i="22"/>
  <c r="Z479" i="22"/>
  <c r="AE479" i="22"/>
  <c r="AF479" i="22"/>
  <c r="Y480" i="22"/>
  <c r="Z480" i="22"/>
  <c r="AE480" i="22"/>
  <c r="AF480" i="22"/>
  <c r="Y481" i="22"/>
  <c r="Z481" i="22"/>
  <c r="AE481" i="22"/>
  <c r="AF481" i="22"/>
  <c r="Y482" i="22"/>
  <c r="Z482" i="22"/>
  <c r="AE482" i="22"/>
  <c r="AF482" i="22"/>
  <c r="Y483" i="22"/>
  <c r="Z483" i="22"/>
  <c r="AE483" i="22"/>
  <c r="AF483" i="22"/>
  <c r="Y484" i="22"/>
  <c r="Z484" i="22"/>
  <c r="AE484" i="22"/>
  <c r="AF484" i="22"/>
  <c r="Y485" i="22"/>
  <c r="Z485" i="22"/>
  <c r="AE485" i="22"/>
  <c r="AF485" i="22"/>
  <c r="Y486" i="22"/>
  <c r="Z486" i="22"/>
  <c r="AE486" i="22"/>
  <c r="AF486" i="22"/>
  <c r="Y487" i="22"/>
  <c r="Z487" i="22"/>
  <c r="AE487" i="22"/>
  <c r="AF487" i="22"/>
  <c r="Y488" i="22"/>
  <c r="Z488" i="22"/>
  <c r="AE488" i="22"/>
  <c r="AF488" i="22"/>
  <c r="Y489" i="22"/>
  <c r="Z489" i="22"/>
  <c r="AE489" i="22"/>
  <c r="AF489" i="22"/>
  <c r="Y490" i="22"/>
  <c r="Z490" i="22"/>
  <c r="AE490" i="22"/>
  <c r="AF490" i="22"/>
  <c r="Y491" i="22"/>
  <c r="Z491" i="22"/>
  <c r="AE491" i="22"/>
  <c r="AF491" i="22"/>
  <c r="Y492" i="22"/>
  <c r="Z492" i="22"/>
  <c r="AE492" i="22"/>
  <c r="AF492" i="22"/>
  <c r="Y493" i="22"/>
  <c r="Z493" i="22"/>
  <c r="AE493" i="22"/>
  <c r="AF493" i="22"/>
  <c r="Y494" i="22"/>
  <c r="Z494" i="22"/>
  <c r="AE494" i="22"/>
  <c r="AF494" i="22"/>
  <c r="Y495" i="22"/>
  <c r="Z495" i="22"/>
  <c r="AE495" i="22"/>
  <c r="AF495" i="22"/>
  <c r="Y496" i="22"/>
  <c r="Z496" i="22"/>
  <c r="AE496" i="22"/>
  <c r="AF496" i="22"/>
  <c r="Y497" i="22"/>
  <c r="Z497" i="22"/>
  <c r="AE497" i="22"/>
  <c r="AF497" i="22"/>
  <c r="Y498" i="22"/>
  <c r="Z498" i="22"/>
  <c r="AE498" i="22"/>
  <c r="AF498" i="22"/>
  <c r="Y499" i="22"/>
  <c r="Z499" i="22"/>
  <c r="AE499" i="22"/>
  <c r="AF499" i="22"/>
  <c r="Y500" i="22"/>
  <c r="Z500" i="22"/>
  <c r="AE500" i="22"/>
  <c r="AF500" i="22"/>
  <c r="Y501" i="22"/>
  <c r="Z501" i="22"/>
  <c r="AE501" i="22"/>
  <c r="AF501" i="22"/>
  <c r="Y502" i="22"/>
  <c r="Z502" i="22"/>
  <c r="AE502" i="22"/>
  <c r="AF502" i="22"/>
  <c r="Y503" i="22"/>
  <c r="Z503" i="22"/>
  <c r="AE503" i="22"/>
  <c r="AF503" i="22"/>
  <c r="Y504" i="22"/>
  <c r="Z504" i="22"/>
  <c r="AE504" i="22"/>
  <c r="AF504" i="22"/>
  <c r="Y505" i="22"/>
  <c r="Z505" i="22"/>
  <c r="AE505" i="22"/>
  <c r="AF505" i="22"/>
  <c r="Y506" i="22"/>
  <c r="Z506" i="22"/>
  <c r="AE506" i="22"/>
  <c r="AF506" i="22"/>
  <c r="Y507" i="22"/>
  <c r="Z507" i="22"/>
  <c r="AE507" i="22"/>
  <c r="AF507" i="22"/>
  <c r="Y508" i="22"/>
  <c r="Z508" i="22"/>
  <c r="AE508" i="22"/>
  <c r="AF508" i="22"/>
  <c r="Y509" i="22"/>
  <c r="Z509" i="22"/>
  <c r="AE509" i="22"/>
  <c r="AF509" i="22"/>
  <c r="Y510" i="22"/>
  <c r="Z510" i="22"/>
  <c r="AE510" i="22"/>
  <c r="AF510" i="22"/>
  <c r="Y511" i="22"/>
  <c r="Z511" i="22"/>
  <c r="AE511" i="22"/>
  <c r="AF511" i="22"/>
  <c r="Y512" i="22"/>
  <c r="Z512" i="22"/>
  <c r="AE512" i="22"/>
  <c r="AF512" i="22"/>
  <c r="Y513" i="22"/>
  <c r="Z513" i="22"/>
  <c r="AE513" i="22"/>
  <c r="AF513" i="22"/>
  <c r="Y514" i="22"/>
  <c r="Z514" i="22"/>
  <c r="AE514" i="22"/>
  <c r="AF514" i="22"/>
  <c r="Y515" i="22"/>
  <c r="Z515" i="22"/>
  <c r="AE515" i="22"/>
  <c r="AF515" i="22"/>
  <c r="Y516" i="22"/>
  <c r="Z516" i="22"/>
  <c r="AE516" i="22"/>
  <c r="AF516" i="22"/>
  <c r="Y517" i="22"/>
  <c r="Z517" i="22"/>
  <c r="AE517" i="22"/>
  <c r="AF517" i="22"/>
  <c r="Y518" i="22"/>
  <c r="Z518" i="22"/>
  <c r="AE518" i="22"/>
  <c r="AF518" i="22"/>
  <c r="Y519" i="22"/>
  <c r="Z519" i="22"/>
  <c r="AE519" i="22"/>
  <c r="AF519" i="22"/>
  <c r="Y520" i="22"/>
  <c r="Z520" i="22"/>
  <c r="AE520" i="22"/>
  <c r="AF520" i="22"/>
  <c r="Y521" i="22"/>
  <c r="Z521" i="22"/>
  <c r="AE521" i="22"/>
  <c r="AF521" i="22"/>
  <c r="Y522" i="22"/>
  <c r="Z522" i="22"/>
  <c r="AE522" i="22"/>
  <c r="AF522" i="22"/>
  <c r="Y523" i="22"/>
  <c r="Z523" i="22"/>
  <c r="AE523" i="22"/>
  <c r="AF523" i="22"/>
  <c r="Y524" i="22"/>
  <c r="Z524" i="22"/>
  <c r="AE524" i="22"/>
  <c r="AF524" i="22"/>
  <c r="Y525" i="22"/>
  <c r="Z525" i="22"/>
  <c r="AE525" i="22"/>
  <c r="AF525" i="22"/>
  <c r="Y526" i="22"/>
  <c r="Z526" i="22"/>
  <c r="AE526" i="22"/>
  <c r="AF526" i="22"/>
  <c r="Y527" i="22"/>
  <c r="Z527" i="22"/>
  <c r="AE527" i="22"/>
  <c r="AF527" i="22"/>
  <c r="Y528" i="22"/>
  <c r="Z528" i="22"/>
  <c r="AE528" i="22"/>
  <c r="AF528" i="22"/>
  <c r="Y529" i="22"/>
  <c r="Z529" i="22"/>
  <c r="AE529" i="22"/>
  <c r="AF529" i="22"/>
  <c r="Y530" i="22"/>
  <c r="Z530" i="22"/>
  <c r="AE530" i="22"/>
  <c r="AF530" i="22"/>
  <c r="Y531" i="22"/>
  <c r="Z531" i="22"/>
  <c r="AE531" i="22"/>
  <c r="AF531" i="22"/>
  <c r="Y532" i="22"/>
  <c r="Z532" i="22"/>
  <c r="AE532" i="22"/>
  <c r="AF532" i="22"/>
  <c r="Y533" i="22"/>
  <c r="Z533" i="22"/>
  <c r="AE533" i="22"/>
  <c r="AF533" i="22"/>
  <c r="Y534" i="22"/>
  <c r="Z534" i="22"/>
  <c r="AE534" i="22"/>
  <c r="AF534" i="22"/>
  <c r="Y535" i="22"/>
  <c r="Z535" i="22"/>
  <c r="AE535" i="22"/>
  <c r="AF535" i="22"/>
  <c r="Y536" i="22"/>
  <c r="Z536" i="22"/>
  <c r="AE536" i="22"/>
  <c r="AF536" i="22"/>
  <c r="Y537" i="22"/>
  <c r="Z537" i="22"/>
  <c r="AE537" i="22"/>
  <c r="AF537" i="22"/>
  <c r="Y538" i="22"/>
  <c r="Z538" i="22"/>
  <c r="AE538" i="22"/>
  <c r="AF538" i="22"/>
  <c r="Y539" i="22"/>
  <c r="Z539" i="22"/>
  <c r="AE539" i="22"/>
  <c r="AF539" i="22"/>
  <c r="Y540" i="22"/>
  <c r="Z540" i="22"/>
  <c r="AE540" i="22"/>
  <c r="AF540" i="22"/>
  <c r="Y541" i="22"/>
  <c r="Z541" i="22"/>
  <c r="AE541" i="22"/>
  <c r="AF541" i="22"/>
  <c r="Y542" i="22"/>
  <c r="Z542" i="22"/>
  <c r="AE542" i="22"/>
  <c r="AF542" i="22"/>
  <c r="Y543" i="22"/>
  <c r="Z543" i="22"/>
  <c r="AE543" i="22"/>
  <c r="AF543" i="22"/>
  <c r="Y544" i="22"/>
  <c r="Z544" i="22"/>
  <c r="AE544" i="22"/>
  <c r="AF544" i="22"/>
  <c r="Y545" i="22"/>
  <c r="Z545" i="22"/>
  <c r="AE545" i="22"/>
  <c r="AF545" i="22"/>
  <c r="Y546" i="22"/>
  <c r="Z546" i="22"/>
  <c r="AE546" i="22"/>
  <c r="AF546" i="22"/>
  <c r="Y547" i="22"/>
  <c r="Z547" i="22"/>
  <c r="AE547" i="22"/>
  <c r="AF547" i="22"/>
  <c r="Y548" i="22"/>
  <c r="Z548" i="22"/>
  <c r="AE548" i="22"/>
  <c r="AF548" i="22"/>
  <c r="Y549" i="22"/>
  <c r="Z549" i="22"/>
  <c r="AE549" i="22"/>
  <c r="AF549" i="22"/>
  <c r="Y550" i="22"/>
  <c r="Z550" i="22"/>
  <c r="AE550" i="22"/>
  <c r="AF550" i="22"/>
  <c r="Y551" i="22"/>
  <c r="Z551" i="22"/>
  <c r="AE551" i="22"/>
  <c r="AF551" i="22"/>
  <c r="Y552" i="22"/>
  <c r="Z552" i="22"/>
  <c r="AE552" i="22"/>
  <c r="AF552" i="22"/>
  <c r="Y553" i="22"/>
  <c r="Z553" i="22"/>
  <c r="AE553" i="22"/>
  <c r="AF553" i="22"/>
  <c r="Y554" i="22"/>
  <c r="Z554" i="22"/>
  <c r="AE554" i="22"/>
  <c r="AF554" i="22"/>
  <c r="Y555" i="22"/>
  <c r="Z555" i="22"/>
  <c r="AE555" i="22"/>
  <c r="AF555" i="22"/>
  <c r="Y556" i="22"/>
  <c r="Z556" i="22"/>
  <c r="AE556" i="22"/>
  <c r="AF556" i="22"/>
  <c r="Y557" i="22"/>
  <c r="Z557" i="22"/>
  <c r="AE557" i="22"/>
  <c r="AF557" i="22"/>
  <c r="Y558" i="22"/>
  <c r="Z558" i="22"/>
  <c r="AE558" i="22"/>
  <c r="AF558" i="22"/>
  <c r="Y559" i="22"/>
  <c r="Z559" i="22"/>
  <c r="AE559" i="22"/>
  <c r="AF559" i="22"/>
  <c r="Y560" i="22"/>
  <c r="Z560" i="22"/>
  <c r="AE560" i="22"/>
  <c r="AF560" i="22"/>
  <c r="Y561" i="22"/>
  <c r="Z561" i="22"/>
  <c r="AE561" i="22"/>
  <c r="AF561" i="22"/>
  <c r="Y562" i="22"/>
  <c r="Z562" i="22"/>
  <c r="AE562" i="22"/>
  <c r="AF562" i="22"/>
  <c r="Y563" i="22"/>
  <c r="Z563" i="22"/>
  <c r="AE563" i="22"/>
  <c r="AF563" i="22"/>
  <c r="Y564" i="22"/>
  <c r="Z564" i="22"/>
  <c r="AE564" i="22"/>
  <c r="AF564" i="22"/>
  <c r="Y565" i="22"/>
  <c r="Z565" i="22"/>
  <c r="AE565" i="22"/>
  <c r="AF565" i="22"/>
  <c r="Y566" i="22"/>
  <c r="Z566" i="22"/>
  <c r="AE566" i="22"/>
  <c r="AF566" i="22"/>
  <c r="Y567" i="22"/>
  <c r="Z567" i="22"/>
  <c r="AE567" i="22"/>
  <c r="AF567" i="22"/>
  <c r="Y568" i="22"/>
  <c r="Z568" i="22"/>
  <c r="AE568" i="22"/>
  <c r="AF568" i="22"/>
  <c r="Y569" i="22"/>
  <c r="Z569" i="22"/>
  <c r="AE569" i="22"/>
  <c r="AF569" i="22"/>
  <c r="Y570" i="22"/>
  <c r="Z570" i="22"/>
  <c r="AE570" i="22"/>
  <c r="AF570" i="22"/>
  <c r="Y571" i="22"/>
  <c r="Z571" i="22"/>
  <c r="AE571" i="22"/>
  <c r="AF571" i="22"/>
  <c r="Y572" i="22"/>
  <c r="Z572" i="22"/>
  <c r="AE572" i="22"/>
  <c r="AF572" i="22"/>
  <c r="Y573" i="22"/>
  <c r="Z573" i="22"/>
  <c r="AE573" i="22"/>
  <c r="AF573" i="22"/>
  <c r="Y574" i="22"/>
  <c r="Z574" i="22"/>
  <c r="AE574" i="22"/>
  <c r="AF574" i="22"/>
  <c r="Y575" i="22"/>
  <c r="Z575" i="22"/>
  <c r="AE575" i="22"/>
  <c r="AF575" i="22"/>
  <c r="Y576" i="22"/>
  <c r="Z576" i="22"/>
  <c r="AE576" i="22"/>
  <c r="AF576" i="22"/>
  <c r="Y577" i="22"/>
  <c r="Z577" i="22"/>
  <c r="AE577" i="22"/>
  <c r="AF577" i="22"/>
  <c r="Y578" i="22"/>
  <c r="Z578" i="22"/>
  <c r="AE578" i="22"/>
  <c r="AF578" i="22"/>
  <c r="Y579" i="22"/>
  <c r="Z579" i="22"/>
  <c r="AE579" i="22"/>
  <c r="AF579" i="22"/>
  <c r="Y580" i="22"/>
  <c r="Z580" i="22"/>
  <c r="AE580" i="22"/>
  <c r="AF580" i="22"/>
  <c r="Y581" i="22"/>
  <c r="Z581" i="22"/>
  <c r="AE581" i="22"/>
  <c r="AF581" i="22"/>
  <c r="Y582" i="22"/>
  <c r="Z582" i="22"/>
  <c r="AE582" i="22"/>
  <c r="AF582" i="22"/>
  <c r="Y583" i="22"/>
  <c r="Z583" i="22"/>
  <c r="AE583" i="22"/>
  <c r="AF583" i="22"/>
  <c r="Y584" i="22"/>
  <c r="Z584" i="22"/>
  <c r="AE584" i="22"/>
  <c r="AF584" i="22"/>
  <c r="Y585" i="22"/>
  <c r="Z585" i="22"/>
  <c r="AE585" i="22"/>
  <c r="AF585" i="22"/>
  <c r="Y586" i="22"/>
  <c r="Z586" i="22"/>
  <c r="AE586" i="22"/>
  <c r="AF586" i="22"/>
  <c r="Y587" i="22"/>
  <c r="Z587" i="22"/>
  <c r="AE587" i="22"/>
  <c r="AF587" i="22"/>
  <c r="Y588" i="22"/>
  <c r="Z588" i="22"/>
  <c r="AE588" i="22"/>
  <c r="AF588" i="22"/>
  <c r="Y589" i="22"/>
  <c r="Z589" i="22"/>
  <c r="AE589" i="22"/>
  <c r="AF589" i="22"/>
  <c r="Y590" i="22"/>
  <c r="Z590" i="22"/>
  <c r="AE590" i="22"/>
  <c r="AF590" i="22"/>
  <c r="Y591" i="22"/>
  <c r="Z591" i="22"/>
  <c r="AE591" i="22"/>
  <c r="AF591" i="22"/>
  <c r="Y592" i="22"/>
  <c r="Z592" i="22"/>
  <c r="AE592" i="22"/>
  <c r="AF592" i="22"/>
  <c r="Y593" i="22"/>
  <c r="Z593" i="22"/>
  <c r="AE593" i="22"/>
  <c r="AF593" i="22"/>
  <c r="Y594" i="22"/>
  <c r="Z594" i="22"/>
  <c r="AE594" i="22"/>
  <c r="AF594" i="22"/>
  <c r="Y595" i="22"/>
  <c r="Z595" i="22"/>
  <c r="AE595" i="22"/>
  <c r="AF595" i="22"/>
  <c r="Y596" i="22"/>
  <c r="Z596" i="22"/>
  <c r="AE596" i="22"/>
  <c r="AF596" i="22"/>
  <c r="Y597" i="22"/>
  <c r="Z597" i="22"/>
  <c r="AE597" i="22"/>
  <c r="AF597" i="22"/>
  <c r="Y598" i="22"/>
  <c r="Z598" i="22"/>
  <c r="AE598" i="22"/>
  <c r="AF598" i="22"/>
  <c r="Y599" i="22"/>
  <c r="Z599" i="22"/>
  <c r="AE599" i="22"/>
  <c r="AF599" i="22"/>
  <c r="Y600" i="22"/>
  <c r="Z600" i="22"/>
  <c r="AE600" i="22"/>
  <c r="AF600" i="22"/>
  <c r="Y601" i="22"/>
  <c r="Z601" i="22"/>
  <c r="AE601" i="22"/>
  <c r="AF601" i="22"/>
  <c r="Y602" i="22"/>
  <c r="Z602" i="22"/>
  <c r="AE602" i="22"/>
  <c r="AF602" i="22"/>
  <c r="Y603" i="22"/>
  <c r="Z603" i="22"/>
  <c r="AE603" i="22"/>
  <c r="AF603" i="22"/>
  <c r="Y604" i="22"/>
  <c r="Z604" i="22"/>
  <c r="AE604" i="22"/>
  <c r="AF604" i="22"/>
  <c r="Y605" i="22"/>
  <c r="Z605" i="22"/>
  <c r="AE605" i="22"/>
  <c r="AF605" i="22"/>
  <c r="Y606" i="22"/>
  <c r="Z606" i="22"/>
  <c r="AE606" i="22"/>
  <c r="AF606" i="22"/>
  <c r="Y607" i="22"/>
  <c r="Z607" i="22"/>
  <c r="AE607" i="22"/>
  <c r="AF607" i="22"/>
  <c r="Y608" i="22"/>
  <c r="Z608" i="22"/>
  <c r="AE608" i="22"/>
  <c r="AF608" i="22"/>
  <c r="Y609" i="22"/>
  <c r="Z609" i="22"/>
  <c r="AE609" i="22"/>
  <c r="AF609" i="22"/>
  <c r="Y610" i="22"/>
  <c r="Z610" i="22"/>
  <c r="AE610" i="22"/>
  <c r="AF610" i="22"/>
  <c r="Y611" i="22"/>
  <c r="Z611" i="22"/>
  <c r="AE611" i="22"/>
  <c r="AF611" i="22"/>
  <c r="Y612" i="22"/>
  <c r="Z612" i="22"/>
  <c r="AE612" i="22"/>
  <c r="AF612" i="22"/>
  <c r="Y613" i="22"/>
  <c r="Z613" i="22"/>
  <c r="AE613" i="22"/>
  <c r="AF613" i="22"/>
  <c r="Y614" i="22"/>
  <c r="Z614" i="22"/>
  <c r="AE614" i="22"/>
  <c r="AF614" i="22"/>
  <c r="Y615" i="22"/>
  <c r="Z615" i="22"/>
  <c r="AE615" i="22"/>
  <c r="AF615" i="22"/>
  <c r="Y616" i="22"/>
  <c r="Z616" i="22"/>
  <c r="AE616" i="22"/>
  <c r="AF616" i="22"/>
  <c r="Y617" i="22"/>
  <c r="Z617" i="22"/>
  <c r="AE617" i="22"/>
  <c r="AF617" i="22"/>
  <c r="Y618" i="22"/>
  <c r="Z618" i="22"/>
  <c r="AE618" i="22"/>
  <c r="AF618" i="22"/>
  <c r="Y619" i="22"/>
  <c r="Z619" i="22"/>
  <c r="AE619" i="22"/>
  <c r="AF619" i="22"/>
  <c r="Y620" i="22"/>
  <c r="Z620" i="22"/>
  <c r="AE620" i="22"/>
  <c r="AF620" i="22"/>
  <c r="Y621" i="22"/>
  <c r="Z621" i="22"/>
  <c r="AE621" i="22"/>
  <c r="AF621" i="22"/>
  <c r="Y622" i="22"/>
  <c r="Z622" i="22"/>
  <c r="AE622" i="22"/>
  <c r="AF622" i="22"/>
  <c r="Y623" i="22"/>
  <c r="Z623" i="22"/>
  <c r="AE623" i="22"/>
  <c r="AF623" i="22"/>
  <c r="Y624" i="22"/>
  <c r="Z624" i="22"/>
  <c r="AE624" i="22"/>
  <c r="AF624" i="22"/>
  <c r="Y625" i="22"/>
  <c r="Z625" i="22"/>
  <c r="AE625" i="22"/>
  <c r="AF625" i="22"/>
  <c r="Y626" i="22"/>
  <c r="Z626" i="22"/>
  <c r="AE626" i="22"/>
  <c r="AF626" i="22"/>
  <c r="Y627" i="22"/>
  <c r="Z627" i="22"/>
  <c r="AE627" i="22"/>
  <c r="AF627" i="22"/>
  <c r="Y628" i="22"/>
  <c r="Z628" i="22"/>
  <c r="AE628" i="22"/>
  <c r="AF628" i="22"/>
  <c r="Y629" i="22"/>
  <c r="Z629" i="22"/>
  <c r="AE629" i="22"/>
  <c r="AF629" i="22"/>
  <c r="Y630" i="22"/>
  <c r="Z630" i="22"/>
  <c r="AE630" i="22"/>
  <c r="AF630" i="22"/>
  <c r="Y631" i="22"/>
  <c r="Z631" i="22"/>
  <c r="AE631" i="22"/>
  <c r="AF631" i="22"/>
  <c r="Y632" i="22"/>
  <c r="Z632" i="22"/>
  <c r="AE632" i="22"/>
  <c r="AF632" i="22"/>
  <c r="Y633" i="22"/>
  <c r="Z633" i="22"/>
  <c r="AE633" i="22"/>
  <c r="AF633" i="22"/>
  <c r="Y634" i="22"/>
  <c r="Z634" i="22"/>
  <c r="AE634" i="22"/>
  <c r="AF634" i="22"/>
  <c r="Y635" i="22"/>
  <c r="Z635" i="22"/>
  <c r="AE635" i="22"/>
  <c r="AF635" i="22"/>
  <c r="Y636" i="22"/>
  <c r="Z636" i="22"/>
  <c r="AE636" i="22"/>
  <c r="AF636" i="22"/>
  <c r="Y637" i="22"/>
  <c r="Z637" i="22"/>
  <c r="AE637" i="22"/>
  <c r="AF637" i="22"/>
  <c r="Y638" i="22"/>
  <c r="Z638" i="22"/>
  <c r="AE638" i="22"/>
  <c r="AF638" i="22"/>
  <c r="Y639" i="22"/>
  <c r="Z639" i="22"/>
  <c r="AE639" i="22"/>
  <c r="AF639" i="22"/>
  <c r="Y640" i="22"/>
  <c r="Z640" i="22"/>
  <c r="AE640" i="22"/>
  <c r="AF640" i="22"/>
  <c r="Y641" i="22"/>
  <c r="Z641" i="22"/>
  <c r="AE641" i="22"/>
  <c r="AF641" i="22"/>
  <c r="Y642" i="22"/>
  <c r="Z642" i="22"/>
  <c r="AE642" i="22"/>
  <c r="AF642" i="22"/>
  <c r="Y643" i="22"/>
  <c r="Z643" i="22"/>
  <c r="AE643" i="22"/>
  <c r="AF643" i="22"/>
  <c r="Y644" i="22"/>
  <c r="Z644" i="22"/>
  <c r="AE644" i="22"/>
  <c r="AF644" i="22"/>
  <c r="Y645" i="22"/>
  <c r="Z645" i="22"/>
  <c r="AE645" i="22"/>
  <c r="AF645" i="22"/>
  <c r="Y646" i="22"/>
  <c r="Z646" i="22"/>
  <c r="AE646" i="22"/>
  <c r="AF646" i="22"/>
  <c r="Y647" i="22"/>
  <c r="Z647" i="22"/>
  <c r="AE647" i="22"/>
  <c r="AF647" i="22"/>
  <c r="Y648" i="22"/>
  <c r="Z648" i="22"/>
  <c r="AE648" i="22"/>
  <c r="AF648" i="22"/>
  <c r="Y649" i="22"/>
  <c r="Z649" i="22"/>
  <c r="AE649" i="22"/>
  <c r="AF649" i="22"/>
  <c r="Y650" i="22"/>
  <c r="Z650" i="22"/>
  <c r="AE650" i="22"/>
  <c r="AF650" i="22"/>
  <c r="Y651" i="22"/>
  <c r="Z651" i="22"/>
  <c r="AE651" i="22"/>
  <c r="AF651" i="22"/>
  <c r="Y652" i="22"/>
  <c r="Z652" i="22"/>
  <c r="AE652" i="22"/>
  <c r="AF652" i="22"/>
  <c r="Y653" i="22"/>
  <c r="Z653" i="22"/>
  <c r="AE653" i="22"/>
  <c r="AF653" i="22"/>
  <c r="Y654" i="22"/>
  <c r="Z654" i="22"/>
  <c r="AE654" i="22"/>
  <c r="AF654" i="22"/>
  <c r="Y655" i="22"/>
  <c r="Z655" i="22"/>
  <c r="AE655" i="22"/>
  <c r="AF655" i="22"/>
  <c r="Y656" i="22"/>
  <c r="Z656" i="22"/>
  <c r="AE656" i="22"/>
  <c r="AF656" i="22"/>
  <c r="Y657" i="22"/>
  <c r="Z657" i="22"/>
  <c r="AE657" i="22"/>
  <c r="AF657" i="22"/>
  <c r="Y658" i="22"/>
  <c r="Z658" i="22"/>
  <c r="AE658" i="22"/>
  <c r="AF658" i="22"/>
  <c r="Y659" i="22"/>
  <c r="Z659" i="22"/>
  <c r="AE659" i="22"/>
  <c r="AF659" i="22"/>
  <c r="Y660" i="22"/>
  <c r="Z660" i="22"/>
  <c r="AE660" i="22"/>
  <c r="AF660" i="22"/>
  <c r="Y661" i="22"/>
  <c r="Z661" i="22"/>
  <c r="AE661" i="22"/>
  <c r="AF661" i="22"/>
  <c r="Y662" i="22"/>
  <c r="Z662" i="22"/>
  <c r="AE662" i="22"/>
  <c r="AF662" i="22"/>
  <c r="Y663" i="22"/>
  <c r="Z663" i="22"/>
  <c r="AE663" i="22"/>
  <c r="AF663" i="22"/>
  <c r="Y664" i="22"/>
  <c r="Z664" i="22"/>
  <c r="AE664" i="22"/>
  <c r="AF664" i="22"/>
  <c r="Y665" i="22"/>
  <c r="Z665" i="22"/>
  <c r="AE665" i="22"/>
  <c r="AF665" i="22"/>
  <c r="Y666" i="22"/>
  <c r="Z666" i="22"/>
  <c r="AE666" i="22"/>
  <c r="AF666" i="22"/>
  <c r="Y667" i="22"/>
  <c r="Z667" i="22"/>
  <c r="AE667" i="22"/>
  <c r="AF667" i="22"/>
  <c r="Y668" i="22"/>
  <c r="Z668" i="22"/>
  <c r="AE668" i="22"/>
  <c r="AF668" i="22"/>
  <c r="Y669" i="22"/>
  <c r="Z669" i="22"/>
  <c r="AE669" i="22"/>
  <c r="AF669" i="22"/>
  <c r="Y670" i="22"/>
  <c r="Z670" i="22"/>
  <c r="AE670" i="22"/>
  <c r="AF670" i="22"/>
  <c r="Y671" i="22"/>
  <c r="Z671" i="22"/>
  <c r="AE671" i="22"/>
  <c r="AF671" i="22"/>
  <c r="Y672" i="22"/>
  <c r="Z672" i="22"/>
  <c r="AE672" i="22"/>
  <c r="AF672" i="22"/>
  <c r="Y673" i="22"/>
  <c r="Z673" i="22"/>
  <c r="AE673" i="22"/>
  <c r="AF673" i="22"/>
  <c r="Y674" i="22"/>
  <c r="Z674" i="22"/>
  <c r="AE674" i="22"/>
  <c r="AF674" i="22"/>
  <c r="Y675" i="22"/>
  <c r="Z675" i="22"/>
  <c r="AE675" i="22"/>
  <c r="AF675" i="22"/>
  <c r="Y676" i="22"/>
  <c r="Z676" i="22"/>
  <c r="AE676" i="22"/>
  <c r="AF676" i="22"/>
  <c r="Y677" i="22"/>
  <c r="Z677" i="22"/>
  <c r="AE677" i="22"/>
  <c r="AF677" i="22"/>
  <c r="Y678" i="22"/>
  <c r="Z678" i="22"/>
  <c r="AE678" i="22"/>
  <c r="AF678" i="22"/>
  <c r="Y679" i="22"/>
  <c r="Z679" i="22"/>
  <c r="AE679" i="22"/>
  <c r="AF679" i="22"/>
  <c r="Y680" i="22"/>
  <c r="Z680" i="22"/>
  <c r="AE680" i="22"/>
  <c r="AF680" i="22"/>
  <c r="Y681" i="22"/>
  <c r="Z681" i="22"/>
  <c r="AE681" i="22"/>
  <c r="AF681" i="22"/>
  <c r="Y682" i="22"/>
  <c r="Z682" i="22"/>
  <c r="AE682" i="22"/>
  <c r="AF682" i="22"/>
  <c r="Y683" i="22"/>
  <c r="Z683" i="22"/>
  <c r="AE683" i="22"/>
  <c r="AF683" i="22"/>
  <c r="Y684" i="22"/>
  <c r="Z684" i="22"/>
  <c r="AE684" i="22"/>
  <c r="AF684" i="22"/>
  <c r="Y685" i="22"/>
  <c r="Z685" i="22"/>
  <c r="AE685" i="22"/>
  <c r="AF685" i="22"/>
  <c r="Y686" i="22"/>
  <c r="Z686" i="22"/>
  <c r="AE686" i="22"/>
  <c r="AF686" i="22"/>
  <c r="Y687" i="22"/>
  <c r="Z687" i="22"/>
  <c r="AE687" i="22"/>
  <c r="AF687" i="22"/>
  <c r="Y688" i="22"/>
  <c r="Z688" i="22"/>
  <c r="AE688" i="22"/>
  <c r="AF688" i="22"/>
  <c r="Y689" i="22"/>
  <c r="Z689" i="22"/>
  <c r="AE689" i="22"/>
  <c r="AF689" i="22"/>
  <c r="Y690" i="22"/>
  <c r="Z690" i="22"/>
  <c r="AE690" i="22"/>
  <c r="AF690" i="22"/>
  <c r="Y691" i="22"/>
  <c r="Z691" i="22"/>
  <c r="AE691" i="22"/>
  <c r="AF691" i="22"/>
  <c r="Y692" i="22"/>
  <c r="Z692" i="22"/>
  <c r="AE692" i="22"/>
  <c r="AF692" i="22"/>
  <c r="Y693" i="22"/>
  <c r="Z693" i="22"/>
  <c r="AE693" i="22"/>
  <c r="AF693" i="22"/>
  <c r="Y694" i="22"/>
  <c r="Z694" i="22"/>
  <c r="AE694" i="22"/>
  <c r="AF694" i="22"/>
  <c r="Y695" i="22"/>
  <c r="Z695" i="22"/>
  <c r="AE695" i="22"/>
  <c r="AF695" i="22"/>
  <c r="Y696" i="22"/>
  <c r="Z696" i="22"/>
  <c r="AE696" i="22"/>
  <c r="AF696" i="22"/>
  <c r="Y697" i="22"/>
  <c r="Z697" i="22"/>
  <c r="AE697" i="22"/>
  <c r="AF697" i="22"/>
  <c r="Y698" i="22"/>
  <c r="Z698" i="22"/>
  <c r="AE698" i="22"/>
  <c r="AF698" i="22"/>
  <c r="Y699" i="22"/>
  <c r="Z699" i="22"/>
  <c r="AE699" i="22"/>
  <c r="AF699" i="22"/>
  <c r="Y700" i="22"/>
  <c r="Z700" i="22"/>
  <c r="AE700" i="22"/>
  <c r="AF700" i="22"/>
  <c r="Y701" i="22"/>
  <c r="Z701" i="22"/>
  <c r="AE701" i="22"/>
  <c r="AF701" i="22"/>
  <c r="Y702" i="22"/>
  <c r="Z702" i="22"/>
  <c r="AE702" i="22"/>
  <c r="AF702" i="22"/>
  <c r="Z703" i="22"/>
  <c r="AF703" i="22"/>
  <c r="Z704" i="22"/>
  <c r="AF704" i="22"/>
  <c r="Z705" i="22"/>
  <c r="AF705" i="22"/>
  <c r="Z706" i="22"/>
  <c r="AF706" i="22"/>
  <c r="Z707" i="22"/>
  <c r="AF707" i="22"/>
  <c r="Z708" i="22"/>
  <c r="AF708" i="22"/>
  <c r="Z709" i="22"/>
  <c r="AF709" i="22"/>
  <c r="Z710" i="22"/>
  <c r="AF710" i="22"/>
  <c r="Z711" i="22"/>
  <c r="AF711" i="22"/>
  <c r="Z712" i="22"/>
  <c r="AF712" i="22"/>
  <c r="Z713" i="22"/>
  <c r="AF713" i="22"/>
  <c r="Z714" i="22"/>
  <c r="AF714" i="22"/>
  <c r="Z715" i="22"/>
  <c r="AF715" i="22"/>
  <c r="Z716" i="22"/>
  <c r="AF716" i="22"/>
  <c r="Z717" i="22"/>
  <c r="AF717" i="22"/>
  <c r="Z718" i="22"/>
  <c r="AF718" i="22"/>
  <c r="Z719" i="22"/>
  <c r="AF719" i="22"/>
  <c r="Z720" i="22"/>
  <c r="AF720" i="22"/>
  <c r="Z721" i="22"/>
  <c r="AF721" i="22"/>
  <c r="Z722" i="22"/>
  <c r="AF722" i="22"/>
  <c r="Z723" i="22"/>
  <c r="AF723" i="22"/>
  <c r="Z724" i="22"/>
  <c r="AF724" i="22"/>
  <c r="Z725" i="22"/>
  <c r="AF725" i="22"/>
  <c r="Z726" i="22"/>
  <c r="AF726" i="22"/>
  <c r="Z727" i="22"/>
  <c r="AF727" i="22"/>
  <c r="Z728" i="22"/>
  <c r="AF728" i="22"/>
  <c r="Z729" i="22"/>
  <c r="AF729" i="22"/>
  <c r="Z730" i="22"/>
  <c r="AF730" i="22"/>
  <c r="Z731" i="22"/>
  <c r="AF731" i="22"/>
  <c r="Z732" i="22"/>
  <c r="AF732" i="22"/>
  <c r="Z733" i="22"/>
  <c r="AF733" i="22"/>
  <c r="Z734" i="22"/>
  <c r="AF734" i="22"/>
  <c r="Z735" i="22"/>
  <c r="AF735" i="22"/>
  <c r="Z736" i="22"/>
  <c r="AF736" i="22"/>
  <c r="Z737" i="22"/>
  <c r="AF737" i="22"/>
  <c r="Z738" i="22"/>
  <c r="AF738" i="22"/>
  <c r="Z739" i="22"/>
  <c r="AF739" i="22"/>
  <c r="Z740" i="22"/>
  <c r="AF740" i="22"/>
  <c r="Z741" i="22"/>
  <c r="AF741" i="22"/>
  <c r="Z742" i="22"/>
  <c r="AF742" i="22"/>
  <c r="Z743" i="22"/>
  <c r="AF743" i="22"/>
  <c r="Z744" i="22"/>
  <c r="AF744" i="22"/>
  <c r="Z745" i="22"/>
  <c r="AF745" i="22"/>
  <c r="Z746" i="22"/>
  <c r="AF746" i="22"/>
  <c r="Z747" i="22"/>
  <c r="AF747" i="22"/>
  <c r="Z748" i="22"/>
  <c r="AF748" i="22"/>
  <c r="Z749" i="22"/>
  <c r="AF749" i="22"/>
  <c r="Z750" i="22"/>
  <c r="AF750" i="22"/>
  <c r="Z751" i="22"/>
  <c r="AF751" i="22"/>
  <c r="Z752" i="22"/>
  <c r="AF752" i="22"/>
  <c r="Z753" i="22"/>
  <c r="AF753" i="22"/>
  <c r="Z754" i="22"/>
  <c r="AF754" i="22"/>
  <c r="Z755" i="22"/>
  <c r="AF755" i="22"/>
  <c r="Z756" i="22"/>
  <c r="AF756" i="22"/>
  <c r="Z757" i="22"/>
  <c r="AF757" i="22"/>
  <c r="Z758" i="22"/>
  <c r="AF758" i="22"/>
  <c r="Z759" i="22"/>
  <c r="AF759" i="22"/>
  <c r="Z760" i="22"/>
  <c r="AF760" i="22"/>
  <c r="Z761" i="22"/>
  <c r="AF761" i="22"/>
  <c r="Z762" i="22"/>
  <c r="AF762" i="22"/>
  <c r="Z763" i="22"/>
  <c r="AF763" i="22"/>
  <c r="Z764" i="22"/>
  <c r="AF764" i="22"/>
  <c r="Z765" i="22"/>
  <c r="AF765" i="22"/>
  <c r="Z766" i="22"/>
  <c r="AF766" i="22"/>
  <c r="Z767" i="22"/>
  <c r="AF767" i="22"/>
  <c r="Z768" i="22"/>
  <c r="AF768" i="22"/>
  <c r="Y769" i="22"/>
  <c r="AE769" i="22"/>
  <c r="Y770" i="22"/>
  <c r="AE770" i="22"/>
  <c r="Y771" i="22"/>
  <c r="AE771" i="22"/>
  <c r="Y772" i="22"/>
  <c r="AE772" i="22"/>
  <c r="Y773" i="22"/>
  <c r="AE773" i="22"/>
  <c r="Y774" i="22"/>
  <c r="AE774" i="22"/>
  <c r="Y775" i="22"/>
  <c r="AE775" i="22"/>
  <c r="Y776" i="22"/>
  <c r="AE776" i="22"/>
  <c r="Y777" i="22"/>
  <c r="AE777" i="22"/>
  <c r="Y778" i="22"/>
  <c r="AE778" i="22"/>
  <c r="Y779" i="22"/>
  <c r="AE779" i="22"/>
  <c r="Y780" i="22"/>
  <c r="AE780" i="22"/>
  <c r="Y781" i="22"/>
  <c r="AE781" i="22"/>
  <c r="Y782" i="22"/>
  <c r="AE782" i="22"/>
  <c r="Y783" i="22"/>
  <c r="AE783" i="22"/>
  <c r="Y784" i="22"/>
  <c r="AE784" i="22"/>
  <c r="Y785" i="22"/>
  <c r="AE785" i="22"/>
  <c r="Y786" i="22"/>
  <c r="AE786" i="22"/>
  <c r="Y787" i="22"/>
  <c r="AE787" i="22"/>
  <c r="Y788" i="22"/>
  <c r="AE788" i="22"/>
  <c r="Y789" i="22"/>
  <c r="AE789" i="22"/>
  <c r="Y790" i="22"/>
  <c r="AE790" i="22"/>
  <c r="Y791" i="22"/>
  <c r="AE791" i="22"/>
  <c r="Y792" i="22"/>
  <c r="AE792" i="22"/>
  <c r="Y793" i="22"/>
  <c r="AE793" i="22"/>
  <c r="Y794" i="22"/>
  <c r="AE794" i="22"/>
  <c r="Y795" i="22"/>
  <c r="AE795" i="22"/>
  <c r="Y796" i="22"/>
  <c r="AE796" i="22"/>
  <c r="Y797" i="22"/>
  <c r="AE797" i="22"/>
  <c r="Y798" i="22"/>
  <c r="AE798" i="22"/>
  <c r="Y799" i="22"/>
  <c r="AE799" i="22"/>
  <c r="Y800" i="22"/>
  <c r="AE800" i="22"/>
  <c r="Y801" i="22"/>
  <c r="AE801" i="22"/>
  <c r="Y802" i="22"/>
  <c r="AE802" i="22"/>
  <c r="Y803" i="22"/>
  <c r="AE803" i="22"/>
  <c r="Y804" i="22"/>
  <c r="AE804" i="22"/>
  <c r="Y805" i="22"/>
  <c r="AE805" i="22"/>
  <c r="Y806" i="22"/>
  <c r="AE806" i="22"/>
  <c r="Y807" i="22"/>
  <c r="AE807" i="22"/>
  <c r="Y808" i="22"/>
  <c r="AE808" i="22"/>
  <c r="Y809" i="22"/>
  <c r="AE809" i="22"/>
  <c r="Y810" i="22"/>
  <c r="AE810" i="22"/>
  <c r="Y811" i="22"/>
  <c r="AE811" i="22"/>
  <c r="Y812" i="22"/>
  <c r="AE812" i="22"/>
  <c r="Y813" i="22"/>
  <c r="AE813" i="22"/>
  <c r="Y814" i="22"/>
  <c r="AE814" i="22"/>
  <c r="Y815" i="22"/>
  <c r="AE815" i="22"/>
  <c r="Y816" i="22"/>
  <c r="AE816" i="22"/>
  <c r="Y817" i="22"/>
  <c r="AE817" i="22"/>
  <c r="Y818" i="22"/>
  <c r="AE818" i="22"/>
  <c r="Y819" i="22"/>
  <c r="AE819" i="22"/>
  <c r="Y820" i="22"/>
  <c r="AE820" i="22"/>
  <c r="Y821" i="22"/>
  <c r="AE821" i="22"/>
  <c r="Y822" i="22"/>
  <c r="AE822" i="22"/>
  <c r="Y823" i="22"/>
  <c r="AE823" i="22"/>
  <c r="Y824" i="22"/>
  <c r="AE824" i="22"/>
  <c r="Y825" i="22"/>
  <c r="AE825" i="22"/>
  <c r="Y826" i="22"/>
  <c r="AE826" i="22"/>
  <c r="Y827" i="22"/>
  <c r="AE827" i="22"/>
  <c r="Y828" i="22"/>
  <c r="AE828" i="22"/>
  <c r="Y829" i="22"/>
  <c r="AE829" i="22"/>
  <c r="Y830" i="22"/>
  <c r="AE830" i="22"/>
  <c r="Y831" i="22"/>
  <c r="AE831" i="22"/>
  <c r="Y832" i="22"/>
  <c r="AE832" i="22"/>
  <c r="Y833" i="22"/>
  <c r="AE833" i="22"/>
  <c r="Y834" i="22"/>
  <c r="AE834" i="22"/>
  <c r="Z835" i="22"/>
  <c r="AF835" i="22"/>
  <c r="Z836" i="22"/>
  <c r="AF836" i="22"/>
  <c r="Z837" i="22"/>
  <c r="AF837" i="22"/>
  <c r="Z838" i="22"/>
  <c r="AF838" i="22"/>
  <c r="Z839" i="22"/>
  <c r="AF839" i="22"/>
  <c r="Z840" i="22"/>
  <c r="AF840" i="22"/>
  <c r="Z841" i="22"/>
  <c r="AF841" i="22"/>
  <c r="Z842" i="22"/>
  <c r="AF842" i="22"/>
  <c r="Z843" i="22"/>
  <c r="AF843" i="22"/>
  <c r="Z844" i="22"/>
  <c r="AF844" i="22"/>
  <c r="Z845" i="22"/>
  <c r="AF845" i="22"/>
  <c r="Z846" i="22"/>
  <c r="AF846" i="22"/>
  <c r="Z847" i="22"/>
  <c r="AF847" i="22"/>
  <c r="Z848" i="22"/>
  <c r="AF848" i="22"/>
  <c r="Z849" i="22"/>
  <c r="AF849" i="22"/>
  <c r="Z850" i="22"/>
  <c r="AF850" i="22"/>
  <c r="Z851" i="22"/>
  <c r="AF851" i="22"/>
  <c r="Z852" i="22"/>
  <c r="AF852" i="22"/>
  <c r="Z853" i="22"/>
  <c r="AF853" i="22"/>
  <c r="Z854" i="22"/>
  <c r="AF854" i="22"/>
  <c r="Z855" i="22"/>
  <c r="AF855" i="22"/>
  <c r="Z856" i="22"/>
  <c r="AF856" i="22"/>
  <c r="Z857" i="22"/>
  <c r="AF857" i="22"/>
  <c r="Z858" i="22"/>
  <c r="AF858" i="22"/>
  <c r="Z859" i="22"/>
  <c r="AF859" i="22"/>
  <c r="Z860" i="22"/>
  <c r="AF860" i="22"/>
  <c r="Z861" i="22"/>
  <c r="AF861" i="22"/>
  <c r="Z862" i="22"/>
  <c r="AF862" i="22"/>
  <c r="Z863" i="22"/>
  <c r="AF863" i="22"/>
  <c r="Z864" i="22"/>
  <c r="AF864" i="22"/>
  <c r="Z865" i="22"/>
  <c r="AF865" i="22"/>
  <c r="Z866" i="22"/>
  <c r="AF866" i="22"/>
  <c r="Z867" i="22"/>
  <c r="AF867" i="22"/>
  <c r="Z868" i="22"/>
  <c r="AF868" i="22"/>
  <c r="Z869" i="22"/>
  <c r="AF869" i="22"/>
  <c r="Z870" i="22"/>
  <c r="AF870" i="22"/>
  <c r="Z871" i="22"/>
  <c r="AF871" i="22"/>
  <c r="Z872" i="22"/>
  <c r="AF872" i="22"/>
  <c r="Z873" i="22"/>
  <c r="AF873" i="22"/>
  <c r="Z874" i="22"/>
  <c r="AF874" i="22"/>
  <c r="Z875" i="22"/>
  <c r="AF875" i="22"/>
  <c r="Z876" i="22"/>
  <c r="AF876" i="22"/>
  <c r="Z877" i="22"/>
  <c r="AF877" i="22"/>
  <c r="Z878" i="22"/>
  <c r="AF878" i="22"/>
  <c r="Z879" i="22"/>
  <c r="AF879" i="22"/>
  <c r="Z880" i="22"/>
  <c r="AF880" i="22"/>
  <c r="Z881" i="22"/>
  <c r="AF881" i="22"/>
  <c r="Z882" i="22"/>
  <c r="AF882" i="22"/>
  <c r="Z883" i="22"/>
  <c r="AF883" i="22"/>
  <c r="Z884" i="22"/>
  <c r="AF884" i="22"/>
  <c r="Z885" i="22"/>
  <c r="AF885" i="22"/>
  <c r="Z886" i="22"/>
  <c r="AF886" i="22"/>
  <c r="Z887" i="22"/>
  <c r="AF887" i="22"/>
  <c r="Z888" i="22"/>
  <c r="AF888" i="22"/>
  <c r="Z889" i="22"/>
  <c r="AF889" i="22"/>
  <c r="Z890" i="22"/>
  <c r="AF890" i="22"/>
  <c r="Z891" i="22"/>
  <c r="AF891" i="22"/>
  <c r="Z892" i="22"/>
  <c r="AF892" i="22"/>
  <c r="Z893" i="22"/>
  <c r="AF893" i="22"/>
  <c r="Z894" i="22"/>
  <c r="AF894" i="22"/>
  <c r="Z895" i="22"/>
  <c r="AF895" i="22"/>
  <c r="Z896" i="22"/>
  <c r="AF896" i="22"/>
  <c r="Z897" i="22"/>
  <c r="AF897" i="22"/>
  <c r="Z898" i="22"/>
  <c r="AF898" i="22"/>
  <c r="Z899" i="22"/>
  <c r="AF899" i="22"/>
  <c r="Z900" i="22"/>
  <c r="AF900" i="22"/>
  <c r="Z901" i="22"/>
  <c r="AF901" i="22"/>
  <c r="Z902" i="22"/>
  <c r="AF902" i="22"/>
  <c r="Z903" i="22"/>
  <c r="AF903" i="22"/>
  <c r="Z904" i="22"/>
  <c r="AF904" i="22"/>
  <c r="Z905" i="22"/>
  <c r="AF905" i="22"/>
  <c r="Z906" i="22"/>
  <c r="AF906" i="22"/>
  <c r="Z907" i="22"/>
  <c r="AF907" i="22"/>
  <c r="Z908" i="22"/>
  <c r="AF908" i="22"/>
  <c r="Z909" i="22"/>
  <c r="AF909" i="22"/>
  <c r="Z910" i="22"/>
  <c r="AF910" i="22"/>
  <c r="Z911" i="22"/>
  <c r="AF911" i="22"/>
  <c r="Z912" i="22"/>
  <c r="AF912" i="22"/>
  <c r="Y913" i="22"/>
  <c r="AE913" i="22"/>
  <c r="Y914" i="22"/>
  <c r="AE914" i="22"/>
  <c r="Y915" i="22"/>
  <c r="AE915" i="22"/>
  <c r="Y916" i="22"/>
  <c r="AE916" i="22"/>
  <c r="Y917" i="22"/>
  <c r="AE917" i="22"/>
  <c r="Y918" i="22"/>
  <c r="AE918" i="22"/>
  <c r="Y919" i="22"/>
  <c r="AE919" i="22"/>
  <c r="Y920" i="22"/>
  <c r="AE920" i="22"/>
  <c r="Y921" i="22"/>
  <c r="AE921" i="22"/>
  <c r="Y922" i="22"/>
  <c r="AE922" i="22"/>
  <c r="Y923" i="22"/>
  <c r="AE923" i="22"/>
  <c r="Y924" i="22"/>
  <c r="AE924" i="22"/>
  <c r="Z925" i="22"/>
  <c r="AF925" i="22"/>
  <c r="Z926" i="22"/>
  <c r="AF926" i="22"/>
  <c r="Z927" i="22"/>
  <c r="AF927" i="22"/>
  <c r="Z928" i="22"/>
  <c r="AF928" i="22"/>
  <c r="Z929" i="22"/>
  <c r="AF929" i="22"/>
  <c r="Z930" i="22"/>
  <c r="AF930" i="22"/>
  <c r="Z931" i="22"/>
  <c r="AF931" i="22"/>
  <c r="Z932" i="22"/>
  <c r="AF932" i="22"/>
  <c r="Z933" i="22"/>
  <c r="AF933" i="22"/>
  <c r="Z934" i="22"/>
  <c r="AF934" i="22"/>
  <c r="Z935" i="22"/>
  <c r="AF935" i="22"/>
  <c r="Z936" i="22"/>
  <c r="AF936" i="22"/>
  <c r="Z937" i="22"/>
  <c r="AF937" i="22"/>
  <c r="Z938" i="22"/>
  <c r="AF938" i="22"/>
  <c r="Z939" i="22"/>
  <c r="AF939" i="22"/>
  <c r="Z940" i="22"/>
  <c r="AF940" i="22"/>
  <c r="Z941" i="22"/>
  <c r="AF941" i="22"/>
  <c r="Z942" i="22"/>
  <c r="AF942" i="22"/>
  <c r="Z943" i="22"/>
  <c r="AF943" i="22"/>
  <c r="Z944" i="22"/>
  <c r="AF944" i="22"/>
  <c r="Z945" i="22"/>
  <c r="AF945" i="22"/>
  <c r="Z946" i="22"/>
  <c r="AF946" i="22"/>
  <c r="Z947" i="22"/>
  <c r="AF947" i="22"/>
  <c r="Z948" i="22"/>
  <c r="AF948" i="22"/>
  <c r="Y949" i="22"/>
  <c r="AE949" i="22"/>
  <c r="Y950" i="22"/>
  <c r="AE950" i="22"/>
  <c r="Y951" i="22"/>
  <c r="AE951" i="22"/>
  <c r="Y952" i="22"/>
  <c r="AE952" i="22"/>
  <c r="Y953" i="22"/>
  <c r="AE953" i="22"/>
  <c r="Y954" i="22"/>
  <c r="AE954" i="22"/>
  <c r="Y955" i="22"/>
  <c r="AE955" i="22"/>
  <c r="Y956" i="22"/>
  <c r="AE956" i="22"/>
  <c r="Y957" i="22"/>
  <c r="AE957" i="22"/>
  <c r="Y958" i="22"/>
  <c r="AE958" i="22"/>
  <c r="Y959" i="22"/>
  <c r="AE959" i="22"/>
  <c r="Y960" i="22"/>
  <c r="AE960" i="22"/>
  <c r="Z961" i="22"/>
  <c r="AF961" i="22"/>
  <c r="Z962" i="22"/>
  <c r="AF962" i="22"/>
  <c r="Z963" i="22"/>
  <c r="AF963" i="22"/>
  <c r="Z964" i="22"/>
  <c r="AF964" i="22"/>
  <c r="Z965" i="22"/>
  <c r="AF965" i="22"/>
  <c r="Z966" i="22"/>
  <c r="AF966" i="22"/>
  <c r="Z967" i="22"/>
  <c r="AF967" i="22"/>
  <c r="Z968" i="22"/>
  <c r="AF968" i="22"/>
  <c r="Z969" i="22"/>
  <c r="AF969" i="22"/>
  <c r="Z970" i="22"/>
  <c r="AF970" i="22"/>
  <c r="Z971" i="22"/>
  <c r="AF971" i="22"/>
  <c r="Z972" i="22"/>
  <c r="AF972" i="22"/>
  <c r="Z973" i="22"/>
  <c r="AF973" i="22"/>
  <c r="Z974" i="22"/>
  <c r="AF974" i="22"/>
  <c r="Z975" i="22"/>
  <c r="AF975" i="22"/>
  <c r="Z976" i="22"/>
  <c r="AF976" i="22"/>
  <c r="Z977" i="22"/>
  <c r="AF977" i="22"/>
  <c r="Z978" i="22"/>
  <c r="AF978" i="22"/>
  <c r="Z979" i="22"/>
  <c r="AF979" i="22"/>
  <c r="Z980" i="22"/>
  <c r="AF980" i="22"/>
  <c r="Z981" i="22"/>
  <c r="AF981" i="22"/>
  <c r="Z982" i="22"/>
  <c r="AF982" i="22"/>
  <c r="Z983" i="22"/>
  <c r="AF983" i="22"/>
  <c r="Z984" i="22"/>
  <c r="AF984" i="22"/>
  <c r="Z985" i="22"/>
  <c r="AF985" i="22"/>
  <c r="Z986" i="22"/>
  <c r="AF986" i="22"/>
  <c r="Z987" i="22"/>
  <c r="AF987" i="22"/>
  <c r="Z988" i="22"/>
  <c r="AF988" i="22"/>
  <c r="Z989" i="22"/>
  <c r="AF989" i="22"/>
  <c r="Z990" i="22"/>
  <c r="AF990" i="22"/>
  <c r="Z991" i="22"/>
  <c r="AF991" i="22"/>
  <c r="Z992" i="22"/>
  <c r="AF992" i="22"/>
  <c r="Z993" i="22"/>
  <c r="AF993" i="22"/>
  <c r="Z994" i="22"/>
  <c r="AF994" i="22"/>
  <c r="Z995" i="22"/>
  <c r="AF995" i="22"/>
  <c r="Z996" i="22"/>
  <c r="AF996" i="22"/>
  <c r="Z997" i="22"/>
  <c r="AF997" i="22"/>
  <c r="Z998" i="22"/>
  <c r="AF998" i="22"/>
  <c r="Z999" i="22"/>
  <c r="AF999" i="22"/>
  <c r="Z1000" i="22"/>
  <c r="AF1000" i="22"/>
  <c r="Z1001" i="22"/>
  <c r="AF1001" i="22"/>
  <c r="Z1002" i="22"/>
  <c r="AF1002" i="22"/>
  <c r="Z1003" i="22"/>
  <c r="AF1003" i="22"/>
  <c r="Z1004" i="22"/>
  <c r="AF1004" i="22"/>
  <c r="Z1005" i="22"/>
  <c r="AF1005" i="22"/>
  <c r="Z1006" i="22"/>
  <c r="AF1006" i="22"/>
  <c r="Z1007" i="22"/>
  <c r="AF1007" i="22"/>
  <c r="Z1008" i="22"/>
  <c r="AF1008" i="22"/>
  <c r="Z1009" i="22"/>
  <c r="AF1009" i="22"/>
  <c r="Z1010" i="22"/>
  <c r="AF1010" i="22"/>
  <c r="Z1011" i="22"/>
  <c r="AF1011" i="22"/>
  <c r="Z1012" i="22"/>
  <c r="AF1012" i="22"/>
  <c r="Z1013" i="22"/>
  <c r="AF1013" i="22"/>
  <c r="Z1014" i="22"/>
  <c r="AF1014" i="22"/>
  <c r="Z1015" i="22"/>
  <c r="AF1015" i="22"/>
  <c r="Z1016" i="22"/>
  <c r="AF1016" i="22"/>
  <c r="Z1017" i="22"/>
  <c r="AF1017" i="22"/>
  <c r="Z1018" i="22"/>
  <c r="AF1018" i="22"/>
  <c r="Z1019" i="22"/>
  <c r="AF1019" i="22"/>
  <c r="Z1020" i="22"/>
  <c r="AF1020" i="22"/>
  <c r="Z1021" i="22"/>
  <c r="AF1021" i="22"/>
  <c r="Z1022" i="22"/>
  <c r="AF1022" i="22"/>
  <c r="Z1023" i="22"/>
  <c r="AF1023" i="22"/>
  <c r="Z1024" i="22"/>
  <c r="AF1024" i="22"/>
  <c r="Z1025" i="22"/>
  <c r="AF1025" i="22"/>
  <c r="Z1026" i="22"/>
  <c r="AF1026" i="22"/>
  <c r="Z1027" i="22"/>
  <c r="AF1027" i="22"/>
  <c r="Z1028" i="22"/>
  <c r="AF1028" i="22"/>
  <c r="Y1029" i="22"/>
  <c r="AE1029" i="22"/>
  <c r="Y1030" i="22"/>
  <c r="AE1030" i="22"/>
  <c r="Y1031" i="22"/>
  <c r="AE1031" i="22"/>
  <c r="Y1032" i="22"/>
  <c r="AE1032" i="22"/>
  <c r="Y1033" i="22"/>
  <c r="AE1033" i="22"/>
  <c r="Y1034" i="22"/>
  <c r="AE1034" i="22"/>
  <c r="Y1035" i="22"/>
  <c r="AE1035" i="22"/>
  <c r="Y1036" i="22"/>
  <c r="AE1036" i="22"/>
  <c r="Y1037" i="22"/>
  <c r="AE1037" i="22"/>
  <c r="Y1038" i="22"/>
  <c r="AE1038" i="22"/>
  <c r="Y1039" i="22"/>
  <c r="AE1039" i="22"/>
  <c r="Y1040" i="22"/>
  <c r="AE1040" i="22"/>
  <c r="Y1041" i="22"/>
  <c r="AE1041" i="22"/>
  <c r="Y1042" i="22"/>
  <c r="AE1042" i="22"/>
  <c r="Y1043" i="22"/>
  <c r="AE1043" i="22"/>
  <c r="Y1044" i="22"/>
  <c r="AE1044" i="22"/>
  <c r="Y1045" i="22"/>
  <c r="AE1045" i="22"/>
  <c r="Y1046" i="22"/>
  <c r="AE1046" i="22"/>
  <c r="Y1047" i="22"/>
  <c r="AE1047" i="22"/>
  <c r="Y1048" i="22"/>
  <c r="AE1048" i="22"/>
  <c r="Y1049" i="22"/>
  <c r="AE1049" i="22"/>
  <c r="Y1050" i="22"/>
  <c r="AE1050" i="22"/>
  <c r="Y1051" i="22"/>
  <c r="AE1051" i="22"/>
  <c r="Y1052" i="22"/>
  <c r="AE1052" i="22"/>
  <c r="Y1053" i="22"/>
  <c r="AE1053" i="22"/>
  <c r="Y1054" i="22"/>
  <c r="AE1054" i="22"/>
  <c r="Y1055" i="22"/>
  <c r="AE1055" i="22"/>
  <c r="Y1056" i="22"/>
  <c r="AE1056" i="22"/>
  <c r="Y1057" i="22"/>
  <c r="AE1057" i="22"/>
  <c r="Y1058" i="22"/>
  <c r="AE1058" i="22"/>
  <c r="Y1059" i="22"/>
  <c r="AE1059" i="22"/>
  <c r="Y1060" i="22"/>
  <c r="AE1060" i="22"/>
  <c r="Y1061" i="22"/>
  <c r="AE1061" i="22"/>
  <c r="Y1062" i="22"/>
  <c r="AE1062" i="22"/>
  <c r="Y1063" i="22"/>
  <c r="AE1063" i="22"/>
  <c r="Y1064" i="22"/>
  <c r="AE1064" i="22"/>
  <c r="Y1065" i="22"/>
  <c r="AE1065" i="22"/>
  <c r="Y1066" i="22"/>
  <c r="AE1066" i="22"/>
  <c r="Y1067" i="22"/>
  <c r="AE1067" i="22"/>
  <c r="Y1068" i="22"/>
  <c r="AE1068" i="22"/>
  <c r="Y1069" i="22"/>
  <c r="AE1069" i="22"/>
  <c r="Y1070" i="22"/>
  <c r="AE1070" i="22"/>
  <c r="Y1071" i="22"/>
  <c r="AE1071" i="22"/>
  <c r="Y1072" i="22"/>
  <c r="AE1072" i="22"/>
  <c r="Y1073" i="22"/>
  <c r="AE1073" i="22"/>
  <c r="Y1074" i="22"/>
  <c r="AE1074" i="22"/>
  <c r="Y1075" i="22"/>
  <c r="AE1075" i="22"/>
  <c r="Y1076" i="22"/>
  <c r="AE1076" i="22"/>
  <c r="Y1077" i="22"/>
  <c r="AE1077" i="22"/>
  <c r="Y1078" i="22"/>
  <c r="AE1078" i="22"/>
  <c r="Y1079" i="22"/>
  <c r="AE1079" i="22"/>
  <c r="Y1080" i="22"/>
  <c r="AE1080" i="22"/>
  <c r="Y1081" i="22"/>
  <c r="AE1081" i="22"/>
  <c r="Y1082" i="22"/>
  <c r="AE1082" i="22"/>
  <c r="Y1083" i="22"/>
  <c r="AE1083" i="22"/>
  <c r="Y1084" i="22"/>
  <c r="AE1084" i="22"/>
  <c r="Y1085" i="22"/>
  <c r="AE1085" i="22"/>
  <c r="Y1086" i="22"/>
  <c r="AE1086" i="22"/>
  <c r="Y1087" i="22"/>
  <c r="AE1087" i="22"/>
  <c r="Y1088" i="22"/>
  <c r="AE1088" i="22"/>
  <c r="Y1089" i="22"/>
  <c r="AE1089" i="22"/>
  <c r="Z1090" i="22"/>
  <c r="AF1090" i="22"/>
  <c r="Z1091" i="22"/>
  <c r="AF1091" i="22"/>
  <c r="Z1092" i="22"/>
  <c r="AF1092" i="22"/>
  <c r="Z1093" i="22"/>
  <c r="AF1093" i="22"/>
  <c r="Z1094" i="22"/>
  <c r="AF1094" i="22"/>
  <c r="Z1095" i="22"/>
  <c r="AF1095" i="22"/>
  <c r="Z1096" i="22"/>
  <c r="AF1096" i="22"/>
  <c r="Z1097" i="22"/>
  <c r="AF1097" i="22"/>
  <c r="Z1098" i="22"/>
  <c r="AF1098" i="22"/>
  <c r="Z1099" i="22"/>
  <c r="AF1099" i="22"/>
  <c r="Z1100" i="22"/>
  <c r="AF1100" i="22"/>
  <c r="Z1101" i="22"/>
  <c r="AF1101" i="22"/>
  <c r="Z1102" i="22"/>
  <c r="AF1102" i="22"/>
  <c r="Z1103" i="22"/>
  <c r="AF1103" i="22"/>
  <c r="Z1104" i="22"/>
  <c r="AF1104" i="22"/>
  <c r="Z1105" i="22"/>
  <c r="AF1105" i="22"/>
  <c r="Z1106" i="22"/>
  <c r="AF1106" i="22"/>
  <c r="Z1107" i="22"/>
  <c r="AF1107" i="22"/>
  <c r="Z1108" i="22"/>
  <c r="AF1108" i="22"/>
  <c r="Z1109" i="22"/>
  <c r="AF1109" i="22"/>
  <c r="Z1110" i="22"/>
  <c r="AF1110" i="22"/>
  <c r="Z1111" i="22"/>
  <c r="AF1111" i="22"/>
  <c r="Z1112" i="22"/>
  <c r="AF1112" i="22"/>
  <c r="Z1113" i="22"/>
  <c r="AF1113" i="22"/>
  <c r="Z1114" i="22"/>
  <c r="AF1114" i="22"/>
  <c r="Z1115" i="22"/>
  <c r="AF1115" i="22"/>
  <c r="Z1116" i="22"/>
  <c r="AF1116" i="22"/>
  <c r="Z1117" i="22"/>
  <c r="AF1117" i="22"/>
  <c r="Z1118" i="22"/>
  <c r="AF1118" i="22"/>
  <c r="Z1119" i="22"/>
  <c r="AF1119" i="22"/>
  <c r="Z1120" i="22"/>
  <c r="AF1120" i="22"/>
  <c r="Z1121" i="22"/>
  <c r="AF1121" i="22"/>
  <c r="Z1122" i="22"/>
  <c r="AF1122" i="22"/>
  <c r="Z1123" i="22"/>
  <c r="AF1123" i="22"/>
  <c r="Z1124" i="22"/>
  <c r="AF1124" i="22"/>
  <c r="Z1125" i="22"/>
  <c r="AF1125" i="22"/>
  <c r="Z1126" i="22"/>
  <c r="AF1126" i="22"/>
  <c r="Z1127" i="22"/>
  <c r="AF1127" i="22"/>
  <c r="Z1128" i="22"/>
  <c r="AF1128" i="22"/>
  <c r="Z1129" i="22"/>
  <c r="AF1129" i="22"/>
  <c r="Z1130" i="22"/>
  <c r="AF1130" i="22"/>
  <c r="Z1131" i="22"/>
  <c r="AF1131" i="22"/>
  <c r="Z1132" i="22"/>
  <c r="AF1132" i="22"/>
  <c r="Z1133" i="22"/>
  <c r="AF1133" i="22"/>
  <c r="Z1134" i="22"/>
  <c r="AF1134" i="22"/>
  <c r="Z1135" i="22"/>
  <c r="AF1135" i="22"/>
  <c r="Z1136" i="22"/>
  <c r="AF1136" i="22"/>
  <c r="Z1137" i="22"/>
  <c r="AF1137" i="22"/>
  <c r="Z1138" i="22"/>
  <c r="AF1138" i="22"/>
  <c r="Z1139" i="22"/>
  <c r="AF1139" i="22"/>
  <c r="Z1140" i="22"/>
  <c r="AF1140" i="22"/>
  <c r="Z1141" i="22"/>
  <c r="AF1141" i="22"/>
  <c r="Z1142" i="22"/>
  <c r="AF1142" i="22"/>
  <c r="Z1143" i="22"/>
  <c r="AF1143" i="22"/>
  <c r="Z1144" i="22"/>
  <c r="AF1144" i="22"/>
  <c r="Z1145" i="22"/>
  <c r="AF1145" i="22"/>
  <c r="Z1146" i="22"/>
  <c r="AF1146" i="22"/>
  <c r="Z1147" i="22"/>
  <c r="AF1147" i="22"/>
  <c r="Z1148" i="22"/>
  <c r="AF1148" i="22"/>
  <c r="Z1149" i="22"/>
  <c r="AF1149" i="22"/>
  <c r="Z1150" i="22"/>
  <c r="AF1150" i="22"/>
  <c r="Z1151" i="22"/>
  <c r="AF1151" i="22"/>
  <c r="Z1152" i="22"/>
  <c r="AF1152" i="22"/>
  <c r="Z1153" i="22"/>
  <c r="AF1153" i="22"/>
  <c r="Z1154" i="22"/>
  <c r="AF1154" i="22"/>
  <c r="Z1155" i="22"/>
  <c r="AF1155" i="22"/>
  <c r="Z1156" i="22"/>
  <c r="AF1156" i="22"/>
  <c r="Z1157" i="22"/>
  <c r="AF1157" i="22"/>
  <c r="Z1158" i="22"/>
  <c r="AF1158" i="22"/>
  <c r="Z1159" i="22"/>
  <c r="AF1159" i="22"/>
  <c r="Z1160" i="22"/>
  <c r="AF1160" i="22"/>
  <c r="Z1161" i="22"/>
  <c r="AF1161" i="22"/>
  <c r="Z1162" i="22"/>
  <c r="AF1162" i="22"/>
  <c r="Z1163" i="22"/>
  <c r="AF1163" i="22"/>
  <c r="Z1164" i="22"/>
  <c r="AF1164" i="22"/>
  <c r="Z1165" i="22"/>
  <c r="AF1165" i="22"/>
  <c r="Z1166" i="22"/>
  <c r="AF1166" i="22"/>
  <c r="Z1167" i="22"/>
  <c r="AF1167" i="22"/>
  <c r="Z1168" i="22"/>
  <c r="AF1168" i="22"/>
  <c r="Z1169" i="22"/>
  <c r="AF1169" i="22"/>
  <c r="Z1170" i="22"/>
  <c r="AF1170" i="22"/>
  <c r="Z1171" i="22"/>
  <c r="AF1171" i="22"/>
  <c r="Z1172" i="22"/>
  <c r="AF1172" i="22"/>
  <c r="Z1173" i="22"/>
  <c r="AF1173" i="22"/>
  <c r="Z1174" i="22"/>
  <c r="AF1174" i="22"/>
  <c r="Z1175" i="22"/>
  <c r="AF1175" i="22"/>
  <c r="Z1176" i="22"/>
  <c r="AF1176" i="22"/>
  <c r="Z1177" i="22"/>
  <c r="AF1177" i="22"/>
  <c r="Z1178" i="22"/>
  <c r="AF1178" i="22"/>
  <c r="Z1179" i="22"/>
  <c r="AF1179" i="22"/>
  <c r="Z1180" i="22"/>
  <c r="AF1180" i="22"/>
  <c r="Z1181" i="22"/>
  <c r="AF1181" i="22"/>
  <c r="Z1182" i="22"/>
  <c r="AF1182" i="22"/>
  <c r="Z1183" i="22"/>
  <c r="AF1183" i="22"/>
  <c r="Z1184" i="22"/>
  <c r="AF1184" i="22"/>
  <c r="Z1185" i="22"/>
  <c r="AF1185" i="22"/>
  <c r="Z1186" i="22"/>
  <c r="AF1186" i="22"/>
  <c r="Z1187" i="22"/>
  <c r="AF1187" i="22"/>
  <c r="Z1188" i="22"/>
  <c r="AF1188" i="22"/>
  <c r="Z1189" i="22"/>
  <c r="AF1189" i="22"/>
  <c r="Z1190" i="22"/>
  <c r="AF1190" i="22"/>
  <c r="Z1191" i="22"/>
  <c r="AF1191" i="22"/>
  <c r="Z1192" i="22"/>
  <c r="AF1192" i="22"/>
  <c r="Z1193" i="22"/>
  <c r="AF1193" i="22"/>
  <c r="Z1194" i="22"/>
  <c r="AF1194" i="22"/>
  <c r="Y1195" i="22"/>
  <c r="AE1195" i="22"/>
  <c r="Y1196" i="22"/>
  <c r="AE1196" i="22"/>
  <c r="Y1197" i="22"/>
  <c r="AE1197" i="22"/>
  <c r="Y1198" i="22"/>
  <c r="AE1198" i="22"/>
  <c r="Y1199" i="22"/>
  <c r="AE1199" i="22"/>
  <c r="Y1200" i="22"/>
  <c r="AE1200" i="22"/>
  <c r="Y1201" i="22"/>
  <c r="AE1201" i="22"/>
  <c r="Y1202" i="22"/>
  <c r="AE1202" i="22"/>
  <c r="Y1203" i="22"/>
  <c r="AE1203" i="22"/>
  <c r="Y1204" i="22"/>
  <c r="AE1204" i="22"/>
  <c r="Y1205" i="22"/>
  <c r="AE1205" i="22"/>
  <c r="Y1206" i="22"/>
  <c r="AE1206" i="22"/>
  <c r="Y1207" i="22"/>
  <c r="AE1207" i="22"/>
  <c r="Y1208" i="22"/>
  <c r="AE1208" i="22"/>
  <c r="Y1209" i="22"/>
  <c r="AE1209" i="22"/>
  <c r="Y1210" i="22"/>
  <c r="AE1210" i="22"/>
  <c r="Y1211" i="22"/>
  <c r="AE1211" i="22"/>
  <c r="Y1212" i="22"/>
  <c r="AE1212" i="22"/>
  <c r="Y1213" i="22"/>
  <c r="AE1213" i="22"/>
  <c r="Y1214" i="22"/>
  <c r="AE1214" i="22"/>
  <c r="Y1215" i="22"/>
  <c r="AE1215" i="22"/>
  <c r="Y1216" i="22"/>
  <c r="AE1216" i="22"/>
  <c r="Y1217" i="22"/>
  <c r="AE1217" i="22"/>
  <c r="Y1218" i="22"/>
  <c r="AE1218" i="22"/>
  <c r="Y1219" i="22"/>
  <c r="AE1219" i="22"/>
  <c r="Y1220" i="22"/>
  <c r="AE1220" i="22"/>
  <c r="Y1221" i="22"/>
  <c r="AE1221" i="22"/>
  <c r="Y1222" i="22"/>
  <c r="AE1222" i="22"/>
  <c r="Y1223" i="22"/>
  <c r="AE1223" i="22"/>
  <c r="Y1224" i="22"/>
  <c r="AE1224" i="22"/>
  <c r="Y1225" i="22"/>
  <c r="AE1225" i="22"/>
  <c r="Y1226" i="22"/>
  <c r="AE1226" i="22"/>
  <c r="Y1227" i="22"/>
  <c r="AE1227" i="22"/>
  <c r="Y1228" i="22"/>
  <c r="AE1228" i="22"/>
  <c r="Y1229" i="22"/>
  <c r="AE1229" i="22"/>
  <c r="Y1230" i="22"/>
  <c r="AE1230" i="22"/>
  <c r="Y1231" i="22"/>
  <c r="AE1231" i="22"/>
  <c r="Y1232" i="22"/>
  <c r="AE1232" i="22"/>
  <c r="Y1233" i="22"/>
  <c r="AE1233" i="22"/>
  <c r="Y1234" i="22"/>
  <c r="AE1234" i="22"/>
  <c r="Y1235" i="22"/>
  <c r="AE1235" i="22"/>
  <c r="Y1236" i="22"/>
  <c r="AE1236" i="22"/>
  <c r="Y1237" i="22"/>
  <c r="AE1237" i="22"/>
  <c r="Y1238" i="22"/>
  <c r="AE1238" i="22"/>
  <c r="Y1239" i="22"/>
  <c r="AE1239" i="22"/>
  <c r="Y1240" i="22"/>
  <c r="AE1240" i="22"/>
  <c r="Y1241" i="22"/>
  <c r="AE1241" i="22"/>
  <c r="Y1242" i="22"/>
  <c r="AE1242" i="22"/>
  <c r="Y1243" i="22"/>
  <c r="AE1243" i="22"/>
  <c r="Y1244" i="22"/>
  <c r="AE1244" i="22"/>
  <c r="Y1245" i="22"/>
  <c r="AE1245" i="22"/>
  <c r="Y1246" i="22"/>
  <c r="AE1246" i="22"/>
  <c r="Y1247" i="22"/>
  <c r="AE1247" i="22"/>
  <c r="Z1248" i="22"/>
  <c r="AF1248" i="22"/>
  <c r="Z1249" i="22"/>
  <c r="AF1249" i="22"/>
  <c r="Z1250" i="22"/>
  <c r="AF1250" i="22"/>
  <c r="Z1251" i="22"/>
  <c r="AF1251" i="22"/>
  <c r="Z1252" i="22"/>
  <c r="AF1252" i="22"/>
  <c r="Z1253" i="22"/>
  <c r="AF1253" i="22"/>
  <c r="Z1254" i="22"/>
  <c r="AF1254" i="22"/>
  <c r="Z1255" i="22"/>
  <c r="AF1255" i="22"/>
  <c r="Z1256" i="22"/>
  <c r="AF1256" i="22"/>
  <c r="Z1257" i="22"/>
  <c r="AF1257" i="22"/>
  <c r="Z1258" i="22"/>
  <c r="AF1258" i="22"/>
  <c r="Z1259" i="22"/>
  <c r="AF1259" i="22"/>
  <c r="Z1260" i="22"/>
  <c r="AF1260" i="22"/>
  <c r="Z1261" i="22"/>
  <c r="AF1261" i="22"/>
  <c r="Z1262" i="22"/>
  <c r="AF1262" i="22"/>
  <c r="Z1263" i="22"/>
  <c r="AF1263" i="22"/>
  <c r="Z1264" i="22"/>
  <c r="AF1264" i="22"/>
  <c r="Z1265" i="22"/>
  <c r="AF1265" i="22"/>
  <c r="Z1266" i="22"/>
  <c r="AF1266" i="22"/>
  <c r="Z1267" i="22"/>
  <c r="AF1267" i="22"/>
  <c r="Z1268" i="22"/>
  <c r="AF1268" i="22"/>
  <c r="Z1269" i="22"/>
  <c r="AF1269" i="22"/>
  <c r="Z1270" i="22"/>
  <c r="AF1270" i="22"/>
  <c r="Z1271" i="22"/>
  <c r="AF1271" i="22"/>
  <c r="Z1272" i="22"/>
  <c r="AF1272" i="22"/>
  <c r="Z1273" i="22"/>
  <c r="AF1273" i="22"/>
  <c r="Z1274" i="22"/>
  <c r="AF1274" i="22"/>
  <c r="Z1275" i="22"/>
  <c r="AF1275" i="22"/>
  <c r="Z1276" i="22"/>
  <c r="AF1276" i="22"/>
  <c r="Z1277" i="22"/>
  <c r="AF1277" i="22"/>
  <c r="Z1278" i="22"/>
  <c r="AF1278" i="22"/>
  <c r="Z1279" i="22"/>
  <c r="AF1279" i="22"/>
  <c r="Z1280" i="22"/>
  <c r="AF1280" i="22"/>
  <c r="Z1281" i="22"/>
  <c r="AF1281" i="22"/>
  <c r="Z1282" i="22"/>
  <c r="AF1282" i="22"/>
  <c r="Z1283" i="22"/>
  <c r="AF1283" i="22"/>
  <c r="Z1284" i="22"/>
  <c r="AF1284" i="22"/>
  <c r="Z1285" i="22"/>
  <c r="AF1285" i="22"/>
  <c r="Z1286" i="22"/>
  <c r="AF1286" i="22"/>
  <c r="Z1287" i="22"/>
  <c r="AF1287" i="22"/>
  <c r="Z1288" i="22"/>
  <c r="AF1288" i="22"/>
  <c r="Z1289" i="22"/>
  <c r="AF1289" i="22"/>
  <c r="Z1290" i="22"/>
  <c r="AF1290" i="22"/>
  <c r="Z1291" i="22"/>
  <c r="AF1291" i="22"/>
  <c r="Z1292" i="22"/>
  <c r="AF1292" i="22"/>
  <c r="Z1293" i="22"/>
  <c r="AF1293" i="22"/>
  <c r="Z1294" i="22"/>
  <c r="AF1294" i="22"/>
  <c r="Z1295" i="22"/>
  <c r="AF1295" i="22"/>
  <c r="Z1296" i="22"/>
  <c r="AF1296" i="22"/>
  <c r="Z1297" i="22"/>
  <c r="AF1297" i="22"/>
  <c r="Z1298" i="22"/>
  <c r="AF1298" i="22"/>
  <c r="Z1299" i="22"/>
  <c r="AF1299" i="22"/>
  <c r="Z1300" i="22"/>
  <c r="AF1300" i="22"/>
  <c r="Z1301" i="22"/>
  <c r="AF1301" i="22"/>
  <c r="Z1302" i="22"/>
  <c r="AF1302" i="22"/>
  <c r="Z1303" i="22"/>
  <c r="AF1303" i="22"/>
  <c r="Z1304" i="22"/>
  <c r="AF1304" i="22"/>
  <c r="Z1305" i="22"/>
  <c r="AF1305" i="22"/>
  <c r="Z1306" i="22"/>
  <c r="AF1306" i="22"/>
  <c r="Z1307" i="22"/>
  <c r="AF1307" i="22"/>
  <c r="Z1308" i="22"/>
  <c r="AF1308" i="22"/>
  <c r="Z1309" i="22"/>
  <c r="AF1309" i="22"/>
  <c r="Z1310" i="22"/>
  <c r="AF1310" i="22"/>
  <c r="Z1311" i="22"/>
  <c r="AF1311" i="22"/>
  <c r="Z1312" i="22"/>
  <c r="AF1312" i="22"/>
  <c r="Z1313" i="22"/>
  <c r="AF1313" i="22"/>
  <c r="Z1314" i="22"/>
  <c r="AF1314" i="22"/>
  <c r="Z1315" i="22"/>
  <c r="AF1315" i="22"/>
  <c r="Z1316" i="22"/>
  <c r="AF1316" i="22"/>
  <c r="Z1317" i="22"/>
  <c r="AF1317" i="22"/>
  <c r="Y1318" i="22"/>
  <c r="AE1318" i="22"/>
  <c r="Y1319" i="22"/>
  <c r="AE1319" i="22"/>
  <c r="Y1320" i="22"/>
  <c r="AE1320" i="22"/>
  <c r="Y1321" i="22"/>
  <c r="AE1321" i="22"/>
  <c r="Y1322" i="22"/>
  <c r="AE1322" i="22"/>
  <c r="Y1323" i="22"/>
  <c r="AE1323" i="22"/>
  <c r="Y1324" i="22"/>
  <c r="AE1324" i="22"/>
  <c r="Y1325" i="22"/>
  <c r="AE1325" i="22"/>
  <c r="Y1326" i="22"/>
  <c r="AE1326" i="22"/>
  <c r="Y1327" i="22"/>
  <c r="AE1327" i="22"/>
  <c r="Y1328" i="22"/>
  <c r="AE1328" i="22"/>
  <c r="Y1329" i="22"/>
  <c r="AE1329" i="22"/>
  <c r="Y1330" i="22"/>
  <c r="AE1330" i="22"/>
  <c r="Y1331" i="22"/>
  <c r="AE1331" i="22"/>
  <c r="Y1332" i="22"/>
  <c r="AE1332" i="22"/>
  <c r="Y1333" i="22"/>
  <c r="AE1333" i="22"/>
  <c r="Y1334" i="22"/>
  <c r="AE1334" i="22"/>
  <c r="Y1335" i="22"/>
  <c r="AE1335" i="22"/>
  <c r="Y1336" i="22"/>
  <c r="AE1336" i="22"/>
  <c r="Z1337" i="22"/>
  <c r="AF1337" i="22"/>
  <c r="Z1338" i="22"/>
  <c r="AF1338" i="22"/>
  <c r="Z1339" i="22"/>
  <c r="AF1339" i="22"/>
  <c r="Z1340" i="22"/>
  <c r="AF1340" i="22"/>
  <c r="Z1341" i="22"/>
  <c r="AF1341" i="22"/>
  <c r="Z1342" i="22"/>
  <c r="AF1342" i="22"/>
  <c r="Z1343" i="22"/>
  <c r="AF1343" i="22"/>
  <c r="Z1344" i="22"/>
  <c r="AF1344" i="22"/>
  <c r="Z1345" i="22"/>
  <c r="AF1345" i="22"/>
  <c r="Z1346" i="22"/>
  <c r="AF1346" i="22"/>
  <c r="Z1347" i="22"/>
  <c r="AF1347" i="22"/>
  <c r="Z1348" i="22"/>
  <c r="AF1348" i="22"/>
  <c r="Z1349" i="22"/>
  <c r="AF1349" i="22"/>
  <c r="Z1350" i="22"/>
  <c r="AF1350" i="22"/>
  <c r="Z1351" i="22"/>
  <c r="AF1351" i="22"/>
  <c r="Z1352" i="22"/>
  <c r="AF1352" i="22"/>
  <c r="Z1353" i="22"/>
  <c r="AF1353" i="22"/>
  <c r="Z1354" i="22"/>
  <c r="AF1354" i="22"/>
  <c r="Z1355" i="22"/>
  <c r="AF1355" i="22"/>
  <c r="Z1356" i="22"/>
  <c r="AF1356" i="22"/>
  <c r="Z1357" i="22"/>
  <c r="AF1357" i="22"/>
  <c r="Z1358" i="22"/>
  <c r="AF1358" i="22"/>
  <c r="Z1359" i="22"/>
  <c r="AF1359" i="22"/>
  <c r="Z1360" i="22"/>
  <c r="AF1360" i="22"/>
  <c r="Z1361" i="22"/>
  <c r="AF1361" i="22"/>
  <c r="Z1362" i="22"/>
  <c r="AF1362" i="22"/>
  <c r="Z1363" i="22"/>
  <c r="AF1363" i="22"/>
  <c r="Z1364" i="22"/>
  <c r="AF1364" i="22"/>
  <c r="Z1365" i="22"/>
  <c r="AF1365" i="22"/>
  <c r="Z1366" i="22"/>
  <c r="AF1366" i="22"/>
  <c r="Z1367" i="22"/>
  <c r="AF1367" i="22"/>
  <c r="Z1368" i="22"/>
  <c r="AF1368" i="22"/>
  <c r="Z1369" i="22"/>
  <c r="AF1369" i="22"/>
  <c r="Y1370" i="22"/>
  <c r="AE1370" i="22"/>
  <c r="Y1371" i="22"/>
  <c r="AE1371" i="22"/>
  <c r="Y1372" i="22"/>
  <c r="AE1372" i="22"/>
  <c r="Y1373" i="22"/>
  <c r="AE1373" i="22"/>
  <c r="Z1374" i="22"/>
  <c r="AF1374" i="22"/>
  <c r="Z1375" i="22"/>
  <c r="AF1375" i="22"/>
  <c r="Z1376" i="22"/>
  <c r="AF1376" i="22"/>
  <c r="Z1377" i="22"/>
  <c r="AF1377" i="22"/>
  <c r="Z1378" i="22"/>
  <c r="AF1378" i="22"/>
  <c r="Z1379" i="22"/>
  <c r="AF1379" i="22"/>
  <c r="Z1380" i="22"/>
  <c r="AF1380" i="22"/>
  <c r="Z1381" i="22"/>
  <c r="AF1381" i="22"/>
  <c r="Z1382" i="22"/>
  <c r="AF1382" i="22"/>
  <c r="Z1383" i="22"/>
  <c r="AF1383" i="22"/>
  <c r="Z1384" i="22"/>
  <c r="AF1384" i="22"/>
  <c r="Z1385" i="22"/>
  <c r="AF1385" i="22"/>
  <c r="Z1386" i="22"/>
  <c r="AF1386" i="22"/>
  <c r="Z1387" i="22"/>
  <c r="AF1387" i="22"/>
  <c r="Z1388" i="22"/>
  <c r="AF1388" i="22"/>
  <c r="Z1389" i="22"/>
  <c r="AF1389" i="22"/>
  <c r="Z1390" i="22"/>
  <c r="AF1390" i="22"/>
  <c r="Z1391" i="22"/>
  <c r="AF1391" i="22"/>
  <c r="Z1392" i="22"/>
  <c r="AF1392" i="22"/>
  <c r="Z1393" i="22"/>
  <c r="AF1393" i="22"/>
  <c r="Z1394" i="22"/>
  <c r="AF1394" i="22"/>
  <c r="Z1395" i="22"/>
  <c r="AF1395" i="22"/>
  <c r="Z1396" i="22"/>
  <c r="AF1396" i="22"/>
  <c r="Z1397" i="22"/>
  <c r="AF1397" i="22"/>
  <c r="Z1398" i="22"/>
  <c r="AF1398" i="22"/>
  <c r="Z1399" i="22"/>
  <c r="AF1399" i="22"/>
  <c r="Z1400" i="22"/>
  <c r="AF1400" i="22"/>
  <c r="Z1401" i="22"/>
  <c r="AF1401" i="22"/>
  <c r="Z1402" i="22"/>
  <c r="AF1402" i="22"/>
  <c r="Y1403" i="22"/>
  <c r="AE1403" i="22"/>
  <c r="Y1404" i="22"/>
  <c r="AE1404" i="22"/>
  <c r="Y1405" i="22"/>
  <c r="AE1405" i="22"/>
  <c r="Y1406" i="22"/>
  <c r="AE1406" i="22"/>
  <c r="Y1407" i="22"/>
  <c r="AE1407" i="22"/>
  <c r="Y1408" i="22"/>
  <c r="AE1408" i="22"/>
  <c r="Y1409" i="22"/>
  <c r="AE1409" i="22"/>
  <c r="Y1410" i="22"/>
  <c r="AE1410" i="22"/>
  <c r="Y1411" i="22"/>
  <c r="AE1411" i="22"/>
  <c r="Y1412" i="22"/>
  <c r="AE1412" i="22"/>
  <c r="Y1413" i="22"/>
  <c r="AE1413" i="22"/>
  <c r="Y1414" i="22"/>
  <c r="AE1414" i="22"/>
  <c r="Y1415" i="22"/>
  <c r="AE1415" i="22"/>
  <c r="Y1416" i="22"/>
  <c r="AE1416" i="22"/>
  <c r="Y1417" i="22"/>
  <c r="AE1417" i="22"/>
  <c r="Y1418" i="22"/>
  <c r="AE1418" i="22"/>
  <c r="Y1419" i="22"/>
  <c r="AE1419" i="22"/>
  <c r="Y1420" i="22"/>
  <c r="AE1420" i="22"/>
  <c r="Y1421" i="22"/>
  <c r="AE1421" i="22"/>
  <c r="Y1422" i="22"/>
  <c r="AE1422" i="22"/>
  <c r="Y1423" i="22"/>
  <c r="AE1423" i="22"/>
  <c r="Y1424" i="22"/>
  <c r="AE1424" i="22"/>
  <c r="Y1425" i="22"/>
  <c r="AE1425" i="22"/>
  <c r="Y1426" i="22"/>
  <c r="AE1426" i="22"/>
  <c r="Y1427" i="22"/>
  <c r="AE1427" i="22"/>
  <c r="Y1428" i="22"/>
  <c r="AE1428" i="22"/>
  <c r="Y1429" i="22"/>
  <c r="AE1429" i="22"/>
  <c r="Y1430" i="22"/>
  <c r="AE1430" i="22"/>
  <c r="Y1431" i="22"/>
  <c r="AE1431" i="22"/>
  <c r="Z1432" i="22"/>
  <c r="AF1432" i="22"/>
  <c r="Z1433" i="22"/>
  <c r="AF1433" i="22"/>
  <c r="Z1434" i="22"/>
  <c r="AF1434" i="22"/>
  <c r="Z1435" i="22"/>
  <c r="AF1435" i="22"/>
  <c r="Z1436" i="22"/>
  <c r="AF1436" i="22"/>
  <c r="Z1437" i="22"/>
  <c r="AF1437" i="22"/>
  <c r="Z1438" i="22"/>
  <c r="AF1438" i="22"/>
  <c r="Z1439" i="22"/>
  <c r="AF1439" i="22"/>
  <c r="Z1440" i="22"/>
  <c r="AF1440" i="22"/>
  <c r="Z1441" i="22"/>
  <c r="AF1441" i="22"/>
  <c r="Z1442" i="22"/>
  <c r="AF1442" i="22"/>
  <c r="Z1443" i="22"/>
  <c r="AF1443" i="22"/>
  <c r="Z1444" i="22"/>
  <c r="AF1444" i="22"/>
  <c r="Z1445" i="22"/>
  <c r="AF1445" i="22"/>
  <c r="Z1446" i="22"/>
  <c r="AF1446" i="22"/>
  <c r="Z1447" i="22"/>
  <c r="AF1447" i="22"/>
  <c r="Z1448" i="22"/>
  <c r="AF1448" i="22"/>
  <c r="Z1449" i="22"/>
  <c r="AF1449" i="22"/>
  <c r="Z1450" i="22"/>
  <c r="AF1450" i="22"/>
  <c r="Z1451" i="22"/>
  <c r="AF1451" i="22"/>
  <c r="Z1452" i="22"/>
  <c r="AF1452" i="22"/>
  <c r="Z1453" i="22"/>
  <c r="AF1453" i="22"/>
  <c r="Z1454" i="22"/>
  <c r="AF1454" i="22"/>
  <c r="Z1455" i="22"/>
  <c r="AF1455" i="22"/>
  <c r="Z1456" i="22"/>
  <c r="AF1456" i="22"/>
  <c r="Z1457" i="22"/>
  <c r="AF1457" i="22"/>
  <c r="Z1458" i="22"/>
  <c r="AF1458" i="22"/>
  <c r="Z1459" i="22"/>
  <c r="AF1459" i="22"/>
  <c r="Z1460" i="22"/>
  <c r="AF1460" i="22"/>
  <c r="Z1461" i="22"/>
  <c r="AF1461" i="22"/>
  <c r="Z1462" i="22"/>
  <c r="AF1462" i="22"/>
  <c r="Z1463" i="22"/>
  <c r="AF1463" i="22"/>
  <c r="Z1464" i="22"/>
  <c r="AF1464" i="22"/>
  <c r="Z1465" i="22"/>
  <c r="AF1465" i="22"/>
  <c r="Z1466" i="22"/>
  <c r="AF1466" i="22"/>
  <c r="Z1467" i="22"/>
  <c r="AF1467" i="22"/>
  <c r="Z1468" i="22"/>
  <c r="AF1468" i="22"/>
  <c r="Z1469" i="22"/>
  <c r="AF1469" i="22"/>
  <c r="Z1470" i="22"/>
  <c r="AF1470" i="22"/>
  <c r="Z1471" i="22"/>
  <c r="AF1471" i="22"/>
  <c r="Z1472" i="22"/>
  <c r="AF1472" i="22"/>
  <c r="Z1473" i="22"/>
  <c r="AF1473" i="22"/>
  <c r="Z1474" i="22"/>
  <c r="AF1474" i="22"/>
  <c r="Z1475" i="22"/>
  <c r="AF1475" i="22"/>
  <c r="Z1476" i="22"/>
  <c r="AF1476" i="22"/>
  <c r="Z1477" i="22"/>
  <c r="AF1477" i="22"/>
  <c r="Z1478" i="22"/>
  <c r="AF1478" i="22"/>
  <c r="Z1479" i="22"/>
  <c r="AF1479" i="22"/>
  <c r="Z1480" i="22"/>
  <c r="AF1480" i="22"/>
  <c r="Z1481" i="22"/>
  <c r="AF1481" i="22"/>
  <c r="Z1482" i="22"/>
  <c r="AF1482" i="22"/>
  <c r="Z1483" i="22"/>
  <c r="AF1483" i="22"/>
  <c r="Z1484" i="22"/>
  <c r="AF1484" i="22"/>
  <c r="Y1485" i="22"/>
  <c r="AE1485" i="22"/>
  <c r="Y1486" i="22"/>
  <c r="AE1486" i="22"/>
  <c r="Y1487" i="22"/>
  <c r="AE1487" i="22"/>
  <c r="Y1488" i="22"/>
  <c r="AE1488" i="22"/>
  <c r="Y1489" i="22"/>
  <c r="AE1489" i="22"/>
  <c r="Y1490" i="22"/>
  <c r="AE1490" i="22"/>
  <c r="Y1491" i="22"/>
  <c r="AE1491" i="22"/>
  <c r="Y1492" i="22"/>
  <c r="AE1492" i="22"/>
  <c r="Y1493" i="22"/>
  <c r="AE1493" i="22"/>
  <c r="Y1494" i="22"/>
  <c r="AE1494" i="22"/>
  <c r="Y1495" i="22"/>
  <c r="AE1495" i="22"/>
  <c r="Y1496" i="22"/>
  <c r="AE1496" i="22"/>
  <c r="Y1497" i="22"/>
  <c r="AE1497" i="22"/>
  <c r="Y1498" i="22"/>
  <c r="AE1498" i="22"/>
  <c r="Y1499" i="22"/>
  <c r="AE1499" i="22"/>
  <c r="Y1500" i="22"/>
  <c r="AE1500" i="22"/>
  <c r="Y1501" i="22"/>
  <c r="AE1501" i="22"/>
  <c r="Y1502" i="22"/>
  <c r="AE1502" i="22"/>
  <c r="Y1503" i="22"/>
  <c r="AE1503" i="22"/>
  <c r="Y1504" i="22"/>
  <c r="AE1504" i="22"/>
  <c r="Y1505" i="22"/>
  <c r="AE1505" i="22"/>
  <c r="Y1506" i="22"/>
  <c r="AE1506" i="22"/>
  <c r="Y1507" i="22"/>
  <c r="AE1507" i="22"/>
  <c r="Y1508" i="22"/>
  <c r="AE1508" i="22"/>
  <c r="Y1509" i="22"/>
  <c r="AE1509" i="22"/>
  <c r="Y1510" i="22"/>
  <c r="AE1510" i="22"/>
  <c r="Z1511" i="22"/>
  <c r="AF1511" i="22"/>
  <c r="Z1512" i="22"/>
  <c r="AF1512" i="22"/>
  <c r="Z1513" i="22"/>
  <c r="AF1513" i="22"/>
  <c r="Z1514" i="22"/>
  <c r="AF1514" i="22"/>
  <c r="Z1515" i="22"/>
  <c r="AF1515" i="22"/>
  <c r="Z1516" i="22"/>
  <c r="AF1516" i="22"/>
  <c r="Z1517" i="22"/>
  <c r="AF1517" i="22"/>
  <c r="Z1518" i="22"/>
  <c r="AF1518" i="22"/>
  <c r="Z1519" i="22"/>
  <c r="AF1519" i="22"/>
  <c r="Z1520" i="22"/>
  <c r="AF1520" i="22"/>
  <c r="Z1521" i="22"/>
  <c r="AF1521" i="22"/>
  <c r="Z1522" i="22"/>
  <c r="AF1522" i="22"/>
  <c r="Z1523" i="22"/>
  <c r="AF1523" i="22"/>
  <c r="Z1524" i="22"/>
  <c r="AF1524" i="22"/>
  <c r="Z1525" i="22"/>
  <c r="AF1525" i="22"/>
  <c r="Z1526" i="22"/>
  <c r="AF1526" i="22"/>
  <c r="Z1527" i="22"/>
  <c r="AF1527" i="22"/>
  <c r="Z1528" i="22"/>
  <c r="AF1528" i="22"/>
  <c r="Z1529" i="22"/>
  <c r="AF1529" i="22"/>
  <c r="Z1530" i="22"/>
  <c r="AF1530" i="22"/>
  <c r="Z1531" i="22"/>
  <c r="AF1531" i="22"/>
  <c r="Z1532" i="22"/>
  <c r="AF1532" i="22"/>
  <c r="Z1533" i="22"/>
  <c r="AF1533" i="22"/>
  <c r="Z1534" i="22"/>
  <c r="AF1534" i="22"/>
  <c r="Z1535" i="22"/>
  <c r="AF1535" i="22"/>
  <c r="Z1536" i="22"/>
  <c r="AF1536" i="22"/>
  <c r="Z1537" i="22"/>
  <c r="AF1537" i="22"/>
  <c r="Z1538" i="22"/>
  <c r="AF1538" i="22"/>
  <c r="Z1539" i="22"/>
  <c r="AF1539" i="22"/>
  <c r="Z1540" i="22"/>
  <c r="AF1540" i="22"/>
  <c r="Z1541" i="22"/>
  <c r="AF1541" i="22"/>
  <c r="Z1542" i="22"/>
  <c r="AF1542" i="22"/>
  <c r="Z1543" i="22"/>
  <c r="AF1543" i="22"/>
  <c r="Z1544" i="22"/>
  <c r="AF1544" i="22"/>
  <c r="Z1545" i="22"/>
  <c r="AF1545" i="22"/>
  <c r="Z1546" i="22"/>
  <c r="AF1546" i="22"/>
  <c r="Z1547" i="22"/>
  <c r="AF1547" i="22"/>
  <c r="Z1548" i="22"/>
  <c r="AF1548" i="22"/>
  <c r="Z1549" i="22"/>
  <c r="AF1549" i="22"/>
  <c r="Z1550" i="22"/>
  <c r="AF1550" i="22"/>
  <c r="Z1551" i="22"/>
  <c r="AF1551" i="22"/>
  <c r="Z1552" i="22"/>
  <c r="AF1552" i="22"/>
  <c r="Z1553" i="22"/>
  <c r="AF1553" i="22"/>
  <c r="Z1554" i="22"/>
  <c r="AF1554" i="22"/>
  <c r="Z1555" i="22"/>
  <c r="AF1555" i="22"/>
  <c r="Z1556" i="22"/>
  <c r="AF1556" i="22"/>
  <c r="Z1557" i="22"/>
  <c r="AF1557" i="22"/>
  <c r="Z1558" i="22"/>
  <c r="AF1558" i="22"/>
  <c r="Z1559" i="22"/>
  <c r="AF1559" i="22"/>
  <c r="Z1560" i="22"/>
  <c r="AF1560" i="22"/>
  <c r="Z1561" i="22"/>
  <c r="AF1561" i="22"/>
  <c r="Z1562" i="22"/>
  <c r="AF1562" i="22"/>
  <c r="Z1563" i="22"/>
  <c r="AF1563" i="22"/>
  <c r="Z1564" i="22"/>
  <c r="AF1564" i="22"/>
  <c r="Z1565" i="22"/>
  <c r="AF1565" i="22"/>
  <c r="Z1566" i="22"/>
  <c r="AF1566" i="22"/>
  <c r="Z1567" i="22"/>
  <c r="AF1567" i="22"/>
  <c r="Z1568" i="22"/>
  <c r="AF1568" i="22"/>
  <c r="Z1569" i="22"/>
  <c r="AF1569" i="22"/>
  <c r="Z1570" i="22"/>
  <c r="AF1570" i="22"/>
  <c r="Z1571" i="22"/>
  <c r="AF1571" i="22"/>
  <c r="Z1572" i="22"/>
  <c r="AF1572" i="22"/>
  <c r="Z1573" i="22"/>
  <c r="AF1573" i="22"/>
  <c r="Z1574" i="22"/>
  <c r="AF1574" i="22"/>
  <c r="Z1575" i="22"/>
  <c r="AF1575" i="22"/>
  <c r="Z1576" i="22"/>
  <c r="AF1576" i="22"/>
  <c r="Z1577" i="22"/>
  <c r="AF1577" i="22"/>
  <c r="Z1578" i="22"/>
  <c r="AF1578" i="22"/>
  <c r="Z1579" i="22"/>
  <c r="AF1579" i="22"/>
  <c r="Z1580" i="22"/>
  <c r="AF1580" i="22"/>
  <c r="Z1581" i="22"/>
  <c r="AF1581" i="22"/>
  <c r="Z1582" i="22"/>
  <c r="AF1582" i="22"/>
  <c r="Z1583" i="22"/>
  <c r="AF1583" i="22"/>
  <c r="Z1584" i="22"/>
  <c r="AF1584" i="22"/>
  <c r="Z1585" i="22"/>
  <c r="AF1585" i="22"/>
  <c r="Z1586" i="22"/>
  <c r="AF1586" i="22"/>
  <c r="Z1587" i="22"/>
  <c r="AF1587" i="22"/>
  <c r="Z1588" i="22"/>
  <c r="AF1588" i="22"/>
  <c r="Z1589" i="22"/>
  <c r="AF1589" i="22"/>
  <c r="Z1590" i="22"/>
  <c r="AF1590" i="22"/>
  <c r="Z1591" i="22"/>
  <c r="AF1591" i="22"/>
  <c r="Z1592" i="22"/>
  <c r="AF1592" i="22"/>
  <c r="Z1593" i="22"/>
  <c r="AF1593" i="22"/>
  <c r="Z1594" i="22"/>
  <c r="AF1594" i="22"/>
  <c r="Z1595" i="22"/>
  <c r="AF1595" i="22"/>
  <c r="Z1596" i="22"/>
  <c r="AF1596" i="22"/>
  <c r="Z1597" i="22"/>
  <c r="AF1597" i="22"/>
  <c r="Z1598" i="22"/>
  <c r="AF1598" i="22"/>
  <c r="Z1599" i="22"/>
  <c r="AF1599" i="22"/>
  <c r="Z1600" i="22"/>
  <c r="AF1600" i="22"/>
  <c r="Z1601" i="22"/>
  <c r="AF1601" i="22"/>
  <c r="Z1602" i="22"/>
  <c r="AF1602" i="22"/>
  <c r="Z1603" i="22"/>
  <c r="AF1603" i="22"/>
  <c r="Z1604" i="22"/>
  <c r="AF1604" i="22"/>
  <c r="Z1605" i="22"/>
  <c r="AF1605" i="22"/>
  <c r="Z1606" i="22"/>
  <c r="AF1606" i="22"/>
  <c r="Z1607" i="22"/>
  <c r="AF1607" i="22"/>
  <c r="Z1608" i="22"/>
  <c r="AF1608" i="22"/>
  <c r="Z1609" i="22"/>
  <c r="AF1609" i="22"/>
  <c r="Z1610" i="22"/>
  <c r="AF1610" i="22"/>
  <c r="Z1611" i="22"/>
  <c r="AF1611" i="22"/>
  <c r="Z1612" i="22"/>
  <c r="AF1612" i="22"/>
  <c r="Z1613" i="22"/>
  <c r="AF1613" i="22"/>
  <c r="Z1614" i="22"/>
  <c r="AF1614" i="22"/>
  <c r="Z1615" i="22"/>
  <c r="AF1615" i="22"/>
  <c r="Z1616" i="22"/>
  <c r="AF1616" i="22"/>
  <c r="Z1617" i="22"/>
  <c r="AF1617" i="22"/>
  <c r="Z1618" i="22"/>
  <c r="AF1618" i="22"/>
  <c r="Z1619" i="22"/>
  <c r="AF1619" i="22"/>
  <c r="Z1620" i="22"/>
  <c r="AF1620" i="22"/>
  <c r="Z1621" i="22"/>
  <c r="AF1621" i="22"/>
  <c r="Z1622" i="22"/>
  <c r="AF1622" i="22"/>
  <c r="Z1623" i="22"/>
  <c r="AF1623" i="22"/>
  <c r="Z1624" i="22"/>
  <c r="AF1624" i="22"/>
  <c r="Z1625" i="22"/>
  <c r="AF1625" i="22"/>
  <c r="Z1626" i="22"/>
  <c r="AF1626" i="22"/>
  <c r="Z1627" i="22"/>
  <c r="AF1627" i="22"/>
  <c r="Z1628" i="22"/>
  <c r="AF1628" i="22"/>
  <c r="Z1629" i="22"/>
  <c r="AF1629" i="22"/>
  <c r="Z1630" i="22"/>
  <c r="AF1630" i="22"/>
  <c r="Z1631" i="22"/>
  <c r="AF1631" i="22"/>
  <c r="Z1632" i="22"/>
  <c r="AF1632" i="22"/>
  <c r="Z1633" i="22"/>
  <c r="AF1633" i="22"/>
  <c r="Z1634" i="22"/>
  <c r="AF1634" i="22"/>
  <c r="Z1635" i="22"/>
  <c r="AF1635" i="22"/>
  <c r="Z1636" i="22"/>
  <c r="AF1636" i="22"/>
  <c r="Z1637" i="22"/>
  <c r="AF1637" i="22"/>
  <c r="Z1638" i="22"/>
  <c r="AF1638" i="22"/>
  <c r="Z1639" i="22"/>
  <c r="AF1639" i="22"/>
  <c r="Z1640" i="22"/>
  <c r="AF1640" i="22"/>
  <c r="Z1641" i="22"/>
  <c r="AF1641" i="22"/>
  <c r="Z1642" i="22"/>
  <c r="AF1642" i="22"/>
  <c r="Z1643" i="22"/>
  <c r="AF1643" i="22"/>
  <c r="Z1644" i="22"/>
  <c r="AF1644" i="22"/>
  <c r="Z1645" i="22"/>
  <c r="AF1645" i="22"/>
  <c r="Z1646" i="22"/>
  <c r="AF1646" i="22"/>
  <c r="Z1647" i="22"/>
  <c r="AF1647" i="22"/>
  <c r="Z1648" i="22"/>
  <c r="AF1648" i="22"/>
  <c r="Z1649" i="22"/>
  <c r="AF1649" i="22"/>
  <c r="Z1650" i="22"/>
  <c r="AF1650" i="22"/>
  <c r="Z1651" i="22"/>
  <c r="AF1651" i="22"/>
  <c r="Z1652" i="22"/>
  <c r="AF1652" i="22"/>
  <c r="Z1653" i="22"/>
  <c r="AF1653" i="22"/>
  <c r="Z1654" i="22"/>
  <c r="AF1654" i="22"/>
  <c r="Z1655" i="22"/>
  <c r="AF1655" i="22"/>
  <c r="Z1656" i="22"/>
  <c r="AF1656" i="22"/>
  <c r="Z1657" i="22"/>
  <c r="AF1657" i="22"/>
  <c r="Z1658" i="22"/>
  <c r="AF1658" i="22"/>
  <c r="Z1659" i="22"/>
  <c r="AF1659" i="22"/>
  <c r="Z1660" i="22"/>
  <c r="AF1660" i="22"/>
  <c r="Z1661" i="22"/>
  <c r="AF1661" i="22"/>
  <c r="Z1662" i="22"/>
  <c r="AF1662" i="22"/>
  <c r="Z1663" i="22"/>
  <c r="AF1663" i="22"/>
  <c r="Z1664" i="22"/>
  <c r="AF1664" i="22"/>
  <c r="Z1665" i="22"/>
  <c r="AF1665" i="22"/>
  <c r="Z1666" i="22"/>
  <c r="AF1666" i="22"/>
  <c r="Z1667" i="22"/>
  <c r="AF1667" i="22"/>
  <c r="Z1668" i="22"/>
  <c r="AF1668" i="22"/>
  <c r="Z1669" i="22"/>
  <c r="AF1669" i="22"/>
  <c r="Z1670" i="22"/>
  <c r="AF1670" i="22"/>
  <c r="Z1671" i="22"/>
  <c r="AF1671" i="22"/>
  <c r="Z1672" i="22"/>
  <c r="AF1672" i="22"/>
  <c r="Z1673" i="22"/>
  <c r="AF1673" i="22"/>
  <c r="Z1674" i="22"/>
  <c r="AF1674" i="22"/>
  <c r="Z1675" i="22"/>
  <c r="AF1675" i="22"/>
  <c r="Z1676" i="22"/>
  <c r="AF1676" i="22"/>
  <c r="Z1677" i="22"/>
  <c r="AF1677" i="22"/>
  <c r="Z1678" i="22"/>
  <c r="AF1678" i="22"/>
  <c r="Z1679" i="22"/>
  <c r="AF1679" i="22"/>
  <c r="Z1680" i="22"/>
  <c r="AF1680" i="22"/>
  <c r="Z1681" i="22"/>
  <c r="AF1681" i="22"/>
  <c r="Z1682" i="22"/>
  <c r="AF1682" i="22"/>
  <c r="Z1683" i="22"/>
  <c r="AF1683" i="22"/>
  <c r="Z1684" i="22"/>
  <c r="AF1684" i="22"/>
  <c r="Z1685" i="22"/>
  <c r="AF1685" i="22"/>
  <c r="Z1686" i="22"/>
  <c r="AF1686" i="22"/>
  <c r="Z1687" i="22"/>
  <c r="AF1687" i="22"/>
  <c r="Z1688" i="22"/>
  <c r="AF1688" i="22"/>
  <c r="Z1689" i="22"/>
  <c r="AF1689" i="22"/>
  <c r="Z1690" i="22"/>
  <c r="AF1690" i="22"/>
  <c r="Z1691" i="22"/>
  <c r="AF1691" i="22"/>
  <c r="Z1692" i="22"/>
  <c r="AF1692" i="22"/>
  <c r="Z1693" i="22"/>
  <c r="AF1693" i="22"/>
  <c r="Z1694" i="22"/>
  <c r="AF1694" i="22"/>
  <c r="Z1695" i="22"/>
  <c r="AF1695" i="22"/>
  <c r="Z1696" i="22"/>
  <c r="AF1696" i="22"/>
  <c r="Z1697" i="22"/>
  <c r="AF1697" i="22"/>
  <c r="Z1698" i="22"/>
  <c r="AF1698" i="22"/>
  <c r="Z1699" i="22"/>
  <c r="AF1699" i="22"/>
  <c r="Z1700" i="22"/>
  <c r="AF1700" i="22"/>
  <c r="Z1701" i="22"/>
  <c r="AF1701" i="22"/>
  <c r="Z1702" i="22"/>
  <c r="AF1702" i="22"/>
  <c r="Z1703" i="22"/>
  <c r="AF1703" i="22"/>
  <c r="Z1704" i="22"/>
  <c r="AF1704" i="22"/>
  <c r="Z1705" i="22"/>
  <c r="AF1705" i="22"/>
  <c r="Z1706" i="22"/>
  <c r="AF1706" i="22"/>
  <c r="Z1707" i="22"/>
  <c r="AF1707" i="22"/>
  <c r="Z1708" i="22"/>
  <c r="AF1708" i="22"/>
  <c r="Z1709" i="22"/>
  <c r="AF1709" i="22"/>
  <c r="Z1710" i="22"/>
  <c r="AF1710" i="22"/>
  <c r="Z1711" i="22"/>
  <c r="AF1711" i="22"/>
  <c r="Z1712" i="22"/>
  <c r="AF1712" i="22"/>
  <c r="Z1713" i="22"/>
  <c r="AF1713" i="22"/>
  <c r="Z1714" i="22"/>
  <c r="AF1714" i="22"/>
  <c r="Z1715" i="22"/>
  <c r="AF1715" i="22"/>
  <c r="Z1716" i="22"/>
  <c r="AF1716" i="22"/>
  <c r="Z1717" i="22"/>
  <c r="AF1717" i="22"/>
  <c r="Z1718" i="22"/>
  <c r="AF1718" i="22"/>
  <c r="Z1719" i="22"/>
  <c r="AF1719" i="22"/>
  <c r="Z1720" i="22"/>
  <c r="AF1720" i="22"/>
  <c r="Z1721" i="22"/>
  <c r="AF1721" i="22"/>
  <c r="Z1722" i="22"/>
  <c r="AF1722" i="22"/>
  <c r="Z1723" i="22"/>
  <c r="AF1723" i="22"/>
  <c r="Z1724" i="22"/>
  <c r="AF1724" i="22"/>
  <c r="Z1725" i="22"/>
  <c r="AF1725" i="22"/>
  <c r="Z1726" i="22"/>
  <c r="AF1726" i="22"/>
  <c r="Z1727" i="22"/>
  <c r="AF1727" i="22"/>
  <c r="Z1728" i="22"/>
  <c r="AF1728" i="22"/>
  <c r="Z1729" i="22"/>
  <c r="AF1729" i="22"/>
  <c r="Z1730" i="22"/>
  <c r="AF1730" i="22"/>
  <c r="Z1731" i="22"/>
  <c r="AF1731" i="22"/>
  <c r="Z1732" i="22"/>
  <c r="AF1732" i="22"/>
  <c r="Z1733" i="22"/>
  <c r="AF1733" i="22"/>
  <c r="Z1734" i="22"/>
  <c r="AF1734" i="22"/>
  <c r="Z1735" i="22"/>
  <c r="AF1735" i="22"/>
  <c r="Z1736" i="22"/>
  <c r="AF1736" i="22"/>
  <c r="Z1737" i="22"/>
  <c r="AF1737" i="22"/>
  <c r="Z1738" i="22"/>
  <c r="AF1738" i="22"/>
  <c r="Z1739" i="22"/>
  <c r="AF1739" i="22"/>
  <c r="Z1740" i="22"/>
  <c r="AF1740" i="22"/>
  <c r="Z1741" i="22"/>
  <c r="AF1741" i="22"/>
  <c r="Z1742" i="22"/>
  <c r="AF1742" i="22"/>
  <c r="Z1743" i="22"/>
  <c r="AF1743" i="22"/>
  <c r="Z1744" i="22"/>
  <c r="AF1744" i="22"/>
  <c r="Z1745" i="22"/>
  <c r="AF1745" i="22"/>
  <c r="Z1746" i="22"/>
  <c r="AF1746" i="22"/>
  <c r="Z1747" i="22"/>
  <c r="AF1747" i="22"/>
  <c r="Z1748" i="22"/>
  <c r="AF1748" i="22"/>
  <c r="Z1749" i="22"/>
  <c r="AF1749" i="22"/>
  <c r="Z1750" i="22"/>
  <c r="AF1750" i="22"/>
  <c r="Z1751" i="22"/>
  <c r="AF1751" i="22"/>
  <c r="Z1752" i="22"/>
  <c r="AF1752" i="22"/>
  <c r="Z1753" i="22"/>
  <c r="AF1753" i="22"/>
  <c r="Z1754" i="22"/>
  <c r="AF1754" i="22"/>
  <c r="Z1755" i="22"/>
  <c r="AF1755" i="22"/>
  <c r="Z1756" i="22"/>
  <c r="AF1756" i="22"/>
  <c r="Z1757" i="22"/>
  <c r="AF1757" i="22"/>
  <c r="Z1758" i="22"/>
  <c r="AF1758" i="22"/>
  <c r="Z1759" i="22"/>
  <c r="AF1759" i="22"/>
  <c r="Z1760" i="22"/>
  <c r="AF1760" i="22"/>
  <c r="Z1761" i="22"/>
  <c r="AF1761" i="22"/>
  <c r="Z1762" i="22"/>
  <c r="AF1762" i="22"/>
  <c r="Z1763" i="22"/>
  <c r="AF1763" i="22"/>
  <c r="Z1764" i="22"/>
  <c r="AF1764" i="22"/>
  <c r="Z1765" i="22"/>
  <c r="AF1765" i="22"/>
  <c r="Z1766" i="22"/>
  <c r="AF1766" i="22"/>
  <c r="Z1767" i="22"/>
  <c r="AF1767" i="22"/>
  <c r="Z1768" i="22"/>
  <c r="AF1768" i="22"/>
  <c r="Z1769" i="22"/>
  <c r="AF1769" i="22"/>
  <c r="Z1770" i="22"/>
  <c r="AF1770" i="22"/>
  <c r="Z1771" i="22"/>
  <c r="AF1771" i="22"/>
  <c r="Z1772" i="22"/>
  <c r="AF1772" i="22"/>
  <c r="Z1773" i="22"/>
  <c r="AF1773" i="22"/>
  <c r="Z1774" i="22"/>
  <c r="AF1774" i="22"/>
  <c r="Z1775" i="22"/>
  <c r="AF1775" i="22"/>
  <c r="Z1776" i="22"/>
  <c r="AF1776" i="22"/>
  <c r="Z1777" i="22"/>
  <c r="AF1777" i="22"/>
  <c r="Z1778" i="22"/>
  <c r="AF1778" i="22"/>
  <c r="Z1779" i="22"/>
  <c r="AF1779" i="22"/>
  <c r="Z1780" i="22"/>
  <c r="AF1780" i="22"/>
  <c r="Z1781" i="22"/>
  <c r="AF1781" i="22"/>
  <c r="Z1782" i="22"/>
  <c r="AF1782" i="22"/>
  <c r="Z1783" i="22"/>
  <c r="AF1783" i="22"/>
  <c r="Z1784" i="22"/>
  <c r="AF1784" i="22"/>
  <c r="Z1785" i="22"/>
  <c r="AF1785" i="22"/>
  <c r="Z1786" i="22"/>
  <c r="AF1786" i="22"/>
  <c r="Z1787" i="22"/>
  <c r="AF1787" i="22"/>
  <c r="Z1788" i="22"/>
  <c r="AF1788" i="22"/>
  <c r="Z1789" i="22"/>
  <c r="AF1789" i="22"/>
  <c r="Z1790" i="22"/>
  <c r="AF1790" i="22"/>
  <c r="Z1791" i="22"/>
  <c r="AF1791" i="22"/>
  <c r="Z1792" i="22"/>
  <c r="AF1792" i="22"/>
  <c r="Z1793" i="22"/>
  <c r="AF1793" i="22"/>
  <c r="Z1794" i="22"/>
  <c r="AF1794" i="22"/>
  <c r="Z1795" i="22"/>
  <c r="AF1795" i="22"/>
  <c r="Z1796" i="22"/>
  <c r="AF1796" i="22"/>
  <c r="Z1797" i="22"/>
  <c r="AF1797" i="22"/>
  <c r="Z1798" i="22"/>
  <c r="AF1798" i="22"/>
  <c r="Z1799" i="22"/>
  <c r="AF1799" i="22"/>
  <c r="Z1800" i="22"/>
  <c r="AF1800" i="22"/>
  <c r="Z1801" i="22"/>
  <c r="AF1801" i="22"/>
  <c r="Z1802" i="22"/>
  <c r="AF1802" i="22"/>
  <c r="Z1803" i="22"/>
  <c r="AF1803" i="22"/>
  <c r="Z1804" i="22"/>
  <c r="AF1804" i="22"/>
  <c r="Z1805" i="22"/>
  <c r="AF1805" i="22"/>
  <c r="Z1806" i="22"/>
  <c r="AF1806" i="22"/>
  <c r="Z1807" i="22"/>
  <c r="AF1807" i="22"/>
  <c r="Z1808" i="22"/>
  <c r="AF1808" i="22"/>
  <c r="Z1809" i="22"/>
  <c r="AF1809" i="22"/>
  <c r="Z1810" i="22"/>
  <c r="AF1810" i="22"/>
  <c r="Z1811" i="22"/>
  <c r="AF1811" i="22"/>
  <c r="Z1812" i="22"/>
  <c r="AF1812" i="22"/>
  <c r="Z1813" i="22"/>
  <c r="AF1813" i="22"/>
  <c r="Z1814" i="22"/>
  <c r="AF1814" i="22"/>
  <c r="Z1815" i="22"/>
  <c r="AF1815" i="22"/>
  <c r="Z1816" i="22"/>
  <c r="AF1816" i="22"/>
  <c r="Z1817" i="22"/>
  <c r="AF1817" i="22"/>
  <c r="Z1818" i="22"/>
  <c r="AF1818" i="22"/>
  <c r="Z1819" i="22"/>
  <c r="AF1819" i="22"/>
  <c r="Z1820" i="22"/>
  <c r="AF1820" i="22"/>
  <c r="Z1821" i="22"/>
  <c r="AF1821" i="22"/>
  <c r="Z1822" i="22"/>
  <c r="AF1822" i="22"/>
  <c r="Z1823" i="22"/>
  <c r="AF1823" i="22"/>
  <c r="Z1824" i="22"/>
  <c r="AF1824" i="22"/>
  <c r="Z1825" i="22"/>
  <c r="AF1825" i="22"/>
  <c r="Z1826" i="22"/>
  <c r="AF1826" i="22"/>
  <c r="Z1827" i="22"/>
  <c r="AF1827" i="22"/>
  <c r="Z1828" i="22"/>
  <c r="AF1828" i="22"/>
  <c r="Z1829" i="22"/>
  <c r="AF1829" i="22"/>
  <c r="Z1830" i="22"/>
  <c r="AF1830" i="22"/>
  <c r="Z1831" i="22"/>
  <c r="AF1831" i="22"/>
  <c r="Z1832" i="22"/>
  <c r="AF1832" i="22"/>
  <c r="Z1833" i="22"/>
  <c r="AF1833" i="22"/>
  <c r="Z1834" i="22"/>
  <c r="AF1834" i="22"/>
  <c r="Z1835" i="22"/>
  <c r="AF1835" i="22"/>
  <c r="Z1836" i="22"/>
  <c r="AF1836" i="22"/>
  <c r="Z1837" i="22"/>
  <c r="AF1837" i="22"/>
  <c r="Z1838" i="22"/>
  <c r="AF1838" i="22"/>
  <c r="Z1839" i="22"/>
  <c r="AF1839" i="22"/>
  <c r="Z1840" i="22"/>
  <c r="AF1840" i="22"/>
  <c r="Z1841" i="22"/>
  <c r="AF1841" i="22"/>
  <c r="Z1842" i="22"/>
  <c r="AF1842" i="22"/>
  <c r="Z1843" i="22"/>
  <c r="AF1843" i="22"/>
  <c r="Z1844" i="22"/>
  <c r="AF1844" i="22"/>
  <c r="Z1845" i="22"/>
  <c r="AF1845" i="22"/>
  <c r="Z1846" i="22"/>
  <c r="AF1846" i="22"/>
  <c r="Z1847" i="22"/>
  <c r="AF1847" i="22"/>
  <c r="Z1848" i="22"/>
  <c r="AF1848" i="22"/>
  <c r="Z1849" i="22"/>
  <c r="AF1849" i="22"/>
  <c r="Z1850" i="22"/>
  <c r="AF1850" i="22"/>
  <c r="Z1851" i="22"/>
  <c r="AF1851" i="22"/>
  <c r="Z1852" i="22"/>
  <c r="AF1852" i="22"/>
  <c r="Z1853" i="22"/>
  <c r="AF1853" i="22"/>
  <c r="Z1854" i="22"/>
  <c r="AF1854" i="22"/>
  <c r="Z1855" i="22"/>
  <c r="AF1855" i="22"/>
  <c r="Z1856" i="22"/>
  <c r="AF1856" i="22"/>
  <c r="Z1857" i="22"/>
  <c r="AF1857" i="22"/>
  <c r="Z1858" i="22"/>
  <c r="AF1858" i="22"/>
  <c r="Z1859" i="22"/>
  <c r="AF1859" i="22"/>
  <c r="Z1860" i="22"/>
  <c r="AF1860" i="22"/>
  <c r="Z1861" i="22"/>
  <c r="AF1861" i="22"/>
  <c r="Z1862" i="22"/>
  <c r="AF1862" i="22"/>
  <c r="Z1863" i="22"/>
  <c r="AF1863" i="22"/>
  <c r="Z1864" i="22"/>
  <c r="AF1864" i="22"/>
  <c r="Z1865" i="22"/>
  <c r="AF1865" i="22"/>
  <c r="Z1866" i="22"/>
  <c r="AF1866" i="22"/>
  <c r="Z1867" i="22"/>
  <c r="AF1867" i="22"/>
  <c r="Z1868" i="22"/>
  <c r="AF1868" i="22"/>
  <c r="Z1869" i="22"/>
  <c r="AF1869" i="22"/>
  <c r="Z1870" i="22"/>
  <c r="AF1870" i="22"/>
  <c r="Z1871" i="22"/>
  <c r="AF1871" i="22"/>
  <c r="Z1872" i="22"/>
  <c r="AF1872" i="22"/>
  <c r="Z1873" i="22"/>
  <c r="AF1873" i="22"/>
  <c r="Z1874" i="22"/>
  <c r="AF1874" i="22"/>
  <c r="Z1875" i="22"/>
  <c r="AF1875" i="22"/>
  <c r="Z1876" i="22"/>
  <c r="AF1876" i="22"/>
  <c r="Z1877" i="22"/>
  <c r="AF1877" i="22"/>
  <c r="Z1878" i="22"/>
  <c r="AF1878" i="22"/>
  <c r="Z1879" i="22"/>
  <c r="AF1879" i="22"/>
  <c r="Z1880" i="22"/>
  <c r="AF1880" i="22"/>
  <c r="Z1881" i="22"/>
  <c r="AF1881" i="22"/>
  <c r="Z1882" i="22"/>
  <c r="AF1882" i="22"/>
  <c r="Z1883" i="22"/>
  <c r="AF1883" i="22"/>
  <c r="Z1884" i="22"/>
  <c r="AF1884" i="22"/>
  <c r="Z1885" i="22"/>
  <c r="AF1885" i="22"/>
  <c r="Z1886" i="22"/>
  <c r="AF1886" i="22"/>
  <c r="Z1887" i="22"/>
  <c r="AF1887" i="22"/>
  <c r="Z1888" i="22"/>
  <c r="AF1888" i="22"/>
  <c r="Z1889" i="22"/>
  <c r="AF1889" i="22"/>
  <c r="Z1890" i="22"/>
  <c r="AF1890" i="22"/>
  <c r="Z1891" i="22"/>
  <c r="AF1891" i="22"/>
  <c r="Z1892" i="22"/>
  <c r="AF1892" i="22"/>
  <c r="Z1893" i="22"/>
  <c r="AF1893" i="22"/>
  <c r="Z1894" i="22"/>
  <c r="AF1894" i="22"/>
  <c r="Z1895" i="22"/>
  <c r="AF1895" i="22"/>
  <c r="Z1896" i="22"/>
  <c r="AF1896" i="22"/>
  <c r="Z1897" i="22"/>
  <c r="AF1897" i="22"/>
  <c r="Z1898" i="22"/>
  <c r="AF1898" i="22"/>
  <c r="Z1899" i="22"/>
  <c r="AF1899" i="22"/>
  <c r="Z1900" i="22"/>
  <c r="AF1900" i="22"/>
  <c r="Z1901" i="22"/>
  <c r="AF1901" i="22"/>
  <c r="Z1902" i="22"/>
  <c r="AF1902" i="22"/>
  <c r="Z1903" i="22"/>
  <c r="AF1903" i="22"/>
  <c r="Z1904" i="22"/>
  <c r="AF1904" i="22"/>
  <c r="Z1905" i="22"/>
  <c r="AF1905" i="22"/>
  <c r="Z1906" i="22"/>
  <c r="AF1906" i="22"/>
  <c r="Z1907" i="22"/>
  <c r="AF1907" i="22"/>
  <c r="Z1908" i="22"/>
  <c r="AF1908" i="22"/>
  <c r="Z1909" i="22"/>
  <c r="AF1909" i="22"/>
  <c r="Z1910" i="22"/>
  <c r="AF1910" i="22"/>
  <c r="Z1911" i="22"/>
  <c r="AF1911" i="22"/>
  <c r="Z1912" i="22"/>
  <c r="AF1912" i="22"/>
  <c r="Z1913" i="22"/>
  <c r="AF1913" i="22"/>
  <c r="Z1914" i="22"/>
  <c r="AF1914" i="22"/>
  <c r="Z1915" i="22"/>
  <c r="AF1915" i="22"/>
  <c r="Z1916" i="22"/>
  <c r="AF1916" i="22"/>
  <c r="Z1917" i="22"/>
  <c r="AF1917" i="22"/>
  <c r="Z1918" i="22"/>
  <c r="AF1918" i="22"/>
  <c r="Z1919" i="22"/>
  <c r="AF1919" i="22"/>
  <c r="Z1920" i="22"/>
  <c r="AF1920" i="22"/>
  <c r="Z1921" i="22"/>
  <c r="AF1921" i="22"/>
  <c r="Z1922" i="22"/>
  <c r="AF1922" i="22"/>
  <c r="Z1923" i="22"/>
  <c r="AF1923" i="22"/>
  <c r="Z1924" i="22"/>
  <c r="AF1924" i="22"/>
  <c r="Z1925" i="22"/>
  <c r="AF1925" i="22"/>
  <c r="Z1926" i="22"/>
  <c r="AF1926" i="22"/>
  <c r="Z1927" i="22"/>
  <c r="AF1927" i="22"/>
  <c r="Z1928" i="22"/>
  <c r="AF1928" i="22"/>
  <c r="Z1929" i="22"/>
  <c r="AF1929" i="22"/>
  <c r="Z1930" i="22"/>
  <c r="AF1930" i="22"/>
  <c r="Z1931" i="22"/>
  <c r="AF1931" i="22"/>
  <c r="Z1932" i="22"/>
  <c r="AF1932" i="22"/>
  <c r="Z1933" i="22"/>
  <c r="AF1933" i="22"/>
  <c r="Z1934" i="22"/>
  <c r="AF1934" i="22"/>
  <c r="Z1935" i="22"/>
  <c r="AF1935" i="22"/>
  <c r="Z1936" i="22"/>
  <c r="AF1936" i="22"/>
  <c r="Z1937" i="22"/>
  <c r="AF1937" i="22"/>
  <c r="Z1938" i="22"/>
  <c r="AF1938" i="22"/>
  <c r="Z1939" i="22"/>
  <c r="AF1939" i="22"/>
  <c r="Z1940" i="22"/>
  <c r="AF1940" i="22"/>
  <c r="Z1941" i="22"/>
  <c r="AF1941" i="22"/>
  <c r="Z1942" i="22"/>
  <c r="AF1942" i="22"/>
  <c r="Z1943" i="22"/>
  <c r="AF1943" i="22"/>
  <c r="Z1944" i="22"/>
  <c r="AF1944" i="22"/>
  <c r="Z1945" i="22"/>
  <c r="AF1945" i="22"/>
  <c r="Z1946" i="22"/>
  <c r="AF1946" i="22"/>
  <c r="Z1947" i="22"/>
  <c r="AF1947" i="22"/>
  <c r="Z1948" i="22"/>
  <c r="AF1948" i="22"/>
  <c r="Z1949" i="22"/>
  <c r="AF1949" i="22"/>
  <c r="Z1950" i="22"/>
  <c r="AF1950" i="22"/>
  <c r="Z1951" i="22"/>
  <c r="AF1951" i="22"/>
  <c r="Z1952" i="22"/>
  <c r="AF1952" i="22"/>
  <c r="Z1953" i="22"/>
  <c r="AF1953" i="22"/>
  <c r="Z1954" i="22"/>
  <c r="AF1954" i="22"/>
  <c r="Z1955" i="22"/>
  <c r="AF1955" i="22"/>
  <c r="Z1956" i="22"/>
  <c r="AF1956" i="22"/>
  <c r="Z1957" i="22"/>
  <c r="AF1957" i="22"/>
  <c r="Z1958" i="22"/>
  <c r="AF1958" i="22"/>
  <c r="Z1959" i="22"/>
  <c r="AF1959" i="22"/>
  <c r="Z1960" i="22"/>
  <c r="AF1960" i="22"/>
  <c r="Z1961" i="22"/>
  <c r="AF1961" i="22"/>
  <c r="Z1962" i="22"/>
  <c r="AF1962" i="22"/>
  <c r="Z1963" i="22"/>
  <c r="AF1963" i="22"/>
  <c r="Z1964" i="22"/>
  <c r="AF1964" i="22"/>
  <c r="Z1965" i="22"/>
  <c r="AF1965" i="22"/>
  <c r="Z1966" i="22"/>
  <c r="AF1966" i="22"/>
  <c r="Z1967" i="22"/>
  <c r="AF1967" i="22"/>
  <c r="Z1968" i="22"/>
  <c r="AF1968" i="22"/>
  <c r="Z1969" i="22"/>
  <c r="AF1969" i="22"/>
  <c r="Z1970" i="22"/>
  <c r="AF1970" i="22"/>
  <c r="Z1971" i="22"/>
  <c r="AF1971" i="22"/>
  <c r="Z1972" i="22"/>
  <c r="AF1972" i="22"/>
  <c r="Z1973" i="22"/>
  <c r="AF1973" i="22"/>
  <c r="Z1974" i="22"/>
  <c r="AF1974" i="22"/>
  <c r="Z1975" i="22"/>
  <c r="AF1975" i="22"/>
  <c r="Z1976" i="22"/>
  <c r="AF1976" i="22"/>
  <c r="Z1977" i="22"/>
  <c r="AF1977" i="22"/>
  <c r="Z1978" i="22"/>
  <c r="AF1978" i="22"/>
  <c r="Z1979" i="22"/>
  <c r="AF1979" i="22"/>
  <c r="Z1980" i="22"/>
  <c r="AF1980" i="22"/>
  <c r="Z1981" i="22"/>
  <c r="AF1981" i="22"/>
  <c r="Z1982" i="22"/>
  <c r="AF1982" i="22"/>
  <c r="Z1983" i="22"/>
  <c r="AF1983" i="22"/>
  <c r="Z1984" i="22"/>
  <c r="AF1984" i="22"/>
  <c r="Z1985" i="22"/>
  <c r="AF1985" i="22"/>
  <c r="Z1986" i="22"/>
  <c r="AF1986" i="22"/>
  <c r="Z1987" i="22"/>
  <c r="AF1987" i="22"/>
  <c r="Z1988" i="22"/>
  <c r="AF1988" i="22"/>
  <c r="Z1989" i="22"/>
  <c r="AF1989" i="22"/>
  <c r="Z1990" i="22"/>
  <c r="AF1990" i="22"/>
  <c r="Z1991" i="22"/>
  <c r="AF1991" i="22"/>
  <c r="Z1992" i="22"/>
  <c r="AF1992" i="22"/>
  <c r="Z1993" i="22"/>
  <c r="AF1993" i="22"/>
  <c r="Z1994" i="22"/>
  <c r="AF1994" i="22"/>
  <c r="Z1995" i="22"/>
  <c r="AF1995" i="22"/>
  <c r="Z1996" i="22"/>
  <c r="AF1996" i="22"/>
  <c r="Z1997" i="22"/>
  <c r="AF1997" i="22"/>
  <c r="Z1998" i="22"/>
  <c r="AF1998" i="22"/>
  <c r="Z1999" i="22"/>
  <c r="AF1999" i="22"/>
  <c r="Z2000" i="22"/>
  <c r="AF2000" i="22"/>
  <c r="Z2001" i="22"/>
  <c r="AF2001" i="22"/>
  <c r="Z2002" i="22"/>
  <c r="AF2002" i="22"/>
  <c r="Z2003" i="22"/>
  <c r="AF2003" i="22"/>
  <c r="Z2004" i="22"/>
  <c r="AF2004" i="22"/>
  <c r="Z2005" i="22"/>
  <c r="AF2005" i="22"/>
  <c r="Z2006" i="22"/>
  <c r="AF2006" i="22"/>
  <c r="Z2007" i="22"/>
  <c r="AF2007" i="22"/>
  <c r="Z2008" i="22"/>
  <c r="AF2008" i="22"/>
  <c r="Z2009" i="22"/>
  <c r="AF2009" i="22"/>
  <c r="Z2010" i="22"/>
  <c r="AF2010" i="22"/>
  <c r="Z2011" i="22"/>
  <c r="AF2011" i="22"/>
  <c r="Z2012" i="22"/>
  <c r="AF2012" i="22"/>
  <c r="Z2013" i="22"/>
  <c r="AF2013" i="22"/>
  <c r="Z2014" i="22"/>
  <c r="AF2014" i="22"/>
  <c r="Z2015" i="22"/>
  <c r="AF2015" i="22"/>
  <c r="Z2016" i="22"/>
  <c r="AF2016" i="22"/>
  <c r="Z2017" i="22"/>
  <c r="AF2017" i="22"/>
  <c r="Z2018" i="22"/>
  <c r="AF2018" i="22"/>
  <c r="Z2019" i="22"/>
  <c r="AF2019" i="22"/>
  <c r="Z2020" i="22"/>
  <c r="AF2020" i="22"/>
  <c r="Z2021" i="22"/>
  <c r="AF2021" i="22"/>
  <c r="Z2022" i="22"/>
  <c r="AF2022" i="22"/>
  <c r="Z2023" i="22"/>
  <c r="AF2023" i="22"/>
  <c r="Z2024" i="22"/>
  <c r="AF2024" i="22"/>
  <c r="Z2025" i="22"/>
  <c r="AF2025" i="22"/>
  <c r="Z2026" i="22"/>
  <c r="AF2026" i="22"/>
  <c r="Z2027" i="22"/>
  <c r="AF2027" i="22"/>
  <c r="Z2028" i="22"/>
  <c r="AF2028" i="22"/>
  <c r="Z2029" i="22"/>
  <c r="AF2029" i="22"/>
  <c r="Z2030" i="22"/>
  <c r="AF2030" i="22"/>
  <c r="Z2031" i="22"/>
  <c r="AF2031" i="22"/>
  <c r="Z2032" i="22"/>
  <c r="AF2032" i="22"/>
  <c r="Z2033" i="22"/>
  <c r="AF2033" i="22"/>
  <c r="Z2034" i="22"/>
  <c r="AF2034" i="22"/>
  <c r="Z2035" i="22"/>
  <c r="AF2035" i="22"/>
  <c r="Z2036" i="22"/>
  <c r="AF2036" i="22"/>
  <c r="Z2037" i="22"/>
  <c r="AF2037" i="22"/>
  <c r="Z2038" i="22"/>
  <c r="AF2038" i="22"/>
  <c r="Z2039" i="22"/>
  <c r="AF2039" i="22"/>
  <c r="Z2040" i="22"/>
  <c r="AF2040" i="22"/>
  <c r="Z2041" i="22"/>
  <c r="AF2041" i="22"/>
  <c r="Z2042" i="22"/>
  <c r="AF2042" i="22"/>
  <c r="Z2043" i="22"/>
  <c r="AF2043" i="22"/>
  <c r="Z2044" i="22"/>
  <c r="AF2044" i="22"/>
  <c r="Z2045" i="22"/>
  <c r="AF2045" i="22"/>
  <c r="Z2046" i="22"/>
  <c r="AF2046" i="22"/>
  <c r="Z2047" i="22"/>
  <c r="AF2047" i="22"/>
  <c r="Z2048" i="22"/>
  <c r="AF2048" i="22"/>
  <c r="Z2049" i="22"/>
  <c r="AF2049" i="22"/>
  <c r="Z2050" i="22"/>
  <c r="AF2050" i="22"/>
  <c r="Z2051" i="22"/>
  <c r="AF2051" i="22"/>
  <c r="Z2052" i="22"/>
  <c r="AF2052" i="22"/>
  <c r="Z2053" i="22"/>
  <c r="AF2053" i="22"/>
  <c r="Z2054" i="22"/>
  <c r="AF2054" i="22"/>
  <c r="Z2055" i="22"/>
  <c r="AF2055" i="22"/>
  <c r="Z2056" i="22"/>
  <c r="AF2056" i="22"/>
  <c r="Z2057" i="22"/>
  <c r="AF2057" i="22"/>
  <c r="Z2058" i="22"/>
  <c r="AF2058" i="22"/>
  <c r="Z2059" i="22"/>
  <c r="AF2059" i="22"/>
  <c r="Z2060" i="22"/>
  <c r="AF2060" i="22"/>
  <c r="Z2061" i="22"/>
  <c r="AF2061" i="22"/>
  <c r="Z2062" i="22"/>
  <c r="AF2062" i="22"/>
  <c r="Z2063" i="22"/>
  <c r="AF2063" i="22"/>
  <c r="Z2064" i="22"/>
  <c r="AF2064" i="22"/>
  <c r="Z2065" i="22"/>
  <c r="AF2065" i="22"/>
  <c r="Z2066" i="22"/>
  <c r="AF2066" i="22"/>
  <c r="Z2067" i="22"/>
  <c r="AF2067" i="22"/>
  <c r="Z2068" i="22"/>
  <c r="AF2068" i="22"/>
  <c r="Z2069" i="22"/>
  <c r="AF2069" i="22"/>
  <c r="Z2070" i="22"/>
  <c r="AF2070" i="22"/>
  <c r="Z2071" i="22"/>
  <c r="AF2071" i="22"/>
  <c r="Z2072" i="22"/>
  <c r="AF2072" i="22"/>
  <c r="Z2073" i="22"/>
  <c r="AF2073" i="22"/>
  <c r="Z2074" i="22"/>
  <c r="AF2074" i="22"/>
  <c r="Z2075" i="22"/>
  <c r="AF2075" i="22"/>
  <c r="Z2076" i="22"/>
  <c r="AF2076" i="22"/>
  <c r="Z2077" i="22"/>
  <c r="AF2077" i="22"/>
  <c r="Z2078" i="22"/>
  <c r="AF2078" i="22"/>
  <c r="Z2079" i="22"/>
  <c r="AF2079" i="22"/>
  <c r="Z2080" i="22"/>
  <c r="AF2080" i="22"/>
  <c r="Z2081" i="22"/>
  <c r="AF2081" i="22"/>
  <c r="Z2082" i="22"/>
  <c r="AF2082" i="22"/>
  <c r="Z2083" i="22"/>
  <c r="AF2083" i="22"/>
  <c r="Z2084" i="22"/>
  <c r="AF2084" i="22"/>
  <c r="Z2085" i="22"/>
  <c r="AF2085" i="22"/>
  <c r="Z2086" i="22"/>
  <c r="AF2086" i="22"/>
  <c r="Z2087" i="22"/>
  <c r="AF2087" i="22"/>
  <c r="Z2088" i="22"/>
  <c r="AF2088" i="22"/>
  <c r="Z2089" i="22"/>
  <c r="AF2089" i="22"/>
  <c r="Z2090" i="22"/>
  <c r="AF2090" i="22"/>
  <c r="Z2091" i="22"/>
  <c r="AF2091" i="22"/>
  <c r="Z2092" i="22"/>
  <c r="AF2092" i="22"/>
  <c r="Z2093" i="22"/>
  <c r="AF2093" i="22"/>
  <c r="Z2094" i="22"/>
  <c r="AF2094" i="22"/>
  <c r="Z2095" i="22"/>
  <c r="AF2095" i="22"/>
  <c r="Z2096" i="22"/>
  <c r="AF2096" i="22"/>
  <c r="Z2097" i="22"/>
  <c r="AF2097" i="22"/>
  <c r="Z2098" i="22"/>
  <c r="AF2098" i="22"/>
  <c r="Z2099" i="22"/>
  <c r="AF2099" i="22"/>
  <c r="Z2100" i="22"/>
  <c r="AF2100" i="22"/>
  <c r="Z2101" i="22"/>
  <c r="AF2101" i="22"/>
  <c r="Z2102" i="22"/>
  <c r="AF2102" i="22"/>
  <c r="Z2103" i="22"/>
  <c r="AF2103" i="22"/>
  <c r="Z2104" i="22"/>
  <c r="AF2104" i="22"/>
  <c r="Z2105" i="22"/>
  <c r="AF2105" i="22"/>
  <c r="Z2106" i="22"/>
  <c r="AF2106" i="22"/>
  <c r="Z2107" i="22"/>
  <c r="AF2107" i="22"/>
  <c r="Z2108" i="22"/>
  <c r="AF2108" i="22"/>
  <c r="Z2109" i="22"/>
  <c r="AF2109" i="22"/>
  <c r="Z2110" i="22"/>
  <c r="AF2110" i="22"/>
  <c r="Z2111" i="22"/>
  <c r="AF2111" i="22"/>
  <c r="Z2112" i="22"/>
  <c r="AF2112" i="22"/>
  <c r="Z2113" i="22"/>
  <c r="AF2113" i="22"/>
  <c r="Z2114" i="22"/>
  <c r="AF2114" i="22"/>
  <c r="Z2115" i="22"/>
  <c r="AF2115" i="22"/>
  <c r="Z2116" i="22"/>
  <c r="AF2116" i="22"/>
  <c r="Z2117" i="22"/>
  <c r="AF2117" i="22"/>
  <c r="Z2118" i="22"/>
  <c r="AF2118" i="22"/>
  <c r="Z2119" i="22"/>
  <c r="AF2119" i="22"/>
  <c r="Z2120" i="22"/>
  <c r="AF2120" i="22"/>
  <c r="Z2121" i="22"/>
  <c r="AF2121" i="22"/>
  <c r="Z2122" i="22"/>
  <c r="AF2122" i="22"/>
  <c r="Z2123" i="22"/>
  <c r="AF2123" i="22"/>
  <c r="Z2124" i="22"/>
  <c r="AF2124" i="22"/>
  <c r="Z2125" i="22"/>
  <c r="AF2125" i="22"/>
  <c r="Z2126" i="22"/>
  <c r="AF2126" i="22"/>
  <c r="Z2127" i="22"/>
  <c r="AF2127" i="22"/>
  <c r="Z2128" i="22"/>
  <c r="AF2128" i="22"/>
  <c r="Z2129" i="22"/>
  <c r="AF2129" i="22"/>
  <c r="Z2130" i="22"/>
  <c r="AF2130" i="22"/>
  <c r="Z2131" i="22"/>
  <c r="AF2131" i="22"/>
  <c r="Z2132" i="22"/>
  <c r="AF2132" i="22"/>
  <c r="Z2133" i="22"/>
  <c r="AF2133" i="22"/>
  <c r="Z2134" i="22"/>
  <c r="AF2134" i="22"/>
  <c r="Z2135" i="22"/>
  <c r="AF2135" i="22"/>
  <c r="Z2136" i="22"/>
  <c r="AF2136" i="22"/>
  <c r="Z2137" i="22"/>
  <c r="AF2137" i="22"/>
  <c r="Z2138" i="22"/>
  <c r="AF2138" i="22"/>
  <c r="Z2139" i="22"/>
  <c r="AF2139" i="22"/>
  <c r="Z2140" i="22"/>
  <c r="AF2140" i="22"/>
  <c r="Z2141" i="22"/>
  <c r="AF2141" i="22"/>
  <c r="Z2142" i="22"/>
  <c r="AF2142" i="22"/>
  <c r="Z2143" i="22"/>
  <c r="AF2143" i="22"/>
  <c r="Z2144" i="22"/>
  <c r="AF2144" i="22"/>
  <c r="Z2145" i="22"/>
  <c r="AF2145" i="22"/>
  <c r="Z2146" i="22"/>
  <c r="AF2146" i="22"/>
  <c r="Z2147" i="22"/>
  <c r="AF2147" i="22"/>
  <c r="Z2148" i="22"/>
  <c r="AF2148" i="22"/>
  <c r="Z2149" i="22"/>
  <c r="AF2149" i="22"/>
  <c r="Z2150" i="22"/>
  <c r="AF2150" i="22"/>
  <c r="Z2151" i="22"/>
  <c r="AF2151" i="22"/>
  <c r="Z2152" i="22"/>
  <c r="AF2152" i="22"/>
  <c r="Z2153" i="22"/>
  <c r="AF2153" i="22"/>
  <c r="Z2154" i="22"/>
  <c r="AF2154" i="22"/>
  <c r="Z2155" i="22"/>
  <c r="AF2155" i="22"/>
  <c r="Z2156" i="22"/>
  <c r="AF2156" i="22"/>
  <c r="Z2157" i="22"/>
  <c r="AF2157" i="22"/>
  <c r="Z2158" i="22"/>
  <c r="AF2158" i="22"/>
  <c r="Z2159" i="22"/>
  <c r="AF2159" i="22"/>
  <c r="Z2160" i="22"/>
  <c r="AF2160" i="22"/>
  <c r="Z2161" i="22"/>
  <c r="AF2161" i="22"/>
  <c r="Z2162" i="22"/>
  <c r="AF2162" i="22"/>
  <c r="Z2163" i="22"/>
  <c r="AF2163" i="22"/>
  <c r="Z2164" i="22"/>
  <c r="AF2164" i="22"/>
  <c r="Z2165" i="22"/>
  <c r="AF2165" i="22"/>
  <c r="Z2166" i="22"/>
  <c r="AF2166" i="22"/>
  <c r="Z2167" i="22"/>
  <c r="AF2167" i="22"/>
  <c r="Z2168" i="22"/>
  <c r="AF2168" i="22"/>
  <c r="Z2169" i="22"/>
  <c r="AF2169" i="22"/>
  <c r="Z2170" i="22"/>
  <c r="AF2170" i="22"/>
  <c r="Z2171" i="22"/>
  <c r="AF2171" i="22"/>
  <c r="Z2172" i="22"/>
  <c r="AF2172" i="22"/>
  <c r="Z2173" i="22"/>
  <c r="AF2173" i="22"/>
  <c r="Z2174" i="22"/>
  <c r="AF2174" i="22"/>
  <c r="Z2175" i="22"/>
  <c r="AF2175" i="22"/>
  <c r="Z2176" i="22"/>
  <c r="AF2176" i="22"/>
  <c r="Z2177" i="22"/>
  <c r="AF2177" i="22"/>
  <c r="Z2178" i="22"/>
  <c r="AF2178" i="22"/>
  <c r="Z2179" i="22"/>
  <c r="AF2179" i="22"/>
  <c r="Z2180" i="22"/>
  <c r="AF2180" i="22"/>
  <c r="Z2181" i="22"/>
  <c r="AF2181" i="22"/>
  <c r="Z2182" i="22"/>
  <c r="AF2182" i="22"/>
  <c r="Z2183" i="22"/>
  <c r="AF2183" i="22"/>
  <c r="Z2184" i="22"/>
  <c r="AF2184" i="22"/>
  <c r="Z2185" i="22"/>
  <c r="AF2185" i="22"/>
  <c r="Z2186" i="22"/>
  <c r="AF2186" i="22"/>
  <c r="Z2187" i="22"/>
  <c r="AF2187" i="22"/>
  <c r="Z2188" i="22"/>
  <c r="AF2188" i="22"/>
  <c r="Z2189" i="22"/>
  <c r="AF2189" i="22"/>
  <c r="Z2190" i="22"/>
  <c r="AF2190" i="22"/>
  <c r="Z2191" i="22"/>
  <c r="AF2191" i="22"/>
  <c r="Z2192" i="22"/>
  <c r="AF2192" i="22"/>
  <c r="Z2193" i="22"/>
  <c r="AF2193" i="22"/>
  <c r="Z2194" i="22"/>
  <c r="AF2194" i="22"/>
  <c r="Z2195" i="22"/>
  <c r="AF2195" i="22"/>
  <c r="Z2196" i="22"/>
  <c r="AF2196" i="22"/>
  <c r="Z2197" i="22"/>
  <c r="AF2197" i="22"/>
  <c r="Z2198" i="22"/>
  <c r="AF2198" i="22"/>
  <c r="Z2199" i="22"/>
  <c r="AF2199" i="22"/>
  <c r="Z2200" i="22"/>
  <c r="AF2200" i="22"/>
  <c r="Z2201" i="22"/>
  <c r="AF2201" i="22"/>
  <c r="Z2202" i="22"/>
  <c r="AF2202" i="22"/>
  <c r="Z2203" i="22"/>
  <c r="AF2203" i="22"/>
  <c r="Z2204" i="22"/>
  <c r="AF2204" i="22"/>
  <c r="Z2205" i="22"/>
  <c r="AF2205" i="22"/>
  <c r="Z2206" i="22"/>
  <c r="AF2206" i="22"/>
  <c r="Z2207" i="22"/>
  <c r="AF2207" i="22"/>
  <c r="Z2208" i="22"/>
  <c r="AF2208" i="22"/>
  <c r="Z2209" i="22"/>
  <c r="AF2209" i="22"/>
  <c r="Z2210" i="22"/>
  <c r="AF2210" i="22"/>
  <c r="Z2211" i="22"/>
  <c r="AF2211" i="22"/>
  <c r="Z2212" i="22"/>
  <c r="AF2212" i="22"/>
  <c r="Z2213" i="22"/>
  <c r="AF2213" i="22"/>
  <c r="Z2214" i="22"/>
  <c r="AF2214" i="22"/>
  <c r="Z2215" i="22"/>
  <c r="AF2215" i="22"/>
  <c r="Z2216" i="22"/>
  <c r="AF2216" i="22"/>
  <c r="Z2217" i="22"/>
  <c r="AF2217" i="22"/>
  <c r="Z2218" i="22"/>
  <c r="AF2218" i="22"/>
  <c r="Z2219" i="22"/>
  <c r="AF2219" i="22"/>
  <c r="Z2220" i="22"/>
  <c r="AF2220" i="22"/>
  <c r="Z2221" i="22"/>
  <c r="AF2221" i="22"/>
  <c r="Z2222" i="22"/>
  <c r="AF2222" i="22"/>
  <c r="Z2223" i="22"/>
  <c r="AF2223" i="22"/>
  <c r="Z2224" i="22"/>
  <c r="AF2224" i="22"/>
  <c r="Z2225" i="22"/>
  <c r="AF2225" i="22"/>
  <c r="Z2226" i="22"/>
  <c r="AF2226" i="22"/>
  <c r="Z2227" i="22"/>
  <c r="AF2227" i="22"/>
  <c r="Z2228" i="22"/>
  <c r="AF2228" i="22"/>
  <c r="Z2229" i="22"/>
  <c r="AF2229" i="22"/>
  <c r="Z2230" i="22"/>
  <c r="AF2230" i="22"/>
  <c r="Z2231" i="22"/>
  <c r="AF2231" i="22"/>
  <c r="Z2232" i="22"/>
  <c r="AF2232" i="22"/>
  <c r="Z2233" i="22"/>
  <c r="AF2233" i="22"/>
  <c r="Z2234" i="22"/>
  <c r="AF2234" i="22"/>
  <c r="Z2235" i="22"/>
  <c r="AF2235" i="22"/>
  <c r="Z2236" i="22"/>
  <c r="AF2236" i="22"/>
  <c r="Z2237" i="22"/>
  <c r="AF2237" i="22"/>
  <c r="Z2238" i="22"/>
  <c r="AF2238" i="22"/>
  <c r="Z2239" i="22"/>
  <c r="AF2239" i="22"/>
  <c r="Z2240" i="22"/>
  <c r="AF2240" i="22"/>
  <c r="Z2241" i="22"/>
  <c r="AF2241" i="22"/>
  <c r="Z2242" i="22"/>
  <c r="AF2242" i="22"/>
  <c r="Z2243" i="22"/>
  <c r="AF2243" i="22"/>
  <c r="Z2244" i="22"/>
  <c r="AF2244" i="22"/>
  <c r="Z2245" i="22"/>
  <c r="AF2245" i="22"/>
  <c r="Z2246" i="22"/>
  <c r="AF2246" i="22"/>
  <c r="Z2247" i="22"/>
  <c r="AF2247" i="22"/>
  <c r="Z2248" i="22"/>
  <c r="AF2248" i="22"/>
  <c r="Z2249" i="22"/>
  <c r="AF2249" i="22"/>
  <c r="Z2250" i="22"/>
  <c r="AF2250" i="22"/>
  <c r="Z2251" i="22"/>
  <c r="AF2251" i="22"/>
  <c r="Z2252" i="22"/>
  <c r="AF2252" i="22"/>
  <c r="Z2253" i="22"/>
  <c r="AF2253" i="22"/>
  <c r="Z2254" i="22"/>
  <c r="AF2254" i="22"/>
  <c r="Z2255" i="22"/>
  <c r="AF2255" i="22"/>
  <c r="Z2256" i="22"/>
  <c r="AF2256" i="22"/>
  <c r="Z2257" i="22"/>
  <c r="AF2257" i="22"/>
  <c r="Z2258" i="22"/>
  <c r="AF2258" i="22"/>
  <c r="Z2259" i="22"/>
  <c r="AF2259" i="22"/>
  <c r="Z2260" i="22"/>
  <c r="AF2260" i="22"/>
  <c r="Z2261" i="22"/>
  <c r="AF2261" i="22"/>
  <c r="Z2262" i="22"/>
  <c r="AF2262" i="22"/>
  <c r="Z2263" i="22"/>
  <c r="AF2263" i="22"/>
  <c r="Z2264" i="22"/>
  <c r="AF2264" i="22"/>
  <c r="Z2265" i="22"/>
  <c r="AF2265" i="22"/>
  <c r="Z2266" i="22"/>
  <c r="AF2266" i="22"/>
  <c r="Z2267" i="22"/>
  <c r="AF2267" i="22"/>
  <c r="Z2268" i="22"/>
  <c r="AF2268" i="22"/>
  <c r="Z2269" i="22"/>
  <c r="AF2269" i="22"/>
  <c r="Z2270" i="22"/>
  <c r="AF2270" i="22"/>
  <c r="Z2271" i="22"/>
  <c r="AF2271" i="22"/>
  <c r="Z2272" i="22"/>
  <c r="AF2272" i="22"/>
  <c r="Z2273" i="22"/>
  <c r="AF2273" i="22"/>
  <c r="Z2274" i="22"/>
  <c r="AF2274" i="22"/>
  <c r="Z2275" i="22"/>
  <c r="AF2275" i="22"/>
  <c r="Z2276" i="22"/>
  <c r="AF2276" i="22"/>
  <c r="Z2277" i="22"/>
  <c r="AF2277" i="22"/>
  <c r="Z2278" i="22"/>
  <c r="AF2278" i="22"/>
  <c r="Z2279" i="22"/>
  <c r="AF2279" i="22"/>
  <c r="Z2280" i="22"/>
  <c r="AF2280" i="22"/>
  <c r="Z2281" i="22"/>
  <c r="AF2281" i="22"/>
  <c r="Z2282" i="22"/>
  <c r="AF2282" i="22"/>
  <c r="Z2283" i="22"/>
  <c r="AF2283" i="22"/>
  <c r="Z2284" i="22"/>
  <c r="AF2284" i="22"/>
  <c r="Z2285" i="22"/>
  <c r="AF2285" i="22"/>
  <c r="Z2286" i="22"/>
  <c r="AF2286" i="22"/>
  <c r="Z2287" i="22"/>
  <c r="AF2287" i="22"/>
  <c r="Z2288" i="22"/>
  <c r="AF2288" i="22"/>
  <c r="Z2289" i="22"/>
  <c r="AF2289" i="22"/>
  <c r="Z2290" i="22"/>
  <c r="AF2290" i="22"/>
  <c r="Z2291" i="22"/>
  <c r="AF2291" i="22"/>
  <c r="Z2292" i="22"/>
  <c r="AF2292" i="22"/>
  <c r="Z2293" i="22"/>
  <c r="AF2293" i="22"/>
  <c r="Z2294" i="22"/>
  <c r="AF2294" i="22"/>
  <c r="Z2295" i="22"/>
  <c r="AF2295" i="22"/>
  <c r="Z2296" i="22"/>
  <c r="AF2296" i="22"/>
  <c r="Z2297" i="22"/>
  <c r="AF2297" i="22"/>
  <c r="Z2298" i="22"/>
  <c r="AF2298" i="22"/>
  <c r="Z2299" i="22"/>
  <c r="AF2299" i="22"/>
  <c r="Z2300" i="22"/>
  <c r="AF2300" i="22"/>
  <c r="Z2301" i="22"/>
  <c r="AF2301" i="22"/>
  <c r="Z2302" i="22"/>
  <c r="AF2302" i="22"/>
  <c r="Z2303" i="22"/>
  <c r="AF2303" i="22"/>
  <c r="Z2304" i="22"/>
  <c r="AF2304" i="22"/>
  <c r="Z2305" i="22"/>
  <c r="AF2305" i="22"/>
  <c r="Z2306" i="22"/>
  <c r="AF2306" i="22"/>
  <c r="Z2307" i="22"/>
  <c r="AF2307" i="22"/>
  <c r="Z2308" i="22"/>
  <c r="AF2308" i="22"/>
  <c r="Z2309" i="22"/>
  <c r="AF2309" i="22"/>
  <c r="Z2310" i="22"/>
  <c r="AF2310" i="22"/>
  <c r="Z2311" i="22"/>
  <c r="AF2311" i="22"/>
  <c r="Z2312" i="22"/>
  <c r="AF2312" i="22"/>
  <c r="Z2313" i="22"/>
  <c r="AF2313" i="22"/>
  <c r="Z2314" i="22"/>
  <c r="AF2314" i="22"/>
  <c r="Z2315" i="22"/>
  <c r="AF2315" i="22"/>
  <c r="Z2316" i="22"/>
  <c r="AF2316" i="22"/>
  <c r="Z2317" i="22"/>
  <c r="AF2317" i="22"/>
  <c r="Z2318" i="22"/>
  <c r="AF2318" i="22"/>
  <c r="Z2319" i="22"/>
  <c r="AF2319" i="22"/>
  <c r="Z2320" i="22"/>
  <c r="AF2320" i="22"/>
  <c r="Z2321" i="22"/>
  <c r="AF2321" i="22"/>
  <c r="Z2322" i="22"/>
  <c r="AF2322" i="22"/>
  <c r="Z2323" i="22"/>
  <c r="AF2323" i="22"/>
  <c r="Z2324" i="22"/>
  <c r="AF2324" i="22"/>
  <c r="Z2325" i="22"/>
  <c r="AF2325" i="22"/>
  <c r="Z2326" i="22"/>
  <c r="AF2326" i="22"/>
  <c r="Z2327" i="22"/>
  <c r="AF2327" i="22"/>
  <c r="Z2328" i="22"/>
  <c r="AF2328" i="22"/>
  <c r="Z2329" i="22"/>
  <c r="AF2329" i="22"/>
  <c r="Z2330" i="22"/>
  <c r="AF2330" i="22"/>
  <c r="Z2331" i="22"/>
  <c r="AF2331" i="22"/>
  <c r="Z2332" i="22"/>
  <c r="AF2332" i="22"/>
  <c r="Z2333" i="22"/>
  <c r="AF2333" i="22"/>
  <c r="Z2334" i="22"/>
  <c r="AF2334" i="22"/>
  <c r="Z2335" i="22"/>
  <c r="AF2335" i="22"/>
  <c r="Z2336" i="22"/>
  <c r="AF2336" i="22"/>
  <c r="Z2337" i="22"/>
  <c r="AF2337" i="22"/>
  <c r="Z2338" i="22"/>
  <c r="AF2338" i="22"/>
  <c r="Z2339" i="22"/>
  <c r="AF2339" i="22"/>
  <c r="Z2340" i="22"/>
  <c r="AF2340" i="22"/>
  <c r="Z2341" i="22"/>
  <c r="AF2341" i="22"/>
  <c r="Z2342" i="22"/>
  <c r="AF2342" i="22"/>
  <c r="Z2343" i="22"/>
  <c r="AF2343" i="22"/>
  <c r="Z2344" i="22"/>
  <c r="AF2344" i="22"/>
  <c r="Z2345" i="22"/>
  <c r="AF2345" i="22"/>
  <c r="Z2346" i="22"/>
  <c r="AF2346" i="22"/>
  <c r="Z2347" i="22"/>
  <c r="AF2347" i="22"/>
  <c r="Z2348" i="22"/>
  <c r="AF2348" i="22"/>
  <c r="Z2349" i="22"/>
  <c r="AF2349" i="22"/>
  <c r="Z2350" i="22"/>
  <c r="AF2350" i="22"/>
  <c r="Z2351" i="22"/>
  <c r="AF2351" i="22"/>
  <c r="Z2352" i="22"/>
  <c r="AF2352" i="22"/>
  <c r="Z2353" i="22"/>
  <c r="AF2353" i="22"/>
  <c r="Z2354" i="22"/>
  <c r="AF2354" i="22"/>
  <c r="Z2355" i="22"/>
  <c r="AF2355" i="22"/>
  <c r="Z2356" i="22"/>
  <c r="AF2356" i="22"/>
  <c r="Z2357" i="22"/>
  <c r="AF2357" i="22"/>
  <c r="Z2358" i="22"/>
  <c r="AF2358" i="22"/>
  <c r="Z2359" i="22"/>
  <c r="AF2359" i="22"/>
  <c r="Z2360" i="22"/>
  <c r="AF2360" i="22"/>
  <c r="Z2361" i="22"/>
  <c r="AF2361" i="22"/>
  <c r="Z2362" i="22"/>
  <c r="AF2362" i="22"/>
  <c r="Z2363" i="22"/>
  <c r="AF2363" i="22"/>
  <c r="Z2364" i="22"/>
  <c r="AF2364" i="22"/>
  <c r="Z2365" i="22"/>
  <c r="AF2365" i="22"/>
  <c r="Z2366" i="22"/>
  <c r="AF2366" i="22"/>
  <c r="Z2367" i="22"/>
  <c r="AF2367" i="22"/>
  <c r="Z2368" i="22"/>
  <c r="AF2368" i="22"/>
  <c r="Z2369" i="22"/>
  <c r="AF2369" i="22"/>
  <c r="Z2370" i="22"/>
  <c r="AF2370" i="22"/>
  <c r="Z2371" i="22"/>
  <c r="AF2371" i="22"/>
  <c r="Z2372" i="22"/>
  <c r="AF2372" i="22"/>
  <c r="Z2373" i="22"/>
  <c r="AF2373" i="22"/>
  <c r="Z2374" i="22"/>
  <c r="AF2374" i="22"/>
  <c r="Z2375" i="22"/>
  <c r="AF2375" i="22"/>
  <c r="Z2376" i="22"/>
  <c r="AF2376" i="22"/>
  <c r="Z2377" i="22"/>
  <c r="AF2377" i="22"/>
  <c r="Z2378" i="22"/>
  <c r="AF2378" i="22"/>
  <c r="Z2379" i="22"/>
  <c r="AF2379" i="22"/>
  <c r="Z2380" i="22"/>
  <c r="AF2380" i="22"/>
  <c r="Z2381" i="22"/>
  <c r="AF2381" i="22"/>
  <c r="Z2382" i="22"/>
  <c r="AF2382" i="22"/>
  <c r="Z2383" i="22"/>
  <c r="AF2383" i="22"/>
  <c r="Z2384" i="22"/>
  <c r="AF2384" i="22"/>
  <c r="Z2385" i="22"/>
  <c r="AF2385" i="22"/>
  <c r="Z2386" i="22"/>
  <c r="AF2386" i="22"/>
  <c r="Z2387" i="22"/>
  <c r="AF2387" i="22"/>
  <c r="Z2388" i="22"/>
  <c r="AF2388" i="22"/>
  <c r="Z2389" i="22"/>
  <c r="AF2389" i="22"/>
  <c r="Z2390" i="22"/>
  <c r="AF2390" i="22"/>
  <c r="Z2391" i="22"/>
  <c r="AF2391" i="22"/>
  <c r="Z2392" i="22"/>
  <c r="AF2392" i="22"/>
  <c r="Z2393" i="22"/>
  <c r="AF2393" i="22"/>
  <c r="Z2394" i="22"/>
  <c r="AF2394" i="22"/>
  <c r="Z2395" i="22"/>
  <c r="AF2395" i="22"/>
  <c r="Z2396" i="22"/>
  <c r="AF2396" i="22"/>
  <c r="Z2397" i="22"/>
  <c r="AF2397" i="22"/>
  <c r="Z2398" i="22"/>
  <c r="AF2398" i="22"/>
  <c r="Z2399" i="22"/>
  <c r="AF2399" i="22"/>
  <c r="Z2400" i="22"/>
  <c r="AF2400" i="22"/>
  <c r="Z2401" i="22"/>
  <c r="AF2401" i="22"/>
  <c r="Z2402" i="22"/>
  <c r="AF2402" i="22"/>
  <c r="Z2403" i="22"/>
  <c r="AF2403" i="22"/>
  <c r="Z2404" i="22"/>
  <c r="AF2404" i="22"/>
  <c r="Z2405" i="22"/>
  <c r="AF2405" i="22"/>
  <c r="Z2406" i="22"/>
  <c r="AF2406" i="22"/>
  <c r="Z2407" i="22"/>
  <c r="AF2407" i="22"/>
  <c r="Z2408" i="22"/>
  <c r="AF2408" i="22"/>
  <c r="Z2409" i="22"/>
  <c r="AF2409" i="22"/>
  <c r="Z2410" i="22"/>
  <c r="AF2410" i="22"/>
  <c r="Z2411" i="22"/>
  <c r="AF2411" i="22"/>
  <c r="Z2412" i="22"/>
  <c r="AF2412" i="22"/>
  <c r="Z2413" i="22"/>
  <c r="AF2413" i="22"/>
  <c r="Z2414" i="22"/>
  <c r="AF2414" i="22"/>
  <c r="Z2415" i="22"/>
  <c r="AF2415" i="22"/>
  <c r="Z2416" i="22"/>
  <c r="AF2416" i="22"/>
  <c r="Z2417" i="22"/>
  <c r="AF2417" i="22"/>
  <c r="Z2418" i="22"/>
  <c r="AF2418" i="22"/>
  <c r="Z2419" i="22"/>
  <c r="AF2419" i="22"/>
  <c r="Z2420" i="22"/>
  <c r="AF2420" i="22"/>
  <c r="Z2421" i="22"/>
  <c r="AF2421" i="22"/>
  <c r="Z2422" i="22"/>
  <c r="AF2422" i="22"/>
  <c r="Z2423" i="22"/>
  <c r="AF2423" i="22"/>
  <c r="Z2424" i="22"/>
  <c r="AF2424" i="22"/>
  <c r="Z2425" i="22"/>
  <c r="AF2425" i="22"/>
  <c r="Z2426" i="22"/>
  <c r="AF2426" i="22"/>
  <c r="Z2427" i="22"/>
  <c r="AF2427" i="22"/>
  <c r="Z2428" i="22"/>
  <c r="AF2428" i="22"/>
  <c r="Z2429" i="22"/>
  <c r="AF2429" i="22"/>
  <c r="Z2430" i="22"/>
  <c r="AF2430" i="22"/>
  <c r="Z2431" i="22"/>
  <c r="AF2431" i="22"/>
  <c r="Z2432" i="22"/>
  <c r="AF2432" i="22"/>
  <c r="Z2433" i="22"/>
  <c r="AF2433" i="22"/>
  <c r="Z2434" i="22"/>
  <c r="AF2434" i="22"/>
  <c r="Z2435" i="22"/>
  <c r="AF2435" i="22"/>
  <c r="Z2436" i="22"/>
  <c r="AF2436" i="22"/>
  <c r="Z2437" i="22"/>
  <c r="AF2437" i="22"/>
  <c r="Z2438" i="22"/>
  <c r="AF2438" i="22"/>
  <c r="Z2439" i="22"/>
  <c r="AF2439" i="22"/>
  <c r="Z2440" i="22"/>
  <c r="AF2440" i="22"/>
  <c r="Z2441" i="22"/>
  <c r="AF2441" i="22"/>
  <c r="Z2442" i="22"/>
  <c r="AF2442" i="22"/>
  <c r="Z2443" i="22"/>
  <c r="AF2443" i="22"/>
  <c r="Z2444" i="22"/>
  <c r="AF2444" i="22"/>
  <c r="Z2445" i="22"/>
  <c r="AF2445" i="22"/>
  <c r="Z2446" i="22"/>
  <c r="AF2446" i="22"/>
  <c r="Z2447" i="22"/>
  <c r="AF2447" i="22"/>
  <c r="Z2448" i="22"/>
  <c r="AF2448" i="22"/>
  <c r="Z2449" i="22"/>
  <c r="AF2449" i="22"/>
  <c r="Z2450" i="22"/>
  <c r="AF2450" i="22"/>
  <c r="Z2451" i="22"/>
  <c r="AF2451" i="22"/>
  <c r="Z2452" i="22"/>
  <c r="AF2452" i="22"/>
  <c r="Z2453" i="22"/>
  <c r="AF2453" i="22"/>
  <c r="Z2454" i="22"/>
  <c r="AF2454" i="22"/>
  <c r="Z2455" i="22"/>
  <c r="AF2455" i="22"/>
  <c r="Z2456" i="22"/>
  <c r="AF2456" i="22"/>
  <c r="Z2457" i="22"/>
  <c r="AF2457" i="22"/>
  <c r="Z2458" i="22"/>
  <c r="AF2458" i="22"/>
  <c r="Z2459" i="22"/>
  <c r="AF2459" i="22"/>
  <c r="Z2460" i="22"/>
  <c r="AF2460" i="22"/>
  <c r="Z2461" i="22"/>
  <c r="AF2461" i="22"/>
  <c r="Z2462" i="22"/>
  <c r="AF2462" i="22"/>
  <c r="Z2463" i="22"/>
  <c r="AF2463" i="22"/>
  <c r="Z2464" i="22"/>
  <c r="AF2464" i="22"/>
  <c r="Z2465" i="22"/>
  <c r="AF2465" i="22"/>
  <c r="Z2466" i="22"/>
  <c r="AF2466" i="22"/>
  <c r="Z2467" i="22"/>
  <c r="AF2467" i="22"/>
  <c r="Z2468" i="22"/>
  <c r="AF2468" i="22"/>
  <c r="Z2469" i="22"/>
  <c r="AF2469" i="22"/>
  <c r="Z2470" i="22"/>
  <c r="AF2470" i="22"/>
  <c r="Z2471" i="22"/>
  <c r="AF2471" i="22"/>
  <c r="Z2472" i="22"/>
  <c r="AF2472" i="22"/>
  <c r="Z2473" i="22"/>
  <c r="AF2473" i="22"/>
  <c r="Z2474" i="22"/>
  <c r="AF2474" i="22"/>
  <c r="Z2475" i="22"/>
  <c r="AF2475" i="22"/>
  <c r="Z2476" i="22"/>
  <c r="AF2476" i="22"/>
  <c r="Z2477" i="22"/>
  <c r="AF2477" i="22"/>
  <c r="Z2478" i="22"/>
  <c r="AF2478" i="22"/>
  <c r="Z2479" i="22"/>
  <c r="AF2479" i="22"/>
  <c r="Z2480" i="22"/>
  <c r="AF2480" i="22"/>
  <c r="Z2481" i="22"/>
  <c r="AF2481" i="22"/>
  <c r="Z2482" i="22"/>
  <c r="AF2482" i="22"/>
  <c r="Z2483" i="22"/>
  <c r="AF2483" i="22"/>
  <c r="Z2484" i="22"/>
  <c r="AF2484" i="22"/>
  <c r="Z2485" i="22"/>
  <c r="AF2485" i="22"/>
  <c r="Z2486" i="22"/>
  <c r="AF2486" i="22"/>
  <c r="Z2487" i="22"/>
  <c r="AF2487" i="22"/>
  <c r="Z2488" i="22"/>
  <c r="AF2488" i="22"/>
  <c r="Z2489" i="22"/>
  <c r="AF2489" i="22"/>
  <c r="Z2490" i="22"/>
  <c r="AF2490" i="22"/>
  <c r="Z2491" i="22"/>
  <c r="AF2491" i="22"/>
  <c r="Z2492" i="22"/>
  <c r="AF2492" i="22"/>
  <c r="Z2493" i="22"/>
  <c r="AF2493" i="22"/>
  <c r="Z2494" i="22"/>
  <c r="AF2494" i="22"/>
  <c r="Z2495" i="22"/>
  <c r="AF2495" i="22"/>
  <c r="Z2496" i="22"/>
  <c r="AF2496" i="22"/>
  <c r="Z2497" i="22"/>
  <c r="AF2497" i="22"/>
  <c r="Z2498" i="22"/>
  <c r="AF2498" i="22"/>
  <c r="Z2499" i="22"/>
  <c r="AF2499" i="22"/>
  <c r="Z2500" i="22"/>
  <c r="AF2500" i="22"/>
  <c r="Z2501" i="22"/>
  <c r="AF2501" i="22"/>
  <c r="Z2502" i="22"/>
  <c r="AF2502" i="22"/>
  <c r="Z2503" i="22"/>
  <c r="AF2503" i="22"/>
  <c r="Z2504" i="22"/>
  <c r="AF2504" i="22"/>
  <c r="Z2505" i="22"/>
  <c r="AF2505" i="22"/>
  <c r="Z2506" i="22"/>
  <c r="AF2506" i="22"/>
  <c r="Z2507" i="22"/>
  <c r="AF2507" i="22"/>
  <c r="Z2508" i="22"/>
  <c r="AF2508" i="22"/>
  <c r="Z2509" i="22"/>
  <c r="AF2509" i="22"/>
  <c r="Z2510" i="22"/>
  <c r="AF2510" i="22"/>
  <c r="Z2511" i="22"/>
  <c r="AF2511" i="22"/>
  <c r="Z2512" i="22"/>
  <c r="AF2512" i="22"/>
  <c r="Z2513" i="22"/>
  <c r="AF2513" i="22"/>
  <c r="Z2514" i="22"/>
  <c r="AF2514" i="22"/>
  <c r="Z2515" i="22"/>
  <c r="AF2515" i="22"/>
  <c r="Z2516" i="22"/>
  <c r="AF2516" i="22"/>
  <c r="Z2517" i="22"/>
  <c r="AF2517" i="22"/>
  <c r="Z2518" i="22"/>
  <c r="AF2518" i="22"/>
  <c r="Z2519" i="22"/>
  <c r="AF2519" i="22"/>
  <c r="Z2520" i="22"/>
  <c r="AF2520" i="22"/>
  <c r="Z2521" i="22"/>
  <c r="AF2521" i="22"/>
  <c r="Z2522" i="22"/>
  <c r="AF2522" i="22"/>
  <c r="Z2523" i="22"/>
  <c r="AF2523" i="22"/>
  <c r="Z2524" i="22"/>
  <c r="AF2524" i="22"/>
  <c r="Z2525" i="22"/>
  <c r="AF2525" i="22"/>
  <c r="Z2526" i="22"/>
  <c r="AF2526" i="22"/>
  <c r="Z2527" i="22"/>
  <c r="AF2527" i="22"/>
  <c r="Z2528" i="22"/>
  <c r="AF2528" i="22"/>
  <c r="Z2529" i="22"/>
  <c r="AF2529" i="22"/>
  <c r="Z2530" i="22"/>
  <c r="AF2530" i="22"/>
  <c r="Z2531" i="22"/>
  <c r="AF2531" i="22"/>
  <c r="Z2532" i="22"/>
  <c r="AF2532" i="22"/>
  <c r="Z2533" i="22"/>
  <c r="AF2533" i="22"/>
  <c r="Z2534" i="22"/>
  <c r="AF2534" i="22"/>
  <c r="Z2535" i="22"/>
  <c r="AF2535" i="22"/>
  <c r="Z2536" i="22"/>
  <c r="AF2536" i="22"/>
  <c r="Z2537" i="22"/>
  <c r="AF2537" i="22"/>
  <c r="Z2538" i="22"/>
  <c r="AF2538" i="22"/>
  <c r="Z2539" i="22"/>
  <c r="AF2539" i="22"/>
  <c r="Z2540" i="22"/>
  <c r="AF2540" i="22"/>
  <c r="Z2541" i="22"/>
  <c r="AF2541" i="22"/>
  <c r="Z2542" i="22"/>
  <c r="AF2542" i="22"/>
  <c r="Z2543" i="22"/>
  <c r="AF2543" i="22"/>
  <c r="Z2544" i="22"/>
  <c r="AF2544" i="22"/>
  <c r="Z2545" i="22"/>
  <c r="AF2545" i="22"/>
  <c r="Z2546" i="22"/>
  <c r="AF2546" i="22"/>
  <c r="Z2547" i="22"/>
  <c r="AF2547" i="22"/>
  <c r="Z2548" i="22"/>
  <c r="AF2548" i="22"/>
  <c r="Z2549" i="22"/>
  <c r="AF2549" i="22"/>
  <c r="Z2550" i="22"/>
  <c r="AF2550" i="22"/>
  <c r="Z2551" i="22"/>
  <c r="AF2551" i="22"/>
  <c r="Z2552" i="22"/>
  <c r="AF2552" i="22"/>
  <c r="Z2553" i="22"/>
  <c r="AF2553" i="22"/>
  <c r="Z2554" i="22"/>
  <c r="AF2554" i="22"/>
  <c r="Z2555" i="22"/>
  <c r="AF2555" i="22"/>
  <c r="Z2556" i="22"/>
  <c r="AF2556" i="22"/>
  <c r="Z2557" i="22"/>
  <c r="AF2557" i="22"/>
  <c r="Z2558" i="22"/>
  <c r="AF2558" i="22"/>
  <c r="Z2559" i="22"/>
  <c r="AF2559" i="22"/>
  <c r="Z2560" i="22"/>
  <c r="AF2560" i="22"/>
  <c r="Z2561" i="22"/>
  <c r="AF2561" i="22"/>
  <c r="Z2562" i="22"/>
  <c r="AF2562" i="22"/>
  <c r="Z2563" i="22"/>
  <c r="AF2563" i="22"/>
  <c r="Z2564" i="22"/>
  <c r="AF2564" i="22"/>
  <c r="Z2565" i="22"/>
  <c r="AF2565" i="22"/>
  <c r="Z2566" i="22"/>
  <c r="AF2566" i="22"/>
  <c r="Z2567" i="22"/>
  <c r="AF2567" i="22"/>
  <c r="Z2568" i="22"/>
  <c r="AF2568" i="22"/>
  <c r="Z2569" i="22"/>
  <c r="AF2569" i="22"/>
  <c r="Z2570" i="22"/>
  <c r="AF2570" i="22"/>
  <c r="Z2571" i="22"/>
  <c r="AF2571" i="22"/>
  <c r="Z2572" i="22"/>
  <c r="AF2572" i="22"/>
  <c r="Z2573" i="22"/>
  <c r="AF2573" i="22"/>
  <c r="Z2574" i="22"/>
  <c r="AF2574" i="22"/>
  <c r="Z2575" i="22"/>
  <c r="AF2575" i="22"/>
  <c r="Z2576" i="22"/>
  <c r="AF2576" i="22"/>
  <c r="Z2577" i="22"/>
  <c r="AF2577" i="22"/>
  <c r="Z2578" i="22"/>
  <c r="AF2578" i="22"/>
  <c r="D7" i="30"/>
  <c r="R7" i="30"/>
  <c r="S7" i="30"/>
  <c r="V7" i="30"/>
  <c r="W7" i="30"/>
  <c r="X7" i="30"/>
  <c r="D9" i="30"/>
  <c r="R9" i="30"/>
  <c r="S9" i="30"/>
  <c r="V9" i="30"/>
  <c r="W9" i="30"/>
  <c r="X9" i="30"/>
  <c r="D11" i="30"/>
  <c r="R11" i="30"/>
  <c r="S11" i="30"/>
  <c r="V11" i="30"/>
  <c r="W11" i="30"/>
  <c r="X11" i="30"/>
  <c r="D13" i="30"/>
  <c r="R13" i="30"/>
  <c r="S13" i="30"/>
  <c r="V13" i="30"/>
  <c r="W13" i="30"/>
  <c r="X13" i="30"/>
  <c r="D14" i="30"/>
  <c r="R14" i="30"/>
  <c r="S14" i="30"/>
  <c r="V14" i="30"/>
  <c r="W14" i="30"/>
  <c r="X14" i="30"/>
  <c r="D15" i="30"/>
  <c r="R15" i="30"/>
  <c r="S15" i="30"/>
  <c r="V15" i="30"/>
  <c r="W15" i="30"/>
  <c r="X15" i="30"/>
  <c r="Y2" i="23"/>
  <c r="Z2" i="23"/>
  <c r="AD2" i="23"/>
  <c r="AE2" i="23"/>
  <c r="AJ2" i="23"/>
  <c r="Y3" i="23"/>
  <c r="Z3" i="23"/>
  <c r="AD3" i="23"/>
  <c r="AE3" i="23"/>
  <c r="AJ3" i="23"/>
  <c r="Y4" i="23"/>
  <c r="Z4" i="23"/>
  <c r="AD4" i="23"/>
  <c r="AE4" i="23"/>
  <c r="Y5" i="23"/>
  <c r="Z5" i="23"/>
  <c r="AD5" i="23"/>
  <c r="AE5" i="23"/>
  <c r="AJ5" i="23"/>
  <c r="Y6" i="23"/>
  <c r="Z6" i="23"/>
  <c r="AD6" i="23"/>
  <c r="AE6" i="23"/>
  <c r="AJ6" i="23"/>
  <c r="Y7" i="23"/>
  <c r="Z7" i="23"/>
  <c r="AD7" i="23"/>
  <c r="AE7" i="23"/>
  <c r="AJ7" i="23"/>
  <c r="Y8" i="23"/>
  <c r="Z8" i="23"/>
  <c r="AD8" i="23"/>
  <c r="AE8" i="23"/>
  <c r="AJ8" i="23"/>
  <c r="Y9" i="23"/>
  <c r="Z9" i="23"/>
  <c r="AD9" i="23"/>
  <c r="AE9" i="23"/>
  <c r="Y10" i="23"/>
  <c r="Z10" i="23"/>
  <c r="AD10" i="23"/>
  <c r="AE10" i="23"/>
  <c r="Y11" i="23"/>
  <c r="Z11" i="23"/>
  <c r="AD11" i="23"/>
  <c r="AE11" i="23"/>
  <c r="Y12" i="23"/>
  <c r="Z12" i="23"/>
  <c r="AD12" i="23"/>
  <c r="AE12" i="23"/>
  <c r="Y13" i="23"/>
  <c r="Z13" i="23"/>
  <c r="AD13" i="23"/>
  <c r="AE13" i="23"/>
  <c r="Z14" i="23"/>
  <c r="AE14" i="23"/>
  <c r="Z15" i="23"/>
  <c r="AE15" i="23"/>
  <c r="Z16" i="23"/>
  <c r="AE16" i="23"/>
  <c r="Z17" i="23"/>
  <c r="AE17" i="23"/>
  <c r="Z18" i="23"/>
  <c r="AE18" i="23"/>
  <c r="Z19" i="23"/>
  <c r="AE19" i="23"/>
  <c r="Z20" i="23"/>
  <c r="AE20" i="23"/>
  <c r="Z21" i="23"/>
  <c r="AE21" i="23"/>
  <c r="Z22" i="23"/>
  <c r="AE22" i="23"/>
  <c r="Z23" i="23"/>
  <c r="AE23" i="23"/>
  <c r="Z24" i="23"/>
  <c r="AE24" i="23"/>
  <c r="Z25" i="23"/>
  <c r="AE25" i="23"/>
  <c r="Y26" i="23"/>
  <c r="Z26" i="23"/>
  <c r="AD26" i="23"/>
  <c r="AE26" i="23"/>
  <c r="Y27" i="23"/>
  <c r="Z27" i="23"/>
  <c r="AD27" i="23"/>
  <c r="AE27" i="23"/>
  <c r="Y28" i="23"/>
  <c r="Z28" i="23"/>
  <c r="AD28" i="23"/>
  <c r="AE28" i="23"/>
  <c r="Y29" i="23"/>
  <c r="Z29" i="23"/>
  <c r="AD29" i="23"/>
  <c r="AE29" i="23"/>
  <c r="Y30" i="23"/>
  <c r="Z30" i="23"/>
  <c r="AD30" i="23"/>
  <c r="AE30" i="23"/>
  <c r="Y31" i="23"/>
  <c r="Z31" i="23"/>
  <c r="AD31" i="23"/>
  <c r="AE31" i="23"/>
  <c r="Y32" i="23"/>
  <c r="Z32" i="23"/>
  <c r="AD32" i="23"/>
  <c r="AE32" i="23"/>
  <c r="Y33" i="23"/>
  <c r="Z33" i="23"/>
  <c r="AD33" i="23"/>
  <c r="AE33" i="23"/>
  <c r="Y34" i="23"/>
  <c r="Z34" i="23"/>
  <c r="AD34" i="23"/>
  <c r="AE34" i="23"/>
  <c r="Y35" i="23"/>
  <c r="Z35" i="23"/>
  <c r="AD35" i="23"/>
  <c r="AE35" i="23"/>
  <c r="Y36" i="23"/>
  <c r="Z36" i="23"/>
  <c r="AD36" i="23"/>
  <c r="AE36" i="23"/>
  <c r="Y37" i="23"/>
  <c r="Z37" i="23"/>
  <c r="AD37" i="23"/>
  <c r="AE37" i="23"/>
  <c r="Y38" i="23"/>
  <c r="Z38" i="23"/>
  <c r="AD38" i="23"/>
  <c r="AE38" i="23"/>
  <c r="Y39" i="23"/>
  <c r="Z39" i="23"/>
  <c r="AD39" i="23"/>
  <c r="AE39" i="23"/>
  <c r="Y40" i="23"/>
  <c r="Z40" i="23"/>
  <c r="AD40" i="23"/>
  <c r="AE40" i="23"/>
  <c r="Y41" i="23"/>
  <c r="Z41" i="23"/>
  <c r="AD41" i="23"/>
  <c r="AE41" i="23"/>
  <c r="Y42" i="23"/>
  <c r="Z42" i="23"/>
  <c r="AD42" i="23"/>
  <c r="AE42" i="23"/>
  <c r="Y43" i="23"/>
  <c r="Z43" i="23"/>
  <c r="AD43" i="23"/>
  <c r="AE43" i="23"/>
  <c r="Y44" i="23"/>
  <c r="Z44" i="23"/>
  <c r="AD44" i="23"/>
  <c r="AE44" i="23"/>
  <c r="Y45" i="23"/>
  <c r="Z45" i="23"/>
  <c r="AD45" i="23"/>
  <c r="AE45" i="23"/>
  <c r="Y46" i="23"/>
  <c r="Z46" i="23"/>
  <c r="AD46" i="23"/>
  <c r="AE46" i="23"/>
  <c r="Y47" i="23"/>
  <c r="Z47" i="23"/>
  <c r="AD47" i="23"/>
  <c r="AE47" i="23"/>
  <c r="Y48" i="23"/>
  <c r="Z48" i="23"/>
  <c r="AD48" i="23"/>
  <c r="AE48" i="23"/>
  <c r="Y49" i="23"/>
  <c r="Z49" i="23"/>
  <c r="AD49" i="23"/>
  <c r="AE49" i="23"/>
  <c r="Z50" i="23"/>
  <c r="AE50" i="23"/>
  <c r="Z51" i="23"/>
  <c r="AE51" i="23"/>
  <c r="Z52" i="23"/>
  <c r="AE52" i="23"/>
  <c r="Z53" i="23"/>
  <c r="AE53" i="23"/>
  <c r="Z54" i="23"/>
  <c r="AE54" i="23"/>
  <c r="Z55" i="23"/>
  <c r="AE55" i="23"/>
  <c r="Z56" i="23"/>
  <c r="AE56" i="23"/>
  <c r="Z57" i="23"/>
  <c r="AE57" i="23"/>
  <c r="Z58" i="23"/>
  <c r="AE58" i="23"/>
  <c r="Z59" i="23"/>
  <c r="AE59" i="23"/>
  <c r="Z60" i="23"/>
  <c r="AE60" i="23"/>
  <c r="Z61" i="23"/>
  <c r="AE61" i="23"/>
  <c r="Y62" i="23"/>
  <c r="Z62" i="23"/>
  <c r="AD62" i="23"/>
  <c r="AE62" i="23"/>
  <c r="Y63" i="23"/>
  <c r="Z63" i="23"/>
  <c r="AD63" i="23"/>
  <c r="AE63" i="23"/>
  <c r="Y64" i="23"/>
  <c r="Z64" i="23"/>
  <c r="AD64" i="23"/>
  <c r="AE64" i="23"/>
  <c r="Y65" i="23"/>
  <c r="Z65" i="23"/>
  <c r="AD65" i="23"/>
  <c r="AE65" i="23"/>
  <c r="Y66" i="23"/>
  <c r="Z66" i="23"/>
  <c r="AD66" i="23"/>
  <c r="AE66" i="23"/>
  <c r="Y67" i="23"/>
  <c r="Z67" i="23"/>
  <c r="AD67" i="23"/>
  <c r="AE67" i="23"/>
  <c r="Y68" i="23"/>
  <c r="Z68" i="23"/>
  <c r="AD68" i="23"/>
  <c r="AE68" i="23"/>
  <c r="Y69" i="23"/>
  <c r="Z69" i="23"/>
  <c r="AD69" i="23"/>
  <c r="AE69" i="23"/>
  <c r="Y70" i="23"/>
  <c r="Z70" i="23"/>
  <c r="AD70" i="23"/>
  <c r="AE70" i="23"/>
  <c r="Y71" i="23"/>
  <c r="Z71" i="23"/>
  <c r="AD71" i="23"/>
  <c r="AE71" i="23"/>
  <c r="Y72" i="23"/>
  <c r="Z72" i="23"/>
  <c r="AD72" i="23"/>
  <c r="AE72" i="23"/>
  <c r="Y73" i="23"/>
  <c r="Z73" i="23"/>
  <c r="AD73" i="23"/>
  <c r="AE73" i="23"/>
  <c r="Y74" i="23"/>
  <c r="AD74" i="23"/>
  <c r="Y75" i="23"/>
  <c r="AD75" i="23"/>
  <c r="Y76" i="23"/>
  <c r="AD76" i="23"/>
  <c r="Y77" i="23"/>
  <c r="AD77" i="23"/>
  <c r="Y78" i="23"/>
  <c r="AD78" i="23"/>
  <c r="Y79" i="23"/>
  <c r="AD79" i="23"/>
  <c r="Y80" i="23"/>
  <c r="AD80" i="23"/>
  <c r="Y81" i="23"/>
  <c r="AD81" i="23"/>
  <c r="Y82" i="23"/>
  <c r="AD82" i="23"/>
  <c r="Y83" i="23"/>
  <c r="AD83" i="23"/>
  <c r="Y84" i="23"/>
  <c r="AD84" i="23"/>
  <c r="Y85" i="23"/>
  <c r="AD85" i="23"/>
  <c r="Y86" i="23"/>
  <c r="AD86" i="23"/>
  <c r="Y87" i="23"/>
  <c r="AD87" i="23"/>
  <c r="Y88" i="23"/>
  <c r="AD88" i="23"/>
  <c r="Y89" i="23"/>
  <c r="AD89" i="23"/>
  <c r="Y90" i="23"/>
  <c r="AD90" i="23"/>
  <c r="Y91" i="23"/>
  <c r="AD91" i="23"/>
  <c r="Y92" i="23"/>
  <c r="AD92" i="23"/>
  <c r="Y93" i="23"/>
  <c r="AD93" i="23"/>
  <c r="Y94" i="23"/>
  <c r="AD94" i="23"/>
  <c r="Y95" i="23"/>
  <c r="AD95" i="23"/>
  <c r="Y96" i="23"/>
  <c r="AD96" i="23"/>
  <c r="Y97" i="23"/>
  <c r="AD97" i="23"/>
  <c r="Y98" i="23"/>
  <c r="AD98" i="23"/>
  <c r="Y99" i="23"/>
  <c r="AD99" i="23"/>
  <c r="Y100" i="23"/>
  <c r="AD100" i="23"/>
  <c r="Y101" i="23"/>
  <c r="AD101" i="23"/>
  <c r="Y102" i="23"/>
  <c r="AD102" i="23"/>
  <c r="Y103" i="23"/>
  <c r="AD103" i="23"/>
  <c r="Y104" i="23"/>
  <c r="AD104" i="23"/>
  <c r="Y105" i="23"/>
  <c r="AD105" i="23"/>
  <c r="Y106" i="23"/>
  <c r="AD106" i="23"/>
  <c r="Y107" i="23"/>
  <c r="AD107" i="23"/>
  <c r="Y108" i="23"/>
  <c r="AD108" i="23"/>
  <c r="Y109" i="23"/>
  <c r="AD109" i="23"/>
  <c r="Y110" i="23"/>
  <c r="AD110" i="23"/>
  <c r="Y111" i="23"/>
  <c r="AD111" i="23"/>
  <c r="Y112" i="23"/>
  <c r="AD112" i="23"/>
  <c r="Y113" i="23"/>
  <c r="AD113" i="23"/>
  <c r="Y114" i="23"/>
  <c r="AD114" i="23"/>
  <c r="Y115" i="23"/>
  <c r="AD115" i="23"/>
  <c r="Y116" i="23"/>
  <c r="AD116" i="23"/>
  <c r="Y117" i="23"/>
  <c r="AD117" i="23"/>
  <c r="Y118" i="23"/>
  <c r="AD118" i="23"/>
  <c r="Y119" i="23"/>
  <c r="AD119" i="23"/>
  <c r="Y120" i="23"/>
  <c r="AD120" i="23"/>
  <c r="Y121" i="23"/>
  <c r="AD121" i="23"/>
  <c r="Y122" i="23"/>
  <c r="AD122" i="23"/>
  <c r="Y123" i="23"/>
  <c r="AD123" i="23"/>
  <c r="Y124" i="23"/>
  <c r="AD124" i="23"/>
  <c r="Y125" i="23"/>
  <c r="AD125" i="23"/>
  <c r="Y126" i="23"/>
  <c r="AD126" i="23"/>
  <c r="Y127" i="23"/>
  <c r="AD127" i="23"/>
  <c r="Y128" i="23"/>
  <c r="AD128" i="23"/>
  <c r="Y129" i="23"/>
  <c r="AD129" i="23"/>
  <c r="Y130" i="23"/>
  <c r="AD130" i="23"/>
  <c r="Y131" i="23"/>
  <c r="AD131" i="23"/>
  <c r="Y132" i="23"/>
  <c r="AD132" i="23"/>
  <c r="Y133" i="23"/>
  <c r="AD133" i="23"/>
  <c r="Y134" i="23"/>
  <c r="Z134" i="23"/>
  <c r="AD134" i="23"/>
  <c r="AE134" i="23"/>
  <c r="Y135" i="23"/>
  <c r="Z135" i="23"/>
  <c r="AD135" i="23"/>
  <c r="AE135" i="23"/>
  <c r="Y136" i="23"/>
  <c r="Z136" i="23"/>
  <c r="AD136" i="23"/>
  <c r="AE136" i="23"/>
  <c r="Y137" i="23"/>
  <c r="Z137" i="23"/>
  <c r="AD137" i="23"/>
  <c r="AE137" i="23"/>
  <c r="Y138" i="23"/>
  <c r="Z138" i="23"/>
  <c r="AD138" i="23"/>
  <c r="AE138" i="23"/>
  <c r="Y139" i="23"/>
  <c r="Z139" i="23"/>
  <c r="AD139" i="23"/>
  <c r="AE139" i="23"/>
  <c r="Y140" i="23"/>
  <c r="Z140" i="23"/>
  <c r="AD140" i="23"/>
  <c r="AE140" i="23"/>
  <c r="Y141" i="23"/>
  <c r="Z141" i="23"/>
  <c r="AD141" i="23"/>
  <c r="AE141" i="23"/>
  <c r="Y142" i="23"/>
  <c r="Z142" i="23"/>
  <c r="AD142" i="23"/>
  <c r="AE142" i="23"/>
  <c r="Y143" i="23"/>
  <c r="Z143" i="23"/>
  <c r="AD143" i="23"/>
  <c r="AE143" i="23"/>
  <c r="Y144" i="23"/>
  <c r="Z144" i="23"/>
  <c r="AD144" i="23"/>
  <c r="AE144" i="23"/>
  <c r="Y145" i="23"/>
  <c r="Z145" i="23"/>
  <c r="AD145" i="23"/>
  <c r="AE145" i="23"/>
  <c r="Z146" i="23"/>
  <c r="AE146" i="23"/>
  <c r="Z147" i="23"/>
  <c r="AE147" i="23"/>
  <c r="Z148" i="23"/>
  <c r="AE148" i="23"/>
  <c r="Z149" i="23"/>
  <c r="AE149" i="23"/>
  <c r="Z150" i="23"/>
  <c r="AE150" i="23"/>
  <c r="Z151" i="23"/>
  <c r="AE151" i="23"/>
  <c r="Z152" i="23"/>
  <c r="AE152" i="23"/>
  <c r="Z153" i="23"/>
  <c r="AE153" i="23"/>
  <c r="Z154" i="23"/>
  <c r="AE154" i="23"/>
  <c r="Z155" i="23"/>
  <c r="AE155" i="23"/>
  <c r="Z156" i="23"/>
  <c r="AE156" i="23"/>
  <c r="Z157" i="23"/>
  <c r="AE157" i="23"/>
  <c r="Y158" i="23"/>
  <c r="Z158" i="23"/>
  <c r="AD158" i="23"/>
  <c r="AE158" i="23"/>
  <c r="Y159" i="23"/>
  <c r="Z159" i="23"/>
  <c r="AD159" i="23"/>
  <c r="AE159" i="23"/>
  <c r="Y160" i="23"/>
  <c r="Z160" i="23"/>
  <c r="AD160" i="23"/>
  <c r="AE160" i="23"/>
  <c r="Y161" i="23"/>
  <c r="Z161" i="23"/>
  <c r="AD161" i="23"/>
  <c r="AE161" i="23"/>
  <c r="Y162" i="23"/>
  <c r="Z162" i="23"/>
  <c r="AD162" i="23"/>
  <c r="AE162" i="23"/>
  <c r="Y163" i="23"/>
  <c r="Z163" i="23"/>
  <c r="AD163" i="23"/>
  <c r="AE163" i="23"/>
  <c r="Y164" i="23"/>
  <c r="Z164" i="23"/>
  <c r="AD164" i="23"/>
  <c r="AE164" i="23"/>
  <c r="Y165" i="23"/>
  <c r="Z165" i="23"/>
  <c r="AD165" i="23"/>
  <c r="AE165" i="23"/>
  <c r="Y166" i="23"/>
  <c r="Z166" i="23"/>
  <c r="AD166" i="23"/>
  <c r="AE166" i="23"/>
  <c r="Y167" i="23"/>
  <c r="Z167" i="23"/>
  <c r="AD167" i="23"/>
  <c r="AE167" i="23"/>
  <c r="Y168" i="23"/>
  <c r="Z168" i="23"/>
  <c r="AD168" i="23"/>
  <c r="AE168" i="23"/>
  <c r="Y169" i="23"/>
  <c r="Z169" i="23"/>
  <c r="AD169" i="23"/>
  <c r="AE169" i="23"/>
  <c r="Y170" i="23"/>
  <c r="Z170" i="23"/>
  <c r="AD170" i="23"/>
  <c r="AE170" i="23"/>
  <c r="Y171" i="23"/>
  <c r="Z171" i="23"/>
  <c r="AD171" i="23"/>
  <c r="AE171" i="23"/>
  <c r="Y172" i="23"/>
  <c r="Z172" i="23"/>
  <c r="AD172" i="23"/>
  <c r="AE172" i="23"/>
  <c r="Y173" i="23"/>
  <c r="Z173" i="23"/>
  <c r="AD173" i="23"/>
  <c r="AE173" i="23"/>
  <c r="Y174" i="23"/>
  <c r="Z174" i="23"/>
  <c r="AD174" i="23"/>
  <c r="AE174" i="23"/>
  <c r="Y175" i="23"/>
  <c r="Z175" i="23"/>
  <c r="AD175" i="23"/>
  <c r="AE175" i="23"/>
  <c r="Y176" i="23"/>
  <c r="Z176" i="23"/>
  <c r="AD176" i="23"/>
  <c r="AE176" i="23"/>
  <c r="Y177" i="23"/>
  <c r="Z177" i="23"/>
  <c r="AD177" i="23"/>
  <c r="AE177" i="23"/>
  <c r="Y178" i="23"/>
  <c r="Z178" i="23"/>
  <c r="AD178" i="23"/>
  <c r="AE178" i="23"/>
  <c r="Y179" i="23"/>
  <c r="Z179" i="23"/>
  <c r="AD179" i="23"/>
  <c r="AE179" i="23"/>
  <c r="Y180" i="23"/>
  <c r="Z180" i="23"/>
  <c r="AD180" i="23"/>
  <c r="AE180" i="23"/>
  <c r="Y181" i="23"/>
  <c r="Z181" i="23"/>
  <c r="AD181" i="23"/>
  <c r="AE181" i="23"/>
  <c r="Y182" i="23"/>
  <c r="Z182" i="23"/>
  <c r="AD182" i="23"/>
  <c r="AE182" i="23"/>
  <c r="Y183" i="23"/>
  <c r="Z183" i="23"/>
  <c r="AD183" i="23"/>
  <c r="AE183" i="23"/>
  <c r="Y184" i="23"/>
  <c r="Z184" i="23"/>
  <c r="AD184" i="23"/>
  <c r="AE184" i="23"/>
  <c r="Y185" i="23"/>
  <c r="Z185" i="23"/>
  <c r="AD185" i="23"/>
  <c r="AE185" i="23"/>
  <c r="Y186" i="23"/>
  <c r="Z186" i="23"/>
  <c r="AD186" i="23"/>
  <c r="AE186" i="23"/>
  <c r="Y187" i="23"/>
  <c r="Z187" i="23"/>
  <c r="AD187" i="23"/>
  <c r="AE187" i="23"/>
  <c r="Y188" i="23"/>
  <c r="Z188" i="23"/>
  <c r="AD188" i="23"/>
  <c r="AE188" i="23"/>
  <c r="Y189" i="23"/>
  <c r="Z189" i="23"/>
  <c r="AD189" i="23"/>
  <c r="AE189" i="23"/>
  <c r="Y190" i="23"/>
  <c r="Z190" i="23"/>
  <c r="AD190" i="23"/>
  <c r="AE190" i="23"/>
  <c r="Y191" i="23"/>
  <c r="Z191" i="23"/>
  <c r="AD191" i="23"/>
  <c r="AE191" i="23"/>
  <c r="Y192" i="23"/>
  <c r="Z192" i="23"/>
  <c r="AD192" i="23"/>
  <c r="AE192" i="23"/>
  <c r="Y193" i="23"/>
  <c r="Z193" i="23"/>
  <c r="AD193" i="23"/>
  <c r="AE193" i="23"/>
  <c r="Y194" i="23"/>
  <c r="Z194" i="23"/>
  <c r="AD194" i="23"/>
  <c r="AE194" i="23"/>
  <c r="Y195" i="23"/>
  <c r="Z195" i="23"/>
  <c r="AD195" i="23"/>
  <c r="AE195" i="23"/>
  <c r="Y196" i="23"/>
  <c r="Z196" i="23"/>
  <c r="AD196" i="23"/>
  <c r="AE196" i="23"/>
  <c r="Y197" i="23"/>
  <c r="Z197" i="23"/>
  <c r="AD197" i="23"/>
  <c r="AE197" i="23"/>
  <c r="Y198" i="23"/>
  <c r="Z198" i="23"/>
  <c r="AD198" i="23"/>
  <c r="AE198" i="23"/>
  <c r="Y199" i="23"/>
  <c r="Z199" i="23"/>
  <c r="AD199" i="23"/>
  <c r="AE199" i="23"/>
  <c r="Y200" i="23"/>
  <c r="Z200" i="23"/>
  <c r="AD200" i="23"/>
  <c r="AE200" i="23"/>
  <c r="Y201" i="23"/>
  <c r="Z201" i="23"/>
  <c r="AD201" i="23"/>
  <c r="AE201" i="23"/>
  <c r="Y202" i="23"/>
  <c r="Z202" i="23"/>
  <c r="AD202" i="23"/>
  <c r="AE202" i="23"/>
  <c r="Y203" i="23"/>
  <c r="Z203" i="23"/>
  <c r="AD203" i="23"/>
  <c r="AE203" i="23"/>
  <c r="Y204" i="23"/>
  <c r="Z204" i="23"/>
  <c r="AD204" i="23"/>
  <c r="AE204" i="23"/>
  <c r="Y205" i="23"/>
  <c r="Z205" i="23"/>
  <c r="AD205" i="23"/>
  <c r="AE205" i="23"/>
  <c r="Y206" i="23"/>
  <c r="Z206" i="23"/>
  <c r="AD206" i="23"/>
  <c r="AE206" i="23"/>
  <c r="Y207" i="23"/>
  <c r="Z207" i="23"/>
  <c r="AD207" i="23"/>
  <c r="AE207" i="23"/>
  <c r="Y208" i="23"/>
  <c r="Z208" i="23"/>
  <c r="AD208" i="23"/>
  <c r="AE208" i="23"/>
  <c r="Y209" i="23"/>
  <c r="Z209" i="23"/>
  <c r="AD209" i="23"/>
  <c r="AE209" i="23"/>
  <c r="Y210" i="23"/>
  <c r="Z210" i="23"/>
  <c r="AD210" i="23"/>
  <c r="AE210" i="23"/>
  <c r="Y211" i="23"/>
  <c r="Z211" i="23"/>
  <c r="AD211" i="23"/>
  <c r="AE211" i="23"/>
  <c r="Y212" i="23"/>
  <c r="Z212" i="23"/>
  <c r="AD212" i="23"/>
  <c r="AE212" i="23"/>
  <c r="Y213" i="23"/>
  <c r="Z213" i="23"/>
  <c r="AD213" i="23"/>
  <c r="AE213" i="23"/>
  <c r="Y214" i="23"/>
  <c r="Z214" i="23"/>
  <c r="AD214" i="23"/>
  <c r="AE214" i="23"/>
  <c r="Y215" i="23"/>
  <c r="Z215" i="23"/>
  <c r="AD215" i="23"/>
  <c r="AE215" i="23"/>
  <c r="Y216" i="23"/>
  <c r="Z216" i="23"/>
  <c r="AD216" i="23"/>
  <c r="AE216" i="23"/>
  <c r="Y217" i="23"/>
  <c r="Z217" i="23"/>
  <c r="AD217" i="23"/>
  <c r="AE217" i="23"/>
  <c r="Y218" i="23"/>
  <c r="Z218" i="23"/>
  <c r="AD218" i="23"/>
  <c r="AE218" i="23"/>
  <c r="Y219" i="23"/>
  <c r="Z219" i="23"/>
  <c r="AD219" i="23"/>
  <c r="AE219" i="23"/>
  <c r="Y220" i="23"/>
  <c r="Z220" i="23"/>
  <c r="AD220" i="23"/>
  <c r="AE220" i="23"/>
  <c r="Y221" i="23"/>
  <c r="Z221" i="23"/>
  <c r="AD221" i="23"/>
  <c r="AE221" i="23"/>
  <c r="Y222" i="23"/>
  <c r="Z222" i="23"/>
  <c r="AD222" i="23"/>
  <c r="AE222" i="23"/>
  <c r="Y223" i="23"/>
  <c r="Z223" i="23"/>
  <c r="AD223" i="23"/>
  <c r="AE223" i="23"/>
  <c r="Y224" i="23"/>
  <c r="Z224" i="23"/>
  <c r="AD224" i="23"/>
  <c r="AE224" i="23"/>
  <c r="Y225" i="23"/>
  <c r="Z225" i="23"/>
  <c r="AD225" i="23"/>
  <c r="AE225" i="23"/>
  <c r="Y226" i="23"/>
  <c r="Z226" i="23"/>
  <c r="AD226" i="23"/>
  <c r="AE226" i="23"/>
  <c r="Y227" i="23"/>
  <c r="Z227" i="23"/>
  <c r="AD227" i="23"/>
  <c r="AE227" i="23"/>
  <c r="Y228" i="23"/>
  <c r="Z228" i="23"/>
  <c r="AD228" i="23"/>
  <c r="AE228" i="23"/>
  <c r="Y229" i="23"/>
  <c r="Z229" i="23"/>
  <c r="AD229" i="23"/>
  <c r="AE229" i="23"/>
  <c r="Y230" i="23"/>
  <c r="Z230" i="23"/>
  <c r="AD230" i="23"/>
  <c r="AE230" i="23"/>
  <c r="Y231" i="23"/>
  <c r="Z231" i="23"/>
  <c r="AD231" i="23"/>
  <c r="AE231" i="23"/>
  <c r="Y232" i="23"/>
  <c r="Z232" i="23"/>
  <c r="AD232" i="23"/>
  <c r="AE232" i="23"/>
  <c r="Y233" i="23"/>
  <c r="Z233" i="23"/>
  <c r="AD233" i="23"/>
  <c r="AE233" i="23"/>
  <c r="Y234" i="23"/>
  <c r="Z234" i="23"/>
  <c r="AD234" i="23"/>
  <c r="AE234" i="23"/>
  <c r="Y235" i="23"/>
  <c r="Z235" i="23"/>
  <c r="AD235" i="23"/>
  <c r="AE235" i="23"/>
  <c r="Y236" i="23"/>
  <c r="Z236" i="23"/>
  <c r="AD236" i="23"/>
  <c r="AE236" i="23"/>
  <c r="Y237" i="23"/>
  <c r="Z237" i="23"/>
  <c r="AD237" i="23"/>
  <c r="AE237" i="23"/>
  <c r="Y238" i="23"/>
  <c r="Z238" i="23"/>
  <c r="AD238" i="23"/>
  <c r="AE238" i="23"/>
  <c r="Y239" i="23"/>
  <c r="Z239" i="23"/>
  <c r="AD239" i="23"/>
  <c r="AE239" i="23"/>
  <c r="Y240" i="23"/>
  <c r="Z240" i="23"/>
  <c r="AD240" i="23"/>
  <c r="AE240" i="23"/>
  <c r="Y241" i="23"/>
  <c r="Z241" i="23"/>
  <c r="AD241" i="23"/>
  <c r="AE241" i="23"/>
  <c r="Y242" i="23"/>
  <c r="Z242" i="23"/>
  <c r="AD242" i="23"/>
  <c r="AE242" i="23"/>
  <c r="Y243" i="23"/>
  <c r="Z243" i="23"/>
  <c r="AD243" i="23"/>
  <c r="AE243" i="23"/>
  <c r="Y244" i="23"/>
  <c r="Z244" i="23"/>
  <c r="AD244" i="23"/>
  <c r="AE244" i="23"/>
  <c r="Y245" i="23"/>
  <c r="Z245" i="23"/>
  <c r="AD245" i="23"/>
  <c r="AE245" i="23"/>
  <c r="Y246" i="23"/>
  <c r="Z246" i="23"/>
  <c r="AD246" i="23"/>
  <c r="AE246" i="23"/>
  <c r="Y247" i="23"/>
  <c r="Z247" i="23"/>
  <c r="AD247" i="23"/>
  <c r="AE247" i="23"/>
  <c r="Y248" i="23"/>
  <c r="Z248" i="23"/>
  <c r="AD248" i="23"/>
  <c r="AE248" i="23"/>
  <c r="Y249" i="23"/>
  <c r="Z249" i="23"/>
  <c r="AD249" i="23"/>
  <c r="AE249" i="23"/>
  <c r="Y250" i="23"/>
  <c r="Z250" i="23"/>
  <c r="AD250" i="23"/>
  <c r="AE250" i="23"/>
  <c r="Y251" i="23"/>
  <c r="Z251" i="23"/>
  <c r="AD251" i="23"/>
  <c r="AE251" i="23"/>
  <c r="Y252" i="23"/>
  <c r="Z252" i="23"/>
  <c r="AD252" i="23"/>
  <c r="AE252" i="23"/>
  <c r="Y253" i="23"/>
  <c r="Z253" i="23"/>
  <c r="AD253" i="23"/>
  <c r="AE253" i="23"/>
  <c r="Y254" i="23"/>
  <c r="Z254" i="23"/>
  <c r="AD254" i="23"/>
  <c r="AE254" i="23"/>
  <c r="Y255" i="23"/>
  <c r="Z255" i="23"/>
  <c r="AD255" i="23"/>
  <c r="AE255" i="23"/>
  <c r="Y256" i="23"/>
  <c r="Z256" i="23"/>
  <c r="AD256" i="23"/>
  <c r="AE256" i="23"/>
  <c r="Y257" i="23"/>
  <c r="Z257" i="23"/>
  <c r="AD257" i="23"/>
  <c r="AE257" i="23"/>
  <c r="Y258" i="23"/>
  <c r="Z258" i="23"/>
  <c r="AD258" i="23"/>
  <c r="AE258" i="23"/>
  <c r="Y259" i="23"/>
  <c r="Z259" i="23"/>
  <c r="AD259" i="23"/>
  <c r="AE259" i="23"/>
  <c r="Y260" i="23"/>
  <c r="Z260" i="23"/>
  <c r="AD260" i="23"/>
  <c r="AE260" i="23"/>
  <c r="Y261" i="23"/>
  <c r="Z261" i="23"/>
  <c r="AD261" i="23"/>
  <c r="AE261" i="23"/>
  <c r="Y262" i="23"/>
  <c r="Z262" i="23"/>
  <c r="AD262" i="23"/>
  <c r="AE262" i="23"/>
  <c r="Y263" i="23"/>
  <c r="Z263" i="23"/>
  <c r="AD263" i="23"/>
  <c r="AE263" i="23"/>
  <c r="Y264" i="23"/>
  <c r="Z264" i="23"/>
  <c r="AD264" i="23"/>
  <c r="AE264" i="23"/>
  <c r="Y265" i="23"/>
  <c r="Z265" i="23"/>
  <c r="AD265" i="23"/>
  <c r="AE265" i="23"/>
  <c r="Z266" i="23"/>
  <c r="AE266" i="23"/>
  <c r="Z267" i="23"/>
  <c r="AE267" i="23"/>
  <c r="Z268" i="23"/>
  <c r="AE268" i="23"/>
  <c r="Z269" i="23"/>
  <c r="AE269" i="23"/>
  <c r="Z270" i="23"/>
  <c r="AE270" i="23"/>
  <c r="Z271" i="23"/>
  <c r="AE271" i="23"/>
  <c r="Z272" i="23"/>
  <c r="AE272" i="23"/>
  <c r="Z273" i="23"/>
  <c r="AE273" i="23"/>
  <c r="Z274" i="23"/>
  <c r="AE274" i="23"/>
  <c r="Z275" i="23"/>
  <c r="AE275" i="23"/>
  <c r="Z276" i="23"/>
  <c r="AE276" i="23"/>
  <c r="Z277" i="23"/>
  <c r="AE277" i="23"/>
  <c r="Y278" i="23"/>
  <c r="AD278" i="23"/>
  <c r="Y279" i="23"/>
  <c r="AD279" i="23"/>
  <c r="Y280" i="23"/>
  <c r="AD280" i="23"/>
  <c r="Y281" i="23"/>
  <c r="AD281" i="23"/>
  <c r="Y282" i="23"/>
  <c r="AD282" i="23"/>
  <c r="Y283" i="23"/>
  <c r="AD283" i="23"/>
  <c r="Y284" i="23"/>
  <c r="AD284" i="23"/>
  <c r="Y285" i="23"/>
  <c r="AD285" i="23"/>
  <c r="Y286" i="23"/>
  <c r="AD286" i="23"/>
  <c r="Y287" i="23"/>
  <c r="AD287" i="23"/>
  <c r="Y288" i="23"/>
  <c r="AD288" i="23"/>
  <c r="Y289" i="23"/>
  <c r="AD289" i="23"/>
  <c r="Z290" i="23"/>
  <c r="AE290" i="23"/>
  <c r="Z291" i="23"/>
  <c r="AE291" i="23"/>
  <c r="Z292" i="23"/>
  <c r="AE292" i="23"/>
  <c r="Z293" i="23"/>
  <c r="AE293" i="23"/>
  <c r="Z294" i="23"/>
  <c r="AE294" i="23"/>
  <c r="Z295" i="23"/>
  <c r="AE295" i="23"/>
  <c r="Z296" i="23"/>
  <c r="AE296" i="23"/>
  <c r="Z297" i="23"/>
  <c r="AE297" i="23"/>
  <c r="Z298" i="23"/>
  <c r="AE298" i="23"/>
  <c r="Z299" i="23"/>
  <c r="AE299" i="23"/>
  <c r="Z300" i="23"/>
  <c r="AE300" i="23"/>
  <c r="Z301" i="23"/>
  <c r="AE301" i="23"/>
  <c r="Z302" i="23"/>
  <c r="AE302" i="23"/>
  <c r="Z303" i="23"/>
  <c r="AE303" i="23"/>
  <c r="Z304" i="23"/>
  <c r="AE304" i="23"/>
  <c r="Z305" i="23"/>
  <c r="AE305" i="23"/>
  <c r="Z306" i="23"/>
  <c r="AE306" i="23"/>
  <c r="Z307" i="23"/>
  <c r="AE307" i="23"/>
  <c r="Z308" i="23"/>
  <c r="AE308" i="23"/>
  <c r="Z309" i="23"/>
  <c r="AE309" i="23"/>
  <c r="Z310" i="23"/>
  <c r="AE310" i="23"/>
  <c r="Z311" i="23"/>
  <c r="AE311" i="23"/>
  <c r="Z312" i="23"/>
  <c r="AE312" i="23"/>
  <c r="Z313" i="23"/>
  <c r="AE313" i="23"/>
  <c r="Z314" i="23"/>
  <c r="AE314" i="23"/>
  <c r="Z315" i="23"/>
  <c r="AE315" i="23"/>
  <c r="Y316" i="23"/>
  <c r="AD316" i="23"/>
  <c r="Y317" i="23"/>
  <c r="AD317" i="23"/>
  <c r="Y318" i="23"/>
  <c r="AD318" i="23"/>
  <c r="Y319" i="23"/>
  <c r="AD319" i="23"/>
  <c r="Z320" i="23"/>
  <c r="AE320" i="23"/>
  <c r="Z321" i="23"/>
  <c r="AE321" i="23"/>
  <c r="Z322" i="23"/>
  <c r="AE322" i="23"/>
  <c r="Z323" i="23"/>
  <c r="AE323" i="23"/>
  <c r="Z324" i="23"/>
  <c r="AE324" i="23"/>
  <c r="Z325" i="23"/>
  <c r="AE325" i="23"/>
  <c r="Z326" i="23"/>
  <c r="AE326" i="23"/>
  <c r="Z327" i="23"/>
  <c r="AE327" i="23"/>
  <c r="Z328" i="23"/>
  <c r="AE328" i="23"/>
  <c r="Z329" i="23"/>
  <c r="AE329" i="23"/>
  <c r="Z330" i="23"/>
  <c r="AE330" i="23"/>
  <c r="Z331" i="23"/>
  <c r="AE331" i="23"/>
  <c r="Z332" i="23"/>
  <c r="AE332" i="23"/>
  <c r="Z333" i="23"/>
  <c r="AE333" i="23"/>
  <c r="Z334" i="23"/>
  <c r="AE334" i="23"/>
  <c r="Z335" i="23"/>
  <c r="AE335" i="23"/>
  <c r="Z336" i="23"/>
  <c r="AE336" i="23"/>
  <c r="Z337" i="23"/>
  <c r="AE337" i="23"/>
  <c r="Z338" i="23"/>
  <c r="AE338" i="23"/>
  <c r="Z339" i="23"/>
  <c r="AE339" i="23"/>
  <c r="Z340" i="23"/>
  <c r="AE340" i="23"/>
  <c r="Z341" i="23"/>
  <c r="AE341" i="23"/>
  <c r="Z342" i="23"/>
  <c r="AE342" i="23"/>
  <c r="Z343" i="23"/>
  <c r="AE343" i="23"/>
  <c r="Z344" i="23"/>
  <c r="AE344" i="23"/>
  <c r="Z345" i="23"/>
  <c r="AE345" i="23"/>
  <c r="Z346" i="23"/>
  <c r="AE346" i="23"/>
  <c r="Z347" i="23"/>
  <c r="AE347" i="23"/>
  <c r="Z348" i="23"/>
  <c r="AE348" i="23"/>
  <c r="Y349" i="23"/>
  <c r="AD349" i="23"/>
  <c r="Y350" i="23"/>
  <c r="AD350" i="23"/>
  <c r="Y351" i="23"/>
  <c r="AD351" i="23"/>
  <c r="Y352" i="23"/>
  <c r="AD352" i="23"/>
  <c r="Y353" i="23"/>
  <c r="AD353" i="23"/>
  <c r="Y354" i="23"/>
  <c r="AD354" i="23"/>
  <c r="Y355" i="23"/>
  <c r="AD355" i="23"/>
  <c r="Y356" i="23"/>
  <c r="AD356" i="23"/>
  <c r="Y357" i="23"/>
  <c r="AD357" i="23"/>
  <c r="Y358" i="23"/>
  <c r="AD358" i="23"/>
  <c r="Y359" i="23"/>
  <c r="AD359" i="23"/>
  <c r="Y360" i="23"/>
  <c r="AD360" i="23"/>
  <c r="Y361" i="23"/>
  <c r="AD361" i="23"/>
  <c r="Y362" i="23"/>
  <c r="AD362" i="23"/>
  <c r="Y363" i="23"/>
  <c r="AD363" i="23"/>
  <c r="Y364" i="23"/>
  <c r="AD364" i="23"/>
  <c r="Y365" i="23"/>
  <c r="AD365" i="23"/>
  <c r="Y366" i="23"/>
  <c r="AD366" i="23"/>
  <c r="Y367" i="23"/>
  <c r="AD367" i="23"/>
  <c r="Y368" i="23"/>
  <c r="AD368" i="23"/>
  <c r="Y369" i="23"/>
  <c r="AD369" i="23"/>
  <c r="Y370" i="23"/>
  <c r="AD370" i="23"/>
  <c r="Y371" i="23"/>
  <c r="AD371" i="23"/>
  <c r="Y372" i="23"/>
  <c r="AD372" i="23"/>
  <c r="Y373" i="23"/>
  <c r="AD373" i="23"/>
  <c r="Y374" i="23"/>
  <c r="AD374" i="23"/>
  <c r="Y375" i="23"/>
  <c r="AD375" i="23"/>
  <c r="Y376" i="23"/>
  <c r="AD376" i="23"/>
  <c r="Y377" i="23"/>
  <c r="AD377" i="23"/>
  <c r="Z378" i="23"/>
  <c r="AE378" i="23"/>
  <c r="Z379" i="23"/>
  <c r="AE379" i="23"/>
  <c r="Z380" i="23"/>
  <c r="AE380" i="23"/>
  <c r="Z381" i="23"/>
  <c r="AE381" i="23"/>
  <c r="Z382" i="23"/>
  <c r="AE382" i="23"/>
  <c r="Z383" i="23"/>
  <c r="AE383" i="23"/>
  <c r="Z384" i="23"/>
  <c r="AE384" i="23"/>
  <c r="Z385" i="23"/>
  <c r="AE385" i="23"/>
  <c r="Z386" i="23"/>
  <c r="AE386" i="23"/>
  <c r="Z387" i="23"/>
  <c r="AE387" i="23"/>
  <c r="Z388" i="23"/>
  <c r="AE388" i="23"/>
  <c r="Z389" i="23"/>
  <c r="AE389" i="23"/>
  <c r="Z390" i="23"/>
  <c r="AE390" i="23"/>
  <c r="Z391" i="23"/>
  <c r="AE391" i="23"/>
  <c r="Z392" i="23"/>
  <c r="AE392" i="23"/>
  <c r="Z393" i="23"/>
  <c r="AE393" i="23"/>
  <c r="Z394" i="23"/>
  <c r="AE394" i="23"/>
  <c r="Z395" i="23"/>
  <c r="AE395" i="23"/>
  <c r="Z396" i="23"/>
  <c r="AE396" i="23"/>
  <c r="Z397" i="23"/>
  <c r="AE397" i="23"/>
  <c r="Z398" i="23"/>
  <c r="AE398" i="23"/>
  <c r="Z399" i="23"/>
  <c r="AE399" i="23"/>
  <c r="Z400" i="23"/>
  <c r="AE400" i="23"/>
  <c r="Z401" i="23"/>
  <c r="AE401" i="23"/>
  <c r="Z402" i="23"/>
  <c r="AE402" i="23"/>
  <c r="Z403" i="23"/>
  <c r="AE403" i="23"/>
  <c r="Z404" i="23"/>
  <c r="AE404" i="23"/>
  <c r="Z405" i="23"/>
  <c r="AE405" i="23"/>
  <c r="Z406" i="23"/>
  <c r="AE406" i="23"/>
  <c r="Z407" i="23"/>
  <c r="AE407" i="23"/>
  <c r="Z408" i="23"/>
  <c r="AE408" i="23"/>
  <c r="Z409" i="23"/>
  <c r="AE409" i="23"/>
  <c r="Z410" i="23"/>
  <c r="AE410" i="23"/>
  <c r="Z411" i="23"/>
  <c r="AE411" i="23"/>
  <c r="Z412" i="23"/>
  <c r="AE412" i="23"/>
  <c r="Z413" i="23"/>
  <c r="AE413" i="23"/>
  <c r="Z414" i="23"/>
  <c r="AE414" i="23"/>
  <c r="Z415" i="23"/>
  <c r="AE415" i="23"/>
  <c r="Z416" i="23"/>
  <c r="AE416" i="23"/>
  <c r="Z417" i="23"/>
  <c r="AE417" i="23"/>
  <c r="Z418" i="23"/>
  <c r="AE418" i="23"/>
  <c r="Z419" i="23"/>
  <c r="AE419" i="23"/>
  <c r="Z420" i="23"/>
  <c r="AE420" i="23"/>
  <c r="Z421" i="23"/>
  <c r="AE421" i="23"/>
  <c r="Z422" i="23"/>
  <c r="AE422" i="23"/>
  <c r="Z423" i="23"/>
  <c r="AE423" i="23"/>
  <c r="Z424" i="23"/>
  <c r="AE424" i="23"/>
  <c r="Z425" i="23"/>
  <c r="AE425" i="23"/>
  <c r="Z426" i="23"/>
  <c r="AE426" i="23"/>
  <c r="Z427" i="23"/>
  <c r="AE427" i="23"/>
  <c r="Z428" i="23"/>
  <c r="AE428" i="23"/>
  <c r="Z429" i="23"/>
  <c r="AE429" i="23"/>
  <c r="Z430" i="23"/>
  <c r="AE430" i="23"/>
  <c r="Y431" i="23"/>
  <c r="AD431" i="23"/>
  <c r="Y432" i="23"/>
  <c r="AD432" i="23"/>
  <c r="Y433" i="23"/>
  <c r="AD433" i="23"/>
  <c r="Y434" i="23"/>
  <c r="AD434" i="23"/>
  <c r="Y435" i="23"/>
  <c r="AD435" i="23"/>
  <c r="Y436" i="23"/>
  <c r="AD436" i="23"/>
  <c r="Y437" i="23"/>
  <c r="AD437" i="23"/>
  <c r="Y438" i="23"/>
  <c r="AD438" i="23"/>
  <c r="Y439" i="23"/>
  <c r="AD439" i="23"/>
  <c r="Y440" i="23"/>
  <c r="AD440" i="23"/>
  <c r="Y441" i="23"/>
  <c r="AD441" i="23"/>
  <c r="Y442" i="23"/>
  <c r="AD442" i="23"/>
  <c r="Y443" i="23"/>
  <c r="AD443" i="23"/>
  <c r="Y444" i="23"/>
  <c r="AD444" i="23"/>
  <c r="Y445" i="23"/>
  <c r="AD445" i="23"/>
  <c r="Y446" i="23"/>
  <c r="AD446" i="23"/>
  <c r="Y447" i="23"/>
  <c r="AD447" i="23"/>
  <c r="Y448" i="23"/>
  <c r="AD448" i="23"/>
  <c r="Y449" i="23"/>
  <c r="AD449" i="23"/>
  <c r="Y450" i="23"/>
  <c r="AD450" i="23"/>
  <c r="Y451" i="23"/>
  <c r="AD451" i="23"/>
  <c r="Y452" i="23"/>
  <c r="AD452" i="23"/>
  <c r="Y453" i="23"/>
  <c r="AD453" i="23"/>
  <c r="Y454" i="23"/>
  <c r="AD454" i="23"/>
  <c r="Y455" i="23"/>
  <c r="AD455" i="23"/>
  <c r="Y456" i="23"/>
  <c r="AD456" i="23"/>
  <c r="Z457" i="23"/>
  <c r="AE457" i="23"/>
  <c r="Z458" i="23"/>
  <c r="AE458" i="23"/>
  <c r="Z459" i="23"/>
  <c r="AE459" i="23"/>
  <c r="Z460" i="23"/>
  <c r="AE460" i="23"/>
  <c r="Z461" i="23"/>
  <c r="AE461" i="23"/>
  <c r="Z462" i="23"/>
  <c r="AE462" i="23"/>
  <c r="Z463" i="23"/>
  <c r="AE463" i="23"/>
  <c r="Z464" i="23"/>
  <c r="AE464" i="23"/>
  <c r="Z465" i="23"/>
  <c r="AE465" i="23"/>
  <c r="Z466" i="23"/>
  <c r="AE466" i="23"/>
  <c r="Z467" i="23"/>
  <c r="AE467" i="23"/>
  <c r="Z468" i="23"/>
  <c r="AE468" i="23"/>
  <c r="Z469" i="23"/>
  <c r="AE469" i="23"/>
  <c r="Z470" i="23"/>
  <c r="AE470" i="23"/>
  <c r="Z471" i="23"/>
  <c r="AE471" i="23"/>
  <c r="Z472" i="23"/>
  <c r="AE472" i="23"/>
  <c r="Z473" i="23"/>
  <c r="AE473" i="23"/>
  <c r="Z474" i="23"/>
  <c r="AE474" i="23"/>
  <c r="Z475" i="23"/>
  <c r="AE475" i="23"/>
  <c r="Z476" i="23"/>
  <c r="AE476" i="23"/>
  <c r="Z477" i="23"/>
  <c r="AE477" i="23"/>
  <c r="Z478" i="23"/>
  <c r="AE478" i="23"/>
  <c r="Z479" i="23"/>
  <c r="AE479" i="23"/>
  <c r="Z480" i="23"/>
  <c r="AE480" i="23"/>
  <c r="Z481" i="23"/>
  <c r="AE481" i="23"/>
  <c r="Z482" i="23"/>
  <c r="AE482" i="23"/>
  <c r="Z483" i="23"/>
  <c r="AE483" i="23"/>
  <c r="Z484" i="23"/>
  <c r="AE484" i="23"/>
  <c r="Z485" i="23"/>
  <c r="AE485" i="23"/>
  <c r="Z486" i="23"/>
  <c r="AE486" i="23"/>
  <c r="Z487" i="23"/>
  <c r="AE487" i="23"/>
  <c r="Z488" i="23"/>
  <c r="AE488" i="23"/>
  <c r="Z489" i="23"/>
  <c r="AE489" i="23"/>
  <c r="Z490" i="23"/>
  <c r="AE490" i="23"/>
  <c r="Z491" i="23"/>
  <c r="AE491" i="23"/>
  <c r="Z492" i="23"/>
  <c r="AE492" i="23"/>
  <c r="Z493" i="23"/>
  <c r="AE493" i="23"/>
  <c r="Z494" i="23"/>
  <c r="AE494" i="23"/>
  <c r="Z495" i="23"/>
  <c r="AE495" i="23"/>
  <c r="Z496" i="23"/>
  <c r="AE496" i="23"/>
  <c r="Z497" i="23"/>
  <c r="AE497" i="23"/>
  <c r="Z498" i="23"/>
  <c r="AE498" i="23"/>
  <c r="Z499" i="23"/>
  <c r="AE499" i="23"/>
  <c r="Z500" i="23"/>
  <c r="AE500" i="23"/>
  <c r="Z501" i="23"/>
  <c r="AE501" i="23"/>
  <c r="Z502" i="23"/>
  <c r="AE502" i="23"/>
  <c r="Z503" i="23"/>
  <c r="AE503" i="23"/>
  <c r="Z504" i="23"/>
  <c r="AE504" i="23"/>
  <c r="Z505" i="23"/>
  <c r="AE505" i="23"/>
  <c r="Z506" i="23"/>
  <c r="AE506" i="23"/>
  <c r="Z507" i="23"/>
  <c r="AE507" i="23"/>
  <c r="Z508" i="23"/>
  <c r="AE508" i="23"/>
  <c r="Z509" i="23"/>
  <c r="AE509" i="23"/>
  <c r="Z510" i="23"/>
  <c r="AE510" i="23"/>
  <c r="Z511" i="23"/>
  <c r="AE511" i="23"/>
  <c r="Z512" i="23"/>
  <c r="AE512" i="23"/>
  <c r="Z513" i="23"/>
  <c r="AE513" i="23"/>
  <c r="Z514" i="23"/>
  <c r="AE514" i="23"/>
  <c r="Z515" i="23"/>
  <c r="AE515" i="23"/>
  <c r="Z516" i="23"/>
  <c r="AE516" i="23"/>
  <c r="Z517" i="23"/>
  <c r="AE517" i="23"/>
  <c r="Z518" i="23"/>
  <c r="AE518" i="23"/>
  <c r="Z519" i="23"/>
  <c r="AE519" i="23"/>
  <c r="Z520" i="23"/>
  <c r="AE520" i="23"/>
  <c r="Z521" i="23"/>
  <c r="AE521" i="23"/>
  <c r="Z522" i="23"/>
  <c r="AE522" i="23"/>
  <c r="Z523" i="23"/>
  <c r="AE523" i="23"/>
  <c r="Z524" i="23"/>
  <c r="AE524" i="23"/>
  <c r="Z525" i="23"/>
  <c r="AE525" i="23"/>
  <c r="Z526" i="23"/>
  <c r="AE526" i="23"/>
  <c r="Z527" i="23"/>
  <c r="AE527" i="23"/>
  <c r="Z528" i="23"/>
  <c r="AE528" i="23"/>
  <c r="Z529" i="23"/>
  <c r="AE529" i="23"/>
  <c r="Z530" i="23"/>
  <c r="AE530" i="23"/>
  <c r="Z531" i="23"/>
  <c r="AE531" i="23"/>
  <c r="Z532" i="23"/>
  <c r="AE532" i="23"/>
  <c r="Z533" i="23"/>
  <c r="AE533" i="23"/>
  <c r="Z534" i="23"/>
  <c r="AE534" i="23"/>
  <c r="Z535" i="23"/>
  <c r="AE535" i="23"/>
  <c r="Z536" i="23"/>
  <c r="AE536" i="23"/>
  <c r="Z537" i="23"/>
  <c r="AE537" i="23"/>
  <c r="Z538" i="23"/>
  <c r="AE538" i="23"/>
  <c r="Z539" i="23"/>
  <c r="AE539" i="23"/>
  <c r="Z540" i="23"/>
  <c r="AE540" i="23"/>
  <c r="Z541" i="23"/>
  <c r="AE541" i="23"/>
  <c r="Z542" i="23"/>
  <c r="AE542" i="23"/>
  <c r="Z543" i="23"/>
  <c r="AE543" i="23"/>
  <c r="Z544" i="23"/>
  <c r="AE544" i="23"/>
  <c r="Z545" i="23"/>
  <c r="AE545" i="23"/>
  <c r="Z546" i="23"/>
  <c r="AE546" i="23"/>
  <c r="Z547" i="23"/>
  <c r="AE547" i="23"/>
  <c r="Z548" i="23"/>
  <c r="AE548" i="23"/>
  <c r="Z549" i="23"/>
  <c r="AE549" i="23"/>
  <c r="Z550" i="23"/>
  <c r="AE550" i="23"/>
  <c r="Z551" i="23"/>
  <c r="AE551" i="23"/>
  <c r="Z552" i="23"/>
  <c r="AE552" i="23"/>
  <c r="Z553" i="23"/>
  <c r="AE553" i="23"/>
  <c r="Z554" i="23"/>
  <c r="AE554" i="23"/>
  <c r="Z555" i="23"/>
  <c r="AE555" i="23"/>
  <c r="Z556" i="23"/>
  <c r="AE556" i="23"/>
  <c r="Z557" i="23"/>
  <c r="AE557" i="23"/>
  <c r="Z558" i="23"/>
  <c r="AE558" i="23"/>
  <c r="Z559" i="23"/>
  <c r="AE559" i="23"/>
  <c r="Z560" i="23"/>
  <c r="AE560" i="23"/>
  <c r="Z561" i="23"/>
  <c r="AE561" i="23"/>
  <c r="Z562" i="23"/>
  <c r="AE562" i="23"/>
  <c r="Z563" i="23"/>
  <c r="AE563" i="23"/>
  <c r="Z564" i="23"/>
  <c r="AE564" i="23"/>
  <c r="Z565" i="23"/>
  <c r="AE565" i="23"/>
  <c r="Z566" i="23"/>
  <c r="AE566" i="23"/>
  <c r="Z567" i="23"/>
  <c r="AE567" i="23"/>
  <c r="Z568" i="23"/>
  <c r="AE568" i="23"/>
  <c r="Z569" i="23"/>
  <c r="AE569" i="23"/>
  <c r="Z570" i="23"/>
  <c r="AE570" i="23"/>
  <c r="Z571" i="23"/>
  <c r="AE571" i="23"/>
  <c r="Z572" i="23"/>
  <c r="AE572" i="23"/>
  <c r="Z573" i="23"/>
  <c r="AE573" i="23"/>
  <c r="Z574" i="23"/>
  <c r="AE574" i="23"/>
  <c r="Z575" i="23"/>
  <c r="AE575" i="23"/>
  <c r="Z576" i="23"/>
  <c r="AE576" i="23"/>
  <c r="Z577" i="23"/>
  <c r="AE577" i="23"/>
  <c r="Z578" i="23"/>
  <c r="AE578" i="23"/>
  <c r="Z579" i="23"/>
  <c r="AE579" i="23"/>
  <c r="Z580" i="23"/>
  <c r="AE580" i="23"/>
  <c r="Z581" i="23"/>
  <c r="AE581" i="23"/>
  <c r="Z582" i="23"/>
  <c r="AE582" i="23"/>
  <c r="Z583" i="23"/>
  <c r="AE583" i="23"/>
  <c r="Z584" i="23"/>
  <c r="AE584" i="23"/>
  <c r="Z585" i="23"/>
  <c r="AE585" i="23"/>
  <c r="Z586" i="23"/>
  <c r="AE586" i="23"/>
  <c r="Z587" i="23"/>
  <c r="AE587" i="23"/>
  <c r="Z588" i="23"/>
  <c r="AE588" i="23"/>
  <c r="Z589" i="23"/>
  <c r="AE589" i="23"/>
  <c r="Z590" i="23"/>
  <c r="AE590" i="23"/>
  <c r="Z591" i="23"/>
  <c r="AE591" i="23"/>
  <c r="Z592" i="23"/>
  <c r="AE592" i="23"/>
  <c r="Z593" i="23"/>
  <c r="AE593" i="23"/>
  <c r="Z594" i="23"/>
  <c r="AE594" i="23"/>
  <c r="Z595" i="23"/>
  <c r="AE595" i="23"/>
  <c r="Z596" i="23"/>
  <c r="AE596" i="23"/>
  <c r="Z597" i="23"/>
  <c r="AE597" i="23"/>
  <c r="Z598" i="23"/>
  <c r="AE598" i="23"/>
  <c r="Z599" i="23"/>
  <c r="AE599" i="23"/>
  <c r="Z600" i="23"/>
  <c r="AE600" i="23"/>
  <c r="Z601" i="23"/>
  <c r="AE601" i="23"/>
  <c r="Z602" i="23"/>
  <c r="AE602" i="23"/>
  <c r="Z603" i="23"/>
  <c r="AE603" i="23"/>
  <c r="Z604" i="23"/>
  <c r="AE604" i="23"/>
  <c r="Z605" i="23"/>
  <c r="AE605" i="23"/>
  <c r="Z606" i="23"/>
  <c r="AE606" i="23"/>
  <c r="Z607" i="23"/>
  <c r="AE607" i="23"/>
  <c r="Z608" i="23"/>
  <c r="AE608" i="23"/>
  <c r="Z609" i="23"/>
  <c r="AE609" i="23"/>
  <c r="Z610" i="23"/>
  <c r="AE610" i="23"/>
  <c r="Z611" i="23"/>
  <c r="AE611" i="23"/>
  <c r="Z612" i="23"/>
  <c r="AE612" i="23"/>
  <c r="Z613" i="23"/>
  <c r="AE613" i="23"/>
  <c r="Z614" i="23"/>
  <c r="AE614" i="23"/>
  <c r="Z615" i="23"/>
  <c r="AE615" i="23"/>
  <c r="Z616" i="23"/>
  <c r="AE616" i="23"/>
  <c r="Z617" i="23"/>
  <c r="AE617" i="23"/>
  <c r="Z618" i="23"/>
  <c r="AE618" i="23"/>
  <c r="Z619" i="23"/>
  <c r="AE619" i="23"/>
  <c r="Z620" i="23"/>
  <c r="AE620" i="23"/>
  <c r="Z621" i="23"/>
  <c r="AE621" i="23"/>
  <c r="Z622" i="23"/>
  <c r="AE622" i="23"/>
  <c r="Z623" i="23"/>
  <c r="AE623" i="23"/>
  <c r="Z624" i="23"/>
  <c r="AE624" i="23"/>
  <c r="Z625" i="23"/>
  <c r="AE625" i="23"/>
  <c r="Z626" i="23"/>
  <c r="AE626" i="23"/>
  <c r="Z627" i="23"/>
  <c r="AE627" i="23"/>
  <c r="Z628" i="23"/>
  <c r="AE628" i="23"/>
  <c r="Z629" i="23"/>
  <c r="AE629" i="23"/>
  <c r="Z630" i="23"/>
  <c r="AE630" i="23"/>
  <c r="Z631" i="23"/>
  <c r="AE631" i="23"/>
  <c r="Z632" i="23"/>
  <c r="AE632" i="23"/>
  <c r="Z633" i="23"/>
  <c r="AE633" i="23"/>
  <c r="Z634" i="23"/>
  <c r="AE634" i="23"/>
  <c r="Z635" i="23"/>
  <c r="AE635" i="23"/>
  <c r="Z636" i="23"/>
  <c r="AE636" i="23"/>
  <c r="Z637" i="23"/>
  <c r="AE637" i="23"/>
  <c r="Z638" i="23"/>
  <c r="AE638" i="23"/>
  <c r="Z639" i="23"/>
  <c r="AE639" i="23"/>
  <c r="Z640" i="23"/>
  <c r="AE640" i="23"/>
  <c r="Z641" i="23"/>
  <c r="AE641" i="23"/>
  <c r="Z642" i="23"/>
  <c r="AE642" i="23"/>
  <c r="Z643" i="23"/>
  <c r="AE643" i="23"/>
  <c r="Z644" i="23"/>
  <c r="AE644" i="23"/>
  <c r="Z645" i="23"/>
  <c r="AE645" i="23"/>
  <c r="Z646" i="23"/>
  <c r="AE646" i="23"/>
  <c r="Z647" i="23"/>
  <c r="AE647" i="23"/>
  <c r="Z648" i="23"/>
  <c r="AE648" i="23"/>
  <c r="Z649" i="23"/>
  <c r="AE649" i="23"/>
  <c r="Z650" i="23"/>
  <c r="AE650" i="23"/>
  <c r="Z651" i="23"/>
  <c r="AE651" i="23"/>
  <c r="Z652" i="23"/>
  <c r="AE652" i="23"/>
  <c r="Z653" i="23"/>
  <c r="AE653" i="23"/>
  <c r="Z654" i="23"/>
  <c r="AE654" i="23"/>
  <c r="Z655" i="23"/>
  <c r="AE655" i="23"/>
  <c r="Z656" i="23"/>
  <c r="AE656" i="23"/>
  <c r="Z657" i="23"/>
  <c r="AE657" i="23"/>
  <c r="Z658" i="23"/>
  <c r="AE658" i="23"/>
  <c r="Z659" i="23"/>
  <c r="AE659" i="23"/>
  <c r="Z660" i="23"/>
  <c r="AE660" i="23"/>
  <c r="Z661" i="23"/>
  <c r="AE661" i="23"/>
  <c r="Z662" i="23"/>
  <c r="AE662" i="23"/>
  <c r="Z663" i="23"/>
  <c r="AE663" i="23"/>
  <c r="Z664" i="23"/>
  <c r="AE664" i="23"/>
  <c r="Z665" i="23"/>
  <c r="AE665" i="23"/>
  <c r="Z666" i="23"/>
  <c r="AE666" i="23"/>
  <c r="Z667" i="23"/>
  <c r="AE667" i="23"/>
  <c r="Z668" i="23"/>
  <c r="AE668" i="23"/>
  <c r="Z669" i="23"/>
  <c r="AE669" i="23"/>
  <c r="Z670" i="23"/>
  <c r="AE670" i="23"/>
  <c r="Z671" i="23"/>
  <c r="AE671" i="23"/>
  <c r="Z672" i="23"/>
  <c r="AE672" i="23"/>
  <c r="Z673" i="23"/>
  <c r="AE673" i="23"/>
  <c r="Z674" i="23"/>
  <c r="AE674" i="23"/>
  <c r="Z675" i="23"/>
  <c r="AE675" i="23"/>
  <c r="Z676" i="23"/>
  <c r="AE676" i="23"/>
  <c r="Z677" i="23"/>
  <c r="AE677" i="23"/>
  <c r="Z678" i="23"/>
  <c r="AE678" i="23"/>
  <c r="Z679" i="23"/>
  <c r="AE679" i="23"/>
  <c r="Z680" i="23"/>
  <c r="AE680" i="23"/>
  <c r="Z681" i="23"/>
  <c r="AE681" i="23"/>
  <c r="Z682" i="23"/>
  <c r="AE682" i="23"/>
  <c r="Z683" i="23"/>
  <c r="AE683" i="23"/>
  <c r="Z684" i="23"/>
  <c r="AE684" i="23"/>
  <c r="Z685" i="23"/>
  <c r="AE685" i="23"/>
  <c r="Z686" i="23"/>
  <c r="AE686" i="23"/>
  <c r="Z687" i="23"/>
  <c r="AE687" i="23"/>
  <c r="Z688" i="23"/>
  <c r="AE688" i="23"/>
  <c r="Z689" i="23"/>
  <c r="AE689" i="23"/>
  <c r="Z690" i="23"/>
  <c r="AE690" i="23"/>
  <c r="Z691" i="23"/>
  <c r="AE691" i="23"/>
  <c r="Z692" i="23"/>
  <c r="AE692" i="23"/>
  <c r="Z693" i="23"/>
  <c r="AE693" i="23"/>
  <c r="Z694" i="23"/>
  <c r="AE694" i="23"/>
  <c r="Z695" i="23"/>
  <c r="AE695" i="23"/>
  <c r="Z696" i="23"/>
  <c r="AE696" i="23"/>
  <c r="Z697" i="23"/>
  <c r="AE697" i="23"/>
  <c r="Z698" i="23"/>
  <c r="AE698" i="23"/>
  <c r="Z699" i="23"/>
  <c r="AE699" i="23"/>
  <c r="Z700" i="23"/>
  <c r="AE700" i="23"/>
  <c r="Z701" i="23"/>
  <c r="AE701" i="23"/>
  <c r="Z702" i="23"/>
  <c r="AE702" i="23"/>
  <c r="Z703" i="23"/>
  <c r="AE703" i="23"/>
  <c r="Z704" i="23"/>
  <c r="AE704" i="23"/>
  <c r="Z705" i="23"/>
  <c r="AE705" i="23"/>
  <c r="Z706" i="23"/>
  <c r="AE706" i="23"/>
  <c r="Z707" i="23"/>
  <c r="AE707" i="23"/>
  <c r="Z708" i="23"/>
  <c r="AE708" i="23"/>
  <c r="Z709" i="23"/>
  <c r="AE709" i="23"/>
  <c r="Z710" i="23"/>
  <c r="AE710" i="23"/>
  <c r="Z711" i="23"/>
  <c r="AE711" i="23"/>
  <c r="Z712" i="23"/>
  <c r="AE712" i="23"/>
  <c r="Z713" i="23"/>
  <c r="AE713" i="23"/>
  <c r="Z714" i="23"/>
  <c r="AE714" i="23"/>
  <c r="Z715" i="23"/>
  <c r="AE715" i="23"/>
  <c r="Z716" i="23"/>
  <c r="AE716" i="23"/>
  <c r="Z717" i="23"/>
  <c r="AE717" i="23"/>
  <c r="Z718" i="23"/>
  <c r="AE718" i="23"/>
  <c r="Z719" i="23"/>
  <c r="AE719" i="23"/>
  <c r="Z720" i="23"/>
  <c r="AE720" i="23"/>
  <c r="Z721" i="23"/>
  <c r="AE721" i="23"/>
  <c r="Z722" i="23"/>
  <c r="AE722" i="23"/>
  <c r="Z723" i="23"/>
  <c r="AE723" i="23"/>
  <c r="Z724" i="23"/>
  <c r="AE724" i="23"/>
  <c r="Z725" i="23"/>
  <c r="AE725" i="23"/>
  <c r="Z726" i="23"/>
  <c r="AE726" i="23"/>
  <c r="Z727" i="23"/>
  <c r="AE727" i="23"/>
  <c r="Z728" i="23"/>
  <c r="AE728" i="23"/>
  <c r="Z729" i="23"/>
  <c r="AE729" i="23"/>
  <c r="Z730" i="23"/>
  <c r="AE730" i="23"/>
  <c r="Z731" i="23"/>
  <c r="AE731" i="23"/>
  <c r="Z732" i="23"/>
  <c r="AE732" i="23"/>
  <c r="Z733" i="23"/>
  <c r="AE733" i="23"/>
  <c r="Z734" i="23"/>
  <c r="AE734" i="23"/>
  <c r="Z735" i="23"/>
  <c r="AE735" i="23"/>
  <c r="Z736" i="23"/>
  <c r="AE736" i="23"/>
  <c r="Z737" i="23"/>
  <c r="AE737" i="23"/>
  <c r="Z738" i="23"/>
  <c r="AE738" i="23"/>
  <c r="Z739" i="23"/>
  <c r="AE739" i="23"/>
  <c r="Z740" i="23"/>
  <c r="AE740" i="23"/>
  <c r="Z741" i="23"/>
  <c r="AE741" i="23"/>
  <c r="Z742" i="23"/>
  <c r="AE742" i="23"/>
  <c r="Z743" i="23"/>
  <c r="AE743" i="23"/>
  <c r="Z744" i="23"/>
  <c r="AE744" i="23"/>
  <c r="Z745" i="23"/>
  <c r="AE745" i="23"/>
  <c r="Z746" i="23"/>
  <c r="AE746" i="23"/>
  <c r="Z747" i="23"/>
  <c r="AE747" i="23"/>
  <c r="Z748" i="23"/>
  <c r="AE748" i="23"/>
  <c r="Z749" i="23"/>
  <c r="AE749" i="23"/>
  <c r="Z750" i="23"/>
  <c r="AE750" i="23"/>
  <c r="Z751" i="23"/>
  <c r="AE751" i="23"/>
  <c r="Z752" i="23"/>
  <c r="AE752" i="23"/>
  <c r="Z753" i="23"/>
  <c r="AE753" i="23"/>
  <c r="Z754" i="23"/>
  <c r="AE754" i="23"/>
  <c r="Z755" i="23"/>
  <c r="AE755" i="23"/>
  <c r="Z756" i="23"/>
  <c r="AE756" i="23"/>
  <c r="Z757" i="23"/>
  <c r="AE757" i="23"/>
  <c r="Z758" i="23"/>
  <c r="AE758" i="23"/>
  <c r="Z759" i="23"/>
  <c r="AE759" i="23"/>
  <c r="Z760" i="23"/>
  <c r="AE760" i="23"/>
  <c r="Z761" i="23"/>
  <c r="AE761" i="23"/>
  <c r="Z762" i="23"/>
  <c r="AE762" i="23"/>
  <c r="Z763" i="23"/>
  <c r="AE763" i="23"/>
  <c r="Z764" i="23"/>
  <c r="AE764" i="23"/>
  <c r="Z765" i="23"/>
  <c r="AE765" i="23"/>
  <c r="Z766" i="23"/>
  <c r="AE766" i="23"/>
  <c r="Z767" i="23"/>
  <c r="AE767" i="23"/>
  <c r="Z768" i="23"/>
  <c r="AE768" i="23"/>
  <c r="Z769" i="23"/>
  <c r="AE769" i="23"/>
  <c r="Z770" i="23"/>
  <c r="AE770" i="23"/>
  <c r="Z771" i="23"/>
  <c r="AE771" i="23"/>
  <c r="Z772" i="23"/>
  <c r="AE772" i="23"/>
  <c r="Z773" i="23"/>
  <c r="AE773" i="23"/>
  <c r="Z774" i="23"/>
  <c r="AE774" i="23"/>
  <c r="Z775" i="23"/>
  <c r="AE775" i="23"/>
  <c r="Z776" i="23"/>
  <c r="AE776" i="23"/>
  <c r="Z777" i="23"/>
  <c r="AE777" i="23"/>
  <c r="Z778" i="23"/>
  <c r="AE778" i="23"/>
  <c r="Z779" i="23"/>
  <c r="AE779" i="23"/>
  <c r="Z780" i="23"/>
  <c r="AE780" i="23"/>
  <c r="Z781" i="23"/>
  <c r="AE781" i="23"/>
  <c r="Z782" i="23"/>
  <c r="AE782" i="23"/>
  <c r="Z783" i="23"/>
  <c r="AE783" i="23"/>
  <c r="Z784" i="23"/>
  <c r="AE784" i="23"/>
  <c r="Z785" i="23"/>
  <c r="AE785" i="23"/>
  <c r="Z786" i="23"/>
  <c r="AE786" i="23"/>
  <c r="Z787" i="23"/>
  <c r="AE787" i="23"/>
  <c r="Z788" i="23"/>
  <c r="AE788" i="23"/>
  <c r="Z789" i="23"/>
  <c r="AE789" i="23"/>
  <c r="Z790" i="23"/>
  <c r="AE790" i="23"/>
  <c r="Z791" i="23"/>
  <c r="AE791" i="23"/>
  <c r="Z792" i="23"/>
  <c r="AE792" i="23"/>
  <c r="Z793" i="23"/>
  <c r="AE793" i="23"/>
  <c r="Z794" i="23"/>
  <c r="AE794" i="23"/>
  <c r="Z795" i="23"/>
  <c r="AE795" i="23"/>
  <c r="Z796" i="23"/>
  <c r="AE796" i="23"/>
  <c r="Z797" i="23"/>
  <c r="AE797" i="23"/>
  <c r="Z798" i="23"/>
  <c r="AE798" i="23"/>
  <c r="Z799" i="23"/>
  <c r="AE799" i="23"/>
  <c r="Z800" i="23"/>
  <c r="AE800" i="23"/>
  <c r="Z801" i="23"/>
  <c r="AE801" i="23"/>
  <c r="Z802" i="23"/>
  <c r="AE802" i="23"/>
  <c r="Z803" i="23"/>
  <c r="AE803" i="23"/>
  <c r="Z804" i="23"/>
  <c r="AE804" i="23"/>
  <c r="Z805" i="23"/>
  <c r="AE805" i="23"/>
  <c r="Z806" i="23"/>
  <c r="AE806" i="23"/>
  <c r="Z807" i="23"/>
  <c r="AE807" i="23"/>
  <c r="Z808" i="23"/>
  <c r="AE808" i="23"/>
  <c r="Z809" i="23"/>
  <c r="AE809" i="23"/>
  <c r="Z810" i="23"/>
  <c r="AE810" i="23"/>
  <c r="Z811" i="23"/>
  <c r="AE811" i="23"/>
  <c r="Z812" i="23"/>
  <c r="AE812" i="23"/>
  <c r="Z813" i="23"/>
  <c r="AE813" i="23"/>
  <c r="Z814" i="23"/>
  <c r="AE814" i="23"/>
  <c r="Z815" i="23"/>
  <c r="AE815" i="23"/>
  <c r="Z816" i="23"/>
  <c r="AE816" i="23"/>
  <c r="Z817" i="23"/>
  <c r="AE817" i="23"/>
  <c r="Z818" i="23"/>
  <c r="AE818" i="23"/>
  <c r="Z819" i="23"/>
  <c r="AE819" i="23"/>
  <c r="Z820" i="23"/>
  <c r="AE820" i="23"/>
  <c r="Z821" i="23"/>
  <c r="AE821" i="23"/>
  <c r="Z822" i="23"/>
  <c r="AE822" i="23"/>
  <c r="Z823" i="23"/>
  <c r="AE823" i="23"/>
  <c r="Z824" i="23"/>
  <c r="AE824" i="23"/>
  <c r="Z825" i="23"/>
  <c r="AE825" i="23"/>
  <c r="Z826" i="23"/>
  <c r="AE826" i="23"/>
  <c r="Z827" i="23"/>
  <c r="AE827" i="23"/>
  <c r="Z828" i="23"/>
  <c r="AE828" i="23"/>
  <c r="Z829" i="23"/>
  <c r="AE829" i="23"/>
  <c r="Z830" i="23"/>
  <c r="AE830" i="23"/>
  <c r="Z831" i="23"/>
  <c r="AE831" i="23"/>
  <c r="Z832" i="23"/>
  <c r="AE832" i="23"/>
  <c r="Z833" i="23"/>
  <c r="AE833" i="23"/>
  <c r="Z834" i="23"/>
  <c r="AE834" i="23"/>
  <c r="Z835" i="23"/>
  <c r="AE835" i="23"/>
  <c r="Z836" i="23"/>
  <c r="AE836" i="23"/>
  <c r="Z837" i="23"/>
  <c r="AE837" i="23"/>
  <c r="Z838" i="23"/>
  <c r="AE838" i="23"/>
  <c r="Z839" i="23"/>
  <c r="AE839" i="23"/>
  <c r="Z840" i="23"/>
  <c r="AE840" i="23"/>
  <c r="Z841" i="23"/>
  <c r="AE841" i="23"/>
  <c r="Z842" i="23"/>
  <c r="AE842" i="23"/>
  <c r="Z843" i="23"/>
  <c r="AE843" i="23"/>
  <c r="Z844" i="23"/>
  <c r="AE844" i="23"/>
  <c r="Z845" i="23"/>
  <c r="AE845" i="23"/>
  <c r="Z846" i="23"/>
  <c r="AE846" i="23"/>
  <c r="Z847" i="23"/>
  <c r="AE847" i="23"/>
  <c r="Z848" i="23"/>
  <c r="AE848" i="23"/>
  <c r="Z849" i="23"/>
  <c r="AE849" i="23"/>
  <c r="Z850" i="23"/>
  <c r="AE850" i="23"/>
  <c r="Z851" i="23"/>
  <c r="AE851" i="23"/>
  <c r="Z852" i="23"/>
  <c r="AE852" i="23"/>
  <c r="Z853" i="23"/>
  <c r="AE853" i="23"/>
  <c r="Z854" i="23"/>
  <c r="AE854" i="23"/>
  <c r="Z855" i="23"/>
  <c r="AE855" i="23"/>
  <c r="Z856" i="23"/>
  <c r="AE856" i="23"/>
  <c r="Z857" i="23"/>
  <c r="AE857" i="23"/>
  <c r="Z858" i="23"/>
  <c r="AE858" i="23"/>
  <c r="Z859" i="23"/>
  <c r="AE859" i="23"/>
  <c r="Z860" i="23"/>
  <c r="AE860" i="23"/>
  <c r="Z861" i="23"/>
  <c r="AE861" i="23"/>
  <c r="Z862" i="23"/>
  <c r="AE862" i="23"/>
  <c r="Z863" i="23"/>
  <c r="AE863" i="23"/>
  <c r="Z864" i="23"/>
  <c r="AE864" i="23"/>
  <c r="Z865" i="23"/>
  <c r="AE865" i="23"/>
  <c r="Z866" i="23"/>
  <c r="AE866" i="23"/>
  <c r="Z867" i="23"/>
  <c r="AE867" i="23"/>
  <c r="Z868" i="23"/>
  <c r="AE868" i="23"/>
  <c r="Z869" i="23"/>
  <c r="AE869" i="23"/>
  <c r="Z870" i="23"/>
  <c r="AE870" i="23"/>
  <c r="Z871" i="23"/>
  <c r="AE871" i="23"/>
  <c r="Z872" i="23"/>
  <c r="AE872" i="23"/>
  <c r="Z873" i="23"/>
  <c r="AE873" i="23"/>
  <c r="Z874" i="23"/>
  <c r="AE874" i="23"/>
  <c r="Z875" i="23"/>
  <c r="AE875" i="23"/>
  <c r="E5" i="33"/>
  <c r="F5" i="33"/>
  <c r="H5" i="33"/>
  <c r="I5" i="33"/>
  <c r="R5" i="33"/>
  <c r="U5" i="33"/>
  <c r="E6" i="33"/>
  <c r="F6" i="33"/>
  <c r="H6" i="33"/>
  <c r="I6" i="33"/>
  <c r="R6" i="33"/>
  <c r="U6" i="33"/>
  <c r="E7" i="33"/>
  <c r="F7" i="33"/>
  <c r="H7" i="33"/>
  <c r="I7" i="33"/>
  <c r="R7" i="33"/>
  <c r="U7" i="33"/>
  <c r="E8" i="33"/>
  <c r="F8" i="33"/>
  <c r="H8" i="33"/>
  <c r="I8" i="33"/>
  <c r="R8" i="33"/>
  <c r="U8" i="33"/>
  <c r="E9" i="33"/>
  <c r="R9" i="33"/>
  <c r="U9" i="33"/>
  <c r="E10" i="33"/>
  <c r="F10" i="33"/>
  <c r="H10" i="33"/>
  <c r="I10" i="33"/>
  <c r="R10" i="33"/>
  <c r="U10" i="33"/>
  <c r="E11" i="33"/>
  <c r="F11" i="33"/>
  <c r="H11" i="33"/>
  <c r="I11" i="33"/>
  <c r="R11" i="33"/>
  <c r="U11" i="33"/>
  <c r="E12" i="33"/>
  <c r="F12" i="33"/>
  <c r="H12" i="33"/>
  <c r="I12" i="33"/>
  <c r="R12" i="33"/>
  <c r="U12" i="33"/>
  <c r="E13" i="33"/>
  <c r="F13" i="33"/>
  <c r="H13" i="33"/>
  <c r="I13" i="33"/>
  <c r="R13" i="33"/>
  <c r="U13" i="33"/>
  <c r="E14" i="33"/>
  <c r="H14" i="33"/>
  <c r="R14" i="33"/>
  <c r="U14" i="33"/>
  <c r="F15" i="33"/>
  <c r="I15" i="33"/>
  <c r="R15" i="33"/>
  <c r="U15" i="33"/>
  <c r="F16" i="33"/>
  <c r="I16" i="33"/>
  <c r="R16" i="33"/>
  <c r="U16" i="33"/>
  <c r="E17" i="33"/>
  <c r="H17" i="33"/>
  <c r="R17" i="33"/>
  <c r="U17" i="33"/>
  <c r="F18" i="33"/>
  <c r="I18" i="33"/>
  <c r="R18" i="33"/>
  <c r="U18" i="33"/>
  <c r="F19" i="33"/>
  <c r="I19" i="33"/>
  <c r="R19" i="33"/>
  <c r="U19" i="33"/>
  <c r="E20" i="33"/>
  <c r="H20" i="33"/>
  <c r="R20" i="33"/>
  <c r="U20" i="33"/>
  <c r="R21" i="33"/>
  <c r="U21" i="33"/>
  <c r="R22" i="33"/>
  <c r="U22" i="33"/>
  <c r="R23" i="33"/>
  <c r="U23" i="33"/>
  <c r="R24" i="33"/>
  <c r="U24" i="33"/>
  <c r="R25" i="33"/>
  <c r="U25" i="33"/>
  <c r="R26" i="33"/>
  <c r="U26" i="33"/>
  <c r="R27" i="33"/>
  <c r="U27" i="33"/>
  <c r="R28" i="33"/>
  <c r="U28" i="33"/>
  <c r="R29" i="33"/>
  <c r="U29" i="33"/>
  <c r="R30" i="33"/>
  <c r="U30" i="33"/>
  <c r="R31" i="33"/>
  <c r="U31" i="33"/>
  <c r="R32" i="33"/>
  <c r="U32" i="33"/>
  <c r="R33" i="33"/>
  <c r="U33" i="33"/>
  <c r="Q34" i="33"/>
  <c r="T34" i="33"/>
  <c r="Q35" i="33"/>
  <c r="T35" i="33"/>
  <c r="N7" i="6"/>
  <c r="AJ7" i="6"/>
  <c r="AK7" i="6"/>
  <c r="N8" i="6"/>
  <c r="AJ8" i="6"/>
  <c r="AK8" i="6"/>
  <c r="N12" i="6"/>
  <c r="AJ12" i="6"/>
  <c r="AK12" i="6"/>
  <c r="N13" i="6"/>
  <c r="AJ13" i="6"/>
  <c r="AK13" i="6"/>
  <c r="N16" i="6"/>
  <c r="AJ16" i="6"/>
  <c r="AK16" i="6"/>
  <c r="N17" i="6"/>
  <c r="AJ17" i="6"/>
  <c r="AK17" i="6"/>
  <c r="N18" i="6"/>
  <c r="AJ18" i="6"/>
  <c r="AK18" i="6"/>
  <c r="N19" i="6"/>
  <c r="AJ19" i="6"/>
  <c r="AK19" i="6"/>
  <c r="N22" i="6"/>
  <c r="AJ22" i="6"/>
  <c r="AK22" i="6"/>
  <c r="N23" i="6"/>
  <c r="AJ23" i="6"/>
  <c r="AK23" i="6"/>
  <c r="N24" i="6"/>
  <c r="AJ24" i="6"/>
  <c r="AK24" i="6"/>
  <c r="N25" i="6"/>
  <c r="AJ25" i="6"/>
  <c r="AK25" i="6"/>
  <c r="N26" i="6"/>
  <c r="AJ26" i="6"/>
  <c r="AK26" i="6"/>
  <c r="N27" i="6"/>
  <c r="AJ27" i="6"/>
  <c r="AK27" i="6"/>
  <c r="N28" i="6"/>
  <c r="AJ28" i="6"/>
  <c r="AK28" i="6"/>
  <c r="N29" i="6"/>
  <c r="AJ29" i="6"/>
  <c r="AK29" i="6"/>
  <c r="N30" i="6"/>
  <c r="AJ30" i="6"/>
  <c r="AK30" i="6"/>
  <c r="N31" i="6"/>
  <c r="AJ31" i="6"/>
  <c r="AK31" i="6"/>
  <c r="N32" i="6"/>
  <c r="AJ32" i="6"/>
  <c r="AK32" i="6"/>
  <c r="N33" i="6"/>
  <c r="AJ33" i="6"/>
  <c r="AK33" i="6"/>
  <c r="N34" i="6"/>
  <c r="AJ34" i="6"/>
  <c r="AK34" i="6"/>
  <c r="N35" i="6"/>
  <c r="AJ35" i="6"/>
  <c r="AK35" i="6"/>
  <c r="N36" i="6"/>
  <c r="AJ36" i="6"/>
  <c r="AK36" i="6"/>
  <c r="N37" i="6"/>
  <c r="AJ37" i="6"/>
  <c r="AK37" i="6"/>
  <c r="N38" i="6"/>
  <c r="AJ38" i="6"/>
  <c r="AK38" i="6"/>
  <c r="N39" i="6"/>
  <c r="AJ39" i="6"/>
  <c r="AK39" i="6"/>
  <c r="N40" i="6"/>
  <c r="AJ40" i="6"/>
  <c r="AK40" i="6"/>
  <c r="N41" i="6"/>
  <c r="AJ41" i="6"/>
  <c r="AK41" i="6"/>
  <c r="N42" i="6"/>
  <c r="AJ42" i="6"/>
  <c r="AK42" i="6"/>
  <c r="N43" i="6"/>
  <c r="AJ43" i="6"/>
  <c r="AK43" i="6"/>
  <c r="N44" i="6"/>
  <c r="AJ44" i="6"/>
  <c r="AK44" i="6"/>
  <c r="N45" i="6"/>
  <c r="AJ45" i="6"/>
  <c r="AK45" i="6"/>
  <c r="N46" i="6"/>
  <c r="AJ46" i="6"/>
  <c r="AK46" i="6"/>
  <c r="N47" i="6"/>
  <c r="AJ47" i="6"/>
  <c r="AK47" i="6"/>
  <c r="N48" i="6"/>
  <c r="AJ48" i="6"/>
  <c r="AK48" i="6"/>
  <c r="N49" i="6"/>
  <c r="AJ49" i="6"/>
  <c r="AK49" i="6"/>
  <c r="N50" i="6"/>
  <c r="AJ50" i="6"/>
  <c r="AK50" i="6"/>
  <c r="N51" i="6"/>
  <c r="AJ51" i="6"/>
  <c r="AK51" i="6"/>
  <c r="N52" i="6"/>
  <c r="AJ52" i="6"/>
  <c r="AK52" i="6"/>
  <c r="N53" i="6"/>
  <c r="AJ53" i="6"/>
  <c r="AK53" i="6"/>
  <c r="N54" i="6"/>
  <c r="AJ54" i="6"/>
  <c r="AK54" i="6"/>
  <c r="N55" i="6"/>
  <c r="AJ55" i="6"/>
  <c r="AK55" i="6"/>
  <c r="N56" i="6"/>
  <c r="AJ56" i="6"/>
  <c r="AK56" i="6"/>
  <c r="N60" i="6"/>
  <c r="AJ60" i="6"/>
  <c r="AK60" i="6"/>
  <c r="N65" i="6"/>
  <c r="AJ65" i="6"/>
  <c r="AK65" i="6"/>
  <c r="L68" i="6"/>
  <c r="N68" i="6"/>
  <c r="L69" i="6"/>
  <c r="N69" i="6"/>
  <c r="L70" i="6"/>
  <c r="N70" i="6"/>
  <c r="N71" i="6"/>
  <c r="L72" i="6"/>
  <c r="L73" i="6"/>
  <c r="L74" i="6"/>
  <c r="L75" i="6"/>
  <c r="L76" i="6"/>
  <c r="N5" i="28"/>
  <c r="AB5" i="28"/>
  <c r="AC5" i="28"/>
  <c r="AF5" i="28"/>
  <c r="AG5" i="28"/>
  <c r="N6" i="28"/>
  <c r="AB6" i="28"/>
  <c r="AC6" i="28"/>
  <c r="AF6" i="28"/>
  <c r="AG6" i="28"/>
  <c r="N7" i="28"/>
  <c r="AB7" i="28"/>
  <c r="AC7" i="28"/>
  <c r="AF7" i="28"/>
  <c r="AG7" i="28"/>
  <c r="N8" i="28"/>
  <c r="AB8" i="28"/>
  <c r="AC8" i="28"/>
  <c r="AF8" i="28"/>
  <c r="AG8" i="28"/>
  <c r="N9" i="28"/>
  <c r="AB9" i="28"/>
  <c r="AC9" i="28"/>
  <c r="AF9" i="28"/>
  <c r="AG9" i="28"/>
  <c r="N10" i="28"/>
  <c r="AB10" i="28"/>
  <c r="AC10" i="28"/>
  <c r="AF10" i="28"/>
  <c r="AG10" i="28"/>
  <c r="N11" i="28"/>
  <c r="AB11" i="28"/>
  <c r="AC11" i="28"/>
  <c r="AF11" i="28"/>
  <c r="AG11" i="28"/>
  <c r="N12" i="28"/>
  <c r="AB12" i="28"/>
  <c r="AC12" i="28"/>
  <c r="AF12" i="28"/>
  <c r="AG12" i="28"/>
  <c r="N13" i="28"/>
  <c r="AB13" i="28"/>
  <c r="AC13" i="28"/>
  <c r="AF13" i="28"/>
  <c r="AG13" i="28"/>
  <c r="N14" i="28"/>
  <c r="AB14" i="28"/>
  <c r="AC14" i="28"/>
  <c r="AF14" i="28"/>
  <c r="AG14" i="28"/>
  <c r="N15" i="28"/>
  <c r="AB15" i="28"/>
  <c r="AC15" i="28"/>
  <c r="AF15" i="28"/>
  <c r="AG15" i="28"/>
  <c r="N16" i="28"/>
  <c r="AB16" i="28"/>
  <c r="AC16" i="28"/>
  <c r="AF16" i="28"/>
  <c r="AG16" i="28"/>
  <c r="N17" i="28"/>
  <c r="AB17" i="28"/>
  <c r="AC17" i="28"/>
  <c r="AF17" i="28"/>
  <c r="AG17" i="28"/>
  <c r="N18" i="28"/>
  <c r="AB18" i="28"/>
  <c r="AC18" i="28"/>
  <c r="AF18" i="28"/>
  <c r="AG18" i="28"/>
  <c r="N19" i="28"/>
  <c r="AB19" i="28"/>
  <c r="AC19" i="28"/>
  <c r="AF19" i="28"/>
  <c r="AG19" i="28"/>
  <c r="N20" i="28"/>
  <c r="AB20" i="28"/>
  <c r="AC20" i="28"/>
  <c r="AF20" i="28"/>
  <c r="AG20" i="28"/>
  <c r="N21" i="28"/>
  <c r="AB21" i="28"/>
  <c r="AC21" i="28"/>
  <c r="AF21" i="28"/>
  <c r="AG21" i="28"/>
  <c r="N22" i="28"/>
  <c r="AB22" i="28"/>
  <c r="AC22" i="28"/>
  <c r="AF22" i="28"/>
  <c r="AG22" i="28"/>
  <c r="N23" i="28"/>
  <c r="AB23" i="28"/>
  <c r="AC23" i="28"/>
  <c r="AF23" i="28"/>
  <c r="AG23" i="28"/>
  <c r="N24" i="28"/>
  <c r="AB24" i="28"/>
  <c r="AC24" i="28"/>
  <c r="AF24" i="28"/>
  <c r="AG24" i="28"/>
  <c r="N25" i="28"/>
  <c r="AB25" i="28"/>
  <c r="AC25" i="28"/>
  <c r="AF25" i="28"/>
  <c r="AG25" i="28"/>
  <c r="N26" i="28"/>
  <c r="AB26" i="28"/>
  <c r="AC26" i="28"/>
  <c r="AF26" i="28"/>
  <c r="AG26" i="28"/>
  <c r="N27" i="28"/>
  <c r="AB27" i="28"/>
  <c r="AC27" i="28"/>
  <c r="AF27" i="28"/>
  <c r="AG27" i="28"/>
  <c r="N28" i="28"/>
  <c r="AB28" i="28"/>
  <c r="AC28" i="28"/>
  <c r="AF28" i="28"/>
  <c r="AG28" i="28"/>
  <c r="N29" i="28"/>
  <c r="AB29" i="28"/>
  <c r="AC29" i="28"/>
  <c r="AF29" i="28"/>
  <c r="AG29" i="28"/>
  <c r="N30" i="28"/>
  <c r="AB30" i="28"/>
  <c r="AC30" i="28"/>
  <c r="AF30" i="28"/>
  <c r="AG30" i="28"/>
  <c r="N31" i="28"/>
  <c r="AB31" i="28"/>
  <c r="AC31" i="28"/>
  <c r="AF31" i="28"/>
  <c r="AG31" i="28"/>
  <c r="N32" i="28"/>
  <c r="AB32" i="28"/>
  <c r="AC32" i="28"/>
  <c r="AF32" i="28"/>
  <c r="AG32" i="28"/>
  <c r="N33" i="28"/>
  <c r="AB33" i="28"/>
  <c r="AC33" i="28"/>
  <c r="AF33" i="28"/>
  <c r="AG33" i="28"/>
  <c r="N34" i="28"/>
  <c r="AB34" i="28"/>
  <c r="AC34" i="28"/>
  <c r="AF34" i="28"/>
  <c r="AG34" i="28"/>
  <c r="N35" i="28"/>
  <c r="AB35" i="28"/>
  <c r="AC35" i="28"/>
  <c r="AF35" i="28"/>
  <c r="AG35" i="28"/>
  <c r="N36" i="28"/>
  <c r="AB36" i="28"/>
  <c r="AC36" i="28"/>
  <c r="AF36" i="28"/>
  <c r="AG36" i="28"/>
  <c r="N37" i="28"/>
  <c r="AB37" i="28"/>
  <c r="AC37" i="28"/>
  <c r="AF37" i="28"/>
  <c r="AG37" i="28"/>
  <c r="N38" i="28"/>
  <c r="AB38" i="28"/>
  <c r="AC38" i="28"/>
  <c r="AF38" i="28"/>
  <c r="AG38" i="28"/>
  <c r="N39" i="28"/>
  <c r="AB39" i="28"/>
  <c r="AC39" i="28"/>
  <c r="AF39" i="28"/>
  <c r="AG39" i="28"/>
  <c r="N40" i="28"/>
  <c r="AB40" i="28"/>
  <c r="AC40" i="28"/>
  <c r="AF40" i="28"/>
  <c r="AG40" i="28"/>
  <c r="N41" i="28"/>
  <c r="AB41" i="28"/>
  <c r="AC41" i="28"/>
  <c r="AF41" i="28"/>
  <c r="AG41" i="28"/>
  <c r="N42" i="28"/>
  <c r="AB42" i="28"/>
  <c r="AC42" i="28"/>
  <c r="AF42" i="28"/>
  <c r="AG42" i="28"/>
  <c r="N43" i="28"/>
  <c r="AB43" i="28"/>
  <c r="AC43" i="28"/>
  <c r="AF43" i="28"/>
  <c r="AG43" i="28"/>
  <c r="N44" i="28"/>
  <c r="AB44" i="28"/>
  <c r="AC44" i="28"/>
  <c r="AF44" i="28"/>
  <c r="AG44" i="28"/>
  <c r="N45" i="28"/>
  <c r="AB45" i="28"/>
  <c r="AC45" i="28"/>
  <c r="AF45" i="28"/>
  <c r="AG45" i="28"/>
  <c r="N46" i="28"/>
  <c r="AB46" i="28"/>
  <c r="AC46" i="28"/>
  <c r="AF46" i="28"/>
  <c r="AG46" i="28"/>
  <c r="N47" i="28"/>
  <c r="AB47" i="28"/>
  <c r="AC47" i="28"/>
  <c r="AF47" i="28"/>
  <c r="AG47" i="28"/>
  <c r="N48" i="28"/>
  <c r="AB48" i="28"/>
  <c r="AC48" i="28"/>
  <c r="AF48" i="28"/>
  <c r="AG48" i="28"/>
  <c r="N49" i="28"/>
  <c r="AB49" i="28"/>
  <c r="AC49" i="28"/>
  <c r="AF49" i="28"/>
  <c r="AG49" i="28"/>
  <c r="N50" i="28"/>
  <c r="AB50" i="28"/>
  <c r="AC50" i="28"/>
  <c r="AF50" i="28"/>
  <c r="AG50" i="28"/>
  <c r="N51" i="28"/>
  <c r="AB51" i="28"/>
  <c r="AC51" i="28"/>
  <c r="AF51" i="28"/>
  <c r="AG51" i="28"/>
  <c r="N52" i="28"/>
  <c r="AB52" i="28"/>
  <c r="AC52" i="28"/>
  <c r="AF52" i="28"/>
  <c r="AG52" i="28"/>
  <c r="N53" i="28"/>
  <c r="AB53" i="28"/>
  <c r="AC53" i="28"/>
  <c r="AF53" i="28"/>
  <c r="AG53" i="28"/>
  <c r="N54" i="28"/>
  <c r="AB54" i="28"/>
  <c r="AC54" i="28"/>
  <c r="AF54" i="28"/>
  <c r="AG54" i="28"/>
  <c r="N55" i="28"/>
  <c r="AB55" i="28"/>
  <c r="AC55" i="28"/>
  <c r="AF55" i="28"/>
  <c r="AG55" i="28"/>
  <c r="N56" i="28"/>
  <c r="AB56" i="28"/>
  <c r="AC56" i="28"/>
  <c r="AF56" i="28"/>
  <c r="AG56" i="28"/>
  <c r="N62" i="28"/>
  <c r="AB62" i="28"/>
  <c r="AC62" i="28"/>
  <c r="AF62" i="28"/>
  <c r="AG62" i="28"/>
  <c r="N63" i="28"/>
  <c r="AB63" i="28"/>
  <c r="AC63" i="28"/>
  <c r="AF63" i="28"/>
  <c r="AG63" i="28"/>
  <c r="N64" i="28"/>
  <c r="AB64" i="28"/>
  <c r="AC64" i="28"/>
  <c r="AF64" i="28"/>
  <c r="AG64" i="28"/>
  <c r="N65" i="28"/>
  <c r="AB65" i="28"/>
  <c r="AC65" i="28"/>
  <c r="AF65" i="28"/>
  <c r="AG65" i="28"/>
  <c r="N66" i="28"/>
  <c r="AB66" i="28"/>
  <c r="AC66" i="28"/>
  <c r="AF66" i="28"/>
  <c r="AG66" i="28"/>
  <c r="N67" i="28"/>
  <c r="AB67" i="28"/>
  <c r="AC67" i="28"/>
  <c r="AF67" i="28"/>
  <c r="AG67" i="28"/>
  <c r="N68" i="28"/>
  <c r="AB68" i="28"/>
  <c r="AC68" i="28"/>
  <c r="AF68" i="28"/>
  <c r="AG68" i="28"/>
  <c r="N69" i="28"/>
  <c r="AB69" i="28"/>
  <c r="AC69" i="28"/>
  <c r="AF69" i="28"/>
  <c r="AG69" i="28"/>
  <c r="N70" i="28"/>
  <c r="AB70" i="28"/>
  <c r="AC70" i="28"/>
  <c r="AF70" i="28"/>
  <c r="AG70" i="28"/>
  <c r="N71" i="28"/>
  <c r="AB71" i="28"/>
  <c r="AC71" i="28"/>
  <c r="AF71" i="28"/>
  <c r="AG71" i="28"/>
  <c r="N72" i="28"/>
  <c r="AB72" i="28"/>
  <c r="AC72" i="28"/>
  <c r="AF72" i="28"/>
  <c r="AG72" i="28"/>
  <c r="N73" i="28"/>
  <c r="AB73" i="28"/>
  <c r="AC73" i="28"/>
  <c r="AF73" i="28"/>
  <c r="AG73" i="28"/>
  <c r="N74" i="28"/>
  <c r="AB74" i="28"/>
  <c r="AC74" i="28"/>
  <c r="AF74" i="28"/>
  <c r="AG74" i="28"/>
  <c r="N75" i="28"/>
  <c r="AB75" i="28"/>
  <c r="AC75" i="28"/>
  <c r="AF75" i="28"/>
  <c r="AG75" i="28"/>
  <c r="N76" i="28"/>
  <c r="AB76" i="28"/>
  <c r="AC76" i="28"/>
  <c r="AF76" i="28"/>
  <c r="AG76" i="28"/>
  <c r="N77" i="28"/>
  <c r="AB77" i="28"/>
  <c r="AC77" i="28"/>
  <c r="AF77" i="28"/>
  <c r="AG77" i="28"/>
  <c r="N78" i="28"/>
  <c r="AB78" i="28"/>
  <c r="AC78" i="28"/>
  <c r="AF78" i="28"/>
  <c r="AG78" i="28"/>
  <c r="N79" i="28"/>
  <c r="AB79" i="28"/>
  <c r="AC79" i="28"/>
  <c r="AF79" i="28"/>
  <c r="AG79" i="28"/>
  <c r="N80" i="28"/>
  <c r="AB80" i="28"/>
  <c r="AC80" i="28"/>
  <c r="AF80" i="28"/>
  <c r="AG80" i="28"/>
  <c r="N81" i="28"/>
  <c r="AB81" i="28"/>
  <c r="AC81" i="28"/>
  <c r="AF81" i="28"/>
  <c r="AG81" i="28"/>
  <c r="N82" i="28"/>
  <c r="AB82" i="28"/>
  <c r="AC82" i="28"/>
  <c r="AF82" i="28"/>
  <c r="AG82" i="28"/>
  <c r="N83" i="28"/>
  <c r="AB83" i="28"/>
  <c r="AC83" i="28"/>
  <c r="AF83" i="28"/>
  <c r="AG83" i="28"/>
  <c r="N84" i="28"/>
  <c r="AB84" i="28"/>
  <c r="AC84" i="28"/>
  <c r="AF84" i="28"/>
  <c r="AG84" i="28"/>
  <c r="N85" i="28"/>
  <c r="AB85" i="28"/>
  <c r="AC85" i="28"/>
  <c r="AF85" i="28"/>
  <c r="AG85" i="28"/>
  <c r="N86" i="28"/>
  <c r="AB86" i="28"/>
  <c r="AC86" i="28"/>
  <c r="AF86" i="28"/>
  <c r="AG86" i="28"/>
  <c r="N87" i="28"/>
  <c r="AB87" i="28"/>
  <c r="AC87" i="28"/>
  <c r="AF87" i="28"/>
  <c r="AG87" i="28"/>
  <c r="N88" i="28"/>
  <c r="AB88" i="28"/>
  <c r="AC88" i="28"/>
  <c r="AF88" i="28"/>
  <c r="AG88" i="28"/>
  <c r="N89" i="28"/>
  <c r="AB89" i="28"/>
  <c r="AC89" i="28"/>
  <c r="AF89" i="28"/>
  <c r="AG89" i="28"/>
  <c r="N90" i="28"/>
  <c r="AB90" i="28"/>
  <c r="AC90" i="28"/>
  <c r="AF90" i="28"/>
  <c r="AG90" i="28"/>
  <c r="N91" i="28"/>
  <c r="AB91" i="28"/>
  <c r="AC91" i="28"/>
  <c r="AF91" i="28"/>
  <c r="AG91" i="28"/>
  <c r="N92" i="28"/>
  <c r="AB92" i="28"/>
  <c r="AC92" i="28"/>
  <c r="AF92" i="28"/>
  <c r="AG92" i="28"/>
  <c r="N93" i="28"/>
  <c r="AB93" i="28"/>
  <c r="AC93" i="28"/>
  <c r="AF93" i="28"/>
  <c r="AG93" i="28"/>
  <c r="N94" i="28"/>
  <c r="AB94" i="28"/>
  <c r="AC94" i="28"/>
  <c r="AF94" i="28"/>
  <c r="AG94" i="28"/>
  <c r="N95" i="28"/>
  <c r="AB95" i="28"/>
  <c r="AC95" i="28"/>
  <c r="AF95" i="28"/>
  <c r="AG95" i="28"/>
  <c r="N96" i="28"/>
  <c r="AB96" i="28"/>
  <c r="AC96" i="28"/>
  <c r="AF96" i="28"/>
  <c r="AG96" i="28"/>
  <c r="N97" i="28"/>
  <c r="AB97" i="28"/>
  <c r="AC97" i="28"/>
  <c r="AF97" i="28"/>
  <c r="AG97" i="28"/>
  <c r="N98" i="28"/>
  <c r="AB98" i="28"/>
  <c r="AC98" i="28"/>
  <c r="AF98" i="28"/>
  <c r="AG98" i="28"/>
  <c r="N99" i="28"/>
  <c r="AB99" i="28"/>
  <c r="AC99" i="28"/>
  <c r="AF99" i="28"/>
  <c r="AG99" i="28"/>
  <c r="N100" i="28"/>
  <c r="AB100" i="28"/>
  <c r="AC100" i="28"/>
  <c r="AF100" i="28"/>
  <c r="AG100" i="28"/>
  <c r="N101" i="28"/>
  <c r="AB101" i="28"/>
  <c r="AC101" i="28"/>
  <c r="AF101" i="28"/>
  <c r="AG101" i="28"/>
  <c r="N102" i="28"/>
  <c r="AB102" i="28"/>
  <c r="AC102" i="28"/>
  <c r="AF102" i="28"/>
  <c r="AG102" i="28"/>
  <c r="N103" i="28"/>
  <c r="AB103" i="28"/>
  <c r="AC103" i="28"/>
  <c r="AF103" i="28"/>
  <c r="AG103" i="28"/>
  <c r="N104" i="28"/>
  <c r="AB104" i="28"/>
  <c r="AC104" i="28"/>
  <c r="AF104" i="28"/>
  <c r="AG104" i="28"/>
  <c r="N105" i="28"/>
  <c r="AB105" i="28"/>
  <c r="AC105" i="28"/>
  <c r="AF105" i="28"/>
  <c r="AG105" i="28"/>
  <c r="N106" i="28"/>
  <c r="AB106" i="28"/>
  <c r="AC106" i="28"/>
  <c r="AF106" i="28"/>
  <c r="AG106" i="28"/>
  <c r="N107" i="28"/>
  <c r="AB107" i="28"/>
  <c r="AC107" i="28"/>
  <c r="AF107" i="28"/>
  <c r="AG107" i="28"/>
  <c r="N108" i="28"/>
  <c r="AB108" i="28"/>
  <c r="AC108" i="28"/>
  <c r="AF108" i="28"/>
  <c r="AG108" i="28"/>
  <c r="N109" i="28"/>
  <c r="AB109" i="28"/>
  <c r="AC109" i="28"/>
  <c r="AF109" i="28"/>
  <c r="AG109" i="28"/>
  <c r="N110" i="28"/>
  <c r="AB110" i="28"/>
  <c r="AC110" i="28"/>
  <c r="AF110" i="28"/>
  <c r="AG110" i="28"/>
  <c r="N111" i="28"/>
  <c r="AB111" i="28"/>
  <c r="AC111" i="28"/>
  <c r="AF111" i="28"/>
  <c r="AG111" i="28"/>
  <c r="N112" i="28"/>
  <c r="AB112" i="28"/>
  <c r="AC112" i="28"/>
  <c r="AF112" i="28"/>
  <c r="AG112" i="28"/>
  <c r="N113" i="28"/>
  <c r="AB113" i="28"/>
  <c r="AC113" i="28"/>
  <c r="AF113" i="28"/>
  <c r="AG113" i="28"/>
  <c r="N5" i="7"/>
  <c r="T5" i="7"/>
  <c r="AJ5" i="7"/>
  <c r="AK5" i="7"/>
  <c r="AL5" i="7"/>
  <c r="AM5" i="7"/>
  <c r="N6" i="7"/>
  <c r="T6" i="7"/>
  <c r="AJ6" i="7"/>
  <c r="AK6" i="7"/>
  <c r="AL6" i="7"/>
  <c r="AM6" i="7"/>
  <c r="N7" i="7"/>
  <c r="T7" i="7"/>
  <c r="AJ7" i="7"/>
  <c r="AK7" i="7"/>
  <c r="AL7" i="7"/>
  <c r="AM7" i="7"/>
  <c r="N8" i="7"/>
  <c r="T8" i="7"/>
  <c r="AJ8" i="7"/>
  <c r="AK8" i="7"/>
  <c r="AL8" i="7"/>
  <c r="AM8" i="7"/>
  <c r="N10" i="7"/>
  <c r="T10" i="7"/>
  <c r="AJ10" i="7"/>
  <c r="AK10" i="7"/>
  <c r="AL10" i="7"/>
  <c r="AM10" i="7"/>
  <c r="N11" i="7"/>
  <c r="T11" i="7"/>
  <c r="AJ11" i="7"/>
  <c r="AK11" i="7"/>
  <c r="AL11" i="7"/>
  <c r="AM11" i="7"/>
  <c r="N12" i="7"/>
  <c r="T12" i="7"/>
  <c r="AJ12" i="7"/>
  <c r="AK12" i="7"/>
  <c r="AL12" i="7"/>
  <c r="AM12" i="7"/>
  <c r="N13" i="7"/>
  <c r="T13" i="7"/>
  <c r="AJ13" i="7"/>
  <c r="AK13" i="7"/>
  <c r="AL13" i="7"/>
  <c r="AM13" i="7"/>
  <c r="N14" i="7"/>
  <c r="T14" i="7"/>
  <c r="AJ14" i="7"/>
  <c r="AK14" i="7"/>
  <c r="AL14" i="7"/>
  <c r="AM14" i="7"/>
  <c r="N15" i="7"/>
  <c r="T15" i="7"/>
  <c r="AJ15" i="7"/>
  <c r="AK15" i="7"/>
  <c r="AL15" i="7"/>
  <c r="AM15" i="7"/>
  <c r="N16" i="7"/>
  <c r="T16" i="7"/>
  <c r="AJ16" i="7"/>
  <c r="AK16" i="7"/>
  <c r="AL16" i="7"/>
  <c r="AM16" i="7"/>
  <c r="N17" i="7"/>
  <c r="T17" i="7"/>
  <c r="AJ17" i="7"/>
  <c r="AK17" i="7"/>
  <c r="AL17" i="7"/>
  <c r="AM17" i="7"/>
  <c r="N18" i="7"/>
  <c r="T18" i="7"/>
  <c r="AJ18" i="7"/>
  <c r="AK18" i="7"/>
  <c r="AL18" i="7"/>
  <c r="AM18" i="7"/>
  <c r="N19" i="7"/>
  <c r="T19" i="7"/>
  <c r="AJ19" i="7"/>
  <c r="AK19" i="7"/>
  <c r="AL19" i="7"/>
  <c r="AM19" i="7"/>
  <c r="N20" i="7"/>
  <c r="T20" i="7"/>
  <c r="AJ20" i="7"/>
  <c r="AK20" i="7"/>
  <c r="AL20" i="7"/>
  <c r="AM20" i="7"/>
  <c r="N21" i="7"/>
  <c r="T21" i="7"/>
  <c r="AJ21" i="7"/>
  <c r="AK21" i="7"/>
  <c r="AL21" i="7"/>
  <c r="AM21" i="7"/>
  <c r="N22" i="7"/>
  <c r="T22" i="7"/>
  <c r="AJ22" i="7"/>
  <c r="AK22" i="7"/>
  <c r="AL22" i="7"/>
  <c r="AM22" i="7"/>
  <c r="N23" i="7"/>
  <c r="T23" i="7"/>
  <c r="AJ23" i="7"/>
  <c r="AK23" i="7"/>
  <c r="AL23" i="7"/>
  <c r="AM23" i="7"/>
  <c r="N24" i="7"/>
  <c r="T24" i="7"/>
  <c r="AJ24" i="7"/>
  <c r="AK24" i="7"/>
  <c r="AL24" i="7"/>
  <c r="AM24" i="7"/>
  <c r="N25" i="7"/>
  <c r="T25" i="7"/>
  <c r="AJ25" i="7"/>
  <c r="AK25" i="7"/>
  <c r="AL25" i="7"/>
  <c r="AM25" i="7"/>
  <c r="N26" i="7"/>
  <c r="T26" i="7"/>
  <c r="AJ26" i="7"/>
  <c r="AK26" i="7"/>
  <c r="AL26" i="7"/>
  <c r="AM26" i="7"/>
  <c r="N27" i="7"/>
  <c r="T27" i="7"/>
  <c r="AJ27" i="7"/>
  <c r="AK27" i="7"/>
  <c r="AL27" i="7"/>
  <c r="AM27" i="7"/>
  <c r="N28" i="7"/>
  <c r="T28" i="7"/>
  <c r="AJ28" i="7"/>
  <c r="AK28" i="7"/>
  <c r="AL28" i="7"/>
  <c r="AM28" i="7"/>
  <c r="N29" i="7"/>
  <c r="T29" i="7"/>
  <c r="AJ29" i="7"/>
  <c r="AK29" i="7"/>
  <c r="AL29" i="7"/>
  <c r="AM29" i="7"/>
  <c r="N30" i="7"/>
  <c r="T30" i="7"/>
  <c r="AJ30" i="7"/>
  <c r="AK30" i="7"/>
  <c r="AL30" i="7"/>
  <c r="AM30" i="7"/>
  <c r="N31" i="7"/>
  <c r="T31" i="7"/>
  <c r="AJ31" i="7"/>
  <c r="AK31" i="7"/>
  <c r="AL31" i="7"/>
  <c r="AM31" i="7"/>
  <c r="N32" i="7"/>
  <c r="T32" i="7"/>
  <c r="AJ32" i="7"/>
  <c r="AK32" i="7"/>
  <c r="AL32" i="7"/>
  <c r="AM32" i="7"/>
  <c r="N33" i="7"/>
  <c r="T33" i="7"/>
  <c r="AJ33" i="7"/>
  <c r="AK33" i="7"/>
  <c r="AL33" i="7"/>
  <c r="AM33" i="7"/>
  <c r="N34" i="7"/>
  <c r="T34" i="7"/>
  <c r="AJ34" i="7"/>
  <c r="AK34" i="7"/>
  <c r="AL34" i="7"/>
  <c r="AM34" i="7"/>
  <c r="N35" i="7"/>
  <c r="T35" i="7"/>
  <c r="AJ35" i="7"/>
  <c r="AK35" i="7"/>
  <c r="AL35" i="7"/>
  <c r="AM35" i="7"/>
  <c r="N36" i="7"/>
  <c r="T36" i="7"/>
  <c r="AJ36" i="7"/>
  <c r="AK36" i="7"/>
  <c r="AL36" i="7"/>
  <c r="AM36" i="7"/>
  <c r="N37" i="7"/>
  <c r="T37" i="7"/>
  <c r="AJ37" i="7"/>
  <c r="AK37" i="7"/>
  <c r="AL37" i="7"/>
  <c r="AM37" i="7"/>
  <c r="N38" i="7"/>
  <c r="T38" i="7"/>
  <c r="AJ38" i="7"/>
  <c r="AK38" i="7"/>
  <c r="AL38" i="7"/>
  <c r="AM38" i="7"/>
  <c r="N39" i="7"/>
  <c r="T39" i="7"/>
  <c r="AJ39" i="7"/>
  <c r="AK39" i="7"/>
  <c r="AL39" i="7"/>
  <c r="AM39" i="7"/>
  <c r="N40" i="7"/>
  <c r="T40" i="7"/>
  <c r="AJ40" i="7"/>
  <c r="AK40" i="7"/>
  <c r="AL40" i="7"/>
  <c r="AM40" i="7"/>
  <c r="N41" i="7"/>
  <c r="T41" i="7"/>
  <c r="AJ41" i="7"/>
  <c r="AK41" i="7"/>
  <c r="AL41" i="7"/>
  <c r="AM41" i="7"/>
  <c r="N42" i="7"/>
  <c r="T42" i="7"/>
  <c r="AJ42" i="7"/>
  <c r="AK42" i="7"/>
  <c r="AL42" i="7"/>
  <c r="AM42" i="7"/>
  <c r="N43" i="7"/>
  <c r="T43" i="7"/>
  <c r="AJ43" i="7"/>
  <c r="AK43" i="7"/>
  <c r="AL43" i="7"/>
  <c r="AM43" i="7"/>
  <c r="N44" i="7"/>
  <c r="T44" i="7"/>
  <c r="AJ44" i="7"/>
  <c r="AK44" i="7"/>
  <c r="AL44" i="7"/>
  <c r="AM44" i="7"/>
  <c r="N45" i="7"/>
  <c r="T45" i="7"/>
  <c r="AJ45" i="7"/>
  <c r="AK45" i="7"/>
  <c r="AL45" i="7"/>
  <c r="AM45" i="7"/>
  <c r="N46" i="7"/>
  <c r="T46" i="7"/>
  <c r="AJ46" i="7"/>
  <c r="AK46" i="7"/>
  <c r="AL46" i="7"/>
  <c r="AM46" i="7"/>
  <c r="N47" i="7"/>
  <c r="T47" i="7"/>
  <c r="AJ47" i="7"/>
  <c r="AK47" i="7"/>
  <c r="AL47" i="7"/>
  <c r="AM47" i="7"/>
  <c r="N48" i="7"/>
  <c r="T48" i="7"/>
  <c r="AJ48" i="7"/>
  <c r="AK48" i="7"/>
  <c r="AL48" i="7"/>
  <c r="AM48" i="7"/>
  <c r="N49" i="7"/>
  <c r="T49" i="7"/>
  <c r="AJ49" i="7"/>
  <c r="AK49" i="7"/>
  <c r="AL49" i="7"/>
  <c r="AM49" i="7"/>
  <c r="N50" i="7"/>
  <c r="T50" i="7"/>
  <c r="AJ50" i="7"/>
  <c r="AK50" i="7"/>
  <c r="AL50" i="7"/>
  <c r="AM50" i="7"/>
  <c r="N51" i="7"/>
  <c r="T51" i="7"/>
  <c r="AJ51" i="7"/>
  <c r="AK51" i="7"/>
  <c r="AL51" i="7"/>
  <c r="AM51" i="7"/>
  <c r="N52" i="7"/>
  <c r="T52" i="7"/>
  <c r="AJ52" i="7"/>
  <c r="AK52" i="7"/>
  <c r="AL52" i="7"/>
  <c r="AM52" i="7"/>
  <c r="N53" i="7"/>
  <c r="T53" i="7"/>
  <c r="AJ53" i="7"/>
  <c r="AK53" i="7"/>
  <c r="AL53" i="7"/>
  <c r="AM53" i="7"/>
  <c r="N54" i="7"/>
  <c r="T54" i="7"/>
  <c r="AJ54" i="7"/>
  <c r="AK54" i="7"/>
  <c r="AL54" i="7"/>
  <c r="AM54" i="7"/>
  <c r="N55" i="7"/>
  <c r="T55" i="7"/>
  <c r="AJ55" i="7"/>
  <c r="AK55" i="7"/>
  <c r="AL55" i="7"/>
  <c r="AM55" i="7"/>
  <c r="N56" i="7"/>
  <c r="T56" i="7"/>
  <c r="AJ56" i="7"/>
  <c r="AK56" i="7"/>
  <c r="AL56" i="7"/>
  <c r="AM56" i="7"/>
  <c r="N58" i="7"/>
  <c r="T58" i="7"/>
  <c r="AJ58" i="7"/>
  <c r="AK58" i="7"/>
  <c r="AL58" i="7"/>
  <c r="AM58" i="7"/>
  <c r="N63" i="7"/>
  <c r="AE63" i="7"/>
  <c r="AF63" i="7"/>
  <c r="AJ63" i="7"/>
  <c r="AK63" i="7"/>
  <c r="N5" i="8"/>
  <c r="T5" i="8"/>
  <c r="AE5" i="8"/>
  <c r="AF5" i="8"/>
  <c r="AG5" i="8"/>
  <c r="AJ5" i="8"/>
  <c r="AK5" i="8"/>
  <c r="AL5" i="8"/>
  <c r="AM5" i="8"/>
  <c r="AO5" i="8"/>
  <c r="AP5" i="8"/>
  <c r="N6" i="8"/>
  <c r="T6" i="8"/>
  <c r="AE6" i="8"/>
  <c r="AF6" i="8"/>
  <c r="AG6" i="8"/>
  <c r="AJ6" i="8"/>
  <c r="AK6" i="8"/>
  <c r="AL6" i="8"/>
  <c r="AM6" i="8"/>
  <c r="AO6" i="8"/>
  <c r="AP6" i="8"/>
  <c r="N7" i="8"/>
  <c r="T7" i="8"/>
  <c r="AE7" i="8"/>
  <c r="AF7" i="8"/>
  <c r="AG7" i="8"/>
  <c r="AJ7" i="8"/>
  <c r="AK7" i="8"/>
  <c r="AL7" i="8"/>
  <c r="AM7" i="8"/>
  <c r="AO7" i="8"/>
  <c r="AP7" i="8"/>
  <c r="N8" i="8"/>
  <c r="T8" i="8"/>
  <c r="AE8" i="8"/>
  <c r="AF8" i="8"/>
  <c r="AG8" i="8"/>
  <c r="AJ8" i="8"/>
  <c r="AK8" i="8"/>
  <c r="AL8" i="8"/>
  <c r="AM8" i="8"/>
  <c r="AO8" i="8"/>
  <c r="AP8" i="8"/>
  <c r="N9" i="8"/>
  <c r="T9" i="8"/>
  <c r="AE9" i="8"/>
  <c r="AF9" i="8"/>
  <c r="AG9" i="8"/>
  <c r="AJ9" i="8"/>
  <c r="AK9" i="8"/>
  <c r="AL9" i="8"/>
  <c r="AM9" i="8"/>
  <c r="N10" i="8"/>
  <c r="T10" i="8"/>
  <c r="AE10" i="8"/>
  <c r="AF10" i="8"/>
  <c r="AG10" i="8"/>
  <c r="AJ10" i="8"/>
  <c r="AK10" i="8"/>
  <c r="AL10" i="8"/>
  <c r="AM10" i="8"/>
  <c r="AO10" i="8"/>
  <c r="AP10" i="8"/>
  <c r="N11" i="8"/>
  <c r="T11" i="8"/>
  <c r="AE11" i="8"/>
  <c r="AF11" i="8"/>
  <c r="AG11" i="8"/>
  <c r="AJ11" i="8"/>
  <c r="AK11" i="8"/>
  <c r="AL11" i="8"/>
  <c r="AM11" i="8"/>
  <c r="AO11" i="8"/>
  <c r="AP11" i="8"/>
  <c r="N12" i="8"/>
  <c r="T12" i="8"/>
  <c r="AE12" i="8"/>
  <c r="AF12" i="8"/>
  <c r="AG12" i="8"/>
  <c r="AJ12" i="8"/>
  <c r="AK12" i="8"/>
  <c r="AL12" i="8"/>
  <c r="AM12" i="8"/>
  <c r="AO12" i="8"/>
  <c r="AP12" i="8"/>
  <c r="N13" i="8"/>
  <c r="T13" i="8"/>
  <c r="AE13" i="8"/>
  <c r="AF13" i="8"/>
  <c r="AG13" i="8"/>
  <c r="AJ13" i="8"/>
  <c r="AK13" i="8"/>
  <c r="AL13" i="8"/>
  <c r="AM13" i="8"/>
  <c r="AO13" i="8"/>
  <c r="AP13" i="8"/>
  <c r="N14" i="8"/>
  <c r="T14" i="8"/>
  <c r="AE14" i="8"/>
  <c r="AF14" i="8"/>
  <c r="AG14" i="8"/>
  <c r="AJ14" i="8"/>
  <c r="AK14" i="8"/>
  <c r="AL14" i="8"/>
  <c r="AM14" i="8"/>
  <c r="AO14" i="8"/>
  <c r="AP14" i="8"/>
  <c r="N15" i="8"/>
  <c r="T15" i="8"/>
  <c r="AE15" i="8"/>
  <c r="AF15" i="8"/>
  <c r="AG15" i="8"/>
  <c r="AJ15" i="8"/>
  <c r="AK15" i="8"/>
  <c r="AL15" i="8"/>
  <c r="AM15" i="8"/>
  <c r="AO15" i="8"/>
  <c r="AP15" i="8"/>
  <c r="N16" i="8"/>
  <c r="T16" i="8"/>
  <c r="AE16" i="8"/>
  <c r="AF16" i="8"/>
  <c r="AG16" i="8"/>
  <c r="AJ16" i="8"/>
  <c r="AK16" i="8"/>
  <c r="AL16" i="8"/>
  <c r="AM16" i="8"/>
  <c r="AO16" i="8"/>
  <c r="AP16" i="8"/>
  <c r="N17" i="8"/>
  <c r="T17" i="8"/>
  <c r="AE17" i="8"/>
  <c r="AF17" i="8"/>
  <c r="AG17" i="8"/>
  <c r="AJ17" i="8"/>
  <c r="AK17" i="8"/>
  <c r="AL17" i="8"/>
  <c r="AM17" i="8"/>
  <c r="AO17" i="8"/>
  <c r="AP17" i="8"/>
  <c r="N18" i="8"/>
  <c r="T18" i="8"/>
  <c r="AE18" i="8"/>
  <c r="AF18" i="8"/>
  <c r="AG18" i="8"/>
  <c r="AJ18" i="8"/>
  <c r="AK18" i="8"/>
  <c r="AL18" i="8"/>
  <c r="AM18" i="8"/>
  <c r="AO18" i="8"/>
  <c r="AP18" i="8"/>
  <c r="N19" i="8"/>
  <c r="T19" i="8"/>
  <c r="AE19" i="8"/>
  <c r="AF19" i="8"/>
  <c r="AG19" i="8"/>
  <c r="AJ19" i="8"/>
  <c r="AK19" i="8"/>
  <c r="AL19" i="8"/>
  <c r="AM19" i="8"/>
  <c r="AO19" i="8"/>
  <c r="AP19" i="8"/>
  <c r="N20" i="8"/>
  <c r="T20" i="8"/>
  <c r="AE20" i="8"/>
  <c r="AF20" i="8"/>
  <c r="AG20" i="8"/>
  <c r="AJ20" i="8"/>
  <c r="AK20" i="8"/>
  <c r="AL20" i="8"/>
  <c r="AM20" i="8"/>
  <c r="AO20" i="8"/>
  <c r="AP20" i="8"/>
  <c r="N21" i="8"/>
  <c r="T21" i="8"/>
  <c r="AE21" i="8"/>
  <c r="AF21" i="8"/>
  <c r="AG21" i="8"/>
  <c r="AJ21" i="8"/>
  <c r="AK21" i="8"/>
  <c r="AL21" i="8"/>
  <c r="AM21" i="8"/>
  <c r="AO21" i="8"/>
  <c r="AP21" i="8"/>
  <c r="N22" i="8"/>
  <c r="T22" i="8"/>
  <c r="AE22" i="8"/>
  <c r="AF22" i="8"/>
  <c r="AG22" i="8"/>
  <c r="AJ22" i="8"/>
  <c r="AK22" i="8"/>
  <c r="AL22" i="8"/>
  <c r="AM22" i="8"/>
  <c r="AO22" i="8"/>
  <c r="AP22" i="8"/>
  <c r="N23" i="8"/>
  <c r="T23" i="8"/>
  <c r="AE23" i="8"/>
  <c r="AF23" i="8"/>
  <c r="AG23" i="8"/>
  <c r="AJ23" i="8"/>
  <c r="AK23" i="8"/>
  <c r="AL23" i="8"/>
  <c r="AM23" i="8"/>
  <c r="AO23" i="8"/>
  <c r="AP23" i="8"/>
  <c r="N24" i="8"/>
  <c r="T24" i="8"/>
  <c r="AE24" i="8"/>
  <c r="AF24" i="8"/>
  <c r="AG24" i="8"/>
  <c r="AJ24" i="8"/>
  <c r="AK24" i="8"/>
  <c r="AL24" i="8"/>
  <c r="AM24" i="8"/>
  <c r="AO24" i="8"/>
  <c r="AP24" i="8"/>
  <c r="N25" i="8"/>
  <c r="T25" i="8"/>
  <c r="AE25" i="8"/>
  <c r="AF25" i="8"/>
  <c r="AG25" i="8"/>
  <c r="AJ25" i="8"/>
  <c r="AK25" i="8"/>
  <c r="AL25" i="8"/>
  <c r="AM25" i="8"/>
  <c r="AO25" i="8"/>
  <c r="AP25" i="8"/>
  <c r="N26" i="8"/>
  <c r="T26" i="8"/>
  <c r="AE26" i="8"/>
  <c r="AF26" i="8"/>
  <c r="AG26" i="8"/>
  <c r="AJ26" i="8"/>
  <c r="AK26" i="8"/>
  <c r="AL26" i="8"/>
  <c r="AM26" i="8"/>
  <c r="AO26" i="8"/>
  <c r="AP26" i="8"/>
  <c r="N27" i="8"/>
  <c r="T27" i="8"/>
  <c r="AE27" i="8"/>
  <c r="AF27" i="8"/>
  <c r="AG27" i="8"/>
  <c r="AJ27" i="8"/>
  <c r="AK27" i="8"/>
  <c r="AL27" i="8"/>
  <c r="AM27" i="8"/>
  <c r="AO27" i="8"/>
  <c r="AP27" i="8"/>
  <c r="N28" i="8"/>
  <c r="T28" i="8"/>
  <c r="AE28" i="8"/>
  <c r="AF28" i="8"/>
  <c r="AG28" i="8"/>
  <c r="AJ28" i="8"/>
  <c r="AK28" i="8"/>
  <c r="AL28" i="8"/>
  <c r="AM28" i="8"/>
  <c r="AO28" i="8"/>
  <c r="AP28" i="8"/>
  <c r="N29" i="8"/>
  <c r="T29" i="8"/>
  <c r="AE29" i="8"/>
  <c r="AF29" i="8"/>
  <c r="AG29" i="8"/>
  <c r="AJ29" i="8"/>
  <c r="AK29" i="8"/>
  <c r="AL29" i="8"/>
  <c r="AM29" i="8"/>
  <c r="AO29" i="8"/>
  <c r="AP29" i="8"/>
  <c r="N30" i="8"/>
  <c r="T30" i="8"/>
  <c r="AE30" i="8"/>
  <c r="AF30" i="8"/>
  <c r="AG30" i="8"/>
  <c r="AJ30" i="8"/>
  <c r="AK30" i="8"/>
  <c r="AL30" i="8"/>
  <c r="AM30" i="8"/>
  <c r="AO30" i="8"/>
  <c r="AP30" i="8"/>
  <c r="N31" i="8"/>
  <c r="T31" i="8"/>
  <c r="AE31" i="8"/>
  <c r="AF31" i="8"/>
  <c r="AG31" i="8"/>
  <c r="AJ31" i="8"/>
  <c r="AK31" i="8"/>
  <c r="AL31" i="8"/>
  <c r="AM31" i="8"/>
  <c r="AO31" i="8"/>
  <c r="AP31" i="8"/>
  <c r="N32" i="8"/>
  <c r="T32" i="8"/>
  <c r="AE32" i="8"/>
  <c r="AF32" i="8"/>
  <c r="AG32" i="8"/>
  <c r="AJ32" i="8"/>
  <c r="AK32" i="8"/>
  <c r="AL32" i="8"/>
  <c r="AM32" i="8"/>
  <c r="AO32" i="8"/>
  <c r="AP32" i="8"/>
  <c r="N33" i="8"/>
  <c r="T33" i="8"/>
  <c r="AE33" i="8"/>
  <c r="AF33" i="8"/>
  <c r="AG33" i="8"/>
  <c r="AJ33" i="8"/>
  <c r="AK33" i="8"/>
  <c r="AL33" i="8"/>
  <c r="AM33" i="8"/>
  <c r="AO33" i="8"/>
  <c r="AP33" i="8"/>
  <c r="N34" i="8"/>
  <c r="T34" i="8"/>
  <c r="AE34" i="8"/>
  <c r="AF34" i="8"/>
  <c r="AG34" i="8"/>
  <c r="AJ34" i="8"/>
  <c r="AK34" i="8"/>
  <c r="AL34" i="8"/>
  <c r="AM34" i="8"/>
  <c r="AO34" i="8"/>
  <c r="AP34" i="8"/>
  <c r="N35" i="8"/>
  <c r="T35" i="8"/>
  <c r="AE35" i="8"/>
  <c r="AF35" i="8"/>
  <c r="AG35" i="8"/>
  <c r="AJ35" i="8"/>
  <c r="AK35" i="8"/>
  <c r="AL35" i="8"/>
  <c r="AM35" i="8"/>
  <c r="AO35" i="8"/>
  <c r="AP35" i="8"/>
  <c r="N36" i="8"/>
  <c r="T36" i="8"/>
  <c r="AE36" i="8"/>
  <c r="AF36" i="8"/>
  <c r="AG36" i="8"/>
  <c r="AJ36" i="8"/>
  <c r="AK36" i="8"/>
  <c r="AL36" i="8"/>
  <c r="AM36" i="8"/>
  <c r="AO36" i="8"/>
  <c r="AP36" i="8"/>
  <c r="N37" i="8"/>
  <c r="T37" i="8"/>
  <c r="AE37" i="8"/>
  <c r="AF37" i="8"/>
  <c r="AG37" i="8"/>
  <c r="AJ37" i="8"/>
  <c r="AK37" i="8"/>
  <c r="AL37" i="8"/>
  <c r="AM37" i="8"/>
  <c r="AO37" i="8"/>
  <c r="AP37" i="8"/>
  <c r="N38" i="8"/>
  <c r="T38" i="8"/>
  <c r="AE38" i="8"/>
  <c r="AF38" i="8"/>
  <c r="AG38" i="8"/>
  <c r="AJ38" i="8"/>
  <c r="AK38" i="8"/>
  <c r="AL38" i="8"/>
  <c r="AM38" i="8"/>
  <c r="AO38" i="8"/>
  <c r="AP38" i="8"/>
  <c r="N39" i="8"/>
  <c r="T39" i="8"/>
  <c r="AE39" i="8"/>
  <c r="AF39" i="8"/>
  <c r="AG39" i="8"/>
  <c r="AJ39" i="8"/>
  <c r="AK39" i="8"/>
  <c r="AL39" i="8"/>
  <c r="AM39" i="8"/>
  <c r="AO39" i="8"/>
  <c r="AP39" i="8"/>
  <c r="N40" i="8"/>
  <c r="T40" i="8"/>
  <c r="AE40" i="8"/>
  <c r="AF40" i="8"/>
  <c r="AG40" i="8"/>
  <c r="AJ40" i="8"/>
  <c r="AK40" i="8"/>
  <c r="AL40" i="8"/>
  <c r="AM40" i="8"/>
  <c r="AO40" i="8"/>
  <c r="AP40" i="8"/>
  <c r="N41" i="8"/>
  <c r="T41" i="8"/>
  <c r="AE41" i="8"/>
  <c r="AF41" i="8"/>
  <c r="AG41" i="8"/>
  <c r="AJ41" i="8"/>
  <c r="AK41" i="8"/>
  <c r="AL41" i="8"/>
  <c r="AM41" i="8"/>
  <c r="AO41" i="8"/>
  <c r="AP41" i="8"/>
  <c r="N42" i="8"/>
  <c r="T42" i="8"/>
  <c r="AE42" i="8"/>
  <c r="AF42" i="8"/>
  <c r="AG42" i="8"/>
  <c r="AJ42" i="8"/>
  <c r="AK42" i="8"/>
  <c r="AL42" i="8"/>
  <c r="AM42" i="8"/>
  <c r="AO42" i="8"/>
  <c r="AP42" i="8"/>
  <c r="N43" i="8"/>
  <c r="T43" i="8"/>
  <c r="AE43" i="8"/>
  <c r="AF43" i="8"/>
  <c r="AG43" i="8"/>
  <c r="AJ43" i="8"/>
  <c r="AK43" i="8"/>
  <c r="AL43" i="8"/>
  <c r="AM43" i="8"/>
  <c r="AO43" i="8"/>
  <c r="AP43" i="8"/>
  <c r="N44" i="8"/>
  <c r="T44" i="8"/>
  <c r="AE44" i="8"/>
  <c r="AF44" i="8"/>
  <c r="AG44" i="8"/>
  <c r="AJ44" i="8"/>
  <c r="AK44" i="8"/>
  <c r="AL44" i="8"/>
  <c r="AM44" i="8"/>
  <c r="AO44" i="8"/>
  <c r="AP44" i="8"/>
  <c r="N45" i="8"/>
  <c r="T45" i="8"/>
  <c r="AE45" i="8"/>
  <c r="AF45" i="8"/>
  <c r="AG45" i="8"/>
  <c r="AJ45" i="8"/>
  <c r="AK45" i="8"/>
  <c r="AL45" i="8"/>
  <c r="AM45" i="8"/>
  <c r="AO45" i="8"/>
  <c r="AP45" i="8"/>
  <c r="N46" i="8"/>
  <c r="T46" i="8"/>
  <c r="AE46" i="8"/>
  <c r="AF46" i="8"/>
  <c r="AG46" i="8"/>
  <c r="AJ46" i="8"/>
  <c r="AK46" i="8"/>
  <c r="AL46" i="8"/>
  <c r="AM46" i="8"/>
  <c r="AO46" i="8"/>
  <c r="AP46" i="8"/>
  <c r="N47" i="8"/>
  <c r="T47" i="8"/>
  <c r="AE47" i="8"/>
  <c r="AF47" i="8"/>
  <c r="AG47" i="8"/>
  <c r="AJ47" i="8"/>
  <c r="AK47" i="8"/>
  <c r="AL47" i="8"/>
  <c r="AM47" i="8"/>
  <c r="AO47" i="8"/>
  <c r="AP47" i="8"/>
  <c r="N48" i="8"/>
  <c r="T48" i="8"/>
  <c r="AE48" i="8"/>
  <c r="AF48" i="8"/>
  <c r="AG48" i="8"/>
  <c r="AJ48" i="8"/>
  <c r="AK48" i="8"/>
  <c r="AL48" i="8"/>
  <c r="AM48" i="8"/>
  <c r="AO48" i="8"/>
  <c r="AP48" i="8"/>
  <c r="N49" i="8"/>
  <c r="T49" i="8"/>
  <c r="AE49" i="8"/>
  <c r="AF49" i="8"/>
  <c r="AG49" i="8"/>
  <c r="AJ49" i="8"/>
  <c r="AK49" i="8"/>
  <c r="AL49" i="8"/>
  <c r="AM49" i="8"/>
  <c r="AO49" i="8"/>
  <c r="AP49" i="8"/>
  <c r="N50" i="8"/>
  <c r="T50" i="8"/>
  <c r="AE50" i="8"/>
  <c r="AF50" i="8"/>
  <c r="AG50" i="8"/>
  <c r="AJ50" i="8"/>
  <c r="AK50" i="8"/>
  <c r="AL50" i="8"/>
  <c r="AM50" i="8"/>
  <c r="AO50" i="8"/>
  <c r="AP50" i="8"/>
  <c r="N51" i="8"/>
  <c r="T51" i="8"/>
  <c r="AE51" i="8"/>
  <c r="AF51" i="8"/>
  <c r="AG51" i="8"/>
  <c r="AJ51" i="8"/>
  <c r="AK51" i="8"/>
  <c r="AL51" i="8"/>
  <c r="AM51" i="8"/>
  <c r="AO51" i="8"/>
  <c r="AP51" i="8"/>
  <c r="N52" i="8"/>
  <c r="T52" i="8"/>
  <c r="AE52" i="8"/>
  <c r="AF52" i="8"/>
  <c r="AG52" i="8"/>
  <c r="AJ52" i="8"/>
  <c r="AK52" i="8"/>
  <c r="AL52" i="8"/>
  <c r="AM52" i="8"/>
  <c r="AO52" i="8"/>
  <c r="AP52" i="8"/>
  <c r="N53" i="8"/>
  <c r="T53" i="8"/>
  <c r="AE53" i="8"/>
  <c r="AF53" i="8"/>
  <c r="AG53" i="8"/>
  <c r="AJ53" i="8"/>
  <c r="AK53" i="8"/>
  <c r="AL53" i="8"/>
  <c r="AM53" i="8"/>
  <c r="AO53" i="8"/>
  <c r="AP53" i="8"/>
  <c r="N54" i="8"/>
  <c r="T54" i="8"/>
  <c r="AE54" i="8"/>
  <c r="AF54" i="8"/>
  <c r="AG54" i="8"/>
  <c r="AJ54" i="8"/>
  <c r="AK54" i="8"/>
  <c r="AL54" i="8"/>
  <c r="AM54" i="8"/>
  <c r="AO54" i="8"/>
  <c r="AP54" i="8"/>
  <c r="N55" i="8"/>
  <c r="T55" i="8"/>
  <c r="AE55" i="8"/>
  <c r="AF55" i="8"/>
  <c r="AG55" i="8"/>
  <c r="AJ55" i="8"/>
  <c r="AK55" i="8"/>
  <c r="AL55" i="8"/>
  <c r="AM55" i="8"/>
  <c r="AO55" i="8"/>
  <c r="AP55" i="8"/>
  <c r="N56" i="8"/>
  <c r="T56" i="8"/>
  <c r="AE56" i="8"/>
  <c r="AF56" i="8"/>
  <c r="AG56" i="8"/>
  <c r="AJ56" i="8"/>
  <c r="AK56" i="8"/>
  <c r="AL56" i="8"/>
  <c r="AM56" i="8"/>
  <c r="AO56" i="8"/>
  <c r="AP56" i="8"/>
  <c r="N58" i="8"/>
  <c r="T58" i="8"/>
  <c r="AE58" i="8"/>
  <c r="AF58" i="8"/>
  <c r="AG58" i="8"/>
  <c r="AJ58" i="8"/>
  <c r="AK58" i="8"/>
  <c r="AL58" i="8"/>
  <c r="AM58" i="8"/>
  <c r="AO58" i="8"/>
  <c r="AP58" i="8"/>
  <c r="AO60" i="8"/>
  <c r="AP60" i="8"/>
  <c r="AE63" i="8"/>
  <c r="AF63" i="8"/>
  <c r="N5" i="9"/>
  <c r="T5" i="9"/>
  <c r="AE5" i="9"/>
  <c r="AF5" i="9"/>
  <c r="AG5" i="9"/>
  <c r="AJ5" i="9"/>
  <c r="AK5" i="9"/>
  <c r="AL5" i="9"/>
  <c r="AM5" i="9"/>
  <c r="AO5" i="9"/>
  <c r="AP5" i="9"/>
  <c r="N6" i="9"/>
  <c r="T6" i="9"/>
  <c r="AE6" i="9"/>
  <c r="AF6" i="9"/>
  <c r="AG6" i="9"/>
  <c r="AJ6" i="9"/>
  <c r="AK6" i="9"/>
  <c r="AL6" i="9"/>
  <c r="AM6" i="9"/>
  <c r="AO6" i="9"/>
  <c r="AP6" i="9"/>
  <c r="N7" i="9"/>
  <c r="T7" i="9"/>
  <c r="AE7" i="9"/>
  <c r="AF7" i="9"/>
  <c r="AG7" i="9"/>
  <c r="AJ7" i="9"/>
  <c r="AK7" i="9"/>
  <c r="AL7" i="9"/>
  <c r="AM7" i="9"/>
  <c r="AO7" i="9"/>
  <c r="AP7" i="9"/>
  <c r="N8" i="9"/>
  <c r="T8" i="9"/>
  <c r="AE8" i="9"/>
  <c r="AF8" i="9"/>
  <c r="AG8" i="9"/>
  <c r="AJ8" i="9"/>
  <c r="AK8" i="9"/>
  <c r="AL8" i="9"/>
  <c r="AM8" i="9"/>
  <c r="AO8" i="9"/>
  <c r="AP8" i="9"/>
  <c r="AE9" i="9"/>
  <c r="AF9" i="9"/>
  <c r="AG9" i="9"/>
  <c r="AM9" i="9"/>
  <c r="N10" i="9"/>
  <c r="T10" i="9"/>
  <c r="AE10" i="9"/>
  <c r="AF10" i="9"/>
  <c r="AG10" i="9"/>
  <c r="AJ10" i="9"/>
  <c r="AK10" i="9"/>
  <c r="AL10" i="9"/>
  <c r="AM10" i="9"/>
  <c r="AO10" i="9"/>
  <c r="AP10" i="9"/>
  <c r="N11" i="9"/>
  <c r="T11" i="9"/>
  <c r="AE11" i="9"/>
  <c r="AF11" i="9"/>
  <c r="AG11" i="9"/>
  <c r="AJ11" i="9"/>
  <c r="AK11" i="9"/>
  <c r="AL11" i="9"/>
  <c r="AM11" i="9"/>
  <c r="AO11" i="9"/>
  <c r="AP11" i="9"/>
  <c r="N12" i="9"/>
  <c r="T12" i="9"/>
  <c r="AE12" i="9"/>
  <c r="AF12" i="9"/>
  <c r="AG12" i="9"/>
  <c r="AJ12" i="9"/>
  <c r="AK12" i="9"/>
  <c r="AL12" i="9"/>
  <c r="AM12" i="9"/>
  <c r="AO12" i="9"/>
  <c r="AP12" i="9"/>
  <c r="N13" i="9"/>
  <c r="T13" i="9"/>
  <c r="AE13" i="9"/>
  <c r="AF13" i="9"/>
  <c r="AG13" i="9"/>
  <c r="AJ13" i="9"/>
  <c r="AK13" i="9"/>
  <c r="AL13" i="9"/>
  <c r="AM13" i="9"/>
  <c r="AO13" i="9"/>
  <c r="AP13" i="9"/>
  <c r="N14" i="9"/>
  <c r="T14" i="9"/>
  <c r="AE14" i="9"/>
  <c r="AF14" i="9"/>
  <c r="AG14" i="9"/>
  <c r="AJ14" i="9"/>
  <c r="AK14" i="9"/>
  <c r="AL14" i="9"/>
  <c r="AM14" i="9"/>
  <c r="AO14" i="9"/>
  <c r="AP14" i="9"/>
  <c r="N15" i="9"/>
  <c r="T15" i="9"/>
  <c r="AE15" i="9"/>
  <c r="AF15" i="9"/>
  <c r="AG15" i="9"/>
  <c r="AJ15" i="9"/>
  <c r="AK15" i="9"/>
  <c r="AL15" i="9"/>
  <c r="AM15" i="9"/>
  <c r="AO15" i="9"/>
  <c r="AP15" i="9"/>
  <c r="N16" i="9"/>
  <c r="T16" i="9"/>
  <c r="AE16" i="9"/>
  <c r="AF16" i="9"/>
  <c r="AG16" i="9"/>
  <c r="AJ16" i="9"/>
  <c r="AK16" i="9"/>
  <c r="AL16" i="9"/>
  <c r="AM16" i="9"/>
  <c r="AO16" i="9"/>
  <c r="AP16" i="9"/>
  <c r="N17" i="9"/>
  <c r="T17" i="9"/>
  <c r="AE17" i="9"/>
  <c r="AF17" i="9"/>
  <c r="AG17" i="9"/>
  <c r="AJ17" i="9"/>
  <c r="AK17" i="9"/>
  <c r="AL17" i="9"/>
  <c r="AM17" i="9"/>
  <c r="AO17" i="9"/>
  <c r="AP17" i="9"/>
  <c r="N18" i="9"/>
  <c r="T18" i="9"/>
  <c r="AE18" i="9"/>
  <c r="AF18" i="9"/>
  <c r="AG18" i="9"/>
  <c r="AJ18" i="9"/>
  <c r="AK18" i="9"/>
  <c r="AL18" i="9"/>
  <c r="AM18" i="9"/>
  <c r="AO18" i="9"/>
  <c r="AP18" i="9"/>
  <c r="N19" i="9"/>
  <c r="T19" i="9"/>
  <c r="AE19" i="9"/>
  <c r="AF19" i="9"/>
  <c r="AG19" i="9"/>
  <c r="AJ19" i="9"/>
  <c r="AK19" i="9"/>
  <c r="AL19" i="9"/>
  <c r="AM19" i="9"/>
  <c r="AO19" i="9"/>
  <c r="AP19" i="9"/>
  <c r="N20" i="9"/>
  <c r="T20" i="9"/>
  <c r="AE20" i="9"/>
  <c r="AF20" i="9"/>
  <c r="AG20" i="9"/>
  <c r="AJ20" i="9"/>
  <c r="AK20" i="9"/>
  <c r="AL20" i="9"/>
  <c r="AM20" i="9"/>
  <c r="AO20" i="9"/>
  <c r="AP20" i="9"/>
  <c r="N21" i="9"/>
  <c r="T21" i="9"/>
  <c r="AE21" i="9"/>
  <c r="AF21" i="9"/>
  <c r="AG21" i="9"/>
  <c r="AJ21" i="9"/>
  <c r="AK21" i="9"/>
  <c r="AL21" i="9"/>
  <c r="AM21" i="9"/>
  <c r="AO21" i="9"/>
  <c r="AP21" i="9"/>
  <c r="N22" i="9"/>
  <c r="T22" i="9"/>
  <c r="AE22" i="9"/>
  <c r="AF22" i="9"/>
  <c r="AG22" i="9"/>
  <c r="AJ22" i="9"/>
  <c r="AK22" i="9"/>
  <c r="AL22" i="9"/>
  <c r="AM22" i="9"/>
  <c r="AO22" i="9"/>
  <c r="AP22" i="9"/>
  <c r="N23" i="9"/>
  <c r="T23" i="9"/>
  <c r="AE23" i="9"/>
  <c r="AF23" i="9"/>
  <c r="AG23" i="9"/>
  <c r="AJ23" i="9"/>
  <c r="AK23" i="9"/>
  <c r="AL23" i="9"/>
  <c r="AM23" i="9"/>
  <c r="AO23" i="9"/>
  <c r="AP23" i="9"/>
  <c r="N24" i="9"/>
  <c r="T24" i="9"/>
  <c r="AE24" i="9"/>
  <c r="AF24" i="9"/>
  <c r="AG24" i="9"/>
  <c r="AJ24" i="9"/>
  <c r="AK24" i="9"/>
  <c r="AL24" i="9"/>
  <c r="AM24" i="9"/>
  <c r="AO24" i="9"/>
  <c r="AP24" i="9"/>
  <c r="N25" i="9"/>
  <c r="T25" i="9"/>
  <c r="AE25" i="9"/>
  <c r="AF25" i="9"/>
  <c r="AG25" i="9"/>
  <c r="AJ25" i="9"/>
  <c r="AK25" i="9"/>
  <c r="AL25" i="9"/>
  <c r="AM25" i="9"/>
  <c r="AO25" i="9"/>
  <c r="AP25" i="9"/>
  <c r="N26" i="9"/>
  <c r="T26" i="9"/>
  <c r="AE26" i="9"/>
  <c r="AF26" i="9"/>
  <c r="AG26" i="9"/>
  <c r="AJ26" i="9"/>
  <c r="AK26" i="9"/>
  <c r="AL26" i="9"/>
  <c r="AM26" i="9"/>
  <c r="AO26" i="9"/>
  <c r="AP26" i="9"/>
  <c r="N27" i="9"/>
  <c r="T27" i="9"/>
  <c r="AE27" i="9"/>
  <c r="AF27" i="9"/>
  <c r="AG27" i="9"/>
  <c r="AJ27" i="9"/>
  <c r="AK27" i="9"/>
  <c r="AL27" i="9"/>
  <c r="AM27" i="9"/>
  <c r="AO27" i="9"/>
  <c r="AP27" i="9"/>
  <c r="N28" i="9"/>
  <c r="T28" i="9"/>
  <c r="AE28" i="9"/>
  <c r="AF28" i="9"/>
  <c r="AG28" i="9"/>
  <c r="AJ28" i="9"/>
  <c r="AK28" i="9"/>
  <c r="AL28" i="9"/>
  <c r="AM28" i="9"/>
  <c r="AO28" i="9"/>
  <c r="AP28" i="9"/>
  <c r="N29" i="9"/>
  <c r="T29" i="9"/>
  <c r="AE29" i="9"/>
  <c r="AF29" i="9"/>
  <c r="AG29" i="9"/>
  <c r="AJ29" i="9"/>
  <c r="AK29" i="9"/>
  <c r="AL29" i="9"/>
  <c r="AM29" i="9"/>
  <c r="AO29" i="9"/>
  <c r="AP29" i="9"/>
  <c r="N30" i="9"/>
  <c r="T30" i="9"/>
  <c r="AE30" i="9"/>
  <c r="AF30" i="9"/>
  <c r="AG30" i="9"/>
  <c r="AJ30" i="9"/>
  <c r="AK30" i="9"/>
  <c r="AL30" i="9"/>
  <c r="AM30" i="9"/>
  <c r="AO30" i="9"/>
  <c r="AP30" i="9"/>
  <c r="N31" i="9"/>
  <c r="T31" i="9"/>
  <c r="AE31" i="9"/>
  <c r="AF31" i="9"/>
  <c r="AG31" i="9"/>
  <c r="AJ31" i="9"/>
  <c r="AK31" i="9"/>
  <c r="AL31" i="9"/>
  <c r="AM31" i="9"/>
  <c r="AO31" i="9"/>
  <c r="AP31" i="9"/>
  <c r="N32" i="9"/>
  <c r="T32" i="9"/>
  <c r="AE32" i="9"/>
  <c r="AF32" i="9"/>
  <c r="AG32" i="9"/>
  <c r="AJ32" i="9"/>
  <c r="AK32" i="9"/>
  <c r="AL32" i="9"/>
  <c r="AM32" i="9"/>
  <c r="AO32" i="9"/>
  <c r="AP32" i="9"/>
  <c r="N33" i="9"/>
  <c r="T33" i="9"/>
  <c r="AE33" i="9"/>
  <c r="AF33" i="9"/>
  <c r="AG33" i="9"/>
  <c r="AJ33" i="9"/>
  <c r="AK33" i="9"/>
  <c r="AL33" i="9"/>
  <c r="AM33" i="9"/>
  <c r="AO33" i="9"/>
  <c r="AP33" i="9"/>
  <c r="N34" i="9"/>
  <c r="T34" i="9"/>
  <c r="AE34" i="9"/>
  <c r="AF34" i="9"/>
  <c r="AG34" i="9"/>
  <c r="AJ34" i="9"/>
  <c r="AK34" i="9"/>
  <c r="AL34" i="9"/>
  <c r="AM34" i="9"/>
  <c r="AO34" i="9"/>
  <c r="AP34" i="9"/>
  <c r="N35" i="9"/>
  <c r="T35" i="9"/>
  <c r="AE35" i="9"/>
  <c r="AF35" i="9"/>
  <c r="AG35" i="9"/>
  <c r="AJ35" i="9"/>
  <c r="AK35" i="9"/>
  <c r="AL35" i="9"/>
  <c r="AM35" i="9"/>
  <c r="AO35" i="9"/>
  <c r="AP35" i="9"/>
  <c r="N36" i="9"/>
  <c r="T36" i="9"/>
  <c r="AE36" i="9"/>
  <c r="AF36" i="9"/>
  <c r="AG36" i="9"/>
  <c r="AJ36" i="9"/>
  <c r="AK36" i="9"/>
  <c r="AL36" i="9"/>
  <c r="AM36" i="9"/>
  <c r="AO36" i="9"/>
  <c r="AP36" i="9"/>
  <c r="N37" i="9"/>
  <c r="T37" i="9"/>
  <c r="AE37" i="9"/>
  <c r="AF37" i="9"/>
  <c r="AG37" i="9"/>
  <c r="AJ37" i="9"/>
  <c r="AK37" i="9"/>
  <c r="AL37" i="9"/>
  <c r="AM37" i="9"/>
  <c r="AO37" i="9"/>
  <c r="AP37" i="9"/>
  <c r="N38" i="9"/>
  <c r="T38" i="9"/>
  <c r="AE38" i="9"/>
  <c r="AF38" i="9"/>
  <c r="AG38" i="9"/>
  <c r="AJ38" i="9"/>
  <c r="AK38" i="9"/>
  <c r="AL38" i="9"/>
  <c r="AM38" i="9"/>
  <c r="AO38" i="9"/>
  <c r="AP38" i="9"/>
  <c r="N39" i="9"/>
  <c r="T39" i="9"/>
  <c r="AE39" i="9"/>
  <c r="AF39" i="9"/>
  <c r="AG39" i="9"/>
  <c r="AJ39" i="9"/>
  <c r="AK39" i="9"/>
  <c r="AL39" i="9"/>
  <c r="AM39" i="9"/>
  <c r="AO39" i="9"/>
  <c r="AP39" i="9"/>
  <c r="N40" i="9"/>
  <c r="T40" i="9"/>
  <c r="AE40" i="9"/>
  <c r="AF40" i="9"/>
  <c r="AG40" i="9"/>
  <c r="AJ40" i="9"/>
  <c r="AK40" i="9"/>
  <c r="AL40" i="9"/>
  <c r="AM40" i="9"/>
  <c r="AO40" i="9"/>
  <c r="AP40" i="9"/>
  <c r="N41" i="9"/>
  <c r="T41" i="9"/>
  <c r="AE41" i="9"/>
  <c r="AF41" i="9"/>
  <c r="AG41" i="9"/>
  <c r="AJ41" i="9"/>
  <c r="AK41" i="9"/>
  <c r="AL41" i="9"/>
  <c r="AM41" i="9"/>
  <c r="AO41" i="9"/>
  <c r="AP41" i="9"/>
  <c r="N42" i="9"/>
  <c r="T42" i="9"/>
  <c r="AE42" i="9"/>
  <c r="AF42" i="9"/>
  <c r="AG42" i="9"/>
  <c r="AJ42" i="9"/>
  <c r="AK42" i="9"/>
  <c r="AL42" i="9"/>
  <c r="AM42" i="9"/>
  <c r="AO42" i="9"/>
  <c r="AP42" i="9"/>
  <c r="N43" i="9"/>
  <c r="T43" i="9"/>
  <c r="AE43" i="9"/>
  <c r="AF43" i="9"/>
  <c r="AG43" i="9"/>
  <c r="AJ43" i="9"/>
  <c r="AK43" i="9"/>
  <c r="AL43" i="9"/>
  <c r="AM43" i="9"/>
  <c r="AO43" i="9"/>
  <c r="AP43" i="9"/>
  <c r="N44" i="9"/>
  <c r="T44" i="9"/>
  <c r="AE44" i="9"/>
  <c r="AF44" i="9"/>
  <c r="AG44" i="9"/>
  <c r="AJ44" i="9"/>
  <c r="AK44" i="9"/>
  <c r="AL44" i="9"/>
  <c r="AM44" i="9"/>
  <c r="AO44" i="9"/>
  <c r="AP44" i="9"/>
  <c r="N45" i="9"/>
  <c r="T45" i="9"/>
  <c r="AE45" i="9"/>
  <c r="AF45" i="9"/>
  <c r="AG45" i="9"/>
  <c r="AJ45" i="9"/>
  <c r="AK45" i="9"/>
  <c r="AL45" i="9"/>
  <c r="AM45" i="9"/>
  <c r="AO45" i="9"/>
  <c r="AP45" i="9"/>
  <c r="N46" i="9"/>
  <c r="T46" i="9"/>
  <c r="AE46" i="9"/>
  <c r="AF46" i="9"/>
  <c r="AG46" i="9"/>
  <c r="AJ46" i="9"/>
  <c r="AK46" i="9"/>
  <c r="AL46" i="9"/>
  <c r="AM46" i="9"/>
  <c r="AO46" i="9"/>
  <c r="AP46" i="9"/>
  <c r="N47" i="9"/>
  <c r="T47" i="9"/>
  <c r="AE47" i="9"/>
  <c r="AF47" i="9"/>
  <c r="AG47" i="9"/>
  <c r="AJ47" i="9"/>
  <c r="AK47" i="9"/>
  <c r="AL47" i="9"/>
  <c r="AM47" i="9"/>
  <c r="AO47" i="9"/>
  <c r="AP47" i="9"/>
  <c r="N48" i="9"/>
  <c r="T48" i="9"/>
  <c r="AE48" i="9"/>
  <c r="AF48" i="9"/>
  <c r="AG48" i="9"/>
  <c r="AJ48" i="9"/>
  <c r="AK48" i="9"/>
  <c r="AL48" i="9"/>
  <c r="AM48" i="9"/>
  <c r="AO48" i="9"/>
  <c r="AP48" i="9"/>
  <c r="N49" i="9"/>
  <c r="T49" i="9"/>
  <c r="AE49" i="9"/>
  <c r="AF49" i="9"/>
  <c r="AG49" i="9"/>
  <c r="AJ49" i="9"/>
  <c r="AK49" i="9"/>
  <c r="AL49" i="9"/>
  <c r="AM49" i="9"/>
  <c r="AO49" i="9"/>
  <c r="AP49" i="9"/>
  <c r="N50" i="9"/>
  <c r="T50" i="9"/>
  <c r="AE50" i="9"/>
  <c r="AF50" i="9"/>
  <c r="AG50" i="9"/>
  <c r="AJ50" i="9"/>
  <c r="AK50" i="9"/>
  <c r="AL50" i="9"/>
  <c r="AM50" i="9"/>
  <c r="AO50" i="9"/>
  <c r="AP50" i="9"/>
  <c r="N51" i="9"/>
  <c r="T51" i="9"/>
  <c r="AE51" i="9"/>
  <c r="AF51" i="9"/>
  <c r="AG51" i="9"/>
  <c r="AJ51" i="9"/>
  <c r="AK51" i="9"/>
  <c r="AL51" i="9"/>
  <c r="AM51" i="9"/>
  <c r="AO51" i="9"/>
  <c r="AP51" i="9"/>
  <c r="N52" i="9"/>
  <c r="T52" i="9"/>
  <c r="AE52" i="9"/>
  <c r="AF52" i="9"/>
  <c r="AG52" i="9"/>
  <c r="AJ52" i="9"/>
  <c r="AK52" i="9"/>
  <c r="AL52" i="9"/>
  <c r="AM52" i="9"/>
  <c r="AO52" i="9"/>
  <c r="AP52" i="9"/>
  <c r="N53" i="9"/>
  <c r="T53" i="9"/>
  <c r="AE53" i="9"/>
  <c r="AF53" i="9"/>
  <c r="AG53" i="9"/>
  <c r="AJ53" i="9"/>
  <c r="AK53" i="9"/>
  <c r="AL53" i="9"/>
  <c r="AM53" i="9"/>
  <c r="AO53" i="9"/>
  <c r="AP53" i="9"/>
  <c r="N54" i="9"/>
  <c r="T54" i="9"/>
  <c r="AE54" i="9"/>
  <c r="AF54" i="9"/>
  <c r="AG54" i="9"/>
  <c r="AJ54" i="9"/>
  <c r="AK54" i="9"/>
  <c r="AL54" i="9"/>
  <c r="AM54" i="9"/>
  <c r="AO54" i="9"/>
  <c r="AP54" i="9"/>
  <c r="N55" i="9"/>
  <c r="T55" i="9"/>
  <c r="AE55" i="9"/>
  <c r="AF55" i="9"/>
  <c r="AG55" i="9"/>
  <c r="AJ55" i="9"/>
  <c r="AK55" i="9"/>
  <c r="AL55" i="9"/>
  <c r="AM55" i="9"/>
  <c r="AO55" i="9"/>
  <c r="AP55" i="9"/>
  <c r="N56" i="9"/>
  <c r="T56" i="9"/>
  <c r="AE56" i="9"/>
  <c r="AF56" i="9"/>
  <c r="AG56" i="9"/>
  <c r="AJ56" i="9"/>
  <c r="AK56" i="9"/>
  <c r="AL56" i="9"/>
  <c r="AM56" i="9"/>
  <c r="AO56" i="9"/>
  <c r="AP56" i="9"/>
  <c r="N58" i="9"/>
  <c r="T58" i="9"/>
  <c r="AE58" i="9"/>
  <c r="AF58" i="9"/>
  <c r="AG58" i="9"/>
  <c r="AJ58" i="9"/>
  <c r="AK58" i="9"/>
  <c r="AL58" i="9"/>
  <c r="AM58" i="9"/>
  <c r="AO58" i="9"/>
  <c r="AP58" i="9"/>
  <c r="AO60" i="9"/>
  <c r="AP60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0DFDDBC6-F28D-4FCD-B060-0965C6B44AA5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sharedStrings.xml><?xml version="1.0" encoding="utf-8"?>
<sst xmlns="http://schemas.openxmlformats.org/spreadsheetml/2006/main" count="87893" uniqueCount="1317">
  <si>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</si>
  <si>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</si>
  <si>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</si>
  <si>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</si>
  <si>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</si>
  <si>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</si>
  <si>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</si>
  <si>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</si>
  <si>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</si>
  <si>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</si>
  <si>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</si>
  <si>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</si>
  <si>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</si>
  <si>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</si>
  <si>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</si>
  <si>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</si>
  <si>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</si>
  <si>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</si>
  <si>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</si>
  <si>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</si>
  <si>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</si>
  <si>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</si>
  <si>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</si>
  <si>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</si>
  <si>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</si>
  <si>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</si>
  <si>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</si>
  <si>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</si>
  <si>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Isolado - Regular</t>
  </si>
  <si>
    <t>Sistema Isolado - Refaturamento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</si>
  <si>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</si>
  <si>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</si>
  <si>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</si>
  <si>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</si>
  <si>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</si>
  <si>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A4</t>
  </si>
  <si>
    <t>Verde</t>
  </si>
  <si>
    <t>Ponta</t>
  </si>
  <si>
    <t>Fora ponta</t>
  </si>
  <si>
    <t>Branca</t>
  </si>
  <si>
    <t>Intermediário</t>
  </si>
  <si>
    <t>B3</t>
  </si>
  <si>
    <t>Industrial</t>
  </si>
  <si>
    <t>A3</t>
  </si>
  <si>
    <t>Azul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</si>
  <si>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</si>
  <si>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</si>
  <si>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</si>
  <si>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</si>
  <si>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</si>
  <si>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</si>
  <si>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</si>
  <si>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</si>
  <si>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</si>
  <si>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</si>
  <si>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Serviço público de irrigação rural</t>
  </si>
  <si>
    <t>IRRIG./AQUIC.</t>
  </si>
  <si>
    <t>IRRIG./AQUIC. PR</t>
  </si>
  <si>
    <t>Aquicultura</t>
  </si>
  <si>
    <t>PROJETADO</t>
  </si>
  <si>
    <t>LIVRE</t>
  </si>
  <si>
    <t>Serviço Público</t>
  </si>
  <si>
    <t>Fonte incentivada</t>
  </si>
  <si>
    <t>Geração</t>
  </si>
  <si>
    <t>APARECIDA PARTE I</t>
  </si>
  <si>
    <t>GERAÇÃO</t>
  </si>
  <si>
    <t>JARAQUI</t>
  </si>
  <si>
    <t>TAMBAQUI</t>
  </si>
  <si>
    <t>PONTA NEGRA</t>
  </si>
  <si>
    <t>MANAUARA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</si>
  <si>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</si>
  <si>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</si>
  <si>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</si>
  <si>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</si>
  <si>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</si>
  <si>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</si>
  <si>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</si>
  <si>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</si>
  <si>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</si>
  <si>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</si>
  <si>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</si>
  <si>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</si>
  <si>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</si>
  <si>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</si>
  <si>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</si>
  <si>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</si>
  <si>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</si>
  <si>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</si>
  <si>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</si>
  <si>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kW</t>
  </si>
  <si>
    <t>DP</t>
  </si>
  <si>
    <t>DFP</t>
  </si>
  <si>
    <t>E</t>
  </si>
  <si>
    <t>APE</t>
  </si>
  <si>
    <t>Energia convencional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</si>
  <si>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</si>
  <si>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</si>
  <si>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</si>
  <si>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</si>
  <si>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</si>
  <si>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</si>
  <si>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</si>
  <si>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Iluminação pública – B4b</t>
  </si>
  <si>
    <t>CHAVE TUSD</t>
  </si>
  <si>
    <t>44136A3AzulNão se aplicaNão se aplicaNão se aplicaNão se aplicaFora ponta</t>
  </si>
  <si>
    <t>44166A3AzulNão se aplicaNão se aplicaNão se aplicaNão se aplicaFora ponta</t>
  </si>
  <si>
    <t>44197A3AzulNão se aplicaNão se aplicaNão se aplicaNão se aplicaFora ponta</t>
  </si>
  <si>
    <t>44228A3AzulNão se aplicaNão se aplicaNão se aplicaNão se aplicaFora ponta</t>
  </si>
  <si>
    <t>44256A3AzulNão se aplicaNão se aplicaNão se aplicaNão se aplicaFora ponta</t>
  </si>
  <si>
    <t>44287A3AzulNão se aplicaNão se aplicaNão se aplicaNão se aplicaFora ponta</t>
  </si>
  <si>
    <t>44317A3AzulNão se aplicaNão se aplicaNão se aplicaNão se aplicaFora ponta</t>
  </si>
  <si>
    <t>44348A3AzulNão se aplicaNão se aplicaNão se aplicaNão se aplicaFora ponta</t>
  </si>
  <si>
    <t>44378A3AzulNão se aplicaNão se aplicaNão se aplicaNão se aplicaFora ponta</t>
  </si>
  <si>
    <t>44409A3AzulNão se aplicaNão se aplicaNão se aplicaNão se aplicaFora ponta</t>
  </si>
  <si>
    <t>44440A3AzulNão se aplicaNão se aplicaNão se aplicaNão se aplicaFora ponta</t>
  </si>
  <si>
    <t>44470A3AzulNão se aplicaNão se aplicaNão se aplicaNão se aplicaFora ponta</t>
  </si>
  <si>
    <t>44136A3AzulNão se aplicaNão se aplicaNão se aplicaNão se aplicaNão se aplica</t>
  </si>
  <si>
    <t>44166A3AzulNão se aplicaNão se aplicaNão se aplicaNão se aplicaNão se aplica</t>
  </si>
  <si>
    <t>44197A3AzulNão se aplicaNão se aplicaNão se aplicaNão se aplicaNão se aplica</t>
  </si>
  <si>
    <t>44228A3AzulNão se aplicaNão se aplicaNão se aplicaNão se aplicaNão se aplica</t>
  </si>
  <si>
    <t>44256A3AzulNão se aplicaNão se aplicaNão se aplicaNão se aplicaNão se aplica</t>
  </si>
  <si>
    <t>44287A3AzulNão se aplicaNão se aplicaNão se aplicaNão se aplicaNão se aplica</t>
  </si>
  <si>
    <t>44317A3AzulNão se aplicaNão se aplicaNão se aplicaNão se aplicaNão se aplica</t>
  </si>
  <si>
    <t>44348A3AzulNão se aplicaNão se aplicaNão se aplicaNão se aplicaNão se aplica</t>
  </si>
  <si>
    <t>44378A3AzulNão se aplicaNão se aplicaNão se aplicaNão se aplicaNão se aplica</t>
  </si>
  <si>
    <t>44409A3AzulNão se aplicaNão se aplicaNão se aplicaNão se aplicaNão se aplica</t>
  </si>
  <si>
    <t>44440A3AzulNão se aplicaNão se aplicaNão se aplicaNão se aplicaNão se aplica</t>
  </si>
  <si>
    <t>44470A3AzulNão se aplicaNão se aplicaNão se aplicaNão se aplicaNão se aplica</t>
  </si>
  <si>
    <t>44136A3AzulNão se aplicaNão se aplicaNão se aplicaNão se aplicaPonta</t>
  </si>
  <si>
    <t>44166A3AzulNão se aplicaNão se aplicaNão se aplicaNão se aplicaPonta</t>
  </si>
  <si>
    <t>44197A3AzulNão se aplicaNão se aplicaNão se aplicaNão se aplicaPonta</t>
  </si>
  <si>
    <t>44228A3AzulNão se aplicaNão se aplicaNão se aplicaNão se aplicaPonta</t>
  </si>
  <si>
    <t>44256A3AzulNão se aplicaNão se aplicaNão se aplicaNão se aplicaPonta</t>
  </si>
  <si>
    <t>44287A3AzulNão se aplicaNão se aplicaNão se aplicaNão se aplicaPonta</t>
  </si>
  <si>
    <t>44317A3AzulNão se aplicaNão se aplicaNão se aplicaNão se aplicaPonta</t>
  </si>
  <si>
    <t>44348A3AzulNão se aplicaNão se aplicaNão se aplicaNão se aplicaPonta</t>
  </si>
  <si>
    <t>44378A3AzulNão se aplicaNão se aplicaNão se aplicaNão se aplicaPonta</t>
  </si>
  <si>
    <t>44409A3AzulNão se aplicaNão se aplicaNão se aplicaNão se aplicaPonta</t>
  </si>
  <si>
    <t>44440A3AzulNão se aplicaNão se aplicaNão se aplicaNão se aplicaPonta</t>
  </si>
  <si>
    <t>44470A3AzulNão se aplicaNão se aplicaNão se aplicaNão se aplicaPonta</t>
  </si>
  <si>
    <t>44136A3GeraçãoNão se aplicaNão se aplicaNão se aplicaNão se aplicaNão se aplica</t>
  </si>
  <si>
    <t>44166A3GeraçãoNão se aplicaNão se aplicaNão se aplicaNão se aplicaNão se aplica</t>
  </si>
  <si>
    <t>44197A3GeraçãoNão se aplicaNão se aplicaNão se aplicaNão se aplicaNão se aplica</t>
  </si>
  <si>
    <t>44228A3GeraçãoNão se aplicaNão se aplicaNão se aplicaNão se aplicaNão se aplica</t>
  </si>
  <si>
    <t>44256A3GeraçãoNão se aplicaNão se aplicaNão se aplicaNão se aplicaNão se aplica</t>
  </si>
  <si>
    <t>44287A3GeraçãoNão se aplicaNão se aplicaNão se aplicaNão se aplicaNão se aplica</t>
  </si>
  <si>
    <t>44317A3GeraçãoNão se aplicaNão se aplicaNão se aplicaNão se aplicaNão se aplica</t>
  </si>
  <si>
    <t>44348A3GeraçãoNão se aplicaNão se aplicaNão se aplicaNão se aplicaNão se aplica</t>
  </si>
  <si>
    <t>44378A3GeraçãoNão se aplicaNão se aplicaNão se aplicaNão se aplicaNão se aplica</t>
  </si>
  <si>
    <t>44409A3GeraçãoNão se aplicaNão se aplicaNão se aplicaNão se aplicaNão se aplica</t>
  </si>
  <si>
    <t>44440A3GeraçãoNão se aplicaNão se aplicaNão se aplicaNão se aplicaNão se aplica</t>
  </si>
  <si>
    <t>44470A3GeraçãoNão se aplicaNão se aplicaNão se aplicaNão se aplicaNão se aplica</t>
  </si>
  <si>
    <t>44136A4AzulNão se aplicaNão se aplicaNão se aplicaNão se aplicaFora ponta</t>
  </si>
  <si>
    <t>44166A4AzulNão se aplicaNão se aplicaNão se aplicaNão se aplicaFora ponta</t>
  </si>
  <si>
    <t>44197A4AzulNão se aplicaNão se aplicaNão se aplicaNão se aplicaFora ponta</t>
  </si>
  <si>
    <t>44228A4AzulNão se aplicaNão se aplicaNão se aplicaNão se aplicaFora ponta</t>
  </si>
  <si>
    <t>44256A4AzulNão se aplicaNão se aplicaNão se aplicaNão se aplicaFora ponta</t>
  </si>
  <si>
    <t>44287A4AzulNão se aplicaNão se aplicaNão se aplicaNão se aplicaFora ponta</t>
  </si>
  <si>
    <t>44317A4AzulNão se aplicaNão se aplicaNão se aplicaNão se aplicaFora ponta</t>
  </si>
  <si>
    <t>44348A4AzulNão se aplicaNão se aplicaNão se aplicaNão se aplicaFora ponta</t>
  </si>
  <si>
    <t>44378A4AzulNão se aplicaNão se aplicaNão se aplicaNão se aplicaFora 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</si>
  <si>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</si>
  <si>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</si>
  <si>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</si>
  <si>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44287A4AzulNão se aplicaNão se aplicaNão se aplicaNão se aplicaNão se aplica</t>
  </si>
  <si>
    <t>44317A4AzulNão se aplicaNão se aplicaNão se aplicaNão se aplicaNão se aplica</t>
  </si>
  <si>
    <t>44378A4AzulNão se aplicaNão se aplicaNão se aplicaNão se aplicaNão se aplica</t>
  </si>
  <si>
    <t>44409A4AzulNão se aplicaNão se aplicaNão se aplicaNão se aplicaNão se aplica</t>
  </si>
  <si>
    <t>44440A4AzulNão se aplicaNão se aplicaNão se aplicaNão se aplicaNão se aplica</t>
  </si>
  <si>
    <t>44470A4AzulNão se aplicaNão se aplicaNão se aplicaNão se aplicaNão se aplica</t>
  </si>
  <si>
    <t>44136A4AzulNão se aplicaNão se aplicaNão se aplicaNão se aplicaPonta</t>
  </si>
  <si>
    <t>44166A4AzulNão se aplicaNão se aplicaNão se aplicaNão se aplicaPonta</t>
  </si>
  <si>
    <t>44197A4AzulNão se aplicaNão se aplicaNão se aplicaNão se aplicaPonta</t>
  </si>
  <si>
    <t>44228A4AzulNão se aplicaNão se aplicaNão se aplicaNão se aplicaPonta</t>
  </si>
  <si>
    <t>44256A4AzulNão se aplicaNão se aplicaNão se aplicaNão se aplicaPonta</t>
  </si>
  <si>
    <t>44287A4AzulNão se aplicaNão se aplicaNão se aplicaNão se aplicaPonta</t>
  </si>
  <si>
    <t>44317A4AzulNão se aplicaNão se aplicaNão se aplicaNão se aplicaPonta</t>
  </si>
  <si>
    <t>44348A4AzulNão se aplicaNão se aplicaNão se aplicaNão se aplicaPonta</t>
  </si>
  <si>
    <t>44378A4AzulNão se aplicaNão se aplicaNão se aplicaNão se aplicaPonta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</si>
  <si>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</si>
  <si>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</si>
  <si>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</si>
  <si>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44136A4AzulNão se aplicaNão se aplicaNão se aplicaNão se aplicaNão se aplica</t>
  </si>
  <si>
    <t>44166A4AzulNão se aplicaNão se aplicaNão se aplicaNão se aplicaNão se aplica</t>
  </si>
  <si>
    <t>44197A4AzulNão se aplicaNão se aplicaNão se aplicaNão se aplicaNão se aplica</t>
  </si>
  <si>
    <t>44228A4AzulNão se aplicaNão se aplicaNão se aplicaNão se aplicaNão se aplica</t>
  </si>
  <si>
    <t>44256A4AzulNão se aplicaNão se aplicaNão se aplicaNão se aplicaNão se aplica</t>
  </si>
  <si>
    <t>44348A4AzulNão se aplicaNão se aplicaNão se aplicaNão se aplicaNão se aplica</t>
  </si>
  <si>
    <t>44136A4VerdeNão se aplicaNão se aplicaNão se aplicaNão se aplicaFora ponta</t>
  </si>
  <si>
    <t>44166A4VerdeNão se aplicaNão se aplicaNão se aplicaNão se aplicaFora ponta</t>
  </si>
  <si>
    <t>44197A4VerdeNão se aplicaNão se aplicaNão se aplicaNão se aplicaFora ponta</t>
  </si>
  <si>
    <t>44228A4VerdeNão se aplicaNão se aplicaNão se aplicaNão se aplicaFora ponta</t>
  </si>
  <si>
    <t>44256A4VerdeNão se aplicaNão se aplicaNão se aplicaNão se aplicaFora ponta</t>
  </si>
  <si>
    <t>44287A4VerdeNão se aplicaNão se aplicaNão se aplicaNão se aplicaFora ponta</t>
  </si>
  <si>
    <t>44317A4VerdeNão se aplicaNão se aplicaNão se aplicaNão se aplicaFora ponta</t>
  </si>
  <si>
    <t>44348A4VerdeNão se aplicaNão se aplicaNão se aplicaNão se aplicaFora ponta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</si>
  <si>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</si>
  <si>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</si>
  <si>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</si>
  <si>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</si>
  <si>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44136A4VerdeNão se aplicaNão se aplicaNão se aplicaNão se aplicaNão se aplica</t>
  </si>
  <si>
    <t>44166A4VerdeNão se aplicaNão se aplicaNão se aplicaNão se aplicaNão se aplica</t>
  </si>
  <si>
    <t>44197A4VerdeNão se aplicaNão se aplicaNão se aplicaNão se aplicaNão se aplica</t>
  </si>
  <si>
    <t>44228A4VerdeNão se aplicaNão se aplicaNão se aplicaNão se aplicaNão se aplica</t>
  </si>
  <si>
    <t>44256A4VerdeNão se aplicaNão se aplicaNão se aplicaNão se aplicaNão se aplica</t>
  </si>
  <si>
    <t>44287A4VerdeNão se aplicaNão se aplicaNão se aplicaNão se aplicaNão se aplica</t>
  </si>
  <si>
    <t>44317A4VerdeNão se aplicaNão se aplicaNão se aplicaNão se aplicaNão se aplica</t>
  </si>
  <si>
    <t>44348A4VerdeNão se aplicaNão se aplicaNão se aplicaNão se aplicaNão se aplica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</si>
  <si>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</si>
  <si>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</si>
  <si>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</si>
  <si>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</si>
  <si>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44136A4VerdeNão se aplicaNão se aplicaNão se aplicaNão se aplicaPonta</t>
  </si>
  <si>
    <t>44166A4VerdeNão se aplicaNão se aplicaNão se aplicaNão se aplicaPonta</t>
  </si>
  <si>
    <t>44197A4VerdeNão se aplicaNão se aplicaNão se aplicaNão se aplicaPonta</t>
  </si>
  <si>
    <t>44228A4VerdeNão se aplicaNão se aplicaNão se aplicaNão se aplicaPonta</t>
  </si>
  <si>
    <t>44256A4VerdeNão se aplicaNão se aplicaNão se aplicaNão se aplicaPonta</t>
  </si>
  <si>
    <t>44287A4VerdeNão se aplicaNão se aplicaNão se aplicaNão se aplicaPonta</t>
  </si>
  <si>
    <t>44317A4VerdeNão se aplicaNão se aplicaNão se aplicaNão se aplicaPonta</t>
  </si>
  <si>
    <t>44348A4VerdeNão se aplicaNão se aplicaNão se aplicaNão se aplicaPonta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</si>
  <si>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</si>
  <si>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</si>
  <si>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</si>
  <si>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</si>
  <si>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44136B1BrancaResidencialResidencialNão se aplicaNão se aplicaFora ponta</t>
  </si>
  <si>
    <t>44166B1BrancaResidencialResidencialNão se aplicaNão se aplicaFora ponta</t>
  </si>
  <si>
    <t>44197B1BrancaResidencialResidencialNão se aplicaNão se aplicaFora ponta</t>
  </si>
  <si>
    <t>44228B1BrancaResidencialResidencialNão se aplicaNão se aplicaFora ponta</t>
  </si>
  <si>
    <t>44256B1BrancaResidencialResidencialNão se aplicaNão se aplicaFora ponta</t>
  </si>
  <si>
    <t>44287B1BrancaResidencialResidencialNão se aplicaNão se aplicaFora ponta</t>
  </si>
  <si>
    <t>44317B1BrancaResidencialResidencialNão se aplicaNão se aplicaFora ponta</t>
  </si>
  <si>
    <t>44348B1BrancaResidencialResidencialNão se aplicaNão se aplicaFora ponta</t>
  </si>
  <si>
    <t>44378B1BrancaResidencialResidencialNão se aplicaNão se aplicaFora ponta</t>
  </si>
  <si>
    <t>44409B1BrancaResidencialResidencialNão se aplicaNão se aplicaFora ponta</t>
  </si>
  <si>
    <t>44440B1BrancaResidencialResidencialNão se aplicaNão se aplicaFora ponta</t>
  </si>
  <si>
    <t>44470B1BrancaResidencialResidencialNão se aplicaNão se aplicaFora ponta</t>
  </si>
  <si>
    <t>44136B1BrancaResidencialResidencialNão se aplicaNão se aplicaIntermediário</t>
  </si>
  <si>
    <t>44166B1BrancaResidencialResidencialNão se aplicaNão se aplicaIntermediário</t>
  </si>
  <si>
    <t>44197B1BrancaResidencialResidencialNão se aplicaNão se aplicaIntermediário</t>
  </si>
  <si>
    <t>44228B1BrancaResidencialResidencialNão se aplicaNão se aplicaIntermediário</t>
  </si>
  <si>
    <t>44256B1BrancaResidencialResidencialNão se aplicaNão se aplicaIntermediário</t>
  </si>
  <si>
    <t>44287B1BrancaResidencialResidencialNão se aplicaNão se aplicaIntermediário</t>
  </si>
  <si>
    <t>44317B1BrancaResidencialResidencialNão se aplicaNão se aplicaIntermediário</t>
  </si>
  <si>
    <t>44348B1BrancaResidencialResidencialNão se aplicaNão se aplicaIntermediário</t>
  </si>
  <si>
    <t>44378B1BrancaResidencialResidencialNão se aplicaNão se aplicaIntermediário</t>
  </si>
  <si>
    <t>44409B1BrancaResidencialResidencialNão se aplicaNão se aplicaIntermediário</t>
  </si>
  <si>
    <t>44440B1BrancaResidencialResidencialNão se aplicaNão se aplicaIntermediário</t>
  </si>
  <si>
    <t>44470B1BrancaResidencialResidencialNão se aplicaNão se aplicaIntermediário</t>
  </si>
  <si>
    <t>44136B1BrancaResidencialResidencialNão se aplicaNão se aplicaPonta</t>
  </si>
  <si>
    <t>44166B1BrancaResidencialResidencialNão se aplicaNão se aplicaPonta</t>
  </si>
  <si>
    <t>44197B1BrancaResidencialResidencialNão se aplicaNão se aplicaPonta</t>
  </si>
  <si>
    <t>44228B1BrancaResidencialResidencialNão se aplicaNão se aplicaPonta</t>
  </si>
  <si>
    <t>44256B1BrancaResidencialResidencialNão se aplicaNão se aplicaPonta</t>
  </si>
  <si>
    <t>44287B1BrancaResidencialResidencialNão se aplicaNão se aplicaPonta</t>
  </si>
  <si>
    <t>44317B1BrancaResidencialResidencialNão se aplicaNão se aplicaPonta</t>
  </si>
  <si>
    <t>44348B1BrancaResidencialResidencialNão se aplicaNão se aplicaPonta</t>
  </si>
  <si>
    <t>44378B1BrancaResidencialResidencialNão se aplicaNão se aplicaPonta</t>
  </si>
  <si>
    <t>44409B1BrancaResidencialResidencialNão se aplicaNão se aplicaPonta</t>
  </si>
  <si>
    <t>44440B1BrancaResidencialResidencialNão se aplicaNão se aplicaPonta</t>
  </si>
  <si>
    <t>44470B1BrancaResidencialResidencialNão se aplicaNão se aplicaPonta</t>
  </si>
  <si>
    <t>44136B1ConvencionalResidencialResidencialNão se aplicaNão se aplicaNão se aplica</t>
  </si>
  <si>
    <t>44166B1ConvencionalResidencialResidencialNão se aplicaNão se aplicaNão se aplica</t>
  </si>
  <si>
    <t>44197B1ConvencionalResidencialResidencialNão se aplicaNão se aplicaNão se aplica</t>
  </si>
  <si>
    <t>44228B1ConvencionalResidencialResidencialNão se aplicaNão se aplicaNão se aplica</t>
  </si>
  <si>
    <t>44256B1ConvencionalResidencialResidencialNão se aplicaNão se aplicaNão se aplica</t>
  </si>
  <si>
    <t>44287B1ConvencionalResidencialResidencialNão se aplicaNão se aplicaNão se aplica</t>
  </si>
  <si>
    <t>44317B1ConvencionalResidencialResidencialNão se aplicaNão se aplicaNão se aplica</t>
  </si>
  <si>
    <t>44348B1ConvencionalResidencialResidencialNão se aplicaNão se aplicaNão se aplica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</si>
  <si>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</si>
  <si>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</si>
  <si>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</si>
  <si>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</si>
  <si>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44136B1ConvencionalResidencialResidencial baixa renda – faixa 01Não se aplicaNão se aplicaNão se aplica</t>
  </si>
  <si>
    <t>44166B1ConvencionalResidencialResidencial baixa renda – faixa 01Não se aplicaNão se aplicaNão se aplica</t>
  </si>
  <si>
    <t>44197B1ConvencionalResidencialResidencial baixa renda – faixa 01Não se aplicaNão se aplicaNão se aplica</t>
  </si>
  <si>
    <t>44228B1ConvencionalResidencialResidencial baixa renda – faixa 01Não se aplicaNão se aplicaNão se aplica</t>
  </si>
  <si>
    <t>44256B1ConvencionalResidencialResidencial baixa renda – faixa 01Não se aplicaNão se aplicaNão se aplica</t>
  </si>
  <si>
    <t>44287B1ConvencionalResidencialResidencial baixa renda – faixa 01Não se aplicaNão se aplicaNão se aplica</t>
  </si>
  <si>
    <t>44317B1ConvencionalResidencialResidencial baixa renda – faixa 01Não se aplicaNão se aplicaNão se aplica</t>
  </si>
  <si>
    <t>44348B1ConvencionalResidencialResidencial baixa renda – faixa 01Não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</si>
  <si>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</si>
  <si>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</si>
  <si>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</si>
  <si>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</si>
  <si>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44136B1ConvencionalResidencialResidencial baixa renda – faixa 02Não se aplicaNão se aplicaNão se aplica</t>
  </si>
  <si>
    <t>44166B1ConvencionalResidencialResidencial baixa renda – faixa 02Não se aplicaNão se aplicaNão se aplica</t>
  </si>
  <si>
    <t>44197B1ConvencionalResidencialResidencial baixa renda – faixa 02Não se aplicaNão se aplicaNão se aplica</t>
  </si>
  <si>
    <t>44228B1ConvencionalResidencialResidencial baixa renda – faixa 02Não se aplicaNão se aplicaNão se aplica</t>
  </si>
  <si>
    <t>44256B1ConvencionalResidencialResidencial baixa renda – faixa 02Não se aplicaNão se aplicaNão se aplica</t>
  </si>
  <si>
    <t>44287B1ConvencionalResidencialResidencial baixa renda – faixa 02Não se aplicaNão se aplicaNão se aplica</t>
  </si>
  <si>
    <t>44317B1ConvencionalResidencialResidencial baixa renda – faixa 02Não se aplicaNão se aplicaNão se aplica</t>
  </si>
  <si>
    <t>44348B1ConvencionalResidencialResidencial baixa renda – faixa 02Não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</si>
  <si>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</si>
  <si>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</si>
  <si>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</si>
  <si>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</si>
  <si>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44136B1ConvencionalResidencialResidencial baixa renda – faixa 03Não se aplicaNão se aplicaNão se aplica</t>
  </si>
  <si>
    <t>44166B1ConvencionalResidencialResidencial baixa renda – faixa 03Não se aplicaNão se aplicaNão se aplica</t>
  </si>
  <si>
    <t>44197B1ConvencionalResidencialResidencial baixa renda – faixa 03Não se aplicaNão se aplicaNão se aplica</t>
  </si>
  <si>
    <t>44228B1ConvencionalResidencialResidencial baixa renda – faixa 03Não se aplicaNão se aplicaNão se aplica</t>
  </si>
  <si>
    <t>44256B1ConvencionalResidencialResidencial baixa renda – faixa 03Não se aplicaNão se aplicaNão se aplica</t>
  </si>
  <si>
    <t>44287B1ConvencionalResidencialResidencial baixa renda – faixa 03Não se aplicaNão se aplicaNão se aplica</t>
  </si>
  <si>
    <t>44317B1ConvencionalResidencialResidencial baixa renda – faixa 03Não se aplicaNão se aplicaNão se aplica</t>
  </si>
  <si>
    <t>44348B1ConvencionalResidencialResidencial baixa renda – faixa 03Não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</si>
  <si>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</si>
  <si>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</si>
  <si>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</si>
  <si>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</si>
  <si>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44136B1ConvencionalResidencialResidencial baixa renda – faixa 04Não se aplicaNão se aplicaNão se aplica</t>
  </si>
  <si>
    <t>44166B1ConvencionalResidencialResidencial baixa renda – faixa 04Não se aplicaNão se aplicaNão se aplica</t>
  </si>
  <si>
    <t>44197B1ConvencionalResidencialResidencial baixa renda – faixa 04Não se aplicaNão se aplicaNão se aplica</t>
  </si>
  <si>
    <t>44228B1ConvencionalResidencialResidencial baixa renda – faixa 04Não se aplicaNão se aplicaNão se aplica</t>
  </si>
  <si>
    <t>44256B1ConvencionalResidencialResidencial baixa renda – faixa 04Não se aplicaNão se aplicaNão se aplica</t>
  </si>
  <si>
    <t>44287B1ConvencionalResidencialResidencial baixa renda – faixa 04Não se aplicaNão se aplicaNão se aplica</t>
  </si>
  <si>
    <t>44317B1ConvencionalResidencialResidencial baixa renda – faixa 04Não se aplicaNão se aplicaNão se aplica</t>
  </si>
  <si>
    <t>44348B1ConvencionalResidencialResidencial baixa renda – faixa 04Não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</si>
  <si>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</si>
  <si>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</si>
  <si>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</si>
  <si>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</si>
  <si>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44136B2BrancaRuralNão se aplicaNão se aplicaNão se aplicaFora ponta</t>
  </si>
  <si>
    <t>44166B2BrancaRuralNão se aplicaNão se aplicaNão se aplicaFora ponta</t>
  </si>
  <si>
    <t>44197B2BrancaRuralNão se aplicaNão se aplicaNão se aplicaFora ponta</t>
  </si>
  <si>
    <t>44228B2BrancaRuralNão se aplicaNão se aplicaNão se aplicaFora ponta</t>
  </si>
  <si>
    <t>44256B2BrancaRuralNão se aplicaNão se aplicaNão se aplicaFora ponta</t>
  </si>
  <si>
    <t>44287B2BrancaRuralNão se aplicaNão se aplicaNão se aplicaFora ponta</t>
  </si>
  <si>
    <t>44317B2BrancaRuralNão se aplicaNão se aplicaNão se aplicaFora ponta</t>
  </si>
  <si>
    <t>44348B2BrancaRuralNão se aplicaNão se aplicaNão se aplicaFora ponta</t>
  </si>
  <si>
    <t>44378B2BrancaRuralNão se aplicaNão se aplicaNão se aplicaFora ponta</t>
  </si>
  <si>
    <t>44409B2BrancaRuralNão se aplicaNão se aplicaNão se aplicaFora ponta</t>
  </si>
  <si>
    <t>44440B2BrancaRuralNão se aplicaNão se aplicaNão se aplicaFora ponta</t>
  </si>
  <si>
    <t>44470B2BrancaRuralNão se aplicaNão se aplicaNão se aplicaFora ponta</t>
  </si>
  <si>
    <t>44166B2BrancaRuralNão se aplicaNão se aplicaNão se aplicaIntermediário</t>
  </si>
  <si>
    <t>44197B2BrancaRuralNão se aplicaNão se aplicaNão se aplicaIntermediário</t>
  </si>
  <si>
    <t>44287B2BrancaRuralNão se aplicaNão se aplicaNão se aplicaIntermediário</t>
  </si>
  <si>
    <t>44317B2ConvencionalRuralNão se aplicaNão se aplicaNão se aplicaNão se aplica</t>
  </si>
  <si>
    <t>44348B2ConvencionalRuralNão se aplicaNão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</si>
  <si>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</si>
  <si>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</si>
  <si>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</si>
  <si>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</si>
  <si>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44136B2ConvencionalRuralNão se aplicaNão se aplicaNão se aplicaNão se aplica</t>
  </si>
  <si>
    <t>44166B2ConvencionalRuralNão se aplicaNão se aplicaNão se aplicaNão se aplica</t>
  </si>
  <si>
    <t>44197B2ConvencionalRuralNão se aplicaNão se aplicaNão se aplicaNão se aplica</t>
  </si>
  <si>
    <t>44228B2ConvencionalRuralNão se aplicaNão se aplicaNão se aplicaNão se aplica</t>
  </si>
  <si>
    <t>44256B2ConvencionalRuralNão se aplicaNão se aplicaNão se aplicaNão se aplica</t>
  </si>
  <si>
    <t>44287B2ConvencionalRuralNão se aplicaNão se aplicaNão se aplicaNão se aplica</t>
  </si>
  <si>
    <t>44287B2ConvencionalRuralServiço público de irrigação ruralNão se aplicaNão se aplicaNão se aplica</t>
  </si>
  <si>
    <t>44136B3BrancaNão se aplicaNão se aplicaNão se aplicaNão se aplicaFora ponta</t>
  </si>
  <si>
    <t>44166B3BrancaNão se aplicaNão se aplicaNão se aplicaNão se aplicaFora ponta</t>
  </si>
  <si>
    <t>44197B3BrancaNão se aplicaNão se aplicaNão se aplicaNão se aplicaFora ponta</t>
  </si>
  <si>
    <t>44228B3BrancaNão se aplicaNão se aplicaNão se aplicaNão se aplicaFora ponta</t>
  </si>
  <si>
    <t>44256B3BrancaNão se aplicaNão se aplicaNão se aplicaNão se aplicaFora ponta</t>
  </si>
  <si>
    <t>44287B3BrancaNão se aplicaNão se aplicaNão se aplicaNão se aplicaFora ponta</t>
  </si>
  <si>
    <t>44317B3BrancaNão se aplicaNão se aplicaNão se aplicaNão se aplicaFora ponta</t>
  </si>
  <si>
    <t>44348B3BrancaNão se aplicaNão se aplicaNão se aplicaNão se aplicaFora ponta</t>
  </si>
  <si>
    <t>44378B3BrancaNão se aplicaNão se aplicaNão se aplicaNão se aplicaFora ponta</t>
  </si>
  <si>
    <t>44409B3BrancaNão se aplicaNão se aplicaNão se aplicaNão se aplicaFora ponta</t>
  </si>
  <si>
    <t>44440B3BrancaNão se aplicaNão se aplicaNão se aplicaNão se aplicaFora ponta</t>
  </si>
  <si>
    <t>44470B3BrancaNão se aplicaNão se aplicaNão se aplicaNão se aplicaFora ponta</t>
  </si>
  <si>
    <t>44136B3BrancaNão se aplicaNão se aplicaNão se aplicaNão se aplicaIntermediário</t>
  </si>
  <si>
    <t>44166B3BrancaNão se aplicaNão se aplicaNão se aplicaNão se aplicaIntermediário</t>
  </si>
  <si>
    <t>44197B3BrancaNão se aplicaNão se aplicaNão se aplicaNão se aplicaIntermediário</t>
  </si>
  <si>
    <t>44228B3BrancaNão se aplicaNão se aplicaNão se aplicaNão se aplicaIntermediário</t>
  </si>
  <si>
    <t>44256B3BrancaNão se aplicaNão se aplicaNão se aplicaNão se aplicaIntermediário</t>
  </si>
  <si>
    <t>44287B3BrancaNão se aplicaNão se aplicaNão se aplicaNão se aplicaIntermediário</t>
  </si>
  <si>
    <t>44317B3BrancaNão se aplicaNão se aplicaNão se aplicaNão se aplicaIntermediário</t>
  </si>
  <si>
    <t>44348B3BrancaNão se aplicaNão se aplicaNão se aplicaNão se aplicaIntermediário</t>
  </si>
  <si>
    <t>44378B3BrancaNão se aplicaNão se aplicaNão se aplicaNão se aplicaIntermediário</t>
  </si>
  <si>
    <t>44409B3BrancaNão se aplicaNão se aplicaNão se aplicaNão se aplicaIntermediário</t>
  </si>
  <si>
    <t>44440B3BrancaNão se aplicaNão se aplicaNão se aplicaNão se aplicaIntermediário</t>
  </si>
  <si>
    <t>44470B3BrancaNão se aplicaNão se aplicaNão se aplicaNão se aplicaIntermediário</t>
  </si>
  <si>
    <t>44136B3BrancaNão se aplicaNão se aplicaNão se aplicaNão se aplicaPonta</t>
  </si>
  <si>
    <t>44166B3BrancaNão se aplicaNão se aplicaNão se aplicaNão se aplicaPonta</t>
  </si>
  <si>
    <t>44197B3BrancaNão se aplicaNão se aplicaNão se aplicaNão se aplicaPonta</t>
  </si>
  <si>
    <t>44228B3BrancaNão se aplicaNão se aplicaNão se aplicaNão se aplicaPonta</t>
  </si>
  <si>
    <t>44256B3BrancaNão se aplicaNão se aplicaNão se aplicaNão se aplicaPonta</t>
  </si>
  <si>
    <t>44287B3BrancaNão se aplicaNão se aplicaNão se aplicaNão se aplicaPonta</t>
  </si>
  <si>
    <t>44317B3BrancaNão se aplicaNão se aplicaNão se aplicaNão se aplicaPonta</t>
  </si>
  <si>
    <t>44348B3BrancaNão se aplicaNão se aplicaNão se aplicaNão se aplicaPonta</t>
  </si>
  <si>
    <t>44378B3BrancaNão se aplicaNão se aplicaNão se aplicaNão se aplicaPonta</t>
  </si>
  <si>
    <t>44409B3BrancaNão se aplicaNão se aplicaNão se aplicaNão se aplicaPonta</t>
  </si>
  <si>
    <t>44440B3BrancaNão se aplicaNão se aplicaNão se aplicaNão se aplicaPonta</t>
  </si>
  <si>
    <t>44470B3BrancaNão se aplicaNão se aplicaNão se aplicaNão se aplicaPonta</t>
  </si>
  <si>
    <t>44136B3ConvencionalNão se aplicaNão se aplicaNão se aplicaNão se aplicaNão se aplica</t>
  </si>
  <si>
    <t>44166B3ConvencionalNão se aplicaNão se aplicaNão se aplicaNão se aplicaNão se aplica</t>
  </si>
  <si>
    <t>44197B3ConvencionalNão se aplicaNão se aplicaNão se aplicaNão se aplicaNão se aplica</t>
  </si>
  <si>
    <t>44228B3ConvencionalNão se aplicaNão se aplicaNão se aplicaNão se aplicaNão se aplica</t>
  </si>
  <si>
    <t>44256B3ConvencionalNão se aplicaNão se aplicaNão se aplicaNão se aplicaNão se aplica</t>
  </si>
  <si>
    <t>44287B3ConvencionalNão se aplicaNão se aplicaNão se aplicaNão se aplicaNão se aplica</t>
  </si>
  <si>
    <t>44317B3ConvencionalNão se aplicaNão se aplicaNão se aplicaNão se aplicaNão se aplica</t>
  </si>
  <si>
    <t>44348B3ConvencionalNão se aplicaNão se aplicaNão se aplicaNão se aplicaNão se aplica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</si>
  <si>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</si>
  <si>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</si>
  <si>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</si>
  <si>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</si>
  <si>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44136B4ConvencionalIluminação públicaIluminação pública – B4aNão se aplicaNão se aplicaNão se aplica</t>
  </si>
  <si>
    <t>44166B4ConvencionalIluminação públicaIluminação pública – B4aNão se aplicaNão se aplicaNão se aplica</t>
  </si>
  <si>
    <t>44197B4ConvencionalIluminação públicaIluminação pública – B4aNão se aplicaNão se aplicaNão se aplica</t>
  </si>
  <si>
    <t>44228B4ConvencionalIluminação públicaIluminação pública – B4aNão se aplicaNão se aplicaNão se aplica</t>
  </si>
  <si>
    <t>44256B4ConvencionalIluminação públicaIluminação pública – B4aNão se aplicaNão se aplicaNão se aplica</t>
  </si>
  <si>
    <t>44287B4ConvencionalIluminação públicaIluminação pública – B4aNão se aplicaNão se aplicaNão se aplica</t>
  </si>
  <si>
    <t>44317B4ConvencionalIluminação públicaIluminação pública – B4aNão se aplicaNão se aplicaNão se aplica</t>
  </si>
  <si>
    <t>44348B4ConvencionalIluminação públicaIluminação pública – B4aNão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</si>
  <si>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</si>
  <si>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</si>
  <si>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</si>
  <si>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</si>
  <si>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CHAVE TE</t>
  </si>
  <si>
    <t>44136A3Energia horáriaNão se aplicaNão se aplicaNão se aplicaNão se aplicaFora ponta</t>
  </si>
  <si>
    <t>44166A3Energia horáriaNão se aplicaNão se aplicaNão se aplicaNão se aplicaFora ponta</t>
  </si>
  <si>
    <t>44197A3Energia horáriaNão se aplicaNão se aplicaNão se aplicaNão se aplicaFora ponta</t>
  </si>
  <si>
    <t>44228A3Energia horáriaNão se aplicaNão se aplicaNão se aplicaNão se aplicaFora ponta</t>
  </si>
  <si>
    <t>44256A3Energia horáriaNão se aplicaNão se aplicaNão se aplicaNão se aplicaFora ponta</t>
  </si>
  <si>
    <t>44287A3Energia horáriaNão se aplicaNão se aplicaNão se aplicaNão se aplicaFora ponta</t>
  </si>
  <si>
    <t>44317A3Energia horáriaNão se aplicaNão se aplicaNão se aplicaNão se aplicaFora ponta</t>
  </si>
  <si>
    <t>44348A3Energia horáriaNão se aplicaNão se aplicaNão se aplicaNão se aplicaFora ponta</t>
  </si>
  <si>
    <t>44378A3Energia horáriaNão se aplicaNão se aplicaNão se aplicaNão se aplicaFora ponta</t>
  </si>
  <si>
    <t>44409A3Energia horáriaNão se aplicaNão se aplicaNão se aplicaNão se aplicaFora ponta</t>
  </si>
  <si>
    <t>44440A3Energia horáriaNão se aplicaNão se aplicaNão se aplicaNão se aplicaFora ponta</t>
  </si>
  <si>
    <t>44470A3Energia horáriaNão se aplicaNão se aplicaNão se aplicaNão se aplicaFora ponta</t>
  </si>
  <si>
    <t>44136A3Energia horáriaNão se aplicaNão se aplicaNão se aplicaNão se aplicaPonta</t>
  </si>
  <si>
    <t>44166A3Energia horáriaNão se aplicaNão se aplicaNão se aplicaNão se aplicaPonta</t>
  </si>
  <si>
    <t>44197A3Energia horáriaNão se aplicaNão se aplicaNão se aplicaNão se aplicaPonta</t>
  </si>
  <si>
    <t>44228A3Energia horáriaNão se aplicaNão se aplicaNão se aplicaNão se aplicaPonta</t>
  </si>
  <si>
    <t>44256A3Energia horáriaNão se aplicaNão se aplicaNão se aplicaNão se aplicaPonta</t>
  </si>
  <si>
    <t>44287A3Energia horáriaNão se aplicaNão se aplicaNão se aplicaNão se aplicaPonta</t>
  </si>
  <si>
    <t>44317A3Energia horáriaNão se aplicaNão se aplicaNão se aplicaNão se aplicaPonta</t>
  </si>
  <si>
    <t>44348A3Energia horáriaNão se aplicaNão se aplicaNão se aplicaNão se aplicaPonta</t>
  </si>
  <si>
    <t>44378A3Energia horáriaNão se aplicaNão se aplicaNão se aplicaNão se aplicaPonta</t>
  </si>
  <si>
    <t>44409A3Energia horáriaNão se aplicaNão se aplicaNão se aplicaNão se aplicaPonta</t>
  </si>
  <si>
    <t>44440A3Energia horáriaNão se aplicaNão se aplicaNão se aplicaNão se aplicaPonta</t>
  </si>
  <si>
    <t>44470A3Energia horáriaNão se aplicaNão se aplicaNão se aplicaNão se aplicaPonta</t>
  </si>
  <si>
    <t>44136A4Energia horáriaNão se aplicaNão se aplicaNão se aplicaNão se aplicaFora ponta</t>
  </si>
  <si>
    <t>44166A4Energia horáriaNão se aplicaNão se aplicaNão se aplicaNão se aplicaFora ponta</t>
  </si>
  <si>
    <t>44197A4Energia horáriaNão se aplicaNão se aplicaNão se aplicaNão se aplicaFora ponta</t>
  </si>
  <si>
    <t>44228A4Energia horáriaNão se aplicaNão se aplicaNão se aplicaNão se aplicaFora ponta</t>
  </si>
  <si>
    <t>44256A4Energia horáriaNão se aplicaNão se aplicaNão se aplicaNão se aplicaFora ponta</t>
  </si>
  <si>
    <t>44287A4Energia horáriaNão se aplicaNão se aplicaNão se aplicaNão se aplicaFora ponta</t>
  </si>
  <si>
    <t>44317A4Energia horáriaNão se aplicaNão se aplicaNão se aplicaNão se aplicaFora ponta</t>
  </si>
  <si>
    <t>44348A4Energia horáriaNão se aplicaNão se aplicaNão se aplicaNão se aplicaFora ponta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</si>
  <si>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</si>
  <si>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</si>
  <si>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</si>
  <si>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</si>
  <si>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44136A4Energia horáriaNão se aplicaNão se aplicaNão se aplicaNão se aplicaPonta</t>
  </si>
  <si>
    <t>44166A4Energia horáriaNão se aplicaNão se aplicaNão se aplicaNão se aplicaPonta</t>
  </si>
  <si>
    <t>44197A4Energia horáriaNão se aplicaNão se aplicaNão se aplicaNão se aplicaPonta</t>
  </si>
  <si>
    <t>44228A4Energia horáriaNão se aplicaNão se aplicaNão se aplicaNão se aplicaPonta</t>
  </si>
  <si>
    <t>44256A4Energia horáriaNão se aplicaNão se aplicaNão se aplicaNão se aplicaPonta</t>
  </si>
  <si>
    <t>44287A4Energia horáriaNão se aplicaNão se aplicaNão se aplicaNão se aplicaPonta</t>
  </si>
  <si>
    <t>44317A4Energia horáriaNão se aplicaNão se aplicaNão se aplicaNão se aplicaPonta</t>
  </si>
  <si>
    <t>44348A4Energia horáriaNão se aplicaNão se aplicaNão se aplicaNão se aplicaPonta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</si>
  <si>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</si>
  <si>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</si>
  <si>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</si>
  <si>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</si>
  <si>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</si>
  <si>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</si>
  <si>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</si>
  <si>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</si>
  <si>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44136B1Energia horáriaResidencialResidencialNão se aplicaNão se aplicaFora ponta</t>
  </si>
  <si>
    <t>44166B1Energia horáriaResidencialResidencialNão se aplicaNão se aplicaFora ponta</t>
  </si>
  <si>
    <t>44197B1Energia horáriaResidencialResidencialNão se aplicaNão se aplicaFora ponta</t>
  </si>
  <si>
    <t>44228B1Energia horáriaResidencialResidencialNão se aplicaNão se aplicaFora ponta</t>
  </si>
  <si>
    <t>44256B1Energia horáriaResidencialResidencialNão se aplicaNão se aplicaFora ponta</t>
  </si>
  <si>
    <t>44287B1Energia horáriaResidencialResidencialNão se aplicaNão se aplicaFora ponta</t>
  </si>
  <si>
    <t>44317B1Energia horáriaResidencialResidencialNão se aplicaNão se aplicaFora ponta</t>
  </si>
  <si>
    <t>44348B1Energia horáriaResidencialResidencialNão se aplicaNão se aplicaFora ponta</t>
  </si>
  <si>
    <t>44378B1Energia horáriaResidencialResidencialNão se aplicaNão se aplicaFora ponta</t>
  </si>
  <si>
    <t>44409B1Energia horáriaResidencialResidencialNão se aplicaNão se aplicaFora ponta</t>
  </si>
  <si>
    <t>44440B1Energia horáriaResidencialResidencialNão se aplicaNão se aplicaFora ponta</t>
  </si>
  <si>
    <t>44470B1Energia horáriaResidencialResidencialNão se aplicaNão se aplicaFora ponta</t>
  </si>
  <si>
    <t>44136B1Energia horáriaResidencialResidencialNão se aplicaNão se aplicaIntermediário</t>
  </si>
  <si>
    <t>44166B1Energia horáriaResidencialResidencialNão se aplicaNão se aplicaIntermediário</t>
  </si>
  <si>
    <t>44197B1Energia horáriaResidencialResidencialNão se aplicaNão se aplicaIntermediário</t>
  </si>
  <si>
    <t>44228B1Energia horáriaResidencialResidencialNão se aplicaNão se aplicaIntermediário</t>
  </si>
  <si>
    <t>44256B1Energia horáriaResidencialResidencialNão se aplicaNão se aplicaIntermediário</t>
  </si>
  <si>
    <t>44287B1Energia horáriaResidencialResidencialNão se aplicaNão se aplicaIntermediário</t>
  </si>
  <si>
    <t>44317B1Energia horáriaResidencialResidencialNão se aplicaNão se aplicaIntermediário</t>
  </si>
  <si>
    <t>44348B1Energia horáriaResidencialResidencialNão se aplicaNão se aplicaIntermediário</t>
  </si>
  <si>
    <t>44378B1Energia horáriaResidencialResidencialNão se aplicaNão se aplicaIntermediário</t>
  </si>
  <si>
    <t>44409B1Energia horáriaResidencialResidencialNão se aplicaNão se aplicaIntermediário</t>
  </si>
  <si>
    <t>44440B1Energia horáriaResidencialResidencialNão se aplicaNão se aplicaIntermediário</t>
  </si>
  <si>
    <t>44470B1Energia horáriaResidencialResidencialNão se aplicaNão se aplicaIntermediário</t>
  </si>
  <si>
    <t>44136B1Energia horáriaResidencialResidencialNão se aplicaNão se aplicaPonta</t>
  </si>
  <si>
    <t>44166B1Energia horáriaResidencialResidencialNão se aplicaNão se aplicaPonta</t>
  </si>
  <si>
    <t>44197B1Energia horáriaResidencialResidencialNão se aplicaNão se aplicaPonta</t>
  </si>
  <si>
    <t>44228B1Energia horáriaResidencialResidencialNão se aplicaNão se aplicaPonta</t>
  </si>
  <si>
    <t>44256B1Energia horáriaResidencialResidencialNão se aplicaNão se aplicaPonta</t>
  </si>
  <si>
    <t>44287B1Energia horáriaResidencialResidencialNão se aplicaNão se aplicaPonta</t>
  </si>
  <si>
    <t>44317B1Energia horáriaResidencialResidencialNão se aplicaNão se aplicaPonta</t>
  </si>
  <si>
    <t>44348B1Energia horáriaResidencialResidencialNão se aplicaNão se aplicaPonta</t>
  </si>
  <si>
    <t>44378B1Energia horáriaResidencialResidencialNão se aplicaNão se aplicaPonta</t>
  </si>
  <si>
    <t>44409B1Energia horáriaResidencialResidencialNão se aplicaNão se aplicaPonta</t>
  </si>
  <si>
    <t>44440B1Energia horáriaResidencialResidencialNão se aplicaNão se aplicaPonta</t>
  </si>
  <si>
    <t>44470B1Energia horáriaResidencialResidencialNão se aplicaNão se aplicaPonta</t>
  </si>
  <si>
    <t>44136B1Energia convencionalResidencialResidencialNão se aplicaNão se aplicaNão se aplica</t>
  </si>
  <si>
    <t>44166B1Energia convencionalResidencialResidencialNão se aplicaNão se aplicaNão se aplica</t>
  </si>
  <si>
    <t>44197B1Energia convencionalResidencialResidencialNão se aplicaNão se aplicaNão se aplica</t>
  </si>
  <si>
    <t>44228B1Energia convencionalResidencialResidencialNão se aplicaNão se aplicaNão se aplica</t>
  </si>
  <si>
    <t>44256B1Energia convencionalResidencialResidencialNão se aplicaNão se aplicaNão se aplica</t>
  </si>
  <si>
    <t>44287B1Energia convencionalResidencialResidencialNão se aplicaNão se aplicaNão se aplica</t>
  </si>
  <si>
    <t>44317B1Energia convencionalResidencialResidencialNão se aplicaNão se aplicaNão se aplica</t>
  </si>
  <si>
    <t>44348B1Energia convencionalResidencialResidencialNão se aplicaNão se aplicaNão se aplica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</si>
  <si>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</si>
  <si>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</si>
  <si>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</si>
  <si>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</si>
  <si>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44136B1Energia convencionalResidencialResidencial baixa renda – faixa 01Não se aplicaNão se aplicaNão se aplica</t>
  </si>
  <si>
    <t>44166B1Energia convencionalResidencialResidencial baixa renda – faixa 01Não se aplicaNão se aplicaNão se aplica</t>
  </si>
  <si>
    <t>44197B1Energia convencionalResidencialResidencial baixa renda – faixa 01Não se aplicaNão se aplicaNão se aplica</t>
  </si>
  <si>
    <t>44228B1Energia convencionalResidencialResidencial baixa renda – faixa 01Não se aplicaNão se aplicaNão se aplica</t>
  </si>
  <si>
    <t>44256B1Energia convencionalResidencialResidencial baixa renda – faixa 01Não se aplicaNão se aplicaNão se aplica</t>
  </si>
  <si>
    <t>44287B1Energia convencionalResidencialResidencial baixa renda – faixa 01Não se aplicaNão se aplicaNão se aplica</t>
  </si>
  <si>
    <t>44317B1Energia convencionalResidencialResidencial baixa renda – faixa 01Não se aplicaNão se aplicaNão se aplica</t>
  </si>
  <si>
    <t>44348B1Energia convencionalResidencialResidencial baixa renda – faixa 01Não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</si>
  <si>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</si>
  <si>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</si>
  <si>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</si>
  <si>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</si>
  <si>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44136B1Energia convencionalResidencialResidencial baixa renda – faixa 02Não se aplicaNão se aplicaNão se aplica</t>
  </si>
  <si>
    <t>44166B1Energia convencionalResidencialResidencial baixa renda – faixa 02Não se aplicaNão se aplicaNão se aplica</t>
  </si>
  <si>
    <t>44197B1Energia convencionalResidencialResidencial baixa renda – faixa 02Não se aplicaNão se aplicaNão se aplica</t>
  </si>
  <si>
    <t>44228B1Energia convencionalResidencialResidencial baixa renda – faixa 02Não se aplicaNão se aplicaNão se aplica</t>
  </si>
  <si>
    <t>44256B1Energia convencionalResidencialResidencial baixa renda – faixa 02Não se aplicaNão se aplicaNão se aplica</t>
  </si>
  <si>
    <t>44287B1Energia convencionalResidencialResidencial baixa renda – faixa 02Não se aplicaNão se aplicaNão se aplica</t>
  </si>
  <si>
    <t>44317B1Energia convencionalResidencialResidencial baixa renda – faixa 02Não se aplicaNão se aplicaNão se aplica</t>
  </si>
  <si>
    <t>44348B1Energia convencionalResidencialResidencial baixa renda – faixa 02Não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</si>
  <si>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</si>
  <si>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</si>
  <si>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</si>
  <si>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</si>
  <si>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44136B1Energia convencionalResidencialResidencial baixa renda – faixa 03Não se aplicaNão se aplicaNão se aplica</t>
  </si>
  <si>
    <t>44166B1Energia convencionalResidencialResidencial baixa renda – faixa 03Não se aplicaNão se aplicaNão se aplica</t>
  </si>
  <si>
    <t>44197B1Energia convencionalResidencialResidencial baixa renda – faixa 03Não se aplicaNão se aplicaNão se aplica</t>
  </si>
  <si>
    <t>44228B1Energia convencionalResidencialResidencial baixa renda – faixa 03Não se aplicaNão se aplicaNão se aplica</t>
  </si>
  <si>
    <t>44256B1Energia convencionalResidencialResidencial baixa renda – faixa 03Não se aplicaNão se aplicaNão se aplica</t>
  </si>
  <si>
    <t>44287B1Energia convencionalResidencialResidencial baixa renda – faixa 03Não se aplicaNão se aplicaNão se aplica</t>
  </si>
  <si>
    <t>44317B1Energia convencionalResidencialResidencial baixa renda – faixa 03Não se aplicaNão se aplicaNão se aplica</t>
  </si>
  <si>
    <t>44348B1Energia convencionalResidencialResidencial baixa renda – faixa 03Não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</si>
  <si>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</si>
  <si>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</si>
  <si>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</si>
  <si>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</si>
  <si>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44136B1Energia convencionalResidencialResidencial baixa renda – faixa 04Não se aplicaNão se aplicaNão se aplica</t>
  </si>
  <si>
    <t>44166B1Energia convencionalResidencialResidencial baixa renda – faixa 04Não se aplicaNão se aplicaNão se aplica</t>
  </si>
  <si>
    <t>44197B1Energia convencionalResidencialResidencial baixa renda – faixa 04Não se aplicaNão se aplicaNão se aplica</t>
  </si>
  <si>
    <t>44228B1Energia convencionalResidencialResidencial baixa renda – faixa 04Não se aplicaNão se aplicaNão se aplica</t>
  </si>
  <si>
    <t>44256B1Energia convencionalResidencialResidencial baixa renda – faixa 04Não se aplicaNão se aplicaNão se aplica</t>
  </si>
  <si>
    <t>44287B1Energia convencionalResidencialResidencial baixa renda – faixa 04Não se aplicaNão se aplicaNão se aplica</t>
  </si>
  <si>
    <t>44317B1Energia convencionalResidencialResidencial baixa renda – faixa 04Não se aplicaNão se aplicaNão se aplica</t>
  </si>
  <si>
    <t>44348B1Energia convencionalResidencialResidencial baixa renda – faixa 04Não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</si>
  <si>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</si>
  <si>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</si>
  <si>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</si>
  <si>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</si>
  <si>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44136B2Energia horáriaRuralNão se aplicaNão se aplicaNão se aplicaFora ponta</t>
  </si>
  <si>
    <t>44166B2Energia horáriaRuralNão se aplicaNão se aplicaNão se aplicaFora ponta</t>
  </si>
  <si>
    <t>44197B2Energia horáriaRuralNão se aplicaNão se aplicaNão se aplicaFora ponta</t>
  </si>
  <si>
    <t>44228B2Energia horáriaRuralNão se aplicaNão se aplicaNão se aplicaFora ponta</t>
  </si>
  <si>
    <t>44256B2Energia horáriaRuralNão se aplicaNão se aplicaNão se aplicaFora ponta</t>
  </si>
  <si>
    <t>44287B2Energia horáriaRuralNão se aplicaNão se aplicaNão se aplicaFora ponta</t>
  </si>
  <si>
    <t>44317B2Energia horáriaRuralNão se aplicaNão se aplicaNão se aplicaFora ponta</t>
  </si>
  <si>
    <t>44348B2Energia horáriaRuralNão se aplicaNão se aplicaNão se aplicaFora ponta</t>
  </si>
  <si>
    <t>44378B2Energia horáriaRuralNão se aplicaNão se aplicaNão se aplicaFora ponta</t>
  </si>
  <si>
    <t>44409B2Energia horáriaRuralNão se aplicaNão se aplicaNão se aplicaFora ponta</t>
  </si>
  <si>
    <t>44440B2Energia horáriaRuralNão se aplicaNão se aplicaNão se aplicaFora ponta</t>
  </si>
  <si>
    <t>44470B2Energia horáriaRuralNão se aplicaNão se aplicaNão se aplicaFora ponta</t>
  </si>
  <si>
    <t>44166B2Energia horáriaRuralNão se aplicaNão se aplicaNão se aplicaIntermediário</t>
  </si>
  <si>
    <t>44197B2Energia horáriaRuralNão se aplicaNão se aplicaNão se aplicaIntermediário</t>
  </si>
  <si>
    <t>44287B2Energia horáriaRuralNão se aplicaNão se aplicaNão se aplicaIntermediário</t>
  </si>
  <si>
    <t>44317B2Energia convencionalRuralNão se aplicaNão se aplicaNão se aplicaNão se aplica</t>
  </si>
  <si>
    <t>44348B2Energia convencionalRuralNão se aplicaNão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</si>
  <si>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</si>
  <si>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</si>
  <si>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</si>
  <si>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</si>
  <si>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44136B2Energia convencionalRuralNão se aplicaNão se aplicaNão se aplicaNão se aplica</t>
  </si>
  <si>
    <t>44166B2Energia convencionalRuralNão se aplicaNão se aplicaNão se aplicaNão se aplica</t>
  </si>
  <si>
    <t>44197B2Energia convencionalRuralNão se aplicaNão se aplicaNão se aplicaNão se aplica</t>
  </si>
  <si>
    <t>44228B2Energia convencionalRuralNão se aplicaNão se aplicaNão se aplicaNão se aplica</t>
  </si>
  <si>
    <t>44256B2Energia convencionalRuralNão se aplicaNão se aplicaNão se aplicaNão se aplica</t>
  </si>
  <si>
    <t>44287B2Energia convencionalRuralNão se aplicaNão se aplicaNão se aplicaNão se aplica</t>
  </si>
  <si>
    <t>44287B2Energia convencionalRuralServiço público de irrigação ruralNão se aplicaNão se aplicaNão se aplica</t>
  </si>
  <si>
    <t>44136B3Energia horáriaNão se aplicaNão se aplicaNão se aplicaNão se aplicaFora ponta</t>
  </si>
  <si>
    <t>44166B3Energia horáriaNão se aplicaNão se aplicaNão se aplicaNão se aplicaFora ponta</t>
  </si>
  <si>
    <t>44197B3Energia horáriaNão se aplicaNão se aplicaNão se aplicaNão se aplicaFora ponta</t>
  </si>
  <si>
    <t>44228B3Energia horáriaNão se aplicaNão se aplicaNão se aplicaNão se aplicaFora ponta</t>
  </si>
  <si>
    <t>44256B3Energia horáriaNão se aplicaNão se aplicaNão se aplicaNão se aplicaFora ponta</t>
  </si>
  <si>
    <t>44287B3Energia horáriaNão se aplicaNão se aplicaNão se aplicaNão se aplicaFora ponta</t>
  </si>
  <si>
    <t>44317B3Energia horáriaNão se aplicaNão se aplicaNão se aplicaNão se aplicaFora ponta</t>
  </si>
  <si>
    <t>44348B3Energia horáriaNão se aplicaNão se aplicaNão se aplicaNão se aplicaFora ponta</t>
  </si>
  <si>
    <t>44378B3Energia horáriaNão se aplicaNão se aplicaNão se aplicaNão se aplicaFora ponta</t>
  </si>
  <si>
    <t>44409B3Energia horáriaNão se aplicaNão se aplicaNão se aplicaNão se aplicaFora ponta</t>
  </si>
  <si>
    <t>44440B3Energia horáriaNão se aplicaNão se aplicaNão se aplicaNão se aplicaFora ponta</t>
  </si>
  <si>
    <t>44470B3Energia horáriaNão se aplicaNão se aplicaNão se aplicaNão se aplicaFora ponta</t>
  </si>
  <si>
    <t>44136B3Energia horáriaNão se aplicaNão se aplicaNão se aplicaNão se aplicaIntermediário</t>
  </si>
  <si>
    <t>44166B3Energia horáriaNão se aplicaNão se aplicaNão se aplicaNão se aplicaIntermediário</t>
  </si>
  <si>
    <t>44197B3Energia horáriaNão se aplicaNão se aplicaNão se aplicaNão se aplicaIntermediário</t>
  </si>
  <si>
    <t>44228B3Energia horáriaNão se aplicaNão se aplicaNão se aplicaNão se aplicaIntermediário</t>
  </si>
  <si>
    <t>44256B3Energia horáriaNão se aplicaNão se aplicaNão se aplicaNão se aplicaIntermediário</t>
  </si>
  <si>
    <t>44287B3Energia horáriaNão se aplicaNão se aplicaNão se aplicaNão se aplicaIntermediário</t>
  </si>
  <si>
    <t>44317B3Energia horáriaNão se aplicaNão se aplicaNão se aplicaNão se aplicaIntermediário</t>
  </si>
  <si>
    <t>44348B3Energia horáriaNão se aplicaNão se aplicaNão se aplicaNão se aplicaIntermediário</t>
  </si>
  <si>
    <t>44378B3Energia horáriaNão se aplicaNão se aplicaNão se aplicaNão se aplicaIntermediário</t>
  </si>
  <si>
    <t>44409B3Energia horáriaNão se aplicaNão se aplicaNão se aplicaNão se aplicaIntermediário</t>
  </si>
  <si>
    <t>44440B3Energia horáriaNão se aplicaNão se aplicaNão se aplicaNão se aplicaIntermediário</t>
  </si>
  <si>
    <t>44470B3Energia horáriaNão se aplicaNão se aplicaNão se aplicaNão se aplicaIntermediário</t>
  </si>
  <si>
    <t>44136B3Energia horáriaNão se aplicaNão se aplicaNão se aplicaNão se aplicaPonta</t>
  </si>
  <si>
    <t>44166B3Energia horáriaNão se aplicaNão se aplicaNão se aplicaNão se aplicaPonta</t>
  </si>
  <si>
    <t>44197B3Energia horáriaNão se aplicaNão se aplicaNão se aplicaNão se aplicaPonta</t>
  </si>
  <si>
    <t>44228B3Energia horáriaNão se aplicaNão se aplicaNão se aplicaNão se aplicaPonta</t>
  </si>
  <si>
    <t>44256B3Energia horáriaNão se aplicaNão se aplicaNão se aplicaNão se aplicaPonta</t>
  </si>
  <si>
    <t>44287B3Energia horáriaNão se aplicaNão se aplicaNão se aplicaNão se aplicaPonta</t>
  </si>
  <si>
    <t>44317B3Energia horáriaNão se aplicaNão se aplicaNão se aplicaNão se aplicaPonta</t>
  </si>
  <si>
    <t>44348B3Energia horáriaNão se aplicaNão se aplicaNão se aplicaNão se aplicaPonta</t>
  </si>
  <si>
    <t>44378B3Energia horáriaNão se aplicaNão se aplicaNão se aplicaNão se aplicaPonta</t>
  </si>
  <si>
    <t>44409B3Energia horáriaNão se aplicaNão se aplicaNão se aplicaNão se aplicaPonta</t>
  </si>
  <si>
    <t>44440B3Energia horáriaNão se aplicaNão se aplicaNão se aplicaNão se aplicaPonta</t>
  </si>
  <si>
    <t>44470B3Energia horáriaNão se aplicaNão se aplicaNão se aplicaNão se aplicaPonta</t>
  </si>
  <si>
    <t>44136B3Energia convencionalNão se aplicaNão se aplicaNão se aplicaNão se aplicaNão se aplica</t>
  </si>
  <si>
    <t>44166B3Energia convencionalNão se aplicaNão se aplicaNão se aplicaNão se aplicaNão se aplica</t>
  </si>
  <si>
    <t>44197B3Energia convencionalNão se aplicaNão se aplicaNão se aplicaNão se aplicaNão se aplica</t>
  </si>
  <si>
    <t>44228B3Energia convencionalNão se aplicaNão se aplicaNão se aplicaNão se aplicaNão se aplica</t>
  </si>
  <si>
    <t>44256B3Energia convencionalNão se aplicaNão se aplicaNão se aplicaNão se aplicaNão se aplica</t>
  </si>
  <si>
    <t>44287B3Energia convencionalNão se aplicaNão se aplicaNão se aplicaNão se aplicaNão se aplica</t>
  </si>
  <si>
    <t>44317B3Energia convencionalNão se aplicaNão se aplicaNão se aplicaNão se aplicaNão se aplica</t>
  </si>
  <si>
    <t>44348B3Energia convencionalNão se aplicaNão se aplicaNão se aplicaNão se aplicaNão se aplica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</si>
  <si>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</si>
  <si>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</si>
  <si>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</si>
  <si>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</si>
  <si>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44136B4Energia convencionalIluminação públicaIluminação pública – B4aNão se aplicaNão se aplicaNão se aplica</t>
  </si>
  <si>
    <t>44166B4Energia convencionalIluminação públicaIluminação pública – B4aNão se aplicaNão se aplicaNão se aplica</t>
  </si>
  <si>
    <t>44197B4Energia convencionalIluminação públicaIluminação pública – B4aNão se aplicaNão se aplicaNão se aplica</t>
  </si>
  <si>
    <t>44228B4Energia convencionalIluminação públicaIluminação pública – B4aNão se aplicaNão se aplicaNão se aplica</t>
  </si>
  <si>
    <t>44256B4Energia convencionalIluminação públicaIluminação pública – B4aNão se aplicaNão se aplicaNão se aplica</t>
  </si>
  <si>
    <t>44287B4Energia convencionalIluminação públicaIluminação pública – B4aNão se aplicaNão se aplicaNão se aplica</t>
  </si>
  <si>
    <t>44317B4Energia convencionalIluminação públicaIluminação pública – B4aNão se aplicaNão se aplicaNão se aplica</t>
  </si>
  <si>
    <t>44348B4Energia convencionalIluminação públicaIluminação pública – B4aNão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</si>
  <si>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</si>
  <si>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</si>
  <si>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</si>
  <si>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</si>
  <si>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</si>
  <si>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</si>
  <si>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</si>
  <si>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</si>
  <si>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</si>
  <si>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</si>
  <si>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</si>
  <si>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</si>
  <si>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</si>
  <si>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</si>
  <si>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</si>
  <si>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</si>
  <si>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</si>
  <si>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</si>
  <si>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</si>
  <si>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</si>
  <si>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</si>
  <si>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</si>
  <si>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</si>
  <si>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</si>
  <si>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</si>
  <si>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</si>
  <si>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</si>
  <si>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</si>
  <si>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</si>
  <si>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</si>
  <si>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</si>
  <si>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</si>
  <si>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</si>
  <si>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</si>
  <si>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</si>
  <si>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</si>
  <si>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</si>
  <si>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</si>
  <si>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</si>
  <si>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</si>
  <si>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</si>
  <si>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</si>
  <si>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</si>
  <si>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</si>
  <si>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</si>
  <si>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</si>
  <si>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</si>
  <si>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</si>
  <si>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</si>
  <si>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</si>
  <si>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</si>
  <si>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</si>
  <si>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</si>
  <si>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</si>
  <si>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</si>
  <si>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</si>
  <si>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</si>
  <si>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</si>
  <si>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</si>
  <si>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</si>
  <si>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</si>
  <si>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</si>
  <si>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</si>
  <si>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</si>
  <si>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</si>
  <si>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</si>
  <si>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</si>
  <si>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</si>
  <si>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</si>
  <si>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</si>
  <si>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</si>
  <si>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</si>
  <si>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</si>
  <si>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</si>
  <si>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</si>
  <si>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</si>
  <si>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</si>
  <si>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</si>
  <si>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</si>
  <si>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</si>
  <si>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</si>
  <si>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</si>
  <si>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</si>
  <si>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</si>
  <si>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</si>
  <si>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</si>
  <si>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</si>
  <si>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</si>
  <si>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</si>
  <si>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</si>
  <si>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</si>
  <si>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</si>
  <si>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</si>
  <si>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</si>
  <si>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</si>
  <si>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</si>
  <si>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</si>
  <si>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</si>
  <si>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</si>
  <si>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</si>
  <si>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</si>
  <si>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</si>
  <si>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</si>
  <si>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</si>
  <si>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2.795, DE 27 DE OUTUBRO DE 2020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</si>
  <si>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</si>
  <si>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</si>
  <si>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</si>
  <si>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</si>
  <si>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</si>
  <si>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</si>
  <si>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</si>
  <si>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</si>
  <si>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</si>
  <si>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</si>
  <si>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</si>
  <si>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(SUB)GRUPO</t>
  </si>
  <si>
    <t>TUSD (R$)</t>
  </si>
  <si>
    <t>TUSD (MWh)</t>
  </si>
  <si>
    <t>PNT (R$/MWh)</t>
  </si>
  <si>
    <t>VAR. AX01</t>
  </si>
  <si>
    <t>VAR. AX02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</si>
  <si>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</si>
  <si>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</si>
  <si>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</si>
  <si>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</si>
  <si>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</si>
  <si>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</si>
  <si>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</si>
  <si>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</si>
  <si>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</si>
  <si>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</si>
  <si>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</si>
  <si>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</si>
  <si>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</si>
  <si>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</si>
  <si>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</si>
  <si>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</si>
  <si>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A3a</t>
  </si>
  <si>
    <t>AS</t>
  </si>
  <si>
    <t>Carga</t>
  </si>
  <si>
    <t>Ajustado para o passo 3 da transição. Não altere.</t>
  </si>
  <si>
    <t>TipoTarifa</t>
  </si>
  <si>
    <t>UP</t>
  </si>
  <si>
    <t>US</t>
  </si>
  <si>
    <t>UT</t>
  </si>
  <si>
    <t>AnoRef</t>
  </si>
  <si>
    <t>Evento</t>
  </si>
  <si>
    <t>Potência</t>
  </si>
  <si>
    <t>Ativa</t>
  </si>
  <si>
    <t>Energia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</si>
  <si>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</si>
  <si>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</si>
  <si>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</si>
  <si>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</si>
  <si>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</si>
  <si>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</si>
  <si>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</si>
  <si>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</si>
  <si>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</si>
  <si>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</si>
  <si>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</si>
  <si>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</si>
  <si>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</si>
  <si>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</si>
  <si>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</si>
  <si>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</si>
  <si>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</si>
  <si>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</si>
  <si>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</si>
  <si>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</si>
  <si>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</si>
  <si>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</si>
  <si>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</si>
  <si>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</si>
  <si>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</si>
  <si>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</si>
  <si>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</si>
  <si>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</si>
  <si>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</si>
  <si>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</si>
  <si>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</si>
  <si>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</si>
  <si>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</si>
  <si>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</si>
  <si>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</si>
  <si>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</si>
  <si>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</si>
  <si>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</si>
  <si>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</si>
  <si>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</si>
  <si>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</si>
  <si>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</si>
  <si>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</si>
  <si>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</si>
  <si>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</si>
  <si>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</si>
  <si>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</si>
  <si>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</si>
  <si>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</si>
  <si>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CARGA FONTE INCENTIVADA</t>
  </si>
  <si>
    <t>SUBSIDIO ÁGUA, ESGOTO E SANEAMENTO</t>
  </si>
  <si>
    <t>SUBSIDIO GERAÇÃO FONTE INCENTIVADA</t>
  </si>
  <si>
    <t>SUBSIDIO RURAL</t>
  </si>
  <si>
    <t>SUBSIDIO BAIXA RENDA</t>
  </si>
  <si>
    <t>SUBSIDIO IRRIGANTE/AQUICULTOR</t>
  </si>
  <si>
    <t>R$ (TV)</t>
  </si>
  <si>
    <t>R$ (TN)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</si>
  <si>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</si>
  <si>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</si>
  <si>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</si>
  <si>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</si>
  <si>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</si>
  <si>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</si>
  <si>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</si>
  <si>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</si>
  <si>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</si>
  <si>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Azul1Serviço públicoÁgua, esgoto e saneamentoPlanilha CUSTOA3</t>
  </si>
  <si>
    <t>2020</t>
  </si>
  <si>
    <t>Planilha CUSTO</t>
  </si>
  <si>
    <t>Verde1Serviço públicoÁgua, esgoto e saneamentoPlanilha CUSTOA3</t>
  </si>
  <si>
    <t>Convencional 1Serviço públicoÁgua, esgoto e saneamentoPlanilha CUSTOA3</t>
  </si>
  <si>
    <t xml:space="preserve">Convencional </t>
  </si>
  <si>
    <t>Azul1RuralNão se aplicaPlanilha CustoA4</t>
  </si>
  <si>
    <t>Planilha Custo</t>
  </si>
  <si>
    <t>Verde1RuralNão se aplicaPlanilha CustoA4</t>
  </si>
  <si>
    <t>Convencional1RuralNão se aplicaPlanilha CustoA4</t>
  </si>
  <si>
    <t>Azul1Serviço públicoÁgua, esgoto e saneamentoPlanilha CUSTOA4</t>
  </si>
  <si>
    <t>Verde1Serviço públicoÁgua, esgoto e saneamentoPlanilha CUSTOA4</t>
  </si>
  <si>
    <t>Convencional 1Serviço públicoÁgua, esgoto e saneamentoPlanilha CUSTOA4</t>
  </si>
  <si>
    <t>Convencional1RuralNão se aplicaRuralB2</t>
  </si>
  <si>
    <t>Branca1RuralNão se aplicaRuralB2</t>
  </si>
  <si>
    <t>Convencional1RuralCooperativa de eletrificação ruralPlanilha CUSTOB2</t>
  </si>
  <si>
    <t>Branca 1RuralCooperativa de eletrificação ruralPlanilha CUSTOB2</t>
  </si>
  <si>
    <t xml:space="preserve">Branca </t>
  </si>
  <si>
    <t>Convencional1RuralServiço público de irrigação ruralPlanilha CUSTOB2</t>
  </si>
  <si>
    <t>Branca 1RuralServiço público de irrigação ruralPlanilha CUSTOB2</t>
  </si>
  <si>
    <t>Convencional1Serviço públicoÁgua, esgoto e saneamentoPlanilha CUSTOB3</t>
  </si>
  <si>
    <t>Branca1Serviço públicoÁgua, esgoto e saneamentoPlanilha CUSTOB3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</si>
  <si>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</si>
  <si>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</si>
  <si>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</si>
  <si>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</si>
  <si>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</si>
  <si>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</si>
  <si>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</si>
  <si>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</si>
  <si>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</si>
  <si>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</si>
  <si>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</si>
  <si>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</si>
  <si>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</si>
  <si>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</si>
  <si>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</si>
  <si>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</si>
  <si>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</si>
  <si>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</si>
  <si>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</si>
  <si>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</si>
  <si>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</si>
  <si>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</si>
  <si>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</si>
  <si>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</si>
  <si>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</si>
  <si>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</si>
  <si>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</si>
  <si>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</si>
  <si>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</si>
  <si>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</si>
  <si>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</si>
  <si>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</si>
  <si>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</si>
  <si>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</si>
  <si>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</si>
  <si>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</si>
  <si>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</si>
  <si>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</si>
  <si>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</si>
  <si>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</si>
  <si>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</si>
  <si>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</si>
  <si>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</si>
  <si>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</si>
  <si>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</si>
  <si>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</si>
  <si>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</si>
  <si>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</si>
  <si>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</si>
  <si>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</si>
  <si>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</si>
  <si>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</si>
  <si>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</si>
  <si>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</si>
  <si>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</si>
  <si>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</si>
  <si>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</si>
  <si>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</si>
  <si>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</si>
  <si>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</si>
  <si>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</si>
  <si>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</si>
  <si>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</si>
  <si>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</si>
  <si>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</si>
  <si>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</si>
  <si>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</si>
  <si>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</si>
  <si>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</si>
  <si>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</si>
  <si>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A3Azul</t>
  </si>
  <si>
    <t>A3AzulNão se aplica</t>
  </si>
  <si>
    <t>A3AzulNão se aplicaNão se aplica</t>
  </si>
  <si>
    <t>A3AzulNão se aplicaNão se aplicaNão se aplica</t>
  </si>
  <si>
    <t>A3AzulNão se aplicaNão se aplicaNão se aplicaNão se aplica</t>
  </si>
  <si>
    <t>A3AzulNão se aplicaNão se aplicaNão se aplicaNão se aplicaDP</t>
  </si>
  <si>
    <t>A3AzulNão se aplicaNão se aplicaNão se aplicaNão se aplicaDFP</t>
  </si>
  <si>
    <t>A3AzulNão se aplicaNão se aplicaNão se aplicaNão se aplicaE</t>
  </si>
  <si>
    <t>A3AzulNão se aplicaNão se aplicaAPE</t>
  </si>
  <si>
    <t>A3AzulNão se aplicaNão se aplicaAPENão se aplica</t>
  </si>
  <si>
    <t>A3AzulNão se aplicaNão se aplicaAPENão se aplicaE</t>
  </si>
  <si>
    <t>A3Geração</t>
  </si>
  <si>
    <t>A3GeraçãoNão se aplica</t>
  </si>
  <si>
    <t>A3GeraçãoNão se aplicaNão se aplica</t>
  </si>
  <si>
    <t>A3GeraçãoNão se aplicaNão se aplicaNão se aplica</t>
  </si>
  <si>
    <t>A3GeraçãoNão se aplicaNão se aplicaNão se aplicaNão se aplica</t>
  </si>
  <si>
    <t>A3GeraçãoNão se aplicaNão se aplicaNão se aplicaNão se aplicaD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</si>
  <si>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</si>
  <si>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</si>
  <si>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</si>
  <si>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</si>
  <si>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</si>
  <si>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</si>
  <si>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</si>
  <si>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</si>
  <si>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</si>
  <si>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</si>
  <si>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</si>
  <si>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</si>
  <si>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</si>
  <si>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</si>
  <si>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</si>
  <si>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</si>
  <si>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</si>
  <si>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</si>
  <si>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</si>
  <si>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</si>
  <si>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</si>
  <si>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</si>
  <si>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</si>
  <si>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</si>
  <si>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</si>
  <si>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</si>
  <si>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</si>
  <si>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</si>
  <si>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</si>
  <si>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</si>
  <si>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</si>
  <si>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</si>
  <si>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</si>
  <si>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</si>
  <si>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</si>
  <si>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</si>
  <si>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</si>
  <si>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</si>
  <si>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</si>
  <si>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</si>
  <si>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</si>
  <si>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</si>
  <si>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</si>
  <si>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</si>
  <si>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</si>
  <si>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</si>
  <si>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</si>
  <si>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</si>
  <si>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</si>
  <si>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</si>
  <si>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</si>
  <si>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</si>
  <si>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</si>
  <si>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</si>
  <si>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</si>
  <si>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</si>
  <si>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</si>
  <si>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</si>
  <si>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</si>
  <si>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</si>
  <si>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</si>
  <si>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</si>
  <si>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</si>
  <si>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</si>
  <si>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</si>
  <si>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</si>
  <si>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</si>
  <si>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</si>
  <si>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</si>
  <si>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</si>
  <si>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</si>
  <si>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</si>
  <si>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</si>
  <si>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</si>
  <si>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</si>
  <si>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</si>
  <si>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</si>
  <si>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</si>
  <si>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</si>
  <si>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</si>
  <si>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</si>
  <si>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</si>
  <si>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</si>
  <si>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</si>
  <si>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</si>
  <si>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</si>
  <si>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</si>
  <si>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</si>
  <si>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</si>
  <si>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</si>
  <si>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</si>
  <si>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</si>
  <si>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</si>
  <si>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</si>
  <si>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</si>
  <si>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</si>
  <si>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</si>
  <si>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</si>
  <si>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</si>
  <si>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</si>
  <si>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</si>
  <si>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</si>
  <si>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</si>
  <si>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</si>
  <si>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</si>
  <si>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</si>
  <si>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</si>
  <si>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</si>
  <si>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</si>
  <si>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</si>
  <si>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</si>
  <si>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</si>
  <si>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</si>
  <si>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</si>
  <si>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</si>
  <si>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</si>
  <si>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</si>
  <si>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</si>
  <si>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</si>
  <si>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</si>
  <si>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</si>
  <si>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</si>
  <si>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</si>
  <si>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</si>
  <si>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</si>
  <si>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</si>
  <si>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</si>
  <si>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</si>
  <si>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</si>
  <si>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</si>
  <si>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</si>
  <si>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</si>
  <si>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</si>
  <si>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</si>
  <si>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</si>
  <si>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</si>
  <si>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</si>
  <si>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</si>
  <si>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</si>
  <si>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</si>
  <si>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</si>
  <si>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</si>
  <si>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</si>
  <si>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</si>
  <si>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</si>
  <si>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</si>
  <si>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</si>
  <si>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</si>
  <si>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</si>
  <si>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</si>
  <si>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</si>
  <si>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</si>
  <si>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</si>
  <si>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</si>
  <si>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</si>
  <si>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</si>
  <si>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</si>
  <si>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</si>
  <si>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</si>
  <si>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</si>
  <si>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</si>
  <si>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</si>
  <si>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</si>
  <si>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</si>
  <si>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</si>
  <si>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</si>
  <si>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</si>
  <si>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</si>
  <si>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</si>
  <si>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</si>
  <si>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A3Energia horária</t>
  </si>
  <si>
    <t>A3Energia horáriaNão se aplica</t>
  </si>
  <si>
    <t>A3Energia horáriaNão se aplicaNão se aplica</t>
  </si>
  <si>
    <t>A3Energia horáriaNão se aplicaNão se aplicaNão se aplica</t>
  </si>
  <si>
    <t>A3Energia horáriaNão se aplicaNão se aplicaNão se aplicaNão se aplica</t>
  </si>
  <si>
    <t>A3Energia horáriaNão se aplicaNão se aplicaNão se aplicaNão se aplicaEP</t>
  </si>
  <si>
    <t>A3Energia horáriaNão se aplicaNão se aplicaNão se aplicaNão se aplicaEFP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</si>
  <si>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</si>
  <si>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</si>
  <si>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</si>
  <si>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</si>
  <si>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</si>
  <si>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</si>
  <si>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</si>
  <si>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</si>
  <si>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</si>
  <si>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</si>
  <si>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</si>
  <si>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</si>
  <si>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</si>
  <si>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</si>
  <si>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</si>
  <si>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</si>
  <si>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</si>
  <si>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</si>
  <si>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</si>
  <si>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</si>
  <si>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</si>
  <si>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</si>
  <si>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</si>
  <si>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</si>
  <si>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</si>
  <si>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</si>
  <si>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</si>
  <si>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</si>
  <si>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</si>
  <si>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</si>
  <si>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</si>
  <si>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</si>
  <si>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</si>
  <si>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</si>
  <si>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</si>
  <si>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</si>
  <si>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</si>
  <si>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</si>
  <si>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</si>
  <si>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</si>
  <si>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</si>
  <si>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</si>
  <si>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</si>
  <si>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</si>
  <si>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</si>
  <si>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</si>
  <si>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</si>
  <si>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</si>
  <si>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</si>
  <si>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</si>
  <si>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</si>
  <si>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</si>
  <si>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</si>
  <si>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</si>
  <si>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</si>
  <si>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</si>
  <si>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</si>
  <si>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</si>
  <si>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</si>
  <si>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</si>
  <si>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</si>
  <si>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</si>
  <si>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</si>
  <si>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</si>
  <si>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</si>
  <si>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</si>
  <si>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</si>
  <si>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</si>
  <si>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</si>
  <si>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</si>
  <si>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</si>
  <si>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</si>
  <si>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</si>
  <si>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</si>
  <si>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</si>
  <si>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</si>
  <si>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</si>
  <si>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</si>
  <si>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</si>
  <si>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</si>
  <si>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</si>
  <si>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</si>
  <si>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</si>
  <si>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</si>
  <si>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</si>
  <si>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</si>
  <si>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</si>
  <si>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</si>
  <si>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</si>
  <si>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</si>
  <si>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</si>
  <si>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</si>
  <si>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</si>
  <si>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</si>
  <si>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</si>
  <si>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</si>
  <si>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</si>
  <si>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</si>
  <si>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</si>
  <si>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</si>
  <si>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</si>
  <si>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</si>
  <si>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</si>
  <si>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</si>
  <si>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</si>
  <si>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</si>
  <si>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</si>
  <si>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</si>
  <si>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</si>
  <si>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</si>
  <si>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</si>
  <si>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</si>
  <si>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</si>
  <si>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</si>
  <si>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</si>
  <si>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</si>
  <si>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</si>
  <si>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</si>
  <si>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</si>
  <si>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</si>
  <si>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</si>
  <si>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</si>
  <si>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</si>
  <si>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</si>
  <si>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</si>
  <si>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</si>
  <si>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</si>
  <si>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</si>
  <si>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</si>
  <si>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</si>
  <si>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</si>
  <si>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</si>
  <si>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</si>
  <si>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</si>
  <si>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</si>
  <si>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</si>
  <si>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</si>
  <si>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</si>
  <si>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</si>
  <si>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</si>
  <si>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</si>
  <si>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</si>
  <si>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</si>
  <si>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</si>
  <si>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</si>
  <si>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</si>
  <si>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</si>
  <si>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</si>
  <si>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</si>
  <si>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</si>
  <si>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</si>
  <si>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</si>
  <si>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</si>
  <si>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</si>
  <si>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 xml:space="preserve">RA1 </t>
  </si>
  <si>
    <t>CHECK SPARTA</t>
  </si>
  <si>
    <t>CHECK EFEITO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</si>
  <si>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</si>
  <si>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</si>
  <si>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</si>
  <si>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</si>
  <si>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</si>
  <si>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</si>
  <si>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</si>
  <si>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</si>
  <si>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</si>
  <si>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</si>
  <si>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B2-IRRIGANTE</t>
  </si>
  <si>
    <t>B2-RURAL</t>
  </si>
  <si>
    <t>SUBGRUPO TARIFÁRIO</t>
  </si>
  <si>
    <t>13,42</t>
  </si>
  <si>
    <t>11,81</t>
  </si>
  <si>
    <t>11,27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</si>
</sst>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%_);[Red]\(#,##0.00%\)"/>
    <numFmt numFmtId="165" formatCode="#0.00%;[Red]#0.00%"/>
    <numFmt numFmtId="166" formatCode="0.00%_);[Red]\(0.00%\)"/>
    <numFmt numFmtId="167" formatCode="#,##0.00_ ;[Red]\-#,##0.00\ "/>
    <numFmt numFmtId="168" formatCode="#,##0.00;[Red]#,##0.00"/>
  </numFmts>
  <fonts count="10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43">
    <xf numFmtId="0" fontId="0" fillId="0" borderId="0" xfId="0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164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 indent="1"/>
    </xf>
    <xf numFmtId="40" fontId="3" fillId="0" borderId="1" xfId="0" quotePrefix="1" applyNumberFormat="1" applyFont="1" applyBorder="1" applyAlignment="1">
      <alignment horizontal="left" vertical="center" indent="1"/>
    </xf>
    <xf numFmtId="0" fontId="3" fillId="0" borderId="1" xfId="0" applyFont="1" applyBorder="1"/>
    <xf numFmtId="40" fontId="3" fillId="0" borderId="1" xfId="0" applyNumberFormat="1" applyFont="1" applyBorder="1"/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40" fontId="4" fillId="0" borderId="8" xfId="0" applyNumberFormat="1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40" fontId="4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0" xfId="0" applyBorder="1"/>
    <xf numFmtId="0" fontId="0" fillId="0" borderId="13" xfId="0" applyBorder="1"/>
    <xf numFmtId="0" fontId="2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40" fontId="1" fillId="0" borderId="13" xfId="0" applyNumberFormat="1" applyFont="1" applyBorder="1" applyAlignment="1">
      <alignment horizontal="center" vertical="center"/>
    </xf>
    <xf numFmtId="165" fontId="1" fillId="0" borderId="13" xfId="0" applyNumberFormat="1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6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13" xfId="0" applyFont="1" applyBorder="1"/>
    <xf numFmtId="0" fontId="4" fillId="0" borderId="13" xfId="0" applyFont="1" applyBorder="1"/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40" fontId="1" fillId="2" borderId="0" xfId="0" applyNumberFormat="1" applyFont="1" applyFill="1" applyAlignment="1">
      <alignment horizontal="center" vertical="center"/>
    </xf>
    <xf numFmtId="40" fontId="7" fillId="2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14" fontId="1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/>
    <xf numFmtId="40" fontId="2" fillId="0" borderId="13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164" fontId="3" fillId="0" borderId="0" xfId="0" applyNumberFormat="1" applyFont="1"/>
    <xf numFmtId="40" fontId="3" fillId="2" borderId="1" xfId="0" applyNumberFormat="1" applyFont="1" applyFill="1" applyBorder="1" applyAlignment="1">
      <alignment horizontal="center" vertical="center"/>
    </xf>
    <xf numFmtId="40" fontId="1" fillId="2" borderId="13" xfId="0" applyNumberFormat="1" applyFont="1" applyFill="1" applyBorder="1" applyAlignment="1">
      <alignment horizontal="center" vertical="center"/>
    </xf>
    <xf numFmtId="167" fontId="3" fillId="0" borderId="0" xfId="0" applyNumberFormat="1" applyFont="1"/>
    <xf numFmtId="0" fontId="3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10" fontId="3" fillId="0" borderId="0" xfId="0" applyNumberFormat="1" applyFont="1"/>
    <xf numFmtId="2" fontId="8" fillId="3" borderId="14" xfId="0" applyNumberFormat="1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left" vertical="center" indent="1"/>
    </xf>
    <xf numFmtId="4" fontId="8" fillId="4" borderId="0" xfId="0" applyNumberFormat="1" applyFont="1" applyFill="1" applyAlignment="1">
      <alignment vertical="center"/>
    </xf>
    <xf numFmtId="0" fontId="8" fillId="4" borderId="0" xfId="0" applyFont="1" applyFill="1" applyAlignment="1">
      <alignment horizontal="left" vertical="center" indent="1"/>
    </xf>
    <xf numFmtId="10" fontId="8" fillId="3" borderId="0" xfId="0" applyNumberFormat="1" applyFont="1" applyFill="1" applyAlignment="1">
      <alignment vertical="center"/>
    </xf>
    <xf numFmtId="0" fontId="8" fillId="3" borderId="0" xfId="0" applyFont="1" applyFill="1" applyAlignment="1">
      <alignment horizontal="left" vertical="center" indent="1"/>
    </xf>
    <xf numFmtId="10" fontId="8" fillId="4" borderId="0" xfId="0" applyNumberFormat="1" applyFont="1" applyFill="1" applyAlignment="1">
      <alignment vertical="center"/>
    </xf>
    <xf numFmtId="0" fontId="9" fillId="5" borderId="15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168" fontId="8" fillId="4" borderId="0" xfId="0" applyNumberFormat="1" applyFont="1" applyFill="1" applyAlignment="1">
      <alignment horizontal="center" vertical="center"/>
    </xf>
    <xf numFmtId="40" fontId="8" fillId="3" borderId="14" xfId="0" applyNumberFormat="1" applyFont="1" applyFill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0" fontId="4" fillId="0" borderId="10" xfId="0" applyNumberFormat="1" applyFont="1" applyBorder="1" applyAlignment="1">
      <alignment horizontal="center" vertical="center"/>
    </xf>
    <xf numFmtId="40" fontId="6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4" fillId="0" borderId="13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</cellXfs>
  <cellStyles count="1">
    <cellStyle name="Normal" xfId="0" builtinId="0"/>
  </cellStyles>
  <dxfs count="1319"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9" formatCode="#,##0.00_);[Red]\(#,##0.00\)"/>
    </dxf>
    <dxf>
      <numFmt numFmtId="169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6" formatCode="0.00%_);[Red]\(0.00%\)"/>
    </dxf>
    <dxf>
      <numFmt numFmtId="166" formatCode="0.00%_);[Red]\(0.00%\)"/>
    </dxf>
    <dxf>
      <numFmt numFmtId="169" formatCode="#,##0.00_);[Red]\(#,##0.00\)"/>
    </dxf>
    <dxf>
      <numFmt numFmtId="169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9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#,##0.00%_);[Red]\(#,##0.00%\)</c:formatCode>
                <c:ptCount val="22"/>
                <c:pt idx="0">
                  <c:v>3.3277699387788885E-2</c:v>
                </c:pt>
                <c:pt idx="1">
                  <c:v>2.8171412570172889E-4</c:v>
                </c:pt>
                <c:pt idx="2">
                  <c:v>8.4730794057238002E-4</c:v>
                </c:pt>
                <c:pt idx="3">
                  <c:v>0</c:v>
                </c:pt>
                <c:pt idx="4">
                  <c:v>0</c:v>
                </c:pt>
                <c:pt idx="5">
                  <c:v>-2.1786730615488419E-3</c:v>
                </c:pt>
                <c:pt idx="6">
                  <c:v>8.1169532502563257E-3</c:v>
                </c:pt>
                <c:pt idx="7">
                  <c:v>0</c:v>
                </c:pt>
                <c:pt idx="8">
                  <c:v>2.2124236221488486E-2</c:v>
                </c:pt>
                <c:pt idx="9">
                  <c:v>-1.22938130309129E-2</c:v>
                </c:pt>
                <c:pt idx="10">
                  <c:v>9.6000591560802667E-4</c:v>
                </c:pt>
                <c:pt idx="11">
                  <c:v>0</c:v>
                </c:pt>
                <c:pt idx="12">
                  <c:v>-3.5190065477015681E-4</c:v>
                </c:pt>
                <c:pt idx="13">
                  <c:v>0</c:v>
                </c:pt>
                <c:pt idx="14">
                  <c:v>0</c:v>
                </c:pt>
                <c:pt idx="15">
                  <c:v>5.7458520409273614E-2</c:v>
                </c:pt>
                <c:pt idx="16">
                  <c:v>0</c:v>
                </c:pt>
                <c:pt idx="17">
                  <c:v>0</c:v>
                </c:pt>
                <c:pt idx="18">
                  <c:v>5.5718097132912755E-3</c:v>
                </c:pt>
                <c:pt idx="19">
                  <c:v>-9.6803883305667191E-5</c:v>
                </c:pt>
                <c:pt idx="20">
                  <c:v>-8.6673130316401673E-3</c:v>
                </c:pt>
                <c:pt idx="21">
                  <c:v>2.2928537097669836E-2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3E-4CF1-80A2-8483C727BA98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#,##0.00%_);[Red]\(#,##0.00%\)</c:formatCode>
                <c:ptCount val="22"/>
                <c:pt idx="0">
                  <c:v>8.3295195676598058E-2</c:v>
                </c:pt>
                <c:pt idx="1">
                  <c:v>5.6554661009190263E-5</c:v>
                </c:pt>
                <c:pt idx="2">
                  <c:v>1.2282084587125421E-3</c:v>
                </c:pt>
                <c:pt idx="3">
                  <c:v>0</c:v>
                </c:pt>
                <c:pt idx="4">
                  <c:v>0</c:v>
                </c:pt>
                <c:pt idx="5">
                  <c:v>-1.460750497945966E-2</c:v>
                </c:pt>
                <c:pt idx="6">
                  <c:v>2.7017569840952983E-2</c:v>
                </c:pt>
                <c:pt idx="7">
                  <c:v>0</c:v>
                </c:pt>
                <c:pt idx="8">
                  <c:v>2.937422520096792E-2</c:v>
                </c:pt>
                <c:pt idx="9">
                  <c:v>-1.9290835839187826E-2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6.3322279659180261E-2</c:v>
                </c:pt>
                <c:pt idx="16">
                  <c:v>0</c:v>
                </c:pt>
                <c:pt idx="17">
                  <c:v>0</c:v>
                </c:pt>
                <c:pt idx="18">
                  <c:v>1.1982417446890391E-2</c:v>
                </c:pt>
                <c:pt idx="19">
                  <c:v>-5.7170467810778366E-5</c:v>
                </c:pt>
                <c:pt idx="20">
                  <c:v>2.3169883074811008E-3</c:v>
                </c:pt>
                <c:pt idx="21">
                  <c:v>1.8578204045590432E-2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3E-4CF1-80A2-8483C727BA98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#,##0.00%_);[Red]\(#,##0.00%\)</c:formatCode>
                <c:ptCount val="22"/>
                <c:pt idx="0">
                  <c:v>8.3295195676598058E-2</c:v>
                </c:pt>
                <c:pt idx="1">
                  <c:v>5.6554661009190263E-5</c:v>
                </c:pt>
                <c:pt idx="2">
                  <c:v>1.2282084587125421E-3</c:v>
                </c:pt>
                <c:pt idx="3">
                  <c:v>0</c:v>
                </c:pt>
                <c:pt idx="4">
                  <c:v>0</c:v>
                </c:pt>
                <c:pt idx="5">
                  <c:v>-1.460750497945966E-2</c:v>
                </c:pt>
                <c:pt idx="6">
                  <c:v>2.7017569840952983E-2</c:v>
                </c:pt>
                <c:pt idx="7">
                  <c:v>0</c:v>
                </c:pt>
                <c:pt idx="8">
                  <c:v>2.937422520096792E-2</c:v>
                </c:pt>
                <c:pt idx="9">
                  <c:v>-1.9290835839187826E-2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6.3322279659180261E-2</c:v>
                </c:pt>
                <c:pt idx="16">
                  <c:v>0</c:v>
                </c:pt>
                <c:pt idx="17">
                  <c:v>0</c:v>
                </c:pt>
                <c:pt idx="18">
                  <c:v>1.1982417446890391E-2</c:v>
                </c:pt>
                <c:pt idx="19">
                  <c:v>-5.7170467810778366E-5</c:v>
                </c:pt>
                <c:pt idx="20">
                  <c:v>2.3169883074811008E-3</c:v>
                </c:pt>
                <c:pt idx="21">
                  <c:v>1.8578204045590432E-2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3E-4CF1-80A2-8483C727BA98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883E-4CF1-80A2-8483C727BA98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883E-4CF1-80A2-8483C727BA98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883E-4CF1-80A2-8483C727BA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077576"/>
        <c:axId val="730078232"/>
      </c:radarChart>
      <c:catAx>
        <c:axId val="73007757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730078232"/>
        <c:crosses val="autoZero"/>
        <c:auto val="1"/>
        <c:lblAlgn val="ctr"/>
        <c:lblOffset val="100"/>
        <c:noMultiLvlLbl val="0"/>
      </c:catAx>
      <c:valAx>
        <c:axId val="730078232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730077576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TE'!$B$13:$K$13</c:f>
              <c:numCache>
                <c:formatCode>#,##0.00%_);[Red]\(#,##0.00%\)</c:formatCode>
                <c:ptCount val="10"/>
                <c:pt idx="0">
                  <c:v>1.7609313140221218E-3</c:v>
                </c:pt>
                <c:pt idx="1">
                  <c:v>7.4791207370628485E-2</c:v>
                </c:pt>
                <c:pt idx="2">
                  <c:v>0</c:v>
                </c:pt>
                <c:pt idx="3">
                  <c:v>7.0928328132170274E-2</c:v>
                </c:pt>
                <c:pt idx="4">
                  <c:v>7.4572653613081546E-2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8.7604039636618404E-4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FF-4F3F-B870-BF9015D5B30A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TE'!$B$14:$K$14</c:f>
              <c:numCache>
                <c:formatCode>#,##0.00%_);[Red]\(#,##0.00%\)</c:formatCode>
                <c:ptCount val="10"/>
                <c:pt idx="0">
                  <c:v>1.7439629477140242E-3</c:v>
                </c:pt>
                <c:pt idx="1">
                  <c:v>7.4435357069291982E-2</c:v>
                </c:pt>
                <c:pt idx="2">
                  <c:v>0</c:v>
                </c:pt>
                <c:pt idx="3">
                  <c:v>7.0641082455745699E-2</c:v>
                </c:pt>
                <c:pt idx="4">
                  <c:v>7.3626975474066617E-2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8.5732034651417538E-4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FF-4F3F-B870-BF9015D5B30A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TE'!$B$15:$K$15</c:f>
              <c:numCache>
                <c:formatCode>#,##0.00%_);[Red]\(#,##0.00%\)</c:formatCode>
                <c:ptCount val="10"/>
                <c:pt idx="0">
                  <c:v>1.7439629477140242E-3</c:v>
                </c:pt>
                <c:pt idx="1">
                  <c:v>7.4435357069291982E-2</c:v>
                </c:pt>
                <c:pt idx="2">
                  <c:v>0</c:v>
                </c:pt>
                <c:pt idx="3">
                  <c:v>7.0641082455745699E-2</c:v>
                </c:pt>
                <c:pt idx="4">
                  <c:v>7.3626975474066617E-2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8.5732034651417538E-4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FF-4F3F-B870-BF9015D5B30A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CBFF-4F3F-B870-BF9015D5B30A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CBFF-4F3F-B870-BF9015D5B30A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CBFF-4F3F-B870-BF9015D5B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937552"/>
        <c:axId val="1036944768"/>
      </c:radarChart>
      <c:catAx>
        <c:axId val="1036937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036944768"/>
        <c:crosses val="autoZero"/>
        <c:auto val="1"/>
        <c:lblAlgn val="ctr"/>
        <c:lblOffset val="100"/>
        <c:noMultiLvlLbl val="0"/>
      </c:catAx>
      <c:valAx>
        <c:axId val="1036944768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1036937552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16</xdr:row>
      <xdr:rowOff>0</xdr:rowOff>
    </xdr:from>
    <xdr:to>
      <xdr:col>11</xdr:col>
      <xdr:colOff>190501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4505990-F3B8-4FEB-B906-DF07122E0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16</xdr:row>
      <xdr:rowOff>0</xdr:rowOff>
    </xdr:from>
    <xdr:to>
      <xdr:col>11</xdr:col>
      <xdr:colOff>390526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F01C3DE-5094-407B-B0D8-DB1730551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490.671973032404" createdVersion="5" refreshedVersion="7" minRefreshableVersion="3" recordCount="2577" xr:uid="{D009240B-38B6-46EC-98B0-FECDB8E3F4E9}">
  <cacheSource type="worksheet">
    <worksheetSource name="Efeito"/>
  </cacheSource>
  <cacheFields count="36">
    <cacheField name="TipoMercado" numFmtId="0">
      <sharedItems/>
    </cacheField>
    <cacheField name="Subgrupo" numFmtId="0">
      <sharedItems count="6">
        <s v="A3"/>
        <s v="A4"/>
        <s v="B1"/>
        <s v="B2"/>
        <s v="B3"/>
        <s v="B4"/>
      </sharedItems>
    </cacheField>
    <cacheField name="Modalidade" numFmtId="0">
      <sharedItems count="5">
        <s v="Azul"/>
        <s v="Geração"/>
        <s v="Verde"/>
        <s v="Branca"/>
        <s v="Convencional"/>
      </sharedItems>
    </cacheField>
    <cacheField name="Classe" numFmtId="0">
      <sharedItems count="9">
        <s v="Comercial"/>
        <s v="Industrial"/>
        <s v="Poder público"/>
        <s v="Serviço Público"/>
        <s v="Não se aplica"/>
        <s v="Rural"/>
        <s v="Consumo próprio"/>
        <s v="Residencial"/>
        <s v="Iluminação pública"/>
      </sharedItems>
    </cacheField>
    <cacheField name="Subclasse" numFmtId="0">
      <sharedItems count="10">
        <s v="Não se aplica"/>
        <s v="Água, esgoto e saneamento"/>
        <s v="Residencial"/>
        <s v="Aquicultura"/>
        <s v="Residencial baixa renda – faixa 01"/>
        <s v="Residencial baixa renda – faixa 02"/>
        <s v="Residencial baixa renda – faixa 03"/>
        <s v="Residencial baixa renda – faixa 04"/>
        <s v="Serviço público de irrigação rural"/>
        <s v="Iluminação pública – B4a"/>
      </sharedItems>
    </cacheField>
    <cacheField name="Detalhe" numFmtId="0">
      <sharedItems count="4">
        <s v="Não se aplica"/>
        <s v="Fonte incentivada"/>
        <s v="IRRIG./AQUIC."/>
        <s v="IRRIG./AQUIC. PR"/>
      </sharedItems>
    </cacheField>
    <cacheField name="Agente" numFmtId="0">
      <sharedItems count="6">
        <s v="Não se aplica"/>
        <s v="APARECIDA PARTE I"/>
        <s v="JARAQUI"/>
        <s v="TAMBAQUI"/>
        <s v="PONTA NEGRA"/>
        <s v="MANAUAR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0-11-01T00:00:00" maxDate="2021-10-02T00:00:00" count="12"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</sharedItems>
    </cacheField>
    <cacheField name="D" numFmtId="40">
      <sharedItems containsSemiMixedTypes="0" containsString="0" containsNumber="1" containsInteger="1" minValue="-45976" maxValue="162614"/>
    </cacheField>
    <cacheField name="Daj" numFmtId="40">
      <sharedItems containsSemiMixedTypes="0" containsString="0" containsNumber="1" minValue="-45976" maxValue="162614"/>
    </cacheField>
    <cacheField name="TUSD_E" numFmtId="40">
      <sharedItems containsSemiMixedTypes="0" containsString="0" containsNumber="1" minValue="-22839.87" maxValue="138145.65100000001"/>
    </cacheField>
    <cacheField name="TUSD_Eaj" numFmtId="40">
      <sharedItems containsSemiMixedTypes="0" containsString="0" containsNumber="1" minValue="-22839.87" maxValue="138145.65100000001"/>
    </cacheField>
    <cacheField name="TE_E" numFmtId="40">
      <sharedItems containsSemiMixedTypes="0" containsString="0" containsNumber="1" minValue="-22839.87" maxValue="138145.65100000001"/>
    </cacheField>
    <cacheField name="TE_Eaj" numFmtId="40">
      <sharedItems containsSemiMixedTypes="0" containsString="0" containsNumber="1" minValue="-22839.87" maxValue="138145.65100000001"/>
    </cacheField>
    <cacheField name="UC" numFmtId="40">
      <sharedItems containsSemiMixedTypes="0" containsString="0" containsNumber="1" containsInteger="1" minValue="-808" maxValue="519289"/>
    </cacheField>
    <cacheField name="OPÇÃO" numFmtId="0">
      <sharedItems count="3">
        <s v="LIVRE"/>
        <s v="CATIVO"/>
        <s v="GERAÇÃO"/>
      </sharedItems>
    </cacheField>
    <cacheField name="CóD. AUX." numFmtId="0">
      <sharedItems containsSemiMixedTypes="0" containsString="0" containsNumber="1" containsInteger="1" minValue="0" maxValue="29432"/>
    </cacheField>
    <cacheField name="CóD. AUX. TUSD R$/kW" numFmtId="40">
      <sharedItems containsSemiMixedTypes="0" containsString="0" containsNumber="1" containsInteger="1" minValue="0" maxValue="29"/>
    </cacheField>
    <cacheField name="CóD. AUX. TUSD R$/MWh" numFmtId="40">
      <sharedItems containsSemiMixedTypes="0" containsString="0" containsNumber="1" containsInteger="1" minValue="0" maxValue="75"/>
    </cacheField>
    <cacheField name="CóD. AUX. TE R$/MWh" numFmtId="40">
      <sharedItems containsSemiMixedTypes="0" containsString="0" containsNumber="1" containsInteger="1" minValue="0" maxValue="90"/>
    </cacheField>
    <cacheField name="TUSD (R$/kW)" numFmtId="40">
      <sharedItems containsSemiMixedTypes="0" containsString="0" containsNumber="1" minValue="0" maxValue="52.99"/>
    </cacheField>
    <cacheField name="TUSD (R$/MWh)" numFmtId="40">
      <sharedItems containsSemiMixedTypes="0" containsString="0" containsNumber="1" minValue="0" maxValue="1434.79"/>
    </cacheField>
    <cacheField name="TE (R$/MWh)" numFmtId="40">
      <sharedItems containsSemiMixedTypes="0" containsString="0" containsNumber="1" minValue="0" maxValue="389.28"/>
    </cacheField>
    <cacheField name="TUSD (R$/kW) NOVA" numFmtId="40">
      <sharedItems containsString="0" containsBlank="1" containsNumber="1" minValue="6.4798355258986495" maxValue="59.276351675174958"/>
    </cacheField>
    <cacheField name="TUSD (R$/MWh) NOVA" numFmtId="40">
      <sharedItems containsString="0" containsBlank="1" containsNumber="1" minValue="40.035165075358321" maxValue="1501.8340703569011"/>
    </cacheField>
    <cacheField name="TE (R$/MWh) NOVA" numFmtId="40">
      <sharedItems containsString="0" containsBlank="1" containsNumber="1" minValue="104.02058230712306" maxValue="454.3285679284046"/>
    </cacheField>
    <cacheField name="RA0 ou RV - TUSD (kW)" numFmtId="40">
      <sharedItems containsSemiMixedTypes="0" containsString="0" containsNumber="1" minValue="-1313534.32" maxValue="3963173.2600000002"/>
    </cacheField>
    <cacheField name="RA0 ou RV - TUSD (MWh)" numFmtId="40">
      <sharedItems containsSemiMixedTypes="0" containsString="0" containsNumber="1" minValue="-3417529.7481" maxValue="62191790.623690002"/>
    </cacheField>
    <cacheField name="RA0 ou RV - TE (MWh)" numFmtId="40">
      <sharedItems containsSemiMixedTypes="0" containsString="0" containsNumber="1" minValue="-5253855.2960999999" maxValue="33610836.888300002"/>
    </cacheField>
    <cacheField name="RA1 ou RRD - TUSD (kW)" numFmtId="40">
      <sharedItems containsSemiMixedTypes="0" containsString="0" containsNumber="1" minValue="-1468043.1906946511" maxValue="4429354.7791626202"/>
    </cacheField>
    <cacheField name="RA1 ou RRD - TUSD (MWh)" numFmtId="40">
      <sharedItems containsSemiMixedTypes="0" containsString="0" containsNumber="1" minValue="-3218738.2887592618" maxValue="51901741.090258002"/>
    </cacheField>
    <cacheField name="RA1 ou RRD - TE (MWh)" numFmtId="40">
      <sharedItems containsSemiMixedTypes="0" containsString="0" containsNumber="1" minValue="-6461796.630274822" maxValue="41057117.314904571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490.672670486114" createdVersion="5" refreshedVersion="7" minRefreshableVersion="3" recordCount="874" xr:uid="{607C2B2D-9519-4B7D-904F-5E00249CA8AB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5">
        <s v="A3"/>
        <s v="A4"/>
        <s v="B1"/>
        <s v="B2"/>
        <s v="B3"/>
      </sharedItems>
    </cacheField>
    <cacheField name="Modalidade" numFmtId="0">
      <sharedItems count="5">
        <s v="Azul"/>
        <s v="Geração"/>
        <s v="Verde"/>
        <s v="Convencional"/>
        <s v="Branca"/>
      </sharedItems>
    </cacheField>
    <cacheField name="Classe" numFmtId="0">
      <sharedItems count="5">
        <s v="Industrial"/>
        <s v="Serviço Público"/>
        <s v="Não se aplica"/>
        <s v="Rural"/>
        <s v="Residencial"/>
      </sharedItems>
    </cacheField>
    <cacheField name="Subclasse" numFmtId="0">
      <sharedItems count="9">
        <s v="Não se aplica"/>
        <s v="Água, esgoto e saneamento"/>
        <s v="Aquicultura"/>
        <s v="Residencial"/>
        <s v="Residencial baixa renda – faixa 01"/>
        <s v="Residencial baixa renda – faixa 02"/>
        <s v="Residencial baixa renda – faixa 03"/>
        <s v="Residencial baixa renda – faixa 04"/>
        <s v="Serviço público de irrigação rural"/>
      </sharedItems>
    </cacheField>
    <cacheField name="Detalhe" numFmtId="0">
      <sharedItems count="4">
        <s v="Fonte incentivada"/>
        <s v="Não se aplica"/>
        <s v="IRRIG./AQUIC."/>
        <s v="IRRIG./AQUIC. PR"/>
      </sharedItems>
    </cacheField>
    <cacheField name="Agente" numFmtId="0">
      <sharedItems count="6">
        <s v="Não se aplica"/>
        <s v="APARECIDA PARTE I"/>
        <s v="JARAQUI"/>
        <s v="TAMBAQUI"/>
        <s v="PONTA NEGRA"/>
        <s v="MANAUAR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0-11-01T00:00:00" maxDate="2021-10-02T00:00:00" count="12"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</sharedItems>
    </cacheField>
    <cacheField name="D" numFmtId="40">
      <sharedItems containsSemiMixedTypes="0" containsString="0" containsNumber="1" containsInteger="1" minValue="-353" maxValue="157500"/>
    </cacheField>
    <cacheField name="Daj" numFmtId="40">
      <sharedItems containsSemiMixedTypes="0" containsString="0" containsNumber="1" minValue="-331.82" maxValue="157500"/>
    </cacheField>
    <cacheField name="TUSD_E" numFmtId="40">
      <sharedItems containsSemiMixedTypes="0" containsString="0" containsNumber="1" minValue="-768.45" maxValue="126656.876"/>
    </cacheField>
    <cacheField name="TUSD_Eaj" numFmtId="40">
      <sharedItems containsSemiMixedTypes="0" containsString="0" containsNumber="1" minValue="-699.28949999999998" maxValue="126656.876"/>
    </cacheField>
    <cacheField name="TE_E" numFmtId="40">
      <sharedItems containsSemiMixedTypes="0" containsString="0" containsNumber="1" minValue="-768.45" maxValue="126656.876"/>
    </cacheField>
    <cacheField name="TE_Eaj" numFmtId="40">
      <sharedItems containsSemiMixedTypes="0" containsString="0" containsNumber="1" minValue="-699.28949999999998" maxValue="126656.876"/>
    </cacheField>
    <cacheField name="UC" numFmtId="40">
      <sharedItems containsSemiMixedTypes="0" containsString="0" containsNumber="1" containsInteger="1" minValue="-250" maxValue="519289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29432"/>
    </cacheField>
    <cacheField name="CóD. AUX. TUSD R$/kW" numFmtId="0">
      <sharedItems containsSemiMixedTypes="0" containsString="0" containsNumber="1" containsInteger="1" minValue="0" maxValue="29"/>
    </cacheField>
    <cacheField name="CóD. AUX. TUSD R$/MWh" numFmtId="0">
      <sharedItems containsSemiMixedTypes="0" containsString="0" containsNumber="1" containsInteger="1" minValue="0" maxValue="72"/>
    </cacheField>
    <cacheField name="CóD. AUX. TE R$/MWh" numFmtId="0">
      <sharedItems containsSemiMixedTypes="0" containsString="0" containsNumber="1" containsInteger="1" minValue="0" maxValue="90"/>
    </cacheField>
    <cacheField name="TUSD (R$/kW)" numFmtId="40">
      <sharedItems containsSemiMixedTypes="0" containsString="0" containsNumber="1" minValue="0" maxValue="52.99"/>
    </cacheField>
    <cacheField name="TUSD (R$/MWh)" numFmtId="40">
      <sharedItems containsSemiMixedTypes="0" containsString="0" containsNumber="1" minValue="0" maxValue="1434.79"/>
    </cacheField>
    <cacheField name="TE (R$/MWh)" numFmtId="40">
      <sharedItems containsSemiMixedTypes="0" containsString="0" containsNumber="1" minValue="0" maxValue="389.28"/>
    </cacheField>
    <cacheField name="TUSD (R$/kW) NOVA" numFmtId="40">
      <sharedItems containsString="0" containsBlank="1" containsNumber="1" minValue="6.4798355258986495" maxValue="59.276351675174958"/>
    </cacheField>
    <cacheField name="TUSD (R$/MWh) NOVA" numFmtId="40">
      <sharedItems containsString="0" containsBlank="1" containsNumber="1" minValue="40.035165075358321" maxValue="1501.8340703569011"/>
    </cacheField>
    <cacheField name="TE (R$/MWh) NOVA" numFmtId="40">
      <sharedItems containsString="0" containsBlank="1" containsNumber="1" minValue="104.02058230712306" maxValue="454.3285679284046"/>
    </cacheField>
    <cacheField name="SUBSIDIO kW - TV" numFmtId="40">
      <sharedItems containsSemiMixedTypes="0" containsString="0" containsNumber="1" minValue="-605.11260000000016" maxValue="1665766.718928"/>
    </cacheField>
    <cacheField name="SUBSIDIO MWh - TV" numFmtId="40">
      <sharedItems containsSemiMixedTypes="0" containsString="0" containsNumber="1" minValue="-47962.115145000047" maxValue="2257588.7527949284"/>
    </cacheField>
    <cacheField name="SUBSIDIO kW - TN" numFmtId="40">
      <sharedItems containsSemiMixedTypes="0" containsString="0" containsNumber="1" minValue="-676.2909948432382" maxValue="1861708.1044429971"/>
    </cacheField>
    <cacheField name="SUBSIDIO MWh - TN" numFmtId="40">
      <sharedItems containsSemiMixedTypes="0" containsString="0" containsNumber="1" minValue="-46538.4257860586" maxValue="2363080.1063583987"/>
    </cacheField>
    <cacheField name="TIPO" numFmtId="0">
      <sharedItems containsBlank="1" count="7">
        <s v="SUBSIDIO CARGA FONTE INCENTIVADA"/>
        <s v="SUBSIDIO ÁGUA, ESGOTO E SANEAMENTO"/>
        <s v="SUBSIDIO GERAÇÃO FONTE INCENTIVADA"/>
        <s v="SUBSIDIO RURAL"/>
        <m/>
        <s v="SUBSIDIO BAIXA RENDA"/>
        <s v="SUBSIDIO IRRIGANTE/AQUICULTOR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77">
  <r>
    <s v="Regular"/>
    <x v="0"/>
    <x v="0"/>
    <x v="0"/>
    <x v="0"/>
    <x v="0"/>
    <x v="0"/>
    <x v="0"/>
    <x v="0"/>
    <n v="14050"/>
    <n v="14050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82895"/>
    <n v="0"/>
    <n v="0"/>
    <n v="91041.689138876027"/>
    <n v="0"/>
    <n v="0"/>
  </r>
  <r>
    <s v="Regular"/>
    <x v="0"/>
    <x v="0"/>
    <x v="0"/>
    <x v="0"/>
    <x v="0"/>
    <x v="0"/>
    <x v="0"/>
    <x v="1"/>
    <n v="14050"/>
    <n v="14050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82895"/>
    <n v="0"/>
    <n v="0"/>
    <n v="91041.689138876027"/>
    <n v="0"/>
    <n v="0"/>
  </r>
  <r>
    <s v="Regular"/>
    <x v="0"/>
    <x v="0"/>
    <x v="0"/>
    <x v="0"/>
    <x v="0"/>
    <x v="0"/>
    <x v="0"/>
    <x v="2"/>
    <n v="13050"/>
    <n v="13050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6995"/>
    <n v="0"/>
    <n v="0"/>
    <n v="84561.853612977371"/>
    <n v="0"/>
    <n v="0"/>
  </r>
  <r>
    <s v="Regular"/>
    <x v="0"/>
    <x v="0"/>
    <x v="0"/>
    <x v="0"/>
    <x v="0"/>
    <x v="0"/>
    <x v="0"/>
    <x v="3"/>
    <n v="13050"/>
    <n v="13050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6995"/>
    <n v="0"/>
    <n v="0"/>
    <n v="84561.853612977371"/>
    <n v="0"/>
    <n v="0"/>
  </r>
  <r>
    <s v="Regular"/>
    <x v="0"/>
    <x v="0"/>
    <x v="0"/>
    <x v="0"/>
    <x v="0"/>
    <x v="0"/>
    <x v="0"/>
    <x v="4"/>
    <n v="13050"/>
    <n v="13050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6995"/>
    <n v="0"/>
    <n v="0"/>
    <n v="84561.853612977371"/>
    <n v="0"/>
    <n v="0"/>
  </r>
  <r>
    <s v="Regular"/>
    <x v="0"/>
    <x v="0"/>
    <x v="0"/>
    <x v="0"/>
    <x v="0"/>
    <x v="0"/>
    <x v="0"/>
    <x v="5"/>
    <n v="13050"/>
    <n v="13050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6995"/>
    <n v="0"/>
    <n v="0"/>
    <n v="84561.853612977371"/>
    <n v="0"/>
    <n v="0"/>
  </r>
  <r>
    <s v="Regular"/>
    <x v="0"/>
    <x v="0"/>
    <x v="0"/>
    <x v="0"/>
    <x v="0"/>
    <x v="0"/>
    <x v="0"/>
    <x v="6"/>
    <n v="13050"/>
    <n v="13050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6995"/>
    <n v="0"/>
    <n v="0"/>
    <n v="84561.853612977371"/>
    <n v="0"/>
    <n v="0"/>
  </r>
  <r>
    <s v="Regular"/>
    <x v="0"/>
    <x v="0"/>
    <x v="0"/>
    <x v="0"/>
    <x v="0"/>
    <x v="0"/>
    <x v="0"/>
    <x v="7"/>
    <n v="13050"/>
    <n v="13050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6995"/>
    <n v="0"/>
    <n v="0"/>
    <n v="84561.853612977371"/>
    <n v="0"/>
    <n v="0"/>
  </r>
  <r>
    <s v="Regular"/>
    <x v="0"/>
    <x v="0"/>
    <x v="0"/>
    <x v="0"/>
    <x v="0"/>
    <x v="0"/>
    <x v="0"/>
    <x v="8"/>
    <n v="13050"/>
    <n v="13050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6995"/>
    <n v="0"/>
    <n v="0"/>
    <n v="84561.853612977371"/>
    <n v="0"/>
    <n v="0"/>
  </r>
  <r>
    <s v="Regular"/>
    <x v="0"/>
    <x v="0"/>
    <x v="0"/>
    <x v="0"/>
    <x v="0"/>
    <x v="0"/>
    <x v="0"/>
    <x v="9"/>
    <n v="13050"/>
    <n v="13050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6995"/>
    <n v="0"/>
    <n v="0"/>
    <n v="84561.853612977371"/>
    <n v="0"/>
    <n v="0"/>
  </r>
  <r>
    <s v="Regular"/>
    <x v="0"/>
    <x v="0"/>
    <x v="0"/>
    <x v="0"/>
    <x v="0"/>
    <x v="0"/>
    <x v="0"/>
    <x v="10"/>
    <n v="13050"/>
    <n v="13050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6995"/>
    <n v="0"/>
    <n v="0"/>
    <n v="84561.853612977371"/>
    <n v="0"/>
    <n v="0"/>
  </r>
  <r>
    <s v="PROJETADO"/>
    <x v="0"/>
    <x v="0"/>
    <x v="0"/>
    <x v="0"/>
    <x v="0"/>
    <x v="0"/>
    <x v="0"/>
    <x v="11"/>
    <n v="13050"/>
    <n v="13050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6995"/>
    <n v="0"/>
    <n v="0"/>
    <n v="84561.853612977371"/>
    <n v="0"/>
    <n v="0"/>
  </r>
  <r>
    <s v="Regular"/>
    <x v="0"/>
    <x v="0"/>
    <x v="0"/>
    <x v="0"/>
    <x v="0"/>
    <x v="0"/>
    <x v="1"/>
    <x v="0"/>
    <n v="0"/>
    <n v="0"/>
    <n v="4325.2849999999999"/>
    <n v="4325.2849999999999"/>
    <n v="0"/>
    <n v="0"/>
    <n v="3"/>
    <x v="0"/>
    <n v="0"/>
    <n v="0"/>
    <n v="25"/>
    <n v="0"/>
    <n v="0"/>
    <n v="52.77"/>
    <n v="0"/>
    <m/>
    <n v="40.035165075358321"/>
    <m/>
    <n v="0"/>
    <n v="228245.28945000001"/>
    <n v="0"/>
    <n v="0"/>
    <n v="173163.49897297123"/>
    <n v="0"/>
  </r>
  <r>
    <s v="Regular"/>
    <x v="0"/>
    <x v="0"/>
    <x v="0"/>
    <x v="0"/>
    <x v="0"/>
    <x v="0"/>
    <x v="1"/>
    <x v="1"/>
    <n v="0"/>
    <n v="0"/>
    <n v="4370.915"/>
    <n v="4370.915"/>
    <n v="0"/>
    <n v="0"/>
    <n v="3"/>
    <x v="0"/>
    <n v="0"/>
    <n v="0"/>
    <n v="25"/>
    <n v="0"/>
    <n v="0"/>
    <n v="52.77"/>
    <n v="0"/>
    <m/>
    <n v="40.035165075358321"/>
    <m/>
    <n v="0"/>
    <n v="230653.18455000001"/>
    <n v="0"/>
    <n v="0"/>
    <n v="174990.3035553598"/>
    <n v="0"/>
  </r>
  <r>
    <s v="Regular"/>
    <x v="0"/>
    <x v="0"/>
    <x v="0"/>
    <x v="0"/>
    <x v="0"/>
    <x v="0"/>
    <x v="1"/>
    <x v="2"/>
    <n v="0"/>
    <n v="0"/>
    <n v="1928.15"/>
    <n v="1928.15"/>
    <n v="0"/>
    <n v="0"/>
    <n v="3"/>
    <x v="0"/>
    <n v="0"/>
    <n v="0"/>
    <n v="25"/>
    <n v="0"/>
    <n v="0"/>
    <n v="52.77"/>
    <n v="0"/>
    <m/>
    <n v="40.035165075358321"/>
    <m/>
    <n v="0"/>
    <n v="101748.47550000002"/>
    <n v="0"/>
    <n v="0"/>
    <n v="77193.803540052148"/>
    <n v="0"/>
  </r>
  <r>
    <s v="Regular"/>
    <x v="0"/>
    <x v="0"/>
    <x v="0"/>
    <x v="0"/>
    <x v="0"/>
    <x v="0"/>
    <x v="1"/>
    <x v="3"/>
    <n v="0"/>
    <n v="0"/>
    <n v="1800.48"/>
    <n v="1800.48"/>
    <n v="0"/>
    <n v="0"/>
    <n v="3"/>
    <x v="0"/>
    <n v="0"/>
    <n v="0"/>
    <n v="25"/>
    <n v="0"/>
    <n v="0"/>
    <n v="52.77"/>
    <n v="0"/>
    <m/>
    <n v="40.035165075358321"/>
    <m/>
    <n v="0"/>
    <n v="95011.329600000012"/>
    <n v="0"/>
    <n v="0"/>
    <n v="72082.514014881148"/>
    <n v="0"/>
  </r>
  <r>
    <s v="Regular"/>
    <x v="0"/>
    <x v="0"/>
    <x v="0"/>
    <x v="0"/>
    <x v="0"/>
    <x v="0"/>
    <x v="1"/>
    <x v="4"/>
    <n v="0"/>
    <n v="0"/>
    <n v="3124.4"/>
    <n v="3124.4"/>
    <n v="0"/>
    <n v="0"/>
    <n v="3"/>
    <x v="0"/>
    <n v="0"/>
    <n v="0"/>
    <n v="25"/>
    <n v="0"/>
    <n v="0"/>
    <n v="52.77"/>
    <n v="0"/>
    <m/>
    <n v="40.035165075358321"/>
    <m/>
    <n v="0"/>
    <n v="164874.58800000002"/>
    <n v="0"/>
    <n v="0"/>
    <n v="125085.86976144955"/>
    <n v="0"/>
  </r>
  <r>
    <s v="Regular"/>
    <x v="0"/>
    <x v="0"/>
    <x v="0"/>
    <x v="0"/>
    <x v="0"/>
    <x v="0"/>
    <x v="1"/>
    <x v="5"/>
    <n v="0"/>
    <n v="0"/>
    <n v="3523.52"/>
    <n v="3523.52"/>
    <n v="0"/>
    <n v="0"/>
    <n v="3"/>
    <x v="0"/>
    <n v="0"/>
    <n v="0"/>
    <n v="25"/>
    <n v="0"/>
    <n v="0"/>
    <n v="52.77"/>
    <n v="0"/>
    <m/>
    <n v="40.035165075358321"/>
    <m/>
    <n v="0"/>
    <n v="185936.15040000001"/>
    <n v="0"/>
    <n v="0"/>
    <n v="141064.70484632655"/>
    <n v="0"/>
  </r>
  <r>
    <s v="Regular"/>
    <x v="0"/>
    <x v="0"/>
    <x v="0"/>
    <x v="0"/>
    <x v="0"/>
    <x v="0"/>
    <x v="1"/>
    <x v="6"/>
    <n v="0"/>
    <n v="0"/>
    <n v="4059.7350000000001"/>
    <n v="4059.7350000000001"/>
    <n v="0"/>
    <n v="0"/>
    <n v="3"/>
    <x v="0"/>
    <n v="0"/>
    <n v="0"/>
    <n v="25"/>
    <n v="0"/>
    <n v="0"/>
    <n v="52.77"/>
    <n v="0"/>
    <m/>
    <n v="40.035165075358321"/>
    <m/>
    <n v="0"/>
    <n v="214232.21595000001"/>
    <n v="0"/>
    <n v="0"/>
    <n v="162532.16088720981"/>
    <n v="0"/>
  </r>
  <r>
    <s v="Regular"/>
    <x v="0"/>
    <x v="0"/>
    <x v="0"/>
    <x v="0"/>
    <x v="0"/>
    <x v="0"/>
    <x v="1"/>
    <x v="7"/>
    <n v="0"/>
    <n v="0"/>
    <n v="1928.15"/>
    <n v="1928.15"/>
    <n v="0"/>
    <n v="0"/>
    <n v="3"/>
    <x v="0"/>
    <n v="0"/>
    <n v="0"/>
    <n v="25"/>
    <n v="0"/>
    <n v="0"/>
    <n v="52.77"/>
    <n v="0"/>
    <m/>
    <n v="40.035165075358321"/>
    <m/>
    <n v="0"/>
    <n v="101748.47550000002"/>
    <n v="0"/>
    <n v="0"/>
    <n v="77193.803540052148"/>
    <n v="0"/>
  </r>
  <r>
    <s v="Regular"/>
    <x v="0"/>
    <x v="0"/>
    <x v="0"/>
    <x v="0"/>
    <x v="0"/>
    <x v="0"/>
    <x v="1"/>
    <x v="8"/>
    <n v="0"/>
    <n v="0"/>
    <n v="4466.1099999999997"/>
    <n v="4466.1099999999997"/>
    <n v="0"/>
    <n v="0"/>
    <n v="3"/>
    <x v="0"/>
    <n v="0"/>
    <n v="0"/>
    <n v="25"/>
    <n v="0"/>
    <n v="0"/>
    <n v="52.77"/>
    <n v="0"/>
    <m/>
    <n v="40.035165075358321"/>
    <m/>
    <n v="0"/>
    <n v="235676.62469999999"/>
    <n v="0"/>
    <n v="0"/>
    <n v="178801.45109470855"/>
    <n v="0"/>
  </r>
  <r>
    <s v="Regular"/>
    <x v="0"/>
    <x v="0"/>
    <x v="0"/>
    <x v="0"/>
    <x v="0"/>
    <x v="0"/>
    <x v="1"/>
    <x v="9"/>
    <n v="0"/>
    <n v="0"/>
    <n v="4618.585"/>
    <n v="4618.585"/>
    <n v="0"/>
    <n v="0"/>
    <n v="3"/>
    <x v="0"/>
    <n v="0"/>
    <n v="0"/>
    <n v="25"/>
    <n v="0"/>
    <n v="0"/>
    <n v="52.77"/>
    <n v="0"/>
    <m/>
    <n v="40.035165075358321"/>
    <m/>
    <n v="0"/>
    <n v="243722.73045"/>
    <n v="0"/>
    <n v="0"/>
    <n v="184905.8128895738"/>
    <n v="0"/>
  </r>
  <r>
    <s v="Regular"/>
    <x v="0"/>
    <x v="0"/>
    <x v="0"/>
    <x v="0"/>
    <x v="0"/>
    <x v="0"/>
    <x v="1"/>
    <x v="10"/>
    <n v="0"/>
    <n v="0"/>
    <n v="4423.01"/>
    <n v="4423.01"/>
    <n v="0"/>
    <n v="0"/>
    <n v="3"/>
    <x v="0"/>
    <n v="0"/>
    <n v="0"/>
    <n v="25"/>
    <n v="0"/>
    <n v="0"/>
    <n v="52.77"/>
    <n v="0"/>
    <m/>
    <n v="40.035165075358321"/>
    <m/>
    <n v="0"/>
    <n v="233402.23770000003"/>
    <n v="0"/>
    <n v="0"/>
    <n v="177075.93547996061"/>
    <n v="0"/>
  </r>
  <r>
    <s v="PROJETADO"/>
    <x v="0"/>
    <x v="0"/>
    <x v="0"/>
    <x v="0"/>
    <x v="0"/>
    <x v="0"/>
    <x v="1"/>
    <x v="11"/>
    <n v="0"/>
    <n v="0"/>
    <n v="4423.01"/>
    <n v="4423.01"/>
    <n v="0"/>
    <n v="0"/>
    <n v="3"/>
    <x v="0"/>
    <n v="0"/>
    <n v="0"/>
    <n v="25"/>
    <n v="0"/>
    <n v="0"/>
    <n v="52.77"/>
    <n v="0"/>
    <m/>
    <n v="40.035165075358321"/>
    <m/>
    <n v="0"/>
    <n v="233402.23770000003"/>
    <n v="0"/>
    <n v="0"/>
    <n v="177075.93547996061"/>
    <n v="0"/>
  </r>
  <r>
    <s v="Regular"/>
    <x v="0"/>
    <x v="0"/>
    <x v="0"/>
    <x v="0"/>
    <x v="0"/>
    <x v="0"/>
    <x v="2"/>
    <x v="0"/>
    <n v="13260"/>
    <n v="13260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6002.400000000009"/>
    <n v="0"/>
    <n v="0"/>
    <n v="105461.45787339896"/>
    <n v="0"/>
    <n v="0"/>
  </r>
  <r>
    <s v="Regular"/>
    <x v="0"/>
    <x v="0"/>
    <x v="0"/>
    <x v="0"/>
    <x v="0"/>
    <x v="0"/>
    <x v="2"/>
    <x v="1"/>
    <n v="13260"/>
    <n v="13260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6002.400000000009"/>
    <n v="0"/>
    <n v="0"/>
    <n v="105461.45787339896"/>
    <n v="0"/>
    <n v="0"/>
  </r>
  <r>
    <s v="Regular"/>
    <x v="0"/>
    <x v="0"/>
    <x v="0"/>
    <x v="0"/>
    <x v="0"/>
    <x v="0"/>
    <x v="2"/>
    <x v="2"/>
    <n v="12260"/>
    <n v="12260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88762.400000000009"/>
    <n v="0"/>
    <n v="0"/>
    <n v="97508.105092599639"/>
    <n v="0"/>
    <n v="0"/>
  </r>
  <r>
    <s v="Regular"/>
    <x v="0"/>
    <x v="0"/>
    <x v="0"/>
    <x v="0"/>
    <x v="0"/>
    <x v="0"/>
    <x v="2"/>
    <x v="3"/>
    <n v="12260"/>
    <n v="12260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88762.400000000009"/>
    <n v="0"/>
    <n v="0"/>
    <n v="97508.105092599639"/>
    <n v="0"/>
    <n v="0"/>
  </r>
  <r>
    <s v="Regular"/>
    <x v="0"/>
    <x v="0"/>
    <x v="0"/>
    <x v="0"/>
    <x v="0"/>
    <x v="0"/>
    <x v="2"/>
    <x v="4"/>
    <n v="12260"/>
    <n v="12260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88762.400000000009"/>
    <n v="0"/>
    <n v="0"/>
    <n v="97508.105092599639"/>
    <n v="0"/>
    <n v="0"/>
  </r>
  <r>
    <s v="Regular"/>
    <x v="0"/>
    <x v="0"/>
    <x v="0"/>
    <x v="0"/>
    <x v="0"/>
    <x v="0"/>
    <x v="2"/>
    <x v="5"/>
    <n v="12260"/>
    <n v="12260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88762.400000000009"/>
    <n v="0"/>
    <n v="0"/>
    <n v="97508.105092599639"/>
    <n v="0"/>
    <n v="0"/>
  </r>
  <r>
    <s v="Regular"/>
    <x v="0"/>
    <x v="0"/>
    <x v="0"/>
    <x v="0"/>
    <x v="0"/>
    <x v="0"/>
    <x v="2"/>
    <x v="6"/>
    <n v="12260"/>
    <n v="12260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88762.400000000009"/>
    <n v="0"/>
    <n v="0"/>
    <n v="97508.105092599639"/>
    <n v="0"/>
    <n v="0"/>
  </r>
  <r>
    <s v="Regular"/>
    <x v="0"/>
    <x v="0"/>
    <x v="0"/>
    <x v="0"/>
    <x v="0"/>
    <x v="0"/>
    <x v="2"/>
    <x v="7"/>
    <n v="12260"/>
    <n v="12260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88762.400000000009"/>
    <n v="0"/>
    <n v="0"/>
    <n v="97508.105092599639"/>
    <n v="0"/>
    <n v="0"/>
  </r>
  <r>
    <s v="Regular"/>
    <x v="0"/>
    <x v="0"/>
    <x v="0"/>
    <x v="0"/>
    <x v="0"/>
    <x v="0"/>
    <x v="2"/>
    <x v="8"/>
    <n v="12260"/>
    <n v="12260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88762.400000000009"/>
    <n v="0"/>
    <n v="0"/>
    <n v="97508.105092599639"/>
    <n v="0"/>
    <n v="0"/>
  </r>
  <r>
    <s v="Regular"/>
    <x v="0"/>
    <x v="0"/>
    <x v="0"/>
    <x v="0"/>
    <x v="0"/>
    <x v="0"/>
    <x v="2"/>
    <x v="9"/>
    <n v="12260"/>
    <n v="12260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88762.400000000009"/>
    <n v="0"/>
    <n v="0"/>
    <n v="97508.105092599639"/>
    <n v="0"/>
    <n v="0"/>
  </r>
  <r>
    <s v="Regular"/>
    <x v="0"/>
    <x v="0"/>
    <x v="0"/>
    <x v="0"/>
    <x v="0"/>
    <x v="0"/>
    <x v="2"/>
    <x v="10"/>
    <n v="12260"/>
    <n v="12260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88762.400000000009"/>
    <n v="0"/>
    <n v="0"/>
    <n v="97508.105092599639"/>
    <n v="0"/>
    <n v="0"/>
  </r>
  <r>
    <s v="PROJETADO"/>
    <x v="0"/>
    <x v="0"/>
    <x v="0"/>
    <x v="0"/>
    <x v="0"/>
    <x v="0"/>
    <x v="2"/>
    <x v="11"/>
    <n v="12260"/>
    <n v="12260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88762.400000000009"/>
    <n v="0"/>
    <n v="0"/>
    <n v="97508.105092599639"/>
    <n v="0"/>
    <n v="0"/>
  </r>
  <r>
    <s v="Regular"/>
    <x v="0"/>
    <x v="0"/>
    <x v="1"/>
    <x v="0"/>
    <x v="1"/>
    <x v="0"/>
    <x v="0"/>
    <x v="0"/>
    <n v="23256"/>
    <n v="12241.9584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2227.554560000004"/>
    <n v="0"/>
    <n v="0"/>
    <n v="79325.87694689339"/>
    <n v="0"/>
    <n v="0"/>
  </r>
  <r>
    <s v="Regular"/>
    <x v="0"/>
    <x v="0"/>
    <x v="1"/>
    <x v="0"/>
    <x v="1"/>
    <x v="0"/>
    <x v="0"/>
    <x v="1"/>
    <n v="23851"/>
    <n v="14603.9673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86163.407070000001"/>
    <n v="0"/>
    <n v="0"/>
    <n v="94631.306129602177"/>
    <n v="0"/>
    <n v="0"/>
  </r>
  <r>
    <s v="Regular"/>
    <x v="0"/>
    <x v="0"/>
    <x v="1"/>
    <x v="0"/>
    <x v="1"/>
    <x v="0"/>
    <x v="0"/>
    <x v="2"/>
    <n v="23851"/>
    <n v="14603.9673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86163.407070000001"/>
    <n v="0"/>
    <n v="0"/>
    <n v="94631.306129602177"/>
    <n v="0"/>
    <n v="0"/>
  </r>
  <r>
    <s v="Regular"/>
    <x v="0"/>
    <x v="0"/>
    <x v="1"/>
    <x v="0"/>
    <x v="1"/>
    <x v="0"/>
    <x v="0"/>
    <x v="3"/>
    <n v="23959"/>
    <n v="14670.0957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86553.564630000008"/>
    <n v="0"/>
    <n v="0"/>
    <n v="95059.807285193019"/>
    <n v="0"/>
    <n v="0"/>
  </r>
  <r>
    <s v="Regular"/>
    <x v="0"/>
    <x v="0"/>
    <x v="1"/>
    <x v="0"/>
    <x v="1"/>
    <x v="0"/>
    <x v="0"/>
    <x v="4"/>
    <n v="23851"/>
    <n v="14603.9673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86163.407070000001"/>
    <n v="0"/>
    <n v="0"/>
    <n v="94631.306129602177"/>
    <n v="0"/>
    <n v="0"/>
  </r>
  <r>
    <s v="Regular"/>
    <x v="0"/>
    <x v="0"/>
    <x v="1"/>
    <x v="0"/>
    <x v="1"/>
    <x v="0"/>
    <x v="0"/>
    <x v="5"/>
    <n v="23851"/>
    <n v="14603.9673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86163.407070000001"/>
    <n v="0"/>
    <n v="0"/>
    <n v="94631.306129602177"/>
    <n v="0"/>
    <n v="0"/>
  </r>
  <r>
    <s v="Regular"/>
    <x v="0"/>
    <x v="0"/>
    <x v="1"/>
    <x v="0"/>
    <x v="1"/>
    <x v="0"/>
    <x v="0"/>
    <x v="6"/>
    <n v="23851"/>
    <n v="14603.9673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86163.407070000001"/>
    <n v="0"/>
    <n v="0"/>
    <n v="94631.306129602177"/>
    <n v="0"/>
    <n v="0"/>
  </r>
  <r>
    <s v="Regular"/>
    <x v="0"/>
    <x v="0"/>
    <x v="1"/>
    <x v="0"/>
    <x v="1"/>
    <x v="0"/>
    <x v="0"/>
    <x v="7"/>
    <n v="23851"/>
    <n v="14603.9673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86163.407070000001"/>
    <n v="0"/>
    <n v="0"/>
    <n v="94631.306129602177"/>
    <n v="0"/>
    <n v="0"/>
  </r>
  <r>
    <s v="Regular"/>
    <x v="0"/>
    <x v="0"/>
    <x v="1"/>
    <x v="0"/>
    <x v="1"/>
    <x v="0"/>
    <x v="0"/>
    <x v="8"/>
    <n v="23851"/>
    <n v="14603.9673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86163.407070000001"/>
    <n v="0"/>
    <n v="0"/>
    <n v="94631.306129602177"/>
    <n v="0"/>
    <n v="0"/>
  </r>
  <r>
    <s v="Regular"/>
    <x v="0"/>
    <x v="0"/>
    <x v="1"/>
    <x v="0"/>
    <x v="1"/>
    <x v="0"/>
    <x v="0"/>
    <x v="9"/>
    <n v="26750"/>
    <n v="16756.2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98861.580000000016"/>
    <n v="0"/>
    <n v="0"/>
    <n v="108577.42003906296"/>
    <n v="0"/>
    <n v="0"/>
  </r>
  <r>
    <s v="Regular"/>
    <x v="0"/>
    <x v="0"/>
    <x v="1"/>
    <x v="0"/>
    <x v="1"/>
    <x v="0"/>
    <x v="0"/>
    <x v="10"/>
    <n v="26732"/>
    <n v="16084.644399999999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94899.401960000003"/>
    <n v="0"/>
    <n v="0"/>
    <n v="104225.85020456677"/>
    <n v="0"/>
    <n v="0"/>
  </r>
  <r>
    <s v="PROJETADO"/>
    <x v="0"/>
    <x v="0"/>
    <x v="1"/>
    <x v="0"/>
    <x v="1"/>
    <x v="0"/>
    <x v="0"/>
    <x v="11"/>
    <n v="26732"/>
    <n v="16084.644399999999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94899.401960000003"/>
    <n v="0"/>
    <n v="0"/>
    <n v="104225.85020456677"/>
    <n v="0"/>
    <n v="0"/>
  </r>
  <r>
    <s v="Regular"/>
    <x v="0"/>
    <x v="0"/>
    <x v="1"/>
    <x v="0"/>
    <x v="1"/>
    <x v="0"/>
    <x v="1"/>
    <x v="0"/>
    <n v="0"/>
    <n v="0"/>
    <n v="6813.7240000000002"/>
    <n v="6813.7240000000002"/>
    <n v="0"/>
    <n v="0"/>
    <n v="9"/>
    <x v="0"/>
    <n v="0"/>
    <n v="0"/>
    <n v="25"/>
    <n v="0"/>
    <n v="0"/>
    <n v="52.77"/>
    <n v="0"/>
    <m/>
    <n v="40.035165075358321"/>
    <m/>
    <n v="0"/>
    <n v="359560.21548000001"/>
    <n v="0"/>
    <n v="0"/>
    <n v="272788.56511793082"/>
    <n v="0"/>
  </r>
  <r>
    <s v="Regular"/>
    <x v="0"/>
    <x v="0"/>
    <x v="1"/>
    <x v="0"/>
    <x v="1"/>
    <x v="0"/>
    <x v="1"/>
    <x v="1"/>
    <n v="0"/>
    <n v="0"/>
    <n v="6483.4480000000003"/>
    <n v="6483.4480000000003"/>
    <n v="0"/>
    <n v="0"/>
    <n v="9"/>
    <x v="0"/>
    <n v="0"/>
    <n v="0"/>
    <n v="25"/>
    <n v="0"/>
    <n v="0"/>
    <n v="52.77"/>
    <n v="0"/>
    <m/>
    <n v="40.035165075358321"/>
    <m/>
    <n v="0"/>
    <n v="342131.55096000002"/>
    <n v="0"/>
    <n v="0"/>
    <n v="259565.91093750176"/>
    <n v="0"/>
  </r>
  <r>
    <s v="Regular"/>
    <x v="0"/>
    <x v="0"/>
    <x v="1"/>
    <x v="0"/>
    <x v="1"/>
    <x v="0"/>
    <x v="1"/>
    <x v="2"/>
    <n v="0"/>
    <n v="0"/>
    <n v="4973.5590000000002"/>
    <n v="4973.5590000000002"/>
    <n v="0"/>
    <n v="0"/>
    <n v="9"/>
    <x v="0"/>
    <n v="0"/>
    <n v="0"/>
    <n v="25"/>
    <n v="0"/>
    <n v="0"/>
    <n v="52.77"/>
    <n v="0"/>
    <m/>
    <n v="40.035165075358321"/>
    <m/>
    <n v="0"/>
    <n v="262454.70843"/>
    <n v="0"/>
    <n v="0"/>
    <n v="199117.25557703406"/>
    <n v="0"/>
  </r>
  <r>
    <s v="Regular"/>
    <x v="0"/>
    <x v="0"/>
    <x v="1"/>
    <x v="0"/>
    <x v="1"/>
    <x v="0"/>
    <x v="1"/>
    <x v="3"/>
    <n v="0"/>
    <n v="0"/>
    <n v="4976.5720000000001"/>
    <n v="4976.5720000000001"/>
    <n v="0"/>
    <n v="0"/>
    <n v="9"/>
    <x v="0"/>
    <n v="0"/>
    <n v="0"/>
    <n v="25"/>
    <n v="0"/>
    <n v="0"/>
    <n v="52.77"/>
    <n v="0"/>
    <m/>
    <n v="40.035165075358321"/>
    <m/>
    <n v="0"/>
    <n v="262613.70444"/>
    <n v="0"/>
    <n v="0"/>
    <n v="199237.88152940612"/>
    <n v="0"/>
  </r>
  <r>
    <s v="Regular"/>
    <x v="0"/>
    <x v="0"/>
    <x v="1"/>
    <x v="0"/>
    <x v="1"/>
    <x v="0"/>
    <x v="1"/>
    <x v="4"/>
    <n v="0"/>
    <n v="0"/>
    <n v="6646.13"/>
    <n v="6646.13"/>
    <n v="0"/>
    <n v="0"/>
    <n v="9"/>
    <x v="0"/>
    <n v="0"/>
    <n v="0"/>
    <n v="25"/>
    <n v="0"/>
    <n v="0"/>
    <n v="52.77"/>
    <n v="0"/>
    <m/>
    <n v="40.035165075358321"/>
    <m/>
    <n v="0"/>
    <n v="350716.28010000003"/>
    <n v="0"/>
    <n v="0"/>
    <n v="266078.91166229121"/>
    <n v="0"/>
  </r>
  <r>
    <s v="Regular"/>
    <x v="0"/>
    <x v="0"/>
    <x v="1"/>
    <x v="0"/>
    <x v="1"/>
    <x v="0"/>
    <x v="1"/>
    <x v="5"/>
    <n v="0"/>
    <n v="0"/>
    <n v="6696.0010000000002"/>
    <n v="6696.0010000000002"/>
    <n v="0"/>
    <n v="0"/>
    <n v="9"/>
    <x v="0"/>
    <n v="0"/>
    <n v="0"/>
    <n v="25"/>
    <n v="0"/>
    <n v="0"/>
    <n v="52.77"/>
    <n v="0"/>
    <m/>
    <n v="40.035165075358321"/>
    <m/>
    <n v="0"/>
    <n v="353347.97277000005"/>
    <n v="0"/>
    <n v="0"/>
    <n v="268075.50537976442"/>
    <n v="0"/>
  </r>
  <r>
    <s v="Regular"/>
    <x v="0"/>
    <x v="0"/>
    <x v="1"/>
    <x v="0"/>
    <x v="1"/>
    <x v="0"/>
    <x v="1"/>
    <x v="6"/>
    <n v="0"/>
    <n v="0"/>
    <n v="7155.2470000000003"/>
    <n v="7155.2470000000003"/>
    <n v="0"/>
    <n v="0"/>
    <n v="9"/>
    <x v="0"/>
    <n v="0"/>
    <n v="0"/>
    <n v="25"/>
    <n v="0"/>
    <n v="0"/>
    <n v="52.77"/>
    <n v="0"/>
    <m/>
    <n v="40.035165075358321"/>
    <m/>
    <n v="0"/>
    <n v="377582.38419000001"/>
    <n v="0"/>
    <n v="0"/>
    <n v="286461.49479996244"/>
    <n v="0"/>
  </r>
  <r>
    <s v="Regular"/>
    <x v="0"/>
    <x v="0"/>
    <x v="1"/>
    <x v="0"/>
    <x v="1"/>
    <x v="0"/>
    <x v="1"/>
    <x v="7"/>
    <n v="0"/>
    <n v="0"/>
    <n v="4973.5590000000002"/>
    <n v="4973.5590000000002"/>
    <n v="0"/>
    <n v="0"/>
    <n v="9"/>
    <x v="0"/>
    <n v="0"/>
    <n v="0"/>
    <n v="25"/>
    <n v="0"/>
    <n v="0"/>
    <n v="52.77"/>
    <n v="0"/>
    <m/>
    <n v="40.035165075358321"/>
    <m/>
    <n v="0"/>
    <n v="262454.70843"/>
    <n v="0"/>
    <n v="0"/>
    <n v="199117.25557703406"/>
    <n v="0"/>
  </r>
  <r>
    <s v="Regular"/>
    <x v="0"/>
    <x v="0"/>
    <x v="1"/>
    <x v="0"/>
    <x v="1"/>
    <x v="0"/>
    <x v="1"/>
    <x v="8"/>
    <n v="0"/>
    <n v="0"/>
    <n v="6277.7579999999998"/>
    <n v="6277.7579999999998"/>
    <n v="0"/>
    <n v="0"/>
    <n v="9"/>
    <x v="0"/>
    <n v="0"/>
    <n v="0"/>
    <n v="25"/>
    <n v="0"/>
    <n v="0"/>
    <n v="52.77"/>
    <n v="0"/>
    <m/>
    <n v="40.035165075358321"/>
    <m/>
    <n v="0"/>
    <n v="331277.28966000001"/>
    <n v="0"/>
    <n v="0"/>
    <n v="251331.0778331513"/>
    <n v="0"/>
  </r>
  <r>
    <s v="Regular"/>
    <x v="0"/>
    <x v="0"/>
    <x v="1"/>
    <x v="0"/>
    <x v="1"/>
    <x v="0"/>
    <x v="1"/>
    <x v="9"/>
    <n v="0"/>
    <n v="0"/>
    <n v="8817.0329999999994"/>
    <n v="8817.0329999999994"/>
    <n v="0"/>
    <n v="0"/>
    <n v="10"/>
    <x v="0"/>
    <n v="0"/>
    <n v="0"/>
    <n v="25"/>
    <n v="0"/>
    <n v="0"/>
    <n v="52.77"/>
    <n v="0"/>
    <m/>
    <n v="40.035165075358321"/>
    <m/>
    <n v="0"/>
    <n v="465274.83140999998"/>
    <n v="0"/>
    <n v="0"/>
    <n v="352991.37162988179"/>
    <n v="0"/>
  </r>
  <r>
    <s v="Regular"/>
    <x v="0"/>
    <x v="0"/>
    <x v="1"/>
    <x v="0"/>
    <x v="1"/>
    <x v="0"/>
    <x v="1"/>
    <x v="10"/>
    <n v="0"/>
    <n v="0"/>
    <n v="8915.491"/>
    <n v="8915.491"/>
    <n v="0"/>
    <n v="0"/>
    <n v="10"/>
    <x v="0"/>
    <n v="0"/>
    <n v="0"/>
    <n v="25"/>
    <n v="0"/>
    <n v="0"/>
    <n v="52.77"/>
    <n v="0"/>
    <m/>
    <n v="40.035165075358321"/>
    <m/>
    <n v="0"/>
    <n v="470470.46007000003"/>
    <n v="0"/>
    <n v="0"/>
    <n v="356933.15391287144"/>
    <n v="0"/>
  </r>
  <r>
    <s v="PROJETADO"/>
    <x v="0"/>
    <x v="0"/>
    <x v="1"/>
    <x v="0"/>
    <x v="1"/>
    <x v="0"/>
    <x v="1"/>
    <x v="11"/>
    <n v="0"/>
    <n v="0"/>
    <n v="8915.491"/>
    <n v="8915.491"/>
    <n v="0"/>
    <n v="0"/>
    <n v="10"/>
    <x v="0"/>
    <n v="0"/>
    <n v="0"/>
    <n v="25"/>
    <n v="0"/>
    <n v="0"/>
    <n v="52.77"/>
    <n v="0"/>
    <m/>
    <n v="40.035165075358321"/>
    <m/>
    <n v="0"/>
    <n v="470470.46007000003"/>
    <n v="0"/>
    <n v="0"/>
    <n v="356933.15391287144"/>
    <n v="0"/>
  </r>
  <r>
    <s v="Regular"/>
    <x v="0"/>
    <x v="0"/>
    <x v="1"/>
    <x v="0"/>
    <x v="1"/>
    <x v="0"/>
    <x v="2"/>
    <x v="0"/>
    <n v="20434"/>
    <n v="10756.4576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77876.753024000005"/>
    <n v="0"/>
    <n v="0"/>
    <n v="85549.901964509962"/>
    <n v="0"/>
    <n v="0"/>
  </r>
  <r>
    <s v="Regular"/>
    <x v="0"/>
    <x v="0"/>
    <x v="1"/>
    <x v="0"/>
    <x v="1"/>
    <x v="0"/>
    <x v="2"/>
    <x v="1"/>
    <n v="21254"/>
    <n v="13013.824199999999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4220.087207999997"/>
    <n v="0"/>
    <n v="0"/>
    <n v="103503.53488990346"/>
    <n v="0"/>
    <n v="0"/>
  </r>
  <r>
    <s v="Regular"/>
    <x v="0"/>
    <x v="0"/>
    <x v="1"/>
    <x v="0"/>
    <x v="1"/>
    <x v="0"/>
    <x v="2"/>
    <x v="2"/>
    <n v="21228"/>
    <n v="12997.904399999999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4104.827856000004"/>
    <n v="0"/>
    <n v="0"/>
    <n v="103376.91910430368"/>
    <n v="0"/>
    <n v="0"/>
  </r>
  <r>
    <s v="Regular"/>
    <x v="0"/>
    <x v="0"/>
    <x v="1"/>
    <x v="0"/>
    <x v="1"/>
    <x v="0"/>
    <x v="2"/>
    <x v="3"/>
    <n v="21228"/>
    <n v="12997.904399999999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4104.827856000004"/>
    <n v="0"/>
    <n v="0"/>
    <n v="103376.91910430368"/>
    <n v="0"/>
    <n v="0"/>
  </r>
  <r>
    <s v="Regular"/>
    <x v="0"/>
    <x v="0"/>
    <x v="1"/>
    <x v="0"/>
    <x v="1"/>
    <x v="0"/>
    <x v="2"/>
    <x v="4"/>
    <n v="21228"/>
    <n v="12997.904399999999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4104.827856000004"/>
    <n v="0"/>
    <n v="0"/>
    <n v="103376.91910430368"/>
    <n v="0"/>
    <n v="0"/>
  </r>
  <r>
    <s v="Regular"/>
    <x v="0"/>
    <x v="0"/>
    <x v="1"/>
    <x v="0"/>
    <x v="1"/>
    <x v="0"/>
    <x v="2"/>
    <x v="5"/>
    <n v="21228"/>
    <n v="12997.904399999999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4104.827856000004"/>
    <n v="0"/>
    <n v="0"/>
    <n v="103376.91910430368"/>
    <n v="0"/>
    <n v="0"/>
  </r>
  <r>
    <s v="Regular"/>
    <x v="0"/>
    <x v="0"/>
    <x v="1"/>
    <x v="0"/>
    <x v="1"/>
    <x v="0"/>
    <x v="2"/>
    <x v="6"/>
    <n v="21228"/>
    <n v="12997.904399999999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4104.827856000004"/>
    <n v="0"/>
    <n v="0"/>
    <n v="103376.91910430368"/>
    <n v="0"/>
    <n v="0"/>
  </r>
  <r>
    <s v="Regular"/>
    <x v="0"/>
    <x v="0"/>
    <x v="1"/>
    <x v="0"/>
    <x v="1"/>
    <x v="0"/>
    <x v="2"/>
    <x v="7"/>
    <n v="21228"/>
    <n v="12997.904399999999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4104.827856000004"/>
    <n v="0"/>
    <n v="0"/>
    <n v="103376.91910430368"/>
    <n v="0"/>
    <n v="0"/>
  </r>
  <r>
    <s v="Regular"/>
    <x v="0"/>
    <x v="0"/>
    <x v="1"/>
    <x v="0"/>
    <x v="1"/>
    <x v="0"/>
    <x v="2"/>
    <x v="8"/>
    <n v="21228"/>
    <n v="12997.904399999999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4104.827856000004"/>
    <n v="0"/>
    <n v="0"/>
    <n v="103376.91910430368"/>
    <n v="0"/>
    <n v="0"/>
  </r>
  <r>
    <s v="Regular"/>
    <x v="0"/>
    <x v="0"/>
    <x v="1"/>
    <x v="0"/>
    <x v="1"/>
    <x v="0"/>
    <x v="2"/>
    <x v="9"/>
    <n v="23872"/>
    <n v="14953.4208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108262.766592"/>
    <n v="0"/>
    <n v="0"/>
    <n v="118929.83090214236"/>
    <n v="0"/>
    <n v="0"/>
  </r>
  <r>
    <s v="Regular"/>
    <x v="0"/>
    <x v="0"/>
    <x v="1"/>
    <x v="0"/>
    <x v="1"/>
    <x v="0"/>
    <x v="2"/>
    <x v="10"/>
    <n v="24156"/>
    <n v="14534.665199999999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105230.976048"/>
    <n v="0"/>
    <n v="0"/>
    <n v="115599.31988640707"/>
    <n v="0"/>
    <n v="0"/>
  </r>
  <r>
    <s v="PROJETADO"/>
    <x v="0"/>
    <x v="0"/>
    <x v="1"/>
    <x v="0"/>
    <x v="1"/>
    <x v="0"/>
    <x v="2"/>
    <x v="11"/>
    <n v="24156"/>
    <n v="14534.665199999999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105230.976048"/>
    <n v="0"/>
    <n v="0"/>
    <n v="115599.31988640707"/>
    <n v="0"/>
    <n v="0"/>
  </r>
  <r>
    <s v="Regular"/>
    <x v="0"/>
    <x v="0"/>
    <x v="1"/>
    <x v="0"/>
    <x v="0"/>
    <x v="0"/>
    <x v="0"/>
    <x v="0"/>
    <n v="10289"/>
    <n v="10289"/>
    <n v="2697.8159999999998"/>
    <n v="2697.8159999999998"/>
    <n v="2697.8159999999998"/>
    <n v="2697.8159999999998"/>
    <n v="0"/>
    <x v="1"/>
    <n v="0"/>
    <n v="2"/>
    <n v="25"/>
    <n v="65"/>
    <n v="5.9"/>
    <n v="52.77"/>
    <n v="230.03"/>
    <n v="6.4798355258986495"/>
    <n v="40.035165075358321"/>
    <n v="282.91739971702214"/>
    <n v="60705.100000000006"/>
    <n v="142363.75031999999"/>
    <n v="620578.61447999999"/>
    <n v="66671.027725971202"/>
    <n v="108007.50890294288"/>
    <n v="763259.08763497777"/>
  </r>
  <r>
    <s v="Regular"/>
    <x v="0"/>
    <x v="0"/>
    <x v="1"/>
    <x v="0"/>
    <x v="0"/>
    <x v="0"/>
    <x v="0"/>
    <x v="0"/>
    <n v="154459"/>
    <n v="154459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911308.10000000009"/>
    <n v="0"/>
    <n v="0"/>
    <n v="1000868.9154947795"/>
    <n v="0"/>
    <n v="0"/>
  </r>
  <r>
    <s v="Regular"/>
    <x v="0"/>
    <x v="0"/>
    <x v="1"/>
    <x v="0"/>
    <x v="0"/>
    <x v="0"/>
    <x v="0"/>
    <x v="1"/>
    <n v="10088"/>
    <n v="10088"/>
    <n v="2840.44"/>
    <n v="2840.44"/>
    <n v="2840.44"/>
    <n v="2840.44"/>
    <n v="0"/>
    <x v="1"/>
    <n v="0"/>
    <n v="2"/>
    <n v="25"/>
    <n v="65"/>
    <n v="5.9"/>
    <n v="52.77"/>
    <n v="230.03"/>
    <n v="6.4798355258986495"/>
    <n v="40.035165075358321"/>
    <n v="282.91739971702214"/>
    <n v="59519.200000000004"/>
    <n v="149890.01880000002"/>
    <n v="653386.41320000007"/>
    <n v="65368.580785265578"/>
    <n v="113717.4842866508"/>
    <n v="803609.89885221841"/>
  </r>
  <r>
    <s v="Regular"/>
    <x v="0"/>
    <x v="0"/>
    <x v="1"/>
    <x v="0"/>
    <x v="0"/>
    <x v="0"/>
    <x v="0"/>
    <x v="1"/>
    <n v="154716"/>
    <n v="154716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912824.4"/>
    <n v="0"/>
    <n v="0"/>
    <n v="1002534.2332249355"/>
    <n v="0"/>
    <n v="0"/>
  </r>
  <r>
    <s v="Regular"/>
    <x v="0"/>
    <x v="0"/>
    <x v="1"/>
    <x v="0"/>
    <x v="0"/>
    <x v="0"/>
    <x v="0"/>
    <x v="2"/>
    <n v="10502"/>
    <n v="10502"/>
    <n v="2760.2959999999998"/>
    <n v="2760.2959999999998"/>
    <n v="2760.2959999999998"/>
    <n v="2760.2959999999998"/>
    <n v="0"/>
    <x v="1"/>
    <n v="0"/>
    <n v="2"/>
    <n v="25"/>
    <n v="65"/>
    <n v="5.9"/>
    <n v="52.77"/>
    <n v="230.03"/>
    <n v="6.4798355258986495"/>
    <n v="40.035165075358321"/>
    <n v="282.91739971702214"/>
    <n v="61961.8"/>
    <n v="145660.81992000001"/>
    <n v="634950.88887999998"/>
    <n v="68051.232692987614"/>
    <n v="110508.90601685127"/>
    <n v="780935.7667692973"/>
  </r>
  <r>
    <s v="Regular"/>
    <x v="0"/>
    <x v="0"/>
    <x v="1"/>
    <x v="0"/>
    <x v="0"/>
    <x v="0"/>
    <x v="0"/>
    <x v="2"/>
    <n v="154353"/>
    <n v="154353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910682.70000000007"/>
    <n v="0"/>
    <n v="0"/>
    <n v="1000182.0529290342"/>
    <n v="0"/>
    <n v="0"/>
  </r>
  <r>
    <s v="Regular"/>
    <x v="0"/>
    <x v="0"/>
    <x v="1"/>
    <x v="0"/>
    <x v="0"/>
    <x v="0"/>
    <x v="0"/>
    <x v="3"/>
    <n v="10547"/>
    <n v="10547"/>
    <n v="2580.3960000000002"/>
    <n v="2580.3960000000002"/>
    <n v="2580.3960000000002"/>
    <n v="2580.3960000000002"/>
    <n v="0"/>
    <x v="1"/>
    <n v="0"/>
    <n v="2"/>
    <n v="25"/>
    <n v="65"/>
    <n v="5.9"/>
    <n v="52.77"/>
    <n v="230.03"/>
    <n v="6.4798355258986495"/>
    <n v="40.035165075358321"/>
    <n v="282.91739971702214"/>
    <n v="62227.3"/>
    <n v="136167.49692000001"/>
    <n v="593568.4918800001"/>
    <n v="68342.825291653062"/>
    <n v="103306.57981979432"/>
    <n v="730038.92656020506"/>
  </r>
  <r>
    <s v="Regular"/>
    <x v="0"/>
    <x v="0"/>
    <x v="1"/>
    <x v="0"/>
    <x v="0"/>
    <x v="0"/>
    <x v="0"/>
    <x v="3"/>
    <n v="154508"/>
    <n v="154508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911597.20000000007"/>
    <n v="0"/>
    <n v="0"/>
    <n v="1001186.4274355485"/>
    <n v="0"/>
    <n v="0"/>
  </r>
  <r>
    <s v="Regular"/>
    <x v="0"/>
    <x v="0"/>
    <x v="1"/>
    <x v="0"/>
    <x v="0"/>
    <x v="0"/>
    <x v="0"/>
    <x v="4"/>
    <n v="10480"/>
    <n v="10480"/>
    <n v="2847.7"/>
    <n v="2847.7"/>
    <n v="2847.7"/>
    <n v="2847.7"/>
    <n v="0"/>
    <x v="1"/>
    <n v="0"/>
    <n v="2"/>
    <n v="25"/>
    <n v="65"/>
    <n v="5.9"/>
    <n v="52.77"/>
    <n v="230.03"/>
    <n v="6.4798355258986495"/>
    <n v="40.035165075358321"/>
    <n v="282.91739971702214"/>
    <n v="61832.000000000007"/>
    <n v="150273.12899999999"/>
    <n v="655056.43099999998"/>
    <n v="67908.676311417847"/>
    <n v="114008.13958509789"/>
    <n v="805663.87917416391"/>
  </r>
  <r>
    <s v="Regular"/>
    <x v="0"/>
    <x v="0"/>
    <x v="1"/>
    <x v="0"/>
    <x v="0"/>
    <x v="0"/>
    <x v="0"/>
    <x v="4"/>
    <n v="154507"/>
    <n v="154507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911591.3"/>
    <n v="0"/>
    <n v="0"/>
    <n v="1001179.9476000227"/>
    <n v="0"/>
    <n v="0"/>
  </r>
  <r>
    <s v="Regular"/>
    <x v="0"/>
    <x v="0"/>
    <x v="1"/>
    <x v="0"/>
    <x v="0"/>
    <x v="0"/>
    <x v="0"/>
    <x v="5"/>
    <n v="10592"/>
    <n v="10592"/>
    <n v="2725.66"/>
    <n v="2725.66"/>
    <n v="2725.66"/>
    <n v="2725.66"/>
    <n v="0"/>
    <x v="1"/>
    <n v="0"/>
    <n v="2"/>
    <n v="25"/>
    <n v="65"/>
    <n v="5.9"/>
    <n v="52.77"/>
    <n v="230.03"/>
    <n v="6.4798355258986495"/>
    <n v="40.035165075358321"/>
    <n v="282.91739971702214"/>
    <n v="62492.800000000003"/>
    <n v="143833.07819999999"/>
    <n v="626983.56979999994"/>
    <n v="68634.417890318495"/>
    <n v="109122.24803930115"/>
    <n v="771136.63971269852"/>
  </r>
  <r>
    <s v="Regular"/>
    <x v="0"/>
    <x v="0"/>
    <x v="1"/>
    <x v="0"/>
    <x v="0"/>
    <x v="0"/>
    <x v="0"/>
    <x v="5"/>
    <n v="157547"/>
    <n v="157547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929527.3"/>
    <n v="0"/>
    <n v="0"/>
    <n v="1020878.6475987545"/>
    <n v="0"/>
    <n v="0"/>
  </r>
  <r>
    <s v="Regular"/>
    <x v="0"/>
    <x v="0"/>
    <x v="1"/>
    <x v="0"/>
    <x v="0"/>
    <x v="0"/>
    <x v="0"/>
    <x v="6"/>
    <n v="10625"/>
    <n v="10625"/>
    <n v="2854.5839999999998"/>
    <n v="2854.5839999999998"/>
    <n v="2854.5839999999998"/>
    <n v="2854.5839999999998"/>
    <n v="0"/>
    <x v="1"/>
    <n v="0"/>
    <n v="2"/>
    <n v="25"/>
    <n v="65"/>
    <n v="5.9"/>
    <n v="52.77"/>
    <n v="230.03"/>
    <n v="6.4798355258986495"/>
    <n v="40.035165075358321"/>
    <n v="282.91739971702214"/>
    <n v="62687.500000000007"/>
    <n v="150636.39767999999"/>
    <n v="656639.95751999994"/>
    <n v="68848.252462673147"/>
    <n v="114283.74166147666"/>
    <n v="807611.48255381582"/>
  </r>
  <r>
    <s v="Regular"/>
    <x v="0"/>
    <x v="0"/>
    <x v="1"/>
    <x v="0"/>
    <x v="0"/>
    <x v="0"/>
    <x v="0"/>
    <x v="6"/>
    <n v="157067"/>
    <n v="157067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926695.3"/>
    <n v="0"/>
    <n v="0"/>
    <n v="1017768.3265463231"/>
    <n v="0"/>
    <n v="0"/>
  </r>
  <r>
    <s v="Regular"/>
    <x v="0"/>
    <x v="0"/>
    <x v="1"/>
    <x v="0"/>
    <x v="0"/>
    <x v="0"/>
    <x v="0"/>
    <x v="7"/>
    <n v="6000"/>
    <n v="6000"/>
    <n v="217.96"/>
    <n v="217.96"/>
    <n v="217.96"/>
    <n v="217.96"/>
    <n v="0"/>
    <x v="1"/>
    <n v="0"/>
    <n v="2"/>
    <n v="25"/>
    <n v="65"/>
    <n v="5.9"/>
    <n v="52.77"/>
    <n v="230.03"/>
    <n v="6.4798355258986495"/>
    <n v="40.035165075358321"/>
    <n v="282.91739971702214"/>
    <n v="35400"/>
    <n v="11501.7492"/>
    <n v="50137.338800000005"/>
    <n v="38879.013155391898"/>
    <n v="8726.0645798251007"/>
    <n v="61664.676442322147"/>
  </r>
  <r>
    <s v="Regular"/>
    <x v="0"/>
    <x v="0"/>
    <x v="1"/>
    <x v="0"/>
    <x v="0"/>
    <x v="0"/>
    <x v="0"/>
    <x v="7"/>
    <n v="154353"/>
    <n v="154353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910682.70000000007"/>
    <n v="0"/>
    <n v="0"/>
    <n v="1000182.0529290342"/>
    <n v="0"/>
    <n v="0"/>
  </r>
  <r>
    <s v="Regular"/>
    <x v="0"/>
    <x v="0"/>
    <x v="1"/>
    <x v="0"/>
    <x v="0"/>
    <x v="0"/>
    <x v="0"/>
    <x v="8"/>
    <n v="10100"/>
    <n v="10100"/>
    <n v="1641.5340000000001"/>
    <n v="1641.5340000000001"/>
    <n v="1641.5340000000001"/>
    <n v="1641.5340000000001"/>
    <n v="0"/>
    <x v="1"/>
    <n v="0"/>
    <n v="2"/>
    <n v="25"/>
    <n v="65"/>
    <n v="5.9"/>
    <n v="52.77"/>
    <n v="230.03"/>
    <n v="6.4798355258986495"/>
    <n v="40.035165075358321"/>
    <n v="282.91739971702214"/>
    <n v="59590"/>
    <n v="86623.749180000013"/>
    <n v="377602.06602000003"/>
    <n v="65446.338811576359"/>
    <n v="65719.084666813258"/>
    <n v="464418.53082708223"/>
  </r>
  <r>
    <s v="Regular"/>
    <x v="0"/>
    <x v="0"/>
    <x v="1"/>
    <x v="0"/>
    <x v="0"/>
    <x v="0"/>
    <x v="0"/>
    <x v="8"/>
    <n v="157755"/>
    <n v="157755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930754.5"/>
    <n v="0"/>
    <n v="0"/>
    <n v="1022226.4533881415"/>
    <n v="0"/>
    <n v="0"/>
  </r>
  <r>
    <s v="Regular"/>
    <x v="0"/>
    <x v="0"/>
    <x v="1"/>
    <x v="0"/>
    <x v="0"/>
    <x v="0"/>
    <x v="0"/>
    <x v="9"/>
    <n v="10100"/>
    <n v="10100"/>
    <n v="1808.049"/>
    <n v="1808.049"/>
    <n v="1808.049"/>
    <n v="1808.049"/>
    <n v="0"/>
    <x v="1"/>
    <n v="0"/>
    <n v="2"/>
    <n v="25"/>
    <n v="65"/>
    <n v="5.9"/>
    <n v="52.77"/>
    <n v="230.03"/>
    <n v="6.4798355258986495"/>
    <n v="40.035165075358321"/>
    <n v="282.91739971702214"/>
    <n v="59590"/>
    <n v="95410.74573000001"/>
    <n v="415905.51146999997"/>
    <n v="65446.338811576359"/>
    <n v="72385.540179336531"/>
    <n v="511528.52164096216"/>
  </r>
  <r>
    <s v="Regular"/>
    <x v="0"/>
    <x v="0"/>
    <x v="1"/>
    <x v="0"/>
    <x v="0"/>
    <x v="0"/>
    <x v="0"/>
    <x v="9"/>
    <n v="162614"/>
    <n v="162614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959422.60000000009"/>
    <n v="0"/>
    <n v="0"/>
    <n v="1053711.974208483"/>
    <n v="0"/>
    <n v="0"/>
  </r>
  <r>
    <s v="Regular"/>
    <x v="0"/>
    <x v="0"/>
    <x v="1"/>
    <x v="0"/>
    <x v="0"/>
    <x v="0"/>
    <x v="0"/>
    <x v="10"/>
    <n v="10100"/>
    <n v="10100"/>
    <n v="1720.08"/>
    <n v="1720.08"/>
    <n v="1720.08"/>
    <n v="1720.08"/>
    <n v="0"/>
    <x v="1"/>
    <n v="0"/>
    <n v="2"/>
    <n v="25"/>
    <n v="65"/>
    <n v="5.9"/>
    <n v="52.77"/>
    <n v="230.03"/>
    <n v="6.4798355258986495"/>
    <n v="40.035165075358321"/>
    <n v="282.91739971702214"/>
    <n v="59590"/>
    <n v="90768.621599999999"/>
    <n v="395670.0024"/>
    <n v="65446.338811576359"/>
    <n v="68863.686742822334"/>
    <n v="486640.56090525544"/>
  </r>
  <r>
    <s v="Regular"/>
    <x v="0"/>
    <x v="0"/>
    <x v="1"/>
    <x v="0"/>
    <x v="0"/>
    <x v="0"/>
    <x v="0"/>
    <x v="10"/>
    <n v="162319"/>
    <n v="162319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957682.10000000009"/>
    <n v="0"/>
    <n v="0"/>
    <n v="1051800.4227283429"/>
    <n v="0"/>
    <n v="0"/>
  </r>
  <r>
    <s v="PROJETADO"/>
    <x v="0"/>
    <x v="0"/>
    <x v="1"/>
    <x v="0"/>
    <x v="0"/>
    <x v="0"/>
    <x v="0"/>
    <x v="11"/>
    <n v="10100"/>
    <n v="10100"/>
    <n v="1720.08"/>
    <n v="1720.08"/>
    <n v="1720.08"/>
    <n v="1720.08"/>
    <n v="0"/>
    <x v="1"/>
    <n v="0"/>
    <n v="2"/>
    <n v="25"/>
    <n v="65"/>
    <n v="5.9"/>
    <n v="52.77"/>
    <n v="230.03"/>
    <n v="6.4798355258986495"/>
    <n v="40.035165075358321"/>
    <n v="282.91739971702214"/>
    <n v="59590"/>
    <n v="90768.621599999999"/>
    <n v="395670.0024"/>
    <n v="65446.338811576359"/>
    <n v="68863.686742822334"/>
    <n v="486640.56090525544"/>
  </r>
  <r>
    <s v="PROJETADO"/>
    <x v="0"/>
    <x v="0"/>
    <x v="1"/>
    <x v="0"/>
    <x v="0"/>
    <x v="0"/>
    <x v="0"/>
    <x v="11"/>
    <n v="162319"/>
    <n v="162319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957682.10000000009"/>
    <n v="0"/>
    <n v="0"/>
    <n v="1051800.4227283429"/>
    <n v="0"/>
    <n v="0"/>
  </r>
  <r>
    <s v="Regular"/>
    <x v="0"/>
    <x v="0"/>
    <x v="1"/>
    <x v="0"/>
    <x v="0"/>
    <x v="0"/>
    <x v="1"/>
    <x v="0"/>
    <n v="0"/>
    <n v="0"/>
    <n v="73540.95"/>
    <n v="73540.95"/>
    <n v="0"/>
    <n v="0"/>
    <n v="24"/>
    <x v="0"/>
    <n v="0"/>
    <n v="0"/>
    <n v="25"/>
    <n v="0"/>
    <n v="0"/>
    <n v="52.77"/>
    <n v="0"/>
    <m/>
    <n v="40.035165075358321"/>
    <m/>
    <n v="0"/>
    <n v="3880755.9314999999"/>
    <n v="0"/>
    <n v="0"/>
    <n v="2944224.0730486726"/>
    <n v="0"/>
  </r>
  <r>
    <s v="Regular"/>
    <x v="0"/>
    <x v="0"/>
    <x v="1"/>
    <x v="0"/>
    <x v="0"/>
    <x v="0"/>
    <x v="1"/>
    <x v="1"/>
    <n v="0"/>
    <n v="0"/>
    <n v="66619.611000000004"/>
    <n v="66619.611000000004"/>
    <n v="0"/>
    <n v="0"/>
    <n v="24"/>
    <x v="0"/>
    <n v="0"/>
    <n v="0"/>
    <n v="25"/>
    <n v="0"/>
    <n v="0"/>
    <n v="52.77"/>
    <n v="0"/>
    <m/>
    <n v="40.035165075358321"/>
    <m/>
    <n v="0"/>
    <n v="3515516.8724700003"/>
    <n v="0"/>
    <n v="0"/>
    <n v="2667127.1236411571"/>
    <n v="0"/>
  </r>
  <r>
    <s v="Regular"/>
    <x v="0"/>
    <x v="0"/>
    <x v="1"/>
    <x v="0"/>
    <x v="0"/>
    <x v="0"/>
    <x v="1"/>
    <x v="2"/>
    <n v="0"/>
    <n v="0"/>
    <n v="62831.25"/>
    <n v="62831.25"/>
    <n v="0"/>
    <n v="0"/>
    <n v="24"/>
    <x v="0"/>
    <n v="0"/>
    <n v="0"/>
    <n v="25"/>
    <n v="0"/>
    <n v="0"/>
    <n v="52.77"/>
    <n v="0"/>
    <m/>
    <n v="40.035165075358321"/>
    <m/>
    <n v="0"/>
    <n v="3315605.0625"/>
    <n v="0"/>
    <n v="0"/>
    <n v="2515459.4656411074"/>
    <n v="0"/>
  </r>
  <r>
    <s v="Regular"/>
    <x v="0"/>
    <x v="0"/>
    <x v="1"/>
    <x v="0"/>
    <x v="0"/>
    <x v="0"/>
    <x v="1"/>
    <x v="3"/>
    <n v="0"/>
    <n v="0"/>
    <n v="62605.934999999998"/>
    <n v="62605.934999999998"/>
    <n v="0"/>
    <n v="0"/>
    <n v="24"/>
    <x v="0"/>
    <n v="0"/>
    <n v="0"/>
    <n v="25"/>
    <n v="0"/>
    <n v="0"/>
    <n v="52.77"/>
    <n v="0"/>
    <m/>
    <n v="40.035165075358321"/>
    <m/>
    <n v="0"/>
    <n v="3303715.18995"/>
    <n v="0"/>
    <n v="0"/>
    <n v="2506438.942422153"/>
    <n v="0"/>
  </r>
  <r>
    <s v="Regular"/>
    <x v="0"/>
    <x v="0"/>
    <x v="1"/>
    <x v="0"/>
    <x v="0"/>
    <x v="0"/>
    <x v="1"/>
    <x v="4"/>
    <n v="0"/>
    <n v="0"/>
    <n v="73646.445000000007"/>
    <n v="73646.445000000007"/>
    <n v="0"/>
    <n v="0"/>
    <n v="24"/>
    <x v="0"/>
    <n v="0"/>
    <n v="0"/>
    <n v="25"/>
    <n v="0"/>
    <n v="0"/>
    <n v="52.77"/>
    <n v="0"/>
    <m/>
    <n v="40.035165075358321"/>
    <m/>
    <n v="0"/>
    <n v="3886322.9026500005"/>
    <n v="0"/>
    <n v="0"/>
    <n v="2948447.5827882979"/>
    <n v="0"/>
  </r>
  <r>
    <s v="Regular"/>
    <x v="0"/>
    <x v="0"/>
    <x v="1"/>
    <x v="0"/>
    <x v="0"/>
    <x v="0"/>
    <x v="1"/>
    <x v="5"/>
    <n v="0"/>
    <n v="0"/>
    <n v="73594.983999999997"/>
    <n v="73594.983999999997"/>
    <n v="0"/>
    <n v="0"/>
    <n v="24"/>
    <x v="0"/>
    <n v="0"/>
    <n v="0"/>
    <n v="25"/>
    <n v="0"/>
    <n v="0"/>
    <n v="52.77"/>
    <n v="0"/>
    <m/>
    <n v="40.035165075358321"/>
    <m/>
    <n v="0"/>
    <n v="3883607.3056800002"/>
    <n v="0"/>
    <n v="0"/>
    <n v="2946387.3331583543"/>
    <n v="0"/>
  </r>
  <r>
    <s v="Regular"/>
    <x v="0"/>
    <x v="0"/>
    <x v="1"/>
    <x v="0"/>
    <x v="0"/>
    <x v="0"/>
    <x v="1"/>
    <x v="6"/>
    <n v="0"/>
    <n v="0"/>
    <n v="76162.103000000003"/>
    <n v="76162.103000000003"/>
    <n v="0"/>
    <n v="0"/>
    <n v="24"/>
    <x v="0"/>
    <n v="0"/>
    <n v="0"/>
    <n v="25"/>
    <n v="0"/>
    <n v="0"/>
    <n v="52.77"/>
    <n v="0"/>
    <m/>
    <n v="40.035165075358321"/>
    <m/>
    <n v="0"/>
    <n v="4019074.1753100003"/>
    <n v="0"/>
    <n v="0"/>
    <n v="3049162.3660914432"/>
    <n v="0"/>
  </r>
  <r>
    <s v="Regular"/>
    <x v="0"/>
    <x v="0"/>
    <x v="1"/>
    <x v="0"/>
    <x v="0"/>
    <x v="0"/>
    <x v="1"/>
    <x v="7"/>
    <n v="0"/>
    <n v="0"/>
    <n v="62831.25"/>
    <n v="62831.25"/>
    <n v="0"/>
    <n v="0"/>
    <n v="24"/>
    <x v="0"/>
    <n v="0"/>
    <n v="0"/>
    <n v="25"/>
    <n v="0"/>
    <n v="0"/>
    <n v="52.77"/>
    <n v="0"/>
    <m/>
    <n v="40.035165075358321"/>
    <m/>
    <n v="0"/>
    <n v="3315605.0625"/>
    <n v="0"/>
    <n v="0"/>
    <n v="2515459.4656411074"/>
    <n v="0"/>
  </r>
  <r>
    <s v="Regular"/>
    <x v="0"/>
    <x v="0"/>
    <x v="1"/>
    <x v="0"/>
    <x v="0"/>
    <x v="0"/>
    <x v="1"/>
    <x v="8"/>
    <n v="0"/>
    <n v="0"/>
    <n v="74983.373000000007"/>
    <n v="74983.373000000007"/>
    <n v="0"/>
    <n v="0"/>
    <n v="24"/>
    <x v="0"/>
    <n v="0"/>
    <n v="0"/>
    <n v="25"/>
    <n v="0"/>
    <n v="0"/>
    <n v="52.77"/>
    <n v="0"/>
    <m/>
    <n v="40.035165075358321"/>
    <m/>
    <n v="0"/>
    <n v="3956872.5932100005"/>
    <n v="0"/>
    <n v="0"/>
    <n v="3001971.7159621664"/>
    <n v="0"/>
  </r>
  <r>
    <s v="Regular"/>
    <x v="0"/>
    <x v="0"/>
    <x v="1"/>
    <x v="0"/>
    <x v="0"/>
    <x v="0"/>
    <x v="1"/>
    <x v="9"/>
    <n v="0"/>
    <n v="0"/>
    <n v="80851.521999999997"/>
    <n v="80851.521999999997"/>
    <n v="0"/>
    <n v="0"/>
    <n v="24"/>
    <x v="0"/>
    <n v="0"/>
    <n v="0"/>
    <n v="25"/>
    <n v="0"/>
    <n v="0"/>
    <n v="52.77"/>
    <n v="0"/>
    <m/>
    <n v="40.035165075358321"/>
    <m/>
    <n v="0"/>
    <n v="4266534.8159400001"/>
    <n v="0"/>
    <n v="0"/>
    <n v="3236904.0298639648"/>
    <n v="0"/>
  </r>
  <r>
    <s v="Regular"/>
    <x v="0"/>
    <x v="0"/>
    <x v="1"/>
    <x v="0"/>
    <x v="0"/>
    <x v="0"/>
    <x v="1"/>
    <x v="10"/>
    <n v="0"/>
    <n v="0"/>
    <n v="77873.202000000005"/>
    <n v="77873.202000000005"/>
    <n v="0"/>
    <n v="0"/>
    <n v="24"/>
    <x v="0"/>
    <n v="0"/>
    <n v="0"/>
    <n v="25"/>
    <n v="0"/>
    <n v="0"/>
    <n v="52.77"/>
    <n v="0"/>
    <m/>
    <n v="40.035165075358321"/>
    <m/>
    <n v="0"/>
    <n v="4109368.8695400003"/>
    <n v="0"/>
    <n v="0"/>
    <n v="3117666.4970167242"/>
    <n v="0"/>
  </r>
  <r>
    <s v="PROJETADO"/>
    <x v="0"/>
    <x v="0"/>
    <x v="1"/>
    <x v="0"/>
    <x v="0"/>
    <x v="0"/>
    <x v="1"/>
    <x v="11"/>
    <n v="0"/>
    <n v="0"/>
    <n v="77873.202000000005"/>
    <n v="77873.202000000005"/>
    <n v="0"/>
    <n v="0"/>
    <n v="24"/>
    <x v="0"/>
    <n v="0"/>
    <n v="0"/>
    <n v="25"/>
    <n v="0"/>
    <n v="0"/>
    <n v="52.77"/>
    <n v="0"/>
    <m/>
    <n v="40.035165075358321"/>
    <m/>
    <n v="0"/>
    <n v="4109368.8695400003"/>
    <n v="0"/>
    <n v="0"/>
    <n v="3117666.4970167242"/>
    <n v="0"/>
  </r>
  <r>
    <s v="Regular"/>
    <x v="0"/>
    <x v="0"/>
    <x v="1"/>
    <x v="0"/>
    <x v="0"/>
    <x v="0"/>
    <x v="2"/>
    <x v="0"/>
    <n v="9200"/>
    <n v="9200"/>
    <n v="249.61600000000001"/>
    <n v="249.61600000000001"/>
    <n v="249.61600000000001"/>
    <n v="249.61600000000001"/>
    <n v="0"/>
    <x v="1"/>
    <n v="0"/>
    <n v="1"/>
    <n v="25"/>
    <n v="70"/>
    <n v="7.24"/>
    <n v="52.77"/>
    <n v="389.28"/>
    <n v="7.9533527807993183"/>
    <n v="40.035165075358321"/>
    <n v="454.3285679284046"/>
    <n v="66608"/>
    <n v="13172.236320000002"/>
    <n v="97170.516480000006"/>
    <n v="73170.84558335373"/>
    <n v="9993.4177654506439"/>
    <n v="113407.67981201665"/>
  </r>
  <r>
    <s v="Regular"/>
    <x v="0"/>
    <x v="0"/>
    <x v="1"/>
    <x v="0"/>
    <x v="0"/>
    <x v="0"/>
    <x v="2"/>
    <x v="0"/>
    <n v="138254"/>
    <n v="138254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1000958.9600000001"/>
    <n v="0"/>
    <n v="0"/>
    <n v="1099582.835356629"/>
    <n v="0"/>
    <n v="0"/>
  </r>
  <r>
    <s v="Regular"/>
    <x v="0"/>
    <x v="0"/>
    <x v="1"/>
    <x v="0"/>
    <x v="0"/>
    <x v="0"/>
    <x v="2"/>
    <x v="1"/>
    <n v="9209"/>
    <n v="9209"/>
    <n v="278.36799999999999"/>
    <n v="278.36799999999999"/>
    <n v="278.36799999999999"/>
    <n v="278.36799999999999"/>
    <n v="0"/>
    <x v="1"/>
    <n v="0"/>
    <n v="1"/>
    <n v="25"/>
    <n v="70"/>
    <n v="7.24"/>
    <n v="52.77"/>
    <n v="389.28"/>
    <n v="7.9533527807993183"/>
    <n v="40.035165075358321"/>
    <n v="454.3285679284046"/>
    <n v="66673.16"/>
    <n v="14689.479360000001"/>
    <n v="108363.09503999999"/>
    <n v="73242.425758380923"/>
    <n v="11144.508831697345"/>
    <n v="126470.53479709412"/>
  </r>
  <r>
    <s v="Regular"/>
    <x v="0"/>
    <x v="0"/>
    <x v="1"/>
    <x v="0"/>
    <x v="0"/>
    <x v="0"/>
    <x v="2"/>
    <x v="1"/>
    <n v="137580"/>
    <n v="137580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96079.20000000007"/>
    <n v="0"/>
    <n v="0"/>
    <n v="1094222.2755823701"/>
    <n v="0"/>
    <n v="0"/>
  </r>
  <r>
    <s v="Regular"/>
    <x v="0"/>
    <x v="0"/>
    <x v="1"/>
    <x v="0"/>
    <x v="0"/>
    <x v="0"/>
    <x v="2"/>
    <x v="2"/>
    <n v="9534"/>
    <n v="9534"/>
    <n v="246"/>
    <n v="246"/>
    <n v="246"/>
    <n v="246"/>
    <n v="0"/>
    <x v="1"/>
    <n v="0"/>
    <n v="1"/>
    <n v="25"/>
    <n v="70"/>
    <n v="7.24"/>
    <n v="52.77"/>
    <n v="389.28"/>
    <n v="7.9533527807993183"/>
    <n v="40.035165075358321"/>
    <n v="454.3285679284046"/>
    <n v="69026.16"/>
    <n v="12981.42"/>
    <n v="95762.87999999999"/>
    <n v="75827.265412140696"/>
    <n v="9848.6506085381479"/>
    <n v="111764.82771038753"/>
  </r>
  <r>
    <s v="Regular"/>
    <x v="0"/>
    <x v="0"/>
    <x v="1"/>
    <x v="0"/>
    <x v="0"/>
    <x v="0"/>
    <x v="2"/>
    <x v="2"/>
    <n v="132923"/>
    <n v="132923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62362.52"/>
    <n v="0"/>
    <n v="0"/>
    <n v="1057183.5116821877"/>
    <n v="0"/>
    <n v="0"/>
  </r>
  <r>
    <s v="Regular"/>
    <x v="0"/>
    <x v="0"/>
    <x v="1"/>
    <x v="0"/>
    <x v="0"/>
    <x v="0"/>
    <x v="2"/>
    <x v="3"/>
    <n v="9646"/>
    <n v="9646"/>
    <n v="251.61600000000001"/>
    <n v="251.61600000000001"/>
    <n v="251.61600000000001"/>
    <n v="251.61600000000001"/>
    <n v="0"/>
    <x v="1"/>
    <n v="0"/>
    <n v="1"/>
    <n v="25"/>
    <n v="70"/>
    <n v="7.24"/>
    <n v="52.77"/>
    <n v="389.28"/>
    <n v="7.9533527807993183"/>
    <n v="40.035165075358321"/>
    <n v="454.3285679284046"/>
    <n v="69837.040000000008"/>
    <n v="13277.776320000001"/>
    <n v="97949.076480000003"/>
    <n v="76718.040923590219"/>
    <n v="10073.48809560136"/>
    <n v="114316.33694787345"/>
  </r>
  <r>
    <s v="Regular"/>
    <x v="0"/>
    <x v="0"/>
    <x v="1"/>
    <x v="0"/>
    <x v="0"/>
    <x v="0"/>
    <x v="2"/>
    <x v="3"/>
    <n v="133568"/>
    <n v="133568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67032.32000000007"/>
    <n v="0"/>
    <n v="0"/>
    <n v="1062313.4242258032"/>
    <n v="0"/>
    <n v="0"/>
  </r>
  <r>
    <s v="Regular"/>
    <x v="0"/>
    <x v="0"/>
    <x v="1"/>
    <x v="0"/>
    <x v="0"/>
    <x v="0"/>
    <x v="2"/>
    <x v="4"/>
    <n v="9680"/>
    <n v="9680"/>
    <n v="290.8"/>
    <n v="290.8"/>
    <n v="290.8"/>
    <n v="290.8"/>
    <n v="0"/>
    <x v="1"/>
    <n v="0"/>
    <n v="1"/>
    <n v="25"/>
    <n v="70"/>
    <n v="7.24"/>
    <n v="52.77"/>
    <n v="389.28"/>
    <n v="7.9533527807993183"/>
    <n v="40.035165075358321"/>
    <n v="454.3285679284046"/>
    <n v="70083.199999999997"/>
    <n v="15345.516000000001"/>
    <n v="113202.624"/>
    <n v="76988.454918137402"/>
    <n v="11642.2260039142"/>
    <n v="132118.74755358006"/>
  </r>
  <r>
    <s v="Regular"/>
    <x v="0"/>
    <x v="0"/>
    <x v="1"/>
    <x v="0"/>
    <x v="0"/>
    <x v="0"/>
    <x v="2"/>
    <x v="4"/>
    <n v="133743"/>
    <n v="133743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68299.32000000007"/>
    <n v="0"/>
    <n v="0"/>
    <n v="1063705.2609624432"/>
    <n v="0"/>
    <n v="0"/>
  </r>
  <r>
    <s v="Regular"/>
    <x v="0"/>
    <x v="0"/>
    <x v="1"/>
    <x v="0"/>
    <x v="0"/>
    <x v="0"/>
    <x v="2"/>
    <x v="5"/>
    <n v="9713"/>
    <n v="9713"/>
    <n v="259.22000000000003"/>
    <n v="259.22000000000003"/>
    <n v="259.22000000000003"/>
    <n v="259.22000000000003"/>
    <n v="0"/>
    <x v="1"/>
    <n v="0"/>
    <n v="1"/>
    <n v="25"/>
    <n v="70"/>
    <n v="7.24"/>
    <n v="52.77"/>
    <n v="389.28"/>
    <n v="7.9533527807993183"/>
    <n v="40.035165075358321"/>
    <n v="454.3285679284046"/>
    <n v="70322.12"/>
    <n v="13679.039400000001"/>
    <n v="100909.16160000001"/>
    <n v="77250.915559903777"/>
    <n v="10377.915490834384"/>
    <n v="117771.05137840105"/>
  </r>
  <r>
    <s v="Regular"/>
    <x v="0"/>
    <x v="0"/>
    <x v="1"/>
    <x v="0"/>
    <x v="0"/>
    <x v="0"/>
    <x v="2"/>
    <x v="5"/>
    <n v="136959"/>
    <n v="136959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91583.16"/>
    <n v="0"/>
    <n v="0"/>
    <n v="1089283.2435054937"/>
    <n v="0"/>
    <n v="0"/>
  </r>
  <r>
    <s v="Regular"/>
    <x v="0"/>
    <x v="0"/>
    <x v="1"/>
    <x v="0"/>
    <x v="0"/>
    <x v="0"/>
    <x v="2"/>
    <x v="6"/>
    <n v="9646"/>
    <n v="9646"/>
    <n v="271.12400000000002"/>
    <n v="271.12400000000002"/>
    <n v="271.12400000000002"/>
    <n v="271.12400000000002"/>
    <n v="0"/>
    <x v="1"/>
    <n v="0"/>
    <n v="1"/>
    <n v="25"/>
    <n v="70"/>
    <n v="7.24"/>
    <n v="52.77"/>
    <n v="389.28"/>
    <n v="7.9533527807993183"/>
    <n v="40.035165075358321"/>
    <n v="454.3285679284046"/>
    <n v="69837.040000000008"/>
    <n v="14307.213480000002"/>
    <n v="105543.15072000001"/>
    <n v="76718.040923590219"/>
    <n v="10854.49409589145"/>
    <n v="123179.37865102077"/>
  </r>
  <r>
    <s v="Regular"/>
    <x v="0"/>
    <x v="0"/>
    <x v="1"/>
    <x v="0"/>
    <x v="0"/>
    <x v="0"/>
    <x v="2"/>
    <x v="6"/>
    <n v="137260"/>
    <n v="137260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93762.4"/>
    <n v="0"/>
    <n v="0"/>
    <n v="1091677.2026925145"/>
    <n v="0"/>
    <n v="0"/>
  </r>
  <r>
    <s v="Regular"/>
    <x v="0"/>
    <x v="0"/>
    <x v="1"/>
    <x v="0"/>
    <x v="0"/>
    <x v="0"/>
    <x v="2"/>
    <x v="7"/>
    <n v="5200"/>
    <n v="5200"/>
    <n v="15.832000000000001"/>
    <n v="15.832000000000001"/>
    <n v="15.832000000000001"/>
    <n v="15.832000000000001"/>
    <n v="0"/>
    <x v="1"/>
    <n v="0"/>
    <n v="1"/>
    <n v="25"/>
    <n v="70"/>
    <n v="7.24"/>
    <n v="52.77"/>
    <n v="389.28"/>
    <n v="7.9533527807993183"/>
    <n v="40.035165075358321"/>
    <n v="454.3285679284046"/>
    <n v="37648"/>
    <n v="835.45464000000004"/>
    <n v="6163.0809600000002"/>
    <n v="41357.434460156452"/>
    <n v="633.83673347307297"/>
    <n v="7192.9298874425021"/>
  </r>
  <r>
    <s v="Regular"/>
    <x v="0"/>
    <x v="0"/>
    <x v="1"/>
    <x v="0"/>
    <x v="0"/>
    <x v="0"/>
    <x v="2"/>
    <x v="7"/>
    <n v="132923"/>
    <n v="132923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62362.52"/>
    <n v="0"/>
    <n v="0"/>
    <n v="1057183.5116821877"/>
    <n v="0"/>
    <n v="0"/>
  </r>
  <r>
    <s v="Regular"/>
    <x v="0"/>
    <x v="0"/>
    <x v="1"/>
    <x v="0"/>
    <x v="0"/>
    <x v="0"/>
    <x v="2"/>
    <x v="8"/>
    <n v="9100"/>
    <n v="9100"/>
    <n v="172.83699999999999"/>
    <n v="172.83699999999999"/>
    <n v="172.83699999999999"/>
    <n v="172.83699999999999"/>
    <n v="0"/>
    <x v="1"/>
    <n v="0"/>
    <n v="1"/>
    <n v="25"/>
    <n v="70"/>
    <n v="7.24"/>
    <n v="52.77"/>
    <n v="389.28"/>
    <n v="7.9533527807993183"/>
    <n v="40.035165075358321"/>
    <n v="454.3285679284046"/>
    <n v="65884"/>
    <n v="9120.6084900000005"/>
    <n v="67281.987359999985"/>
    <n v="72375.510305273798"/>
    <n v="6919.557826129706"/>
    <n v="78524.786695041665"/>
  </r>
  <r>
    <s v="Regular"/>
    <x v="0"/>
    <x v="0"/>
    <x v="1"/>
    <x v="0"/>
    <x v="0"/>
    <x v="0"/>
    <x v="2"/>
    <x v="8"/>
    <n v="137603"/>
    <n v="137603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96245.72"/>
    <n v="0"/>
    <n v="0"/>
    <n v="1094405.2026963285"/>
    <n v="0"/>
    <n v="0"/>
  </r>
  <r>
    <s v="Regular"/>
    <x v="0"/>
    <x v="0"/>
    <x v="1"/>
    <x v="0"/>
    <x v="0"/>
    <x v="0"/>
    <x v="2"/>
    <x v="9"/>
    <n v="9100"/>
    <n v="9100"/>
    <n v="206.767"/>
    <n v="206.767"/>
    <n v="206.767"/>
    <n v="206.767"/>
    <n v="0"/>
    <x v="1"/>
    <n v="0"/>
    <n v="1"/>
    <n v="25"/>
    <n v="70"/>
    <n v="7.24"/>
    <n v="52.77"/>
    <n v="389.28"/>
    <n v="7.9533527807993183"/>
    <n v="40.035165075358321"/>
    <n v="454.3285679284046"/>
    <n v="65884"/>
    <n v="10911.094590000001"/>
    <n v="80490.257759999993"/>
    <n v="72375.510305273798"/>
    <n v="8277.9509771366138"/>
    <n v="93940.155004852437"/>
  </r>
  <r>
    <s v="Regular"/>
    <x v="0"/>
    <x v="0"/>
    <x v="1"/>
    <x v="0"/>
    <x v="0"/>
    <x v="0"/>
    <x v="2"/>
    <x v="9"/>
    <n v="143523"/>
    <n v="143523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1039106.52"/>
    <n v="0"/>
    <n v="0"/>
    <n v="1141489.0511586606"/>
    <n v="0"/>
    <n v="0"/>
  </r>
  <r>
    <s v="Regular"/>
    <x v="0"/>
    <x v="0"/>
    <x v="1"/>
    <x v="0"/>
    <x v="0"/>
    <x v="0"/>
    <x v="2"/>
    <x v="10"/>
    <n v="9100"/>
    <n v="9100"/>
    <n v="166.53399999999999"/>
    <n v="166.53399999999999"/>
    <n v="166.53399999999999"/>
    <n v="166.53399999999999"/>
    <n v="0"/>
    <x v="1"/>
    <n v="0"/>
    <n v="1"/>
    <n v="25"/>
    <n v="70"/>
    <n v="7.24"/>
    <n v="52.77"/>
    <n v="389.28"/>
    <n v="7.9533527807993183"/>
    <n v="40.035165075358321"/>
    <n v="454.3285679284046"/>
    <n v="65884"/>
    <n v="8787.9991800000007"/>
    <n v="64828.35551999999"/>
    <n v="72375.510305273798"/>
    <n v="6667.2161806597223"/>
    <n v="75661.153731388928"/>
  </r>
  <r>
    <s v="Regular"/>
    <x v="0"/>
    <x v="0"/>
    <x v="1"/>
    <x v="0"/>
    <x v="0"/>
    <x v="0"/>
    <x v="2"/>
    <x v="10"/>
    <n v="147144"/>
    <n v="147144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1065322.56"/>
    <n v="0"/>
    <n v="0"/>
    <n v="1170288.1415779348"/>
    <n v="0"/>
    <n v="0"/>
  </r>
  <r>
    <s v="PROJETADO"/>
    <x v="0"/>
    <x v="0"/>
    <x v="1"/>
    <x v="0"/>
    <x v="0"/>
    <x v="0"/>
    <x v="2"/>
    <x v="11"/>
    <n v="9100"/>
    <n v="9100"/>
    <n v="166.53399999999999"/>
    <n v="166.53399999999999"/>
    <n v="166.53399999999999"/>
    <n v="166.53399999999999"/>
    <n v="0"/>
    <x v="1"/>
    <n v="0"/>
    <n v="1"/>
    <n v="25"/>
    <n v="70"/>
    <n v="7.24"/>
    <n v="52.77"/>
    <n v="389.28"/>
    <n v="7.9533527807993183"/>
    <n v="40.035165075358321"/>
    <n v="454.3285679284046"/>
    <n v="65884"/>
    <n v="8787.9991800000007"/>
    <n v="64828.35551999999"/>
    <n v="72375.510305273798"/>
    <n v="6667.2161806597223"/>
    <n v="75661.153731388928"/>
  </r>
  <r>
    <s v="PROJETADO"/>
    <x v="0"/>
    <x v="0"/>
    <x v="1"/>
    <x v="0"/>
    <x v="0"/>
    <x v="0"/>
    <x v="2"/>
    <x v="11"/>
    <n v="147144"/>
    <n v="147144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1065322.56"/>
    <n v="0"/>
    <n v="0"/>
    <n v="1170288.1415779348"/>
    <n v="0"/>
    <n v="0"/>
  </r>
  <r>
    <s v="Regular"/>
    <x v="0"/>
    <x v="0"/>
    <x v="2"/>
    <x v="0"/>
    <x v="0"/>
    <x v="0"/>
    <x v="0"/>
    <x v="0"/>
    <n v="6800"/>
    <n v="6800"/>
    <n v="2306.2759999999998"/>
    <n v="2306.2759999999998"/>
    <n v="2306.2759999999998"/>
    <n v="2306.2759999999998"/>
    <n v="0"/>
    <x v="1"/>
    <n v="0"/>
    <n v="2"/>
    <n v="25"/>
    <n v="65"/>
    <n v="5.9"/>
    <n v="52.77"/>
    <n v="230.03"/>
    <n v="6.4798355258986495"/>
    <n v="40.035165075358321"/>
    <n v="282.91739971702214"/>
    <n v="40120"/>
    <n v="121702.18452"/>
    <n v="530512.66827999998"/>
    <n v="44062.88157611082"/>
    <n v="92332.140369337081"/>
    <n v="652485.60894977488"/>
  </r>
  <r>
    <s v="Regular"/>
    <x v="0"/>
    <x v="0"/>
    <x v="2"/>
    <x v="0"/>
    <x v="0"/>
    <x v="0"/>
    <x v="0"/>
    <x v="1"/>
    <n v="6800"/>
    <n v="6800"/>
    <n v="2336.6979999999999"/>
    <n v="2336.6979999999999"/>
    <n v="2336.6979999999999"/>
    <n v="2336.6979999999999"/>
    <n v="0"/>
    <x v="1"/>
    <n v="0"/>
    <n v="2"/>
    <n v="25"/>
    <n v="65"/>
    <n v="5.9"/>
    <n v="52.77"/>
    <n v="230.03"/>
    <n v="6.4798355258986495"/>
    <n v="40.035165075358321"/>
    <n v="282.91739971702214"/>
    <n v="40120"/>
    <n v="123307.55346"/>
    <n v="537510.64093999995"/>
    <n v="44062.88157611082"/>
    <n v="93550.090161259635"/>
    <n v="661092.52208396618"/>
  </r>
  <r>
    <s v="Regular"/>
    <x v="0"/>
    <x v="0"/>
    <x v="2"/>
    <x v="0"/>
    <x v="0"/>
    <x v="0"/>
    <x v="0"/>
    <x v="2"/>
    <n v="6800"/>
    <n v="6800"/>
    <n v="2230.4520000000002"/>
    <n v="2230.4520000000002"/>
    <n v="2230.4520000000002"/>
    <n v="2230.4520000000002"/>
    <n v="0"/>
    <x v="1"/>
    <n v="0"/>
    <n v="2"/>
    <n v="25"/>
    <n v="65"/>
    <n v="5.9"/>
    <n v="52.77"/>
    <n v="230.03"/>
    <n v="6.4798355258986495"/>
    <n v="40.035165075358321"/>
    <n v="282.91739971702214"/>
    <n v="40120"/>
    <n v="117700.95204000002"/>
    <n v="513070.87356000004"/>
    <n v="44062.88157611082"/>
    <n v="89296.51401266313"/>
    <n v="631033.68003363151"/>
  </r>
  <r>
    <s v="Regular"/>
    <x v="0"/>
    <x v="0"/>
    <x v="2"/>
    <x v="0"/>
    <x v="0"/>
    <x v="0"/>
    <x v="0"/>
    <x v="3"/>
    <n v="6800"/>
    <n v="6800"/>
    <n v="2032.4079999999999"/>
    <n v="2032.4079999999999"/>
    <n v="2032.4079999999999"/>
    <n v="2032.4079999999999"/>
    <n v="0"/>
    <x v="1"/>
    <n v="0"/>
    <n v="2"/>
    <n v="25"/>
    <n v="65"/>
    <n v="5.9"/>
    <n v="52.77"/>
    <n v="230.03"/>
    <n v="6.4798355258986495"/>
    <n v="40.035165075358321"/>
    <n v="282.91739971702214"/>
    <n v="40120"/>
    <n v="107250.17015999999"/>
    <n v="467514.81224"/>
    <n v="44062.88157611082"/>
    <n v="81367.789780478852"/>
    <n v="575003.5865240735"/>
  </r>
  <r>
    <s v="Regular"/>
    <x v="0"/>
    <x v="0"/>
    <x v="2"/>
    <x v="0"/>
    <x v="0"/>
    <x v="0"/>
    <x v="0"/>
    <x v="4"/>
    <n v="6800"/>
    <n v="6800"/>
    <n v="2269.7220000000002"/>
    <n v="2269.7220000000002"/>
    <n v="2269.7220000000002"/>
    <n v="2269.7220000000002"/>
    <n v="0"/>
    <x v="1"/>
    <n v="0"/>
    <n v="2"/>
    <n v="25"/>
    <n v="65"/>
    <n v="5.9"/>
    <n v="52.77"/>
    <n v="230.03"/>
    <n v="6.4798355258986495"/>
    <n v="40.035165075358321"/>
    <n v="282.91739971702214"/>
    <n v="40120"/>
    <n v="119773.22994000002"/>
    <n v="522104.15166000003"/>
    <n v="44062.88157611082"/>
    <n v="90868.69494517245"/>
    <n v="642143.84632051899"/>
  </r>
  <r>
    <s v="Regular"/>
    <x v="0"/>
    <x v="0"/>
    <x v="2"/>
    <x v="0"/>
    <x v="0"/>
    <x v="0"/>
    <x v="0"/>
    <x v="5"/>
    <n v="6800"/>
    <n v="6800"/>
    <n v="2143.7779999999998"/>
    <n v="2143.7779999999998"/>
    <n v="2143.7779999999998"/>
    <n v="2143.7779999999998"/>
    <n v="0"/>
    <x v="1"/>
    <n v="0"/>
    <n v="2"/>
    <n v="25"/>
    <n v="65"/>
    <n v="5.9"/>
    <n v="52.77"/>
    <n v="230.03"/>
    <n v="6.4798355258986495"/>
    <n v="40.035165075358321"/>
    <n v="282.91739971702214"/>
    <n v="40120"/>
    <n v="113127.16506"/>
    <n v="493133.25333999994"/>
    <n v="44062.88157611082"/>
    <n v="85826.506114921503"/>
    <n v="606512.09733055823"/>
  </r>
  <r>
    <s v="Regular"/>
    <x v="0"/>
    <x v="0"/>
    <x v="2"/>
    <x v="0"/>
    <x v="0"/>
    <x v="0"/>
    <x v="0"/>
    <x v="6"/>
    <n v="6800"/>
    <n v="6800"/>
    <n v="2196.5859999999998"/>
    <n v="2196.5859999999998"/>
    <n v="2196.5859999999998"/>
    <n v="2196.5859999999998"/>
    <n v="0"/>
    <x v="1"/>
    <n v="0"/>
    <n v="2"/>
    <n v="25"/>
    <n v="65"/>
    <n v="5.9"/>
    <n v="52.77"/>
    <n v="230.03"/>
    <n v="6.4798355258986495"/>
    <n v="40.035165075358321"/>
    <n v="282.91739971702214"/>
    <n v="40120"/>
    <n v="115913.84322"/>
    <n v="505280.67757999996"/>
    <n v="44062.88157611082"/>
    <n v="87940.683112221028"/>
    <n v="621452.3993748147"/>
  </r>
  <r>
    <s v="Regular"/>
    <x v="0"/>
    <x v="0"/>
    <x v="2"/>
    <x v="0"/>
    <x v="0"/>
    <x v="0"/>
    <x v="0"/>
    <x v="7"/>
    <n v="6800"/>
    <n v="6800"/>
    <n v="2098.4740000000002"/>
    <n v="2098.4740000000002"/>
    <n v="2098.4740000000002"/>
    <n v="2098.4740000000002"/>
    <n v="0"/>
    <x v="1"/>
    <n v="0"/>
    <n v="2"/>
    <n v="25"/>
    <n v="65"/>
    <n v="5.9"/>
    <n v="52.77"/>
    <n v="230.03"/>
    <n v="6.4798355258986495"/>
    <n v="40.035165075358321"/>
    <n v="282.91739971702214"/>
    <n v="40120"/>
    <n v="110736.47298000002"/>
    <n v="482711.97422000003"/>
    <n v="44062.88157611082"/>
    <n v="84012.752996347481"/>
    <n v="593694.80745377834"/>
  </r>
  <r>
    <s v="Regular"/>
    <x v="0"/>
    <x v="0"/>
    <x v="2"/>
    <x v="0"/>
    <x v="0"/>
    <x v="0"/>
    <x v="0"/>
    <x v="8"/>
    <n v="6800"/>
    <n v="6800"/>
    <n v="2228.4499999999998"/>
    <n v="2228.4499999999998"/>
    <n v="2228.4499999999998"/>
    <n v="2228.4499999999998"/>
    <n v="0"/>
    <x v="1"/>
    <n v="0"/>
    <n v="2"/>
    <n v="25"/>
    <n v="65"/>
    <n v="5.9"/>
    <n v="52.77"/>
    <n v="230.03"/>
    <n v="6.4798355258986495"/>
    <n v="40.035165075358321"/>
    <n v="282.91739971702214"/>
    <n v="40120"/>
    <n v="117595.30649999999"/>
    <n v="512610.35349999997"/>
    <n v="44062.88157611082"/>
    <n v="89216.363612182249"/>
    <n v="630467.2793993979"/>
  </r>
  <r>
    <s v="Regular"/>
    <x v="0"/>
    <x v="0"/>
    <x v="2"/>
    <x v="0"/>
    <x v="0"/>
    <x v="0"/>
    <x v="0"/>
    <x v="9"/>
    <n v="6800"/>
    <n v="6800"/>
    <n v="2392.2919999999999"/>
    <n v="2392.2919999999999"/>
    <n v="2392.2919999999999"/>
    <n v="2392.2919999999999"/>
    <n v="0"/>
    <x v="1"/>
    <n v="0"/>
    <n v="2"/>
    <n v="25"/>
    <n v="65"/>
    <n v="5.9"/>
    <n v="52.77"/>
    <n v="230.03"/>
    <n v="6.4798355258986495"/>
    <n v="40.035165075358321"/>
    <n v="282.91739971702214"/>
    <n v="40120"/>
    <n v="126241.24884"/>
    <n v="550298.92876000004"/>
    <n v="44062.88157611082"/>
    <n v="95775.805128459106"/>
    <n v="676821.03200383426"/>
  </r>
  <r>
    <s v="Regular"/>
    <x v="0"/>
    <x v="0"/>
    <x v="2"/>
    <x v="0"/>
    <x v="0"/>
    <x v="0"/>
    <x v="0"/>
    <x v="10"/>
    <n v="6800"/>
    <n v="6800"/>
    <n v="2352.2800000000002"/>
    <n v="2352.2800000000002"/>
    <n v="2352.2800000000002"/>
    <n v="2352.2800000000002"/>
    <n v="0"/>
    <x v="1"/>
    <n v="0"/>
    <n v="2"/>
    <n v="25"/>
    <n v="65"/>
    <n v="5.9"/>
    <n v="52.77"/>
    <n v="230.03"/>
    <n v="6.4798355258986495"/>
    <n v="40.035165075358321"/>
    <n v="282.91739971702214"/>
    <n v="40120"/>
    <n v="124129.81560000002"/>
    <n v="541094.96840000001"/>
    <n v="44062.88157611082"/>
    <n v="94173.918103463875"/>
    <n v="665500.94100635685"/>
  </r>
  <r>
    <s v="PROJETADO"/>
    <x v="0"/>
    <x v="0"/>
    <x v="2"/>
    <x v="0"/>
    <x v="0"/>
    <x v="0"/>
    <x v="0"/>
    <x v="11"/>
    <n v="6800"/>
    <n v="6800"/>
    <n v="2352.2800000000002"/>
    <n v="2352.2800000000002"/>
    <n v="2352.2800000000002"/>
    <n v="2352.2800000000002"/>
    <n v="0"/>
    <x v="1"/>
    <n v="0"/>
    <n v="2"/>
    <n v="25"/>
    <n v="65"/>
    <n v="5.9"/>
    <n v="52.77"/>
    <n v="230.03"/>
    <n v="6.4798355258986495"/>
    <n v="40.035165075358321"/>
    <n v="282.91739971702214"/>
    <n v="40120"/>
    <n v="124129.81560000002"/>
    <n v="541094.96840000001"/>
    <n v="44062.88157611082"/>
    <n v="94173.918103463875"/>
    <n v="665500.94100635685"/>
  </r>
  <r>
    <s v="Regular"/>
    <x v="0"/>
    <x v="0"/>
    <x v="2"/>
    <x v="0"/>
    <x v="0"/>
    <x v="0"/>
    <x v="2"/>
    <x v="0"/>
    <n v="6300"/>
    <n v="6300"/>
    <n v="196.82599999999999"/>
    <n v="196.82599999999999"/>
    <n v="196.82599999999999"/>
    <n v="196.82599999999999"/>
    <n v="0"/>
    <x v="1"/>
    <n v="0"/>
    <n v="1"/>
    <n v="25"/>
    <n v="70"/>
    <n v="7.24"/>
    <n v="52.77"/>
    <n v="389.28"/>
    <n v="7.9533527807993183"/>
    <n v="40.035165075358321"/>
    <n v="454.3285679284046"/>
    <n v="45612"/>
    <n v="10386.508020000001"/>
    <n v="76620.425279999996"/>
    <n v="50106.122519035707"/>
    <n v="7879.9614011224767"/>
    <n v="89423.674711076164"/>
  </r>
  <r>
    <s v="Regular"/>
    <x v="0"/>
    <x v="0"/>
    <x v="2"/>
    <x v="0"/>
    <x v="0"/>
    <x v="0"/>
    <x v="2"/>
    <x v="1"/>
    <n v="6300"/>
    <n v="6300"/>
    <n v="215.208"/>
    <n v="215.208"/>
    <n v="215.208"/>
    <n v="215.208"/>
    <n v="0"/>
    <x v="1"/>
    <n v="0"/>
    <n v="1"/>
    <n v="25"/>
    <n v="70"/>
    <n v="7.24"/>
    <n v="52.77"/>
    <n v="389.28"/>
    <n v="7.9533527807993183"/>
    <n v="40.035165075358321"/>
    <n v="454.3285679284046"/>
    <n v="45612"/>
    <n v="11356.526160000001"/>
    <n v="83776.170239999992"/>
    <n v="50106.122519035707"/>
    <n v="8615.8878055377136"/>
    <n v="97775.142446736092"/>
  </r>
  <r>
    <s v="Regular"/>
    <x v="0"/>
    <x v="0"/>
    <x v="2"/>
    <x v="0"/>
    <x v="0"/>
    <x v="0"/>
    <x v="2"/>
    <x v="2"/>
    <n v="6300"/>
    <n v="6300"/>
    <n v="189.78399999999999"/>
    <n v="189.78399999999999"/>
    <n v="189.78399999999999"/>
    <n v="189.78399999999999"/>
    <n v="0"/>
    <x v="1"/>
    <n v="0"/>
    <n v="1"/>
    <n v="25"/>
    <n v="70"/>
    <n v="7.24"/>
    <n v="52.77"/>
    <n v="389.28"/>
    <n v="7.9533527807993183"/>
    <n v="40.035165075358321"/>
    <n v="454.3285679284046"/>
    <n v="45612"/>
    <n v="10014.901680000001"/>
    <n v="73879.115519999992"/>
    <n v="50106.122519035707"/>
    <n v="7598.0337686618032"/>
    <n v="86224.292935724341"/>
  </r>
  <r>
    <s v="Regular"/>
    <x v="0"/>
    <x v="0"/>
    <x v="2"/>
    <x v="0"/>
    <x v="0"/>
    <x v="0"/>
    <x v="2"/>
    <x v="3"/>
    <n v="6300"/>
    <n v="6300"/>
    <n v="184.45"/>
    <n v="184.45"/>
    <n v="184.45"/>
    <n v="184.45"/>
    <n v="0"/>
    <x v="1"/>
    <n v="0"/>
    <n v="1"/>
    <n v="25"/>
    <n v="70"/>
    <n v="7.24"/>
    <n v="52.77"/>
    <n v="389.28"/>
    <n v="7.9533527807993183"/>
    <n v="40.035165075358321"/>
    <n v="454.3285679284046"/>
    <n v="45612"/>
    <n v="9733.4264999999996"/>
    <n v="71802.695999999996"/>
    <n v="50106.122519035707"/>
    <n v="7384.4861981498416"/>
    <n v="83800.904354394224"/>
  </r>
  <r>
    <s v="Regular"/>
    <x v="0"/>
    <x v="0"/>
    <x v="2"/>
    <x v="0"/>
    <x v="0"/>
    <x v="0"/>
    <x v="2"/>
    <x v="4"/>
    <n v="6300"/>
    <n v="6300"/>
    <n v="220.90600000000001"/>
    <n v="220.90600000000001"/>
    <n v="220.90600000000001"/>
    <n v="220.90600000000001"/>
    <n v="0"/>
    <x v="1"/>
    <n v="0"/>
    <n v="1"/>
    <n v="25"/>
    <n v="70"/>
    <n v="7.24"/>
    <n v="52.77"/>
    <n v="389.28"/>
    <n v="7.9533527807993183"/>
    <n v="40.035165075358321"/>
    <n v="454.3285679284046"/>
    <n v="45612"/>
    <n v="11657.209620000001"/>
    <n v="85994.287679999994"/>
    <n v="50106.122519035707"/>
    <n v="8844.0081761371057"/>
    <n v="100363.90662679214"/>
  </r>
  <r>
    <s v="Regular"/>
    <x v="0"/>
    <x v="0"/>
    <x v="2"/>
    <x v="0"/>
    <x v="0"/>
    <x v="0"/>
    <x v="2"/>
    <x v="5"/>
    <n v="6300"/>
    <n v="6300"/>
    <n v="189.238"/>
    <n v="189.238"/>
    <n v="189.238"/>
    <n v="189.238"/>
    <n v="0"/>
    <x v="1"/>
    <n v="0"/>
    <n v="1"/>
    <n v="25"/>
    <n v="70"/>
    <n v="7.24"/>
    <n v="52.77"/>
    <n v="389.28"/>
    <n v="7.9533527807993183"/>
    <n v="40.035165075358321"/>
    <n v="454.3285679284046"/>
    <n v="45612"/>
    <n v="9986.0892600000006"/>
    <n v="73666.568639999998"/>
    <n v="50106.122519035707"/>
    <n v="7576.1745685306578"/>
    <n v="85976.22953763543"/>
  </r>
  <r>
    <s v="Regular"/>
    <x v="0"/>
    <x v="0"/>
    <x v="2"/>
    <x v="0"/>
    <x v="0"/>
    <x v="0"/>
    <x v="2"/>
    <x v="6"/>
    <n v="6300"/>
    <n v="6300"/>
    <n v="194.81"/>
    <n v="194.81"/>
    <n v="194.81"/>
    <n v="194.81"/>
    <n v="0"/>
    <x v="1"/>
    <n v="0"/>
    <n v="1"/>
    <n v="25"/>
    <n v="70"/>
    <n v="7.24"/>
    <n v="52.77"/>
    <n v="389.28"/>
    <n v="7.9533527807993183"/>
    <n v="40.035165075358321"/>
    <n v="454.3285679284046"/>
    <n v="45612"/>
    <n v="10280.1237"/>
    <n v="75835.636799999993"/>
    <n v="50106.122519035707"/>
    <n v="7799.250508330555"/>
    <n v="88507.748318132493"/>
  </r>
  <r>
    <s v="Regular"/>
    <x v="0"/>
    <x v="0"/>
    <x v="2"/>
    <x v="0"/>
    <x v="0"/>
    <x v="0"/>
    <x v="2"/>
    <x v="7"/>
    <n v="6300"/>
    <n v="6300"/>
    <n v="191.464"/>
    <n v="191.464"/>
    <n v="191.464"/>
    <n v="191.464"/>
    <n v="0"/>
    <x v="1"/>
    <n v="0"/>
    <n v="1"/>
    <n v="25"/>
    <n v="70"/>
    <n v="7.24"/>
    <n v="52.77"/>
    <n v="389.28"/>
    <n v="7.9533527807993183"/>
    <n v="40.035165075358321"/>
    <n v="454.3285679284046"/>
    <n v="45612"/>
    <n v="10103.55528"/>
    <n v="74533.105919999987"/>
    <n v="50106.122519035707"/>
    <n v="7665.292845988406"/>
    <n v="86987.564929844055"/>
  </r>
  <r>
    <s v="Regular"/>
    <x v="0"/>
    <x v="0"/>
    <x v="2"/>
    <x v="0"/>
    <x v="0"/>
    <x v="0"/>
    <x v="2"/>
    <x v="8"/>
    <n v="6300"/>
    <n v="6300"/>
    <n v="204.58199999999999"/>
    <n v="204.58199999999999"/>
    <n v="204.58199999999999"/>
    <n v="204.58199999999999"/>
    <n v="0"/>
    <x v="1"/>
    <n v="0"/>
    <n v="1"/>
    <n v="25"/>
    <n v="70"/>
    <n v="7.24"/>
    <n v="52.77"/>
    <n v="389.28"/>
    <n v="7.9533527807993183"/>
    <n v="40.035165075358321"/>
    <n v="454.3285679284046"/>
    <n v="45612"/>
    <n v="10795.79214"/>
    <n v="79639.680959999998"/>
    <n v="50106.122519035707"/>
    <n v="8190.4741414469563"/>
    <n v="92947.44708392887"/>
  </r>
  <r>
    <s v="Regular"/>
    <x v="0"/>
    <x v="0"/>
    <x v="2"/>
    <x v="0"/>
    <x v="0"/>
    <x v="0"/>
    <x v="2"/>
    <x v="9"/>
    <n v="6300"/>
    <n v="6300"/>
    <n v="220.47200000000001"/>
    <n v="220.47200000000001"/>
    <n v="220.47200000000001"/>
    <n v="220.47200000000001"/>
    <n v="0"/>
    <x v="1"/>
    <n v="0"/>
    <n v="1"/>
    <n v="25"/>
    <n v="70"/>
    <n v="7.24"/>
    <n v="52.77"/>
    <n v="389.28"/>
    <n v="7.9533527807993183"/>
    <n v="40.035165075358321"/>
    <n v="454.3285679284046"/>
    <n v="45612"/>
    <n v="11634.30744"/>
    <n v="85825.340159999992"/>
    <n v="50106.122519035707"/>
    <n v="8826.6329144943993"/>
    <n v="100166.72802831122"/>
  </r>
  <r>
    <s v="Regular"/>
    <x v="0"/>
    <x v="0"/>
    <x v="2"/>
    <x v="0"/>
    <x v="0"/>
    <x v="0"/>
    <x v="2"/>
    <x v="10"/>
    <n v="6300"/>
    <n v="6300"/>
    <n v="209.13200000000001"/>
    <n v="209.13200000000001"/>
    <n v="209.13200000000001"/>
    <n v="209.13200000000001"/>
    <n v="0"/>
    <x v="1"/>
    <n v="0"/>
    <n v="1"/>
    <n v="25"/>
    <n v="70"/>
    <n v="7.24"/>
    <n v="52.77"/>
    <n v="389.28"/>
    <n v="7.9533527807993183"/>
    <n v="40.035165075358321"/>
    <n v="454.3285679284046"/>
    <n v="45612"/>
    <n v="11035.895640000001"/>
    <n v="81410.90496"/>
    <n v="50106.122519035707"/>
    <n v="8372.6341425398368"/>
    <n v="95014.642068003115"/>
  </r>
  <r>
    <s v="PROJETADO"/>
    <x v="0"/>
    <x v="0"/>
    <x v="2"/>
    <x v="0"/>
    <x v="0"/>
    <x v="0"/>
    <x v="2"/>
    <x v="11"/>
    <n v="6300"/>
    <n v="6300"/>
    <n v="209.13200000000001"/>
    <n v="209.13200000000001"/>
    <n v="209.13200000000001"/>
    <n v="209.13200000000001"/>
    <n v="0"/>
    <x v="1"/>
    <n v="0"/>
    <n v="1"/>
    <n v="25"/>
    <n v="70"/>
    <n v="7.24"/>
    <n v="52.77"/>
    <n v="389.28"/>
    <n v="7.9533527807993183"/>
    <n v="40.035165075358321"/>
    <n v="454.3285679284046"/>
    <n v="45612"/>
    <n v="11035.895640000001"/>
    <n v="81410.90496"/>
    <n v="50106.122519035707"/>
    <n v="8372.6341425398368"/>
    <n v="95014.642068003115"/>
  </r>
  <r>
    <s v="Regular"/>
    <x v="0"/>
    <x v="0"/>
    <x v="3"/>
    <x v="1"/>
    <x v="0"/>
    <x v="0"/>
    <x v="0"/>
    <x v="0"/>
    <n v="15217"/>
    <n v="13847.470000000001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81700.073000000019"/>
    <n v="0"/>
    <n v="0"/>
    <n v="89729.328049815784"/>
    <n v="0"/>
    <n v="0"/>
  </r>
  <r>
    <s v="Regular"/>
    <x v="0"/>
    <x v="0"/>
    <x v="3"/>
    <x v="1"/>
    <x v="0"/>
    <x v="0"/>
    <x v="0"/>
    <x v="1"/>
    <n v="15621"/>
    <n v="14215.11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83869.149000000005"/>
    <n v="0"/>
    <n v="0"/>
    <n v="92111.57478255716"/>
    <n v="0"/>
    <n v="0"/>
  </r>
  <r>
    <s v="Regular"/>
    <x v="0"/>
    <x v="0"/>
    <x v="3"/>
    <x v="1"/>
    <x v="0"/>
    <x v="0"/>
    <x v="0"/>
    <x v="2"/>
    <n v="14839"/>
    <n v="13503.49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9670.591"/>
    <n v="0"/>
    <n v="0"/>
    <n v="87500.394225617158"/>
    <n v="0"/>
    <n v="0"/>
  </r>
  <r>
    <s v="Regular"/>
    <x v="0"/>
    <x v="0"/>
    <x v="3"/>
    <x v="1"/>
    <x v="0"/>
    <x v="0"/>
    <x v="0"/>
    <x v="3"/>
    <n v="14839"/>
    <n v="13503.49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9670.591"/>
    <n v="0"/>
    <n v="0"/>
    <n v="87500.394225617158"/>
    <n v="0"/>
    <n v="0"/>
  </r>
  <r>
    <s v="Regular"/>
    <x v="0"/>
    <x v="0"/>
    <x v="3"/>
    <x v="1"/>
    <x v="0"/>
    <x v="0"/>
    <x v="0"/>
    <x v="4"/>
    <n v="14839"/>
    <n v="13503.49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9670.591"/>
    <n v="0"/>
    <n v="0"/>
    <n v="87500.394225617158"/>
    <n v="0"/>
    <n v="0"/>
  </r>
  <r>
    <s v="Regular"/>
    <x v="0"/>
    <x v="0"/>
    <x v="3"/>
    <x v="1"/>
    <x v="0"/>
    <x v="0"/>
    <x v="0"/>
    <x v="5"/>
    <n v="14839"/>
    <n v="13503.49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9670.591"/>
    <n v="0"/>
    <n v="0"/>
    <n v="87500.394225617158"/>
    <n v="0"/>
    <n v="0"/>
  </r>
  <r>
    <s v="Regular"/>
    <x v="0"/>
    <x v="0"/>
    <x v="3"/>
    <x v="1"/>
    <x v="0"/>
    <x v="0"/>
    <x v="0"/>
    <x v="6"/>
    <n v="14839"/>
    <n v="13503.49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9670.591"/>
    <n v="0"/>
    <n v="0"/>
    <n v="87500.394225617158"/>
    <n v="0"/>
    <n v="0"/>
  </r>
  <r>
    <s v="Regular"/>
    <x v="0"/>
    <x v="0"/>
    <x v="3"/>
    <x v="1"/>
    <x v="0"/>
    <x v="0"/>
    <x v="0"/>
    <x v="7"/>
    <n v="14839"/>
    <n v="13503.49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9670.591"/>
    <n v="0"/>
    <n v="0"/>
    <n v="87500.394225617158"/>
    <n v="0"/>
    <n v="0"/>
  </r>
  <r>
    <s v="Regular"/>
    <x v="0"/>
    <x v="0"/>
    <x v="3"/>
    <x v="1"/>
    <x v="0"/>
    <x v="0"/>
    <x v="0"/>
    <x v="8"/>
    <n v="14839"/>
    <n v="13503.49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9670.591"/>
    <n v="0"/>
    <n v="0"/>
    <n v="87500.394225617158"/>
    <n v="0"/>
    <n v="0"/>
  </r>
  <r>
    <s v="Regular"/>
    <x v="0"/>
    <x v="0"/>
    <x v="3"/>
    <x v="1"/>
    <x v="0"/>
    <x v="0"/>
    <x v="0"/>
    <x v="9"/>
    <n v="14839"/>
    <n v="13503.49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9670.591"/>
    <n v="0"/>
    <n v="0"/>
    <n v="87500.394225617158"/>
    <n v="0"/>
    <n v="0"/>
  </r>
  <r>
    <s v="Regular"/>
    <x v="0"/>
    <x v="0"/>
    <x v="3"/>
    <x v="1"/>
    <x v="0"/>
    <x v="0"/>
    <x v="0"/>
    <x v="10"/>
    <n v="14839"/>
    <n v="13503.49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9670.591"/>
    <n v="0"/>
    <n v="0"/>
    <n v="87500.394225617158"/>
    <n v="0"/>
    <n v="0"/>
  </r>
  <r>
    <s v="PROJETADO"/>
    <x v="0"/>
    <x v="0"/>
    <x v="3"/>
    <x v="1"/>
    <x v="0"/>
    <x v="0"/>
    <x v="0"/>
    <x v="11"/>
    <n v="14839"/>
    <n v="13503.49"/>
    <n v="0"/>
    <n v="0"/>
    <n v="0"/>
    <n v="0"/>
    <n v="0"/>
    <x v="0"/>
    <n v="0"/>
    <n v="2"/>
    <n v="0"/>
    <n v="0"/>
    <n v="5.9"/>
    <n v="0"/>
    <n v="0"/>
    <n v="6.4798355258986495"/>
    <n v="40.035165075358321"/>
    <m/>
    <n v="79670.591"/>
    <n v="0"/>
    <n v="0"/>
    <n v="87500.394225617158"/>
    <n v="0"/>
    <n v="0"/>
  </r>
  <r>
    <s v="Regular"/>
    <x v="0"/>
    <x v="0"/>
    <x v="3"/>
    <x v="1"/>
    <x v="0"/>
    <x v="0"/>
    <x v="1"/>
    <x v="0"/>
    <n v="0"/>
    <n v="0"/>
    <n v="9891.32"/>
    <n v="9001.1011999999992"/>
    <n v="0"/>
    <n v="0"/>
    <n v="2"/>
    <x v="0"/>
    <n v="0"/>
    <n v="0"/>
    <n v="25"/>
    <n v="0"/>
    <n v="0"/>
    <n v="52.77"/>
    <n v="0"/>
    <m/>
    <n v="40.035165075358321"/>
    <m/>
    <n v="0"/>
    <n v="474988.11032400001"/>
    <n v="0"/>
    <n v="0"/>
    <n v="360360.57240200584"/>
    <n v="0"/>
  </r>
  <r>
    <s v="Regular"/>
    <x v="0"/>
    <x v="0"/>
    <x v="3"/>
    <x v="1"/>
    <x v="0"/>
    <x v="0"/>
    <x v="1"/>
    <x v="1"/>
    <n v="0"/>
    <n v="0"/>
    <n v="10165.280000000001"/>
    <n v="9250.4048000000003"/>
    <n v="0"/>
    <n v="0"/>
    <n v="2"/>
    <x v="0"/>
    <n v="0"/>
    <n v="0"/>
    <n v="25"/>
    <n v="0"/>
    <n v="0"/>
    <n v="52.77"/>
    <n v="0"/>
    <m/>
    <n v="40.035165075358321"/>
    <m/>
    <n v="0"/>
    <n v="488143.86129600002"/>
    <n v="0"/>
    <n v="0"/>
    <n v="370341.48318188702"/>
    <n v="0"/>
  </r>
  <r>
    <s v="Regular"/>
    <x v="0"/>
    <x v="0"/>
    <x v="3"/>
    <x v="1"/>
    <x v="0"/>
    <x v="0"/>
    <x v="1"/>
    <x v="2"/>
    <n v="0"/>
    <n v="0"/>
    <n v="9394.52"/>
    <n v="8549.0132000000012"/>
    <n v="0"/>
    <n v="0"/>
    <n v="2"/>
    <x v="0"/>
    <n v="0"/>
    <n v="0"/>
    <n v="25"/>
    <n v="0"/>
    <n v="0"/>
    <n v="52.77"/>
    <n v="0"/>
    <m/>
    <n v="40.035165075358321"/>
    <m/>
    <n v="0"/>
    <n v="451131.42656400008"/>
    <n v="0"/>
    <n v="0"/>
    <n v="342261.15469341731"/>
    <n v="0"/>
  </r>
  <r>
    <s v="Regular"/>
    <x v="0"/>
    <x v="0"/>
    <x v="3"/>
    <x v="1"/>
    <x v="0"/>
    <x v="0"/>
    <x v="1"/>
    <x v="3"/>
    <n v="0"/>
    <n v="0"/>
    <n v="8105"/>
    <n v="7375.55"/>
    <n v="0"/>
    <n v="0"/>
    <n v="2"/>
    <x v="0"/>
    <n v="0"/>
    <n v="0"/>
    <n v="25"/>
    <n v="0"/>
    <n v="0"/>
    <n v="52.77"/>
    <n v="0"/>
    <m/>
    <n v="40.035165075358321"/>
    <m/>
    <n v="0"/>
    <n v="389207.77350000001"/>
    <n v="0"/>
    <n v="0"/>
    <n v="295281.36177155905"/>
    <n v="0"/>
  </r>
  <r>
    <s v="Regular"/>
    <x v="0"/>
    <x v="0"/>
    <x v="3"/>
    <x v="1"/>
    <x v="0"/>
    <x v="0"/>
    <x v="1"/>
    <x v="4"/>
    <n v="0"/>
    <n v="0"/>
    <n v="8950.14"/>
    <n v="8144.6273999999994"/>
    <n v="0"/>
    <n v="0"/>
    <n v="2"/>
    <x v="0"/>
    <n v="0"/>
    <n v="0"/>
    <n v="25"/>
    <n v="0"/>
    <n v="0"/>
    <n v="52.77"/>
    <n v="0"/>
    <m/>
    <n v="40.035165075358321"/>
    <m/>
    <n v="0"/>
    <n v="429791.98789799999"/>
    <n v="0"/>
    <n v="0"/>
    <n v="326071.50243628642"/>
    <n v="0"/>
  </r>
  <r>
    <s v="Regular"/>
    <x v="0"/>
    <x v="0"/>
    <x v="3"/>
    <x v="1"/>
    <x v="0"/>
    <x v="0"/>
    <x v="1"/>
    <x v="5"/>
    <n v="0"/>
    <n v="0"/>
    <n v="8538.34"/>
    <n v="7769.8894"/>
    <n v="0"/>
    <n v="0"/>
    <n v="2"/>
    <x v="0"/>
    <n v="0"/>
    <n v="0"/>
    <n v="25"/>
    <n v="0"/>
    <n v="0"/>
    <n v="52.77"/>
    <n v="0"/>
    <m/>
    <n v="40.035165075358321"/>
    <m/>
    <n v="0"/>
    <n v="410017.06363800005"/>
    <n v="0"/>
    <n v="0"/>
    <n v="311068.80474627682"/>
    <n v="0"/>
  </r>
  <r>
    <s v="Regular"/>
    <x v="0"/>
    <x v="0"/>
    <x v="3"/>
    <x v="1"/>
    <x v="0"/>
    <x v="0"/>
    <x v="1"/>
    <x v="6"/>
    <n v="0"/>
    <n v="0"/>
    <n v="8682.68"/>
    <n v="7901.2388000000001"/>
    <n v="0"/>
    <n v="0"/>
    <n v="2"/>
    <x v="0"/>
    <n v="0"/>
    <n v="0"/>
    <n v="25"/>
    <n v="0"/>
    <n v="0"/>
    <n v="52.77"/>
    <n v="0"/>
    <m/>
    <n v="40.035165075358321"/>
    <m/>
    <n v="0"/>
    <n v="416948.371476"/>
    <n v="0"/>
    <n v="0"/>
    <n v="316327.39965782611"/>
    <n v="0"/>
  </r>
  <r>
    <s v="Regular"/>
    <x v="0"/>
    <x v="0"/>
    <x v="3"/>
    <x v="1"/>
    <x v="0"/>
    <x v="0"/>
    <x v="1"/>
    <x v="7"/>
    <n v="0"/>
    <n v="0"/>
    <n v="9394.52"/>
    <n v="8549.0132000000012"/>
    <n v="0"/>
    <n v="0"/>
    <n v="2"/>
    <x v="0"/>
    <n v="0"/>
    <n v="0"/>
    <n v="25"/>
    <n v="0"/>
    <n v="0"/>
    <n v="52.77"/>
    <n v="0"/>
    <m/>
    <n v="40.035165075358321"/>
    <m/>
    <n v="0"/>
    <n v="451131.42656400008"/>
    <n v="0"/>
    <n v="0"/>
    <n v="342261.15469341731"/>
    <n v="0"/>
  </r>
  <r>
    <s v="Regular"/>
    <x v="0"/>
    <x v="0"/>
    <x v="3"/>
    <x v="1"/>
    <x v="0"/>
    <x v="0"/>
    <x v="1"/>
    <x v="8"/>
    <n v="0"/>
    <n v="0"/>
    <n v="8935.16"/>
    <n v="8130.9956000000002"/>
    <n v="0"/>
    <n v="0"/>
    <n v="2"/>
    <x v="0"/>
    <n v="0"/>
    <n v="0"/>
    <n v="25"/>
    <n v="0"/>
    <n v="0"/>
    <n v="52.77"/>
    <n v="0"/>
    <m/>
    <n v="40.035165075358321"/>
    <m/>
    <n v="0"/>
    <n v="429072.63781200006"/>
    <n v="0"/>
    <n v="0"/>
    <n v="325525.75107301219"/>
    <n v="0"/>
  </r>
  <r>
    <s v="Regular"/>
    <x v="0"/>
    <x v="0"/>
    <x v="3"/>
    <x v="1"/>
    <x v="0"/>
    <x v="0"/>
    <x v="1"/>
    <x v="9"/>
    <n v="0"/>
    <n v="0"/>
    <n v="9188.86"/>
    <n v="8361.8626000000004"/>
    <n v="0"/>
    <n v="0"/>
    <n v="2"/>
    <x v="0"/>
    <n v="0"/>
    <n v="0"/>
    <n v="25"/>
    <n v="0"/>
    <n v="0"/>
    <n v="52.77"/>
    <n v="0"/>
    <m/>
    <n v="40.035165075358321"/>
    <m/>
    <n v="0"/>
    <n v="441255.48940200004"/>
    <n v="0"/>
    <n v="0"/>
    <n v="334768.54952846497"/>
    <n v="0"/>
  </r>
  <r>
    <s v="Regular"/>
    <x v="0"/>
    <x v="0"/>
    <x v="3"/>
    <x v="1"/>
    <x v="0"/>
    <x v="0"/>
    <x v="1"/>
    <x v="10"/>
    <n v="0"/>
    <n v="0"/>
    <n v="8943.06"/>
    <n v="8138.1845999999996"/>
    <n v="0"/>
    <n v="0"/>
    <n v="2"/>
    <x v="0"/>
    <n v="0"/>
    <n v="0"/>
    <n v="25"/>
    <n v="0"/>
    <n v="0"/>
    <n v="52.77"/>
    <n v="0"/>
    <m/>
    <n v="40.035165075358321"/>
    <m/>
    <n v="0"/>
    <n v="429452.00134200003"/>
    <n v="0"/>
    <n v="0"/>
    <n v="325813.56387473893"/>
    <n v="0"/>
  </r>
  <r>
    <s v="PROJETADO"/>
    <x v="0"/>
    <x v="0"/>
    <x v="3"/>
    <x v="1"/>
    <x v="0"/>
    <x v="0"/>
    <x v="1"/>
    <x v="11"/>
    <n v="0"/>
    <n v="0"/>
    <n v="8943.06"/>
    <n v="8138.1845999999996"/>
    <n v="0"/>
    <n v="0"/>
    <n v="2"/>
    <x v="0"/>
    <n v="0"/>
    <n v="0"/>
    <n v="25"/>
    <n v="0"/>
    <n v="0"/>
    <n v="52.77"/>
    <n v="0"/>
    <m/>
    <n v="40.035165075358321"/>
    <m/>
    <n v="0"/>
    <n v="429452.00134200003"/>
    <n v="0"/>
    <n v="0"/>
    <n v="325813.56387473893"/>
    <n v="0"/>
  </r>
  <r>
    <s v="Regular"/>
    <x v="0"/>
    <x v="0"/>
    <x v="3"/>
    <x v="1"/>
    <x v="0"/>
    <x v="0"/>
    <x v="2"/>
    <x v="0"/>
    <n v="15174"/>
    <n v="13808.34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9972.381600000008"/>
    <n v="0"/>
    <n v="0"/>
    <n v="109822.59933722246"/>
    <n v="0"/>
    <n v="0"/>
  </r>
  <r>
    <s v="Regular"/>
    <x v="0"/>
    <x v="0"/>
    <x v="3"/>
    <x v="1"/>
    <x v="0"/>
    <x v="0"/>
    <x v="2"/>
    <x v="1"/>
    <n v="15448"/>
    <n v="14057.68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101777.60320000001"/>
    <n v="0"/>
    <n v="0"/>
    <n v="111805.68831958696"/>
    <n v="0"/>
    <n v="0"/>
  </r>
  <r>
    <s v="Regular"/>
    <x v="0"/>
    <x v="0"/>
    <x v="3"/>
    <x v="1"/>
    <x v="0"/>
    <x v="0"/>
    <x v="2"/>
    <x v="2"/>
    <n v="14784"/>
    <n v="13453.44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7402.905600000013"/>
    <n v="0"/>
    <n v="0"/>
    <n v="106999.95443531679"/>
    <n v="0"/>
    <n v="0"/>
  </r>
  <r>
    <s v="Regular"/>
    <x v="0"/>
    <x v="0"/>
    <x v="3"/>
    <x v="1"/>
    <x v="0"/>
    <x v="0"/>
    <x v="2"/>
    <x v="3"/>
    <n v="14784"/>
    <n v="13453.44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7402.905600000013"/>
    <n v="0"/>
    <n v="0"/>
    <n v="106999.95443531679"/>
    <n v="0"/>
    <n v="0"/>
  </r>
  <r>
    <s v="Regular"/>
    <x v="0"/>
    <x v="0"/>
    <x v="3"/>
    <x v="1"/>
    <x v="0"/>
    <x v="0"/>
    <x v="2"/>
    <x v="4"/>
    <n v="14784"/>
    <n v="13453.44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7402.905600000013"/>
    <n v="0"/>
    <n v="0"/>
    <n v="106999.95443531679"/>
    <n v="0"/>
    <n v="0"/>
  </r>
  <r>
    <s v="Regular"/>
    <x v="0"/>
    <x v="0"/>
    <x v="3"/>
    <x v="1"/>
    <x v="0"/>
    <x v="0"/>
    <x v="2"/>
    <x v="5"/>
    <n v="14784"/>
    <n v="13453.44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7402.905600000013"/>
    <n v="0"/>
    <n v="0"/>
    <n v="106999.95443531679"/>
    <n v="0"/>
    <n v="0"/>
  </r>
  <r>
    <s v="Regular"/>
    <x v="0"/>
    <x v="0"/>
    <x v="3"/>
    <x v="1"/>
    <x v="0"/>
    <x v="0"/>
    <x v="2"/>
    <x v="6"/>
    <n v="14784"/>
    <n v="13453.44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7402.905600000013"/>
    <n v="0"/>
    <n v="0"/>
    <n v="106999.95443531679"/>
    <n v="0"/>
    <n v="0"/>
  </r>
  <r>
    <s v="Regular"/>
    <x v="0"/>
    <x v="0"/>
    <x v="3"/>
    <x v="1"/>
    <x v="0"/>
    <x v="0"/>
    <x v="2"/>
    <x v="7"/>
    <n v="14784"/>
    <n v="13453.44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7402.905600000013"/>
    <n v="0"/>
    <n v="0"/>
    <n v="106999.95443531679"/>
    <n v="0"/>
    <n v="0"/>
  </r>
  <r>
    <s v="Regular"/>
    <x v="0"/>
    <x v="0"/>
    <x v="3"/>
    <x v="1"/>
    <x v="0"/>
    <x v="0"/>
    <x v="2"/>
    <x v="8"/>
    <n v="14784"/>
    <n v="13453.44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7402.905600000013"/>
    <n v="0"/>
    <n v="0"/>
    <n v="106999.95443531679"/>
    <n v="0"/>
    <n v="0"/>
  </r>
  <r>
    <s v="Regular"/>
    <x v="0"/>
    <x v="0"/>
    <x v="3"/>
    <x v="1"/>
    <x v="0"/>
    <x v="0"/>
    <x v="2"/>
    <x v="9"/>
    <n v="14784"/>
    <n v="13453.44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7402.905600000013"/>
    <n v="0"/>
    <n v="0"/>
    <n v="106999.95443531679"/>
    <n v="0"/>
    <n v="0"/>
  </r>
  <r>
    <s v="Regular"/>
    <x v="0"/>
    <x v="0"/>
    <x v="3"/>
    <x v="1"/>
    <x v="0"/>
    <x v="0"/>
    <x v="2"/>
    <x v="10"/>
    <n v="14784"/>
    <n v="13453.44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7402.905600000013"/>
    <n v="0"/>
    <n v="0"/>
    <n v="106999.95443531679"/>
    <n v="0"/>
    <n v="0"/>
  </r>
  <r>
    <s v="PROJETADO"/>
    <x v="0"/>
    <x v="0"/>
    <x v="3"/>
    <x v="1"/>
    <x v="0"/>
    <x v="0"/>
    <x v="2"/>
    <x v="11"/>
    <n v="14784"/>
    <n v="13453.44"/>
    <n v="0"/>
    <n v="0"/>
    <n v="0"/>
    <n v="0"/>
    <n v="0"/>
    <x v="0"/>
    <n v="0"/>
    <n v="1"/>
    <n v="0"/>
    <n v="0"/>
    <n v="7.24"/>
    <n v="0"/>
    <n v="0"/>
    <n v="7.9533527807993183"/>
    <n v="40.035165075358321"/>
    <m/>
    <n v="97402.905600000013"/>
    <n v="0"/>
    <n v="0"/>
    <n v="106999.95443531679"/>
    <n v="0"/>
    <n v="0"/>
  </r>
  <r>
    <s v="Regular"/>
    <x v="0"/>
    <x v="1"/>
    <x v="4"/>
    <x v="0"/>
    <x v="0"/>
    <x v="1"/>
    <x v="1"/>
    <x v="0"/>
    <n v="157500"/>
    <n v="157500"/>
    <n v="0"/>
    <n v="0"/>
    <n v="0"/>
    <n v="0"/>
    <n v="0"/>
    <x v="2"/>
    <n v="27250"/>
    <n v="27"/>
    <n v="0"/>
    <n v="0"/>
    <n v="7.58"/>
    <n v="0"/>
    <n v="0"/>
    <n v="9.1574451247299731"/>
    <m/>
    <m/>
    <n v="1193850"/>
    <n v="0"/>
    <n v="0"/>
    <n v="1442297.6071449707"/>
    <n v="0"/>
    <n v="0"/>
  </r>
  <r>
    <s v="Regular"/>
    <x v="0"/>
    <x v="1"/>
    <x v="4"/>
    <x v="0"/>
    <x v="0"/>
    <x v="2"/>
    <x v="1"/>
    <x v="0"/>
    <n v="60000"/>
    <n v="60000"/>
    <n v="0"/>
    <n v="0"/>
    <n v="0"/>
    <n v="0"/>
    <n v="0"/>
    <x v="2"/>
    <n v="29272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3"/>
    <x v="1"/>
    <x v="0"/>
    <n v="60000"/>
    <n v="60000"/>
    <n v="0"/>
    <n v="0"/>
    <n v="0"/>
    <n v="0"/>
    <n v="0"/>
    <x v="2"/>
    <n v="29276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4"/>
    <x v="1"/>
    <x v="0"/>
    <n v="60000"/>
    <n v="60000"/>
    <n v="0"/>
    <n v="0"/>
    <n v="0"/>
    <n v="0"/>
    <n v="0"/>
    <x v="2"/>
    <n v="29361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5"/>
    <x v="1"/>
    <x v="0"/>
    <n v="63000"/>
    <n v="63000"/>
    <n v="0"/>
    <n v="0"/>
    <n v="0"/>
    <n v="0"/>
    <n v="0"/>
    <x v="2"/>
    <n v="29432"/>
    <n v="27"/>
    <n v="0"/>
    <n v="0"/>
    <n v="7.58"/>
    <n v="0"/>
    <n v="0"/>
    <n v="9.1574451247299731"/>
    <m/>
    <m/>
    <n v="477540"/>
    <n v="0"/>
    <n v="0"/>
    <n v="576919.04285798827"/>
    <n v="0"/>
    <n v="0"/>
  </r>
  <r>
    <s v="Regular"/>
    <x v="0"/>
    <x v="1"/>
    <x v="4"/>
    <x v="0"/>
    <x v="0"/>
    <x v="1"/>
    <x v="1"/>
    <x v="1"/>
    <n v="157500"/>
    <n v="157500"/>
    <n v="0"/>
    <n v="0"/>
    <n v="0"/>
    <n v="0"/>
    <n v="0"/>
    <x v="2"/>
    <n v="27250"/>
    <n v="27"/>
    <n v="0"/>
    <n v="0"/>
    <n v="7.58"/>
    <n v="0"/>
    <n v="0"/>
    <n v="9.1574451247299731"/>
    <m/>
    <m/>
    <n v="1193850"/>
    <n v="0"/>
    <n v="0"/>
    <n v="1442297.6071449707"/>
    <n v="0"/>
    <n v="0"/>
  </r>
  <r>
    <s v="Regular"/>
    <x v="0"/>
    <x v="1"/>
    <x v="4"/>
    <x v="0"/>
    <x v="0"/>
    <x v="2"/>
    <x v="1"/>
    <x v="1"/>
    <n v="60000"/>
    <n v="60000"/>
    <n v="0"/>
    <n v="0"/>
    <n v="0"/>
    <n v="0"/>
    <n v="0"/>
    <x v="2"/>
    <n v="29272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3"/>
    <x v="1"/>
    <x v="1"/>
    <n v="60000"/>
    <n v="60000"/>
    <n v="0"/>
    <n v="0"/>
    <n v="0"/>
    <n v="0"/>
    <n v="0"/>
    <x v="2"/>
    <n v="29276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4"/>
    <x v="1"/>
    <x v="1"/>
    <n v="60000"/>
    <n v="60000"/>
    <n v="0"/>
    <n v="0"/>
    <n v="0"/>
    <n v="0"/>
    <n v="0"/>
    <x v="2"/>
    <n v="29361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5"/>
    <x v="1"/>
    <x v="1"/>
    <n v="63000"/>
    <n v="63000"/>
    <n v="0"/>
    <n v="0"/>
    <n v="0"/>
    <n v="0"/>
    <n v="0"/>
    <x v="2"/>
    <n v="29432"/>
    <n v="27"/>
    <n v="0"/>
    <n v="0"/>
    <n v="7.58"/>
    <n v="0"/>
    <n v="0"/>
    <n v="9.1574451247299731"/>
    <m/>
    <m/>
    <n v="477540"/>
    <n v="0"/>
    <n v="0"/>
    <n v="576919.04285798827"/>
    <n v="0"/>
    <n v="0"/>
  </r>
  <r>
    <s v="Regular"/>
    <x v="0"/>
    <x v="1"/>
    <x v="4"/>
    <x v="0"/>
    <x v="0"/>
    <x v="1"/>
    <x v="1"/>
    <x v="2"/>
    <n v="157500"/>
    <n v="157500"/>
    <n v="0"/>
    <n v="0"/>
    <n v="0"/>
    <n v="0"/>
    <n v="0"/>
    <x v="2"/>
    <n v="27250"/>
    <n v="27"/>
    <n v="0"/>
    <n v="0"/>
    <n v="7.58"/>
    <n v="0"/>
    <n v="0"/>
    <n v="9.1574451247299731"/>
    <m/>
    <m/>
    <n v="1193850"/>
    <n v="0"/>
    <n v="0"/>
    <n v="1442297.6071449707"/>
    <n v="0"/>
    <n v="0"/>
  </r>
  <r>
    <s v="Regular"/>
    <x v="0"/>
    <x v="1"/>
    <x v="4"/>
    <x v="0"/>
    <x v="0"/>
    <x v="2"/>
    <x v="1"/>
    <x v="2"/>
    <n v="60000"/>
    <n v="60000"/>
    <n v="0"/>
    <n v="0"/>
    <n v="0"/>
    <n v="0"/>
    <n v="0"/>
    <x v="2"/>
    <n v="29272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3"/>
    <x v="1"/>
    <x v="2"/>
    <n v="60000"/>
    <n v="60000"/>
    <n v="0"/>
    <n v="0"/>
    <n v="0"/>
    <n v="0"/>
    <n v="0"/>
    <x v="2"/>
    <n v="29276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4"/>
    <x v="1"/>
    <x v="2"/>
    <n v="60000"/>
    <n v="60000"/>
    <n v="0"/>
    <n v="0"/>
    <n v="0"/>
    <n v="0"/>
    <n v="0"/>
    <x v="2"/>
    <n v="29361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5"/>
    <x v="1"/>
    <x v="2"/>
    <n v="63000"/>
    <n v="63000"/>
    <n v="0"/>
    <n v="0"/>
    <n v="0"/>
    <n v="0"/>
    <n v="0"/>
    <x v="2"/>
    <n v="29432"/>
    <n v="27"/>
    <n v="0"/>
    <n v="0"/>
    <n v="7.58"/>
    <n v="0"/>
    <n v="0"/>
    <n v="9.1574451247299731"/>
    <m/>
    <m/>
    <n v="477540"/>
    <n v="0"/>
    <n v="0"/>
    <n v="576919.04285798827"/>
    <n v="0"/>
    <n v="0"/>
  </r>
  <r>
    <s v="Regular"/>
    <x v="0"/>
    <x v="1"/>
    <x v="4"/>
    <x v="0"/>
    <x v="0"/>
    <x v="1"/>
    <x v="1"/>
    <x v="3"/>
    <n v="157500"/>
    <n v="157500"/>
    <n v="0"/>
    <n v="0"/>
    <n v="0"/>
    <n v="0"/>
    <n v="0"/>
    <x v="2"/>
    <n v="27250"/>
    <n v="27"/>
    <n v="0"/>
    <n v="0"/>
    <n v="7.58"/>
    <n v="0"/>
    <n v="0"/>
    <n v="9.1574451247299731"/>
    <m/>
    <m/>
    <n v="1193850"/>
    <n v="0"/>
    <n v="0"/>
    <n v="1442297.6071449707"/>
    <n v="0"/>
    <n v="0"/>
  </r>
  <r>
    <s v="Regular"/>
    <x v="0"/>
    <x v="1"/>
    <x v="4"/>
    <x v="0"/>
    <x v="0"/>
    <x v="2"/>
    <x v="1"/>
    <x v="3"/>
    <n v="60000"/>
    <n v="60000"/>
    <n v="0"/>
    <n v="0"/>
    <n v="0"/>
    <n v="0"/>
    <n v="0"/>
    <x v="2"/>
    <n v="29272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3"/>
    <x v="1"/>
    <x v="3"/>
    <n v="60000"/>
    <n v="60000"/>
    <n v="0"/>
    <n v="0"/>
    <n v="0"/>
    <n v="0"/>
    <n v="0"/>
    <x v="2"/>
    <n v="29276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4"/>
    <x v="1"/>
    <x v="3"/>
    <n v="60000"/>
    <n v="60000"/>
    <n v="0"/>
    <n v="0"/>
    <n v="0"/>
    <n v="0"/>
    <n v="0"/>
    <x v="2"/>
    <n v="29361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5"/>
    <x v="1"/>
    <x v="3"/>
    <n v="63000"/>
    <n v="63000"/>
    <n v="0"/>
    <n v="0"/>
    <n v="0"/>
    <n v="0"/>
    <n v="0"/>
    <x v="2"/>
    <n v="29432"/>
    <n v="27"/>
    <n v="0"/>
    <n v="0"/>
    <n v="7.58"/>
    <n v="0"/>
    <n v="0"/>
    <n v="9.1574451247299731"/>
    <m/>
    <m/>
    <n v="477540"/>
    <n v="0"/>
    <n v="0"/>
    <n v="576919.04285798827"/>
    <n v="0"/>
    <n v="0"/>
  </r>
  <r>
    <s v="Regular"/>
    <x v="0"/>
    <x v="1"/>
    <x v="4"/>
    <x v="0"/>
    <x v="0"/>
    <x v="1"/>
    <x v="1"/>
    <x v="4"/>
    <n v="157500"/>
    <n v="157500"/>
    <n v="0"/>
    <n v="0"/>
    <n v="0"/>
    <n v="0"/>
    <n v="0"/>
    <x v="2"/>
    <n v="27250"/>
    <n v="27"/>
    <n v="0"/>
    <n v="0"/>
    <n v="7.58"/>
    <n v="0"/>
    <n v="0"/>
    <n v="9.1574451247299731"/>
    <m/>
    <m/>
    <n v="1193850"/>
    <n v="0"/>
    <n v="0"/>
    <n v="1442297.6071449707"/>
    <n v="0"/>
    <n v="0"/>
  </r>
  <r>
    <s v="Regular"/>
    <x v="0"/>
    <x v="1"/>
    <x v="4"/>
    <x v="0"/>
    <x v="0"/>
    <x v="2"/>
    <x v="1"/>
    <x v="4"/>
    <n v="60000"/>
    <n v="60000"/>
    <n v="0"/>
    <n v="0"/>
    <n v="0"/>
    <n v="0"/>
    <n v="0"/>
    <x v="2"/>
    <n v="29272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3"/>
    <x v="1"/>
    <x v="4"/>
    <n v="60000"/>
    <n v="60000"/>
    <n v="0"/>
    <n v="0"/>
    <n v="0"/>
    <n v="0"/>
    <n v="0"/>
    <x v="2"/>
    <n v="29276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4"/>
    <x v="1"/>
    <x v="4"/>
    <n v="60000"/>
    <n v="60000"/>
    <n v="0"/>
    <n v="0"/>
    <n v="0"/>
    <n v="0"/>
    <n v="0"/>
    <x v="2"/>
    <n v="29361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5"/>
    <x v="1"/>
    <x v="4"/>
    <n v="63000"/>
    <n v="63000"/>
    <n v="0"/>
    <n v="0"/>
    <n v="0"/>
    <n v="0"/>
    <n v="0"/>
    <x v="2"/>
    <n v="29432"/>
    <n v="27"/>
    <n v="0"/>
    <n v="0"/>
    <n v="7.58"/>
    <n v="0"/>
    <n v="0"/>
    <n v="9.1574451247299731"/>
    <m/>
    <m/>
    <n v="477540"/>
    <n v="0"/>
    <n v="0"/>
    <n v="576919.04285798827"/>
    <n v="0"/>
    <n v="0"/>
  </r>
  <r>
    <s v="Regular"/>
    <x v="0"/>
    <x v="1"/>
    <x v="4"/>
    <x v="0"/>
    <x v="0"/>
    <x v="1"/>
    <x v="1"/>
    <x v="5"/>
    <n v="157500"/>
    <n v="157500"/>
    <n v="0"/>
    <n v="0"/>
    <n v="0"/>
    <n v="0"/>
    <n v="0"/>
    <x v="2"/>
    <n v="27250"/>
    <n v="27"/>
    <n v="0"/>
    <n v="0"/>
    <n v="7.58"/>
    <n v="0"/>
    <n v="0"/>
    <n v="9.1574451247299731"/>
    <m/>
    <m/>
    <n v="1193850"/>
    <n v="0"/>
    <n v="0"/>
    <n v="1442297.6071449707"/>
    <n v="0"/>
    <n v="0"/>
  </r>
  <r>
    <s v="Regular"/>
    <x v="0"/>
    <x v="1"/>
    <x v="4"/>
    <x v="0"/>
    <x v="0"/>
    <x v="2"/>
    <x v="1"/>
    <x v="5"/>
    <n v="60000"/>
    <n v="60000"/>
    <n v="0"/>
    <n v="0"/>
    <n v="0"/>
    <n v="0"/>
    <n v="0"/>
    <x v="2"/>
    <n v="29272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3"/>
    <x v="1"/>
    <x v="5"/>
    <n v="60000"/>
    <n v="60000"/>
    <n v="0"/>
    <n v="0"/>
    <n v="0"/>
    <n v="0"/>
    <n v="0"/>
    <x v="2"/>
    <n v="29276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4"/>
    <x v="1"/>
    <x v="5"/>
    <n v="60000"/>
    <n v="60000"/>
    <n v="0"/>
    <n v="0"/>
    <n v="0"/>
    <n v="0"/>
    <n v="0"/>
    <x v="2"/>
    <n v="29361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5"/>
    <x v="1"/>
    <x v="5"/>
    <n v="63000"/>
    <n v="63000"/>
    <n v="0"/>
    <n v="0"/>
    <n v="0"/>
    <n v="0"/>
    <n v="0"/>
    <x v="2"/>
    <n v="29432"/>
    <n v="27"/>
    <n v="0"/>
    <n v="0"/>
    <n v="7.58"/>
    <n v="0"/>
    <n v="0"/>
    <n v="9.1574451247299731"/>
    <m/>
    <m/>
    <n v="477540"/>
    <n v="0"/>
    <n v="0"/>
    <n v="576919.04285798827"/>
    <n v="0"/>
    <n v="0"/>
  </r>
  <r>
    <s v="Regular"/>
    <x v="0"/>
    <x v="1"/>
    <x v="4"/>
    <x v="0"/>
    <x v="0"/>
    <x v="1"/>
    <x v="1"/>
    <x v="6"/>
    <n v="157500"/>
    <n v="157500"/>
    <n v="0"/>
    <n v="0"/>
    <n v="0"/>
    <n v="0"/>
    <n v="0"/>
    <x v="2"/>
    <n v="27250"/>
    <n v="27"/>
    <n v="0"/>
    <n v="0"/>
    <n v="7.58"/>
    <n v="0"/>
    <n v="0"/>
    <n v="9.1574451247299731"/>
    <m/>
    <m/>
    <n v="1193850"/>
    <n v="0"/>
    <n v="0"/>
    <n v="1442297.6071449707"/>
    <n v="0"/>
    <n v="0"/>
  </r>
  <r>
    <s v="Regular"/>
    <x v="0"/>
    <x v="1"/>
    <x v="4"/>
    <x v="0"/>
    <x v="0"/>
    <x v="2"/>
    <x v="1"/>
    <x v="6"/>
    <n v="60000"/>
    <n v="60000"/>
    <n v="0"/>
    <n v="0"/>
    <n v="0"/>
    <n v="0"/>
    <n v="0"/>
    <x v="2"/>
    <n v="29272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3"/>
    <x v="1"/>
    <x v="6"/>
    <n v="60000"/>
    <n v="60000"/>
    <n v="0"/>
    <n v="0"/>
    <n v="0"/>
    <n v="0"/>
    <n v="0"/>
    <x v="2"/>
    <n v="29276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4"/>
    <x v="1"/>
    <x v="6"/>
    <n v="60000"/>
    <n v="60000"/>
    <n v="0"/>
    <n v="0"/>
    <n v="0"/>
    <n v="0"/>
    <n v="0"/>
    <x v="2"/>
    <n v="29361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5"/>
    <x v="1"/>
    <x v="6"/>
    <n v="63000"/>
    <n v="63000"/>
    <n v="0"/>
    <n v="0"/>
    <n v="0"/>
    <n v="0"/>
    <n v="0"/>
    <x v="2"/>
    <n v="29432"/>
    <n v="27"/>
    <n v="0"/>
    <n v="0"/>
    <n v="7.58"/>
    <n v="0"/>
    <n v="0"/>
    <n v="9.1574451247299731"/>
    <m/>
    <m/>
    <n v="477540"/>
    <n v="0"/>
    <n v="0"/>
    <n v="576919.04285798827"/>
    <n v="0"/>
    <n v="0"/>
  </r>
  <r>
    <s v="Regular"/>
    <x v="0"/>
    <x v="1"/>
    <x v="4"/>
    <x v="0"/>
    <x v="0"/>
    <x v="1"/>
    <x v="1"/>
    <x v="7"/>
    <n v="157500"/>
    <n v="157500"/>
    <n v="0"/>
    <n v="0"/>
    <n v="0"/>
    <n v="0"/>
    <n v="0"/>
    <x v="2"/>
    <n v="27250"/>
    <n v="27"/>
    <n v="0"/>
    <n v="0"/>
    <n v="7.58"/>
    <n v="0"/>
    <n v="0"/>
    <n v="9.1574451247299731"/>
    <m/>
    <m/>
    <n v="1193850"/>
    <n v="0"/>
    <n v="0"/>
    <n v="1442297.6071449707"/>
    <n v="0"/>
    <n v="0"/>
  </r>
  <r>
    <s v="Regular"/>
    <x v="0"/>
    <x v="1"/>
    <x v="4"/>
    <x v="0"/>
    <x v="0"/>
    <x v="2"/>
    <x v="1"/>
    <x v="7"/>
    <n v="60000"/>
    <n v="60000"/>
    <n v="0"/>
    <n v="0"/>
    <n v="0"/>
    <n v="0"/>
    <n v="0"/>
    <x v="2"/>
    <n v="29272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3"/>
    <x v="1"/>
    <x v="7"/>
    <n v="60000"/>
    <n v="60000"/>
    <n v="0"/>
    <n v="0"/>
    <n v="0"/>
    <n v="0"/>
    <n v="0"/>
    <x v="2"/>
    <n v="29276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4"/>
    <x v="1"/>
    <x v="7"/>
    <n v="60000"/>
    <n v="60000"/>
    <n v="0"/>
    <n v="0"/>
    <n v="0"/>
    <n v="0"/>
    <n v="0"/>
    <x v="2"/>
    <n v="29361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5"/>
    <x v="1"/>
    <x v="7"/>
    <n v="63000"/>
    <n v="63000"/>
    <n v="0"/>
    <n v="0"/>
    <n v="0"/>
    <n v="0"/>
    <n v="0"/>
    <x v="2"/>
    <n v="29432"/>
    <n v="27"/>
    <n v="0"/>
    <n v="0"/>
    <n v="7.58"/>
    <n v="0"/>
    <n v="0"/>
    <n v="9.1574451247299731"/>
    <m/>
    <m/>
    <n v="477540"/>
    <n v="0"/>
    <n v="0"/>
    <n v="576919.04285798827"/>
    <n v="0"/>
    <n v="0"/>
  </r>
  <r>
    <s v="Regular"/>
    <x v="0"/>
    <x v="1"/>
    <x v="4"/>
    <x v="0"/>
    <x v="0"/>
    <x v="1"/>
    <x v="1"/>
    <x v="8"/>
    <n v="157500"/>
    <n v="157500"/>
    <n v="0"/>
    <n v="0"/>
    <n v="0"/>
    <n v="0"/>
    <n v="0"/>
    <x v="2"/>
    <n v="27250"/>
    <n v="27"/>
    <n v="0"/>
    <n v="0"/>
    <n v="7.58"/>
    <n v="0"/>
    <n v="0"/>
    <n v="9.1574451247299731"/>
    <m/>
    <m/>
    <n v="1193850"/>
    <n v="0"/>
    <n v="0"/>
    <n v="1442297.6071449707"/>
    <n v="0"/>
    <n v="0"/>
  </r>
  <r>
    <s v="Regular"/>
    <x v="0"/>
    <x v="1"/>
    <x v="4"/>
    <x v="0"/>
    <x v="0"/>
    <x v="2"/>
    <x v="1"/>
    <x v="8"/>
    <n v="60000"/>
    <n v="60000"/>
    <n v="0"/>
    <n v="0"/>
    <n v="0"/>
    <n v="0"/>
    <n v="0"/>
    <x v="2"/>
    <n v="29272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3"/>
    <x v="1"/>
    <x v="8"/>
    <n v="60000"/>
    <n v="60000"/>
    <n v="0"/>
    <n v="0"/>
    <n v="0"/>
    <n v="0"/>
    <n v="0"/>
    <x v="2"/>
    <n v="29276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4"/>
    <x v="1"/>
    <x v="8"/>
    <n v="60000"/>
    <n v="60000"/>
    <n v="0"/>
    <n v="0"/>
    <n v="0"/>
    <n v="0"/>
    <n v="0"/>
    <x v="2"/>
    <n v="29361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5"/>
    <x v="1"/>
    <x v="8"/>
    <n v="63434"/>
    <n v="63434"/>
    <n v="0"/>
    <n v="0"/>
    <n v="0"/>
    <n v="0"/>
    <n v="0"/>
    <x v="2"/>
    <n v="29432"/>
    <n v="27"/>
    <n v="0"/>
    <n v="0"/>
    <n v="7.58"/>
    <n v="0"/>
    <n v="0"/>
    <n v="9.1574451247299731"/>
    <m/>
    <m/>
    <n v="480829.72000000003"/>
    <n v="0"/>
    <n v="0"/>
    <n v="580893.37404212111"/>
    <n v="0"/>
    <n v="0"/>
  </r>
  <r>
    <s v="Regular"/>
    <x v="0"/>
    <x v="1"/>
    <x v="4"/>
    <x v="0"/>
    <x v="0"/>
    <x v="1"/>
    <x v="1"/>
    <x v="9"/>
    <n v="157500"/>
    <n v="157500"/>
    <n v="0"/>
    <n v="0"/>
    <n v="0"/>
    <n v="0"/>
    <n v="0"/>
    <x v="2"/>
    <n v="27250"/>
    <n v="27"/>
    <n v="0"/>
    <n v="0"/>
    <n v="7.58"/>
    <n v="0"/>
    <n v="0"/>
    <n v="9.1574451247299731"/>
    <m/>
    <m/>
    <n v="1193850"/>
    <n v="0"/>
    <n v="0"/>
    <n v="1442297.6071449707"/>
    <n v="0"/>
    <n v="0"/>
  </r>
  <r>
    <s v="Regular"/>
    <x v="0"/>
    <x v="1"/>
    <x v="4"/>
    <x v="0"/>
    <x v="0"/>
    <x v="2"/>
    <x v="1"/>
    <x v="9"/>
    <n v="60000"/>
    <n v="60000"/>
    <n v="0"/>
    <n v="0"/>
    <n v="0"/>
    <n v="0"/>
    <n v="0"/>
    <x v="2"/>
    <n v="29272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3"/>
    <x v="1"/>
    <x v="9"/>
    <n v="60000"/>
    <n v="60000"/>
    <n v="0"/>
    <n v="0"/>
    <n v="0"/>
    <n v="0"/>
    <n v="0"/>
    <x v="2"/>
    <n v="29276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4"/>
    <x v="1"/>
    <x v="9"/>
    <n v="60000"/>
    <n v="60000"/>
    <n v="0"/>
    <n v="0"/>
    <n v="0"/>
    <n v="0"/>
    <n v="0"/>
    <x v="2"/>
    <n v="29361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5"/>
    <x v="1"/>
    <x v="9"/>
    <n v="63434"/>
    <n v="63434"/>
    <n v="0"/>
    <n v="0"/>
    <n v="0"/>
    <n v="0"/>
    <n v="0"/>
    <x v="2"/>
    <n v="29432"/>
    <n v="27"/>
    <n v="0"/>
    <n v="0"/>
    <n v="7.58"/>
    <n v="0"/>
    <n v="0"/>
    <n v="9.1574451247299731"/>
    <m/>
    <m/>
    <n v="480829.72000000003"/>
    <n v="0"/>
    <n v="0"/>
    <n v="580893.37404212111"/>
    <n v="0"/>
    <n v="0"/>
  </r>
  <r>
    <s v="Regular"/>
    <x v="0"/>
    <x v="1"/>
    <x v="4"/>
    <x v="0"/>
    <x v="0"/>
    <x v="1"/>
    <x v="1"/>
    <x v="10"/>
    <n v="157500"/>
    <n v="157500"/>
    <n v="0"/>
    <n v="0"/>
    <n v="0"/>
    <n v="0"/>
    <n v="0"/>
    <x v="2"/>
    <n v="27250"/>
    <n v="27"/>
    <n v="0"/>
    <n v="0"/>
    <n v="7.58"/>
    <n v="0"/>
    <n v="0"/>
    <n v="9.1574451247299731"/>
    <m/>
    <m/>
    <n v="1193850"/>
    <n v="0"/>
    <n v="0"/>
    <n v="1442297.6071449707"/>
    <n v="0"/>
    <n v="0"/>
  </r>
  <r>
    <s v="Regular"/>
    <x v="0"/>
    <x v="1"/>
    <x v="4"/>
    <x v="0"/>
    <x v="0"/>
    <x v="2"/>
    <x v="1"/>
    <x v="10"/>
    <n v="60000"/>
    <n v="60000"/>
    <n v="0"/>
    <n v="0"/>
    <n v="0"/>
    <n v="0"/>
    <n v="0"/>
    <x v="2"/>
    <n v="29272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3"/>
    <x v="1"/>
    <x v="10"/>
    <n v="60000"/>
    <n v="60000"/>
    <n v="0"/>
    <n v="0"/>
    <n v="0"/>
    <n v="0"/>
    <n v="0"/>
    <x v="2"/>
    <n v="29276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4"/>
    <x v="1"/>
    <x v="10"/>
    <n v="60000"/>
    <n v="60000"/>
    <n v="0"/>
    <n v="0"/>
    <n v="0"/>
    <n v="0"/>
    <n v="0"/>
    <x v="2"/>
    <n v="29361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Regular"/>
    <x v="0"/>
    <x v="1"/>
    <x v="4"/>
    <x v="0"/>
    <x v="0"/>
    <x v="5"/>
    <x v="1"/>
    <x v="10"/>
    <n v="63434"/>
    <n v="63434"/>
    <n v="0"/>
    <n v="0"/>
    <n v="0"/>
    <n v="0"/>
    <n v="0"/>
    <x v="2"/>
    <n v="29432"/>
    <n v="27"/>
    <n v="0"/>
    <n v="0"/>
    <n v="7.58"/>
    <n v="0"/>
    <n v="0"/>
    <n v="9.1574451247299731"/>
    <m/>
    <m/>
    <n v="480829.72000000003"/>
    <n v="0"/>
    <n v="0"/>
    <n v="580893.37404212111"/>
    <n v="0"/>
    <n v="0"/>
  </r>
  <r>
    <s v="PROJETADO"/>
    <x v="0"/>
    <x v="1"/>
    <x v="4"/>
    <x v="0"/>
    <x v="0"/>
    <x v="1"/>
    <x v="1"/>
    <x v="11"/>
    <n v="157500"/>
    <n v="157500"/>
    <n v="0"/>
    <n v="0"/>
    <n v="0"/>
    <n v="0"/>
    <n v="0"/>
    <x v="2"/>
    <n v="27250"/>
    <n v="27"/>
    <n v="0"/>
    <n v="0"/>
    <n v="7.58"/>
    <n v="0"/>
    <n v="0"/>
    <n v="9.1574451247299731"/>
    <m/>
    <m/>
    <n v="1193850"/>
    <n v="0"/>
    <n v="0"/>
    <n v="1442297.6071449707"/>
    <n v="0"/>
    <n v="0"/>
  </r>
  <r>
    <s v="PROJETADO"/>
    <x v="0"/>
    <x v="1"/>
    <x v="4"/>
    <x v="0"/>
    <x v="0"/>
    <x v="2"/>
    <x v="1"/>
    <x v="11"/>
    <n v="60000"/>
    <n v="60000"/>
    <n v="0"/>
    <n v="0"/>
    <n v="0"/>
    <n v="0"/>
    <n v="0"/>
    <x v="2"/>
    <n v="29272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PROJETADO"/>
    <x v="0"/>
    <x v="1"/>
    <x v="4"/>
    <x v="0"/>
    <x v="0"/>
    <x v="3"/>
    <x v="1"/>
    <x v="11"/>
    <n v="60000"/>
    <n v="60000"/>
    <n v="0"/>
    <n v="0"/>
    <n v="0"/>
    <n v="0"/>
    <n v="0"/>
    <x v="2"/>
    <n v="29276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PROJETADO"/>
    <x v="0"/>
    <x v="1"/>
    <x v="4"/>
    <x v="0"/>
    <x v="0"/>
    <x v="4"/>
    <x v="1"/>
    <x v="11"/>
    <n v="60000"/>
    <n v="60000"/>
    <n v="0"/>
    <n v="0"/>
    <n v="0"/>
    <n v="0"/>
    <n v="0"/>
    <x v="2"/>
    <n v="29361"/>
    <n v="27"/>
    <n v="0"/>
    <n v="0"/>
    <n v="7.58"/>
    <n v="0"/>
    <n v="0"/>
    <n v="9.1574451247299731"/>
    <m/>
    <m/>
    <n v="454800"/>
    <n v="0"/>
    <n v="0"/>
    <n v="549446.70748379838"/>
    <n v="0"/>
    <n v="0"/>
  </r>
  <r>
    <s v="PROJETADO"/>
    <x v="0"/>
    <x v="1"/>
    <x v="4"/>
    <x v="0"/>
    <x v="0"/>
    <x v="5"/>
    <x v="1"/>
    <x v="11"/>
    <n v="63434"/>
    <n v="63434"/>
    <n v="0"/>
    <n v="0"/>
    <n v="0"/>
    <n v="0"/>
    <n v="0"/>
    <x v="2"/>
    <n v="29432"/>
    <n v="27"/>
    <n v="0"/>
    <n v="0"/>
    <n v="7.58"/>
    <n v="0"/>
    <n v="0"/>
    <n v="9.1574451247299731"/>
    <m/>
    <m/>
    <n v="480829.72000000003"/>
    <n v="0"/>
    <n v="0"/>
    <n v="580893.37404212111"/>
    <n v="0"/>
    <n v="0"/>
  </r>
  <r>
    <s v="Regular"/>
    <x v="1"/>
    <x v="0"/>
    <x v="0"/>
    <x v="0"/>
    <x v="0"/>
    <x v="0"/>
    <x v="0"/>
    <x v="0"/>
    <n v="17466"/>
    <n v="17466"/>
    <n v="4712.63"/>
    <n v="4712.63"/>
    <n v="4712.63"/>
    <n v="4712.63"/>
    <n v="0"/>
    <x v="1"/>
    <n v="0"/>
    <n v="29"/>
    <n v="30"/>
    <n v="67"/>
    <n v="28.57"/>
    <n v="149.63"/>
    <n v="230.03"/>
    <n v="31.93064187172984"/>
    <n v="54.203801879475932"/>
    <n v="282.91739971702214"/>
    <n v="499003.62"/>
    <n v="705150.82689999999"/>
    <n v="1084046.2789"/>
    <n v="557700.59093163337"/>
    <n v="255442.46285127467"/>
    <n v="1333285.0254284299"/>
  </r>
  <r>
    <s v="Sistema Isolado - Regular"/>
    <x v="1"/>
    <x v="0"/>
    <x v="0"/>
    <x v="0"/>
    <x v="0"/>
    <x v="0"/>
    <x v="0"/>
    <x v="0"/>
    <n v="835"/>
    <n v="835"/>
    <n v="134.01300000000001"/>
    <n v="134.01300000000001"/>
    <n v="134.01300000000001"/>
    <n v="134.01300000000001"/>
    <n v="0"/>
    <x v="1"/>
    <n v="0"/>
    <n v="29"/>
    <n v="30"/>
    <n v="67"/>
    <n v="28.57"/>
    <n v="149.63"/>
    <n v="230.03"/>
    <n v="31.93064187172984"/>
    <n v="54.203801879475932"/>
    <n v="282.91739971702214"/>
    <n v="23855.95"/>
    <n v="20052.36519"/>
    <n v="30827.010390000003"/>
    <n v="26662.085962894416"/>
    <n v="7264.0141012742088"/>
    <n v="37914.609488277289"/>
  </r>
  <r>
    <s v="Sistema de Compensação"/>
    <x v="1"/>
    <x v="0"/>
    <x v="0"/>
    <x v="0"/>
    <x v="0"/>
    <x v="0"/>
    <x v="0"/>
    <x v="0"/>
    <n v="660"/>
    <n v="660"/>
    <n v="116.05800000000001"/>
    <n v="116.05800000000001"/>
    <n v="116.05800000000001"/>
    <n v="116.05800000000001"/>
    <n v="0"/>
    <x v="1"/>
    <n v="0"/>
    <n v="29"/>
    <n v="30"/>
    <n v="67"/>
    <n v="28.57"/>
    <n v="149.63"/>
    <n v="230.03"/>
    <n v="31.93064187172984"/>
    <n v="54.203801879475932"/>
    <n v="282.91739971702214"/>
    <n v="18856.2"/>
    <n v="17365.758539999999"/>
    <n v="26696.821740000003"/>
    <n v="21074.223635341696"/>
    <n v="6290.7848385282177"/>
    <n v="32834.827576358155"/>
  </r>
  <r>
    <s v="Regular"/>
    <x v="1"/>
    <x v="0"/>
    <x v="0"/>
    <x v="0"/>
    <x v="0"/>
    <x v="0"/>
    <x v="0"/>
    <x v="1"/>
    <n v="17419"/>
    <n v="17419"/>
    <n v="4632.241"/>
    <n v="4632.241"/>
    <n v="4632.241"/>
    <n v="4632.241"/>
    <n v="0"/>
    <x v="1"/>
    <n v="0"/>
    <n v="29"/>
    <n v="30"/>
    <n v="67"/>
    <n v="28.57"/>
    <n v="149.63"/>
    <n v="230.03"/>
    <n v="31.93064187172984"/>
    <n v="54.203801879475932"/>
    <n v="282.91739971702214"/>
    <n v="497660.83"/>
    <n v="693122.22083000001"/>
    <n v="1065554.39723"/>
    <n v="556199.85076366214"/>
    <n v="251085.07342198546"/>
    <n v="1310541.5785825783"/>
  </r>
  <r>
    <s v="Sistema Isolado - Regular"/>
    <x v="1"/>
    <x v="0"/>
    <x v="0"/>
    <x v="0"/>
    <x v="0"/>
    <x v="0"/>
    <x v="0"/>
    <x v="1"/>
    <n v="919"/>
    <n v="919"/>
    <n v="115.723"/>
    <n v="115.723"/>
    <n v="115.723"/>
    <n v="115.723"/>
    <n v="0"/>
    <x v="1"/>
    <n v="0"/>
    <n v="29"/>
    <n v="30"/>
    <n v="67"/>
    <n v="28.57"/>
    <n v="149.63"/>
    <n v="230.03"/>
    <n v="31.93064187172984"/>
    <n v="54.203801879475932"/>
    <n v="282.91739971702214"/>
    <n v="26255.83"/>
    <n v="17315.63249"/>
    <n v="26619.761689999999"/>
    <n v="29344.259880119724"/>
    <n v="6272.6265648985936"/>
    <n v="32740.050247452953"/>
  </r>
  <r>
    <s v="Sistema de Compensação"/>
    <x v="1"/>
    <x v="0"/>
    <x v="0"/>
    <x v="0"/>
    <x v="0"/>
    <x v="0"/>
    <x v="0"/>
    <x v="1"/>
    <n v="561"/>
    <n v="561"/>
    <n v="87.661000000000001"/>
    <n v="87.661000000000001"/>
    <n v="87.661000000000001"/>
    <n v="87.661000000000001"/>
    <n v="0"/>
    <x v="1"/>
    <n v="0"/>
    <n v="29"/>
    <n v="30"/>
    <n v="67"/>
    <n v="28.57"/>
    <n v="149.63"/>
    <n v="230.03"/>
    <n v="31.93064187172984"/>
    <n v="54.203801879475932"/>
    <n v="282.91739971702214"/>
    <n v="16027.77"/>
    <n v="13116.71543"/>
    <n v="20164.659830000001"/>
    <n v="17913.090090040441"/>
    <n v="4751.5594765567394"/>
    <n v="24800.822176593876"/>
  </r>
  <r>
    <s v="Regular"/>
    <x v="1"/>
    <x v="0"/>
    <x v="0"/>
    <x v="0"/>
    <x v="0"/>
    <x v="0"/>
    <x v="0"/>
    <x v="2"/>
    <n v="17296"/>
    <n v="17296"/>
    <n v="4437.4889999999996"/>
    <n v="4437.4889999999996"/>
    <n v="4437.4889999999996"/>
    <n v="4437.4889999999996"/>
    <n v="0"/>
    <x v="1"/>
    <n v="0"/>
    <n v="29"/>
    <n v="30"/>
    <n v="67"/>
    <n v="28.57"/>
    <n v="149.63"/>
    <n v="230.03"/>
    <n v="31.93064187172984"/>
    <n v="54.203801879475932"/>
    <n v="282.91739971702214"/>
    <n v="494146.72000000003"/>
    <n v="663981.47906999988"/>
    <n v="1020755.5946699999"/>
    <n v="552272.38181343931"/>
    <n v="240528.77459835375"/>
    <n v="1255442.8491528886"/>
  </r>
  <r>
    <s v="Refaturamento - Regular"/>
    <x v="1"/>
    <x v="0"/>
    <x v="0"/>
    <x v="0"/>
    <x v="0"/>
    <x v="0"/>
    <x v="0"/>
    <x v="2"/>
    <n v="-7"/>
    <n v="-7"/>
    <n v="-76.326999999999998"/>
    <n v="-76.326999999999998"/>
    <n v="-76.326999999999998"/>
    <n v="-76.326999999999998"/>
    <n v="0"/>
    <x v="1"/>
    <n v="0"/>
    <n v="29"/>
    <n v="30"/>
    <n v="67"/>
    <n v="28.57"/>
    <n v="149.63"/>
    <n v="230.03"/>
    <n v="31.93064187172984"/>
    <n v="54.203801879475932"/>
    <n v="282.91739971702214"/>
    <n v="-199.99"/>
    <n v="-11420.809009999999"/>
    <n v="-17557.499810000001"/>
    <n v="-223.51449310210887"/>
    <n v="-4137.2135860547596"/>
    <n v="-21594.236368201149"/>
  </r>
  <r>
    <s v="Sistema Isolado - Regular"/>
    <x v="1"/>
    <x v="0"/>
    <x v="0"/>
    <x v="0"/>
    <x v="0"/>
    <x v="0"/>
    <x v="0"/>
    <x v="2"/>
    <n v="1009"/>
    <n v="1009"/>
    <n v="99.468000000000004"/>
    <n v="99.468000000000004"/>
    <n v="99.468000000000004"/>
    <n v="99.468000000000004"/>
    <n v="0"/>
    <x v="1"/>
    <n v="0"/>
    <n v="29"/>
    <n v="30"/>
    <n v="67"/>
    <n v="28.57"/>
    <n v="149.63"/>
    <n v="230.03"/>
    <n v="31.93064187172984"/>
    <n v="54.203801879475932"/>
    <n v="282.91739971702214"/>
    <n v="28827.13"/>
    <n v="14883.396839999999"/>
    <n v="22880.624040000002"/>
    <n v="32218.017648575409"/>
    <n v="5391.543765347712"/>
    <n v="28141.227915052757"/>
  </r>
  <r>
    <s v="Sistema de Compensação"/>
    <x v="1"/>
    <x v="0"/>
    <x v="0"/>
    <x v="0"/>
    <x v="0"/>
    <x v="0"/>
    <x v="0"/>
    <x v="2"/>
    <n v="548"/>
    <n v="548"/>
    <n v="74.138999999999996"/>
    <n v="74.138999999999996"/>
    <n v="74.138999999999996"/>
    <n v="74.138999999999996"/>
    <n v="0"/>
    <x v="1"/>
    <n v="0"/>
    <n v="29"/>
    <n v="30"/>
    <n v="67"/>
    <n v="28.57"/>
    <n v="149.63"/>
    <n v="230.03"/>
    <n v="31.93064187172984"/>
    <n v="54.203801879475932"/>
    <n v="282.91739971702214"/>
    <n v="15656.36"/>
    <n v="11093.41857"/>
    <n v="17054.194169999999"/>
    <n v="17497.991745707954"/>
    <n v="4018.6156675424659"/>
    <n v="20975.213097620304"/>
  </r>
  <r>
    <s v="Regular"/>
    <x v="1"/>
    <x v="0"/>
    <x v="0"/>
    <x v="0"/>
    <x v="0"/>
    <x v="0"/>
    <x v="0"/>
    <x v="3"/>
    <n v="16535"/>
    <n v="16535"/>
    <n v="3780.259"/>
    <n v="3780.259"/>
    <n v="3780.259"/>
    <n v="3780.259"/>
    <n v="0"/>
    <x v="1"/>
    <n v="0"/>
    <n v="29"/>
    <n v="30"/>
    <n v="67"/>
    <n v="28.57"/>
    <n v="149.63"/>
    <n v="230.03"/>
    <n v="31.93064187172984"/>
    <n v="54.203801879475932"/>
    <n v="282.91739971702214"/>
    <n v="472404.95"/>
    <n v="565640.15416999999"/>
    <n v="869572.97777"/>
    <n v="527973.16334905289"/>
    <n v="204904.40988910582"/>
    <n v="1069501.0465368703"/>
  </r>
  <r>
    <s v="Sistema Isolado - Regular"/>
    <x v="1"/>
    <x v="0"/>
    <x v="0"/>
    <x v="0"/>
    <x v="0"/>
    <x v="0"/>
    <x v="0"/>
    <x v="3"/>
    <n v="1009"/>
    <n v="1009"/>
    <n v="79.911000000000001"/>
    <n v="79.911000000000001"/>
    <n v="79.911000000000001"/>
    <n v="79.911000000000001"/>
    <n v="0"/>
    <x v="1"/>
    <n v="0"/>
    <n v="29"/>
    <n v="30"/>
    <n v="67"/>
    <n v="28.57"/>
    <n v="149.63"/>
    <n v="230.03"/>
    <n v="31.93064187172984"/>
    <n v="54.203801879475932"/>
    <n v="282.91739971702214"/>
    <n v="28827.13"/>
    <n v="11957.08293"/>
    <n v="18381.927329999999"/>
    <n v="32218.017648575409"/>
    <n v="4331.4800119908014"/>
    <n v="22608.212328786954"/>
  </r>
  <r>
    <s v="Sistema de Compensação"/>
    <x v="1"/>
    <x v="0"/>
    <x v="0"/>
    <x v="0"/>
    <x v="0"/>
    <x v="0"/>
    <x v="0"/>
    <x v="3"/>
    <n v="573"/>
    <n v="573"/>
    <n v="69.676000000000002"/>
    <n v="69.676000000000002"/>
    <n v="69.676000000000002"/>
    <n v="69.676000000000002"/>
    <n v="0"/>
    <x v="1"/>
    <n v="0"/>
    <n v="29"/>
    <n v="30"/>
    <n v="67"/>
    <n v="28.57"/>
    <n v="149.63"/>
    <n v="230.03"/>
    <n v="31.93064187172984"/>
    <n v="54.203801879475932"/>
    <n v="282.91739971702214"/>
    <n v="16370.61"/>
    <n v="10425.61988"/>
    <n v="16027.57028"/>
    <n v="18296.257792501197"/>
    <n v="3776.704099754365"/>
    <n v="19712.552742683234"/>
  </r>
  <r>
    <s v="Regular"/>
    <x v="1"/>
    <x v="0"/>
    <x v="0"/>
    <x v="0"/>
    <x v="0"/>
    <x v="0"/>
    <x v="0"/>
    <x v="4"/>
    <n v="14616"/>
    <n v="14616"/>
    <n v="4022.636"/>
    <n v="4022.636"/>
    <n v="4022.636"/>
    <n v="4022.636"/>
    <n v="0"/>
    <x v="1"/>
    <n v="0"/>
    <n v="29"/>
    <n v="30"/>
    <n v="67"/>
    <n v="28.57"/>
    <n v="149.63"/>
    <n v="230.03"/>
    <n v="31.93064187172984"/>
    <n v="54.203801879475932"/>
    <n v="282.91739971702214"/>
    <n v="417579.12"/>
    <n v="601907.02468000003"/>
    <n v="925326.95907999994"/>
    <n v="466698.26159720332"/>
    <n v="218042.16477724756"/>
    <n v="1138073.7171280831"/>
  </r>
  <r>
    <s v="Refaturamento - Regular"/>
    <x v="1"/>
    <x v="0"/>
    <x v="0"/>
    <x v="0"/>
    <x v="0"/>
    <x v="0"/>
    <x v="0"/>
    <x v="4"/>
    <n v="-87"/>
    <n v="-87"/>
    <n v="0"/>
    <n v="0"/>
    <n v="0"/>
    <n v="0"/>
    <n v="0"/>
    <x v="1"/>
    <n v="0"/>
    <n v="29"/>
    <n v="0"/>
    <n v="0"/>
    <n v="28.57"/>
    <n v="0"/>
    <n v="0"/>
    <n v="31.93064187172984"/>
    <n v="54.203801879475932"/>
    <n v="282.91739971702214"/>
    <n v="-2485.59"/>
    <n v="0"/>
    <n v="0"/>
    <n v="-2777.965842840496"/>
    <n v="0"/>
    <n v="0"/>
  </r>
  <r>
    <s v="Sistema Isolado - Regular"/>
    <x v="1"/>
    <x v="0"/>
    <x v="0"/>
    <x v="0"/>
    <x v="0"/>
    <x v="0"/>
    <x v="0"/>
    <x v="4"/>
    <n v="1040"/>
    <n v="1040"/>
    <n v="94.593999999999994"/>
    <n v="94.593999999999994"/>
    <n v="94.593999999999994"/>
    <n v="94.593999999999994"/>
    <n v="0"/>
    <x v="1"/>
    <n v="0"/>
    <n v="29"/>
    <n v="30"/>
    <n v="67"/>
    <n v="28.57"/>
    <n v="149.63"/>
    <n v="230.03"/>
    <n v="31.93064187172984"/>
    <n v="54.203801879475932"/>
    <n v="282.91739971702214"/>
    <n v="29712.799999999999"/>
    <n v="14154.100219999998"/>
    <n v="21759.45782"/>
    <n v="33207.867546599031"/>
    <n v="5127.3544349871463"/>
    <n v="26762.288508831989"/>
  </r>
  <r>
    <s v="Sistema de Compensação"/>
    <x v="1"/>
    <x v="0"/>
    <x v="0"/>
    <x v="0"/>
    <x v="0"/>
    <x v="0"/>
    <x v="0"/>
    <x v="4"/>
    <n v="563"/>
    <n v="563"/>
    <n v="79.548000000000002"/>
    <n v="79.548000000000002"/>
    <n v="79.548000000000002"/>
    <n v="79.548000000000002"/>
    <n v="0"/>
    <x v="1"/>
    <n v="0"/>
    <n v="29"/>
    <n v="30"/>
    <n v="67"/>
    <n v="28.57"/>
    <n v="149.63"/>
    <n v="230.03"/>
    <n v="31.93064187172984"/>
    <n v="54.203801879475932"/>
    <n v="282.91739971702214"/>
    <n v="16084.91"/>
    <n v="11902.767239999999"/>
    <n v="18298.426439999999"/>
    <n v="17976.951373783901"/>
    <n v="4311.8040319085512"/>
    <n v="22505.513312689676"/>
  </r>
  <r>
    <s v="Regular"/>
    <x v="1"/>
    <x v="0"/>
    <x v="0"/>
    <x v="0"/>
    <x v="0"/>
    <x v="0"/>
    <x v="0"/>
    <x v="5"/>
    <n v="14813"/>
    <n v="14813"/>
    <n v="4149.2610000000004"/>
    <n v="4149.2610000000004"/>
    <n v="4149.2610000000004"/>
    <n v="4149.2610000000004"/>
    <n v="0"/>
    <x v="1"/>
    <n v="0"/>
    <n v="29"/>
    <n v="30"/>
    <n v="67"/>
    <n v="28.57"/>
    <n v="149.63"/>
    <n v="230.03"/>
    <n v="31.93064187172984"/>
    <n v="54.203801879475932"/>
    <n v="282.91739971702214"/>
    <n v="423207.41000000003"/>
    <n v="620853.92343000008"/>
    <n v="954454.50783000013"/>
    <n v="472988.59804593411"/>
    <n v="224905.72119023622"/>
    <n v="1173898.1328672511"/>
  </r>
  <r>
    <s v="Sistema Isolado - Regular"/>
    <x v="1"/>
    <x v="0"/>
    <x v="0"/>
    <x v="0"/>
    <x v="0"/>
    <x v="0"/>
    <x v="0"/>
    <x v="5"/>
    <n v="1009"/>
    <n v="1009"/>
    <n v="94.111000000000004"/>
    <n v="94.111000000000004"/>
    <n v="94.111000000000004"/>
    <n v="94.111000000000004"/>
    <n v="0"/>
    <x v="1"/>
    <n v="0"/>
    <n v="29"/>
    <n v="30"/>
    <n v="67"/>
    <n v="28.57"/>
    <n v="149.63"/>
    <n v="230.03"/>
    <n v="31.93064187172984"/>
    <n v="54.203801879475932"/>
    <n v="282.91739971702214"/>
    <n v="28827.13"/>
    <n v="14081.82893"/>
    <n v="21648.353330000002"/>
    <n v="32218.017648575409"/>
    <n v="5101.17399867936"/>
    <n v="26625.63940476867"/>
  </r>
  <r>
    <s v="Sistema de Compensação"/>
    <x v="1"/>
    <x v="0"/>
    <x v="0"/>
    <x v="0"/>
    <x v="0"/>
    <x v="0"/>
    <x v="0"/>
    <x v="5"/>
    <n v="553"/>
    <n v="553"/>
    <n v="88.849000000000004"/>
    <n v="88.849000000000004"/>
    <n v="88.849000000000004"/>
    <n v="88.849000000000004"/>
    <n v="0"/>
    <x v="1"/>
    <n v="0"/>
    <n v="29"/>
    <n v="30"/>
    <n v="67"/>
    <n v="28.57"/>
    <n v="149.63"/>
    <n v="230.03"/>
    <n v="31.93064187172984"/>
    <n v="54.203801879475932"/>
    <n v="282.91739971702214"/>
    <n v="15799.210000000001"/>
    <n v="13294.47587"/>
    <n v="20437.93547"/>
    <n v="17657.6449550666"/>
    <n v="4815.9535931895571"/>
    <n v="25136.928047457699"/>
  </r>
  <r>
    <s v="Regular"/>
    <x v="1"/>
    <x v="0"/>
    <x v="0"/>
    <x v="0"/>
    <x v="0"/>
    <x v="0"/>
    <x v="0"/>
    <x v="5"/>
    <n v="1408"/>
    <n v="1408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40226.559999999998"/>
    <n v="0"/>
    <n v="0"/>
    <n v="44958.343755395617"/>
    <n v="0"/>
    <n v="0"/>
  </r>
  <r>
    <s v="Regular"/>
    <x v="1"/>
    <x v="0"/>
    <x v="0"/>
    <x v="0"/>
    <x v="0"/>
    <x v="0"/>
    <x v="0"/>
    <x v="6"/>
    <n v="14409"/>
    <n v="14409"/>
    <n v="4370.509"/>
    <n v="4370.509"/>
    <n v="4370.509"/>
    <n v="4370.509"/>
    <n v="0"/>
    <x v="1"/>
    <n v="0"/>
    <n v="29"/>
    <n v="30"/>
    <n v="67"/>
    <n v="28.57"/>
    <n v="149.63"/>
    <n v="230.03"/>
    <n v="31.93064187172984"/>
    <n v="54.203801879475932"/>
    <n v="282.91739971702214"/>
    <n v="411665.13"/>
    <n v="653959.26167000004"/>
    <n v="1005348.18527"/>
    <n v="460088.61872975528"/>
    <n v="236898.20394846649"/>
    <n v="1236493.0417198427"/>
  </r>
  <r>
    <s v="Sistema Isolado - Regular"/>
    <x v="1"/>
    <x v="0"/>
    <x v="0"/>
    <x v="0"/>
    <x v="0"/>
    <x v="0"/>
    <x v="0"/>
    <x v="6"/>
    <n v="1009"/>
    <n v="1009"/>
    <n v="109.797"/>
    <n v="109.797"/>
    <n v="109.797"/>
    <n v="109.797"/>
    <n v="0"/>
    <x v="1"/>
    <n v="0"/>
    <n v="29"/>
    <n v="30"/>
    <n v="67"/>
    <n v="28.57"/>
    <n v="149.63"/>
    <n v="230.03"/>
    <n v="31.93064187172984"/>
    <n v="54.203801879475932"/>
    <n v="282.91739971702214"/>
    <n v="28827.13"/>
    <n v="16428.92511"/>
    <n v="25256.603909999998"/>
    <n v="32218.017648575409"/>
    <n v="5951.4148349608186"/>
    <n v="31063.481736729878"/>
  </r>
  <r>
    <s v="Sistema de Compensação"/>
    <x v="1"/>
    <x v="0"/>
    <x v="0"/>
    <x v="0"/>
    <x v="0"/>
    <x v="0"/>
    <x v="0"/>
    <x v="6"/>
    <n v="562"/>
    <n v="562"/>
    <n v="98.25"/>
    <n v="98.25"/>
    <n v="98.25"/>
    <n v="98.25"/>
    <n v="0"/>
    <x v="1"/>
    <n v="0"/>
    <n v="29"/>
    <n v="30"/>
    <n v="67"/>
    <n v="28.57"/>
    <n v="149.63"/>
    <n v="230.03"/>
    <n v="31.93064187172984"/>
    <n v="54.203801879475932"/>
    <n v="282.91739971702214"/>
    <n v="16056.34"/>
    <n v="14701.147499999999"/>
    <n v="22600.447499999998"/>
    <n v="17945.020731912169"/>
    <n v="5325.5235346585105"/>
    <n v="27796.634522197426"/>
  </r>
  <r>
    <s v="Regular"/>
    <x v="1"/>
    <x v="0"/>
    <x v="0"/>
    <x v="0"/>
    <x v="0"/>
    <x v="0"/>
    <x v="0"/>
    <x v="6"/>
    <n v="1400"/>
    <n v="1400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39998"/>
    <n v="0"/>
    <n v="0"/>
    <n v="44702.898620421773"/>
    <n v="0"/>
    <n v="0"/>
  </r>
  <r>
    <s v="Regular"/>
    <x v="1"/>
    <x v="0"/>
    <x v="0"/>
    <x v="0"/>
    <x v="0"/>
    <x v="0"/>
    <x v="0"/>
    <x v="7"/>
    <n v="14380"/>
    <n v="14380"/>
    <n v="4221.6750000000002"/>
    <n v="4221.6750000000002"/>
    <n v="4221.6750000000002"/>
    <n v="4221.6750000000002"/>
    <n v="0"/>
    <x v="1"/>
    <n v="0"/>
    <n v="29"/>
    <n v="30"/>
    <n v="67"/>
    <n v="28.57"/>
    <n v="149.63"/>
    <n v="230.03"/>
    <n v="31.93064187172984"/>
    <n v="54.203801879475932"/>
    <n v="282.91739971702214"/>
    <n v="410836.6"/>
    <n v="631689.23025000002"/>
    <n v="971111.90025000006"/>
    <n v="459162.6301154751"/>
    <n v="228830.83529953656"/>
    <n v="1194385.3134503595"/>
  </r>
  <r>
    <s v="Refaturamento - Regular"/>
    <x v="1"/>
    <x v="0"/>
    <x v="0"/>
    <x v="0"/>
    <x v="0"/>
    <x v="0"/>
    <x v="0"/>
    <x v="7"/>
    <n v="11"/>
    <n v="11"/>
    <n v="16.648"/>
    <n v="16.648"/>
    <n v="16.648"/>
    <n v="16.648"/>
    <n v="0"/>
    <x v="1"/>
    <n v="0"/>
    <n v="29"/>
    <n v="30"/>
    <n v="67"/>
    <n v="28.57"/>
    <n v="149.63"/>
    <n v="230.03"/>
    <n v="31.93064187172984"/>
    <n v="54.203801879475932"/>
    <n v="282.91739971702214"/>
    <n v="314.27"/>
    <n v="2491.0402399999998"/>
    <n v="3829.53944"/>
    <n v="351.23706058902826"/>
    <n v="902.38489368951525"/>
    <n v="4710.008870488984"/>
  </r>
  <r>
    <s v="Sistema Isolado - Regular"/>
    <x v="1"/>
    <x v="0"/>
    <x v="0"/>
    <x v="0"/>
    <x v="0"/>
    <x v="0"/>
    <x v="0"/>
    <x v="7"/>
    <n v="1009"/>
    <n v="1009"/>
    <n v="114.214"/>
    <n v="114.214"/>
    <n v="114.214"/>
    <n v="114.214"/>
    <n v="0"/>
    <x v="1"/>
    <n v="0"/>
    <n v="29"/>
    <n v="30"/>
    <n v="67"/>
    <n v="28.57"/>
    <n v="149.63"/>
    <n v="230.03"/>
    <n v="31.93064187172984"/>
    <n v="54.203801879475932"/>
    <n v="282.91739971702214"/>
    <n v="28827.13"/>
    <n v="17089.840819999998"/>
    <n v="26272.646420000001"/>
    <n v="32218.017648575409"/>
    <n v="6190.8330278624644"/>
    <n v="32313.127891279964"/>
  </r>
  <r>
    <s v="Sistema de Compensação"/>
    <x v="1"/>
    <x v="0"/>
    <x v="0"/>
    <x v="0"/>
    <x v="0"/>
    <x v="0"/>
    <x v="0"/>
    <x v="7"/>
    <n v="486"/>
    <n v="486"/>
    <n v="92.870999999999995"/>
    <n v="92.870999999999995"/>
    <n v="92.870999999999995"/>
    <n v="92.870999999999995"/>
    <n v="0"/>
    <x v="1"/>
    <n v="0"/>
    <n v="29"/>
    <n v="30"/>
    <n v="67"/>
    <n v="28.57"/>
    <n v="149.63"/>
    <n v="230.03"/>
    <n v="31.93064187172984"/>
    <n v="54.203801879475932"/>
    <n v="282.91739971702214"/>
    <n v="13885.02"/>
    <n v="13896.287729999998"/>
    <n v="21363.116129999999"/>
    <n v="15518.291949660703"/>
    <n v="5033.9612843488094"/>
    <n v="26274.821829119563"/>
  </r>
  <r>
    <s v="Regular"/>
    <x v="1"/>
    <x v="0"/>
    <x v="0"/>
    <x v="0"/>
    <x v="0"/>
    <x v="0"/>
    <x v="0"/>
    <x v="8"/>
    <n v="14142"/>
    <n v="14142"/>
    <n v="4285.9189999999999"/>
    <n v="4285.9189999999999"/>
    <n v="4285.9189999999999"/>
    <n v="4285.9189999999999"/>
    <n v="0"/>
    <x v="1"/>
    <n v="0"/>
    <n v="29"/>
    <n v="30"/>
    <n v="67"/>
    <n v="28.57"/>
    <n v="149.63"/>
    <n v="230.03"/>
    <n v="31.93064187172984"/>
    <n v="54.203801879475932"/>
    <n v="282.91739971702214"/>
    <n v="404036.94"/>
    <n v="641302.05996999994"/>
    <n v="985889.94756999996"/>
    <n v="451563.13735000341"/>
    <n v="232313.1043474816"/>
    <n v="1212561.0588777799"/>
  </r>
  <r>
    <s v="Refaturamento - Regular"/>
    <x v="1"/>
    <x v="0"/>
    <x v="0"/>
    <x v="0"/>
    <x v="0"/>
    <x v="0"/>
    <x v="0"/>
    <x v="8"/>
    <n v="-2048"/>
    <n v="-2048"/>
    <n v="-539.31399999999996"/>
    <n v="-539.31399999999996"/>
    <n v="-539.31399999999996"/>
    <n v="-539.31399999999996"/>
    <n v="0"/>
    <x v="1"/>
    <n v="0"/>
    <n v="29"/>
    <n v="30"/>
    <n v="67"/>
    <n v="28.57"/>
    <n v="149.63"/>
    <n v="230.03"/>
    <n v="31.93064187172984"/>
    <n v="54.203801879475932"/>
    <n v="282.91739971702214"/>
    <n v="-58511.360000000001"/>
    <n v="-80697.553819999986"/>
    <n v="-124058.39941999999"/>
    <n v="-65393.954553302712"/>
    <n v="-29232.86920682768"/>
    <n v="-152581.31451098606"/>
  </r>
  <r>
    <s v="Sistema Isolado - Regular"/>
    <x v="1"/>
    <x v="0"/>
    <x v="0"/>
    <x v="0"/>
    <x v="0"/>
    <x v="0"/>
    <x v="0"/>
    <x v="8"/>
    <n v="509"/>
    <n v="509"/>
    <n v="33.396999999999998"/>
    <n v="33.396999999999998"/>
    <n v="33.396999999999998"/>
    <n v="33.396999999999998"/>
    <n v="0"/>
    <x v="1"/>
    <n v="0"/>
    <n v="29"/>
    <n v="30"/>
    <n v="67"/>
    <n v="28.57"/>
    <n v="149.63"/>
    <n v="230.03"/>
    <n v="31.93064187172984"/>
    <n v="54.203801879475932"/>
    <n v="282.91739971702214"/>
    <n v="14542.130000000001"/>
    <n v="4997.1931099999993"/>
    <n v="7682.3119099999994"/>
    <n v="16252.696712710489"/>
    <n v="1810.2443713688576"/>
    <n v="9448.5923983493885"/>
  </r>
  <r>
    <s v="Sistema de Compensação"/>
    <x v="1"/>
    <x v="0"/>
    <x v="0"/>
    <x v="0"/>
    <x v="0"/>
    <x v="0"/>
    <x v="0"/>
    <x v="8"/>
    <n v="473"/>
    <n v="473"/>
    <n v="90.506"/>
    <n v="90.506"/>
    <n v="90.506"/>
    <n v="90.506"/>
    <n v="0"/>
    <x v="1"/>
    <n v="0"/>
    <n v="29"/>
    <n v="30"/>
    <n v="67"/>
    <n v="28.57"/>
    <n v="149.63"/>
    <n v="230.03"/>
    <n v="31.93064187172984"/>
    <n v="54.203801879475932"/>
    <n v="282.91739971702214"/>
    <n v="13513.61"/>
    <n v="13542.412779999999"/>
    <n v="20819.09518"/>
    <n v="15103.193605328213"/>
    <n v="4905.7692929038485"/>
    <n v="25605.722178788805"/>
  </r>
  <r>
    <s v="Regular"/>
    <x v="1"/>
    <x v="0"/>
    <x v="0"/>
    <x v="0"/>
    <x v="0"/>
    <x v="0"/>
    <x v="0"/>
    <x v="8"/>
    <n v="1400"/>
    <n v="1400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39998"/>
    <n v="0"/>
    <n v="0"/>
    <n v="44702.898620421773"/>
    <n v="0"/>
    <n v="0"/>
  </r>
  <r>
    <s v="Regular"/>
    <x v="1"/>
    <x v="0"/>
    <x v="0"/>
    <x v="0"/>
    <x v="0"/>
    <x v="0"/>
    <x v="0"/>
    <x v="9"/>
    <n v="16922"/>
    <n v="16922"/>
    <n v="5185.99"/>
    <n v="5185.99"/>
    <n v="5185.99"/>
    <n v="5185.99"/>
    <n v="0"/>
    <x v="1"/>
    <n v="0"/>
    <n v="29"/>
    <n v="30"/>
    <n v="67"/>
    <n v="28.57"/>
    <n v="149.63"/>
    <n v="230.03"/>
    <n v="31.93064187172984"/>
    <n v="54.203801879475932"/>
    <n v="282.91739971702214"/>
    <n v="483461.54"/>
    <n v="775979.68369999994"/>
    <n v="1192933.2797000001"/>
    <n v="540330.32175341237"/>
    <n v="281100.37450894335"/>
    <n v="1467206.8057584795"/>
  </r>
  <r>
    <s v="Refaturamento - Regular"/>
    <x v="1"/>
    <x v="0"/>
    <x v="0"/>
    <x v="0"/>
    <x v="0"/>
    <x v="0"/>
    <x v="0"/>
    <x v="9"/>
    <n v="699"/>
    <n v="699"/>
    <n v="127.797"/>
    <n v="127.797"/>
    <n v="127.797"/>
    <n v="127.797"/>
    <n v="0"/>
    <x v="1"/>
    <n v="0"/>
    <n v="29"/>
    <n v="30"/>
    <n v="67"/>
    <n v="28.57"/>
    <n v="149.63"/>
    <n v="230.03"/>
    <n v="31.93064187172984"/>
    <n v="54.203801879475932"/>
    <n v="282.91739971702214"/>
    <n v="19970.43"/>
    <n v="19122.26511"/>
    <n v="29397.143909999999"/>
    <n v="22319.518668339158"/>
    <n v="6927.0832687913853"/>
    <n v="36155.994931636276"/>
  </r>
  <r>
    <s v="Sistema Isolado - Regular"/>
    <x v="1"/>
    <x v="0"/>
    <x v="0"/>
    <x v="0"/>
    <x v="0"/>
    <x v="0"/>
    <x v="0"/>
    <x v="9"/>
    <n v="509"/>
    <n v="509"/>
    <n v="27.917000000000002"/>
    <n v="27.917000000000002"/>
    <n v="27.917000000000002"/>
    <n v="27.917000000000002"/>
    <n v="0"/>
    <x v="1"/>
    <n v="0"/>
    <n v="29"/>
    <n v="30"/>
    <n v="67"/>
    <n v="28.57"/>
    <n v="149.63"/>
    <n v="230.03"/>
    <n v="31.93064187172984"/>
    <n v="54.203801879475932"/>
    <n v="282.91739971702214"/>
    <n v="14542.130000000001"/>
    <n v="4177.2207100000005"/>
    <n v="6421.7475100000001"/>
    <n v="16252.696712710489"/>
    <n v="1513.2075370693296"/>
    <n v="7898.2050479001073"/>
  </r>
  <r>
    <s v="Sistema de Compensação"/>
    <x v="1"/>
    <x v="0"/>
    <x v="0"/>
    <x v="0"/>
    <x v="0"/>
    <x v="0"/>
    <x v="0"/>
    <x v="9"/>
    <n v="477"/>
    <n v="477"/>
    <n v="100.547"/>
    <n v="100.547"/>
    <n v="100.547"/>
    <n v="100.547"/>
    <n v="0"/>
    <x v="1"/>
    <n v="0"/>
    <n v="29"/>
    <n v="30"/>
    <n v="67"/>
    <n v="28.57"/>
    <n v="149.63"/>
    <n v="230.03"/>
    <n v="31.93064187172984"/>
    <n v="54.203801879475932"/>
    <n v="282.91739971702214"/>
    <n v="13627.89"/>
    <n v="15044.847609999999"/>
    <n v="23128.826409999998"/>
    <n v="15230.916172815134"/>
    <n v="5450.0296675756663"/>
    <n v="28446.495789347424"/>
  </r>
  <r>
    <s v="Regular"/>
    <x v="1"/>
    <x v="0"/>
    <x v="0"/>
    <x v="0"/>
    <x v="0"/>
    <x v="0"/>
    <x v="0"/>
    <x v="9"/>
    <n v="1400"/>
    <n v="1400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39998"/>
    <n v="0"/>
    <n v="0"/>
    <n v="44702.898620421773"/>
    <n v="0"/>
    <n v="0"/>
  </r>
  <r>
    <s v="Regular"/>
    <x v="1"/>
    <x v="0"/>
    <x v="0"/>
    <x v="0"/>
    <x v="0"/>
    <x v="0"/>
    <x v="0"/>
    <x v="10"/>
    <n v="17541"/>
    <n v="17541"/>
    <n v="5269.2629999999999"/>
    <n v="5269.2629999999999"/>
    <n v="5269.2629999999999"/>
    <n v="5269.2629999999999"/>
    <n v="0"/>
    <x v="1"/>
    <n v="0"/>
    <n v="29"/>
    <n v="30"/>
    <n v="67"/>
    <n v="28.57"/>
    <n v="149.63"/>
    <n v="230.03"/>
    <n v="31.93064187172984"/>
    <n v="54.203801879475932"/>
    <n v="282.91739971702214"/>
    <n v="501146.37"/>
    <n v="788439.82268999994"/>
    <n v="1212088.5678900001"/>
    <n v="560095.38907201309"/>
    <n v="285614.08770285296"/>
    <n v="1490766.1863851151"/>
  </r>
  <r>
    <s v="Refaturamento - Regular"/>
    <x v="1"/>
    <x v="0"/>
    <x v="0"/>
    <x v="0"/>
    <x v="0"/>
    <x v="0"/>
    <x v="0"/>
    <x v="10"/>
    <n v="-278"/>
    <n v="-278"/>
    <n v="0.34399999999999997"/>
    <n v="0.34399999999999997"/>
    <n v="0.34399999999999997"/>
    <n v="0.34399999999999997"/>
    <n v="0"/>
    <x v="1"/>
    <n v="0"/>
    <n v="29"/>
    <n v="30"/>
    <n v="67"/>
    <n v="28.57"/>
    <n v="149.63"/>
    <n v="230.03"/>
    <n v="31.93064187172984"/>
    <n v="54.203801879475932"/>
    <n v="282.91739971702214"/>
    <n v="-7942.46"/>
    <n v="51.472719999999995"/>
    <n v="79.130319999999998"/>
    <n v="-8876.7184403408955"/>
    <n v="18.646107846539721"/>
    <n v="97.323585502655604"/>
  </r>
  <r>
    <s v="Sistema Isolado - Regular"/>
    <x v="1"/>
    <x v="0"/>
    <x v="0"/>
    <x v="0"/>
    <x v="0"/>
    <x v="0"/>
    <x v="0"/>
    <x v="10"/>
    <n v="509"/>
    <n v="509"/>
    <n v="23.274000000000001"/>
    <n v="23.274000000000001"/>
    <n v="23.274000000000001"/>
    <n v="23.274000000000001"/>
    <n v="0"/>
    <x v="1"/>
    <n v="0"/>
    <n v="29"/>
    <n v="30"/>
    <n v="67"/>
    <n v="28.57"/>
    <n v="149.63"/>
    <n v="230.03"/>
    <n v="31.93064187172984"/>
    <n v="54.203801879475932"/>
    <n v="282.91739971702214"/>
    <n v="14542.130000000001"/>
    <n v="3482.4886200000001"/>
    <n v="5353.7182200000007"/>
    <n v="16252.696712710489"/>
    <n v="1261.5392849429229"/>
    <n v="6584.619561013973"/>
  </r>
  <r>
    <s v="Sistema de Compensação"/>
    <x v="1"/>
    <x v="0"/>
    <x v="0"/>
    <x v="0"/>
    <x v="0"/>
    <x v="0"/>
    <x v="0"/>
    <x v="10"/>
    <n v="487"/>
    <n v="487"/>
    <n v="95.998999999999995"/>
    <n v="95.998999999999995"/>
    <n v="95.998999999999995"/>
    <n v="95.998999999999995"/>
    <n v="0"/>
    <x v="1"/>
    <n v="0"/>
    <n v="29"/>
    <n v="30"/>
    <n v="67"/>
    <n v="28.57"/>
    <n v="149.63"/>
    <n v="230.03"/>
    <n v="31.93064187172984"/>
    <n v="54.203801879475932"/>
    <n v="282.91739971702214"/>
    <n v="13913.59"/>
    <n v="14364.33037"/>
    <n v="22082.649969999999"/>
    <n v="15550.222591532432"/>
    <n v="5203.5107766278097"/>
    <n v="27159.787455434405"/>
  </r>
  <r>
    <s v="Sistema de Compensação"/>
    <x v="1"/>
    <x v="0"/>
    <x v="0"/>
    <x v="0"/>
    <x v="0"/>
    <x v="0"/>
    <x v="0"/>
    <x v="10"/>
    <n v="-132"/>
    <n v="-132"/>
    <n v="-18.78"/>
    <n v="-18.78"/>
    <n v="-18.78"/>
    <n v="-18.78"/>
    <n v="0"/>
    <x v="1"/>
    <n v="0"/>
    <n v="29"/>
    <n v="30"/>
    <n v="67"/>
    <n v="28.57"/>
    <n v="149.63"/>
    <n v="230.03"/>
    <n v="31.93064187172984"/>
    <n v="54.203801879475932"/>
    <n v="282.91739971702214"/>
    <n v="-3771.2400000000002"/>
    <n v="-2810.0514000000003"/>
    <n v="-4319.9634000000005"/>
    <n v="-4214.8447270683391"/>
    <n v="-1017.947399296558"/>
    <n v="-5313.1887666856765"/>
  </r>
  <r>
    <s v="Regular"/>
    <x v="1"/>
    <x v="0"/>
    <x v="0"/>
    <x v="0"/>
    <x v="0"/>
    <x v="0"/>
    <x v="0"/>
    <x v="10"/>
    <n v="1400"/>
    <n v="1400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39998"/>
    <n v="0"/>
    <n v="0"/>
    <n v="44702.898620421773"/>
    <n v="0"/>
    <n v="0"/>
  </r>
  <r>
    <s v="PROJETADO"/>
    <x v="1"/>
    <x v="0"/>
    <x v="0"/>
    <x v="0"/>
    <x v="0"/>
    <x v="0"/>
    <x v="0"/>
    <x v="11"/>
    <n v="17541"/>
    <n v="17541"/>
    <n v="5269.2629999999999"/>
    <n v="5269.2629999999999"/>
    <n v="5269.2629999999999"/>
    <n v="5269.2629999999999"/>
    <n v="0"/>
    <x v="1"/>
    <n v="0"/>
    <n v="29"/>
    <n v="30"/>
    <n v="67"/>
    <n v="28.57"/>
    <n v="149.63"/>
    <n v="230.03"/>
    <n v="31.93064187172984"/>
    <n v="54.203801879475932"/>
    <n v="282.91739971702214"/>
    <n v="501146.37"/>
    <n v="788439.82268999994"/>
    <n v="1212088.5678900001"/>
    <n v="560095.38907201309"/>
    <n v="285614.08770285296"/>
    <n v="1490766.1863851151"/>
  </r>
  <r>
    <s v="PROJETADO"/>
    <x v="1"/>
    <x v="0"/>
    <x v="0"/>
    <x v="0"/>
    <x v="0"/>
    <x v="0"/>
    <x v="0"/>
    <x v="11"/>
    <n v="-278"/>
    <n v="-278"/>
    <n v="0.34399999999999997"/>
    <n v="0.34399999999999997"/>
    <n v="0.34399999999999997"/>
    <n v="0.34399999999999997"/>
    <n v="0"/>
    <x v="1"/>
    <n v="0"/>
    <n v="29"/>
    <n v="30"/>
    <n v="67"/>
    <n v="28.57"/>
    <n v="149.63"/>
    <n v="230.03"/>
    <n v="31.93064187172984"/>
    <n v="54.203801879475932"/>
    <n v="282.91739971702214"/>
    <n v="-7942.46"/>
    <n v="51.472719999999995"/>
    <n v="79.130319999999998"/>
    <n v="-8876.7184403408955"/>
    <n v="18.646107846539721"/>
    <n v="97.323585502655604"/>
  </r>
  <r>
    <s v="PROJETADO"/>
    <x v="1"/>
    <x v="0"/>
    <x v="0"/>
    <x v="0"/>
    <x v="0"/>
    <x v="0"/>
    <x v="0"/>
    <x v="11"/>
    <n v="509"/>
    <n v="509"/>
    <n v="23.274000000000001"/>
    <n v="23.274000000000001"/>
    <n v="23.274000000000001"/>
    <n v="23.274000000000001"/>
    <n v="0"/>
    <x v="1"/>
    <n v="0"/>
    <n v="29"/>
    <n v="30"/>
    <n v="67"/>
    <n v="28.57"/>
    <n v="149.63"/>
    <n v="230.03"/>
    <n v="31.93064187172984"/>
    <n v="54.203801879475932"/>
    <n v="282.91739971702214"/>
    <n v="14542.130000000001"/>
    <n v="3482.4886200000001"/>
    <n v="5353.7182200000007"/>
    <n v="16252.696712710489"/>
    <n v="1261.5392849429229"/>
    <n v="6584.619561013973"/>
  </r>
  <r>
    <s v="PROJETADO"/>
    <x v="1"/>
    <x v="0"/>
    <x v="0"/>
    <x v="0"/>
    <x v="0"/>
    <x v="0"/>
    <x v="0"/>
    <x v="11"/>
    <n v="487"/>
    <n v="487"/>
    <n v="95.998999999999995"/>
    <n v="95.998999999999995"/>
    <n v="95.998999999999995"/>
    <n v="95.998999999999995"/>
    <n v="0"/>
    <x v="1"/>
    <n v="0"/>
    <n v="29"/>
    <n v="30"/>
    <n v="67"/>
    <n v="28.57"/>
    <n v="149.63"/>
    <n v="230.03"/>
    <n v="31.93064187172984"/>
    <n v="54.203801879475932"/>
    <n v="282.91739971702214"/>
    <n v="13913.59"/>
    <n v="14364.33037"/>
    <n v="22082.649969999999"/>
    <n v="15550.222591532432"/>
    <n v="5203.5107766278097"/>
    <n v="27159.787455434405"/>
  </r>
  <r>
    <s v="PROJETADO"/>
    <x v="1"/>
    <x v="0"/>
    <x v="0"/>
    <x v="0"/>
    <x v="0"/>
    <x v="0"/>
    <x v="0"/>
    <x v="11"/>
    <n v="-132"/>
    <n v="-132"/>
    <n v="-18.78"/>
    <n v="-18.78"/>
    <n v="-18.78"/>
    <n v="-18.78"/>
    <n v="0"/>
    <x v="1"/>
    <n v="0"/>
    <n v="29"/>
    <n v="30"/>
    <n v="67"/>
    <n v="28.57"/>
    <n v="149.63"/>
    <n v="230.03"/>
    <n v="31.93064187172984"/>
    <n v="54.203801879475932"/>
    <n v="282.91739971702214"/>
    <n v="-3771.2400000000002"/>
    <n v="-2810.0514000000003"/>
    <n v="-4319.9634000000005"/>
    <n v="-4214.8447270683391"/>
    <n v="-1017.947399296558"/>
    <n v="-5313.1887666856765"/>
  </r>
  <r>
    <s v="PROJETADO"/>
    <x v="1"/>
    <x v="0"/>
    <x v="0"/>
    <x v="0"/>
    <x v="0"/>
    <x v="0"/>
    <x v="0"/>
    <x v="11"/>
    <n v="1400"/>
    <n v="1400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39998"/>
    <n v="0"/>
    <n v="0"/>
    <n v="44702.898620421773"/>
    <n v="0"/>
    <n v="0"/>
  </r>
  <r>
    <s v="Regular"/>
    <x v="1"/>
    <x v="0"/>
    <x v="0"/>
    <x v="0"/>
    <x v="0"/>
    <x v="0"/>
    <x v="1"/>
    <x v="5"/>
    <n v="0"/>
    <n v="0"/>
    <n v="738.13599999999997"/>
    <n v="738.13599999999997"/>
    <n v="0"/>
    <n v="0"/>
    <n v="1"/>
    <x v="0"/>
    <n v="0"/>
    <n v="0"/>
    <n v="30"/>
    <n v="0"/>
    <n v="0"/>
    <n v="149.63"/>
    <n v="0"/>
    <m/>
    <n v="54.203801879475932"/>
    <m/>
    <n v="0"/>
    <n v="110447.28967999999"/>
    <n v="0"/>
    <n v="0"/>
    <n v="40009.777504108846"/>
    <n v="0"/>
  </r>
  <r>
    <s v="Regular"/>
    <x v="1"/>
    <x v="0"/>
    <x v="0"/>
    <x v="0"/>
    <x v="0"/>
    <x v="0"/>
    <x v="1"/>
    <x v="6"/>
    <n v="0"/>
    <n v="0"/>
    <n v="625.072"/>
    <n v="625.072"/>
    <n v="0"/>
    <n v="0"/>
    <n v="1"/>
    <x v="0"/>
    <n v="0"/>
    <n v="0"/>
    <n v="30"/>
    <n v="0"/>
    <n v="0"/>
    <n v="149.63"/>
    <n v="0"/>
    <m/>
    <n v="54.203801879475932"/>
    <m/>
    <n v="0"/>
    <n v="93529.523359999992"/>
    <n v="0"/>
    <n v="0"/>
    <n v="33881.278848407783"/>
    <n v="0"/>
  </r>
  <r>
    <s v="Regular"/>
    <x v="1"/>
    <x v="0"/>
    <x v="0"/>
    <x v="0"/>
    <x v="0"/>
    <x v="0"/>
    <x v="1"/>
    <x v="8"/>
    <n v="0"/>
    <n v="0"/>
    <n v="605.42999999999995"/>
    <n v="605.42999999999995"/>
    <n v="0"/>
    <n v="0"/>
    <n v="1"/>
    <x v="0"/>
    <n v="0"/>
    <n v="0"/>
    <n v="30"/>
    <n v="0"/>
    <n v="0"/>
    <n v="149.63"/>
    <n v="0"/>
    <m/>
    <n v="54.203801879475932"/>
    <m/>
    <n v="0"/>
    <n v="90590.49089999999"/>
    <n v="0"/>
    <n v="0"/>
    <n v="32816.607771891111"/>
    <n v="0"/>
  </r>
  <r>
    <s v="Regular"/>
    <x v="1"/>
    <x v="0"/>
    <x v="0"/>
    <x v="0"/>
    <x v="0"/>
    <x v="0"/>
    <x v="1"/>
    <x v="9"/>
    <n v="0"/>
    <n v="0"/>
    <n v="552.62199999999996"/>
    <n v="552.62199999999996"/>
    <n v="0"/>
    <n v="0"/>
    <n v="1"/>
    <x v="0"/>
    <n v="0"/>
    <n v="0"/>
    <n v="30"/>
    <n v="0"/>
    <n v="0"/>
    <n v="149.63"/>
    <n v="0"/>
    <m/>
    <n v="54.203801879475932"/>
    <m/>
    <n v="0"/>
    <n v="82688.829859999998"/>
    <n v="0"/>
    <n v="0"/>
    <n v="29954.213402239748"/>
    <n v="0"/>
  </r>
  <r>
    <s v="Regular"/>
    <x v="1"/>
    <x v="0"/>
    <x v="0"/>
    <x v="0"/>
    <x v="0"/>
    <x v="0"/>
    <x v="1"/>
    <x v="10"/>
    <n v="0"/>
    <n v="0"/>
    <n v="485.702"/>
    <n v="485.702"/>
    <n v="0"/>
    <n v="0"/>
    <n v="1"/>
    <x v="0"/>
    <n v="0"/>
    <n v="0"/>
    <n v="30"/>
    <n v="0"/>
    <n v="0"/>
    <n v="149.63"/>
    <n v="0"/>
    <m/>
    <n v="54.203801879475932"/>
    <m/>
    <n v="0"/>
    <n v="72675.590259999997"/>
    <n v="0"/>
    <n v="0"/>
    <n v="26326.894980465218"/>
    <n v="0"/>
  </r>
  <r>
    <s v="PROJETADO"/>
    <x v="1"/>
    <x v="0"/>
    <x v="0"/>
    <x v="0"/>
    <x v="0"/>
    <x v="0"/>
    <x v="1"/>
    <x v="11"/>
    <n v="0"/>
    <n v="0"/>
    <n v="485.702"/>
    <n v="485.702"/>
    <n v="0"/>
    <n v="0"/>
    <n v="1"/>
    <x v="0"/>
    <n v="0"/>
    <n v="0"/>
    <n v="30"/>
    <n v="0"/>
    <n v="0"/>
    <n v="149.63"/>
    <n v="0"/>
    <m/>
    <n v="54.203801879475932"/>
    <m/>
    <n v="0"/>
    <n v="72675.590259999997"/>
    <n v="0"/>
    <n v="0"/>
    <n v="26326.894980465218"/>
    <n v="0"/>
  </r>
  <r>
    <s v="Regular"/>
    <x v="1"/>
    <x v="0"/>
    <x v="0"/>
    <x v="0"/>
    <x v="0"/>
    <x v="0"/>
    <x v="2"/>
    <x v="0"/>
    <n v="14266"/>
    <n v="14266"/>
    <n v="390.85599999999999"/>
    <n v="390.85599999999999"/>
    <n v="390.85599999999999"/>
    <n v="390.85599999999999"/>
    <n v="0"/>
    <x v="1"/>
    <n v="0"/>
    <n v="28"/>
    <n v="30"/>
    <n v="66"/>
    <n v="52.99"/>
    <n v="149.63"/>
    <n v="389.28"/>
    <n v="59.276351675174958"/>
    <n v="54.203801879475932"/>
    <n v="454.3285679284046"/>
    <n v="755955.34000000008"/>
    <n v="58483.783279999996"/>
    <n v="152152.42367999998"/>
    <n v="845636.43299804593"/>
    <n v="21185.881187404444"/>
    <n v="177577.04674622451"/>
  </r>
  <r>
    <s v="Sistema Isolado - Regular"/>
    <x v="1"/>
    <x v="0"/>
    <x v="0"/>
    <x v="0"/>
    <x v="0"/>
    <x v="0"/>
    <x v="2"/>
    <x v="0"/>
    <n v="634"/>
    <n v="634"/>
    <n v="11.07"/>
    <n v="11.07"/>
    <n v="11.07"/>
    <n v="11.07"/>
    <n v="0"/>
    <x v="1"/>
    <n v="0"/>
    <n v="28"/>
    <n v="30"/>
    <n v="66"/>
    <n v="52.99"/>
    <n v="149.63"/>
    <n v="389.28"/>
    <n v="59.276351675174958"/>
    <n v="54.203801879475932"/>
    <n v="454.3285679284046"/>
    <n v="33595.660000000003"/>
    <n v="1656.4041"/>
    <n v="4309.3296"/>
    <n v="37581.206962060925"/>
    <n v="600.03608680579862"/>
    <n v="5029.4172469674386"/>
  </r>
  <r>
    <s v="Sistema de Compensação"/>
    <x v="1"/>
    <x v="0"/>
    <x v="0"/>
    <x v="0"/>
    <x v="0"/>
    <x v="0"/>
    <x v="2"/>
    <x v="0"/>
    <n v="441"/>
    <n v="441"/>
    <n v="23.234999999999999"/>
    <n v="23.234999999999999"/>
    <n v="23.234999999999999"/>
    <n v="23.234999999999999"/>
    <n v="0"/>
    <x v="1"/>
    <n v="0"/>
    <n v="28"/>
    <n v="30"/>
    <n v="66"/>
    <n v="52.99"/>
    <n v="149.63"/>
    <n v="389.28"/>
    <n v="59.276351675174958"/>
    <n v="54.203801879475932"/>
    <n v="454.3285679284046"/>
    <n v="23368.59"/>
    <n v="3476.6530499999999"/>
    <n v="9044.9207999999999"/>
    <n v="26140.871088752156"/>
    <n v="1259.4253366696232"/>
    <n v="10556.32427581648"/>
  </r>
  <r>
    <s v="Regular"/>
    <x v="1"/>
    <x v="0"/>
    <x v="0"/>
    <x v="0"/>
    <x v="0"/>
    <x v="0"/>
    <x v="2"/>
    <x v="1"/>
    <n v="14079"/>
    <n v="14079"/>
    <n v="421.47199999999998"/>
    <n v="421.47199999999998"/>
    <n v="421.47199999999998"/>
    <n v="421.47199999999998"/>
    <n v="0"/>
    <x v="1"/>
    <n v="0"/>
    <n v="28"/>
    <n v="30"/>
    <n v="66"/>
    <n v="52.99"/>
    <n v="149.63"/>
    <n v="389.28"/>
    <n v="59.276351675174958"/>
    <n v="54.203801879475932"/>
    <n v="454.3285679284046"/>
    <n v="746046.21000000008"/>
    <n v="63064.855359999994"/>
    <n v="164070.62015999999"/>
    <n v="834551.75523478817"/>
    <n v="22845.384785746479"/>
    <n v="191486.77018192052"/>
  </r>
  <r>
    <s v="Sistema Isolado - Regular"/>
    <x v="1"/>
    <x v="0"/>
    <x v="0"/>
    <x v="0"/>
    <x v="0"/>
    <x v="0"/>
    <x v="2"/>
    <x v="1"/>
    <n v="693"/>
    <n v="693"/>
    <n v="13.523"/>
    <n v="13.523"/>
    <n v="13.523"/>
    <n v="13.523"/>
    <n v="0"/>
    <x v="1"/>
    <n v="0"/>
    <n v="28"/>
    <n v="30"/>
    <n v="66"/>
    <n v="52.99"/>
    <n v="149.63"/>
    <n v="389.28"/>
    <n v="59.276351675174958"/>
    <n v="54.203801879475932"/>
    <n v="454.3285679284046"/>
    <n v="36722.07"/>
    <n v="2023.4464899999998"/>
    <n v="5264.2334399999991"/>
    <n v="41078.511710896244"/>
    <n v="732.99801281615305"/>
    <n v="6143.8852240958149"/>
  </r>
  <r>
    <s v="Sistema de Compensação"/>
    <x v="1"/>
    <x v="0"/>
    <x v="0"/>
    <x v="0"/>
    <x v="0"/>
    <x v="0"/>
    <x v="2"/>
    <x v="1"/>
    <n v="362"/>
    <n v="362"/>
    <n v="4.141"/>
    <n v="4.141"/>
    <n v="4.141"/>
    <n v="4.141"/>
    <n v="0"/>
    <x v="1"/>
    <n v="0"/>
    <n v="28"/>
    <n v="30"/>
    <n v="66"/>
    <n v="52.99"/>
    <n v="149.63"/>
    <n v="389.28"/>
    <n v="59.276351675174958"/>
    <n v="54.203801879475932"/>
    <n v="454.3285679284046"/>
    <n v="19182.38"/>
    <n v="619.61783000000003"/>
    <n v="1612.00848"/>
    <n v="21458.039306413335"/>
    <n v="224.45794358290985"/>
    <n v="1881.3745997915235"/>
  </r>
  <r>
    <s v="Regular"/>
    <x v="1"/>
    <x v="0"/>
    <x v="0"/>
    <x v="0"/>
    <x v="0"/>
    <x v="0"/>
    <x v="2"/>
    <x v="2"/>
    <n v="14088"/>
    <n v="14088"/>
    <n v="365.07900000000001"/>
    <n v="365.07900000000001"/>
    <n v="365.07900000000001"/>
    <n v="365.07900000000001"/>
    <n v="0"/>
    <x v="1"/>
    <n v="0"/>
    <n v="28"/>
    <n v="30"/>
    <n v="66"/>
    <n v="52.99"/>
    <n v="149.63"/>
    <n v="389.28"/>
    <n v="59.276351675174958"/>
    <n v="54.203801879475932"/>
    <n v="454.3285679284046"/>
    <n v="746523.12"/>
    <n v="54626.770770000003"/>
    <n v="142117.95311999999"/>
    <n v="835085.24239986483"/>
    <n v="19788.669786357194"/>
    <n v="165865.81925073403"/>
  </r>
  <r>
    <s v="Refaturamento - Regular"/>
    <x v="1"/>
    <x v="0"/>
    <x v="0"/>
    <x v="0"/>
    <x v="0"/>
    <x v="0"/>
    <x v="2"/>
    <x v="2"/>
    <n v="-5"/>
    <n v="-5"/>
    <n v="-8.6020000000000003"/>
    <n v="-8.6020000000000003"/>
    <n v="-8.6020000000000003"/>
    <n v="-8.6020000000000003"/>
    <n v="0"/>
    <x v="1"/>
    <n v="0"/>
    <n v="28"/>
    <n v="30"/>
    <n v="66"/>
    <n v="52.99"/>
    <n v="149.63"/>
    <n v="389.28"/>
    <n v="59.276351675174958"/>
    <n v="54.203801879475932"/>
    <n v="454.3285679284046"/>
    <n v="-264.95"/>
    <n v="-1287.11726"/>
    <n v="-3348.5865599999997"/>
    <n v="-296.38175837587477"/>
    <n v="-466.261103767252"/>
    <n v="-3908.1343413201366"/>
  </r>
  <r>
    <s v="Sistema Isolado - Regular"/>
    <x v="1"/>
    <x v="0"/>
    <x v="0"/>
    <x v="0"/>
    <x v="0"/>
    <x v="0"/>
    <x v="2"/>
    <x v="2"/>
    <n v="836"/>
    <n v="836"/>
    <n v="11.407"/>
    <n v="11.407"/>
    <n v="11.407"/>
    <n v="11.407"/>
    <n v="0"/>
    <x v="1"/>
    <n v="0"/>
    <n v="28"/>
    <n v="30"/>
    <n v="66"/>
    <n v="52.99"/>
    <n v="149.63"/>
    <n v="389.28"/>
    <n v="59.276351675174958"/>
    <n v="54.203801879475932"/>
    <n v="454.3285679284046"/>
    <n v="44299.64"/>
    <n v="1706.8294100000001"/>
    <n v="4440.5169599999999"/>
    <n v="49555.030000446262"/>
    <n v="618.30276803918196"/>
    <n v="5182.5259743593115"/>
  </r>
  <r>
    <s v="Sistema de Compensação"/>
    <x v="1"/>
    <x v="0"/>
    <x v="0"/>
    <x v="0"/>
    <x v="0"/>
    <x v="0"/>
    <x v="2"/>
    <x v="2"/>
    <n v="342"/>
    <n v="342"/>
    <n v="3.9470000000000001"/>
    <n v="3.9470000000000001"/>
    <n v="3.9470000000000001"/>
    <n v="3.9470000000000001"/>
    <n v="0"/>
    <x v="1"/>
    <n v="0"/>
    <n v="28"/>
    <n v="30"/>
    <n v="66"/>
    <n v="52.99"/>
    <n v="149.63"/>
    <n v="389.28"/>
    <n v="59.276351675174958"/>
    <n v="54.203801879475932"/>
    <n v="454.3285679284046"/>
    <n v="18122.580000000002"/>
    <n v="590.58960999999999"/>
    <n v="1536.4881599999999"/>
    <n v="20272.512272909837"/>
    <n v="213.94240601829151"/>
    <n v="1793.2348576134129"/>
  </r>
  <r>
    <s v="Regular"/>
    <x v="1"/>
    <x v="0"/>
    <x v="0"/>
    <x v="0"/>
    <x v="0"/>
    <x v="0"/>
    <x v="2"/>
    <x v="3"/>
    <n v="13639"/>
    <n v="13639"/>
    <n v="309.08800000000002"/>
    <n v="309.08800000000002"/>
    <n v="309.08800000000002"/>
    <n v="309.08800000000002"/>
    <n v="0"/>
    <x v="1"/>
    <n v="0"/>
    <n v="28"/>
    <n v="30"/>
    <n v="66"/>
    <n v="52.99"/>
    <n v="149.63"/>
    <n v="389.28"/>
    <n v="59.276351675174958"/>
    <n v="54.203801879475932"/>
    <n v="454.3285679284046"/>
    <n v="722730.61"/>
    <n v="46248.837440000003"/>
    <n v="120321.77664"/>
    <n v="808470.16049771127"/>
    <n v="16753.744715323457"/>
    <n v="140427.50840385474"/>
  </r>
  <r>
    <s v="Sistema Isolado - Regular"/>
    <x v="1"/>
    <x v="0"/>
    <x v="0"/>
    <x v="0"/>
    <x v="0"/>
    <x v="0"/>
    <x v="2"/>
    <x v="3"/>
    <n v="832"/>
    <n v="832"/>
    <n v="8.3919999999999995"/>
    <n v="8.3919999999999995"/>
    <n v="8.3919999999999995"/>
    <n v="8.3919999999999995"/>
    <n v="0"/>
    <x v="1"/>
    <n v="0"/>
    <n v="28"/>
    <n v="30"/>
    <n v="66"/>
    <n v="52.99"/>
    <n v="149.63"/>
    <n v="389.28"/>
    <n v="59.276351675174958"/>
    <n v="54.203801879475932"/>
    <n v="454.3285679284046"/>
    <n v="44087.68"/>
    <n v="1255.6949599999998"/>
    <n v="3266.8377599999994"/>
    <n v="49317.924593745563"/>
    <n v="454.87830537256201"/>
    <n v="3812.725342055171"/>
  </r>
  <r>
    <s v="Sistema de Compensação"/>
    <x v="1"/>
    <x v="0"/>
    <x v="0"/>
    <x v="0"/>
    <x v="0"/>
    <x v="0"/>
    <x v="2"/>
    <x v="3"/>
    <n v="371"/>
    <n v="371"/>
    <n v="4.3049999999999997"/>
    <n v="4.3049999999999997"/>
    <n v="4.3049999999999997"/>
    <n v="4.3049999999999997"/>
    <n v="0"/>
    <x v="1"/>
    <n v="0"/>
    <n v="28"/>
    <n v="30"/>
    <n v="66"/>
    <n v="52.99"/>
    <n v="149.63"/>
    <n v="389.28"/>
    <n v="59.276351675174958"/>
    <n v="54.203801879475932"/>
    <n v="454.3285679284046"/>
    <n v="19659.29"/>
    <n v="644.15714999999989"/>
    <n v="1675.8503999999998"/>
    <n v="21991.526471489909"/>
    <n v="233.34736709114387"/>
    <n v="1955.8844849317816"/>
  </r>
  <r>
    <s v="Regular"/>
    <x v="1"/>
    <x v="0"/>
    <x v="0"/>
    <x v="0"/>
    <x v="0"/>
    <x v="0"/>
    <x v="2"/>
    <x v="4"/>
    <n v="11726"/>
    <n v="11726"/>
    <n v="354.69499999999999"/>
    <n v="354.69499999999999"/>
    <n v="354.69499999999999"/>
    <n v="354.69499999999999"/>
    <n v="0"/>
    <x v="1"/>
    <n v="0"/>
    <n v="28"/>
    <n v="30"/>
    <n v="66"/>
    <n v="52.99"/>
    <n v="149.63"/>
    <n v="389.28"/>
    <n v="59.276351675174958"/>
    <n v="54.203801879475932"/>
    <n v="454.3285679284046"/>
    <n v="621360.74"/>
    <n v="53073.012849999999"/>
    <n v="138075.66959999999"/>
    <n v="695074.49974310154"/>
    <n v="19225.817507640717"/>
    <n v="161148.07140136545"/>
  </r>
  <r>
    <s v="Refaturamento - Regular"/>
    <x v="1"/>
    <x v="0"/>
    <x v="0"/>
    <x v="0"/>
    <x v="0"/>
    <x v="0"/>
    <x v="2"/>
    <x v="4"/>
    <n v="-115"/>
    <n v="-115"/>
    <n v="0"/>
    <n v="0"/>
    <n v="0"/>
    <n v="0"/>
    <n v="0"/>
    <x v="1"/>
    <n v="0"/>
    <n v="28"/>
    <n v="0"/>
    <n v="0"/>
    <n v="52.99"/>
    <n v="0"/>
    <n v="0"/>
    <n v="59.276351675174958"/>
    <n v="54.203801879475932"/>
    <n v="454.3285679284046"/>
    <n v="-6093.85"/>
    <n v="0"/>
    <n v="0"/>
    <n v="-6816.7804426451203"/>
    <n v="0"/>
    <n v="0"/>
  </r>
  <r>
    <s v="Sistema Isolado - Regular"/>
    <x v="1"/>
    <x v="0"/>
    <x v="0"/>
    <x v="0"/>
    <x v="0"/>
    <x v="0"/>
    <x v="2"/>
    <x v="4"/>
    <n v="844"/>
    <n v="844"/>
    <n v="11.442"/>
    <n v="11.442"/>
    <n v="11.442"/>
    <n v="11.442"/>
    <n v="0"/>
    <x v="1"/>
    <n v="0"/>
    <n v="28"/>
    <n v="30"/>
    <n v="66"/>
    <n v="52.99"/>
    <n v="149.63"/>
    <n v="389.28"/>
    <n v="59.276351675174958"/>
    <n v="54.203801879475932"/>
    <n v="454.3285679284046"/>
    <n v="44723.560000000005"/>
    <n v="1712.06646"/>
    <n v="4454.1417599999995"/>
    <n v="50029.240813847668"/>
    <n v="620.1999011049636"/>
    <n v="5198.4274742368052"/>
  </r>
  <r>
    <s v="Sistema de Compensação"/>
    <x v="1"/>
    <x v="0"/>
    <x v="0"/>
    <x v="0"/>
    <x v="0"/>
    <x v="0"/>
    <x v="2"/>
    <x v="4"/>
    <n v="352"/>
    <n v="352"/>
    <n v="5.16"/>
    <n v="5.16"/>
    <n v="5.16"/>
    <n v="5.16"/>
    <n v="0"/>
    <x v="1"/>
    <n v="0"/>
    <n v="28"/>
    <n v="30"/>
    <n v="66"/>
    <n v="52.99"/>
    <n v="149.63"/>
    <n v="389.28"/>
    <n v="59.276351675174958"/>
    <n v="54.203801879475932"/>
    <n v="454.3285679284046"/>
    <n v="18652.48"/>
    <n v="772.09079999999994"/>
    <n v="2008.6848"/>
    <n v="20865.275789661584"/>
    <n v="279.6916176980958"/>
    <n v="2344.3354105105677"/>
  </r>
  <r>
    <s v="Regular"/>
    <x v="1"/>
    <x v="0"/>
    <x v="0"/>
    <x v="0"/>
    <x v="0"/>
    <x v="0"/>
    <x v="2"/>
    <x v="5"/>
    <n v="11738"/>
    <n v="11738"/>
    <n v="340.83100000000002"/>
    <n v="340.83100000000002"/>
    <n v="340.83100000000002"/>
    <n v="340.83100000000002"/>
    <n v="0"/>
    <x v="1"/>
    <n v="0"/>
    <n v="28"/>
    <n v="30"/>
    <n v="66"/>
    <n v="52.99"/>
    <n v="149.63"/>
    <n v="389.28"/>
    <n v="59.276351675174958"/>
    <n v="54.203801879475932"/>
    <n v="454.3285679284046"/>
    <n v="621996.62"/>
    <n v="50998.542529999999"/>
    <n v="132678.69167999999"/>
    <n v="695785.81596320367"/>
    <n v="18474.335998383664"/>
    <n v="154849.26013560608"/>
  </r>
  <r>
    <s v="Sistema Isolado - Regular"/>
    <x v="1"/>
    <x v="0"/>
    <x v="0"/>
    <x v="0"/>
    <x v="0"/>
    <x v="0"/>
    <x v="2"/>
    <x v="5"/>
    <n v="832"/>
    <n v="832"/>
    <n v="9.9700000000000006"/>
    <n v="9.9700000000000006"/>
    <n v="9.9700000000000006"/>
    <n v="9.9700000000000006"/>
    <n v="0"/>
    <x v="1"/>
    <n v="0"/>
    <n v="28"/>
    <n v="30"/>
    <n v="66"/>
    <n v="52.99"/>
    <n v="149.63"/>
    <n v="389.28"/>
    <n v="59.276351675174958"/>
    <n v="54.203801879475932"/>
    <n v="454.3285679284046"/>
    <n v="44087.68"/>
    <n v="1491.8111000000001"/>
    <n v="3881.1215999999999"/>
    <n v="49317.924593745563"/>
    <n v="540.41190473837503"/>
    <n v="4529.6558222461945"/>
  </r>
  <r>
    <s v="Sistema de Compensação"/>
    <x v="1"/>
    <x v="0"/>
    <x v="0"/>
    <x v="0"/>
    <x v="0"/>
    <x v="0"/>
    <x v="2"/>
    <x v="5"/>
    <n v="353"/>
    <n v="353"/>
    <n v="7.91"/>
    <n v="7.91"/>
    <n v="7.91"/>
    <n v="7.91"/>
    <n v="0"/>
    <x v="1"/>
    <n v="0"/>
    <n v="28"/>
    <n v="30"/>
    <n v="66"/>
    <n v="52.99"/>
    <n v="149.63"/>
    <n v="389.28"/>
    <n v="59.276351675174958"/>
    <n v="54.203801879475932"/>
    <n v="454.3285679284046"/>
    <n v="18705.47"/>
    <n v="1183.5733"/>
    <n v="3079.2048"/>
    <n v="20924.552141336761"/>
    <n v="428.75207286665466"/>
    <n v="3593.7389723136803"/>
  </r>
  <r>
    <s v="Regular"/>
    <x v="1"/>
    <x v="0"/>
    <x v="0"/>
    <x v="0"/>
    <x v="0"/>
    <x v="0"/>
    <x v="2"/>
    <x v="5"/>
    <n v="1400"/>
    <n v="1400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74186"/>
    <n v="0"/>
    <n v="0"/>
    <n v="82986.892345244938"/>
    <n v="0"/>
    <n v="0"/>
  </r>
  <r>
    <s v="Regular"/>
    <x v="1"/>
    <x v="0"/>
    <x v="0"/>
    <x v="0"/>
    <x v="0"/>
    <x v="0"/>
    <x v="2"/>
    <x v="6"/>
    <n v="11183"/>
    <n v="11183"/>
    <n v="357.49400000000003"/>
    <n v="357.49400000000003"/>
    <n v="357.49400000000003"/>
    <n v="357.49400000000003"/>
    <n v="0"/>
    <x v="1"/>
    <n v="0"/>
    <n v="28"/>
    <n v="30"/>
    <n v="66"/>
    <n v="52.99"/>
    <n v="149.63"/>
    <n v="389.28"/>
    <n v="59.276351675174958"/>
    <n v="54.203801879475932"/>
    <n v="454.3285679284046"/>
    <n v="592587.17000000004"/>
    <n v="53491.827219999999"/>
    <n v="139165.26431999999"/>
    <n v="662887.44078348158"/>
    <n v="19377.533949101369"/>
    <n v="162419.7370629971"/>
  </r>
  <r>
    <s v="Sistema Isolado - Regular"/>
    <x v="1"/>
    <x v="0"/>
    <x v="0"/>
    <x v="0"/>
    <x v="0"/>
    <x v="0"/>
    <x v="2"/>
    <x v="6"/>
    <n v="937"/>
    <n v="937"/>
    <n v="10.384"/>
    <n v="10.384"/>
    <n v="10.384"/>
    <n v="10.384"/>
    <n v="0"/>
    <x v="1"/>
    <n v="0"/>
    <n v="28"/>
    <n v="30"/>
    <n v="66"/>
    <n v="52.99"/>
    <n v="149.63"/>
    <n v="389.28"/>
    <n v="59.276351675174958"/>
    <n v="54.203801879475932"/>
    <n v="454.3285679284046"/>
    <n v="49651.630000000005"/>
    <n v="1553.75792"/>
    <n v="4042.28352"/>
    <n v="55541.941519638938"/>
    <n v="562.85227871647805"/>
    <n v="4717.747849368553"/>
  </r>
  <r>
    <s v="Sistema de Compensação"/>
    <x v="1"/>
    <x v="0"/>
    <x v="0"/>
    <x v="0"/>
    <x v="0"/>
    <x v="0"/>
    <x v="2"/>
    <x v="6"/>
    <n v="361"/>
    <n v="361"/>
    <n v="8.7620000000000005"/>
    <n v="8.7620000000000005"/>
    <n v="8.7620000000000005"/>
    <n v="8.7620000000000005"/>
    <n v="0"/>
    <x v="1"/>
    <n v="0"/>
    <n v="28"/>
    <n v="30"/>
    <n v="66"/>
    <n v="52.99"/>
    <n v="149.63"/>
    <n v="389.28"/>
    <n v="59.276351675174958"/>
    <n v="54.203801879475932"/>
    <n v="454.3285679284046"/>
    <n v="19129.39"/>
    <n v="1311.0580600000001"/>
    <n v="3410.8713600000001"/>
    <n v="21398.762954738158"/>
    <n v="474.93371206796814"/>
    <n v="3980.8269121886815"/>
  </r>
  <r>
    <s v="Regular"/>
    <x v="1"/>
    <x v="0"/>
    <x v="0"/>
    <x v="0"/>
    <x v="0"/>
    <x v="0"/>
    <x v="2"/>
    <x v="6"/>
    <n v="1400"/>
    <n v="1400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74186"/>
    <n v="0"/>
    <n v="0"/>
    <n v="82986.892345244938"/>
    <n v="0"/>
    <n v="0"/>
  </r>
  <r>
    <s v="Regular"/>
    <x v="1"/>
    <x v="0"/>
    <x v="0"/>
    <x v="0"/>
    <x v="0"/>
    <x v="0"/>
    <x v="2"/>
    <x v="7"/>
    <n v="11099"/>
    <n v="11099"/>
    <n v="352.80900000000003"/>
    <n v="352.80900000000003"/>
    <n v="352.80900000000003"/>
    <n v="352.80900000000003"/>
    <n v="0"/>
    <x v="1"/>
    <n v="0"/>
    <n v="28"/>
    <n v="30"/>
    <n v="66"/>
    <n v="52.99"/>
    <n v="149.63"/>
    <n v="389.28"/>
    <n v="59.276351675174958"/>
    <n v="54.203801879475932"/>
    <n v="454.3285679284046"/>
    <n v="588136.01"/>
    <n v="52790.810669999999"/>
    <n v="137341.48752"/>
    <n v="657908.22724276688"/>
    <n v="19123.589137296025"/>
    <n v="160291.2077222525"/>
  </r>
  <r>
    <s v="Refaturamento - Regular"/>
    <x v="1"/>
    <x v="0"/>
    <x v="0"/>
    <x v="0"/>
    <x v="0"/>
    <x v="0"/>
    <x v="2"/>
    <x v="7"/>
    <n v="-6"/>
    <n v="-6"/>
    <n v="1.18"/>
    <n v="1.18"/>
    <n v="1.18"/>
    <n v="1.18"/>
    <n v="0"/>
    <x v="1"/>
    <n v="0"/>
    <n v="28"/>
    <n v="30"/>
    <n v="66"/>
    <n v="52.99"/>
    <n v="149.63"/>
    <n v="389.28"/>
    <n v="59.276351675174958"/>
    <n v="54.203801879475932"/>
    <n v="454.3285679284046"/>
    <n v="-317.94"/>
    <n v="176.56339999999997"/>
    <n v="459.35039999999992"/>
    <n v="-355.65811005104973"/>
    <n v="63.9604862177816"/>
    <n v="536.10771015551734"/>
  </r>
  <r>
    <s v="Sistema Isolado - Regular"/>
    <x v="1"/>
    <x v="0"/>
    <x v="0"/>
    <x v="0"/>
    <x v="0"/>
    <x v="0"/>
    <x v="2"/>
    <x v="7"/>
    <n v="965"/>
    <n v="965"/>
    <n v="12.986000000000001"/>
    <n v="12.986000000000001"/>
    <n v="12.986000000000001"/>
    <n v="12.986000000000001"/>
    <n v="0"/>
    <x v="1"/>
    <n v="0"/>
    <n v="28"/>
    <n v="30"/>
    <n v="66"/>
    <n v="52.99"/>
    <n v="149.63"/>
    <n v="389.28"/>
    <n v="59.276351675174958"/>
    <n v="54.203801879475932"/>
    <n v="454.3285679284046"/>
    <n v="51135.35"/>
    <n v="1943.09518"/>
    <n v="5055.1900800000003"/>
    <n v="57201.679366543831"/>
    <n v="703.89057120687448"/>
    <n v="5899.9107831182628"/>
  </r>
  <r>
    <s v="Sistema de Compensação"/>
    <x v="1"/>
    <x v="0"/>
    <x v="0"/>
    <x v="0"/>
    <x v="0"/>
    <x v="0"/>
    <x v="2"/>
    <x v="7"/>
    <n v="247"/>
    <n v="247"/>
    <n v="8.8970000000000002"/>
    <n v="8.8970000000000002"/>
    <n v="8.8970000000000002"/>
    <n v="8.8970000000000002"/>
    <n v="0"/>
    <x v="1"/>
    <n v="0"/>
    <n v="28"/>
    <n v="30"/>
    <n v="66"/>
    <n v="52.99"/>
    <n v="149.63"/>
    <n v="389.28"/>
    <n v="59.276351675174958"/>
    <n v="54.203801879475932"/>
    <n v="454.3285679284046"/>
    <n v="13088.53"/>
    <n v="1331.25811"/>
    <n v="3463.42416"/>
    <n v="14641.258863768215"/>
    <n v="482.2512253216974"/>
    <n v="4042.1612688590158"/>
  </r>
  <r>
    <s v="Regular"/>
    <x v="1"/>
    <x v="0"/>
    <x v="0"/>
    <x v="0"/>
    <x v="0"/>
    <x v="0"/>
    <x v="2"/>
    <x v="8"/>
    <n v="10956"/>
    <n v="10956"/>
    <n v="367.25299999999999"/>
    <n v="367.25299999999999"/>
    <n v="367.25299999999999"/>
    <n v="367.25299999999999"/>
    <n v="0"/>
    <x v="1"/>
    <n v="0"/>
    <n v="28"/>
    <n v="30"/>
    <n v="66"/>
    <n v="52.99"/>
    <n v="149.63"/>
    <n v="389.28"/>
    <n v="59.276351675174958"/>
    <n v="54.203801879475932"/>
    <n v="454.3285679284046"/>
    <n v="580558.44000000006"/>
    <n v="54952.066389999993"/>
    <n v="142964.24784"/>
    <n v="649431.70895321679"/>
    <n v="19906.508851643175"/>
    <n v="166853.52955741037"/>
  </r>
  <r>
    <s v="Refaturamento - Regular"/>
    <x v="1"/>
    <x v="0"/>
    <x v="0"/>
    <x v="0"/>
    <x v="0"/>
    <x v="0"/>
    <x v="2"/>
    <x v="8"/>
    <n v="-1289"/>
    <n v="-1289"/>
    <n v="-61.13"/>
    <n v="-61.13"/>
    <n v="-61.13"/>
    <n v="-61.13"/>
    <n v="0"/>
    <x v="1"/>
    <n v="0"/>
    <n v="28"/>
    <n v="30"/>
    <n v="66"/>
    <n v="52.99"/>
    <n v="149.63"/>
    <n v="389.28"/>
    <n v="59.276351675174958"/>
    <n v="54.203801879475932"/>
    <n v="454.3285679284046"/>
    <n v="-68304.11"/>
    <n v="-9146.8819000000003"/>
    <n v="-23796.686399999999"/>
    <n v="-76407.217309300526"/>
    <n v="-3313.4784088923639"/>
    <n v="-27773.105357463373"/>
  </r>
  <r>
    <s v="Sistema Isolado - Regular"/>
    <x v="1"/>
    <x v="0"/>
    <x v="0"/>
    <x v="0"/>
    <x v="0"/>
    <x v="0"/>
    <x v="2"/>
    <x v="8"/>
    <n v="482"/>
    <n v="482"/>
    <n v="2.5009999999999999"/>
    <n v="2.5009999999999999"/>
    <n v="2.5009999999999999"/>
    <n v="2.5009999999999999"/>
    <n v="0"/>
    <x v="1"/>
    <n v="0"/>
    <n v="28"/>
    <n v="30"/>
    <n v="66"/>
    <n v="52.99"/>
    <n v="149.63"/>
    <n v="389.28"/>
    <n v="59.276351675174958"/>
    <n v="54.203801879475932"/>
    <n v="454.3285679284046"/>
    <n v="25541.18"/>
    <n v="374.22462999999999"/>
    <n v="973.58927999999992"/>
    <n v="28571.201507434329"/>
    <n v="135.56370850056931"/>
    <n v="1136.2757483889397"/>
  </r>
  <r>
    <s v="Sistema de Compensação"/>
    <x v="1"/>
    <x v="0"/>
    <x v="0"/>
    <x v="0"/>
    <x v="0"/>
    <x v="0"/>
    <x v="2"/>
    <x v="8"/>
    <n v="248"/>
    <n v="248"/>
    <n v="9.5060000000000002"/>
    <n v="9.5060000000000002"/>
    <n v="9.5060000000000002"/>
    <n v="9.5060000000000002"/>
    <n v="0"/>
    <x v="1"/>
    <n v="0"/>
    <n v="28"/>
    <n v="30"/>
    <n v="66"/>
    <n v="52.99"/>
    <n v="149.63"/>
    <n v="389.28"/>
    <n v="59.276351675174958"/>
    <n v="54.203801879475932"/>
    <n v="454.3285679284046"/>
    <n v="13141.52"/>
    <n v="1422.3827799999999"/>
    <n v="3700.49568"/>
    <n v="14700.535215443389"/>
    <n v="515.26134066629822"/>
    <n v="4318.8473667274138"/>
  </r>
  <r>
    <s v="Regular"/>
    <x v="1"/>
    <x v="0"/>
    <x v="0"/>
    <x v="0"/>
    <x v="0"/>
    <x v="0"/>
    <x v="2"/>
    <x v="8"/>
    <n v="1400"/>
    <n v="1400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74186"/>
    <n v="0"/>
    <n v="0"/>
    <n v="82986.892345244938"/>
    <n v="0"/>
    <n v="0"/>
  </r>
  <r>
    <s v="Regular"/>
    <x v="1"/>
    <x v="0"/>
    <x v="0"/>
    <x v="0"/>
    <x v="0"/>
    <x v="0"/>
    <x v="2"/>
    <x v="9"/>
    <n v="14797"/>
    <n v="14797"/>
    <n v="454.72"/>
    <n v="454.72"/>
    <n v="454.72"/>
    <n v="454.72"/>
    <n v="0"/>
    <x v="1"/>
    <n v="0"/>
    <n v="28"/>
    <n v="30"/>
    <n v="66"/>
    <n v="52.99"/>
    <n v="149.63"/>
    <n v="389.28"/>
    <n v="59.276351675174958"/>
    <n v="54.203801879475932"/>
    <n v="454.3285679284046"/>
    <n v="784093.03"/>
    <n v="68039.753599999996"/>
    <n v="177013.40160000001"/>
    <n v="877112.17573756387"/>
    <n v="24647.552790635298"/>
    <n v="206592.28640840415"/>
  </r>
  <r>
    <s v="Refaturamento - Regular"/>
    <x v="1"/>
    <x v="0"/>
    <x v="0"/>
    <x v="0"/>
    <x v="0"/>
    <x v="0"/>
    <x v="2"/>
    <x v="9"/>
    <n v="574"/>
    <n v="574"/>
    <n v="12.545"/>
    <n v="12.545"/>
    <n v="12.545"/>
    <n v="12.545"/>
    <n v="0"/>
    <x v="1"/>
    <n v="0"/>
    <n v="28"/>
    <n v="30"/>
    <n v="66"/>
    <n v="52.99"/>
    <n v="149.63"/>
    <n v="389.28"/>
    <n v="59.276351675174958"/>
    <n v="54.203801879475932"/>
    <n v="454.3285679284046"/>
    <n v="30416.260000000002"/>
    <n v="1877.10835"/>
    <n v="4883.5175999999992"/>
    <n v="34024.625861550427"/>
    <n v="679.98669457802555"/>
    <n v="5699.5518846618352"/>
  </r>
  <r>
    <s v="Sistema Isolado - Regular"/>
    <x v="1"/>
    <x v="0"/>
    <x v="0"/>
    <x v="0"/>
    <x v="0"/>
    <x v="0"/>
    <x v="2"/>
    <x v="9"/>
    <n v="482"/>
    <n v="482"/>
    <n v="2.0489999999999999"/>
    <n v="2.0489999999999999"/>
    <n v="2.0489999999999999"/>
    <n v="2.0489999999999999"/>
    <n v="0"/>
    <x v="1"/>
    <n v="0"/>
    <n v="28"/>
    <n v="30"/>
    <n v="66"/>
    <n v="52.99"/>
    <n v="149.63"/>
    <n v="389.28"/>
    <n v="59.276351675174958"/>
    <n v="54.203801879475932"/>
    <n v="454.3285679284046"/>
    <n v="25541.18"/>
    <n v="306.59186999999997"/>
    <n v="797.6347199999999"/>
    <n v="28571.201507434329"/>
    <n v="111.06359005104618"/>
    <n v="930.91923568530103"/>
  </r>
  <r>
    <s v="Sistema de Compensação"/>
    <x v="1"/>
    <x v="0"/>
    <x v="0"/>
    <x v="0"/>
    <x v="0"/>
    <x v="0"/>
    <x v="2"/>
    <x v="9"/>
    <n v="267"/>
    <n v="267"/>
    <n v="8.7230000000000008"/>
    <n v="8.7230000000000008"/>
    <n v="8.7230000000000008"/>
    <n v="8.7230000000000008"/>
    <n v="0"/>
    <x v="1"/>
    <n v="0"/>
    <n v="28"/>
    <n v="30"/>
    <n v="66"/>
    <n v="52.99"/>
    <n v="149.63"/>
    <n v="389.28"/>
    <n v="59.276351675174958"/>
    <n v="54.203801879475932"/>
    <n v="454.3285679284046"/>
    <n v="14148.33"/>
    <n v="1305.2224900000001"/>
    <n v="3395.6894400000001"/>
    <n v="15826.785897271713"/>
    <n v="472.81976379466857"/>
    <n v="3963.1080980394736"/>
  </r>
  <r>
    <s v="Regular"/>
    <x v="1"/>
    <x v="0"/>
    <x v="0"/>
    <x v="0"/>
    <x v="0"/>
    <x v="0"/>
    <x v="2"/>
    <x v="9"/>
    <n v="1400"/>
    <n v="1400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74186"/>
    <n v="0"/>
    <n v="0"/>
    <n v="82986.892345244938"/>
    <n v="0"/>
    <n v="0"/>
  </r>
  <r>
    <s v="Regular"/>
    <x v="1"/>
    <x v="0"/>
    <x v="0"/>
    <x v="0"/>
    <x v="0"/>
    <x v="0"/>
    <x v="2"/>
    <x v="10"/>
    <n v="15560"/>
    <n v="15560"/>
    <n v="453.15899999999999"/>
    <n v="453.15899999999999"/>
    <n v="453.15899999999999"/>
    <n v="453.15899999999999"/>
    <n v="0"/>
    <x v="1"/>
    <n v="0"/>
    <n v="28"/>
    <n v="30"/>
    <n v="66"/>
    <n v="52.99"/>
    <n v="149.63"/>
    <n v="389.28"/>
    <n v="59.276351675174958"/>
    <n v="54.203801879475932"/>
    <n v="454.3285679284046"/>
    <n v="824524.4"/>
    <n v="67806.181169999996"/>
    <n v="176405.73551999999"/>
    <n v="922340.03206572239"/>
    <n v="24562.940655901435"/>
    <n v="205883.07951386788"/>
  </r>
  <r>
    <s v="Refaturamento - Regular"/>
    <x v="1"/>
    <x v="0"/>
    <x v="0"/>
    <x v="0"/>
    <x v="0"/>
    <x v="0"/>
    <x v="2"/>
    <x v="10"/>
    <n v="-2"/>
    <n v="-2"/>
    <n v="0"/>
    <n v="0"/>
    <n v="0"/>
    <n v="0"/>
    <n v="0"/>
    <x v="1"/>
    <n v="0"/>
    <n v="28"/>
    <n v="0"/>
    <n v="0"/>
    <n v="52.99"/>
    <n v="0"/>
    <n v="0"/>
    <n v="59.276351675174958"/>
    <n v="54.203801879475932"/>
    <n v="454.3285679284046"/>
    <n v="-105.98"/>
    <n v="0"/>
    <n v="0"/>
    <n v="-118.55270335034992"/>
    <n v="0"/>
    <n v="0"/>
  </r>
  <r>
    <s v="Sistema Isolado - Regular"/>
    <x v="1"/>
    <x v="0"/>
    <x v="0"/>
    <x v="0"/>
    <x v="0"/>
    <x v="0"/>
    <x v="2"/>
    <x v="10"/>
    <n v="482"/>
    <n v="482"/>
    <n v="1.752"/>
    <n v="1.752"/>
    <n v="1.752"/>
    <n v="1.752"/>
    <n v="0"/>
    <x v="1"/>
    <n v="0"/>
    <n v="28"/>
    <n v="30"/>
    <n v="66"/>
    <n v="52.99"/>
    <n v="149.63"/>
    <n v="389.28"/>
    <n v="59.276351675174958"/>
    <n v="54.203801879475932"/>
    <n v="454.3285679284046"/>
    <n v="25541.18"/>
    <n v="262.15175999999997"/>
    <n v="682.01855999999998"/>
    <n v="28571.201507434329"/>
    <n v="94.965060892841834"/>
    <n v="795.98365101056481"/>
  </r>
  <r>
    <s v="Sistema de Compensação"/>
    <x v="1"/>
    <x v="0"/>
    <x v="0"/>
    <x v="0"/>
    <x v="0"/>
    <x v="0"/>
    <x v="2"/>
    <x v="10"/>
    <n v="249"/>
    <n v="249"/>
    <n v="8.4580000000000002"/>
    <n v="8.4580000000000002"/>
    <n v="8.4580000000000002"/>
    <n v="8.4580000000000002"/>
    <n v="0"/>
    <x v="1"/>
    <n v="0"/>
    <n v="28"/>
    <n v="30"/>
    <n v="66"/>
    <n v="52.99"/>
    <n v="149.63"/>
    <n v="389.28"/>
    <n v="59.276351675174958"/>
    <n v="54.203801879475932"/>
    <n v="454.3285679284046"/>
    <n v="13194.51"/>
    <n v="1265.5705399999999"/>
    <n v="3292.53024"/>
    <n v="14759.811567118564"/>
    <n v="458.45575629660743"/>
    <n v="3842.7110275384462"/>
  </r>
  <r>
    <s v="Sistema de Compensação"/>
    <x v="1"/>
    <x v="0"/>
    <x v="0"/>
    <x v="0"/>
    <x v="0"/>
    <x v="0"/>
    <x v="2"/>
    <x v="10"/>
    <n v="-71"/>
    <n v="-71"/>
    <n v="-3.5419999999999998"/>
    <n v="-3.5419999999999998"/>
    <n v="-3.5419999999999998"/>
    <n v="-3.5419999999999998"/>
    <n v="0"/>
    <x v="1"/>
    <n v="0"/>
    <n v="28"/>
    <n v="30"/>
    <n v="66"/>
    <n v="52.99"/>
    <n v="149.63"/>
    <n v="389.28"/>
    <n v="59.276351675174958"/>
    <n v="54.203801879475932"/>
    <n v="454.3285679284046"/>
    <n v="-3762.29"/>
    <n v="-529.98946000000001"/>
    <n v="-1378.8297599999999"/>
    <n v="-4208.6209689374218"/>
    <n v="-191.98986625710376"/>
    <n v="-1609.231787602409"/>
  </r>
  <r>
    <s v="Regular"/>
    <x v="1"/>
    <x v="0"/>
    <x v="0"/>
    <x v="0"/>
    <x v="0"/>
    <x v="0"/>
    <x v="2"/>
    <x v="10"/>
    <n v="1400"/>
    <n v="1400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74186"/>
    <n v="0"/>
    <n v="0"/>
    <n v="82986.892345244938"/>
    <n v="0"/>
    <n v="0"/>
  </r>
  <r>
    <s v="PROJETADO"/>
    <x v="1"/>
    <x v="0"/>
    <x v="0"/>
    <x v="0"/>
    <x v="0"/>
    <x v="0"/>
    <x v="2"/>
    <x v="11"/>
    <n v="15560"/>
    <n v="15560"/>
    <n v="453.15899999999999"/>
    <n v="453.15899999999999"/>
    <n v="453.15899999999999"/>
    <n v="453.15899999999999"/>
    <n v="0"/>
    <x v="1"/>
    <n v="0"/>
    <n v="28"/>
    <n v="30"/>
    <n v="66"/>
    <n v="52.99"/>
    <n v="149.63"/>
    <n v="389.28"/>
    <n v="59.276351675174958"/>
    <n v="54.203801879475932"/>
    <n v="454.3285679284046"/>
    <n v="824524.4"/>
    <n v="67806.181169999996"/>
    <n v="176405.73551999999"/>
    <n v="922340.03206572239"/>
    <n v="24562.940655901435"/>
    <n v="205883.07951386788"/>
  </r>
  <r>
    <s v="PROJETADO"/>
    <x v="1"/>
    <x v="0"/>
    <x v="0"/>
    <x v="0"/>
    <x v="0"/>
    <x v="0"/>
    <x v="2"/>
    <x v="11"/>
    <n v="-2"/>
    <n v="-2"/>
    <n v="0"/>
    <n v="0"/>
    <n v="0"/>
    <n v="0"/>
    <n v="0"/>
    <x v="1"/>
    <n v="0"/>
    <n v="28"/>
    <n v="0"/>
    <n v="0"/>
    <n v="52.99"/>
    <n v="0"/>
    <n v="0"/>
    <n v="59.276351675174958"/>
    <n v="54.203801879475932"/>
    <n v="454.3285679284046"/>
    <n v="-105.98"/>
    <n v="0"/>
    <n v="0"/>
    <n v="-118.55270335034992"/>
    <n v="0"/>
    <n v="0"/>
  </r>
  <r>
    <s v="PROJETADO"/>
    <x v="1"/>
    <x v="0"/>
    <x v="0"/>
    <x v="0"/>
    <x v="0"/>
    <x v="0"/>
    <x v="2"/>
    <x v="11"/>
    <n v="482"/>
    <n v="482"/>
    <n v="1.752"/>
    <n v="1.752"/>
    <n v="1.752"/>
    <n v="1.752"/>
    <n v="0"/>
    <x v="1"/>
    <n v="0"/>
    <n v="28"/>
    <n v="30"/>
    <n v="66"/>
    <n v="52.99"/>
    <n v="149.63"/>
    <n v="389.28"/>
    <n v="59.276351675174958"/>
    <n v="54.203801879475932"/>
    <n v="454.3285679284046"/>
    <n v="25541.18"/>
    <n v="262.15175999999997"/>
    <n v="682.01855999999998"/>
    <n v="28571.201507434329"/>
    <n v="94.965060892841834"/>
    <n v="795.98365101056481"/>
  </r>
  <r>
    <s v="PROJETADO"/>
    <x v="1"/>
    <x v="0"/>
    <x v="0"/>
    <x v="0"/>
    <x v="0"/>
    <x v="0"/>
    <x v="2"/>
    <x v="11"/>
    <n v="249"/>
    <n v="249"/>
    <n v="8.4580000000000002"/>
    <n v="8.4580000000000002"/>
    <n v="8.4580000000000002"/>
    <n v="8.4580000000000002"/>
    <n v="0"/>
    <x v="1"/>
    <n v="0"/>
    <n v="28"/>
    <n v="30"/>
    <n v="66"/>
    <n v="52.99"/>
    <n v="149.63"/>
    <n v="389.28"/>
    <n v="59.276351675174958"/>
    <n v="54.203801879475932"/>
    <n v="454.3285679284046"/>
    <n v="13194.51"/>
    <n v="1265.5705399999999"/>
    <n v="3292.53024"/>
    <n v="14759.811567118564"/>
    <n v="458.45575629660743"/>
    <n v="3842.7110275384462"/>
  </r>
  <r>
    <s v="PROJETADO"/>
    <x v="1"/>
    <x v="0"/>
    <x v="0"/>
    <x v="0"/>
    <x v="0"/>
    <x v="0"/>
    <x v="2"/>
    <x v="11"/>
    <n v="-71"/>
    <n v="-71"/>
    <n v="-3.5419999999999998"/>
    <n v="-3.5419999999999998"/>
    <n v="-3.5419999999999998"/>
    <n v="-3.5419999999999998"/>
    <n v="0"/>
    <x v="1"/>
    <n v="0"/>
    <n v="28"/>
    <n v="30"/>
    <n v="66"/>
    <n v="52.99"/>
    <n v="149.63"/>
    <n v="389.28"/>
    <n v="59.276351675174958"/>
    <n v="54.203801879475932"/>
    <n v="454.3285679284046"/>
    <n v="-3762.29"/>
    <n v="-529.98946000000001"/>
    <n v="-1378.8297599999999"/>
    <n v="-4208.6209689374218"/>
    <n v="-191.98986625710376"/>
    <n v="-1609.231787602409"/>
  </r>
  <r>
    <s v="PROJETADO"/>
    <x v="1"/>
    <x v="0"/>
    <x v="0"/>
    <x v="0"/>
    <x v="0"/>
    <x v="0"/>
    <x v="2"/>
    <x v="11"/>
    <n v="1400"/>
    <n v="1400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74186"/>
    <n v="0"/>
    <n v="0"/>
    <n v="82986.892345244938"/>
    <n v="0"/>
    <n v="0"/>
  </r>
  <r>
    <s v="Regular"/>
    <x v="1"/>
    <x v="0"/>
    <x v="1"/>
    <x v="0"/>
    <x v="1"/>
    <x v="0"/>
    <x v="0"/>
    <x v="0"/>
    <n v="49402"/>
    <n v="25446.9702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727019.93861399998"/>
    <n v="0"/>
    <n v="0"/>
    <n v="812538.0921767815"/>
    <n v="0"/>
    <n v="0"/>
  </r>
  <r>
    <s v="Regular"/>
    <x v="1"/>
    <x v="0"/>
    <x v="1"/>
    <x v="0"/>
    <x v="1"/>
    <x v="0"/>
    <x v="0"/>
    <x v="1"/>
    <n v="50390"/>
    <n v="25890.382000000001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739688.21374000004"/>
    <n v="0"/>
    <n v="0"/>
    <n v="826696.51556428056"/>
    <n v="0"/>
    <n v="0"/>
  </r>
  <r>
    <s v="Regular"/>
    <x v="1"/>
    <x v="0"/>
    <x v="1"/>
    <x v="0"/>
    <x v="1"/>
    <x v="0"/>
    <x v="0"/>
    <x v="2"/>
    <n v="45662"/>
    <n v="24378.941800000001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696506.36722600006"/>
    <n v="0"/>
    <n v="0"/>
    <n v="778435.2598275448"/>
    <n v="0"/>
    <n v="0"/>
  </r>
  <r>
    <s v="Regular"/>
    <x v="1"/>
    <x v="0"/>
    <x v="1"/>
    <x v="0"/>
    <x v="1"/>
    <x v="0"/>
    <x v="0"/>
    <x v="3"/>
    <n v="52318"/>
    <n v="26394.431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754088.89367000002"/>
    <n v="0"/>
    <n v="0"/>
    <n v="842791.12366908416"/>
    <n v="0"/>
    <n v="0"/>
  </r>
  <r>
    <s v="Regular"/>
    <x v="1"/>
    <x v="0"/>
    <x v="1"/>
    <x v="0"/>
    <x v="1"/>
    <x v="0"/>
    <x v="0"/>
    <x v="4"/>
    <n v="52801"/>
    <n v="26632.824400000001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760899.79310800007"/>
    <n v="0"/>
    <n v="0"/>
    <n v="850403.17794906814"/>
    <n v="0"/>
    <n v="0"/>
  </r>
  <r>
    <s v="Regular"/>
    <x v="1"/>
    <x v="0"/>
    <x v="1"/>
    <x v="0"/>
    <x v="1"/>
    <x v="0"/>
    <x v="0"/>
    <x v="5"/>
    <n v="53590"/>
    <n v="26987.923999999999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771044.98867999995"/>
    <n v="0"/>
    <n v="0"/>
    <n v="861741.73610546265"/>
    <n v="0"/>
    <n v="0"/>
  </r>
  <r>
    <s v="Regular"/>
    <x v="1"/>
    <x v="0"/>
    <x v="1"/>
    <x v="0"/>
    <x v="1"/>
    <x v="0"/>
    <x v="0"/>
    <x v="6"/>
    <n v="54209"/>
    <n v="27332.177800000001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780880.31974599999"/>
    <n v="0"/>
    <n v="0"/>
    <n v="872733.98090624483"/>
    <n v="0"/>
    <n v="0"/>
  </r>
  <r>
    <s v="Regular"/>
    <x v="1"/>
    <x v="0"/>
    <x v="1"/>
    <x v="0"/>
    <x v="1"/>
    <x v="0"/>
    <x v="0"/>
    <x v="7"/>
    <n v="45662"/>
    <n v="24378.941800000001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696506.36722600006"/>
    <n v="0"/>
    <n v="0"/>
    <n v="778435.2598275448"/>
    <n v="0"/>
    <n v="0"/>
  </r>
  <r>
    <s v="Regular"/>
    <x v="1"/>
    <x v="0"/>
    <x v="1"/>
    <x v="0"/>
    <x v="1"/>
    <x v="0"/>
    <x v="0"/>
    <x v="8"/>
    <n v="55486"/>
    <n v="27476.6672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785008.38190399995"/>
    <n v="0"/>
    <n v="0"/>
    <n v="877347.62019190588"/>
    <n v="0"/>
    <n v="0"/>
  </r>
  <r>
    <s v="Regular"/>
    <x v="1"/>
    <x v="0"/>
    <x v="1"/>
    <x v="0"/>
    <x v="1"/>
    <x v="0"/>
    <x v="0"/>
    <x v="9"/>
    <n v="53748"/>
    <n v="27889.837200000002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796812.64880400011"/>
    <n v="0"/>
    <n v="0"/>
    <n v="890540.40349404863"/>
    <n v="0"/>
    <n v="0"/>
  </r>
  <r>
    <s v="Regular"/>
    <x v="1"/>
    <x v="0"/>
    <x v="1"/>
    <x v="0"/>
    <x v="1"/>
    <x v="0"/>
    <x v="0"/>
    <x v="10"/>
    <n v="56211"/>
    <n v="25300.571100000001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722837.31632700004"/>
    <n v="0"/>
    <n v="0"/>
    <n v="807863.47494433797"/>
    <n v="0"/>
    <n v="0"/>
  </r>
  <r>
    <s v="PROJETADO"/>
    <x v="1"/>
    <x v="0"/>
    <x v="1"/>
    <x v="0"/>
    <x v="1"/>
    <x v="0"/>
    <x v="0"/>
    <x v="11"/>
    <n v="56211"/>
    <n v="25300.571100000001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722837.31632700004"/>
    <n v="0"/>
    <n v="0"/>
    <n v="807863.47494433797"/>
    <n v="0"/>
    <n v="0"/>
  </r>
  <r>
    <s v="Regular"/>
    <x v="1"/>
    <x v="0"/>
    <x v="1"/>
    <x v="0"/>
    <x v="1"/>
    <x v="0"/>
    <x v="1"/>
    <x v="0"/>
    <n v="0"/>
    <n v="0"/>
    <n v="22084.305"/>
    <n v="22084.305"/>
    <n v="0"/>
    <n v="0"/>
    <n v="51"/>
    <x v="0"/>
    <n v="0"/>
    <n v="0"/>
    <n v="30"/>
    <n v="0"/>
    <n v="0"/>
    <n v="149.63"/>
    <n v="0"/>
    <m/>
    <n v="54.203801879475932"/>
    <m/>
    <n v="0"/>
    <n v="3304474.5571499998"/>
    <n v="0"/>
    <n v="0"/>
    <n v="1197053.2928659196"/>
    <n v="0"/>
  </r>
  <r>
    <s v="Regular"/>
    <x v="1"/>
    <x v="0"/>
    <x v="1"/>
    <x v="0"/>
    <x v="1"/>
    <x v="0"/>
    <x v="1"/>
    <x v="1"/>
    <n v="0"/>
    <n v="0"/>
    <n v="22080.807000000001"/>
    <n v="22080.807000000001"/>
    <n v="0"/>
    <n v="0"/>
    <n v="52"/>
    <x v="0"/>
    <n v="0"/>
    <n v="0"/>
    <n v="30"/>
    <n v="0"/>
    <n v="0"/>
    <n v="149.63"/>
    <n v="0"/>
    <m/>
    <n v="54.203801879475932"/>
    <m/>
    <n v="0"/>
    <n v="3303951.1514099999"/>
    <n v="0"/>
    <n v="0"/>
    <n v="1196863.6879669453"/>
    <n v="0"/>
  </r>
  <r>
    <s v="Regular"/>
    <x v="1"/>
    <x v="0"/>
    <x v="1"/>
    <x v="0"/>
    <x v="1"/>
    <x v="0"/>
    <x v="1"/>
    <x v="2"/>
    <n v="0"/>
    <n v="0"/>
    <n v="19711.32"/>
    <n v="19711.32"/>
    <n v="0"/>
    <n v="0"/>
    <n v="52"/>
    <x v="0"/>
    <n v="0"/>
    <n v="0"/>
    <n v="30"/>
    <n v="0"/>
    <n v="0"/>
    <n v="149.63"/>
    <n v="0"/>
    <m/>
    <n v="54.203801879475932"/>
    <m/>
    <n v="0"/>
    <n v="2949404.8115999997"/>
    <n v="0"/>
    <n v="0"/>
    <n v="1068428.4840629515"/>
    <n v="0"/>
  </r>
  <r>
    <s v="Regular"/>
    <x v="1"/>
    <x v="0"/>
    <x v="1"/>
    <x v="0"/>
    <x v="1"/>
    <x v="0"/>
    <x v="1"/>
    <x v="3"/>
    <n v="0"/>
    <n v="0"/>
    <n v="19764.91"/>
    <n v="19764.91"/>
    <n v="0"/>
    <n v="0"/>
    <n v="54"/>
    <x v="0"/>
    <n v="0"/>
    <n v="0"/>
    <n v="30"/>
    <n v="0"/>
    <n v="0"/>
    <n v="149.63"/>
    <n v="0"/>
    <m/>
    <n v="54.203801879475932"/>
    <m/>
    <n v="0"/>
    <n v="2957423.4833"/>
    <n v="0"/>
    <n v="0"/>
    <n v="1071333.2658056726"/>
    <n v="0"/>
  </r>
  <r>
    <s v="Regular"/>
    <x v="1"/>
    <x v="0"/>
    <x v="1"/>
    <x v="0"/>
    <x v="1"/>
    <x v="0"/>
    <x v="1"/>
    <x v="4"/>
    <n v="0"/>
    <n v="0"/>
    <n v="23506.096000000001"/>
    <n v="23506.096000000001"/>
    <n v="0"/>
    <n v="0"/>
    <n v="55"/>
    <x v="0"/>
    <n v="0"/>
    <n v="0"/>
    <n v="30"/>
    <n v="0"/>
    <n v="0"/>
    <n v="149.63"/>
    <n v="0"/>
    <m/>
    <n v="54.203801879475932"/>
    <m/>
    <n v="0"/>
    <n v="3517217.1444800003"/>
    <n v="0"/>
    <n v="0"/>
    <n v="1274119.7705439418"/>
    <n v="0"/>
  </r>
  <r>
    <s v="Regular"/>
    <x v="1"/>
    <x v="0"/>
    <x v="1"/>
    <x v="0"/>
    <x v="1"/>
    <x v="0"/>
    <x v="1"/>
    <x v="5"/>
    <n v="0"/>
    <n v="0"/>
    <n v="22172.080000000002"/>
    <n v="22172.080000000002"/>
    <n v="0"/>
    <n v="0"/>
    <n v="58"/>
    <x v="0"/>
    <n v="0"/>
    <n v="0"/>
    <n v="30"/>
    <n v="0"/>
    <n v="0"/>
    <n v="149.63"/>
    <n v="0"/>
    <m/>
    <n v="54.203801879475932"/>
    <m/>
    <n v="0"/>
    <n v="3317608.3304000003"/>
    <n v="0"/>
    <n v="0"/>
    <n v="1201811.0315758907"/>
    <n v="0"/>
  </r>
  <r>
    <s v="Regular"/>
    <x v="1"/>
    <x v="0"/>
    <x v="1"/>
    <x v="0"/>
    <x v="1"/>
    <x v="0"/>
    <x v="1"/>
    <x v="6"/>
    <n v="0"/>
    <n v="0"/>
    <n v="23639.417000000001"/>
    <n v="23639.417000000001"/>
    <n v="0"/>
    <n v="0"/>
    <n v="58"/>
    <x v="0"/>
    <n v="0"/>
    <n v="0"/>
    <n v="30"/>
    <n v="0"/>
    <n v="0"/>
    <n v="149.63"/>
    <n v="0"/>
    <m/>
    <n v="54.203801879475932"/>
    <m/>
    <n v="0"/>
    <n v="3537165.9657100001"/>
    <n v="0"/>
    <n v="0"/>
    <n v="1281346.2756143154"/>
    <n v="0"/>
  </r>
  <r>
    <s v="Regular"/>
    <x v="1"/>
    <x v="0"/>
    <x v="1"/>
    <x v="0"/>
    <x v="1"/>
    <x v="0"/>
    <x v="1"/>
    <x v="7"/>
    <n v="0"/>
    <n v="0"/>
    <n v="19711.32"/>
    <n v="19711.32"/>
    <n v="0"/>
    <n v="0"/>
    <n v="52"/>
    <x v="0"/>
    <n v="0"/>
    <n v="0"/>
    <n v="30"/>
    <n v="0"/>
    <n v="0"/>
    <n v="149.63"/>
    <n v="0"/>
    <m/>
    <n v="54.203801879475932"/>
    <m/>
    <n v="0"/>
    <n v="2949404.8115999997"/>
    <n v="0"/>
    <n v="0"/>
    <n v="1068428.4840629515"/>
    <n v="0"/>
  </r>
  <r>
    <s v="Regular"/>
    <x v="1"/>
    <x v="0"/>
    <x v="1"/>
    <x v="0"/>
    <x v="1"/>
    <x v="0"/>
    <x v="1"/>
    <x v="8"/>
    <n v="0"/>
    <n v="0"/>
    <n v="23526.059000000001"/>
    <n v="23526.059000000001"/>
    <n v="0"/>
    <n v="0"/>
    <n v="60"/>
    <x v="0"/>
    <n v="0"/>
    <n v="0"/>
    <n v="30"/>
    <n v="0"/>
    <n v="0"/>
    <n v="149.63"/>
    <n v="0"/>
    <m/>
    <n v="54.203801879475932"/>
    <m/>
    <n v="0"/>
    <n v="3520204.20817"/>
    <n v="0"/>
    <n v="0"/>
    <n v="1275201.8410408618"/>
    <n v="0"/>
  </r>
  <r>
    <s v="Regular"/>
    <x v="1"/>
    <x v="0"/>
    <x v="1"/>
    <x v="0"/>
    <x v="1"/>
    <x v="0"/>
    <x v="1"/>
    <x v="9"/>
    <n v="0"/>
    <n v="0"/>
    <n v="23038.815999999999"/>
    <n v="23038.815999999999"/>
    <n v="0"/>
    <n v="0"/>
    <n v="59"/>
    <x v="0"/>
    <n v="0"/>
    <n v="0"/>
    <n v="30"/>
    <n v="0"/>
    <n v="0"/>
    <n v="149.63"/>
    <n v="0"/>
    <m/>
    <n v="54.203801879475932"/>
    <m/>
    <n v="0"/>
    <n v="3447298.0380799999"/>
    <n v="0"/>
    <n v="0"/>
    <n v="1248791.4180017002"/>
    <n v="0"/>
  </r>
  <r>
    <s v="Regular"/>
    <x v="1"/>
    <x v="0"/>
    <x v="1"/>
    <x v="0"/>
    <x v="1"/>
    <x v="0"/>
    <x v="1"/>
    <x v="10"/>
    <n v="0"/>
    <n v="0"/>
    <n v="23946.001"/>
    <n v="23946.001"/>
    <n v="0"/>
    <n v="0"/>
    <n v="62"/>
    <x v="0"/>
    <n v="0"/>
    <n v="0"/>
    <n v="30"/>
    <n v="0"/>
    <n v="0"/>
    <n v="149.63"/>
    <n v="0"/>
    <m/>
    <n v="54.203801879475932"/>
    <m/>
    <n v="0"/>
    <n v="3583040.1296299999"/>
    <n v="0"/>
    <n v="0"/>
    <n v="1297964.2940097325"/>
    <n v="0"/>
  </r>
  <r>
    <s v="PROJETADO"/>
    <x v="1"/>
    <x v="0"/>
    <x v="1"/>
    <x v="0"/>
    <x v="1"/>
    <x v="0"/>
    <x v="1"/>
    <x v="11"/>
    <n v="0"/>
    <n v="0"/>
    <n v="23946.001"/>
    <n v="23946.001"/>
    <n v="0"/>
    <n v="0"/>
    <n v="62"/>
    <x v="0"/>
    <n v="0"/>
    <n v="0"/>
    <n v="30"/>
    <n v="0"/>
    <n v="0"/>
    <n v="149.63"/>
    <n v="0"/>
    <m/>
    <n v="54.203801879475932"/>
    <m/>
    <n v="0"/>
    <n v="3583040.1296299999"/>
    <n v="0"/>
    <n v="0"/>
    <n v="1297964.2940097325"/>
    <n v="0"/>
  </r>
  <r>
    <s v="Regular"/>
    <x v="1"/>
    <x v="0"/>
    <x v="1"/>
    <x v="0"/>
    <x v="1"/>
    <x v="0"/>
    <x v="2"/>
    <x v="0"/>
    <n v="45185"/>
    <n v="23274.7935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1233331.3075650001"/>
    <n v="0"/>
    <n v="0"/>
    <n v="1379644.8446730762"/>
    <n v="0"/>
    <n v="0"/>
  </r>
  <r>
    <s v="Regular"/>
    <x v="1"/>
    <x v="0"/>
    <x v="1"/>
    <x v="0"/>
    <x v="1"/>
    <x v="0"/>
    <x v="2"/>
    <x v="1"/>
    <n v="45430"/>
    <n v="23341.934000000001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1236889.0826600001"/>
    <n v="0"/>
    <n v="0"/>
    <n v="1383624.6885627233"/>
    <n v="0"/>
    <n v="0"/>
  </r>
  <r>
    <s v="Regular"/>
    <x v="1"/>
    <x v="0"/>
    <x v="1"/>
    <x v="0"/>
    <x v="1"/>
    <x v="0"/>
    <x v="2"/>
    <x v="2"/>
    <n v="39704"/>
    <n v="21197.9656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1123280.1971440001"/>
    <n v="0"/>
    <n v="0"/>
    <n v="1256538.0637038611"/>
    <n v="0"/>
    <n v="0"/>
  </r>
  <r>
    <s v="Regular"/>
    <x v="1"/>
    <x v="0"/>
    <x v="1"/>
    <x v="0"/>
    <x v="1"/>
    <x v="0"/>
    <x v="2"/>
    <x v="3"/>
    <n v="47096"/>
    <n v="23759.932000000001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1259038.7966800001"/>
    <n v="0"/>
    <n v="0"/>
    <n v="1408402.0850102431"/>
    <n v="0"/>
    <n v="0"/>
  </r>
  <r>
    <s v="Regular"/>
    <x v="1"/>
    <x v="0"/>
    <x v="1"/>
    <x v="0"/>
    <x v="1"/>
    <x v="0"/>
    <x v="2"/>
    <x v="4"/>
    <n v="47824"/>
    <n v="24122.425599999999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1278247.3325439999"/>
    <n v="0"/>
    <n v="0"/>
    <n v="1429889.3831238432"/>
    <n v="0"/>
    <n v="0"/>
  </r>
  <r>
    <s v="Regular"/>
    <x v="1"/>
    <x v="0"/>
    <x v="1"/>
    <x v="0"/>
    <x v="1"/>
    <x v="0"/>
    <x v="2"/>
    <x v="5"/>
    <n v="48502"/>
    <n v="24425.607199999999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1294312.9255279999"/>
    <n v="0"/>
    <n v="0"/>
    <n v="1447860.8822668854"/>
    <n v="0"/>
    <n v="0"/>
  </r>
  <r>
    <s v="Regular"/>
    <x v="1"/>
    <x v="0"/>
    <x v="1"/>
    <x v="0"/>
    <x v="1"/>
    <x v="0"/>
    <x v="2"/>
    <x v="6"/>
    <n v="49206"/>
    <n v="24809.665199999999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1314664.1589480001"/>
    <n v="0"/>
    <n v="0"/>
    <n v="1470626.4393385497"/>
    <n v="0"/>
    <n v="0"/>
  </r>
  <r>
    <s v="Regular"/>
    <x v="1"/>
    <x v="0"/>
    <x v="1"/>
    <x v="0"/>
    <x v="1"/>
    <x v="0"/>
    <x v="2"/>
    <x v="7"/>
    <n v="39704"/>
    <n v="21197.9656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1123280.1971440001"/>
    <n v="0"/>
    <n v="0"/>
    <n v="1256538.0637038611"/>
    <n v="0"/>
    <n v="0"/>
  </r>
  <r>
    <s v="Regular"/>
    <x v="1"/>
    <x v="0"/>
    <x v="1"/>
    <x v="0"/>
    <x v="1"/>
    <x v="0"/>
    <x v="2"/>
    <x v="8"/>
    <n v="50383"/>
    <n v="24949.661599999999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1322082.568184"/>
    <n v="0"/>
    <n v="0"/>
    <n v="1478924.9151782084"/>
    <n v="0"/>
    <n v="0"/>
  </r>
  <r>
    <s v="Regular"/>
    <x v="1"/>
    <x v="0"/>
    <x v="1"/>
    <x v="0"/>
    <x v="1"/>
    <x v="0"/>
    <x v="2"/>
    <x v="9"/>
    <n v="48876"/>
    <n v="25361.756399999998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1343919.4716359999"/>
    <n v="0"/>
    <n v="0"/>
    <n v="1503352.3914665191"/>
    <n v="0"/>
    <n v="0"/>
  </r>
  <r>
    <s v="Regular"/>
    <x v="1"/>
    <x v="0"/>
    <x v="1"/>
    <x v="0"/>
    <x v="1"/>
    <x v="0"/>
    <x v="2"/>
    <x v="10"/>
    <n v="50775"/>
    <n v="22853.827499999999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1211024.319225"/>
    <n v="0"/>
    <n v="0"/>
    <n v="1354691.5160137846"/>
    <n v="0"/>
    <n v="0"/>
  </r>
  <r>
    <s v="PROJETADO"/>
    <x v="1"/>
    <x v="0"/>
    <x v="1"/>
    <x v="0"/>
    <x v="1"/>
    <x v="0"/>
    <x v="2"/>
    <x v="11"/>
    <n v="50775"/>
    <n v="22853.827499999999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1211024.319225"/>
    <n v="0"/>
    <n v="0"/>
    <n v="1354691.5160137846"/>
    <n v="0"/>
    <n v="0"/>
  </r>
  <r>
    <s v="Regular"/>
    <x v="1"/>
    <x v="0"/>
    <x v="1"/>
    <x v="0"/>
    <x v="0"/>
    <x v="0"/>
    <x v="0"/>
    <x v="0"/>
    <n v="26105"/>
    <n v="26105"/>
    <n v="6974.1930000000002"/>
    <n v="6974.1930000000002"/>
    <n v="6974.1930000000002"/>
    <n v="6974.1930000000002"/>
    <n v="0"/>
    <x v="1"/>
    <n v="0"/>
    <n v="29"/>
    <n v="30"/>
    <n v="67"/>
    <n v="28.57"/>
    <n v="149.63"/>
    <n v="230.03"/>
    <n v="31.93064187172984"/>
    <n v="54.203801879475932"/>
    <n v="282.91739971702214"/>
    <n v="745819.85"/>
    <n v="1043548.49859"/>
    <n v="1604273.61579"/>
    <n v="833549.40606150753"/>
    <n v="378027.7756412279"/>
    <n v="1973120.5486846578"/>
  </r>
  <r>
    <s v="Sistema Isolado - Regular"/>
    <x v="1"/>
    <x v="0"/>
    <x v="1"/>
    <x v="0"/>
    <x v="0"/>
    <x v="0"/>
    <x v="0"/>
    <x v="0"/>
    <n v="2513"/>
    <n v="2513"/>
    <n v="500.30900000000003"/>
    <n v="500.30900000000003"/>
    <n v="500.30900000000003"/>
    <n v="500.30900000000003"/>
    <n v="0"/>
    <x v="1"/>
    <n v="0"/>
    <n v="29"/>
    <n v="30"/>
    <n v="67"/>
    <n v="28.57"/>
    <n v="149.63"/>
    <n v="230.03"/>
    <n v="31.93064187172984"/>
    <n v="54.203801879475932"/>
    <n v="282.91739971702214"/>
    <n v="71796.41"/>
    <n v="74861.235669999995"/>
    <n v="115086.07927"/>
    <n v="80241.703023657086"/>
    <n v="27118.649914518726"/>
    <n v="141546.12133502364"/>
  </r>
  <r>
    <s v="Sistema Isolado - Refaturamento"/>
    <x v="1"/>
    <x v="0"/>
    <x v="1"/>
    <x v="0"/>
    <x v="0"/>
    <x v="0"/>
    <x v="0"/>
    <x v="0"/>
    <n v="-10097"/>
    <n v="-10097"/>
    <n v="-13.53"/>
    <n v="-13.53"/>
    <n v="-13.53"/>
    <n v="-13.53"/>
    <n v="0"/>
    <x v="1"/>
    <n v="0"/>
    <n v="29"/>
    <n v="30"/>
    <n v="67"/>
    <n v="28.57"/>
    <n v="149.63"/>
    <n v="230.03"/>
    <n v="31.93064187172984"/>
    <n v="54.203801879475932"/>
    <n v="282.91739971702214"/>
    <n v="-288471.28999999998"/>
    <n v="-2024.4938999999999"/>
    <n v="-3112.3058999999998"/>
    <n v="-322403.69097885618"/>
    <n v="-733.37743942930933"/>
    <n v="-3827.8724181713092"/>
  </r>
  <r>
    <s v="Sistema de Compensação"/>
    <x v="1"/>
    <x v="0"/>
    <x v="1"/>
    <x v="0"/>
    <x v="0"/>
    <x v="0"/>
    <x v="0"/>
    <x v="0"/>
    <n v="1575"/>
    <n v="1575"/>
    <n v="720.55200000000002"/>
    <n v="720.55200000000002"/>
    <n v="720.55200000000002"/>
    <n v="720.55200000000002"/>
    <n v="0"/>
    <x v="1"/>
    <n v="0"/>
    <n v="29"/>
    <n v="30"/>
    <n v="67"/>
    <n v="28.57"/>
    <n v="149.63"/>
    <n v="230.03"/>
    <n v="31.93064187172984"/>
    <n v="54.203801879475932"/>
    <n v="282.91739971702214"/>
    <n v="44997.75"/>
    <n v="107816.19576"/>
    <n v="165748.57656000002"/>
    <n v="50290.760947974501"/>
    <n v="39056.657851860145"/>
    <n v="203856.69820089973"/>
  </r>
  <r>
    <s v="Regular"/>
    <x v="1"/>
    <x v="0"/>
    <x v="1"/>
    <x v="0"/>
    <x v="0"/>
    <x v="0"/>
    <x v="0"/>
    <x v="0"/>
    <n v="6113"/>
    <n v="6113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174648.41"/>
    <n v="0"/>
    <n v="0"/>
    <n v="195192.0137618845"/>
    <n v="0"/>
    <n v="0"/>
  </r>
  <r>
    <s v="Regular"/>
    <x v="1"/>
    <x v="0"/>
    <x v="1"/>
    <x v="0"/>
    <x v="0"/>
    <x v="0"/>
    <x v="0"/>
    <x v="1"/>
    <n v="25399"/>
    <n v="25399"/>
    <n v="6301.9669999999996"/>
    <n v="6301.9669999999996"/>
    <n v="6301.9669999999996"/>
    <n v="6301.9669999999996"/>
    <n v="0"/>
    <x v="1"/>
    <n v="0"/>
    <n v="29"/>
    <n v="30"/>
    <n v="67"/>
    <n v="28.57"/>
    <n v="149.63"/>
    <n v="230.03"/>
    <n v="31.93064187172984"/>
    <n v="54.203801879475932"/>
    <n v="282.91739971702214"/>
    <n v="725649.43"/>
    <n v="942963.3222099999"/>
    <n v="1449641.4690099999"/>
    <n v="811006.3729000662"/>
    <n v="341590.5707189953"/>
    <n v="1782936.1167424826"/>
  </r>
  <r>
    <s v="Refaturamento - Regular"/>
    <x v="1"/>
    <x v="0"/>
    <x v="1"/>
    <x v="0"/>
    <x v="0"/>
    <x v="0"/>
    <x v="0"/>
    <x v="1"/>
    <n v="-500"/>
    <n v="-500"/>
    <n v="0"/>
    <n v="0"/>
    <n v="0"/>
    <n v="0"/>
    <n v="0"/>
    <x v="1"/>
    <n v="0"/>
    <n v="29"/>
    <n v="0"/>
    <n v="0"/>
    <n v="28.57"/>
    <n v="0"/>
    <n v="0"/>
    <n v="31.93064187172984"/>
    <n v="54.203801879475932"/>
    <n v="282.91739971702214"/>
    <n v="-14285"/>
    <n v="0"/>
    <n v="0"/>
    <n v="-15965.32093586492"/>
    <n v="0"/>
    <n v="0"/>
  </r>
  <r>
    <s v="Sistema Isolado - Regular"/>
    <x v="1"/>
    <x v="0"/>
    <x v="1"/>
    <x v="0"/>
    <x v="0"/>
    <x v="0"/>
    <x v="0"/>
    <x v="1"/>
    <n v="2437"/>
    <n v="2437"/>
    <n v="536.48800000000006"/>
    <n v="536.48800000000006"/>
    <n v="536.48800000000006"/>
    <n v="536.48800000000006"/>
    <n v="0"/>
    <x v="1"/>
    <n v="0"/>
    <n v="29"/>
    <n v="30"/>
    <n v="67"/>
    <n v="28.57"/>
    <n v="149.63"/>
    <n v="230.03"/>
    <n v="31.93064187172984"/>
    <n v="54.203801879475932"/>
    <n v="282.91739971702214"/>
    <n v="69625.09"/>
    <n v="80274.699440000011"/>
    <n v="123408.33464000002"/>
    <n v="77814.974241405624"/>
    <n v="29079.689262716289"/>
    <n v="151781.78993938578"/>
  </r>
  <r>
    <s v="Sistema Isolado - Refaturamento"/>
    <x v="1"/>
    <x v="0"/>
    <x v="1"/>
    <x v="0"/>
    <x v="0"/>
    <x v="0"/>
    <x v="0"/>
    <x v="1"/>
    <n v="-2380"/>
    <n v="-2380"/>
    <n v="0"/>
    <n v="0"/>
    <n v="0"/>
    <n v="0"/>
    <n v="0"/>
    <x v="1"/>
    <n v="0"/>
    <n v="29"/>
    <n v="0"/>
    <n v="0"/>
    <n v="28.57"/>
    <n v="0"/>
    <n v="0"/>
    <n v="31.93064187172984"/>
    <n v="54.203801879475932"/>
    <n v="282.91739971702214"/>
    <n v="-67996.600000000006"/>
    <n v="0"/>
    <n v="0"/>
    <n v="-75994.927654717016"/>
    <n v="0"/>
    <n v="0"/>
  </r>
  <r>
    <s v="Sistema de Compensação"/>
    <x v="1"/>
    <x v="0"/>
    <x v="1"/>
    <x v="0"/>
    <x v="0"/>
    <x v="0"/>
    <x v="0"/>
    <x v="1"/>
    <n v="1614"/>
    <n v="1614"/>
    <n v="706.03399999999999"/>
    <n v="706.03399999999999"/>
    <n v="706.03399999999999"/>
    <n v="706.03399999999999"/>
    <n v="0"/>
    <x v="1"/>
    <n v="0"/>
    <n v="29"/>
    <n v="30"/>
    <n v="67"/>
    <n v="28.57"/>
    <n v="149.63"/>
    <n v="230.03"/>
    <n v="31.93064187172984"/>
    <n v="54.203801879475932"/>
    <n v="282.91739971702214"/>
    <n v="46111.98"/>
    <n v="105643.86742"/>
    <n v="162409.00102"/>
    <n v="51536.055980971963"/>
    <n v="38269.727056173913"/>
    <n v="199749.303391808"/>
  </r>
  <r>
    <s v="Regular"/>
    <x v="1"/>
    <x v="0"/>
    <x v="1"/>
    <x v="0"/>
    <x v="0"/>
    <x v="0"/>
    <x v="0"/>
    <x v="1"/>
    <n v="6027"/>
    <n v="6027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172191.39"/>
    <n v="0"/>
    <n v="0"/>
    <n v="192445.97856091574"/>
    <n v="0"/>
    <n v="0"/>
  </r>
  <r>
    <s v="Regular"/>
    <x v="1"/>
    <x v="0"/>
    <x v="1"/>
    <x v="0"/>
    <x v="0"/>
    <x v="0"/>
    <x v="0"/>
    <x v="2"/>
    <n v="28271"/>
    <n v="28271"/>
    <n v="6178.8339999999998"/>
    <n v="6178.8339999999998"/>
    <n v="6178.8339999999998"/>
    <n v="6178.8339999999998"/>
    <n v="0"/>
    <x v="1"/>
    <n v="0"/>
    <n v="29"/>
    <n v="30"/>
    <n v="67"/>
    <n v="28.57"/>
    <n v="149.63"/>
    <n v="230.03"/>
    <n v="31.93064187172984"/>
    <n v="54.203801879475932"/>
    <n v="282.91739971702214"/>
    <n v="807702.47"/>
    <n v="924538.93141999992"/>
    <n v="1421317.18502"/>
    <n v="902711.17635567428"/>
    <n v="334916.29398216977"/>
    <n v="1748099.6485631268"/>
  </r>
  <r>
    <s v="Refaturamento - Regular"/>
    <x v="1"/>
    <x v="0"/>
    <x v="1"/>
    <x v="0"/>
    <x v="0"/>
    <x v="0"/>
    <x v="0"/>
    <x v="2"/>
    <n v="-192"/>
    <n v="-192"/>
    <n v="-374.08199999999999"/>
    <n v="-374.08199999999999"/>
    <n v="-374.08199999999999"/>
    <n v="-374.08199999999999"/>
    <n v="0"/>
    <x v="1"/>
    <n v="0"/>
    <n v="29"/>
    <n v="30"/>
    <n v="67"/>
    <n v="28.57"/>
    <n v="149.63"/>
    <n v="230.03"/>
    <n v="31.93064187172984"/>
    <n v="54.203801879475932"/>
    <n v="282.91739971702214"/>
    <n v="-5485.4400000000005"/>
    <n v="-55973.889660000001"/>
    <n v="-86050.082460000005"/>
    <n v="-6130.6832393721288"/>
    <n v="-20276.666614678117"/>
    <n v="-105834.30672094307"/>
  </r>
  <r>
    <s v="Sistema Isolado - Regular"/>
    <x v="1"/>
    <x v="0"/>
    <x v="1"/>
    <x v="0"/>
    <x v="0"/>
    <x v="0"/>
    <x v="0"/>
    <x v="2"/>
    <n v="2313"/>
    <n v="2313"/>
    <n v="348.08499999999998"/>
    <n v="348.08499999999998"/>
    <n v="348.08499999999998"/>
    <n v="348.08499999999998"/>
    <n v="0"/>
    <x v="1"/>
    <n v="0"/>
    <n v="29"/>
    <n v="30"/>
    <n v="67"/>
    <n v="28.57"/>
    <n v="149.63"/>
    <n v="230.03"/>
    <n v="31.93064187172984"/>
    <n v="54.203801879475932"/>
    <n v="282.91739971702214"/>
    <n v="66082.41"/>
    <n v="52083.958549999996"/>
    <n v="80069.992549999995"/>
    <n v="73855.574649311122"/>
    <n v="18867.530377217379"/>
    <n v="98479.303080499638"/>
  </r>
  <r>
    <s v="Sistema de Compensação"/>
    <x v="1"/>
    <x v="0"/>
    <x v="1"/>
    <x v="0"/>
    <x v="0"/>
    <x v="0"/>
    <x v="0"/>
    <x v="2"/>
    <n v="1485"/>
    <n v="1485"/>
    <n v="704.60599999999999"/>
    <n v="704.60599999999999"/>
    <n v="704.60599999999999"/>
    <n v="704.60599999999999"/>
    <n v="0"/>
    <x v="1"/>
    <n v="0"/>
    <n v="29"/>
    <n v="30"/>
    <n v="67"/>
    <n v="28.57"/>
    <n v="149.63"/>
    <n v="230.03"/>
    <n v="31.93064187172984"/>
    <n v="54.203801879475932"/>
    <n v="282.91739971702214"/>
    <n v="42426.45"/>
    <n v="105430.19577999999"/>
    <n v="162080.51818000001"/>
    <n v="47417.003179518812"/>
    <n v="38192.324027090021"/>
    <n v="199345.29734501211"/>
  </r>
  <r>
    <s v="Regular"/>
    <x v="1"/>
    <x v="0"/>
    <x v="1"/>
    <x v="0"/>
    <x v="0"/>
    <x v="0"/>
    <x v="0"/>
    <x v="2"/>
    <n v="5937"/>
    <n v="5937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169620.09"/>
    <n v="0"/>
    <n v="0"/>
    <n v="189572.22079246005"/>
    <n v="0"/>
    <n v="0"/>
  </r>
  <r>
    <s v="Regular"/>
    <x v="1"/>
    <x v="0"/>
    <x v="1"/>
    <x v="0"/>
    <x v="0"/>
    <x v="0"/>
    <x v="0"/>
    <x v="3"/>
    <n v="26870"/>
    <n v="26870"/>
    <n v="6037.8559999999998"/>
    <n v="6037.8559999999998"/>
    <n v="6037.8559999999998"/>
    <n v="6037.8559999999998"/>
    <n v="0"/>
    <x v="1"/>
    <n v="0"/>
    <n v="29"/>
    <n v="30"/>
    <n v="67"/>
    <n v="28.57"/>
    <n v="149.63"/>
    <n v="230.03"/>
    <n v="31.93064187172984"/>
    <n v="54.203801879475932"/>
    <n v="282.91739971702214"/>
    <n v="767675.9"/>
    <n v="903444.39327999996"/>
    <n v="1388888.01568"/>
    <n v="857976.34709338075"/>
    <n v="327274.75040080503"/>
    <n v="1708214.5193858203"/>
  </r>
  <r>
    <s v="Sistema Isolado - Regular"/>
    <x v="1"/>
    <x v="0"/>
    <x v="1"/>
    <x v="0"/>
    <x v="0"/>
    <x v="0"/>
    <x v="0"/>
    <x v="3"/>
    <n v="1944"/>
    <n v="1944"/>
    <n v="291.90899999999999"/>
    <n v="291.90899999999999"/>
    <n v="291.90899999999999"/>
    <n v="291.90899999999999"/>
    <n v="0"/>
    <x v="1"/>
    <n v="0"/>
    <n v="29"/>
    <n v="30"/>
    <n v="67"/>
    <n v="28.57"/>
    <n v="149.63"/>
    <n v="230.03"/>
    <n v="31.93064187172984"/>
    <n v="54.203801879475932"/>
    <n v="282.91739971702214"/>
    <n v="55540.08"/>
    <n v="43678.343669999995"/>
    <n v="67147.827269999994"/>
    <n v="62073.167798642811"/>
    <n v="15822.57760283594"/>
    <n v="82586.135233996218"/>
  </r>
  <r>
    <s v="Sistema Isolado - Refaturamento"/>
    <x v="1"/>
    <x v="0"/>
    <x v="1"/>
    <x v="0"/>
    <x v="0"/>
    <x v="0"/>
    <x v="0"/>
    <x v="3"/>
    <n v="-1047"/>
    <n v="-1047"/>
    <n v="0"/>
    <n v="0"/>
    <n v="0"/>
    <n v="0"/>
    <n v="0"/>
    <x v="1"/>
    <n v="0"/>
    <n v="29"/>
    <n v="0"/>
    <n v="0"/>
    <n v="28.57"/>
    <n v="0"/>
    <n v="0"/>
    <n v="31.93064187172984"/>
    <n v="54.203801879475932"/>
    <n v="282.91739971702214"/>
    <n v="-29912.79"/>
    <n v="0"/>
    <n v="0"/>
    <n v="-33431.382039701144"/>
    <n v="0"/>
    <n v="0"/>
  </r>
  <r>
    <s v="Sistema de Compensação"/>
    <x v="1"/>
    <x v="0"/>
    <x v="1"/>
    <x v="0"/>
    <x v="0"/>
    <x v="0"/>
    <x v="0"/>
    <x v="3"/>
    <n v="1580"/>
    <n v="1580"/>
    <n v="841.69399999999996"/>
    <n v="841.69399999999996"/>
    <n v="841.69399999999996"/>
    <n v="841.69399999999996"/>
    <n v="0"/>
    <x v="1"/>
    <n v="0"/>
    <n v="29"/>
    <n v="30"/>
    <n v="67"/>
    <n v="28.57"/>
    <n v="149.63"/>
    <n v="230.03"/>
    <n v="31.93064187172984"/>
    <n v="54.203801879475932"/>
    <n v="282.91739971702214"/>
    <n v="45140.6"/>
    <n v="125942.67322"/>
    <n v="193614.87081999998"/>
    <n v="50450.414157333144"/>
    <n v="45623.014819143616"/>
    <n v="238129.87783741922"/>
  </r>
  <r>
    <s v="Regular"/>
    <x v="1"/>
    <x v="0"/>
    <x v="1"/>
    <x v="0"/>
    <x v="0"/>
    <x v="0"/>
    <x v="0"/>
    <x v="3"/>
    <n v="5836"/>
    <n v="5836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166734.51999999999"/>
    <n v="0"/>
    <n v="0"/>
    <n v="186347.22596341535"/>
    <n v="0"/>
    <n v="0"/>
  </r>
  <r>
    <s v="Regular"/>
    <x v="1"/>
    <x v="0"/>
    <x v="1"/>
    <x v="0"/>
    <x v="0"/>
    <x v="0"/>
    <x v="0"/>
    <x v="4"/>
    <n v="27039"/>
    <n v="27039"/>
    <n v="7287.991"/>
    <n v="7287.991"/>
    <n v="7287.991"/>
    <n v="7287.991"/>
    <n v="0"/>
    <x v="1"/>
    <n v="0"/>
    <n v="29"/>
    <n v="30"/>
    <n v="67"/>
    <n v="28.57"/>
    <n v="149.63"/>
    <n v="230.03"/>
    <n v="31.93064187172984"/>
    <n v="54.203801879475932"/>
    <n v="282.91739971702214"/>
    <n v="772504.23"/>
    <n v="1090502.0933300001"/>
    <n v="1676456.5697300001"/>
    <n v="863372.62556970317"/>
    <n v="395036.8202634037"/>
    <n v="2061899.4628810599"/>
  </r>
  <r>
    <s v="Sistema Isolado - Regular"/>
    <x v="1"/>
    <x v="0"/>
    <x v="1"/>
    <x v="0"/>
    <x v="0"/>
    <x v="0"/>
    <x v="0"/>
    <x v="4"/>
    <n v="2184"/>
    <n v="2184"/>
    <n v="520.65800000000002"/>
    <n v="520.65800000000002"/>
    <n v="520.65800000000002"/>
    <n v="520.65800000000002"/>
    <n v="0"/>
    <x v="1"/>
    <n v="0"/>
    <n v="29"/>
    <n v="30"/>
    <n v="67"/>
    <n v="28.57"/>
    <n v="149.63"/>
    <n v="230.03"/>
    <n v="31.93064187172984"/>
    <n v="54.203801879475932"/>
    <n v="282.91739971702214"/>
    <n v="62396.88"/>
    <n v="77906.056540000005"/>
    <n v="119766.95974000001"/>
    <n v="69736.521847857977"/>
    <n v="28221.643078964182"/>
    <n v="147303.20750186531"/>
  </r>
  <r>
    <s v="Sistema de Compensação"/>
    <x v="1"/>
    <x v="0"/>
    <x v="1"/>
    <x v="0"/>
    <x v="0"/>
    <x v="0"/>
    <x v="0"/>
    <x v="4"/>
    <n v="1641"/>
    <n v="1641"/>
    <n v="865.9"/>
    <n v="865.9"/>
    <n v="865.9"/>
    <n v="865.9"/>
    <n v="0"/>
    <x v="1"/>
    <n v="0"/>
    <n v="29"/>
    <n v="30"/>
    <n v="67"/>
    <n v="28.57"/>
    <n v="149.63"/>
    <n v="230.03"/>
    <n v="31.93064187172984"/>
    <n v="54.203801879475932"/>
    <n v="282.91739971702214"/>
    <n v="46883.37"/>
    <n v="129564.617"/>
    <n v="199182.97699999998"/>
    <n v="52398.18331150867"/>
    <n v="46935.072047438211"/>
    <n v="244978.17641496946"/>
  </r>
  <r>
    <s v="Regular"/>
    <x v="1"/>
    <x v="0"/>
    <x v="1"/>
    <x v="0"/>
    <x v="0"/>
    <x v="0"/>
    <x v="0"/>
    <x v="4"/>
    <n v="5851"/>
    <n v="5851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167163.07"/>
    <n v="0"/>
    <n v="0"/>
    <n v="186826.18559149129"/>
    <n v="0"/>
    <n v="0"/>
  </r>
  <r>
    <s v="Regular"/>
    <x v="1"/>
    <x v="0"/>
    <x v="1"/>
    <x v="0"/>
    <x v="0"/>
    <x v="0"/>
    <x v="0"/>
    <x v="5"/>
    <n v="25940"/>
    <n v="25940"/>
    <n v="6144.634"/>
    <n v="6144.634"/>
    <n v="6144.634"/>
    <n v="6144.634"/>
    <n v="0"/>
    <x v="1"/>
    <n v="0"/>
    <n v="29"/>
    <n v="30"/>
    <n v="67"/>
    <n v="28.57"/>
    <n v="149.63"/>
    <n v="230.03"/>
    <n v="31.93064187172984"/>
    <n v="54.203801879475932"/>
    <n v="282.91739971702214"/>
    <n v="741105.8"/>
    <n v="919421.58542000002"/>
    <n v="1413450.1590199999"/>
    <n v="828280.85015267204"/>
    <n v="333062.52395789174"/>
    <n v="1738423.8734928046"/>
  </r>
  <r>
    <s v="Sistema Isolado - Regular"/>
    <x v="1"/>
    <x v="0"/>
    <x v="1"/>
    <x v="0"/>
    <x v="0"/>
    <x v="0"/>
    <x v="0"/>
    <x v="5"/>
    <n v="1340"/>
    <n v="1340"/>
    <n v="384.11099999999999"/>
    <n v="384.11099999999999"/>
    <n v="384.11099999999999"/>
    <n v="384.11099999999999"/>
    <n v="0"/>
    <x v="1"/>
    <n v="0"/>
    <n v="29"/>
    <n v="30"/>
    <n v="67"/>
    <n v="28.57"/>
    <n v="149.63"/>
    <n v="230.03"/>
    <n v="31.93064187172984"/>
    <n v="54.203801879475932"/>
    <n v="282.91739971702214"/>
    <n v="38283.800000000003"/>
    <n v="57474.528929999993"/>
    <n v="88357.053329999995"/>
    <n v="42787.060108117985"/>
    <n v="20820.276543727381"/>
    <n v="108671.68532270509"/>
  </r>
  <r>
    <s v="Sistema Isolado - Refaturamento"/>
    <x v="1"/>
    <x v="0"/>
    <x v="1"/>
    <x v="0"/>
    <x v="0"/>
    <x v="0"/>
    <x v="0"/>
    <x v="5"/>
    <n v="-393"/>
    <n v="-393"/>
    <n v="-82"/>
    <n v="-82"/>
    <n v="-82"/>
    <n v="-82"/>
    <n v="0"/>
    <x v="1"/>
    <n v="0"/>
    <n v="29"/>
    <n v="30"/>
    <n v="67"/>
    <n v="28.57"/>
    <n v="149.63"/>
    <n v="230.03"/>
    <n v="31.93064187172984"/>
    <n v="54.203801879475932"/>
    <n v="282.91739971702214"/>
    <n v="-11228.01"/>
    <n v="-12269.66"/>
    <n v="-18862.46"/>
    <n v="-12548.742255589827"/>
    <n v="-4444.7117541170264"/>
    <n v="-23199.226776795815"/>
  </r>
  <r>
    <s v="Sistema de Compensação"/>
    <x v="1"/>
    <x v="0"/>
    <x v="1"/>
    <x v="0"/>
    <x v="0"/>
    <x v="0"/>
    <x v="0"/>
    <x v="5"/>
    <n v="1644"/>
    <n v="1644"/>
    <n v="801.90599999999995"/>
    <n v="801.90599999999995"/>
    <n v="801.90599999999995"/>
    <n v="801.90599999999995"/>
    <n v="0"/>
    <x v="1"/>
    <n v="0"/>
    <n v="29"/>
    <n v="30"/>
    <n v="67"/>
    <n v="28.57"/>
    <n v="149.63"/>
    <n v="230.03"/>
    <n v="31.93064187172984"/>
    <n v="54.203801879475932"/>
    <n v="282.91739971702214"/>
    <n v="46969.08"/>
    <n v="119989.19477999999"/>
    <n v="184462.43717999998"/>
    <n v="52493.975237123857"/>
    <n v="43466.353949963028"/>
    <n v="226873.16033747833"/>
  </r>
  <r>
    <s v="Regular"/>
    <x v="1"/>
    <x v="0"/>
    <x v="1"/>
    <x v="0"/>
    <x v="0"/>
    <x v="0"/>
    <x v="0"/>
    <x v="5"/>
    <n v="5962"/>
    <n v="5962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170334.34"/>
    <n v="0"/>
    <n v="0"/>
    <n v="190370.48683925331"/>
    <n v="0"/>
    <n v="0"/>
  </r>
  <r>
    <s v="Regular"/>
    <x v="1"/>
    <x v="0"/>
    <x v="1"/>
    <x v="0"/>
    <x v="0"/>
    <x v="0"/>
    <x v="0"/>
    <x v="6"/>
    <n v="23262"/>
    <n v="23262"/>
    <n v="5641.8639999999996"/>
    <n v="5641.8639999999996"/>
    <n v="5641.8639999999996"/>
    <n v="5641.8639999999996"/>
    <n v="0"/>
    <x v="1"/>
    <n v="0"/>
    <n v="29"/>
    <n v="30"/>
    <n v="67"/>
    <n v="28.57"/>
    <n v="149.63"/>
    <n v="230.03"/>
    <n v="31.93064187172984"/>
    <n v="54.203801879475932"/>
    <n v="282.91739971702214"/>
    <n v="664595.34"/>
    <n v="844192.11031999986"/>
    <n v="1297797.9759199999"/>
    <n v="742770.59122017957"/>
    <n v="305810.4784869476"/>
    <n v="1596181.4924370772"/>
  </r>
  <r>
    <s v="Refaturamento - Regular"/>
    <x v="1"/>
    <x v="0"/>
    <x v="1"/>
    <x v="0"/>
    <x v="0"/>
    <x v="0"/>
    <x v="0"/>
    <x v="6"/>
    <n v="1296"/>
    <n v="1296"/>
    <n v="747.39"/>
    <n v="747.39"/>
    <n v="747.39"/>
    <n v="747.39"/>
    <n v="0"/>
    <x v="1"/>
    <n v="0"/>
    <n v="29"/>
    <n v="30"/>
    <n v="67"/>
    <n v="28.57"/>
    <n v="149.63"/>
    <n v="230.03"/>
    <n v="31.93064187172984"/>
    <n v="54.203801879475932"/>
    <n v="282.91739971702214"/>
    <n v="37026.720000000001"/>
    <n v="111831.9657"/>
    <n v="171922.12169999999"/>
    <n v="41382.111865761872"/>
    <n v="40511.379486701517"/>
    <n v="211449.63537450516"/>
  </r>
  <r>
    <s v="Sistema Isolado - Regular"/>
    <x v="1"/>
    <x v="0"/>
    <x v="1"/>
    <x v="0"/>
    <x v="0"/>
    <x v="0"/>
    <x v="0"/>
    <x v="6"/>
    <n v="1375"/>
    <n v="1375"/>
    <n v="417.71600000000001"/>
    <n v="417.71600000000001"/>
    <n v="417.71600000000001"/>
    <n v="417.71600000000001"/>
    <n v="0"/>
    <x v="1"/>
    <n v="0"/>
    <n v="29"/>
    <n v="30"/>
    <n v="67"/>
    <n v="28.57"/>
    <n v="149.63"/>
    <n v="230.03"/>
    <n v="31.93064187172984"/>
    <n v="54.203801879475932"/>
    <n v="282.91739971702214"/>
    <n v="39283.75"/>
    <n v="62502.845079999999"/>
    <n v="96087.211479999998"/>
    <n v="43904.632573628529"/>
    <n v="22641.795305887168"/>
    <n v="118179.12454019563"/>
  </r>
  <r>
    <s v="Sistema de Compensação"/>
    <x v="1"/>
    <x v="0"/>
    <x v="1"/>
    <x v="0"/>
    <x v="0"/>
    <x v="0"/>
    <x v="0"/>
    <x v="6"/>
    <n v="1661"/>
    <n v="1661"/>
    <n v="758.19799999999998"/>
    <n v="758.19799999999998"/>
    <n v="758.19799999999998"/>
    <n v="758.19799999999998"/>
    <n v="0"/>
    <x v="1"/>
    <n v="0"/>
    <n v="29"/>
    <n v="30"/>
    <n v="67"/>
    <n v="28.57"/>
    <n v="149.63"/>
    <n v="230.03"/>
    <n v="31.93064187172984"/>
    <n v="54.203801879475932"/>
    <n v="282.91739971702214"/>
    <n v="47454.770000000004"/>
    <n v="113449.16674"/>
    <n v="174408.28594"/>
    <n v="53036.796148943264"/>
    <n v="41097.214177414891"/>
    <n v="214507.40663064676"/>
  </r>
  <r>
    <s v="Regular"/>
    <x v="1"/>
    <x v="0"/>
    <x v="1"/>
    <x v="0"/>
    <x v="0"/>
    <x v="0"/>
    <x v="0"/>
    <x v="6"/>
    <n v="5695"/>
    <n v="5695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162706.15"/>
    <n v="0"/>
    <n v="0"/>
    <n v="181845.00545950144"/>
    <n v="0"/>
    <n v="0"/>
  </r>
  <r>
    <s v="Regular"/>
    <x v="1"/>
    <x v="0"/>
    <x v="1"/>
    <x v="0"/>
    <x v="0"/>
    <x v="0"/>
    <x v="0"/>
    <x v="7"/>
    <n v="20035"/>
    <n v="20035"/>
    <n v="4770.3649999999998"/>
    <n v="4770.3649999999998"/>
    <n v="4770.3649999999998"/>
    <n v="4770.3649999999998"/>
    <n v="0"/>
    <x v="1"/>
    <n v="0"/>
    <n v="29"/>
    <n v="30"/>
    <n v="67"/>
    <n v="28.57"/>
    <n v="149.63"/>
    <n v="230.03"/>
    <n v="31.93064187172984"/>
    <n v="54.203801879475932"/>
    <n v="282.91739971702214"/>
    <n v="572399.94999999995"/>
    <n v="713789.71494999994"/>
    <n v="1097327.0609499998"/>
    <n v="639730.4099001073"/>
    <n v="258571.91935278621"/>
    <n v="1349619.2615010922"/>
  </r>
  <r>
    <s v="Refaturamento - Regular"/>
    <x v="1"/>
    <x v="0"/>
    <x v="1"/>
    <x v="0"/>
    <x v="0"/>
    <x v="0"/>
    <x v="0"/>
    <x v="7"/>
    <n v="-2164"/>
    <n v="-2164"/>
    <n v="-557.60299999999995"/>
    <n v="-557.60299999999995"/>
    <n v="-557.60299999999995"/>
    <n v="-557.60299999999995"/>
    <n v="0"/>
    <x v="1"/>
    <n v="0"/>
    <n v="29"/>
    <n v="30"/>
    <n v="67"/>
    <n v="28.57"/>
    <n v="149.63"/>
    <n v="230.03"/>
    <n v="31.93064187172984"/>
    <n v="54.203801879475932"/>
    <n v="282.91739971702214"/>
    <n v="-61825.48"/>
    <n v="-83434.136889999994"/>
    <n v="-128265.41808999999"/>
    <n v="-69097.909010423376"/>
    <n v="-30224.202539401416"/>
    <n v="-157755.59083441069"/>
  </r>
  <r>
    <s v="Sistema Isolado - Regular"/>
    <x v="1"/>
    <x v="0"/>
    <x v="1"/>
    <x v="0"/>
    <x v="0"/>
    <x v="0"/>
    <x v="0"/>
    <x v="7"/>
    <n v="1393"/>
    <n v="1393"/>
    <n v="417.62400000000002"/>
    <n v="417.62400000000002"/>
    <n v="417.62400000000002"/>
    <n v="417.62400000000002"/>
    <n v="0"/>
    <x v="1"/>
    <n v="0"/>
    <n v="29"/>
    <n v="30"/>
    <n v="67"/>
    <n v="28.57"/>
    <n v="149.63"/>
    <n v="230.03"/>
    <n v="31.93064187172984"/>
    <n v="54.203801879475932"/>
    <n v="282.91739971702214"/>
    <n v="39798.01"/>
    <n v="62489.079120000002"/>
    <n v="96066.048720000006"/>
    <n v="44479.384127319667"/>
    <n v="22636.808556114258"/>
    <n v="118153.09613942166"/>
  </r>
  <r>
    <s v="Sistema Isolado - Refaturamento"/>
    <x v="1"/>
    <x v="0"/>
    <x v="1"/>
    <x v="0"/>
    <x v="0"/>
    <x v="0"/>
    <x v="0"/>
    <x v="7"/>
    <n v="-101"/>
    <n v="-101"/>
    <n v="-45.182000000000002"/>
    <n v="-45.182000000000002"/>
    <n v="-45.182000000000002"/>
    <n v="-45.182000000000002"/>
    <n v="0"/>
    <x v="1"/>
    <n v="0"/>
    <n v="29"/>
    <n v="30"/>
    <n v="67"/>
    <n v="28.57"/>
    <n v="149.63"/>
    <n v="230.03"/>
    <n v="31.93064187172984"/>
    <n v="54.203801879475932"/>
    <n v="282.91739971702214"/>
    <n v="-2885.57"/>
    <n v="-6760.58266"/>
    <n v="-10393.215460000001"/>
    <n v="-3224.9948290447137"/>
    <n v="-2449.0361765184816"/>
    <n v="-12782.773954014494"/>
  </r>
  <r>
    <s v="Sistema de Compensação"/>
    <x v="1"/>
    <x v="0"/>
    <x v="1"/>
    <x v="0"/>
    <x v="0"/>
    <x v="0"/>
    <x v="0"/>
    <x v="7"/>
    <n v="2227"/>
    <n v="2227"/>
    <n v="880.93499999999995"/>
    <n v="880.93499999999995"/>
    <n v="880.93499999999995"/>
    <n v="880.93499999999995"/>
    <n v="0"/>
    <x v="1"/>
    <n v="0"/>
    <n v="29"/>
    <n v="30"/>
    <n v="67"/>
    <n v="28.57"/>
    <n v="149.63"/>
    <n v="230.03"/>
    <n v="31.93064187172984"/>
    <n v="54.203801879475932"/>
    <n v="282.91739971702214"/>
    <n v="63625.39"/>
    <n v="131814.30404999998"/>
    <n v="202641.47804999998"/>
    <n v="71109.539448342359"/>
    <n v="47750.02620869613"/>
    <n v="249231.83951971488"/>
  </r>
  <r>
    <s v="Regular"/>
    <x v="1"/>
    <x v="0"/>
    <x v="1"/>
    <x v="0"/>
    <x v="0"/>
    <x v="0"/>
    <x v="0"/>
    <x v="7"/>
    <n v="5937"/>
    <n v="5937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169620.09"/>
    <n v="0"/>
    <n v="0"/>
    <n v="189572.22079246005"/>
    <n v="0"/>
    <n v="0"/>
  </r>
  <r>
    <s v="Regular"/>
    <x v="1"/>
    <x v="0"/>
    <x v="1"/>
    <x v="0"/>
    <x v="0"/>
    <x v="0"/>
    <x v="0"/>
    <x v="8"/>
    <n v="19239"/>
    <n v="19239"/>
    <n v="5123.518"/>
    <n v="5123.518"/>
    <n v="5123.518"/>
    <n v="5123.518"/>
    <n v="0"/>
    <x v="1"/>
    <n v="0"/>
    <n v="29"/>
    <n v="30"/>
    <n v="67"/>
    <n v="28.57"/>
    <n v="149.63"/>
    <n v="230.03"/>
    <n v="31.93064187172984"/>
    <n v="54.203801879475932"/>
    <n v="282.91739971702214"/>
    <n v="549658.23"/>
    <n v="766631.99833999993"/>
    <n v="1178562.8455400001"/>
    <n v="614313.61897021043"/>
    <n v="277714.15459792875"/>
    <n v="1449532.3899633579"/>
  </r>
  <r>
    <s v="Refaturamento - Regular"/>
    <x v="1"/>
    <x v="0"/>
    <x v="1"/>
    <x v="0"/>
    <x v="0"/>
    <x v="0"/>
    <x v="0"/>
    <x v="8"/>
    <n v="-1200"/>
    <n v="-1200"/>
    <n v="0"/>
    <n v="0"/>
    <n v="0"/>
    <n v="0"/>
    <n v="0"/>
    <x v="1"/>
    <n v="0"/>
    <n v="29"/>
    <n v="0"/>
    <n v="0"/>
    <n v="28.57"/>
    <n v="0"/>
    <n v="0"/>
    <n v="31.93064187172984"/>
    <n v="54.203801879475932"/>
    <n v="282.91739971702214"/>
    <n v="-34284"/>
    <n v="0"/>
    <n v="0"/>
    <n v="-38316.770246075808"/>
    <n v="0"/>
    <n v="0"/>
  </r>
  <r>
    <s v="Sistema Isolado - Regular"/>
    <x v="1"/>
    <x v="0"/>
    <x v="1"/>
    <x v="0"/>
    <x v="0"/>
    <x v="0"/>
    <x v="0"/>
    <x v="8"/>
    <n v="1127"/>
    <n v="1127"/>
    <n v="432.959"/>
    <n v="432.959"/>
    <n v="432.959"/>
    <n v="432.959"/>
    <n v="0"/>
    <x v="1"/>
    <n v="0"/>
    <n v="29"/>
    <n v="30"/>
    <n v="67"/>
    <n v="28.57"/>
    <n v="149.63"/>
    <n v="230.03"/>
    <n v="31.93064187172984"/>
    <n v="54.203801879475932"/>
    <n v="282.91739971702214"/>
    <n v="32198.39"/>
    <n v="64783.655169999998"/>
    <n v="99593.558770000003"/>
    <n v="35985.833389439533"/>
    <n v="23468.023857936019"/>
    <n v="122491.63446408219"/>
  </r>
  <r>
    <s v="Sistema de Compensação"/>
    <x v="1"/>
    <x v="0"/>
    <x v="1"/>
    <x v="0"/>
    <x v="0"/>
    <x v="0"/>
    <x v="0"/>
    <x v="8"/>
    <n v="2539"/>
    <n v="2539"/>
    <n v="988.24300000000005"/>
    <n v="988.24300000000005"/>
    <n v="988.24300000000005"/>
    <n v="988.24300000000005"/>
    <n v="0"/>
    <x v="1"/>
    <n v="0"/>
    <n v="29"/>
    <n v="30"/>
    <n v="67"/>
    <n v="28.57"/>
    <n v="149.63"/>
    <n v="230.03"/>
    <n v="31.93064187172984"/>
    <n v="54.203801879475932"/>
    <n v="282.91739971702214"/>
    <n v="72539.23"/>
    <n v="147870.80009"/>
    <n v="227325.53729000001"/>
    <n v="81071.899712322062"/>
    <n v="53566.527780778939"/>
    <n v="279591.13984854909"/>
  </r>
  <r>
    <s v="Regular"/>
    <x v="1"/>
    <x v="0"/>
    <x v="1"/>
    <x v="0"/>
    <x v="0"/>
    <x v="0"/>
    <x v="0"/>
    <x v="8"/>
    <n v="5987"/>
    <n v="5987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171048.59"/>
    <n v="0"/>
    <n v="0"/>
    <n v="191168.75288604654"/>
    <n v="0"/>
    <n v="0"/>
  </r>
  <r>
    <s v="Regular"/>
    <x v="1"/>
    <x v="0"/>
    <x v="1"/>
    <x v="0"/>
    <x v="0"/>
    <x v="0"/>
    <x v="0"/>
    <x v="9"/>
    <n v="20507"/>
    <n v="20507"/>
    <n v="5742.0559999999996"/>
    <n v="5742.0559999999996"/>
    <n v="5742.0559999999996"/>
    <n v="5742.0559999999996"/>
    <n v="0"/>
    <x v="1"/>
    <n v="0"/>
    <n v="29"/>
    <n v="30"/>
    <n v="67"/>
    <n v="28.57"/>
    <n v="149.63"/>
    <n v="230.03"/>
    <n v="31.93064187172984"/>
    <n v="54.203801879475932"/>
    <n v="282.91739971702214"/>
    <n v="585884.99"/>
    <n v="859183.83927999996"/>
    <n v="1320845.1416799999"/>
    <n v="654801.67286356387"/>
    <n v="311241.26580485603"/>
    <n v="1624527.5525495252"/>
  </r>
  <r>
    <s v="Refaturamento - Regular"/>
    <x v="1"/>
    <x v="0"/>
    <x v="1"/>
    <x v="0"/>
    <x v="0"/>
    <x v="0"/>
    <x v="0"/>
    <x v="9"/>
    <n v="-500"/>
    <n v="-500"/>
    <n v="0"/>
    <n v="0"/>
    <n v="0"/>
    <n v="0"/>
    <n v="0"/>
    <x v="1"/>
    <n v="0"/>
    <n v="29"/>
    <n v="0"/>
    <n v="0"/>
    <n v="28.57"/>
    <n v="0"/>
    <n v="0"/>
    <n v="31.93064187172984"/>
    <n v="54.203801879475932"/>
    <n v="282.91739971702214"/>
    <n v="-14285"/>
    <n v="0"/>
    <n v="0"/>
    <n v="-15965.32093586492"/>
    <n v="0"/>
    <n v="0"/>
  </r>
  <r>
    <s v="Sistema Isolado - Regular"/>
    <x v="1"/>
    <x v="0"/>
    <x v="1"/>
    <x v="0"/>
    <x v="0"/>
    <x v="0"/>
    <x v="0"/>
    <x v="9"/>
    <n v="1288"/>
    <n v="1288"/>
    <n v="454.89800000000002"/>
    <n v="454.89800000000002"/>
    <n v="454.89800000000002"/>
    <n v="454.89800000000002"/>
    <n v="0"/>
    <x v="1"/>
    <n v="0"/>
    <n v="29"/>
    <n v="30"/>
    <n v="67"/>
    <n v="28.57"/>
    <n v="149.63"/>
    <n v="230.03"/>
    <n v="31.93064187172984"/>
    <n v="54.203801879475932"/>
    <n v="282.91739971702214"/>
    <n v="36798.160000000003"/>
    <n v="68066.387740000006"/>
    <n v="104640.18694"/>
    <n v="41126.666730788034"/>
    <n v="24657.201067369842"/>
    <n v="128698.55929647395"/>
  </r>
  <r>
    <s v="Sistema de Compensação"/>
    <x v="1"/>
    <x v="0"/>
    <x v="1"/>
    <x v="0"/>
    <x v="0"/>
    <x v="0"/>
    <x v="0"/>
    <x v="9"/>
    <n v="2214"/>
    <n v="2214"/>
    <n v="982.28200000000004"/>
    <n v="982.28200000000004"/>
    <n v="982.28200000000004"/>
    <n v="982.28200000000004"/>
    <n v="0"/>
    <x v="1"/>
    <n v="0"/>
    <n v="29"/>
    <n v="30"/>
    <n v="67"/>
    <n v="28.57"/>
    <n v="149.63"/>
    <n v="230.03"/>
    <n v="31.93064187172984"/>
    <n v="54.203801879475932"/>
    <n v="282.91739971702214"/>
    <n v="63253.98"/>
    <n v="146978.85566"/>
    <n v="225954.32846000002"/>
    <n v="70694.441104009864"/>
    <n v="53243.41891777538"/>
    <n v="277904.66922883596"/>
  </r>
  <r>
    <s v="Sistema de Compensação"/>
    <x v="1"/>
    <x v="0"/>
    <x v="1"/>
    <x v="0"/>
    <x v="0"/>
    <x v="0"/>
    <x v="0"/>
    <x v="9"/>
    <n v="-350"/>
    <n v="-350"/>
    <n v="0"/>
    <n v="0"/>
    <n v="0"/>
    <n v="0"/>
    <n v="0"/>
    <x v="1"/>
    <n v="0"/>
    <n v="29"/>
    <n v="0"/>
    <n v="0"/>
    <n v="28.57"/>
    <n v="0"/>
    <n v="0"/>
    <n v="31.93064187172984"/>
    <n v="54.203801879475932"/>
    <n v="282.91739971702214"/>
    <n v="-9999.5"/>
    <n v="0"/>
    <n v="0"/>
    <n v="-11175.724655105443"/>
    <n v="0"/>
    <n v="0"/>
  </r>
  <r>
    <s v="Regular"/>
    <x v="1"/>
    <x v="0"/>
    <x v="1"/>
    <x v="0"/>
    <x v="0"/>
    <x v="0"/>
    <x v="0"/>
    <x v="9"/>
    <n v="5927"/>
    <n v="5927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169334.39"/>
    <n v="0"/>
    <n v="0"/>
    <n v="189252.91437374277"/>
    <n v="0"/>
    <n v="0"/>
  </r>
  <r>
    <s v="Regular"/>
    <x v="1"/>
    <x v="0"/>
    <x v="1"/>
    <x v="0"/>
    <x v="0"/>
    <x v="0"/>
    <x v="0"/>
    <x v="10"/>
    <n v="19262"/>
    <n v="19262"/>
    <n v="5346.9030000000002"/>
    <n v="5346.9030000000002"/>
    <n v="5346.9030000000002"/>
    <n v="5346.9030000000002"/>
    <n v="0"/>
    <x v="1"/>
    <n v="0"/>
    <n v="29"/>
    <n v="30"/>
    <n v="67"/>
    <n v="28.57"/>
    <n v="149.63"/>
    <n v="230.03"/>
    <n v="31.93064187172984"/>
    <n v="54.203801879475932"/>
    <n v="282.91739971702214"/>
    <n v="550315.34"/>
    <n v="800057.09589"/>
    <n v="1229948.0970900001"/>
    <n v="615048.02373326023"/>
    <n v="289822.47088077554"/>
    <n v="1512731.8932991449"/>
  </r>
  <r>
    <s v="Sistema Isolado - Regular"/>
    <x v="1"/>
    <x v="0"/>
    <x v="1"/>
    <x v="0"/>
    <x v="0"/>
    <x v="0"/>
    <x v="0"/>
    <x v="10"/>
    <n v="1304"/>
    <n v="1304"/>
    <n v="425.51400000000001"/>
    <n v="425.51400000000001"/>
    <n v="425.51400000000001"/>
    <n v="425.51400000000001"/>
    <n v="0"/>
    <x v="1"/>
    <n v="0"/>
    <n v="29"/>
    <n v="30"/>
    <n v="67"/>
    <n v="28.57"/>
    <n v="149.63"/>
    <n v="230.03"/>
    <n v="31.93064187172984"/>
    <n v="54.203801879475932"/>
    <n v="282.91739971702214"/>
    <n v="37255.279999999999"/>
    <n v="63669.659820000001"/>
    <n v="97880.985419999997"/>
    <n v="41637.557000735709"/>
    <n v="23064.476552943321"/>
    <n v="120385.31442318896"/>
  </r>
  <r>
    <s v="Sistema de Compensação"/>
    <x v="1"/>
    <x v="0"/>
    <x v="1"/>
    <x v="0"/>
    <x v="0"/>
    <x v="0"/>
    <x v="0"/>
    <x v="10"/>
    <n v="2208"/>
    <n v="2208"/>
    <n v="921.87900000000002"/>
    <n v="921.87900000000002"/>
    <n v="921.87900000000002"/>
    <n v="921.87900000000002"/>
    <n v="0"/>
    <x v="1"/>
    <n v="0"/>
    <n v="29"/>
    <n v="30"/>
    <n v="67"/>
    <n v="28.57"/>
    <n v="149.63"/>
    <n v="230.03"/>
    <n v="31.93064187172984"/>
    <n v="54.203801879475932"/>
    <n v="282.91739971702214"/>
    <n v="63082.559999999998"/>
    <n v="137940.75477"/>
    <n v="212059.82637"/>
    <n v="70502.857252779489"/>
    <n v="49969.346672849395"/>
    <n v="260815.60953372865"/>
  </r>
  <r>
    <s v="Regular"/>
    <x v="1"/>
    <x v="0"/>
    <x v="1"/>
    <x v="0"/>
    <x v="0"/>
    <x v="0"/>
    <x v="0"/>
    <x v="10"/>
    <n v="5816"/>
    <n v="5816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166163.12"/>
    <n v="0"/>
    <n v="0"/>
    <n v="185708.61312598074"/>
    <n v="0"/>
    <n v="0"/>
  </r>
  <r>
    <s v="PROJETADO"/>
    <x v="1"/>
    <x v="0"/>
    <x v="1"/>
    <x v="0"/>
    <x v="0"/>
    <x v="0"/>
    <x v="0"/>
    <x v="11"/>
    <n v="19262"/>
    <n v="19262"/>
    <n v="5346.9030000000002"/>
    <n v="5346.9030000000002"/>
    <n v="5346.9030000000002"/>
    <n v="5346.9030000000002"/>
    <n v="0"/>
    <x v="1"/>
    <n v="0"/>
    <n v="29"/>
    <n v="30"/>
    <n v="67"/>
    <n v="28.57"/>
    <n v="149.63"/>
    <n v="230.03"/>
    <n v="31.93064187172984"/>
    <n v="54.203801879475932"/>
    <n v="282.91739971702214"/>
    <n v="550315.34"/>
    <n v="800057.09589"/>
    <n v="1229948.0970900001"/>
    <n v="615048.02373326023"/>
    <n v="289822.47088077554"/>
    <n v="1512731.8932991449"/>
  </r>
  <r>
    <s v="PROJETADO"/>
    <x v="1"/>
    <x v="0"/>
    <x v="1"/>
    <x v="0"/>
    <x v="0"/>
    <x v="0"/>
    <x v="0"/>
    <x v="11"/>
    <n v="1304"/>
    <n v="1304"/>
    <n v="425.51400000000001"/>
    <n v="425.51400000000001"/>
    <n v="425.51400000000001"/>
    <n v="425.51400000000001"/>
    <n v="0"/>
    <x v="1"/>
    <n v="0"/>
    <n v="29"/>
    <n v="30"/>
    <n v="67"/>
    <n v="28.57"/>
    <n v="149.63"/>
    <n v="230.03"/>
    <n v="31.93064187172984"/>
    <n v="54.203801879475932"/>
    <n v="282.91739971702214"/>
    <n v="37255.279999999999"/>
    <n v="63669.659820000001"/>
    <n v="97880.985419999997"/>
    <n v="41637.557000735709"/>
    <n v="23064.476552943321"/>
    <n v="120385.31442318896"/>
  </r>
  <r>
    <s v="PROJETADO"/>
    <x v="1"/>
    <x v="0"/>
    <x v="1"/>
    <x v="0"/>
    <x v="0"/>
    <x v="0"/>
    <x v="0"/>
    <x v="11"/>
    <n v="2208"/>
    <n v="2208"/>
    <n v="921.87900000000002"/>
    <n v="921.87900000000002"/>
    <n v="921.87900000000002"/>
    <n v="921.87900000000002"/>
    <n v="0"/>
    <x v="1"/>
    <n v="0"/>
    <n v="29"/>
    <n v="30"/>
    <n v="67"/>
    <n v="28.57"/>
    <n v="149.63"/>
    <n v="230.03"/>
    <n v="31.93064187172984"/>
    <n v="54.203801879475932"/>
    <n v="282.91739971702214"/>
    <n v="63082.559999999998"/>
    <n v="137940.75477"/>
    <n v="212059.82637"/>
    <n v="70502.857252779489"/>
    <n v="49969.346672849395"/>
    <n v="260815.60953372865"/>
  </r>
  <r>
    <s v="PROJETADO"/>
    <x v="1"/>
    <x v="0"/>
    <x v="1"/>
    <x v="0"/>
    <x v="0"/>
    <x v="0"/>
    <x v="0"/>
    <x v="11"/>
    <n v="5816"/>
    <n v="5816"/>
    <n v="0"/>
    <n v="0"/>
    <n v="0"/>
    <n v="0"/>
    <n v="0"/>
    <x v="0"/>
    <n v="0"/>
    <n v="29"/>
    <n v="0"/>
    <n v="0"/>
    <n v="28.57"/>
    <n v="0"/>
    <n v="0"/>
    <n v="31.93064187172984"/>
    <n v="54.203801879475932"/>
    <m/>
    <n v="166163.12"/>
    <n v="0"/>
    <n v="0"/>
    <n v="185708.61312598074"/>
    <n v="0"/>
    <n v="0"/>
  </r>
  <r>
    <s v="Regular"/>
    <x v="1"/>
    <x v="0"/>
    <x v="1"/>
    <x v="0"/>
    <x v="0"/>
    <x v="0"/>
    <x v="1"/>
    <x v="0"/>
    <n v="0"/>
    <n v="0"/>
    <n v="3913.9380000000001"/>
    <n v="3913.9380000000001"/>
    <n v="0"/>
    <n v="0"/>
    <n v="1"/>
    <x v="0"/>
    <n v="0"/>
    <n v="0"/>
    <n v="30"/>
    <n v="0"/>
    <n v="0"/>
    <n v="149.63"/>
    <n v="0"/>
    <m/>
    <n v="54.203801879475932"/>
    <m/>
    <n v="0"/>
    <n v="585642.54293999996"/>
    <n v="0"/>
    <n v="0"/>
    <n v="212150.31992055228"/>
    <n v="0"/>
  </r>
  <r>
    <s v="Regular"/>
    <x v="1"/>
    <x v="0"/>
    <x v="1"/>
    <x v="0"/>
    <x v="0"/>
    <x v="0"/>
    <x v="1"/>
    <x v="1"/>
    <n v="0"/>
    <n v="0"/>
    <n v="3774.96"/>
    <n v="3774.96"/>
    <n v="0"/>
    <n v="0"/>
    <n v="1"/>
    <x v="0"/>
    <n v="0"/>
    <n v="0"/>
    <n v="30"/>
    <n v="0"/>
    <n v="0"/>
    <n v="149.63"/>
    <n v="0"/>
    <m/>
    <n v="54.203801879475932"/>
    <m/>
    <n v="0"/>
    <n v="564847.2648"/>
    <n v="0"/>
    <n v="0"/>
    <n v="204617.18394294646"/>
    <n v="0"/>
  </r>
  <r>
    <s v="Regular"/>
    <x v="1"/>
    <x v="0"/>
    <x v="1"/>
    <x v="0"/>
    <x v="0"/>
    <x v="0"/>
    <x v="1"/>
    <x v="2"/>
    <n v="0"/>
    <n v="0"/>
    <n v="3787.0140000000001"/>
    <n v="3787.0140000000001"/>
    <n v="0"/>
    <n v="0"/>
    <n v="1"/>
    <x v="0"/>
    <n v="0"/>
    <n v="0"/>
    <n v="30"/>
    <n v="0"/>
    <n v="0"/>
    <n v="149.63"/>
    <n v="0"/>
    <m/>
    <n v="54.203801879475932"/>
    <m/>
    <n v="0"/>
    <n v="566650.90482000005"/>
    <n v="0"/>
    <n v="0"/>
    <n v="205270.55657080168"/>
    <n v="0"/>
  </r>
  <r>
    <s v="Regular"/>
    <x v="1"/>
    <x v="0"/>
    <x v="1"/>
    <x v="0"/>
    <x v="0"/>
    <x v="0"/>
    <x v="1"/>
    <x v="3"/>
    <n v="0"/>
    <n v="0"/>
    <n v="3425.6880000000001"/>
    <n v="3425.6880000000001"/>
    <n v="0"/>
    <n v="0"/>
    <n v="1"/>
    <x v="0"/>
    <n v="0"/>
    <n v="0"/>
    <n v="30"/>
    <n v="0"/>
    <n v="0"/>
    <n v="149.63"/>
    <n v="0"/>
    <m/>
    <n v="54.203801879475932"/>
    <m/>
    <n v="0"/>
    <n v="512585.69543999998"/>
    <n v="0"/>
    <n v="0"/>
    <n v="185685.31365289816"/>
    <n v="0"/>
  </r>
  <r>
    <s v="Regular"/>
    <x v="1"/>
    <x v="0"/>
    <x v="1"/>
    <x v="0"/>
    <x v="0"/>
    <x v="0"/>
    <x v="1"/>
    <x v="4"/>
    <n v="0"/>
    <n v="0"/>
    <n v="3168.9839999999999"/>
    <n v="3168.9839999999999"/>
    <n v="0"/>
    <n v="0"/>
    <n v="1"/>
    <x v="0"/>
    <n v="0"/>
    <n v="0"/>
    <n v="30"/>
    <n v="0"/>
    <n v="0"/>
    <n v="149.63"/>
    <n v="0"/>
    <m/>
    <n v="54.203801879475932"/>
    <m/>
    <n v="0"/>
    <n v="474175.07591999997"/>
    <n v="0"/>
    <n v="0"/>
    <n v="171770.98089522915"/>
    <n v="0"/>
  </r>
  <r>
    <s v="Regular"/>
    <x v="1"/>
    <x v="0"/>
    <x v="1"/>
    <x v="0"/>
    <x v="0"/>
    <x v="0"/>
    <x v="1"/>
    <x v="5"/>
    <n v="0"/>
    <n v="0"/>
    <n v="3555.2579999999998"/>
    <n v="3555.2579999999998"/>
    <n v="0"/>
    <n v="0"/>
    <n v="1"/>
    <x v="0"/>
    <n v="0"/>
    <n v="0"/>
    <n v="30"/>
    <n v="0"/>
    <n v="0"/>
    <n v="149.63"/>
    <n v="0"/>
    <m/>
    <n v="54.203801879475932"/>
    <m/>
    <n v="0"/>
    <n v="531973.25453999999"/>
    <n v="0"/>
    <n v="0"/>
    <n v="192708.50026242185"/>
    <n v="0"/>
  </r>
  <r>
    <s v="Regular"/>
    <x v="1"/>
    <x v="0"/>
    <x v="1"/>
    <x v="0"/>
    <x v="0"/>
    <x v="0"/>
    <x v="1"/>
    <x v="6"/>
    <n v="0"/>
    <n v="0"/>
    <n v="3035.3820000000001"/>
    <n v="3035.3820000000001"/>
    <n v="0"/>
    <n v="0"/>
    <n v="1"/>
    <x v="0"/>
    <n v="0"/>
    <n v="0"/>
    <n v="30"/>
    <n v="0"/>
    <n v="0"/>
    <n v="149.63"/>
    <n v="0"/>
    <m/>
    <n v="54.203801879475932"/>
    <m/>
    <n v="0"/>
    <n v="454184.20866"/>
    <n v="0"/>
    <n v="0"/>
    <n v="164529.24455652741"/>
    <n v="0"/>
  </r>
  <r>
    <s v="Regular"/>
    <x v="1"/>
    <x v="0"/>
    <x v="1"/>
    <x v="0"/>
    <x v="0"/>
    <x v="0"/>
    <x v="1"/>
    <x v="7"/>
    <n v="0"/>
    <n v="0"/>
    <n v="3787.0140000000001"/>
    <n v="3787.0140000000001"/>
    <n v="0"/>
    <n v="0"/>
    <n v="1"/>
    <x v="0"/>
    <n v="0"/>
    <n v="0"/>
    <n v="30"/>
    <n v="0"/>
    <n v="0"/>
    <n v="149.63"/>
    <n v="0"/>
    <m/>
    <n v="54.203801879475932"/>
    <m/>
    <n v="0"/>
    <n v="566650.90482000005"/>
    <n v="0"/>
    <n v="0"/>
    <n v="205270.55657080168"/>
    <n v="0"/>
  </r>
  <r>
    <s v="Regular"/>
    <x v="1"/>
    <x v="0"/>
    <x v="1"/>
    <x v="0"/>
    <x v="0"/>
    <x v="0"/>
    <x v="1"/>
    <x v="8"/>
    <n v="0"/>
    <n v="0"/>
    <n v="3991.3440000000001"/>
    <n v="3991.3440000000001"/>
    <n v="0"/>
    <n v="0"/>
    <n v="1"/>
    <x v="0"/>
    <n v="0"/>
    <n v="0"/>
    <n v="30"/>
    <n v="0"/>
    <n v="0"/>
    <n v="149.63"/>
    <n v="0"/>
    <m/>
    <n v="54.203801879475932"/>
    <m/>
    <n v="0"/>
    <n v="597224.80272000004"/>
    <n v="0"/>
    <n v="0"/>
    <n v="216346.01940883498"/>
    <n v="0"/>
  </r>
  <r>
    <s v="Regular"/>
    <x v="1"/>
    <x v="0"/>
    <x v="1"/>
    <x v="0"/>
    <x v="0"/>
    <x v="0"/>
    <x v="1"/>
    <x v="9"/>
    <n v="0"/>
    <n v="0"/>
    <n v="3921.7919999999999"/>
    <n v="3921.7919999999999"/>
    <n v="0"/>
    <n v="0"/>
    <n v="1"/>
    <x v="0"/>
    <n v="0"/>
    <n v="0"/>
    <n v="30"/>
    <n v="0"/>
    <n v="0"/>
    <n v="149.63"/>
    <n v="0"/>
    <m/>
    <n v="54.203801879475932"/>
    <m/>
    <n v="0"/>
    <n v="586817.73696000001"/>
    <n v="0"/>
    <n v="0"/>
    <n v="212576.03658051367"/>
    <n v="0"/>
  </r>
  <r>
    <s v="Regular"/>
    <x v="1"/>
    <x v="0"/>
    <x v="1"/>
    <x v="0"/>
    <x v="0"/>
    <x v="0"/>
    <x v="1"/>
    <x v="10"/>
    <n v="0"/>
    <n v="0"/>
    <n v="3607.422"/>
    <n v="3607.422"/>
    <n v="0"/>
    <n v="0"/>
    <n v="1"/>
    <x v="0"/>
    <n v="0"/>
    <n v="0"/>
    <n v="30"/>
    <n v="0"/>
    <n v="0"/>
    <n v="149.63"/>
    <n v="0"/>
    <m/>
    <n v="54.203801879475932"/>
    <m/>
    <n v="0"/>
    <n v="539778.55385999999"/>
    <n v="0"/>
    <n v="0"/>
    <n v="195535.98738366284"/>
    <n v="0"/>
  </r>
  <r>
    <s v="PROJETADO"/>
    <x v="1"/>
    <x v="0"/>
    <x v="1"/>
    <x v="0"/>
    <x v="0"/>
    <x v="0"/>
    <x v="1"/>
    <x v="11"/>
    <n v="0"/>
    <n v="0"/>
    <n v="3607.422"/>
    <n v="3607.422"/>
    <n v="0"/>
    <n v="0"/>
    <n v="1"/>
    <x v="0"/>
    <n v="0"/>
    <n v="0"/>
    <n v="30"/>
    <n v="0"/>
    <n v="0"/>
    <n v="149.63"/>
    <n v="0"/>
    <m/>
    <n v="54.203801879475932"/>
    <m/>
    <n v="0"/>
    <n v="539778.55385999999"/>
    <n v="0"/>
    <n v="0"/>
    <n v="195535.98738366284"/>
    <n v="0"/>
  </r>
  <r>
    <s v="Regular"/>
    <x v="1"/>
    <x v="0"/>
    <x v="1"/>
    <x v="0"/>
    <x v="0"/>
    <x v="0"/>
    <x v="2"/>
    <x v="0"/>
    <n v="20640"/>
    <n v="20640"/>
    <n v="660.10299999999995"/>
    <n v="660.10299999999995"/>
    <n v="660.10299999999995"/>
    <n v="660.10299999999995"/>
    <n v="0"/>
    <x v="1"/>
    <n v="0"/>
    <n v="28"/>
    <n v="30"/>
    <n v="66"/>
    <n v="52.99"/>
    <n v="149.63"/>
    <n v="389.28"/>
    <n v="59.276351675174958"/>
    <n v="54.203801879475932"/>
    <n v="454.3285679284046"/>
    <n v="1093713.6000000001"/>
    <n v="98771.211889999991"/>
    <n v="256964.89583999995"/>
    <n v="1223463.8985756112"/>
    <n v="35780.092232047697"/>
    <n v="299903.65067524364"/>
  </r>
  <r>
    <s v="Sistema Isolado - Regular"/>
    <x v="1"/>
    <x v="0"/>
    <x v="1"/>
    <x v="0"/>
    <x v="0"/>
    <x v="0"/>
    <x v="2"/>
    <x v="0"/>
    <n v="1292"/>
    <n v="1292"/>
    <n v="18.126999999999999"/>
    <n v="18.126999999999999"/>
    <n v="18.126999999999999"/>
    <n v="18.126999999999999"/>
    <n v="0"/>
    <x v="1"/>
    <n v="0"/>
    <n v="28"/>
    <n v="30"/>
    <n v="66"/>
    <n v="52.99"/>
    <n v="149.63"/>
    <n v="389.28"/>
    <n v="59.276351675174958"/>
    <n v="54.203801879475932"/>
    <n v="454.3285679284046"/>
    <n v="68463.08"/>
    <n v="2712.3430099999996"/>
    <n v="7056.4785599999987"/>
    <n v="76585.046364326045"/>
    <n v="982.55231666926022"/>
    <n v="8235.6139508381893"/>
  </r>
  <r>
    <s v="Sistema Isolado - Refaturamento"/>
    <x v="1"/>
    <x v="0"/>
    <x v="1"/>
    <x v="0"/>
    <x v="0"/>
    <x v="0"/>
    <x v="2"/>
    <x v="0"/>
    <n v="-3915"/>
    <n v="-3915"/>
    <n v="-0.36899999999999999"/>
    <n v="-0.36899999999999999"/>
    <n v="-0.36899999999999999"/>
    <n v="-0.36899999999999999"/>
    <n v="0"/>
    <x v="1"/>
    <n v="0"/>
    <n v="28"/>
    <n v="30"/>
    <n v="66"/>
    <n v="52.99"/>
    <n v="149.63"/>
    <n v="389.28"/>
    <n v="59.276351675174958"/>
    <n v="54.203801879475932"/>
    <n v="454.3285679284046"/>
    <n v="-207455.85"/>
    <n v="-55.213470000000001"/>
    <n v="-143.64431999999999"/>
    <n v="-232066.91680830996"/>
    <n v="-20.001202893526617"/>
    <n v="-167.64724156558128"/>
  </r>
  <r>
    <s v="Sistema de Compensação"/>
    <x v="1"/>
    <x v="0"/>
    <x v="1"/>
    <x v="0"/>
    <x v="0"/>
    <x v="0"/>
    <x v="2"/>
    <x v="0"/>
    <n v="1440"/>
    <n v="1440"/>
    <n v="80.471999999999994"/>
    <n v="80.471999999999994"/>
    <n v="80.471999999999994"/>
    <n v="80.471999999999994"/>
    <n v="0"/>
    <x v="1"/>
    <n v="0"/>
    <n v="28"/>
    <n v="30"/>
    <n v="66"/>
    <n v="52.99"/>
    <n v="149.63"/>
    <n v="389.28"/>
    <n v="59.276351675174958"/>
    <n v="54.203801879475932"/>
    <n v="454.3285679284046"/>
    <n v="76305.600000000006"/>
    <n v="12041.02536"/>
    <n v="31326.140159999995"/>
    <n v="85357.946412251942"/>
    <n v="4361.888344845187"/>
    <n v="36560.728518334574"/>
  </r>
  <r>
    <s v="Regular"/>
    <x v="1"/>
    <x v="0"/>
    <x v="1"/>
    <x v="0"/>
    <x v="0"/>
    <x v="0"/>
    <x v="2"/>
    <x v="0"/>
    <n v="6073"/>
    <n v="6073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321808.27"/>
    <n v="0"/>
    <n v="0"/>
    <n v="359985.28372333752"/>
    <n v="0"/>
    <n v="0"/>
  </r>
  <r>
    <s v="Regular"/>
    <x v="1"/>
    <x v="0"/>
    <x v="1"/>
    <x v="0"/>
    <x v="0"/>
    <x v="0"/>
    <x v="2"/>
    <x v="1"/>
    <n v="20527"/>
    <n v="20527"/>
    <n v="587.01700000000005"/>
    <n v="587.01700000000005"/>
    <n v="587.01700000000005"/>
    <n v="587.01700000000005"/>
    <n v="0"/>
    <x v="1"/>
    <n v="0"/>
    <n v="28"/>
    <n v="30"/>
    <n v="66"/>
    <n v="52.99"/>
    <n v="149.63"/>
    <n v="389.28"/>
    <n v="59.276351675174958"/>
    <n v="54.203801879475932"/>
    <n v="454.3285679284046"/>
    <n v="1087725.73"/>
    <n v="87835.35371000001"/>
    <n v="228513.97776000001"/>
    <n v="1216765.6708363164"/>
    <n v="31818.553167884325"/>
    <n v="266698.59295962832"/>
  </r>
  <r>
    <s v="Refaturamento - Regular"/>
    <x v="1"/>
    <x v="0"/>
    <x v="1"/>
    <x v="0"/>
    <x v="0"/>
    <x v="0"/>
    <x v="2"/>
    <x v="1"/>
    <n v="-500"/>
    <n v="-500"/>
    <n v="0"/>
    <n v="0"/>
    <n v="0"/>
    <n v="0"/>
    <n v="0"/>
    <x v="1"/>
    <n v="0"/>
    <n v="28"/>
    <n v="0"/>
    <n v="0"/>
    <n v="52.99"/>
    <n v="0"/>
    <n v="0"/>
    <n v="59.276351675174958"/>
    <n v="54.203801879475932"/>
    <n v="454.3285679284046"/>
    <n v="-26495"/>
    <n v="0"/>
    <n v="0"/>
    <n v="-29638.175837587478"/>
    <n v="0"/>
    <n v="0"/>
  </r>
  <r>
    <s v="Sistema Isolado - Regular"/>
    <x v="1"/>
    <x v="0"/>
    <x v="1"/>
    <x v="0"/>
    <x v="0"/>
    <x v="0"/>
    <x v="2"/>
    <x v="1"/>
    <n v="1196"/>
    <n v="1196"/>
    <n v="17.995000000000001"/>
    <n v="17.995000000000001"/>
    <n v="17.995000000000001"/>
    <n v="17.995000000000001"/>
    <n v="0"/>
    <x v="1"/>
    <n v="0"/>
    <n v="28"/>
    <n v="30"/>
    <n v="66"/>
    <n v="52.99"/>
    <n v="149.63"/>
    <n v="389.28"/>
    <n v="59.276351675174958"/>
    <n v="54.203801879475932"/>
    <n v="454.3285679284046"/>
    <n v="63376.04"/>
    <n v="2692.5918500000002"/>
    <n v="7005.0936000000002"/>
    <n v="70894.516603509255"/>
    <n v="975.39741482116949"/>
    <n v="8175.6425798716409"/>
  </r>
  <r>
    <s v="Sistema Isolado - Refaturamento"/>
    <x v="1"/>
    <x v="0"/>
    <x v="1"/>
    <x v="0"/>
    <x v="0"/>
    <x v="0"/>
    <x v="2"/>
    <x v="1"/>
    <n v="-60"/>
    <n v="-60"/>
    <n v="0"/>
    <n v="0"/>
    <n v="0"/>
    <n v="0"/>
    <n v="0"/>
    <x v="1"/>
    <n v="0"/>
    <n v="28"/>
    <n v="0"/>
    <n v="0"/>
    <n v="52.99"/>
    <n v="0"/>
    <n v="0"/>
    <n v="59.276351675174958"/>
    <n v="54.203801879475932"/>
    <n v="454.3285679284046"/>
    <n v="-3179.4"/>
    <n v="0"/>
    <n v="0"/>
    <n v="-3556.5811005104974"/>
    <n v="0"/>
    <n v="0"/>
  </r>
  <r>
    <s v="Sistema de Compensação"/>
    <x v="1"/>
    <x v="0"/>
    <x v="1"/>
    <x v="0"/>
    <x v="0"/>
    <x v="0"/>
    <x v="2"/>
    <x v="1"/>
    <n v="1440"/>
    <n v="1440"/>
    <n v="74.578000000000003"/>
    <n v="74.578000000000003"/>
    <n v="74.578000000000003"/>
    <n v="74.578000000000003"/>
    <n v="0"/>
    <x v="1"/>
    <n v="0"/>
    <n v="28"/>
    <n v="30"/>
    <n v="66"/>
    <n v="52.99"/>
    <n v="149.63"/>
    <n v="389.28"/>
    <n v="59.276351675174958"/>
    <n v="54.203801879475932"/>
    <n v="454.3285679284046"/>
    <n v="76305.600000000006"/>
    <n v="11159.10614"/>
    <n v="29031.723839999999"/>
    <n v="85357.946412251942"/>
    <n v="4042.4111365675562"/>
    <n v="33882.915938964557"/>
  </r>
  <r>
    <s v="Regular"/>
    <x v="1"/>
    <x v="0"/>
    <x v="1"/>
    <x v="0"/>
    <x v="0"/>
    <x v="0"/>
    <x v="2"/>
    <x v="1"/>
    <n v="6027"/>
    <n v="6027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319370.73000000004"/>
    <n v="0"/>
    <n v="0"/>
    <n v="357258.57154627948"/>
    <n v="0"/>
    <n v="0"/>
  </r>
  <r>
    <s v="Regular"/>
    <x v="1"/>
    <x v="0"/>
    <x v="1"/>
    <x v="0"/>
    <x v="0"/>
    <x v="0"/>
    <x v="2"/>
    <x v="2"/>
    <n v="22859"/>
    <n v="22859"/>
    <n v="490.97300000000001"/>
    <n v="490.97300000000001"/>
    <n v="490.97300000000001"/>
    <n v="490.97300000000001"/>
    <n v="0"/>
    <x v="1"/>
    <n v="0"/>
    <n v="28"/>
    <n v="30"/>
    <n v="66"/>
    <n v="52.99"/>
    <n v="149.63"/>
    <n v="389.28"/>
    <n v="59.276351675174958"/>
    <n v="54.203801879475932"/>
    <n v="454.3285679284046"/>
    <n v="1211298.4100000001"/>
    <n v="73464.289990000005"/>
    <n v="191125.96943999999"/>
    <n v="1354998.1229428244"/>
    <n v="26612.603220171939"/>
    <n v="223063.0599815126"/>
  </r>
  <r>
    <s v="Refaturamento - Regular"/>
    <x v="1"/>
    <x v="0"/>
    <x v="1"/>
    <x v="0"/>
    <x v="0"/>
    <x v="0"/>
    <x v="2"/>
    <x v="2"/>
    <n v="-115"/>
    <n v="-115"/>
    <n v="-38.981000000000002"/>
    <n v="-38.981000000000002"/>
    <n v="-38.981000000000002"/>
    <n v="-38.981000000000002"/>
    <n v="0"/>
    <x v="1"/>
    <n v="0"/>
    <n v="28"/>
    <n v="30"/>
    <n v="66"/>
    <n v="52.99"/>
    <n v="149.63"/>
    <n v="389.28"/>
    <n v="59.276351675174958"/>
    <n v="54.203801879475932"/>
    <n v="454.3285679284046"/>
    <n v="-6093.85"/>
    <n v="-5832.72703"/>
    <n v="-15174.52368"/>
    <n v="-6816.7804426451203"/>
    <n v="-2112.9184010638514"/>
    <n v="-17710.18190641714"/>
  </r>
  <r>
    <s v="Sistema Isolado - Regular"/>
    <x v="1"/>
    <x v="0"/>
    <x v="1"/>
    <x v="0"/>
    <x v="0"/>
    <x v="0"/>
    <x v="2"/>
    <x v="2"/>
    <n v="1154"/>
    <n v="1154"/>
    <n v="16.463000000000001"/>
    <n v="16.463000000000001"/>
    <n v="16.463000000000001"/>
    <n v="16.463000000000001"/>
    <n v="0"/>
    <x v="1"/>
    <n v="0"/>
    <n v="28"/>
    <n v="30"/>
    <n v="66"/>
    <n v="52.99"/>
    <n v="149.63"/>
    <n v="389.28"/>
    <n v="59.276351675174958"/>
    <n v="54.203801879475932"/>
    <n v="454.3285679284046"/>
    <n v="61150.46"/>
    <n v="2463.35869"/>
    <n v="6408.7166399999996"/>
    <n v="68404.909833151905"/>
    <n v="892.35719034181238"/>
    <n v="7479.611213805325"/>
  </r>
  <r>
    <s v="Sistema de Compensação"/>
    <x v="1"/>
    <x v="0"/>
    <x v="1"/>
    <x v="0"/>
    <x v="0"/>
    <x v="0"/>
    <x v="2"/>
    <x v="2"/>
    <n v="1464"/>
    <n v="1464"/>
    <n v="76.622"/>
    <n v="76.622"/>
    <n v="76.622"/>
    <n v="76.622"/>
    <n v="0"/>
    <x v="1"/>
    <n v="0"/>
    <n v="28"/>
    <n v="30"/>
    <n v="66"/>
    <n v="52.99"/>
    <n v="149.63"/>
    <n v="389.28"/>
    <n v="59.276351675174958"/>
    <n v="54.203801879475932"/>
    <n v="454.3285679284046"/>
    <n v="77577.36"/>
    <n v="11464.949859999999"/>
    <n v="29827.412159999996"/>
    <n v="86780.578852456136"/>
    <n v="4153.2037076092047"/>
    <n v="34811.563531810214"/>
  </r>
  <r>
    <s v="Regular"/>
    <x v="1"/>
    <x v="0"/>
    <x v="1"/>
    <x v="0"/>
    <x v="0"/>
    <x v="0"/>
    <x v="2"/>
    <x v="2"/>
    <n v="5932"/>
    <n v="5932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314336.68"/>
    <n v="0"/>
    <n v="0"/>
    <n v="351627.31813713786"/>
    <n v="0"/>
    <n v="0"/>
  </r>
  <r>
    <s v="Regular"/>
    <x v="1"/>
    <x v="0"/>
    <x v="1"/>
    <x v="0"/>
    <x v="0"/>
    <x v="0"/>
    <x v="2"/>
    <x v="3"/>
    <n v="21788"/>
    <n v="21788"/>
    <n v="490.58600000000001"/>
    <n v="490.58600000000001"/>
    <n v="490.58600000000001"/>
    <n v="490.58600000000001"/>
    <n v="0"/>
    <x v="1"/>
    <n v="0"/>
    <n v="28"/>
    <n v="30"/>
    <n v="66"/>
    <n v="52.99"/>
    <n v="149.63"/>
    <n v="389.28"/>
    <n v="59.276351675174958"/>
    <n v="54.203801879475932"/>
    <n v="454.3285679284046"/>
    <n v="1154546.1200000001"/>
    <n v="73406.383180000004"/>
    <n v="190975.31808"/>
    <n v="1291513.1502987121"/>
    <n v="26591.62634884458"/>
    <n v="222887.2348257243"/>
  </r>
  <r>
    <s v="Sistema Isolado - Regular"/>
    <x v="1"/>
    <x v="0"/>
    <x v="1"/>
    <x v="0"/>
    <x v="0"/>
    <x v="0"/>
    <x v="2"/>
    <x v="3"/>
    <n v="1017"/>
    <n v="1017"/>
    <n v="11.180999999999999"/>
    <n v="11.180999999999999"/>
    <n v="11.180999999999999"/>
    <n v="11.180999999999999"/>
    <n v="0"/>
    <x v="1"/>
    <n v="0"/>
    <n v="28"/>
    <n v="30"/>
    <n v="66"/>
    <n v="52.99"/>
    <n v="149.63"/>
    <n v="389.28"/>
    <n v="59.276351675174958"/>
    <n v="54.203801879475932"/>
    <n v="454.3285679284046"/>
    <n v="53890.83"/>
    <n v="1673.0130299999998"/>
    <n v="4352.539679999999"/>
    <n v="60284.049653652932"/>
    <n v="606.05270881442038"/>
    <n v="5079.8477180074915"/>
  </r>
  <r>
    <s v="Sistema Isolado - Refaturamento"/>
    <x v="1"/>
    <x v="0"/>
    <x v="1"/>
    <x v="0"/>
    <x v="0"/>
    <x v="0"/>
    <x v="2"/>
    <x v="3"/>
    <n v="-387"/>
    <n v="-387"/>
    <n v="0"/>
    <n v="0"/>
    <n v="0"/>
    <n v="0"/>
    <n v="0"/>
    <x v="1"/>
    <n v="0"/>
    <n v="28"/>
    <n v="0"/>
    <n v="0"/>
    <n v="52.99"/>
    <n v="0"/>
    <n v="0"/>
    <n v="59.276351675174958"/>
    <n v="54.203801879475932"/>
    <n v="454.3285679284046"/>
    <n v="-20507.13"/>
    <n v="0"/>
    <n v="0"/>
    <n v="-22939.948098292709"/>
    <n v="0"/>
    <n v="0"/>
  </r>
  <r>
    <s v="Sistema de Compensação"/>
    <x v="1"/>
    <x v="0"/>
    <x v="1"/>
    <x v="0"/>
    <x v="0"/>
    <x v="0"/>
    <x v="2"/>
    <x v="3"/>
    <n v="1523"/>
    <n v="1523"/>
    <n v="78.89"/>
    <n v="78.89"/>
    <n v="78.89"/>
    <n v="78.89"/>
    <n v="0"/>
    <x v="1"/>
    <n v="0"/>
    <n v="28"/>
    <n v="30"/>
    <n v="66"/>
    <n v="52.99"/>
    <n v="149.63"/>
    <n v="389.28"/>
    <n v="59.276351675174958"/>
    <n v="54.203801879475932"/>
    <n v="454.3285679284046"/>
    <n v="80703.77"/>
    <n v="11804.3107"/>
    <n v="30710.299199999998"/>
    <n v="90277.883601291454"/>
    <n v="4276.137930271856"/>
    <n v="35841.980723871842"/>
  </r>
  <r>
    <s v="Regular"/>
    <x v="1"/>
    <x v="0"/>
    <x v="1"/>
    <x v="0"/>
    <x v="0"/>
    <x v="0"/>
    <x v="2"/>
    <x v="3"/>
    <n v="5846"/>
    <n v="5846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309779.54000000004"/>
    <n v="0"/>
    <n v="0"/>
    <n v="346529.55189307278"/>
    <n v="0"/>
    <n v="0"/>
  </r>
  <r>
    <s v="Regular"/>
    <x v="1"/>
    <x v="0"/>
    <x v="1"/>
    <x v="0"/>
    <x v="0"/>
    <x v="0"/>
    <x v="2"/>
    <x v="4"/>
    <n v="21822"/>
    <n v="21822"/>
    <n v="700.85400000000004"/>
    <n v="700.85400000000004"/>
    <n v="700.85400000000004"/>
    <n v="700.85400000000004"/>
    <n v="0"/>
    <x v="1"/>
    <n v="0"/>
    <n v="28"/>
    <n v="30"/>
    <n v="66"/>
    <n v="52.99"/>
    <n v="149.63"/>
    <n v="389.28"/>
    <n v="59.276351675174958"/>
    <n v="54.203801879475932"/>
    <n v="454.3285679284046"/>
    <n v="1156347.78"/>
    <n v="104868.78402000001"/>
    <n v="272828.44511999999"/>
    <n v="1293528.5462556679"/>
    <n v="37988.951362438231"/>
    <n v="318417.99414689408"/>
  </r>
  <r>
    <s v="Sistema Isolado - Regular"/>
    <x v="1"/>
    <x v="0"/>
    <x v="1"/>
    <x v="0"/>
    <x v="0"/>
    <x v="0"/>
    <x v="2"/>
    <x v="4"/>
    <n v="1017"/>
    <n v="1017"/>
    <n v="21.17"/>
    <n v="21.17"/>
    <n v="21.17"/>
    <n v="21.17"/>
    <n v="0"/>
    <x v="1"/>
    <n v="0"/>
    <n v="28"/>
    <n v="30"/>
    <n v="66"/>
    <n v="52.99"/>
    <n v="149.63"/>
    <n v="389.28"/>
    <n v="59.276351675174958"/>
    <n v="54.203801879475932"/>
    <n v="454.3285679284046"/>
    <n v="53890.83"/>
    <n v="3167.6671000000001"/>
    <n v="8241.0576000000001"/>
    <n v="60284.049653652932"/>
    <n v="1147.4944857885055"/>
    <n v="9618.1357830443267"/>
  </r>
  <r>
    <s v="Sistema de Compensação"/>
    <x v="1"/>
    <x v="0"/>
    <x v="1"/>
    <x v="0"/>
    <x v="0"/>
    <x v="0"/>
    <x v="2"/>
    <x v="4"/>
    <n v="1600"/>
    <n v="1600"/>
    <n v="97.075999999999993"/>
    <n v="97.075999999999993"/>
    <n v="97.075999999999993"/>
    <n v="97.075999999999993"/>
    <n v="0"/>
    <x v="1"/>
    <n v="0"/>
    <n v="28"/>
    <n v="30"/>
    <n v="66"/>
    <n v="52.99"/>
    <n v="149.63"/>
    <n v="389.28"/>
    <n v="59.276351675174958"/>
    <n v="54.203801879475932"/>
    <n v="454.3285679284046"/>
    <n v="84784"/>
    <n v="14525.481879999999"/>
    <n v="37789.745279999996"/>
    <n v="94842.162680279929"/>
    <n v="5261.8882712520053"/>
    <n v="44104.400060217798"/>
  </r>
  <r>
    <s v="Regular"/>
    <x v="1"/>
    <x v="0"/>
    <x v="1"/>
    <x v="0"/>
    <x v="0"/>
    <x v="0"/>
    <x v="2"/>
    <x v="4"/>
    <n v="5790"/>
    <n v="5790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306812.10000000003"/>
    <n v="0"/>
    <n v="0"/>
    <n v="343210.07619926299"/>
    <n v="0"/>
    <n v="0"/>
  </r>
  <r>
    <s v="Regular"/>
    <x v="1"/>
    <x v="0"/>
    <x v="1"/>
    <x v="0"/>
    <x v="0"/>
    <x v="0"/>
    <x v="2"/>
    <x v="5"/>
    <n v="20980"/>
    <n v="20980"/>
    <n v="551.23099999999999"/>
    <n v="551.23099999999999"/>
    <n v="551.23099999999999"/>
    <n v="551.23099999999999"/>
    <n v="0"/>
    <x v="1"/>
    <n v="0"/>
    <n v="28"/>
    <n v="30"/>
    <n v="66"/>
    <n v="52.99"/>
    <n v="149.63"/>
    <n v="389.28"/>
    <n v="59.276351675174958"/>
    <n v="54.203801879475932"/>
    <n v="454.3285679284046"/>
    <n v="1111730.2"/>
    <n v="82480.694529999993"/>
    <n v="214583.20367999998"/>
    <n v="1243617.8581451706"/>
    <n v="29878.815913825398"/>
    <n v="250439.99082774238"/>
  </r>
  <r>
    <s v="Sistema Isolado - Regular"/>
    <x v="1"/>
    <x v="0"/>
    <x v="1"/>
    <x v="0"/>
    <x v="0"/>
    <x v="0"/>
    <x v="2"/>
    <x v="5"/>
    <n v="838"/>
    <n v="838"/>
    <n v="19.206"/>
    <n v="19.206"/>
    <n v="19.206"/>
    <n v="19.206"/>
    <n v="0"/>
    <x v="1"/>
    <n v="0"/>
    <n v="28"/>
    <n v="30"/>
    <n v="66"/>
    <n v="52.99"/>
    <n v="149.63"/>
    <n v="389.28"/>
    <n v="59.276351675174958"/>
    <n v="54.203801879475932"/>
    <n v="454.3285679284046"/>
    <n v="44405.62"/>
    <n v="2873.79378"/>
    <n v="7476.5116799999996"/>
    <n v="49673.582703796616"/>
    <n v="1041.0382188972146"/>
    <n v="8725.8344756329388"/>
  </r>
  <r>
    <s v="Sistema Isolado - Refaturamento"/>
    <x v="1"/>
    <x v="0"/>
    <x v="1"/>
    <x v="0"/>
    <x v="0"/>
    <x v="0"/>
    <x v="2"/>
    <x v="5"/>
    <n v="0"/>
    <n v="0"/>
    <n v="-1"/>
    <n v="-1"/>
    <n v="-1"/>
    <n v="-1"/>
    <n v="0"/>
    <x v="1"/>
    <n v="0"/>
    <n v="0"/>
    <n v="30"/>
    <n v="66"/>
    <n v="0"/>
    <n v="149.63"/>
    <n v="389.28"/>
    <n v="59.276351675174958"/>
    <n v="54.203801879475932"/>
    <n v="454.3285679284046"/>
    <n v="0"/>
    <n v="-149.63"/>
    <n v="-389.28"/>
    <n v="0"/>
    <n v="-54.203801879475932"/>
    <n v="-454.3285679284046"/>
  </r>
  <r>
    <s v="Sistema de Compensação"/>
    <x v="1"/>
    <x v="0"/>
    <x v="1"/>
    <x v="0"/>
    <x v="0"/>
    <x v="0"/>
    <x v="2"/>
    <x v="5"/>
    <n v="1600"/>
    <n v="1600"/>
    <n v="84.293999999999997"/>
    <n v="84.293999999999997"/>
    <n v="84.293999999999997"/>
    <n v="84.293999999999997"/>
    <n v="0"/>
    <x v="1"/>
    <n v="0"/>
    <n v="28"/>
    <n v="30"/>
    <n v="66"/>
    <n v="52.99"/>
    <n v="149.63"/>
    <n v="389.28"/>
    <n v="59.276351675174958"/>
    <n v="54.203801879475932"/>
    <n v="454.3285679284046"/>
    <n v="84784"/>
    <n v="12612.91122"/>
    <n v="32813.96832"/>
    <n v="94842.162680279929"/>
    <n v="4569.0552756285442"/>
    <n v="38297.172304956934"/>
  </r>
  <r>
    <s v="Regular"/>
    <x v="1"/>
    <x v="0"/>
    <x v="1"/>
    <x v="0"/>
    <x v="0"/>
    <x v="0"/>
    <x v="2"/>
    <x v="5"/>
    <n v="5982"/>
    <n v="5982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316986.18"/>
    <n v="0"/>
    <n v="0"/>
    <n v="354591.13572089659"/>
    <n v="0"/>
    <n v="0"/>
  </r>
  <r>
    <s v="Regular"/>
    <x v="1"/>
    <x v="0"/>
    <x v="1"/>
    <x v="0"/>
    <x v="0"/>
    <x v="0"/>
    <x v="2"/>
    <x v="6"/>
    <n v="17524"/>
    <n v="17524"/>
    <n v="482.47800000000001"/>
    <n v="482.47800000000001"/>
    <n v="482.47800000000001"/>
    <n v="482.47800000000001"/>
    <n v="0"/>
    <x v="1"/>
    <n v="0"/>
    <n v="28"/>
    <n v="30"/>
    <n v="66"/>
    <n v="52.99"/>
    <n v="149.63"/>
    <n v="389.28"/>
    <n v="59.276351675174958"/>
    <n v="54.203801879475932"/>
    <n v="454.3285679284046"/>
    <n v="928596.76"/>
    <n v="72193.183139999994"/>
    <n v="187819.03584"/>
    <n v="1038758.7867557659"/>
    <n v="26152.141923205789"/>
    <n v="219203.53879696078"/>
  </r>
  <r>
    <s v="Refaturamento - Regular"/>
    <x v="1"/>
    <x v="0"/>
    <x v="1"/>
    <x v="0"/>
    <x v="0"/>
    <x v="0"/>
    <x v="2"/>
    <x v="6"/>
    <n v="1232"/>
    <n v="1232"/>
    <n v="68.334000000000003"/>
    <n v="68.334000000000003"/>
    <n v="68.334000000000003"/>
    <n v="68.334000000000003"/>
    <n v="0"/>
    <x v="1"/>
    <n v="0"/>
    <n v="28"/>
    <n v="30"/>
    <n v="66"/>
    <n v="52.99"/>
    <n v="149.63"/>
    <n v="389.28"/>
    <n v="59.276351675174958"/>
    <n v="54.203801879475932"/>
    <n v="454.3285679284046"/>
    <n v="65283.68"/>
    <n v="10224.816420000001"/>
    <n v="26601.059519999999"/>
    <n v="73028.465263815553"/>
    <n v="3703.9625976321086"/>
    <n v="31046.088360819602"/>
  </r>
  <r>
    <s v="Sistema Isolado - Regular"/>
    <x v="1"/>
    <x v="0"/>
    <x v="1"/>
    <x v="0"/>
    <x v="0"/>
    <x v="0"/>
    <x v="2"/>
    <x v="6"/>
    <n v="838"/>
    <n v="838"/>
    <n v="18.315999999999999"/>
    <n v="18.315999999999999"/>
    <n v="18.315999999999999"/>
    <n v="18.315999999999999"/>
    <n v="0"/>
    <x v="1"/>
    <n v="0"/>
    <n v="28"/>
    <n v="30"/>
    <n v="66"/>
    <n v="52.99"/>
    <n v="149.63"/>
    <n v="389.28"/>
    <n v="59.276351675174958"/>
    <n v="54.203801879475932"/>
    <n v="454.3285679284046"/>
    <n v="44405.62"/>
    <n v="2740.6230799999998"/>
    <n v="7130.0524799999994"/>
    <n v="49673.582703796616"/>
    <n v="992.79683522448113"/>
    <n v="8321.482050176659"/>
  </r>
  <r>
    <s v="Sistema de Compensação"/>
    <x v="1"/>
    <x v="0"/>
    <x v="1"/>
    <x v="0"/>
    <x v="0"/>
    <x v="0"/>
    <x v="2"/>
    <x v="6"/>
    <n v="1600"/>
    <n v="1600"/>
    <n v="87.64"/>
    <n v="87.64"/>
    <n v="87.64"/>
    <n v="87.64"/>
    <n v="0"/>
    <x v="1"/>
    <n v="0"/>
    <n v="28"/>
    <n v="30"/>
    <n v="66"/>
    <n v="52.99"/>
    <n v="149.63"/>
    <n v="389.28"/>
    <n v="59.276351675174958"/>
    <n v="54.203801879475932"/>
    <n v="454.3285679284046"/>
    <n v="84784"/>
    <n v="13113.573199999999"/>
    <n v="34116.499199999998"/>
    <n v="94842.162680279929"/>
    <n v="4750.4211967172705"/>
    <n v="39817.355693245379"/>
  </r>
  <r>
    <s v="Regular"/>
    <x v="1"/>
    <x v="0"/>
    <x v="1"/>
    <x v="0"/>
    <x v="0"/>
    <x v="0"/>
    <x v="2"/>
    <x v="6"/>
    <n v="5600"/>
    <n v="5600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296744"/>
    <n v="0"/>
    <n v="0"/>
    <n v="331947.56938097975"/>
    <n v="0"/>
    <n v="0"/>
  </r>
  <r>
    <s v="Regular"/>
    <x v="1"/>
    <x v="0"/>
    <x v="1"/>
    <x v="0"/>
    <x v="0"/>
    <x v="0"/>
    <x v="2"/>
    <x v="7"/>
    <n v="16434"/>
    <n v="16434"/>
    <n v="493.84199999999998"/>
    <n v="493.84199999999998"/>
    <n v="493.84199999999998"/>
    <n v="493.84199999999998"/>
    <n v="0"/>
    <x v="1"/>
    <n v="0"/>
    <n v="28"/>
    <n v="30"/>
    <n v="66"/>
    <n v="52.99"/>
    <n v="149.63"/>
    <n v="389.28"/>
    <n v="59.276351675174958"/>
    <n v="54.203801879475932"/>
    <n v="454.3285679284046"/>
    <n v="870837.66"/>
    <n v="73893.57845999999"/>
    <n v="192242.81375999999"/>
    <n v="974147.56342982524"/>
    <n v="26768.113927764152"/>
    <n v="224366.52864289918"/>
  </r>
  <r>
    <s v="Refaturamento - Regular"/>
    <x v="1"/>
    <x v="0"/>
    <x v="1"/>
    <x v="0"/>
    <x v="0"/>
    <x v="0"/>
    <x v="2"/>
    <x v="7"/>
    <n v="-302"/>
    <n v="-302"/>
    <n v="-5.3730000000000002"/>
    <n v="-5.3730000000000002"/>
    <n v="-5.3730000000000002"/>
    <n v="-5.3730000000000002"/>
    <n v="0"/>
    <x v="1"/>
    <n v="0"/>
    <n v="28"/>
    <n v="30"/>
    <n v="66"/>
    <n v="52.99"/>
    <n v="149.63"/>
    <n v="389.28"/>
    <n v="59.276351675174958"/>
    <n v="54.203801879475932"/>
    <n v="454.3285679284046"/>
    <n v="-16002.980000000001"/>
    <n v="-803.96199000000001"/>
    <n v="-2091.6014399999999"/>
    <n v="-17901.458205902836"/>
    <n v="-291.2370274984242"/>
    <n v="-2441.1073954793178"/>
  </r>
  <r>
    <s v="Sistema Isolado - Regular"/>
    <x v="1"/>
    <x v="0"/>
    <x v="1"/>
    <x v="0"/>
    <x v="0"/>
    <x v="0"/>
    <x v="2"/>
    <x v="7"/>
    <n v="838"/>
    <n v="838"/>
    <n v="20.436"/>
    <n v="20.436"/>
    <n v="20.436"/>
    <n v="20.436"/>
    <n v="0"/>
    <x v="1"/>
    <n v="0"/>
    <n v="28"/>
    <n v="30"/>
    <n v="66"/>
    <n v="52.99"/>
    <n v="149.63"/>
    <n v="389.28"/>
    <n v="59.276351675174958"/>
    <n v="54.203801879475932"/>
    <n v="454.3285679284046"/>
    <n v="44405.62"/>
    <n v="3057.8386799999998"/>
    <n v="7955.3260799999998"/>
    <n v="49673.582703796616"/>
    <n v="1107.7088952089703"/>
    <n v="9284.6586141848766"/>
  </r>
  <r>
    <s v="Sistema Isolado - Refaturamento"/>
    <x v="1"/>
    <x v="0"/>
    <x v="1"/>
    <x v="0"/>
    <x v="0"/>
    <x v="0"/>
    <x v="2"/>
    <x v="7"/>
    <n v="-50"/>
    <n v="-50"/>
    <n v="-1.369"/>
    <n v="-1.369"/>
    <n v="-1.369"/>
    <n v="-1.369"/>
    <n v="0"/>
    <x v="1"/>
    <n v="0"/>
    <n v="28"/>
    <n v="30"/>
    <n v="66"/>
    <n v="52.99"/>
    <n v="149.63"/>
    <n v="389.28"/>
    <n v="59.276351675174958"/>
    <n v="54.203801879475932"/>
    <n v="454.3285679284046"/>
    <n v="-2649.5"/>
    <n v="-204.84347"/>
    <n v="-532.92431999999997"/>
    <n v="-2963.8175837587478"/>
    <n v="-74.205004773002557"/>
    <n v="-621.97580949398593"/>
  </r>
  <r>
    <s v="Sistema de Compensação"/>
    <x v="1"/>
    <x v="0"/>
    <x v="1"/>
    <x v="0"/>
    <x v="0"/>
    <x v="0"/>
    <x v="2"/>
    <x v="7"/>
    <n v="2060"/>
    <n v="2060"/>
    <n v="89.927999999999997"/>
    <n v="89.927999999999997"/>
    <n v="89.927999999999997"/>
    <n v="89.927999999999997"/>
    <n v="0"/>
    <x v="1"/>
    <n v="0"/>
    <n v="28"/>
    <n v="30"/>
    <n v="66"/>
    <n v="52.99"/>
    <n v="149.63"/>
    <n v="389.28"/>
    <n v="59.276351675174958"/>
    <n v="54.203801879475932"/>
    <n v="454.3285679284046"/>
    <n v="109159.40000000001"/>
    <n v="13455.92664"/>
    <n v="35007.171839999995"/>
    <n v="122109.28445086042"/>
    <n v="4874.4394954175114"/>
    <n v="40856.859456665567"/>
  </r>
  <r>
    <s v="Regular"/>
    <x v="1"/>
    <x v="0"/>
    <x v="1"/>
    <x v="0"/>
    <x v="0"/>
    <x v="0"/>
    <x v="2"/>
    <x v="7"/>
    <n v="5932"/>
    <n v="5932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314336.68"/>
    <n v="0"/>
    <n v="0"/>
    <n v="351627.31813713786"/>
    <n v="0"/>
    <n v="0"/>
  </r>
  <r>
    <s v="Regular"/>
    <x v="1"/>
    <x v="0"/>
    <x v="1"/>
    <x v="0"/>
    <x v="0"/>
    <x v="0"/>
    <x v="2"/>
    <x v="8"/>
    <n v="15321"/>
    <n v="15321"/>
    <n v="518.35500000000002"/>
    <n v="518.35500000000002"/>
    <n v="518.35500000000002"/>
    <n v="518.35500000000002"/>
    <n v="0"/>
    <x v="1"/>
    <n v="0"/>
    <n v="28"/>
    <n v="30"/>
    <n v="66"/>
    <n v="52.99"/>
    <n v="149.63"/>
    <n v="389.28"/>
    <n v="59.276351675174958"/>
    <n v="54.203801879475932"/>
    <n v="454.3285679284046"/>
    <n v="811859.79"/>
    <n v="77561.45865"/>
    <n v="201785.23439999999"/>
    <n v="908172.98401535559"/>
    <n v="28096.811723235747"/>
    <n v="235503.48482852816"/>
  </r>
  <r>
    <s v="Refaturamento - Regular"/>
    <x v="1"/>
    <x v="0"/>
    <x v="1"/>
    <x v="0"/>
    <x v="0"/>
    <x v="0"/>
    <x v="2"/>
    <x v="8"/>
    <n v="-1200"/>
    <n v="-1200"/>
    <n v="0"/>
    <n v="0"/>
    <n v="0"/>
    <n v="0"/>
    <n v="0"/>
    <x v="1"/>
    <n v="0"/>
    <n v="28"/>
    <n v="0"/>
    <n v="0"/>
    <n v="52.99"/>
    <n v="0"/>
    <n v="0"/>
    <n v="59.276351675174958"/>
    <n v="54.203801879475932"/>
    <n v="454.3285679284046"/>
    <n v="-63588"/>
    <n v="0"/>
    <n v="0"/>
    <n v="-71131.622010209947"/>
    <n v="0"/>
    <n v="0"/>
  </r>
  <r>
    <s v="Sistema Isolado - Regular"/>
    <x v="1"/>
    <x v="0"/>
    <x v="1"/>
    <x v="0"/>
    <x v="0"/>
    <x v="0"/>
    <x v="2"/>
    <x v="8"/>
    <n v="853"/>
    <n v="853"/>
    <n v="20.863"/>
    <n v="20.863"/>
    <n v="20.863"/>
    <n v="20.863"/>
    <n v="0"/>
    <x v="1"/>
    <n v="0"/>
    <n v="28"/>
    <n v="30"/>
    <n v="66"/>
    <n v="52.99"/>
    <n v="149.63"/>
    <n v="389.28"/>
    <n v="59.276351675174958"/>
    <n v="54.203801879475932"/>
    <n v="454.3285679284046"/>
    <n v="45200.47"/>
    <n v="3121.7306899999999"/>
    <n v="8121.5486399999991"/>
    <n v="50562.727978924238"/>
    <n v="1130.8539186115063"/>
    <n v="9478.656912690305"/>
  </r>
  <r>
    <s v="Sistema de Compensação"/>
    <x v="1"/>
    <x v="0"/>
    <x v="1"/>
    <x v="0"/>
    <x v="0"/>
    <x v="0"/>
    <x v="2"/>
    <x v="8"/>
    <n v="2430"/>
    <n v="2430"/>
    <n v="99.884"/>
    <n v="99.884"/>
    <n v="99.884"/>
    <n v="99.884"/>
    <n v="0"/>
    <x v="1"/>
    <n v="0"/>
    <n v="28"/>
    <n v="30"/>
    <n v="66"/>
    <n v="52.99"/>
    <n v="149.63"/>
    <n v="389.28"/>
    <n v="59.276351675174958"/>
    <n v="54.203801879475932"/>
    <n v="454.3285679284046"/>
    <n v="128765.70000000001"/>
    <n v="14945.64292"/>
    <n v="38882.843519999995"/>
    <n v="144041.53457067514"/>
    <n v="5414.0925469295744"/>
    <n v="45380.154678960767"/>
  </r>
  <r>
    <s v="Regular"/>
    <x v="1"/>
    <x v="0"/>
    <x v="1"/>
    <x v="0"/>
    <x v="0"/>
    <x v="0"/>
    <x v="2"/>
    <x v="8"/>
    <n v="5901"/>
    <n v="5901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312693.99"/>
    <n v="0"/>
    <n v="0"/>
    <n v="349789.75123520743"/>
    <n v="0"/>
    <n v="0"/>
  </r>
  <r>
    <s v="Regular"/>
    <x v="1"/>
    <x v="0"/>
    <x v="1"/>
    <x v="0"/>
    <x v="0"/>
    <x v="0"/>
    <x v="2"/>
    <x v="9"/>
    <n v="16061"/>
    <n v="16061"/>
    <n v="537.82000000000005"/>
    <n v="537.82000000000005"/>
    <n v="537.82000000000005"/>
    <n v="537.82000000000005"/>
    <n v="0"/>
    <x v="1"/>
    <n v="0"/>
    <n v="28"/>
    <n v="30"/>
    <n v="66"/>
    <n v="52.99"/>
    <n v="149.63"/>
    <n v="389.28"/>
    <n v="59.276351675174958"/>
    <n v="54.203801879475932"/>
    <n v="454.3285679284046"/>
    <n v="851072.39"/>
    <n v="80474.006600000008"/>
    <n v="209362.56960000002"/>
    <n v="952037.484254985"/>
    <n v="29151.88872681975"/>
    <n v="244346.99040325457"/>
  </r>
  <r>
    <s v="Refaturamento - Regular"/>
    <x v="1"/>
    <x v="0"/>
    <x v="1"/>
    <x v="0"/>
    <x v="0"/>
    <x v="0"/>
    <x v="2"/>
    <x v="9"/>
    <n v="-500"/>
    <n v="-500"/>
    <n v="0"/>
    <n v="0"/>
    <n v="0"/>
    <n v="0"/>
    <n v="0"/>
    <x v="1"/>
    <n v="0"/>
    <n v="28"/>
    <n v="0"/>
    <n v="0"/>
    <n v="52.99"/>
    <n v="0"/>
    <n v="0"/>
    <n v="59.276351675174958"/>
    <n v="54.203801879475932"/>
    <n v="454.3285679284046"/>
    <n v="-26495"/>
    <n v="0"/>
    <n v="0"/>
    <n v="-29638.175837587478"/>
    <n v="0"/>
    <n v="0"/>
  </r>
  <r>
    <s v="Sistema Isolado - Regular"/>
    <x v="1"/>
    <x v="0"/>
    <x v="1"/>
    <x v="0"/>
    <x v="0"/>
    <x v="0"/>
    <x v="2"/>
    <x v="9"/>
    <n v="845"/>
    <n v="845"/>
    <n v="20.427"/>
    <n v="20.427"/>
    <n v="20.427"/>
    <n v="20.427"/>
    <n v="0"/>
    <x v="1"/>
    <n v="0"/>
    <n v="28"/>
    <n v="30"/>
    <n v="66"/>
    <n v="52.99"/>
    <n v="149.63"/>
    <n v="389.28"/>
    <n v="59.276351675174958"/>
    <n v="54.203801879475932"/>
    <n v="454.3285679284046"/>
    <n v="44776.55"/>
    <n v="3056.4920099999999"/>
    <n v="7951.8225599999996"/>
    <n v="50088.517165522841"/>
    <n v="1107.2210609920548"/>
    <n v="9280.5696570735199"/>
  </r>
  <r>
    <s v="Sistema de Compensação"/>
    <x v="1"/>
    <x v="0"/>
    <x v="1"/>
    <x v="0"/>
    <x v="0"/>
    <x v="0"/>
    <x v="2"/>
    <x v="9"/>
    <n v="2045"/>
    <n v="2045"/>
    <n v="103.642"/>
    <n v="103.642"/>
    <n v="103.642"/>
    <n v="103.642"/>
    <n v="0"/>
    <x v="1"/>
    <n v="0"/>
    <n v="28"/>
    <n v="30"/>
    <n v="66"/>
    <n v="52.99"/>
    <n v="149.63"/>
    <n v="389.28"/>
    <n v="59.276351675174958"/>
    <n v="54.203801879475932"/>
    <n v="454.3285679284046"/>
    <n v="108364.55"/>
    <n v="15507.952459999999"/>
    <n v="40345.757759999993"/>
    <n v="121220.13917573279"/>
    <n v="5617.7904343926448"/>
    <n v="47087.521437235708"/>
  </r>
  <r>
    <s v="Sistema de Compensação"/>
    <x v="1"/>
    <x v="0"/>
    <x v="1"/>
    <x v="0"/>
    <x v="0"/>
    <x v="0"/>
    <x v="2"/>
    <x v="9"/>
    <n v="-383"/>
    <n v="-383"/>
    <n v="0"/>
    <n v="0"/>
    <n v="0"/>
    <n v="0"/>
    <n v="0"/>
    <x v="1"/>
    <n v="0"/>
    <n v="28"/>
    <n v="0"/>
    <n v="0"/>
    <n v="52.99"/>
    <n v="0"/>
    <n v="0"/>
    <n v="59.276351675174958"/>
    <n v="54.203801879475932"/>
    <n v="454.3285679284046"/>
    <n v="-20295.170000000002"/>
    <n v="0"/>
    <n v="0"/>
    <n v="-22702.84269159201"/>
    <n v="0"/>
    <n v="0"/>
  </r>
  <r>
    <s v="Regular"/>
    <x v="1"/>
    <x v="0"/>
    <x v="1"/>
    <x v="0"/>
    <x v="0"/>
    <x v="0"/>
    <x v="2"/>
    <x v="9"/>
    <n v="5891"/>
    <n v="5891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312164.09000000003"/>
    <n v="0"/>
    <n v="0"/>
    <n v="349196.98771845567"/>
    <n v="0"/>
    <n v="0"/>
  </r>
  <r>
    <s v="Regular"/>
    <x v="1"/>
    <x v="0"/>
    <x v="1"/>
    <x v="0"/>
    <x v="0"/>
    <x v="0"/>
    <x v="2"/>
    <x v="10"/>
    <n v="14900"/>
    <n v="14900"/>
    <n v="500.42399999999998"/>
    <n v="500.42399999999998"/>
    <n v="500.42399999999998"/>
    <n v="500.42399999999998"/>
    <n v="0"/>
    <x v="1"/>
    <n v="0"/>
    <n v="28"/>
    <n v="30"/>
    <n v="66"/>
    <n v="52.99"/>
    <n v="149.63"/>
    <n v="389.28"/>
    <n v="59.276351675174958"/>
    <n v="54.203801879475932"/>
    <n v="454.3285679284046"/>
    <n v="789551"/>
    <n v="74878.443119999996"/>
    <n v="194805.05471999999"/>
    <n v="883217.63996010693"/>
    <n v="27124.883351734861"/>
    <n v="227356.91927700394"/>
  </r>
  <r>
    <s v="Sistema Isolado - Regular"/>
    <x v="1"/>
    <x v="0"/>
    <x v="1"/>
    <x v="0"/>
    <x v="0"/>
    <x v="0"/>
    <x v="2"/>
    <x v="10"/>
    <n v="845"/>
    <n v="845"/>
    <n v="20.571999999999999"/>
    <n v="20.571999999999999"/>
    <n v="20.571999999999999"/>
    <n v="20.571999999999999"/>
    <n v="0"/>
    <x v="1"/>
    <n v="0"/>
    <n v="28"/>
    <n v="30"/>
    <n v="66"/>
    <n v="52.99"/>
    <n v="149.63"/>
    <n v="389.28"/>
    <n v="59.276351675174958"/>
    <n v="54.203801879475932"/>
    <n v="454.3285679284046"/>
    <n v="44776.55"/>
    <n v="3078.1883599999996"/>
    <n v="8008.2681599999987"/>
    <n v="50088.517165522841"/>
    <n v="1115.0806122645788"/>
    <n v="9346.4472994231382"/>
  </r>
  <r>
    <s v="Sistema de Compensação"/>
    <x v="1"/>
    <x v="0"/>
    <x v="1"/>
    <x v="0"/>
    <x v="0"/>
    <x v="0"/>
    <x v="2"/>
    <x v="10"/>
    <n v="2150"/>
    <n v="2150"/>
    <n v="80.619"/>
    <n v="80.619"/>
    <n v="80.619"/>
    <n v="80.619"/>
    <n v="0"/>
    <x v="1"/>
    <n v="0"/>
    <n v="28"/>
    <n v="30"/>
    <n v="66"/>
    <n v="52.99"/>
    <n v="149.63"/>
    <n v="389.28"/>
    <n v="59.276351675174958"/>
    <n v="54.203801879475932"/>
    <n v="454.3285679284046"/>
    <n v="113928.5"/>
    <n v="12063.02097"/>
    <n v="31383.364319999997"/>
    <n v="127444.15610162615"/>
    <n v="4369.8563037214699"/>
    <n v="36627.514817820047"/>
  </r>
  <r>
    <s v="Regular"/>
    <x v="1"/>
    <x v="0"/>
    <x v="1"/>
    <x v="0"/>
    <x v="0"/>
    <x v="0"/>
    <x v="2"/>
    <x v="10"/>
    <n v="5871"/>
    <n v="5871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311104.29000000004"/>
    <n v="0"/>
    <n v="0"/>
    <n v="348011.46068495215"/>
    <n v="0"/>
    <n v="0"/>
  </r>
  <r>
    <s v="PROJETADO"/>
    <x v="1"/>
    <x v="0"/>
    <x v="1"/>
    <x v="0"/>
    <x v="0"/>
    <x v="0"/>
    <x v="2"/>
    <x v="11"/>
    <n v="14900"/>
    <n v="14900"/>
    <n v="500.42399999999998"/>
    <n v="500.42399999999998"/>
    <n v="500.42399999999998"/>
    <n v="500.42399999999998"/>
    <n v="0"/>
    <x v="1"/>
    <n v="0"/>
    <n v="28"/>
    <n v="30"/>
    <n v="66"/>
    <n v="52.99"/>
    <n v="149.63"/>
    <n v="389.28"/>
    <n v="59.276351675174958"/>
    <n v="54.203801879475932"/>
    <n v="454.3285679284046"/>
    <n v="789551"/>
    <n v="74878.443119999996"/>
    <n v="194805.05471999999"/>
    <n v="883217.63996010693"/>
    <n v="27124.883351734861"/>
    <n v="227356.91927700394"/>
  </r>
  <r>
    <s v="PROJETADO"/>
    <x v="1"/>
    <x v="0"/>
    <x v="1"/>
    <x v="0"/>
    <x v="0"/>
    <x v="0"/>
    <x v="2"/>
    <x v="11"/>
    <n v="845"/>
    <n v="845"/>
    <n v="20.571999999999999"/>
    <n v="20.571999999999999"/>
    <n v="20.571999999999999"/>
    <n v="20.571999999999999"/>
    <n v="0"/>
    <x v="1"/>
    <n v="0"/>
    <n v="28"/>
    <n v="30"/>
    <n v="66"/>
    <n v="52.99"/>
    <n v="149.63"/>
    <n v="389.28"/>
    <n v="59.276351675174958"/>
    <n v="54.203801879475932"/>
    <n v="454.3285679284046"/>
    <n v="44776.55"/>
    <n v="3078.1883599999996"/>
    <n v="8008.2681599999987"/>
    <n v="50088.517165522841"/>
    <n v="1115.0806122645788"/>
    <n v="9346.4472994231382"/>
  </r>
  <r>
    <s v="PROJETADO"/>
    <x v="1"/>
    <x v="0"/>
    <x v="1"/>
    <x v="0"/>
    <x v="0"/>
    <x v="0"/>
    <x v="2"/>
    <x v="11"/>
    <n v="2150"/>
    <n v="2150"/>
    <n v="80.619"/>
    <n v="80.619"/>
    <n v="80.619"/>
    <n v="80.619"/>
    <n v="0"/>
    <x v="1"/>
    <n v="0"/>
    <n v="28"/>
    <n v="30"/>
    <n v="66"/>
    <n v="52.99"/>
    <n v="149.63"/>
    <n v="389.28"/>
    <n v="59.276351675174958"/>
    <n v="54.203801879475932"/>
    <n v="454.3285679284046"/>
    <n v="113928.5"/>
    <n v="12063.02097"/>
    <n v="31383.364319999997"/>
    <n v="127444.15610162615"/>
    <n v="4369.8563037214699"/>
    <n v="36627.514817820047"/>
  </r>
  <r>
    <s v="PROJETADO"/>
    <x v="1"/>
    <x v="0"/>
    <x v="1"/>
    <x v="0"/>
    <x v="0"/>
    <x v="0"/>
    <x v="2"/>
    <x v="11"/>
    <n v="5871"/>
    <n v="5871"/>
    <n v="0"/>
    <n v="0"/>
    <n v="0"/>
    <n v="0"/>
    <n v="0"/>
    <x v="0"/>
    <n v="0"/>
    <n v="28"/>
    <n v="0"/>
    <n v="0"/>
    <n v="52.99"/>
    <n v="0"/>
    <n v="0"/>
    <n v="59.276351675174958"/>
    <n v="54.203801879475932"/>
    <m/>
    <n v="311104.29000000004"/>
    <n v="0"/>
    <n v="0"/>
    <n v="348011.46068495215"/>
    <n v="0"/>
    <n v="0"/>
  </r>
  <r>
    <s v="Regular"/>
    <x v="1"/>
    <x v="0"/>
    <x v="2"/>
    <x v="0"/>
    <x v="0"/>
    <x v="0"/>
    <x v="0"/>
    <x v="0"/>
    <n v="21353"/>
    <n v="21353"/>
    <n v="5635.8059999999996"/>
    <n v="5635.8059999999996"/>
    <n v="5635.8059999999996"/>
    <n v="5635.8059999999996"/>
    <n v="0"/>
    <x v="1"/>
    <n v="0"/>
    <n v="29"/>
    <n v="30"/>
    <n v="67"/>
    <n v="28.57"/>
    <n v="149.63"/>
    <n v="230.03"/>
    <n v="31.93064187172984"/>
    <n v="54.203801879475932"/>
    <n v="282.91739971702214"/>
    <n v="610055.21"/>
    <n v="843285.65177999996"/>
    <n v="1296404.4541799999"/>
    <n v="681814.99588704726"/>
    <n v="305482.11185516173"/>
    <n v="1594467.5788295916"/>
  </r>
  <r>
    <s v="Refaturamento - Regular"/>
    <x v="1"/>
    <x v="0"/>
    <x v="2"/>
    <x v="0"/>
    <x v="0"/>
    <x v="0"/>
    <x v="0"/>
    <x v="0"/>
    <n v="26"/>
    <n v="26"/>
    <n v="0"/>
    <n v="0"/>
    <n v="0"/>
    <n v="0"/>
    <n v="0"/>
    <x v="1"/>
    <n v="0"/>
    <n v="29"/>
    <n v="0"/>
    <n v="0"/>
    <n v="28.57"/>
    <n v="0"/>
    <n v="0"/>
    <n v="31.93064187172984"/>
    <n v="54.203801879475932"/>
    <n v="282.91739971702214"/>
    <n v="742.82"/>
    <n v="0"/>
    <n v="0"/>
    <n v="830.1966886649758"/>
    <n v="0"/>
    <n v="0"/>
  </r>
  <r>
    <s v="Sistema Isolado - Regular"/>
    <x v="1"/>
    <x v="0"/>
    <x v="2"/>
    <x v="0"/>
    <x v="0"/>
    <x v="0"/>
    <x v="0"/>
    <x v="0"/>
    <n v="6145"/>
    <n v="6145"/>
    <n v="1475.3420000000001"/>
    <n v="1475.3420000000001"/>
    <n v="1475.3420000000001"/>
    <n v="1475.3420000000001"/>
    <n v="0"/>
    <x v="1"/>
    <n v="0"/>
    <n v="29"/>
    <n v="30"/>
    <n v="67"/>
    <n v="28.57"/>
    <n v="149.63"/>
    <n v="230.03"/>
    <n v="31.93064187172984"/>
    <n v="54.203801879475932"/>
    <n v="282.91739971702214"/>
    <n v="175562.65"/>
    <n v="220755.42346000002"/>
    <n v="339372.92026000004"/>
    <n v="196213.79430177985"/>
    <n v="79969.145472469783"/>
    <n v="417399.92233331088"/>
  </r>
  <r>
    <s v="Regular"/>
    <x v="1"/>
    <x v="0"/>
    <x v="2"/>
    <x v="0"/>
    <x v="0"/>
    <x v="0"/>
    <x v="0"/>
    <x v="1"/>
    <n v="21189"/>
    <n v="21189"/>
    <n v="5468.9459999999999"/>
    <n v="5468.9459999999999"/>
    <n v="5468.9459999999999"/>
    <n v="5468.9459999999999"/>
    <n v="0"/>
    <x v="1"/>
    <n v="0"/>
    <n v="29"/>
    <n v="30"/>
    <n v="67"/>
    <n v="28.57"/>
    <n v="149.63"/>
    <n v="230.03"/>
    <n v="31.93064187172984"/>
    <n v="54.203801879475932"/>
    <n v="282.91739971702214"/>
    <n v="605369.73"/>
    <n v="818318.38997999998"/>
    <n v="1258021.6483799999"/>
    <n v="676578.37062008353"/>
    <n v="296437.66547355236"/>
    <n v="1547259.9815128094"/>
  </r>
  <r>
    <s v="Sistema Isolado - Regular"/>
    <x v="1"/>
    <x v="0"/>
    <x v="2"/>
    <x v="0"/>
    <x v="0"/>
    <x v="0"/>
    <x v="0"/>
    <x v="1"/>
    <n v="6330"/>
    <n v="6330"/>
    <n v="1433.1410000000001"/>
    <n v="1433.1410000000001"/>
    <n v="1433.1410000000001"/>
    <n v="1433.1410000000001"/>
    <n v="0"/>
    <x v="1"/>
    <n v="0"/>
    <n v="29"/>
    <n v="30"/>
    <n v="67"/>
    <n v="28.57"/>
    <n v="149.63"/>
    <n v="230.03"/>
    <n v="31.93064187172984"/>
    <n v="54.203801879475932"/>
    <n v="282.91739971702214"/>
    <n v="180848.1"/>
    <n v="214440.88782999999"/>
    <n v="329665.42423"/>
    <n v="202120.96304804989"/>
    <n v="77681.690829354018"/>
    <n v="405460.52514785284"/>
  </r>
  <r>
    <s v="Regular"/>
    <x v="1"/>
    <x v="0"/>
    <x v="2"/>
    <x v="0"/>
    <x v="0"/>
    <x v="0"/>
    <x v="0"/>
    <x v="2"/>
    <n v="21194"/>
    <n v="21194"/>
    <n v="5112.22"/>
    <n v="5112.22"/>
    <n v="5112.22"/>
    <n v="5112.22"/>
    <n v="0"/>
    <x v="1"/>
    <n v="0"/>
    <n v="29"/>
    <n v="30"/>
    <n v="67"/>
    <n v="28.57"/>
    <n v="149.63"/>
    <n v="230.03"/>
    <n v="31.93064187172984"/>
    <n v="54.203801879475932"/>
    <n v="282.91739971702214"/>
    <n v="605512.57999999996"/>
    <n v="764941.47860000003"/>
    <n v="1175963.9666000002"/>
    <n v="676738.02382944222"/>
    <n v="277101.76004429447"/>
    <n v="1446335.9891813549"/>
  </r>
  <r>
    <s v="Sistema Isolado - Regular"/>
    <x v="1"/>
    <x v="0"/>
    <x v="2"/>
    <x v="0"/>
    <x v="0"/>
    <x v="0"/>
    <x v="0"/>
    <x v="2"/>
    <n v="6098"/>
    <n v="6098"/>
    <n v="1402.4"/>
    <n v="1402.4"/>
    <n v="1402.4"/>
    <n v="1402.4"/>
    <n v="0"/>
    <x v="1"/>
    <n v="0"/>
    <n v="29"/>
    <n v="30"/>
    <n v="67"/>
    <n v="28.57"/>
    <n v="149.63"/>
    <n v="230.03"/>
    <n v="31.93064187172984"/>
    <n v="54.203801879475932"/>
    <n v="282.91739971702214"/>
    <n v="174219.86000000002"/>
    <n v="209841.11199999999"/>
    <n v="322594.07200000004"/>
    <n v="194713.05413380856"/>
    <n v="76015.411755777051"/>
    <n v="396763.36136315187"/>
  </r>
  <r>
    <s v="Regular"/>
    <x v="1"/>
    <x v="0"/>
    <x v="2"/>
    <x v="0"/>
    <x v="0"/>
    <x v="0"/>
    <x v="0"/>
    <x v="3"/>
    <n v="21048"/>
    <n v="21048"/>
    <n v="4835.0370000000003"/>
    <n v="4835.0370000000003"/>
    <n v="4835.0370000000003"/>
    <n v="4835.0370000000003"/>
    <n v="0"/>
    <x v="1"/>
    <n v="0"/>
    <n v="29"/>
    <n v="30"/>
    <n v="67"/>
    <n v="28.57"/>
    <n v="149.63"/>
    <n v="230.03"/>
    <n v="31.93064187172984"/>
    <n v="54.203801879475932"/>
    <n v="282.91739971702214"/>
    <n v="601341.36"/>
    <n v="723466.58631000004"/>
    <n v="1112203.5611100001"/>
    <n v="672076.15011616971"/>
    <n v="262077.38762793568"/>
    <n v="1367916.0955755915"/>
  </r>
  <r>
    <s v="Refaturamento - Regular"/>
    <x v="1"/>
    <x v="0"/>
    <x v="2"/>
    <x v="0"/>
    <x v="0"/>
    <x v="0"/>
    <x v="0"/>
    <x v="3"/>
    <n v="-75"/>
    <n v="-75"/>
    <n v="0"/>
    <n v="0"/>
    <n v="0"/>
    <n v="0"/>
    <n v="0"/>
    <x v="1"/>
    <n v="0"/>
    <n v="29"/>
    <n v="0"/>
    <n v="0"/>
    <n v="28.57"/>
    <n v="0"/>
    <n v="0"/>
    <n v="31.93064187172984"/>
    <n v="54.203801879475932"/>
    <n v="282.91739971702214"/>
    <n v="-2142.75"/>
    <n v="0"/>
    <n v="0"/>
    <n v="-2394.798140379738"/>
    <n v="0"/>
    <n v="0"/>
  </r>
  <r>
    <s v="Sistema Isolado - Regular"/>
    <x v="1"/>
    <x v="0"/>
    <x v="2"/>
    <x v="0"/>
    <x v="0"/>
    <x v="0"/>
    <x v="0"/>
    <x v="3"/>
    <n v="6565"/>
    <n v="6565"/>
    <n v="1459.3009999999999"/>
    <n v="1459.3009999999999"/>
    <n v="1459.3009999999999"/>
    <n v="1459.3009999999999"/>
    <n v="0"/>
    <x v="1"/>
    <n v="0"/>
    <n v="29"/>
    <n v="30"/>
    <n v="67"/>
    <n v="28.57"/>
    <n v="149.63"/>
    <n v="230.03"/>
    <n v="31.93064187172984"/>
    <n v="54.203801879475932"/>
    <n v="282.91739971702214"/>
    <n v="187562.05"/>
    <n v="218355.20862999998"/>
    <n v="335683.00902999996"/>
    <n v="209624.66388790641"/>
    <n v="79099.66228652111"/>
    <n v="412861.64432445011"/>
  </r>
  <r>
    <s v="Sistema Isolado - Refaturamento"/>
    <x v="1"/>
    <x v="0"/>
    <x v="2"/>
    <x v="0"/>
    <x v="0"/>
    <x v="0"/>
    <x v="0"/>
    <x v="3"/>
    <n v="-230"/>
    <n v="-230"/>
    <n v="20.065000000000001"/>
    <n v="20.065000000000001"/>
    <n v="20.065000000000001"/>
    <n v="20.065000000000001"/>
    <n v="0"/>
    <x v="1"/>
    <n v="0"/>
    <n v="29"/>
    <n v="30"/>
    <n v="67"/>
    <n v="28.57"/>
    <n v="149.63"/>
    <n v="230.03"/>
    <n v="31.93064187172984"/>
    <n v="54.203801879475932"/>
    <n v="282.91739971702214"/>
    <n v="-6571.1"/>
    <n v="3002.3259499999999"/>
    <n v="4615.55195"/>
    <n v="-7344.0476304978629"/>
    <n v="1087.5992847116847"/>
    <n v="5676.7376253220491"/>
  </r>
  <r>
    <s v="Regular"/>
    <x v="1"/>
    <x v="0"/>
    <x v="2"/>
    <x v="0"/>
    <x v="0"/>
    <x v="0"/>
    <x v="0"/>
    <x v="4"/>
    <n v="22070"/>
    <n v="22070"/>
    <n v="5257.424"/>
    <n v="5257.424"/>
    <n v="5257.424"/>
    <n v="5257.424"/>
    <n v="0"/>
    <x v="1"/>
    <n v="0"/>
    <n v="29"/>
    <n v="30"/>
    <n v="67"/>
    <n v="28.57"/>
    <n v="149.63"/>
    <n v="230.03"/>
    <n v="31.93064187172984"/>
    <n v="54.203801879475932"/>
    <n v="282.91739971702214"/>
    <n v="630539.9"/>
    <n v="786668.35311999999"/>
    <n v="1209365.24272"/>
    <n v="704709.26610907761"/>
    <n v="284972.36889240186"/>
    <n v="1487416.7272898655"/>
  </r>
  <r>
    <s v="Sistema Isolado - Regular"/>
    <x v="1"/>
    <x v="0"/>
    <x v="2"/>
    <x v="0"/>
    <x v="0"/>
    <x v="0"/>
    <x v="0"/>
    <x v="4"/>
    <n v="5799"/>
    <n v="5799"/>
    <n v="1592.9639999999999"/>
    <n v="1592.9639999999999"/>
    <n v="1592.9639999999999"/>
    <n v="1592.9639999999999"/>
    <n v="0"/>
    <x v="1"/>
    <n v="0"/>
    <n v="29"/>
    <n v="30"/>
    <n v="67"/>
    <n v="28.57"/>
    <n v="149.63"/>
    <n v="230.03"/>
    <n v="31.93064187172984"/>
    <n v="54.203801879475932"/>
    <n v="282.91739971702214"/>
    <n v="165677.43"/>
    <n v="238355.20331999997"/>
    <n v="366429.50891999999"/>
    <n v="185165.79221416134"/>
    <n v="86344.7050571375"/>
    <n v="450677.23272282642"/>
  </r>
  <r>
    <s v="Sistema Isolado - Refaturamento"/>
    <x v="1"/>
    <x v="0"/>
    <x v="2"/>
    <x v="0"/>
    <x v="0"/>
    <x v="0"/>
    <x v="0"/>
    <x v="4"/>
    <n v="275"/>
    <n v="275"/>
    <n v="15.859"/>
    <n v="15.859"/>
    <n v="15.859"/>
    <n v="15.859"/>
    <n v="0"/>
    <x v="1"/>
    <n v="0"/>
    <n v="29"/>
    <n v="30"/>
    <n v="67"/>
    <n v="28.57"/>
    <n v="149.63"/>
    <n v="230.03"/>
    <n v="31.93064187172984"/>
    <n v="54.203801879475932"/>
    <n v="282.91739971702214"/>
    <n v="7856.75"/>
    <n v="2372.9821699999998"/>
    <n v="3648.0457700000002"/>
    <n v="8780.9265147257065"/>
    <n v="859.61809400660877"/>
    <n v="4486.7870421122543"/>
  </r>
  <r>
    <s v="Regular"/>
    <x v="1"/>
    <x v="0"/>
    <x v="2"/>
    <x v="0"/>
    <x v="0"/>
    <x v="0"/>
    <x v="0"/>
    <x v="5"/>
    <n v="21384"/>
    <n v="21384"/>
    <n v="5382.0370000000003"/>
    <n v="5382.0370000000003"/>
    <n v="5382.0370000000003"/>
    <n v="5382.0370000000003"/>
    <n v="0"/>
    <x v="1"/>
    <n v="0"/>
    <n v="29"/>
    <n v="30"/>
    <n v="67"/>
    <n v="28.57"/>
    <n v="149.63"/>
    <n v="230.03"/>
    <n v="31.93064187172984"/>
    <n v="54.203801879475932"/>
    <n v="282.91739971702214"/>
    <n v="610940.88"/>
    <n v="805314.19631000003"/>
    <n v="1238029.97111"/>
    <n v="682804.84578507091"/>
    <n v="291726.86725600902"/>
    <n v="1522671.9132208028"/>
  </r>
  <r>
    <s v="Refaturamento - Regular"/>
    <x v="1"/>
    <x v="0"/>
    <x v="2"/>
    <x v="0"/>
    <x v="0"/>
    <x v="0"/>
    <x v="0"/>
    <x v="5"/>
    <n v="-840"/>
    <n v="-840"/>
    <n v="-1.484"/>
    <n v="-1.484"/>
    <n v="-1.484"/>
    <n v="-1.484"/>
    <n v="0"/>
    <x v="1"/>
    <n v="0"/>
    <n v="29"/>
    <n v="30"/>
    <n v="67"/>
    <n v="28.57"/>
    <n v="149.63"/>
    <n v="230.03"/>
    <n v="31.93064187172984"/>
    <n v="54.203801879475932"/>
    <n v="282.91739971702214"/>
    <n v="-23998.799999999999"/>
    <n v="-222.05091999999999"/>
    <n v="-341.36451999999997"/>
    <n v="-26821.739172253066"/>
    <n v="-80.438441989142277"/>
    <n v="-419.84942118006086"/>
  </r>
  <r>
    <s v="Sistema Isolado - Regular"/>
    <x v="1"/>
    <x v="0"/>
    <x v="2"/>
    <x v="0"/>
    <x v="0"/>
    <x v="0"/>
    <x v="0"/>
    <x v="5"/>
    <n v="5691"/>
    <n v="5691"/>
    <n v="1616.8520000000001"/>
    <n v="1616.8520000000001"/>
    <n v="1616.8520000000001"/>
    <n v="1616.8520000000001"/>
    <n v="0"/>
    <x v="1"/>
    <n v="0"/>
    <n v="29"/>
    <n v="30"/>
    <n v="67"/>
    <n v="28.57"/>
    <n v="149.63"/>
    <n v="230.03"/>
    <n v="31.93064187172984"/>
    <n v="54.203801879475932"/>
    <n v="282.91739971702214"/>
    <n v="162591.87"/>
    <n v="241929.56476000001"/>
    <n v="371924.46556000004"/>
    <n v="181717.28289201451"/>
    <n v="87639.525476434428"/>
    <n v="457435.56356726668"/>
  </r>
  <r>
    <s v="Regular"/>
    <x v="1"/>
    <x v="0"/>
    <x v="2"/>
    <x v="0"/>
    <x v="0"/>
    <x v="0"/>
    <x v="0"/>
    <x v="6"/>
    <n v="20449"/>
    <n v="20449"/>
    <n v="5699.848"/>
    <n v="5699.848"/>
    <n v="5699.848"/>
    <n v="5699.848"/>
    <n v="0"/>
    <x v="1"/>
    <n v="0"/>
    <n v="29"/>
    <n v="30"/>
    <n v="67"/>
    <n v="28.57"/>
    <n v="149.63"/>
    <n v="230.03"/>
    <n v="31.93064187172984"/>
    <n v="54.203801879475932"/>
    <n v="282.91739971702214"/>
    <n v="584227.93000000005"/>
    <n v="852868.25624000002"/>
    <n v="1311136.03544"/>
    <n v="652949.6956350035"/>
    <n v="308953.43173512712"/>
    <n v="1612586.1749422692"/>
  </r>
  <r>
    <s v="Refaturamento - Regular"/>
    <x v="1"/>
    <x v="0"/>
    <x v="2"/>
    <x v="0"/>
    <x v="0"/>
    <x v="0"/>
    <x v="0"/>
    <x v="6"/>
    <n v="-2889"/>
    <n v="-2889"/>
    <n v="-161.61699999999999"/>
    <n v="-161.61699999999999"/>
    <n v="-161.61699999999999"/>
    <n v="-161.61699999999999"/>
    <n v="0"/>
    <x v="1"/>
    <n v="0"/>
    <n v="29"/>
    <n v="30"/>
    <n v="67"/>
    <n v="28.57"/>
    <n v="149.63"/>
    <n v="230.03"/>
    <n v="31.93064187172984"/>
    <n v="54.203801879475932"/>
    <n v="282.91739971702214"/>
    <n v="-82538.73"/>
    <n v="-24182.751709999997"/>
    <n v="-37176.75851"/>
    <n v="-92247.624367427503"/>
    <n v="-8760.2558483552621"/>
    <n v="-45724.261390065963"/>
  </r>
  <r>
    <s v="Sistema Isolado - Regular"/>
    <x v="1"/>
    <x v="0"/>
    <x v="2"/>
    <x v="0"/>
    <x v="0"/>
    <x v="0"/>
    <x v="0"/>
    <x v="6"/>
    <n v="6007"/>
    <n v="6007"/>
    <n v="1564.819"/>
    <n v="1564.819"/>
    <n v="1564.819"/>
    <n v="1564.819"/>
    <n v="0"/>
    <x v="1"/>
    <n v="0"/>
    <n v="29"/>
    <n v="30"/>
    <n v="67"/>
    <n v="28.57"/>
    <n v="149.63"/>
    <n v="230.03"/>
    <n v="31.93064187172984"/>
    <n v="54.203801879475932"/>
    <n v="282.91739971702214"/>
    <n v="171619.99"/>
    <n v="234143.86696999997"/>
    <n v="359955.31456999999"/>
    <n v="191807.36572348114"/>
    <n v="84819.139053239647"/>
    <n v="442714.52250779083"/>
  </r>
  <r>
    <s v="Sistema Isolado - Refaturamento"/>
    <x v="1"/>
    <x v="0"/>
    <x v="2"/>
    <x v="0"/>
    <x v="0"/>
    <x v="0"/>
    <x v="0"/>
    <x v="6"/>
    <n v="-2537"/>
    <n v="-2537"/>
    <n v="-98.445999999999998"/>
    <n v="-98.445999999999998"/>
    <n v="-98.445999999999998"/>
    <n v="-98.445999999999998"/>
    <n v="0"/>
    <x v="1"/>
    <n v="0"/>
    <n v="29"/>
    <n v="30"/>
    <n v="67"/>
    <n v="28.57"/>
    <n v="149.63"/>
    <n v="230.03"/>
    <n v="31.93064187172984"/>
    <n v="54.203801879475932"/>
    <n v="282.91739971702214"/>
    <n v="-72482.09"/>
    <n v="-14730.474979999999"/>
    <n v="-22645.533380000001"/>
    <n v="-81008.038428578599"/>
    <n v="-5336.1474798268873"/>
    <n v="-27852.08633254196"/>
  </r>
  <r>
    <s v="Regular"/>
    <x v="1"/>
    <x v="0"/>
    <x v="2"/>
    <x v="0"/>
    <x v="0"/>
    <x v="0"/>
    <x v="0"/>
    <x v="7"/>
    <n v="20397"/>
    <n v="20397"/>
    <n v="5644.5280000000002"/>
    <n v="5644.5280000000002"/>
    <n v="5644.5280000000002"/>
    <n v="5644.5280000000002"/>
    <n v="0"/>
    <x v="1"/>
    <n v="0"/>
    <n v="29"/>
    <n v="30"/>
    <n v="67"/>
    <n v="28.57"/>
    <n v="149.63"/>
    <n v="230.03"/>
    <n v="31.93064187172984"/>
    <n v="54.203801879475932"/>
    <n v="282.91739971702214"/>
    <n v="582742.29"/>
    <n v="844590.72464000003"/>
    <n v="1298410.77584"/>
    <n v="651289.30225767358"/>
    <n v="305954.87741515454"/>
    <n v="1596935.1843899237"/>
  </r>
  <r>
    <s v="Sistema Isolado - Regular"/>
    <x v="1"/>
    <x v="0"/>
    <x v="2"/>
    <x v="0"/>
    <x v="0"/>
    <x v="0"/>
    <x v="0"/>
    <x v="7"/>
    <n v="5477"/>
    <n v="5477"/>
    <n v="1581.47"/>
    <n v="1581.47"/>
    <n v="1581.47"/>
    <n v="1581.47"/>
    <n v="0"/>
    <x v="1"/>
    <n v="0"/>
    <n v="29"/>
    <n v="30"/>
    <n v="67"/>
    <n v="28.57"/>
    <n v="149.63"/>
    <n v="230.03"/>
    <n v="31.93064187172984"/>
    <n v="54.203801879475932"/>
    <n v="282.91739971702214"/>
    <n v="156477.89000000001"/>
    <n v="236635.3561"/>
    <n v="363785.5441"/>
    <n v="174884.12553146432"/>
    <n v="85721.686558334797"/>
    <n v="447425.380130479"/>
  </r>
  <r>
    <s v="Regular"/>
    <x v="1"/>
    <x v="0"/>
    <x v="2"/>
    <x v="0"/>
    <x v="0"/>
    <x v="0"/>
    <x v="0"/>
    <x v="8"/>
    <n v="20327"/>
    <n v="20327"/>
    <n v="5658.576"/>
    <n v="5658.576"/>
    <n v="5658.576"/>
    <n v="5658.576"/>
    <n v="0"/>
    <x v="1"/>
    <n v="0"/>
    <n v="29"/>
    <n v="30"/>
    <n v="67"/>
    <n v="28.57"/>
    <n v="149.63"/>
    <n v="230.03"/>
    <n v="31.93064187172984"/>
    <n v="54.203801879475932"/>
    <n v="282.91739971702214"/>
    <n v="580742.39"/>
    <n v="846692.72687999997"/>
    <n v="1301642.23728"/>
    <n v="649054.15732665244"/>
    <n v="306716.33242395741"/>
    <n v="1600909.6080211482"/>
  </r>
  <r>
    <s v="Sistema Isolado - Regular"/>
    <x v="1"/>
    <x v="0"/>
    <x v="2"/>
    <x v="0"/>
    <x v="0"/>
    <x v="0"/>
    <x v="0"/>
    <x v="8"/>
    <n v="5446"/>
    <n v="5446"/>
    <n v="1550.462"/>
    <n v="1550.462"/>
    <n v="1550.462"/>
    <n v="1550.462"/>
    <n v="0"/>
    <x v="1"/>
    <n v="0"/>
    <n v="29"/>
    <n v="30"/>
    <n v="67"/>
    <n v="28.57"/>
    <n v="149.63"/>
    <n v="230.03"/>
    <n v="31.93064187172984"/>
    <n v="54.203801879475932"/>
    <n v="282.91739971702214"/>
    <n v="155592.22"/>
    <n v="231995.62905999998"/>
    <n v="356652.77386000002"/>
    <n v="173894.2756334407"/>
    <n v="84040.935069656014"/>
    <n v="438652.6774000536"/>
  </r>
  <r>
    <s v="Regular"/>
    <x v="1"/>
    <x v="0"/>
    <x v="2"/>
    <x v="0"/>
    <x v="0"/>
    <x v="0"/>
    <x v="0"/>
    <x v="9"/>
    <n v="21152"/>
    <n v="21152"/>
    <n v="6128.2690000000002"/>
    <n v="6128.2690000000002"/>
    <n v="6128.2690000000002"/>
    <n v="6128.2690000000002"/>
    <n v="0"/>
    <x v="1"/>
    <n v="0"/>
    <n v="29"/>
    <n v="30"/>
    <n v="67"/>
    <n v="28.57"/>
    <n v="149.63"/>
    <n v="230.03"/>
    <n v="31.93064187172984"/>
    <n v="54.203801879475932"/>
    <n v="282.91739971702214"/>
    <n v="604312.64"/>
    <n v="916972.89046999998"/>
    <n v="1409685.7180699999"/>
    <n v="675396.93687082955"/>
    <n v="332175.4787401341"/>
    <n v="1733793.9302464356"/>
  </r>
  <r>
    <s v="Refaturamento - Regular"/>
    <x v="1"/>
    <x v="0"/>
    <x v="2"/>
    <x v="0"/>
    <x v="0"/>
    <x v="0"/>
    <x v="0"/>
    <x v="9"/>
    <n v="-525"/>
    <n v="-525"/>
    <n v="-127.797"/>
    <n v="-127.797"/>
    <n v="-127.797"/>
    <n v="-127.797"/>
    <n v="0"/>
    <x v="1"/>
    <n v="0"/>
    <n v="29"/>
    <n v="30"/>
    <n v="67"/>
    <n v="28.57"/>
    <n v="149.63"/>
    <n v="230.03"/>
    <n v="31.93064187172984"/>
    <n v="54.203801879475932"/>
    <n v="282.91739971702214"/>
    <n v="-14999.25"/>
    <n v="-19122.26511"/>
    <n v="-29397.143909999999"/>
    <n v="-16763.586982658166"/>
    <n v="-6927.0832687913853"/>
    <n v="-36155.994931636276"/>
  </r>
  <r>
    <s v="Sistema Isolado - Regular"/>
    <x v="1"/>
    <x v="0"/>
    <x v="2"/>
    <x v="0"/>
    <x v="0"/>
    <x v="0"/>
    <x v="0"/>
    <x v="9"/>
    <n v="5998"/>
    <n v="5998"/>
    <n v="1708.4760000000001"/>
    <n v="1708.4760000000001"/>
    <n v="1708.4760000000001"/>
    <n v="1708.4760000000001"/>
    <n v="0"/>
    <x v="1"/>
    <n v="0"/>
    <n v="29"/>
    <n v="30"/>
    <n v="67"/>
    <n v="28.57"/>
    <n v="149.63"/>
    <n v="230.03"/>
    <n v="31.93064187172984"/>
    <n v="54.203801879475932"/>
    <n v="282.91739971702214"/>
    <n v="171362.86000000002"/>
    <n v="255639.26388000001"/>
    <n v="393000.73428000003"/>
    <n v="191519.98994663559"/>
    <n v="92605.894619839528"/>
    <n v="483357.58739893913"/>
  </r>
  <r>
    <s v="Sistema Isolado - Refaturamento"/>
    <x v="1"/>
    <x v="0"/>
    <x v="2"/>
    <x v="0"/>
    <x v="0"/>
    <x v="0"/>
    <x v="0"/>
    <x v="9"/>
    <n v="-98"/>
    <n v="-98"/>
    <n v="-30.672999999999998"/>
    <n v="-30.672999999999998"/>
    <n v="-30.672999999999998"/>
    <n v="-30.672999999999998"/>
    <n v="0"/>
    <x v="1"/>
    <n v="0"/>
    <n v="29"/>
    <n v="30"/>
    <n v="67"/>
    <n v="28.57"/>
    <n v="149.63"/>
    <n v="230.03"/>
    <n v="31.93064187172984"/>
    <n v="54.203801879475932"/>
    <n v="282.91739971702214"/>
    <n v="-2799.86"/>
    <n v="-4589.6009899999999"/>
    <n v="-7055.7101899999998"/>
    <n v="-3129.2029034295242"/>
    <n v="-1662.5932150491651"/>
    <n v="-8677.9254015202187"/>
  </r>
  <r>
    <s v="Sistema de Compensação"/>
    <x v="1"/>
    <x v="0"/>
    <x v="2"/>
    <x v="0"/>
    <x v="0"/>
    <x v="0"/>
    <x v="0"/>
    <x v="9"/>
    <n v="550"/>
    <n v="550"/>
    <n v="58.716000000000001"/>
    <n v="58.716000000000001"/>
    <n v="58.716000000000001"/>
    <n v="58.716000000000001"/>
    <n v="0"/>
    <x v="1"/>
    <n v="0"/>
    <n v="29"/>
    <n v="30"/>
    <n v="67"/>
    <n v="28.57"/>
    <n v="149.63"/>
    <n v="230.03"/>
    <n v="31.93064187172984"/>
    <n v="54.203801879475932"/>
    <n v="282.91739971702214"/>
    <n v="15713.5"/>
    <n v="8785.6750799999991"/>
    <n v="13506.44148"/>
    <n v="17561.853029451413"/>
    <n v="3182.630431155309"/>
    <n v="16611.778041784673"/>
  </r>
  <r>
    <s v="Regular"/>
    <x v="1"/>
    <x v="0"/>
    <x v="2"/>
    <x v="0"/>
    <x v="0"/>
    <x v="0"/>
    <x v="0"/>
    <x v="10"/>
    <n v="21086"/>
    <n v="21086"/>
    <n v="5905.5249999999996"/>
    <n v="5905.5249999999996"/>
    <n v="5905.5249999999996"/>
    <n v="5905.5249999999996"/>
    <n v="0"/>
    <x v="1"/>
    <n v="0"/>
    <n v="29"/>
    <n v="30"/>
    <n v="67"/>
    <n v="28.57"/>
    <n v="149.63"/>
    <n v="230.03"/>
    <n v="31.93064187172984"/>
    <n v="54.203801879475932"/>
    <n v="282.91739971702214"/>
    <n v="602427.02"/>
    <n v="883643.70574999996"/>
    <n v="1358447.9157499999"/>
    <n v="673289.51450729545"/>
    <n v="320101.90709429211"/>
    <n v="1670775.776963867"/>
  </r>
  <r>
    <s v="Sistema Isolado - Regular"/>
    <x v="1"/>
    <x v="0"/>
    <x v="2"/>
    <x v="0"/>
    <x v="0"/>
    <x v="0"/>
    <x v="0"/>
    <x v="10"/>
    <n v="5957"/>
    <n v="5957"/>
    <n v="1613.6610000000001"/>
    <n v="1613.6610000000001"/>
    <n v="1613.6610000000001"/>
    <n v="1613.6610000000001"/>
    <n v="0"/>
    <x v="1"/>
    <n v="0"/>
    <n v="29"/>
    <n v="30"/>
    <n v="67"/>
    <n v="28.57"/>
    <n v="149.63"/>
    <n v="230.03"/>
    <n v="31.93064187172984"/>
    <n v="54.203801879475932"/>
    <n v="282.91739971702214"/>
    <n v="170191.49"/>
    <n v="241452.09543000002"/>
    <n v="371190.43982999999"/>
    <n v="190210.83362989465"/>
    <n v="87466.561144637017"/>
    <n v="456532.77414476965"/>
  </r>
  <r>
    <s v="Sistema Isolado - Refaturamento"/>
    <x v="1"/>
    <x v="0"/>
    <x v="2"/>
    <x v="0"/>
    <x v="0"/>
    <x v="0"/>
    <x v="0"/>
    <x v="10"/>
    <n v="-72"/>
    <n v="-72"/>
    <n v="0"/>
    <n v="0"/>
    <n v="0"/>
    <n v="0"/>
    <n v="0"/>
    <x v="1"/>
    <n v="0"/>
    <n v="29"/>
    <n v="0"/>
    <n v="0"/>
    <n v="28.57"/>
    <n v="0"/>
    <n v="0"/>
    <n v="31.93064187172984"/>
    <n v="54.203801879475932"/>
    <n v="282.91739971702214"/>
    <n v="-2057.04"/>
    <n v="0"/>
    <n v="0"/>
    <n v="-2299.0062147645485"/>
    <n v="0"/>
    <n v="0"/>
  </r>
  <r>
    <s v="Sistema de Compensação"/>
    <x v="1"/>
    <x v="0"/>
    <x v="2"/>
    <x v="0"/>
    <x v="0"/>
    <x v="0"/>
    <x v="0"/>
    <x v="10"/>
    <n v="550"/>
    <n v="550"/>
    <n v="53.976999999999997"/>
    <n v="53.976999999999997"/>
    <n v="53.976999999999997"/>
    <n v="53.976999999999997"/>
    <n v="0"/>
    <x v="1"/>
    <n v="0"/>
    <n v="29"/>
    <n v="30"/>
    <n v="67"/>
    <n v="28.57"/>
    <n v="149.63"/>
    <n v="230.03"/>
    <n v="31.93064187172984"/>
    <n v="54.203801879475932"/>
    <n v="282.91739971702214"/>
    <n v="15713.5"/>
    <n v="8076.5785099999994"/>
    <n v="12416.329309999999"/>
    <n v="17561.853029451413"/>
    <n v="2925.7586140484723"/>
    <n v="15271.032484525704"/>
  </r>
  <r>
    <s v="PROJETADO"/>
    <x v="1"/>
    <x v="0"/>
    <x v="2"/>
    <x v="0"/>
    <x v="0"/>
    <x v="0"/>
    <x v="0"/>
    <x v="11"/>
    <n v="21086"/>
    <n v="21086"/>
    <n v="5905.5249999999996"/>
    <n v="5905.5249999999996"/>
    <n v="5905.5249999999996"/>
    <n v="5905.5249999999996"/>
    <n v="0"/>
    <x v="1"/>
    <n v="0"/>
    <n v="29"/>
    <n v="30"/>
    <n v="67"/>
    <n v="28.57"/>
    <n v="149.63"/>
    <n v="230.03"/>
    <n v="31.93064187172984"/>
    <n v="54.203801879475932"/>
    <n v="282.91739971702214"/>
    <n v="602427.02"/>
    <n v="883643.70574999996"/>
    <n v="1358447.9157499999"/>
    <n v="673289.51450729545"/>
    <n v="320101.90709429211"/>
    <n v="1670775.776963867"/>
  </r>
  <r>
    <s v="PROJETADO"/>
    <x v="1"/>
    <x v="0"/>
    <x v="2"/>
    <x v="0"/>
    <x v="0"/>
    <x v="0"/>
    <x v="0"/>
    <x v="11"/>
    <n v="5957"/>
    <n v="5957"/>
    <n v="1613.6610000000001"/>
    <n v="1613.6610000000001"/>
    <n v="1613.6610000000001"/>
    <n v="1613.6610000000001"/>
    <n v="0"/>
    <x v="1"/>
    <n v="0"/>
    <n v="29"/>
    <n v="30"/>
    <n v="67"/>
    <n v="28.57"/>
    <n v="149.63"/>
    <n v="230.03"/>
    <n v="31.93064187172984"/>
    <n v="54.203801879475932"/>
    <n v="282.91739971702214"/>
    <n v="170191.49"/>
    <n v="241452.09543000002"/>
    <n v="371190.43982999999"/>
    <n v="190210.83362989465"/>
    <n v="87466.561144637017"/>
    <n v="456532.77414476965"/>
  </r>
  <r>
    <s v="PROJETADO"/>
    <x v="1"/>
    <x v="0"/>
    <x v="2"/>
    <x v="0"/>
    <x v="0"/>
    <x v="0"/>
    <x v="0"/>
    <x v="11"/>
    <n v="-72"/>
    <n v="-72"/>
    <n v="0"/>
    <n v="0"/>
    <n v="0"/>
    <n v="0"/>
    <n v="0"/>
    <x v="1"/>
    <n v="0"/>
    <n v="29"/>
    <n v="0"/>
    <n v="0"/>
    <n v="28.57"/>
    <n v="0"/>
    <n v="0"/>
    <n v="31.93064187172984"/>
    <n v="54.203801879475932"/>
    <n v="282.91739971702214"/>
    <n v="-2057.04"/>
    <n v="0"/>
    <n v="0"/>
    <n v="-2299.0062147645485"/>
    <n v="0"/>
    <n v="0"/>
  </r>
  <r>
    <s v="PROJETADO"/>
    <x v="1"/>
    <x v="0"/>
    <x v="2"/>
    <x v="0"/>
    <x v="0"/>
    <x v="0"/>
    <x v="0"/>
    <x v="11"/>
    <n v="550"/>
    <n v="550"/>
    <n v="53.976999999999997"/>
    <n v="53.976999999999997"/>
    <n v="53.976999999999997"/>
    <n v="53.976999999999997"/>
    <n v="0"/>
    <x v="1"/>
    <n v="0"/>
    <n v="29"/>
    <n v="30"/>
    <n v="67"/>
    <n v="28.57"/>
    <n v="149.63"/>
    <n v="230.03"/>
    <n v="31.93064187172984"/>
    <n v="54.203801879475932"/>
    <n v="282.91739971702214"/>
    <n v="15713.5"/>
    <n v="8076.5785099999994"/>
    <n v="12416.329309999999"/>
    <n v="17561.853029451413"/>
    <n v="2925.7586140484723"/>
    <n v="15271.032484525704"/>
  </r>
  <r>
    <s v="Regular"/>
    <x v="1"/>
    <x v="0"/>
    <x v="2"/>
    <x v="0"/>
    <x v="0"/>
    <x v="0"/>
    <x v="2"/>
    <x v="0"/>
    <n v="15499"/>
    <n v="15499"/>
    <n v="457.48099999999999"/>
    <n v="457.48099999999999"/>
    <n v="457.48099999999999"/>
    <n v="457.48099999999999"/>
    <n v="0"/>
    <x v="1"/>
    <n v="0"/>
    <n v="28"/>
    <n v="30"/>
    <n v="66"/>
    <n v="52.99"/>
    <n v="149.63"/>
    <n v="389.28"/>
    <n v="59.276351675174958"/>
    <n v="54.203801879475932"/>
    <n v="454.3285679284046"/>
    <n v="821292.01"/>
    <n v="68452.882029999993"/>
    <n v="178088.20367999998"/>
    <n v="918724.17461353668"/>
    <n v="24797.209487624528"/>
    <n v="207846.68758445446"/>
  </r>
  <r>
    <s v="Refaturamento - Regular"/>
    <x v="1"/>
    <x v="0"/>
    <x v="2"/>
    <x v="0"/>
    <x v="0"/>
    <x v="0"/>
    <x v="2"/>
    <x v="0"/>
    <n v="93"/>
    <n v="93"/>
    <n v="0"/>
    <n v="0"/>
    <n v="0"/>
    <n v="0"/>
    <n v="0"/>
    <x v="1"/>
    <n v="0"/>
    <n v="28"/>
    <n v="0"/>
    <n v="0"/>
    <n v="52.99"/>
    <n v="0"/>
    <n v="0"/>
    <n v="59.276351675174958"/>
    <n v="54.203801879475932"/>
    <n v="454.3285679284046"/>
    <n v="4928.0700000000006"/>
    <n v="0"/>
    <n v="0"/>
    <n v="5512.7007057912715"/>
    <n v="0"/>
    <n v="0"/>
  </r>
  <r>
    <s v="Sistema Isolado - Regular"/>
    <x v="1"/>
    <x v="0"/>
    <x v="2"/>
    <x v="0"/>
    <x v="0"/>
    <x v="0"/>
    <x v="2"/>
    <x v="0"/>
    <n v="5282"/>
    <n v="5282"/>
    <n v="144.18899999999999"/>
    <n v="144.18899999999999"/>
    <n v="144.18899999999999"/>
    <n v="144.18899999999999"/>
    <n v="0"/>
    <x v="1"/>
    <n v="0"/>
    <n v="28"/>
    <n v="30"/>
    <n v="66"/>
    <n v="52.99"/>
    <n v="149.63"/>
    <n v="389.28"/>
    <n v="59.276351675174958"/>
    <n v="54.203801879475932"/>
    <n v="454.3285679284046"/>
    <n v="279893.18"/>
    <n v="21575.000069999998"/>
    <n v="56129.893919999995"/>
    <n v="313097.68954827415"/>
    <n v="7815.5919891997546"/>
    <n v="65509.18188102873"/>
  </r>
  <r>
    <s v="Sistema Isolado - Refaturamento"/>
    <x v="1"/>
    <x v="0"/>
    <x v="2"/>
    <x v="0"/>
    <x v="0"/>
    <x v="0"/>
    <x v="2"/>
    <x v="0"/>
    <n v="43"/>
    <n v="43"/>
    <n v="0"/>
    <n v="0"/>
    <n v="0"/>
    <n v="0"/>
    <n v="0"/>
    <x v="1"/>
    <n v="0"/>
    <n v="28"/>
    <n v="0"/>
    <n v="0"/>
    <n v="52.99"/>
    <n v="0"/>
    <n v="0"/>
    <n v="59.276351675174958"/>
    <n v="54.203801879475932"/>
    <n v="454.3285679284046"/>
    <n v="2278.5700000000002"/>
    <n v="0"/>
    <n v="0"/>
    <n v="2548.8831220325233"/>
    <n v="0"/>
    <n v="0"/>
  </r>
  <r>
    <s v="Regular"/>
    <x v="1"/>
    <x v="0"/>
    <x v="2"/>
    <x v="0"/>
    <x v="0"/>
    <x v="0"/>
    <x v="2"/>
    <x v="1"/>
    <n v="15478"/>
    <n v="15478"/>
    <n v="478.54199999999997"/>
    <n v="478.54199999999997"/>
    <n v="478.54199999999997"/>
    <n v="478.54199999999997"/>
    <n v="0"/>
    <x v="1"/>
    <n v="0"/>
    <n v="28"/>
    <n v="30"/>
    <n v="66"/>
    <n v="52.99"/>
    <n v="149.63"/>
    <n v="389.28"/>
    <n v="59.276351675174958"/>
    <n v="54.203801879475932"/>
    <n v="454.3285679284046"/>
    <n v="820179.22000000009"/>
    <n v="71604.239459999997"/>
    <n v="186286.82975999996"/>
    <n v="917479.37122835801"/>
    <n v="25938.795759008171"/>
    <n v="217415.30155359459"/>
  </r>
  <r>
    <s v="Sistema Isolado - Regular"/>
    <x v="1"/>
    <x v="0"/>
    <x v="2"/>
    <x v="0"/>
    <x v="0"/>
    <x v="0"/>
    <x v="2"/>
    <x v="1"/>
    <n v="5436"/>
    <n v="5436"/>
    <n v="142.98699999999999"/>
    <n v="142.98699999999999"/>
    <n v="142.98699999999999"/>
    <n v="142.98699999999999"/>
    <n v="0"/>
    <x v="1"/>
    <n v="0"/>
    <n v="28"/>
    <n v="30"/>
    <n v="66"/>
    <n v="52.99"/>
    <n v="149.63"/>
    <n v="389.28"/>
    <n v="59.276351675174958"/>
    <n v="54.203801879475932"/>
    <n v="454.3285679284046"/>
    <n v="288053.64"/>
    <n v="21395.144809999998"/>
    <n v="55661.979359999998"/>
    <n v="322226.24770625104"/>
    <n v="7750.4390193406252"/>
    <n v="64963.078942378786"/>
  </r>
  <r>
    <s v="Regular"/>
    <x v="1"/>
    <x v="0"/>
    <x v="2"/>
    <x v="0"/>
    <x v="0"/>
    <x v="0"/>
    <x v="2"/>
    <x v="2"/>
    <n v="15402"/>
    <n v="15402"/>
    <n v="410.67"/>
    <n v="410.67"/>
    <n v="410.67"/>
    <n v="410.67"/>
    <n v="0"/>
    <x v="1"/>
    <n v="0"/>
    <n v="28"/>
    <n v="30"/>
    <n v="66"/>
    <n v="52.99"/>
    <n v="149.63"/>
    <n v="389.28"/>
    <n v="59.276351675174958"/>
    <n v="54.203801879475932"/>
    <n v="454.3285679284046"/>
    <n v="816151.98"/>
    <n v="61448.552100000001"/>
    <n v="159865.6176"/>
    <n v="912974.36850104469"/>
    <n v="22259.87531784438"/>
    <n v="186579.11299115792"/>
  </r>
  <r>
    <s v="Sistema Isolado - Regular"/>
    <x v="1"/>
    <x v="0"/>
    <x v="2"/>
    <x v="0"/>
    <x v="0"/>
    <x v="0"/>
    <x v="2"/>
    <x v="2"/>
    <n v="5375"/>
    <n v="5375"/>
    <n v="146.24100000000001"/>
    <n v="146.24100000000001"/>
    <n v="146.24100000000001"/>
    <n v="146.24100000000001"/>
    <n v="0"/>
    <x v="1"/>
    <n v="0"/>
    <n v="28"/>
    <n v="30"/>
    <n v="66"/>
    <n v="52.99"/>
    <n v="149.63"/>
    <n v="389.28"/>
    <n v="59.276351675174958"/>
    <n v="54.203801879475932"/>
    <n v="454.3285679284046"/>
    <n v="284821.25"/>
    <n v="21882.040830000002"/>
    <n v="56928.696479999999"/>
    <n v="318610.39025406539"/>
    <n v="7926.8181906564405"/>
    <n v="66441.464102417827"/>
  </r>
  <r>
    <s v="Regular"/>
    <x v="1"/>
    <x v="0"/>
    <x v="2"/>
    <x v="0"/>
    <x v="0"/>
    <x v="0"/>
    <x v="2"/>
    <x v="3"/>
    <n v="15467"/>
    <n v="15467"/>
    <n v="418.58300000000003"/>
    <n v="418.58300000000003"/>
    <n v="418.58300000000003"/>
    <n v="418.58300000000003"/>
    <n v="0"/>
    <x v="1"/>
    <n v="0"/>
    <n v="28"/>
    <n v="30"/>
    <n v="66"/>
    <n v="52.99"/>
    <n v="149.63"/>
    <n v="389.28"/>
    <n v="59.276351675174958"/>
    <n v="54.203801879475932"/>
    <n v="454.3285679284046"/>
    <n v="819596.33000000007"/>
    <n v="62632.574290000004"/>
    <n v="162945.99023999998"/>
    <n v="916827.33135993103"/>
    <n v="22688.790002116675"/>
    <n v="190174.2149491754"/>
  </r>
  <r>
    <s v="Refaturamento - Regular"/>
    <x v="1"/>
    <x v="0"/>
    <x v="2"/>
    <x v="0"/>
    <x v="0"/>
    <x v="0"/>
    <x v="2"/>
    <x v="3"/>
    <n v="-75"/>
    <n v="-75"/>
    <n v="0"/>
    <n v="0"/>
    <n v="0"/>
    <n v="0"/>
    <n v="0"/>
    <x v="1"/>
    <n v="0"/>
    <n v="28"/>
    <n v="0"/>
    <n v="0"/>
    <n v="52.99"/>
    <n v="0"/>
    <n v="0"/>
    <n v="59.276351675174958"/>
    <n v="54.203801879475932"/>
    <n v="454.3285679284046"/>
    <n v="-3974.25"/>
    <n v="0"/>
    <n v="0"/>
    <n v="-4445.7263756381217"/>
    <n v="0"/>
    <n v="0"/>
  </r>
  <r>
    <s v="Sistema Isolado - Regular"/>
    <x v="1"/>
    <x v="0"/>
    <x v="2"/>
    <x v="0"/>
    <x v="0"/>
    <x v="0"/>
    <x v="2"/>
    <x v="3"/>
    <n v="5445"/>
    <n v="5445"/>
    <n v="152.309"/>
    <n v="152.309"/>
    <n v="152.309"/>
    <n v="152.309"/>
    <n v="0"/>
    <x v="1"/>
    <n v="0"/>
    <n v="28"/>
    <n v="30"/>
    <n v="66"/>
    <n v="52.99"/>
    <n v="149.63"/>
    <n v="389.28"/>
    <n v="59.276351675174958"/>
    <n v="54.203801879475932"/>
    <n v="454.3285679284046"/>
    <n v="288530.55"/>
    <n v="22789.99567"/>
    <n v="59290.847519999996"/>
    <n v="322759.73487132764"/>
    <n v="8255.7268604610999"/>
    <n v="69198.329852607378"/>
  </r>
  <r>
    <s v="Sistema Isolado - Refaturamento"/>
    <x v="1"/>
    <x v="0"/>
    <x v="2"/>
    <x v="0"/>
    <x v="0"/>
    <x v="0"/>
    <x v="2"/>
    <x v="3"/>
    <n v="-153"/>
    <n v="-153"/>
    <n v="1.903"/>
    <n v="1.903"/>
    <n v="1.903"/>
    <n v="1.903"/>
    <n v="0"/>
    <x v="1"/>
    <n v="0"/>
    <n v="28"/>
    <n v="30"/>
    <n v="66"/>
    <n v="52.99"/>
    <n v="149.63"/>
    <n v="389.28"/>
    <n v="59.276351675174958"/>
    <n v="54.203801879475932"/>
    <n v="454.3285679284046"/>
    <n v="-8107.47"/>
    <n v="284.74588999999997"/>
    <n v="740.7998399999999"/>
    <n v="-9069.2818063017694"/>
    <n v="103.14983497664269"/>
    <n v="864.58726476775394"/>
  </r>
  <r>
    <s v="Regular"/>
    <x v="1"/>
    <x v="0"/>
    <x v="2"/>
    <x v="0"/>
    <x v="0"/>
    <x v="0"/>
    <x v="2"/>
    <x v="4"/>
    <n v="15892"/>
    <n v="15892"/>
    <n v="476.66699999999997"/>
    <n v="476.66699999999997"/>
    <n v="476.66699999999997"/>
    <n v="476.66699999999997"/>
    <n v="0"/>
    <x v="1"/>
    <n v="0"/>
    <n v="28"/>
    <n v="30"/>
    <n v="66"/>
    <n v="52.99"/>
    <n v="149.63"/>
    <n v="389.28"/>
    <n v="59.276351675174958"/>
    <n v="54.203801879475932"/>
    <n v="454.3285679284046"/>
    <n v="842117.08000000007"/>
    <n v="71323.683209999988"/>
    <n v="185556.92975999997"/>
    <n v="942019.78082188044"/>
    <n v="25837.163630484152"/>
    <n v="216563.43548872884"/>
  </r>
  <r>
    <s v="Sistema Isolado - Regular"/>
    <x v="1"/>
    <x v="0"/>
    <x v="2"/>
    <x v="0"/>
    <x v="0"/>
    <x v="0"/>
    <x v="2"/>
    <x v="4"/>
    <n v="5442"/>
    <n v="5442"/>
    <n v="165.81200000000001"/>
    <n v="165.81200000000001"/>
    <n v="165.81200000000001"/>
    <n v="165.81200000000001"/>
    <n v="0"/>
    <x v="1"/>
    <n v="0"/>
    <n v="28"/>
    <n v="30"/>
    <n v="66"/>
    <n v="52.99"/>
    <n v="149.63"/>
    <n v="389.28"/>
    <n v="59.276351675174958"/>
    <n v="54.203801879475932"/>
    <n v="454.3285679284046"/>
    <n v="288371.58"/>
    <n v="24810.449560000001"/>
    <n v="64547.295360000004"/>
    <n v="322581.90581630211"/>
    <n v="8987.6407972396646"/>
    <n v="75333.128505344634"/>
  </r>
  <r>
    <s v="Sistema Isolado - Refaturamento"/>
    <x v="1"/>
    <x v="0"/>
    <x v="2"/>
    <x v="0"/>
    <x v="0"/>
    <x v="0"/>
    <x v="2"/>
    <x v="4"/>
    <n v="0"/>
    <n v="0"/>
    <n v="1.8"/>
    <n v="1.8"/>
    <n v="1.8"/>
    <n v="1.8"/>
    <n v="0"/>
    <x v="1"/>
    <n v="0"/>
    <n v="0"/>
    <n v="30"/>
    <n v="66"/>
    <n v="0"/>
    <n v="149.63"/>
    <n v="389.28"/>
    <n v="59.276351675174958"/>
    <n v="54.203801879475932"/>
    <n v="454.3285679284046"/>
    <n v="0"/>
    <n v="269.334"/>
    <n v="700.70399999999995"/>
    <n v="0"/>
    <n v="97.566843383056678"/>
    <n v="817.79142227112834"/>
  </r>
  <r>
    <s v="Regular"/>
    <x v="1"/>
    <x v="0"/>
    <x v="2"/>
    <x v="0"/>
    <x v="0"/>
    <x v="0"/>
    <x v="2"/>
    <x v="5"/>
    <n v="15393"/>
    <n v="15393"/>
    <n v="429.87799999999999"/>
    <n v="429.87799999999999"/>
    <n v="429.87799999999999"/>
    <n v="429.87799999999999"/>
    <n v="0"/>
    <x v="1"/>
    <n v="0"/>
    <n v="28"/>
    <n v="30"/>
    <n v="66"/>
    <n v="52.99"/>
    <n v="149.63"/>
    <n v="389.28"/>
    <n v="59.276351675174958"/>
    <n v="54.203801879475932"/>
    <n v="454.3285679284046"/>
    <n v="815675.07000000007"/>
    <n v="64322.645139999993"/>
    <n v="167342.90783999997"/>
    <n v="912440.88133596815"/>
    <n v="23301.021944345353"/>
    <n v="195305.8561239267"/>
  </r>
  <r>
    <s v="Refaturamento - Regular"/>
    <x v="1"/>
    <x v="0"/>
    <x v="2"/>
    <x v="0"/>
    <x v="0"/>
    <x v="0"/>
    <x v="2"/>
    <x v="5"/>
    <n v="-555"/>
    <n v="-555"/>
    <n v="-0.28000000000000003"/>
    <n v="-0.28000000000000003"/>
    <n v="-0.28000000000000003"/>
    <n v="-0.28000000000000003"/>
    <n v="0"/>
    <x v="1"/>
    <n v="0"/>
    <n v="28"/>
    <n v="30"/>
    <n v="66"/>
    <n v="52.99"/>
    <n v="149.63"/>
    <n v="389.28"/>
    <n v="59.276351675174958"/>
    <n v="54.203801879475932"/>
    <n v="454.3285679284046"/>
    <n v="-29409.45"/>
    <n v="-41.8964"/>
    <n v="-108.9984"/>
    <n v="-32898.375179722105"/>
    <n v="-15.177064526253263"/>
    <n v="-127.2119990199533"/>
  </r>
  <r>
    <s v="Sistema Isolado - Regular"/>
    <x v="1"/>
    <x v="0"/>
    <x v="2"/>
    <x v="0"/>
    <x v="0"/>
    <x v="0"/>
    <x v="2"/>
    <x v="5"/>
    <n v="5402"/>
    <n v="5402"/>
    <n v="166.22200000000001"/>
    <n v="166.22200000000001"/>
    <n v="166.22200000000001"/>
    <n v="166.22200000000001"/>
    <n v="0"/>
    <x v="1"/>
    <n v="0"/>
    <n v="28"/>
    <n v="30"/>
    <n v="66"/>
    <n v="52.99"/>
    <n v="149.63"/>
    <n v="389.28"/>
    <n v="59.276351675174958"/>
    <n v="54.203801879475932"/>
    <n v="454.3285679284046"/>
    <n v="286251.98000000004"/>
    <n v="24871.797859999999"/>
    <n v="64706.900159999997"/>
    <n v="320210.85174929514"/>
    <n v="9009.8643560102482"/>
    <n v="75519.403218195279"/>
  </r>
  <r>
    <s v="Regular"/>
    <x v="1"/>
    <x v="0"/>
    <x v="2"/>
    <x v="0"/>
    <x v="0"/>
    <x v="0"/>
    <x v="2"/>
    <x v="6"/>
    <n v="14827"/>
    <n v="14827"/>
    <n v="457.81900000000002"/>
    <n v="457.81900000000002"/>
    <n v="457.81900000000002"/>
    <n v="457.81900000000002"/>
    <n v="0"/>
    <x v="1"/>
    <n v="0"/>
    <n v="28"/>
    <n v="30"/>
    <n v="66"/>
    <n v="52.99"/>
    <n v="149.63"/>
    <n v="389.28"/>
    <n v="59.276351675174958"/>
    <n v="54.203801879475932"/>
    <n v="454.3285679284046"/>
    <n v="785682.73"/>
    <n v="68503.456969999999"/>
    <n v="178219.78031999999"/>
    <n v="878890.46628781909"/>
    <n v="24815.530372659792"/>
    <n v="208000.25064041428"/>
  </r>
  <r>
    <s v="Refaturamento - Regular"/>
    <x v="1"/>
    <x v="0"/>
    <x v="2"/>
    <x v="0"/>
    <x v="0"/>
    <x v="0"/>
    <x v="2"/>
    <x v="6"/>
    <n v="-2269"/>
    <n v="-2269"/>
    <n v="-14.282"/>
    <n v="-14.282"/>
    <n v="-14.282"/>
    <n v="-14.282"/>
    <n v="0"/>
    <x v="1"/>
    <n v="0"/>
    <n v="28"/>
    <n v="30"/>
    <n v="66"/>
    <n v="52.99"/>
    <n v="149.63"/>
    <n v="389.28"/>
    <n v="59.276351675174958"/>
    <n v="54.203801879475932"/>
    <n v="454.3285679284046"/>
    <n v="-120234.31"/>
    <n v="-2137.01566"/>
    <n v="-5559.6969599999993"/>
    <n v="-134498.04195097196"/>
    <n v="-774.13869844267526"/>
    <n v="-6488.7206071534747"/>
  </r>
  <r>
    <s v="Sistema Isolado - Regular"/>
    <x v="1"/>
    <x v="0"/>
    <x v="2"/>
    <x v="0"/>
    <x v="0"/>
    <x v="0"/>
    <x v="2"/>
    <x v="6"/>
    <n v="5277"/>
    <n v="5277"/>
    <n v="160.21600000000001"/>
    <n v="160.21600000000001"/>
    <n v="160.21600000000001"/>
    <n v="160.21600000000001"/>
    <n v="0"/>
    <x v="1"/>
    <n v="0"/>
    <n v="28"/>
    <n v="30"/>
    <n v="66"/>
    <n v="52.99"/>
    <n v="149.63"/>
    <n v="389.28"/>
    <n v="59.276351675174958"/>
    <n v="54.203801879475932"/>
    <n v="454.3285679284046"/>
    <n v="279628.23000000004"/>
    <n v="23973.120080000001"/>
    <n v="62368.884480000001"/>
    <n v="312801.30778989824"/>
    <n v="8684.3163219221169"/>
    <n v="72790.705839217277"/>
  </r>
  <r>
    <s v="Sistema Isolado - Refaturamento"/>
    <x v="1"/>
    <x v="0"/>
    <x v="2"/>
    <x v="0"/>
    <x v="0"/>
    <x v="0"/>
    <x v="2"/>
    <x v="6"/>
    <n v="-1640"/>
    <n v="-1640"/>
    <n v="-11.467000000000001"/>
    <n v="-11.467000000000001"/>
    <n v="-11.467000000000001"/>
    <n v="-11.467000000000001"/>
    <n v="0"/>
    <x v="1"/>
    <n v="0"/>
    <n v="28"/>
    <n v="30"/>
    <n v="66"/>
    <n v="52.99"/>
    <n v="149.63"/>
    <n v="389.28"/>
    <n v="59.276351675174958"/>
    <n v="54.203801879475932"/>
    <n v="454.3285679284046"/>
    <n v="-86903.6"/>
    <n v="-1715.8072099999999"/>
    <n v="-4463.8737599999995"/>
    <n v="-97213.216747286933"/>
    <n v="-621.55499615195049"/>
    <n v="-5209.7856884350158"/>
  </r>
  <r>
    <s v="Regular"/>
    <x v="1"/>
    <x v="0"/>
    <x v="2"/>
    <x v="0"/>
    <x v="0"/>
    <x v="0"/>
    <x v="2"/>
    <x v="7"/>
    <n v="14855"/>
    <n v="14855"/>
    <n v="462.822"/>
    <n v="462.822"/>
    <n v="462.822"/>
    <n v="462.822"/>
    <n v="0"/>
    <x v="1"/>
    <n v="0"/>
    <n v="28"/>
    <n v="30"/>
    <n v="66"/>
    <n v="52.99"/>
    <n v="149.63"/>
    <n v="389.28"/>
    <n v="59.276351675174958"/>
    <n v="54.203801879475932"/>
    <n v="454.3285679284046"/>
    <n v="787166.45000000007"/>
    <n v="69252.055859999993"/>
    <n v="180167.34815999999"/>
    <n v="880550.20413472399"/>
    <n v="25086.71199346281"/>
    <n v="210273.25646576006"/>
  </r>
  <r>
    <s v="Sistema Isolado - Regular"/>
    <x v="1"/>
    <x v="0"/>
    <x v="2"/>
    <x v="0"/>
    <x v="0"/>
    <x v="0"/>
    <x v="2"/>
    <x v="7"/>
    <n v="5140"/>
    <n v="5140"/>
    <n v="163.92400000000001"/>
    <n v="163.92400000000001"/>
    <n v="163.92400000000001"/>
    <n v="163.92400000000001"/>
    <n v="0"/>
    <x v="1"/>
    <n v="0"/>
    <n v="28"/>
    <n v="30"/>
    <n v="66"/>
    <n v="52.99"/>
    <n v="149.63"/>
    <n v="389.28"/>
    <n v="59.276351675174958"/>
    <n v="54.203801879475932"/>
    <n v="454.3285679284046"/>
    <n v="272368.60000000003"/>
    <n v="24527.948120000001"/>
    <n v="63812.334719999999"/>
    <n v="304680.44761039928"/>
    <n v="8885.304019291214"/>
    <n v="74475.356169095801"/>
  </r>
  <r>
    <s v="Regular"/>
    <x v="1"/>
    <x v="0"/>
    <x v="2"/>
    <x v="0"/>
    <x v="0"/>
    <x v="0"/>
    <x v="2"/>
    <x v="8"/>
    <n v="14777"/>
    <n v="14777"/>
    <n v="479.69400000000002"/>
    <n v="479.69400000000002"/>
    <n v="479.69400000000002"/>
    <n v="479.69400000000002"/>
    <n v="0"/>
    <x v="1"/>
    <n v="0"/>
    <n v="28"/>
    <n v="30"/>
    <n v="66"/>
    <n v="52.99"/>
    <n v="149.63"/>
    <n v="389.28"/>
    <n v="59.276351675174958"/>
    <n v="54.203801879475932"/>
    <n v="454.3285679284046"/>
    <n v="783033.23"/>
    <n v="71776.613219999999"/>
    <n v="186735.28031999999"/>
    <n v="875926.64870406035"/>
    <n v="26001.23853877333"/>
    <n v="217938.68806384812"/>
  </r>
  <r>
    <s v="Sistema Isolado - Regular"/>
    <x v="1"/>
    <x v="0"/>
    <x v="2"/>
    <x v="0"/>
    <x v="0"/>
    <x v="0"/>
    <x v="2"/>
    <x v="8"/>
    <n v="5170"/>
    <n v="5170"/>
    <n v="169.131"/>
    <n v="169.131"/>
    <n v="169.131"/>
    <n v="169.131"/>
    <n v="0"/>
    <x v="1"/>
    <n v="0"/>
    <n v="28"/>
    <n v="30"/>
    <n v="66"/>
    <n v="52.99"/>
    <n v="149.63"/>
    <n v="389.28"/>
    <n v="59.276351675174958"/>
    <n v="54.203801879475932"/>
    <n v="454.3285679284046"/>
    <n v="273958.3"/>
    <n v="25307.071530000001"/>
    <n v="65839.31568"/>
    <n v="306458.73816065455"/>
    <n v="9167.5432156776442"/>
    <n v="76841.045022299004"/>
  </r>
  <r>
    <s v="Regular"/>
    <x v="1"/>
    <x v="0"/>
    <x v="2"/>
    <x v="0"/>
    <x v="0"/>
    <x v="0"/>
    <x v="2"/>
    <x v="9"/>
    <n v="19230"/>
    <n v="19230"/>
    <n v="510.53300000000002"/>
    <n v="510.53300000000002"/>
    <n v="510.53300000000002"/>
    <n v="510.53300000000002"/>
    <n v="0"/>
    <x v="1"/>
    <n v="0"/>
    <n v="28"/>
    <n v="30"/>
    <n v="66"/>
    <n v="52.99"/>
    <n v="149.63"/>
    <n v="389.28"/>
    <n v="59.276351675174958"/>
    <n v="54.203801879475932"/>
    <n v="454.3285679284046"/>
    <n v="1018997.7000000001"/>
    <n v="76391.052790000002"/>
    <n v="198740.28623999999"/>
    <n v="1139884.2427136144"/>
    <n v="27672.829584934487"/>
    <n v="231949.72677019218"/>
  </r>
  <r>
    <s v="Refaturamento - Regular"/>
    <x v="1"/>
    <x v="0"/>
    <x v="2"/>
    <x v="0"/>
    <x v="0"/>
    <x v="0"/>
    <x v="2"/>
    <x v="9"/>
    <n v="-450"/>
    <n v="-450"/>
    <n v="-12.545"/>
    <n v="-12.545"/>
    <n v="-12.545"/>
    <n v="-12.545"/>
    <n v="0"/>
    <x v="1"/>
    <n v="0"/>
    <n v="28"/>
    <n v="30"/>
    <n v="66"/>
    <n v="52.99"/>
    <n v="149.63"/>
    <n v="389.28"/>
    <n v="59.276351675174958"/>
    <n v="54.203801879475932"/>
    <n v="454.3285679284046"/>
    <n v="-23845.5"/>
    <n v="-1877.10835"/>
    <n v="-4883.5175999999992"/>
    <n v="-26674.35825382873"/>
    <n v="-679.98669457802555"/>
    <n v="-5699.5518846618352"/>
  </r>
  <r>
    <s v="Sistema Isolado - Regular"/>
    <x v="1"/>
    <x v="0"/>
    <x v="2"/>
    <x v="0"/>
    <x v="0"/>
    <x v="0"/>
    <x v="2"/>
    <x v="9"/>
    <n v="5516"/>
    <n v="5516"/>
    <n v="187.358"/>
    <n v="187.358"/>
    <n v="187.358"/>
    <n v="187.358"/>
    <n v="0"/>
    <x v="1"/>
    <n v="0"/>
    <n v="28"/>
    <n v="30"/>
    <n v="66"/>
    <n v="52.99"/>
    <n v="149.63"/>
    <n v="389.28"/>
    <n v="59.276351675174958"/>
    <n v="54.203801879475932"/>
    <n v="454.3285679284046"/>
    <n v="292292.84000000003"/>
    <n v="28034.377540000001"/>
    <n v="72934.722240000003"/>
    <n v="326968.35584026505"/>
    <n v="10155.515912534853"/>
    <n v="85122.091829930025"/>
  </r>
  <r>
    <s v="Sistema Isolado - Refaturamento"/>
    <x v="1"/>
    <x v="0"/>
    <x v="2"/>
    <x v="0"/>
    <x v="0"/>
    <x v="0"/>
    <x v="2"/>
    <x v="9"/>
    <n v="-95"/>
    <n v="-95"/>
    <n v="-2.681"/>
    <n v="-2.681"/>
    <n v="-2.681"/>
    <n v="-2.681"/>
    <n v="0"/>
    <x v="1"/>
    <n v="0"/>
    <n v="28"/>
    <n v="30"/>
    <n v="66"/>
    <n v="52.99"/>
    <n v="149.63"/>
    <n v="389.28"/>
    <n v="59.276351675174958"/>
    <n v="54.203801879475932"/>
    <n v="454.3285679284046"/>
    <n v="-5034.05"/>
    <n v="-401.15803"/>
    <n v="-1043.65968"/>
    <n v="-5631.253409141621"/>
    <n v="-145.32039283887497"/>
    <n v="-1218.0548906160527"/>
  </r>
  <r>
    <s v="Sistema de Compensação"/>
    <x v="1"/>
    <x v="0"/>
    <x v="2"/>
    <x v="0"/>
    <x v="0"/>
    <x v="0"/>
    <x v="2"/>
    <x v="9"/>
    <n v="550"/>
    <n v="550"/>
    <n v="4.0179999999999998"/>
    <n v="4.0179999999999998"/>
    <n v="4.0179999999999998"/>
    <n v="4.0179999999999998"/>
    <n v="0"/>
    <x v="1"/>
    <n v="0"/>
    <n v="28"/>
    <n v="30"/>
    <n v="66"/>
    <n v="52.99"/>
    <n v="149.63"/>
    <n v="389.28"/>
    <n v="59.276351675174958"/>
    <n v="54.203801879475932"/>
    <n v="454.3285679284046"/>
    <n v="29144.5"/>
    <n v="601.2133399999999"/>
    <n v="1564.1270399999999"/>
    <n v="32601.993421346226"/>
    <n v="217.79087595173428"/>
    <n v="1825.4921859363296"/>
  </r>
  <r>
    <s v="Regular"/>
    <x v="1"/>
    <x v="0"/>
    <x v="2"/>
    <x v="0"/>
    <x v="0"/>
    <x v="0"/>
    <x v="2"/>
    <x v="10"/>
    <n v="19107"/>
    <n v="19107"/>
    <n v="478.75200000000001"/>
    <n v="478.75200000000001"/>
    <n v="478.75200000000001"/>
    <n v="478.75200000000001"/>
    <n v="0"/>
    <x v="1"/>
    <n v="0"/>
    <n v="28"/>
    <n v="30"/>
    <n v="66"/>
    <n v="52.99"/>
    <n v="149.63"/>
    <n v="389.28"/>
    <n v="59.276351675174958"/>
    <n v="54.203801879475932"/>
    <n v="454.3285679284046"/>
    <n v="1012479.93"/>
    <n v="71635.661760000003"/>
    <n v="186368.57855999999"/>
    <n v="1132593.251457568"/>
    <n v="25950.178557402862"/>
    <n v="217510.71055285956"/>
  </r>
  <r>
    <s v="Sistema Isolado - Regular"/>
    <x v="1"/>
    <x v="0"/>
    <x v="2"/>
    <x v="0"/>
    <x v="0"/>
    <x v="0"/>
    <x v="2"/>
    <x v="10"/>
    <n v="5608"/>
    <n v="5608"/>
    <n v="166.917"/>
    <n v="166.917"/>
    <n v="166.917"/>
    <n v="166.917"/>
    <n v="0"/>
    <x v="1"/>
    <n v="0"/>
    <n v="28"/>
    <n v="30"/>
    <n v="66"/>
    <n v="52.99"/>
    <n v="149.63"/>
    <n v="389.28"/>
    <n v="59.276351675174958"/>
    <n v="54.203801879475932"/>
    <n v="454.3285679284046"/>
    <n v="297167.92"/>
    <n v="24975.790710000001"/>
    <n v="64977.449759999996"/>
    <n v="332421.78019438114"/>
    <n v="9047.5359983164835"/>
    <n v="75835.161572905505"/>
  </r>
  <r>
    <s v="Sistema Isolado - Refaturamento"/>
    <x v="1"/>
    <x v="0"/>
    <x v="2"/>
    <x v="0"/>
    <x v="0"/>
    <x v="0"/>
    <x v="2"/>
    <x v="10"/>
    <n v="-42"/>
    <n v="-42"/>
    <n v="0"/>
    <n v="0"/>
    <n v="0"/>
    <n v="0"/>
    <n v="0"/>
    <x v="1"/>
    <n v="0"/>
    <n v="28"/>
    <n v="0"/>
    <n v="0"/>
    <n v="52.99"/>
    <n v="0"/>
    <n v="0"/>
    <n v="59.276351675174958"/>
    <n v="54.203801879475932"/>
    <n v="454.3285679284046"/>
    <n v="-2225.58"/>
    <n v="0"/>
    <n v="0"/>
    <n v="-2489.6067703573481"/>
    <n v="0"/>
    <n v="0"/>
  </r>
  <r>
    <s v="Sistema de Compensação"/>
    <x v="1"/>
    <x v="0"/>
    <x v="2"/>
    <x v="0"/>
    <x v="0"/>
    <x v="0"/>
    <x v="2"/>
    <x v="10"/>
    <n v="550"/>
    <n v="550"/>
    <n v="3.6680000000000001"/>
    <n v="3.6680000000000001"/>
    <n v="3.6680000000000001"/>
    <n v="3.6680000000000001"/>
    <n v="0"/>
    <x v="1"/>
    <n v="0"/>
    <n v="28"/>
    <n v="30"/>
    <n v="66"/>
    <n v="52.99"/>
    <n v="149.63"/>
    <n v="389.28"/>
    <n v="59.276351675174958"/>
    <n v="54.203801879475932"/>
    <n v="454.3285679284046"/>
    <n v="29144.5"/>
    <n v="548.84284000000002"/>
    <n v="1427.87904"/>
    <n v="32601.993421346226"/>
    <n v="198.81954529391774"/>
    <n v="1666.4771871613882"/>
  </r>
  <r>
    <s v="PROJETADO"/>
    <x v="1"/>
    <x v="0"/>
    <x v="2"/>
    <x v="0"/>
    <x v="0"/>
    <x v="0"/>
    <x v="2"/>
    <x v="11"/>
    <n v="19107"/>
    <n v="19107"/>
    <n v="478.75200000000001"/>
    <n v="478.75200000000001"/>
    <n v="478.75200000000001"/>
    <n v="478.75200000000001"/>
    <n v="0"/>
    <x v="1"/>
    <n v="0"/>
    <n v="28"/>
    <n v="30"/>
    <n v="66"/>
    <n v="52.99"/>
    <n v="149.63"/>
    <n v="389.28"/>
    <n v="59.276351675174958"/>
    <n v="54.203801879475932"/>
    <n v="454.3285679284046"/>
    <n v="1012479.93"/>
    <n v="71635.661760000003"/>
    <n v="186368.57855999999"/>
    <n v="1132593.251457568"/>
    <n v="25950.178557402862"/>
    <n v="217510.71055285956"/>
  </r>
  <r>
    <s v="PROJETADO"/>
    <x v="1"/>
    <x v="0"/>
    <x v="2"/>
    <x v="0"/>
    <x v="0"/>
    <x v="0"/>
    <x v="2"/>
    <x v="11"/>
    <n v="5608"/>
    <n v="5608"/>
    <n v="166.917"/>
    <n v="166.917"/>
    <n v="166.917"/>
    <n v="166.917"/>
    <n v="0"/>
    <x v="1"/>
    <n v="0"/>
    <n v="28"/>
    <n v="30"/>
    <n v="66"/>
    <n v="52.99"/>
    <n v="149.63"/>
    <n v="389.28"/>
    <n v="59.276351675174958"/>
    <n v="54.203801879475932"/>
    <n v="454.3285679284046"/>
    <n v="297167.92"/>
    <n v="24975.790710000001"/>
    <n v="64977.449759999996"/>
    <n v="332421.78019438114"/>
    <n v="9047.5359983164835"/>
    <n v="75835.161572905505"/>
  </r>
  <r>
    <s v="PROJETADO"/>
    <x v="1"/>
    <x v="0"/>
    <x v="2"/>
    <x v="0"/>
    <x v="0"/>
    <x v="0"/>
    <x v="2"/>
    <x v="11"/>
    <n v="-42"/>
    <n v="-42"/>
    <n v="0"/>
    <n v="0"/>
    <n v="0"/>
    <n v="0"/>
    <n v="0"/>
    <x v="1"/>
    <n v="0"/>
    <n v="28"/>
    <n v="0"/>
    <n v="0"/>
    <n v="52.99"/>
    <n v="0"/>
    <n v="0"/>
    <n v="59.276351675174958"/>
    <n v="54.203801879475932"/>
    <n v="454.3285679284046"/>
    <n v="-2225.58"/>
    <n v="0"/>
    <n v="0"/>
    <n v="-2489.6067703573481"/>
    <n v="0"/>
    <n v="0"/>
  </r>
  <r>
    <s v="PROJETADO"/>
    <x v="1"/>
    <x v="0"/>
    <x v="2"/>
    <x v="0"/>
    <x v="0"/>
    <x v="0"/>
    <x v="2"/>
    <x v="11"/>
    <n v="550"/>
    <n v="550"/>
    <n v="3.6680000000000001"/>
    <n v="3.6680000000000001"/>
    <n v="3.6680000000000001"/>
    <n v="3.6680000000000001"/>
    <n v="0"/>
    <x v="1"/>
    <n v="0"/>
    <n v="28"/>
    <n v="30"/>
    <n v="66"/>
    <n v="52.99"/>
    <n v="149.63"/>
    <n v="389.28"/>
    <n v="59.276351675174958"/>
    <n v="54.203801879475932"/>
    <n v="454.3285679284046"/>
    <n v="29144.5"/>
    <n v="548.84284000000002"/>
    <n v="1427.87904"/>
    <n v="32601.993421346226"/>
    <n v="198.81954529391774"/>
    <n v="1666.4771871613882"/>
  </r>
  <r>
    <s v="Regular"/>
    <x v="1"/>
    <x v="0"/>
    <x v="5"/>
    <x v="0"/>
    <x v="0"/>
    <x v="0"/>
    <x v="0"/>
    <x v="0"/>
    <n v="173"/>
    <n v="162.62"/>
    <n v="37.149000000000001"/>
    <n v="34.920059999999999"/>
    <n v="37.149000000000001"/>
    <n v="34.920059999999999"/>
    <n v="0"/>
    <x v="1"/>
    <n v="0"/>
    <n v="29"/>
    <n v="30"/>
    <n v="67"/>
    <n v="28.57"/>
    <n v="149.63"/>
    <n v="230.03"/>
    <n v="31.93064187172984"/>
    <n v="54.203801879475932"/>
    <n v="282.91739971702214"/>
    <n v="4646.0533999999998"/>
    <n v="5225.0885778000002"/>
    <n v="8032.6614018"/>
    <n v="5192.5609811807071"/>
    <n v="1892.8000138594123"/>
    <n v="9879.4925731623953"/>
  </r>
  <r>
    <s v="Sistema Isolado - Regular"/>
    <x v="1"/>
    <x v="0"/>
    <x v="5"/>
    <x v="0"/>
    <x v="0"/>
    <x v="0"/>
    <x v="0"/>
    <x v="0"/>
    <n v="768"/>
    <n v="721.92"/>
    <n v="173.52"/>
    <n v="163.1088"/>
    <n v="173.52"/>
    <n v="163.1088"/>
    <n v="0"/>
    <x v="1"/>
    <n v="0"/>
    <n v="29"/>
    <n v="30"/>
    <n v="67"/>
    <n v="28.57"/>
    <n v="149.63"/>
    <n v="230.03"/>
    <n v="31.93064187172984"/>
    <n v="54.203801879475932"/>
    <n v="282.91739971702214"/>
    <n v="20625.254399999998"/>
    <n v="24405.969743999998"/>
    <n v="37519.917264000003"/>
    <n v="23051.368980039206"/>
    <n v="8841.1170799990632"/>
    <n v="46146.317566963822"/>
  </r>
  <r>
    <s v="Regular"/>
    <x v="1"/>
    <x v="0"/>
    <x v="5"/>
    <x v="0"/>
    <x v="0"/>
    <x v="0"/>
    <x v="0"/>
    <x v="1"/>
    <n v="190"/>
    <n v="178.6"/>
    <n v="41.014000000000003"/>
    <n v="38.553159999999998"/>
    <n v="41.014000000000003"/>
    <n v="38.553159999999998"/>
    <n v="0"/>
    <x v="1"/>
    <n v="0"/>
    <n v="29"/>
    <n v="30"/>
    <n v="67"/>
    <n v="28.57"/>
    <n v="149.63"/>
    <n v="230.03"/>
    <n v="31.93064187172984"/>
    <n v="54.203801879475932"/>
    <n v="282.91739971702214"/>
    <n v="5102.6019999999999"/>
    <n v="5768.7093307999994"/>
    <n v="8868.3833947999992"/>
    <n v="5702.8126382909495"/>
    <n v="2089.7278464677361"/>
    <n v="10907.359778074309"/>
  </r>
  <r>
    <s v="Sistema Isolado - Regular"/>
    <x v="1"/>
    <x v="0"/>
    <x v="5"/>
    <x v="0"/>
    <x v="0"/>
    <x v="0"/>
    <x v="0"/>
    <x v="1"/>
    <n v="722"/>
    <n v="678.68"/>
    <n v="136.32"/>
    <n v="128.14079999999998"/>
    <n v="136.32"/>
    <n v="128.14079999999998"/>
    <n v="0"/>
    <x v="1"/>
    <n v="0"/>
    <n v="29"/>
    <n v="30"/>
    <n v="67"/>
    <n v="28.57"/>
    <n v="149.63"/>
    <n v="230.03"/>
    <n v="31.93064187172984"/>
    <n v="54.203801879475932"/>
    <n v="282.91739971702214"/>
    <n v="19389.887599999998"/>
    <n v="19173.707903999995"/>
    <n v="29476.228223999995"/>
    <n v="21670.688025505606"/>
    <n v="6945.7185358775487"/>
    <n v="36253.261933658985"/>
  </r>
  <r>
    <s v="Regular"/>
    <x v="1"/>
    <x v="0"/>
    <x v="5"/>
    <x v="0"/>
    <x v="0"/>
    <x v="0"/>
    <x v="0"/>
    <x v="2"/>
    <n v="191"/>
    <n v="179.54"/>
    <n v="40.171999999999997"/>
    <n v="37.761679999999998"/>
    <n v="40.171999999999997"/>
    <n v="37.761679999999998"/>
    <n v="0"/>
    <x v="1"/>
    <n v="0"/>
    <n v="29"/>
    <n v="30"/>
    <n v="67"/>
    <n v="28.57"/>
    <n v="149.63"/>
    <n v="230.03"/>
    <n v="31.93064187172984"/>
    <n v="54.203801879475932"/>
    <n v="282.91739971702214"/>
    <n v="5129.4578000000001"/>
    <n v="5650.2801783999994"/>
    <n v="8686.3192503999999"/>
    <n v="5732.8274416503755"/>
    <n v="2046.8266213561687"/>
    <n v="10683.436314546279"/>
  </r>
  <r>
    <s v="Sistema Isolado - Regular"/>
    <x v="1"/>
    <x v="0"/>
    <x v="5"/>
    <x v="0"/>
    <x v="0"/>
    <x v="0"/>
    <x v="0"/>
    <x v="2"/>
    <n v="720"/>
    <n v="676.8"/>
    <n v="147.6"/>
    <n v="138.744"/>
    <n v="147.6"/>
    <n v="138.744"/>
    <n v="0"/>
    <x v="1"/>
    <n v="0"/>
    <n v="29"/>
    <n v="30"/>
    <n v="67"/>
    <n v="28.57"/>
    <n v="149.63"/>
    <n v="230.03"/>
    <n v="31.93064187172984"/>
    <n v="54.203801879475932"/>
    <n v="282.91739971702214"/>
    <n v="19336.175999999999"/>
    <n v="20760.264719999999"/>
    <n v="31915.282319999998"/>
    <n v="21610.658418786756"/>
    <n v="7520.452287966009"/>
    <n v="39253.09170633852"/>
  </r>
  <r>
    <s v="Regular"/>
    <x v="1"/>
    <x v="0"/>
    <x v="5"/>
    <x v="0"/>
    <x v="0"/>
    <x v="0"/>
    <x v="0"/>
    <x v="3"/>
    <n v="182"/>
    <n v="171.07999999999998"/>
    <n v="44.427999999999997"/>
    <n v="41.762319999999995"/>
    <n v="44.427999999999997"/>
    <n v="41.762319999999995"/>
    <n v="0"/>
    <x v="1"/>
    <n v="0"/>
    <n v="29"/>
    <n v="30"/>
    <n v="67"/>
    <n v="28.57"/>
    <n v="149.63"/>
    <n v="230.03"/>
    <n v="31.93064187172984"/>
    <n v="54.203801879475932"/>
    <n v="282.91739971702214"/>
    <n v="4887.7555999999995"/>
    <n v="6248.8959415999989"/>
    <n v="9606.586469599999"/>
    <n v="5462.6942114155408"/>
    <n v="2263.6765193072752"/>
    <n v="11815.286980550187"/>
  </r>
  <r>
    <s v="Sistema Isolado - Regular"/>
    <x v="1"/>
    <x v="0"/>
    <x v="5"/>
    <x v="0"/>
    <x v="0"/>
    <x v="0"/>
    <x v="0"/>
    <x v="3"/>
    <n v="705"/>
    <n v="662.69999999999993"/>
    <n v="154.696"/>
    <n v="145.41423999999998"/>
    <n v="154.696"/>
    <n v="145.41423999999998"/>
    <n v="0"/>
    <x v="1"/>
    <n v="0"/>
    <n v="29"/>
    <n v="30"/>
    <n v="67"/>
    <n v="28.57"/>
    <n v="149.63"/>
    <n v="230.03"/>
    <n v="31.93064187172984"/>
    <n v="54.203801879475932"/>
    <n v="282.91739971702214"/>
    <n v="18933.339"/>
    <n v="21758.332731199996"/>
    <n v="33449.637627199998"/>
    <n v="21160.436368395363"/>
    <n v="7882.0046554145629"/>
    <n v="41140.218662626983"/>
  </r>
  <r>
    <s v="Regular"/>
    <x v="1"/>
    <x v="0"/>
    <x v="5"/>
    <x v="0"/>
    <x v="0"/>
    <x v="0"/>
    <x v="0"/>
    <x v="4"/>
    <n v="173"/>
    <n v="162.62"/>
    <n v="40.174999999999997"/>
    <n v="37.764499999999998"/>
    <n v="40.174999999999997"/>
    <n v="37.764499999999998"/>
    <n v="0"/>
    <x v="1"/>
    <n v="0"/>
    <n v="29"/>
    <n v="30"/>
    <n v="67"/>
    <n v="28.57"/>
    <n v="149.63"/>
    <n v="230.03"/>
    <n v="31.93064187172984"/>
    <n v="54.203801879475932"/>
    <n v="282.91739971702214"/>
    <n v="4646.0533999999998"/>
    <n v="5650.7021349999995"/>
    <n v="8686.9679349999988"/>
    <n v="5192.5609811807071"/>
    <n v="2046.9794760774687"/>
    <n v="10684.234141613482"/>
  </r>
  <r>
    <s v="Sistema Isolado - Regular"/>
    <x v="1"/>
    <x v="0"/>
    <x v="5"/>
    <x v="0"/>
    <x v="0"/>
    <x v="0"/>
    <x v="0"/>
    <x v="4"/>
    <n v="718"/>
    <n v="674.92"/>
    <n v="172.09200000000001"/>
    <n v="161.76648"/>
    <n v="172.09200000000001"/>
    <n v="161.76648"/>
    <n v="0"/>
    <x v="1"/>
    <n v="0"/>
    <n v="29"/>
    <n v="30"/>
    <n v="67"/>
    <n v="28.57"/>
    <n v="149.63"/>
    <n v="230.03"/>
    <n v="31.93064187172984"/>
    <n v="54.203801879475932"/>
    <n v="282.91739971702214"/>
    <n v="19282.464400000001"/>
    <n v="24205.118402399999"/>
    <n v="37211.143394400002"/>
    <n v="21550.628812067902"/>
    <n v="8768.3582326602063"/>
    <n v="45766.551882975669"/>
  </r>
  <r>
    <s v="Regular"/>
    <x v="1"/>
    <x v="0"/>
    <x v="5"/>
    <x v="0"/>
    <x v="0"/>
    <x v="0"/>
    <x v="0"/>
    <x v="5"/>
    <n v="165"/>
    <n v="155.1"/>
    <n v="39.329000000000001"/>
    <n v="36.969259999999998"/>
    <n v="39.329000000000001"/>
    <n v="36.969259999999998"/>
    <n v="0"/>
    <x v="1"/>
    <n v="0"/>
    <n v="29"/>
    <n v="30"/>
    <n v="67"/>
    <n v="28.57"/>
    <n v="149.63"/>
    <n v="230.03"/>
    <n v="31.93064187172984"/>
    <n v="54.203801879475932"/>
    <n v="282.91739971702214"/>
    <n v="4431.2070000000003"/>
    <n v="5531.7103737999996"/>
    <n v="8504.0388777999997"/>
    <n v="4952.4425543052976"/>
    <n v="2003.8744446708342"/>
    <n v="10459.246908662517"/>
  </r>
  <r>
    <s v="Sistema Isolado - Regular"/>
    <x v="1"/>
    <x v="0"/>
    <x v="5"/>
    <x v="0"/>
    <x v="0"/>
    <x v="0"/>
    <x v="0"/>
    <x v="5"/>
    <n v="696"/>
    <n v="654.24"/>
    <n v="154.584"/>
    <n v="145.30895999999998"/>
    <n v="154.584"/>
    <n v="145.30895999999998"/>
    <n v="0"/>
    <x v="1"/>
    <n v="0"/>
    <n v="29"/>
    <n v="30"/>
    <n v="67"/>
    <n v="28.57"/>
    <n v="149.63"/>
    <n v="230.03"/>
    <n v="31.93064187172984"/>
    <n v="54.203801879475932"/>
    <n v="282.91739971702214"/>
    <n v="18691.6368"/>
    <n v="21742.579684799995"/>
    <n v="33425.420068799998"/>
    <n v="20890.303138160532"/>
    <n v="7876.2980791526925"/>
    <n v="41110.433118784778"/>
  </r>
  <r>
    <s v="Regular"/>
    <x v="1"/>
    <x v="0"/>
    <x v="5"/>
    <x v="0"/>
    <x v="0"/>
    <x v="0"/>
    <x v="0"/>
    <x v="6"/>
    <n v="169"/>
    <n v="158.86000000000001"/>
    <n v="36.453000000000003"/>
    <n v="34.265819999999998"/>
    <n v="36.453000000000003"/>
    <n v="34.265819999999998"/>
    <n v="0"/>
    <x v="1"/>
    <n v="0"/>
    <n v="29"/>
    <n v="30"/>
    <n v="67"/>
    <n v="28.57"/>
    <n v="149.63"/>
    <n v="230.03"/>
    <n v="31.93064187172984"/>
    <n v="54.203801879475932"/>
    <n v="282.91739971702214"/>
    <n v="4538.6302000000005"/>
    <n v="5127.1946465999999"/>
    <n v="7882.1665745999999"/>
    <n v="5072.5017677430033"/>
    <n v="1857.337718517784"/>
    <n v="9694.3966935715307"/>
  </r>
  <r>
    <s v="Sistema Isolado - Regular"/>
    <x v="1"/>
    <x v="0"/>
    <x v="5"/>
    <x v="0"/>
    <x v="0"/>
    <x v="0"/>
    <x v="0"/>
    <x v="6"/>
    <n v="582"/>
    <n v="547.08000000000004"/>
    <n v="189.24"/>
    <n v="177.88560000000001"/>
    <n v="189.24"/>
    <n v="177.88560000000001"/>
    <n v="0"/>
    <x v="1"/>
    <n v="0"/>
    <n v="29"/>
    <n v="30"/>
    <n v="67"/>
    <n v="28.57"/>
    <n v="149.63"/>
    <n v="230.03"/>
    <n v="31.93064187172984"/>
    <n v="54.203801879475932"/>
    <n v="282.91739971702214"/>
    <n v="15630.075600000002"/>
    <n v="26617.022327999999"/>
    <n v="40919.024568000001"/>
    <n v="17468.615555185963"/>
    <n v="9642.075819611704"/>
    <n v="50326.931399102315"/>
  </r>
  <r>
    <s v="Regular"/>
    <x v="1"/>
    <x v="0"/>
    <x v="5"/>
    <x v="0"/>
    <x v="0"/>
    <x v="0"/>
    <x v="0"/>
    <x v="7"/>
    <n v="150"/>
    <n v="141"/>
    <n v="35.372"/>
    <n v="33.249679999999998"/>
    <n v="35.372"/>
    <n v="33.249679999999998"/>
    <n v="0"/>
    <x v="1"/>
    <n v="0"/>
    <n v="29"/>
    <n v="30"/>
    <n v="67"/>
    <n v="28.57"/>
    <n v="149.63"/>
    <n v="230.03"/>
    <n v="31.93064187172984"/>
    <n v="54.203801879475932"/>
    <n v="282.91739971702214"/>
    <n v="4028.37"/>
    <n v="4975.1496183999998"/>
    <n v="7648.4238903999994"/>
    <n v="4502.2205039139071"/>
    <n v="1802.2590672759732"/>
    <n v="9406.9130070230767"/>
  </r>
  <r>
    <s v="Sistema Isolado - Regular"/>
    <x v="1"/>
    <x v="0"/>
    <x v="5"/>
    <x v="0"/>
    <x v="0"/>
    <x v="0"/>
    <x v="0"/>
    <x v="7"/>
    <n v="741"/>
    <n v="696.54"/>
    <n v="160.12799999999999"/>
    <n v="150.52031999999997"/>
    <n v="160.12799999999999"/>
    <n v="150.52031999999997"/>
    <n v="0"/>
    <x v="1"/>
    <n v="0"/>
    <n v="29"/>
    <n v="30"/>
    <n v="67"/>
    <n v="28.57"/>
    <n v="149.63"/>
    <n v="230.03"/>
    <n v="31.93064187172984"/>
    <n v="54.203801879475932"/>
    <n v="282.91739971702214"/>
    <n v="19900.147799999999"/>
    <n v="22522.355481599996"/>
    <n v="34624.189209599994"/>
    <n v="22240.969289334702"/>
    <n v="8158.7736041153175"/>
    <n v="42584.817538974072"/>
  </r>
  <r>
    <s v="Regular"/>
    <x v="1"/>
    <x v="0"/>
    <x v="5"/>
    <x v="0"/>
    <x v="0"/>
    <x v="0"/>
    <x v="0"/>
    <x v="8"/>
    <n v="175"/>
    <n v="164.5"/>
    <n v="40.423000000000002"/>
    <n v="37.997619999999998"/>
    <n v="40.423000000000002"/>
    <n v="37.997619999999998"/>
    <n v="0"/>
    <x v="1"/>
    <n v="0"/>
    <n v="29"/>
    <n v="30"/>
    <n v="67"/>
    <n v="28.57"/>
    <n v="149.63"/>
    <n v="230.03"/>
    <n v="31.93064187172984"/>
    <n v="54.203801879475932"/>
    <n v="282.91739971702214"/>
    <n v="4699.7650000000003"/>
    <n v="5685.5838805999992"/>
    <n v="8740.5925286000002"/>
    <n v="5252.5905878995591"/>
    <n v="2059.615466371612"/>
    <n v="10750.187845835513"/>
  </r>
  <r>
    <s v="Sistema Isolado - Regular"/>
    <x v="1"/>
    <x v="0"/>
    <x v="5"/>
    <x v="0"/>
    <x v="0"/>
    <x v="0"/>
    <x v="0"/>
    <x v="8"/>
    <n v="813"/>
    <n v="764.22"/>
    <n v="167.11199999999999"/>
    <n v="157.08528000000001"/>
    <n v="167.11199999999999"/>
    <n v="157.08528000000001"/>
    <n v="0"/>
    <x v="1"/>
    <n v="0"/>
    <n v="29"/>
    <n v="30"/>
    <n v="67"/>
    <n v="28.57"/>
    <n v="149.63"/>
    <n v="230.03"/>
    <n v="31.93064187172984"/>
    <n v="54.203801879475932"/>
    <n v="282.91739971702214"/>
    <n v="21833.7654"/>
    <n v="23504.670446399999"/>
    <n v="36134.326958400001"/>
    <n v="24402.035131213379"/>
    <n v="8514.6193953020029"/>
    <n v="44442.158951420344"/>
  </r>
  <r>
    <s v="Regular"/>
    <x v="1"/>
    <x v="0"/>
    <x v="5"/>
    <x v="0"/>
    <x v="0"/>
    <x v="0"/>
    <x v="0"/>
    <x v="9"/>
    <n v="190"/>
    <n v="178.6"/>
    <n v="43.35"/>
    <n v="40.749000000000002"/>
    <n v="43.35"/>
    <n v="40.749000000000002"/>
    <n v="0"/>
    <x v="1"/>
    <n v="0"/>
    <n v="29"/>
    <n v="30"/>
    <n v="67"/>
    <n v="28.57"/>
    <n v="149.63"/>
    <n v="230.03"/>
    <n v="31.93064187172984"/>
    <n v="54.203801879475932"/>
    <n v="282.91739971702214"/>
    <n v="5102.6019999999999"/>
    <n v="6097.2728699999998"/>
    <n v="9373.492470000001"/>
    <n v="5702.8126382909495"/>
    <n v="2208.750722786765"/>
    <n v="11528.601121068936"/>
  </r>
  <r>
    <s v="Sistema Isolado - Regular"/>
    <x v="1"/>
    <x v="0"/>
    <x v="5"/>
    <x v="0"/>
    <x v="0"/>
    <x v="0"/>
    <x v="0"/>
    <x v="9"/>
    <n v="804"/>
    <n v="755.76"/>
    <n v="188.06399999999999"/>
    <n v="176.78016"/>
    <n v="188.06399999999999"/>
    <n v="176.78016"/>
    <n v="0"/>
    <x v="1"/>
    <n v="0"/>
    <n v="29"/>
    <n v="30"/>
    <n v="67"/>
    <n v="28.57"/>
    <n v="149.63"/>
    <n v="230.03"/>
    <n v="31.93064187172984"/>
    <n v="54.203801879475932"/>
    <n v="282.91739971702214"/>
    <n v="21592.063200000001"/>
    <n v="26451.615340799999"/>
    <n v="40664.7402048"/>
    <n v="24131.901900978544"/>
    <n v="9582.1567688620562"/>
    <n v="50014.183188759125"/>
  </r>
  <r>
    <s v="Regular"/>
    <x v="1"/>
    <x v="0"/>
    <x v="5"/>
    <x v="0"/>
    <x v="0"/>
    <x v="0"/>
    <x v="0"/>
    <x v="10"/>
    <n v="509"/>
    <n v="478.46"/>
    <n v="43.2"/>
    <n v="40.607999999999997"/>
    <n v="43.2"/>
    <n v="40.607999999999997"/>
    <n v="0"/>
    <x v="1"/>
    <n v="0"/>
    <n v="29"/>
    <n v="30"/>
    <n v="67"/>
    <n v="28.57"/>
    <n v="149.63"/>
    <n v="230.03"/>
    <n v="31.93064187172984"/>
    <n v="54.203801879475932"/>
    <n v="282.91739971702214"/>
    <n v="13669.602199999999"/>
    <n v="6076.1750399999992"/>
    <n v="9341.0582399999985"/>
    <n v="15277.534909947859"/>
    <n v="2201.1079867217586"/>
    <n v="11488.709767708833"/>
  </r>
  <r>
    <s v="Sistema Isolado - Regular"/>
    <x v="1"/>
    <x v="0"/>
    <x v="5"/>
    <x v="0"/>
    <x v="0"/>
    <x v="0"/>
    <x v="0"/>
    <x v="10"/>
    <n v="791"/>
    <n v="743.54"/>
    <n v="146.88"/>
    <n v="138.06720000000001"/>
    <n v="146.88"/>
    <n v="138.06720000000001"/>
    <n v="0"/>
    <x v="1"/>
    <n v="0"/>
    <n v="29"/>
    <n v="30"/>
    <n v="67"/>
    <n v="28.57"/>
    <n v="149.63"/>
    <n v="230.03"/>
    <n v="31.93064187172984"/>
    <n v="54.203801879475932"/>
    <n v="282.91739971702214"/>
    <n v="21242.9378"/>
    <n v="20658.995136000001"/>
    <n v="31759.598016000004"/>
    <n v="23741.709457306006"/>
    <n v="7483.7671548539802"/>
    <n v="39061.613210210046"/>
  </r>
  <r>
    <s v="PROJETADO"/>
    <x v="1"/>
    <x v="0"/>
    <x v="5"/>
    <x v="0"/>
    <x v="0"/>
    <x v="0"/>
    <x v="0"/>
    <x v="11"/>
    <n v="509"/>
    <n v="478.46"/>
    <n v="43.2"/>
    <n v="40.607999999999997"/>
    <n v="43.2"/>
    <n v="40.607999999999997"/>
    <n v="0"/>
    <x v="1"/>
    <n v="0"/>
    <n v="29"/>
    <n v="30"/>
    <n v="67"/>
    <n v="28.57"/>
    <n v="149.63"/>
    <n v="230.03"/>
    <n v="31.93064187172984"/>
    <n v="54.203801879475932"/>
    <n v="282.91739971702214"/>
    <n v="13669.602199999999"/>
    <n v="6076.1750399999992"/>
    <n v="9341.0582399999985"/>
    <n v="15277.534909947859"/>
    <n v="2201.1079867217586"/>
    <n v="11488.709767708833"/>
  </r>
  <r>
    <s v="PROJETADO"/>
    <x v="1"/>
    <x v="0"/>
    <x v="5"/>
    <x v="0"/>
    <x v="0"/>
    <x v="0"/>
    <x v="0"/>
    <x v="11"/>
    <n v="791"/>
    <n v="743.54"/>
    <n v="146.88"/>
    <n v="138.06720000000001"/>
    <n v="146.88"/>
    <n v="138.06720000000001"/>
    <n v="0"/>
    <x v="1"/>
    <n v="0"/>
    <n v="29"/>
    <n v="30"/>
    <n v="67"/>
    <n v="28.57"/>
    <n v="149.63"/>
    <n v="230.03"/>
    <n v="31.93064187172984"/>
    <n v="54.203801879475932"/>
    <n v="282.91739971702214"/>
    <n v="21242.9378"/>
    <n v="20658.995136000001"/>
    <n v="31759.598016000004"/>
    <n v="23741.709457306006"/>
    <n v="7483.7671548539802"/>
    <n v="39061.613210210046"/>
  </r>
  <r>
    <s v="Regular"/>
    <x v="1"/>
    <x v="0"/>
    <x v="5"/>
    <x v="0"/>
    <x v="0"/>
    <x v="0"/>
    <x v="2"/>
    <x v="0"/>
    <n v="107"/>
    <n v="100.58"/>
    <n v="3.6070000000000002"/>
    <n v="3.3905799999999999"/>
    <n v="3.6070000000000002"/>
    <n v="3.3905799999999999"/>
    <n v="0"/>
    <x v="1"/>
    <n v="0"/>
    <n v="28"/>
    <n v="30"/>
    <n v="66"/>
    <n v="52.99"/>
    <n v="149.63"/>
    <n v="389.28"/>
    <n v="59.276351675174958"/>
    <n v="54.203801879475932"/>
    <n v="454.3285679284046"/>
    <n v="5329.7341999999999"/>
    <n v="507.3324854"/>
    <n v="1319.8849823999999"/>
    <n v="5962.0154514890974"/>
    <n v="183.7823265765135"/>
    <n v="1540.43735584669"/>
  </r>
  <r>
    <s v="Sistema Isolado - Regular"/>
    <x v="1"/>
    <x v="0"/>
    <x v="5"/>
    <x v="0"/>
    <x v="0"/>
    <x v="0"/>
    <x v="2"/>
    <x v="0"/>
    <n v="741"/>
    <n v="696.54"/>
    <n v="28.32"/>
    <n v="26.620799999999999"/>
    <n v="28.32"/>
    <n v="26.620799999999999"/>
    <n v="0"/>
    <x v="1"/>
    <n v="0"/>
    <n v="28"/>
    <n v="30"/>
    <n v="66"/>
    <n v="52.99"/>
    <n v="149.63"/>
    <n v="389.28"/>
    <n v="59.276351675174958"/>
    <n v="54.203801879475932"/>
    <n v="454.3285679284046"/>
    <n v="36909.654600000002"/>
    <n v="3983.2703039999997"/>
    <n v="10362.945023999999"/>
    <n v="41288.349995826364"/>
    <n v="1442.9485690731528"/>
    <n v="12094.589941108472"/>
  </r>
  <r>
    <s v="Regular"/>
    <x v="1"/>
    <x v="0"/>
    <x v="5"/>
    <x v="0"/>
    <x v="0"/>
    <x v="0"/>
    <x v="2"/>
    <x v="1"/>
    <n v="103"/>
    <n v="96.82"/>
    <n v="3.8490000000000002"/>
    <n v="3.6180599999999998"/>
    <n v="3.8490000000000002"/>
    <n v="3.6180599999999998"/>
    <n v="0"/>
    <x v="1"/>
    <n v="0"/>
    <n v="28"/>
    <n v="30"/>
    <n v="66"/>
    <n v="52.99"/>
    <n v="149.63"/>
    <n v="389.28"/>
    <n v="59.276351675174958"/>
    <n v="54.203801879475932"/>
    <n v="454.3285679284046"/>
    <n v="5130.4917999999998"/>
    <n v="541.37031779999995"/>
    <n v="1408.4383967999997"/>
    <n v="5739.1363691904389"/>
    <n v="196.11260742805669"/>
    <n v="1643.7880184790436"/>
  </r>
  <r>
    <s v="Sistema Isolado - Regular"/>
    <x v="1"/>
    <x v="0"/>
    <x v="5"/>
    <x v="0"/>
    <x v="0"/>
    <x v="0"/>
    <x v="2"/>
    <x v="1"/>
    <n v="703"/>
    <n v="660.81999999999994"/>
    <n v="21.36"/>
    <n v="20.078399999999998"/>
    <n v="21.36"/>
    <n v="20.078399999999998"/>
    <n v="0"/>
    <x v="1"/>
    <n v="0"/>
    <n v="28"/>
    <n v="30"/>
    <n v="66"/>
    <n v="52.99"/>
    <n v="149.63"/>
    <n v="389.28"/>
    <n v="59.276351675174958"/>
    <n v="54.203801879475932"/>
    <n v="454.3285679284046"/>
    <n v="35016.851799999997"/>
    <n v="3004.3309919999997"/>
    <n v="7816.1195519999992"/>
    <n v="39170.998713989109"/>
    <n v="1088.3256156568696"/>
    <n v="9122.1907182936775"/>
  </r>
  <r>
    <s v="Regular"/>
    <x v="1"/>
    <x v="0"/>
    <x v="5"/>
    <x v="0"/>
    <x v="0"/>
    <x v="0"/>
    <x v="2"/>
    <x v="2"/>
    <n v="111"/>
    <n v="104.33999999999999"/>
    <n v="3.835"/>
    <n v="3.6048999999999998"/>
    <n v="3.835"/>
    <n v="3.6048999999999998"/>
    <n v="0"/>
    <x v="1"/>
    <n v="0"/>
    <n v="28"/>
    <n v="30"/>
    <n v="66"/>
    <n v="52.99"/>
    <n v="149.63"/>
    <n v="389.28"/>
    <n v="59.276351675174958"/>
    <n v="54.203801879475932"/>
    <n v="454.3285679284046"/>
    <n v="5528.9766"/>
    <n v="539.40118699999994"/>
    <n v="1403.3154719999998"/>
    <n v="6184.8945337877549"/>
    <n v="195.39928539532278"/>
    <n v="1637.8090545251057"/>
  </r>
  <r>
    <s v="Sistema Isolado - Regular"/>
    <x v="1"/>
    <x v="0"/>
    <x v="5"/>
    <x v="0"/>
    <x v="0"/>
    <x v="0"/>
    <x v="2"/>
    <x v="2"/>
    <n v="712"/>
    <n v="669.28"/>
    <n v="23.76"/>
    <n v="22.334399999999999"/>
    <n v="23.76"/>
    <n v="22.334399999999999"/>
    <n v="0"/>
    <x v="1"/>
    <n v="0"/>
    <n v="28"/>
    <n v="30"/>
    <n v="66"/>
    <n v="52.99"/>
    <n v="149.63"/>
    <n v="389.28"/>
    <n v="59.276351675174958"/>
    <n v="54.203801879475932"/>
    <n v="454.3285679284046"/>
    <n v="35465.147199999999"/>
    <n v="3341.8962719999995"/>
    <n v="8694.3352319999995"/>
    <n v="39672.476649161094"/>
    <n v="1210.6093926969672"/>
    <n v="10147.155967540159"/>
  </r>
  <r>
    <s v="Regular"/>
    <x v="1"/>
    <x v="0"/>
    <x v="5"/>
    <x v="0"/>
    <x v="0"/>
    <x v="0"/>
    <x v="2"/>
    <x v="3"/>
    <n v="103"/>
    <n v="96.82"/>
    <n v="4.008"/>
    <n v="3.7675199999999998"/>
    <n v="4.008"/>
    <n v="3.7675199999999998"/>
    <n v="0"/>
    <x v="1"/>
    <n v="0"/>
    <n v="28"/>
    <n v="30"/>
    <n v="66"/>
    <n v="52.99"/>
    <n v="149.63"/>
    <n v="389.28"/>
    <n v="59.276351675174958"/>
    <n v="54.203801879475932"/>
    <n v="454.3285679284046"/>
    <n v="5130.4917999999998"/>
    <n v="563.7340175999999"/>
    <n v="1466.6201855999998"/>
    <n v="5739.1363691904389"/>
    <n v="204.21390765696316"/>
    <n v="1711.6919662416228"/>
  </r>
  <r>
    <s v="Sistema Isolado - Regular"/>
    <x v="1"/>
    <x v="0"/>
    <x v="5"/>
    <x v="0"/>
    <x v="0"/>
    <x v="0"/>
    <x v="2"/>
    <x v="3"/>
    <n v="688"/>
    <n v="646.71999999999991"/>
    <n v="25.777999999999999"/>
    <n v="24.231319999999997"/>
    <n v="25.777999999999999"/>
    <n v="24.231319999999997"/>
    <n v="0"/>
    <x v="1"/>
    <n v="0"/>
    <n v="28"/>
    <n v="30"/>
    <n v="66"/>
    <n v="52.99"/>
    <n v="149.63"/>
    <n v="389.28"/>
    <n v="59.276351675174958"/>
    <n v="54.203801879475932"/>
    <n v="454.3285679284046"/>
    <n v="34269.692799999997"/>
    <n v="3625.7324115999995"/>
    <n v="9432.7682495999979"/>
    <n v="38335.202155369145"/>
    <n v="1313.4296685581826"/>
    <n v="11008.980914614907"/>
  </r>
  <r>
    <s v="Regular"/>
    <x v="1"/>
    <x v="0"/>
    <x v="5"/>
    <x v="0"/>
    <x v="0"/>
    <x v="0"/>
    <x v="2"/>
    <x v="4"/>
    <n v="100"/>
    <n v="94"/>
    <n v="4.0199999999999996"/>
    <n v="3.7787999999999995"/>
    <n v="4.0199999999999996"/>
    <n v="3.7787999999999995"/>
    <n v="0"/>
    <x v="1"/>
    <n v="0"/>
    <n v="28"/>
    <n v="30"/>
    <n v="66"/>
    <n v="52.99"/>
    <n v="149.63"/>
    <n v="389.28"/>
    <n v="59.276351675174958"/>
    <n v="54.203801879475932"/>
    <n v="454.3285679284046"/>
    <n v="4981.0600000000004"/>
    <n v="565.42184399999985"/>
    <n v="1471.0112639999998"/>
    <n v="5571.9770574664462"/>
    <n v="204.82532654216362"/>
    <n v="1716.8167924878551"/>
  </r>
  <r>
    <s v="Sistema Isolado - Regular"/>
    <x v="1"/>
    <x v="0"/>
    <x v="5"/>
    <x v="0"/>
    <x v="0"/>
    <x v="0"/>
    <x v="2"/>
    <x v="4"/>
    <n v="584"/>
    <n v="548.95999999999992"/>
    <n v="27.468"/>
    <n v="25.81992"/>
    <n v="27.468"/>
    <n v="25.81992"/>
    <n v="0"/>
    <x v="1"/>
    <n v="0"/>
    <n v="28"/>
    <n v="30"/>
    <n v="66"/>
    <n v="52.99"/>
    <n v="149.63"/>
    <n v="389.28"/>
    <n v="59.276351675174958"/>
    <n v="54.203801879475932"/>
    <n v="454.3285679284046"/>
    <n v="29089.390399999997"/>
    <n v="3863.4346295999999"/>
    <n v="10051.178457599999"/>
    <n v="32540.346015604042"/>
    <n v="1399.5378282239183"/>
    <n v="11730.727277625972"/>
  </r>
  <r>
    <s v="Regular"/>
    <x v="1"/>
    <x v="0"/>
    <x v="5"/>
    <x v="0"/>
    <x v="0"/>
    <x v="0"/>
    <x v="2"/>
    <x v="5"/>
    <n v="95"/>
    <n v="89.3"/>
    <n v="3.58"/>
    <n v="3.3651999999999997"/>
    <n v="3.58"/>
    <n v="3.3651999999999997"/>
    <n v="0"/>
    <x v="1"/>
    <n v="0"/>
    <n v="28"/>
    <n v="30"/>
    <n v="66"/>
    <n v="52.99"/>
    <n v="149.63"/>
    <n v="389.28"/>
    <n v="59.276351675174958"/>
    <n v="54.203801879475932"/>
    <n v="454.3285679284046"/>
    <n v="4732.0069999999996"/>
    <n v="503.53487599999994"/>
    <n v="1310.0050559999997"/>
    <n v="5293.3782045931239"/>
    <n v="182.4066340848124"/>
    <n v="1528.906496792667"/>
  </r>
  <r>
    <s v="Sistema Isolado - Regular"/>
    <x v="1"/>
    <x v="0"/>
    <x v="5"/>
    <x v="0"/>
    <x v="0"/>
    <x v="0"/>
    <x v="2"/>
    <x v="5"/>
    <n v="702"/>
    <n v="659.88"/>
    <n v="27.431999999999999"/>
    <n v="25.786079999999998"/>
    <n v="27.431999999999999"/>
    <n v="25.786079999999998"/>
    <n v="0"/>
    <x v="1"/>
    <n v="0"/>
    <n v="28"/>
    <n v="30"/>
    <n v="66"/>
    <n v="52.99"/>
    <n v="149.63"/>
    <n v="389.28"/>
    <n v="59.276351675174958"/>
    <n v="54.203801879475932"/>
    <n v="454.3285679284046"/>
    <n v="34967.0412"/>
    <n v="3858.3711503999998"/>
    <n v="10038.005222399999"/>
    <n v="39115.278943414451"/>
    <n v="1397.7035715683166"/>
    <n v="11715.352798887274"/>
  </r>
  <r>
    <s v="Regular"/>
    <x v="1"/>
    <x v="0"/>
    <x v="5"/>
    <x v="0"/>
    <x v="0"/>
    <x v="0"/>
    <x v="2"/>
    <x v="6"/>
    <n v="94"/>
    <n v="88.36"/>
    <n v="3.7749999999999999"/>
    <n v="3.5485000000000002"/>
    <n v="3.7749999999999999"/>
    <n v="3.5485000000000002"/>
    <n v="0"/>
    <x v="1"/>
    <n v="0"/>
    <n v="28"/>
    <n v="30"/>
    <n v="66"/>
    <n v="52.99"/>
    <n v="149.63"/>
    <n v="389.28"/>
    <n v="59.276351675174958"/>
    <n v="54.203801879475932"/>
    <n v="454.3285679284046"/>
    <n v="4682.1963999999998"/>
    <n v="530.96205499999996"/>
    <n v="1381.3600799999999"/>
    <n v="5237.658434018459"/>
    <n v="192.34219096932037"/>
    <n v="1612.1849232939437"/>
  </r>
  <r>
    <s v="Sistema Isolado - Regular"/>
    <x v="1"/>
    <x v="0"/>
    <x v="5"/>
    <x v="0"/>
    <x v="0"/>
    <x v="0"/>
    <x v="2"/>
    <x v="6"/>
    <n v="638"/>
    <n v="599.72"/>
    <n v="32.472000000000001"/>
    <n v="30.523679999999999"/>
    <n v="32.472000000000001"/>
    <n v="30.523679999999999"/>
    <n v="0"/>
    <x v="1"/>
    <n v="0"/>
    <n v="28"/>
    <n v="30"/>
    <n v="66"/>
    <n v="52.99"/>
    <n v="149.63"/>
    <n v="389.28"/>
    <n v="59.276351675174958"/>
    <n v="54.203801879475932"/>
    <n v="454.3285679284046"/>
    <n v="31779.162800000002"/>
    <n v="4567.2582383999998"/>
    <n v="11882.258150399999"/>
    <n v="35549.21362663593"/>
    <n v="1654.499503352522"/>
    <n v="13867.779822304885"/>
  </r>
  <r>
    <s v="Regular"/>
    <x v="1"/>
    <x v="0"/>
    <x v="5"/>
    <x v="0"/>
    <x v="0"/>
    <x v="0"/>
    <x v="2"/>
    <x v="7"/>
    <n v="91"/>
    <n v="85.54"/>
    <n v="3.9079999999999999"/>
    <n v="3.6735199999999999"/>
    <n v="3.9079999999999999"/>
    <n v="3.6735199999999999"/>
    <n v="0"/>
    <x v="1"/>
    <n v="0"/>
    <n v="28"/>
    <n v="30"/>
    <n v="66"/>
    <n v="52.99"/>
    <n v="149.63"/>
    <n v="389.28"/>
    <n v="59.276351675174958"/>
    <n v="54.203801879475932"/>
    <n v="454.3285679284046"/>
    <n v="4532.7646000000004"/>
    <n v="549.66879759999995"/>
    <n v="1430.0278655999998"/>
    <n v="5070.4991222944664"/>
    <n v="199.11875028029243"/>
    <n v="1668.9850808563529"/>
  </r>
  <r>
    <s v="Sistema Isolado - Regular"/>
    <x v="1"/>
    <x v="0"/>
    <x v="5"/>
    <x v="0"/>
    <x v="0"/>
    <x v="0"/>
    <x v="2"/>
    <x v="7"/>
    <n v="615"/>
    <n v="578.1"/>
    <n v="21.815999999999999"/>
    <n v="20.507039999999996"/>
    <n v="21.815999999999999"/>
    <n v="20.507039999999996"/>
    <n v="0"/>
    <x v="1"/>
    <n v="0"/>
    <n v="28"/>
    <n v="30"/>
    <n v="66"/>
    <n v="52.99"/>
    <n v="149.63"/>
    <n v="389.28"/>
    <n v="59.276351675174958"/>
    <n v="54.203801879475932"/>
    <n v="454.3285679284046"/>
    <n v="30633.519000000004"/>
    <n v="3068.4683951999996"/>
    <n v="7982.980531199998"/>
    <n v="34267.658903418647"/>
    <n v="1111.5595332944879"/>
    <n v="9316.9341156505088"/>
  </r>
  <r>
    <s v="Regular"/>
    <x v="1"/>
    <x v="0"/>
    <x v="5"/>
    <x v="0"/>
    <x v="0"/>
    <x v="0"/>
    <x v="2"/>
    <x v="8"/>
    <n v="99"/>
    <n v="93.06"/>
    <n v="4.2619999999999996"/>
    <n v="4.0062800000000003"/>
    <n v="4.2619999999999996"/>
    <n v="4.0062800000000003"/>
    <n v="0"/>
    <x v="1"/>
    <n v="0"/>
    <n v="28"/>
    <n v="30"/>
    <n v="66"/>
    <n v="52.99"/>
    <n v="149.63"/>
    <n v="389.28"/>
    <n v="59.276351675174958"/>
    <n v="54.203801879475932"/>
    <n v="454.3285679284046"/>
    <n v="4931.2494000000006"/>
    <n v="599.45967640000003"/>
    <n v="1559.5646784"/>
    <n v="5516.2572868917814"/>
    <n v="217.15560739370684"/>
    <n v="1820.1674551202088"/>
  </r>
  <r>
    <s v="Sistema Isolado - Regular"/>
    <x v="1"/>
    <x v="0"/>
    <x v="5"/>
    <x v="0"/>
    <x v="0"/>
    <x v="0"/>
    <x v="2"/>
    <x v="8"/>
    <n v="461"/>
    <n v="433.34"/>
    <n v="9.5039999999999996"/>
    <n v="8.9337599999999995"/>
    <n v="9.5039999999999996"/>
    <n v="8.9337599999999995"/>
    <n v="0"/>
    <x v="1"/>
    <n v="0"/>
    <n v="28"/>
    <n v="30"/>
    <n v="66"/>
    <n v="52.99"/>
    <n v="149.63"/>
    <n v="389.28"/>
    <n v="59.276351675174958"/>
    <n v="54.203801879475932"/>
    <n v="454.3285679284046"/>
    <n v="22962.686600000001"/>
    <n v="1336.7585087999998"/>
    <n v="3477.7340927999994"/>
    <n v="25686.814234920315"/>
    <n v="484.24375707878687"/>
    <n v="4058.8623870160636"/>
  </r>
  <r>
    <s v="Regular"/>
    <x v="1"/>
    <x v="0"/>
    <x v="5"/>
    <x v="0"/>
    <x v="0"/>
    <x v="0"/>
    <x v="2"/>
    <x v="9"/>
    <n v="102"/>
    <n v="95.88"/>
    <n v="4.093"/>
    <n v="3.8474200000000001"/>
    <n v="4.093"/>
    <n v="3.8474200000000001"/>
    <n v="0"/>
    <x v="1"/>
    <n v="0"/>
    <n v="28"/>
    <n v="30"/>
    <n v="66"/>
    <n v="52.99"/>
    <n v="149.63"/>
    <n v="389.28"/>
    <n v="59.276351675174958"/>
    <n v="54.203801879475932"/>
    <n v="454.3285679284046"/>
    <n v="5080.6812"/>
    <n v="575.68945459999998"/>
    <n v="1497.7236576"/>
    <n v="5683.416598615775"/>
    <n v="208.5447914271333"/>
    <n v="1747.9928188191025"/>
  </r>
  <r>
    <s v="Sistema Isolado - Regular"/>
    <x v="1"/>
    <x v="0"/>
    <x v="5"/>
    <x v="0"/>
    <x v="0"/>
    <x v="0"/>
    <x v="2"/>
    <x v="9"/>
    <n v="719"/>
    <n v="675.86"/>
    <n v="10.656000000000001"/>
    <n v="10.016640000000001"/>
    <n v="10.656000000000001"/>
    <n v="10.016640000000001"/>
    <n v="0"/>
    <x v="1"/>
    <n v="0"/>
    <n v="28"/>
    <n v="30"/>
    <n v="66"/>
    <n v="52.99"/>
    <n v="149.63"/>
    <n v="389.28"/>
    <n v="59.276351675174958"/>
    <n v="54.203801879475932"/>
    <n v="454.3285679284046"/>
    <n v="35813.821400000001"/>
    <n v="1498.7898432"/>
    <n v="3899.2776192000001"/>
    <n v="40062.515043183746"/>
    <n v="542.93997005803385"/>
    <n v="4550.8457066543751"/>
  </r>
  <r>
    <s v="Regular"/>
    <x v="1"/>
    <x v="0"/>
    <x v="5"/>
    <x v="0"/>
    <x v="0"/>
    <x v="0"/>
    <x v="2"/>
    <x v="10"/>
    <n v="660"/>
    <n v="620.4"/>
    <n v="4.327"/>
    <n v="4.06738"/>
    <n v="4.327"/>
    <n v="4.06738"/>
    <n v="0"/>
    <x v="1"/>
    <n v="0"/>
    <n v="28"/>
    <n v="30"/>
    <n v="66"/>
    <n v="52.99"/>
    <n v="149.63"/>
    <n v="389.28"/>
    <n v="59.276351675174958"/>
    <n v="54.203801879475932"/>
    <n v="454.3285679284046"/>
    <n v="32874.995999999999"/>
    <n v="608.6020694"/>
    <n v="1583.3496863999999"/>
    <n v="36775.04857927854"/>
    <n v="220.46745968854282"/>
    <n v="1847.9269306206343"/>
  </r>
  <r>
    <s v="Sistema Isolado - Regular"/>
    <x v="1"/>
    <x v="0"/>
    <x v="5"/>
    <x v="0"/>
    <x v="0"/>
    <x v="0"/>
    <x v="2"/>
    <x v="10"/>
    <n v="671"/>
    <n v="630.74"/>
    <n v="7.6319999999999997"/>
    <n v="7.17408"/>
    <n v="7.6319999999999997"/>
    <n v="7.17408"/>
    <n v="0"/>
    <x v="1"/>
    <n v="0"/>
    <n v="28"/>
    <n v="30"/>
    <n v="66"/>
    <n v="52.99"/>
    <n v="149.63"/>
    <n v="389.28"/>
    <n v="59.276351675174958"/>
    <n v="54.203801879475932"/>
    <n v="454.3285679284046"/>
    <n v="33422.912600000003"/>
    <n v="1073.4575904000001"/>
    <n v="2792.7258623999996"/>
    <n v="37387.966055599856"/>
    <n v="388.86241098751071"/>
    <n v="3259.3894926038088"/>
  </r>
  <r>
    <s v="PROJETADO"/>
    <x v="1"/>
    <x v="0"/>
    <x v="5"/>
    <x v="0"/>
    <x v="0"/>
    <x v="0"/>
    <x v="2"/>
    <x v="11"/>
    <n v="660"/>
    <n v="620.4"/>
    <n v="4.327"/>
    <n v="4.06738"/>
    <n v="4.327"/>
    <n v="4.06738"/>
    <n v="0"/>
    <x v="1"/>
    <n v="0"/>
    <n v="28"/>
    <n v="30"/>
    <n v="66"/>
    <n v="52.99"/>
    <n v="149.63"/>
    <n v="389.28"/>
    <n v="59.276351675174958"/>
    <n v="54.203801879475932"/>
    <n v="454.3285679284046"/>
    <n v="32874.995999999999"/>
    <n v="608.6020694"/>
    <n v="1583.3496863999999"/>
    <n v="36775.04857927854"/>
    <n v="220.46745968854282"/>
    <n v="1847.9269306206343"/>
  </r>
  <r>
    <s v="PROJETADO"/>
    <x v="1"/>
    <x v="0"/>
    <x v="5"/>
    <x v="0"/>
    <x v="0"/>
    <x v="0"/>
    <x v="2"/>
    <x v="11"/>
    <n v="671"/>
    <n v="630.74"/>
    <n v="7.6319999999999997"/>
    <n v="7.17408"/>
    <n v="7.6319999999999997"/>
    <n v="7.17408"/>
    <n v="0"/>
    <x v="1"/>
    <n v="0"/>
    <n v="28"/>
    <n v="30"/>
    <n v="66"/>
    <n v="52.99"/>
    <n v="149.63"/>
    <n v="389.28"/>
    <n v="59.276351675174958"/>
    <n v="54.203801879475932"/>
    <n v="454.3285679284046"/>
    <n v="33422.912600000003"/>
    <n v="1073.4575904000001"/>
    <n v="2792.7258623999996"/>
    <n v="37387.966055599856"/>
    <n v="388.86241098751071"/>
    <n v="3259.3894926038088"/>
  </r>
  <r>
    <s v="Regular"/>
    <x v="1"/>
    <x v="0"/>
    <x v="3"/>
    <x v="1"/>
    <x v="0"/>
    <x v="0"/>
    <x v="0"/>
    <x v="0"/>
    <n v="1274"/>
    <n v="1082.8999999999999"/>
    <n v="446.23700000000002"/>
    <n v="406.07567000000006"/>
    <n v="446.23700000000002"/>
    <n v="406.07567000000006"/>
    <n v="0"/>
    <x v="1"/>
    <n v="0"/>
    <n v="29"/>
    <n v="30"/>
    <n v="67"/>
    <n v="28.57"/>
    <n v="149.63"/>
    <n v="230.03"/>
    <n v="31.93064187172984"/>
    <n v="54.203801879475932"/>
    <n v="282.91739971702214"/>
    <n v="30938.452999999998"/>
    <n v="60761.10250210001"/>
    <n v="93409.58637010002"/>
    <n v="34577.692082896239"/>
    <n v="22010.84516475545"/>
    <n v="114885.87264474759"/>
  </r>
  <r>
    <s v="Sistema Isolado - Regular"/>
    <x v="1"/>
    <x v="0"/>
    <x v="3"/>
    <x v="1"/>
    <x v="0"/>
    <x v="0"/>
    <x v="0"/>
    <x v="0"/>
    <n v="605"/>
    <n v="514.25"/>
    <n v="261.67700000000002"/>
    <n v="238.12607000000003"/>
    <n v="261.67700000000002"/>
    <n v="238.12607000000003"/>
    <n v="0"/>
    <x v="1"/>
    <n v="0"/>
    <n v="29"/>
    <n v="30"/>
    <n v="67"/>
    <n v="28.57"/>
    <n v="149.63"/>
    <n v="230.03"/>
    <n v="31.93064187172984"/>
    <n v="54.203801879475932"/>
    <n v="282.91739971702214"/>
    <n v="14692.122499999999"/>
    <n v="35630.803854100006"/>
    <n v="54776.139882100004"/>
    <n v="16420.33258253707"/>
    <n v="12907.338320618219"/>
    <n v="67370.008529233601"/>
  </r>
  <r>
    <s v="Regular"/>
    <x v="1"/>
    <x v="0"/>
    <x v="3"/>
    <x v="1"/>
    <x v="0"/>
    <x v="0"/>
    <x v="0"/>
    <x v="1"/>
    <n v="1275"/>
    <n v="1083.75"/>
    <n v="462.72300000000001"/>
    <n v="421.07793000000004"/>
    <n v="462.72300000000001"/>
    <n v="421.07793000000004"/>
    <n v="0"/>
    <x v="1"/>
    <n v="0"/>
    <n v="29"/>
    <n v="30"/>
    <n v="67"/>
    <n v="28.57"/>
    <n v="149.63"/>
    <n v="230.03"/>
    <n v="31.93064187172984"/>
    <n v="54.203801879475932"/>
    <n v="282.91739971702214"/>
    <n v="30962.737499999999"/>
    <n v="63005.890665900006"/>
    <n v="96860.556237900004"/>
    <n v="34604.833128487211"/>
    <n v="22824.024693539835"/>
    <n v="119130.27303382628"/>
  </r>
  <r>
    <s v="Sistema Isolado - Regular"/>
    <x v="1"/>
    <x v="0"/>
    <x v="3"/>
    <x v="1"/>
    <x v="0"/>
    <x v="0"/>
    <x v="0"/>
    <x v="1"/>
    <n v="612"/>
    <n v="520.19999999999993"/>
    <n v="299.572"/>
    <n v="272.61052000000001"/>
    <n v="299.572"/>
    <n v="272.61052000000001"/>
    <n v="0"/>
    <x v="1"/>
    <n v="0"/>
    <n v="29"/>
    <n v="30"/>
    <n v="67"/>
    <n v="28.57"/>
    <n v="149.63"/>
    <n v="230.03"/>
    <n v="31.93064187172984"/>
    <n v="54.203801879475932"/>
    <n v="282.91739971702214"/>
    <n v="14862.113999999998"/>
    <n v="40790.712107599997"/>
    <n v="62708.597915600003"/>
    <n v="16610.319901673862"/>
    <n v="14776.526616340912"/>
    <n v="77126.259453905266"/>
  </r>
  <r>
    <s v="Regular"/>
    <x v="1"/>
    <x v="0"/>
    <x v="3"/>
    <x v="1"/>
    <x v="0"/>
    <x v="0"/>
    <x v="0"/>
    <x v="2"/>
    <n v="1336"/>
    <n v="1135.5999999999999"/>
    <n v="461.69600000000003"/>
    <n v="420.14336000000003"/>
    <n v="461.69600000000003"/>
    <n v="420.14336000000003"/>
    <n v="0"/>
    <x v="1"/>
    <n v="0"/>
    <n v="29"/>
    <n v="30"/>
    <n v="67"/>
    <n v="28.57"/>
    <n v="149.63"/>
    <n v="230.03"/>
    <n v="31.93064187172984"/>
    <n v="54.203801879475932"/>
    <n v="282.91739971702214"/>
    <n v="32444.091999999997"/>
    <n v="62866.050956800005"/>
    <n v="96645.577100800001"/>
    <n v="36260.436909536402"/>
    <n v="22773.367446417335"/>
    <n v="118865.86691957274"/>
  </r>
  <r>
    <s v="Sistema Isolado - Regular"/>
    <x v="1"/>
    <x v="0"/>
    <x v="3"/>
    <x v="1"/>
    <x v="0"/>
    <x v="0"/>
    <x v="0"/>
    <x v="2"/>
    <n v="611"/>
    <n v="519.35"/>
    <n v="293.57900000000001"/>
    <n v="267.15689000000003"/>
    <n v="293.57900000000001"/>
    <n v="267.15689000000003"/>
    <n v="0"/>
    <x v="1"/>
    <n v="0"/>
    <n v="29"/>
    <n v="30"/>
    <n v="67"/>
    <n v="28.57"/>
    <n v="149.63"/>
    <n v="230.03"/>
    <n v="31.93064187172984"/>
    <n v="54.203801879475932"/>
    <n v="282.91739971702214"/>
    <n v="14837.829500000002"/>
    <n v="39974.685450700003"/>
    <n v="61454.099406700007"/>
    <n v="16583.178856082894"/>
    <n v="14480.919136296947"/>
    <n v="75583.332635286526"/>
  </r>
  <r>
    <s v="Regular"/>
    <x v="1"/>
    <x v="0"/>
    <x v="3"/>
    <x v="1"/>
    <x v="0"/>
    <x v="0"/>
    <x v="0"/>
    <x v="3"/>
    <n v="1365"/>
    <n v="1160.25"/>
    <n v="405.6"/>
    <n v="369.09600000000006"/>
    <n v="405.6"/>
    <n v="369.09600000000006"/>
    <n v="0"/>
    <x v="1"/>
    <n v="0"/>
    <n v="29"/>
    <n v="30"/>
    <n v="67"/>
    <n v="28.57"/>
    <n v="149.63"/>
    <n v="230.03"/>
    <n v="31.93064187172984"/>
    <n v="54.203801879475932"/>
    <n v="282.91739971702214"/>
    <n v="33148.342499999999"/>
    <n v="55227.834480000005"/>
    <n v="84903.152880000009"/>
    <n v="37047.527231674547"/>
    <n v="20006.406458507052"/>
    <n v="104423.68056595403"/>
  </r>
  <r>
    <s v="Sistema Isolado - Regular"/>
    <x v="1"/>
    <x v="0"/>
    <x v="3"/>
    <x v="1"/>
    <x v="0"/>
    <x v="0"/>
    <x v="0"/>
    <x v="3"/>
    <n v="611"/>
    <n v="519.35"/>
    <n v="256.74900000000002"/>
    <n v="233.64159000000004"/>
    <n v="256.74900000000002"/>
    <n v="233.64159000000004"/>
    <n v="0"/>
    <x v="1"/>
    <n v="0"/>
    <n v="29"/>
    <n v="30"/>
    <n v="67"/>
    <n v="28.57"/>
    <n v="149.63"/>
    <n v="230.03"/>
    <n v="31.93064187172984"/>
    <n v="54.203801879475932"/>
    <n v="282.91739971702214"/>
    <n v="14837.829500000002"/>
    <n v="34959.791111700004"/>
    <n v="53744.574947700006"/>
    <n v="16583.178856082894"/>
    <n v="12664.262455165746"/>
    <n v="66101.271108550616"/>
  </r>
  <r>
    <s v="Regular"/>
    <x v="1"/>
    <x v="0"/>
    <x v="3"/>
    <x v="1"/>
    <x v="0"/>
    <x v="0"/>
    <x v="0"/>
    <x v="4"/>
    <n v="1320"/>
    <n v="1122"/>
    <n v="418.74900000000002"/>
    <n v="381.06159000000002"/>
    <n v="418.74900000000002"/>
    <n v="381.06159000000002"/>
    <n v="0"/>
    <x v="1"/>
    <n v="0"/>
    <n v="29"/>
    <n v="30"/>
    <n v="67"/>
    <n v="28.57"/>
    <n v="149.63"/>
    <n v="230.03"/>
    <n v="31.93064187172984"/>
    <n v="54.203801879475932"/>
    <n v="282.91739971702214"/>
    <n v="32055.54"/>
    <n v="57018.245711700001"/>
    <n v="87655.597547700003"/>
    <n v="35826.180180080883"/>
    <n v="20654.98692823809"/>
    <n v="107808.95417483401"/>
  </r>
  <r>
    <s v="Sistema Isolado - Regular"/>
    <x v="1"/>
    <x v="0"/>
    <x v="3"/>
    <x v="1"/>
    <x v="0"/>
    <x v="0"/>
    <x v="0"/>
    <x v="4"/>
    <n v="610"/>
    <n v="518.5"/>
    <n v="289.87400000000002"/>
    <n v="263.78534000000002"/>
    <n v="289.87400000000002"/>
    <n v="263.78534000000002"/>
    <n v="0"/>
    <x v="1"/>
    <n v="0"/>
    <n v="29"/>
    <n v="30"/>
    <n v="67"/>
    <n v="28.57"/>
    <n v="149.63"/>
    <n v="230.03"/>
    <n v="31.93064187172984"/>
    <n v="54.203801879475932"/>
    <n v="282.91739971702214"/>
    <n v="14813.545"/>
    <n v="39470.200424200004"/>
    <n v="60678.541760200002"/>
    <n v="16556.037810491922"/>
    <n v="14298.168308070199"/>
    <n v="74629.462476270593"/>
  </r>
  <r>
    <s v="Regular"/>
    <x v="1"/>
    <x v="0"/>
    <x v="3"/>
    <x v="1"/>
    <x v="0"/>
    <x v="0"/>
    <x v="0"/>
    <x v="5"/>
    <n v="938"/>
    <n v="797.3"/>
    <n v="263.48"/>
    <n v="239.76680000000002"/>
    <n v="263.48"/>
    <n v="239.76680000000002"/>
    <n v="0"/>
    <x v="1"/>
    <n v="0"/>
    <n v="29"/>
    <n v="30"/>
    <n v="67"/>
    <n v="28.57"/>
    <n v="149.63"/>
    <n v="230.03"/>
    <n v="31.93064187172984"/>
    <n v="54.203801879475932"/>
    <n v="282.91739971702214"/>
    <n v="22778.860999999997"/>
    <n v="35876.306283999998"/>
    <n v="55153.557004000002"/>
    <n v="25458.300764330201"/>
    <n v="12996.27212447593"/>
    <n v="67834.199594471313"/>
  </r>
  <r>
    <s v="Sistema Isolado - Regular"/>
    <x v="1"/>
    <x v="0"/>
    <x v="3"/>
    <x v="1"/>
    <x v="0"/>
    <x v="0"/>
    <x v="0"/>
    <x v="5"/>
    <n v="616"/>
    <n v="523.6"/>
    <n v="273.05500000000001"/>
    <n v="248.48005000000001"/>
    <n v="273.05500000000001"/>
    <n v="248.48005000000001"/>
    <n v="0"/>
    <x v="1"/>
    <n v="0"/>
    <n v="29"/>
    <n v="30"/>
    <n v="67"/>
    <n v="28.57"/>
    <n v="149.63"/>
    <n v="230.03"/>
    <n v="31.93064187172984"/>
    <n v="54.203801879475932"/>
    <n v="282.91739971702214"/>
    <n v="14959.252"/>
    <n v="37180.0698815"/>
    <n v="57157.865901500001"/>
    <n v="16718.884084037745"/>
    <n v="13468.563401202275"/>
    <n v="70299.329627555649"/>
  </r>
  <r>
    <s v="Regular"/>
    <x v="1"/>
    <x v="0"/>
    <x v="3"/>
    <x v="1"/>
    <x v="0"/>
    <x v="0"/>
    <x v="0"/>
    <x v="6"/>
    <n v="1114"/>
    <n v="946.9"/>
    <n v="295.05900000000003"/>
    <n v="268.50369000000001"/>
    <n v="295.05900000000003"/>
    <n v="268.50369000000001"/>
    <n v="0"/>
    <x v="1"/>
    <n v="0"/>
    <n v="29"/>
    <n v="30"/>
    <n v="67"/>
    <n v="28.57"/>
    <n v="149.63"/>
    <n v="230.03"/>
    <n v="31.93064187172984"/>
    <n v="54.203801879475932"/>
    <n v="282.91739971702214"/>
    <n v="27052.933000000001"/>
    <n v="40176.207134700002"/>
    <n v="61763.903810700001"/>
    <n v="30235.124788340985"/>
    <n v="14553.920816668224"/>
    <n v="75964.365789225398"/>
  </r>
  <r>
    <s v="Sistema Isolado - Regular"/>
    <x v="1"/>
    <x v="0"/>
    <x v="3"/>
    <x v="1"/>
    <x v="0"/>
    <x v="0"/>
    <x v="0"/>
    <x v="6"/>
    <n v="640"/>
    <n v="544"/>
    <n v="277.32"/>
    <n v="252.3612"/>
    <n v="277.32"/>
    <n v="252.3612"/>
    <n v="0"/>
    <x v="1"/>
    <n v="0"/>
    <n v="29"/>
    <n v="30"/>
    <n v="67"/>
    <n v="28.57"/>
    <n v="149.63"/>
    <n v="230.03"/>
    <n v="31.93064187172984"/>
    <n v="54.203801879475932"/>
    <n v="282.91739971702214"/>
    <n v="15542.08"/>
    <n v="37760.806356000001"/>
    <n v="58050.646836"/>
    <n v="17370.269178221031"/>
    <n v="13678.936486866802"/>
    <n v="71397.37449346736"/>
  </r>
  <r>
    <s v="Regular"/>
    <x v="1"/>
    <x v="0"/>
    <x v="3"/>
    <x v="1"/>
    <x v="0"/>
    <x v="0"/>
    <x v="0"/>
    <x v="7"/>
    <n v="966"/>
    <n v="821.1"/>
    <n v="238.61199999999999"/>
    <n v="217.13692"/>
    <n v="238.61199999999999"/>
    <n v="217.13692"/>
    <n v="0"/>
    <x v="1"/>
    <n v="0"/>
    <n v="29"/>
    <n v="30"/>
    <n v="67"/>
    <n v="28.57"/>
    <n v="149.63"/>
    <n v="230.03"/>
    <n v="31.93064187172984"/>
    <n v="54.203801879475932"/>
    <n v="282.91739971702214"/>
    <n v="23458.827000000001"/>
    <n v="32490.197339599999"/>
    <n v="49948.005707600001"/>
    <n v="26218.250040877374"/>
    <n v="11769.646592399615"/>
    <n v="61431.812788963056"/>
  </r>
  <r>
    <s v="Sistema Isolado - Regular"/>
    <x v="1"/>
    <x v="0"/>
    <x v="3"/>
    <x v="1"/>
    <x v="0"/>
    <x v="0"/>
    <x v="0"/>
    <x v="7"/>
    <n v="646"/>
    <n v="549.1"/>
    <n v="264.84899999999999"/>
    <n v="241.01258999999999"/>
    <n v="264.84899999999999"/>
    <n v="241.01258999999999"/>
    <n v="0"/>
    <x v="1"/>
    <n v="0"/>
    <n v="29"/>
    <n v="30"/>
    <n v="67"/>
    <n v="28.57"/>
    <n v="149.63"/>
    <n v="230.03"/>
    <n v="31.93064187172984"/>
    <n v="54.203801879475932"/>
    <n v="282.91739971702214"/>
    <n v="15687.787"/>
    <n v="36062.713841699995"/>
    <n v="55440.126077699999"/>
    <n v="17533.115451766855"/>
    <n v="13063.798678819361"/>
    <n v="68186.655261864769"/>
  </r>
  <r>
    <s v="Regular"/>
    <x v="1"/>
    <x v="0"/>
    <x v="3"/>
    <x v="1"/>
    <x v="0"/>
    <x v="0"/>
    <x v="0"/>
    <x v="8"/>
    <n v="1746"/>
    <n v="1484.1"/>
    <n v="157.25700000000001"/>
    <n v="143.10387"/>
    <n v="157.25700000000001"/>
    <n v="143.10387"/>
    <n v="0"/>
    <x v="1"/>
    <n v="0"/>
    <n v="29"/>
    <n v="30"/>
    <n v="67"/>
    <n v="28.57"/>
    <n v="149.63"/>
    <n v="230.03"/>
    <n v="31.93064187172984"/>
    <n v="54.203801879475932"/>
    <n v="282.91739971702214"/>
    <n v="42400.737000000001"/>
    <n v="21412.6320681"/>
    <n v="32918.183216099998"/>
    <n v="47388.265601834253"/>
    <n v="7756.7738176662797"/>
    <n v="40486.574789842773"/>
  </r>
  <r>
    <s v="Sistema Isolado - Regular"/>
    <x v="1"/>
    <x v="0"/>
    <x v="3"/>
    <x v="1"/>
    <x v="0"/>
    <x v="0"/>
    <x v="0"/>
    <x v="8"/>
    <n v="624"/>
    <n v="530.4"/>
    <n v="283.92599999999999"/>
    <n v="258.37266"/>
    <n v="283.92599999999999"/>
    <n v="258.37266"/>
    <n v="0"/>
    <x v="1"/>
    <n v="0"/>
    <n v="29"/>
    <n v="30"/>
    <n v="67"/>
    <n v="28.57"/>
    <n v="149.63"/>
    <n v="230.03"/>
    <n v="31.93064187172984"/>
    <n v="54.203801879475932"/>
    <n v="282.91739971702214"/>
    <n v="15153.528"/>
    <n v="38660.301115800001"/>
    <n v="59433.462979800002"/>
    <n v="16936.012448765505"/>
    <n v="14004.780473713196"/>
    <n v="73098.121125170263"/>
  </r>
  <r>
    <s v="Regular"/>
    <x v="1"/>
    <x v="0"/>
    <x v="3"/>
    <x v="1"/>
    <x v="0"/>
    <x v="0"/>
    <x v="0"/>
    <x v="9"/>
    <n v="1746"/>
    <n v="1484.1"/>
    <n v="129.04400000000001"/>
    <n v="117.43004000000001"/>
    <n v="129.04400000000001"/>
    <n v="117.43004000000001"/>
    <n v="0"/>
    <x v="1"/>
    <n v="0"/>
    <n v="29"/>
    <n v="30"/>
    <n v="67"/>
    <n v="28.57"/>
    <n v="149.63"/>
    <n v="230.03"/>
    <n v="31.93064187172984"/>
    <n v="54.203801879475932"/>
    <n v="282.91739971702214"/>
    <n v="42400.737000000001"/>
    <n v="17571.0568852"/>
    <n v="27012.4321012"/>
    <n v="47388.265601834253"/>
    <n v="6365.1546228589341"/>
    <n v="33223.0015654659"/>
  </r>
  <r>
    <s v="Sistema Isolado - Regular"/>
    <x v="1"/>
    <x v="0"/>
    <x v="3"/>
    <x v="1"/>
    <x v="0"/>
    <x v="0"/>
    <x v="0"/>
    <x v="9"/>
    <n v="648"/>
    <n v="550.79999999999995"/>
    <n v="268.27699999999999"/>
    <n v="244.13207"/>
    <n v="268.27699999999999"/>
    <n v="244.13207"/>
    <n v="0"/>
    <x v="1"/>
    <n v="0"/>
    <n v="29"/>
    <n v="30"/>
    <n v="67"/>
    <n v="28.57"/>
    <n v="149.63"/>
    <n v="230.03"/>
    <n v="31.93064187172984"/>
    <n v="54.203801879475932"/>
    <n v="282.91739971702214"/>
    <n v="15736.356"/>
    <n v="36529.481634099997"/>
    <n v="56157.700062099997"/>
    <n v="17587.397542948795"/>
    <n v="13232.88635470635"/>
    <n v="69069.210431934029"/>
  </r>
  <r>
    <s v="Regular"/>
    <x v="1"/>
    <x v="0"/>
    <x v="3"/>
    <x v="1"/>
    <x v="0"/>
    <x v="0"/>
    <x v="0"/>
    <x v="10"/>
    <n v="1952"/>
    <n v="1659.2"/>
    <n v="340.94600000000003"/>
    <n v="310.26085999999998"/>
    <n v="340.94600000000003"/>
    <n v="310.26085999999998"/>
    <n v="0"/>
    <x v="1"/>
    <n v="0"/>
    <n v="29"/>
    <n v="30"/>
    <n v="67"/>
    <n v="28.57"/>
    <n v="149.63"/>
    <n v="230.03"/>
    <n v="31.93064187172984"/>
    <n v="54.203801879475932"/>
    <n v="282.91739971702214"/>
    <n v="47403.344000000005"/>
    <n v="46424.332481799996"/>
    <n v="71369.3056258"/>
    <n v="52979.320993574154"/>
    <n v="16817.31818639582"/>
    <n v="87778.195745167031"/>
  </r>
  <r>
    <s v="Sistema Isolado - Regular"/>
    <x v="1"/>
    <x v="0"/>
    <x v="3"/>
    <x v="1"/>
    <x v="0"/>
    <x v="0"/>
    <x v="0"/>
    <x v="10"/>
    <n v="662"/>
    <n v="562.69999999999993"/>
    <n v="253.947"/>
    <n v="231.09177"/>
    <n v="253.947"/>
    <n v="231.09177"/>
    <n v="0"/>
    <x v="1"/>
    <n v="0"/>
    <n v="29"/>
    <n v="30"/>
    <n v="67"/>
    <n v="28.57"/>
    <n v="149.63"/>
    <n v="230.03"/>
    <n v="31.93064187172984"/>
    <n v="54.203801879475932"/>
    <n v="282.91739971702214"/>
    <n v="16076.338999999998"/>
    <n v="34578.261545100002"/>
    <n v="53158.039853100003"/>
    <n v="17967.372181222378"/>
    <n v="12526.05251705742"/>
    <n v="65379.88266440414"/>
  </r>
  <r>
    <s v="PROJETADO"/>
    <x v="1"/>
    <x v="0"/>
    <x v="3"/>
    <x v="1"/>
    <x v="0"/>
    <x v="0"/>
    <x v="0"/>
    <x v="11"/>
    <n v="1952"/>
    <n v="1659.2"/>
    <n v="340.94600000000003"/>
    <n v="310.26085999999998"/>
    <n v="340.94600000000003"/>
    <n v="310.26085999999998"/>
    <n v="0"/>
    <x v="1"/>
    <n v="0"/>
    <n v="29"/>
    <n v="30"/>
    <n v="67"/>
    <n v="28.57"/>
    <n v="149.63"/>
    <n v="230.03"/>
    <n v="31.93064187172984"/>
    <n v="54.203801879475932"/>
    <n v="282.91739971702214"/>
    <n v="47403.344000000005"/>
    <n v="46424.332481799996"/>
    <n v="71369.3056258"/>
    <n v="52979.320993574154"/>
    <n v="16817.31818639582"/>
    <n v="87778.195745167031"/>
  </r>
  <r>
    <s v="PROJETADO"/>
    <x v="1"/>
    <x v="0"/>
    <x v="3"/>
    <x v="1"/>
    <x v="0"/>
    <x v="0"/>
    <x v="0"/>
    <x v="11"/>
    <n v="662"/>
    <n v="562.69999999999993"/>
    <n v="253.947"/>
    <n v="231.09177"/>
    <n v="253.947"/>
    <n v="231.09177"/>
    <n v="0"/>
    <x v="1"/>
    <n v="0"/>
    <n v="29"/>
    <n v="30"/>
    <n v="67"/>
    <n v="28.57"/>
    <n v="149.63"/>
    <n v="230.03"/>
    <n v="31.93064187172984"/>
    <n v="54.203801879475932"/>
    <n v="282.91739971702214"/>
    <n v="16076.338999999998"/>
    <n v="34578.261545100002"/>
    <n v="53158.039853100003"/>
    <n v="17967.372181222378"/>
    <n v="12526.05251705742"/>
    <n v="65379.88266440414"/>
  </r>
  <r>
    <s v="Regular"/>
    <x v="1"/>
    <x v="0"/>
    <x v="3"/>
    <x v="1"/>
    <x v="0"/>
    <x v="0"/>
    <x v="2"/>
    <x v="0"/>
    <n v="1264"/>
    <n v="1074.3999999999999"/>
    <n v="39.17"/>
    <n v="35.6447"/>
    <n v="39.17"/>
    <n v="35.6447"/>
    <n v="0"/>
    <x v="1"/>
    <n v="0"/>
    <n v="28"/>
    <n v="30"/>
    <n v="66"/>
    <n v="52.99"/>
    <n v="149.63"/>
    <n v="389.28"/>
    <n v="59.276351675174958"/>
    <n v="54.203801879475932"/>
    <n v="454.3285679284046"/>
    <n v="56932.455999999998"/>
    <n v="5333.5164610000002"/>
    <n v="13875.768816"/>
    <n v="63686.512239807969"/>
    <n v="1932.0782568533557"/>
    <n v="16194.405505237604"/>
  </r>
  <r>
    <s v="Sistema Isolado - Regular"/>
    <x v="1"/>
    <x v="0"/>
    <x v="3"/>
    <x v="1"/>
    <x v="0"/>
    <x v="0"/>
    <x v="2"/>
    <x v="0"/>
    <n v="604"/>
    <n v="513.4"/>
    <n v="26.055"/>
    <n v="23.710049999999999"/>
    <n v="26.055"/>
    <n v="23.710049999999999"/>
    <n v="0"/>
    <x v="1"/>
    <n v="0"/>
    <n v="28"/>
    <n v="30"/>
    <n v="66"/>
    <n v="52.99"/>
    <n v="149.63"/>
    <n v="389.28"/>
    <n v="59.276351675174958"/>
    <n v="54.203801879475932"/>
    <n v="454.3285679284046"/>
    <n v="27205.065999999999"/>
    <n v="3547.7347814999998"/>
    <n v="9229.8482639999984"/>
    <n v="30432.478950034823"/>
    <n v="1285.1748527524683"/>
    <n v="10772.15306201087"/>
  </r>
  <r>
    <s v="Regular"/>
    <x v="1"/>
    <x v="0"/>
    <x v="3"/>
    <x v="1"/>
    <x v="0"/>
    <x v="0"/>
    <x v="2"/>
    <x v="1"/>
    <n v="1275"/>
    <n v="1083.75"/>
    <n v="40.924999999999997"/>
    <n v="37.241749999999996"/>
    <n v="40.924999999999997"/>
    <n v="37.241749999999996"/>
    <n v="0"/>
    <x v="1"/>
    <n v="0"/>
    <n v="28"/>
    <n v="30"/>
    <n v="66"/>
    <n v="52.99"/>
    <n v="149.63"/>
    <n v="389.28"/>
    <n v="59.276351675174958"/>
    <n v="54.203801879475932"/>
    <n v="454.3285679284046"/>
    <n v="57427.912499999999"/>
    <n v="5572.4830524999988"/>
    <n v="14497.468439999997"/>
    <n v="64240.746127970859"/>
    <n v="2018.6444386449725"/>
    <n v="16919.990944647659"/>
  </r>
  <r>
    <s v="Sistema Isolado - Regular"/>
    <x v="1"/>
    <x v="0"/>
    <x v="3"/>
    <x v="1"/>
    <x v="0"/>
    <x v="0"/>
    <x v="2"/>
    <x v="1"/>
    <n v="611"/>
    <n v="519.35"/>
    <n v="30.416"/>
    <n v="27.678560000000001"/>
    <n v="30.416"/>
    <n v="27.678560000000001"/>
    <n v="0"/>
    <x v="1"/>
    <n v="0"/>
    <n v="28"/>
    <n v="30"/>
    <n v="66"/>
    <n v="52.99"/>
    <n v="149.63"/>
    <n v="389.28"/>
    <n v="59.276351675174958"/>
    <n v="54.203801879475932"/>
    <n v="454.3285679284046"/>
    <n v="27520.356500000002"/>
    <n v="4141.5429328"/>
    <n v="10774.709836799999"/>
    <n v="30785.173242502115"/>
    <n v="1500.2831825491874"/>
    <n v="12575.160527120423"/>
  </r>
  <r>
    <s v="Regular"/>
    <x v="1"/>
    <x v="0"/>
    <x v="3"/>
    <x v="1"/>
    <x v="0"/>
    <x v="0"/>
    <x v="2"/>
    <x v="2"/>
    <n v="1288"/>
    <n v="1094.8"/>
    <n v="40.505000000000003"/>
    <n v="36.859550000000006"/>
    <n v="40.505000000000003"/>
    <n v="36.859550000000006"/>
    <n v="0"/>
    <x v="1"/>
    <n v="0"/>
    <n v="28"/>
    <n v="30"/>
    <n v="66"/>
    <n v="52.99"/>
    <n v="149.63"/>
    <n v="389.28"/>
    <n v="59.276351675174958"/>
    <n v="54.203801879475932"/>
    <n v="454.3285679284046"/>
    <n v="58013.451999999997"/>
    <n v="5515.2944665000005"/>
    <n v="14348.685624000002"/>
    <n v="64895.749813981543"/>
    <n v="1997.9277455666374"/>
    <n v="16746.34656598543"/>
  </r>
  <r>
    <s v="Sistema Isolado - Regular"/>
    <x v="1"/>
    <x v="0"/>
    <x v="3"/>
    <x v="1"/>
    <x v="0"/>
    <x v="0"/>
    <x v="2"/>
    <x v="2"/>
    <n v="610"/>
    <n v="518.5"/>
    <n v="30"/>
    <n v="27.3"/>
    <n v="30"/>
    <n v="27.3"/>
    <n v="0"/>
    <x v="1"/>
    <n v="0"/>
    <n v="28"/>
    <n v="30"/>
    <n v="66"/>
    <n v="52.99"/>
    <n v="149.63"/>
    <n v="389.28"/>
    <n v="59.276351675174958"/>
    <n v="54.203801879475932"/>
    <n v="454.3285679284046"/>
    <n v="27475.315000000002"/>
    <n v="4084.8989999999999"/>
    <n v="10627.343999999999"/>
    <n v="30734.788343578217"/>
    <n v="1479.763791309693"/>
    <n v="12403.169904445445"/>
  </r>
  <r>
    <s v="Regular"/>
    <x v="1"/>
    <x v="0"/>
    <x v="3"/>
    <x v="1"/>
    <x v="0"/>
    <x v="0"/>
    <x v="2"/>
    <x v="3"/>
    <n v="1273"/>
    <n v="1082.05"/>
    <n v="36.959000000000003"/>
    <n v="33.632690000000004"/>
    <n v="36.959000000000003"/>
    <n v="33.632690000000004"/>
    <n v="0"/>
    <x v="1"/>
    <n v="0"/>
    <n v="28"/>
    <n v="30"/>
    <n v="66"/>
    <n v="52.99"/>
    <n v="149.63"/>
    <n v="389.28"/>
    <n v="59.276351675174958"/>
    <n v="54.203801879475932"/>
    <n v="454.3285679284046"/>
    <n v="57337.8295"/>
    <n v="5032.4594047000001"/>
    <n v="13092.533563200001"/>
    <n v="64139.976330123063"/>
    <n v="1823.0196654338315"/>
    <n v="15280.291883279975"/>
  </r>
  <r>
    <s v="Sistema Isolado - Regular"/>
    <x v="1"/>
    <x v="0"/>
    <x v="3"/>
    <x v="1"/>
    <x v="0"/>
    <x v="0"/>
    <x v="2"/>
    <x v="3"/>
    <n v="612"/>
    <n v="520.19999999999993"/>
    <n v="25.771999999999998"/>
    <n v="23.45252"/>
    <n v="25.771999999999998"/>
    <n v="23.45252"/>
    <n v="0"/>
    <x v="1"/>
    <n v="0"/>
    <n v="28"/>
    <n v="30"/>
    <n v="66"/>
    <n v="52.99"/>
    <n v="149.63"/>
    <n v="389.28"/>
    <n v="59.276351675174958"/>
    <n v="54.203801879475932"/>
    <n v="454.3285679284046"/>
    <n v="27565.397999999997"/>
    <n v="3509.2005675999999"/>
    <n v="9129.5969855999992"/>
    <n v="30835.558141426009"/>
    <n v="1271.2157476544469"/>
    <n v="10655.149825912267"/>
  </r>
  <r>
    <s v="Regular"/>
    <x v="1"/>
    <x v="0"/>
    <x v="3"/>
    <x v="1"/>
    <x v="0"/>
    <x v="0"/>
    <x v="2"/>
    <x v="4"/>
    <n v="1273"/>
    <n v="1082.05"/>
    <n v="41.055999999999997"/>
    <n v="37.360959999999999"/>
    <n v="41.055999999999997"/>
    <n v="37.360959999999999"/>
    <n v="0"/>
    <x v="1"/>
    <n v="0"/>
    <n v="28"/>
    <n v="30"/>
    <n v="66"/>
    <n v="52.99"/>
    <n v="149.63"/>
    <n v="389.28"/>
    <n v="59.276351675174958"/>
    <n v="54.203801879475932"/>
    <n v="454.3285679284046"/>
    <n v="57337.8295"/>
    <n v="5590.3204447999997"/>
    <n v="14543.874508799998"/>
    <n v="64139.976330123063"/>
    <n v="2025.1060738670251"/>
    <n v="16974.151453230406"/>
  </r>
  <r>
    <s v="Sistema Isolado - Regular"/>
    <x v="1"/>
    <x v="0"/>
    <x v="3"/>
    <x v="1"/>
    <x v="0"/>
    <x v="0"/>
    <x v="2"/>
    <x v="4"/>
    <n v="601"/>
    <n v="510.84999999999997"/>
    <n v="28.513000000000002"/>
    <n v="25.946830000000002"/>
    <n v="28.513000000000002"/>
    <n v="25.946830000000002"/>
    <n v="0"/>
    <x v="1"/>
    <n v="0"/>
    <n v="28"/>
    <n v="30"/>
    <n v="66"/>
    <n v="52.99"/>
    <n v="149.63"/>
    <n v="389.28"/>
    <n v="59.276351675174958"/>
    <n v="54.203801879475932"/>
    <n v="454.3285679284046"/>
    <n v="27069.941500000001"/>
    <n v="3882.4241729"/>
    <n v="10100.581982400001"/>
    <n v="30281.324253263127"/>
    <n v="1406.4168327204427"/>
    <n v="11788.386116181768"/>
  </r>
  <r>
    <s v="Regular"/>
    <x v="1"/>
    <x v="0"/>
    <x v="3"/>
    <x v="1"/>
    <x v="0"/>
    <x v="0"/>
    <x v="2"/>
    <x v="5"/>
    <n v="749"/>
    <n v="636.65"/>
    <n v="22.044"/>
    <n v="20.060040000000001"/>
    <n v="22.044"/>
    <n v="20.060040000000001"/>
    <n v="0"/>
    <x v="1"/>
    <n v="0"/>
    <n v="28"/>
    <n v="30"/>
    <n v="66"/>
    <n v="52.99"/>
    <n v="149.63"/>
    <n v="389.28"/>
    <n v="59.276351675174958"/>
    <n v="54.203801879475932"/>
    <n v="454.3285679284046"/>
    <n v="33736.083500000001"/>
    <n v="3001.5837852"/>
    <n v="7808.9723711999995"/>
    <n v="37738.289294000133"/>
    <n v="1087.3304338543624"/>
    <n v="9113.8492457865141"/>
  </r>
  <r>
    <s v="Sistema Isolado - Regular"/>
    <x v="1"/>
    <x v="0"/>
    <x v="3"/>
    <x v="1"/>
    <x v="0"/>
    <x v="0"/>
    <x v="2"/>
    <x v="5"/>
    <n v="610"/>
    <n v="518.5"/>
    <n v="28.16"/>
    <n v="25.625600000000002"/>
    <n v="28.16"/>
    <n v="25.625600000000002"/>
    <n v="0"/>
    <x v="1"/>
    <n v="0"/>
    <n v="28"/>
    <n v="30"/>
    <n v="66"/>
    <n v="52.99"/>
    <n v="149.63"/>
    <n v="389.28"/>
    <n v="59.276351675174958"/>
    <n v="54.203801879475932"/>
    <n v="454.3285679284046"/>
    <n v="27475.315000000002"/>
    <n v="3834.3585280000002"/>
    <n v="9975.5335680000007"/>
    <n v="30734.788343578217"/>
    <n v="1389.0049454426985"/>
    <n v="11642.442150306126"/>
  </r>
  <r>
    <s v="Regular"/>
    <x v="1"/>
    <x v="0"/>
    <x v="3"/>
    <x v="1"/>
    <x v="0"/>
    <x v="0"/>
    <x v="2"/>
    <x v="6"/>
    <n v="823"/>
    <n v="699.55"/>
    <n v="25.006"/>
    <n v="22.755459999999999"/>
    <n v="25.006"/>
    <n v="22.755459999999999"/>
    <n v="0"/>
    <x v="1"/>
    <n v="0"/>
    <n v="28"/>
    <n v="30"/>
    <n v="66"/>
    <n v="52.99"/>
    <n v="149.63"/>
    <n v="389.28"/>
    <n v="59.276351675174958"/>
    <n v="54.203801879475932"/>
    <n v="454.3285679284046"/>
    <n v="37069.154499999997"/>
    <n v="3404.8994797999999"/>
    <n v="8858.2454687999998"/>
    <n v="41466.771814368636"/>
    <n v="1233.4324455163394"/>
    <n v="10338.455554352093"/>
  </r>
  <r>
    <s v="Sistema Isolado - Regular"/>
    <x v="1"/>
    <x v="0"/>
    <x v="3"/>
    <x v="1"/>
    <x v="0"/>
    <x v="0"/>
    <x v="2"/>
    <x v="6"/>
    <n v="607"/>
    <n v="515.94999999999993"/>
    <n v="26.632000000000001"/>
    <n v="24.235119999999998"/>
    <n v="26.632000000000001"/>
    <n v="24.235119999999998"/>
    <n v="0"/>
    <x v="1"/>
    <n v="0"/>
    <n v="28"/>
    <n v="30"/>
    <n v="66"/>
    <n v="52.99"/>
    <n v="149.63"/>
    <n v="389.28"/>
    <n v="59.276351675174958"/>
    <n v="54.203801879475932"/>
    <n v="454.3285679284046"/>
    <n v="27340.190499999997"/>
    <n v="3626.3010055999998"/>
    <n v="9434.2475135999994"/>
    <n v="30583.633646806516"/>
    <n v="1313.6356430053247"/>
    <n v="11010.707363173036"/>
  </r>
  <r>
    <s v="Regular"/>
    <x v="1"/>
    <x v="0"/>
    <x v="3"/>
    <x v="1"/>
    <x v="0"/>
    <x v="0"/>
    <x v="2"/>
    <x v="7"/>
    <n v="605"/>
    <n v="514.25"/>
    <n v="22.829000000000001"/>
    <n v="20.77439"/>
    <n v="22.829000000000001"/>
    <n v="20.77439"/>
    <n v="0"/>
    <x v="1"/>
    <n v="0"/>
    <n v="28"/>
    <n v="30"/>
    <n v="66"/>
    <n v="52.99"/>
    <n v="149.63"/>
    <n v="389.28"/>
    <n v="59.276351675174958"/>
    <n v="54.203801879475932"/>
    <n v="454.3285679284046"/>
    <n v="27250.107500000002"/>
    <n v="3108.4719756999998"/>
    <n v="8087.0545391999995"/>
    <n v="30482.863848958721"/>
    <n v="1126.050919726966"/>
    <n v="9438.3988582861693"/>
  </r>
  <r>
    <s v="Sistema Isolado - Regular"/>
    <x v="1"/>
    <x v="0"/>
    <x v="3"/>
    <x v="1"/>
    <x v="0"/>
    <x v="0"/>
    <x v="2"/>
    <x v="7"/>
    <n v="615"/>
    <n v="522.75"/>
    <n v="27.882000000000001"/>
    <n v="25.372620000000001"/>
    <n v="27.882000000000001"/>
    <n v="25.372620000000001"/>
    <n v="0"/>
    <x v="1"/>
    <n v="0"/>
    <n v="28"/>
    <n v="30"/>
    <n v="66"/>
    <n v="52.99"/>
    <n v="149.63"/>
    <n v="389.28"/>
    <n v="59.276351675174958"/>
    <n v="54.203801879475932"/>
    <n v="454.3285679284046"/>
    <n v="27700.522500000003"/>
    <n v="3796.5051306"/>
    <n v="9877.0535135999999"/>
    <n v="30986.712838197709"/>
    <n v="1375.2924676432287"/>
    <n v="11527.506109191598"/>
  </r>
  <r>
    <s v="Regular"/>
    <x v="1"/>
    <x v="0"/>
    <x v="3"/>
    <x v="1"/>
    <x v="0"/>
    <x v="0"/>
    <x v="2"/>
    <x v="8"/>
    <n v="1715"/>
    <n v="1457.75"/>
    <n v="14.938000000000001"/>
    <n v="13.593579999999999"/>
    <n v="14.938000000000001"/>
    <n v="13.593579999999999"/>
    <n v="0"/>
    <x v="1"/>
    <n v="0"/>
    <n v="28"/>
    <n v="30"/>
    <n v="66"/>
    <n v="52.99"/>
    <n v="149.63"/>
    <n v="389.28"/>
    <n v="59.276351675174958"/>
    <n v="54.203801879475932"/>
    <n v="454.3285679284046"/>
    <n v="77246.172500000001"/>
    <n v="2034.0073753999998"/>
    <n v="5291.708822399999"/>
    <n v="86410.101654486294"/>
    <n v="736.82371715280635"/>
    <n v="6175.9517344202022"/>
  </r>
  <r>
    <s v="Sistema Isolado - Regular"/>
    <x v="1"/>
    <x v="0"/>
    <x v="3"/>
    <x v="1"/>
    <x v="0"/>
    <x v="0"/>
    <x v="2"/>
    <x v="8"/>
    <n v="613"/>
    <n v="521.04999999999995"/>
    <n v="31.35"/>
    <n v="28.528500000000001"/>
    <n v="31.35"/>
    <n v="28.528500000000001"/>
    <n v="0"/>
    <x v="1"/>
    <n v="0"/>
    <n v="28"/>
    <n v="30"/>
    <n v="66"/>
    <n v="52.99"/>
    <n v="149.63"/>
    <n v="389.28"/>
    <n v="59.276351675174958"/>
    <n v="54.203801879475932"/>
    <n v="454.3285679284046"/>
    <n v="27610.4395"/>
    <n v="4268.7194550000004"/>
    <n v="11105.574479999999"/>
    <n v="30885.94304034991"/>
    <n v="1546.3531619186292"/>
    <n v="12961.312550145491"/>
  </r>
  <r>
    <s v="Regular"/>
    <x v="1"/>
    <x v="0"/>
    <x v="3"/>
    <x v="1"/>
    <x v="0"/>
    <x v="0"/>
    <x v="2"/>
    <x v="9"/>
    <n v="1715"/>
    <n v="1457.75"/>
    <n v="12.472"/>
    <n v="11.34952"/>
    <n v="12.472"/>
    <n v="11.34952"/>
    <n v="0"/>
    <x v="1"/>
    <n v="0"/>
    <n v="28"/>
    <n v="30"/>
    <n v="66"/>
    <n v="52.99"/>
    <n v="149.63"/>
    <n v="389.28"/>
    <n v="59.276351675174958"/>
    <n v="54.203801879475932"/>
    <n v="454.3285679284046"/>
    <n v="77246.172500000001"/>
    <n v="1698.2286775999999"/>
    <n v="4418.1411455999996"/>
    <n v="86410.101654486294"/>
    <n v="615.18713350714972"/>
    <n v="5156.4111682747862"/>
  </r>
  <r>
    <s v="Sistema Isolado - Regular"/>
    <x v="1"/>
    <x v="0"/>
    <x v="3"/>
    <x v="1"/>
    <x v="0"/>
    <x v="0"/>
    <x v="2"/>
    <x v="9"/>
    <n v="613"/>
    <n v="521.04999999999995"/>
    <n v="27.288"/>
    <n v="24.832080000000001"/>
    <n v="27.288"/>
    <n v="24.832080000000001"/>
    <n v="0"/>
    <x v="1"/>
    <n v="0"/>
    <n v="28"/>
    <n v="30"/>
    <n v="66"/>
    <n v="52.99"/>
    <n v="149.63"/>
    <n v="389.28"/>
    <n v="59.276351675174958"/>
    <n v="54.203801879475932"/>
    <n v="454.3285679284046"/>
    <n v="27610.4395"/>
    <n v="3715.6241304"/>
    <n v="9666.632102399999"/>
    <n v="30885.94304034991"/>
    <n v="1345.9931445752968"/>
    <n v="11281.923345083578"/>
  </r>
  <r>
    <s v="Regular"/>
    <x v="1"/>
    <x v="0"/>
    <x v="3"/>
    <x v="1"/>
    <x v="0"/>
    <x v="0"/>
    <x v="2"/>
    <x v="10"/>
    <n v="1917"/>
    <n v="1629.45"/>
    <n v="33.853000000000002"/>
    <n v="30.806229999999999"/>
    <n v="33.853000000000002"/>
    <n v="30.806229999999999"/>
    <n v="0"/>
    <x v="1"/>
    <n v="0"/>
    <n v="28"/>
    <n v="30"/>
    <n v="66"/>
    <n v="52.99"/>
    <n v="149.63"/>
    <n v="389.28"/>
    <n v="59.276351675174958"/>
    <n v="54.203801879475932"/>
    <n v="454.3285679284046"/>
    <n v="86344.555500000002"/>
    <n v="4609.5361948999998"/>
    <n v="11992.249214399999"/>
    <n v="96587.851237113835"/>
    <n v="1669.8147875735679"/>
    <n v="13996.150359173054"/>
  </r>
  <r>
    <s v="Sistema Isolado - Regular"/>
    <x v="1"/>
    <x v="0"/>
    <x v="3"/>
    <x v="1"/>
    <x v="0"/>
    <x v="0"/>
    <x v="2"/>
    <x v="10"/>
    <n v="609"/>
    <n v="517.65"/>
    <n v="27.219000000000001"/>
    <n v="24.769290000000002"/>
    <n v="27.219000000000001"/>
    <n v="24.769290000000002"/>
    <n v="0"/>
    <x v="1"/>
    <n v="0"/>
    <n v="28"/>
    <n v="30"/>
    <n v="66"/>
    <n v="52.99"/>
    <n v="149.63"/>
    <n v="389.28"/>
    <n v="59.276351675174958"/>
    <n v="54.203801879475932"/>
    <n v="454.3285679284046"/>
    <n v="27430.273499999999"/>
    <n v="3706.2288627000003"/>
    <n v="9642.1892112000005"/>
    <n v="30684.403444654316"/>
    <n v="1342.5896878552844"/>
    <n v="11253.396054303354"/>
  </r>
  <r>
    <s v="PROJETADO"/>
    <x v="1"/>
    <x v="0"/>
    <x v="3"/>
    <x v="1"/>
    <x v="0"/>
    <x v="0"/>
    <x v="2"/>
    <x v="11"/>
    <n v="1917"/>
    <n v="1629.45"/>
    <n v="33.853000000000002"/>
    <n v="30.806229999999999"/>
    <n v="33.853000000000002"/>
    <n v="30.806229999999999"/>
    <n v="0"/>
    <x v="1"/>
    <n v="0"/>
    <n v="28"/>
    <n v="30"/>
    <n v="66"/>
    <n v="52.99"/>
    <n v="149.63"/>
    <n v="389.28"/>
    <n v="59.276351675174958"/>
    <n v="54.203801879475932"/>
    <n v="454.3285679284046"/>
    <n v="86344.555500000002"/>
    <n v="4609.5361948999998"/>
    <n v="11992.249214399999"/>
    <n v="96587.851237113835"/>
    <n v="1669.8147875735679"/>
    <n v="13996.150359173054"/>
  </r>
  <r>
    <s v="PROJETADO"/>
    <x v="1"/>
    <x v="0"/>
    <x v="3"/>
    <x v="1"/>
    <x v="0"/>
    <x v="0"/>
    <x v="2"/>
    <x v="11"/>
    <n v="609"/>
    <n v="517.65"/>
    <n v="27.219000000000001"/>
    <n v="24.769290000000002"/>
    <n v="27.219000000000001"/>
    <n v="24.769290000000002"/>
    <n v="0"/>
    <x v="1"/>
    <n v="0"/>
    <n v="28"/>
    <n v="30"/>
    <n v="66"/>
    <n v="52.99"/>
    <n v="149.63"/>
    <n v="389.28"/>
    <n v="59.276351675174958"/>
    <n v="54.203801879475932"/>
    <n v="454.3285679284046"/>
    <n v="27430.273499999999"/>
    <n v="3706.2288627000003"/>
    <n v="9642.1892112000005"/>
    <n v="30684.403444654316"/>
    <n v="1342.5896878552844"/>
    <n v="11253.396054303354"/>
  </r>
  <r>
    <s v="Regular"/>
    <x v="1"/>
    <x v="2"/>
    <x v="0"/>
    <x v="0"/>
    <x v="0"/>
    <x v="0"/>
    <x v="0"/>
    <x v="0"/>
    <n v="0"/>
    <n v="0"/>
    <n v="24133.951000000001"/>
    <n v="24133.951000000001"/>
    <n v="24133.951000000001"/>
    <n v="24133.951000000001"/>
    <n v="0"/>
    <x v="1"/>
    <n v="0"/>
    <n v="0"/>
    <n v="19"/>
    <n v="67"/>
    <n v="0"/>
    <n v="149.63"/>
    <n v="230.03"/>
    <m/>
    <n v="54.203801879475932"/>
    <n v="282.91739971702214"/>
    <n v="0"/>
    <n v="3611163.08813"/>
    <n v="5551532.7485300004"/>
    <n v="0"/>
    <n v="1308151.8985729802"/>
    <n v="6827914.6618180266"/>
  </r>
  <r>
    <s v="Refaturamento - Regular"/>
    <x v="1"/>
    <x v="2"/>
    <x v="0"/>
    <x v="0"/>
    <x v="0"/>
    <x v="0"/>
    <x v="0"/>
    <x v="0"/>
    <n v="0"/>
    <n v="0"/>
    <n v="75.441999999999993"/>
    <n v="75.441999999999993"/>
    <n v="75.441999999999993"/>
    <n v="75.441999999999993"/>
    <n v="0"/>
    <x v="1"/>
    <n v="0"/>
    <n v="0"/>
    <n v="19"/>
    <n v="67"/>
    <n v="0"/>
    <n v="149.63"/>
    <n v="230.03"/>
    <m/>
    <n v="54.203801879475932"/>
    <n v="282.91739971702214"/>
    <n v="0"/>
    <n v="11288.386459999998"/>
    <n v="17353.92326"/>
    <n v="0"/>
    <n v="4089.243221391423"/>
    <n v="21343.85446945158"/>
  </r>
  <r>
    <s v="Sistema Isolado - Regular"/>
    <x v="1"/>
    <x v="2"/>
    <x v="0"/>
    <x v="0"/>
    <x v="0"/>
    <x v="0"/>
    <x v="0"/>
    <x v="0"/>
    <n v="0"/>
    <n v="0"/>
    <n v="1764.5229999999999"/>
    <n v="1764.5229999999999"/>
    <n v="1764.5229999999999"/>
    <n v="1764.5229999999999"/>
    <n v="0"/>
    <x v="1"/>
    <n v="0"/>
    <n v="0"/>
    <n v="19"/>
    <n v="67"/>
    <n v="0"/>
    <n v="149.63"/>
    <n v="230.03"/>
    <m/>
    <n v="54.203801879475932"/>
    <n v="282.91739971702214"/>
    <n v="0"/>
    <n v="264025.57649000001"/>
    <n v="405893.22568999999"/>
    <n v="0"/>
    <n v="95643.855103778507"/>
    <n v="499214.25890087901"/>
  </r>
  <r>
    <s v="Sistema de Compensação"/>
    <x v="1"/>
    <x v="2"/>
    <x v="0"/>
    <x v="0"/>
    <x v="0"/>
    <x v="0"/>
    <x v="0"/>
    <x v="0"/>
    <n v="0"/>
    <n v="0"/>
    <n v="571.38499999999999"/>
    <n v="571.38499999999999"/>
    <n v="571.38499999999999"/>
    <n v="571.38499999999999"/>
    <n v="0"/>
    <x v="1"/>
    <n v="0"/>
    <n v="0"/>
    <n v="19"/>
    <n v="67"/>
    <n v="0"/>
    <n v="149.63"/>
    <n v="230.03"/>
    <m/>
    <n v="54.203801879475932"/>
    <n v="282.91739971702214"/>
    <n v="0"/>
    <n v="85496.337549999997"/>
    <n v="131435.69154999999"/>
    <n v="0"/>
    <n v="30971.239336904357"/>
    <n v="161654.75843731069"/>
  </r>
  <r>
    <s v="Regular"/>
    <x v="1"/>
    <x v="2"/>
    <x v="0"/>
    <x v="0"/>
    <x v="0"/>
    <x v="0"/>
    <x v="0"/>
    <x v="0"/>
    <n v="0"/>
    <n v="0"/>
    <n v="-164.25700000000001"/>
    <n v="-164.25700000000001"/>
    <n v="0"/>
    <n v="0"/>
    <n v="0"/>
    <x v="0"/>
    <n v="0"/>
    <n v="0"/>
    <n v="19"/>
    <n v="0"/>
    <n v="0"/>
    <n v="149.63"/>
    <n v="0"/>
    <m/>
    <n v="54.203801879475932"/>
    <m/>
    <n v="0"/>
    <n v="-24577.77491"/>
    <n v="0"/>
    <n v="0"/>
    <n v="-8903.3538853170794"/>
    <n v="0"/>
  </r>
  <r>
    <s v="Regular"/>
    <x v="1"/>
    <x v="2"/>
    <x v="0"/>
    <x v="0"/>
    <x v="0"/>
    <x v="0"/>
    <x v="0"/>
    <x v="1"/>
    <n v="0"/>
    <n v="0"/>
    <n v="23222.081999999999"/>
    <n v="23222.081999999999"/>
    <n v="23222.081999999999"/>
    <n v="23222.081999999999"/>
    <n v="0"/>
    <x v="1"/>
    <n v="0"/>
    <n v="0"/>
    <n v="19"/>
    <n v="67"/>
    <n v="0"/>
    <n v="149.63"/>
    <n v="230.03"/>
    <m/>
    <n v="54.203801879475932"/>
    <n v="282.91739971702214"/>
    <n v="0"/>
    <n v="3474720.1296599996"/>
    <n v="5341775.5224599997"/>
    <n v="0"/>
    <n v="1258725.1319569442"/>
    <n v="6569931.0554554649"/>
  </r>
  <r>
    <s v="Refaturamento - Regular"/>
    <x v="1"/>
    <x v="2"/>
    <x v="0"/>
    <x v="0"/>
    <x v="0"/>
    <x v="0"/>
    <x v="0"/>
    <x v="1"/>
    <n v="0"/>
    <n v="0"/>
    <n v="-163.30699999999999"/>
    <n v="-163.30699999999999"/>
    <n v="-163.30699999999999"/>
    <n v="-163.30699999999999"/>
    <n v="0"/>
    <x v="1"/>
    <n v="0"/>
    <n v="0"/>
    <n v="19"/>
    <n v="67"/>
    <n v="0"/>
    <n v="149.63"/>
    <n v="230.03"/>
    <m/>
    <n v="54.203801879475932"/>
    <n v="282.91739971702214"/>
    <n v="0"/>
    <n v="-24435.626409999997"/>
    <n v="-37565.509209999997"/>
    <n v="0"/>
    <n v="-8851.8602735315762"/>
    <n v="-46202.391795587733"/>
  </r>
  <r>
    <s v="Sistema Isolado - Regular"/>
    <x v="1"/>
    <x v="2"/>
    <x v="0"/>
    <x v="0"/>
    <x v="0"/>
    <x v="0"/>
    <x v="0"/>
    <x v="1"/>
    <n v="0"/>
    <n v="0"/>
    <n v="1784.136"/>
    <n v="1784.136"/>
    <n v="1784.136"/>
    <n v="1784.136"/>
    <n v="0"/>
    <x v="1"/>
    <n v="0"/>
    <n v="0"/>
    <n v="19"/>
    <n v="67"/>
    <n v="0"/>
    <n v="149.63"/>
    <n v="230.03"/>
    <m/>
    <n v="54.203801879475932"/>
    <n v="282.91739971702214"/>
    <n v="0"/>
    <n v="266960.26967999997"/>
    <n v="410404.80407999997"/>
    <n v="0"/>
    <n v="96706.954270040675"/>
    <n v="504763.117861529"/>
  </r>
  <r>
    <s v="Sistema de Compensação"/>
    <x v="1"/>
    <x v="2"/>
    <x v="0"/>
    <x v="0"/>
    <x v="0"/>
    <x v="0"/>
    <x v="0"/>
    <x v="1"/>
    <n v="0"/>
    <n v="0"/>
    <n v="621.69899999999996"/>
    <n v="621.69899999999996"/>
    <n v="621.69899999999996"/>
    <n v="621.69899999999996"/>
    <n v="0"/>
    <x v="1"/>
    <n v="0"/>
    <n v="0"/>
    <n v="19"/>
    <n v="67"/>
    <n v="0"/>
    <n v="149.63"/>
    <n v="230.03"/>
    <m/>
    <n v="54.203801879475932"/>
    <n v="282.91739971702214"/>
    <n v="0"/>
    <n v="93024.821369999991"/>
    <n v="143009.42096999998"/>
    <n v="0"/>
    <n v="33698.449424668303"/>
    <n v="175889.46448667292"/>
  </r>
  <r>
    <s v="Regular"/>
    <x v="1"/>
    <x v="2"/>
    <x v="0"/>
    <x v="0"/>
    <x v="0"/>
    <x v="0"/>
    <x v="0"/>
    <x v="1"/>
    <n v="0"/>
    <n v="0"/>
    <n v="417.20299999999997"/>
    <n v="417.20299999999997"/>
    <n v="0"/>
    <n v="0"/>
    <n v="0"/>
    <x v="0"/>
    <n v="0"/>
    <n v="0"/>
    <n v="19"/>
    <n v="0"/>
    <n v="0"/>
    <n v="149.63"/>
    <n v="0"/>
    <m/>
    <n v="54.203801879475932"/>
    <m/>
    <n v="0"/>
    <n v="62426.084889999991"/>
    <n v="0"/>
    <n v="0"/>
    <n v="22613.988755522994"/>
    <n v="0"/>
  </r>
  <r>
    <s v="Regular"/>
    <x v="1"/>
    <x v="2"/>
    <x v="0"/>
    <x v="0"/>
    <x v="0"/>
    <x v="0"/>
    <x v="0"/>
    <x v="2"/>
    <n v="0"/>
    <n v="0"/>
    <n v="19477.964"/>
    <n v="19477.964"/>
    <n v="19477.964"/>
    <n v="19477.964"/>
    <n v="0"/>
    <x v="1"/>
    <n v="0"/>
    <n v="0"/>
    <n v="19"/>
    <n v="67"/>
    <n v="0"/>
    <n v="149.63"/>
    <n v="230.03"/>
    <m/>
    <n v="54.203801879475932"/>
    <n v="282.91739971702214"/>
    <n v="0"/>
    <n v="2914487.7533200001"/>
    <n v="4480516.0589199997"/>
    <n v="0"/>
    <n v="1055779.7016715645"/>
    <n v="5510654.9266617671"/>
  </r>
  <r>
    <s v="Refaturamento - Regular"/>
    <x v="1"/>
    <x v="2"/>
    <x v="0"/>
    <x v="0"/>
    <x v="0"/>
    <x v="0"/>
    <x v="0"/>
    <x v="2"/>
    <n v="0"/>
    <n v="0"/>
    <n v="-199.67599999999999"/>
    <n v="-199.67599999999999"/>
    <n v="-199.67599999999999"/>
    <n v="-199.67599999999999"/>
    <n v="0"/>
    <x v="1"/>
    <n v="0"/>
    <n v="0"/>
    <n v="19"/>
    <n v="67"/>
    <n v="0"/>
    <n v="149.63"/>
    <n v="230.03"/>
    <m/>
    <n v="54.203801879475932"/>
    <n v="282.91739971702214"/>
    <n v="0"/>
    <n v="-29877.519879999996"/>
    <n v="-45931.470279999994"/>
    <n v="0"/>
    <n v="-10823.198344086235"/>
    <n v="-56491.814705896111"/>
  </r>
  <r>
    <s v="Sistema Isolado - Regular"/>
    <x v="1"/>
    <x v="2"/>
    <x v="0"/>
    <x v="0"/>
    <x v="0"/>
    <x v="0"/>
    <x v="0"/>
    <x v="2"/>
    <n v="0"/>
    <n v="0"/>
    <n v="1510.17"/>
    <n v="1510.17"/>
    <n v="1510.17"/>
    <n v="1510.17"/>
    <n v="0"/>
    <x v="1"/>
    <n v="0"/>
    <n v="0"/>
    <n v="19"/>
    <n v="67"/>
    <n v="0"/>
    <n v="149.63"/>
    <n v="230.03"/>
    <m/>
    <n v="54.203801879475932"/>
    <n v="282.91739971702214"/>
    <n v="0"/>
    <n v="225966.7371"/>
    <n v="347384.40510000003"/>
    <n v="0"/>
    <n v="81856.955484328166"/>
    <n v="427253.36953065533"/>
  </r>
  <r>
    <s v="Sistema Isolado - Refaturamento"/>
    <x v="1"/>
    <x v="2"/>
    <x v="0"/>
    <x v="0"/>
    <x v="0"/>
    <x v="0"/>
    <x v="0"/>
    <x v="2"/>
    <n v="0"/>
    <n v="0"/>
    <n v="-3.3809999999999998"/>
    <n v="-3.3809999999999998"/>
    <n v="-3.3809999999999998"/>
    <n v="-3.3809999999999998"/>
    <n v="0"/>
    <x v="1"/>
    <n v="0"/>
    <n v="0"/>
    <n v="19"/>
    <n v="67"/>
    <n v="0"/>
    <n v="149.63"/>
    <n v="230.03"/>
    <m/>
    <n v="54.203801879475932"/>
    <n v="282.91739971702214"/>
    <n v="0"/>
    <n v="-505.89902999999993"/>
    <n v="-777.73142999999993"/>
    <n v="0"/>
    <n v="-183.26305415450813"/>
    <n v="-956.54372844325178"/>
  </r>
  <r>
    <s v="Sistema de Compensação"/>
    <x v="1"/>
    <x v="2"/>
    <x v="0"/>
    <x v="0"/>
    <x v="0"/>
    <x v="0"/>
    <x v="0"/>
    <x v="2"/>
    <n v="0"/>
    <n v="0"/>
    <n v="510.70600000000002"/>
    <n v="510.70600000000002"/>
    <n v="510.70600000000002"/>
    <n v="510.70600000000002"/>
    <n v="0"/>
    <x v="1"/>
    <n v="0"/>
    <n v="0"/>
    <n v="19"/>
    <n v="67"/>
    <n v="0"/>
    <n v="149.63"/>
    <n v="230.03"/>
    <m/>
    <n v="54.203801879475932"/>
    <n v="282.91739971702214"/>
    <n v="0"/>
    <n v="76416.938779999997"/>
    <n v="117477.70118"/>
    <n v="0"/>
    <n v="27682.206842659638"/>
    <n v="144487.61353988151"/>
  </r>
  <r>
    <s v="Regular"/>
    <x v="1"/>
    <x v="2"/>
    <x v="0"/>
    <x v="0"/>
    <x v="0"/>
    <x v="0"/>
    <x v="0"/>
    <x v="2"/>
    <n v="0"/>
    <n v="0"/>
    <n v="73.08"/>
    <n v="73.08"/>
    <n v="0"/>
    <n v="0"/>
    <n v="0"/>
    <x v="0"/>
    <n v="0"/>
    <n v="0"/>
    <n v="19"/>
    <n v="0"/>
    <n v="0"/>
    <n v="149.63"/>
    <n v="0"/>
    <m/>
    <n v="54.203801879475932"/>
    <m/>
    <n v="0"/>
    <n v="10934.9604"/>
    <n v="0"/>
    <n v="0"/>
    <n v="3961.2138413521011"/>
    <n v="0"/>
  </r>
  <r>
    <s v="Regular"/>
    <x v="1"/>
    <x v="2"/>
    <x v="0"/>
    <x v="0"/>
    <x v="0"/>
    <x v="0"/>
    <x v="0"/>
    <x v="3"/>
    <n v="0"/>
    <n v="0"/>
    <n v="18552.884999999998"/>
    <n v="18552.884999999998"/>
    <n v="18552.884999999998"/>
    <n v="18552.884999999998"/>
    <n v="0"/>
    <x v="1"/>
    <n v="0"/>
    <n v="0"/>
    <n v="19"/>
    <n v="67"/>
    <n v="0"/>
    <n v="149.63"/>
    <n v="230.03"/>
    <m/>
    <n v="54.203801879475932"/>
    <n v="282.91739971702214"/>
    <n v="0"/>
    <n v="2776068.1825499996"/>
    <n v="4267720.1365499999"/>
    <n v="0"/>
    <n v="1005636.9028327008"/>
    <n v="5248933.9814489437"/>
  </r>
  <r>
    <s v="Refaturamento - Regular"/>
    <x v="1"/>
    <x v="2"/>
    <x v="0"/>
    <x v="0"/>
    <x v="0"/>
    <x v="0"/>
    <x v="0"/>
    <x v="3"/>
    <n v="0"/>
    <n v="0"/>
    <n v="-0.96899999999999997"/>
    <n v="-0.96899999999999997"/>
    <n v="-0.96899999999999997"/>
    <n v="-0.96899999999999997"/>
    <n v="0"/>
    <x v="1"/>
    <n v="0"/>
    <n v="0"/>
    <n v="19"/>
    <n v="67"/>
    <n v="0"/>
    <n v="149.63"/>
    <n v="230.03"/>
    <m/>
    <n v="54.203801879475932"/>
    <n v="282.91739971702214"/>
    <n v="0"/>
    <n v="-144.99146999999999"/>
    <n v="-222.89906999999999"/>
    <n v="0"/>
    <n v="-52.523484021212177"/>
    <n v="-274.14696032579445"/>
  </r>
  <r>
    <s v="Sistema Isolado - Regular"/>
    <x v="1"/>
    <x v="2"/>
    <x v="0"/>
    <x v="0"/>
    <x v="0"/>
    <x v="0"/>
    <x v="0"/>
    <x v="3"/>
    <n v="0"/>
    <n v="0"/>
    <n v="1338.557"/>
    <n v="1338.557"/>
    <n v="1338.557"/>
    <n v="1338.557"/>
    <n v="0"/>
    <x v="1"/>
    <n v="0"/>
    <n v="0"/>
    <n v="19"/>
    <n v="67"/>
    <n v="0"/>
    <n v="149.63"/>
    <n v="230.03"/>
    <m/>
    <n v="54.203801879475932"/>
    <n v="282.91739971702214"/>
    <n v="0"/>
    <n v="200288.28391"/>
    <n v="307908.26671"/>
    <n v="0"/>
    <n v="72554.878432385667"/>
    <n v="378701.06581301801"/>
  </r>
  <r>
    <s v="Sistema Isolado - Refaturamento"/>
    <x v="1"/>
    <x v="2"/>
    <x v="0"/>
    <x v="0"/>
    <x v="0"/>
    <x v="0"/>
    <x v="0"/>
    <x v="3"/>
    <n v="0"/>
    <n v="0"/>
    <n v="-11.875999999999999"/>
    <n v="-11.875999999999999"/>
    <n v="-11.875999999999999"/>
    <n v="-11.875999999999999"/>
    <n v="0"/>
    <x v="1"/>
    <n v="0"/>
    <n v="0"/>
    <n v="19"/>
    <n v="67"/>
    <n v="0"/>
    <n v="149.63"/>
    <n v="230.03"/>
    <m/>
    <n v="54.203801879475932"/>
    <n v="282.91739971702214"/>
    <n v="0"/>
    <n v="-1777.0058799999999"/>
    <n v="-2731.83628"/>
    <n v="0"/>
    <n v="-643.72435112065614"/>
    <n v="-3359.9270390393549"/>
  </r>
  <r>
    <s v="Sistema de Compensação"/>
    <x v="1"/>
    <x v="2"/>
    <x v="0"/>
    <x v="0"/>
    <x v="0"/>
    <x v="0"/>
    <x v="0"/>
    <x v="3"/>
    <n v="0"/>
    <n v="0"/>
    <n v="603.31399999999996"/>
    <n v="603.31399999999996"/>
    <n v="603.31399999999996"/>
    <n v="603.31399999999996"/>
    <n v="0"/>
    <x v="1"/>
    <n v="0"/>
    <n v="0"/>
    <n v="19"/>
    <n v="67"/>
    <n v="0"/>
    <n v="149.63"/>
    <n v="230.03"/>
    <m/>
    <n v="54.203801879475932"/>
    <n v="282.91739971702214"/>
    <n v="0"/>
    <n v="90273.873819999993"/>
    <n v="138780.31941999999"/>
    <n v="0"/>
    <n v="32701.912527114142"/>
    <n v="170688.02809287549"/>
  </r>
  <r>
    <s v="Regular"/>
    <x v="1"/>
    <x v="2"/>
    <x v="0"/>
    <x v="0"/>
    <x v="0"/>
    <x v="0"/>
    <x v="0"/>
    <x v="3"/>
    <n v="0"/>
    <n v="0"/>
    <n v="64.665999999999997"/>
    <n v="64.665999999999997"/>
    <n v="0"/>
    <n v="0"/>
    <n v="0"/>
    <x v="0"/>
    <n v="0"/>
    <n v="0"/>
    <n v="19"/>
    <n v="0"/>
    <n v="0"/>
    <n v="149.63"/>
    <n v="0"/>
    <m/>
    <n v="54.203801879475932"/>
    <m/>
    <n v="0"/>
    <n v="9675.9735799999999"/>
    <n v="0"/>
    <n v="0"/>
    <n v="3505.1430523381905"/>
    <n v="0"/>
  </r>
  <r>
    <s v="Regular"/>
    <x v="1"/>
    <x v="2"/>
    <x v="0"/>
    <x v="0"/>
    <x v="0"/>
    <x v="0"/>
    <x v="0"/>
    <x v="4"/>
    <n v="0"/>
    <n v="0"/>
    <n v="21758.094000000001"/>
    <n v="21758.094000000001"/>
    <n v="21758.094000000001"/>
    <n v="21758.094000000001"/>
    <n v="0"/>
    <x v="1"/>
    <n v="0"/>
    <n v="0"/>
    <n v="19"/>
    <n v="67"/>
    <n v="0"/>
    <n v="149.63"/>
    <n v="230.03"/>
    <m/>
    <n v="54.203801879475932"/>
    <n v="282.91739971702214"/>
    <n v="0"/>
    <n v="3255663.6052200003"/>
    <n v="5005014.3628200004"/>
    <n v="0"/>
    <n v="1179371.4164510141"/>
    <n v="6155743.3772785412"/>
  </r>
  <r>
    <s v="Refaturamento - Regular"/>
    <x v="1"/>
    <x v="2"/>
    <x v="0"/>
    <x v="0"/>
    <x v="0"/>
    <x v="0"/>
    <x v="0"/>
    <x v="4"/>
    <n v="0"/>
    <n v="0"/>
    <n v="-97.486999999999995"/>
    <n v="-97.486999999999995"/>
    <n v="-97.486999999999995"/>
    <n v="-97.486999999999995"/>
    <n v="0"/>
    <x v="1"/>
    <n v="0"/>
    <n v="0"/>
    <n v="19"/>
    <n v="67"/>
    <n v="0"/>
    <n v="149.63"/>
    <n v="230.03"/>
    <m/>
    <n v="54.203801879475932"/>
    <n v="282.91739971702214"/>
    <n v="0"/>
    <n v="-14586.979809999999"/>
    <n v="-22424.93461"/>
    <n v="0"/>
    <n v="-5284.1660338244701"/>
    <n v="-27580.768546213334"/>
  </r>
  <r>
    <s v="Sistema Isolado - Regular"/>
    <x v="1"/>
    <x v="2"/>
    <x v="0"/>
    <x v="0"/>
    <x v="0"/>
    <x v="0"/>
    <x v="0"/>
    <x v="4"/>
    <n v="0"/>
    <n v="0"/>
    <n v="1447.2159999999999"/>
    <n v="1447.2159999999999"/>
    <n v="1447.2159999999999"/>
    <n v="1447.2159999999999"/>
    <n v="0"/>
    <x v="1"/>
    <n v="0"/>
    <n v="0"/>
    <n v="19"/>
    <n v="67"/>
    <n v="0"/>
    <n v="149.63"/>
    <n v="230.03"/>
    <m/>
    <n v="54.203801879475932"/>
    <n v="282.91739971702214"/>
    <n v="0"/>
    <n v="216546.93007999999"/>
    <n v="332903.09647999995"/>
    <n v="0"/>
    <n v="78444.609340807641"/>
    <n v="409442.58754886989"/>
  </r>
  <r>
    <s v="Sistema de Compensação"/>
    <x v="1"/>
    <x v="2"/>
    <x v="0"/>
    <x v="0"/>
    <x v="0"/>
    <x v="0"/>
    <x v="0"/>
    <x v="4"/>
    <n v="0"/>
    <n v="0"/>
    <n v="739.28099999999995"/>
    <n v="739.28099999999995"/>
    <n v="739.28099999999995"/>
    <n v="739.28099999999995"/>
    <n v="0"/>
    <x v="1"/>
    <n v="0"/>
    <n v="0"/>
    <n v="19"/>
    <n v="67"/>
    <n v="0"/>
    <n v="149.63"/>
    <n v="230.03"/>
    <m/>
    <n v="54.203801879475932"/>
    <n v="282.91739971702214"/>
    <n v="0"/>
    <n v="110618.61602999999"/>
    <n v="170056.80842999998"/>
    <n v="0"/>
    <n v="40071.840857260846"/>
    <n v="209155.45818019981"/>
  </r>
  <r>
    <s v="Regular"/>
    <x v="1"/>
    <x v="2"/>
    <x v="0"/>
    <x v="0"/>
    <x v="0"/>
    <x v="0"/>
    <x v="0"/>
    <x v="4"/>
    <n v="0"/>
    <n v="0"/>
    <n v="101.53400000000001"/>
    <n v="101.53400000000001"/>
    <n v="0"/>
    <n v="0"/>
    <n v="0"/>
    <x v="0"/>
    <n v="0"/>
    <n v="0"/>
    <n v="19"/>
    <n v="0"/>
    <n v="0"/>
    <n v="149.63"/>
    <n v="0"/>
    <m/>
    <n v="54.203801879475932"/>
    <m/>
    <n v="0"/>
    <n v="15192.53242"/>
    <n v="0"/>
    <n v="0"/>
    <n v="5503.5288200307095"/>
    <n v="0"/>
  </r>
  <r>
    <s v="Regular"/>
    <x v="1"/>
    <x v="2"/>
    <x v="0"/>
    <x v="0"/>
    <x v="0"/>
    <x v="0"/>
    <x v="0"/>
    <x v="5"/>
    <n v="0"/>
    <n v="0"/>
    <n v="22047.66"/>
    <n v="22047.66"/>
    <n v="22047.66"/>
    <n v="22047.66"/>
    <n v="0"/>
    <x v="1"/>
    <n v="0"/>
    <n v="0"/>
    <n v="19"/>
    <n v="67"/>
    <n v="0"/>
    <n v="149.63"/>
    <n v="230.03"/>
    <m/>
    <n v="54.203801879475932"/>
    <n v="282.91739971702214"/>
    <n v="0"/>
    <n v="3298991.3657999998"/>
    <n v="5071623.2297999999"/>
    <n v="0"/>
    <n v="1195066.9945460462"/>
    <n v="6237666.6370450007"/>
  </r>
  <r>
    <s v="Refaturamento - Regular"/>
    <x v="1"/>
    <x v="2"/>
    <x v="0"/>
    <x v="0"/>
    <x v="0"/>
    <x v="0"/>
    <x v="0"/>
    <x v="5"/>
    <n v="0"/>
    <n v="0"/>
    <n v="-459.62099999999998"/>
    <n v="-459.62099999999998"/>
    <n v="-459.62099999999998"/>
    <n v="-459.62099999999998"/>
    <n v="0"/>
    <x v="1"/>
    <n v="0"/>
    <n v="0"/>
    <n v="19"/>
    <n v="67"/>
    <n v="0"/>
    <n v="149.63"/>
    <n v="230.03"/>
    <m/>
    <n v="54.203801879475932"/>
    <n v="282.91739971702214"/>
    <n v="0"/>
    <n v="-68773.090230000002"/>
    <n v="-105726.61863"/>
    <n v="0"/>
    <n v="-24913.205623646605"/>
    <n v="-130034.77817533743"/>
  </r>
  <r>
    <s v="Sistema Isolado - Regular"/>
    <x v="1"/>
    <x v="2"/>
    <x v="0"/>
    <x v="0"/>
    <x v="0"/>
    <x v="0"/>
    <x v="0"/>
    <x v="5"/>
    <n v="0"/>
    <n v="0"/>
    <n v="1515.8989999999999"/>
    <n v="1515.8989999999999"/>
    <n v="1515.8989999999999"/>
    <n v="1515.8989999999999"/>
    <n v="0"/>
    <x v="1"/>
    <n v="0"/>
    <n v="0"/>
    <n v="19"/>
    <n v="67"/>
    <n v="0"/>
    <n v="149.63"/>
    <n v="230.03"/>
    <m/>
    <n v="54.203801879475932"/>
    <n v="282.91739971702214"/>
    <n v="0"/>
    <n v="226823.96736999997"/>
    <n v="348702.24696999998"/>
    <n v="0"/>
    <n v="82167.489065295682"/>
    <n v="428874.20331363409"/>
  </r>
  <r>
    <s v="Sistema de Compensação"/>
    <x v="1"/>
    <x v="2"/>
    <x v="0"/>
    <x v="0"/>
    <x v="0"/>
    <x v="0"/>
    <x v="0"/>
    <x v="5"/>
    <n v="0"/>
    <n v="0"/>
    <n v="757.69600000000003"/>
    <n v="757.69600000000003"/>
    <n v="757.69600000000003"/>
    <n v="757.69600000000003"/>
    <n v="0"/>
    <x v="1"/>
    <n v="0"/>
    <n v="0"/>
    <n v="19"/>
    <n v="67"/>
    <n v="0"/>
    <n v="149.63"/>
    <n v="230.03"/>
    <m/>
    <n v="54.203801879475932"/>
    <n v="282.91739971702214"/>
    <n v="0"/>
    <n v="113374.05248"/>
    <n v="174292.81088"/>
    <n v="0"/>
    <n v="41070.003868871398"/>
    <n v="214365.38209598881"/>
  </r>
  <r>
    <s v="Regular"/>
    <x v="1"/>
    <x v="2"/>
    <x v="0"/>
    <x v="0"/>
    <x v="0"/>
    <x v="0"/>
    <x v="0"/>
    <x v="5"/>
    <n v="0"/>
    <n v="0"/>
    <n v="101.349"/>
    <n v="101.349"/>
    <n v="0"/>
    <n v="0"/>
    <n v="0"/>
    <x v="0"/>
    <n v="0"/>
    <n v="0"/>
    <n v="19"/>
    <n v="0"/>
    <n v="0"/>
    <n v="149.63"/>
    <n v="0"/>
    <m/>
    <n v="54.203801879475932"/>
    <m/>
    <n v="0"/>
    <n v="15164.85087"/>
    <n v="0"/>
    <n v="0"/>
    <n v="5493.5011166830063"/>
    <n v="0"/>
  </r>
  <r>
    <s v="Regular"/>
    <x v="1"/>
    <x v="2"/>
    <x v="0"/>
    <x v="0"/>
    <x v="0"/>
    <x v="0"/>
    <x v="0"/>
    <x v="6"/>
    <n v="0"/>
    <n v="0"/>
    <n v="23072.761999999999"/>
    <n v="23072.761999999999"/>
    <n v="23072.761999999999"/>
    <n v="23072.761999999999"/>
    <n v="0"/>
    <x v="1"/>
    <n v="0"/>
    <n v="0"/>
    <n v="19"/>
    <n v="67"/>
    <n v="0"/>
    <n v="149.63"/>
    <n v="230.03"/>
    <m/>
    <n v="54.203801879475932"/>
    <n v="282.91739971702214"/>
    <n v="0"/>
    <n v="3452377.3780599996"/>
    <n v="5307427.4428599998"/>
    <n v="0"/>
    <n v="1250631.4202603009"/>
    <n v="6527685.8293297188"/>
  </r>
  <r>
    <s v="Refaturamento - Regular"/>
    <x v="1"/>
    <x v="2"/>
    <x v="0"/>
    <x v="0"/>
    <x v="0"/>
    <x v="0"/>
    <x v="0"/>
    <x v="6"/>
    <n v="0"/>
    <n v="0"/>
    <n v="-19.039000000000001"/>
    <n v="-19.039000000000001"/>
    <n v="-19.039000000000001"/>
    <n v="-19.039000000000001"/>
    <n v="0"/>
    <x v="1"/>
    <n v="0"/>
    <n v="0"/>
    <n v="19"/>
    <n v="67"/>
    <n v="0"/>
    <n v="149.63"/>
    <n v="230.03"/>
    <m/>
    <n v="54.203801879475932"/>
    <n v="282.91739971702214"/>
    <n v="0"/>
    <n v="-2848.80557"/>
    <n v="-4379.5411700000004"/>
    <n v="0"/>
    <n v="-1031.9861839833425"/>
    <n v="-5386.464373212385"/>
  </r>
  <r>
    <s v="Sistema Isolado - Regular"/>
    <x v="1"/>
    <x v="2"/>
    <x v="0"/>
    <x v="0"/>
    <x v="0"/>
    <x v="0"/>
    <x v="0"/>
    <x v="6"/>
    <n v="0"/>
    <n v="0"/>
    <n v="1611.606"/>
    <n v="1611.606"/>
    <n v="1611.606"/>
    <n v="1611.606"/>
    <n v="0"/>
    <x v="1"/>
    <n v="0"/>
    <n v="0"/>
    <n v="19"/>
    <n v="67"/>
    <n v="0"/>
    <n v="149.63"/>
    <n v="230.03"/>
    <m/>
    <n v="54.203801879475932"/>
    <n v="282.91739971702214"/>
    <n v="0"/>
    <n v="241144.60577999998"/>
    <n v="370717.72817999998"/>
    <n v="0"/>
    <n v="87355.172331774695"/>
    <n v="455951.3788883512"/>
  </r>
  <r>
    <s v="Sistema de Compensação"/>
    <x v="1"/>
    <x v="2"/>
    <x v="0"/>
    <x v="0"/>
    <x v="0"/>
    <x v="0"/>
    <x v="0"/>
    <x v="6"/>
    <n v="0"/>
    <n v="0"/>
    <n v="805.21500000000003"/>
    <n v="805.21500000000003"/>
    <n v="805.21500000000003"/>
    <n v="805.21500000000003"/>
    <n v="0"/>
    <x v="1"/>
    <n v="0"/>
    <n v="0"/>
    <n v="19"/>
    <n v="67"/>
    <n v="0"/>
    <n v="149.63"/>
    <n v="230.03"/>
    <m/>
    <n v="54.203801879475932"/>
    <n v="282.91739971702214"/>
    <n v="0"/>
    <n v="120484.32045"/>
    <n v="185223.60645000002"/>
    <n v="0"/>
    <n v="43645.714330382216"/>
    <n v="227809.33401314198"/>
  </r>
  <r>
    <s v="Regular"/>
    <x v="1"/>
    <x v="2"/>
    <x v="0"/>
    <x v="0"/>
    <x v="0"/>
    <x v="0"/>
    <x v="0"/>
    <x v="6"/>
    <n v="0"/>
    <n v="0"/>
    <n v="115.354"/>
    <n v="115.354"/>
    <n v="0"/>
    <n v="0"/>
    <n v="0"/>
    <x v="0"/>
    <n v="0"/>
    <n v="0"/>
    <n v="19"/>
    <n v="0"/>
    <n v="0"/>
    <n v="149.63"/>
    <n v="0"/>
    <m/>
    <n v="54.203801879475932"/>
    <m/>
    <n v="0"/>
    <n v="17260.419019999998"/>
    <n v="0"/>
    <n v="0"/>
    <n v="6252.6253620050666"/>
    <n v="0"/>
  </r>
  <r>
    <s v="Regular"/>
    <x v="1"/>
    <x v="2"/>
    <x v="0"/>
    <x v="0"/>
    <x v="0"/>
    <x v="0"/>
    <x v="0"/>
    <x v="7"/>
    <n v="0"/>
    <n v="0"/>
    <n v="22187.151999999998"/>
    <n v="22187.151999999998"/>
    <n v="22187.151999999998"/>
    <n v="22187.151999999998"/>
    <n v="0"/>
    <x v="1"/>
    <n v="0"/>
    <n v="0"/>
    <n v="19"/>
    <n v="67"/>
    <n v="0"/>
    <n v="149.63"/>
    <n v="230.03"/>
    <m/>
    <n v="54.203801879475932"/>
    <n v="282.91739971702214"/>
    <n v="0"/>
    <n v="3319863.5537599996"/>
    <n v="5103710.5745599996"/>
    <n v="0"/>
    <n v="1202627.9912778181"/>
    <n v="6277131.3509663269"/>
  </r>
  <r>
    <s v="Refaturamento - Regular"/>
    <x v="1"/>
    <x v="2"/>
    <x v="0"/>
    <x v="0"/>
    <x v="0"/>
    <x v="0"/>
    <x v="0"/>
    <x v="7"/>
    <n v="0"/>
    <n v="0"/>
    <n v="-33.576999999999998"/>
    <n v="-33.576999999999998"/>
    <n v="-33.576999999999998"/>
    <n v="-33.576999999999998"/>
    <n v="0"/>
    <x v="1"/>
    <n v="0"/>
    <n v="0"/>
    <n v="19"/>
    <n v="67"/>
    <n v="0"/>
    <n v="149.63"/>
    <n v="230.03"/>
    <m/>
    <n v="54.203801879475932"/>
    <n v="282.91739971702214"/>
    <n v="0"/>
    <n v="-5024.1265099999991"/>
    <n v="-7723.71731"/>
    <n v="0"/>
    <n v="-1820.0010557071632"/>
    <n v="-9499.5175302984517"/>
  </r>
  <r>
    <s v="Sistema Isolado - Regular"/>
    <x v="1"/>
    <x v="2"/>
    <x v="0"/>
    <x v="0"/>
    <x v="0"/>
    <x v="0"/>
    <x v="0"/>
    <x v="7"/>
    <n v="0"/>
    <n v="0"/>
    <n v="1434.345"/>
    <n v="1434.345"/>
    <n v="1434.345"/>
    <n v="1434.345"/>
    <n v="0"/>
    <x v="1"/>
    <n v="0"/>
    <n v="0"/>
    <n v="19"/>
    <n v="67"/>
    <n v="0"/>
    <n v="149.63"/>
    <n v="230.03"/>
    <m/>
    <n v="54.203801879475932"/>
    <n v="282.91739971702214"/>
    <n v="0"/>
    <n v="214621.04235"/>
    <n v="329942.38034999999"/>
    <n v="0"/>
    <n v="77746.952206816903"/>
    <n v="405801.15769711212"/>
  </r>
  <r>
    <s v="Sistema Isolado - Refaturamento"/>
    <x v="1"/>
    <x v="2"/>
    <x v="0"/>
    <x v="0"/>
    <x v="0"/>
    <x v="0"/>
    <x v="0"/>
    <x v="7"/>
    <n v="0"/>
    <n v="0"/>
    <n v="-8.1059999999999999"/>
    <n v="-8.1059999999999999"/>
    <n v="-8.1059999999999999"/>
    <n v="-8.1059999999999999"/>
    <n v="0"/>
    <x v="1"/>
    <n v="0"/>
    <n v="0"/>
    <n v="19"/>
    <n v="67"/>
    <n v="0"/>
    <n v="149.63"/>
    <n v="230.03"/>
    <m/>
    <n v="54.203801879475932"/>
    <n v="282.91739971702214"/>
    <n v="0"/>
    <n v="-1212.9007799999999"/>
    <n v="-1864.62318"/>
    <n v="0"/>
    <n v="-439.3760180350319"/>
    <n v="-2293.3284421061812"/>
  </r>
  <r>
    <s v="Sistema de Compensação"/>
    <x v="1"/>
    <x v="2"/>
    <x v="0"/>
    <x v="0"/>
    <x v="0"/>
    <x v="0"/>
    <x v="0"/>
    <x v="7"/>
    <n v="0"/>
    <n v="0"/>
    <n v="843.98400000000004"/>
    <n v="843.98400000000004"/>
    <n v="843.98400000000004"/>
    <n v="843.98400000000004"/>
    <n v="0"/>
    <x v="1"/>
    <n v="0"/>
    <n v="0"/>
    <n v="19"/>
    <n v="67"/>
    <n v="0"/>
    <n v="149.63"/>
    <n v="230.03"/>
    <m/>
    <n v="54.203801879475932"/>
    <n v="282.91739971702214"/>
    <n v="0"/>
    <n v="126285.32592"/>
    <n v="194141.63952"/>
    <n v="0"/>
    <n v="45747.141525447616"/>
    <n v="238777.75868277121"/>
  </r>
  <r>
    <s v="Regular"/>
    <x v="1"/>
    <x v="2"/>
    <x v="0"/>
    <x v="0"/>
    <x v="0"/>
    <x v="0"/>
    <x v="0"/>
    <x v="7"/>
    <n v="0"/>
    <n v="0"/>
    <n v="73.08"/>
    <n v="73.08"/>
    <n v="0"/>
    <n v="0"/>
    <n v="0"/>
    <x v="0"/>
    <n v="0"/>
    <n v="0"/>
    <n v="19"/>
    <n v="0"/>
    <n v="0"/>
    <n v="149.63"/>
    <n v="0"/>
    <m/>
    <n v="54.203801879475932"/>
    <m/>
    <n v="0"/>
    <n v="10934.9604"/>
    <n v="0"/>
    <n v="0"/>
    <n v="3961.2138413521011"/>
    <n v="0"/>
  </r>
  <r>
    <s v="Regular"/>
    <x v="1"/>
    <x v="2"/>
    <x v="0"/>
    <x v="0"/>
    <x v="0"/>
    <x v="0"/>
    <x v="0"/>
    <x v="8"/>
    <n v="0"/>
    <n v="0"/>
    <n v="23023.66"/>
    <n v="23023.66"/>
    <n v="23023.66"/>
    <n v="23023.66"/>
    <n v="0"/>
    <x v="1"/>
    <n v="0"/>
    <n v="0"/>
    <n v="19"/>
    <n v="67"/>
    <n v="0"/>
    <n v="149.63"/>
    <n v="230.03"/>
    <m/>
    <n v="54.203801879475932"/>
    <n v="282.91739971702214"/>
    <n v="0"/>
    <n v="3445030.2457999997"/>
    <n v="5296132.5098000001"/>
    <n v="0"/>
    <n v="1247969.9051804149"/>
    <n v="6513794.0191688137"/>
  </r>
  <r>
    <s v="Refaturamento - Regular"/>
    <x v="1"/>
    <x v="2"/>
    <x v="0"/>
    <x v="0"/>
    <x v="0"/>
    <x v="0"/>
    <x v="0"/>
    <x v="8"/>
    <n v="0"/>
    <n v="0"/>
    <n v="-59.619"/>
    <n v="-59.619"/>
    <n v="-59.619"/>
    <n v="-59.619"/>
    <n v="0"/>
    <x v="1"/>
    <n v="0"/>
    <n v="0"/>
    <n v="19"/>
    <n v="67"/>
    <n v="0"/>
    <n v="149.63"/>
    <n v="230.03"/>
    <m/>
    <n v="54.203801879475932"/>
    <n v="282.91739971702214"/>
    <n v="0"/>
    <n v="-8920.79097"/>
    <n v="-13714.15857"/>
    <n v="0"/>
    <n v="-3231.5764642524755"/>
    <n v="-16867.252453729143"/>
  </r>
  <r>
    <s v="Sistema Isolado - Regular"/>
    <x v="1"/>
    <x v="2"/>
    <x v="0"/>
    <x v="0"/>
    <x v="0"/>
    <x v="0"/>
    <x v="0"/>
    <x v="8"/>
    <n v="0"/>
    <n v="0"/>
    <n v="1559.309"/>
    <n v="1559.309"/>
    <n v="1559.309"/>
    <n v="1559.309"/>
    <n v="0"/>
    <x v="1"/>
    <n v="0"/>
    <n v="0"/>
    <n v="19"/>
    <n v="67"/>
    <n v="0"/>
    <n v="149.63"/>
    <n v="230.03"/>
    <m/>
    <n v="54.203801879475932"/>
    <n v="282.91739971702214"/>
    <n v="0"/>
    <n v="233319.40566999998"/>
    <n v="358687.84927000001"/>
    <n v="0"/>
    <n v="84520.476104883739"/>
    <n v="441155.64763535006"/>
  </r>
  <r>
    <s v="Sistema Isolado - Refaturamento"/>
    <x v="1"/>
    <x v="2"/>
    <x v="0"/>
    <x v="0"/>
    <x v="0"/>
    <x v="0"/>
    <x v="0"/>
    <x v="8"/>
    <n v="0"/>
    <n v="0"/>
    <n v="81.710999999999999"/>
    <n v="81.710999999999999"/>
    <n v="81.710999999999999"/>
    <n v="81.710999999999999"/>
    <n v="0"/>
    <x v="1"/>
    <n v="0"/>
    <n v="0"/>
    <n v="19"/>
    <n v="67"/>
    <n v="0"/>
    <n v="149.63"/>
    <n v="230.03"/>
    <m/>
    <n v="54.203801879475932"/>
    <n v="282.91739971702214"/>
    <n v="0"/>
    <n v="12226.416929999999"/>
    <n v="18795.981329999999"/>
    <n v="0"/>
    <n v="4429.0468553738574"/>
    <n v="23117.463648277597"/>
  </r>
  <r>
    <s v="Sistema de Compensação"/>
    <x v="1"/>
    <x v="2"/>
    <x v="0"/>
    <x v="0"/>
    <x v="0"/>
    <x v="0"/>
    <x v="0"/>
    <x v="8"/>
    <n v="0"/>
    <n v="0"/>
    <n v="872.72299999999996"/>
    <n v="872.72299999999996"/>
    <n v="872.72299999999996"/>
    <n v="872.72299999999996"/>
    <n v="0"/>
    <x v="1"/>
    <n v="0"/>
    <n v="0"/>
    <n v="19"/>
    <n v="67"/>
    <n v="0"/>
    <n v="149.63"/>
    <n v="230.03"/>
    <m/>
    <n v="54.203801879475932"/>
    <n v="282.91739971702214"/>
    <n v="0"/>
    <n v="130585.54248999999"/>
    <n v="200752.47168999998"/>
    <n v="0"/>
    <n v="47304.904587661869"/>
    <n v="246908.52183323869"/>
  </r>
  <r>
    <s v="Sistema de Compensação"/>
    <x v="1"/>
    <x v="2"/>
    <x v="0"/>
    <x v="0"/>
    <x v="0"/>
    <x v="0"/>
    <x v="0"/>
    <x v="8"/>
    <n v="0"/>
    <n v="0"/>
    <n v="-32.326999999999998"/>
    <n v="-32.326999999999998"/>
    <n v="-32.326999999999998"/>
    <n v="-32.326999999999998"/>
    <n v="0"/>
    <x v="1"/>
    <n v="0"/>
    <n v="0"/>
    <n v="19"/>
    <n v="67"/>
    <n v="0"/>
    <n v="149.63"/>
    <n v="230.03"/>
    <m/>
    <n v="54.203801879475932"/>
    <n v="282.91739971702214"/>
    <n v="0"/>
    <n v="-4837.0890099999997"/>
    <n v="-7436.1798099999996"/>
    <n v="0"/>
    <n v="-1752.2463033578183"/>
    <n v="-9145.8707806521743"/>
  </r>
  <r>
    <s v="Regular"/>
    <x v="1"/>
    <x v="2"/>
    <x v="0"/>
    <x v="0"/>
    <x v="0"/>
    <x v="0"/>
    <x v="0"/>
    <x v="8"/>
    <n v="0"/>
    <n v="0"/>
    <n v="113.667"/>
    <n v="113.667"/>
    <n v="0"/>
    <n v="0"/>
    <n v="0"/>
    <x v="0"/>
    <n v="0"/>
    <n v="0"/>
    <n v="19"/>
    <n v="0"/>
    <n v="0"/>
    <n v="149.63"/>
    <n v="0"/>
    <m/>
    <n v="54.203801879475932"/>
    <m/>
    <n v="0"/>
    <n v="17007.993210000001"/>
    <n v="0"/>
    <n v="0"/>
    <n v="6161.1835482343913"/>
    <n v="0"/>
  </r>
  <r>
    <s v="Regular"/>
    <x v="1"/>
    <x v="2"/>
    <x v="0"/>
    <x v="0"/>
    <x v="0"/>
    <x v="0"/>
    <x v="0"/>
    <x v="9"/>
    <n v="0"/>
    <n v="0"/>
    <n v="24700.725999999999"/>
    <n v="24700.725999999999"/>
    <n v="24700.725999999999"/>
    <n v="24700.725999999999"/>
    <n v="0"/>
    <x v="1"/>
    <n v="0"/>
    <n v="0"/>
    <n v="19"/>
    <n v="67"/>
    <n v="0"/>
    <n v="149.63"/>
    <n v="230.03"/>
    <m/>
    <n v="54.203801879475932"/>
    <n v="282.91739971702214"/>
    <n v="0"/>
    <n v="3695969.6313799997"/>
    <n v="5681908.0017799996"/>
    <n v="0"/>
    <n v="1338873.2583832201"/>
    <n v="6988265.1710426407"/>
  </r>
  <r>
    <s v="Refaturamento - Regular"/>
    <x v="1"/>
    <x v="2"/>
    <x v="0"/>
    <x v="0"/>
    <x v="0"/>
    <x v="0"/>
    <x v="0"/>
    <x v="9"/>
    <n v="0"/>
    <n v="0"/>
    <n v="22808.315999999999"/>
    <n v="22808.315999999999"/>
    <n v="22808.315999999999"/>
    <n v="22808.315999999999"/>
    <n v="0"/>
    <x v="1"/>
    <n v="0"/>
    <n v="0"/>
    <n v="19"/>
    <n v="67"/>
    <n v="0"/>
    <n v="149.63"/>
    <n v="230.03"/>
    <m/>
    <n v="54.203801879475932"/>
    <n v="282.91739971702214"/>
    <n v="0"/>
    <n v="3412808.3230799995"/>
    <n v="5246596.9294799995"/>
    <n v="0"/>
    <n v="1236297.4416684809"/>
    <n v="6452869.454644151"/>
  </r>
  <r>
    <s v="Sistema Isolado - Regular"/>
    <x v="1"/>
    <x v="2"/>
    <x v="0"/>
    <x v="0"/>
    <x v="0"/>
    <x v="0"/>
    <x v="0"/>
    <x v="9"/>
    <n v="0"/>
    <n v="0"/>
    <n v="1806.8689999999999"/>
    <n v="1806.8689999999999"/>
    <n v="1806.8689999999999"/>
    <n v="1806.8689999999999"/>
    <n v="0"/>
    <x v="1"/>
    <n v="0"/>
    <n v="0"/>
    <n v="19"/>
    <n v="67"/>
    <n v="0"/>
    <n v="149.63"/>
    <n v="230.03"/>
    <m/>
    <n v="54.203801879475932"/>
    <n v="282.91739971702214"/>
    <n v="0"/>
    <n v="270361.80846999999"/>
    <n v="415634.07607000001"/>
    <n v="0"/>
    <n v="97939.169298166787"/>
    <n v="511194.67910929606"/>
  </r>
  <r>
    <s v="Sistema de Compensação"/>
    <x v="1"/>
    <x v="2"/>
    <x v="0"/>
    <x v="0"/>
    <x v="0"/>
    <x v="0"/>
    <x v="0"/>
    <x v="9"/>
    <n v="0"/>
    <n v="0"/>
    <n v="905.57799999999997"/>
    <n v="905.57799999999997"/>
    <n v="905.57799999999997"/>
    <n v="905.57799999999997"/>
    <n v="0"/>
    <x v="1"/>
    <n v="0"/>
    <n v="0"/>
    <n v="19"/>
    <n v="67"/>
    <n v="0"/>
    <n v="149.63"/>
    <n v="230.03"/>
    <m/>
    <n v="54.203801879475932"/>
    <n v="282.91739971702214"/>
    <n v="0"/>
    <n v="135501.63613999999"/>
    <n v="208310.10733999999"/>
    <n v="0"/>
    <n v="49085.770498412057"/>
    <n v="256203.77300094147"/>
  </r>
  <r>
    <s v="Sistema de Compensação"/>
    <x v="1"/>
    <x v="2"/>
    <x v="0"/>
    <x v="0"/>
    <x v="0"/>
    <x v="0"/>
    <x v="0"/>
    <x v="9"/>
    <n v="0"/>
    <n v="0"/>
    <n v="-1E-3"/>
    <n v="-1E-3"/>
    <n v="-1E-3"/>
    <n v="-1E-3"/>
    <n v="0"/>
    <x v="1"/>
    <n v="0"/>
    <n v="0"/>
    <n v="19"/>
    <n v="67"/>
    <n v="0"/>
    <n v="149.63"/>
    <n v="230.03"/>
    <m/>
    <n v="54.203801879475932"/>
    <n v="282.91739971702214"/>
    <n v="0"/>
    <n v="-0.14962999999999999"/>
    <n v="-0.23003000000000001"/>
    <n v="0"/>
    <n v="-5.4203801879475932E-2"/>
    <n v="-0.28291739971702212"/>
  </r>
  <r>
    <s v="Regular"/>
    <x v="1"/>
    <x v="2"/>
    <x v="0"/>
    <x v="0"/>
    <x v="0"/>
    <x v="0"/>
    <x v="0"/>
    <x v="9"/>
    <n v="0"/>
    <n v="0"/>
    <n v="127.48"/>
    <n v="127.48"/>
    <n v="0"/>
    <n v="0"/>
    <n v="0"/>
    <x v="0"/>
    <n v="0"/>
    <n v="0"/>
    <n v="19"/>
    <n v="0"/>
    <n v="0"/>
    <n v="149.63"/>
    <n v="0"/>
    <m/>
    <n v="54.203801879475932"/>
    <m/>
    <n v="0"/>
    <n v="19074.832399999999"/>
    <n v="0"/>
    <n v="0"/>
    <n v="6909.9006635955921"/>
    <n v="0"/>
  </r>
  <r>
    <s v="Regular"/>
    <x v="1"/>
    <x v="2"/>
    <x v="0"/>
    <x v="0"/>
    <x v="0"/>
    <x v="0"/>
    <x v="0"/>
    <x v="10"/>
    <n v="0"/>
    <n v="0"/>
    <n v="24012.271000000001"/>
    <n v="24012.271000000001"/>
    <n v="24012.271000000001"/>
    <n v="24012.271000000001"/>
    <n v="0"/>
    <x v="1"/>
    <n v="0"/>
    <n v="0"/>
    <n v="19"/>
    <n v="67"/>
    <n v="0"/>
    <n v="149.63"/>
    <n v="230.03"/>
    <m/>
    <n v="54.203801879475932"/>
    <n v="282.91739971702214"/>
    <n v="0"/>
    <n v="3592956.1097300001"/>
    <n v="5523542.6981300004"/>
    <n v="0"/>
    <n v="1301556.3799602855"/>
    <n v="6793489.2726204591"/>
  </r>
  <r>
    <s v="Refaturamento - Regular"/>
    <x v="1"/>
    <x v="2"/>
    <x v="0"/>
    <x v="0"/>
    <x v="0"/>
    <x v="0"/>
    <x v="0"/>
    <x v="10"/>
    <n v="0"/>
    <n v="0"/>
    <n v="-39.322000000000003"/>
    <n v="-39.322000000000003"/>
    <n v="-39.322000000000003"/>
    <n v="-39.322000000000003"/>
    <n v="0"/>
    <x v="1"/>
    <n v="0"/>
    <n v="0"/>
    <n v="19"/>
    <n v="67"/>
    <n v="0"/>
    <n v="149.63"/>
    <n v="230.03"/>
    <m/>
    <n v="54.203801879475932"/>
    <n v="282.91739971702214"/>
    <n v="0"/>
    <n v="-5883.7508600000001"/>
    <n v="-9045.2396600000011"/>
    <n v="0"/>
    <n v="-2131.4018975047529"/>
    <n v="-11124.877991672745"/>
  </r>
  <r>
    <s v="Sistema Isolado - Regular"/>
    <x v="1"/>
    <x v="2"/>
    <x v="0"/>
    <x v="0"/>
    <x v="0"/>
    <x v="0"/>
    <x v="0"/>
    <x v="10"/>
    <n v="0"/>
    <n v="0"/>
    <n v="1914.962"/>
    <n v="1914.962"/>
    <n v="1914.962"/>
    <n v="1914.962"/>
    <n v="0"/>
    <x v="1"/>
    <n v="0"/>
    <n v="0"/>
    <n v="19"/>
    <n v="67"/>
    <n v="0"/>
    <n v="149.63"/>
    <n v="230.03"/>
    <m/>
    <n v="54.203801879475932"/>
    <n v="282.91739971702214"/>
    <n v="0"/>
    <n v="286535.76406000002"/>
    <n v="440498.70886000001"/>
    <n v="0"/>
    <n v="103798.22085472499"/>
    <n v="541776.06959690817"/>
  </r>
  <r>
    <s v="Sistema de Compensação"/>
    <x v="1"/>
    <x v="2"/>
    <x v="0"/>
    <x v="0"/>
    <x v="0"/>
    <x v="0"/>
    <x v="0"/>
    <x v="10"/>
    <n v="0"/>
    <n v="0"/>
    <n v="910.15099999999995"/>
    <n v="910.15099999999995"/>
    <n v="910.15099999999995"/>
    <n v="910.15099999999995"/>
    <n v="0"/>
    <x v="1"/>
    <n v="0"/>
    <n v="0"/>
    <n v="19"/>
    <n v="67"/>
    <n v="0"/>
    <n v="149.63"/>
    <n v="230.03"/>
    <m/>
    <n v="54.203801879475932"/>
    <n v="282.91739971702214"/>
    <n v="0"/>
    <n v="136185.89413"/>
    <n v="209362.03453"/>
    <n v="0"/>
    <n v="49333.644484406897"/>
    <n v="257497.5542698474"/>
  </r>
  <r>
    <s v="Regular"/>
    <x v="1"/>
    <x v="2"/>
    <x v="0"/>
    <x v="0"/>
    <x v="0"/>
    <x v="0"/>
    <x v="0"/>
    <x v="10"/>
    <n v="0"/>
    <n v="0"/>
    <n v="128.90899999999999"/>
    <n v="128.90899999999999"/>
    <n v="0"/>
    <n v="0"/>
    <n v="0"/>
    <x v="0"/>
    <n v="0"/>
    <n v="0"/>
    <n v="19"/>
    <n v="0"/>
    <n v="0"/>
    <n v="149.63"/>
    <n v="0"/>
    <m/>
    <n v="54.203801879475932"/>
    <m/>
    <n v="0"/>
    <n v="19288.65367"/>
    <n v="0"/>
    <n v="0"/>
    <n v="6987.3578964813623"/>
    <n v="0"/>
  </r>
  <r>
    <s v="PROJETADO"/>
    <x v="1"/>
    <x v="2"/>
    <x v="0"/>
    <x v="0"/>
    <x v="0"/>
    <x v="0"/>
    <x v="0"/>
    <x v="11"/>
    <n v="0"/>
    <n v="0"/>
    <n v="24012.271000000001"/>
    <n v="24012.271000000001"/>
    <n v="24012.271000000001"/>
    <n v="24012.271000000001"/>
    <n v="0"/>
    <x v="1"/>
    <n v="0"/>
    <n v="0"/>
    <n v="19"/>
    <n v="67"/>
    <n v="0"/>
    <n v="149.63"/>
    <n v="230.03"/>
    <m/>
    <n v="54.203801879475932"/>
    <n v="282.91739971702214"/>
    <n v="0"/>
    <n v="3592956.1097300001"/>
    <n v="5523542.6981300004"/>
    <n v="0"/>
    <n v="1301556.3799602855"/>
    <n v="6793489.2726204591"/>
  </r>
  <r>
    <s v="PROJETADO"/>
    <x v="1"/>
    <x v="2"/>
    <x v="0"/>
    <x v="0"/>
    <x v="0"/>
    <x v="0"/>
    <x v="0"/>
    <x v="11"/>
    <n v="0"/>
    <n v="0"/>
    <n v="-39.322000000000003"/>
    <n v="-39.322000000000003"/>
    <n v="-39.322000000000003"/>
    <n v="-39.322000000000003"/>
    <n v="0"/>
    <x v="1"/>
    <n v="0"/>
    <n v="0"/>
    <n v="19"/>
    <n v="67"/>
    <n v="0"/>
    <n v="149.63"/>
    <n v="230.03"/>
    <m/>
    <n v="54.203801879475932"/>
    <n v="282.91739971702214"/>
    <n v="0"/>
    <n v="-5883.7508600000001"/>
    <n v="-9045.2396600000011"/>
    <n v="0"/>
    <n v="-2131.4018975047529"/>
    <n v="-11124.877991672745"/>
  </r>
  <r>
    <s v="PROJETADO"/>
    <x v="1"/>
    <x v="2"/>
    <x v="0"/>
    <x v="0"/>
    <x v="0"/>
    <x v="0"/>
    <x v="0"/>
    <x v="11"/>
    <n v="0"/>
    <n v="0"/>
    <n v="1914.962"/>
    <n v="1914.962"/>
    <n v="1914.962"/>
    <n v="1914.962"/>
    <n v="0"/>
    <x v="1"/>
    <n v="0"/>
    <n v="0"/>
    <n v="19"/>
    <n v="67"/>
    <n v="0"/>
    <n v="149.63"/>
    <n v="230.03"/>
    <m/>
    <n v="54.203801879475932"/>
    <n v="282.91739971702214"/>
    <n v="0"/>
    <n v="286535.76406000002"/>
    <n v="440498.70886000001"/>
    <n v="0"/>
    <n v="103798.22085472499"/>
    <n v="541776.06959690817"/>
  </r>
  <r>
    <s v="PROJETADO"/>
    <x v="1"/>
    <x v="2"/>
    <x v="0"/>
    <x v="0"/>
    <x v="0"/>
    <x v="0"/>
    <x v="0"/>
    <x v="11"/>
    <n v="0"/>
    <n v="0"/>
    <n v="910.15099999999995"/>
    <n v="910.15099999999995"/>
    <n v="910.15099999999995"/>
    <n v="910.15099999999995"/>
    <n v="0"/>
    <x v="1"/>
    <n v="0"/>
    <n v="0"/>
    <n v="19"/>
    <n v="67"/>
    <n v="0"/>
    <n v="149.63"/>
    <n v="230.03"/>
    <m/>
    <n v="54.203801879475932"/>
    <n v="282.91739971702214"/>
    <n v="0"/>
    <n v="136185.89413"/>
    <n v="209362.03453"/>
    <n v="0"/>
    <n v="49333.644484406897"/>
    <n v="257497.5542698474"/>
  </r>
  <r>
    <s v="PROJETADO"/>
    <x v="1"/>
    <x v="2"/>
    <x v="0"/>
    <x v="0"/>
    <x v="0"/>
    <x v="0"/>
    <x v="0"/>
    <x v="11"/>
    <n v="0"/>
    <n v="0"/>
    <n v="128.90899999999999"/>
    <n v="128.90899999999999"/>
    <n v="0"/>
    <n v="0"/>
    <n v="0"/>
    <x v="0"/>
    <n v="0"/>
    <n v="0"/>
    <n v="19"/>
    <n v="0"/>
    <n v="0"/>
    <n v="149.63"/>
    <n v="0"/>
    <m/>
    <n v="54.203801879475932"/>
    <m/>
    <n v="0"/>
    <n v="19288.65367"/>
    <n v="0"/>
    <n v="0"/>
    <n v="6987.3578964813623"/>
    <n v="0"/>
  </r>
  <r>
    <s v="Regular"/>
    <x v="1"/>
    <x v="2"/>
    <x v="0"/>
    <x v="0"/>
    <x v="0"/>
    <x v="0"/>
    <x v="1"/>
    <x v="0"/>
    <n v="138718"/>
    <n v="138718"/>
    <n v="0"/>
    <n v="0"/>
    <n v="0"/>
    <n v="0"/>
    <n v="844"/>
    <x v="1"/>
    <n v="0"/>
    <n v="23"/>
    <n v="0"/>
    <n v="0"/>
    <n v="28.57"/>
    <n v="0"/>
    <n v="0"/>
    <n v="31.93064187172984"/>
    <m/>
    <m/>
    <n v="3963173.2600000002"/>
    <n v="0"/>
    <n v="0"/>
    <n v="4429354.7791626202"/>
    <n v="0"/>
    <n v="0"/>
  </r>
  <r>
    <s v="Refaturamento - Regular"/>
    <x v="1"/>
    <x v="2"/>
    <x v="0"/>
    <x v="0"/>
    <x v="0"/>
    <x v="0"/>
    <x v="1"/>
    <x v="0"/>
    <n v="-231"/>
    <n v="-231"/>
    <n v="0"/>
    <n v="0"/>
    <n v="0"/>
    <n v="0"/>
    <n v="-1"/>
    <x v="1"/>
    <n v="0"/>
    <n v="23"/>
    <n v="0"/>
    <n v="0"/>
    <n v="28.57"/>
    <n v="0"/>
    <n v="0"/>
    <n v="31.93064187172984"/>
    <m/>
    <m/>
    <n v="-6599.67"/>
    <n v="0"/>
    <n v="0"/>
    <n v="-7375.9782723695935"/>
    <n v="0"/>
    <n v="0"/>
  </r>
  <r>
    <s v="Sistema Isolado - Regular"/>
    <x v="1"/>
    <x v="2"/>
    <x v="0"/>
    <x v="0"/>
    <x v="0"/>
    <x v="0"/>
    <x v="1"/>
    <x v="0"/>
    <n v="9121"/>
    <n v="9121"/>
    <n v="0"/>
    <n v="0"/>
    <n v="0"/>
    <n v="0"/>
    <n v="110"/>
    <x v="1"/>
    <n v="0"/>
    <n v="23"/>
    <n v="0"/>
    <n v="0"/>
    <n v="28.57"/>
    <n v="0"/>
    <n v="0"/>
    <n v="31.93064187172984"/>
    <m/>
    <m/>
    <n v="260586.97"/>
    <n v="0"/>
    <n v="0"/>
    <n v="291239.38451204787"/>
    <n v="0"/>
    <n v="0"/>
  </r>
  <r>
    <s v="Sistema de Compensação"/>
    <x v="1"/>
    <x v="2"/>
    <x v="0"/>
    <x v="0"/>
    <x v="0"/>
    <x v="0"/>
    <x v="1"/>
    <x v="0"/>
    <n v="5781"/>
    <n v="5781"/>
    <n v="0"/>
    <n v="0"/>
    <n v="0"/>
    <n v="0"/>
    <n v="29"/>
    <x v="1"/>
    <n v="0"/>
    <n v="23"/>
    <n v="0"/>
    <n v="0"/>
    <n v="28.57"/>
    <n v="0"/>
    <n v="0"/>
    <n v="31.93064187172984"/>
    <m/>
    <m/>
    <n v="165163.17000000001"/>
    <n v="0"/>
    <n v="0"/>
    <n v="184591.0406604702"/>
    <n v="0"/>
    <n v="0"/>
  </r>
  <r>
    <s v="Regular"/>
    <x v="1"/>
    <x v="2"/>
    <x v="0"/>
    <x v="0"/>
    <x v="0"/>
    <x v="0"/>
    <x v="1"/>
    <x v="0"/>
    <n v="295"/>
    <n v="295"/>
    <n v="0"/>
    <n v="0"/>
    <n v="0"/>
    <n v="0"/>
    <n v="1"/>
    <x v="0"/>
    <n v="0"/>
    <n v="23"/>
    <n v="0"/>
    <n v="0"/>
    <n v="28.57"/>
    <n v="0"/>
    <n v="0"/>
    <n v="31.93064187172984"/>
    <m/>
    <m/>
    <n v="8428.15"/>
    <n v="0"/>
    <n v="0"/>
    <n v="9419.5393521603037"/>
    <n v="0"/>
    <n v="0"/>
  </r>
  <r>
    <s v="Regular"/>
    <x v="1"/>
    <x v="2"/>
    <x v="0"/>
    <x v="0"/>
    <x v="0"/>
    <x v="0"/>
    <x v="1"/>
    <x v="1"/>
    <n v="135147"/>
    <n v="135147"/>
    <n v="0"/>
    <n v="0"/>
    <n v="0"/>
    <n v="0"/>
    <n v="847"/>
    <x v="1"/>
    <n v="0"/>
    <n v="23"/>
    <n v="0"/>
    <n v="0"/>
    <n v="28.57"/>
    <n v="0"/>
    <n v="0"/>
    <n v="31.93064187172984"/>
    <m/>
    <m/>
    <n v="3861149.79"/>
    <n v="0"/>
    <n v="0"/>
    <n v="4315330.4570386726"/>
    <n v="0"/>
    <n v="0"/>
  </r>
  <r>
    <s v="Refaturamento - Regular"/>
    <x v="1"/>
    <x v="2"/>
    <x v="0"/>
    <x v="0"/>
    <x v="0"/>
    <x v="0"/>
    <x v="1"/>
    <x v="1"/>
    <n v="-6756"/>
    <n v="-6756"/>
    <n v="0"/>
    <n v="0"/>
    <n v="0"/>
    <n v="0"/>
    <n v="0"/>
    <x v="1"/>
    <n v="0"/>
    <n v="23"/>
    <n v="0"/>
    <n v="0"/>
    <n v="28.57"/>
    <n v="0"/>
    <n v="0"/>
    <n v="31.93064187172984"/>
    <m/>
    <m/>
    <n v="-193018.92"/>
    <n v="0"/>
    <n v="0"/>
    <n v="-215723.41648540681"/>
    <n v="0"/>
    <n v="0"/>
  </r>
  <r>
    <s v="Sistema Isolado - Regular"/>
    <x v="1"/>
    <x v="2"/>
    <x v="0"/>
    <x v="0"/>
    <x v="0"/>
    <x v="0"/>
    <x v="1"/>
    <x v="1"/>
    <n v="9253"/>
    <n v="9253"/>
    <n v="0"/>
    <n v="0"/>
    <n v="0"/>
    <n v="0"/>
    <n v="111"/>
    <x v="1"/>
    <n v="0"/>
    <n v="23"/>
    <n v="0"/>
    <n v="0"/>
    <n v="28.57"/>
    <n v="0"/>
    <n v="0"/>
    <n v="31.93064187172984"/>
    <m/>
    <m/>
    <n v="264358.21000000002"/>
    <n v="0"/>
    <n v="0"/>
    <n v="295454.22923911619"/>
    <n v="0"/>
    <n v="0"/>
  </r>
  <r>
    <s v="Sistema de Compensação"/>
    <x v="1"/>
    <x v="2"/>
    <x v="0"/>
    <x v="0"/>
    <x v="0"/>
    <x v="0"/>
    <x v="1"/>
    <x v="1"/>
    <n v="6097"/>
    <n v="6097"/>
    <n v="0"/>
    <n v="0"/>
    <n v="0"/>
    <n v="0"/>
    <n v="32"/>
    <x v="1"/>
    <n v="0"/>
    <n v="23"/>
    <n v="0"/>
    <n v="0"/>
    <n v="28.57"/>
    <n v="0"/>
    <n v="0"/>
    <n v="31.93064187172984"/>
    <m/>
    <m/>
    <n v="174191.29"/>
    <n v="0"/>
    <n v="0"/>
    <n v="194681.12349193683"/>
    <n v="0"/>
    <n v="0"/>
  </r>
  <r>
    <s v="Regular"/>
    <x v="1"/>
    <x v="2"/>
    <x v="0"/>
    <x v="0"/>
    <x v="0"/>
    <x v="0"/>
    <x v="1"/>
    <x v="1"/>
    <n v="2165"/>
    <n v="2165"/>
    <n v="0"/>
    <n v="0"/>
    <n v="0"/>
    <n v="0"/>
    <n v="3"/>
    <x v="0"/>
    <n v="0"/>
    <n v="23"/>
    <n v="0"/>
    <n v="0"/>
    <n v="28.57"/>
    <n v="0"/>
    <n v="0"/>
    <n v="31.93064187172984"/>
    <m/>
    <m/>
    <n v="61854.05"/>
    <n v="0"/>
    <n v="0"/>
    <n v="69129.839652295108"/>
    <n v="0"/>
    <n v="0"/>
  </r>
  <r>
    <s v="Regular"/>
    <x v="1"/>
    <x v="2"/>
    <x v="0"/>
    <x v="0"/>
    <x v="0"/>
    <x v="0"/>
    <x v="1"/>
    <x v="2"/>
    <n v="133860"/>
    <n v="133860"/>
    <n v="0"/>
    <n v="0"/>
    <n v="0"/>
    <n v="0"/>
    <n v="846"/>
    <x v="1"/>
    <n v="0"/>
    <n v="23"/>
    <n v="0"/>
    <n v="0"/>
    <n v="28.57"/>
    <n v="0"/>
    <n v="0"/>
    <n v="31.93064187172984"/>
    <m/>
    <m/>
    <n v="3824380.2"/>
    <n v="0"/>
    <n v="0"/>
    <n v="4274235.720949756"/>
    <n v="0"/>
    <n v="0"/>
  </r>
  <r>
    <s v="Refaturamento - Regular"/>
    <x v="1"/>
    <x v="2"/>
    <x v="0"/>
    <x v="0"/>
    <x v="0"/>
    <x v="0"/>
    <x v="1"/>
    <x v="2"/>
    <n v="-609"/>
    <n v="-609"/>
    <n v="0"/>
    <n v="0"/>
    <n v="0"/>
    <n v="0"/>
    <n v="0"/>
    <x v="1"/>
    <n v="0"/>
    <n v="23"/>
    <n v="0"/>
    <n v="0"/>
    <n v="28.57"/>
    <n v="0"/>
    <n v="0"/>
    <n v="31.93064187172984"/>
    <m/>
    <m/>
    <n v="-17399.13"/>
    <n v="0"/>
    <n v="0"/>
    <n v="-19445.760899883473"/>
    <n v="0"/>
    <n v="0"/>
  </r>
  <r>
    <s v="Sistema Isolado - Regular"/>
    <x v="1"/>
    <x v="2"/>
    <x v="0"/>
    <x v="0"/>
    <x v="0"/>
    <x v="0"/>
    <x v="1"/>
    <x v="2"/>
    <n v="9132"/>
    <n v="9132"/>
    <n v="0"/>
    <n v="0"/>
    <n v="0"/>
    <n v="0"/>
    <n v="109"/>
    <x v="1"/>
    <n v="0"/>
    <n v="23"/>
    <n v="0"/>
    <n v="0"/>
    <n v="28.57"/>
    <n v="0"/>
    <n v="0"/>
    <n v="31.93064187172984"/>
    <m/>
    <m/>
    <n v="260901.24"/>
    <n v="0"/>
    <n v="0"/>
    <n v="291590.62157263688"/>
    <n v="0"/>
    <n v="0"/>
  </r>
  <r>
    <s v="Sistema Isolado - Refaturamento"/>
    <x v="1"/>
    <x v="2"/>
    <x v="0"/>
    <x v="0"/>
    <x v="0"/>
    <x v="0"/>
    <x v="1"/>
    <x v="2"/>
    <n v="-396"/>
    <n v="-396"/>
    <n v="0"/>
    <n v="0"/>
    <n v="0"/>
    <n v="0"/>
    <n v="0"/>
    <x v="1"/>
    <n v="0"/>
    <n v="23"/>
    <n v="0"/>
    <n v="0"/>
    <n v="28.57"/>
    <n v="0"/>
    <n v="0"/>
    <n v="31.93064187172984"/>
    <m/>
    <m/>
    <n v="-11313.72"/>
    <n v="0"/>
    <n v="0"/>
    <n v="-12644.534181205017"/>
    <n v="0"/>
    <n v="0"/>
  </r>
  <r>
    <s v="Sistema de Compensação"/>
    <x v="1"/>
    <x v="2"/>
    <x v="0"/>
    <x v="0"/>
    <x v="0"/>
    <x v="0"/>
    <x v="1"/>
    <x v="2"/>
    <n v="6196"/>
    <n v="6196"/>
    <n v="0"/>
    <n v="0"/>
    <n v="0"/>
    <n v="0"/>
    <n v="32"/>
    <x v="1"/>
    <n v="0"/>
    <n v="23"/>
    <n v="0"/>
    <n v="0"/>
    <n v="28.57"/>
    <n v="0"/>
    <n v="0"/>
    <n v="31.93064187172984"/>
    <m/>
    <m/>
    <n v="177019.72"/>
    <n v="0"/>
    <n v="0"/>
    <n v="197842.2570372381"/>
    <n v="0"/>
    <n v="0"/>
  </r>
  <r>
    <s v="Regular"/>
    <x v="1"/>
    <x v="2"/>
    <x v="0"/>
    <x v="0"/>
    <x v="0"/>
    <x v="0"/>
    <x v="1"/>
    <x v="2"/>
    <n v="575"/>
    <n v="575"/>
    <n v="0"/>
    <n v="0"/>
    <n v="0"/>
    <n v="0"/>
    <n v="2"/>
    <x v="0"/>
    <n v="0"/>
    <n v="23"/>
    <n v="0"/>
    <n v="0"/>
    <n v="28.57"/>
    <n v="0"/>
    <n v="0"/>
    <n v="31.93064187172984"/>
    <m/>
    <m/>
    <n v="16427.75"/>
    <n v="0"/>
    <n v="0"/>
    <n v="18360.119076244657"/>
    <n v="0"/>
    <n v="0"/>
  </r>
  <r>
    <s v="Regular"/>
    <x v="1"/>
    <x v="2"/>
    <x v="0"/>
    <x v="0"/>
    <x v="0"/>
    <x v="0"/>
    <x v="1"/>
    <x v="3"/>
    <n v="133057"/>
    <n v="133057"/>
    <n v="0"/>
    <n v="0"/>
    <n v="0"/>
    <n v="0"/>
    <n v="847"/>
    <x v="1"/>
    <n v="0"/>
    <n v="23"/>
    <n v="0"/>
    <n v="0"/>
    <n v="28.57"/>
    <n v="0"/>
    <n v="0"/>
    <n v="31.93064187172984"/>
    <m/>
    <m/>
    <n v="3801438.49"/>
    <n v="0"/>
    <n v="0"/>
    <n v="4248595.415526757"/>
    <n v="0"/>
    <n v="0"/>
  </r>
  <r>
    <s v="Refaturamento - Regular"/>
    <x v="1"/>
    <x v="2"/>
    <x v="0"/>
    <x v="0"/>
    <x v="0"/>
    <x v="0"/>
    <x v="1"/>
    <x v="3"/>
    <n v="-384"/>
    <n v="-384"/>
    <n v="0"/>
    <n v="0"/>
    <n v="0"/>
    <n v="0"/>
    <n v="0"/>
    <x v="1"/>
    <n v="0"/>
    <n v="23"/>
    <n v="0"/>
    <n v="0"/>
    <n v="28.57"/>
    <n v="0"/>
    <n v="0"/>
    <n v="31.93064187172984"/>
    <m/>
    <m/>
    <n v="-10970.880000000001"/>
    <n v="0"/>
    <n v="0"/>
    <n v="-12261.366478744258"/>
    <n v="0"/>
    <n v="0"/>
  </r>
  <r>
    <s v="Sistema Isolado - Regular"/>
    <x v="1"/>
    <x v="2"/>
    <x v="0"/>
    <x v="0"/>
    <x v="0"/>
    <x v="0"/>
    <x v="1"/>
    <x v="3"/>
    <n v="8936"/>
    <n v="8936"/>
    <n v="0"/>
    <n v="0"/>
    <n v="0"/>
    <n v="0"/>
    <n v="110"/>
    <x v="1"/>
    <n v="0"/>
    <n v="23"/>
    <n v="0"/>
    <n v="0"/>
    <n v="28.57"/>
    <n v="0"/>
    <n v="0"/>
    <n v="31.93064187172984"/>
    <m/>
    <m/>
    <n v="255301.52"/>
    <n v="0"/>
    <n v="0"/>
    <n v="285332.21576577786"/>
    <n v="0"/>
    <n v="0"/>
  </r>
  <r>
    <s v="Sistema Isolado - Refaturamento"/>
    <x v="1"/>
    <x v="2"/>
    <x v="0"/>
    <x v="0"/>
    <x v="0"/>
    <x v="0"/>
    <x v="1"/>
    <x v="3"/>
    <n v="-232"/>
    <n v="-232"/>
    <n v="0"/>
    <n v="0"/>
    <n v="0"/>
    <n v="0"/>
    <n v="0"/>
    <x v="1"/>
    <n v="0"/>
    <n v="23"/>
    <n v="0"/>
    <n v="0"/>
    <n v="28.57"/>
    <n v="0"/>
    <n v="0"/>
    <n v="31.93064187172984"/>
    <m/>
    <m/>
    <n v="-6628.24"/>
    <n v="0"/>
    <n v="0"/>
    <n v="-7407.9089142413231"/>
    <n v="0"/>
    <n v="0"/>
  </r>
  <r>
    <s v="Sistema de Compensação"/>
    <x v="1"/>
    <x v="2"/>
    <x v="0"/>
    <x v="0"/>
    <x v="0"/>
    <x v="0"/>
    <x v="1"/>
    <x v="3"/>
    <n v="7621"/>
    <n v="7621"/>
    <n v="0"/>
    <n v="0"/>
    <n v="0"/>
    <n v="0"/>
    <n v="34"/>
    <x v="1"/>
    <n v="0"/>
    <n v="23"/>
    <n v="0"/>
    <n v="0"/>
    <n v="28.57"/>
    <n v="0"/>
    <n v="0"/>
    <n v="31.93064187172984"/>
    <m/>
    <m/>
    <n v="217731.97"/>
    <n v="0"/>
    <n v="0"/>
    <n v="243343.4217044531"/>
    <n v="0"/>
    <n v="0"/>
  </r>
  <r>
    <s v="Regular"/>
    <x v="1"/>
    <x v="2"/>
    <x v="0"/>
    <x v="0"/>
    <x v="0"/>
    <x v="0"/>
    <x v="1"/>
    <x v="3"/>
    <n v="575"/>
    <n v="575"/>
    <n v="0"/>
    <n v="0"/>
    <n v="0"/>
    <n v="0"/>
    <n v="2"/>
    <x v="0"/>
    <n v="0"/>
    <n v="23"/>
    <n v="0"/>
    <n v="0"/>
    <n v="28.57"/>
    <n v="0"/>
    <n v="0"/>
    <n v="31.93064187172984"/>
    <m/>
    <m/>
    <n v="16427.75"/>
    <n v="0"/>
    <n v="0"/>
    <n v="18360.119076244657"/>
    <n v="0"/>
    <n v="0"/>
  </r>
  <r>
    <s v="Regular"/>
    <x v="1"/>
    <x v="2"/>
    <x v="0"/>
    <x v="0"/>
    <x v="0"/>
    <x v="0"/>
    <x v="1"/>
    <x v="4"/>
    <n v="133333"/>
    <n v="133333"/>
    <n v="0"/>
    <n v="0"/>
    <n v="0"/>
    <n v="0"/>
    <n v="848"/>
    <x v="1"/>
    <n v="0"/>
    <n v="23"/>
    <n v="0"/>
    <n v="0"/>
    <n v="28.57"/>
    <n v="0"/>
    <n v="0"/>
    <n v="31.93064187172984"/>
    <m/>
    <m/>
    <n v="3809323.81"/>
    <n v="0"/>
    <n v="0"/>
    <n v="4257408.272683355"/>
    <n v="0"/>
    <n v="0"/>
  </r>
  <r>
    <s v="Refaturamento - Regular"/>
    <x v="1"/>
    <x v="2"/>
    <x v="0"/>
    <x v="0"/>
    <x v="0"/>
    <x v="0"/>
    <x v="1"/>
    <x v="4"/>
    <n v="-1044"/>
    <n v="-1044"/>
    <n v="0"/>
    <n v="0"/>
    <n v="0"/>
    <n v="0"/>
    <n v="0"/>
    <x v="1"/>
    <n v="0"/>
    <n v="23"/>
    <n v="0"/>
    <n v="0"/>
    <n v="28.57"/>
    <n v="0"/>
    <n v="0"/>
    <n v="31.93064187172984"/>
    <m/>
    <m/>
    <n v="-29827.08"/>
    <n v="0"/>
    <n v="0"/>
    <n v="-33335.59011408595"/>
    <n v="0"/>
    <n v="0"/>
  </r>
  <r>
    <s v="Sistema Isolado - Regular"/>
    <x v="1"/>
    <x v="2"/>
    <x v="0"/>
    <x v="0"/>
    <x v="0"/>
    <x v="0"/>
    <x v="1"/>
    <x v="4"/>
    <n v="9060"/>
    <n v="9060"/>
    <n v="0"/>
    <n v="0"/>
    <n v="0"/>
    <n v="0"/>
    <n v="109"/>
    <x v="1"/>
    <n v="0"/>
    <n v="23"/>
    <n v="0"/>
    <n v="0"/>
    <n v="28.57"/>
    <n v="0"/>
    <n v="0"/>
    <n v="31.93064187172984"/>
    <m/>
    <m/>
    <n v="258844.2"/>
    <n v="0"/>
    <n v="0"/>
    <n v="289291.61535787233"/>
    <n v="0"/>
    <n v="0"/>
  </r>
  <r>
    <s v="Sistema de Compensação"/>
    <x v="1"/>
    <x v="2"/>
    <x v="0"/>
    <x v="0"/>
    <x v="0"/>
    <x v="0"/>
    <x v="1"/>
    <x v="4"/>
    <n v="7700"/>
    <n v="7700"/>
    <n v="0"/>
    <n v="0"/>
    <n v="0"/>
    <n v="0"/>
    <n v="34"/>
    <x v="1"/>
    <n v="0"/>
    <n v="23"/>
    <n v="0"/>
    <n v="0"/>
    <n v="28.57"/>
    <n v="0"/>
    <n v="0"/>
    <n v="31.93064187172984"/>
    <m/>
    <m/>
    <n v="219989"/>
    <n v="0"/>
    <n v="0"/>
    <n v="245865.94241231977"/>
    <n v="0"/>
    <n v="0"/>
  </r>
  <r>
    <s v="Regular"/>
    <x v="1"/>
    <x v="2"/>
    <x v="0"/>
    <x v="0"/>
    <x v="0"/>
    <x v="0"/>
    <x v="1"/>
    <x v="4"/>
    <n v="575"/>
    <n v="575"/>
    <n v="0"/>
    <n v="0"/>
    <n v="0"/>
    <n v="0"/>
    <n v="2"/>
    <x v="0"/>
    <n v="0"/>
    <n v="23"/>
    <n v="0"/>
    <n v="0"/>
    <n v="28.57"/>
    <n v="0"/>
    <n v="0"/>
    <n v="31.93064187172984"/>
    <m/>
    <m/>
    <n v="16427.75"/>
    <n v="0"/>
    <n v="0"/>
    <n v="18360.119076244657"/>
    <n v="0"/>
    <n v="0"/>
  </r>
  <r>
    <s v="Regular"/>
    <x v="1"/>
    <x v="2"/>
    <x v="0"/>
    <x v="0"/>
    <x v="0"/>
    <x v="0"/>
    <x v="1"/>
    <x v="5"/>
    <n v="132153"/>
    <n v="132153"/>
    <n v="0"/>
    <n v="0"/>
    <n v="0"/>
    <n v="0"/>
    <n v="840"/>
    <x v="1"/>
    <n v="0"/>
    <n v="23"/>
    <n v="0"/>
    <n v="0"/>
    <n v="28.57"/>
    <n v="0"/>
    <n v="0"/>
    <n v="31.93064187172984"/>
    <m/>
    <m/>
    <n v="3775611.21"/>
    <n v="0"/>
    <n v="0"/>
    <n v="4219730.1152747134"/>
    <n v="0"/>
    <n v="0"/>
  </r>
  <r>
    <s v="Refaturamento - Regular"/>
    <x v="1"/>
    <x v="2"/>
    <x v="0"/>
    <x v="0"/>
    <x v="0"/>
    <x v="0"/>
    <x v="1"/>
    <x v="5"/>
    <n v="-3761"/>
    <n v="-3761"/>
    <n v="0"/>
    <n v="0"/>
    <n v="0"/>
    <n v="0"/>
    <n v="0"/>
    <x v="1"/>
    <n v="0"/>
    <n v="23"/>
    <n v="0"/>
    <n v="0"/>
    <n v="28.57"/>
    <n v="0"/>
    <n v="0"/>
    <n v="31.93064187172984"/>
    <m/>
    <m/>
    <n v="-107451.77"/>
    <n v="0"/>
    <n v="0"/>
    <n v="-120091.14407957593"/>
    <n v="0"/>
    <n v="0"/>
  </r>
  <r>
    <s v="Sistema Isolado - Regular"/>
    <x v="1"/>
    <x v="2"/>
    <x v="0"/>
    <x v="0"/>
    <x v="0"/>
    <x v="0"/>
    <x v="1"/>
    <x v="5"/>
    <n v="8227"/>
    <n v="8227"/>
    <n v="0"/>
    <n v="0"/>
    <n v="0"/>
    <n v="0"/>
    <n v="108"/>
    <x v="1"/>
    <n v="0"/>
    <n v="23"/>
    <n v="0"/>
    <n v="0"/>
    <n v="28.57"/>
    <n v="0"/>
    <n v="0"/>
    <n v="31.93064187172984"/>
    <m/>
    <m/>
    <n v="235045.39"/>
    <n v="0"/>
    <n v="0"/>
    <n v="262693.39067872142"/>
    <n v="0"/>
    <n v="0"/>
  </r>
  <r>
    <s v="Sistema de Compensação"/>
    <x v="1"/>
    <x v="2"/>
    <x v="0"/>
    <x v="0"/>
    <x v="0"/>
    <x v="0"/>
    <x v="1"/>
    <x v="5"/>
    <n v="7873"/>
    <n v="7873"/>
    <n v="0"/>
    <n v="0"/>
    <n v="0"/>
    <n v="0"/>
    <n v="37"/>
    <x v="1"/>
    <n v="0"/>
    <n v="23"/>
    <n v="0"/>
    <n v="0"/>
    <n v="28.57"/>
    <n v="0"/>
    <n v="0"/>
    <n v="31.93064187172984"/>
    <m/>
    <m/>
    <n v="224931.61000000002"/>
    <n v="0"/>
    <n v="0"/>
    <n v="251389.94345612903"/>
    <n v="0"/>
    <n v="0"/>
  </r>
  <r>
    <s v="Regular"/>
    <x v="1"/>
    <x v="2"/>
    <x v="0"/>
    <x v="0"/>
    <x v="0"/>
    <x v="0"/>
    <x v="1"/>
    <x v="5"/>
    <n v="575"/>
    <n v="575"/>
    <n v="0"/>
    <n v="0"/>
    <n v="0"/>
    <n v="0"/>
    <n v="2"/>
    <x v="0"/>
    <n v="0"/>
    <n v="23"/>
    <n v="0"/>
    <n v="0"/>
    <n v="28.57"/>
    <n v="0"/>
    <n v="0"/>
    <n v="31.93064187172984"/>
    <m/>
    <m/>
    <n v="16427.75"/>
    <n v="0"/>
    <n v="0"/>
    <n v="18360.119076244657"/>
    <n v="0"/>
    <n v="0"/>
  </r>
  <r>
    <s v="Regular"/>
    <x v="1"/>
    <x v="2"/>
    <x v="0"/>
    <x v="0"/>
    <x v="0"/>
    <x v="0"/>
    <x v="1"/>
    <x v="6"/>
    <n v="131251"/>
    <n v="131251"/>
    <n v="0"/>
    <n v="0"/>
    <n v="0"/>
    <n v="0"/>
    <n v="840"/>
    <x v="1"/>
    <n v="0"/>
    <n v="23"/>
    <n v="0"/>
    <n v="0"/>
    <n v="28.57"/>
    <n v="0"/>
    <n v="0"/>
    <n v="31.93064187172984"/>
    <m/>
    <m/>
    <n v="3749841.07"/>
    <n v="0"/>
    <n v="0"/>
    <n v="4190928.676306413"/>
    <n v="0"/>
    <n v="0"/>
  </r>
  <r>
    <s v="Refaturamento - Regular"/>
    <x v="1"/>
    <x v="2"/>
    <x v="0"/>
    <x v="0"/>
    <x v="0"/>
    <x v="0"/>
    <x v="1"/>
    <x v="6"/>
    <n v="-1464"/>
    <n v="-1464"/>
    <n v="0"/>
    <n v="0"/>
    <n v="0"/>
    <n v="0"/>
    <n v="0"/>
    <x v="1"/>
    <n v="0"/>
    <n v="23"/>
    <n v="0"/>
    <n v="0"/>
    <n v="28.57"/>
    <n v="0"/>
    <n v="0"/>
    <n v="31.93064187172984"/>
    <m/>
    <m/>
    <n v="-41826.480000000003"/>
    <n v="0"/>
    <n v="0"/>
    <n v="-46746.459700212486"/>
    <n v="0"/>
    <n v="0"/>
  </r>
  <r>
    <s v="Sistema Isolado - Regular"/>
    <x v="1"/>
    <x v="2"/>
    <x v="0"/>
    <x v="0"/>
    <x v="0"/>
    <x v="0"/>
    <x v="1"/>
    <x v="6"/>
    <n v="8698"/>
    <n v="8698"/>
    <n v="0"/>
    <n v="0"/>
    <n v="0"/>
    <n v="0"/>
    <n v="108"/>
    <x v="1"/>
    <n v="0"/>
    <n v="23"/>
    <n v="0"/>
    <n v="0"/>
    <n v="28.57"/>
    <n v="0"/>
    <n v="0"/>
    <n v="31.93064187172984"/>
    <m/>
    <m/>
    <n v="248501.86000000002"/>
    <n v="0"/>
    <n v="0"/>
    <n v="277732.72300030617"/>
    <n v="0"/>
    <n v="0"/>
  </r>
  <r>
    <s v="Sistema de Compensação"/>
    <x v="1"/>
    <x v="2"/>
    <x v="0"/>
    <x v="0"/>
    <x v="0"/>
    <x v="0"/>
    <x v="1"/>
    <x v="6"/>
    <n v="8672"/>
    <n v="8672"/>
    <n v="0"/>
    <n v="0"/>
    <n v="0"/>
    <n v="0"/>
    <n v="39"/>
    <x v="1"/>
    <n v="0"/>
    <n v="23"/>
    <n v="0"/>
    <n v="0"/>
    <n v="28.57"/>
    <n v="0"/>
    <n v="0"/>
    <n v="31.93064187172984"/>
    <m/>
    <m/>
    <n v="247759.04"/>
    <n v="0"/>
    <n v="0"/>
    <n v="276902.52631164115"/>
    <n v="0"/>
    <n v="0"/>
  </r>
  <r>
    <s v="Regular"/>
    <x v="1"/>
    <x v="2"/>
    <x v="0"/>
    <x v="0"/>
    <x v="0"/>
    <x v="0"/>
    <x v="1"/>
    <x v="6"/>
    <n v="575"/>
    <n v="575"/>
    <n v="0"/>
    <n v="0"/>
    <n v="0"/>
    <n v="0"/>
    <n v="2"/>
    <x v="0"/>
    <n v="0"/>
    <n v="23"/>
    <n v="0"/>
    <n v="0"/>
    <n v="28.57"/>
    <n v="0"/>
    <n v="0"/>
    <n v="31.93064187172984"/>
    <m/>
    <m/>
    <n v="16427.75"/>
    <n v="0"/>
    <n v="0"/>
    <n v="18360.119076244657"/>
    <n v="0"/>
    <n v="0"/>
  </r>
  <r>
    <s v="Regular"/>
    <x v="1"/>
    <x v="2"/>
    <x v="0"/>
    <x v="0"/>
    <x v="0"/>
    <x v="0"/>
    <x v="1"/>
    <x v="7"/>
    <n v="130281"/>
    <n v="130281"/>
    <n v="0"/>
    <n v="0"/>
    <n v="0"/>
    <n v="0"/>
    <n v="837"/>
    <x v="1"/>
    <n v="0"/>
    <n v="23"/>
    <n v="0"/>
    <n v="0"/>
    <n v="28.57"/>
    <n v="0"/>
    <n v="0"/>
    <n v="31.93064187172984"/>
    <m/>
    <m/>
    <n v="3722128.17"/>
    <n v="0"/>
    <n v="0"/>
    <n v="4159955.9536908353"/>
    <n v="0"/>
    <n v="0"/>
  </r>
  <r>
    <s v="Refaturamento - Regular"/>
    <x v="1"/>
    <x v="2"/>
    <x v="0"/>
    <x v="0"/>
    <x v="0"/>
    <x v="0"/>
    <x v="1"/>
    <x v="7"/>
    <n v="-540"/>
    <n v="-540"/>
    <n v="0"/>
    <n v="0"/>
    <n v="0"/>
    <n v="0"/>
    <n v="0"/>
    <x v="1"/>
    <n v="0"/>
    <n v="23"/>
    <n v="0"/>
    <n v="0"/>
    <n v="28.57"/>
    <n v="0"/>
    <n v="0"/>
    <n v="31.93064187172984"/>
    <m/>
    <m/>
    <n v="-15427.8"/>
    <n v="0"/>
    <n v="0"/>
    <n v="-17242.546610734113"/>
    <n v="0"/>
    <n v="0"/>
  </r>
  <r>
    <s v="Sistema Isolado - Regular"/>
    <x v="1"/>
    <x v="2"/>
    <x v="0"/>
    <x v="0"/>
    <x v="0"/>
    <x v="0"/>
    <x v="1"/>
    <x v="7"/>
    <n v="8950"/>
    <n v="8950"/>
    <n v="0"/>
    <n v="0"/>
    <n v="0"/>
    <n v="0"/>
    <n v="108"/>
    <x v="1"/>
    <n v="0"/>
    <n v="23"/>
    <n v="0"/>
    <n v="0"/>
    <n v="28.57"/>
    <n v="0"/>
    <n v="0"/>
    <n v="31.93064187172984"/>
    <m/>
    <m/>
    <n v="255701.5"/>
    <n v="0"/>
    <n v="0"/>
    <n v="285779.24475198204"/>
    <n v="0"/>
    <n v="0"/>
  </r>
  <r>
    <s v="Sistema Isolado - Refaturamento"/>
    <x v="1"/>
    <x v="2"/>
    <x v="0"/>
    <x v="0"/>
    <x v="0"/>
    <x v="0"/>
    <x v="1"/>
    <x v="7"/>
    <n v="-568"/>
    <n v="-568"/>
    <n v="0"/>
    <n v="0"/>
    <n v="0"/>
    <n v="0"/>
    <n v="0"/>
    <x v="1"/>
    <n v="0"/>
    <n v="23"/>
    <n v="0"/>
    <n v="0"/>
    <n v="28.57"/>
    <n v="0"/>
    <n v="0"/>
    <n v="31.93064187172984"/>
    <m/>
    <m/>
    <n v="-16227.76"/>
    <n v="0"/>
    <n v="0"/>
    <n v="-18136.604583142551"/>
    <n v="0"/>
    <n v="0"/>
  </r>
  <r>
    <s v="Sistema de Compensação"/>
    <x v="1"/>
    <x v="2"/>
    <x v="0"/>
    <x v="0"/>
    <x v="0"/>
    <x v="0"/>
    <x v="1"/>
    <x v="7"/>
    <n v="9028"/>
    <n v="9028"/>
    <n v="0"/>
    <n v="0"/>
    <n v="0"/>
    <n v="0"/>
    <n v="41"/>
    <x v="1"/>
    <n v="0"/>
    <n v="23"/>
    <n v="0"/>
    <n v="0"/>
    <n v="28.57"/>
    <n v="0"/>
    <n v="0"/>
    <n v="31.93064187172984"/>
    <m/>
    <m/>
    <n v="257929.96"/>
    <n v="0"/>
    <n v="0"/>
    <n v="288269.83481797698"/>
    <n v="0"/>
    <n v="0"/>
  </r>
  <r>
    <s v="Regular"/>
    <x v="1"/>
    <x v="2"/>
    <x v="0"/>
    <x v="0"/>
    <x v="0"/>
    <x v="0"/>
    <x v="1"/>
    <x v="7"/>
    <n v="575"/>
    <n v="575"/>
    <n v="0"/>
    <n v="0"/>
    <n v="0"/>
    <n v="0"/>
    <n v="2"/>
    <x v="0"/>
    <n v="0"/>
    <n v="23"/>
    <n v="0"/>
    <n v="0"/>
    <n v="28.57"/>
    <n v="0"/>
    <n v="0"/>
    <n v="31.93064187172984"/>
    <m/>
    <m/>
    <n v="16427.75"/>
    <n v="0"/>
    <n v="0"/>
    <n v="18360.119076244657"/>
    <n v="0"/>
    <n v="0"/>
  </r>
  <r>
    <s v="Regular"/>
    <x v="1"/>
    <x v="2"/>
    <x v="0"/>
    <x v="0"/>
    <x v="0"/>
    <x v="0"/>
    <x v="1"/>
    <x v="8"/>
    <n v="135022"/>
    <n v="135022"/>
    <n v="0"/>
    <n v="0"/>
    <n v="0"/>
    <n v="0"/>
    <n v="838"/>
    <x v="1"/>
    <n v="0"/>
    <n v="23"/>
    <n v="0"/>
    <n v="0"/>
    <n v="28.57"/>
    <n v="0"/>
    <n v="0"/>
    <n v="31.93064187172984"/>
    <m/>
    <m/>
    <n v="3857578.54"/>
    <n v="0"/>
    <n v="0"/>
    <n v="4311339.1268047066"/>
    <n v="0"/>
    <n v="0"/>
  </r>
  <r>
    <s v="Refaturamento - Regular"/>
    <x v="1"/>
    <x v="2"/>
    <x v="0"/>
    <x v="0"/>
    <x v="0"/>
    <x v="0"/>
    <x v="1"/>
    <x v="8"/>
    <n v="-271"/>
    <n v="-271"/>
    <n v="0"/>
    <n v="0"/>
    <n v="0"/>
    <n v="0"/>
    <n v="0"/>
    <x v="1"/>
    <n v="0"/>
    <n v="23"/>
    <n v="0"/>
    <n v="0"/>
    <n v="28.57"/>
    <n v="0"/>
    <n v="0"/>
    <n v="31.93064187172984"/>
    <m/>
    <m/>
    <n v="-7742.47"/>
    <n v="0"/>
    <n v="0"/>
    <n v="-8653.203947238786"/>
    <n v="0"/>
    <n v="0"/>
  </r>
  <r>
    <s v="Sistema Isolado - Regular"/>
    <x v="1"/>
    <x v="2"/>
    <x v="0"/>
    <x v="0"/>
    <x v="0"/>
    <x v="0"/>
    <x v="1"/>
    <x v="8"/>
    <n v="9665"/>
    <n v="9665"/>
    <n v="0"/>
    <n v="0"/>
    <n v="0"/>
    <n v="0"/>
    <n v="110"/>
    <x v="1"/>
    <n v="0"/>
    <n v="23"/>
    <n v="0"/>
    <n v="0"/>
    <n v="28.57"/>
    <n v="0"/>
    <n v="0"/>
    <n v="31.93064187172984"/>
    <m/>
    <m/>
    <n v="276129.05"/>
    <n v="0"/>
    <n v="0"/>
    <n v="308609.65369026893"/>
    <n v="0"/>
    <n v="0"/>
  </r>
  <r>
    <s v="Sistema Isolado - Refaturamento"/>
    <x v="1"/>
    <x v="2"/>
    <x v="0"/>
    <x v="0"/>
    <x v="0"/>
    <x v="0"/>
    <x v="1"/>
    <x v="8"/>
    <n v="6"/>
    <n v="6"/>
    <n v="0"/>
    <n v="0"/>
    <n v="0"/>
    <n v="0"/>
    <n v="0"/>
    <x v="1"/>
    <n v="0"/>
    <n v="23"/>
    <n v="0"/>
    <n v="0"/>
    <n v="28.57"/>
    <n v="0"/>
    <n v="0"/>
    <n v="31.93064187172984"/>
    <m/>
    <m/>
    <n v="171.42000000000002"/>
    <n v="0"/>
    <n v="0"/>
    <n v="191.58385123037903"/>
    <n v="0"/>
    <n v="0"/>
  </r>
  <r>
    <s v="Sistema de Compensação"/>
    <x v="1"/>
    <x v="2"/>
    <x v="0"/>
    <x v="0"/>
    <x v="0"/>
    <x v="0"/>
    <x v="1"/>
    <x v="8"/>
    <n v="9213"/>
    <n v="9213"/>
    <n v="0"/>
    <n v="0"/>
    <n v="0"/>
    <n v="0"/>
    <n v="44"/>
    <x v="1"/>
    <n v="0"/>
    <n v="23"/>
    <n v="0"/>
    <n v="0"/>
    <n v="28.57"/>
    <n v="0"/>
    <n v="0"/>
    <n v="31.93064187172984"/>
    <m/>
    <m/>
    <n v="263215.40999999997"/>
    <n v="0"/>
    <n v="0"/>
    <n v="294177.00356424699"/>
    <n v="0"/>
    <n v="0"/>
  </r>
  <r>
    <s v="Sistema de Compensação"/>
    <x v="1"/>
    <x v="2"/>
    <x v="0"/>
    <x v="0"/>
    <x v="0"/>
    <x v="0"/>
    <x v="1"/>
    <x v="8"/>
    <n v="-95"/>
    <n v="-95"/>
    <n v="0"/>
    <n v="0"/>
    <n v="0"/>
    <n v="0"/>
    <n v="0"/>
    <x v="1"/>
    <n v="0"/>
    <n v="23"/>
    <n v="0"/>
    <n v="0"/>
    <n v="28.57"/>
    <n v="0"/>
    <n v="0"/>
    <n v="31.93064187172984"/>
    <m/>
    <m/>
    <n v="-2714.15"/>
    <n v="0"/>
    <n v="0"/>
    <n v="-3033.4109778143347"/>
    <n v="0"/>
    <n v="0"/>
  </r>
  <r>
    <s v="Regular"/>
    <x v="1"/>
    <x v="2"/>
    <x v="0"/>
    <x v="0"/>
    <x v="0"/>
    <x v="0"/>
    <x v="1"/>
    <x v="8"/>
    <n v="575"/>
    <n v="575"/>
    <n v="0"/>
    <n v="0"/>
    <n v="0"/>
    <n v="0"/>
    <n v="2"/>
    <x v="0"/>
    <n v="0"/>
    <n v="23"/>
    <n v="0"/>
    <n v="0"/>
    <n v="28.57"/>
    <n v="0"/>
    <n v="0"/>
    <n v="31.93064187172984"/>
    <m/>
    <m/>
    <n v="16427.75"/>
    <n v="0"/>
    <n v="0"/>
    <n v="18360.119076244657"/>
    <n v="0"/>
    <n v="0"/>
  </r>
  <r>
    <s v="Regular"/>
    <x v="1"/>
    <x v="2"/>
    <x v="0"/>
    <x v="0"/>
    <x v="0"/>
    <x v="0"/>
    <x v="1"/>
    <x v="9"/>
    <n v="134734"/>
    <n v="134734"/>
    <n v="0"/>
    <n v="0"/>
    <n v="0"/>
    <n v="0"/>
    <n v="844"/>
    <x v="1"/>
    <n v="0"/>
    <n v="23"/>
    <n v="0"/>
    <n v="0"/>
    <n v="28.57"/>
    <n v="0"/>
    <n v="0"/>
    <n v="31.93064187172984"/>
    <m/>
    <m/>
    <n v="3849350.38"/>
    <n v="0"/>
    <n v="0"/>
    <n v="4302143.101945648"/>
    <n v="0"/>
    <n v="0"/>
  </r>
  <r>
    <s v="Refaturamento - Regular"/>
    <x v="1"/>
    <x v="2"/>
    <x v="0"/>
    <x v="0"/>
    <x v="0"/>
    <x v="0"/>
    <x v="1"/>
    <x v="9"/>
    <n v="45432"/>
    <n v="45432"/>
    <n v="0"/>
    <n v="0"/>
    <n v="0"/>
    <n v="0"/>
    <n v="0"/>
    <x v="1"/>
    <n v="0"/>
    <n v="23"/>
    <n v="0"/>
    <n v="0"/>
    <n v="28.57"/>
    <n v="0"/>
    <n v="0"/>
    <n v="31.93064187172984"/>
    <m/>
    <m/>
    <n v="1297992.24"/>
    <n v="0"/>
    <n v="0"/>
    <n v="1450672.9215164301"/>
    <n v="0"/>
    <n v="0"/>
  </r>
  <r>
    <s v="Sistema Isolado - Regular"/>
    <x v="1"/>
    <x v="2"/>
    <x v="0"/>
    <x v="0"/>
    <x v="0"/>
    <x v="0"/>
    <x v="1"/>
    <x v="9"/>
    <n v="10027"/>
    <n v="10027"/>
    <n v="0"/>
    <n v="0"/>
    <n v="0"/>
    <n v="0"/>
    <n v="111"/>
    <x v="1"/>
    <n v="0"/>
    <n v="23"/>
    <n v="0"/>
    <n v="0"/>
    <n v="28.57"/>
    <n v="0"/>
    <n v="0"/>
    <n v="31.93064187172984"/>
    <m/>
    <m/>
    <n v="286471.39"/>
    <n v="0"/>
    <n v="0"/>
    <n v="320168.54604783509"/>
    <n v="0"/>
    <n v="0"/>
  </r>
  <r>
    <s v="Sistema de Compensação"/>
    <x v="1"/>
    <x v="2"/>
    <x v="0"/>
    <x v="0"/>
    <x v="0"/>
    <x v="0"/>
    <x v="1"/>
    <x v="9"/>
    <n v="9734"/>
    <n v="9734"/>
    <n v="0"/>
    <n v="0"/>
    <n v="0"/>
    <n v="0"/>
    <n v="47"/>
    <x v="1"/>
    <n v="0"/>
    <n v="23"/>
    <n v="0"/>
    <n v="0"/>
    <n v="28.57"/>
    <n v="0"/>
    <n v="0"/>
    <n v="31.93064187172984"/>
    <m/>
    <m/>
    <n v="278100.38"/>
    <n v="0"/>
    <n v="0"/>
    <n v="310812.86797941825"/>
    <n v="0"/>
    <n v="0"/>
  </r>
  <r>
    <s v="Sistema de Compensação"/>
    <x v="1"/>
    <x v="2"/>
    <x v="0"/>
    <x v="0"/>
    <x v="0"/>
    <x v="0"/>
    <x v="1"/>
    <x v="9"/>
    <n v="-5"/>
    <n v="-5"/>
    <n v="0"/>
    <n v="0"/>
    <n v="0"/>
    <n v="0"/>
    <n v="0"/>
    <x v="1"/>
    <n v="0"/>
    <n v="23"/>
    <n v="0"/>
    <n v="0"/>
    <n v="28.57"/>
    <n v="0"/>
    <n v="0"/>
    <n v="31.93064187172984"/>
    <m/>
    <m/>
    <n v="-142.85"/>
    <n v="0"/>
    <n v="0"/>
    <n v="-159.65320935864921"/>
    <n v="0"/>
    <n v="0"/>
  </r>
  <r>
    <s v="Regular"/>
    <x v="1"/>
    <x v="2"/>
    <x v="0"/>
    <x v="0"/>
    <x v="0"/>
    <x v="0"/>
    <x v="1"/>
    <x v="9"/>
    <n v="575"/>
    <n v="575"/>
    <n v="0"/>
    <n v="0"/>
    <n v="0"/>
    <n v="0"/>
    <n v="2"/>
    <x v="0"/>
    <n v="0"/>
    <n v="23"/>
    <n v="0"/>
    <n v="0"/>
    <n v="28.57"/>
    <n v="0"/>
    <n v="0"/>
    <n v="31.93064187172984"/>
    <m/>
    <m/>
    <n v="16427.75"/>
    <n v="0"/>
    <n v="0"/>
    <n v="18360.119076244657"/>
    <n v="0"/>
    <n v="0"/>
  </r>
  <r>
    <s v="Regular"/>
    <x v="1"/>
    <x v="2"/>
    <x v="0"/>
    <x v="0"/>
    <x v="0"/>
    <x v="0"/>
    <x v="1"/>
    <x v="10"/>
    <n v="133872"/>
    <n v="133872"/>
    <n v="0"/>
    <n v="0"/>
    <n v="0"/>
    <n v="0"/>
    <n v="845"/>
    <x v="1"/>
    <n v="0"/>
    <n v="23"/>
    <n v="0"/>
    <n v="0"/>
    <n v="28.57"/>
    <n v="0"/>
    <n v="0"/>
    <n v="31.93064187172984"/>
    <m/>
    <m/>
    <n v="3824723.04"/>
    <n v="0"/>
    <n v="0"/>
    <n v="4274618.8886522176"/>
    <n v="0"/>
    <n v="0"/>
  </r>
  <r>
    <s v="Refaturamento - Regular"/>
    <x v="1"/>
    <x v="2"/>
    <x v="0"/>
    <x v="0"/>
    <x v="0"/>
    <x v="0"/>
    <x v="1"/>
    <x v="10"/>
    <n v="-1682"/>
    <n v="-1682"/>
    <n v="0"/>
    <n v="0"/>
    <n v="0"/>
    <n v="0"/>
    <n v="0"/>
    <x v="1"/>
    <n v="0"/>
    <n v="23"/>
    <n v="0"/>
    <n v="0"/>
    <n v="28.57"/>
    <n v="0"/>
    <n v="0"/>
    <n v="31.93064187172984"/>
    <m/>
    <m/>
    <n v="-48054.74"/>
    <n v="0"/>
    <n v="0"/>
    <n v="-53707.339628249589"/>
    <n v="0"/>
    <n v="0"/>
  </r>
  <r>
    <s v="Sistema Isolado - Regular"/>
    <x v="1"/>
    <x v="2"/>
    <x v="0"/>
    <x v="0"/>
    <x v="0"/>
    <x v="0"/>
    <x v="1"/>
    <x v="10"/>
    <n v="10401"/>
    <n v="10401"/>
    <n v="0"/>
    <n v="0"/>
    <n v="0"/>
    <n v="0"/>
    <n v="115"/>
    <x v="1"/>
    <n v="0"/>
    <n v="23"/>
    <n v="0"/>
    <n v="0"/>
    <n v="28.57"/>
    <n v="0"/>
    <n v="0"/>
    <n v="31.93064187172984"/>
    <m/>
    <m/>
    <n v="297156.57"/>
    <n v="0"/>
    <n v="0"/>
    <n v="332110.60610786208"/>
    <n v="0"/>
    <n v="0"/>
  </r>
  <r>
    <s v="Sistema de Compensação"/>
    <x v="1"/>
    <x v="2"/>
    <x v="0"/>
    <x v="0"/>
    <x v="0"/>
    <x v="0"/>
    <x v="1"/>
    <x v="10"/>
    <n v="9639"/>
    <n v="9639"/>
    <n v="0"/>
    <n v="0"/>
    <n v="0"/>
    <n v="0"/>
    <n v="47"/>
    <x v="1"/>
    <n v="0"/>
    <n v="23"/>
    <n v="0"/>
    <n v="0"/>
    <n v="28.57"/>
    <n v="0"/>
    <n v="0"/>
    <n v="31.93064187172984"/>
    <m/>
    <m/>
    <n v="275386.23"/>
    <n v="0"/>
    <n v="0"/>
    <n v="307779.45700160391"/>
    <n v="0"/>
    <n v="0"/>
  </r>
  <r>
    <s v="Regular"/>
    <x v="1"/>
    <x v="2"/>
    <x v="0"/>
    <x v="0"/>
    <x v="0"/>
    <x v="0"/>
    <x v="1"/>
    <x v="10"/>
    <n v="575"/>
    <n v="575"/>
    <n v="0"/>
    <n v="0"/>
    <n v="0"/>
    <n v="0"/>
    <n v="2"/>
    <x v="0"/>
    <n v="0"/>
    <n v="23"/>
    <n v="0"/>
    <n v="0"/>
    <n v="28.57"/>
    <n v="0"/>
    <n v="0"/>
    <n v="31.93064187172984"/>
    <m/>
    <m/>
    <n v="16427.75"/>
    <n v="0"/>
    <n v="0"/>
    <n v="18360.119076244657"/>
    <n v="0"/>
    <n v="0"/>
  </r>
  <r>
    <s v="PROJETADO"/>
    <x v="1"/>
    <x v="2"/>
    <x v="0"/>
    <x v="0"/>
    <x v="0"/>
    <x v="0"/>
    <x v="1"/>
    <x v="11"/>
    <n v="133872"/>
    <n v="133872"/>
    <n v="0"/>
    <n v="0"/>
    <n v="0"/>
    <n v="0"/>
    <n v="845"/>
    <x v="1"/>
    <n v="0"/>
    <n v="23"/>
    <n v="0"/>
    <n v="0"/>
    <n v="28.57"/>
    <n v="0"/>
    <n v="0"/>
    <n v="31.93064187172984"/>
    <m/>
    <m/>
    <n v="3824723.04"/>
    <n v="0"/>
    <n v="0"/>
    <n v="4274618.8886522176"/>
    <n v="0"/>
    <n v="0"/>
  </r>
  <r>
    <s v="PROJETADO"/>
    <x v="1"/>
    <x v="2"/>
    <x v="0"/>
    <x v="0"/>
    <x v="0"/>
    <x v="0"/>
    <x v="1"/>
    <x v="11"/>
    <n v="-1682"/>
    <n v="-1682"/>
    <n v="0"/>
    <n v="0"/>
    <n v="0"/>
    <n v="0"/>
    <n v="0"/>
    <x v="1"/>
    <n v="0"/>
    <n v="23"/>
    <n v="0"/>
    <n v="0"/>
    <n v="28.57"/>
    <n v="0"/>
    <n v="0"/>
    <n v="31.93064187172984"/>
    <m/>
    <m/>
    <n v="-48054.74"/>
    <n v="0"/>
    <n v="0"/>
    <n v="-53707.339628249589"/>
    <n v="0"/>
    <n v="0"/>
  </r>
  <r>
    <s v="PROJETADO"/>
    <x v="1"/>
    <x v="2"/>
    <x v="0"/>
    <x v="0"/>
    <x v="0"/>
    <x v="0"/>
    <x v="1"/>
    <x v="11"/>
    <n v="10401"/>
    <n v="10401"/>
    <n v="0"/>
    <n v="0"/>
    <n v="0"/>
    <n v="0"/>
    <n v="115"/>
    <x v="1"/>
    <n v="0"/>
    <n v="23"/>
    <n v="0"/>
    <n v="0"/>
    <n v="28.57"/>
    <n v="0"/>
    <n v="0"/>
    <n v="31.93064187172984"/>
    <m/>
    <m/>
    <n v="297156.57"/>
    <n v="0"/>
    <n v="0"/>
    <n v="332110.60610786208"/>
    <n v="0"/>
    <n v="0"/>
  </r>
  <r>
    <s v="PROJETADO"/>
    <x v="1"/>
    <x v="2"/>
    <x v="0"/>
    <x v="0"/>
    <x v="0"/>
    <x v="0"/>
    <x v="1"/>
    <x v="11"/>
    <n v="9639"/>
    <n v="9639"/>
    <n v="0"/>
    <n v="0"/>
    <n v="0"/>
    <n v="0"/>
    <n v="47"/>
    <x v="1"/>
    <n v="0"/>
    <n v="23"/>
    <n v="0"/>
    <n v="0"/>
    <n v="28.57"/>
    <n v="0"/>
    <n v="0"/>
    <n v="31.93064187172984"/>
    <m/>
    <m/>
    <n v="275386.23"/>
    <n v="0"/>
    <n v="0"/>
    <n v="307779.45700160391"/>
    <n v="0"/>
    <n v="0"/>
  </r>
  <r>
    <s v="PROJETADO"/>
    <x v="1"/>
    <x v="2"/>
    <x v="0"/>
    <x v="0"/>
    <x v="0"/>
    <x v="0"/>
    <x v="1"/>
    <x v="11"/>
    <n v="575"/>
    <n v="575"/>
    <n v="0"/>
    <n v="0"/>
    <n v="0"/>
    <n v="0"/>
    <n v="2"/>
    <x v="0"/>
    <n v="0"/>
    <n v="23"/>
    <n v="0"/>
    <n v="0"/>
    <n v="28.57"/>
    <n v="0"/>
    <n v="0"/>
    <n v="31.93064187172984"/>
    <m/>
    <m/>
    <n v="16427.75"/>
    <n v="0"/>
    <n v="0"/>
    <n v="18360.119076244657"/>
    <n v="0"/>
    <n v="0"/>
  </r>
  <r>
    <s v="Regular"/>
    <x v="1"/>
    <x v="2"/>
    <x v="0"/>
    <x v="0"/>
    <x v="0"/>
    <x v="0"/>
    <x v="2"/>
    <x v="0"/>
    <n v="0"/>
    <n v="0"/>
    <n v="1768.345"/>
    <n v="1768.345"/>
    <n v="1768.345"/>
    <n v="1768.345"/>
    <n v="0"/>
    <x v="1"/>
    <n v="0"/>
    <n v="0"/>
    <n v="24"/>
    <n v="66"/>
    <n v="0"/>
    <n v="1434.79"/>
    <n v="389.28"/>
    <m/>
    <n v="1501.8340703569011"/>
    <n v="454.3285679284046"/>
    <n v="0"/>
    <n v="2537203.7225500001"/>
    <n v="688381.34159999993"/>
    <n v="0"/>
    <n v="2655760.7691452741"/>
    <n v="803409.65145335463"/>
  </r>
  <r>
    <s v="Refaturamento - Regular"/>
    <x v="1"/>
    <x v="2"/>
    <x v="0"/>
    <x v="0"/>
    <x v="0"/>
    <x v="0"/>
    <x v="2"/>
    <x v="0"/>
    <n v="0"/>
    <n v="0"/>
    <n v="3.0609999999999999"/>
    <n v="3.0609999999999999"/>
    <n v="3.0609999999999999"/>
    <n v="3.0609999999999999"/>
    <n v="0"/>
    <x v="1"/>
    <n v="0"/>
    <n v="0"/>
    <n v="24"/>
    <n v="66"/>
    <n v="0"/>
    <n v="1434.79"/>
    <n v="389.28"/>
    <m/>
    <n v="1501.8340703569011"/>
    <n v="454.3285679284046"/>
    <n v="0"/>
    <n v="4391.8921899999996"/>
    <n v="1191.5860799999998"/>
    <n v="0"/>
    <n v="4597.1140893624743"/>
    <n v="1390.6997464288465"/>
  </r>
  <r>
    <s v="Sistema Isolado - Regular"/>
    <x v="1"/>
    <x v="2"/>
    <x v="0"/>
    <x v="0"/>
    <x v="0"/>
    <x v="0"/>
    <x v="2"/>
    <x v="0"/>
    <n v="0"/>
    <n v="0"/>
    <n v="141.45599999999999"/>
    <n v="141.45599999999999"/>
    <n v="141.45599999999999"/>
    <n v="141.45599999999999"/>
    <n v="0"/>
    <x v="1"/>
    <n v="0"/>
    <n v="0"/>
    <n v="24"/>
    <n v="66"/>
    <n v="0"/>
    <n v="1434.79"/>
    <n v="389.28"/>
    <m/>
    <n v="1501.8340703569011"/>
    <n v="454.3285679284046"/>
    <n v="0"/>
    <n v="202959.65423999997"/>
    <n v="55065.991679999992"/>
    <n v="0"/>
    <n v="212443.44025640577"/>
    <n v="64267.501904880395"/>
  </r>
  <r>
    <s v="Sistema de Compensação"/>
    <x v="1"/>
    <x v="2"/>
    <x v="0"/>
    <x v="0"/>
    <x v="0"/>
    <x v="0"/>
    <x v="2"/>
    <x v="0"/>
    <n v="0"/>
    <n v="0"/>
    <n v="44.008000000000003"/>
    <n v="44.008000000000003"/>
    <n v="44.008000000000003"/>
    <n v="44.008000000000003"/>
    <n v="0"/>
    <x v="1"/>
    <n v="0"/>
    <n v="0"/>
    <n v="24"/>
    <n v="66"/>
    <n v="0"/>
    <n v="1434.79"/>
    <n v="389.28"/>
    <m/>
    <n v="1501.8340703569011"/>
    <n v="454.3285679284046"/>
    <n v="0"/>
    <n v="63142.238320000004"/>
    <n v="17131.434239999999"/>
    <n v="0"/>
    <n v="66092.713768266505"/>
    <n v="19994.091617393231"/>
  </r>
  <r>
    <s v="Regular"/>
    <x v="1"/>
    <x v="2"/>
    <x v="0"/>
    <x v="0"/>
    <x v="0"/>
    <x v="0"/>
    <x v="2"/>
    <x v="0"/>
    <n v="0"/>
    <n v="0"/>
    <n v="-21.004999999999999"/>
    <n v="-21.004999999999999"/>
    <n v="0"/>
    <n v="0"/>
    <n v="0"/>
    <x v="0"/>
    <n v="0"/>
    <n v="0"/>
    <n v="24"/>
    <n v="0"/>
    <n v="0"/>
    <n v="1434.79"/>
    <n v="0"/>
    <m/>
    <n v="1501.8340703569011"/>
    <m/>
    <n v="0"/>
    <n v="-30137.763949999997"/>
    <n v="0"/>
    <n v="0"/>
    <n v="-31546.024647846705"/>
    <n v="0"/>
  </r>
  <r>
    <s v="Regular"/>
    <x v="1"/>
    <x v="2"/>
    <x v="0"/>
    <x v="0"/>
    <x v="0"/>
    <x v="0"/>
    <x v="2"/>
    <x v="1"/>
    <n v="0"/>
    <n v="0"/>
    <n v="1788.2909999999999"/>
    <n v="1788.2909999999999"/>
    <n v="1788.2909999999999"/>
    <n v="1788.2909999999999"/>
    <n v="0"/>
    <x v="1"/>
    <n v="0"/>
    <n v="0"/>
    <n v="24"/>
    <n v="66"/>
    <n v="0"/>
    <n v="1434.79"/>
    <n v="389.28"/>
    <m/>
    <n v="1501.8340703569011"/>
    <n v="454.3285679284046"/>
    <n v="0"/>
    <n v="2565822.0438899999"/>
    <n v="696145.92047999997"/>
    <n v="0"/>
    <n v="2685716.3515126128"/>
    <n v="812471.68906925456"/>
  </r>
  <r>
    <s v="Refaturamento - Regular"/>
    <x v="1"/>
    <x v="2"/>
    <x v="0"/>
    <x v="0"/>
    <x v="0"/>
    <x v="0"/>
    <x v="2"/>
    <x v="1"/>
    <n v="0"/>
    <n v="0"/>
    <n v="-20.244"/>
    <n v="-20.244"/>
    <n v="-20.244"/>
    <n v="-20.244"/>
    <n v="0"/>
    <x v="1"/>
    <n v="0"/>
    <n v="0"/>
    <n v="24"/>
    <n v="66"/>
    <n v="0"/>
    <n v="1434.79"/>
    <n v="389.28"/>
    <m/>
    <n v="1501.8340703569011"/>
    <n v="454.3285679284046"/>
    <n v="0"/>
    <n v="-29045.888759999998"/>
    <n v="-7880.584319999999"/>
    <n v="0"/>
    <n v="-30403.128920305106"/>
    <n v="-9197.427529142622"/>
  </r>
  <r>
    <s v="Sistema Isolado - Regular"/>
    <x v="1"/>
    <x v="2"/>
    <x v="0"/>
    <x v="0"/>
    <x v="0"/>
    <x v="0"/>
    <x v="2"/>
    <x v="1"/>
    <n v="0"/>
    <n v="0"/>
    <n v="146.922"/>
    <n v="146.922"/>
    <n v="146.922"/>
    <n v="146.922"/>
    <n v="0"/>
    <x v="1"/>
    <n v="0"/>
    <n v="0"/>
    <n v="24"/>
    <n v="66"/>
    <n v="0"/>
    <n v="1434.79"/>
    <n v="389.28"/>
    <m/>
    <n v="1501.8340703569011"/>
    <n v="454.3285679284046"/>
    <n v="0"/>
    <n v="210802.21638"/>
    <n v="57193.796159999998"/>
    <n v="0"/>
    <n v="220652.46528497661"/>
    <n v="66750.861857177064"/>
  </r>
  <r>
    <s v="Sistema de Compensação"/>
    <x v="1"/>
    <x v="2"/>
    <x v="0"/>
    <x v="0"/>
    <x v="0"/>
    <x v="0"/>
    <x v="2"/>
    <x v="1"/>
    <n v="0"/>
    <n v="0"/>
    <n v="53.268000000000001"/>
    <n v="53.268000000000001"/>
    <n v="53.268000000000001"/>
    <n v="53.268000000000001"/>
    <n v="0"/>
    <x v="1"/>
    <n v="0"/>
    <n v="0"/>
    <n v="24"/>
    <n v="66"/>
    <n v="0"/>
    <n v="1434.79"/>
    <n v="389.28"/>
    <m/>
    <n v="1501.8340703569011"/>
    <n v="454.3285679284046"/>
    <n v="0"/>
    <n v="76428.393719999993"/>
    <n v="20736.16704"/>
    <n v="0"/>
    <n v="79999.697259771405"/>
    <n v="24201.174156410256"/>
  </r>
  <r>
    <s v="Regular"/>
    <x v="1"/>
    <x v="2"/>
    <x v="0"/>
    <x v="0"/>
    <x v="0"/>
    <x v="0"/>
    <x v="2"/>
    <x v="1"/>
    <n v="0"/>
    <n v="0"/>
    <n v="26.468"/>
    <n v="26.468"/>
    <n v="0"/>
    <n v="0"/>
    <n v="0"/>
    <x v="0"/>
    <n v="0"/>
    <n v="0"/>
    <n v="24"/>
    <n v="0"/>
    <n v="0"/>
    <n v="1434.79"/>
    <n v="0"/>
    <m/>
    <n v="1501.8340703569011"/>
    <m/>
    <n v="0"/>
    <n v="37976.021719999997"/>
    <n v="0"/>
    <n v="0"/>
    <n v="39750.544174206458"/>
    <n v="0"/>
  </r>
  <r>
    <s v="Regular"/>
    <x v="1"/>
    <x v="2"/>
    <x v="0"/>
    <x v="0"/>
    <x v="0"/>
    <x v="0"/>
    <x v="2"/>
    <x v="2"/>
    <n v="0"/>
    <n v="0"/>
    <n v="1314.9590000000001"/>
    <n v="1314.9590000000001"/>
    <n v="1314.9590000000001"/>
    <n v="1314.9590000000001"/>
    <n v="0"/>
    <x v="1"/>
    <n v="0"/>
    <n v="0"/>
    <n v="24"/>
    <n v="66"/>
    <n v="0"/>
    <n v="1434.79"/>
    <n v="389.28"/>
    <m/>
    <n v="1501.8340703569011"/>
    <n v="454.3285679284046"/>
    <n v="0"/>
    <n v="1886690.02361"/>
    <n v="511887.23952"/>
    <n v="0"/>
    <n v="1974850.2273224404"/>
    <n v="597423.43935456697"/>
  </r>
  <r>
    <s v="Refaturamento - Regular"/>
    <x v="1"/>
    <x v="2"/>
    <x v="0"/>
    <x v="0"/>
    <x v="0"/>
    <x v="0"/>
    <x v="2"/>
    <x v="2"/>
    <n v="0"/>
    <n v="0"/>
    <n v="-18.911000000000001"/>
    <n v="-18.911000000000001"/>
    <n v="-18.911000000000001"/>
    <n v="-18.911000000000001"/>
    <n v="0"/>
    <x v="1"/>
    <n v="0"/>
    <n v="0"/>
    <n v="24"/>
    <n v="66"/>
    <n v="0"/>
    <n v="1434.79"/>
    <n v="389.28"/>
    <m/>
    <n v="1501.8340703569011"/>
    <n v="454.3285679284046"/>
    <n v="0"/>
    <n v="-27133.313690000003"/>
    <n v="-7361.6740799999998"/>
    <n v="0"/>
    <n v="-28401.184104519358"/>
    <n v="-8591.8075480940606"/>
  </r>
  <r>
    <s v="Sistema Isolado - Regular"/>
    <x v="1"/>
    <x v="2"/>
    <x v="0"/>
    <x v="0"/>
    <x v="0"/>
    <x v="0"/>
    <x v="2"/>
    <x v="2"/>
    <n v="0"/>
    <n v="0"/>
    <n v="120.947"/>
    <n v="120.947"/>
    <n v="120.947"/>
    <n v="120.947"/>
    <n v="0"/>
    <x v="1"/>
    <n v="0"/>
    <n v="0"/>
    <n v="24"/>
    <n v="66"/>
    <n v="0"/>
    <n v="1434.79"/>
    <n v="389.28"/>
    <m/>
    <n v="1501.8340703569011"/>
    <n v="454.3285679284046"/>
    <n v="0"/>
    <n v="173533.54613"/>
    <n v="47082.248159999996"/>
    <n v="0"/>
    <n v="181642.32530745611"/>
    <n v="54949.67730523675"/>
  </r>
  <r>
    <s v="Sistema Isolado - Refaturamento"/>
    <x v="1"/>
    <x v="2"/>
    <x v="0"/>
    <x v="0"/>
    <x v="0"/>
    <x v="0"/>
    <x v="2"/>
    <x v="2"/>
    <n v="0"/>
    <n v="0"/>
    <n v="-14.73"/>
    <n v="-14.73"/>
    <n v="-14.73"/>
    <n v="-14.73"/>
    <n v="0"/>
    <x v="1"/>
    <n v="0"/>
    <n v="0"/>
    <n v="24"/>
    <n v="66"/>
    <n v="0"/>
    <n v="1434.79"/>
    <n v="389.28"/>
    <m/>
    <n v="1501.8340703569011"/>
    <n v="454.3285679284046"/>
    <n v="0"/>
    <n v="-21134.456699999999"/>
    <n v="-5734.0944"/>
    <n v="0"/>
    <n v="-22122.015856357153"/>
    <n v="-6692.2598055853996"/>
  </r>
  <r>
    <s v="Sistema de Compensação"/>
    <x v="1"/>
    <x v="2"/>
    <x v="0"/>
    <x v="0"/>
    <x v="0"/>
    <x v="0"/>
    <x v="2"/>
    <x v="2"/>
    <n v="0"/>
    <n v="0"/>
    <n v="41.4"/>
    <n v="41.4"/>
    <n v="41.4"/>
    <n v="41.4"/>
    <n v="0"/>
    <x v="1"/>
    <n v="0"/>
    <n v="0"/>
    <n v="24"/>
    <n v="66"/>
    <n v="0"/>
    <n v="1434.79"/>
    <n v="389.28"/>
    <m/>
    <n v="1501.8340703569011"/>
    <n v="454.3285679284046"/>
    <n v="0"/>
    <n v="59400.305999999997"/>
    <n v="16116.191999999999"/>
    <n v="0"/>
    <n v="62175.930512775703"/>
    <n v="18809.20271223595"/>
  </r>
  <r>
    <s v="Regular"/>
    <x v="1"/>
    <x v="2"/>
    <x v="0"/>
    <x v="0"/>
    <x v="0"/>
    <x v="0"/>
    <x v="2"/>
    <x v="2"/>
    <n v="0"/>
    <n v="0"/>
    <n v="2.7559999999999998"/>
    <n v="2.7559999999999998"/>
    <n v="0"/>
    <n v="0"/>
    <n v="0"/>
    <x v="0"/>
    <n v="0"/>
    <n v="0"/>
    <n v="24"/>
    <n v="0"/>
    <n v="0"/>
    <n v="1434.79"/>
    <n v="0"/>
    <m/>
    <n v="1501.8340703569011"/>
    <m/>
    <n v="0"/>
    <n v="3954.2812399999998"/>
    <n v="0"/>
    <n v="0"/>
    <n v="4139.0546979036189"/>
    <n v="0"/>
  </r>
  <r>
    <s v="Regular"/>
    <x v="1"/>
    <x v="2"/>
    <x v="0"/>
    <x v="0"/>
    <x v="0"/>
    <x v="0"/>
    <x v="2"/>
    <x v="3"/>
    <n v="0"/>
    <n v="0"/>
    <n v="1264.748"/>
    <n v="1264.748"/>
    <n v="1264.748"/>
    <n v="1264.748"/>
    <n v="0"/>
    <x v="1"/>
    <n v="0"/>
    <n v="0"/>
    <n v="24"/>
    <n v="66"/>
    <n v="0"/>
    <n v="1434.79"/>
    <n v="389.28"/>
    <m/>
    <n v="1501.8340703569011"/>
    <n v="454.3285679284046"/>
    <n v="0"/>
    <n v="1814647.7829199999"/>
    <n v="492341.10144"/>
    <n v="0"/>
    <n v="1899441.63681575"/>
    <n v="574611.14763031388"/>
  </r>
  <r>
    <s v="Refaturamento - Regular"/>
    <x v="1"/>
    <x v="2"/>
    <x v="0"/>
    <x v="0"/>
    <x v="0"/>
    <x v="0"/>
    <x v="2"/>
    <x v="3"/>
    <n v="0"/>
    <n v="0"/>
    <n v="-0.06"/>
    <n v="-0.06"/>
    <n v="-0.06"/>
    <n v="-0.06"/>
    <n v="0"/>
    <x v="1"/>
    <n v="0"/>
    <n v="0"/>
    <n v="24"/>
    <n v="66"/>
    <n v="0"/>
    <n v="1434.79"/>
    <n v="389.28"/>
    <m/>
    <n v="1501.8340703569011"/>
    <n v="454.3285679284046"/>
    <n v="0"/>
    <n v="-86.087399999999988"/>
    <n v="-23.356799999999996"/>
    <n v="0"/>
    <n v="-90.110044221414057"/>
    <n v="-27.259714075704274"/>
  </r>
  <r>
    <s v="Sistema Isolado - Regular"/>
    <x v="1"/>
    <x v="2"/>
    <x v="0"/>
    <x v="0"/>
    <x v="0"/>
    <x v="0"/>
    <x v="2"/>
    <x v="3"/>
    <n v="0"/>
    <n v="0"/>
    <n v="98.628"/>
    <n v="98.628"/>
    <n v="98.628"/>
    <n v="98.628"/>
    <n v="0"/>
    <x v="1"/>
    <n v="0"/>
    <n v="0"/>
    <n v="24"/>
    <n v="66"/>
    <n v="0"/>
    <n v="1434.79"/>
    <n v="389.28"/>
    <m/>
    <n v="1501.8340703569011"/>
    <n v="454.3285679284046"/>
    <n v="0"/>
    <n v="141510.46812000001"/>
    <n v="38393.90784"/>
    <n v="0"/>
    <n v="148122.89069116043"/>
    <n v="44809.517997642688"/>
  </r>
  <r>
    <s v="Sistema Isolado - Refaturamento"/>
    <x v="1"/>
    <x v="2"/>
    <x v="0"/>
    <x v="0"/>
    <x v="0"/>
    <x v="0"/>
    <x v="2"/>
    <x v="3"/>
    <n v="0"/>
    <n v="0"/>
    <n v="-0.77400000000000002"/>
    <n v="-0.77400000000000002"/>
    <n v="-0.77400000000000002"/>
    <n v="-0.77400000000000002"/>
    <n v="0"/>
    <x v="1"/>
    <n v="0"/>
    <n v="0"/>
    <n v="24"/>
    <n v="66"/>
    <n v="0"/>
    <n v="1434.79"/>
    <n v="389.28"/>
    <m/>
    <n v="1501.8340703569011"/>
    <n v="454.3285679284046"/>
    <n v="0"/>
    <n v="-1110.52746"/>
    <n v="-301.30271999999997"/>
    <n v="0"/>
    <n v="-1162.4195704562414"/>
    <n v="-351.65031157658518"/>
  </r>
  <r>
    <s v="Sistema de Compensação"/>
    <x v="1"/>
    <x v="2"/>
    <x v="0"/>
    <x v="0"/>
    <x v="0"/>
    <x v="0"/>
    <x v="2"/>
    <x v="3"/>
    <n v="0"/>
    <n v="0"/>
    <n v="43.920999999999999"/>
    <n v="43.920999999999999"/>
    <n v="43.920999999999999"/>
    <n v="43.920999999999999"/>
    <n v="0"/>
    <x v="1"/>
    <n v="0"/>
    <n v="0"/>
    <n v="24"/>
    <n v="66"/>
    <n v="0"/>
    <n v="1434.79"/>
    <n v="389.28"/>
    <m/>
    <n v="1501.8340703569011"/>
    <n v="454.3285679284046"/>
    <n v="0"/>
    <n v="63017.411589999996"/>
    <n v="17097.566879999998"/>
    <n v="0"/>
    <n v="65962.054204145446"/>
    <n v="19954.565031983457"/>
  </r>
  <r>
    <s v="Regular"/>
    <x v="1"/>
    <x v="2"/>
    <x v="0"/>
    <x v="0"/>
    <x v="0"/>
    <x v="0"/>
    <x v="2"/>
    <x v="3"/>
    <n v="0"/>
    <n v="0"/>
    <n v="2.5259999999999998"/>
    <n v="2.5259999999999998"/>
    <n v="0"/>
    <n v="0"/>
    <n v="0"/>
    <x v="0"/>
    <n v="0"/>
    <n v="0"/>
    <n v="24"/>
    <n v="0"/>
    <n v="0"/>
    <n v="1434.79"/>
    <n v="0"/>
    <m/>
    <n v="1501.8340703569011"/>
    <m/>
    <n v="0"/>
    <n v="3624.2795399999995"/>
    <n v="0"/>
    <n v="0"/>
    <n v="3793.6328617215318"/>
    <n v="0"/>
  </r>
  <r>
    <s v="Regular"/>
    <x v="1"/>
    <x v="2"/>
    <x v="0"/>
    <x v="0"/>
    <x v="0"/>
    <x v="0"/>
    <x v="2"/>
    <x v="4"/>
    <n v="0"/>
    <n v="0"/>
    <n v="1545.633"/>
    <n v="1545.633"/>
    <n v="1545.633"/>
    <n v="1545.633"/>
    <n v="0"/>
    <x v="1"/>
    <n v="0"/>
    <n v="0"/>
    <n v="24"/>
    <n v="66"/>
    <n v="0"/>
    <n v="1434.79"/>
    <n v="389.28"/>
    <m/>
    <n v="1501.8340703569011"/>
    <n v="454.3285679284046"/>
    <n v="0"/>
    <n v="2217658.7720699999"/>
    <n v="601684.01423999993"/>
    <n v="0"/>
    <n v="2321284.2996679479"/>
    <n v="702225.22743288381"/>
  </r>
  <r>
    <s v="Refaturamento - Regular"/>
    <x v="1"/>
    <x v="2"/>
    <x v="0"/>
    <x v="0"/>
    <x v="0"/>
    <x v="0"/>
    <x v="2"/>
    <x v="4"/>
    <n v="0"/>
    <n v="0"/>
    <n v="-12.581"/>
    <n v="-12.581"/>
    <n v="-12.581"/>
    <n v="-12.581"/>
    <n v="0"/>
    <x v="1"/>
    <n v="0"/>
    <n v="0"/>
    <n v="24"/>
    <n v="66"/>
    <n v="0"/>
    <n v="1434.79"/>
    <n v="389.28"/>
    <m/>
    <n v="1501.8340703569011"/>
    <n v="454.3285679284046"/>
    <n v="0"/>
    <n v="-18051.092989999997"/>
    <n v="-4897.5316799999991"/>
    <n v="0"/>
    <n v="-18894.574439160173"/>
    <n v="-5715.9077131072581"/>
  </r>
  <r>
    <s v="Sistema Isolado - Regular"/>
    <x v="1"/>
    <x v="2"/>
    <x v="0"/>
    <x v="0"/>
    <x v="0"/>
    <x v="0"/>
    <x v="2"/>
    <x v="4"/>
    <n v="0"/>
    <n v="0"/>
    <n v="109.23399999999999"/>
    <n v="109.23399999999999"/>
    <n v="109.23399999999999"/>
    <n v="109.23399999999999"/>
    <n v="0"/>
    <x v="1"/>
    <n v="0"/>
    <n v="0"/>
    <n v="24"/>
    <n v="66"/>
    <n v="0"/>
    <n v="1434.79"/>
    <n v="389.28"/>
    <m/>
    <n v="1501.8340703569011"/>
    <n v="454.3285679284046"/>
    <n v="0"/>
    <n v="156727.85085999998"/>
    <n v="42522.611519999999"/>
    <n v="0"/>
    <n v="164051.34284136572"/>
    <n v="49628.126789091344"/>
  </r>
  <r>
    <s v="Sistema de Compensação"/>
    <x v="1"/>
    <x v="2"/>
    <x v="0"/>
    <x v="0"/>
    <x v="0"/>
    <x v="0"/>
    <x v="2"/>
    <x v="4"/>
    <n v="0"/>
    <n v="0"/>
    <n v="66.132000000000005"/>
    <n v="66.132000000000005"/>
    <n v="66.132000000000005"/>
    <n v="66.132000000000005"/>
    <n v="0"/>
    <x v="1"/>
    <n v="0"/>
    <n v="0"/>
    <n v="24"/>
    <n v="66"/>
    <n v="0"/>
    <n v="1434.79"/>
    <n v="389.28"/>
    <m/>
    <n v="1501.8340703569011"/>
    <n v="454.3285679284046"/>
    <n v="0"/>
    <n v="94885.532279999999"/>
    <n v="25743.864959999999"/>
    <n v="0"/>
    <n v="99319.290740842582"/>
    <n v="30045.656854241253"/>
  </r>
  <r>
    <s v="Regular"/>
    <x v="1"/>
    <x v="2"/>
    <x v="0"/>
    <x v="0"/>
    <x v="0"/>
    <x v="0"/>
    <x v="2"/>
    <x v="4"/>
    <n v="0"/>
    <n v="0"/>
    <n v="3.2829999999999999"/>
    <n v="3.2829999999999999"/>
    <n v="0"/>
    <n v="0"/>
    <n v="0"/>
    <x v="0"/>
    <n v="0"/>
    <n v="0"/>
    <n v="24"/>
    <n v="0"/>
    <n v="0"/>
    <n v="1434.79"/>
    <n v="0"/>
    <m/>
    <n v="1501.8340703569011"/>
    <m/>
    <n v="0"/>
    <n v="4710.4155700000001"/>
    <n v="0"/>
    <n v="0"/>
    <n v="4930.5212529817063"/>
    <n v="0"/>
  </r>
  <r>
    <s v="Regular"/>
    <x v="1"/>
    <x v="2"/>
    <x v="0"/>
    <x v="0"/>
    <x v="0"/>
    <x v="0"/>
    <x v="2"/>
    <x v="5"/>
    <n v="0"/>
    <n v="0"/>
    <n v="1457.0530000000001"/>
    <n v="1457.0530000000001"/>
    <n v="1457.0530000000001"/>
    <n v="1457.0530000000001"/>
    <n v="0"/>
    <x v="1"/>
    <n v="0"/>
    <n v="0"/>
    <n v="24"/>
    <n v="66"/>
    <n v="0"/>
    <n v="1434.79"/>
    <n v="389.28"/>
    <m/>
    <n v="1501.8340703569011"/>
    <n v="454.3285679284046"/>
    <n v="0"/>
    <n v="2090565.0738700002"/>
    <n v="567201.59184000001"/>
    <n v="0"/>
    <n v="2188251.8377157338"/>
    <n v="661980.8028857857"/>
  </r>
  <r>
    <s v="Refaturamento - Regular"/>
    <x v="1"/>
    <x v="2"/>
    <x v="0"/>
    <x v="0"/>
    <x v="0"/>
    <x v="0"/>
    <x v="2"/>
    <x v="5"/>
    <n v="0"/>
    <n v="0"/>
    <n v="-56.198"/>
    <n v="-56.198"/>
    <n v="-56.198"/>
    <n v="-56.198"/>
    <n v="0"/>
    <x v="1"/>
    <n v="0"/>
    <n v="0"/>
    <n v="24"/>
    <n v="66"/>
    <n v="0"/>
    <n v="1434.79"/>
    <n v="389.28"/>
    <m/>
    <n v="1501.8340703569011"/>
    <n v="454.3285679284046"/>
    <n v="0"/>
    <n v="-80632.328420000005"/>
    <n v="-21876.757439999998"/>
    <n v="0"/>
    <n v="-84400.071085917123"/>
    <n v="-25532.356860440483"/>
  </r>
  <r>
    <s v="Sistema Isolado - Regular"/>
    <x v="1"/>
    <x v="2"/>
    <x v="0"/>
    <x v="0"/>
    <x v="0"/>
    <x v="0"/>
    <x v="2"/>
    <x v="5"/>
    <n v="0"/>
    <n v="0"/>
    <n v="119.91800000000001"/>
    <n v="119.91800000000001"/>
    <n v="119.91800000000001"/>
    <n v="119.91800000000001"/>
    <n v="0"/>
    <x v="1"/>
    <n v="0"/>
    <n v="0"/>
    <n v="24"/>
    <n v="66"/>
    <n v="0"/>
    <n v="1434.79"/>
    <n v="389.28"/>
    <m/>
    <n v="1501.8340703569011"/>
    <n v="454.3285679284046"/>
    <n v="0"/>
    <n v="172057.14722000001"/>
    <n v="46681.679040000003"/>
    <n v="0"/>
    <n v="180096.93804905887"/>
    <n v="54482.173208838423"/>
  </r>
  <r>
    <s v="Sistema de Compensação"/>
    <x v="1"/>
    <x v="2"/>
    <x v="0"/>
    <x v="0"/>
    <x v="0"/>
    <x v="0"/>
    <x v="2"/>
    <x v="5"/>
    <n v="0"/>
    <n v="0"/>
    <n v="63.927999999999997"/>
    <n v="63.927999999999997"/>
    <n v="63.927999999999997"/>
    <n v="63.927999999999997"/>
    <n v="0"/>
    <x v="1"/>
    <n v="0"/>
    <n v="0"/>
    <n v="24"/>
    <n v="66"/>
    <n v="0"/>
    <n v="1434.79"/>
    <n v="389.28"/>
    <m/>
    <n v="1501.8340703569011"/>
    <n v="454.3285679284046"/>
    <n v="0"/>
    <n v="91723.255119999987"/>
    <n v="24885.891839999997"/>
    <n v="0"/>
    <n v="96009.248449775972"/>
    <n v="29044.316690527048"/>
  </r>
  <r>
    <s v="Regular"/>
    <x v="1"/>
    <x v="2"/>
    <x v="0"/>
    <x v="0"/>
    <x v="0"/>
    <x v="0"/>
    <x v="2"/>
    <x v="5"/>
    <n v="0"/>
    <n v="0"/>
    <n v="2.911"/>
    <n v="2.911"/>
    <n v="0"/>
    <n v="0"/>
    <n v="0"/>
    <x v="0"/>
    <n v="0"/>
    <n v="0"/>
    <n v="24"/>
    <n v="0"/>
    <n v="0"/>
    <n v="1434.79"/>
    <n v="0"/>
    <m/>
    <n v="1501.8340703569011"/>
    <m/>
    <n v="0"/>
    <n v="4176.6736899999996"/>
    <n v="0"/>
    <n v="0"/>
    <n v="4371.8389788089389"/>
    <n v="0"/>
  </r>
  <r>
    <s v="Regular"/>
    <x v="1"/>
    <x v="2"/>
    <x v="0"/>
    <x v="0"/>
    <x v="0"/>
    <x v="0"/>
    <x v="2"/>
    <x v="6"/>
    <n v="0"/>
    <n v="0"/>
    <n v="1616.25"/>
    <n v="1616.25"/>
    <n v="1616.25"/>
    <n v="1616.25"/>
    <n v="0"/>
    <x v="1"/>
    <n v="0"/>
    <n v="0"/>
    <n v="24"/>
    <n v="66"/>
    <n v="0"/>
    <n v="1434.79"/>
    <n v="389.28"/>
    <m/>
    <n v="1501.8340703569011"/>
    <n v="454.3285679284046"/>
    <n v="0"/>
    <n v="2318979.3374999999"/>
    <n v="629173.79999999993"/>
    <n v="0"/>
    <n v="2427339.3162143412"/>
    <n v="734308.54791428393"/>
  </r>
  <r>
    <s v="Refaturamento - Regular"/>
    <x v="1"/>
    <x v="2"/>
    <x v="0"/>
    <x v="0"/>
    <x v="0"/>
    <x v="0"/>
    <x v="2"/>
    <x v="6"/>
    <n v="0"/>
    <n v="0"/>
    <n v="-2.1890000000000001"/>
    <n v="-2.1890000000000001"/>
    <n v="-2.1890000000000001"/>
    <n v="-2.1890000000000001"/>
    <n v="0"/>
    <x v="1"/>
    <n v="0"/>
    <n v="0"/>
    <n v="24"/>
    <n v="66"/>
    <n v="0"/>
    <n v="1434.79"/>
    <n v="389.28"/>
    <m/>
    <n v="1501.8340703569011"/>
    <n v="454.3285679284046"/>
    <n v="0"/>
    <n v="-3140.75531"/>
    <n v="-852.13391999999999"/>
    <n v="0"/>
    <n v="-3287.5147800112563"/>
    <n v="-994.52523519527767"/>
  </r>
  <r>
    <s v="Sistema Isolado - Regular"/>
    <x v="1"/>
    <x v="2"/>
    <x v="0"/>
    <x v="0"/>
    <x v="0"/>
    <x v="0"/>
    <x v="2"/>
    <x v="6"/>
    <n v="0"/>
    <n v="0"/>
    <n v="121.998"/>
    <n v="121.998"/>
    <n v="121.998"/>
    <n v="121.998"/>
    <n v="0"/>
    <x v="1"/>
    <n v="0"/>
    <n v="0"/>
    <n v="24"/>
    <n v="66"/>
    <n v="0"/>
    <n v="1434.79"/>
    <n v="389.28"/>
    <m/>
    <n v="1501.8340703569011"/>
    <n v="454.3285679284046"/>
    <n v="0"/>
    <n v="175041.51042000001"/>
    <n v="47491.381439999997"/>
    <n v="0"/>
    <n v="183220.75291540122"/>
    <n v="55427.176630129507"/>
  </r>
  <r>
    <s v="Sistema de Compensação"/>
    <x v="1"/>
    <x v="2"/>
    <x v="0"/>
    <x v="0"/>
    <x v="0"/>
    <x v="0"/>
    <x v="2"/>
    <x v="6"/>
    <n v="0"/>
    <n v="0"/>
    <n v="71.709000000000003"/>
    <n v="71.709000000000003"/>
    <n v="71.709000000000003"/>
    <n v="71.709000000000003"/>
    <n v="0"/>
    <x v="1"/>
    <n v="0"/>
    <n v="0"/>
    <n v="24"/>
    <n v="66"/>
    <n v="0"/>
    <n v="1434.79"/>
    <n v="389.28"/>
    <m/>
    <n v="1501.8340703569011"/>
    <n v="454.3285679284046"/>
    <n v="0"/>
    <n v="102887.35611000001"/>
    <n v="27914.879519999999"/>
    <n v="0"/>
    <n v="107695.01935122302"/>
    <n v="32579.447277577965"/>
  </r>
  <r>
    <s v="Regular"/>
    <x v="1"/>
    <x v="2"/>
    <x v="0"/>
    <x v="0"/>
    <x v="0"/>
    <x v="0"/>
    <x v="2"/>
    <x v="6"/>
    <n v="0"/>
    <n v="0"/>
    <n v="2.6680000000000001"/>
    <n v="2.6680000000000001"/>
    <n v="0"/>
    <n v="0"/>
    <n v="0"/>
    <x v="0"/>
    <n v="0"/>
    <n v="0"/>
    <n v="24"/>
    <n v="0"/>
    <n v="0"/>
    <n v="1434.79"/>
    <n v="0"/>
    <m/>
    <n v="1501.8340703569011"/>
    <m/>
    <n v="0"/>
    <n v="3828.0197200000002"/>
    <n v="0"/>
    <n v="0"/>
    <n v="4006.8932997122124"/>
    <n v="0"/>
  </r>
  <r>
    <s v="Regular"/>
    <x v="1"/>
    <x v="2"/>
    <x v="0"/>
    <x v="0"/>
    <x v="0"/>
    <x v="0"/>
    <x v="2"/>
    <x v="7"/>
    <n v="0"/>
    <n v="0"/>
    <n v="1578"/>
    <n v="1578"/>
    <n v="1578"/>
    <n v="1578"/>
    <n v="0"/>
    <x v="1"/>
    <n v="0"/>
    <n v="0"/>
    <n v="24"/>
    <n v="66"/>
    <n v="0"/>
    <n v="1434.79"/>
    <n v="389.28"/>
    <m/>
    <n v="1501.8340703569011"/>
    <n v="454.3285679284046"/>
    <n v="0"/>
    <n v="2264098.62"/>
    <n v="614283.84"/>
    <n v="0"/>
    <n v="2369894.1630231901"/>
    <n v="716930.48019102251"/>
  </r>
  <r>
    <s v="Refaturamento - Regular"/>
    <x v="1"/>
    <x v="2"/>
    <x v="0"/>
    <x v="0"/>
    <x v="0"/>
    <x v="0"/>
    <x v="2"/>
    <x v="7"/>
    <n v="0"/>
    <n v="0"/>
    <n v="-2.8220000000000001"/>
    <n v="-2.8220000000000001"/>
    <n v="-2.8220000000000001"/>
    <n v="-2.8220000000000001"/>
    <n v="0"/>
    <x v="1"/>
    <n v="0"/>
    <n v="0"/>
    <n v="24"/>
    <n v="66"/>
    <n v="0"/>
    <n v="1434.79"/>
    <n v="389.28"/>
    <m/>
    <n v="1501.8340703569011"/>
    <n v="454.3285679284046"/>
    <n v="0"/>
    <n v="-4048.9773799999998"/>
    <n v="-1098.5481600000001"/>
    <n v="0"/>
    <n v="-4238.1757465471746"/>
    <n v="-1282.1152186939578"/>
  </r>
  <r>
    <s v="Sistema Isolado - Regular"/>
    <x v="1"/>
    <x v="2"/>
    <x v="0"/>
    <x v="0"/>
    <x v="0"/>
    <x v="0"/>
    <x v="2"/>
    <x v="7"/>
    <n v="0"/>
    <n v="0"/>
    <n v="114.40600000000001"/>
    <n v="114.40600000000001"/>
    <n v="114.40600000000001"/>
    <n v="114.40600000000001"/>
    <n v="0"/>
    <x v="1"/>
    <n v="0"/>
    <n v="0"/>
    <n v="24"/>
    <n v="66"/>
    <n v="0"/>
    <n v="1434.79"/>
    <n v="389.28"/>
    <m/>
    <n v="1501.8340703569011"/>
    <n v="454.3285679284046"/>
    <n v="0"/>
    <n v="164148.58473999999"/>
    <n v="44535.967680000002"/>
    <n v="0"/>
    <n v="171818.82865325164"/>
    <n v="51977.914142417059"/>
  </r>
  <r>
    <s v="Sistema Isolado - Refaturamento"/>
    <x v="1"/>
    <x v="2"/>
    <x v="0"/>
    <x v="0"/>
    <x v="0"/>
    <x v="0"/>
    <x v="2"/>
    <x v="7"/>
    <n v="0"/>
    <n v="0"/>
    <n v="-2.8380000000000001"/>
    <n v="-2.8380000000000001"/>
    <n v="-2.8380000000000001"/>
    <n v="-2.8380000000000001"/>
    <n v="0"/>
    <x v="1"/>
    <n v="0"/>
    <n v="0"/>
    <n v="24"/>
    <n v="66"/>
    <n v="0"/>
    <n v="1434.79"/>
    <n v="389.28"/>
    <m/>
    <n v="1501.8340703569011"/>
    <n v="454.3285679284046"/>
    <n v="0"/>
    <n v="-4071.9340200000001"/>
    <n v="-1104.77664"/>
    <n v="0"/>
    <n v="-4262.2050916728849"/>
    <n v="-1289.3844757808122"/>
  </r>
  <r>
    <s v="Sistema de Compensação"/>
    <x v="1"/>
    <x v="2"/>
    <x v="0"/>
    <x v="0"/>
    <x v="0"/>
    <x v="0"/>
    <x v="2"/>
    <x v="7"/>
    <n v="0"/>
    <n v="0"/>
    <n v="80.149000000000001"/>
    <n v="80.149000000000001"/>
    <n v="80.149000000000001"/>
    <n v="80.149000000000001"/>
    <n v="0"/>
    <x v="1"/>
    <n v="0"/>
    <n v="0"/>
    <n v="24"/>
    <n v="66"/>
    <n v="0"/>
    <n v="1434.79"/>
    <n v="389.28"/>
    <m/>
    <n v="1501.8340703569011"/>
    <n v="454.3285679284046"/>
    <n v="0"/>
    <n v="114996.98371"/>
    <n v="31200.402719999998"/>
    <n v="0"/>
    <n v="120370.49890503526"/>
    <n v="36413.980390893703"/>
  </r>
  <r>
    <s v="Regular"/>
    <x v="1"/>
    <x v="2"/>
    <x v="0"/>
    <x v="0"/>
    <x v="0"/>
    <x v="0"/>
    <x v="2"/>
    <x v="7"/>
    <n v="0"/>
    <n v="0"/>
    <n v="2.7559999999999998"/>
    <n v="2.7559999999999998"/>
    <n v="0"/>
    <n v="0"/>
    <n v="0"/>
    <x v="0"/>
    <n v="0"/>
    <n v="0"/>
    <n v="24"/>
    <n v="0"/>
    <n v="0"/>
    <n v="1434.79"/>
    <n v="0"/>
    <m/>
    <n v="1501.8340703569011"/>
    <m/>
    <n v="0"/>
    <n v="3954.2812399999998"/>
    <n v="0"/>
    <n v="0"/>
    <n v="4139.0546979036189"/>
    <n v="0"/>
  </r>
  <r>
    <s v="Regular"/>
    <x v="1"/>
    <x v="2"/>
    <x v="0"/>
    <x v="0"/>
    <x v="0"/>
    <x v="0"/>
    <x v="2"/>
    <x v="8"/>
    <n v="0"/>
    <n v="0"/>
    <n v="1673.9010000000001"/>
    <n v="1673.9010000000001"/>
    <n v="1673.9010000000001"/>
    <n v="1673.9010000000001"/>
    <n v="0"/>
    <x v="1"/>
    <n v="0"/>
    <n v="0"/>
    <n v="24"/>
    <n v="66"/>
    <n v="0"/>
    <n v="1434.79"/>
    <n v="389.28"/>
    <m/>
    <n v="1501.8340703569011"/>
    <n v="454.3285679284046"/>
    <n v="0"/>
    <n v="2401696.41579"/>
    <n v="651616.18128000002"/>
    <n v="0"/>
    <n v="2513921.5522044874"/>
    <n v="760501.04418392444"/>
  </r>
  <r>
    <s v="Refaturamento - Regular"/>
    <x v="1"/>
    <x v="2"/>
    <x v="0"/>
    <x v="0"/>
    <x v="0"/>
    <x v="0"/>
    <x v="2"/>
    <x v="8"/>
    <n v="0"/>
    <n v="0"/>
    <n v="-6.1520000000000001"/>
    <n v="-6.1520000000000001"/>
    <n v="-6.1520000000000001"/>
    <n v="-6.1520000000000001"/>
    <n v="0"/>
    <x v="1"/>
    <n v="0"/>
    <n v="0"/>
    <n v="24"/>
    <n v="66"/>
    <n v="0"/>
    <n v="1434.79"/>
    <n v="389.28"/>
    <m/>
    <n v="1501.8340703569011"/>
    <n v="454.3285679284046"/>
    <n v="0"/>
    <n v="-8826.8280799999993"/>
    <n v="-2394.8505599999999"/>
    <n v="0"/>
    <n v="-9239.2832008356563"/>
    <n v="-2795.0293498955452"/>
  </r>
  <r>
    <s v="Sistema Isolado - Regular"/>
    <x v="1"/>
    <x v="2"/>
    <x v="0"/>
    <x v="0"/>
    <x v="0"/>
    <x v="0"/>
    <x v="2"/>
    <x v="8"/>
    <n v="0"/>
    <n v="0"/>
    <n v="133.15299999999999"/>
    <n v="133.15299999999999"/>
    <n v="133.15299999999999"/>
    <n v="133.15299999999999"/>
    <n v="0"/>
    <x v="1"/>
    <n v="0"/>
    <n v="0"/>
    <n v="24"/>
    <n v="66"/>
    <n v="0"/>
    <n v="1434.79"/>
    <n v="389.28"/>
    <m/>
    <n v="1501.8340703569011"/>
    <n v="454.3285679284046"/>
    <n v="0"/>
    <n v="191046.59286999999"/>
    <n v="51833.799839999992"/>
    <n v="0"/>
    <n v="199973.71197023243"/>
    <n v="60495.211805370855"/>
  </r>
  <r>
    <s v="Sistema Isolado - Refaturamento"/>
    <x v="1"/>
    <x v="2"/>
    <x v="0"/>
    <x v="0"/>
    <x v="0"/>
    <x v="0"/>
    <x v="2"/>
    <x v="8"/>
    <n v="0"/>
    <n v="0"/>
    <n v="6.3360000000000003"/>
    <n v="6.3360000000000003"/>
    <n v="6.3360000000000003"/>
    <n v="6.3360000000000003"/>
    <n v="0"/>
    <x v="1"/>
    <n v="0"/>
    <n v="0"/>
    <n v="24"/>
    <n v="66"/>
    <n v="0"/>
    <n v="1434.79"/>
    <n v="389.28"/>
    <m/>
    <n v="1501.8340703569011"/>
    <n v="454.3285679284046"/>
    <n v="0"/>
    <n v="9090.8294399999995"/>
    <n v="2466.4780799999999"/>
    <n v="0"/>
    <n v="9515.620669781325"/>
    <n v="2878.6258063943715"/>
  </r>
  <r>
    <s v="Sistema de Compensação"/>
    <x v="1"/>
    <x v="2"/>
    <x v="0"/>
    <x v="0"/>
    <x v="0"/>
    <x v="0"/>
    <x v="2"/>
    <x v="8"/>
    <n v="0"/>
    <n v="0"/>
    <n v="88.462000000000003"/>
    <n v="88.462000000000003"/>
    <n v="88.462000000000003"/>
    <n v="88.462000000000003"/>
    <n v="0"/>
    <x v="1"/>
    <n v="0"/>
    <n v="0"/>
    <n v="24"/>
    <n v="66"/>
    <n v="0"/>
    <n v="1434.79"/>
    <n v="389.28"/>
    <m/>
    <n v="1501.8340703569011"/>
    <n v="454.3285679284046"/>
    <n v="0"/>
    <n v="126924.39298"/>
    <n v="34436.487359999999"/>
    <n v="0"/>
    <n v="132855.24553191219"/>
    <n v="40190.813776082527"/>
  </r>
  <r>
    <s v="Sistema de Compensação"/>
    <x v="1"/>
    <x v="2"/>
    <x v="0"/>
    <x v="0"/>
    <x v="0"/>
    <x v="0"/>
    <x v="2"/>
    <x v="8"/>
    <n v="0"/>
    <n v="0"/>
    <n v="-1.02"/>
    <n v="-1.02"/>
    <n v="-1.02"/>
    <n v="-1.02"/>
    <n v="0"/>
    <x v="1"/>
    <n v="0"/>
    <n v="0"/>
    <n v="24"/>
    <n v="66"/>
    <n v="0"/>
    <n v="1434.79"/>
    <n v="389.28"/>
    <m/>
    <n v="1501.8340703569011"/>
    <n v="454.3285679284046"/>
    <n v="0"/>
    <n v="-1463.4857999999999"/>
    <n v="-397.06559999999996"/>
    <n v="0"/>
    <n v="-1531.8707517640391"/>
    <n v="-463.4151392869727"/>
  </r>
  <r>
    <s v="Regular"/>
    <x v="1"/>
    <x v="2"/>
    <x v="0"/>
    <x v="0"/>
    <x v="0"/>
    <x v="0"/>
    <x v="2"/>
    <x v="8"/>
    <n v="0"/>
    <n v="0"/>
    <n v="2.746"/>
    <n v="2.746"/>
    <n v="0"/>
    <n v="0"/>
    <n v="0"/>
    <x v="0"/>
    <n v="0"/>
    <n v="0"/>
    <n v="24"/>
    <n v="0"/>
    <n v="0"/>
    <n v="1434.79"/>
    <n v="0"/>
    <m/>
    <n v="1501.8340703569011"/>
    <m/>
    <n v="0"/>
    <n v="3939.93334"/>
    <n v="0"/>
    <n v="0"/>
    <n v="4124.0363572000506"/>
    <n v="0"/>
  </r>
  <r>
    <s v="Regular"/>
    <x v="1"/>
    <x v="2"/>
    <x v="0"/>
    <x v="0"/>
    <x v="0"/>
    <x v="0"/>
    <x v="2"/>
    <x v="9"/>
    <n v="0"/>
    <n v="0"/>
    <n v="1782.7270000000001"/>
    <n v="1782.7270000000001"/>
    <n v="1782.7270000000001"/>
    <n v="1782.7270000000001"/>
    <n v="0"/>
    <x v="1"/>
    <n v="0"/>
    <n v="0"/>
    <n v="24"/>
    <n v="66"/>
    <n v="0"/>
    <n v="1434.79"/>
    <n v="389.28"/>
    <m/>
    <n v="1501.8340703569011"/>
    <n v="454.3285679284046"/>
    <n v="0"/>
    <n v="2557838.8723300002"/>
    <n v="693979.96655999997"/>
    <n v="0"/>
    <n v="2677360.1467451472"/>
    <n v="809943.80491730093"/>
  </r>
  <r>
    <s v="Refaturamento - Regular"/>
    <x v="1"/>
    <x v="2"/>
    <x v="0"/>
    <x v="0"/>
    <x v="0"/>
    <x v="0"/>
    <x v="2"/>
    <x v="9"/>
    <n v="0"/>
    <n v="0"/>
    <n v="2138.2089999999998"/>
    <n v="2138.2089999999998"/>
    <n v="2138.2089999999998"/>
    <n v="2138.2089999999998"/>
    <n v="0"/>
    <x v="1"/>
    <n v="0"/>
    <n v="0"/>
    <n v="24"/>
    <n v="66"/>
    <n v="0"/>
    <n v="1434.79"/>
    <n v="389.28"/>
    <m/>
    <n v="1501.8340703569011"/>
    <n v="454.3285679284046"/>
    <n v="0"/>
    <n v="3067880.8911099997"/>
    <n v="832361.99951999984"/>
    <n v="0"/>
    <n v="3211235.1257437589"/>
    <n v="971449.43290162599"/>
  </r>
  <r>
    <s v="Sistema Isolado - Regular"/>
    <x v="1"/>
    <x v="2"/>
    <x v="0"/>
    <x v="0"/>
    <x v="0"/>
    <x v="0"/>
    <x v="2"/>
    <x v="9"/>
    <n v="0"/>
    <n v="0"/>
    <n v="141.84800000000001"/>
    <n v="141.84800000000001"/>
    <n v="141.84800000000001"/>
    <n v="141.84800000000001"/>
    <n v="0"/>
    <x v="1"/>
    <n v="0"/>
    <n v="0"/>
    <n v="24"/>
    <n v="66"/>
    <n v="0"/>
    <n v="1434.79"/>
    <n v="389.28"/>
    <m/>
    <n v="1501.8340703569011"/>
    <n v="454.3285679284046"/>
    <n v="0"/>
    <n v="203522.09192000001"/>
    <n v="55218.589440000003"/>
    <n v="0"/>
    <n v="213032.15921198571"/>
    <n v="64445.598703508338"/>
  </r>
  <r>
    <s v="Sistema de Compensação"/>
    <x v="1"/>
    <x v="2"/>
    <x v="0"/>
    <x v="0"/>
    <x v="0"/>
    <x v="0"/>
    <x v="2"/>
    <x v="9"/>
    <n v="0"/>
    <n v="0"/>
    <n v="99.721000000000004"/>
    <n v="99.721000000000004"/>
    <n v="99.721000000000004"/>
    <n v="99.721000000000004"/>
    <n v="0"/>
    <x v="1"/>
    <n v="0"/>
    <n v="0"/>
    <n v="24"/>
    <n v="66"/>
    <n v="0"/>
    <n v="1434.79"/>
    <n v="389.28"/>
    <m/>
    <n v="1501.8340703569011"/>
    <n v="454.3285679284046"/>
    <n v="0"/>
    <n v="143078.69359000001"/>
    <n v="38819.390879999999"/>
    <n v="0"/>
    <n v="149764.39533006054"/>
    <n v="45306.099122388434"/>
  </r>
  <r>
    <s v="Sistema de Compensação"/>
    <x v="1"/>
    <x v="2"/>
    <x v="0"/>
    <x v="0"/>
    <x v="0"/>
    <x v="0"/>
    <x v="2"/>
    <x v="9"/>
    <n v="0"/>
    <n v="0"/>
    <n v="-1E-3"/>
    <n v="-1E-3"/>
    <n v="-1E-3"/>
    <n v="-1E-3"/>
    <n v="0"/>
    <x v="1"/>
    <n v="0"/>
    <n v="0"/>
    <n v="24"/>
    <n v="66"/>
    <n v="0"/>
    <n v="1434.79"/>
    <n v="389.28"/>
    <m/>
    <n v="1501.8340703569011"/>
    <n v="454.3285679284046"/>
    <n v="0"/>
    <n v="-1.43479"/>
    <n v="-0.38927999999999996"/>
    <n v="0"/>
    <n v="-1.5018340703569011"/>
    <n v="-0.45432856792840459"/>
  </r>
  <r>
    <s v="Regular"/>
    <x v="1"/>
    <x v="2"/>
    <x v="0"/>
    <x v="0"/>
    <x v="0"/>
    <x v="0"/>
    <x v="2"/>
    <x v="9"/>
    <n v="0"/>
    <n v="0"/>
    <n v="3.0569999999999999"/>
    <n v="3.0569999999999999"/>
    <n v="0"/>
    <n v="0"/>
    <n v="0"/>
    <x v="0"/>
    <n v="0"/>
    <n v="0"/>
    <n v="24"/>
    <n v="0"/>
    <n v="0"/>
    <n v="1434.79"/>
    <n v="0"/>
    <m/>
    <n v="1501.8340703569011"/>
    <m/>
    <n v="0"/>
    <n v="4386.1530299999995"/>
    <n v="0"/>
    <n v="0"/>
    <n v="4591.1067530810469"/>
    <n v="0"/>
  </r>
  <r>
    <s v="Regular"/>
    <x v="1"/>
    <x v="2"/>
    <x v="0"/>
    <x v="0"/>
    <x v="0"/>
    <x v="0"/>
    <x v="2"/>
    <x v="10"/>
    <n v="0"/>
    <n v="0"/>
    <n v="1713.297"/>
    <n v="1713.297"/>
    <n v="1713.297"/>
    <n v="1713.297"/>
    <n v="0"/>
    <x v="1"/>
    <n v="0"/>
    <n v="0"/>
    <n v="24"/>
    <n v="66"/>
    <n v="0"/>
    <n v="1434.79"/>
    <n v="389.28"/>
    <m/>
    <n v="1501.8340703569011"/>
    <n v="454.3285679284046"/>
    <n v="0"/>
    <n v="2458221.4026299999"/>
    <n v="666952.25615999999"/>
    <n v="0"/>
    <n v="2573087.8072402677"/>
    <n v="778399.7724460318"/>
  </r>
  <r>
    <s v="Refaturamento - Regular"/>
    <x v="1"/>
    <x v="2"/>
    <x v="0"/>
    <x v="0"/>
    <x v="0"/>
    <x v="0"/>
    <x v="2"/>
    <x v="10"/>
    <n v="0"/>
    <n v="0"/>
    <n v="-6.5650000000000004"/>
    <n v="-6.5650000000000004"/>
    <n v="-6.5650000000000004"/>
    <n v="-6.5650000000000004"/>
    <n v="0"/>
    <x v="1"/>
    <n v="0"/>
    <n v="0"/>
    <n v="24"/>
    <n v="66"/>
    <n v="0"/>
    <n v="1434.79"/>
    <n v="389.28"/>
    <m/>
    <n v="1501.8340703569011"/>
    <n v="454.3285679284046"/>
    <n v="0"/>
    <n v="-9419.3963500000009"/>
    <n v="-2555.6232"/>
    <n v="0"/>
    <n v="-9859.5406718930553"/>
    <n v="-2982.6670484499764"/>
  </r>
  <r>
    <s v="Sistema Isolado - Regular"/>
    <x v="1"/>
    <x v="2"/>
    <x v="0"/>
    <x v="0"/>
    <x v="0"/>
    <x v="0"/>
    <x v="2"/>
    <x v="10"/>
    <n v="0"/>
    <n v="0"/>
    <n v="161.34399999999999"/>
    <n v="161.34399999999999"/>
    <n v="161.34399999999999"/>
    <n v="161.34399999999999"/>
    <n v="0"/>
    <x v="1"/>
    <n v="0"/>
    <n v="0"/>
    <n v="24"/>
    <n v="66"/>
    <n v="0"/>
    <n v="1434.79"/>
    <n v="389.28"/>
    <m/>
    <n v="1501.8340703569011"/>
    <n v="454.3285679284046"/>
    <n v="0"/>
    <n v="231494.75775999998"/>
    <n v="62807.99231999999"/>
    <n v="0"/>
    <n v="242311.91624766384"/>
    <n v="73303.188463840503"/>
  </r>
  <r>
    <s v="Sistema de Compensação"/>
    <x v="1"/>
    <x v="2"/>
    <x v="0"/>
    <x v="0"/>
    <x v="0"/>
    <x v="0"/>
    <x v="2"/>
    <x v="10"/>
    <n v="0"/>
    <n v="0"/>
    <n v="96.26"/>
    <n v="96.26"/>
    <n v="96.26"/>
    <n v="96.26"/>
    <n v="0"/>
    <x v="1"/>
    <n v="0"/>
    <n v="0"/>
    <n v="24"/>
    <n v="66"/>
    <n v="0"/>
    <n v="1434.79"/>
    <n v="389.28"/>
    <m/>
    <n v="1501.8340703569011"/>
    <n v="454.3285679284046"/>
    <n v="0"/>
    <n v="138112.8854"/>
    <n v="37472.092799999999"/>
    <n v="0"/>
    <n v="144566.5476125553"/>
    <n v="43733.667948788228"/>
  </r>
  <r>
    <s v="Regular"/>
    <x v="1"/>
    <x v="2"/>
    <x v="0"/>
    <x v="0"/>
    <x v="0"/>
    <x v="0"/>
    <x v="2"/>
    <x v="10"/>
    <n v="0"/>
    <n v="0"/>
    <n v="2.75"/>
    <n v="2.75"/>
    <n v="0"/>
    <n v="0"/>
    <n v="0"/>
    <x v="0"/>
    <n v="0"/>
    <n v="0"/>
    <n v="24"/>
    <n v="0"/>
    <n v="0"/>
    <n v="1434.79"/>
    <n v="0"/>
    <m/>
    <n v="1501.8340703569011"/>
    <m/>
    <n v="0"/>
    <n v="3945.6724999999997"/>
    <n v="0"/>
    <n v="0"/>
    <n v="4130.0436934814779"/>
    <n v="0"/>
  </r>
  <r>
    <s v="PROJETADO"/>
    <x v="1"/>
    <x v="2"/>
    <x v="0"/>
    <x v="0"/>
    <x v="0"/>
    <x v="0"/>
    <x v="2"/>
    <x v="11"/>
    <n v="0"/>
    <n v="0"/>
    <n v="1713.297"/>
    <n v="1713.297"/>
    <n v="1713.297"/>
    <n v="1713.297"/>
    <n v="0"/>
    <x v="1"/>
    <n v="0"/>
    <n v="0"/>
    <n v="24"/>
    <n v="66"/>
    <n v="0"/>
    <n v="1434.79"/>
    <n v="389.28"/>
    <m/>
    <n v="1501.8340703569011"/>
    <n v="454.3285679284046"/>
    <n v="0"/>
    <n v="2458221.4026299999"/>
    <n v="666952.25615999999"/>
    <n v="0"/>
    <n v="2573087.8072402677"/>
    <n v="778399.7724460318"/>
  </r>
  <r>
    <s v="PROJETADO"/>
    <x v="1"/>
    <x v="2"/>
    <x v="0"/>
    <x v="0"/>
    <x v="0"/>
    <x v="0"/>
    <x v="2"/>
    <x v="11"/>
    <n v="0"/>
    <n v="0"/>
    <n v="-6.5650000000000004"/>
    <n v="-6.5650000000000004"/>
    <n v="-6.5650000000000004"/>
    <n v="-6.5650000000000004"/>
    <n v="0"/>
    <x v="1"/>
    <n v="0"/>
    <n v="0"/>
    <n v="24"/>
    <n v="66"/>
    <n v="0"/>
    <n v="1434.79"/>
    <n v="389.28"/>
    <m/>
    <n v="1501.8340703569011"/>
    <n v="454.3285679284046"/>
    <n v="0"/>
    <n v="-9419.3963500000009"/>
    <n v="-2555.6232"/>
    <n v="0"/>
    <n v="-9859.5406718930553"/>
    <n v="-2982.6670484499764"/>
  </r>
  <r>
    <s v="PROJETADO"/>
    <x v="1"/>
    <x v="2"/>
    <x v="0"/>
    <x v="0"/>
    <x v="0"/>
    <x v="0"/>
    <x v="2"/>
    <x v="11"/>
    <n v="0"/>
    <n v="0"/>
    <n v="161.34399999999999"/>
    <n v="161.34399999999999"/>
    <n v="161.34399999999999"/>
    <n v="161.34399999999999"/>
    <n v="0"/>
    <x v="1"/>
    <n v="0"/>
    <n v="0"/>
    <n v="24"/>
    <n v="66"/>
    <n v="0"/>
    <n v="1434.79"/>
    <n v="389.28"/>
    <m/>
    <n v="1501.8340703569011"/>
    <n v="454.3285679284046"/>
    <n v="0"/>
    <n v="231494.75775999998"/>
    <n v="62807.99231999999"/>
    <n v="0"/>
    <n v="242311.91624766384"/>
    <n v="73303.188463840503"/>
  </r>
  <r>
    <s v="PROJETADO"/>
    <x v="1"/>
    <x v="2"/>
    <x v="0"/>
    <x v="0"/>
    <x v="0"/>
    <x v="0"/>
    <x v="2"/>
    <x v="11"/>
    <n v="0"/>
    <n v="0"/>
    <n v="96.26"/>
    <n v="96.26"/>
    <n v="96.26"/>
    <n v="96.26"/>
    <n v="0"/>
    <x v="1"/>
    <n v="0"/>
    <n v="0"/>
    <n v="24"/>
    <n v="66"/>
    <n v="0"/>
    <n v="1434.79"/>
    <n v="389.28"/>
    <m/>
    <n v="1501.8340703569011"/>
    <n v="454.3285679284046"/>
    <n v="0"/>
    <n v="138112.8854"/>
    <n v="37472.092799999999"/>
    <n v="0"/>
    <n v="144566.5476125553"/>
    <n v="43733.667948788228"/>
  </r>
  <r>
    <s v="PROJETADO"/>
    <x v="1"/>
    <x v="2"/>
    <x v="0"/>
    <x v="0"/>
    <x v="0"/>
    <x v="0"/>
    <x v="2"/>
    <x v="11"/>
    <n v="0"/>
    <n v="0"/>
    <n v="2.75"/>
    <n v="2.75"/>
    <n v="0"/>
    <n v="0"/>
    <n v="0"/>
    <x v="0"/>
    <n v="0"/>
    <n v="0"/>
    <n v="24"/>
    <n v="0"/>
    <n v="0"/>
    <n v="1434.79"/>
    <n v="0"/>
    <m/>
    <n v="1501.8340703569011"/>
    <m/>
    <n v="0"/>
    <n v="3945.6724999999997"/>
    <n v="0"/>
    <n v="0"/>
    <n v="4130.0436934814779"/>
    <n v="0"/>
  </r>
  <r>
    <s v="Regular"/>
    <x v="1"/>
    <x v="2"/>
    <x v="6"/>
    <x v="0"/>
    <x v="0"/>
    <x v="0"/>
    <x v="0"/>
    <x v="0"/>
    <n v="0"/>
    <n v="0"/>
    <n v="200.82300000000001"/>
    <n v="200.82300000000001"/>
    <n v="200.82300000000001"/>
    <n v="200.82300000000001"/>
    <n v="0"/>
    <x v="1"/>
    <n v="0"/>
    <n v="0"/>
    <n v="19"/>
    <n v="67"/>
    <n v="0"/>
    <n v="149.63"/>
    <n v="230.03"/>
    <m/>
    <n v="54.203801879475932"/>
    <n v="282.91739971702214"/>
    <n v="0"/>
    <n v="30049.145489999999"/>
    <n v="46195.314689999999"/>
    <n v="0"/>
    <n v="10885.370104841995"/>
    <n v="56816.320963371538"/>
  </r>
  <r>
    <s v="Regular"/>
    <x v="1"/>
    <x v="2"/>
    <x v="6"/>
    <x v="0"/>
    <x v="0"/>
    <x v="0"/>
    <x v="0"/>
    <x v="1"/>
    <n v="0"/>
    <n v="0"/>
    <n v="192.61099999999999"/>
    <n v="192.61099999999999"/>
    <n v="192.61099999999999"/>
    <n v="192.61099999999999"/>
    <n v="0"/>
    <x v="1"/>
    <n v="0"/>
    <n v="0"/>
    <n v="19"/>
    <n v="67"/>
    <n v="0"/>
    <n v="149.63"/>
    <n v="230.03"/>
    <m/>
    <n v="54.203801879475932"/>
    <n v="282.91739971702214"/>
    <n v="0"/>
    <n v="28820.383929999996"/>
    <n v="44306.30833"/>
    <n v="0"/>
    <n v="10440.248483807738"/>
    <n v="54493.003276895346"/>
  </r>
  <r>
    <s v="Regular"/>
    <x v="1"/>
    <x v="2"/>
    <x v="6"/>
    <x v="0"/>
    <x v="0"/>
    <x v="0"/>
    <x v="0"/>
    <x v="2"/>
    <n v="0"/>
    <n v="0"/>
    <n v="171.77500000000001"/>
    <n v="171.77500000000001"/>
    <n v="171.77500000000001"/>
    <n v="171.77500000000001"/>
    <n v="0"/>
    <x v="1"/>
    <n v="0"/>
    <n v="0"/>
    <n v="19"/>
    <n v="67"/>
    <n v="0"/>
    <n v="149.63"/>
    <n v="230.03"/>
    <m/>
    <n v="54.203801879475932"/>
    <n v="282.91739971702214"/>
    <n v="0"/>
    <n v="25702.69325"/>
    <n v="39513.403250000003"/>
    <n v="0"/>
    <n v="9310.8580678469789"/>
    <n v="48598.136336391479"/>
  </r>
  <r>
    <s v="Regular"/>
    <x v="1"/>
    <x v="2"/>
    <x v="6"/>
    <x v="0"/>
    <x v="0"/>
    <x v="0"/>
    <x v="0"/>
    <x v="3"/>
    <n v="0"/>
    <n v="0"/>
    <n v="170.74100000000001"/>
    <n v="170.74100000000001"/>
    <n v="170.74100000000001"/>
    <n v="170.74100000000001"/>
    <n v="0"/>
    <x v="1"/>
    <n v="0"/>
    <n v="0"/>
    <n v="19"/>
    <n v="67"/>
    <n v="0"/>
    <n v="149.63"/>
    <n v="230.03"/>
    <m/>
    <n v="54.203801879475932"/>
    <n v="282.91739971702214"/>
    <n v="0"/>
    <n v="25547.975830000003"/>
    <n v="39275.552230000001"/>
    <n v="0"/>
    <n v="9254.8113367036003"/>
    <n v="48305.59974508408"/>
  </r>
  <r>
    <s v="Regular"/>
    <x v="1"/>
    <x v="2"/>
    <x v="6"/>
    <x v="0"/>
    <x v="0"/>
    <x v="0"/>
    <x v="0"/>
    <x v="4"/>
    <n v="0"/>
    <n v="0"/>
    <n v="195.67099999999999"/>
    <n v="195.67099999999999"/>
    <n v="195.67099999999999"/>
    <n v="195.67099999999999"/>
    <n v="0"/>
    <x v="1"/>
    <n v="0"/>
    <n v="0"/>
    <n v="19"/>
    <n v="67"/>
    <n v="0"/>
    <n v="149.63"/>
    <n v="230.03"/>
    <m/>
    <n v="54.203801879475932"/>
    <n v="282.91739971702214"/>
    <n v="0"/>
    <n v="29278.251729999996"/>
    <n v="45010.200129999997"/>
    <n v="0"/>
    <n v="10606.112117558934"/>
    <n v="55358.730520029436"/>
  </r>
  <r>
    <s v="Regular"/>
    <x v="1"/>
    <x v="2"/>
    <x v="6"/>
    <x v="0"/>
    <x v="0"/>
    <x v="0"/>
    <x v="0"/>
    <x v="5"/>
    <n v="0"/>
    <n v="0"/>
    <n v="197.00399999999999"/>
    <n v="197.00399999999999"/>
    <n v="197.00399999999999"/>
    <n v="197.00399999999999"/>
    <n v="0"/>
    <x v="1"/>
    <n v="0"/>
    <n v="0"/>
    <n v="19"/>
    <n v="67"/>
    <n v="0"/>
    <n v="149.63"/>
    <n v="230.03"/>
    <m/>
    <n v="54.203801879475932"/>
    <n v="282.91739971702214"/>
    <n v="0"/>
    <n v="29477.708519999996"/>
    <n v="45316.830119999999"/>
    <n v="0"/>
    <n v="10678.365785464275"/>
    <n v="55735.859413852224"/>
  </r>
  <r>
    <s v="Regular"/>
    <x v="1"/>
    <x v="2"/>
    <x v="6"/>
    <x v="0"/>
    <x v="0"/>
    <x v="0"/>
    <x v="0"/>
    <x v="6"/>
    <n v="0"/>
    <n v="0"/>
    <n v="211.381"/>
    <n v="211.381"/>
    <n v="211.381"/>
    <n v="211.381"/>
    <n v="0"/>
    <x v="1"/>
    <n v="0"/>
    <n v="0"/>
    <n v="19"/>
    <n v="67"/>
    <n v="0"/>
    <n v="149.63"/>
    <n v="230.03"/>
    <m/>
    <n v="54.203801879475932"/>
    <n v="282.91739971702214"/>
    <n v="0"/>
    <n v="31628.939029999998"/>
    <n v="48623.971429999998"/>
    <n v="0"/>
    <n v="11457.653845085502"/>
    <n v="59803.362869583856"/>
  </r>
  <r>
    <s v="Regular"/>
    <x v="1"/>
    <x v="2"/>
    <x v="6"/>
    <x v="0"/>
    <x v="0"/>
    <x v="0"/>
    <x v="0"/>
    <x v="7"/>
    <n v="0"/>
    <n v="0"/>
    <n v="203.55699999999999"/>
    <n v="203.55699999999999"/>
    <n v="203.55699999999999"/>
    <n v="203.55699999999999"/>
    <n v="0"/>
    <x v="1"/>
    <n v="0"/>
    <n v="0"/>
    <n v="19"/>
    <n v="67"/>
    <n v="0"/>
    <n v="149.63"/>
    <n v="230.03"/>
    <m/>
    <n v="54.203801879475932"/>
    <n v="282.91739971702214"/>
    <n v="0"/>
    <n v="30458.233909999999"/>
    <n v="46824.216710000001"/>
    <n v="0"/>
    <n v="11033.563299180481"/>
    <n v="57589.817134197874"/>
  </r>
  <r>
    <s v="Regular"/>
    <x v="1"/>
    <x v="2"/>
    <x v="6"/>
    <x v="0"/>
    <x v="0"/>
    <x v="0"/>
    <x v="0"/>
    <x v="8"/>
    <n v="0"/>
    <n v="0"/>
    <n v="210.88900000000001"/>
    <n v="210.88900000000001"/>
    <n v="210.88900000000001"/>
    <n v="210.88900000000001"/>
    <n v="0"/>
    <x v="1"/>
    <n v="0"/>
    <n v="0"/>
    <n v="19"/>
    <n v="67"/>
    <n v="0"/>
    <n v="149.63"/>
    <n v="230.03"/>
    <m/>
    <n v="54.203801879475932"/>
    <n v="282.91739971702214"/>
    <n v="0"/>
    <n v="31555.321070000002"/>
    <n v="48510.796670000003"/>
    <n v="0"/>
    <n v="11430.9855745608"/>
    <n v="59664.167508923085"/>
  </r>
  <r>
    <s v="Regular"/>
    <x v="1"/>
    <x v="2"/>
    <x v="6"/>
    <x v="0"/>
    <x v="0"/>
    <x v="0"/>
    <x v="0"/>
    <x v="9"/>
    <n v="0"/>
    <n v="0"/>
    <n v="223.595"/>
    <n v="223.595"/>
    <n v="223.595"/>
    <n v="223.595"/>
    <n v="0"/>
    <x v="1"/>
    <n v="0"/>
    <n v="0"/>
    <n v="19"/>
    <n v="67"/>
    <n v="0"/>
    <n v="149.63"/>
    <n v="230.03"/>
    <m/>
    <n v="54.203801879475932"/>
    <n v="282.91739971702214"/>
    <n v="0"/>
    <n v="33456.519849999997"/>
    <n v="51433.557849999997"/>
    <n v="0"/>
    <n v="12119.699081241421"/>
    <n v="63258.915989727568"/>
  </r>
  <r>
    <s v="Regular"/>
    <x v="1"/>
    <x v="2"/>
    <x v="6"/>
    <x v="0"/>
    <x v="0"/>
    <x v="0"/>
    <x v="0"/>
    <x v="10"/>
    <n v="0"/>
    <n v="0"/>
    <n v="209.81800000000001"/>
    <n v="209.81800000000001"/>
    <n v="209.81800000000001"/>
    <n v="209.81800000000001"/>
    <n v="0"/>
    <x v="1"/>
    <n v="0"/>
    <n v="0"/>
    <n v="19"/>
    <n v="67"/>
    <n v="0"/>
    <n v="149.63"/>
    <n v="230.03"/>
    <m/>
    <n v="54.203801879475932"/>
    <n v="282.91739971702214"/>
    <n v="0"/>
    <n v="31395.067340000001"/>
    <n v="48264.434540000002"/>
    <n v="0"/>
    <n v="11372.933302747882"/>
    <n v="59361.162973826154"/>
  </r>
  <r>
    <s v="PROJETADO"/>
    <x v="1"/>
    <x v="2"/>
    <x v="6"/>
    <x v="0"/>
    <x v="0"/>
    <x v="0"/>
    <x v="0"/>
    <x v="11"/>
    <n v="0"/>
    <n v="0"/>
    <n v="209.81800000000001"/>
    <n v="209.81800000000001"/>
    <n v="209.81800000000001"/>
    <n v="209.81800000000001"/>
    <n v="0"/>
    <x v="1"/>
    <n v="0"/>
    <n v="0"/>
    <n v="19"/>
    <n v="67"/>
    <n v="0"/>
    <n v="149.63"/>
    <n v="230.03"/>
    <m/>
    <n v="54.203801879475932"/>
    <n v="282.91739971702214"/>
    <n v="0"/>
    <n v="31395.067340000001"/>
    <n v="48264.434540000002"/>
    <n v="0"/>
    <n v="11372.933302747882"/>
    <n v="59361.162973826154"/>
  </r>
  <r>
    <s v="Regular"/>
    <x v="1"/>
    <x v="2"/>
    <x v="6"/>
    <x v="0"/>
    <x v="0"/>
    <x v="0"/>
    <x v="1"/>
    <x v="0"/>
    <n v="898"/>
    <n v="898"/>
    <n v="0"/>
    <n v="0"/>
    <n v="0"/>
    <n v="0"/>
    <n v="7"/>
    <x v="1"/>
    <n v="0"/>
    <n v="23"/>
    <n v="0"/>
    <n v="0"/>
    <n v="28.57"/>
    <n v="0"/>
    <n v="0"/>
    <n v="31.93064187172984"/>
    <m/>
    <m/>
    <n v="25655.86"/>
    <n v="0"/>
    <n v="0"/>
    <n v="28673.716400813395"/>
    <n v="0"/>
    <n v="0"/>
  </r>
  <r>
    <s v="Regular"/>
    <x v="1"/>
    <x v="2"/>
    <x v="6"/>
    <x v="0"/>
    <x v="0"/>
    <x v="0"/>
    <x v="1"/>
    <x v="1"/>
    <n v="879"/>
    <n v="879"/>
    <n v="0"/>
    <n v="0"/>
    <n v="0"/>
    <n v="0"/>
    <n v="7"/>
    <x v="1"/>
    <n v="0"/>
    <n v="23"/>
    <n v="0"/>
    <n v="0"/>
    <n v="28.57"/>
    <n v="0"/>
    <n v="0"/>
    <n v="31.93064187172984"/>
    <m/>
    <m/>
    <n v="25113.03"/>
    <n v="0"/>
    <n v="0"/>
    <n v="28067.034205250529"/>
    <n v="0"/>
    <n v="0"/>
  </r>
  <r>
    <s v="Regular"/>
    <x v="1"/>
    <x v="2"/>
    <x v="6"/>
    <x v="0"/>
    <x v="0"/>
    <x v="0"/>
    <x v="1"/>
    <x v="2"/>
    <n v="798"/>
    <n v="798"/>
    <n v="0"/>
    <n v="0"/>
    <n v="0"/>
    <n v="0"/>
    <n v="7"/>
    <x v="1"/>
    <n v="0"/>
    <n v="23"/>
    <n v="0"/>
    <n v="0"/>
    <n v="28.57"/>
    <n v="0"/>
    <n v="0"/>
    <n v="31.93064187172984"/>
    <m/>
    <m/>
    <n v="22798.86"/>
    <n v="0"/>
    <n v="0"/>
    <n v="25480.652213640413"/>
    <n v="0"/>
    <n v="0"/>
  </r>
  <r>
    <s v="Regular"/>
    <x v="1"/>
    <x v="2"/>
    <x v="6"/>
    <x v="0"/>
    <x v="0"/>
    <x v="0"/>
    <x v="1"/>
    <x v="3"/>
    <n v="827"/>
    <n v="827"/>
    <n v="0"/>
    <n v="0"/>
    <n v="0"/>
    <n v="0"/>
    <n v="7"/>
    <x v="1"/>
    <n v="0"/>
    <n v="23"/>
    <n v="0"/>
    <n v="0"/>
    <n v="28.57"/>
    <n v="0"/>
    <n v="0"/>
    <n v="31.93064187172984"/>
    <m/>
    <m/>
    <n v="23627.39"/>
    <n v="0"/>
    <n v="0"/>
    <n v="26406.640827920579"/>
    <n v="0"/>
    <n v="0"/>
  </r>
  <r>
    <s v="Regular"/>
    <x v="1"/>
    <x v="2"/>
    <x v="6"/>
    <x v="0"/>
    <x v="0"/>
    <x v="0"/>
    <x v="1"/>
    <x v="4"/>
    <n v="843"/>
    <n v="843"/>
    <n v="0"/>
    <n v="0"/>
    <n v="0"/>
    <n v="0"/>
    <n v="7"/>
    <x v="1"/>
    <n v="0"/>
    <n v="23"/>
    <n v="0"/>
    <n v="0"/>
    <n v="28.57"/>
    <n v="0"/>
    <n v="0"/>
    <n v="31.93064187172984"/>
    <m/>
    <m/>
    <n v="24084.510000000002"/>
    <n v="0"/>
    <n v="0"/>
    <n v="26917.531097868254"/>
    <n v="0"/>
    <n v="0"/>
  </r>
  <r>
    <s v="Regular"/>
    <x v="1"/>
    <x v="2"/>
    <x v="6"/>
    <x v="0"/>
    <x v="0"/>
    <x v="0"/>
    <x v="1"/>
    <x v="5"/>
    <n v="865"/>
    <n v="865"/>
    <n v="0"/>
    <n v="0"/>
    <n v="0"/>
    <n v="0"/>
    <n v="7"/>
    <x v="1"/>
    <n v="0"/>
    <n v="23"/>
    <n v="0"/>
    <n v="0"/>
    <n v="28.57"/>
    <n v="0"/>
    <n v="0"/>
    <n v="31.93064187172984"/>
    <m/>
    <m/>
    <n v="24713.05"/>
    <n v="0"/>
    <n v="0"/>
    <n v="27620.00521904631"/>
    <n v="0"/>
    <n v="0"/>
  </r>
  <r>
    <s v="Regular"/>
    <x v="1"/>
    <x v="2"/>
    <x v="6"/>
    <x v="0"/>
    <x v="0"/>
    <x v="0"/>
    <x v="1"/>
    <x v="6"/>
    <n v="888"/>
    <n v="888"/>
    <n v="0"/>
    <n v="0"/>
    <n v="0"/>
    <n v="0"/>
    <n v="7"/>
    <x v="1"/>
    <n v="0"/>
    <n v="23"/>
    <n v="0"/>
    <n v="0"/>
    <n v="28.57"/>
    <n v="0"/>
    <n v="0"/>
    <n v="31.93064187172984"/>
    <m/>
    <m/>
    <n v="25370.16"/>
    <n v="0"/>
    <n v="0"/>
    <n v="28354.409982096098"/>
    <n v="0"/>
    <n v="0"/>
  </r>
  <r>
    <s v="Regular"/>
    <x v="1"/>
    <x v="2"/>
    <x v="6"/>
    <x v="0"/>
    <x v="0"/>
    <x v="0"/>
    <x v="1"/>
    <x v="7"/>
    <n v="891"/>
    <n v="891"/>
    <n v="0"/>
    <n v="0"/>
    <n v="0"/>
    <n v="0"/>
    <n v="7"/>
    <x v="1"/>
    <n v="0"/>
    <n v="23"/>
    <n v="0"/>
    <n v="0"/>
    <n v="28.57"/>
    <n v="0"/>
    <n v="0"/>
    <n v="31.93064187172984"/>
    <m/>
    <m/>
    <n v="25455.87"/>
    <n v="0"/>
    <n v="0"/>
    <n v="28450.201907711289"/>
    <n v="0"/>
    <n v="0"/>
  </r>
  <r>
    <s v="Regular"/>
    <x v="1"/>
    <x v="2"/>
    <x v="6"/>
    <x v="0"/>
    <x v="0"/>
    <x v="0"/>
    <x v="1"/>
    <x v="8"/>
    <n v="873"/>
    <n v="873"/>
    <n v="0"/>
    <n v="0"/>
    <n v="0"/>
    <n v="0"/>
    <n v="7"/>
    <x v="1"/>
    <n v="0"/>
    <n v="23"/>
    <n v="0"/>
    <n v="0"/>
    <n v="28.57"/>
    <n v="0"/>
    <n v="0"/>
    <n v="31.93064187172984"/>
    <m/>
    <m/>
    <n v="24941.61"/>
    <n v="0"/>
    <n v="0"/>
    <n v="27875.450354020151"/>
    <n v="0"/>
    <n v="0"/>
  </r>
  <r>
    <s v="Regular"/>
    <x v="1"/>
    <x v="2"/>
    <x v="6"/>
    <x v="0"/>
    <x v="0"/>
    <x v="0"/>
    <x v="1"/>
    <x v="9"/>
    <n v="914"/>
    <n v="914"/>
    <n v="0"/>
    <n v="0"/>
    <n v="0"/>
    <n v="0"/>
    <n v="7"/>
    <x v="1"/>
    <n v="0"/>
    <n v="23"/>
    <n v="0"/>
    <n v="0"/>
    <n v="28.57"/>
    <n v="0"/>
    <n v="0"/>
    <n v="31.93064187172984"/>
    <m/>
    <m/>
    <n v="26112.98"/>
    <n v="0"/>
    <n v="0"/>
    <n v="29184.606670761073"/>
    <n v="0"/>
    <n v="0"/>
  </r>
  <r>
    <s v="Regular"/>
    <x v="1"/>
    <x v="2"/>
    <x v="6"/>
    <x v="0"/>
    <x v="0"/>
    <x v="0"/>
    <x v="1"/>
    <x v="10"/>
    <n v="895"/>
    <n v="895"/>
    <n v="0"/>
    <n v="0"/>
    <n v="0"/>
    <n v="0"/>
    <n v="7"/>
    <x v="1"/>
    <n v="0"/>
    <n v="23"/>
    <n v="0"/>
    <n v="0"/>
    <n v="28.57"/>
    <n v="0"/>
    <n v="0"/>
    <n v="31.93064187172984"/>
    <m/>
    <m/>
    <n v="25570.15"/>
    <n v="0"/>
    <n v="0"/>
    <n v="28577.924475198208"/>
    <n v="0"/>
    <n v="0"/>
  </r>
  <r>
    <s v="PROJETADO"/>
    <x v="1"/>
    <x v="2"/>
    <x v="6"/>
    <x v="0"/>
    <x v="0"/>
    <x v="0"/>
    <x v="1"/>
    <x v="11"/>
    <n v="895"/>
    <n v="895"/>
    <n v="0"/>
    <n v="0"/>
    <n v="0"/>
    <n v="0"/>
    <n v="7"/>
    <x v="1"/>
    <n v="0"/>
    <n v="23"/>
    <n v="0"/>
    <n v="0"/>
    <n v="28.57"/>
    <n v="0"/>
    <n v="0"/>
    <n v="31.93064187172984"/>
    <m/>
    <m/>
    <n v="25570.15"/>
    <n v="0"/>
    <n v="0"/>
    <n v="28577.924475198208"/>
    <n v="0"/>
    <n v="0"/>
  </r>
  <r>
    <s v="Regular"/>
    <x v="1"/>
    <x v="2"/>
    <x v="6"/>
    <x v="0"/>
    <x v="0"/>
    <x v="0"/>
    <x v="2"/>
    <x v="0"/>
    <n v="0"/>
    <n v="0"/>
    <n v="10.016"/>
    <n v="10.016"/>
    <n v="10.016"/>
    <n v="10.016"/>
    <n v="0"/>
    <x v="1"/>
    <n v="0"/>
    <n v="0"/>
    <n v="24"/>
    <n v="66"/>
    <n v="0"/>
    <n v="1434.79"/>
    <n v="389.28"/>
    <m/>
    <n v="1501.8340703569011"/>
    <n v="454.3285679284046"/>
    <n v="0"/>
    <n v="14370.85664"/>
    <n v="3899.0284799999999"/>
    <n v="0"/>
    <n v="15042.370048694722"/>
    <n v="4550.5549363709006"/>
  </r>
  <r>
    <s v="Regular"/>
    <x v="1"/>
    <x v="2"/>
    <x v="6"/>
    <x v="0"/>
    <x v="0"/>
    <x v="0"/>
    <x v="2"/>
    <x v="1"/>
    <n v="0"/>
    <n v="0"/>
    <n v="11.084"/>
    <n v="11.084"/>
    <n v="11.084"/>
    <n v="11.084"/>
    <n v="0"/>
    <x v="1"/>
    <n v="0"/>
    <n v="0"/>
    <n v="24"/>
    <n v="66"/>
    <n v="0"/>
    <n v="1434.79"/>
    <n v="389.28"/>
    <m/>
    <n v="1501.8340703569011"/>
    <n v="454.3285679284046"/>
    <n v="0"/>
    <n v="15903.21236"/>
    <n v="4314.7795199999991"/>
    <n v="0"/>
    <n v="16646.328835835891"/>
    <n v="5035.7778469184368"/>
  </r>
  <r>
    <s v="Regular"/>
    <x v="1"/>
    <x v="2"/>
    <x v="6"/>
    <x v="0"/>
    <x v="0"/>
    <x v="0"/>
    <x v="2"/>
    <x v="2"/>
    <n v="0"/>
    <n v="0"/>
    <n v="9.4049999999999994"/>
    <n v="9.4049999999999994"/>
    <n v="9.4049999999999994"/>
    <n v="9.4049999999999994"/>
    <n v="0"/>
    <x v="1"/>
    <n v="0"/>
    <n v="0"/>
    <n v="24"/>
    <n v="66"/>
    <n v="0"/>
    <n v="1434.79"/>
    <n v="389.28"/>
    <m/>
    <n v="1501.8340703569011"/>
    <n v="454.3285679284046"/>
    <n v="0"/>
    <n v="13494.199949999998"/>
    <n v="3661.1783999999993"/>
    <n v="0"/>
    <n v="14124.749431706654"/>
    <n v="4272.960181366645"/>
  </r>
  <r>
    <s v="Regular"/>
    <x v="1"/>
    <x v="2"/>
    <x v="6"/>
    <x v="0"/>
    <x v="0"/>
    <x v="0"/>
    <x v="2"/>
    <x v="3"/>
    <n v="0"/>
    <n v="0"/>
    <n v="9.5660000000000007"/>
    <n v="9.5660000000000007"/>
    <n v="9.5660000000000007"/>
    <n v="9.5660000000000007"/>
    <n v="0"/>
    <x v="1"/>
    <n v="0"/>
    <n v="0"/>
    <n v="24"/>
    <n v="66"/>
    <n v="0"/>
    <n v="1434.79"/>
    <n v="389.28"/>
    <m/>
    <n v="1501.8340703569011"/>
    <n v="454.3285679284046"/>
    <n v="0"/>
    <n v="13725.201140000001"/>
    <n v="3723.85248"/>
    <n v="0"/>
    <n v="14366.544717034116"/>
    <n v="4346.1070808031191"/>
  </r>
  <r>
    <s v="Regular"/>
    <x v="1"/>
    <x v="2"/>
    <x v="6"/>
    <x v="0"/>
    <x v="0"/>
    <x v="0"/>
    <x v="2"/>
    <x v="4"/>
    <n v="0"/>
    <n v="0"/>
    <n v="11.2"/>
    <n v="11.2"/>
    <n v="11.2"/>
    <n v="11.2"/>
    <n v="0"/>
    <x v="1"/>
    <n v="0"/>
    <n v="0"/>
    <n v="24"/>
    <n v="66"/>
    <n v="0"/>
    <n v="1434.79"/>
    <n v="389.28"/>
    <m/>
    <n v="1501.8340703569011"/>
    <n v="454.3285679284046"/>
    <n v="0"/>
    <n v="16069.647999999999"/>
    <n v="4359.9359999999997"/>
    <n v="0"/>
    <n v="16820.54158799729"/>
    <n v="5088.4799607981313"/>
  </r>
  <r>
    <s v="Regular"/>
    <x v="1"/>
    <x v="2"/>
    <x v="6"/>
    <x v="0"/>
    <x v="0"/>
    <x v="0"/>
    <x v="2"/>
    <x v="5"/>
    <n v="0"/>
    <n v="0"/>
    <n v="10.715999999999999"/>
    <n v="10.715999999999999"/>
    <n v="10.715999999999999"/>
    <n v="10.715999999999999"/>
    <n v="0"/>
    <x v="1"/>
    <n v="0"/>
    <n v="0"/>
    <n v="24"/>
    <n v="66"/>
    <n v="0"/>
    <n v="1434.79"/>
    <n v="389.28"/>
    <m/>
    <n v="1501.8340703569011"/>
    <n v="454.3285679284046"/>
    <n v="0"/>
    <n v="15375.209639999999"/>
    <n v="4171.5244799999991"/>
    <n v="0"/>
    <n v="16093.65389794455"/>
    <n v="4868.5849339207834"/>
  </r>
  <r>
    <s v="Regular"/>
    <x v="1"/>
    <x v="2"/>
    <x v="6"/>
    <x v="0"/>
    <x v="0"/>
    <x v="0"/>
    <x v="2"/>
    <x v="6"/>
    <n v="0"/>
    <n v="0"/>
    <n v="12.023"/>
    <n v="12.023"/>
    <n v="12.023"/>
    <n v="12.023"/>
    <n v="0"/>
    <x v="1"/>
    <n v="0"/>
    <n v="0"/>
    <n v="24"/>
    <n v="66"/>
    <n v="0"/>
    <n v="1434.79"/>
    <n v="389.28"/>
    <m/>
    <n v="1501.8340703569011"/>
    <n v="454.3285679284046"/>
    <n v="0"/>
    <n v="17250.480169999999"/>
    <n v="4680.3134399999999"/>
    <n v="0"/>
    <n v="18056.55102790102"/>
    <n v="5462.3923722032087"/>
  </r>
  <r>
    <s v="Regular"/>
    <x v="1"/>
    <x v="2"/>
    <x v="6"/>
    <x v="0"/>
    <x v="0"/>
    <x v="0"/>
    <x v="2"/>
    <x v="7"/>
    <n v="0"/>
    <n v="0"/>
    <n v="11.859"/>
    <n v="11.859"/>
    <n v="11.859"/>
    <n v="11.859"/>
    <n v="0"/>
    <x v="1"/>
    <n v="0"/>
    <n v="0"/>
    <n v="24"/>
    <n v="66"/>
    <n v="0"/>
    <n v="1434.79"/>
    <n v="389.28"/>
    <m/>
    <n v="1501.8340703569011"/>
    <n v="454.3285679284046"/>
    <n v="0"/>
    <n v="17015.174609999998"/>
    <n v="4616.4715200000001"/>
    <n v="0"/>
    <n v="17810.250240362489"/>
    <n v="5387.8824870629505"/>
  </r>
  <r>
    <s v="Regular"/>
    <x v="1"/>
    <x v="2"/>
    <x v="6"/>
    <x v="0"/>
    <x v="0"/>
    <x v="0"/>
    <x v="2"/>
    <x v="8"/>
    <n v="0"/>
    <n v="0"/>
    <n v="11.95"/>
    <n v="11.95"/>
    <n v="11.95"/>
    <n v="11.95"/>
    <n v="0"/>
    <x v="1"/>
    <n v="0"/>
    <n v="0"/>
    <n v="24"/>
    <n v="66"/>
    <n v="0"/>
    <n v="1434.79"/>
    <n v="389.28"/>
    <m/>
    <n v="1501.8340703569011"/>
    <n v="454.3285679284046"/>
    <n v="0"/>
    <n v="17145.7405"/>
    <n v="4651.8959999999997"/>
    <n v="0"/>
    <n v="17946.917140764966"/>
    <n v="5429.2263867444344"/>
  </r>
  <r>
    <s v="Regular"/>
    <x v="1"/>
    <x v="2"/>
    <x v="6"/>
    <x v="0"/>
    <x v="0"/>
    <x v="0"/>
    <x v="2"/>
    <x v="9"/>
    <n v="0"/>
    <n v="0"/>
    <n v="12.388"/>
    <n v="12.388"/>
    <n v="12.388"/>
    <n v="12.388"/>
    <n v="0"/>
    <x v="1"/>
    <n v="0"/>
    <n v="0"/>
    <n v="24"/>
    <n v="66"/>
    <n v="0"/>
    <n v="1434.79"/>
    <n v="389.28"/>
    <m/>
    <n v="1501.8340703569011"/>
    <n v="454.3285679284046"/>
    <n v="0"/>
    <n v="17774.178519999998"/>
    <n v="4822.4006399999998"/>
    <n v="0"/>
    <n v="18604.720463581289"/>
    <n v="5628.2222994970762"/>
  </r>
  <r>
    <s v="Regular"/>
    <x v="1"/>
    <x v="2"/>
    <x v="6"/>
    <x v="0"/>
    <x v="0"/>
    <x v="0"/>
    <x v="2"/>
    <x v="10"/>
    <n v="0"/>
    <n v="0"/>
    <n v="11.398999999999999"/>
    <n v="11.398999999999999"/>
    <n v="11.398999999999999"/>
    <n v="11.398999999999999"/>
    <n v="0"/>
    <x v="1"/>
    <n v="0"/>
    <n v="0"/>
    <n v="24"/>
    <n v="66"/>
    <n v="0"/>
    <n v="1434.79"/>
    <n v="389.28"/>
    <m/>
    <n v="1501.8340703569011"/>
    <n v="454.3285679284046"/>
    <n v="0"/>
    <n v="16355.171209999999"/>
    <n v="4437.4027199999991"/>
    <n v="0"/>
    <n v="17119.406567998314"/>
    <n v="5178.8913458158831"/>
  </r>
  <r>
    <s v="PROJETADO"/>
    <x v="1"/>
    <x v="2"/>
    <x v="6"/>
    <x v="0"/>
    <x v="0"/>
    <x v="0"/>
    <x v="2"/>
    <x v="11"/>
    <n v="0"/>
    <n v="0"/>
    <n v="11.398999999999999"/>
    <n v="11.398999999999999"/>
    <n v="11.398999999999999"/>
    <n v="11.398999999999999"/>
    <n v="0"/>
    <x v="1"/>
    <n v="0"/>
    <n v="0"/>
    <n v="24"/>
    <n v="66"/>
    <n v="0"/>
    <n v="1434.79"/>
    <n v="389.28"/>
    <m/>
    <n v="1501.8340703569011"/>
    <n v="454.3285679284046"/>
    <n v="0"/>
    <n v="16355.171209999999"/>
    <n v="4437.4027199999991"/>
    <n v="0"/>
    <n v="17119.406567998314"/>
    <n v="5178.8913458158831"/>
  </r>
  <r>
    <s v="Regular"/>
    <x v="1"/>
    <x v="2"/>
    <x v="1"/>
    <x v="0"/>
    <x v="1"/>
    <x v="0"/>
    <x v="0"/>
    <x v="0"/>
    <n v="0"/>
    <n v="0"/>
    <n v="27701.027999999998"/>
    <n v="27701.027999999998"/>
    <n v="0"/>
    <n v="0"/>
    <n v="0"/>
    <x v="0"/>
    <n v="0"/>
    <n v="0"/>
    <n v="19"/>
    <n v="0"/>
    <n v="0"/>
    <n v="149.63"/>
    <n v="0"/>
    <m/>
    <n v="54.203801879475932"/>
    <m/>
    <n v="0"/>
    <n v="4144904.8196399994"/>
    <n v="0"/>
    <n v="0"/>
    <n v="1501501.0335698153"/>
    <n v="0"/>
  </r>
  <r>
    <s v="Regular"/>
    <x v="1"/>
    <x v="2"/>
    <x v="1"/>
    <x v="0"/>
    <x v="1"/>
    <x v="0"/>
    <x v="0"/>
    <x v="1"/>
    <n v="0"/>
    <n v="0"/>
    <n v="25931.152999999998"/>
    <n v="25931.152999999998"/>
    <n v="0"/>
    <n v="0"/>
    <n v="0"/>
    <x v="0"/>
    <n v="0"/>
    <n v="0"/>
    <n v="19"/>
    <n v="0"/>
    <n v="0"/>
    <n v="149.63"/>
    <n v="0"/>
    <m/>
    <n v="54.203801879475932"/>
    <m/>
    <n v="0"/>
    <n v="3880078.4233899997"/>
    <n v="0"/>
    <n v="0"/>
    <n v="1405567.0797183779"/>
    <n v="0"/>
  </r>
  <r>
    <s v="Regular"/>
    <x v="1"/>
    <x v="2"/>
    <x v="1"/>
    <x v="0"/>
    <x v="1"/>
    <x v="0"/>
    <x v="0"/>
    <x v="2"/>
    <n v="0"/>
    <n v="0"/>
    <n v="21403.15"/>
    <n v="21403.15"/>
    <n v="0"/>
    <n v="0"/>
    <n v="0"/>
    <x v="0"/>
    <n v="0"/>
    <n v="0"/>
    <n v="19"/>
    <n v="0"/>
    <n v="0"/>
    <n v="149.63"/>
    <n v="0"/>
    <m/>
    <n v="54.203801879475932"/>
    <m/>
    <n v="0"/>
    <n v="3202553.3345000003"/>
    <n v="0"/>
    <n v="0"/>
    <n v="1160132.1021967053"/>
    <n v="0"/>
  </r>
  <r>
    <s v="Regular"/>
    <x v="1"/>
    <x v="2"/>
    <x v="1"/>
    <x v="0"/>
    <x v="1"/>
    <x v="0"/>
    <x v="0"/>
    <x v="3"/>
    <n v="0"/>
    <n v="0"/>
    <n v="22032.32"/>
    <n v="22032.32"/>
    <n v="0"/>
    <n v="0"/>
    <n v="0"/>
    <x v="0"/>
    <n v="0"/>
    <n v="0"/>
    <n v="19"/>
    <n v="0"/>
    <n v="0"/>
    <n v="149.63"/>
    <n v="0"/>
    <m/>
    <n v="54.203801879475932"/>
    <m/>
    <n v="0"/>
    <n v="3296696.0415999996"/>
    <n v="0"/>
    <n v="0"/>
    <n v="1194235.5082252151"/>
    <n v="0"/>
  </r>
  <r>
    <s v="Regular"/>
    <x v="1"/>
    <x v="2"/>
    <x v="1"/>
    <x v="0"/>
    <x v="1"/>
    <x v="0"/>
    <x v="0"/>
    <x v="4"/>
    <n v="0"/>
    <n v="0"/>
    <n v="28997.48"/>
    <n v="28997.48"/>
    <n v="0"/>
    <n v="0"/>
    <n v="0"/>
    <x v="0"/>
    <n v="0"/>
    <n v="0"/>
    <n v="19"/>
    <n v="0"/>
    <n v="0"/>
    <n v="149.63"/>
    <n v="0"/>
    <m/>
    <n v="54.203801879475932"/>
    <m/>
    <n v="0"/>
    <n v="4338892.9323999994"/>
    <n v="0"/>
    <n v="0"/>
    <n v="1571773.6609240656"/>
    <n v="0"/>
  </r>
  <r>
    <s v="Regular"/>
    <x v="1"/>
    <x v="2"/>
    <x v="1"/>
    <x v="0"/>
    <x v="1"/>
    <x v="0"/>
    <x v="0"/>
    <x v="5"/>
    <n v="0"/>
    <n v="0"/>
    <n v="28943.581999999999"/>
    <n v="28943.581999999999"/>
    <n v="0"/>
    <n v="0"/>
    <n v="0"/>
    <x v="0"/>
    <n v="0"/>
    <n v="0"/>
    <n v="19"/>
    <n v="0"/>
    <n v="0"/>
    <n v="149.63"/>
    <n v="0"/>
    <m/>
    <n v="54.203801879475932"/>
    <m/>
    <n v="0"/>
    <n v="4330828.17466"/>
    <n v="0"/>
    <n v="0"/>
    <n v="1568852.1844103658"/>
    <n v="0"/>
  </r>
  <r>
    <s v="Regular"/>
    <x v="1"/>
    <x v="2"/>
    <x v="1"/>
    <x v="0"/>
    <x v="1"/>
    <x v="0"/>
    <x v="0"/>
    <x v="6"/>
    <n v="0"/>
    <n v="0"/>
    <n v="30874.821"/>
    <n v="30874.821"/>
    <n v="0"/>
    <n v="0"/>
    <n v="0"/>
    <x v="0"/>
    <n v="0"/>
    <n v="0"/>
    <n v="19"/>
    <n v="0"/>
    <n v="0"/>
    <n v="149.63"/>
    <n v="0"/>
    <m/>
    <n v="54.203801879475932"/>
    <m/>
    <n v="0"/>
    <n v="4619799.4662299994"/>
    <n v="0"/>
    <n v="0"/>
    <n v="1673532.680548283"/>
    <n v="0"/>
  </r>
  <r>
    <s v="Regular"/>
    <x v="1"/>
    <x v="2"/>
    <x v="1"/>
    <x v="0"/>
    <x v="1"/>
    <x v="0"/>
    <x v="0"/>
    <x v="7"/>
    <n v="0"/>
    <n v="0"/>
    <n v="21403.15"/>
    <n v="21403.15"/>
    <n v="0"/>
    <n v="0"/>
    <n v="0"/>
    <x v="0"/>
    <n v="0"/>
    <n v="0"/>
    <n v="19"/>
    <n v="0"/>
    <n v="0"/>
    <n v="149.63"/>
    <n v="0"/>
    <m/>
    <n v="54.203801879475932"/>
    <m/>
    <n v="0"/>
    <n v="3202553.3345000003"/>
    <n v="0"/>
    <n v="0"/>
    <n v="1160132.1021967053"/>
    <n v="0"/>
  </r>
  <r>
    <s v="Regular"/>
    <x v="1"/>
    <x v="2"/>
    <x v="1"/>
    <x v="0"/>
    <x v="1"/>
    <x v="0"/>
    <x v="0"/>
    <x v="8"/>
    <n v="0"/>
    <n v="0"/>
    <n v="31734.306"/>
    <n v="31734.306"/>
    <n v="0"/>
    <n v="0"/>
    <n v="0"/>
    <x v="0"/>
    <n v="0"/>
    <n v="0"/>
    <n v="19"/>
    <n v="0"/>
    <n v="0"/>
    <n v="149.63"/>
    <n v="0"/>
    <m/>
    <n v="54.203801879475932"/>
    <m/>
    <n v="0"/>
    <n v="4748404.2067799997"/>
    <n v="0"/>
    <n v="0"/>
    <n v="1720120.0352066644"/>
    <n v="0"/>
  </r>
  <r>
    <s v="Regular"/>
    <x v="1"/>
    <x v="2"/>
    <x v="1"/>
    <x v="0"/>
    <x v="1"/>
    <x v="0"/>
    <x v="0"/>
    <x v="9"/>
    <n v="0"/>
    <n v="0"/>
    <n v="32571.826000000001"/>
    <n v="32571.826000000001"/>
    <n v="0"/>
    <n v="0"/>
    <n v="0"/>
    <x v="0"/>
    <n v="0"/>
    <n v="0"/>
    <n v="19"/>
    <n v="0"/>
    <n v="0"/>
    <n v="149.63"/>
    <n v="0"/>
    <m/>
    <n v="54.203801879475932"/>
    <m/>
    <n v="0"/>
    <n v="4873722.3243800001"/>
    <n v="0"/>
    <n v="0"/>
    <n v="1765516.8033567632"/>
    <n v="0"/>
  </r>
  <r>
    <s v="Regular"/>
    <x v="1"/>
    <x v="2"/>
    <x v="1"/>
    <x v="0"/>
    <x v="1"/>
    <x v="0"/>
    <x v="0"/>
    <x v="10"/>
    <n v="0"/>
    <n v="0"/>
    <n v="32074.414000000001"/>
    <n v="32074.414000000001"/>
    <n v="0"/>
    <n v="0"/>
    <n v="0"/>
    <x v="0"/>
    <n v="0"/>
    <n v="0"/>
    <n v="19"/>
    <n v="0"/>
    <n v="0"/>
    <n v="149.63"/>
    <n v="0"/>
    <m/>
    <n v="54.203801879475932"/>
    <m/>
    <n v="0"/>
    <n v="4799294.5668200003"/>
    <n v="0"/>
    <n v="0"/>
    <n v="1738555.1818562893"/>
    <n v="0"/>
  </r>
  <r>
    <s v="PROJETADO"/>
    <x v="1"/>
    <x v="2"/>
    <x v="1"/>
    <x v="0"/>
    <x v="1"/>
    <x v="0"/>
    <x v="0"/>
    <x v="11"/>
    <n v="0"/>
    <n v="0"/>
    <n v="32074.414000000001"/>
    <n v="32074.414000000001"/>
    <n v="0"/>
    <n v="0"/>
    <n v="0"/>
    <x v="0"/>
    <n v="0"/>
    <n v="0"/>
    <n v="19"/>
    <n v="0"/>
    <n v="0"/>
    <n v="149.63"/>
    <n v="0"/>
    <m/>
    <n v="54.203801879475932"/>
    <m/>
    <n v="0"/>
    <n v="4799294.5668200003"/>
    <n v="0"/>
    <n v="0"/>
    <n v="1738555.1818562893"/>
    <n v="0"/>
  </r>
  <r>
    <s v="Regular"/>
    <x v="1"/>
    <x v="2"/>
    <x v="1"/>
    <x v="0"/>
    <x v="1"/>
    <x v="0"/>
    <x v="1"/>
    <x v="0"/>
    <n v="101900"/>
    <n v="52060.71"/>
    <n v="0"/>
    <n v="0"/>
    <n v="0"/>
    <n v="0"/>
    <n v="123"/>
    <x v="0"/>
    <n v="0"/>
    <n v="23"/>
    <n v="0"/>
    <n v="0"/>
    <n v="28.57"/>
    <n v="0"/>
    <n v="0"/>
    <n v="31.93064187172984"/>
    <m/>
    <m/>
    <n v="1487374.4846999999"/>
    <n v="0"/>
    <n v="0"/>
    <n v="1662331.8865979845"/>
    <n v="0"/>
    <n v="0"/>
  </r>
  <r>
    <s v="Regular"/>
    <x v="1"/>
    <x v="2"/>
    <x v="1"/>
    <x v="0"/>
    <x v="1"/>
    <x v="0"/>
    <x v="1"/>
    <x v="1"/>
    <n v="97385"/>
    <n v="47932.896999999997"/>
    <n v="0"/>
    <n v="0"/>
    <n v="0"/>
    <n v="0"/>
    <n v="123"/>
    <x v="0"/>
    <n v="0"/>
    <n v="23"/>
    <n v="0"/>
    <n v="0"/>
    <n v="28.57"/>
    <n v="0"/>
    <n v="0"/>
    <n v="31.93064187172984"/>
    <m/>
    <m/>
    <n v="1369442.86729"/>
    <n v="0"/>
    <n v="0"/>
    <n v="1530528.1679815135"/>
    <n v="0"/>
    <n v="0"/>
  </r>
  <r>
    <s v="Regular"/>
    <x v="1"/>
    <x v="2"/>
    <x v="1"/>
    <x v="0"/>
    <x v="1"/>
    <x v="0"/>
    <x v="1"/>
    <x v="2"/>
    <n v="97560"/>
    <n v="49140.972000000002"/>
    <n v="0"/>
    <n v="0"/>
    <n v="0"/>
    <n v="0"/>
    <n v="124"/>
    <x v="0"/>
    <n v="0"/>
    <n v="23"/>
    <n v="0"/>
    <n v="0"/>
    <n v="28.57"/>
    <n v="0"/>
    <n v="0"/>
    <n v="31.93064187172984"/>
    <m/>
    <m/>
    <n v="1403957.5700400001"/>
    <n v="0"/>
    <n v="0"/>
    <n v="1569102.7781607036"/>
    <n v="0"/>
    <n v="0"/>
  </r>
  <r>
    <s v="Regular"/>
    <x v="1"/>
    <x v="2"/>
    <x v="1"/>
    <x v="0"/>
    <x v="1"/>
    <x v="0"/>
    <x v="1"/>
    <x v="3"/>
    <n v="101350"/>
    <n v="50279.735000000001"/>
    <n v="0"/>
    <n v="0"/>
    <n v="0"/>
    <n v="0"/>
    <n v="127"/>
    <x v="0"/>
    <n v="0"/>
    <n v="23"/>
    <n v="0"/>
    <n v="0"/>
    <n v="28.57"/>
    <n v="0"/>
    <n v="0"/>
    <n v="31.93064187172984"/>
    <m/>
    <m/>
    <n v="1436492.0289499999"/>
    <n v="0"/>
    <n v="0"/>
    <n v="1605464.2116904804"/>
    <n v="0"/>
    <n v="0"/>
  </r>
  <r>
    <s v="Regular"/>
    <x v="1"/>
    <x v="2"/>
    <x v="1"/>
    <x v="0"/>
    <x v="1"/>
    <x v="0"/>
    <x v="1"/>
    <x v="4"/>
    <n v="102537"/>
    <n v="49709.937599999997"/>
    <n v="0"/>
    <n v="0"/>
    <n v="0"/>
    <n v="0"/>
    <n v="129"/>
    <x v="0"/>
    <n v="0"/>
    <n v="23"/>
    <n v="0"/>
    <n v="0"/>
    <n v="28.57"/>
    <n v="0"/>
    <n v="0"/>
    <n v="31.93064187172984"/>
    <m/>
    <m/>
    <n v="1420212.917232"/>
    <n v="0"/>
    <n v="0"/>
    <n v="1587270.2149716374"/>
    <n v="0"/>
    <n v="0"/>
  </r>
  <r>
    <s v="Regular"/>
    <x v="1"/>
    <x v="2"/>
    <x v="1"/>
    <x v="0"/>
    <x v="1"/>
    <x v="0"/>
    <x v="1"/>
    <x v="5"/>
    <n v="108267"/>
    <n v="51318.557999999997"/>
    <n v="0"/>
    <n v="0"/>
    <n v="0"/>
    <n v="0"/>
    <n v="134"/>
    <x v="0"/>
    <n v="0"/>
    <n v="23"/>
    <n v="0"/>
    <n v="0"/>
    <n v="28.57"/>
    <n v="0"/>
    <n v="0"/>
    <n v="31.93064187172984"/>
    <m/>
    <m/>
    <n v="1466171.20206"/>
    <n v="0"/>
    <n v="0"/>
    <n v="1638634.4968715962"/>
    <n v="0"/>
    <n v="0"/>
  </r>
  <r>
    <s v="Regular"/>
    <x v="1"/>
    <x v="2"/>
    <x v="1"/>
    <x v="0"/>
    <x v="1"/>
    <x v="0"/>
    <x v="1"/>
    <x v="6"/>
    <n v="110368"/>
    <n v="52766.940799999997"/>
    <n v="0"/>
    <n v="0"/>
    <n v="0"/>
    <n v="0"/>
    <n v="136"/>
    <x v="0"/>
    <n v="0"/>
    <n v="23"/>
    <n v="0"/>
    <n v="0"/>
    <n v="28.57"/>
    <n v="0"/>
    <n v="0"/>
    <n v="31.93064187172984"/>
    <m/>
    <m/>
    <n v="1507551.498656"/>
    <n v="0"/>
    <n v="0"/>
    <n v="1684882.2893515695"/>
    <n v="0"/>
    <n v="0"/>
  </r>
  <r>
    <s v="Regular"/>
    <x v="1"/>
    <x v="2"/>
    <x v="1"/>
    <x v="0"/>
    <x v="1"/>
    <x v="0"/>
    <x v="1"/>
    <x v="7"/>
    <n v="97560"/>
    <n v="49140.972000000002"/>
    <n v="0"/>
    <n v="0"/>
    <n v="0"/>
    <n v="0"/>
    <n v="124"/>
    <x v="0"/>
    <n v="0"/>
    <n v="23"/>
    <n v="0"/>
    <n v="0"/>
    <n v="28.57"/>
    <n v="0"/>
    <n v="0"/>
    <n v="31.93064187172984"/>
    <m/>
    <m/>
    <n v="1403957.5700400001"/>
    <n v="0"/>
    <n v="0"/>
    <n v="1569102.7781607036"/>
    <n v="0"/>
    <n v="0"/>
  </r>
  <r>
    <s v="Regular"/>
    <x v="1"/>
    <x v="2"/>
    <x v="1"/>
    <x v="0"/>
    <x v="1"/>
    <x v="0"/>
    <x v="1"/>
    <x v="8"/>
    <n v="107052"/>
    <n v="50742.648000000001"/>
    <n v="0"/>
    <n v="0"/>
    <n v="0"/>
    <n v="0"/>
    <n v="138"/>
    <x v="0"/>
    <n v="0"/>
    <n v="23"/>
    <n v="0"/>
    <n v="0"/>
    <n v="28.57"/>
    <n v="0"/>
    <n v="0"/>
    <n v="31.93064187172984"/>
    <m/>
    <m/>
    <n v="1449717.4533600002"/>
    <n v="0"/>
    <n v="0"/>
    <n v="1620245.3209112484"/>
    <n v="0"/>
    <n v="0"/>
  </r>
  <r>
    <s v="Regular"/>
    <x v="1"/>
    <x v="2"/>
    <x v="1"/>
    <x v="0"/>
    <x v="1"/>
    <x v="0"/>
    <x v="1"/>
    <x v="9"/>
    <n v="106883"/>
    <n v="48610.388400000003"/>
    <n v="0"/>
    <n v="0"/>
    <n v="0"/>
    <n v="0"/>
    <n v="138"/>
    <x v="0"/>
    <n v="0"/>
    <n v="23"/>
    <n v="0"/>
    <n v="0"/>
    <n v="28.57"/>
    <n v="0"/>
    <n v="0"/>
    <n v="31.93064187172984"/>
    <m/>
    <m/>
    <n v="1388798.7965880001"/>
    <n v="0"/>
    <n v="0"/>
    <n v="1552160.9032460905"/>
    <n v="0"/>
    <n v="0"/>
  </r>
  <r>
    <s v="Regular"/>
    <x v="1"/>
    <x v="2"/>
    <x v="1"/>
    <x v="0"/>
    <x v="1"/>
    <x v="0"/>
    <x v="1"/>
    <x v="10"/>
    <n v="109926"/>
    <n v="51621.249600000003"/>
    <n v="0"/>
    <n v="0"/>
    <n v="0"/>
    <n v="0"/>
    <n v="140"/>
    <x v="0"/>
    <n v="0"/>
    <n v="23"/>
    <n v="0"/>
    <n v="0"/>
    <n v="28.57"/>
    <n v="0"/>
    <n v="0"/>
    <n v="31.93064187172984"/>
    <m/>
    <m/>
    <n v="1474819.1010720001"/>
    <n v="0"/>
    <n v="0"/>
    <n v="1648299.6339487773"/>
    <n v="0"/>
    <n v="0"/>
  </r>
  <r>
    <s v="PROJETADO"/>
    <x v="1"/>
    <x v="2"/>
    <x v="1"/>
    <x v="0"/>
    <x v="1"/>
    <x v="0"/>
    <x v="1"/>
    <x v="11"/>
    <n v="109926"/>
    <n v="51621.249600000003"/>
    <n v="0"/>
    <n v="0"/>
    <n v="0"/>
    <n v="0"/>
    <n v="140"/>
    <x v="0"/>
    <n v="0"/>
    <n v="23"/>
    <n v="0"/>
    <n v="0"/>
    <n v="28.57"/>
    <n v="0"/>
    <n v="0"/>
    <n v="31.93064187172984"/>
    <m/>
    <m/>
    <n v="1474819.1010720001"/>
    <n v="0"/>
    <n v="0"/>
    <n v="1648299.6339487773"/>
    <n v="0"/>
    <n v="0"/>
  </r>
  <r>
    <s v="Regular"/>
    <x v="1"/>
    <x v="2"/>
    <x v="1"/>
    <x v="0"/>
    <x v="1"/>
    <x v="0"/>
    <x v="2"/>
    <x v="0"/>
    <n v="0"/>
    <n v="0"/>
    <n v="2704.8609999999999"/>
    <n v="1360.2745969"/>
    <n v="0"/>
    <n v="0"/>
    <n v="0"/>
    <x v="0"/>
    <n v="0"/>
    <n v="0"/>
    <n v="24"/>
    <n v="0"/>
    <n v="0"/>
    <n v="1434.79"/>
    <n v="0"/>
    <m/>
    <n v="1501.8340703569011"/>
    <m/>
    <n v="0"/>
    <n v="1951708.3888861509"/>
    <n v="0"/>
    <n v="0"/>
    <n v="2042906.7346654199"/>
    <n v="0"/>
  </r>
  <r>
    <s v="Regular"/>
    <x v="1"/>
    <x v="2"/>
    <x v="1"/>
    <x v="0"/>
    <x v="1"/>
    <x v="0"/>
    <x v="2"/>
    <x v="1"/>
    <n v="0"/>
    <n v="0"/>
    <n v="2518.8159999999998"/>
    <n v="1343.0326912"/>
    <n v="0"/>
    <n v="0"/>
    <n v="0"/>
    <x v="0"/>
    <n v="0"/>
    <n v="0"/>
    <n v="24"/>
    <n v="0"/>
    <n v="0"/>
    <n v="1434.79"/>
    <n v="0"/>
    <m/>
    <n v="1501.8340703569011"/>
    <m/>
    <n v="0"/>
    <n v="1926969.875006848"/>
    <n v="0"/>
    <n v="0"/>
    <n v="2017012.253247279"/>
    <n v="0"/>
  </r>
  <r>
    <s v="Regular"/>
    <x v="1"/>
    <x v="2"/>
    <x v="1"/>
    <x v="0"/>
    <x v="1"/>
    <x v="0"/>
    <x v="2"/>
    <x v="2"/>
    <n v="0"/>
    <n v="0"/>
    <n v="1639.9290000000001"/>
    <n v="866.70247649999999"/>
    <n v="0"/>
    <n v="0"/>
    <n v="0"/>
    <x v="0"/>
    <n v="0"/>
    <n v="0"/>
    <n v="24"/>
    <n v="0"/>
    <n v="0"/>
    <n v="1434.79"/>
    <n v="0"/>
    <m/>
    <n v="1501.8340703569011"/>
    <m/>
    <n v="0"/>
    <n v="1243536.0462574349"/>
    <n v="0"/>
    <n v="0"/>
    <n v="1301643.3080704014"/>
    <n v="0"/>
  </r>
  <r>
    <s v="Regular"/>
    <x v="1"/>
    <x v="2"/>
    <x v="1"/>
    <x v="0"/>
    <x v="1"/>
    <x v="0"/>
    <x v="2"/>
    <x v="3"/>
    <n v="0"/>
    <n v="0"/>
    <n v="1712.6179999999999"/>
    <n v="906.65996919999998"/>
    <n v="0"/>
    <n v="0"/>
    <n v="0"/>
    <x v="0"/>
    <n v="0"/>
    <n v="0"/>
    <n v="24"/>
    <n v="0"/>
    <n v="0"/>
    <n v="1434.79"/>
    <n v="0"/>
    <m/>
    <n v="1501.8340703569011"/>
    <m/>
    <n v="0"/>
    <n v="1300866.6572084678"/>
    <n v="0"/>
    <n v="0"/>
    <n v="1361652.8319732985"/>
    <n v="0"/>
  </r>
  <r>
    <s v="Regular"/>
    <x v="1"/>
    <x v="2"/>
    <x v="1"/>
    <x v="0"/>
    <x v="1"/>
    <x v="0"/>
    <x v="2"/>
    <x v="4"/>
    <n v="0"/>
    <n v="0"/>
    <n v="2639.7460000000001"/>
    <n v="1410.6802623999999"/>
    <n v="0"/>
    <n v="0"/>
    <n v="0"/>
    <x v="0"/>
    <n v="0"/>
    <n v="0"/>
    <n v="24"/>
    <n v="0"/>
    <n v="0"/>
    <n v="1434.79"/>
    <n v="0"/>
    <m/>
    <n v="1501.8340703569011"/>
    <m/>
    <n v="0"/>
    <n v="2024029.9336888958"/>
    <n v="0"/>
    <n v="0"/>
    <n v="2118607.6804523333"/>
    <n v="0"/>
  </r>
  <r>
    <s v="Regular"/>
    <x v="1"/>
    <x v="2"/>
    <x v="1"/>
    <x v="0"/>
    <x v="1"/>
    <x v="0"/>
    <x v="2"/>
    <x v="5"/>
    <n v="0"/>
    <n v="0"/>
    <n v="2612.0300000000002"/>
    <n v="1390.1223660000001"/>
    <n v="0"/>
    <n v="0"/>
    <n v="0"/>
    <x v="0"/>
    <n v="0"/>
    <n v="0"/>
    <n v="24"/>
    <n v="0"/>
    <n v="0"/>
    <n v="1434.79"/>
    <n v="0"/>
    <m/>
    <n v="1501.8340703569011"/>
    <m/>
    <n v="0"/>
    <n v="1994533.6695131401"/>
    <n v="0"/>
    <n v="0"/>
    <n v="2087733.1312239459"/>
    <n v="0"/>
  </r>
  <r>
    <s v="Regular"/>
    <x v="1"/>
    <x v="2"/>
    <x v="1"/>
    <x v="0"/>
    <x v="1"/>
    <x v="0"/>
    <x v="2"/>
    <x v="6"/>
    <n v="0"/>
    <n v="0"/>
    <n v="2902.4670000000001"/>
    <n v="1564.429713"/>
    <n v="0"/>
    <n v="0"/>
    <n v="0"/>
    <x v="0"/>
    <n v="0"/>
    <n v="0"/>
    <n v="24"/>
    <n v="0"/>
    <n v="0"/>
    <n v="1434.79"/>
    <n v="0"/>
    <m/>
    <n v="1501.8340703569011"/>
    <m/>
    <n v="0"/>
    <n v="2244628.1079152701"/>
    <n v="0"/>
    <n v="0"/>
    <n v="2349513.8436620687"/>
    <n v="0"/>
  </r>
  <r>
    <s v="Regular"/>
    <x v="1"/>
    <x v="2"/>
    <x v="1"/>
    <x v="0"/>
    <x v="1"/>
    <x v="0"/>
    <x v="2"/>
    <x v="7"/>
    <n v="0"/>
    <n v="0"/>
    <n v="1639.9290000000001"/>
    <n v="866.70247649999999"/>
    <n v="0"/>
    <n v="0"/>
    <n v="0"/>
    <x v="0"/>
    <n v="0"/>
    <n v="0"/>
    <n v="24"/>
    <n v="0"/>
    <n v="0"/>
    <n v="1434.79"/>
    <n v="0"/>
    <m/>
    <n v="1501.8340703569011"/>
    <m/>
    <n v="0"/>
    <n v="1243536.0462574349"/>
    <n v="0"/>
    <n v="0"/>
    <n v="1301643.3080704014"/>
    <n v="0"/>
  </r>
  <r>
    <s v="Regular"/>
    <x v="1"/>
    <x v="2"/>
    <x v="1"/>
    <x v="0"/>
    <x v="1"/>
    <x v="0"/>
    <x v="2"/>
    <x v="8"/>
    <n v="0"/>
    <n v="0"/>
    <n v="3131.4769999999999"/>
    <n v="1666.5720593999999"/>
    <n v="0"/>
    <n v="0"/>
    <n v="0"/>
    <x v="0"/>
    <n v="0"/>
    <n v="0"/>
    <n v="24"/>
    <n v="0"/>
    <n v="0"/>
    <n v="1434.79"/>
    <n v="0"/>
    <m/>
    <n v="1501.8340703569011"/>
    <m/>
    <n v="0"/>
    <n v="2391180.9251065259"/>
    <n v="0"/>
    <n v="0"/>
    <n v="2502914.6995117851"/>
    <n v="0"/>
  </r>
  <r>
    <s v="Regular"/>
    <x v="1"/>
    <x v="2"/>
    <x v="1"/>
    <x v="0"/>
    <x v="1"/>
    <x v="0"/>
    <x v="2"/>
    <x v="9"/>
    <n v="0"/>
    <n v="0"/>
    <n v="3242.9160000000002"/>
    <n v="1669.4531568"/>
    <n v="0"/>
    <n v="0"/>
    <n v="0"/>
    <x v="0"/>
    <n v="0"/>
    <n v="0"/>
    <n v="24"/>
    <n v="0"/>
    <n v="0"/>
    <n v="1434.79"/>
    <n v="0"/>
    <m/>
    <n v="1501.8340703569011"/>
    <m/>
    <n v="0"/>
    <n v="2395314.694845072"/>
    <n v="0"/>
    <n v="0"/>
    <n v="2507241.6297471216"/>
    <n v="0"/>
  </r>
  <r>
    <s v="Regular"/>
    <x v="1"/>
    <x v="2"/>
    <x v="1"/>
    <x v="0"/>
    <x v="1"/>
    <x v="0"/>
    <x v="2"/>
    <x v="10"/>
    <n v="0"/>
    <n v="0"/>
    <n v="3049.5859999999998"/>
    <n v="1533.3318408"/>
    <n v="0"/>
    <n v="0"/>
    <n v="0"/>
    <x v="0"/>
    <n v="0"/>
    <n v="0"/>
    <n v="24"/>
    <n v="0"/>
    <n v="0"/>
    <n v="1434.79"/>
    <n v="0"/>
    <m/>
    <n v="1501.8340703569011"/>
    <m/>
    <n v="0"/>
    <n v="2200009.191861432"/>
    <n v="0"/>
    <n v="0"/>
    <n v="2302809.9996765037"/>
    <n v="0"/>
  </r>
  <r>
    <s v="PROJETADO"/>
    <x v="1"/>
    <x v="2"/>
    <x v="1"/>
    <x v="0"/>
    <x v="1"/>
    <x v="0"/>
    <x v="2"/>
    <x v="11"/>
    <n v="0"/>
    <n v="0"/>
    <n v="3049.5859999999998"/>
    <n v="1533.3318408"/>
    <n v="0"/>
    <n v="0"/>
    <n v="0"/>
    <x v="0"/>
    <n v="0"/>
    <n v="0"/>
    <n v="24"/>
    <n v="0"/>
    <n v="0"/>
    <n v="1434.79"/>
    <n v="0"/>
    <m/>
    <n v="1501.8340703569011"/>
    <m/>
    <n v="0"/>
    <n v="2200009.191861432"/>
    <n v="0"/>
    <n v="0"/>
    <n v="2302809.9996765037"/>
    <n v="0"/>
  </r>
  <r>
    <s v="Regular"/>
    <x v="1"/>
    <x v="2"/>
    <x v="1"/>
    <x v="0"/>
    <x v="0"/>
    <x v="0"/>
    <x v="0"/>
    <x v="0"/>
    <n v="0"/>
    <n v="0"/>
    <n v="21322.179"/>
    <n v="21322.179"/>
    <n v="21322.179"/>
    <n v="21322.179"/>
    <n v="0"/>
    <x v="1"/>
    <n v="0"/>
    <n v="0"/>
    <n v="19"/>
    <n v="67"/>
    <n v="0"/>
    <n v="149.63"/>
    <n v="230.03"/>
    <m/>
    <n v="54.203801879475932"/>
    <n v="282.91739971702214"/>
    <n v="0"/>
    <n v="3190437.64377"/>
    <n v="4904740.8353700005"/>
    <n v="0"/>
    <n v="1155743.1661547222"/>
    <n v="6032415.4389808951"/>
  </r>
  <r>
    <s v="Refaturamento - Regular"/>
    <x v="1"/>
    <x v="2"/>
    <x v="1"/>
    <x v="0"/>
    <x v="0"/>
    <x v="0"/>
    <x v="0"/>
    <x v="0"/>
    <n v="0"/>
    <n v="0"/>
    <n v="-117.988"/>
    <n v="-117.988"/>
    <n v="-117.988"/>
    <n v="-117.988"/>
    <n v="0"/>
    <x v="1"/>
    <n v="0"/>
    <n v="0"/>
    <n v="19"/>
    <n v="67"/>
    <n v="0"/>
    <n v="149.63"/>
    <n v="230.03"/>
    <m/>
    <n v="54.203801879475932"/>
    <n v="282.91739971702214"/>
    <n v="0"/>
    <n v="-17654.544439999998"/>
    <n v="-27140.779640000001"/>
    <n v="0"/>
    <n v="-6395.3981761556061"/>
    <n v="-33380.858157812007"/>
  </r>
  <r>
    <s v="Sistema Isolado - Regular"/>
    <x v="1"/>
    <x v="2"/>
    <x v="1"/>
    <x v="0"/>
    <x v="0"/>
    <x v="0"/>
    <x v="0"/>
    <x v="0"/>
    <n v="0"/>
    <n v="0"/>
    <n v="2113.6280000000002"/>
    <n v="2113.6280000000002"/>
    <n v="2113.6280000000002"/>
    <n v="2113.6280000000002"/>
    <n v="0"/>
    <x v="1"/>
    <n v="0"/>
    <n v="0"/>
    <n v="19"/>
    <n v="67"/>
    <n v="0"/>
    <n v="149.63"/>
    <n v="230.03"/>
    <m/>
    <n v="54.203801879475932"/>
    <n v="282.91739971702214"/>
    <n v="0"/>
    <n v="316262.15763999999"/>
    <n v="486197.84884000005"/>
    <n v="0"/>
    <n v="114566.67335891296"/>
    <n v="597982.13772909006"/>
  </r>
  <r>
    <s v="Sistema de Compensação"/>
    <x v="1"/>
    <x v="2"/>
    <x v="1"/>
    <x v="0"/>
    <x v="0"/>
    <x v="0"/>
    <x v="0"/>
    <x v="0"/>
    <n v="0"/>
    <n v="0"/>
    <n v="470.30399999999997"/>
    <n v="470.30399999999997"/>
    <n v="470.30399999999997"/>
    <n v="470.30399999999997"/>
    <n v="0"/>
    <x v="1"/>
    <n v="0"/>
    <n v="0"/>
    <n v="19"/>
    <n v="67"/>
    <n v="0"/>
    <n v="149.63"/>
    <n v="230.03"/>
    <m/>
    <n v="54.203801879475932"/>
    <n v="282.91739971702214"/>
    <n v="0"/>
    <n v="70371.587520000001"/>
    <n v="108184.02911999999"/>
    <n v="0"/>
    <n v="25492.264839125048"/>
    <n v="133057.18475651438"/>
  </r>
  <r>
    <s v="Regular"/>
    <x v="1"/>
    <x v="2"/>
    <x v="1"/>
    <x v="0"/>
    <x v="0"/>
    <x v="0"/>
    <x v="0"/>
    <x v="1"/>
    <n v="0"/>
    <n v="0"/>
    <n v="19935.892"/>
    <n v="19935.892"/>
    <n v="19935.892"/>
    <n v="19935.892"/>
    <n v="0"/>
    <x v="1"/>
    <n v="0"/>
    <n v="0"/>
    <n v="19"/>
    <n v="67"/>
    <n v="0"/>
    <n v="149.63"/>
    <n v="230.03"/>
    <m/>
    <n v="54.203801879475932"/>
    <n v="282.91739971702214"/>
    <n v="0"/>
    <n v="2983007.5199599997"/>
    <n v="4585853.2367599998"/>
    <n v="0"/>
    <n v="1080601.1402586291"/>
    <n v="5640210.7256793836"/>
  </r>
  <r>
    <s v="Sistema Isolado - Regular"/>
    <x v="1"/>
    <x v="2"/>
    <x v="1"/>
    <x v="0"/>
    <x v="0"/>
    <x v="0"/>
    <x v="0"/>
    <x v="1"/>
    <n v="0"/>
    <n v="0"/>
    <n v="1960.7460000000001"/>
    <n v="1960.7460000000001"/>
    <n v="1960.7460000000001"/>
    <n v="1960.7460000000001"/>
    <n v="0"/>
    <x v="1"/>
    <n v="0"/>
    <n v="0"/>
    <n v="19"/>
    <n v="67"/>
    <n v="0"/>
    <n v="149.63"/>
    <n v="230.03"/>
    <m/>
    <n v="54.203801879475932"/>
    <n v="282.91739971702214"/>
    <n v="0"/>
    <n v="293386.42398000002"/>
    <n v="451030.40238000004"/>
    <n v="0"/>
    <n v="106279.88771997493"/>
    <n v="554729.15982555225"/>
  </r>
  <r>
    <s v="Sistema de Compensação"/>
    <x v="1"/>
    <x v="2"/>
    <x v="1"/>
    <x v="0"/>
    <x v="0"/>
    <x v="0"/>
    <x v="0"/>
    <x v="1"/>
    <n v="0"/>
    <n v="0"/>
    <n v="441.44499999999999"/>
    <n v="441.44499999999999"/>
    <n v="441.44499999999999"/>
    <n v="441.44499999999999"/>
    <n v="0"/>
    <x v="1"/>
    <n v="0"/>
    <n v="0"/>
    <n v="19"/>
    <n v="67"/>
    <n v="0"/>
    <n v="149.63"/>
    <n v="230.03"/>
    <m/>
    <n v="54.203801879475932"/>
    <n v="282.91739971702214"/>
    <n v="0"/>
    <n v="66053.415349999996"/>
    <n v="101545.59335"/>
    <n v="0"/>
    <n v="23927.997320685252"/>
    <n v="124892.47151808084"/>
  </r>
  <r>
    <s v="Regular"/>
    <x v="1"/>
    <x v="2"/>
    <x v="1"/>
    <x v="0"/>
    <x v="0"/>
    <x v="0"/>
    <x v="0"/>
    <x v="2"/>
    <n v="0"/>
    <n v="0"/>
    <n v="18655.61"/>
    <n v="18655.61"/>
    <n v="18655.61"/>
    <n v="18655.61"/>
    <n v="0"/>
    <x v="1"/>
    <n v="0"/>
    <n v="0"/>
    <n v="19"/>
    <n v="67"/>
    <n v="0"/>
    <n v="149.63"/>
    <n v="230.03"/>
    <m/>
    <n v="54.203801879475932"/>
    <n v="282.91739971702214"/>
    <n v="0"/>
    <n v="2791438.9243000001"/>
    <n v="4291349.9682999998"/>
    <n v="0"/>
    <n v="1011204.9883807701"/>
    <n v="5277996.6713348757"/>
  </r>
  <r>
    <s v="Refaturamento - Regular"/>
    <x v="1"/>
    <x v="2"/>
    <x v="1"/>
    <x v="0"/>
    <x v="0"/>
    <x v="0"/>
    <x v="0"/>
    <x v="2"/>
    <n v="0"/>
    <n v="0"/>
    <n v="-40.768000000000001"/>
    <n v="-40.768000000000001"/>
    <n v="-40.768000000000001"/>
    <n v="-40.768000000000001"/>
    <n v="0"/>
    <x v="1"/>
    <n v="0"/>
    <n v="0"/>
    <n v="19"/>
    <n v="67"/>
    <n v="0"/>
    <n v="149.63"/>
    <n v="230.03"/>
    <m/>
    <n v="54.203801879475932"/>
    <n v="282.91739971702214"/>
    <n v="0"/>
    <n v="-6100.1158399999995"/>
    <n v="-9377.8630400000002"/>
    <n v="0"/>
    <n v="-2209.7805950224747"/>
    <n v="-11533.976551663558"/>
  </r>
  <r>
    <s v="Sistema Isolado - Regular"/>
    <x v="1"/>
    <x v="2"/>
    <x v="1"/>
    <x v="0"/>
    <x v="0"/>
    <x v="0"/>
    <x v="0"/>
    <x v="2"/>
    <n v="0"/>
    <n v="0"/>
    <n v="1792.346"/>
    <n v="1792.346"/>
    <n v="1792.346"/>
    <n v="1792.346"/>
    <n v="0"/>
    <x v="1"/>
    <n v="0"/>
    <n v="0"/>
    <n v="19"/>
    <n v="67"/>
    <n v="0"/>
    <n v="149.63"/>
    <n v="230.03"/>
    <m/>
    <n v="54.203801879475932"/>
    <n v="282.91739971702214"/>
    <n v="0"/>
    <n v="268188.73197999998"/>
    <n v="412293.35038000002"/>
    <n v="0"/>
    <n v="97151.967483471177"/>
    <n v="507085.86971320579"/>
  </r>
  <r>
    <s v="Sistema Isolado - Refaturamento"/>
    <x v="1"/>
    <x v="2"/>
    <x v="1"/>
    <x v="0"/>
    <x v="0"/>
    <x v="0"/>
    <x v="0"/>
    <x v="2"/>
    <n v="0"/>
    <n v="0"/>
    <n v="-89.811000000000007"/>
    <n v="-89.811000000000007"/>
    <n v="-89.811000000000007"/>
    <n v="-89.811000000000007"/>
    <n v="0"/>
    <x v="1"/>
    <n v="0"/>
    <n v="0"/>
    <n v="19"/>
    <n v="67"/>
    <n v="0"/>
    <n v="149.63"/>
    <n v="230.03"/>
    <m/>
    <n v="54.203801879475932"/>
    <n v="282.91739971702214"/>
    <n v="0"/>
    <n v="-13438.41993"/>
    <n v="-20659.224330000001"/>
    <n v="0"/>
    <n v="-4868.0976505976132"/>
    <n v="-25409.094585985476"/>
  </r>
  <r>
    <s v="Sistema de Compensação"/>
    <x v="1"/>
    <x v="2"/>
    <x v="1"/>
    <x v="0"/>
    <x v="0"/>
    <x v="0"/>
    <x v="0"/>
    <x v="2"/>
    <n v="0"/>
    <n v="0"/>
    <n v="393.58699999999999"/>
    <n v="393.58699999999999"/>
    <n v="393.58699999999999"/>
    <n v="393.58699999999999"/>
    <n v="0"/>
    <x v="1"/>
    <n v="0"/>
    <n v="0"/>
    <n v="19"/>
    <n v="67"/>
    <n v="0"/>
    <n v="149.63"/>
    <n v="230.03"/>
    <m/>
    <n v="54.203801879475932"/>
    <n v="282.91739971702214"/>
    <n v="0"/>
    <n v="58892.422809999996"/>
    <n v="90536.817609999998"/>
    <n v="0"/>
    <n v="21333.911770337294"/>
    <n v="111352.61060242359"/>
  </r>
  <r>
    <s v="Regular"/>
    <x v="1"/>
    <x v="2"/>
    <x v="1"/>
    <x v="0"/>
    <x v="0"/>
    <x v="0"/>
    <x v="0"/>
    <x v="3"/>
    <n v="0"/>
    <n v="0"/>
    <n v="18739.04"/>
    <n v="18739.04"/>
    <n v="18739.04"/>
    <n v="18739.04"/>
    <n v="0"/>
    <x v="1"/>
    <n v="0"/>
    <n v="0"/>
    <n v="19"/>
    <n v="67"/>
    <n v="0"/>
    <n v="149.63"/>
    <n v="230.03"/>
    <m/>
    <n v="54.203801879475932"/>
    <n v="282.91739971702214"/>
    <n v="0"/>
    <n v="2803922.5551999998"/>
    <n v="4310541.3711999999"/>
    <n v="0"/>
    <n v="1015727.2115715747"/>
    <n v="5301600.4699932663"/>
  </r>
  <r>
    <s v="Refaturamento - Regular"/>
    <x v="1"/>
    <x v="2"/>
    <x v="1"/>
    <x v="0"/>
    <x v="0"/>
    <x v="0"/>
    <x v="0"/>
    <x v="3"/>
    <n v="0"/>
    <n v="0"/>
    <n v="-721.37"/>
    <n v="-721.37"/>
    <n v="-721.37"/>
    <n v="-721.37"/>
    <n v="0"/>
    <x v="1"/>
    <n v="0"/>
    <n v="0"/>
    <n v="19"/>
    <n v="67"/>
    <n v="0"/>
    <n v="149.63"/>
    <n v="230.03"/>
    <m/>
    <n v="54.203801879475932"/>
    <n v="282.91739971702214"/>
    <n v="0"/>
    <n v="-107938.5931"/>
    <n v="-165936.74110000001"/>
    <n v="0"/>
    <n v="-39100.996561797554"/>
    <n v="-204088.12463386825"/>
  </r>
  <r>
    <s v="Sistema Isolado - Regular"/>
    <x v="1"/>
    <x v="2"/>
    <x v="1"/>
    <x v="0"/>
    <x v="0"/>
    <x v="0"/>
    <x v="0"/>
    <x v="3"/>
    <n v="0"/>
    <n v="0"/>
    <n v="1665.7329999999999"/>
    <n v="1665.7329999999999"/>
    <n v="1665.7329999999999"/>
    <n v="1665.7329999999999"/>
    <n v="0"/>
    <x v="1"/>
    <n v="0"/>
    <n v="0"/>
    <n v="19"/>
    <n v="67"/>
    <n v="0"/>
    <n v="149.63"/>
    <n v="230.03"/>
    <m/>
    <n v="54.203801879475932"/>
    <n v="282.91739971702214"/>
    <n v="0"/>
    <n v="249243.62878999999"/>
    <n v="383168.56199000002"/>
    <n v="0"/>
    <n v="90289.061516105081"/>
    <n v="471264.84898283443"/>
  </r>
  <r>
    <s v="Sistema de Compensação"/>
    <x v="1"/>
    <x v="2"/>
    <x v="1"/>
    <x v="0"/>
    <x v="0"/>
    <x v="0"/>
    <x v="0"/>
    <x v="3"/>
    <n v="0"/>
    <n v="0"/>
    <n v="418.28300000000002"/>
    <n v="418.28300000000002"/>
    <n v="418.28300000000002"/>
    <n v="418.28300000000002"/>
    <n v="0"/>
    <x v="1"/>
    <n v="0"/>
    <n v="0"/>
    <n v="19"/>
    <n v="67"/>
    <n v="0"/>
    <n v="149.63"/>
    <n v="230.03"/>
    <m/>
    <n v="54.203801879475932"/>
    <n v="282.91739971702214"/>
    <n v="0"/>
    <n v="62587.685290000001"/>
    <n v="96217.638489999998"/>
    <n v="0"/>
    <n v="22672.528861552833"/>
    <n v="118339.53870583518"/>
  </r>
  <r>
    <s v="Regular"/>
    <x v="1"/>
    <x v="2"/>
    <x v="1"/>
    <x v="0"/>
    <x v="0"/>
    <x v="0"/>
    <x v="0"/>
    <x v="4"/>
    <n v="0"/>
    <n v="0"/>
    <n v="21912.107"/>
    <n v="21912.107"/>
    <n v="21912.107"/>
    <n v="21912.107"/>
    <n v="0"/>
    <x v="1"/>
    <n v="0"/>
    <n v="0"/>
    <n v="19"/>
    <n v="67"/>
    <n v="0"/>
    <n v="149.63"/>
    <n v="230.03"/>
    <m/>
    <n v="54.203801879475932"/>
    <n v="282.91739971702214"/>
    <n v="0"/>
    <n v="3278708.5704099997"/>
    <n v="5040441.9732100004"/>
    <n v="0"/>
    <n v="1187719.5065898777"/>
    <n v="6199316.3347611586"/>
  </r>
  <r>
    <s v="Refaturamento - Regular"/>
    <x v="1"/>
    <x v="2"/>
    <x v="1"/>
    <x v="0"/>
    <x v="0"/>
    <x v="0"/>
    <x v="0"/>
    <x v="4"/>
    <n v="0"/>
    <n v="0"/>
    <n v="-598.60599999999999"/>
    <n v="-598.60599999999999"/>
    <n v="-598.60599999999999"/>
    <n v="-598.60599999999999"/>
    <n v="0"/>
    <x v="1"/>
    <n v="0"/>
    <n v="0"/>
    <n v="19"/>
    <n v="67"/>
    <n v="0"/>
    <n v="149.63"/>
    <n v="230.03"/>
    <m/>
    <n v="54.203801879475932"/>
    <n v="282.91739971702214"/>
    <n v="0"/>
    <n v="-89569.415779999996"/>
    <n v="-137697.33817999999"/>
    <n v="0"/>
    <n v="-32446.721027865569"/>
    <n v="-169356.05297500774"/>
  </r>
  <r>
    <s v="Sistema Isolado - Regular"/>
    <x v="1"/>
    <x v="2"/>
    <x v="1"/>
    <x v="0"/>
    <x v="0"/>
    <x v="0"/>
    <x v="0"/>
    <x v="4"/>
    <n v="0"/>
    <n v="0"/>
    <n v="1907.5360000000001"/>
    <n v="1907.5360000000001"/>
    <n v="1907.5360000000001"/>
    <n v="1907.5360000000001"/>
    <n v="0"/>
    <x v="1"/>
    <n v="0"/>
    <n v="0"/>
    <n v="19"/>
    <n v="67"/>
    <n v="0"/>
    <n v="149.63"/>
    <n v="230.03"/>
    <m/>
    <n v="54.203801879475932"/>
    <n v="282.91739971702214"/>
    <n v="0"/>
    <n v="285424.61167999997"/>
    <n v="438790.50608000002"/>
    <n v="0"/>
    <n v="103395.70342196801"/>
    <n v="539675.12498660956"/>
  </r>
  <r>
    <s v="Sistema de Compensação"/>
    <x v="1"/>
    <x v="2"/>
    <x v="1"/>
    <x v="0"/>
    <x v="0"/>
    <x v="0"/>
    <x v="0"/>
    <x v="4"/>
    <n v="0"/>
    <n v="0"/>
    <n v="499.84500000000003"/>
    <n v="499.84500000000003"/>
    <n v="499.84500000000003"/>
    <n v="499.84500000000003"/>
    <n v="0"/>
    <x v="1"/>
    <n v="0"/>
    <n v="0"/>
    <n v="19"/>
    <n v="67"/>
    <n v="0"/>
    <n v="149.63"/>
    <n v="230.03"/>
    <m/>
    <n v="54.203801879475932"/>
    <n v="282.91739971702214"/>
    <n v="0"/>
    <n v="74791.807350000003"/>
    <n v="114979.34535"/>
    <n v="0"/>
    <n v="27093.499350446647"/>
    <n v="141414.84766155493"/>
  </r>
  <r>
    <s v="Regular"/>
    <x v="1"/>
    <x v="2"/>
    <x v="1"/>
    <x v="0"/>
    <x v="0"/>
    <x v="0"/>
    <x v="0"/>
    <x v="5"/>
    <n v="0"/>
    <n v="0"/>
    <n v="20272.514999999999"/>
    <n v="20272.514999999999"/>
    <n v="20272.514999999999"/>
    <n v="20272.514999999999"/>
    <n v="0"/>
    <x v="1"/>
    <n v="0"/>
    <n v="0"/>
    <n v="19"/>
    <n v="67"/>
    <n v="0"/>
    <n v="149.63"/>
    <n v="230.03"/>
    <m/>
    <n v="54.203801879475932"/>
    <n v="282.91739971702214"/>
    <n v="0"/>
    <n v="3033376.4194499999"/>
    <n v="4663286.6254500002"/>
    <n v="0"/>
    <n v="1098847.3866587039"/>
    <n v="5735447.2295243265"/>
  </r>
  <r>
    <s v="Refaturamento - Regular"/>
    <x v="1"/>
    <x v="2"/>
    <x v="1"/>
    <x v="0"/>
    <x v="0"/>
    <x v="0"/>
    <x v="0"/>
    <x v="5"/>
    <n v="0"/>
    <n v="0"/>
    <n v="-16.161999999999999"/>
    <n v="-16.161999999999999"/>
    <n v="-16.161999999999999"/>
    <n v="-16.161999999999999"/>
    <n v="0"/>
    <x v="1"/>
    <n v="0"/>
    <n v="0"/>
    <n v="19"/>
    <n v="67"/>
    <n v="0"/>
    <n v="149.63"/>
    <n v="230.03"/>
    <m/>
    <n v="54.203801879475932"/>
    <n v="282.91739971702214"/>
    <n v="0"/>
    <n v="-2418.3200599999996"/>
    <n v="-3717.7448599999998"/>
    <n v="0"/>
    <n v="-876.04184597608992"/>
    <n v="-4572.5110142265112"/>
  </r>
  <r>
    <s v="Sistema Isolado - Regular"/>
    <x v="1"/>
    <x v="2"/>
    <x v="1"/>
    <x v="0"/>
    <x v="0"/>
    <x v="0"/>
    <x v="0"/>
    <x v="5"/>
    <n v="0"/>
    <n v="0"/>
    <n v="2100.3609999999999"/>
    <n v="2100.3609999999999"/>
    <n v="2100.3609999999999"/>
    <n v="2100.3609999999999"/>
    <n v="0"/>
    <x v="1"/>
    <n v="0"/>
    <n v="0"/>
    <n v="19"/>
    <n v="67"/>
    <n v="0"/>
    <n v="149.63"/>
    <n v="230.03"/>
    <m/>
    <n v="54.203801879475932"/>
    <n v="282.91739971702214"/>
    <n v="0"/>
    <n v="314277.01642999996"/>
    <n v="483146.04082999995"/>
    <n v="0"/>
    <n v="113847.55151937794"/>
    <n v="594228.6725870443"/>
  </r>
  <r>
    <s v="Sistema Isolado - Refaturamento"/>
    <x v="1"/>
    <x v="2"/>
    <x v="1"/>
    <x v="0"/>
    <x v="0"/>
    <x v="0"/>
    <x v="0"/>
    <x v="5"/>
    <n v="0"/>
    <n v="0"/>
    <n v="-217.69800000000001"/>
    <n v="-217.69800000000001"/>
    <n v="-217.69800000000001"/>
    <n v="-217.69800000000001"/>
    <n v="0"/>
    <x v="1"/>
    <n v="0"/>
    <n v="0"/>
    <n v="19"/>
    <n v="67"/>
    <n v="0"/>
    <n v="149.63"/>
    <n v="230.03"/>
    <m/>
    <n v="54.203801879475932"/>
    <n v="282.91739971702214"/>
    <n v="0"/>
    <n v="-32574.151740000001"/>
    <n v="-50077.070940000005"/>
    <n v="0"/>
    <n v="-11800.059261558152"/>
    <n v="-61590.552083596289"/>
  </r>
  <r>
    <s v="Sistema de Compensação"/>
    <x v="1"/>
    <x v="2"/>
    <x v="1"/>
    <x v="0"/>
    <x v="0"/>
    <x v="0"/>
    <x v="0"/>
    <x v="5"/>
    <n v="0"/>
    <n v="0"/>
    <n v="648.23699999999997"/>
    <n v="648.23699999999997"/>
    <n v="648.23699999999997"/>
    <n v="648.23699999999997"/>
    <n v="0"/>
    <x v="1"/>
    <n v="0"/>
    <n v="0"/>
    <n v="19"/>
    <n v="67"/>
    <n v="0"/>
    <n v="149.63"/>
    <n v="230.03"/>
    <m/>
    <n v="54.203801879475932"/>
    <n v="282.91739971702214"/>
    <n v="0"/>
    <n v="96995.702309999993"/>
    <n v="149113.95710999999"/>
    <n v="0"/>
    <n v="35136.909918945836"/>
    <n v="183397.52644036326"/>
  </r>
  <r>
    <s v="Regular"/>
    <x v="1"/>
    <x v="2"/>
    <x v="1"/>
    <x v="0"/>
    <x v="0"/>
    <x v="0"/>
    <x v="0"/>
    <x v="6"/>
    <n v="0"/>
    <n v="0"/>
    <n v="20632.148000000001"/>
    <n v="20632.148000000001"/>
    <n v="20632.148000000001"/>
    <n v="20632.148000000001"/>
    <n v="0"/>
    <x v="1"/>
    <n v="0"/>
    <n v="0"/>
    <n v="19"/>
    <n v="67"/>
    <n v="0"/>
    <n v="149.63"/>
    <n v="230.03"/>
    <m/>
    <n v="54.203801879475932"/>
    <n v="282.91739971702214"/>
    <n v="0"/>
    <n v="3087188.3052400001"/>
    <n v="4746013.0044400003"/>
    <n v="0"/>
    <n v="1118340.8625400257"/>
    <n v="5837193.6627367595"/>
  </r>
  <r>
    <s v="Refaturamento - Regular"/>
    <x v="1"/>
    <x v="2"/>
    <x v="1"/>
    <x v="0"/>
    <x v="0"/>
    <x v="0"/>
    <x v="0"/>
    <x v="6"/>
    <n v="0"/>
    <n v="0"/>
    <n v="-747.39"/>
    <n v="-747.39"/>
    <n v="-747.39"/>
    <n v="-747.39"/>
    <n v="0"/>
    <x v="1"/>
    <n v="0"/>
    <n v="0"/>
    <n v="19"/>
    <n v="67"/>
    <n v="0"/>
    <n v="149.63"/>
    <n v="230.03"/>
    <m/>
    <n v="54.203801879475932"/>
    <n v="282.91739971702214"/>
    <n v="0"/>
    <n v="-111831.9657"/>
    <n v="-171922.12169999999"/>
    <n v="0"/>
    <n v="-40511.379486701517"/>
    <n v="-211449.63537450516"/>
  </r>
  <r>
    <s v="Sistema Isolado - Regular"/>
    <x v="1"/>
    <x v="2"/>
    <x v="1"/>
    <x v="0"/>
    <x v="0"/>
    <x v="0"/>
    <x v="0"/>
    <x v="6"/>
    <n v="0"/>
    <n v="0"/>
    <n v="2120.6309999999999"/>
    <n v="2120.6309999999999"/>
    <n v="2120.6309999999999"/>
    <n v="2120.6309999999999"/>
    <n v="0"/>
    <x v="1"/>
    <n v="0"/>
    <n v="0"/>
    <n v="19"/>
    <n v="67"/>
    <n v="0"/>
    <n v="149.63"/>
    <n v="230.03"/>
    <m/>
    <n v="54.203801879475932"/>
    <n v="282.91739971702214"/>
    <n v="0"/>
    <n v="317310.01652999996"/>
    <n v="487808.74892999994"/>
    <n v="0"/>
    <n v="114946.26258347492"/>
    <n v="599963.40827930835"/>
  </r>
  <r>
    <s v="Sistema Isolado - Refaturamento"/>
    <x v="1"/>
    <x v="2"/>
    <x v="1"/>
    <x v="0"/>
    <x v="0"/>
    <x v="0"/>
    <x v="0"/>
    <x v="6"/>
    <n v="0"/>
    <n v="0"/>
    <n v="-201.69900000000001"/>
    <n v="-201.69900000000001"/>
    <n v="-201.69900000000001"/>
    <n v="-201.69900000000001"/>
    <n v="0"/>
    <x v="1"/>
    <n v="0"/>
    <n v="0"/>
    <n v="19"/>
    <n v="67"/>
    <n v="0"/>
    <n v="149.63"/>
    <n v="230.03"/>
    <m/>
    <n v="54.203801879475932"/>
    <n v="282.91739971702214"/>
    <n v="0"/>
    <n v="-30180.221369999999"/>
    <n v="-46396.820970000001"/>
    <n v="0"/>
    <n v="-10932.852635288416"/>
    <n v="-57064.156605523654"/>
  </r>
  <r>
    <s v="Sistema de Compensação"/>
    <x v="1"/>
    <x v="2"/>
    <x v="1"/>
    <x v="0"/>
    <x v="0"/>
    <x v="0"/>
    <x v="0"/>
    <x v="6"/>
    <n v="0"/>
    <n v="0"/>
    <n v="668.11699999999996"/>
    <n v="668.11699999999996"/>
    <n v="668.11699999999996"/>
    <n v="668.11699999999996"/>
    <n v="0"/>
    <x v="1"/>
    <n v="0"/>
    <n v="0"/>
    <n v="19"/>
    <n v="67"/>
    <n v="0"/>
    <n v="149.63"/>
    <n v="230.03"/>
    <m/>
    <n v="54.203801879475932"/>
    <n v="282.91739971702214"/>
    <n v="0"/>
    <n v="99970.346709999998"/>
    <n v="153686.95350999999"/>
    <n v="0"/>
    <n v="36214.481500309819"/>
    <n v="189021.92434673768"/>
  </r>
  <r>
    <s v="Regular"/>
    <x v="1"/>
    <x v="2"/>
    <x v="1"/>
    <x v="0"/>
    <x v="0"/>
    <x v="0"/>
    <x v="0"/>
    <x v="6"/>
    <n v="0"/>
    <n v="0"/>
    <n v="47.298999999999999"/>
    <n v="47.298999999999999"/>
    <n v="0"/>
    <n v="0"/>
    <n v="0"/>
    <x v="0"/>
    <n v="0"/>
    <n v="0"/>
    <n v="19"/>
    <n v="0"/>
    <n v="0"/>
    <n v="149.63"/>
    <n v="0"/>
    <m/>
    <n v="54.203801879475932"/>
    <m/>
    <n v="0"/>
    <n v="7077.3493699999999"/>
    <n v="0"/>
    <n v="0"/>
    <n v="2563.7856250973323"/>
    <n v="0"/>
  </r>
  <r>
    <s v="Regular"/>
    <x v="1"/>
    <x v="2"/>
    <x v="1"/>
    <x v="0"/>
    <x v="0"/>
    <x v="0"/>
    <x v="0"/>
    <x v="7"/>
    <n v="0"/>
    <n v="0"/>
    <n v="20769.954000000002"/>
    <n v="20769.954000000002"/>
    <n v="20769.954000000002"/>
    <n v="20769.954000000002"/>
    <n v="0"/>
    <x v="1"/>
    <n v="0"/>
    <n v="0"/>
    <n v="19"/>
    <n v="67"/>
    <n v="0"/>
    <n v="149.63"/>
    <n v="230.03"/>
    <m/>
    <n v="54.203801879475932"/>
    <n v="282.91739971702214"/>
    <n v="0"/>
    <n v="3107808.2170200003"/>
    <n v="4777712.5186200002"/>
    <n v="0"/>
    <n v="1125810.4716618287"/>
    <n v="5876181.3779221633"/>
  </r>
  <r>
    <s v="Refaturamento - Regular"/>
    <x v="1"/>
    <x v="2"/>
    <x v="1"/>
    <x v="0"/>
    <x v="0"/>
    <x v="0"/>
    <x v="0"/>
    <x v="7"/>
    <n v="0"/>
    <n v="0"/>
    <n v="142.99199999999999"/>
    <n v="142.99199999999999"/>
    <n v="142.99199999999999"/>
    <n v="142.99199999999999"/>
    <n v="0"/>
    <x v="1"/>
    <n v="0"/>
    <n v="0"/>
    <n v="19"/>
    <n v="67"/>
    <n v="0"/>
    <n v="149.63"/>
    <n v="230.03"/>
    <m/>
    <n v="54.203801879475932"/>
    <n v="282.91739971702214"/>
    <n v="0"/>
    <n v="21395.892959999997"/>
    <n v="32892.449759999996"/>
    <n v="0"/>
    <n v="7750.7100383500219"/>
    <n v="40454.924820336426"/>
  </r>
  <r>
    <s v="Sistema Isolado - Regular"/>
    <x v="1"/>
    <x v="2"/>
    <x v="1"/>
    <x v="0"/>
    <x v="0"/>
    <x v="0"/>
    <x v="0"/>
    <x v="7"/>
    <n v="0"/>
    <n v="0"/>
    <n v="1769.5450000000001"/>
    <n v="1769.5450000000001"/>
    <n v="1769.5450000000001"/>
    <n v="1769.5450000000001"/>
    <n v="0"/>
    <x v="1"/>
    <n v="0"/>
    <n v="0"/>
    <n v="19"/>
    <n v="67"/>
    <n v="0"/>
    <n v="149.63"/>
    <n v="230.03"/>
    <m/>
    <n v="54.203801879475932"/>
    <n v="282.91739971702214"/>
    <n v="0"/>
    <n v="264777.01835000003"/>
    <n v="407048.43635000003"/>
    <n v="0"/>
    <n v="95916.06659681724"/>
    <n v="500635.07008225797"/>
  </r>
  <r>
    <s v="Sistema de Compensação"/>
    <x v="1"/>
    <x v="2"/>
    <x v="1"/>
    <x v="0"/>
    <x v="0"/>
    <x v="0"/>
    <x v="0"/>
    <x v="7"/>
    <n v="0"/>
    <n v="0"/>
    <n v="505.024"/>
    <n v="505.024"/>
    <n v="505.024"/>
    <n v="505.024"/>
    <n v="0"/>
    <x v="1"/>
    <n v="0"/>
    <n v="0"/>
    <n v="19"/>
    <n v="67"/>
    <n v="0"/>
    <n v="149.63"/>
    <n v="230.03"/>
    <m/>
    <n v="54.203801879475932"/>
    <n v="282.91739971702214"/>
    <n v="0"/>
    <n v="75566.741119999991"/>
    <n v="116170.67071999999"/>
    <n v="0"/>
    <n v="27374.220840380454"/>
    <n v="142880.07687468937"/>
  </r>
  <r>
    <s v="Regular"/>
    <x v="1"/>
    <x v="2"/>
    <x v="1"/>
    <x v="0"/>
    <x v="0"/>
    <x v="0"/>
    <x v="0"/>
    <x v="8"/>
    <n v="0"/>
    <n v="0"/>
    <n v="22052.966"/>
    <n v="22052.966"/>
    <n v="22052.966"/>
    <n v="22052.966"/>
    <n v="0"/>
    <x v="1"/>
    <n v="0"/>
    <n v="0"/>
    <n v="19"/>
    <n v="67"/>
    <n v="0"/>
    <n v="149.63"/>
    <n v="230.03"/>
    <m/>
    <n v="54.203801879475932"/>
    <n v="282.91739971702214"/>
    <n v="0"/>
    <n v="3299785.3025799999"/>
    <n v="5072843.7689800002"/>
    <n v="0"/>
    <n v="1195354.5999188188"/>
    <n v="6239167.7967678988"/>
  </r>
  <r>
    <s v="Sistema Isolado - Regular"/>
    <x v="1"/>
    <x v="2"/>
    <x v="1"/>
    <x v="0"/>
    <x v="0"/>
    <x v="0"/>
    <x v="0"/>
    <x v="8"/>
    <n v="0"/>
    <n v="0"/>
    <n v="1522.942"/>
    <n v="1522.942"/>
    <n v="1522.942"/>
    <n v="1522.942"/>
    <n v="0"/>
    <x v="1"/>
    <n v="0"/>
    <n v="0"/>
    <n v="19"/>
    <n v="67"/>
    <n v="0"/>
    <n v="149.63"/>
    <n v="230.03"/>
    <m/>
    <n v="54.203801879475932"/>
    <n v="282.91739971702214"/>
    <n v="0"/>
    <n v="227877.81146"/>
    <n v="350322.34826"/>
    <n v="0"/>
    <n v="82549.246441932832"/>
    <n v="430866.79055984115"/>
  </r>
  <r>
    <s v="Sistema de Compensação"/>
    <x v="1"/>
    <x v="2"/>
    <x v="1"/>
    <x v="0"/>
    <x v="0"/>
    <x v="0"/>
    <x v="0"/>
    <x v="8"/>
    <n v="0"/>
    <n v="0"/>
    <n v="525.94200000000001"/>
    <n v="525.94200000000001"/>
    <n v="525.94200000000001"/>
    <n v="525.94200000000001"/>
    <n v="0"/>
    <x v="1"/>
    <n v="0"/>
    <n v="0"/>
    <n v="19"/>
    <n v="67"/>
    <n v="0"/>
    <n v="149.63"/>
    <n v="230.03"/>
    <m/>
    <n v="54.203801879475932"/>
    <n v="282.91739971702214"/>
    <n v="0"/>
    <n v="78696.701459999997"/>
    <n v="120982.43826"/>
    <n v="0"/>
    <n v="28508.05596809533"/>
    <n v="148798.14304197006"/>
  </r>
  <r>
    <s v="Regular"/>
    <x v="1"/>
    <x v="2"/>
    <x v="1"/>
    <x v="0"/>
    <x v="0"/>
    <x v="0"/>
    <x v="0"/>
    <x v="8"/>
    <n v="0"/>
    <n v="0"/>
    <n v="532.75599999999997"/>
    <n v="532.75599999999997"/>
    <n v="0"/>
    <n v="0"/>
    <n v="0"/>
    <x v="0"/>
    <n v="0"/>
    <n v="0"/>
    <n v="19"/>
    <n v="0"/>
    <n v="0"/>
    <n v="149.63"/>
    <n v="0"/>
    <m/>
    <n v="54.203801879475932"/>
    <m/>
    <n v="0"/>
    <n v="79716.280279999992"/>
    <n v="0"/>
    <n v="0"/>
    <n v="28877.400674102078"/>
    <n v="0"/>
  </r>
  <r>
    <s v="Regular"/>
    <x v="1"/>
    <x v="2"/>
    <x v="1"/>
    <x v="0"/>
    <x v="0"/>
    <x v="0"/>
    <x v="0"/>
    <x v="9"/>
    <n v="0"/>
    <n v="0"/>
    <n v="22740.772000000001"/>
    <n v="22740.772000000001"/>
    <n v="22740.772000000001"/>
    <n v="22740.772000000001"/>
    <n v="0"/>
    <x v="1"/>
    <n v="0"/>
    <n v="0"/>
    <n v="19"/>
    <n v="67"/>
    <n v="0"/>
    <n v="149.63"/>
    <n v="230.03"/>
    <m/>
    <n v="54.203801879475932"/>
    <n v="282.91739971702214"/>
    <n v="0"/>
    <n v="3402701.7143600001"/>
    <n v="5231059.7831600001"/>
    <n v="0"/>
    <n v="1232636.3000743338"/>
    <n v="6433760.081797665"/>
  </r>
  <r>
    <s v="Refaturamento - Regular"/>
    <x v="1"/>
    <x v="2"/>
    <x v="1"/>
    <x v="0"/>
    <x v="0"/>
    <x v="0"/>
    <x v="0"/>
    <x v="9"/>
    <n v="0"/>
    <n v="0"/>
    <n v="-9.6590000000000007"/>
    <n v="-9.6590000000000007"/>
    <n v="-9.6590000000000007"/>
    <n v="-9.6590000000000007"/>
    <n v="0"/>
    <x v="1"/>
    <n v="0"/>
    <n v="0"/>
    <n v="19"/>
    <n v="67"/>
    <n v="0"/>
    <n v="149.63"/>
    <n v="230.03"/>
    <m/>
    <n v="54.203801879475932"/>
    <n v="282.91739971702214"/>
    <n v="0"/>
    <n v="-1445.2761700000001"/>
    <n v="-2221.85977"/>
    <n v="0"/>
    <n v="-523.55452235385803"/>
    <n v="-2732.6991638667168"/>
  </r>
  <r>
    <s v="Sistema Isolado - Regular"/>
    <x v="1"/>
    <x v="2"/>
    <x v="1"/>
    <x v="0"/>
    <x v="0"/>
    <x v="0"/>
    <x v="0"/>
    <x v="9"/>
    <n v="0"/>
    <n v="0"/>
    <n v="1745.923"/>
    <n v="1745.923"/>
    <n v="1745.923"/>
    <n v="1745.923"/>
    <n v="0"/>
    <x v="1"/>
    <n v="0"/>
    <n v="0"/>
    <n v="19"/>
    <n v="67"/>
    <n v="0"/>
    <n v="149.63"/>
    <n v="230.03"/>
    <m/>
    <n v="54.203801879475932"/>
    <n v="282.91739971702214"/>
    <n v="0"/>
    <n v="261242.45848999999"/>
    <n v="401614.66769000003"/>
    <n v="0"/>
    <n v="94635.664388820252"/>
    <n v="493951.99526614242"/>
  </r>
  <r>
    <s v="Sistema de Compensação"/>
    <x v="1"/>
    <x v="2"/>
    <x v="1"/>
    <x v="0"/>
    <x v="0"/>
    <x v="0"/>
    <x v="0"/>
    <x v="9"/>
    <n v="0"/>
    <n v="0"/>
    <n v="527.851"/>
    <n v="527.851"/>
    <n v="527.851"/>
    <n v="527.851"/>
    <n v="0"/>
    <x v="1"/>
    <n v="0"/>
    <n v="0"/>
    <n v="19"/>
    <n v="67"/>
    <n v="0"/>
    <n v="149.63"/>
    <n v="230.03"/>
    <m/>
    <n v="54.203801879475932"/>
    <n v="282.91739971702214"/>
    <n v="0"/>
    <n v="78982.345130000002"/>
    <n v="121421.56553000001"/>
    <n v="0"/>
    <n v="28611.531025883251"/>
    <n v="149338.23235802984"/>
  </r>
  <r>
    <s v="Regular"/>
    <x v="1"/>
    <x v="2"/>
    <x v="1"/>
    <x v="0"/>
    <x v="0"/>
    <x v="0"/>
    <x v="0"/>
    <x v="9"/>
    <n v="0"/>
    <n v="0"/>
    <n v="541.78599999999994"/>
    <n v="541.78599999999994"/>
    <n v="0"/>
    <n v="0"/>
    <n v="0"/>
    <x v="0"/>
    <n v="0"/>
    <n v="0"/>
    <n v="19"/>
    <n v="0"/>
    <n v="0"/>
    <n v="149.63"/>
    <n v="0"/>
    <m/>
    <n v="54.203801879475932"/>
    <m/>
    <n v="0"/>
    <n v="81067.439179999987"/>
    <n v="0"/>
    <n v="0"/>
    <n v="29366.861005073744"/>
    <n v="0"/>
  </r>
  <r>
    <s v="Regular"/>
    <x v="1"/>
    <x v="2"/>
    <x v="1"/>
    <x v="0"/>
    <x v="0"/>
    <x v="0"/>
    <x v="0"/>
    <x v="10"/>
    <n v="0"/>
    <n v="0"/>
    <n v="20569.343000000001"/>
    <n v="20569.343000000001"/>
    <n v="20569.343000000001"/>
    <n v="20569.343000000001"/>
    <n v="0"/>
    <x v="1"/>
    <n v="0"/>
    <n v="0"/>
    <n v="19"/>
    <n v="67"/>
    <n v="0"/>
    <n v="149.63"/>
    <n v="230.03"/>
    <m/>
    <n v="54.203801879475932"/>
    <n v="282.91739971702214"/>
    <n v="0"/>
    <n v="3077790.7930899998"/>
    <n v="4731565.9702900006"/>
    <n v="0"/>
    <n v="1114936.5927629853"/>
    <n v="5819425.0354475314"/>
  </r>
  <r>
    <s v="Refaturamento - Regular"/>
    <x v="1"/>
    <x v="2"/>
    <x v="1"/>
    <x v="0"/>
    <x v="0"/>
    <x v="0"/>
    <x v="0"/>
    <x v="10"/>
    <n v="0"/>
    <n v="0"/>
    <n v="-35.49"/>
    <n v="-35.49"/>
    <n v="-35.49"/>
    <n v="-35.49"/>
    <n v="0"/>
    <x v="1"/>
    <n v="0"/>
    <n v="0"/>
    <n v="19"/>
    <n v="67"/>
    <n v="0"/>
    <n v="149.63"/>
    <n v="230.03"/>
    <m/>
    <n v="54.203801879475932"/>
    <n v="282.91739971702214"/>
    <n v="0"/>
    <n v="-5310.3687"/>
    <n v="-8163.7647000000006"/>
    <n v="0"/>
    <n v="-1923.692928702601"/>
    <n v="-10040.738515957117"/>
  </r>
  <r>
    <s v="Sistema Isolado - Regular"/>
    <x v="1"/>
    <x v="2"/>
    <x v="1"/>
    <x v="0"/>
    <x v="0"/>
    <x v="0"/>
    <x v="0"/>
    <x v="10"/>
    <n v="0"/>
    <n v="0"/>
    <n v="2086.9160000000002"/>
    <n v="2086.9160000000002"/>
    <n v="2086.9160000000002"/>
    <n v="2086.9160000000002"/>
    <n v="0"/>
    <x v="1"/>
    <n v="0"/>
    <n v="0"/>
    <n v="19"/>
    <n v="67"/>
    <n v="0"/>
    <n v="149.63"/>
    <n v="230.03"/>
    <m/>
    <n v="54.203801879475932"/>
    <n v="282.91739971702214"/>
    <n v="0"/>
    <n v="312265.24108000001"/>
    <n v="480053.28748000006"/>
    <n v="0"/>
    <n v="113118.7814031084"/>
    <n v="590424.84814784897"/>
  </r>
  <r>
    <s v="Sistema Isolado - Refaturamento"/>
    <x v="1"/>
    <x v="2"/>
    <x v="1"/>
    <x v="0"/>
    <x v="0"/>
    <x v="0"/>
    <x v="0"/>
    <x v="10"/>
    <n v="0"/>
    <n v="0"/>
    <n v="-5.0209999999999999"/>
    <n v="-5.0209999999999999"/>
    <n v="-5.0209999999999999"/>
    <n v="-5.0209999999999999"/>
    <n v="0"/>
    <x v="1"/>
    <n v="0"/>
    <n v="0"/>
    <n v="19"/>
    <n v="67"/>
    <n v="0"/>
    <n v="149.63"/>
    <n v="230.03"/>
    <m/>
    <n v="54.203801879475932"/>
    <n v="282.91739971702214"/>
    <n v="0"/>
    <n v="-751.29223000000002"/>
    <n v="-1154.98063"/>
    <n v="0"/>
    <n v="-272.15728923684867"/>
    <n v="-1420.5282639791681"/>
  </r>
  <r>
    <s v="Sistema de Compensação"/>
    <x v="1"/>
    <x v="2"/>
    <x v="1"/>
    <x v="0"/>
    <x v="0"/>
    <x v="0"/>
    <x v="0"/>
    <x v="10"/>
    <n v="0"/>
    <n v="0"/>
    <n v="519.255"/>
    <n v="519.255"/>
    <n v="519.255"/>
    <n v="519.255"/>
    <n v="0"/>
    <x v="1"/>
    <n v="0"/>
    <n v="0"/>
    <n v="19"/>
    <n v="67"/>
    <n v="0"/>
    <n v="149.63"/>
    <n v="230.03"/>
    <m/>
    <n v="54.203801879475932"/>
    <n v="282.91739971702214"/>
    <n v="0"/>
    <n v="77696.125650000002"/>
    <n v="119444.22765"/>
    <n v="0"/>
    <n v="28145.595144927276"/>
    <n v="146906.27439006232"/>
  </r>
  <r>
    <s v="Regular"/>
    <x v="1"/>
    <x v="2"/>
    <x v="1"/>
    <x v="0"/>
    <x v="0"/>
    <x v="0"/>
    <x v="0"/>
    <x v="10"/>
    <n v="0"/>
    <n v="0"/>
    <n v="979.41499999999996"/>
    <n v="979.41499999999996"/>
    <n v="0"/>
    <n v="0"/>
    <n v="0"/>
    <x v="0"/>
    <n v="0"/>
    <n v="0"/>
    <n v="19"/>
    <n v="0"/>
    <n v="0"/>
    <n v="149.63"/>
    <n v="0"/>
    <m/>
    <n v="54.203801879475932"/>
    <m/>
    <n v="0"/>
    <n v="146549.86645"/>
    <n v="0"/>
    <n v="0"/>
    <n v="53088.016617786918"/>
    <n v="0"/>
  </r>
  <r>
    <s v="PROJETADO"/>
    <x v="1"/>
    <x v="2"/>
    <x v="1"/>
    <x v="0"/>
    <x v="0"/>
    <x v="0"/>
    <x v="0"/>
    <x v="11"/>
    <n v="0"/>
    <n v="0"/>
    <n v="20569.343000000001"/>
    <n v="20569.343000000001"/>
    <n v="20569.343000000001"/>
    <n v="20569.343000000001"/>
    <n v="0"/>
    <x v="1"/>
    <n v="0"/>
    <n v="0"/>
    <n v="19"/>
    <n v="67"/>
    <n v="0"/>
    <n v="149.63"/>
    <n v="230.03"/>
    <m/>
    <n v="54.203801879475932"/>
    <n v="282.91739971702214"/>
    <n v="0"/>
    <n v="3077790.7930899998"/>
    <n v="4731565.9702900006"/>
    <n v="0"/>
    <n v="1114936.5927629853"/>
    <n v="5819425.0354475314"/>
  </r>
  <r>
    <s v="PROJETADO"/>
    <x v="1"/>
    <x v="2"/>
    <x v="1"/>
    <x v="0"/>
    <x v="0"/>
    <x v="0"/>
    <x v="0"/>
    <x v="11"/>
    <n v="0"/>
    <n v="0"/>
    <n v="-35.49"/>
    <n v="-35.49"/>
    <n v="-35.49"/>
    <n v="-35.49"/>
    <n v="0"/>
    <x v="1"/>
    <n v="0"/>
    <n v="0"/>
    <n v="19"/>
    <n v="67"/>
    <n v="0"/>
    <n v="149.63"/>
    <n v="230.03"/>
    <m/>
    <n v="54.203801879475932"/>
    <n v="282.91739971702214"/>
    <n v="0"/>
    <n v="-5310.3687"/>
    <n v="-8163.7647000000006"/>
    <n v="0"/>
    <n v="-1923.692928702601"/>
    <n v="-10040.738515957117"/>
  </r>
  <r>
    <s v="PROJETADO"/>
    <x v="1"/>
    <x v="2"/>
    <x v="1"/>
    <x v="0"/>
    <x v="0"/>
    <x v="0"/>
    <x v="0"/>
    <x v="11"/>
    <n v="0"/>
    <n v="0"/>
    <n v="2086.9160000000002"/>
    <n v="2086.9160000000002"/>
    <n v="2086.9160000000002"/>
    <n v="2086.9160000000002"/>
    <n v="0"/>
    <x v="1"/>
    <n v="0"/>
    <n v="0"/>
    <n v="19"/>
    <n v="67"/>
    <n v="0"/>
    <n v="149.63"/>
    <n v="230.03"/>
    <m/>
    <n v="54.203801879475932"/>
    <n v="282.91739971702214"/>
    <n v="0"/>
    <n v="312265.24108000001"/>
    <n v="480053.28748000006"/>
    <n v="0"/>
    <n v="113118.7814031084"/>
    <n v="590424.84814784897"/>
  </r>
  <r>
    <s v="PROJETADO"/>
    <x v="1"/>
    <x v="2"/>
    <x v="1"/>
    <x v="0"/>
    <x v="0"/>
    <x v="0"/>
    <x v="0"/>
    <x v="11"/>
    <n v="0"/>
    <n v="0"/>
    <n v="-5.0209999999999999"/>
    <n v="-5.0209999999999999"/>
    <n v="-5.0209999999999999"/>
    <n v="-5.0209999999999999"/>
    <n v="0"/>
    <x v="1"/>
    <n v="0"/>
    <n v="0"/>
    <n v="19"/>
    <n v="67"/>
    <n v="0"/>
    <n v="149.63"/>
    <n v="230.03"/>
    <m/>
    <n v="54.203801879475932"/>
    <n v="282.91739971702214"/>
    <n v="0"/>
    <n v="-751.29223000000002"/>
    <n v="-1154.98063"/>
    <n v="0"/>
    <n v="-272.15728923684867"/>
    <n v="-1420.5282639791681"/>
  </r>
  <r>
    <s v="PROJETADO"/>
    <x v="1"/>
    <x v="2"/>
    <x v="1"/>
    <x v="0"/>
    <x v="0"/>
    <x v="0"/>
    <x v="0"/>
    <x v="11"/>
    <n v="0"/>
    <n v="0"/>
    <n v="519.255"/>
    <n v="519.255"/>
    <n v="519.255"/>
    <n v="519.255"/>
    <n v="0"/>
    <x v="1"/>
    <n v="0"/>
    <n v="0"/>
    <n v="19"/>
    <n v="67"/>
    <n v="0"/>
    <n v="149.63"/>
    <n v="230.03"/>
    <m/>
    <n v="54.203801879475932"/>
    <n v="282.91739971702214"/>
    <n v="0"/>
    <n v="77696.125650000002"/>
    <n v="119444.22765"/>
    <n v="0"/>
    <n v="28145.595144927276"/>
    <n v="146906.27439006232"/>
  </r>
  <r>
    <s v="PROJETADO"/>
    <x v="1"/>
    <x v="2"/>
    <x v="1"/>
    <x v="0"/>
    <x v="0"/>
    <x v="0"/>
    <x v="0"/>
    <x v="11"/>
    <n v="0"/>
    <n v="0"/>
    <n v="979.41499999999996"/>
    <n v="979.41499999999996"/>
    <n v="0"/>
    <n v="0"/>
    <n v="0"/>
    <x v="0"/>
    <n v="0"/>
    <n v="0"/>
    <n v="19"/>
    <n v="0"/>
    <n v="0"/>
    <n v="149.63"/>
    <n v="0"/>
    <m/>
    <n v="54.203801879475932"/>
    <m/>
    <n v="0"/>
    <n v="146549.86645"/>
    <n v="0"/>
    <n v="0"/>
    <n v="53088.016617786918"/>
    <n v="0"/>
  </r>
  <r>
    <s v="Regular"/>
    <x v="1"/>
    <x v="2"/>
    <x v="1"/>
    <x v="0"/>
    <x v="0"/>
    <x v="0"/>
    <x v="1"/>
    <x v="0"/>
    <n v="101891"/>
    <n v="101891"/>
    <n v="0"/>
    <n v="0"/>
    <n v="0"/>
    <n v="0"/>
    <n v="343"/>
    <x v="1"/>
    <n v="0"/>
    <n v="23"/>
    <n v="0"/>
    <n v="0"/>
    <n v="28.57"/>
    <n v="0"/>
    <n v="0"/>
    <n v="31.93064187172984"/>
    <m/>
    <m/>
    <n v="2911025.87"/>
    <n v="0"/>
    <n v="0"/>
    <n v="3253445.0309524252"/>
    <n v="0"/>
    <n v="0"/>
  </r>
  <r>
    <s v="Refaturamento - Regular"/>
    <x v="1"/>
    <x v="2"/>
    <x v="1"/>
    <x v="0"/>
    <x v="0"/>
    <x v="0"/>
    <x v="1"/>
    <x v="0"/>
    <n v="-6"/>
    <n v="-6"/>
    <n v="0"/>
    <n v="0"/>
    <n v="0"/>
    <n v="0"/>
    <n v="-1"/>
    <x v="1"/>
    <n v="0"/>
    <n v="23"/>
    <n v="0"/>
    <n v="0"/>
    <n v="28.57"/>
    <n v="0"/>
    <n v="0"/>
    <n v="31.93064187172984"/>
    <m/>
    <m/>
    <n v="-171.42000000000002"/>
    <n v="0"/>
    <n v="0"/>
    <n v="-191.58385123037903"/>
    <n v="0"/>
    <n v="0"/>
  </r>
  <r>
    <s v="Sistema Isolado - Regular"/>
    <x v="1"/>
    <x v="2"/>
    <x v="1"/>
    <x v="0"/>
    <x v="0"/>
    <x v="0"/>
    <x v="1"/>
    <x v="0"/>
    <n v="11895"/>
    <n v="11895"/>
    <n v="0"/>
    <n v="0"/>
    <n v="0"/>
    <n v="0"/>
    <n v="71"/>
    <x v="1"/>
    <n v="0"/>
    <n v="23"/>
    <n v="0"/>
    <n v="0"/>
    <n v="28.57"/>
    <n v="0"/>
    <n v="0"/>
    <n v="31.93064187172984"/>
    <m/>
    <m/>
    <n v="339840.15"/>
    <n v="0"/>
    <n v="0"/>
    <n v="379814.98506422644"/>
    <n v="0"/>
    <n v="0"/>
  </r>
  <r>
    <s v="Sistema Isolado - Refaturamento"/>
    <x v="1"/>
    <x v="2"/>
    <x v="1"/>
    <x v="0"/>
    <x v="0"/>
    <x v="0"/>
    <x v="1"/>
    <x v="0"/>
    <n v="-94"/>
    <n v="-94"/>
    <n v="0"/>
    <n v="0"/>
    <n v="0"/>
    <n v="0"/>
    <n v="0"/>
    <x v="1"/>
    <n v="0"/>
    <n v="23"/>
    <n v="0"/>
    <n v="0"/>
    <n v="28.57"/>
    <n v="0"/>
    <n v="0"/>
    <n v="31.93064187172984"/>
    <m/>
    <m/>
    <n v="-2685.58"/>
    <n v="0"/>
    <n v="0"/>
    <n v="-3001.4803359426051"/>
    <n v="0"/>
    <n v="0"/>
  </r>
  <r>
    <s v="Sistema de Compensação"/>
    <x v="1"/>
    <x v="2"/>
    <x v="1"/>
    <x v="0"/>
    <x v="0"/>
    <x v="0"/>
    <x v="1"/>
    <x v="0"/>
    <n v="1719"/>
    <n v="1719"/>
    <n v="0"/>
    <n v="0"/>
    <n v="0"/>
    <n v="0"/>
    <n v="6"/>
    <x v="1"/>
    <n v="0"/>
    <n v="23"/>
    <n v="0"/>
    <n v="0"/>
    <n v="28.57"/>
    <n v="0"/>
    <n v="0"/>
    <n v="31.93064187172984"/>
    <m/>
    <m/>
    <n v="49111.83"/>
    <n v="0"/>
    <n v="0"/>
    <n v="54888.773377503596"/>
    <n v="0"/>
    <n v="0"/>
  </r>
  <r>
    <s v="Regular"/>
    <x v="1"/>
    <x v="2"/>
    <x v="1"/>
    <x v="0"/>
    <x v="0"/>
    <x v="0"/>
    <x v="1"/>
    <x v="1"/>
    <n v="102849"/>
    <n v="102849"/>
    <n v="0"/>
    <n v="0"/>
    <n v="0"/>
    <n v="0"/>
    <n v="346"/>
    <x v="1"/>
    <n v="0"/>
    <n v="23"/>
    <n v="0"/>
    <n v="0"/>
    <n v="28.57"/>
    <n v="0"/>
    <n v="0"/>
    <n v="31.93064187172984"/>
    <m/>
    <m/>
    <n v="2938395.93"/>
    <n v="0"/>
    <n v="0"/>
    <n v="3284034.5858655423"/>
    <n v="0"/>
    <n v="0"/>
  </r>
  <r>
    <s v="Refaturamento - Regular"/>
    <x v="1"/>
    <x v="2"/>
    <x v="1"/>
    <x v="0"/>
    <x v="0"/>
    <x v="0"/>
    <x v="1"/>
    <x v="1"/>
    <n v="-808"/>
    <n v="-808"/>
    <n v="0"/>
    <n v="0"/>
    <n v="0"/>
    <n v="0"/>
    <n v="0"/>
    <x v="1"/>
    <n v="0"/>
    <n v="23"/>
    <n v="0"/>
    <n v="0"/>
    <n v="28.57"/>
    <n v="0"/>
    <n v="0"/>
    <n v="31.93064187172984"/>
    <m/>
    <m/>
    <n v="-23084.560000000001"/>
    <n v="0"/>
    <n v="0"/>
    <n v="-25799.95863235771"/>
    <n v="0"/>
    <n v="0"/>
  </r>
  <r>
    <s v="Sistema Isolado - Regular"/>
    <x v="1"/>
    <x v="2"/>
    <x v="1"/>
    <x v="0"/>
    <x v="0"/>
    <x v="0"/>
    <x v="1"/>
    <x v="1"/>
    <n v="12157"/>
    <n v="12157"/>
    <n v="0"/>
    <n v="0"/>
    <n v="0"/>
    <n v="0"/>
    <n v="72"/>
    <x v="1"/>
    <n v="0"/>
    <n v="23"/>
    <n v="0"/>
    <n v="0"/>
    <n v="28.57"/>
    <n v="0"/>
    <n v="0"/>
    <n v="31.93064187172984"/>
    <m/>
    <m/>
    <n v="347325.49"/>
    <n v="0"/>
    <n v="0"/>
    <n v="388180.81323461968"/>
    <n v="0"/>
    <n v="0"/>
  </r>
  <r>
    <s v="Sistema de Compensação"/>
    <x v="1"/>
    <x v="2"/>
    <x v="1"/>
    <x v="0"/>
    <x v="0"/>
    <x v="0"/>
    <x v="1"/>
    <x v="1"/>
    <n v="1662"/>
    <n v="1662"/>
    <n v="0"/>
    <n v="0"/>
    <n v="0"/>
    <n v="0"/>
    <n v="6"/>
    <x v="1"/>
    <n v="0"/>
    <n v="23"/>
    <n v="0"/>
    <n v="0"/>
    <n v="28.57"/>
    <n v="0"/>
    <n v="0"/>
    <n v="31.93064187172984"/>
    <m/>
    <m/>
    <n v="47483.340000000004"/>
    <n v="0"/>
    <n v="0"/>
    <n v="53068.726790814995"/>
    <n v="0"/>
    <n v="0"/>
  </r>
  <r>
    <s v="Regular"/>
    <x v="1"/>
    <x v="2"/>
    <x v="1"/>
    <x v="0"/>
    <x v="0"/>
    <x v="0"/>
    <x v="1"/>
    <x v="2"/>
    <n v="102774"/>
    <n v="102774"/>
    <n v="0"/>
    <n v="0"/>
    <n v="0"/>
    <n v="0"/>
    <n v="343"/>
    <x v="1"/>
    <n v="0"/>
    <n v="23"/>
    <n v="0"/>
    <n v="0"/>
    <n v="28.57"/>
    <n v="0"/>
    <n v="0"/>
    <n v="31.93064187172984"/>
    <m/>
    <m/>
    <n v="2936253.18"/>
    <n v="0"/>
    <n v="0"/>
    <n v="3281639.7877251627"/>
    <n v="0"/>
    <n v="0"/>
  </r>
  <r>
    <s v="Refaturamento - Regular"/>
    <x v="1"/>
    <x v="2"/>
    <x v="1"/>
    <x v="0"/>
    <x v="0"/>
    <x v="0"/>
    <x v="1"/>
    <x v="2"/>
    <n v="-235"/>
    <n v="-235"/>
    <n v="0"/>
    <n v="0"/>
    <n v="0"/>
    <n v="0"/>
    <n v="0"/>
    <x v="1"/>
    <n v="0"/>
    <n v="23"/>
    <n v="0"/>
    <n v="0"/>
    <n v="28.57"/>
    <n v="0"/>
    <n v="0"/>
    <n v="31.93064187172984"/>
    <m/>
    <m/>
    <n v="-6713.95"/>
    <n v="0"/>
    <n v="0"/>
    <n v="-7503.7008398565122"/>
    <n v="0"/>
    <n v="0"/>
  </r>
  <r>
    <s v="Sistema Isolado - Regular"/>
    <x v="1"/>
    <x v="2"/>
    <x v="1"/>
    <x v="0"/>
    <x v="0"/>
    <x v="0"/>
    <x v="1"/>
    <x v="2"/>
    <n v="12493"/>
    <n v="12493"/>
    <n v="0"/>
    <n v="0"/>
    <n v="0"/>
    <n v="0"/>
    <n v="73"/>
    <x v="1"/>
    <n v="0"/>
    <n v="23"/>
    <n v="0"/>
    <n v="0"/>
    <n v="28.57"/>
    <n v="0"/>
    <n v="0"/>
    <n v="31.93064187172984"/>
    <m/>
    <m/>
    <n v="356925.01"/>
    <n v="0"/>
    <n v="0"/>
    <n v="398909.50890352088"/>
    <n v="0"/>
    <n v="0"/>
  </r>
  <r>
    <s v="Sistema Isolado - Refaturamento"/>
    <x v="1"/>
    <x v="2"/>
    <x v="1"/>
    <x v="0"/>
    <x v="0"/>
    <x v="0"/>
    <x v="1"/>
    <x v="2"/>
    <n v="-3717"/>
    <n v="-3717"/>
    <n v="0"/>
    <n v="0"/>
    <n v="0"/>
    <n v="0"/>
    <n v="0"/>
    <x v="1"/>
    <n v="0"/>
    <n v="23"/>
    <n v="0"/>
    <n v="0"/>
    <n v="28.57"/>
    <n v="0"/>
    <n v="0"/>
    <n v="31.93064187172984"/>
    <m/>
    <m/>
    <n v="-106194.69"/>
    <n v="0"/>
    <n v="0"/>
    <n v="-118686.19583721981"/>
    <n v="0"/>
    <n v="0"/>
  </r>
  <r>
    <s v="Sistema de Compensação"/>
    <x v="1"/>
    <x v="2"/>
    <x v="1"/>
    <x v="0"/>
    <x v="0"/>
    <x v="0"/>
    <x v="1"/>
    <x v="2"/>
    <n v="1673"/>
    <n v="1673"/>
    <n v="0"/>
    <n v="0"/>
    <n v="0"/>
    <n v="0"/>
    <n v="6"/>
    <x v="1"/>
    <n v="0"/>
    <n v="23"/>
    <n v="0"/>
    <n v="0"/>
    <n v="28.57"/>
    <n v="0"/>
    <n v="0"/>
    <n v="31.93064187172984"/>
    <m/>
    <m/>
    <n v="47797.61"/>
    <n v="0"/>
    <n v="0"/>
    <n v="53419.96385140402"/>
    <n v="0"/>
    <n v="0"/>
  </r>
  <r>
    <s v="Regular"/>
    <x v="1"/>
    <x v="2"/>
    <x v="1"/>
    <x v="0"/>
    <x v="0"/>
    <x v="0"/>
    <x v="1"/>
    <x v="3"/>
    <n v="101003"/>
    <n v="101003"/>
    <n v="0"/>
    <n v="0"/>
    <n v="0"/>
    <n v="0"/>
    <n v="347"/>
    <x v="1"/>
    <n v="0"/>
    <n v="23"/>
    <n v="0"/>
    <n v="0"/>
    <n v="28.57"/>
    <n v="0"/>
    <n v="0"/>
    <n v="31.93064187172984"/>
    <m/>
    <m/>
    <n v="2885655.71"/>
    <n v="0"/>
    <n v="0"/>
    <n v="3225090.6209703288"/>
    <n v="0"/>
    <n v="0"/>
  </r>
  <r>
    <s v="Refaturamento - Regular"/>
    <x v="1"/>
    <x v="2"/>
    <x v="1"/>
    <x v="0"/>
    <x v="0"/>
    <x v="0"/>
    <x v="1"/>
    <x v="3"/>
    <n v="-2862"/>
    <n v="-2862"/>
    <n v="0"/>
    <n v="0"/>
    <n v="0"/>
    <n v="0"/>
    <n v="0"/>
    <x v="1"/>
    <n v="0"/>
    <n v="23"/>
    <n v="0"/>
    <n v="0"/>
    <n v="28.57"/>
    <n v="0"/>
    <n v="0"/>
    <n v="31.93064187172984"/>
    <m/>
    <m/>
    <n v="-81767.34"/>
    <n v="0"/>
    <n v="0"/>
    <n v="-91385.497036890796"/>
    <n v="0"/>
    <n v="0"/>
  </r>
  <r>
    <s v="Sistema Isolado - Regular"/>
    <x v="1"/>
    <x v="2"/>
    <x v="1"/>
    <x v="0"/>
    <x v="0"/>
    <x v="0"/>
    <x v="1"/>
    <x v="3"/>
    <n v="11986"/>
    <n v="11986"/>
    <n v="0"/>
    <n v="0"/>
    <n v="0"/>
    <n v="0"/>
    <n v="71"/>
    <x v="1"/>
    <n v="0"/>
    <n v="23"/>
    <n v="0"/>
    <n v="0"/>
    <n v="28.57"/>
    <n v="0"/>
    <n v="0"/>
    <n v="31.93064187172984"/>
    <m/>
    <m/>
    <n v="342440.02"/>
    <n v="0"/>
    <n v="0"/>
    <n v="382720.67347455386"/>
    <n v="0"/>
    <n v="0"/>
  </r>
  <r>
    <s v="Sistema Isolado - Refaturamento"/>
    <x v="1"/>
    <x v="2"/>
    <x v="1"/>
    <x v="0"/>
    <x v="0"/>
    <x v="0"/>
    <x v="1"/>
    <x v="3"/>
    <n v="-511"/>
    <n v="-511"/>
    <n v="0"/>
    <n v="0"/>
    <n v="0"/>
    <n v="0"/>
    <n v="0"/>
    <x v="1"/>
    <n v="0"/>
    <n v="23"/>
    <n v="0"/>
    <n v="0"/>
    <n v="28.57"/>
    <n v="0"/>
    <n v="0"/>
    <n v="31.93064187172984"/>
    <m/>
    <m/>
    <n v="-14599.27"/>
    <n v="0"/>
    <n v="0"/>
    <n v="-16316.557996453948"/>
    <n v="0"/>
    <n v="0"/>
  </r>
  <r>
    <s v="Sistema de Compensação"/>
    <x v="1"/>
    <x v="2"/>
    <x v="1"/>
    <x v="0"/>
    <x v="0"/>
    <x v="0"/>
    <x v="1"/>
    <x v="3"/>
    <n v="1706"/>
    <n v="1706"/>
    <n v="0"/>
    <n v="0"/>
    <n v="0"/>
    <n v="0"/>
    <n v="7"/>
    <x v="1"/>
    <n v="0"/>
    <n v="23"/>
    <n v="0"/>
    <n v="0"/>
    <n v="28.57"/>
    <n v="0"/>
    <n v="0"/>
    <n v="31.93064187172984"/>
    <m/>
    <m/>
    <n v="48740.42"/>
    <n v="0"/>
    <n v="0"/>
    <n v="54473.675033171108"/>
    <n v="0"/>
    <n v="0"/>
  </r>
  <r>
    <s v="Regular"/>
    <x v="1"/>
    <x v="2"/>
    <x v="1"/>
    <x v="0"/>
    <x v="0"/>
    <x v="0"/>
    <x v="1"/>
    <x v="4"/>
    <n v="101006"/>
    <n v="101006"/>
    <n v="0"/>
    <n v="0"/>
    <n v="0"/>
    <n v="0"/>
    <n v="345"/>
    <x v="1"/>
    <n v="0"/>
    <n v="23"/>
    <n v="0"/>
    <n v="0"/>
    <n v="28.57"/>
    <n v="0"/>
    <n v="0"/>
    <n v="31.93064187172984"/>
    <m/>
    <m/>
    <n v="2885741.42"/>
    <n v="0"/>
    <n v="0"/>
    <n v="3225186.4128959444"/>
    <n v="0"/>
    <n v="0"/>
  </r>
  <r>
    <s v="Sistema Isolado - Regular"/>
    <x v="1"/>
    <x v="2"/>
    <x v="1"/>
    <x v="0"/>
    <x v="0"/>
    <x v="0"/>
    <x v="1"/>
    <x v="4"/>
    <n v="12321"/>
    <n v="12321"/>
    <n v="0"/>
    <n v="0"/>
    <n v="0"/>
    <n v="0"/>
    <n v="71"/>
    <x v="1"/>
    <n v="0"/>
    <n v="23"/>
    <n v="0"/>
    <n v="0"/>
    <n v="28.57"/>
    <n v="0"/>
    <n v="0"/>
    <n v="31.93064187172984"/>
    <m/>
    <m/>
    <n v="352010.97000000003"/>
    <n v="0"/>
    <n v="0"/>
    <n v="393417.43850158335"/>
    <n v="0"/>
    <n v="0"/>
  </r>
  <r>
    <s v="Sistema Isolado - Refaturamento"/>
    <x v="1"/>
    <x v="2"/>
    <x v="1"/>
    <x v="0"/>
    <x v="0"/>
    <x v="0"/>
    <x v="1"/>
    <x v="4"/>
    <n v="-275"/>
    <n v="-275"/>
    <n v="0"/>
    <n v="0"/>
    <n v="0"/>
    <n v="0"/>
    <n v="0"/>
    <x v="1"/>
    <n v="0"/>
    <n v="23"/>
    <n v="0"/>
    <n v="0"/>
    <n v="28.57"/>
    <n v="0"/>
    <n v="0"/>
    <n v="31.93064187172984"/>
    <m/>
    <m/>
    <n v="-7856.75"/>
    <n v="0"/>
    <n v="0"/>
    <n v="-8780.9265147257065"/>
    <n v="0"/>
    <n v="0"/>
  </r>
  <r>
    <s v="Sistema de Compensação"/>
    <x v="1"/>
    <x v="2"/>
    <x v="1"/>
    <x v="0"/>
    <x v="0"/>
    <x v="0"/>
    <x v="1"/>
    <x v="4"/>
    <n v="1745"/>
    <n v="1745"/>
    <n v="0"/>
    <n v="0"/>
    <n v="0"/>
    <n v="0"/>
    <n v="8"/>
    <x v="1"/>
    <n v="0"/>
    <n v="23"/>
    <n v="0"/>
    <n v="0"/>
    <n v="28.57"/>
    <n v="0"/>
    <n v="0"/>
    <n v="31.93064187172984"/>
    <m/>
    <m/>
    <n v="49854.65"/>
    <n v="0"/>
    <n v="0"/>
    <n v="55718.970066168571"/>
    <n v="0"/>
    <n v="0"/>
  </r>
  <r>
    <s v="Regular"/>
    <x v="1"/>
    <x v="2"/>
    <x v="1"/>
    <x v="0"/>
    <x v="0"/>
    <x v="0"/>
    <x v="1"/>
    <x v="5"/>
    <n v="100295"/>
    <n v="100295"/>
    <n v="0"/>
    <n v="0"/>
    <n v="0"/>
    <n v="0"/>
    <n v="341"/>
    <x v="1"/>
    <n v="0"/>
    <n v="23"/>
    <n v="0"/>
    <n v="0"/>
    <n v="28.57"/>
    <n v="0"/>
    <n v="0"/>
    <n v="31.93064187172984"/>
    <m/>
    <m/>
    <n v="2865428.15"/>
    <n v="0"/>
    <n v="0"/>
    <n v="3202483.7265251442"/>
    <n v="0"/>
    <n v="0"/>
  </r>
  <r>
    <s v="Refaturamento - Regular"/>
    <x v="1"/>
    <x v="2"/>
    <x v="1"/>
    <x v="0"/>
    <x v="0"/>
    <x v="0"/>
    <x v="1"/>
    <x v="5"/>
    <n v="-156"/>
    <n v="-156"/>
    <n v="0"/>
    <n v="0"/>
    <n v="0"/>
    <n v="0"/>
    <n v="0"/>
    <x v="1"/>
    <n v="0"/>
    <n v="23"/>
    <n v="0"/>
    <n v="0"/>
    <n v="28.57"/>
    <n v="0"/>
    <n v="0"/>
    <n v="31.93064187172984"/>
    <m/>
    <m/>
    <n v="-4456.92"/>
    <n v="0"/>
    <n v="0"/>
    <n v="-4981.180131989855"/>
    <n v="0"/>
    <n v="0"/>
  </r>
  <r>
    <s v="Sistema Isolado - Regular"/>
    <x v="1"/>
    <x v="2"/>
    <x v="1"/>
    <x v="0"/>
    <x v="0"/>
    <x v="0"/>
    <x v="1"/>
    <x v="5"/>
    <n v="10978"/>
    <n v="10978"/>
    <n v="0"/>
    <n v="0"/>
    <n v="0"/>
    <n v="0"/>
    <n v="70"/>
    <x v="1"/>
    <n v="0"/>
    <n v="23"/>
    <n v="0"/>
    <n v="0"/>
    <n v="28.57"/>
    <n v="0"/>
    <n v="0"/>
    <n v="31.93064187172984"/>
    <m/>
    <m/>
    <n v="313641.46000000002"/>
    <n v="0"/>
    <n v="0"/>
    <n v="350534.5864678502"/>
    <n v="0"/>
    <n v="0"/>
  </r>
  <r>
    <s v="Sistema Isolado - Refaturamento"/>
    <x v="1"/>
    <x v="2"/>
    <x v="1"/>
    <x v="0"/>
    <x v="0"/>
    <x v="0"/>
    <x v="1"/>
    <x v="5"/>
    <n v="-7976"/>
    <n v="-7976"/>
    <n v="0"/>
    <n v="0"/>
    <n v="0"/>
    <n v="0"/>
    <n v="0"/>
    <x v="1"/>
    <n v="0"/>
    <n v="23"/>
    <n v="0"/>
    <n v="0"/>
    <n v="28.57"/>
    <n v="0"/>
    <n v="0"/>
    <n v="31.93064187172984"/>
    <m/>
    <m/>
    <n v="-227874.32"/>
    <n v="0"/>
    <n v="0"/>
    <n v="-254678.79956891719"/>
    <n v="0"/>
    <n v="0"/>
  </r>
  <r>
    <s v="Sistema de Compensação"/>
    <x v="1"/>
    <x v="2"/>
    <x v="1"/>
    <x v="0"/>
    <x v="0"/>
    <x v="0"/>
    <x v="1"/>
    <x v="5"/>
    <n v="2533"/>
    <n v="2533"/>
    <n v="0"/>
    <n v="0"/>
    <n v="0"/>
    <n v="0"/>
    <n v="9"/>
    <x v="1"/>
    <n v="0"/>
    <n v="23"/>
    <n v="0"/>
    <n v="0"/>
    <n v="28.57"/>
    <n v="0"/>
    <n v="0"/>
    <n v="31.93064187172984"/>
    <m/>
    <m/>
    <n v="72367.81"/>
    <n v="0"/>
    <n v="0"/>
    <n v="80880.315861091687"/>
    <n v="0"/>
    <n v="0"/>
  </r>
  <r>
    <s v="Regular"/>
    <x v="1"/>
    <x v="2"/>
    <x v="1"/>
    <x v="0"/>
    <x v="0"/>
    <x v="0"/>
    <x v="1"/>
    <x v="6"/>
    <n v="99403"/>
    <n v="99403"/>
    <n v="0"/>
    <n v="0"/>
    <n v="0"/>
    <n v="0"/>
    <n v="339"/>
    <x v="1"/>
    <n v="0"/>
    <n v="23"/>
    <n v="0"/>
    <n v="0"/>
    <n v="28.57"/>
    <n v="0"/>
    <n v="0"/>
    <n v="31.93064187172984"/>
    <m/>
    <m/>
    <n v="2839943.71"/>
    <n v="0"/>
    <n v="0"/>
    <n v="3174001.5939755612"/>
    <n v="0"/>
    <n v="0"/>
  </r>
  <r>
    <s v="Refaturamento - Regular"/>
    <x v="1"/>
    <x v="2"/>
    <x v="1"/>
    <x v="0"/>
    <x v="0"/>
    <x v="0"/>
    <x v="1"/>
    <x v="6"/>
    <n v="-1366"/>
    <n v="-1366"/>
    <n v="0"/>
    <n v="0"/>
    <n v="0"/>
    <n v="0"/>
    <n v="0"/>
    <x v="1"/>
    <n v="0"/>
    <n v="23"/>
    <n v="0"/>
    <n v="0"/>
    <n v="28.57"/>
    <n v="0"/>
    <n v="0"/>
    <n v="31.93064187172984"/>
    <m/>
    <m/>
    <n v="-39026.620000000003"/>
    <n v="0"/>
    <n v="0"/>
    <n v="-43617.25679678296"/>
    <n v="0"/>
    <n v="0"/>
  </r>
  <r>
    <s v="Sistema Isolado - Regular"/>
    <x v="1"/>
    <x v="2"/>
    <x v="1"/>
    <x v="0"/>
    <x v="0"/>
    <x v="0"/>
    <x v="1"/>
    <x v="6"/>
    <n v="10533"/>
    <n v="10533"/>
    <n v="0"/>
    <n v="0"/>
    <n v="0"/>
    <n v="0"/>
    <n v="69"/>
    <x v="1"/>
    <n v="0"/>
    <n v="23"/>
    <n v="0"/>
    <n v="0"/>
    <n v="28.57"/>
    <n v="0"/>
    <n v="0"/>
    <n v="31.93064187172984"/>
    <m/>
    <m/>
    <n v="300927.81"/>
    <n v="0"/>
    <n v="0"/>
    <n v="336325.45083493041"/>
    <n v="0"/>
    <n v="0"/>
  </r>
  <r>
    <s v="Sistema Isolado - Refaturamento"/>
    <x v="1"/>
    <x v="2"/>
    <x v="1"/>
    <x v="0"/>
    <x v="0"/>
    <x v="0"/>
    <x v="1"/>
    <x v="6"/>
    <n v="-257"/>
    <n v="-257"/>
    <n v="0"/>
    <n v="0"/>
    <n v="0"/>
    <n v="0"/>
    <n v="0"/>
    <x v="1"/>
    <n v="0"/>
    <n v="23"/>
    <n v="0"/>
    <n v="0"/>
    <n v="28.57"/>
    <n v="0"/>
    <n v="0"/>
    <n v="31.93064187172984"/>
    <m/>
    <m/>
    <n v="-7342.49"/>
    <n v="0"/>
    <n v="0"/>
    <n v="-8206.1749610345687"/>
    <n v="0"/>
    <n v="0"/>
  </r>
  <r>
    <s v="Sistema de Compensação"/>
    <x v="1"/>
    <x v="2"/>
    <x v="1"/>
    <x v="0"/>
    <x v="0"/>
    <x v="0"/>
    <x v="1"/>
    <x v="6"/>
    <n v="2511"/>
    <n v="2511"/>
    <n v="0"/>
    <n v="0"/>
    <n v="0"/>
    <n v="0"/>
    <n v="9"/>
    <x v="1"/>
    <n v="0"/>
    <n v="23"/>
    <n v="0"/>
    <n v="0"/>
    <n v="28.57"/>
    <n v="0"/>
    <n v="0"/>
    <n v="31.93064187172984"/>
    <m/>
    <m/>
    <n v="71739.27"/>
    <n v="0"/>
    <n v="0"/>
    <n v="80177.841739913623"/>
    <n v="0"/>
    <n v="0"/>
  </r>
  <r>
    <s v="Regular"/>
    <x v="1"/>
    <x v="2"/>
    <x v="1"/>
    <x v="0"/>
    <x v="0"/>
    <x v="0"/>
    <x v="1"/>
    <x v="6"/>
    <n v="185"/>
    <n v="185"/>
    <n v="0"/>
    <n v="0"/>
    <n v="0"/>
    <n v="0"/>
    <n v="1"/>
    <x v="0"/>
    <n v="0"/>
    <n v="23"/>
    <n v="0"/>
    <n v="0"/>
    <n v="28.57"/>
    <n v="0"/>
    <n v="0"/>
    <n v="31.93064187172984"/>
    <m/>
    <m/>
    <n v="5285.45"/>
    <n v="0"/>
    <n v="0"/>
    <n v="5907.1687462700202"/>
    <n v="0"/>
    <n v="0"/>
  </r>
  <r>
    <s v="Regular"/>
    <x v="1"/>
    <x v="2"/>
    <x v="1"/>
    <x v="0"/>
    <x v="0"/>
    <x v="0"/>
    <x v="1"/>
    <x v="7"/>
    <n v="102103"/>
    <n v="102103"/>
    <n v="0"/>
    <n v="0"/>
    <n v="0"/>
    <n v="0"/>
    <n v="349"/>
    <x v="1"/>
    <n v="0"/>
    <n v="23"/>
    <n v="0"/>
    <n v="0"/>
    <n v="28.57"/>
    <n v="0"/>
    <n v="0"/>
    <n v="31.93064187172984"/>
    <m/>
    <m/>
    <n v="2917082.71"/>
    <n v="0"/>
    <n v="0"/>
    <n v="3260214.3270292319"/>
    <n v="0"/>
    <n v="0"/>
  </r>
  <r>
    <s v="Refaturamento - Regular"/>
    <x v="1"/>
    <x v="2"/>
    <x v="1"/>
    <x v="0"/>
    <x v="0"/>
    <x v="0"/>
    <x v="1"/>
    <x v="7"/>
    <n v="1895"/>
    <n v="1895"/>
    <n v="0"/>
    <n v="0"/>
    <n v="0"/>
    <n v="0"/>
    <n v="0"/>
    <x v="1"/>
    <n v="0"/>
    <n v="23"/>
    <n v="0"/>
    <n v="0"/>
    <n v="28.57"/>
    <n v="0"/>
    <n v="0"/>
    <n v="31.93064187172984"/>
    <m/>
    <m/>
    <n v="54140.15"/>
    <n v="0"/>
    <n v="0"/>
    <n v="60508.566346928048"/>
    <n v="0"/>
    <n v="0"/>
  </r>
  <r>
    <s v="Sistema Isolado - Regular"/>
    <x v="1"/>
    <x v="2"/>
    <x v="1"/>
    <x v="0"/>
    <x v="0"/>
    <x v="0"/>
    <x v="1"/>
    <x v="7"/>
    <n v="10615"/>
    <n v="10615"/>
    <n v="0"/>
    <n v="0"/>
    <n v="0"/>
    <n v="0"/>
    <n v="69"/>
    <x v="1"/>
    <n v="0"/>
    <n v="23"/>
    <n v="0"/>
    <n v="0"/>
    <n v="28.57"/>
    <n v="0"/>
    <n v="0"/>
    <n v="31.93064187172984"/>
    <m/>
    <m/>
    <n v="303270.55"/>
    <n v="0"/>
    <n v="0"/>
    <n v="338943.76346841227"/>
    <n v="0"/>
    <n v="0"/>
  </r>
  <r>
    <s v="Sistema Isolado - Refaturamento"/>
    <x v="1"/>
    <x v="2"/>
    <x v="1"/>
    <x v="0"/>
    <x v="0"/>
    <x v="0"/>
    <x v="1"/>
    <x v="7"/>
    <n v="-49"/>
    <n v="-49"/>
    <n v="0"/>
    <n v="0"/>
    <n v="0"/>
    <n v="0"/>
    <n v="0"/>
    <x v="1"/>
    <n v="0"/>
    <n v="23"/>
    <n v="0"/>
    <n v="0"/>
    <n v="28.57"/>
    <n v="0"/>
    <n v="0"/>
    <n v="31.93064187172984"/>
    <m/>
    <m/>
    <n v="-1399.93"/>
    <n v="0"/>
    <n v="0"/>
    <n v="-1564.6014517147621"/>
    <n v="0"/>
    <n v="0"/>
  </r>
  <r>
    <s v="Sistema de Compensação"/>
    <x v="1"/>
    <x v="2"/>
    <x v="1"/>
    <x v="0"/>
    <x v="0"/>
    <x v="0"/>
    <x v="1"/>
    <x v="7"/>
    <n v="1730"/>
    <n v="1730"/>
    <n v="0"/>
    <n v="0"/>
    <n v="0"/>
    <n v="0"/>
    <n v="8"/>
    <x v="1"/>
    <n v="0"/>
    <n v="23"/>
    <n v="0"/>
    <n v="0"/>
    <n v="28.57"/>
    <n v="0"/>
    <n v="0"/>
    <n v="31.93064187172984"/>
    <m/>
    <m/>
    <n v="49426.1"/>
    <n v="0"/>
    <n v="0"/>
    <n v="55240.01043809262"/>
    <n v="0"/>
    <n v="0"/>
  </r>
  <r>
    <s v="Sistema de Compensação"/>
    <x v="1"/>
    <x v="2"/>
    <x v="1"/>
    <x v="0"/>
    <x v="0"/>
    <x v="0"/>
    <x v="1"/>
    <x v="7"/>
    <n v="30"/>
    <n v="30"/>
    <n v="0"/>
    <n v="0"/>
    <n v="0"/>
    <n v="0"/>
    <n v="0"/>
    <x v="1"/>
    <n v="0"/>
    <n v="23"/>
    <n v="0"/>
    <n v="0"/>
    <n v="28.57"/>
    <n v="0"/>
    <n v="0"/>
    <n v="31.93064187172984"/>
    <m/>
    <m/>
    <n v="857.1"/>
    <n v="0"/>
    <n v="0"/>
    <n v="957.91925615189518"/>
    <n v="0"/>
    <n v="0"/>
  </r>
  <r>
    <s v="Regular"/>
    <x v="1"/>
    <x v="2"/>
    <x v="1"/>
    <x v="0"/>
    <x v="0"/>
    <x v="0"/>
    <x v="1"/>
    <x v="8"/>
    <n v="101848"/>
    <n v="101848"/>
    <n v="0"/>
    <n v="0"/>
    <n v="0"/>
    <n v="0"/>
    <n v="348"/>
    <x v="1"/>
    <n v="0"/>
    <n v="23"/>
    <n v="0"/>
    <n v="0"/>
    <n v="28.57"/>
    <n v="0"/>
    <n v="0"/>
    <n v="31.93064187172984"/>
    <m/>
    <m/>
    <n v="2909797.36"/>
    <n v="0"/>
    <n v="0"/>
    <n v="3252072.0133519405"/>
    <n v="0"/>
    <n v="0"/>
  </r>
  <r>
    <s v="Sistema Isolado - Regular"/>
    <x v="1"/>
    <x v="2"/>
    <x v="1"/>
    <x v="0"/>
    <x v="0"/>
    <x v="0"/>
    <x v="1"/>
    <x v="8"/>
    <n v="10467"/>
    <n v="10467"/>
    <n v="0"/>
    <n v="0"/>
    <n v="0"/>
    <n v="0"/>
    <n v="69"/>
    <x v="1"/>
    <n v="0"/>
    <n v="23"/>
    <n v="0"/>
    <n v="0"/>
    <n v="28.57"/>
    <n v="0"/>
    <n v="0"/>
    <n v="31.93064187172984"/>
    <m/>
    <m/>
    <n v="299042.19"/>
    <n v="0"/>
    <n v="0"/>
    <n v="334218.02847139625"/>
    <n v="0"/>
    <n v="0"/>
  </r>
  <r>
    <s v="Sistema de Compensação"/>
    <x v="1"/>
    <x v="2"/>
    <x v="1"/>
    <x v="0"/>
    <x v="0"/>
    <x v="0"/>
    <x v="1"/>
    <x v="8"/>
    <n v="1816"/>
    <n v="1816"/>
    <n v="0"/>
    <n v="0"/>
    <n v="0"/>
    <n v="0"/>
    <n v="8"/>
    <x v="1"/>
    <n v="0"/>
    <n v="23"/>
    <n v="0"/>
    <n v="0"/>
    <n v="28.57"/>
    <n v="0"/>
    <n v="0"/>
    <n v="31.93064187172984"/>
    <m/>
    <m/>
    <n v="51883.12"/>
    <n v="0"/>
    <n v="0"/>
    <n v="57986.045639061391"/>
    <n v="0"/>
    <n v="0"/>
  </r>
  <r>
    <s v="Regular"/>
    <x v="1"/>
    <x v="2"/>
    <x v="1"/>
    <x v="0"/>
    <x v="0"/>
    <x v="0"/>
    <x v="1"/>
    <x v="8"/>
    <n v="1885"/>
    <n v="1885"/>
    <n v="0"/>
    <n v="0"/>
    <n v="0"/>
    <n v="0"/>
    <n v="2"/>
    <x v="0"/>
    <n v="0"/>
    <n v="23"/>
    <n v="0"/>
    <n v="0"/>
    <n v="28.57"/>
    <n v="0"/>
    <n v="0"/>
    <n v="31.93064187172984"/>
    <m/>
    <m/>
    <n v="53854.45"/>
    <n v="0"/>
    <n v="0"/>
    <n v="60189.259928210748"/>
    <n v="0"/>
    <n v="0"/>
  </r>
  <r>
    <s v="Regular"/>
    <x v="1"/>
    <x v="2"/>
    <x v="1"/>
    <x v="0"/>
    <x v="0"/>
    <x v="0"/>
    <x v="1"/>
    <x v="9"/>
    <n v="103748"/>
    <n v="103748"/>
    <n v="0"/>
    <n v="0"/>
    <n v="0"/>
    <n v="0"/>
    <n v="350"/>
    <x v="1"/>
    <n v="0"/>
    <n v="23"/>
    <n v="0"/>
    <n v="0"/>
    <n v="28.57"/>
    <n v="0"/>
    <n v="0"/>
    <n v="31.93064187172984"/>
    <m/>
    <m/>
    <n v="2964080.36"/>
    <n v="0"/>
    <n v="0"/>
    <n v="3312740.2329082275"/>
    <n v="0"/>
    <n v="0"/>
  </r>
  <r>
    <s v="Refaturamento - Regular"/>
    <x v="1"/>
    <x v="2"/>
    <x v="1"/>
    <x v="0"/>
    <x v="0"/>
    <x v="0"/>
    <x v="1"/>
    <x v="9"/>
    <n v="-561"/>
    <n v="-561"/>
    <n v="0"/>
    <n v="0"/>
    <n v="0"/>
    <n v="0"/>
    <n v="0"/>
    <x v="1"/>
    <n v="0"/>
    <n v="23"/>
    <n v="0"/>
    <n v="0"/>
    <n v="28.57"/>
    <n v="0"/>
    <n v="0"/>
    <n v="31.93064187172984"/>
    <m/>
    <m/>
    <n v="-16027.77"/>
    <n v="0"/>
    <n v="0"/>
    <n v="-17913.090090040441"/>
    <n v="0"/>
    <n v="0"/>
  </r>
  <r>
    <s v="Sistema Isolado - Regular"/>
    <x v="1"/>
    <x v="2"/>
    <x v="1"/>
    <x v="0"/>
    <x v="0"/>
    <x v="0"/>
    <x v="1"/>
    <x v="9"/>
    <n v="11533"/>
    <n v="11533"/>
    <n v="0"/>
    <n v="0"/>
    <n v="0"/>
    <n v="0"/>
    <n v="69"/>
    <x v="1"/>
    <n v="0"/>
    <n v="23"/>
    <n v="0"/>
    <n v="0"/>
    <n v="28.57"/>
    <n v="0"/>
    <n v="0"/>
    <n v="31.93064187172984"/>
    <m/>
    <m/>
    <n v="329497.81"/>
    <n v="0"/>
    <n v="0"/>
    <n v="368256.09270666022"/>
    <n v="0"/>
    <n v="0"/>
  </r>
  <r>
    <s v="Sistema de Compensação"/>
    <x v="1"/>
    <x v="2"/>
    <x v="1"/>
    <x v="0"/>
    <x v="0"/>
    <x v="0"/>
    <x v="1"/>
    <x v="9"/>
    <n v="2142"/>
    <n v="2142"/>
    <n v="0"/>
    <n v="0"/>
    <n v="0"/>
    <n v="0"/>
    <n v="9"/>
    <x v="1"/>
    <n v="0"/>
    <n v="23"/>
    <n v="0"/>
    <n v="0"/>
    <n v="28.57"/>
    <n v="0"/>
    <n v="0"/>
    <n v="31.93064187172984"/>
    <m/>
    <m/>
    <n v="61196.94"/>
    <n v="0"/>
    <n v="0"/>
    <n v="68395.434889245313"/>
    <n v="0"/>
    <n v="0"/>
  </r>
  <r>
    <s v="Regular"/>
    <x v="1"/>
    <x v="2"/>
    <x v="1"/>
    <x v="0"/>
    <x v="0"/>
    <x v="0"/>
    <x v="1"/>
    <x v="9"/>
    <n v="1885"/>
    <n v="1885"/>
    <n v="0"/>
    <n v="0"/>
    <n v="0"/>
    <n v="0"/>
    <n v="2"/>
    <x v="0"/>
    <n v="0"/>
    <n v="23"/>
    <n v="0"/>
    <n v="0"/>
    <n v="28.57"/>
    <n v="0"/>
    <n v="0"/>
    <n v="31.93064187172984"/>
    <m/>
    <m/>
    <n v="53854.45"/>
    <n v="0"/>
    <n v="0"/>
    <n v="60189.259928210748"/>
    <n v="0"/>
    <n v="0"/>
  </r>
  <r>
    <s v="Regular"/>
    <x v="1"/>
    <x v="2"/>
    <x v="1"/>
    <x v="0"/>
    <x v="0"/>
    <x v="0"/>
    <x v="1"/>
    <x v="10"/>
    <n v="98518"/>
    <n v="98518"/>
    <n v="0"/>
    <n v="0"/>
    <n v="0"/>
    <n v="0"/>
    <n v="342"/>
    <x v="1"/>
    <n v="0"/>
    <n v="23"/>
    <n v="0"/>
    <n v="0"/>
    <n v="28.57"/>
    <n v="0"/>
    <n v="0"/>
    <n v="31.93064187172984"/>
    <m/>
    <m/>
    <n v="2814659.2600000002"/>
    <n v="0"/>
    <n v="0"/>
    <n v="3145742.9759190804"/>
    <n v="0"/>
    <n v="0"/>
  </r>
  <r>
    <s v="Refaturamento - Regular"/>
    <x v="1"/>
    <x v="2"/>
    <x v="1"/>
    <x v="0"/>
    <x v="0"/>
    <x v="0"/>
    <x v="1"/>
    <x v="10"/>
    <n v="-180"/>
    <n v="-180"/>
    <n v="0"/>
    <n v="0"/>
    <n v="0"/>
    <n v="0"/>
    <n v="0"/>
    <x v="1"/>
    <n v="0"/>
    <n v="23"/>
    <n v="0"/>
    <n v="0"/>
    <n v="28.57"/>
    <n v="0"/>
    <n v="0"/>
    <n v="31.93064187172984"/>
    <m/>
    <m/>
    <n v="-5142.6000000000004"/>
    <n v="0"/>
    <n v="0"/>
    <n v="-5747.5155369113709"/>
    <n v="0"/>
    <n v="0"/>
  </r>
  <r>
    <s v="Sistema Isolado - Regular"/>
    <x v="1"/>
    <x v="2"/>
    <x v="1"/>
    <x v="0"/>
    <x v="0"/>
    <x v="0"/>
    <x v="1"/>
    <x v="10"/>
    <n v="11701"/>
    <n v="11701"/>
    <n v="0"/>
    <n v="0"/>
    <n v="0"/>
    <n v="0"/>
    <n v="69"/>
    <x v="1"/>
    <n v="0"/>
    <n v="23"/>
    <n v="0"/>
    <n v="0"/>
    <n v="28.57"/>
    <n v="0"/>
    <n v="0"/>
    <n v="31.93064187172984"/>
    <m/>
    <m/>
    <n v="334297.57"/>
    <n v="0"/>
    <n v="0"/>
    <n v="373620.44054111087"/>
    <n v="0"/>
    <n v="0"/>
  </r>
  <r>
    <s v="Sistema Isolado - Refaturamento"/>
    <x v="1"/>
    <x v="2"/>
    <x v="1"/>
    <x v="0"/>
    <x v="0"/>
    <x v="0"/>
    <x v="1"/>
    <x v="10"/>
    <n v="-14"/>
    <n v="-14"/>
    <n v="0"/>
    <n v="0"/>
    <n v="0"/>
    <n v="0"/>
    <n v="0"/>
    <x v="1"/>
    <n v="0"/>
    <n v="23"/>
    <n v="0"/>
    <n v="0"/>
    <n v="28.57"/>
    <n v="0"/>
    <n v="0"/>
    <n v="31.93064187172984"/>
    <m/>
    <m/>
    <n v="-399.98"/>
    <n v="0"/>
    <n v="0"/>
    <n v="-447.02898620421774"/>
    <n v="0"/>
    <n v="0"/>
  </r>
  <r>
    <s v="Sistema de Compensação"/>
    <x v="1"/>
    <x v="2"/>
    <x v="1"/>
    <x v="0"/>
    <x v="0"/>
    <x v="0"/>
    <x v="1"/>
    <x v="10"/>
    <n v="2502"/>
    <n v="2502"/>
    <n v="0"/>
    <n v="0"/>
    <n v="0"/>
    <n v="0"/>
    <n v="11"/>
    <x v="1"/>
    <n v="0"/>
    <n v="23"/>
    <n v="0"/>
    <n v="0"/>
    <n v="28.57"/>
    <n v="0"/>
    <n v="0"/>
    <n v="31.93064187172984"/>
    <m/>
    <m/>
    <n v="71482.14"/>
    <n v="0"/>
    <n v="0"/>
    <n v="79890.465963068054"/>
    <n v="0"/>
    <n v="0"/>
  </r>
  <r>
    <s v="Regular"/>
    <x v="1"/>
    <x v="2"/>
    <x v="1"/>
    <x v="0"/>
    <x v="0"/>
    <x v="0"/>
    <x v="1"/>
    <x v="10"/>
    <n v="3085"/>
    <n v="3085"/>
    <n v="0"/>
    <n v="0"/>
    <n v="0"/>
    <n v="0"/>
    <n v="3"/>
    <x v="0"/>
    <n v="0"/>
    <n v="23"/>
    <n v="0"/>
    <n v="0"/>
    <n v="28.57"/>
    <n v="0"/>
    <n v="0"/>
    <n v="31.93064187172984"/>
    <m/>
    <m/>
    <n v="88138.45"/>
    <n v="0"/>
    <n v="0"/>
    <n v="98506.030174286556"/>
    <n v="0"/>
    <n v="0"/>
  </r>
  <r>
    <s v="PROJETADO"/>
    <x v="1"/>
    <x v="2"/>
    <x v="1"/>
    <x v="0"/>
    <x v="0"/>
    <x v="0"/>
    <x v="1"/>
    <x v="11"/>
    <n v="98518"/>
    <n v="98518"/>
    <n v="0"/>
    <n v="0"/>
    <n v="0"/>
    <n v="0"/>
    <n v="342"/>
    <x v="1"/>
    <n v="0"/>
    <n v="23"/>
    <n v="0"/>
    <n v="0"/>
    <n v="28.57"/>
    <n v="0"/>
    <n v="0"/>
    <n v="31.93064187172984"/>
    <m/>
    <m/>
    <n v="2814659.2600000002"/>
    <n v="0"/>
    <n v="0"/>
    <n v="3145742.9759190804"/>
    <n v="0"/>
    <n v="0"/>
  </r>
  <r>
    <s v="PROJETADO"/>
    <x v="1"/>
    <x v="2"/>
    <x v="1"/>
    <x v="0"/>
    <x v="0"/>
    <x v="0"/>
    <x v="1"/>
    <x v="11"/>
    <n v="-180"/>
    <n v="-180"/>
    <n v="0"/>
    <n v="0"/>
    <n v="0"/>
    <n v="0"/>
    <n v="0"/>
    <x v="1"/>
    <n v="0"/>
    <n v="23"/>
    <n v="0"/>
    <n v="0"/>
    <n v="28.57"/>
    <n v="0"/>
    <n v="0"/>
    <n v="31.93064187172984"/>
    <m/>
    <m/>
    <n v="-5142.6000000000004"/>
    <n v="0"/>
    <n v="0"/>
    <n v="-5747.5155369113709"/>
    <n v="0"/>
    <n v="0"/>
  </r>
  <r>
    <s v="PROJETADO"/>
    <x v="1"/>
    <x v="2"/>
    <x v="1"/>
    <x v="0"/>
    <x v="0"/>
    <x v="0"/>
    <x v="1"/>
    <x v="11"/>
    <n v="11701"/>
    <n v="11701"/>
    <n v="0"/>
    <n v="0"/>
    <n v="0"/>
    <n v="0"/>
    <n v="69"/>
    <x v="1"/>
    <n v="0"/>
    <n v="23"/>
    <n v="0"/>
    <n v="0"/>
    <n v="28.57"/>
    <n v="0"/>
    <n v="0"/>
    <n v="31.93064187172984"/>
    <m/>
    <m/>
    <n v="334297.57"/>
    <n v="0"/>
    <n v="0"/>
    <n v="373620.44054111087"/>
    <n v="0"/>
    <n v="0"/>
  </r>
  <r>
    <s v="PROJETADO"/>
    <x v="1"/>
    <x v="2"/>
    <x v="1"/>
    <x v="0"/>
    <x v="0"/>
    <x v="0"/>
    <x v="1"/>
    <x v="11"/>
    <n v="-14"/>
    <n v="-14"/>
    <n v="0"/>
    <n v="0"/>
    <n v="0"/>
    <n v="0"/>
    <n v="0"/>
    <x v="1"/>
    <n v="0"/>
    <n v="23"/>
    <n v="0"/>
    <n v="0"/>
    <n v="28.57"/>
    <n v="0"/>
    <n v="0"/>
    <n v="31.93064187172984"/>
    <m/>
    <m/>
    <n v="-399.98"/>
    <n v="0"/>
    <n v="0"/>
    <n v="-447.02898620421774"/>
    <n v="0"/>
    <n v="0"/>
  </r>
  <r>
    <s v="PROJETADO"/>
    <x v="1"/>
    <x v="2"/>
    <x v="1"/>
    <x v="0"/>
    <x v="0"/>
    <x v="0"/>
    <x v="1"/>
    <x v="11"/>
    <n v="2502"/>
    <n v="2502"/>
    <n v="0"/>
    <n v="0"/>
    <n v="0"/>
    <n v="0"/>
    <n v="11"/>
    <x v="1"/>
    <n v="0"/>
    <n v="23"/>
    <n v="0"/>
    <n v="0"/>
    <n v="28.57"/>
    <n v="0"/>
    <n v="0"/>
    <n v="31.93064187172984"/>
    <m/>
    <m/>
    <n v="71482.14"/>
    <n v="0"/>
    <n v="0"/>
    <n v="79890.465963068054"/>
    <n v="0"/>
    <n v="0"/>
  </r>
  <r>
    <s v="PROJETADO"/>
    <x v="1"/>
    <x v="2"/>
    <x v="1"/>
    <x v="0"/>
    <x v="0"/>
    <x v="0"/>
    <x v="1"/>
    <x v="11"/>
    <n v="3085"/>
    <n v="3085"/>
    <n v="0"/>
    <n v="0"/>
    <n v="0"/>
    <n v="0"/>
    <n v="3"/>
    <x v="0"/>
    <n v="0"/>
    <n v="23"/>
    <n v="0"/>
    <n v="0"/>
    <n v="28.57"/>
    <n v="0"/>
    <n v="0"/>
    <n v="31.93064187172984"/>
    <m/>
    <m/>
    <n v="88138.45"/>
    <n v="0"/>
    <n v="0"/>
    <n v="98506.030174286556"/>
    <n v="0"/>
    <n v="0"/>
  </r>
  <r>
    <s v="Regular"/>
    <x v="1"/>
    <x v="2"/>
    <x v="1"/>
    <x v="0"/>
    <x v="0"/>
    <x v="0"/>
    <x v="2"/>
    <x v="0"/>
    <n v="0"/>
    <n v="0"/>
    <n v="1762.345"/>
    <n v="1762.345"/>
    <n v="1762.345"/>
    <n v="1762.345"/>
    <n v="0"/>
    <x v="1"/>
    <n v="0"/>
    <n v="0"/>
    <n v="24"/>
    <n v="66"/>
    <n v="0"/>
    <n v="1434.79"/>
    <n v="389.28"/>
    <m/>
    <n v="1501.8340703569011"/>
    <n v="454.3285679284046"/>
    <n v="0"/>
    <n v="2528594.9825499998"/>
    <n v="686045.66159999999"/>
    <n v="0"/>
    <n v="2646749.7647231328"/>
    <n v="800683.68004578422"/>
  </r>
  <r>
    <s v="Refaturamento - Regular"/>
    <x v="1"/>
    <x v="2"/>
    <x v="1"/>
    <x v="0"/>
    <x v="0"/>
    <x v="0"/>
    <x v="2"/>
    <x v="0"/>
    <n v="0"/>
    <n v="0"/>
    <n v="-3.488"/>
    <n v="-3.488"/>
    <n v="-3.488"/>
    <n v="-3.488"/>
    <n v="0"/>
    <x v="1"/>
    <n v="0"/>
    <n v="0"/>
    <n v="24"/>
    <n v="66"/>
    <n v="0"/>
    <n v="1434.79"/>
    <n v="389.28"/>
    <m/>
    <n v="1501.8340703569011"/>
    <n v="454.3285679284046"/>
    <n v="0"/>
    <n v="-5004.5475200000001"/>
    <n v="-1357.80864"/>
    <n v="0"/>
    <n v="-5238.3972374048708"/>
    <n v="-1584.6980449342752"/>
  </r>
  <r>
    <s v="Sistema Isolado - Regular"/>
    <x v="1"/>
    <x v="2"/>
    <x v="1"/>
    <x v="0"/>
    <x v="0"/>
    <x v="0"/>
    <x v="2"/>
    <x v="0"/>
    <n v="0"/>
    <n v="0"/>
    <n v="161.99"/>
    <n v="161.99"/>
    <n v="161.99"/>
    <n v="161.99"/>
    <n v="0"/>
    <x v="1"/>
    <n v="0"/>
    <n v="0"/>
    <n v="24"/>
    <n v="66"/>
    <n v="0"/>
    <n v="1434.79"/>
    <n v="389.28"/>
    <m/>
    <n v="1501.8340703569011"/>
    <n v="454.3285679284046"/>
    <n v="0"/>
    <n v="232421.63210000002"/>
    <n v="63059.467199999999"/>
    <n v="0"/>
    <n v="243282.10105711443"/>
    <n v="73596.684718722259"/>
  </r>
  <r>
    <s v="Sistema de Compensação"/>
    <x v="1"/>
    <x v="2"/>
    <x v="1"/>
    <x v="0"/>
    <x v="0"/>
    <x v="0"/>
    <x v="2"/>
    <x v="0"/>
    <n v="0"/>
    <n v="0"/>
    <n v="37.658000000000001"/>
    <n v="37.658000000000001"/>
    <n v="37.658000000000001"/>
    <n v="37.658000000000001"/>
    <n v="0"/>
    <x v="1"/>
    <n v="0"/>
    <n v="0"/>
    <n v="24"/>
    <n v="66"/>
    <n v="0"/>
    <n v="1434.79"/>
    <n v="389.28"/>
    <m/>
    <n v="1501.8340703569011"/>
    <n v="454.3285679284046"/>
    <n v="0"/>
    <n v="54031.321819999997"/>
    <n v="14659.506239999999"/>
    <n v="0"/>
    <n v="56556.067421500185"/>
    <n v="17109.105211047859"/>
  </r>
  <r>
    <s v="Regular"/>
    <x v="1"/>
    <x v="2"/>
    <x v="1"/>
    <x v="0"/>
    <x v="0"/>
    <x v="0"/>
    <x v="2"/>
    <x v="1"/>
    <n v="0"/>
    <n v="0"/>
    <n v="1650.701"/>
    <n v="1650.701"/>
    <n v="1650.701"/>
    <n v="1650.701"/>
    <n v="0"/>
    <x v="1"/>
    <n v="0"/>
    <n v="0"/>
    <n v="24"/>
    <n v="66"/>
    <n v="0"/>
    <n v="1434.79"/>
    <n v="389.28"/>
    <m/>
    <n v="1501.8340703569011"/>
    <n v="454.3285679284046"/>
    <n v="0"/>
    <n v="2368409.28779"/>
    <n v="642584.88527999993"/>
    <n v="0"/>
    <n v="2479079.0017722072"/>
    <n v="749960.62140798545"/>
  </r>
  <r>
    <s v="Sistema Isolado - Regular"/>
    <x v="1"/>
    <x v="2"/>
    <x v="1"/>
    <x v="0"/>
    <x v="0"/>
    <x v="0"/>
    <x v="2"/>
    <x v="1"/>
    <n v="0"/>
    <n v="0"/>
    <n v="152.63800000000001"/>
    <n v="152.63800000000001"/>
    <n v="152.63800000000001"/>
    <n v="152.63800000000001"/>
    <n v="0"/>
    <x v="1"/>
    <n v="0"/>
    <n v="0"/>
    <n v="24"/>
    <n v="66"/>
    <n v="0"/>
    <n v="1434.79"/>
    <n v="389.28"/>
    <m/>
    <n v="1501.8340703569011"/>
    <n v="454.3285679284046"/>
    <n v="0"/>
    <n v="219003.47602"/>
    <n v="59418.920639999997"/>
    <n v="0"/>
    <n v="229236.94883113666"/>
    <n v="69347.803951455819"/>
  </r>
  <r>
    <s v="Sistema de Compensação"/>
    <x v="1"/>
    <x v="2"/>
    <x v="1"/>
    <x v="0"/>
    <x v="0"/>
    <x v="0"/>
    <x v="2"/>
    <x v="1"/>
    <n v="0"/>
    <n v="0"/>
    <n v="34.484000000000002"/>
    <n v="34.484000000000002"/>
    <n v="34.484000000000002"/>
    <n v="34.484000000000002"/>
    <n v="0"/>
    <x v="1"/>
    <n v="0"/>
    <n v="0"/>
    <n v="24"/>
    <n v="66"/>
    <n v="0"/>
    <n v="1434.79"/>
    <n v="389.28"/>
    <m/>
    <n v="1501.8340703569011"/>
    <n v="454.3285679284046"/>
    <n v="0"/>
    <n v="49477.298360000001"/>
    <n v="13423.93152"/>
    <n v="0"/>
    <n v="51789.246082187376"/>
    <n v="15667.066336443106"/>
  </r>
  <r>
    <s v="Regular"/>
    <x v="1"/>
    <x v="2"/>
    <x v="1"/>
    <x v="0"/>
    <x v="0"/>
    <x v="0"/>
    <x v="2"/>
    <x v="2"/>
    <n v="0"/>
    <n v="0"/>
    <n v="1289.5060000000001"/>
    <n v="1289.5060000000001"/>
    <n v="1289.5060000000001"/>
    <n v="1289.5060000000001"/>
    <n v="0"/>
    <x v="1"/>
    <n v="0"/>
    <n v="0"/>
    <n v="24"/>
    <n v="66"/>
    <n v="0"/>
    <n v="1434.79"/>
    <n v="389.28"/>
    <m/>
    <n v="1501.8340703569011"/>
    <n v="454.3285679284046"/>
    <n v="0"/>
    <n v="1850170.3137400001"/>
    <n v="501978.89568000002"/>
    <n v="0"/>
    <n v="1936624.0447296463"/>
    <n v="585859.41431508539"/>
  </r>
  <r>
    <s v="Refaturamento - Regular"/>
    <x v="1"/>
    <x v="2"/>
    <x v="1"/>
    <x v="0"/>
    <x v="0"/>
    <x v="0"/>
    <x v="2"/>
    <x v="2"/>
    <n v="0"/>
    <n v="0"/>
    <n v="-0.59699999999999998"/>
    <n v="-0.59699999999999998"/>
    <n v="-0.59699999999999998"/>
    <n v="-0.59699999999999998"/>
    <n v="0"/>
    <x v="1"/>
    <n v="0"/>
    <n v="0"/>
    <n v="24"/>
    <n v="66"/>
    <n v="0"/>
    <n v="1434.79"/>
    <n v="389.28"/>
    <m/>
    <n v="1501.8340703569011"/>
    <n v="454.3285679284046"/>
    <n v="0"/>
    <n v="-856.56962999999996"/>
    <n v="-232.40015999999997"/>
    <n v="0"/>
    <n v="-896.59494000306995"/>
    <n v="-271.23415505325755"/>
  </r>
  <r>
    <s v="Sistema Isolado - Regular"/>
    <x v="1"/>
    <x v="2"/>
    <x v="1"/>
    <x v="0"/>
    <x v="0"/>
    <x v="0"/>
    <x v="2"/>
    <x v="2"/>
    <n v="0"/>
    <n v="0"/>
    <n v="125.721"/>
    <n v="125.721"/>
    <n v="125.721"/>
    <n v="125.721"/>
    <n v="0"/>
    <x v="1"/>
    <n v="0"/>
    <n v="0"/>
    <n v="24"/>
    <n v="66"/>
    <n v="0"/>
    <n v="1434.79"/>
    <n v="389.28"/>
    <m/>
    <n v="1501.8340703569011"/>
    <n v="454.3285679284046"/>
    <n v="0"/>
    <n v="180383.23358999999"/>
    <n v="48940.670879999998"/>
    <n v="0"/>
    <n v="188812.08115933996"/>
    <n v="57118.641888526952"/>
  </r>
  <r>
    <s v="Sistema Isolado - Refaturamento"/>
    <x v="1"/>
    <x v="2"/>
    <x v="1"/>
    <x v="0"/>
    <x v="0"/>
    <x v="0"/>
    <x v="2"/>
    <x v="2"/>
    <n v="0"/>
    <n v="0"/>
    <n v="-12.753"/>
    <n v="-12.753"/>
    <n v="-12.753"/>
    <n v="-12.753"/>
    <n v="0"/>
    <x v="1"/>
    <n v="0"/>
    <n v="0"/>
    <n v="24"/>
    <n v="66"/>
    <n v="0"/>
    <n v="1434.79"/>
    <n v="389.28"/>
    <m/>
    <n v="1501.8340703569011"/>
    <n v="454.3285679284046"/>
    <n v="0"/>
    <n v="-18297.87687"/>
    <n v="-4964.4878399999998"/>
    <n v="0"/>
    <n v="-19152.889899261558"/>
    <n v="-5794.0522267909437"/>
  </r>
  <r>
    <s v="Sistema de Compensação"/>
    <x v="1"/>
    <x v="2"/>
    <x v="1"/>
    <x v="0"/>
    <x v="0"/>
    <x v="0"/>
    <x v="2"/>
    <x v="2"/>
    <n v="0"/>
    <n v="0"/>
    <n v="25.818000000000001"/>
    <n v="25.818000000000001"/>
    <n v="25.818000000000001"/>
    <n v="25.818000000000001"/>
    <n v="0"/>
    <x v="1"/>
    <n v="0"/>
    <n v="0"/>
    <n v="24"/>
    <n v="66"/>
    <n v="0"/>
    <n v="1434.79"/>
    <n v="389.28"/>
    <m/>
    <n v="1501.8340703569011"/>
    <n v="454.3285679284046"/>
    <n v="0"/>
    <n v="37043.408219999998"/>
    <n v="10050.431039999999"/>
    <n v="0"/>
    <n v="38774.352028474474"/>
    <n v="11729.854966775551"/>
  </r>
  <r>
    <s v="Regular"/>
    <x v="1"/>
    <x v="2"/>
    <x v="1"/>
    <x v="0"/>
    <x v="0"/>
    <x v="0"/>
    <x v="2"/>
    <x v="3"/>
    <n v="0"/>
    <n v="0"/>
    <n v="1299.403"/>
    <n v="1299.403"/>
    <n v="1299.403"/>
    <n v="1299.403"/>
    <n v="0"/>
    <x v="1"/>
    <n v="0"/>
    <n v="0"/>
    <n v="24"/>
    <n v="66"/>
    <n v="0"/>
    <n v="1434.79"/>
    <n v="389.28"/>
    <m/>
    <n v="1501.8340703569011"/>
    <n v="454.3285679284046"/>
    <n v="0"/>
    <n v="1864370.43037"/>
    <n v="505831.59983999998"/>
    <n v="0"/>
    <n v="1951487.6965239684"/>
    <n v="590355.90415187273"/>
  </r>
  <r>
    <s v="Refaturamento - Regular"/>
    <x v="1"/>
    <x v="2"/>
    <x v="1"/>
    <x v="0"/>
    <x v="0"/>
    <x v="0"/>
    <x v="2"/>
    <x v="3"/>
    <n v="0"/>
    <n v="0"/>
    <n v="-137.392"/>
    <n v="-137.392"/>
    <n v="-137.392"/>
    <n v="-137.392"/>
    <n v="0"/>
    <x v="1"/>
    <n v="0"/>
    <n v="0"/>
    <n v="24"/>
    <n v="66"/>
    <n v="0"/>
    <n v="1434.79"/>
    <n v="389.28"/>
    <m/>
    <n v="1501.8340703569011"/>
    <n v="454.3285679284046"/>
    <n v="0"/>
    <n v="-197128.66767999998"/>
    <n v="-53483.957759999998"/>
    <n v="0"/>
    <n v="-206339.98659447534"/>
    <n v="-62421.110604819361"/>
  </r>
  <r>
    <s v="Sistema Isolado - Regular"/>
    <x v="1"/>
    <x v="2"/>
    <x v="1"/>
    <x v="0"/>
    <x v="0"/>
    <x v="0"/>
    <x v="2"/>
    <x v="3"/>
    <n v="0"/>
    <n v="0"/>
    <n v="123.121"/>
    <n v="123.121"/>
    <n v="123.121"/>
    <n v="123.121"/>
    <n v="0"/>
    <x v="1"/>
    <n v="0"/>
    <n v="0"/>
    <n v="24"/>
    <n v="66"/>
    <n v="0"/>
    <n v="1434.79"/>
    <n v="389.28"/>
    <m/>
    <n v="1501.8340703569011"/>
    <n v="454.3285679284046"/>
    <n v="0"/>
    <n v="176652.77958999999"/>
    <n v="47928.542879999994"/>
    <n v="0"/>
    <n v="184907.31257641202"/>
    <n v="55937.387611913102"/>
  </r>
  <r>
    <s v="Sistema de Compensação"/>
    <x v="1"/>
    <x v="2"/>
    <x v="1"/>
    <x v="0"/>
    <x v="0"/>
    <x v="0"/>
    <x v="2"/>
    <x v="3"/>
    <n v="0"/>
    <n v="0"/>
    <n v="36.865000000000002"/>
    <n v="36.865000000000002"/>
    <n v="36.865000000000002"/>
    <n v="36.865000000000002"/>
    <n v="0"/>
    <x v="1"/>
    <n v="0"/>
    <n v="0"/>
    <n v="24"/>
    <n v="66"/>
    <n v="0"/>
    <n v="1434.79"/>
    <n v="389.28"/>
    <m/>
    <n v="1501.8340703569011"/>
    <n v="454.3285679284046"/>
    <n v="0"/>
    <n v="52893.533349999998"/>
    <n v="14350.807199999999"/>
    <n v="0"/>
    <n v="55365.113003707163"/>
    <n v="16748.822656680637"/>
  </r>
  <r>
    <s v="Regular"/>
    <x v="1"/>
    <x v="2"/>
    <x v="1"/>
    <x v="0"/>
    <x v="0"/>
    <x v="0"/>
    <x v="2"/>
    <x v="4"/>
    <n v="0"/>
    <n v="0"/>
    <n v="1823.8440000000001"/>
    <n v="1823.8440000000001"/>
    <n v="1823.8440000000001"/>
    <n v="1823.8440000000001"/>
    <n v="0"/>
    <x v="1"/>
    <n v="0"/>
    <n v="0"/>
    <n v="24"/>
    <n v="66"/>
    <n v="0"/>
    <n v="1434.79"/>
    <n v="389.28"/>
    <m/>
    <n v="1501.8340703569011"/>
    <n v="454.3285679284046"/>
    <n v="0"/>
    <n v="2616833.1327599999"/>
    <n v="709985.99231999996"/>
    <n v="0"/>
    <n v="2739111.0582160121"/>
    <n v="828624.43264481321"/>
  </r>
  <r>
    <s v="Sistema Isolado - Regular"/>
    <x v="1"/>
    <x v="2"/>
    <x v="1"/>
    <x v="0"/>
    <x v="0"/>
    <x v="0"/>
    <x v="2"/>
    <x v="4"/>
    <n v="0"/>
    <n v="0"/>
    <n v="130.07300000000001"/>
    <n v="130.07300000000001"/>
    <n v="130.07300000000001"/>
    <n v="130.07300000000001"/>
    <n v="0"/>
    <x v="1"/>
    <n v="0"/>
    <n v="0"/>
    <n v="24"/>
    <n v="66"/>
    <n v="0"/>
    <n v="1434.79"/>
    <n v="389.28"/>
    <m/>
    <n v="1501.8340703569011"/>
    <n v="454.3285679284046"/>
    <n v="0"/>
    <n v="186627.43966999999"/>
    <n v="50634.817439999999"/>
    <n v="0"/>
    <n v="195348.0630335332"/>
    <n v="59095.879816151377"/>
  </r>
  <r>
    <s v="Sistema de Compensação"/>
    <x v="1"/>
    <x v="2"/>
    <x v="1"/>
    <x v="0"/>
    <x v="0"/>
    <x v="0"/>
    <x v="2"/>
    <x v="4"/>
    <n v="0"/>
    <n v="0"/>
    <n v="49.954999999999998"/>
    <n v="49.954999999999998"/>
    <n v="49.954999999999998"/>
    <n v="49.954999999999998"/>
    <n v="0"/>
    <x v="1"/>
    <n v="0"/>
    <n v="0"/>
    <n v="24"/>
    <n v="66"/>
    <n v="0"/>
    <n v="1434.79"/>
    <n v="389.28"/>
    <m/>
    <n v="1501.8340703569011"/>
    <n v="454.3285679284046"/>
    <n v="0"/>
    <n v="71674.934450000001"/>
    <n v="19446.482399999997"/>
    <n v="0"/>
    <n v="75024.120984678986"/>
    <n v="22695.983610863452"/>
  </r>
  <r>
    <s v="Regular"/>
    <x v="1"/>
    <x v="2"/>
    <x v="1"/>
    <x v="0"/>
    <x v="0"/>
    <x v="0"/>
    <x v="2"/>
    <x v="5"/>
    <n v="0"/>
    <n v="0"/>
    <n v="1559.2639999999999"/>
    <n v="1559.2639999999999"/>
    <n v="1559.2639999999999"/>
    <n v="1559.2639999999999"/>
    <n v="0"/>
    <x v="1"/>
    <n v="0"/>
    <n v="0"/>
    <n v="24"/>
    <n v="66"/>
    <n v="0"/>
    <n v="1434.79"/>
    <n v="389.28"/>
    <m/>
    <n v="1501.8340703569011"/>
    <n v="454.3285679284046"/>
    <n v="0"/>
    <n v="2237216.3945599999"/>
    <n v="606990.28991999989"/>
    <n v="0"/>
    <n v="2341755.7998809828"/>
    <n v="708418.1801423158"/>
  </r>
  <r>
    <s v="Refaturamento - Regular"/>
    <x v="1"/>
    <x v="2"/>
    <x v="1"/>
    <x v="0"/>
    <x v="0"/>
    <x v="0"/>
    <x v="2"/>
    <x v="5"/>
    <n v="0"/>
    <n v="0"/>
    <n v="-0.72599999999999998"/>
    <n v="-0.72599999999999998"/>
    <n v="-0.72599999999999998"/>
    <n v="-0.72599999999999998"/>
    <n v="0"/>
    <x v="1"/>
    <n v="0"/>
    <n v="0"/>
    <n v="24"/>
    <n v="66"/>
    <n v="0"/>
    <n v="1434.79"/>
    <n v="389.28"/>
    <m/>
    <n v="1501.8340703569011"/>
    <n v="454.3285679284046"/>
    <n v="0"/>
    <n v="-1041.6575399999999"/>
    <n v="-282.61727999999999"/>
    <n v="0"/>
    <n v="-1090.3315350791102"/>
    <n v="-329.84254031602171"/>
  </r>
  <r>
    <s v="Sistema Isolado - Regular"/>
    <x v="1"/>
    <x v="2"/>
    <x v="1"/>
    <x v="0"/>
    <x v="0"/>
    <x v="0"/>
    <x v="2"/>
    <x v="5"/>
    <n v="0"/>
    <n v="0"/>
    <n v="153.97800000000001"/>
    <n v="153.97800000000001"/>
    <n v="153.97800000000001"/>
    <n v="153.97800000000001"/>
    <n v="0"/>
    <x v="1"/>
    <n v="0"/>
    <n v="0"/>
    <n v="24"/>
    <n v="66"/>
    <n v="0"/>
    <n v="1434.79"/>
    <n v="389.28"/>
    <m/>
    <n v="1501.8340703569011"/>
    <n v="454.3285679284046"/>
    <n v="0"/>
    <n v="220926.09462000002"/>
    <n v="59940.555840000001"/>
    <n v="0"/>
    <n v="231249.40648541492"/>
    <n v="69956.604232479891"/>
  </r>
  <r>
    <s v="Sistema Isolado - Refaturamento"/>
    <x v="1"/>
    <x v="2"/>
    <x v="1"/>
    <x v="0"/>
    <x v="0"/>
    <x v="0"/>
    <x v="2"/>
    <x v="5"/>
    <n v="0"/>
    <n v="0"/>
    <n v="-31.096"/>
    <n v="-31.096"/>
    <n v="-31.096"/>
    <n v="-31.096"/>
    <n v="0"/>
    <x v="1"/>
    <n v="0"/>
    <n v="0"/>
    <n v="24"/>
    <n v="66"/>
    <n v="0"/>
    <n v="1434.79"/>
    <n v="389.28"/>
    <m/>
    <n v="1501.8340703569011"/>
    <n v="454.3285679284046"/>
    <n v="0"/>
    <n v="-44616.22984"/>
    <n v="-12105.050879999999"/>
    <n v="0"/>
    <n v="-46701.032251818193"/>
    <n v="-14127.801148301669"/>
  </r>
  <r>
    <s v="Sistema de Compensação"/>
    <x v="1"/>
    <x v="2"/>
    <x v="1"/>
    <x v="0"/>
    <x v="0"/>
    <x v="0"/>
    <x v="2"/>
    <x v="5"/>
    <n v="0"/>
    <n v="0"/>
    <n v="54.634"/>
    <n v="54.634"/>
    <n v="54.634"/>
    <n v="54.634"/>
    <n v="0"/>
    <x v="1"/>
    <n v="0"/>
    <n v="0"/>
    <n v="24"/>
    <n v="66"/>
    <n v="0"/>
    <n v="1434.79"/>
    <n v="389.28"/>
    <m/>
    <n v="1501.8340703569011"/>
    <n v="454.3285679284046"/>
    <n v="0"/>
    <n v="78388.316859999992"/>
    <n v="21267.92352"/>
    <n v="0"/>
    <n v="82051.202599878932"/>
    <n v="24821.786980200457"/>
  </r>
  <r>
    <s v="Regular"/>
    <x v="1"/>
    <x v="2"/>
    <x v="1"/>
    <x v="0"/>
    <x v="0"/>
    <x v="0"/>
    <x v="2"/>
    <x v="6"/>
    <n v="0"/>
    <n v="0"/>
    <n v="1611.5139999999999"/>
    <n v="1611.5139999999999"/>
    <n v="1611.5139999999999"/>
    <n v="1611.5139999999999"/>
    <n v="0"/>
    <x v="1"/>
    <n v="0"/>
    <n v="0"/>
    <n v="24"/>
    <n v="66"/>
    <n v="0"/>
    <n v="1434.79"/>
    <n v="389.28"/>
    <m/>
    <n v="1501.8340703569011"/>
    <n v="454.3285679284046"/>
    <n v="0"/>
    <n v="2312184.1720599998"/>
    <n v="627330.1699199999"/>
    <n v="0"/>
    <n v="2420226.6300571309"/>
    <n v="732156.84781657497"/>
  </r>
  <r>
    <s v="Refaturamento - Regular"/>
    <x v="1"/>
    <x v="2"/>
    <x v="1"/>
    <x v="0"/>
    <x v="0"/>
    <x v="0"/>
    <x v="2"/>
    <x v="6"/>
    <n v="0"/>
    <n v="0"/>
    <n v="-68.334000000000003"/>
    <n v="-68.334000000000003"/>
    <n v="-68.334000000000003"/>
    <n v="-68.334000000000003"/>
    <n v="0"/>
    <x v="1"/>
    <n v="0"/>
    <n v="0"/>
    <n v="24"/>
    <n v="66"/>
    <n v="0"/>
    <n v="1434.79"/>
    <n v="389.28"/>
    <m/>
    <n v="1501.8340703569011"/>
    <n v="454.3285679284046"/>
    <n v="0"/>
    <n v="-98044.939859999999"/>
    <n v="-26601.059519999999"/>
    <n v="0"/>
    <n v="-102626.32936376848"/>
    <n v="-31046.088360819602"/>
  </r>
  <r>
    <s v="Sistema Isolado - Regular"/>
    <x v="1"/>
    <x v="2"/>
    <x v="1"/>
    <x v="0"/>
    <x v="0"/>
    <x v="0"/>
    <x v="2"/>
    <x v="6"/>
    <n v="0"/>
    <n v="0"/>
    <n v="161.38900000000001"/>
    <n v="161.38900000000001"/>
    <n v="161.38900000000001"/>
    <n v="161.38900000000001"/>
    <n v="0"/>
    <x v="1"/>
    <n v="0"/>
    <n v="0"/>
    <n v="24"/>
    <n v="66"/>
    <n v="0"/>
    <n v="1434.79"/>
    <n v="389.28"/>
    <m/>
    <n v="1501.8340703569011"/>
    <n v="454.3285679284046"/>
    <n v="0"/>
    <n v="231559.32331000001"/>
    <n v="62825.509919999997"/>
    <n v="0"/>
    <n v="242379.49878082992"/>
    <n v="73323.633249397288"/>
  </r>
  <r>
    <s v="Sistema Isolado - Refaturamento"/>
    <x v="1"/>
    <x v="2"/>
    <x v="1"/>
    <x v="0"/>
    <x v="0"/>
    <x v="0"/>
    <x v="2"/>
    <x v="6"/>
    <n v="0"/>
    <n v="0"/>
    <n v="-17.904"/>
    <n v="-17.904"/>
    <n v="-17.904"/>
    <n v="-17.904"/>
    <n v="0"/>
    <x v="1"/>
    <n v="0"/>
    <n v="0"/>
    <n v="24"/>
    <n v="66"/>
    <n v="0"/>
    <n v="1434.79"/>
    <n v="389.28"/>
    <m/>
    <n v="1501.8340703569011"/>
    <n v="454.3285679284046"/>
    <n v="0"/>
    <n v="-25688.480159999999"/>
    <n v="-6969.6691199999996"/>
    <n v="0"/>
    <n v="-26888.837195669956"/>
    <n v="-8134.2986801901561"/>
  </r>
  <r>
    <s v="Sistema de Compensação"/>
    <x v="1"/>
    <x v="2"/>
    <x v="1"/>
    <x v="0"/>
    <x v="0"/>
    <x v="0"/>
    <x v="2"/>
    <x v="6"/>
    <n v="0"/>
    <n v="0"/>
    <n v="59.680999999999997"/>
    <n v="59.680999999999997"/>
    <n v="59.680999999999997"/>
    <n v="59.680999999999997"/>
    <n v="0"/>
    <x v="1"/>
    <n v="0"/>
    <n v="0"/>
    <n v="24"/>
    <n v="66"/>
    <n v="0"/>
    <n v="1434.79"/>
    <n v="389.28"/>
    <m/>
    <n v="1501.8340703569011"/>
    <n v="454.3285679284046"/>
    <n v="0"/>
    <n v="85629.701989999987"/>
    <n v="23232.619679999996"/>
    <n v="0"/>
    <n v="89630.959152970216"/>
    <n v="27114.783262535115"/>
  </r>
  <r>
    <s v="Regular"/>
    <x v="1"/>
    <x v="2"/>
    <x v="1"/>
    <x v="0"/>
    <x v="0"/>
    <x v="0"/>
    <x v="2"/>
    <x v="6"/>
    <n v="0"/>
    <n v="0"/>
    <n v="3.069"/>
    <n v="3.069"/>
    <n v="0"/>
    <n v="0"/>
    <n v="0"/>
    <x v="0"/>
    <n v="0"/>
    <n v="0"/>
    <n v="24"/>
    <n v="0"/>
    <n v="0"/>
    <n v="1434.79"/>
    <n v="0"/>
    <m/>
    <n v="1501.8340703569011"/>
    <m/>
    <n v="0"/>
    <n v="4403.3705099999997"/>
    <n v="0"/>
    <n v="0"/>
    <n v="4609.1287619253289"/>
    <n v="0"/>
  </r>
  <r>
    <s v="Regular"/>
    <x v="1"/>
    <x v="2"/>
    <x v="1"/>
    <x v="0"/>
    <x v="0"/>
    <x v="0"/>
    <x v="2"/>
    <x v="7"/>
    <n v="0"/>
    <n v="0"/>
    <n v="1537.4860000000001"/>
    <n v="1537.4860000000001"/>
    <n v="1537.4860000000001"/>
    <n v="1537.4860000000001"/>
    <n v="0"/>
    <x v="1"/>
    <n v="0"/>
    <n v="0"/>
    <n v="24"/>
    <n v="66"/>
    <n v="0"/>
    <n v="1434.79"/>
    <n v="389.28"/>
    <m/>
    <n v="1501.8340703569011"/>
    <n v="454.3285679284046"/>
    <n v="0"/>
    <n v="2205969.5379400002"/>
    <n v="598512.55007999996"/>
    <n v="0"/>
    <n v="2309048.8574967505"/>
    <n v="698523.81258997112"/>
  </r>
  <r>
    <s v="Refaturamento - Regular"/>
    <x v="1"/>
    <x v="2"/>
    <x v="1"/>
    <x v="0"/>
    <x v="0"/>
    <x v="0"/>
    <x v="2"/>
    <x v="7"/>
    <n v="0"/>
    <n v="0"/>
    <n v="-28.067"/>
    <n v="-28.067"/>
    <n v="-28.067"/>
    <n v="-28.067"/>
    <n v="0"/>
    <x v="1"/>
    <n v="0"/>
    <n v="0"/>
    <n v="24"/>
    <n v="66"/>
    <n v="0"/>
    <n v="1434.79"/>
    <n v="389.28"/>
    <m/>
    <n v="1501.8340703569011"/>
    <n v="454.3285679284046"/>
    <n v="0"/>
    <n v="-40270.250930000002"/>
    <n v="-10925.921759999999"/>
    <n v="0"/>
    <n v="-42151.976852707143"/>
    <n v="-12751.639916046532"/>
  </r>
  <r>
    <s v="Sistema Isolado - Regular"/>
    <x v="1"/>
    <x v="2"/>
    <x v="1"/>
    <x v="0"/>
    <x v="0"/>
    <x v="0"/>
    <x v="2"/>
    <x v="7"/>
    <n v="0"/>
    <n v="0"/>
    <n v="120.002"/>
    <n v="120.002"/>
    <n v="120.002"/>
    <n v="120.002"/>
    <n v="0"/>
    <x v="1"/>
    <n v="0"/>
    <n v="0"/>
    <n v="24"/>
    <n v="66"/>
    <n v="0"/>
    <n v="1434.79"/>
    <n v="389.28"/>
    <m/>
    <n v="1501.8340703569011"/>
    <n v="454.3285679284046"/>
    <n v="0"/>
    <n v="172177.66957999999"/>
    <n v="46714.378559999997"/>
    <n v="0"/>
    <n v="180223.09211096884"/>
    <n v="54520.336808544409"/>
  </r>
  <r>
    <s v="Sistema de Compensação"/>
    <x v="1"/>
    <x v="2"/>
    <x v="1"/>
    <x v="0"/>
    <x v="0"/>
    <x v="0"/>
    <x v="2"/>
    <x v="7"/>
    <n v="0"/>
    <n v="0"/>
    <n v="45.491"/>
    <n v="45.491"/>
    <n v="45.491"/>
    <n v="45.491"/>
    <n v="0"/>
    <x v="1"/>
    <n v="0"/>
    <n v="0"/>
    <n v="24"/>
    <n v="66"/>
    <n v="0"/>
    <n v="1434.79"/>
    <n v="389.28"/>
    <m/>
    <n v="1501.8340703569011"/>
    <n v="454.3285679284046"/>
    <n v="0"/>
    <n v="65270.031889999998"/>
    <n v="17708.73648"/>
    <n v="0"/>
    <n v="68319.933694605788"/>
    <n v="20667.860883631052"/>
  </r>
  <r>
    <s v="Regular"/>
    <x v="1"/>
    <x v="2"/>
    <x v="1"/>
    <x v="0"/>
    <x v="0"/>
    <x v="0"/>
    <x v="2"/>
    <x v="8"/>
    <n v="0"/>
    <n v="0"/>
    <n v="1693.818"/>
    <n v="1693.818"/>
    <n v="1693.818"/>
    <n v="1693.818"/>
    <n v="0"/>
    <x v="1"/>
    <n v="0"/>
    <n v="0"/>
    <n v="24"/>
    <n v="66"/>
    <n v="0"/>
    <n v="1434.79"/>
    <n v="389.28"/>
    <m/>
    <n v="1501.8340703569011"/>
    <n v="454.3285679284046"/>
    <n v="0"/>
    <n v="2430273.1282199998"/>
    <n v="659369.47103999997"/>
    <n v="0"/>
    <n v="2543833.5813837852"/>
    <n v="769549.90627135441"/>
  </r>
  <r>
    <s v="Sistema Isolado - Regular"/>
    <x v="1"/>
    <x v="2"/>
    <x v="1"/>
    <x v="0"/>
    <x v="0"/>
    <x v="0"/>
    <x v="2"/>
    <x v="8"/>
    <n v="0"/>
    <n v="0"/>
    <n v="113.124"/>
    <n v="113.124"/>
    <n v="113.124"/>
    <n v="113.124"/>
    <n v="0"/>
    <x v="1"/>
    <n v="0"/>
    <n v="0"/>
    <n v="24"/>
    <n v="66"/>
    <n v="0"/>
    <n v="1434.79"/>
    <n v="389.28"/>
    <m/>
    <n v="1501.8340703569011"/>
    <n v="454.3285679284046"/>
    <n v="0"/>
    <n v="162309.18395999999"/>
    <n v="44036.910719999993"/>
    <n v="0"/>
    <n v="169893.47737505406"/>
    <n v="51395.464918332837"/>
  </r>
  <r>
    <s v="Sistema de Compensação"/>
    <x v="1"/>
    <x v="2"/>
    <x v="1"/>
    <x v="0"/>
    <x v="0"/>
    <x v="0"/>
    <x v="2"/>
    <x v="8"/>
    <n v="0"/>
    <n v="0"/>
    <n v="46.540999999999997"/>
    <n v="46.540999999999997"/>
    <n v="46.540999999999997"/>
    <n v="46.540999999999997"/>
    <n v="0"/>
    <x v="1"/>
    <n v="0"/>
    <n v="0"/>
    <n v="24"/>
    <n v="66"/>
    <n v="0"/>
    <n v="1434.79"/>
    <n v="389.28"/>
    <m/>
    <n v="1501.8340703569011"/>
    <n v="454.3285679284046"/>
    <n v="0"/>
    <n v="66776.561389999988"/>
    <n v="18117.480479999998"/>
    <n v="0"/>
    <n v="69896.859468480528"/>
    <n v="21144.905879955877"/>
  </r>
  <r>
    <s v="Regular"/>
    <x v="1"/>
    <x v="2"/>
    <x v="1"/>
    <x v="0"/>
    <x v="0"/>
    <x v="0"/>
    <x v="2"/>
    <x v="8"/>
    <n v="0"/>
    <n v="0"/>
    <n v="55.079000000000001"/>
    <n v="55.079000000000001"/>
    <n v="0"/>
    <n v="0"/>
    <n v="0"/>
    <x v="0"/>
    <n v="0"/>
    <n v="0"/>
    <n v="24"/>
    <n v="0"/>
    <n v="0"/>
    <n v="1434.79"/>
    <n v="0"/>
    <m/>
    <n v="1501.8340703569011"/>
    <m/>
    <n v="0"/>
    <n v="79026.798410000003"/>
    <n v="0"/>
    <n v="0"/>
    <n v="82719.518761187748"/>
    <n v="0"/>
  </r>
  <r>
    <s v="Regular"/>
    <x v="1"/>
    <x v="2"/>
    <x v="1"/>
    <x v="0"/>
    <x v="0"/>
    <x v="0"/>
    <x v="2"/>
    <x v="9"/>
    <n v="0"/>
    <n v="0"/>
    <n v="1822.175"/>
    <n v="1822.175"/>
    <n v="1822.175"/>
    <n v="1822.175"/>
    <n v="0"/>
    <x v="1"/>
    <n v="0"/>
    <n v="0"/>
    <n v="24"/>
    <n v="66"/>
    <n v="0"/>
    <n v="1434.79"/>
    <n v="389.28"/>
    <m/>
    <n v="1501.8340703569011"/>
    <n v="454.3285679284046"/>
    <n v="0"/>
    <n v="2614438.4682499999"/>
    <n v="709336.28399999999"/>
    <n v="0"/>
    <n v="2736604.497152586"/>
    <n v="827866.1582649406"/>
  </r>
  <r>
    <s v="Refaturamento - Regular"/>
    <x v="1"/>
    <x v="2"/>
    <x v="1"/>
    <x v="0"/>
    <x v="0"/>
    <x v="0"/>
    <x v="2"/>
    <x v="9"/>
    <n v="0"/>
    <n v="0"/>
    <n v="-0.23400000000000001"/>
    <n v="-0.23400000000000001"/>
    <n v="-0.23400000000000001"/>
    <n v="-0.23400000000000001"/>
    <n v="0"/>
    <x v="1"/>
    <n v="0"/>
    <n v="0"/>
    <n v="24"/>
    <n v="66"/>
    <n v="0"/>
    <n v="1434.79"/>
    <n v="389.28"/>
    <m/>
    <n v="1501.8340703569011"/>
    <n v="454.3285679284046"/>
    <n v="0"/>
    <n v="-335.74086"/>
    <n v="-91.091520000000003"/>
    <n v="0"/>
    <n v="-351.42917246351487"/>
    <n v="-106.31288489524668"/>
  </r>
  <r>
    <s v="Sistema Isolado - Regular"/>
    <x v="1"/>
    <x v="2"/>
    <x v="1"/>
    <x v="0"/>
    <x v="0"/>
    <x v="0"/>
    <x v="2"/>
    <x v="9"/>
    <n v="0"/>
    <n v="0"/>
    <n v="125.10899999999999"/>
    <n v="125.10899999999999"/>
    <n v="125.10899999999999"/>
    <n v="125.10899999999999"/>
    <n v="0"/>
    <x v="1"/>
    <n v="0"/>
    <n v="0"/>
    <n v="24"/>
    <n v="66"/>
    <n v="0"/>
    <n v="1434.79"/>
    <n v="389.28"/>
    <m/>
    <n v="1501.8340703569011"/>
    <n v="454.3285679284046"/>
    <n v="0"/>
    <n v="179505.14210999999"/>
    <n v="48702.431519999991"/>
    <n v="0"/>
    <n v="187892.95870828154"/>
    <n v="56840.592804954766"/>
  </r>
  <r>
    <s v="Sistema de Compensação"/>
    <x v="1"/>
    <x v="2"/>
    <x v="1"/>
    <x v="0"/>
    <x v="0"/>
    <x v="0"/>
    <x v="2"/>
    <x v="9"/>
    <n v="0"/>
    <n v="0"/>
    <n v="48.753"/>
    <n v="48.753"/>
    <n v="48.753"/>
    <n v="48.753"/>
    <n v="0"/>
    <x v="1"/>
    <n v="0"/>
    <n v="0"/>
    <n v="24"/>
    <n v="66"/>
    <n v="0"/>
    <n v="1434.79"/>
    <n v="389.28"/>
    <m/>
    <n v="1501.8340703569011"/>
    <n v="454.3285679284046"/>
    <n v="0"/>
    <n v="69950.316869999995"/>
    <n v="18978.56784"/>
    <n v="0"/>
    <n v="73218.916432109996"/>
    <n v="22149.880672213509"/>
  </r>
  <r>
    <s v="Regular"/>
    <x v="1"/>
    <x v="2"/>
    <x v="1"/>
    <x v="0"/>
    <x v="0"/>
    <x v="0"/>
    <x v="2"/>
    <x v="9"/>
    <n v="0"/>
    <n v="0"/>
    <n v="54.908000000000001"/>
    <n v="54.908000000000001"/>
    <n v="0"/>
    <n v="0"/>
    <n v="0"/>
    <x v="0"/>
    <n v="0"/>
    <n v="0"/>
    <n v="24"/>
    <n v="0"/>
    <n v="0"/>
    <n v="1434.79"/>
    <n v="0"/>
    <m/>
    <n v="1501.8340703569011"/>
    <m/>
    <n v="0"/>
    <n v="78781.44932"/>
    <n v="0"/>
    <n v="0"/>
    <n v="82462.705135156721"/>
    <n v="0"/>
  </r>
  <r>
    <s v="Regular"/>
    <x v="1"/>
    <x v="2"/>
    <x v="1"/>
    <x v="0"/>
    <x v="0"/>
    <x v="0"/>
    <x v="2"/>
    <x v="10"/>
    <n v="0"/>
    <n v="0"/>
    <n v="1583.3430000000001"/>
    <n v="1583.3430000000001"/>
    <n v="1583.3430000000001"/>
    <n v="1583.3430000000001"/>
    <n v="0"/>
    <x v="1"/>
    <n v="0"/>
    <n v="0"/>
    <n v="24"/>
    <n v="66"/>
    <n v="0"/>
    <n v="1434.79"/>
    <n v="389.28"/>
    <m/>
    <n v="1501.8340703569011"/>
    <n v="454.3285679284046"/>
    <n v="0"/>
    <n v="2271764.70297"/>
    <n v="616363.76303999999"/>
    <n v="0"/>
    <n v="2377918.4624611069"/>
    <n v="719357.95772946393"/>
  </r>
  <r>
    <s v="Refaturamento - Regular"/>
    <x v="1"/>
    <x v="2"/>
    <x v="1"/>
    <x v="0"/>
    <x v="0"/>
    <x v="0"/>
    <x v="2"/>
    <x v="10"/>
    <n v="0"/>
    <n v="0"/>
    <n v="-11.44"/>
    <n v="-11.44"/>
    <n v="-11.44"/>
    <n v="-11.44"/>
    <n v="0"/>
    <x v="1"/>
    <n v="0"/>
    <n v="0"/>
    <n v="24"/>
    <n v="66"/>
    <n v="0"/>
    <n v="1434.79"/>
    <n v="389.28"/>
    <m/>
    <n v="1501.8340703569011"/>
    <n v="454.3285679284046"/>
    <n v="0"/>
    <n v="-16413.997599999999"/>
    <n v="-4453.3631999999998"/>
    <n v="0"/>
    <n v="-17180.981764882948"/>
    <n v="-5197.5188171009486"/>
  </r>
  <r>
    <s v="Sistema Isolado - Regular"/>
    <x v="1"/>
    <x v="2"/>
    <x v="1"/>
    <x v="0"/>
    <x v="0"/>
    <x v="0"/>
    <x v="2"/>
    <x v="10"/>
    <n v="0"/>
    <n v="0"/>
    <n v="164.79599999999999"/>
    <n v="164.79599999999999"/>
    <n v="164.79599999999999"/>
    <n v="164.79599999999999"/>
    <n v="0"/>
    <x v="1"/>
    <n v="0"/>
    <n v="0"/>
    <n v="24"/>
    <n v="66"/>
    <n v="0"/>
    <n v="1434.79"/>
    <n v="389.28"/>
    <m/>
    <n v="1501.8340703569011"/>
    <n v="454.3285679284046"/>
    <n v="0"/>
    <n v="236447.65284"/>
    <n v="64151.786879999992"/>
    <n v="0"/>
    <n v="247496.24745853586"/>
    <n v="74871.530680329364"/>
  </r>
  <r>
    <s v="Sistema Isolado - Refaturamento"/>
    <x v="1"/>
    <x v="2"/>
    <x v="1"/>
    <x v="0"/>
    <x v="0"/>
    <x v="0"/>
    <x v="2"/>
    <x v="10"/>
    <n v="0"/>
    <n v="0"/>
    <n v="-0.1"/>
    <n v="-0.1"/>
    <n v="-0.1"/>
    <n v="-0.1"/>
    <n v="0"/>
    <x v="1"/>
    <n v="0"/>
    <n v="0"/>
    <n v="24"/>
    <n v="66"/>
    <n v="0"/>
    <n v="1434.79"/>
    <n v="389.28"/>
    <m/>
    <n v="1501.8340703569011"/>
    <n v="454.3285679284046"/>
    <n v="0"/>
    <n v="-143.47900000000001"/>
    <n v="-38.927999999999997"/>
    <n v="0"/>
    <n v="-150.18340703569012"/>
    <n v="-45.432856792840461"/>
  </r>
  <r>
    <s v="Sistema de Compensação"/>
    <x v="1"/>
    <x v="2"/>
    <x v="1"/>
    <x v="0"/>
    <x v="0"/>
    <x v="0"/>
    <x v="2"/>
    <x v="10"/>
    <n v="0"/>
    <n v="0"/>
    <n v="47.02"/>
    <n v="47.02"/>
    <n v="47.02"/>
    <n v="47.02"/>
    <n v="0"/>
    <x v="1"/>
    <n v="0"/>
    <n v="0"/>
    <n v="24"/>
    <n v="66"/>
    <n v="0"/>
    <n v="1434.79"/>
    <n v="389.28"/>
    <m/>
    <n v="1501.8340703569011"/>
    <n v="454.3285679284046"/>
    <n v="0"/>
    <n v="67463.825800000006"/>
    <n v="18303.945599999999"/>
    <n v="0"/>
    <n v="70616.2379881815"/>
    <n v="21362.529263993587"/>
  </r>
  <r>
    <s v="Regular"/>
    <x v="1"/>
    <x v="2"/>
    <x v="1"/>
    <x v="0"/>
    <x v="0"/>
    <x v="0"/>
    <x v="2"/>
    <x v="10"/>
    <n v="0"/>
    <n v="0"/>
    <n v="98.802000000000007"/>
    <n v="98.802000000000007"/>
    <n v="0"/>
    <n v="0"/>
    <n v="0"/>
    <x v="0"/>
    <n v="0"/>
    <n v="0"/>
    <n v="24"/>
    <n v="0"/>
    <n v="0"/>
    <n v="1434.79"/>
    <n v="0"/>
    <m/>
    <n v="1501.8340703569011"/>
    <m/>
    <n v="0"/>
    <n v="141760.12158000001"/>
    <n v="0"/>
    <n v="0"/>
    <n v="148384.20981940255"/>
    <n v="0"/>
  </r>
  <r>
    <s v="PROJETADO"/>
    <x v="1"/>
    <x v="2"/>
    <x v="1"/>
    <x v="0"/>
    <x v="0"/>
    <x v="0"/>
    <x v="2"/>
    <x v="11"/>
    <n v="0"/>
    <n v="0"/>
    <n v="1583.3430000000001"/>
    <n v="1583.3430000000001"/>
    <n v="1583.3430000000001"/>
    <n v="1583.3430000000001"/>
    <n v="0"/>
    <x v="1"/>
    <n v="0"/>
    <n v="0"/>
    <n v="24"/>
    <n v="66"/>
    <n v="0"/>
    <n v="1434.79"/>
    <n v="389.28"/>
    <m/>
    <n v="1501.8340703569011"/>
    <n v="454.3285679284046"/>
    <n v="0"/>
    <n v="2271764.70297"/>
    <n v="616363.76303999999"/>
    <n v="0"/>
    <n v="2377918.4624611069"/>
    <n v="719357.95772946393"/>
  </r>
  <r>
    <s v="PROJETADO"/>
    <x v="1"/>
    <x v="2"/>
    <x v="1"/>
    <x v="0"/>
    <x v="0"/>
    <x v="0"/>
    <x v="2"/>
    <x v="11"/>
    <n v="0"/>
    <n v="0"/>
    <n v="-11.44"/>
    <n v="-11.44"/>
    <n v="-11.44"/>
    <n v="-11.44"/>
    <n v="0"/>
    <x v="1"/>
    <n v="0"/>
    <n v="0"/>
    <n v="24"/>
    <n v="66"/>
    <n v="0"/>
    <n v="1434.79"/>
    <n v="389.28"/>
    <m/>
    <n v="1501.8340703569011"/>
    <n v="454.3285679284046"/>
    <n v="0"/>
    <n v="-16413.997599999999"/>
    <n v="-4453.3631999999998"/>
    <n v="0"/>
    <n v="-17180.981764882948"/>
    <n v="-5197.5188171009486"/>
  </r>
  <r>
    <s v="PROJETADO"/>
    <x v="1"/>
    <x v="2"/>
    <x v="1"/>
    <x v="0"/>
    <x v="0"/>
    <x v="0"/>
    <x v="2"/>
    <x v="11"/>
    <n v="0"/>
    <n v="0"/>
    <n v="164.79599999999999"/>
    <n v="164.79599999999999"/>
    <n v="164.79599999999999"/>
    <n v="164.79599999999999"/>
    <n v="0"/>
    <x v="1"/>
    <n v="0"/>
    <n v="0"/>
    <n v="24"/>
    <n v="66"/>
    <n v="0"/>
    <n v="1434.79"/>
    <n v="389.28"/>
    <m/>
    <n v="1501.8340703569011"/>
    <n v="454.3285679284046"/>
    <n v="0"/>
    <n v="236447.65284"/>
    <n v="64151.786879999992"/>
    <n v="0"/>
    <n v="247496.24745853586"/>
    <n v="74871.530680329364"/>
  </r>
  <r>
    <s v="PROJETADO"/>
    <x v="1"/>
    <x v="2"/>
    <x v="1"/>
    <x v="0"/>
    <x v="0"/>
    <x v="0"/>
    <x v="2"/>
    <x v="11"/>
    <n v="0"/>
    <n v="0"/>
    <n v="-0.1"/>
    <n v="-0.1"/>
    <n v="-0.1"/>
    <n v="-0.1"/>
    <n v="0"/>
    <x v="1"/>
    <n v="0"/>
    <n v="0"/>
    <n v="24"/>
    <n v="66"/>
    <n v="0"/>
    <n v="1434.79"/>
    <n v="389.28"/>
    <m/>
    <n v="1501.8340703569011"/>
    <n v="454.3285679284046"/>
    <n v="0"/>
    <n v="-143.47900000000001"/>
    <n v="-38.927999999999997"/>
    <n v="0"/>
    <n v="-150.18340703569012"/>
    <n v="-45.432856792840461"/>
  </r>
  <r>
    <s v="PROJETADO"/>
    <x v="1"/>
    <x v="2"/>
    <x v="1"/>
    <x v="0"/>
    <x v="0"/>
    <x v="0"/>
    <x v="2"/>
    <x v="11"/>
    <n v="0"/>
    <n v="0"/>
    <n v="47.02"/>
    <n v="47.02"/>
    <n v="47.02"/>
    <n v="47.02"/>
    <n v="0"/>
    <x v="1"/>
    <n v="0"/>
    <n v="0"/>
    <n v="24"/>
    <n v="66"/>
    <n v="0"/>
    <n v="1434.79"/>
    <n v="389.28"/>
    <m/>
    <n v="1501.8340703569011"/>
    <n v="454.3285679284046"/>
    <n v="0"/>
    <n v="67463.825800000006"/>
    <n v="18303.945599999999"/>
    <n v="0"/>
    <n v="70616.2379881815"/>
    <n v="21362.529263993587"/>
  </r>
  <r>
    <s v="PROJETADO"/>
    <x v="1"/>
    <x v="2"/>
    <x v="1"/>
    <x v="0"/>
    <x v="0"/>
    <x v="0"/>
    <x v="2"/>
    <x v="11"/>
    <n v="0"/>
    <n v="0"/>
    <n v="98.802000000000007"/>
    <n v="98.802000000000007"/>
    <n v="0"/>
    <n v="0"/>
    <n v="0"/>
    <x v="0"/>
    <n v="0"/>
    <n v="0"/>
    <n v="24"/>
    <n v="0"/>
    <n v="0"/>
    <n v="1434.79"/>
    <n v="0"/>
    <m/>
    <n v="1501.8340703569011"/>
    <m/>
    <n v="0"/>
    <n v="141760.12158000001"/>
    <n v="0"/>
    <n v="0"/>
    <n v="148384.20981940255"/>
    <n v="0"/>
  </r>
  <r>
    <s v="Regular"/>
    <x v="1"/>
    <x v="2"/>
    <x v="2"/>
    <x v="0"/>
    <x v="0"/>
    <x v="0"/>
    <x v="0"/>
    <x v="0"/>
    <n v="0"/>
    <n v="0"/>
    <n v="13749.628000000001"/>
    <n v="13749.628000000001"/>
    <n v="13749.628000000001"/>
    <n v="13749.628000000001"/>
    <n v="0"/>
    <x v="1"/>
    <n v="0"/>
    <n v="0"/>
    <n v="19"/>
    <n v="67"/>
    <n v="0"/>
    <n v="149.63"/>
    <n v="230.03"/>
    <m/>
    <n v="54.203801879475932"/>
    <n v="282.91739971702214"/>
    <n v="0"/>
    <n v="2057356.83764"/>
    <n v="3162826.9288400002"/>
    <n v="0"/>
    <n v="745282.11202849494"/>
    <n v="3890009.0008363598"/>
  </r>
  <r>
    <s v="Refaturamento - Regular"/>
    <x v="1"/>
    <x v="2"/>
    <x v="2"/>
    <x v="0"/>
    <x v="0"/>
    <x v="0"/>
    <x v="0"/>
    <x v="0"/>
    <n v="0"/>
    <n v="0"/>
    <n v="133.392"/>
    <n v="133.392"/>
    <n v="133.392"/>
    <n v="133.392"/>
    <n v="0"/>
    <x v="1"/>
    <n v="0"/>
    <n v="0"/>
    <n v="19"/>
    <n v="67"/>
    <n v="0"/>
    <n v="149.63"/>
    <n v="230.03"/>
    <m/>
    <n v="54.203801879475932"/>
    <n v="282.91739971702214"/>
    <n v="0"/>
    <n v="19959.444959999997"/>
    <n v="30684.161759999999"/>
    <n v="0"/>
    <n v="7230.3535403070537"/>
    <n v="37738.917783053017"/>
  </r>
  <r>
    <s v="Sistema Isolado - Regular"/>
    <x v="1"/>
    <x v="2"/>
    <x v="2"/>
    <x v="0"/>
    <x v="0"/>
    <x v="0"/>
    <x v="0"/>
    <x v="0"/>
    <n v="0"/>
    <n v="0"/>
    <n v="2743.3609999999999"/>
    <n v="2743.3609999999999"/>
    <n v="2743.3609999999999"/>
    <n v="2743.3609999999999"/>
    <n v="0"/>
    <x v="1"/>
    <n v="0"/>
    <n v="0"/>
    <n v="19"/>
    <n v="67"/>
    <n v="0"/>
    <n v="149.63"/>
    <n v="230.03"/>
    <m/>
    <n v="54.203801879475932"/>
    <n v="282.91739971702214"/>
    <n v="0"/>
    <n v="410489.10642999999"/>
    <n v="631055.33082999999"/>
    <n v="0"/>
    <n v="148700.59612788097"/>
    <n v="776144.56060508953"/>
  </r>
  <r>
    <s v="Sistema de Compensação"/>
    <x v="1"/>
    <x v="2"/>
    <x v="2"/>
    <x v="0"/>
    <x v="0"/>
    <x v="0"/>
    <x v="0"/>
    <x v="0"/>
    <n v="0"/>
    <n v="0"/>
    <n v="47.103000000000002"/>
    <n v="47.103000000000002"/>
    <n v="47.103000000000002"/>
    <n v="47.103000000000002"/>
    <n v="0"/>
    <x v="1"/>
    <n v="0"/>
    <n v="0"/>
    <n v="19"/>
    <n v="67"/>
    <n v="0"/>
    <n v="149.63"/>
    <n v="230.03"/>
    <m/>
    <n v="54.203801879475932"/>
    <n v="282.91739971702214"/>
    <n v="0"/>
    <n v="7048.02189"/>
    <n v="10835.103090000001"/>
    <n v="0"/>
    <n v="2553.161679928955"/>
    <n v="13326.258278870893"/>
  </r>
  <r>
    <s v="Regular"/>
    <x v="1"/>
    <x v="2"/>
    <x v="2"/>
    <x v="0"/>
    <x v="0"/>
    <x v="0"/>
    <x v="0"/>
    <x v="1"/>
    <n v="0"/>
    <n v="0"/>
    <n v="12342.635"/>
    <n v="12342.635"/>
    <n v="12342.635"/>
    <n v="12342.635"/>
    <n v="0"/>
    <x v="1"/>
    <n v="0"/>
    <n v="0"/>
    <n v="19"/>
    <n v="67"/>
    <n v="0"/>
    <n v="149.63"/>
    <n v="230.03"/>
    <m/>
    <n v="54.203801879475932"/>
    <n v="282.91739971702214"/>
    <n v="0"/>
    <n v="1846828.47505"/>
    <n v="2839176.3290500003"/>
    <n v="0"/>
    <n v="669017.74221068539"/>
    <n v="3491946.1998563074"/>
  </r>
  <r>
    <s v="Refaturamento - Regular"/>
    <x v="1"/>
    <x v="2"/>
    <x v="2"/>
    <x v="0"/>
    <x v="0"/>
    <x v="0"/>
    <x v="0"/>
    <x v="1"/>
    <n v="0"/>
    <n v="0"/>
    <n v="8.6739999999999995"/>
    <n v="8.6739999999999995"/>
    <n v="8.6739999999999995"/>
    <n v="8.6739999999999995"/>
    <n v="0"/>
    <x v="1"/>
    <n v="0"/>
    <n v="0"/>
    <n v="19"/>
    <n v="67"/>
    <n v="0"/>
    <n v="149.63"/>
    <n v="230.03"/>
    <m/>
    <n v="54.203801879475932"/>
    <n v="282.91739971702214"/>
    <n v="0"/>
    <n v="1297.8906199999999"/>
    <n v="1995.2802199999999"/>
    <n v="0"/>
    <n v="470.16377750257419"/>
    <n v="2454.02552514545"/>
  </r>
  <r>
    <s v="Sistema Isolado - Regular"/>
    <x v="1"/>
    <x v="2"/>
    <x v="2"/>
    <x v="0"/>
    <x v="0"/>
    <x v="0"/>
    <x v="0"/>
    <x v="1"/>
    <n v="0"/>
    <n v="0"/>
    <n v="3710.2339999999999"/>
    <n v="3710.2339999999999"/>
    <n v="3710.2339999999999"/>
    <n v="3710.2339999999999"/>
    <n v="0"/>
    <x v="1"/>
    <n v="0"/>
    <n v="0"/>
    <n v="19"/>
    <n v="67"/>
    <n v="0"/>
    <n v="149.63"/>
    <n v="230.03"/>
    <m/>
    <n v="54.203801879475932"/>
    <n v="282.91739971702214"/>
    <n v="0"/>
    <n v="555162.31342000002"/>
    <n v="853465.12702000001"/>
    <n v="0"/>
    <n v="201108.7886624955"/>
    <n v="1049689.7556216859"/>
  </r>
  <r>
    <s v="Sistema de Compensação"/>
    <x v="1"/>
    <x v="2"/>
    <x v="2"/>
    <x v="0"/>
    <x v="0"/>
    <x v="0"/>
    <x v="0"/>
    <x v="1"/>
    <n v="0"/>
    <n v="0"/>
    <n v="45.444000000000003"/>
    <n v="45.444000000000003"/>
    <n v="45.444000000000003"/>
    <n v="45.444000000000003"/>
    <n v="0"/>
    <x v="1"/>
    <n v="0"/>
    <n v="0"/>
    <n v="19"/>
    <n v="67"/>
    <n v="0"/>
    <n v="149.63"/>
    <n v="230.03"/>
    <m/>
    <n v="54.203801879475932"/>
    <n v="282.91739971702214"/>
    <n v="0"/>
    <n v="6799.7857199999999"/>
    <n v="10453.483320000001"/>
    <n v="0"/>
    <n v="2463.2375726109044"/>
    <n v="12856.898312740355"/>
  </r>
  <r>
    <s v="Regular"/>
    <x v="1"/>
    <x v="2"/>
    <x v="2"/>
    <x v="0"/>
    <x v="0"/>
    <x v="0"/>
    <x v="0"/>
    <x v="2"/>
    <n v="0"/>
    <n v="0"/>
    <n v="9522.723"/>
    <n v="9522.723"/>
    <n v="9522.723"/>
    <n v="9522.723"/>
    <n v="0"/>
    <x v="1"/>
    <n v="0"/>
    <n v="0"/>
    <n v="19"/>
    <n v="67"/>
    <n v="0"/>
    <n v="149.63"/>
    <n v="230.03"/>
    <m/>
    <n v="54.203801879475932"/>
    <n v="282.91739971702214"/>
    <n v="0"/>
    <n v="1424885.0424899999"/>
    <n v="2190511.97169"/>
    <n v="0"/>
    <n v="516167.79084512871"/>
    <n v="2694144.0293854801"/>
  </r>
  <r>
    <s v="Sistema Isolado - Regular"/>
    <x v="1"/>
    <x v="2"/>
    <x v="2"/>
    <x v="0"/>
    <x v="0"/>
    <x v="0"/>
    <x v="0"/>
    <x v="2"/>
    <n v="0"/>
    <n v="0"/>
    <n v="2086.9589999999998"/>
    <n v="2086.9589999999998"/>
    <n v="2086.9589999999998"/>
    <n v="2086.9589999999998"/>
    <n v="0"/>
    <x v="1"/>
    <n v="0"/>
    <n v="0"/>
    <n v="19"/>
    <n v="67"/>
    <n v="0"/>
    <n v="149.63"/>
    <n v="230.03"/>
    <m/>
    <n v="54.203801879475932"/>
    <n v="282.91739971702214"/>
    <n v="0"/>
    <n v="312271.67516999994"/>
    <n v="480063.17876999994"/>
    <n v="0"/>
    <n v="113121.1121665892"/>
    <n v="590437.0135960367"/>
  </r>
  <r>
    <s v="Sistema de Compensação"/>
    <x v="1"/>
    <x v="2"/>
    <x v="2"/>
    <x v="0"/>
    <x v="0"/>
    <x v="0"/>
    <x v="0"/>
    <x v="2"/>
    <n v="0"/>
    <n v="0"/>
    <n v="30.46"/>
    <n v="30.46"/>
    <n v="30.46"/>
    <n v="30.46"/>
    <n v="0"/>
    <x v="1"/>
    <n v="0"/>
    <n v="0"/>
    <n v="19"/>
    <n v="67"/>
    <n v="0"/>
    <n v="149.63"/>
    <n v="230.03"/>
    <m/>
    <n v="54.203801879475932"/>
    <n v="282.91739971702214"/>
    <n v="0"/>
    <n v="4557.7298000000001"/>
    <n v="7006.7138000000004"/>
    <n v="0"/>
    <n v="1651.047805248837"/>
    <n v="8617.6639953804952"/>
  </r>
  <r>
    <s v="Regular"/>
    <x v="1"/>
    <x v="2"/>
    <x v="2"/>
    <x v="0"/>
    <x v="0"/>
    <x v="0"/>
    <x v="0"/>
    <x v="3"/>
    <n v="0"/>
    <n v="0"/>
    <n v="9429.6170000000002"/>
    <n v="9429.6170000000002"/>
    <n v="9429.6170000000002"/>
    <n v="9429.6170000000002"/>
    <n v="0"/>
    <x v="1"/>
    <n v="0"/>
    <n v="0"/>
    <n v="19"/>
    <n v="67"/>
    <n v="0"/>
    <n v="149.63"/>
    <n v="230.03"/>
    <m/>
    <n v="54.203801879475932"/>
    <n v="282.91739971702214"/>
    <n v="0"/>
    <n v="1410953.5917100001"/>
    <n v="2169094.7985100001"/>
    <n v="0"/>
    <n v="511121.09166733822"/>
    <n v="2667802.7219674271"/>
  </r>
  <r>
    <s v="Sistema Isolado - Regular"/>
    <x v="1"/>
    <x v="2"/>
    <x v="2"/>
    <x v="0"/>
    <x v="0"/>
    <x v="0"/>
    <x v="0"/>
    <x v="3"/>
    <n v="0"/>
    <n v="0"/>
    <n v="2130.9340000000002"/>
    <n v="2130.9340000000002"/>
    <n v="2130.9340000000002"/>
    <n v="2130.9340000000002"/>
    <n v="0"/>
    <x v="1"/>
    <n v="0"/>
    <n v="0"/>
    <n v="19"/>
    <n v="67"/>
    <n v="0"/>
    <n v="149.63"/>
    <n v="230.03"/>
    <m/>
    <n v="54.203801879475932"/>
    <n v="282.91739971702214"/>
    <n v="0"/>
    <n v="318851.65442000004"/>
    <n v="490178.74802000006"/>
    <n v="0"/>
    <n v="115504.72435423918"/>
    <n v="602878.30624859291"/>
  </r>
  <r>
    <s v="Sistema de Compensação"/>
    <x v="1"/>
    <x v="2"/>
    <x v="2"/>
    <x v="0"/>
    <x v="0"/>
    <x v="0"/>
    <x v="0"/>
    <x v="3"/>
    <n v="0"/>
    <n v="0"/>
    <n v="30.219000000000001"/>
    <n v="30.219000000000001"/>
    <n v="30.219000000000001"/>
    <n v="30.219000000000001"/>
    <n v="0"/>
    <x v="1"/>
    <n v="0"/>
    <n v="0"/>
    <n v="19"/>
    <n v="67"/>
    <n v="0"/>
    <n v="149.63"/>
    <n v="230.03"/>
    <m/>
    <n v="54.203801879475932"/>
    <n v="282.91739971702214"/>
    <n v="0"/>
    <n v="4521.6689699999997"/>
    <n v="6951.27657"/>
    <n v="0"/>
    <n v="1637.9846889958833"/>
    <n v="8549.4809020486919"/>
  </r>
  <r>
    <s v="Regular"/>
    <x v="1"/>
    <x v="2"/>
    <x v="2"/>
    <x v="0"/>
    <x v="0"/>
    <x v="0"/>
    <x v="0"/>
    <x v="4"/>
    <n v="0"/>
    <n v="0"/>
    <n v="10456.519"/>
    <n v="10456.519"/>
    <n v="10456.519"/>
    <n v="10456.519"/>
    <n v="0"/>
    <x v="1"/>
    <n v="0"/>
    <n v="0"/>
    <n v="19"/>
    <n v="67"/>
    <n v="0"/>
    <n v="149.63"/>
    <n v="230.03"/>
    <m/>
    <n v="54.203801879475932"/>
    <n v="282.91739971702214"/>
    <n v="0"/>
    <n v="1564608.9379700001"/>
    <n v="2405313.0655700001"/>
    <n v="0"/>
    <n v="566783.08422497578"/>
    <n v="2958331.1655716365"/>
  </r>
  <r>
    <s v="Refaturamento - Regular"/>
    <x v="1"/>
    <x v="2"/>
    <x v="2"/>
    <x v="0"/>
    <x v="0"/>
    <x v="0"/>
    <x v="0"/>
    <x v="4"/>
    <n v="0"/>
    <n v="0"/>
    <n v="-1.3380000000000001"/>
    <n v="-1.3380000000000001"/>
    <n v="-1.3380000000000001"/>
    <n v="-1.3380000000000001"/>
    <n v="0"/>
    <x v="1"/>
    <n v="0"/>
    <n v="0"/>
    <n v="19"/>
    <n v="67"/>
    <n v="0"/>
    <n v="149.63"/>
    <n v="230.03"/>
    <m/>
    <n v="54.203801879475932"/>
    <n v="282.91739971702214"/>
    <n v="0"/>
    <n v="-200.20493999999999"/>
    <n v="-307.78014000000002"/>
    <n v="0"/>
    <n v="-72.524686914738808"/>
    <n v="-378.54348082137562"/>
  </r>
  <r>
    <s v="Sistema Isolado - Regular"/>
    <x v="1"/>
    <x v="2"/>
    <x v="2"/>
    <x v="0"/>
    <x v="0"/>
    <x v="0"/>
    <x v="0"/>
    <x v="4"/>
    <n v="0"/>
    <n v="0"/>
    <n v="2162.2710000000002"/>
    <n v="2162.2710000000002"/>
    <n v="2162.2710000000002"/>
    <n v="2162.2710000000002"/>
    <n v="0"/>
    <x v="1"/>
    <n v="0"/>
    <n v="0"/>
    <n v="19"/>
    <n v="67"/>
    <n v="0"/>
    <n v="149.63"/>
    <n v="230.03"/>
    <m/>
    <n v="54.203801879475932"/>
    <n v="282.91739971702214"/>
    <n v="0"/>
    <n v="323540.60973000003"/>
    <n v="497387.19813000003"/>
    <n v="0"/>
    <n v="117203.30889373632"/>
    <n v="611744.0888035252"/>
  </r>
  <r>
    <s v="Sistema Isolado - Refaturamento"/>
    <x v="1"/>
    <x v="2"/>
    <x v="2"/>
    <x v="0"/>
    <x v="0"/>
    <x v="0"/>
    <x v="0"/>
    <x v="4"/>
    <n v="0"/>
    <n v="0"/>
    <n v="-2.3010000000000002"/>
    <n v="-2.3010000000000002"/>
    <n v="-2.3010000000000002"/>
    <n v="-2.3010000000000002"/>
    <n v="0"/>
    <x v="1"/>
    <n v="0"/>
    <n v="0"/>
    <n v="19"/>
    <n v="67"/>
    <n v="0"/>
    <n v="149.63"/>
    <n v="230.03"/>
    <m/>
    <n v="54.203801879475932"/>
    <n v="282.91739971702214"/>
    <n v="0"/>
    <n v="-344.29863"/>
    <n v="-529.29903000000002"/>
    <n v="0"/>
    <n v="-124.72294812467413"/>
    <n v="-650.99293674886803"/>
  </r>
  <r>
    <s v="Sistema de Compensação"/>
    <x v="1"/>
    <x v="2"/>
    <x v="2"/>
    <x v="0"/>
    <x v="0"/>
    <x v="0"/>
    <x v="0"/>
    <x v="4"/>
    <n v="0"/>
    <n v="0"/>
    <n v="33.862000000000002"/>
    <n v="33.862000000000002"/>
    <n v="33.862000000000002"/>
    <n v="33.862000000000002"/>
    <n v="0"/>
    <x v="1"/>
    <n v="0"/>
    <n v="0"/>
    <n v="19"/>
    <n v="67"/>
    <n v="0"/>
    <n v="149.63"/>
    <n v="230.03"/>
    <m/>
    <n v="54.203801879475932"/>
    <n v="282.91739971702214"/>
    <n v="0"/>
    <n v="5066.77106"/>
    <n v="7789.2758600000006"/>
    <n v="0"/>
    <n v="1835.4491392428142"/>
    <n v="9580.1489892178033"/>
  </r>
  <r>
    <s v="Regular"/>
    <x v="1"/>
    <x v="2"/>
    <x v="2"/>
    <x v="0"/>
    <x v="0"/>
    <x v="0"/>
    <x v="0"/>
    <x v="5"/>
    <n v="0"/>
    <n v="0"/>
    <n v="10825.665999999999"/>
    <n v="10825.665999999999"/>
    <n v="10825.665999999999"/>
    <n v="10825.665999999999"/>
    <n v="0"/>
    <x v="1"/>
    <n v="0"/>
    <n v="0"/>
    <n v="19"/>
    <n v="67"/>
    <n v="0"/>
    <n v="149.63"/>
    <n v="230.03"/>
    <m/>
    <n v="54.203801879475932"/>
    <n v="282.91739971702214"/>
    <n v="0"/>
    <n v="1619844.4035799999"/>
    <n v="2490227.94998"/>
    <n v="0"/>
    <n v="586792.25507737871"/>
    <n v="3062769.2749249758"/>
  </r>
  <r>
    <s v="Refaturamento - Regular"/>
    <x v="1"/>
    <x v="2"/>
    <x v="2"/>
    <x v="0"/>
    <x v="0"/>
    <x v="0"/>
    <x v="0"/>
    <x v="5"/>
    <n v="0"/>
    <n v="0"/>
    <n v="-0.97699999999999998"/>
    <n v="-0.97699999999999998"/>
    <n v="-0.97699999999999998"/>
    <n v="-0.97699999999999998"/>
    <n v="0"/>
    <x v="1"/>
    <n v="0"/>
    <n v="0"/>
    <n v="19"/>
    <n v="67"/>
    <n v="0"/>
    <n v="149.63"/>
    <n v="230.03"/>
    <m/>
    <n v="54.203801879475932"/>
    <n v="282.91739971702214"/>
    <n v="0"/>
    <n v="-146.18850999999998"/>
    <n v="-224.73930999999999"/>
    <n v="0"/>
    <n v="-52.957114436247984"/>
    <n v="-276.41029952353063"/>
  </r>
  <r>
    <s v="Sistema Isolado - Regular"/>
    <x v="1"/>
    <x v="2"/>
    <x v="2"/>
    <x v="0"/>
    <x v="0"/>
    <x v="0"/>
    <x v="0"/>
    <x v="5"/>
    <n v="0"/>
    <n v="0"/>
    <n v="2196.944"/>
    <n v="2196.944"/>
    <n v="2196.944"/>
    <n v="2196.944"/>
    <n v="0"/>
    <x v="1"/>
    <n v="0"/>
    <n v="0"/>
    <n v="19"/>
    <n v="67"/>
    <n v="0"/>
    <n v="149.63"/>
    <n v="230.03"/>
    <m/>
    <n v="54.203801879475932"/>
    <n v="282.91739971702214"/>
    <n v="0"/>
    <n v="328728.73071999999"/>
    <n v="505363.02831999998"/>
    <n v="0"/>
    <n v="119082.71731630337"/>
    <n v="621553.68380391342"/>
  </r>
  <r>
    <s v="Sistema Isolado - Refaturamento"/>
    <x v="1"/>
    <x v="2"/>
    <x v="2"/>
    <x v="0"/>
    <x v="0"/>
    <x v="0"/>
    <x v="0"/>
    <x v="5"/>
    <n v="0"/>
    <n v="0"/>
    <n v="-5.3639999999999999"/>
    <n v="-5.3639999999999999"/>
    <n v="-5.3639999999999999"/>
    <n v="-5.3639999999999999"/>
    <n v="0"/>
    <x v="1"/>
    <n v="0"/>
    <n v="0"/>
    <n v="19"/>
    <n v="67"/>
    <n v="0"/>
    <n v="149.63"/>
    <n v="230.03"/>
    <m/>
    <n v="54.203801879475932"/>
    <n v="282.91739971702214"/>
    <n v="0"/>
    <n v="-802.61532"/>
    <n v="-1233.8809200000001"/>
    <n v="0"/>
    <n v="-290.74919328150889"/>
    <n v="-1517.5689320821068"/>
  </r>
  <r>
    <s v="Sistema de Compensação"/>
    <x v="1"/>
    <x v="2"/>
    <x v="2"/>
    <x v="0"/>
    <x v="0"/>
    <x v="0"/>
    <x v="0"/>
    <x v="5"/>
    <n v="0"/>
    <n v="0"/>
    <n v="42.994"/>
    <n v="42.994"/>
    <n v="42.994"/>
    <n v="42.994"/>
    <n v="0"/>
    <x v="1"/>
    <n v="0"/>
    <n v="0"/>
    <n v="19"/>
    <n v="67"/>
    <n v="0"/>
    <n v="149.63"/>
    <n v="230.03"/>
    <m/>
    <n v="54.203801879475932"/>
    <n v="282.91739971702214"/>
    <n v="0"/>
    <n v="6433.1922199999999"/>
    <n v="9889.9098200000008"/>
    <n v="0"/>
    <n v="2330.4382580061883"/>
    <n v="12163.750683433649"/>
  </r>
  <r>
    <s v="Regular"/>
    <x v="1"/>
    <x v="2"/>
    <x v="2"/>
    <x v="0"/>
    <x v="0"/>
    <x v="0"/>
    <x v="0"/>
    <x v="6"/>
    <n v="0"/>
    <n v="0"/>
    <n v="12160.052"/>
    <n v="12160.052"/>
    <n v="12160.052"/>
    <n v="12160.052"/>
    <n v="0"/>
    <x v="1"/>
    <n v="0"/>
    <n v="0"/>
    <n v="19"/>
    <n v="67"/>
    <n v="0"/>
    <n v="149.63"/>
    <n v="230.03"/>
    <m/>
    <n v="54.203801879475932"/>
    <n v="282.91739971702214"/>
    <n v="0"/>
    <n v="1819508.5807599998"/>
    <n v="2797176.76156"/>
    <n v="0"/>
    <n v="659121.04945212509"/>
    <n v="3440290.2922637742"/>
  </r>
  <r>
    <s v="Refaturamento - Regular"/>
    <x v="1"/>
    <x v="2"/>
    <x v="2"/>
    <x v="0"/>
    <x v="0"/>
    <x v="0"/>
    <x v="0"/>
    <x v="6"/>
    <n v="0"/>
    <n v="0"/>
    <n v="161.61699999999999"/>
    <n v="161.61699999999999"/>
    <n v="161.61699999999999"/>
    <n v="161.61699999999999"/>
    <n v="0"/>
    <x v="1"/>
    <n v="0"/>
    <n v="0"/>
    <n v="19"/>
    <n v="67"/>
    <n v="0"/>
    <n v="149.63"/>
    <n v="230.03"/>
    <m/>
    <n v="54.203801879475932"/>
    <n v="282.91739971702214"/>
    <n v="0"/>
    <n v="24182.751709999997"/>
    <n v="37176.75851"/>
    <n v="0"/>
    <n v="8760.2558483552621"/>
    <n v="45724.261390065963"/>
  </r>
  <r>
    <s v="Sistema Isolado - Regular"/>
    <x v="1"/>
    <x v="2"/>
    <x v="2"/>
    <x v="0"/>
    <x v="0"/>
    <x v="0"/>
    <x v="0"/>
    <x v="6"/>
    <n v="0"/>
    <n v="0"/>
    <n v="2797.5050000000001"/>
    <n v="2797.5050000000001"/>
    <n v="2797.5050000000001"/>
    <n v="2797.5050000000001"/>
    <n v="0"/>
    <x v="1"/>
    <n v="0"/>
    <n v="0"/>
    <n v="19"/>
    <n v="67"/>
    <n v="0"/>
    <n v="149.63"/>
    <n v="230.03"/>
    <m/>
    <n v="54.203801879475932"/>
    <n v="282.91739971702214"/>
    <n v="0"/>
    <n v="418590.67314999999"/>
    <n v="643510.07515000005"/>
    <n v="0"/>
    <n v="151635.40677684333"/>
    <n v="791462.84029536799"/>
  </r>
  <r>
    <s v="Sistema Isolado - Refaturamento"/>
    <x v="1"/>
    <x v="2"/>
    <x v="2"/>
    <x v="0"/>
    <x v="0"/>
    <x v="0"/>
    <x v="0"/>
    <x v="6"/>
    <n v="0"/>
    <n v="0"/>
    <n v="-35.921999999999997"/>
    <n v="-35.921999999999997"/>
    <n v="-35.921999999999997"/>
    <n v="-35.921999999999997"/>
    <n v="0"/>
    <x v="1"/>
    <n v="0"/>
    <n v="0"/>
    <n v="19"/>
    <n v="67"/>
    <n v="0"/>
    <n v="149.63"/>
    <n v="230.03"/>
    <m/>
    <n v="54.203801879475932"/>
    <n v="282.91739971702214"/>
    <n v="0"/>
    <n v="-5375.008859999999"/>
    <n v="-8263.1376599999985"/>
    <n v="0"/>
    <n v="-1947.1089711145344"/>
    <n v="-10162.958832634868"/>
  </r>
  <r>
    <s v="Sistema de Compensação"/>
    <x v="1"/>
    <x v="2"/>
    <x v="2"/>
    <x v="0"/>
    <x v="0"/>
    <x v="0"/>
    <x v="0"/>
    <x v="6"/>
    <n v="0"/>
    <n v="0"/>
    <n v="51.936"/>
    <n v="51.936"/>
    <n v="51.936"/>
    <n v="51.936"/>
    <n v="0"/>
    <x v="1"/>
    <n v="0"/>
    <n v="0"/>
    <n v="19"/>
    <n v="67"/>
    <n v="0"/>
    <n v="149.63"/>
    <n v="230.03"/>
    <m/>
    <n v="54.203801879475932"/>
    <n v="282.91739971702214"/>
    <n v="0"/>
    <n v="7771.1836800000001"/>
    <n v="11946.83808"/>
    <n v="0"/>
    <n v="2815.1286544124619"/>
    <n v="14693.598071703262"/>
  </r>
  <r>
    <s v="Regular"/>
    <x v="1"/>
    <x v="2"/>
    <x v="2"/>
    <x v="0"/>
    <x v="0"/>
    <x v="0"/>
    <x v="0"/>
    <x v="7"/>
    <n v="0"/>
    <n v="0"/>
    <n v="14051.075000000001"/>
    <n v="14051.075000000001"/>
    <n v="14051.075000000001"/>
    <n v="14051.075000000001"/>
    <n v="0"/>
    <x v="1"/>
    <n v="0"/>
    <n v="0"/>
    <n v="19"/>
    <n v="67"/>
    <n v="0"/>
    <n v="149.63"/>
    <n v="230.03"/>
    <m/>
    <n v="54.203801879475932"/>
    <n v="282.91739971702214"/>
    <n v="0"/>
    <n v="2102462.35225"/>
    <n v="3232168.7822500002"/>
    <n v="0"/>
    <n v="761621.68549365737"/>
    <n v="3975293.6022288571"/>
  </r>
  <r>
    <s v="Refaturamento - Regular"/>
    <x v="1"/>
    <x v="2"/>
    <x v="2"/>
    <x v="0"/>
    <x v="0"/>
    <x v="0"/>
    <x v="0"/>
    <x v="7"/>
    <n v="0"/>
    <n v="0"/>
    <n v="-1.635"/>
    <n v="-1.635"/>
    <n v="-1.635"/>
    <n v="-1.635"/>
    <n v="0"/>
    <x v="1"/>
    <n v="0"/>
    <n v="0"/>
    <n v="19"/>
    <n v="67"/>
    <n v="0"/>
    <n v="149.63"/>
    <n v="230.03"/>
    <m/>
    <n v="54.203801879475932"/>
    <n v="282.91739971702214"/>
    <n v="0"/>
    <n v="-244.64505"/>
    <n v="-376.09904999999998"/>
    <n v="0"/>
    <n v="-88.623216072943151"/>
    <n v="-462.56994853733119"/>
  </r>
  <r>
    <s v="Sistema Isolado - Regular"/>
    <x v="1"/>
    <x v="2"/>
    <x v="2"/>
    <x v="0"/>
    <x v="0"/>
    <x v="0"/>
    <x v="0"/>
    <x v="7"/>
    <n v="0"/>
    <n v="0"/>
    <n v="3416.154"/>
    <n v="3416.154"/>
    <n v="3416.154"/>
    <n v="3416.154"/>
    <n v="0"/>
    <x v="1"/>
    <n v="0"/>
    <n v="0"/>
    <n v="19"/>
    <n v="67"/>
    <n v="0"/>
    <n v="149.63"/>
    <n v="230.03"/>
    <m/>
    <n v="54.203801879475932"/>
    <n v="282.91739971702214"/>
    <n v="0"/>
    <n v="511159.12302"/>
    <n v="785817.90462000004"/>
    <n v="0"/>
    <n v="185168.53460577922"/>
    <n v="966489.40671290399"/>
  </r>
  <r>
    <s v="Sistema Isolado - Refaturamento"/>
    <x v="1"/>
    <x v="2"/>
    <x v="2"/>
    <x v="0"/>
    <x v="0"/>
    <x v="0"/>
    <x v="0"/>
    <x v="7"/>
    <n v="0"/>
    <n v="0"/>
    <n v="8.1059999999999999"/>
    <n v="8.1059999999999999"/>
    <n v="8.1059999999999999"/>
    <n v="8.1059999999999999"/>
    <n v="0"/>
    <x v="1"/>
    <n v="0"/>
    <n v="0"/>
    <n v="19"/>
    <n v="67"/>
    <n v="0"/>
    <n v="149.63"/>
    <n v="230.03"/>
    <m/>
    <n v="54.203801879475932"/>
    <n v="282.91739971702214"/>
    <n v="0"/>
    <n v="1212.9007799999999"/>
    <n v="1864.62318"/>
    <n v="0"/>
    <n v="439.3760180350319"/>
    <n v="2293.3284421061812"/>
  </r>
  <r>
    <s v="Sistema de Compensação"/>
    <x v="1"/>
    <x v="2"/>
    <x v="2"/>
    <x v="0"/>
    <x v="0"/>
    <x v="0"/>
    <x v="0"/>
    <x v="7"/>
    <n v="0"/>
    <n v="0"/>
    <n v="48.914999999999999"/>
    <n v="48.914999999999999"/>
    <n v="48.914999999999999"/>
    <n v="48.914999999999999"/>
    <n v="0"/>
    <x v="1"/>
    <n v="0"/>
    <n v="0"/>
    <n v="19"/>
    <n v="67"/>
    <n v="0"/>
    <n v="149.63"/>
    <n v="230.03"/>
    <m/>
    <n v="54.203801879475932"/>
    <n v="282.91739971702214"/>
    <n v="0"/>
    <n v="7319.1514499999994"/>
    <n v="11251.917449999999"/>
    <n v="0"/>
    <n v="2651.3789689345654"/>
    <n v="13838.904607158138"/>
  </r>
  <r>
    <s v="Regular"/>
    <x v="1"/>
    <x v="2"/>
    <x v="2"/>
    <x v="0"/>
    <x v="0"/>
    <x v="0"/>
    <x v="0"/>
    <x v="8"/>
    <n v="0"/>
    <n v="0"/>
    <n v="15580.68"/>
    <n v="15580.68"/>
    <n v="15580.68"/>
    <n v="15580.68"/>
    <n v="0"/>
    <x v="1"/>
    <n v="0"/>
    <n v="0"/>
    <n v="19"/>
    <n v="67"/>
    <n v="0"/>
    <n v="149.63"/>
    <n v="230.03"/>
    <m/>
    <n v="54.203801879475932"/>
    <n v="282.91739971702214"/>
    <n v="0"/>
    <n v="2331337.1483999998"/>
    <n v="3584023.8204000001"/>
    <n v="0"/>
    <n v="844532.09186751314"/>
    <n v="4408045.4714230122"/>
  </r>
  <r>
    <s v="Sistema Isolado - Regular"/>
    <x v="1"/>
    <x v="2"/>
    <x v="2"/>
    <x v="0"/>
    <x v="0"/>
    <x v="0"/>
    <x v="0"/>
    <x v="8"/>
    <n v="0"/>
    <n v="0"/>
    <n v="3726.6419999999998"/>
    <n v="3726.6419999999998"/>
    <n v="3726.6419999999998"/>
    <n v="3726.6419999999998"/>
    <n v="0"/>
    <x v="1"/>
    <n v="0"/>
    <n v="0"/>
    <n v="19"/>
    <n v="67"/>
    <n v="0"/>
    <n v="149.63"/>
    <n v="230.03"/>
    <m/>
    <n v="54.203801879475932"/>
    <n v="282.91739971702214"/>
    <n v="0"/>
    <n v="557617.44245999993"/>
    <n v="857239.45925999992"/>
    <n v="0"/>
    <n v="201998.16464373394"/>
    <n v="1054331.8643162427"/>
  </r>
  <r>
    <s v="Sistema de Compensação"/>
    <x v="1"/>
    <x v="2"/>
    <x v="2"/>
    <x v="0"/>
    <x v="0"/>
    <x v="0"/>
    <x v="0"/>
    <x v="8"/>
    <n v="0"/>
    <n v="0"/>
    <n v="52.664999999999999"/>
    <n v="52.664999999999999"/>
    <n v="52.664999999999999"/>
    <n v="52.664999999999999"/>
    <n v="0"/>
    <x v="1"/>
    <n v="0"/>
    <n v="0"/>
    <n v="19"/>
    <n v="67"/>
    <n v="0"/>
    <n v="149.63"/>
    <n v="230.03"/>
    <m/>
    <n v="54.203801879475932"/>
    <n v="282.91739971702214"/>
    <n v="0"/>
    <n v="7880.2639499999996"/>
    <n v="12114.52995"/>
    <n v="0"/>
    <n v="2854.6432259826001"/>
    <n v="14899.84485609697"/>
  </r>
  <r>
    <s v="Regular"/>
    <x v="1"/>
    <x v="2"/>
    <x v="2"/>
    <x v="0"/>
    <x v="0"/>
    <x v="0"/>
    <x v="0"/>
    <x v="9"/>
    <n v="0"/>
    <n v="0"/>
    <n v="15985.593999999999"/>
    <n v="15985.593999999999"/>
    <n v="15985.593999999999"/>
    <n v="15985.593999999999"/>
    <n v="0"/>
    <x v="1"/>
    <n v="0"/>
    <n v="0"/>
    <n v="19"/>
    <n v="67"/>
    <n v="0"/>
    <n v="149.63"/>
    <n v="230.03"/>
    <m/>
    <n v="54.203801879475932"/>
    <n v="282.91739971702214"/>
    <n v="0"/>
    <n v="2391924.43022"/>
    <n v="3677166.1878199996"/>
    <n v="0"/>
    <n v="866479.97010173916"/>
    <n v="4522602.6874120301"/>
  </r>
  <r>
    <s v="Refaturamento - Regular"/>
    <x v="1"/>
    <x v="2"/>
    <x v="2"/>
    <x v="0"/>
    <x v="0"/>
    <x v="0"/>
    <x v="0"/>
    <x v="9"/>
    <n v="0"/>
    <n v="0"/>
    <n v="-22839.87"/>
    <n v="-22839.87"/>
    <n v="-22839.87"/>
    <n v="-22839.87"/>
    <n v="0"/>
    <x v="1"/>
    <n v="0"/>
    <n v="0"/>
    <n v="19"/>
    <n v="67"/>
    <n v="0"/>
    <n v="149.63"/>
    <n v="230.03"/>
    <m/>
    <n v="54.203801879475932"/>
    <n v="282.91739971702214"/>
    <n v="0"/>
    <n v="-3417529.7481"/>
    <n v="-5253855.2960999999"/>
    <n v="0"/>
    <n v="-1238007.788432986"/>
    <n v="-6461796.630274822"/>
  </r>
  <r>
    <s v="Sistema Isolado - Regular"/>
    <x v="1"/>
    <x v="2"/>
    <x v="2"/>
    <x v="0"/>
    <x v="0"/>
    <x v="0"/>
    <x v="0"/>
    <x v="9"/>
    <n v="0"/>
    <n v="0"/>
    <n v="3410.8530000000001"/>
    <n v="3410.8530000000001"/>
    <n v="3410.8530000000001"/>
    <n v="3410.8530000000001"/>
    <n v="0"/>
    <x v="1"/>
    <n v="0"/>
    <n v="0"/>
    <n v="19"/>
    <n v="67"/>
    <n v="0"/>
    <n v="149.63"/>
    <n v="230.03"/>
    <m/>
    <n v="54.203801879475932"/>
    <n v="282.91739971702214"/>
    <n v="0"/>
    <n v="510365.93439000001"/>
    <n v="784598.51558999997"/>
    <n v="0"/>
    <n v="184881.20025201613"/>
    <n v="964989.66157700412"/>
  </r>
  <r>
    <s v="Sistema Isolado - Refaturamento"/>
    <x v="1"/>
    <x v="2"/>
    <x v="2"/>
    <x v="0"/>
    <x v="0"/>
    <x v="0"/>
    <x v="0"/>
    <x v="9"/>
    <n v="0"/>
    <n v="0"/>
    <n v="-8.2089999999999996"/>
    <n v="-8.2089999999999996"/>
    <n v="-8.2089999999999996"/>
    <n v="-8.2089999999999996"/>
    <n v="0"/>
    <x v="1"/>
    <n v="0"/>
    <n v="0"/>
    <n v="19"/>
    <n v="67"/>
    <n v="0"/>
    <n v="149.63"/>
    <n v="230.03"/>
    <m/>
    <n v="54.203801879475932"/>
    <n v="282.91739971702214"/>
    <n v="0"/>
    <n v="-1228.3126699999998"/>
    <n v="-1888.31627"/>
    <n v="0"/>
    <n v="-444.95900962861793"/>
    <n v="-2322.4689342770348"/>
  </r>
  <r>
    <s v="Sistema de Compensação"/>
    <x v="1"/>
    <x v="2"/>
    <x v="2"/>
    <x v="0"/>
    <x v="0"/>
    <x v="0"/>
    <x v="0"/>
    <x v="9"/>
    <n v="0"/>
    <n v="0"/>
    <n v="5.4240000000000004"/>
    <n v="5.4240000000000004"/>
    <n v="5.4240000000000004"/>
    <n v="5.4240000000000004"/>
    <n v="0"/>
    <x v="1"/>
    <n v="0"/>
    <n v="0"/>
    <n v="19"/>
    <n v="67"/>
    <n v="0"/>
    <n v="149.63"/>
    <n v="230.03"/>
    <m/>
    <n v="54.203801879475932"/>
    <n v="282.91739971702214"/>
    <n v="0"/>
    <n v="811.59312"/>
    <n v="1247.68272"/>
    <n v="0"/>
    <n v="294.00142139427749"/>
    <n v="1534.5439760651282"/>
  </r>
  <r>
    <s v="Regular"/>
    <x v="1"/>
    <x v="2"/>
    <x v="2"/>
    <x v="0"/>
    <x v="0"/>
    <x v="0"/>
    <x v="0"/>
    <x v="10"/>
    <n v="0"/>
    <n v="0"/>
    <n v="15783.975"/>
    <n v="15783.975"/>
    <n v="15783.975"/>
    <n v="15783.975"/>
    <n v="0"/>
    <x v="1"/>
    <n v="0"/>
    <n v="0"/>
    <n v="19"/>
    <n v="67"/>
    <n v="0"/>
    <n v="149.63"/>
    <n v="230.03"/>
    <m/>
    <n v="54.203801879475932"/>
    <n v="282.91739971702214"/>
    <n v="0"/>
    <n v="2361756.17925"/>
    <n v="3630787.7692499999"/>
    <n v="0"/>
    <n v="855551.45377060119"/>
    <n v="4465561.1641984843"/>
  </r>
  <r>
    <s v="Refaturamento - Regular"/>
    <x v="1"/>
    <x v="2"/>
    <x v="2"/>
    <x v="0"/>
    <x v="0"/>
    <x v="0"/>
    <x v="0"/>
    <x v="10"/>
    <n v="0"/>
    <n v="0"/>
    <n v="-3.69"/>
    <n v="-3.69"/>
    <n v="-3.69"/>
    <n v="-3.69"/>
    <n v="0"/>
    <x v="1"/>
    <n v="0"/>
    <n v="0"/>
    <n v="19"/>
    <n v="67"/>
    <n v="0"/>
    <n v="149.63"/>
    <n v="230.03"/>
    <m/>
    <n v="54.203801879475932"/>
    <n v="282.91739971702214"/>
    <n v="0"/>
    <n v="-552.13469999999995"/>
    <n v="-848.8107"/>
    <n v="0"/>
    <n v="-200.01202893526619"/>
    <n v="-1043.9652049558117"/>
  </r>
  <r>
    <s v="Sistema Isolado - Regular"/>
    <x v="1"/>
    <x v="2"/>
    <x v="2"/>
    <x v="0"/>
    <x v="0"/>
    <x v="0"/>
    <x v="0"/>
    <x v="10"/>
    <n v="0"/>
    <n v="0"/>
    <n v="3515.1869999999999"/>
    <n v="3515.1869999999999"/>
    <n v="3515.1869999999999"/>
    <n v="3515.1869999999999"/>
    <n v="0"/>
    <x v="1"/>
    <n v="0"/>
    <n v="0"/>
    <n v="19"/>
    <n v="67"/>
    <n v="0"/>
    <n v="149.63"/>
    <n v="230.03"/>
    <m/>
    <n v="54.203801879475932"/>
    <n v="282.91739971702214"/>
    <n v="0"/>
    <n v="525977.43080999993"/>
    <n v="808598.46560999996"/>
    <n v="0"/>
    <n v="190536.49971730937"/>
    <n v="994507.56555907987"/>
  </r>
  <r>
    <s v="Sistema de Compensação"/>
    <x v="1"/>
    <x v="2"/>
    <x v="2"/>
    <x v="0"/>
    <x v="0"/>
    <x v="0"/>
    <x v="0"/>
    <x v="10"/>
    <n v="0"/>
    <n v="0"/>
    <n v="5.6639999999999997"/>
    <n v="5.6639999999999997"/>
    <n v="5.6639999999999997"/>
    <n v="5.6639999999999997"/>
    <n v="0"/>
    <x v="1"/>
    <n v="0"/>
    <n v="0"/>
    <n v="19"/>
    <n v="67"/>
    <n v="0"/>
    <n v="149.63"/>
    <n v="230.03"/>
    <m/>
    <n v="54.203801879475932"/>
    <n v="282.91739971702214"/>
    <n v="0"/>
    <n v="847.50431999999989"/>
    <n v="1302.8899199999998"/>
    <n v="0"/>
    <n v="307.01033384535168"/>
    <n v="1602.4441519972133"/>
  </r>
  <r>
    <s v="PROJETADO"/>
    <x v="1"/>
    <x v="2"/>
    <x v="2"/>
    <x v="0"/>
    <x v="0"/>
    <x v="0"/>
    <x v="0"/>
    <x v="11"/>
    <n v="0"/>
    <n v="0"/>
    <n v="15783.975"/>
    <n v="15783.975"/>
    <n v="15783.975"/>
    <n v="15783.975"/>
    <n v="0"/>
    <x v="1"/>
    <n v="0"/>
    <n v="0"/>
    <n v="19"/>
    <n v="67"/>
    <n v="0"/>
    <n v="149.63"/>
    <n v="230.03"/>
    <m/>
    <n v="54.203801879475932"/>
    <n v="282.91739971702214"/>
    <n v="0"/>
    <n v="2361756.17925"/>
    <n v="3630787.7692499999"/>
    <n v="0"/>
    <n v="855551.45377060119"/>
    <n v="4465561.1641984843"/>
  </r>
  <r>
    <s v="PROJETADO"/>
    <x v="1"/>
    <x v="2"/>
    <x v="2"/>
    <x v="0"/>
    <x v="0"/>
    <x v="0"/>
    <x v="0"/>
    <x v="11"/>
    <n v="0"/>
    <n v="0"/>
    <n v="-3.69"/>
    <n v="-3.69"/>
    <n v="-3.69"/>
    <n v="-3.69"/>
    <n v="0"/>
    <x v="1"/>
    <n v="0"/>
    <n v="0"/>
    <n v="19"/>
    <n v="67"/>
    <n v="0"/>
    <n v="149.63"/>
    <n v="230.03"/>
    <m/>
    <n v="54.203801879475932"/>
    <n v="282.91739971702214"/>
    <n v="0"/>
    <n v="-552.13469999999995"/>
    <n v="-848.8107"/>
    <n v="0"/>
    <n v="-200.01202893526619"/>
    <n v="-1043.9652049558117"/>
  </r>
  <r>
    <s v="PROJETADO"/>
    <x v="1"/>
    <x v="2"/>
    <x v="2"/>
    <x v="0"/>
    <x v="0"/>
    <x v="0"/>
    <x v="0"/>
    <x v="11"/>
    <n v="0"/>
    <n v="0"/>
    <n v="3515.1869999999999"/>
    <n v="3515.1869999999999"/>
    <n v="3515.1869999999999"/>
    <n v="3515.1869999999999"/>
    <n v="0"/>
    <x v="1"/>
    <n v="0"/>
    <n v="0"/>
    <n v="19"/>
    <n v="67"/>
    <n v="0"/>
    <n v="149.63"/>
    <n v="230.03"/>
    <m/>
    <n v="54.203801879475932"/>
    <n v="282.91739971702214"/>
    <n v="0"/>
    <n v="525977.43080999993"/>
    <n v="808598.46560999996"/>
    <n v="0"/>
    <n v="190536.49971730937"/>
    <n v="994507.56555907987"/>
  </r>
  <r>
    <s v="PROJETADO"/>
    <x v="1"/>
    <x v="2"/>
    <x v="2"/>
    <x v="0"/>
    <x v="0"/>
    <x v="0"/>
    <x v="0"/>
    <x v="11"/>
    <n v="0"/>
    <n v="0"/>
    <n v="5.6639999999999997"/>
    <n v="5.6639999999999997"/>
    <n v="5.6639999999999997"/>
    <n v="5.6639999999999997"/>
    <n v="0"/>
    <x v="1"/>
    <n v="0"/>
    <n v="0"/>
    <n v="19"/>
    <n v="67"/>
    <n v="0"/>
    <n v="149.63"/>
    <n v="230.03"/>
    <m/>
    <n v="54.203801879475932"/>
    <n v="282.91739971702214"/>
    <n v="0"/>
    <n v="847.50431999999989"/>
    <n v="1302.8899199999998"/>
    <n v="0"/>
    <n v="307.01033384535168"/>
    <n v="1602.4441519972133"/>
  </r>
  <r>
    <s v="Regular"/>
    <x v="1"/>
    <x v="2"/>
    <x v="2"/>
    <x v="0"/>
    <x v="0"/>
    <x v="0"/>
    <x v="1"/>
    <x v="0"/>
    <n v="108570"/>
    <n v="108570"/>
    <n v="0"/>
    <n v="0"/>
    <n v="0"/>
    <n v="0"/>
    <n v="666"/>
    <x v="1"/>
    <n v="0"/>
    <n v="23"/>
    <n v="0"/>
    <n v="0"/>
    <n v="28.57"/>
    <n v="0"/>
    <n v="0"/>
    <n v="31.93064187172984"/>
    <m/>
    <m/>
    <n v="3101844.9"/>
    <n v="0"/>
    <n v="0"/>
    <n v="3466709.7880137088"/>
    <n v="0"/>
    <n v="0"/>
  </r>
  <r>
    <s v="Refaturamento - Regular"/>
    <x v="1"/>
    <x v="2"/>
    <x v="2"/>
    <x v="0"/>
    <x v="0"/>
    <x v="0"/>
    <x v="1"/>
    <x v="0"/>
    <n v="106"/>
    <n v="106"/>
    <n v="0"/>
    <n v="0"/>
    <n v="0"/>
    <n v="0"/>
    <n v="2"/>
    <x v="1"/>
    <n v="0"/>
    <n v="23"/>
    <n v="0"/>
    <n v="0"/>
    <n v="28.57"/>
    <n v="0"/>
    <n v="0"/>
    <n v="31.93064187172984"/>
    <m/>
    <m/>
    <n v="3028.42"/>
    <n v="0"/>
    <n v="0"/>
    <n v="3384.648038403363"/>
    <n v="0"/>
    <n v="0"/>
  </r>
  <r>
    <s v="Sistema Isolado - Regular"/>
    <x v="1"/>
    <x v="2"/>
    <x v="2"/>
    <x v="0"/>
    <x v="0"/>
    <x v="0"/>
    <x v="1"/>
    <x v="0"/>
    <n v="33228"/>
    <n v="33228"/>
    <n v="0"/>
    <n v="0"/>
    <n v="0"/>
    <n v="0"/>
    <n v="401"/>
    <x v="1"/>
    <n v="0"/>
    <n v="23"/>
    <n v="0"/>
    <n v="0"/>
    <n v="28.57"/>
    <n v="0"/>
    <n v="0"/>
    <n v="31.93064187172984"/>
    <m/>
    <m/>
    <n v="949323.96"/>
    <n v="0"/>
    <n v="0"/>
    <n v="1060991.3681138391"/>
    <n v="0"/>
    <n v="0"/>
  </r>
  <r>
    <s v="Sistema de Compensação"/>
    <x v="1"/>
    <x v="2"/>
    <x v="2"/>
    <x v="0"/>
    <x v="0"/>
    <x v="0"/>
    <x v="1"/>
    <x v="0"/>
    <n v="550"/>
    <n v="550"/>
    <n v="0"/>
    <n v="0"/>
    <n v="0"/>
    <n v="0"/>
    <n v="1"/>
    <x v="1"/>
    <n v="0"/>
    <n v="23"/>
    <n v="0"/>
    <n v="0"/>
    <n v="28.57"/>
    <n v="0"/>
    <n v="0"/>
    <n v="31.93064187172984"/>
    <m/>
    <m/>
    <n v="15713.5"/>
    <n v="0"/>
    <n v="0"/>
    <n v="17561.853029451413"/>
    <n v="0"/>
    <n v="0"/>
  </r>
  <r>
    <s v="Regular"/>
    <x v="1"/>
    <x v="2"/>
    <x v="2"/>
    <x v="0"/>
    <x v="0"/>
    <x v="0"/>
    <x v="1"/>
    <x v="1"/>
    <n v="108382"/>
    <n v="108382"/>
    <n v="0"/>
    <n v="0"/>
    <n v="0"/>
    <n v="0"/>
    <n v="663"/>
    <x v="1"/>
    <n v="0"/>
    <n v="23"/>
    <n v="0"/>
    <n v="0"/>
    <n v="28.57"/>
    <n v="0"/>
    <n v="0"/>
    <n v="31.93064187172984"/>
    <m/>
    <m/>
    <n v="3096473.74"/>
    <n v="0"/>
    <n v="0"/>
    <n v="3460706.8273418234"/>
    <n v="0"/>
    <n v="0"/>
  </r>
  <r>
    <s v="Refaturamento - Regular"/>
    <x v="1"/>
    <x v="2"/>
    <x v="2"/>
    <x v="0"/>
    <x v="0"/>
    <x v="0"/>
    <x v="1"/>
    <x v="1"/>
    <n v="3267"/>
    <n v="3267"/>
    <n v="0"/>
    <n v="0"/>
    <n v="0"/>
    <n v="0"/>
    <n v="0"/>
    <x v="1"/>
    <n v="0"/>
    <n v="23"/>
    <n v="0"/>
    <n v="0"/>
    <n v="28.57"/>
    <n v="0"/>
    <n v="0"/>
    <n v="31.93064187172984"/>
    <m/>
    <m/>
    <n v="93338.19"/>
    <n v="0"/>
    <n v="0"/>
    <n v="104317.40699494138"/>
    <n v="0"/>
    <n v="0"/>
  </r>
  <r>
    <s v="Sistema Isolado - Regular"/>
    <x v="1"/>
    <x v="2"/>
    <x v="2"/>
    <x v="0"/>
    <x v="0"/>
    <x v="0"/>
    <x v="1"/>
    <x v="1"/>
    <n v="33366"/>
    <n v="33366"/>
    <n v="0"/>
    <n v="0"/>
    <n v="0"/>
    <n v="0"/>
    <n v="402"/>
    <x v="1"/>
    <n v="0"/>
    <n v="23"/>
    <n v="0"/>
    <n v="0"/>
    <n v="28.57"/>
    <n v="0"/>
    <n v="0"/>
    <n v="31.93064187172984"/>
    <m/>
    <m/>
    <n v="953266.62"/>
    <n v="0"/>
    <n v="0"/>
    <n v="1065397.7966921378"/>
    <n v="0"/>
    <n v="0"/>
  </r>
  <r>
    <s v="Sistema Isolado - Refaturamento"/>
    <x v="1"/>
    <x v="2"/>
    <x v="2"/>
    <x v="0"/>
    <x v="0"/>
    <x v="0"/>
    <x v="1"/>
    <x v="1"/>
    <n v="2736"/>
    <n v="2736"/>
    <n v="0"/>
    <n v="0"/>
    <n v="0"/>
    <n v="0"/>
    <n v="0"/>
    <x v="1"/>
    <n v="0"/>
    <n v="23"/>
    <n v="0"/>
    <n v="0"/>
    <n v="28.57"/>
    <n v="0"/>
    <n v="0"/>
    <n v="31.93064187172984"/>
    <m/>
    <m/>
    <n v="78167.520000000004"/>
    <n v="0"/>
    <n v="0"/>
    <n v="87362.236161052846"/>
    <n v="0"/>
    <n v="0"/>
  </r>
  <r>
    <s v="Sistema de Compensação"/>
    <x v="1"/>
    <x v="2"/>
    <x v="2"/>
    <x v="0"/>
    <x v="0"/>
    <x v="0"/>
    <x v="1"/>
    <x v="1"/>
    <n v="550"/>
    <n v="550"/>
    <n v="0"/>
    <n v="0"/>
    <n v="0"/>
    <n v="0"/>
    <n v="1"/>
    <x v="1"/>
    <n v="0"/>
    <n v="23"/>
    <n v="0"/>
    <n v="0"/>
    <n v="28.57"/>
    <n v="0"/>
    <n v="0"/>
    <n v="31.93064187172984"/>
    <m/>
    <m/>
    <n v="15713.5"/>
    <n v="0"/>
    <n v="0"/>
    <n v="17561.853029451413"/>
    <n v="0"/>
    <n v="0"/>
  </r>
  <r>
    <s v="Regular"/>
    <x v="1"/>
    <x v="2"/>
    <x v="2"/>
    <x v="0"/>
    <x v="0"/>
    <x v="0"/>
    <x v="1"/>
    <x v="2"/>
    <n v="107023"/>
    <n v="107023"/>
    <n v="0"/>
    <n v="0"/>
    <n v="0"/>
    <n v="0"/>
    <n v="670"/>
    <x v="1"/>
    <n v="0"/>
    <n v="23"/>
    <n v="0"/>
    <n v="0"/>
    <n v="28.57"/>
    <n v="0"/>
    <n v="0"/>
    <n v="31.93064187172984"/>
    <m/>
    <m/>
    <n v="3057647.11"/>
    <n v="0"/>
    <n v="0"/>
    <n v="3417313.0850381427"/>
    <n v="0"/>
    <n v="0"/>
  </r>
  <r>
    <s v="Refaturamento - Regular"/>
    <x v="1"/>
    <x v="2"/>
    <x v="2"/>
    <x v="0"/>
    <x v="0"/>
    <x v="0"/>
    <x v="1"/>
    <x v="2"/>
    <n v="-3744"/>
    <n v="-3744"/>
    <n v="0"/>
    <n v="0"/>
    <n v="0"/>
    <n v="0"/>
    <n v="0"/>
    <x v="1"/>
    <n v="0"/>
    <n v="23"/>
    <n v="0"/>
    <n v="0"/>
    <n v="28.57"/>
    <n v="0"/>
    <n v="0"/>
    <n v="31.93064187172984"/>
    <m/>
    <m/>
    <n v="-106966.08"/>
    <n v="0"/>
    <n v="0"/>
    <n v="-119548.32316775652"/>
    <n v="0"/>
    <n v="0"/>
  </r>
  <r>
    <s v="Sistema Isolado - Regular"/>
    <x v="1"/>
    <x v="2"/>
    <x v="2"/>
    <x v="0"/>
    <x v="0"/>
    <x v="0"/>
    <x v="1"/>
    <x v="2"/>
    <n v="32842"/>
    <n v="32842"/>
    <n v="0"/>
    <n v="0"/>
    <n v="0"/>
    <n v="0"/>
    <n v="403"/>
    <x v="1"/>
    <n v="0"/>
    <n v="23"/>
    <n v="0"/>
    <n v="0"/>
    <n v="28.57"/>
    <n v="0"/>
    <n v="0"/>
    <n v="31.93064187172984"/>
    <m/>
    <m/>
    <n v="938295.94000000006"/>
    <n v="0"/>
    <n v="0"/>
    <n v="1048666.1403513514"/>
    <n v="0"/>
    <n v="0"/>
  </r>
  <r>
    <s v="Sistema Isolado - Refaturamento"/>
    <x v="1"/>
    <x v="2"/>
    <x v="2"/>
    <x v="0"/>
    <x v="0"/>
    <x v="0"/>
    <x v="1"/>
    <x v="2"/>
    <n v="-2942"/>
    <n v="-2942"/>
    <n v="0"/>
    <n v="0"/>
    <n v="0"/>
    <n v="0"/>
    <n v="0"/>
    <x v="1"/>
    <n v="0"/>
    <n v="23"/>
    <n v="0"/>
    <n v="0"/>
    <n v="28.57"/>
    <n v="0"/>
    <n v="0"/>
    <n v="31.93064187172984"/>
    <m/>
    <m/>
    <n v="-84052.94"/>
    <n v="0"/>
    <n v="0"/>
    <n v="-93939.948386629185"/>
    <n v="0"/>
    <n v="0"/>
  </r>
  <r>
    <s v="Sistema de Compensação"/>
    <x v="1"/>
    <x v="2"/>
    <x v="2"/>
    <x v="0"/>
    <x v="0"/>
    <x v="0"/>
    <x v="1"/>
    <x v="2"/>
    <n v="550"/>
    <n v="550"/>
    <n v="0"/>
    <n v="0"/>
    <n v="0"/>
    <n v="0"/>
    <n v="1"/>
    <x v="1"/>
    <n v="0"/>
    <n v="23"/>
    <n v="0"/>
    <n v="0"/>
    <n v="28.57"/>
    <n v="0"/>
    <n v="0"/>
    <n v="31.93064187172984"/>
    <m/>
    <m/>
    <n v="15713.5"/>
    <n v="0"/>
    <n v="0"/>
    <n v="17561.853029451413"/>
    <n v="0"/>
    <n v="0"/>
  </r>
  <r>
    <s v="Regular"/>
    <x v="1"/>
    <x v="2"/>
    <x v="2"/>
    <x v="0"/>
    <x v="0"/>
    <x v="0"/>
    <x v="1"/>
    <x v="3"/>
    <n v="104624"/>
    <n v="104624"/>
    <n v="0"/>
    <n v="0"/>
    <n v="0"/>
    <n v="0"/>
    <n v="670"/>
    <x v="1"/>
    <n v="0"/>
    <n v="23"/>
    <n v="0"/>
    <n v="0"/>
    <n v="28.57"/>
    <n v="0"/>
    <n v="0"/>
    <n v="31.93064187172984"/>
    <m/>
    <m/>
    <n v="2989107.68"/>
    <n v="0"/>
    <n v="0"/>
    <n v="3340711.4751878628"/>
    <n v="0"/>
    <n v="0"/>
  </r>
  <r>
    <s v="Refaturamento - Regular"/>
    <x v="1"/>
    <x v="2"/>
    <x v="2"/>
    <x v="0"/>
    <x v="0"/>
    <x v="0"/>
    <x v="1"/>
    <x v="3"/>
    <n v="-4047"/>
    <n v="-4047"/>
    <n v="0"/>
    <n v="0"/>
    <n v="0"/>
    <n v="0"/>
    <n v="0"/>
    <x v="1"/>
    <n v="0"/>
    <n v="23"/>
    <n v="0"/>
    <n v="0"/>
    <n v="28.57"/>
    <n v="0"/>
    <n v="0"/>
    <n v="31.93064187172984"/>
    <m/>
    <m/>
    <n v="-115622.79000000001"/>
    <n v="0"/>
    <n v="0"/>
    <n v="-129223.30765489067"/>
    <n v="0"/>
    <n v="0"/>
  </r>
  <r>
    <s v="Sistema Isolado - Regular"/>
    <x v="1"/>
    <x v="2"/>
    <x v="2"/>
    <x v="0"/>
    <x v="0"/>
    <x v="0"/>
    <x v="1"/>
    <x v="3"/>
    <n v="32156"/>
    <n v="32156"/>
    <n v="0"/>
    <n v="0"/>
    <n v="0"/>
    <n v="0"/>
    <n v="400"/>
    <x v="1"/>
    <n v="0"/>
    <n v="23"/>
    <n v="0"/>
    <n v="0"/>
    <n v="28.57"/>
    <n v="0"/>
    <n v="0"/>
    <n v="31.93064187172984"/>
    <m/>
    <m/>
    <n v="918696.92"/>
    <n v="0"/>
    <n v="0"/>
    <n v="1026761.7200273448"/>
    <n v="0"/>
    <n v="0"/>
  </r>
  <r>
    <s v="Sistema Isolado - Refaturamento"/>
    <x v="1"/>
    <x v="2"/>
    <x v="2"/>
    <x v="0"/>
    <x v="0"/>
    <x v="0"/>
    <x v="1"/>
    <x v="3"/>
    <n v="-1590"/>
    <n v="-1590"/>
    <n v="0"/>
    <n v="0"/>
    <n v="0"/>
    <n v="0"/>
    <n v="0"/>
    <x v="1"/>
    <n v="0"/>
    <n v="23"/>
    <n v="0"/>
    <n v="0"/>
    <n v="28.57"/>
    <n v="0"/>
    <n v="0"/>
    <n v="31.93064187172984"/>
    <m/>
    <m/>
    <n v="-45426.3"/>
    <n v="0"/>
    <n v="0"/>
    <n v="-50769.720576050444"/>
    <n v="0"/>
    <n v="0"/>
  </r>
  <r>
    <s v="Sistema de Compensação"/>
    <x v="1"/>
    <x v="2"/>
    <x v="2"/>
    <x v="0"/>
    <x v="0"/>
    <x v="0"/>
    <x v="1"/>
    <x v="3"/>
    <n v="550"/>
    <n v="550"/>
    <n v="0"/>
    <n v="0"/>
    <n v="0"/>
    <n v="0"/>
    <n v="1"/>
    <x v="1"/>
    <n v="0"/>
    <n v="23"/>
    <n v="0"/>
    <n v="0"/>
    <n v="28.57"/>
    <n v="0"/>
    <n v="0"/>
    <n v="31.93064187172984"/>
    <m/>
    <m/>
    <n v="15713.5"/>
    <n v="0"/>
    <n v="0"/>
    <n v="17561.853029451413"/>
    <n v="0"/>
    <n v="0"/>
  </r>
  <r>
    <s v="Regular"/>
    <x v="1"/>
    <x v="2"/>
    <x v="2"/>
    <x v="0"/>
    <x v="0"/>
    <x v="0"/>
    <x v="1"/>
    <x v="4"/>
    <n v="94984"/>
    <n v="94984"/>
    <n v="0"/>
    <n v="0"/>
    <n v="0"/>
    <n v="0"/>
    <n v="669"/>
    <x v="1"/>
    <n v="0"/>
    <n v="23"/>
    <n v="0"/>
    <n v="0"/>
    <n v="28.57"/>
    <n v="0"/>
    <n v="0"/>
    <n v="31.93064187172984"/>
    <m/>
    <m/>
    <n v="2713692.88"/>
    <n v="0"/>
    <n v="0"/>
    <n v="3032900.0875443872"/>
    <n v="0"/>
    <n v="0"/>
  </r>
  <r>
    <s v="Refaturamento - Regular"/>
    <x v="1"/>
    <x v="2"/>
    <x v="2"/>
    <x v="0"/>
    <x v="0"/>
    <x v="0"/>
    <x v="1"/>
    <x v="4"/>
    <n v="-739"/>
    <n v="-739"/>
    <n v="0"/>
    <n v="0"/>
    <n v="0"/>
    <n v="0"/>
    <n v="0"/>
    <x v="1"/>
    <n v="0"/>
    <n v="23"/>
    <n v="0"/>
    <n v="0"/>
    <n v="28.57"/>
    <n v="0"/>
    <n v="0"/>
    <n v="31.93064187172984"/>
    <m/>
    <m/>
    <n v="-21113.23"/>
    <n v="0"/>
    <n v="0"/>
    <n v="-23596.744343208353"/>
    <n v="0"/>
    <n v="0"/>
  </r>
  <r>
    <s v="Sistema Isolado - Regular"/>
    <x v="1"/>
    <x v="2"/>
    <x v="2"/>
    <x v="0"/>
    <x v="0"/>
    <x v="0"/>
    <x v="1"/>
    <x v="4"/>
    <n v="25874"/>
    <n v="25874"/>
    <n v="0"/>
    <n v="0"/>
    <n v="0"/>
    <n v="0"/>
    <n v="397"/>
    <x v="1"/>
    <n v="0"/>
    <n v="23"/>
    <n v="0"/>
    <n v="0"/>
    <n v="28.57"/>
    <n v="0"/>
    <n v="0"/>
    <n v="31.93064187172984"/>
    <m/>
    <m/>
    <n v="739220.18"/>
    <n v="0"/>
    <n v="0"/>
    <n v="826173.42778913793"/>
    <n v="0"/>
    <n v="0"/>
  </r>
  <r>
    <s v="Sistema Isolado - Refaturamento"/>
    <x v="1"/>
    <x v="2"/>
    <x v="2"/>
    <x v="0"/>
    <x v="0"/>
    <x v="0"/>
    <x v="1"/>
    <x v="4"/>
    <n v="-17097"/>
    <n v="-17097"/>
    <n v="0"/>
    <n v="0"/>
    <n v="0"/>
    <n v="0"/>
    <n v="0"/>
    <x v="1"/>
    <n v="0"/>
    <n v="23"/>
    <n v="0"/>
    <n v="0"/>
    <n v="28.57"/>
    <n v="0"/>
    <n v="0"/>
    <n v="31.93064187172984"/>
    <m/>
    <m/>
    <n v="-488461.29"/>
    <n v="0"/>
    <n v="0"/>
    <n v="-545918.18408096512"/>
    <n v="0"/>
    <n v="0"/>
  </r>
  <r>
    <s v="Sistema de Compensação"/>
    <x v="1"/>
    <x v="2"/>
    <x v="2"/>
    <x v="0"/>
    <x v="0"/>
    <x v="0"/>
    <x v="1"/>
    <x v="4"/>
    <n v="550"/>
    <n v="550"/>
    <n v="0"/>
    <n v="0"/>
    <n v="0"/>
    <n v="0"/>
    <n v="1"/>
    <x v="1"/>
    <n v="0"/>
    <n v="23"/>
    <n v="0"/>
    <n v="0"/>
    <n v="28.57"/>
    <n v="0"/>
    <n v="0"/>
    <n v="31.93064187172984"/>
    <m/>
    <m/>
    <n v="15713.5"/>
    <n v="0"/>
    <n v="0"/>
    <n v="17561.853029451413"/>
    <n v="0"/>
    <n v="0"/>
  </r>
  <r>
    <s v="Regular"/>
    <x v="1"/>
    <x v="2"/>
    <x v="2"/>
    <x v="0"/>
    <x v="0"/>
    <x v="0"/>
    <x v="1"/>
    <x v="5"/>
    <n v="94388"/>
    <n v="94388"/>
    <n v="0"/>
    <n v="0"/>
    <n v="0"/>
    <n v="0"/>
    <n v="668"/>
    <x v="1"/>
    <n v="0"/>
    <n v="23"/>
    <n v="0"/>
    <n v="0"/>
    <n v="28.57"/>
    <n v="0"/>
    <n v="0"/>
    <n v="31.93064187172984"/>
    <m/>
    <m/>
    <n v="2696665.16"/>
    <n v="0"/>
    <n v="0"/>
    <n v="3013869.4249888361"/>
    <n v="0"/>
    <n v="0"/>
  </r>
  <r>
    <s v="Refaturamento - Regular"/>
    <x v="1"/>
    <x v="2"/>
    <x v="2"/>
    <x v="0"/>
    <x v="0"/>
    <x v="0"/>
    <x v="1"/>
    <x v="5"/>
    <n v="-1547"/>
    <n v="-1547"/>
    <n v="0"/>
    <n v="0"/>
    <n v="0"/>
    <n v="0"/>
    <n v="0"/>
    <x v="1"/>
    <n v="0"/>
    <n v="23"/>
    <n v="0"/>
    <n v="0"/>
    <n v="28.57"/>
    <n v="0"/>
    <n v="0"/>
    <n v="31.93064187172984"/>
    <m/>
    <m/>
    <n v="-44197.79"/>
    <n v="0"/>
    <n v="0"/>
    <n v="-49396.702975566062"/>
    <n v="0"/>
    <n v="0"/>
  </r>
  <r>
    <s v="Sistema Isolado - Regular"/>
    <x v="1"/>
    <x v="2"/>
    <x v="2"/>
    <x v="0"/>
    <x v="0"/>
    <x v="0"/>
    <x v="1"/>
    <x v="5"/>
    <n v="25739"/>
    <n v="25739"/>
    <n v="0"/>
    <n v="0"/>
    <n v="0"/>
    <n v="0"/>
    <n v="397"/>
    <x v="1"/>
    <n v="0"/>
    <n v="23"/>
    <n v="0"/>
    <n v="0"/>
    <n v="28.57"/>
    <n v="0"/>
    <n v="0"/>
    <n v="31.93064187172984"/>
    <m/>
    <m/>
    <n v="735363.23"/>
    <n v="0"/>
    <n v="0"/>
    <n v="821862.79113645433"/>
    <n v="0"/>
    <n v="0"/>
  </r>
  <r>
    <s v="Sistema de Compensação"/>
    <x v="1"/>
    <x v="2"/>
    <x v="2"/>
    <x v="0"/>
    <x v="0"/>
    <x v="0"/>
    <x v="1"/>
    <x v="5"/>
    <n v="550"/>
    <n v="550"/>
    <n v="0"/>
    <n v="0"/>
    <n v="0"/>
    <n v="0"/>
    <n v="1"/>
    <x v="1"/>
    <n v="0"/>
    <n v="23"/>
    <n v="0"/>
    <n v="0"/>
    <n v="28.57"/>
    <n v="0"/>
    <n v="0"/>
    <n v="31.93064187172984"/>
    <m/>
    <m/>
    <n v="15713.5"/>
    <n v="0"/>
    <n v="0"/>
    <n v="17561.853029451413"/>
    <n v="0"/>
    <n v="0"/>
  </r>
  <r>
    <s v="Regular"/>
    <x v="1"/>
    <x v="2"/>
    <x v="2"/>
    <x v="0"/>
    <x v="0"/>
    <x v="0"/>
    <x v="1"/>
    <x v="6"/>
    <n v="100383"/>
    <n v="100383"/>
    <n v="0"/>
    <n v="0"/>
    <n v="0"/>
    <n v="0"/>
    <n v="668"/>
    <x v="1"/>
    <n v="0"/>
    <n v="23"/>
    <n v="0"/>
    <n v="0"/>
    <n v="28.57"/>
    <n v="0"/>
    <n v="0"/>
    <n v="31.93064187172984"/>
    <m/>
    <m/>
    <n v="2867942.31"/>
    <n v="0"/>
    <n v="0"/>
    <n v="3205293.6230098563"/>
    <n v="0"/>
    <n v="0"/>
  </r>
  <r>
    <s v="Refaturamento - Regular"/>
    <x v="1"/>
    <x v="2"/>
    <x v="2"/>
    <x v="0"/>
    <x v="0"/>
    <x v="0"/>
    <x v="1"/>
    <x v="6"/>
    <n v="873"/>
    <n v="873"/>
    <n v="0"/>
    <n v="0"/>
    <n v="0"/>
    <n v="0"/>
    <n v="0"/>
    <x v="1"/>
    <n v="0"/>
    <n v="23"/>
    <n v="0"/>
    <n v="0"/>
    <n v="28.57"/>
    <n v="0"/>
    <n v="0"/>
    <n v="31.93064187172984"/>
    <m/>
    <m/>
    <n v="24941.61"/>
    <n v="0"/>
    <n v="0"/>
    <n v="27875.450354020151"/>
    <n v="0"/>
    <n v="0"/>
  </r>
  <r>
    <s v="Sistema Isolado - Regular"/>
    <x v="1"/>
    <x v="2"/>
    <x v="2"/>
    <x v="0"/>
    <x v="0"/>
    <x v="0"/>
    <x v="1"/>
    <x v="6"/>
    <n v="27940"/>
    <n v="27940"/>
    <n v="0"/>
    <n v="0"/>
    <n v="0"/>
    <n v="0"/>
    <n v="402"/>
    <x v="1"/>
    <n v="0"/>
    <n v="23"/>
    <n v="0"/>
    <n v="0"/>
    <n v="28.57"/>
    <n v="0"/>
    <n v="0"/>
    <n v="31.93064187172984"/>
    <m/>
    <m/>
    <n v="798245.8"/>
    <n v="0"/>
    <n v="0"/>
    <n v="892142.13389613177"/>
    <n v="0"/>
    <n v="0"/>
  </r>
  <r>
    <s v="Sistema Isolado - Refaturamento"/>
    <x v="1"/>
    <x v="2"/>
    <x v="2"/>
    <x v="0"/>
    <x v="0"/>
    <x v="0"/>
    <x v="1"/>
    <x v="6"/>
    <n v="-991"/>
    <n v="-991"/>
    <n v="0"/>
    <n v="0"/>
    <n v="0"/>
    <n v="0"/>
    <n v="0"/>
    <x v="1"/>
    <n v="0"/>
    <n v="23"/>
    <n v="0"/>
    <n v="0"/>
    <n v="28.57"/>
    <n v="0"/>
    <n v="0"/>
    <n v="31.93064187172984"/>
    <m/>
    <m/>
    <n v="-28312.87"/>
    <n v="0"/>
    <n v="0"/>
    <n v="-31643.266094884271"/>
    <n v="0"/>
    <n v="0"/>
  </r>
  <r>
    <s v="Sistema de Compensação"/>
    <x v="1"/>
    <x v="2"/>
    <x v="2"/>
    <x v="0"/>
    <x v="0"/>
    <x v="0"/>
    <x v="1"/>
    <x v="6"/>
    <n v="690"/>
    <n v="690"/>
    <n v="0"/>
    <n v="0"/>
    <n v="0"/>
    <n v="0"/>
    <n v="2"/>
    <x v="1"/>
    <n v="0"/>
    <n v="23"/>
    <n v="0"/>
    <n v="0"/>
    <n v="28.57"/>
    <n v="0"/>
    <n v="0"/>
    <n v="31.93064187172984"/>
    <m/>
    <m/>
    <n v="19713.3"/>
    <n v="0"/>
    <n v="0"/>
    <n v="22032.14289149359"/>
    <n v="0"/>
    <n v="0"/>
  </r>
  <r>
    <s v="Regular"/>
    <x v="1"/>
    <x v="2"/>
    <x v="2"/>
    <x v="0"/>
    <x v="0"/>
    <x v="0"/>
    <x v="1"/>
    <x v="7"/>
    <n v="104845"/>
    <n v="104845"/>
    <n v="0"/>
    <n v="0"/>
    <n v="0"/>
    <n v="0"/>
    <n v="677"/>
    <x v="1"/>
    <n v="0"/>
    <n v="23"/>
    <n v="0"/>
    <n v="0"/>
    <n v="28.57"/>
    <n v="0"/>
    <n v="0"/>
    <n v="31.93064187172984"/>
    <m/>
    <m/>
    <n v="2995421.65"/>
    <n v="0"/>
    <n v="0"/>
    <n v="3347768.147041515"/>
    <n v="0"/>
    <n v="0"/>
  </r>
  <r>
    <s v="Refaturamento - Regular"/>
    <x v="1"/>
    <x v="2"/>
    <x v="2"/>
    <x v="0"/>
    <x v="0"/>
    <x v="0"/>
    <x v="1"/>
    <x v="7"/>
    <n v="-556"/>
    <n v="-556"/>
    <n v="0"/>
    <n v="0"/>
    <n v="0"/>
    <n v="0"/>
    <n v="0"/>
    <x v="1"/>
    <n v="0"/>
    <n v="23"/>
    <n v="0"/>
    <n v="0"/>
    <n v="28.57"/>
    <n v="0"/>
    <n v="0"/>
    <n v="31.93064187172984"/>
    <m/>
    <m/>
    <n v="-15884.92"/>
    <n v="0"/>
    <n v="0"/>
    <n v="-17753.436880681791"/>
    <n v="0"/>
    <n v="0"/>
  </r>
  <r>
    <s v="Sistema Isolado - Regular"/>
    <x v="1"/>
    <x v="2"/>
    <x v="2"/>
    <x v="0"/>
    <x v="0"/>
    <x v="0"/>
    <x v="1"/>
    <x v="7"/>
    <n v="28880"/>
    <n v="28880"/>
    <n v="0"/>
    <n v="0"/>
    <n v="0"/>
    <n v="0"/>
    <n v="403"/>
    <x v="1"/>
    <n v="0"/>
    <n v="23"/>
    <n v="0"/>
    <n v="0"/>
    <n v="28.57"/>
    <n v="0"/>
    <n v="0"/>
    <n v="31.93064187172984"/>
    <m/>
    <m/>
    <n v="825101.6"/>
    <n v="0"/>
    <n v="0"/>
    <n v="922156.93725555774"/>
    <n v="0"/>
    <n v="0"/>
  </r>
  <r>
    <s v="Sistema Isolado - Refaturamento"/>
    <x v="1"/>
    <x v="2"/>
    <x v="2"/>
    <x v="0"/>
    <x v="0"/>
    <x v="0"/>
    <x v="1"/>
    <x v="7"/>
    <n v="42"/>
    <n v="42"/>
    <n v="0"/>
    <n v="0"/>
    <n v="0"/>
    <n v="0"/>
    <n v="0"/>
    <x v="1"/>
    <n v="0"/>
    <n v="23"/>
    <n v="0"/>
    <n v="0"/>
    <n v="28.57"/>
    <n v="0"/>
    <n v="0"/>
    <n v="31.93064187172984"/>
    <m/>
    <m/>
    <n v="1199.94"/>
    <n v="0"/>
    <n v="0"/>
    <n v="1341.0869586126532"/>
    <n v="0"/>
    <n v="0"/>
  </r>
  <r>
    <s v="Sistema de Compensação"/>
    <x v="1"/>
    <x v="2"/>
    <x v="2"/>
    <x v="0"/>
    <x v="0"/>
    <x v="0"/>
    <x v="1"/>
    <x v="7"/>
    <n v="690"/>
    <n v="690"/>
    <n v="0"/>
    <n v="0"/>
    <n v="0"/>
    <n v="0"/>
    <n v="2"/>
    <x v="1"/>
    <n v="0"/>
    <n v="23"/>
    <n v="0"/>
    <n v="0"/>
    <n v="28.57"/>
    <n v="0"/>
    <n v="0"/>
    <n v="31.93064187172984"/>
    <m/>
    <m/>
    <n v="19713.3"/>
    <n v="0"/>
    <n v="0"/>
    <n v="22032.14289149359"/>
    <n v="0"/>
    <n v="0"/>
  </r>
  <r>
    <s v="Regular"/>
    <x v="1"/>
    <x v="2"/>
    <x v="2"/>
    <x v="0"/>
    <x v="0"/>
    <x v="0"/>
    <x v="1"/>
    <x v="8"/>
    <n v="105502"/>
    <n v="105502"/>
    <n v="0"/>
    <n v="0"/>
    <n v="0"/>
    <n v="0"/>
    <n v="677"/>
    <x v="1"/>
    <n v="0"/>
    <n v="23"/>
    <n v="0"/>
    <n v="0"/>
    <n v="28.57"/>
    <n v="0"/>
    <n v="0"/>
    <n v="31.93064187172984"/>
    <m/>
    <m/>
    <n v="3014192.14"/>
    <n v="0"/>
    <n v="0"/>
    <n v="3368746.5787512418"/>
    <n v="0"/>
    <n v="0"/>
  </r>
  <r>
    <s v="Refaturamento - Regular"/>
    <x v="1"/>
    <x v="2"/>
    <x v="2"/>
    <x v="0"/>
    <x v="0"/>
    <x v="0"/>
    <x v="1"/>
    <x v="8"/>
    <n v="-121"/>
    <n v="-121"/>
    <n v="0"/>
    <n v="0"/>
    <n v="0"/>
    <n v="0"/>
    <n v="0"/>
    <x v="1"/>
    <n v="0"/>
    <n v="23"/>
    <n v="0"/>
    <n v="0"/>
    <n v="28.57"/>
    <n v="0"/>
    <n v="0"/>
    <n v="31.93064187172984"/>
    <m/>
    <m/>
    <n v="-3456.9700000000003"/>
    <n v="0"/>
    <n v="0"/>
    <n v="-3863.6076664793104"/>
    <n v="0"/>
    <n v="0"/>
  </r>
  <r>
    <s v="Sistema Isolado - Regular"/>
    <x v="1"/>
    <x v="2"/>
    <x v="2"/>
    <x v="0"/>
    <x v="0"/>
    <x v="0"/>
    <x v="1"/>
    <x v="8"/>
    <n v="29225"/>
    <n v="29225"/>
    <n v="0"/>
    <n v="0"/>
    <n v="0"/>
    <n v="0"/>
    <n v="403"/>
    <x v="1"/>
    <n v="0"/>
    <n v="23"/>
    <n v="0"/>
    <n v="0"/>
    <n v="28.57"/>
    <n v="0"/>
    <n v="0"/>
    <n v="31.93064187172984"/>
    <m/>
    <m/>
    <n v="834958.25"/>
    <n v="0"/>
    <n v="0"/>
    <n v="933173.00870130456"/>
    <n v="0"/>
    <n v="0"/>
  </r>
  <r>
    <s v="Sistema de Compensação"/>
    <x v="1"/>
    <x v="2"/>
    <x v="2"/>
    <x v="0"/>
    <x v="0"/>
    <x v="0"/>
    <x v="1"/>
    <x v="8"/>
    <n v="690"/>
    <n v="690"/>
    <n v="0"/>
    <n v="0"/>
    <n v="0"/>
    <n v="0"/>
    <n v="2"/>
    <x v="1"/>
    <n v="0"/>
    <n v="23"/>
    <n v="0"/>
    <n v="0"/>
    <n v="28.57"/>
    <n v="0"/>
    <n v="0"/>
    <n v="31.93064187172984"/>
    <m/>
    <m/>
    <n v="19713.3"/>
    <n v="0"/>
    <n v="0"/>
    <n v="22032.14289149359"/>
    <n v="0"/>
    <n v="0"/>
  </r>
  <r>
    <s v="Regular"/>
    <x v="1"/>
    <x v="2"/>
    <x v="2"/>
    <x v="0"/>
    <x v="0"/>
    <x v="0"/>
    <x v="1"/>
    <x v="9"/>
    <n v="100019"/>
    <n v="100019"/>
    <n v="0"/>
    <n v="0"/>
    <n v="0"/>
    <n v="0"/>
    <n v="629"/>
    <x v="1"/>
    <n v="0"/>
    <n v="23"/>
    <n v="0"/>
    <n v="0"/>
    <n v="28.57"/>
    <n v="0"/>
    <n v="0"/>
    <n v="31.93064187172984"/>
    <m/>
    <m/>
    <n v="2857542.83"/>
    <n v="0"/>
    <n v="0"/>
    <n v="3193670.8693685466"/>
    <n v="0"/>
    <n v="0"/>
  </r>
  <r>
    <s v="Refaturamento - Regular"/>
    <x v="1"/>
    <x v="2"/>
    <x v="2"/>
    <x v="0"/>
    <x v="0"/>
    <x v="0"/>
    <x v="1"/>
    <x v="9"/>
    <n v="-45976"/>
    <n v="-45976"/>
    <n v="0"/>
    <n v="0"/>
    <n v="0"/>
    <n v="0"/>
    <n v="0"/>
    <x v="1"/>
    <n v="0"/>
    <n v="23"/>
    <n v="0"/>
    <n v="0"/>
    <n v="28.57"/>
    <n v="0"/>
    <n v="0"/>
    <n v="31.93064187172984"/>
    <m/>
    <m/>
    <n v="-1313534.32"/>
    <n v="0"/>
    <n v="0"/>
    <n v="-1468043.1906946511"/>
    <n v="0"/>
    <n v="0"/>
  </r>
  <r>
    <s v="Sistema Isolado - Regular"/>
    <x v="1"/>
    <x v="2"/>
    <x v="2"/>
    <x v="0"/>
    <x v="0"/>
    <x v="0"/>
    <x v="1"/>
    <x v="9"/>
    <n v="25152"/>
    <n v="25152"/>
    <n v="0"/>
    <n v="0"/>
    <n v="0"/>
    <n v="0"/>
    <n v="304"/>
    <x v="1"/>
    <n v="0"/>
    <n v="23"/>
    <n v="0"/>
    <n v="0"/>
    <n v="28.57"/>
    <n v="0"/>
    <n v="0"/>
    <n v="31.93064187172984"/>
    <m/>
    <m/>
    <n v="718592.64"/>
    <n v="0"/>
    <n v="0"/>
    <n v="803119.5043577489"/>
    <n v="0"/>
    <n v="0"/>
  </r>
  <r>
    <s v="Sistema Isolado - Refaturamento"/>
    <x v="1"/>
    <x v="2"/>
    <x v="2"/>
    <x v="0"/>
    <x v="0"/>
    <x v="0"/>
    <x v="1"/>
    <x v="9"/>
    <n v="-232"/>
    <n v="-232"/>
    <n v="0"/>
    <n v="0"/>
    <n v="0"/>
    <n v="0"/>
    <n v="0"/>
    <x v="1"/>
    <n v="0"/>
    <n v="23"/>
    <n v="0"/>
    <n v="0"/>
    <n v="28.57"/>
    <n v="0"/>
    <n v="0"/>
    <n v="31.93064187172984"/>
    <m/>
    <m/>
    <n v="-6628.24"/>
    <n v="0"/>
    <n v="0"/>
    <n v="-7407.9089142413231"/>
    <n v="0"/>
    <n v="0"/>
  </r>
  <r>
    <s v="Sistema de Compensação"/>
    <x v="1"/>
    <x v="2"/>
    <x v="2"/>
    <x v="0"/>
    <x v="0"/>
    <x v="0"/>
    <x v="1"/>
    <x v="9"/>
    <n v="140"/>
    <n v="140"/>
    <n v="0"/>
    <n v="0"/>
    <n v="0"/>
    <n v="0"/>
    <n v="1"/>
    <x v="1"/>
    <n v="0"/>
    <n v="23"/>
    <n v="0"/>
    <n v="0"/>
    <n v="28.57"/>
    <n v="0"/>
    <n v="0"/>
    <n v="31.93064187172984"/>
    <m/>
    <m/>
    <n v="3999.8"/>
    <n v="0"/>
    <n v="0"/>
    <n v="4470.2898620421774"/>
    <n v="0"/>
    <n v="0"/>
  </r>
  <r>
    <s v="Regular"/>
    <x v="1"/>
    <x v="2"/>
    <x v="2"/>
    <x v="0"/>
    <x v="0"/>
    <x v="0"/>
    <x v="1"/>
    <x v="10"/>
    <n v="100447"/>
    <n v="100447"/>
    <n v="0"/>
    <n v="0"/>
    <n v="0"/>
    <n v="0"/>
    <n v="630"/>
    <x v="1"/>
    <n v="0"/>
    <n v="23"/>
    <n v="0"/>
    <n v="0"/>
    <n v="28.57"/>
    <n v="0"/>
    <n v="0"/>
    <n v="31.93064187172984"/>
    <m/>
    <m/>
    <n v="2869770.79"/>
    <n v="0"/>
    <n v="0"/>
    <n v="3207337.1840896471"/>
    <n v="0"/>
    <n v="0"/>
  </r>
  <r>
    <s v="Sistema Isolado - Regular"/>
    <x v="1"/>
    <x v="2"/>
    <x v="2"/>
    <x v="0"/>
    <x v="0"/>
    <x v="0"/>
    <x v="1"/>
    <x v="10"/>
    <n v="25603"/>
    <n v="25603"/>
    <n v="0"/>
    <n v="0"/>
    <n v="0"/>
    <n v="0"/>
    <n v="306"/>
    <x v="1"/>
    <n v="0"/>
    <n v="23"/>
    <n v="0"/>
    <n v="0"/>
    <n v="28.57"/>
    <n v="0"/>
    <n v="0"/>
    <n v="31.93064187172984"/>
    <m/>
    <m/>
    <n v="731477.71"/>
    <n v="0"/>
    <n v="0"/>
    <n v="817520.22384189907"/>
    <n v="0"/>
    <n v="0"/>
  </r>
  <r>
    <s v="Sistema de Compensação"/>
    <x v="1"/>
    <x v="2"/>
    <x v="2"/>
    <x v="0"/>
    <x v="0"/>
    <x v="0"/>
    <x v="1"/>
    <x v="10"/>
    <n v="125"/>
    <n v="125"/>
    <n v="0"/>
    <n v="0"/>
    <n v="0"/>
    <n v="0"/>
    <n v="1"/>
    <x v="1"/>
    <n v="0"/>
    <n v="23"/>
    <n v="0"/>
    <n v="0"/>
    <n v="28.57"/>
    <n v="0"/>
    <n v="0"/>
    <n v="31.93064187172984"/>
    <m/>
    <m/>
    <n v="3571.25"/>
    <n v="0"/>
    <n v="0"/>
    <n v="3991.33023396623"/>
    <n v="0"/>
    <n v="0"/>
  </r>
  <r>
    <s v="PROJETADO"/>
    <x v="1"/>
    <x v="2"/>
    <x v="2"/>
    <x v="0"/>
    <x v="0"/>
    <x v="0"/>
    <x v="1"/>
    <x v="11"/>
    <n v="100447"/>
    <n v="100447"/>
    <n v="0"/>
    <n v="0"/>
    <n v="0"/>
    <n v="0"/>
    <n v="630"/>
    <x v="1"/>
    <n v="0"/>
    <n v="23"/>
    <n v="0"/>
    <n v="0"/>
    <n v="28.57"/>
    <n v="0"/>
    <n v="0"/>
    <n v="31.93064187172984"/>
    <m/>
    <m/>
    <n v="2869770.79"/>
    <n v="0"/>
    <n v="0"/>
    <n v="3207337.1840896471"/>
    <n v="0"/>
    <n v="0"/>
  </r>
  <r>
    <s v="PROJETADO"/>
    <x v="1"/>
    <x v="2"/>
    <x v="2"/>
    <x v="0"/>
    <x v="0"/>
    <x v="0"/>
    <x v="1"/>
    <x v="11"/>
    <n v="25603"/>
    <n v="25603"/>
    <n v="0"/>
    <n v="0"/>
    <n v="0"/>
    <n v="0"/>
    <n v="306"/>
    <x v="1"/>
    <n v="0"/>
    <n v="23"/>
    <n v="0"/>
    <n v="0"/>
    <n v="28.57"/>
    <n v="0"/>
    <n v="0"/>
    <n v="31.93064187172984"/>
    <m/>
    <m/>
    <n v="731477.71"/>
    <n v="0"/>
    <n v="0"/>
    <n v="817520.22384189907"/>
    <n v="0"/>
    <n v="0"/>
  </r>
  <r>
    <s v="PROJETADO"/>
    <x v="1"/>
    <x v="2"/>
    <x v="2"/>
    <x v="0"/>
    <x v="0"/>
    <x v="0"/>
    <x v="1"/>
    <x v="11"/>
    <n v="125"/>
    <n v="125"/>
    <n v="0"/>
    <n v="0"/>
    <n v="0"/>
    <n v="0"/>
    <n v="1"/>
    <x v="1"/>
    <n v="0"/>
    <n v="23"/>
    <n v="0"/>
    <n v="0"/>
    <n v="28.57"/>
    <n v="0"/>
    <n v="0"/>
    <n v="31.93064187172984"/>
    <m/>
    <m/>
    <n v="3571.25"/>
    <n v="0"/>
    <n v="0"/>
    <n v="3991.33023396623"/>
    <n v="0"/>
    <n v="0"/>
  </r>
  <r>
    <s v="Regular"/>
    <x v="1"/>
    <x v="2"/>
    <x v="2"/>
    <x v="0"/>
    <x v="0"/>
    <x v="0"/>
    <x v="2"/>
    <x v="0"/>
    <n v="0"/>
    <n v="0"/>
    <n v="911.37599999999998"/>
    <n v="911.37599999999998"/>
    <n v="911.37599999999998"/>
    <n v="911.37599999999998"/>
    <n v="0"/>
    <x v="1"/>
    <n v="0"/>
    <n v="0"/>
    <n v="24"/>
    <n v="66"/>
    <n v="0"/>
    <n v="1434.79"/>
    <n v="389.28"/>
    <m/>
    <n v="1501.8340703569011"/>
    <n v="454.3285679284046"/>
    <n v="0"/>
    <n v="1307633.1710399999"/>
    <n v="354780.44927999994"/>
    <n v="0"/>
    <n v="1368735.5277055909"/>
    <n v="414064.15292431763"/>
  </r>
  <r>
    <s v="Refaturamento - Regular"/>
    <x v="1"/>
    <x v="2"/>
    <x v="2"/>
    <x v="0"/>
    <x v="0"/>
    <x v="0"/>
    <x v="2"/>
    <x v="0"/>
    <n v="0"/>
    <n v="0"/>
    <n v="7.2590000000000003"/>
    <n v="7.2590000000000003"/>
    <n v="7.2590000000000003"/>
    <n v="7.2590000000000003"/>
    <n v="0"/>
    <x v="1"/>
    <n v="0"/>
    <n v="0"/>
    <n v="24"/>
    <n v="66"/>
    <n v="0"/>
    <n v="1434.79"/>
    <n v="389.28"/>
    <m/>
    <n v="1501.8340703569011"/>
    <n v="454.3285679284046"/>
    <n v="0"/>
    <n v="10415.14061"/>
    <n v="2825.78352"/>
    <n v="0"/>
    <n v="10901.813516720746"/>
    <n v="3297.9710745922889"/>
  </r>
  <r>
    <s v="Sistema Isolado - Regular"/>
    <x v="1"/>
    <x v="2"/>
    <x v="2"/>
    <x v="0"/>
    <x v="0"/>
    <x v="0"/>
    <x v="2"/>
    <x v="0"/>
    <n v="0"/>
    <n v="0"/>
    <n v="249.249"/>
    <n v="249.249"/>
    <n v="249.249"/>
    <n v="249.249"/>
    <n v="0"/>
    <x v="1"/>
    <n v="0"/>
    <n v="0"/>
    <n v="24"/>
    <n v="66"/>
    <n v="0"/>
    <n v="1434.79"/>
    <n v="389.28"/>
    <m/>
    <n v="1501.8340703569011"/>
    <n v="454.3285679284046"/>
    <n v="0"/>
    <n v="357619.97271"/>
    <n v="97027.650719999991"/>
    <n v="0"/>
    <n v="374330.64020238724"/>
    <n v="113240.94122758691"/>
  </r>
  <r>
    <s v="Sistema de Compensação"/>
    <x v="1"/>
    <x v="2"/>
    <x v="2"/>
    <x v="0"/>
    <x v="0"/>
    <x v="0"/>
    <x v="2"/>
    <x v="0"/>
    <n v="0"/>
    <n v="0"/>
    <n v="3.2130000000000001"/>
    <n v="3.2130000000000001"/>
    <n v="3.2130000000000001"/>
    <n v="3.2130000000000001"/>
    <n v="0"/>
    <x v="1"/>
    <n v="0"/>
    <n v="0"/>
    <n v="24"/>
    <n v="66"/>
    <n v="0"/>
    <n v="1434.79"/>
    <n v="389.28"/>
    <m/>
    <n v="1501.8340703569011"/>
    <n v="454.3285679284046"/>
    <n v="0"/>
    <n v="4609.98027"/>
    <n v="1250.7566399999998"/>
    <n v="0"/>
    <n v="4825.3928680567233"/>
    <n v="1459.757688753964"/>
  </r>
  <r>
    <s v="Regular"/>
    <x v="1"/>
    <x v="2"/>
    <x v="2"/>
    <x v="0"/>
    <x v="0"/>
    <x v="0"/>
    <x v="2"/>
    <x v="1"/>
    <n v="0"/>
    <n v="0"/>
    <n v="936.32"/>
    <n v="936.32"/>
    <n v="936.32"/>
    <n v="936.32"/>
    <n v="0"/>
    <x v="1"/>
    <n v="0"/>
    <n v="0"/>
    <n v="24"/>
    <n v="66"/>
    <n v="0"/>
    <n v="1434.79"/>
    <n v="389.28"/>
    <m/>
    <n v="1501.8340703569011"/>
    <n v="454.3285679284046"/>
    <n v="0"/>
    <n v="1343422.5728"/>
    <n v="364490.6496"/>
    <n v="0"/>
    <n v="1406197.2767565737"/>
    <n v="425396.92472272384"/>
  </r>
  <r>
    <s v="Refaturamento - Regular"/>
    <x v="1"/>
    <x v="2"/>
    <x v="2"/>
    <x v="0"/>
    <x v="0"/>
    <x v="0"/>
    <x v="2"/>
    <x v="1"/>
    <n v="0"/>
    <n v="0"/>
    <n v="0.47199999999999998"/>
    <n v="0.47199999999999998"/>
    <n v="0.47199999999999998"/>
    <n v="0.47199999999999998"/>
    <n v="0"/>
    <x v="1"/>
    <n v="0"/>
    <n v="0"/>
    <n v="24"/>
    <n v="66"/>
    <n v="0"/>
    <n v="1434.79"/>
    <n v="389.28"/>
    <m/>
    <n v="1501.8340703569011"/>
    <n v="454.3285679284046"/>
    <n v="0"/>
    <n v="677.22087999999997"/>
    <n v="183.74015999999997"/>
    <n v="0"/>
    <n v="708.86568120845732"/>
    <n v="214.44308406220696"/>
  </r>
  <r>
    <s v="Sistema Isolado - Regular"/>
    <x v="1"/>
    <x v="2"/>
    <x v="2"/>
    <x v="0"/>
    <x v="0"/>
    <x v="0"/>
    <x v="2"/>
    <x v="1"/>
    <n v="0"/>
    <n v="0"/>
    <n v="337.07499999999999"/>
    <n v="337.07499999999999"/>
    <n v="337.07499999999999"/>
    <n v="337.07499999999999"/>
    <n v="0"/>
    <x v="1"/>
    <n v="0"/>
    <n v="0"/>
    <n v="24"/>
    <n v="66"/>
    <n v="0"/>
    <n v="1434.79"/>
    <n v="389.28"/>
    <m/>
    <n v="1501.8340703569011"/>
    <n v="454.3285679284046"/>
    <n v="0"/>
    <n v="483631.83924999996"/>
    <n v="131216.55599999998"/>
    <n v="0"/>
    <n v="506230.71926555241"/>
    <n v="153142.80203446696"/>
  </r>
  <r>
    <s v="Sistema Isolado - Refaturamento"/>
    <x v="1"/>
    <x v="2"/>
    <x v="2"/>
    <x v="0"/>
    <x v="0"/>
    <x v="0"/>
    <x v="2"/>
    <x v="1"/>
    <n v="0"/>
    <n v="0"/>
    <n v="2.8719999999999999"/>
    <n v="2.8719999999999999"/>
    <n v="2.8719999999999999"/>
    <n v="2.8719999999999999"/>
    <n v="0"/>
    <x v="1"/>
    <n v="0"/>
    <n v="0"/>
    <n v="24"/>
    <n v="66"/>
    <n v="0"/>
    <n v="1434.79"/>
    <n v="389.28"/>
    <m/>
    <n v="1501.8340703569011"/>
    <n v="454.3285679284046"/>
    <n v="0"/>
    <n v="4120.7168799999999"/>
    <n v="1118.0121599999998"/>
    <n v="0"/>
    <n v="4313.2674500650201"/>
    <n v="1304.8316470903781"/>
  </r>
  <r>
    <s v="Sistema de Compensação"/>
    <x v="1"/>
    <x v="2"/>
    <x v="2"/>
    <x v="0"/>
    <x v="0"/>
    <x v="0"/>
    <x v="2"/>
    <x v="1"/>
    <n v="0"/>
    <n v="0"/>
    <n v="3.58"/>
    <n v="3.58"/>
    <n v="3.58"/>
    <n v="3.58"/>
    <n v="0"/>
    <x v="1"/>
    <n v="0"/>
    <n v="0"/>
    <n v="24"/>
    <n v="66"/>
    <n v="0"/>
    <n v="1434.79"/>
    <n v="389.28"/>
    <m/>
    <n v="1501.8340703569011"/>
    <n v="454.3285679284046"/>
    <n v="0"/>
    <n v="5136.5482000000002"/>
    <n v="1393.6224"/>
    <n v="0"/>
    <n v="5376.565971877706"/>
    <n v="1626.4962731836886"/>
  </r>
  <r>
    <s v="Regular"/>
    <x v="1"/>
    <x v="2"/>
    <x v="2"/>
    <x v="0"/>
    <x v="0"/>
    <x v="0"/>
    <x v="2"/>
    <x v="2"/>
    <n v="0"/>
    <n v="0"/>
    <n v="742.05799999999999"/>
    <n v="742.05799999999999"/>
    <n v="742.05799999999999"/>
    <n v="742.05799999999999"/>
    <n v="0"/>
    <x v="1"/>
    <n v="0"/>
    <n v="0"/>
    <n v="24"/>
    <n v="66"/>
    <n v="0"/>
    <n v="1434.79"/>
    <n v="389.28"/>
    <m/>
    <n v="1501.8340703569011"/>
    <n v="454.3285679284046"/>
    <n v="0"/>
    <n v="1064697.3978200001"/>
    <n v="288868.33823999995"/>
    <n v="0"/>
    <n v="1114447.9865809013"/>
    <n v="337138.14845981606"/>
  </r>
  <r>
    <s v="Sistema Isolado - Regular"/>
    <x v="1"/>
    <x v="2"/>
    <x v="2"/>
    <x v="0"/>
    <x v="0"/>
    <x v="0"/>
    <x v="2"/>
    <x v="2"/>
    <n v="0"/>
    <n v="0"/>
    <n v="220.649"/>
    <n v="220.649"/>
    <n v="220.649"/>
    <n v="220.649"/>
    <n v="0"/>
    <x v="1"/>
    <n v="0"/>
    <n v="0"/>
    <n v="24"/>
    <n v="66"/>
    <n v="0"/>
    <n v="1434.79"/>
    <n v="389.28"/>
    <m/>
    <n v="1501.8340703569011"/>
    <n v="454.3285679284046"/>
    <n v="0"/>
    <n v="316584.97871"/>
    <n v="85894.242719999995"/>
    <n v="0"/>
    <n v="331378.18579017988"/>
    <n v="100247.14418483454"/>
  </r>
  <r>
    <s v="Sistema Isolado - Refaturamento"/>
    <x v="1"/>
    <x v="2"/>
    <x v="2"/>
    <x v="0"/>
    <x v="0"/>
    <x v="0"/>
    <x v="2"/>
    <x v="2"/>
    <n v="0"/>
    <n v="0"/>
    <n v="-2.8719999999999999"/>
    <n v="-2.8719999999999999"/>
    <n v="-2.8719999999999999"/>
    <n v="-2.8719999999999999"/>
    <n v="0"/>
    <x v="1"/>
    <n v="0"/>
    <n v="0"/>
    <n v="24"/>
    <n v="66"/>
    <n v="0"/>
    <n v="1434.79"/>
    <n v="389.28"/>
    <m/>
    <n v="1501.8340703569011"/>
    <n v="454.3285679284046"/>
    <n v="0"/>
    <n v="-4120.7168799999999"/>
    <n v="-1118.0121599999998"/>
    <n v="0"/>
    <n v="-4313.2674500650201"/>
    <n v="-1304.8316470903781"/>
  </r>
  <r>
    <s v="Sistema de Compensação"/>
    <x v="1"/>
    <x v="2"/>
    <x v="2"/>
    <x v="0"/>
    <x v="0"/>
    <x v="0"/>
    <x v="2"/>
    <x v="2"/>
    <n v="0"/>
    <n v="0"/>
    <n v="2.8660000000000001"/>
    <n v="2.8660000000000001"/>
    <n v="2.8660000000000001"/>
    <n v="2.8660000000000001"/>
    <n v="0"/>
    <x v="1"/>
    <n v="0"/>
    <n v="0"/>
    <n v="24"/>
    <n v="66"/>
    <n v="0"/>
    <n v="1434.79"/>
    <n v="389.28"/>
    <m/>
    <n v="1501.8340703569011"/>
    <n v="454.3285679284046"/>
    <n v="0"/>
    <n v="4112.1081400000003"/>
    <n v="1115.6764799999999"/>
    <n v="0"/>
    <n v="4304.256445642879"/>
    <n v="1302.1056756828077"/>
  </r>
  <r>
    <s v="Regular"/>
    <x v="1"/>
    <x v="2"/>
    <x v="2"/>
    <x v="0"/>
    <x v="0"/>
    <x v="0"/>
    <x v="2"/>
    <x v="3"/>
    <n v="0"/>
    <n v="0"/>
    <n v="735.00199999999995"/>
    <n v="735.00199999999995"/>
    <n v="735.00199999999995"/>
    <n v="735.00199999999995"/>
    <n v="0"/>
    <x v="1"/>
    <n v="0"/>
    <n v="0"/>
    <n v="24"/>
    <n v="66"/>
    <n v="0"/>
    <n v="1434.79"/>
    <n v="389.28"/>
    <m/>
    <n v="1501.8340703569011"/>
    <n v="454.3285679284046"/>
    <n v="0"/>
    <n v="1054573.5195799998"/>
    <n v="286121.57855999994"/>
    <n v="0"/>
    <n v="1103851.0453804629"/>
    <n v="333932.40608451323"/>
  </r>
  <r>
    <s v="Sistema Isolado - Regular"/>
    <x v="1"/>
    <x v="2"/>
    <x v="2"/>
    <x v="0"/>
    <x v="0"/>
    <x v="0"/>
    <x v="2"/>
    <x v="3"/>
    <n v="0"/>
    <n v="0"/>
    <n v="198.77500000000001"/>
    <n v="198.77500000000001"/>
    <n v="198.77500000000001"/>
    <n v="198.77500000000001"/>
    <n v="0"/>
    <x v="1"/>
    <n v="0"/>
    <n v="0"/>
    <n v="24"/>
    <n v="66"/>
    <n v="0"/>
    <n v="1434.79"/>
    <n v="389.28"/>
    <m/>
    <n v="1501.8340703569011"/>
    <n v="454.3285679284046"/>
    <n v="0"/>
    <n v="285200.38225000002"/>
    <n v="77379.131999999998"/>
    <n v="0"/>
    <n v="298527.06733519305"/>
    <n v="90309.16108996862"/>
  </r>
  <r>
    <s v="Sistema de Compensação"/>
    <x v="1"/>
    <x v="2"/>
    <x v="2"/>
    <x v="0"/>
    <x v="0"/>
    <x v="0"/>
    <x v="2"/>
    <x v="3"/>
    <n v="0"/>
    <n v="0"/>
    <n v="2.7509999999999999"/>
    <n v="2.7509999999999999"/>
    <n v="2.7509999999999999"/>
    <n v="2.7509999999999999"/>
    <n v="0"/>
    <x v="1"/>
    <n v="0"/>
    <n v="0"/>
    <n v="24"/>
    <n v="66"/>
    <n v="0"/>
    <n v="1434.79"/>
    <n v="389.28"/>
    <m/>
    <n v="1501.8340703569011"/>
    <n v="454.3285679284046"/>
    <n v="0"/>
    <n v="3947.1072899999999"/>
    <n v="1070.9092799999999"/>
    <n v="0"/>
    <n v="4131.5455275518343"/>
    <n v="1249.8578903710411"/>
  </r>
  <r>
    <s v="Regular"/>
    <x v="1"/>
    <x v="2"/>
    <x v="2"/>
    <x v="0"/>
    <x v="0"/>
    <x v="0"/>
    <x v="2"/>
    <x v="4"/>
    <n v="0"/>
    <n v="0"/>
    <n v="848.99099999999999"/>
    <n v="848.99099999999999"/>
    <n v="848.99099999999999"/>
    <n v="848.99099999999999"/>
    <n v="0"/>
    <x v="1"/>
    <n v="0"/>
    <n v="0"/>
    <n v="24"/>
    <n v="66"/>
    <n v="0"/>
    <n v="1434.79"/>
    <n v="389.28"/>
    <m/>
    <n v="1501.8340703569011"/>
    <n v="454.3285679284046"/>
    <n v="0"/>
    <n v="1218123.7968899999"/>
    <n v="330495.21647999994"/>
    <n v="0"/>
    <n v="1275043.6092263758"/>
    <n v="385720.86521410412"/>
  </r>
  <r>
    <s v="Refaturamento - Regular"/>
    <x v="1"/>
    <x v="2"/>
    <x v="2"/>
    <x v="0"/>
    <x v="0"/>
    <x v="0"/>
    <x v="2"/>
    <x v="4"/>
    <n v="0"/>
    <n v="0"/>
    <n v="-0.106"/>
    <n v="-0.106"/>
    <n v="-0.106"/>
    <n v="-0.106"/>
    <n v="0"/>
    <x v="1"/>
    <n v="0"/>
    <n v="0"/>
    <n v="24"/>
    <n v="66"/>
    <n v="0"/>
    <n v="1434.79"/>
    <n v="389.28"/>
    <m/>
    <n v="1501.8340703569011"/>
    <n v="454.3285679284046"/>
    <n v="0"/>
    <n v="-152.08774"/>
    <n v="-41.263679999999994"/>
    <n v="0"/>
    <n v="-159.19441145783151"/>
    <n v="-48.158828200410888"/>
  </r>
  <r>
    <s v="Sistema Isolado - Regular"/>
    <x v="1"/>
    <x v="2"/>
    <x v="2"/>
    <x v="0"/>
    <x v="0"/>
    <x v="0"/>
    <x v="2"/>
    <x v="4"/>
    <n v="0"/>
    <n v="0"/>
    <n v="213.41499999999999"/>
    <n v="213.41499999999999"/>
    <n v="213.41499999999999"/>
    <n v="213.41499999999999"/>
    <n v="0"/>
    <x v="1"/>
    <n v="0"/>
    <n v="0"/>
    <n v="24"/>
    <n v="66"/>
    <n v="0"/>
    <n v="1434.79"/>
    <n v="389.28"/>
    <m/>
    <n v="1501.8340703569011"/>
    <n v="454.3285679284046"/>
    <n v="0"/>
    <n v="306205.70785000001"/>
    <n v="83078.191199999987"/>
    <n v="0"/>
    <n v="320513.91812521801"/>
    <n v="96960.531324440468"/>
  </r>
  <r>
    <s v="Sistema Isolado - Refaturamento"/>
    <x v="1"/>
    <x v="2"/>
    <x v="2"/>
    <x v="0"/>
    <x v="0"/>
    <x v="0"/>
    <x v="2"/>
    <x v="4"/>
    <n v="0"/>
    <n v="0"/>
    <n v="-0.73899999999999999"/>
    <n v="-0.73899999999999999"/>
    <n v="-0.73899999999999999"/>
    <n v="-0.73899999999999999"/>
    <n v="0"/>
    <x v="1"/>
    <n v="0"/>
    <n v="0"/>
    <n v="24"/>
    <n v="66"/>
    <n v="0"/>
    <n v="1434.79"/>
    <n v="389.28"/>
    <m/>
    <n v="1501.8340703569011"/>
    <n v="454.3285679284046"/>
    <n v="0"/>
    <n v="-1060.30981"/>
    <n v="-287.67791999999997"/>
    <n v="0"/>
    <n v="-1109.8553779937499"/>
    <n v="-335.74881169909099"/>
  </r>
  <r>
    <s v="Sistema de Compensação"/>
    <x v="1"/>
    <x v="2"/>
    <x v="2"/>
    <x v="0"/>
    <x v="0"/>
    <x v="0"/>
    <x v="2"/>
    <x v="4"/>
    <n v="0"/>
    <n v="0"/>
    <n v="3.0550000000000002"/>
    <n v="3.0550000000000002"/>
    <n v="3.0550000000000002"/>
    <n v="3.0550000000000002"/>
    <n v="0"/>
    <x v="1"/>
    <n v="0"/>
    <n v="0"/>
    <n v="24"/>
    <n v="66"/>
    <n v="0"/>
    <n v="1434.79"/>
    <n v="389.28"/>
    <m/>
    <n v="1501.8340703569011"/>
    <n v="454.3285679284046"/>
    <n v="0"/>
    <n v="4383.2834499999999"/>
    <n v="1189.2503999999999"/>
    <n v="0"/>
    <n v="4588.1030849403332"/>
    <n v="1387.9737750212762"/>
  </r>
  <r>
    <s v="Regular"/>
    <x v="1"/>
    <x v="2"/>
    <x v="2"/>
    <x v="0"/>
    <x v="0"/>
    <x v="0"/>
    <x v="2"/>
    <x v="5"/>
    <n v="0"/>
    <n v="0"/>
    <n v="787.827"/>
    <n v="787.827"/>
    <n v="787.827"/>
    <n v="787.827"/>
    <n v="0"/>
    <x v="1"/>
    <n v="0"/>
    <n v="0"/>
    <n v="24"/>
    <n v="66"/>
    <n v="0"/>
    <n v="1434.79"/>
    <n v="389.28"/>
    <m/>
    <n v="1501.8340703569011"/>
    <n v="454.3285679284046"/>
    <n v="0"/>
    <n v="1130366.3013299999"/>
    <n v="306685.29455999995"/>
    <n v="0"/>
    <n v="1183185.4301470662"/>
    <n v="357932.31268533121"/>
  </r>
  <r>
    <s v="Refaturamento - Regular"/>
    <x v="1"/>
    <x v="2"/>
    <x v="2"/>
    <x v="0"/>
    <x v="0"/>
    <x v="0"/>
    <x v="2"/>
    <x v="5"/>
    <n v="0"/>
    <n v="0"/>
    <n v="-0.113"/>
    <n v="-0.113"/>
    <n v="-0.113"/>
    <n v="-0.113"/>
    <n v="0"/>
    <x v="1"/>
    <n v="0"/>
    <n v="0"/>
    <n v="24"/>
    <n v="66"/>
    <n v="0"/>
    <n v="1434.79"/>
    <n v="389.28"/>
    <m/>
    <n v="1501.8340703569011"/>
    <n v="454.3285679284046"/>
    <n v="0"/>
    <n v="-162.13127"/>
    <n v="-43.988639999999997"/>
    <n v="0"/>
    <n v="-169.70724995032984"/>
    <n v="-51.339128175909721"/>
  </r>
  <r>
    <s v="Sistema Isolado - Regular"/>
    <x v="1"/>
    <x v="2"/>
    <x v="2"/>
    <x v="0"/>
    <x v="0"/>
    <x v="0"/>
    <x v="2"/>
    <x v="5"/>
    <n v="0"/>
    <n v="0"/>
    <n v="208.245"/>
    <n v="208.245"/>
    <n v="208.245"/>
    <n v="208.245"/>
    <n v="0"/>
    <x v="1"/>
    <n v="0"/>
    <n v="0"/>
    <n v="24"/>
    <n v="66"/>
    <n v="0"/>
    <n v="1434.79"/>
    <n v="389.28"/>
    <m/>
    <n v="1501.8340703569011"/>
    <n v="454.3285679284046"/>
    <n v="0"/>
    <n v="298787.84354999999"/>
    <n v="81065.613599999997"/>
    <n v="0"/>
    <n v="312749.4359814729"/>
    <n v="94611.652628250624"/>
  </r>
  <r>
    <s v="Sistema Isolado - Refaturamento"/>
    <x v="1"/>
    <x v="2"/>
    <x v="2"/>
    <x v="0"/>
    <x v="0"/>
    <x v="0"/>
    <x v="2"/>
    <x v="5"/>
    <n v="0"/>
    <n v="0"/>
    <n v="-0.64"/>
    <n v="-0.64"/>
    <n v="-0.64"/>
    <n v="-0.64"/>
    <n v="0"/>
    <x v="1"/>
    <n v="0"/>
    <n v="0"/>
    <n v="24"/>
    <n v="66"/>
    <n v="0"/>
    <n v="1434.79"/>
    <n v="389.28"/>
    <m/>
    <n v="1501.8340703569011"/>
    <n v="454.3285679284046"/>
    <n v="0"/>
    <n v="-918.26559999999995"/>
    <n v="-249.13919999999999"/>
    <n v="0"/>
    <n v="-961.17380502841672"/>
    <n v="-290.77028347417894"/>
  </r>
  <r>
    <s v="Sistema de Compensação"/>
    <x v="1"/>
    <x v="2"/>
    <x v="2"/>
    <x v="0"/>
    <x v="0"/>
    <x v="0"/>
    <x v="2"/>
    <x v="5"/>
    <n v="0"/>
    <n v="0"/>
    <n v="3.3809999999999998"/>
    <n v="3.3809999999999998"/>
    <n v="3.3809999999999998"/>
    <n v="3.3809999999999998"/>
    <n v="0"/>
    <x v="1"/>
    <n v="0"/>
    <n v="0"/>
    <n v="24"/>
    <n v="66"/>
    <n v="0"/>
    <n v="1434.79"/>
    <n v="389.28"/>
    <m/>
    <n v="1501.8340703569011"/>
    <n v="454.3285679284046"/>
    <n v="0"/>
    <n v="4851.0249899999999"/>
    <n v="1316.1556799999998"/>
    <n v="0"/>
    <n v="5077.7009918766826"/>
    <n v="1536.0848881659358"/>
  </r>
  <r>
    <s v="Regular"/>
    <x v="1"/>
    <x v="2"/>
    <x v="2"/>
    <x v="0"/>
    <x v="0"/>
    <x v="0"/>
    <x v="2"/>
    <x v="6"/>
    <n v="0"/>
    <n v="0"/>
    <n v="844.34100000000001"/>
    <n v="844.34100000000001"/>
    <n v="844.34100000000001"/>
    <n v="844.34100000000001"/>
    <n v="0"/>
    <x v="1"/>
    <n v="0"/>
    <n v="0"/>
    <n v="24"/>
    <n v="66"/>
    <n v="0"/>
    <n v="1434.79"/>
    <n v="389.28"/>
    <m/>
    <n v="1501.8340703569011"/>
    <n v="454.3285679284046"/>
    <n v="0"/>
    <n v="1211452.02339"/>
    <n v="328685.06448"/>
    <n v="0"/>
    <n v="1268060.0807992162"/>
    <n v="383608.23737323709"/>
  </r>
  <r>
    <s v="Refaturamento - Regular"/>
    <x v="1"/>
    <x v="2"/>
    <x v="2"/>
    <x v="0"/>
    <x v="0"/>
    <x v="0"/>
    <x v="2"/>
    <x v="6"/>
    <n v="0"/>
    <n v="0"/>
    <n v="14.282"/>
    <n v="14.282"/>
    <n v="14.282"/>
    <n v="14.282"/>
    <n v="0"/>
    <x v="1"/>
    <n v="0"/>
    <n v="0"/>
    <n v="24"/>
    <n v="66"/>
    <n v="0"/>
    <n v="1434.79"/>
    <n v="389.28"/>
    <m/>
    <n v="1501.8340703569011"/>
    <n v="454.3285679284046"/>
    <n v="0"/>
    <n v="20491.67078"/>
    <n v="5559.6969599999993"/>
    <n v="0"/>
    <n v="21449.194192837262"/>
    <n v="6488.7206071534747"/>
  </r>
  <r>
    <s v="Sistema Isolado - Regular"/>
    <x v="1"/>
    <x v="2"/>
    <x v="2"/>
    <x v="0"/>
    <x v="0"/>
    <x v="0"/>
    <x v="2"/>
    <x v="6"/>
    <n v="0"/>
    <n v="0"/>
    <n v="254.05699999999999"/>
    <n v="254.05699999999999"/>
    <n v="254.05699999999999"/>
    <n v="254.05699999999999"/>
    <n v="0"/>
    <x v="1"/>
    <n v="0"/>
    <n v="0"/>
    <n v="24"/>
    <n v="66"/>
    <n v="0"/>
    <n v="1434.79"/>
    <n v="389.28"/>
    <m/>
    <n v="1501.8340703569011"/>
    <n v="454.3285679284046"/>
    <n v="0"/>
    <n v="364518.44302999997"/>
    <n v="98899.308959999995"/>
    <n v="0"/>
    <n v="381551.4584126632"/>
    <n v="115425.35298218668"/>
  </r>
  <r>
    <s v="Sistema Isolado - Refaturamento"/>
    <x v="1"/>
    <x v="2"/>
    <x v="2"/>
    <x v="0"/>
    <x v="0"/>
    <x v="0"/>
    <x v="2"/>
    <x v="6"/>
    <n v="0"/>
    <n v="0"/>
    <n v="-3.988"/>
    <n v="-3.988"/>
    <n v="-3.988"/>
    <n v="-3.988"/>
    <n v="0"/>
    <x v="1"/>
    <n v="0"/>
    <n v="0"/>
    <n v="24"/>
    <n v="66"/>
    <n v="0"/>
    <n v="1434.79"/>
    <n v="389.28"/>
    <m/>
    <n v="1501.8340703569011"/>
    <n v="454.3285679284046"/>
    <n v="0"/>
    <n v="-5721.9425199999996"/>
    <n v="-1552.4486399999998"/>
    <n v="0"/>
    <n v="-5989.3142725833213"/>
    <n v="-1811.8623288984775"/>
  </r>
  <r>
    <s v="Sistema de Compensação"/>
    <x v="1"/>
    <x v="2"/>
    <x v="2"/>
    <x v="0"/>
    <x v="0"/>
    <x v="0"/>
    <x v="2"/>
    <x v="6"/>
    <n v="0"/>
    <n v="0"/>
    <n v="4.1360000000000001"/>
    <n v="4.1360000000000001"/>
    <n v="4.1360000000000001"/>
    <n v="4.1360000000000001"/>
    <n v="0"/>
    <x v="1"/>
    <n v="0"/>
    <n v="0"/>
    <n v="24"/>
    <n v="66"/>
    <n v="0"/>
    <n v="1434.79"/>
    <n v="389.28"/>
    <m/>
    <n v="1501.8340703569011"/>
    <n v="454.3285679284046"/>
    <n v="0"/>
    <n v="5934.29144"/>
    <n v="1610.0620799999999"/>
    <n v="0"/>
    <n v="6211.585714996143"/>
    <n v="1879.1029569518814"/>
  </r>
  <r>
    <s v="Regular"/>
    <x v="1"/>
    <x v="2"/>
    <x v="2"/>
    <x v="0"/>
    <x v="0"/>
    <x v="0"/>
    <x v="2"/>
    <x v="7"/>
    <n v="0"/>
    <n v="0"/>
    <n v="957.69600000000003"/>
    <n v="957.69600000000003"/>
    <n v="957.69600000000003"/>
    <n v="957.69600000000003"/>
    <n v="0"/>
    <x v="1"/>
    <n v="0"/>
    <n v="0"/>
    <n v="24"/>
    <n v="66"/>
    <n v="0"/>
    <n v="1434.79"/>
    <n v="389.28"/>
    <m/>
    <n v="1501.8340703569011"/>
    <n v="454.3285679284046"/>
    <n v="0"/>
    <n v="1374092.64384"/>
    <n v="372811.89887999999"/>
    <n v="0"/>
    <n v="1438300.4818445228"/>
    <n v="435108.65219076141"/>
  </r>
  <r>
    <s v="Refaturamento - Regular"/>
    <x v="1"/>
    <x v="2"/>
    <x v="2"/>
    <x v="0"/>
    <x v="0"/>
    <x v="0"/>
    <x v="2"/>
    <x v="7"/>
    <n v="0"/>
    <n v="0"/>
    <n v="-8.4000000000000005E-2"/>
    <n v="-8.4000000000000005E-2"/>
    <n v="-8.4000000000000005E-2"/>
    <n v="-8.4000000000000005E-2"/>
    <n v="0"/>
    <x v="1"/>
    <n v="0"/>
    <n v="0"/>
    <n v="24"/>
    <n v="66"/>
    <n v="0"/>
    <n v="1434.79"/>
    <n v="389.28"/>
    <m/>
    <n v="1501.8340703569011"/>
    <n v="454.3285679284046"/>
    <n v="0"/>
    <n v="-120.52236000000001"/>
    <n v="-32.69952"/>
    <n v="0"/>
    <n v="-126.1540619099797"/>
    <n v="-38.163599705985987"/>
  </r>
  <r>
    <s v="Sistema Isolado - Regular"/>
    <x v="1"/>
    <x v="2"/>
    <x v="2"/>
    <x v="0"/>
    <x v="0"/>
    <x v="0"/>
    <x v="2"/>
    <x v="7"/>
    <n v="0"/>
    <n v="0"/>
    <n v="302.089"/>
    <n v="302.089"/>
    <n v="302.089"/>
    <n v="302.089"/>
    <n v="0"/>
    <x v="1"/>
    <n v="0"/>
    <n v="0"/>
    <n v="24"/>
    <n v="66"/>
    <n v="0"/>
    <n v="1434.79"/>
    <n v="389.28"/>
    <m/>
    <n v="1501.8340703569011"/>
    <n v="454.3285679284046"/>
    <n v="0"/>
    <n v="433434.27630999999"/>
    <n v="117597.20591999999"/>
    <n v="0"/>
    <n v="453687.55248004588"/>
    <n v="137247.66275692382"/>
  </r>
  <r>
    <s v="Sistema Isolado - Refaturamento"/>
    <x v="1"/>
    <x v="2"/>
    <x v="2"/>
    <x v="0"/>
    <x v="0"/>
    <x v="0"/>
    <x v="2"/>
    <x v="7"/>
    <n v="0"/>
    <n v="0"/>
    <n v="0.378"/>
    <n v="0.378"/>
    <n v="0.378"/>
    <n v="0.378"/>
    <n v="0"/>
    <x v="1"/>
    <n v="0"/>
    <n v="0"/>
    <n v="24"/>
    <n v="66"/>
    <n v="0"/>
    <n v="1434.79"/>
    <n v="389.28"/>
    <m/>
    <n v="1501.8340703569011"/>
    <n v="454.3285679284046"/>
    <n v="0"/>
    <n v="542.35061999999994"/>
    <n v="147.14784"/>
    <n v="0"/>
    <n v="567.69327859490863"/>
    <n v="171.73619867693694"/>
  </r>
  <r>
    <s v="Sistema de Compensação"/>
    <x v="1"/>
    <x v="2"/>
    <x v="2"/>
    <x v="0"/>
    <x v="0"/>
    <x v="0"/>
    <x v="2"/>
    <x v="7"/>
    <n v="0"/>
    <n v="0"/>
    <n v="4.0369999999999999"/>
    <n v="4.0369999999999999"/>
    <n v="4.0369999999999999"/>
    <n v="4.0369999999999999"/>
    <n v="0"/>
    <x v="1"/>
    <n v="0"/>
    <n v="0"/>
    <n v="24"/>
    <n v="66"/>
    <n v="0"/>
    <n v="1434.79"/>
    <n v="389.28"/>
    <m/>
    <n v="1501.8340703569011"/>
    <n v="454.3285679284046"/>
    <n v="0"/>
    <n v="5792.2472299999999"/>
    <n v="1571.5233599999999"/>
    <n v="0"/>
    <n v="6062.9041420308095"/>
    <n v="1834.1244287269694"/>
  </r>
  <r>
    <s v="Regular"/>
    <x v="1"/>
    <x v="2"/>
    <x v="2"/>
    <x v="0"/>
    <x v="0"/>
    <x v="0"/>
    <x v="2"/>
    <x v="8"/>
    <n v="0"/>
    <n v="0"/>
    <n v="1032.9469999999999"/>
    <n v="1032.9469999999999"/>
    <n v="1032.9469999999999"/>
    <n v="1032.9469999999999"/>
    <n v="0"/>
    <x v="1"/>
    <n v="0"/>
    <n v="0"/>
    <n v="24"/>
    <n v="66"/>
    <n v="0"/>
    <n v="1434.79"/>
    <n v="389.28"/>
    <m/>
    <n v="1501.8340703569011"/>
    <n v="454.3285679284046"/>
    <n v="0"/>
    <n v="1482062.0261299999"/>
    <n v="402105.60815999995"/>
    <n v="0"/>
    <n v="1551314.9974729498"/>
    <n v="469297.33125594171"/>
  </r>
  <r>
    <s v="Sistema Isolado - Regular"/>
    <x v="1"/>
    <x v="2"/>
    <x v="2"/>
    <x v="0"/>
    <x v="0"/>
    <x v="0"/>
    <x v="2"/>
    <x v="8"/>
    <n v="0"/>
    <n v="0"/>
    <n v="320.89999999999998"/>
    <n v="320.89999999999998"/>
    <n v="320.89999999999998"/>
    <n v="320.89999999999998"/>
    <n v="0"/>
    <x v="1"/>
    <n v="0"/>
    <n v="0"/>
    <n v="24"/>
    <n v="66"/>
    <n v="0"/>
    <n v="1434.79"/>
    <n v="389.28"/>
    <m/>
    <n v="1501.8340703569011"/>
    <n v="454.3285679284046"/>
    <n v="0"/>
    <n v="460424.11099999998"/>
    <n v="124919.95199999998"/>
    <n v="0"/>
    <n v="481938.55317752954"/>
    <n v="145794.03744822502"/>
  </r>
  <r>
    <s v="Sistema de Compensação"/>
    <x v="1"/>
    <x v="2"/>
    <x v="2"/>
    <x v="0"/>
    <x v="0"/>
    <x v="0"/>
    <x v="2"/>
    <x v="8"/>
    <n v="0"/>
    <n v="0"/>
    <n v="4.2830000000000004"/>
    <n v="4.2830000000000004"/>
    <n v="4.2830000000000004"/>
    <n v="4.2830000000000004"/>
    <n v="0"/>
    <x v="1"/>
    <n v="0"/>
    <n v="0"/>
    <n v="24"/>
    <n v="66"/>
    <n v="0"/>
    <n v="1434.79"/>
    <n v="389.28"/>
    <m/>
    <n v="1501.8340703569011"/>
    <n v="454.3285679284046"/>
    <n v="0"/>
    <n v="6145.2055700000001"/>
    <n v="1667.2862400000001"/>
    <n v="0"/>
    <n v="6432.3553233386074"/>
    <n v="1945.8892564373571"/>
  </r>
  <r>
    <s v="Regular"/>
    <x v="1"/>
    <x v="2"/>
    <x v="2"/>
    <x v="0"/>
    <x v="0"/>
    <x v="0"/>
    <x v="2"/>
    <x v="9"/>
    <n v="0"/>
    <n v="0"/>
    <n v="979.41399999999999"/>
    <n v="979.41399999999999"/>
    <n v="979.41399999999999"/>
    <n v="979.41399999999999"/>
    <n v="0"/>
    <x v="1"/>
    <n v="0"/>
    <n v="0"/>
    <n v="24"/>
    <n v="66"/>
    <n v="0"/>
    <n v="1434.79"/>
    <n v="389.28"/>
    <m/>
    <n v="1501.8340703569011"/>
    <n v="454.3285679284046"/>
    <n v="0"/>
    <n v="1405253.4130599999"/>
    <n v="381266.28191999998"/>
    <n v="0"/>
    <n v="1470917.3141845339"/>
    <n v="444975.76002903044"/>
  </r>
  <r>
    <s v="Refaturamento - Regular"/>
    <x v="1"/>
    <x v="2"/>
    <x v="2"/>
    <x v="0"/>
    <x v="0"/>
    <x v="0"/>
    <x v="2"/>
    <x v="9"/>
    <n v="0"/>
    <n v="0"/>
    <n v="-2143.2049999999999"/>
    <n v="-2143.2049999999999"/>
    <n v="-2143.2049999999999"/>
    <n v="-2143.2049999999999"/>
    <n v="0"/>
    <x v="1"/>
    <n v="0"/>
    <n v="0"/>
    <n v="24"/>
    <n v="66"/>
    <n v="0"/>
    <n v="1434.79"/>
    <n v="389.28"/>
    <m/>
    <n v="1501.8340703569011"/>
    <n v="454.3285679284046"/>
    <n v="0"/>
    <n v="-3075049.10195"/>
    <n v="-834306.84239999996"/>
    <n v="0"/>
    <n v="-3218738.2887592618"/>
    <n v="-973719.2584269963"/>
  </r>
  <r>
    <s v="Sistema Isolado - Regular"/>
    <x v="1"/>
    <x v="2"/>
    <x v="2"/>
    <x v="0"/>
    <x v="0"/>
    <x v="0"/>
    <x v="2"/>
    <x v="9"/>
    <n v="0"/>
    <n v="0"/>
    <n v="297.65699999999998"/>
    <n v="297.65699999999998"/>
    <n v="297.65699999999998"/>
    <n v="297.65699999999998"/>
    <n v="0"/>
    <x v="1"/>
    <n v="0"/>
    <n v="0"/>
    <n v="24"/>
    <n v="66"/>
    <n v="0"/>
    <n v="1434.79"/>
    <n v="389.28"/>
    <m/>
    <n v="1501.8340703569011"/>
    <n v="454.3285679284046"/>
    <n v="0"/>
    <n v="427075.28702999995"/>
    <n v="115871.91695999999"/>
    <n v="0"/>
    <n v="447031.42388022406"/>
    <n v="135234.07854386512"/>
  </r>
  <r>
    <s v="Sistema de Compensação"/>
    <x v="1"/>
    <x v="2"/>
    <x v="2"/>
    <x v="0"/>
    <x v="0"/>
    <x v="0"/>
    <x v="2"/>
    <x v="9"/>
    <n v="0"/>
    <n v="0"/>
    <n v="0.72"/>
    <n v="0.72"/>
    <n v="0.72"/>
    <n v="0.72"/>
    <n v="0"/>
    <x v="1"/>
    <n v="0"/>
    <n v="0"/>
    <n v="24"/>
    <n v="66"/>
    <n v="0"/>
    <n v="1434.79"/>
    <n v="389.28"/>
    <m/>
    <n v="1501.8340703569011"/>
    <n v="454.3285679284046"/>
    <n v="0"/>
    <n v="1033.0488"/>
    <n v="280.28159999999997"/>
    <n v="0"/>
    <n v="1081.3205306569687"/>
    <n v="327.11656890845131"/>
  </r>
  <r>
    <s v="Regular"/>
    <x v="1"/>
    <x v="2"/>
    <x v="2"/>
    <x v="0"/>
    <x v="0"/>
    <x v="0"/>
    <x v="2"/>
    <x v="10"/>
    <n v="0"/>
    <n v="0"/>
    <n v="932.279"/>
    <n v="932.279"/>
    <n v="932.279"/>
    <n v="932.279"/>
    <n v="0"/>
    <x v="1"/>
    <n v="0"/>
    <n v="0"/>
    <n v="24"/>
    <n v="66"/>
    <n v="0"/>
    <n v="1434.79"/>
    <n v="389.28"/>
    <m/>
    <n v="1501.8340703569011"/>
    <n v="454.3285679284046"/>
    <n v="0"/>
    <n v="1337624.58641"/>
    <n v="362917.56912"/>
    <n v="0"/>
    <n v="1400128.3652782612"/>
    <n v="423560.98297972512"/>
  </r>
  <r>
    <s v="Refaturamento - Regular"/>
    <x v="1"/>
    <x v="2"/>
    <x v="2"/>
    <x v="0"/>
    <x v="0"/>
    <x v="0"/>
    <x v="2"/>
    <x v="10"/>
    <n v="0"/>
    <n v="0"/>
    <n v="-0.73799999999999999"/>
    <n v="-0.73799999999999999"/>
    <n v="-0.73799999999999999"/>
    <n v="-0.73799999999999999"/>
    <n v="0"/>
    <x v="1"/>
    <n v="0"/>
    <n v="0"/>
    <n v="24"/>
    <n v="66"/>
    <n v="0"/>
    <n v="1434.79"/>
    <n v="389.28"/>
    <m/>
    <n v="1501.8340703569011"/>
    <n v="454.3285679284046"/>
    <n v="0"/>
    <n v="-1058.8750199999999"/>
    <n v="-287.28863999999999"/>
    <n v="0"/>
    <n v="-1108.3535439233929"/>
    <n v="-335.29448313116256"/>
  </r>
  <r>
    <s v="Sistema Isolado - Regular"/>
    <x v="1"/>
    <x v="2"/>
    <x v="2"/>
    <x v="0"/>
    <x v="0"/>
    <x v="0"/>
    <x v="2"/>
    <x v="10"/>
    <n v="0"/>
    <n v="0"/>
    <n v="309.04500000000002"/>
    <n v="309.04500000000002"/>
    <n v="309.04500000000002"/>
    <n v="309.04500000000002"/>
    <n v="0"/>
    <x v="1"/>
    <n v="0"/>
    <n v="0"/>
    <n v="24"/>
    <n v="66"/>
    <n v="0"/>
    <n v="1434.79"/>
    <n v="389.28"/>
    <m/>
    <n v="1501.8340703569011"/>
    <n v="454.3285679284046"/>
    <n v="0"/>
    <n v="443414.67554999999"/>
    <n v="120305.0376"/>
    <n v="0"/>
    <n v="464134.31027344853"/>
    <n v="140407.9722754338"/>
  </r>
  <r>
    <s v="Sistema de Compensação"/>
    <x v="1"/>
    <x v="2"/>
    <x v="2"/>
    <x v="0"/>
    <x v="0"/>
    <x v="0"/>
    <x v="2"/>
    <x v="10"/>
    <n v="0"/>
    <n v="0"/>
    <n v="0.67200000000000004"/>
    <n v="0.67200000000000004"/>
    <n v="0.67200000000000004"/>
    <n v="0.67200000000000004"/>
    <n v="0"/>
    <x v="1"/>
    <n v="0"/>
    <n v="0"/>
    <n v="24"/>
    <n v="66"/>
    <n v="0"/>
    <n v="1434.79"/>
    <n v="389.28"/>
    <m/>
    <n v="1501.8340703569011"/>
    <n v="454.3285679284046"/>
    <n v="0"/>
    <n v="964.17888000000005"/>
    <n v="261.59616"/>
    <n v="0"/>
    <n v="1009.2324952798376"/>
    <n v="305.3087976478879"/>
  </r>
  <r>
    <s v="PROJETADO"/>
    <x v="1"/>
    <x v="2"/>
    <x v="2"/>
    <x v="0"/>
    <x v="0"/>
    <x v="0"/>
    <x v="2"/>
    <x v="11"/>
    <n v="0"/>
    <n v="0"/>
    <n v="932.279"/>
    <n v="932.279"/>
    <n v="932.279"/>
    <n v="932.279"/>
    <n v="0"/>
    <x v="1"/>
    <n v="0"/>
    <n v="0"/>
    <n v="24"/>
    <n v="66"/>
    <n v="0"/>
    <n v="1434.79"/>
    <n v="389.28"/>
    <m/>
    <n v="1501.8340703569011"/>
    <n v="454.3285679284046"/>
    <n v="0"/>
    <n v="1337624.58641"/>
    <n v="362917.56912"/>
    <n v="0"/>
    <n v="1400128.3652782612"/>
    <n v="423560.98297972512"/>
  </r>
  <r>
    <s v="PROJETADO"/>
    <x v="1"/>
    <x v="2"/>
    <x v="2"/>
    <x v="0"/>
    <x v="0"/>
    <x v="0"/>
    <x v="2"/>
    <x v="11"/>
    <n v="0"/>
    <n v="0"/>
    <n v="-0.73799999999999999"/>
    <n v="-0.73799999999999999"/>
    <n v="-0.73799999999999999"/>
    <n v="-0.73799999999999999"/>
    <n v="0"/>
    <x v="1"/>
    <n v="0"/>
    <n v="0"/>
    <n v="24"/>
    <n v="66"/>
    <n v="0"/>
    <n v="1434.79"/>
    <n v="389.28"/>
    <m/>
    <n v="1501.8340703569011"/>
    <n v="454.3285679284046"/>
    <n v="0"/>
    <n v="-1058.8750199999999"/>
    <n v="-287.28863999999999"/>
    <n v="0"/>
    <n v="-1108.3535439233929"/>
    <n v="-335.29448313116256"/>
  </r>
  <r>
    <s v="PROJETADO"/>
    <x v="1"/>
    <x v="2"/>
    <x v="2"/>
    <x v="0"/>
    <x v="0"/>
    <x v="0"/>
    <x v="2"/>
    <x v="11"/>
    <n v="0"/>
    <n v="0"/>
    <n v="309.04500000000002"/>
    <n v="309.04500000000002"/>
    <n v="309.04500000000002"/>
    <n v="309.04500000000002"/>
    <n v="0"/>
    <x v="1"/>
    <n v="0"/>
    <n v="0"/>
    <n v="24"/>
    <n v="66"/>
    <n v="0"/>
    <n v="1434.79"/>
    <n v="389.28"/>
    <m/>
    <n v="1501.8340703569011"/>
    <n v="454.3285679284046"/>
    <n v="0"/>
    <n v="443414.67554999999"/>
    <n v="120305.0376"/>
    <n v="0"/>
    <n v="464134.31027344853"/>
    <n v="140407.9722754338"/>
  </r>
  <r>
    <s v="PROJETADO"/>
    <x v="1"/>
    <x v="2"/>
    <x v="2"/>
    <x v="0"/>
    <x v="0"/>
    <x v="0"/>
    <x v="2"/>
    <x v="11"/>
    <n v="0"/>
    <n v="0"/>
    <n v="0.67200000000000004"/>
    <n v="0.67200000000000004"/>
    <n v="0.67200000000000004"/>
    <n v="0.67200000000000004"/>
    <n v="0"/>
    <x v="1"/>
    <n v="0"/>
    <n v="0"/>
    <n v="24"/>
    <n v="66"/>
    <n v="0"/>
    <n v="1434.79"/>
    <n v="389.28"/>
    <m/>
    <n v="1501.8340703569011"/>
    <n v="454.3285679284046"/>
    <n v="0"/>
    <n v="964.17888000000005"/>
    <n v="261.59616"/>
    <n v="0"/>
    <n v="1009.2324952798376"/>
    <n v="305.3087976478879"/>
  </r>
  <r>
    <s v="Regular"/>
    <x v="1"/>
    <x v="2"/>
    <x v="7"/>
    <x v="2"/>
    <x v="0"/>
    <x v="0"/>
    <x v="0"/>
    <x v="0"/>
    <n v="0"/>
    <n v="0"/>
    <n v="412.899"/>
    <n v="412.899"/>
    <n v="412.899"/>
    <n v="412.899"/>
    <n v="0"/>
    <x v="1"/>
    <n v="0"/>
    <n v="0"/>
    <n v="19"/>
    <n v="67"/>
    <n v="0"/>
    <n v="149.63"/>
    <n v="230.03"/>
    <m/>
    <n v="54.203801879475932"/>
    <n v="282.91739971702214"/>
    <n v="0"/>
    <n v="61782.077369999999"/>
    <n v="94979.156969999996"/>
    <n v="0"/>
    <n v="22380.695592233733"/>
    <n v="116816.31142575873"/>
  </r>
  <r>
    <s v="Regular"/>
    <x v="1"/>
    <x v="2"/>
    <x v="7"/>
    <x v="2"/>
    <x v="0"/>
    <x v="0"/>
    <x v="0"/>
    <x v="1"/>
    <n v="0"/>
    <n v="0"/>
    <n v="414.23399999999998"/>
    <n v="414.23399999999998"/>
    <n v="414.23399999999998"/>
    <n v="414.23399999999998"/>
    <n v="0"/>
    <x v="1"/>
    <n v="0"/>
    <n v="0"/>
    <n v="19"/>
    <n v="67"/>
    <n v="0"/>
    <n v="149.63"/>
    <n v="230.03"/>
    <m/>
    <n v="54.203801879475932"/>
    <n v="282.91739971702214"/>
    <n v="0"/>
    <n v="61981.833419999995"/>
    <n v="95286.247019999995"/>
    <n v="0"/>
    <n v="22453.057667742833"/>
    <n v="117194.00615438094"/>
  </r>
  <r>
    <s v="Regular"/>
    <x v="1"/>
    <x v="2"/>
    <x v="7"/>
    <x v="2"/>
    <x v="0"/>
    <x v="0"/>
    <x v="0"/>
    <x v="2"/>
    <n v="0"/>
    <n v="0"/>
    <n v="357.72500000000002"/>
    <n v="357.72500000000002"/>
    <n v="357.72500000000002"/>
    <n v="357.72500000000002"/>
    <n v="0"/>
    <x v="1"/>
    <n v="0"/>
    <n v="0"/>
    <n v="19"/>
    <n v="67"/>
    <n v="0"/>
    <n v="149.63"/>
    <n v="230.03"/>
    <m/>
    <n v="54.203801879475932"/>
    <n v="282.91739971702214"/>
    <n v="0"/>
    <n v="53526.391750000003"/>
    <n v="82287.481750000006"/>
    <n v="0"/>
    <n v="19390.055027335529"/>
    <n v="101206.62681377176"/>
  </r>
  <r>
    <s v="Regular"/>
    <x v="1"/>
    <x v="2"/>
    <x v="7"/>
    <x v="2"/>
    <x v="0"/>
    <x v="0"/>
    <x v="0"/>
    <x v="3"/>
    <n v="0"/>
    <n v="0"/>
    <n v="327.81700000000001"/>
    <n v="327.81700000000001"/>
    <n v="327.81700000000001"/>
    <n v="327.81700000000001"/>
    <n v="0"/>
    <x v="1"/>
    <n v="0"/>
    <n v="0"/>
    <n v="19"/>
    <n v="67"/>
    <n v="0"/>
    <n v="149.63"/>
    <n v="230.03"/>
    <m/>
    <n v="54.203801879475932"/>
    <n v="282.91739971702214"/>
    <n v="0"/>
    <n v="49051.257709999998"/>
    <n v="75407.744510000004"/>
    <n v="0"/>
    <n v="17768.927720724161"/>
    <n v="92745.133223035053"/>
  </r>
  <r>
    <s v="Regular"/>
    <x v="1"/>
    <x v="2"/>
    <x v="7"/>
    <x v="2"/>
    <x v="0"/>
    <x v="0"/>
    <x v="0"/>
    <x v="4"/>
    <n v="0"/>
    <n v="0"/>
    <n v="402.77100000000002"/>
    <n v="402.77100000000002"/>
    <n v="402.77100000000002"/>
    <n v="402.77100000000002"/>
    <n v="0"/>
    <x v="1"/>
    <n v="0"/>
    <n v="0"/>
    <n v="19"/>
    <n v="67"/>
    <n v="0"/>
    <n v="149.63"/>
    <n v="230.03"/>
    <m/>
    <n v="54.203801879475932"/>
    <n v="282.91739971702214"/>
    <n v="0"/>
    <n v="60266.624730000003"/>
    <n v="92649.413130000001"/>
    <n v="0"/>
    <n v="21831.7194867984"/>
    <n v="113950.92400142473"/>
  </r>
  <r>
    <s v="Regular"/>
    <x v="1"/>
    <x v="2"/>
    <x v="7"/>
    <x v="2"/>
    <x v="0"/>
    <x v="0"/>
    <x v="0"/>
    <x v="5"/>
    <n v="0"/>
    <n v="0"/>
    <n v="390.07900000000001"/>
    <n v="390.07900000000001"/>
    <n v="390.07900000000001"/>
    <n v="390.07900000000001"/>
    <n v="0"/>
    <x v="1"/>
    <n v="0"/>
    <n v="0"/>
    <n v="19"/>
    <n v="67"/>
    <n v="0"/>
    <n v="149.63"/>
    <n v="230.03"/>
    <m/>
    <n v="54.203801879475932"/>
    <n v="282.91739971702214"/>
    <n v="0"/>
    <n v="58367.520770000003"/>
    <n v="89729.872369999997"/>
    <n v="0"/>
    <n v="21143.764833344092"/>
    <n v="110360.13636421628"/>
  </r>
  <r>
    <s v="Sistema Isolado - Regular"/>
    <x v="1"/>
    <x v="2"/>
    <x v="7"/>
    <x v="2"/>
    <x v="0"/>
    <x v="0"/>
    <x v="0"/>
    <x v="5"/>
    <n v="0"/>
    <n v="0"/>
    <n v="8.2409999999999997"/>
    <n v="8.2409999999999997"/>
    <n v="8.2409999999999997"/>
    <n v="8.2409999999999997"/>
    <n v="0"/>
    <x v="1"/>
    <n v="0"/>
    <n v="0"/>
    <n v="19"/>
    <n v="67"/>
    <n v="0"/>
    <n v="149.63"/>
    <n v="230.03"/>
    <m/>
    <n v="54.203801879475932"/>
    <n v="282.91739971702214"/>
    <n v="0"/>
    <n v="1233.1008299999999"/>
    <n v="1895.67723"/>
    <n v="0"/>
    <n v="446.69353128876116"/>
    <n v="2331.5222910679795"/>
  </r>
  <r>
    <s v="Regular"/>
    <x v="1"/>
    <x v="2"/>
    <x v="7"/>
    <x v="2"/>
    <x v="0"/>
    <x v="0"/>
    <x v="0"/>
    <x v="6"/>
    <n v="0"/>
    <n v="0"/>
    <n v="394.95100000000002"/>
    <n v="394.95100000000002"/>
    <n v="394.95100000000002"/>
    <n v="394.95100000000002"/>
    <n v="0"/>
    <x v="1"/>
    <n v="0"/>
    <n v="0"/>
    <n v="19"/>
    <n v="67"/>
    <n v="0"/>
    <n v="149.63"/>
    <n v="230.03"/>
    <m/>
    <n v="54.203801879475932"/>
    <n v="282.91739971702214"/>
    <n v="0"/>
    <n v="59096.518130000004"/>
    <n v="90850.578529999999"/>
    <n v="0"/>
    <n v="21407.845756100902"/>
    <n v="111738.50993563762"/>
  </r>
  <r>
    <s v="Sistema Isolado - Regular"/>
    <x v="1"/>
    <x v="2"/>
    <x v="7"/>
    <x v="2"/>
    <x v="0"/>
    <x v="0"/>
    <x v="0"/>
    <x v="6"/>
    <n v="0"/>
    <n v="0"/>
    <n v="5.51"/>
    <n v="5.51"/>
    <n v="5.51"/>
    <n v="5.51"/>
    <n v="0"/>
    <x v="1"/>
    <n v="0"/>
    <n v="0"/>
    <n v="19"/>
    <n v="67"/>
    <n v="0"/>
    <n v="149.63"/>
    <n v="230.03"/>
    <m/>
    <n v="54.203801879475932"/>
    <n v="282.91739971702214"/>
    <n v="0"/>
    <n v="824.46129999999994"/>
    <n v="1267.4653000000001"/>
    <n v="0"/>
    <n v="298.66294835591236"/>
    <n v="1558.8748724407919"/>
  </r>
  <r>
    <s v="Regular"/>
    <x v="1"/>
    <x v="2"/>
    <x v="7"/>
    <x v="2"/>
    <x v="0"/>
    <x v="0"/>
    <x v="0"/>
    <x v="7"/>
    <n v="0"/>
    <n v="0"/>
    <n v="366.95400000000001"/>
    <n v="366.95400000000001"/>
    <n v="366.95400000000001"/>
    <n v="366.95400000000001"/>
    <n v="0"/>
    <x v="1"/>
    <n v="0"/>
    <n v="0"/>
    <n v="19"/>
    <n v="67"/>
    <n v="0"/>
    <n v="149.63"/>
    <n v="230.03"/>
    <m/>
    <n v="54.203801879475932"/>
    <n v="282.91739971702214"/>
    <n v="0"/>
    <n v="54907.327019999997"/>
    <n v="84410.428620000006"/>
    <n v="0"/>
    <n v="19890.301914881213"/>
    <n v="103817.67149576014"/>
  </r>
  <r>
    <s v="Sistema Isolado - Regular"/>
    <x v="1"/>
    <x v="2"/>
    <x v="7"/>
    <x v="2"/>
    <x v="0"/>
    <x v="0"/>
    <x v="0"/>
    <x v="7"/>
    <n v="0"/>
    <n v="0"/>
    <n v="5.8789999999999996"/>
    <n v="5.8789999999999996"/>
    <n v="5.8789999999999996"/>
    <n v="5.8789999999999996"/>
    <n v="0"/>
    <x v="1"/>
    <n v="0"/>
    <n v="0"/>
    <n v="19"/>
    <n v="67"/>
    <n v="0"/>
    <n v="149.63"/>
    <n v="230.03"/>
    <m/>
    <n v="54.203801879475932"/>
    <n v="282.91739971702214"/>
    <n v="0"/>
    <n v="879.67476999999985"/>
    <n v="1352.34637"/>
    <n v="0"/>
    <n v="318.66415124943899"/>
    <n v="1663.2713929363731"/>
  </r>
  <r>
    <s v="Regular"/>
    <x v="1"/>
    <x v="2"/>
    <x v="7"/>
    <x v="2"/>
    <x v="0"/>
    <x v="0"/>
    <x v="0"/>
    <x v="8"/>
    <n v="0"/>
    <n v="0"/>
    <n v="378.87599999999998"/>
    <n v="378.87599999999998"/>
    <n v="378.87599999999998"/>
    <n v="378.87599999999998"/>
    <n v="0"/>
    <x v="1"/>
    <n v="0"/>
    <n v="0"/>
    <n v="19"/>
    <n v="67"/>
    <n v="0"/>
    <n v="149.63"/>
    <n v="230.03"/>
    <m/>
    <n v="54.203801879475932"/>
    <n v="282.91739971702214"/>
    <n v="0"/>
    <n v="56691.215879999996"/>
    <n v="87152.846279999998"/>
    <n v="0"/>
    <n v="20536.51964088832"/>
    <n v="107190.61273518647"/>
  </r>
  <r>
    <s v="Sistema Isolado - Regular"/>
    <x v="1"/>
    <x v="2"/>
    <x v="7"/>
    <x v="2"/>
    <x v="0"/>
    <x v="0"/>
    <x v="0"/>
    <x v="8"/>
    <n v="0"/>
    <n v="0"/>
    <n v="7.0110000000000001"/>
    <n v="7.0110000000000001"/>
    <n v="7.0110000000000001"/>
    <n v="7.0110000000000001"/>
    <n v="0"/>
    <x v="1"/>
    <n v="0"/>
    <n v="0"/>
    <n v="19"/>
    <n v="67"/>
    <n v="0"/>
    <n v="149.63"/>
    <n v="230.03"/>
    <m/>
    <n v="54.203801879475932"/>
    <n v="282.91739971702214"/>
    <n v="0"/>
    <n v="1049.05593"/>
    <n v="1612.7403300000001"/>
    <n v="0"/>
    <n v="380.02285497700575"/>
    <n v="1983.5338894160423"/>
  </r>
  <r>
    <s v="Regular"/>
    <x v="1"/>
    <x v="2"/>
    <x v="7"/>
    <x v="2"/>
    <x v="0"/>
    <x v="0"/>
    <x v="0"/>
    <x v="9"/>
    <n v="0"/>
    <n v="0"/>
    <n v="407.428"/>
    <n v="407.428"/>
    <n v="407.428"/>
    <n v="407.428"/>
    <n v="0"/>
    <x v="1"/>
    <n v="0"/>
    <n v="0"/>
    <n v="19"/>
    <n v="67"/>
    <n v="0"/>
    <n v="149.63"/>
    <n v="230.03"/>
    <m/>
    <n v="54.203801879475932"/>
    <n v="282.91739971702214"/>
    <n v="0"/>
    <n v="60963.451639999999"/>
    <n v="93720.662840000005"/>
    <n v="0"/>
    <n v="22084.146592151119"/>
    <n v="115268.47033190689"/>
  </r>
  <r>
    <s v="Sistema Isolado - Regular"/>
    <x v="1"/>
    <x v="2"/>
    <x v="7"/>
    <x v="2"/>
    <x v="0"/>
    <x v="0"/>
    <x v="0"/>
    <x v="9"/>
    <n v="0"/>
    <n v="0"/>
    <n v="7.9950000000000001"/>
    <n v="7.9950000000000001"/>
    <n v="7.9950000000000001"/>
    <n v="7.9950000000000001"/>
    <n v="0"/>
    <x v="1"/>
    <n v="0"/>
    <n v="0"/>
    <n v="19"/>
    <n v="67"/>
    <n v="0"/>
    <n v="149.63"/>
    <n v="230.03"/>
    <m/>
    <n v="54.203801879475932"/>
    <n v="282.91739971702214"/>
    <n v="0"/>
    <n v="1196.2918500000001"/>
    <n v="1839.0898500000001"/>
    <n v="0"/>
    <n v="433.35939602641008"/>
    <n v="2261.924610737592"/>
  </r>
  <r>
    <s v="Regular"/>
    <x v="1"/>
    <x v="2"/>
    <x v="7"/>
    <x v="2"/>
    <x v="0"/>
    <x v="0"/>
    <x v="0"/>
    <x v="10"/>
    <n v="0"/>
    <n v="0"/>
    <n v="381.166"/>
    <n v="381.166"/>
    <n v="381.166"/>
    <n v="381.166"/>
    <n v="0"/>
    <x v="1"/>
    <n v="0"/>
    <n v="0"/>
    <n v="19"/>
    <n v="67"/>
    <n v="0"/>
    <n v="149.63"/>
    <n v="230.03"/>
    <m/>
    <n v="54.203801879475932"/>
    <n v="282.91739971702214"/>
    <n v="0"/>
    <n v="57033.868579999995"/>
    <n v="87679.614979999998"/>
    <n v="0"/>
    <n v="20660.646347192323"/>
    <n v="107838.49358053846"/>
  </r>
  <r>
    <s v="Sistema Isolado - Regular"/>
    <x v="1"/>
    <x v="2"/>
    <x v="7"/>
    <x v="2"/>
    <x v="0"/>
    <x v="0"/>
    <x v="0"/>
    <x v="10"/>
    <n v="0"/>
    <n v="0"/>
    <n v="7.6870000000000003"/>
    <n v="7.6870000000000003"/>
    <n v="7.6870000000000003"/>
    <n v="7.6870000000000003"/>
    <n v="0"/>
    <x v="1"/>
    <n v="0"/>
    <n v="0"/>
    <n v="19"/>
    <n v="67"/>
    <n v="0"/>
    <n v="149.63"/>
    <n v="230.03"/>
    <m/>
    <n v="54.203801879475932"/>
    <n v="282.91739971702214"/>
    <n v="0"/>
    <n v="1150.2058099999999"/>
    <n v="1768.2406100000001"/>
    <n v="0"/>
    <n v="416.6646250475315"/>
    <n v="2174.7860516247492"/>
  </r>
  <r>
    <s v="PROJETADO"/>
    <x v="1"/>
    <x v="2"/>
    <x v="7"/>
    <x v="2"/>
    <x v="0"/>
    <x v="0"/>
    <x v="0"/>
    <x v="11"/>
    <n v="0"/>
    <n v="0"/>
    <n v="381.166"/>
    <n v="381.166"/>
    <n v="381.166"/>
    <n v="381.166"/>
    <n v="0"/>
    <x v="1"/>
    <n v="0"/>
    <n v="0"/>
    <n v="19"/>
    <n v="67"/>
    <n v="0"/>
    <n v="149.63"/>
    <n v="230.03"/>
    <m/>
    <n v="54.203801879475932"/>
    <n v="282.91739971702214"/>
    <n v="0"/>
    <n v="57033.868579999995"/>
    <n v="87679.614979999998"/>
    <n v="0"/>
    <n v="20660.646347192323"/>
    <n v="107838.49358053846"/>
  </r>
  <r>
    <s v="PROJETADO"/>
    <x v="1"/>
    <x v="2"/>
    <x v="7"/>
    <x v="2"/>
    <x v="0"/>
    <x v="0"/>
    <x v="0"/>
    <x v="11"/>
    <n v="0"/>
    <n v="0"/>
    <n v="7.6870000000000003"/>
    <n v="7.6870000000000003"/>
    <n v="7.6870000000000003"/>
    <n v="7.6870000000000003"/>
    <n v="0"/>
    <x v="1"/>
    <n v="0"/>
    <n v="0"/>
    <n v="19"/>
    <n v="67"/>
    <n v="0"/>
    <n v="149.63"/>
    <n v="230.03"/>
    <m/>
    <n v="54.203801879475932"/>
    <n v="282.91739971702214"/>
    <n v="0"/>
    <n v="1150.2058099999999"/>
    <n v="1768.2406100000001"/>
    <n v="0"/>
    <n v="416.6646250475315"/>
    <n v="2174.7860516247492"/>
  </r>
  <r>
    <s v="Regular"/>
    <x v="1"/>
    <x v="2"/>
    <x v="7"/>
    <x v="2"/>
    <x v="0"/>
    <x v="0"/>
    <x v="1"/>
    <x v="0"/>
    <n v="2965"/>
    <n v="2965"/>
    <n v="0"/>
    <n v="0"/>
    <n v="0"/>
    <n v="0"/>
    <n v="46"/>
    <x v="1"/>
    <n v="0"/>
    <n v="23"/>
    <n v="0"/>
    <n v="0"/>
    <n v="28.57"/>
    <n v="0"/>
    <n v="0"/>
    <n v="31.93064187172984"/>
    <m/>
    <m/>
    <n v="84710.05"/>
    <n v="0"/>
    <n v="0"/>
    <n v="94674.35314967898"/>
    <n v="0"/>
    <n v="0"/>
  </r>
  <r>
    <s v="Regular"/>
    <x v="1"/>
    <x v="2"/>
    <x v="7"/>
    <x v="2"/>
    <x v="0"/>
    <x v="0"/>
    <x v="1"/>
    <x v="1"/>
    <n v="2963"/>
    <n v="2963"/>
    <n v="0"/>
    <n v="0"/>
    <n v="0"/>
    <n v="0"/>
    <n v="46"/>
    <x v="1"/>
    <n v="0"/>
    <n v="23"/>
    <n v="0"/>
    <n v="0"/>
    <n v="28.57"/>
    <n v="0"/>
    <n v="0"/>
    <n v="31.93064187172984"/>
    <m/>
    <m/>
    <n v="84652.91"/>
    <n v="0"/>
    <n v="0"/>
    <n v="94610.491865935517"/>
    <n v="0"/>
    <n v="0"/>
  </r>
  <r>
    <s v="Regular"/>
    <x v="1"/>
    <x v="2"/>
    <x v="7"/>
    <x v="2"/>
    <x v="0"/>
    <x v="0"/>
    <x v="1"/>
    <x v="2"/>
    <n v="2961"/>
    <n v="2961"/>
    <n v="0"/>
    <n v="0"/>
    <n v="0"/>
    <n v="0"/>
    <n v="46"/>
    <x v="1"/>
    <n v="0"/>
    <n v="23"/>
    <n v="0"/>
    <n v="0"/>
    <n v="28.57"/>
    <n v="0"/>
    <n v="0"/>
    <n v="31.93064187172984"/>
    <m/>
    <m/>
    <n v="84595.77"/>
    <n v="0"/>
    <n v="0"/>
    <n v="94546.630582192054"/>
    <n v="0"/>
    <n v="0"/>
  </r>
  <r>
    <s v="Regular"/>
    <x v="1"/>
    <x v="2"/>
    <x v="7"/>
    <x v="2"/>
    <x v="0"/>
    <x v="0"/>
    <x v="1"/>
    <x v="3"/>
    <n v="2964"/>
    <n v="2964"/>
    <n v="0"/>
    <n v="0"/>
    <n v="0"/>
    <n v="0"/>
    <n v="46"/>
    <x v="1"/>
    <n v="0"/>
    <n v="23"/>
    <n v="0"/>
    <n v="0"/>
    <n v="28.57"/>
    <n v="0"/>
    <n v="0"/>
    <n v="31.93064187172984"/>
    <m/>
    <m/>
    <n v="84681.48"/>
    <n v="0"/>
    <n v="0"/>
    <n v="94642.422507807249"/>
    <n v="0"/>
    <n v="0"/>
  </r>
  <r>
    <s v="Regular"/>
    <x v="1"/>
    <x v="2"/>
    <x v="7"/>
    <x v="2"/>
    <x v="0"/>
    <x v="0"/>
    <x v="1"/>
    <x v="4"/>
    <n v="2963"/>
    <n v="2963"/>
    <n v="0"/>
    <n v="0"/>
    <n v="0"/>
    <n v="0"/>
    <n v="46"/>
    <x v="1"/>
    <n v="0"/>
    <n v="23"/>
    <n v="0"/>
    <n v="0"/>
    <n v="28.57"/>
    <n v="0"/>
    <n v="0"/>
    <n v="31.93064187172984"/>
    <m/>
    <m/>
    <n v="84652.91"/>
    <n v="0"/>
    <n v="0"/>
    <n v="94610.491865935517"/>
    <n v="0"/>
    <n v="0"/>
  </r>
  <r>
    <s v="Regular"/>
    <x v="1"/>
    <x v="2"/>
    <x v="7"/>
    <x v="2"/>
    <x v="0"/>
    <x v="0"/>
    <x v="1"/>
    <x v="5"/>
    <n v="2890"/>
    <n v="2890"/>
    <n v="0"/>
    <n v="0"/>
    <n v="0"/>
    <n v="0"/>
    <n v="44"/>
    <x v="1"/>
    <n v="0"/>
    <n v="23"/>
    <n v="0"/>
    <n v="0"/>
    <n v="28.57"/>
    <n v="0"/>
    <n v="0"/>
    <n v="31.93064187172984"/>
    <m/>
    <m/>
    <n v="82567.3"/>
    <n v="0"/>
    <n v="0"/>
    <n v="92279.555009299234"/>
    <n v="0"/>
    <n v="0"/>
  </r>
  <r>
    <s v="Sistema Isolado - Regular"/>
    <x v="1"/>
    <x v="2"/>
    <x v="7"/>
    <x v="2"/>
    <x v="0"/>
    <x v="0"/>
    <x v="1"/>
    <x v="5"/>
    <n v="57"/>
    <n v="57"/>
    <n v="0"/>
    <n v="0"/>
    <n v="0"/>
    <n v="0"/>
    <n v="1"/>
    <x v="1"/>
    <n v="0"/>
    <n v="23"/>
    <n v="0"/>
    <n v="0"/>
    <n v="28.57"/>
    <n v="0"/>
    <n v="0"/>
    <n v="31.93064187172984"/>
    <m/>
    <m/>
    <n v="1628.49"/>
    <n v="0"/>
    <n v="0"/>
    <n v="1820.0465866886009"/>
    <n v="0"/>
    <n v="0"/>
  </r>
  <r>
    <s v="Regular"/>
    <x v="1"/>
    <x v="2"/>
    <x v="7"/>
    <x v="2"/>
    <x v="0"/>
    <x v="0"/>
    <x v="1"/>
    <x v="6"/>
    <n v="2827"/>
    <n v="2827"/>
    <n v="0"/>
    <n v="0"/>
    <n v="0"/>
    <n v="0"/>
    <n v="43"/>
    <x v="1"/>
    <n v="0"/>
    <n v="23"/>
    <n v="0"/>
    <n v="0"/>
    <n v="28.57"/>
    <n v="0"/>
    <n v="0"/>
    <n v="31.93064187172984"/>
    <m/>
    <m/>
    <n v="80767.39"/>
    <n v="0"/>
    <n v="0"/>
    <n v="90267.924571380252"/>
    <n v="0"/>
    <n v="0"/>
  </r>
  <r>
    <s v="Sistema Isolado - Regular"/>
    <x v="1"/>
    <x v="2"/>
    <x v="7"/>
    <x v="2"/>
    <x v="0"/>
    <x v="0"/>
    <x v="1"/>
    <x v="6"/>
    <n v="57"/>
    <n v="57"/>
    <n v="0"/>
    <n v="0"/>
    <n v="0"/>
    <n v="0"/>
    <n v="1"/>
    <x v="1"/>
    <n v="0"/>
    <n v="23"/>
    <n v="0"/>
    <n v="0"/>
    <n v="28.57"/>
    <n v="0"/>
    <n v="0"/>
    <n v="31.93064187172984"/>
    <m/>
    <m/>
    <n v="1628.49"/>
    <n v="0"/>
    <n v="0"/>
    <n v="1820.0465866886009"/>
    <n v="0"/>
    <n v="0"/>
  </r>
  <r>
    <s v="Regular"/>
    <x v="1"/>
    <x v="2"/>
    <x v="7"/>
    <x v="2"/>
    <x v="0"/>
    <x v="0"/>
    <x v="1"/>
    <x v="7"/>
    <n v="2706"/>
    <n v="2706"/>
    <n v="0"/>
    <n v="0"/>
    <n v="0"/>
    <n v="0"/>
    <n v="42"/>
    <x v="1"/>
    <n v="0"/>
    <n v="23"/>
    <n v="0"/>
    <n v="0"/>
    <n v="28.57"/>
    <n v="0"/>
    <n v="0"/>
    <n v="31.93064187172984"/>
    <m/>
    <m/>
    <n v="77310.42"/>
    <n v="0"/>
    <n v="0"/>
    <n v="86404.316904900945"/>
    <n v="0"/>
    <n v="0"/>
  </r>
  <r>
    <s v="Sistema Isolado - Regular"/>
    <x v="1"/>
    <x v="2"/>
    <x v="7"/>
    <x v="2"/>
    <x v="0"/>
    <x v="0"/>
    <x v="1"/>
    <x v="7"/>
    <n v="64"/>
    <n v="64"/>
    <n v="0"/>
    <n v="0"/>
    <n v="0"/>
    <n v="0"/>
    <n v="1"/>
    <x v="1"/>
    <n v="0"/>
    <n v="23"/>
    <n v="0"/>
    <n v="0"/>
    <n v="28.57"/>
    <n v="0"/>
    <n v="0"/>
    <n v="31.93064187172984"/>
    <m/>
    <m/>
    <n v="1828.48"/>
    <n v="0"/>
    <n v="0"/>
    <n v="2043.5610797907098"/>
    <n v="0"/>
    <n v="0"/>
  </r>
  <r>
    <s v="Regular"/>
    <x v="1"/>
    <x v="2"/>
    <x v="7"/>
    <x v="2"/>
    <x v="0"/>
    <x v="0"/>
    <x v="1"/>
    <x v="8"/>
    <n v="2727"/>
    <n v="2727"/>
    <n v="0"/>
    <n v="0"/>
    <n v="0"/>
    <n v="0"/>
    <n v="42"/>
    <x v="1"/>
    <n v="0"/>
    <n v="23"/>
    <n v="0"/>
    <n v="0"/>
    <n v="28.57"/>
    <n v="0"/>
    <n v="0"/>
    <n v="31.93064187172984"/>
    <m/>
    <m/>
    <n v="77910.39"/>
    <n v="0"/>
    <n v="0"/>
    <n v="87074.860384207277"/>
    <n v="0"/>
    <n v="0"/>
  </r>
  <r>
    <s v="Sistema Isolado - Regular"/>
    <x v="1"/>
    <x v="2"/>
    <x v="7"/>
    <x v="2"/>
    <x v="0"/>
    <x v="0"/>
    <x v="1"/>
    <x v="8"/>
    <n v="65"/>
    <n v="65"/>
    <n v="0"/>
    <n v="0"/>
    <n v="0"/>
    <n v="0"/>
    <n v="1"/>
    <x v="1"/>
    <n v="0"/>
    <n v="23"/>
    <n v="0"/>
    <n v="0"/>
    <n v="28.57"/>
    <n v="0"/>
    <n v="0"/>
    <n v="31.93064187172984"/>
    <m/>
    <m/>
    <n v="1857.05"/>
    <n v="0"/>
    <n v="0"/>
    <n v="2075.4917216624394"/>
    <n v="0"/>
    <n v="0"/>
  </r>
  <r>
    <s v="Regular"/>
    <x v="1"/>
    <x v="2"/>
    <x v="7"/>
    <x v="2"/>
    <x v="0"/>
    <x v="0"/>
    <x v="1"/>
    <x v="9"/>
    <n v="2708"/>
    <n v="2708"/>
    <n v="0"/>
    <n v="0"/>
    <n v="0"/>
    <n v="0"/>
    <n v="42"/>
    <x v="1"/>
    <n v="0"/>
    <n v="23"/>
    <n v="0"/>
    <n v="0"/>
    <n v="28.57"/>
    <n v="0"/>
    <n v="0"/>
    <n v="31.93064187172984"/>
    <m/>
    <m/>
    <n v="77367.56"/>
    <n v="0"/>
    <n v="0"/>
    <n v="86468.178188644408"/>
    <n v="0"/>
    <n v="0"/>
  </r>
  <r>
    <s v="Sistema Isolado - Regular"/>
    <x v="1"/>
    <x v="2"/>
    <x v="7"/>
    <x v="2"/>
    <x v="0"/>
    <x v="0"/>
    <x v="1"/>
    <x v="9"/>
    <n v="73"/>
    <n v="73"/>
    <n v="0"/>
    <n v="0"/>
    <n v="0"/>
    <n v="0"/>
    <n v="1"/>
    <x v="1"/>
    <n v="0"/>
    <n v="23"/>
    <n v="0"/>
    <n v="0"/>
    <n v="28.57"/>
    <n v="0"/>
    <n v="0"/>
    <n v="31.93064187172984"/>
    <m/>
    <m/>
    <n v="2085.61"/>
    <n v="0"/>
    <n v="0"/>
    <n v="2330.9368566362782"/>
    <n v="0"/>
    <n v="0"/>
  </r>
  <r>
    <s v="Regular"/>
    <x v="1"/>
    <x v="2"/>
    <x v="7"/>
    <x v="2"/>
    <x v="0"/>
    <x v="0"/>
    <x v="1"/>
    <x v="10"/>
    <n v="2710"/>
    <n v="2710"/>
    <n v="0"/>
    <n v="0"/>
    <n v="0"/>
    <n v="0"/>
    <n v="42"/>
    <x v="1"/>
    <n v="0"/>
    <n v="23"/>
    <n v="0"/>
    <n v="0"/>
    <n v="28.57"/>
    <n v="0"/>
    <n v="0"/>
    <n v="31.93064187172984"/>
    <m/>
    <m/>
    <n v="77424.7"/>
    <n v="0"/>
    <n v="0"/>
    <n v="86532.039472387871"/>
    <n v="0"/>
    <n v="0"/>
  </r>
  <r>
    <s v="Sistema Isolado - Regular"/>
    <x v="1"/>
    <x v="2"/>
    <x v="7"/>
    <x v="2"/>
    <x v="0"/>
    <x v="0"/>
    <x v="1"/>
    <x v="10"/>
    <n v="73"/>
    <n v="73"/>
    <n v="0"/>
    <n v="0"/>
    <n v="0"/>
    <n v="0"/>
    <n v="1"/>
    <x v="1"/>
    <n v="0"/>
    <n v="23"/>
    <n v="0"/>
    <n v="0"/>
    <n v="28.57"/>
    <n v="0"/>
    <n v="0"/>
    <n v="31.93064187172984"/>
    <m/>
    <m/>
    <n v="2085.61"/>
    <n v="0"/>
    <n v="0"/>
    <n v="2330.9368566362782"/>
    <n v="0"/>
    <n v="0"/>
  </r>
  <r>
    <s v="PROJETADO"/>
    <x v="1"/>
    <x v="2"/>
    <x v="7"/>
    <x v="2"/>
    <x v="0"/>
    <x v="0"/>
    <x v="1"/>
    <x v="11"/>
    <n v="2710"/>
    <n v="2710"/>
    <n v="0"/>
    <n v="0"/>
    <n v="0"/>
    <n v="0"/>
    <n v="42"/>
    <x v="1"/>
    <n v="0"/>
    <n v="23"/>
    <n v="0"/>
    <n v="0"/>
    <n v="28.57"/>
    <n v="0"/>
    <n v="0"/>
    <n v="31.93064187172984"/>
    <m/>
    <m/>
    <n v="77424.7"/>
    <n v="0"/>
    <n v="0"/>
    <n v="86532.039472387871"/>
    <n v="0"/>
    <n v="0"/>
  </r>
  <r>
    <s v="PROJETADO"/>
    <x v="1"/>
    <x v="2"/>
    <x v="7"/>
    <x v="2"/>
    <x v="0"/>
    <x v="0"/>
    <x v="1"/>
    <x v="11"/>
    <n v="73"/>
    <n v="73"/>
    <n v="0"/>
    <n v="0"/>
    <n v="0"/>
    <n v="0"/>
    <n v="1"/>
    <x v="1"/>
    <n v="0"/>
    <n v="23"/>
    <n v="0"/>
    <n v="0"/>
    <n v="28.57"/>
    <n v="0"/>
    <n v="0"/>
    <n v="31.93064187172984"/>
    <m/>
    <m/>
    <n v="2085.61"/>
    <n v="0"/>
    <n v="0"/>
    <n v="2330.9368566362782"/>
    <n v="0"/>
    <n v="0"/>
  </r>
  <r>
    <s v="Regular"/>
    <x v="1"/>
    <x v="2"/>
    <x v="7"/>
    <x v="2"/>
    <x v="0"/>
    <x v="0"/>
    <x v="2"/>
    <x v="0"/>
    <n v="0"/>
    <n v="0"/>
    <n v="34.767000000000003"/>
    <n v="34.767000000000003"/>
    <n v="34.767000000000003"/>
    <n v="34.767000000000003"/>
    <n v="0"/>
    <x v="1"/>
    <n v="0"/>
    <n v="0"/>
    <n v="24"/>
    <n v="66"/>
    <n v="0"/>
    <n v="1434.79"/>
    <n v="389.28"/>
    <m/>
    <n v="1501.8340703569011"/>
    <n v="454.3285679284046"/>
    <n v="0"/>
    <n v="49883.343930000003"/>
    <n v="13534.097760000001"/>
    <n v="0"/>
    <n v="52214.265124098383"/>
    <n v="15795.641321166844"/>
  </r>
  <r>
    <s v="Regular"/>
    <x v="1"/>
    <x v="2"/>
    <x v="7"/>
    <x v="2"/>
    <x v="0"/>
    <x v="0"/>
    <x v="2"/>
    <x v="1"/>
    <n v="0"/>
    <n v="0"/>
    <n v="37.703000000000003"/>
    <n v="37.703000000000003"/>
    <n v="37.703000000000003"/>
    <n v="37.703000000000003"/>
    <n v="0"/>
    <x v="1"/>
    <n v="0"/>
    <n v="0"/>
    <n v="24"/>
    <n v="66"/>
    <n v="0"/>
    <n v="1434.79"/>
    <n v="389.28"/>
    <m/>
    <n v="1501.8340703569011"/>
    <n v="454.3285679284046"/>
    <n v="0"/>
    <n v="54095.887370000004"/>
    <n v="14677.02384"/>
    <n v="0"/>
    <n v="56623.649954666245"/>
    <n v="17129.549996604641"/>
  </r>
  <r>
    <s v="Regular"/>
    <x v="1"/>
    <x v="2"/>
    <x v="7"/>
    <x v="2"/>
    <x v="0"/>
    <x v="0"/>
    <x v="2"/>
    <x v="2"/>
    <n v="0"/>
    <n v="0"/>
    <n v="30.234000000000002"/>
    <n v="30.234000000000002"/>
    <n v="30.234000000000002"/>
    <n v="30.234000000000002"/>
    <n v="0"/>
    <x v="1"/>
    <n v="0"/>
    <n v="0"/>
    <n v="24"/>
    <n v="66"/>
    <n v="0"/>
    <n v="1434.79"/>
    <n v="389.28"/>
    <m/>
    <n v="1501.8340703569011"/>
    <n v="454.3285679284046"/>
    <n v="0"/>
    <n v="43379.440860000002"/>
    <n v="11769.49152"/>
    <n v="0"/>
    <n v="45406.451283170551"/>
    <n v="13736.169922747385"/>
  </r>
  <r>
    <s v="Regular"/>
    <x v="1"/>
    <x v="2"/>
    <x v="7"/>
    <x v="2"/>
    <x v="0"/>
    <x v="0"/>
    <x v="2"/>
    <x v="3"/>
    <n v="0"/>
    <n v="0"/>
    <n v="26.241"/>
    <n v="26.241"/>
    <n v="26.241"/>
    <n v="26.241"/>
    <n v="0"/>
    <x v="1"/>
    <n v="0"/>
    <n v="0"/>
    <n v="24"/>
    <n v="66"/>
    <n v="0"/>
    <n v="1434.79"/>
    <n v="389.28"/>
    <m/>
    <n v="1501.8340703569011"/>
    <n v="454.3285679284046"/>
    <n v="0"/>
    <n v="37650.324390000002"/>
    <n v="10215.096479999998"/>
    <n v="0"/>
    <n v="39409.627840235444"/>
    <n v="11922.035951009264"/>
  </r>
  <r>
    <s v="Regular"/>
    <x v="1"/>
    <x v="2"/>
    <x v="7"/>
    <x v="2"/>
    <x v="0"/>
    <x v="0"/>
    <x v="2"/>
    <x v="4"/>
    <n v="0"/>
    <n v="0"/>
    <n v="37.262999999999998"/>
    <n v="37.262999999999998"/>
    <n v="37.262999999999998"/>
    <n v="37.262999999999998"/>
    <n v="0"/>
    <x v="1"/>
    <n v="0"/>
    <n v="0"/>
    <n v="24"/>
    <n v="66"/>
    <n v="0"/>
    <n v="1434.79"/>
    <n v="389.28"/>
    <m/>
    <n v="1501.8340703569011"/>
    <n v="454.3285679284046"/>
    <n v="0"/>
    <n v="53464.579769999997"/>
    <n v="14505.740639999998"/>
    <n v="0"/>
    <n v="55962.842963709205"/>
    <n v="16929.645426716139"/>
  </r>
  <r>
    <s v="Regular"/>
    <x v="1"/>
    <x v="2"/>
    <x v="7"/>
    <x v="2"/>
    <x v="0"/>
    <x v="0"/>
    <x v="2"/>
    <x v="5"/>
    <n v="0"/>
    <n v="0"/>
    <n v="30.452999999999999"/>
    <n v="30.452999999999999"/>
    <n v="30.452999999999999"/>
    <n v="30.452999999999999"/>
    <n v="0"/>
    <x v="1"/>
    <n v="0"/>
    <n v="0"/>
    <n v="24"/>
    <n v="66"/>
    <n v="0"/>
    <n v="1434.79"/>
    <n v="389.28"/>
    <m/>
    <n v="1501.8340703569011"/>
    <n v="454.3285679284046"/>
    <n v="0"/>
    <n v="43693.659869999996"/>
    <n v="11854.743839999999"/>
    <n v="0"/>
    <n v="45735.352944578706"/>
    <n v="13835.667879123705"/>
  </r>
  <r>
    <s v="Sistema Isolado - Regular"/>
    <x v="1"/>
    <x v="2"/>
    <x v="7"/>
    <x v="2"/>
    <x v="0"/>
    <x v="0"/>
    <x v="2"/>
    <x v="5"/>
    <n v="0"/>
    <n v="0"/>
    <n v="1.3160000000000001"/>
    <n v="1.3160000000000001"/>
    <n v="1.3160000000000001"/>
    <n v="1.3160000000000001"/>
    <n v="0"/>
    <x v="1"/>
    <n v="0"/>
    <n v="0"/>
    <n v="24"/>
    <n v="66"/>
    <n v="0"/>
    <n v="1434.79"/>
    <n v="389.28"/>
    <m/>
    <n v="1501.8340703569011"/>
    <n v="454.3285679284046"/>
    <n v="0"/>
    <n v="1888.18364"/>
    <n v="512.29247999999995"/>
    <n v="0"/>
    <n v="1976.4136365896818"/>
    <n v="597.89639539378049"/>
  </r>
  <r>
    <s v="Regular"/>
    <x v="1"/>
    <x v="2"/>
    <x v="7"/>
    <x v="2"/>
    <x v="0"/>
    <x v="0"/>
    <x v="2"/>
    <x v="6"/>
    <n v="0"/>
    <n v="0"/>
    <n v="31.655999999999999"/>
    <n v="31.655999999999999"/>
    <n v="31.655999999999999"/>
    <n v="31.655999999999999"/>
    <n v="0"/>
    <x v="1"/>
    <n v="0"/>
    <n v="0"/>
    <n v="24"/>
    <n v="66"/>
    <n v="0"/>
    <n v="1434.79"/>
    <n v="389.28"/>
    <m/>
    <n v="1501.8340703569011"/>
    <n v="454.3285679284046"/>
    <n v="0"/>
    <n v="45419.712240000001"/>
    <n v="12323.047679999998"/>
    <n v="0"/>
    <n v="47542.059331218057"/>
    <n v="14382.225146341576"/>
  </r>
  <r>
    <s v="Sistema Isolado - Regular"/>
    <x v="1"/>
    <x v="2"/>
    <x v="7"/>
    <x v="2"/>
    <x v="0"/>
    <x v="0"/>
    <x v="2"/>
    <x v="6"/>
    <n v="0"/>
    <n v="0"/>
    <n v="0.91"/>
    <n v="0.91"/>
    <n v="0.91"/>
    <n v="0.91"/>
    <n v="0"/>
    <x v="1"/>
    <n v="0"/>
    <n v="0"/>
    <n v="24"/>
    <n v="66"/>
    <n v="0"/>
    <n v="1434.79"/>
    <n v="389.28"/>
    <m/>
    <n v="1501.8340703569011"/>
    <n v="454.3285679284046"/>
    <n v="0"/>
    <n v="1305.6588999999999"/>
    <n v="354.2448"/>
    <n v="0"/>
    <n v="1366.66900402478"/>
    <n v="413.43899681484822"/>
  </r>
  <r>
    <s v="Regular"/>
    <x v="1"/>
    <x v="2"/>
    <x v="7"/>
    <x v="2"/>
    <x v="0"/>
    <x v="0"/>
    <x v="2"/>
    <x v="7"/>
    <n v="0"/>
    <n v="0"/>
    <n v="31.318000000000001"/>
    <n v="31.318000000000001"/>
    <n v="31.318000000000001"/>
    <n v="31.318000000000001"/>
    <n v="0"/>
    <x v="1"/>
    <n v="0"/>
    <n v="0"/>
    <n v="24"/>
    <n v="66"/>
    <n v="0"/>
    <n v="1434.79"/>
    <n v="389.28"/>
    <m/>
    <n v="1501.8340703569011"/>
    <n v="454.3285679284046"/>
    <n v="0"/>
    <n v="44934.753219999999"/>
    <n v="12191.47104"/>
    <n v="0"/>
    <n v="47034.439415437431"/>
    <n v="14228.662090381777"/>
  </r>
  <r>
    <s v="Sistema Isolado - Regular"/>
    <x v="1"/>
    <x v="2"/>
    <x v="7"/>
    <x v="2"/>
    <x v="0"/>
    <x v="0"/>
    <x v="2"/>
    <x v="7"/>
    <n v="0"/>
    <n v="0"/>
    <n v="1.02"/>
    <n v="1.02"/>
    <n v="1.02"/>
    <n v="1.02"/>
    <n v="0"/>
    <x v="1"/>
    <n v="0"/>
    <n v="0"/>
    <n v="24"/>
    <n v="66"/>
    <n v="0"/>
    <n v="1434.79"/>
    <n v="389.28"/>
    <m/>
    <n v="1501.8340703569011"/>
    <n v="454.3285679284046"/>
    <n v="0"/>
    <n v="1463.4857999999999"/>
    <n v="397.06559999999996"/>
    <n v="0"/>
    <n v="1531.8707517640391"/>
    <n v="463.4151392869727"/>
  </r>
  <r>
    <s v="Regular"/>
    <x v="1"/>
    <x v="2"/>
    <x v="7"/>
    <x v="2"/>
    <x v="0"/>
    <x v="0"/>
    <x v="2"/>
    <x v="8"/>
    <n v="0"/>
    <n v="0"/>
    <n v="34.119999999999997"/>
    <n v="34.119999999999997"/>
    <n v="34.119999999999997"/>
    <n v="34.119999999999997"/>
    <n v="0"/>
    <x v="1"/>
    <n v="0"/>
    <n v="0"/>
    <n v="24"/>
    <n v="66"/>
    <n v="0"/>
    <n v="1434.79"/>
    <n v="389.28"/>
    <m/>
    <n v="1501.8340703569011"/>
    <n v="454.3285679284046"/>
    <n v="0"/>
    <n v="48955.034799999994"/>
    <n v="13282.233599999998"/>
    <n v="0"/>
    <n v="51242.57848057746"/>
    <n v="15501.690737717163"/>
  </r>
  <r>
    <s v="Sistema Isolado - Regular"/>
    <x v="1"/>
    <x v="2"/>
    <x v="7"/>
    <x v="2"/>
    <x v="0"/>
    <x v="0"/>
    <x v="2"/>
    <x v="8"/>
    <n v="0"/>
    <n v="0"/>
    <n v="1.4390000000000001"/>
    <n v="1.4390000000000001"/>
    <n v="1.4390000000000001"/>
    <n v="1.4390000000000001"/>
    <n v="0"/>
    <x v="1"/>
    <n v="0"/>
    <n v="0"/>
    <n v="24"/>
    <n v="66"/>
    <n v="0"/>
    <n v="1434.79"/>
    <n v="389.28"/>
    <m/>
    <n v="1501.8340703569011"/>
    <n v="454.3285679284046"/>
    <n v="0"/>
    <n v="2064.6628099999998"/>
    <n v="560.17391999999995"/>
    <n v="0"/>
    <n v="2161.1392272435805"/>
    <n v="653.7788092489742"/>
  </r>
  <r>
    <s v="Regular"/>
    <x v="1"/>
    <x v="2"/>
    <x v="7"/>
    <x v="2"/>
    <x v="0"/>
    <x v="0"/>
    <x v="2"/>
    <x v="9"/>
    <n v="0"/>
    <n v="0"/>
    <n v="35.936999999999998"/>
    <n v="35.936999999999998"/>
    <n v="35.936999999999998"/>
    <n v="35.936999999999998"/>
    <n v="0"/>
    <x v="1"/>
    <n v="0"/>
    <n v="0"/>
    <n v="24"/>
    <n v="66"/>
    <n v="0"/>
    <n v="1434.79"/>
    <n v="389.28"/>
    <m/>
    <n v="1501.8340703569011"/>
    <n v="454.3285679284046"/>
    <n v="0"/>
    <n v="51562.048229999993"/>
    <n v="13989.555359999998"/>
    <n v="0"/>
    <n v="53971.410986415947"/>
    <n v="16327.205745643076"/>
  </r>
  <r>
    <s v="Sistema Isolado - Regular"/>
    <x v="1"/>
    <x v="2"/>
    <x v="7"/>
    <x v="2"/>
    <x v="0"/>
    <x v="0"/>
    <x v="2"/>
    <x v="9"/>
    <n v="0"/>
    <n v="0"/>
    <n v="1.34"/>
    <n v="1.34"/>
    <n v="1.34"/>
    <n v="1.34"/>
    <n v="0"/>
    <x v="1"/>
    <n v="0"/>
    <n v="0"/>
    <n v="24"/>
    <n v="66"/>
    <n v="0"/>
    <n v="1434.79"/>
    <n v="389.28"/>
    <m/>
    <n v="1501.8340703569011"/>
    <n v="454.3285679284046"/>
    <n v="0"/>
    <n v="1922.6186"/>
    <n v="521.63519999999994"/>
    <n v="0"/>
    <n v="2012.4576542782474"/>
    <n v="608.8002810240622"/>
  </r>
  <r>
    <s v="Regular"/>
    <x v="1"/>
    <x v="2"/>
    <x v="7"/>
    <x v="2"/>
    <x v="0"/>
    <x v="0"/>
    <x v="2"/>
    <x v="10"/>
    <n v="0"/>
    <n v="0"/>
    <n v="34.281999999999996"/>
    <n v="34.281999999999996"/>
    <n v="34.281999999999996"/>
    <n v="34.281999999999996"/>
    <n v="0"/>
    <x v="1"/>
    <n v="0"/>
    <n v="0"/>
    <n v="24"/>
    <n v="66"/>
    <n v="0"/>
    <n v="1434.79"/>
    <n v="389.28"/>
    <m/>
    <n v="1501.8340703569011"/>
    <n v="454.3285679284046"/>
    <n v="0"/>
    <n v="49187.470779999996"/>
    <n v="13345.296959999998"/>
    <n v="0"/>
    <n v="51485.875599975276"/>
    <n v="15575.291965721564"/>
  </r>
  <r>
    <s v="Sistema Isolado - Regular"/>
    <x v="1"/>
    <x v="2"/>
    <x v="7"/>
    <x v="2"/>
    <x v="0"/>
    <x v="0"/>
    <x v="2"/>
    <x v="10"/>
    <n v="0"/>
    <n v="0"/>
    <n v="1.4259999999999999"/>
    <n v="1.4259999999999999"/>
    <n v="1.4259999999999999"/>
    <n v="1.4259999999999999"/>
    <n v="0"/>
    <x v="1"/>
    <n v="0"/>
    <n v="0"/>
    <n v="24"/>
    <n v="66"/>
    <n v="0"/>
    <n v="1434.79"/>
    <n v="389.28"/>
    <m/>
    <n v="1501.8340703569011"/>
    <n v="454.3285679284046"/>
    <n v="0"/>
    <n v="2046.0105399999998"/>
    <n v="555.11327999999992"/>
    <n v="0"/>
    <n v="2141.6153843289408"/>
    <n v="647.87253786590497"/>
  </r>
  <r>
    <s v="PROJETADO"/>
    <x v="1"/>
    <x v="2"/>
    <x v="7"/>
    <x v="2"/>
    <x v="0"/>
    <x v="0"/>
    <x v="2"/>
    <x v="11"/>
    <n v="0"/>
    <n v="0"/>
    <n v="34.281999999999996"/>
    <n v="34.281999999999996"/>
    <n v="34.281999999999996"/>
    <n v="34.281999999999996"/>
    <n v="0"/>
    <x v="1"/>
    <n v="0"/>
    <n v="0"/>
    <n v="24"/>
    <n v="66"/>
    <n v="0"/>
    <n v="1434.79"/>
    <n v="389.28"/>
    <m/>
    <n v="1501.8340703569011"/>
    <n v="454.3285679284046"/>
    <n v="0"/>
    <n v="49187.470779999996"/>
    <n v="13345.296959999998"/>
    <n v="0"/>
    <n v="51485.875599975276"/>
    <n v="15575.291965721564"/>
  </r>
  <r>
    <s v="PROJETADO"/>
    <x v="1"/>
    <x v="2"/>
    <x v="7"/>
    <x v="2"/>
    <x v="0"/>
    <x v="0"/>
    <x v="2"/>
    <x v="11"/>
    <n v="0"/>
    <n v="0"/>
    <n v="1.4259999999999999"/>
    <n v="1.4259999999999999"/>
    <n v="1.4259999999999999"/>
    <n v="1.4259999999999999"/>
    <n v="0"/>
    <x v="1"/>
    <n v="0"/>
    <n v="0"/>
    <n v="24"/>
    <n v="66"/>
    <n v="0"/>
    <n v="1434.79"/>
    <n v="389.28"/>
    <m/>
    <n v="1501.8340703569011"/>
    <n v="454.3285679284046"/>
    <n v="0"/>
    <n v="2046.0105399999998"/>
    <n v="555.11327999999992"/>
    <n v="0"/>
    <n v="2141.6153843289408"/>
    <n v="647.87253786590497"/>
  </r>
  <r>
    <s v="Sistema Isolado - Regular"/>
    <x v="1"/>
    <x v="2"/>
    <x v="5"/>
    <x v="3"/>
    <x v="2"/>
    <x v="0"/>
    <x v="0"/>
    <x v="8"/>
    <n v="0"/>
    <n v="0"/>
    <n v="4.34"/>
    <n v="0.86799999999999999"/>
    <n v="4.34"/>
    <n v="0.86799999999999999"/>
    <n v="0"/>
    <x v="1"/>
    <n v="0"/>
    <n v="0"/>
    <n v="19"/>
    <n v="67"/>
    <n v="0"/>
    <n v="149.63"/>
    <n v="230.03"/>
    <m/>
    <n v="54.203801879475932"/>
    <n v="282.91739971702214"/>
    <n v="0"/>
    <n v="129.87884"/>
    <n v="199.66604000000001"/>
    <n v="0"/>
    <n v="47.048900031385109"/>
    <n v="245.5723029543752"/>
  </r>
  <r>
    <s v="Sistema Isolado - Regular"/>
    <x v="1"/>
    <x v="2"/>
    <x v="5"/>
    <x v="3"/>
    <x v="2"/>
    <x v="0"/>
    <x v="0"/>
    <x v="9"/>
    <n v="0"/>
    <n v="0"/>
    <n v="12.124000000000001"/>
    <n v="2.4247999999999998"/>
    <n v="12.124000000000001"/>
    <n v="2.4247999999999998"/>
    <n v="0"/>
    <x v="1"/>
    <n v="0"/>
    <n v="0"/>
    <n v="19"/>
    <n v="67"/>
    <n v="0"/>
    <n v="149.63"/>
    <n v="230.03"/>
    <m/>
    <n v="54.203801879475932"/>
    <n v="282.91739971702214"/>
    <n v="0"/>
    <n v="362.82282399999997"/>
    <n v="557.77674400000001"/>
    <n v="0"/>
    <n v="131.43337879735324"/>
    <n v="686.01811083383518"/>
  </r>
  <r>
    <s v="Sistema Isolado - Refaturamento"/>
    <x v="1"/>
    <x v="2"/>
    <x v="5"/>
    <x v="3"/>
    <x v="2"/>
    <x v="0"/>
    <x v="0"/>
    <x v="9"/>
    <n v="0"/>
    <n v="0"/>
    <n v="14.76"/>
    <n v="2.952"/>
    <n v="14.76"/>
    <n v="2.952"/>
    <n v="0"/>
    <x v="1"/>
    <n v="0"/>
    <n v="0"/>
    <n v="19"/>
    <n v="67"/>
    <n v="0"/>
    <n v="149.63"/>
    <n v="230.03"/>
    <m/>
    <n v="54.203801879475932"/>
    <n v="282.91739971702214"/>
    <n v="0"/>
    <n v="441.70776000000001"/>
    <n v="679.04855999999995"/>
    <n v="0"/>
    <n v="160.00962314821294"/>
    <n v="835.17216396464937"/>
  </r>
  <r>
    <s v="Sistema Isolado - Regular"/>
    <x v="1"/>
    <x v="2"/>
    <x v="5"/>
    <x v="3"/>
    <x v="2"/>
    <x v="0"/>
    <x v="0"/>
    <x v="10"/>
    <n v="0"/>
    <n v="0"/>
    <n v="13.739000000000001"/>
    <n v="2.7477999999999998"/>
    <n v="13.739000000000001"/>
    <n v="2.7477999999999998"/>
    <n v="0"/>
    <x v="1"/>
    <n v="0"/>
    <n v="0"/>
    <n v="19"/>
    <n v="67"/>
    <n v="0"/>
    <n v="149.63"/>
    <n v="230.03"/>
    <m/>
    <n v="54.203801879475932"/>
    <n v="282.91739971702214"/>
    <n v="0"/>
    <n v="411.15331399999997"/>
    <n v="632.07643399999995"/>
    <n v="0"/>
    <n v="148.94120680442396"/>
    <n v="777.40043094243333"/>
  </r>
  <r>
    <s v="PROJETADO"/>
    <x v="1"/>
    <x v="2"/>
    <x v="5"/>
    <x v="3"/>
    <x v="2"/>
    <x v="0"/>
    <x v="0"/>
    <x v="11"/>
    <n v="0"/>
    <n v="0"/>
    <n v="13.739000000000001"/>
    <n v="2.7477999999999998"/>
    <n v="13.739000000000001"/>
    <n v="2.7477999999999998"/>
    <n v="0"/>
    <x v="1"/>
    <n v="0"/>
    <n v="0"/>
    <n v="19"/>
    <n v="67"/>
    <n v="0"/>
    <n v="149.63"/>
    <n v="230.03"/>
    <m/>
    <n v="54.203801879475932"/>
    <n v="282.91739971702214"/>
    <n v="0"/>
    <n v="411.15331399999997"/>
    <n v="632.07643399999995"/>
    <n v="0"/>
    <n v="148.94120680442396"/>
    <n v="777.40043094243333"/>
  </r>
  <r>
    <s v="Sistema Isolado - Regular"/>
    <x v="1"/>
    <x v="2"/>
    <x v="5"/>
    <x v="3"/>
    <x v="2"/>
    <x v="0"/>
    <x v="2"/>
    <x v="8"/>
    <n v="0"/>
    <n v="0"/>
    <n v="3.7519999999999998"/>
    <n v="0.75039999999999996"/>
    <n v="3.7519999999999998"/>
    <n v="0.75039999999999996"/>
    <n v="0"/>
    <x v="1"/>
    <n v="0"/>
    <n v="0"/>
    <n v="24"/>
    <n v="66"/>
    <n v="0"/>
    <n v="1434.79"/>
    <n v="389.28"/>
    <m/>
    <n v="1501.8340703569011"/>
    <n v="454.3285679284046"/>
    <n v="0"/>
    <n v="1076.6664159999998"/>
    <n v="292.11571199999997"/>
    <n v="0"/>
    <n v="1126.9762863958185"/>
    <n v="340.92815737347479"/>
  </r>
  <r>
    <s v="Sistema Isolado - Regular"/>
    <x v="1"/>
    <x v="2"/>
    <x v="5"/>
    <x v="3"/>
    <x v="2"/>
    <x v="0"/>
    <x v="2"/>
    <x v="9"/>
    <n v="0"/>
    <n v="0"/>
    <n v="0.28000000000000003"/>
    <n v="5.6000000000000001E-2"/>
    <n v="0.28000000000000003"/>
    <n v="5.6000000000000001E-2"/>
    <n v="0"/>
    <x v="1"/>
    <n v="0"/>
    <n v="0"/>
    <n v="24"/>
    <n v="66"/>
    <n v="0"/>
    <n v="1434.79"/>
    <n v="389.28"/>
    <m/>
    <n v="1501.8340703569011"/>
    <n v="454.3285679284046"/>
    <n v="0"/>
    <n v="80.348240000000004"/>
    <n v="21.799679999999999"/>
    <n v="0"/>
    <n v="84.102707939986459"/>
    <n v="25.442399803990657"/>
  </r>
  <r>
    <s v="Sistema Isolado - Regular"/>
    <x v="1"/>
    <x v="2"/>
    <x v="5"/>
    <x v="3"/>
    <x v="2"/>
    <x v="0"/>
    <x v="2"/>
    <x v="10"/>
    <n v="0"/>
    <n v="0"/>
    <n v="0.313"/>
    <n v="6.2600000000000003E-2"/>
    <n v="0.313"/>
    <n v="6.2600000000000003E-2"/>
    <n v="0"/>
    <x v="1"/>
    <n v="0"/>
    <n v="0"/>
    <n v="24"/>
    <n v="66"/>
    <n v="0"/>
    <n v="1434.79"/>
    <n v="389.28"/>
    <m/>
    <n v="1501.8340703569011"/>
    <n v="454.3285679284046"/>
    <n v="0"/>
    <n v="89.817853999999997"/>
    <n v="24.368928"/>
    <n v="0"/>
    <n v="94.014812804342014"/>
    <n v="28.44096835231813"/>
  </r>
  <r>
    <s v="PROJETADO"/>
    <x v="1"/>
    <x v="2"/>
    <x v="5"/>
    <x v="3"/>
    <x v="2"/>
    <x v="0"/>
    <x v="2"/>
    <x v="11"/>
    <n v="0"/>
    <n v="0"/>
    <n v="0.313"/>
    <n v="6.2600000000000003E-2"/>
    <n v="0.313"/>
    <n v="6.2600000000000003E-2"/>
    <n v="0"/>
    <x v="1"/>
    <n v="0"/>
    <n v="0"/>
    <n v="24"/>
    <n v="66"/>
    <n v="0"/>
    <n v="1434.79"/>
    <n v="389.28"/>
    <m/>
    <n v="1501.8340703569011"/>
    <n v="454.3285679284046"/>
    <n v="0"/>
    <n v="89.817853999999997"/>
    <n v="24.368928"/>
    <n v="0"/>
    <n v="94.014812804342014"/>
    <n v="28.44096835231813"/>
  </r>
  <r>
    <s v="Sistema Isolado - Regular"/>
    <x v="1"/>
    <x v="2"/>
    <x v="5"/>
    <x v="3"/>
    <x v="3"/>
    <x v="0"/>
    <x v="0"/>
    <x v="8"/>
    <n v="0"/>
    <n v="0"/>
    <n v="3.7240000000000002"/>
    <n v="3.5005600000000001"/>
    <n v="3.7240000000000002"/>
    <n v="3.5005600000000001"/>
    <n v="0"/>
    <x v="1"/>
    <n v="0"/>
    <n v="0"/>
    <n v="19"/>
    <n v="67"/>
    <n v="0"/>
    <n v="149.63"/>
    <n v="230.03"/>
    <m/>
    <n v="54.203801879475932"/>
    <n v="282.91739971702214"/>
    <n v="0"/>
    <n v="523.78879280000001"/>
    <n v="805.2338168"/>
    <n v="0"/>
    <n v="189.74366070721828"/>
    <n v="990.36933275341903"/>
  </r>
  <r>
    <s v="Sistema Isolado - Regular"/>
    <x v="1"/>
    <x v="2"/>
    <x v="5"/>
    <x v="3"/>
    <x v="3"/>
    <x v="0"/>
    <x v="0"/>
    <x v="9"/>
    <n v="0"/>
    <n v="0"/>
    <n v="7.1680000000000001"/>
    <n v="6.7379199999999999"/>
    <n v="7.1680000000000001"/>
    <n v="6.7379199999999999"/>
    <n v="0"/>
    <x v="1"/>
    <n v="0"/>
    <n v="0"/>
    <n v="19"/>
    <n v="67"/>
    <n v="0"/>
    <n v="149.63"/>
    <n v="230.03"/>
    <m/>
    <n v="54.203801879475932"/>
    <n v="282.91739971702214"/>
    <n v="0"/>
    <n v="1008.1949695999999"/>
    <n v="1549.9237376000001"/>
    <n v="0"/>
    <n v="365.22088075975847"/>
    <n v="1906.2748059013177"/>
  </r>
  <r>
    <s v="Sistema Isolado - Refaturamento"/>
    <x v="1"/>
    <x v="2"/>
    <x v="5"/>
    <x v="3"/>
    <x v="3"/>
    <x v="0"/>
    <x v="0"/>
    <x v="9"/>
    <n v="0"/>
    <n v="0"/>
    <n v="3.6589999999999998"/>
    <n v="3.4394599999999995"/>
    <n v="3.6589999999999998"/>
    <n v="3.4394599999999995"/>
    <n v="0"/>
    <x v="1"/>
    <n v="0"/>
    <n v="0"/>
    <n v="19"/>
    <n v="67"/>
    <n v="0"/>
    <n v="149.63"/>
    <n v="230.03"/>
    <m/>
    <n v="54.203801879475932"/>
    <n v="282.91739971702214"/>
    <n v="0"/>
    <n v="514.64639979999993"/>
    <n v="791.17898379999986"/>
    <n v="0"/>
    <n v="186.43180841238225"/>
    <n v="973.08307963070877"/>
  </r>
  <r>
    <s v="Sistema Isolado - Regular"/>
    <x v="1"/>
    <x v="2"/>
    <x v="5"/>
    <x v="3"/>
    <x v="3"/>
    <x v="0"/>
    <x v="0"/>
    <x v="10"/>
    <n v="0"/>
    <n v="0"/>
    <n v="11.260999999999999"/>
    <n v="10.585339999999999"/>
    <n v="11.260999999999999"/>
    <n v="10.585339999999999"/>
    <n v="0"/>
    <x v="1"/>
    <n v="0"/>
    <n v="0"/>
    <n v="19"/>
    <n v="67"/>
    <n v="0"/>
    <n v="149.63"/>
    <n v="230.03"/>
    <m/>
    <n v="54.203801879475932"/>
    <n v="282.91739971702214"/>
    <n v="0"/>
    <n v="1583.8844241999998"/>
    <n v="2434.9457601999998"/>
    <n v="0"/>
    <n v="573.76567218689172"/>
    <n v="2994.7768679205828"/>
  </r>
  <r>
    <s v="PROJETADO"/>
    <x v="1"/>
    <x v="2"/>
    <x v="5"/>
    <x v="3"/>
    <x v="3"/>
    <x v="0"/>
    <x v="0"/>
    <x v="11"/>
    <n v="0"/>
    <n v="0"/>
    <n v="11.260999999999999"/>
    <n v="10.585339999999999"/>
    <n v="11.260999999999999"/>
    <n v="10.585339999999999"/>
    <n v="0"/>
    <x v="1"/>
    <n v="0"/>
    <n v="0"/>
    <n v="19"/>
    <n v="67"/>
    <n v="0"/>
    <n v="149.63"/>
    <n v="230.03"/>
    <m/>
    <n v="54.203801879475932"/>
    <n v="282.91739971702214"/>
    <n v="0"/>
    <n v="1583.8844241999998"/>
    <n v="2434.9457601999998"/>
    <n v="0"/>
    <n v="573.76567218689172"/>
    <n v="2994.7768679205828"/>
  </r>
  <r>
    <s v="Sistema Isolado - Regular"/>
    <x v="1"/>
    <x v="2"/>
    <x v="5"/>
    <x v="3"/>
    <x v="0"/>
    <x v="0"/>
    <x v="1"/>
    <x v="8"/>
    <n v="43"/>
    <n v="40.419999999999995"/>
    <n v="0"/>
    <n v="0"/>
    <n v="0"/>
    <n v="0"/>
    <n v="1"/>
    <x v="1"/>
    <n v="0"/>
    <n v="23"/>
    <n v="0"/>
    <n v="0"/>
    <n v="28.57"/>
    <n v="0"/>
    <n v="0"/>
    <n v="31.93064187172984"/>
    <m/>
    <m/>
    <n v="1154.7993999999999"/>
    <n v="0"/>
    <n v="0"/>
    <n v="1290.6365444553201"/>
    <n v="0"/>
    <n v="0"/>
  </r>
  <r>
    <s v="Sistema Isolado - Regular"/>
    <x v="1"/>
    <x v="2"/>
    <x v="5"/>
    <x v="3"/>
    <x v="0"/>
    <x v="0"/>
    <x v="1"/>
    <x v="9"/>
    <n v="88"/>
    <n v="82.72"/>
    <n v="0"/>
    <n v="0"/>
    <n v="0"/>
    <n v="0"/>
    <n v="1"/>
    <x v="1"/>
    <n v="0"/>
    <n v="23"/>
    <n v="0"/>
    <n v="0"/>
    <n v="28.57"/>
    <n v="0"/>
    <n v="0"/>
    <n v="31.93064187172984"/>
    <m/>
    <m/>
    <n v="2363.3103999999998"/>
    <n v="0"/>
    <n v="0"/>
    <n v="2641.3026956294925"/>
    <n v="0"/>
    <n v="0"/>
  </r>
  <r>
    <s v="Sistema Isolado - Regular"/>
    <x v="1"/>
    <x v="2"/>
    <x v="5"/>
    <x v="3"/>
    <x v="0"/>
    <x v="0"/>
    <x v="1"/>
    <x v="10"/>
    <n v="50"/>
    <n v="47"/>
    <n v="0"/>
    <n v="0"/>
    <n v="0"/>
    <n v="0"/>
    <n v="1"/>
    <x v="1"/>
    <n v="0"/>
    <n v="23"/>
    <n v="0"/>
    <n v="0"/>
    <n v="28.57"/>
    <n v="0"/>
    <n v="0"/>
    <n v="31.93064187172984"/>
    <m/>
    <m/>
    <n v="1342.79"/>
    <n v="0"/>
    <n v="0"/>
    <n v="1500.7401679713025"/>
    <n v="0"/>
    <n v="0"/>
  </r>
  <r>
    <s v="PROJETADO"/>
    <x v="1"/>
    <x v="2"/>
    <x v="5"/>
    <x v="3"/>
    <x v="0"/>
    <x v="0"/>
    <x v="1"/>
    <x v="11"/>
    <n v="50"/>
    <n v="47"/>
    <n v="0"/>
    <n v="0"/>
    <n v="0"/>
    <n v="0"/>
    <n v="1"/>
    <x v="1"/>
    <n v="0"/>
    <n v="23"/>
    <n v="0"/>
    <n v="0"/>
    <n v="28.57"/>
    <n v="0"/>
    <n v="0"/>
    <n v="31.93064187172984"/>
    <m/>
    <m/>
    <n v="1342.79"/>
    <n v="0"/>
    <n v="0"/>
    <n v="1500.7401679713025"/>
    <n v="0"/>
    <n v="0"/>
  </r>
  <r>
    <s v="Sistema Isolado - Refaturamento"/>
    <x v="1"/>
    <x v="2"/>
    <x v="5"/>
    <x v="3"/>
    <x v="0"/>
    <x v="0"/>
    <x v="2"/>
    <x v="9"/>
    <n v="0"/>
    <n v="0"/>
    <n v="-8.6419999999999995"/>
    <n v="-8.1234799999999989"/>
    <n v="-8.6419999999999995"/>
    <n v="-8.1234799999999989"/>
    <n v="0"/>
    <x v="1"/>
    <n v="0"/>
    <n v="0"/>
    <n v="24"/>
    <n v="66"/>
    <n v="0"/>
    <n v="1434.79"/>
    <n v="389.28"/>
    <m/>
    <n v="1501.8340703569011"/>
    <n v="454.3285679284046"/>
    <n v="0"/>
    <n v="-11655.487869199998"/>
    <n v="-3162.3082943999993"/>
    <n v="0"/>
    <n v="-12200.119033862877"/>
    <n v="-3690.7290349950358"/>
  </r>
  <r>
    <s v="Regular"/>
    <x v="1"/>
    <x v="2"/>
    <x v="5"/>
    <x v="0"/>
    <x v="0"/>
    <x v="0"/>
    <x v="0"/>
    <x v="0"/>
    <n v="0"/>
    <n v="0"/>
    <n v="603.09500000000003"/>
    <n v="566.90930000000003"/>
    <n v="603.09500000000003"/>
    <n v="566.90930000000003"/>
    <n v="0"/>
    <x v="1"/>
    <n v="0"/>
    <n v="0"/>
    <n v="19"/>
    <n v="67"/>
    <n v="0"/>
    <n v="149.63"/>
    <n v="230.03"/>
    <m/>
    <n v="54.203801879475932"/>
    <n v="282.91739971702214"/>
    <n v="0"/>
    <n v="84826.638558999999"/>
    <n v="130406.14627900001"/>
    <n v="0"/>
    <n v="30728.639380832388"/>
    <n v="160388.50503139722"/>
  </r>
  <r>
    <s v="Sistema Isolado - Regular"/>
    <x v="1"/>
    <x v="2"/>
    <x v="5"/>
    <x v="0"/>
    <x v="0"/>
    <x v="0"/>
    <x v="0"/>
    <x v="0"/>
    <n v="0"/>
    <n v="0"/>
    <n v="91.853999999999999"/>
    <n v="86.342759999999998"/>
    <n v="91.853999999999999"/>
    <n v="86.342759999999998"/>
    <n v="0"/>
    <x v="1"/>
    <n v="0"/>
    <n v="0"/>
    <n v="19"/>
    <n v="67"/>
    <n v="0"/>
    <n v="149.63"/>
    <n v="230.03"/>
    <m/>
    <n v="54.203801879475932"/>
    <n v="282.91739971702214"/>
    <n v="0"/>
    <n v="12919.4671788"/>
    <n v="19861.4250828"/>
    <n v="0"/>
    <n v="4680.1058567671389"/>
    <n v="24427.86914359091"/>
  </r>
  <r>
    <s v="Regular"/>
    <x v="1"/>
    <x v="2"/>
    <x v="5"/>
    <x v="0"/>
    <x v="0"/>
    <x v="0"/>
    <x v="0"/>
    <x v="1"/>
    <n v="0"/>
    <n v="0"/>
    <n v="599.38499999999999"/>
    <n v="563.42189999999994"/>
    <n v="599.38499999999999"/>
    <n v="563.42189999999994"/>
    <n v="0"/>
    <x v="1"/>
    <n v="0"/>
    <n v="0"/>
    <n v="19"/>
    <n v="67"/>
    <n v="0"/>
    <n v="149.63"/>
    <n v="230.03"/>
    <m/>
    <n v="54.203801879475932"/>
    <n v="282.91739971702214"/>
    <n v="0"/>
    <n v="84304.81889699999"/>
    <n v="129603.93965699998"/>
    <n v="0"/>
    <n v="30539.609042157899"/>
    <n v="159401.85889162406"/>
  </r>
  <r>
    <s v="Sistema Isolado - Regular"/>
    <x v="1"/>
    <x v="2"/>
    <x v="5"/>
    <x v="0"/>
    <x v="0"/>
    <x v="0"/>
    <x v="0"/>
    <x v="1"/>
    <n v="0"/>
    <n v="0"/>
    <n v="99.043999999999997"/>
    <n v="93.101359999999985"/>
    <n v="99.043999999999997"/>
    <n v="93.101359999999985"/>
    <n v="0"/>
    <x v="1"/>
    <n v="0"/>
    <n v="0"/>
    <n v="19"/>
    <n v="67"/>
    <n v="0"/>
    <n v="149.63"/>
    <n v="230.03"/>
    <m/>
    <n v="54.203801879475932"/>
    <n v="282.91739971702214"/>
    <n v="0"/>
    <n v="13930.756496799997"/>
    <n v="21416.105840799995"/>
    <n v="0"/>
    <n v="5046.4476721497649"/>
    <n v="26339.994681318371"/>
  </r>
  <r>
    <s v="Regular"/>
    <x v="1"/>
    <x v="2"/>
    <x v="5"/>
    <x v="0"/>
    <x v="0"/>
    <x v="0"/>
    <x v="0"/>
    <x v="2"/>
    <n v="0"/>
    <n v="0"/>
    <n v="532.41700000000003"/>
    <n v="500.47197999999997"/>
    <n v="532.41700000000003"/>
    <n v="500.47197999999997"/>
    <n v="0"/>
    <x v="1"/>
    <n v="0"/>
    <n v="0"/>
    <n v="19"/>
    <n v="67"/>
    <n v="0"/>
    <n v="149.63"/>
    <n v="230.03"/>
    <m/>
    <n v="54.203801879475932"/>
    <n v="282.91739971702214"/>
    <n v="0"/>
    <n v="74885.622367399992"/>
    <n v="115123.5695594"/>
    <n v="0"/>
    <n v="27127.48405014904"/>
    <n v="141592.2312128295"/>
  </r>
  <r>
    <s v="Sistema Isolado - Regular"/>
    <x v="1"/>
    <x v="2"/>
    <x v="5"/>
    <x v="0"/>
    <x v="0"/>
    <x v="0"/>
    <x v="0"/>
    <x v="2"/>
    <n v="0"/>
    <n v="0"/>
    <n v="104.44"/>
    <n v="98.173599999999993"/>
    <n v="104.44"/>
    <n v="98.173599999999993"/>
    <n v="0"/>
    <x v="1"/>
    <n v="0"/>
    <n v="0"/>
    <n v="19"/>
    <n v="67"/>
    <n v="0"/>
    <n v="149.63"/>
    <n v="230.03"/>
    <m/>
    <n v="54.203801879475932"/>
    <n v="282.91739971702214"/>
    <n v="0"/>
    <n v="14689.715767999998"/>
    <n v="22582.873207999997"/>
    <n v="0"/>
    <n v="5321.3823641949184"/>
    <n v="27775.019632859043"/>
  </r>
  <r>
    <s v="Regular"/>
    <x v="1"/>
    <x v="2"/>
    <x v="5"/>
    <x v="0"/>
    <x v="0"/>
    <x v="0"/>
    <x v="0"/>
    <x v="3"/>
    <n v="0"/>
    <n v="0"/>
    <n v="510.512"/>
    <n v="479.88127999999995"/>
    <n v="510.512"/>
    <n v="479.88127999999995"/>
    <n v="0"/>
    <x v="1"/>
    <n v="0"/>
    <n v="0"/>
    <n v="19"/>
    <n v="67"/>
    <n v="0"/>
    <n v="149.63"/>
    <n v="230.03"/>
    <m/>
    <n v="54.203801879475932"/>
    <n v="282.91739971702214"/>
    <n v="0"/>
    <n v="71804.635926399991"/>
    <n v="110387.09083839999"/>
    <n v="0"/>
    <n v="26011.389826789313"/>
    <n v="135766.76391047621"/>
  </r>
  <r>
    <s v="Sistema Isolado - Regular"/>
    <x v="1"/>
    <x v="2"/>
    <x v="5"/>
    <x v="0"/>
    <x v="0"/>
    <x v="0"/>
    <x v="0"/>
    <x v="3"/>
    <n v="0"/>
    <n v="0"/>
    <n v="91.816999999999993"/>
    <n v="86.307979999999986"/>
    <n v="91.816999999999993"/>
    <n v="86.307979999999986"/>
    <n v="0"/>
    <x v="1"/>
    <n v="0"/>
    <n v="0"/>
    <n v="19"/>
    <n v="67"/>
    <n v="0"/>
    <n v="149.63"/>
    <n v="230.03"/>
    <m/>
    <n v="54.203801879475932"/>
    <n v="282.91739971702214"/>
    <n v="0"/>
    <n v="12914.263047399998"/>
    <n v="19853.424639399997"/>
    <n v="0"/>
    <n v="4678.2206485377701"/>
    <n v="24418.029276428748"/>
  </r>
  <r>
    <s v="Regular"/>
    <x v="1"/>
    <x v="2"/>
    <x v="5"/>
    <x v="0"/>
    <x v="0"/>
    <x v="0"/>
    <x v="0"/>
    <x v="4"/>
    <n v="0"/>
    <n v="0"/>
    <n v="660.69299999999998"/>
    <n v="621.05141999999989"/>
    <n v="660.69299999999998"/>
    <n v="621.05141999999989"/>
    <n v="0"/>
    <x v="1"/>
    <n v="0"/>
    <n v="0"/>
    <n v="19"/>
    <n v="67"/>
    <n v="0"/>
    <n v="149.63"/>
    <n v="230.03"/>
    <m/>
    <n v="54.203801879475932"/>
    <n v="282.91739971702214"/>
    <n v="0"/>
    <n v="92927.92397459998"/>
    <n v="142860.45814259996"/>
    <n v="0"/>
    <n v="33663.348126647194"/>
    <n v="175706.25283696415"/>
  </r>
  <r>
    <s v="Sistema Isolado - Regular"/>
    <x v="1"/>
    <x v="2"/>
    <x v="5"/>
    <x v="0"/>
    <x v="0"/>
    <x v="0"/>
    <x v="0"/>
    <x v="4"/>
    <n v="0"/>
    <n v="0"/>
    <n v="87.51"/>
    <n v="82.259399999999999"/>
    <n v="87.51"/>
    <n v="82.259399999999999"/>
    <n v="0"/>
    <x v="1"/>
    <n v="0"/>
    <n v="0"/>
    <n v="19"/>
    <n v="67"/>
    <n v="0"/>
    <n v="149.63"/>
    <n v="230.03"/>
    <m/>
    <n v="54.203801879475932"/>
    <n v="282.91739971702214"/>
    <n v="0"/>
    <n v="12308.474022"/>
    <n v="18922.129782"/>
    <n v="0"/>
    <n v="4458.7722203245621"/>
    <n v="23272.615550282411"/>
  </r>
  <r>
    <s v="Regular"/>
    <x v="1"/>
    <x v="2"/>
    <x v="5"/>
    <x v="0"/>
    <x v="0"/>
    <x v="0"/>
    <x v="0"/>
    <x v="5"/>
    <n v="0"/>
    <n v="0"/>
    <n v="627.84500000000003"/>
    <n v="590.17430000000002"/>
    <n v="627.84500000000003"/>
    <n v="590.17430000000002"/>
    <n v="0"/>
    <x v="1"/>
    <n v="0"/>
    <n v="0"/>
    <n v="19"/>
    <n v="67"/>
    <n v="0"/>
    <n v="149.63"/>
    <n v="230.03"/>
    <m/>
    <n v="54.203801879475932"/>
    <n v="282.91739971702214"/>
    <n v="0"/>
    <n v="88307.780509000004"/>
    <n v="135757.79422899999"/>
    <n v="0"/>
    <n v="31989.690831558393"/>
    <n v="166970.57833581374"/>
  </r>
  <r>
    <s v="Sistema Isolado - Regular"/>
    <x v="1"/>
    <x v="2"/>
    <x v="5"/>
    <x v="0"/>
    <x v="0"/>
    <x v="0"/>
    <x v="0"/>
    <x v="5"/>
    <n v="0"/>
    <n v="0"/>
    <n v="103.523"/>
    <n v="97.311619999999991"/>
    <n v="103.523"/>
    <n v="97.311619999999991"/>
    <n v="0"/>
    <x v="1"/>
    <n v="0"/>
    <n v="0"/>
    <n v="19"/>
    <n v="67"/>
    <n v="0"/>
    <n v="149.63"/>
    <n v="230.03"/>
    <m/>
    <n v="54.203801879475932"/>
    <n v="282.91739971702214"/>
    <n v="0"/>
    <n v="14560.737700599999"/>
    <n v="22384.591948599998"/>
    <n v="0"/>
    <n v="5274.6597710508477"/>
    <n v="27531.150492650962"/>
  </r>
  <r>
    <s v="Regular"/>
    <x v="1"/>
    <x v="2"/>
    <x v="5"/>
    <x v="0"/>
    <x v="0"/>
    <x v="0"/>
    <x v="0"/>
    <x v="6"/>
    <n v="0"/>
    <n v="0"/>
    <n v="751.38199999999995"/>
    <n v="706.29908"/>
    <n v="751.38199999999995"/>
    <n v="706.29908"/>
    <n v="0"/>
    <x v="1"/>
    <n v="0"/>
    <n v="0"/>
    <n v="19"/>
    <n v="67"/>
    <n v="0"/>
    <n v="149.63"/>
    <n v="230.03"/>
    <m/>
    <n v="54.203801879475932"/>
    <n v="282.91739971702214"/>
    <n v="0"/>
    <n v="105683.5313404"/>
    <n v="162469.9773724"/>
    <n v="0"/>
    <n v="38284.095399976119"/>
    <n v="199824.29913612499"/>
  </r>
  <r>
    <s v="Sistema Isolado - Regular"/>
    <x v="1"/>
    <x v="2"/>
    <x v="5"/>
    <x v="0"/>
    <x v="0"/>
    <x v="0"/>
    <x v="0"/>
    <x v="6"/>
    <n v="0"/>
    <n v="0"/>
    <n v="105.182"/>
    <n v="98.871080000000006"/>
    <n v="105.182"/>
    <n v="98.871080000000006"/>
    <n v="0"/>
    <x v="1"/>
    <n v="0"/>
    <n v="0"/>
    <n v="19"/>
    <n v="67"/>
    <n v="0"/>
    <n v="149.63"/>
    <n v="230.03"/>
    <m/>
    <n v="54.203801879475932"/>
    <n v="282.91739971702214"/>
    <n v="0"/>
    <n v="14794.0797004"/>
    <n v="22743.314532400003"/>
    <n v="0"/>
    <n v="5359.188431929816"/>
    <n v="27972.348860813676"/>
  </r>
  <r>
    <s v="Regular"/>
    <x v="1"/>
    <x v="2"/>
    <x v="5"/>
    <x v="0"/>
    <x v="0"/>
    <x v="0"/>
    <x v="0"/>
    <x v="7"/>
    <n v="0"/>
    <n v="0"/>
    <n v="690.61699999999996"/>
    <n v="649.17998"/>
    <n v="690.61699999999996"/>
    <n v="649.17998"/>
    <n v="0"/>
    <x v="1"/>
    <n v="0"/>
    <n v="0"/>
    <n v="19"/>
    <n v="67"/>
    <n v="0"/>
    <n v="149.63"/>
    <n v="230.03"/>
    <m/>
    <n v="54.203801879475932"/>
    <n v="282.91739971702214"/>
    <n v="0"/>
    <n v="97136.800407399991"/>
    <n v="149330.8707994"/>
    <n v="0"/>
    <n v="35188.02302004215"/>
    <n v="183664.31188994844"/>
  </r>
  <r>
    <s v="Sistema Isolado - Regular"/>
    <x v="1"/>
    <x v="2"/>
    <x v="5"/>
    <x v="0"/>
    <x v="0"/>
    <x v="0"/>
    <x v="0"/>
    <x v="7"/>
    <n v="0"/>
    <n v="0"/>
    <n v="87.930999999999997"/>
    <n v="82.655139999999989"/>
    <n v="87.930999999999997"/>
    <n v="82.655139999999989"/>
    <n v="0"/>
    <x v="1"/>
    <n v="0"/>
    <n v="0"/>
    <n v="19"/>
    <n v="67"/>
    <n v="0"/>
    <n v="149.63"/>
    <n v="230.03"/>
    <m/>
    <n v="54.203801879475932"/>
    <n v="282.91739971702214"/>
    <n v="0"/>
    <n v="12367.688598199999"/>
    <n v="19013.161854199996"/>
    <n v="0"/>
    <n v="4480.2228328803458"/>
    <n v="23384.577282046423"/>
  </r>
  <r>
    <s v="Regular"/>
    <x v="1"/>
    <x v="2"/>
    <x v="5"/>
    <x v="0"/>
    <x v="0"/>
    <x v="0"/>
    <x v="0"/>
    <x v="8"/>
    <n v="0"/>
    <n v="0"/>
    <n v="730.80399999999997"/>
    <n v="686.95576000000005"/>
    <n v="730.80399999999997"/>
    <n v="686.95576000000005"/>
    <n v="0"/>
    <x v="1"/>
    <n v="0"/>
    <n v="0"/>
    <n v="19"/>
    <n v="67"/>
    <n v="0"/>
    <n v="149.63"/>
    <n v="230.03"/>
    <m/>
    <n v="54.203801879475932"/>
    <n v="282.91739971702214"/>
    <n v="0"/>
    <n v="102789.1903688"/>
    <n v="158020.43347280001"/>
    <n v="0"/>
    <n v="37235.613915004818"/>
    <n v="194351.73733983075"/>
  </r>
  <r>
    <s v="Sistema Isolado - Regular"/>
    <x v="1"/>
    <x v="2"/>
    <x v="5"/>
    <x v="0"/>
    <x v="0"/>
    <x v="0"/>
    <x v="0"/>
    <x v="8"/>
    <n v="0"/>
    <n v="0"/>
    <n v="81.924999999999997"/>
    <n v="77.009500000000003"/>
    <n v="81.924999999999997"/>
    <n v="77.009500000000003"/>
    <n v="0"/>
    <x v="1"/>
    <n v="0"/>
    <n v="0"/>
    <n v="19"/>
    <n v="67"/>
    <n v="0"/>
    <n v="149.63"/>
    <n v="230.03"/>
    <m/>
    <n v="54.203801879475932"/>
    <n v="282.91739971702214"/>
    <n v="0"/>
    <n v="11522.931484999999"/>
    <n v="17714.495285000001"/>
    <n v="0"/>
    <n v="4174.2076808375023"/>
    <n v="21787.327493508015"/>
  </r>
  <r>
    <s v="Sistema de Compensação"/>
    <x v="1"/>
    <x v="2"/>
    <x v="5"/>
    <x v="0"/>
    <x v="0"/>
    <x v="0"/>
    <x v="0"/>
    <x v="8"/>
    <n v="0"/>
    <n v="0"/>
    <n v="7.8120000000000003"/>
    <n v="7.34328"/>
    <n v="7.8120000000000003"/>
    <n v="7.34328"/>
    <n v="0"/>
    <x v="1"/>
    <n v="0"/>
    <n v="0"/>
    <n v="19"/>
    <n v="67"/>
    <n v="0"/>
    <n v="149.63"/>
    <n v="230.03"/>
    <m/>
    <n v="54.203801879475932"/>
    <n v="282.91739971702214"/>
    <n v="0"/>
    <n v="1098.7749864"/>
    <n v="1689.1746984000001"/>
    <n v="0"/>
    <n v="398.03369426551802"/>
    <n v="2077.5416829940145"/>
  </r>
  <r>
    <s v="Regular"/>
    <x v="1"/>
    <x v="2"/>
    <x v="5"/>
    <x v="0"/>
    <x v="0"/>
    <x v="0"/>
    <x v="0"/>
    <x v="9"/>
    <n v="0"/>
    <n v="0"/>
    <n v="725.05899999999997"/>
    <n v="681.55546000000004"/>
    <n v="725.05899999999997"/>
    <n v="681.55546000000004"/>
    <n v="0"/>
    <x v="1"/>
    <n v="0"/>
    <n v="0"/>
    <n v="19"/>
    <n v="67"/>
    <n v="0"/>
    <n v="149.63"/>
    <n v="230.03"/>
    <m/>
    <n v="54.203801879475932"/>
    <n v="282.91739971702214"/>
    <n v="0"/>
    <n v="101981.1434798"/>
    <n v="156778.2024638"/>
    <n v="0"/>
    <n v="36942.897123715084"/>
    <n v="192823.89850613891"/>
  </r>
  <r>
    <s v="Sistema Isolado - Regular"/>
    <x v="1"/>
    <x v="2"/>
    <x v="5"/>
    <x v="0"/>
    <x v="0"/>
    <x v="0"/>
    <x v="0"/>
    <x v="9"/>
    <n v="0"/>
    <n v="0"/>
    <n v="90.111000000000004"/>
    <n v="84.704340000000002"/>
    <n v="90.111000000000004"/>
    <n v="84.704340000000002"/>
    <n v="0"/>
    <x v="1"/>
    <n v="0"/>
    <n v="0"/>
    <n v="19"/>
    <n v="67"/>
    <n v="0"/>
    <n v="149.63"/>
    <n v="230.03"/>
    <m/>
    <n v="54.203801879475932"/>
    <n v="282.91739971702214"/>
    <n v="0"/>
    <n v="12674.3103942"/>
    <n v="19484.539330200001"/>
    <n v="0"/>
    <n v="4591.2972636917684"/>
    <n v="23964.331617546548"/>
  </r>
  <r>
    <s v="Sistema de Compensação"/>
    <x v="1"/>
    <x v="2"/>
    <x v="5"/>
    <x v="0"/>
    <x v="0"/>
    <x v="0"/>
    <x v="0"/>
    <x v="9"/>
    <n v="0"/>
    <n v="0"/>
    <n v="10.981"/>
    <n v="10.322139999999999"/>
    <n v="10.981"/>
    <n v="10.322139999999999"/>
    <n v="0"/>
    <x v="1"/>
    <n v="0"/>
    <n v="0"/>
    <n v="19"/>
    <n v="67"/>
    <n v="0"/>
    <n v="149.63"/>
    <n v="230.03"/>
    <m/>
    <n v="54.203801879475932"/>
    <n v="282.91739971702214"/>
    <n v="0"/>
    <n v="1544.5018081999999"/>
    <n v="2374.4018641999996"/>
    <n v="0"/>
    <n v="559.49923153221368"/>
    <n v="2920.3130083150627"/>
  </r>
  <r>
    <s v="Regular"/>
    <x v="1"/>
    <x v="2"/>
    <x v="5"/>
    <x v="0"/>
    <x v="0"/>
    <x v="0"/>
    <x v="0"/>
    <x v="10"/>
    <n v="0"/>
    <n v="0"/>
    <n v="714.33"/>
    <n v="671.47019999999998"/>
    <n v="714.33"/>
    <n v="671.47019999999998"/>
    <n v="0"/>
    <x v="1"/>
    <n v="0"/>
    <n v="0"/>
    <n v="19"/>
    <n v="67"/>
    <n v="0"/>
    <n v="149.63"/>
    <n v="230.03"/>
    <m/>
    <n v="54.203801879475932"/>
    <n v="282.91739971702214"/>
    <n v="0"/>
    <n v="100472.08602599999"/>
    <n v="154458.290106"/>
    <n v="0"/>
    <n v="36396.237688772082"/>
    <n v="189970.60297146879"/>
  </r>
  <r>
    <s v="Sistema Isolado - Regular"/>
    <x v="1"/>
    <x v="2"/>
    <x v="5"/>
    <x v="0"/>
    <x v="0"/>
    <x v="0"/>
    <x v="0"/>
    <x v="10"/>
    <n v="0"/>
    <n v="0"/>
    <n v="130.505"/>
    <n v="122.6747"/>
    <n v="130.505"/>
    <n v="122.6747"/>
    <n v="0"/>
    <x v="1"/>
    <n v="0"/>
    <n v="0"/>
    <n v="19"/>
    <n v="67"/>
    <n v="0"/>
    <n v="149.63"/>
    <n v="230.03"/>
    <m/>
    <n v="54.203801879475932"/>
    <n v="282.91739971702214"/>
    <n v="0"/>
    <n v="18355.815361000001"/>
    <n v="28218.861240999999"/>
    <n v="0"/>
    <n v="6649.4351344241459"/>
    <n v="34706.807135065777"/>
  </r>
  <r>
    <s v="Sistema de Compensação"/>
    <x v="1"/>
    <x v="2"/>
    <x v="5"/>
    <x v="0"/>
    <x v="0"/>
    <x v="0"/>
    <x v="0"/>
    <x v="10"/>
    <n v="0"/>
    <n v="0"/>
    <n v="16.239999999999998"/>
    <n v="15.265599999999999"/>
    <n v="16.239999999999998"/>
    <n v="15.265599999999999"/>
    <n v="0"/>
    <x v="1"/>
    <n v="0"/>
    <n v="0"/>
    <n v="19"/>
    <n v="67"/>
    <n v="0"/>
    <n v="149.63"/>
    <n v="230.03"/>
    <m/>
    <n v="54.203801879475932"/>
    <n v="282.91739971702214"/>
    <n v="0"/>
    <n v="2284.1917279999998"/>
    <n v="3511.5459679999999"/>
    <n v="0"/>
    <n v="827.45355797132777"/>
    <n v="4318.9038571201727"/>
  </r>
  <r>
    <s v="PROJETADO"/>
    <x v="1"/>
    <x v="2"/>
    <x v="5"/>
    <x v="0"/>
    <x v="0"/>
    <x v="0"/>
    <x v="0"/>
    <x v="11"/>
    <n v="0"/>
    <n v="0"/>
    <n v="714.33"/>
    <n v="671.47019999999998"/>
    <n v="714.33"/>
    <n v="671.47019999999998"/>
    <n v="0"/>
    <x v="1"/>
    <n v="0"/>
    <n v="0"/>
    <n v="19"/>
    <n v="67"/>
    <n v="0"/>
    <n v="149.63"/>
    <n v="230.03"/>
    <m/>
    <n v="54.203801879475932"/>
    <n v="282.91739971702214"/>
    <n v="0"/>
    <n v="100472.08602599999"/>
    <n v="154458.290106"/>
    <n v="0"/>
    <n v="36396.237688772082"/>
    <n v="189970.60297146879"/>
  </r>
  <r>
    <s v="PROJETADO"/>
    <x v="1"/>
    <x v="2"/>
    <x v="5"/>
    <x v="0"/>
    <x v="0"/>
    <x v="0"/>
    <x v="0"/>
    <x v="11"/>
    <n v="0"/>
    <n v="0"/>
    <n v="130.505"/>
    <n v="122.6747"/>
    <n v="130.505"/>
    <n v="122.6747"/>
    <n v="0"/>
    <x v="1"/>
    <n v="0"/>
    <n v="0"/>
    <n v="19"/>
    <n v="67"/>
    <n v="0"/>
    <n v="149.63"/>
    <n v="230.03"/>
    <m/>
    <n v="54.203801879475932"/>
    <n v="282.91739971702214"/>
    <n v="0"/>
    <n v="18355.815361000001"/>
    <n v="28218.861240999999"/>
    <n v="0"/>
    <n v="6649.4351344241459"/>
    <n v="34706.807135065777"/>
  </r>
  <r>
    <s v="PROJETADO"/>
    <x v="1"/>
    <x v="2"/>
    <x v="5"/>
    <x v="0"/>
    <x v="0"/>
    <x v="0"/>
    <x v="0"/>
    <x v="11"/>
    <n v="0"/>
    <n v="0"/>
    <n v="16.239999999999998"/>
    <n v="15.265599999999999"/>
    <n v="16.239999999999998"/>
    <n v="15.265599999999999"/>
    <n v="0"/>
    <x v="1"/>
    <n v="0"/>
    <n v="0"/>
    <n v="19"/>
    <n v="67"/>
    <n v="0"/>
    <n v="149.63"/>
    <n v="230.03"/>
    <m/>
    <n v="54.203801879475932"/>
    <n v="282.91739971702214"/>
    <n v="0"/>
    <n v="2284.1917279999998"/>
    <n v="3511.5459679999999"/>
    <n v="0"/>
    <n v="827.45355797132777"/>
    <n v="4318.9038571201727"/>
  </r>
  <r>
    <s v="Regular"/>
    <x v="1"/>
    <x v="2"/>
    <x v="5"/>
    <x v="0"/>
    <x v="0"/>
    <x v="0"/>
    <x v="1"/>
    <x v="0"/>
    <n v="2386"/>
    <n v="2242.8399999999997"/>
    <n v="0"/>
    <n v="0"/>
    <n v="0"/>
    <n v="0"/>
    <n v="17"/>
    <x v="1"/>
    <n v="0"/>
    <n v="23"/>
    <n v="0"/>
    <n v="0"/>
    <n v="28.57"/>
    <n v="0"/>
    <n v="0"/>
    <n v="31.93064187172984"/>
    <m/>
    <m/>
    <n v="64077.938799999989"/>
    <n v="0"/>
    <n v="0"/>
    <n v="71615.320815590545"/>
    <n v="0"/>
    <n v="0"/>
  </r>
  <r>
    <s v="Sistema Isolado - Regular"/>
    <x v="1"/>
    <x v="2"/>
    <x v="5"/>
    <x v="0"/>
    <x v="0"/>
    <x v="0"/>
    <x v="1"/>
    <x v="0"/>
    <n v="734"/>
    <n v="689.95999999999992"/>
    <n v="0"/>
    <n v="0"/>
    <n v="0"/>
    <n v="0"/>
    <n v="7"/>
    <x v="1"/>
    <n v="0"/>
    <n v="23"/>
    <n v="0"/>
    <n v="0"/>
    <n v="28.57"/>
    <n v="0"/>
    <n v="0"/>
    <n v="31.93064187172984"/>
    <m/>
    <m/>
    <n v="19712.157199999998"/>
    <n v="0"/>
    <n v="0"/>
    <n v="22030.865665818717"/>
    <n v="0"/>
    <n v="0"/>
  </r>
  <r>
    <s v="Regular"/>
    <x v="1"/>
    <x v="2"/>
    <x v="5"/>
    <x v="0"/>
    <x v="0"/>
    <x v="0"/>
    <x v="1"/>
    <x v="1"/>
    <n v="2017"/>
    <n v="1895.9799999999998"/>
    <n v="0"/>
    <n v="0"/>
    <n v="0"/>
    <n v="0"/>
    <n v="13"/>
    <x v="1"/>
    <n v="0"/>
    <n v="23"/>
    <n v="0"/>
    <n v="0"/>
    <n v="28.57"/>
    <n v="0"/>
    <n v="0"/>
    <n v="31.93064187172984"/>
    <m/>
    <m/>
    <n v="54168.148599999993"/>
    <n v="0"/>
    <n v="0"/>
    <n v="60539.858375962336"/>
    <n v="0"/>
    <n v="0"/>
  </r>
  <r>
    <s v="Sistema Isolado - Regular"/>
    <x v="1"/>
    <x v="2"/>
    <x v="5"/>
    <x v="0"/>
    <x v="0"/>
    <x v="0"/>
    <x v="1"/>
    <x v="1"/>
    <n v="732"/>
    <n v="688.07999999999993"/>
    <n v="0"/>
    <n v="0"/>
    <n v="0"/>
    <n v="0"/>
    <n v="7"/>
    <x v="1"/>
    <n v="0"/>
    <n v="23"/>
    <n v="0"/>
    <n v="0"/>
    <n v="28.57"/>
    <n v="0"/>
    <n v="0"/>
    <n v="31.93064187172984"/>
    <m/>
    <m/>
    <n v="19658.445599999999"/>
    <n v="0"/>
    <n v="0"/>
    <n v="21970.836059099867"/>
    <n v="0"/>
    <n v="0"/>
  </r>
  <r>
    <s v="Regular"/>
    <x v="1"/>
    <x v="2"/>
    <x v="5"/>
    <x v="0"/>
    <x v="0"/>
    <x v="0"/>
    <x v="1"/>
    <x v="2"/>
    <n v="2301"/>
    <n v="2162.94"/>
    <n v="0"/>
    <n v="0"/>
    <n v="0"/>
    <n v="0"/>
    <n v="13"/>
    <x v="1"/>
    <n v="0"/>
    <n v="23"/>
    <n v="0"/>
    <n v="0"/>
    <n v="28.57"/>
    <n v="0"/>
    <n v="0"/>
    <n v="31.93064187172984"/>
    <m/>
    <m/>
    <n v="61795.195800000001"/>
    <n v="0"/>
    <n v="0"/>
    <n v="69064.062530039344"/>
    <n v="0"/>
    <n v="0"/>
  </r>
  <r>
    <s v="Sistema Isolado - Regular"/>
    <x v="1"/>
    <x v="2"/>
    <x v="5"/>
    <x v="0"/>
    <x v="0"/>
    <x v="0"/>
    <x v="1"/>
    <x v="2"/>
    <n v="768"/>
    <n v="721.92"/>
    <n v="0"/>
    <n v="0"/>
    <n v="0"/>
    <n v="0"/>
    <n v="7"/>
    <x v="1"/>
    <n v="0"/>
    <n v="23"/>
    <n v="0"/>
    <n v="0"/>
    <n v="28.57"/>
    <n v="0"/>
    <n v="0"/>
    <n v="31.93064187172984"/>
    <m/>
    <m/>
    <n v="20625.254399999998"/>
    <n v="0"/>
    <n v="0"/>
    <n v="23051.368980039206"/>
    <n v="0"/>
    <n v="0"/>
  </r>
  <r>
    <s v="Regular"/>
    <x v="1"/>
    <x v="2"/>
    <x v="5"/>
    <x v="0"/>
    <x v="0"/>
    <x v="0"/>
    <x v="1"/>
    <x v="3"/>
    <n v="1751"/>
    <n v="1645.9399999999998"/>
    <n v="0"/>
    <n v="0"/>
    <n v="0"/>
    <n v="0"/>
    <n v="13"/>
    <x v="1"/>
    <n v="0"/>
    <n v="23"/>
    <n v="0"/>
    <n v="0"/>
    <n v="28.57"/>
    <n v="0"/>
    <n v="0"/>
    <n v="31.93064187172984"/>
    <m/>
    <m/>
    <n v="47024.505799999999"/>
    <n v="0"/>
    <n v="0"/>
    <n v="52555.920682355005"/>
    <n v="0"/>
    <n v="0"/>
  </r>
  <r>
    <s v="Sistema Isolado - Regular"/>
    <x v="1"/>
    <x v="2"/>
    <x v="5"/>
    <x v="0"/>
    <x v="0"/>
    <x v="0"/>
    <x v="1"/>
    <x v="3"/>
    <n v="1103"/>
    <n v="1036.82"/>
    <n v="0"/>
    <n v="0"/>
    <n v="0"/>
    <n v="0"/>
    <n v="7"/>
    <x v="1"/>
    <n v="0"/>
    <n v="23"/>
    <n v="0"/>
    <n v="0"/>
    <n v="28.57"/>
    <n v="0"/>
    <n v="0"/>
    <n v="31.93064187172984"/>
    <m/>
    <m/>
    <n v="29621.947399999997"/>
    <n v="0"/>
    <n v="0"/>
    <n v="33106.328105446933"/>
    <n v="0"/>
    <n v="0"/>
  </r>
  <r>
    <s v="Regular"/>
    <x v="1"/>
    <x v="2"/>
    <x v="5"/>
    <x v="0"/>
    <x v="0"/>
    <x v="0"/>
    <x v="1"/>
    <x v="4"/>
    <n v="3088"/>
    <n v="2902.72"/>
    <n v="0"/>
    <n v="0"/>
    <n v="0"/>
    <n v="0"/>
    <n v="14"/>
    <x v="1"/>
    <n v="0"/>
    <n v="23"/>
    <n v="0"/>
    <n v="0"/>
    <n v="28.57"/>
    <n v="0"/>
    <n v="0"/>
    <n v="31.93064187172984"/>
    <m/>
    <m/>
    <n v="82930.710399999996"/>
    <n v="0"/>
    <n v="0"/>
    <n v="92685.712773907639"/>
    <n v="0"/>
    <n v="0"/>
  </r>
  <r>
    <s v="Sistema Isolado - Regular"/>
    <x v="1"/>
    <x v="2"/>
    <x v="5"/>
    <x v="0"/>
    <x v="0"/>
    <x v="0"/>
    <x v="1"/>
    <x v="4"/>
    <n v="615"/>
    <n v="578.1"/>
    <n v="0"/>
    <n v="0"/>
    <n v="0"/>
    <n v="0"/>
    <n v="7"/>
    <x v="1"/>
    <n v="0"/>
    <n v="23"/>
    <n v="0"/>
    <n v="0"/>
    <n v="28.57"/>
    <n v="0"/>
    <n v="0"/>
    <n v="31.93064187172984"/>
    <m/>
    <m/>
    <n v="16516.316999999999"/>
    <n v="0"/>
    <n v="0"/>
    <n v="18459.104066047021"/>
    <n v="0"/>
    <n v="0"/>
  </r>
  <r>
    <s v="Regular"/>
    <x v="1"/>
    <x v="2"/>
    <x v="5"/>
    <x v="0"/>
    <x v="0"/>
    <x v="0"/>
    <x v="1"/>
    <x v="5"/>
    <n v="2012"/>
    <n v="1891.28"/>
    <n v="0"/>
    <n v="0"/>
    <n v="0"/>
    <n v="0"/>
    <n v="14"/>
    <x v="1"/>
    <n v="0"/>
    <n v="23"/>
    <n v="0"/>
    <n v="0"/>
    <n v="28.57"/>
    <n v="0"/>
    <n v="0"/>
    <n v="31.93064187172984"/>
    <m/>
    <m/>
    <n v="54033.869599999998"/>
    <n v="0"/>
    <n v="0"/>
    <n v="60389.784359165213"/>
    <n v="0"/>
    <n v="0"/>
  </r>
  <r>
    <s v="Sistema Isolado - Regular"/>
    <x v="1"/>
    <x v="2"/>
    <x v="5"/>
    <x v="0"/>
    <x v="0"/>
    <x v="0"/>
    <x v="1"/>
    <x v="5"/>
    <n v="721"/>
    <n v="677.74"/>
    <n v="0"/>
    <n v="0"/>
    <n v="0"/>
    <n v="0"/>
    <n v="9"/>
    <x v="1"/>
    <n v="0"/>
    <n v="23"/>
    <n v="0"/>
    <n v="0"/>
    <n v="28.57"/>
    <n v="0"/>
    <n v="0"/>
    <n v="31.93064187172984"/>
    <m/>
    <m/>
    <n v="19363.031800000001"/>
    <n v="0"/>
    <n v="0"/>
    <n v="21640.673222146183"/>
    <n v="0"/>
    <n v="0"/>
  </r>
  <r>
    <s v="Regular"/>
    <x v="1"/>
    <x v="2"/>
    <x v="5"/>
    <x v="0"/>
    <x v="0"/>
    <x v="0"/>
    <x v="1"/>
    <x v="6"/>
    <n v="2765"/>
    <n v="2599.1"/>
    <n v="0"/>
    <n v="0"/>
    <n v="0"/>
    <n v="0"/>
    <n v="14"/>
    <x v="1"/>
    <n v="0"/>
    <n v="23"/>
    <n v="0"/>
    <n v="0"/>
    <n v="28.57"/>
    <n v="0"/>
    <n v="0"/>
    <n v="31.93064187172984"/>
    <m/>
    <m/>
    <n v="74256.286999999997"/>
    <n v="0"/>
    <n v="0"/>
    <n v="82990.931288813023"/>
    <n v="0"/>
    <n v="0"/>
  </r>
  <r>
    <s v="Sistema Isolado - Regular"/>
    <x v="1"/>
    <x v="2"/>
    <x v="5"/>
    <x v="0"/>
    <x v="0"/>
    <x v="0"/>
    <x v="1"/>
    <x v="6"/>
    <n v="546"/>
    <n v="513.24"/>
    <n v="0"/>
    <n v="0"/>
    <n v="0"/>
    <n v="0"/>
    <n v="9"/>
    <x v="1"/>
    <n v="0"/>
    <n v="23"/>
    <n v="0"/>
    <n v="0"/>
    <n v="28.57"/>
    <n v="0"/>
    <n v="0"/>
    <n v="31.93064187172984"/>
    <m/>
    <m/>
    <n v="14663.266800000001"/>
    <n v="0"/>
    <n v="0"/>
    <n v="16388.082634246624"/>
    <n v="0"/>
    <n v="0"/>
  </r>
  <r>
    <s v="Regular"/>
    <x v="1"/>
    <x v="2"/>
    <x v="5"/>
    <x v="0"/>
    <x v="0"/>
    <x v="0"/>
    <x v="1"/>
    <x v="7"/>
    <n v="2405"/>
    <n v="2260.6999999999998"/>
    <n v="0"/>
    <n v="0"/>
    <n v="0"/>
    <n v="0"/>
    <n v="14"/>
    <x v="1"/>
    <n v="0"/>
    <n v="23"/>
    <n v="0"/>
    <n v="0"/>
    <n v="28.57"/>
    <n v="0"/>
    <n v="0"/>
    <n v="31.93064187172984"/>
    <m/>
    <m/>
    <n v="64588.198999999993"/>
    <n v="0"/>
    <n v="0"/>
    <n v="72185.602079419637"/>
    <n v="0"/>
    <n v="0"/>
  </r>
  <r>
    <s v="Sistema Isolado - Regular"/>
    <x v="1"/>
    <x v="2"/>
    <x v="5"/>
    <x v="0"/>
    <x v="0"/>
    <x v="0"/>
    <x v="1"/>
    <x v="7"/>
    <n v="1194"/>
    <n v="1122.3599999999999"/>
    <n v="0"/>
    <n v="0"/>
    <n v="0"/>
    <n v="0"/>
    <n v="9"/>
    <x v="1"/>
    <n v="0"/>
    <n v="23"/>
    <n v="0"/>
    <n v="0"/>
    <n v="28.57"/>
    <n v="0"/>
    <n v="0"/>
    <n v="31.93064187172984"/>
    <m/>
    <m/>
    <n v="32065.825199999996"/>
    <n v="0"/>
    <n v="0"/>
    <n v="35837.675211154703"/>
    <n v="0"/>
    <n v="0"/>
  </r>
  <r>
    <s v="Regular"/>
    <x v="1"/>
    <x v="2"/>
    <x v="5"/>
    <x v="0"/>
    <x v="0"/>
    <x v="0"/>
    <x v="1"/>
    <x v="8"/>
    <n v="2222"/>
    <n v="2088.6799999999998"/>
    <n v="0"/>
    <n v="0"/>
    <n v="0"/>
    <n v="0"/>
    <n v="13"/>
    <x v="1"/>
    <n v="0"/>
    <n v="23"/>
    <n v="0"/>
    <n v="0"/>
    <n v="28.57"/>
    <n v="0"/>
    <n v="0"/>
    <n v="31.93064187172984"/>
    <m/>
    <m/>
    <n v="59673.587599999999"/>
    <n v="0"/>
    <n v="0"/>
    <n v="66692.893064644682"/>
    <n v="0"/>
    <n v="0"/>
  </r>
  <r>
    <s v="Sistema Isolado - Regular"/>
    <x v="1"/>
    <x v="2"/>
    <x v="5"/>
    <x v="0"/>
    <x v="0"/>
    <x v="0"/>
    <x v="1"/>
    <x v="8"/>
    <n v="737"/>
    <n v="692.78"/>
    <n v="0"/>
    <n v="0"/>
    <n v="0"/>
    <n v="0"/>
    <n v="8"/>
    <x v="1"/>
    <n v="0"/>
    <n v="23"/>
    <n v="0"/>
    <n v="0"/>
    <n v="28.57"/>
    <n v="0"/>
    <n v="0"/>
    <n v="31.93064187172984"/>
    <m/>
    <m/>
    <n v="19792.724599999998"/>
    <n v="0"/>
    <n v="0"/>
    <n v="22120.910075896998"/>
    <n v="0"/>
    <n v="0"/>
  </r>
  <r>
    <s v="Sistema Isolado - Refaturamento"/>
    <x v="1"/>
    <x v="2"/>
    <x v="5"/>
    <x v="0"/>
    <x v="0"/>
    <x v="0"/>
    <x v="1"/>
    <x v="8"/>
    <n v="-353"/>
    <n v="-331.82"/>
    <n v="0"/>
    <n v="0"/>
    <n v="0"/>
    <n v="0"/>
    <n v="0"/>
    <x v="1"/>
    <n v="0"/>
    <n v="23"/>
    <n v="0"/>
    <n v="0"/>
    <n v="28.57"/>
    <n v="0"/>
    <n v="0"/>
    <n v="31.93064187172984"/>
    <m/>
    <m/>
    <n v="-9480.0974000000006"/>
    <n v="0"/>
    <n v="0"/>
    <n v="-10595.225585877395"/>
    <n v="0"/>
    <n v="0"/>
  </r>
  <r>
    <s v="Sistema de Compensação"/>
    <x v="1"/>
    <x v="2"/>
    <x v="5"/>
    <x v="0"/>
    <x v="0"/>
    <x v="0"/>
    <x v="1"/>
    <x v="8"/>
    <n v="35"/>
    <n v="32.9"/>
    <n v="0"/>
    <n v="0"/>
    <n v="0"/>
    <n v="0"/>
    <n v="1"/>
    <x v="1"/>
    <n v="0"/>
    <n v="23"/>
    <n v="0"/>
    <n v="0"/>
    <n v="28.57"/>
    <n v="0"/>
    <n v="0"/>
    <n v="31.93064187172984"/>
    <m/>
    <m/>
    <n v="939.95299999999997"/>
    <n v="0"/>
    <n v="0"/>
    <n v="1050.5181175799116"/>
    <n v="0"/>
    <n v="0"/>
  </r>
  <r>
    <s v="Regular"/>
    <x v="1"/>
    <x v="2"/>
    <x v="5"/>
    <x v="0"/>
    <x v="0"/>
    <x v="0"/>
    <x v="1"/>
    <x v="9"/>
    <n v="2243"/>
    <n v="2108.42"/>
    <n v="0"/>
    <n v="0"/>
    <n v="0"/>
    <n v="0"/>
    <n v="12"/>
    <x v="1"/>
    <n v="0"/>
    <n v="23"/>
    <n v="0"/>
    <n v="0"/>
    <n v="28.57"/>
    <n v="0"/>
    <n v="0"/>
    <n v="31.93064187172984"/>
    <m/>
    <m/>
    <n v="60237.559400000006"/>
    <n v="0"/>
    <n v="0"/>
    <n v="67323.203935192636"/>
    <n v="0"/>
    <n v="0"/>
  </r>
  <r>
    <s v="Sistema Isolado - Regular"/>
    <x v="1"/>
    <x v="2"/>
    <x v="5"/>
    <x v="0"/>
    <x v="0"/>
    <x v="0"/>
    <x v="1"/>
    <x v="9"/>
    <n v="761"/>
    <n v="715.34"/>
    <n v="0"/>
    <n v="0"/>
    <n v="0"/>
    <n v="0"/>
    <n v="8"/>
    <x v="1"/>
    <n v="0"/>
    <n v="23"/>
    <n v="0"/>
    <n v="0"/>
    <n v="28.57"/>
    <n v="0"/>
    <n v="0"/>
    <n v="31.93064187172984"/>
    <m/>
    <m/>
    <n v="20437.263800000001"/>
    <n v="0"/>
    <n v="0"/>
    <n v="22841.265356523225"/>
    <n v="0"/>
    <n v="0"/>
  </r>
  <r>
    <s v="Sistema de Compensação"/>
    <x v="1"/>
    <x v="2"/>
    <x v="5"/>
    <x v="0"/>
    <x v="0"/>
    <x v="0"/>
    <x v="1"/>
    <x v="9"/>
    <n v="34"/>
    <n v="31.96"/>
    <n v="0"/>
    <n v="0"/>
    <n v="0"/>
    <n v="0"/>
    <n v="1"/>
    <x v="1"/>
    <n v="0"/>
    <n v="23"/>
    <n v="0"/>
    <n v="0"/>
    <n v="28.57"/>
    <n v="0"/>
    <n v="0"/>
    <n v="31.93064187172984"/>
    <m/>
    <m/>
    <n v="913.09720000000004"/>
    <n v="0"/>
    <n v="0"/>
    <n v="1020.5033142204857"/>
    <n v="0"/>
    <n v="0"/>
  </r>
  <r>
    <s v="Regular"/>
    <x v="1"/>
    <x v="2"/>
    <x v="5"/>
    <x v="0"/>
    <x v="0"/>
    <x v="0"/>
    <x v="1"/>
    <x v="10"/>
    <n v="2514"/>
    <n v="2363.16"/>
    <n v="0"/>
    <n v="0"/>
    <n v="0"/>
    <n v="0"/>
    <n v="12"/>
    <x v="1"/>
    <n v="0"/>
    <n v="23"/>
    <n v="0"/>
    <n v="0"/>
    <n v="28.57"/>
    <n v="0"/>
    <n v="0"/>
    <n v="31.93064187172984"/>
    <m/>
    <m/>
    <n v="67515.481199999995"/>
    <n v="0"/>
    <n v="0"/>
    <n v="75457.215645597083"/>
    <n v="0"/>
    <n v="0"/>
  </r>
  <r>
    <s v="Sistema Isolado - Regular"/>
    <x v="1"/>
    <x v="2"/>
    <x v="5"/>
    <x v="0"/>
    <x v="0"/>
    <x v="0"/>
    <x v="1"/>
    <x v="10"/>
    <n v="750"/>
    <n v="705"/>
    <n v="0"/>
    <n v="0"/>
    <n v="0"/>
    <n v="0"/>
    <n v="7"/>
    <x v="1"/>
    <n v="0"/>
    <n v="23"/>
    <n v="0"/>
    <n v="0"/>
    <n v="28.57"/>
    <n v="0"/>
    <n v="0"/>
    <n v="31.93064187172984"/>
    <m/>
    <m/>
    <n v="20141.849999999999"/>
    <n v="0"/>
    <n v="0"/>
    <n v="22511.102519569537"/>
    <n v="0"/>
    <n v="0"/>
  </r>
  <r>
    <s v="Sistema de Compensação"/>
    <x v="1"/>
    <x v="2"/>
    <x v="5"/>
    <x v="0"/>
    <x v="0"/>
    <x v="0"/>
    <x v="1"/>
    <x v="10"/>
    <n v="98"/>
    <n v="92.12"/>
    <n v="0"/>
    <n v="0"/>
    <n v="0"/>
    <n v="0"/>
    <n v="1"/>
    <x v="1"/>
    <n v="0"/>
    <n v="23"/>
    <n v="0"/>
    <n v="0"/>
    <n v="28.57"/>
    <n v="0"/>
    <n v="0"/>
    <n v="31.93064187172984"/>
    <m/>
    <m/>
    <n v="2631.8684000000003"/>
    <n v="0"/>
    <n v="0"/>
    <n v="2941.4507292237531"/>
    <n v="0"/>
    <n v="0"/>
  </r>
  <r>
    <s v="PROJETADO"/>
    <x v="1"/>
    <x v="2"/>
    <x v="5"/>
    <x v="0"/>
    <x v="0"/>
    <x v="0"/>
    <x v="1"/>
    <x v="11"/>
    <n v="2514"/>
    <n v="2363.16"/>
    <n v="0"/>
    <n v="0"/>
    <n v="0"/>
    <n v="0"/>
    <n v="12"/>
    <x v="1"/>
    <n v="0"/>
    <n v="23"/>
    <n v="0"/>
    <n v="0"/>
    <n v="28.57"/>
    <n v="0"/>
    <n v="0"/>
    <n v="31.93064187172984"/>
    <m/>
    <m/>
    <n v="67515.481199999995"/>
    <n v="0"/>
    <n v="0"/>
    <n v="75457.215645597083"/>
    <n v="0"/>
    <n v="0"/>
  </r>
  <r>
    <s v="PROJETADO"/>
    <x v="1"/>
    <x v="2"/>
    <x v="5"/>
    <x v="0"/>
    <x v="0"/>
    <x v="0"/>
    <x v="1"/>
    <x v="11"/>
    <n v="750"/>
    <n v="705"/>
    <n v="0"/>
    <n v="0"/>
    <n v="0"/>
    <n v="0"/>
    <n v="7"/>
    <x v="1"/>
    <n v="0"/>
    <n v="23"/>
    <n v="0"/>
    <n v="0"/>
    <n v="28.57"/>
    <n v="0"/>
    <n v="0"/>
    <n v="31.93064187172984"/>
    <m/>
    <m/>
    <n v="20141.849999999999"/>
    <n v="0"/>
    <n v="0"/>
    <n v="22511.102519569537"/>
    <n v="0"/>
    <n v="0"/>
  </r>
  <r>
    <s v="PROJETADO"/>
    <x v="1"/>
    <x v="2"/>
    <x v="5"/>
    <x v="0"/>
    <x v="0"/>
    <x v="0"/>
    <x v="1"/>
    <x v="11"/>
    <n v="98"/>
    <n v="92.12"/>
    <n v="0"/>
    <n v="0"/>
    <n v="0"/>
    <n v="0"/>
    <n v="1"/>
    <x v="1"/>
    <n v="0"/>
    <n v="23"/>
    <n v="0"/>
    <n v="0"/>
    <n v="28.57"/>
    <n v="0"/>
    <n v="0"/>
    <n v="31.93064187172984"/>
    <m/>
    <m/>
    <n v="2631.8684000000003"/>
    <n v="0"/>
    <n v="0"/>
    <n v="2941.4507292237531"/>
    <n v="0"/>
    <n v="0"/>
  </r>
  <r>
    <s v="Regular"/>
    <x v="1"/>
    <x v="2"/>
    <x v="5"/>
    <x v="0"/>
    <x v="0"/>
    <x v="0"/>
    <x v="2"/>
    <x v="0"/>
    <n v="0"/>
    <n v="0"/>
    <n v="48.37"/>
    <n v="45.467799999999997"/>
    <n v="48.37"/>
    <n v="45.467799999999997"/>
    <n v="0"/>
    <x v="1"/>
    <n v="0"/>
    <n v="0"/>
    <n v="24"/>
    <n v="66"/>
    <n v="0"/>
    <n v="1434.79"/>
    <n v="389.28"/>
    <m/>
    <n v="1501.8340703569011"/>
    <n v="454.3285679284046"/>
    <n v="0"/>
    <n v="65236.744761999995"/>
    <n v="17699.705183999999"/>
    <n v="0"/>
    <n v="68285.091144173508"/>
    <n v="20657.320460855113"/>
  </r>
  <r>
    <s v="Sistema Isolado - Regular"/>
    <x v="1"/>
    <x v="2"/>
    <x v="5"/>
    <x v="0"/>
    <x v="0"/>
    <x v="0"/>
    <x v="2"/>
    <x v="0"/>
    <n v="0"/>
    <n v="0"/>
    <n v="8.5139999999999993"/>
    <n v="8.0031599999999994"/>
    <n v="8.5139999999999993"/>
    <n v="8.0031599999999994"/>
    <n v="0"/>
    <x v="1"/>
    <n v="0"/>
    <n v="0"/>
    <n v="24"/>
    <n v="66"/>
    <n v="0"/>
    <n v="1434.79"/>
    <n v="389.28"/>
    <m/>
    <n v="1501.8340703569011"/>
    <n v="454.3285679284046"/>
    <n v="0"/>
    <n v="11482.853936399999"/>
    <n v="3115.4701247999997"/>
    <n v="0"/>
    <n v="12019.418358517536"/>
    <n v="3636.0642217018903"/>
  </r>
  <r>
    <s v="Regular"/>
    <x v="1"/>
    <x v="2"/>
    <x v="5"/>
    <x v="0"/>
    <x v="0"/>
    <x v="0"/>
    <x v="2"/>
    <x v="1"/>
    <n v="0"/>
    <n v="0"/>
    <n v="48.774000000000001"/>
    <n v="45.847560000000001"/>
    <n v="48.774000000000001"/>
    <n v="45.847560000000001"/>
    <n v="0"/>
    <x v="1"/>
    <n v="0"/>
    <n v="0"/>
    <n v="24"/>
    <n v="66"/>
    <n v="0"/>
    <n v="1434.79"/>
    <n v="389.28"/>
    <m/>
    <n v="1501.8340703569011"/>
    <n v="454.3285679284046"/>
    <n v="0"/>
    <n v="65781.620612400002"/>
    <n v="17847.538156799998"/>
    <n v="0"/>
    <n v="68855.42765073225"/>
    <n v="20829.856277811607"/>
  </r>
  <r>
    <s v="Sistema Isolado - Regular"/>
    <x v="1"/>
    <x v="2"/>
    <x v="5"/>
    <x v="0"/>
    <x v="0"/>
    <x v="0"/>
    <x v="2"/>
    <x v="1"/>
    <n v="0"/>
    <n v="0"/>
    <n v="8.6110000000000007"/>
    <n v="8.0943400000000008"/>
    <n v="8.6110000000000007"/>
    <n v="8.0943400000000008"/>
    <n v="0"/>
    <x v="1"/>
    <n v="0"/>
    <n v="0"/>
    <n v="24"/>
    <n v="66"/>
    <n v="0"/>
    <n v="1434.79"/>
    <n v="389.28"/>
    <m/>
    <n v="1501.8340703569011"/>
    <n v="454.3285679284046"/>
    <n v="0"/>
    <n v="11613.678088600002"/>
    <n v="3150.9646751999999"/>
    <n v="0"/>
    <n v="12156.35558905268"/>
    <n v="3677.4899005256029"/>
  </r>
  <r>
    <s v="Regular"/>
    <x v="1"/>
    <x v="2"/>
    <x v="5"/>
    <x v="0"/>
    <x v="0"/>
    <x v="0"/>
    <x v="2"/>
    <x v="2"/>
    <n v="0"/>
    <n v="0"/>
    <n v="45.341000000000001"/>
    <n v="42.620539999999998"/>
    <n v="45.341000000000001"/>
    <n v="42.620539999999998"/>
    <n v="0"/>
    <x v="1"/>
    <n v="0"/>
    <n v="0"/>
    <n v="24"/>
    <n v="66"/>
    <n v="0"/>
    <n v="1434.79"/>
    <n v="389.28"/>
    <m/>
    <n v="1501.8340703569011"/>
    <n v="454.3285679284046"/>
    <n v="0"/>
    <n v="61151.524586599997"/>
    <n v="16591.3238112"/>
    <n v="0"/>
    <n v="64008.97906900911"/>
    <n v="19363.728902535284"/>
  </r>
  <r>
    <s v="Sistema Isolado - Regular"/>
    <x v="1"/>
    <x v="2"/>
    <x v="5"/>
    <x v="0"/>
    <x v="0"/>
    <x v="0"/>
    <x v="2"/>
    <x v="2"/>
    <n v="0"/>
    <n v="0"/>
    <n v="9.6530000000000005"/>
    <n v="9.0738199999999996"/>
    <n v="9.6530000000000005"/>
    <n v="9.0738199999999996"/>
    <n v="0"/>
    <x v="1"/>
    <n v="0"/>
    <n v="0"/>
    <n v="24"/>
    <n v="66"/>
    <n v="0"/>
    <n v="1434.79"/>
    <n v="389.28"/>
    <m/>
    <n v="1501.8340703569011"/>
    <n v="454.3285679284046"/>
    <n v="0"/>
    <n v="13019.0261978"/>
    <n v="3532.2566495999995"/>
    <n v="0"/>
    <n v="13627.372024285856"/>
    <n v="4122.495646240116"/>
  </r>
  <r>
    <s v="Regular"/>
    <x v="1"/>
    <x v="2"/>
    <x v="5"/>
    <x v="0"/>
    <x v="0"/>
    <x v="0"/>
    <x v="2"/>
    <x v="3"/>
    <n v="0"/>
    <n v="0"/>
    <n v="40.584000000000003"/>
    <n v="38.148960000000002"/>
    <n v="40.584000000000003"/>
    <n v="38.148960000000002"/>
    <n v="0"/>
    <x v="1"/>
    <n v="0"/>
    <n v="0"/>
    <n v="24"/>
    <n v="66"/>
    <n v="0"/>
    <n v="1434.79"/>
    <n v="389.28"/>
    <m/>
    <n v="1501.8340703569011"/>
    <n v="454.3285679284046"/>
    <n v="0"/>
    <n v="54735.746318400001"/>
    <n v="14850.6271488"/>
    <n v="0"/>
    <n v="57293.407876682606"/>
    <n v="17332.162364757991"/>
  </r>
  <r>
    <s v="Sistema Isolado - Regular"/>
    <x v="1"/>
    <x v="2"/>
    <x v="5"/>
    <x v="0"/>
    <x v="0"/>
    <x v="0"/>
    <x v="2"/>
    <x v="3"/>
    <n v="0"/>
    <n v="0"/>
    <n v="9.6539999999999999"/>
    <n v="9.0747599999999995"/>
    <n v="9.6539999999999999"/>
    <n v="9.0747599999999995"/>
    <n v="0"/>
    <x v="1"/>
    <n v="0"/>
    <n v="0"/>
    <n v="24"/>
    <n v="66"/>
    <n v="0"/>
    <n v="1434.79"/>
    <n v="389.28"/>
    <m/>
    <n v="1501.8340703569011"/>
    <n v="454.3285679284046"/>
    <n v="0"/>
    <n v="13020.374900399998"/>
    <n v="3532.6225727999995"/>
    <n v="0"/>
    <n v="13628.783748311991"/>
    <n v="4122.9227150939687"/>
  </r>
  <r>
    <s v="Regular"/>
    <x v="1"/>
    <x v="2"/>
    <x v="5"/>
    <x v="0"/>
    <x v="0"/>
    <x v="0"/>
    <x v="2"/>
    <x v="4"/>
    <n v="0"/>
    <n v="0"/>
    <n v="58.384"/>
    <n v="54.880959999999995"/>
    <n v="58.384"/>
    <n v="54.880959999999995"/>
    <n v="0"/>
    <x v="1"/>
    <n v="0"/>
    <n v="0"/>
    <n v="24"/>
    <n v="66"/>
    <n v="0"/>
    <n v="1434.79"/>
    <n v="389.28"/>
    <m/>
    <n v="1501.8340703569011"/>
    <n v="454.3285679284046"/>
    <n v="0"/>
    <n v="78742.652598399989"/>
    <n v="21364.060108799997"/>
    <n v="0"/>
    <n v="82422.095541894261"/>
    <n v="24933.987963336054"/>
  </r>
  <r>
    <s v="Sistema Isolado - Regular"/>
    <x v="1"/>
    <x v="2"/>
    <x v="5"/>
    <x v="0"/>
    <x v="0"/>
    <x v="0"/>
    <x v="2"/>
    <x v="4"/>
    <n v="0"/>
    <n v="0"/>
    <n v="9.3800000000000008"/>
    <n v="8.8171999999999997"/>
    <n v="9.3800000000000008"/>
    <n v="8.8171999999999997"/>
    <n v="0"/>
    <x v="1"/>
    <n v="0"/>
    <n v="0"/>
    <n v="24"/>
    <n v="66"/>
    <n v="0"/>
    <n v="1434.79"/>
    <n v="389.28"/>
    <m/>
    <n v="1501.8340703569011"/>
    <n v="454.3285679284046"/>
    <n v="0"/>
    <n v="12650.830387999998"/>
    <n v="3432.3596159999997"/>
    <n v="0"/>
    <n v="13241.971365150868"/>
    <n v="4005.9058491383289"/>
  </r>
  <r>
    <s v="Regular"/>
    <x v="1"/>
    <x v="2"/>
    <x v="5"/>
    <x v="0"/>
    <x v="0"/>
    <x v="0"/>
    <x v="2"/>
    <x v="5"/>
    <n v="0"/>
    <n v="0"/>
    <n v="47.512999999999998"/>
    <n v="44.662219999999998"/>
    <n v="47.512999999999998"/>
    <n v="44.662219999999998"/>
    <n v="0"/>
    <x v="1"/>
    <n v="0"/>
    <n v="0"/>
    <n v="24"/>
    <n v="66"/>
    <n v="0"/>
    <n v="1434.79"/>
    <n v="389.28"/>
    <m/>
    <n v="1501.8340703569011"/>
    <n v="454.3285679284046"/>
    <n v="0"/>
    <n v="64080.906633799998"/>
    <n v="17386.109001599998"/>
    <n v="0"/>
    <n v="67075.243653775397"/>
    <n v="20291.322453103348"/>
  </r>
  <r>
    <s v="Sistema Isolado - Regular"/>
    <x v="1"/>
    <x v="2"/>
    <x v="5"/>
    <x v="0"/>
    <x v="0"/>
    <x v="0"/>
    <x v="2"/>
    <x v="5"/>
    <n v="0"/>
    <n v="0"/>
    <n v="9.5039999999999996"/>
    <n v="8.9337599999999995"/>
    <n v="9.5039999999999996"/>
    <n v="8.9337599999999995"/>
    <n v="0"/>
    <x v="1"/>
    <n v="0"/>
    <n v="0"/>
    <n v="24"/>
    <n v="66"/>
    <n v="0"/>
    <n v="1434.79"/>
    <n v="389.28"/>
    <m/>
    <n v="1501.8340703569011"/>
    <n v="454.3285679284046"/>
    <n v="0"/>
    <n v="12818.069510399999"/>
    <n v="3477.7340927999994"/>
    <n v="0"/>
    <n v="13417.025144391668"/>
    <n v="4058.8623870160636"/>
  </r>
  <r>
    <s v="Regular"/>
    <x v="1"/>
    <x v="2"/>
    <x v="5"/>
    <x v="0"/>
    <x v="0"/>
    <x v="0"/>
    <x v="2"/>
    <x v="6"/>
    <n v="0"/>
    <n v="0"/>
    <n v="47.2"/>
    <n v="44.368000000000002"/>
    <n v="47.2"/>
    <n v="44.368000000000002"/>
    <n v="0"/>
    <x v="1"/>
    <n v="0"/>
    <n v="0"/>
    <n v="24"/>
    <n v="66"/>
    <n v="0"/>
    <n v="1434.79"/>
    <n v="389.28"/>
    <m/>
    <n v="1501.8340703569011"/>
    <n v="454.3285679284046"/>
    <n v="0"/>
    <n v="63658.762719999999"/>
    <n v="17271.57504"/>
    <n v="0"/>
    <n v="66633.374033594984"/>
    <n v="20157.649901847457"/>
  </r>
  <r>
    <s v="Sistema Isolado - Regular"/>
    <x v="1"/>
    <x v="2"/>
    <x v="5"/>
    <x v="0"/>
    <x v="0"/>
    <x v="0"/>
    <x v="2"/>
    <x v="6"/>
    <n v="0"/>
    <n v="0"/>
    <n v="9.3490000000000002"/>
    <n v="8.7880599999999998"/>
    <n v="9.3490000000000002"/>
    <n v="8.7880599999999998"/>
    <n v="0"/>
    <x v="1"/>
    <n v="0"/>
    <n v="0"/>
    <n v="24"/>
    <n v="66"/>
    <n v="0"/>
    <n v="1434.79"/>
    <n v="389.28"/>
    <m/>
    <n v="1501.8340703569011"/>
    <n v="454.3285679284046"/>
    <n v="0"/>
    <n v="12609.0206074"/>
    <n v="3421.0159967999998"/>
    <n v="0"/>
    <n v="13198.207920340668"/>
    <n v="3992.6667146688951"/>
  </r>
  <r>
    <s v="Regular"/>
    <x v="1"/>
    <x v="2"/>
    <x v="5"/>
    <x v="0"/>
    <x v="0"/>
    <x v="0"/>
    <x v="2"/>
    <x v="7"/>
    <n v="0"/>
    <n v="0"/>
    <n v="59.685000000000002"/>
    <n v="56.103900000000003"/>
    <n v="59.685000000000002"/>
    <n v="56.103900000000003"/>
    <n v="0"/>
    <x v="1"/>
    <n v="0"/>
    <n v="0"/>
    <n v="24"/>
    <n v="66"/>
    <n v="0"/>
    <n v="1434.79"/>
    <n v="389.28"/>
    <m/>
    <n v="1501.8340703569011"/>
    <n v="454.3285679284046"/>
    <n v="0"/>
    <n v="80497.314681000003"/>
    <n v="21840.126192"/>
    <n v="0"/>
    <n v="84258.748499896552"/>
    <n v="25489.60454219842"/>
  </r>
  <r>
    <s v="Sistema Isolado - Regular"/>
    <x v="1"/>
    <x v="2"/>
    <x v="5"/>
    <x v="0"/>
    <x v="0"/>
    <x v="0"/>
    <x v="2"/>
    <x v="7"/>
    <n v="0"/>
    <n v="0"/>
    <n v="8.9809999999999999"/>
    <n v="8.4421400000000002"/>
    <n v="8.9809999999999999"/>
    <n v="8.4421400000000002"/>
    <n v="0"/>
    <x v="1"/>
    <n v="0"/>
    <n v="0"/>
    <n v="24"/>
    <n v="66"/>
    <n v="0"/>
    <n v="1434.79"/>
    <n v="389.28"/>
    <m/>
    <n v="1501.8340703569011"/>
    <n v="454.3285679284046"/>
    <n v="0"/>
    <n v="12112.6980506"/>
    <n v="3286.3562591999998"/>
    <n v="0"/>
    <n v="12678.693478722809"/>
    <n v="3835.5053764511017"/>
  </r>
  <r>
    <s v="Regular"/>
    <x v="1"/>
    <x v="2"/>
    <x v="5"/>
    <x v="0"/>
    <x v="0"/>
    <x v="0"/>
    <x v="2"/>
    <x v="8"/>
    <n v="0"/>
    <n v="0"/>
    <n v="42.317"/>
    <n v="39.777979999999999"/>
    <n v="42.317"/>
    <n v="39.777979999999999"/>
    <n v="0"/>
    <x v="1"/>
    <n v="0"/>
    <n v="0"/>
    <n v="24"/>
    <n v="66"/>
    <n v="0"/>
    <n v="1434.79"/>
    <n v="389.28"/>
    <m/>
    <n v="1501.8340703569011"/>
    <n v="454.3285679284046"/>
    <n v="0"/>
    <n v="57073.0479242"/>
    <n v="15484.772054399999"/>
    <n v="0"/>
    <n v="59739.9256139754"/>
    <n v="18072.272688484718"/>
  </r>
  <r>
    <s v="Sistema Isolado - Regular"/>
    <x v="1"/>
    <x v="2"/>
    <x v="5"/>
    <x v="0"/>
    <x v="0"/>
    <x v="0"/>
    <x v="2"/>
    <x v="8"/>
    <n v="0"/>
    <n v="0"/>
    <n v="7.0359999999999996"/>
    <n v="6.6138399999999997"/>
    <n v="7.0359999999999996"/>
    <n v="6.6138399999999997"/>
    <n v="0"/>
    <x v="1"/>
    <n v="0"/>
    <n v="0"/>
    <n v="24"/>
    <n v="66"/>
    <n v="0"/>
    <n v="1434.79"/>
    <n v="389.28"/>
    <m/>
    <n v="1501.8340703569011"/>
    <n v="454.3285679284046"/>
    <n v="0"/>
    <n v="9489.4714936"/>
    <n v="2574.6356351999998"/>
    <n v="0"/>
    <n v="9932.8902478892869"/>
    <n v="3004.8564557075993"/>
  </r>
  <r>
    <s v="Sistema de Compensação"/>
    <x v="1"/>
    <x v="2"/>
    <x v="5"/>
    <x v="0"/>
    <x v="0"/>
    <x v="0"/>
    <x v="2"/>
    <x v="8"/>
    <n v="0"/>
    <n v="0"/>
    <n v="1.9950000000000001"/>
    <n v="1.8753"/>
    <n v="1.9950000000000001"/>
    <n v="1.8753"/>
    <n v="0"/>
    <x v="1"/>
    <n v="0"/>
    <n v="0"/>
    <n v="24"/>
    <n v="66"/>
    <n v="0"/>
    <n v="1434.79"/>
    <n v="389.28"/>
    <m/>
    <n v="1501.8340703569011"/>
    <n v="454.3285679284046"/>
    <n v="0"/>
    <n v="2690.6616869999998"/>
    <n v="730.01678399999992"/>
    <n v="0"/>
    <n v="2816.3894321402963"/>
    <n v="852.0023634361371"/>
  </r>
  <r>
    <s v="Regular"/>
    <x v="1"/>
    <x v="2"/>
    <x v="5"/>
    <x v="0"/>
    <x v="0"/>
    <x v="0"/>
    <x v="2"/>
    <x v="9"/>
    <n v="0"/>
    <n v="0"/>
    <n v="45.572000000000003"/>
    <n v="42.837679999999999"/>
    <n v="45.572000000000003"/>
    <n v="42.837679999999999"/>
    <n v="0"/>
    <x v="1"/>
    <n v="0"/>
    <n v="0"/>
    <n v="24"/>
    <n v="66"/>
    <n v="0"/>
    <n v="1434.79"/>
    <n v="389.28"/>
    <m/>
    <n v="1501.8340703569011"/>
    <n v="454.3285679284046"/>
    <n v="0"/>
    <n v="61463.074887199997"/>
    <n v="16675.852070399997"/>
    <n v="0"/>
    <n v="64335.087319046412"/>
    <n v="19462.381807775258"/>
  </r>
  <r>
    <s v="Sistema Isolado - Regular"/>
    <x v="1"/>
    <x v="2"/>
    <x v="5"/>
    <x v="0"/>
    <x v="0"/>
    <x v="0"/>
    <x v="2"/>
    <x v="9"/>
    <n v="0"/>
    <n v="0"/>
    <n v="8.2919999999999998"/>
    <n v="7.7944800000000001"/>
    <n v="8.2919999999999998"/>
    <n v="7.7944800000000001"/>
    <n v="0"/>
    <x v="1"/>
    <n v="0"/>
    <n v="0"/>
    <n v="24"/>
    <n v="66"/>
    <n v="0"/>
    <n v="1434.79"/>
    <n v="389.28"/>
    <m/>
    <n v="1501.8340703569011"/>
    <n v="454.3285679284046"/>
    <n v="0"/>
    <n v="11183.441959199999"/>
    <n v="3034.2351743999998"/>
    <n v="0"/>
    <n v="11706.015624715459"/>
    <n v="3541.2549361465913"/>
  </r>
  <r>
    <s v="Sistema de Compensação"/>
    <x v="1"/>
    <x v="2"/>
    <x v="5"/>
    <x v="0"/>
    <x v="0"/>
    <x v="0"/>
    <x v="2"/>
    <x v="9"/>
    <n v="0"/>
    <n v="0"/>
    <n v="1.304"/>
    <n v="1.22576"/>
    <n v="1.304"/>
    <n v="1.22576"/>
    <n v="0"/>
    <x v="1"/>
    <n v="0"/>
    <n v="0"/>
    <n v="24"/>
    <n v="66"/>
    <n v="0"/>
    <n v="1434.79"/>
    <n v="389.28"/>
    <m/>
    <n v="1501.8340703569011"/>
    <n v="454.3285679284046"/>
    <n v="0"/>
    <n v="1758.7081903999999"/>
    <n v="477.16385279999997"/>
    <n v="0"/>
    <n v="1840.888130080675"/>
    <n v="556.89778542392116"/>
  </r>
  <r>
    <s v="Regular"/>
    <x v="1"/>
    <x v="2"/>
    <x v="5"/>
    <x v="0"/>
    <x v="0"/>
    <x v="0"/>
    <x v="2"/>
    <x v="10"/>
    <n v="0"/>
    <n v="0"/>
    <n v="43.832999999999998"/>
    <n v="41.203020000000002"/>
    <n v="43.832999999999998"/>
    <n v="41.203020000000002"/>
    <n v="0"/>
    <x v="1"/>
    <n v="0"/>
    <n v="0"/>
    <n v="24"/>
    <n v="66"/>
    <n v="0"/>
    <n v="1434.79"/>
    <n v="389.28"/>
    <m/>
    <n v="1501.8340703569011"/>
    <n v="454.3285679284046"/>
    <n v="0"/>
    <n v="59117.681065800003"/>
    <n v="16039.5116256"/>
    <n v="0"/>
    <n v="61880.099237596805"/>
    <n v="18719.709070925415"/>
  </r>
  <r>
    <s v="Sistema Isolado - Regular"/>
    <x v="1"/>
    <x v="2"/>
    <x v="5"/>
    <x v="0"/>
    <x v="0"/>
    <x v="0"/>
    <x v="2"/>
    <x v="10"/>
    <n v="0"/>
    <n v="0"/>
    <n v="13.313000000000001"/>
    <n v="12.51422"/>
    <n v="13.313000000000001"/>
    <n v="12.51422"/>
    <n v="0"/>
    <x v="1"/>
    <n v="0"/>
    <n v="0"/>
    <n v="24"/>
    <n v="66"/>
    <n v="0"/>
    <n v="1434.79"/>
    <n v="389.28"/>
    <m/>
    <n v="1501.8340703569011"/>
    <n v="454.3285679284046"/>
    <n v="0"/>
    <n v="17955.277713799998"/>
    <n v="4871.5355615999997"/>
    <n v="0"/>
    <n v="18794.281959941738"/>
    <n v="5685.567651340999"/>
  </r>
  <r>
    <s v="Sistema de Compensação"/>
    <x v="1"/>
    <x v="2"/>
    <x v="5"/>
    <x v="0"/>
    <x v="0"/>
    <x v="0"/>
    <x v="2"/>
    <x v="10"/>
    <n v="0"/>
    <n v="0"/>
    <n v="3.5640000000000001"/>
    <n v="3.3501599999999998"/>
    <n v="3.5640000000000001"/>
    <n v="3.3501599999999998"/>
    <n v="0"/>
    <x v="1"/>
    <n v="0"/>
    <n v="0"/>
    <n v="24"/>
    <n v="66"/>
    <n v="0"/>
    <n v="1434.79"/>
    <n v="389.28"/>
    <m/>
    <n v="1501.8340703569011"/>
    <n v="454.3285679284046"/>
    <n v="0"/>
    <n v="4806.7760663999998"/>
    <n v="1304.1502847999998"/>
    <n v="0"/>
    <n v="5031.3844291468749"/>
    <n v="1522.0733951310237"/>
  </r>
  <r>
    <s v="PROJETADO"/>
    <x v="1"/>
    <x v="2"/>
    <x v="5"/>
    <x v="0"/>
    <x v="0"/>
    <x v="0"/>
    <x v="2"/>
    <x v="11"/>
    <n v="0"/>
    <n v="0"/>
    <n v="43.832999999999998"/>
    <n v="41.203020000000002"/>
    <n v="43.832999999999998"/>
    <n v="41.203020000000002"/>
    <n v="0"/>
    <x v="1"/>
    <n v="0"/>
    <n v="0"/>
    <n v="24"/>
    <n v="66"/>
    <n v="0"/>
    <n v="1434.79"/>
    <n v="389.28"/>
    <m/>
    <n v="1501.8340703569011"/>
    <n v="454.3285679284046"/>
    <n v="0"/>
    <n v="59117.681065800003"/>
    <n v="16039.5116256"/>
    <n v="0"/>
    <n v="61880.099237596805"/>
    <n v="18719.709070925415"/>
  </r>
  <r>
    <s v="PROJETADO"/>
    <x v="1"/>
    <x v="2"/>
    <x v="5"/>
    <x v="0"/>
    <x v="0"/>
    <x v="0"/>
    <x v="2"/>
    <x v="11"/>
    <n v="0"/>
    <n v="0"/>
    <n v="13.313000000000001"/>
    <n v="12.51422"/>
    <n v="13.313000000000001"/>
    <n v="12.51422"/>
    <n v="0"/>
    <x v="1"/>
    <n v="0"/>
    <n v="0"/>
    <n v="24"/>
    <n v="66"/>
    <n v="0"/>
    <n v="1434.79"/>
    <n v="389.28"/>
    <m/>
    <n v="1501.8340703569011"/>
    <n v="454.3285679284046"/>
    <n v="0"/>
    <n v="17955.277713799998"/>
    <n v="4871.5355615999997"/>
    <n v="0"/>
    <n v="18794.281959941738"/>
    <n v="5685.567651340999"/>
  </r>
  <r>
    <s v="PROJETADO"/>
    <x v="1"/>
    <x v="2"/>
    <x v="5"/>
    <x v="0"/>
    <x v="0"/>
    <x v="0"/>
    <x v="2"/>
    <x v="11"/>
    <n v="0"/>
    <n v="0"/>
    <n v="3.5640000000000001"/>
    <n v="3.3501599999999998"/>
    <n v="3.5640000000000001"/>
    <n v="3.3501599999999998"/>
    <n v="0"/>
    <x v="1"/>
    <n v="0"/>
    <n v="0"/>
    <n v="24"/>
    <n v="66"/>
    <n v="0"/>
    <n v="1434.79"/>
    <n v="389.28"/>
    <m/>
    <n v="1501.8340703569011"/>
    <n v="454.3285679284046"/>
    <n v="0"/>
    <n v="4806.7760663999998"/>
    <n v="1304.1502847999998"/>
    <n v="0"/>
    <n v="5031.3844291468749"/>
    <n v="1522.0733951310237"/>
  </r>
  <r>
    <s v="Regular"/>
    <x v="1"/>
    <x v="2"/>
    <x v="3"/>
    <x v="1"/>
    <x v="0"/>
    <x v="0"/>
    <x v="0"/>
    <x v="0"/>
    <n v="0"/>
    <n v="0"/>
    <n v="1303.7059999999999"/>
    <n v="1186.37246"/>
    <n v="1303.7059999999999"/>
    <n v="1186.37246"/>
    <n v="0"/>
    <x v="1"/>
    <n v="0"/>
    <n v="0"/>
    <n v="19"/>
    <n v="67"/>
    <n v="0"/>
    <n v="149.63"/>
    <n v="230.03"/>
    <m/>
    <n v="54.203801879475932"/>
    <n v="282.91739971702214"/>
    <n v="0"/>
    <n v="177516.91118980001"/>
    <n v="272901.25697380002"/>
    <n v="0"/>
    <n v="64305.897777106489"/>
    <n v="335645.41147908685"/>
  </r>
  <r>
    <s v="Sistema Isolado - Regular"/>
    <x v="1"/>
    <x v="2"/>
    <x v="3"/>
    <x v="1"/>
    <x v="0"/>
    <x v="0"/>
    <x v="0"/>
    <x v="0"/>
    <n v="0"/>
    <n v="0"/>
    <n v="526.71500000000003"/>
    <n v="479.31065000000007"/>
    <n v="526.71500000000003"/>
    <n v="479.31065000000007"/>
    <n v="0"/>
    <x v="1"/>
    <n v="0"/>
    <n v="0"/>
    <n v="19"/>
    <n v="67"/>
    <n v="0"/>
    <n v="149.63"/>
    <n v="230.03"/>
    <m/>
    <n v="54.203801879475932"/>
    <n v="282.91739971702214"/>
    <n v="0"/>
    <n v="71719.252559500004"/>
    <n v="110255.82881950002"/>
    <n v="0"/>
    <n v="25980.459511322835"/>
    <n v="135605.32275467573"/>
  </r>
  <r>
    <s v="Regular"/>
    <x v="1"/>
    <x v="2"/>
    <x v="3"/>
    <x v="1"/>
    <x v="0"/>
    <x v="0"/>
    <x v="0"/>
    <x v="1"/>
    <n v="0"/>
    <n v="0"/>
    <n v="1315.575"/>
    <n v="1197.1732500000001"/>
    <n v="1315.575"/>
    <n v="1197.1732500000001"/>
    <n v="0"/>
    <x v="1"/>
    <n v="0"/>
    <n v="0"/>
    <n v="19"/>
    <n v="67"/>
    <n v="0"/>
    <n v="149.63"/>
    <n v="230.03"/>
    <m/>
    <n v="54.203801879475932"/>
    <n v="282.91739971702214"/>
    <n v="0"/>
    <n v="179133.0333975"/>
    <n v="275385.7626975"/>
    <n v="0"/>
    <n v="64891.34165840831"/>
    <n v="338701.14290077647"/>
  </r>
  <r>
    <s v="Sistema Isolado - Regular"/>
    <x v="1"/>
    <x v="2"/>
    <x v="3"/>
    <x v="1"/>
    <x v="0"/>
    <x v="0"/>
    <x v="0"/>
    <x v="1"/>
    <n v="0"/>
    <n v="0"/>
    <n v="573.81399999999996"/>
    <n v="522.17074000000002"/>
    <n v="573.81399999999996"/>
    <n v="522.17074000000002"/>
    <n v="0"/>
    <x v="1"/>
    <n v="0"/>
    <n v="0"/>
    <n v="19"/>
    <n v="67"/>
    <n v="0"/>
    <n v="149.63"/>
    <n v="230.03"/>
    <m/>
    <n v="54.203801879475932"/>
    <n v="282.91739971702214"/>
    <n v="0"/>
    <n v="78132.407826199997"/>
    <n v="120114.93532220001"/>
    <n v="0"/>
    <n v="28303.639338219338"/>
    <n v="147731.18796911323"/>
  </r>
  <r>
    <s v="Regular"/>
    <x v="1"/>
    <x v="2"/>
    <x v="3"/>
    <x v="1"/>
    <x v="0"/>
    <x v="0"/>
    <x v="0"/>
    <x v="2"/>
    <n v="0"/>
    <n v="0"/>
    <n v="1346.4849999999999"/>
    <n v="1225.30135"/>
    <n v="1346.4849999999999"/>
    <n v="1225.30135"/>
    <n v="0"/>
    <x v="1"/>
    <n v="0"/>
    <n v="0"/>
    <n v="19"/>
    <n v="67"/>
    <n v="0"/>
    <n v="149.63"/>
    <n v="230.03"/>
    <m/>
    <n v="54.203801879475932"/>
    <n v="282.91739971702214"/>
    <n v="0"/>
    <n v="183341.84100049999"/>
    <n v="281856.0695405"/>
    <n v="0"/>
    <n v="66415.991618054395"/>
    <n v="346659.07181175682"/>
  </r>
  <r>
    <s v="Sistema Isolado - Regular"/>
    <x v="1"/>
    <x v="2"/>
    <x v="3"/>
    <x v="1"/>
    <x v="0"/>
    <x v="0"/>
    <x v="0"/>
    <x v="2"/>
    <n v="0"/>
    <n v="0"/>
    <n v="537.18399999999997"/>
    <n v="488.83744000000002"/>
    <n v="537.18399999999997"/>
    <n v="488.83744000000002"/>
    <n v="0"/>
    <x v="1"/>
    <n v="0"/>
    <n v="0"/>
    <n v="19"/>
    <n v="67"/>
    <n v="0"/>
    <n v="149.63"/>
    <n v="230.03"/>
    <m/>
    <n v="54.203801879475932"/>
    <n v="282.91739971702214"/>
    <n v="0"/>
    <n v="73144.7461472"/>
    <n v="112447.2763232"/>
    <n v="0"/>
    <n v="26496.847749030203"/>
    <n v="138300.61740912584"/>
  </r>
  <r>
    <s v="Regular"/>
    <x v="1"/>
    <x v="2"/>
    <x v="3"/>
    <x v="1"/>
    <x v="0"/>
    <x v="0"/>
    <x v="0"/>
    <x v="3"/>
    <n v="0"/>
    <n v="0"/>
    <n v="1201.9860000000001"/>
    <n v="1093.80726"/>
    <n v="1201.9860000000001"/>
    <n v="1093.80726"/>
    <n v="0"/>
    <x v="1"/>
    <n v="0"/>
    <n v="0"/>
    <n v="19"/>
    <n v="67"/>
    <n v="0"/>
    <n v="149.63"/>
    <n v="230.03"/>
    <m/>
    <n v="54.203801879475932"/>
    <n v="282.91739971702214"/>
    <n v="0"/>
    <n v="163666.38031380001"/>
    <n v="251608.48401780002"/>
    <n v="0"/>
    <n v="59288.51201537242"/>
    <n v="309457.10579080076"/>
  </r>
  <r>
    <s v="Sistema Isolado - Regular"/>
    <x v="1"/>
    <x v="2"/>
    <x v="3"/>
    <x v="1"/>
    <x v="0"/>
    <x v="0"/>
    <x v="0"/>
    <x v="3"/>
    <n v="0"/>
    <n v="0"/>
    <n v="475.80500000000001"/>
    <n v="432.98255"/>
    <n v="475.80500000000001"/>
    <n v="432.98255"/>
    <n v="0"/>
    <x v="1"/>
    <n v="0"/>
    <n v="0"/>
    <n v="19"/>
    <n v="67"/>
    <n v="0"/>
    <n v="149.63"/>
    <n v="230.03"/>
    <m/>
    <n v="54.203801879475932"/>
    <n v="282.91739971702214"/>
    <n v="0"/>
    <n v="64787.1789565"/>
    <n v="99598.975976500005"/>
    <n v="0"/>
    <n v="23469.300357470282"/>
    <n v="122498.29716884553"/>
  </r>
  <r>
    <s v="Regular"/>
    <x v="1"/>
    <x v="2"/>
    <x v="3"/>
    <x v="1"/>
    <x v="0"/>
    <x v="0"/>
    <x v="0"/>
    <x v="4"/>
    <n v="0"/>
    <n v="0"/>
    <n v="1313.335"/>
    <n v="1195.1348500000001"/>
    <n v="1313.335"/>
    <n v="1195.1348500000001"/>
    <n v="0"/>
    <x v="1"/>
    <n v="0"/>
    <n v="0"/>
    <n v="19"/>
    <n v="67"/>
    <n v="0"/>
    <n v="149.63"/>
    <n v="230.03"/>
    <m/>
    <n v="54.203801879475932"/>
    <n v="282.91739971702214"/>
    <n v="0"/>
    <n v="178828.02760550001"/>
    <n v="274916.86954550003"/>
    <n v="0"/>
    <n v="64780.852628657194"/>
    <n v="338124.44407319336"/>
  </r>
  <r>
    <s v="Sistema Isolado - Regular"/>
    <x v="1"/>
    <x v="2"/>
    <x v="3"/>
    <x v="1"/>
    <x v="0"/>
    <x v="0"/>
    <x v="0"/>
    <x v="4"/>
    <n v="0"/>
    <n v="0"/>
    <n v="523.48400000000004"/>
    <n v="476.37044000000003"/>
    <n v="523.48400000000004"/>
    <n v="476.37044000000003"/>
    <n v="0"/>
    <x v="1"/>
    <n v="0"/>
    <n v="0"/>
    <n v="19"/>
    <n v="67"/>
    <n v="0"/>
    <n v="149.63"/>
    <n v="230.03"/>
    <m/>
    <n v="54.203801879475932"/>
    <n v="282.91739971702214"/>
    <n v="0"/>
    <n v="71279.308937199996"/>
    <n v="109579.49231320001"/>
    <n v="0"/>
    <n v="25821.088950998779"/>
    <n v="134773.48618685373"/>
  </r>
  <r>
    <s v="Regular"/>
    <x v="1"/>
    <x v="2"/>
    <x v="3"/>
    <x v="1"/>
    <x v="0"/>
    <x v="0"/>
    <x v="0"/>
    <x v="5"/>
    <n v="0"/>
    <n v="0"/>
    <n v="1209.104"/>
    <n v="1100.2846400000001"/>
    <n v="1209.104"/>
    <n v="1100.2846400000001"/>
    <n v="0"/>
    <x v="1"/>
    <n v="0"/>
    <n v="0"/>
    <n v="19"/>
    <n v="67"/>
    <n v="0"/>
    <n v="149.63"/>
    <n v="230.03"/>
    <m/>
    <n v="54.203801879475932"/>
    <n v="282.91739971702214"/>
    <n v="0"/>
    <n v="164635.59068320002"/>
    <n v="253098.47573920002"/>
    <n v="0"/>
    <n v="59639.610637590507"/>
    <n v="311289.66929737985"/>
  </r>
  <r>
    <s v="Sistema Isolado - Regular"/>
    <x v="1"/>
    <x v="2"/>
    <x v="3"/>
    <x v="1"/>
    <x v="0"/>
    <x v="0"/>
    <x v="0"/>
    <x v="5"/>
    <n v="0"/>
    <n v="0"/>
    <n v="527.22299999999996"/>
    <n v="479.77292999999997"/>
    <n v="527.22299999999996"/>
    <n v="479.77292999999997"/>
    <n v="0"/>
    <x v="1"/>
    <n v="0"/>
    <n v="0"/>
    <n v="19"/>
    <n v="67"/>
    <n v="0"/>
    <n v="149.63"/>
    <n v="230.03"/>
    <m/>
    <n v="54.203801879475932"/>
    <n v="282.91739971702214"/>
    <n v="0"/>
    <n v="71788.423515899995"/>
    <n v="110362.1670879"/>
    <n v="0"/>
    <n v="26005.516844855672"/>
    <n v="135736.10981021688"/>
  </r>
  <r>
    <s v="Regular"/>
    <x v="1"/>
    <x v="2"/>
    <x v="3"/>
    <x v="1"/>
    <x v="0"/>
    <x v="0"/>
    <x v="0"/>
    <x v="6"/>
    <n v="0"/>
    <n v="0"/>
    <n v="1323.21"/>
    <n v="1204.1211000000001"/>
    <n v="1323.21"/>
    <n v="1204.1211000000001"/>
    <n v="0"/>
    <x v="1"/>
    <n v="0"/>
    <n v="0"/>
    <n v="19"/>
    <n v="67"/>
    <n v="0"/>
    <n v="149.63"/>
    <n v="230.03"/>
    <m/>
    <n v="54.203801879475932"/>
    <n v="282.91739971702214"/>
    <n v="0"/>
    <n v="180172.640193"/>
    <n v="276983.97663300001"/>
    <n v="0"/>
    <n v="65267.941543296634"/>
    <n v="340666.81055640039"/>
  </r>
  <r>
    <s v="Sistema Isolado - Regular"/>
    <x v="1"/>
    <x v="2"/>
    <x v="3"/>
    <x v="1"/>
    <x v="0"/>
    <x v="0"/>
    <x v="0"/>
    <x v="6"/>
    <n v="0"/>
    <n v="0"/>
    <n v="574.48800000000006"/>
    <n v="522.78408000000002"/>
    <n v="574.48800000000006"/>
    <n v="522.78408000000002"/>
    <n v="0"/>
    <x v="1"/>
    <n v="0"/>
    <n v="0"/>
    <n v="19"/>
    <n v="67"/>
    <n v="0"/>
    <n v="149.63"/>
    <n v="230.03"/>
    <m/>
    <n v="54.203801879475932"/>
    <n v="282.91739971702214"/>
    <n v="0"/>
    <n v="78224.181890399996"/>
    <n v="120256.0219224"/>
    <n v="0"/>
    <n v="28336.884698064096"/>
    <n v="147904.71252705567"/>
  </r>
  <r>
    <s v="Sistema Isolado - Refaturamento"/>
    <x v="1"/>
    <x v="2"/>
    <x v="3"/>
    <x v="1"/>
    <x v="0"/>
    <x v="0"/>
    <x v="0"/>
    <x v="6"/>
    <n v="0"/>
    <n v="0"/>
    <n v="132.31399999999999"/>
    <n v="120.40573999999999"/>
    <n v="132.31399999999999"/>
    <n v="120.40573999999999"/>
    <n v="0"/>
    <x v="1"/>
    <n v="0"/>
    <n v="0"/>
    <n v="19"/>
    <n v="67"/>
    <n v="0"/>
    <n v="149.63"/>
    <n v="230.03"/>
    <m/>
    <n v="54.203801879475932"/>
    <n v="282.91739971702214"/>
    <n v="0"/>
    <n v="18016.310876199997"/>
    <n v="27696.932372199997"/>
    <n v="0"/>
    <n v="6526.44887611169"/>
    <n v="34064.878871803841"/>
  </r>
  <r>
    <s v="Regular"/>
    <x v="1"/>
    <x v="2"/>
    <x v="3"/>
    <x v="1"/>
    <x v="0"/>
    <x v="0"/>
    <x v="0"/>
    <x v="7"/>
    <n v="0"/>
    <n v="0"/>
    <n v="1258.903"/>
    <n v="1145.6017300000001"/>
    <n v="1258.903"/>
    <n v="1145.6017300000001"/>
    <n v="0"/>
    <x v="1"/>
    <n v="0"/>
    <n v="0"/>
    <n v="19"/>
    <n v="67"/>
    <n v="0"/>
    <n v="149.63"/>
    <n v="230.03"/>
    <m/>
    <n v="54.203801879475932"/>
    <n v="282.91739971702214"/>
    <n v="0"/>
    <n v="171416.3868599"/>
    <n v="263522.76595190004"/>
    <n v="0"/>
    <n v="62095.969205704881"/>
    <n v="324110.66256292211"/>
  </r>
  <r>
    <s v="Sistema Isolado - Regular"/>
    <x v="1"/>
    <x v="2"/>
    <x v="3"/>
    <x v="1"/>
    <x v="0"/>
    <x v="0"/>
    <x v="0"/>
    <x v="7"/>
    <n v="0"/>
    <n v="0"/>
    <n v="586.72699999999998"/>
    <n v="533.92156999999997"/>
    <n v="586.72699999999998"/>
    <n v="533.92156999999997"/>
    <n v="0"/>
    <x v="1"/>
    <n v="0"/>
    <n v="0"/>
    <n v="19"/>
    <n v="67"/>
    <n v="0"/>
    <n v="149.63"/>
    <n v="230.03"/>
    <m/>
    <n v="54.203801879475932"/>
    <n v="282.91739971702214"/>
    <n v="0"/>
    <n v="79890.684519099988"/>
    <n v="122817.9787471"/>
    <n v="0"/>
    <n v="28940.578999458739"/>
    <n v="151055.70223723"/>
  </r>
  <r>
    <s v="Regular"/>
    <x v="1"/>
    <x v="2"/>
    <x v="3"/>
    <x v="1"/>
    <x v="0"/>
    <x v="0"/>
    <x v="0"/>
    <x v="8"/>
    <n v="0"/>
    <n v="0"/>
    <n v="1375.585"/>
    <n v="1251.78235"/>
    <n v="1375.585"/>
    <n v="1251.78235"/>
    <n v="0"/>
    <x v="1"/>
    <n v="0"/>
    <n v="0"/>
    <n v="19"/>
    <n v="67"/>
    <n v="0"/>
    <n v="149.63"/>
    <n v="230.03"/>
    <m/>
    <n v="54.203801879475932"/>
    <n v="282.91739971702214"/>
    <n v="0"/>
    <n v="187304.1930305"/>
    <n v="287947.49397050001"/>
    <n v="0"/>
    <n v="67851.362495624795"/>
    <n v="354151.00747366331"/>
  </r>
  <r>
    <s v="Sistema Isolado - Regular"/>
    <x v="1"/>
    <x v="2"/>
    <x v="3"/>
    <x v="1"/>
    <x v="0"/>
    <x v="0"/>
    <x v="0"/>
    <x v="8"/>
    <n v="0"/>
    <n v="0"/>
    <n v="597.23299999999995"/>
    <n v="543.48203000000001"/>
    <n v="597.23299999999995"/>
    <n v="543.48203000000001"/>
    <n v="0"/>
    <x v="1"/>
    <n v="0"/>
    <n v="0"/>
    <n v="19"/>
    <n v="67"/>
    <n v="0"/>
    <n v="149.63"/>
    <n v="230.03"/>
    <m/>
    <n v="54.203801879475932"/>
    <n v="282.91739971702214"/>
    <n v="0"/>
    <n v="81321.216148899999"/>
    <n v="125017.1713609"/>
    <n v="0"/>
    <n v="29458.792279175395"/>
    <n v="153760.52272052862"/>
  </r>
  <r>
    <s v="Regular"/>
    <x v="1"/>
    <x v="2"/>
    <x v="3"/>
    <x v="1"/>
    <x v="0"/>
    <x v="0"/>
    <x v="0"/>
    <x v="9"/>
    <n v="0"/>
    <n v="0"/>
    <n v="1358.9"/>
    <n v="1236.5989999999999"/>
    <n v="1358.9"/>
    <n v="1236.5989999999999"/>
    <n v="0"/>
    <x v="1"/>
    <n v="0"/>
    <n v="0"/>
    <n v="19"/>
    <n v="67"/>
    <n v="0"/>
    <n v="149.63"/>
    <n v="230.03"/>
    <m/>
    <n v="54.203801879475932"/>
    <n v="282.91739971702214"/>
    <n v="0"/>
    <n v="185032.30836999998"/>
    <n v="284454.86796999996"/>
    <n v="0"/>
    <n v="67028.367200358058"/>
    <n v="349855.37357266987"/>
  </r>
  <r>
    <s v="Sistema Isolado - Regular"/>
    <x v="1"/>
    <x v="2"/>
    <x v="3"/>
    <x v="1"/>
    <x v="0"/>
    <x v="0"/>
    <x v="0"/>
    <x v="9"/>
    <n v="0"/>
    <n v="0"/>
    <n v="634.44100000000003"/>
    <n v="577.34131000000002"/>
    <n v="634.44100000000003"/>
    <n v="577.34131000000002"/>
    <n v="0"/>
    <x v="1"/>
    <n v="0"/>
    <n v="0"/>
    <n v="19"/>
    <n v="67"/>
    <n v="0"/>
    <n v="149.63"/>
    <n v="230.03"/>
    <m/>
    <n v="54.203801879475932"/>
    <n v="282.91739971702214"/>
    <n v="0"/>
    <n v="86387.580215299997"/>
    <n v="132805.8215393"/>
    <n v="0"/>
    <n v="31294.093984077099"/>
    <n v="163339.9021744192"/>
  </r>
  <r>
    <s v="Regular"/>
    <x v="1"/>
    <x v="2"/>
    <x v="3"/>
    <x v="1"/>
    <x v="0"/>
    <x v="0"/>
    <x v="0"/>
    <x v="10"/>
    <n v="0"/>
    <n v="0"/>
    <n v="1113.9380000000001"/>
    <n v="1013.68358"/>
    <n v="1113.9380000000001"/>
    <n v="1013.68358"/>
    <n v="0"/>
    <x v="1"/>
    <n v="0"/>
    <n v="0"/>
    <n v="19"/>
    <n v="67"/>
    <n v="0"/>
    <n v="149.63"/>
    <n v="230.03"/>
    <m/>
    <n v="54.203801879475932"/>
    <n v="282.91739971702214"/>
    <n v="0"/>
    <n v="151677.47407540001"/>
    <n v="233177.63390740001"/>
    <n v="0"/>
    <n v="54945.50393879789"/>
    <n v="286788.72258944198"/>
  </r>
  <r>
    <s v="Sistema Isolado - Regular"/>
    <x v="1"/>
    <x v="2"/>
    <x v="3"/>
    <x v="1"/>
    <x v="0"/>
    <x v="0"/>
    <x v="0"/>
    <x v="10"/>
    <n v="0"/>
    <n v="0"/>
    <n v="587.50900000000001"/>
    <n v="534.63319000000001"/>
    <n v="587.50900000000001"/>
    <n v="534.63319000000001"/>
    <n v="0"/>
    <x v="1"/>
    <n v="0"/>
    <n v="0"/>
    <n v="19"/>
    <n v="67"/>
    <n v="0"/>
    <n v="149.63"/>
    <n v="230.03"/>
    <m/>
    <n v="54.203801879475932"/>
    <n v="282.91739971702214"/>
    <n v="0"/>
    <n v="79997.164219700004"/>
    <n v="122981.67269570001"/>
    <n v="0"/>
    <n v="28979.151508952214"/>
    <n v="151257.03191721663"/>
  </r>
  <r>
    <s v="PROJETADO"/>
    <x v="1"/>
    <x v="2"/>
    <x v="3"/>
    <x v="1"/>
    <x v="0"/>
    <x v="0"/>
    <x v="0"/>
    <x v="11"/>
    <n v="0"/>
    <n v="0"/>
    <n v="1113.9380000000001"/>
    <n v="1013.68358"/>
    <n v="1113.9380000000001"/>
    <n v="1013.68358"/>
    <n v="0"/>
    <x v="1"/>
    <n v="0"/>
    <n v="0"/>
    <n v="19"/>
    <n v="67"/>
    <n v="0"/>
    <n v="149.63"/>
    <n v="230.03"/>
    <m/>
    <n v="54.203801879475932"/>
    <n v="282.91739971702214"/>
    <n v="0"/>
    <n v="151677.47407540001"/>
    <n v="233177.63390740001"/>
    <n v="0"/>
    <n v="54945.50393879789"/>
    <n v="286788.72258944198"/>
  </r>
  <r>
    <s v="PROJETADO"/>
    <x v="1"/>
    <x v="2"/>
    <x v="3"/>
    <x v="1"/>
    <x v="0"/>
    <x v="0"/>
    <x v="0"/>
    <x v="11"/>
    <n v="0"/>
    <n v="0"/>
    <n v="587.50900000000001"/>
    <n v="534.63319000000001"/>
    <n v="587.50900000000001"/>
    <n v="534.63319000000001"/>
    <n v="0"/>
    <x v="1"/>
    <n v="0"/>
    <n v="0"/>
    <n v="19"/>
    <n v="67"/>
    <n v="0"/>
    <n v="149.63"/>
    <n v="230.03"/>
    <m/>
    <n v="54.203801879475932"/>
    <n v="282.91739971702214"/>
    <n v="0"/>
    <n v="79997.164219700004"/>
    <n v="122981.67269570001"/>
    <n v="0"/>
    <n v="28979.151508952214"/>
    <n v="151257.03191721663"/>
  </r>
  <r>
    <s v="Regular"/>
    <x v="1"/>
    <x v="2"/>
    <x v="3"/>
    <x v="1"/>
    <x v="0"/>
    <x v="0"/>
    <x v="1"/>
    <x v="0"/>
    <n v="3874"/>
    <n v="3292.9"/>
    <n v="0"/>
    <n v="0"/>
    <n v="0"/>
    <n v="0"/>
    <n v="57"/>
    <x v="1"/>
    <n v="0"/>
    <n v="23"/>
    <n v="0"/>
    <n v="0"/>
    <n v="28.57"/>
    <n v="0"/>
    <n v="0"/>
    <n v="31.93064187172984"/>
    <m/>
    <m/>
    <n v="94078.153000000006"/>
    <n v="0"/>
    <n v="0"/>
    <n v="105144.4106194192"/>
    <n v="0"/>
    <n v="0"/>
  </r>
  <r>
    <s v="Sistema Isolado - Regular"/>
    <x v="1"/>
    <x v="2"/>
    <x v="3"/>
    <x v="1"/>
    <x v="0"/>
    <x v="0"/>
    <x v="1"/>
    <x v="0"/>
    <n v="1536"/>
    <n v="1305.5999999999999"/>
    <n v="0"/>
    <n v="0"/>
    <n v="0"/>
    <n v="0"/>
    <n v="15"/>
    <x v="1"/>
    <n v="0"/>
    <n v="23"/>
    <n v="0"/>
    <n v="0"/>
    <n v="28.57"/>
    <n v="0"/>
    <n v="0"/>
    <n v="31.93064187172984"/>
    <m/>
    <m/>
    <n v="37300.991999999998"/>
    <n v="0"/>
    <n v="0"/>
    <n v="41688.64602773048"/>
    <n v="0"/>
    <n v="0"/>
  </r>
  <r>
    <s v="Regular"/>
    <x v="1"/>
    <x v="2"/>
    <x v="3"/>
    <x v="1"/>
    <x v="0"/>
    <x v="0"/>
    <x v="1"/>
    <x v="1"/>
    <n v="3837"/>
    <n v="3261.45"/>
    <n v="0"/>
    <n v="0"/>
    <n v="0"/>
    <n v="0"/>
    <n v="57"/>
    <x v="1"/>
    <n v="0"/>
    <n v="23"/>
    <n v="0"/>
    <n v="0"/>
    <n v="28.57"/>
    <n v="0"/>
    <n v="0"/>
    <n v="31.93064187172984"/>
    <m/>
    <m/>
    <n v="93179.626499999998"/>
    <n v="0"/>
    <n v="0"/>
    <n v="104140.19193255328"/>
    <n v="0"/>
    <n v="0"/>
  </r>
  <r>
    <s v="Sistema Isolado - Regular"/>
    <x v="1"/>
    <x v="2"/>
    <x v="3"/>
    <x v="1"/>
    <x v="0"/>
    <x v="0"/>
    <x v="1"/>
    <x v="1"/>
    <n v="1522"/>
    <n v="1293.7"/>
    <n v="0"/>
    <n v="0"/>
    <n v="0"/>
    <n v="0"/>
    <n v="15"/>
    <x v="1"/>
    <n v="0"/>
    <n v="23"/>
    <n v="0"/>
    <n v="0"/>
    <n v="28.57"/>
    <n v="0"/>
    <n v="0"/>
    <n v="31.93064187172984"/>
    <m/>
    <m/>
    <n v="36961.008999999998"/>
    <n v="0"/>
    <n v="0"/>
    <n v="41308.671389456897"/>
    <n v="0"/>
    <n v="0"/>
  </r>
  <r>
    <s v="Regular"/>
    <x v="1"/>
    <x v="2"/>
    <x v="3"/>
    <x v="1"/>
    <x v="0"/>
    <x v="0"/>
    <x v="1"/>
    <x v="2"/>
    <n v="3923"/>
    <n v="3334.5499999999997"/>
    <n v="0"/>
    <n v="0"/>
    <n v="0"/>
    <n v="0"/>
    <n v="57"/>
    <x v="1"/>
    <n v="0"/>
    <n v="23"/>
    <n v="0"/>
    <n v="0"/>
    <n v="28.57"/>
    <n v="0"/>
    <n v="0"/>
    <n v="31.93064187172984"/>
    <m/>
    <m/>
    <n v="95268.093499999988"/>
    <n v="0"/>
    <n v="0"/>
    <n v="106474.32185337674"/>
    <n v="0"/>
    <n v="0"/>
  </r>
  <r>
    <s v="Sistema Isolado - Regular"/>
    <x v="1"/>
    <x v="2"/>
    <x v="3"/>
    <x v="1"/>
    <x v="0"/>
    <x v="0"/>
    <x v="1"/>
    <x v="2"/>
    <n v="1560"/>
    <n v="1326"/>
    <n v="0"/>
    <n v="0"/>
    <n v="0"/>
    <n v="0"/>
    <n v="15"/>
    <x v="1"/>
    <n v="0"/>
    <n v="23"/>
    <n v="0"/>
    <n v="0"/>
    <n v="28.57"/>
    <n v="0"/>
    <n v="0"/>
    <n v="31.93064187172984"/>
    <m/>
    <m/>
    <n v="37883.82"/>
    <n v="0"/>
    <n v="0"/>
    <n v="42340.031121913766"/>
    <n v="0"/>
    <n v="0"/>
  </r>
  <r>
    <s v="Regular"/>
    <x v="1"/>
    <x v="2"/>
    <x v="3"/>
    <x v="1"/>
    <x v="0"/>
    <x v="0"/>
    <x v="1"/>
    <x v="3"/>
    <n v="3867"/>
    <n v="3286.95"/>
    <n v="0"/>
    <n v="0"/>
    <n v="0"/>
    <n v="0"/>
    <n v="56"/>
    <x v="1"/>
    <n v="0"/>
    <n v="23"/>
    <n v="0"/>
    <n v="0"/>
    <n v="28.57"/>
    <n v="0"/>
    <n v="0"/>
    <n v="31.93064187172984"/>
    <m/>
    <m/>
    <n v="93908.161500000002"/>
    <n v="0"/>
    <n v="0"/>
    <n v="104954.42330028239"/>
    <n v="0"/>
    <n v="0"/>
  </r>
  <r>
    <s v="Sistema Isolado - Regular"/>
    <x v="1"/>
    <x v="2"/>
    <x v="3"/>
    <x v="1"/>
    <x v="0"/>
    <x v="0"/>
    <x v="1"/>
    <x v="3"/>
    <n v="1554"/>
    <n v="1320.8999999999999"/>
    <n v="0"/>
    <n v="0"/>
    <n v="0"/>
    <n v="0"/>
    <n v="15"/>
    <x v="1"/>
    <n v="0"/>
    <n v="23"/>
    <n v="0"/>
    <n v="0"/>
    <n v="28.57"/>
    <n v="0"/>
    <n v="0"/>
    <n v="31.93064187172984"/>
    <m/>
    <m/>
    <n v="37738.112999999998"/>
    <n v="0"/>
    <n v="0"/>
    <n v="42177.184848367942"/>
    <n v="0"/>
    <n v="0"/>
  </r>
  <r>
    <s v="Regular"/>
    <x v="1"/>
    <x v="2"/>
    <x v="3"/>
    <x v="1"/>
    <x v="0"/>
    <x v="0"/>
    <x v="1"/>
    <x v="4"/>
    <n v="4059"/>
    <n v="3450.15"/>
    <n v="0"/>
    <n v="0"/>
    <n v="0"/>
    <n v="0"/>
    <n v="59"/>
    <x v="1"/>
    <n v="0"/>
    <n v="23"/>
    <n v="0"/>
    <n v="0"/>
    <n v="28.57"/>
    <n v="0"/>
    <n v="0"/>
    <n v="31.93064187172984"/>
    <m/>
    <m/>
    <n v="98570.785499999998"/>
    <n v="0"/>
    <n v="0"/>
    <n v="110165.50405374871"/>
    <n v="0"/>
    <n v="0"/>
  </r>
  <r>
    <s v="Sistema Isolado - Regular"/>
    <x v="1"/>
    <x v="2"/>
    <x v="3"/>
    <x v="1"/>
    <x v="0"/>
    <x v="0"/>
    <x v="1"/>
    <x v="4"/>
    <n v="1516"/>
    <n v="1288.5999999999999"/>
    <n v="0"/>
    <n v="0"/>
    <n v="0"/>
    <n v="0"/>
    <n v="15"/>
    <x v="1"/>
    <n v="0"/>
    <n v="23"/>
    <n v="0"/>
    <n v="0"/>
    <n v="28.57"/>
    <n v="0"/>
    <n v="0"/>
    <n v="31.93064187172984"/>
    <m/>
    <m/>
    <n v="36815.301999999996"/>
    <n v="0"/>
    <n v="0"/>
    <n v="41145.825115911066"/>
    <n v="0"/>
    <n v="0"/>
  </r>
  <r>
    <s v="Regular"/>
    <x v="1"/>
    <x v="2"/>
    <x v="3"/>
    <x v="1"/>
    <x v="0"/>
    <x v="0"/>
    <x v="1"/>
    <x v="5"/>
    <n v="3935"/>
    <n v="3344.75"/>
    <n v="0"/>
    <n v="0"/>
    <n v="0"/>
    <n v="0"/>
    <n v="57"/>
    <x v="1"/>
    <n v="0"/>
    <n v="23"/>
    <n v="0"/>
    <n v="0"/>
    <n v="28.57"/>
    <n v="0"/>
    <n v="0"/>
    <n v="31.93064187172984"/>
    <m/>
    <m/>
    <n v="95559.507500000007"/>
    <n v="0"/>
    <n v="0"/>
    <n v="106800.01440046838"/>
    <n v="0"/>
    <n v="0"/>
  </r>
  <r>
    <s v="Refaturamento - Regular"/>
    <x v="1"/>
    <x v="2"/>
    <x v="3"/>
    <x v="1"/>
    <x v="0"/>
    <x v="0"/>
    <x v="1"/>
    <x v="5"/>
    <n v="-95"/>
    <n v="-80.75"/>
    <n v="0"/>
    <n v="0"/>
    <n v="0"/>
    <n v="0"/>
    <n v="0"/>
    <x v="1"/>
    <n v="0"/>
    <n v="23"/>
    <n v="0"/>
    <n v="0"/>
    <n v="28.57"/>
    <n v="0"/>
    <n v="0"/>
    <n v="31.93064187172984"/>
    <m/>
    <m/>
    <n v="-2307.0275000000001"/>
    <n v="0"/>
    <n v="0"/>
    <n v="-2578.3993311421846"/>
    <n v="0"/>
    <n v="0"/>
  </r>
  <r>
    <s v="Sistema Isolado - Regular"/>
    <x v="1"/>
    <x v="2"/>
    <x v="3"/>
    <x v="1"/>
    <x v="0"/>
    <x v="0"/>
    <x v="1"/>
    <x v="5"/>
    <n v="1563"/>
    <n v="1328.55"/>
    <n v="0"/>
    <n v="0"/>
    <n v="0"/>
    <n v="0"/>
    <n v="16"/>
    <x v="1"/>
    <n v="0"/>
    <n v="23"/>
    <n v="0"/>
    <n v="0"/>
    <n v="28.57"/>
    <n v="0"/>
    <n v="0"/>
    <n v="31.93064187172984"/>
    <m/>
    <m/>
    <n v="37956.673499999997"/>
    <n v="0"/>
    <n v="0"/>
    <n v="42421.454258686681"/>
    <n v="0"/>
    <n v="0"/>
  </r>
  <r>
    <s v="Regular"/>
    <x v="1"/>
    <x v="2"/>
    <x v="3"/>
    <x v="1"/>
    <x v="0"/>
    <x v="0"/>
    <x v="1"/>
    <x v="6"/>
    <n v="3765"/>
    <n v="3200.25"/>
    <n v="0"/>
    <n v="0"/>
    <n v="0"/>
    <n v="0"/>
    <n v="57"/>
    <x v="1"/>
    <n v="0"/>
    <n v="23"/>
    <n v="0"/>
    <n v="0"/>
    <n v="28.57"/>
    <n v="0"/>
    <n v="0"/>
    <n v="31.93064187172984"/>
    <m/>
    <m/>
    <n v="91431.142500000002"/>
    <n v="0"/>
    <n v="0"/>
    <n v="102186.03665000341"/>
    <n v="0"/>
    <n v="0"/>
  </r>
  <r>
    <s v="Sistema Isolado - Regular"/>
    <x v="1"/>
    <x v="2"/>
    <x v="3"/>
    <x v="1"/>
    <x v="0"/>
    <x v="0"/>
    <x v="1"/>
    <x v="6"/>
    <n v="1757"/>
    <n v="1493.45"/>
    <n v="0"/>
    <n v="0"/>
    <n v="0"/>
    <n v="0"/>
    <n v="18"/>
    <x v="1"/>
    <n v="0"/>
    <n v="23"/>
    <n v="0"/>
    <n v="0"/>
    <n v="28.57"/>
    <n v="0"/>
    <n v="0"/>
    <n v="31.93064187172984"/>
    <m/>
    <m/>
    <n v="42667.866500000004"/>
    <n v="0"/>
    <n v="0"/>
    <n v="47686.817103334928"/>
    <n v="0"/>
    <n v="0"/>
  </r>
  <r>
    <s v="Sistema Isolado - Refaturamento"/>
    <x v="1"/>
    <x v="2"/>
    <x v="3"/>
    <x v="1"/>
    <x v="0"/>
    <x v="0"/>
    <x v="1"/>
    <x v="6"/>
    <n v="1800"/>
    <n v="1530"/>
    <n v="0"/>
    <n v="0"/>
    <n v="0"/>
    <n v="0"/>
    <n v="0"/>
    <x v="1"/>
    <n v="0"/>
    <n v="23"/>
    <n v="0"/>
    <n v="0"/>
    <n v="28.57"/>
    <n v="0"/>
    <n v="0"/>
    <n v="31.93064187172984"/>
    <m/>
    <m/>
    <n v="43712.1"/>
    <n v="0"/>
    <n v="0"/>
    <n v="48853.882063746656"/>
    <n v="0"/>
    <n v="0"/>
  </r>
  <r>
    <s v="Regular"/>
    <x v="1"/>
    <x v="2"/>
    <x v="3"/>
    <x v="1"/>
    <x v="0"/>
    <x v="0"/>
    <x v="1"/>
    <x v="7"/>
    <n v="3917"/>
    <n v="3329.45"/>
    <n v="0"/>
    <n v="0"/>
    <n v="0"/>
    <n v="0"/>
    <n v="56"/>
    <x v="1"/>
    <n v="0"/>
    <n v="23"/>
    <n v="0"/>
    <n v="0"/>
    <n v="28.57"/>
    <n v="0"/>
    <n v="0"/>
    <n v="31.93064187172984"/>
    <m/>
    <m/>
    <n v="95122.386499999993"/>
    <n v="0"/>
    <n v="0"/>
    <n v="106311.47557983091"/>
    <n v="0"/>
    <n v="0"/>
  </r>
  <r>
    <s v="Sistema Isolado - Regular"/>
    <x v="1"/>
    <x v="2"/>
    <x v="3"/>
    <x v="1"/>
    <x v="0"/>
    <x v="0"/>
    <x v="1"/>
    <x v="7"/>
    <n v="1969"/>
    <n v="1673.6499999999999"/>
    <n v="0"/>
    <n v="0"/>
    <n v="0"/>
    <n v="0"/>
    <n v="18"/>
    <x v="1"/>
    <n v="0"/>
    <n v="23"/>
    <n v="0"/>
    <n v="0"/>
    <n v="28.57"/>
    <n v="0"/>
    <n v="0"/>
    <n v="31.93064187172984"/>
    <m/>
    <m/>
    <n v="47816.180499999995"/>
    <n v="0"/>
    <n v="0"/>
    <n v="53440.718768620645"/>
    <n v="0"/>
    <n v="0"/>
  </r>
  <r>
    <s v="Regular"/>
    <x v="1"/>
    <x v="2"/>
    <x v="3"/>
    <x v="1"/>
    <x v="0"/>
    <x v="0"/>
    <x v="1"/>
    <x v="8"/>
    <n v="3911"/>
    <n v="3324.35"/>
    <n v="0"/>
    <n v="0"/>
    <n v="0"/>
    <n v="0"/>
    <n v="56"/>
    <x v="1"/>
    <n v="0"/>
    <n v="23"/>
    <n v="0"/>
    <n v="0"/>
    <n v="28.57"/>
    <n v="0"/>
    <n v="0"/>
    <n v="31.93064187172984"/>
    <m/>
    <m/>
    <n v="94976.679499999998"/>
    <n v="0"/>
    <n v="0"/>
    <n v="106148.62930628509"/>
    <n v="0"/>
    <n v="0"/>
  </r>
  <r>
    <s v="Sistema Isolado - Regular"/>
    <x v="1"/>
    <x v="2"/>
    <x v="3"/>
    <x v="1"/>
    <x v="0"/>
    <x v="0"/>
    <x v="1"/>
    <x v="8"/>
    <n v="1810"/>
    <n v="1538.5"/>
    <n v="0"/>
    <n v="0"/>
    <n v="0"/>
    <n v="0"/>
    <n v="18"/>
    <x v="1"/>
    <n v="0"/>
    <n v="23"/>
    <n v="0"/>
    <n v="0"/>
    <n v="28.57"/>
    <n v="0"/>
    <n v="0"/>
    <n v="31.93064187172984"/>
    <m/>
    <m/>
    <n v="43954.945"/>
    <n v="0"/>
    <n v="0"/>
    <n v="49125.292519656359"/>
    <n v="0"/>
    <n v="0"/>
  </r>
  <r>
    <s v="Regular"/>
    <x v="1"/>
    <x v="2"/>
    <x v="3"/>
    <x v="1"/>
    <x v="0"/>
    <x v="0"/>
    <x v="1"/>
    <x v="9"/>
    <n v="3903"/>
    <n v="3317.5499999999997"/>
    <n v="0"/>
    <n v="0"/>
    <n v="0"/>
    <n v="0"/>
    <n v="56"/>
    <x v="1"/>
    <n v="0"/>
    <n v="23"/>
    <n v="0"/>
    <n v="0"/>
    <n v="28.57"/>
    <n v="0"/>
    <n v="0"/>
    <n v="31.93064187172984"/>
    <m/>
    <m/>
    <n v="94782.4035"/>
    <n v="0"/>
    <n v="0"/>
    <n v="105931.50094155731"/>
    <n v="0"/>
    <n v="0"/>
  </r>
  <r>
    <s v="Sistema Isolado - Regular"/>
    <x v="1"/>
    <x v="2"/>
    <x v="3"/>
    <x v="1"/>
    <x v="0"/>
    <x v="0"/>
    <x v="1"/>
    <x v="9"/>
    <n v="1974"/>
    <n v="1677.8999999999999"/>
    <n v="0"/>
    <n v="0"/>
    <n v="0"/>
    <n v="0"/>
    <n v="18"/>
    <x v="1"/>
    <n v="0"/>
    <n v="23"/>
    <n v="0"/>
    <n v="0"/>
    <n v="28.57"/>
    <n v="0"/>
    <n v="0"/>
    <n v="31.93064187172984"/>
    <m/>
    <m/>
    <n v="47937.602999999996"/>
    <n v="0"/>
    <n v="0"/>
    <n v="53576.423996575497"/>
    <n v="0"/>
    <n v="0"/>
  </r>
  <r>
    <s v="Regular"/>
    <x v="1"/>
    <x v="2"/>
    <x v="3"/>
    <x v="1"/>
    <x v="0"/>
    <x v="0"/>
    <x v="1"/>
    <x v="10"/>
    <n v="3576"/>
    <n v="3039.6"/>
    <n v="0"/>
    <n v="0"/>
    <n v="0"/>
    <n v="0"/>
    <n v="53"/>
    <x v="1"/>
    <n v="0"/>
    <n v="23"/>
    <n v="0"/>
    <n v="0"/>
    <n v="28.57"/>
    <n v="0"/>
    <n v="0"/>
    <n v="31.93064187172984"/>
    <m/>
    <m/>
    <n v="86841.372000000003"/>
    <n v="0"/>
    <n v="0"/>
    <n v="97056.379033310019"/>
    <n v="0"/>
    <n v="0"/>
  </r>
  <r>
    <s v="Sistema Isolado - Regular"/>
    <x v="1"/>
    <x v="2"/>
    <x v="3"/>
    <x v="1"/>
    <x v="0"/>
    <x v="0"/>
    <x v="1"/>
    <x v="10"/>
    <n v="1879"/>
    <n v="1597.1499999999999"/>
    <n v="0"/>
    <n v="0"/>
    <n v="0"/>
    <n v="0"/>
    <n v="18"/>
    <x v="1"/>
    <n v="0"/>
    <n v="23"/>
    <n v="0"/>
    <n v="0"/>
    <n v="28.57"/>
    <n v="0"/>
    <n v="0"/>
    <n v="31.93064187172984"/>
    <m/>
    <m/>
    <n v="45630.575499999999"/>
    <n v="0"/>
    <n v="0"/>
    <n v="50998.02466543331"/>
    <n v="0"/>
    <n v="0"/>
  </r>
  <r>
    <s v="PROJETADO"/>
    <x v="1"/>
    <x v="2"/>
    <x v="3"/>
    <x v="1"/>
    <x v="0"/>
    <x v="0"/>
    <x v="1"/>
    <x v="11"/>
    <n v="3576"/>
    <n v="3039.6"/>
    <n v="0"/>
    <n v="0"/>
    <n v="0"/>
    <n v="0"/>
    <n v="53"/>
    <x v="1"/>
    <n v="0"/>
    <n v="23"/>
    <n v="0"/>
    <n v="0"/>
    <n v="28.57"/>
    <n v="0"/>
    <n v="0"/>
    <n v="31.93064187172984"/>
    <m/>
    <m/>
    <n v="86841.372000000003"/>
    <n v="0"/>
    <n v="0"/>
    <n v="97056.379033310019"/>
    <n v="0"/>
    <n v="0"/>
  </r>
  <r>
    <s v="PROJETADO"/>
    <x v="1"/>
    <x v="2"/>
    <x v="3"/>
    <x v="1"/>
    <x v="0"/>
    <x v="0"/>
    <x v="1"/>
    <x v="11"/>
    <n v="1879"/>
    <n v="1597.1499999999999"/>
    <n v="0"/>
    <n v="0"/>
    <n v="0"/>
    <n v="0"/>
    <n v="18"/>
    <x v="1"/>
    <n v="0"/>
    <n v="23"/>
    <n v="0"/>
    <n v="0"/>
    <n v="28.57"/>
    <n v="0"/>
    <n v="0"/>
    <n v="31.93064187172984"/>
    <m/>
    <m/>
    <n v="45630.575499999999"/>
    <n v="0"/>
    <n v="0"/>
    <n v="50998.02466543331"/>
    <n v="0"/>
    <n v="0"/>
  </r>
  <r>
    <s v="Regular"/>
    <x v="1"/>
    <x v="2"/>
    <x v="3"/>
    <x v="1"/>
    <x v="0"/>
    <x v="0"/>
    <x v="2"/>
    <x v="0"/>
    <n v="0"/>
    <n v="0"/>
    <n v="121.384"/>
    <n v="110.45944"/>
    <n v="121.384"/>
    <n v="110.45944"/>
    <n v="0"/>
    <x v="1"/>
    <n v="0"/>
    <n v="0"/>
    <n v="24"/>
    <n v="66"/>
    <n v="0"/>
    <n v="1434.79"/>
    <n v="389.28"/>
    <m/>
    <n v="1501.8340703569011"/>
    <n v="454.3285679284046"/>
    <n v="0"/>
    <n v="158486.09991759999"/>
    <n v="42999.650803199998"/>
    <n v="0"/>
    <n v="165891.75038454391"/>
    <n v="50184.879189373532"/>
  </r>
  <r>
    <s v="Sistema Isolado - Regular"/>
    <x v="1"/>
    <x v="2"/>
    <x v="3"/>
    <x v="1"/>
    <x v="0"/>
    <x v="0"/>
    <x v="2"/>
    <x v="0"/>
    <n v="0"/>
    <n v="0"/>
    <n v="83.113"/>
    <n v="75.632829999999998"/>
    <n v="83.113"/>
    <n v="75.632829999999998"/>
    <n v="0"/>
    <x v="1"/>
    <n v="0"/>
    <n v="0"/>
    <n v="24"/>
    <n v="66"/>
    <n v="0"/>
    <n v="1434.79"/>
    <n v="389.28"/>
    <m/>
    <n v="1501.8340703569011"/>
    <n v="454.3285679284046"/>
    <n v="0"/>
    <n v="108517.2281557"/>
    <n v="29442.348062399997"/>
    <n v="0"/>
    <n v="113587.96093151154"/>
    <n v="34362.155342272476"/>
  </r>
  <r>
    <s v="Regular"/>
    <x v="1"/>
    <x v="2"/>
    <x v="3"/>
    <x v="1"/>
    <x v="0"/>
    <x v="0"/>
    <x v="2"/>
    <x v="1"/>
    <n v="0"/>
    <n v="0"/>
    <n v="132.047"/>
    <n v="120.16276999999999"/>
    <n v="132.047"/>
    <n v="120.16276999999999"/>
    <n v="0"/>
    <x v="1"/>
    <n v="0"/>
    <n v="0"/>
    <n v="24"/>
    <n v="66"/>
    <n v="0"/>
    <n v="1434.79"/>
    <n v="389.28"/>
    <m/>
    <n v="1501.8340703569011"/>
    <n v="454.3285679284046"/>
    <n v="0"/>
    <n v="172408.3407683"/>
    <n v="46776.963105599993"/>
    <n v="0"/>
    <n v="180464.54197446012"/>
    <n v="54593.379212410255"/>
  </r>
  <r>
    <s v="Sistema Isolado - Regular"/>
    <x v="1"/>
    <x v="2"/>
    <x v="3"/>
    <x v="1"/>
    <x v="0"/>
    <x v="0"/>
    <x v="2"/>
    <x v="1"/>
    <n v="0"/>
    <n v="0"/>
    <n v="87.962000000000003"/>
    <n v="80.045420000000007"/>
    <n v="87.962000000000003"/>
    <n v="80.045420000000007"/>
    <n v="0"/>
    <x v="1"/>
    <n v="0"/>
    <n v="0"/>
    <n v="24"/>
    <n v="66"/>
    <n v="0"/>
    <n v="1434.79"/>
    <n v="389.28"/>
    <m/>
    <n v="1501.8340703569011"/>
    <n v="454.3285679284046"/>
    <n v="0"/>
    <n v="114848.36816180001"/>
    <n v="31160.081097599999"/>
    <n v="0"/>
    <n v="120214.93893202771"/>
    <n v="36366.921037827677"/>
  </r>
  <r>
    <s v="Regular"/>
    <x v="1"/>
    <x v="2"/>
    <x v="3"/>
    <x v="1"/>
    <x v="0"/>
    <x v="0"/>
    <x v="2"/>
    <x v="2"/>
    <n v="0"/>
    <n v="0"/>
    <n v="122.212"/>
    <n v="111.21292000000001"/>
    <n v="122.212"/>
    <n v="111.21292000000001"/>
    <n v="0"/>
    <x v="1"/>
    <n v="0"/>
    <n v="0"/>
    <n v="24"/>
    <n v="66"/>
    <n v="0"/>
    <n v="1434.79"/>
    <n v="389.28"/>
    <m/>
    <n v="1501.8340703569011"/>
    <n v="454.3285679284046"/>
    <n v="0"/>
    <n v="159567.18548680001"/>
    <n v="43292.965497600002"/>
    <n v="0"/>
    <n v="167023.35231987643"/>
    <n v="50527.206678736235"/>
  </r>
  <r>
    <s v="Sistema Isolado - Regular"/>
    <x v="1"/>
    <x v="2"/>
    <x v="3"/>
    <x v="1"/>
    <x v="0"/>
    <x v="0"/>
    <x v="2"/>
    <x v="2"/>
    <n v="0"/>
    <n v="0"/>
    <n v="87.938000000000002"/>
    <n v="80.02358000000001"/>
    <n v="87.938000000000002"/>
    <n v="80.02358000000001"/>
    <n v="0"/>
    <x v="1"/>
    <n v="0"/>
    <n v="0"/>
    <n v="24"/>
    <n v="66"/>
    <n v="0"/>
    <n v="1434.79"/>
    <n v="389.28"/>
    <m/>
    <n v="1501.8340703569011"/>
    <n v="454.3285679284046"/>
    <n v="0"/>
    <n v="114817.03234820001"/>
    <n v="31151.579222400003"/>
    <n v="0"/>
    <n v="120182.13887593111"/>
    <n v="36356.998501904127"/>
  </r>
  <r>
    <s v="Regular"/>
    <x v="1"/>
    <x v="2"/>
    <x v="3"/>
    <x v="1"/>
    <x v="0"/>
    <x v="0"/>
    <x v="2"/>
    <x v="3"/>
    <n v="0"/>
    <n v="0"/>
    <n v="113.482"/>
    <n v="103.26862"/>
    <n v="113.482"/>
    <n v="103.26862"/>
    <n v="0"/>
    <x v="1"/>
    <n v="0"/>
    <n v="0"/>
    <n v="24"/>
    <n v="66"/>
    <n v="0"/>
    <n v="1434.79"/>
    <n v="389.28"/>
    <m/>
    <n v="1501.8340703569011"/>
    <n v="454.3285679284046"/>
    <n v="0"/>
    <n v="148168.78328979999"/>
    <n v="40200.408393599995"/>
    <n v="0"/>
    <n v="155092.33191474009"/>
    <n v="46917.884236542603"/>
  </r>
  <r>
    <s v="Sistema Isolado - Regular"/>
    <x v="1"/>
    <x v="2"/>
    <x v="3"/>
    <x v="1"/>
    <x v="0"/>
    <x v="0"/>
    <x v="2"/>
    <x v="3"/>
    <n v="0"/>
    <n v="0"/>
    <n v="79.055999999999997"/>
    <n v="71.940960000000004"/>
    <n v="79.055999999999997"/>
    <n v="71.940960000000004"/>
    <n v="0"/>
    <x v="1"/>
    <n v="0"/>
    <n v="0"/>
    <n v="24"/>
    <n v="66"/>
    <n v="0"/>
    <n v="1434.79"/>
    <n v="389.28"/>
    <m/>
    <n v="1501.8340703569011"/>
    <n v="454.3285679284046"/>
    <n v="0"/>
    <n v="103220.1699984"/>
    <n v="28005.1769088"/>
    <n v="0"/>
    <n v="108043.38478218301"/>
    <n v="32684.833332194641"/>
  </r>
  <r>
    <s v="Regular"/>
    <x v="1"/>
    <x v="2"/>
    <x v="3"/>
    <x v="1"/>
    <x v="0"/>
    <x v="0"/>
    <x v="2"/>
    <x v="4"/>
    <n v="0"/>
    <n v="0"/>
    <n v="135.04"/>
    <n v="122.88639999999999"/>
    <n v="135.04"/>
    <n v="122.88639999999999"/>
    <n v="0"/>
    <x v="1"/>
    <n v="0"/>
    <n v="0"/>
    <n v="24"/>
    <n v="66"/>
    <n v="0"/>
    <n v="1434.79"/>
    <n v="389.28"/>
    <m/>
    <n v="1501.8340703569011"/>
    <n v="454.3285679284046"/>
    <n v="0"/>
    <n v="176316.17785599999"/>
    <n v="47837.217791999996"/>
    <n v="0"/>
    <n v="184554.98230350629"/>
    <n v="55830.802129877098"/>
  </r>
  <r>
    <s v="Sistema Isolado - Regular"/>
    <x v="1"/>
    <x v="2"/>
    <x v="3"/>
    <x v="1"/>
    <x v="0"/>
    <x v="0"/>
    <x v="2"/>
    <x v="4"/>
    <n v="0"/>
    <n v="0"/>
    <n v="82.153999999999996"/>
    <n v="74.760139999999993"/>
    <n v="82.153999999999996"/>
    <n v="74.760139999999993"/>
    <n v="0"/>
    <x v="1"/>
    <n v="0"/>
    <n v="0"/>
    <n v="24"/>
    <n v="66"/>
    <n v="0"/>
    <n v="1434.79"/>
    <n v="389.28"/>
    <m/>
    <n v="1501.8340703569011"/>
    <n v="454.3285679284046"/>
    <n v="0"/>
    <n v="107265.10127059999"/>
    <n v="29102.627299199994"/>
    <n v="0"/>
    <n v="112277.32535665177"/>
    <n v="33965.667344327034"/>
  </r>
  <r>
    <s v="Regular"/>
    <x v="1"/>
    <x v="2"/>
    <x v="3"/>
    <x v="1"/>
    <x v="0"/>
    <x v="0"/>
    <x v="2"/>
    <x v="5"/>
    <n v="0"/>
    <n v="0"/>
    <n v="110.995"/>
    <n v="101.00545000000001"/>
    <n v="110.995"/>
    <n v="101.00545000000001"/>
    <n v="0"/>
    <x v="1"/>
    <n v="0"/>
    <n v="0"/>
    <n v="24"/>
    <n v="66"/>
    <n v="0"/>
    <n v="1434.79"/>
    <n v="389.28"/>
    <m/>
    <n v="1501.8340703569011"/>
    <n v="454.3285679284046"/>
    <n v="0"/>
    <n v="144921.60960550001"/>
    <n v="39319.401576000004"/>
    <n v="0"/>
    <n v="151693.42610173047"/>
    <n v="45889.661451464075"/>
  </r>
  <r>
    <s v="Sistema Isolado - Regular"/>
    <x v="1"/>
    <x v="2"/>
    <x v="3"/>
    <x v="1"/>
    <x v="0"/>
    <x v="0"/>
    <x v="2"/>
    <x v="5"/>
    <n v="0"/>
    <n v="0"/>
    <n v="84.238"/>
    <n v="76.656580000000005"/>
    <n v="84.238"/>
    <n v="76.656580000000005"/>
    <n v="0"/>
    <x v="1"/>
    <n v="0"/>
    <n v="0"/>
    <n v="24"/>
    <n v="66"/>
    <n v="0"/>
    <n v="1434.79"/>
    <n v="389.28"/>
    <m/>
    <n v="1501.8340703569011"/>
    <n v="454.3285679284046"/>
    <n v="0"/>
    <n v="109986.09441820001"/>
    <n v="29840.873462399999"/>
    <n v="0"/>
    <n v="115125.46356103942"/>
    <n v="34827.274213689183"/>
  </r>
  <r>
    <s v="Regular"/>
    <x v="1"/>
    <x v="2"/>
    <x v="3"/>
    <x v="1"/>
    <x v="0"/>
    <x v="0"/>
    <x v="2"/>
    <x v="6"/>
    <n v="0"/>
    <n v="0"/>
    <n v="122.526"/>
    <n v="111.49866"/>
    <n v="122.526"/>
    <n v="111.49866"/>
    <n v="0"/>
    <x v="1"/>
    <n v="0"/>
    <n v="0"/>
    <n v="24"/>
    <n v="66"/>
    <n v="0"/>
    <n v="1434.79"/>
    <n v="389.28"/>
    <m/>
    <n v="1501.8340703569011"/>
    <n v="454.3285679284046"/>
    <n v="0"/>
    <n v="159977.1623814"/>
    <n v="43404.198364799995"/>
    <n v="0"/>
    <n v="167452.4863871402"/>
    <n v="50657.026523736087"/>
  </r>
  <r>
    <s v="Sistema Isolado - Regular"/>
    <x v="1"/>
    <x v="2"/>
    <x v="3"/>
    <x v="1"/>
    <x v="0"/>
    <x v="0"/>
    <x v="2"/>
    <x v="6"/>
    <n v="0"/>
    <n v="0"/>
    <n v="89.659000000000006"/>
    <n v="81.589690000000004"/>
    <n v="89.659000000000006"/>
    <n v="81.589690000000004"/>
    <n v="0"/>
    <x v="1"/>
    <n v="0"/>
    <n v="0"/>
    <n v="24"/>
    <n v="66"/>
    <n v="0"/>
    <n v="1434.79"/>
    <n v="389.28"/>
    <m/>
    <n v="1501.8340703569011"/>
    <n v="454.3285679284046"/>
    <n v="0"/>
    <n v="117064.07131510001"/>
    <n v="31761.234523200001"/>
    <n v="0"/>
    <n v="122534.17623185775"/>
    <n v="37068.527015422478"/>
  </r>
  <r>
    <s v="Sistema Isolado - Refaturamento"/>
    <x v="1"/>
    <x v="2"/>
    <x v="3"/>
    <x v="1"/>
    <x v="0"/>
    <x v="0"/>
    <x v="2"/>
    <x v="6"/>
    <n v="0"/>
    <n v="0"/>
    <n v="14.61"/>
    <n v="13.2951"/>
    <n v="14.61"/>
    <n v="13.2951"/>
    <n v="0"/>
    <x v="1"/>
    <n v="0"/>
    <n v="0"/>
    <n v="24"/>
    <n v="66"/>
    <n v="0"/>
    <n v="1434.79"/>
    <n v="389.28"/>
    <m/>
    <n v="1501.8340703569011"/>
    <n v="454.3285679284046"/>
    <n v="0"/>
    <n v="19075.676529"/>
    <n v="5175.5165279999992"/>
    <n v="0"/>
    <n v="19967.034148802035"/>
    <n v="6040.3437434649322"/>
  </r>
  <r>
    <s v="Regular"/>
    <x v="1"/>
    <x v="2"/>
    <x v="3"/>
    <x v="1"/>
    <x v="0"/>
    <x v="0"/>
    <x v="2"/>
    <x v="7"/>
    <n v="0"/>
    <n v="0"/>
    <n v="122.699"/>
    <n v="111.65609000000001"/>
    <n v="122.699"/>
    <n v="111.65609000000001"/>
    <n v="0"/>
    <x v="1"/>
    <n v="0"/>
    <n v="0"/>
    <n v="24"/>
    <n v="66"/>
    <n v="0"/>
    <n v="1434.79"/>
    <n v="389.28"/>
    <m/>
    <n v="1501.8340703569011"/>
    <n v="454.3285679284046"/>
    <n v="0"/>
    <n v="160203.0413711"/>
    <n v="43465.4827152"/>
    <n v="0"/>
    <n v="167688.9201248365"/>
    <n v="50728.551470185062"/>
  </r>
  <r>
    <s v="Sistema Isolado - Regular"/>
    <x v="1"/>
    <x v="2"/>
    <x v="3"/>
    <x v="1"/>
    <x v="0"/>
    <x v="0"/>
    <x v="2"/>
    <x v="7"/>
    <n v="0"/>
    <n v="0"/>
    <n v="92.828999999999994"/>
    <n v="84.47439"/>
    <n v="92.828999999999994"/>
    <n v="84.47439"/>
    <n v="0"/>
    <x v="1"/>
    <n v="0"/>
    <n v="0"/>
    <n v="24"/>
    <n v="66"/>
    <n v="0"/>
    <n v="1434.79"/>
    <n v="389.28"/>
    <m/>
    <n v="1501.8340703569011"/>
    <n v="454.3285679284046"/>
    <n v="0"/>
    <n v="121203.01002809999"/>
    <n v="32884.190539199997"/>
    <n v="0"/>
    <n v="126866.5169746163"/>
    <n v="38379.128635325542"/>
  </r>
  <r>
    <s v="Regular"/>
    <x v="1"/>
    <x v="2"/>
    <x v="3"/>
    <x v="1"/>
    <x v="0"/>
    <x v="0"/>
    <x v="2"/>
    <x v="8"/>
    <n v="0"/>
    <n v="0"/>
    <n v="137.31800000000001"/>
    <n v="124.95938"/>
    <n v="137.31800000000001"/>
    <n v="124.95938"/>
    <n v="0"/>
    <x v="1"/>
    <n v="0"/>
    <n v="0"/>
    <n v="24"/>
    <n v="66"/>
    <n v="0"/>
    <n v="1434.79"/>
    <n v="389.28"/>
    <m/>
    <n v="1501.8340703569011"/>
    <n v="454.3285679284046"/>
    <n v="0"/>
    <n v="179290.4688302"/>
    <n v="48644.187446399992"/>
    <n v="0"/>
    <n v="187668.25429467473"/>
    <n v="56772.616164621322"/>
  </r>
  <r>
    <s v="Sistema Isolado - Regular"/>
    <x v="1"/>
    <x v="2"/>
    <x v="3"/>
    <x v="1"/>
    <x v="0"/>
    <x v="0"/>
    <x v="2"/>
    <x v="8"/>
    <n v="0"/>
    <n v="0"/>
    <n v="56.061999999999998"/>
    <n v="51.016419999999997"/>
    <n v="56.061999999999998"/>
    <n v="51.016419999999997"/>
    <n v="0"/>
    <x v="1"/>
    <n v="0"/>
    <n v="0"/>
    <n v="24"/>
    <n v="66"/>
    <n v="0"/>
    <n v="1434.79"/>
    <n v="389.28"/>
    <m/>
    <n v="1501.8340703569011"/>
    <n v="454.3285679284046"/>
    <n v="0"/>
    <n v="73197.849251799998"/>
    <n v="19859.671977599999"/>
    <n v="0"/>
    <n v="76618.197703637212"/>
    <n v="23178.217039434017"/>
  </r>
  <r>
    <s v="Regular"/>
    <x v="1"/>
    <x v="2"/>
    <x v="3"/>
    <x v="1"/>
    <x v="0"/>
    <x v="0"/>
    <x v="2"/>
    <x v="9"/>
    <n v="0"/>
    <n v="0"/>
    <n v="135.59299999999999"/>
    <n v="123.38963"/>
    <n v="135.59299999999999"/>
    <n v="123.38963"/>
    <n v="0"/>
    <x v="1"/>
    <n v="0"/>
    <n v="0"/>
    <n v="24"/>
    <n v="66"/>
    <n v="0"/>
    <n v="1434.79"/>
    <n v="389.28"/>
    <m/>
    <n v="1501.8340703569011"/>
    <n v="454.3285679284046"/>
    <n v="0"/>
    <n v="177038.20722769998"/>
    <n v="48033.115166399999"/>
    <n v="0"/>
    <n v="185310.75026273198"/>
    <n v="56059.433895115711"/>
  </r>
  <r>
    <s v="Sistema Isolado - Regular"/>
    <x v="1"/>
    <x v="2"/>
    <x v="3"/>
    <x v="1"/>
    <x v="0"/>
    <x v="0"/>
    <x v="2"/>
    <x v="9"/>
    <n v="0"/>
    <n v="0"/>
    <n v="54.485999999999997"/>
    <n v="49.582259999999998"/>
    <n v="54.485999999999997"/>
    <n v="49.582259999999998"/>
    <n v="0"/>
    <x v="1"/>
    <n v="0"/>
    <n v="0"/>
    <n v="24"/>
    <n v="66"/>
    <n v="0"/>
    <n v="1434.79"/>
    <n v="389.28"/>
    <m/>
    <n v="1501.8340703569011"/>
    <n v="454.3285679284046"/>
    <n v="0"/>
    <n v="71140.130825399989"/>
    <n v="19301.382172799997"/>
    <n v="0"/>
    <n v="74464.327353294153"/>
    <n v="22526.637180453818"/>
  </r>
  <r>
    <s v="Regular"/>
    <x v="1"/>
    <x v="2"/>
    <x v="3"/>
    <x v="1"/>
    <x v="0"/>
    <x v="0"/>
    <x v="2"/>
    <x v="10"/>
    <n v="0"/>
    <n v="0"/>
    <n v="106.461"/>
    <n v="96.879509999999996"/>
    <n v="106.461"/>
    <n v="96.879509999999996"/>
    <n v="0"/>
    <x v="1"/>
    <n v="0"/>
    <n v="0"/>
    <n v="24"/>
    <n v="66"/>
    <n v="0"/>
    <n v="1434.79"/>
    <n v="389.28"/>
    <m/>
    <n v="1501.8340703569011"/>
    <n v="454.3285679284046"/>
    <n v="0"/>
    <n v="139001.75215289998"/>
    <n v="37713.255652799999"/>
    <n v="0"/>
    <n v="145496.94883748211"/>
    <n v="44015.129039905551"/>
  </r>
  <r>
    <s v="Sistema Isolado - Regular"/>
    <x v="1"/>
    <x v="2"/>
    <x v="3"/>
    <x v="1"/>
    <x v="0"/>
    <x v="0"/>
    <x v="2"/>
    <x v="10"/>
    <n v="0"/>
    <n v="0"/>
    <n v="53.558"/>
    <n v="48.737780000000001"/>
    <n v="53.558"/>
    <n v="48.737780000000001"/>
    <n v="0"/>
    <x v="1"/>
    <n v="0"/>
    <n v="0"/>
    <n v="24"/>
    <n v="66"/>
    <n v="0"/>
    <n v="1434.79"/>
    <n v="389.28"/>
    <m/>
    <n v="1501.8340703569011"/>
    <n v="454.3285679284046"/>
    <n v="0"/>
    <n v="69928.479366200001"/>
    <n v="18972.642998399999"/>
    <n v="0"/>
    <n v="73196.05851755917"/>
    <n v="22142.965791409639"/>
  </r>
  <r>
    <s v="PROJETADO"/>
    <x v="1"/>
    <x v="2"/>
    <x v="3"/>
    <x v="1"/>
    <x v="0"/>
    <x v="0"/>
    <x v="2"/>
    <x v="11"/>
    <n v="0"/>
    <n v="0"/>
    <n v="106.461"/>
    <n v="96.879509999999996"/>
    <n v="106.461"/>
    <n v="96.879509999999996"/>
    <n v="0"/>
    <x v="1"/>
    <n v="0"/>
    <n v="0"/>
    <n v="24"/>
    <n v="66"/>
    <n v="0"/>
    <n v="1434.79"/>
    <n v="389.28"/>
    <m/>
    <n v="1501.8340703569011"/>
    <n v="454.3285679284046"/>
    <n v="0"/>
    <n v="139001.75215289998"/>
    <n v="37713.255652799999"/>
    <n v="0"/>
    <n v="145496.94883748211"/>
    <n v="44015.129039905551"/>
  </r>
  <r>
    <s v="PROJETADO"/>
    <x v="1"/>
    <x v="2"/>
    <x v="3"/>
    <x v="1"/>
    <x v="0"/>
    <x v="0"/>
    <x v="2"/>
    <x v="11"/>
    <n v="0"/>
    <n v="0"/>
    <n v="53.558"/>
    <n v="48.737780000000001"/>
    <n v="53.558"/>
    <n v="48.737780000000001"/>
    <n v="0"/>
    <x v="1"/>
    <n v="0"/>
    <n v="0"/>
    <n v="24"/>
    <n v="66"/>
    <n v="0"/>
    <n v="1434.79"/>
    <n v="389.28"/>
    <m/>
    <n v="1501.8340703569011"/>
    <n v="454.3285679284046"/>
    <n v="0"/>
    <n v="69928.479366200001"/>
    <n v="18972.642998399999"/>
    <n v="0"/>
    <n v="73196.05851755917"/>
    <n v="22142.965791409639"/>
  </r>
  <r>
    <s v="Regular"/>
    <x v="2"/>
    <x v="3"/>
    <x v="7"/>
    <x v="2"/>
    <x v="0"/>
    <x v="0"/>
    <x v="0"/>
    <x v="0"/>
    <n v="0"/>
    <n v="0"/>
    <n v="35.856999999999999"/>
    <n v="35.856999999999999"/>
    <n v="35.856999999999999"/>
    <n v="35.856999999999999"/>
    <n v="0"/>
    <x v="1"/>
    <n v="0"/>
    <n v="0"/>
    <n v="12"/>
    <n v="64"/>
    <n v="0"/>
    <n v="356.74"/>
    <n v="230.03"/>
    <m/>
    <n v="270.37460088304363"/>
    <n v="282.91739971702214"/>
    <n v="0"/>
    <n v="12791.626179999999"/>
    <n v="8248.1857099999997"/>
    <n v="0"/>
    <n v="9694.8220638632956"/>
    <n v="10144.569201653263"/>
  </r>
  <r>
    <s v="Refaturamento - Regular"/>
    <x v="2"/>
    <x v="3"/>
    <x v="7"/>
    <x v="2"/>
    <x v="0"/>
    <x v="0"/>
    <x v="0"/>
    <x v="0"/>
    <n v="0"/>
    <n v="0"/>
    <n v="-6.7160000000000002"/>
    <n v="-6.7160000000000002"/>
    <n v="-6.7160000000000002"/>
    <n v="-6.7160000000000002"/>
    <n v="0"/>
    <x v="1"/>
    <n v="0"/>
    <n v="0"/>
    <n v="12"/>
    <n v="64"/>
    <n v="0"/>
    <n v="356.74"/>
    <n v="230.03"/>
    <m/>
    <n v="270.37460088304363"/>
    <n v="282.91739971702214"/>
    <n v="0"/>
    <n v="-2395.8658399999999"/>
    <n v="-1544.88148"/>
    <n v="0"/>
    <n v="-1815.8358195305211"/>
    <n v="-1900.0732564995208"/>
  </r>
  <r>
    <s v="Sistema Isolado - Regular"/>
    <x v="2"/>
    <x v="3"/>
    <x v="7"/>
    <x v="2"/>
    <x v="0"/>
    <x v="0"/>
    <x v="0"/>
    <x v="0"/>
    <n v="0"/>
    <n v="0"/>
    <n v="2.5169999999999999"/>
    <n v="2.5169999999999999"/>
    <n v="2.5169999999999999"/>
    <n v="2.5169999999999999"/>
    <n v="0"/>
    <x v="1"/>
    <n v="0"/>
    <n v="0"/>
    <n v="12"/>
    <n v="64"/>
    <n v="0"/>
    <n v="356.74"/>
    <n v="230.03"/>
    <m/>
    <n v="270.37460088304363"/>
    <n v="282.91739971702214"/>
    <n v="0"/>
    <n v="897.91458"/>
    <n v="578.98550999999998"/>
    <n v="0"/>
    <n v="680.53287042262082"/>
    <n v="712.10309508774469"/>
  </r>
  <r>
    <s v="Sistema de Compensação"/>
    <x v="2"/>
    <x v="3"/>
    <x v="7"/>
    <x v="2"/>
    <x v="0"/>
    <x v="0"/>
    <x v="0"/>
    <x v="0"/>
    <n v="0"/>
    <n v="0"/>
    <n v="0.92400000000000004"/>
    <n v="0.92400000000000004"/>
    <n v="0.92400000000000004"/>
    <n v="0.92400000000000004"/>
    <n v="0"/>
    <x v="1"/>
    <n v="0"/>
    <n v="0"/>
    <n v="12"/>
    <n v="64"/>
    <n v="0"/>
    <n v="356.74"/>
    <n v="230.03"/>
    <m/>
    <n v="270.37460088304363"/>
    <n v="282.91739971702214"/>
    <n v="0"/>
    <n v="329.62776000000002"/>
    <n v="212.54772"/>
    <n v="0"/>
    <n v="249.82613121593232"/>
    <n v="261.41567733852844"/>
  </r>
  <r>
    <s v="Regular"/>
    <x v="2"/>
    <x v="3"/>
    <x v="7"/>
    <x v="2"/>
    <x v="0"/>
    <x v="0"/>
    <x v="0"/>
    <x v="1"/>
    <n v="0"/>
    <n v="0"/>
    <n v="36.542000000000002"/>
    <n v="36.542000000000002"/>
    <n v="36.542000000000002"/>
    <n v="36.542000000000002"/>
    <n v="0"/>
    <x v="1"/>
    <n v="0"/>
    <n v="0"/>
    <n v="12"/>
    <n v="64"/>
    <n v="0"/>
    <n v="356.74"/>
    <n v="230.03"/>
    <m/>
    <n v="270.37460088304363"/>
    <n v="282.91739971702214"/>
    <n v="0"/>
    <n v="13035.99308"/>
    <n v="8405.7562600000001"/>
    <n v="0"/>
    <n v="9880.0286654681804"/>
    <n v="10338.367620459423"/>
  </r>
  <r>
    <s v="Refaturamento - Regular"/>
    <x v="2"/>
    <x v="3"/>
    <x v="7"/>
    <x v="2"/>
    <x v="0"/>
    <x v="0"/>
    <x v="0"/>
    <x v="1"/>
    <n v="0"/>
    <n v="0"/>
    <n v="0.36799999999999999"/>
    <n v="0.36799999999999999"/>
    <n v="0.36799999999999999"/>
    <n v="0.36799999999999999"/>
    <n v="0"/>
    <x v="1"/>
    <n v="0"/>
    <n v="0"/>
    <n v="12"/>
    <n v="64"/>
    <n v="0"/>
    <n v="356.74"/>
    <n v="230.03"/>
    <m/>
    <n v="270.37460088304363"/>
    <n v="282.91739971702214"/>
    <n v="0"/>
    <n v="131.28031999999999"/>
    <n v="84.651039999999995"/>
    <n v="0"/>
    <n v="99.497853124960059"/>
    <n v="104.11360309586415"/>
  </r>
  <r>
    <s v="Sistema Isolado - Regular"/>
    <x v="2"/>
    <x v="3"/>
    <x v="7"/>
    <x v="2"/>
    <x v="0"/>
    <x v="0"/>
    <x v="0"/>
    <x v="1"/>
    <n v="0"/>
    <n v="0"/>
    <n v="1.4950000000000001"/>
    <n v="1.4950000000000001"/>
    <n v="1.4950000000000001"/>
    <n v="1.4950000000000001"/>
    <n v="0"/>
    <x v="1"/>
    <n v="0"/>
    <n v="0"/>
    <n v="12"/>
    <n v="64"/>
    <n v="0"/>
    <n v="356.74"/>
    <n v="230.03"/>
    <m/>
    <n v="270.37460088304363"/>
    <n v="282.91739971702214"/>
    <n v="0"/>
    <n v="533.32630000000006"/>
    <n v="343.89485000000002"/>
    <n v="0"/>
    <n v="404.21002832015023"/>
    <n v="422.96151257694811"/>
  </r>
  <r>
    <s v="Sistema de Compensação"/>
    <x v="2"/>
    <x v="3"/>
    <x v="7"/>
    <x v="2"/>
    <x v="0"/>
    <x v="0"/>
    <x v="0"/>
    <x v="1"/>
    <n v="0"/>
    <n v="0"/>
    <n v="1.0249999999999999"/>
    <n v="1.0249999999999999"/>
    <n v="1.0249999999999999"/>
    <n v="1.0249999999999999"/>
    <n v="0"/>
    <x v="1"/>
    <n v="0"/>
    <n v="0"/>
    <n v="12"/>
    <n v="64"/>
    <n v="0"/>
    <n v="356.74"/>
    <n v="230.03"/>
    <m/>
    <n v="270.37460088304363"/>
    <n v="282.91739971702214"/>
    <n v="0"/>
    <n v="365.6585"/>
    <n v="235.78074999999998"/>
    <n v="0"/>
    <n v="277.13396590511968"/>
    <n v="289.99033470994766"/>
  </r>
  <r>
    <s v="Regular"/>
    <x v="2"/>
    <x v="3"/>
    <x v="7"/>
    <x v="2"/>
    <x v="0"/>
    <x v="0"/>
    <x v="0"/>
    <x v="2"/>
    <n v="0"/>
    <n v="0"/>
    <n v="32.886000000000003"/>
    <n v="32.886000000000003"/>
    <n v="32.886000000000003"/>
    <n v="32.886000000000003"/>
    <n v="0"/>
    <x v="1"/>
    <n v="0"/>
    <n v="0"/>
    <n v="12"/>
    <n v="64"/>
    <n v="0"/>
    <n v="356.74"/>
    <n v="230.03"/>
    <m/>
    <n v="270.37460088304363"/>
    <n v="282.91739971702214"/>
    <n v="0"/>
    <n v="11731.75164"/>
    <n v="7564.7665800000004"/>
    <n v="0"/>
    <n v="8891.5391246397739"/>
    <n v="9304.0216070939914"/>
  </r>
  <r>
    <s v="Refaturamento - Regular"/>
    <x v="2"/>
    <x v="3"/>
    <x v="7"/>
    <x v="2"/>
    <x v="0"/>
    <x v="0"/>
    <x v="0"/>
    <x v="2"/>
    <n v="0"/>
    <n v="0"/>
    <n v="-0.126"/>
    <n v="-0.126"/>
    <n v="-0.126"/>
    <n v="-0.126"/>
    <n v="0"/>
    <x v="1"/>
    <n v="0"/>
    <n v="0"/>
    <n v="12"/>
    <n v="64"/>
    <n v="0"/>
    <n v="356.74"/>
    <n v="230.03"/>
    <m/>
    <n v="270.37460088304363"/>
    <n v="282.91739971702214"/>
    <n v="0"/>
    <n v="-44.949240000000003"/>
    <n v="-28.983779999999999"/>
    <n v="0"/>
    <n v="-34.067199711263498"/>
    <n v="-35.647592364344789"/>
  </r>
  <r>
    <s v="Sistema Isolado - Regular"/>
    <x v="2"/>
    <x v="3"/>
    <x v="7"/>
    <x v="2"/>
    <x v="0"/>
    <x v="0"/>
    <x v="0"/>
    <x v="2"/>
    <n v="0"/>
    <n v="0"/>
    <n v="1.548"/>
    <n v="1.548"/>
    <n v="1.548"/>
    <n v="1.548"/>
    <n v="0"/>
    <x v="1"/>
    <n v="0"/>
    <n v="0"/>
    <n v="12"/>
    <n v="64"/>
    <n v="0"/>
    <n v="356.74"/>
    <n v="230.03"/>
    <m/>
    <n v="270.37460088304363"/>
    <n v="282.91739971702214"/>
    <n v="0"/>
    <n v="552.23352"/>
    <n v="356.08644000000004"/>
    <n v="0"/>
    <n v="418.53988216695154"/>
    <n v="437.9561347619503"/>
  </r>
  <r>
    <s v="Sistema de Compensação"/>
    <x v="2"/>
    <x v="3"/>
    <x v="7"/>
    <x v="2"/>
    <x v="0"/>
    <x v="0"/>
    <x v="0"/>
    <x v="2"/>
    <n v="0"/>
    <n v="0"/>
    <n v="0.99399999999999999"/>
    <n v="0.99399999999999999"/>
    <n v="0.99399999999999999"/>
    <n v="0.99399999999999999"/>
    <n v="0"/>
    <x v="1"/>
    <n v="0"/>
    <n v="0"/>
    <n v="12"/>
    <n v="64"/>
    <n v="0"/>
    <n v="356.74"/>
    <n v="230.03"/>
    <m/>
    <n v="270.37460088304363"/>
    <n v="282.91739971702214"/>
    <n v="0"/>
    <n v="354.59956"/>
    <n v="228.64982000000001"/>
    <n v="0"/>
    <n v="268.75235327774539"/>
    <n v="281.21989531871998"/>
  </r>
  <r>
    <s v="Regular"/>
    <x v="2"/>
    <x v="3"/>
    <x v="7"/>
    <x v="2"/>
    <x v="0"/>
    <x v="0"/>
    <x v="0"/>
    <x v="3"/>
    <n v="0"/>
    <n v="0"/>
    <n v="29.236999999999998"/>
    <n v="29.236999999999998"/>
    <n v="29.236999999999998"/>
    <n v="29.236999999999998"/>
    <n v="0"/>
    <x v="1"/>
    <n v="0"/>
    <n v="0"/>
    <n v="12"/>
    <n v="64"/>
    <n v="0"/>
    <n v="356.74"/>
    <n v="230.03"/>
    <m/>
    <n v="270.37460088304363"/>
    <n v="282.91739971702214"/>
    <n v="0"/>
    <n v="10430.007379999999"/>
    <n v="6725.3871099999997"/>
    <n v="0"/>
    <n v="7904.9422060175457"/>
    <n v="8271.6560155265761"/>
  </r>
  <r>
    <s v="Refaturamento - Regular"/>
    <x v="2"/>
    <x v="3"/>
    <x v="7"/>
    <x v="2"/>
    <x v="0"/>
    <x v="0"/>
    <x v="0"/>
    <x v="3"/>
    <n v="0"/>
    <n v="0"/>
    <n v="0.13"/>
    <n v="0.13"/>
    <n v="0.13"/>
    <n v="0.13"/>
    <n v="0"/>
    <x v="1"/>
    <n v="0"/>
    <n v="0"/>
    <n v="12"/>
    <n v="64"/>
    <n v="0"/>
    <n v="356.74"/>
    <n v="230.03"/>
    <m/>
    <n v="270.37460088304363"/>
    <n v="282.91739971702214"/>
    <n v="0"/>
    <n v="46.376200000000004"/>
    <n v="29.9039"/>
    <n v="0"/>
    <n v="35.148698114795671"/>
    <n v="36.779261963212882"/>
  </r>
  <r>
    <s v="Sistema Isolado - Regular"/>
    <x v="2"/>
    <x v="3"/>
    <x v="7"/>
    <x v="2"/>
    <x v="0"/>
    <x v="0"/>
    <x v="0"/>
    <x v="3"/>
    <n v="0"/>
    <n v="0"/>
    <n v="1.208"/>
    <n v="1.208"/>
    <n v="1.208"/>
    <n v="1.208"/>
    <n v="0"/>
    <x v="1"/>
    <n v="0"/>
    <n v="0"/>
    <n v="12"/>
    <n v="64"/>
    <n v="0"/>
    <n v="356.74"/>
    <n v="230.03"/>
    <m/>
    <n v="270.37460088304363"/>
    <n v="282.91739971702214"/>
    <n v="0"/>
    <n v="430.94191999999998"/>
    <n v="277.87624"/>
    <n v="0"/>
    <n v="326.6125178667167"/>
    <n v="341.76421885816274"/>
  </r>
  <r>
    <s v="Sistema de Compensação"/>
    <x v="2"/>
    <x v="3"/>
    <x v="7"/>
    <x v="2"/>
    <x v="0"/>
    <x v="0"/>
    <x v="0"/>
    <x v="3"/>
    <n v="0"/>
    <n v="0"/>
    <n v="0.879"/>
    <n v="0.879"/>
    <n v="0.879"/>
    <n v="0.879"/>
    <n v="0"/>
    <x v="1"/>
    <n v="0"/>
    <n v="0"/>
    <n v="12"/>
    <n v="64"/>
    <n v="0"/>
    <n v="356.74"/>
    <n v="230.03"/>
    <m/>
    <n v="270.37460088304363"/>
    <n v="282.91739971702214"/>
    <n v="0"/>
    <n v="313.57445999999999"/>
    <n v="202.19637"/>
    <n v="0"/>
    <n v="237.65927417619534"/>
    <n v="248.68439435126245"/>
  </r>
  <r>
    <s v="Regular"/>
    <x v="2"/>
    <x v="3"/>
    <x v="7"/>
    <x v="2"/>
    <x v="0"/>
    <x v="0"/>
    <x v="0"/>
    <x v="4"/>
    <n v="0"/>
    <n v="0"/>
    <n v="32.027000000000001"/>
    <n v="32.027000000000001"/>
    <n v="32.027000000000001"/>
    <n v="32.027000000000001"/>
    <n v="0"/>
    <x v="1"/>
    <n v="0"/>
    <n v="0"/>
    <n v="12"/>
    <n v="64"/>
    <n v="0"/>
    <n v="356.74"/>
    <n v="230.03"/>
    <m/>
    <n v="270.37460088304363"/>
    <n v="282.91739971702214"/>
    <n v="0"/>
    <n v="11425.31198"/>
    <n v="7367.1708100000005"/>
    <n v="0"/>
    <n v="8659.2873424812387"/>
    <n v="9060.9955607370684"/>
  </r>
  <r>
    <s v="Sistema Isolado - Regular"/>
    <x v="2"/>
    <x v="3"/>
    <x v="7"/>
    <x v="2"/>
    <x v="0"/>
    <x v="0"/>
    <x v="0"/>
    <x v="4"/>
    <n v="0"/>
    <n v="0"/>
    <n v="2.6840000000000002"/>
    <n v="2.6840000000000002"/>
    <n v="2.6840000000000002"/>
    <n v="2.6840000000000002"/>
    <n v="0"/>
    <x v="1"/>
    <n v="0"/>
    <n v="0"/>
    <n v="12"/>
    <n v="64"/>
    <n v="0"/>
    <n v="356.74"/>
    <n v="230.03"/>
    <m/>
    <n v="270.37460088304363"/>
    <n v="282.91739971702214"/>
    <n v="0"/>
    <n v="957.49016000000006"/>
    <n v="617.40052000000003"/>
    <n v="0"/>
    <n v="725.68542877008917"/>
    <n v="759.35030084048742"/>
  </r>
  <r>
    <s v="Sistema de Compensação"/>
    <x v="2"/>
    <x v="3"/>
    <x v="7"/>
    <x v="2"/>
    <x v="0"/>
    <x v="0"/>
    <x v="0"/>
    <x v="4"/>
    <n v="0"/>
    <n v="0"/>
    <n v="0.872"/>
    <n v="0.872"/>
    <n v="0.872"/>
    <n v="0.872"/>
    <n v="0"/>
    <x v="1"/>
    <n v="0"/>
    <n v="0"/>
    <n v="12"/>
    <n v="64"/>
    <n v="0"/>
    <n v="356.74"/>
    <n v="230.03"/>
    <m/>
    <n v="270.37460088304363"/>
    <n v="282.91739971702214"/>
    <n v="0"/>
    <n v="311.07728000000003"/>
    <n v="200.58616000000001"/>
    <n v="0"/>
    <n v="235.76665197001404"/>
    <n v="246.70397255324329"/>
  </r>
  <r>
    <s v="Regular"/>
    <x v="2"/>
    <x v="3"/>
    <x v="7"/>
    <x v="2"/>
    <x v="0"/>
    <x v="0"/>
    <x v="0"/>
    <x v="5"/>
    <n v="0"/>
    <n v="0"/>
    <n v="34.536000000000001"/>
    <n v="34.536000000000001"/>
    <n v="34.536000000000001"/>
    <n v="34.536000000000001"/>
    <n v="0"/>
    <x v="1"/>
    <n v="0"/>
    <n v="0"/>
    <n v="12"/>
    <n v="64"/>
    <n v="0"/>
    <n v="356.74"/>
    <n v="230.03"/>
    <m/>
    <n v="270.37460088304363"/>
    <n v="282.91739971702214"/>
    <n v="0"/>
    <n v="12320.372640000001"/>
    <n v="7944.3160800000005"/>
    <n v="0"/>
    <n v="9337.6572160967953"/>
    <n v="9770.8353166270772"/>
  </r>
  <r>
    <s v="Sistema Isolado - Regular"/>
    <x v="2"/>
    <x v="3"/>
    <x v="7"/>
    <x v="2"/>
    <x v="0"/>
    <x v="0"/>
    <x v="0"/>
    <x v="5"/>
    <n v="0"/>
    <n v="0"/>
    <n v="3.343"/>
    <n v="3.343"/>
    <n v="3.343"/>
    <n v="3.343"/>
    <n v="0"/>
    <x v="1"/>
    <n v="0"/>
    <n v="0"/>
    <n v="12"/>
    <n v="64"/>
    <n v="0"/>
    <n v="356.74"/>
    <n v="230.03"/>
    <m/>
    <n v="270.37460088304363"/>
    <n v="282.91739971702214"/>
    <n v="0"/>
    <n v="1192.5818200000001"/>
    <n v="768.99028999999996"/>
    <n v="0"/>
    <n v="903.86229075201481"/>
    <n v="945.79286725400505"/>
  </r>
  <r>
    <s v="Sistema de Compensação"/>
    <x v="2"/>
    <x v="3"/>
    <x v="7"/>
    <x v="2"/>
    <x v="0"/>
    <x v="0"/>
    <x v="0"/>
    <x v="5"/>
    <n v="0"/>
    <n v="0"/>
    <n v="3.0840000000000001"/>
    <n v="3.0840000000000001"/>
    <n v="3.0840000000000001"/>
    <n v="3.0840000000000001"/>
    <n v="0"/>
    <x v="1"/>
    <n v="0"/>
    <n v="0"/>
    <n v="12"/>
    <n v="64"/>
    <n v="0"/>
    <n v="356.74"/>
    <n v="230.03"/>
    <m/>
    <n v="270.37460088304363"/>
    <n v="282.91739971702214"/>
    <n v="0"/>
    <n v="1100.18616"/>
    <n v="709.41251999999997"/>
    <n v="0"/>
    <n v="833.8352691233066"/>
    <n v="872.51726072729628"/>
  </r>
  <r>
    <s v="Regular"/>
    <x v="2"/>
    <x v="3"/>
    <x v="7"/>
    <x v="2"/>
    <x v="0"/>
    <x v="0"/>
    <x v="0"/>
    <x v="6"/>
    <n v="0"/>
    <n v="0"/>
    <n v="33.136000000000003"/>
    <n v="33.136000000000003"/>
    <n v="33.136000000000003"/>
    <n v="33.136000000000003"/>
    <n v="0"/>
    <x v="1"/>
    <n v="0"/>
    <n v="0"/>
    <n v="12"/>
    <n v="64"/>
    <n v="0"/>
    <n v="356.74"/>
    <n v="230.03"/>
    <m/>
    <n v="270.37460088304363"/>
    <n v="282.91739971702214"/>
    <n v="0"/>
    <n v="11820.936640000002"/>
    <n v="7622.274080000001"/>
    <n v="0"/>
    <n v="8959.1327748605345"/>
    <n v="9374.7509570232469"/>
  </r>
  <r>
    <s v="Sistema Isolado - Regular"/>
    <x v="2"/>
    <x v="3"/>
    <x v="7"/>
    <x v="2"/>
    <x v="0"/>
    <x v="0"/>
    <x v="0"/>
    <x v="6"/>
    <n v="0"/>
    <n v="0"/>
    <n v="3.1829999999999998"/>
    <n v="3.1829999999999998"/>
    <n v="3.1829999999999998"/>
    <n v="3.1829999999999998"/>
    <n v="0"/>
    <x v="1"/>
    <n v="0"/>
    <n v="0"/>
    <n v="12"/>
    <n v="64"/>
    <n v="0"/>
    <n v="356.74"/>
    <n v="230.03"/>
    <m/>
    <n v="270.37460088304363"/>
    <n v="282.91739971702214"/>
    <n v="0"/>
    <n v="1135.50342"/>
    <n v="732.18548999999996"/>
    <n v="0"/>
    <n v="860.60235461072784"/>
    <n v="900.52608329928137"/>
  </r>
  <r>
    <s v="Sistema de Compensação"/>
    <x v="2"/>
    <x v="3"/>
    <x v="7"/>
    <x v="2"/>
    <x v="0"/>
    <x v="0"/>
    <x v="0"/>
    <x v="6"/>
    <n v="0"/>
    <n v="0"/>
    <n v="2.859"/>
    <n v="2.859"/>
    <n v="2.859"/>
    <n v="2.859"/>
    <n v="0"/>
    <x v="1"/>
    <n v="0"/>
    <n v="0"/>
    <n v="12"/>
    <n v="64"/>
    <n v="0"/>
    <n v="356.74"/>
    <n v="230.03"/>
    <m/>
    <n v="270.37460088304363"/>
    <n v="282.91739971702214"/>
    <n v="0"/>
    <n v="1019.91966"/>
    <n v="657.65576999999996"/>
    <n v="0"/>
    <n v="773.00098392462178"/>
    <n v="808.86084579096632"/>
  </r>
  <r>
    <s v="Regular"/>
    <x v="2"/>
    <x v="3"/>
    <x v="7"/>
    <x v="2"/>
    <x v="0"/>
    <x v="0"/>
    <x v="0"/>
    <x v="7"/>
    <n v="0"/>
    <n v="0"/>
    <n v="36.936"/>
    <n v="36.936"/>
    <n v="36.936"/>
    <n v="36.936"/>
    <n v="0"/>
    <x v="1"/>
    <n v="0"/>
    <n v="0"/>
    <n v="12"/>
    <n v="64"/>
    <n v="0"/>
    <n v="356.74"/>
    <n v="230.03"/>
    <m/>
    <n v="270.37460088304363"/>
    <n v="282.91739971702214"/>
    <n v="0"/>
    <n v="13176.548640000001"/>
    <n v="8496.3880800000006"/>
    <n v="0"/>
    <n v="9986.5562582161001"/>
    <n v="10449.837075947929"/>
  </r>
  <r>
    <s v="Sistema Isolado - Regular"/>
    <x v="2"/>
    <x v="3"/>
    <x v="7"/>
    <x v="2"/>
    <x v="0"/>
    <x v="0"/>
    <x v="0"/>
    <x v="7"/>
    <n v="0"/>
    <n v="0"/>
    <n v="3.5979999999999999"/>
    <n v="3.5979999999999999"/>
    <n v="3.5979999999999999"/>
    <n v="3.5979999999999999"/>
    <n v="0"/>
    <x v="1"/>
    <n v="0"/>
    <n v="0"/>
    <n v="12"/>
    <n v="64"/>
    <n v="0"/>
    <n v="356.74"/>
    <n v="230.03"/>
    <m/>
    <n v="270.37460088304363"/>
    <n v="282.91739971702214"/>
    <n v="0"/>
    <n v="1283.55052"/>
    <n v="827.64793999999995"/>
    <n v="0"/>
    <n v="972.8078139771909"/>
    <n v="1017.9368041818456"/>
  </r>
  <r>
    <s v="Sistema de Compensação"/>
    <x v="2"/>
    <x v="3"/>
    <x v="7"/>
    <x v="2"/>
    <x v="0"/>
    <x v="0"/>
    <x v="0"/>
    <x v="7"/>
    <n v="0"/>
    <n v="0"/>
    <n v="3.532"/>
    <n v="3.532"/>
    <n v="3.532"/>
    <n v="3.532"/>
    <n v="0"/>
    <x v="1"/>
    <n v="0"/>
    <n v="0"/>
    <n v="12"/>
    <n v="64"/>
    <n v="0"/>
    <n v="356.74"/>
    <n v="230.03"/>
    <m/>
    <n v="270.37460088304363"/>
    <n v="282.91739971702214"/>
    <n v="0"/>
    <n v="1260.00568"/>
    <n v="812.46596"/>
    <n v="0"/>
    <n v="954.96309031891008"/>
    <n v="999.26425580052216"/>
  </r>
  <r>
    <s v="Regular"/>
    <x v="2"/>
    <x v="3"/>
    <x v="7"/>
    <x v="2"/>
    <x v="0"/>
    <x v="0"/>
    <x v="0"/>
    <x v="8"/>
    <n v="0"/>
    <n v="0"/>
    <n v="33.942"/>
    <n v="33.942"/>
    <n v="33.942"/>
    <n v="33.942"/>
    <n v="0"/>
    <x v="1"/>
    <n v="0"/>
    <n v="0"/>
    <n v="12"/>
    <n v="64"/>
    <n v="0"/>
    <n v="356.74"/>
    <n v="230.03"/>
    <m/>
    <n v="270.37460088304363"/>
    <n v="282.91739971702214"/>
    <n v="0"/>
    <n v="12108.469080000001"/>
    <n v="7807.6782599999997"/>
    <n v="0"/>
    <n v="9177.0547031722672"/>
    <n v="9602.7823811951657"/>
  </r>
  <r>
    <s v="Refaturamento - Regular"/>
    <x v="2"/>
    <x v="3"/>
    <x v="7"/>
    <x v="2"/>
    <x v="0"/>
    <x v="0"/>
    <x v="0"/>
    <x v="8"/>
    <n v="0"/>
    <n v="0"/>
    <n v="0.79900000000000004"/>
    <n v="0.79900000000000004"/>
    <n v="0.79900000000000004"/>
    <n v="0.79900000000000004"/>
    <n v="0"/>
    <x v="1"/>
    <n v="0"/>
    <n v="0"/>
    <n v="12"/>
    <n v="64"/>
    <n v="0"/>
    <n v="356.74"/>
    <n v="230.03"/>
    <m/>
    <n v="270.37460088304363"/>
    <n v="282.91739971702214"/>
    <n v="0"/>
    <n v="285.03526000000005"/>
    <n v="183.79397"/>
    <n v="0"/>
    <n v="216.02930610555188"/>
    <n v="226.0510023739007"/>
  </r>
  <r>
    <s v="Sistema Isolado - Regular"/>
    <x v="2"/>
    <x v="3"/>
    <x v="7"/>
    <x v="2"/>
    <x v="0"/>
    <x v="0"/>
    <x v="0"/>
    <x v="8"/>
    <n v="0"/>
    <n v="0"/>
    <n v="3.6019999999999999"/>
    <n v="3.6019999999999999"/>
    <n v="3.6019999999999999"/>
    <n v="3.6019999999999999"/>
    <n v="0"/>
    <x v="1"/>
    <n v="0"/>
    <n v="0"/>
    <n v="12"/>
    <n v="64"/>
    <n v="0"/>
    <n v="356.74"/>
    <n v="230.03"/>
    <m/>
    <n v="270.37460088304363"/>
    <n v="282.91739971702214"/>
    <n v="0"/>
    <n v="1284.97748"/>
    <n v="828.56805999999995"/>
    <n v="0"/>
    <n v="973.88931238072314"/>
    <n v="1019.0684737807137"/>
  </r>
  <r>
    <s v="Sistema de Compensação"/>
    <x v="2"/>
    <x v="3"/>
    <x v="7"/>
    <x v="2"/>
    <x v="0"/>
    <x v="0"/>
    <x v="0"/>
    <x v="8"/>
    <n v="0"/>
    <n v="0"/>
    <n v="3.41"/>
    <n v="3.41"/>
    <n v="3.41"/>
    <n v="3.41"/>
    <n v="0"/>
    <x v="1"/>
    <n v="0"/>
    <n v="0"/>
    <n v="12"/>
    <n v="64"/>
    <n v="0"/>
    <n v="356.74"/>
    <n v="230.03"/>
    <m/>
    <n v="270.37460088304363"/>
    <n v="282.91739971702214"/>
    <n v="0"/>
    <n v="1216.4834000000001"/>
    <n v="784.40230000000008"/>
    <n v="0"/>
    <n v="921.97738901117884"/>
    <n v="964.74833303504556"/>
  </r>
  <r>
    <s v="Regular"/>
    <x v="2"/>
    <x v="3"/>
    <x v="7"/>
    <x v="2"/>
    <x v="0"/>
    <x v="0"/>
    <x v="0"/>
    <x v="9"/>
    <n v="0"/>
    <n v="0"/>
    <n v="37.944000000000003"/>
    <n v="37.944000000000003"/>
    <n v="37.944000000000003"/>
    <n v="37.944000000000003"/>
    <n v="0"/>
    <x v="1"/>
    <n v="0"/>
    <n v="0"/>
    <n v="12"/>
    <n v="64"/>
    <n v="0"/>
    <n v="356.74"/>
    <n v="230.03"/>
    <m/>
    <n v="270.37460088304363"/>
    <n v="282.91739971702214"/>
    <n v="0"/>
    <n v="13536.142560000002"/>
    <n v="8728.2583200000008"/>
    <n v="0"/>
    <n v="10259.093855906209"/>
    <n v="10735.017814862689"/>
  </r>
  <r>
    <s v="Sistema Isolado - Regular"/>
    <x v="2"/>
    <x v="3"/>
    <x v="7"/>
    <x v="2"/>
    <x v="0"/>
    <x v="0"/>
    <x v="0"/>
    <x v="9"/>
    <n v="0"/>
    <n v="0"/>
    <n v="3.5790000000000002"/>
    <n v="3.5790000000000002"/>
    <n v="3.5790000000000002"/>
    <n v="3.5790000000000002"/>
    <n v="0"/>
    <x v="1"/>
    <n v="0"/>
    <n v="0"/>
    <n v="12"/>
    <n v="64"/>
    <n v="0"/>
    <n v="356.74"/>
    <n v="230.03"/>
    <m/>
    <n v="270.37460088304363"/>
    <n v="282.91739971702214"/>
    <n v="0"/>
    <n v="1276.7724600000001"/>
    <n v="823.27737000000002"/>
    <n v="0"/>
    <n v="967.67069656041315"/>
    <n v="1012.5613735872223"/>
  </r>
  <r>
    <s v="Sistema de Compensação"/>
    <x v="2"/>
    <x v="3"/>
    <x v="7"/>
    <x v="2"/>
    <x v="0"/>
    <x v="0"/>
    <x v="0"/>
    <x v="9"/>
    <n v="0"/>
    <n v="0"/>
    <n v="3.5939999999999999"/>
    <n v="3.5939999999999999"/>
    <n v="3.5939999999999999"/>
    <n v="3.5939999999999999"/>
    <n v="0"/>
    <x v="1"/>
    <n v="0"/>
    <n v="0"/>
    <n v="12"/>
    <n v="64"/>
    <n v="0"/>
    <n v="356.74"/>
    <n v="230.03"/>
    <m/>
    <n v="270.37460088304363"/>
    <n v="282.91739971702214"/>
    <n v="0"/>
    <n v="1282.12356"/>
    <n v="826.72781999999995"/>
    <n v="0"/>
    <n v="971.72631557365878"/>
    <n v="1016.8051345829775"/>
  </r>
  <r>
    <s v="Sistema de Compensação"/>
    <x v="2"/>
    <x v="3"/>
    <x v="7"/>
    <x v="2"/>
    <x v="0"/>
    <x v="0"/>
    <x v="0"/>
    <x v="9"/>
    <n v="0"/>
    <n v="0"/>
    <n v="-1.1259999999999999"/>
    <n v="-1.1259999999999999"/>
    <n v="-1.1259999999999999"/>
    <n v="-1.1259999999999999"/>
    <n v="0"/>
    <x v="1"/>
    <n v="0"/>
    <n v="0"/>
    <n v="12"/>
    <n v="64"/>
    <n v="0"/>
    <n v="356.74"/>
    <n v="230.03"/>
    <m/>
    <n v="270.37460088304363"/>
    <n v="282.91739971702214"/>
    <n v="0"/>
    <n v="-401.68923999999998"/>
    <n v="-259.01378"/>
    <n v="0"/>
    <n v="-304.4418005943071"/>
    <n v="-318.56499208136688"/>
  </r>
  <r>
    <s v="Regular"/>
    <x v="2"/>
    <x v="3"/>
    <x v="7"/>
    <x v="2"/>
    <x v="0"/>
    <x v="0"/>
    <x v="0"/>
    <x v="10"/>
    <n v="0"/>
    <n v="0"/>
    <n v="37.554000000000002"/>
    <n v="37.554000000000002"/>
    <n v="37.554000000000002"/>
    <n v="37.554000000000002"/>
    <n v="0"/>
    <x v="1"/>
    <n v="0"/>
    <n v="0"/>
    <n v="12"/>
    <n v="64"/>
    <n v="0"/>
    <n v="356.74"/>
    <n v="230.03"/>
    <m/>
    <n v="270.37460088304363"/>
    <n v="282.91739971702214"/>
    <n v="0"/>
    <n v="13397.01396"/>
    <n v="8638.546620000001"/>
    <n v="0"/>
    <n v="10153.647761561821"/>
    <n v="10624.680028973049"/>
  </r>
  <r>
    <s v="Refaturamento - Regular"/>
    <x v="2"/>
    <x v="3"/>
    <x v="7"/>
    <x v="2"/>
    <x v="0"/>
    <x v="0"/>
    <x v="0"/>
    <x v="10"/>
    <n v="0"/>
    <n v="0"/>
    <n v="0.36599999999999999"/>
    <n v="0.36599999999999999"/>
    <n v="0.36599999999999999"/>
    <n v="0.36599999999999999"/>
    <n v="0"/>
    <x v="1"/>
    <n v="0"/>
    <n v="0"/>
    <n v="12"/>
    <n v="64"/>
    <n v="0"/>
    <n v="356.74"/>
    <n v="230.03"/>
    <m/>
    <n v="270.37460088304363"/>
    <n v="282.91739971702214"/>
    <n v="0"/>
    <n v="130.56684000000001"/>
    <n v="84.190979999999996"/>
    <n v="0"/>
    <n v="98.957103923193969"/>
    <n v="103.54776829643009"/>
  </r>
  <r>
    <s v="Sistema Isolado - Regular"/>
    <x v="2"/>
    <x v="3"/>
    <x v="7"/>
    <x v="2"/>
    <x v="0"/>
    <x v="0"/>
    <x v="0"/>
    <x v="10"/>
    <n v="0"/>
    <n v="0"/>
    <n v="3.7650000000000001"/>
    <n v="3.7650000000000001"/>
    <n v="3.7650000000000001"/>
    <n v="3.7650000000000001"/>
    <n v="0"/>
    <x v="1"/>
    <n v="0"/>
    <n v="0"/>
    <n v="12"/>
    <n v="64"/>
    <n v="0"/>
    <n v="356.74"/>
    <n v="230.03"/>
    <m/>
    <n v="270.37460088304363"/>
    <n v="282.91739971702214"/>
    <n v="0"/>
    <n v="1343.1261000000002"/>
    <n v="866.06295"/>
    <n v="0"/>
    <n v="1017.9603723246593"/>
    <n v="1065.1840099345884"/>
  </r>
  <r>
    <s v="Sistema de Compensação"/>
    <x v="2"/>
    <x v="3"/>
    <x v="7"/>
    <x v="2"/>
    <x v="0"/>
    <x v="0"/>
    <x v="0"/>
    <x v="10"/>
    <n v="0"/>
    <n v="0"/>
    <n v="2.1789999999999998"/>
    <n v="2.1789999999999998"/>
    <n v="2.1789999999999998"/>
    <n v="2.1789999999999998"/>
    <n v="0"/>
    <x v="1"/>
    <n v="0"/>
    <n v="0"/>
    <n v="12"/>
    <n v="64"/>
    <n v="0"/>
    <n v="356.74"/>
    <n v="230.03"/>
    <m/>
    <n v="270.37460088304363"/>
    <n v="282.91739971702214"/>
    <n v="0"/>
    <n v="777.33645999999999"/>
    <n v="501.23536999999999"/>
    <n v="0"/>
    <n v="589.14625532415198"/>
    <n v="616.4770139833912"/>
  </r>
  <r>
    <s v="PROJETADO"/>
    <x v="2"/>
    <x v="3"/>
    <x v="7"/>
    <x v="2"/>
    <x v="0"/>
    <x v="0"/>
    <x v="0"/>
    <x v="11"/>
    <n v="0"/>
    <n v="0"/>
    <n v="37.554000000000002"/>
    <n v="37.554000000000002"/>
    <n v="37.554000000000002"/>
    <n v="37.554000000000002"/>
    <n v="0"/>
    <x v="1"/>
    <n v="0"/>
    <n v="0"/>
    <n v="12"/>
    <n v="64"/>
    <n v="0"/>
    <n v="356.74"/>
    <n v="230.03"/>
    <m/>
    <n v="270.37460088304363"/>
    <n v="282.91739971702214"/>
    <n v="0"/>
    <n v="13397.01396"/>
    <n v="8638.546620000001"/>
    <n v="0"/>
    <n v="10153.647761561821"/>
    <n v="10624.680028973049"/>
  </r>
  <r>
    <s v="PROJETADO"/>
    <x v="2"/>
    <x v="3"/>
    <x v="7"/>
    <x v="2"/>
    <x v="0"/>
    <x v="0"/>
    <x v="0"/>
    <x v="11"/>
    <n v="0"/>
    <n v="0"/>
    <n v="0.36599999999999999"/>
    <n v="0.36599999999999999"/>
    <n v="0.36599999999999999"/>
    <n v="0.36599999999999999"/>
    <n v="0"/>
    <x v="1"/>
    <n v="0"/>
    <n v="0"/>
    <n v="12"/>
    <n v="64"/>
    <n v="0"/>
    <n v="356.74"/>
    <n v="230.03"/>
    <m/>
    <n v="270.37460088304363"/>
    <n v="282.91739971702214"/>
    <n v="0"/>
    <n v="130.56684000000001"/>
    <n v="84.190979999999996"/>
    <n v="0"/>
    <n v="98.957103923193969"/>
    <n v="103.54776829643009"/>
  </r>
  <r>
    <s v="PROJETADO"/>
    <x v="2"/>
    <x v="3"/>
    <x v="7"/>
    <x v="2"/>
    <x v="0"/>
    <x v="0"/>
    <x v="0"/>
    <x v="11"/>
    <n v="0"/>
    <n v="0"/>
    <n v="3.7650000000000001"/>
    <n v="3.7650000000000001"/>
    <n v="3.7650000000000001"/>
    <n v="3.7650000000000001"/>
    <n v="0"/>
    <x v="1"/>
    <n v="0"/>
    <n v="0"/>
    <n v="12"/>
    <n v="64"/>
    <n v="0"/>
    <n v="356.74"/>
    <n v="230.03"/>
    <m/>
    <n v="270.37460088304363"/>
    <n v="282.91739971702214"/>
    <n v="0"/>
    <n v="1343.1261000000002"/>
    <n v="866.06295"/>
    <n v="0"/>
    <n v="1017.9603723246593"/>
    <n v="1065.1840099345884"/>
  </r>
  <r>
    <s v="PROJETADO"/>
    <x v="2"/>
    <x v="3"/>
    <x v="7"/>
    <x v="2"/>
    <x v="0"/>
    <x v="0"/>
    <x v="0"/>
    <x v="11"/>
    <n v="0"/>
    <n v="0"/>
    <n v="2.1789999999999998"/>
    <n v="2.1789999999999998"/>
    <n v="2.1789999999999998"/>
    <n v="2.1789999999999998"/>
    <n v="0"/>
    <x v="1"/>
    <n v="0"/>
    <n v="0"/>
    <n v="12"/>
    <n v="64"/>
    <n v="0"/>
    <n v="356.74"/>
    <n v="230.03"/>
    <m/>
    <n v="270.37460088304363"/>
    <n v="282.91739971702214"/>
    <n v="0"/>
    <n v="777.33645999999999"/>
    <n v="501.23536999999999"/>
    <n v="0"/>
    <n v="589.14625532415198"/>
    <n v="616.4770139833912"/>
  </r>
  <r>
    <s v="Regular"/>
    <x v="2"/>
    <x v="3"/>
    <x v="7"/>
    <x v="2"/>
    <x v="0"/>
    <x v="0"/>
    <x v="3"/>
    <x v="0"/>
    <n v="0"/>
    <n v="0"/>
    <n v="2.117"/>
    <n v="2.117"/>
    <n v="2.117"/>
    <n v="2.117"/>
    <n v="0"/>
    <x v="1"/>
    <n v="0"/>
    <n v="0"/>
    <n v="11"/>
    <n v="63"/>
    <n v="0"/>
    <n v="661.68"/>
    <n v="230.03"/>
    <m/>
    <n v="614.07773825538197"/>
    <n v="282.91739971702214"/>
    <n v="0"/>
    <n v="1400.7765599999998"/>
    <n v="486.97350999999998"/>
    <n v="0"/>
    <n v="1300.0025718866436"/>
    <n v="598.93613520093584"/>
  </r>
  <r>
    <s v="Refaturamento - Regular"/>
    <x v="2"/>
    <x v="3"/>
    <x v="7"/>
    <x v="2"/>
    <x v="0"/>
    <x v="0"/>
    <x v="3"/>
    <x v="0"/>
    <n v="0"/>
    <n v="0"/>
    <n v="2.8000000000000001E-2"/>
    <n v="2.8000000000000001E-2"/>
    <n v="2.8000000000000001E-2"/>
    <n v="2.8000000000000001E-2"/>
    <n v="0"/>
    <x v="1"/>
    <n v="0"/>
    <n v="0"/>
    <n v="11"/>
    <n v="63"/>
    <n v="0"/>
    <n v="661.68"/>
    <n v="230.03"/>
    <m/>
    <n v="614.07773825538197"/>
    <n v="282.91739971702214"/>
    <n v="0"/>
    <n v="18.52704"/>
    <n v="6.4408400000000006"/>
    <n v="0"/>
    <n v="17.194176671150696"/>
    <n v="7.9216871920766199"/>
  </r>
  <r>
    <s v="Sistema Isolado - Regular"/>
    <x v="2"/>
    <x v="3"/>
    <x v="7"/>
    <x v="2"/>
    <x v="0"/>
    <x v="0"/>
    <x v="3"/>
    <x v="0"/>
    <n v="0"/>
    <n v="0"/>
    <n v="0.128"/>
    <n v="0.128"/>
    <n v="0.128"/>
    <n v="0.128"/>
    <n v="0"/>
    <x v="1"/>
    <n v="0"/>
    <n v="0"/>
    <n v="11"/>
    <n v="63"/>
    <n v="0"/>
    <n v="661.68"/>
    <n v="230.03"/>
    <m/>
    <n v="614.07773825538197"/>
    <n v="282.91739971702214"/>
    <n v="0"/>
    <n v="84.695039999999992"/>
    <n v="29.443840000000002"/>
    <n v="0"/>
    <n v="78.6019504966889"/>
    <n v="36.213427163778832"/>
  </r>
  <r>
    <s v="Sistema de Compensação"/>
    <x v="2"/>
    <x v="3"/>
    <x v="7"/>
    <x v="2"/>
    <x v="0"/>
    <x v="0"/>
    <x v="3"/>
    <x v="0"/>
    <n v="0"/>
    <n v="0"/>
    <n v="6.2E-2"/>
    <n v="6.2E-2"/>
    <n v="6.2E-2"/>
    <n v="6.2E-2"/>
    <n v="0"/>
    <x v="1"/>
    <n v="0"/>
    <n v="0"/>
    <n v="11"/>
    <n v="63"/>
    <n v="0"/>
    <n v="661.68"/>
    <n v="230.03"/>
    <m/>
    <n v="614.07773825538197"/>
    <n v="282.91739971702214"/>
    <n v="0"/>
    <n v="41.024159999999995"/>
    <n v="14.26186"/>
    <n v="0"/>
    <n v="38.072819771833679"/>
    <n v="17.540878782455373"/>
  </r>
  <r>
    <s v="Regular"/>
    <x v="2"/>
    <x v="3"/>
    <x v="7"/>
    <x v="2"/>
    <x v="0"/>
    <x v="0"/>
    <x v="3"/>
    <x v="1"/>
    <n v="0"/>
    <n v="0"/>
    <n v="2.1869999999999998"/>
    <n v="2.1869999999999998"/>
    <n v="2.1869999999999998"/>
    <n v="2.1869999999999998"/>
    <n v="0"/>
    <x v="1"/>
    <n v="0"/>
    <n v="0"/>
    <n v="11"/>
    <n v="63"/>
    <n v="0"/>
    <n v="661.68"/>
    <n v="230.03"/>
    <m/>
    <n v="614.07773825538197"/>
    <n v="282.91739971702214"/>
    <n v="0"/>
    <n v="1447.0941599999999"/>
    <n v="503.07560999999998"/>
    <n v="0"/>
    <n v="1342.9880135645203"/>
    <n v="618.74035318112738"/>
  </r>
  <r>
    <s v="Sistema Isolado - Regular"/>
    <x v="2"/>
    <x v="3"/>
    <x v="7"/>
    <x v="2"/>
    <x v="0"/>
    <x v="0"/>
    <x v="3"/>
    <x v="1"/>
    <n v="0"/>
    <n v="0"/>
    <n v="7.5999999999999998E-2"/>
    <n v="7.5999999999999998E-2"/>
    <n v="7.5999999999999998E-2"/>
    <n v="7.5999999999999998E-2"/>
    <n v="0"/>
    <x v="1"/>
    <n v="0"/>
    <n v="0"/>
    <n v="11"/>
    <n v="63"/>
    <n v="0"/>
    <n v="661.68"/>
    <n v="230.03"/>
    <m/>
    <n v="614.07773825538197"/>
    <n v="282.91739971702214"/>
    <n v="0"/>
    <n v="50.287679999999995"/>
    <n v="17.482279999999999"/>
    <n v="0"/>
    <n v="46.669908107409029"/>
    <n v="21.501722378493682"/>
  </r>
  <r>
    <s v="Sistema de Compensação"/>
    <x v="2"/>
    <x v="3"/>
    <x v="7"/>
    <x v="2"/>
    <x v="0"/>
    <x v="0"/>
    <x v="3"/>
    <x v="1"/>
    <n v="0"/>
    <n v="0"/>
    <n v="6.9000000000000006E-2"/>
    <n v="6.9000000000000006E-2"/>
    <n v="6.9000000000000006E-2"/>
    <n v="6.9000000000000006E-2"/>
    <n v="0"/>
    <x v="1"/>
    <n v="0"/>
    <n v="0"/>
    <n v="11"/>
    <n v="63"/>
    <n v="0"/>
    <n v="661.68"/>
    <n v="230.03"/>
    <m/>
    <n v="614.07773825538197"/>
    <n v="282.91739971702214"/>
    <n v="0"/>
    <n v="45.655920000000002"/>
    <n v="15.872070000000001"/>
    <n v="0"/>
    <n v="42.371363939621361"/>
    <n v="19.521300580474527"/>
  </r>
  <r>
    <s v="Regular"/>
    <x v="2"/>
    <x v="3"/>
    <x v="7"/>
    <x v="2"/>
    <x v="0"/>
    <x v="0"/>
    <x v="3"/>
    <x v="2"/>
    <n v="0"/>
    <n v="0"/>
    <n v="2.1389999999999998"/>
    <n v="2.1389999999999998"/>
    <n v="2.1389999999999998"/>
    <n v="2.1389999999999998"/>
    <n v="0"/>
    <x v="1"/>
    <n v="0"/>
    <n v="0"/>
    <n v="11"/>
    <n v="63"/>
    <n v="0"/>
    <n v="661.68"/>
    <n v="230.03"/>
    <m/>
    <n v="614.07773825538197"/>
    <n v="282.91739971702214"/>
    <n v="0"/>
    <n v="1415.3335199999997"/>
    <n v="492.03416999999996"/>
    <n v="0"/>
    <n v="1313.5122821282619"/>
    <n v="605.16031799471034"/>
  </r>
  <r>
    <s v="Refaturamento - Regular"/>
    <x v="2"/>
    <x v="3"/>
    <x v="7"/>
    <x v="2"/>
    <x v="0"/>
    <x v="0"/>
    <x v="3"/>
    <x v="2"/>
    <n v="0"/>
    <n v="0"/>
    <n v="-7.0000000000000001E-3"/>
    <n v="-7.0000000000000001E-3"/>
    <n v="-7.0000000000000001E-3"/>
    <n v="-7.0000000000000001E-3"/>
    <n v="0"/>
    <x v="1"/>
    <n v="0"/>
    <n v="0"/>
    <n v="11"/>
    <n v="63"/>
    <n v="0"/>
    <n v="661.68"/>
    <n v="230.03"/>
    <m/>
    <n v="614.07773825538197"/>
    <n v="282.91739971702214"/>
    <n v="0"/>
    <n v="-4.6317599999999999"/>
    <n v="-1.6102100000000001"/>
    <n v="0"/>
    <n v="-4.2985441677876741"/>
    <n v="-1.980421798019155"/>
  </r>
  <r>
    <s v="Sistema Isolado - Regular"/>
    <x v="2"/>
    <x v="3"/>
    <x v="7"/>
    <x v="2"/>
    <x v="0"/>
    <x v="0"/>
    <x v="3"/>
    <x v="2"/>
    <n v="0"/>
    <n v="0"/>
    <n v="9.6000000000000002E-2"/>
    <n v="9.6000000000000002E-2"/>
    <n v="9.6000000000000002E-2"/>
    <n v="9.6000000000000002E-2"/>
    <n v="0"/>
    <x v="1"/>
    <n v="0"/>
    <n v="0"/>
    <n v="11"/>
    <n v="63"/>
    <n v="0"/>
    <n v="661.68"/>
    <n v="230.03"/>
    <m/>
    <n v="614.07773825538197"/>
    <n v="282.91739971702214"/>
    <n v="0"/>
    <n v="63.521279999999997"/>
    <n v="22.082879999999999"/>
    <n v="0"/>
    <n v="58.951462872516672"/>
    <n v="27.160070372834127"/>
  </r>
  <r>
    <s v="Sistema de Compensação"/>
    <x v="2"/>
    <x v="3"/>
    <x v="7"/>
    <x v="2"/>
    <x v="0"/>
    <x v="0"/>
    <x v="3"/>
    <x v="2"/>
    <n v="0"/>
    <n v="0"/>
    <n v="7.5999999999999998E-2"/>
    <n v="7.5999999999999998E-2"/>
    <n v="7.5999999999999998E-2"/>
    <n v="7.5999999999999998E-2"/>
    <n v="0"/>
    <x v="1"/>
    <n v="0"/>
    <n v="0"/>
    <n v="11"/>
    <n v="63"/>
    <n v="0"/>
    <n v="661.68"/>
    <n v="230.03"/>
    <m/>
    <n v="614.07773825538197"/>
    <n v="282.91739971702214"/>
    <n v="0"/>
    <n v="50.287679999999995"/>
    <n v="17.482279999999999"/>
    <n v="0"/>
    <n v="46.669908107409029"/>
    <n v="21.501722378493682"/>
  </r>
  <r>
    <s v="Regular"/>
    <x v="2"/>
    <x v="3"/>
    <x v="7"/>
    <x v="2"/>
    <x v="0"/>
    <x v="0"/>
    <x v="3"/>
    <x v="3"/>
    <n v="0"/>
    <n v="0"/>
    <n v="2.1150000000000002"/>
    <n v="2.1150000000000002"/>
    <n v="2.1150000000000002"/>
    <n v="2.1150000000000002"/>
    <n v="0"/>
    <x v="1"/>
    <n v="0"/>
    <n v="0"/>
    <n v="11"/>
    <n v="63"/>
    <n v="0"/>
    <n v="661.68"/>
    <n v="230.03"/>
    <m/>
    <n v="614.07773825538197"/>
    <n v="282.91739971702214"/>
    <n v="0"/>
    <n v="1399.4531999999999"/>
    <n v="486.51345000000003"/>
    <n v="0"/>
    <n v="1298.774416410133"/>
    <n v="598.37030040150182"/>
  </r>
  <r>
    <s v="Sistema Isolado - Regular"/>
    <x v="2"/>
    <x v="3"/>
    <x v="7"/>
    <x v="2"/>
    <x v="0"/>
    <x v="0"/>
    <x v="3"/>
    <x v="3"/>
    <n v="0"/>
    <n v="0"/>
    <n v="6.6000000000000003E-2"/>
    <n v="6.6000000000000003E-2"/>
    <n v="6.6000000000000003E-2"/>
    <n v="6.6000000000000003E-2"/>
    <n v="0"/>
    <x v="1"/>
    <n v="0"/>
    <n v="0"/>
    <n v="11"/>
    <n v="63"/>
    <n v="0"/>
    <n v="661.68"/>
    <n v="230.03"/>
    <m/>
    <n v="614.07773825538197"/>
    <n v="282.91739971702214"/>
    <n v="0"/>
    <n v="43.670879999999997"/>
    <n v="15.181980000000001"/>
    <n v="0"/>
    <n v="40.529130724855214"/>
    <n v="18.672548381323463"/>
  </r>
  <r>
    <s v="Sistema de Compensação"/>
    <x v="2"/>
    <x v="3"/>
    <x v="7"/>
    <x v="2"/>
    <x v="0"/>
    <x v="0"/>
    <x v="3"/>
    <x v="3"/>
    <n v="0"/>
    <n v="0"/>
    <n v="5.8999999999999997E-2"/>
    <n v="5.8999999999999997E-2"/>
    <n v="5.8999999999999997E-2"/>
    <n v="5.8999999999999997E-2"/>
    <n v="0"/>
    <x v="1"/>
    <n v="0"/>
    <n v="0"/>
    <n v="11"/>
    <n v="63"/>
    <n v="0"/>
    <n v="661.68"/>
    <n v="230.03"/>
    <m/>
    <n v="614.07773825538197"/>
    <n v="282.91739971702214"/>
    <n v="0"/>
    <n v="39.039119999999997"/>
    <n v="13.571769999999999"/>
    <n v="0"/>
    <n v="36.230586557067532"/>
    <n v="16.692126583304304"/>
  </r>
  <r>
    <s v="Regular"/>
    <x v="2"/>
    <x v="3"/>
    <x v="7"/>
    <x v="2"/>
    <x v="0"/>
    <x v="0"/>
    <x v="3"/>
    <x v="4"/>
    <n v="0"/>
    <n v="0"/>
    <n v="2.206"/>
    <n v="2.206"/>
    <n v="2.206"/>
    <n v="2.206"/>
    <n v="0"/>
    <x v="1"/>
    <n v="0"/>
    <n v="0"/>
    <n v="11"/>
    <n v="63"/>
    <n v="0"/>
    <n v="661.68"/>
    <n v="230.03"/>
    <m/>
    <n v="614.07773825538197"/>
    <n v="282.91739971702214"/>
    <n v="0"/>
    <n v="1459.66608"/>
    <n v="507.44617999999997"/>
    <n v="0"/>
    <n v="1354.6554905913727"/>
    <n v="624.11578377575086"/>
  </r>
  <r>
    <s v="Sistema Isolado - Regular"/>
    <x v="2"/>
    <x v="3"/>
    <x v="7"/>
    <x v="2"/>
    <x v="0"/>
    <x v="0"/>
    <x v="3"/>
    <x v="4"/>
    <n v="0"/>
    <n v="0"/>
    <n v="0.125"/>
    <n v="0.125"/>
    <n v="0.125"/>
    <n v="0.125"/>
    <n v="0"/>
    <x v="1"/>
    <n v="0"/>
    <n v="0"/>
    <n v="11"/>
    <n v="63"/>
    <n v="0"/>
    <n v="661.68"/>
    <n v="230.03"/>
    <m/>
    <n v="614.07773825538197"/>
    <n v="282.91739971702214"/>
    <n v="0"/>
    <n v="82.71"/>
    <n v="28.75375"/>
    <n v="0"/>
    <n v="76.759717281922747"/>
    <n v="35.364674964627767"/>
  </r>
  <r>
    <s v="Sistema de Compensação"/>
    <x v="2"/>
    <x v="3"/>
    <x v="7"/>
    <x v="2"/>
    <x v="0"/>
    <x v="0"/>
    <x v="3"/>
    <x v="4"/>
    <n v="0"/>
    <n v="0"/>
    <n v="6.7000000000000004E-2"/>
    <n v="6.7000000000000004E-2"/>
    <n v="6.7000000000000004E-2"/>
    <n v="6.7000000000000004E-2"/>
    <n v="0"/>
    <x v="1"/>
    <n v="0"/>
    <n v="0"/>
    <n v="11"/>
    <n v="63"/>
    <n v="0"/>
    <n v="661.68"/>
    <n v="230.03"/>
    <m/>
    <n v="614.07773825538197"/>
    <n v="282.91739971702214"/>
    <n v="0"/>
    <n v="44.332560000000001"/>
    <n v="15.41201"/>
    <n v="0"/>
    <n v="41.143208463110597"/>
    <n v="18.955465781040484"/>
  </r>
  <r>
    <s v="Regular"/>
    <x v="2"/>
    <x v="3"/>
    <x v="7"/>
    <x v="2"/>
    <x v="0"/>
    <x v="0"/>
    <x v="3"/>
    <x v="5"/>
    <n v="0"/>
    <n v="0"/>
    <n v="2.8959999999999999"/>
    <n v="2.8959999999999999"/>
    <n v="2.8959999999999999"/>
    <n v="2.8959999999999999"/>
    <n v="0"/>
    <x v="1"/>
    <n v="0"/>
    <n v="0"/>
    <n v="11"/>
    <n v="63"/>
    <n v="0"/>
    <n v="661.68"/>
    <n v="230.03"/>
    <m/>
    <n v="614.07773825538197"/>
    <n v="282.91739971702214"/>
    <n v="0"/>
    <n v="1916.2252799999999"/>
    <n v="666.16687999999999"/>
    <n v="0"/>
    <n v="1778.3691299875861"/>
    <n v="819.32878958049605"/>
  </r>
  <r>
    <s v="Sistema Isolado - Regular"/>
    <x v="2"/>
    <x v="3"/>
    <x v="7"/>
    <x v="2"/>
    <x v="0"/>
    <x v="0"/>
    <x v="3"/>
    <x v="5"/>
    <n v="0"/>
    <n v="0"/>
    <n v="0.13600000000000001"/>
    <n v="0.13600000000000001"/>
    <n v="0.13600000000000001"/>
    <n v="0.13600000000000001"/>
    <n v="0"/>
    <x v="1"/>
    <n v="0"/>
    <n v="0"/>
    <n v="11"/>
    <n v="63"/>
    <n v="0"/>
    <n v="661.68"/>
    <n v="230.03"/>
    <m/>
    <n v="614.07773825538197"/>
    <n v="282.91739971702214"/>
    <n v="0"/>
    <n v="89.988479999999996"/>
    <n v="31.284080000000003"/>
    <n v="0"/>
    <n v="83.514572402731957"/>
    <n v="38.476766361515011"/>
  </r>
  <r>
    <s v="Sistema de Compensação"/>
    <x v="2"/>
    <x v="3"/>
    <x v="7"/>
    <x v="2"/>
    <x v="0"/>
    <x v="0"/>
    <x v="3"/>
    <x v="5"/>
    <n v="0"/>
    <n v="0"/>
    <n v="0.11899999999999999"/>
    <n v="0.11899999999999999"/>
    <n v="0.11899999999999999"/>
    <n v="0.11899999999999999"/>
    <n v="0"/>
    <x v="1"/>
    <n v="0"/>
    <n v="0"/>
    <n v="11"/>
    <n v="63"/>
    <n v="0"/>
    <n v="661.68"/>
    <n v="230.03"/>
    <m/>
    <n v="614.07773825538197"/>
    <n v="282.91739971702214"/>
    <n v="0"/>
    <n v="78.739919999999984"/>
    <n v="27.373569999999997"/>
    <n v="0"/>
    <n v="73.075250852390454"/>
    <n v="33.66717056632563"/>
  </r>
  <r>
    <s v="Regular"/>
    <x v="2"/>
    <x v="3"/>
    <x v="7"/>
    <x v="2"/>
    <x v="0"/>
    <x v="0"/>
    <x v="3"/>
    <x v="6"/>
    <n v="0"/>
    <n v="0"/>
    <n v="2.0419999999999998"/>
    <n v="2.0419999999999998"/>
    <n v="2.0419999999999998"/>
    <n v="2.0419999999999998"/>
    <n v="0"/>
    <x v="1"/>
    <n v="0"/>
    <n v="0"/>
    <n v="11"/>
    <n v="63"/>
    <n v="0"/>
    <n v="661.68"/>
    <n v="230.03"/>
    <m/>
    <n v="614.07773825538197"/>
    <n v="282.91739971702214"/>
    <n v="0"/>
    <n v="1351.1505599999998"/>
    <n v="469.72125999999997"/>
    <n v="0"/>
    <n v="1253.94674151749"/>
    <n v="577.71733022215915"/>
  </r>
  <r>
    <s v="Sistema Isolado - Regular"/>
    <x v="2"/>
    <x v="3"/>
    <x v="7"/>
    <x v="2"/>
    <x v="0"/>
    <x v="0"/>
    <x v="3"/>
    <x v="6"/>
    <n v="0"/>
    <n v="0"/>
    <n v="0.12"/>
    <n v="0.12"/>
    <n v="0.12"/>
    <n v="0.12"/>
    <n v="0"/>
    <x v="1"/>
    <n v="0"/>
    <n v="0"/>
    <n v="11"/>
    <n v="63"/>
    <n v="0"/>
    <n v="661.68"/>
    <n v="230.03"/>
    <m/>
    <n v="614.07773825538197"/>
    <n v="282.91739971702214"/>
    <n v="0"/>
    <n v="79.401599999999988"/>
    <n v="27.6036"/>
    <n v="0"/>
    <n v="73.689328590645829"/>
    <n v="33.950087966042652"/>
  </r>
  <r>
    <s v="Sistema de Compensação"/>
    <x v="2"/>
    <x v="3"/>
    <x v="7"/>
    <x v="2"/>
    <x v="0"/>
    <x v="0"/>
    <x v="3"/>
    <x v="6"/>
    <n v="0"/>
    <n v="0"/>
    <n v="0.17799999999999999"/>
    <n v="0.17799999999999999"/>
    <n v="0.17799999999999999"/>
    <n v="0.17799999999999999"/>
    <n v="0"/>
    <x v="1"/>
    <n v="0"/>
    <n v="0"/>
    <n v="11"/>
    <n v="63"/>
    <n v="0"/>
    <n v="661.68"/>
    <n v="230.03"/>
    <m/>
    <n v="614.07773825538197"/>
    <n v="282.91739971702214"/>
    <n v="0"/>
    <n v="117.77903999999998"/>
    <n v="40.945340000000002"/>
    <n v="0"/>
    <n v="109.30583740945798"/>
    <n v="50.359297149629938"/>
  </r>
  <r>
    <s v="Regular"/>
    <x v="2"/>
    <x v="3"/>
    <x v="7"/>
    <x v="2"/>
    <x v="0"/>
    <x v="0"/>
    <x v="3"/>
    <x v="7"/>
    <n v="0"/>
    <n v="0"/>
    <n v="2.5710000000000002"/>
    <n v="2.5710000000000002"/>
    <n v="2.5710000000000002"/>
    <n v="2.5710000000000002"/>
    <n v="0"/>
    <x v="1"/>
    <n v="0"/>
    <n v="0"/>
    <n v="11"/>
    <n v="63"/>
    <n v="0"/>
    <n v="661.68"/>
    <n v="230.03"/>
    <m/>
    <n v="614.07773825538197"/>
    <n v="282.91739971702214"/>
    <n v="0"/>
    <n v="1701.1792800000001"/>
    <n v="591.40713000000005"/>
    <n v="0"/>
    <n v="1578.7938650545871"/>
    <n v="727.380634672464"/>
  </r>
  <r>
    <s v="Sistema Isolado - Regular"/>
    <x v="2"/>
    <x v="3"/>
    <x v="7"/>
    <x v="2"/>
    <x v="0"/>
    <x v="0"/>
    <x v="3"/>
    <x v="7"/>
    <n v="0"/>
    <n v="0"/>
    <n v="0.17199999999999999"/>
    <n v="0.17199999999999999"/>
    <n v="0.17199999999999999"/>
    <n v="0.17199999999999999"/>
    <n v="0"/>
    <x v="1"/>
    <n v="0"/>
    <n v="0"/>
    <n v="11"/>
    <n v="63"/>
    <n v="0"/>
    <n v="661.68"/>
    <n v="230.03"/>
    <m/>
    <n v="614.07773825538197"/>
    <n v="282.91739971702214"/>
    <n v="0"/>
    <n v="113.80895999999998"/>
    <n v="39.565159999999999"/>
    <n v="0"/>
    <n v="105.62137097992569"/>
    <n v="48.661792751327802"/>
  </r>
  <r>
    <s v="Sistema de Compensação"/>
    <x v="2"/>
    <x v="3"/>
    <x v="7"/>
    <x v="2"/>
    <x v="0"/>
    <x v="0"/>
    <x v="3"/>
    <x v="7"/>
    <n v="0"/>
    <n v="0"/>
    <n v="0.161"/>
    <n v="0.161"/>
    <n v="0.161"/>
    <n v="0.161"/>
    <n v="0"/>
    <x v="1"/>
    <n v="0"/>
    <n v="0"/>
    <n v="11"/>
    <n v="63"/>
    <n v="0"/>
    <n v="661.68"/>
    <n v="230.03"/>
    <m/>
    <n v="614.07773825538197"/>
    <n v="282.91739971702214"/>
    <n v="0"/>
    <n v="106.53048"/>
    <n v="37.034829999999999"/>
    <n v="0"/>
    <n v="98.866515859116504"/>
    <n v="45.549701354440565"/>
  </r>
  <r>
    <s v="Regular"/>
    <x v="2"/>
    <x v="3"/>
    <x v="7"/>
    <x v="2"/>
    <x v="0"/>
    <x v="0"/>
    <x v="3"/>
    <x v="8"/>
    <n v="0"/>
    <n v="0"/>
    <n v="2.371"/>
    <n v="2.371"/>
    <n v="2.371"/>
    <n v="2.371"/>
    <n v="0"/>
    <x v="1"/>
    <n v="0"/>
    <n v="0"/>
    <n v="11"/>
    <n v="63"/>
    <n v="0"/>
    <n v="661.68"/>
    <n v="230.03"/>
    <m/>
    <n v="614.07773825538197"/>
    <n v="282.91739971702214"/>
    <n v="0"/>
    <n v="1568.8432799999998"/>
    <n v="545.40112999999997"/>
    <n v="0"/>
    <n v="1455.9783174035106"/>
    <n v="670.79715472905946"/>
  </r>
  <r>
    <s v="Refaturamento - Regular"/>
    <x v="2"/>
    <x v="3"/>
    <x v="7"/>
    <x v="2"/>
    <x v="0"/>
    <x v="0"/>
    <x v="3"/>
    <x v="8"/>
    <n v="0"/>
    <n v="0"/>
    <n v="2.7E-2"/>
    <n v="2.7E-2"/>
    <n v="2.7E-2"/>
    <n v="2.7E-2"/>
    <n v="0"/>
    <x v="1"/>
    <n v="0"/>
    <n v="0"/>
    <n v="11"/>
    <n v="63"/>
    <n v="0"/>
    <n v="661.68"/>
    <n v="230.03"/>
    <m/>
    <n v="614.07773825538197"/>
    <n v="282.91739971702214"/>
    <n v="0"/>
    <n v="17.865359999999999"/>
    <n v="6.2108100000000004"/>
    <n v="0"/>
    <n v="16.580098932895314"/>
    <n v="7.6387697923595974"/>
  </r>
  <r>
    <s v="Sistema Isolado - Regular"/>
    <x v="2"/>
    <x v="3"/>
    <x v="7"/>
    <x v="2"/>
    <x v="0"/>
    <x v="0"/>
    <x v="3"/>
    <x v="8"/>
    <n v="0"/>
    <n v="0"/>
    <n v="0.16600000000000001"/>
    <n v="0.16600000000000001"/>
    <n v="0.16600000000000001"/>
    <n v="0.16600000000000001"/>
    <n v="0"/>
    <x v="1"/>
    <n v="0"/>
    <n v="0"/>
    <n v="11"/>
    <n v="63"/>
    <n v="0"/>
    <n v="661.68"/>
    <n v="230.03"/>
    <m/>
    <n v="614.07773825538197"/>
    <n v="282.91739971702214"/>
    <n v="0"/>
    <n v="109.83888"/>
    <n v="38.184980000000003"/>
    <n v="0"/>
    <n v="101.93690455039341"/>
    <n v="46.96428835302568"/>
  </r>
  <r>
    <s v="Sistema de Compensação"/>
    <x v="2"/>
    <x v="3"/>
    <x v="7"/>
    <x v="2"/>
    <x v="0"/>
    <x v="0"/>
    <x v="3"/>
    <x v="8"/>
    <n v="0"/>
    <n v="0"/>
    <n v="0.13"/>
    <n v="0.13"/>
    <n v="0.13"/>
    <n v="0.13"/>
    <n v="0"/>
    <x v="1"/>
    <n v="0"/>
    <n v="0"/>
    <n v="11"/>
    <n v="63"/>
    <n v="0"/>
    <n v="661.68"/>
    <n v="230.03"/>
    <m/>
    <n v="614.07773825538197"/>
    <n v="282.91739971702214"/>
    <n v="0"/>
    <n v="86.0184"/>
    <n v="29.9039"/>
    <n v="0"/>
    <n v="79.830105973199665"/>
    <n v="36.779261963212882"/>
  </r>
  <r>
    <s v="Regular"/>
    <x v="2"/>
    <x v="3"/>
    <x v="7"/>
    <x v="2"/>
    <x v="0"/>
    <x v="0"/>
    <x v="3"/>
    <x v="9"/>
    <n v="0"/>
    <n v="0"/>
    <n v="2.4609999999999999"/>
    <n v="2.4609999999999999"/>
    <n v="2.4609999999999999"/>
    <n v="2.4609999999999999"/>
    <n v="0"/>
    <x v="1"/>
    <n v="0"/>
    <n v="0"/>
    <n v="11"/>
    <n v="63"/>
    <n v="0"/>
    <n v="661.68"/>
    <n v="230.03"/>
    <m/>
    <n v="614.07773825538197"/>
    <n v="282.91739971702214"/>
    <n v="0"/>
    <n v="1628.3944799999997"/>
    <n v="566.10383000000002"/>
    <n v="0"/>
    <n v="1511.245313846495"/>
    <n v="696.25972070359148"/>
  </r>
  <r>
    <s v="Sistema Isolado - Regular"/>
    <x v="2"/>
    <x v="3"/>
    <x v="7"/>
    <x v="2"/>
    <x v="0"/>
    <x v="0"/>
    <x v="3"/>
    <x v="9"/>
    <n v="0"/>
    <n v="0"/>
    <n v="0.188"/>
    <n v="0.188"/>
    <n v="0.188"/>
    <n v="0.188"/>
    <n v="0"/>
    <x v="1"/>
    <n v="0"/>
    <n v="0"/>
    <n v="11"/>
    <n v="63"/>
    <n v="0"/>
    <n v="661.68"/>
    <n v="230.03"/>
    <m/>
    <n v="614.07773825538197"/>
    <n v="282.91739971702214"/>
    <n v="0"/>
    <n v="124.39583999999999"/>
    <n v="43.245640000000002"/>
    <n v="0"/>
    <n v="115.44661479201181"/>
    <n v="53.188471146800161"/>
  </r>
  <r>
    <s v="Sistema de Compensação"/>
    <x v="2"/>
    <x v="3"/>
    <x v="7"/>
    <x v="2"/>
    <x v="0"/>
    <x v="0"/>
    <x v="3"/>
    <x v="9"/>
    <n v="0"/>
    <n v="0"/>
    <n v="0.161"/>
    <n v="0.161"/>
    <n v="0.161"/>
    <n v="0.161"/>
    <n v="0"/>
    <x v="1"/>
    <n v="0"/>
    <n v="0"/>
    <n v="11"/>
    <n v="63"/>
    <n v="0"/>
    <n v="661.68"/>
    <n v="230.03"/>
    <m/>
    <n v="614.07773825538197"/>
    <n v="282.91739971702214"/>
    <n v="0"/>
    <n v="106.53048"/>
    <n v="37.034829999999999"/>
    <n v="0"/>
    <n v="98.866515859116504"/>
    <n v="45.549701354440565"/>
  </r>
  <r>
    <s v="Regular"/>
    <x v="2"/>
    <x v="3"/>
    <x v="7"/>
    <x v="2"/>
    <x v="0"/>
    <x v="0"/>
    <x v="3"/>
    <x v="10"/>
    <n v="0"/>
    <n v="0"/>
    <n v="2.448"/>
    <n v="2.448"/>
    <n v="2.448"/>
    <n v="2.448"/>
    <n v="0"/>
    <x v="1"/>
    <n v="0"/>
    <n v="0"/>
    <n v="11"/>
    <n v="63"/>
    <n v="0"/>
    <n v="661.68"/>
    <n v="230.03"/>
    <m/>
    <n v="614.07773825538197"/>
    <n v="282.91739971702214"/>
    <n v="0"/>
    <n v="1619.7926399999999"/>
    <n v="563.11343999999997"/>
    <n v="0"/>
    <n v="1503.2623032491751"/>
    <n v="692.58179450727016"/>
  </r>
  <r>
    <s v="Refaturamento - Regular"/>
    <x v="2"/>
    <x v="3"/>
    <x v="7"/>
    <x v="2"/>
    <x v="0"/>
    <x v="0"/>
    <x v="3"/>
    <x v="10"/>
    <n v="0"/>
    <n v="0"/>
    <n v="3.1E-2"/>
    <n v="3.1E-2"/>
    <n v="3.1E-2"/>
    <n v="3.1E-2"/>
    <n v="0"/>
    <x v="1"/>
    <n v="0"/>
    <n v="0"/>
    <n v="11"/>
    <n v="63"/>
    <n v="0"/>
    <n v="661.68"/>
    <n v="230.03"/>
    <m/>
    <n v="614.07773825538197"/>
    <n v="282.91739971702214"/>
    <n v="0"/>
    <n v="20.512079999999997"/>
    <n v="7.1309300000000002"/>
    <n v="0"/>
    <n v="19.036409885916839"/>
    <n v="8.7704393912276863"/>
  </r>
  <r>
    <s v="Sistema Isolado - Regular"/>
    <x v="2"/>
    <x v="3"/>
    <x v="7"/>
    <x v="2"/>
    <x v="0"/>
    <x v="0"/>
    <x v="3"/>
    <x v="10"/>
    <n v="0"/>
    <n v="0"/>
    <n v="0.18099999999999999"/>
    <n v="0.18099999999999999"/>
    <n v="0.18099999999999999"/>
    <n v="0.18099999999999999"/>
    <n v="0"/>
    <x v="1"/>
    <n v="0"/>
    <n v="0"/>
    <n v="11"/>
    <n v="63"/>
    <n v="0"/>
    <n v="661.68"/>
    <n v="230.03"/>
    <m/>
    <n v="614.07773825538197"/>
    <n v="282.91739971702214"/>
    <n v="0"/>
    <n v="119.76407999999999"/>
    <n v="41.635429999999999"/>
    <n v="0"/>
    <n v="111.14807062422413"/>
    <n v="51.208049348781003"/>
  </r>
  <r>
    <s v="Sistema de Compensação"/>
    <x v="2"/>
    <x v="3"/>
    <x v="7"/>
    <x v="2"/>
    <x v="0"/>
    <x v="0"/>
    <x v="3"/>
    <x v="10"/>
    <n v="0"/>
    <n v="0"/>
    <n v="0.14099999999999999"/>
    <n v="0.14099999999999999"/>
    <n v="0.14099999999999999"/>
    <n v="0.14099999999999999"/>
    <n v="0"/>
    <x v="1"/>
    <n v="0"/>
    <n v="0"/>
    <n v="11"/>
    <n v="63"/>
    <n v="0"/>
    <n v="661.68"/>
    <n v="230.03"/>
    <m/>
    <n v="614.07773825538197"/>
    <n v="282.91739971702214"/>
    <n v="0"/>
    <n v="93.296879999999987"/>
    <n v="32.434229999999999"/>
    <n v="0"/>
    <n v="86.584961094008847"/>
    <n v="39.891353360100119"/>
  </r>
  <r>
    <s v="PROJETADO"/>
    <x v="2"/>
    <x v="3"/>
    <x v="7"/>
    <x v="2"/>
    <x v="0"/>
    <x v="0"/>
    <x v="3"/>
    <x v="11"/>
    <n v="0"/>
    <n v="0"/>
    <n v="2.448"/>
    <n v="2.448"/>
    <n v="2.448"/>
    <n v="2.448"/>
    <n v="0"/>
    <x v="1"/>
    <n v="0"/>
    <n v="0"/>
    <n v="11"/>
    <n v="63"/>
    <n v="0"/>
    <n v="661.68"/>
    <n v="230.03"/>
    <m/>
    <n v="614.07773825538197"/>
    <n v="282.91739971702214"/>
    <n v="0"/>
    <n v="1619.7926399999999"/>
    <n v="563.11343999999997"/>
    <n v="0"/>
    <n v="1503.2623032491751"/>
    <n v="692.58179450727016"/>
  </r>
  <r>
    <s v="PROJETADO"/>
    <x v="2"/>
    <x v="3"/>
    <x v="7"/>
    <x v="2"/>
    <x v="0"/>
    <x v="0"/>
    <x v="3"/>
    <x v="11"/>
    <n v="0"/>
    <n v="0"/>
    <n v="3.1E-2"/>
    <n v="3.1E-2"/>
    <n v="3.1E-2"/>
    <n v="3.1E-2"/>
    <n v="0"/>
    <x v="1"/>
    <n v="0"/>
    <n v="0"/>
    <n v="11"/>
    <n v="63"/>
    <n v="0"/>
    <n v="661.68"/>
    <n v="230.03"/>
    <m/>
    <n v="614.07773825538197"/>
    <n v="282.91739971702214"/>
    <n v="0"/>
    <n v="20.512079999999997"/>
    <n v="7.1309300000000002"/>
    <n v="0"/>
    <n v="19.036409885916839"/>
    <n v="8.7704393912276863"/>
  </r>
  <r>
    <s v="PROJETADO"/>
    <x v="2"/>
    <x v="3"/>
    <x v="7"/>
    <x v="2"/>
    <x v="0"/>
    <x v="0"/>
    <x v="3"/>
    <x v="11"/>
    <n v="0"/>
    <n v="0"/>
    <n v="0.18099999999999999"/>
    <n v="0.18099999999999999"/>
    <n v="0.18099999999999999"/>
    <n v="0.18099999999999999"/>
    <n v="0"/>
    <x v="1"/>
    <n v="0"/>
    <n v="0"/>
    <n v="11"/>
    <n v="63"/>
    <n v="0"/>
    <n v="661.68"/>
    <n v="230.03"/>
    <m/>
    <n v="614.07773825538197"/>
    <n v="282.91739971702214"/>
    <n v="0"/>
    <n v="119.76407999999999"/>
    <n v="41.635429999999999"/>
    <n v="0"/>
    <n v="111.14807062422413"/>
    <n v="51.208049348781003"/>
  </r>
  <r>
    <s v="PROJETADO"/>
    <x v="2"/>
    <x v="3"/>
    <x v="7"/>
    <x v="2"/>
    <x v="0"/>
    <x v="0"/>
    <x v="3"/>
    <x v="11"/>
    <n v="0"/>
    <n v="0"/>
    <n v="0.14099999999999999"/>
    <n v="0.14099999999999999"/>
    <n v="0.14099999999999999"/>
    <n v="0.14099999999999999"/>
    <n v="0"/>
    <x v="1"/>
    <n v="0"/>
    <n v="0"/>
    <n v="11"/>
    <n v="63"/>
    <n v="0"/>
    <n v="661.68"/>
    <n v="230.03"/>
    <m/>
    <n v="614.07773825538197"/>
    <n v="282.91739971702214"/>
    <n v="0"/>
    <n v="93.296879999999987"/>
    <n v="32.434229999999999"/>
    <n v="0"/>
    <n v="86.584961094008847"/>
    <n v="39.891353360100119"/>
  </r>
  <r>
    <s v="Regular"/>
    <x v="2"/>
    <x v="3"/>
    <x v="7"/>
    <x v="2"/>
    <x v="0"/>
    <x v="0"/>
    <x v="2"/>
    <x v="0"/>
    <n v="0"/>
    <n v="0"/>
    <n v="10.135"/>
    <n v="10.135"/>
    <n v="10.135"/>
    <n v="10.135"/>
    <n v="0"/>
    <x v="1"/>
    <n v="0"/>
    <n v="0"/>
    <n v="18"/>
    <n v="62"/>
    <n v="0"/>
    <n v="966.62"/>
    <n v="389.28"/>
    <m/>
    <n v="957.78112191865898"/>
    <n v="454.3285679284046"/>
    <n v="0"/>
    <n v="9796.6936999999998"/>
    <n v="3945.3527999999997"/>
    <n v="0"/>
    <n v="9707.1116706456087"/>
    <n v="4604.6200359543809"/>
  </r>
  <r>
    <s v="Refaturamento - Regular"/>
    <x v="2"/>
    <x v="3"/>
    <x v="7"/>
    <x v="2"/>
    <x v="0"/>
    <x v="0"/>
    <x v="2"/>
    <x v="0"/>
    <n v="0"/>
    <n v="0"/>
    <n v="-12.06"/>
    <n v="-12.06"/>
    <n v="-12.06"/>
    <n v="-12.06"/>
    <n v="0"/>
    <x v="1"/>
    <n v="0"/>
    <n v="0"/>
    <n v="18"/>
    <n v="62"/>
    <n v="0"/>
    <n v="966.62"/>
    <n v="389.28"/>
    <m/>
    <n v="957.78112191865898"/>
    <n v="454.3285679284046"/>
    <n v="0"/>
    <n v="-11657.4372"/>
    <n v="-4694.7168000000001"/>
    <n v="0"/>
    <n v="-11550.840330339028"/>
    <n v="-5479.2025292165599"/>
  </r>
  <r>
    <s v="Sistema Isolado - Regular"/>
    <x v="2"/>
    <x v="3"/>
    <x v="7"/>
    <x v="2"/>
    <x v="0"/>
    <x v="0"/>
    <x v="2"/>
    <x v="0"/>
    <n v="0"/>
    <n v="0"/>
    <n v="0.188"/>
    <n v="0.188"/>
    <n v="0.188"/>
    <n v="0.188"/>
    <n v="0"/>
    <x v="1"/>
    <n v="0"/>
    <n v="0"/>
    <n v="18"/>
    <n v="62"/>
    <n v="0"/>
    <n v="966.62"/>
    <n v="389.28"/>
    <m/>
    <n v="957.78112191865898"/>
    <n v="454.3285679284046"/>
    <n v="0"/>
    <n v="181.72456"/>
    <n v="73.184640000000002"/>
    <n v="0"/>
    <n v="180.06285092070789"/>
    <n v="85.413770770540069"/>
  </r>
  <r>
    <s v="Sistema de Compensação"/>
    <x v="2"/>
    <x v="3"/>
    <x v="7"/>
    <x v="2"/>
    <x v="0"/>
    <x v="0"/>
    <x v="2"/>
    <x v="0"/>
    <n v="0"/>
    <n v="0"/>
    <n v="0.08"/>
    <n v="0.08"/>
    <n v="0.08"/>
    <n v="0.08"/>
    <n v="0"/>
    <x v="1"/>
    <n v="0"/>
    <n v="0"/>
    <n v="18"/>
    <n v="62"/>
    <n v="0"/>
    <n v="966.62"/>
    <n v="389.28"/>
    <m/>
    <n v="957.78112191865898"/>
    <n v="454.3285679284046"/>
    <n v="0"/>
    <n v="77.329599999999999"/>
    <n v="31.142399999999999"/>
    <n v="0"/>
    <n v="76.622489753492715"/>
    <n v="36.346285434272367"/>
  </r>
  <r>
    <s v="Regular"/>
    <x v="2"/>
    <x v="3"/>
    <x v="7"/>
    <x v="2"/>
    <x v="0"/>
    <x v="0"/>
    <x v="2"/>
    <x v="1"/>
    <n v="0"/>
    <n v="0"/>
    <n v="3.294"/>
    <n v="3.294"/>
    <n v="3.294"/>
    <n v="3.294"/>
    <n v="0"/>
    <x v="1"/>
    <n v="0"/>
    <n v="0"/>
    <n v="18"/>
    <n v="62"/>
    <n v="0"/>
    <n v="966.62"/>
    <n v="389.28"/>
    <m/>
    <n v="957.78112191865898"/>
    <n v="454.3285679284046"/>
    <n v="0"/>
    <n v="3184.04628"/>
    <n v="1282.2883199999999"/>
    <n v="0"/>
    <n v="3154.9310156000629"/>
    <n v="1496.5583027561647"/>
  </r>
  <r>
    <s v="Refaturamento - Regular"/>
    <x v="2"/>
    <x v="3"/>
    <x v="7"/>
    <x v="2"/>
    <x v="0"/>
    <x v="0"/>
    <x v="2"/>
    <x v="1"/>
    <n v="0"/>
    <n v="0"/>
    <n v="-6.8120000000000003"/>
    <n v="-6.8120000000000003"/>
    <n v="-6.8120000000000003"/>
    <n v="-6.8120000000000003"/>
    <n v="0"/>
    <x v="1"/>
    <n v="0"/>
    <n v="0"/>
    <n v="18"/>
    <n v="62"/>
    <n v="0"/>
    <n v="966.62"/>
    <n v="389.28"/>
    <m/>
    <n v="957.78112191865898"/>
    <n v="454.3285679284046"/>
    <n v="0"/>
    <n v="-6584.6154400000005"/>
    <n v="-2651.7753600000001"/>
    <n v="0"/>
    <n v="-6524.405002509905"/>
    <n v="-3094.8862047282923"/>
  </r>
  <r>
    <s v="Sistema Isolado - Regular"/>
    <x v="2"/>
    <x v="3"/>
    <x v="7"/>
    <x v="2"/>
    <x v="0"/>
    <x v="0"/>
    <x v="2"/>
    <x v="1"/>
    <n v="0"/>
    <n v="0"/>
    <n v="0.126"/>
    <n v="0.126"/>
    <n v="0.126"/>
    <n v="0.126"/>
    <n v="0"/>
    <x v="1"/>
    <n v="0"/>
    <n v="0"/>
    <n v="18"/>
    <n v="62"/>
    <n v="0"/>
    <n v="966.62"/>
    <n v="389.28"/>
    <m/>
    <n v="957.78112191865898"/>
    <n v="454.3285679284046"/>
    <n v="0"/>
    <n v="121.79412000000001"/>
    <n v="49.049279999999996"/>
    <n v="0"/>
    <n v="120.68042136175103"/>
    <n v="57.245399558978981"/>
  </r>
  <r>
    <s v="Sistema de Compensação"/>
    <x v="2"/>
    <x v="3"/>
    <x v="7"/>
    <x v="2"/>
    <x v="0"/>
    <x v="0"/>
    <x v="2"/>
    <x v="1"/>
    <n v="0"/>
    <n v="0"/>
    <n v="8.5999999999999993E-2"/>
    <n v="8.5999999999999993E-2"/>
    <n v="8.5999999999999993E-2"/>
    <n v="8.5999999999999993E-2"/>
    <n v="0"/>
    <x v="1"/>
    <n v="0"/>
    <n v="0"/>
    <n v="18"/>
    <n v="62"/>
    <n v="0"/>
    <n v="966.62"/>
    <n v="389.28"/>
    <m/>
    <n v="957.78112191865898"/>
    <n v="454.3285679284046"/>
    <n v="0"/>
    <n v="83.129319999999993"/>
    <n v="33.478079999999999"/>
    <n v="0"/>
    <n v="82.369176485004672"/>
    <n v="39.072256841842794"/>
  </r>
  <r>
    <s v="Regular"/>
    <x v="2"/>
    <x v="3"/>
    <x v="7"/>
    <x v="2"/>
    <x v="0"/>
    <x v="0"/>
    <x v="2"/>
    <x v="2"/>
    <n v="0"/>
    <n v="0"/>
    <n v="3.4380000000000002"/>
    <n v="3.4380000000000002"/>
    <n v="3.4380000000000002"/>
    <n v="3.4380000000000002"/>
    <n v="0"/>
    <x v="1"/>
    <n v="0"/>
    <n v="0"/>
    <n v="18"/>
    <n v="62"/>
    <n v="0"/>
    <n v="966.62"/>
    <n v="389.28"/>
    <m/>
    <n v="957.78112191865898"/>
    <n v="454.3285679284046"/>
    <n v="0"/>
    <n v="3323.23956"/>
    <n v="1338.34464"/>
    <n v="0"/>
    <n v="3292.8514971563495"/>
    <n v="1561.9816165378552"/>
  </r>
  <r>
    <s v="Refaturamento - Regular"/>
    <x v="2"/>
    <x v="3"/>
    <x v="7"/>
    <x v="2"/>
    <x v="0"/>
    <x v="0"/>
    <x v="2"/>
    <x v="2"/>
    <n v="0"/>
    <n v="0"/>
    <n v="-0.22700000000000001"/>
    <n v="-0.22700000000000001"/>
    <n v="-0.22700000000000001"/>
    <n v="-0.22700000000000001"/>
    <n v="0"/>
    <x v="1"/>
    <n v="0"/>
    <n v="0"/>
    <n v="18"/>
    <n v="62"/>
    <n v="0"/>
    <n v="966.62"/>
    <n v="389.28"/>
    <m/>
    <n v="957.78112191865898"/>
    <n v="454.3285679284046"/>
    <n v="0"/>
    <n v="-219.42274"/>
    <n v="-88.366559999999993"/>
    <n v="0"/>
    <n v="-217.4163146755356"/>
    <n v="-103.13258491974784"/>
  </r>
  <r>
    <s v="Sistema Isolado - Regular"/>
    <x v="2"/>
    <x v="3"/>
    <x v="7"/>
    <x v="2"/>
    <x v="0"/>
    <x v="0"/>
    <x v="2"/>
    <x v="2"/>
    <n v="0"/>
    <n v="0"/>
    <n v="0.14099999999999999"/>
    <n v="0.14099999999999999"/>
    <n v="0.14099999999999999"/>
    <n v="0.14099999999999999"/>
    <n v="0"/>
    <x v="1"/>
    <n v="0"/>
    <n v="0"/>
    <n v="18"/>
    <n v="62"/>
    <n v="0"/>
    <n v="966.62"/>
    <n v="389.28"/>
    <m/>
    <n v="957.78112191865898"/>
    <n v="454.3285679284046"/>
    <n v="0"/>
    <n v="136.29342"/>
    <n v="54.888479999999994"/>
    <n v="0"/>
    <n v="135.04713819053092"/>
    <n v="64.060328077905041"/>
  </r>
  <r>
    <s v="Sistema de Compensação"/>
    <x v="2"/>
    <x v="3"/>
    <x v="7"/>
    <x v="2"/>
    <x v="0"/>
    <x v="0"/>
    <x v="2"/>
    <x v="2"/>
    <n v="0"/>
    <n v="0"/>
    <n v="9.7000000000000003E-2"/>
    <n v="9.7000000000000003E-2"/>
    <n v="9.7000000000000003E-2"/>
    <n v="9.7000000000000003E-2"/>
    <n v="0"/>
    <x v="1"/>
    <n v="0"/>
    <n v="0"/>
    <n v="18"/>
    <n v="62"/>
    <n v="0"/>
    <n v="966.62"/>
    <n v="389.28"/>
    <m/>
    <n v="957.78112191865898"/>
    <n v="454.3285679284046"/>
    <n v="0"/>
    <n v="93.762140000000002"/>
    <n v="37.760159999999999"/>
    <n v="0"/>
    <n v="92.90476882610993"/>
    <n v="44.069871089055248"/>
  </r>
  <r>
    <s v="Regular"/>
    <x v="2"/>
    <x v="3"/>
    <x v="7"/>
    <x v="2"/>
    <x v="0"/>
    <x v="0"/>
    <x v="2"/>
    <x v="3"/>
    <n v="0"/>
    <n v="0"/>
    <n v="3.2490000000000001"/>
    <n v="3.2490000000000001"/>
    <n v="3.2490000000000001"/>
    <n v="3.2490000000000001"/>
    <n v="0"/>
    <x v="1"/>
    <n v="0"/>
    <n v="0"/>
    <n v="18"/>
    <n v="62"/>
    <n v="0"/>
    <n v="966.62"/>
    <n v="389.28"/>
    <m/>
    <n v="957.78112191865898"/>
    <n v="454.3285679284046"/>
    <n v="0"/>
    <n v="3140.5483800000002"/>
    <n v="1264.77072"/>
    <n v="0"/>
    <n v="3111.8308651137231"/>
    <n v="1476.1135171993865"/>
  </r>
  <r>
    <s v="Refaturamento - Regular"/>
    <x v="2"/>
    <x v="3"/>
    <x v="7"/>
    <x v="2"/>
    <x v="0"/>
    <x v="0"/>
    <x v="2"/>
    <x v="3"/>
    <n v="0"/>
    <n v="0"/>
    <n v="-0.33"/>
    <n v="-0.33"/>
    <n v="-0.33"/>
    <n v="-0.33"/>
    <n v="0"/>
    <x v="1"/>
    <n v="0"/>
    <n v="0"/>
    <n v="18"/>
    <n v="62"/>
    <n v="0"/>
    <n v="966.62"/>
    <n v="389.28"/>
    <m/>
    <n v="957.78112191865898"/>
    <n v="454.3285679284046"/>
    <n v="0"/>
    <n v="-318.9846"/>
    <n v="-128.4624"/>
    <n v="0"/>
    <n v="-316.06777023315749"/>
    <n v="-149.92842741637352"/>
  </r>
  <r>
    <s v="Sistema Isolado - Regular"/>
    <x v="2"/>
    <x v="3"/>
    <x v="7"/>
    <x v="2"/>
    <x v="0"/>
    <x v="0"/>
    <x v="2"/>
    <x v="3"/>
    <n v="0"/>
    <n v="0"/>
    <n v="9.8000000000000004E-2"/>
    <n v="9.8000000000000004E-2"/>
    <n v="9.8000000000000004E-2"/>
    <n v="9.8000000000000004E-2"/>
    <n v="0"/>
    <x v="1"/>
    <n v="0"/>
    <n v="0"/>
    <n v="18"/>
    <n v="62"/>
    <n v="0"/>
    <n v="966.62"/>
    <n v="389.28"/>
    <m/>
    <n v="957.78112191865898"/>
    <n v="454.3285679284046"/>
    <n v="0"/>
    <n v="94.728760000000008"/>
    <n v="38.149439999999998"/>
    <n v="0"/>
    <n v="93.862549948028587"/>
    <n v="44.524199656983654"/>
  </r>
  <r>
    <s v="Sistema de Compensação"/>
    <x v="2"/>
    <x v="3"/>
    <x v="7"/>
    <x v="2"/>
    <x v="0"/>
    <x v="0"/>
    <x v="2"/>
    <x v="3"/>
    <n v="0"/>
    <n v="0"/>
    <n v="7.5999999999999998E-2"/>
    <n v="7.5999999999999998E-2"/>
    <n v="7.5999999999999998E-2"/>
    <n v="7.5999999999999998E-2"/>
    <n v="0"/>
    <x v="1"/>
    <n v="0"/>
    <n v="0"/>
    <n v="18"/>
    <n v="62"/>
    <n v="0"/>
    <n v="966.62"/>
    <n v="389.28"/>
    <m/>
    <n v="957.78112191865898"/>
    <n v="454.3285679284046"/>
    <n v="0"/>
    <n v="73.463120000000004"/>
    <n v="29.585279999999997"/>
    <n v="0"/>
    <n v="72.791365265818087"/>
    <n v="34.528971162558747"/>
  </r>
  <r>
    <s v="Regular"/>
    <x v="2"/>
    <x v="3"/>
    <x v="7"/>
    <x v="2"/>
    <x v="0"/>
    <x v="0"/>
    <x v="2"/>
    <x v="4"/>
    <n v="0"/>
    <n v="0"/>
    <n v="3.2320000000000002"/>
    <n v="3.2320000000000002"/>
    <n v="3.2320000000000002"/>
    <n v="3.2320000000000002"/>
    <n v="0"/>
    <x v="1"/>
    <n v="0"/>
    <n v="0"/>
    <n v="18"/>
    <n v="62"/>
    <n v="0"/>
    <n v="966.62"/>
    <n v="389.28"/>
    <m/>
    <n v="957.78112191865898"/>
    <n v="454.3285679284046"/>
    <n v="0"/>
    <n v="3124.1158400000004"/>
    <n v="1258.1529599999999"/>
    <n v="0"/>
    <n v="3095.5485860411059"/>
    <n v="1468.3899315446038"/>
  </r>
  <r>
    <s v="Sistema Isolado - Regular"/>
    <x v="2"/>
    <x v="3"/>
    <x v="7"/>
    <x v="2"/>
    <x v="0"/>
    <x v="0"/>
    <x v="2"/>
    <x v="4"/>
    <n v="0"/>
    <n v="0"/>
    <n v="0.185"/>
    <n v="0.185"/>
    <n v="0.185"/>
    <n v="0.185"/>
    <n v="0"/>
    <x v="1"/>
    <n v="0"/>
    <n v="0"/>
    <n v="18"/>
    <n v="62"/>
    <n v="0"/>
    <n v="966.62"/>
    <n v="389.28"/>
    <m/>
    <n v="957.78112191865898"/>
    <n v="454.3285679284046"/>
    <n v="0"/>
    <n v="178.82470000000001"/>
    <n v="72.016799999999989"/>
    <n v="0"/>
    <n v="177.18950755495192"/>
    <n v="84.050785066754855"/>
  </r>
  <r>
    <s v="Sistema de Compensação"/>
    <x v="2"/>
    <x v="3"/>
    <x v="7"/>
    <x v="2"/>
    <x v="0"/>
    <x v="0"/>
    <x v="2"/>
    <x v="4"/>
    <n v="0"/>
    <n v="0"/>
    <n v="9.2999999999999999E-2"/>
    <n v="9.2999999999999999E-2"/>
    <n v="9.2999999999999999E-2"/>
    <n v="9.2999999999999999E-2"/>
    <n v="0"/>
    <x v="1"/>
    <n v="0"/>
    <n v="0"/>
    <n v="18"/>
    <n v="62"/>
    <n v="0"/>
    <n v="966.62"/>
    <n v="389.28"/>
    <m/>
    <n v="957.78112191865898"/>
    <n v="454.3285679284046"/>
    <n v="0"/>
    <n v="89.895660000000007"/>
    <n v="36.203039999999994"/>
    <n v="0"/>
    <n v="89.073644338435287"/>
    <n v="42.252556817341627"/>
  </r>
  <r>
    <s v="Regular"/>
    <x v="2"/>
    <x v="3"/>
    <x v="7"/>
    <x v="2"/>
    <x v="0"/>
    <x v="0"/>
    <x v="2"/>
    <x v="5"/>
    <n v="0"/>
    <n v="0"/>
    <n v="3.5539999999999998"/>
    <n v="3.5539999999999998"/>
    <n v="3.5539999999999998"/>
    <n v="3.5539999999999998"/>
    <n v="0"/>
    <x v="1"/>
    <n v="0"/>
    <n v="0"/>
    <n v="18"/>
    <n v="62"/>
    <n v="0"/>
    <n v="966.62"/>
    <n v="389.28"/>
    <m/>
    <n v="957.78112191865898"/>
    <n v="454.3285679284046"/>
    <n v="0"/>
    <n v="3435.3674799999999"/>
    <n v="1383.5011199999999"/>
    <n v="0"/>
    <n v="3403.9541072989136"/>
    <n v="1614.6837304175499"/>
  </r>
  <r>
    <s v="Sistema Isolado - Regular"/>
    <x v="2"/>
    <x v="3"/>
    <x v="7"/>
    <x v="2"/>
    <x v="0"/>
    <x v="0"/>
    <x v="2"/>
    <x v="5"/>
    <n v="0"/>
    <n v="0"/>
    <n v="0.192"/>
    <n v="0.192"/>
    <n v="0.192"/>
    <n v="0.192"/>
    <n v="0"/>
    <x v="1"/>
    <n v="0"/>
    <n v="0"/>
    <n v="18"/>
    <n v="62"/>
    <n v="0"/>
    <n v="966.62"/>
    <n v="389.28"/>
    <m/>
    <n v="957.78112191865898"/>
    <n v="454.3285679284046"/>
    <n v="0"/>
    <n v="185.59103999999999"/>
    <n v="74.741759999999999"/>
    <n v="0"/>
    <n v="183.89397540838252"/>
    <n v="87.231085042253682"/>
  </r>
  <r>
    <s v="Sistema de Compensação"/>
    <x v="2"/>
    <x v="3"/>
    <x v="7"/>
    <x v="2"/>
    <x v="0"/>
    <x v="0"/>
    <x v="2"/>
    <x v="5"/>
    <n v="0"/>
    <n v="0"/>
    <n v="0.16400000000000001"/>
    <n v="0.16400000000000001"/>
    <n v="0.16400000000000001"/>
    <n v="0.16400000000000001"/>
    <n v="0"/>
    <x v="1"/>
    <n v="0"/>
    <n v="0"/>
    <n v="18"/>
    <n v="62"/>
    <n v="0"/>
    <n v="966.62"/>
    <n v="389.28"/>
    <m/>
    <n v="957.78112191865898"/>
    <n v="454.3285679284046"/>
    <n v="0"/>
    <n v="158.52567999999999"/>
    <n v="63.841919999999995"/>
    <n v="0"/>
    <n v="157.07610399466009"/>
    <n v="74.509885140258362"/>
  </r>
  <r>
    <s v="Regular"/>
    <x v="2"/>
    <x v="3"/>
    <x v="7"/>
    <x v="2"/>
    <x v="0"/>
    <x v="0"/>
    <x v="2"/>
    <x v="6"/>
    <n v="0"/>
    <n v="0"/>
    <n v="3.2389999999999999"/>
    <n v="3.2389999999999999"/>
    <n v="3.2389999999999999"/>
    <n v="3.2389999999999999"/>
    <n v="0"/>
    <x v="1"/>
    <n v="0"/>
    <n v="0"/>
    <n v="18"/>
    <n v="62"/>
    <n v="0"/>
    <n v="966.62"/>
    <n v="389.28"/>
    <m/>
    <n v="957.78112191865898"/>
    <n v="454.3285679284046"/>
    <n v="0"/>
    <n v="3130.8821800000001"/>
    <n v="1260.8779199999999"/>
    <n v="0"/>
    <n v="3102.2530538945362"/>
    <n v="1471.5702315201024"/>
  </r>
  <r>
    <s v="Sistema Isolado - Regular"/>
    <x v="2"/>
    <x v="3"/>
    <x v="7"/>
    <x v="2"/>
    <x v="0"/>
    <x v="0"/>
    <x v="2"/>
    <x v="6"/>
    <n v="0"/>
    <n v="0"/>
    <n v="0.16400000000000001"/>
    <n v="0.16400000000000001"/>
    <n v="0.16400000000000001"/>
    <n v="0.16400000000000001"/>
    <n v="0"/>
    <x v="1"/>
    <n v="0"/>
    <n v="0"/>
    <n v="18"/>
    <n v="62"/>
    <n v="0"/>
    <n v="966.62"/>
    <n v="389.28"/>
    <m/>
    <n v="957.78112191865898"/>
    <n v="454.3285679284046"/>
    <n v="0"/>
    <n v="158.52567999999999"/>
    <n v="63.841919999999995"/>
    <n v="0"/>
    <n v="157.07610399466009"/>
    <n v="74.509885140258362"/>
  </r>
  <r>
    <s v="Sistema de Compensação"/>
    <x v="2"/>
    <x v="3"/>
    <x v="7"/>
    <x v="2"/>
    <x v="0"/>
    <x v="0"/>
    <x v="2"/>
    <x v="6"/>
    <n v="0"/>
    <n v="0"/>
    <n v="0.253"/>
    <n v="0.253"/>
    <n v="0.253"/>
    <n v="0.253"/>
    <n v="0"/>
    <x v="1"/>
    <n v="0"/>
    <n v="0"/>
    <n v="18"/>
    <n v="62"/>
    <n v="0"/>
    <n v="966.62"/>
    <n v="389.28"/>
    <m/>
    <n v="957.78112191865898"/>
    <n v="454.3285679284046"/>
    <n v="0"/>
    <n v="244.55485999999999"/>
    <n v="98.487839999999991"/>
    <n v="0"/>
    <n v="242.31862384542072"/>
    <n v="114.94512768588636"/>
  </r>
  <r>
    <s v="Regular"/>
    <x v="2"/>
    <x v="3"/>
    <x v="7"/>
    <x v="2"/>
    <x v="0"/>
    <x v="0"/>
    <x v="2"/>
    <x v="7"/>
    <n v="0"/>
    <n v="0"/>
    <n v="3.7709999999999999"/>
    <n v="3.7709999999999999"/>
    <n v="3.7709999999999999"/>
    <n v="3.7709999999999999"/>
    <n v="0"/>
    <x v="1"/>
    <n v="0"/>
    <n v="0"/>
    <n v="18"/>
    <n v="62"/>
    <n v="0"/>
    <n v="966.62"/>
    <n v="389.28"/>
    <m/>
    <n v="957.78112191865898"/>
    <n v="454.3285679284046"/>
    <n v="0"/>
    <n v="3645.1240199999997"/>
    <n v="1467.9748799999998"/>
    <n v="0"/>
    <n v="3611.792610755263"/>
    <n v="1713.2730296580137"/>
  </r>
  <r>
    <s v="Sistema Isolado - Regular"/>
    <x v="2"/>
    <x v="3"/>
    <x v="7"/>
    <x v="2"/>
    <x v="0"/>
    <x v="0"/>
    <x v="2"/>
    <x v="7"/>
    <n v="0"/>
    <n v="0"/>
    <n v="0.24299999999999999"/>
    <n v="0.24299999999999999"/>
    <n v="0.24299999999999999"/>
    <n v="0.24299999999999999"/>
    <n v="0"/>
    <x v="1"/>
    <n v="0"/>
    <n v="0"/>
    <n v="18"/>
    <n v="62"/>
    <n v="0"/>
    <n v="966.62"/>
    <n v="389.28"/>
    <m/>
    <n v="957.78112191865898"/>
    <n v="454.3285679284046"/>
    <n v="0"/>
    <n v="234.88865999999999"/>
    <n v="94.595039999999997"/>
    <n v="0"/>
    <n v="232.74081262623412"/>
    <n v="110.40184200660231"/>
  </r>
  <r>
    <s v="Sistema de Compensação"/>
    <x v="2"/>
    <x v="3"/>
    <x v="7"/>
    <x v="2"/>
    <x v="0"/>
    <x v="0"/>
    <x v="2"/>
    <x v="7"/>
    <n v="0"/>
    <n v="0"/>
    <n v="0.20599999999999999"/>
    <n v="0.20599999999999999"/>
    <n v="0.20599999999999999"/>
    <n v="0.20599999999999999"/>
    <n v="0"/>
    <x v="1"/>
    <n v="0"/>
    <n v="0"/>
    <n v="18"/>
    <n v="62"/>
    <n v="0"/>
    <n v="966.62"/>
    <n v="389.28"/>
    <m/>
    <n v="957.78112191865898"/>
    <n v="454.3285679284046"/>
    <n v="0"/>
    <n v="199.12371999999999"/>
    <n v="80.191679999999991"/>
    <n v="0"/>
    <n v="197.30291111524375"/>
    <n v="93.591684993251349"/>
  </r>
  <r>
    <s v="Regular"/>
    <x v="2"/>
    <x v="3"/>
    <x v="7"/>
    <x v="2"/>
    <x v="0"/>
    <x v="0"/>
    <x v="2"/>
    <x v="8"/>
    <n v="0"/>
    <n v="0"/>
    <n v="3.38"/>
    <n v="3.38"/>
    <n v="3.38"/>
    <n v="3.38"/>
    <n v="0"/>
    <x v="1"/>
    <n v="0"/>
    <n v="0"/>
    <n v="18"/>
    <n v="62"/>
    <n v="0"/>
    <n v="966.62"/>
    <n v="389.28"/>
    <m/>
    <n v="957.78112191865898"/>
    <n v="454.3285679284046"/>
    <n v="0"/>
    <n v="3267.1756"/>
    <n v="1315.7664"/>
    <n v="0"/>
    <n v="3237.3001920850675"/>
    <n v="1535.6305595980075"/>
  </r>
  <r>
    <s v="Refaturamento - Regular"/>
    <x v="2"/>
    <x v="3"/>
    <x v="7"/>
    <x v="2"/>
    <x v="0"/>
    <x v="0"/>
    <x v="2"/>
    <x v="8"/>
    <n v="0"/>
    <n v="0"/>
    <n v="3.1E-2"/>
    <n v="3.1E-2"/>
    <n v="3.1E-2"/>
    <n v="3.1E-2"/>
    <n v="0"/>
    <x v="1"/>
    <n v="0"/>
    <n v="0"/>
    <n v="18"/>
    <n v="62"/>
    <n v="0"/>
    <n v="966.62"/>
    <n v="389.28"/>
    <m/>
    <n v="957.78112191865898"/>
    <n v="454.3285679284046"/>
    <n v="0"/>
    <n v="29.965219999999999"/>
    <n v="12.067679999999999"/>
    <n v="0"/>
    <n v="29.691214779478429"/>
    <n v="14.084185605780542"/>
  </r>
  <r>
    <s v="Sistema Isolado - Regular"/>
    <x v="2"/>
    <x v="3"/>
    <x v="7"/>
    <x v="2"/>
    <x v="0"/>
    <x v="0"/>
    <x v="2"/>
    <x v="8"/>
    <n v="0"/>
    <n v="0"/>
    <n v="0.24399999999999999"/>
    <n v="0.24399999999999999"/>
    <n v="0.24399999999999999"/>
    <n v="0.24399999999999999"/>
    <n v="0"/>
    <x v="1"/>
    <n v="0"/>
    <n v="0"/>
    <n v="18"/>
    <n v="62"/>
    <n v="0"/>
    <n v="966.62"/>
    <n v="389.28"/>
    <m/>
    <n v="957.78112191865898"/>
    <n v="454.3285679284046"/>
    <n v="0"/>
    <n v="235.85527999999999"/>
    <n v="94.984319999999997"/>
    <n v="0"/>
    <n v="233.69859374815277"/>
    <n v="110.85617057453072"/>
  </r>
  <r>
    <s v="Sistema de Compensação"/>
    <x v="2"/>
    <x v="3"/>
    <x v="7"/>
    <x v="2"/>
    <x v="0"/>
    <x v="0"/>
    <x v="2"/>
    <x v="8"/>
    <n v="0"/>
    <n v="0"/>
    <n v="0.17899999999999999"/>
    <n v="0.17899999999999999"/>
    <n v="0.17899999999999999"/>
    <n v="0.17899999999999999"/>
    <n v="0"/>
    <x v="1"/>
    <n v="0"/>
    <n v="0"/>
    <n v="18"/>
    <n v="62"/>
    <n v="0"/>
    <n v="966.62"/>
    <n v="389.28"/>
    <m/>
    <n v="957.78112191865898"/>
    <n v="454.3285679284046"/>
    <n v="0"/>
    <n v="173.02498"/>
    <n v="69.681119999999993"/>
    <n v="0"/>
    <n v="171.44282082343994"/>
    <n v="81.324813659184414"/>
  </r>
  <r>
    <s v="Regular"/>
    <x v="2"/>
    <x v="3"/>
    <x v="7"/>
    <x v="2"/>
    <x v="0"/>
    <x v="0"/>
    <x v="2"/>
    <x v="9"/>
    <n v="0"/>
    <n v="0"/>
    <n v="3.605"/>
    <n v="3.605"/>
    <n v="3.605"/>
    <n v="3.605"/>
    <n v="0"/>
    <x v="1"/>
    <n v="0"/>
    <n v="0"/>
    <n v="18"/>
    <n v="62"/>
    <n v="0"/>
    <n v="966.62"/>
    <n v="389.28"/>
    <m/>
    <n v="957.78112191865898"/>
    <n v="454.3285679284046"/>
    <n v="0"/>
    <n v="3484.6651000000002"/>
    <n v="1403.3543999999999"/>
    <n v="0"/>
    <n v="3452.8009445167654"/>
    <n v="1637.8544873818985"/>
  </r>
  <r>
    <s v="Sistema Isolado - Regular"/>
    <x v="2"/>
    <x v="3"/>
    <x v="7"/>
    <x v="2"/>
    <x v="0"/>
    <x v="0"/>
    <x v="2"/>
    <x v="9"/>
    <n v="0"/>
    <n v="0"/>
    <n v="1.2110000000000001"/>
    <n v="1.2110000000000001"/>
    <n v="1.2110000000000001"/>
    <n v="1.2110000000000001"/>
    <n v="0"/>
    <x v="1"/>
    <n v="0"/>
    <n v="0"/>
    <n v="18"/>
    <n v="62"/>
    <n v="0"/>
    <n v="966.62"/>
    <n v="389.28"/>
    <m/>
    <n v="957.78112191865898"/>
    <n v="454.3285679284046"/>
    <n v="0"/>
    <n v="1170.57682"/>
    <n v="471.41807999999997"/>
    <n v="0"/>
    <n v="1159.8729386434961"/>
    <n v="550.19189576129804"/>
  </r>
  <r>
    <s v="Sistema de Compensação"/>
    <x v="2"/>
    <x v="3"/>
    <x v="7"/>
    <x v="2"/>
    <x v="0"/>
    <x v="0"/>
    <x v="2"/>
    <x v="9"/>
    <n v="0"/>
    <n v="0"/>
    <n v="0.19900000000000001"/>
    <n v="0.19900000000000001"/>
    <n v="0.19900000000000001"/>
    <n v="0.19900000000000001"/>
    <n v="0"/>
    <x v="1"/>
    <n v="0"/>
    <n v="0"/>
    <n v="18"/>
    <n v="62"/>
    <n v="0"/>
    <n v="966.62"/>
    <n v="389.28"/>
    <m/>
    <n v="957.78112191865898"/>
    <n v="454.3285679284046"/>
    <n v="0"/>
    <n v="192.35738000000001"/>
    <n v="77.466719999999995"/>
    <n v="0"/>
    <n v="190.59844326181314"/>
    <n v="90.411385017752522"/>
  </r>
  <r>
    <s v="Regular"/>
    <x v="2"/>
    <x v="3"/>
    <x v="7"/>
    <x v="2"/>
    <x v="0"/>
    <x v="0"/>
    <x v="2"/>
    <x v="10"/>
    <n v="0"/>
    <n v="0"/>
    <n v="3.4420000000000002"/>
    <n v="3.4420000000000002"/>
    <n v="3.4420000000000002"/>
    <n v="3.4420000000000002"/>
    <n v="0"/>
    <x v="1"/>
    <n v="0"/>
    <n v="0"/>
    <n v="18"/>
    <n v="62"/>
    <n v="0"/>
    <n v="966.62"/>
    <n v="389.28"/>
    <m/>
    <n v="957.78112191865898"/>
    <n v="454.3285679284046"/>
    <n v="0"/>
    <n v="3327.1060400000001"/>
    <n v="1339.90176"/>
    <n v="0"/>
    <n v="3296.6826216440245"/>
    <n v="1563.7989308095687"/>
  </r>
  <r>
    <s v="Refaturamento - Regular"/>
    <x v="2"/>
    <x v="3"/>
    <x v="7"/>
    <x v="2"/>
    <x v="0"/>
    <x v="0"/>
    <x v="2"/>
    <x v="10"/>
    <n v="0"/>
    <n v="0"/>
    <n v="5.5E-2"/>
    <n v="5.5E-2"/>
    <n v="5.5E-2"/>
    <n v="5.5E-2"/>
    <n v="0"/>
    <x v="1"/>
    <n v="0"/>
    <n v="0"/>
    <n v="18"/>
    <n v="62"/>
    <n v="0"/>
    <n v="966.62"/>
    <n v="389.28"/>
    <m/>
    <n v="957.78112191865898"/>
    <n v="454.3285679284046"/>
    <n v="0"/>
    <n v="53.164099999999998"/>
    <n v="21.410399999999999"/>
    <n v="0"/>
    <n v="52.677961705526243"/>
    <n v="24.988071236062254"/>
  </r>
  <r>
    <s v="Sistema Isolado - Regular"/>
    <x v="2"/>
    <x v="3"/>
    <x v="7"/>
    <x v="2"/>
    <x v="0"/>
    <x v="0"/>
    <x v="2"/>
    <x v="10"/>
    <n v="0"/>
    <n v="0"/>
    <n v="0.26900000000000002"/>
    <n v="0.26900000000000002"/>
    <n v="0.26900000000000002"/>
    <n v="0.26900000000000002"/>
    <n v="0"/>
    <x v="1"/>
    <n v="0"/>
    <n v="0"/>
    <n v="18"/>
    <n v="62"/>
    <n v="0"/>
    <n v="966.62"/>
    <n v="389.28"/>
    <m/>
    <n v="957.78112191865898"/>
    <n v="454.3285679284046"/>
    <n v="0"/>
    <n v="260.02078"/>
    <n v="104.71632"/>
    <n v="0"/>
    <n v="257.64312179611926"/>
    <n v="122.21438477274084"/>
  </r>
  <r>
    <s v="Sistema Isolado - Refaturamento"/>
    <x v="2"/>
    <x v="3"/>
    <x v="7"/>
    <x v="2"/>
    <x v="0"/>
    <x v="0"/>
    <x v="2"/>
    <x v="10"/>
    <n v="0"/>
    <n v="0"/>
    <n v="-0.94799999999999995"/>
    <n v="-0.94799999999999995"/>
    <n v="-0.94799999999999995"/>
    <n v="-0.94799999999999995"/>
    <n v="0"/>
    <x v="1"/>
    <n v="0"/>
    <n v="0"/>
    <n v="18"/>
    <n v="62"/>
    <n v="0"/>
    <n v="966.62"/>
    <n v="389.28"/>
    <m/>
    <n v="957.78112191865898"/>
    <n v="454.3285679284046"/>
    <n v="0"/>
    <n v="-916.35575999999992"/>
    <n v="-369.03743999999995"/>
    <n v="0"/>
    <n v="-907.9765035788887"/>
    <n v="-430.70348239612753"/>
  </r>
  <r>
    <s v="Sistema de Compensação"/>
    <x v="2"/>
    <x v="3"/>
    <x v="7"/>
    <x v="2"/>
    <x v="0"/>
    <x v="0"/>
    <x v="2"/>
    <x v="10"/>
    <n v="0"/>
    <n v="0"/>
    <n v="0.18099999999999999"/>
    <n v="0.18099999999999999"/>
    <n v="0.18099999999999999"/>
    <n v="0.18099999999999999"/>
    <n v="0"/>
    <x v="1"/>
    <n v="0"/>
    <n v="0"/>
    <n v="18"/>
    <n v="62"/>
    <n v="0"/>
    <n v="966.62"/>
    <n v="389.28"/>
    <m/>
    <n v="957.78112191865898"/>
    <n v="454.3285679284046"/>
    <n v="0"/>
    <n v="174.95821999999998"/>
    <n v="70.459679999999992"/>
    <n v="0"/>
    <n v="173.35838306727726"/>
    <n v="82.233470795041228"/>
  </r>
  <r>
    <s v="PROJETADO"/>
    <x v="2"/>
    <x v="3"/>
    <x v="7"/>
    <x v="2"/>
    <x v="0"/>
    <x v="0"/>
    <x v="2"/>
    <x v="11"/>
    <n v="0"/>
    <n v="0"/>
    <n v="3.4420000000000002"/>
    <n v="3.4420000000000002"/>
    <n v="3.4420000000000002"/>
    <n v="3.4420000000000002"/>
    <n v="0"/>
    <x v="1"/>
    <n v="0"/>
    <n v="0"/>
    <n v="18"/>
    <n v="62"/>
    <n v="0"/>
    <n v="966.62"/>
    <n v="389.28"/>
    <m/>
    <n v="957.78112191865898"/>
    <n v="454.3285679284046"/>
    <n v="0"/>
    <n v="3327.1060400000001"/>
    <n v="1339.90176"/>
    <n v="0"/>
    <n v="3296.6826216440245"/>
    <n v="1563.7989308095687"/>
  </r>
  <r>
    <s v="PROJETADO"/>
    <x v="2"/>
    <x v="3"/>
    <x v="7"/>
    <x v="2"/>
    <x v="0"/>
    <x v="0"/>
    <x v="2"/>
    <x v="11"/>
    <n v="0"/>
    <n v="0"/>
    <n v="5.5E-2"/>
    <n v="5.5E-2"/>
    <n v="5.5E-2"/>
    <n v="5.5E-2"/>
    <n v="0"/>
    <x v="1"/>
    <n v="0"/>
    <n v="0"/>
    <n v="18"/>
    <n v="62"/>
    <n v="0"/>
    <n v="966.62"/>
    <n v="389.28"/>
    <m/>
    <n v="957.78112191865898"/>
    <n v="454.3285679284046"/>
    <n v="0"/>
    <n v="53.164099999999998"/>
    <n v="21.410399999999999"/>
    <n v="0"/>
    <n v="52.677961705526243"/>
    <n v="24.988071236062254"/>
  </r>
  <r>
    <s v="PROJETADO"/>
    <x v="2"/>
    <x v="3"/>
    <x v="7"/>
    <x v="2"/>
    <x v="0"/>
    <x v="0"/>
    <x v="2"/>
    <x v="11"/>
    <n v="0"/>
    <n v="0"/>
    <n v="0.26900000000000002"/>
    <n v="0.26900000000000002"/>
    <n v="0.26900000000000002"/>
    <n v="0.26900000000000002"/>
    <n v="0"/>
    <x v="1"/>
    <n v="0"/>
    <n v="0"/>
    <n v="18"/>
    <n v="62"/>
    <n v="0"/>
    <n v="966.62"/>
    <n v="389.28"/>
    <m/>
    <n v="957.78112191865898"/>
    <n v="454.3285679284046"/>
    <n v="0"/>
    <n v="260.02078"/>
    <n v="104.71632"/>
    <n v="0"/>
    <n v="257.64312179611926"/>
    <n v="122.21438477274084"/>
  </r>
  <r>
    <s v="PROJETADO"/>
    <x v="2"/>
    <x v="3"/>
    <x v="7"/>
    <x v="2"/>
    <x v="0"/>
    <x v="0"/>
    <x v="2"/>
    <x v="11"/>
    <n v="0"/>
    <n v="0"/>
    <n v="-0.94799999999999995"/>
    <n v="-0.94799999999999995"/>
    <n v="-0.94799999999999995"/>
    <n v="-0.94799999999999995"/>
    <n v="0"/>
    <x v="1"/>
    <n v="0"/>
    <n v="0"/>
    <n v="18"/>
    <n v="62"/>
    <n v="0"/>
    <n v="966.62"/>
    <n v="389.28"/>
    <m/>
    <n v="957.78112191865898"/>
    <n v="454.3285679284046"/>
    <n v="0"/>
    <n v="-916.35575999999992"/>
    <n v="-369.03743999999995"/>
    <n v="0"/>
    <n v="-907.9765035788887"/>
    <n v="-430.70348239612753"/>
  </r>
  <r>
    <s v="PROJETADO"/>
    <x v="2"/>
    <x v="3"/>
    <x v="7"/>
    <x v="2"/>
    <x v="0"/>
    <x v="0"/>
    <x v="2"/>
    <x v="11"/>
    <n v="0"/>
    <n v="0"/>
    <n v="0.18099999999999999"/>
    <n v="0.18099999999999999"/>
    <n v="0.18099999999999999"/>
    <n v="0.18099999999999999"/>
    <n v="0"/>
    <x v="1"/>
    <n v="0"/>
    <n v="0"/>
    <n v="18"/>
    <n v="62"/>
    <n v="0"/>
    <n v="966.62"/>
    <n v="389.28"/>
    <m/>
    <n v="957.78112191865898"/>
    <n v="454.3285679284046"/>
    <n v="0"/>
    <n v="174.95821999999998"/>
    <n v="70.459679999999992"/>
    <n v="0"/>
    <n v="173.35838306727726"/>
    <n v="82.233470795041228"/>
  </r>
  <r>
    <s v="Regular"/>
    <x v="2"/>
    <x v="4"/>
    <x v="7"/>
    <x v="2"/>
    <x v="0"/>
    <x v="0"/>
    <x v="1"/>
    <x v="0"/>
    <n v="0"/>
    <n v="0"/>
    <n v="126656.876"/>
    <n v="126656.876"/>
    <n v="126656.876"/>
    <n v="126656.876"/>
    <n v="519289"/>
    <x v="1"/>
    <n v="0"/>
    <n v="0"/>
    <n v="13"/>
    <n v="58"/>
    <n v="0"/>
    <n v="450.19"/>
    <n v="243.3"/>
    <m/>
    <n v="375.70304033862055"/>
    <n v="297.20166373463735"/>
    <n v="0"/>
    <n v="57019659.006439999"/>
    <n v="30815617.930800002"/>
    <n v="0"/>
    <n v="47585373.392991662"/>
    <n v="37642634.270631664"/>
  </r>
  <r>
    <s v="Refaturamento - Regular"/>
    <x v="2"/>
    <x v="4"/>
    <x v="7"/>
    <x v="2"/>
    <x v="0"/>
    <x v="0"/>
    <x v="1"/>
    <x v="0"/>
    <n v="0"/>
    <n v="0"/>
    <n v="-3482.66"/>
    <n v="-3482.66"/>
    <n v="-3482.66"/>
    <n v="-3482.66"/>
    <n v="-808"/>
    <x v="1"/>
    <n v="0"/>
    <n v="0"/>
    <n v="13"/>
    <n v="58"/>
    <n v="0"/>
    <n v="450.19"/>
    <n v="243.3"/>
    <m/>
    <n v="375.70304033862055"/>
    <n v="297.20166373463735"/>
    <n v="0"/>
    <n v="-1567858.7053999999"/>
    <n v="-847331.17799999996"/>
    <n v="0"/>
    <n v="-1308445.9504657001"/>
    <n v="-1035052.346222072"/>
  </r>
  <r>
    <s v="Sistema Isolado - Regular"/>
    <x v="2"/>
    <x v="4"/>
    <x v="7"/>
    <x v="2"/>
    <x v="0"/>
    <x v="0"/>
    <x v="1"/>
    <x v="0"/>
    <n v="0"/>
    <n v="0"/>
    <n v="35463.578000000001"/>
    <n v="35463.578000000001"/>
    <n v="35463.578000000001"/>
    <n v="35463.578000000001"/>
    <n v="192226"/>
    <x v="1"/>
    <n v="0"/>
    <n v="0"/>
    <n v="13"/>
    <n v="58"/>
    <n v="0"/>
    <n v="450.19"/>
    <n v="243.3"/>
    <m/>
    <n v="375.70304033862055"/>
    <n v="297.20166373463735"/>
    <n v="0"/>
    <n v="15965348.179820001"/>
    <n v="8628288.5274"/>
    <n v="0"/>
    <n v="13323774.075885817"/>
    <n v="10539834.383583084"/>
  </r>
  <r>
    <s v="Sistema Isolado - Refaturamento"/>
    <x v="2"/>
    <x v="4"/>
    <x v="7"/>
    <x v="2"/>
    <x v="0"/>
    <x v="0"/>
    <x v="1"/>
    <x v="0"/>
    <n v="0"/>
    <n v="0"/>
    <n v="-191.04499999999999"/>
    <n v="-191.04499999999999"/>
    <n v="-191.04499999999999"/>
    <n v="-191.04499999999999"/>
    <n v="-184"/>
    <x v="1"/>
    <n v="0"/>
    <n v="0"/>
    <n v="13"/>
    <n v="58"/>
    <n v="0"/>
    <n v="450.19"/>
    <n v="243.3"/>
    <m/>
    <n v="375.70304033862055"/>
    <n v="297.20166373463735"/>
    <n v="0"/>
    <n v="-86006.548549999992"/>
    <n v="-46481.248500000002"/>
    <n v="0"/>
    <n v="-71776.187341491765"/>
    <n v="-56778.89184818379"/>
  </r>
  <r>
    <s v="Sistema de Compensação"/>
    <x v="2"/>
    <x v="4"/>
    <x v="7"/>
    <x v="2"/>
    <x v="0"/>
    <x v="0"/>
    <x v="1"/>
    <x v="0"/>
    <n v="0"/>
    <n v="0"/>
    <n v="1078.807"/>
    <n v="1078.807"/>
    <n v="1078.807"/>
    <n v="1078.807"/>
    <n v="1344"/>
    <x v="1"/>
    <n v="0"/>
    <n v="0"/>
    <n v="13"/>
    <n v="58"/>
    <n v="0"/>
    <n v="450.19"/>
    <n v="243.3"/>
    <m/>
    <n v="375.70304033862055"/>
    <n v="297.20166373463735"/>
    <n v="0"/>
    <n v="485668.12333000003"/>
    <n v="262473.74310000002"/>
    <n v="0"/>
    <n v="405311.06983858621"/>
    <n v="320623.23524857289"/>
  </r>
  <r>
    <s v="Sistema de Compensação"/>
    <x v="2"/>
    <x v="4"/>
    <x v="7"/>
    <x v="2"/>
    <x v="0"/>
    <x v="0"/>
    <x v="1"/>
    <x v="0"/>
    <n v="0"/>
    <n v="0"/>
    <n v="1.1519999999999999"/>
    <n v="1.1519999999999999"/>
    <n v="1.1519999999999999"/>
    <n v="1.1519999999999999"/>
    <n v="2"/>
    <x v="1"/>
    <n v="0"/>
    <n v="0"/>
    <n v="13"/>
    <n v="58"/>
    <n v="0"/>
    <n v="450.19"/>
    <n v="243.3"/>
    <m/>
    <n v="375.70304033862055"/>
    <n v="297.20166373463735"/>
    <n v="0"/>
    <n v="518.61887999999999"/>
    <n v="280.28159999999997"/>
    <n v="0"/>
    <n v="432.80990247009083"/>
    <n v="342.37631662230223"/>
  </r>
  <r>
    <s v="Regular"/>
    <x v="2"/>
    <x v="4"/>
    <x v="7"/>
    <x v="2"/>
    <x v="0"/>
    <x v="0"/>
    <x v="1"/>
    <x v="1"/>
    <n v="0"/>
    <n v="0"/>
    <n v="113730.001"/>
    <n v="113730.001"/>
    <n v="113730.001"/>
    <n v="113730.001"/>
    <n v="507085"/>
    <x v="1"/>
    <n v="0"/>
    <n v="0"/>
    <n v="13"/>
    <n v="58"/>
    <n v="0"/>
    <n v="450.19"/>
    <n v="243.3"/>
    <m/>
    <n v="375.70304033862055"/>
    <n v="297.20166373463735"/>
    <n v="0"/>
    <n v="51200109.150190003"/>
    <n v="27670509.243300002"/>
    <n v="0"/>
    <n v="42728707.153414354"/>
    <n v="33800745.51374197"/>
  </r>
  <r>
    <s v="Refaturamento - Regular"/>
    <x v="2"/>
    <x v="4"/>
    <x v="7"/>
    <x v="2"/>
    <x v="0"/>
    <x v="0"/>
    <x v="1"/>
    <x v="1"/>
    <n v="0"/>
    <n v="0"/>
    <n v="-3118.55"/>
    <n v="-3118.55"/>
    <n v="-3118.55"/>
    <n v="-3118.55"/>
    <n v="0"/>
    <x v="1"/>
    <n v="0"/>
    <n v="0"/>
    <n v="13"/>
    <n v="58"/>
    <n v="0"/>
    <n v="450.19"/>
    <n v="243.3"/>
    <m/>
    <n v="375.70304033862055"/>
    <n v="297.20166373463735"/>
    <n v="0"/>
    <n v="-1403940.0245000001"/>
    <n v="-758743.21500000008"/>
    <n v="0"/>
    <n v="-1171648.7164480053"/>
    <n v="-926838.24843965331"/>
  </r>
  <r>
    <s v="Sistema Isolado - Regular"/>
    <x v="2"/>
    <x v="4"/>
    <x v="7"/>
    <x v="2"/>
    <x v="0"/>
    <x v="0"/>
    <x v="1"/>
    <x v="1"/>
    <n v="0"/>
    <n v="0"/>
    <n v="33189.286999999997"/>
    <n v="33189.286999999997"/>
    <n v="33189.286999999997"/>
    <n v="33189.286999999997"/>
    <n v="184126"/>
    <x v="1"/>
    <n v="0"/>
    <n v="0"/>
    <n v="13"/>
    <n v="58"/>
    <n v="0"/>
    <n v="450.19"/>
    <n v="243.3"/>
    <m/>
    <n v="375.70304033862055"/>
    <n v="297.20166373463735"/>
    <n v="0"/>
    <n v="14941485.114529999"/>
    <n v="8074953.5270999996"/>
    <n v="0"/>
    <n v="12469316.032571053"/>
    <n v="9863911.3145663701"/>
  </r>
  <r>
    <s v="Sistema Isolado - Refaturamento"/>
    <x v="2"/>
    <x v="4"/>
    <x v="7"/>
    <x v="2"/>
    <x v="0"/>
    <x v="0"/>
    <x v="1"/>
    <x v="1"/>
    <n v="0"/>
    <n v="0"/>
    <n v="-546.63599999999997"/>
    <n v="-546.63599999999997"/>
    <n v="-546.63599999999997"/>
    <n v="-546.63599999999997"/>
    <n v="0"/>
    <x v="1"/>
    <n v="0"/>
    <n v="0"/>
    <n v="13"/>
    <n v="58"/>
    <n v="0"/>
    <n v="450.19"/>
    <n v="243.3"/>
    <m/>
    <n v="375.70304033862055"/>
    <n v="297.20166373463735"/>
    <n v="0"/>
    <n v="-246090.06083999999"/>
    <n v="-132996.53880000001"/>
    <n v="0"/>
    <n v="-205372.80715854219"/>
    <n v="-162461.1286572472"/>
  </r>
  <r>
    <s v="Sistema de Compensação"/>
    <x v="2"/>
    <x v="4"/>
    <x v="7"/>
    <x v="2"/>
    <x v="0"/>
    <x v="0"/>
    <x v="1"/>
    <x v="1"/>
    <n v="0"/>
    <n v="0"/>
    <n v="1095.4090000000001"/>
    <n v="1095.4090000000001"/>
    <n v="1095.4090000000001"/>
    <n v="1095.4090000000001"/>
    <n v="1470"/>
    <x v="1"/>
    <n v="0"/>
    <n v="0"/>
    <n v="13"/>
    <n v="58"/>
    <n v="0"/>
    <n v="450.19"/>
    <n v="243.3"/>
    <m/>
    <n v="375.70304033862055"/>
    <n v="297.20166373463735"/>
    <n v="0"/>
    <n v="493142.17771000002"/>
    <n v="266513.00970000005"/>
    <n v="0"/>
    <n v="411548.49171428801"/>
    <n v="325557.3772698954"/>
  </r>
  <r>
    <s v="Sistema de Compensação"/>
    <x v="2"/>
    <x v="4"/>
    <x v="7"/>
    <x v="2"/>
    <x v="0"/>
    <x v="0"/>
    <x v="1"/>
    <x v="1"/>
    <n v="0"/>
    <n v="0"/>
    <n v="-12.029"/>
    <n v="-12.029"/>
    <n v="-12.029"/>
    <n v="-12.029"/>
    <n v="0"/>
    <x v="1"/>
    <n v="0"/>
    <n v="0"/>
    <n v="13"/>
    <n v="58"/>
    <n v="0"/>
    <n v="450.19"/>
    <n v="243.3"/>
    <m/>
    <n v="375.70304033862055"/>
    <n v="297.20166373463735"/>
    <n v="0"/>
    <n v="-5415.3355099999999"/>
    <n v="-2926.6557000000003"/>
    <n v="0"/>
    <n v="-4519.3318722332669"/>
    <n v="-3575.0388130639526"/>
  </r>
  <r>
    <s v="Regular"/>
    <x v="2"/>
    <x v="4"/>
    <x v="7"/>
    <x v="2"/>
    <x v="0"/>
    <x v="0"/>
    <x v="1"/>
    <x v="2"/>
    <n v="0"/>
    <n v="0"/>
    <n v="104942.537"/>
    <n v="104942.537"/>
    <n v="104942.537"/>
    <n v="104942.537"/>
    <n v="505636"/>
    <x v="1"/>
    <n v="0"/>
    <n v="0"/>
    <n v="13"/>
    <n v="58"/>
    <n v="0"/>
    <n v="450.19"/>
    <n v="243.3"/>
    <m/>
    <n v="375.70304033862055"/>
    <n v="297.20166373463735"/>
    <n v="0"/>
    <n v="47244080.732029997"/>
    <n v="25532519.252100002"/>
    <n v="0"/>
    <n v="39427230.211748175"/>
    <n v="31189096.592933737"/>
  </r>
  <r>
    <s v="Refaturamento - Regular"/>
    <x v="2"/>
    <x v="4"/>
    <x v="7"/>
    <x v="2"/>
    <x v="0"/>
    <x v="0"/>
    <x v="1"/>
    <x v="2"/>
    <n v="0"/>
    <n v="0"/>
    <n v="-2255.3240000000001"/>
    <n v="-2255.3240000000001"/>
    <n v="-2255.3240000000001"/>
    <n v="-2255.3240000000001"/>
    <n v="0"/>
    <x v="1"/>
    <n v="0"/>
    <n v="0"/>
    <n v="13"/>
    <n v="58"/>
    <n v="0"/>
    <n v="450.19"/>
    <n v="243.3"/>
    <m/>
    <n v="375.70304033862055"/>
    <n v="297.20166373463735"/>
    <n v="0"/>
    <n v="-1015324.3115600001"/>
    <n v="-548720.32920000004"/>
    <n v="0"/>
    <n v="-847332.08374865912"/>
    <n v="-670286.04506065731"/>
  </r>
  <r>
    <s v="Sistema Isolado - Regular"/>
    <x v="2"/>
    <x v="4"/>
    <x v="7"/>
    <x v="2"/>
    <x v="0"/>
    <x v="0"/>
    <x v="1"/>
    <x v="2"/>
    <n v="0"/>
    <n v="0"/>
    <n v="29979.511999999999"/>
    <n v="29979.511999999999"/>
    <n v="29979.511999999999"/>
    <n v="29979.511999999999"/>
    <n v="182826"/>
    <x v="1"/>
    <n v="0"/>
    <n v="0"/>
    <n v="13"/>
    <n v="58"/>
    <n v="0"/>
    <n v="450.19"/>
    <n v="243.3"/>
    <m/>
    <n v="375.70304033862055"/>
    <n v="297.20166373463735"/>
    <n v="0"/>
    <n v="13496476.50728"/>
    <n v="7294015.2696000002"/>
    <n v="0"/>
    <n v="11263393.806268159"/>
    <n v="8909960.8443525247"/>
  </r>
  <r>
    <s v="Sistema Isolado - Refaturamento"/>
    <x v="2"/>
    <x v="4"/>
    <x v="7"/>
    <x v="2"/>
    <x v="0"/>
    <x v="0"/>
    <x v="1"/>
    <x v="2"/>
    <n v="0"/>
    <n v="0"/>
    <n v="-386.63200000000001"/>
    <n v="-386.63200000000001"/>
    <n v="-386.63200000000001"/>
    <n v="-386.63200000000001"/>
    <n v="0"/>
    <x v="1"/>
    <n v="0"/>
    <n v="0"/>
    <n v="13"/>
    <n v="58"/>
    <n v="0"/>
    <n v="450.19"/>
    <n v="243.3"/>
    <m/>
    <n v="375.70304033862055"/>
    <n v="297.20166373463735"/>
    <n v="0"/>
    <n v="-174057.86008000001"/>
    <n v="-94067.565600000002"/>
    <n v="0"/>
    <n v="-145258.81789220154"/>
    <n v="-114907.67365305031"/>
  </r>
  <r>
    <s v="Sistema de Compensação"/>
    <x v="2"/>
    <x v="4"/>
    <x v="7"/>
    <x v="2"/>
    <x v="0"/>
    <x v="0"/>
    <x v="1"/>
    <x v="2"/>
    <n v="0"/>
    <n v="0"/>
    <n v="1114.8"/>
    <n v="1114.8"/>
    <n v="1114.8"/>
    <n v="1114.8"/>
    <n v="1567"/>
    <x v="1"/>
    <n v="0"/>
    <n v="0"/>
    <n v="13"/>
    <n v="58"/>
    <n v="0"/>
    <n v="450.19"/>
    <n v="243.3"/>
    <m/>
    <n v="375.70304033862055"/>
    <n v="297.20166373463735"/>
    <n v="0"/>
    <n v="501871.81199999998"/>
    <n v="271230.84000000003"/>
    <n v="0"/>
    <n v="418833.74936949415"/>
    <n v="331320.41473137372"/>
  </r>
  <r>
    <s v="Sistema de Compensação"/>
    <x v="2"/>
    <x v="4"/>
    <x v="7"/>
    <x v="2"/>
    <x v="0"/>
    <x v="0"/>
    <x v="1"/>
    <x v="2"/>
    <n v="0"/>
    <n v="0"/>
    <n v="3.665"/>
    <n v="3.665"/>
    <n v="3.665"/>
    <n v="3.665"/>
    <n v="0"/>
    <x v="1"/>
    <n v="0"/>
    <n v="0"/>
    <n v="13"/>
    <n v="58"/>
    <n v="0"/>
    <n v="450.19"/>
    <n v="243.3"/>
    <m/>
    <n v="375.70304033862055"/>
    <n v="297.20166373463735"/>
    <n v="0"/>
    <n v="1649.9463499999999"/>
    <n v="891.69450000000006"/>
    <n v="0"/>
    <n v="1376.9516428410443"/>
    <n v="1089.2440975874458"/>
  </r>
  <r>
    <s v="Regular"/>
    <x v="2"/>
    <x v="4"/>
    <x v="7"/>
    <x v="2"/>
    <x v="0"/>
    <x v="0"/>
    <x v="1"/>
    <x v="3"/>
    <n v="0"/>
    <n v="0"/>
    <n v="93567.762000000002"/>
    <n v="93567.762000000002"/>
    <n v="93567.762000000002"/>
    <n v="93567.762000000002"/>
    <n v="506658"/>
    <x v="1"/>
    <n v="0"/>
    <n v="0"/>
    <n v="13"/>
    <n v="58"/>
    <n v="0"/>
    <n v="450.19"/>
    <n v="243.3"/>
    <m/>
    <n v="375.70304033862055"/>
    <n v="297.20166373463735"/>
    <n v="0"/>
    <n v="42123270.774779998"/>
    <n v="22765036.494600002"/>
    <n v="0"/>
    <n v="35153692.66108045"/>
    <n v="27808494.53832658"/>
  </r>
  <r>
    <s v="Refaturamento - Regular"/>
    <x v="2"/>
    <x v="4"/>
    <x v="7"/>
    <x v="2"/>
    <x v="0"/>
    <x v="0"/>
    <x v="1"/>
    <x v="3"/>
    <n v="0"/>
    <n v="0"/>
    <n v="-2871.9589999999998"/>
    <n v="-2871.9589999999998"/>
    <n v="-2871.9589999999998"/>
    <n v="-2871.9589999999998"/>
    <n v="0"/>
    <x v="1"/>
    <n v="0"/>
    <n v="0"/>
    <n v="13"/>
    <n v="58"/>
    <n v="0"/>
    <n v="450.19"/>
    <n v="243.3"/>
    <m/>
    <n v="375.70304033862055"/>
    <n v="297.20166373463735"/>
    <n v="0"/>
    <n v="-1292927.2222099998"/>
    <n v="-698747.62470000004"/>
    <n v="0"/>
    <n v="-1079003.7280278644"/>
    <n v="-853550.99297766527"/>
  </r>
  <r>
    <s v="Sistema Isolado - Regular"/>
    <x v="2"/>
    <x v="4"/>
    <x v="7"/>
    <x v="2"/>
    <x v="0"/>
    <x v="0"/>
    <x v="1"/>
    <x v="3"/>
    <n v="0"/>
    <n v="0"/>
    <n v="28753.172999999999"/>
    <n v="28753.172999999999"/>
    <n v="28753.172999999999"/>
    <n v="28753.172999999999"/>
    <n v="184016"/>
    <x v="1"/>
    <n v="0"/>
    <n v="0"/>
    <n v="13"/>
    <n v="58"/>
    <n v="0"/>
    <n v="450.19"/>
    <n v="243.3"/>
    <m/>
    <n v="375.70304033862055"/>
    <n v="297.20166373463735"/>
    <n v="0"/>
    <n v="12944390.95287"/>
    <n v="6995646.9908999996"/>
    <n v="0"/>
    <n v="10802654.515482334"/>
    <n v="8545490.8532498535"/>
  </r>
  <r>
    <s v="Sistema Isolado - Refaturamento"/>
    <x v="2"/>
    <x v="4"/>
    <x v="7"/>
    <x v="2"/>
    <x v="0"/>
    <x v="0"/>
    <x v="1"/>
    <x v="3"/>
    <n v="0"/>
    <n v="0"/>
    <n v="-322.67099999999999"/>
    <n v="-322.67099999999999"/>
    <n v="-322.67099999999999"/>
    <n v="-322.67099999999999"/>
    <n v="0"/>
    <x v="1"/>
    <n v="0"/>
    <n v="0"/>
    <n v="13"/>
    <n v="58"/>
    <n v="0"/>
    <n v="450.19"/>
    <n v="243.3"/>
    <m/>
    <n v="375.70304033862055"/>
    <n v="297.20166373463735"/>
    <n v="0"/>
    <n v="-145263.25748999999"/>
    <n v="-78505.854300000006"/>
    <n v="0"/>
    <n v="-121228.47572910303"/>
    <n v="-95898.358038919163"/>
  </r>
  <r>
    <s v="Sistema de Compensação"/>
    <x v="2"/>
    <x v="4"/>
    <x v="7"/>
    <x v="2"/>
    <x v="0"/>
    <x v="0"/>
    <x v="1"/>
    <x v="3"/>
    <n v="0"/>
    <n v="0"/>
    <n v="1019.0650000000001"/>
    <n v="1019.0650000000001"/>
    <n v="1019.0650000000001"/>
    <n v="1019.0650000000001"/>
    <n v="1645"/>
    <x v="1"/>
    <n v="0"/>
    <n v="0"/>
    <n v="13"/>
    <n v="58"/>
    <n v="0"/>
    <n v="450.19"/>
    <n v="243.3"/>
    <m/>
    <n v="375.70304033862055"/>
    <n v="297.20166373463735"/>
    <n v="0"/>
    <n v="458772.87235000002"/>
    <n v="247938.51450000002"/>
    <n v="0"/>
    <n v="382865.8188026764"/>
    <n v="302867.81345373823"/>
  </r>
  <r>
    <s v="Sistema de Compensação"/>
    <x v="2"/>
    <x v="4"/>
    <x v="7"/>
    <x v="2"/>
    <x v="0"/>
    <x v="0"/>
    <x v="1"/>
    <x v="3"/>
    <n v="0"/>
    <n v="0"/>
    <n v="-11.217000000000001"/>
    <n v="-11.217000000000001"/>
    <n v="-11.217000000000001"/>
    <n v="-11.217000000000001"/>
    <n v="0"/>
    <x v="1"/>
    <n v="0"/>
    <n v="0"/>
    <n v="13"/>
    <n v="58"/>
    <n v="0"/>
    <n v="450.19"/>
    <n v="243.3"/>
    <m/>
    <n v="375.70304033862055"/>
    <n v="297.20166373463735"/>
    <n v="0"/>
    <n v="-5049.7812300000005"/>
    <n v="-2729.0961000000002"/>
    <n v="0"/>
    <n v="-4214.2610034783065"/>
    <n v="-3333.7110621114275"/>
  </r>
  <r>
    <s v="Regular"/>
    <x v="2"/>
    <x v="4"/>
    <x v="7"/>
    <x v="2"/>
    <x v="0"/>
    <x v="0"/>
    <x v="1"/>
    <x v="4"/>
    <n v="0"/>
    <n v="0"/>
    <n v="99414.832999999999"/>
    <n v="99414.832999999999"/>
    <n v="99414.832999999999"/>
    <n v="99414.832999999999"/>
    <n v="505667"/>
    <x v="1"/>
    <n v="0"/>
    <n v="0"/>
    <n v="13"/>
    <n v="58"/>
    <n v="0"/>
    <n v="450.19"/>
    <n v="243.3"/>
    <m/>
    <n v="375.70304033862055"/>
    <n v="297.20166373463735"/>
    <n v="0"/>
    <n v="44755563.668269999"/>
    <n v="24187628.868900001"/>
    <n v="0"/>
    <n v="37350455.012856223"/>
    <n v="29546253.767501127"/>
  </r>
  <r>
    <s v="Refaturamento - Regular"/>
    <x v="2"/>
    <x v="4"/>
    <x v="7"/>
    <x v="2"/>
    <x v="0"/>
    <x v="0"/>
    <x v="1"/>
    <x v="4"/>
    <n v="0"/>
    <n v="0"/>
    <n v="-4094.1179999999999"/>
    <n v="-4094.1179999999999"/>
    <n v="-4094.1179999999999"/>
    <n v="-4094.1179999999999"/>
    <n v="0"/>
    <x v="1"/>
    <n v="0"/>
    <n v="0"/>
    <n v="13"/>
    <n v="58"/>
    <n v="0"/>
    <n v="450.19"/>
    <n v="243.3"/>
    <m/>
    <n v="375.70304033862055"/>
    <n v="297.20166373463735"/>
    <n v="0"/>
    <n v="-1843130.98242"/>
    <n v="-996098.9094"/>
    <n v="0"/>
    <n v="-1538172.5801050726"/>
    <n v="-1216778.6811259261"/>
  </r>
  <r>
    <s v="Sistema Isolado - Regular"/>
    <x v="2"/>
    <x v="4"/>
    <x v="7"/>
    <x v="2"/>
    <x v="0"/>
    <x v="0"/>
    <x v="1"/>
    <x v="4"/>
    <n v="0"/>
    <n v="0"/>
    <n v="28785.991000000002"/>
    <n v="28785.991000000002"/>
    <n v="28785.991000000002"/>
    <n v="28785.991000000002"/>
    <n v="182173"/>
    <x v="1"/>
    <n v="0"/>
    <n v="0"/>
    <n v="13"/>
    <n v="58"/>
    <n v="0"/>
    <n v="450.19"/>
    <n v="243.3"/>
    <m/>
    <n v="375.70304033862055"/>
    <n v="297.20166373463735"/>
    <n v="0"/>
    <n v="12959165.288290001"/>
    <n v="7003631.6103000008"/>
    <n v="0"/>
    <n v="10814984.337860169"/>
    <n v="8555244.4174502976"/>
  </r>
  <r>
    <s v="Sistema Isolado - Refaturamento"/>
    <x v="2"/>
    <x v="4"/>
    <x v="7"/>
    <x v="2"/>
    <x v="0"/>
    <x v="0"/>
    <x v="1"/>
    <x v="4"/>
    <n v="0"/>
    <n v="0"/>
    <n v="-541.96900000000005"/>
    <n v="-541.96900000000005"/>
    <n v="-541.96900000000005"/>
    <n v="-541.96900000000005"/>
    <n v="0"/>
    <x v="1"/>
    <n v="0"/>
    <n v="0"/>
    <n v="13"/>
    <n v="58"/>
    <n v="0"/>
    <n v="450.19"/>
    <n v="243.3"/>
    <m/>
    <n v="375.70304033862055"/>
    <n v="297.20166373463735"/>
    <n v="0"/>
    <n v="-243989.02411000003"/>
    <n v="-131861.0577"/>
    <n v="0"/>
    <n v="-203619.40106928186"/>
    <n v="-161074.08849259769"/>
  </r>
  <r>
    <s v="Sistema de Compensação"/>
    <x v="2"/>
    <x v="4"/>
    <x v="7"/>
    <x v="2"/>
    <x v="0"/>
    <x v="0"/>
    <x v="1"/>
    <x v="4"/>
    <n v="0"/>
    <n v="0"/>
    <n v="1227.422"/>
    <n v="1227.422"/>
    <n v="1227.422"/>
    <n v="1227.422"/>
    <n v="1796"/>
    <x v="1"/>
    <n v="0"/>
    <n v="0"/>
    <n v="13"/>
    <n v="58"/>
    <n v="0"/>
    <n v="450.19"/>
    <n v="243.3"/>
    <m/>
    <n v="375.70304033862055"/>
    <n v="297.20166373463735"/>
    <n v="0"/>
    <n v="552573.11017999996"/>
    <n v="298631.77260000003"/>
    <n v="0"/>
    <n v="461146.17717851035"/>
    <n v="364791.86050449603"/>
  </r>
  <r>
    <s v="Sistema de Compensação"/>
    <x v="2"/>
    <x v="4"/>
    <x v="7"/>
    <x v="2"/>
    <x v="0"/>
    <x v="0"/>
    <x v="1"/>
    <x v="4"/>
    <n v="0"/>
    <n v="0"/>
    <n v="-14.167999999999999"/>
    <n v="-14.167999999999999"/>
    <n v="-14.167999999999999"/>
    <n v="-14.167999999999999"/>
    <n v="0"/>
    <x v="1"/>
    <n v="0"/>
    <n v="0"/>
    <n v="13"/>
    <n v="58"/>
    <n v="0"/>
    <n v="450.19"/>
    <n v="243.3"/>
    <m/>
    <n v="375.70304033862055"/>
    <n v="297.20166373463735"/>
    <n v="0"/>
    <n v="-6378.2919199999997"/>
    <n v="-3447.0744"/>
    <n v="0"/>
    <n v="-5322.9606755175755"/>
    <n v="-4210.7531717923421"/>
  </r>
  <r>
    <s v="Regular"/>
    <x v="2"/>
    <x v="4"/>
    <x v="7"/>
    <x v="2"/>
    <x v="0"/>
    <x v="0"/>
    <x v="1"/>
    <x v="5"/>
    <n v="0"/>
    <n v="0"/>
    <n v="111375.70600000001"/>
    <n v="111375.70600000001"/>
    <n v="111375.70600000001"/>
    <n v="111375.70600000001"/>
    <n v="445462"/>
    <x v="1"/>
    <n v="0"/>
    <n v="0"/>
    <n v="13"/>
    <n v="58"/>
    <n v="0"/>
    <n v="450.19"/>
    <n v="243.3"/>
    <m/>
    <n v="375.70304033862055"/>
    <n v="297.20166373463735"/>
    <n v="0"/>
    <n v="50140229.084140003"/>
    <n v="27097709.269800004"/>
    <n v="0"/>
    <n v="41844191.364060342"/>
    <n v="33101045.122819833"/>
  </r>
  <r>
    <s v="Refaturamento - Regular"/>
    <x v="2"/>
    <x v="4"/>
    <x v="7"/>
    <x v="2"/>
    <x v="0"/>
    <x v="0"/>
    <x v="1"/>
    <x v="5"/>
    <n v="0"/>
    <n v="0"/>
    <n v="-3740.7179999999998"/>
    <n v="-3740.7179999999998"/>
    <n v="-3740.7179999999998"/>
    <n v="-3740.7179999999998"/>
    <n v="0"/>
    <x v="1"/>
    <n v="0"/>
    <n v="0"/>
    <n v="13"/>
    <n v="58"/>
    <n v="0"/>
    <n v="450.19"/>
    <n v="243.3"/>
    <m/>
    <n v="375.70304033862055"/>
    <n v="297.20166373463735"/>
    <n v="0"/>
    <n v="-1684033.8364199998"/>
    <n v="-910116.68940000003"/>
    <n v="0"/>
    <n v="-1405399.125649404"/>
    <n v="-1111747.6131621052"/>
  </r>
  <r>
    <s v="Sistema Isolado - Regular"/>
    <x v="2"/>
    <x v="4"/>
    <x v="7"/>
    <x v="2"/>
    <x v="0"/>
    <x v="0"/>
    <x v="1"/>
    <x v="5"/>
    <n v="0"/>
    <n v="0"/>
    <n v="31073.631000000001"/>
    <n v="31073.631000000001"/>
    <n v="31073.631000000001"/>
    <n v="31073.631000000001"/>
    <n v="174853"/>
    <x v="1"/>
    <n v="0"/>
    <n v="0"/>
    <n v="13"/>
    <n v="58"/>
    <n v="0"/>
    <n v="450.19"/>
    <n v="243.3"/>
    <m/>
    <n v="375.70304033862055"/>
    <n v="297.20166373463735"/>
    <n v="0"/>
    <n v="13989037.939890001"/>
    <n v="7560214.4223000007"/>
    <n v="0"/>
    <n v="11674457.64106041"/>
    <n v="9235134.8314762041"/>
  </r>
  <r>
    <s v="Sistema Isolado - Refaturamento"/>
    <x v="2"/>
    <x v="4"/>
    <x v="7"/>
    <x v="2"/>
    <x v="0"/>
    <x v="0"/>
    <x v="1"/>
    <x v="5"/>
    <n v="0"/>
    <n v="0"/>
    <n v="-285.50299999999999"/>
    <n v="-285.50299999999999"/>
    <n v="-285.50299999999999"/>
    <n v="-285.50299999999999"/>
    <n v="0"/>
    <x v="1"/>
    <n v="0"/>
    <n v="0"/>
    <n v="13"/>
    <n v="58"/>
    <n v="0"/>
    <n v="450.19"/>
    <n v="243.3"/>
    <m/>
    <n v="375.70304033862055"/>
    <n v="297.20166373463735"/>
    <n v="0"/>
    <n v="-128530.59556999999"/>
    <n v="-69462.8799"/>
    <n v="0"/>
    <n v="-107264.34512579718"/>
    <n v="-84851.96660123016"/>
  </r>
  <r>
    <s v="Sistema de Compensação"/>
    <x v="2"/>
    <x v="4"/>
    <x v="7"/>
    <x v="2"/>
    <x v="0"/>
    <x v="0"/>
    <x v="1"/>
    <x v="5"/>
    <n v="0"/>
    <n v="0"/>
    <n v="1566.3979999999999"/>
    <n v="1566.3979999999999"/>
    <n v="1566.3979999999999"/>
    <n v="1566.3979999999999"/>
    <n v="1998"/>
    <x v="1"/>
    <n v="0"/>
    <n v="0"/>
    <n v="13"/>
    <n v="58"/>
    <n v="0"/>
    <n v="450.19"/>
    <n v="243.3"/>
    <m/>
    <n v="375.70304033862055"/>
    <n v="297.20166373463735"/>
    <n v="0"/>
    <n v="705176.71561999992"/>
    <n v="381104.63339999999"/>
    <n v="0"/>
    <n v="588500.49098033458"/>
    <n v="465536.09167060844"/>
  </r>
  <r>
    <s v="Sistema de Compensação"/>
    <x v="2"/>
    <x v="4"/>
    <x v="7"/>
    <x v="2"/>
    <x v="0"/>
    <x v="0"/>
    <x v="1"/>
    <x v="5"/>
    <n v="0"/>
    <n v="0"/>
    <n v="-1.421"/>
    <n v="-1.421"/>
    <n v="-1.421"/>
    <n v="-1.421"/>
    <n v="0"/>
    <x v="1"/>
    <n v="0"/>
    <n v="0"/>
    <n v="13"/>
    <n v="58"/>
    <n v="0"/>
    <n v="450.19"/>
    <n v="243.3"/>
    <m/>
    <n v="375.70304033862055"/>
    <n v="297.20166373463735"/>
    <n v="0"/>
    <n v="-639.71999000000005"/>
    <n v="-345.72930000000002"/>
    <n v="0"/>
    <n v="-533.87402032117984"/>
    <n v="-422.32356416691971"/>
  </r>
  <r>
    <s v="Regular"/>
    <x v="2"/>
    <x v="4"/>
    <x v="7"/>
    <x v="2"/>
    <x v="0"/>
    <x v="0"/>
    <x v="1"/>
    <x v="6"/>
    <n v="0"/>
    <n v="0"/>
    <n v="111138.281"/>
    <n v="111138.281"/>
    <n v="111138.281"/>
    <n v="111138.281"/>
    <n v="446601"/>
    <x v="1"/>
    <n v="0"/>
    <n v="0"/>
    <n v="13"/>
    <n v="58"/>
    <n v="0"/>
    <n v="450.19"/>
    <n v="243.3"/>
    <m/>
    <n v="375.70304033862055"/>
    <n v="297.20166373463735"/>
    <n v="0"/>
    <n v="50033342.723389998"/>
    <n v="27039943.767300002"/>
    <n v="0"/>
    <n v="41754990.069707945"/>
    <n v="33030482.017807636"/>
  </r>
  <r>
    <s v="Refaturamento - Regular"/>
    <x v="2"/>
    <x v="4"/>
    <x v="7"/>
    <x v="2"/>
    <x v="0"/>
    <x v="0"/>
    <x v="1"/>
    <x v="6"/>
    <n v="0"/>
    <n v="0"/>
    <n v="-3407.97"/>
    <n v="-3407.97"/>
    <n v="-3407.97"/>
    <n v="-3407.97"/>
    <n v="0"/>
    <x v="1"/>
    <n v="0"/>
    <n v="0"/>
    <n v="13"/>
    <n v="58"/>
    <n v="0"/>
    <n v="450.19"/>
    <n v="243.3"/>
    <m/>
    <n v="375.70304033862055"/>
    <n v="297.20166373463735"/>
    <n v="0"/>
    <n v="-1534234.0142999999"/>
    <n v="-829159.10100000002"/>
    <n v="0"/>
    <n v="-1280384.6903828087"/>
    <n v="-1012854.353957732"/>
  </r>
  <r>
    <s v="Sistema Isolado - Regular"/>
    <x v="2"/>
    <x v="4"/>
    <x v="7"/>
    <x v="2"/>
    <x v="0"/>
    <x v="0"/>
    <x v="1"/>
    <x v="6"/>
    <n v="0"/>
    <n v="0"/>
    <n v="31084.111000000001"/>
    <n v="31084.111000000001"/>
    <n v="31084.111000000001"/>
    <n v="31084.111000000001"/>
    <n v="176492"/>
    <x v="1"/>
    <n v="0"/>
    <n v="0"/>
    <n v="13"/>
    <n v="58"/>
    <n v="0"/>
    <n v="450.19"/>
    <n v="243.3"/>
    <m/>
    <n v="375.70304033862055"/>
    <n v="297.20166373463735"/>
    <n v="0"/>
    <n v="13993755.931090001"/>
    <n v="7562764.2063000007"/>
    <n v="0"/>
    <n v="11678395.00892316"/>
    <n v="9238249.5049121417"/>
  </r>
  <r>
    <s v="Sistema Isolado - Refaturamento"/>
    <x v="2"/>
    <x v="4"/>
    <x v="7"/>
    <x v="2"/>
    <x v="0"/>
    <x v="0"/>
    <x v="1"/>
    <x v="6"/>
    <n v="0"/>
    <n v="0"/>
    <n v="-499.12"/>
    <n v="-499.12"/>
    <n v="-499.12"/>
    <n v="-499.12"/>
    <n v="0"/>
    <x v="1"/>
    <n v="0"/>
    <n v="0"/>
    <n v="13"/>
    <n v="58"/>
    <n v="0"/>
    <n v="450.19"/>
    <n v="243.3"/>
    <m/>
    <n v="375.70304033862055"/>
    <n v="297.20166373463735"/>
    <n v="0"/>
    <n v="-224698.8328"/>
    <n v="-121435.89600000001"/>
    <n v="0"/>
    <n v="-187520.9014938123"/>
    <n v="-148339.2944032322"/>
  </r>
  <r>
    <s v="Sistema de Compensação"/>
    <x v="2"/>
    <x v="4"/>
    <x v="7"/>
    <x v="2"/>
    <x v="0"/>
    <x v="0"/>
    <x v="1"/>
    <x v="6"/>
    <n v="0"/>
    <n v="0"/>
    <n v="1586.3230000000001"/>
    <n v="1586.3230000000001"/>
    <n v="1586.3230000000001"/>
    <n v="1586.3230000000001"/>
    <n v="2181"/>
    <x v="1"/>
    <n v="0"/>
    <n v="0"/>
    <n v="13"/>
    <n v="58"/>
    <n v="0"/>
    <n v="450.19"/>
    <n v="243.3"/>
    <m/>
    <n v="375.70304033862055"/>
    <n v="297.20166373463735"/>
    <n v="0"/>
    <n v="714146.75137000007"/>
    <n v="385952.38590000005"/>
    <n v="0"/>
    <n v="595986.37405908166"/>
    <n v="471457.83482052118"/>
  </r>
  <r>
    <s v="Sistema de Compensação"/>
    <x v="2"/>
    <x v="4"/>
    <x v="7"/>
    <x v="2"/>
    <x v="0"/>
    <x v="0"/>
    <x v="1"/>
    <x v="6"/>
    <n v="0"/>
    <n v="0"/>
    <n v="-19.84"/>
    <n v="-19.84"/>
    <n v="-19.84"/>
    <n v="-19.84"/>
    <n v="0"/>
    <x v="1"/>
    <n v="0"/>
    <n v="0"/>
    <n v="13"/>
    <n v="58"/>
    <n v="0"/>
    <n v="450.19"/>
    <n v="243.3"/>
    <m/>
    <n v="375.70304033862055"/>
    <n v="297.20166373463735"/>
    <n v="0"/>
    <n v="-8931.7695999999996"/>
    <n v="-4827.0720000000001"/>
    <n v="0"/>
    <n v="-7453.9483203182317"/>
    <n v="-5896.4810084952051"/>
  </r>
  <r>
    <s v="Regular"/>
    <x v="2"/>
    <x v="4"/>
    <x v="7"/>
    <x v="2"/>
    <x v="0"/>
    <x v="0"/>
    <x v="1"/>
    <x v="7"/>
    <n v="0"/>
    <n v="0"/>
    <n v="118555.575"/>
    <n v="118555.575"/>
    <n v="118555.575"/>
    <n v="118555.575"/>
    <n v="445937"/>
    <x v="1"/>
    <n v="0"/>
    <n v="0"/>
    <n v="13"/>
    <n v="58"/>
    <n v="0"/>
    <n v="450.19"/>
    <n v="243.3"/>
    <m/>
    <n v="375.70304033862055"/>
    <n v="297.20166373463735"/>
    <n v="0"/>
    <n v="53372534.309249997"/>
    <n v="28844571.397500001"/>
    <n v="0"/>
    <n v="44541689.976593353"/>
    <n v="35234914.135016575"/>
  </r>
  <r>
    <s v="Refaturamento - Regular"/>
    <x v="2"/>
    <x v="4"/>
    <x v="7"/>
    <x v="2"/>
    <x v="0"/>
    <x v="0"/>
    <x v="1"/>
    <x v="7"/>
    <n v="0"/>
    <n v="0"/>
    <n v="-3964.3440000000001"/>
    <n v="-3964.3440000000001"/>
    <n v="-3964.3440000000001"/>
    <n v="-3964.3440000000001"/>
    <n v="0"/>
    <x v="1"/>
    <n v="0"/>
    <n v="0"/>
    <n v="13"/>
    <n v="58"/>
    <n v="0"/>
    <n v="450.19"/>
    <n v="243.3"/>
    <m/>
    <n v="375.70304033862055"/>
    <n v="297.20166373463735"/>
    <n v="0"/>
    <n v="-1784708.0253600001"/>
    <n v="-964524.89520000003"/>
    <n v="0"/>
    <n v="-1489416.0937481683"/>
    <n v="-1178209.6324164271"/>
  </r>
  <r>
    <s v="Sistema Isolado - Regular"/>
    <x v="2"/>
    <x v="4"/>
    <x v="7"/>
    <x v="2"/>
    <x v="0"/>
    <x v="0"/>
    <x v="1"/>
    <x v="7"/>
    <n v="0"/>
    <n v="0"/>
    <n v="33036.377999999997"/>
    <n v="33036.377999999997"/>
    <n v="33036.377999999997"/>
    <n v="33036.377999999997"/>
    <n v="176259"/>
    <x v="1"/>
    <n v="0"/>
    <n v="0"/>
    <n v="13"/>
    <n v="58"/>
    <n v="0"/>
    <n v="450.19"/>
    <n v="243.3"/>
    <m/>
    <n v="375.70304033862055"/>
    <n v="297.20166373463735"/>
    <n v="0"/>
    <n v="14872647.011819998"/>
    <n v="8037750.7673999993"/>
    <n v="0"/>
    <n v="12411867.656375915"/>
    <n v="9818466.5053663701"/>
  </r>
  <r>
    <s v="Sistema Isolado - Refaturamento"/>
    <x v="2"/>
    <x v="4"/>
    <x v="7"/>
    <x v="2"/>
    <x v="0"/>
    <x v="0"/>
    <x v="1"/>
    <x v="7"/>
    <n v="0"/>
    <n v="0"/>
    <n v="-620.49199999999996"/>
    <n v="-620.49199999999996"/>
    <n v="-620.49199999999996"/>
    <n v="-620.49199999999996"/>
    <n v="0"/>
    <x v="1"/>
    <n v="0"/>
    <n v="0"/>
    <n v="13"/>
    <n v="58"/>
    <n v="0"/>
    <n v="450.19"/>
    <n v="243.3"/>
    <m/>
    <n v="375.70304033862055"/>
    <n v="297.20166373463735"/>
    <n v="0"/>
    <n v="-279339.29347999999"/>
    <n v="-150965.70360000001"/>
    <n v="0"/>
    <n v="-233120.73090579134"/>
    <n v="-184411.25473403258"/>
  </r>
  <r>
    <s v="Sistema de Compensação"/>
    <x v="2"/>
    <x v="4"/>
    <x v="7"/>
    <x v="2"/>
    <x v="0"/>
    <x v="0"/>
    <x v="1"/>
    <x v="7"/>
    <n v="0"/>
    <n v="0"/>
    <n v="1824.732"/>
    <n v="1824.732"/>
    <n v="1824.732"/>
    <n v="1824.732"/>
    <n v="2299"/>
    <x v="1"/>
    <n v="0"/>
    <n v="0"/>
    <n v="13"/>
    <n v="58"/>
    <n v="0"/>
    <n v="450.19"/>
    <n v="243.3"/>
    <m/>
    <n v="375.70304033862055"/>
    <n v="297.20166373463735"/>
    <n v="0"/>
    <n v="821476.09907999996"/>
    <n v="443957.29560000001"/>
    <n v="0"/>
    <n v="685557.36020317173"/>
    <n v="542313.38626983226"/>
  </r>
  <r>
    <s v="Sistema de Compensação"/>
    <x v="2"/>
    <x v="4"/>
    <x v="7"/>
    <x v="2"/>
    <x v="0"/>
    <x v="0"/>
    <x v="1"/>
    <x v="7"/>
    <n v="0"/>
    <n v="0"/>
    <n v="-5.93"/>
    <n v="-5.93"/>
    <n v="-5.93"/>
    <n v="-5.93"/>
    <n v="0"/>
    <x v="1"/>
    <n v="0"/>
    <n v="0"/>
    <n v="13"/>
    <n v="58"/>
    <n v="0"/>
    <n v="450.19"/>
    <n v="243.3"/>
    <m/>
    <n v="375.70304033862055"/>
    <n v="297.20166373463735"/>
    <n v="0"/>
    <n v="-2669.6266999999998"/>
    <n v="-1442.769"/>
    <n v="0"/>
    <n v="-2227.9190292080198"/>
    <n v="-1762.4058659463994"/>
  </r>
  <r>
    <s v="Regular"/>
    <x v="2"/>
    <x v="4"/>
    <x v="7"/>
    <x v="2"/>
    <x v="0"/>
    <x v="0"/>
    <x v="1"/>
    <x v="8"/>
    <n v="0"/>
    <n v="0"/>
    <n v="111651.641"/>
    <n v="111651.641"/>
    <n v="111651.641"/>
    <n v="111651.641"/>
    <n v="447391"/>
    <x v="1"/>
    <n v="0"/>
    <n v="0"/>
    <n v="13"/>
    <n v="58"/>
    <n v="0"/>
    <n v="450.19"/>
    <n v="243.3"/>
    <m/>
    <n v="375.70304033862055"/>
    <n v="297.20166373463735"/>
    <n v="0"/>
    <n v="50264452.26179"/>
    <n v="27164844.2553"/>
    <n v="0"/>
    <n v="41947860.98249618"/>
    <n v="33183053.463902451"/>
  </r>
  <r>
    <s v="Refaturamento - Regular"/>
    <x v="2"/>
    <x v="4"/>
    <x v="7"/>
    <x v="2"/>
    <x v="0"/>
    <x v="0"/>
    <x v="1"/>
    <x v="8"/>
    <n v="0"/>
    <n v="0"/>
    <n v="-2905.4259999999999"/>
    <n v="-2905.4259999999999"/>
    <n v="-2905.4259999999999"/>
    <n v="-2905.4259999999999"/>
    <n v="0"/>
    <x v="1"/>
    <n v="0"/>
    <n v="0"/>
    <n v="13"/>
    <n v="58"/>
    <n v="0"/>
    <n v="450.19"/>
    <n v="243.3"/>
    <m/>
    <n v="375.70304033862055"/>
    <n v="297.20166373463735"/>
    <n v="0"/>
    <n v="-1307993.7309399999"/>
    <n v="-706890.14580000006"/>
    <n v="0"/>
    <n v="-1091577.3816788769"/>
    <n v="-863497.44105787249"/>
  </r>
  <r>
    <s v="Sistema Isolado - Regular"/>
    <x v="2"/>
    <x v="4"/>
    <x v="7"/>
    <x v="2"/>
    <x v="0"/>
    <x v="0"/>
    <x v="1"/>
    <x v="8"/>
    <n v="0"/>
    <n v="0"/>
    <n v="30282.387999999999"/>
    <n v="30282.387999999999"/>
    <n v="30282.387999999999"/>
    <n v="30282.387999999999"/>
    <n v="176201"/>
    <x v="1"/>
    <n v="0"/>
    <n v="0"/>
    <n v="13"/>
    <n v="58"/>
    <n v="0"/>
    <n v="450.19"/>
    <n v="243.3"/>
    <m/>
    <n v="375.70304033862055"/>
    <n v="297.20166373463735"/>
    <n v="0"/>
    <n v="13632828.25372"/>
    <n v="7367705.0004000003"/>
    <n v="0"/>
    <n v="11377185.240313759"/>
    <n v="8999976.0954578165"/>
  </r>
  <r>
    <s v="Sistema Isolado - Refaturamento"/>
    <x v="2"/>
    <x v="4"/>
    <x v="7"/>
    <x v="2"/>
    <x v="0"/>
    <x v="0"/>
    <x v="1"/>
    <x v="8"/>
    <n v="0"/>
    <n v="0"/>
    <n v="-488.86700000000002"/>
    <n v="-488.86700000000002"/>
    <n v="-488.86700000000002"/>
    <n v="-488.86700000000002"/>
    <n v="0"/>
    <x v="1"/>
    <n v="0"/>
    <n v="0"/>
    <n v="13"/>
    <n v="58"/>
    <n v="0"/>
    <n v="450.19"/>
    <n v="243.3"/>
    <m/>
    <n v="375.70304033862055"/>
    <n v="297.20166373463735"/>
    <n v="0"/>
    <n v="-220083.03473000001"/>
    <n v="-118941.34110000001"/>
    <n v="0"/>
    <n v="-183668.81822122043"/>
    <n v="-145292.08574496096"/>
  </r>
  <r>
    <s v="Sistema de Compensação"/>
    <x v="2"/>
    <x v="4"/>
    <x v="7"/>
    <x v="2"/>
    <x v="0"/>
    <x v="0"/>
    <x v="1"/>
    <x v="8"/>
    <n v="0"/>
    <n v="0"/>
    <n v="1794.9590000000001"/>
    <n v="1794.9590000000001"/>
    <n v="1794.9590000000001"/>
    <n v="1794.9590000000001"/>
    <n v="2416"/>
    <x v="1"/>
    <n v="0"/>
    <n v="0"/>
    <n v="13"/>
    <n v="58"/>
    <n v="0"/>
    <n v="450.19"/>
    <n v="243.3"/>
    <m/>
    <n v="375.70304033862055"/>
    <n v="297.20166373463735"/>
    <n v="0"/>
    <n v="808072.59221000003"/>
    <n v="436713.52470000001"/>
    <n v="0"/>
    <n v="674371.55358317005"/>
    <n v="533464.80113546096"/>
  </r>
  <r>
    <s v="Sistema de Compensação"/>
    <x v="2"/>
    <x v="4"/>
    <x v="7"/>
    <x v="2"/>
    <x v="0"/>
    <x v="0"/>
    <x v="1"/>
    <x v="8"/>
    <n v="0"/>
    <n v="0"/>
    <n v="-0.43099999999999999"/>
    <n v="-0.43099999999999999"/>
    <n v="-0.43099999999999999"/>
    <n v="-0.43099999999999999"/>
    <n v="0"/>
    <x v="1"/>
    <n v="0"/>
    <n v="0"/>
    <n v="13"/>
    <n v="58"/>
    <n v="0"/>
    <n v="450.19"/>
    <n v="243.3"/>
    <m/>
    <n v="375.70304033862055"/>
    <n v="297.20166373463735"/>
    <n v="0"/>
    <n v="-194.03189"/>
    <n v="-104.8623"/>
    <n v="0"/>
    <n v="-161.92801038594547"/>
    <n v="-128.0939170696287"/>
  </r>
  <r>
    <s v="Regular"/>
    <x v="2"/>
    <x v="4"/>
    <x v="7"/>
    <x v="2"/>
    <x v="0"/>
    <x v="0"/>
    <x v="1"/>
    <x v="9"/>
    <n v="0"/>
    <n v="0"/>
    <n v="122773.12"/>
    <n v="122773.12"/>
    <n v="122773.12"/>
    <n v="122773.12"/>
    <n v="446597"/>
    <x v="1"/>
    <n v="0"/>
    <n v="0"/>
    <n v="13"/>
    <n v="58"/>
    <n v="0"/>
    <n v="450.19"/>
    <n v="243.3"/>
    <m/>
    <n v="375.70304033862055"/>
    <n v="297.20166373463735"/>
    <n v="0"/>
    <n v="55271230.892799996"/>
    <n v="29870700.096000001"/>
    <n v="0"/>
    <n v="46126234.455858298"/>
    <n v="36488375.52589228"/>
  </r>
  <r>
    <s v="Refaturamento - Regular"/>
    <x v="2"/>
    <x v="4"/>
    <x v="7"/>
    <x v="2"/>
    <x v="0"/>
    <x v="0"/>
    <x v="1"/>
    <x v="9"/>
    <n v="0"/>
    <n v="0"/>
    <n v="-3222.1439999999998"/>
    <n v="-3222.1439999999998"/>
    <n v="-3222.1439999999998"/>
    <n v="-3222.1439999999998"/>
    <n v="0"/>
    <x v="1"/>
    <n v="0"/>
    <n v="0"/>
    <n v="13"/>
    <n v="58"/>
    <n v="0"/>
    <n v="450.19"/>
    <n v="243.3"/>
    <m/>
    <n v="375.70304033862055"/>
    <n v="297.20166373463735"/>
    <n v="0"/>
    <n v="-1450577.0073599999"/>
    <n v="-783947.63520000002"/>
    <n v="0"/>
    <n v="-1210569.297208844"/>
    <n v="-957626.55759257928"/>
  </r>
  <r>
    <s v="Sistema Isolado - Regular"/>
    <x v="2"/>
    <x v="4"/>
    <x v="7"/>
    <x v="2"/>
    <x v="0"/>
    <x v="0"/>
    <x v="1"/>
    <x v="9"/>
    <n v="0"/>
    <n v="0"/>
    <n v="32647.045999999998"/>
    <n v="32647.045999999998"/>
    <n v="32647.045999999998"/>
    <n v="32647.045999999998"/>
    <n v="175316"/>
    <x v="1"/>
    <n v="0"/>
    <n v="0"/>
    <n v="13"/>
    <n v="58"/>
    <n v="0"/>
    <n v="450.19"/>
    <n v="243.3"/>
    <m/>
    <n v="375.70304033862055"/>
    <n v="297.20166373463735"/>
    <n v="0"/>
    <n v="14697373.638739999"/>
    <n v="7943026.2917999998"/>
    <n v="0"/>
    <n v="12265594.440274801"/>
    <n v="9702756.3872212376"/>
  </r>
  <r>
    <s v="Sistema Isolado - Refaturamento"/>
    <x v="2"/>
    <x v="4"/>
    <x v="7"/>
    <x v="2"/>
    <x v="0"/>
    <x v="0"/>
    <x v="1"/>
    <x v="9"/>
    <n v="0"/>
    <n v="0"/>
    <n v="-288.92599999999999"/>
    <n v="-288.92599999999999"/>
    <n v="-288.92599999999999"/>
    <n v="-288.92599999999999"/>
    <n v="0"/>
    <x v="1"/>
    <n v="0"/>
    <n v="0"/>
    <n v="13"/>
    <n v="58"/>
    <n v="0"/>
    <n v="450.19"/>
    <n v="243.3"/>
    <m/>
    <n v="375.70304033862055"/>
    <n v="297.20166373463735"/>
    <n v="0"/>
    <n v="-130071.59594"/>
    <n v="-70295.695800000001"/>
    <n v="0"/>
    <n v="-108550.37663287627"/>
    <n v="-85869.287896193826"/>
  </r>
  <r>
    <s v="Sistema de Compensação"/>
    <x v="2"/>
    <x v="4"/>
    <x v="7"/>
    <x v="2"/>
    <x v="0"/>
    <x v="0"/>
    <x v="1"/>
    <x v="9"/>
    <n v="0"/>
    <n v="0"/>
    <n v="2055.5010000000002"/>
    <n v="2055.5010000000002"/>
    <n v="2055.5010000000002"/>
    <n v="2055.5010000000002"/>
    <n v="2537"/>
    <x v="1"/>
    <n v="0"/>
    <n v="0"/>
    <n v="13"/>
    <n v="58"/>
    <n v="0"/>
    <n v="450.19"/>
    <n v="243.3"/>
    <m/>
    <n v="375.70304033862055"/>
    <n v="297.20166373463735"/>
    <n v="0"/>
    <n v="925365.99519000005"/>
    <n v="500103.39330000005"/>
    <n v="0"/>
    <n v="772257.97511907492"/>
    <n v="610898.31700821081"/>
  </r>
  <r>
    <s v="Sistema de Compensação"/>
    <x v="2"/>
    <x v="4"/>
    <x v="7"/>
    <x v="2"/>
    <x v="0"/>
    <x v="0"/>
    <x v="1"/>
    <x v="9"/>
    <n v="0"/>
    <n v="0"/>
    <n v="0.18099999999999999"/>
    <n v="0.18099999999999999"/>
    <n v="0.18099999999999999"/>
    <n v="0.18099999999999999"/>
    <n v="0"/>
    <x v="1"/>
    <n v="0"/>
    <n v="0"/>
    <n v="13"/>
    <n v="58"/>
    <n v="0"/>
    <n v="450.19"/>
    <n v="243.3"/>
    <m/>
    <n v="375.70304033862055"/>
    <n v="297.20166373463735"/>
    <n v="0"/>
    <n v="81.484389999999991"/>
    <n v="44.037300000000002"/>
    <n v="0"/>
    <n v="68.002250301290317"/>
    <n v="53.793501135969358"/>
  </r>
  <r>
    <s v="Regular"/>
    <x v="2"/>
    <x v="4"/>
    <x v="7"/>
    <x v="2"/>
    <x v="0"/>
    <x v="0"/>
    <x v="1"/>
    <x v="10"/>
    <n v="0"/>
    <n v="0"/>
    <n v="138145.65100000001"/>
    <n v="138145.65100000001"/>
    <n v="138145.65100000001"/>
    <n v="138145.65100000001"/>
    <n v="446293"/>
    <x v="1"/>
    <n v="0"/>
    <n v="0"/>
    <n v="13"/>
    <n v="58"/>
    <n v="0"/>
    <n v="450.19"/>
    <n v="243.3"/>
    <m/>
    <n v="375.70304033862055"/>
    <n v="297.20166373463735"/>
    <n v="0"/>
    <n v="62191790.623690002"/>
    <n v="33610836.888300002"/>
    <n v="0"/>
    <n v="51901741.090258002"/>
    <n v="41057117.314904571"/>
  </r>
  <r>
    <s v="Refaturamento - Regular"/>
    <x v="2"/>
    <x v="4"/>
    <x v="7"/>
    <x v="2"/>
    <x v="0"/>
    <x v="0"/>
    <x v="1"/>
    <x v="10"/>
    <n v="0"/>
    <n v="0"/>
    <n v="-4144.49"/>
    <n v="-4144.49"/>
    <n v="-4144.49"/>
    <n v="-4144.49"/>
    <n v="0"/>
    <x v="1"/>
    <n v="0"/>
    <n v="0"/>
    <n v="13"/>
    <n v="58"/>
    <n v="0"/>
    <n v="450.19"/>
    <n v="243.3"/>
    <m/>
    <n v="375.70304033862055"/>
    <n v="297.20166373463735"/>
    <n v="0"/>
    <n v="-1865807.9530999998"/>
    <n v="-1008354.417"/>
    <n v="0"/>
    <n v="-1557097.4936530094"/>
    <n v="-1231749.323331567"/>
  </r>
  <r>
    <s v="Sistema Isolado - Regular"/>
    <x v="2"/>
    <x v="4"/>
    <x v="7"/>
    <x v="2"/>
    <x v="0"/>
    <x v="0"/>
    <x v="1"/>
    <x v="10"/>
    <n v="0"/>
    <n v="0"/>
    <n v="35412.368000000002"/>
    <n v="35412.368000000002"/>
    <n v="35412.368000000002"/>
    <n v="35412.368000000002"/>
    <n v="174725"/>
    <x v="1"/>
    <n v="0"/>
    <n v="0"/>
    <n v="13"/>
    <n v="58"/>
    <n v="0"/>
    <n v="450.19"/>
    <n v="243.3"/>
    <m/>
    <n v="375.70304033862055"/>
    <n v="297.20166373463735"/>
    <n v="0"/>
    <n v="15942293.949920001"/>
    <n v="8615829.1344000008"/>
    <n v="0"/>
    <n v="13304534.323190076"/>
    <n v="10524614.686383232"/>
  </r>
  <r>
    <s v="Sistema Isolado - Refaturamento"/>
    <x v="2"/>
    <x v="4"/>
    <x v="7"/>
    <x v="2"/>
    <x v="0"/>
    <x v="0"/>
    <x v="1"/>
    <x v="10"/>
    <n v="0"/>
    <n v="0"/>
    <n v="-839.245"/>
    <n v="-839.245"/>
    <n v="-839.245"/>
    <n v="-839.245"/>
    <n v="0"/>
    <x v="1"/>
    <n v="0"/>
    <n v="0"/>
    <n v="13"/>
    <n v="58"/>
    <n v="0"/>
    <n v="450.19"/>
    <n v="243.3"/>
    <m/>
    <n v="375.70304033862055"/>
    <n v="297.20166373463735"/>
    <n v="0"/>
    <n v="-377819.70655"/>
    <n v="-204188.30850000001"/>
    <n v="0"/>
    <n v="-315306.89808898559"/>
    <n v="-249425.01028097572"/>
  </r>
  <r>
    <s v="Sistema de Compensação"/>
    <x v="2"/>
    <x v="4"/>
    <x v="7"/>
    <x v="2"/>
    <x v="0"/>
    <x v="0"/>
    <x v="1"/>
    <x v="10"/>
    <n v="0"/>
    <n v="0"/>
    <n v="2414.6350000000002"/>
    <n v="2414.6350000000002"/>
    <n v="2414.6350000000002"/>
    <n v="2414.6350000000002"/>
    <n v="2860"/>
    <x v="1"/>
    <n v="0"/>
    <n v="0"/>
    <n v="13"/>
    <n v="58"/>
    <n v="0"/>
    <n v="450.19"/>
    <n v="243.3"/>
    <m/>
    <n v="375.70304033862055"/>
    <n v="297.20166373463735"/>
    <n v="0"/>
    <n v="1087044.5306500001"/>
    <n v="587480.69550000003"/>
    <n v="0"/>
    <n v="907185.71080804511"/>
    <n v="717633.53931188607"/>
  </r>
  <r>
    <s v="Sistema de Compensação"/>
    <x v="2"/>
    <x v="4"/>
    <x v="7"/>
    <x v="2"/>
    <x v="0"/>
    <x v="0"/>
    <x v="1"/>
    <x v="10"/>
    <n v="0"/>
    <n v="0"/>
    <n v="-6.0940000000000003"/>
    <n v="-6.0940000000000003"/>
    <n v="-6.0940000000000003"/>
    <n v="-6.0940000000000003"/>
    <n v="0"/>
    <x v="1"/>
    <n v="0"/>
    <n v="0"/>
    <n v="13"/>
    <n v="58"/>
    <n v="0"/>
    <n v="450.19"/>
    <n v="243.3"/>
    <m/>
    <n v="375.70304033862055"/>
    <n v="297.20166373463735"/>
    <n v="0"/>
    <n v="-2743.45786"/>
    <n v="-1482.6702000000002"/>
    <n v="0"/>
    <n v="-2289.5343278235537"/>
    <n v="-1811.14693879888"/>
  </r>
  <r>
    <s v="PROJETADO"/>
    <x v="2"/>
    <x v="4"/>
    <x v="7"/>
    <x v="2"/>
    <x v="0"/>
    <x v="0"/>
    <x v="1"/>
    <x v="11"/>
    <n v="0"/>
    <n v="0"/>
    <n v="138145.65100000001"/>
    <n v="138145.65100000001"/>
    <n v="138145.65100000001"/>
    <n v="138145.65100000001"/>
    <n v="446293"/>
    <x v="1"/>
    <n v="0"/>
    <n v="0"/>
    <n v="13"/>
    <n v="58"/>
    <n v="0"/>
    <n v="450.19"/>
    <n v="243.3"/>
    <m/>
    <n v="375.70304033862055"/>
    <n v="297.20166373463735"/>
    <n v="0"/>
    <n v="62191790.623690002"/>
    <n v="33610836.888300002"/>
    <n v="0"/>
    <n v="51901741.090258002"/>
    <n v="41057117.314904571"/>
  </r>
  <r>
    <s v="PROJETADO"/>
    <x v="2"/>
    <x v="4"/>
    <x v="7"/>
    <x v="2"/>
    <x v="0"/>
    <x v="0"/>
    <x v="1"/>
    <x v="11"/>
    <n v="0"/>
    <n v="0"/>
    <n v="-4144.49"/>
    <n v="-4144.49"/>
    <n v="-4144.49"/>
    <n v="-4144.49"/>
    <n v="0"/>
    <x v="1"/>
    <n v="0"/>
    <n v="0"/>
    <n v="13"/>
    <n v="58"/>
    <n v="0"/>
    <n v="450.19"/>
    <n v="243.3"/>
    <m/>
    <n v="375.70304033862055"/>
    <n v="297.20166373463735"/>
    <n v="0"/>
    <n v="-1865807.9530999998"/>
    <n v="-1008354.417"/>
    <n v="0"/>
    <n v="-1557097.4936530094"/>
    <n v="-1231749.323331567"/>
  </r>
  <r>
    <s v="PROJETADO"/>
    <x v="2"/>
    <x v="4"/>
    <x v="7"/>
    <x v="2"/>
    <x v="0"/>
    <x v="0"/>
    <x v="1"/>
    <x v="11"/>
    <n v="0"/>
    <n v="0"/>
    <n v="35412.368000000002"/>
    <n v="35412.368000000002"/>
    <n v="35412.368000000002"/>
    <n v="35412.368000000002"/>
    <n v="174725"/>
    <x v="1"/>
    <n v="0"/>
    <n v="0"/>
    <n v="13"/>
    <n v="58"/>
    <n v="0"/>
    <n v="450.19"/>
    <n v="243.3"/>
    <m/>
    <n v="375.70304033862055"/>
    <n v="297.20166373463735"/>
    <n v="0"/>
    <n v="15942293.949920001"/>
    <n v="8615829.1344000008"/>
    <n v="0"/>
    <n v="13304534.323190076"/>
    <n v="10524614.686383232"/>
  </r>
  <r>
    <s v="PROJETADO"/>
    <x v="2"/>
    <x v="4"/>
    <x v="7"/>
    <x v="2"/>
    <x v="0"/>
    <x v="0"/>
    <x v="1"/>
    <x v="11"/>
    <n v="0"/>
    <n v="0"/>
    <n v="-839.245"/>
    <n v="-839.245"/>
    <n v="-839.245"/>
    <n v="-839.245"/>
    <n v="0"/>
    <x v="1"/>
    <n v="0"/>
    <n v="0"/>
    <n v="13"/>
    <n v="58"/>
    <n v="0"/>
    <n v="450.19"/>
    <n v="243.3"/>
    <m/>
    <n v="375.70304033862055"/>
    <n v="297.20166373463735"/>
    <n v="0"/>
    <n v="-377819.70655"/>
    <n v="-204188.30850000001"/>
    <n v="0"/>
    <n v="-315306.89808898559"/>
    <n v="-249425.01028097572"/>
  </r>
  <r>
    <s v="PROJETADO"/>
    <x v="2"/>
    <x v="4"/>
    <x v="7"/>
    <x v="2"/>
    <x v="0"/>
    <x v="0"/>
    <x v="1"/>
    <x v="11"/>
    <n v="0"/>
    <n v="0"/>
    <n v="2414.6350000000002"/>
    <n v="2414.6350000000002"/>
    <n v="2414.6350000000002"/>
    <n v="2414.6350000000002"/>
    <n v="2860"/>
    <x v="1"/>
    <n v="0"/>
    <n v="0"/>
    <n v="13"/>
    <n v="58"/>
    <n v="0"/>
    <n v="450.19"/>
    <n v="243.3"/>
    <m/>
    <n v="375.70304033862055"/>
    <n v="297.20166373463735"/>
    <n v="0"/>
    <n v="1087044.5306500001"/>
    <n v="587480.69550000003"/>
    <n v="0"/>
    <n v="907185.71080804511"/>
    <n v="717633.53931188607"/>
  </r>
  <r>
    <s v="PROJETADO"/>
    <x v="2"/>
    <x v="4"/>
    <x v="7"/>
    <x v="2"/>
    <x v="0"/>
    <x v="0"/>
    <x v="1"/>
    <x v="11"/>
    <n v="0"/>
    <n v="0"/>
    <n v="-6.0940000000000003"/>
    <n v="-6.0940000000000003"/>
    <n v="-6.0940000000000003"/>
    <n v="-6.0940000000000003"/>
    <n v="0"/>
    <x v="1"/>
    <n v="0"/>
    <n v="0"/>
    <n v="13"/>
    <n v="58"/>
    <n v="0"/>
    <n v="450.19"/>
    <n v="243.3"/>
    <m/>
    <n v="375.70304033862055"/>
    <n v="297.20166373463735"/>
    <n v="0"/>
    <n v="-2743.45786"/>
    <n v="-1482.6702000000002"/>
    <n v="0"/>
    <n v="-2289.5343278235537"/>
    <n v="-1811.14693879888"/>
  </r>
  <r>
    <s v="Regular"/>
    <x v="2"/>
    <x v="4"/>
    <x v="7"/>
    <x v="4"/>
    <x v="0"/>
    <x v="0"/>
    <x v="1"/>
    <x v="0"/>
    <n v="0"/>
    <n v="0"/>
    <n v="2276.748"/>
    <n v="2276.748"/>
    <n v="2276.748"/>
    <n v="2276.748"/>
    <n v="18863"/>
    <x v="1"/>
    <n v="0"/>
    <n v="0"/>
    <n v="9"/>
    <n v="59"/>
    <n v="0"/>
    <n v="147.13999999999999"/>
    <n v="85.16"/>
    <m/>
    <n v="115.22508190403593"/>
    <n v="104.02058230712306"/>
    <n v="0"/>
    <n v="335000.70071999996"/>
    <n v="193887.85967999999"/>
    <n v="0"/>
    <n v="262338.47477485001"/>
    <n v="236828.65272657783"/>
  </r>
  <r>
    <s v="Refaturamento - Regular"/>
    <x v="2"/>
    <x v="4"/>
    <x v="7"/>
    <x v="4"/>
    <x v="0"/>
    <x v="0"/>
    <x v="1"/>
    <x v="0"/>
    <n v="0"/>
    <n v="0"/>
    <n v="-4.38"/>
    <n v="-4.38"/>
    <n v="-4.38"/>
    <n v="-4.38"/>
    <n v="-250"/>
    <x v="1"/>
    <n v="0"/>
    <n v="0"/>
    <n v="9"/>
    <n v="59"/>
    <n v="0"/>
    <n v="147.13999999999999"/>
    <n v="85.16"/>
    <m/>
    <n v="115.22508190403593"/>
    <n v="104.02058230712306"/>
    <n v="0"/>
    <n v="-644.47319999999991"/>
    <n v="-373.00079999999997"/>
    <n v="0"/>
    <n v="-504.68585873967737"/>
    <n v="-455.61015050519899"/>
  </r>
  <r>
    <s v="Sistema Isolado - Regular"/>
    <x v="2"/>
    <x v="4"/>
    <x v="7"/>
    <x v="4"/>
    <x v="0"/>
    <x v="0"/>
    <x v="1"/>
    <x v="0"/>
    <n v="0"/>
    <n v="0"/>
    <n v="3594.8150000000001"/>
    <n v="3594.8150000000001"/>
    <n v="3594.8150000000001"/>
    <n v="3594.8150000000001"/>
    <n v="26606"/>
    <x v="1"/>
    <n v="0"/>
    <n v="0"/>
    <n v="9"/>
    <n v="59"/>
    <n v="0"/>
    <n v="147.13999999999999"/>
    <n v="85.16"/>
    <m/>
    <n v="115.22508190403593"/>
    <n v="104.02058230712306"/>
    <n v="0"/>
    <n v="528941.07909999997"/>
    <n v="306134.44539999997"/>
    <n v="0"/>
    <n v="414212.85280485696"/>
    <n v="373934.74958638061"/>
  </r>
  <r>
    <s v="Sistema Isolado - Refaturamento"/>
    <x v="2"/>
    <x v="4"/>
    <x v="7"/>
    <x v="4"/>
    <x v="0"/>
    <x v="0"/>
    <x v="1"/>
    <x v="0"/>
    <n v="0"/>
    <n v="0"/>
    <n v="-2.19"/>
    <n v="-2.19"/>
    <n v="-2.19"/>
    <n v="-2.19"/>
    <n v="-60"/>
    <x v="1"/>
    <n v="0"/>
    <n v="0"/>
    <n v="9"/>
    <n v="59"/>
    <n v="0"/>
    <n v="147.13999999999999"/>
    <n v="85.16"/>
    <m/>
    <n v="115.22508190403593"/>
    <n v="104.02058230712306"/>
    <n v="0"/>
    <n v="-322.23659999999995"/>
    <n v="-186.50039999999998"/>
    <n v="0"/>
    <n v="-252.34292936983869"/>
    <n v="-227.80507525259949"/>
  </r>
  <r>
    <s v="Regular"/>
    <x v="2"/>
    <x v="4"/>
    <x v="7"/>
    <x v="4"/>
    <x v="0"/>
    <x v="0"/>
    <x v="1"/>
    <x v="1"/>
    <n v="0"/>
    <n v="0"/>
    <n v="2562.5459999999998"/>
    <n v="2562.5459999999998"/>
    <n v="2562.5459999999998"/>
    <n v="2562.5459999999998"/>
    <n v="20260"/>
    <x v="1"/>
    <n v="0"/>
    <n v="0"/>
    <n v="9"/>
    <n v="59"/>
    <n v="0"/>
    <n v="147.13999999999999"/>
    <n v="85.16"/>
    <m/>
    <n v="115.22508190403593"/>
    <n v="104.02058230712306"/>
    <n v="0"/>
    <n v="377053.01843999996"/>
    <n v="218226.41735999996"/>
    <n v="0"/>
    <n v="295269.57273285964"/>
    <n v="266557.52710878896"/>
  </r>
  <r>
    <s v="Refaturamento - Regular"/>
    <x v="2"/>
    <x v="4"/>
    <x v="7"/>
    <x v="4"/>
    <x v="0"/>
    <x v="0"/>
    <x v="1"/>
    <x v="1"/>
    <n v="0"/>
    <n v="0"/>
    <n v="-4.28"/>
    <n v="-4.28"/>
    <n v="-4.28"/>
    <n v="-4.28"/>
    <n v="0"/>
    <x v="1"/>
    <n v="0"/>
    <n v="0"/>
    <n v="9"/>
    <n v="59"/>
    <n v="0"/>
    <n v="147.13999999999999"/>
    <n v="85.16"/>
    <m/>
    <n v="115.22508190403593"/>
    <n v="104.02058230712306"/>
    <n v="0"/>
    <n v="-629.75919999999996"/>
    <n v="-364.48480000000001"/>
    <n v="0"/>
    <n v="-493.16335054927384"/>
    <n v="-445.20809227448672"/>
  </r>
  <r>
    <s v="Sistema Isolado - Regular"/>
    <x v="2"/>
    <x v="4"/>
    <x v="7"/>
    <x v="4"/>
    <x v="0"/>
    <x v="0"/>
    <x v="1"/>
    <x v="1"/>
    <n v="0"/>
    <n v="0"/>
    <n v="3857.759"/>
    <n v="3857.759"/>
    <n v="3857.759"/>
    <n v="3857.759"/>
    <n v="27235"/>
    <x v="1"/>
    <n v="0"/>
    <n v="0"/>
    <n v="9"/>
    <n v="59"/>
    <n v="0"/>
    <n v="147.13999999999999"/>
    <n v="85.16"/>
    <m/>
    <n v="115.22508190403593"/>
    <n v="104.02058230712306"/>
    <n v="0"/>
    <n v="567630.65925999999"/>
    <n v="328526.75643999997"/>
    <n v="0"/>
    <n v="444510.59674103174"/>
    <n v="401286.33758054476"/>
  </r>
  <r>
    <s v="Sistema Isolado - Refaturamento"/>
    <x v="2"/>
    <x v="4"/>
    <x v="7"/>
    <x v="4"/>
    <x v="0"/>
    <x v="0"/>
    <x v="1"/>
    <x v="1"/>
    <n v="0"/>
    <n v="0"/>
    <n v="-2.1640000000000001"/>
    <n v="-2.1640000000000001"/>
    <n v="-2.1640000000000001"/>
    <n v="-2.1640000000000001"/>
    <n v="0"/>
    <x v="1"/>
    <n v="0"/>
    <n v="0"/>
    <n v="9"/>
    <n v="59"/>
    <n v="0"/>
    <n v="147.13999999999999"/>
    <n v="85.16"/>
    <m/>
    <n v="115.22508190403593"/>
    <n v="104.02058230712306"/>
    <n v="0"/>
    <n v="-318.41095999999999"/>
    <n v="-184.28623999999999"/>
    <n v="0"/>
    <n v="-249.34707724033376"/>
    <n v="-225.10054011261434"/>
  </r>
  <r>
    <s v="Regular"/>
    <x v="2"/>
    <x v="4"/>
    <x v="7"/>
    <x v="4"/>
    <x v="0"/>
    <x v="0"/>
    <x v="1"/>
    <x v="2"/>
    <n v="0"/>
    <n v="0"/>
    <n v="2622.2089999999998"/>
    <n v="2622.2089999999998"/>
    <n v="2622.2089999999998"/>
    <n v="2622.2089999999998"/>
    <n v="20589"/>
    <x v="1"/>
    <n v="0"/>
    <n v="0"/>
    <n v="9"/>
    <n v="59"/>
    <n v="0"/>
    <n v="147.13999999999999"/>
    <n v="85.16"/>
    <m/>
    <n v="115.22508190403593"/>
    <n v="104.02058230712306"/>
    <n v="0"/>
    <n v="385831.83225999994"/>
    <n v="223307.31843999997"/>
    <n v="0"/>
    <n v="302144.24679450016"/>
    <n v="272763.70711097884"/>
  </r>
  <r>
    <s v="Refaturamento - Regular"/>
    <x v="2"/>
    <x v="4"/>
    <x v="7"/>
    <x v="4"/>
    <x v="0"/>
    <x v="0"/>
    <x v="1"/>
    <x v="2"/>
    <n v="0"/>
    <n v="0"/>
    <n v="-4.1399999999999997"/>
    <n v="-4.1399999999999997"/>
    <n v="-4.1399999999999997"/>
    <n v="-4.1399999999999997"/>
    <n v="0"/>
    <x v="1"/>
    <n v="0"/>
    <n v="0"/>
    <n v="9"/>
    <n v="59"/>
    <n v="0"/>
    <n v="147.13999999999999"/>
    <n v="85.16"/>
    <m/>
    <n v="115.22508190403593"/>
    <n v="104.02058230712306"/>
    <n v="0"/>
    <n v="-609.15959999999984"/>
    <n v="-352.56239999999997"/>
    <n v="0"/>
    <n v="-477.0318390827087"/>
    <n v="-430.64521075148946"/>
  </r>
  <r>
    <s v="Sistema Isolado - Regular"/>
    <x v="2"/>
    <x v="4"/>
    <x v="7"/>
    <x v="4"/>
    <x v="0"/>
    <x v="0"/>
    <x v="1"/>
    <x v="2"/>
    <n v="0"/>
    <n v="0"/>
    <n v="3924.2339999999999"/>
    <n v="3924.2339999999999"/>
    <n v="3924.2339999999999"/>
    <n v="3924.2339999999999"/>
    <n v="28895"/>
    <x v="1"/>
    <n v="0"/>
    <n v="0"/>
    <n v="9"/>
    <n v="59"/>
    <n v="0"/>
    <n v="147.13999999999999"/>
    <n v="85.16"/>
    <m/>
    <n v="115.22508190403593"/>
    <n v="104.02058230712306"/>
    <n v="0"/>
    <n v="577411.79075999989"/>
    <n v="334187.76743999997"/>
    <n v="0"/>
    <n v="452170.18406060251"/>
    <n v="408201.10578941077"/>
  </r>
  <r>
    <s v="Sistema Isolado - Refaturamento"/>
    <x v="2"/>
    <x v="4"/>
    <x v="7"/>
    <x v="4"/>
    <x v="0"/>
    <x v="0"/>
    <x v="1"/>
    <x v="2"/>
    <n v="0"/>
    <n v="0"/>
    <n v="-0.42"/>
    <n v="-0.42"/>
    <n v="-0.42"/>
    <n v="-0.42"/>
    <n v="0"/>
    <x v="1"/>
    <n v="0"/>
    <n v="0"/>
    <n v="9"/>
    <n v="59"/>
    <n v="0"/>
    <n v="147.13999999999999"/>
    <n v="85.16"/>
    <m/>
    <n v="115.22508190403593"/>
    <n v="104.02058230712306"/>
    <n v="0"/>
    <n v="-61.798799999999993"/>
    <n v="-35.767199999999995"/>
    <n v="0"/>
    <n v="-48.39453439969509"/>
    <n v="-43.688644568991684"/>
  </r>
  <r>
    <s v="Sistema de Compensação"/>
    <x v="2"/>
    <x v="4"/>
    <x v="7"/>
    <x v="4"/>
    <x v="0"/>
    <x v="0"/>
    <x v="1"/>
    <x v="2"/>
    <n v="0"/>
    <n v="0"/>
    <n v="0.34699999999999998"/>
    <n v="0.34699999999999998"/>
    <n v="0.34699999999999998"/>
    <n v="0.34699999999999998"/>
    <n v="0"/>
    <x v="1"/>
    <n v="0"/>
    <n v="0"/>
    <n v="9"/>
    <n v="59"/>
    <n v="0"/>
    <n v="147.13999999999999"/>
    <n v="85.16"/>
    <m/>
    <n v="115.22508190403593"/>
    <n v="104.02058230712306"/>
    <n v="0"/>
    <n v="51.057579999999994"/>
    <n v="29.550519999999995"/>
    <n v="0"/>
    <n v="39.983103420700466"/>
    <n v="36.095142060571703"/>
  </r>
  <r>
    <s v="Sistema de Compensação"/>
    <x v="2"/>
    <x v="4"/>
    <x v="7"/>
    <x v="4"/>
    <x v="0"/>
    <x v="0"/>
    <x v="1"/>
    <x v="2"/>
    <n v="0"/>
    <n v="0"/>
    <n v="5.5010000000000003"/>
    <n v="5.5010000000000003"/>
    <n v="5.5010000000000003"/>
    <n v="5.5010000000000003"/>
    <n v="0"/>
    <x v="1"/>
    <n v="0"/>
    <n v="0"/>
    <n v="9"/>
    <n v="59"/>
    <n v="0"/>
    <n v="147.13999999999999"/>
    <n v="85.16"/>
    <m/>
    <n v="115.22508190403593"/>
    <n v="104.02058230712306"/>
    <n v="0"/>
    <n v="809.41714000000002"/>
    <n v="468.46516000000003"/>
    <n v="0"/>
    <n v="633.85317555410165"/>
    <n v="572.21722327148404"/>
  </r>
  <r>
    <s v="Regular"/>
    <x v="2"/>
    <x v="4"/>
    <x v="7"/>
    <x v="4"/>
    <x v="0"/>
    <x v="0"/>
    <x v="1"/>
    <x v="3"/>
    <n v="0"/>
    <n v="0"/>
    <n v="2622.5770000000002"/>
    <n v="2622.5770000000002"/>
    <n v="2622.5770000000002"/>
    <n v="2622.5770000000002"/>
    <n v="22606"/>
    <x v="1"/>
    <n v="0"/>
    <n v="0"/>
    <n v="9"/>
    <n v="59"/>
    <n v="0"/>
    <n v="147.13999999999999"/>
    <n v="85.16"/>
    <m/>
    <n v="115.22508190403593"/>
    <n v="104.02058230712306"/>
    <n v="0"/>
    <n v="385885.97977999999"/>
    <n v="223338.65732"/>
    <n v="0"/>
    <n v="302186.64962464088"/>
    <n v="272801.98668526788"/>
  </r>
  <r>
    <s v="Refaturamento - Regular"/>
    <x v="2"/>
    <x v="4"/>
    <x v="7"/>
    <x v="4"/>
    <x v="0"/>
    <x v="0"/>
    <x v="1"/>
    <x v="3"/>
    <n v="0"/>
    <n v="0"/>
    <n v="-2.1"/>
    <n v="-2.1"/>
    <n v="-2.1"/>
    <n v="-2.1"/>
    <n v="0"/>
    <x v="1"/>
    <n v="0"/>
    <n v="0"/>
    <n v="9"/>
    <n v="59"/>
    <n v="0"/>
    <n v="147.13999999999999"/>
    <n v="85.16"/>
    <m/>
    <n v="115.22508190403593"/>
    <n v="104.02058230712306"/>
    <n v="0"/>
    <n v="-308.99399999999997"/>
    <n v="-178.83600000000001"/>
    <n v="0"/>
    <n v="-241.97267199847548"/>
    <n v="-218.44322284495846"/>
  </r>
  <r>
    <s v="Sistema Isolado - Regular"/>
    <x v="2"/>
    <x v="4"/>
    <x v="7"/>
    <x v="4"/>
    <x v="0"/>
    <x v="0"/>
    <x v="1"/>
    <x v="3"/>
    <n v="0"/>
    <n v="0"/>
    <n v="3916.0709999999999"/>
    <n v="3916.0709999999999"/>
    <n v="3916.0709999999999"/>
    <n v="3916.0709999999999"/>
    <n v="30663"/>
    <x v="1"/>
    <n v="0"/>
    <n v="0"/>
    <n v="9"/>
    <n v="59"/>
    <n v="0"/>
    <n v="147.13999999999999"/>
    <n v="85.16"/>
    <m/>
    <n v="115.22508190403593"/>
    <n v="104.02058230712306"/>
    <n v="0"/>
    <n v="576210.68693999993"/>
    <n v="333492.60635999998"/>
    <n v="0"/>
    <n v="451229.60171701986"/>
    <n v="407351.98577603773"/>
  </r>
  <r>
    <s v="Sistema Isolado - Refaturamento"/>
    <x v="2"/>
    <x v="4"/>
    <x v="7"/>
    <x v="4"/>
    <x v="0"/>
    <x v="0"/>
    <x v="1"/>
    <x v="3"/>
    <n v="0"/>
    <n v="0"/>
    <n v="-8.1"/>
    <n v="-8.1"/>
    <n v="-8.1"/>
    <n v="-8.1"/>
    <n v="0"/>
    <x v="1"/>
    <n v="0"/>
    <n v="0"/>
    <n v="9"/>
    <n v="59"/>
    <n v="0"/>
    <n v="147.13999999999999"/>
    <n v="85.16"/>
    <m/>
    <n v="115.22508190403593"/>
    <n v="104.02058230712306"/>
    <n v="0"/>
    <n v="-1191.8339999999998"/>
    <n v="-689.79599999999994"/>
    <n v="0"/>
    <n v="-933.32316342269098"/>
    <n v="-842.56671668769673"/>
  </r>
  <r>
    <s v="Sistema de Compensação"/>
    <x v="2"/>
    <x v="4"/>
    <x v="7"/>
    <x v="4"/>
    <x v="0"/>
    <x v="0"/>
    <x v="1"/>
    <x v="3"/>
    <n v="0"/>
    <n v="0"/>
    <n v="0.90100000000000002"/>
    <n v="0.90100000000000002"/>
    <n v="0.90100000000000002"/>
    <n v="0.90100000000000002"/>
    <n v="0"/>
    <x v="1"/>
    <n v="0"/>
    <n v="0"/>
    <n v="9"/>
    <n v="59"/>
    <n v="0"/>
    <n v="147.13999999999999"/>
    <n v="85.16"/>
    <m/>
    <n v="115.22508190403593"/>
    <n v="104.02058230712306"/>
    <n v="0"/>
    <n v="132.57314"/>
    <n v="76.729159999999993"/>
    <n v="0"/>
    <n v="103.81779879553638"/>
    <n v="93.722544658717879"/>
  </r>
  <r>
    <s v="Regular"/>
    <x v="2"/>
    <x v="4"/>
    <x v="7"/>
    <x v="4"/>
    <x v="0"/>
    <x v="0"/>
    <x v="1"/>
    <x v="4"/>
    <n v="0"/>
    <n v="0"/>
    <n v="2672.9630000000002"/>
    <n v="2672.9630000000002"/>
    <n v="2672.9630000000002"/>
    <n v="2672.9630000000002"/>
    <n v="24819"/>
    <x v="1"/>
    <n v="0"/>
    <n v="0"/>
    <n v="9"/>
    <n v="59"/>
    <n v="0"/>
    <n v="147.13999999999999"/>
    <n v="85.16"/>
    <m/>
    <n v="115.22508190403593"/>
    <n v="104.02058230712306"/>
    <n v="0"/>
    <n v="393299.77581999998"/>
    <n v="227629.52908000001"/>
    <n v="0"/>
    <n v="307992.38060145761"/>
    <n v="278043.16774539463"/>
  </r>
  <r>
    <s v="Refaturamento - Regular"/>
    <x v="2"/>
    <x v="4"/>
    <x v="7"/>
    <x v="4"/>
    <x v="0"/>
    <x v="0"/>
    <x v="1"/>
    <x v="4"/>
    <n v="0"/>
    <n v="0"/>
    <n v="1.43"/>
    <n v="1.43"/>
    <n v="1.43"/>
    <n v="1.43"/>
    <n v="0"/>
    <x v="1"/>
    <n v="0"/>
    <n v="0"/>
    <n v="9"/>
    <n v="59"/>
    <n v="0"/>
    <n v="147.13999999999999"/>
    <n v="85.16"/>
    <m/>
    <n v="115.22508190403593"/>
    <n v="104.02058230712306"/>
    <n v="0"/>
    <n v="210.41019999999997"/>
    <n v="121.77879999999999"/>
    <n v="0"/>
    <n v="164.77186712277137"/>
    <n v="148.74943269918597"/>
  </r>
  <r>
    <s v="Sistema Isolado - Regular"/>
    <x v="2"/>
    <x v="4"/>
    <x v="7"/>
    <x v="4"/>
    <x v="0"/>
    <x v="0"/>
    <x v="1"/>
    <x v="4"/>
    <n v="0"/>
    <n v="0"/>
    <n v="3993.7"/>
    <n v="3993.7"/>
    <n v="3993.7"/>
    <n v="3993.7"/>
    <n v="31154"/>
    <x v="1"/>
    <n v="0"/>
    <n v="0"/>
    <n v="9"/>
    <n v="59"/>
    <n v="0"/>
    <n v="147.13999999999999"/>
    <n v="85.16"/>
    <m/>
    <n v="115.22508190403593"/>
    <n v="104.02058230712306"/>
    <n v="0"/>
    <n v="587633.01799999992"/>
    <n v="340103.49199999997"/>
    <n v="0"/>
    <n v="460174.40960014827"/>
    <n v="415426.99955995736"/>
  </r>
  <r>
    <s v="Sistema Isolado - Refaturamento"/>
    <x v="2"/>
    <x v="4"/>
    <x v="7"/>
    <x v="4"/>
    <x v="0"/>
    <x v="0"/>
    <x v="1"/>
    <x v="4"/>
    <n v="0"/>
    <n v="0"/>
    <n v="-2.88"/>
    <n v="-2.88"/>
    <n v="-2.88"/>
    <n v="-2.88"/>
    <n v="0"/>
    <x v="1"/>
    <n v="0"/>
    <n v="0"/>
    <n v="9"/>
    <n v="59"/>
    <n v="0"/>
    <n v="147.13999999999999"/>
    <n v="85.16"/>
    <m/>
    <n v="115.22508190403593"/>
    <n v="104.02058230712306"/>
    <n v="0"/>
    <n v="-423.76319999999993"/>
    <n v="-245.26079999999999"/>
    <n v="0"/>
    <n v="-331.84823588362349"/>
    <n v="-299.57927704451441"/>
  </r>
  <r>
    <s v="Sistema de Compensação"/>
    <x v="2"/>
    <x v="4"/>
    <x v="7"/>
    <x v="4"/>
    <x v="0"/>
    <x v="0"/>
    <x v="1"/>
    <x v="4"/>
    <n v="0"/>
    <n v="0"/>
    <n v="2.4940000000000002"/>
    <n v="2.4940000000000002"/>
    <n v="2.4940000000000002"/>
    <n v="2.4940000000000002"/>
    <n v="0"/>
    <x v="1"/>
    <n v="0"/>
    <n v="0"/>
    <n v="9"/>
    <n v="59"/>
    <n v="0"/>
    <n v="147.13999999999999"/>
    <n v="85.16"/>
    <m/>
    <n v="115.22508190403593"/>
    <n v="104.02058230712306"/>
    <n v="0"/>
    <n v="366.96715999999998"/>
    <n v="212.38904000000002"/>
    <n v="0"/>
    <n v="287.37135426866564"/>
    <n v="259.42733227396496"/>
  </r>
  <r>
    <s v="Regular"/>
    <x v="2"/>
    <x v="4"/>
    <x v="7"/>
    <x v="4"/>
    <x v="0"/>
    <x v="0"/>
    <x v="1"/>
    <x v="5"/>
    <n v="0"/>
    <n v="0"/>
    <n v="2029.4870000000001"/>
    <n v="2029.4870000000001"/>
    <n v="2029.4870000000001"/>
    <n v="2029.4870000000001"/>
    <n v="9497"/>
    <x v="1"/>
    <n v="0"/>
    <n v="0"/>
    <n v="9"/>
    <n v="59"/>
    <n v="0"/>
    <n v="147.13999999999999"/>
    <n v="85.16"/>
    <m/>
    <n v="115.22508190403593"/>
    <n v="104.02058230712306"/>
    <n v="0"/>
    <n v="298618.71717999998"/>
    <n v="172831.11292000001"/>
    <n v="0"/>
    <n v="233847.80579817618"/>
    <n v="211108.41952473627"/>
  </r>
  <r>
    <s v="Refaturamento - Regular"/>
    <x v="2"/>
    <x v="4"/>
    <x v="7"/>
    <x v="4"/>
    <x v="0"/>
    <x v="0"/>
    <x v="1"/>
    <x v="5"/>
    <n v="0"/>
    <n v="0"/>
    <n v="-5.43"/>
    <n v="-5.43"/>
    <n v="-5.43"/>
    <n v="-5.43"/>
    <n v="0"/>
    <x v="1"/>
    <n v="0"/>
    <n v="0"/>
    <n v="9"/>
    <n v="59"/>
    <n v="0"/>
    <n v="147.13999999999999"/>
    <n v="85.16"/>
    <m/>
    <n v="115.22508190403593"/>
    <n v="104.02058230712306"/>
    <n v="0"/>
    <n v="-798.97019999999986"/>
    <n v="-462.41879999999998"/>
    <n v="0"/>
    <n v="-625.6721947389151"/>
    <n v="-564.83176192767826"/>
  </r>
  <r>
    <s v="Sistema Isolado - Regular"/>
    <x v="2"/>
    <x v="4"/>
    <x v="7"/>
    <x v="4"/>
    <x v="0"/>
    <x v="0"/>
    <x v="1"/>
    <x v="5"/>
    <n v="0"/>
    <n v="0"/>
    <n v="3740.915"/>
    <n v="3740.915"/>
    <n v="3740.915"/>
    <n v="3740.915"/>
    <n v="23050"/>
    <x v="1"/>
    <n v="0"/>
    <n v="0"/>
    <n v="9"/>
    <n v="59"/>
    <n v="0"/>
    <n v="147.13999999999999"/>
    <n v="85.16"/>
    <m/>
    <n v="115.22508190403593"/>
    <n v="104.02058230712306"/>
    <n v="0"/>
    <n v="550438.23309999995"/>
    <n v="318576.32139999996"/>
    <n v="0"/>
    <n v="431047.23727103655"/>
    <n v="389132.15666145127"/>
  </r>
  <r>
    <s v="Sistema Isolado - Refaturamento"/>
    <x v="2"/>
    <x v="4"/>
    <x v="7"/>
    <x v="4"/>
    <x v="0"/>
    <x v="0"/>
    <x v="1"/>
    <x v="5"/>
    <n v="0"/>
    <n v="0"/>
    <n v="-1.62"/>
    <n v="-1.62"/>
    <n v="-1.62"/>
    <n v="-1.62"/>
    <n v="0"/>
    <x v="1"/>
    <n v="0"/>
    <n v="0"/>
    <n v="9"/>
    <n v="59"/>
    <n v="0"/>
    <n v="147.13999999999999"/>
    <n v="85.16"/>
    <m/>
    <n v="115.22508190403593"/>
    <n v="104.02058230712306"/>
    <n v="0"/>
    <n v="-238.36679999999998"/>
    <n v="-137.95920000000001"/>
    <n v="0"/>
    <n v="-186.66463268453822"/>
    <n v="-168.51334333753937"/>
  </r>
  <r>
    <s v="Sistema de Compensação"/>
    <x v="2"/>
    <x v="4"/>
    <x v="7"/>
    <x v="4"/>
    <x v="0"/>
    <x v="0"/>
    <x v="1"/>
    <x v="5"/>
    <n v="0"/>
    <n v="0"/>
    <n v="3.1480000000000001"/>
    <n v="3.1480000000000001"/>
    <n v="3.1480000000000001"/>
    <n v="3.1480000000000001"/>
    <n v="0"/>
    <x v="1"/>
    <n v="0"/>
    <n v="0"/>
    <n v="9"/>
    <n v="59"/>
    <n v="0"/>
    <n v="147.13999999999999"/>
    <n v="85.16"/>
    <m/>
    <n v="115.22508190403593"/>
    <n v="104.02058230712306"/>
    <n v="0"/>
    <n v="463.19671999999997"/>
    <n v="268.08368000000002"/>
    <n v="0"/>
    <n v="362.72855783390514"/>
    <n v="327.45679310282344"/>
  </r>
  <r>
    <s v="Regular"/>
    <x v="2"/>
    <x v="4"/>
    <x v="7"/>
    <x v="4"/>
    <x v="0"/>
    <x v="0"/>
    <x v="1"/>
    <x v="6"/>
    <n v="0"/>
    <n v="0"/>
    <n v="2030.798"/>
    <n v="2030.798"/>
    <n v="2030.798"/>
    <n v="2030.798"/>
    <n v="9462"/>
    <x v="1"/>
    <n v="0"/>
    <n v="0"/>
    <n v="9"/>
    <n v="59"/>
    <n v="0"/>
    <n v="147.13999999999999"/>
    <n v="85.16"/>
    <m/>
    <n v="115.22508190403593"/>
    <n v="104.02058230712306"/>
    <n v="0"/>
    <n v="298811.61771999998"/>
    <n v="172942.75767999998"/>
    <n v="0"/>
    <n v="233998.86588055236"/>
    <n v="211244.7905081409"/>
  </r>
  <r>
    <s v="Refaturamento - Regular"/>
    <x v="2"/>
    <x v="4"/>
    <x v="7"/>
    <x v="4"/>
    <x v="0"/>
    <x v="0"/>
    <x v="1"/>
    <x v="6"/>
    <n v="0"/>
    <n v="0"/>
    <n v="-1.98"/>
    <n v="-1.98"/>
    <n v="-1.98"/>
    <n v="-1.98"/>
    <n v="0"/>
    <x v="1"/>
    <n v="0"/>
    <n v="0"/>
    <n v="9"/>
    <n v="59"/>
    <n v="0"/>
    <n v="147.13999999999999"/>
    <n v="85.16"/>
    <m/>
    <n v="115.22508190403593"/>
    <n v="104.02058230712306"/>
    <n v="0"/>
    <n v="-291.3372"/>
    <n v="-168.61679999999998"/>
    <n v="0"/>
    <n v="-228.14566216999114"/>
    <n v="-205.96075296810366"/>
  </r>
  <r>
    <s v="Sistema Isolado - Regular"/>
    <x v="2"/>
    <x v="4"/>
    <x v="7"/>
    <x v="4"/>
    <x v="0"/>
    <x v="0"/>
    <x v="1"/>
    <x v="6"/>
    <n v="0"/>
    <n v="0"/>
    <n v="3735.4639999999999"/>
    <n v="3735.4639999999999"/>
    <n v="3735.4639999999999"/>
    <n v="3735.4639999999999"/>
    <n v="22748"/>
    <x v="1"/>
    <n v="0"/>
    <n v="0"/>
    <n v="9"/>
    <n v="59"/>
    <n v="0"/>
    <n v="147.13999999999999"/>
    <n v="85.16"/>
    <m/>
    <n v="115.22508190403593"/>
    <n v="104.02058230712306"/>
    <n v="0"/>
    <n v="549636.17296"/>
    <n v="318112.11423999997"/>
    <n v="0"/>
    <n v="430419.14534957765"/>
    <n v="388565.14046729513"/>
  </r>
  <r>
    <s v="Sistema Isolado - Refaturamento"/>
    <x v="2"/>
    <x v="4"/>
    <x v="7"/>
    <x v="4"/>
    <x v="0"/>
    <x v="0"/>
    <x v="1"/>
    <x v="6"/>
    <n v="0"/>
    <n v="0"/>
    <n v="-2.58"/>
    <n v="-2.58"/>
    <n v="-2.58"/>
    <n v="-2.58"/>
    <n v="0"/>
    <x v="1"/>
    <n v="0"/>
    <n v="0"/>
    <n v="9"/>
    <n v="59"/>
    <n v="0"/>
    <n v="147.13999999999999"/>
    <n v="85.16"/>
    <m/>
    <n v="115.22508190403593"/>
    <n v="104.02058230712306"/>
    <n v="0"/>
    <n v="-379.62119999999999"/>
    <n v="-219.71279999999999"/>
    <n v="0"/>
    <n v="-297.28071131241273"/>
    <n v="-268.37310235237749"/>
  </r>
  <r>
    <s v="Sistema de Compensação"/>
    <x v="2"/>
    <x v="4"/>
    <x v="7"/>
    <x v="4"/>
    <x v="0"/>
    <x v="0"/>
    <x v="1"/>
    <x v="6"/>
    <n v="0"/>
    <n v="0"/>
    <n v="2.9529999999999998"/>
    <n v="2.9529999999999998"/>
    <n v="2.9529999999999998"/>
    <n v="2.9529999999999998"/>
    <n v="0"/>
    <x v="1"/>
    <n v="0"/>
    <n v="0"/>
    <n v="9"/>
    <n v="59"/>
    <n v="0"/>
    <n v="147.13999999999999"/>
    <n v="85.16"/>
    <m/>
    <n v="115.22508190403593"/>
    <n v="104.02058230712306"/>
    <n v="0"/>
    <n v="434.50441999999993"/>
    <n v="251.47747999999999"/>
    <n v="0"/>
    <n v="340.25966686261808"/>
    <n v="307.1727795529344"/>
  </r>
  <r>
    <s v="Sistema de Compensação"/>
    <x v="2"/>
    <x v="4"/>
    <x v="7"/>
    <x v="4"/>
    <x v="0"/>
    <x v="0"/>
    <x v="1"/>
    <x v="6"/>
    <n v="0"/>
    <n v="0"/>
    <n v="0.219"/>
    <n v="0.219"/>
    <n v="0.219"/>
    <n v="0.219"/>
    <n v="0"/>
    <x v="1"/>
    <n v="0"/>
    <n v="0"/>
    <n v="9"/>
    <n v="59"/>
    <n v="0"/>
    <n v="147.13999999999999"/>
    <n v="85.16"/>
    <m/>
    <n v="115.22508190403593"/>
    <n v="104.02058230712306"/>
    <n v="0"/>
    <n v="32.223659999999995"/>
    <n v="18.650040000000001"/>
    <n v="0"/>
    <n v="25.23429293698387"/>
    <n v="22.780507525259949"/>
  </r>
  <r>
    <s v="Regular"/>
    <x v="2"/>
    <x v="4"/>
    <x v="7"/>
    <x v="4"/>
    <x v="0"/>
    <x v="0"/>
    <x v="1"/>
    <x v="7"/>
    <n v="0"/>
    <n v="0"/>
    <n v="2065.8119999999999"/>
    <n v="2065.8119999999999"/>
    <n v="2065.8119999999999"/>
    <n v="2065.8119999999999"/>
    <n v="9284"/>
    <x v="1"/>
    <n v="0"/>
    <n v="0"/>
    <n v="9"/>
    <n v="59"/>
    <n v="0"/>
    <n v="147.13999999999999"/>
    <n v="85.16"/>
    <m/>
    <n v="115.22508190403593"/>
    <n v="104.02058230712306"/>
    <n v="0"/>
    <n v="303963.57767999993"/>
    <n v="175924.54991999999"/>
    <n v="0"/>
    <n v="238033.35689834025"/>
    <n v="214886.9671770425"/>
  </r>
  <r>
    <s v="Refaturamento - Regular"/>
    <x v="2"/>
    <x v="4"/>
    <x v="7"/>
    <x v="4"/>
    <x v="0"/>
    <x v="0"/>
    <x v="1"/>
    <x v="7"/>
    <n v="0"/>
    <n v="0"/>
    <n v="-5.28"/>
    <n v="-5.28"/>
    <n v="-5.28"/>
    <n v="-5.28"/>
    <n v="0"/>
    <x v="1"/>
    <n v="0"/>
    <n v="0"/>
    <n v="9"/>
    <n v="59"/>
    <n v="0"/>
    <n v="147.13999999999999"/>
    <n v="85.16"/>
    <m/>
    <n v="115.22508190403593"/>
    <n v="104.02058230712306"/>
    <n v="0"/>
    <n v="-776.89919999999995"/>
    <n v="-449.64479999999998"/>
    <n v="0"/>
    <n v="-608.38843245330975"/>
    <n v="-549.22867458160977"/>
  </r>
  <r>
    <s v="Sistema Isolado - Regular"/>
    <x v="2"/>
    <x v="4"/>
    <x v="7"/>
    <x v="4"/>
    <x v="0"/>
    <x v="0"/>
    <x v="1"/>
    <x v="7"/>
    <n v="0"/>
    <n v="0"/>
    <n v="3767.37"/>
    <n v="3767.37"/>
    <n v="3767.37"/>
    <n v="3767.37"/>
    <n v="22725"/>
    <x v="1"/>
    <n v="0"/>
    <n v="0"/>
    <n v="9"/>
    <n v="59"/>
    <n v="0"/>
    <n v="147.13999999999999"/>
    <n v="85.16"/>
    <m/>
    <n v="115.22508190403593"/>
    <n v="104.02058230712306"/>
    <n v="0"/>
    <n v="554330.82179999992"/>
    <n v="320829.2292"/>
    <n v="0"/>
    <n v="434095.51681280782"/>
    <n v="391884.0211663862"/>
  </r>
  <r>
    <s v="Sistema Isolado - Refaturamento"/>
    <x v="2"/>
    <x v="4"/>
    <x v="7"/>
    <x v="4"/>
    <x v="0"/>
    <x v="0"/>
    <x v="1"/>
    <x v="7"/>
    <n v="0"/>
    <n v="0"/>
    <n v="-5.67"/>
    <n v="-5.67"/>
    <n v="-5.67"/>
    <n v="-5.67"/>
    <n v="0"/>
    <x v="1"/>
    <n v="0"/>
    <n v="0"/>
    <n v="9"/>
    <n v="59"/>
    <n v="0"/>
    <n v="147.13999999999999"/>
    <n v="85.16"/>
    <m/>
    <n v="115.22508190403593"/>
    <n v="104.02058230712306"/>
    <n v="0"/>
    <n v="-834.28379999999993"/>
    <n v="-482.85719999999998"/>
    <n v="0"/>
    <n v="-653.32621439588377"/>
    <n v="-589.79670168138773"/>
  </r>
  <r>
    <s v="Sistema de Compensação"/>
    <x v="2"/>
    <x v="4"/>
    <x v="7"/>
    <x v="4"/>
    <x v="0"/>
    <x v="0"/>
    <x v="1"/>
    <x v="7"/>
    <n v="0"/>
    <n v="0"/>
    <n v="3.6619999999999999"/>
    <n v="3.6619999999999999"/>
    <n v="3.6619999999999999"/>
    <n v="3.6619999999999999"/>
    <n v="0"/>
    <x v="1"/>
    <n v="0"/>
    <n v="0"/>
    <n v="9"/>
    <n v="59"/>
    <n v="0"/>
    <n v="147.13999999999999"/>
    <n v="85.16"/>
    <m/>
    <n v="115.22508190403593"/>
    <n v="104.02058230712306"/>
    <n v="0"/>
    <n v="538.8266799999999"/>
    <n v="311.85591999999997"/>
    <n v="0"/>
    <n v="421.95424993257956"/>
    <n v="380.92337240868466"/>
  </r>
  <r>
    <s v="Regular"/>
    <x v="2"/>
    <x v="4"/>
    <x v="7"/>
    <x v="4"/>
    <x v="0"/>
    <x v="0"/>
    <x v="1"/>
    <x v="8"/>
    <n v="0"/>
    <n v="0"/>
    <n v="2036.2950000000001"/>
    <n v="2036.2950000000001"/>
    <n v="2036.2950000000001"/>
    <n v="2036.2950000000001"/>
    <n v="9210"/>
    <x v="1"/>
    <n v="0"/>
    <n v="0"/>
    <n v="9"/>
    <n v="59"/>
    <n v="0"/>
    <n v="147.13999999999999"/>
    <n v="85.16"/>
    <m/>
    <n v="115.22508190403593"/>
    <n v="104.02058230712306"/>
    <n v="0"/>
    <n v="299620.44630000001"/>
    <n v="173410.88219999999"/>
    <n v="0"/>
    <n v="234632.25815577887"/>
    <n v="211816.59164908316"/>
  </r>
  <r>
    <s v="Refaturamento - Regular"/>
    <x v="2"/>
    <x v="4"/>
    <x v="7"/>
    <x v="4"/>
    <x v="0"/>
    <x v="0"/>
    <x v="1"/>
    <x v="8"/>
    <n v="0"/>
    <n v="0"/>
    <n v="-3.39"/>
    <n v="-3.39"/>
    <n v="-3.39"/>
    <n v="-3.39"/>
    <n v="0"/>
    <x v="1"/>
    <n v="0"/>
    <n v="0"/>
    <n v="9"/>
    <n v="59"/>
    <n v="0"/>
    <n v="147.13999999999999"/>
    <n v="85.16"/>
    <m/>
    <n v="115.22508190403593"/>
    <n v="104.02058230712306"/>
    <n v="0"/>
    <n v="-498.80459999999999"/>
    <n v="-288.69240000000002"/>
    <n v="0"/>
    <n v="-390.61302765468184"/>
    <n v="-352.62977402114723"/>
  </r>
  <r>
    <s v="Sistema Isolado - Regular"/>
    <x v="2"/>
    <x v="4"/>
    <x v="7"/>
    <x v="4"/>
    <x v="0"/>
    <x v="0"/>
    <x v="1"/>
    <x v="8"/>
    <n v="0"/>
    <n v="0"/>
    <n v="3764.8919999999998"/>
    <n v="3764.8919999999998"/>
    <n v="3764.8919999999998"/>
    <n v="3764.8919999999998"/>
    <n v="23385"/>
    <x v="1"/>
    <n v="0"/>
    <n v="0"/>
    <n v="9"/>
    <n v="59"/>
    <n v="0"/>
    <n v="147.13999999999999"/>
    <n v="85.16"/>
    <m/>
    <n v="115.22508190403593"/>
    <n v="104.02058230712306"/>
    <n v="0"/>
    <n v="553966.20887999993"/>
    <n v="320618.20272"/>
    <n v="0"/>
    <n v="433809.98905984964"/>
    <n v="391626.25816342916"/>
  </r>
  <r>
    <s v="Sistema Isolado - Refaturamento"/>
    <x v="2"/>
    <x v="4"/>
    <x v="7"/>
    <x v="4"/>
    <x v="0"/>
    <x v="0"/>
    <x v="1"/>
    <x v="8"/>
    <n v="0"/>
    <n v="0"/>
    <n v="-4.7699999999999996"/>
    <n v="-4.7699999999999996"/>
    <n v="-4.7699999999999996"/>
    <n v="-4.7699999999999996"/>
    <n v="0"/>
    <x v="1"/>
    <n v="0"/>
    <n v="0"/>
    <n v="9"/>
    <n v="59"/>
    <n v="0"/>
    <n v="147.13999999999999"/>
    <n v="85.16"/>
    <m/>
    <n v="115.22508190403593"/>
    <n v="104.02058230712306"/>
    <n v="0"/>
    <n v="-701.85779999999988"/>
    <n v="-406.21319999999997"/>
    <n v="0"/>
    <n v="-549.62364068225133"/>
    <n v="-496.17817760497695"/>
  </r>
  <r>
    <s v="Sistema de Compensação"/>
    <x v="2"/>
    <x v="4"/>
    <x v="7"/>
    <x v="4"/>
    <x v="0"/>
    <x v="0"/>
    <x v="1"/>
    <x v="8"/>
    <n v="0"/>
    <n v="0"/>
    <n v="4.5609999999999999"/>
    <n v="4.5609999999999999"/>
    <n v="4.5609999999999999"/>
    <n v="4.5609999999999999"/>
    <n v="0"/>
    <x v="1"/>
    <n v="0"/>
    <n v="0"/>
    <n v="9"/>
    <n v="59"/>
    <n v="0"/>
    <n v="147.13999999999999"/>
    <n v="85.16"/>
    <m/>
    <n v="115.22508190403593"/>
    <n v="104.02058230712306"/>
    <n v="0"/>
    <n v="671.10553999999991"/>
    <n v="388.41476"/>
    <n v="0"/>
    <n v="525.54159856430783"/>
    <n v="474.43787590278828"/>
  </r>
  <r>
    <s v="Regular"/>
    <x v="2"/>
    <x v="4"/>
    <x v="7"/>
    <x v="4"/>
    <x v="0"/>
    <x v="0"/>
    <x v="1"/>
    <x v="9"/>
    <n v="0"/>
    <n v="0"/>
    <n v="2062.5630000000001"/>
    <n v="2062.5630000000001"/>
    <n v="2062.5630000000001"/>
    <n v="2062.5630000000001"/>
    <n v="9059"/>
    <x v="1"/>
    <n v="0"/>
    <n v="0"/>
    <n v="9"/>
    <n v="59"/>
    <n v="0"/>
    <n v="147.13999999999999"/>
    <n v="85.16"/>
    <m/>
    <n v="115.22508190403593"/>
    <n v="104.02058230712306"/>
    <n v="0"/>
    <n v="303485.51981999999"/>
    <n v="175647.86507999999"/>
    <n v="0"/>
    <n v="237658.99060723407"/>
    <n v="214549.00430512667"/>
  </r>
  <r>
    <s v="Refaturamento - Regular"/>
    <x v="2"/>
    <x v="4"/>
    <x v="7"/>
    <x v="4"/>
    <x v="0"/>
    <x v="0"/>
    <x v="1"/>
    <x v="9"/>
    <n v="0"/>
    <n v="0"/>
    <n v="-7.1849999999999996"/>
    <n v="-7.1849999999999996"/>
    <n v="-7.1849999999999996"/>
    <n v="-7.1849999999999996"/>
    <n v="0"/>
    <x v="1"/>
    <n v="0"/>
    <n v="0"/>
    <n v="9"/>
    <n v="59"/>
    <n v="0"/>
    <n v="147.13999999999999"/>
    <n v="85.16"/>
    <m/>
    <n v="115.22508190403593"/>
    <n v="104.02058230712306"/>
    <n v="0"/>
    <n v="-1057.2008999999998"/>
    <n v="-611.87459999999999"/>
    <n v="0"/>
    <n v="-827.89221348049807"/>
    <n v="-747.38788387667921"/>
  </r>
  <r>
    <s v="Sistema Isolado - Regular"/>
    <x v="2"/>
    <x v="4"/>
    <x v="7"/>
    <x v="4"/>
    <x v="0"/>
    <x v="0"/>
    <x v="1"/>
    <x v="9"/>
    <n v="0"/>
    <n v="0"/>
    <n v="3759.9079999999999"/>
    <n v="3759.9079999999999"/>
    <n v="3759.9079999999999"/>
    <n v="3759.9079999999999"/>
    <n v="22639"/>
    <x v="1"/>
    <n v="0"/>
    <n v="0"/>
    <n v="9"/>
    <n v="59"/>
    <n v="0"/>
    <n v="147.13999999999999"/>
    <n v="85.16"/>
    <m/>
    <n v="115.22508190403593"/>
    <n v="104.02058230712306"/>
    <n v="0"/>
    <n v="553232.86311999988"/>
    <n v="320193.76527999999"/>
    <n v="0"/>
    <n v="433235.70725163992"/>
    <n v="391107.81958121044"/>
  </r>
  <r>
    <s v="Sistema Isolado - Refaturamento"/>
    <x v="2"/>
    <x v="4"/>
    <x v="7"/>
    <x v="4"/>
    <x v="0"/>
    <x v="0"/>
    <x v="1"/>
    <x v="9"/>
    <n v="0"/>
    <n v="0"/>
    <n v="-1.08"/>
    <n v="-1.08"/>
    <n v="-1.08"/>
    <n v="-1.08"/>
    <n v="0"/>
    <x v="1"/>
    <n v="0"/>
    <n v="0"/>
    <n v="9"/>
    <n v="59"/>
    <n v="0"/>
    <n v="147.13999999999999"/>
    <n v="85.16"/>
    <m/>
    <n v="115.22508190403593"/>
    <n v="104.02058230712306"/>
    <n v="0"/>
    <n v="-158.91120000000001"/>
    <n v="-91.972800000000007"/>
    <n v="0"/>
    <n v="-124.44308845635881"/>
    <n v="-112.34222889169291"/>
  </r>
  <r>
    <s v="Sistema de Compensação"/>
    <x v="2"/>
    <x v="4"/>
    <x v="7"/>
    <x v="4"/>
    <x v="0"/>
    <x v="0"/>
    <x v="1"/>
    <x v="9"/>
    <n v="0"/>
    <n v="0"/>
    <n v="5.7050000000000001"/>
    <n v="5.7050000000000001"/>
    <n v="5.7050000000000001"/>
    <n v="5.7050000000000001"/>
    <n v="0"/>
    <x v="1"/>
    <n v="0"/>
    <n v="0"/>
    <n v="9"/>
    <n v="59"/>
    <n v="0"/>
    <n v="147.13999999999999"/>
    <n v="85.16"/>
    <m/>
    <n v="115.22508190403593"/>
    <n v="104.02058230712306"/>
    <n v="0"/>
    <n v="839.43369999999993"/>
    <n v="485.83779999999996"/>
    <n v="0"/>
    <n v="657.359092262525"/>
    <n v="593.4374220621371"/>
  </r>
  <r>
    <s v="Regular"/>
    <x v="2"/>
    <x v="4"/>
    <x v="7"/>
    <x v="4"/>
    <x v="0"/>
    <x v="0"/>
    <x v="1"/>
    <x v="10"/>
    <n v="0"/>
    <n v="0"/>
    <n v="2064.8539999999998"/>
    <n v="2064.8539999999998"/>
    <n v="2064.8539999999998"/>
    <n v="2064.8539999999998"/>
    <n v="8983"/>
    <x v="1"/>
    <n v="0"/>
    <n v="0"/>
    <n v="9"/>
    <n v="59"/>
    <n v="0"/>
    <n v="147.13999999999999"/>
    <n v="85.16"/>
    <m/>
    <n v="115.22508190403593"/>
    <n v="104.02058230712306"/>
    <n v="0"/>
    <n v="303822.61755999993"/>
    <n v="175842.96663999997"/>
    <n v="0"/>
    <n v="237922.9712698762"/>
    <n v="214787.31545919226"/>
  </r>
  <r>
    <s v="Refaturamento - Regular"/>
    <x v="2"/>
    <x v="4"/>
    <x v="7"/>
    <x v="4"/>
    <x v="0"/>
    <x v="0"/>
    <x v="1"/>
    <x v="10"/>
    <n v="0"/>
    <n v="0"/>
    <n v="-11.55"/>
    <n v="-11.55"/>
    <n v="-11.55"/>
    <n v="-11.55"/>
    <n v="0"/>
    <x v="1"/>
    <n v="0"/>
    <n v="0"/>
    <n v="9"/>
    <n v="59"/>
    <n v="0"/>
    <n v="147.13999999999999"/>
    <n v="85.16"/>
    <m/>
    <n v="115.22508190403593"/>
    <n v="104.02058230712306"/>
    <n v="0"/>
    <n v="-1699.4669999999999"/>
    <n v="-983.59800000000007"/>
    <n v="0"/>
    <n v="-1330.8496959916151"/>
    <n v="-1201.4377256472715"/>
  </r>
  <r>
    <s v="Sistema Isolado - Regular"/>
    <x v="2"/>
    <x v="4"/>
    <x v="7"/>
    <x v="4"/>
    <x v="0"/>
    <x v="0"/>
    <x v="1"/>
    <x v="10"/>
    <n v="0"/>
    <n v="0"/>
    <n v="3774.047"/>
    <n v="3774.047"/>
    <n v="3774.047"/>
    <n v="3774.047"/>
    <n v="22362"/>
    <x v="1"/>
    <n v="0"/>
    <n v="0"/>
    <n v="9"/>
    <n v="59"/>
    <n v="0"/>
    <n v="147.13999999999999"/>
    <n v="85.16"/>
    <m/>
    <n v="115.22508190403593"/>
    <n v="104.02058230712306"/>
    <n v="0"/>
    <n v="555313.2755799999"/>
    <n v="321397.84252000001"/>
    <n v="0"/>
    <n v="434864.87468468113"/>
    <n v="392578.56659445091"/>
  </r>
  <r>
    <s v="Sistema Isolado - Refaturamento"/>
    <x v="2"/>
    <x v="4"/>
    <x v="7"/>
    <x v="4"/>
    <x v="0"/>
    <x v="0"/>
    <x v="1"/>
    <x v="10"/>
    <n v="0"/>
    <n v="0"/>
    <n v="-1.425"/>
    <n v="-1.425"/>
    <n v="-1.425"/>
    <n v="-1.425"/>
    <n v="0"/>
    <x v="1"/>
    <n v="0"/>
    <n v="0"/>
    <n v="9"/>
    <n v="59"/>
    <n v="0"/>
    <n v="147.13999999999999"/>
    <n v="85.16"/>
    <m/>
    <n v="115.22508190403593"/>
    <n v="104.02058230712306"/>
    <n v="0"/>
    <n v="-209.67449999999999"/>
    <n v="-121.35299999999999"/>
    <n v="0"/>
    <n v="-164.19574171325121"/>
    <n v="-148.22932978765036"/>
  </r>
  <r>
    <s v="Sistema de Compensação"/>
    <x v="2"/>
    <x v="4"/>
    <x v="7"/>
    <x v="4"/>
    <x v="0"/>
    <x v="0"/>
    <x v="1"/>
    <x v="10"/>
    <n v="0"/>
    <n v="0"/>
    <n v="5.8140000000000001"/>
    <n v="5.8140000000000001"/>
    <n v="5.8140000000000001"/>
    <n v="5.8140000000000001"/>
    <n v="0"/>
    <x v="1"/>
    <n v="0"/>
    <n v="0"/>
    <n v="9"/>
    <n v="59"/>
    <n v="0"/>
    <n v="147.13999999999999"/>
    <n v="85.16"/>
    <m/>
    <n v="115.22508190403593"/>
    <n v="104.02058230712306"/>
    <n v="0"/>
    <n v="855.47195999999997"/>
    <n v="495.12023999999997"/>
    <n v="0"/>
    <n v="669.91862619006497"/>
    <n v="604.77566553361351"/>
  </r>
  <r>
    <s v="PROJETADO"/>
    <x v="2"/>
    <x v="4"/>
    <x v="7"/>
    <x v="4"/>
    <x v="0"/>
    <x v="0"/>
    <x v="1"/>
    <x v="11"/>
    <n v="0"/>
    <n v="0"/>
    <n v="2064.8539999999998"/>
    <n v="2064.8539999999998"/>
    <n v="2064.8539999999998"/>
    <n v="2064.8539999999998"/>
    <n v="8983"/>
    <x v="1"/>
    <n v="0"/>
    <n v="0"/>
    <n v="9"/>
    <n v="59"/>
    <n v="0"/>
    <n v="147.13999999999999"/>
    <n v="85.16"/>
    <m/>
    <n v="115.22508190403593"/>
    <n v="104.02058230712306"/>
    <n v="0"/>
    <n v="303822.61755999993"/>
    <n v="175842.96663999997"/>
    <n v="0"/>
    <n v="237922.9712698762"/>
    <n v="214787.31545919226"/>
  </r>
  <r>
    <s v="PROJETADO"/>
    <x v="2"/>
    <x v="4"/>
    <x v="7"/>
    <x v="4"/>
    <x v="0"/>
    <x v="0"/>
    <x v="1"/>
    <x v="11"/>
    <n v="0"/>
    <n v="0"/>
    <n v="-11.55"/>
    <n v="-11.55"/>
    <n v="-11.55"/>
    <n v="-11.55"/>
    <n v="0"/>
    <x v="1"/>
    <n v="0"/>
    <n v="0"/>
    <n v="9"/>
    <n v="59"/>
    <n v="0"/>
    <n v="147.13999999999999"/>
    <n v="85.16"/>
    <m/>
    <n v="115.22508190403593"/>
    <n v="104.02058230712306"/>
    <n v="0"/>
    <n v="-1699.4669999999999"/>
    <n v="-983.59800000000007"/>
    <n v="0"/>
    <n v="-1330.8496959916151"/>
    <n v="-1201.4377256472715"/>
  </r>
  <r>
    <s v="PROJETADO"/>
    <x v="2"/>
    <x v="4"/>
    <x v="7"/>
    <x v="4"/>
    <x v="0"/>
    <x v="0"/>
    <x v="1"/>
    <x v="11"/>
    <n v="0"/>
    <n v="0"/>
    <n v="3774.047"/>
    <n v="3774.047"/>
    <n v="3774.047"/>
    <n v="3774.047"/>
    <n v="22362"/>
    <x v="1"/>
    <n v="0"/>
    <n v="0"/>
    <n v="9"/>
    <n v="59"/>
    <n v="0"/>
    <n v="147.13999999999999"/>
    <n v="85.16"/>
    <m/>
    <n v="115.22508190403593"/>
    <n v="104.02058230712306"/>
    <n v="0"/>
    <n v="555313.2755799999"/>
    <n v="321397.84252000001"/>
    <n v="0"/>
    <n v="434864.87468468113"/>
    <n v="392578.56659445091"/>
  </r>
  <r>
    <s v="PROJETADO"/>
    <x v="2"/>
    <x v="4"/>
    <x v="7"/>
    <x v="4"/>
    <x v="0"/>
    <x v="0"/>
    <x v="1"/>
    <x v="11"/>
    <n v="0"/>
    <n v="0"/>
    <n v="-1.425"/>
    <n v="-1.425"/>
    <n v="-1.425"/>
    <n v="-1.425"/>
    <n v="0"/>
    <x v="1"/>
    <n v="0"/>
    <n v="0"/>
    <n v="9"/>
    <n v="59"/>
    <n v="0"/>
    <n v="147.13999999999999"/>
    <n v="85.16"/>
    <m/>
    <n v="115.22508190403593"/>
    <n v="104.02058230712306"/>
    <n v="0"/>
    <n v="-209.67449999999999"/>
    <n v="-121.35299999999999"/>
    <n v="0"/>
    <n v="-164.19574171325121"/>
    <n v="-148.22932978765036"/>
  </r>
  <r>
    <s v="PROJETADO"/>
    <x v="2"/>
    <x v="4"/>
    <x v="7"/>
    <x v="4"/>
    <x v="0"/>
    <x v="0"/>
    <x v="1"/>
    <x v="11"/>
    <n v="0"/>
    <n v="0"/>
    <n v="5.8140000000000001"/>
    <n v="5.8140000000000001"/>
    <n v="5.8140000000000001"/>
    <n v="5.8140000000000001"/>
    <n v="0"/>
    <x v="1"/>
    <n v="0"/>
    <n v="0"/>
    <n v="9"/>
    <n v="59"/>
    <n v="0"/>
    <n v="147.13999999999999"/>
    <n v="85.16"/>
    <m/>
    <n v="115.22508190403593"/>
    <n v="104.02058230712306"/>
    <n v="0"/>
    <n v="855.47195999999997"/>
    <n v="495.12023999999997"/>
    <n v="0"/>
    <n v="669.91862619006497"/>
    <n v="604.77566553361351"/>
  </r>
  <r>
    <s v="Regular"/>
    <x v="2"/>
    <x v="4"/>
    <x v="7"/>
    <x v="5"/>
    <x v="0"/>
    <x v="0"/>
    <x v="1"/>
    <x v="0"/>
    <n v="0"/>
    <n v="0"/>
    <n v="3289.5"/>
    <n v="3289.5"/>
    <n v="3289.5"/>
    <n v="3289.5"/>
    <n v="19133"/>
    <x v="1"/>
    <n v="0"/>
    <n v="0"/>
    <n v="10"/>
    <n v="60"/>
    <n v="0"/>
    <n v="252.24"/>
    <n v="145.97999999999999"/>
    <m/>
    <n v="197.52871183549016"/>
    <n v="178.32099824078242"/>
    <n v="0"/>
    <n v="829743.48"/>
    <n v="480201.20999999996"/>
    <n v="0"/>
    <n v="649770.69758284488"/>
    <n v="586586.92371305381"/>
  </r>
  <r>
    <s v="Refaturamento - Regular"/>
    <x v="2"/>
    <x v="4"/>
    <x v="7"/>
    <x v="5"/>
    <x v="0"/>
    <x v="0"/>
    <x v="1"/>
    <x v="0"/>
    <n v="0"/>
    <n v="0"/>
    <n v="-4.3289999999999997"/>
    <n v="-4.3289999999999997"/>
    <n v="-4.3289999999999997"/>
    <n v="-4.3289999999999997"/>
    <n v="-41"/>
    <x v="1"/>
    <n v="0"/>
    <n v="0"/>
    <n v="10"/>
    <n v="60"/>
    <n v="0"/>
    <n v="252.24"/>
    <n v="145.97999999999999"/>
    <m/>
    <n v="197.52871183549016"/>
    <n v="178.32099824078242"/>
    <n v="0"/>
    <n v="-1091.94696"/>
    <n v="-631.94741999999997"/>
    <n v="0"/>
    <n v="-855.1017935358368"/>
    <n v="-771.95160138434699"/>
  </r>
  <r>
    <s v="Sistema Isolado - Regular"/>
    <x v="2"/>
    <x v="4"/>
    <x v="7"/>
    <x v="5"/>
    <x v="0"/>
    <x v="0"/>
    <x v="1"/>
    <x v="0"/>
    <n v="0"/>
    <n v="0"/>
    <n v="5666.1090000000004"/>
    <n v="5666.1090000000004"/>
    <n v="5666.1090000000004"/>
    <n v="5666.1090000000004"/>
    <n v="27981"/>
    <x v="1"/>
    <n v="0"/>
    <n v="0"/>
    <n v="10"/>
    <n v="60"/>
    <n v="0"/>
    <n v="252.24"/>
    <n v="145.97999999999999"/>
    <m/>
    <n v="197.52871183549016"/>
    <n v="178.32099824078242"/>
    <n v="0"/>
    <n v="1429219.3341600001"/>
    <n v="827138.59181999997"/>
    <n v="0"/>
    <n v="1119219.2118894774"/>
    <n v="1010386.2130210815"/>
  </r>
  <r>
    <s v="Sistema Isolado - Refaturamento"/>
    <x v="2"/>
    <x v="4"/>
    <x v="7"/>
    <x v="5"/>
    <x v="0"/>
    <x v="0"/>
    <x v="1"/>
    <x v="0"/>
    <n v="0"/>
    <n v="0"/>
    <n v="-4.7480000000000002"/>
    <n v="-4.7480000000000002"/>
    <n v="-4.7480000000000002"/>
    <n v="-4.7480000000000002"/>
    <n v="-20"/>
    <x v="1"/>
    <n v="0"/>
    <n v="0"/>
    <n v="10"/>
    <n v="60"/>
    <n v="0"/>
    <n v="252.24"/>
    <n v="145.97999999999999"/>
    <m/>
    <n v="197.52871183549016"/>
    <n v="178.32099824078242"/>
    <n v="0"/>
    <n v="-1197.63552"/>
    <n v="-693.11303999999996"/>
    <n v="0"/>
    <n v="-937.86632379490732"/>
    <n v="-846.66809964723495"/>
  </r>
  <r>
    <s v="Regular"/>
    <x v="2"/>
    <x v="4"/>
    <x v="7"/>
    <x v="5"/>
    <x v="0"/>
    <x v="0"/>
    <x v="1"/>
    <x v="1"/>
    <n v="0"/>
    <n v="0"/>
    <n v="3746.348"/>
    <n v="3746.348"/>
    <n v="3746.348"/>
    <n v="3746.348"/>
    <n v="22159"/>
    <x v="1"/>
    <n v="0"/>
    <n v="0"/>
    <n v="10"/>
    <n v="60"/>
    <n v="0"/>
    <n v="252.24"/>
    <n v="145.97999999999999"/>
    <m/>
    <n v="197.52871183549016"/>
    <n v="178.32099824078242"/>
    <n v="0"/>
    <n v="944978.81952000002"/>
    <n v="546891.88104000001"/>
    <n v="0"/>
    <n v="740011.2945274649"/>
    <n v="668052.51511735877"/>
  </r>
  <r>
    <s v="Refaturamento - Regular"/>
    <x v="2"/>
    <x v="4"/>
    <x v="7"/>
    <x v="5"/>
    <x v="0"/>
    <x v="0"/>
    <x v="1"/>
    <x v="1"/>
    <n v="0"/>
    <n v="0"/>
    <n v="-6.7919999999999998"/>
    <n v="-6.7919999999999998"/>
    <n v="-6.7919999999999998"/>
    <n v="-6.7919999999999998"/>
    <n v="0"/>
    <x v="1"/>
    <n v="0"/>
    <n v="0"/>
    <n v="10"/>
    <n v="60"/>
    <n v="0"/>
    <n v="252.24"/>
    <n v="145.97999999999999"/>
    <m/>
    <n v="197.52871183549016"/>
    <n v="178.32099824078242"/>
    <n v="0"/>
    <n v="-1713.21408"/>
    <n v="-991.49615999999992"/>
    <n v="0"/>
    <n v="-1341.615010786649"/>
    <n v="-1211.156220051394"/>
  </r>
  <r>
    <s v="Sistema Isolado - Regular"/>
    <x v="2"/>
    <x v="4"/>
    <x v="7"/>
    <x v="5"/>
    <x v="0"/>
    <x v="0"/>
    <x v="1"/>
    <x v="1"/>
    <n v="0"/>
    <n v="0"/>
    <n v="6120.3680000000004"/>
    <n v="6120.3680000000004"/>
    <n v="6120.3680000000004"/>
    <n v="6120.3680000000004"/>
    <n v="31615"/>
    <x v="1"/>
    <n v="0"/>
    <n v="0"/>
    <n v="10"/>
    <n v="60"/>
    <n v="0"/>
    <n v="252.24"/>
    <n v="145.97999999999999"/>
    <m/>
    <n v="197.52871183549016"/>
    <n v="178.32099824078242"/>
    <n v="0"/>
    <n v="1543801.6243200002"/>
    <n v="893451.32064000005"/>
    <n v="0"/>
    <n v="1208948.4069991552"/>
    <n v="1091390.1313609411"/>
  </r>
  <r>
    <s v="Sistema Isolado - Refaturamento"/>
    <x v="2"/>
    <x v="4"/>
    <x v="7"/>
    <x v="5"/>
    <x v="0"/>
    <x v="0"/>
    <x v="1"/>
    <x v="1"/>
    <n v="0"/>
    <n v="0"/>
    <n v="-6.5750000000000002"/>
    <n v="-6.5750000000000002"/>
    <n v="-6.5750000000000002"/>
    <n v="-6.5750000000000002"/>
    <n v="0"/>
    <x v="1"/>
    <n v="0"/>
    <n v="0"/>
    <n v="10"/>
    <n v="60"/>
    <n v="0"/>
    <n v="252.24"/>
    <n v="145.97999999999999"/>
    <m/>
    <n v="197.52871183549016"/>
    <n v="178.32099824078242"/>
    <n v="0"/>
    <n v="-1658.4780000000001"/>
    <n v="-959.81849999999997"/>
    <n v="0"/>
    <n v="-1298.7512803183479"/>
    <n v="-1172.4605634331444"/>
  </r>
  <r>
    <s v="Regular"/>
    <x v="2"/>
    <x v="4"/>
    <x v="7"/>
    <x v="5"/>
    <x v="0"/>
    <x v="0"/>
    <x v="1"/>
    <x v="2"/>
    <n v="0"/>
    <n v="0"/>
    <n v="3875.0279999999998"/>
    <n v="3875.0279999999998"/>
    <n v="3875.0279999999998"/>
    <n v="3875.0279999999998"/>
    <n v="21806"/>
    <x v="1"/>
    <n v="0"/>
    <n v="0"/>
    <n v="10"/>
    <n v="60"/>
    <n v="0"/>
    <n v="252.24"/>
    <n v="145.97999999999999"/>
    <m/>
    <n v="197.52871183549016"/>
    <n v="178.32099824078242"/>
    <n v="0"/>
    <n v="977437.06271999993"/>
    <n v="565676.58743999992"/>
    <n v="0"/>
    <n v="765429.28916645574"/>
    <n v="690998.86117098259"/>
  </r>
  <r>
    <s v="Refaturamento - Regular"/>
    <x v="2"/>
    <x v="4"/>
    <x v="7"/>
    <x v="5"/>
    <x v="0"/>
    <x v="0"/>
    <x v="1"/>
    <x v="2"/>
    <n v="0"/>
    <n v="0"/>
    <n v="-8.5250000000000004"/>
    <n v="-8.5250000000000004"/>
    <n v="-8.5250000000000004"/>
    <n v="-8.5250000000000004"/>
    <n v="0"/>
    <x v="1"/>
    <n v="0"/>
    <n v="0"/>
    <n v="10"/>
    <n v="60"/>
    <n v="0"/>
    <n v="252.24"/>
    <n v="145.97999999999999"/>
    <m/>
    <n v="197.52871183549016"/>
    <n v="178.32099824078242"/>
    <n v="0"/>
    <n v="-2150.346"/>
    <n v="-1244.4794999999999"/>
    <n v="0"/>
    <n v="-1683.9322683975536"/>
    <n v="-1520.18651000267"/>
  </r>
  <r>
    <s v="Sistema Isolado - Regular"/>
    <x v="2"/>
    <x v="4"/>
    <x v="7"/>
    <x v="5"/>
    <x v="0"/>
    <x v="0"/>
    <x v="1"/>
    <x v="2"/>
    <n v="0"/>
    <n v="0"/>
    <n v="6055.92"/>
    <n v="6055.92"/>
    <n v="6055.92"/>
    <n v="6055.92"/>
    <n v="34511"/>
    <x v="1"/>
    <n v="0"/>
    <n v="0"/>
    <n v="10"/>
    <n v="60"/>
    <n v="0"/>
    <n v="252.24"/>
    <n v="145.97999999999999"/>
    <m/>
    <n v="197.52871183549016"/>
    <n v="178.32099824078242"/>
    <n v="0"/>
    <n v="1527545.2608"/>
    <n v="884043.20159999991"/>
    <n v="0"/>
    <n v="1196218.0765787815"/>
    <n v="1079897.6996663189"/>
  </r>
  <r>
    <s v="Sistema Isolado - Refaturamento"/>
    <x v="2"/>
    <x v="4"/>
    <x v="7"/>
    <x v="5"/>
    <x v="0"/>
    <x v="0"/>
    <x v="1"/>
    <x v="2"/>
    <n v="0"/>
    <n v="0"/>
    <n v="-4.3979999999999997"/>
    <n v="-4.3979999999999997"/>
    <n v="-4.3979999999999997"/>
    <n v="-4.3979999999999997"/>
    <n v="0"/>
    <x v="1"/>
    <n v="0"/>
    <n v="0"/>
    <n v="10"/>
    <n v="60"/>
    <n v="0"/>
    <n v="252.24"/>
    <n v="145.97999999999999"/>
    <m/>
    <n v="197.52871183549016"/>
    <n v="178.32099824078242"/>
    <n v="0"/>
    <n v="-1109.3515199999999"/>
    <n v="-642.02003999999988"/>
    <n v="0"/>
    <n v="-868.73127465248569"/>
    <n v="-784.25575026296099"/>
  </r>
  <r>
    <s v="Sistema de Compensação"/>
    <x v="2"/>
    <x v="4"/>
    <x v="7"/>
    <x v="5"/>
    <x v="0"/>
    <x v="0"/>
    <x v="1"/>
    <x v="2"/>
    <n v="0"/>
    <n v="0"/>
    <n v="0.02"/>
    <n v="0.02"/>
    <n v="0.02"/>
    <n v="0.02"/>
    <n v="0"/>
    <x v="1"/>
    <n v="0"/>
    <n v="0"/>
    <n v="10"/>
    <n v="60"/>
    <n v="0"/>
    <n v="252.24"/>
    <n v="145.97999999999999"/>
    <m/>
    <n v="197.52871183549016"/>
    <n v="178.32099824078242"/>
    <n v="0"/>
    <n v="5.0448000000000004"/>
    <n v="2.9196"/>
    <n v="0"/>
    <n v="3.9505742367098033"/>
    <n v="3.5664199648156485"/>
  </r>
  <r>
    <s v="Sistema de Compensação"/>
    <x v="2"/>
    <x v="4"/>
    <x v="7"/>
    <x v="5"/>
    <x v="0"/>
    <x v="0"/>
    <x v="1"/>
    <x v="2"/>
    <n v="0"/>
    <n v="0"/>
    <n v="0.32700000000000001"/>
    <n v="0.32700000000000001"/>
    <n v="0.32700000000000001"/>
    <n v="0.32700000000000001"/>
    <n v="0"/>
    <x v="1"/>
    <n v="0"/>
    <n v="0"/>
    <n v="10"/>
    <n v="60"/>
    <n v="0"/>
    <n v="252.24"/>
    <n v="145.97999999999999"/>
    <m/>
    <n v="197.52871183549016"/>
    <n v="178.32099824078242"/>
    <n v="0"/>
    <n v="82.48248000000001"/>
    <n v="47.735459999999996"/>
    <n v="0"/>
    <n v="64.591888770205287"/>
    <n v="58.310966424735852"/>
  </r>
  <r>
    <s v="Regular"/>
    <x v="2"/>
    <x v="4"/>
    <x v="7"/>
    <x v="5"/>
    <x v="0"/>
    <x v="0"/>
    <x v="1"/>
    <x v="3"/>
    <n v="0"/>
    <n v="0"/>
    <n v="3629.8249999999998"/>
    <n v="3629.8249999999998"/>
    <n v="3629.8249999999998"/>
    <n v="3629.8249999999998"/>
    <n v="24844"/>
    <x v="1"/>
    <n v="0"/>
    <n v="0"/>
    <n v="10"/>
    <n v="60"/>
    <n v="0"/>
    <n v="252.24"/>
    <n v="145.97999999999999"/>
    <m/>
    <n v="197.52871183549016"/>
    <n v="178.32099824078242"/>
    <n v="0"/>
    <n v="915587.05799999996"/>
    <n v="529881.85349999997"/>
    <n v="0"/>
    <n v="716994.65643825801"/>
    <n v="647274.01743934804"/>
  </r>
  <r>
    <s v="Refaturamento - Regular"/>
    <x v="2"/>
    <x v="4"/>
    <x v="7"/>
    <x v="5"/>
    <x v="0"/>
    <x v="0"/>
    <x v="1"/>
    <x v="3"/>
    <n v="0"/>
    <n v="0"/>
    <n v="-5.8780000000000001"/>
    <n v="-5.8780000000000001"/>
    <n v="-5.8780000000000001"/>
    <n v="-5.8780000000000001"/>
    <n v="0"/>
    <x v="1"/>
    <n v="0"/>
    <n v="0"/>
    <n v="10"/>
    <n v="60"/>
    <n v="0"/>
    <n v="252.24"/>
    <n v="145.97999999999999"/>
    <m/>
    <n v="197.52871183549016"/>
    <n v="178.32099824078242"/>
    <n v="0"/>
    <n v="-1482.6667200000002"/>
    <n v="-858.07043999999996"/>
    <n v="0"/>
    <n v="-1161.0737681690111"/>
    <n v="-1048.170827659319"/>
  </r>
  <r>
    <s v="Sistema Isolado - Regular"/>
    <x v="2"/>
    <x v="4"/>
    <x v="7"/>
    <x v="5"/>
    <x v="0"/>
    <x v="0"/>
    <x v="1"/>
    <x v="3"/>
    <n v="0"/>
    <n v="0"/>
    <n v="5884.6030000000001"/>
    <n v="5884.6030000000001"/>
    <n v="5884.6030000000001"/>
    <n v="5884.6030000000001"/>
    <n v="35599"/>
    <x v="1"/>
    <n v="0"/>
    <n v="0"/>
    <n v="10"/>
    <n v="60"/>
    <n v="0"/>
    <n v="252.24"/>
    <n v="145.97999999999999"/>
    <m/>
    <n v="197.52871183549016"/>
    <n v="178.32099824078242"/>
    <n v="0"/>
    <n v="1484332.2607200001"/>
    <n v="859034.34593999991"/>
    <n v="0"/>
    <n v="1162378.0502532609"/>
    <n v="1049348.2812107028"/>
  </r>
  <r>
    <s v="Sistema Isolado - Refaturamento"/>
    <x v="2"/>
    <x v="4"/>
    <x v="7"/>
    <x v="5"/>
    <x v="0"/>
    <x v="0"/>
    <x v="1"/>
    <x v="3"/>
    <n v="0"/>
    <n v="0"/>
    <n v="-15.532999999999999"/>
    <n v="-15.532999999999999"/>
    <n v="-15.532999999999999"/>
    <n v="-15.532999999999999"/>
    <n v="0"/>
    <x v="1"/>
    <n v="0"/>
    <n v="0"/>
    <n v="10"/>
    <n v="60"/>
    <n v="0"/>
    <n v="252.24"/>
    <n v="145.97999999999999"/>
    <m/>
    <n v="197.52871183549016"/>
    <n v="178.32099824078242"/>
    <n v="0"/>
    <n v="-3918.0439200000001"/>
    <n v="-2267.5073399999997"/>
    <n v="0"/>
    <n v="-3068.2134809406684"/>
    <n v="-2769.8600656740732"/>
  </r>
  <r>
    <s v="Sistema de Compensação"/>
    <x v="2"/>
    <x v="4"/>
    <x v="7"/>
    <x v="5"/>
    <x v="0"/>
    <x v="0"/>
    <x v="1"/>
    <x v="3"/>
    <n v="0"/>
    <n v="0"/>
    <n v="0.11"/>
    <n v="0.11"/>
    <n v="0.11"/>
    <n v="0.11"/>
    <n v="0"/>
    <x v="1"/>
    <n v="0"/>
    <n v="0"/>
    <n v="10"/>
    <n v="60"/>
    <n v="0"/>
    <n v="252.24"/>
    <n v="145.97999999999999"/>
    <m/>
    <n v="197.52871183549016"/>
    <n v="178.32099824078242"/>
    <n v="0"/>
    <n v="27.746400000000001"/>
    <n v="16.0578"/>
    <n v="0"/>
    <n v="21.728158301903918"/>
    <n v="19.615309806486067"/>
  </r>
  <r>
    <s v="Regular"/>
    <x v="2"/>
    <x v="4"/>
    <x v="7"/>
    <x v="5"/>
    <x v="0"/>
    <x v="0"/>
    <x v="1"/>
    <x v="4"/>
    <n v="0"/>
    <n v="0"/>
    <n v="3651.268"/>
    <n v="3651.268"/>
    <n v="3651.268"/>
    <n v="3651.268"/>
    <n v="23187"/>
    <x v="1"/>
    <n v="0"/>
    <n v="0"/>
    <n v="10"/>
    <n v="60"/>
    <n v="0"/>
    <n v="252.24"/>
    <n v="145.97999999999999"/>
    <m/>
    <n v="197.52871183549016"/>
    <n v="178.32099824078242"/>
    <n v="0"/>
    <n v="920995.84032000008"/>
    <n v="533012.10263999994"/>
    <n v="0"/>
    <n v="721230.26460614649"/>
    <n v="651097.75460462517"/>
  </r>
  <r>
    <s v="Refaturamento - Regular"/>
    <x v="2"/>
    <x v="4"/>
    <x v="7"/>
    <x v="5"/>
    <x v="0"/>
    <x v="0"/>
    <x v="1"/>
    <x v="4"/>
    <n v="0"/>
    <n v="0"/>
    <n v="-28.635999999999999"/>
    <n v="-28.635999999999999"/>
    <n v="-28.635999999999999"/>
    <n v="-28.635999999999999"/>
    <n v="0"/>
    <x v="1"/>
    <n v="0"/>
    <n v="0"/>
    <n v="10"/>
    <n v="60"/>
    <n v="0"/>
    <n v="252.24"/>
    <n v="145.97999999999999"/>
    <m/>
    <n v="197.52871183549016"/>
    <n v="178.32099824078242"/>
    <n v="0"/>
    <n v="-7223.1446400000004"/>
    <n v="-4180.2832799999996"/>
    <n v="0"/>
    <n v="-5656.4321921210958"/>
    <n v="-5106.4001056230454"/>
  </r>
  <r>
    <s v="Sistema Isolado - Regular"/>
    <x v="2"/>
    <x v="4"/>
    <x v="7"/>
    <x v="5"/>
    <x v="0"/>
    <x v="0"/>
    <x v="1"/>
    <x v="4"/>
    <n v="0"/>
    <n v="0"/>
    <n v="6013.1149999999998"/>
    <n v="6013.1149999999998"/>
    <n v="6013.1149999999998"/>
    <n v="6013.1149999999998"/>
    <n v="36178"/>
    <x v="1"/>
    <n v="0"/>
    <n v="0"/>
    <n v="10"/>
    <n v="60"/>
    <n v="0"/>
    <n v="252.24"/>
    <n v="145.97999999999999"/>
    <m/>
    <n v="197.52871183549016"/>
    <n v="178.32099824078242"/>
    <n v="0"/>
    <n v="1516748.1276"/>
    <n v="877794.52769999986"/>
    <n v="0"/>
    <n v="1187762.8600686633"/>
    <n v="1072264.6693366223"/>
  </r>
  <r>
    <s v="Sistema Isolado - Refaturamento"/>
    <x v="2"/>
    <x v="4"/>
    <x v="7"/>
    <x v="5"/>
    <x v="0"/>
    <x v="0"/>
    <x v="1"/>
    <x v="4"/>
    <n v="0"/>
    <n v="0"/>
    <n v="-10.236000000000001"/>
    <n v="-10.236000000000001"/>
    <n v="-10.236000000000001"/>
    <n v="-10.236000000000001"/>
    <n v="0"/>
    <x v="1"/>
    <n v="0"/>
    <n v="0"/>
    <n v="10"/>
    <n v="60"/>
    <n v="0"/>
    <n v="252.24"/>
    <n v="145.97999999999999"/>
    <m/>
    <n v="197.52871183549016"/>
    <n v="178.32099824078242"/>
    <n v="0"/>
    <n v="-2581.9286400000001"/>
    <n v="-1494.25128"/>
    <n v="0"/>
    <n v="-2021.9038943480773"/>
    <n v="-1825.2937379926489"/>
  </r>
  <r>
    <s v="Sistema de Compensação"/>
    <x v="2"/>
    <x v="4"/>
    <x v="7"/>
    <x v="5"/>
    <x v="0"/>
    <x v="0"/>
    <x v="1"/>
    <x v="4"/>
    <n v="0"/>
    <n v="0"/>
    <n v="0.31"/>
    <n v="0.31"/>
    <n v="0.31"/>
    <n v="0.31"/>
    <n v="0"/>
    <x v="1"/>
    <n v="0"/>
    <n v="0"/>
    <n v="10"/>
    <n v="60"/>
    <n v="0"/>
    <n v="252.24"/>
    <n v="145.97999999999999"/>
    <m/>
    <n v="197.52871183549016"/>
    <n v="178.32099824078242"/>
    <n v="0"/>
    <n v="78.194400000000002"/>
    <n v="45.253799999999998"/>
    <n v="0"/>
    <n v="61.233900669001947"/>
    <n v="55.27950945464255"/>
  </r>
  <r>
    <s v="Regular"/>
    <x v="2"/>
    <x v="4"/>
    <x v="7"/>
    <x v="5"/>
    <x v="0"/>
    <x v="0"/>
    <x v="1"/>
    <x v="5"/>
    <n v="0"/>
    <n v="0"/>
    <n v="3515.0920000000001"/>
    <n v="3515.0920000000001"/>
    <n v="3515.0920000000001"/>
    <n v="3515.0920000000001"/>
    <n v="16611"/>
    <x v="1"/>
    <n v="0"/>
    <n v="0"/>
    <n v="10"/>
    <n v="60"/>
    <n v="0"/>
    <n v="252.24"/>
    <n v="145.97999999999999"/>
    <m/>
    <n v="197.52871183549016"/>
    <n v="178.32099824078242"/>
    <n v="0"/>
    <n v="886646.80608000001"/>
    <n v="513133.13016"/>
    <n v="0"/>
    <n v="694331.59474323678"/>
    <n v="626814.71434818837"/>
  </r>
  <r>
    <s v="Refaturamento - Regular"/>
    <x v="2"/>
    <x v="4"/>
    <x v="7"/>
    <x v="5"/>
    <x v="0"/>
    <x v="0"/>
    <x v="1"/>
    <x v="5"/>
    <n v="0"/>
    <n v="0"/>
    <n v="-6.1360000000000001"/>
    <n v="-6.1360000000000001"/>
    <n v="-6.1360000000000001"/>
    <n v="-6.1360000000000001"/>
    <n v="0"/>
    <x v="1"/>
    <n v="0"/>
    <n v="0"/>
    <n v="10"/>
    <n v="60"/>
    <n v="0"/>
    <n v="252.24"/>
    <n v="145.97999999999999"/>
    <m/>
    <n v="197.52871183549016"/>
    <n v="178.32099824078242"/>
    <n v="0"/>
    <n v="-1547.7446400000001"/>
    <n v="-895.73327999999992"/>
    <n v="0"/>
    <n v="-1212.0361758225677"/>
    <n v="-1094.177645205441"/>
  </r>
  <r>
    <s v="Sistema Isolado - Regular"/>
    <x v="2"/>
    <x v="4"/>
    <x v="7"/>
    <x v="5"/>
    <x v="0"/>
    <x v="0"/>
    <x v="1"/>
    <x v="5"/>
    <n v="0"/>
    <n v="0"/>
    <n v="6156.6170000000002"/>
    <n v="6156.6170000000002"/>
    <n v="6156.6170000000002"/>
    <n v="6156.6170000000002"/>
    <n v="31457"/>
    <x v="1"/>
    <n v="0"/>
    <n v="0"/>
    <n v="10"/>
    <n v="60"/>
    <n v="0"/>
    <n v="252.24"/>
    <n v="145.97999999999999"/>
    <m/>
    <n v="197.52871183549016"/>
    <n v="178.32099824078242"/>
    <n v="0"/>
    <n v="1552945.0720800001"/>
    <n v="898742.94965999993"/>
    <n v="0"/>
    <n v="1216108.6252744799"/>
    <n v="1097854.0892261711"/>
  </r>
  <r>
    <s v="Sistema Isolado - Refaturamento"/>
    <x v="2"/>
    <x v="4"/>
    <x v="7"/>
    <x v="5"/>
    <x v="0"/>
    <x v="0"/>
    <x v="1"/>
    <x v="5"/>
    <n v="0"/>
    <n v="0"/>
    <n v="-17.922000000000001"/>
    <n v="-17.922000000000001"/>
    <n v="-17.922000000000001"/>
    <n v="-17.922000000000001"/>
    <n v="0"/>
    <x v="1"/>
    <n v="0"/>
    <n v="0"/>
    <n v="10"/>
    <n v="60"/>
    <n v="0"/>
    <n v="252.24"/>
    <n v="145.97999999999999"/>
    <m/>
    <n v="197.52871183549016"/>
    <n v="178.32099824078242"/>
    <n v="0"/>
    <n v="-4520.6452800000006"/>
    <n v="-2616.2535600000001"/>
    <n v="0"/>
    <n v="-3540.1095735156546"/>
    <n v="-3195.8689304713025"/>
  </r>
  <r>
    <s v="Sistema de Compensação"/>
    <x v="2"/>
    <x v="4"/>
    <x v="7"/>
    <x v="5"/>
    <x v="0"/>
    <x v="0"/>
    <x v="1"/>
    <x v="5"/>
    <n v="0"/>
    <n v="0"/>
    <n v="0.31"/>
    <n v="0.31"/>
    <n v="0.31"/>
    <n v="0.31"/>
    <n v="0"/>
    <x v="1"/>
    <n v="0"/>
    <n v="0"/>
    <n v="10"/>
    <n v="60"/>
    <n v="0"/>
    <n v="252.24"/>
    <n v="145.97999999999999"/>
    <m/>
    <n v="197.52871183549016"/>
    <n v="178.32099824078242"/>
    <n v="0"/>
    <n v="78.194400000000002"/>
    <n v="45.253799999999998"/>
    <n v="0"/>
    <n v="61.233900669001947"/>
    <n v="55.27950945464255"/>
  </r>
  <r>
    <s v="Regular"/>
    <x v="2"/>
    <x v="4"/>
    <x v="7"/>
    <x v="5"/>
    <x v="0"/>
    <x v="0"/>
    <x v="1"/>
    <x v="6"/>
    <n v="0"/>
    <n v="0"/>
    <n v="3522.761"/>
    <n v="3522.761"/>
    <n v="3522.761"/>
    <n v="3522.761"/>
    <n v="16814"/>
    <x v="1"/>
    <n v="0"/>
    <n v="0"/>
    <n v="10"/>
    <n v="60"/>
    <n v="0"/>
    <n v="252.24"/>
    <n v="145.97999999999999"/>
    <m/>
    <n v="197.52871183549016"/>
    <n v="178.32099824078242"/>
    <n v="0"/>
    <n v="888581.23464000004"/>
    <n v="514252.65077999997"/>
    <n v="0"/>
    <n v="695846.44243430311"/>
    <n v="628182.25808369694"/>
  </r>
  <r>
    <s v="Refaturamento - Regular"/>
    <x v="2"/>
    <x v="4"/>
    <x v="7"/>
    <x v="5"/>
    <x v="0"/>
    <x v="0"/>
    <x v="1"/>
    <x v="6"/>
    <n v="0"/>
    <n v="0"/>
    <n v="-5.5149999999999997"/>
    <n v="-5.5149999999999997"/>
    <n v="-5.5149999999999997"/>
    <n v="-5.5149999999999997"/>
    <n v="0"/>
    <x v="1"/>
    <n v="0"/>
    <n v="0"/>
    <n v="10"/>
    <n v="60"/>
    <n v="0"/>
    <n v="252.24"/>
    <n v="145.97999999999999"/>
    <m/>
    <n v="197.52871183549016"/>
    <n v="178.32099824078242"/>
    <n v="0"/>
    <n v="-1391.1035999999999"/>
    <n v="-805.07969999999989"/>
    <n v="0"/>
    <n v="-1089.3708457727282"/>
    <n v="-983.44030529791496"/>
  </r>
  <r>
    <s v="Sistema Isolado - Regular"/>
    <x v="2"/>
    <x v="4"/>
    <x v="7"/>
    <x v="5"/>
    <x v="0"/>
    <x v="0"/>
    <x v="1"/>
    <x v="6"/>
    <n v="0"/>
    <n v="0"/>
    <n v="6155.3789999999999"/>
    <n v="6155.3789999999999"/>
    <n v="6155.3789999999999"/>
    <n v="6155.3789999999999"/>
    <n v="31727"/>
    <x v="1"/>
    <n v="0"/>
    <n v="0"/>
    <n v="10"/>
    <n v="60"/>
    <n v="0"/>
    <n v="252.24"/>
    <n v="145.97999999999999"/>
    <m/>
    <n v="197.52871183549016"/>
    <n v="178.32099824078242"/>
    <n v="0"/>
    <n v="1552632.79896"/>
    <n v="898562.22641999996"/>
    <n v="0"/>
    <n v="1215864.0847292275"/>
    <n v="1097633.3278303491"/>
  </r>
  <r>
    <s v="Sistema Isolado - Refaturamento"/>
    <x v="2"/>
    <x v="4"/>
    <x v="7"/>
    <x v="5"/>
    <x v="0"/>
    <x v="0"/>
    <x v="1"/>
    <x v="6"/>
    <n v="0"/>
    <n v="0"/>
    <n v="-14.021000000000001"/>
    <n v="-14.021000000000001"/>
    <n v="-14.021000000000001"/>
    <n v="-14.021000000000001"/>
    <n v="0"/>
    <x v="1"/>
    <n v="0"/>
    <n v="0"/>
    <n v="10"/>
    <n v="60"/>
    <n v="0"/>
    <n v="252.24"/>
    <n v="145.97999999999999"/>
    <m/>
    <n v="197.52871183549016"/>
    <n v="178.32099824078242"/>
    <n v="0"/>
    <n v="-3536.6570400000005"/>
    <n v="-2046.78558"/>
    <n v="0"/>
    <n v="-2769.5500686454075"/>
    <n v="-2500.2387163340104"/>
  </r>
  <r>
    <s v="Sistema de Compensação"/>
    <x v="2"/>
    <x v="4"/>
    <x v="7"/>
    <x v="5"/>
    <x v="0"/>
    <x v="0"/>
    <x v="1"/>
    <x v="6"/>
    <n v="0"/>
    <n v="0"/>
    <n v="0.31"/>
    <n v="0.31"/>
    <n v="0.31"/>
    <n v="0.31"/>
    <n v="0"/>
    <x v="1"/>
    <n v="0"/>
    <n v="0"/>
    <n v="10"/>
    <n v="60"/>
    <n v="0"/>
    <n v="252.24"/>
    <n v="145.97999999999999"/>
    <m/>
    <n v="197.52871183549016"/>
    <n v="178.32099824078242"/>
    <n v="0"/>
    <n v="78.194400000000002"/>
    <n v="45.253799999999998"/>
    <n v="0"/>
    <n v="61.233900669001947"/>
    <n v="55.27950945464255"/>
  </r>
  <r>
    <s v="Sistema de Compensação"/>
    <x v="2"/>
    <x v="4"/>
    <x v="7"/>
    <x v="5"/>
    <x v="0"/>
    <x v="0"/>
    <x v="1"/>
    <x v="6"/>
    <n v="0"/>
    <n v="0"/>
    <n v="-0.05"/>
    <n v="-0.05"/>
    <n v="-0.05"/>
    <n v="-0.05"/>
    <n v="0"/>
    <x v="1"/>
    <n v="0"/>
    <n v="0"/>
    <n v="10"/>
    <n v="60"/>
    <n v="0"/>
    <n v="252.24"/>
    <n v="145.97999999999999"/>
    <m/>
    <n v="197.52871183549016"/>
    <n v="178.32099824078242"/>
    <n v="0"/>
    <n v="-12.612000000000002"/>
    <n v="-7.2989999999999995"/>
    <n v="0"/>
    <n v="-9.8764355917745092"/>
    <n v="-8.9160499120391208"/>
  </r>
  <r>
    <s v="Regular"/>
    <x v="2"/>
    <x v="4"/>
    <x v="7"/>
    <x v="5"/>
    <x v="0"/>
    <x v="0"/>
    <x v="1"/>
    <x v="7"/>
    <n v="0"/>
    <n v="0"/>
    <n v="3645.2350000000001"/>
    <n v="3645.2350000000001"/>
    <n v="3645.2350000000001"/>
    <n v="3645.2350000000001"/>
    <n v="15683"/>
    <x v="1"/>
    <n v="0"/>
    <n v="0"/>
    <n v="10"/>
    <n v="60"/>
    <n v="0"/>
    <n v="252.24"/>
    <n v="145.97999999999999"/>
    <m/>
    <n v="197.52871183549016"/>
    <n v="178.32099824078242"/>
    <n v="0"/>
    <n v="919474.07640000002"/>
    <n v="532131.40529999998"/>
    <n v="0"/>
    <n v="720038.57388764294"/>
    <n v="650021.94402223849"/>
  </r>
  <r>
    <s v="Refaturamento - Regular"/>
    <x v="2"/>
    <x v="4"/>
    <x v="7"/>
    <x v="5"/>
    <x v="0"/>
    <x v="0"/>
    <x v="1"/>
    <x v="7"/>
    <n v="0"/>
    <n v="0"/>
    <n v="-7.3449999999999998"/>
    <n v="-7.3449999999999998"/>
    <n v="-7.3449999999999998"/>
    <n v="-7.3449999999999998"/>
    <n v="0"/>
    <x v="1"/>
    <n v="0"/>
    <n v="0"/>
    <n v="10"/>
    <n v="60"/>
    <n v="0"/>
    <n v="252.24"/>
    <n v="145.97999999999999"/>
    <m/>
    <n v="197.52871183549016"/>
    <n v="178.32099824078242"/>
    <n v="0"/>
    <n v="-1852.7028"/>
    <n v="-1072.2230999999999"/>
    <n v="0"/>
    <n v="-1450.8483884316752"/>
    <n v="-1309.7677320785467"/>
  </r>
  <r>
    <s v="Sistema Isolado - Regular"/>
    <x v="2"/>
    <x v="4"/>
    <x v="7"/>
    <x v="5"/>
    <x v="0"/>
    <x v="0"/>
    <x v="1"/>
    <x v="7"/>
    <n v="0"/>
    <n v="0"/>
    <n v="6281.2030000000004"/>
    <n v="6281.2030000000004"/>
    <n v="6281.2030000000004"/>
    <n v="6281.2030000000004"/>
    <n v="30400"/>
    <x v="1"/>
    <n v="0"/>
    <n v="0"/>
    <n v="10"/>
    <n v="60"/>
    <n v="0"/>
    <n v="252.24"/>
    <n v="145.97999999999999"/>
    <m/>
    <n v="197.52871183549016"/>
    <n v="178.32099824078242"/>
    <n v="0"/>
    <n v="1584370.6447200002"/>
    <n v="916930.01393999998"/>
    <n v="0"/>
    <n v="1240717.9373672165"/>
    <n v="1120070.3891129973"/>
  </r>
  <r>
    <s v="Sistema Isolado - Refaturamento"/>
    <x v="2"/>
    <x v="4"/>
    <x v="7"/>
    <x v="5"/>
    <x v="0"/>
    <x v="0"/>
    <x v="1"/>
    <x v="7"/>
    <n v="0"/>
    <n v="0"/>
    <n v="-10.89"/>
    <n v="-10.89"/>
    <n v="-10.89"/>
    <n v="-10.89"/>
    <n v="0"/>
    <x v="1"/>
    <n v="0"/>
    <n v="0"/>
    <n v="10"/>
    <n v="60"/>
    <n v="0"/>
    <n v="252.24"/>
    <n v="145.97999999999999"/>
    <m/>
    <n v="197.52871183549016"/>
    <n v="178.32099824078242"/>
    <n v="0"/>
    <n v="-2746.8936000000003"/>
    <n v="-1589.7221999999999"/>
    <n v="0"/>
    <n v="-2151.0876718884879"/>
    <n v="-1941.9156708421206"/>
  </r>
  <r>
    <s v="Sistema de Compensação"/>
    <x v="2"/>
    <x v="4"/>
    <x v="7"/>
    <x v="5"/>
    <x v="0"/>
    <x v="0"/>
    <x v="1"/>
    <x v="7"/>
    <n v="0"/>
    <n v="0"/>
    <n v="0.4"/>
    <n v="0.4"/>
    <n v="0.4"/>
    <n v="0.4"/>
    <n v="0"/>
    <x v="1"/>
    <n v="0"/>
    <n v="0"/>
    <n v="10"/>
    <n v="60"/>
    <n v="0"/>
    <n v="252.24"/>
    <n v="145.97999999999999"/>
    <m/>
    <n v="197.52871183549016"/>
    <n v="178.32099824078242"/>
    <n v="0"/>
    <n v="100.89600000000002"/>
    <n v="58.391999999999996"/>
    <n v="0"/>
    <n v="79.011484734196074"/>
    <n v="71.328399296312966"/>
  </r>
  <r>
    <s v="Regular"/>
    <x v="2"/>
    <x v="4"/>
    <x v="7"/>
    <x v="5"/>
    <x v="0"/>
    <x v="0"/>
    <x v="1"/>
    <x v="8"/>
    <n v="0"/>
    <n v="0"/>
    <n v="3557.2159999999999"/>
    <n v="3557.2159999999999"/>
    <n v="3557.2159999999999"/>
    <n v="3557.2159999999999"/>
    <n v="16501"/>
    <x v="1"/>
    <n v="0"/>
    <n v="0"/>
    <n v="10"/>
    <n v="60"/>
    <n v="0"/>
    <n v="252.24"/>
    <n v="145.97999999999999"/>
    <m/>
    <n v="197.52871183549016"/>
    <n v="178.32099824078242"/>
    <n v="0"/>
    <n v="897272.16384000005"/>
    <n v="519282.39167999994"/>
    <n v="0"/>
    <n v="702652.29420059489"/>
    <n v="634326.30807808309"/>
  </r>
  <r>
    <s v="Refaturamento - Regular"/>
    <x v="2"/>
    <x v="4"/>
    <x v="7"/>
    <x v="5"/>
    <x v="0"/>
    <x v="0"/>
    <x v="1"/>
    <x v="8"/>
    <n v="0"/>
    <n v="0"/>
    <n v="-14.151"/>
    <n v="-14.151"/>
    <n v="-14.151"/>
    <n v="-14.151"/>
    <n v="0"/>
    <x v="1"/>
    <n v="0"/>
    <n v="0"/>
    <n v="10"/>
    <n v="60"/>
    <n v="0"/>
    <n v="252.24"/>
    <n v="145.97999999999999"/>
    <m/>
    <n v="197.52871183549016"/>
    <n v="178.32099824078242"/>
    <n v="0"/>
    <n v="-3569.4482400000002"/>
    <n v="-2065.76298"/>
    <n v="0"/>
    <n v="-2795.228801184021"/>
    <n v="-2523.4204461053118"/>
  </r>
  <r>
    <s v="Sistema Isolado - Regular"/>
    <x v="2"/>
    <x v="4"/>
    <x v="7"/>
    <x v="5"/>
    <x v="0"/>
    <x v="0"/>
    <x v="1"/>
    <x v="8"/>
    <n v="0"/>
    <n v="0"/>
    <n v="6103.1670000000004"/>
    <n v="6103.1670000000004"/>
    <n v="6103.1670000000004"/>
    <n v="6103.1670000000004"/>
    <n v="34108"/>
    <x v="1"/>
    <n v="0"/>
    <n v="0"/>
    <n v="10"/>
    <n v="60"/>
    <n v="0"/>
    <n v="252.24"/>
    <n v="145.97999999999999"/>
    <m/>
    <n v="197.52871183549016"/>
    <n v="178.32099824078242"/>
    <n v="0"/>
    <n v="1539462.8440800002"/>
    <n v="890940.31865999999"/>
    <n v="0"/>
    <n v="1205550.7156268731"/>
    <n v="1088322.8318702013"/>
  </r>
  <r>
    <s v="Sistema Isolado - Refaturamento"/>
    <x v="2"/>
    <x v="4"/>
    <x v="7"/>
    <x v="5"/>
    <x v="0"/>
    <x v="0"/>
    <x v="1"/>
    <x v="8"/>
    <n v="0"/>
    <n v="0"/>
    <n v="-12.086"/>
    <n v="-12.086"/>
    <n v="-12.086"/>
    <n v="-12.086"/>
    <n v="0"/>
    <x v="1"/>
    <n v="0"/>
    <n v="0"/>
    <n v="10"/>
    <n v="60"/>
    <n v="0"/>
    <n v="252.24"/>
    <n v="145.97999999999999"/>
    <m/>
    <n v="197.52871183549016"/>
    <n v="178.32099824078242"/>
    <n v="0"/>
    <n v="-3048.5726400000003"/>
    <n v="-1764.3142799999998"/>
    <n v="0"/>
    <n v="-2387.3320112437341"/>
    <n v="-2155.1875847380961"/>
  </r>
  <r>
    <s v="Sistema de Compensação"/>
    <x v="2"/>
    <x v="4"/>
    <x v="7"/>
    <x v="5"/>
    <x v="0"/>
    <x v="0"/>
    <x v="1"/>
    <x v="8"/>
    <n v="0"/>
    <n v="0"/>
    <n v="0.47"/>
    <n v="0.47"/>
    <n v="0.47"/>
    <n v="0.47"/>
    <n v="0"/>
    <x v="1"/>
    <n v="0"/>
    <n v="0"/>
    <n v="10"/>
    <n v="60"/>
    <n v="0"/>
    <n v="252.24"/>
    <n v="145.97999999999999"/>
    <m/>
    <n v="197.52871183549016"/>
    <n v="178.32099824078242"/>
    <n v="0"/>
    <n v="118.55279999999999"/>
    <n v="68.610599999999991"/>
    <n v="0"/>
    <n v="92.838494562680367"/>
    <n v="83.810869173167731"/>
  </r>
  <r>
    <s v="Regular"/>
    <x v="2"/>
    <x v="4"/>
    <x v="7"/>
    <x v="5"/>
    <x v="0"/>
    <x v="0"/>
    <x v="1"/>
    <x v="9"/>
    <n v="0"/>
    <n v="0"/>
    <n v="3662.4870000000001"/>
    <n v="3662.4870000000001"/>
    <n v="3662.4870000000001"/>
    <n v="3662.4870000000001"/>
    <n v="15334"/>
    <x v="1"/>
    <n v="0"/>
    <n v="0"/>
    <n v="10"/>
    <n v="60"/>
    <n v="0"/>
    <n v="252.24"/>
    <n v="145.97999999999999"/>
    <m/>
    <n v="197.52871183549016"/>
    <n v="178.32099824078242"/>
    <n v="0"/>
    <n v="923825.72088000004"/>
    <n v="534649.85225999996"/>
    <n v="0"/>
    <n v="723446.33922422887"/>
    <n v="653098.33788388851"/>
  </r>
  <r>
    <s v="Refaturamento - Regular"/>
    <x v="2"/>
    <x v="4"/>
    <x v="7"/>
    <x v="5"/>
    <x v="0"/>
    <x v="0"/>
    <x v="1"/>
    <x v="9"/>
    <n v="0"/>
    <n v="0"/>
    <n v="-13.510999999999999"/>
    <n v="-13.510999999999999"/>
    <n v="-13.510999999999999"/>
    <n v="-13.510999999999999"/>
    <n v="0"/>
    <x v="1"/>
    <n v="0"/>
    <n v="0"/>
    <n v="10"/>
    <n v="60"/>
    <n v="0"/>
    <n v="252.24"/>
    <n v="145.97999999999999"/>
    <m/>
    <n v="197.52871183549016"/>
    <n v="178.32099824078242"/>
    <n v="0"/>
    <n v="-3408.0146399999999"/>
    <n v="-1972.3357799999997"/>
    <n v="0"/>
    <n v="-2668.8104256093075"/>
    <n v="-2409.295007231211"/>
  </r>
  <r>
    <s v="Sistema Isolado - Regular"/>
    <x v="2"/>
    <x v="4"/>
    <x v="7"/>
    <x v="5"/>
    <x v="0"/>
    <x v="0"/>
    <x v="1"/>
    <x v="9"/>
    <n v="0"/>
    <n v="0"/>
    <n v="6236.8689999999997"/>
    <n v="6236.8689999999997"/>
    <n v="6236.8689999999997"/>
    <n v="6236.8689999999997"/>
    <n v="31415"/>
    <x v="1"/>
    <n v="0"/>
    <n v="0"/>
    <n v="10"/>
    <n v="60"/>
    <n v="0"/>
    <n v="252.24"/>
    <n v="145.97999999999999"/>
    <m/>
    <n v="197.52871183549016"/>
    <n v="178.32099824078242"/>
    <n v="0"/>
    <n v="1573187.83656"/>
    <n v="910458.13661999989"/>
    <n v="0"/>
    <n v="1231960.6994567015"/>
    <n v="1112164.7059769903"/>
  </r>
  <r>
    <s v="Sistema Isolado - Refaturamento"/>
    <x v="2"/>
    <x v="4"/>
    <x v="7"/>
    <x v="5"/>
    <x v="0"/>
    <x v="0"/>
    <x v="1"/>
    <x v="9"/>
    <n v="0"/>
    <n v="0"/>
    <n v="-12.356"/>
    <n v="-12.356"/>
    <n v="-12.356"/>
    <n v="-12.356"/>
    <n v="0"/>
    <x v="1"/>
    <n v="0"/>
    <n v="0"/>
    <n v="10"/>
    <n v="60"/>
    <n v="0"/>
    <n v="252.24"/>
    <n v="145.97999999999999"/>
    <m/>
    <n v="197.52871183549016"/>
    <n v="178.32099824078242"/>
    <n v="0"/>
    <n v="-3116.6774399999999"/>
    <n v="-1803.7288799999999"/>
    <n v="0"/>
    <n v="-2440.6647634393162"/>
    <n v="-2203.3342542631076"/>
  </r>
  <r>
    <s v="Sistema de Compensação"/>
    <x v="2"/>
    <x v="4"/>
    <x v="7"/>
    <x v="5"/>
    <x v="0"/>
    <x v="0"/>
    <x v="1"/>
    <x v="9"/>
    <n v="0"/>
    <n v="0"/>
    <n v="0.59"/>
    <n v="0.59"/>
    <n v="0.59"/>
    <n v="0.59"/>
    <n v="0"/>
    <x v="1"/>
    <n v="0"/>
    <n v="0"/>
    <n v="10"/>
    <n v="60"/>
    <n v="0"/>
    <n v="252.24"/>
    <n v="145.97999999999999"/>
    <m/>
    <n v="197.52871183549016"/>
    <n v="178.32099824078242"/>
    <n v="0"/>
    <n v="148.82159999999999"/>
    <n v="86.128199999999993"/>
    <n v="0"/>
    <n v="116.54193998293918"/>
    <n v="105.20938896206162"/>
  </r>
  <r>
    <s v="Regular"/>
    <x v="2"/>
    <x v="4"/>
    <x v="7"/>
    <x v="5"/>
    <x v="0"/>
    <x v="0"/>
    <x v="1"/>
    <x v="10"/>
    <n v="0"/>
    <n v="0"/>
    <n v="3683.6120000000001"/>
    <n v="3683.6120000000001"/>
    <n v="3683.6120000000001"/>
    <n v="3683.6120000000001"/>
    <n v="15119"/>
    <x v="1"/>
    <n v="0"/>
    <n v="0"/>
    <n v="10"/>
    <n v="60"/>
    <n v="0"/>
    <n v="252.24"/>
    <n v="145.97999999999999"/>
    <m/>
    <n v="197.52871183549016"/>
    <n v="178.32099824078242"/>
    <n v="0"/>
    <n v="929154.2908800001"/>
    <n v="537733.67975999997"/>
    <n v="0"/>
    <n v="727619.1332617536"/>
    <n v="656865.36897172499"/>
  </r>
  <r>
    <s v="Refaturamento - Regular"/>
    <x v="2"/>
    <x v="4"/>
    <x v="7"/>
    <x v="5"/>
    <x v="0"/>
    <x v="0"/>
    <x v="1"/>
    <x v="10"/>
    <n v="0"/>
    <n v="0"/>
    <n v="-8.1210000000000004"/>
    <n v="-8.1210000000000004"/>
    <n v="-8.1210000000000004"/>
    <n v="-8.1210000000000004"/>
    <n v="0"/>
    <x v="1"/>
    <n v="0"/>
    <n v="0"/>
    <n v="10"/>
    <n v="60"/>
    <n v="0"/>
    <n v="252.24"/>
    <n v="145.97999999999999"/>
    <m/>
    <n v="197.52871183549016"/>
    <n v="178.32099824078242"/>
    <n v="0"/>
    <n v="-2048.4410400000002"/>
    <n v="-1185.5035800000001"/>
    <n v="0"/>
    <n v="-1604.1306688160157"/>
    <n v="-1448.144826713394"/>
  </r>
  <r>
    <s v="Sistema Isolado - Regular"/>
    <x v="2"/>
    <x v="4"/>
    <x v="7"/>
    <x v="5"/>
    <x v="0"/>
    <x v="0"/>
    <x v="1"/>
    <x v="10"/>
    <n v="0"/>
    <n v="0"/>
    <n v="6345.0460000000003"/>
    <n v="6345.0460000000003"/>
    <n v="6345.0460000000003"/>
    <n v="6345.0460000000003"/>
    <n v="29571"/>
    <x v="1"/>
    <n v="0"/>
    <n v="0"/>
    <n v="10"/>
    <n v="60"/>
    <n v="0"/>
    <n v="252.24"/>
    <n v="145.97999999999999"/>
    <m/>
    <n v="197.52871183549016"/>
    <n v="178.32099824078242"/>
    <n v="0"/>
    <n v="1600474.4030400002"/>
    <n v="926249.81507999997"/>
    <n v="0"/>
    <n v="1253328.7629169296"/>
    <n v="1131454.9366036835"/>
  </r>
  <r>
    <s v="Sistema Isolado - Refaturamento"/>
    <x v="2"/>
    <x v="4"/>
    <x v="7"/>
    <x v="5"/>
    <x v="0"/>
    <x v="0"/>
    <x v="1"/>
    <x v="10"/>
    <n v="0"/>
    <n v="0"/>
    <n v="-8.2929999999999993"/>
    <n v="-8.2929999999999993"/>
    <n v="-8.2929999999999993"/>
    <n v="-8.2929999999999993"/>
    <n v="0"/>
    <x v="1"/>
    <n v="0"/>
    <n v="0"/>
    <n v="10"/>
    <n v="60"/>
    <n v="0"/>
    <n v="252.24"/>
    <n v="145.97999999999999"/>
    <m/>
    <n v="197.52871183549016"/>
    <n v="178.32099824078242"/>
    <n v="0"/>
    <n v="-2091.8263199999997"/>
    <n v="-1210.6121399999997"/>
    <n v="0"/>
    <n v="-1638.1056072517197"/>
    <n v="-1478.8160384108085"/>
  </r>
  <r>
    <s v="Sistema de Compensação"/>
    <x v="2"/>
    <x v="4"/>
    <x v="7"/>
    <x v="5"/>
    <x v="0"/>
    <x v="0"/>
    <x v="1"/>
    <x v="10"/>
    <n v="0"/>
    <n v="0"/>
    <n v="0.64100000000000001"/>
    <n v="0.64100000000000001"/>
    <n v="0.64100000000000001"/>
    <n v="0.64100000000000001"/>
    <n v="0"/>
    <x v="1"/>
    <n v="0"/>
    <n v="0"/>
    <n v="10"/>
    <n v="60"/>
    <n v="0"/>
    <n v="252.24"/>
    <n v="145.97999999999999"/>
    <m/>
    <n v="197.52871183549016"/>
    <n v="178.32099824078242"/>
    <n v="0"/>
    <n v="161.68584000000001"/>
    <n v="93.573179999999994"/>
    <n v="0"/>
    <n v="126.6159042865492"/>
    <n v="114.30375987234153"/>
  </r>
  <r>
    <s v="PROJETADO"/>
    <x v="2"/>
    <x v="4"/>
    <x v="7"/>
    <x v="5"/>
    <x v="0"/>
    <x v="0"/>
    <x v="1"/>
    <x v="11"/>
    <n v="0"/>
    <n v="0"/>
    <n v="3683.6120000000001"/>
    <n v="3683.6120000000001"/>
    <n v="3683.6120000000001"/>
    <n v="3683.6120000000001"/>
    <n v="15119"/>
    <x v="1"/>
    <n v="0"/>
    <n v="0"/>
    <n v="10"/>
    <n v="60"/>
    <n v="0"/>
    <n v="252.24"/>
    <n v="145.97999999999999"/>
    <m/>
    <n v="197.52871183549016"/>
    <n v="178.32099824078242"/>
    <n v="0"/>
    <n v="929154.2908800001"/>
    <n v="537733.67975999997"/>
    <n v="0"/>
    <n v="727619.1332617536"/>
    <n v="656865.36897172499"/>
  </r>
  <r>
    <s v="PROJETADO"/>
    <x v="2"/>
    <x v="4"/>
    <x v="7"/>
    <x v="5"/>
    <x v="0"/>
    <x v="0"/>
    <x v="1"/>
    <x v="11"/>
    <n v="0"/>
    <n v="0"/>
    <n v="-8.1210000000000004"/>
    <n v="-8.1210000000000004"/>
    <n v="-8.1210000000000004"/>
    <n v="-8.1210000000000004"/>
    <n v="0"/>
    <x v="1"/>
    <n v="0"/>
    <n v="0"/>
    <n v="10"/>
    <n v="60"/>
    <n v="0"/>
    <n v="252.24"/>
    <n v="145.97999999999999"/>
    <m/>
    <n v="197.52871183549016"/>
    <n v="178.32099824078242"/>
    <n v="0"/>
    <n v="-2048.4410400000002"/>
    <n v="-1185.5035800000001"/>
    <n v="0"/>
    <n v="-1604.1306688160157"/>
    <n v="-1448.144826713394"/>
  </r>
  <r>
    <s v="PROJETADO"/>
    <x v="2"/>
    <x v="4"/>
    <x v="7"/>
    <x v="5"/>
    <x v="0"/>
    <x v="0"/>
    <x v="1"/>
    <x v="11"/>
    <n v="0"/>
    <n v="0"/>
    <n v="6345.0460000000003"/>
    <n v="6345.0460000000003"/>
    <n v="6345.0460000000003"/>
    <n v="6345.0460000000003"/>
    <n v="29571"/>
    <x v="1"/>
    <n v="0"/>
    <n v="0"/>
    <n v="10"/>
    <n v="60"/>
    <n v="0"/>
    <n v="252.24"/>
    <n v="145.97999999999999"/>
    <m/>
    <n v="197.52871183549016"/>
    <n v="178.32099824078242"/>
    <n v="0"/>
    <n v="1600474.4030400002"/>
    <n v="926249.81507999997"/>
    <n v="0"/>
    <n v="1253328.7629169296"/>
    <n v="1131454.9366036835"/>
  </r>
  <r>
    <s v="PROJETADO"/>
    <x v="2"/>
    <x v="4"/>
    <x v="7"/>
    <x v="5"/>
    <x v="0"/>
    <x v="0"/>
    <x v="1"/>
    <x v="11"/>
    <n v="0"/>
    <n v="0"/>
    <n v="-8.2929999999999993"/>
    <n v="-8.2929999999999993"/>
    <n v="-8.2929999999999993"/>
    <n v="-8.2929999999999993"/>
    <n v="0"/>
    <x v="1"/>
    <n v="0"/>
    <n v="0"/>
    <n v="10"/>
    <n v="60"/>
    <n v="0"/>
    <n v="252.24"/>
    <n v="145.97999999999999"/>
    <m/>
    <n v="197.52871183549016"/>
    <n v="178.32099824078242"/>
    <n v="0"/>
    <n v="-2091.8263199999997"/>
    <n v="-1210.6121399999997"/>
    <n v="0"/>
    <n v="-1638.1056072517197"/>
    <n v="-1478.8160384108085"/>
  </r>
  <r>
    <s v="PROJETADO"/>
    <x v="2"/>
    <x v="4"/>
    <x v="7"/>
    <x v="5"/>
    <x v="0"/>
    <x v="0"/>
    <x v="1"/>
    <x v="11"/>
    <n v="0"/>
    <n v="0"/>
    <n v="0.64100000000000001"/>
    <n v="0.64100000000000001"/>
    <n v="0.64100000000000001"/>
    <n v="0.64100000000000001"/>
    <n v="0"/>
    <x v="1"/>
    <n v="0"/>
    <n v="0"/>
    <n v="10"/>
    <n v="60"/>
    <n v="0"/>
    <n v="252.24"/>
    <n v="145.97999999999999"/>
    <m/>
    <n v="197.52871183549016"/>
    <n v="178.32099824078242"/>
    <n v="0"/>
    <n v="161.68584000000001"/>
    <n v="93.573179999999994"/>
    <n v="0"/>
    <n v="126.6159042865492"/>
    <n v="114.30375987234153"/>
  </r>
  <r>
    <s v="Regular"/>
    <x v="2"/>
    <x v="4"/>
    <x v="7"/>
    <x v="6"/>
    <x v="0"/>
    <x v="0"/>
    <x v="1"/>
    <x v="0"/>
    <n v="0"/>
    <n v="0"/>
    <n v="3165.4250000000002"/>
    <n v="3165.4250000000002"/>
    <n v="3165.4250000000002"/>
    <n v="3165.4250000000002"/>
    <n v="21718"/>
    <x v="1"/>
    <n v="0"/>
    <n v="0"/>
    <n v="6"/>
    <n v="52"/>
    <n v="0"/>
    <n v="378.36"/>
    <n v="218.97"/>
    <m/>
    <n v="296.29306775323528"/>
    <n v="267.48149736117364"/>
    <n v="0"/>
    <n v="1197670.2030000002"/>
    <n v="693133.11225000001"/>
    <n v="0"/>
    <n v="937893.48399278487"/>
    <n v="846692.61878449307"/>
  </r>
  <r>
    <s v="Refaturamento - Regular"/>
    <x v="2"/>
    <x v="4"/>
    <x v="7"/>
    <x v="6"/>
    <x v="0"/>
    <x v="0"/>
    <x v="1"/>
    <x v="0"/>
    <n v="0"/>
    <n v="0"/>
    <n v="-7.7649999999999997"/>
    <n v="-7.7649999999999997"/>
    <n v="-7.7649999999999997"/>
    <n v="-7.7649999999999997"/>
    <n v="-33"/>
    <x v="1"/>
    <n v="0"/>
    <n v="0"/>
    <n v="6"/>
    <n v="52"/>
    <n v="0"/>
    <n v="378.36"/>
    <n v="218.97"/>
    <m/>
    <n v="296.29306775323528"/>
    <n v="267.48149736117364"/>
    <n v="0"/>
    <n v="-2937.9654"/>
    <n v="-1700.30205"/>
    <n v="0"/>
    <n v="-2300.715671103872"/>
    <n v="-2076.9938270095131"/>
  </r>
  <r>
    <s v="Sistema Isolado - Regular"/>
    <x v="2"/>
    <x v="4"/>
    <x v="7"/>
    <x v="6"/>
    <x v="0"/>
    <x v="0"/>
    <x v="1"/>
    <x v="0"/>
    <n v="0"/>
    <n v="0"/>
    <n v="4861.6059999999998"/>
    <n v="4861.6059999999998"/>
    <n v="4861.6059999999998"/>
    <n v="4861.6059999999998"/>
    <n v="43068"/>
    <x v="1"/>
    <n v="0"/>
    <n v="0"/>
    <n v="6"/>
    <n v="52"/>
    <n v="0"/>
    <n v="378.36"/>
    <n v="218.97"/>
    <m/>
    <n v="296.29306775323528"/>
    <n v="267.48149736117364"/>
    <n v="0"/>
    <n v="1839437.2461599999"/>
    <n v="1064545.8658199999"/>
    <n v="0"/>
    <n v="1440460.1559475351"/>
    <n v="1300389.6524600659"/>
  </r>
  <r>
    <s v="Sistema Isolado - Refaturamento"/>
    <x v="2"/>
    <x v="4"/>
    <x v="7"/>
    <x v="6"/>
    <x v="0"/>
    <x v="0"/>
    <x v="1"/>
    <x v="0"/>
    <n v="0"/>
    <n v="0"/>
    <n v="-7.7370000000000001"/>
    <n v="-7.7370000000000001"/>
    <n v="-7.7370000000000001"/>
    <n v="-7.7370000000000001"/>
    <n v="-50"/>
    <x v="1"/>
    <n v="0"/>
    <n v="0"/>
    <n v="6"/>
    <n v="52"/>
    <n v="0"/>
    <n v="378.36"/>
    <n v="218.97"/>
    <m/>
    <n v="296.29306775323528"/>
    <n v="267.48149736117364"/>
    <n v="0"/>
    <n v="-2927.3713200000002"/>
    <n v="-1694.1708900000001"/>
    <n v="0"/>
    <n v="-2292.4194652067813"/>
    <n v="-2069.5043450834005"/>
  </r>
  <r>
    <s v="Regular"/>
    <x v="2"/>
    <x v="4"/>
    <x v="7"/>
    <x v="6"/>
    <x v="0"/>
    <x v="0"/>
    <x v="1"/>
    <x v="1"/>
    <n v="0"/>
    <n v="0"/>
    <n v="3554.72"/>
    <n v="3554.72"/>
    <n v="3554.72"/>
    <n v="3554.72"/>
    <n v="25021"/>
    <x v="1"/>
    <n v="0"/>
    <n v="0"/>
    <n v="6"/>
    <n v="52"/>
    <n v="0"/>
    <n v="378.36"/>
    <n v="218.97"/>
    <m/>
    <n v="296.29306775323528"/>
    <n v="267.48149736117364"/>
    <n v="0"/>
    <n v="1344963.8592000001"/>
    <n v="778377.03839999996"/>
    <n v="0"/>
    <n v="1053238.8938037804"/>
    <n v="950821.82829971111"/>
  </r>
  <r>
    <s v="Refaturamento - Regular"/>
    <x v="2"/>
    <x v="4"/>
    <x v="7"/>
    <x v="6"/>
    <x v="0"/>
    <x v="0"/>
    <x v="1"/>
    <x v="1"/>
    <n v="0"/>
    <n v="0"/>
    <n v="-10.01"/>
    <n v="-10.01"/>
    <n v="-10.01"/>
    <n v="-10.01"/>
    <n v="0"/>
    <x v="1"/>
    <n v="0"/>
    <n v="0"/>
    <n v="6"/>
    <n v="52"/>
    <n v="0"/>
    <n v="378.36"/>
    <n v="218.97"/>
    <m/>
    <n v="296.29306775323528"/>
    <n v="267.48149736117364"/>
    <n v="0"/>
    <n v="-3787.3836000000001"/>
    <n v="-2191.8896999999997"/>
    <n v="0"/>
    <n v="-2965.8936082098849"/>
    <n v="-2677.4897885853479"/>
  </r>
  <r>
    <s v="Sistema Isolado - Regular"/>
    <x v="2"/>
    <x v="4"/>
    <x v="7"/>
    <x v="6"/>
    <x v="0"/>
    <x v="0"/>
    <x v="1"/>
    <x v="1"/>
    <n v="0"/>
    <n v="0"/>
    <n v="5089.3940000000002"/>
    <n v="5089.3940000000002"/>
    <n v="5089.3940000000002"/>
    <n v="5089.3940000000002"/>
    <n v="47104"/>
    <x v="1"/>
    <n v="0"/>
    <n v="0"/>
    <n v="6"/>
    <n v="52"/>
    <n v="0"/>
    <n v="378.36"/>
    <n v="218.97"/>
    <m/>
    <n v="296.29306775323528"/>
    <n v="267.48149736117364"/>
    <n v="0"/>
    <n v="1925623.1138400002"/>
    <n v="1114424.60418"/>
    <n v="0"/>
    <n v="1507952.1612649092"/>
    <n v="1361318.7277809731"/>
  </r>
  <r>
    <s v="Sistema Isolado - Refaturamento"/>
    <x v="2"/>
    <x v="4"/>
    <x v="7"/>
    <x v="6"/>
    <x v="0"/>
    <x v="0"/>
    <x v="1"/>
    <x v="1"/>
    <n v="0"/>
    <n v="0"/>
    <n v="-10.057"/>
    <n v="-10.057"/>
    <n v="-10.057"/>
    <n v="-10.057"/>
    <n v="0"/>
    <x v="1"/>
    <n v="0"/>
    <n v="0"/>
    <n v="6"/>
    <n v="52"/>
    <n v="0"/>
    <n v="378.36"/>
    <n v="218.97"/>
    <m/>
    <n v="296.29306775323528"/>
    <n v="267.48149736117364"/>
    <n v="0"/>
    <n v="-3805.1665200000002"/>
    <n v="-2202.18129"/>
    <n v="0"/>
    <n v="-2979.8193823942875"/>
    <n v="-2690.0614189613234"/>
  </r>
  <r>
    <s v="Regular"/>
    <x v="2"/>
    <x v="4"/>
    <x v="7"/>
    <x v="6"/>
    <x v="0"/>
    <x v="0"/>
    <x v="1"/>
    <x v="2"/>
    <n v="0"/>
    <n v="0"/>
    <n v="3776.9380000000001"/>
    <n v="3776.9380000000001"/>
    <n v="3776.9380000000001"/>
    <n v="3776.9380000000001"/>
    <n v="25546"/>
    <x v="1"/>
    <n v="0"/>
    <n v="0"/>
    <n v="6"/>
    <n v="52"/>
    <n v="0"/>
    <n v="378.36"/>
    <n v="218.97"/>
    <m/>
    <n v="296.29306775323528"/>
    <n v="267.48149736117364"/>
    <n v="0"/>
    <n v="1429042.26168"/>
    <n v="827036.11386000004"/>
    <n v="0"/>
    <n v="1119080.5467337689"/>
    <n v="1010261.0316803164"/>
  </r>
  <r>
    <s v="Refaturamento - Regular"/>
    <x v="2"/>
    <x v="4"/>
    <x v="7"/>
    <x v="6"/>
    <x v="0"/>
    <x v="0"/>
    <x v="1"/>
    <x v="2"/>
    <n v="0"/>
    <n v="0"/>
    <n v="-14.41"/>
    <n v="-14.41"/>
    <n v="-14.41"/>
    <n v="-14.41"/>
    <n v="0"/>
    <x v="1"/>
    <n v="0"/>
    <n v="0"/>
    <n v="6"/>
    <n v="52"/>
    <n v="0"/>
    <n v="378.36"/>
    <n v="218.97"/>
    <m/>
    <n v="296.29306775323528"/>
    <n v="267.48149736117364"/>
    <n v="0"/>
    <n v="-5452.1676000000007"/>
    <n v="-3155.3577"/>
    <n v="0"/>
    <n v="-4269.5831063241203"/>
    <n v="-3854.4083769745121"/>
  </r>
  <r>
    <s v="Sistema Isolado - Regular"/>
    <x v="2"/>
    <x v="4"/>
    <x v="7"/>
    <x v="6"/>
    <x v="0"/>
    <x v="0"/>
    <x v="1"/>
    <x v="2"/>
    <n v="0"/>
    <n v="0"/>
    <n v="4809.9409999999998"/>
    <n v="4809.9409999999998"/>
    <n v="4809.9409999999998"/>
    <n v="4809.9409999999998"/>
    <n v="46604"/>
    <x v="1"/>
    <n v="0"/>
    <n v="0"/>
    <n v="6"/>
    <n v="52"/>
    <n v="0"/>
    <n v="378.36"/>
    <n v="218.97"/>
    <m/>
    <n v="296.29306775323528"/>
    <n v="267.48149736117364"/>
    <n v="0"/>
    <n v="1819889.27676"/>
    <n v="1053232.7807699998"/>
    <n v="0"/>
    <n v="1425152.1746020641"/>
    <n v="1286570.2208989009"/>
  </r>
  <r>
    <s v="Sistema Isolado - Refaturamento"/>
    <x v="2"/>
    <x v="4"/>
    <x v="7"/>
    <x v="6"/>
    <x v="0"/>
    <x v="0"/>
    <x v="1"/>
    <x v="2"/>
    <n v="0"/>
    <n v="0"/>
    <n v="-6.6639999999999997"/>
    <n v="-6.6639999999999997"/>
    <n v="-6.6639999999999997"/>
    <n v="-6.6639999999999997"/>
    <n v="0"/>
    <x v="1"/>
    <n v="0"/>
    <n v="0"/>
    <n v="6"/>
    <n v="52"/>
    <n v="0"/>
    <n v="378.36"/>
    <n v="218.97"/>
    <m/>
    <n v="296.29306775323528"/>
    <n v="267.48149736117364"/>
    <n v="0"/>
    <n v="-2521.39104"/>
    <n v="-1459.2160799999999"/>
    <n v="0"/>
    <n v="-1974.4970035075598"/>
    <n v="-1782.4966984148609"/>
  </r>
  <r>
    <s v="Regular"/>
    <x v="2"/>
    <x v="4"/>
    <x v="7"/>
    <x v="6"/>
    <x v="0"/>
    <x v="0"/>
    <x v="1"/>
    <x v="3"/>
    <n v="0"/>
    <n v="0"/>
    <n v="3147.1849999999999"/>
    <n v="3147.1849999999999"/>
    <n v="3147.1849999999999"/>
    <n v="3147.1849999999999"/>
    <n v="24803"/>
    <x v="1"/>
    <n v="0"/>
    <n v="0"/>
    <n v="6"/>
    <n v="52"/>
    <n v="0"/>
    <n v="378.36"/>
    <n v="218.97"/>
    <m/>
    <n v="296.29306775323528"/>
    <n v="267.48149736117364"/>
    <n v="0"/>
    <n v="1190768.9166000001"/>
    <n v="689139.09944999998"/>
    <n v="0"/>
    <n v="932489.09843696572"/>
    <n v="841813.75627262529"/>
  </r>
  <r>
    <s v="Refaturamento - Regular"/>
    <x v="2"/>
    <x v="4"/>
    <x v="7"/>
    <x v="6"/>
    <x v="0"/>
    <x v="0"/>
    <x v="1"/>
    <x v="3"/>
    <n v="0"/>
    <n v="0"/>
    <n v="-11.196"/>
    <n v="-11.196"/>
    <n v="-11.196"/>
    <n v="-11.196"/>
    <n v="0"/>
    <x v="1"/>
    <n v="0"/>
    <n v="0"/>
    <n v="6"/>
    <n v="52"/>
    <n v="0"/>
    <n v="378.36"/>
    <n v="218.97"/>
    <m/>
    <n v="296.29306775323528"/>
    <n v="267.48149736117364"/>
    <n v="0"/>
    <n v="-4236.1185599999999"/>
    <n v="-2451.5881199999999"/>
    <n v="0"/>
    <n v="-3317.2971865652221"/>
    <n v="-2994.7228444556999"/>
  </r>
  <r>
    <s v="Sistema Isolado - Regular"/>
    <x v="2"/>
    <x v="4"/>
    <x v="7"/>
    <x v="6"/>
    <x v="0"/>
    <x v="0"/>
    <x v="1"/>
    <x v="3"/>
    <n v="0"/>
    <n v="0"/>
    <n v="4478.4930000000004"/>
    <n v="4478.4930000000004"/>
    <n v="4478.4930000000004"/>
    <n v="4478.4930000000004"/>
    <n v="45450"/>
    <x v="1"/>
    <n v="0"/>
    <n v="0"/>
    <n v="6"/>
    <n v="52"/>
    <n v="0"/>
    <n v="378.36"/>
    <n v="218.97"/>
    <m/>
    <n v="296.29306775323528"/>
    <n v="267.48149736117364"/>
    <n v="0"/>
    <n v="1694482.6114800002"/>
    <n v="980655.61221000005"/>
    <n v="0"/>
    <n v="1326946.42988139"/>
    <n v="1197914.0135615347"/>
  </r>
  <r>
    <s v="Sistema Isolado - Refaturamento"/>
    <x v="2"/>
    <x v="4"/>
    <x v="7"/>
    <x v="6"/>
    <x v="0"/>
    <x v="0"/>
    <x v="1"/>
    <x v="3"/>
    <n v="0"/>
    <n v="0"/>
    <n v="-14.226000000000001"/>
    <n v="-14.226000000000001"/>
    <n v="-14.226000000000001"/>
    <n v="-14.226000000000001"/>
    <n v="0"/>
    <x v="1"/>
    <n v="0"/>
    <n v="0"/>
    <n v="6"/>
    <n v="52"/>
    <n v="0"/>
    <n v="378.36"/>
    <n v="218.97"/>
    <m/>
    <n v="296.29306775323528"/>
    <n v="267.48149736117364"/>
    <n v="0"/>
    <n v="-5382.5493600000009"/>
    <n v="-3115.0672200000004"/>
    <n v="0"/>
    <n v="-4215.0651818575252"/>
    <n v="-3805.1917814600565"/>
  </r>
  <r>
    <s v="Regular"/>
    <x v="2"/>
    <x v="4"/>
    <x v="7"/>
    <x v="6"/>
    <x v="0"/>
    <x v="0"/>
    <x v="1"/>
    <x v="4"/>
    <n v="0"/>
    <n v="0"/>
    <n v="3351.1550000000002"/>
    <n v="3351.1550000000002"/>
    <n v="3351.1550000000002"/>
    <n v="3351.1550000000002"/>
    <n v="23749"/>
    <x v="1"/>
    <n v="0"/>
    <n v="0"/>
    <n v="6"/>
    <n v="52"/>
    <n v="0"/>
    <n v="378.36"/>
    <n v="218.97"/>
    <m/>
    <n v="296.29306775323528"/>
    <n v="267.48149736117364"/>
    <n v="0"/>
    <n v="1267943.0058000002"/>
    <n v="733802.41035000002"/>
    <n v="0"/>
    <n v="992923.99546659319"/>
    <n v="896371.95728938386"/>
  </r>
  <r>
    <s v="Refaturamento - Regular"/>
    <x v="2"/>
    <x v="4"/>
    <x v="7"/>
    <x v="6"/>
    <x v="0"/>
    <x v="0"/>
    <x v="1"/>
    <x v="4"/>
    <n v="0"/>
    <n v="0"/>
    <n v="-46.134999999999998"/>
    <n v="-46.134999999999998"/>
    <n v="-46.134999999999998"/>
    <n v="-46.134999999999998"/>
    <n v="0"/>
    <x v="1"/>
    <n v="0"/>
    <n v="0"/>
    <n v="6"/>
    <n v="52"/>
    <n v="0"/>
    <n v="378.36"/>
    <n v="218.97"/>
    <m/>
    <n v="296.29306775323528"/>
    <n v="267.48149736117364"/>
    <n v="0"/>
    <n v="-17455.638599999998"/>
    <n v="-10102.18095"/>
    <n v="0"/>
    <n v="-13669.480680795508"/>
    <n v="-12340.258880757745"/>
  </r>
  <r>
    <s v="Sistema Isolado - Regular"/>
    <x v="2"/>
    <x v="4"/>
    <x v="7"/>
    <x v="6"/>
    <x v="0"/>
    <x v="0"/>
    <x v="1"/>
    <x v="4"/>
    <n v="0"/>
    <n v="0"/>
    <n v="4585.1030000000001"/>
    <n v="4585.1030000000001"/>
    <n v="4585.1030000000001"/>
    <n v="4585.1030000000001"/>
    <n v="46464"/>
    <x v="1"/>
    <n v="0"/>
    <n v="0"/>
    <n v="6"/>
    <n v="52"/>
    <n v="0"/>
    <n v="378.36"/>
    <n v="218.97"/>
    <m/>
    <n v="296.29306775323528"/>
    <n v="267.48149736117364"/>
    <n v="0"/>
    <n v="1734819.5710800001"/>
    <n v="1004000.00391"/>
    <n v="0"/>
    <n v="1358534.2338345624"/>
    <n v="1226430.2159952093"/>
  </r>
  <r>
    <s v="Sistema Isolado - Refaturamento"/>
    <x v="2"/>
    <x v="4"/>
    <x v="7"/>
    <x v="6"/>
    <x v="0"/>
    <x v="0"/>
    <x v="1"/>
    <x v="4"/>
    <n v="0"/>
    <n v="0"/>
    <n v="-13.526"/>
    <n v="-13.526"/>
    <n v="-13.526"/>
    <n v="-13.526"/>
    <n v="0"/>
    <x v="1"/>
    <n v="0"/>
    <n v="0"/>
    <n v="6"/>
    <n v="52"/>
    <n v="0"/>
    <n v="378.36"/>
    <n v="218.97"/>
    <m/>
    <n v="296.29306775323528"/>
    <n v="267.48149736117364"/>
    <n v="0"/>
    <n v="-5117.6973600000001"/>
    <n v="-2961.7882199999999"/>
    <n v="0"/>
    <n v="-4007.6600344302601"/>
    <n v="-3617.9547333072346"/>
  </r>
  <r>
    <s v="Sistema de Compensação"/>
    <x v="2"/>
    <x v="4"/>
    <x v="7"/>
    <x v="6"/>
    <x v="0"/>
    <x v="0"/>
    <x v="1"/>
    <x v="4"/>
    <n v="0"/>
    <n v="0"/>
    <n v="0.12"/>
    <n v="0.12"/>
    <n v="0.12"/>
    <n v="0.12"/>
    <n v="0"/>
    <x v="1"/>
    <n v="0"/>
    <n v="0"/>
    <n v="6"/>
    <n v="52"/>
    <n v="0"/>
    <n v="378.36"/>
    <n v="218.97"/>
    <m/>
    <n v="296.29306775323528"/>
    <n v="267.48149736117364"/>
    <n v="0"/>
    <n v="45.403199999999998"/>
    <n v="26.276399999999999"/>
    <n v="0"/>
    <n v="35.555168130388232"/>
    <n v="32.097779683340832"/>
  </r>
  <r>
    <s v="Regular"/>
    <x v="2"/>
    <x v="4"/>
    <x v="7"/>
    <x v="6"/>
    <x v="0"/>
    <x v="0"/>
    <x v="1"/>
    <x v="5"/>
    <n v="0"/>
    <n v="0"/>
    <n v="3475.22"/>
    <n v="3475.22"/>
    <n v="3475.22"/>
    <n v="3475.22"/>
    <n v="23023"/>
    <x v="1"/>
    <n v="0"/>
    <n v="0"/>
    <n v="6"/>
    <n v="52"/>
    <n v="0"/>
    <n v="378.36"/>
    <n v="218.97"/>
    <m/>
    <n v="296.29306775323528"/>
    <n v="267.48149736117364"/>
    <n v="0"/>
    <n v="1314884.2392"/>
    <n v="760968.92339999997"/>
    <n v="0"/>
    <n v="1029683.5949173983"/>
    <n v="929557.04925949778"/>
  </r>
  <r>
    <s v="Refaturamento - Regular"/>
    <x v="2"/>
    <x v="4"/>
    <x v="7"/>
    <x v="6"/>
    <x v="0"/>
    <x v="0"/>
    <x v="1"/>
    <x v="5"/>
    <n v="0"/>
    <n v="0"/>
    <n v="-12.143000000000001"/>
    <n v="-12.143000000000001"/>
    <n v="-12.143000000000001"/>
    <n v="-12.143000000000001"/>
    <n v="0"/>
    <x v="1"/>
    <n v="0"/>
    <n v="0"/>
    <n v="6"/>
    <n v="52"/>
    <n v="0"/>
    <n v="378.36"/>
    <n v="218.97"/>
    <m/>
    <n v="296.29306775323528"/>
    <n v="267.48149736117364"/>
    <n v="0"/>
    <n v="-4594.4254800000008"/>
    <n v="-2658.95271"/>
    <n v="0"/>
    <n v="-3597.886721727536"/>
    <n v="-3248.0278224567319"/>
  </r>
  <r>
    <s v="Sistema Isolado - Regular"/>
    <x v="2"/>
    <x v="4"/>
    <x v="7"/>
    <x v="6"/>
    <x v="0"/>
    <x v="0"/>
    <x v="1"/>
    <x v="5"/>
    <n v="0"/>
    <n v="0"/>
    <n v="5132.4709999999995"/>
    <n v="5132.4709999999995"/>
    <n v="5132.4709999999995"/>
    <n v="5132.4709999999995"/>
    <n v="47391"/>
    <x v="1"/>
    <n v="0"/>
    <n v="0"/>
    <n v="6"/>
    <n v="52"/>
    <n v="0"/>
    <n v="378.36"/>
    <n v="218.97"/>
    <m/>
    <n v="296.29306775323528"/>
    <n v="267.48149736117364"/>
    <n v="0"/>
    <n v="1941921.7275599998"/>
    <n v="1123857.17487"/>
    <n v="0"/>
    <n v="1520715.5777445151"/>
    <n v="1372841.0282428002"/>
  </r>
  <r>
    <s v="Sistema Isolado - Refaturamento"/>
    <x v="2"/>
    <x v="4"/>
    <x v="7"/>
    <x v="6"/>
    <x v="0"/>
    <x v="0"/>
    <x v="1"/>
    <x v="5"/>
    <n v="0"/>
    <n v="0"/>
    <n v="-19.844000000000001"/>
    <n v="-19.844000000000001"/>
    <n v="-19.844000000000001"/>
    <n v="-19.844000000000001"/>
    <n v="0"/>
    <x v="1"/>
    <n v="0"/>
    <n v="0"/>
    <n v="6"/>
    <n v="52"/>
    <n v="0"/>
    <n v="378.36"/>
    <n v="218.97"/>
    <m/>
    <n v="296.29306775323528"/>
    <n v="267.48149736117364"/>
    <n v="0"/>
    <n v="-7508.1758400000008"/>
    <n v="-4345.2406799999999"/>
    <n v="0"/>
    <n v="-5879.6396364952016"/>
    <n v="-5307.9028336351303"/>
  </r>
  <r>
    <s v="Sistema de Compensação"/>
    <x v="2"/>
    <x v="4"/>
    <x v="7"/>
    <x v="6"/>
    <x v="0"/>
    <x v="0"/>
    <x v="1"/>
    <x v="5"/>
    <n v="0"/>
    <n v="0"/>
    <n v="0.20200000000000001"/>
    <n v="0.20200000000000001"/>
    <n v="0.20200000000000001"/>
    <n v="0.20200000000000001"/>
    <n v="0"/>
    <x v="1"/>
    <n v="0"/>
    <n v="0"/>
    <n v="6"/>
    <n v="52"/>
    <n v="0"/>
    <n v="378.36"/>
    <n v="218.97"/>
    <m/>
    <n v="296.29306775323528"/>
    <n v="267.48149736117364"/>
    <n v="0"/>
    <n v="76.428720000000013"/>
    <n v="44.231940000000002"/>
    <n v="0"/>
    <n v="59.851199686153528"/>
    <n v="54.031262466957081"/>
  </r>
  <r>
    <s v="Regular"/>
    <x v="2"/>
    <x v="4"/>
    <x v="7"/>
    <x v="6"/>
    <x v="0"/>
    <x v="0"/>
    <x v="1"/>
    <x v="6"/>
    <n v="0"/>
    <n v="0"/>
    <n v="3425.6179999999999"/>
    <n v="3425.6179999999999"/>
    <n v="3425.6179999999999"/>
    <n v="3425.6179999999999"/>
    <n v="23518"/>
    <x v="1"/>
    <n v="0"/>
    <n v="0"/>
    <n v="6"/>
    <n v="52"/>
    <n v="0"/>
    <n v="378.36"/>
    <n v="218.97"/>
    <m/>
    <n v="296.29306775323528"/>
    <n v="267.48149736117364"/>
    <n v="0"/>
    <n v="1296116.82648"/>
    <n v="750107.57345999999"/>
    <n v="0"/>
    <n v="1014986.8661707023"/>
    <n v="916289.43202738895"/>
  </r>
  <r>
    <s v="Refaturamento - Regular"/>
    <x v="2"/>
    <x v="4"/>
    <x v="7"/>
    <x v="6"/>
    <x v="0"/>
    <x v="0"/>
    <x v="1"/>
    <x v="6"/>
    <n v="0"/>
    <n v="0"/>
    <n v="-7.1070000000000002"/>
    <n v="-7.1070000000000002"/>
    <n v="-7.1070000000000002"/>
    <n v="-7.1070000000000002"/>
    <n v="0"/>
    <x v="1"/>
    <n v="0"/>
    <n v="0"/>
    <n v="6"/>
    <n v="52"/>
    <n v="0"/>
    <n v="378.36"/>
    <n v="218.97"/>
    <m/>
    <n v="296.29306775323528"/>
    <n v="267.48149736117364"/>
    <n v="0"/>
    <n v="-2689.00452"/>
    <n v="-1556.2197900000001"/>
    <n v="0"/>
    <n v="-2105.7548325222433"/>
    <n v="-1900.991001745861"/>
  </r>
  <r>
    <s v="Sistema Isolado - Regular"/>
    <x v="2"/>
    <x v="4"/>
    <x v="7"/>
    <x v="6"/>
    <x v="0"/>
    <x v="0"/>
    <x v="1"/>
    <x v="6"/>
    <n v="0"/>
    <n v="0"/>
    <n v="5090.8789999999999"/>
    <n v="5090.8789999999999"/>
    <n v="5090.8789999999999"/>
    <n v="5090.8789999999999"/>
    <n v="47544"/>
    <x v="1"/>
    <n v="0"/>
    <n v="0"/>
    <n v="6"/>
    <n v="52"/>
    <n v="0"/>
    <n v="378.36"/>
    <n v="218.97"/>
    <m/>
    <n v="296.29306775323528"/>
    <n v="267.48149736117364"/>
    <n v="0"/>
    <n v="1926184.97844"/>
    <n v="1114749.7746299999"/>
    <n v="0"/>
    <n v="1508392.1564705225"/>
    <n v="1361715.9378045544"/>
  </r>
  <r>
    <s v="Sistema Isolado - Refaturamento"/>
    <x v="2"/>
    <x v="4"/>
    <x v="7"/>
    <x v="6"/>
    <x v="0"/>
    <x v="0"/>
    <x v="1"/>
    <x v="6"/>
    <n v="0"/>
    <n v="0"/>
    <n v="-18.498000000000001"/>
    <n v="-18.498000000000001"/>
    <n v="-18.498000000000001"/>
    <n v="-18.498000000000001"/>
    <n v="0"/>
    <x v="1"/>
    <n v="0"/>
    <n v="0"/>
    <n v="6"/>
    <n v="52"/>
    <n v="0"/>
    <n v="378.36"/>
    <n v="218.97"/>
    <m/>
    <n v="296.29306775323528"/>
    <n v="267.48149736117364"/>
    <n v="0"/>
    <n v="-6998.9032800000004"/>
    <n v="-4050.5070600000004"/>
    <n v="0"/>
    <n v="-5480.8291672993464"/>
    <n v="-4947.8727381869903"/>
  </r>
  <r>
    <s v="Sistema de Compensação"/>
    <x v="2"/>
    <x v="4"/>
    <x v="7"/>
    <x v="6"/>
    <x v="0"/>
    <x v="0"/>
    <x v="1"/>
    <x v="6"/>
    <n v="0"/>
    <n v="0"/>
    <n v="0.36"/>
    <n v="0.36"/>
    <n v="0.36"/>
    <n v="0.36"/>
    <n v="0"/>
    <x v="1"/>
    <n v="0"/>
    <n v="0"/>
    <n v="6"/>
    <n v="52"/>
    <n v="0"/>
    <n v="378.36"/>
    <n v="218.97"/>
    <m/>
    <n v="296.29306775323528"/>
    <n v="267.48149736117364"/>
    <n v="0"/>
    <n v="136.20959999999999"/>
    <n v="78.8292"/>
    <n v="0"/>
    <n v="106.6655043911647"/>
    <n v="96.29333905002251"/>
  </r>
  <r>
    <s v="Sistema de Compensação"/>
    <x v="2"/>
    <x v="4"/>
    <x v="7"/>
    <x v="6"/>
    <x v="0"/>
    <x v="0"/>
    <x v="1"/>
    <x v="6"/>
    <n v="0"/>
    <n v="0"/>
    <n v="-8.2000000000000003E-2"/>
    <n v="-8.2000000000000003E-2"/>
    <n v="-8.2000000000000003E-2"/>
    <n v="-8.2000000000000003E-2"/>
    <n v="0"/>
    <x v="1"/>
    <n v="0"/>
    <n v="0"/>
    <n v="6"/>
    <n v="52"/>
    <n v="0"/>
    <n v="378.36"/>
    <n v="218.97"/>
    <m/>
    <n v="296.29306775323528"/>
    <n v="267.48149736117364"/>
    <n v="0"/>
    <n v="-31.025520000000004"/>
    <n v="-17.955539999999999"/>
    <n v="0"/>
    <n v="-24.296031555765293"/>
    <n v="-21.933482783616238"/>
  </r>
  <r>
    <s v="Regular"/>
    <x v="2"/>
    <x v="4"/>
    <x v="7"/>
    <x v="6"/>
    <x v="0"/>
    <x v="0"/>
    <x v="1"/>
    <x v="7"/>
    <n v="0"/>
    <n v="0"/>
    <n v="3776.489"/>
    <n v="3776.489"/>
    <n v="3776.489"/>
    <n v="3776.489"/>
    <n v="22898"/>
    <x v="1"/>
    <n v="0"/>
    <n v="0"/>
    <n v="6"/>
    <n v="52"/>
    <n v="0"/>
    <n v="378.36"/>
    <n v="218.97"/>
    <m/>
    <n v="296.29306775323528"/>
    <n v="267.48149736117364"/>
    <n v="0"/>
    <n v="1428872.3780400001"/>
    <n v="826937.79633000004"/>
    <n v="0"/>
    <n v="1118947.5111463477"/>
    <n v="1010140.9324880013"/>
  </r>
  <r>
    <s v="Refaturamento - Regular"/>
    <x v="2"/>
    <x v="4"/>
    <x v="7"/>
    <x v="6"/>
    <x v="0"/>
    <x v="0"/>
    <x v="1"/>
    <x v="7"/>
    <n v="0"/>
    <n v="0"/>
    <n v="-10.093"/>
    <n v="-10.093"/>
    <n v="-10.093"/>
    <n v="-10.093"/>
    <n v="0"/>
    <x v="1"/>
    <n v="0"/>
    <n v="0"/>
    <n v="6"/>
    <n v="52"/>
    <n v="0"/>
    <n v="378.36"/>
    <n v="218.97"/>
    <m/>
    <n v="296.29306775323528"/>
    <n v="267.48149736117364"/>
    <n v="0"/>
    <n v="-3818.78748"/>
    <n v="-2210.06421"/>
    <n v="0"/>
    <n v="-2990.4859328334037"/>
    <n v="-2699.6907528663255"/>
  </r>
  <r>
    <s v="Sistema Isolado - Regular"/>
    <x v="2"/>
    <x v="4"/>
    <x v="7"/>
    <x v="6"/>
    <x v="0"/>
    <x v="0"/>
    <x v="1"/>
    <x v="7"/>
    <n v="0"/>
    <n v="0"/>
    <n v="5385.8019999999997"/>
    <n v="5385.8019999999997"/>
    <n v="5385.8019999999997"/>
    <n v="5385.8019999999997"/>
    <n v="47978"/>
    <x v="1"/>
    <n v="0"/>
    <n v="0"/>
    <n v="6"/>
    <n v="52"/>
    <n v="0"/>
    <n v="378.36"/>
    <n v="218.97"/>
    <m/>
    <n v="296.29306775323528"/>
    <n v="267.48149736117364"/>
    <n v="0"/>
    <n v="2037772.0447199999"/>
    <n v="1179329.06394"/>
    <n v="0"/>
    <n v="1595775.79689151"/>
    <n v="1440602.3834508036"/>
  </r>
  <r>
    <s v="Sistema Isolado - Refaturamento"/>
    <x v="2"/>
    <x v="4"/>
    <x v="7"/>
    <x v="6"/>
    <x v="0"/>
    <x v="0"/>
    <x v="1"/>
    <x v="7"/>
    <n v="0"/>
    <n v="0"/>
    <n v="-13.67"/>
    <n v="-13.67"/>
    <n v="-13.67"/>
    <n v="-13.67"/>
    <n v="0"/>
    <x v="1"/>
    <n v="0"/>
    <n v="0"/>
    <n v="6"/>
    <n v="52"/>
    <n v="0"/>
    <n v="378.36"/>
    <n v="218.97"/>
    <m/>
    <n v="296.29306775323528"/>
    <n v="267.48149736117364"/>
    <n v="0"/>
    <n v="-5172.1812"/>
    <n v="-2993.3199"/>
    <n v="0"/>
    <n v="-4050.3262361867264"/>
    <n v="-3656.4720689272435"/>
  </r>
  <r>
    <s v="Sistema de Compensação"/>
    <x v="2"/>
    <x v="4"/>
    <x v="7"/>
    <x v="6"/>
    <x v="0"/>
    <x v="0"/>
    <x v="1"/>
    <x v="7"/>
    <n v="0"/>
    <n v="0"/>
    <n v="0.48"/>
    <n v="0.48"/>
    <n v="0.48"/>
    <n v="0.48"/>
    <n v="0"/>
    <x v="1"/>
    <n v="0"/>
    <n v="0"/>
    <n v="6"/>
    <n v="52"/>
    <n v="0"/>
    <n v="378.36"/>
    <n v="218.97"/>
    <m/>
    <n v="296.29306775323528"/>
    <n v="267.48149736117364"/>
    <n v="0"/>
    <n v="181.61279999999999"/>
    <n v="105.1056"/>
    <n v="0"/>
    <n v="142.22067252155293"/>
    <n v="128.39111873336333"/>
  </r>
  <r>
    <s v="Regular"/>
    <x v="2"/>
    <x v="4"/>
    <x v="7"/>
    <x v="6"/>
    <x v="0"/>
    <x v="0"/>
    <x v="1"/>
    <x v="8"/>
    <n v="0"/>
    <n v="0"/>
    <n v="3521.1669999999999"/>
    <n v="3521.1669999999999"/>
    <n v="3521.1669999999999"/>
    <n v="3521.1669999999999"/>
    <n v="23479"/>
    <x v="1"/>
    <n v="0"/>
    <n v="0"/>
    <n v="6"/>
    <n v="52"/>
    <n v="0"/>
    <n v="378.36"/>
    <n v="218.97"/>
    <m/>
    <n v="296.29306775323528"/>
    <n v="267.48149736117364"/>
    <n v="0"/>
    <n v="1332268.74612"/>
    <n v="771029.93799000001"/>
    <n v="0"/>
    <n v="1043297.3725014562"/>
    <n v="941847.02161875169"/>
  </r>
  <r>
    <s v="Refaturamento - Regular"/>
    <x v="2"/>
    <x v="4"/>
    <x v="7"/>
    <x v="6"/>
    <x v="0"/>
    <x v="0"/>
    <x v="1"/>
    <x v="8"/>
    <n v="0"/>
    <n v="0"/>
    <n v="-21.87"/>
    <n v="-21.87"/>
    <n v="-21.87"/>
    <n v="-21.87"/>
    <n v="0"/>
    <x v="1"/>
    <n v="0"/>
    <n v="0"/>
    <n v="6"/>
    <n v="52"/>
    <n v="0"/>
    <n v="378.36"/>
    <n v="218.97"/>
    <m/>
    <n v="296.29306775323528"/>
    <n v="267.48149736117364"/>
    <n v="0"/>
    <n v="-8274.7332000000006"/>
    <n v="-4788.8739000000005"/>
    <n v="0"/>
    <n v="-6479.9293917632558"/>
    <n v="-5849.8203472888681"/>
  </r>
  <r>
    <s v="Sistema Isolado - Regular"/>
    <x v="2"/>
    <x v="4"/>
    <x v="7"/>
    <x v="6"/>
    <x v="0"/>
    <x v="0"/>
    <x v="1"/>
    <x v="8"/>
    <n v="0"/>
    <n v="0"/>
    <n v="4833.4799999999996"/>
    <n v="4833.4799999999996"/>
    <n v="4833.4799999999996"/>
    <n v="4833.4799999999996"/>
    <n v="47063"/>
    <x v="1"/>
    <n v="0"/>
    <n v="0"/>
    <n v="6"/>
    <n v="52"/>
    <n v="0"/>
    <n v="378.36"/>
    <n v="218.97"/>
    <m/>
    <n v="296.29306775323528"/>
    <n v="267.48149736117364"/>
    <n v="0"/>
    <n v="1828795.4927999999"/>
    <n v="1058387.1155999999"/>
    <n v="0"/>
    <n v="1432126.6171239074"/>
    <n v="1292866.4678652855"/>
  </r>
  <r>
    <s v="Sistema Isolado - Refaturamento"/>
    <x v="2"/>
    <x v="4"/>
    <x v="7"/>
    <x v="6"/>
    <x v="0"/>
    <x v="0"/>
    <x v="1"/>
    <x v="8"/>
    <n v="0"/>
    <n v="0"/>
    <n v="-14.898"/>
    <n v="-14.898"/>
    <n v="-14.898"/>
    <n v="-14.898"/>
    <n v="0"/>
    <x v="1"/>
    <n v="0"/>
    <n v="0"/>
    <n v="6"/>
    <n v="52"/>
    <n v="0"/>
    <n v="378.36"/>
    <n v="218.97"/>
    <m/>
    <n v="296.29306775323528"/>
    <n v="267.48149736117364"/>
    <n v="0"/>
    <n v="-5636.80728"/>
    <n v="-3262.21506"/>
    <n v="0"/>
    <n v="-4414.1741233876992"/>
    <n v="-3984.9393476867649"/>
  </r>
  <r>
    <s v="Sistema de Compensação"/>
    <x v="2"/>
    <x v="4"/>
    <x v="7"/>
    <x v="6"/>
    <x v="0"/>
    <x v="0"/>
    <x v="1"/>
    <x v="8"/>
    <n v="0"/>
    <n v="0"/>
    <n v="0.44900000000000001"/>
    <n v="0.44900000000000001"/>
    <n v="0.44900000000000001"/>
    <n v="0.44900000000000001"/>
    <n v="0"/>
    <x v="1"/>
    <n v="0"/>
    <n v="0"/>
    <n v="6"/>
    <n v="52"/>
    <n v="0"/>
    <n v="378.36"/>
    <n v="218.97"/>
    <m/>
    <n v="296.29306775323528"/>
    <n v="267.48149736117364"/>
    <n v="0"/>
    <n v="169.88364000000001"/>
    <n v="98.317530000000005"/>
    <n v="0"/>
    <n v="133.03558742120265"/>
    <n v="120.09919231516696"/>
  </r>
  <r>
    <s v="Regular"/>
    <x v="2"/>
    <x v="4"/>
    <x v="7"/>
    <x v="6"/>
    <x v="0"/>
    <x v="0"/>
    <x v="1"/>
    <x v="9"/>
    <n v="0"/>
    <n v="0"/>
    <n v="3850.3139999999999"/>
    <n v="3850.3139999999999"/>
    <n v="3850.3139999999999"/>
    <n v="3850.3139999999999"/>
    <n v="22755"/>
    <x v="1"/>
    <n v="0"/>
    <n v="0"/>
    <n v="6"/>
    <n v="52"/>
    <n v="0"/>
    <n v="378.36"/>
    <n v="218.97"/>
    <m/>
    <n v="296.29306775323528"/>
    <n v="267.48149736117364"/>
    <n v="0"/>
    <n v="1456804.80504"/>
    <n v="843103.25657999993"/>
    <n v="0"/>
    <n v="1140821.3468732303"/>
    <n v="1029887.7540306898"/>
  </r>
  <r>
    <s v="Refaturamento - Regular"/>
    <x v="2"/>
    <x v="4"/>
    <x v="7"/>
    <x v="6"/>
    <x v="0"/>
    <x v="0"/>
    <x v="1"/>
    <x v="9"/>
    <n v="0"/>
    <n v="0"/>
    <n v="-22.31"/>
    <n v="-22.31"/>
    <n v="-22.31"/>
    <n v="-22.31"/>
    <n v="0"/>
    <x v="1"/>
    <n v="0"/>
    <n v="0"/>
    <n v="6"/>
    <n v="52"/>
    <n v="0"/>
    <n v="378.36"/>
    <n v="218.97"/>
    <m/>
    <n v="296.29306775323528"/>
    <n v="267.48149736117364"/>
    <n v="0"/>
    <n v="-8441.2116000000005"/>
    <n v="-4885.2206999999999"/>
    <n v="0"/>
    <n v="-6610.2983415746785"/>
    <n v="-5967.5122061277834"/>
  </r>
  <r>
    <s v="Sistema Isolado - Regular"/>
    <x v="2"/>
    <x v="4"/>
    <x v="7"/>
    <x v="6"/>
    <x v="0"/>
    <x v="0"/>
    <x v="1"/>
    <x v="9"/>
    <n v="0"/>
    <n v="0"/>
    <n v="5247.9040000000005"/>
    <n v="5247.9040000000005"/>
    <n v="5247.9040000000005"/>
    <n v="5247.9040000000005"/>
    <n v="47418"/>
    <x v="1"/>
    <n v="0"/>
    <n v="0"/>
    <n v="6"/>
    <n v="52"/>
    <n v="0"/>
    <n v="378.36"/>
    <n v="218.97"/>
    <m/>
    <n v="296.29306775323528"/>
    <n v="267.48149736117364"/>
    <n v="0"/>
    <n v="1985596.9574400003"/>
    <n v="1149133.5388800001"/>
    <n v="0"/>
    <n v="1554917.5754344745"/>
    <n v="1403717.2199276928"/>
  </r>
  <r>
    <s v="Sistema Isolado - Refaturamento"/>
    <x v="2"/>
    <x v="4"/>
    <x v="7"/>
    <x v="6"/>
    <x v="0"/>
    <x v="0"/>
    <x v="1"/>
    <x v="9"/>
    <n v="0"/>
    <n v="0"/>
    <n v="-13.375"/>
    <n v="-13.375"/>
    <n v="-13.375"/>
    <n v="-13.375"/>
    <n v="0"/>
    <x v="1"/>
    <n v="0"/>
    <n v="0"/>
    <n v="6"/>
    <n v="52"/>
    <n v="0"/>
    <n v="378.36"/>
    <n v="218.97"/>
    <m/>
    <n v="296.29306775323528"/>
    <n v="267.48149736117364"/>
    <n v="0"/>
    <n v="-5060.5650000000005"/>
    <n v="-2928.7237500000001"/>
    <n v="0"/>
    <n v="-3962.9197811995218"/>
    <n v="-3577.5650272056973"/>
  </r>
  <r>
    <s v="Sistema de Compensação"/>
    <x v="2"/>
    <x v="4"/>
    <x v="7"/>
    <x v="6"/>
    <x v="0"/>
    <x v="0"/>
    <x v="1"/>
    <x v="9"/>
    <n v="0"/>
    <n v="0"/>
    <n v="0.52200000000000002"/>
    <n v="0.52200000000000002"/>
    <n v="0.52200000000000002"/>
    <n v="0.52200000000000002"/>
    <n v="0"/>
    <x v="1"/>
    <n v="0"/>
    <n v="0"/>
    <n v="6"/>
    <n v="52"/>
    <n v="0"/>
    <n v="378.36"/>
    <n v="218.97"/>
    <m/>
    <n v="296.29306775323528"/>
    <n v="267.48149736117364"/>
    <n v="0"/>
    <n v="197.50392000000002"/>
    <n v="114.30234"/>
    <n v="0"/>
    <n v="154.66498136718883"/>
    <n v="139.62534162253263"/>
  </r>
  <r>
    <s v="Regular"/>
    <x v="2"/>
    <x v="4"/>
    <x v="7"/>
    <x v="6"/>
    <x v="0"/>
    <x v="0"/>
    <x v="1"/>
    <x v="10"/>
    <n v="0"/>
    <n v="0"/>
    <n v="3905.8760000000002"/>
    <n v="3905.8760000000002"/>
    <n v="3905.8760000000002"/>
    <n v="3905.8760000000002"/>
    <n v="22717"/>
    <x v="1"/>
    <n v="0"/>
    <n v="0"/>
    <n v="6"/>
    <n v="52"/>
    <n v="0"/>
    <n v="378.36"/>
    <n v="218.97"/>
    <m/>
    <n v="296.29306775323528"/>
    <n v="267.48149736117364"/>
    <n v="0"/>
    <n v="1477827.2433600002"/>
    <n v="855269.66772000003"/>
    <n v="0"/>
    <n v="1157283.9823037356"/>
    <n v="1044749.5609870715"/>
  </r>
  <r>
    <s v="Refaturamento - Regular"/>
    <x v="2"/>
    <x v="4"/>
    <x v="7"/>
    <x v="6"/>
    <x v="0"/>
    <x v="0"/>
    <x v="1"/>
    <x v="10"/>
    <n v="0"/>
    <n v="0"/>
    <n v="-6.4509999999999996"/>
    <n v="-6.4509999999999996"/>
    <n v="-6.4509999999999996"/>
    <n v="-6.4509999999999996"/>
    <n v="0"/>
    <x v="1"/>
    <n v="0"/>
    <n v="0"/>
    <n v="6"/>
    <n v="52"/>
    <n v="0"/>
    <n v="378.36"/>
    <n v="218.97"/>
    <m/>
    <n v="296.29306775323528"/>
    <n v="267.48149736117364"/>
    <n v="0"/>
    <n v="-2440.8003599999997"/>
    <n v="-1412.57547"/>
    <n v="0"/>
    <n v="-1911.3865800761207"/>
    <n v="-1725.523139476931"/>
  </r>
  <r>
    <s v="Sistema Isolado - Regular"/>
    <x v="2"/>
    <x v="4"/>
    <x v="7"/>
    <x v="6"/>
    <x v="0"/>
    <x v="0"/>
    <x v="1"/>
    <x v="10"/>
    <n v="0"/>
    <n v="0"/>
    <n v="5581.9650000000001"/>
    <n v="5581.9650000000001"/>
    <n v="5581.9650000000001"/>
    <n v="5581.9650000000001"/>
    <n v="47692"/>
    <x v="1"/>
    <n v="0"/>
    <n v="0"/>
    <n v="6"/>
    <n v="52"/>
    <n v="0"/>
    <n v="378.36"/>
    <n v="218.97"/>
    <m/>
    <n v="296.29306775323528"/>
    <n v="267.48149736117364"/>
    <n v="0"/>
    <n v="2111992.2774"/>
    <n v="1222282.8760500001"/>
    <n v="0"/>
    <n v="1653897.5339411879"/>
    <n v="1493072.3564176636"/>
  </r>
  <r>
    <s v="Sistema Isolado - Refaturamento"/>
    <x v="2"/>
    <x v="4"/>
    <x v="7"/>
    <x v="6"/>
    <x v="0"/>
    <x v="0"/>
    <x v="1"/>
    <x v="10"/>
    <n v="0"/>
    <n v="0"/>
    <n v="-10.782999999999999"/>
    <n v="-10.782999999999999"/>
    <n v="-10.782999999999999"/>
    <n v="-10.782999999999999"/>
    <n v="0"/>
    <x v="1"/>
    <n v="0"/>
    <n v="0"/>
    <n v="6"/>
    <n v="52"/>
    <n v="0"/>
    <n v="378.36"/>
    <n v="218.97"/>
    <m/>
    <n v="296.29306775323528"/>
    <n v="267.48149736117364"/>
    <n v="0"/>
    <n v="-4079.8558800000001"/>
    <n v="-2361.1535100000001"/>
    <n v="0"/>
    <n v="-3194.928149583136"/>
    <n v="-2884.2529860455352"/>
  </r>
  <r>
    <s v="Sistema de Compensação"/>
    <x v="2"/>
    <x v="4"/>
    <x v="7"/>
    <x v="6"/>
    <x v="0"/>
    <x v="0"/>
    <x v="1"/>
    <x v="10"/>
    <n v="0"/>
    <n v="0"/>
    <n v="0.72"/>
    <n v="0.72"/>
    <n v="0.72"/>
    <n v="0.72"/>
    <n v="0"/>
    <x v="1"/>
    <n v="0"/>
    <n v="0"/>
    <n v="6"/>
    <n v="52"/>
    <n v="0"/>
    <n v="378.36"/>
    <n v="218.97"/>
    <m/>
    <n v="296.29306775323528"/>
    <n v="267.48149736117364"/>
    <n v="0"/>
    <n v="272.41919999999999"/>
    <n v="157.6584"/>
    <n v="0"/>
    <n v="213.33100878232941"/>
    <n v="192.58667810004502"/>
  </r>
  <r>
    <s v="PROJETADO"/>
    <x v="2"/>
    <x v="4"/>
    <x v="7"/>
    <x v="6"/>
    <x v="0"/>
    <x v="0"/>
    <x v="1"/>
    <x v="11"/>
    <n v="0"/>
    <n v="0"/>
    <n v="3905.8760000000002"/>
    <n v="3905.8760000000002"/>
    <n v="3905.8760000000002"/>
    <n v="3905.8760000000002"/>
    <n v="22717"/>
    <x v="1"/>
    <n v="0"/>
    <n v="0"/>
    <n v="6"/>
    <n v="52"/>
    <n v="0"/>
    <n v="378.36"/>
    <n v="218.97"/>
    <m/>
    <n v="296.29306775323528"/>
    <n v="267.48149736117364"/>
    <n v="0"/>
    <n v="1477827.2433600002"/>
    <n v="855269.66772000003"/>
    <n v="0"/>
    <n v="1157283.9823037356"/>
    <n v="1044749.5609870715"/>
  </r>
  <r>
    <s v="PROJETADO"/>
    <x v="2"/>
    <x v="4"/>
    <x v="7"/>
    <x v="6"/>
    <x v="0"/>
    <x v="0"/>
    <x v="1"/>
    <x v="11"/>
    <n v="0"/>
    <n v="0"/>
    <n v="-6.4509999999999996"/>
    <n v="-6.4509999999999996"/>
    <n v="-6.4509999999999996"/>
    <n v="-6.4509999999999996"/>
    <n v="0"/>
    <x v="1"/>
    <n v="0"/>
    <n v="0"/>
    <n v="6"/>
    <n v="52"/>
    <n v="0"/>
    <n v="378.36"/>
    <n v="218.97"/>
    <m/>
    <n v="296.29306775323528"/>
    <n v="267.48149736117364"/>
    <n v="0"/>
    <n v="-2440.8003599999997"/>
    <n v="-1412.57547"/>
    <n v="0"/>
    <n v="-1911.3865800761207"/>
    <n v="-1725.523139476931"/>
  </r>
  <r>
    <s v="PROJETADO"/>
    <x v="2"/>
    <x v="4"/>
    <x v="7"/>
    <x v="6"/>
    <x v="0"/>
    <x v="0"/>
    <x v="1"/>
    <x v="11"/>
    <n v="0"/>
    <n v="0"/>
    <n v="5581.9650000000001"/>
    <n v="5581.9650000000001"/>
    <n v="5581.9650000000001"/>
    <n v="5581.9650000000001"/>
    <n v="47692"/>
    <x v="1"/>
    <n v="0"/>
    <n v="0"/>
    <n v="6"/>
    <n v="52"/>
    <n v="0"/>
    <n v="378.36"/>
    <n v="218.97"/>
    <m/>
    <n v="296.29306775323528"/>
    <n v="267.48149736117364"/>
    <n v="0"/>
    <n v="2111992.2774"/>
    <n v="1222282.8760500001"/>
    <n v="0"/>
    <n v="1653897.5339411879"/>
    <n v="1493072.3564176636"/>
  </r>
  <r>
    <s v="PROJETADO"/>
    <x v="2"/>
    <x v="4"/>
    <x v="7"/>
    <x v="6"/>
    <x v="0"/>
    <x v="0"/>
    <x v="1"/>
    <x v="11"/>
    <n v="0"/>
    <n v="0"/>
    <n v="-10.782999999999999"/>
    <n v="-10.782999999999999"/>
    <n v="-10.782999999999999"/>
    <n v="-10.782999999999999"/>
    <n v="0"/>
    <x v="1"/>
    <n v="0"/>
    <n v="0"/>
    <n v="6"/>
    <n v="52"/>
    <n v="0"/>
    <n v="378.36"/>
    <n v="218.97"/>
    <m/>
    <n v="296.29306775323528"/>
    <n v="267.48149736117364"/>
    <n v="0"/>
    <n v="-4079.8558800000001"/>
    <n v="-2361.1535100000001"/>
    <n v="0"/>
    <n v="-3194.928149583136"/>
    <n v="-2884.2529860455352"/>
  </r>
  <r>
    <s v="PROJETADO"/>
    <x v="2"/>
    <x v="4"/>
    <x v="7"/>
    <x v="6"/>
    <x v="0"/>
    <x v="0"/>
    <x v="1"/>
    <x v="11"/>
    <n v="0"/>
    <n v="0"/>
    <n v="0.72"/>
    <n v="0.72"/>
    <n v="0.72"/>
    <n v="0.72"/>
    <n v="0"/>
    <x v="1"/>
    <n v="0"/>
    <n v="0"/>
    <n v="6"/>
    <n v="52"/>
    <n v="0"/>
    <n v="378.36"/>
    <n v="218.97"/>
    <m/>
    <n v="296.29306775323528"/>
    <n v="267.48149736117364"/>
    <n v="0"/>
    <n v="272.41919999999999"/>
    <n v="157.6584"/>
    <n v="0"/>
    <n v="213.33100878232941"/>
    <n v="192.58667810004502"/>
  </r>
  <r>
    <s v="Regular"/>
    <x v="2"/>
    <x v="4"/>
    <x v="7"/>
    <x v="7"/>
    <x v="0"/>
    <x v="0"/>
    <x v="1"/>
    <x v="0"/>
    <n v="0"/>
    <n v="0"/>
    <n v="3173.7080000000001"/>
    <n v="3173.7080000000001"/>
    <n v="3173.7080000000001"/>
    <n v="3173.7080000000001"/>
    <n v="16181"/>
    <x v="1"/>
    <n v="0"/>
    <n v="0"/>
    <n v="7"/>
    <n v="53"/>
    <n v="0"/>
    <n v="420.39"/>
    <n v="243.3"/>
    <m/>
    <n v="329.21451972581696"/>
    <n v="297.20166373463735"/>
    <n v="0"/>
    <n v="1334195.1061199999"/>
    <n v="772163.15640000009"/>
    <n v="0"/>
    <n v="1044830.7549699831"/>
    <n v="943231.29780792841"/>
  </r>
  <r>
    <s v="Refaturamento - Regular"/>
    <x v="2"/>
    <x v="4"/>
    <x v="7"/>
    <x v="7"/>
    <x v="0"/>
    <x v="0"/>
    <x v="1"/>
    <x v="0"/>
    <n v="0"/>
    <n v="0"/>
    <n v="-58.045999999999999"/>
    <n v="-58.045999999999999"/>
    <n v="-58.045999999999999"/>
    <n v="-58.045999999999999"/>
    <n v="-102"/>
    <x v="1"/>
    <n v="0"/>
    <n v="0"/>
    <n v="7"/>
    <n v="53"/>
    <n v="0"/>
    <n v="420.39"/>
    <n v="243.3"/>
    <m/>
    <n v="329.21451972581696"/>
    <n v="297.20166373463735"/>
    <n v="0"/>
    <n v="-24401.95794"/>
    <n v="-14122.5918"/>
    <n v="0"/>
    <n v="-19109.586012004769"/>
    <n v="-17251.367773140759"/>
  </r>
  <r>
    <s v="Sistema Isolado - Regular"/>
    <x v="2"/>
    <x v="4"/>
    <x v="7"/>
    <x v="7"/>
    <x v="0"/>
    <x v="0"/>
    <x v="1"/>
    <x v="0"/>
    <n v="0"/>
    <n v="0"/>
    <n v="3090.0459999999998"/>
    <n v="3090.0459999999998"/>
    <n v="3090.0459999999998"/>
    <n v="3090.0459999999998"/>
    <n v="22179"/>
    <x v="1"/>
    <n v="0"/>
    <n v="0"/>
    <n v="7"/>
    <n v="53"/>
    <n v="0"/>
    <n v="420.39"/>
    <n v="243.3"/>
    <m/>
    <n v="329.21451972581696"/>
    <n v="297.20166373463735"/>
    <n v="0"/>
    <n v="1299024.4379399999"/>
    <n v="751808.19180000003"/>
    <n v="0"/>
    <n v="1017288.0098206818"/>
    <n v="918366.81221656117"/>
  </r>
  <r>
    <s v="Sistema Isolado - Refaturamento"/>
    <x v="2"/>
    <x v="4"/>
    <x v="7"/>
    <x v="7"/>
    <x v="0"/>
    <x v="0"/>
    <x v="1"/>
    <x v="0"/>
    <n v="0"/>
    <n v="0"/>
    <n v="-26.347999999999999"/>
    <n v="-26.347999999999999"/>
    <n v="-26.347999999999999"/>
    <n v="-26.347999999999999"/>
    <n v="-89"/>
    <x v="1"/>
    <n v="0"/>
    <n v="0"/>
    <n v="7"/>
    <n v="53"/>
    <n v="0"/>
    <n v="420.39"/>
    <n v="243.3"/>
    <m/>
    <n v="329.21451972581696"/>
    <n v="297.20166373463735"/>
    <n v="0"/>
    <n v="-11076.435719999999"/>
    <n v="-6410.4683999999997"/>
    <n v="0"/>
    <n v="-8674.1441657358246"/>
    <n v="-7830.6694360802248"/>
  </r>
  <r>
    <s v="Regular"/>
    <x v="2"/>
    <x v="4"/>
    <x v="7"/>
    <x v="7"/>
    <x v="0"/>
    <x v="0"/>
    <x v="1"/>
    <x v="1"/>
    <n v="0"/>
    <n v="0"/>
    <n v="3304.6930000000002"/>
    <n v="3304.6930000000002"/>
    <n v="3304.6930000000002"/>
    <n v="3304.6930000000002"/>
    <n v="17972"/>
    <x v="1"/>
    <n v="0"/>
    <n v="0"/>
    <n v="7"/>
    <n v="53"/>
    <n v="0"/>
    <n v="420.39"/>
    <n v="243.3"/>
    <m/>
    <n v="329.21451972581696"/>
    <n v="297.20166373463735"/>
    <n v="0"/>
    <n v="1389259.8902700001"/>
    <n v="804031.80690000008"/>
    <n v="0"/>
    <n v="1087952.9188362693"/>
    <n v="982160.25773220998"/>
  </r>
  <r>
    <s v="Refaturamento - Regular"/>
    <x v="2"/>
    <x v="4"/>
    <x v="7"/>
    <x v="7"/>
    <x v="0"/>
    <x v="0"/>
    <x v="1"/>
    <x v="1"/>
    <n v="0"/>
    <n v="0"/>
    <n v="-39.036999999999999"/>
    <n v="-39.036999999999999"/>
    <n v="-39.036999999999999"/>
    <n v="-39.036999999999999"/>
    <n v="0"/>
    <x v="1"/>
    <n v="0"/>
    <n v="0"/>
    <n v="7"/>
    <n v="53"/>
    <n v="0"/>
    <n v="420.39"/>
    <n v="243.3"/>
    <m/>
    <n v="329.21451972581696"/>
    <n v="297.20166373463735"/>
    <n v="0"/>
    <n v="-16410.764429999999"/>
    <n v="-9497.7021000000004"/>
    <n v="0"/>
    <n v="-12851.547206536716"/>
    <n v="-11601.861347209038"/>
  </r>
  <r>
    <s v="Sistema Isolado - Regular"/>
    <x v="2"/>
    <x v="4"/>
    <x v="7"/>
    <x v="7"/>
    <x v="0"/>
    <x v="0"/>
    <x v="1"/>
    <x v="1"/>
    <n v="0"/>
    <n v="0"/>
    <n v="2920.3449999999998"/>
    <n v="2920.3449999999998"/>
    <n v="2920.3449999999998"/>
    <n v="2920.3449999999998"/>
    <n v="22588"/>
    <x v="1"/>
    <n v="0"/>
    <n v="0"/>
    <n v="7"/>
    <n v="53"/>
    <n v="0"/>
    <n v="420.39"/>
    <n v="243.3"/>
    <m/>
    <n v="329.21451972581696"/>
    <n v="297.20166373463735"/>
    <n v="0"/>
    <n v="1227683.8345499998"/>
    <n v="710519.93849999993"/>
    <n v="0"/>
    <n v="961419.97660869081"/>
    <n v="867931.39267912949"/>
  </r>
  <r>
    <s v="Sistema Isolado - Refaturamento"/>
    <x v="2"/>
    <x v="4"/>
    <x v="7"/>
    <x v="7"/>
    <x v="0"/>
    <x v="0"/>
    <x v="1"/>
    <x v="1"/>
    <n v="0"/>
    <n v="0"/>
    <n v="-37.067"/>
    <n v="-37.067"/>
    <n v="-37.067"/>
    <n v="-37.067"/>
    <n v="0"/>
    <x v="1"/>
    <n v="0"/>
    <n v="0"/>
    <n v="7"/>
    <n v="53"/>
    <n v="0"/>
    <n v="420.39"/>
    <n v="243.3"/>
    <m/>
    <n v="329.21451972581696"/>
    <n v="297.20166373463735"/>
    <n v="0"/>
    <n v="-15582.59613"/>
    <n v="-9018.401100000001"/>
    <n v="0"/>
    <n v="-12202.994602676858"/>
    <n v="-11016.374069651803"/>
  </r>
  <r>
    <s v="Regular"/>
    <x v="2"/>
    <x v="4"/>
    <x v="7"/>
    <x v="7"/>
    <x v="0"/>
    <x v="0"/>
    <x v="1"/>
    <x v="2"/>
    <n v="0"/>
    <n v="0"/>
    <n v="3638.5790000000002"/>
    <n v="3638.5790000000002"/>
    <n v="3638.5790000000002"/>
    <n v="3638.5790000000002"/>
    <n v="19455"/>
    <x v="1"/>
    <n v="0"/>
    <n v="0"/>
    <n v="7"/>
    <n v="53"/>
    <n v="0"/>
    <n v="420.39"/>
    <n v="243.3"/>
    <m/>
    <n v="329.21451972581696"/>
    <n v="297.20166373463735"/>
    <n v="0"/>
    <n v="1529622.22581"/>
    <n v="885266.27070000011"/>
    <n v="0"/>
    <n v="1197873.0379694435"/>
    <n v="1081391.732429913"/>
  </r>
  <r>
    <s v="Refaturamento - Regular"/>
    <x v="2"/>
    <x v="4"/>
    <x v="7"/>
    <x v="7"/>
    <x v="0"/>
    <x v="0"/>
    <x v="1"/>
    <x v="2"/>
    <n v="0"/>
    <n v="0"/>
    <n v="-45.874000000000002"/>
    <n v="-45.874000000000002"/>
    <n v="-45.874000000000002"/>
    <n v="-45.874000000000002"/>
    <n v="0"/>
    <x v="1"/>
    <n v="0"/>
    <n v="0"/>
    <n v="7"/>
    <n v="53"/>
    <n v="0"/>
    <n v="420.39"/>
    <n v="243.3"/>
    <m/>
    <n v="329.21451972581696"/>
    <n v="297.20166373463735"/>
    <n v="0"/>
    <n v="-19284.970860000001"/>
    <n v="-11161.144200000001"/>
    <n v="0"/>
    <n v="-15102.386877902129"/>
    <n v="-13633.829122162755"/>
  </r>
  <r>
    <s v="Sistema Isolado - Regular"/>
    <x v="2"/>
    <x v="4"/>
    <x v="7"/>
    <x v="7"/>
    <x v="0"/>
    <x v="0"/>
    <x v="1"/>
    <x v="2"/>
    <n v="0"/>
    <n v="0"/>
    <n v="2588.674"/>
    <n v="2588.674"/>
    <n v="2588.674"/>
    <n v="2588.674"/>
    <n v="20751"/>
    <x v="1"/>
    <n v="0"/>
    <n v="0"/>
    <n v="7"/>
    <n v="53"/>
    <n v="0"/>
    <n v="420.39"/>
    <n v="243.3"/>
    <m/>
    <n v="329.21451972581696"/>
    <n v="297.20166373463735"/>
    <n v="0"/>
    <n v="1088252.66286"/>
    <n v="629824.38419999997"/>
    <n v="0"/>
    <n v="852229.06763670943"/>
    <n v="769358.2196665986"/>
  </r>
  <r>
    <s v="Sistema Isolado - Refaturamento"/>
    <x v="2"/>
    <x v="4"/>
    <x v="7"/>
    <x v="7"/>
    <x v="0"/>
    <x v="0"/>
    <x v="1"/>
    <x v="2"/>
    <n v="0"/>
    <n v="0"/>
    <n v="-37.098999999999997"/>
    <n v="-37.098999999999997"/>
    <n v="-37.098999999999997"/>
    <n v="-37.098999999999997"/>
    <n v="0"/>
    <x v="1"/>
    <n v="0"/>
    <n v="0"/>
    <n v="7"/>
    <n v="53"/>
    <n v="0"/>
    <n v="420.39"/>
    <n v="243.3"/>
    <m/>
    <n v="329.21451972581696"/>
    <n v="297.20166373463735"/>
    <n v="0"/>
    <n v="-15596.048609999998"/>
    <n v="-9026.1867000000002"/>
    <n v="0"/>
    <n v="-12213.529467308083"/>
    <n v="-11025.884522891311"/>
  </r>
  <r>
    <s v="Regular"/>
    <x v="2"/>
    <x v="4"/>
    <x v="7"/>
    <x v="7"/>
    <x v="0"/>
    <x v="0"/>
    <x v="1"/>
    <x v="3"/>
    <n v="0"/>
    <n v="0"/>
    <n v="2583.326"/>
    <n v="2583.326"/>
    <n v="2583.326"/>
    <n v="2583.326"/>
    <n v="15165"/>
    <x v="1"/>
    <n v="0"/>
    <n v="0"/>
    <n v="7"/>
    <n v="53"/>
    <n v="0"/>
    <n v="420.39"/>
    <n v="243.3"/>
    <m/>
    <n v="329.21451972581696"/>
    <n v="297.20166373463735"/>
    <n v="0"/>
    <n v="1086004.41714"/>
    <n v="628523.21580000001"/>
    <n v="0"/>
    <n v="850468.42838521581"/>
    <n v="767768.78516894579"/>
  </r>
  <r>
    <s v="Refaturamento - Regular"/>
    <x v="2"/>
    <x v="4"/>
    <x v="7"/>
    <x v="7"/>
    <x v="0"/>
    <x v="0"/>
    <x v="1"/>
    <x v="3"/>
    <n v="0"/>
    <n v="0"/>
    <n v="-123.56699999999999"/>
    <n v="-123.56699999999999"/>
    <n v="-123.56699999999999"/>
    <n v="-123.56699999999999"/>
    <n v="0"/>
    <x v="1"/>
    <n v="0"/>
    <n v="0"/>
    <n v="7"/>
    <n v="53"/>
    <n v="0"/>
    <n v="420.39"/>
    <n v="243.3"/>
    <m/>
    <n v="329.21451972581696"/>
    <n v="297.20166373463735"/>
    <n v="0"/>
    <n v="-51946.331129999999"/>
    <n v="-30063.8511"/>
    <n v="0"/>
    <n v="-40680.050558960022"/>
    <n v="-36724.317982697932"/>
  </r>
  <r>
    <s v="Sistema Isolado - Regular"/>
    <x v="2"/>
    <x v="4"/>
    <x v="7"/>
    <x v="7"/>
    <x v="0"/>
    <x v="0"/>
    <x v="1"/>
    <x v="3"/>
    <n v="0"/>
    <n v="0"/>
    <n v="2367.0630000000001"/>
    <n v="2367.0630000000001"/>
    <n v="2367.0630000000001"/>
    <n v="2367.0630000000001"/>
    <n v="18784"/>
    <x v="1"/>
    <n v="0"/>
    <n v="0"/>
    <n v="7"/>
    <n v="53"/>
    <n v="0"/>
    <n v="420.39"/>
    <n v="243.3"/>
    <m/>
    <n v="329.21451972581696"/>
    <n v="297.20166373463735"/>
    <n v="0"/>
    <n v="995089.61456999998"/>
    <n v="575906.42790000001"/>
    <n v="0"/>
    <n v="779271.5087057515"/>
    <n v="703495.06176470197"/>
  </r>
  <r>
    <s v="Sistema Isolado - Refaturamento"/>
    <x v="2"/>
    <x v="4"/>
    <x v="7"/>
    <x v="7"/>
    <x v="0"/>
    <x v="0"/>
    <x v="1"/>
    <x v="3"/>
    <n v="0"/>
    <n v="0"/>
    <n v="-46.963000000000001"/>
    <n v="-46.963000000000001"/>
    <n v="-46.963000000000001"/>
    <n v="-46.963000000000001"/>
    <n v="0"/>
    <x v="1"/>
    <n v="0"/>
    <n v="0"/>
    <n v="7"/>
    <n v="53"/>
    <n v="0"/>
    <n v="420.39"/>
    <n v="243.3"/>
    <m/>
    <n v="329.21451972581696"/>
    <n v="297.20166373463735"/>
    <n v="0"/>
    <n v="-19742.775569999998"/>
    <n v="-11426.097900000001"/>
    <n v="0"/>
    <n v="-15460.901489883541"/>
    <n v="-13957.481733969775"/>
  </r>
  <r>
    <s v="Regular"/>
    <x v="2"/>
    <x v="4"/>
    <x v="7"/>
    <x v="7"/>
    <x v="0"/>
    <x v="0"/>
    <x v="1"/>
    <x v="4"/>
    <n v="0"/>
    <n v="0"/>
    <n v="3072.7719999999999"/>
    <n v="3072.7719999999999"/>
    <n v="3072.7719999999999"/>
    <n v="3072.7719999999999"/>
    <n v="17326"/>
    <x v="1"/>
    <n v="0"/>
    <n v="0"/>
    <n v="7"/>
    <n v="53"/>
    <n v="0"/>
    <n v="420.39"/>
    <n v="243.3"/>
    <m/>
    <n v="329.21451972581696"/>
    <n v="297.20166373463735"/>
    <n v="0"/>
    <n v="1291762.62108"/>
    <n v="747605.42760000005"/>
    <n v="0"/>
    <n v="1011601.158206938"/>
    <n v="913232.95067720907"/>
  </r>
  <r>
    <s v="Refaturamento - Regular"/>
    <x v="2"/>
    <x v="4"/>
    <x v="7"/>
    <x v="7"/>
    <x v="0"/>
    <x v="0"/>
    <x v="1"/>
    <x v="4"/>
    <n v="0"/>
    <n v="0"/>
    <n v="-92.253"/>
    <n v="-92.253"/>
    <n v="-92.253"/>
    <n v="-92.253"/>
    <n v="0"/>
    <x v="1"/>
    <n v="0"/>
    <n v="0"/>
    <n v="7"/>
    <n v="53"/>
    <n v="0"/>
    <n v="420.39"/>
    <n v="243.3"/>
    <m/>
    <n v="329.21451972581696"/>
    <n v="297.20166373463735"/>
    <n v="0"/>
    <n v="-38782.238669999999"/>
    <n v="-22445.154900000001"/>
    <n v="0"/>
    <n v="-30371.027088265793"/>
    <n v="-27417.745084511498"/>
  </r>
  <r>
    <s v="Sistema Isolado - Regular"/>
    <x v="2"/>
    <x v="4"/>
    <x v="7"/>
    <x v="7"/>
    <x v="0"/>
    <x v="0"/>
    <x v="1"/>
    <x v="4"/>
    <n v="0"/>
    <n v="0"/>
    <n v="2521.5030000000002"/>
    <n v="2521.5030000000002"/>
    <n v="2521.5030000000002"/>
    <n v="2521.5030000000002"/>
    <n v="19247"/>
    <x v="1"/>
    <n v="0"/>
    <n v="0"/>
    <n v="7"/>
    <n v="53"/>
    <n v="0"/>
    <n v="420.39"/>
    <n v="243.3"/>
    <m/>
    <n v="329.21451972581696"/>
    <n v="297.20166373463735"/>
    <n v="0"/>
    <n v="1060014.6461700001"/>
    <n v="613481.6799000001"/>
    <n v="0"/>
    <n v="830115.39913220669"/>
    <n v="749394.88671187928"/>
  </r>
  <r>
    <s v="Sistema Isolado - Refaturamento"/>
    <x v="2"/>
    <x v="4"/>
    <x v="7"/>
    <x v="7"/>
    <x v="0"/>
    <x v="0"/>
    <x v="1"/>
    <x v="4"/>
    <n v="0"/>
    <n v="0"/>
    <n v="-31.957000000000001"/>
    <n v="-31.957000000000001"/>
    <n v="-31.957000000000001"/>
    <n v="-31.957000000000001"/>
    <n v="0"/>
    <x v="1"/>
    <n v="0"/>
    <n v="0"/>
    <n v="7"/>
    <n v="53"/>
    <n v="0"/>
    <n v="420.39"/>
    <n v="243.3"/>
    <m/>
    <n v="329.21451972581696"/>
    <n v="297.20166373463735"/>
    <n v="0"/>
    <n v="-13434.40323"/>
    <n v="-7775.1381000000001"/>
    <n v="0"/>
    <n v="-10520.708406877933"/>
    <n v="-9497.6735679678059"/>
  </r>
  <r>
    <s v="Sistema de Compensação"/>
    <x v="2"/>
    <x v="4"/>
    <x v="7"/>
    <x v="7"/>
    <x v="0"/>
    <x v="0"/>
    <x v="1"/>
    <x v="4"/>
    <n v="0"/>
    <n v="0"/>
    <n v="9.9000000000000005E-2"/>
    <n v="9.9000000000000005E-2"/>
    <n v="9.9000000000000005E-2"/>
    <n v="9.9000000000000005E-2"/>
    <n v="2"/>
    <x v="1"/>
    <n v="0"/>
    <n v="0"/>
    <n v="7"/>
    <n v="53"/>
    <n v="0"/>
    <n v="420.39"/>
    <n v="243.3"/>
    <m/>
    <n v="329.21451972581696"/>
    <n v="297.20166373463735"/>
    <n v="0"/>
    <n v="41.618610000000004"/>
    <n v="24.086700000000004"/>
    <n v="0"/>
    <n v="32.592237452855883"/>
    <n v="29.422964709729101"/>
  </r>
  <r>
    <s v="Regular"/>
    <x v="2"/>
    <x v="4"/>
    <x v="7"/>
    <x v="7"/>
    <x v="0"/>
    <x v="0"/>
    <x v="1"/>
    <x v="5"/>
    <n v="0"/>
    <n v="0"/>
    <n v="3414.5819999999999"/>
    <n v="3414.5819999999999"/>
    <n v="3414.5819999999999"/>
    <n v="3414.5819999999999"/>
    <n v="18530"/>
    <x v="1"/>
    <n v="0"/>
    <n v="0"/>
    <n v="7"/>
    <n v="53"/>
    <n v="0"/>
    <n v="420.39"/>
    <n v="243.3"/>
    <m/>
    <n v="329.21451972581696"/>
    <n v="297.20166373463735"/>
    <n v="0"/>
    <n v="1435456.1269799999"/>
    <n v="830767.80059999996"/>
    <n v="0"/>
    <n v="1124129.9731944194"/>
    <n v="1014819.4513583455"/>
  </r>
  <r>
    <s v="Refaturamento - Regular"/>
    <x v="2"/>
    <x v="4"/>
    <x v="7"/>
    <x v="7"/>
    <x v="0"/>
    <x v="0"/>
    <x v="1"/>
    <x v="5"/>
    <n v="0"/>
    <n v="0"/>
    <n v="-47.475999999999999"/>
    <n v="-47.475999999999999"/>
    <n v="-47.475999999999999"/>
    <n v="-47.475999999999999"/>
    <n v="0"/>
    <x v="1"/>
    <n v="0"/>
    <n v="0"/>
    <n v="7"/>
    <n v="53"/>
    <n v="0"/>
    <n v="420.39"/>
    <n v="243.3"/>
    <m/>
    <n v="329.21451972581696"/>
    <n v="297.20166373463735"/>
    <n v="0"/>
    <n v="-19958.43564"/>
    <n v="-11550.9108"/>
    <n v="0"/>
    <n v="-15629.788538502886"/>
    <n v="-14109.946187465643"/>
  </r>
  <r>
    <s v="Sistema Isolado - Regular"/>
    <x v="2"/>
    <x v="4"/>
    <x v="7"/>
    <x v="7"/>
    <x v="0"/>
    <x v="0"/>
    <x v="1"/>
    <x v="5"/>
    <n v="0"/>
    <n v="0"/>
    <n v="2899.3980000000001"/>
    <n v="2899.3980000000001"/>
    <n v="2899.3980000000001"/>
    <n v="2899.3980000000001"/>
    <n v="22749"/>
    <x v="1"/>
    <n v="0"/>
    <n v="0"/>
    <n v="7"/>
    <n v="53"/>
    <n v="0"/>
    <n v="420.39"/>
    <n v="243.3"/>
    <m/>
    <n v="329.21451972581696"/>
    <n v="297.20166373463735"/>
    <n v="0"/>
    <n v="1218877.9252200001"/>
    <n v="705423.53340000007"/>
    <n v="0"/>
    <n v="954523.92006399424"/>
    <n v="861705.90942888008"/>
  </r>
  <r>
    <s v="Sistema Isolado - Refaturamento"/>
    <x v="2"/>
    <x v="4"/>
    <x v="7"/>
    <x v="7"/>
    <x v="0"/>
    <x v="0"/>
    <x v="1"/>
    <x v="5"/>
    <n v="0"/>
    <n v="0"/>
    <n v="-47.3"/>
    <n v="-47.3"/>
    <n v="-47.3"/>
    <n v="-47.3"/>
    <n v="0"/>
    <x v="1"/>
    <n v="0"/>
    <n v="0"/>
    <n v="7"/>
    <n v="53"/>
    <n v="0"/>
    <n v="420.39"/>
    <n v="243.3"/>
    <m/>
    <n v="329.21451972581696"/>
    <n v="297.20166373463735"/>
    <n v="0"/>
    <n v="-19884.446999999996"/>
    <n v="-11508.09"/>
    <n v="0"/>
    <n v="-15571.846783031142"/>
    <n v="-14057.638694648345"/>
  </r>
  <r>
    <s v="Sistema de Compensação"/>
    <x v="2"/>
    <x v="4"/>
    <x v="7"/>
    <x v="7"/>
    <x v="0"/>
    <x v="0"/>
    <x v="1"/>
    <x v="5"/>
    <n v="0"/>
    <n v="0"/>
    <n v="5.8000000000000003E-2"/>
    <n v="5.8000000000000003E-2"/>
    <n v="5.8000000000000003E-2"/>
    <n v="5.8000000000000003E-2"/>
    <n v="1"/>
    <x v="1"/>
    <n v="0"/>
    <n v="0"/>
    <n v="7"/>
    <n v="53"/>
    <n v="0"/>
    <n v="420.39"/>
    <n v="243.3"/>
    <m/>
    <n v="329.21451972581696"/>
    <n v="297.20166373463735"/>
    <n v="0"/>
    <n v="24.382619999999999"/>
    <n v="14.111400000000001"/>
    <n v="0"/>
    <n v="19.094442144097385"/>
    <n v="17.237696496608969"/>
  </r>
  <r>
    <s v="Regular"/>
    <x v="2"/>
    <x v="4"/>
    <x v="7"/>
    <x v="7"/>
    <x v="0"/>
    <x v="0"/>
    <x v="1"/>
    <x v="6"/>
    <n v="0"/>
    <n v="0"/>
    <n v="3291.07"/>
    <n v="3291.07"/>
    <n v="3291.07"/>
    <n v="3291.07"/>
    <n v="17987"/>
    <x v="1"/>
    <n v="0"/>
    <n v="0"/>
    <n v="7"/>
    <n v="53"/>
    <n v="0"/>
    <n v="420.39"/>
    <n v="243.3"/>
    <m/>
    <n v="329.21451972581696"/>
    <n v="297.20166373463735"/>
    <n v="0"/>
    <n v="1383532.9173000001"/>
    <n v="800717.33100000012"/>
    <n v="0"/>
    <n v="1083468.0294340444"/>
    <n v="978111.47946715297"/>
  </r>
  <r>
    <s v="Refaturamento - Regular"/>
    <x v="2"/>
    <x v="4"/>
    <x v="7"/>
    <x v="7"/>
    <x v="0"/>
    <x v="0"/>
    <x v="1"/>
    <x v="6"/>
    <n v="0"/>
    <n v="0"/>
    <n v="-118.84"/>
    <n v="-118.84"/>
    <n v="-118.84"/>
    <n v="-118.84"/>
    <n v="0"/>
    <x v="1"/>
    <n v="0"/>
    <n v="0"/>
    <n v="7"/>
    <n v="53"/>
    <n v="0"/>
    <n v="420.39"/>
    <n v="243.3"/>
    <m/>
    <n v="329.21451972581696"/>
    <n v="297.20166373463735"/>
    <n v="0"/>
    <n v="-49959.147599999997"/>
    <n v="-28913.772000000001"/>
    <n v="0"/>
    <n v="-39123.853524216087"/>
    <n v="-35319.445718224306"/>
  </r>
  <r>
    <s v="Sistema Isolado - Regular"/>
    <x v="2"/>
    <x v="4"/>
    <x v="7"/>
    <x v="7"/>
    <x v="0"/>
    <x v="0"/>
    <x v="1"/>
    <x v="6"/>
    <n v="0"/>
    <n v="0"/>
    <n v="2903.1790000000001"/>
    <n v="2903.1790000000001"/>
    <n v="2903.1790000000001"/>
    <n v="2903.1790000000001"/>
    <n v="22432"/>
    <x v="1"/>
    <n v="0"/>
    <n v="0"/>
    <n v="7"/>
    <n v="53"/>
    <n v="0"/>
    <n v="420.39"/>
    <n v="243.3"/>
    <m/>
    <n v="329.21451972581696"/>
    <n v="297.20166373463735"/>
    <n v="0"/>
    <n v="1220467.4198100001"/>
    <n v="706343.45070000004"/>
    <n v="0"/>
    <n v="955768.68016307754"/>
    <n v="862829.62891946081"/>
  </r>
  <r>
    <s v="Sistema Isolado - Refaturamento"/>
    <x v="2"/>
    <x v="4"/>
    <x v="7"/>
    <x v="7"/>
    <x v="0"/>
    <x v="0"/>
    <x v="1"/>
    <x v="6"/>
    <n v="0"/>
    <n v="0"/>
    <n v="-126.295"/>
    <n v="-126.295"/>
    <n v="-126.295"/>
    <n v="-126.295"/>
    <n v="0"/>
    <x v="1"/>
    <n v="0"/>
    <n v="0"/>
    <n v="7"/>
    <n v="53"/>
    <n v="0"/>
    <n v="420.39"/>
    <n v="243.3"/>
    <m/>
    <n v="329.21451972581696"/>
    <n v="297.20166373463735"/>
    <n v="0"/>
    <n v="-53093.155050000001"/>
    <n v="-30727.573500000002"/>
    <n v="0"/>
    <n v="-41578.147768772054"/>
    <n v="-37535.084121366024"/>
  </r>
  <r>
    <s v="Sistema de Compensação"/>
    <x v="2"/>
    <x v="4"/>
    <x v="7"/>
    <x v="7"/>
    <x v="0"/>
    <x v="0"/>
    <x v="1"/>
    <x v="6"/>
    <n v="0"/>
    <n v="0"/>
    <n v="0.69199999999999995"/>
    <n v="0.69199999999999995"/>
    <n v="0.69199999999999995"/>
    <n v="0.69199999999999995"/>
    <n v="3"/>
    <x v="1"/>
    <n v="0"/>
    <n v="0"/>
    <n v="7"/>
    <n v="53"/>
    <n v="0"/>
    <n v="420.39"/>
    <n v="243.3"/>
    <m/>
    <n v="329.21451972581696"/>
    <n v="297.20166373463735"/>
    <n v="0"/>
    <n v="290.90987999999999"/>
    <n v="168.36359999999999"/>
    <n v="0"/>
    <n v="227.8164476502653"/>
    <n v="205.66355130436904"/>
  </r>
  <r>
    <s v="Regular"/>
    <x v="2"/>
    <x v="4"/>
    <x v="7"/>
    <x v="7"/>
    <x v="0"/>
    <x v="0"/>
    <x v="1"/>
    <x v="7"/>
    <n v="0"/>
    <n v="0"/>
    <n v="4129.3940000000002"/>
    <n v="4129.3940000000002"/>
    <n v="4129.3940000000002"/>
    <n v="4129.3940000000002"/>
    <n v="20977"/>
    <x v="1"/>
    <n v="0"/>
    <n v="0"/>
    <n v="7"/>
    <n v="53"/>
    <n v="0"/>
    <n v="420.39"/>
    <n v="243.3"/>
    <m/>
    <n v="329.21451972581696"/>
    <n v="297.20166373463735"/>
    <n v="0"/>
    <n v="1735955.9436600001"/>
    <n v="1004681.5602000001"/>
    <n v="0"/>
    <n v="1359456.4624686702"/>
    <n v="1227262.7670158292"/>
  </r>
  <r>
    <s v="Refaturamento - Regular"/>
    <x v="2"/>
    <x v="4"/>
    <x v="7"/>
    <x v="7"/>
    <x v="0"/>
    <x v="0"/>
    <x v="1"/>
    <x v="7"/>
    <n v="0"/>
    <n v="0"/>
    <n v="-31.288"/>
    <n v="-31.288"/>
    <n v="-31.288"/>
    <n v="-31.288"/>
    <n v="0"/>
    <x v="1"/>
    <n v="0"/>
    <n v="0"/>
    <n v="7"/>
    <n v="53"/>
    <n v="0"/>
    <n v="420.39"/>
    <n v="243.3"/>
    <m/>
    <n v="329.21451972581696"/>
    <n v="297.20166373463735"/>
    <n v="0"/>
    <n v="-13153.162319999999"/>
    <n v="-7612.3704000000007"/>
    <n v="0"/>
    <n v="-10300.463893181361"/>
    <n v="-9298.8456549293333"/>
  </r>
  <r>
    <s v="Sistema Isolado - Regular"/>
    <x v="2"/>
    <x v="4"/>
    <x v="7"/>
    <x v="7"/>
    <x v="0"/>
    <x v="0"/>
    <x v="1"/>
    <x v="7"/>
    <n v="0"/>
    <n v="0"/>
    <n v="3316.9760000000001"/>
    <n v="3316.9760000000001"/>
    <n v="3316.9760000000001"/>
    <n v="3316.9760000000001"/>
    <n v="24413"/>
    <x v="1"/>
    <n v="0"/>
    <n v="0"/>
    <n v="7"/>
    <n v="53"/>
    <n v="0"/>
    <n v="420.39"/>
    <n v="243.3"/>
    <m/>
    <n v="329.21451972581696"/>
    <n v="297.20166373463735"/>
    <n v="0"/>
    <n v="1394423.54064"/>
    <n v="807020.26080000005"/>
    <n v="0"/>
    <n v="1091996.6607820615"/>
    <n v="985810.78576786246"/>
  </r>
  <r>
    <s v="Sistema Isolado - Refaturamento"/>
    <x v="2"/>
    <x v="4"/>
    <x v="7"/>
    <x v="7"/>
    <x v="0"/>
    <x v="0"/>
    <x v="1"/>
    <x v="7"/>
    <n v="0"/>
    <n v="0"/>
    <n v="-146.59200000000001"/>
    <n v="-146.59200000000001"/>
    <n v="-146.59200000000001"/>
    <n v="-146.59200000000001"/>
    <n v="0"/>
    <x v="1"/>
    <n v="0"/>
    <n v="0"/>
    <n v="7"/>
    <n v="53"/>
    <n v="0"/>
    <n v="420.39"/>
    <n v="243.3"/>
    <m/>
    <n v="329.21451972581696"/>
    <n v="297.20166373463735"/>
    <n v="0"/>
    <n v="-61625.810880000005"/>
    <n v="-35665.833600000005"/>
    <n v="0"/>
    <n v="-48260.214875646961"/>
    <n v="-43567.386290187962"/>
  </r>
  <r>
    <s v="Sistema de Compensação"/>
    <x v="2"/>
    <x v="4"/>
    <x v="7"/>
    <x v="7"/>
    <x v="0"/>
    <x v="0"/>
    <x v="1"/>
    <x v="7"/>
    <n v="0"/>
    <n v="0"/>
    <n v="0.91200000000000003"/>
    <n v="0.91200000000000003"/>
    <n v="0.91200000000000003"/>
    <n v="0.91200000000000003"/>
    <n v="4"/>
    <x v="1"/>
    <n v="0"/>
    <n v="0"/>
    <n v="7"/>
    <n v="53"/>
    <n v="0"/>
    <n v="420.39"/>
    <n v="243.3"/>
    <m/>
    <n v="329.21451972581696"/>
    <n v="297.20166373463735"/>
    <n v="0"/>
    <n v="383.39568000000003"/>
    <n v="221.88960000000003"/>
    <n v="0"/>
    <n v="300.24364198994505"/>
    <n v="271.04791732598926"/>
  </r>
  <r>
    <s v="Regular"/>
    <x v="2"/>
    <x v="4"/>
    <x v="7"/>
    <x v="7"/>
    <x v="0"/>
    <x v="0"/>
    <x v="1"/>
    <x v="8"/>
    <n v="0"/>
    <n v="0"/>
    <n v="3495.712"/>
    <n v="3495.712"/>
    <n v="3495.712"/>
    <n v="3495.712"/>
    <n v="18661"/>
    <x v="1"/>
    <n v="0"/>
    <n v="0"/>
    <n v="7"/>
    <n v="53"/>
    <n v="0"/>
    <n v="420.39"/>
    <n v="243.3"/>
    <m/>
    <n v="329.21451972581696"/>
    <n v="297.20166373463735"/>
    <n v="0"/>
    <n v="1469562.3676799999"/>
    <n v="850506.72960000008"/>
    <n v="0"/>
    <n v="1150839.1471797749"/>
    <n v="1038931.4223371366"/>
  </r>
  <r>
    <s v="Refaturamento - Regular"/>
    <x v="2"/>
    <x v="4"/>
    <x v="7"/>
    <x v="7"/>
    <x v="0"/>
    <x v="0"/>
    <x v="1"/>
    <x v="8"/>
    <n v="0"/>
    <n v="0"/>
    <n v="-309.69200000000001"/>
    <n v="-309.69200000000001"/>
    <n v="-309.69200000000001"/>
    <n v="-309.69200000000001"/>
    <n v="0"/>
    <x v="1"/>
    <n v="0"/>
    <n v="0"/>
    <n v="7"/>
    <n v="53"/>
    <n v="0"/>
    <n v="420.39"/>
    <n v="243.3"/>
    <m/>
    <n v="329.21451972581696"/>
    <n v="297.20166373463735"/>
    <n v="0"/>
    <n v="-130191.41988"/>
    <n v="-75348.063600000009"/>
    <n v="0"/>
    <n v="-101955.1030429277"/>
    <n v="-92040.977645307314"/>
  </r>
  <r>
    <s v="Sistema Isolado - Regular"/>
    <x v="2"/>
    <x v="4"/>
    <x v="7"/>
    <x v="7"/>
    <x v="0"/>
    <x v="0"/>
    <x v="1"/>
    <x v="8"/>
    <n v="0"/>
    <n v="0"/>
    <n v="2618.8760000000002"/>
    <n v="2618.8760000000002"/>
    <n v="2618.8760000000002"/>
    <n v="2618.8760000000002"/>
    <n v="20881"/>
    <x v="1"/>
    <n v="0"/>
    <n v="0"/>
    <n v="7"/>
    <n v="53"/>
    <n v="0"/>
    <n v="420.39"/>
    <n v="243.3"/>
    <m/>
    <n v="329.21451972581696"/>
    <n v="297.20166373463735"/>
    <n v="0"/>
    <n v="1100949.2816399999"/>
    <n v="637172.53080000007"/>
    <n v="0"/>
    <n v="862172.00456146873"/>
    <n v="778334.30431471218"/>
  </r>
  <r>
    <s v="Sistema Isolado - Refaturamento"/>
    <x v="2"/>
    <x v="4"/>
    <x v="7"/>
    <x v="7"/>
    <x v="0"/>
    <x v="0"/>
    <x v="1"/>
    <x v="8"/>
    <n v="0"/>
    <n v="0"/>
    <n v="-38.697000000000003"/>
    <n v="-38.697000000000003"/>
    <n v="-38.697000000000003"/>
    <n v="-38.697000000000003"/>
    <n v="0"/>
    <x v="1"/>
    <n v="0"/>
    <n v="0"/>
    <n v="7"/>
    <n v="53"/>
    <n v="0"/>
    <n v="420.39"/>
    <n v="243.3"/>
    <m/>
    <n v="329.21451972581696"/>
    <n v="297.20166373463735"/>
    <n v="0"/>
    <n v="-16267.831830000001"/>
    <n v="-9414.9801000000007"/>
    <n v="0"/>
    <n v="-12739.614269829939"/>
    <n v="-11500.812781539262"/>
  </r>
  <r>
    <s v="Sistema de Compensação"/>
    <x v="2"/>
    <x v="4"/>
    <x v="7"/>
    <x v="7"/>
    <x v="0"/>
    <x v="0"/>
    <x v="1"/>
    <x v="8"/>
    <n v="0"/>
    <n v="0"/>
    <n v="0.69499999999999995"/>
    <n v="0.69499999999999995"/>
    <n v="0.69499999999999995"/>
    <n v="0.69499999999999995"/>
    <n v="3"/>
    <x v="1"/>
    <n v="0"/>
    <n v="0"/>
    <n v="7"/>
    <n v="53"/>
    <n v="0"/>
    <n v="420.39"/>
    <n v="243.3"/>
    <m/>
    <n v="329.21451972581696"/>
    <n v="297.20166373463735"/>
    <n v="0"/>
    <n v="292.17104999999998"/>
    <n v="169.09350000000001"/>
    <n v="0"/>
    <n v="228.80409120944276"/>
    <n v="206.55515629557294"/>
  </r>
  <r>
    <s v="Regular"/>
    <x v="2"/>
    <x v="4"/>
    <x v="7"/>
    <x v="7"/>
    <x v="0"/>
    <x v="0"/>
    <x v="1"/>
    <x v="9"/>
    <n v="0"/>
    <n v="0"/>
    <n v="4341.5770000000002"/>
    <n v="4341.5770000000002"/>
    <n v="4341.5770000000002"/>
    <n v="4341.5770000000002"/>
    <n v="21562"/>
    <x v="1"/>
    <n v="0"/>
    <n v="0"/>
    <n v="7"/>
    <n v="53"/>
    <n v="0"/>
    <n v="420.39"/>
    <n v="243.3"/>
    <m/>
    <n v="329.21451972581696"/>
    <n v="297.20166373463735"/>
    <n v="0"/>
    <n v="1825155.5550299999"/>
    <n v="1056305.6841000002"/>
    <n v="0"/>
    <n v="1429310.1869076532"/>
    <n v="1290323.9076320357"/>
  </r>
  <r>
    <s v="Refaturamento - Regular"/>
    <x v="2"/>
    <x v="4"/>
    <x v="7"/>
    <x v="7"/>
    <x v="0"/>
    <x v="0"/>
    <x v="1"/>
    <x v="9"/>
    <n v="0"/>
    <n v="0"/>
    <n v="-76.388000000000005"/>
    <n v="-76.388000000000005"/>
    <n v="-76.388000000000005"/>
    <n v="-76.388000000000005"/>
    <n v="0"/>
    <x v="1"/>
    <n v="0"/>
    <n v="0"/>
    <n v="7"/>
    <n v="53"/>
    <n v="0"/>
    <n v="420.39"/>
    <n v="243.3"/>
    <m/>
    <n v="329.21451972581696"/>
    <n v="297.20166373463735"/>
    <n v="0"/>
    <n v="-32112.751319999999"/>
    <n v="-18585.200400000002"/>
    <n v="0"/>
    <n v="-25148.038732815708"/>
    <n v="-22702.64068936148"/>
  </r>
  <r>
    <s v="Sistema Isolado - Regular"/>
    <x v="2"/>
    <x v="4"/>
    <x v="7"/>
    <x v="7"/>
    <x v="0"/>
    <x v="0"/>
    <x v="1"/>
    <x v="9"/>
    <n v="0"/>
    <n v="0"/>
    <n v="3354.346"/>
    <n v="3354.346"/>
    <n v="3354.346"/>
    <n v="3354.346"/>
    <n v="23800"/>
    <x v="1"/>
    <n v="0"/>
    <n v="0"/>
    <n v="7"/>
    <n v="53"/>
    <n v="0"/>
    <n v="420.39"/>
    <n v="243.3"/>
    <m/>
    <n v="329.21451972581696"/>
    <n v="297.20166373463735"/>
    <n v="0"/>
    <n v="1410133.5149399999"/>
    <n v="816112.38180000009"/>
    <n v="0"/>
    <n v="1104299.4073842152"/>
    <n v="996917.21194162581"/>
  </r>
  <r>
    <s v="Sistema Isolado - Refaturamento"/>
    <x v="2"/>
    <x v="4"/>
    <x v="7"/>
    <x v="7"/>
    <x v="0"/>
    <x v="0"/>
    <x v="1"/>
    <x v="9"/>
    <n v="0"/>
    <n v="0"/>
    <n v="-18.576000000000001"/>
    <n v="-18.576000000000001"/>
    <n v="-18.576000000000001"/>
    <n v="-18.576000000000001"/>
    <n v="0"/>
    <x v="1"/>
    <n v="0"/>
    <n v="0"/>
    <n v="7"/>
    <n v="53"/>
    <n v="0"/>
    <n v="420.39"/>
    <n v="243.3"/>
    <m/>
    <n v="329.21451972581696"/>
    <n v="297.20166373463735"/>
    <n v="0"/>
    <n v="-7809.16464"/>
    <n v="-4519.5408000000007"/>
    <n v="0"/>
    <n v="-6115.4889184267759"/>
    <n v="-5520.818105534624"/>
  </r>
  <r>
    <s v="Sistema de Compensação"/>
    <x v="2"/>
    <x v="4"/>
    <x v="7"/>
    <x v="7"/>
    <x v="0"/>
    <x v="0"/>
    <x v="1"/>
    <x v="9"/>
    <n v="0"/>
    <n v="0"/>
    <n v="0.57399999999999995"/>
    <n v="0.57399999999999995"/>
    <n v="0.57399999999999995"/>
    <n v="0.57399999999999995"/>
    <n v="3"/>
    <x v="1"/>
    <n v="0"/>
    <n v="0"/>
    <n v="7"/>
    <n v="53"/>
    <n v="0"/>
    <n v="420.39"/>
    <n v="243.3"/>
    <m/>
    <n v="329.21451972581696"/>
    <n v="297.20166373463735"/>
    <n v="0"/>
    <n v="241.30385999999999"/>
    <n v="139.6542"/>
    <n v="0"/>
    <n v="188.96913432261891"/>
    <n v="170.59375498368183"/>
  </r>
  <r>
    <s v="Regular"/>
    <x v="2"/>
    <x v="4"/>
    <x v="7"/>
    <x v="7"/>
    <x v="0"/>
    <x v="0"/>
    <x v="1"/>
    <x v="10"/>
    <n v="0"/>
    <n v="0"/>
    <n v="4587.0259999999998"/>
    <n v="4587.0259999999998"/>
    <n v="4587.0259999999998"/>
    <n v="4587.0259999999998"/>
    <n v="21988"/>
    <x v="1"/>
    <n v="0"/>
    <n v="0"/>
    <n v="7"/>
    <n v="53"/>
    <n v="0"/>
    <n v="420.39"/>
    <n v="243.3"/>
    <m/>
    <n v="329.21451972581696"/>
    <n v="297.20166373463735"/>
    <n v="0"/>
    <n v="1928339.8601399998"/>
    <n v="1116023.4258000001"/>
    <n v="0"/>
    <n v="1510115.5615598352"/>
    <n v="1363271.7587940386"/>
  </r>
  <r>
    <s v="Refaturamento - Regular"/>
    <x v="2"/>
    <x v="4"/>
    <x v="7"/>
    <x v="7"/>
    <x v="0"/>
    <x v="0"/>
    <x v="1"/>
    <x v="10"/>
    <n v="0"/>
    <n v="0"/>
    <n v="-52.066000000000003"/>
    <n v="-52.066000000000003"/>
    <n v="-52.066000000000003"/>
    <n v="-52.066000000000003"/>
    <n v="0"/>
    <x v="1"/>
    <n v="0"/>
    <n v="0"/>
    <n v="7"/>
    <n v="53"/>
    <n v="0"/>
    <n v="420.39"/>
    <n v="243.3"/>
    <m/>
    <n v="329.21451972581696"/>
    <n v="297.20166373463735"/>
    <n v="0"/>
    <n v="-21888.025740000001"/>
    <n v="-12667.657800000001"/>
    <n v="0"/>
    <n v="-17140.883184044385"/>
    <n v="-15474.101824007628"/>
  </r>
  <r>
    <s v="Sistema Isolado - Regular"/>
    <x v="2"/>
    <x v="4"/>
    <x v="7"/>
    <x v="7"/>
    <x v="0"/>
    <x v="0"/>
    <x v="1"/>
    <x v="10"/>
    <n v="0"/>
    <n v="0"/>
    <n v="3676.605"/>
    <n v="3676.605"/>
    <n v="3676.605"/>
    <n v="3676.605"/>
    <n v="26093"/>
    <x v="1"/>
    <n v="0"/>
    <n v="0"/>
    <n v="7"/>
    <n v="53"/>
    <n v="0"/>
    <n v="420.39"/>
    <n v="243.3"/>
    <m/>
    <n v="329.21451972581696"/>
    <n v="297.20166373463735"/>
    <n v="0"/>
    <n v="1545607.9759499999"/>
    <n v="894517.99650000001"/>
    <n v="0"/>
    <n v="1210391.7492965374"/>
    <n v="1092693.1228950864"/>
  </r>
  <r>
    <s v="Sistema Isolado - Refaturamento"/>
    <x v="2"/>
    <x v="4"/>
    <x v="7"/>
    <x v="7"/>
    <x v="0"/>
    <x v="0"/>
    <x v="1"/>
    <x v="10"/>
    <n v="0"/>
    <n v="0"/>
    <n v="-231.81899999999999"/>
    <n v="-231.81899999999999"/>
    <n v="-231.81899999999999"/>
    <n v="-231.81899999999999"/>
    <n v="0"/>
    <x v="1"/>
    <n v="0"/>
    <n v="0"/>
    <n v="7"/>
    <n v="53"/>
    <n v="0"/>
    <n v="420.39"/>
    <n v="243.3"/>
    <m/>
    <n v="329.21451972581696"/>
    <n v="297.20166373463735"/>
    <n v="0"/>
    <n v="-97454.389409999989"/>
    <n v="-56401.562700000002"/>
    <n v="0"/>
    <n v="-76318.180748319151"/>
    <n v="-68896.992485299896"/>
  </r>
  <r>
    <s v="Sistema de Compensação"/>
    <x v="2"/>
    <x v="4"/>
    <x v="7"/>
    <x v="7"/>
    <x v="0"/>
    <x v="0"/>
    <x v="1"/>
    <x v="10"/>
    <n v="0"/>
    <n v="0"/>
    <n v="0.90400000000000003"/>
    <n v="0.90400000000000003"/>
    <n v="0.90400000000000003"/>
    <n v="0.90400000000000003"/>
    <n v="6"/>
    <x v="1"/>
    <n v="0"/>
    <n v="0"/>
    <n v="7"/>
    <n v="53"/>
    <n v="0"/>
    <n v="420.39"/>
    <n v="243.3"/>
    <m/>
    <n v="329.21451972581696"/>
    <n v="297.20166373463735"/>
    <n v="0"/>
    <n v="380.03255999999999"/>
    <n v="219.94320000000002"/>
    <n v="0"/>
    <n v="297.60992583213852"/>
    <n v="268.6703040161122"/>
  </r>
  <r>
    <s v="PROJETADO"/>
    <x v="2"/>
    <x v="4"/>
    <x v="7"/>
    <x v="7"/>
    <x v="0"/>
    <x v="0"/>
    <x v="1"/>
    <x v="11"/>
    <n v="0"/>
    <n v="0"/>
    <n v="4587.0259999999998"/>
    <n v="4587.0259999999998"/>
    <n v="4587.0259999999998"/>
    <n v="4587.0259999999998"/>
    <n v="21988"/>
    <x v="1"/>
    <n v="0"/>
    <n v="0"/>
    <n v="7"/>
    <n v="53"/>
    <n v="0"/>
    <n v="420.39"/>
    <n v="243.3"/>
    <m/>
    <n v="329.21451972581696"/>
    <n v="297.20166373463735"/>
    <n v="0"/>
    <n v="1928339.8601399998"/>
    <n v="1116023.4258000001"/>
    <n v="0"/>
    <n v="1510115.5615598352"/>
    <n v="1363271.7587940386"/>
  </r>
  <r>
    <s v="PROJETADO"/>
    <x v="2"/>
    <x v="4"/>
    <x v="7"/>
    <x v="7"/>
    <x v="0"/>
    <x v="0"/>
    <x v="1"/>
    <x v="11"/>
    <n v="0"/>
    <n v="0"/>
    <n v="-52.066000000000003"/>
    <n v="-52.066000000000003"/>
    <n v="-52.066000000000003"/>
    <n v="-52.066000000000003"/>
    <n v="0"/>
    <x v="1"/>
    <n v="0"/>
    <n v="0"/>
    <n v="7"/>
    <n v="53"/>
    <n v="0"/>
    <n v="420.39"/>
    <n v="243.3"/>
    <m/>
    <n v="329.21451972581696"/>
    <n v="297.20166373463735"/>
    <n v="0"/>
    <n v="-21888.025740000001"/>
    <n v="-12667.657800000001"/>
    <n v="0"/>
    <n v="-17140.883184044385"/>
    <n v="-15474.101824007628"/>
  </r>
  <r>
    <s v="PROJETADO"/>
    <x v="2"/>
    <x v="4"/>
    <x v="7"/>
    <x v="7"/>
    <x v="0"/>
    <x v="0"/>
    <x v="1"/>
    <x v="11"/>
    <n v="0"/>
    <n v="0"/>
    <n v="3676.605"/>
    <n v="3676.605"/>
    <n v="3676.605"/>
    <n v="3676.605"/>
    <n v="26093"/>
    <x v="1"/>
    <n v="0"/>
    <n v="0"/>
    <n v="7"/>
    <n v="53"/>
    <n v="0"/>
    <n v="420.39"/>
    <n v="243.3"/>
    <m/>
    <n v="329.21451972581696"/>
    <n v="297.20166373463735"/>
    <n v="0"/>
    <n v="1545607.9759499999"/>
    <n v="894517.99650000001"/>
    <n v="0"/>
    <n v="1210391.7492965374"/>
    <n v="1092693.1228950864"/>
  </r>
  <r>
    <s v="PROJETADO"/>
    <x v="2"/>
    <x v="4"/>
    <x v="7"/>
    <x v="7"/>
    <x v="0"/>
    <x v="0"/>
    <x v="1"/>
    <x v="11"/>
    <n v="0"/>
    <n v="0"/>
    <n v="-231.81899999999999"/>
    <n v="-231.81899999999999"/>
    <n v="-231.81899999999999"/>
    <n v="-231.81899999999999"/>
    <n v="0"/>
    <x v="1"/>
    <n v="0"/>
    <n v="0"/>
    <n v="7"/>
    <n v="53"/>
    <n v="0"/>
    <n v="420.39"/>
    <n v="243.3"/>
    <m/>
    <n v="329.21451972581696"/>
    <n v="297.20166373463735"/>
    <n v="0"/>
    <n v="-97454.389409999989"/>
    <n v="-56401.562700000002"/>
    <n v="0"/>
    <n v="-76318.180748319151"/>
    <n v="-68896.992485299896"/>
  </r>
  <r>
    <s v="PROJETADO"/>
    <x v="2"/>
    <x v="4"/>
    <x v="7"/>
    <x v="7"/>
    <x v="0"/>
    <x v="0"/>
    <x v="1"/>
    <x v="11"/>
    <n v="0"/>
    <n v="0"/>
    <n v="0.90400000000000003"/>
    <n v="0.90400000000000003"/>
    <n v="0.90400000000000003"/>
    <n v="0.90400000000000003"/>
    <n v="6"/>
    <x v="1"/>
    <n v="0"/>
    <n v="0"/>
    <n v="7"/>
    <n v="53"/>
    <n v="0"/>
    <n v="420.39"/>
    <n v="243.3"/>
    <m/>
    <n v="329.21451972581696"/>
    <n v="297.20166373463735"/>
    <n v="0"/>
    <n v="380.03255999999999"/>
    <n v="219.94320000000002"/>
    <n v="0"/>
    <n v="297.60992583213852"/>
    <n v="268.6703040161122"/>
  </r>
  <r>
    <s v="Regular"/>
    <x v="3"/>
    <x v="3"/>
    <x v="5"/>
    <x v="0"/>
    <x v="0"/>
    <x v="0"/>
    <x v="0"/>
    <x v="0"/>
    <n v="0"/>
    <n v="0"/>
    <n v="9.8000000000000004E-2"/>
    <n v="9.8000000000000004E-2"/>
    <n v="9.8000000000000004E-2"/>
    <n v="9.8000000000000004E-2"/>
    <n v="0"/>
    <x v="1"/>
    <n v="0"/>
    <n v="0"/>
    <n v="38"/>
    <n v="57"/>
    <n v="0"/>
    <n v="296.56"/>
    <n v="188.63"/>
    <m/>
    <n v="242.8080878584272"/>
    <n v="248.96731175097949"/>
    <n v="0"/>
    <n v="29.06288"/>
    <n v="18.48574"/>
    <n v="0"/>
    <n v="23.795192610125866"/>
    <n v="24.398796551595989"/>
  </r>
  <r>
    <s v="Regular"/>
    <x v="3"/>
    <x v="3"/>
    <x v="5"/>
    <x v="0"/>
    <x v="0"/>
    <x v="0"/>
    <x v="0"/>
    <x v="1"/>
    <n v="0"/>
    <n v="0"/>
    <n v="5.7000000000000002E-2"/>
    <n v="5.7000000000000002E-2"/>
    <n v="5.7000000000000002E-2"/>
    <n v="5.7000000000000002E-2"/>
    <n v="0"/>
    <x v="1"/>
    <n v="0"/>
    <n v="0"/>
    <n v="38"/>
    <n v="57"/>
    <n v="0"/>
    <n v="296.56"/>
    <n v="188.63"/>
    <m/>
    <n v="242.8080878584272"/>
    <n v="248.96731175097949"/>
    <n v="0"/>
    <n v="16.903919999999999"/>
    <n v="10.751910000000001"/>
    <n v="0"/>
    <n v="13.84006100793035"/>
    <n v="14.191136769805832"/>
  </r>
  <r>
    <s v="Regular"/>
    <x v="3"/>
    <x v="3"/>
    <x v="5"/>
    <x v="0"/>
    <x v="0"/>
    <x v="0"/>
    <x v="0"/>
    <x v="2"/>
    <n v="0"/>
    <n v="0"/>
    <n v="6.9000000000000006E-2"/>
    <n v="6.9000000000000006E-2"/>
    <n v="6.9000000000000006E-2"/>
    <n v="6.9000000000000006E-2"/>
    <n v="0"/>
    <x v="1"/>
    <n v="0"/>
    <n v="0"/>
    <n v="38"/>
    <n v="57"/>
    <n v="0"/>
    <n v="296.56"/>
    <n v="188.63"/>
    <m/>
    <n v="242.8080878584272"/>
    <n v="248.96731175097949"/>
    <n v="0"/>
    <n v="20.46264"/>
    <n v="13.015470000000001"/>
    <n v="0"/>
    <n v="16.75375806223148"/>
    <n v="17.178744510817587"/>
  </r>
  <r>
    <s v="Regular"/>
    <x v="3"/>
    <x v="3"/>
    <x v="5"/>
    <x v="0"/>
    <x v="0"/>
    <x v="0"/>
    <x v="0"/>
    <x v="3"/>
    <n v="0"/>
    <n v="0"/>
    <n v="0.04"/>
    <n v="0.04"/>
    <n v="0.04"/>
    <n v="0.04"/>
    <n v="0"/>
    <x v="1"/>
    <n v="0"/>
    <n v="0"/>
    <n v="38"/>
    <n v="57"/>
    <n v="0"/>
    <n v="296.56"/>
    <n v="188.63"/>
    <m/>
    <n v="242.8080878584272"/>
    <n v="248.96731175097949"/>
    <n v="0"/>
    <n v="11.862400000000001"/>
    <n v="7.5452000000000004"/>
    <n v="0"/>
    <n v="9.7123235143370881"/>
    <n v="9.9586924700391801"/>
  </r>
  <r>
    <s v="Regular"/>
    <x v="3"/>
    <x v="3"/>
    <x v="5"/>
    <x v="0"/>
    <x v="0"/>
    <x v="0"/>
    <x v="0"/>
    <x v="4"/>
    <n v="0"/>
    <n v="0"/>
    <n v="0.03"/>
    <n v="0.03"/>
    <n v="0.03"/>
    <n v="0.03"/>
    <n v="0"/>
    <x v="1"/>
    <n v="0"/>
    <n v="0"/>
    <n v="38"/>
    <n v="57"/>
    <n v="0"/>
    <n v="296.56"/>
    <n v="188.63"/>
    <m/>
    <n v="242.8080878584272"/>
    <n v="248.96731175097949"/>
    <n v="0"/>
    <n v="8.8967999999999989"/>
    <n v="5.6589"/>
    <n v="0"/>
    <n v="7.2842426357528156"/>
    <n v="7.4690193525293846"/>
  </r>
  <r>
    <s v="Regular"/>
    <x v="3"/>
    <x v="3"/>
    <x v="5"/>
    <x v="0"/>
    <x v="0"/>
    <x v="0"/>
    <x v="0"/>
    <x v="5"/>
    <n v="0"/>
    <n v="0"/>
    <n v="3.6999999999999998E-2"/>
    <n v="3.6999999999999998E-2"/>
    <n v="3.6999999999999998E-2"/>
    <n v="3.6999999999999998E-2"/>
    <n v="0"/>
    <x v="1"/>
    <n v="0"/>
    <n v="0"/>
    <n v="38"/>
    <n v="57"/>
    <n v="0"/>
    <n v="296.56"/>
    <n v="188.63"/>
    <m/>
    <n v="242.8080878584272"/>
    <n v="248.96731175097949"/>
    <n v="0"/>
    <n v="10.972719999999999"/>
    <n v="6.9793099999999999"/>
    <n v="0"/>
    <n v="8.9838992507618052"/>
    <n v="9.2117905347862408"/>
  </r>
  <r>
    <s v="Regular"/>
    <x v="3"/>
    <x v="3"/>
    <x v="5"/>
    <x v="0"/>
    <x v="0"/>
    <x v="0"/>
    <x v="0"/>
    <x v="6"/>
    <n v="0"/>
    <n v="0"/>
    <n v="0.03"/>
    <n v="0.03"/>
    <n v="0.03"/>
    <n v="0.03"/>
    <n v="0"/>
    <x v="1"/>
    <n v="0"/>
    <n v="0"/>
    <n v="38"/>
    <n v="57"/>
    <n v="0"/>
    <n v="296.56"/>
    <n v="188.63"/>
    <m/>
    <n v="242.8080878584272"/>
    <n v="248.96731175097949"/>
    <n v="0"/>
    <n v="8.8967999999999989"/>
    <n v="5.6589"/>
    <n v="0"/>
    <n v="7.2842426357528156"/>
    <n v="7.4690193525293846"/>
  </r>
  <r>
    <s v="Regular"/>
    <x v="3"/>
    <x v="3"/>
    <x v="5"/>
    <x v="0"/>
    <x v="0"/>
    <x v="0"/>
    <x v="0"/>
    <x v="7"/>
    <n v="0"/>
    <n v="0"/>
    <n v="6.5000000000000002E-2"/>
    <n v="6.5000000000000002E-2"/>
    <n v="6.5000000000000002E-2"/>
    <n v="6.5000000000000002E-2"/>
    <n v="0"/>
    <x v="1"/>
    <n v="0"/>
    <n v="0"/>
    <n v="38"/>
    <n v="57"/>
    <n v="0"/>
    <n v="296.56"/>
    <n v="188.63"/>
    <m/>
    <n v="242.8080878584272"/>
    <n v="248.96731175097949"/>
    <n v="0"/>
    <n v="19.276400000000002"/>
    <n v="12.260949999999999"/>
    <n v="0"/>
    <n v="15.782525710797769"/>
    <n v="16.182875263813667"/>
  </r>
  <r>
    <s v="Regular"/>
    <x v="3"/>
    <x v="3"/>
    <x v="5"/>
    <x v="0"/>
    <x v="0"/>
    <x v="0"/>
    <x v="0"/>
    <x v="8"/>
    <n v="0"/>
    <n v="0"/>
    <n v="0.03"/>
    <n v="0.03"/>
    <n v="0.03"/>
    <n v="0.03"/>
    <n v="0"/>
    <x v="1"/>
    <n v="0"/>
    <n v="0"/>
    <n v="38"/>
    <n v="57"/>
    <n v="0"/>
    <n v="296.56"/>
    <n v="188.63"/>
    <m/>
    <n v="242.8080878584272"/>
    <n v="248.96731175097949"/>
    <n v="0"/>
    <n v="8.8967999999999989"/>
    <n v="5.6589"/>
    <n v="0"/>
    <n v="7.2842426357528156"/>
    <n v="7.4690193525293846"/>
  </r>
  <r>
    <s v="Regular"/>
    <x v="3"/>
    <x v="3"/>
    <x v="5"/>
    <x v="0"/>
    <x v="0"/>
    <x v="0"/>
    <x v="0"/>
    <x v="9"/>
    <n v="0"/>
    <n v="0"/>
    <n v="0.03"/>
    <n v="0.03"/>
    <n v="0.03"/>
    <n v="0.03"/>
    <n v="0"/>
    <x v="1"/>
    <n v="0"/>
    <n v="0"/>
    <n v="38"/>
    <n v="57"/>
    <n v="0"/>
    <n v="296.56"/>
    <n v="188.63"/>
    <m/>
    <n v="242.8080878584272"/>
    <n v="248.96731175097949"/>
    <n v="0"/>
    <n v="8.8967999999999989"/>
    <n v="5.6589"/>
    <n v="0"/>
    <n v="7.2842426357528156"/>
    <n v="7.4690193525293846"/>
  </r>
  <r>
    <s v="Regular"/>
    <x v="3"/>
    <x v="3"/>
    <x v="5"/>
    <x v="0"/>
    <x v="0"/>
    <x v="0"/>
    <x v="0"/>
    <x v="10"/>
    <n v="0"/>
    <n v="0"/>
    <n v="0.03"/>
    <n v="0.03"/>
    <n v="0.03"/>
    <n v="0.03"/>
    <n v="0"/>
    <x v="1"/>
    <n v="0"/>
    <n v="0"/>
    <n v="38"/>
    <n v="57"/>
    <n v="0"/>
    <n v="296.56"/>
    <n v="188.63"/>
    <m/>
    <n v="242.8080878584272"/>
    <n v="248.96731175097949"/>
    <n v="0"/>
    <n v="8.8967999999999989"/>
    <n v="5.6589"/>
    <n v="0"/>
    <n v="7.2842426357528156"/>
    <n v="7.4690193525293846"/>
  </r>
  <r>
    <s v="PROJETADO"/>
    <x v="3"/>
    <x v="3"/>
    <x v="5"/>
    <x v="0"/>
    <x v="0"/>
    <x v="0"/>
    <x v="0"/>
    <x v="11"/>
    <n v="0"/>
    <n v="0"/>
    <n v="0.03"/>
    <n v="0.03"/>
    <n v="0.03"/>
    <n v="0.03"/>
    <n v="0"/>
    <x v="1"/>
    <n v="0"/>
    <n v="0"/>
    <n v="38"/>
    <n v="57"/>
    <n v="0"/>
    <n v="296.56"/>
    <n v="188.63"/>
    <m/>
    <n v="242.8080878584272"/>
    <n v="248.96731175097949"/>
    <n v="0"/>
    <n v="8.8967999999999989"/>
    <n v="5.6589"/>
    <n v="0"/>
    <n v="7.2842426357528156"/>
    <n v="7.4690193525293846"/>
  </r>
  <r>
    <s v="Regular"/>
    <x v="3"/>
    <x v="3"/>
    <x v="5"/>
    <x v="0"/>
    <x v="0"/>
    <x v="0"/>
    <x v="3"/>
    <x v="1"/>
    <n v="0"/>
    <n v="0"/>
    <n v="3.0000000000000001E-3"/>
    <n v="3.0000000000000001E-3"/>
    <n v="3.0000000000000001E-3"/>
    <n v="3.0000000000000001E-3"/>
    <n v="0"/>
    <x v="1"/>
    <n v="0"/>
    <n v="0"/>
    <n v="37"/>
    <n v="56"/>
    <n v="0"/>
    <n v="554.67999999999995"/>
    <n v="188.63"/>
    <m/>
    <n v="555.02361650772843"/>
    <n v="248.96731175097949"/>
    <n v="0"/>
    <n v="1.66404"/>
    <n v="0.56589"/>
    <n v="0"/>
    <n v="1.6650708495231854"/>
    <n v="0.74690193525293846"/>
  </r>
  <r>
    <s v="Regular"/>
    <x v="3"/>
    <x v="3"/>
    <x v="5"/>
    <x v="0"/>
    <x v="0"/>
    <x v="0"/>
    <x v="3"/>
    <x v="2"/>
    <n v="0"/>
    <n v="0"/>
    <n v="1E-3"/>
    <n v="1E-3"/>
    <n v="1E-3"/>
    <n v="1E-3"/>
    <n v="0"/>
    <x v="1"/>
    <n v="0"/>
    <n v="0"/>
    <n v="37"/>
    <n v="56"/>
    <n v="0"/>
    <n v="554.67999999999995"/>
    <n v="188.63"/>
    <m/>
    <n v="555.02361650772843"/>
    <n v="248.96731175097949"/>
    <n v="0"/>
    <n v="0.55467999999999995"/>
    <n v="0.18862999999999999"/>
    <n v="0"/>
    <n v="0.55502361650772847"/>
    <n v="0.2489673117509795"/>
  </r>
  <r>
    <s v="Regular"/>
    <x v="3"/>
    <x v="3"/>
    <x v="5"/>
    <x v="0"/>
    <x v="0"/>
    <x v="0"/>
    <x v="3"/>
    <x v="5"/>
    <n v="0"/>
    <n v="0"/>
    <n v="1E-3"/>
    <n v="1E-3"/>
    <n v="1E-3"/>
    <n v="1E-3"/>
    <n v="0"/>
    <x v="1"/>
    <n v="0"/>
    <n v="0"/>
    <n v="37"/>
    <n v="56"/>
    <n v="0"/>
    <n v="554.67999999999995"/>
    <n v="188.63"/>
    <m/>
    <n v="555.02361650772843"/>
    <n v="248.96731175097949"/>
    <n v="0"/>
    <n v="0.55467999999999995"/>
    <n v="0.18862999999999999"/>
    <n v="0"/>
    <n v="0.55502361650772847"/>
    <n v="0.2489673117509795"/>
  </r>
  <r>
    <s v="Regular"/>
    <x v="3"/>
    <x v="4"/>
    <x v="5"/>
    <x v="3"/>
    <x v="2"/>
    <x v="0"/>
    <x v="1"/>
    <x v="6"/>
    <n v="0"/>
    <n v="0"/>
    <n v="11.287000000000001"/>
    <n v="11.287000000000001"/>
    <n v="11.287000000000001"/>
    <n v="11.287000000000001"/>
    <n v="0"/>
    <x v="1"/>
    <n v="0"/>
    <n v="0"/>
    <n v="39"/>
    <n v="85"/>
    <n v="0"/>
    <n v="369.16"/>
    <n v="199.51"/>
    <m/>
    <n v="330.61867549798609"/>
    <n v="261.5374640864809"/>
    <n v="0"/>
    <n v="4166.7089200000009"/>
    <n v="2251.8693699999999"/>
    <n v="0"/>
    <n v="3731.6929903457694"/>
    <n v="2951.9733571441102"/>
  </r>
  <r>
    <s v="Refaturamento - Regular"/>
    <x v="3"/>
    <x v="4"/>
    <x v="5"/>
    <x v="3"/>
    <x v="2"/>
    <x v="0"/>
    <x v="1"/>
    <x v="6"/>
    <n v="0"/>
    <n v="0"/>
    <n v="-4.157"/>
    <n v="-4.157"/>
    <n v="-4.157"/>
    <n v="-4.157"/>
    <n v="0"/>
    <x v="1"/>
    <n v="0"/>
    <n v="0"/>
    <n v="39"/>
    <n v="85"/>
    <n v="0"/>
    <n v="369.16"/>
    <n v="199.51"/>
    <m/>
    <n v="330.61867549798609"/>
    <n v="261.5374640864809"/>
    <n v="0"/>
    <n v="-1534.5981200000001"/>
    <n v="-829.36306999999999"/>
    <n v="0"/>
    <n v="-1374.3818340451282"/>
    <n v="-1087.2112382075011"/>
  </r>
  <r>
    <s v="Sistema Isolado - Regular"/>
    <x v="3"/>
    <x v="4"/>
    <x v="5"/>
    <x v="3"/>
    <x v="2"/>
    <x v="0"/>
    <x v="1"/>
    <x v="6"/>
    <n v="0"/>
    <n v="0"/>
    <n v="18.858000000000001"/>
    <n v="18.858000000000001"/>
    <n v="18.858000000000001"/>
    <n v="18.858000000000001"/>
    <n v="0"/>
    <x v="1"/>
    <n v="0"/>
    <n v="0"/>
    <n v="39"/>
    <n v="85"/>
    <n v="0"/>
    <n v="369.16"/>
    <n v="199.51"/>
    <m/>
    <n v="330.61867549798609"/>
    <n v="261.5374640864809"/>
    <n v="0"/>
    <n v="6961.6192800000008"/>
    <n v="3762.3595799999998"/>
    <n v="0"/>
    <n v="6234.8069825410221"/>
    <n v="4932.0734977428565"/>
  </r>
  <r>
    <s v="Sistema Isolado - Refaturamento"/>
    <x v="3"/>
    <x v="4"/>
    <x v="5"/>
    <x v="3"/>
    <x v="2"/>
    <x v="0"/>
    <x v="1"/>
    <x v="6"/>
    <n v="0"/>
    <n v="0"/>
    <n v="-0.443"/>
    <n v="-0.443"/>
    <n v="-0.443"/>
    <n v="-0.443"/>
    <n v="0"/>
    <x v="1"/>
    <n v="0"/>
    <n v="0"/>
    <n v="39"/>
    <n v="85"/>
    <n v="0"/>
    <n v="369.16"/>
    <n v="199.51"/>
    <m/>
    <n v="330.61867549798609"/>
    <n v="261.5374640864809"/>
    <n v="0"/>
    <n v="-163.53788"/>
    <n v="-88.382930000000002"/>
    <n v="0"/>
    <n v="-146.46407324560784"/>
    <n v="-115.86109659031104"/>
  </r>
  <r>
    <s v="Regular"/>
    <x v="3"/>
    <x v="4"/>
    <x v="5"/>
    <x v="3"/>
    <x v="2"/>
    <x v="0"/>
    <x v="1"/>
    <x v="7"/>
    <n v="0"/>
    <n v="0"/>
    <n v="9.6080000000000005"/>
    <n v="9.6080000000000005"/>
    <n v="9.6080000000000005"/>
    <n v="9.6080000000000005"/>
    <n v="0"/>
    <x v="1"/>
    <n v="0"/>
    <n v="0"/>
    <n v="39"/>
    <n v="85"/>
    <n v="0"/>
    <n v="369.16"/>
    <n v="199.51"/>
    <m/>
    <n v="330.61867549798609"/>
    <n v="261.5374640864809"/>
    <n v="0"/>
    <n v="3546.8892800000003"/>
    <n v="1916.8920800000001"/>
    <n v="0"/>
    <n v="3176.5842341846505"/>
    <n v="2512.8519549429084"/>
  </r>
  <r>
    <s v="Refaturamento - Regular"/>
    <x v="3"/>
    <x v="4"/>
    <x v="5"/>
    <x v="3"/>
    <x v="2"/>
    <x v="0"/>
    <x v="1"/>
    <x v="7"/>
    <n v="0"/>
    <n v="0"/>
    <n v="-1.0509999999999999"/>
    <n v="-1.0509999999999999"/>
    <n v="-1.0509999999999999"/>
    <n v="-1.0509999999999999"/>
    <n v="0"/>
    <x v="1"/>
    <n v="0"/>
    <n v="0"/>
    <n v="39"/>
    <n v="85"/>
    <n v="0"/>
    <n v="369.16"/>
    <n v="199.51"/>
    <m/>
    <n v="330.61867549798609"/>
    <n v="261.5374640864809"/>
    <n v="0"/>
    <n v="-387.98716000000002"/>
    <n v="-209.68500999999998"/>
    <n v="0"/>
    <n v="-347.48022794838334"/>
    <n v="-274.87587475489141"/>
  </r>
  <r>
    <s v="Sistema Isolado - Regular"/>
    <x v="3"/>
    <x v="4"/>
    <x v="5"/>
    <x v="3"/>
    <x v="2"/>
    <x v="0"/>
    <x v="1"/>
    <x v="7"/>
    <n v="0"/>
    <n v="0"/>
    <n v="23.059000000000001"/>
    <n v="23.059000000000001"/>
    <n v="23.059000000000001"/>
    <n v="23.059000000000001"/>
    <n v="0"/>
    <x v="1"/>
    <n v="0"/>
    <n v="0"/>
    <n v="39"/>
    <n v="85"/>
    <n v="0"/>
    <n v="369.16"/>
    <n v="199.51"/>
    <m/>
    <n v="330.61867549798609"/>
    <n v="261.5374640864809"/>
    <n v="0"/>
    <n v="8512.4604400000007"/>
    <n v="4600.5010899999997"/>
    <n v="0"/>
    <n v="7623.7360383080613"/>
    <n v="6030.7923843701628"/>
  </r>
  <r>
    <s v="Regular"/>
    <x v="3"/>
    <x v="4"/>
    <x v="5"/>
    <x v="3"/>
    <x v="2"/>
    <x v="0"/>
    <x v="1"/>
    <x v="8"/>
    <n v="0"/>
    <n v="0"/>
    <n v="10.369"/>
    <n v="10.369"/>
    <n v="10.369"/>
    <n v="10.369"/>
    <n v="0"/>
    <x v="1"/>
    <n v="0"/>
    <n v="0"/>
    <n v="39"/>
    <n v="85"/>
    <n v="0"/>
    <n v="369.16"/>
    <n v="199.51"/>
    <m/>
    <n v="330.61867549798609"/>
    <n v="261.5374640864809"/>
    <n v="0"/>
    <n v="3827.8200400000001"/>
    <n v="2068.7191899999998"/>
    <n v="0"/>
    <n v="3428.1850462386178"/>
    <n v="2711.8819651127205"/>
  </r>
  <r>
    <s v="Refaturamento - Regular"/>
    <x v="3"/>
    <x v="4"/>
    <x v="5"/>
    <x v="3"/>
    <x v="2"/>
    <x v="0"/>
    <x v="1"/>
    <x v="8"/>
    <n v="0"/>
    <n v="0"/>
    <n v="-1.597"/>
    <n v="-1.597"/>
    <n v="-1.597"/>
    <n v="-1.597"/>
    <n v="0"/>
    <x v="1"/>
    <n v="0"/>
    <n v="0"/>
    <n v="39"/>
    <n v="85"/>
    <n v="0"/>
    <n v="369.16"/>
    <n v="199.51"/>
    <m/>
    <n v="330.61867549798609"/>
    <n v="261.5374640864809"/>
    <n v="0"/>
    <n v="-589.54852000000005"/>
    <n v="-318.61746999999997"/>
    <n v="0"/>
    <n v="-527.99802477028379"/>
    <n v="-417.67533014610996"/>
  </r>
  <r>
    <s v="Sistema Isolado - Regular"/>
    <x v="3"/>
    <x v="4"/>
    <x v="5"/>
    <x v="3"/>
    <x v="2"/>
    <x v="0"/>
    <x v="1"/>
    <x v="8"/>
    <n v="0"/>
    <n v="0"/>
    <n v="24.103000000000002"/>
    <n v="24.103000000000002"/>
    <n v="24.103000000000002"/>
    <n v="24.103000000000002"/>
    <n v="0"/>
    <x v="1"/>
    <n v="0"/>
    <n v="0"/>
    <n v="39"/>
    <n v="85"/>
    <n v="0"/>
    <n v="369.16"/>
    <n v="199.51"/>
    <m/>
    <n v="330.61867549798609"/>
    <n v="261.5374640864809"/>
    <n v="0"/>
    <n v="8897.8634800000018"/>
    <n v="4808.78953"/>
    <n v="0"/>
    <n v="7968.9019355279588"/>
    <n v="6303.8374968764492"/>
  </r>
  <r>
    <s v="Regular"/>
    <x v="3"/>
    <x v="4"/>
    <x v="5"/>
    <x v="3"/>
    <x v="2"/>
    <x v="0"/>
    <x v="1"/>
    <x v="9"/>
    <n v="0"/>
    <n v="0"/>
    <n v="26.681999999999999"/>
    <n v="26.681999999999999"/>
    <n v="26.681999999999999"/>
    <n v="26.681999999999999"/>
    <n v="0"/>
    <x v="1"/>
    <n v="0"/>
    <n v="0"/>
    <n v="39"/>
    <n v="85"/>
    <n v="0"/>
    <n v="369.16"/>
    <n v="199.51"/>
    <m/>
    <n v="330.61867549798609"/>
    <n v="261.5374640864809"/>
    <n v="0"/>
    <n v="9849.9271200000003"/>
    <n v="5323.3258199999991"/>
    <n v="0"/>
    <n v="8821.5674996372636"/>
    <n v="6978.3426167554826"/>
  </r>
  <r>
    <s v="Sistema Isolado - Regular"/>
    <x v="3"/>
    <x v="4"/>
    <x v="5"/>
    <x v="3"/>
    <x v="2"/>
    <x v="0"/>
    <x v="1"/>
    <x v="9"/>
    <n v="0"/>
    <n v="0"/>
    <n v="35.304000000000002"/>
    <n v="35.304000000000002"/>
    <n v="35.304000000000002"/>
    <n v="35.304000000000002"/>
    <n v="0"/>
    <x v="1"/>
    <n v="0"/>
    <n v="0"/>
    <n v="39"/>
    <n v="85"/>
    <n v="0"/>
    <n v="369.16"/>
    <n v="199.51"/>
    <m/>
    <n v="330.61867549798609"/>
    <n v="261.5374640864809"/>
    <n v="0"/>
    <n v="13032.824640000003"/>
    <n v="7043.5010400000001"/>
    <n v="0"/>
    <n v="11672.161719780901"/>
    <n v="9233.3186321091216"/>
  </r>
  <r>
    <s v="Sistema Isolado - Refaturamento"/>
    <x v="3"/>
    <x v="4"/>
    <x v="5"/>
    <x v="3"/>
    <x v="2"/>
    <x v="0"/>
    <x v="1"/>
    <x v="9"/>
    <n v="0"/>
    <n v="0"/>
    <n v="-1.0780000000000001"/>
    <n v="-1.0780000000000001"/>
    <n v="-1.0780000000000001"/>
    <n v="-1.0780000000000001"/>
    <n v="0"/>
    <x v="1"/>
    <n v="0"/>
    <n v="0"/>
    <n v="39"/>
    <n v="85"/>
    <n v="0"/>
    <n v="369.16"/>
    <n v="199.51"/>
    <m/>
    <n v="330.61867549798609"/>
    <n v="261.5374640864809"/>
    <n v="0"/>
    <n v="-397.95448000000005"/>
    <n v="-215.07178000000002"/>
    <n v="0"/>
    <n v="-356.40693218682901"/>
    <n v="-281.93738628522641"/>
  </r>
  <r>
    <s v="Regular"/>
    <x v="3"/>
    <x v="4"/>
    <x v="5"/>
    <x v="3"/>
    <x v="2"/>
    <x v="0"/>
    <x v="1"/>
    <x v="10"/>
    <n v="0"/>
    <n v="0"/>
    <n v="18.504999999999999"/>
    <n v="18.504999999999999"/>
    <n v="18.504999999999999"/>
    <n v="18.504999999999999"/>
    <n v="0"/>
    <x v="1"/>
    <n v="0"/>
    <n v="0"/>
    <n v="39"/>
    <n v="85"/>
    <n v="0"/>
    <n v="369.16"/>
    <n v="199.51"/>
    <m/>
    <n v="330.61867549798609"/>
    <n v="261.5374640864809"/>
    <n v="0"/>
    <n v="6831.3058000000001"/>
    <n v="3691.9325499999995"/>
    <n v="0"/>
    <n v="6118.0985900902324"/>
    <n v="4839.7507729203289"/>
  </r>
  <r>
    <s v="Refaturamento - Regular"/>
    <x v="3"/>
    <x v="4"/>
    <x v="5"/>
    <x v="3"/>
    <x v="2"/>
    <x v="0"/>
    <x v="1"/>
    <x v="10"/>
    <n v="0"/>
    <n v="0"/>
    <n v="-1.9710000000000001"/>
    <n v="-1.9710000000000001"/>
    <n v="-1.9710000000000001"/>
    <n v="-1.9710000000000001"/>
    <n v="0"/>
    <x v="1"/>
    <n v="0"/>
    <n v="0"/>
    <n v="39"/>
    <n v="85"/>
    <n v="0"/>
    <n v="369.16"/>
    <n v="199.51"/>
    <m/>
    <n v="330.61867549798609"/>
    <n v="261.5374640864809"/>
    <n v="0"/>
    <n v="-727.61436000000003"/>
    <n v="-393.23421000000002"/>
    <n v="0"/>
    <n v="-651.64940940653059"/>
    <n v="-515.49034171445385"/>
  </r>
  <r>
    <s v="Sistema Isolado - Regular"/>
    <x v="3"/>
    <x v="4"/>
    <x v="5"/>
    <x v="3"/>
    <x v="2"/>
    <x v="0"/>
    <x v="1"/>
    <x v="10"/>
    <n v="0"/>
    <n v="0"/>
    <n v="26.731999999999999"/>
    <n v="26.731999999999999"/>
    <n v="26.731999999999999"/>
    <n v="26.731999999999999"/>
    <n v="0"/>
    <x v="1"/>
    <n v="0"/>
    <n v="0"/>
    <n v="39"/>
    <n v="85"/>
    <n v="0"/>
    <n v="369.16"/>
    <n v="199.51"/>
    <m/>
    <n v="330.61867549798609"/>
    <n v="261.5374640864809"/>
    <n v="0"/>
    <n v="9868.3851200000008"/>
    <n v="5333.3013199999996"/>
    <n v="0"/>
    <n v="8838.098433412164"/>
    <n v="6991.4194899598069"/>
  </r>
  <r>
    <s v="PROJETADO"/>
    <x v="3"/>
    <x v="4"/>
    <x v="5"/>
    <x v="3"/>
    <x v="2"/>
    <x v="0"/>
    <x v="1"/>
    <x v="11"/>
    <n v="0"/>
    <n v="0"/>
    <n v="18.504999999999999"/>
    <n v="18.504999999999999"/>
    <n v="18.504999999999999"/>
    <n v="18.504999999999999"/>
    <n v="0"/>
    <x v="1"/>
    <n v="0"/>
    <n v="0"/>
    <n v="39"/>
    <n v="85"/>
    <n v="0"/>
    <n v="369.16"/>
    <n v="199.51"/>
    <m/>
    <n v="330.61867549798609"/>
    <n v="261.5374640864809"/>
    <n v="0"/>
    <n v="6831.3058000000001"/>
    <n v="3691.9325499999995"/>
    <n v="0"/>
    <n v="6118.0985900902324"/>
    <n v="4839.7507729203289"/>
  </r>
  <r>
    <s v="PROJETADO"/>
    <x v="3"/>
    <x v="4"/>
    <x v="5"/>
    <x v="3"/>
    <x v="2"/>
    <x v="0"/>
    <x v="1"/>
    <x v="11"/>
    <n v="0"/>
    <n v="0"/>
    <n v="-1.9710000000000001"/>
    <n v="-1.9710000000000001"/>
    <n v="-1.9710000000000001"/>
    <n v="-1.9710000000000001"/>
    <n v="0"/>
    <x v="1"/>
    <n v="0"/>
    <n v="0"/>
    <n v="39"/>
    <n v="85"/>
    <n v="0"/>
    <n v="369.16"/>
    <n v="199.51"/>
    <m/>
    <n v="330.61867549798609"/>
    <n v="261.5374640864809"/>
    <n v="0"/>
    <n v="-727.61436000000003"/>
    <n v="-393.23421000000002"/>
    <n v="0"/>
    <n v="-651.64940940653059"/>
    <n v="-515.49034171445385"/>
  </r>
  <r>
    <s v="PROJETADO"/>
    <x v="3"/>
    <x v="4"/>
    <x v="5"/>
    <x v="3"/>
    <x v="2"/>
    <x v="0"/>
    <x v="1"/>
    <x v="11"/>
    <n v="0"/>
    <n v="0"/>
    <n v="26.731999999999999"/>
    <n v="26.731999999999999"/>
    <n v="26.731999999999999"/>
    <n v="26.731999999999999"/>
    <n v="0"/>
    <x v="1"/>
    <n v="0"/>
    <n v="0"/>
    <n v="39"/>
    <n v="85"/>
    <n v="0"/>
    <n v="369.16"/>
    <n v="199.51"/>
    <m/>
    <n v="330.61867549798609"/>
    <n v="261.5374640864809"/>
    <n v="0"/>
    <n v="9868.3851200000008"/>
    <n v="5333.3013199999996"/>
    <n v="0"/>
    <n v="8838.098433412164"/>
    <n v="6991.4194899598069"/>
  </r>
  <r>
    <s v="Regular"/>
    <x v="3"/>
    <x v="4"/>
    <x v="5"/>
    <x v="3"/>
    <x v="3"/>
    <x v="0"/>
    <x v="1"/>
    <x v="6"/>
    <n v="0"/>
    <n v="0"/>
    <n v="3.2349999999999999"/>
    <n v="1.06755"/>
    <n v="3.2349999999999999"/>
    <n v="1.06755"/>
    <n v="0"/>
    <x v="1"/>
    <n v="0"/>
    <n v="0"/>
    <n v="39"/>
    <n v="85"/>
    <n v="0"/>
    <n v="369.16"/>
    <n v="199.51"/>
    <m/>
    <n v="330.61867549798609"/>
    <n v="261.5374640864809"/>
    <n v="0"/>
    <n v="394.09675800000002"/>
    <n v="212.98690049999999"/>
    <n v="0"/>
    <n v="352.95196702787507"/>
    <n v="279.20431978552267"/>
  </r>
  <r>
    <s v="Refaturamento - Regular"/>
    <x v="3"/>
    <x v="4"/>
    <x v="5"/>
    <x v="3"/>
    <x v="3"/>
    <x v="0"/>
    <x v="1"/>
    <x v="6"/>
    <n v="0"/>
    <n v="0"/>
    <n v="1.028"/>
    <n v="0.33923999999999999"/>
    <n v="1.028"/>
    <n v="0.33923999999999999"/>
    <n v="0"/>
    <x v="1"/>
    <n v="0"/>
    <n v="0"/>
    <n v="39"/>
    <n v="85"/>
    <n v="0"/>
    <n v="369.16"/>
    <n v="199.51"/>
    <m/>
    <n v="330.61867549798609"/>
    <n v="261.5374640864809"/>
    <n v="0"/>
    <n v="125.2338384"/>
    <n v="67.6817724"/>
    <n v="0"/>
    <n v="112.15907947593679"/>
    <n v="88.723969316697776"/>
  </r>
  <r>
    <s v="Sistema Isolado - Regular"/>
    <x v="3"/>
    <x v="4"/>
    <x v="5"/>
    <x v="3"/>
    <x v="3"/>
    <x v="0"/>
    <x v="1"/>
    <x v="6"/>
    <n v="0"/>
    <n v="0"/>
    <n v="13.019"/>
    <n v="4.2962699999999998"/>
    <n v="13.019"/>
    <n v="4.2962699999999998"/>
    <n v="0"/>
    <x v="1"/>
    <n v="0"/>
    <n v="0"/>
    <n v="39"/>
    <n v="85"/>
    <n v="0"/>
    <n v="369.16"/>
    <n v="199.51"/>
    <m/>
    <n v="330.61867549798609"/>
    <n v="261.5374640864809"/>
    <n v="0"/>
    <n v="1586.0110331999999"/>
    <n v="857.14882769999997"/>
    <n v="0"/>
    <n v="1420.4270969817326"/>
    <n v="1123.6355608308252"/>
  </r>
  <r>
    <s v="Sistema Isolado - Refaturamento"/>
    <x v="3"/>
    <x v="4"/>
    <x v="5"/>
    <x v="3"/>
    <x v="3"/>
    <x v="0"/>
    <x v="1"/>
    <x v="6"/>
    <n v="0"/>
    <n v="0"/>
    <n v="0.442"/>
    <n v="0.14585999999999999"/>
    <n v="0.442"/>
    <n v="0.14585999999999999"/>
    <n v="0"/>
    <x v="1"/>
    <n v="0"/>
    <n v="0"/>
    <n v="39"/>
    <n v="85"/>
    <n v="0"/>
    <n v="369.16"/>
    <n v="199.51"/>
    <m/>
    <n v="330.61867549798609"/>
    <n v="261.5374640864809"/>
    <n v="0"/>
    <n v="53.845677600000002"/>
    <n v="29.100528599999997"/>
    <n v="0"/>
    <n v="48.224040008136249"/>
    <n v="38.147854511654103"/>
  </r>
  <r>
    <s v="Regular"/>
    <x v="3"/>
    <x v="4"/>
    <x v="5"/>
    <x v="3"/>
    <x v="3"/>
    <x v="0"/>
    <x v="1"/>
    <x v="7"/>
    <n v="0"/>
    <n v="0"/>
    <n v="6.3869999999999996"/>
    <n v="2.10771"/>
    <n v="6.3869999999999996"/>
    <n v="2.10771"/>
    <n v="0"/>
    <x v="1"/>
    <n v="0"/>
    <n v="0"/>
    <n v="39"/>
    <n v="85"/>
    <n v="0"/>
    <n v="369.16"/>
    <n v="199.51"/>
    <m/>
    <n v="330.61867549798609"/>
    <n v="261.5374640864809"/>
    <n v="0"/>
    <n v="778.08222360000002"/>
    <n v="420.50922209999999"/>
    <n v="0"/>
    <n v="696.84828853386023"/>
    <n v="551.2451284297166"/>
  </r>
  <r>
    <s v="Refaturamento - Regular"/>
    <x v="3"/>
    <x v="4"/>
    <x v="5"/>
    <x v="3"/>
    <x v="3"/>
    <x v="0"/>
    <x v="1"/>
    <x v="7"/>
    <n v="0"/>
    <n v="0"/>
    <n v="3.7189999999999999"/>
    <n v="1.2272700000000001"/>
    <n v="3.7189999999999999"/>
    <n v="1.2272700000000001"/>
    <n v="0"/>
    <x v="1"/>
    <n v="0"/>
    <n v="0"/>
    <n v="39"/>
    <n v="85"/>
    <n v="0"/>
    <n v="369.16"/>
    <n v="199.51"/>
    <m/>
    <n v="330.61867549798609"/>
    <n v="261.5374640864809"/>
    <n v="0"/>
    <n v="453.05899320000009"/>
    <n v="244.8526377"/>
    <n v="0"/>
    <n v="405.75838187841339"/>
    <n v="320.97708354941545"/>
  </r>
  <r>
    <s v="Sistema Isolado - Regular"/>
    <x v="3"/>
    <x v="4"/>
    <x v="5"/>
    <x v="3"/>
    <x v="3"/>
    <x v="0"/>
    <x v="1"/>
    <x v="7"/>
    <n v="0"/>
    <n v="0"/>
    <n v="18.571999999999999"/>
    <n v="18.571999999999999"/>
    <n v="18.571999999999999"/>
    <n v="18.571999999999999"/>
    <n v="0"/>
    <x v="1"/>
    <n v="0"/>
    <n v="0"/>
    <n v="39"/>
    <n v="85"/>
    <n v="0"/>
    <n v="369.16"/>
    <n v="199.51"/>
    <m/>
    <n v="330.61867549798609"/>
    <n v="261.5374640864809"/>
    <n v="0"/>
    <n v="6856.0395200000003"/>
    <n v="3705.2997199999995"/>
    <n v="0"/>
    <n v="6140.2500413485977"/>
    <n v="4857.2737830141232"/>
  </r>
  <r>
    <s v="Regular"/>
    <x v="3"/>
    <x v="4"/>
    <x v="5"/>
    <x v="3"/>
    <x v="3"/>
    <x v="0"/>
    <x v="1"/>
    <x v="8"/>
    <n v="0"/>
    <n v="0"/>
    <n v="9.3330000000000002"/>
    <n v="3.0798899999999998"/>
    <n v="9.3330000000000002"/>
    <n v="3.0798899999999998"/>
    <n v="0"/>
    <x v="1"/>
    <n v="0"/>
    <n v="0"/>
    <n v="39"/>
    <n v="85"/>
    <n v="0"/>
    <n v="369.16"/>
    <n v="199.51"/>
    <m/>
    <n v="330.61867549798609"/>
    <n v="261.5374640864809"/>
    <n v="0"/>
    <n v="1136.9721924"/>
    <n v="614.46885389999989"/>
    <n v="0"/>
    <n v="1018.2691524794923"/>
    <n v="805.50662026531154"/>
  </r>
  <r>
    <s v="Refaturamento - Regular"/>
    <x v="3"/>
    <x v="4"/>
    <x v="5"/>
    <x v="3"/>
    <x v="3"/>
    <x v="0"/>
    <x v="1"/>
    <x v="8"/>
    <n v="0"/>
    <n v="0"/>
    <n v="-0.57599999999999996"/>
    <n v="-0.19008"/>
    <n v="-0.57599999999999996"/>
    <n v="-0.19008"/>
    <n v="0"/>
    <x v="1"/>
    <n v="0"/>
    <n v="0"/>
    <n v="39"/>
    <n v="85"/>
    <n v="0"/>
    <n v="369.16"/>
    <n v="199.51"/>
    <m/>
    <n v="330.61867549798609"/>
    <n v="261.5374640864809"/>
    <n v="0"/>
    <n v="-70.169932799999998"/>
    <n v="-37.922860799999995"/>
    <n v="0"/>
    <n v="-62.843997838657195"/>
    <n v="-49.713041173558288"/>
  </r>
  <r>
    <s v="Sistema Isolado - Regular"/>
    <x v="3"/>
    <x v="4"/>
    <x v="5"/>
    <x v="3"/>
    <x v="3"/>
    <x v="0"/>
    <x v="1"/>
    <x v="8"/>
    <n v="0"/>
    <n v="0"/>
    <n v="17.431999999999999"/>
    <n v="5.7525599999999999"/>
    <n v="17.431999999999999"/>
    <n v="5.7525599999999999"/>
    <n v="0"/>
    <x v="1"/>
    <n v="0"/>
    <n v="0"/>
    <n v="39"/>
    <n v="85"/>
    <n v="0"/>
    <n v="369.16"/>
    <n v="199.51"/>
    <m/>
    <n v="330.61867549798609"/>
    <n v="261.5374640864809"/>
    <n v="0"/>
    <n v="2123.6150496"/>
    <n v="1147.6932456"/>
    <n v="0"/>
    <n v="1901.9037679226949"/>
    <n v="1504.5099544053264"/>
  </r>
  <r>
    <s v="Regular"/>
    <x v="3"/>
    <x v="4"/>
    <x v="5"/>
    <x v="3"/>
    <x v="3"/>
    <x v="0"/>
    <x v="1"/>
    <x v="9"/>
    <n v="0"/>
    <n v="0"/>
    <n v="15.872"/>
    <n v="5.2377599999999997"/>
    <n v="15.872"/>
    <n v="5.2377599999999997"/>
    <n v="0"/>
    <x v="1"/>
    <n v="0"/>
    <n v="0"/>
    <n v="39"/>
    <n v="85"/>
    <n v="0"/>
    <n v="369.16"/>
    <n v="199.51"/>
    <m/>
    <n v="330.61867549798609"/>
    <n v="261.5374640864809"/>
    <n v="0"/>
    <n v="1933.5714816"/>
    <n v="1044.9854975999999"/>
    <n v="0"/>
    <n v="1731.7012737763316"/>
    <n v="1369.870467893606"/>
  </r>
  <r>
    <s v="Sistema Isolado - Regular"/>
    <x v="3"/>
    <x v="4"/>
    <x v="5"/>
    <x v="3"/>
    <x v="3"/>
    <x v="0"/>
    <x v="1"/>
    <x v="9"/>
    <n v="0"/>
    <n v="0"/>
    <n v="16.562999999999999"/>
    <n v="5.4657900000000001"/>
    <n v="16.562999999999999"/>
    <n v="5.4657900000000001"/>
    <n v="0"/>
    <x v="1"/>
    <n v="0"/>
    <n v="0"/>
    <n v="39"/>
    <n v="85"/>
    <n v="0"/>
    <n v="369.16"/>
    <n v="199.51"/>
    <m/>
    <n v="330.61867549798609"/>
    <n v="261.5374640864809"/>
    <n v="0"/>
    <n v="2017.7510364000002"/>
    <n v="1090.4797629"/>
    <n v="0"/>
    <n v="1807.0922503501374"/>
    <n v="1429.5088558292464"/>
  </r>
  <r>
    <s v="Sistema Isolado - Refaturamento"/>
    <x v="3"/>
    <x v="4"/>
    <x v="5"/>
    <x v="3"/>
    <x v="3"/>
    <x v="0"/>
    <x v="1"/>
    <x v="9"/>
    <n v="0"/>
    <n v="0"/>
    <n v="0.182"/>
    <n v="6.0060000000000002E-2"/>
    <n v="0.182"/>
    <n v="6.0060000000000002E-2"/>
    <n v="0"/>
    <x v="1"/>
    <n v="0"/>
    <n v="0"/>
    <n v="39"/>
    <n v="85"/>
    <n v="0"/>
    <n v="369.16"/>
    <n v="199.51"/>
    <m/>
    <n v="330.61867549798609"/>
    <n v="261.5374640864809"/>
    <n v="0"/>
    <n v="22.171749600000002"/>
    <n v="11.982570600000001"/>
    <n v="0"/>
    <n v="19.856957650409047"/>
    <n v="15.707940093034043"/>
  </r>
  <r>
    <s v="Regular"/>
    <x v="3"/>
    <x v="4"/>
    <x v="5"/>
    <x v="3"/>
    <x v="3"/>
    <x v="0"/>
    <x v="1"/>
    <x v="10"/>
    <n v="0"/>
    <n v="0"/>
    <n v="6.3520000000000003"/>
    <n v="2.0961599999999998"/>
    <n v="6.3520000000000003"/>
    <n v="2.0961599999999998"/>
    <n v="0"/>
    <x v="1"/>
    <n v="0"/>
    <n v="0"/>
    <n v="39"/>
    <n v="85"/>
    <n v="0"/>
    <n v="369.16"/>
    <n v="199.51"/>
    <m/>
    <n v="330.61867549798609"/>
    <n v="261.5374640864809"/>
    <n v="0"/>
    <n v="773.81842559999996"/>
    <n v="418.20488159999996"/>
    <n v="0"/>
    <n v="693.0296428318585"/>
    <n v="548.22437071951776"/>
  </r>
  <r>
    <s v="Sistema Isolado - Regular"/>
    <x v="3"/>
    <x v="4"/>
    <x v="5"/>
    <x v="3"/>
    <x v="3"/>
    <x v="0"/>
    <x v="1"/>
    <x v="10"/>
    <n v="0"/>
    <n v="0"/>
    <n v="18.033999999999999"/>
    <n v="5.9512200000000002"/>
    <n v="18.033999999999999"/>
    <n v="5.9512200000000002"/>
    <n v="0"/>
    <x v="1"/>
    <n v="0"/>
    <n v="0"/>
    <n v="39"/>
    <n v="85"/>
    <n v="0"/>
    <n v="369.16"/>
    <n v="199.51"/>
    <m/>
    <n v="330.61867549798609"/>
    <n v="261.5374640864809"/>
    <n v="0"/>
    <n v="2196.9523752"/>
    <n v="1187.3279021999999"/>
    <n v="0"/>
    <n v="1967.5844739971249"/>
    <n v="1556.466987020747"/>
  </r>
  <r>
    <s v="PROJETADO"/>
    <x v="3"/>
    <x v="4"/>
    <x v="5"/>
    <x v="3"/>
    <x v="3"/>
    <x v="0"/>
    <x v="1"/>
    <x v="11"/>
    <n v="0"/>
    <n v="0"/>
    <n v="6.3520000000000003"/>
    <n v="2.0961599999999998"/>
    <n v="6.3520000000000003"/>
    <n v="2.0961599999999998"/>
    <n v="0"/>
    <x v="1"/>
    <n v="0"/>
    <n v="0"/>
    <n v="39"/>
    <n v="85"/>
    <n v="0"/>
    <n v="369.16"/>
    <n v="199.51"/>
    <m/>
    <n v="330.61867549798609"/>
    <n v="261.5374640864809"/>
    <n v="0"/>
    <n v="773.81842559999996"/>
    <n v="418.20488159999996"/>
    <n v="0"/>
    <n v="693.0296428318585"/>
    <n v="548.22437071951776"/>
  </r>
  <r>
    <s v="PROJETADO"/>
    <x v="3"/>
    <x v="4"/>
    <x v="5"/>
    <x v="3"/>
    <x v="3"/>
    <x v="0"/>
    <x v="1"/>
    <x v="11"/>
    <n v="0"/>
    <n v="0"/>
    <n v="18.033999999999999"/>
    <n v="5.9512200000000002"/>
    <n v="18.033999999999999"/>
    <n v="5.9512200000000002"/>
    <n v="0"/>
    <x v="1"/>
    <n v="0"/>
    <n v="0"/>
    <n v="39"/>
    <n v="85"/>
    <n v="0"/>
    <n v="369.16"/>
    <n v="199.51"/>
    <m/>
    <n v="330.61867549798609"/>
    <n v="261.5374640864809"/>
    <n v="0"/>
    <n v="2196.9523752"/>
    <n v="1187.3279021999999"/>
    <n v="0"/>
    <n v="1967.5844739971249"/>
    <n v="1556.466987020747"/>
  </r>
  <r>
    <s v="Regular"/>
    <x v="3"/>
    <x v="4"/>
    <x v="5"/>
    <x v="0"/>
    <x v="0"/>
    <x v="0"/>
    <x v="1"/>
    <x v="0"/>
    <n v="0"/>
    <n v="0"/>
    <n v="1608.518"/>
    <n v="1608.518"/>
    <n v="1608.518"/>
    <n v="1608.518"/>
    <n v="8018"/>
    <x v="1"/>
    <n v="0"/>
    <n v="0"/>
    <n v="39"/>
    <n v="85"/>
    <n v="0"/>
    <n v="369.16"/>
    <n v="199.51"/>
    <m/>
    <n v="330.61867549798609"/>
    <n v="261.5374640864809"/>
    <n v="0"/>
    <n v="593800.50488000002"/>
    <n v="320915.42618000001"/>
    <n v="0"/>
    <n v="531806.0906746696"/>
    <n v="420687.71865745808"/>
  </r>
  <r>
    <s v="Refaturamento - Regular"/>
    <x v="3"/>
    <x v="4"/>
    <x v="5"/>
    <x v="0"/>
    <x v="0"/>
    <x v="0"/>
    <x v="1"/>
    <x v="0"/>
    <n v="0"/>
    <n v="0"/>
    <n v="-17.347999999999999"/>
    <n v="-17.347999999999999"/>
    <n v="-17.347999999999999"/>
    <n v="-17.347999999999999"/>
    <n v="-31"/>
    <x v="1"/>
    <n v="0"/>
    <n v="0"/>
    <n v="39"/>
    <n v="85"/>
    <n v="0"/>
    <n v="369.16"/>
    <n v="199.51"/>
    <m/>
    <n v="330.61867549798609"/>
    <n v="261.5374640864809"/>
    <n v="0"/>
    <n v="-6404.18768"/>
    <n v="-3461.0994799999999"/>
    <n v="0"/>
    <n v="-5735.5727825390622"/>
    <n v="-4537.1519269722703"/>
  </r>
  <r>
    <s v="Sistema Isolado - Regular"/>
    <x v="3"/>
    <x v="4"/>
    <x v="5"/>
    <x v="0"/>
    <x v="0"/>
    <x v="0"/>
    <x v="1"/>
    <x v="0"/>
    <n v="0"/>
    <n v="0"/>
    <n v="4186.5320000000002"/>
    <n v="4186.5320000000002"/>
    <n v="4186.5320000000002"/>
    <n v="4186.5320000000002"/>
    <n v="36019"/>
    <x v="1"/>
    <n v="0"/>
    <n v="0"/>
    <n v="39"/>
    <n v="85"/>
    <n v="0"/>
    <n v="369.16"/>
    <n v="199.51"/>
    <m/>
    <n v="330.61867549798609"/>
    <n v="261.5374640864809"/>
    <n v="0"/>
    <n v="1545500.1531200001"/>
    <n v="835254.99931999994"/>
    <n v="0"/>
    <n v="1384145.6647699347"/>
    <n v="1094934.9625969031"/>
  </r>
  <r>
    <s v="Sistema Isolado - Refaturamento"/>
    <x v="3"/>
    <x v="4"/>
    <x v="5"/>
    <x v="0"/>
    <x v="0"/>
    <x v="0"/>
    <x v="1"/>
    <x v="0"/>
    <n v="0"/>
    <n v="0"/>
    <n v="-61.634"/>
    <n v="-61.634"/>
    <n v="-61.634"/>
    <n v="-61.634"/>
    <n v="-41"/>
    <x v="1"/>
    <n v="0"/>
    <n v="0"/>
    <n v="39"/>
    <n v="85"/>
    <n v="0"/>
    <n v="369.16"/>
    <n v="199.51"/>
    <m/>
    <n v="330.61867549798609"/>
    <n v="261.5374640864809"/>
    <n v="0"/>
    <n v="-22752.80744"/>
    <n v="-12296.599339999999"/>
    <n v="0"/>
    <n v="-20377.351445642875"/>
    <n v="-16119.600061506164"/>
  </r>
  <r>
    <s v="Sistema de Compensação"/>
    <x v="3"/>
    <x v="4"/>
    <x v="5"/>
    <x v="0"/>
    <x v="0"/>
    <x v="0"/>
    <x v="1"/>
    <x v="0"/>
    <n v="0"/>
    <n v="0"/>
    <n v="7.718"/>
    <n v="7.718"/>
    <n v="7.718"/>
    <n v="7.718"/>
    <n v="11"/>
    <x v="1"/>
    <n v="0"/>
    <n v="0"/>
    <n v="39"/>
    <n v="85"/>
    <n v="0"/>
    <n v="369.16"/>
    <n v="199.51"/>
    <m/>
    <n v="330.61867549798609"/>
    <n v="261.5374640864809"/>
    <n v="0"/>
    <n v="2849.17688"/>
    <n v="1539.81818"/>
    <n v="0"/>
    <n v="2551.7149374934565"/>
    <n v="2018.5461478194595"/>
  </r>
  <r>
    <s v="Sistema de Compensação"/>
    <x v="3"/>
    <x v="4"/>
    <x v="5"/>
    <x v="0"/>
    <x v="0"/>
    <x v="0"/>
    <x v="1"/>
    <x v="0"/>
    <n v="0"/>
    <n v="0"/>
    <n v="6.8440000000000003"/>
    <n v="6.8440000000000003"/>
    <n v="6.8440000000000003"/>
    <n v="6.8440000000000003"/>
    <n v="1"/>
    <x v="1"/>
    <n v="0"/>
    <n v="0"/>
    <n v="39"/>
    <n v="85"/>
    <n v="0"/>
    <n v="369.16"/>
    <n v="199.51"/>
    <m/>
    <n v="330.61867549798609"/>
    <n v="261.5374640864809"/>
    <n v="0"/>
    <n v="2526.5310400000003"/>
    <n v="1365.4464399999999"/>
    <n v="0"/>
    <n v="2262.7542151082171"/>
    <n v="1789.9624042078754"/>
  </r>
  <r>
    <s v="Regular"/>
    <x v="3"/>
    <x v="4"/>
    <x v="5"/>
    <x v="0"/>
    <x v="0"/>
    <x v="0"/>
    <x v="1"/>
    <x v="1"/>
    <n v="0"/>
    <n v="0"/>
    <n v="1598.566"/>
    <n v="1598.566"/>
    <n v="1598.566"/>
    <n v="1598.566"/>
    <n v="8021"/>
    <x v="1"/>
    <n v="0"/>
    <n v="0"/>
    <n v="39"/>
    <n v="85"/>
    <n v="0"/>
    <n v="369.16"/>
    <n v="199.51"/>
    <m/>
    <n v="330.61867549798609"/>
    <n v="261.5374640864809"/>
    <n v="0"/>
    <n v="590126.62456000003"/>
    <n v="318929.90265999996"/>
    <n v="0"/>
    <n v="528515.77361611358"/>
    <n v="418084.89781486942"/>
  </r>
  <r>
    <s v="Refaturamento - Regular"/>
    <x v="3"/>
    <x v="4"/>
    <x v="5"/>
    <x v="0"/>
    <x v="0"/>
    <x v="0"/>
    <x v="1"/>
    <x v="1"/>
    <n v="0"/>
    <n v="0"/>
    <n v="-76.828000000000003"/>
    <n v="-76.828000000000003"/>
    <n v="-76.828000000000003"/>
    <n v="-76.828000000000003"/>
    <n v="0"/>
    <x v="1"/>
    <n v="0"/>
    <n v="0"/>
    <n v="39"/>
    <n v="85"/>
    <n v="0"/>
    <n v="369.16"/>
    <n v="199.51"/>
    <m/>
    <n v="330.61867549798609"/>
    <n v="261.5374640864809"/>
    <n v="0"/>
    <n v="-28361.824480000003"/>
    <n v="-15327.95428"/>
    <n v="0"/>
    <n v="-25400.771601159275"/>
    <n v="-20093.400290836154"/>
  </r>
  <r>
    <s v="Sistema Isolado - Regular"/>
    <x v="3"/>
    <x v="4"/>
    <x v="5"/>
    <x v="0"/>
    <x v="0"/>
    <x v="0"/>
    <x v="1"/>
    <x v="1"/>
    <n v="0"/>
    <n v="0"/>
    <n v="4236.6030000000001"/>
    <n v="4236.6030000000001"/>
    <n v="4236.6030000000001"/>
    <n v="4236.6030000000001"/>
    <n v="36013"/>
    <x v="1"/>
    <n v="0"/>
    <n v="0"/>
    <n v="39"/>
    <n v="85"/>
    <n v="0"/>
    <n v="369.16"/>
    <n v="199.51"/>
    <m/>
    <n v="330.61867549798609"/>
    <n v="261.5374640864809"/>
    <n v="0"/>
    <n v="1563984.3634800001"/>
    <n v="845244.66452999995"/>
    <n v="0"/>
    <n v="1400700.0724707944"/>
    <n v="1108030.4049611771"/>
  </r>
  <r>
    <s v="Sistema Isolado - Refaturamento"/>
    <x v="3"/>
    <x v="4"/>
    <x v="5"/>
    <x v="0"/>
    <x v="0"/>
    <x v="0"/>
    <x v="1"/>
    <x v="1"/>
    <n v="0"/>
    <n v="0"/>
    <n v="-10.084"/>
    <n v="-10.084"/>
    <n v="-10.084"/>
    <n v="-10.084"/>
    <n v="0"/>
    <x v="1"/>
    <n v="0"/>
    <n v="0"/>
    <n v="39"/>
    <n v="85"/>
    <n v="0"/>
    <n v="369.16"/>
    <n v="199.51"/>
    <m/>
    <n v="330.61867549798609"/>
    <n v="261.5374640864809"/>
    <n v="0"/>
    <n v="-3722.6094400000002"/>
    <n v="-2011.8588399999999"/>
    <n v="0"/>
    <n v="-3333.9587237216915"/>
    <n v="-2637.3437878480731"/>
  </r>
  <r>
    <s v="Sistema de Compensação"/>
    <x v="3"/>
    <x v="4"/>
    <x v="5"/>
    <x v="0"/>
    <x v="0"/>
    <x v="0"/>
    <x v="1"/>
    <x v="1"/>
    <n v="0"/>
    <n v="0"/>
    <n v="7.3019999999999996"/>
    <n v="7.3019999999999996"/>
    <n v="7.3019999999999996"/>
    <n v="7.3019999999999996"/>
    <n v="11"/>
    <x v="1"/>
    <n v="0"/>
    <n v="0"/>
    <n v="39"/>
    <n v="85"/>
    <n v="0"/>
    <n v="369.16"/>
    <n v="199.51"/>
    <m/>
    <n v="330.61867549798609"/>
    <n v="261.5374640864809"/>
    <n v="0"/>
    <n v="2695.6063199999999"/>
    <n v="1456.8220199999998"/>
    <n v="0"/>
    <n v="2414.1775684862941"/>
    <n v="1909.7465627594834"/>
  </r>
  <r>
    <s v="Regular"/>
    <x v="3"/>
    <x v="4"/>
    <x v="5"/>
    <x v="0"/>
    <x v="0"/>
    <x v="0"/>
    <x v="1"/>
    <x v="2"/>
    <n v="0"/>
    <n v="0"/>
    <n v="1548.175"/>
    <n v="1548.175"/>
    <n v="1548.175"/>
    <n v="1548.175"/>
    <n v="8006"/>
    <x v="1"/>
    <n v="0"/>
    <n v="0"/>
    <n v="39"/>
    <n v="85"/>
    <n v="0"/>
    <n v="369.16"/>
    <n v="199.51"/>
    <m/>
    <n v="330.61867549798609"/>
    <n v="261.5374640864809"/>
    <n v="0"/>
    <n v="571524.28300000005"/>
    <n v="308876.39424999995"/>
    <n v="0"/>
    <n v="511855.56793909462"/>
    <n v="404905.76346208755"/>
  </r>
  <r>
    <s v="Refaturamento - Regular"/>
    <x v="3"/>
    <x v="4"/>
    <x v="5"/>
    <x v="0"/>
    <x v="0"/>
    <x v="0"/>
    <x v="1"/>
    <x v="2"/>
    <n v="0"/>
    <n v="0"/>
    <n v="-125.527"/>
    <n v="-125.527"/>
    <n v="-125.527"/>
    <n v="-125.527"/>
    <n v="0"/>
    <x v="1"/>
    <n v="0"/>
    <n v="0"/>
    <n v="39"/>
    <n v="85"/>
    <n v="0"/>
    <n v="369.16"/>
    <n v="199.51"/>
    <m/>
    <n v="330.61867549798609"/>
    <n v="261.5374640864809"/>
    <n v="0"/>
    <n v="-46339.547320000005"/>
    <n v="-25043.891769999998"/>
    <n v="0"/>
    <n v="-41501.570479235699"/>
    <n v="-32830.013254383688"/>
  </r>
  <r>
    <s v="Sistema Isolado - Regular"/>
    <x v="3"/>
    <x v="4"/>
    <x v="5"/>
    <x v="0"/>
    <x v="0"/>
    <x v="0"/>
    <x v="1"/>
    <x v="2"/>
    <n v="0"/>
    <n v="0"/>
    <n v="3906.348"/>
    <n v="3906.348"/>
    <n v="3906.348"/>
    <n v="3906.348"/>
    <n v="35938"/>
    <x v="1"/>
    <n v="0"/>
    <n v="0"/>
    <n v="39"/>
    <n v="85"/>
    <n v="0"/>
    <n v="369.16"/>
    <n v="199.51"/>
    <m/>
    <n v="330.61867549798609"/>
    <n v="261.5374640864809"/>
    <n v="0"/>
    <n v="1442067.4276800002"/>
    <n v="779355.48947999999"/>
    <n v="0"/>
    <n v="1291511.601794207"/>
    <n v="1021656.3497592965"/>
  </r>
  <r>
    <s v="Sistema Isolado - Refaturamento"/>
    <x v="3"/>
    <x v="4"/>
    <x v="5"/>
    <x v="0"/>
    <x v="0"/>
    <x v="0"/>
    <x v="1"/>
    <x v="2"/>
    <n v="0"/>
    <n v="0"/>
    <n v="-152.096"/>
    <n v="-152.096"/>
    <n v="-152.096"/>
    <n v="-152.096"/>
    <n v="0"/>
    <x v="1"/>
    <n v="0"/>
    <n v="0"/>
    <n v="39"/>
    <n v="85"/>
    <n v="0"/>
    <n v="369.16"/>
    <n v="199.51"/>
    <m/>
    <n v="330.61867549798609"/>
    <n v="261.5374640864809"/>
    <n v="0"/>
    <n v="-56147.759360000004"/>
    <n v="-30344.67296"/>
    <n v="0"/>
    <n v="-50285.778068541695"/>
    <n v="-39778.802137697399"/>
  </r>
  <r>
    <s v="Sistema de Compensação"/>
    <x v="3"/>
    <x v="4"/>
    <x v="5"/>
    <x v="0"/>
    <x v="0"/>
    <x v="0"/>
    <x v="1"/>
    <x v="2"/>
    <n v="0"/>
    <n v="0"/>
    <n v="7.7320000000000002"/>
    <n v="7.7320000000000002"/>
    <n v="7.7320000000000002"/>
    <n v="7.7320000000000002"/>
    <n v="11"/>
    <x v="1"/>
    <n v="0"/>
    <n v="0"/>
    <n v="39"/>
    <n v="85"/>
    <n v="0"/>
    <n v="369.16"/>
    <n v="199.51"/>
    <m/>
    <n v="330.61867549798609"/>
    <n v="261.5374640864809"/>
    <n v="0"/>
    <n v="2854.3451200000004"/>
    <n v="1542.61132"/>
    <n v="0"/>
    <n v="2556.3435989504287"/>
    <n v="2022.2076723166704"/>
  </r>
  <r>
    <s v="Regular"/>
    <x v="3"/>
    <x v="4"/>
    <x v="5"/>
    <x v="0"/>
    <x v="0"/>
    <x v="0"/>
    <x v="1"/>
    <x v="3"/>
    <n v="0"/>
    <n v="0"/>
    <n v="1381.0920000000001"/>
    <n v="1381.0920000000001"/>
    <n v="1381.0920000000001"/>
    <n v="1381.0920000000001"/>
    <n v="7999"/>
    <x v="1"/>
    <n v="0"/>
    <n v="0"/>
    <n v="39"/>
    <n v="85"/>
    <n v="0"/>
    <n v="369.16"/>
    <n v="199.51"/>
    <m/>
    <n v="330.61867549798609"/>
    <n v="261.5374640864809"/>
    <n v="0"/>
    <n v="509843.92272000009"/>
    <n v="275541.66492000001"/>
    <n v="0"/>
    <n v="456614.80778086465"/>
    <n v="361207.29935012612"/>
  </r>
  <r>
    <s v="Refaturamento - Regular"/>
    <x v="3"/>
    <x v="4"/>
    <x v="5"/>
    <x v="0"/>
    <x v="0"/>
    <x v="0"/>
    <x v="1"/>
    <x v="3"/>
    <n v="0"/>
    <n v="0"/>
    <n v="-117.90900000000001"/>
    <n v="-117.90900000000001"/>
    <n v="-117.90900000000001"/>
    <n v="-117.90900000000001"/>
    <n v="0"/>
    <x v="1"/>
    <n v="0"/>
    <n v="0"/>
    <n v="39"/>
    <n v="85"/>
    <n v="0"/>
    <n v="369.16"/>
    <n v="199.51"/>
    <m/>
    <n v="330.61867549798609"/>
    <n v="261.5374640864809"/>
    <n v="0"/>
    <n v="-43527.286440000003"/>
    <n v="-23524.024590000001"/>
    <n v="0"/>
    <n v="-38982.917409292044"/>
    <n v="-30837.620852972879"/>
  </r>
  <r>
    <s v="Sistema Isolado - Regular"/>
    <x v="3"/>
    <x v="4"/>
    <x v="5"/>
    <x v="0"/>
    <x v="0"/>
    <x v="0"/>
    <x v="1"/>
    <x v="3"/>
    <n v="0"/>
    <n v="0"/>
    <n v="3737.5740000000001"/>
    <n v="3737.5740000000001"/>
    <n v="3737.5740000000001"/>
    <n v="3737.5740000000001"/>
    <n v="35935"/>
    <x v="1"/>
    <n v="0"/>
    <n v="0"/>
    <n v="39"/>
    <n v="85"/>
    <n v="0"/>
    <n v="369.16"/>
    <n v="199.51"/>
    <m/>
    <n v="330.61867549798609"/>
    <n v="261.5374640864809"/>
    <n v="0"/>
    <n v="1379762.8178400001"/>
    <n v="745683.38873999997"/>
    <n v="0"/>
    <n v="1235711.7654557098"/>
    <n v="977515.62579556473"/>
  </r>
  <r>
    <s v="Sistema Isolado - Refaturamento"/>
    <x v="3"/>
    <x v="4"/>
    <x v="5"/>
    <x v="0"/>
    <x v="0"/>
    <x v="0"/>
    <x v="1"/>
    <x v="3"/>
    <n v="0"/>
    <n v="0"/>
    <n v="-14.449"/>
    <n v="-14.449"/>
    <n v="-14.449"/>
    <n v="-14.449"/>
    <n v="0"/>
    <x v="1"/>
    <n v="0"/>
    <n v="0"/>
    <n v="39"/>
    <n v="85"/>
    <n v="0"/>
    <n v="369.16"/>
    <n v="199.51"/>
    <m/>
    <n v="330.61867549798609"/>
    <n v="261.5374640864809"/>
    <n v="0"/>
    <n v="-5333.9928399999999"/>
    <n v="-2882.7199900000001"/>
    <n v="0"/>
    <n v="-4777.1092422704005"/>
    <n v="-3778.9548185855624"/>
  </r>
  <r>
    <s v="Sistema de Compensação"/>
    <x v="3"/>
    <x v="4"/>
    <x v="5"/>
    <x v="0"/>
    <x v="0"/>
    <x v="0"/>
    <x v="1"/>
    <x v="3"/>
    <n v="0"/>
    <n v="0"/>
    <n v="7.5449999999999999"/>
    <n v="7.5449999999999999"/>
    <n v="7.5449999999999999"/>
    <n v="7.5449999999999999"/>
    <n v="12"/>
    <x v="1"/>
    <n v="0"/>
    <n v="0"/>
    <n v="39"/>
    <n v="85"/>
    <n v="0"/>
    <n v="369.16"/>
    <n v="199.51"/>
    <m/>
    <n v="330.61867549798609"/>
    <n v="261.5374640864809"/>
    <n v="0"/>
    <n v="2785.3122000000003"/>
    <n v="1505.30295"/>
    <n v="0"/>
    <n v="2494.5179066323049"/>
    <n v="1973.3001665324982"/>
  </r>
  <r>
    <s v="Regular"/>
    <x v="3"/>
    <x v="4"/>
    <x v="5"/>
    <x v="0"/>
    <x v="0"/>
    <x v="0"/>
    <x v="1"/>
    <x v="4"/>
    <n v="0"/>
    <n v="0"/>
    <n v="1397.4190000000001"/>
    <n v="1397.4190000000001"/>
    <n v="1397.4190000000001"/>
    <n v="1397.4190000000001"/>
    <n v="8002"/>
    <x v="1"/>
    <n v="0"/>
    <n v="0"/>
    <n v="39"/>
    <n v="85"/>
    <n v="0"/>
    <n v="369.16"/>
    <n v="199.51"/>
    <m/>
    <n v="330.61867549798609"/>
    <n v="261.5374640864809"/>
    <n v="0"/>
    <n v="515871.19804000005"/>
    <n v="278799.06469000003"/>
    <n v="0"/>
    <n v="462012.81889572024"/>
    <n v="365477.42152626609"/>
  </r>
  <r>
    <s v="Refaturamento - Regular"/>
    <x v="3"/>
    <x v="4"/>
    <x v="5"/>
    <x v="0"/>
    <x v="0"/>
    <x v="0"/>
    <x v="1"/>
    <x v="4"/>
    <n v="0"/>
    <n v="0"/>
    <n v="-66.885000000000005"/>
    <n v="-66.885000000000005"/>
    <n v="-66.885000000000005"/>
    <n v="-66.885000000000005"/>
    <n v="0"/>
    <x v="1"/>
    <n v="0"/>
    <n v="0"/>
    <n v="39"/>
    <n v="85"/>
    <n v="0"/>
    <n v="369.16"/>
    <n v="199.51"/>
    <m/>
    <n v="330.61867549798609"/>
    <n v="261.5374640864809"/>
    <n v="0"/>
    <n v="-24691.266600000003"/>
    <n v="-13344.226350000001"/>
    <n v="0"/>
    <n v="-22113.430110682802"/>
    <n v="-17492.933285424275"/>
  </r>
  <r>
    <s v="Sistema Isolado - Regular"/>
    <x v="3"/>
    <x v="4"/>
    <x v="5"/>
    <x v="0"/>
    <x v="0"/>
    <x v="0"/>
    <x v="1"/>
    <x v="4"/>
    <n v="0"/>
    <n v="0"/>
    <n v="3903.018"/>
    <n v="3903.018"/>
    <n v="3903.018"/>
    <n v="3903.018"/>
    <n v="35896"/>
    <x v="1"/>
    <n v="0"/>
    <n v="0"/>
    <n v="39"/>
    <n v="85"/>
    <n v="0"/>
    <n v="369.16"/>
    <n v="199.51"/>
    <m/>
    <n v="330.61867549798609"/>
    <n v="261.5374640864809"/>
    <n v="0"/>
    <n v="1440838.12488"/>
    <n v="778691.12118000002"/>
    <n v="0"/>
    <n v="1290410.6416047986"/>
    <n v="1020785.4300038886"/>
  </r>
  <r>
    <s v="Sistema Isolado - Refaturamento"/>
    <x v="3"/>
    <x v="4"/>
    <x v="5"/>
    <x v="0"/>
    <x v="0"/>
    <x v="0"/>
    <x v="1"/>
    <x v="4"/>
    <n v="0"/>
    <n v="0"/>
    <n v="-40.159999999999997"/>
    <n v="-40.159999999999997"/>
    <n v="-40.159999999999997"/>
    <n v="-40.159999999999997"/>
    <n v="0"/>
    <x v="1"/>
    <n v="0"/>
    <n v="0"/>
    <n v="39"/>
    <n v="85"/>
    <n v="0"/>
    <n v="369.16"/>
    <n v="199.51"/>
    <m/>
    <n v="330.61867549798609"/>
    <n v="261.5374640864809"/>
    <n v="0"/>
    <n v="-14825.4656"/>
    <n v="-8012.3215999999993"/>
    <n v="0"/>
    <n v="-13277.646007999119"/>
    <n v="-10503.344557713071"/>
  </r>
  <r>
    <s v="Sistema de Compensação"/>
    <x v="3"/>
    <x v="4"/>
    <x v="5"/>
    <x v="0"/>
    <x v="0"/>
    <x v="0"/>
    <x v="1"/>
    <x v="4"/>
    <n v="0"/>
    <n v="0"/>
    <n v="7.9669999999999996"/>
    <n v="7.9669999999999996"/>
    <n v="7.9669999999999996"/>
    <n v="7.9669999999999996"/>
    <n v="13"/>
    <x v="1"/>
    <n v="0"/>
    <n v="0"/>
    <n v="39"/>
    <n v="85"/>
    <n v="0"/>
    <n v="369.16"/>
    <n v="199.51"/>
    <m/>
    <n v="330.61867549798609"/>
    <n v="261.5374640864809"/>
    <n v="0"/>
    <n v="2941.0977200000002"/>
    <n v="1589.4961699999999"/>
    <n v="0"/>
    <n v="2634.0389876924551"/>
    <n v="2083.6689763769932"/>
  </r>
  <r>
    <s v="Sistema de Compensação"/>
    <x v="3"/>
    <x v="4"/>
    <x v="5"/>
    <x v="0"/>
    <x v="0"/>
    <x v="0"/>
    <x v="1"/>
    <x v="4"/>
    <n v="0"/>
    <n v="0"/>
    <n v="1.361"/>
    <n v="1.361"/>
    <n v="1.361"/>
    <n v="1.361"/>
    <n v="0"/>
    <x v="1"/>
    <n v="0"/>
    <n v="0"/>
    <n v="39"/>
    <n v="85"/>
    <n v="0"/>
    <n v="369.16"/>
    <n v="199.51"/>
    <m/>
    <n v="330.61867549798609"/>
    <n v="261.5374640864809"/>
    <n v="0"/>
    <n v="502.42676"/>
    <n v="271.53310999999997"/>
    <n v="0"/>
    <n v="449.97201735275905"/>
    <n v="355.95248862170047"/>
  </r>
  <r>
    <s v="Regular"/>
    <x v="3"/>
    <x v="4"/>
    <x v="5"/>
    <x v="0"/>
    <x v="0"/>
    <x v="0"/>
    <x v="1"/>
    <x v="5"/>
    <n v="0"/>
    <n v="0"/>
    <n v="1546.347"/>
    <n v="1546.347"/>
    <n v="1546.347"/>
    <n v="1546.347"/>
    <n v="7514"/>
    <x v="1"/>
    <n v="0"/>
    <n v="0"/>
    <n v="39"/>
    <n v="85"/>
    <n v="0"/>
    <n v="369.16"/>
    <n v="199.51"/>
    <m/>
    <n v="330.61867549798609"/>
    <n v="261.5374640864809"/>
    <n v="0"/>
    <n v="570849.45851999999"/>
    <n v="308511.68997000001"/>
    <n v="0"/>
    <n v="511251.19700028427"/>
    <n v="404427.67297773744"/>
  </r>
  <r>
    <s v="Refaturamento - Regular"/>
    <x v="3"/>
    <x v="4"/>
    <x v="5"/>
    <x v="0"/>
    <x v="0"/>
    <x v="0"/>
    <x v="1"/>
    <x v="5"/>
    <n v="0"/>
    <n v="0"/>
    <n v="-35.676000000000002"/>
    <n v="-35.676000000000002"/>
    <n v="-35.676000000000002"/>
    <n v="-35.676000000000002"/>
    <n v="0"/>
    <x v="1"/>
    <n v="0"/>
    <n v="0"/>
    <n v="39"/>
    <n v="85"/>
    <n v="0"/>
    <n v="369.16"/>
    <n v="199.51"/>
    <m/>
    <n v="330.61867549798609"/>
    <n v="261.5374640864809"/>
    <n v="0"/>
    <n v="-13170.152160000001"/>
    <n v="-7117.7187599999997"/>
    <n v="0"/>
    <n v="-11795.151867066152"/>
    <n v="-9330.6105687492927"/>
  </r>
  <r>
    <s v="Sistema Isolado - Regular"/>
    <x v="3"/>
    <x v="4"/>
    <x v="5"/>
    <x v="0"/>
    <x v="0"/>
    <x v="0"/>
    <x v="1"/>
    <x v="5"/>
    <n v="0"/>
    <n v="0"/>
    <n v="3852.3090000000002"/>
    <n v="3852.3090000000002"/>
    <n v="3852.3090000000002"/>
    <n v="3852.3090000000002"/>
    <n v="33900"/>
    <x v="1"/>
    <n v="0"/>
    <n v="0"/>
    <n v="39"/>
    <n v="85"/>
    <n v="0"/>
    <n v="369.16"/>
    <n v="199.51"/>
    <m/>
    <n v="330.61867549798609"/>
    <n v="261.5374640864809"/>
    <n v="0"/>
    <n v="1422118.3904400002"/>
    <n v="768574.16859000002"/>
    <n v="0"/>
    <n v="1273645.2991889713"/>
    <n v="1007523.1267375272"/>
  </r>
  <r>
    <s v="Sistema Isolado - Refaturamento"/>
    <x v="3"/>
    <x v="4"/>
    <x v="5"/>
    <x v="0"/>
    <x v="0"/>
    <x v="0"/>
    <x v="1"/>
    <x v="5"/>
    <n v="0"/>
    <n v="0"/>
    <n v="-38.832000000000001"/>
    <n v="-38.832000000000001"/>
    <n v="-38.832000000000001"/>
    <n v="-38.832000000000001"/>
    <n v="0"/>
    <x v="1"/>
    <n v="0"/>
    <n v="0"/>
    <n v="39"/>
    <n v="85"/>
    <n v="0"/>
    <n v="369.16"/>
    <n v="199.51"/>
    <m/>
    <n v="330.61867549798609"/>
    <n v="261.5374640864809"/>
    <n v="0"/>
    <n v="-14335.221120000002"/>
    <n v="-7747.3723199999995"/>
    <n v="0"/>
    <n v="-12838.584406937796"/>
    <n v="-10156.022805406226"/>
  </r>
  <r>
    <s v="Sistema de Compensação"/>
    <x v="3"/>
    <x v="4"/>
    <x v="5"/>
    <x v="0"/>
    <x v="0"/>
    <x v="0"/>
    <x v="1"/>
    <x v="5"/>
    <n v="0"/>
    <n v="0"/>
    <n v="10.926"/>
    <n v="10.926"/>
    <n v="10.926"/>
    <n v="10.926"/>
    <n v="15"/>
    <x v="1"/>
    <n v="0"/>
    <n v="0"/>
    <n v="39"/>
    <n v="85"/>
    <n v="0"/>
    <n v="369.16"/>
    <n v="199.51"/>
    <m/>
    <n v="330.61867549798609"/>
    <n v="261.5374640864809"/>
    <n v="0"/>
    <n v="4033.4421600000005"/>
    <n v="2179.8462599999998"/>
    <n v="0"/>
    <n v="3612.3396484909958"/>
    <n v="2857.5583326088904"/>
  </r>
  <r>
    <s v="Regular"/>
    <x v="3"/>
    <x v="4"/>
    <x v="5"/>
    <x v="0"/>
    <x v="0"/>
    <x v="0"/>
    <x v="1"/>
    <x v="6"/>
    <n v="0"/>
    <n v="0"/>
    <n v="1470.9860000000001"/>
    <n v="1470.9860000000001"/>
    <n v="1470.9860000000001"/>
    <n v="1470.9860000000001"/>
    <n v="7507"/>
    <x v="1"/>
    <n v="0"/>
    <n v="0"/>
    <n v="39"/>
    <n v="85"/>
    <n v="0"/>
    <n v="369.16"/>
    <n v="199.51"/>
    <m/>
    <n v="330.61867549798609"/>
    <n v="261.5374640864809"/>
    <n v="0"/>
    <n v="543029.19176000007"/>
    <n v="293476.41686"/>
    <n v="0"/>
    <n v="486335.44299608062"/>
    <n v="384717.94814671623"/>
  </r>
  <r>
    <s v="Refaturamento - Regular"/>
    <x v="3"/>
    <x v="4"/>
    <x v="5"/>
    <x v="0"/>
    <x v="0"/>
    <x v="0"/>
    <x v="1"/>
    <x v="6"/>
    <n v="0"/>
    <n v="0"/>
    <n v="-12.042999999999999"/>
    <n v="-12.042999999999999"/>
    <n v="-12.042999999999999"/>
    <n v="-12.042999999999999"/>
    <n v="0"/>
    <x v="1"/>
    <n v="0"/>
    <n v="0"/>
    <n v="39"/>
    <n v="85"/>
    <n v="0"/>
    <n v="369.16"/>
    <n v="199.51"/>
    <m/>
    <n v="330.61867549798609"/>
    <n v="261.5374640864809"/>
    <n v="0"/>
    <n v="-4445.7938800000002"/>
    <n v="-2402.6989299999996"/>
    <n v="0"/>
    <n v="-3981.640709022246"/>
    <n v="-3149.6956799934892"/>
  </r>
  <r>
    <s v="Sistema Isolado - Regular"/>
    <x v="3"/>
    <x v="4"/>
    <x v="5"/>
    <x v="0"/>
    <x v="0"/>
    <x v="0"/>
    <x v="1"/>
    <x v="6"/>
    <n v="0"/>
    <n v="0"/>
    <n v="3894.768"/>
    <n v="3894.768"/>
    <n v="3894.768"/>
    <n v="3894.768"/>
    <n v="33900"/>
    <x v="1"/>
    <n v="0"/>
    <n v="0"/>
    <n v="39"/>
    <n v="85"/>
    <n v="0"/>
    <n v="369.16"/>
    <n v="199.51"/>
    <m/>
    <n v="330.61867549798609"/>
    <n v="261.5374640864809"/>
    <n v="0"/>
    <n v="1437792.5548800002"/>
    <n v="777045.16368"/>
    <n v="0"/>
    <n v="1287683.0375319403"/>
    <n v="1018627.745925175"/>
  </r>
  <r>
    <s v="Sistema Isolado - Refaturamento"/>
    <x v="3"/>
    <x v="4"/>
    <x v="5"/>
    <x v="0"/>
    <x v="0"/>
    <x v="0"/>
    <x v="1"/>
    <x v="6"/>
    <n v="0"/>
    <n v="0"/>
    <n v="-32.683"/>
    <n v="-32.683"/>
    <n v="-32.683"/>
    <n v="-32.683"/>
    <n v="0"/>
    <x v="1"/>
    <n v="0"/>
    <n v="0"/>
    <n v="39"/>
    <n v="85"/>
    <n v="0"/>
    <n v="369.16"/>
    <n v="199.51"/>
    <m/>
    <n v="330.61867549798609"/>
    <n v="261.5374640864809"/>
    <n v="0"/>
    <n v="-12065.256280000001"/>
    <n v="-6520.5853299999999"/>
    <n v="0"/>
    <n v="-10805.610171300679"/>
    <n v="-8547.8289387384557"/>
  </r>
  <r>
    <s v="Sistema de Compensação"/>
    <x v="3"/>
    <x v="4"/>
    <x v="5"/>
    <x v="0"/>
    <x v="0"/>
    <x v="0"/>
    <x v="1"/>
    <x v="6"/>
    <n v="0"/>
    <n v="0"/>
    <n v="16.609000000000002"/>
    <n v="16.609000000000002"/>
    <n v="16.609000000000002"/>
    <n v="16.609000000000002"/>
    <n v="18"/>
    <x v="1"/>
    <n v="0"/>
    <n v="0"/>
    <n v="39"/>
    <n v="85"/>
    <n v="0"/>
    <n v="369.16"/>
    <n v="199.51"/>
    <m/>
    <n v="330.61867549798609"/>
    <n v="261.5374640864809"/>
    <n v="0"/>
    <n v="6131.3784400000013"/>
    <n v="3313.6615900000002"/>
    <n v="0"/>
    <n v="5491.2455813460519"/>
    <n v="4343.8757410123617"/>
  </r>
  <r>
    <s v="Regular"/>
    <x v="3"/>
    <x v="4"/>
    <x v="5"/>
    <x v="0"/>
    <x v="0"/>
    <x v="0"/>
    <x v="1"/>
    <x v="7"/>
    <n v="0"/>
    <n v="0"/>
    <n v="1583.41"/>
    <n v="1583.41"/>
    <n v="1583.41"/>
    <n v="1583.41"/>
    <n v="7462"/>
    <x v="1"/>
    <n v="0"/>
    <n v="0"/>
    <n v="39"/>
    <n v="85"/>
    <n v="0"/>
    <n v="369.16"/>
    <n v="199.51"/>
    <m/>
    <n v="330.61867549798609"/>
    <n v="261.5374640864809"/>
    <n v="0"/>
    <n v="584531.63560000004"/>
    <n v="315906.12910000002"/>
    <n v="0"/>
    <n v="523504.9169702662"/>
    <n v="414121.03600917471"/>
  </r>
  <r>
    <s v="Refaturamento - Regular"/>
    <x v="3"/>
    <x v="4"/>
    <x v="5"/>
    <x v="0"/>
    <x v="0"/>
    <x v="0"/>
    <x v="1"/>
    <x v="7"/>
    <n v="0"/>
    <n v="0"/>
    <n v="-26.966999999999999"/>
    <n v="-26.966999999999999"/>
    <n v="-26.966999999999999"/>
    <n v="-26.966999999999999"/>
    <n v="0"/>
    <x v="1"/>
    <n v="0"/>
    <n v="0"/>
    <n v="39"/>
    <n v="85"/>
    <n v="0"/>
    <n v="369.16"/>
    <n v="199.51"/>
    <m/>
    <n v="330.61867549798609"/>
    <n v="261.5374640864809"/>
    <n v="0"/>
    <n v="-9955.1377200000006"/>
    <n v="-5380.1861699999999"/>
    <n v="0"/>
    <n v="-8915.7938221541899"/>
    <n v="-7052.8807940201295"/>
  </r>
  <r>
    <s v="Sistema Isolado - Regular"/>
    <x v="3"/>
    <x v="4"/>
    <x v="5"/>
    <x v="0"/>
    <x v="0"/>
    <x v="0"/>
    <x v="1"/>
    <x v="7"/>
    <n v="0"/>
    <n v="0"/>
    <n v="3971.7350000000001"/>
    <n v="3971.7350000000001"/>
    <n v="3971.7350000000001"/>
    <n v="3971.7350000000001"/>
    <n v="33865"/>
    <x v="1"/>
    <n v="0"/>
    <n v="0"/>
    <n v="39"/>
    <n v="85"/>
    <n v="0"/>
    <n v="369.16"/>
    <n v="199.51"/>
    <m/>
    <n v="330.61867549798609"/>
    <n v="261.5374640864809"/>
    <n v="0"/>
    <n v="1466205.6926000002"/>
    <n v="792400.84985"/>
    <n v="0"/>
    <n v="1313129.7651289939"/>
    <n v="1038757.4999235192"/>
  </r>
  <r>
    <s v="Sistema Isolado - Refaturamento"/>
    <x v="3"/>
    <x v="4"/>
    <x v="5"/>
    <x v="0"/>
    <x v="0"/>
    <x v="0"/>
    <x v="1"/>
    <x v="7"/>
    <n v="0"/>
    <n v="0"/>
    <n v="-151.79400000000001"/>
    <n v="-151.79400000000001"/>
    <n v="-151.79400000000001"/>
    <n v="-151.79400000000001"/>
    <n v="0"/>
    <x v="1"/>
    <n v="0"/>
    <n v="0"/>
    <n v="39"/>
    <n v="85"/>
    <n v="0"/>
    <n v="369.16"/>
    <n v="199.51"/>
    <m/>
    <n v="330.61867549798609"/>
    <n v="261.5374640864809"/>
    <n v="0"/>
    <n v="-56036.273040000007"/>
    <n v="-30284.42094"/>
    <n v="0"/>
    <n v="-50185.931228541303"/>
    <n v="-39699.817823543286"/>
  </r>
  <r>
    <s v="Sistema de Compensação"/>
    <x v="3"/>
    <x v="4"/>
    <x v="5"/>
    <x v="0"/>
    <x v="0"/>
    <x v="0"/>
    <x v="1"/>
    <x v="7"/>
    <n v="0"/>
    <n v="0"/>
    <n v="16.03"/>
    <n v="16.03"/>
    <n v="16.03"/>
    <n v="16.03"/>
    <n v="21"/>
    <x v="1"/>
    <n v="0"/>
    <n v="0"/>
    <n v="39"/>
    <n v="85"/>
    <n v="0"/>
    <n v="369.16"/>
    <n v="199.51"/>
    <m/>
    <n v="330.61867549798609"/>
    <n v="261.5374640864809"/>
    <n v="0"/>
    <n v="5917.6348000000007"/>
    <n v="3198.1453000000001"/>
    <n v="0"/>
    <n v="5299.8173682327169"/>
    <n v="4192.4455493062887"/>
  </r>
  <r>
    <s v="Regular"/>
    <x v="3"/>
    <x v="4"/>
    <x v="5"/>
    <x v="0"/>
    <x v="0"/>
    <x v="0"/>
    <x v="1"/>
    <x v="8"/>
    <n v="0"/>
    <n v="0"/>
    <n v="1449.144"/>
    <n v="1449.144"/>
    <n v="1449.144"/>
    <n v="1449.144"/>
    <n v="7443"/>
    <x v="1"/>
    <n v="0"/>
    <n v="0"/>
    <n v="39"/>
    <n v="85"/>
    <n v="0"/>
    <n v="369.16"/>
    <n v="199.51"/>
    <m/>
    <n v="330.61867549798609"/>
    <n v="261.5374640864809"/>
    <n v="0"/>
    <n v="534965.99904000002"/>
    <n v="289118.71944000002"/>
    <n v="0"/>
    <n v="479114.06988585356"/>
    <n v="379005.44685613929"/>
  </r>
  <r>
    <s v="Refaturamento - Regular"/>
    <x v="3"/>
    <x v="4"/>
    <x v="5"/>
    <x v="0"/>
    <x v="0"/>
    <x v="0"/>
    <x v="1"/>
    <x v="8"/>
    <n v="0"/>
    <n v="0"/>
    <n v="-9.2910000000000004"/>
    <n v="-9.2910000000000004"/>
    <n v="-9.2910000000000004"/>
    <n v="-9.2910000000000004"/>
    <n v="0"/>
    <x v="1"/>
    <n v="0"/>
    <n v="0"/>
    <n v="39"/>
    <n v="85"/>
    <n v="0"/>
    <n v="369.16"/>
    <n v="199.51"/>
    <m/>
    <n v="330.61867549798609"/>
    <n v="261.5374640864809"/>
    <n v="0"/>
    <n v="-3429.8655600000002"/>
    <n v="-1853.64741"/>
    <n v="0"/>
    <n v="-3071.7781140517891"/>
    <n v="-2429.9445788274943"/>
  </r>
  <r>
    <s v="Sistema Isolado - Regular"/>
    <x v="3"/>
    <x v="4"/>
    <x v="5"/>
    <x v="0"/>
    <x v="0"/>
    <x v="0"/>
    <x v="1"/>
    <x v="8"/>
    <n v="0"/>
    <n v="0"/>
    <n v="3776.7109999999998"/>
    <n v="3776.7109999999998"/>
    <n v="3776.7109999999998"/>
    <n v="3776.7109999999998"/>
    <n v="34038"/>
    <x v="1"/>
    <n v="0"/>
    <n v="0"/>
    <n v="39"/>
    <n v="85"/>
    <n v="0"/>
    <n v="369.16"/>
    <n v="199.51"/>
    <m/>
    <n v="330.61867549798609"/>
    <n v="261.5374640864809"/>
    <n v="0"/>
    <n v="1394210.6327599999"/>
    <n v="753491.61160999991"/>
    <n v="0"/>
    <n v="1248651.1885586744"/>
    <n v="987751.4175275173"/>
  </r>
  <r>
    <s v="Sistema Isolado - Refaturamento"/>
    <x v="3"/>
    <x v="4"/>
    <x v="5"/>
    <x v="0"/>
    <x v="0"/>
    <x v="0"/>
    <x v="1"/>
    <x v="8"/>
    <n v="0"/>
    <n v="0"/>
    <n v="-79.911000000000001"/>
    <n v="-79.911000000000001"/>
    <n v="-79.911000000000001"/>
    <n v="-79.911000000000001"/>
    <n v="0"/>
    <x v="1"/>
    <n v="0"/>
    <n v="0"/>
    <n v="39"/>
    <n v="85"/>
    <n v="0"/>
    <n v="369.16"/>
    <n v="199.51"/>
    <m/>
    <n v="330.61867549798609"/>
    <n v="261.5374640864809"/>
    <n v="0"/>
    <n v="-29499.944760000002"/>
    <n v="-15943.043609999999"/>
    <n v="0"/>
    <n v="-26420.068977719566"/>
    <n v="-20899.720292614777"/>
  </r>
  <r>
    <s v="Sistema de Compensação"/>
    <x v="3"/>
    <x v="4"/>
    <x v="5"/>
    <x v="0"/>
    <x v="0"/>
    <x v="0"/>
    <x v="1"/>
    <x v="8"/>
    <n v="0"/>
    <n v="0"/>
    <n v="16.318000000000001"/>
    <n v="16.318000000000001"/>
    <n v="16.318000000000001"/>
    <n v="16.318000000000001"/>
    <n v="22"/>
    <x v="1"/>
    <n v="0"/>
    <n v="0"/>
    <n v="39"/>
    <n v="85"/>
    <n v="0"/>
    <n v="369.16"/>
    <n v="199.51"/>
    <m/>
    <n v="330.61867549798609"/>
    <n v="261.5374640864809"/>
    <n v="0"/>
    <n v="6023.9528800000007"/>
    <n v="3255.6041800000003"/>
    <n v="0"/>
    <n v="5395.0355467761374"/>
    <n v="4267.7683389631957"/>
  </r>
  <r>
    <s v="Regular"/>
    <x v="3"/>
    <x v="4"/>
    <x v="5"/>
    <x v="0"/>
    <x v="0"/>
    <x v="0"/>
    <x v="1"/>
    <x v="9"/>
    <n v="0"/>
    <n v="0"/>
    <n v="1553.607"/>
    <n v="1553.607"/>
    <n v="1553.607"/>
    <n v="1553.607"/>
    <n v="7413"/>
    <x v="1"/>
    <n v="0"/>
    <n v="0"/>
    <n v="39"/>
    <n v="85"/>
    <n v="0"/>
    <n v="369.16"/>
    <n v="199.51"/>
    <m/>
    <n v="330.61867549798609"/>
    <n v="261.5374640864809"/>
    <n v="0"/>
    <n v="573529.56012000004"/>
    <n v="309960.13256999996"/>
    <n v="0"/>
    <n v="513651.48858439969"/>
    <n v="406326.43496700533"/>
  </r>
  <r>
    <s v="Refaturamento - Regular"/>
    <x v="3"/>
    <x v="4"/>
    <x v="5"/>
    <x v="0"/>
    <x v="0"/>
    <x v="0"/>
    <x v="1"/>
    <x v="9"/>
    <n v="0"/>
    <n v="0"/>
    <n v="-55.225999999999999"/>
    <n v="-55.225999999999999"/>
    <n v="-55.225999999999999"/>
    <n v="-55.225999999999999"/>
    <n v="0"/>
    <x v="1"/>
    <n v="0"/>
    <n v="0"/>
    <n v="39"/>
    <n v="85"/>
    <n v="0"/>
    <n v="369.16"/>
    <n v="199.51"/>
    <m/>
    <n v="330.61867549798609"/>
    <n v="261.5374640864809"/>
    <n v="0"/>
    <n v="-20387.230160000003"/>
    <n v="-11018.13926"/>
    <n v="0"/>
    <n v="-18258.746973051781"/>
    <n v="-14443.667991639993"/>
  </r>
  <r>
    <s v="Sistema Isolado - Regular"/>
    <x v="3"/>
    <x v="4"/>
    <x v="5"/>
    <x v="0"/>
    <x v="0"/>
    <x v="0"/>
    <x v="1"/>
    <x v="9"/>
    <n v="0"/>
    <n v="0"/>
    <n v="3936.41"/>
    <n v="3936.41"/>
    <n v="3936.41"/>
    <n v="3936.41"/>
    <n v="33946"/>
    <x v="1"/>
    <n v="0"/>
    <n v="0"/>
    <n v="39"/>
    <n v="85"/>
    <n v="0"/>
    <n v="369.16"/>
    <n v="199.51"/>
    <m/>
    <n v="330.61867549798609"/>
    <n v="261.5374640864809"/>
    <n v="0"/>
    <n v="1453165.1156000001"/>
    <n v="785353.15909999993"/>
    <n v="0"/>
    <n v="1301450.6604170273"/>
    <n v="1029518.6890046642"/>
  </r>
  <r>
    <s v="Sistema Isolado - Refaturamento"/>
    <x v="3"/>
    <x v="4"/>
    <x v="5"/>
    <x v="0"/>
    <x v="0"/>
    <x v="0"/>
    <x v="1"/>
    <x v="9"/>
    <n v="0"/>
    <n v="0"/>
    <n v="-82.900999999999996"/>
    <n v="-82.900999999999996"/>
    <n v="-82.900999999999996"/>
    <n v="-82.900999999999996"/>
    <n v="0"/>
    <x v="1"/>
    <n v="0"/>
    <n v="0"/>
    <n v="39"/>
    <n v="85"/>
    <n v="0"/>
    <n v="369.16"/>
    <n v="199.51"/>
    <m/>
    <n v="330.61867549798609"/>
    <n v="261.5374640864809"/>
    <n v="0"/>
    <n v="-30603.73316"/>
    <n v="-16539.578509999999"/>
    <n v="0"/>
    <n v="-27408.618817458544"/>
    <n v="-21681.717310233351"/>
  </r>
  <r>
    <s v="Sistema de Compensação"/>
    <x v="3"/>
    <x v="4"/>
    <x v="5"/>
    <x v="0"/>
    <x v="0"/>
    <x v="0"/>
    <x v="1"/>
    <x v="9"/>
    <n v="0"/>
    <n v="0"/>
    <n v="26.995000000000001"/>
    <n v="26.995000000000001"/>
    <n v="26.995000000000001"/>
    <n v="26.995000000000001"/>
    <n v="21"/>
    <x v="1"/>
    <n v="0"/>
    <n v="0"/>
    <n v="39"/>
    <n v="85"/>
    <n v="0"/>
    <n v="369.16"/>
    <n v="199.51"/>
    <m/>
    <n v="330.61867549798609"/>
    <n v="261.5374640864809"/>
    <n v="0"/>
    <n v="9965.4742000000006"/>
    <n v="5385.7724500000004"/>
    <n v="0"/>
    <n v="8925.0511450681352"/>
    <n v="7060.2038430145521"/>
  </r>
  <r>
    <s v="Regular"/>
    <x v="3"/>
    <x v="4"/>
    <x v="5"/>
    <x v="0"/>
    <x v="0"/>
    <x v="0"/>
    <x v="1"/>
    <x v="10"/>
    <n v="0"/>
    <n v="0"/>
    <n v="1541.1030000000001"/>
    <n v="1541.1030000000001"/>
    <n v="1541.1030000000001"/>
    <n v="1541.1030000000001"/>
    <n v="7366"/>
    <x v="1"/>
    <n v="0"/>
    <n v="0"/>
    <n v="39"/>
    <n v="85"/>
    <n v="0"/>
    <n v="369.16"/>
    <n v="199.51"/>
    <m/>
    <n v="330.61867549798609"/>
    <n v="261.5374640864809"/>
    <n v="0"/>
    <n v="568913.58348000003"/>
    <n v="307465.45952999999"/>
    <n v="0"/>
    <n v="509517.43266597285"/>
    <n v="403056.170516068"/>
  </r>
  <r>
    <s v="Refaturamento - Regular"/>
    <x v="3"/>
    <x v="4"/>
    <x v="5"/>
    <x v="0"/>
    <x v="0"/>
    <x v="0"/>
    <x v="1"/>
    <x v="10"/>
    <n v="0"/>
    <n v="0"/>
    <n v="-4.3579999999999997"/>
    <n v="-4.3579999999999997"/>
    <n v="-4.3579999999999997"/>
    <n v="-4.3579999999999997"/>
    <n v="0"/>
    <x v="1"/>
    <n v="0"/>
    <n v="0"/>
    <n v="39"/>
    <n v="85"/>
    <n v="0"/>
    <n v="369.16"/>
    <n v="199.51"/>
    <m/>
    <n v="330.61867549798609"/>
    <n v="261.5374640864809"/>
    <n v="0"/>
    <n v="-1608.79928"/>
    <n v="-869.46457999999984"/>
    <n v="0"/>
    <n v="-1440.8361878202234"/>
    <n v="-1139.7802684888836"/>
  </r>
  <r>
    <s v="Sistema Isolado - Regular"/>
    <x v="3"/>
    <x v="4"/>
    <x v="5"/>
    <x v="0"/>
    <x v="0"/>
    <x v="0"/>
    <x v="1"/>
    <x v="10"/>
    <n v="0"/>
    <n v="0"/>
    <n v="3986.1239999999998"/>
    <n v="3986.1239999999998"/>
    <n v="3986.1239999999998"/>
    <n v="3986.1239999999998"/>
    <n v="33609"/>
    <x v="1"/>
    <n v="0"/>
    <n v="0"/>
    <n v="39"/>
    <n v="85"/>
    <n v="0"/>
    <n v="369.16"/>
    <n v="199.51"/>
    <m/>
    <n v="330.61867549798609"/>
    <n v="261.5374640864809"/>
    <n v="0"/>
    <n v="1471517.53584"/>
    <n v="795271.59923999989"/>
    <n v="0"/>
    <n v="1317887.0372507342"/>
    <n v="1042520.7624942595"/>
  </r>
  <r>
    <s v="Sistema Isolado - Refaturamento"/>
    <x v="3"/>
    <x v="4"/>
    <x v="5"/>
    <x v="0"/>
    <x v="0"/>
    <x v="0"/>
    <x v="1"/>
    <x v="10"/>
    <n v="0"/>
    <n v="0"/>
    <n v="-267.721"/>
    <n v="-267.721"/>
    <n v="-267.721"/>
    <n v="-267.721"/>
    <n v="0"/>
    <x v="1"/>
    <n v="0"/>
    <n v="0"/>
    <n v="39"/>
    <n v="85"/>
    <n v="0"/>
    <n v="369.16"/>
    <n v="199.51"/>
    <m/>
    <n v="330.61867549798609"/>
    <n v="261.5374640864809"/>
    <n v="0"/>
    <n v="-98831.884360000011"/>
    <n v="-53413.016709999996"/>
    <n v="0"/>
    <n v="-88513.562422996329"/>
    <n v="-70019.071422696754"/>
  </r>
  <r>
    <s v="Sistema de Compensação"/>
    <x v="3"/>
    <x v="4"/>
    <x v="5"/>
    <x v="0"/>
    <x v="0"/>
    <x v="0"/>
    <x v="1"/>
    <x v="10"/>
    <n v="0"/>
    <n v="0"/>
    <n v="26.422000000000001"/>
    <n v="26.422000000000001"/>
    <n v="26.422000000000001"/>
    <n v="26.422000000000001"/>
    <n v="22"/>
    <x v="1"/>
    <n v="0"/>
    <n v="0"/>
    <n v="39"/>
    <n v="85"/>
    <n v="0"/>
    <n v="369.16"/>
    <n v="199.51"/>
    <m/>
    <n v="330.61867549798609"/>
    <n v="261.5374640864809"/>
    <n v="0"/>
    <n v="9753.9455200000011"/>
    <n v="5271.4532200000003"/>
    <n v="0"/>
    <n v="8735.6066440077884"/>
    <n v="6910.3428760929983"/>
  </r>
  <r>
    <s v="PROJETADO"/>
    <x v="3"/>
    <x v="4"/>
    <x v="5"/>
    <x v="0"/>
    <x v="0"/>
    <x v="0"/>
    <x v="1"/>
    <x v="11"/>
    <n v="0"/>
    <n v="0"/>
    <n v="1541.1030000000001"/>
    <n v="1541.1030000000001"/>
    <n v="1541.1030000000001"/>
    <n v="1541.1030000000001"/>
    <n v="7366"/>
    <x v="1"/>
    <n v="0"/>
    <n v="0"/>
    <n v="39"/>
    <n v="85"/>
    <n v="0"/>
    <n v="369.16"/>
    <n v="199.51"/>
    <m/>
    <n v="330.61867549798609"/>
    <n v="261.5374640864809"/>
    <n v="0"/>
    <n v="568913.58348000003"/>
    <n v="307465.45952999999"/>
    <n v="0"/>
    <n v="509517.43266597285"/>
    <n v="403056.170516068"/>
  </r>
  <r>
    <s v="PROJETADO"/>
    <x v="3"/>
    <x v="4"/>
    <x v="5"/>
    <x v="0"/>
    <x v="0"/>
    <x v="0"/>
    <x v="1"/>
    <x v="11"/>
    <n v="0"/>
    <n v="0"/>
    <n v="-4.3579999999999997"/>
    <n v="-4.3579999999999997"/>
    <n v="-4.3579999999999997"/>
    <n v="-4.3579999999999997"/>
    <n v="0"/>
    <x v="1"/>
    <n v="0"/>
    <n v="0"/>
    <n v="39"/>
    <n v="85"/>
    <n v="0"/>
    <n v="369.16"/>
    <n v="199.51"/>
    <m/>
    <n v="330.61867549798609"/>
    <n v="261.5374640864809"/>
    <n v="0"/>
    <n v="-1608.79928"/>
    <n v="-869.46457999999984"/>
    <n v="0"/>
    <n v="-1440.8361878202234"/>
    <n v="-1139.7802684888836"/>
  </r>
  <r>
    <s v="PROJETADO"/>
    <x v="3"/>
    <x v="4"/>
    <x v="5"/>
    <x v="0"/>
    <x v="0"/>
    <x v="0"/>
    <x v="1"/>
    <x v="11"/>
    <n v="0"/>
    <n v="0"/>
    <n v="3986.1239999999998"/>
    <n v="3986.1239999999998"/>
    <n v="3986.1239999999998"/>
    <n v="3986.1239999999998"/>
    <n v="33609"/>
    <x v="1"/>
    <n v="0"/>
    <n v="0"/>
    <n v="39"/>
    <n v="85"/>
    <n v="0"/>
    <n v="369.16"/>
    <n v="199.51"/>
    <m/>
    <n v="330.61867549798609"/>
    <n v="261.5374640864809"/>
    <n v="0"/>
    <n v="1471517.53584"/>
    <n v="795271.59923999989"/>
    <n v="0"/>
    <n v="1317887.0372507342"/>
    <n v="1042520.7624942595"/>
  </r>
  <r>
    <s v="PROJETADO"/>
    <x v="3"/>
    <x v="4"/>
    <x v="5"/>
    <x v="0"/>
    <x v="0"/>
    <x v="0"/>
    <x v="1"/>
    <x v="11"/>
    <n v="0"/>
    <n v="0"/>
    <n v="-267.721"/>
    <n v="-267.721"/>
    <n v="-267.721"/>
    <n v="-267.721"/>
    <n v="0"/>
    <x v="1"/>
    <n v="0"/>
    <n v="0"/>
    <n v="39"/>
    <n v="85"/>
    <n v="0"/>
    <n v="369.16"/>
    <n v="199.51"/>
    <m/>
    <n v="330.61867549798609"/>
    <n v="261.5374640864809"/>
    <n v="0"/>
    <n v="-98831.884360000011"/>
    <n v="-53413.016709999996"/>
    <n v="0"/>
    <n v="-88513.562422996329"/>
    <n v="-70019.071422696754"/>
  </r>
  <r>
    <s v="PROJETADO"/>
    <x v="3"/>
    <x v="4"/>
    <x v="5"/>
    <x v="0"/>
    <x v="0"/>
    <x v="0"/>
    <x v="1"/>
    <x v="11"/>
    <n v="0"/>
    <n v="0"/>
    <n v="26.422000000000001"/>
    <n v="26.422000000000001"/>
    <n v="26.422000000000001"/>
    <n v="26.422000000000001"/>
    <n v="22"/>
    <x v="1"/>
    <n v="0"/>
    <n v="0"/>
    <n v="39"/>
    <n v="85"/>
    <n v="0"/>
    <n v="369.16"/>
    <n v="199.51"/>
    <m/>
    <n v="330.61867549798609"/>
    <n v="261.5374640864809"/>
    <n v="0"/>
    <n v="9753.9455200000011"/>
    <n v="5271.4532200000003"/>
    <n v="0"/>
    <n v="8735.6066440077884"/>
    <n v="6910.3428760929983"/>
  </r>
  <r>
    <s v="Regular"/>
    <x v="3"/>
    <x v="4"/>
    <x v="5"/>
    <x v="8"/>
    <x v="2"/>
    <x v="0"/>
    <x v="1"/>
    <x v="5"/>
    <n v="0"/>
    <n v="0"/>
    <n v="14.785"/>
    <n v="14.785"/>
    <n v="14.785"/>
    <n v="14.785"/>
    <n v="0"/>
    <x v="1"/>
    <n v="0"/>
    <n v="0"/>
    <n v="44"/>
    <n v="90"/>
    <n v="0"/>
    <n v="342.15"/>
    <n v="184.91"/>
    <m/>
    <n v="315.59055388444125"/>
    <n v="249.64939753709535"/>
    <n v="0"/>
    <n v="5058.6877500000001"/>
    <n v="2733.89435"/>
    <n v="0"/>
    <n v="4666.0063391814638"/>
    <n v="3691.0663425859548"/>
  </r>
  <r>
    <s v="Refaturamento - Regular"/>
    <x v="3"/>
    <x v="4"/>
    <x v="5"/>
    <x v="8"/>
    <x v="2"/>
    <x v="0"/>
    <x v="1"/>
    <x v="5"/>
    <n v="0"/>
    <n v="0"/>
    <n v="-0.315"/>
    <n v="-0.315"/>
    <n v="-0.315"/>
    <n v="-0.315"/>
    <n v="0"/>
    <x v="1"/>
    <n v="0"/>
    <n v="0"/>
    <n v="44"/>
    <n v="90"/>
    <n v="0"/>
    <n v="342.15"/>
    <n v="184.91"/>
    <m/>
    <n v="315.59055388444125"/>
    <n v="249.64939753709535"/>
    <n v="0"/>
    <n v="-107.77725"/>
    <n v="-58.246650000000002"/>
    <n v="0"/>
    <n v="-99.411024473598999"/>
    <n v="-78.639560224185033"/>
  </r>
  <r>
    <s v="Regular"/>
    <x v="3"/>
    <x v="4"/>
    <x v="5"/>
    <x v="8"/>
    <x v="3"/>
    <x v="0"/>
    <x v="1"/>
    <x v="5"/>
    <n v="0"/>
    <n v="0"/>
    <n v="6.5570000000000004"/>
    <n v="1.7703899999999999"/>
    <n v="6.5570000000000004"/>
    <n v="1.7703899999999999"/>
    <n v="0"/>
    <x v="1"/>
    <n v="0"/>
    <n v="0"/>
    <n v="44"/>
    <n v="90"/>
    <n v="0"/>
    <n v="342.15"/>
    <n v="184.91"/>
    <m/>
    <n v="330.61867549798609"/>
    <n v="261.5374640864809"/>
    <n v="0"/>
    <n v="605.7389384999999"/>
    <n v="327.36281489999999"/>
    <n v="0"/>
    <n v="585.32399691487956"/>
    <n v="463.02331104406488"/>
  </r>
  <r>
    <s v="Refaturamento - Regular"/>
    <x v="3"/>
    <x v="4"/>
    <x v="5"/>
    <x v="8"/>
    <x v="3"/>
    <x v="0"/>
    <x v="1"/>
    <x v="5"/>
    <n v="0"/>
    <n v="0"/>
    <n v="5.4850000000000003"/>
    <n v="1.48095"/>
    <n v="5.4850000000000003"/>
    <n v="1.48095"/>
    <n v="0"/>
    <x v="1"/>
    <n v="0"/>
    <n v="0"/>
    <n v="44"/>
    <n v="90"/>
    <n v="0"/>
    <n v="342.15"/>
    <n v="184.91"/>
    <m/>
    <n v="330.61867549798609"/>
    <n v="261.5374640864809"/>
    <n v="0"/>
    <n v="506.70704249999994"/>
    <n v="273.84246450000001"/>
    <n v="0"/>
    <n v="489.6297274787425"/>
    <n v="387.3239074388739"/>
  </r>
  <r>
    <s v="Regular"/>
    <x v="4"/>
    <x v="3"/>
    <x v="0"/>
    <x v="0"/>
    <x v="0"/>
    <x v="0"/>
    <x v="0"/>
    <x v="0"/>
    <n v="0"/>
    <n v="0"/>
    <n v="107.41800000000001"/>
    <n v="107.41800000000001"/>
    <n v="107.41800000000001"/>
    <n v="107.41800000000001"/>
    <n v="0"/>
    <x v="1"/>
    <n v="0"/>
    <n v="0"/>
    <n v="71"/>
    <n v="77"/>
    <n v="0"/>
    <n v="381.34"/>
    <n v="230.03"/>
    <m/>
    <n v="298.09263089865954"/>
    <n v="282.91739971702214"/>
    <n v="0"/>
    <n v="40962.780120000003"/>
    <n v="24709.362540000002"/>
    <n v="0"/>
    <n v="32020.514225872212"/>
    <n v="30390.421242803084"/>
  </r>
  <r>
    <s v="Refaturamento - Regular"/>
    <x v="4"/>
    <x v="3"/>
    <x v="0"/>
    <x v="0"/>
    <x v="0"/>
    <x v="0"/>
    <x v="0"/>
    <x v="0"/>
    <n v="0"/>
    <n v="0"/>
    <n v="-0.77400000000000002"/>
    <n v="-0.77400000000000002"/>
    <n v="-0.77400000000000002"/>
    <n v="-0.77400000000000002"/>
    <n v="0"/>
    <x v="1"/>
    <n v="0"/>
    <n v="0"/>
    <n v="71"/>
    <n v="77"/>
    <n v="0"/>
    <n v="381.34"/>
    <n v="230.03"/>
    <m/>
    <n v="298.09263089865954"/>
    <n v="282.91739971702214"/>
    <n v="0"/>
    <n v="-295.15715999999998"/>
    <n v="-178.04322000000002"/>
    <n v="0"/>
    <n v="-230.72369631556248"/>
    <n v="-218.97806738097515"/>
  </r>
  <r>
    <s v="Sistema Isolado - Regular"/>
    <x v="4"/>
    <x v="3"/>
    <x v="0"/>
    <x v="0"/>
    <x v="0"/>
    <x v="0"/>
    <x v="0"/>
    <x v="0"/>
    <n v="0"/>
    <n v="0"/>
    <n v="57.055999999999997"/>
    <n v="57.055999999999997"/>
    <n v="57.055999999999997"/>
    <n v="57.055999999999997"/>
    <n v="0"/>
    <x v="1"/>
    <n v="0"/>
    <n v="0"/>
    <n v="71"/>
    <n v="77"/>
    <n v="0"/>
    <n v="381.34"/>
    <n v="230.03"/>
    <m/>
    <n v="298.09263089865954"/>
    <n v="282.91739971702214"/>
    <n v="0"/>
    <n v="21757.735039999996"/>
    <n v="13124.59168"/>
    <n v="0"/>
    <n v="17007.973148553916"/>
    <n v="16142.135158254414"/>
  </r>
  <r>
    <s v="Regular"/>
    <x v="4"/>
    <x v="3"/>
    <x v="0"/>
    <x v="0"/>
    <x v="0"/>
    <x v="0"/>
    <x v="0"/>
    <x v="1"/>
    <n v="0"/>
    <n v="0"/>
    <n v="103.849"/>
    <n v="103.849"/>
    <n v="103.849"/>
    <n v="103.849"/>
    <n v="0"/>
    <x v="1"/>
    <n v="0"/>
    <n v="0"/>
    <n v="71"/>
    <n v="77"/>
    <n v="0"/>
    <n v="381.34"/>
    <n v="230.03"/>
    <m/>
    <n v="298.09263089865954"/>
    <n v="282.91739971702214"/>
    <n v="0"/>
    <n v="39601.77766"/>
    <n v="23888.385470000001"/>
    <n v="0"/>
    <n v="30956.621626194894"/>
    <n v="29380.689043213031"/>
  </r>
  <r>
    <s v="Sistema Isolado - Regular"/>
    <x v="4"/>
    <x v="3"/>
    <x v="0"/>
    <x v="0"/>
    <x v="0"/>
    <x v="0"/>
    <x v="0"/>
    <x v="1"/>
    <n v="0"/>
    <n v="0"/>
    <n v="58.122"/>
    <n v="58.122"/>
    <n v="58.122"/>
    <n v="58.122"/>
    <n v="0"/>
    <x v="1"/>
    <n v="0"/>
    <n v="0"/>
    <n v="71"/>
    <n v="77"/>
    <n v="0"/>
    <n v="381.34"/>
    <n v="230.03"/>
    <m/>
    <n v="298.09263089865954"/>
    <n v="282.91739971702214"/>
    <n v="0"/>
    <n v="22164.243479999997"/>
    <n v="13369.80366"/>
    <n v="0"/>
    <n v="17325.73989309189"/>
    <n v="16443.725106352762"/>
  </r>
  <r>
    <s v="Regular"/>
    <x v="4"/>
    <x v="3"/>
    <x v="0"/>
    <x v="0"/>
    <x v="0"/>
    <x v="0"/>
    <x v="0"/>
    <x v="2"/>
    <n v="0"/>
    <n v="0"/>
    <n v="91.421000000000006"/>
    <n v="91.421000000000006"/>
    <n v="91.421000000000006"/>
    <n v="91.421000000000006"/>
    <n v="0"/>
    <x v="1"/>
    <n v="0"/>
    <n v="0"/>
    <n v="71"/>
    <n v="77"/>
    <n v="0"/>
    <n v="381.34"/>
    <n v="230.03"/>
    <m/>
    <n v="298.09263089865954"/>
    <n v="282.91739971702214"/>
    <n v="0"/>
    <n v="34862.48414"/>
    <n v="21029.572630000002"/>
    <n v="0"/>
    <n v="27251.926409386357"/>
    <n v="25864.591599529882"/>
  </r>
  <r>
    <s v="Refaturamento - Regular"/>
    <x v="4"/>
    <x v="3"/>
    <x v="0"/>
    <x v="0"/>
    <x v="0"/>
    <x v="0"/>
    <x v="0"/>
    <x v="2"/>
    <n v="0"/>
    <n v="0"/>
    <n v="1.151"/>
    <n v="1.151"/>
    <n v="1.151"/>
    <n v="1.151"/>
    <n v="0"/>
    <x v="1"/>
    <n v="0"/>
    <n v="0"/>
    <n v="71"/>
    <n v="77"/>
    <n v="0"/>
    <n v="381.34"/>
    <n v="230.03"/>
    <m/>
    <n v="298.09263089865954"/>
    <n v="282.91739971702214"/>
    <n v="0"/>
    <n v="438.92233999999996"/>
    <n v="264.76452999999998"/>
    <n v="0"/>
    <n v="343.10461816435713"/>
    <n v="325.63792707429246"/>
  </r>
  <r>
    <s v="Sistema Isolado - Regular"/>
    <x v="4"/>
    <x v="3"/>
    <x v="0"/>
    <x v="0"/>
    <x v="0"/>
    <x v="0"/>
    <x v="0"/>
    <x v="2"/>
    <n v="0"/>
    <n v="0"/>
    <n v="50.509"/>
    <n v="50.509"/>
    <n v="50.509"/>
    <n v="50.509"/>
    <n v="0"/>
    <x v="1"/>
    <n v="0"/>
    <n v="0"/>
    <n v="71"/>
    <n v="77"/>
    <n v="0"/>
    <n v="381.34"/>
    <n v="230.03"/>
    <m/>
    <n v="298.09263089865954"/>
    <n v="282.91739971702214"/>
    <n v="0"/>
    <n v="19261.102059999997"/>
    <n v="11618.58527"/>
    <n v="0"/>
    <n v="15056.360694060395"/>
    <n v="14289.874942307071"/>
  </r>
  <r>
    <s v="Regular"/>
    <x v="4"/>
    <x v="3"/>
    <x v="0"/>
    <x v="0"/>
    <x v="0"/>
    <x v="0"/>
    <x v="0"/>
    <x v="3"/>
    <n v="0"/>
    <n v="0"/>
    <n v="83.385999999999996"/>
    <n v="83.385999999999996"/>
    <n v="83.385999999999996"/>
    <n v="83.385999999999996"/>
    <n v="0"/>
    <x v="1"/>
    <n v="0"/>
    <n v="0"/>
    <n v="71"/>
    <n v="77"/>
    <n v="0"/>
    <n v="381.34"/>
    <n v="230.03"/>
    <m/>
    <n v="298.09263089865954"/>
    <n v="282.91739971702214"/>
    <n v="0"/>
    <n v="31798.417239999995"/>
    <n v="19181.281579999999"/>
    <n v="0"/>
    <n v="24856.752120115623"/>
    <n v="23591.350292803607"/>
  </r>
  <r>
    <s v="Refaturamento - Regular"/>
    <x v="4"/>
    <x v="3"/>
    <x v="0"/>
    <x v="0"/>
    <x v="0"/>
    <x v="0"/>
    <x v="0"/>
    <x v="3"/>
    <n v="0"/>
    <n v="0"/>
    <n v="3.8540000000000001"/>
    <n v="3.8540000000000001"/>
    <n v="3.8540000000000001"/>
    <n v="3.8540000000000001"/>
    <n v="0"/>
    <x v="1"/>
    <n v="0"/>
    <n v="0"/>
    <n v="71"/>
    <n v="77"/>
    <n v="0"/>
    <n v="381.34"/>
    <n v="230.03"/>
    <m/>
    <n v="298.09263089865954"/>
    <n v="282.91739971702214"/>
    <n v="0"/>
    <n v="1469.68436"/>
    <n v="886.53561999999999"/>
    <n v="0"/>
    <n v="1148.8489994834338"/>
    <n v="1090.3636585094034"/>
  </r>
  <r>
    <s v="Sistema Isolado - Regular"/>
    <x v="4"/>
    <x v="3"/>
    <x v="0"/>
    <x v="0"/>
    <x v="0"/>
    <x v="0"/>
    <x v="0"/>
    <x v="3"/>
    <n v="0"/>
    <n v="0"/>
    <n v="52.39"/>
    <n v="52.39"/>
    <n v="52.39"/>
    <n v="52.39"/>
    <n v="0"/>
    <x v="1"/>
    <n v="0"/>
    <n v="0"/>
    <n v="71"/>
    <n v="77"/>
    <n v="0"/>
    <n v="381.34"/>
    <n v="230.03"/>
    <m/>
    <n v="298.09263089865954"/>
    <n v="282.91739971702214"/>
    <n v="0"/>
    <n v="19978.402599999998"/>
    <n v="12051.271699999999"/>
    <n v="0"/>
    <n v="15617.072932780773"/>
    <n v="14822.04257117479"/>
  </r>
  <r>
    <s v="Regular"/>
    <x v="4"/>
    <x v="3"/>
    <x v="0"/>
    <x v="0"/>
    <x v="0"/>
    <x v="0"/>
    <x v="0"/>
    <x v="4"/>
    <n v="0"/>
    <n v="0"/>
    <n v="104.04"/>
    <n v="104.04"/>
    <n v="104.04"/>
    <n v="104.04"/>
    <n v="0"/>
    <x v="1"/>
    <n v="0"/>
    <n v="0"/>
    <n v="71"/>
    <n v="77"/>
    <n v="0"/>
    <n v="381.34"/>
    <n v="230.03"/>
    <m/>
    <n v="298.09263089865954"/>
    <n v="282.91739971702214"/>
    <n v="0"/>
    <n v="39674.613599999997"/>
    <n v="23932.321200000002"/>
    <n v="0"/>
    <n v="31013.557318696541"/>
    <n v="29434.726266558984"/>
  </r>
  <r>
    <s v="Refaturamento - Regular"/>
    <x v="4"/>
    <x v="3"/>
    <x v="0"/>
    <x v="0"/>
    <x v="0"/>
    <x v="0"/>
    <x v="0"/>
    <x v="4"/>
    <n v="0"/>
    <n v="0"/>
    <n v="-0.41099999999999998"/>
    <n v="-0.41099999999999998"/>
    <n v="-0.41099999999999998"/>
    <n v="-0.41099999999999998"/>
    <n v="0"/>
    <x v="1"/>
    <n v="0"/>
    <n v="0"/>
    <n v="71"/>
    <n v="77"/>
    <n v="0"/>
    <n v="381.34"/>
    <n v="230.03"/>
    <m/>
    <n v="298.09263089865954"/>
    <n v="282.91739971702214"/>
    <n v="0"/>
    <n v="-156.73073999999997"/>
    <n v="-94.542329999999993"/>
    <n v="0"/>
    <n v="-122.51607129934906"/>
    <n v="-116.27905128369609"/>
  </r>
  <r>
    <s v="Sistema Isolado - Regular"/>
    <x v="4"/>
    <x v="3"/>
    <x v="0"/>
    <x v="0"/>
    <x v="0"/>
    <x v="0"/>
    <x v="0"/>
    <x v="4"/>
    <n v="0"/>
    <n v="0"/>
    <n v="51.725999999999999"/>
    <n v="51.725999999999999"/>
    <n v="51.725999999999999"/>
    <n v="51.725999999999999"/>
    <n v="0"/>
    <x v="1"/>
    <n v="0"/>
    <n v="0"/>
    <n v="71"/>
    <n v="77"/>
    <n v="0"/>
    <n v="381.34"/>
    <n v="230.03"/>
    <m/>
    <n v="298.09263089865954"/>
    <n v="282.91739971702214"/>
    <n v="0"/>
    <n v="19725.19284"/>
    <n v="11898.531779999999"/>
    <n v="0"/>
    <n v="15419.139425864063"/>
    <n v="14634.185417762686"/>
  </r>
  <r>
    <s v="Sistema Isolado - Refaturamento"/>
    <x v="4"/>
    <x v="3"/>
    <x v="0"/>
    <x v="0"/>
    <x v="0"/>
    <x v="0"/>
    <x v="0"/>
    <x v="4"/>
    <n v="0"/>
    <n v="0"/>
    <n v="-3.3220000000000001"/>
    <n v="-3.3220000000000001"/>
    <n v="-3.3220000000000001"/>
    <n v="-3.3220000000000001"/>
    <n v="0"/>
    <x v="1"/>
    <n v="0"/>
    <n v="0"/>
    <n v="71"/>
    <n v="77"/>
    <n v="0"/>
    <n v="381.34"/>
    <n v="230.03"/>
    <m/>
    <n v="298.09263089865954"/>
    <n v="282.91739971702214"/>
    <n v="0"/>
    <n v="-1266.8114799999998"/>
    <n v="-764.15966000000003"/>
    <n v="0"/>
    <n v="-990.26371984534694"/>
    <n v="-939.85160185994755"/>
  </r>
  <r>
    <s v="Regular"/>
    <x v="4"/>
    <x v="3"/>
    <x v="0"/>
    <x v="0"/>
    <x v="0"/>
    <x v="0"/>
    <x v="0"/>
    <x v="5"/>
    <n v="0"/>
    <n v="0"/>
    <n v="100.50700000000001"/>
    <n v="100.50700000000001"/>
    <n v="100.50700000000001"/>
    <n v="100.50700000000001"/>
    <n v="0"/>
    <x v="1"/>
    <n v="0"/>
    <n v="0"/>
    <n v="71"/>
    <n v="77"/>
    <n v="0"/>
    <n v="381.34"/>
    <n v="230.03"/>
    <m/>
    <n v="298.09263089865954"/>
    <n v="282.91739971702214"/>
    <n v="0"/>
    <n v="38327.339379999998"/>
    <n v="23119.625210000002"/>
    <n v="0"/>
    <n v="29960.396053731576"/>
    <n v="28435.179093358744"/>
  </r>
  <r>
    <s v="Sistema Isolado - Regular"/>
    <x v="4"/>
    <x v="3"/>
    <x v="0"/>
    <x v="0"/>
    <x v="0"/>
    <x v="0"/>
    <x v="0"/>
    <x v="5"/>
    <n v="0"/>
    <n v="0"/>
    <n v="57.088000000000001"/>
    <n v="57.088000000000001"/>
    <n v="57.088000000000001"/>
    <n v="57.088000000000001"/>
    <n v="0"/>
    <x v="1"/>
    <n v="0"/>
    <n v="0"/>
    <n v="71"/>
    <n v="77"/>
    <n v="0"/>
    <n v="381.34"/>
    <n v="230.03"/>
    <m/>
    <n v="298.09263089865954"/>
    <n v="282.91739971702214"/>
    <n v="0"/>
    <n v="21769.93792"/>
    <n v="13131.95264"/>
    <n v="0"/>
    <n v="17017.512112742676"/>
    <n v="16151.18851504536"/>
  </r>
  <r>
    <s v="Regular"/>
    <x v="4"/>
    <x v="3"/>
    <x v="0"/>
    <x v="0"/>
    <x v="0"/>
    <x v="0"/>
    <x v="0"/>
    <x v="6"/>
    <n v="0"/>
    <n v="0"/>
    <n v="106.884"/>
    <n v="106.884"/>
    <n v="106.884"/>
    <n v="106.884"/>
    <n v="0"/>
    <x v="1"/>
    <n v="0"/>
    <n v="0"/>
    <n v="71"/>
    <n v="77"/>
    <n v="0"/>
    <n v="381.34"/>
    <n v="230.03"/>
    <m/>
    <n v="298.09263089865954"/>
    <n v="282.91739971702214"/>
    <n v="0"/>
    <n v="40759.144560000001"/>
    <n v="24586.526519999999"/>
    <n v="0"/>
    <n v="31861.332760972327"/>
    <n v="30239.343351354193"/>
  </r>
  <r>
    <s v="Sistema Isolado - Regular"/>
    <x v="4"/>
    <x v="3"/>
    <x v="0"/>
    <x v="0"/>
    <x v="0"/>
    <x v="0"/>
    <x v="0"/>
    <x v="6"/>
    <n v="0"/>
    <n v="0"/>
    <n v="57.277000000000001"/>
    <n v="57.277000000000001"/>
    <n v="57.277000000000001"/>
    <n v="57.277000000000001"/>
    <n v="0"/>
    <x v="1"/>
    <n v="0"/>
    <n v="0"/>
    <n v="71"/>
    <n v="77"/>
    <n v="0"/>
    <n v="381.34"/>
    <n v="230.03"/>
    <m/>
    <n v="298.09263089865954"/>
    <n v="282.91739971702214"/>
    <n v="0"/>
    <n v="21842.011179999998"/>
    <n v="13175.428310000001"/>
    <n v="0"/>
    <n v="17073.851619982521"/>
    <n v="16204.659903591877"/>
  </r>
  <r>
    <s v="Regular"/>
    <x v="4"/>
    <x v="3"/>
    <x v="0"/>
    <x v="0"/>
    <x v="0"/>
    <x v="0"/>
    <x v="0"/>
    <x v="7"/>
    <n v="0"/>
    <n v="0"/>
    <n v="108.539"/>
    <n v="108.539"/>
    <n v="108.539"/>
    <n v="108.539"/>
    <n v="0"/>
    <x v="1"/>
    <n v="0"/>
    <n v="0"/>
    <n v="71"/>
    <n v="77"/>
    <n v="0"/>
    <n v="381.34"/>
    <n v="230.03"/>
    <m/>
    <n v="298.09263089865954"/>
    <n v="282.91739971702214"/>
    <n v="0"/>
    <n v="41390.262259999996"/>
    <n v="24967.226170000002"/>
    <n v="0"/>
    <n v="32354.676065109608"/>
    <n v="30707.571647885867"/>
  </r>
  <r>
    <s v="Sistema Isolado - Regular"/>
    <x v="4"/>
    <x v="3"/>
    <x v="0"/>
    <x v="0"/>
    <x v="0"/>
    <x v="0"/>
    <x v="0"/>
    <x v="7"/>
    <n v="0"/>
    <n v="0"/>
    <n v="61.137999999999998"/>
    <n v="61.137999999999998"/>
    <n v="61.137999999999998"/>
    <n v="61.137999999999998"/>
    <n v="0"/>
    <x v="1"/>
    <n v="0"/>
    <n v="0"/>
    <n v="71"/>
    <n v="77"/>
    <n v="0"/>
    <n v="381.34"/>
    <n v="230.03"/>
    <m/>
    <n v="298.09263089865954"/>
    <n v="282.91739971702214"/>
    <n v="0"/>
    <n v="23314.364919999996"/>
    <n v="14063.574139999999"/>
    <n v="0"/>
    <n v="18224.787267882246"/>
    <n v="17297.0039838993"/>
  </r>
  <r>
    <s v="Regular"/>
    <x v="4"/>
    <x v="3"/>
    <x v="0"/>
    <x v="0"/>
    <x v="0"/>
    <x v="0"/>
    <x v="0"/>
    <x v="8"/>
    <n v="0"/>
    <n v="0"/>
    <n v="107.358"/>
    <n v="107.358"/>
    <n v="107.358"/>
    <n v="107.358"/>
    <n v="0"/>
    <x v="1"/>
    <n v="0"/>
    <n v="0"/>
    <n v="71"/>
    <n v="77"/>
    <n v="0"/>
    <n v="381.34"/>
    <n v="230.03"/>
    <m/>
    <n v="298.09263089865954"/>
    <n v="282.91739971702214"/>
    <n v="0"/>
    <n v="40939.899720000001"/>
    <n v="24695.560740000001"/>
    <n v="0"/>
    <n v="32002.628668018293"/>
    <n v="30373.446198820064"/>
  </r>
  <r>
    <s v="Sistema Isolado - Regular"/>
    <x v="4"/>
    <x v="3"/>
    <x v="0"/>
    <x v="0"/>
    <x v="0"/>
    <x v="0"/>
    <x v="0"/>
    <x v="8"/>
    <n v="0"/>
    <n v="0"/>
    <n v="52.697000000000003"/>
    <n v="52.697000000000003"/>
    <n v="52.697000000000003"/>
    <n v="52.697000000000003"/>
    <n v="0"/>
    <x v="1"/>
    <n v="0"/>
    <n v="0"/>
    <n v="71"/>
    <n v="77"/>
    <n v="0"/>
    <n v="381.34"/>
    <n v="230.03"/>
    <m/>
    <n v="298.09263089865954"/>
    <n v="282.91739971702214"/>
    <n v="0"/>
    <n v="20095.473979999999"/>
    <n v="12121.89091"/>
    <n v="0"/>
    <n v="15708.587370466663"/>
    <n v="14908.898212887916"/>
  </r>
  <r>
    <s v="Regular"/>
    <x v="4"/>
    <x v="3"/>
    <x v="0"/>
    <x v="0"/>
    <x v="0"/>
    <x v="0"/>
    <x v="0"/>
    <x v="9"/>
    <n v="0"/>
    <n v="0"/>
    <n v="139.96600000000001"/>
    <n v="139.96600000000001"/>
    <n v="139.96600000000001"/>
    <n v="139.96600000000001"/>
    <n v="0"/>
    <x v="1"/>
    <n v="0"/>
    <n v="0"/>
    <n v="71"/>
    <n v="77"/>
    <n v="0"/>
    <n v="381.34"/>
    <n v="230.03"/>
    <m/>
    <n v="298.09263089865954"/>
    <n v="282.91739971702214"/>
    <n v="0"/>
    <n v="53374.634440000002"/>
    <n v="32196.378980000001"/>
    <n v="0"/>
    <n v="41722.833176361783"/>
    <n v="39598.81676879272"/>
  </r>
  <r>
    <s v="Sistema Isolado - Regular"/>
    <x v="4"/>
    <x v="3"/>
    <x v="0"/>
    <x v="0"/>
    <x v="0"/>
    <x v="0"/>
    <x v="0"/>
    <x v="9"/>
    <n v="0"/>
    <n v="0"/>
    <n v="56.792999999999999"/>
    <n v="56.792999999999999"/>
    <n v="56.792999999999999"/>
    <n v="56.792999999999999"/>
    <n v="0"/>
    <x v="1"/>
    <n v="0"/>
    <n v="0"/>
    <n v="71"/>
    <n v="77"/>
    <n v="0"/>
    <n v="381.34"/>
    <n v="230.03"/>
    <m/>
    <n v="298.09263089865954"/>
    <n v="282.91739971702214"/>
    <n v="0"/>
    <n v="21657.442619999998"/>
    <n v="13064.093789999999"/>
    <n v="0"/>
    <n v="16929.574786627571"/>
    <n v="16067.727882128838"/>
  </r>
  <r>
    <s v="Regular"/>
    <x v="4"/>
    <x v="3"/>
    <x v="0"/>
    <x v="0"/>
    <x v="0"/>
    <x v="0"/>
    <x v="0"/>
    <x v="10"/>
    <n v="0"/>
    <n v="0"/>
    <n v="113.455"/>
    <n v="113.455"/>
    <n v="113.455"/>
    <n v="113.455"/>
    <n v="0"/>
    <x v="1"/>
    <n v="0"/>
    <n v="0"/>
    <n v="71"/>
    <n v="77"/>
    <n v="0"/>
    <n v="381.34"/>
    <n v="230.03"/>
    <m/>
    <n v="298.09263089865954"/>
    <n v="282.91739971702214"/>
    <n v="0"/>
    <n v="43264.929699999993"/>
    <n v="26098.053649999998"/>
    <n v="0"/>
    <n v="33820.099438607416"/>
    <n v="32098.393584894748"/>
  </r>
  <r>
    <s v="Sistema Isolado - Regular"/>
    <x v="4"/>
    <x v="3"/>
    <x v="0"/>
    <x v="0"/>
    <x v="0"/>
    <x v="0"/>
    <x v="0"/>
    <x v="10"/>
    <n v="0"/>
    <n v="0"/>
    <n v="62.017000000000003"/>
    <n v="62.017000000000003"/>
    <n v="62.017000000000003"/>
    <n v="62.017000000000003"/>
    <n v="0"/>
    <x v="1"/>
    <n v="0"/>
    <n v="0"/>
    <n v="71"/>
    <n v="77"/>
    <n v="0"/>
    <n v="381.34"/>
    <n v="230.03"/>
    <m/>
    <n v="298.09263089865954"/>
    <n v="282.91739971702214"/>
    <n v="0"/>
    <n v="23649.56278"/>
    <n v="14265.77051"/>
    <n v="0"/>
    <n v="18486.810690442169"/>
    <n v="17545.688378250561"/>
  </r>
  <r>
    <s v="Sistema de Compensação"/>
    <x v="4"/>
    <x v="3"/>
    <x v="0"/>
    <x v="0"/>
    <x v="0"/>
    <x v="0"/>
    <x v="0"/>
    <x v="10"/>
    <n v="0"/>
    <n v="0"/>
    <n v="7.7130000000000001"/>
    <n v="7.7130000000000001"/>
    <n v="7.7130000000000001"/>
    <n v="7.7130000000000001"/>
    <n v="0"/>
    <x v="1"/>
    <n v="0"/>
    <n v="0"/>
    <n v="71"/>
    <n v="77"/>
    <n v="0"/>
    <n v="381.34"/>
    <n v="230.03"/>
    <m/>
    <n v="298.09263089865954"/>
    <n v="282.91739971702214"/>
    <n v="0"/>
    <n v="2941.2754199999999"/>
    <n v="1774.2213899999999"/>
    <n v="0"/>
    <n v="2299.1884621213612"/>
    <n v="2182.1419040173919"/>
  </r>
  <r>
    <s v="PROJETADO"/>
    <x v="4"/>
    <x v="3"/>
    <x v="0"/>
    <x v="0"/>
    <x v="0"/>
    <x v="0"/>
    <x v="0"/>
    <x v="11"/>
    <n v="0"/>
    <n v="0"/>
    <n v="113.455"/>
    <n v="113.455"/>
    <n v="113.455"/>
    <n v="113.455"/>
    <n v="0"/>
    <x v="1"/>
    <n v="0"/>
    <n v="0"/>
    <n v="71"/>
    <n v="77"/>
    <n v="0"/>
    <n v="381.34"/>
    <n v="230.03"/>
    <m/>
    <n v="298.09263089865954"/>
    <n v="282.91739971702214"/>
    <n v="0"/>
    <n v="43264.929699999993"/>
    <n v="26098.053649999998"/>
    <n v="0"/>
    <n v="33820.099438607416"/>
    <n v="32098.393584894748"/>
  </r>
  <r>
    <s v="PROJETADO"/>
    <x v="4"/>
    <x v="3"/>
    <x v="0"/>
    <x v="0"/>
    <x v="0"/>
    <x v="0"/>
    <x v="0"/>
    <x v="11"/>
    <n v="0"/>
    <n v="0"/>
    <n v="62.017000000000003"/>
    <n v="62.017000000000003"/>
    <n v="62.017000000000003"/>
    <n v="62.017000000000003"/>
    <n v="0"/>
    <x v="1"/>
    <n v="0"/>
    <n v="0"/>
    <n v="71"/>
    <n v="77"/>
    <n v="0"/>
    <n v="381.34"/>
    <n v="230.03"/>
    <m/>
    <n v="298.09263089865954"/>
    <n v="282.91739971702214"/>
    <n v="0"/>
    <n v="23649.56278"/>
    <n v="14265.77051"/>
    <n v="0"/>
    <n v="18486.810690442169"/>
    <n v="17545.688378250561"/>
  </r>
  <r>
    <s v="PROJETADO"/>
    <x v="4"/>
    <x v="3"/>
    <x v="0"/>
    <x v="0"/>
    <x v="0"/>
    <x v="0"/>
    <x v="0"/>
    <x v="11"/>
    <n v="0"/>
    <n v="0"/>
    <n v="7.7130000000000001"/>
    <n v="7.7130000000000001"/>
    <n v="7.7130000000000001"/>
    <n v="7.7130000000000001"/>
    <n v="0"/>
    <x v="1"/>
    <n v="0"/>
    <n v="0"/>
    <n v="71"/>
    <n v="77"/>
    <n v="0"/>
    <n v="381.34"/>
    <n v="230.03"/>
    <m/>
    <n v="298.09263089865954"/>
    <n v="282.91739971702214"/>
    <n v="0"/>
    <n v="2941.2754199999999"/>
    <n v="1774.2213899999999"/>
    <n v="0"/>
    <n v="2299.1884621213612"/>
    <n v="2182.1419040173919"/>
  </r>
  <r>
    <s v="Regular"/>
    <x v="4"/>
    <x v="3"/>
    <x v="0"/>
    <x v="0"/>
    <x v="0"/>
    <x v="0"/>
    <x v="3"/>
    <x v="0"/>
    <n v="0"/>
    <n v="0"/>
    <n v="2.3319999999999999"/>
    <n v="2.3319999999999999"/>
    <n v="2.3319999999999999"/>
    <n v="2.3319999999999999"/>
    <n v="0"/>
    <x v="1"/>
    <n v="0"/>
    <n v="0"/>
    <n v="75"/>
    <n v="76"/>
    <n v="0"/>
    <n v="735.45"/>
    <n v="230.03"/>
    <m/>
    <n v="697.23182579068418"/>
    <n v="282.91739971702214"/>
    <n v="0"/>
    <n v="1715.0694000000001"/>
    <n v="536.42995999999994"/>
    <n v="0"/>
    <n v="1625.9446177438754"/>
    <n v="659.7633761400956"/>
  </r>
  <r>
    <s v="Sistema Isolado - Regular"/>
    <x v="4"/>
    <x v="3"/>
    <x v="0"/>
    <x v="0"/>
    <x v="0"/>
    <x v="0"/>
    <x v="3"/>
    <x v="0"/>
    <n v="0"/>
    <n v="0"/>
    <n v="7.9320000000000004"/>
    <n v="7.9320000000000004"/>
    <n v="7.9320000000000004"/>
    <n v="7.9320000000000004"/>
    <n v="0"/>
    <x v="1"/>
    <n v="0"/>
    <n v="0"/>
    <n v="75"/>
    <n v="76"/>
    <n v="0"/>
    <n v="735.45"/>
    <n v="230.03"/>
    <m/>
    <n v="697.23182579068418"/>
    <n v="282.91739971702214"/>
    <n v="0"/>
    <n v="5833.5894000000008"/>
    <n v="1824.5979600000001"/>
    <n v="0"/>
    <n v="5530.4428421717075"/>
    <n v="2244.1008145554197"/>
  </r>
  <r>
    <s v="Regular"/>
    <x v="4"/>
    <x v="3"/>
    <x v="0"/>
    <x v="0"/>
    <x v="0"/>
    <x v="0"/>
    <x v="3"/>
    <x v="1"/>
    <n v="0"/>
    <n v="0"/>
    <n v="2.5499999999999998"/>
    <n v="2.5499999999999998"/>
    <n v="2.5499999999999998"/>
    <n v="2.5499999999999998"/>
    <n v="0"/>
    <x v="1"/>
    <n v="0"/>
    <n v="0"/>
    <n v="75"/>
    <n v="76"/>
    <n v="0"/>
    <n v="735.45"/>
    <n v="230.03"/>
    <m/>
    <n v="697.23182579068418"/>
    <n v="282.91739971702214"/>
    <n v="0"/>
    <n v="1875.3975"/>
    <n v="586.57650000000001"/>
    <n v="0"/>
    <n v="1777.9411557662445"/>
    <n v="721.43936927840639"/>
  </r>
  <r>
    <s v="Sistema Isolado - Regular"/>
    <x v="4"/>
    <x v="3"/>
    <x v="0"/>
    <x v="0"/>
    <x v="0"/>
    <x v="0"/>
    <x v="3"/>
    <x v="1"/>
    <n v="0"/>
    <n v="0"/>
    <n v="5.2060000000000004"/>
    <n v="5.2060000000000004"/>
    <n v="5.2060000000000004"/>
    <n v="5.2060000000000004"/>
    <n v="0"/>
    <x v="1"/>
    <n v="0"/>
    <n v="0"/>
    <n v="75"/>
    <n v="76"/>
    <n v="0"/>
    <n v="735.45"/>
    <n v="230.03"/>
    <m/>
    <n v="697.23182579068418"/>
    <n v="282.91739971702214"/>
    <n v="0"/>
    <n v="3828.7527000000005"/>
    <n v="1197.5361800000001"/>
    <n v="0"/>
    <n v="3629.7888850663021"/>
    <n v="1472.8679829268174"/>
  </r>
  <r>
    <s v="Regular"/>
    <x v="4"/>
    <x v="3"/>
    <x v="0"/>
    <x v="0"/>
    <x v="0"/>
    <x v="0"/>
    <x v="3"/>
    <x v="2"/>
    <n v="0"/>
    <n v="0"/>
    <n v="2.5529999999999999"/>
    <n v="2.5529999999999999"/>
    <n v="2.5529999999999999"/>
    <n v="2.5529999999999999"/>
    <n v="0"/>
    <x v="1"/>
    <n v="0"/>
    <n v="0"/>
    <n v="75"/>
    <n v="76"/>
    <n v="0"/>
    <n v="735.45"/>
    <n v="230.03"/>
    <m/>
    <n v="697.23182579068418"/>
    <n v="282.91739971702214"/>
    <n v="0"/>
    <n v="1877.60385"/>
    <n v="587.26658999999995"/>
    <n v="0"/>
    <n v="1780.0328512436167"/>
    <n v="722.28812147755752"/>
  </r>
  <r>
    <s v="Refaturamento - Regular"/>
    <x v="4"/>
    <x v="3"/>
    <x v="0"/>
    <x v="0"/>
    <x v="0"/>
    <x v="0"/>
    <x v="3"/>
    <x v="2"/>
    <n v="0"/>
    <n v="0"/>
    <n v="-1E-3"/>
    <n v="-1E-3"/>
    <n v="-1E-3"/>
    <n v="-1E-3"/>
    <n v="0"/>
    <x v="1"/>
    <n v="0"/>
    <n v="0"/>
    <n v="75"/>
    <n v="76"/>
    <n v="0"/>
    <n v="735.45"/>
    <n v="230.03"/>
    <m/>
    <n v="697.23182579068418"/>
    <n v="282.91739971702214"/>
    <n v="0"/>
    <n v="-0.73545000000000005"/>
    <n v="-0.23003000000000001"/>
    <n v="0"/>
    <n v="-0.69723182579068421"/>
    <n v="-0.28291739971702212"/>
  </r>
  <r>
    <s v="Sistema Isolado - Regular"/>
    <x v="4"/>
    <x v="3"/>
    <x v="0"/>
    <x v="0"/>
    <x v="0"/>
    <x v="0"/>
    <x v="3"/>
    <x v="2"/>
    <n v="0"/>
    <n v="0"/>
    <n v="3.629"/>
    <n v="3.629"/>
    <n v="3.629"/>
    <n v="3.629"/>
    <n v="0"/>
    <x v="1"/>
    <n v="0"/>
    <n v="0"/>
    <n v="75"/>
    <n v="76"/>
    <n v="0"/>
    <n v="735.45"/>
    <n v="230.03"/>
    <m/>
    <n v="697.23182579068418"/>
    <n v="282.91739971702214"/>
    <n v="0"/>
    <n v="2668.94805"/>
    <n v="834.77886999999998"/>
    <n v="0"/>
    <n v="2530.2542957943929"/>
    <n v="1026.7072435730734"/>
  </r>
  <r>
    <s v="Regular"/>
    <x v="4"/>
    <x v="3"/>
    <x v="0"/>
    <x v="0"/>
    <x v="0"/>
    <x v="0"/>
    <x v="3"/>
    <x v="3"/>
    <n v="0"/>
    <n v="0"/>
    <n v="2.4649999999999999"/>
    <n v="2.4649999999999999"/>
    <n v="2.4649999999999999"/>
    <n v="2.4649999999999999"/>
    <n v="0"/>
    <x v="1"/>
    <n v="0"/>
    <n v="0"/>
    <n v="75"/>
    <n v="76"/>
    <n v="0"/>
    <n v="735.45"/>
    <n v="230.03"/>
    <m/>
    <n v="697.23182579068418"/>
    <n v="282.91739971702214"/>
    <n v="0"/>
    <n v="1812.8842500000001"/>
    <n v="567.02395000000001"/>
    <n v="0"/>
    <n v="1718.6764505740364"/>
    <n v="697.39139030245951"/>
  </r>
  <r>
    <s v="Sistema Isolado - Regular"/>
    <x v="4"/>
    <x v="3"/>
    <x v="0"/>
    <x v="0"/>
    <x v="0"/>
    <x v="0"/>
    <x v="3"/>
    <x v="3"/>
    <n v="0"/>
    <n v="0"/>
    <n v="4.907"/>
    <n v="4.907"/>
    <n v="4.907"/>
    <n v="4.907"/>
    <n v="0"/>
    <x v="1"/>
    <n v="0"/>
    <n v="0"/>
    <n v="75"/>
    <n v="76"/>
    <n v="0"/>
    <n v="735.45"/>
    <n v="230.03"/>
    <m/>
    <n v="697.23182579068418"/>
    <n v="282.91739971702214"/>
    <n v="0"/>
    <n v="3608.8531500000004"/>
    <n v="1128.75721"/>
    <n v="0"/>
    <n v="3421.3165691548875"/>
    <n v="1388.2756804114276"/>
  </r>
  <r>
    <s v="Regular"/>
    <x v="4"/>
    <x v="3"/>
    <x v="0"/>
    <x v="0"/>
    <x v="0"/>
    <x v="0"/>
    <x v="3"/>
    <x v="4"/>
    <n v="0"/>
    <n v="0"/>
    <n v="2.2559999999999998"/>
    <n v="2.2559999999999998"/>
    <n v="2.2559999999999998"/>
    <n v="2.2559999999999998"/>
    <n v="0"/>
    <x v="1"/>
    <n v="0"/>
    <n v="0"/>
    <n v="75"/>
    <n v="76"/>
    <n v="0"/>
    <n v="735.45"/>
    <n v="230.03"/>
    <m/>
    <n v="697.23182579068418"/>
    <n v="282.91739971702214"/>
    <n v="0"/>
    <n v="1659.1751999999999"/>
    <n v="518.94767999999999"/>
    <n v="0"/>
    <n v="1572.9549989837833"/>
    <n v="638.26165376160191"/>
  </r>
  <r>
    <s v="Sistema Isolado - Regular"/>
    <x v="4"/>
    <x v="3"/>
    <x v="0"/>
    <x v="0"/>
    <x v="0"/>
    <x v="0"/>
    <x v="3"/>
    <x v="4"/>
    <n v="0"/>
    <n v="0"/>
    <n v="5.4749999999999996"/>
    <n v="5.4749999999999996"/>
    <n v="5.4749999999999996"/>
    <n v="5.4749999999999996"/>
    <n v="0"/>
    <x v="1"/>
    <n v="0"/>
    <n v="0"/>
    <n v="75"/>
    <n v="76"/>
    <n v="0"/>
    <n v="735.45"/>
    <n v="230.03"/>
    <m/>
    <n v="697.23182579068418"/>
    <n v="282.91739971702214"/>
    <n v="0"/>
    <n v="4026.5887499999999"/>
    <n v="1259.4142499999998"/>
    <n v="0"/>
    <n v="3817.3442462039957"/>
    <n v="1548.972763450696"/>
  </r>
  <r>
    <s v="Regular"/>
    <x v="4"/>
    <x v="3"/>
    <x v="0"/>
    <x v="0"/>
    <x v="0"/>
    <x v="0"/>
    <x v="3"/>
    <x v="5"/>
    <n v="0"/>
    <n v="0"/>
    <n v="2.875"/>
    <n v="2.875"/>
    <n v="2.875"/>
    <n v="2.875"/>
    <n v="0"/>
    <x v="1"/>
    <n v="0"/>
    <n v="0"/>
    <n v="75"/>
    <n v="76"/>
    <n v="0"/>
    <n v="735.45"/>
    <n v="230.03"/>
    <m/>
    <n v="697.23182579068418"/>
    <n v="282.91739971702214"/>
    <n v="0"/>
    <n v="2114.4187500000003"/>
    <n v="661.33624999999995"/>
    <n v="0"/>
    <n v="2004.5414991482171"/>
    <n v="813.38752418643867"/>
  </r>
  <r>
    <s v="Sistema Isolado - Regular"/>
    <x v="4"/>
    <x v="3"/>
    <x v="0"/>
    <x v="0"/>
    <x v="0"/>
    <x v="0"/>
    <x v="3"/>
    <x v="5"/>
    <n v="0"/>
    <n v="0"/>
    <n v="5.2869999999999999"/>
    <n v="5.2869999999999999"/>
    <n v="5.2869999999999999"/>
    <n v="5.2869999999999999"/>
    <n v="0"/>
    <x v="1"/>
    <n v="0"/>
    <n v="0"/>
    <n v="75"/>
    <n v="76"/>
    <n v="0"/>
    <n v="735.45"/>
    <n v="230.03"/>
    <m/>
    <n v="697.23182579068418"/>
    <n v="282.91739971702214"/>
    <n v="0"/>
    <n v="3888.3241500000004"/>
    <n v="1216.1686099999999"/>
    <n v="0"/>
    <n v="3686.2646629553474"/>
    <n v="1495.7842923038961"/>
  </r>
  <r>
    <s v="Regular"/>
    <x v="4"/>
    <x v="3"/>
    <x v="0"/>
    <x v="0"/>
    <x v="0"/>
    <x v="0"/>
    <x v="3"/>
    <x v="6"/>
    <n v="0"/>
    <n v="0"/>
    <n v="2.6680000000000001"/>
    <n v="2.6680000000000001"/>
    <n v="2.6680000000000001"/>
    <n v="2.6680000000000001"/>
    <n v="0"/>
    <x v="1"/>
    <n v="0"/>
    <n v="0"/>
    <n v="75"/>
    <n v="76"/>
    <n v="0"/>
    <n v="735.45"/>
    <n v="230.03"/>
    <m/>
    <n v="697.23182579068418"/>
    <n v="282.91739971702214"/>
    <n v="0"/>
    <n v="1962.1806000000001"/>
    <n v="613.72004000000004"/>
    <n v="0"/>
    <n v="1860.2145112095454"/>
    <n v="754.82362244501508"/>
  </r>
  <r>
    <s v="Sistema Isolado - Regular"/>
    <x v="4"/>
    <x v="3"/>
    <x v="0"/>
    <x v="0"/>
    <x v="0"/>
    <x v="0"/>
    <x v="3"/>
    <x v="6"/>
    <n v="0"/>
    <n v="0"/>
    <n v="2.242"/>
    <n v="2.242"/>
    <n v="2.242"/>
    <n v="2.242"/>
    <n v="0"/>
    <x v="1"/>
    <n v="0"/>
    <n v="0"/>
    <n v="75"/>
    <n v="76"/>
    <n v="0"/>
    <n v="735.45"/>
    <n v="230.03"/>
    <m/>
    <n v="697.23182579068418"/>
    <n v="282.91739971702214"/>
    <n v="0"/>
    <n v="1648.8789000000002"/>
    <n v="515.72726"/>
    <n v="0"/>
    <n v="1563.1937534227138"/>
    <n v="634.30081016556358"/>
  </r>
  <r>
    <s v="Regular"/>
    <x v="4"/>
    <x v="3"/>
    <x v="0"/>
    <x v="0"/>
    <x v="0"/>
    <x v="0"/>
    <x v="3"/>
    <x v="7"/>
    <n v="0"/>
    <n v="0"/>
    <n v="2.5419999999999998"/>
    <n v="2.5419999999999998"/>
    <n v="2.5419999999999998"/>
    <n v="2.5419999999999998"/>
    <n v="0"/>
    <x v="1"/>
    <n v="0"/>
    <n v="0"/>
    <n v="75"/>
    <n v="76"/>
    <n v="0"/>
    <n v="735.45"/>
    <n v="230.03"/>
    <m/>
    <n v="697.23182579068418"/>
    <n v="282.91739971702214"/>
    <n v="0"/>
    <n v="1869.5138999999999"/>
    <n v="584.73626000000002"/>
    <n v="0"/>
    <n v="1772.363301159919"/>
    <n v="719.17603008067022"/>
  </r>
  <r>
    <s v="Sistema Isolado - Regular"/>
    <x v="4"/>
    <x v="3"/>
    <x v="0"/>
    <x v="0"/>
    <x v="0"/>
    <x v="0"/>
    <x v="3"/>
    <x v="7"/>
    <n v="0"/>
    <n v="0"/>
    <n v="2.6019999999999999"/>
    <n v="2.6019999999999999"/>
    <n v="2.6019999999999999"/>
    <n v="2.6019999999999999"/>
    <n v="0"/>
    <x v="1"/>
    <n v="0"/>
    <n v="0"/>
    <n v="75"/>
    <n v="76"/>
    <n v="0"/>
    <n v="735.45"/>
    <n v="230.03"/>
    <m/>
    <n v="697.23182579068418"/>
    <n v="282.91739971702214"/>
    <n v="0"/>
    <n v="1913.6409000000001"/>
    <n v="598.53805999999997"/>
    <n v="0"/>
    <n v="1814.1972107073602"/>
    <n v="736.15107406369157"/>
  </r>
  <r>
    <s v="Regular"/>
    <x v="4"/>
    <x v="3"/>
    <x v="0"/>
    <x v="0"/>
    <x v="0"/>
    <x v="0"/>
    <x v="3"/>
    <x v="8"/>
    <n v="0"/>
    <n v="0"/>
    <n v="2.6880000000000002"/>
    <n v="2.6880000000000002"/>
    <n v="2.6880000000000002"/>
    <n v="2.6880000000000002"/>
    <n v="0"/>
    <x v="1"/>
    <n v="0"/>
    <n v="0"/>
    <n v="75"/>
    <n v="76"/>
    <n v="0"/>
    <n v="735.45"/>
    <n v="230.03"/>
    <m/>
    <n v="697.23182579068418"/>
    <n v="282.91739971702214"/>
    <n v="0"/>
    <n v="1976.8896000000002"/>
    <n v="618.32064000000003"/>
    <n v="0"/>
    <n v="1874.1591477253592"/>
    <n v="760.48197043935556"/>
  </r>
  <r>
    <s v="Sistema Isolado - Regular"/>
    <x v="4"/>
    <x v="3"/>
    <x v="0"/>
    <x v="0"/>
    <x v="0"/>
    <x v="0"/>
    <x v="3"/>
    <x v="8"/>
    <n v="0"/>
    <n v="0"/>
    <n v="2.0569999999999999"/>
    <n v="2.0569999999999999"/>
    <n v="2.0569999999999999"/>
    <n v="2.0569999999999999"/>
    <n v="0"/>
    <x v="1"/>
    <n v="0"/>
    <n v="0"/>
    <n v="75"/>
    <n v="76"/>
    <n v="0"/>
    <n v="735.45"/>
    <n v="230.03"/>
    <m/>
    <n v="697.23182579068418"/>
    <n v="282.91739971702214"/>
    <n v="0"/>
    <n v="1512.8206500000001"/>
    <n v="473.17170999999996"/>
    <n v="0"/>
    <n v="1434.2058656514373"/>
    <n v="581.96109121791449"/>
  </r>
  <r>
    <s v="Regular"/>
    <x v="4"/>
    <x v="3"/>
    <x v="0"/>
    <x v="0"/>
    <x v="0"/>
    <x v="0"/>
    <x v="3"/>
    <x v="9"/>
    <n v="0"/>
    <n v="0"/>
    <n v="3.2440000000000002"/>
    <n v="3.2440000000000002"/>
    <n v="3.2440000000000002"/>
    <n v="3.2440000000000002"/>
    <n v="0"/>
    <x v="1"/>
    <n v="0"/>
    <n v="0"/>
    <n v="75"/>
    <n v="76"/>
    <n v="0"/>
    <n v="735.45"/>
    <n v="230.03"/>
    <m/>
    <n v="697.23182579068418"/>
    <n v="282.91739971702214"/>
    <n v="0"/>
    <n v="2385.7998000000002"/>
    <n v="746.21732000000009"/>
    <n v="0"/>
    <n v="2261.8200428649798"/>
    <n v="917.78404468201984"/>
  </r>
  <r>
    <s v="Sistema Isolado - Regular"/>
    <x v="4"/>
    <x v="3"/>
    <x v="0"/>
    <x v="0"/>
    <x v="0"/>
    <x v="0"/>
    <x v="3"/>
    <x v="9"/>
    <n v="0"/>
    <n v="0"/>
    <n v="2.097"/>
    <n v="2.097"/>
    <n v="2.097"/>
    <n v="2.097"/>
    <n v="0"/>
    <x v="1"/>
    <n v="0"/>
    <n v="0"/>
    <n v="75"/>
    <n v="76"/>
    <n v="0"/>
    <n v="735.45"/>
    <n v="230.03"/>
    <m/>
    <n v="697.23182579068418"/>
    <n v="282.91739971702214"/>
    <n v="0"/>
    <n v="1542.23865"/>
    <n v="482.37290999999999"/>
    <n v="0"/>
    <n v="1462.0951386830648"/>
    <n v="593.27778720659546"/>
  </r>
  <r>
    <s v="Regular"/>
    <x v="4"/>
    <x v="3"/>
    <x v="0"/>
    <x v="0"/>
    <x v="0"/>
    <x v="0"/>
    <x v="3"/>
    <x v="10"/>
    <n v="0"/>
    <n v="0"/>
    <n v="2.6070000000000002"/>
    <n v="2.6070000000000002"/>
    <n v="2.6070000000000002"/>
    <n v="2.6070000000000002"/>
    <n v="0"/>
    <x v="1"/>
    <n v="0"/>
    <n v="0"/>
    <n v="75"/>
    <n v="76"/>
    <n v="0"/>
    <n v="735.45"/>
    <n v="230.03"/>
    <m/>
    <n v="697.23182579068418"/>
    <n v="282.91739971702214"/>
    <n v="0"/>
    <n v="1917.3181500000003"/>
    <n v="599.68821000000003"/>
    <n v="0"/>
    <n v="1817.6833698363139"/>
    <n v="737.56566106227672"/>
  </r>
  <r>
    <s v="Sistema Isolado - Regular"/>
    <x v="4"/>
    <x v="3"/>
    <x v="0"/>
    <x v="0"/>
    <x v="0"/>
    <x v="0"/>
    <x v="3"/>
    <x v="10"/>
    <n v="0"/>
    <n v="0"/>
    <n v="2.3130000000000002"/>
    <n v="2.3130000000000002"/>
    <n v="2.3130000000000002"/>
    <n v="2.3130000000000002"/>
    <n v="0"/>
    <x v="1"/>
    <n v="0"/>
    <n v="0"/>
    <n v="75"/>
    <n v="76"/>
    <n v="0"/>
    <n v="735.45"/>
    <n v="230.03"/>
    <m/>
    <n v="697.23182579068418"/>
    <n v="282.91739971702214"/>
    <n v="0"/>
    <n v="1701.0958500000002"/>
    <n v="532.05939000000001"/>
    <n v="0"/>
    <n v="1612.6972130538527"/>
    <n v="654.38794554547223"/>
  </r>
  <r>
    <s v="Sistema de Compensação"/>
    <x v="4"/>
    <x v="3"/>
    <x v="0"/>
    <x v="0"/>
    <x v="0"/>
    <x v="0"/>
    <x v="3"/>
    <x v="10"/>
    <n v="0"/>
    <n v="0"/>
    <n v="1.2E-2"/>
    <n v="1.2E-2"/>
    <n v="1.2E-2"/>
    <n v="1.2E-2"/>
    <n v="0"/>
    <x v="1"/>
    <n v="0"/>
    <n v="0"/>
    <n v="75"/>
    <n v="76"/>
    <n v="0"/>
    <n v="735.45"/>
    <n v="230.03"/>
    <m/>
    <n v="697.23182579068418"/>
    <n v="282.91739971702214"/>
    <n v="0"/>
    <n v="8.8254000000000001"/>
    <n v="2.7603599999999999"/>
    <n v="0"/>
    <n v="8.3667819094882105"/>
    <n v="3.3950087966042659"/>
  </r>
  <r>
    <s v="PROJETADO"/>
    <x v="4"/>
    <x v="3"/>
    <x v="0"/>
    <x v="0"/>
    <x v="0"/>
    <x v="0"/>
    <x v="3"/>
    <x v="11"/>
    <n v="0"/>
    <n v="0"/>
    <n v="2.6070000000000002"/>
    <n v="2.6070000000000002"/>
    <n v="2.6070000000000002"/>
    <n v="2.6070000000000002"/>
    <n v="0"/>
    <x v="1"/>
    <n v="0"/>
    <n v="0"/>
    <n v="75"/>
    <n v="76"/>
    <n v="0"/>
    <n v="735.45"/>
    <n v="230.03"/>
    <m/>
    <n v="697.23182579068418"/>
    <n v="282.91739971702214"/>
    <n v="0"/>
    <n v="1917.3181500000003"/>
    <n v="599.68821000000003"/>
    <n v="0"/>
    <n v="1817.6833698363139"/>
    <n v="737.56566106227672"/>
  </r>
  <r>
    <s v="PROJETADO"/>
    <x v="4"/>
    <x v="3"/>
    <x v="0"/>
    <x v="0"/>
    <x v="0"/>
    <x v="0"/>
    <x v="3"/>
    <x v="11"/>
    <n v="0"/>
    <n v="0"/>
    <n v="2.3130000000000002"/>
    <n v="2.3130000000000002"/>
    <n v="2.3130000000000002"/>
    <n v="2.3130000000000002"/>
    <n v="0"/>
    <x v="1"/>
    <n v="0"/>
    <n v="0"/>
    <n v="75"/>
    <n v="76"/>
    <n v="0"/>
    <n v="735.45"/>
    <n v="230.03"/>
    <m/>
    <n v="697.23182579068418"/>
    <n v="282.91739971702214"/>
    <n v="0"/>
    <n v="1701.0958500000002"/>
    <n v="532.05939000000001"/>
    <n v="0"/>
    <n v="1612.6972130538527"/>
    <n v="654.38794554547223"/>
  </r>
  <r>
    <s v="PROJETADO"/>
    <x v="4"/>
    <x v="3"/>
    <x v="0"/>
    <x v="0"/>
    <x v="0"/>
    <x v="0"/>
    <x v="3"/>
    <x v="11"/>
    <n v="0"/>
    <n v="0"/>
    <n v="1.2E-2"/>
    <n v="1.2E-2"/>
    <n v="1.2E-2"/>
    <n v="1.2E-2"/>
    <n v="0"/>
    <x v="1"/>
    <n v="0"/>
    <n v="0"/>
    <n v="75"/>
    <n v="76"/>
    <n v="0"/>
    <n v="735.45"/>
    <n v="230.03"/>
    <m/>
    <n v="697.23182579068418"/>
    <n v="282.91739971702214"/>
    <n v="0"/>
    <n v="8.8254000000000001"/>
    <n v="2.7603599999999999"/>
    <n v="0"/>
    <n v="8.3667819094882105"/>
    <n v="3.3950087966042659"/>
  </r>
  <r>
    <s v="Regular"/>
    <x v="4"/>
    <x v="3"/>
    <x v="0"/>
    <x v="0"/>
    <x v="0"/>
    <x v="0"/>
    <x v="2"/>
    <x v="0"/>
    <n v="0"/>
    <n v="0"/>
    <n v="35.692"/>
    <n v="35.692"/>
    <n v="35.692"/>
    <n v="35.692"/>
    <n v="0"/>
    <x v="1"/>
    <n v="0"/>
    <n v="0"/>
    <n v="74"/>
    <n v="82"/>
    <n v="0"/>
    <n v="1089.57"/>
    <n v="389.28"/>
    <m/>
    <n v="1096.3710315709229"/>
    <n v="454.3285679284046"/>
    <n v="0"/>
    <n v="38888.932439999997"/>
    <n v="13894.181759999999"/>
    <n v="0"/>
    <n v="39131.674858829378"/>
    <n v="16215.895246500617"/>
  </r>
  <r>
    <s v="Refaturamento - Regular"/>
    <x v="4"/>
    <x v="3"/>
    <x v="0"/>
    <x v="0"/>
    <x v="0"/>
    <x v="0"/>
    <x v="2"/>
    <x v="0"/>
    <n v="0"/>
    <n v="0"/>
    <n v="-2.38"/>
    <n v="-2.38"/>
    <n v="-2.38"/>
    <n v="-2.38"/>
    <n v="0"/>
    <x v="1"/>
    <n v="0"/>
    <n v="0"/>
    <n v="74"/>
    <n v="82"/>
    <n v="0"/>
    <n v="1089.57"/>
    <n v="389.28"/>
    <m/>
    <n v="1096.3710315709229"/>
    <n v="454.3285679284046"/>
    <n v="0"/>
    <n v="-2593.1765999999998"/>
    <n v="-926.48639999999989"/>
    <n v="0"/>
    <n v="-2609.3630551387964"/>
    <n v="-1081.3019916696028"/>
  </r>
  <r>
    <s v="Sistema Isolado - Regular"/>
    <x v="4"/>
    <x v="3"/>
    <x v="0"/>
    <x v="0"/>
    <x v="0"/>
    <x v="0"/>
    <x v="2"/>
    <x v="0"/>
    <n v="0"/>
    <n v="0"/>
    <n v="5.8289999999999997"/>
    <n v="5.8289999999999997"/>
    <n v="5.8289999999999997"/>
    <n v="5.8289999999999997"/>
    <n v="0"/>
    <x v="1"/>
    <n v="0"/>
    <n v="0"/>
    <n v="74"/>
    <n v="82"/>
    <n v="0"/>
    <n v="1089.57"/>
    <n v="389.28"/>
    <m/>
    <n v="1096.3710315709229"/>
    <n v="454.3285679284046"/>
    <n v="0"/>
    <n v="6351.1035299999994"/>
    <n v="2269.1131199999995"/>
    <n v="0"/>
    <n v="6390.7467430269098"/>
    <n v="2648.2812224546701"/>
  </r>
  <r>
    <s v="Regular"/>
    <x v="4"/>
    <x v="3"/>
    <x v="0"/>
    <x v="0"/>
    <x v="0"/>
    <x v="0"/>
    <x v="2"/>
    <x v="1"/>
    <n v="0"/>
    <n v="0"/>
    <n v="10.847"/>
    <n v="10.847"/>
    <n v="10.847"/>
    <n v="10.847"/>
    <n v="0"/>
    <x v="1"/>
    <n v="0"/>
    <n v="0"/>
    <n v="74"/>
    <n v="82"/>
    <n v="0"/>
    <n v="1089.57"/>
    <n v="389.28"/>
    <m/>
    <n v="1096.3710315709229"/>
    <n v="454.3285679284046"/>
    <n v="0"/>
    <n v="11818.565789999999"/>
    <n v="4222.5201599999991"/>
    <n v="0"/>
    <n v="11892.3365794498"/>
    <n v="4928.1019763194045"/>
  </r>
  <r>
    <s v="Sistema Isolado - Regular"/>
    <x v="4"/>
    <x v="3"/>
    <x v="0"/>
    <x v="0"/>
    <x v="0"/>
    <x v="0"/>
    <x v="2"/>
    <x v="1"/>
    <n v="0"/>
    <n v="0"/>
    <n v="6.3739999999999997"/>
    <n v="6.3739999999999997"/>
    <n v="6.3739999999999997"/>
    <n v="6.3739999999999997"/>
    <n v="0"/>
    <x v="1"/>
    <n v="0"/>
    <n v="0"/>
    <n v="74"/>
    <n v="82"/>
    <n v="0"/>
    <n v="1089.57"/>
    <n v="389.28"/>
    <m/>
    <n v="1096.3710315709229"/>
    <n v="454.3285679284046"/>
    <n v="0"/>
    <n v="6944.919179999999"/>
    <n v="2481.2707199999995"/>
    <n v="0"/>
    <n v="6988.2689552330621"/>
    <n v="2895.8902919756506"/>
  </r>
  <r>
    <s v="Regular"/>
    <x v="4"/>
    <x v="3"/>
    <x v="0"/>
    <x v="0"/>
    <x v="0"/>
    <x v="0"/>
    <x v="2"/>
    <x v="2"/>
    <n v="0"/>
    <n v="0"/>
    <n v="7.8710000000000004"/>
    <n v="7.8710000000000004"/>
    <n v="7.8710000000000004"/>
    <n v="7.8710000000000004"/>
    <n v="0"/>
    <x v="1"/>
    <n v="0"/>
    <n v="0"/>
    <n v="74"/>
    <n v="82"/>
    <n v="0"/>
    <n v="1089.57"/>
    <n v="389.28"/>
    <m/>
    <n v="1096.3710315709229"/>
    <n v="454.3285679284046"/>
    <n v="0"/>
    <n v="8576.0054700000001"/>
    <n v="3064.02288"/>
    <n v="0"/>
    <n v="8629.536389494735"/>
    <n v="3576.0201581644728"/>
  </r>
  <r>
    <s v="Refaturamento - Regular"/>
    <x v="4"/>
    <x v="3"/>
    <x v="0"/>
    <x v="0"/>
    <x v="0"/>
    <x v="0"/>
    <x v="2"/>
    <x v="2"/>
    <n v="0"/>
    <n v="0"/>
    <n v="-1.8660000000000001"/>
    <n v="-1.8660000000000001"/>
    <n v="-1.8660000000000001"/>
    <n v="-1.8660000000000001"/>
    <n v="0"/>
    <x v="1"/>
    <n v="0"/>
    <n v="0"/>
    <n v="74"/>
    <n v="82"/>
    <n v="0"/>
    <n v="1089.57"/>
    <n v="389.28"/>
    <m/>
    <n v="1096.3710315709229"/>
    <n v="454.3285679284046"/>
    <n v="0"/>
    <n v="-2033.13762"/>
    <n v="-726.39648"/>
    <n v="0"/>
    <n v="-2045.8283449113424"/>
    <n v="-847.777107754403"/>
  </r>
  <r>
    <s v="Sistema Isolado - Regular"/>
    <x v="4"/>
    <x v="3"/>
    <x v="0"/>
    <x v="0"/>
    <x v="0"/>
    <x v="0"/>
    <x v="2"/>
    <x v="2"/>
    <n v="0"/>
    <n v="0"/>
    <n v="6.2210000000000001"/>
    <n v="6.2210000000000001"/>
    <n v="6.2210000000000001"/>
    <n v="6.2210000000000001"/>
    <n v="0"/>
    <x v="1"/>
    <n v="0"/>
    <n v="0"/>
    <n v="74"/>
    <n v="82"/>
    <n v="0"/>
    <n v="1089.57"/>
    <n v="389.28"/>
    <m/>
    <n v="1096.3710315709229"/>
    <n v="454.3285679284046"/>
    <n v="0"/>
    <n v="6778.21497"/>
    <n v="2421.7108800000001"/>
    <n v="0"/>
    <n v="6820.5241874027115"/>
    <n v="2826.3780210826048"/>
  </r>
  <r>
    <s v="Regular"/>
    <x v="4"/>
    <x v="3"/>
    <x v="0"/>
    <x v="0"/>
    <x v="0"/>
    <x v="0"/>
    <x v="2"/>
    <x v="3"/>
    <n v="0"/>
    <n v="0"/>
    <n v="5.0780000000000003"/>
    <n v="5.0780000000000003"/>
    <n v="5.0780000000000003"/>
    <n v="5.0780000000000003"/>
    <n v="0"/>
    <x v="1"/>
    <n v="0"/>
    <n v="0"/>
    <n v="74"/>
    <n v="82"/>
    <n v="0"/>
    <n v="1089.57"/>
    <n v="389.28"/>
    <m/>
    <n v="1096.3710315709229"/>
    <n v="454.3285679284046"/>
    <n v="0"/>
    <n v="5532.8364600000004"/>
    <n v="1976.7638400000001"/>
    <n v="0"/>
    <n v="5567.372098317147"/>
    <n v="2307.0804679404387"/>
  </r>
  <r>
    <s v="Refaturamento - Regular"/>
    <x v="4"/>
    <x v="3"/>
    <x v="0"/>
    <x v="0"/>
    <x v="0"/>
    <x v="0"/>
    <x v="2"/>
    <x v="3"/>
    <n v="0"/>
    <n v="0"/>
    <n v="-3.7789999999999999"/>
    <n v="-3.7789999999999999"/>
    <n v="-3.7789999999999999"/>
    <n v="-3.7789999999999999"/>
    <n v="0"/>
    <x v="1"/>
    <n v="0"/>
    <n v="0"/>
    <n v="74"/>
    <n v="82"/>
    <n v="0"/>
    <n v="1089.57"/>
    <n v="389.28"/>
    <m/>
    <n v="1096.3710315709229"/>
    <n v="454.3285679284046"/>
    <n v="0"/>
    <n v="-4117.4850299999998"/>
    <n v="-1471.0891199999999"/>
    <n v="0"/>
    <n v="-4143.1861283065173"/>
    <n v="-1716.9076582014409"/>
  </r>
  <r>
    <s v="Sistema Isolado - Regular"/>
    <x v="4"/>
    <x v="3"/>
    <x v="0"/>
    <x v="0"/>
    <x v="0"/>
    <x v="0"/>
    <x v="2"/>
    <x v="3"/>
    <n v="0"/>
    <n v="0"/>
    <n v="6.6580000000000004"/>
    <n v="6.6580000000000004"/>
    <n v="6.6580000000000004"/>
    <n v="6.6580000000000004"/>
    <n v="0"/>
    <x v="1"/>
    <n v="0"/>
    <n v="0"/>
    <n v="74"/>
    <n v="82"/>
    <n v="0"/>
    <n v="1089.57"/>
    <n v="389.28"/>
    <m/>
    <n v="1096.3710315709229"/>
    <n v="454.3285679284046"/>
    <n v="0"/>
    <n v="7254.3570600000003"/>
    <n v="2591.8262399999999"/>
    <n v="0"/>
    <n v="7299.6383281992048"/>
    <n v="3024.9196052673178"/>
  </r>
  <r>
    <s v="Regular"/>
    <x v="4"/>
    <x v="3"/>
    <x v="0"/>
    <x v="0"/>
    <x v="0"/>
    <x v="0"/>
    <x v="2"/>
    <x v="4"/>
    <n v="0"/>
    <n v="0"/>
    <n v="3.1930000000000001"/>
    <n v="3.1930000000000001"/>
    <n v="3.1930000000000001"/>
    <n v="3.1930000000000001"/>
    <n v="0"/>
    <x v="1"/>
    <n v="0"/>
    <n v="0"/>
    <n v="74"/>
    <n v="82"/>
    <n v="0"/>
    <n v="1089.57"/>
    <n v="389.28"/>
    <m/>
    <n v="1096.3710315709229"/>
    <n v="454.3285679284046"/>
    <n v="0"/>
    <n v="3478.99701"/>
    <n v="1242.9710399999999"/>
    <n v="0"/>
    <n v="3500.7127038059571"/>
    <n v="1450.6711173953959"/>
  </r>
  <r>
    <s v="Refaturamento - Regular"/>
    <x v="4"/>
    <x v="3"/>
    <x v="0"/>
    <x v="0"/>
    <x v="0"/>
    <x v="0"/>
    <x v="2"/>
    <x v="4"/>
    <n v="0"/>
    <n v="0"/>
    <n v="-4.8579999999999997"/>
    <n v="-4.8579999999999997"/>
    <n v="-4.8579999999999997"/>
    <n v="-4.8579999999999997"/>
    <n v="0"/>
    <x v="1"/>
    <n v="0"/>
    <n v="0"/>
    <n v="74"/>
    <n v="82"/>
    <n v="0"/>
    <n v="1089.57"/>
    <n v="389.28"/>
    <m/>
    <n v="1096.3710315709229"/>
    <n v="454.3285679284046"/>
    <n v="0"/>
    <n v="-5293.1310599999997"/>
    <n v="-1891.1222399999997"/>
    <n v="0"/>
    <n v="-5326.1704713715435"/>
    <n v="-2207.1281829961895"/>
  </r>
  <r>
    <s v="Sistema Isolado - Regular"/>
    <x v="4"/>
    <x v="3"/>
    <x v="0"/>
    <x v="0"/>
    <x v="0"/>
    <x v="0"/>
    <x v="2"/>
    <x v="4"/>
    <n v="0"/>
    <n v="0"/>
    <n v="5.5049999999999999"/>
    <n v="5.5049999999999999"/>
    <n v="5.5049999999999999"/>
    <n v="5.5049999999999999"/>
    <n v="0"/>
    <x v="1"/>
    <n v="0"/>
    <n v="0"/>
    <n v="74"/>
    <n v="82"/>
    <n v="0"/>
    <n v="1089.57"/>
    <n v="389.28"/>
    <m/>
    <n v="1096.3710315709229"/>
    <n v="454.3285679284046"/>
    <n v="0"/>
    <n v="5998.0828499999998"/>
    <n v="2142.9863999999998"/>
    <n v="0"/>
    <n v="6035.5225287979301"/>
    <n v="2501.0787664458671"/>
  </r>
  <r>
    <s v="Sistema Isolado - Refaturamento"/>
    <x v="4"/>
    <x v="3"/>
    <x v="0"/>
    <x v="0"/>
    <x v="0"/>
    <x v="0"/>
    <x v="2"/>
    <x v="4"/>
    <n v="0"/>
    <n v="0"/>
    <n v="-1.01"/>
    <n v="-1.01"/>
    <n v="-1.01"/>
    <n v="-1.01"/>
    <n v="0"/>
    <x v="1"/>
    <n v="0"/>
    <n v="0"/>
    <n v="74"/>
    <n v="82"/>
    <n v="0"/>
    <n v="1089.57"/>
    <n v="389.28"/>
    <m/>
    <n v="1096.3710315709229"/>
    <n v="454.3285679284046"/>
    <n v="0"/>
    <n v="-1100.4657"/>
    <n v="-393.1728"/>
    <n v="0"/>
    <n v="-1107.3347418866322"/>
    <n v="-458.87185360768865"/>
  </r>
  <r>
    <s v="Regular"/>
    <x v="4"/>
    <x v="3"/>
    <x v="0"/>
    <x v="0"/>
    <x v="0"/>
    <x v="0"/>
    <x v="2"/>
    <x v="5"/>
    <n v="0"/>
    <n v="0"/>
    <n v="3.4769999999999999"/>
    <n v="3.4769999999999999"/>
    <n v="3.4769999999999999"/>
    <n v="3.4769999999999999"/>
    <n v="0"/>
    <x v="1"/>
    <n v="0"/>
    <n v="0"/>
    <n v="74"/>
    <n v="82"/>
    <n v="0"/>
    <n v="1089.57"/>
    <n v="389.28"/>
    <m/>
    <n v="1096.3710315709229"/>
    <n v="454.3285679284046"/>
    <n v="0"/>
    <n v="3788.4348899999995"/>
    <n v="1353.5265599999998"/>
    <n v="0"/>
    <n v="3812.0820767720988"/>
    <n v="1579.7004306870626"/>
  </r>
  <r>
    <s v="Sistema Isolado - Regular"/>
    <x v="4"/>
    <x v="3"/>
    <x v="0"/>
    <x v="0"/>
    <x v="0"/>
    <x v="0"/>
    <x v="2"/>
    <x v="5"/>
    <n v="0"/>
    <n v="0"/>
    <n v="5.3170000000000002"/>
    <n v="5.3170000000000002"/>
    <n v="5.3170000000000002"/>
    <n v="5.3170000000000002"/>
    <n v="0"/>
    <x v="1"/>
    <n v="0"/>
    <n v="0"/>
    <n v="74"/>
    <n v="82"/>
    <n v="0"/>
    <n v="1089.57"/>
    <n v="389.28"/>
    <m/>
    <n v="1096.3710315709229"/>
    <n v="454.3285679284046"/>
    <n v="0"/>
    <n v="5793.2436900000002"/>
    <n v="2069.8017599999998"/>
    <n v="0"/>
    <n v="5829.4047748625972"/>
    <n v="2415.6649956753272"/>
  </r>
  <r>
    <s v="Regular"/>
    <x v="4"/>
    <x v="3"/>
    <x v="0"/>
    <x v="0"/>
    <x v="0"/>
    <x v="0"/>
    <x v="2"/>
    <x v="6"/>
    <n v="0"/>
    <n v="0"/>
    <n v="3.4590000000000001"/>
    <n v="3.4590000000000001"/>
    <n v="3.4590000000000001"/>
    <n v="3.4590000000000001"/>
    <n v="0"/>
    <x v="1"/>
    <n v="0"/>
    <n v="0"/>
    <n v="74"/>
    <n v="82"/>
    <n v="0"/>
    <n v="1089.57"/>
    <n v="389.28"/>
    <m/>
    <n v="1096.3710315709229"/>
    <n v="454.3285679284046"/>
    <n v="0"/>
    <n v="3768.8226299999997"/>
    <n v="1346.5195199999998"/>
    <n v="0"/>
    <n v="3792.3473982038226"/>
    <n v="1571.5225164643516"/>
  </r>
  <r>
    <s v="Sistema Isolado - Regular"/>
    <x v="4"/>
    <x v="3"/>
    <x v="0"/>
    <x v="0"/>
    <x v="0"/>
    <x v="0"/>
    <x v="2"/>
    <x v="6"/>
    <n v="0"/>
    <n v="0"/>
    <n v="6.9539999999999997"/>
    <n v="6.9539999999999997"/>
    <n v="6.9539999999999997"/>
    <n v="6.9539999999999997"/>
    <n v="0"/>
    <x v="1"/>
    <n v="0"/>
    <n v="0"/>
    <n v="74"/>
    <n v="82"/>
    <n v="0"/>
    <n v="1089.57"/>
    <n v="389.28"/>
    <m/>
    <n v="1096.3710315709229"/>
    <n v="454.3285679284046"/>
    <n v="0"/>
    <n v="7576.8697799999991"/>
    <n v="2707.0531199999996"/>
    <n v="0"/>
    <n v="7624.1641535441977"/>
    <n v="3159.4008613741253"/>
  </r>
  <r>
    <s v="Regular"/>
    <x v="4"/>
    <x v="3"/>
    <x v="0"/>
    <x v="0"/>
    <x v="0"/>
    <x v="0"/>
    <x v="2"/>
    <x v="7"/>
    <n v="0"/>
    <n v="0"/>
    <n v="4.2679999999999998"/>
    <n v="4.2679999999999998"/>
    <n v="4.2679999999999998"/>
    <n v="4.2679999999999998"/>
    <n v="0"/>
    <x v="1"/>
    <n v="0"/>
    <n v="0"/>
    <n v="74"/>
    <n v="82"/>
    <n v="0"/>
    <n v="1089.57"/>
    <n v="389.28"/>
    <m/>
    <n v="1096.3710315709229"/>
    <n v="454.3285679284046"/>
    <n v="0"/>
    <n v="4650.2847599999996"/>
    <n v="1661.4470399999998"/>
    <n v="0"/>
    <n v="4679.3115627446987"/>
    <n v="1939.0743279184308"/>
  </r>
  <r>
    <s v="Sistema Isolado - Regular"/>
    <x v="4"/>
    <x v="3"/>
    <x v="0"/>
    <x v="0"/>
    <x v="0"/>
    <x v="0"/>
    <x v="2"/>
    <x v="7"/>
    <n v="0"/>
    <n v="0"/>
    <n v="6.9249999999999998"/>
    <n v="6.9249999999999998"/>
    <n v="6.9249999999999998"/>
    <n v="6.9249999999999998"/>
    <n v="0"/>
    <x v="1"/>
    <n v="0"/>
    <n v="0"/>
    <n v="74"/>
    <n v="82"/>
    <n v="0"/>
    <n v="1089.57"/>
    <n v="389.28"/>
    <m/>
    <n v="1096.3710315709229"/>
    <n v="454.3285679284046"/>
    <n v="0"/>
    <n v="7545.2722499999991"/>
    <n v="2695.7639999999997"/>
    <n v="0"/>
    <n v="7592.3693936286409"/>
    <n v="3146.2253329042019"/>
  </r>
  <r>
    <s v="Regular"/>
    <x v="4"/>
    <x v="3"/>
    <x v="0"/>
    <x v="0"/>
    <x v="0"/>
    <x v="0"/>
    <x v="2"/>
    <x v="8"/>
    <n v="0"/>
    <n v="0"/>
    <n v="4.992"/>
    <n v="4.992"/>
    <n v="4.992"/>
    <n v="4.992"/>
    <n v="0"/>
    <x v="1"/>
    <n v="0"/>
    <n v="0"/>
    <n v="74"/>
    <n v="82"/>
    <n v="0"/>
    <n v="1089.57"/>
    <n v="389.28"/>
    <m/>
    <n v="1096.3710315709229"/>
    <n v="454.3285679284046"/>
    <n v="0"/>
    <n v="5439.1334399999996"/>
    <n v="1943.2857599999998"/>
    <n v="0"/>
    <n v="5473.0841896020474"/>
    <n v="2268.0082110985959"/>
  </r>
  <r>
    <s v="Sistema Isolado - Regular"/>
    <x v="4"/>
    <x v="3"/>
    <x v="0"/>
    <x v="0"/>
    <x v="0"/>
    <x v="0"/>
    <x v="2"/>
    <x v="8"/>
    <n v="0"/>
    <n v="0"/>
    <n v="4.8440000000000003"/>
    <n v="4.8440000000000003"/>
    <n v="4.8440000000000003"/>
    <n v="4.8440000000000003"/>
    <n v="0"/>
    <x v="1"/>
    <n v="0"/>
    <n v="0"/>
    <n v="74"/>
    <n v="82"/>
    <n v="0"/>
    <n v="1089.57"/>
    <n v="389.28"/>
    <m/>
    <n v="1096.3710315709229"/>
    <n v="454.3285679284046"/>
    <n v="0"/>
    <n v="5277.8770800000002"/>
    <n v="1885.6723199999999"/>
    <n v="0"/>
    <n v="5310.8212769295505"/>
    <n v="2200.7675830451922"/>
  </r>
  <r>
    <s v="Regular"/>
    <x v="4"/>
    <x v="3"/>
    <x v="0"/>
    <x v="0"/>
    <x v="0"/>
    <x v="0"/>
    <x v="2"/>
    <x v="9"/>
    <n v="0"/>
    <n v="0"/>
    <n v="14.436999999999999"/>
    <n v="14.436999999999999"/>
    <n v="14.436999999999999"/>
    <n v="14.436999999999999"/>
    <n v="0"/>
    <x v="1"/>
    <n v="0"/>
    <n v="0"/>
    <n v="74"/>
    <n v="82"/>
    <n v="0"/>
    <n v="1089.57"/>
    <n v="389.28"/>
    <m/>
    <n v="1096.3710315709229"/>
    <n v="454.3285679284046"/>
    <n v="0"/>
    <n v="15730.122089999999"/>
    <n v="5620.0353599999989"/>
    <n v="0"/>
    <n v="15828.308582789414"/>
    <n v="6559.1415351823771"/>
  </r>
  <r>
    <s v="Sistema Isolado - Regular"/>
    <x v="4"/>
    <x v="3"/>
    <x v="0"/>
    <x v="0"/>
    <x v="0"/>
    <x v="0"/>
    <x v="2"/>
    <x v="9"/>
    <n v="0"/>
    <n v="0"/>
    <n v="5.141"/>
    <n v="5.141"/>
    <n v="5.141"/>
    <n v="5.141"/>
    <n v="0"/>
    <x v="1"/>
    <n v="0"/>
    <n v="0"/>
    <n v="74"/>
    <n v="82"/>
    <n v="0"/>
    <n v="1089.57"/>
    <n v="389.28"/>
    <m/>
    <n v="1096.3710315709229"/>
    <n v="454.3285679284046"/>
    <n v="0"/>
    <n v="5601.47937"/>
    <n v="2001.2884799999999"/>
    <n v="0"/>
    <n v="5636.4434733061144"/>
    <n v="2335.7031677199279"/>
  </r>
  <r>
    <s v="Regular"/>
    <x v="4"/>
    <x v="3"/>
    <x v="0"/>
    <x v="0"/>
    <x v="0"/>
    <x v="0"/>
    <x v="2"/>
    <x v="10"/>
    <n v="0"/>
    <n v="0"/>
    <n v="3.7080000000000002"/>
    <n v="3.7080000000000002"/>
    <n v="3.7080000000000002"/>
    <n v="3.7080000000000002"/>
    <n v="0"/>
    <x v="1"/>
    <n v="0"/>
    <n v="0"/>
    <n v="74"/>
    <n v="82"/>
    <n v="0"/>
    <n v="1089.57"/>
    <n v="389.28"/>
    <m/>
    <n v="1096.3710315709229"/>
    <n v="454.3285679284046"/>
    <n v="0"/>
    <n v="4040.12556"/>
    <n v="1443.4502399999999"/>
    <n v="0"/>
    <n v="4065.3437850649825"/>
    <n v="1684.6503298785244"/>
  </r>
  <r>
    <s v="Refaturamento - Regular"/>
    <x v="4"/>
    <x v="3"/>
    <x v="0"/>
    <x v="0"/>
    <x v="0"/>
    <x v="0"/>
    <x v="2"/>
    <x v="10"/>
    <n v="0"/>
    <n v="0"/>
    <n v="-0.30399999999999999"/>
    <n v="-0.30399999999999999"/>
    <n v="-0.30399999999999999"/>
    <n v="-0.30399999999999999"/>
    <n v="0"/>
    <x v="1"/>
    <n v="0"/>
    <n v="0"/>
    <n v="74"/>
    <n v="82"/>
    <n v="0"/>
    <n v="1089.57"/>
    <n v="389.28"/>
    <m/>
    <n v="1096.3710315709229"/>
    <n v="454.3285679284046"/>
    <n v="0"/>
    <n v="-331.22927999999996"/>
    <n v="-118.34111999999999"/>
    <n v="0"/>
    <n v="-333.29679359756057"/>
    <n v="-138.11588465023499"/>
  </r>
  <r>
    <s v="Sistema Isolado - Regular"/>
    <x v="4"/>
    <x v="3"/>
    <x v="0"/>
    <x v="0"/>
    <x v="0"/>
    <x v="0"/>
    <x v="2"/>
    <x v="10"/>
    <n v="0"/>
    <n v="0"/>
    <n v="10.976000000000001"/>
    <n v="10.976000000000001"/>
    <n v="10.976000000000001"/>
    <n v="10.976000000000001"/>
    <n v="0"/>
    <x v="1"/>
    <n v="0"/>
    <n v="0"/>
    <n v="74"/>
    <n v="82"/>
    <n v="0"/>
    <n v="1089.57"/>
    <n v="389.28"/>
    <m/>
    <n v="1096.3710315709229"/>
    <n v="454.3285679284046"/>
    <n v="0"/>
    <n v="11959.12032"/>
    <n v="4272.7372800000003"/>
    <n v="0"/>
    <n v="12033.768442522451"/>
    <n v="4986.7103615821688"/>
  </r>
  <r>
    <s v="Sistema de Compensação"/>
    <x v="4"/>
    <x v="3"/>
    <x v="0"/>
    <x v="0"/>
    <x v="0"/>
    <x v="0"/>
    <x v="2"/>
    <x v="10"/>
    <n v="0"/>
    <n v="0"/>
    <n v="0.59199999999999997"/>
    <n v="0.59199999999999997"/>
    <n v="0.59199999999999997"/>
    <n v="0.59199999999999997"/>
    <n v="0"/>
    <x v="1"/>
    <n v="0"/>
    <n v="0"/>
    <n v="74"/>
    <n v="82"/>
    <n v="0"/>
    <n v="1089.57"/>
    <n v="389.28"/>
    <m/>
    <n v="1096.3710315709229"/>
    <n v="454.3285679284046"/>
    <n v="0"/>
    <n v="645.02543999999989"/>
    <n v="230.45375999999996"/>
    <n v="0"/>
    <n v="649.05165068998633"/>
    <n v="268.96251221361553"/>
  </r>
  <r>
    <s v="PROJETADO"/>
    <x v="4"/>
    <x v="3"/>
    <x v="0"/>
    <x v="0"/>
    <x v="0"/>
    <x v="0"/>
    <x v="2"/>
    <x v="11"/>
    <n v="0"/>
    <n v="0"/>
    <n v="3.7080000000000002"/>
    <n v="3.7080000000000002"/>
    <n v="3.7080000000000002"/>
    <n v="3.7080000000000002"/>
    <n v="0"/>
    <x v="1"/>
    <n v="0"/>
    <n v="0"/>
    <n v="74"/>
    <n v="82"/>
    <n v="0"/>
    <n v="1089.57"/>
    <n v="389.28"/>
    <m/>
    <n v="1096.3710315709229"/>
    <n v="454.3285679284046"/>
    <n v="0"/>
    <n v="4040.12556"/>
    <n v="1443.4502399999999"/>
    <n v="0"/>
    <n v="4065.3437850649825"/>
    <n v="1684.6503298785244"/>
  </r>
  <r>
    <s v="PROJETADO"/>
    <x v="4"/>
    <x v="3"/>
    <x v="0"/>
    <x v="0"/>
    <x v="0"/>
    <x v="0"/>
    <x v="2"/>
    <x v="11"/>
    <n v="0"/>
    <n v="0"/>
    <n v="-0.30399999999999999"/>
    <n v="-0.30399999999999999"/>
    <n v="-0.30399999999999999"/>
    <n v="-0.30399999999999999"/>
    <n v="0"/>
    <x v="1"/>
    <n v="0"/>
    <n v="0"/>
    <n v="74"/>
    <n v="82"/>
    <n v="0"/>
    <n v="1089.57"/>
    <n v="389.28"/>
    <m/>
    <n v="1096.3710315709229"/>
    <n v="454.3285679284046"/>
    <n v="0"/>
    <n v="-331.22927999999996"/>
    <n v="-118.34111999999999"/>
    <n v="0"/>
    <n v="-333.29679359756057"/>
    <n v="-138.11588465023499"/>
  </r>
  <r>
    <s v="PROJETADO"/>
    <x v="4"/>
    <x v="3"/>
    <x v="0"/>
    <x v="0"/>
    <x v="0"/>
    <x v="0"/>
    <x v="2"/>
    <x v="11"/>
    <n v="0"/>
    <n v="0"/>
    <n v="10.976000000000001"/>
    <n v="10.976000000000001"/>
    <n v="10.976000000000001"/>
    <n v="10.976000000000001"/>
    <n v="0"/>
    <x v="1"/>
    <n v="0"/>
    <n v="0"/>
    <n v="74"/>
    <n v="82"/>
    <n v="0"/>
    <n v="1089.57"/>
    <n v="389.28"/>
    <m/>
    <n v="1096.3710315709229"/>
    <n v="454.3285679284046"/>
    <n v="0"/>
    <n v="11959.12032"/>
    <n v="4272.7372800000003"/>
    <n v="0"/>
    <n v="12033.768442522451"/>
    <n v="4986.7103615821688"/>
  </r>
  <r>
    <s v="PROJETADO"/>
    <x v="4"/>
    <x v="3"/>
    <x v="0"/>
    <x v="0"/>
    <x v="0"/>
    <x v="0"/>
    <x v="2"/>
    <x v="11"/>
    <n v="0"/>
    <n v="0"/>
    <n v="0.59199999999999997"/>
    <n v="0.59199999999999997"/>
    <n v="0.59199999999999997"/>
    <n v="0.59199999999999997"/>
    <n v="0"/>
    <x v="1"/>
    <n v="0"/>
    <n v="0"/>
    <n v="74"/>
    <n v="82"/>
    <n v="0"/>
    <n v="1089.57"/>
    <n v="389.28"/>
    <m/>
    <n v="1096.3710315709229"/>
    <n v="454.3285679284046"/>
    <n v="0"/>
    <n v="645.02543999999989"/>
    <n v="230.45375999999996"/>
    <n v="0"/>
    <n v="649.05165068998633"/>
    <n v="268.96251221361553"/>
  </r>
  <r>
    <s v="Regular"/>
    <x v="4"/>
    <x v="3"/>
    <x v="1"/>
    <x v="0"/>
    <x v="0"/>
    <x v="0"/>
    <x v="0"/>
    <x v="0"/>
    <n v="0"/>
    <n v="0"/>
    <n v="7.0819999999999999"/>
    <n v="7.0819999999999999"/>
    <n v="7.0819999999999999"/>
    <n v="7.0819999999999999"/>
    <n v="0"/>
    <x v="1"/>
    <n v="0"/>
    <n v="0"/>
    <n v="71"/>
    <n v="77"/>
    <n v="0"/>
    <n v="381.34"/>
    <n v="230.03"/>
    <m/>
    <n v="298.09263089865954"/>
    <n v="282.91739971702214"/>
    <n v="0"/>
    <n v="2700.6498799999999"/>
    <n v="1629.0724599999999"/>
    <n v="0"/>
    <n v="2111.0920120243068"/>
    <n v="2003.6210247959507"/>
  </r>
  <r>
    <s v="Regular"/>
    <x v="4"/>
    <x v="3"/>
    <x v="1"/>
    <x v="0"/>
    <x v="0"/>
    <x v="0"/>
    <x v="0"/>
    <x v="1"/>
    <n v="0"/>
    <n v="0"/>
    <n v="7.3650000000000002"/>
    <n v="7.3650000000000002"/>
    <n v="7.3650000000000002"/>
    <n v="7.3650000000000002"/>
    <n v="0"/>
    <x v="1"/>
    <n v="0"/>
    <n v="0"/>
    <n v="71"/>
    <n v="77"/>
    <n v="0"/>
    <n v="381.34"/>
    <n v="230.03"/>
    <m/>
    <n v="298.09263089865954"/>
    <n v="282.91739971702214"/>
    <n v="0"/>
    <n v="2808.5690999999997"/>
    <n v="1694.1709499999999"/>
    <n v="0"/>
    <n v="2195.4522265686273"/>
    <n v="2083.6866489158679"/>
  </r>
  <r>
    <s v="Regular"/>
    <x v="4"/>
    <x v="3"/>
    <x v="1"/>
    <x v="0"/>
    <x v="0"/>
    <x v="0"/>
    <x v="0"/>
    <x v="2"/>
    <n v="0"/>
    <n v="0"/>
    <n v="9.9220000000000006"/>
    <n v="9.9220000000000006"/>
    <n v="9.9220000000000006"/>
    <n v="9.9220000000000006"/>
    <n v="0"/>
    <x v="1"/>
    <n v="0"/>
    <n v="0"/>
    <n v="71"/>
    <n v="77"/>
    <n v="0"/>
    <n v="381.34"/>
    <n v="230.03"/>
    <m/>
    <n v="298.09263089865954"/>
    <n v="282.91739971702214"/>
    <n v="0"/>
    <n v="3783.6554799999999"/>
    <n v="2282.3576600000001"/>
    <n v="0"/>
    <n v="2957.6750837765003"/>
    <n v="2807.1064399922939"/>
  </r>
  <r>
    <s v="Regular"/>
    <x v="4"/>
    <x v="3"/>
    <x v="1"/>
    <x v="0"/>
    <x v="0"/>
    <x v="0"/>
    <x v="0"/>
    <x v="3"/>
    <n v="0"/>
    <n v="0"/>
    <n v="6.9560000000000004"/>
    <n v="6.9560000000000004"/>
    <n v="6.9560000000000004"/>
    <n v="6.9560000000000004"/>
    <n v="0"/>
    <x v="1"/>
    <n v="0"/>
    <n v="0"/>
    <n v="71"/>
    <n v="77"/>
    <n v="0"/>
    <n v="381.34"/>
    <n v="230.03"/>
    <m/>
    <n v="298.09263089865954"/>
    <n v="282.91739971702214"/>
    <n v="0"/>
    <n v="2652.60104"/>
    <n v="1600.0886800000001"/>
    <n v="0"/>
    <n v="2073.532340531076"/>
    <n v="1967.9734324316062"/>
  </r>
  <r>
    <s v="Regular"/>
    <x v="4"/>
    <x v="3"/>
    <x v="1"/>
    <x v="0"/>
    <x v="0"/>
    <x v="0"/>
    <x v="0"/>
    <x v="4"/>
    <n v="0"/>
    <n v="0"/>
    <n v="8.6050000000000004"/>
    <n v="8.6050000000000004"/>
    <n v="8.6050000000000004"/>
    <n v="8.6050000000000004"/>
    <n v="0"/>
    <x v="1"/>
    <n v="0"/>
    <n v="0"/>
    <n v="71"/>
    <n v="77"/>
    <n v="0"/>
    <n v="381.34"/>
    <n v="230.03"/>
    <m/>
    <n v="298.09263089865954"/>
    <n v="282.91739971702214"/>
    <n v="0"/>
    <n v="3281.4306999999999"/>
    <n v="1979.4081500000002"/>
    <n v="0"/>
    <n v="2565.0870888829654"/>
    <n v="2434.5042245649756"/>
  </r>
  <r>
    <s v="Regular"/>
    <x v="4"/>
    <x v="3"/>
    <x v="1"/>
    <x v="0"/>
    <x v="0"/>
    <x v="0"/>
    <x v="0"/>
    <x v="5"/>
    <n v="0"/>
    <n v="0"/>
    <n v="9.3559999999999999"/>
    <n v="9.3559999999999999"/>
    <n v="9.3559999999999999"/>
    <n v="9.3559999999999999"/>
    <n v="0"/>
    <x v="1"/>
    <n v="0"/>
    <n v="0"/>
    <n v="71"/>
    <n v="77"/>
    <n v="0"/>
    <n v="381.34"/>
    <n v="230.03"/>
    <m/>
    <n v="298.09263089865954"/>
    <n v="282.91739971702214"/>
    <n v="0"/>
    <n v="3567.8170399999999"/>
    <n v="2152.16068"/>
    <n v="0"/>
    <n v="2788.9546546878587"/>
    <n v="2646.9751917524591"/>
  </r>
  <r>
    <s v="Regular"/>
    <x v="4"/>
    <x v="3"/>
    <x v="1"/>
    <x v="0"/>
    <x v="0"/>
    <x v="0"/>
    <x v="0"/>
    <x v="6"/>
    <n v="0"/>
    <n v="0"/>
    <n v="9.4480000000000004"/>
    <n v="9.4480000000000004"/>
    <n v="9.4480000000000004"/>
    <n v="9.4480000000000004"/>
    <n v="0"/>
    <x v="1"/>
    <n v="0"/>
    <n v="0"/>
    <n v="71"/>
    <n v="77"/>
    <n v="0"/>
    <n v="381.34"/>
    <n v="230.03"/>
    <m/>
    <n v="298.09263089865954"/>
    <n v="282.91739971702214"/>
    <n v="0"/>
    <n v="3602.9003199999997"/>
    <n v="2173.3234400000001"/>
    <n v="0"/>
    <n v="2816.3791767305356"/>
    <n v="2673.0035925264251"/>
  </r>
  <r>
    <s v="Regular"/>
    <x v="4"/>
    <x v="3"/>
    <x v="1"/>
    <x v="0"/>
    <x v="0"/>
    <x v="0"/>
    <x v="0"/>
    <x v="7"/>
    <n v="0"/>
    <n v="0"/>
    <n v="12.682"/>
    <n v="12.682"/>
    <n v="12.682"/>
    <n v="12.682"/>
    <n v="0"/>
    <x v="1"/>
    <n v="0"/>
    <n v="0"/>
    <n v="71"/>
    <n v="77"/>
    <n v="0"/>
    <n v="381.34"/>
    <n v="230.03"/>
    <m/>
    <n v="298.09263089865954"/>
    <n v="282.91739971702214"/>
    <n v="0"/>
    <n v="4836.1538799999998"/>
    <n v="2917.24046"/>
    <n v="0"/>
    <n v="3780.4107450568004"/>
    <n v="3587.9584632112746"/>
  </r>
  <r>
    <s v="Regular"/>
    <x v="4"/>
    <x v="3"/>
    <x v="1"/>
    <x v="0"/>
    <x v="0"/>
    <x v="0"/>
    <x v="0"/>
    <x v="8"/>
    <n v="0"/>
    <n v="0"/>
    <n v="7.3280000000000003"/>
    <n v="7.3280000000000003"/>
    <n v="7.3280000000000003"/>
    <n v="7.3280000000000003"/>
    <n v="0"/>
    <x v="1"/>
    <n v="0"/>
    <n v="0"/>
    <n v="71"/>
    <n v="77"/>
    <n v="0"/>
    <n v="381.34"/>
    <n v="230.03"/>
    <m/>
    <n v="298.09263089865954"/>
    <n v="282.91739971702214"/>
    <n v="0"/>
    <n v="2794.4595199999999"/>
    <n v="1685.65984"/>
    <n v="0"/>
    <n v="2184.4227992253773"/>
    <n v="2073.2187051263381"/>
  </r>
  <r>
    <s v="Regular"/>
    <x v="4"/>
    <x v="3"/>
    <x v="1"/>
    <x v="0"/>
    <x v="0"/>
    <x v="0"/>
    <x v="0"/>
    <x v="9"/>
    <n v="0"/>
    <n v="0"/>
    <n v="8.6489999999999991"/>
    <n v="8.6489999999999991"/>
    <n v="8.6489999999999991"/>
    <n v="8.6489999999999991"/>
    <n v="0"/>
    <x v="1"/>
    <n v="0"/>
    <n v="0"/>
    <n v="71"/>
    <n v="77"/>
    <n v="0"/>
    <n v="381.34"/>
    <n v="230.03"/>
    <m/>
    <n v="298.09263089865954"/>
    <n v="282.91739971702214"/>
    <n v="0"/>
    <n v="3298.2096599999995"/>
    <n v="1989.5294699999997"/>
    <n v="0"/>
    <n v="2578.2031646425062"/>
    <n v="2446.9525901525244"/>
  </r>
  <r>
    <s v="Regular"/>
    <x v="4"/>
    <x v="3"/>
    <x v="1"/>
    <x v="0"/>
    <x v="0"/>
    <x v="0"/>
    <x v="0"/>
    <x v="10"/>
    <n v="0"/>
    <n v="0"/>
    <n v="9.9730000000000008"/>
    <n v="9.9730000000000008"/>
    <n v="9.9730000000000008"/>
    <n v="9.9730000000000008"/>
    <n v="0"/>
    <x v="1"/>
    <n v="0"/>
    <n v="0"/>
    <n v="71"/>
    <n v="77"/>
    <n v="0"/>
    <n v="381.34"/>
    <n v="230.03"/>
    <m/>
    <n v="298.09263089865954"/>
    <n v="282.91739971702214"/>
    <n v="0"/>
    <n v="3803.1038199999998"/>
    <n v="2294.0891900000001"/>
    <n v="0"/>
    <n v="2972.8778079523318"/>
    <n v="2821.5352273778622"/>
  </r>
  <r>
    <s v="PROJETADO"/>
    <x v="4"/>
    <x v="3"/>
    <x v="1"/>
    <x v="0"/>
    <x v="0"/>
    <x v="0"/>
    <x v="0"/>
    <x v="11"/>
    <n v="0"/>
    <n v="0"/>
    <n v="9.9730000000000008"/>
    <n v="9.9730000000000008"/>
    <n v="9.9730000000000008"/>
    <n v="9.9730000000000008"/>
    <n v="0"/>
    <x v="1"/>
    <n v="0"/>
    <n v="0"/>
    <n v="71"/>
    <n v="77"/>
    <n v="0"/>
    <n v="381.34"/>
    <n v="230.03"/>
    <m/>
    <n v="298.09263089865954"/>
    <n v="282.91739971702214"/>
    <n v="0"/>
    <n v="3803.1038199999998"/>
    <n v="2294.0891900000001"/>
    <n v="0"/>
    <n v="2972.8778079523318"/>
    <n v="2821.5352273778622"/>
  </r>
  <r>
    <s v="Regular"/>
    <x v="4"/>
    <x v="3"/>
    <x v="1"/>
    <x v="0"/>
    <x v="0"/>
    <x v="0"/>
    <x v="3"/>
    <x v="0"/>
    <n v="0"/>
    <n v="0"/>
    <n v="2.4E-2"/>
    <n v="2.4E-2"/>
    <n v="2.4E-2"/>
    <n v="2.4E-2"/>
    <n v="0"/>
    <x v="1"/>
    <n v="0"/>
    <n v="0"/>
    <n v="75"/>
    <n v="76"/>
    <n v="0"/>
    <n v="735.45"/>
    <n v="230.03"/>
    <m/>
    <n v="697.23182579068418"/>
    <n v="282.91739971702214"/>
    <n v="0"/>
    <n v="17.6508"/>
    <n v="5.5207199999999998"/>
    <n v="0"/>
    <n v="16.733563818976421"/>
    <n v="6.7900175932085318"/>
  </r>
  <r>
    <s v="Regular"/>
    <x v="4"/>
    <x v="3"/>
    <x v="1"/>
    <x v="0"/>
    <x v="0"/>
    <x v="0"/>
    <x v="3"/>
    <x v="1"/>
    <n v="0"/>
    <n v="0"/>
    <n v="1.821"/>
    <n v="1.821"/>
    <n v="1.821"/>
    <n v="1.821"/>
    <n v="0"/>
    <x v="1"/>
    <n v="0"/>
    <n v="0"/>
    <n v="75"/>
    <n v="76"/>
    <n v="0"/>
    <n v="735.45"/>
    <n v="230.03"/>
    <m/>
    <n v="697.23182579068418"/>
    <n v="282.91739971702214"/>
    <n v="0"/>
    <n v="1339.2544500000001"/>
    <n v="418.88463000000002"/>
    <n v="0"/>
    <n v="1269.6591547648359"/>
    <n v="515.19258488469734"/>
  </r>
  <r>
    <s v="Regular"/>
    <x v="4"/>
    <x v="3"/>
    <x v="1"/>
    <x v="0"/>
    <x v="0"/>
    <x v="0"/>
    <x v="3"/>
    <x v="2"/>
    <n v="0"/>
    <n v="0"/>
    <n v="0.15"/>
    <n v="0.15"/>
    <n v="0.15"/>
    <n v="0.15"/>
    <n v="0"/>
    <x v="1"/>
    <n v="0"/>
    <n v="0"/>
    <n v="75"/>
    <n v="76"/>
    <n v="0"/>
    <n v="735.45"/>
    <n v="230.03"/>
    <m/>
    <n v="697.23182579068418"/>
    <n v="282.91739971702214"/>
    <n v="0"/>
    <n v="110.31750000000001"/>
    <n v="34.5045"/>
    <n v="0"/>
    <n v="104.58477386860262"/>
    <n v="42.43760995755332"/>
  </r>
  <r>
    <s v="Regular"/>
    <x v="4"/>
    <x v="3"/>
    <x v="1"/>
    <x v="0"/>
    <x v="0"/>
    <x v="0"/>
    <x v="3"/>
    <x v="3"/>
    <n v="0"/>
    <n v="0"/>
    <n v="0.11899999999999999"/>
    <n v="0.11899999999999999"/>
    <n v="0.11899999999999999"/>
    <n v="0.11899999999999999"/>
    <n v="0"/>
    <x v="1"/>
    <n v="0"/>
    <n v="0"/>
    <n v="75"/>
    <n v="76"/>
    <n v="0"/>
    <n v="735.45"/>
    <n v="230.03"/>
    <m/>
    <n v="697.23182579068418"/>
    <n v="282.91739971702214"/>
    <n v="0"/>
    <n v="87.518550000000005"/>
    <n v="27.373569999999997"/>
    <n v="0"/>
    <n v="82.970587269091411"/>
    <n v="33.66717056632563"/>
  </r>
  <r>
    <s v="Regular"/>
    <x v="4"/>
    <x v="3"/>
    <x v="1"/>
    <x v="0"/>
    <x v="0"/>
    <x v="0"/>
    <x v="3"/>
    <x v="4"/>
    <n v="0"/>
    <n v="0"/>
    <n v="0.14699999999999999"/>
    <n v="0.14699999999999999"/>
    <n v="0.14699999999999999"/>
    <n v="0.14699999999999999"/>
    <n v="0"/>
    <x v="1"/>
    <n v="0"/>
    <n v="0"/>
    <n v="75"/>
    <n v="76"/>
    <n v="0"/>
    <n v="735.45"/>
    <n v="230.03"/>
    <m/>
    <n v="697.23182579068418"/>
    <n v="282.91739971702214"/>
    <n v="0"/>
    <n v="108.11114999999999"/>
    <n v="33.814409999999995"/>
    <n v="0"/>
    <n v="102.49307839123057"/>
    <n v="41.588857758402249"/>
  </r>
  <r>
    <s v="Regular"/>
    <x v="4"/>
    <x v="3"/>
    <x v="1"/>
    <x v="0"/>
    <x v="0"/>
    <x v="0"/>
    <x v="3"/>
    <x v="5"/>
    <n v="0"/>
    <n v="0"/>
    <n v="0.14399999999999999"/>
    <n v="0.14399999999999999"/>
    <n v="0.14399999999999999"/>
    <n v="0.14399999999999999"/>
    <n v="0"/>
    <x v="1"/>
    <n v="0"/>
    <n v="0"/>
    <n v="75"/>
    <n v="76"/>
    <n v="0"/>
    <n v="735.45"/>
    <n v="230.03"/>
    <m/>
    <n v="697.23182579068418"/>
    <n v="282.91739971702214"/>
    <n v="0"/>
    <n v="105.90479999999999"/>
    <n v="33.124319999999997"/>
    <n v="0"/>
    <n v="100.40138291385851"/>
    <n v="40.740105559251184"/>
  </r>
  <r>
    <s v="Regular"/>
    <x v="4"/>
    <x v="3"/>
    <x v="1"/>
    <x v="0"/>
    <x v="0"/>
    <x v="0"/>
    <x v="3"/>
    <x v="6"/>
    <n v="0"/>
    <n v="0"/>
    <n v="0.14899999999999999"/>
    <n v="0.14899999999999999"/>
    <n v="0.14899999999999999"/>
    <n v="0.14899999999999999"/>
    <n v="0"/>
    <x v="1"/>
    <n v="0"/>
    <n v="0"/>
    <n v="75"/>
    <n v="76"/>
    <n v="0"/>
    <n v="735.45"/>
    <n v="230.03"/>
    <m/>
    <n v="697.23182579068418"/>
    <n v="282.91739971702214"/>
    <n v="0"/>
    <n v="109.58205"/>
    <n v="34.274470000000001"/>
    <n v="0"/>
    <n v="103.88754204281194"/>
    <n v="42.154692557836299"/>
  </r>
  <r>
    <s v="Regular"/>
    <x v="4"/>
    <x v="3"/>
    <x v="1"/>
    <x v="0"/>
    <x v="0"/>
    <x v="0"/>
    <x v="3"/>
    <x v="7"/>
    <n v="0"/>
    <n v="0"/>
    <n v="0.16800000000000001"/>
    <n v="0.16800000000000001"/>
    <n v="0.16800000000000001"/>
    <n v="0.16800000000000001"/>
    <n v="0"/>
    <x v="1"/>
    <n v="0"/>
    <n v="0"/>
    <n v="75"/>
    <n v="76"/>
    <n v="0"/>
    <n v="735.45"/>
    <n v="230.03"/>
    <m/>
    <n v="697.23182579068418"/>
    <n v="282.91739971702214"/>
    <n v="0"/>
    <n v="123.55560000000001"/>
    <n v="38.645040000000002"/>
    <n v="0"/>
    <n v="117.13494673283495"/>
    <n v="47.530123152459723"/>
  </r>
  <r>
    <s v="Regular"/>
    <x v="4"/>
    <x v="3"/>
    <x v="1"/>
    <x v="0"/>
    <x v="0"/>
    <x v="0"/>
    <x v="3"/>
    <x v="8"/>
    <n v="0"/>
    <n v="0"/>
    <n v="0.09"/>
    <n v="0.09"/>
    <n v="0.09"/>
    <n v="0.09"/>
    <n v="0"/>
    <x v="1"/>
    <n v="0"/>
    <n v="0"/>
    <n v="75"/>
    <n v="76"/>
    <n v="0"/>
    <n v="735.45"/>
    <n v="230.03"/>
    <m/>
    <n v="697.23182579068418"/>
    <n v="282.91739971702214"/>
    <n v="0"/>
    <n v="66.1905"/>
    <n v="20.7027"/>
    <n v="0"/>
    <n v="62.750864321161572"/>
    <n v="25.462565974531991"/>
  </r>
  <r>
    <s v="Regular"/>
    <x v="4"/>
    <x v="3"/>
    <x v="1"/>
    <x v="0"/>
    <x v="0"/>
    <x v="0"/>
    <x v="3"/>
    <x v="9"/>
    <n v="0"/>
    <n v="0"/>
    <n v="0.11700000000000001"/>
    <n v="0.11700000000000001"/>
    <n v="0.11700000000000001"/>
    <n v="0.11700000000000001"/>
    <n v="0"/>
    <x v="1"/>
    <n v="0"/>
    <n v="0"/>
    <n v="75"/>
    <n v="76"/>
    <n v="0"/>
    <n v="735.45"/>
    <n v="230.03"/>
    <m/>
    <n v="697.23182579068418"/>
    <n v="282.91739971702214"/>
    <n v="0"/>
    <n v="86.047650000000004"/>
    <n v="26.913510000000002"/>
    <n v="0"/>
    <n v="81.576123617510049"/>
    <n v="33.101335766891594"/>
  </r>
  <r>
    <s v="Regular"/>
    <x v="4"/>
    <x v="3"/>
    <x v="1"/>
    <x v="0"/>
    <x v="0"/>
    <x v="0"/>
    <x v="3"/>
    <x v="10"/>
    <n v="0"/>
    <n v="0"/>
    <n v="0.20300000000000001"/>
    <n v="0.20300000000000001"/>
    <n v="0.20300000000000001"/>
    <n v="0.20300000000000001"/>
    <n v="0"/>
    <x v="1"/>
    <n v="0"/>
    <n v="0"/>
    <n v="75"/>
    <n v="76"/>
    <n v="0"/>
    <n v="735.45"/>
    <n v="230.03"/>
    <m/>
    <n v="697.23182579068418"/>
    <n v="282.91739971702214"/>
    <n v="0"/>
    <n v="149.29635000000002"/>
    <n v="46.696090000000005"/>
    <n v="0"/>
    <n v="141.53806063550891"/>
    <n v="57.432232142555499"/>
  </r>
  <r>
    <s v="PROJETADO"/>
    <x v="4"/>
    <x v="3"/>
    <x v="1"/>
    <x v="0"/>
    <x v="0"/>
    <x v="0"/>
    <x v="3"/>
    <x v="11"/>
    <n v="0"/>
    <n v="0"/>
    <n v="0.20300000000000001"/>
    <n v="0.20300000000000001"/>
    <n v="0.20300000000000001"/>
    <n v="0.20300000000000001"/>
    <n v="0"/>
    <x v="1"/>
    <n v="0"/>
    <n v="0"/>
    <n v="75"/>
    <n v="76"/>
    <n v="0"/>
    <n v="735.45"/>
    <n v="230.03"/>
    <m/>
    <n v="697.23182579068418"/>
    <n v="282.91739971702214"/>
    <n v="0"/>
    <n v="149.29635000000002"/>
    <n v="46.696090000000005"/>
    <n v="0"/>
    <n v="141.53806063550891"/>
    <n v="57.432232142555499"/>
  </r>
  <r>
    <s v="Regular"/>
    <x v="4"/>
    <x v="3"/>
    <x v="1"/>
    <x v="0"/>
    <x v="0"/>
    <x v="0"/>
    <x v="2"/>
    <x v="0"/>
    <n v="0"/>
    <n v="0"/>
    <n v="0.08"/>
    <n v="0.08"/>
    <n v="0.08"/>
    <n v="0.08"/>
    <n v="0"/>
    <x v="1"/>
    <n v="0"/>
    <n v="0"/>
    <n v="74"/>
    <n v="82"/>
    <n v="0"/>
    <n v="1089.57"/>
    <n v="389.28"/>
    <m/>
    <n v="1096.3710315709229"/>
    <n v="454.3285679284046"/>
    <n v="0"/>
    <n v="87.165599999999998"/>
    <n v="31.142399999999999"/>
    <n v="0"/>
    <n v="87.709682525673841"/>
    <n v="36.346285434272367"/>
  </r>
  <r>
    <s v="Regular"/>
    <x v="4"/>
    <x v="3"/>
    <x v="1"/>
    <x v="0"/>
    <x v="0"/>
    <x v="0"/>
    <x v="2"/>
    <x v="1"/>
    <n v="0"/>
    <n v="0"/>
    <n v="2.472"/>
    <n v="2.472"/>
    <n v="2.472"/>
    <n v="2.472"/>
    <n v="0"/>
    <x v="1"/>
    <n v="0"/>
    <n v="0"/>
    <n v="74"/>
    <n v="82"/>
    <n v="0"/>
    <n v="1089.57"/>
    <n v="389.28"/>
    <m/>
    <n v="1096.3710315709229"/>
    <n v="454.3285679284046"/>
    <n v="0"/>
    <n v="2693.4170399999998"/>
    <n v="962.30015999999989"/>
    <n v="0"/>
    <n v="2710.2291900433215"/>
    <n v="1123.1002199190161"/>
  </r>
  <r>
    <s v="Regular"/>
    <x v="4"/>
    <x v="3"/>
    <x v="1"/>
    <x v="0"/>
    <x v="0"/>
    <x v="0"/>
    <x v="2"/>
    <x v="2"/>
    <n v="0"/>
    <n v="0"/>
    <n v="0.22800000000000001"/>
    <n v="0.22800000000000001"/>
    <n v="0.22800000000000001"/>
    <n v="0.22800000000000001"/>
    <n v="0"/>
    <x v="1"/>
    <n v="0"/>
    <n v="0"/>
    <n v="74"/>
    <n v="82"/>
    <n v="0"/>
    <n v="1089.57"/>
    <n v="389.28"/>
    <m/>
    <n v="1096.3710315709229"/>
    <n v="454.3285679284046"/>
    <n v="0"/>
    <n v="248.42195999999998"/>
    <n v="88.755839999999992"/>
    <n v="0"/>
    <n v="249.97259519817044"/>
    <n v="103.58691348767626"/>
  </r>
  <r>
    <s v="Regular"/>
    <x v="4"/>
    <x v="3"/>
    <x v="1"/>
    <x v="0"/>
    <x v="0"/>
    <x v="0"/>
    <x v="2"/>
    <x v="3"/>
    <n v="0"/>
    <n v="0"/>
    <n v="0.19400000000000001"/>
    <n v="0.19400000000000001"/>
    <n v="0.19400000000000001"/>
    <n v="0.19400000000000001"/>
    <n v="0"/>
    <x v="1"/>
    <n v="0"/>
    <n v="0"/>
    <n v="74"/>
    <n v="82"/>
    <n v="0"/>
    <n v="1089.57"/>
    <n v="389.28"/>
    <m/>
    <n v="1096.3710315709229"/>
    <n v="454.3285679284046"/>
    <n v="0"/>
    <n v="211.37657999999999"/>
    <n v="75.520319999999998"/>
    <n v="0"/>
    <n v="212.69598012475905"/>
    <n v="88.139742178110495"/>
  </r>
  <r>
    <s v="Regular"/>
    <x v="4"/>
    <x v="3"/>
    <x v="1"/>
    <x v="0"/>
    <x v="0"/>
    <x v="0"/>
    <x v="2"/>
    <x v="4"/>
    <n v="0"/>
    <n v="0"/>
    <n v="0.23300000000000001"/>
    <n v="0.23300000000000001"/>
    <n v="0.23300000000000001"/>
    <n v="0.23300000000000001"/>
    <n v="0"/>
    <x v="1"/>
    <n v="0"/>
    <n v="0"/>
    <n v="74"/>
    <n v="82"/>
    <n v="0"/>
    <n v="1089.57"/>
    <n v="389.28"/>
    <m/>
    <n v="1096.3710315709229"/>
    <n v="454.3285679284046"/>
    <n v="0"/>
    <n v="253.86981"/>
    <n v="90.702240000000003"/>
    <n v="0"/>
    <n v="255.45445035602506"/>
    <n v="105.85855632731828"/>
  </r>
  <r>
    <s v="Regular"/>
    <x v="4"/>
    <x v="3"/>
    <x v="1"/>
    <x v="0"/>
    <x v="0"/>
    <x v="0"/>
    <x v="2"/>
    <x v="5"/>
    <n v="0"/>
    <n v="0"/>
    <n v="0.216"/>
    <n v="0.216"/>
    <n v="0.216"/>
    <n v="0.216"/>
    <n v="0"/>
    <x v="1"/>
    <n v="0"/>
    <n v="0"/>
    <n v="74"/>
    <n v="82"/>
    <n v="0"/>
    <n v="1089.57"/>
    <n v="389.28"/>
    <m/>
    <n v="1096.3710315709229"/>
    <n v="454.3285679284046"/>
    <n v="0"/>
    <n v="235.34711999999999"/>
    <n v="84.084479999999999"/>
    <n v="0"/>
    <n v="236.81614281931934"/>
    <n v="98.134970672535388"/>
  </r>
  <r>
    <s v="Regular"/>
    <x v="4"/>
    <x v="3"/>
    <x v="1"/>
    <x v="0"/>
    <x v="0"/>
    <x v="0"/>
    <x v="2"/>
    <x v="6"/>
    <n v="0"/>
    <n v="0"/>
    <n v="0.23300000000000001"/>
    <n v="0.23300000000000001"/>
    <n v="0.23300000000000001"/>
    <n v="0.23300000000000001"/>
    <n v="0"/>
    <x v="1"/>
    <n v="0"/>
    <n v="0"/>
    <n v="74"/>
    <n v="82"/>
    <n v="0"/>
    <n v="1089.57"/>
    <n v="389.28"/>
    <m/>
    <n v="1096.3710315709229"/>
    <n v="454.3285679284046"/>
    <n v="0"/>
    <n v="253.86981"/>
    <n v="90.702240000000003"/>
    <n v="0"/>
    <n v="255.45445035602506"/>
    <n v="105.85855632731828"/>
  </r>
  <r>
    <s v="Regular"/>
    <x v="4"/>
    <x v="3"/>
    <x v="1"/>
    <x v="0"/>
    <x v="0"/>
    <x v="0"/>
    <x v="2"/>
    <x v="7"/>
    <n v="0"/>
    <n v="0"/>
    <n v="0.25900000000000001"/>
    <n v="0.25900000000000001"/>
    <n v="0.25900000000000001"/>
    <n v="0.25900000000000001"/>
    <n v="0"/>
    <x v="1"/>
    <n v="0"/>
    <n v="0"/>
    <n v="74"/>
    <n v="82"/>
    <n v="0"/>
    <n v="1089.57"/>
    <n v="389.28"/>
    <m/>
    <n v="1096.3710315709229"/>
    <n v="454.3285679284046"/>
    <n v="0"/>
    <n v="282.19862999999998"/>
    <n v="100.82352"/>
    <n v="0"/>
    <n v="283.96009717686906"/>
    <n v="117.67109909345679"/>
  </r>
  <r>
    <s v="Regular"/>
    <x v="4"/>
    <x v="3"/>
    <x v="1"/>
    <x v="0"/>
    <x v="0"/>
    <x v="0"/>
    <x v="2"/>
    <x v="8"/>
    <n v="0"/>
    <n v="0"/>
    <n v="0.13800000000000001"/>
    <n v="0.13800000000000001"/>
    <n v="0.13800000000000001"/>
    <n v="0.13800000000000001"/>
    <n v="0"/>
    <x v="1"/>
    <n v="0"/>
    <n v="0"/>
    <n v="74"/>
    <n v="82"/>
    <n v="0"/>
    <n v="1089.57"/>
    <n v="389.28"/>
    <m/>
    <n v="1096.3710315709229"/>
    <n v="454.3285679284046"/>
    <n v="0"/>
    <n v="150.36066"/>
    <n v="53.720640000000003"/>
    <n v="0"/>
    <n v="151.29920235678739"/>
    <n v="62.697342374119842"/>
  </r>
  <r>
    <s v="Regular"/>
    <x v="4"/>
    <x v="3"/>
    <x v="1"/>
    <x v="0"/>
    <x v="0"/>
    <x v="0"/>
    <x v="2"/>
    <x v="9"/>
    <n v="0"/>
    <n v="0"/>
    <n v="0.19700000000000001"/>
    <n v="0.19700000000000001"/>
    <n v="0.19700000000000001"/>
    <n v="0.19700000000000001"/>
    <n v="0"/>
    <x v="1"/>
    <n v="0"/>
    <n v="0"/>
    <n v="74"/>
    <n v="82"/>
    <n v="0"/>
    <n v="1089.57"/>
    <n v="389.28"/>
    <m/>
    <n v="1096.3710315709229"/>
    <n v="454.3285679284046"/>
    <n v="0"/>
    <n v="214.64528999999999"/>
    <n v="76.688159999999996"/>
    <n v="0"/>
    <n v="215.98509321947182"/>
    <n v="89.502727881895709"/>
  </r>
  <r>
    <s v="Regular"/>
    <x v="4"/>
    <x v="3"/>
    <x v="1"/>
    <x v="0"/>
    <x v="0"/>
    <x v="0"/>
    <x v="2"/>
    <x v="10"/>
    <n v="0"/>
    <n v="0"/>
    <n v="0.3"/>
    <n v="0.3"/>
    <n v="0.3"/>
    <n v="0.3"/>
    <n v="0"/>
    <x v="1"/>
    <n v="0"/>
    <n v="0"/>
    <n v="74"/>
    <n v="82"/>
    <n v="0"/>
    <n v="1089.57"/>
    <n v="389.28"/>
    <m/>
    <n v="1096.3710315709229"/>
    <n v="454.3285679284046"/>
    <n v="0"/>
    <n v="326.87099999999998"/>
    <n v="116.78399999999999"/>
    <n v="0"/>
    <n v="328.91130947127687"/>
    <n v="136.29857037852136"/>
  </r>
  <r>
    <s v="PROJETADO"/>
    <x v="4"/>
    <x v="3"/>
    <x v="1"/>
    <x v="0"/>
    <x v="0"/>
    <x v="0"/>
    <x v="2"/>
    <x v="11"/>
    <n v="0"/>
    <n v="0"/>
    <n v="0.3"/>
    <n v="0.3"/>
    <n v="0.3"/>
    <n v="0.3"/>
    <n v="0"/>
    <x v="1"/>
    <n v="0"/>
    <n v="0"/>
    <n v="74"/>
    <n v="82"/>
    <n v="0"/>
    <n v="1089.57"/>
    <n v="389.28"/>
    <m/>
    <n v="1096.3710315709229"/>
    <n v="454.3285679284046"/>
    <n v="0"/>
    <n v="326.87099999999998"/>
    <n v="116.78399999999999"/>
    <n v="0"/>
    <n v="328.91130947127687"/>
    <n v="136.29857037852136"/>
  </r>
  <r>
    <s v="Regular"/>
    <x v="4"/>
    <x v="3"/>
    <x v="2"/>
    <x v="0"/>
    <x v="0"/>
    <x v="0"/>
    <x v="0"/>
    <x v="0"/>
    <n v="0"/>
    <n v="0"/>
    <n v="46.802999999999997"/>
    <n v="46.802999999999997"/>
    <n v="46.802999999999997"/>
    <n v="46.802999999999997"/>
    <n v="0"/>
    <x v="1"/>
    <n v="0"/>
    <n v="0"/>
    <n v="71"/>
    <n v="77"/>
    <n v="0"/>
    <n v="381.34"/>
    <n v="230.03"/>
    <m/>
    <n v="298.09263089865954"/>
    <n v="282.91739971702214"/>
    <n v="0"/>
    <n v="17847.856019999999"/>
    <n v="10766.094089999999"/>
    <n v="0"/>
    <n v="13951.629403949961"/>
    <n v="13241.383058955786"/>
  </r>
  <r>
    <s v="Refaturamento - Regular"/>
    <x v="4"/>
    <x v="3"/>
    <x v="2"/>
    <x v="0"/>
    <x v="0"/>
    <x v="0"/>
    <x v="0"/>
    <x v="0"/>
    <n v="0"/>
    <n v="0"/>
    <n v="-0.2"/>
    <n v="-0.2"/>
    <n v="-0.2"/>
    <n v="-0.2"/>
    <n v="0"/>
    <x v="1"/>
    <n v="0"/>
    <n v="0"/>
    <n v="71"/>
    <n v="77"/>
    <n v="0"/>
    <n v="381.34"/>
    <n v="230.03"/>
    <m/>
    <n v="298.09263089865954"/>
    <n v="282.91739971702214"/>
    <n v="0"/>
    <n v="-76.268000000000001"/>
    <n v="-46.006"/>
    <n v="0"/>
    <n v="-59.618526179731909"/>
    <n v="-56.583479943404427"/>
  </r>
  <r>
    <s v="Regular"/>
    <x v="4"/>
    <x v="3"/>
    <x v="2"/>
    <x v="0"/>
    <x v="0"/>
    <x v="0"/>
    <x v="0"/>
    <x v="1"/>
    <n v="0"/>
    <n v="0"/>
    <n v="47.774999999999999"/>
    <n v="47.774999999999999"/>
    <n v="47.774999999999999"/>
    <n v="47.774999999999999"/>
    <n v="0"/>
    <x v="1"/>
    <n v="0"/>
    <n v="0"/>
    <n v="71"/>
    <n v="77"/>
    <n v="0"/>
    <n v="381.34"/>
    <n v="230.03"/>
    <m/>
    <n v="298.09263089865954"/>
    <n v="282.91739971702214"/>
    <n v="0"/>
    <n v="18218.518499999998"/>
    <n v="10989.68325"/>
    <n v="0"/>
    <n v="14241.37544118346"/>
    <n v="13516.378771480731"/>
  </r>
  <r>
    <s v="Regular"/>
    <x v="4"/>
    <x v="3"/>
    <x v="2"/>
    <x v="0"/>
    <x v="0"/>
    <x v="0"/>
    <x v="0"/>
    <x v="2"/>
    <n v="0"/>
    <n v="0"/>
    <n v="35.942999999999998"/>
    <n v="35.942999999999998"/>
    <n v="35.942999999999998"/>
    <n v="35.942999999999998"/>
    <n v="0"/>
    <x v="1"/>
    <n v="0"/>
    <n v="0"/>
    <n v="71"/>
    <n v="77"/>
    <n v="0"/>
    <n v="381.34"/>
    <n v="230.03"/>
    <m/>
    <n v="298.09263089865954"/>
    <n v="282.91739971702214"/>
    <n v="0"/>
    <n v="13706.503619999998"/>
    <n v="8267.9682899999989"/>
    <n v="0"/>
    <n v="10714.343432390519"/>
    <n v="10168.900098028926"/>
  </r>
  <r>
    <s v="Refaturamento - Regular"/>
    <x v="4"/>
    <x v="3"/>
    <x v="2"/>
    <x v="0"/>
    <x v="0"/>
    <x v="0"/>
    <x v="0"/>
    <x v="2"/>
    <n v="0"/>
    <n v="0"/>
    <n v="-8.9130000000000003"/>
    <n v="-8.9130000000000003"/>
    <n v="-8.9130000000000003"/>
    <n v="-8.9130000000000003"/>
    <n v="0"/>
    <x v="1"/>
    <n v="0"/>
    <n v="0"/>
    <n v="71"/>
    <n v="77"/>
    <n v="0"/>
    <n v="381.34"/>
    <n v="230.03"/>
    <m/>
    <n v="298.09263089865954"/>
    <n v="282.91739971702214"/>
    <n v="0"/>
    <n v="-3398.8834199999997"/>
    <n v="-2050.2573900000002"/>
    <n v="0"/>
    <n v="-2656.8996191997526"/>
    <n v="-2521.6427836778184"/>
  </r>
  <r>
    <s v="Regular"/>
    <x v="4"/>
    <x v="3"/>
    <x v="2"/>
    <x v="0"/>
    <x v="0"/>
    <x v="0"/>
    <x v="0"/>
    <x v="3"/>
    <n v="0"/>
    <n v="0"/>
    <n v="26.614999999999998"/>
    <n v="26.614999999999998"/>
    <n v="26.614999999999998"/>
    <n v="26.614999999999998"/>
    <n v="0"/>
    <x v="1"/>
    <n v="0"/>
    <n v="0"/>
    <n v="71"/>
    <n v="77"/>
    <n v="0"/>
    <n v="381.34"/>
    <n v="230.03"/>
    <m/>
    <n v="298.09263089865954"/>
    <n v="282.91739971702214"/>
    <n v="0"/>
    <n v="10149.364099999999"/>
    <n v="6122.24845"/>
    <n v="0"/>
    <n v="7933.7353713678231"/>
    <n v="7529.8465934685437"/>
  </r>
  <r>
    <s v="Sistema Isolado - Regular"/>
    <x v="4"/>
    <x v="3"/>
    <x v="2"/>
    <x v="0"/>
    <x v="0"/>
    <x v="0"/>
    <x v="0"/>
    <x v="3"/>
    <n v="0"/>
    <n v="0"/>
    <n v="0.32700000000000001"/>
    <n v="0.32700000000000001"/>
    <n v="0.32700000000000001"/>
    <n v="0.32700000000000001"/>
    <n v="0"/>
    <x v="1"/>
    <n v="0"/>
    <n v="0"/>
    <n v="71"/>
    <n v="77"/>
    <n v="0"/>
    <n v="381.34"/>
    <n v="230.03"/>
    <m/>
    <n v="298.09263089865954"/>
    <n v="282.91739971702214"/>
    <n v="0"/>
    <n v="124.69817999999999"/>
    <n v="75.21981000000001"/>
    <n v="0"/>
    <n v="97.476290303861674"/>
    <n v="92.513989707466237"/>
  </r>
  <r>
    <s v="Regular"/>
    <x v="4"/>
    <x v="3"/>
    <x v="2"/>
    <x v="0"/>
    <x v="0"/>
    <x v="0"/>
    <x v="0"/>
    <x v="4"/>
    <n v="0"/>
    <n v="0"/>
    <n v="34.084000000000003"/>
    <n v="34.084000000000003"/>
    <n v="34.084000000000003"/>
    <n v="34.084000000000003"/>
    <n v="0"/>
    <x v="1"/>
    <n v="0"/>
    <n v="0"/>
    <n v="71"/>
    <n v="77"/>
    <n v="0"/>
    <n v="381.34"/>
    <n v="230.03"/>
    <m/>
    <n v="298.09263089865954"/>
    <n v="282.91739971702214"/>
    <n v="0"/>
    <n v="12997.592560000001"/>
    <n v="7840.3425200000011"/>
    <n v="0"/>
    <n v="10160.189231549912"/>
    <n v="9642.9566519549826"/>
  </r>
  <r>
    <s v="Sistema Isolado - Regular"/>
    <x v="4"/>
    <x v="3"/>
    <x v="2"/>
    <x v="0"/>
    <x v="0"/>
    <x v="0"/>
    <x v="0"/>
    <x v="4"/>
    <n v="0"/>
    <n v="0"/>
    <n v="3.67"/>
    <n v="3.67"/>
    <n v="3.67"/>
    <n v="3.67"/>
    <n v="0"/>
    <x v="1"/>
    <n v="0"/>
    <n v="0"/>
    <n v="71"/>
    <n v="77"/>
    <n v="0"/>
    <n v="381.34"/>
    <n v="230.03"/>
    <m/>
    <n v="298.09263089865954"/>
    <n v="282.91739971702214"/>
    <n v="0"/>
    <n v="1399.5177999999999"/>
    <n v="844.21010000000001"/>
    <n v="0"/>
    <n v="1093.9999553980804"/>
    <n v="1038.3068569614711"/>
  </r>
  <r>
    <s v="Regular"/>
    <x v="4"/>
    <x v="3"/>
    <x v="2"/>
    <x v="0"/>
    <x v="0"/>
    <x v="0"/>
    <x v="0"/>
    <x v="5"/>
    <n v="0"/>
    <n v="0"/>
    <n v="31.145"/>
    <n v="31.145"/>
    <n v="31.145"/>
    <n v="31.145"/>
    <n v="0"/>
    <x v="1"/>
    <n v="0"/>
    <n v="0"/>
    <n v="71"/>
    <n v="77"/>
    <n v="0"/>
    <n v="381.34"/>
    <n v="230.03"/>
    <m/>
    <n v="298.09263089865954"/>
    <n v="282.91739971702214"/>
    <n v="0"/>
    <n v="11876.834299999999"/>
    <n v="7164.2843499999999"/>
    <n v="0"/>
    <n v="9284.0949893387515"/>
    <n v="8811.4624141866534"/>
  </r>
  <r>
    <s v="Sistema Isolado - Regular"/>
    <x v="4"/>
    <x v="3"/>
    <x v="2"/>
    <x v="0"/>
    <x v="0"/>
    <x v="0"/>
    <x v="0"/>
    <x v="5"/>
    <n v="0"/>
    <n v="0"/>
    <n v="5.798"/>
    <n v="5.798"/>
    <n v="5.798"/>
    <n v="5.798"/>
    <n v="0"/>
    <x v="1"/>
    <n v="0"/>
    <n v="0"/>
    <n v="71"/>
    <n v="77"/>
    <n v="0"/>
    <n v="381.34"/>
    <n v="230.03"/>
    <m/>
    <n v="298.09263089865954"/>
    <n v="282.91739971702214"/>
    <n v="0"/>
    <n v="2211.0093199999997"/>
    <n v="1333.7139400000001"/>
    <n v="0"/>
    <n v="1728.3410739504279"/>
    <n v="1640.3550835592944"/>
  </r>
  <r>
    <s v="Regular"/>
    <x v="4"/>
    <x v="3"/>
    <x v="2"/>
    <x v="0"/>
    <x v="0"/>
    <x v="0"/>
    <x v="0"/>
    <x v="6"/>
    <n v="0"/>
    <n v="0"/>
    <n v="16.847999999999999"/>
    <n v="16.847999999999999"/>
    <n v="16.847999999999999"/>
    <n v="16.847999999999999"/>
    <n v="0"/>
    <x v="1"/>
    <n v="0"/>
    <n v="0"/>
    <n v="71"/>
    <n v="77"/>
    <n v="0"/>
    <n v="381.34"/>
    <n v="230.03"/>
    <m/>
    <n v="298.09263089865954"/>
    <n v="282.91739971702214"/>
    <n v="0"/>
    <n v="6424.816319999999"/>
    <n v="3875.5454399999999"/>
    <n v="0"/>
    <n v="5022.2646453806155"/>
    <n v="4766.5923504323882"/>
  </r>
  <r>
    <s v="Sistema Isolado - Regular"/>
    <x v="4"/>
    <x v="3"/>
    <x v="2"/>
    <x v="0"/>
    <x v="0"/>
    <x v="0"/>
    <x v="0"/>
    <x v="6"/>
    <n v="0"/>
    <n v="0"/>
    <n v="13.352"/>
    <n v="13.352"/>
    <n v="13.352"/>
    <n v="13.352"/>
    <n v="0"/>
    <x v="1"/>
    <n v="0"/>
    <n v="0"/>
    <n v="71"/>
    <n v="77"/>
    <n v="0"/>
    <n v="381.34"/>
    <n v="230.03"/>
    <m/>
    <n v="298.09263089865954"/>
    <n v="282.91739971702214"/>
    <n v="0"/>
    <n v="5091.6516799999999"/>
    <n v="3071.3605600000001"/>
    <n v="0"/>
    <n v="3980.1328077589023"/>
    <n v="3777.5131210216796"/>
  </r>
  <r>
    <s v="Regular"/>
    <x v="4"/>
    <x v="3"/>
    <x v="2"/>
    <x v="0"/>
    <x v="0"/>
    <x v="0"/>
    <x v="0"/>
    <x v="7"/>
    <n v="0"/>
    <n v="0"/>
    <n v="18.137"/>
    <n v="18.137"/>
    <n v="18.137"/>
    <n v="18.137"/>
    <n v="0"/>
    <x v="1"/>
    <n v="0"/>
    <n v="0"/>
    <n v="71"/>
    <n v="77"/>
    <n v="0"/>
    <n v="381.34"/>
    <n v="230.03"/>
    <m/>
    <n v="298.09263089865954"/>
    <n v="282.91739971702214"/>
    <n v="0"/>
    <n v="6916.3635799999993"/>
    <n v="4172.05411"/>
    <n v="0"/>
    <n v="5406.5060466089881"/>
    <n v="5131.2728786676307"/>
  </r>
  <r>
    <s v="Sistema Isolado - Regular"/>
    <x v="4"/>
    <x v="3"/>
    <x v="2"/>
    <x v="0"/>
    <x v="0"/>
    <x v="0"/>
    <x v="0"/>
    <x v="7"/>
    <n v="0"/>
    <n v="0"/>
    <n v="14.135999999999999"/>
    <n v="14.135999999999999"/>
    <n v="14.135999999999999"/>
    <n v="14.135999999999999"/>
    <n v="0"/>
    <x v="1"/>
    <n v="0"/>
    <n v="0"/>
    <n v="71"/>
    <n v="77"/>
    <n v="0"/>
    <n v="381.34"/>
    <n v="230.03"/>
    <m/>
    <n v="298.09263089865954"/>
    <n v="282.91739971702214"/>
    <n v="0"/>
    <n v="5390.6222399999997"/>
    <n v="3251.70408"/>
    <n v="0"/>
    <n v="4213.8374303834507"/>
    <n v="3999.3203623998247"/>
  </r>
  <r>
    <s v="Regular"/>
    <x v="4"/>
    <x v="3"/>
    <x v="2"/>
    <x v="0"/>
    <x v="0"/>
    <x v="0"/>
    <x v="0"/>
    <x v="8"/>
    <n v="0"/>
    <n v="0"/>
    <n v="17.913"/>
    <n v="17.913"/>
    <n v="17.913"/>
    <n v="17.913"/>
    <n v="0"/>
    <x v="1"/>
    <n v="0"/>
    <n v="0"/>
    <n v="71"/>
    <n v="77"/>
    <n v="0"/>
    <n v="381.34"/>
    <n v="230.03"/>
    <m/>
    <n v="298.09263089865954"/>
    <n v="282.91739971702214"/>
    <n v="0"/>
    <n v="6830.9434199999996"/>
    <n v="4120.5273900000002"/>
    <n v="0"/>
    <n v="5339.7332972876884"/>
    <n v="5067.8993811310174"/>
  </r>
  <r>
    <s v="Sistema Isolado - Regular"/>
    <x v="4"/>
    <x v="3"/>
    <x v="2"/>
    <x v="0"/>
    <x v="0"/>
    <x v="0"/>
    <x v="0"/>
    <x v="8"/>
    <n v="0"/>
    <n v="0"/>
    <n v="12.96"/>
    <n v="12.96"/>
    <n v="12.96"/>
    <n v="12.96"/>
    <n v="0"/>
    <x v="1"/>
    <n v="0"/>
    <n v="0"/>
    <n v="71"/>
    <n v="77"/>
    <n v="0"/>
    <n v="381.34"/>
    <n v="230.03"/>
    <m/>
    <n v="298.09263089865954"/>
    <n v="282.91739971702214"/>
    <n v="0"/>
    <n v="4942.1664000000001"/>
    <n v="2981.1888000000004"/>
    <n v="0"/>
    <n v="3863.2804964466277"/>
    <n v="3666.6095003326072"/>
  </r>
  <r>
    <s v="Regular"/>
    <x v="4"/>
    <x v="3"/>
    <x v="2"/>
    <x v="0"/>
    <x v="0"/>
    <x v="0"/>
    <x v="0"/>
    <x v="9"/>
    <n v="0"/>
    <n v="0"/>
    <n v="21.78"/>
    <n v="21.78"/>
    <n v="21.78"/>
    <n v="21.78"/>
    <n v="0"/>
    <x v="1"/>
    <n v="0"/>
    <n v="0"/>
    <n v="71"/>
    <n v="77"/>
    <n v="0"/>
    <n v="381.34"/>
    <n v="230.03"/>
    <m/>
    <n v="298.09263089865954"/>
    <n v="282.91739971702214"/>
    <n v="0"/>
    <n v="8305.5851999999995"/>
    <n v="5010.0534000000007"/>
    <n v="0"/>
    <n v="6492.4575009728051"/>
    <n v="6161.9409658367422"/>
  </r>
  <r>
    <s v="Sistema Isolado - Regular"/>
    <x v="4"/>
    <x v="3"/>
    <x v="2"/>
    <x v="0"/>
    <x v="0"/>
    <x v="0"/>
    <x v="0"/>
    <x v="9"/>
    <n v="0"/>
    <n v="0"/>
    <n v="16.693999999999999"/>
    <n v="16.693999999999999"/>
    <n v="16.693999999999999"/>
    <n v="16.693999999999999"/>
    <n v="0"/>
    <x v="1"/>
    <n v="0"/>
    <n v="0"/>
    <n v="71"/>
    <n v="77"/>
    <n v="0"/>
    <n v="381.34"/>
    <n v="230.03"/>
    <m/>
    <n v="298.09263089865954"/>
    <n v="282.91739971702214"/>
    <n v="0"/>
    <n v="6366.0899599999993"/>
    <n v="3840.1208199999996"/>
    <n v="0"/>
    <n v="4976.358380222222"/>
    <n v="4723.0230708759673"/>
  </r>
  <r>
    <s v="Regular"/>
    <x v="4"/>
    <x v="3"/>
    <x v="2"/>
    <x v="0"/>
    <x v="0"/>
    <x v="0"/>
    <x v="0"/>
    <x v="10"/>
    <n v="0"/>
    <n v="0"/>
    <n v="19.422999999999998"/>
    <n v="19.422999999999998"/>
    <n v="19.422999999999998"/>
    <n v="19.422999999999998"/>
    <n v="0"/>
    <x v="1"/>
    <n v="0"/>
    <n v="0"/>
    <n v="71"/>
    <n v="77"/>
    <n v="0"/>
    <n v="381.34"/>
    <n v="230.03"/>
    <m/>
    <n v="298.09263089865954"/>
    <n v="282.91739971702214"/>
    <n v="0"/>
    <n v="7406.7668199999989"/>
    <n v="4467.8726899999992"/>
    <n v="0"/>
    <n v="5789.8531699446639"/>
    <n v="5495.1046547037204"/>
  </r>
  <r>
    <s v="Sistema Isolado - Regular"/>
    <x v="4"/>
    <x v="3"/>
    <x v="2"/>
    <x v="0"/>
    <x v="0"/>
    <x v="0"/>
    <x v="0"/>
    <x v="10"/>
    <n v="0"/>
    <n v="0"/>
    <n v="15.843999999999999"/>
    <n v="15.843999999999999"/>
    <n v="15.843999999999999"/>
    <n v="15.843999999999999"/>
    <n v="0"/>
    <x v="1"/>
    <n v="0"/>
    <n v="0"/>
    <n v="71"/>
    <n v="77"/>
    <n v="0"/>
    <n v="381.34"/>
    <n v="230.03"/>
    <m/>
    <n v="298.09263089865954"/>
    <n v="282.91739971702214"/>
    <n v="0"/>
    <n v="6041.9509599999992"/>
    <n v="3644.5953199999999"/>
    <n v="0"/>
    <n v="4722.9796439583615"/>
    <n v="4482.5432811164983"/>
  </r>
  <r>
    <s v="PROJETADO"/>
    <x v="4"/>
    <x v="3"/>
    <x v="2"/>
    <x v="0"/>
    <x v="0"/>
    <x v="0"/>
    <x v="0"/>
    <x v="11"/>
    <n v="0"/>
    <n v="0"/>
    <n v="19.422999999999998"/>
    <n v="19.422999999999998"/>
    <n v="19.422999999999998"/>
    <n v="19.422999999999998"/>
    <n v="0"/>
    <x v="1"/>
    <n v="0"/>
    <n v="0"/>
    <n v="71"/>
    <n v="77"/>
    <n v="0"/>
    <n v="381.34"/>
    <n v="230.03"/>
    <m/>
    <n v="298.09263089865954"/>
    <n v="282.91739971702214"/>
    <n v="0"/>
    <n v="7406.7668199999989"/>
    <n v="4467.8726899999992"/>
    <n v="0"/>
    <n v="5789.8531699446639"/>
    <n v="5495.1046547037204"/>
  </r>
  <r>
    <s v="PROJETADO"/>
    <x v="4"/>
    <x v="3"/>
    <x v="2"/>
    <x v="0"/>
    <x v="0"/>
    <x v="0"/>
    <x v="0"/>
    <x v="11"/>
    <n v="0"/>
    <n v="0"/>
    <n v="15.843999999999999"/>
    <n v="15.843999999999999"/>
    <n v="15.843999999999999"/>
    <n v="15.843999999999999"/>
    <n v="0"/>
    <x v="1"/>
    <n v="0"/>
    <n v="0"/>
    <n v="71"/>
    <n v="77"/>
    <n v="0"/>
    <n v="381.34"/>
    <n v="230.03"/>
    <m/>
    <n v="298.09263089865954"/>
    <n v="282.91739971702214"/>
    <n v="0"/>
    <n v="6041.9509599999992"/>
    <n v="3644.5953199999999"/>
    <n v="0"/>
    <n v="4722.9796439583615"/>
    <n v="4482.5432811164983"/>
  </r>
  <r>
    <s v="Regular"/>
    <x v="4"/>
    <x v="3"/>
    <x v="2"/>
    <x v="0"/>
    <x v="0"/>
    <x v="0"/>
    <x v="3"/>
    <x v="0"/>
    <n v="0"/>
    <n v="0"/>
    <n v="1.306"/>
    <n v="1.306"/>
    <n v="1.306"/>
    <n v="1.306"/>
    <n v="0"/>
    <x v="1"/>
    <n v="0"/>
    <n v="0"/>
    <n v="75"/>
    <n v="76"/>
    <n v="0"/>
    <n v="735.45"/>
    <n v="230.03"/>
    <m/>
    <n v="697.23182579068418"/>
    <n v="282.91739971702214"/>
    <n v="0"/>
    <n v="960.49770000000012"/>
    <n v="300.41918000000004"/>
    <n v="0"/>
    <n v="910.58476448263355"/>
    <n v="369.49012403043093"/>
  </r>
  <r>
    <s v="Regular"/>
    <x v="4"/>
    <x v="3"/>
    <x v="2"/>
    <x v="0"/>
    <x v="0"/>
    <x v="0"/>
    <x v="3"/>
    <x v="1"/>
    <n v="0"/>
    <n v="0"/>
    <n v="1.536"/>
    <n v="1.536"/>
    <n v="1.536"/>
    <n v="1.536"/>
    <n v="0"/>
    <x v="1"/>
    <n v="0"/>
    <n v="0"/>
    <n v="75"/>
    <n v="76"/>
    <n v="0"/>
    <n v="735.45"/>
    <n v="230.03"/>
    <m/>
    <n v="697.23182579068418"/>
    <n v="282.91739971702214"/>
    <n v="0"/>
    <n v="1129.6512"/>
    <n v="353.32607999999999"/>
    <n v="0"/>
    <n v="1070.9480844144909"/>
    <n v="434.56112596534604"/>
  </r>
  <r>
    <s v="Regular"/>
    <x v="4"/>
    <x v="3"/>
    <x v="2"/>
    <x v="0"/>
    <x v="0"/>
    <x v="0"/>
    <x v="3"/>
    <x v="2"/>
    <n v="0"/>
    <n v="0"/>
    <n v="1.1679999999999999"/>
    <n v="1.1679999999999999"/>
    <n v="1.1679999999999999"/>
    <n v="1.1679999999999999"/>
    <n v="0"/>
    <x v="1"/>
    <n v="0"/>
    <n v="0"/>
    <n v="75"/>
    <n v="76"/>
    <n v="0"/>
    <n v="735.45"/>
    <n v="230.03"/>
    <m/>
    <n v="697.23182579068418"/>
    <n v="282.91739971702214"/>
    <n v="0"/>
    <n v="859.00559999999996"/>
    <n v="268.67503999999997"/>
    <n v="0"/>
    <n v="814.3667725235191"/>
    <n v="330.44752286948182"/>
  </r>
  <r>
    <s v="Refaturamento - Regular"/>
    <x v="4"/>
    <x v="3"/>
    <x v="2"/>
    <x v="0"/>
    <x v="0"/>
    <x v="0"/>
    <x v="3"/>
    <x v="2"/>
    <n v="0"/>
    <n v="0"/>
    <n v="-1.7000000000000001E-2"/>
    <n v="-1.7000000000000001E-2"/>
    <n v="-1.7000000000000001E-2"/>
    <n v="-1.7000000000000001E-2"/>
    <n v="0"/>
    <x v="1"/>
    <n v="0"/>
    <n v="0"/>
    <n v="75"/>
    <n v="76"/>
    <n v="0"/>
    <n v="735.45"/>
    <n v="230.03"/>
    <m/>
    <n v="697.23182579068418"/>
    <n v="282.91739971702214"/>
    <n v="0"/>
    <n v="-12.502650000000001"/>
    <n v="-3.9105100000000004"/>
    <n v="0"/>
    <n v="-11.852941038441632"/>
    <n v="-4.8095957951893764"/>
  </r>
  <r>
    <s v="Regular"/>
    <x v="4"/>
    <x v="3"/>
    <x v="2"/>
    <x v="0"/>
    <x v="0"/>
    <x v="0"/>
    <x v="3"/>
    <x v="3"/>
    <n v="0"/>
    <n v="0"/>
    <n v="0.97299999999999998"/>
    <n v="0.97299999999999998"/>
    <n v="0.97299999999999998"/>
    <n v="0.97299999999999998"/>
    <n v="0"/>
    <x v="1"/>
    <n v="0"/>
    <n v="0"/>
    <n v="75"/>
    <n v="76"/>
    <n v="0"/>
    <n v="735.45"/>
    <n v="230.03"/>
    <m/>
    <n v="697.23182579068418"/>
    <n v="282.91739971702214"/>
    <n v="0"/>
    <n v="715.59285"/>
    <n v="223.81918999999999"/>
    <n v="0"/>
    <n v="678.40656649433572"/>
    <n v="275.27862992466254"/>
  </r>
  <r>
    <s v="Sistema Isolado - Regular"/>
    <x v="4"/>
    <x v="3"/>
    <x v="2"/>
    <x v="0"/>
    <x v="0"/>
    <x v="0"/>
    <x v="3"/>
    <x v="3"/>
    <n v="0"/>
    <n v="0"/>
    <n v="5.0000000000000001E-3"/>
    <n v="5.0000000000000001E-3"/>
    <n v="5.0000000000000001E-3"/>
    <n v="5.0000000000000001E-3"/>
    <n v="0"/>
    <x v="1"/>
    <n v="0"/>
    <n v="0"/>
    <n v="75"/>
    <n v="76"/>
    <n v="0"/>
    <n v="735.45"/>
    <n v="230.03"/>
    <m/>
    <n v="697.23182579068418"/>
    <n v="282.91739971702214"/>
    <n v="0"/>
    <n v="3.6772500000000004"/>
    <n v="1.15015"/>
    <n v="0"/>
    <n v="3.4861591289534211"/>
    <n v="1.4145869985851107"/>
  </r>
  <r>
    <s v="Regular"/>
    <x v="4"/>
    <x v="3"/>
    <x v="2"/>
    <x v="0"/>
    <x v="0"/>
    <x v="0"/>
    <x v="3"/>
    <x v="4"/>
    <n v="0"/>
    <n v="0"/>
    <n v="1.2549999999999999"/>
    <n v="1.2549999999999999"/>
    <n v="1.2549999999999999"/>
    <n v="1.2549999999999999"/>
    <n v="0"/>
    <x v="1"/>
    <n v="0"/>
    <n v="0"/>
    <n v="75"/>
    <n v="76"/>
    <n v="0"/>
    <n v="735.45"/>
    <n v="230.03"/>
    <m/>
    <n v="697.23182579068418"/>
    <n v="282.91739971702214"/>
    <n v="0"/>
    <n v="922.98974999999996"/>
    <n v="288.68764999999996"/>
    <n v="0"/>
    <n v="875.02594136730863"/>
    <n v="355.06133664486276"/>
  </r>
  <r>
    <s v="Sistema Isolado - Regular"/>
    <x v="4"/>
    <x v="3"/>
    <x v="2"/>
    <x v="0"/>
    <x v="0"/>
    <x v="0"/>
    <x v="3"/>
    <x v="4"/>
    <n v="0"/>
    <n v="0"/>
    <n v="7.6999999999999999E-2"/>
    <n v="7.6999999999999999E-2"/>
    <n v="7.6999999999999999E-2"/>
    <n v="7.6999999999999999E-2"/>
    <n v="0"/>
    <x v="1"/>
    <n v="0"/>
    <n v="0"/>
    <n v="75"/>
    <n v="76"/>
    <n v="0"/>
    <n v="735.45"/>
    <n v="230.03"/>
    <m/>
    <n v="697.23182579068418"/>
    <n v="282.91739971702214"/>
    <n v="0"/>
    <n v="56.629650000000005"/>
    <n v="17.712309999999999"/>
    <n v="0"/>
    <n v="53.686850585882681"/>
    <n v="21.784639778210703"/>
  </r>
  <r>
    <s v="Regular"/>
    <x v="4"/>
    <x v="3"/>
    <x v="2"/>
    <x v="0"/>
    <x v="0"/>
    <x v="0"/>
    <x v="3"/>
    <x v="5"/>
    <n v="0"/>
    <n v="0"/>
    <n v="0.63800000000000001"/>
    <n v="0.63800000000000001"/>
    <n v="0.63800000000000001"/>
    <n v="0.63800000000000001"/>
    <n v="0"/>
    <x v="1"/>
    <n v="0"/>
    <n v="0"/>
    <n v="75"/>
    <n v="76"/>
    <n v="0"/>
    <n v="735.45"/>
    <n v="230.03"/>
    <m/>
    <n v="697.23182579068418"/>
    <n v="282.91739971702214"/>
    <n v="0"/>
    <n v="469.21710000000002"/>
    <n v="146.75914"/>
    <n v="0"/>
    <n v="444.83390485445653"/>
    <n v="180.50130101946013"/>
  </r>
  <r>
    <s v="Sistema Isolado - Regular"/>
    <x v="4"/>
    <x v="3"/>
    <x v="2"/>
    <x v="0"/>
    <x v="0"/>
    <x v="0"/>
    <x v="3"/>
    <x v="5"/>
    <n v="0"/>
    <n v="0"/>
    <n v="9.1999999999999998E-2"/>
    <n v="9.1999999999999998E-2"/>
    <n v="9.1999999999999998E-2"/>
    <n v="9.1999999999999998E-2"/>
    <n v="0"/>
    <x v="1"/>
    <n v="0"/>
    <n v="0"/>
    <n v="75"/>
    <n v="76"/>
    <n v="0"/>
    <n v="735.45"/>
    <n v="230.03"/>
    <m/>
    <n v="697.23182579068418"/>
    <n v="282.91739971702214"/>
    <n v="0"/>
    <n v="67.6614"/>
    <n v="21.162759999999999"/>
    <n v="0"/>
    <n v="64.145327972742948"/>
    <n v="26.028400773966037"/>
  </r>
  <r>
    <s v="Regular"/>
    <x v="4"/>
    <x v="3"/>
    <x v="2"/>
    <x v="0"/>
    <x v="0"/>
    <x v="0"/>
    <x v="3"/>
    <x v="6"/>
    <n v="0"/>
    <n v="0"/>
    <n v="0.14099999999999999"/>
    <n v="0.14099999999999999"/>
    <n v="0.14099999999999999"/>
    <n v="0.14099999999999999"/>
    <n v="0"/>
    <x v="1"/>
    <n v="0"/>
    <n v="0"/>
    <n v="75"/>
    <n v="76"/>
    <n v="0"/>
    <n v="735.45"/>
    <n v="230.03"/>
    <m/>
    <n v="697.23182579068418"/>
    <n v="282.91739971702214"/>
    <n v="0"/>
    <n v="103.69844999999999"/>
    <n v="32.434229999999999"/>
    <n v="0"/>
    <n v="98.309687436486456"/>
    <n v="39.891353360100119"/>
  </r>
  <r>
    <s v="Sistema Isolado - Regular"/>
    <x v="4"/>
    <x v="3"/>
    <x v="2"/>
    <x v="0"/>
    <x v="0"/>
    <x v="0"/>
    <x v="3"/>
    <x v="6"/>
    <n v="0"/>
    <n v="0"/>
    <n v="0.17100000000000001"/>
    <n v="0.17100000000000001"/>
    <n v="0.17100000000000001"/>
    <n v="0.17100000000000001"/>
    <n v="0"/>
    <x v="1"/>
    <n v="0"/>
    <n v="0"/>
    <n v="75"/>
    <n v="76"/>
    <n v="0"/>
    <n v="735.45"/>
    <n v="230.03"/>
    <m/>
    <n v="697.23182579068418"/>
    <n v="282.91739971702214"/>
    <n v="0"/>
    <n v="125.76195000000001"/>
    <n v="39.335130000000007"/>
    <n v="0"/>
    <n v="119.226642210207"/>
    <n v="48.378875351610787"/>
  </r>
  <r>
    <s v="Regular"/>
    <x v="4"/>
    <x v="3"/>
    <x v="2"/>
    <x v="0"/>
    <x v="0"/>
    <x v="0"/>
    <x v="3"/>
    <x v="7"/>
    <n v="0"/>
    <n v="0"/>
    <n v="0.14499999999999999"/>
    <n v="0.14499999999999999"/>
    <n v="0.14499999999999999"/>
    <n v="0.14499999999999999"/>
    <n v="0"/>
    <x v="1"/>
    <n v="0"/>
    <n v="0"/>
    <n v="75"/>
    <n v="76"/>
    <n v="0"/>
    <n v="735.45"/>
    <n v="230.03"/>
    <m/>
    <n v="697.23182579068418"/>
    <n v="282.91739971702214"/>
    <n v="0"/>
    <n v="106.64024999999999"/>
    <n v="33.354349999999997"/>
    <n v="0"/>
    <n v="101.09861473964919"/>
    <n v="41.023022958968205"/>
  </r>
  <r>
    <s v="Sistema Isolado - Regular"/>
    <x v="4"/>
    <x v="3"/>
    <x v="2"/>
    <x v="0"/>
    <x v="0"/>
    <x v="0"/>
    <x v="3"/>
    <x v="7"/>
    <n v="0"/>
    <n v="0"/>
    <n v="0.16600000000000001"/>
    <n v="0.16600000000000001"/>
    <n v="0.16600000000000001"/>
    <n v="0.16600000000000001"/>
    <n v="0"/>
    <x v="1"/>
    <n v="0"/>
    <n v="0"/>
    <n v="75"/>
    <n v="76"/>
    <n v="0"/>
    <n v="735.45"/>
    <n v="230.03"/>
    <m/>
    <n v="697.23182579068418"/>
    <n v="282.91739971702214"/>
    <n v="0"/>
    <n v="122.08470000000001"/>
    <n v="38.184980000000003"/>
    <n v="0"/>
    <n v="115.74048308125359"/>
    <n v="46.96428835302568"/>
  </r>
  <r>
    <s v="Regular"/>
    <x v="4"/>
    <x v="3"/>
    <x v="2"/>
    <x v="0"/>
    <x v="0"/>
    <x v="0"/>
    <x v="3"/>
    <x v="8"/>
    <n v="0"/>
    <n v="0"/>
    <n v="0.16"/>
    <n v="0.16"/>
    <n v="0.16"/>
    <n v="0.16"/>
    <n v="0"/>
    <x v="1"/>
    <n v="0"/>
    <n v="0"/>
    <n v="75"/>
    <n v="76"/>
    <n v="0"/>
    <n v="735.45"/>
    <n v="230.03"/>
    <m/>
    <n v="697.23182579068418"/>
    <n v="282.91739971702214"/>
    <n v="0"/>
    <n v="117.67200000000001"/>
    <n v="36.8048"/>
    <n v="0"/>
    <n v="111.55709212650947"/>
    <n v="45.266783954723543"/>
  </r>
  <r>
    <s v="Sistema Isolado - Regular"/>
    <x v="4"/>
    <x v="3"/>
    <x v="2"/>
    <x v="0"/>
    <x v="0"/>
    <x v="0"/>
    <x v="3"/>
    <x v="8"/>
    <n v="0"/>
    <n v="0"/>
    <n v="0.19"/>
    <n v="0.19"/>
    <n v="0.19"/>
    <n v="0.19"/>
    <n v="0"/>
    <x v="1"/>
    <n v="0"/>
    <n v="0"/>
    <n v="75"/>
    <n v="76"/>
    <n v="0"/>
    <n v="735.45"/>
    <n v="230.03"/>
    <m/>
    <n v="697.23182579068418"/>
    <n v="282.91739971702214"/>
    <n v="0"/>
    <n v="139.7355"/>
    <n v="43.7057"/>
    <n v="0"/>
    <n v="132.47404690023001"/>
    <n v="53.754305946234204"/>
  </r>
  <r>
    <s v="Regular"/>
    <x v="4"/>
    <x v="3"/>
    <x v="2"/>
    <x v="0"/>
    <x v="0"/>
    <x v="0"/>
    <x v="3"/>
    <x v="9"/>
    <n v="0"/>
    <n v="0"/>
    <n v="0.159"/>
    <n v="0.159"/>
    <n v="0.159"/>
    <n v="0.159"/>
    <n v="0"/>
    <x v="1"/>
    <n v="0"/>
    <n v="0"/>
    <n v="75"/>
    <n v="76"/>
    <n v="0"/>
    <n v="735.45"/>
    <n v="230.03"/>
    <m/>
    <n v="697.23182579068418"/>
    <n v="282.91739971702214"/>
    <n v="0"/>
    <n v="116.93655000000001"/>
    <n v="36.574770000000001"/>
    <n v="0"/>
    <n v="110.85986030071879"/>
    <n v="44.983866555006522"/>
  </r>
  <r>
    <s v="Sistema Isolado - Regular"/>
    <x v="4"/>
    <x v="3"/>
    <x v="2"/>
    <x v="0"/>
    <x v="0"/>
    <x v="0"/>
    <x v="3"/>
    <x v="9"/>
    <n v="0"/>
    <n v="0"/>
    <n v="0.182"/>
    <n v="0.182"/>
    <n v="0.182"/>
    <n v="0.182"/>
    <n v="0"/>
    <x v="1"/>
    <n v="0"/>
    <n v="0"/>
    <n v="75"/>
    <n v="76"/>
    <n v="0"/>
    <n v="735.45"/>
    <n v="230.03"/>
    <m/>
    <n v="697.23182579068418"/>
    <n v="282.91739971702214"/>
    <n v="0"/>
    <n v="133.8519"/>
    <n v="41.865459999999999"/>
    <n v="0"/>
    <n v="126.89619229390452"/>
    <n v="51.490966748498025"/>
  </r>
  <r>
    <s v="Regular"/>
    <x v="4"/>
    <x v="3"/>
    <x v="2"/>
    <x v="0"/>
    <x v="0"/>
    <x v="0"/>
    <x v="3"/>
    <x v="10"/>
    <n v="0"/>
    <n v="0"/>
    <n v="0.16"/>
    <n v="0.16"/>
    <n v="0.16"/>
    <n v="0.16"/>
    <n v="0"/>
    <x v="1"/>
    <n v="0"/>
    <n v="0"/>
    <n v="75"/>
    <n v="76"/>
    <n v="0"/>
    <n v="735.45"/>
    <n v="230.03"/>
    <m/>
    <n v="697.23182579068418"/>
    <n v="282.91739971702214"/>
    <n v="0"/>
    <n v="117.67200000000001"/>
    <n v="36.8048"/>
    <n v="0"/>
    <n v="111.55709212650947"/>
    <n v="45.266783954723543"/>
  </r>
  <r>
    <s v="Sistema Isolado - Regular"/>
    <x v="4"/>
    <x v="3"/>
    <x v="2"/>
    <x v="0"/>
    <x v="0"/>
    <x v="0"/>
    <x v="3"/>
    <x v="10"/>
    <n v="0"/>
    <n v="0"/>
    <n v="0.16500000000000001"/>
    <n v="0.16500000000000001"/>
    <n v="0.16500000000000001"/>
    <n v="0.16500000000000001"/>
    <n v="0"/>
    <x v="1"/>
    <n v="0"/>
    <n v="0"/>
    <n v="75"/>
    <n v="76"/>
    <n v="0"/>
    <n v="735.45"/>
    <n v="230.03"/>
    <m/>
    <n v="697.23182579068418"/>
    <n v="282.91739971702214"/>
    <n v="0"/>
    <n v="121.34925000000001"/>
    <n v="37.954950000000004"/>
    <n v="0"/>
    <n v="115.04325125546289"/>
    <n v="46.681370953308658"/>
  </r>
  <r>
    <s v="PROJETADO"/>
    <x v="4"/>
    <x v="3"/>
    <x v="2"/>
    <x v="0"/>
    <x v="0"/>
    <x v="0"/>
    <x v="3"/>
    <x v="11"/>
    <n v="0"/>
    <n v="0"/>
    <n v="0.16"/>
    <n v="0.16"/>
    <n v="0.16"/>
    <n v="0.16"/>
    <n v="0"/>
    <x v="1"/>
    <n v="0"/>
    <n v="0"/>
    <n v="75"/>
    <n v="76"/>
    <n v="0"/>
    <n v="735.45"/>
    <n v="230.03"/>
    <m/>
    <n v="697.23182579068418"/>
    <n v="282.91739971702214"/>
    <n v="0"/>
    <n v="117.67200000000001"/>
    <n v="36.8048"/>
    <n v="0"/>
    <n v="111.55709212650947"/>
    <n v="45.266783954723543"/>
  </r>
  <r>
    <s v="PROJETADO"/>
    <x v="4"/>
    <x v="3"/>
    <x v="2"/>
    <x v="0"/>
    <x v="0"/>
    <x v="0"/>
    <x v="3"/>
    <x v="11"/>
    <n v="0"/>
    <n v="0"/>
    <n v="0.16500000000000001"/>
    <n v="0.16500000000000001"/>
    <n v="0.16500000000000001"/>
    <n v="0.16500000000000001"/>
    <n v="0"/>
    <x v="1"/>
    <n v="0"/>
    <n v="0"/>
    <n v="75"/>
    <n v="76"/>
    <n v="0"/>
    <n v="735.45"/>
    <n v="230.03"/>
    <m/>
    <n v="697.23182579068418"/>
    <n v="282.91739971702214"/>
    <n v="0"/>
    <n v="121.34925000000001"/>
    <n v="37.954950000000004"/>
    <n v="0"/>
    <n v="115.04325125546289"/>
    <n v="46.681370953308658"/>
  </r>
  <r>
    <s v="Regular"/>
    <x v="4"/>
    <x v="3"/>
    <x v="2"/>
    <x v="0"/>
    <x v="0"/>
    <x v="0"/>
    <x v="2"/>
    <x v="0"/>
    <n v="0"/>
    <n v="0"/>
    <n v="53.497999999999998"/>
    <n v="53.497999999999998"/>
    <n v="53.497999999999998"/>
    <n v="53.497999999999998"/>
    <n v="0"/>
    <x v="1"/>
    <n v="0"/>
    <n v="0"/>
    <n v="74"/>
    <n v="82"/>
    <n v="0"/>
    <n v="1089.57"/>
    <n v="389.28"/>
    <m/>
    <n v="1096.3710315709229"/>
    <n v="454.3285679284046"/>
    <n v="0"/>
    <n v="58289.815859999995"/>
    <n v="20825.701439999997"/>
    <n v="0"/>
    <n v="58653.657446981233"/>
    <n v="24305.669727033786"/>
  </r>
  <r>
    <s v="Refaturamento - Regular"/>
    <x v="4"/>
    <x v="3"/>
    <x v="2"/>
    <x v="0"/>
    <x v="0"/>
    <x v="0"/>
    <x v="2"/>
    <x v="0"/>
    <n v="0"/>
    <n v="0"/>
    <n v="-41.277000000000001"/>
    <n v="-41.277000000000001"/>
    <n v="-41.277000000000001"/>
    <n v="-41.277000000000001"/>
    <n v="0"/>
    <x v="1"/>
    <n v="0"/>
    <n v="0"/>
    <n v="74"/>
    <n v="82"/>
    <n v="0"/>
    <n v="1089.57"/>
    <n v="389.28"/>
    <m/>
    <n v="1096.3710315709229"/>
    <n v="454.3285679284046"/>
    <n v="0"/>
    <n v="-44974.180889999996"/>
    <n v="-16068.31056"/>
    <n v="0"/>
    <n v="-45254.907070152985"/>
    <n v="-18753.320298380757"/>
  </r>
  <r>
    <s v="Regular"/>
    <x v="4"/>
    <x v="3"/>
    <x v="2"/>
    <x v="0"/>
    <x v="0"/>
    <x v="0"/>
    <x v="2"/>
    <x v="1"/>
    <n v="0"/>
    <n v="0"/>
    <n v="1.9350000000000001"/>
    <n v="1.9350000000000001"/>
    <n v="1.9350000000000001"/>
    <n v="1.9350000000000001"/>
    <n v="0"/>
    <x v="1"/>
    <n v="0"/>
    <n v="0"/>
    <n v="74"/>
    <n v="82"/>
    <n v="0"/>
    <n v="1089.57"/>
    <n v="389.28"/>
    <m/>
    <n v="1096.3710315709229"/>
    <n v="454.3285679284046"/>
    <n v="0"/>
    <n v="2108.3179500000001"/>
    <n v="753.2568"/>
    <n v="0"/>
    <n v="2121.4779460897357"/>
    <n v="879.12577894146295"/>
  </r>
  <r>
    <s v="Refaturamento - Regular"/>
    <x v="4"/>
    <x v="3"/>
    <x v="2"/>
    <x v="0"/>
    <x v="0"/>
    <x v="0"/>
    <x v="2"/>
    <x v="1"/>
    <n v="0"/>
    <n v="0"/>
    <n v="-51.057000000000002"/>
    <n v="-51.057000000000002"/>
    <n v="-51.057000000000002"/>
    <n v="-51.057000000000002"/>
    <n v="0"/>
    <x v="1"/>
    <n v="0"/>
    <n v="0"/>
    <n v="74"/>
    <n v="82"/>
    <n v="0"/>
    <n v="1089.57"/>
    <n v="389.28"/>
    <m/>
    <n v="1096.3710315709229"/>
    <n v="454.3285679284046"/>
    <n v="0"/>
    <n v="-55630.175490000001"/>
    <n v="-19875.468959999998"/>
    <n v="0"/>
    <n v="-55977.415758916613"/>
    <n v="-23196.653692720556"/>
  </r>
  <r>
    <s v="Regular"/>
    <x v="4"/>
    <x v="3"/>
    <x v="2"/>
    <x v="0"/>
    <x v="0"/>
    <x v="0"/>
    <x v="2"/>
    <x v="2"/>
    <n v="0"/>
    <n v="0"/>
    <n v="1.819"/>
    <n v="1.819"/>
    <n v="1.819"/>
    <n v="1.819"/>
    <n v="0"/>
    <x v="1"/>
    <n v="0"/>
    <n v="0"/>
    <n v="74"/>
    <n v="82"/>
    <n v="0"/>
    <n v="1089.57"/>
    <n v="389.28"/>
    <m/>
    <n v="1096.3710315709229"/>
    <n v="454.3285679284046"/>
    <n v="0"/>
    <n v="1981.9278299999999"/>
    <n v="708.1003199999999"/>
    <n v="0"/>
    <n v="1994.2989064275087"/>
    <n v="826.42366506176791"/>
  </r>
  <r>
    <s v="Refaturamento - Regular"/>
    <x v="4"/>
    <x v="3"/>
    <x v="2"/>
    <x v="0"/>
    <x v="0"/>
    <x v="0"/>
    <x v="2"/>
    <x v="2"/>
    <n v="0"/>
    <n v="0"/>
    <n v="-2.4E-2"/>
    <n v="-2.4E-2"/>
    <n v="-2.4E-2"/>
    <n v="-2.4E-2"/>
    <n v="0"/>
    <x v="1"/>
    <n v="0"/>
    <n v="0"/>
    <n v="74"/>
    <n v="82"/>
    <n v="0"/>
    <n v="1089.57"/>
    <n v="389.28"/>
    <m/>
    <n v="1096.3710315709229"/>
    <n v="454.3285679284046"/>
    <n v="0"/>
    <n v="-26.14968"/>
    <n v="-9.3427199999999999"/>
    <n v="0"/>
    <n v="-26.31290475770215"/>
    <n v="-10.90388563028171"/>
  </r>
  <r>
    <s v="Regular"/>
    <x v="4"/>
    <x v="3"/>
    <x v="2"/>
    <x v="0"/>
    <x v="0"/>
    <x v="0"/>
    <x v="2"/>
    <x v="3"/>
    <n v="0"/>
    <n v="0"/>
    <n v="2.992"/>
    <n v="2.992"/>
    <n v="2.992"/>
    <n v="2.992"/>
    <n v="0"/>
    <x v="1"/>
    <n v="0"/>
    <n v="0"/>
    <n v="74"/>
    <n v="82"/>
    <n v="0"/>
    <n v="1089.57"/>
    <n v="389.28"/>
    <m/>
    <n v="1096.3710315709229"/>
    <n v="454.3285679284046"/>
    <n v="0"/>
    <n v="3259.9934399999997"/>
    <n v="1164.7257599999998"/>
    <n v="0"/>
    <n v="3280.3421264602016"/>
    <n v="1359.3510752417865"/>
  </r>
  <r>
    <s v="Sistema Isolado - Regular"/>
    <x v="4"/>
    <x v="3"/>
    <x v="2"/>
    <x v="0"/>
    <x v="0"/>
    <x v="0"/>
    <x v="2"/>
    <x v="3"/>
    <n v="0"/>
    <n v="0"/>
    <n v="2.581"/>
    <n v="2.581"/>
    <n v="2.581"/>
    <n v="2.581"/>
    <n v="0"/>
    <x v="1"/>
    <n v="0"/>
    <n v="0"/>
    <n v="74"/>
    <n v="82"/>
    <n v="0"/>
    <n v="1089.57"/>
    <n v="389.28"/>
    <m/>
    <n v="1096.3710315709229"/>
    <n v="454.3285679284046"/>
    <n v="0"/>
    <n v="2812.1801699999996"/>
    <n v="1004.7316799999999"/>
    <n v="0"/>
    <n v="2829.7336324845519"/>
    <n v="1172.6220338232122"/>
  </r>
  <r>
    <s v="Regular"/>
    <x v="4"/>
    <x v="3"/>
    <x v="2"/>
    <x v="0"/>
    <x v="0"/>
    <x v="0"/>
    <x v="2"/>
    <x v="4"/>
    <n v="0"/>
    <n v="0"/>
    <n v="2.004"/>
    <n v="2.004"/>
    <n v="2.004"/>
    <n v="2.004"/>
    <n v="0"/>
    <x v="1"/>
    <n v="0"/>
    <n v="0"/>
    <n v="74"/>
    <n v="82"/>
    <n v="0"/>
    <n v="1089.57"/>
    <n v="389.28"/>
    <m/>
    <n v="1096.3710315709229"/>
    <n v="454.3285679284046"/>
    <n v="0"/>
    <n v="2183.4982799999998"/>
    <n v="780.11712"/>
    <n v="0"/>
    <n v="2197.1275472681295"/>
    <n v="910.47445012852279"/>
  </r>
  <r>
    <s v="Sistema Isolado - Regular"/>
    <x v="4"/>
    <x v="3"/>
    <x v="2"/>
    <x v="0"/>
    <x v="0"/>
    <x v="0"/>
    <x v="2"/>
    <x v="4"/>
    <n v="0"/>
    <n v="0"/>
    <n v="1.353"/>
    <n v="1.353"/>
    <n v="1.353"/>
    <n v="1.353"/>
    <n v="0"/>
    <x v="1"/>
    <n v="0"/>
    <n v="0"/>
    <n v="74"/>
    <n v="82"/>
    <n v="0"/>
    <n v="1089.57"/>
    <n v="389.28"/>
    <m/>
    <n v="1096.3710315709229"/>
    <n v="454.3285679284046"/>
    <n v="0"/>
    <n v="1474.1882099999998"/>
    <n v="526.69583999999998"/>
    <n v="0"/>
    <n v="1483.3900057154588"/>
    <n v="614.70655240713143"/>
  </r>
  <r>
    <s v="Regular"/>
    <x v="4"/>
    <x v="3"/>
    <x v="2"/>
    <x v="0"/>
    <x v="0"/>
    <x v="0"/>
    <x v="2"/>
    <x v="5"/>
    <n v="0"/>
    <n v="0"/>
    <n v="0.81899999999999995"/>
    <n v="0.81899999999999995"/>
    <n v="0.81899999999999995"/>
    <n v="0.81899999999999995"/>
    <n v="0"/>
    <x v="1"/>
    <n v="0"/>
    <n v="0"/>
    <n v="74"/>
    <n v="82"/>
    <n v="0"/>
    <n v="1089.57"/>
    <n v="389.28"/>
    <m/>
    <n v="1096.3710315709229"/>
    <n v="454.3285679284046"/>
    <n v="0"/>
    <n v="892.35782999999992"/>
    <n v="318.82031999999998"/>
    <n v="0"/>
    <n v="897.92787485658585"/>
    <n v="372.09509713336337"/>
  </r>
  <r>
    <s v="Sistema Isolado - Regular"/>
    <x v="4"/>
    <x v="3"/>
    <x v="2"/>
    <x v="0"/>
    <x v="0"/>
    <x v="0"/>
    <x v="2"/>
    <x v="5"/>
    <n v="0"/>
    <n v="0"/>
    <n v="2.9209999999999998"/>
    <n v="2.9209999999999998"/>
    <n v="2.9209999999999998"/>
    <n v="2.9209999999999998"/>
    <n v="0"/>
    <x v="1"/>
    <n v="0"/>
    <n v="0"/>
    <n v="74"/>
    <n v="82"/>
    <n v="0"/>
    <n v="1089.57"/>
    <n v="389.28"/>
    <m/>
    <n v="1096.3710315709229"/>
    <n v="454.3285679284046"/>
    <n v="0"/>
    <n v="3182.6339699999994"/>
    <n v="1137.0868799999998"/>
    <n v="0"/>
    <n v="3202.4997832186655"/>
    <n v="1327.0937469188698"/>
  </r>
  <r>
    <s v="Regular"/>
    <x v="4"/>
    <x v="3"/>
    <x v="2"/>
    <x v="0"/>
    <x v="0"/>
    <x v="0"/>
    <x v="2"/>
    <x v="6"/>
    <n v="0"/>
    <n v="0"/>
    <n v="0.23699999999999999"/>
    <n v="0.23699999999999999"/>
    <n v="0.23699999999999999"/>
    <n v="0.23699999999999999"/>
    <n v="0"/>
    <x v="1"/>
    <n v="0"/>
    <n v="0"/>
    <n v="74"/>
    <n v="82"/>
    <n v="0"/>
    <n v="1089.57"/>
    <n v="389.28"/>
    <m/>
    <n v="1096.3710315709229"/>
    <n v="454.3285679284046"/>
    <n v="0"/>
    <n v="258.22808999999995"/>
    <n v="92.259359999999987"/>
    <n v="0"/>
    <n v="259.83993448230871"/>
    <n v="107.67587059903188"/>
  </r>
  <r>
    <s v="Sistema Isolado - Regular"/>
    <x v="4"/>
    <x v="3"/>
    <x v="2"/>
    <x v="0"/>
    <x v="0"/>
    <x v="0"/>
    <x v="2"/>
    <x v="6"/>
    <n v="0"/>
    <n v="0"/>
    <n v="0.23300000000000001"/>
    <n v="0.23300000000000001"/>
    <n v="0.23300000000000001"/>
    <n v="0.23300000000000001"/>
    <n v="0"/>
    <x v="1"/>
    <n v="0"/>
    <n v="0"/>
    <n v="74"/>
    <n v="82"/>
    <n v="0"/>
    <n v="1089.57"/>
    <n v="389.28"/>
    <m/>
    <n v="1096.3710315709229"/>
    <n v="454.3285679284046"/>
    <n v="0"/>
    <n v="253.86981"/>
    <n v="90.702240000000003"/>
    <n v="0"/>
    <n v="255.45445035602506"/>
    <n v="105.85855632731828"/>
  </r>
  <r>
    <s v="Regular"/>
    <x v="4"/>
    <x v="3"/>
    <x v="2"/>
    <x v="0"/>
    <x v="0"/>
    <x v="0"/>
    <x v="2"/>
    <x v="7"/>
    <n v="0"/>
    <n v="0"/>
    <n v="0.20699999999999999"/>
    <n v="0.20699999999999999"/>
    <n v="0.20699999999999999"/>
    <n v="0.20699999999999999"/>
    <n v="0"/>
    <x v="1"/>
    <n v="0"/>
    <n v="0"/>
    <n v="74"/>
    <n v="82"/>
    <n v="0"/>
    <n v="1089.57"/>
    <n v="389.28"/>
    <m/>
    <n v="1096.3710315709229"/>
    <n v="454.3285679284046"/>
    <n v="0"/>
    <n v="225.54098999999997"/>
    <n v="80.58095999999999"/>
    <n v="0"/>
    <n v="226.94880353518104"/>
    <n v="94.046013561179748"/>
  </r>
  <r>
    <s v="Sistema Isolado - Regular"/>
    <x v="4"/>
    <x v="3"/>
    <x v="2"/>
    <x v="0"/>
    <x v="0"/>
    <x v="0"/>
    <x v="2"/>
    <x v="7"/>
    <n v="0"/>
    <n v="0"/>
    <n v="3.0270000000000001"/>
    <n v="3.0270000000000001"/>
    <n v="3.0270000000000001"/>
    <n v="3.0270000000000001"/>
    <n v="0"/>
    <x v="1"/>
    <n v="0"/>
    <n v="0"/>
    <n v="74"/>
    <n v="82"/>
    <n v="0"/>
    <n v="1089.57"/>
    <n v="389.28"/>
    <m/>
    <n v="1096.3710315709229"/>
    <n v="454.3285679284046"/>
    <n v="0"/>
    <n v="3298.1283899999999"/>
    <n v="1178.3505599999999"/>
    <n v="0"/>
    <n v="3318.715112565184"/>
    <n v="1375.2525751192807"/>
  </r>
  <r>
    <s v="Regular"/>
    <x v="4"/>
    <x v="3"/>
    <x v="2"/>
    <x v="0"/>
    <x v="0"/>
    <x v="0"/>
    <x v="2"/>
    <x v="8"/>
    <n v="0"/>
    <n v="0"/>
    <n v="0.23200000000000001"/>
    <n v="0.23200000000000001"/>
    <n v="0.23200000000000001"/>
    <n v="0.23200000000000001"/>
    <n v="0"/>
    <x v="1"/>
    <n v="0"/>
    <n v="0"/>
    <n v="74"/>
    <n v="82"/>
    <n v="0"/>
    <n v="1089.57"/>
    <n v="389.28"/>
    <m/>
    <n v="1096.3710315709229"/>
    <n v="454.3285679284046"/>
    <n v="0"/>
    <n v="252.78023999999999"/>
    <n v="90.312960000000004"/>
    <n v="0"/>
    <n v="254.35807932445414"/>
    <n v="105.40422775938987"/>
  </r>
  <r>
    <s v="Sistema Isolado - Regular"/>
    <x v="4"/>
    <x v="3"/>
    <x v="2"/>
    <x v="0"/>
    <x v="0"/>
    <x v="0"/>
    <x v="2"/>
    <x v="8"/>
    <n v="0"/>
    <n v="0"/>
    <n v="0.18099999999999999"/>
    <n v="0.18099999999999999"/>
    <n v="0.18099999999999999"/>
    <n v="0.18099999999999999"/>
    <n v="0"/>
    <x v="1"/>
    <n v="0"/>
    <n v="0"/>
    <n v="74"/>
    <n v="82"/>
    <n v="0"/>
    <n v="1089.57"/>
    <n v="389.28"/>
    <m/>
    <n v="1096.3710315709229"/>
    <n v="454.3285679284046"/>
    <n v="0"/>
    <n v="197.21216999999999"/>
    <n v="70.459679999999992"/>
    <n v="0"/>
    <n v="198.44315671433705"/>
    <n v="82.233470795041228"/>
  </r>
  <r>
    <s v="Regular"/>
    <x v="4"/>
    <x v="3"/>
    <x v="2"/>
    <x v="0"/>
    <x v="0"/>
    <x v="0"/>
    <x v="2"/>
    <x v="9"/>
    <n v="0"/>
    <n v="0"/>
    <n v="0.254"/>
    <n v="0.254"/>
    <n v="0.254"/>
    <n v="0.254"/>
    <n v="0"/>
    <x v="1"/>
    <n v="0"/>
    <n v="0"/>
    <n v="74"/>
    <n v="82"/>
    <n v="0"/>
    <n v="1089.57"/>
    <n v="389.28"/>
    <m/>
    <n v="1096.3710315709229"/>
    <n v="454.3285679284046"/>
    <n v="0"/>
    <n v="276.75077999999996"/>
    <n v="98.877119999999991"/>
    <n v="0"/>
    <n v="278.47824201901443"/>
    <n v="115.39945625381476"/>
  </r>
  <r>
    <s v="Sistema Isolado - Regular"/>
    <x v="4"/>
    <x v="3"/>
    <x v="2"/>
    <x v="0"/>
    <x v="0"/>
    <x v="0"/>
    <x v="2"/>
    <x v="9"/>
    <n v="0"/>
    <n v="0"/>
    <n v="0.24399999999999999"/>
    <n v="0.24399999999999999"/>
    <n v="0.24399999999999999"/>
    <n v="0.24399999999999999"/>
    <n v="0"/>
    <x v="1"/>
    <n v="0"/>
    <n v="0"/>
    <n v="74"/>
    <n v="82"/>
    <n v="0"/>
    <n v="1089.57"/>
    <n v="389.28"/>
    <m/>
    <n v="1096.3710315709229"/>
    <n v="454.3285679284046"/>
    <n v="0"/>
    <n v="265.85507999999999"/>
    <n v="94.984319999999997"/>
    <n v="0"/>
    <n v="267.51453170330518"/>
    <n v="110.85617057453072"/>
  </r>
  <r>
    <s v="Regular"/>
    <x v="4"/>
    <x v="3"/>
    <x v="2"/>
    <x v="0"/>
    <x v="0"/>
    <x v="0"/>
    <x v="2"/>
    <x v="10"/>
    <n v="0"/>
    <n v="0"/>
    <n v="0.23"/>
    <n v="0.23"/>
    <n v="0.23"/>
    <n v="0.23"/>
    <n v="0"/>
    <x v="1"/>
    <n v="0"/>
    <n v="0"/>
    <n v="74"/>
    <n v="82"/>
    <n v="0"/>
    <n v="1089.57"/>
    <n v="389.28"/>
    <m/>
    <n v="1096.3710315709229"/>
    <n v="454.3285679284046"/>
    <n v="0"/>
    <n v="250.6011"/>
    <n v="89.534399999999991"/>
    <n v="0"/>
    <n v="252.16533726131229"/>
    <n v="104.49557062353306"/>
  </r>
  <r>
    <s v="Sistema Isolado - Regular"/>
    <x v="4"/>
    <x v="3"/>
    <x v="2"/>
    <x v="0"/>
    <x v="0"/>
    <x v="0"/>
    <x v="2"/>
    <x v="10"/>
    <n v="0"/>
    <n v="0"/>
    <n v="1.44"/>
    <n v="1.44"/>
    <n v="1.44"/>
    <n v="1.44"/>
    <n v="0"/>
    <x v="1"/>
    <n v="0"/>
    <n v="0"/>
    <n v="74"/>
    <n v="82"/>
    <n v="0"/>
    <n v="1089.57"/>
    <n v="389.28"/>
    <m/>
    <n v="1096.3710315709229"/>
    <n v="454.3285679284046"/>
    <n v="0"/>
    <n v="1568.9807999999998"/>
    <n v="560.56319999999994"/>
    <n v="0"/>
    <n v="1578.774285462129"/>
    <n v="654.23313781690263"/>
  </r>
  <r>
    <s v="PROJETADO"/>
    <x v="4"/>
    <x v="3"/>
    <x v="2"/>
    <x v="0"/>
    <x v="0"/>
    <x v="0"/>
    <x v="2"/>
    <x v="11"/>
    <n v="0"/>
    <n v="0"/>
    <n v="0.23"/>
    <n v="0.23"/>
    <n v="0.23"/>
    <n v="0.23"/>
    <n v="0"/>
    <x v="1"/>
    <n v="0"/>
    <n v="0"/>
    <n v="74"/>
    <n v="82"/>
    <n v="0"/>
    <n v="1089.57"/>
    <n v="389.28"/>
    <m/>
    <n v="1096.3710315709229"/>
    <n v="454.3285679284046"/>
    <n v="0"/>
    <n v="250.6011"/>
    <n v="89.534399999999991"/>
    <n v="0"/>
    <n v="252.16533726131229"/>
    <n v="104.49557062353306"/>
  </r>
  <r>
    <s v="PROJETADO"/>
    <x v="4"/>
    <x v="3"/>
    <x v="2"/>
    <x v="0"/>
    <x v="0"/>
    <x v="0"/>
    <x v="2"/>
    <x v="11"/>
    <n v="0"/>
    <n v="0"/>
    <n v="1.44"/>
    <n v="1.44"/>
    <n v="1.44"/>
    <n v="1.44"/>
    <n v="0"/>
    <x v="1"/>
    <n v="0"/>
    <n v="0"/>
    <n v="74"/>
    <n v="82"/>
    <n v="0"/>
    <n v="1089.57"/>
    <n v="389.28"/>
    <m/>
    <n v="1096.3710315709229"/>
    <n v="454.3285679284046"/>
    <n v="0"/>
    <n v="1568.9807999999998"/>
    <n v="560.56319999999994"/>
    <n v="0"/>
    <n v="1578.774285462129"/>
    <n v="654.23313781690263"/>
  </r>
  <r>
    <s v="Regular"/>
    <x v="4"/>
    <x v="4"/>
    <x v="0"/>
    <x v="0"/>
    <x v="0"/>
    <x v="0"/>
    <x v="1"/>
    <x v="0"/>
    <n v="0"/>
    <n v="0"/>
    <n v="41387.96"/>
    <n v="41387.96"/>
    <n v="41387.96"/>
    <n v="41387.96"/>
    <n v="54246"/>
    <x v="1"/>
    <n v="0"/>
    <n v="0"/>
    <n v="72"/>
    <n v="78"/>
    <n v="0"/>
    <n v="450.19"/>
    <n v="243.3"/>
    <m/>
    <n v="375.70304033862055"/>
    <n v="297.20166373463735"/>
    <n v="0"/>
    <n v="18632445.712400001"/>
    <n v="10069690.668"/>
    <n v="0"/>
    <n v="15549582.405413214"/>
    <n v="12300570.570582621"/>
  </r>
  <r>
    <s v="Refaturamento - Regular"/>
    <x v="4"/>
    <x v="4"/>
    <x v="0"/>
    <x v="0"/>
    <x v="0"/>
    <x v="0"/>
    <x v="1"/>
    <x v="0"/>
    <n v="0"/>
    <n v="0"/>
    <n v="-1782.422"/>
    <n v="-1782.422"/>
    <n v="-1782.422"/>
    <n v="-1782.422"/>
    <n v="43"/>
    <x v="1"/>
    <n v="0"/>
    <n v="0"/>
    <n v="72"/>
    <n v="78"/>
    <n v="0"/>
    <n v="450.19"/>
    <n v="243.3"/>
    <m/>
    <n v="375.70304033862055"/>
    <n v="297.20166373463735"/>
    <n v="0"/>
    <n v="-802428.56018000003"/>
    <n v="-433663.27260000003"/>
    <n v="0"/>
    <n v="-669661.36456644477"/>
    <n v="-529738.78387721977"/>
  </r>
  <r>
    <s v="Sistema Isolado - Regular"/>
    <x v="4"/>
    <x v="4"/>
    <x v="0"/>
    <x v="0"/>
    <x v="0"/>
    <x v="0"/>
    <x v="1"/>
    <x v="0"/>
    <n v="0"/>
    <n v="0"/>
    <n v="12652.328"/>
    <n v="12652.328"/>
    <n v="12652.328"/>
    <n v="12652.328"/>
    <n v="25054"/>
    <x v="1"/>
    <n v="0"/>
    <n v="0"/>
    <n v="72"/>
    <n v="78"/>
    <n v="0"/>
    <n v="450.19"/>
    <n v="243.3"/>
    <m/>
    <n v="375.70304033862055"/>
    <n v="297.20166373463735"/>
    <n v="0"/>
    <n v="5695951.54232"/>
    <n v="3078311.4024"/>
    <n v="0"/>
    <n v="4753518.0969614582"/>
    <n v="3760292.9317163364"/>
  </r>
  <r>
    <s v="Sistema Isolado - Refaturamento"/>
    <x v="4"/>
    <x v="4"/>
    <x v="0"/>
    <x v="0"/>
    <x v="0"/>
    <x v="0"/>
    <x v="1"/>
    <x v="0"/>
    <n v="0"/>
    <n v="0"/>
    <n v="-28.741"/>
    <n v="-28.741"/>
    <n v="-28.741"/>
    <n v="-28.741"/>
    <n v="-9"/>
    <x v="1"/>
    <n v="0"/>
    <n v="0"/>
    <n v="72"/>
    <n v="78"/>
    <n v="0"/>
    <n v="450.19"/>
    <n v="243.3"/>
    <m/>
    <n v="375.70304033862055"/>
    <n v="297.20166373463735"/>
    <n v="0"/>
    <n v="-12938.91079"/>
    <n v="-6992.6853000000001"/>
    <n v="0"/>
    <n v="-10798.081082372293"/>
    <n v="-8541.8730173972126"/>
  </r>
  <r>
    <s v="Sistema de Compensação"/>
    <x v="4"/>
    <x v="4"/>
    <x v="0"/>
    <x v="0"/>
    <x v="0"/>
    <x v="0"/>
    <x v="1"/>
    <x v="0"/>
    <n v="0"/>
    <n v="0"/>
    <n v="683.14400000000001"/>
    <n v="683.14400000000001"/>
    <n v="683.14400000000001"/>
    <n v="683.14400000000001"/>
    <n v="248"/>
    <x v="1"/>
    <n v="0"/>
    <n v="0"/>
    <n v="72"/>
    <n v="78"/>
    <n v="0"/>
    <n v="450.19"/>
    <n v="243.3"/>
    <m/>
    <n v="375.70304033862055"/>
    <n v="297.20166373463735"/>
    <n v="0"/>
    <n v="307544.59736000001"/>
    <n v="166208.93520000001"/>
    <n v="0"/>
    <n v="256659.2777890866"/>
    <n v="203031.53337033509"/>
  </r>
  <r>
    <s v="Sistema de Compensação"/>
    <x v="4"/>
    <x v="4"/>
    <x v="0"/>
    <x v="0"/>
    <x v="0"/>
    <x v="0"/>
    <x v="1"/>
    <x v="0"/>
    <n v="0"/>
    <n v="0"/>
    <n v="-5.0730000000000004"/>
    <n v="-5.0730000000000004"/>
    <n v="-5.0730000000000004"/>
    <n v="-5.0730000000000004"/>
    <n v="-2"/>
    <x v="1"/>
    <n v="0"/>
    <n v="0"/>
    <n v="72"/>
    <n v="78"/>
    <n v="0"/>
    <n v="450.19"/>
    <n v="243.3"/>
    <m/>
    <n v="375.70304033862055"/>
    <n v="297.20166373463735"/>
    <n v="0"/>
    <n v="-2283.81387"/>
    <n v="-1234.2609000000002"/>
    <n v="0"/>
    <n v="-1905.9415236378222"/>
    <n v="-1507.7040401258155"/>
  </r>
  <r>
    <s v="Regular"/>
    <x v="4"/>
    <x v="4"/>
    <x v="0"/>
    <x v="0"/>
    <x v="0"/>
    <x v="0"/>
    <x v="1"/>
    <x v="1"/>
    <n v="0"/>
    <n v="0"/>
    <n v="38834.023000000001"/>
    <n v="38834.023000000001"/>
    <n v="38834.023000000001"/>
    <n v="38834.023000000001"/>
    <n v="53952"/>
    <x v="1"/>
    <n v="0"/>
    <n v="0"/>
    <n v="72"/>
    <n v="78"/>
    <n v="0"/>
    <n v="450.19"/>
    <n v="243.3"/>
    <m/>
    <n v="375.70304033862055"/>
    <n v="297.20166373463735"/>
    <n v="0"/>
    <n v="17482688.814369999"/>
    <n v="9448317.7959000003"/>
    <n v="0"/>
    <n v="14590060.509679919"/>
    <n v="11541536.245109173"/>
  </r>
  <r>
    <s v="Refaturamento - Regular"/>
    <x v="4"/>
    <x v="4"/>
    <x v="0"/>
    <x v="0"/>
    <x v="0"/>
    <x v="0"/>
    <x v="1"/>
    <x v="1"/>
    <n v="0"/>
    <n v="0"/>
    <n v="-1802.249"/>
    <n v="-1802.249"/>
    <n v="-1802.249"/>
    <n v="-1802.249"/>
    <n v="0"/>
    <x v="1"/>
    <n v="0"/>
    <n v="0"/>
    <n v="72"/>
    <n v="78"/>
    <n v="0"/>
    <n v="450.19"/>
    <n v="243.3"/>
    <m/>
    <n v="375.70304033862055"/>
    <n v="297.20166373463735"/>
    <n v="0"/>
    <n v="-811354.47730999999"/>
    <n v="-438487.18170000002"/>
    <n v="0"/>
    <n v="-677110.42874723859"/>
    <n v="-535631.40126408648"/>
  </r>
  <r>
    <s v="Sistema Isolado - Regular"/>
    <x v="4"/>
    <x v="4"/>
    <x v="0"/>
    <x v="0"/>
    <x v="0"/>
    <x v="0"/>
    <x v="1"/>
    <x v="1"/>
    <n v="0"/>
    <n v="0"/>
    <n v="12286.813"/>
    <n v="12286.813"/>
    <n v="12286.813"/>
    <n v="12286.813"/>
    <n v="24925"/>
    <x v="1"/>
    <n v="0"/>
    <n v="0"/>
    <n v="72"/>
    <n v="78"/>
    <n v="0"/>
    <n v="450.19"/>
    <n v="243.3"/>
    <m/>
    <n v="375.70304033862055"/>
    <n v="297.20166373463735"/>
    <n v="0"/>
    <n v="5531400.3444699999"/>
    <n v="2989381.6029000003"/>
    <n v="0"/>
    <n v="4616193.0001720879"/>
    <n v="3651661.2655963707"/>
  </r>
  <r>
    <s v="Sistema Isolado - Refaturamento"/>
    <x v="4"/>
    <x v="4"/>
    <x v="0"/>
    <x v="0"/>
    <x v="0"/>
    <x v="0"/>
    <x v="1"/>
    <x v="1"/>
    <n v="0"/>
    <n v="0"/>
    <n v="-123.036"/>
    <n v="-123.036"/>
    <n v="-123.036"/>
    <n v="-123.036"/>
    <n v="0"/>
    <x v="1"/>
    <n v="0"/>
    <n v="0"/>
    <n v="72"/>
    <n v="78"/>
    <n v="0"/>
    <n v="450.19"/>
    <n v="243.3"/>
    <m/>
    <n v="375.70304033862055"/>
    <n v="297.20166373463735"/>
    <n v="0"/>
    <n v="-55389.576840000002"/>
    <n v="-29934.658800000001"/>
    <n v="0"/>
    <n v="-46224.999271102519"/>
    <n v="-36566.503899254843"/>
  </r>
  <r>
    <s v="Sistema de Compensação"/>
    <x v="4"/>
    <x v="4"/>
    <x v="0"/>
    <x v="0"/>
    <x v="0"/>
    <x v="0"/>
    <x v="1"/>
    <x v="1"/>
    <n v="0"/>
    <n v="0"/>
    <n v="756.95600000000002"/>
    <n v="756.95600000000002"/>
    <n v="756.95600000000002"/>
    <n v="756.95600000000002"/>
    <n v="282"/>
    <x v="1"/>
    <n v="0"/>
    <n v="0"/>
    <n v="72"/>
    <n v="78"/>
    <n v="0"/>
    <n v="450.19"/>
    <n v="243.3"/>
    <m/>
    <n v="375.70304033862055"/>
    <n v="297.20166373463735"/>
    <n v="0"/>
    <n v="340774.02163999999"/>
    <n v="184167.39480000001"/>
    <n v="0"/>
    <n v="284390.67060256086"/>
    <n v="224968.58257391615"/>
  </r>
  <r>
    <s v="Sistema de Compensação"/>
    <x v="4"/>
    <x v="4"/>
    <x v="0"/>
    <x v="0"/>
    <x v="0"/>
    <x v="0"/>
    <x v="1"/>
    <x v="1"/>
    <n v="0"/>
    <n v="0"/>
    <n v="1.9990000000000001"/>
    <n v="1.9990000000000001"/>
    <n v="1.9990000000000001"/>
    <n v="1.9990000000000001"/>
    <n v="0"/>
    <x v="1"/>
    <n v="0"/>
    <n v="0"/>
    <n v="72"/>
    <n v="78"/>
    <n v="0"/>
    <n v="450.19"/>
    <n v="243.3"/>
    <m/>
    <n v="375.70304033862055"/>
    <n v="297.20166373463735"/>
    <n v="0"/>
    <n v="899.92981000000009"/>
    <n v="486.35670000000005"/>
    <n v="0"/>
    <n v="751.03037763690247"/>
    <n v="594.10612580554005"/>
  </r>
  <r>
    <s v="Regular"/>
    <x v="4"/>
    <x v="4"/>
    <x v="0"/>
    <x v="0"/>
    <x v="0"/>
    <x v="0"/>
    <x v="1"/>
    <x v="2"/>
    <n v="0"/>
    <n v="0"/>
    <n v="33735.730000000003"/>
    <n v="33735.730000000003"/>
    <n v="33735.730000000003"/>
    <n v="33735.730000000003"/>
    <n v="53970"/>
    <x v="1"/>
    <n v="0"/>
    <n v="0"/>
    <n v="72"/>
    <n v="78"/>
    <n v="0"/>
    <n v="450.19"/>
    <n v="243.3"/>
    <m/>
    <n v="375.70304033862055"/>
    <n v="297.20166373463735"/>
    <n v="0"/>
    <n v="15187488.288700001"/>
    <n v="8207903.1090000011"/>
    <n v="0"/>
    <n v="12674616.329042813"/>
    <n v="10026315.083302518"/>
  </r>
  <r>
    <s v="Refaturamento - Regular"/>
    <x v="4"/>
    <x v="4"/>
    <x v="0"/>
    <x v="0"/>
    <x v="0"/>
    <x v="0"/>
    <x v="1"/>
    <x v="2"/>
    <n v="0"/>
    <n v="0"/>
    <n v="-1044.953"/>
    <n v="-1044.953"/>
    <n v="-1044.953"/>
    <n v="-1044.953"/>
    <n v="0"/>
    <x v="1"/>
    <n v="0"/>
    <n v="0"/>
    <n v="72"/>
    <n v="78"/>
    <n v="0"/>
    <n v="450.19"/>
    <n v="243.3"/>
    <m/>
    <n v="375.70304033862055"/>
    <n v="297.20166373463735"/>
    <n v="0"/>
    <n v="-470427.39107000001"/>
    <n v="-254237.0649"/>
    <n v="0"/>
    <n v="-392592.01911096257"/>
    <n v="-310561.7701245005"/>
  </r>
  <r>
    <s v="Sistema Isolado - Regular"/>
    <x v="4"/>
    <x v="4"/>
    <x v="0"/>
    <x v="0"/>
    <x v="0"/>
    <x v="0"/>
    <x v="1"/>
    <x v="2"/>
    <n v="0"/>
    <n v="0"/>
    <n v="11031.147999999999"/>
    <n v="11031.147999999999"/>
    <n v="11031.147999999999"/>
    <n v="11031.147999999999"/>
    <n v="24981"/>
    <x v="1"/>
    <n v="0"/>
    <n v="0"/>
    <n v="72"/>
    <n v="78"/>
    <n v="0"/>
    <n v="450.19"/>
    <n v="243.3"/>
    <m/>
    <n v="375.70304033862055"/>
    <n v="297.20166373463735"/>
    <n v="0"/>
    <n v="4966112.5181199992"/>
    <n v="2683878.3084"/>
    <n v="0"/>
    <n v="4144435.842025293"/>
    <n v="3278475.5385030173"/>
  </r>
  <r>
    <s v="Sistema Isolado - Refaturamento"/>
    <x v="4"/>
    <x v="4"/>
    <x v="0"/>
    <x v="0"/>
    <x v="0"/>
    <x v="0"/>
    <x v="1"/>
    <x v="2"/>
    <n v="0"/>
    <n v="0"/>
    <n v="-70.558999999999997"/>
    <n v="-70.558999999999997"/>
    <n v="-70.558999999999997"/>
    <n v="-70.558999999999997"/>
    <n v="0"/>
    <x v="1"/>
    <n v="0"/>
    <n v="0"/>
    <n v="72"/>
    <n v="78"/>
    <n v="0"/>
    <n v="450.19"/>
    <n v="243.3"/>
    <m/>
    <n v="375.70304033862055"/>
    <n v="297.20166373463735"/>
    <n v="0"/>
    <n v="-31764.95621"/>
    <n v="-17167.004700000001"/>
    <n v="0"/>
    <n v="-26509.230823252728"/>
    <n v="-20970.252191452277"/>
  </r>
  <r>
    <s v="Sistema de Compensação"/>
    <x v="4"/>
    <x v="4"/>
    <x v="0"/>
    <x v="0"/>
    <x v="0"/>
    <x v="0"/>
    <x v="1"/>
    <x v="2"/>
    <n v="0"/>
    <n v="0"/>
    <n v="694.69200000000001"/>
    <n v="694.69200000000001"/>
    <n v="694.69200000000001"/>
    <n v="694.69200000000001"/>
    <n v="302"/>
    <x v="1"/>
    <n v="0"/>
    <n v="0"/>
    <n v="72"/>
    <n v="78"/>
    <n v="0"/>
    <n v="450.19"/>
    <n v="243.3"/>
    <m/>
    <n v="375.70304033862055"/>
    <n v="297.20166373463735"/>
    <n v="0"/>
    <n v="312743.39147999999"/>
    <n v="169018.56360000002"/>
    <n v="0"/>
    <n v="260997.89649891699"/>
    <n v="206463.61818314268"/>
  </r>
  <r>
    <s v="Sistema de Compensação"/>
    <x v="4"/>
    <x v="4"/>
    <x v="0"/>
    <x v="0"/>
    <x v="0"/>
    <x v="0"/>
    <x v="1"/>
    <x v="2"/>
    <n v="0"/>
    <n v="0"/>
    <n v="-1.6970000000000001"/>
    <n v="-1.6970000000000001"/>
    <n v="-1.6970000000000001"/>
    <n v="-1.6970000000000001"/>
    <n v="0"/>
    <x v="1"/>
    <n v="0"/>
    <n v="0"/>
    <n v="72"/>
    <n v="78"/>
    <n v="0"/>
    <n v="450.19"/>
    <n v="243.3"/>
    <m/>
    <n v="375.70304033862055"/>
    <n v="297.20166373463735"/>
    <n v="0"/>
    <n v="-763.97243000000003"/>
    <n v="-412.88010000000003"/>
    <n v="0"/>
    <n v="-637.56805945463907"/>
    <n v="-504.3512233576796"/>
  </r>
  <r>
    <s v="Regular"/>
    <x v="4"/>
    <x v="4"/>
    <x v="0"/>
    <x v="0"/>
    <x v="0"/>
    <x v="0"/>
    <x v="1"/>
    <x v="3"/>
    <n v="0"/>
    <n v="0"/>
    <n v="27326.363000000001"/>
    <n v="27326.363000000001"/>
    <n v="27326.363000000001"/>
    <n v="27326.363000000001"/>
    <n v="53924"/>
    <x v="1"/>
    <n v="0"/>
    <n v="0"/>
    <n v="72"/>
    <n v="78"/>
    <n v="0"/>
    <n v="450.19"/>
    <n v="243.3"/>
    <m/>
    <n v="375.70304033862055"/>
    <n v="297.20166373463735"/>
    <n v="0"/>
    <n v="12302055.358970001"/>
    <n v="6648504.1179000009"/>
    <n v="0"/>
    <n v="10266597.660496788"/>
    <n v="8121440.5474166358"/>
  </r>
  <r>
    <s v="Refaturamento - Regular"/>
    <x v="4"/>
    <x v="4"/>
    <x v="0"/>
    <x v="0"/>
    <x v="0"/>
    <x v="0"/>
    <x v="1"/>
    <x v="3"/>
    <n v="0"/>
    <n v="0"/>
    <n v="-1482.4949999999999"/>
    <n v="-1482.4949999999999"/>
    <n v="-1482.4949999999999"/>
    <n v="-1482.4949999999999"/>
    <n v="0"/>
    <x v="1"/>
    <n v="0"/>
    <n v="0"/>
    <n v="72"/>
    <n v="78"/>
    <n v="0"/>
    <n v="450.19"/>
    <n v="243.3"/>
    <m/>
    <n v="375.70304033862055"/>
    <n v="297.20166373463735"/>
    <n v="0"/>
    <n v="-667404.42404999991"/>
    <n v="-360691.03349999996"/>
    <n v="0"/>
    <n v="-556977.87878680322"/>
    <n v="-440599.98047828116"/>
  </r>
  <r>
    <s v="Sistema Isolado - Regular"/>
    <x v="4"/>
    <x v="4"/>
    <x v="0"/>
    <x v="0"/>
    <x v="0"/>
    <x v="0"/>
    <x v="1"/>
    <x v="3"/>
    <n v="0"/>
    <n v="0"/>
    <n v="10048.507"/>
    <n v="10048.507"/>
    <n v="10048.507"/>
    <n v="10048.507"/>
    <n v="24980"/>
    <x v="1"/>
    <n v="0"/>
    <n v="0"/>
    <n v="72"/>
    <n v="78"/>
    <n v="0"/>
    <n v="450.19"/>
    <n v="243.3"/>
    <m/>
    <n v="375.70304033862055"/>
    <n v="297.20166373463735"/>
    <n v="0"/>
    <n v="4523737.3663299996"/>
    <n v="2444801.7530999999"/>
    <n v="0"/>
    <n v="3775254.6307639107"/>
    <n v="2986432.9984491495"/>
  </r>
  <r>
    <s v="Sistema Isolado - Refaturamento"/>
    <x v="4"/>
    <x v="4"/>
    <x v="0"/>
    <x v="0"/>
    <x v="0"/>
    <x v="0"/>
    <x v="1"/>
    <x v="3"/>
    <n v="0"/>
    <n v="0"/>
    <n v="-192.215"/>
    <n v="-192.215"/>
    <n v="-192.215"/>
    <n v="-192.215"/>
    <n v="0"/>
    <x v="1"/>
    <n v="0"/>
    <n v="0"/>
    <n v="72"/>
    <n v="78"/>
    <n v="0"/>
    <n v="450.19"/>
    <n v="243.3"/>
    <m/>
    <n v="375.70304033862055"/>
    <n v="297.20166373463735"/>
    <n v="0"/>
    <n v="-86533.270850000001"/>
    <n v="-46765.909500000002"/>
    <n v="0"/>
    <n v="-72215.759898687946"/>
    <n v="-57126.617794753322"/>
  </r>
  <r>
    <s v="Sistema de Compensação"/>
    <x v="4"/>
    <x v="4"/>
    <x v="0"/>
    <x v="0"/>
    <x v="0"/>
    <x v="0"/>
    <x v="1"/>
    <x v="3"/>
    <n v="0"/>
    <n v="0"/>
    <n v="624.18100000000004"/>
    <n v="624.18100000000004"/>
    <n v="624.18100000000004"/>
    <n v="624.18100000000004"/>
    <n v="321"/>
    <x v="1"/>
    <n v="0"/>
    <n v="0"/>
    <n v="72"/>
    <n v="78"/>
    <n v="0"/>
    <n v="450.19"/>
    <n v="243.3"/>
    <m/>
    <n v="375.70304033862055"/>
    <n v="297.20166373463735"/>
    <n v="0"/>
    <n v="281000.04439"/>
    <n v="151863.23730000001"/>
    <n v="0"/>
    <n v="234506.69942160053"/>
    <n v="185507.63167154969"/>
  </r>
  <r>
    <s v="Regular"/>
    <x v="4"/>
    <x v="4"/>
    <x v="0"/>
    <x v="0"/>
    <x v="0"/>
    <x v="0"/>
    <x v="1"/>
    <x v="4"/>
    <n v="0"/>
    <n v="0"/>
    <n v="34194.228999999999"/>
    <n v="34194.228999999999"/>
    <n v="34194.228999999999"/>
    <n v="34194.228999999999"/>
    <n v="53891"/>
    <x v="1"/>
    <n v="0"/>
    <n v="0"/>
    <n v="72"/>
    <n v="78"/>
    <n v="0"/>
    <n v="450.19"/>
    <n v="243.3"/>
    <m/>
    <n v="375.70304033862055"/>
    <n v="297.20166373463735"/>
    <n v="0"/>
    <n v="15393899.953509999"/>
    <n v="8319455.9156999998"/>
    <n v="0"/>
    <n v="12846875.797335029"/>
    <n v="10162581.748923184"/>
  </r>
  <r>
    <s v="Refaturamento - Regular"/>
    <x v="4"/>
    <x v="4"/>
    <x v="0"/>
    <x v="0"/>
    <x v="0"/>
    <x v="0"/>
    <x v="1"/>
    <x v="4"/>
    <n v="0"/>
    <n v="0"/>
    <n v="-2095.9349999999999"/>
    <n v="-2095.9349999999999"/>
    <n v="-2095.9349999999999"/>
    <n v="-2095.9349999999999"/>
    <n v="0"/>
    <x v="1"/>
    <n v="0"/>
    <n v="0"/>
    <n v="72"/>
    <n v="78"/>
    <n v="0"/>
    <n v="450.19"/>
    <n v="243.3"/>
    <m/>
    <n v="375.70304033862055"/>
    <n v="297.20166373463735"/>
    <n v="0"/>
    <n v="-943568.97765000002"/>
    <n v="-509940.98550000001"/>
    <n v="0"/>
    <n v="-787449.1518521267"/>
    <n v="-622915.36907965713"/>
  </r>
  <r>
    <s v="Sistema Isolado - Regular"/>
    <x v="4"/>
    <x v="4"/>
    <x v="0"/>
    <x v="0"/>
    <x v="0"/>
    <x v="0"/>
    <x v="1"/>
    <x v="4"/>
    <n v="0"/>
    <n v="0"/>
    <n v="10352.092000000001"/>
    <n v="10352.092000000001"/>
    <n v="10352.092000000001"/>
    <n v="10352.092000000001"/>
    <n v="24939"/>
    <x v="1"/>
    <n v="0"/>
    <n v="0"/>
    <n v="72"/>
    <n v="78"/>
    <n v="0"/>
    <n v="450.19"/>
    <n v="243.3"/>
    <m/>
    <n v="375.70304033862055"/>
    <n v="297.20166373463735"/>
    <n v="0"/>
    <n v="4660408.2974800002"/>
    <n v="2518663.9836000004"/>
    <n v="0"/>
    <n v="3889312.4382651113"/>
    <n v="3076658.9655340295"/>
  </r>
  <r>
    <s v="Sistema Isolado - Refaturamento"/>
    <x v="4"/>
    <x v="4"/>
    <x v="0"/>
    <x v="0"/>
    <x v="0"/>
    <x v="0"/>
    <x v="1"/>
    <x v="4"/>
    <n v="0"/>
    <n v="0"/>
    <n v="-697.44500000000005"/>
    <n v="-697.44500000000005"/>
    <n v="-697.44500000000005"/>
    <n v="-697.44500000000005"/>
    <n v="0"/>
    <x v="1"/>
    <n v="0"/>
    <n v="0"/>
    <n v="72"/>
    <n v="78"/>
    <n v="0"/>
    <n v="450.19"/>
    <n v="243.3"/>
    <m/>
    <n v="375.70304033862055"/>
    <n v="297.20166373463735"/>
    <n v="0"/>
    <n v="-313982.76455000002"/>
    <n v="-169688.36850000001"/>
    <n v="0"/>
    <n v="-262032.20696896923"/>
    <n v="-207281.81436340415"/>
  </r>
  <r>
    <s v="Sistema de Compensação"/>
    <x v="4"/>
    <x v="4"/>
    <x v="0"/>
    <x v="0"/>
    <x v="0"/>
    <x v="0"/>
    <x v="1"/>
    <x v="4"/>
    <n v="0"/>
    <n v="0"/>
    <n v="779.75199999999995"/>
    <n v="779.75199999999995"/>
    <n v="779.75199999999995"/>
    <n v="779.75199999999995"/>
    <n v="340"/>
    <x v="1"/>
    <n v="0"/>
    <n v="0"/>
    <n v="72"/>
    <n v="78"/>
    <n v="0"/>
    <n v="450.19"/>
    <n v="243.3"/>
    <m/>
    <n v="375.70304033862055"/>
    <n v="297.20166373463735"/>
    <n v="0"/>
    <n v="351036.55287999997"/>
    <n v="189713.66159999999"/>
    <n v="0"/>
    <n v="292955.19711012003"/>
    <n v="231743.59170041094"/>
  </r>
  <r>
    <s v="Sistema de Compensação"/>
    <x v="4"/>
    <x v="4"/>
    <x v="0"/>
    <x v="0"/>
    <x v="0"/>
    <x v="0"/>
    <x v="1"/>
    <x v="4"/>
    <n v="0"/>
    <n v="0"/>
    <n v="-1.0109999999999999"/>
    <n v="-1.0109999999999999"/>
    <n v="-1.0109999999999999"/>
    <n v="-1.0109999999999999"/>
    <n v="0"/>
    <x v="1"/>
    <n v="0"/>
    <n v="0"/>
    <n v="72"/>
    <n v="78"/>
    <n v="0"/>
    <n v="450.19"/>
    <n v="243.3"/>
    <m/>
    <n v="375.70304033862055"/>
    <n v="297.20166373463735"/>
    <n v="0"/>
    <n v="-455.14208999999994"/>
    <n v="-245.97629999999998"/>
    <n v="0"/>
    <n v="-379.83577378234531"/>
    <n v="-300.47088203571832"/>
  </r>
  <r>
    <s v="Regular"/>
    <x v="4"/>
    <x v="4"/>
    <x v="0"/>
    <x v="0"/>
    <x v="0"/>
    <x v="0"/>
    <x v="1"/>
    <x v="5"/>
    <n v="0"/>
    <n v="0"/>
    <n v="38872.491000000002"/>
    <n v="38872.491000000002"/>
    <n v="38872.491000000002"/>
    <n v="38872.491000000002"/>
    <n v="47474"/>
    <x v="1"/>
    <n v="0"/>
    <n v="0"/>
    <n v="72"/>
    <n v="78"/>
    <n v="0"/>
    <n v="450.19"/>
    <n v="243.3"/>
    <m/>
    <n v="375.70304033862055"/>
    <n v="297.20166373463735"/>
    <n v="0"/>
    <n v="17500006.72329"/>
    <n v="9457677.0603"/>
    <n v="0"/>
    <n v="14604513.054235665"/>
    <n v="11552968.998709718"/>
  </r>
  <r>
    <s v="Refaturamento - Regular"/>
    <x v="4"/>
    <x v="4"/>
    <x v="0"/>
    <x v="0"/>
    <x v="0"/>
    <x v="0"/>
    <x v="1"/>
    <x v="5"/>
    <n v="0"/>
    <n v="0"/>
    <n v="-1902.2840000000001"/>
    <n v="-1902.2840000000001"/>
    <n v="-1902.2840000000001"/>
    <n v="-1902.2840000000001"/>
    <n v="0"/>
    <x v="1"/>
    <n v="0"/>
    <n v="0"/>
    <n v="72"/>
    <n v="78"/>
    <n v="0"/>
    <n v="450.19"/>
    <n v="243.3"/>
    <m/>
    <n v="375.70304033862055"/>
    <n v="297.20166373463735"/>
    <n v="0"/>
    <n v="-856389.2339600001"/>
    <n v="-462825.69720000005"/>
    <n v="0"/>
    <n v="-714693.88238751248"/>
    <n v="-565361.96969578089"/>
  </r>
  <r>
    <s v="Sistema Isolado - Regular"/>
    <x v="4"/>
    <x v="4"/>
    <x v="0"/>
    <x v="0"/>
    <x v="0"/>
    <x v="0"/>
    <x v="1"/>
    <x v="5"/>
    <n v="0"/>
    <n v="0"/>
    <n v="11344.995000000001"/>
    <n v="11344.995000000001"/>
    <n v="11344.995000000001"/>
    <n v="11344.995000000001"/>
    <n v="23887"/>
    <x v="1"/>
    <n v="0"/>
    <n v="0"/>
    <n v="72"/>
    <n v="78"/>
    <n v="0"/>
    <n v="450.19"/>
    <n v="243.3"/>
    <m/>
    <n v="375.70304033862055"/>
    <n v="297.20166373463735"/>
    <n v="0"/>
    <n v="5107403.2990500005"/>
    <n v="2760237.2835000004"/>
    <n v="0"/>
    <n v="4262349.1141264485"/>
    <n v="3371751.3890611422"/>
  </r>
  <r>
    <s v="Sistema Isolado - Refaturamento"/>
    <x v="4"/>
    <x v="4"/>
    <x v="0"/>
    <x v="0"/>
    <x v="0"/>
    <x v="0"/>
    <x v="1"/>
    <x v="5"/>
    <n v="0"/>
    <n v="0"/>
    <n v="-247.63399999999999"/>
    <n v="-247.63399999999999"/>
    <n v="-247.63399999999999"/>
    <n v="-247.63399999999999"/>
    <n v="0"/>
    <x v="1"/>
    <n v="0"/>
    <n v="0"/>
    <n v="72"/>
    <n v="78"/>
    <n v="0"/>
    <n v="450.19"/>
    <n v="243.3"/>
    <m/>
    <n v="375.70304033862055"/>
    <n v="297.20166373463735"/>
    <n v="0"/>
    <n v="-111482.35045999999"/>
    <n v="-60249.352200000001"/>
    <n v="0"/>
    <n v="-93036.846691213956"/>
    <n v="-73597.236797263176"/>
  </r>
  <r>
    <s v="Sistema de Compensação"/>
    <x v="4"/>
    <x v="4"/>
    <x v="0"/>
    <x v="0"/>
    <x v="0"/>
    <x v="0"/>
    <x v="1"/>
    <x v="5"/>
    <n v="0"/>
    <n v="0"/>
    <n v="870.24800000000005"/>
    <n v="870.24800000000005"/>
    <n v="870.24800000000005"/>
    <n v="870.24800000000005"/>
    <n v="362"/>
    <x v="1"/>
    <n v="0"/>
    <n v="0"/>
    <n v="72"/>
    <n v="78"/>
    <n v="0"/>
    <n v="450.19"/>
    <n v="243.3"/>
    <m/>
    <n v="375.70304033862055"/>
    <n v="297.20166373463735"/>
    <n v="0"/>
    <n v="391776.94712000003"/>
    <n v="211731.33840000001"/>
    <n v="0"/>
    <n v="326954.8194486039"/>
    <n v="258639.1534617407"/>
  </r>
  <r>
    <s v="Sistema de Compensação"/>
    <x v="4"/>
    <x v="4"/>
    <x v="0"/>
    <x v="0"/>
    <x v="0"/>
    <x v="0"/>
    <x v="1"/>
    <x v="5"/>
    <n v="0"/>
    <n v="0"/>
    <n v="-1.647"/>
    <n v="-1.647"/>
    <n v="-1.647"/>
    <n v="-1.647"/>
    <n v="0"/>
    <x v="1"/>
    <n v="0"/>
    <n v="0"/>
    <n v="72"/>
    <n v="78"/>
    <n v="0"/>
    <n v="450.19"/>
    <n v="243.3"/>
    <m/>
    <n v="375.70304033862055"/>
    <n v="297.20166373463735"/>
    <n v="0"/>
    <n v="-741.46293000000003"/>
    <n v="-400.71510000000001"/>
    <n v="0"/>
    <n v="-618.7829074377081"/>
    <n v="-489.49114017094774"/>
  </r>
  <r>
    <s v="Regular"/>
    <x v="4"/>
    <x v="4"/>
    <x v="0"/>
    <x v="0"/>
    <x v="0"/>
    <x v="0"/>
    <x v="1"/>
    <x v="6"/>
    <n v="0"/>
    <n v="0"/>
    <n v="39987.773999999998"/>
    <n v="39987.773999999998"/>
    <n v="39987.773999999998"/>
    <n v="39987.773999999998"/>
    <n v="47751"/>
    <x v="1"/>
    <n v="0"/>
    <n v="0"/>
    <n v="72"/>
    <n v="78"/>
    <n v="0"/>
    <n v="450.19"/>
    <n v="243.3"/>
    <m/>
    <n v="375.70304033862055"/>
    <n v="297.20166373463735"/>
    <n v="0"/>
    <n v="18002095.977059998"/>
    <n v="9729025.4142000005"/>
    <n v="0"/>
    <n v="15023528.268173641"/>
    <n v="11884432.961844673"/>
  </r>
  <r>
    <s v="Refaturamento - Regular"/>
    <x v="4"/>
    <x v="4"/>
    <x v="0"/>
    <x v="0"/>
    <x v="0"/>
    <x v="0"/>
    <x v="1"/>
    <x v="6"/>
    <n v="0"/>
    <n v="0"/>
    <n v="-1918.0930000000001"/>
    <n v="-1918.0930000000001"/>
    <n v="-1918.0930000000001"/>
    <n v="-1918.0930000000001"/>
    <n v="0"/>
    <x v="1"/>
    <n v="0"/>
    <n v="0"/>
    <n v="72"/>
    <n v="78"/>
    <n v="0"/>
    <n v="450.19"/>
    <n v="243.3"/>
    <m/>
    <n v="375.70304033862055"/>
    <n v="297.20166373463735"/>
    <n v="0"/>
    <n v="-863506.28766999999"/>
    <n v="-466672.02690000006"/>
    <n v="0"/>
    <n v="-720633.37175222579"/>
    <n v="-570060.43079776177"/>
  </r>
  <r>
    <s v="Sistema Isolado - Regular"/>
    <x v="4"/>
    <x v="4"/>
    <x v="0"/>
    <x v="0"/>
    <x v="0"/>
    <x v="0"/>
    <x v="1"/>
    <x v="6"/>
    <n v="0"/>
    <n v="0"/>
    <n v="12087.911"/>
    <n v="12087.911"/>
    <n v="12087.911"/>
    <n v="12087.911"/>
    <n v="23963"/>
    <x v="1"/>
    <n v="0"/>
    <n v="0"/>
    <n v="72"/>
    <n v="78"/>
    <n v="0"/>
    <n v="450.19"/>
    <n v="243.3"/>
    <m/>
    <n v="375.70304033862055"/>
    <n v="297.20166373463735"/>
    <n v="0"/>
    <n v="5441856.6530900002"/>
    <n v="2940988.7463000002"/>
    <n v="0"/>
    <n v="4541464.9140426554"/>
    <n v="3592547.260276224"/>
  </r>
  <r>
    <s v="Sistema Isolado - Refaturamento"/>
    <x v="4"/>
    <x v="4"/>
    <x v="0"/>
    <x v="0"/>
    <x v="0"/>
    <x v="0"/>
    <x v="1"/>
    <x v="6"/>
    <n v="0"/>
    <n v="0"/>
    <n v="-144.208"/>
    <n v="-144.208"/>
    <n v="-144.208"/>
    <n v="-144.208"/>
    <n v="0"/>
    <x v="1"/>
    <n v="0"/>
    <n v="0"/>
    <n v="72"/>
    <n v="78"/>
    <n v="0"/>
    <n v="450.19"/>
    <n v="243.3"/>
    <m/>
    <n v="375.70304033862055"/>
    <n v="297.20166373463735"/>
    <n v="0"/>
    <n v="-64920.999519999998"/>
    <n v="-35085.806400000001"/>
    <n v="0"/>
    <n v="-54179.384041151789"/>
    <n v="-42858.857523844585"/>
  </r>
  <r>
    <s v="Sistema de Compensação"/>
    <x v="4"/>
    <x v="4"/>
    <x v="0"/>
    <x v="0"/>
    <x v="0"/>
    <x v="0"/>
    <x v="1"/>
    <x v="6"/>
    <n v="0"/>
    <n v="0"/>
    <n v="1020.754"/>
    <n v="1020.754"/>
    <n v="1020.754"/>
    <n v="1020.754"/>
    <n v="389"/>
    <x v="1"/>
    <n v="0"/>
    <n v="0"/>
    <n v="72"/>
    <n v="78"/>
    <n v="0"/>
    <n v="450.19"/>
    <n v="243.3"/>
    <m/>
    <n v="375.70304033862055"/>
    <n v="297.20166373463735"/>
    <n v="0"/>
    <n v="459533.24326000002"/>
    <n v="248349.44820000001"/>
    <n v="0"/>
    <n v="383500.38123780827"/>
    <n v="303369.787063786"/>
  </r>
  <r>
    <s v="Sistema de Compensação"/>
    <x v="4"/>
    <x v="4"/>
    <x v="0"/>
    <x v="0"/>
    <x v="0"/>
    <x v="0"/>
    <x v="1"/>
    <x v="6"/>
    <n v="0"/>
    <n v="0"/>
    <n v="-5.5629999999999997"/>
    <n v="-5.5629999999999997"/>
    <n v="-5.5629999999999997"/>
    <n v="-5.5629999999999997"/>
    <n v="0"/>
    <x v="1"/>
    <n v="0"/>
    <n v="0"/>
    <n v="72"/>
    <n v="78"/>
    <n v="0"/>
    <n v="450.19"/>
    <n v="243.3"/>
    <m/>
    <n v="375.70304033862055"/>
    <n v="297.20166373463735"/>
    <n v="0"/>
    <n v="-2504.40697"/>
    <n v="-1353.4779000000001"/>
    <n v="0"/>
    <n v="-2090.036013403746"/>
    <n v="-1653.3328553557874"/>
  </r>
  <r>
    <s v="Regular"/>
    <x v="4"/>
    <x v="4"/>
    <x v="0"/>
    <x v="0"/>
    <x v="0"/>
    <x v="0"/>
    <x v="1"/>
    <x v="7"/>
    <n v="0"/>
    <n v="0"/>
    <n v="44464.385999999999"/>
    <n v="44464.385999999999"/>
    <n v="44464.385999999999"/>
    <n v="44464.385999999999"/>
    <n v="48305"/>
    <x v="1"/>
    <n v="0"/>
    <n v="0"/>
    <n v="72"/>
    <n v="78"/>
    <n v="0"/>
    <n v="450.19"/>
    <n v="243.3"/>
    <m/>
    <n v="375.70304033862055"/>
    <n v="297.20166373463735"/>
    <n v="0"/>
    <n v="20017421.933339998"/>
    <n v="10818185.1138"/>
    <n v="0"/>
    <n v="16705405.006989995"/>
    <n v="13214889.496139117"/>
  </r>
  <r>
    <s v="Refaturamento - Regular"/>
    <x v="4"/>
    <x v="4"/>
    <x v="0"/>
    <x v="0"/>
    <x v="0"/>
    <x v="0"/>
    <x v="1"/>
    <x v="7"/>
    <n v="0"/>
    <n v="0"/>
    <n v="-2346.9409999999998"/>
    <n v="-2346.9409999999998"/>
    <n v="-2346.9409999999998"/>
    <n v="-2346.9409999999998"/>
    <n v="0"/>
    <x v="1"/>
    <n v="0"/>
    <n v="0"/>
    <n v="72"/>
    <n v="78"/>
    <n v="0"/>
    <n v="450.19"/>
    <n v="243.3"/>
    <m/>
    <n v="375.70304033862055"/>
    <n v="297.20166373463735"/>
    <n v="0"/>
    <n v="-1056569.36879"/>
    <n v="-571010.74529999995"/>
    <n v="0"/>
    <n v="-881752.86919536244"/>
    <n v="-697514.7698870335"/>
  </r>
  <r>
    <s v="Sistema Isolado - Regular"/>
    <x v="4"/>
    <x v="4"/>
    <x v="0"/>
    <x v="0"/>
    <x v="0"/>
    <x v="0"/>
    <x v="1"/>
    <x v="7"/>
    <n v="0"/>
    <n v="0"/>
    <n v="13332.038"/>
    <n v="13332.038"/>
    <n v="13332.038"/>
    <n v="13332.038"/>
    <n v="24072"/>
    <x v="1"/>
    <n v="0"/>
    <n v="0"/>
    <n v="72"/>
    <n v="78"/>
    <n v="0"/>
    <n v="450.19"/>
    <n v="243.3"/>
    <m/>
    <n v="375.70304033862055"/>
    <n v="297.20166373463735"/>
    <n v="0"/>
    <n v="6001950.1872199997"/>
    <n v="3243684.8454000005"/>
    <n v="0"/>
    <n v="5008887.210510022"/>
    <n v="3962303.8745734072"/>
  </r>
  <r>
    <s v="Sistema Isolado - Refaturamento"/>
    <x v="4"/>
    <x v="4"/>
    <x v="0"/>
    <x v="0"/>
    <x v="0"/>
    <x v="0"/>
    <x v="1"/>
    <x v="7"/>
    <n v="0"/>
    <n v="0"/>
    <n v="-590.11300000000006"/>
    <n v="-590.11300000000006"/>
    <n v="-590.11300000000006"/>
    <n v="-590.11300000000006"/>
    <n v="0"/>
    <x v="1"/>
    <n v="0"/>
    <n v="0"/>
    <n v="72"/>
    <n v="78"/>
    <n v="0"/>
    <n v="450.19"/>
    <n v="243.3"/>
    <m/>
    <n v="375.70304033862055"/>
    <n v="297.20166373463735"/>
    <n v="0"/>
    <n v="-265662.97147000005"/>
    <n v="-143574.49290000001"/>
    <n v="0"/>
    <n v="-221707.24824334442"/>
    <n v="-175382.56539143805"/>
  </r>
  <r>
    <s v="Sistema de Compensação"/>
    <x v="4"/>
    <x v="4"/>
    <x v="0"/>
    <x v="0"/>
    <x v="0"/>
    <x v="0"/>
    <x v="1"/>
    <x v="7"/>
    <n v="0"/>
    <n v="0"/>
    <n v="1171.069"/>
    <n v="1171.069"/>
    <n v="1171.069"/>
    <n v="1171.069"/>
    <n v="434"/>
    <x v="1"/>
    <n v="0"/>
    <n v="0"/>
    <n v="72"/>
    <n v="78"/>
    <n v="0"/>
    <n v="450.19"/>
    <n v="243.3"/>
    <m/>
    <n v="375.70304033862055"/>
    <n v="297.20166373463735"/>
    <n v="0"/>
    <n v="527203.55310999998"/>
    <n v="284921.08769999997"/>
    <n v="0"/>
    <n v="439974.18374630803"/>
    <n v="348043.65514805802"/>
  </r>
  <r>
    <s v="Sistema de Compensação"/>
    <x v="4"/>
    <x v="4"/>
    <x v="0"/>
    <x v="0"/>
    <x v="0"/>
    <x v="0"/>
    <x v="1"/>
    <x v="7"/>
    <n v="0"/>
    <n v="0"/>
    <n v="-2.9119999999999999"/>
    <n v="-2.9119999999999999"/>
    <n v="-2.9119999999999999"/>
    <n v="-2.9119999999999999"/>
    <n v="0"/>
    <x v="1"/>
    <n v="0"/>
    <n v="0"/>
    <n v="72"/>
    <n v="78"/>
    <n v="0"/>
    <n v="450.19"/>
    <n v="243.3"/>
    <m/>
    <n v="375.70304033862055"/>
    <n v="297.20166373463735"/>
    <n v="0"/>
    <n v="-1310.9532799999999"/>
    <n v="-708.4896"/>
    <n v="0"/>
    <n v="-1094.047253466063"/>
    <n v="-865.45124479526396"/>
  </r>
  <r>
    <s v="Regular"/>
    <x v="4"/>
    <x v="4"/>
    <x v="0"/>
    <x v="0"/>
    <x v="0"/>
    <x v="0"/>
    <x v="1"/>
    <x v="8"/>
    <n v="0"/>
    <n v="0"/>
    <n v="47190.413999999997"/>
    <n v="47190.413999999997"/>
    <n v="47190.413999999997"/>
    <n v="47190.413999999997"/>
    <n v="48805"/>
    <x v="1"/>
    <n v="0"/>
    <n v="0"/>
    <n v="72"/>
    <n v="78"/>
    <n v="0"/>
    <n v="450.19"/>
    <n v="243.3"/>
    <m/>
    <n v="375.70304033862055"/>
    <n v="297.20166373463735"/>
    <n v="0"/>
    <n v="21244652.478659999"/>
    <n v="11481427.726199999"/>
    <n v="0"/>
    <n v="17729582.014638204"/>
    <n v="14025069.553126322"/>
  </r>
  <r>
    <s v="Refaturamento - Regular"/>
    <x v="4"/>
    <x v="4"/>
    <x v="0"/>
    <x v="0"/>
    <x v="0"/>
    <x v="0"/>
    <x v="1"/>
    <x v="8"/>
    <n v="0"/>
    <n v="0"/>
    <n v="-1382.42"/>
    <n v="-1382.42"/>
    <n v="-1382.42"/>
    <n v="-1382.42"/>
    <n v="0"/>
    <x v="1"/>
    <n v="0"/>
    <n v="0"/>
    <n v="72"/>
    <n v="78"/>
    <n v="0"/>
    <n v="450.19"/>
    <n v="243.3"/>
    <m/>
    <n v="375.70304033862055"/>
    <n v="297.20166373463735"/>
    <n v="0"/>
    <n v="-622351.65980000002"/>
    <n v="-336342.78600000002"/>
    <n v="0"/>
    <n v="-519379.39702491584"/>
    <n v="-410857.52398003737"/>
  </r>
  <r>
    <s v="Sistema Isolado - Regular"/>
    <x v="4"/>
    <x v="4"/>
    <x v="0"/>
    <x v="0"/>
    <x v="0"/>
    <x v="0"/>
    <x v="1"/>
    <x v="8"/>
    <n v="0"/>
    <n v="0"/>
    <n v="12342.057000000001"/>
    <n v="12342.057000000001"/>
    <n v="12342.057000000001"/>
    <n v="12342.057000000001"/>
    <n v="23993"/>
    <x v="1"/>
    <n v="0"/>
    <n v="0"/>
    <n v="72"/>
    <n v="78"/>
    <n v="0"/>
    <n v="450.19"/>
    <n v="243.3"/>
    <m/>
    <n v="375.70304033862055"/>
    <n v="297.20166373463735"/>
    <n v="0"/>
    <n v="5556270.6408299999"/>
    <n v="3002822.4681000002"/>
    <n v="0"/>
    <n v="4636948.3389325542"/>
    <n v="3668079.8743077274"/>
  </r>
  <r>
    <s v="Sistema Isolado - Refaturamento"/>
    <x v="4"/>
    <x v="4"/>
    <x v="0"/>
    <x v="0"/>
    <x v="0"/>
    <x v="0"/>
    <x v="1"/>
    <x v="8"/>
    <n v="0"/>
    <n v="0"/>
    <n v="-154.84100000000001"/>
    <n v="-154.84100000000001"/>
    <n v="-154.84100000000001"/>
    <n v="-154.84100000000001"/>
    <n v="0"/>
    <x v="1"/>
    <n v="0"/>
    <n v="0"/>
    <n v="72"/>
    <n v="78"/>
    <n v="0"/>
    <n v="450.19"/>
    <n v="243.3"/>
    <m/>
    <n v="375.70304033862055"/>
    <n v="297.20166373463735"/>
    <n v="0"/>
    <n v="-69707.869789999997"/>
    <n v="-37672.815300000002"/>
    <n v="0"/>
    <n v="-58174.234469072348"/>
    <n v="-46019.002814334985"/>
  </r>
  <r>
    <s v="Sistema de Compensação"/>
    <x v="4"/>
    <x v="4"/>
    <x v="0"/>
    <x v="0"/>
    <x v="0"/>
    <x v="0"/>
    <x v="1"/>
    <x v="8"/>
    <n v="0"/>
    <n v="0"/>
    <n v="1233.58"/>
    <n v="1233.58"/>
    <n v="1233.58"/>
    <n v="1233.58"/>
    <n v="472"/>
    <x v="1"/>
    <n v="0"/>
    <n v="0"/>
    <n v="72"/>
    <n v="78"/>
    <n v="0"/>
    <n v="450.19"/>
    <n v="243.3"/>
    <m/>
    <n v="375.70304033862055"/>
    <n v="297.20166373463735"/>
    <n v="0"/>
    <n v="555345.38020000001"/>
    <n v="300130.01400000002"/>
    <n v="0"/>
    <n v="463459.75650091551"/>
    <n v="366622.0283497739"/>
  </r>
  <r>
    <s v="Sistema de Compensação"/>
    <x v="4"/>
    <x v="4"/>
    <x v="0"/>
    <x v="0"/>
    <x v="0"/>
    <x v="0"/>
    <x v="1"/>
    <x v="8"/>
    <n v="0"/>
    <n v="0"/>
    <n v="39.472999999999999"/>
    <n v="39.472999999999999"/>
    <n v="39.472999999999999"/>
    <n v="39.472999999999999"/>
    <n v="0"/>
    <x v="1"/>
    <n v="0"/>
    <n v="0"/>
    <n v="72"/>
    <n v="78"/>
    <n v="0"/>
    <n v="450.19"/>
    <n v="243.3"/>
    <m/>
    <n v="375.70304033862055"/>
    <n v="297.20166373463735"/>
    <n v="0"/>
    <n v="17770.349869999998"/>
    <n v="9603.7808999999997"/>
    <n v="0"/>
    <n v="14830.126111286369"/>
    <n v="11731.44127259734"/>
  </r>
  <r>
    <s v="Regular"/>
    <x v="4"/>
    <x v="4"/>
    <x v="0"/>
    <x v="0"/>
    <x v="0"/>
    <x v="0"/>
    <x v="1"/>
    <x v="9"/>
    <n v="0"/>
    <n v="0"/>
    <n v="53728.724000000002"/>
    <n v="53728.724000000002"/>
    <n v="53728.724000000002"/>
    <n v="53728.724000000002"/>
    <n v="49287"/>
    <x v="1"/>
    <n v="0"/>
    <n v="0"/>
    <n v="72"/>
    <n v="78"/>
    <n v="0"/>
    <n v="450.19"/>
    <n v="243.3"/>
    <m/>
    <n v="375.70304033862055"/>
    <n v="297.20166373463735"/>
    <n v="0"/>
    <n v="24188134.25756"/>
    <n v="13072198.5492"/>
    <n v="0"/>
    <n v="20186044.960314613"/>
    <n v="15968266.16313914"/>
  </r>
  <r>
    <s v="Refaturamento - Regular"/>
    <x v="4"/>
    <x v="4"/>
    <x v="0"/>
    <x v="0"/>
    <x v="0"/>
    <x v="0"/>
    <x v="1"/>
    <x v="9"/>
    <n v="0"/>
    <n v="0"/>
    <n v="-1435.499"/>
    <n v="-1435.499"/>
    <n v="-1435.499"/>
    <n v="-1435.499"/>
    <n v="0"/>
    <x v="1"/>
    <n v="0"/>
    <n v="0"/>
    <n v="72"/>
    <n v="78"/>
    <n v="0"/>
    <n v="450.19"/>
    <n v="243.3"/>
    <m/>
    <n v="375.70304033862055"/>
    <n v="297.20166373463735"/>
    <n v="0"/>
    <n v="-646247.29480999999"/>
    <n v="-349256.90670000005"/>
    <n v="0"/>
    <n v="-539321.33870304946"/>
    <n v="-426632.69108940818"/>
  </r>
  <r>
    <s v="Sistema Isolado - Regular"/>
    <x v="4"/>
    <x v="4"/>
    <x v="0"/>
    <x v="0"/>
    <x v="0"/>
    <x v="0"/>
    <x v="1"/>
    <x v="9"/>
    <n v="0"/>
    <n v="0"/>
    <n v="13270.448"/>
    <n v="13270.448"/>
    <n v="13270.448"/>
    <n v="13270.448"/>
    <n v="23966"/>
    <x v="1"/>
    <n v="0"/>
    <n v="0"/>
    <n v="72"/>
    <n v="78"/>
    <n v="0"/>
    <n v="450.19"/>
    <n v="243.3"/>
    <m/>
    <n v="375.70304033862055"/>
    <n v="297.20166373463735"/>
    <n v="0"/>
    <n v="5974222.9851200003"/>
    <n v="3228699.9984000004"/>
    <n v="0"/>
    <n v="4985747.6602555662"/>
    <n v="3943999.2241039909"/>
  </r>
  <r>
    <s v="Sistema Isolado - Refaturamento"/>
    <x v="4"/>
    <x v="4"/>
    <x v="0"/>
    <x v="0"/>
    <x v="0"/>
    <x v="0"/>
    <x v="1"/>
    <x v="9"/>
    <n v="0"/>
    <n v="0"/>
    <n v="-130.62"/>
    <n v="-130.62"/>
    <n v="-130.62"/>
    <n v="-130.62"/>
    <n v="0"/>
    <x v="1"/>
    <n v="0"/>
    <n v="0"/>
    <n v="72"/>
    <n v="78"/>
    <n v="0"/>
    <n v="450.19"/>
    <n v="243.3"/>
    <m/>
    <n v="375.70304033862055"/>
    <n v="297.20166373463735"/>
    <n v="0"/>
    <n v="-58803.817800000004"/>
    <n v="-31779.846000000001"/>
    <n v="0"/>
    <n v="-49074.331129030616"/>
    <n v="-38820.481317018333"/>
  </r>
  <r>
    <s v="Sistema de Compensação"/>
    <x v="4"/>
    <x v="4"/>
    <x v="0"/>
    <x v="0"/>
    <x v="0"/>
    <x v="0"/>
    <x v="1"/>
    <x v="9"/>
    <n v="0"/>
    <n v="0"/>
    <n v="1363.7249999999999"/>
    <n v="1363.7249999999999"/>
    <n v="1363.7249999999999"/>
    <n v="1363.7249999999999"/>
    <n v="511"/>
    <x v="1"/>
    <n v="0"/>
    <n v="0"/>
    <n v="72"/>
    <n v="78"/>
    <n v="0"/>
    <n v="450.19"/>
    <n v="243.3"/>
    <m/>
    <n v="375.70304033862055"/>
    <n v="297.20166373463735"/>
    <n v="0"/>
    <n v="613935.35774999997"/>
    <n v="331794.29249999998"/>
    <n v="0"/>
    <n v="512355.62868578528"/>
    <n v="405301.3388765183"/>
  </r>
  <r>
    <s v="Sistema de Compensação"/>
    <x v="4"/>
    <x v="4"/>
    <x v="0"/>
    <x v="0"/>
    <x v="0"/>
    <x v="0"/>
    <x v="1"/>
    <x v="9"/>
    <n v="0"/>
    <n v="0"/>
    <n v="-7.8319999999999999"/>
    <n v="-7.8319999999999999"/>
    <n v="-7.8319999999999999"/>
    <n v="-7.8319999999999999"/>
    <n v="0"/>
    <x v="1"/>
    <n v="0"/>
    <n v="0"/>
    <n v="72"/>
    <n v="78"/>
    <n v="0"/>
    <n v="450.19"/>
    <n v="243.3"/>
    <m/>
    <n v="375.70304033862055"/>
    <n v="297.20166373463735"/>
    <n v="0"/>
    <n v="-3525.8880799999997"/>
    <n v="-1905.5255999999999"/>
    <n v="0"/>
    <n v="-2942.506211932076"/>
    <n v="-2327.6834303696796"/>
  </r>
  <r>
    <s v="Regular"/>
    <x v="4"/>
    <x v="4"/>
    <x v="0"/>
    <x v="0"/>
    <x v="0"/>
    <x v="0"/>
    <x v="1"/>
    <x v="10"/>
    <n v="0"/>
    <n v="0"/>
    <n v="50433.957000000002"/>
    <n v="50433.957000000002"/>
    <n v="50433.957000000002"/>
    <n v="50433.957000000002"/>
    <n v="49608"/>
    <x v="1"/>
    <n v="0"/>
    <n v="0"/>
    <n v="72"/>
    <n v="78"/>
    <n v="0"/>
    <n v="450.19"/>
    <n v="243.3"/>
    <m/>
    <n v="375.70304033862055"/>
    <n v="297.20166373463735"/>
    <n v="0"/>
    <n v="22704863.101830002"/>
    <n v="12270581.738100002"/>
    <n v="0"/>
    <n v="18948190.981207255"/>
    <n v="14989055.929121161"/>
  </r>
  <r>
    <s v="Refaturamento - Regular"/>
    <x v="4"/>
    <x v="4"/>
    <x v="0"/>
    <x v="0"/>
    <x v="0"/>
    <x v="0"/>
    <x v="1"/>
    <x v="10"/>
    <n v="0"/>
    <n v="0"/>
    <n v="-2977.6590000000001"/>
    <n v="-2977.6590000000001"/>
    <n v="-2977.6590000000001"/>
    <n v="-2977.6590000000001"/>
    <n v="0"/>
    <x v="1"/>
    <n v="0"/>
    <n v="0"/>
    <n v="72"/>
    <n v="78"/>
    <n v="0"/>
    <n v="450.19"/>
    <n v="243.3"/>
    <m/>
    <n v="375.70304033862055"/>
    <n v="297.20166373463735"/>
    <n v="0"/>
    <n v="-1340512.3052100001"/>
    <n v="-724464.4347000001"/>
    <n v="0"/>
    <n v="-1118715.5393916566"/>
    <n v="-884965.20883441658"/>
  </r>
  <r>
    <s v="Sistema Isolado - Regular"/>
    <x v="4"/>
    <x v="4"/>
    <x v="0"/>
    <x v="0"/>
    <x v="0"/>
    <x v="0"/>
    <x v="1"/>
    <x v="10"/>
    <n v="0"/>
    <n v="0"/>
    <n v="14906.736000000001"/>
    <n v="14906.736000000001"/>
    <n v="14906.736000000001"/>
    <n v="14906.736000000001"/>
    <n v="24200"/>
    <x v="1"/>
    <n v="0"/>
    <n v="0"/>
    <n v="72"/>
    <n v="78"/>
    <n v="0"/>
    <n v="450.19"/>
    <n v="243.3"/>
    <m/>
    <n v="375.70304033862055"/>
    <n v="297.20166373463735"/>
    <n v="0"/>
    <n v="6710863.4798400002"/>
    <n v="3626808.8688000003"/>
    <n v="0"/>
    <n v="5600506.0367251672"/>
    <n v="4430306.740053013"/>
  </r>
  <r>
    <s v="Sistema Isolado - Refaturamento"/>
    <x v="4"/>
    <x v="4"/>
    <x v="0"/>
    <x v="0"/>
    <x v="0"/>
    <x v="0"/>
    <x v="1"/>
    <x v="10"/>
    <n v="0"/>
    <n v="0"/>
    <n v="-122.572"/>
    <n v="-122.572"/>
    <n v="-122.572"/>
    <n v="-122.572"/>
    <n v="0"/>
    <x v="1"/>
    <n v="0"/>
    <n v="0"/>
    <n v="72"/>
    <n v="78"/>
    <n v="0"/>
    <n v="450.19"/>
    <n v="243.3"/>
    <m/>
    <n v="375.70304033862055"/>
    <n v="297.20166373463735"/>
    <n v="0"/>
    <n v="-55180.688679999999"/>
    <n v="-29821.767600000003"/>
    <n v="0"/>
    <n v="-46050.673060385401"/>
    <n v="-36428.602327281973"/>
  </r>
  <r>
    <s v="Sistema de Compensação"/>
    <x v="4"/>
    <x v="4"/>
    <x v="0"/>
    <x v="0"/>
    <x v="0"/>
    <x v="0"/>
    <x v="1"/>
    <x v="10"/>
    <n v="0"/>
    <n v="0"/>
    <n v="1501.827"/>
    <n v="1501.827"/>
    <n v="1501.827"/>
    <n v="1501.827"/>
    <n v="562"/>
    <x v="1"/>
    <n v="0"/>
    <n v="0"/>
    <n v="72"/>
    <n v="78"/>
    <n v="0"/>
    <n v="450.19"/>
    <n v="243.3"/>
    <m/>
    <n v="375.70304033862055"/>
    <n v="297.20166373463735"/>
    <n v="0"/>
    <n v="676107.49713000003"/>
    <n v="365394.50910000002"/>
    <n v="0"/>
    <n v="564240.96996262949"/>
    <n v="446345.48304159922"/>
  </r>
  <r>
    <s v="Sistema de Compensação"/>
    <x v="4"/>
    <x v="4"/>
    <x v="0"/>
    <x v="0"/>
    <x v="0"/>
    <x v="0"/>
    <x v="1"/>
    <x v="10"/>
    <n v="0"/>
    <n v="0"/>
    <n v="-1.734"/>
    <n v="-1.734"/>
    <n v="-1.734"/>
    <n v="-1.734"/>
    <n v="0"/>
    <x v="1"/>
    <n v="0"/>
    <n v="0"/>
    <n v="72"/>
    <n v="78"/>
    <n v="0"/>
    <n v="450.19"/>
    <n v="243.3"/>
    <m/>
    <n v="375.70304033862055"/>
    <n v="297.20166373463735"/>
    <n v="0"/>
    <n v="-780.62945999999999"/>
    <n v="-421.88220000000001"/>
    <n v="0"/>
    <n v="-651.469071947168"/>
    <n v="-515.34768491586112"/>
  </r>
  <r>
    <s v="PROJETADO"/>
    <x v="4"/>
    <x v="4"/>
    <x v="0"/>
    <x v="0"/>
    <x v="0"/>
    <x v="0"/>
    <x v="1"/>
    <x v="11"/>
    <n v="0"/>
    <n v="0"/>
    <n v="50433.957000000002"/>
    <n v="50433.957000000002"/>
    <n v="50433.957000000002"/>
    <n v="50433.957000000002"/>
    <n v="49608"/>
    <x v="1"/>
    <n v="0"/>
    <n v="0"/>
    <n v="72"/>
    <n v="78"/>
    <n v="0"/>
    <n v="450.19"/>
    <n v="243.3"/>
    <m/>
    <n v="375.70304033862055"/>
    <n v="297.20166373463735"/>
    <n v="0"/>
    <n v="22704863.101830002"/>
    <n v="12270581.738100002"/>
    <n v="0"/>
    <n v="18948190.981207255"/>
    <n v="14989055.929121161"/>
  </r>
  <r>
    <s v="PROJETADO"/>
    <x v="4"/>
    <x v="4"/>
    <x v="0"/>
    <x v="0"/>
    <x v="0"/>
    <x v="0"/>
    <x v="1"/>
    <x v="11"/>
    <n v="0"/>
    <n v="0"/>
    <n v="-2977.6590000000001"/>
    <n v="-2977.6590000000001"/>
    <n v="-2977.6590000000001"/>
    <n v="-2977.6590000000001"/>
    <n v="0"/>
    <x v="1"/>
    <n v="0"/>
    <n v="0"/>
    <n v="72"/>
    <n v="78"/>
    <n v="0"/>
    <n v="450.19"/>
    <n v="243.3"/>
    <m/>
    <n v="375.70304033862055"/>
    <n v="297.20166373463735"/>
    <n v="0"/>
    <n v="-1340512.3052100001"/>
    <n v="-724464.4347000001"/>
    <n v="0"/>
    <n v="-1118715.5393916566"/>
    <n v="-884965.20883441658"/>
  </r>
  <r>
    <s v="PROJETADO"/>
    <x v="4"/>
    <x v="4"/>
    <x v="0"/>
    <x v="0"/>
    <x v="0"/>
    <x v="0"/>
    <x v="1"/>
    <x v="11"/>
    <n v="0"/>
    <n v="0"/>
    <n v="14906.736000000001"/>
    <n v="14906.736000000001"/>
    <n v="14906.736000000001"/>
    <n v="14906.736000000001"/>
    <n v="24200"/>
    <x v="1"/>
    <n v="0"/>
    <n v="0"/>
    <n v="72"/>
    <n v="78"/>
    <n v="0"/>
    <n v="450.19"/>
    <n v="243.3"/>
    <m/>
    <n v="375.70304033862055"/>
    <n v="297.20166373463735"/>
    <n v="0"/>
    <n v="6710863.4798400002"/>
    <n v="3626808.8688000003"/>
    <n v="0"/>
    <n v="5600506.0367251672"/>
    <n v="4430306.740053013"/>
  </r>
  <r>
    <s v="PROJETADO"/>
    <x v="4"/>
    <x v="4"/>
    <x v="0"/>
    <x v="0"/>
    <x v="0"/>
    <x v="0"/>
    <x v="1"/>
    <x v="11"/>
    <n v="0"/>
    <n v="0"/>
    <n v="-122.572"/>
    <n v="-122.572"/>
    <n v="-122.572"/>
    <n v="-122.572"/>
    <n v="0"/>
    <x v="1"/>
    <n v="0"/>
    <n v="0"/>
    <n v="72"/>
    <n v="78"/>
    <n v="0"/>
    <n v="450.19"/>
    <n v="243.3"/>
    <m/>
    <n v="375.70304033862055"/>
    <n v="297.20166373463735"/>
    <n v="0"/>
    <n v="-55180.688679999999"/>
    <n v="-29821.767600000003"/>
    <n v="0"/>
    <n v="-46050.673060385401"/>
    <n v="-36428.602327281973"/>
  </r>
  <r>
    <s v="PROJETADO"/>
    <x v="4"/>
    <x v="4"/>
    <x v="0"/>
    <x v="0"/>
    <x v="0"/>
    <x v="0"/>
    <x v="1"/>
    <x v="11"/>
    <n v="0"/>
    <n v="0"/>
    <n v="1501.827"/>
    <n v="1501.827"/>
    <n v="1501.827"/>
    <n v="1501.827"/>
    <n v="562"/>
    <x v="1"/>
    <n v="0"/>
    <n v="0"/>
    <n v="72"/>
    <n v="78"/>
    <n v="0"/>
    <n v="450.19"/>
    <n v="243.3"/>
    <m/>
    <n v="375.70304033862055"/>
    <n v="297.20166373463735"/>
    <n v="0"/>
    <n v="676107.49713000003"/>
    <n v="365394.50910000002"/>
    <n v="0"/>
    <n v="564240.96996262949"/>
    <n v="446345.48304159922"/>
  </r>
  <r>
    <s v="PROJETADO"/>
    <x v="4"/>
    <x v="4"/>
    <x v="0"/>
    <x v="0"/>
    <x v="0"/>
    <x v="0"/>
    <x v="1"/>
    <x v="11"/>
    <n v="0"/>
    <n v="0"/>
    <n v="-1.734"/>
    <n v="-1.734"/>
    <n v="-1.734"/>
    <n v="-1.734"/>
    <n v="0"/>
    <x v="1"/>
    <n v="0"/>
    <n v="0"/>
    <n v="72"/>
    <n v="78"/>
    <n v="0"/>
    <n v="450.19"/>
    <n v="243.3"/>
    <m/>
    <n v="375.70304033862055"/>
    <n v="297.20166373463735"/>
    <n v="0"/>
    <n v="-780.62945999999999"/>
    <n v="-421.88220000000001"/>
    <n v="0"/>
    <n v="-651.469071947168"/>
    <n v="-515.34768491586112"/>
  </r>
  <r>
    <s v="Regular"/>
    <x v="4"/>
    <x v="4"/>
    <x v="6"/>
    <x v="0"/>
    <x v="0"/>
    <x v="0"/>
    <x v="1"/>
    <x v="0"/>
    <n v="0"/>
    <n v="0"/>
    <n v="561.19799999999998"/>
    <n v="561.19799999999998"/>
    <n v="561.19799999999998"/>
    <n v="561.19799999999998"/>
    <n v="56"/>
    <x v="1"/>
    <n v="0"/>
    <n v="0"/>
    <n v="72"/>
    <n v="78"/>
    <n v="0"/>
    <n v="450.19"/>
    <n v="243.3"/>
    <m/>
    <n v="375.70304033862055"/>
    <n v="297.20166373463735"/>
    <n v="0"/>
    <n v="252645.72761999999"/>
    <n v="136539.47339999999"/>
    <n v="0"/>
    <n v="210843.79483195316"/>
    <n v="166788.97928455099"/>
  </r>
  <r>
    <s v="Sistema Isolado - Regular"/>
    <x v="4"/>
    <x v="4"/>
    <x v="6"/>
    <x v="0"/>
    <x v="0"/>
    <x v="0"/>
    <x v="1"/>
    <x v="0"/>
    <n v="0"/>
    <n v="0"/>
    <n v="269.08999999999997"/>
    <n v="269.08999999999997"/>
    <n v="269.08999999999997"/>
    <n v="269.08999999999997"/>
    <n v="191"/>
    <x v="1"/>
    <n v="0"/>
    <n v="0"/>
    <n v="72"/>
    <n v="78"/>
    <n v="0"/>
    <n v="450.19"/>
    <n v="243.3"/>
    <m/>
    <n v="375.70304033862055"/>
    <n v="297.20166373463735"/>
    <n v="0"/>
    <n v="121141.62709999998"/>
    <n v="65469.596999999994"/>
    <n v="0"/>
    <n v="101097.9311247194"/>
    <n v="79973.995694353551"/>
  </r>
  <r>
    <s v="Regular"/>
    <x v="4"/>
    <x v="4"/>
    <x v="6"/>
    <x v="0"/>
    <x v="0"/>
    <x v="0"/>
    <x v="1"/>
    <x v="1"/>
    <n v="0"/>
    <n v="0"/>
    <n v="569.69299999999998"/>
    <n v="569.69299999999998"/>
    <n v="569.69299999999998"/>
    <n v="569.69299999999998"/>
    <n v="56"/>
    <x v="1"/>
    <n v="0"/>
    <n v="0"/>
    <n v="72"/>
    <n v="78"/>
    <n v="0"/>
    <n v="450.19"/>
    <n v="243.3"/>
    <m/>
    <n v="375.70304033862055"/>
    <n v="297.20166373463735"/>
    <n v="0"/>
    <n v="256470.09166999999"/>
    <n v="138606.3069"/>
    <n v="0"/>
    <n v="214035.39215962976"/>
    <n v="169313.70741797675"/>
  </r>
  <r>
    <s v="Sistema Isolado - Regular"/>
    <x v="4"/>
    <x v="4"/>
    <x v="6"/>
    <x v="0"/>
    <x v="0"/>
    <x v="0"/>
    <x v="1"/>
    <x v="1"/>
    <n v="0"/>
    <n v="0"/>
    <n v="254.846"/>
    <n v="254.846"/>
    <n v="254.846"/>
    <n v="254.846"/>
    <n v="192"/>
    <x v="1"/>
    <n v="0"/>
    <n v="0"/>
    <n v="72"/>
    <n v="78"/>
    <n v="0"/>
    <n v="450.19"/>
    <n v="243.3"/>
    <m/>
    <n v="375.70304033862055"/>
    <n v="297.20166373463735"/>
    <n v="0"/>
    <n v="114729.12074"/>
    <n v="62004.031800000004"/>
    <n v="0"/>
    <n v="95746.417018136097"/>
    <n v="75740.655196117397"/>
  </r>
  <r>
    <s v="Regular"/>
    <x v="4"/>
    <x v="4"/>
    <x v="6"/>
    <x v="0"/>
    <x v="0"/>
    <x v="0"/>
    <x v="1"/>
    <x v="2"/>
    <n v="0"/>
    <n v="0"/>
    <n v="510.62400000000002"/>
    <n v="510.62400000000002"/>
    <n v="510.62400000000002"/>
    <n v="510.62400000000002"/>
    <n v="56"/>
    <x v="1"/>
    <n v="0"/>
    <n v="0"/>
    <n v="72"/>
    <n v="78"/>
    <n v="0"/>
    <n v="450.19"/>
    <n v="243.3"/>
    <m/>
    <n v="375.70304033862055"/>
    <n v="297.20166373463735"/>
    <n v="0"/>
    <n v="229877.81856000001"/>
    <n v="124234.81920000001"/>
    <n v="0"/>
    <n v="191842.9892698678"/>
    <n v="151758.30234283546"/>
  </r>
  <r>
    <s v="Sistema Isolado - Regular"/>
    <x v="4"/>
    <x v="4"/>
    <x v="6"/>
    <x v="0"/>
    <x v="0"/>
    <x v="0"/>
    <x v="1"/>
    <x v="2"/>
    <n v="0"/>
    <n v="0"/>
    <n v="213.67500000000001"/>
    <n v="213.67500000000001"/>
    <n v="213.67500000000001"/>
    <n v="213.67500000000001"/>
    <n v="190"/>
    <x v="1"/>
    <n v="0"/>
    <n v="0"/>
    <n v="72"/>
    <n v="78"/>
    <n v="0"/>
    <n v="450.19"/>
    <n v="243.3"/>
    <m/>
    <n v="375.70304033862055"/>
    <n v="297.20166373463735"/>
    <n v="0"/>
    <n v="96194.34825000001"/>
    <n v="51987.127500000002"/>
    <n v="0"/>
    <n v="80278.347144354746"/>
    <n v="63504.565498498639"/>
  </r>
  <r>
    <s v="Regular"/>
    <x v="4"/>
    <x v="4"/>
    <x v="6"/>
    <x v="0"/>
    <x v="0"/>
    <x v="0"/>
    <x v="1"/>
    <x v="3"/>
    <n v="0"/>
    <n v="0"/>
    <n v="471.78500000000003"/>
    <n v="471.78500000000003"/>
    <n v="471.78500000000003"/>
    <n v="471.78500000000003"/>
    <n v="56"/>
    <x v="1"/>
    <n v="0"/>
    <n v="0"/>
    <n v="72"/>
    <n v="78"/>
    <n v="0"/>
    <n v="450.19"/>
    <n v="243.3"/>
    <m/>
    <n v="375.70304033862055"/>
    <n v="297.20166373463735"/>
    <n v="0"/>
    <n v="212392.88915"/>
    <n v="114785.29050000002"/>
    <n v="0"/>
    <n v="177251.0588861561"/>
    <n v="140215.28692504589"/>
  </r>
  <r>
    <s v="Sistema Isolado - Regular"/>
    <x v="4"/>
    <x v="4"/>
    <x v="6"/>
    <x v="0"/>
    <x v="0"/>
    <x v="0"/>
    <x v="1"/>
    <x v="3"/>
    <n v="0"/>
    <n v="0"/>
    <n v="215.227"/>
    <n v="215.227"/>
    <n v="215.227"/>
    <n v="215.227"/>
    <n v="191"/>
    <x v="1"/>
    <n v="0"/>
    <n v="0"/>
    <n v="72"/>
    <n v="78"/>
    <n v="0"/>
    <n v="450.19"/>
    <n v="243.3"/>
    <m/>
    <n v="375.70304033862055"/>
    <n v="297.20166373463735"/>
    <n v="0"/>
    <n v="96893.043130000005"/>
    <n v="52364.729100000004"/>
    <n v="0"/>
    <n v="80861.438262960291"/>
    <n v="63965.822480614792"/>
  </r>
  <r>
    <s v="Sistema Isolado - Refaturamento"/>
    <x v="4"/>
    <x v="4"/>
    <x v="6"/>
    <x v="0"/>
    <x v="0"/>
    <x v="0"/>
    <x v="1"/>
    <x v="3"/>
    <n v="0"/>
    <n v="0"/>
    <n v="-5.7629999999999999"/>
    <n v="-5.7629999999999999"/>
    <n v="-5.7629999999999999"/>
    <n v="-5.7629999999999999"/>
    <n v="0"/>
    <x v="1"/>
    <n v="0"/>
    <n v="0"/>
    <n v="72"/>
    <n v="78"/>
    <n v="0"/>
    <n v="450.19"/>
    <n v="243.3"/>
    <m/>
    <n v="375.70304033862055"/>
    <n v="297.20166373463735"/>
    <n v="0"/>
    <n v="-2594.44497"/>
    <n v="-1402.1378999999999"/>
    <n v="0"/>
    <n v="-2165.1766214714703"/>
    <n v="-1712.773188102715"/>
  </r>
  <r>
    <s v="Regular"/>
    <x v="4"/>
    <x v="4"/>
    <x v="6"/>
    <x v="0"/>
    <x v="0"/>
    <x v="0"/>
    <x v="1"/>
    <x v="4"/>
    <n v="0"/>
    <n v="0"/>
    <n v="495.88499999999999"/>
    <n v="495.88499999999999"/>
    <n v="495.88499999999999"/>
    <n v="495.88499999999999"/>
    <n v="58"/>
    <x v="1"/>
    <n v="0"/>
    <n v="0"/>
    <n v="72"/>
    <n v="78"/>
    <n v="0"/>
    <n v="450.19"/>
    <n v="243.3"/>
    <m/>
    <n v="375.70304033862055"/>
    <n v="297.20166373463735"/>
    <n v="0"/>
    <n v="223242.46815"/>
    <n v="120648.8205"/>
    <n v="0"/>
    <n v="186305.50215831684"/>
    <n v="147377.84702105063"/>
  </r>
  <r>
    <s v="Sistema Isolado - Regular"/>
    <x v="4"/>
    <x v="4"/>
    <x v="6"/>
    <x v="0"/>
    <x v="0"/>
    <x v="0"/>
    <x v="1"/>
    <x v="4"/>
    <n v="0"/>
    <n v="0"/>
    <n v="204.517"/>
    <n v="204.517"/>
    <n v="204.517"/>
    <n v="204.517"/>
    <n v="190"/>
    <x v="1"/>
    <n v="0"/>
    <n v="0"/>
    <n v="72"/>
    <n v="78"/>
    <n v="0"/>
    <n v="450.19"/>
    <n v="243.3"/>
    <m/>
    <n v="375.70304033862055"/>
    <n v="297.20166373463735"/>
    <n v="0"/>
    <n v="92071.508229999992"/>
    <n v="49758.986100000002"/>
    <n v="0"/>
    <n v="76837.658700933665"/>
    <n v="60782.792662016829"/>
  </r>
  <r>
    <s v="Regular"/>
    <x v="4"/>
    <x v="4"/>
    <x v="6"/>
    <x v="0"/>
    <x v="0"/>
    <x v="0"/>
    <x v="1"/>
    <x v="5"/>
    <n v="0"/>
    <n v="0"/>
    <n v="512.63699999999994"/>
    <n v="512.63699999999994"/>
    <n v="512.63699999999994"/>
    <n v="512.63699999999994"/>
    <n v="57"/>
    <x v="1"/>
    <n v="0"/>
    <n v="0"/>
    <n v="72"/>
    <n v="78"/>
    <n v="0"/>
    <n v="450.19"/>
    <n v="243.3"/>
    <m/>
    <n v="375.70304033862055"/>
    <n v="297.20166373463735"/>
    <n v="0"/>
    <n v="230784.05102999997"/>
    <n v="124724.58209999999"/>
    <n v="0"/>
    <n v="192599.2794900694"/>
    <n v="152356.56929193327"/>
  </r>
  <r>
    <s v="Sistema Isolado - Regular"/>
    <x v="4"/>
    <x v="4"/>
    <x v="6"/>
    <x v="0"/>
    <x v="0"/>
    <x v="0"/>
    <x v="1"/>
    <x v="5"/>
    <n v="0"/>
    <n v="0"/>
    <n v="222.268"/>
    <n v="222.268"/>
    <n v="222.268"/>
    <n v="222.268"/>
    <n v="190"/>
    <x v="1"/>
    <n v="0"/>
    <n v="0"/>
    <n v="72"/>
    <n v="78"/>
    <n v="0"/>
    <n v="450.19"/>
    <n v="243.3"/>
    <m/>
    <n v="375.70304033862055"/>
    <n v="297.20166373463735"/>
    <n v="0"/>
    <n v="100062.83091999999"/>
    <n v="54077.804400000001"/>
    <n v="0"/>
    <n v="83506.763369984517"/>
    <n v="66058.419394970377"/>
  </r>
  <r>
    <s v="Regular"/>
    <x v="4"/>
    <x v="4"/>
    <x v="6"/>
    <x v="0"/>
    <x v="0"/>
    <x v="0"/>
    <x v="1"/>
    <x v="6"/>
    <n v="0"/>
    <n v="0"/>
    <n v="507.54899999999998"/>
    <n v="507.54899999999998"/>
    <n v="507.54899999999998"/>
    <n v="507.54899999999998"/>
    <n v="57"/>
    <x v="1"/>
    <n v="0"/>
    <n v="0"/>
    <n v="72"/>
    <n v="78"/>
    <n v="0"/>
    <n v="450.19"/>
    <n v="243.3"/>
    <m/>
    <n v="375.70304033862055"/>
    <n v="297.20166373463735"/>
    <n v="0"/>
    <n v="228493.48431"/>
    <n v="123486.67170000001"/>
    <n v="0"/>
    <n v="190687.70242082651"/>
    <n v="150844.40722685144"/>
  </r>
  <r>
    <s v="Refaturamento - Regular"/>
    <x v="4"/>
    <x v="4"/>
    <x v="6"/>
    <x v="0"/>
    <x v="0"/>
    <x v="0"/>
    <x v="1"/>
    <x v="6"/>
    <n v="0"/>
    <n v="0"/>
    <n v="1.833"/>
    <n v="1.833"/>
    <n v="1.833"/>
    <n v="1.833"/>
    <n v="0"/>
    <x v="1"/>
    <n v="0"/>
    <n v="0"/>
    <n v="72"/>
    <n v="78"/>
    <n v="0"/>
    <n v="450.19"/>
    <n v="243.3"/>
    <m/>
    <n v="375.70304033862055"/>
    <n v="297.20166373463735"/>
    <n v="0"/>
    <n v="825.19826999999998"/>
    <n v="445.96890000000002"/>
    <n v="0"/>
    <n v="688.66367294069141"/>
    <n v="544.77064962559029"/>
  </r>
  <r>
    <s v="Sistema Isolado - Regular"/>
    <x v="4"/>
    <x v="4"/>
    <x v="6"/>
    <x v="0"/>
    <x v="0"/>
    <x v="0"/>
    <x v="1"/>
    <x v="6"/>
    <n v="0"/>
    <n v="0"/>
    <n v="222.87799999999999"/>
    <n v="222.87799999999999"/>
    <n v="222.87799999999999"/>
    <n v="222.87799999999999"/>
    <n v="190"/>
    <x v="1"/>
    <n v="0"/>
    <n v="0"/>
    <n v="72"/>
    <n v="78"/>
    <n v="0"/>
    <n v="450.19"/>
    <n v="243.3"/>
    <m/>
    <n v="375.70304033862055"/>
    <n v="297.20166373463735"/>
    <n v="0"/>
    <n v="100337.44682"/>
    <n v="54226.217400000001"/>
    <n v="0"/>
    <n v="83735.942224591068"/>
    <n v="66239.712409848493"/>
  </r>
  <r>
    <s v="Regular"/>
    <x v="4"/>
    <x v="4"/>
    <x v="6"/>
    <x v="0"/>
    <x v="0"/>
    <x v="0"/>
    <x v="1"/>
    <x v="7"/>
    <n v="0"/>
    <n v="0"/>
    <n v="512.31100000000004"/>
    <n v="512.31100000000004"/>
    <n v="512.31100000000004"/>
    <n v="512.31100000000004"/>
    <n v="58"/>
    <x v="1"/>
    <n v="0"/>
    <n v="0"/>
    <n v="72"/>
    <n v="78"/>
    <n v="0"/>
    <n v="450.19"/>
    <n v="243.3"/>
    <m/>
    <n v="375.70304033862055"/>
    <n v="297.20166373463735"/>
    <n v="0"/>
    <n v="230637.28909000001"/>
    <n v="124645.26630000002"/>
    <n v="0"/>
    <n v="192476.80029891906"/>
    <n v="152259.6815495558"/>
  </r>
  <r>
    <s v="Sistema Isolado - Regular"/>
    <x v="4"/>
    <x v="4"/>
    <x v="6"/>
    <x v="0"/>
    <x v="0"/>
    <x v="0"/>
    <x v="1"/>
    <x v="7"/>
    <n v="0"/>
    <n v="0"/>
    <n v="226.05199999999999"/>
    <n v="226.05199999999999"/>
    <n v="226.05199999999999"/>
    <n v="226.05199999999999"/>
    <n v="188"/>
    <x v="1"/>
    <n v="0"/>
    <n v="0"/>
    <n v="72"/>
    <n v="78"/>
    <n v="0"/>
    <n v="450.19"/>
    <n v="243.3"/>
    <m/>
    <n v="375.70304033862055"/>
    <n v="297.20166373463735"/>
    <n v="0"/>
    <n v="101766.34987999999"/>
    <n v="54998.4516"/>
    <n v="0"/>
    <n v="84928.423674625854"/>
    <n v="67183.030490542238"/>
  </r>
  <r>
    <s v="Regular"/>
    <x v="4"/>
    <x v="4"/>
    <x v="6"/>
    <x v="0"/>
    <x v="0"/>
    <x v="0"/>
    <x v="1"/>
    <x v="8"/>
    <n v="0"/>
    <n v="0"/>
    <n v="544.17600000000004"/>
    <n v="544.17600000000004"/>
    <n v="544.17600000000004"/>
    <n v="544.17600000000004"/>
    <n v="59"/>
    <x v="1"/>
    <n v="0"/>
    <n v="0"/>
    <n v="72"/>
    <n v="78"/>
    <n v="0"/>
    <n v="450.19"/>
    <n v="243.3"/>
    <m/>
    <n v="375.70304033862055"/>
    <n v="297.20166373463735"/>
    <n v="0"/>
    <n v="244982.59344000003"/>
    <n v="132398.02080000003"/>
    <n v="0"/>
    <n v="204448.57767930921"/>
    <n v="161730.01256446002"/>
  </r>
  <r>
    <s v="Refaturamento - Regular"/>
    <x v="4"/>
    <x v="4"/>
    <x v="6"/>
    <x v="0"/>
    <x v="0"/>
    <x v="0"/>
    <x v="1"/>
    <x v="8"/>
    <n v="0"/>
    <n v="0"/>
    <n v="3.992"/>
    <n v="3.992"/>
    <n v="3.992"/>
    <n v="3.992"/>
    <n v="0"/>
    <x v="1"/>
    <n v="0"/>
    <n v="0"/>
    <n v="72"/>
    <n v="78"/>
    <n v="0"/>
    <n v="450.19"/>
    <n v="243.3"/>
    <m/>
    <n v="375.70304033862055"/>
    <n v="297.20166373463735"/>
    <n v="0"/>
    <n v="1797.1584800000001"/>
    <n v="971.25360000000001"/>
    <n v="0"/>
    <n v="1499.8065370317734"/>
    <n v="1186.4290416286724"/>
  </r>
  <r>
    <s v="Sistema Isolado - Regular"/>
    <x v="4"/>
    <x v="4"/>
    <x v="6"/>
    <x v="0"/>
    <x v="0"/>
    <x v="0"/>
    <x v="1"/>
    <x v="8"/>
    <n v="0"/>
    <n v="0"/>
    <n v="229.4"/>
    <n v="229.4"/>
    <n v="229.4"/>
    <n v="229.4"/>
    <n v="189"/>
    <x v="1"/>
    <n v="0"/>
    <n v="0"/>
    <n v="72"/>
    <n v="78"/>
    <n v="0"/>
    <n v="450.19"/>
    <n v="243.3"/>
    <m/>
    <n v="375.70304033862055"/>
    <n v="297.20166373463735"/>
    <n v="0"/>
    <n v="103273.586"/>
    <n v="55813.020000000004"/>
    <n v="0"/>
    <n v="86186.277453679562"/>
    <n v="68178.061660725813"/>
  </r>
  <r>
    <s v="Regular"/>
    <x v="4"/>
    <x v="4"/>
    <x v="6"/>
    <x v="0"/>
    <x v="0"/>
    <x v="0"/>
    <x v="1"/>
    <x v="9"/>
    <n v="0"/>
    <n v="0"/>
    <n v="548.96100000000001"/>
    <n v="548.96100000000001"/>
    <n v="548.96100000000001"/>
    <n v="548.96100000000001"/>
    <n v="59"/>
    <x v="1"/>
    <n v="0"/>
    <n v="0"/>
    <n v="72"/>
    <n v="78"/>
    <n v="0"/>
    <n v="450.19"/>
    <n v="243.3"/>
    <m/>
    <n v="375.70304033862055"/>
    <n v="297.20166373463735"/>
    <n v="0"/>
    <n v="247136.75259000002"/>
    <n v="133562.2113"/>
    <n v="0"/>
    <n v="206246.31672732948"/>
    <n v="163152.12252543026"/>
  </r>
  <r>
    <s v="Sistema Isolado - Regular"/>
    <x v="4"/>
    <x v="4"/>
    <x v="6"/>
    <x v="0"/>
    <x v="0"/>
    <x v="0"/>
    <x v="1"/>
    <x v="9"/>
    <n v="0"/>
    <n v="0"/>
    <n v="236.05799999999999"/>
    <n v="236.05799999999999"/>
    <n v="236.05799999999999"/>
    <n v="236.05799999999999"/>
    <n v="186"/>
    <x v="1"/>
    <n v="0"/>
    <n v="0"/>
    <n v="72"/>
    <n v="78"/>
    <n v="0"/>
    <n v="450.19"/>
    <n v="243.3"/>
    <m/>
    <n v="375.70304033862055"/>
    <n v="297.20166373463735"/>
    <n v="0"/>
    <n v="106270.95101999999"/>
    <n v="57432.911400000005"/>
    <n v="0"/>
    <n v="88687.708296254088"/>
    <n v="70156.830337871026"/>
  </r>
  <r>
    <s v="Regular"/>
    <x v="4"/>
    <x v="4"/>
    <x v="6"/>
    <x v="0"/>
    <x v="0"/>
    <x v="0"/>
    <x v="1"/>
    <x v="10"/>
    <n v="0"/>
    <n v="0"/>
    <n v="521.72500000000002"/>
    <n v="521.72500000000002"/>
    <n v="521.72500000000002"/>
    <n v="521.72500000000002"/>
    <n v="59"/>
    <x v="1"/>
    <n v="0"/>
    <n v="0"/>
    <n v="72"/>
    <n v="78"/>
    <n v="0"/>
    <n v="450.19"/>
    <n v="243.3"/>
    <m/>
    <n v="375.70304033862055"/>
    <n v="297.20166373463735"/>
    <n v="0"/>
    <n v="234875.37775000001"/>
    <n v="126935.6925"/>
    <n v="0"/>
    <n v="196013.66872066681"/>
    <n v="155057.53801195367"/>
  </r>
  <r>
    <s v="Sistema Isolado - Regular"/>
    <x v="4"/>
    <x v="4"/>
    <x v="6"/>
    <x v="0"/>
    <x v="0"/>
    <x v="0"/>
    <x v="1"/>
    <x v="10"/>
    <n v="0"/>
    <n v="0"/>
    <n v="237.00899999999999"/>
    <n v="237.00899999999999"/>
    <n v="237.00899999999999"/>
    <n v="237.00899999999999"/>
    <n v="185"/>
    <x v="1"/>
    <n v="0"/>
    <n v="0"/>
    <n v="72"/>
    <n v="78"/>
    <n v="0"/>
    <n v="450.19"/>
    <n v="243.3"/>
    <m/>
    <n v="375.70304033862055"/>
    <n v="297.20166373463735"/>
    <n v="0"/>
    <n v="106699.08171"/>
    <n v="57664.289700000001"/>
    <n v="0"/>
    <n v="89045.001887616119"/>
    <n v="70439.469120082664"/>
  </r>
  <r>
    <s v="PROJETADO"/>
    <x v="4"/>
    <x v="4"/>
    <x v="6"/>
    <x v="0"/>
    <x v="0"/>
    <x v="0"/>
    <x v="1"/>
    <x v="11"/>
    <n v="0"/>
    <n v="0"/>
    <n v="521.72500000000002"/>
    <n v="521.72500000000002"/>
    <n v="521.72500000000002"/>
    <n v="521.72500000000002"/>
    <n v="59"/>
    <x v="1"/>
    <n v="0"/>
    <n v="0"/>
    <n v="72"/>
    <n v="78"/>
    <n v="0"/>
    <n v="450.19"/>
    <n v="243.3"/>
    <m/>
    <n v="375.70304033862055"/>
    <n v="297.20166373463735"/>
    <n v="0"/>
    <n v="234875.37775000001"/>
    <n v="126935.6925"/>
    <n v="0"/>
    <n v="196013.66872066681"/>
    <n v="155057.53801195367"/>
  </r>
  <r>
    <s v="PROJETADO"/>
    <x v="4"/>
    <x v="4"/>
    <x v="6"/>
    <x v="0"/>
    <x v="0"/>
    <x v="0"/>
    <x v="1"/>
    <x v="11"/>
    <n v="0"/>
    <n v="0"/>
    <n v="237.00899999999999"/>
    <n v="237.00899999999999"/>
    <n v="237.00899999999999"/>
    <n v="237.00899999999999"/>
    <n v="185"/>
    <x v="1"/>
    <n v="0"/>
    <n v="0"/>
    <n v="72"/>
    <n v="78"/>
    <n v="0"/>
    <n v="450.19"/>
    <n v="243.3"/>
    <m/>
    <n v="375.70304033862055"/>
    <n v="297.20166373463735"/>
    <n v="0"/>
    <n v="106699.08171"/>
    <n v="57664.289700000001"/>
    <n v="0"/>
    <n v="89045.001887616119"/>
    <n v="70439.469120082664"/>
  </r>
  <r>
    <s v="Regular"/>
    <x v="4"/>
    <x v="4"/>
    <x v="1"/>
    <x v="0"/>
    <x v="0"/>
    <x v="0"/>
    <x v="1"/>
    <x v="0"/>
    <n v="0"/>
    <n v="0"/>
    <n v="2160.0749999999998"/>
    <n v="2160.0749999999998"/>
    <n v="2160.0749999999998"/>
    <n v="2160.0749999999998"/>
    <n v="1312"/>
    <x v="1"/>
    <n v="0"/>
    <n v="0"/>
    <n v="72"/>
    <n v="78"/>
    <n v="0"/>
    <n v="450.19"/>
    <n v="243.3"/>
    <m/>
    <n v="375.70304033862055"/>
    <n v="297.20166373463735"/>
    <n v="0"/>
    <n v="972444.16424999991"/>
    <n v="525546.24749999994"/>
    <n v="0"/>
    <n v="811546.74485944572"/>
    <n v="641977.88379159675"/>
  </r>
  <r>
    <s v="Refaturamento - Regular"/>
    <x v="4"/>
    <x v="4"/>
    <x v="1"/>
    <x v="0"/>
    <x v="0"/>
    <x v="0"/>
    <x v="1"/>
    <x v="0"/>
    <n v="0"/>
    <n v="0"/>
    <n v="-133.995"/>
    <n v="-133.995"/>
    <n v="-133.995"/>
    <n v="-133.995"/>
    <n v="-69"/>
    <x v="1"/>
    <n v="0"/>
    <n v="0"/>
    <n v="72"/>
    <n v="78"/>
    <n v="0"/>
    <n v="450.19"/>
    <n v="243.3"/>
    <m/>
    <n v="375.70304033862055"/>
    <n v="297.20166373463735"/>
    <n v="0"/>
    <n v="-60323.209050000005"/>
    <n v="-32600.983500000002"/>
    <n v="0"/>
    <n v="-50342.328890173463"/>
    <n v="-39823.536932122734"/>
  </r>
  <r>
    <s v="Sistema Isolado - Regular"/>
    <x v="4"/>
    <x v="4"/>
    <x v="1"/>
    <x v="0"/>
    <x v="0"/>
    <x v="0"/>
    <x v="1"/>
    <x v="0"/>
    <n v="0"/>
    <n v="0"/>
    <n v="1057.557"/>
    <n v="1057.557"/>
    <n v="1057.557"/>
    <n v="1057.557"/>
    <n v="759"/>
    <x v="1"/>
    <n v="0"/>
    <n v="0"/>
    <n v="72"/>
    <n v="78"/>
    <n v="0"/>
    <n v="450.19"/>
    <n v="243.3"/>
    <m/>
    <n v="375.70304033862055"/>
    <n v="297.20166373463735"/>
    <n v="0"/>
    <n v="476101.58583"/>
    <n v="257303.61810000002"/>
    <n v="0"/>
    <n v="397327.38023139053"/>
    <n v="314307.6998942119"/>
  </r>
  <r>
    <s v="Sistema Isolado - Refaturamento"/>
    <x v="4"/>
    <x v="4"/>
    <x v="1"/>
    <x v="0"/>
    <x v="0"/>
    <x v="0"/>
    <x v="1"/>
    <x v="0"/>
    <n v="0"/>
    <n v="0"/>
    <n v="-3.4039999999999999"/>
    <n v="-3.4039999999999999"/>
    <n v="-3.4039999999999999"/>
    <n v="-3.4039999999999999"/>
    <n v="0"/>
    <x v="1"/>
    <n v="0"/>
    <n v="0"/>
    <n v="72"/>
    <n v="78"/>
    <n v="0"/>
    <n v="450.19"/>
    <n v="243.3"/>
    <m/>
    <n v="375.70304033862055"/>
    <n v="297.20166373463735"/>
    <n v="0"/>
    <n v="-1532.44676"/>
    <n v="-828.19320000000005"/>
    <n v="0"/>
    <n v="-1278.8931493126643"/>
    <n v="-1011.6744633527055"/>
  </r>
  <r>
    <s v="Sistema de Compensação"/>
    <x v="4"/>
    <x v="4"/>
    <x v="1"/>
    <x v="0"/>
    <x v="0"/>
    <x v="0"/>
    <x v="1"/>
    <x v="0"/>
    <n v="0"/>
    <n v="0"/>
    <n v="43.497999999999998"/>
    <n v="43.497999999999998"/>
    <n v="43.497999999999998"/>
    <n v="43.497999999999998"/>
    <n v="12"/>
    <x v="1"/>
    <n v="0"/>
    <n v="0"/>
    <n v="72"/>
    <n v="78"/>
    <n v="0"/>
    <n v="450.19"/>
    <n v="243.3"/>
    <m/>
    <n v="375.70304033862055"/>
    <n v="297.20166373463735"/>
    <n v="0"/>
    <n v="19582.36462"/>
    <n v="10583.063399999999"/>
    <n v="0"/>
    <n v="16342.330848649315"/>
    <n v="12927.677969129254"/>
  </r>
  <r>
    <s v="Regular"/>
    <x v="4"/>
    <x v="4"/>
    <x v="1"/>
    <x v="0"/>
    <x v="0"/>
    <x v="0"/>
    <x v="1"/>
    <x v="1"/>
    <n v="0"/>
    <n v="0"/>
    <n v="2095.4360000000001"/>
    <n v="2095.4360000000001"/>
    <n v="2095.4360000000001"/>
    <n v="2095.4360000000001"/>
    <n v="1299"/>
    <x v="1"/>
    <n v="0"/>
    <n v="0"/>
    <n v="72"/>
    <n v="78"/>
    <n v="0"/>
    <n v="450.19"/>
    <n v="243.3"/>
    <m/>
    <n v="375.70304033862055"/>
    <n v="297.20166373463735"/>
    <n v="0"/>
    <n v="943344.33284000005"/>
    <n v="509819.57880000008"/>
    <n v="0"/>
    <n v="787261.6760349978"/>
    <n v="622767.06544945354"/>
  </r>
  <r>
    <s v="Refaturamento - Regular"/>
    <x v="4"/>
    <x v="4"/>
    <x v="1"/>
    <x v="0"/>
    <x v="0"/>
    <x v="0"/>
    <x v="1"/>
    <x v="1"/>
    <n v="0"/>
    <n v="0"/>
    <n v="-358.95800000000003"/>
    <n v="-358.95800000000003"/>
    <n v="-358.95800000000003"/>
    <n v="-358.95800000000003"/>
    <n v="0"/>
    <x v="1"/>
    <n v="0"/>
    <n v="0"/>
    <n v="72"/>
    <n v="78"/>
    <n v="0"/>
    <n v="450.19"/>
    <n v="243.3"/>
    <m/>
    <n v="375.70304033862055"/>
    <n v="297.20166373463735"/>
    <n v="0"/>
    <n v="-161599.30202"/>
    <n v="-87334.481400000004"/>
    <n v="0"/>
    <n v="-134861.61195387057"/>
    <n v="-106682.91481085797"/>
  </r>
  <r>
    <s v="Sistema Isolado - Regular"/>
    <x v="4"/>
    <x v="4"/>
    <x v="1"/>
    <x v="0"/>
    <x v="0"/>
    <x v="0"/>
    <x v="1"/>
    <x v="1"/>
    <n v="0"/>
    <n v="0"/>
    <n v="1019.987"/>
    <n v="1019.987"/>
    <n v="1019.987"/>
    <n v="1019.987"/>
    <n v="756"/>
    <x v="1"/>
    <n v="0"/>
    <n v="0"/>
    <n v="72"/>
    <n v="78"/>
    <n v="0"/>
    <n v="450.19"/>
    <n v="243.3"/>
    <m/>
    <n v="375.70304033862055"/>
    <n v="297.20166373463735"/>
    <n v="0"/>
    <n v="459187.94753"/>
    <n v="248162.8371"/>
    <n v="0"/>
    <n v="383212.21700586856"/>
    <n v="303141.83338770154"/>
  </r>
  <r>
    <s v="Sistema Isolado - Refaturamento"/>
    <x v="4"/>
    <x v="4"/>
    <x v="1"/>
    <x v="0"/>
    <x v="0"/>
    <x v="0"/>
    <x v="1"/>
    <x v="1"/>
    <n v="0"/>
    <n v="0"/>
    <n v="-15.401"/>
    <n v="-15.401"/>
    <n v="-15.401"/>
    <n v="-15.401"/>
    <n v="0"/>
    <x v="1"/>
    <n v="0"/>
    <n v="0"/>
    <n v="72"/>
    <n v="78"/>
    <n v="0"/>
    <n v="450.19"/>
    <n v="243.3"/>
    <m/>
    <n v="375.70304033862055"/>
    <n v="297.20166373463735"/>
    <n v="0"/>
    <n v="-6933.37619"/>
    <n v="-3747.0633000000003"/>
    <n v="0"/>
    <n v="-5786.2025242550953"/>
    <n v="-4577.2028231771501"/>
  </r>
  <r>
    <s v="Sistema de Compensação"/>
    <x v="4"/>
    <x v="4"/>
    <x v="1"/>
    <x v="0"/>
    <x v="0"/>
    <x v="0"/>
    <x v="1"/>
    <x v="1"/>
    <n v="0"/>
    <n v="0"/>
    <n v="38.951000000000001"/>
    <n v="38.951000000000001"/>
    <n v="38.951000000000001"/>
    <n v="38.951000000000001"/>
    <n v="12"/>
    <x v="1"/>
    <n v="0"/>
    <n v="0"/>
    <n v="72"/>
    <n v="78"/>
    <n v="0"/>
    <n v="450.19"/>
    <n v="243.3"/>
    <m/>
    <n v="375.70304033862055"/>
    <n v="297.20166373463735"/>
    <n v="0"/>
    <n v="17535.350689999999"/>
    <n v="9476.7782999999999"/>
    <n v="0"/>
    <n v="14634.009124229609"/>
    <n v="11576.30200412786"/>
  </r>
  <r>
    <s v="Regular"/>
    <x v="4"/>
    <x v="4"/>
    <x v="1"/>
    <x v="0"/>
    <x v="0"/>
    <x v="0"/>
    <x v="1"/>
    <x v="2"/>
    <n v="0"/>
    <n v="0"/>
    <n v="1786.2080000000001"/>
    <n v="1786.2080000000001"/>
    <n v="1786.2080000000001"/>
    <n v="1786.2080000000001"/>
    <n v="1294"/>
    <x v="1"/>
    <n v="0"/>
    <n v="0"/>
    <n v="72"/>
    <n v="78"/>
    <n v="0"/>
    <n v="450.19"/>
    <n v="243.3"/>
    <m/>
    <n v="375.70304033862055"/>
    <n v="297.20166373463735"/>
    <n v="0"/>
    <n v="804132.97952000005"/>
    <n v="434584.40640000004"/>
    <n v="0"/>
    <n v="671083.77627716679"/>
    <n v="530863.98937611911"/>
  </r>
  <r>
    <s v="Refaturamento - Regular"/>
    <x v="4"/>
    <x v="4"/>
    <x v="1"/>
    <x v="0"/>
    <x v="0"/>
    <x v="0"/>
    <x v="1"/>
    <x v="2"/>
    <n v="0"/>
    <n v="0"/>
    <n v="-53.73"/>
    <n v="-53.73"/>
    <n v="-53.73"/>
    <n v="-53.73"/>
    <n v="0"/>
    <x v="1"/>
    <n v="0"/>
    <n v="0"/>
    <n v="72"/>
    <n v="78"/>
    <n v="0"/>
    <n v="450.19"/>
    <n v="243.3"/>
    <m/>
    <n v="375.70304033862055"/>
    <n v="297.20166373463735"/>
    <n v="0"/>
    <n v="-24188.708699999999"/>
    <n v="-13072.509"/>
    <n v="0"/>
    <n v="-20186.524357394082"/>
    <n v="-15968.645392462064"/>
  </r>
  <r>
    <s v="Sistema Isolado - Regular"/>
    <x v="4"/>
    <x v="4"/>
    <x v="1"/>
    <x v="0"/>
    <x v="0"/>
    <x v="0"/>
    <x v="1"/>
    <x v="2"/>
    <n v="0"/>
    <n v="0"/>
    <n v="899.77099999999996"/>
    <n v="899.77099999999996"/>
    <n v="899.77099999999996"/>
    <n v="899.77099999999996"/>
    <n v="756"/>
    <x v="1"/>
    <n v="0"/>
    <n v="0"/>
    <n v="72"/>
    <n v="78"/>
    <n v="0"/>
    <n v="450.19"/>
    <n v="243.3"/>
    <m/>
    <n v="375.70304033862055"/>
    <n v="297.20166373463735"/>
    <n v="0"/>
    <n v="405067.90648999996"/>
    <n v="218914.2843"/>
    <n v="0"/>
    <n v="338046.70030852093"/>
    <n v="267413.43818017835"/>
  </r>
  <r>
    <s v="Sistema Isolado - Refaturamento"/>
    <x v="4"/>
    <x v="4"/>
    <x v="1"/>
    <x v="0"/>
    <x v="0"/>
    <x v="0"/>
    <x v="1"/>
    <x v="2"/>
    <n v="0"/>
    <n v="0"/>
    <n v="-35.488"/>
    <n v="-35.488"/>
    <n v="-35.488"/>
    <n v="-35.488"/>
    <n v="0"/>
    <x v="1"/>
    <n v="0"/>
    <n v="0"/>
    <n v="72"/>
    <n v="78"/>
    <n v="0"/>
    <n v="450.19"/>
    <n v="243.3"/>
    <m/>
    <n v="375.70304033862055"/>
    <n v="297.20166373463735"/>
    <n v="0"/>
    <n v="-15976.342720000001"/>
    <n v="-8634.2304000000004"/>
    <n v="0"/>
    <n v="-13332.949495536966"/>
    <n v="-10547.092642614811"/>
  </r>
  <r>
    <s v="Sistema de Compensação"/>
    <x v="4"/>
    <x v="4"/>
    <x v="1"/>
    <x v="0"/>
    <x v="0"/>
    <x v="0"/>
    <x v="1"/>
    <x v="2"/>
    <n v="0"/>
    <n v="0"/>
    <n v="38.348999999999997"/>
    <n v="38.348999999999997"/>
    <n v="38.348999999999997"/>
    <n v="38.348999999999997"/>
    <n v="12"/>
    <x v="1"/>
    <n v="0"/>
    <n v="0"/>
    <n v="72"/>
    <n v="78"/>
    <n v="0"/>
    <n v="450.19"/>
    <n v="243.3"/>
    <m/>
    <n v="375.70304033862055"/>
    <n v="297.20166373463735"/>
    <n v="0"/>
    <n v="17264.336309999999"/>
    <n v="9330.3117000000002"/>
    <n v="0"/>
    <n v="14407.835893945758"/>
    <n v="11397.386602559607"/>
  </r>
  <r>
    <s v="Regular"/>
    <x v="4"/>
    <x v="4"/>
    <x v="1"/>
    <x v="0"/>
    <x v="0"/>
    <x v="0"/>
    <x v="1"/>
    <x v="3"/>
    <n v="0"/>
    <n v="0"/>
    <n v="1647.1030000000001"/>
    <n v="1647.1030000000001"/>
    <n v="1647.1030000000001"/>
    <n v="1647.1030000000001"/>
    <n v="1284"/>
    <x v="1"/>
    <n v="0"/>
    <n v="0"/>
    <n v="72"/>
    <n v="78"/>
    <n v="0"/>
    <n v="450.19"/>
    <n v="243.3"/>
    <m/>
    <n v="375.70304033862055"/>
    <n v="297.20166373463735"/>
    <n v="0"/>
    <n v="741509.29957000003"/>
    <n v="400740.15990000003"/>
    <n v="0"/>
    <n v="618821.60485086299"/>
    <n v="489521.7519423124"/>
  </r>
  <r>
    <s v="Refaturamento - Regular"/>
    <x v="4"/>
    <x v="4"/>
    <x v="1"/>
    <x v="0"/>
    <x v="0"/>
    <x v="0"/>
    <x v="1"/>
    <x v="3"/>
    <n v="0"/>
    <n v="0"/>
    <n v="-174.26400000000001"/>
    <n v="-174.26400000000001"/>
    <n v="-174.26400000000001"/>
    <n v="-174.26400000000001"/>
    <n v="0"/>
    <x v="1"/>
    <n v="0"/>
    <n v="0"/>
    <n v="72"/>
    <n v="78"/>
    <n v="0"/>
    <n v="450.19"/>
    <n v="243.3"/>
    <m/>
    <n v="375.70304033862055"/>
    <n v="297.20166373463735"/>
    <n v="0"/>
    <n v="-78451.910159999999"/>
    <n v="-42398.431200000006"/>
    <n v="0"/>
    <n v="-65471.514621569375"/>
    <n v="-51791.550729052848"/>
  </r>
  <r>
    <s v="Sistema Isolado - Regular"/>
    <x v="4"/>
    <x v="4"/>
    <x v="1"/>
    <x v="0"/>
    <x v="0"/>
    <x v="0"/>
    <x v="1"/>
    <x v="3"/>
    <n v="0"/>
    <n v="0"/>
    <n v="883.22799999999995"/>
    <n v="883.22799999999995"/>
    <n v="883.22799999999995"/>
    <n v="883.22799999999995"/>
    <n v="749"/>
    <x v="1"/>
    <n v="0"/>
    <n v="0"/>
    <n v="72"/>
    <n v="78"/>
    <n v="0"/>
    <n v="450.19"/>
    <n v="243.3"/>
    <m/>
    <n v="375.70304033862055"/>
    <n v="297.20166373463735"/>
    <n v="0"/>
    <n v="397620.41331999999"/>
    <n v="214889.37239999999"/>
    <n v="0"/>
    <n v="331831.44491219916"/>
    <n v="262496.83105701627"/>
  </r>
  <r>
    <s v="Sistema Isolado - Refaturamento"/>
    <x v="4"/>
    <x v="4"/>
    <x v="1"/>
    <x v="0"/>
    <x v="0"/>
    <x v="0"/>
    <x v="1"/>
    <x v="3"/>
    <n v="0"/>
    <n v="0"/>
    <n v="-104.58199999999999"/>
    <n v="-104.58199999999999"/>
    <n v="-104.58199999999999"/>
    <n v="-104.58199999999999"/>
    <n v="0"/>
    <x v="1"/>
    <n v="0"/>
    <n v="0"/>
    <n v="72"/>
    <n v="78"/>
    <n v="0"/>
    <n v="450.19"/>
    <n v="243.3"/>
    <m/>
    <n v="375.70304033862055"/>
    <n v="297.20166373463735"/>
    <n v="0"/>
    <n v="-47081.770579999997"/>
    <n v="-25444.800599999999"/>
    <n v="0"/>
    <n v="-39291.775364693611"/>
    <n v="-31081.944396695842"/>
  </r>
  <r>
    <s v="Sistema de Compensação"/>
    <x v="4"/>
    <x v="4"/>
    <x v="1"/>
    <x v="0"/>
    <x v="0"/>
    <x v="0"/>
    <x v="1"/>
    <x v="3"/>
    <n v="0"/>
    <n v="0"/>
    <n v="34.405999999999999"/>
    <n v="34.405999999999999"/>
    <n v="34.405999999999999"/>
    <n v="34.405999999999999"/>
    <n v="13"/>
    <x v="1"/>
    <n v="0"/>
    <n v="0"/>
    <n v="72"/>
    <n v="78"/>
    <n v="0"/>
    <n v="450.19"/>
    <n v="243.3"/>
    <m/>
    <n v="375.70304033862055"/>
    <n v="297.20166373463735"/>
    <n v="0"/>
    <n v="15489.237139999999"/>
    <n v="8370.979800000001"/>
    <n v="0"/>
    <n v="12926.438805890579"/>
    <n v="10225.520442453932"/>
  </r>
  <r>
    <s v="Regular"/>
    <x v="4"/>
    <x v="4"/>
    <x v="1"/>
    <x v="0"/>
    <x v="0"/>
    <x v="0"/>
    <x v="1"/>
    <x v="4"/>
    <n v="0"/>
    <n v="0"/>
    <n v="2264.518"/>
    <n v="2264.518"/>
    <n v="2264.518"/>
    <n v="2264.518"/>
    <n v="1285"/>
    <x v="1"/>
    <n v="0"/>
    <n v="0"/>
    <n v="72"/>
    <n v="78"/>
    <n v="0"/>
    <n v="450.19"/>
    <n v="243.3"/>
    <m/>
    <n v="375.70304033862055"/>
    <n v="297.20166373463735"/>
    <n v="0"/>
    <n v="1019463.3584200001"/>
    <n v="550957.22940000007"/>
    <n v="0"/>
    <n v="850786.29750153236"/>
    <n v="673018.51715703355"/>
  </r>
  <r>
    <s v="Refaturamento - Regular"/>
    <x v="4"/>
    <x v="4"/>
    <x v="1"/>
    <x v="0"/>
    <x v="0"/>
    <x v="0"/>
    <x v="1"/>
    <x v="4"/>
    <n v="0"/>
    <n v="0"/>
    <n v="-262.37099999999998"/>
    <n v="-262.37099999999998"/>
    <n v="-262.37099999999998"/>
    <n v="-262.37099999999998"/>
    <n v="0"/>
    <x v="1"/>
    <n v="0"/>
    <n v="0"/>
    <n v="72"/>
    <n v="78"/>
    <n v="0"/>
    <n v="450.19"/>
    <n v="243.3"/>
    <m/>
    <n v="375.70304033862055"/>
    <n v="297.20166373463735"/>
    <n v="0"/>
    <n v="-118116.80048999999"/>
    <n v="-63834.864300000001"/>
    <n v="0"/>
    <n v="-98573.5823966842"/>
    <n v="-77977.097715720534"/>
  </r>
  <r>
    <s v="Sistema Isolado - Regular"/>
    <x v="4"/>
    <x v="4"/>
    <x v="1"/>
    <x v="0"/>
    <x v="0"/>
    <x v="0"/>
    <x v="1"/>
    <x v="4"/>
    <n v="0"/>
    <n v="0"/>
    <n v="1055.066"/>
    <n v="1055.066"/>
    <n v="1055.066"/>
    <n v="1055.066"/>
    <n v="744"/>
    <x v="1"/>
    <n v="0"/>
    <n v="0"/>
    <n v="72"/>
    <n v="78"/>
    <n v="0"/>
    <n v="450.19"/>
    <n v="243.3"/>
    <m/>
    <n v="375.70304033862055"/>
    <n v="297.20166373463735"/>
    <n v="0"/>
    <n v="474980.16253999999"/>
    <n v="256697.55780000001"/>
    <n v="0"/>
    <n v="396391.50395790703"/>
    <n v="313567.37054984889"/>
  </r>
  <r>
    <s v="Sistema Isolado - Refaturamento"/>
    <x v="4"/>
    <x v="4"/>
    <x v="1"/>
    <x v="0"/>
    <x v="0"/>
    <x v="0"/>
    <x v="1"/>
    <x v="4"/>
    <n v="0"/>
    <n v="0"/>
    <n v="-1.3089999999999999"/>
    <n v="-1.3089999999999999"/>
    <n v="-1.3089999999999999"/>
    <n v="-1.3089999999999999"/>
    <n v="0"/>
    <x v="1"/>
    <n v="0"/>
    <n v="0"/>
    <n v="72"/>
    <n v="78"/>
    <n v="0"/>
    <n v="450.19"/>
    <n v="243.3"/>
    <m/>
    <n v="375.70304033862055"/>
    <n v="297.20166373463735"/>
    <n v="0"/>
    <n v="-589.29870999999991"/>
    <n v="-318.47969999999998"/>
    <n v="0"/>
    <n v="-491.79527980325429"/>
    <n v="-389.03697782864026"/>
  </r>
  <r>
    <s v="Sistema de Compensação"/>
    <x v="4"/>
    <x v="4"/>
    <x v="1"/>
    <x v="0"/>
    <x v="0"/>
    <x v="0"/>
    <x v="1"/>
    <x v="4"/>
    <n v="0"/>
    <n v="0"/>
    <n v="42.841999999999999"/>
    <n v="42.841999999999999"/>
    <n v="42.841999999999999"/>
    <n v="42.841999999999999"/>
    <n v="13"/>
    <x v="1"/>
    <n v="0"/>
    <n v="0"/>
    <n v="72"/>
    <n v="78"/>
    <n v="0"/>
    <n v="450.19"/>
    <n v="243.3"/>
    <m/>
    <n v="375.70304033862055"/>
    <n v="297.20166373463735"/>
    <n v="0"/>
    <n v="19287.039979999998"/>
    <n v="10423.4586"/>
    <n v="0"/>
    <n v="16095.869654187181"/>
    <n v="12732.713677719334"/>
  </r>
  <r>
    <s v="Regular"/>
    <x v="4"/>
    <x v="4"/>
    <x v="1"/>
    <x v="0"/>
    <x v="0"/>
    <x v="0"/>
    <x v="1"/>
    <x v="5"/>
    <n v="0"/>
    <n v="0"/>
    <n v="2432.0189999999998"/>
    <n v="2432.0189999999998"/>
    <n v="2432.0189999999998"/>
    <n v="2432.0189999999998"/>
    <n v="1067"/>
    <x v="1"/>
    <n v="0"/>
    <n v="0"/>
    <n v="72"/>
    <n v="78"/>
    <n v="0"/>
    <n v="450.19"/>
    <n v="243.3"/>
    <m/>
    <n v="375.70304033862055"/>
    <n v="297.20166373463735"/>
    <n v="0"/>
    <n v="1094870.6336099999"/>
    <n v="591710.22269999993"/>
    <n v="0"/>
    <n v="913716.93246129155"/>
    <n v="722800.09303424892"/>
  </r>
  <r>
    <s v="Refaturamento - Regular"/>
    <x v="4"/>
    <x v="4"/>
    <x v="1"/>
    <x v="0"/>
    <x v="0"/>
    <x v="0"/>
    <x v="1"/>
    <x v="5"/>
    <n v="0"/>
    <n v="0"/>
    <n v="-646.37699999999995"/>
    <n v="-646.37699999999995"/>
    <n v="-646.37699999999995"/>
    <n v="-646.37699999999995"/>
    <n v="0"/>
    <x v="1"/>
    <n v="0"/>
    <n v="0"/>
    <n v="72"/>
    <n v="78"/>
    <n v="0"/>
    <n v="450.19"/>
    <n v="243.3"/>
    <m/>
    <n v="375.70304033862055"/>
    <n v="297.20166373463735"/>
    <n v="0"/>
    <n v="-290992.46162999998"/>
    <n v="-157263.52410000001"/>
    <n v="0"/>
    <n v="-242845.80410495651"/>
    <n v="-192104.31979980366"/>
  </r>
  <r>
    <s v="Sistema Isolado - Regular"/>
    <x v="4"/>
    <x v="4"/>
    <x v="1"/>
    <x v="0"/>
    <x v="0"/>
    <x v="0"/>
    <x v="1"/>
    <x v="5"/>
    <n v="0"/>
    <n v="0"/>
    <n v="1097.6010000000001"/>
    <n v="1097.6010000000001"/>
    <n v="1097.6010000000001"/>
    <n v="1097.6010000000001"/>
    <n v="704"/>
    <x v="1"/>
    <n v="0"/>
    <n v="0"/>
    <n v="72"/>
    <n v="78"/>
    <n v="0"/>
    <n v="450.19"/>
    <n v="243.3"/>
    <m/>
    <n v="375.70304033862055"/>
    <n v="297.20166373463735"/>
    <n v="0"/>
    <n v="494128.99419000006"/>
    <n v="267046.32330000005"/>
    <n v="0"/>
    <n v="412372.0327787103"/>
    <n v="326208.84331680171"/>
  </r>
  <r>
    <s v="Sistema Isolado - Refaturamento"/>
    <x v="4"/>
    <x v="4"/>
    <x v="1"/>
    <x v="0"/>
    <x v="0"/>
    <x v="0"/>
    <x v="1"/>
    <x v="5"/>
    <n v="0"/>
    <n v="0"/>
    <n v="-13.717000000000001"/>
    <n v="-13.717000000000001"/>
    <n v="-13.717000000000001"/>
    <n v="-13.717000000000001"/>
    <n v="0"/>
    <x v="1"/>
    <n v="0"/>
    <n v="0"/>
    <n v="72"/>
    <n v="78"/>
    <n v="0"/>
    <n v="450.19"/>
    <n v="243.3"/>
    <m/>
    <n v="375.70304033862055"/>
    <n v="297.20166373463735"/>
    <n v="0"/>
    <n v="-6175.25623"/>
    <n v="-3337.3461000000002"/>
    <n v="0"/>
    <n v="-5153.5186043248586"/>
    <n v="-4076.7152214480207"/>
  </r>
  <r>
    <s v="Sistema de Compensação"/>
    <x v="4"/>
    <x v="4"/>
    <x v="1"/>
    <x v="0"/>
    <x v="0"/>
    <x v="0"/>
    <x v="1"/>
    <x v="5"/>
    <n v="0"/>
    <n v="0"/>
    <n v="44.2"/>
    <n v="44.2"/>
    <n v="44.2"/>
    <n v="44.2"/>
    <n v="14"/>
    <x v="1"/>
    <n v="0"/>
    <n v="0"/>
    <n v="72"/>
    <n v="78"/>
    <n v="0"/>
    <n v="450.19"/>
    <n v="243.3"/>
    <m/>
    <n v="375.70304033862055"/>
    <n v="297.20166373463735"/>
    <n v="0"/>
    <n v="19898.398000000001"/>
    <n v="10753.86"/>
    <n v="0"/>
    <n v="16606.074382967028"/>
    <n v="13136.313537070972"/>
  </r>
  <r>
    <s v="Regular"/>
    <x v="4"/>
    <x v="4"/>
    <x v="1"/>
    <x v="0"/>
    <x v="0"/>
    <x v="0"/>
    <x v="1"/>
    <x v="6"/>
    <n v="0"/>
    <n v="0"/>
    <n v="2445.741"/>
    <n v="2445.741"/>
    <n v="2445.741"/>
    <n v="2445.741"/>
    <n v="1057"/>
    <x v="1"/>
    <n v="0"/>
    <n v="0"/>
    <n v="72"/>
    <n v="78"/>
    <n v="0"/>
    <n v="450.19"/>
    <n v="243.3"/>
    <m/>
    <n v="375.70304033862055"/>
    <n v="297.20166373463735"/>
    <n v="0"/>
    <n v="1101048.1407900001"/>
    <n v="595048.78529999999"/>
    <n v="0"/>
    <n v="918872.32958081819"/>
    <n v="726878.29426401563"/>
  </r>
  <r>
    <s v="Refaturamento - Regular"/>
    <x v="4"/>
    <x v="4"/>
    <x v="1"/>
    <x v="0"/>
    <x v="0"/>
    <x v="0"/>
    <x v="1"/>
    <x v="6"/>
    <n v="0"/>
    <n v="0"/>
    <n v="-99.188999999999993"/>
    <n v="-99.188999999999993"/>
    <n v="-99.188999999999993"/>
    <n v="-99.188999999999993"/>
    <n v="0"/>
    <x v="1"/>
    <n v="0"/>
    <n v="0"/>
    <n v="72"/>
    <n v="78"/>
    <n v="0"/>
    <n v="450.19"/>
    <n v="243.3"/>
    <m/>
    <n v="375.70304033862055"/>
    <n v="297.20166373463735"/>
    <n v="0"/>
    <n v="-44653.895909999999"/>
    <n v="-24132.683699999998"/>
    <n v="0"/>
    <n v="-37265.608868147428"/>
    <n v="-29479.13582417494"/>
  </r>
  <r>
    <s v="Sistema Isolado - Regular"/>
    <x v="4"/>
    <x v="4"/>
    <x v="1"/>
    <x v="0"/>
    <x v="0"/>
    <x v="0"/>
    <x v="1"/>
    <x v="6"/>
    <n v="0"/>
    <n v="0"/>
    <n v="998.69100000000003"/>
    <n v="998.69100000000003"/>
    <n v="998.69100000000003"/>
    <n v="998.69100000000003"/>
    <n v="701"/>
    <x v="1"/>
    <n v="0"/>
    <n v="0"/>
    <n v="72"/>
    <n v="78"/>
    <n v="0"/>
    <n v="450.19"/>
    <n v="243.3"/>
    <m/>
    <n v="375.70304033862055"/>
    <n v="297.20166373463735"/>
    <n v="0"/>
    <n v="449600.70129"/>
    <n v="242981.52030000003"/>
    <n v="0"/>
    <n v="375211.24505881732"/>
    <n v="296812.62675680872"/>
  </r>
  <r>
    <s v="Sistema Isolado - Refaturamento"/>
    <x v="4"/>
    <x v="4"/>
    <x v="1"/>
    <x v="0"/>
    <x v="0"/>
    <x v="0"/>
    <x v="1"/>
    <x v="6"/>
    <n v="0"/>
    <n v="0"/>
    <n v="-0.14099999999999999"/>
    <n v="-0.14099999999999999"/>
    <n v="-0.14099999999999999"/>
    <n v="-0.14099999999999999"/>
    <n v="0"/>
    <x v="1"/>
    <n v="0"/>
    <n v="0"/>
    <n v="72"/>
    <n v="78"/>
    <n v="0"/>
    <n v="450.19"/>
    <n v="243.3"/>
    <m/>
    <n v="375.70304033862055"/>
    <n v="297.20166373463735"/>
    <n v="0"/>
    <n v="-63.476789999999994"/>
    <n v="-34.305299999999995"/>
    <n v="0"/>
    <n v="-52.974128687745491"/>
    <n v="-41.905434586583866"/>
  </r>
  <r>
    <s v="Sistema de Compensação"/>
    <x v="4"/>
    <x v="4"/>
    <x v="1"/>
    <x v="0"/>
    <x v="0"/>
    <x v="0"/>
    <x v="1"/>
    <x v="6"/>
    <n v="0"/>
    <n v="0"/>
    <n v="39.142000000000003"/>
    <n v="39.142000000000003"/>
    <n v="39.142000000000003"/>
    <n v="39.142000000000003"/>
    <n v="16"/>
    <x v="1"/>
    <n v="0"/>
    <n v="0"/>
    <n v="72"/>
    <n v="78"/>
    <n v="0"/>
    <n v="450.19"/>
    <n v="243.3"/>
    <m/>
    <n v="375.70304033862055"/>
    <n v="297.20166373463735"/>
    <n v="0"/>
    <n v="17621.33698"/>
    <n v="9523.2486000000008"/>
    <n v="0"/>
    <n v="14705.768404934286"/>
    <n v="11633.067521901175"/>
  </r>
  <r>
    <s v="Regular"/>
    <x v="4"/>
    <x v="4"/>
    <x v="1"/>
    <x v="0"/>
    <x v="0"/>
    <x v="0"/>
    <x v="1"/>
    <x v="7"/>
    <n v="0"/>
    <n v="0"/>
    <n v="2396.7190000000001"/>
    <n v="2396.7190000000001"/>
    <n v="2396.7190000000001"/>
    <n v="2396.7190000000001"/>
    <n v="1050"/>
    <x v="1"/>
    <n v="0"/>
    <n v="0"/>
    <n v="72"/>
    <n v="78"/>
    <n v="0"/>
    <n v="450.19"/>
    <n v="243.3"/>
    <m/>
    <n v="375.70304033862055"/>
    <n v="297.20166373463735"/>
    <n v="0"/>
    <n v="1078978.92661"/>
    <n v="583121.73270000005"/>
    <n v="0"/>
    <n v="900454.61513733829"/>
    <n v="712308.87430441636"/>
  </r>
  <r>
    <s v="Sistema Isolado - Regular"/>
    <x v="4"/>
    <x v="4"/>
    <x v="1"/>
    <x v="0"/>
    <x v="0"/>
    <x v="0"/>
    <x v="1"/>
    <x v="7"/>
    <n v="0"/>
    <n v="0"/>
    <n v="906.35799999999995"/>
    <n v="906.35799999999995"/>
    <n v="906.35799999999995"/>
    <n v="906.35799999999995"/>
    <n v="697"/>
    <x v="1"/>
    <n v="0"/>
    <n v="0"/>
    <n v="72"/>
    <n v="78"/>
    <n v="0"/>
    <n v="450.19"/>
    <n v="243.3"/>
    <m/>
    <n v="375.70304033862055"/>
    <n v="297.20166373463735"/>
    <n v="0"/>
    <n v="408033.30802"/>
    <n v="220516.9014"/>
    <n v="0"/>
    <n v="340521.45623523142"/>
    <n v="269371.10553919844"/>
  </r>
  <r>
    <s v="Sistema Isolado - Refaturamento"/>
    <x v="4"/>
    <x v="4"/>
    <x v="1"/>
    <x v="0"/>
    <x v="0"/>
    <x v="0"/>
    <x v="1"/>
    <x v="7"/>
    <n v="0"/>
    <n v="0"/>
    <n v="-43.301000000000002"/>
    <n v="-43.301000000000002"/>
    <n v="-43.301000000000002"/>
    <n v="-43.301000000000002"/>
    <n v="0"/>
    <x v="1"/>
    <n v="0"/>
    <n v="0"/>
    <n v="72"/>
    <n v="78"/>
    <n v="0"/>
    <n v="450.19"/>
    <n v="243.3"/>
    <m/>
    <n v="375.70304033862055"/>
    <n v="297.20166373463735"/>
    <n v="0"/>
    <n v="-19493.677190000002"/>
    <n v="-10535.133300000001"/>
    <n v="0"/>
    <n v="-16268.317349702609"/>
    <n v="-12869.129241373532"/>
  </r>
  <r>
    <s v="Sistema de Compensação"/>
    <x v="4"/>
    <x v="4"/>
    <x v="1"/>
    <x v="0"/>
    <x v="0"/>
    <x v="0"/>
    <x v="1"/>
    <x v="7"/>
    <n v="0"/>
    <n v="0"/>
    <n v="59.628999999999998"/>
    <n v="59.628999999999998"/>
    <n v="59.628999999999998"/>
    <n v="59.628999999999998"/>
    <n v="19"/>
    <x v="1"/>
    <n v="0"/>
    <n v="0"/>
    <n v="72"/>
    <n v="78"/>
    <n v="0"/>
    <n v="450.19"/>
    <n v="243.3"/>
    <m/>
    <n v="375.70304033862055"/>
    <n v="297.20166373463735"/>
    <n v="0"/>
    <n v="26844.379509999999"/>
    <n v="14507.735699999999"/>
    <n v="0"/>
    <n v="22402.796592351606"/>
    <n v="17721.838006832691"/>
  </r>
  <r>
    <s v="Regular"/>
    <x v="4"/>
    <x v="4"/>
    <x v="1"/>
    <x v="0"/>
    <x v="0"/>
    <x v="0"/>
    <x v="1"/>
    <x v="8"/>
    <n v="0"/>
    <n v="0"/>
    <n v="2408.8809999999999"/>
    <n v="2408.8809999999999"/>
    <n v="2408.8809999999999"/>
    <n v="2408.8809999999999"/>
    <n v="1036"/>
    <x v="1"/>
    <n v="0"/>
    <n v="0"/>
    <n v="72"/>
    <n v="78"/>
    <n v="0"/>
    <n v="450.19"/>
    <n v="243.3"/>
    <m/>
    <n v="375.70304033862055"/>
    <n v="297.20166373463735"/>
    <n v="0"/>
    <n v="1084454.1373899998"/>
    <n v="586080.74730000005"/>
    <n v="0"/>
    <n v="905023.91551393655"/>
    <n v="715923.44093875692"/>
  </r>
  <r>
    <s v="Refaturamento - Regular"/>
    <x v="4"/>
    <x v="4"/>
    <x v="1"/>
    <x v="0"/>
    <x v="0"/>
    <x v="0"/>
    <x v="1"/>
    <x v="8"/>
    <n v="0"/>
    <n v="0"/>
    <n v="-22.704000000000001"/>
    <n v="-22.704000000000001"/>
    <n v="-22.704000000000001"/>
    <n v="-22.704000000000001"/>
    <n v="0"/>
    <x v="1"/>
    <n v="0"/>
    <n v="0"/>
    <n v="72"/>
    <n v="78"/>
    <n v="0"/>
    <n v="450.19"/>
    <n v="243.3"/>
    <m/>
    <n v="375.70304033862055"/>
    <n v="297.20166373463735"/>
    <n v="0"/>
    <n v="-10221.11376"/>
    <n v="-5523.8832000000002"/>
    <n v="0"/>
    <n v="-8529.9618278480411"/>
    <n v="-6747.6665734312064"/>
  </r>
  <r>
    <s v="Sistema Isolado - Regular"/>
    <x v="4"/>
    <x v="4"/>
    <x v="1"/>
    <x v="0"/>
    <x v="0"/>
    <x v="0"/>
    <x v="1"/>
    <x v="8"/>
    <n v="0"/>
    <n v="0"/>
    <n v="1148.9929999999999"/>
    <n v="1148.9929999999999"/>
    <n v="1148.9929999999999"/>
    <n v="1148.9929999999999"/>
    <n v="696"/>
    <x v="1"/>
    <n v="0"/>
    <n v="0"/>
    <n v="72"/>
    <n v="78"/>
    <n v="0"/>
    <n v="450.19"/>
    <n v="243.3"/>
    <m/>
    <n v="375.70304033862055"/>
    <n v="297.20166373463735"/>
    <n v="0"/>
    <n v="517265.15866999998"/>
    <n v="279549.99689999997"/>
    <n v="0"/>
    <n v="431680.16342779261"/>
    <n v="341482.63121945213"/>
  </r>
  <r>
    <s v="Sistema Isolado - Refaturamento"/>
    <x v="4"/>
    <x v="4"/>
    <x v="1"/>
    <x v="0"/>
    <x v="0"/>
    <x v="0"/>
    <x v="1"/>
    <x v="8"/>
    <n v="0"/>
    <n v="0"/>
    <n v="-2.968"/>
    <n v="-2.968"/>
    <n v="-2.968"/>
    <n v="-2.968"/>
    <n v="0"/>
    <x v="1"/>
    <n v="0"/>
    <n v="0"/>
    <n v="72"/>
    <n v="78"/>
    <n v="0"/>
    <n v="450.19"/>
    <n v="243.3"/>
    <m/>
    <n v="375.70304033862055"/>
    <n v="297.20166373463735"/>
    <n v="0"/>
    <n v="-1336.16392"/>
    <n v="-722.11440000000005"/>
    <n v="0"/>
    <n v="-1115.0866237250259"/>
    <n v="-882.09453796440368"/>
  </r>
  <r>
    <s v="Sistema de Compensação"/>
    <x v="4"/>
    <x v="4"/>
    <x v="1"/>
    <x v="0"/>
    <x v="0"/>
    <x v="0"/>
    <x v="1"/>
    <x v="8"/>
    <n v="0"/>
    <n v="0"/>
    <n v="51.043999999999997"/>
    <n v="51.043999999999997"/>
    <n v="51.043999999999997"/>
    <n v="51.043999999999997"/>
    <n v="19"/>
    <x v="1"/>
    <n v="0"/>
    <n v="0"/>
    <n v="72"/>
    <n v="78"/>
    <n v="0"/>
    <n v="450.19"/>
    <n v="243.3"/>
    <m/>
    <n v="375.70304033862055"/>
    <n v="297.20166373463735"/>
    <n v="0"/>
    <n v="22979.498359999998"/>
    <n v="12419.0052"/>
    <n v="0"/>
    <n v="19177.385991044546"/>
    <n v="15170.361723670829"/>
  </r>
  <r>
    <s v="Sistema de Compensação"/>
    <x v="4"/>
    <x v="4"/>
    <x v="1"/>
    <x v="0"/>
    <x v="0"/>
    <x v="0"/>
    <x v="1"/>
    <x v="8"/>
    <n v="0"/>
    <n v="0"/>
    <n v="-2.125"/>
    <n v="-2.125"/>
    <n v="-2.125"/>
    <n v="-2.125"/>
    <n v="0"/>
    <x v="1"/>
    <n v="0"/>
    <n v="0"/>
    <n v="72"/>
    <n v="78"/>
    <n v="0"/>
    <n v="450.19"/>
    <n v="243.3"/>
    <m/>
    <n v="375.70304033862055"/>
    <n v="297.20166373463735"/>
    <n v="0"/>
    <n v="-956.65374999999995"/>
    <n v="-517.01250000000005"/>
    <n v="0"/>
    <n v="-798.36896071956869"/>
    <n v="-631.55353543610431"/>
  </r>
  <r>
    <s v="Regular"/>
    <x v="4"/>
    <x v="4"/>
    <x v="1"/>
    <x v="0"/>
    <x v="0"/>
    <x v="0"/>
    <x v="1"/>
    <x v="9"/>
    <n v="0"/>
    <n v="0"/>
    <n v="2718.8209999999999"/>
    <n v="2718.8209999999999"/>
    <n v="2718.8209999999999"/>
    <n v="2718.8209999999999"/>
    <n v="1037"/>
    <x v="1"/>
    <n v="0"/>
    <n v="0"/>
    <n v="72"/>
    <n v="78"/>
    <n v="0"/>
    <n v="450.19"/>
    <n v="243.3"/>
    <m/>
    <n v="375.70304033862055"/>
    <n v="297.20166373463735"/>
    <n v="0"/>
    <n v="1223986.02599"/>
    <n v="661489.14930000005"/>
    <n v="0"/>
    <n v="1021469.3158364886"/>
    <n v="808038.12459667039"/>
  </r>
  <r>
    <s v="Refaturamento - Regular"/>
    <x v="4"/>
    <x v="4"/>
    <x v="1"/>
    <x v="0"/>
    <x v="0"/>
    <x v="0"/>
    <x v="1"/>
    <x v="9"/>
    <n v="0"/>
    <n v="0"/>
    <n v="-69.606999999999999"/>
    <n v="-69.606999999999999"/>
    <n v="-69.606999999999999"/>
    <n v="-69.606999999999999"/>
    <n v="0"/>
    <x v="1"/>
    <n v="0"/>
    <n v="0"/>
    <n v="72"/>
    <n v="78"/>
    <n v="0"/>
    <n v="450.19"/>
    <n v="243.3"/>
    <m/>
    <n v="375.70304033862055"/>
    <n v="297.20166373463735"/>
    <n v="0"/>
    <n v="-31336.375329999999"/>
    <n v="-16935.383099999999"/>
    <n v="0"/>
    <n v="-26151.561528850361"/>
    <n v="-20687.316207576903"/>
  </r>
  <r>
    <s v="Sistema Isolado - Regular"/>
    <x v="4"/>
    <x v="4"/>
    <x v="1"/>
    <x v="0"/>
    <x v="0"/>
    <x v="0"/>
    <x v="1"/>
    <x v="9"/>
    <n v="0"/>
    <n v="0"/>
    <n v="1051.758"/>
    <n v="1051.758"/>
    <n v="1051.758"/>
    <n v="1051.758"/>
    <n v="694"/>
    <x v="1"/>
    <n v="0"/>
    <n v="0"/>
    <n v="72"/>
    <n v="78"/>
    <n v="0"/>
    <n v="450.19"/>
    <n v="243.3"/>
    <m/>
    <n v="375.70304033862055"/>
    <n v="297.20166373463735"/>
    <n v="0"/>
    <n v="473490.93401999999"/>
    <n v="255892.72140000001"/>
    <n v="0"/>
    <n v="395148.67830046691"/>
    <n v="312584.2274462147"/>
  </r>
  <r>
    <s v="Sistema Isolado - Refaturamento"/>
    <x v="4"/>
    <x v="4"/>
    <x v="1"/>
    <x v="0"/>
    <x v="0"/>
    <x v="0"/>
    <x v="1"/>
    <x v="9"/>
    <n v="0"/>
    <n v="0"/>
    <n v="4"/>
    <n v="4"/>
    <n v="4"/>
    <n v="4"/>
    <n v="0"/>
    <x v="1"/>
    <n v="0"/>
    <n v="0"/>
    <n v="72"/>
    <n v="78"/>
    <n v="0"/>
    <n v="450.19"/>
    <n v="243.3"/>
    <m/>
    <n v="375.70304033862055"/>
    <n v="297.20166373463735"/>
    <n v="0"/>
    <n v="1800.76"/>
    <n v="973.2"/>
    <n v="0"/>
    <n v="1502.8121613544822"/>
    <n v="1188.8066549385494"/>
  </r>
  <r>
    <s v="Sistema de Compensação"/>
    <x v="4"/>
    <x v="4"/>
    <x v="1"/>
    <x v="0"/>
    <x v="0"/>
    <x v="0"/>
    <x v="1"/>
    <x v="9"/>
    <n v="0"/>
    <n v="0"/>
    <n v="50.966999999999999"/>
    <n v="50.966999999999999"/>
    <n v="50.966999999999999"/>
    <n v="50.966999999999999"/>
    <n v="20"/>
    <x v="1"/>
    <n v="0"/>
    <n v="0"/>
    <n v="72"/>
    <n v="78"/>
    <n v="0"/>
    <n v="450.19"/>
    <n v="243.3"/>
    <m/>
    <n v="375.70304033862055"/>
    <n v="297.20166373463735"/>
    <n v="0"/>
    <n v="22944.833729999998"/>
    <n v="12400.2711"/>
    <n v="0"/>
    <n v="19148.456856938472"/>
    <n v="15147.477195563262"/>
  </r>
  <r>
    <s v="Regular"/>
    <x v="4"/>
    <x v="4"/>
    <x v="1"/>
    <x v="0"/>
    <x v="0"/>
    <x v="0"/>
    <x v="1"/>
    <x v="10"/>
    <n v="0"/>
    <n v="0"/>
    <n v="2325.569"/>
    <n v="2325.569"/>
    <n v="2325.569"/>
    <n v="2325.569"/>
    <n v="1018"/>
    <x v="1"/>
    <n v="0"/>
    <n v="0"/>
    <n v="72"/>
    <n v="78"/>
    <n v="0"/>
    <n v="450.19"/>
    <n v="243.3"/>
    <m/>
    <n v="375.70304033862055"/>
    <n v="297.20166373463735"/>
    <n v="0"/>
    <n v="1046947.90811"/>
    <n v="565810.93770000001"/>
    <n v="0"/>
    <n v="873723.34381724545"/>
    <n v="691162.97592969681"/>
  </r>
  <r>
    <s v="Refaturamento - Regular"/>
    <x v="4"/>
    <x v="4"/>
    <x v="1"/>
    <x v="0"/>
    <x v="0"/>
    <x v="0"/>
    <x v="1"/>
    <x v="10"/>
    <n v="0"/>
    <n v="0"/>
    <n v="-176.99700000000001"/>
    <n v="-176.99700000000001"/>
    <n v="-176.99700000000001"/>
    <n v="-176.99700000000001"/>
    <n v="0"/>
    <x v="1"/>
    <n v="0"/>
    <n v="0"/>
    <n v="72"/>
    <n v="78"/>
    <n v="0"/>
    <n v="450.19"/>
    <n v="243.3"/>
    <m/>
    <n v="375.70304033862055"/>
    <n v="297.20166373463735"/>
    <n v="0"/>
    <n v="-79682.27943000001"/>
    <n v="-43063.370100000007"/>
    <n v="0"/>
    <n v="-66498.311030814832"/>
    <n v="-52603.802876039612"/>
  </r>
  <r>
    <s v="Sistema Isolado - Regular"/>
    <x v="4"/>
    <x v="4"/>
    <x v="1"/>
    <x v="0"/>
    <x v="0"/>
    <x v="0"/>
    <x v="1"/>
    <x v="10"/>
    <n v="0"/>
    <n v="0"/>
    <n v="1043.4449999999999"/>
    <n v="1043.4449999999999"/>
    <n v="1043.4449999999999"/>
    <n v="1043.4449999999999"/>
    <n v="689"/>
    <x v="1"/>
    <n v="0"/>
    <n v="0"/>
    <n v="72"/>
    <n v="78"/>
    <n v="0"/>
    <n v="450.19"/>
    <n v="243.3"/>
    <m/>
    <n v="375.70304033862055"/>
    <n v="297.20166373463735"/>
    <n v="0"/>
    <n v="469748.50454999995"/>
    <n v="253870.1685"/>
    <n v="0"/>
    <n v="392025.45892613189"/>
    <n v="310113.59001558868"/>
  </r>
  <r>
    <s v="Sistema Isolado - Refaturamento"/>
    <x v="4"/>
    <x v="4"/>
    <x v="1"/>
    <x v="0"/>
    <x v="0"/>
    <x v="0"/>
    <x v="1"/>
    <x v="10"/>
    <n v="0"/>
    <n v="0"/>
    <n v="-1.5129999999999999"/>
    <n v="-1.5129999999999999"/>
    <n v="-1.5129999999999999"/>
    <n v="-1.5129999999999999"/>
    <n v="0"/>
    <x v="1"/>
    <n v="0"/>
    <n v="0"/>
    <n v="72"/>
    <n v="78"/>
    <n v="0"/>
    <n v="450.19"/>
    <n v="243.3"/>
    <m/>
    <n v="375.70304033862055"/>
    <n v="297.20166373463735"/>
    <n v="0"/>
    <n v="-681.13747000000001"/>
    <n v="-368.11289999999997"/>
    <n v="0"/>
    <n v="-568.4387000323328"/>
    <n v="-449.6661172305063"/>
  </r>
  <r>
    <s v="Sistema de Compensação"/>
    <x v="4"/>
    <x v="4"/>
    <x v="1"/>
    <x v="0"/>
    <x v="0"/>
    <x v="0"/>
    <x v="1"/>
    <x v="10"/>
    <n v="0"/>
    <n v="0"/>
    <n v="67.442999999999998"/>
    <n v="67.442999999999998"/>
    <n v="67.442999999999998"/>
    <n v="67.442999999999998"/>
    <n v="22"/>
    <x v="1"/>
    <n v="0"/>
    <n v="0"/>
    <n v="72"/>
    <n v="78"/>
    <n v="0"/>
    <n v="450.19"/>
    <n v="243.3"/>
    <m/>
    <n v="375.70304033862055"/>
    <n v="297.20166373463735"/>
    <n v="0"/>
    <n v="30362.16417"/>
    <n v="16408.8819"/>
    <n v="0"/>
    <n v="25338.540149557586"/>
    <n v="20044.171807255145"/>
  </r>
  <r>
    <s v="Sistema de Compensação"/>
    <x v="4"/>
    <x v="4"/>
    <x v="1"/>
    <x v="0"/>
    <x v="0"/>
    <x v="0"/>
    <x v="1"/>
    <x v="10"/>
    <n v="0"/>
    <n v="0"/>
    <n v="-1.542"/>
    <n v="-1.542"/>
    <n v="-1.542"/>
    <n v="-1.542"/>
    <n v="0"/>
    <x v="1"/>
    <n v="0"/>
    <n v="0"/>
    <n v="72"/>
    <n v="78"/>
    <n v="0"/>
    <n v="450.19"/>
    <n v="243.3"/>
    <m/>
    <n v="375.70304033862055"/>
    <n v="297.20166373463735"/>
    <n v="0"/>
    <n v="-694.19298000000003"/>
    <n v="-375.16860000000003"/>
    <n v="0"/>
    <n v="-579.33408820215288"/>
    <n v="-458.28496547881082"/>
  </r>
  <r>
    <s v="PROJETADO"/>
    <x v="4"/>
    <x v="4"/>
    <x v="1"/>
    <x v="0"/>
    <x v="0"/>
    <x v="0"/>
    <x v="1"/>
    <x v="11"/>
    <n v="0"/>
    <n v="0"/>
    <n v="2325.569"/>
    <n v="2325.569"/>
    <n v="2325.569"/>
    <n v="2325.569"/>
    <n v="1018"/>
    <x v="1"/>
    <n v="0"/>
    <n v="0"/>
    <n v="72"/>
    <n v="78"/>
    <n v="0"/>
    <n v="450.19"/>
    <n v="243.3"/>
    <m/>
    <n v="375.70304033862055"/>
    <n v="297.20166373463735"/>
    <n v="0"/>
    <n v="1046947.90811"/>
    <n v="565810.93770000001"/>
    <n v="0"/>
    <n v="873723.34381724545"/>
    <n v="691162.97592969681"/>
  </r>
  <r>
    <s v="PROJETADO"/>
    <x v="4"/>
    <x v="4"/>
    <x v="1"/>
    <x v="0"/>
    <x v="0"/>
    <x v="0"/>
    <x v="1"/>
    <x v="11"/>
    <n v="0"/>
    <n v="0"/>
    <n v="-176.99700000000001"/>
    <n v="-176.99700000000001"/>
    <n v="-176.99700000000001"/>
    <n v="-176.99700000000001"/>
    <n v="0"/>
    <x v="1"/>
    <n v="0"/>
    <n v="0"/>
    <n v="72"/>
    <n v="78"/>
    <n v="0"/>
    <n v="450.19"/>
    <n v="243.3"/>
    <m/>
    <n v="375.70304033862055"/>
    <n v="297.20166373463735"/>
    <n v="0"/>
    <n v="-79682.27943000001"/>
    <n v="-43063.370100000007"/>
    <n v="0"/>
    <n v="-66498.311030814832"/>
    <n v="-52603.802876039612"/>
  </r>
  <r>
    <s v="PROJETADO"/>
    <x v="4"/>
    <x v="4"/>
    <x v="1"/>
    <x v="0"/>
    <x v="0"/>
    <x v="0"/>
    <x v="1"/>
    <x v="11"/>
    <n v="0"/>
    <n v="0"/>
    <n v="1043.4449999999999"/>
    <n v="1043.4449999999999"/>
    <n v="1043.4449999999999"/>
    <n v="1043.4449999999999"/>
    <n v="689"/>
    <x v="1"/>
    <n v="0"/>
    <n v="0"/>
    <n v="72"/>
    <n v="78"/>
    <n v="0"/>
    <n v="450.19"/>
    <n v="243.3"/>
    <m/>
    <n v="375.70304033862055"/>
    <n v="297.20166373463735"/>
    <n v="0"/>
    <n v="469748.50454999995"/>
    <n v="253870.1685"/>
    <n v="0"/>
    <n v="392025.45892613189"/>
    <n v="310113.59001558868"/>
  </r>
  <r>
    <s v="PROJETADO"/>
    <x v="4"/>
    <x v="4"/>
    <x v="1"/>
    <x v="0"/>
    <x v="0"/>
    <x v="0"/>
    <x v="1"/>
    <x v="11"/>
    <n v="0"/>
    <n v="0"/>
    <n v="-1.5129999999999999"/>
    <n v="-1.5129999999999999"/>
    <n v="-1.5129999999999999"/>
    <n v="-1.5129999999999999"/>
    <n v="0"/>
    <x v="1"/>
    <n v="0"/>
    <n v="0"/>
    <n v="72"/>
    <n v="78"/>
    <n v="0"/>
    <n v="450.19"/>
    <n v="243.3"/>
    <m/>
    <n v="375.70304033862055"/>
    <n v="297.20166373463735"/>
    <n v="0"/>
    <n v="-681.13747000000001"/>
    <n v="-368.11289999999997"/>
    <n v="0"/>
    <n v="-568.4387000323328"/>
    <n v="-449.6661172305063"/>
  </r>
  <r>
    <s v="PROJETADO"/>
    <x v="4"/>
    <x v="4"/>
    <x v="1"/>
    <x v="0"/>
    <x v="0"/>
    <x v="0"/>
    <x v="1"/>
    <x v="11"/>
    <n v="0"/>
    <n v="0"/>
    <n v="67.442999999999998"/>
    <n v="67.442999999999998"/>
    <n v="67.442999999999998"/>
    <n v="67.442999999999998"/>
    <n v="22"/>
    <x v="1"/>
    <n v="0"/>
    <n v="0"/>
    <n v="72"/>
    <n v="78"/>
    <n v="0"/>
    <n v="450.19"/>
    <n v="243.3"/>
    <m/>
    <n v="375.70304033862055"/>
    <n v="297.20166373463735"/>
    <n v="0"/>
    <n v="30362.16417"/>
    <n v="16408.8819"/>
    <n v="0"/>
    <n v="25338.540149557586"/>
    <n v="20044.171807255145"/>
  </r>
  <r>
    <s v="PROJETADO"/>
    <x v="4"/>
    <x v="4"/>
    <x v="1"/>
    <x v="0"/>
    <x v="0"/>
    <x v="0"/>
    <x v="1"/>
    <x v="11"/>
    <n v="0"/>
    <n v="0"/>
    <n v="-1.542"/>
    <n v="-1.542"/>
    <n v="-1.542"/>
    <n v="-1.542"/>
    <n v="0"/>
    <x v="1"/>
    <n v="0"/>
    <n v="0"/>
    <n v="72"/>
    <n v="78"/>
    <n v="0"/>
    <n v="450.19"/>
    <n v="243.3"/>
    <m/>
    <n v="375.70304033862055"/>
    <n v="297.20166373463735"/>
    <n v="0"/>
    <n v="-694.19298000000003"/>
    <n v="-375.16860000000003"/>
    <n v="0"/>
    <n v="-579.33408820215288"/>
    <n v="-458.28496547881082"/>
  </r>
  <r>
    <s v="Regular"/>
    <x v="4"/>
    <x v="4"/>
    <x v="2"/>
    <x v="0"/>
    <x v="0"/>
    <x v="0"/>
    <x v="1"/>
    <x v="0"/>
    <n v="0"/>
    <n v="0"/>
    <n v="4135.0119999999997"/>
    <n v="4135.0119999999997"/>
    <n v="4135.0119999999997"/>
    <n v="4135.0119999999997"/>
    <n v="2094"/>
    <x v="1"/>
    <n v="0"/>
    <n v="0"/>
    <n v="72"/>
    <n v="78"/>
    <n v="0"/>
    <n v="450.19"/>
    <n v="243.3"/>
    <m/>
    <n v="375.70304033862055"/>
    <n v="297.20166373463735"/>
    <n v="0"/>
    <n v="1861541.0522799999"/>
    <n v="1006048.4196"/>
    <n v="0"/>
    <n v="1553536.5802366799"/>
    <n v="1228932.4459626903"/>
  </r>
  <r>
    <s v="Refaturamento - Regular"/>
    <x v="4"/>
    <x v="4"/>
    <x v="2"/>
    <x v="0"/>
    <x v="0"/>
    <x v="0"/>
    <x v="1"/>
    <x v="0"/>
    <n v="0"/>
    <n v="0"/>
    <n v="12.967000000000001"/>
    <n v="12.967000000000001"/>
    <n v="12.967000000000001"/>
    <n v="12.967000000000001"/>
    <n v="-11"/>
    <x v="1"/>
    <n v="0"/>
    <n v="0"/>
    <n v="72"/>
    <n v="78"/>
    <n v="0"/>
    <n v="450.19"/>
    <n v="243.3"/>
    <m/>
    <n v="375.70304033862055"/>
    <n v="297.20166373463735"/>
    <n v="0"/>
    <n v="5837.61373"/>
    <n v="3154.8711000000003"/>
    <n v="0"/>
    <n v="4871.7413240708929"/>
    <n v="3853.8139736470425"/>
  </r>
  <r>
    <s v="Sistema Isolado - Regular"/>
    <x v="4"/>
    <x v="4"/>
    <x v="2"/>
    <x v="0"/>
    <x v="0"/>
    <x v="0"/>
    <x v="1"/>
    <x v="0"/>
    <n v="0"/>
    <n v="0"/>
    <n v="6593.9489999999996"/>
    <n v="6593.9489999999996"/>
    <n v="6593.9489999999996"/>
    <n v="6593.9489999999996"/>
    <n v="6611"/>
    <x v="1"/>
    <n v="0"/>
    <n v="0"/>
    <n v="72"/>
    <n v="78"/>
    <n v="0"/>
    <n v="450.19"/>
    <n v="243.3"/>
    <m/>
    <n v="375.70304033862055"/>
    <n v="297.20166373463735"/>
    <n v="0"/>
    <n v="2968529.9003099999"/>
    <n v="1604307.7916999999"/>
    <n v="0"/>
    <n v="2477366.6871378063"/>
    <n v="1959732.6133813481"/>
  </r>
  <r>
    <s v="Sistema Isolado - Refaturamento"/>
    <x v="4"/>
    <x v="4"/>
    <x v="2"/>
    <x v="0"/>
    <x v="0"/>
    <x v="0"/>
    <x v="1"/>
    <x v="0"/>
    <n v="0"/>
    <n v="0"/>
    <n v="-7.9560000000000004"/>
    <n v="-7.9560000000000004"/>
    <n v="-7.9560000000000004"/>
    <n v="-7.9560000000000004"/>
    <n v="0"/>
    <x v="1"/>
    <n v="0"/>
    <n v="0"/>
    <n v="72"/>
    <n v="78"/>
    <n v="0"/>
    <n v="450.19"/>
    <n v="243.3"/>
    <m/>
    <n v="375.70304033862055"/>
    <n v="297.20166373463735"/>
    <n v="0"/>
    <n v="-3581.71164"/>
    <n v="-1935.6948000000002"/>
    <n v="0"/>
    <n v="-2989.0933889340654"/>
    <n v="-2364.5364366727749"/>
  </r>
  <r>
    <s v="Sistema de Compensação"/>
    <x v="4"/>
    <x v="4"/>
    <x v="2"/>
    <x v="0"/>
    <x v="0"/>
    <x v="0"/>
    <x v="1"/>
    <x v="0"/>
    <n v="0"/>
    <n v="0"/>
    <n v="7.6890000000000001"/>
    <n v="7.6890000000000001"/>
    <n v="7.6890000000000001"/>
    <n v="7.6890000000000001"/>
    <n v="2"/>
    <x v="1"/>
    <n v="0"/>
    <n v="0"/>
    <n v="72"/>
    <n v="78"/>
    <n v="0"/>
    <n v="450.19"/>
    <n v="243.3"/>
    <m/>
    <n v="375.70304033862055"/>
    <n v="297.20166373463735"/>
    <n v="0"/>
    <n v="3461.51091"/>
    <n v="1870.7337"/>
    <n v="0"/>
    <n v="2888.7806771636533"/>
    <n v="2285.1835924556267"/>
  </r>
  <r>
    <s v="Regular"/>
    <x v="4"/>
    <x v="4"/>
    <x v="2"/>
    <x v="0"/>
    <x v="0"/>
    <x v="0"/>
    <x v="1"/>
    <x v="1"/>
    <n v="0"/>
    <n v="0"/>
    <n v="3859.7179999999998"/>
    <n v="3859.7179999999998"/>
    <n v="3859.7179999999998"/>
    <n v="3859.7179999999998"/>
    <n v="2055"/>
    <x v="1"/>
    <n v="0"/>
    <n v="0"/>
    <n v="72"/>
    <n v="78"/>
    <n v="0"/>
    <n v="450.19"/>
    <n v="243.3"/>
    <m/>
    <n v="375.70304033862055"/>
    <n v="297.20166373463735"/>
    <n v="0"/>
    <n v="1737606.4464199999"/>
    <n v="939069.38939999999"/>
    <n v="0"/>
    <n v="1450107.7874496998"/>
    <n v="1147114.6111465269"/>
  </r>
  <r>
    <s v="Refaturamento - Regular"/>
    <x v="4"/>
    <x v="4"/>
    <x v="2"/>
    <x v="0"/>
    <x v="0"/>
    <x v="0"/>
    <x v="1"/>
    <x v="1"/>
    <n v="0"/>
    <n v="0"/>
    <n v="-7.1890000000000001"/>
    <n v="-7.1890000000000001"/>
    <n v="-7.1890000000000001"/>
    <n v="-7.1890000000000001"/>
    <n v="0"/>
    <x v="1"/>
    <n v="0"/>
    <n v="0"/>
    <n v="72"/>
    <n v="78"/>
    <n v="0"/>
    <n v="450.19"/>
    <n v="243.3"/>
    <m/>
    <n v="375.70304033862055"/>
    <n v="297.20166373463735"/>
    <n v="0"/>
    <n v="-3236.4159100000002"/>
    <n v="-1749.0837000000001"/>
    <n v="0"/>
    <n v="-2700.929156994343"/>
    <n v="-2136.5827605883078"/>
  </r>
  <r>
    <s v="Sistema Isolado - Regular"/>
    <x v="4"/>
    <x v="4"/>
    <x v="2"/>
    <x v="0"/>
    <x v="0"/>
    <x v="0"/>
    <x v="1"/>
    <x v="1"/>
    <n v="0"/>
    <n v="0"/>
    <n v="6221.8379999999997"/>
    <n v="6221.8379999999997"/>
    <n v="6221.8379999999997"/>
    <n v="6221.8379999999997"/>
    <n v="6526"/>
    <x v="1"/>
    <n v="0"/>
    <n v="0"/>
    <n v="72"/>
    <n v="78"/>
    <n v="0"/>
    <n v="450.19"/>
    <n v="243.3"/>
    <m/>
    <n v="375.70304033862055"/>
    <n v="297.20166373463735"/>
    <n v="0"/>
    <n v="2801009.2492199996"/>
    <n v="1513773.1854000001"/>
    <n v="0"/>
    <n v="2337563.4530943623"/>
    <n v="1849140.6050873885"/>
  </r>
  <r>
    <s v="Sistema Isolado - Refaturamento"/>
    <x v="4"/>
    <x v="4"/>
    <x v="2"/>
    <x v="0"/>
    <x v="0"/>
    <x v="0"/>
    <x v="1"/>
    <x v="1"/>
    <n v="0"/>
    <n v="0"/>
    <n v="-26.065000000000001"/>
    <n v="-26.065000000000001"/>
    <n v="-26.065000000000001"/>
    <n v="-26.065000000000001"/>
    <n v="0"/>
    <x v="1"/>
    <n v="0"/>
    <n v="0"/>
    <n v="72"/>
    <n v="78"/>
    <n v="0"/>
    <n v="450.19"/>
    <n v="243.3"/>
    <m/>
    <n v="375.70304033862055"/>
    <n v="297.20166373463735"/>
    <n v="0"/>
    <n v="-11734.202350000001"/>
    <n v="-6341.6145000000006"/>
    <n v="0"/>
    <n v="-9792.6997464261458"/>
    <n v="-7746.5613652433231"/>
  </r>
  <r>
    <s v="Sistema de Compensação"/>
    <x v="4"/>
    <x v="4"/>
    <x v="2"/>
    <x v="0"/>
    <x v="0"/>
    <x v="0"/>
    <x v="1"/>
    <x v="1"/>
    <n v="0"/>
    <n v="0"/>
    <n v="6.3739999999999997"/>
    <n v="6.3739999999999997"/>
    <n v="6.3739999999999997"/>
    <n v="6.3739999999999997"/>
    <n v="3"/>
    <x v="1"/>
    <n v="0"/>
    <n v="0"/>
    <n v="72"/>
    <n v="78"/>
    <n v="0"/>
    <n v="450.19"/>
    <n v="243.3"/>
    <m/>
    <n v="375.70304033862055"/>
    <n v="297.20166373463735"/>
    <n v="0"/>
    <n v="2869.5110599999998"/>
    <n v="1550.7942"/>
    <n v="0"/>
    <n v="2394.7311791183674"/>
    <n v="1894.3634046445784"/>
  </r>
  <r>
    <s v="Regular"/>
    <x v="4"/>
    <x v="4"/>
    <x v="2"/>
    <x v="0"/>
    <x v="0"/>
    <x v="0"/>
    <x v="1"/>
    <x v="2"/>
    <n v="0"/>
    <n v="0"/>
    <n v="3141.83"/>
    <n v="3141.83"/>
    <n v="3141.83"/>
    <n v="3141.83"/>
    <n v="2082"/>
    <x v="1"/>
    <n v="0"/>
    <n v="0"/>
    <n v="72"/>
    <n v="78"/>
    <n v="0"/>
    <n v="450.19"/>
    <n v="243.3"/>
    <m/>
    <n v="375.70304033862055"/>
    <n v="297.20166373463735"/>
    <n v="0"/>
    <n v="1414420.4476999999"/>
    <n v="764407.23900000006"/>
    <n v="0"/>
    <n v="1180395.0832270882"/>
    <n v="933757.1031713956"/>
  </r>
  <r>
    <s v="Refaturamento - Regular"/>
    <x v="4"/>
    <x v="4"/>
    <x v="2"/>
    <x v="0"/>
    <x v="0"/>
    <x v="0"/>
    <x v="1"/>
    <x v="2"/>
    <n v="0"/>
    <n v="0"/>
    <n v="-5.3959999999999999"/>
    <n v="-5.3959999999999999"/>
    <n v="-5.3959999999999999"/>
    <n v="-5.3959999999999999"/>
    <n v="0"/>
    <x v="1"/>
    <n v="0"/>
    <n v="0"/>
    <n v="72"/>
    <n v="78"/>
    <n v="0"/>
    <n v="450.19"/>
    <n v="243.3"/>
    <m/>
    <n v="375.70304033862055"/>
    <n v="297.20166373463735"/>
    <n v="0"/>
    <n v="-2429.2252399999998"/>
    <n v="-1312.8468"/>
    <n v="0"/>
    <n v="-2027.2936056671965"/>
    <n v="-1603.7001775121032"/>
  </r>
  <r>
    <s v="Sistema Isolado - Regular"/>
    <x v="4"/>
    <x v="4"/>
    <x v="2"/>
    <x v="0"/>
    <x v="0"/>
    <x v="0"/>
    <x v="1"/>
    <x v="2"/>
    <n v="0"/>
    <n v="0"/>
    <n v="5590.9669999999996"/>
    <n v="5590.9669999999996"/>
    <n v="5590.9669999999996"/>
    <n v="5590.9669999999996"/>
    <n v="6578"/>
    <x v="1"/>
    <n v="0"/>
    <n v="0"/>
    <n v="72"/>
    <n v="78"/>
    <n v="0"/>
    <n v="450.19"/>
    <n v="243.3"/>
    <m/>
    <n v="375.70304033862055"/>
    <n v="297.20166373463735"/>
    <n v="0"/>
    <n v="2516997.4337299997"/>
    <n v="1360282.2711"/>
    <n v="0"/>
    <n v="2100543.3003328964"/>
    <n v="1661644.694285454"/>
  </r>
  <r>
    <s v="Sistema Isolado - Refaturamento"/>
    <x v="4"/>
    <x v="4"/>
    <x v="2"/>
    <x v="0"/>
    <x v="0"/>
    <x v="0"/>
    <x v="1"/>
    <x v="2"/>
    <n v="0"/>
    <n v="0"/>
    <n v="37.682000000000002"/>
    <n v="37.682000000000002"/>
    <n v="37.682000000000002"/>
    <n v="37.682000000000002"/>
    <n v="0"/>
    <x v="1"/>
    <n v="0"/>
    <n v="0"/>
    <n v="72"/>
    <n v="78"/>
    <n v="0"/>
    <n v="450.19"/>
    <n v="243.3"/>
    <m/>
    <n v="375.70304033862055"/>
    <n v="297.20166373463735"/>
    <n v="0"/>
    <n v="16964.059580000001"/>
    <n v="9168.0306"/>
    <n v="0"/>
    <n v="14157.241966039901"/>
    <n v="11199.153092848605"/>
  </r>
  <r>
    <s v="Sistema de Compensação"/>
    <x v="4"/>
    <x v="4"/>
    <x v="2"/>
    <x v="0"/>
    <x v="0"/>
    <x v="0"/>
    <x v="1"/>
    <x v="2"/>
    <n v="0"/>
    <n v="0"/>
    <n v="5.7489999999999997"/>
    <n v="5.7489999999999997"/>
    <n v="5.7489999999999997"/>
    <n v="5.7489999999999997"/>
    <n v="3"/>
    <x v="1"/>
    <n v="0"/>
    <n v="0"/>
    <n v="72"/>
    <n v="78"/>
    <n v="0"/>
    <n v="450.19"/>
    <n v="243.3"/>
    <m/>
    <n v="375.70304033862055"/>
    <n v="297.20166373463735"/>
    <n v="0"/>
    <n v="2588.1423099999997"/>
    <n v="1398.7317"/>
    <n v="0"/>
    <n v="2159.9167789067296"/>
    <n v="1708.6123648104301"/>
  </r>
  <r>
    <s v="Regular"/>
    <x v="4"/>
    <x v="4"/>
    <x v="2"/>
    <x v="0"/>
    <x v="0"/>
    <x v="0"/>
    <x v="1"/>
    <x v="3"/>
    <n v="0"/>
    <n v="0"/>
    <n v="2931.6689999999999"/>
    <n v="2931.6689999999999"/>
    <n v="2931.6689999999999"/>
    <n v="2931.6689999999999"/>
    <n v="2078"/>
    <x v="1"/>
    <n v="0"/>
    <n v="0"/>
    <n v="72"/>
    <n v="78"/>
    <n v="0"/>
    <n v="450.19"/>
    <n v="243.3"/>
    <m/>
    <n v="375.70304033862055"/>
    <n v="297.20166373463735"/>
    <n v="0"/>
    <n v="1319808.0671099999"/>
    <n v="713275.06770000001"/>
    <n v="0"/>
    <n v="1101436.9565664832"/>
    <n v="871296.9043192605"/>
  </r>
  <r>
    <s v="Refaturamento - Regular"/>
    <x v="4"/>
    <x v="4"/>
    <x v="2"/>
    <x v="0"/>
    <x v="0"/>
    <x v="0"/>
    <x v="1"/>
    <x v="3"/>
    <n v="0"/>
    <n v="0"/>
    <n v="-9.3529999999999998"/>
    <n v="-9.3529999999999998"/>
    <n v="-9.3529999999999998"/>
    <n v="-9.3529999999999998"/>
    <n v="0"/>
    <x v="1"/>
    <n v="0"/>
    <n v="0"/>
    <n v="72"/>
    <n v="78"/>
    <n v="0"/>
    <n v="450.19"/>
    <n v="243.3"/>
    <m/>
    <n v="375.70304033862055"/>
    <n v="297.20166373463735"/>
    <n v="0"/>
    <n v="-4210.6270699999995"/>
    <n v="-2275.5848999999998"/>
    <n v="0"/>
    <n v="-3513.9505362871178"/>
    <n v="-2779.727160910063"/>
  </r>
  <r>
    <s v="Sistema Isolado - Regular"/>
    <x v="4"/>
    <x v="4"/>
    <x v="2"/>
    <x v="0"/>
    <x v="0"/>
    <x v="0"/>
    <x v="1"/>
    <x v="3"/>
    <n v="0"/>
    <n v="0"/>
    <n v="5498.6490000000003"/>
    <n v="5498.6490000000003"/>
    <n v="5498.6490000000003"/>
    <n v="5498.6490000000003"/>
    <n v="6575"/>
    <x v="1"/>
    <n v="0"/>
    <n v="0"/>
    <n v="72"/>
    <n v="78"/>
    <n v="0"/>
    <n v="450.19"/>
    <n v="243.3"/>
    <m/>
    <n v="375.70304033862055"/>
    <n v="297.20166373463735"/>
    <n v="0"/>
    <n v="2475436.7933100001"/>
    <n v="1337821.3017000002"/>
    <n v="0"/>
    <n v="2065859.1470549158"/>
    <n v="1634207.6310928001"/>
  </r>
  <r>
    <s v="Sistema Isolado - Refaturamento"/>
    <x v="4"/>
    <x v="4"/>
    <x v="2"/>
    <x v="0"/>
    <x v="0"/>
    <x v="0"/>
    <x v="1"/>
    <x v="3"/>
    <n v="0"/>
    <n v="0"/>
    <n v="-12.305"/>
    <n v="-12.305"/>
    <n v="-12.305"/>
    <n v="-12.305"/>
    <n v="0"/>
    <x v="1"/>
    <n v="0"/>
    <n v="0"/>
    <n v="72"/>
    <n v="78"/>
    <n v="0"/>
    <n v="450.19"/>
    <n v="243.3"/>
    <m/>
    <n v="375.70304033862055"/>
    <n v="297.20166373463735"/>
    <n v="0"/>
    <n v="-5539.5879500000001"/>
    <n v="-2993.8065000000001"/>
    <n v="0"/>
    <n v="-4623.0259113667262"/>
    <n v="-3657.0664722547126"/>
  </r>
  <r>
    <s v="Sistema de Compensação"/>
    <x v="4"/>
    <x v="4"/>
    <x v="2"/>
    <x v="0"/>
    <x v="0"/>
    <x v="0"/>
    <x v="1"/>
    <x v="3"/>
    <n v="0"/>
    <n v="0"/>
    <n v="4.9429999999999996"/>
    <n v="4.9429999999999996"/>
    <n v="4.9429999999999996"/>
    <n v="4.9429999999999996"/>
    <n v="3"/>
    <x v="1"/>
    <n v="0"/>
    <n v="0"/>
    <n v="72"/>
    <n v="78"/>
    <n v="0"/>
    <n v="450.19"/>
    <n v="243.3"/>
    <m/>
    <n v="375.70304033862055"/>
    <n v="297.20166373463735"/>
    <n v="0"/>
    <n v="2225.28917"/>
    <n v="1202.6318999999999"/>
    <n v="0"/>
    <n v="1857.1001283938012"/>
    <n v="1469.0678238403123"/>
  </r>
  <r>
    <s v="Regular"/>
    <x v="4"/>
    <x v="4"/>
    <x v="2"/>
    <x v="0"/>
    <x v="0"/>
    <x v="0"/>
    <x v="1"/>
    <x v="4"/>
    <n v="0"/>
    <n v="0"/>
    <n v="3216.8150000000001"/>
    <n v="3216.8150000000001"/>
    <n v="3216.8150000000001"/>
    <n v="3216.8150000000001"/>
    <n v="2077"/>
    <x v="1"/>
    <n v="0"/>
    <n v="0"/>
    <n v="72"/>
    <n v="78"/>
    <n v="0"/>
    <n v="450.19"/>
    <n v="243.3"/>
    <m/>
    <n v="375.70304033862055"/>
    <n v="297.20166373463735"/>
    <n v="0"/>
    <n v="1448177.9448500001"/>
    <n v="782651.0895"/>
    <n v="0"/>
    <n v="1208567.1757068797"/>
    <n v="956042.76992653741"/>
  </r>
  <r>
    <s v="Refaturamento - Regular"/>
    <x v="4"/>
    <x v="4"/>
    <x v="2"/>
    <x v="0"/>
    <x v="0"/>
    <x v="0"/>
    <x v="1"/>
    <x v="4"/>
    <n v="0"/>
    <n v="0"/>
    <n v="-41.341999999999999"/>
    <n v="-41.341999999999999"/>
    <n v="-41.341999999999999"/>
    <n v="-41.341999999999999"/>
    <n v="0"/>
    <x v="1"/>
    <n v="0"/>
    <n v="0"/>
    <n v="72"/>
    <n v="78"/>
    <n v="0"/>
    <n v="450.19"/>
    <n v="243.3"/>
    <m/>
    <n v="375.70304033862055"/>
    <n v="297.20166373463735"/>
    <n v="0"/>
    <n v="-18611.754979999998"/>
    <n v="-10058.508600000001"/>
    <n v="0"/>
    <n v="-15532.31509367925"/>
    <n v="-12286.911182117377"/>
  </r>
  <r>
    <s v="Sistema Isolado - Regular"/>
    <x v="4"/>
    <x v="4"/>
    <x v="2"/>
    <x v="0"/>
    <x v="0"/>
    <x v="0"/>
    <x v="1"/>
    <x v="4"/>
    <n v="0"/>
    <n v="0"/>
    <n v="5903.4809999999998"/>
    <n v="5903.4809999999998"/>
    <n v="5903.4809999999998"/>
    <n v="5903.4809999999998"/>
    <n v="6562"/>
    <x v="1"/>
    <n v="0"/>
    <n v="0"/>
    <n v="72"/>
    <n v="78"/>
    <n v="0"/>
    <n v="450.19"/>
    <n v="243.3"/>
    <m/>
    <n v="375.70304033862055"/>
    <n v="297.20166373463735"/>
    <n v="0"/>
    <n v="2657688.1113899997"/>
    <n v="1436316.9273000001"/>
    <n v="0"/>
    <n v="2217955.7602812801"/>
    <n v="1754524.3750258205"/>
  </r>
  <r>
    <s v="Sistema Isolado - Refaturamento"/>
    <x v="4"/>
    <x v="4"/>
    <x v="2"/>
    <x v="0"/>
    <x v="0"/>
    <x v="0"/>
    <x v="1"/>
    <x v="4"/>
    <n v="0"/>
    <n v="0"/>
    <n v="-76.259"/>
    <n v="-76.259"/>
    <n v="-76.259"/>
    <n v="-76.259"/>
    <n v="0"/>
    <x v="1"/>
    <n v="0"/>
    <n v="0"/>
    <n v="72"/>
    <n v="78"/>
    <n v="0"/>
    <n v="450.19"/>
    <n v="243.3"/>
    <m/>
    <n v="375.70304033862055"/>
    <n v="297.20166373463735"/>
    <n v="0"/>
    <n v="-34331.039210000003"/>
    <n v="-18553.814700000003"/>
    <n v="0"/>
    <n v="-28650.738153182865"/>
    <n v="-22664.301674739709"/>
  </r>
  <r>
    <s v="Sistema de Compensação"/>
    <x v="4"/>
    <x v="4"/>
    <x v="2"/>
    <x v="0"/>
    <x v="0"/>
    <x v="0"/>
    <x v="1"/>
    <x v="4"/>
    <n v="0"/>
    <n v="0"/>
    <n v="5.9450000000000003"/>
    <n v="5.9450000000000003"/>
    <n v="5.9450000000000003"/>
    <n v="5.9450000000000003"/>
    <n v="3"/>
    <x v="1"/>
    <n v="0"/>
    <n v="0"/>
    <n v="72"/>
    <n v="78"/>
    <n v="0"/>
    <n v="450.19"/>
    <n v="243.3"/>
    <m/>
    <n v="375.70304033862055"/>
    <n v="297.20166373463735"/>
    <n v="0"/>
    <n v="2676.3795500000001"/>
    <n v="1446.4185000000002"/>
    <n v="0"/>
    <n v="2233.5545748130994"/>
    <n v="1766.8638909024191"/>
  </r>
  <r>
    <s v="Regular"/>
    <x v="4"/>
    <x v="4"/>
    <x v="2"/>
    <x v="0"/>
    <x v="0"/>
    <x v="0"/>
    <x v="1"/>
    <x v="5"/>
    <n v="0"/>
    <n v="0"/>
    <n v="3520.5279999999998"/>
    <n v="3520.5279999999998"/>
    <n v="3520.5279999999998"/>
    <n v="3520.5279999999998"/>
    <n v="2028"/>
    <x v="1"/>
    <n v="0"/>
    <n v="0"/>
    <n v="72"/>
    <n v="78"/>
    <n v="0"/>
    <n v="450.19"/>
    <n v="243.3"/>
    <m/>
    <n v="375.70304033862055"/>
    <n v="297.20166373463735"/>
    <n v="0"/>
    <n v="1584906.5003199999"/>
    <n v="856544.46239999996"/>
    <n v="0"/>
    <n v="1322673.073197243"/>
    <n v="1046306.7788243752"/>
  </r>
  <r>
    <s v="Refaturamento - Regular"/>
    <x v="4"/>
    <x v="4"/>
    <x v="2"/>
    <x v="0"/>
    <x v="0"/>
    <x v="0"/>
    <x v="1"/>
    <x v="5"/>
    <n v="0"/>
    <n v="0"/>
    <n v="-8.0719999999999992"/>
    <n v="-8.0719999999999992"/>
    <n v="-8.0719999999999992"/>
    <n v="-8.0719999999999992"/>
    <n v="0"/>
    <x v="1"/>
    <n v="0"/>
    <n v="0"/>
    <n v="72"/>
    <n v="78"/>
    <n v="0"/>
    <n v="450.19"/>
    <n v="243.3"/>
    <m/>
    <n v="375.70304033862055"/>
    <n v="297.20166373463735"/>
    <n v="0"/>
    <n v="-3633.9336799999996"/>
    <n v="-1963.9176"/>
    <n v="0"/>
    <n v="-3032.6749416133448"/>
    <n v="-2399.0118296659925"/>
  </r>
  <r>
    <s v="Sistema Isolado - Regular"/>
    <x v="4"/>
    <x v="4"/>
    <x v="2"/>
    <x v="0"/>
    <x v="0"/>
    <x v="0"/>
    <x v="1"/>
    <x v="5"/>
    <n v="0"/>
    <n v="0"/>
    <n v="5704.3509999999997"/>
    <n v="5704.3509999999997"/>
    <n v="5704.3509999999997"/>
    <n v="5704.3509999999997"/>
    <n v="6177"/>
    <x v="1"/>
    <n v="0"/>
    <n v="0"/>
    <n v="72"/>
    <n v="78"/>
    <n v="0"/>
    <n v="450.19"/>
    <n v="243.3"/>
    <m/>
    <n v="375.70304033862055"/>
    <n v="297.20166373463735"/>
    <n v="0"/>
    <n v="2568041.7766899997"/>
    <n v="1387868.5983"/>
    <n v="0"/>
    <n v="2143142.0138586503"/>
    <n v="1695342.6077263423"/>
  </r>
  <r>
    <s v="Sistema Isolado - Refaturamento"/>
    <x v="4"/>
    <x v="4"/>
    <x v="2"/>
    <x v="0"/>
    <x v="0"/>
    <x v="0"/>
    <x v="1"/>
    <x v="5"/>
    <n v="0"/>
    <n v="0"/>
    <n v="-122.529"/>
    <n v="-122.529"/>
    <n v="-122.529"/>
    <n v="-122.529"/>
    <n v="0"/>
    <x v="1"/>
    <n v="0"/>
    <n v="0"/>
    <n v="72"/>
    <n v="78"/>
    <n v="0"/>
    <n v="450.19"/>
    <n v="243.3"/>
    <m/>
    <n v="375.70304033862055"/>
    <n v="297.20166373463735"/>
    <n v="0"/>
    <n v="-55161.33051"/>
    <n v="-29811.305700000001"/>
    <n v="0"/>
    <n v="-46034.517829650838"/>
    <n v="-36415.82265574138"/>
  </r>
  <r>
    <s v="Sistema de Compensação"/>
    <x v="4"/>
    <x v="4"/>
    <x v="2"/>
    <x v="0"/>
    <x v="0"/>
    <x v="0"/>
    <x v="1"/>
    <x v="5"/>
    <n v="0"/>
    <n v="0"/>
    <n v="4.7350000000000003"/>
    <n v="4.7350000000000003"/>
    <n v="4.7350000000000003"/>
    <n v="4.7350000000000003"/>
    <n v="3"/>
    <x v="1"/>
    <n v="0"/>
    <n v="0"/>
    <n v="72"/>
    <n v="78"/>
    <n v="0"/>
    <n v="450.19"/>
    <n v="243.3"/>
    <m/>
    <n v="375.70304033862055"/>
    <n v="297.20166373463735"/>
    <n v="0"/>
    <n v="2131.6496500000003"/>
    <n v="1152.0255000000002"/>
    <n v="0"/>
    <n v="1778.9538960033685"/>
    <n v="1407.2498777835081"/>
  </r>
  <r>
    <s v="Regular"/>
    <x v="4"/>
    <x v="4"/>
    <x v="2"/>
    <x v="0"/>
    <x v="0"/>
    <x v="0"/>
    <x v="1"/>
    <x v="6"/>
    <n v="0"/>
    <n v="0"/>
    <n v="3794.1480000000001"/>
    <n v="3794.1480000000001"/>
    <n v="3794.1480000000001"/>
    <n v="3794.1480000000001"/>
    <n v="2048"/>
    <x v="1"/>
    <n v="0"/>
    <n v="0"/>
    <n v="72"/>
    <n v="78"/>
    <n v="0"/>
    <n v="450.19"/>
    <n v="243.3"/>
    <m/>
    <n v="375.70304033862055"/>
    <n v="297.20166373463735"/>
    <n v="0"/>
    <n v="1708087.4881200001"/>
    <n v="923116.20840000012"/>
    <n v="0"/>
    <n v="1425472.9390946967"/>
    <n v="1127627.098055447"/>
  </r>
  <r>
    <s v="Refaturamento - Regular"/>
    <x v="4"/>
    <x v="4"/>
    <x v="2"/>
    <x v="0"/>
    <x v="0"/>
    <x v="0"/>
    <x v="1"/>
    <x v="6"/>
    <n v="0"/>
    <n v="0"/>
    <n v="-7.2850000000000001"/>
    <n v="-7.2850000000000001"/>
    <n v="-7.2850000000000001"/>
    <n v="-7.2850000000000001"/>
    <n v="0"/>
    <x v="1"/>
    <n v="0"/>
    <n v="0"/>
    <n v="72"/>
    <n v="78"/>
    <n v="0"/>
    <n v="450.19"/>
    <n v="243.3"/>
    <m/>
    <n v="375.70304033862055"/>
    <n v="297.20166373463735"/>
    <n v="0"/>
    <n v="-3279.6341499999999"/>
    <n v="-1772.4405000000002"/>
    <n v="0"/>
    <n v="-2736.9966488668506"/>
    <n v="-2165.1141203068332"/>
  </r>
  <r>
    <s v="Sistema Isolado - Regular"/>
    <x v="4"/>
    <x v="4"/>
    <x v="2"/>
    <x v="0"/>
    <x v="0"/>
    <x v="0"/>
    <x v="1"/>
    <x v="6"/>
    <n v="0"/>
    <n v="0"/>
    <n v="5438.2860000000001"/>
    <n v="5438.2860000000001"/>
    <n v="5438.2860000000001"/>
    <n v="5438.2860000000001"/>
    <n v="5841"/>
    <x v="1"/>
    <n v="0"/>
    <n v="0"/>
    <n v="72"/>
    <n v="78"/>
    <n v="0"/>
    <n v="450.19"/>
    <n v="243.3"/>
    <m/>
    <n v="375.70304033862055"/>
    <n v="297.20166373463735"/>
    <n v="0"/>
    <n v="2448261.9743400002"/>
    <n v="1323134.9838"/>
    <n v="0"/>
    <n v="2043180.5844309554"/>
    <n v="1616267.6470647859"/>
  </r>
  <r>
    <s v="Sistema Isolado - Refaturamento"/>
    <x v="4"/>
    <x v="4"/>
    <x v="2"/>
    <x v="0"/>
    <x v="0"/>
    <x v="0"/>
    <x v="1"/>
    <x v="6"/>
    <n v="0"/>
    <n v="0"/>
    <n v="-59.942999999999998"/>
    <n v="-59.942999999999998"/>
    <n v="-59.942999999999998"/>
    <n v="-59.942999999999998"/>
    <n v="0"/>
    <x v="1"/>
    <n v="0"/>
    <n v="0"/>
    <n v="72"/>
    <n v="78"/>
    <n v="0"/>
    <n v="450.19"/>
    <n v="243.3"/>
    <m/>
    <n v="375.70304033862055"/>
    <n v="297.20166373463735"/>
    <n v="0"/>
    <n v="-26985.739169999997"/>
    <n v="-14584.1319"/>
    <n v="0"/>
    <n v="-22520.767347017932"/>
    <n v="-17815.159329245365"/>
  </r>
  <r>
    <s v="Sistema de Compensação"/>
    <x v="4"/>
    <x v="4"/>
    <x v="2"/>
    <x v="0"/>
    <x v="0"/>
    <x v="0"/>
    <x v="1"/>
    <x v="6"/>
    <n v="0"/>
    <n v="0"/>
    <n v="5.6479999999999997"/>
    <n v="5.6479999999999997"/>
    <n v="5.6479999999999997"/>
    <n v="5.6479999999999997"/>
    <n v="3"/>
    <x v="1"/>
    <n v="0"/>
    <n v="0"/>
    <n v="72"/>
    <n v="78"/>
    <n v="0"/>
    <n v="450.19"/>
    <n v="243.3"/>
    <m/>
    <n v="375.70304033862055"/>
    <n v="297.20166373463735"/>
    <n v="0"/>
    <n v="2542.6731199999999"/>
    <n v="1374.1584"/>
    <n v="0"/>
    <n v="2121.970771832529"/>
    <n v="1678.5949967732317"/>
  </r>
  <r>
    <s v="Regular"/>
    <x v="4"/>
    <x v="4"/>
    <x v="2"/>
    <x v="0"/>
    <x v="0"/>
    <x v="0"/>
    <x v="1"/>
    <x v="7"/>
    <n v="0"/>
    <n v="0"/>
    <n v="4464.9049999999997"/>
    <n v="4464.9049999999997"/>
    <n v="4464.9049999999997"/>
    <n v="4464.9049999999997"/>
    <n v="2045"/>
    <x v="1"/>
    <n v="0"/>
    <n v="0"/>
    <n v="72"/>
    <n v="78"/>
    <n v="0"/>
    <n v="450.19"/>
    <n v="243.3"/>
    <m/>
    <n v="375.70304033862055"/>
    <n v="297.20166373463735"/>
    <n v="0"/>
    <n v="2010055.5819499998"/>
    <n v="1086311.3865"/>
    <n v="0"/>
    <n v="1677478.3833231085"/>
    <n v="1326977.1944171009"/>
  </r>
  <r>
    <s v="Refaturamento - Regular"/>
    <x v="4"/>
    <x v="4"/>
    <x v="2"/>
    <x v="0"/>
    <x v="0"/>
    <x v="0"/>
    <x v="1"/>
    <x v="7"/>
    <n v="0"/>
    <n v="0"/>
    <n v="9.9789999999999992"/>
    <n v="9.9789999999999992"/>
    <n v="9.9789999999999992"/>
    <n v="9.9789999999999992"/>
    <n v="0"/>
    <x v="1"/>
    <n v="0"/>
    <n v="0"/>
    <n v="72"/>
    <n v="78"/>
    <n v="0"/>
    <n v="450.19"/>
    <n v="243.3"/>
    <m/>
    <n v="375.70304033862055"/>
    <n v="297.20166373463735"/>
    <n v="0"/>
    <n v="4492.4460099999997"/>
    <n v="2427.8906999999999"/>
    <n v="0"/>
    <n v="3749.1406395390941"/>
    <n v="2965.7754024079459"/>
  </r>
  <r>
    <s v="Sistema Isolado - Regular"/>
    <x v="4"/>
    <x v="4"/>
    <x v="2"/>
    <x v="0"/>
    <x v="0"/>
    <x v="0"/>
    <x v="1"/>
    <x v="7"/>
    <n v="0"/>
    <n v="0"/>
    <n v="5860.5889999999999"/>
    <n v="5860.5889999999999"/>
    <n v="5860.5889999999999"/>
    <n v="5860.5889999999999"/>
    <n v="5868"/>
    <x v="1"/>
    <n v="0"/>
    <n v="0"/>
    <n v="72"/>
    <n v="78"/>
    <n v="0"/>
    <n v="450.19"/>
    <n v="243.3"/>
    <m/>
    <n v="375.70304033862055"/>
    <n v="297.20166373463735"/>
    <n v="0"/>
    <n v="2638378.5619100002"/>
    <n v="1425881.3037"/>
    <n v="0"/>
    <n v="2201841.105475076"/>
    <n v="1741776.8012649145"/>
  </r>
  <r>
    <s v="Sistema Isolado - Refaturamento"/>
    <x v="4"/>
    <x v="4"/>
    <x v="2"/>
    <x v="0"/>
    <x v="0"/>
    <x v="0"/>
    <x v="1"/>
    <x v="7"/>
    <n v="0"/>
    <n v="0"/>
    <n v="-41.241"/>
    <n v="-41.241"/>
    <n v="-41.241"/>
    <n v="-41.241"/>
    <n v="0"/>
    <x v="1"/>
    <n v="0"/>
    <n v="0"/>
    <n v="72"/>
    <n v="78"/>
    <n v="0"/>
    <n v="450.19"/>
    <n v="243.3"/>
    <m/>
    <n v="375.70304033862055"/>
    <n v="297.20166373463735"/>
    <n v="0"/>
    <n v="-18566.285789999998"/>
    <n v="-10033.935300000001"/>
    <n v="0"/>
    <n v="-15494.369086605049"/>
    <n v="-12256.893814080178"/>
  </r>
  <r>
    <s v="Sistema de Compensação"/>
    <x v="4"/>
    <x v="4"/>
    <x v="2"/>
    <x v="0"/>
    <x v="0"/>
    <x v="0"/>
    <x v="1"/>
    <x v="7"/>
    <n v="0"/>
    <n v="0"/>
    <n v="7.1139999999999999"/>
    <n v="7.1139999999999999"/>
    <n v="7.1139999999999999"/>
    <n v="7.1139999999999999"/>
    <n v="3"/>
    <x v="1"/>
    <n v="0"/>
    <n v="0"/>
    <n v="72"/>
    <n v="78"/>
    <n v="0"/>
    <n v="450.19"/>
    <n v="243.3"/>
    <m/>
    <n v="375.70304033862055"/>
    <n v="297.20166373463735"/>
    <n v="0"/>
    <n v="3202.65166"/>
    <n v="1730.8362"/>
    <n v="0"/>
    <n v="2672.7514289689466"/>
    <n v="2114.29263580821"/>
  </r>
  <r>
    <s v="Regular"/>
    <x v="4"/>
    <x v="4"/>
    <x v="2"/>
    <x v="0"/>
    <x v="0"/>
    <x v="0"/>
    <x v="1"/>
    <x v="8"/>
    <n v="0"/>
    <n v="0"/>
    <n v="4892.8339999999998"/>
    <n v="4892.8339999999998"/>
    <n v="4892.8339999999998"/>
    <n v="4892.8339999999998"/>
    <n v="2020"/>
    <x v="1"/>
    <n v="0"/>
    <n v="0"/>
    <n v="72"/>
    <n v="78"/>
    <n v="0"/>
    <n v="450.19"/>
    <n v="243.3"/>
    <m/>
    <n v="375.70304033862055"/>
    <n v="297.20166373463735"/>
    <n v="0"/>
    <n v="2202704.9384599999"/>
    <n v="1190426.5122"/>
    <n v="0"/>
    <n v="1838252.6096721741"/>
    <n v="1454158.4051774004"/>
  </r>
  <r>
    <s v="Refaturamento - Regular"/>
    <x v="4"/>
    <x v="4"/>
    <x v="2"/>
    <x v="0"/>
    <x v="0"/>
    <x v="0"/>
    <x v="1"/>
    <x v="8"/>
    <n v="0"/>
    <n v="0"/>
    <n v="41.883000000000003"/>
    <n v="41.883000000000003"/>
    <n v="41.883000000000003"/>
    <n v="41.883000000000003"/>
    <n v="0"/>
    <x v="1"/>
    <n v="0"/>
    <n v="0"/>
    <n v="72"/>
    <n v="78"/>
    <n v="0"/>
    <n v="450.19"/>
    <n v="243.3"/>
    <m/>
    <n v="375.70304033862055"/>
    <n v="297.20166373463735"/>
    <n v="0"/>
    <n v="18855.307769999999"/>
    <n v="10190.133900000001"/>
    <n v="0"/>
    <n v="15735.570438502446"/>
    <n v="12447.697282197816"/>
  </r>
  <r>
    <s v="Sistema Isolado - Regular"/>
    <x v="4"/>
    <x v="4"/>
    <x v="2"/>
    <x v="0"/>
    <x v="0"/>
    <x v="0"/>
    <x v="1"/>
    <x v="8"/>
    <n v="0"/>
    <n v="0"/>
    <n v="5574.9920000000002"/>
    <n v="5574.9920000000002"/>
    <n v="5574.9920000000002"/>
    <n v="5574.9920000000002"/>
    <n v="5879"/>
    <x v="1"/>
    <n v="0"/>
    <n v="0"/>
    <n v="72"/>
    <n v="78"/>
    <n v="0"/>
    <n v="450.19"/>
    <n v="243.3"/>
    <m/>
    <n v="375.70304033862055"/>
    <n v="297.20166373463735"/>
    <n v="0"/>
    <n v="2509805.64848"/>
    <n v="1356395.5536000002"/>
    <n v="0"/>
    <n v="2094541.4442634869"/>
    <n v="1656896.8977072935"/>
  </r>
  <r>
    <s v="Sistema Isolado - Refaturamento"/>
    <x v="4"/>
    <x v="4"/>
    <x v="2"/>
    <x v="0"/>
    <x v="0"/>
    <x v="0"/>
    <x v="1"/>
    <x v="8"/>
    <n v="0"/>
    <n v="0"/>
    <n v="2.3820000000000001"/>
    <n v="2.3820000000000001"/>
    <n v="2.3820000000000001"/>
    <n v="2.3820000000000001"/>
    <n v="0"/>
    <x v="1"/>
    <n v="0"/>
    <n v="0"/>
    <n v="72"/>
    <n v="78"/>
    <n v="0"/>
    <n v="450.19"/>
    <n v="243.3"/>
    <m/>
    <n v="375.70304033862055"/>
    <n v="297.20166373463735"/>
    <n v="0"/>
    <n v="1072.35258"/>
    <n v="579.54060000000004"/>
    <n v="0"/>
    <n v="894.92464208659419"/>
    <n v="707.93436301590623"/>
  </r>
  <r>
    <s v="Sistema de Compensação"/>
    <x v="4"/>
    <x v="4"/>
    <x v="2"/>
    <x v="0"/>
    <x v="0"/>
    <x v="0"/>
    <x v="1"/>
    <x v="8"/>
    <n v="0"/>
    <n v="0"/>
    <n v="7.4189999999999996"/>
    <n v="7.4189999999999996"/>
    <n v="7.4189999999999996"/>
    <n v="7.4189999999999996"/>
    <n v="3"/>
    <x v="1"/>
    <n v="0"/>
    <n v="0"/>
    <n v="72"/>
    <n v="78"/>
    <n v="0"/>
    <n v="450.19"/>
    <n v="243.3"/>
    <m/>
    <n v="375.70304033862055"/>
    <n v="297.20166373463735"/>
    <n v="0"/>
    <n v="3339.9596099999999"/>
    <n v="1805.0427"/>
    <n v="0"/>
    <n v="2787.3408562722257"/>
    <n v="2204.9391432472744"/>
  </r>
  <r>
    <s v="Regular"/>
    <x v="4"/>
    <x v="4"/>
    <x v="2"/>
    <x v="0"/>
    <x v="0"/>
    <x v="0"/>
    <x v="1"/>
    <x v="9"/>
    <n v="0"/>
    <n v="0"/>
    <n v="6359.41"/>
    <n v="6359.41"/>
    <n v="6359.41"/>
    <n v="6359.41"/>
    <n v="2065"/>
    <x v="1"/>
    <n v="0"/>
    <n v="0"/>
    <n v="72"/>
    <n v="78"/>
    <n v="0"/>
    <n v="450.19"/>
    <n v="243.3"/>
    <m/>
    <n v="375.70304033862055"/>
    <n v="297.20166373463735"/>
    <n v="0"/>
    <n v="2862942.7878999999"/>
    <n v="1547244.453"/>
    <n v="0"/>
    <n v="2389249.6717598271"/>
    <n v="1890027.23237069"/>
  </r>
  <r>
    <s v="Refaturamento - Regular"/>
    <x v="4"/>
    <x v="4"/>
    <x v="2"/>
    <x v="0"/>
    <x v="0"/>
    <x v="0"/>
    <x v="1"/>
    <x v="9"/>
    <n v="0"/>
    <n v="0"/>
    <n v="27.46"/>
    <n v="27.46"/>
    <n v="27.46"/>
    <n v="27.46"/>
    <n v="0"/>
    <x v="1"/>
    <n v="0"/>
    <n v="0"/>
    <n v="72"/>
    <n v="78"/>
    <n v="0"/>
    <n v="450.19"/>
    <n v="243.3"/>
    <m/>
    <n v="375.70304033862055"/>
    <n v="297.20166373463735"/>
    <n v="0"/>
    <n v="12362.2174"/>
    <n v="6681.0180000000009"/>
    <n v="0"/>
    <n v="10316.805487698521"/>
    <n v="8161.1576861531421"/>
  </r>
  <r>
    <s v="Sistema Isolado - Regular"/>
    <x v="4"/>
    <x v="4"/>
    <x v="2"/>
    <x v="0"/>
    <x v="0"/>
    <x v="0"/>
    <x v="1"/>
    <x v="9"/>
    <n v="0"/>
    <n v="0"/>
    <n v="7367.24"/>
    <n v="7367.24"/>
    <n v="7367.24"/>
    <n v="7367.24"/>
    <n v="5979"/>
    <x v="1"/>
    <n v="0"/>
    <n v="0"/>
    <n v="72"/>
    <n v="78"/>
    <n v="0"/>
    <n v="450.19"/>
    <n v="243.3"/>
    <m/>
    <n v="375.70304033862055"/>
    <n v="297.20166373463735"/>
    <n v="0"/>
    <n v="3316657.7755999998"/>
    <n v="1792449.4920000001"/>
    <n v="0"/>
    <n v="2767894.4669042989"/>
    <n v="2189555.9851323697"/>
  </r>
  <r>
    <s v="Sistema Isolado - Refaturamento"/>
    <x v="4"/>
    <x v="4"/>
    <x v="2"/>
    <x v="0"/>
    <x v="0"/>
    <x v="0"/>
    <x v="1"/>
    <x v="9"/>
    <n v="0"/>
    <n v="0"/>
    <n v="-239.89"/>
    <n v="-239.89"/>
    <n v="-239.89"/>
    <n v="-239.89"/>
    <n v="0"/>
    <x v="1"/>
    <n v="0"/>
    <n v="0"/>
    <n v="72"/>
    <n v="78"/>
    <n v="0"/>
    <n v="450.19"/>
    <n v="243.3"/>
    <m/>
    <n v="375.70304033862055"/>
    <n v="297.20166373463735"/>
    <n v="0"/>
    <n v="-107996.07909999999"/>
    <n v="-58365.237000000001"/>
    <n v="0"/>
    <n v="-90127.402346831674"/>
    <n v="-71295.707113302153"/>
  </r>
  <r>
    <s v="Sistema de Compensação"/>
    <x v="4"/>
    <x v="4"/>
    <x v="2"/>
    <x v="0"/>
    <x v="0"/>
    <x v="0"/>
    <x v="1"/>
    <x v="9"/>
    <n v="0"/>
    <n v="0"/>
    <n v="27.321000000000002"/>
    <n v="27.321000000000002"/>
    <n v="27.321000000000002"/>
    <n v="27.321000000000002"/>
    <n v="3"/>
    <x v="1"/>
    <n v="0"/>
    <n v="0"/>
    <n v="72"/>
    <n v="78"/>
    <n v="0"/>
    <n v="450.19"/>
    <n v="243.3"/>
    <m/>
    <n v="375.70304033862055"/>
    <n v="297.20166373463735"/>
    <n v="0"/>
    <n v="12299.64099"/>
    <n v="6647.1993000000011"/>
    <n v="0"/>
    <n v="10264.582765091453"/>
    <n v="8119.8466548940278"/>
  </r>
  <r>
    <s v="Regular"/>
    <x v="4"/>
    <x v="4"/>
    <x v="2"/>
    <x v="0"/>
    <x v="0"/>
    <x v="0"/>
    <x v="1"/>
    <x v="10"/>
    <n v="0"/>
    <n v="0"/>
    <n v="6327.5519999999997"/>
    <n v="6327.5519999999997"/>
    <n v="6327.5519999999997"/>
    <n v="6327.5519999999997"/>
    <n v="2041"/>
    <x v="1"/>
    <n v="0"/>
    <n v="0"/>
    <n v="72"/>
    <n v="78"/>
    <n v="0"/>
    <n v="450.19"/>
    <n v="243.3"/>
    <m/>
    <n v="375.70304033862055"/>
    <n v="297.20166373463735"/>
    <n v="0"/>
    <n v="2848600.6348799998"/>
    <n v="1539493.4016"/>
    <n v="0"/>
    <n v="2377280.5243007191"/>
    <n v="1880558.9817674318"/>
  </r>
  <r>
    <s v="Refaturamento - Regular"/>
    <x v="4"/>
    <x v="4"/>
    <x v="2"/>
    <x v="0"/>
    <x v="0"/>
    <x v="0"/>
    <x v="1"/>
    <x v="10"/>
    <n v="0"/>
    <n v="0"/>
    <n v="-44.237000000000002"/>
    <n v="-44.237000000000002"/>
    <n v="-44.237000000000002"/>
    <n v="-44.237000000000002"/>
    <n v="0"/>
    <x v="1"/>
    <n v="0"/>
    <n v="0"/>
    <n v="72"/>
    <n v="78"/>
    <n v="0"/>
    <n v="450.19"/>
    <n v="243.3"/>
    <m/>
    <n v="375.70304033862055"/>
    <n v="297.20166373463735"/>
    <n v="0"/>
    <n v="-19915.05503"/>
    <n v="-10762.8621"/>
    <n v="0"/>
    <n v="-16619.975395459558"/>
    <n v="-13147.309998629153"/>
  </r>
  <r>
    <s v="Sistema Isolado - Regular"/>
    <x v="4"/>
    <x v="4"/>
    <x v="2"/>
    <x v="0"/>
    <x v="0"/>
    <x v="0"/>
    <x v="1"/>
    <x v="10"/>
    <n v="0"/>
    <n v="0"/>
    <n v="7807.22"/>
    <n v="7807.22"/>
    <n v="7807.22"/>
    <n v="7807.22"/>
    <n v="5989"/>
    <x v="1"/>
    <n v="0"/>
    <n v="0"/>
    <n v="72"/>
    <n v="78"/>
    <n v="0"/>
    <n v="450.19"/>
    <n v="243.3"/>
    <m/>
    <n v="375.70304033862055"/>
    <n v="297.20166373463735"/>
    <n v="0"/>
    <n v="3514732.3718000003"/>
    <n v="1899496.6260000002"/>
    <n v="0"/>
    <n v="2933196.2905924851"/>
    <n v="2320318.7731423355"/>
  </r>
  <r>
    <s v="Sistema Isolado - Refaturamento"/>
    <x v="4"/>
    <x v="4"/>
    <x v="2"/>
    <x v="0"/>
    <x v="0"/>
    <x v="0"/>
    <x v="1"/>
    <x v="10"/>
    <n v="0"/>
    <n v="0"/>
    <n v="-151.976"/>
    <n v="-151.976"/>
    <n v="-151.976"/>
    <n v="-151.976"/>
    <n v="0"/>
    <x v="1"/>
    <n v="0"/>
    <n v="0"/>
    <n v="72"/>
    <n v="78"/>
    <n v="0"/>
    <n v="450.19"/>
    <n v="243.3"/>
    <m/>
    <n v="375.70304033862055"/>
    <n v="297.20166373463735"/>
    <n v="0"/>
    <n v="-68418.075440000001"/>
    <n v="-36975.760800000004"/>
    <n v="0"/>
    <n v="-57097.845258502195"/>
    <n v="-45167.520047735248"/>
  </r>
  <r>
    <s v="Sistema de Compensação"/>
    <x v="4"/>
    <x v="4"/>
    <x v="2"/>
    <x v="0"/>
    <x v="0"/>
    <x v="0"/>
    <x v="1"/>
    <x v="10"/>
    <n v="0"/>
    <n v="0"/>
    <n v="8.2569999999999997"/>
    <n v="8.2569999999999997"/>
    <n v="8.2569999999999997"/>
    <n v="8.2569999999999997"/>
    <n v="3"/>
    <x v="1"/>
    <n v="0"/>
    <n v="0"/>
    <n v="72"/>
    <n v="78"/>
    <n v="0"/>
    <n v="450.19"/>
    <n v="243.3"/>
    <m/>
    <n v="375.70304033862055"/>
    <n v="297.20166373463735"/>
    <n v="0"/>
    <n v="3717.2188299999998"/>
    <n v="2008.9281000000001"/>
    <n v="0"/>
    <n v="3102.1800040759899"/>
    <n v="2453.9941374569007"/>
  </r>
  <r>
    <s v="Sistema de Compensação"/>
    <x v="4"/>
    <x v="4"/>
    <x v="2"/>
    <x v="0"/>
    <x v="0"/>
    <x v="0"/>
    <x v="1"/>
    <x v="10"/>
    <n v="0"/>
    <n v="0"/>
    <n v="-19.922000000000001"/>
    <n v="-19.922000000000001"/>
    <n v="-19.922000000000001"/>
    <n v="-19.922000000000001"/>
    <n v="0"/>
    <x v="1"/>
    <n v="0"/>
    <n v="0"/>
    <n v="72"/>
    <n v="78"/>
    <n v="0"/>
    <n v="450.19"/>
    <n v="243.3"/>
    <m/>
    <n v="375.70304033862055"/>
    <n v="297.20166373463735"/>
    <n v="0"/>
    <n v="-8968.6851800000004"/>
    <n v="-4847.0226000000002"/>
    <n v="0"/>
    <n v="-7484.7559696259987"/>
    <n v="-5920.8515449214456"/>
  </r>
  <r>
    <s v="PROJETADO"/>
    <x v="4"/>
    <x v="4"/>
    <x v="2"/>
    <x v="0"/>
    <x v="0"/>
    <x v="0"/>
    <x v="1"/>
    <x v="11"/>
    <n v="0"/>
    <n v="0"/>
    <n v="6327.5519999999997"/>
    <n v="6327.5519999999997"/>
    <n v="6327.5519999999997"/>
    <n v="6327.5519999999997"/>
    <n v="2041"/>
    <x v="1"/>
    <n v="0"/>
    <n v="0"/>
    <n v="72"/>
    <n v="78"/>
    <n v="0"/>
    <n v="450.19"/>
    <n v="243.3"/>
    <m/>
    <n v="375.70304033862055"/>
    <n v="297.20166373463735"/>
    <n v="0"/>
    <n v="2848600.6348799998"/>
    <n v="1539493.4016"/>
    <n v="0"/>
    <n v="2377280.5243007191"/>
    <n v="1880558.9817674318"/>
  </r>
  <r>
    <s v="PROJETADO"/>
    <x v="4"/>
    <x v="4"/>
    <x v="2"/>
    <x v="0"/>
    <x v="0"/>
    <x v="0"/>
    <x v="1"/>
    <x v="11"/>
    <n v="0"/>
    <n v="0"/>
    <n v="-44.237000000000002"/>
    <n v="-44.237000000000002"/>
    <n v="-44.237000000000002"/>
    <n v="-44.237000000000002"/>
    <n v="0"/>
    <x v="1"/>
    <n v="0"/>
    <n v="0"/>
    <n v="72"/>
    <n v="78"/>
    <n v="0"/>
    <n v="450.19"/>
    <n v="243.3"/>
    <m/>
    <n v="375.70304033862055"/>
    <n v="297.20166373463735"/>
    <n v="0"/>
    <n v="-19915.05503"/>
    <n v="-10762.8621"/>
    <n v="0"/>
    <n v="-16619.975395459558"/>
    <n v="-13147.309998629153"/>
  </r>
  <r>
    <s v="PROJETADO"/>
    <x v="4"/>
    <x v="4"/>
    <x v="2"/>
    <x v="0"/>
    <x v="0"/>
    <x v="0"/>
    <x v="1"/>
    <x v="11"/>
    <n v="0"/>
    <n v="0"/>
    <n v="7807.22"/>
    <n v="7807.22"/>
    <n v="7807.22"/>
    <n v="7807.22"/>
    <n v="5989"/>
    <x v="1"/>
    <n v="0"/>
    <n v="0"/>
    <n v="72"/>
    <n v="78"/>
    <n v="0"/>
    <n v="450.19"/>
    <n v="243.3"/>
    <m/>
    <n v="375.70304033862055"/>
    <n v="297.20166373463735"/>
    <n v="0"/>
    <n v="3514732.3718000003"/>
    <n v="1899496.6260000002"/>
    <n v="0"/>
    <n v="2933196.2905924851"/>
    <n v="2320318.7731423355"/>
  </r>
  <r>
    <s v="PROJETADO"/>
    <x v="4"/>
    <x v="4"/>
    <x v="2"/>
    <x v="0"/>
    <x v="0"/>
    <x v="0"/>
    <x v="1"/>
    <x v="11"/>
    <n v="0"/>
    <n v="0"/>
    <n v="-151.976"/>
    <n v="-151.976"/>
    <n v="-151.976"/>
    <n v="-151.976"/>
    <n v="0"/>
    <x v="1"/>
    <n v="0"/>
    <n v="0"/>
    <n v="72"/>
    <n v="78"/>
    <n v="0"/>
    <n v="450.19"/>
    <n v="243.3"/>
    <m/>
    <n v="375.70304033862055"/>
    <n v="297.20166373463735"/>
    <n v="0"/>
    <n v="-68418.075440000001"/>
    <n v="-36975.760800000004"/>
    <n v="0"/>
    <n v="-57097.845258502195"/>
    <n v="-45167.520047735248"/>
  </r>
  <r>
    <s v="PROJETADO"/>
    <x v="4"/>
    <x v="4"/>
    <x v="2"/>
    <x v="0"/>
    <x v="0"/>
    <x v="0"/>
    <x v="1"/>
    <x v="11"/>
    <n v="0"/>
    <n v="0"/>
    <n v="8.2569999999999997"/>
    <n v="8.2569999999999997"/>
    <n v="8.2569999999999997"/>
    <n v="8.2569999999999997"/>
    <n v="3"/>
    <x v="1"/>
    <n v="0"/>
    <n v="0"/>
    <n v="72"/>
    <n v="78"/>
    <n v="0"/>
    <n v="450.19"/>
    <n v="243.3"/>
    <m/>
    <n v="375.70304033862055"/>
    <n v="297.20166373463735"/>
    <n v="0"/>
    <n v="3717.2188299999998"/>
    <n v="2008.9281000000001"/>
    <n v="0"/>
    <n v="3102.1800040759899"/>
    <n v="2453.9941374569007"/>
  </r>
  <r>
    <s v="PROJETADO"/>
    <x v="4"/>
    <x v="4"/>
    <x v="2"/>
    <x v="0"/>
    <x v="0"/>
    <x v="0"/>
    <x v="1"/>
    <x v="11"/>
    <n v="0"/>
    <n v="0"/>
    <n v="-19.922000000000001"/>
    <n v="-19.922000000000001"/>
    <n v="-19.922000000000001"/>
    <n v="-19.922000000000001"/>
    <n v="0"/>
    <x v="1"/>
    <n v="0"/>
    <n v="0"/>
    <n v="72"/>
    <n v="78"/>
    <n v="0"/>
    <n v="450.19"/>
    <n v="243.3"/>
    <m/>
    <n v="375.70304033862055"/>
    <n v="297.20166373463735"/>
    <n v="0"/>
    <n v="-8968.6851800000004"/>
    <n v="-4847.0226000000002"/>
    <n v="0"/>
    <n v="-7484.7559696259987"/>
    <n v="-5920.8515449214456"/>
  </r>
  <r>
    <s v="Regular"/>
    <x v="4"/>
    <x v="4"/>
    <x v="3"/>
    <x v="1"/>
    <x v="0"/>
    <x v="0"/>
    <x v="1"/>
    <x v="0"/>
    <n v="0"/>
    <n v="0"/>
    <n v="795.45899999999995"/>
    <n v="723.86768999999993"/>
    <n v="795.45899999999995"/>
    <n v="723.86768999999993"/>
    <n v="208"/>
    <x v="1"/>
    <n v="0"/>
    <n v="0"/>
    <n v="72"/>
    <n v="78"/>
    <n v="0"/>
    <n v="450.19"/>
    <n v="243.3"/>
    <m/>
    <n v="375.70304033862055"/>
    <n v="297.20166373463735"/>
    <n v="0"/>
    <n v="325877.99536109995"/>
    <n v="176117.00897699999"/>
    <n v="0"/>
    <n v="271959.29193589406"/>
    <n v="215134.68179174868"/>
  </r>
  <r>
    <s v="Refaturamento - Regular"/>
    <x v="4"/>
    <x v="4"/>
    <x v="3"/>
    <x v="1"/>
    <x v="0"/>
    <x v="0"/>
    <x v="1"/>
    <x v="0"/>
    <n v="0"/>
    <n v="0"/>
    <n v="1.8360000000000001"/>
    <n v="1.67076"/>
    <n v="1.8360000000000001"/>
    <n v="1.67076"/>
    <n v="0"/>
    <x v="1"/>
    <n v="0"/>
    <n v="0"/>
    <n v="72"/>
    <n v="78"/>
    <n v="0"/>
    <n v="450.19"/>
    <n v="243.3"/>
    <m/>
    <n v="375.70304033862055"/>
    <n v="297.20166373463735"/>
    <n v="0"/>
    <n v="752.15944439999998"/>
    <n v="406.49590800000004"/>
    <n v="0"/>
    <n v="627.70961167615371"/>
    <n v="496.55265170128268"/>
  </r>
  <r>
    <s v="Sistema Isolado - Regular"/>
    <x v="4"/>
    <x v="4"/>
    <x v="3"/>
    <x v="1"/>
    <x v="0"/>
    <x v="0"/>
    <x v="1"/>
    <x v="0"/>
    <n v="0"/>
    <n v="0"/>
    <n v="2055.0189999999998"/>
    <n v="1870.06729"/>
    <n v="2055.0189999999998"/>
    <n v="1870.06729"/>
    <n v="641"/>
    <x v="1"/>
    <n v="0"/>
    <n v="0"/>
    <n v="72"/>
    <n v="78"/>
    <n v="0"/>
    <n v="450.19"/>
    <n v="243.3"/>
    <m/>
    <n v="375.70304033862055"/>
    <n v="297.20166373463735"/>
    <n v="0"/>
    <n v="841885.59328509995"/>
    <n v="454987.37165700004"/>
    <n v="0"/>
    <n v="702589.9664908048"/>
    <n v="555787.10988372448"/>
  </r>
  <r>
    <s v="Sistema Isolado - Refaturamento"/>
    <x v="4"/>
    <x v="4"/>
    <x v="3"/>
    <x v="1"/>
    <x v="0"/>
    <x v="0"/>
    <x v="1"/>
    <x v="0"/>
    <n v="0"/>
    <n v="0"/>
    <n v="-2.7309999999999999"/>
    <n v="-2.4852099999999999"/>
    <n v="-2.7309999999999999"/>
    <n v="-2.4852099999999999"/>
    <n v="0"/>
    <x v="1"/>
    <n v="0"/>
    <n v="0"/>
    <n v="72"/>
    <n v="78"/>
    <n v="0"/>
    <n v="450.19"/>
    <n v="243.3"/>
    <m/>
    <n v="375.70304033862055"/>
    <n v="297.20166373463735"/>
    <n v="0"/>
    <n v="-1118.8166899"/>
    <n v="-604.65159300000005"/>
    <n v="0"/>
    <n v="-933.7009528799432"/>
    <n v="-738.60854672995811"/>
  </r>
  <r>
    <s v="Regular"/>
    <x v="4"/>
    <x v="4"/>
    <x v="3"/>
    <x v="1"/>
    <x v="0"/>
    <x v="0"/>
    <x v="1"/>
    <x v="1"/>
    <n v="0"/>
    <n v="0"/>
    <n v="788.59500000000003"/>
    <n v="717.6214500000001"/>
    <n v="788.59500000000003"/>
    <n v="717.6214500000001"/>
    <n v="206"/>
    <x v="1"/>
    <n v="0"/>
    <n v="0"/>
    <n v="72"/>
    <n v="78"/>
    <n v="0"/>
    <n v="450.19"/>
    <n v="243.3"/>
    <m/>
    <n v="375.70304033862055"/>
    <n v="297.20166373463735"/>
    <n v="0"/>
    <n v="323066.00057550002"/>
    <n v="174597.29878500002"/>
    <n v="0"/>
    <n v="269612.5605772094"/>
    <n v="213278.28887166289"/>
  </r>
  <r>
    <s v="Refaturamento - Regular"/>
    <x v="4"/>
    <x v="4"/>
    <x v="3"/>
    <x v="1"/>
    <x v="0"/>
    <x v="0"/>
    <x v="1"/>
    <x v="1"/>
    <n v="0"/>
    <n v="0"/>
    <n v="-8.2550000000000008"/>
    <n v="-7.5120500000000012"/>
    <n v="-8.2550000000000008"/>
    <n v="-7.5120500000000012"/>
    <n v="0"/>
    <x v="1"/>
    <n v="0"/>
    <n v="0"/>
    <n v="72"/>
    <n v="78"/>
    <n v="0"/>
    <n v="450.19"/>
    <n v="243.3"/>
    <m/>
    <n v="375.70304033862055"/>
    <n v="297.20166373463735"/>
    <n v="0"/>
    <n v="-3381.8497895000005"/>
    <n v="-1827.6817650000005"/>
    <n v="0"/>
    <n v="-2822.300024175735"/>
    <n v="-2232.5937580577829"/>
  </r>
  <r>
    <s v="Sistema Isolado - Regular"/>
    <x v="4"/>
    <x v="4"/>
    <x v="3"/>
    <x v="1"/>
    <x v="0"/>
    <x v="0"/>
    <x v="1"/>
    <x v="1"/>
    <n v="0"/>
    <n v="0"/>
    <n v="2063.1239999999998"/>
    <n v="1877.4428399999999"/>
    <n v="2063.1239999999998"/>
    <n v="1877.4428399999999"/>
    <n v="639"/>
    <x v="1"/>
    <n v="0"/>
    <n v="0"/>
    <n v="72"/>
    <n v="78"/>
    <n v="0"/>
    <n v="450.19"/>
    <n v="243.3"/>
    <m/>
    <n v="375.70304033862055"/>
    <n v="297.20166373463735"/>
    <n v="0"/>
    <n v="845205.99213959998"/>
    <n v="456781.84297200001"/>
    <n v="0"/>
    <n v="705360.98304997431"/>
    <n v="557979.13561468257"/>
  </r>
  <r>
    <s v="Sistema Isolado - Refaturamento"/>
    <x v="4"/>
    <x v="4"/>
    <x v="3"/>
    <x v="1"/>
    <x v="0"/>
    <x v="0"/>
    <x v="1"/>
    <x v="1"/>
    <n v="0"/>
    <n v="0"/>
    <n v="-36.978999999999999"/>
    <n v="-33.650890000000004"/>
    <n v="-36.978999999999999"/>
    <n v="-33.650890000000004"/>
    <n v="0"/>
    <x v="1"/>
    <n v="0"/>
    <n v="0"/>
    <n v="72"/>
    <n v="78"/>
    <n v="0"/>
    <n v="450.19"/>
    <n v="243.3"/>
    <m/>
    <n v="375.70304033862055"/>
    <n v="297.20166373463735"/>
    <n v="0"/>
    <n v="-15149.294169100001"/>
    <n v="-8187.2615370000012"/>
    <n v="0"/>
    <n v="-12642.741683100485"/>
    <n v="-10001.100494151271"/>
  </r>
  <r>
    <s v="Regular"/>
    <x v="4"/>
    <x v="4"/>
    <x v="3"/>
    <x v="1"/>
    <x v="0"/>
    <x v="0"/>
    <x v="1"/>
    <x v="2"/>
    <n v="0"/>
    <n v="0"/>
    <n v="852.98800000000006"/>
    <n v="776.21908000000008"/>
    <n v="852.98800000000006"/>
    <n v="776.21908000000008"/>
    <n v="207"/>
    <x v="1"/>
    <n v="0"/>
    <n v="0"/>
    <n v="72"/>
    <n v="78"/>
    <n v="0"/>
    <n v="450.19"/>
    <n v="243.3"/>
    <m/>
    <n v="375.70304033862055"/>
    <n v="297.20166373463735"/>
    <n v="0"/>
    <n v="349446.06762520003"/>
    <n v="188854.10216400004"/>
    <n v="0"/>
    <n v="291627.86832484696"/>
    <n v="230693.60199856959"/>
  </r>
  <r>
    <s v="Refaturamento - Regular"/>
    <x v="4"/>
    <x v="4"/>
    <x v="3"/>
    <x v="1"/>
    <x v="0"/>
    <x v="0"/>
    <x v="1"/>
    <x v="2"/>
    <n v="0"/>
    <n v="0"/>
    <n v="-0.17799999999999999"/>
    <n v="-0.16197999999999999"/>
    <n v="-0.17799999999999999"/>
    <n v="-0.16197999999999999"/>
    <n v="0"/>
    <x v="1"/>
    <n v="0"/>
    <n v="0"/>
    <n v="72"/>
    <n v="78"/>
    <n v="0"/>
    <n v="450.19"/>
    <n v="243.3"/>
    <m/>
    <n v="375.70304033862055"/>
    <n v="297.20166373463735"/>
    <n v="0"/>
    <n v="-72.921776199999996"/>
    <n v="-39.409734"/>
    <n v="0"/>
    <n v="-60.856378474049748"/>
    <n v="-48.140725491736553"/>
  </r>
  <r>
    <s v="Sistema Isolado - Regular"/>
    <x v="4"/>
    <x v="4"/>
    <x v="3"/>
    <x v="1"/>
    <x v="0"/>
    <x v="0"/>
    <x v="1"/>
    <x v="2"/>
    <n v="0"/>
    <n v="0"/>
    <n v="2048.2930000000001"/>
    <n v="1863.9466300000001"/>
    <n v="2048.2930000000001"/>
    <n v="1863.9466300000001"/>
    <n v="637"/>
    <x v="1"/>
    <n v="0"/>
    <n v="0"/>
    <n v="72"/>
    <n v="78"/>
    <n v="0"/>
    <n v="450.19"/>
    <n v="243.3"/>
    <m/>
    <n v="375.70304033862055"/>
    <n v="297.20166373463735"/>
    <n v="0"/>
    <n v="839130.13335970009"/>
    <n v="453498.21507900005"/>
    <n v="0"/>
    <n v="700290.4159199259"/>
    <n v="553968.03954857052"/>
  </r>
  <r>
    <s v="Regular"/>
    <x v="4"/>
    <x v="4"/>
    <x v="3"/>
    <x v="1"/>
    <x v="0"/>
    <x v="0"/>
    <x v="1"/>
    <x v="3"/>
    <n v="0"/>
    <n v="0"/>
    <n v="820.86500000000001"/>
    <n v="746.98715000000004"/>
    <n v="820.86500000000001"/>
    <n v="746.98715000000004"/>
    <n v="208"/>
    <x v="1"/>
    <n v="0"/>
    <n v="0"/>
    <n v="72"/>
    <n v="78"/>
    <n v="0"/>
    <n v="450.19"/>
    <n v="243.3"/>
    <m/>
    <n v="375.70304033862055"/>
    <n v="297.20166373463735"/>
    <n v="0"/>
    <n v="336286.1450585"/>
    <n v="181741.97359500002"/>
    <n v="0"/>
    <n v="280645.34334888123"/>
    <n v="222005.82376839512"/>
  </r>
  <r>
    <s v="Refaturamento - Regular"/>
    <x v="4"/>
    <x v="4"/>
    <x v="3"/>
    <x v="1"/>
    <x v="0"/>
    <x v="0"/>
    <x v="1"/>
    <x v="3"/>
    <n v="0"/>
    <n v="0"/>
    <n v="0.25800000000000001"/>
    <n v="0.23478000000000002"/>
    <n v="0.25800000000000001"/>
    <n v="0.23478000000000002"/>
    <n v="0"/>
    <x v="1"/>
    <n v="0"/>
    <n v="0"/>
    <n v="72"/>
    <n v="78"/>
    <n v="0"/>
    <n v="450.19"/>
    <n v="243.3"/>
    <m/>
    <n v="375.70304033862055"/>
    <n v="297.20166373463735"/>
    <n v="0"/>
    <n v="105.69560820000001"/>
    <n v="57.121974000000009"/>
    <n v="0"/>
    <n v="88.207559810701341"/>
    <n v="69.777006611618162"/>
  </r>
  <r>
    <s v="Sistema Isolado - Regular"/>
    <x v="4"/>
    <x v="4"/>
    <x v="3"/>
    <x v="1"/>
    <x v="0"/>
    <x v="0"/>
    <x v="1"/>
    <x v="3"/>
    <n v="0"/>
    <n v="0"/>
    <n v="1974.415"/>
    <n v="1796.71765"/>
    <n v="1974.415"/>
    <n v="1796.71765"/>
    <n v="638"/>
    <x v="1"/>
    <n v="0"/>
    <n v="0"/>
    <n v="72"/>
    <n v="78"/>
    <n v="0"/>
    <n v="450.19"/>
    <n v="243.3"/>
    <m/>
    <n v="375.70304033862055"/>
    <n v="297.20166373463735"/>
    <n v="0"/>
    <n v="808864.31885350007"/>
    <n v="437141.40424500004"/>
    <n v="0"/>
    <n v="675032.28373506153"/>
    <n v="533987.47484138783"/>
  </r>
  <r>
    <s v="Sistema Isolado - Refaturamento"/>
    <x v="4"/>
    <x v="4"/>
    <x v="3"/>
    <x v="1"/>
    <x v="0"/>
    <x v="0"/>
    <x v="1"/>
    <x v="3"/>
    <n v="0"/>
    <n v="0"/>
    <n v="-19.899999999999999"/>
    <n v="-18.108999999999998"/>
    <n v="-19.899999999999999"/>
    <n v="-18.108999999999998"/>
    <n v="0"/>
    <x v="1"/>
    <n v="0"/>
    <n v="0"/>
    <n v="72"/>
    <n v="78"/>
    <n v="0"/>
    <n v="450.19"/>
    <n v="243.3"/>
    <m/>
    <n v="375.70304033862055"/>
    <n v="297.20166373463735"/>
    <n v="0"/>
    <n v="-8152.4907099999991"/>
    <n v="-4405.9196999999995"/>
    <n v="0"/>
    <n v="-6803.606357492079"/>
    <n v="-5382.0249285705477"/>
  </r>
  <r>
    <s v="Regular"/>
    <x v="4"/>
    <x v="4"/>
    <x v="3"/>
    <x v="1"/>
    <x v="0"/>
    <x v="0"/>
    <x v="1"/>
    <x v="4"/>
    <n v="0"/>
    <n v="0"/>
    <n v="816.702"/>
    <n v="743.19882000000007"/>
    <n v="816.702"/>
    <n v="743.19882000000007"/>
    <n v="213"/>
    <x v="1"/>
    <n v="0"/>
    <n v="0"/>
    <n v="72"/>
    <n v="78"/>
    <n v="0"/>
    <n v="450.19"/>
    <n v="243.3"/>
    <m/>
    <n v="375.70304033862055"/>
    <n v="297.20166373463735"/>
    <n v="0"/>
    <n v="334580.67677580001"/>
    <n v="180820.27290600003"/>
    <n v="0"/>
    <n v="279222.05625007523"/>
    <n v="220879.9257896193"/>
  </r>
  <r>
    <s v="Sistema Isolado - Regular"/>
    <x v="4"/>
    <x v="4"/>
    <x v="3"/>
    <x v="1"/>
    <x v="0"/>
    <x v="0"/>
    <x v="1"/>
    <x v="4"/>
    <n v="0"/>
    <n v="0"/>
    <n v="2085.8470000000002"/>
    <n v="1898.1207700000002"/>
    <n v="2085.8470000000002"/>
    <n v="1898.1207700000002"/>
    <n v="639"/>
    <x v="1"/>
    <n v="0"/>
    <n v="0"/>
    <n v="72"/>
    <n v="78"/>
    <n v="0"/>
    <n v="450.19"/>
    <n v="243.3"/>
    <m/>
    <n v="375.70304033862055"/>
    <n v="297.20166373463735"/>
    <n v="0"/>
    <n v="854514.98944630008"/>
    <n v="461812.78334100009"/>
    <n v="0"/>
    <n v="713129.74421888357"/>
    <n v="564124.65081327094"/>
  </r>
  <r>
    <s v="Sistema Isolado - Refaturamento"/>
    <x v="4"/>
    <x v="4"/>
    <x v="3"/>
    <x v="1"/>
    <x v="0"/>
    <x v="0"/>
    <x v="1"/>
    <x v="4"/>
    <n v="0"/>
    <n v="0"/>
    <n v="-36.567999999999998"/>
    <n v="-33.276879999999998"/>
    <n v="-36.567999999999998"/>
    <n v="-33.276879999999998"/>
    <n v="0"/>
    <x v="1"/>
    <n v="0"/>
    <n v="0"/>
    <n v="72"/>
    <n v="78"/>
    <n v="0"/>
    <n v="450.19"/>
    <n v="243.3"/>
    <m/>
    <n v="375.70304033862055"/>
    <n v="297.20166373463735"/>
    <n v="0"/>
    <n v="-14980.918607199999"/>
    <n v="-8096.2649039999997"/>
    <n v="0"/>
    <n v="-12502.224988983435"/>
    <n v="-9889.9440998978789"/>
  </r>
  <r>
    <s v="Regular"/>
    <x v="4"/>
    <x v="4"/>
    <x v="3"/>
    <x v="1"/>
    <x v="0"/>
    <x v="0"/>
    <x v="1"/>
    <x v="5"/>
    <n v="0"/>
    <n v="0"/>
    <n v="862.18600000000004"/>
    <n v="784.58926000000008"/>
    <n v="862.18600000000004"/>
    <n v="784.58926000000008"/>
    <n v="226"/>
    <x v="1"/>
    <n v="0"/>
    <n v="0"/>
    <n v="72"/>
    <n v="78"/>
    <n v="0"/>
    <n v="450.19"/>
    <n v="243.3"/>
    <m/>
    <n v="375.70304033862055"/>
    <n v="297.20166373463735"/>
    <n v="0"/>
    <n v="353214.23895940004"/>
    <n v="190890.56695800004"/>
    <n v="0"/>
    <n v="294772.57039902848"/>
    <n v="233181.23342032798"/>
  </r>
  <r>
    <s v="Refaturamento - Regular"/>
    <x v="4"/>
    <x v="4"/>
    <x v="3"/>
    <x v="1"/>
    <x v="0"/>
    <x v="0"/>
    <x v="1"/>
    <x v="5"/>
    <n v="0"/>
    <n v="0"/>
    <n v="-0.1"/>
    <n v="-9.1000000000000011E-2"/>
    <n v="-0.1"/>
    <n v="-9.1000000000000011E-2"/>
    <n v="0"/>
    <x v="1"/>
    <n v="0"/>
    <n v="0"/>
    <n v="72"/>
    <n v="78"/>
    <n v="0"/>
    <n v="450.19"/>
    <n v="243.3"/>
    <m/>
    <n v="375.70304033862055"/>
    <n v="297.20166373463735"/>
    <n v="0"/>
    <n v="-40.967290000000006"/>
    <n v="-22.140300000000003"/>
    <n v="0"/>
    <n v="-34.188976670814476"/>
    <n v="-27.045351399852002"/>
  </r>
  <r>
    <s v="Sistema Isolado - Regular"/>
    <x v="4"/>
    <x v="4"/>
    <x v="3"/>
    <x v="1"/>
    <x v="0"/>
    <x v="0"/>
    <x v="1"/>
    <x v="5"/>
    <n v="0"/>
    <n v="0"/>
    <n v="2482.41"/>
    <n v="2258.9931000000001"/>
    <n v="2482.41"/>
    <n v="2258.9931000000001"/>
    <n v="955"/>
    <x v="1"/>
    <n v="0"/>
    <n v="0"/>
    <n v="72"/>
    <n v="78"/>
    <n v="0"/>
    <n v="450.19"/>
    <n v="243.3"/>
    <m/>
    <n v="375.70304033862055"/>
    <n v="297.20166373463735"/>
    <n v="0"/>
    <n v="1016976.103689"/>
    <n v="549613.02123000007"/>
    <n v="0"/>
    <n v="848710.57577396557"/>
    <n v="671376.50768506608"/>
  </r>
  <r>
    <s v="Sistema Isolado - Refaturamento"/>
    <x v="4"/>
    <x v="4"/>
    <x v="3"/>
    <x v="1"/>
    <x v="0"/>
    <x v="0"/>
    <x v="1"/>
    <x v="5"/>
    <n v="0"/>
    <n v="0"/>
    <n v="-20.713000000000001"/>
    <n v="-18.848830000000003"/>
    <n v="-20.713000000000001"/>
    <n v="-18.848830000000003"/>
    <n v="0"/>
    <x v="1"/>
    <n v="0"/>
    <n v="0"/>
    <n v="72"/>
    <n v="78"/>
    <n v="0"/>
    <n v="450.19"/>
    <n v="243.3"/>
    <m/>
    <n v="375.70304033862055"/>
    <n v="297.20166373463735"/>
    <n v="0"/>
    <n v="-8485.5547777000011"/>
    <n v="-4585.9203390000011"/>
    <n v="0"/>
    <n v="-7081.5627378258023"/>
    <n v="-5601.9036354513455"/>
  </r>
  <r>
    <s v="Regular"/>
    <x v="4"/>
    <x v="4"/>
    <x v="3"/>
    <x v="1"/>
    <x v="0"/>
    <x v="0"/>
    <x v="1"/>
    <x v="6"/>
    <n v="0"/>
    <n v="0"/>
    <n v="886.2"/>
    <n v="806.44200000000001"/>
    <n v="886.2"/>
    <n v="806.44200000000001"/>
    <n v="235"/>
    <x v="1"/>
    <n v="0"/>
    <n v="0"/>
    <n v="72"/>
    <n v="78"/>
    <n v="0"/>
    <n v="450.19"/>
    <n v="243.3"/>
    <m/>
    <n v="375.70304033862055"/>
    <n v="297.20166373463735"/>
    <n v="0"/>
    <n v="363052.12397999997"/>
    <n v="196207.33860000002"/>
    <n v="0"/>
    <n v="302982.71125675784"/>
    <n v="239675.90410548841"/>
  </r>
  <r>
    <s v="Sistema Isolado - Regular"/>
    <x v="4"/>
    <x v="4"/>
    <x v="3"/>
    <x v="1"/>
    <x v="0"/>
    <x v="0"/>
    <x v="1"/>
    <x v="6"/>
    <n v="0"/>
    <n v="0"/>
    <n v="2832.8850000000002"/>
    <n v="2577.92535"/>
    <n v="2832.8850000000002"/>
    <n v="2577.92535"/>
    <n v="1296"/>
    <x v="1"/>
    <n v="0"/>
    <n v="0"/>
    <n v="72"/>
    <n v="78"/>
    <n v="0"/>
    <n v="450.19"/>
    <n v="243.3"/>
    <m/>
    <n v="375.70304033862055"/>
    <n v="297.20166373463735"/>
    <n v="0"/>
    <n v="1160556.2133165"/>
    <n v="627209.23765500006"/>
    <n v="0"/>
    <n v="968534.39176100248"/>
    <n v="766163.70300369733"/>
  </r>
  <r>
    <s v="Sistema Isolado - Refaturamento"/>
    <x v="4"/>
    <x v="4"/>
    <x v="3"/>
    <x v="1"/>
    <x v="0"/>
    <x v="0"/>
    <x v="1"/>
    <x v="6"/>
    <n v="0"/>
    <n v="0"/>
    <n v="36.384"/>
    <n v="33.109439999999999"/>
    <n v="36.384"/>
    <n v="33.109439999999999"/>
    <n v="0"/>
    <x v="1"/>
    <n v="0"/>
    <n v="0"/>
    <n v="72"/>
    <n v="78"/>
    <n v="0"/>
    <n v="450.19"/>
    <n v="243.3"/>
    <m/>
    <n v="375.70304033862055"/>
    <n v="297.20166373463735"/>
    <n v="0"/>
    <n v="14905.538793599999"/>
    <n v="8055.5267519999998"/>
    <n v="0"/>
    <n v="12439.317271909136"/>
    <n v="9840.1806533221516"/>
  </r>
  <r>
    <s v="Regular"/>
    <x v="4"/>
    <x v="4"/>
    <x v="3"/>
    <x v="1"/>
    <x v="0"/>
    <x v="0"/>
    <x v="1"/>
    <x v="7"/>
    <n v="0"/>
    <n v="0"/>
    <n v="983.73"/>
    <n v="895.1943"/>
    <n v="983.73"/>
    <n v="895.1943"/>
    <n v="238"/>
    <x v="1"/>
    <n v="0"/>
    <n v="0"/>
    <n v="72"/>
    <n v="78"/>
    <n v="0"/>
    <n v="450.19"/>
    <n v="243.3"/>
    <m/>
    <n v="375.70304033862055"/>
    <n v="297.20166373463735"/>
    <n v="0"/>
    <n v="403007.52191700001"/>
    <n v="217800.77319000001"/>
    <n v="0"/>
    <n v="336327.22020380321"/>
    <n v="266053.23532576405"/>
  </r>
  <r>
    <s v="Sistema Isolado - Regular"/>
    <x v="4"/>
    <x v="4"/>
    <x v="3"/>
    <x v="1"/>
    <x v="0"/>
    <x v="0"/>
    <x v="1"/>
    <x v="7"/>
    <n v="0"/>
    <n v="0"/>
    <n v="3058.877"/>
    <n v="2783.57807"/>
    <n v="3058.877"/>
    <n v="2783.57807"/>
    <n v="1313"/>
    <x v="1"/>
    <n v="0"/>
    <n v="0"/>
    <n v="72"/>
    <n v="78"/>
    <n v="0"/>
    <n v="450.19"/>
    <n v="243.3"/>
    <m/>
    <n v="375.70304033862055"/>
    <n v="297.20166373463735"/>
    <n v="0"/>
    <n v="1253139.0113333"/>
    <n v="677244.54443100002"/>
    <n v="0"/>
    <n v="1045798.7439189096"/>
    <n v="827284.03353925084"/>
  </r>
  <r>
    <s v="Sistema Isolado - Refaturamento"/>
    <x v="4"/>
    <x v="4"/>
    <x v="3"/>
    <x v="1"/>
    <x v="0"/>
    <x v="0"/>
    <x v="1"/>
    <x v="7"/>
    <n v="0"/>
    <n v="0"/>
    <n v="29.552"/>
    <n v="26.892320000000002"/>
    <n v="29.552"/>
    <n v="26.892320000000002"/>
    <n v="0"/>
    <x v="1"/>
    <n v="0"/>
    <n v="0"/>
    <n v="72"/>
    <n v="78"/>
    <n v="0"/>
    <n v="450.19"/>
    <n v="243.3"/>
    <m/>
    <n v="375.70304033862055"/>
    <n v="297.20166373463735"/>
    <n v="0"/>
    <n v="12106.6535408"/>
    <n v="6542.9014560000005"/>
    <n v="0"/>
    <n v="10103.526385759093"/>
    <n v="7992.4422456842631"/>
  </r>
  <r>
    <s v="Regular"/>
    <x v="4"/>
    <x v="4"/>
    <x v="3"/>
    <x v="1"/>
    <x v="0"/>
    <x v="0"/>
    <x v="1"/>
    <x v="8"/>
    <n v="0"/>
    <n v="0"/>
    <n v="924.31700000000001"/>
    <n v="841.12846999999999"/>
    <n v="924.31700000000001"/>
    <n v="841.12846999999999"/>
    <n v="238"/>
    <x v="1"/>
    <n v="0"/>
    <n v="0"/>
    <n v="72"/>
    <n v="78"/>
    <n v="0"/>
    <n v="450.19"/>
    <n v="243.3"/>
    <m/>
    <n v="375.70304033862055"/>
    <n v="297.20166373463735"/>
    <n v="0"/>
    <n v="378667.6259093"/>
    <n v="204646.556751"/>
    <n v="0"/>
    <n v="316014.5234943722"/>
    <n v="249984.78069856999"/>
  </r>
  <r>
    <s v="Sistema Isolado - Regular"/>
    <x v="4"/>
    <x v="4"/>
    <x v="3"/>
    <x v="1"/>
    <x v="0"/>
    <x v="0"/>
    <x v="1"/>
    <x v="8"/>
    <n v="0"/>
    <n v="0"/>
    <n v="3026.7339999999999"/>
    <n v="2754.3279400000001"/>
    <n v="3026.7339999999999"/>
    <n v="2754.3279400000001"/>
    <n v="1326"/>
    <x v="1"/>
    <n v="0"/>
    <n v="0"/>
    <n v="72"/>
    <n v="78"/>
    <n v="0"/>
    <n v="450.19"/>
    <n v="243.3"/>
    <m/>
    <n v="375.70304033862055"/>
    <n v="297.20166373463735"/>
    <n v="0"/>
    <n v="1239970.8953086"/>
    <n v="670127.98780200002"/>
    <n v="0"/>
    <n v="1034809.3811476097"/>
    <n v="818590.84623879648"/>
  </r>
  <r>
    <s v="Sistema Isolado - Refaturamento"/>
    <x v="4"/>
    <x v="4"/>
    <x v="3"/>
    <x v="1"/>
    <x v="0"/>
    <x v="0"/>
    <x v="1"/>
    <x v="8"/>
    <n v="0"/>
    <n v="0"/>
    <n v="-5.4509999999999996"/>
    <n v="-4.9604100000000004"/>
    <n v="-5.4509999999999996"/>
    <n v="-4.9604100000000004"/>
    <n v="0"/>
    <x v="1"/>
    <n v="0"/>
    <n v="0"/>
    <n v="72"/>
    <n v="78"/>
    <n v="0"/>
    <n v="450.19"/>
    <n v="243.3"/>
    <m/>
    <n v="375.70304033862055"/>
    <n v="297.20166373463735"/>
    <n v="0"/>
    <n v="-2233.1269779000004"/>
    <n v="-1206.8677530000002"/>
    <n v="0"/>
    <n v="-1863.6411183260968"/>
    <n v="-1474.2421048059325"/>
  </r>
  <r>
    <s v="Regular"/>
    <x v="4"/>
    <x v="4"/>
    <x v="3"/>
    <x v="1"/>
    <x v="0"/>
    <x v="0"/>
    <x v="1"/>
    <x v="9"/>
    <n v="0"/>
    <n v="0"/>
    <n v="972.60799999999995"/>
    <n v="885.07327999999995"/>
    <n v="972.60799999999995"/>
    <n v="885.07327999999995"/>
    <n v="245"/>
    <x v="1"/>
    <n v="0"/>
    <n v="0"/>
    <n v="72"/>
    <n v="78"/>
    <n v="0"/>
    <n v="450.19"/>
    <n v="243.3"/>
    <m/>
    <n v="375.70304033862055"/>
    <n v="297.20166373463735"/>
    <n v="0"/>
    <n v="398451.13992319995"/>
    <n v="215338.32902400001"/>
    <n v="0"/>
    <n v="332524.72221847519"/>
    <n v="263045.25134307251"/>
  </r>
  <r>
    <s v="Refaturamento - Regular"/>
    <x v="4"/>
    <x v="4"/>
    <x v="3"/>
    <x v="1"/>
    <x v="0"/>
    <x v="0"/>
    <x v="1"/>
    <x v="9"/>
    <n v="0"/>
    <n v="0"/>
    <n v="13.105"/>
    <n v="11.925549999999999"/>
    <n v="13.105"/>
    <n v="11.925549999999999"/>
    <n v="0"/>
    <x v="1"/>
    <n v="0"/>
    <n v="0"/>
    <n v="72"/>
    <n v="78"/>
    <n v="0"/>
    <n v="450.19"/>
    <n v="243.3"/>
    <m/>
    <n v="375.70304033862055"/>
    <n v="297.20166373463735"/>
    <n v="0"/>
    <n v="5368.7633544999999"/>
    <n v="2901.4863150000001"/>
    <n v="0"/>
    <n v="4480.4653927102363"/>
    <n v="3544.2933009506041"/>
  </r>
  <r>
    <s v="Sistema Isolado - Regular"/>
    <x v="4"/>
    <x v="4"/>
    <x v="3"/>
    <x v="1"/>
    <x v="0"/>
    <x v="0"/>
    <x v="1"/>
    <x v="9"/>
    <n v="0"/>
    <n v="0"/>
    <n v="3053.116"/>
    <n v="2778.33556"/>
    <n v="3053.116"/>
    <n v="2778.33556"/>
    <n v="1327"/>
    <x v="1"/>
    <n v="0"/>
    <n v="0"/>
    <n v="72"/>
    <n v="78"/>
    <n v="0"/>
    <n v="450.19"/>
    <n v="243.3"/>
    <m/>
    <n v="375.70304033862055"/>
    <n v="297.20166373463735"/>
    <n v="0"/>
    <n v="1250778.8857563999"/>
    <n v="675969.04174800008"/>
    <n v="0"/>
    <n v="1043829.116972904"/>
    <n v="825725.95084510534"/>
  </r>
  <r>
    <s v="Sistema Isolado - Refaturamento"/>
    <x v="4"/>
    <x v="4"/>
    <x v="3"/>
    <x v="1"/>
    <x v="0"/>
    <x v="0"/>
    <x v="1"/>
    <x v="9"/>
    <n v="0"/>
    <n v="0"/>
    <n v="22.221"/>
    <n v="20.221109999999999"/>
    <n v="22.221"/>
    <n v="20.221109999999999"/>
    <n v="0"/>
    <x v="1"/>
    <n v="0"/>
    <n v="0"/>
    <n v="72"/>
    <n v="78"/>
    <n v="0"/>
    <n v="450.19"/>
    <n v="243.3"/>
    <m/>
    <n v="375.70304033862055"/>
    <n v="297.20166373463735"/>
    <n v="0"/>
    <n v="9103.3415108999998"/>
    <n v="4919.7960629999998"/>
    <n v="0"/>
    <n v="7597.1325060216832"/>
    <n v="6009.7475345611128"/>
  </r>
  <r>
    <s v="Regular"/>
    <x v="4"/>
    <x v="4"/>
    <x v="3"/>
    <x v="1"/>
    <x v="0"/>
    <x v="0"/>
    <x v="1"/>
    <x v="10"/>
    <n v="0"/>
    <n v="0"/>
    <n v="886.77099999999996"/>
    <n v="806.96160999999995"/>
    <n v="886.77099999999996"/>
    <n v="806.96160999999995"/>
    <n v="241"/>
    <x v="1"/>
    <n v="0"/>
    <n v="0"/>
    <n v="72"/>
    <n v="78"/>
    <n v="0"/>
    <n v="450.19"/>
    <n v="243.3"/>
    <m/>
    <n v="375.70304033862055"/>
    <n v="297.20166373463735"/>
    <n v="0"/>
    <n v="363286.04720589996"/>
    <n v="196333.75971300001"/>
    <n v="0"/>
    <n v="303177.93031354819"/>
    <n v="239830.33306198157"/>
  </r>
  <r>
    <s v="Refaturamento - Regular"/>
    <x v="4"/>
    <x v="4"/>
    <x v="3"/>
    <x v="1"/>
    <x v="0"/>
    <x v="0"/>
    <x v="1"/>
    <x v="10"/>
    <n v="0"/>
    <n v="0"/>
    <n v="-768.45"/>
    <n v="-699.28949999999998"/>
    <n v="-768.45"/>
    <n v="-699.28949999999998"/>
    <n v="0"/>
    <x v="1"/>
    <n v="0"/>
    <n v="0"/>
    <n v="72"/>
    <n v="78"/>
    <n v="0"/>
    <n v="450.19"/>
    <n v="243.3"/>
    <m/>
    <n v="375.70304033862055"/>
    <n v="297.20166373463735"/>
    <n v="0"/>
    <n v="-314813.14000499999"/>
    <n v="-170137.13535"/>
    <n v="0"/>
    <n v="-262725.19122687378"/>
    <n v="-207830.00283216269"/>
  </r>
  <r>
    <s v="Sistema Isolado - Regular"/>
    <x v="4"/>
    <x v="4"/>
    <x v="3"/>
    <x v="1"/>
    <x v="0"/>
    <x v="0"/>
    <x v="1"/>
    <x v="10"/>
    <n v="0"/>
    <n v="0"/>
    <n v="3230.107"/>
    <n v="2939.3973700000001"/>
    <n v="3230.107"/>
    <n v="2939.3973700000001"/>
    <n v="1331"/>
    <x v="1"/>
    <n v="0"/>
    <n v="0"/>
    <n v="72"/>
    <n v="78"/>
    <n v="0"/>
    <n v="450.19"/>
    <n v="243.3"/>
    <m/>
    <n v="375.70304033862055"/>
    <n v="297.20166373463735"/>
    <n v="0"/>
    <n v="1323287.3020003"/>
    <n v="715155.38012100011"/>
    <n v="0"/>
    <n v="1104340.5286723452"/>
    <n v="873593.78874121746"/>
  </r>
  <r>
    <s v="Sistema Isolado - Refaturamento"/>
    <x v="4"/>
    <x v="4"/>
    <x v="3"/>
    <x v="1"/>
    <x v="0"/>
    <x v="0"/>
    <x v="1"/>
    <x v="10"/>
    <n v="0"/>
    <n v="0"/>
    <n v="30.367999999999999"/>
    <n v="27.634879999999999"/>
    <n v="30.367999999999999"/>
    <n v="27.634879999999999"/>
    <n v="0"/>
    <x v="1"/>
    <n v="0"/>
    <n v="0"/>
    <n v="72"/>
    <n v="78"/>
    <n v="0"/>
    <n v="450.19"/>
    <n v="243.3"/>
    <m/>
    <n v="375.70304033862055"/>
    <n v="297.20166373463735"/>
    <n v="0"/>
    <n v="12440.946627199999"/>
    <n v="6723.5663039999999"/>
    <n v="0"/>
    <n v="10382.508435392938"/>
    <n v="8213.1323131070549"/>
  </r>
  <r>
    <s v="PROJETADO"/>
    <x v="4"/>
    <x v="4"/>
    <x v="3"/>
    <x v="1"/>
    <x v="0"/>
    <x v="0"/>
    <x v="1"/>
    <x v="11"/>
    <n v="0"/>
    <n v="0"/>
    <n v="886.77099999999996"/>
    <n v="806.96160999999995"/>
    <n v="886.77099999999996"/>
    <n v="806.96160999999995"/>
    <n v="241"/>
    <x v="1"/>
    <n v="0"/>
    <n v="0"/>
    <n v="72"/>
    <n v="78"/>
    <n v="0"/>
    <n v="450.19"/>
    <n v="243.3"/>
    <m/>
    <n v="375.70304033862055"/>
    <n v="297.20166373463735"/>
    <n v="0"/>
    <n v="363286.04720589996"/>
    <n v="196333.75971300001"/>
    <n v="0"/>
    <n v="303177.93031354819"/>
    <n v="239830.33306198157"/>
  </r>
  <r>
    <s v="PROJETADO"/>
    <x v="4"/>
    <x v="4"/>
    <x v="3"/>
    <x v="1"/>
    <x v="0"/>
    <x v="0"/>
    <x v="1"/>
    <x v="11"/>
    <n v="0"/>
    <n v="0"/>
    <n v="-768.45"/>
    <n v="-699.28949999999998"/>
    <n v="-768.45"/>
    <n v="-699.28949999999998"/>
    <n v="0"/>
    <x v="1"/>
    <n v="0"/>
    <n v="0"/>
    <n v="72"/>
    <n v="78"/>
    <n v="0"/>
    <n v="450.19"/>
    <n v="243.3"/>
    <m/>
    <n v="375.70304033862055"/>
    <n v="297.20166373463735"/>
    <n v="0"/>
    <n v="-314813.14000499999"/>
    <n v="-170137.13535"/>
    <n v="0"/>
    <n v="-262725.19122687378"/>
    <n v="-207830.00283216269"/>
  </r>
  <r>
    <s v="PROJETADO"/>
    <x v="4"/>
    <x v="4"/>
    <x v="3"/>
    <x v="1"/>
    <x v="0"/>
    <x v="0"/>
    <x v="1"/>
    <x v="11"/>
    <n v="0"/>
    <n v="0"/>
    <n v="3230.107"/>
    <n v="2939.3973700000001"/>
    <n v="3230.107"/>
    <n v="2939.3973700000001"/>
    <n v="1331"/>
    <x v="1"/>
    <n v="0"/>
    <n v="0"/>
    <n v="72"/>
    <n v="78"/>
    <n v="0"/>
    <n v="450.19"/>
    <n v="243.3"/>
    <m/>
    <n v="375.70304033862055"/>
    <n v="297.20166373463735"/>
    <n v="0"/>
    <n v="1323287.3020003"/>
    <n v="715155.38012100011"/>
    <n v="0"/>
    <n v="1104340.5286723452"/>
    <n v="873593.78874121746"/>
  </r>
  <r>
    <s v="PROJETADO"/>
    <x v="4"/>
    <x v="4"/>
    <x v="3"/>
    <x v="1"/>
    <x v="0"/>
    <x v="0"/>
    <x v="1"/>
    <x v="11"/>
    <n v="0"/>
    <n v="0"/>
    <n v="30.367999999999999"/>
    <n v="27.634879999999999"/>
    <n v="30.367999999999999"/>
    <n v="27.634879999999999"/>
    <n v="0"/>
    <x v="1"/>
    <n v="0"/>
    <n v="0"/>
    <n v="72"/>
    <n v="78"/>
    <n v="0"/>
    <n v="450.19"/>
    <n v="243.3"/>
    <m/>
    <n v="375.70304033862055"/>
    <n v="297.20166373463735"/>
    <n v="0"/>
    <n v="12440.946627199999"/>
    <n v="6723.5663039999999"/>
    <n v="0"/>
    <n v="10382.508435392938"/>
    <n v="8213.1323131070549"/>
  </r>
  <r>
    <s v="Regular"/>
    <x v="5"/>
    <x v="4"/>
    <x v="8"/>
    <x v="9"/>
    <x v="0"/>
    <x v="0"/>
    <x v="1"/>
    <x v="0"/>
    <n v="0"/>
    <n v="0"/>
    <n v="12271.55"/>
    <n v="12271.55"/>
    <n v="12271.55"/>
    <n v="12271.55"/>
    <n v="423"/>
    <x v="1"/>
    <n v="0"/>
    <n v="0"/>
    <n v="68"/>
    <n v="83"/>
    <n v="0"/>
    <n v="247.61"/>
    <n v="133.82"/>
    <m/>
    <n v="206.6366721862413"/>
    <n v="163.46091505405056"/>
    <n v="0"/>
    <n v="3038558.4955000002"/>
    <n v="1642178.8209999998"/>
    <n v="0"/>
    <n v="2535752.2545670695"/>
    <n v="2005918.7921315341"/>
  </r>
  <r>
    <s v="Sistema Isolado - Regular"/>
    <x v="5"/>
    <x v="4"/>
    <x v="8"/>
    <x v="9"/>
    <x v="0"/>
    <x v="0"/>
    <x v="1"/>
    <x v="0"/>
    <n v="0"/>
    <n v="0"/>
    <n v="5717.28"/>
    <n v="5717.28"/>
    <n v="5717.28"/>
    <n v="5717.28"/>
    <n v="242"/>
    <x v="1"/>
    <n v="0"/>
    <n v="0"/>
    <n v="68"/>
    <n v="83"/>
    <n v="0"/>
    <n v="247.61"/>
    <n v="133.82"/>
    <m/>
    <n v="206.6366721862413"/>
    <n v="163.46091505405056"/>
    <n v="0"/>
    <n v="1415655.7008"/>
    <n v="765086.4095999999"/>
    <n v="0"/>
    <n v="1181399.7131569537"/>
    <n v="934551.82042022212"/>
  </r>
  <r>
    <s v="Regular"/>
    <x v="5"/>
    <x v="4"/>
    <x v="8"/>
    <x v="9"/>
    <x v="0"/>
    <x v="0"/>
    <x v="1"/>
    <x v="1"/>
    <n v="0"/>
    <n v="0"/>
    <n v="12659.062"/>
    <n v="12659.062"/>
    <n v="12659.062"/>
    <n v="12659.062"/>
    <n v="423"/>
    <x v="1"/>
    <n v="0"/>
    <n v="0"/>
    <n v="68"/>
    <n v="83"/>
    <n v="0"/>
    <n v="247.61"/>
    <n v="133.82"/>
    <m/>
    <n v="206.6366721862413"/>
    <n v="163.46091505405056"/>
    <n v="0"/>
    <n v="3134510.3418200002"/>
    <n v="1694035.6768399999"/>
    <n v="0"/>
    <n v="2615826.444679304"/>
    <n v="2069261.8582459593"/>
  </r>
  <r>
    <s v="Sistema Isolado - Regular"/>
    <x v="5"/>
    <x v="4"/>
    <x v="8"/>
    <x v="9"/>
    <x v="0"/>
    <x v="0"/>
    <x v="1"/>
    <x v="1"/>
    <n v="0"/>
    <n v="0"/>
    <n v="5920.5249999999996"/>
    <n v="5920.5249999999996"/>
    <n v="5920.5249999999996"/>
    <n v="5920.5249999999996"/>
    <n v="243"/>
    <x v="1"/>
    <n v="0"/>
    <n v="0"/>
    <n v="68"/>
    <n v="83"/>
    <n v="0"/>
    <n v="247.61"/>
    <n v="133.82"/>
    <m/>
    <n v="206.6366721862413"/>
    <n v="163.46091505405056"/>
    <n v="0"/>
    <n v="1465981.1952500001"/>
    <n v="792284.65549999988"/>
    <n v="0"/>
    <n v="1223397.5835954461"/>
    <n v="967774.43410038261"/>
  </r>
  <r>
    <s v="Regular"/>
    <x v="5"/>
    <x v="4"/>
    <x v="8"/>
    <x v="9"/>
    <x v="0"/>
    <x v="0"/>
    <x v="1"/>
    <x v="2"/>
    <n v="0"/>
    <n v="0"/>
    <n v="12697.362999999999"/>
    <n v="12697.362999999999"/>
    <n v="12697.362999999999"/>
    <n v="12697.362999999999"/>
    <n v="423"/>
    <x v="1"/>
    <n v="0"/>
    <n v="0"/>
    <n v="68"/>
    <n v="83"/>
    <n v="0"/>
    <n v="247.61"/>
    <n v="133.82"/>
    <m/>
    <n v="206.6366721862413"/>
    <n v="163.46091505405056"/>
    <n v="0"/>
    <n v="3143994.0524300002"/>
    <n v="1699161.1166599998"/>
    <n v="0"/>
    <n v="2623740.8358607092"/>
    <n v="2075522.5747534444"/>
  </r>
  <r>
    <s v="Sistema Isolado - Regular"/>
    <x v="5"/>
    <x v="4"/>
    <x v="8"/>
    <x v="9"/>
    <x v="0"/>
    <x v="0"/>
    <x v="1"/>
    <x v="2"/>
    <n v="0"/>
    <n v="0"/>
    <n v="5923.8029999999999"/>
    <n v="5923.8029999999999"/>
    <n v="5923.8029999999999"/>
    <n v="5923.8029999999999"/>
    <n v="243"/>
    <x v="1"/>
    <n v="0"/>
    <n v="0"/>
    <n v="68"/>
    <n v="83"/>
    <n v="0"/>
    <n v="247.61"/>
    <n v="133.82"/>
    <m/>
    <n v="206.6366721862413"/>
    <n v="163.46091505405056"/>
    <n v="0"/>
    <n v="1466792.8608300001"/>
    <n v="792723.31745999993"/>
    <n v="0"/>
    <n v="1224074.9386068727"/>
    <n v="968310.25897992984"/>
  </r>
  <r>
    <s v="Regular"/>
    <x v="5"/>
    <x v="4"/>
    <x v="8"/>
    <x v="9"/>
    <x v="0"/>
    <x v="0"/>
    <x v="1"/>
    <x v="3"/>
    <n v="0"/>
    <n v="0"/>
    <n v="11438.359"/>
    <n v="11438.359"/>
    <n v="11438.359"/>
    <n v="11438.359"/>
    <n v="423"/>
    <x v="1"/>
    <n v="0"/>
    <n v="0"/>
    <n v="68"/>
    <n v="83"/>
    <n v="0"/>
    <n v="247.61"/>
    <n v="133.82"/>
    <m/>
    <n v="206.6366721862413"/>
    <n v="163.46091505405056"/>
    <n v="0"/>
    <n v="2832252.0719900001"/>
    <n v="1530681.20138"/>
    <n v="0"/>
    <n v="2363584.4390315427"/>
    <n v="1869724.6288567348"/>
  </r>
  <r>
    <s v="Sistema Isolado - Regular"/>
    <x v="5"/>
    <x v="4"/>
    <x v="8"/>
    <x v="9"/>
    <x v="0"/>
    <x v="0"/>
    <x v="1"/>
    <x v="3"/>
    <n v="0"/>
    <n v="0"/>
    <n v="5358.1279999999997"/>
    <n v="5358.1279999999997"/>
    <n v="5358.1279999999997"/>
    <n v="5358.1279999999997"/>
    <n v="243"/>
    <x v="1"/>
    <n v="0"/>
    <n v="0"/>
    <n v="68"/>
    <n v="83"/>
    <n v="0"/>
    <n v="247.61"/>
    <n v="133.82"/>
    <m/>
    <n v="206.6366721862413"/>
    <n v="163.46091505405056"/>
    <n v="0"/>
    <n v="1326726.0740799999"/>
    <n v="717024.68895999994"/>
    <n v="0"/>
    <n v="1107185.7390679207"/>
    <n v="875844.50585672981"/>
  </r>
  <r>
    <s v="Regular"/>
    <x v="5"/>
    <x v="4"/>
    <x v="8"/>
    <x v="9"/>
    <x v="0"/>
    <x v="0"/>
    <x v="1"/>
    <x v="4"/>
    <n v="0"/>
    <n v="0"/>
    <n v="10497.264999999999"/>
    <n v="10497.264999999999"/>
    <n v="10497.264999999999"/>
    <n v="10497.264999999999"/>
    <n v="422"/>
    <x v="1"/>
    <n v="0"/>
    <n v="0"/>
    <n v="68"/>
    <n v="83"/>
    <n v="0"/>
    <n v="247.61"/>
    <n v="133.82"/>
    <m/>
    <n v="206.6366721862413"/>
    <n v="163.46091505405056"/>
    <n v="0"/>
    <n v="2599227.7866500001"/>
    <n v="1404744.0022999998"/>
    <n v="0"/>
    <n v="2169119.9066571039"/>
    <n v="1715892.5424648579"/>
  </r>
  <r>
    <s v="Refaturamento - Regular"/>
    <x v="5"/>
    <x v="4"/>
    <x v="8"/>
    <x v="9"/>
    <x v="0"/>
    <x v="0"/>
    <x v="1"/>
    <x v="4"/>
    <n v="0"/>
    <n v="0"/>
    <n v="-1195.78"/>
    <n v="-1195.78"/>
    <n v="-1195.78"/>
    <n v="-1195.78"/>
    <n v="0"/>
    <x v="1"/>
    <n v="0"/>
    <n v="0"/>
    <n v="68"/>
    <n v="83"/>
    <n v="0"/>
    <n v="247.61"/>
    <n v="133.82"/>
    <m/>
    <n v="206.6366721862413"/>
    <n v="163.46091505405056"/>
    <n v="0"/>
    <n v="-296087.0858"/>
    <n v="-160019.27959999998"/>
    <n v="0"/>
    <n v="-247091.99986686363"/>
    <n v="-195463.29300333257"/>
  </r>
  <r>
    <s v="Sistema Isolado - Regular"/>
    <x v="5"/>
    <x v="4"/>
    <x v="8"/>
    <x v="9"/>
    <x v="0"/>
    <x v="0"/>
    <x v="1"/>
    <x v="4"/>
    <n v="0"/>
    <n v="0"/>
    <n v="5956.5889999999999"/>
    <n v="5956.5889999999999"/>
    <n v="5956.5889999999999"/>
    <n v="5956.5889999999999"/>
    <n v="248"/>
    <x v="1"/>
    <n v="0"/>
    <n v="0"/>
    <n v="68"/>
    <n v="83"/>
    <n v="0"/>
    <n v="247.61"/>
    <n v="133.82"/>
    <m/>
    <n v="206.6366721862413"/>
    <n v="163.46091505405056"/>
    <n v="0"/>
    <n v="1474911.00229"/>
    <n v="797110.73997999995"/>
    <n v="0"/>
    <n v="1230849.7285411709"/>
    <n v="973669.48854089191"/>
  </r>
  <r>
    <s v="Regular"/>
    <x v="5"/>
    <x v="4"/>
    <x v="8"/>
    <x v="9"/>
    <x v="0"/>
    <x v="0"/>
    <x v="1"/>
    <x v="5"/>
    <n v="0"/>
    <n v="0"/>
    <n v="10336.496999999999"/>
    <n v="10336.496999999999"/>
    <n v="10336.496999999999"/>
    <n v="10336.496999999999"/>
    <n v="427"/>
    <x v="1"/>
    <n v="0"/>
    <n v="0"/>
    <n v="68"/>
    <n v="83"/>
    <n v="0"/>
    <n v="247.61"/>
    <n v="133.82"/>
    <m/>
    <n v="206.6366721862413"/>
    <n v="163.46091505405056"/>
    <n v="0"/>
    <n v="2559420.0221699998"/>
    <n v="1383230.0285399999"/>
    <n v="0"/>
    <n v="2135899.3421430667"/>
    <n v="1689613.2580734484"/>
  </r>
  <r>
    <s v="Refaturamento - Regular"/>
    <x v="5"/>
    <x v="4"/>
    <x v="8"/>
    <x v="9"/>
    <x v="0"/>
    <x v="0"/>
    <x v="1"/>
    <x v="5"/>
    <n v="0"/>
    <n v="0"/>
    <n v="-0.63600000000000001"/>
    <n v="-0.63600000000000001"/>
    <n v="-0.63600000000000001"/>
    <n v="-0.63600000000000001"/>
    <n v="0"/>
    <x v="1"/>
    <n v="0"/>
    <n v="0"/>
    <n v="68"/>
    <n v="83"/>
    <n v="0"/>
    <n v="247.61"/>
    <n v="133.82"/>
    <m/>
    <n v="206.6366721862413"/>
    <n v="163.46091505405056"/>
    <n v="0"/>
    <n v="-157.47996000000001"/>
    <n v="-85.109520000000003"/>
    <n v="0"/>
    <n v="-131.42092351044946"/>
    <n v="-103.96114197437616"/>
  </r>
  <r>
    <s v="Sistema Isolado - Regular"/>
    <x v="5"/>
    <x v="4"/>
    <x v="8"/>
    <x v="9"/>
    <x v="0"/>
    <x v="0"/>
    <x v="1"/>
    <x v="5"/>
    <n v="0"/>
    <n v="0"/>
    <n v="5780.54"/>
    <n v="5780.54"/>
    <n v="5780.54"/>
    <n v="5780.54"/>
    <n v="269"/>
    <x v="1"/>
    <n v="0"/>
    <n v="0"/>
    <n v="68"/>
    <n v="83"/>
    <n v="0"/>
    <n v="247.61"/>
    <n v="133.82"/>
    <m/>
    <n v="206.6366721862413"/>
    <n v="163.46091505405056"/>
    <n v="0"/>
    <n v="1431319.5094000001"/>
    <n v="773551.8628"/>
    <n v="0"/>
    <n v="1194471.5490394554"/>
    <n v="944892.35790654144"/>
  </r>
  <r>
    <s v="Regular"/>
    <x v="5"/>
    <x v="4"/>
    <x v="8"/>
    <x v="9"/>
    <x v="0"/>
    <x v="0"/>
    <x v="1"/>
    <x v="6"/>
    <n v="0"/>
    <n v="0"/>
    <n v="10680.907999999999"/>
    <n v="10680.907999999999"/>
    <n v="10680.907999999999"/>
    <n v="10680.907999999999"/>
    <n v="427"/>
    <x v="1"/>
    <n v="0"/>
    <n v="0"/>
    <n v="68"/>
    <n v="83"/>
    <n v="0"/>
    <n v="247.61"/>
    <n v="133.82"/>
    <m/>
    <n v="206.6366721862413"/>
    <n v="163.46091505405056"/>
    <n v="0"/>
    <n v="2644699.6298799999"/>
    <n v="1429319.1085599998"/>
    <n v="0"/>
    <n v="2207067.2850474021"/>
    <n v="1745910.995288129"/>
  </r>
  <r>
    <s v="Sistema Isolado - Regular"/>
    <x v="5"/>
    <x v="4"/>
    <x v="8"/>
    <x v="9"/>
    <x v="0"/>
    <x v="0"/>
    <x v="1"/>
    <x v="6"/>
    <n v="0"/>
    <n v="0"/>
    <n v="6233.6149999999998"/>
    <n v="6233.6149999999998"/>
    <n v="6233.6149999999998"/>
    <n v="6233.6149999999998"/>
    <n v="287"/>
    <x v="1"/>
    <n v="0"/>
    <n v="0"/>
    <n v="68"/>
    <n v="83"/>
    <n v="0"/>
    <n v="247.61"/>
    <n v="133.82"/>
    <m/>
    <n v="206.6366721862413"/>
    <n v="163.46091505405056"/>
    <n v="0"/>
    <n v="1543505.4101500001"/>
    <n v="834182.35929999989"/>
    <n v="0"/>
    <n v="1288093.4592902365"/>
    <n v="1018952.4119946554"/>
  </r>
  <r>
    <s v="Sistema Isolado - Refaturamento"/>
    <x v="5"/>
    <x v="4"/>
    <x v="8"/>
    <x v="9"/>
    <x v="0"/>
    <x v="0"/>
    <x v="1"/>
    <x v="6"/>
    <n v="0"/>
    <n v="0"/>
    <n v="18.949000000000002"/>
    <n v="18.949000000000002"/>
    <n v="18.949000000000002"/>
    <n v="18.949000000000002"/>
    <n v="0"/>
    <x v="1"/>
    <n v="0"/>
    <n v="0"/>
    <n v="68"/>
    <n v="83"/>
    <n v="0"/>
    <n v="247.61"/>
    <n v="133.82"/>
    <m/>
    <n v="206.6366721862413"/>
    <n v="163.46091505405056"/>
    <n v="0"/>
    <n v="4691.9618900000005"/>
    <n v="2535.7551800000001"/>
    <n v="0"/>
    <n v="3915.5583012570869"/>
    <n v="3097.4208793592043"/>
  </r>
  <r>
    <s v="Regular"/>
    <x v="5"/>
    <x v="4"/>
    <x v="8"/>
    <x v="9"/>
    <x v="0"/>
    <x v="0"/>
    <x v="1"/>
    <x v="7"/>
    <n v="0"/>
    <n v="0"/>
    <n v="10286.813"/>
    <n v="10286.813"/>
    <n v="10286.813"/>
    <n v="10286.813"/>
    <n v="426"/>
    <x v="1"/>
    <n v="0"/>
    <n v="0"/>
    <n v="68"/>
    <n v="83"/>
    <n v="0"/>
    <n v="247.61"/>
    <n v="133.82"/>
    <m/>
    <n v="206.6366721862413"/>
    <n v="163.46091505405056"/>
    <n v="0"/>
    <n v="2547117.7669300004"/>
    <n v="1376581.3156599998"/>
    <n v="0"/>
    <n v="2125632.8057221654"/>
    <n v="1681491.8659699031"/>
  </r>
  <r>
    <s v="Sistema Isolado - Regular"/>
    <x v="5"/>
    <x v="4"/>
    <x v="8"/>
    <x v="9"/>
    <x v="0"/>
    <x v="0"/>
    <x v="1"/>
    <x v="7"/>
    <n v="0"/>
    <n v="0"/>
    <n v="6110.7489999999998"/>
    <n v="6110.7489999999998"/>
    <n v="6110.7489999999998"/>
    <n v="6110.7489999999998"/>
    <n v="286"/>
    <x v="1"/>
    <n v="0"/>
    <n v="0"/>
    <n v="68"/>
    <n v="83"/>
    <n v="0"/>
    <n v="247.61"/>
    <n v="133.82"/>
    <m/>
    <n v="206.6366721862413"/>
    <n v="163.46091505405056"/>
    <n v="0"/>
    <n v="1513082.5598899999"/>
    <n v="817740.43117999996"/>
    <n v="0"/>
    <n v="1262704.8379254017"/>
    <n v="998868.6232056244"/>
  </r>
  <r>
    <s v="Regular"/>
    <x v="5"/>
    <x v="4"/>
    <x v="8"/>
    <x v="9"/>
    <x v="0"/>
    <x v="0"/>
    <x v="1"/>
    <x v="8"/>
    <n v="0"/>
    <n v="0"/>
    <n v="10799.734"/>
    <n v="10799.734"/>
    <n v="10799.734"/>
    <n v="10799.734"/>
    <n v="427"/>
    <x v="1"/>
    <n v="0"/>
    <n v="0"/>
    <n v="68"/>
    <n v="83"/>
    <n v="0"/>
    <n v="247.61"/>
    <n v="133.82"/>
    <m/>
    <n v="206.6366721862413"/>
    <n v="163.46091505405056"/>
    <n v="0"/>
    <n v="2674122.1357400003"/>
    <n v="1445220.4038799999"/>
    <n v="0"/>
    <n v="2231621.0942566046"/>
    <n v="1765334.4019803416"/>
  </r>
  <r>
    <s v="Sistema Isolado - Regular"/>
    <x v="5"/>
    <x v="4"/>
    <x v="8"/>
    <x v="9"/>
    <x v="0"/>
    <x v="0"/>
    <x v="1"/>
    <x v="8"/>
    <n v="0"/>
    <n v="0"/>
    <n v="6332.259"/>
    <n v="6332.259"/>
    <n v="6332.259"/>
    <n v="6332.259"/>
    <n v="286"/>
    <x v="1"/>
    <n v="0"/>
    <n v="0"/>
    <n v="68"/>
    <n v="83"/>
    <n v="0"/>
    <n v="247.61"/>
    <n v="133.82"/>
    <m/>
    <n v="206.6366721862413"/>
    <n v="163.46091505405056"/>
    <n v="0"/>
    <n v="1567930.65099"/>
    <n v="847382.89937999996"/>
    <n v="0"/>
    <n v="1308476.9271813761"/>
    <n v="1035076.8504992472"/>
  </r>
  <r>
    <s v="Regular"/>
    <x v="5"/>
    <x v="4"/>
    <x v="8"/>
    <x v="9"/>
    <x v="0"/>
    <x v="0"/>
    <x v="1"/>
    <x v="9"/>
    <n v="0"/>
    <n v="0"/>
    <n v="10453.691999999999"/>
    <n v="10453.691999999999"/>
    <n v="10453.691999999999"/>
    <n v="10453.691999999999"/>
    <n v="426"/>
    <x v="1"/>
    <n v="0"/>
    <n v="0"/>
    <n v="68"/>
    <n v="83"/>
    <n v="0"/>
    <n v="247.61"/>
    <n v="133.82"/>
    <m/>
    <n v="206.6366721862413"/>
    <n v="163.46091505405056"/>
    <n v="0"/>
    <n v="2588438.67612"/>
    <n v="1398913.0634399997"/>
    <n v="0"/>
    <n v="2160116.1269399328"/>
    <n v="1708770.0600132078"/>
  </r>
  <r>
    <s v="Sistema Isolado - Regular"/>
    <x v="5"/>
    <x v="4"/>
    <x v="8"/>
    <x v="9"/>
    <x v="0"/>
    <x v="0"/>
    <x v="1"/>
    <x v="9"/>
    <n v="0"/>
    <n v="0"/>
    <n v="6326.9110000000001"/>
    <n v="6326.9110000000001"/>
    <n v="6326.9110000000001"/>
    <n v="6326.9110000000001"/>
    <n v="286"/>
    <x v="1"/>
    <n v="0"/>
    <n v="0"/>
    <n v="68"/>
    <n v="83"/>
    <n v="0"/>
    <n v="247.61"/>
    <n v="133.82"/>
    <m/>
    <n v="206.6366721862413"/>
    <n v="163.46091505405056"/>
    <n v="0"/>
    <n v="1566606.4327100001"/>
    <n v="846667.23002000002"/>
    <n v="0"/>
    <n v="1307371.8342585242"/>
    <n v="1034202.6615255381"/>
  </r>
  <r>
    <s v="Sistema Isolado - Refaturamento"/>
    <x v="5"/>
    <x v="4"/>
    <x v="8"/>
    <x v="9"/>
    <x v="0"/>
    <x v="0"/>
    <x v="1"/>
    <x v="9"/>
    <n v="0"/>
    <n v="0"/>
    <n v="-0.313"/>
    <n v="-0.313"/>
    <n v="-0.313"/>
    <n v="-0.313"/>
    <n v="0"/>
    <x v="1"/>
    <n v="0"/>
    <n v="0"/>
    <n v="68"/>
    <n v="83"/>
    <n v="0"/>
    <n v="247.61"/>
    <n v="133.82"/>
    <m/>
    <n v="206.6366721862413"/>
    <n v="163.46091505405056"/>
    <n v="0"/>
    <n v="-77.501930000000002"/>
    <n v="-41.885660000000001"/>
    <n v="0"/>
    <n v="-64.677278394293523"/>
    <n v="-51.163266411917824"/>
  </r>
  <r>
    <s v="Regular"/>
    <x v="5"/>
    <x v="4"/>
    <x v="8"/>
    <x v="9"/>
    <x v="0"/>
    <x v="0"/>
    <x v="1"/>
    <x v="10"/>
    <n v="0"/>
    <n v="0"/>
    <n v="8696.3729999999996"/>
    <n v="8696.3729999999996"/>
    <n v="8696.3729999999996"/>
    <n v="8696.3729999999996"/>
    <n v="427"/>
    <x v="1"/>
    <n v="0"/>
    <n v="0"/>
    <n v="68"/>
    <n v="83"/>
    <n v="0"/>
    <n v="247.61"/>
    <n v="133.82"/>
    <m/>
    <n v="206.6366721862413"/>
    <n v="163.46091505405056"/>
    <n v="0"/>
    <n v="2153308.9185299999"/>
    <n v="1163748.6348599999"/>
    <n v="0"/>
    <n v="1796989.5768102796"/>
    <n v="1421517.0882313387"/>
  </r>
  <r>
    <s v="Refaturamento - Regular"/>
    <x v="5"/>
    <x v="4"/>
    <x v="8"/>
    <x v="9"/>
    <x v="0"/>
    <x v="0"/>
    <x v="1"/>
    <x v="10"/>
    <n v="0"/>
    <n v="0"/>
    <n v="-12.782"/>
    <n v="-12.782"/>
    <n v="-12.782"/>
    <n v="-12.782"/>
    <n v="0"/>
    <x v="1"/>
    <n v="0"/>
    <n v="0"/>
    <n v="68"/>
    <n v="83"/>
    <n v="0"/>
    <n v="247.61"/>
    <n v="133.82"/>
    <m/>
    <n v="206.6366721862413"/>
    <n v="163.46091505405056"/>
    <n v="0"/>
    <n v="-3164.95102"/>
    <n v="-1710.4872399999999"/>
    <n v="0"/>
    <n v="-2641.2299438845362"/>
    <n v="-2089.3574162208743"/>
  </r>
  <r>
    <s v="Sistema Isolado - Regular"/>
    <x v="5"/>
    <x v="4"/>
    <x v="8"/>
    <x v="9"/>
    <x v="0"/>
    <x v="0"/>
    <x v="1"/>
    <x v="10"/>
    <n v="0"/>
    <n v="0"/>
    <n v="6105.53"/>
    <n v="6105.53"/>
    <n v="6105.53"/>
    <n v="6105.53"/>
    <n v="286"/>
    <x v="1"/>
    <n v="0"/>
    <n v="0"/>
    <n v="68"/>
    <n v="83"/>
    <n v="0"/>
    <n v="247.61"/>
    <n v="133.82"/>
    <m/>
    <n v="206.6366721862413"/>
    <n v="163.46091505405056"/>
    <n v="0"/>
    <n v="1511790.2833"/>
    <n v="817042.02459999989"/>
    <n v="0"/>
    <n v="1261626.4011332619"/>
    <n v="998015.52068995731"/>
  </r>
  <r>
    <s v="PROJETADO"/>
    <x v="5"/>
    <x v="4"/>
    <x v="8"/>
    <x v="9"/>
    <x v="0"/>
    <x v="0"/>
    <x v="1"/>
    <x v="11"/>
    <n v="0"/>
    <n v="0"/>
    <n v="8696.3729999999996"/>
    <n v="8696.3729999999996"/>
    <n v="8696.3729999999996"/>
    <n v="8696.3729999999996"/>
    <n v="427"/>
    <x v="1"/>
    <n v="0"/>
    <n v="0"/>
    <n v="68"/>
    <n v="83"/>
    <n v="0"/>
    <n v="247.61"/>
    <n v="133.82"/>
    <m/>
    <n v="206.6366721862413"/>
    <n v="163.46091505405056"/>
    <n v="0"/>
    <n v="2153308.9185299999"/>
    <n v="1163748.6348599999"/>
    <n v="0"/>
    <n v="1796989.5768102796"/>
    <n v="1421517.0882313387"/>
  </r>
  <r>
    <s v="PROJETADO"/>
    <x v="5"/>
    <x v="4"/>
    <x v="8"/>
    <x v="9"/>
    <x v="0"/>
    <x v="0"/>
    <x v="1"/>
    <x v="11"/>
    <n v="0"/>
    <n v="0"/>
    <n v="-12.782"/>
    <n v="-12.782"/>
    <n v="-12.782"/>
    <n v="-12.782"/>
    <n v="0"/>
    <x v="1"/>
    <n v="0"/>
    <n v="0"/>
    <n v="68"/>
    <n v="83"/>
    <n v="0"/>
    <n v="247.61"/>
    <n v="133.82"/>
    <m/>
    <n v="206.6366721862413"/>
    <n v="163.46091505405056"/>
    <n v="0"/>
    <n v="-3164.95102"/>
    <n v="-1710.4872399999999"/>
    <n v="0"/>
    <n v="-2641.2299438845362"/>
    <n v="-2089.3574162208743"/>
  </r>
  <r>
    <s v="PROJETADO"/>
    <x v="5"/>
    <x v="4"/>
    <x v="8"/>
    <x v="9"/>
    <x v="0"/>
    <x v="0"/>
    <x v="1"/>
    <x v="11"/>
    <n v="0"/>
    <n v="0"/>
    <n v="6105.53"/>
    <n v="6105.53"/>
    <n v="6105.53"/>
    <n v="6105.53"/>
    <n v="286"/>
    <x v="1"/>
    <n v="0"/>
    <n v="0"/>
    <n v="68"/>
    <n v="83"/>
    <n v="0"/>
    <n v="247.61"/>
    <n v="133.82"/>
    <m/>
    <n v="206.6366721862413"/>
    <n v="163.46091505405056"/>
    <n v="0"/>
    <n v="1511790.2833"/>
    <n v="817042.02459999989"/>
    <n v="0"/>
    <n v="1261626.4011332619"/>
    <n v="998015.520689957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4">
  <r>
    <s v="Regular"/>
    <x v="0"/>
    <x v="0"/>
    <x v="0"/>
    <x v="0"/>
    <x v="0"/>
    <x v="0"/>
    <x v="0"/>
    <x v="0"/>
    <n v="23256"/>
    <n v="12241.9584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64982.845440000005"/>
    <n v="0"/>
    <n v="71369.178043405613"/>
    <n v="0"/>
    <x v="0"/>
  </r>
  <r>
    <s v="Regular"/>
    <x v="0"/>
    <x v="0"/>
    <x v="0"/>
    <x v="0"/>
    <x v="0"/>
    <x v="0"/>
    <x v="0"/>
    <x v="1"/>
    <n v="23851"/>
    <n v="14603.9673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54557.49293"/>
    <n v="0"/>
    <n v="59919.250998606505"/>
    <n v="0"/>
    <x v="0"/>
  </r>
  <r>
    <s v="Regular"/>
    <x v="0"/>
    <x v="0"/>
    <x v="0"/>
    <x v="0"/>
    <x v="0"/>
    <x v="0"/>
    <x v="0"/>
    <x v="2"/>
    <n v="23851"/>
    <n v="14603.9673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54557.49293"/>
    <n v="0"/>
    <n v="59919.250998606505"/>
    <n v="0"/>
    <x v="0"/>
  </r>
  <r>
    <s v="Regular"/>
    <x v="0"/>
    <x v="0"/>
    <x v="0"/>
    <x v="0"/>
    <x v="0"/>
    <x v="0"/>
    <x v="0"/>
    <x v="3"/>
    <n v="23959"/>
    <n v="14670.0957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54804.535370000005"/>
    <n v="0"/>
    <n v="60190.572079812729"/>
    <n v="0"/>
    <x v="0"/>
  </r>
  <r>
    <s v="Regular"/>
    <x v="0"/>
    <x v="0"/>
    <x v="0"/>
    <x v="0"/>
    <x v="0"/>
    <x v="0"/>
    <x v="0"/>
    <x v="4"/>
    <n v="23851"/>
    <n v="14603.9673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54557.49293"/>
    <n v="0"/>
    <n v="59919.250998606505"/>
    <n v="0"/>
    <x v="0"/>
  </r>
  <r>
    <s v="Regular"/>
    <x v="0"/>
    <x v="0"/>
    <x v="0"/>
    <x v="0"/>
    <x v="0"/>
    <x v="0"/>
    <x v="0"/>
    <x v="5"/>
    <n v="23851"/>
    <n v="14603.9673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54557.49293"/>
    <n v="0"/>
    <n v="59919.250998606505"/>
    <n v="0"/>
    <x v="0"/>
  </r>
  <r>
    <s v="Regular"/>
    <x v="0"/>
    <x v="0"/>
    <x v="0"/>
    <x v="0"/>
    <x v="0"/>
    <x v="0"/>
    <x v="0"/>
    <x v="6"/>
    <n v="23851"/>
    <n v="14603.9673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54557.49293"/>
    <n v="0"/>
    <n v="59919.250998606505"/>
    <n v="0"/>
    <x v="0"/>
  </r>
  <r>
    <s v="Regular"/>
    <x v="0"/>
    <x v="0"/>
    <x v="0"/>
    <x v="0"/>
    <x v="0"/>
    <x v="0"/>
    <x v="0"/>
    <x v="7"/>
    <n v="23851"/>
    <n v="14603.9673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54557.49293"/>
    <n v="0"/>
    <n v="59919.250998606505"/>
    <n v="0"/>
    <x v="0"/>
  </r>
  <r>
    <s v="Regular"/>
    <x v="0"/>
    <x v="0"/>
    <x v="0"/>
    <x v="0"/>
    <x v="0"/>
    <x v="0"/>
    <x v="0"/>
    <x v="8"/>
    <n v="23851"/>
    <n v="14603.9673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54557.49293"/>
    <n v="0"/>
    <n v="59919.250998606505"/>
    <n v="0"/>
    <x v="0"/>
  </r>
  <r>
    <s v="Regular"/>
    <x v="0"/>
    <x v="0"/>
    <x v="0"/>
    <x v="0"/>
    <x v="0"/>
    <x v="0"/>
    <x v="0"/>
    <x v="9"/>
    <n v="26750"/>
    <n v="16756.2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58963.42"/>
    <n v="0"/>
    <n v="64758.180278725922"/>
    <n v="0"/>
    <x v="0"/>
  </r>
  <r>
    <s v="Regular"/>
    <x v="0"/>
    <x v="0"/>
    <x v="0"/>
    <x v="0"/>
    <x v="0"/>
    <x v="0"/>
    <x v="0"/>
    <x v="10"/>
    <n v="26732"/>
    <n v="16084.644399999999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62819.398040000007"/>
    <n v="0"/>
    <n v="68993.113073755943"/>
    <n v="0"/>
    <x v="0"/>
  </r>
  <r>
    <s v="PROJETADO"/>
    <x v="0"/>
    <x v="0"/>
    <x v="0"/>
    <x v="0"/>
    <x v="0"/>
    <x v="0"/>
    <x v="0"/>
    <x v="11"/>
    <n v="26732"/>
    <n v="16084.644399999999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62819.398040000007"/>
    <n v="0"/>
    <n v="68993.113073755943"/>
    <n v="0"/>
    <x v="0"/>
  </r>
  <r>
    <s v="Regular"/>
    <x v="0"/>
    <x v="0"/>
    <x v="0"/>
    <x v="0"/>
    <x v="0"/>
    <x v="0"/>
    <x v="1"/>
    <x v="0"/>
    <n v="0"/>
    <n v="0"/>
    <n v="6813.7240000000002"/>
    <n v="6813.7240000000002"/>
    <n v="0"/>
    <n v="0"/>
    <n v="9"/>
    <s v="LIVRE"/>
    <n v="0"/>
    <n v="0"/>
    <n v="25"/>
    <n v="0"/>
    <n v="0"/>
    <n v="52.77"/>
    <n v="0"/>
    <m/>
    <n v="40.035165075358321"/>
    <m/>
    <n v="0"/>
    <n v="0"/>
    <n v="0"/>
    <n v="0"/>
    <x v="0"/>
  </r>
  <r>
    <s v="Regular"/>
    <x v="0"/>
    <x v="0"/>
    <x v="0"/>
    <x v="0"/>
    <x v="0"/>
    <x v="0"/>
    <x v="1"/>
    <x v="1"/>
    <n v="0"/>
    <n v="0"/>
    <n v="6483.4480000000003"/>
    <n v="6483.4480000000003"/>
    <n v="0"/>
    <n v="0"/>
    <n v="9"/>
    <s v="LIVRE"/>
    <n v="0"/>
    <n v="0"/>
    <n v="25"/>
    <n v="0"/>
    <n v="0"/>
    <n v="52.77"/>
    <n v="0"/>
    <m/>
    <n v="40.035165075358321"/>
    <m/>
    <n v="0"/>
    <n v="0"/>
    <n v="0"/>
    <n v="0"/>
    <x v="0"/>
  </r>
  <r>
    <s v="Regular"/>
    <x v="0"/>
    <x v="0"/>
    <x v="0"/>
    <x v="0"/>
    <x v="0"/>
    <x v="0"/>
    <x v="1"/>
    <x v="2"/>
    <n v="0"/>
    <n v="0"/>
    <n v="4973.5590000000002"/>
    <n v="4973.5590000000002"/>
    <n v="0"/>
    <n v="0"/>
    <n v="9"/>
    <s v="LIVRE"/>
    <n v="0"/>
    <n v="0"/>
    <n v="25"/>
    <n v="0"/>
    <n v="0"/>
    <n v="52.77"/>
    <n v="0"/>
    <m/>
    <n v="40.035165075358321"/>
    <m/>
    <n v="0"/>
    <n v="0"/>
    <n v="0"/>
    <n v="0"/>
    <x v="0"/>
  </r>
  <r>
    <s v="Regular"/>
    <x v="0"/>
    <x v="0"/>
    <x v="0"/>
    <x v="0"/>
    <x v="0"/>
    <x v="0"/>
    <x v="1"/>
    <x v="3"/>
    <n v="0"/>
    <n v="0"/>
    <n v="4976.5720000000001"/>
    <n v="4976.5720000000001"/>
    <n v="0"/>
    <n v="0"/>
    <n v="9"/>
    <s v="LIVRE"/>
    <n v="0"/>
    <n v="0"/>
    <n v="25"/>
    <n v="0"/>
    <n v="0"/>
    <n v="52.77"/>
    <n v="0"/>
    <m/>
    <n v="40.035165075358321"/>
    <m/>
    <n v="0"/>
    <n v="0"/>
    <n v="0"/>
    <n v="0"/>
    <x v="0"/>
  </r>
  <r>
    <s v="Regular"/>
    <x v="0"/>
    <x v="0"/>
    <x v="0"/>
    <x v="0"/>
    <x v="0"/>
    <x v="0"/>
    <x v="1"/>
    <x v="4"/>
    <n v="0"/>
    <n v="0"/>
    <n v="6646.13"/>
    <n v="6646.13"/>
    <n v="0"/>
    <n v="0"/>
    <n v="9"/>
    <s v="LIVRE"/>
    <n v="0"/>
    <n v="0"/>
    <n v="25"/>
    <n v="0"/>
    <n v="0"/>
    <n v="52.77"/>
    <n v="0"/>
    <m/>
    <n v="40.035165075358321"/>
    <m/>
    <n v="0"/>
    <n v="0"/>
    <n v="0"/>
    <n v="0"/>
    <x v="0"/>
  </r>
  <r>
    <s v="Regular"/>
    <x v="0"/>
    <x v="0"/>
    <x v="0"/>
    <x v="0"/>
    <x v="0"/>
    <x v="0"/>
    <x v="1"/>
    <x v="5"/>
    <n v="0"/>
    <n v="0"/>
    <n v="6696.0010000000002"/>
    <n v="6696.0010000000002"/>
    <n v="0"/>
    <n v="0"/>
    <n v="9"/>
    <s v="LIVRE"/>
    <n v="0"/>
    <n v="0"/>
    <n v="25"/>
    <n v="0"/>
    <n v="0"/>
    <n v="52.77"/>
    <n v="0"/>
    <m/>
    <n v="40.035165075358321"/>
    <m/>
    <n v="0"/>
    <n v="0"/>
    <n v="0"/>
    <n v="0"/>
    <x v="0"/>
  </r>
  <r>
    <s v="Regular"/>
    <x v="0"/>
    <x v="0"/>
    <x v="0"/>
    <x v="0"/>
    <x v="0"/>
    <x v="0"/>
    <x v="1"/>
    <x v="6"/>
    <n v="0"/>
    <n v="0"/>
    <n v="7155.2470000000003"/>
    <n v="7155.2470000000003"/>
    <n v="0"/>
    <n v="0"/>
    <n v="9"/>
    <s v="LIVRE"/>
    <n v="0"/>
    <n v="0"/>
    <n v="25"/>
    <n v="0"/>
    <n v="0"/>
    <n v="52.77"/>
    <n v="0"/>
    <m/>
    <n v="40.035165075358321"/>
    <m/>
    <n v="0"/>
    <n v="0"/>
    <n v="0"/>
    <n v="0"/>
    <x v="0"/>
  </r>
  <r>
    <s v="Regular"/>
    <x v="0"/>
    <x v="0"/>
    <x v="0"/>
    <x v="0"/>
    <x v="0"/>
    <x v="0"/>
    <x v="1"/>
    <x v="7"/>
    <n v="0"/>
    <n v="0"/>
    <n v="4973.5590000000002"/>
    <n v="4973.5590000000002"/>
    <n v="0"/>
    <n v="0"/>
    <n v="9"/>
    <s v="LIVRE"/>
    <n v="0"/>
    <n v="0"/>
    <n v="25"/>
    <n v="0"/>
    <n v="0"/>
    <n v="52.77"/>
    <n v="0"/>
    <m/>
    <n v="40.035165075358321"/>
    <m/>
    <n v="0"/>
    <n v="0"/>
    <n v="0"/>
    <n v="0"/>
    <x v="0"/>
  </r>
  <r>
    <s v="Regular"/>
    <x v="0"/>
    <x v="0"/>
    <x v="0"/>
    <x v="0"/>
    <x v="0"/>
    <x v="0"/>
    <x v="1"/>
    <x v="8"/>
    <n v="0"/>
    <n v="0"/>
    <n v="6277.7579999999998"/>
    <n v="6277.7579999999998"/>
    <n v="0"/>
    <n v="0"/>
    <n v="9"/>
    <s v="LIVRE"/>
    <n v="0"/>
    <n v="0"/>
    <n v="25"/>
    <n v="0"/>
    <n v="0"/>
    <n v="52.77"/>
    <n v="0"/>
    <m/>
    <n v="40.035165075358321"/>
    <m/>
    <n v="0"/>
    <n v="0"/>
    <n v="0"/>
    <n v="0"/>
    <x v="0"/>
  </r>
  <r>
    <s v="Regular"/>
    <x v="0"/>
    <x v="0"/>
    <x v="0"/>
    <x v="0"/>
    <x v="0"/>
    <x v="0"/>
    <x v="1"/>
    <x v="9"/>
    <n v="0"/>
    <n v="0"/>
    <n v="8817.0329999999994"/>
    <n v="8817.0329999999994"/>
    <n v="0"/>
    <n v="0"/>
    <n v="10"/>
    <s v="LIVRE"/>
    <n v="0"/>
    <n v="0"/>
    <n v="25"/>
    <n v="0"/>
    <n v="0"/>
    <n v="52.77"/>
    <n v="0"/>
    <m/>
    <n v="40.035165075358321"/>
    <m/>
    <n v="0"/>
    <n v="0"/>
    <n v="0"/>
    <n v="0"/>
    <x v="0"/>
  </r>
  <r>
    <s v="Regular"/>
    <x v="0"/>
    <x v="0"/>
    <x v="0"/>
    <x v="0"/>
    <x v="0"/>
    <x v="0"/>
    <x v="1"/>
    <x v="10"/>
    <n v="0"/>
    <n v="0"/>
    <n v="8915.491"/>
    <n v="8915.491"/>
    <n v="0"/>
    <n v="0"/>
    <n v="10"/>
    <s v="LIVRE"/>
    <n v="0"/>
    <n v="0"/>
    <n v="25"/>
    <n v="0"/>
    <n v="0"/>
    <n v="52.77"/>
    <n v="0"/>
    <m/>
    <n v="40.035165075358321"/>
    <m/>
    <n v="0"/>
    <n v="0"/>
    <n v="0"/>
    <n v="0"/>
    <x v="0"/>
  </r>
  <r>
    <s v="PROJETADO"/>
    <x v="0"/>
    <x v="0"/>
    <x v="0"/>
    <x v="0"/>
    <x v="0"/>
    <x v="0"/>
    <x v="1"/>
    <x v="11"/>
    <n v="0"/>
    <n v="0"/>
    <n v="8915.491"/>
    <n v="8915.491"/>
    <n v="0"/>
    <n v="0"/>
    <n v="10"/>
    <s v="LIVRE"/>
    <n v="0"/>
    <n v="0"/>
    <n v="25"/>
    <n v="0"/>
    <n v="0"/>
    <n v="52.77"/>
    <n v="0"/>
    <m/>
    <n v="40.035165075358321"/>
    <m/>
    <n v="0"/>
    <n v="0"/>
    <n v="0"/>
    <n v="0"/>
    <x v="0"/>
  </r>
  <r>
    <s v="Regular"/>
    <x v="0"/>
    <x v="0"/>
    <x v="0"/>
    <x v="0"/>
    <x v="0"/>
    <x v="0"/>
    <x v="2"/>
    <x v="0"/>
    <n v="20434"/>
    <n v="10756.4576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70065.406975999998"/>
    <n v="0"/>
    <n v="76968.908758343314"/>
    <n v="0"/>
    <x v="0"/>
  </r>
  <r>
    <s v="Regular"/>
    <x v="0"/>
    <x v="0"/>
    <x v="0"/>
    <x v="0"/>
    <x v="0"/>
    <x v="0"/>
    <x v="2"/>
    <x v="1"/>
    <n v="21254"/>
    <n v="13013.824199999999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59658.872792000009"/>
    <n v="0"/>
    <n v="65537.025113205251"/>
    <n v="0"/>
    <x v="0"/>
  </r>
  <r>
    <s v="Regular"/>
    <x v="0"/>
    <x v="0"/>
    <x v="0"/>
    <x v="0"/>
    <x v="0"/>
    <x v="0"/>
    <x v="2"/>
    <x v="2"/>
    <n v="21228"/>
    <n v="12997.904399999999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59585.892144000005"/>
    <n v="0"/>
    <n v="65456.85372650424"/>
    <n v="0"/>
    <x v="0"/>
  </r>
  <r>
    <s v="Regular"/>
    <x v="0"/>
    <x v="0"/>
    <x v="0"/>
    <x v="0"/>
    <x v="0"/>
    <x v="0"/>
    <x v="2"/>
    <x v="3"/>
    <n v="21228"/>
    <n v="12997.904399999999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59585.892144000005"/>
    <n v="0"/>
    <n v="65456.85372650424"/>
    <n v="0"/>
    <x v="0"/>
  </r>
  <r>
    <s v="Regular"/>
    <x v="0"/>
    <x v="0"/>
    <x v="0"/>
    <x v="0"/>
    <x v="0"/>
    <x v="0"/>
    <x v="2"/>
    <x v="4"/>
    <n v="21228"/>
    <n v="12997.904399999999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59585.892144000005"/>
    <n v="0"/>
    <n v="65456.85372650424"/>
    <n v="0"/>
    <x v="0"/>
  </r>
  <r>
    <s v="Regular"/>
    <x v="0"/>
    <x v="0"/>
    <x v="0"/>
    <x v="0"/>
    <x v="0"/>
    <x v="0"/>
    <x v="2"/>
    <x v="5"/>
    <n v="21228"/>
    <n v="12997.904399999999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59585.892144000005"/>
    <n v="0"/>
    <n v="65456.85372650424"/>
    <n v="0"/>
    <x v="0"/>
  </r>
  <r>
    <s v="Regular"/>
    <x v="0"/>
    <x v="0"/>
    <x v="0"/>
    <x v="0"/>
    <x v="0"/>
    <x v="0"/>
    <x v="2"/>
    <x v="6"/>
    <n v="21228"/>
    <n v="12997.904399999999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59585.892144000005"/>
    <n v="0"/>
    <n v="65456.85372650424"/>
    <n v="0"/>
    <x v="0"/>
  </r>
  <r>
    <s v="Regular"/>
    <x v="0"/>
    <x v="0"/>
    <x v="0"/>
    <x v="0"/>
    <x v="0"/>
    <x v="0"/>
    <x v="2"/>
    <x v="7"/>
    <n v="21228"/>
    <n v="12997.904399999999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59585.892144000005"/>
    <n v="0"/>
    <n v="65456.85372650424"/>
    <n v="0"/>
    <x v="0"/>
  </r>
  <r>
    <s v="Regular"/>
    <x v="0"/>
    <x v="0"/>
    <x v="0"/>
    <x v="0"/>
    <x v="0"/>
    <x v="0"/>
    <x v="2"/>
    <x v="8"/>
    <n v="21228"/>
    <n v="12997.904399999999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59585.892144000005"/>
    <n v="0"/>
    <n v="65456.85372650424"/>
    <n v="0"/>
    <x v="0"/>
  </r>
  <r>
    <s v="Regular"/>
    <x v="0"/>
    <x v="0"/>
    <x v="0"/>
    <x v="0"/>
    <x v="0"/>
    <x v="0"/>
    <x v="2"/>
    <x v="9"/>
    <n v="23872"/>
    <n v="14953.4208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64570.513408000006"/>
    <n v="0"/>
    <n v="70932.606681098958"/>
    <n v="0"/>
    <x v="0"/>
  </r>
  <r>
    <s v="Regular"/>
    <x v="0"/>
    <x v="0"/>
    <x v="0"/>
    <x v="0"/>
    <x v="0"/>
    <x v="0"/>
    <x v="2"/>
    <x v="10"/>
    <n v="24156"/>
    <n v="14534.665199999999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69658.463952000006"/>
    <n v="0"/>
    <n v="76521.869886581262"/>
    <n v="0"/>
    <x v="0"/>
  </r>
  <r>
    <s v="PROJETADO"/>
    <x v="0"/>
    <x v="0"/>
    <x v="0"/>
    <x v="0"/>
    <x v="0"/>
    <x v="0"/>
    <x v="2"/>
    <x v="11"/>
    <n v="24156"/>
    <n v="14534.665199999999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69658.463952000006"/>
    <n v="0"/>
    <n v="76521.869886581262"/>
    <n v="0"/>
    <x v="0"/>
  </r>
  <r>
    <s v="Regular"/>
    <x v="0"/>
    <x v="0"/>
    <x v="1"/>
    <x v="1"/>
    <x v="1"/>
    <x v="0"/>
    <x v="0"/>
    <x v="0"/>
    <n v="15217"/>
    <n v="13847.470000000001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8080.2269999999935"/>
    <n v="0"/>
    <n v="8874.3291477839703"/>
    <n v="0"/>
    <x v="1"/>
  </r>
  <r>
    <s v="Regular"/>
    <x v="0"/>
    <x v="0"/>
    <x v="1"/>
    <x v="1"/>
    <x v="1"/>
    <x v="0"/>
    <x v="0"/>
    <x v="1"/>
    <n v="15621"/>
    <n v="14215.11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8294.7509999999966"/>
    <n v="0"/>
    <n v="9109.9359675056494"/>
    <n v="0"/>
    <x v="1"/>
  </r>
  <r>
    <s v="Regular"/>
    <x v="0"/>
    <x v="0"/>
    <x v="1"/>
    <x v="1"/>
    <x v="1"/>
    <x v="0"/>
    <x v="0"/>
    <x v="2"/>
    <n v="14839"/>
    <n v="13503.49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7879.5090000000018"/>
    <n v="0"/>
    <n v="8653.885143192907"/>
    <n v="0"/>
    <x v="1"/>
  </r>
  <r>
    <s v="Regular"/>
    <x v="0"/>
    <x v="0"/>
    <x v="1"/>
    <x v="1"/>
    <x v="1"/>
    <x v="0"/>
    <x v="0"/>
    <x v="3"/>
    <n v="14839"/>
    <n v="13503.49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7879.5090000000018"/>
    <n v="0"/>
    <n v="8653.885143192907"/>
    <n v="0"/>
    <x v="1"/>
  </r>
  <r>
    <s v="Regular"/>
    <x v="0"/>
    <x v="0"/>
    <x v="1"/>
    <x v="1"/>
    <x v="1"/>
    <x v="0"/>
    <x v="0"/>
    <x v="4"/>
    <n v="14839"/>
    <n v="13503.49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7879.5090000000018"/>
    <n v="0"/>
    <n v="8653.885143192907"/>
    <n v="0"/>
    <x v="1"/>
  </r>
  <r>
    <s v="Regular"/>
    <x v="0"/>
    <x v="0"/>
    <x v="1"/>
    <x v="1"/>
    <x v="1"/>
    <x v="0"/>
    <x v="0"/>
    <x v="5"/>
    <n v="14839"/>
    <n v="13503.49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7879.5090000000018"/>
    <n v="0"/>
    <n v="8653.885143192907"/>
    <n v="0"/>
    <x v="1"/>
  </r>
  <r>
    <s v="Regular"/>
    <x v="0"/>
    <x v="0"/>
    <x v="1"/>
    <x v="1"/>
    <x v="1"/>
    <x v="0"/>
    <x v="0"/>
    <x v="6"/>
    <n v="14839"/>
    <n v="13503.49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7879.5090000000018"/>
    <n v="0"/>
    <n v="8653.885143192907"/>
    <n v="0"/>
    <x v="1"/>
  </r>
  <r>
    <s v="Regular"/>
    <x v="0"/>
    <x v="0"/>
    <x v="1"/>
    <x v="1"/>
    <x v="1"/>
    <x v="0"/>
    <x v="0"/>
    <x v="7"/>
    <n v="14839"/>
    <n v="13503.49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7879.5090000000018"/>
    <n v="0"/>
    <n v="8653.885143192907"/>
    <n v="0"/>
    <x v="1"/>
  </r>
  <r>
    <s v="Regular"/>
    <x v="0"/>
    <x v="0"/>
    <x v="1"/>
    <x v="1"/>
    <x v="1"/>
    <x v="0"/>
    <x v="0"/>
    <x v="8"/>
    <n v="14839"/>
    <n v="13503.49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7879.5090000000018"/>
    <n v="0"/>
    <n v="8653.885143192907"/>
    <n v="0"/>
    <x v="1"/>
  </r>
  <r>
    <s v="Regular"/>
    <x v="0"/>
    <x v="0"/>
    <x v="1"/>
    <x v="1"/>
    <x v="1"/>
    <x v="0"/>
    <x v="0"/>
    <x v="9"/>
    <n v="14839"/>
    <n v="13503.49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7879.5090000000018"/>
    <n v="0"/>
    <n v="8653.885143192907"/>
    <n v="0"/>
    <x v="1"/>
  </r>
  <r>
    <s v="Regular"/>
    <x v="0"/>
    <x v="0"/>
    <x v="1"/>
    <x v="1"/>
    <x v="1"/>
    <x v="0"/>
    <x v="0"/>
    <x v="10"/>
    <n v="14839"/>
    <n v="13503.49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7879.5090000000018"/>
    <n v="0"/>
    <n v="8653.885143192907"/>
    <n v="0"/>
    <x v="1"/>
  </r>
  <r>
    <s v="PROJETADO"/>
    <x v="0"/>
    <x v="0"/>
    <x v="1"/>
    <x v="1"/>
    <x v="1"/>
    <x v="0"/>
    <x v="0"/>
    <x v="11"/>
    <n v="14839"/>
    <n v="13503.49"/>
    <n v="0"/>
    <n v="0"/>
    <n v="0"/>
    <n v="0"/>
    <n v="0"/>
    <s v="LIVRE"/>
    <n v="0"/>
    <n v="2"/>
    <n v="0"/>
    <n v="0"/>
    <n v="5.9"/>
    <n v="0"/>
    <n v="0"/>
    <n v="6.4798355258986495"/>
    <n v="40.035165075358321"/>
    <m/>
    <n v="7879.5090000000018"/>
    <n v="0"/>
    <n v="8653.885143192907"/>
    <n v="0"/>
    <x v="1"/>
  </r>
  <r>
    <s v="Regular"/>
    <x v="0"/>
    <x v="0"/>
    <x v="1"/>
    <x v="1"/>
    <x v="1"/>
    <x v="0"/>
    <x v="1"/>
    <x v="0"/>
    <n v="0"/>
    <n v="0"/>
    <n v="9891.32"/>
    <n v="9001.1011999999992"/>
    <n v="0"/>
    <n v="0"/>
    <n v="2"/>
    <s v="LIVRE"/>
    <n v="0"/>
    <n v="0"/>
    <n v="25"/>
    <n v="0"/>
    <n v="0"/>
    <n v="52.77"/>
    <n v="0"/>
    <m/>
    <n v="40.035165075358321"/>
    <m/>
    <n v="0"/>
    <n v="46976.846076000031"/>
    <n v="0"/>
    <n v="35640.056611187414"/>
    <x v="1"/>
  </r>
  <r>
    <s v="Regular"/>
    <x v="0"/>
    <x v="0"/>
    <x v="1"/>
    <x v="1"/>
    <x v="1"/>
    <x v="0"/>
    <x v="1"/>
    <x v="1"/>
    <n v="0"/>
    <n v="0"/>
    <n v="10165.280000000001"/>
    <n v="9250.4048000000003"/>
    <n v="0"/>
    <n v="0"/>
    <n v="2"/>
    <s v="LIVRE"/>
    <n v="0"/>
    <n v="0"/>
    <n v="25"/>
    <n v="0"/>
    <n v="0"/>
    <n v="52.77"/>
    <n v="0"/>
    <m/>
    <n v="40.035165075358321"/>
    <m/>
    <n v="0"/>
    <n v="48277.964304000023"/>
    <n v="0"/>
    <n v="36627.179655351472"/>
    <x v="1"/>
  </r>
  <r>
    <s v="Regular"/>
    <x v="0"/>
    <x v="0"/>
    <x v="1"/>
    <x v="1"/>
    <x v="1"/>
    <x v="0"/>
    <x v="1"/>
    <x v="2"/>
    <n v="0"/>
    <n v="0"/>
    <n v="9394.52"/>
    <n v="8549.0132000000012"/>
    <n v="0"/>
    <n v="0"/>
    <n v="2"/>
    <s v="LIVRE"/>
    <n v="0"/>
    <n v="0"/>
    <n v="25"/>
    <n v="0"/>
    <n v="0"/>
    <n v="52.77"/>
    <n v="0"/>
    <m/>
    <n v="40.035165075358321"/>
    <m/>
    <n v="0"/>
    <n v="44617.393835999959"/>
    <n v="0"/>
    <n v="33850.004310337943"/>
    <x v="1"/>
  </r>
  <r>
    <s v="Regular"/>
    <x v="0"/>
    <x v="0"/>
    <x v="1"/>
    <x v="1"/>
    <x v="1"/>
    <x v="0"/>
    <x v="1"/>
    <x v="3"/>
    <n v="0"/>
    <n v="0"/>
    <n v="8105"/>
    <n v="7375.55"/>
    <n v="0"/>
    <n v="0"/>
    <n v="2"/>
    <s v="LIVRE"/>
    <n v="0"/>
    <n v="0"/>
    <n v="25"/>
    <n v="0"/>
    <n v="0"/>
    <n v="52.77"/>
    <n v="0"/>
    <m/>
    <n v="40.035165075358321"/>
    <m/>
    <n v="0"/>
    <n v="38493.076499999996"/>
    <n v="0"/>
    <n v="29203.651164220119"/>
    <x v="1"/>
  </r>
  <r>
    <s v="Regular"/>
    <x v="0"/>
    <x v="0"/>
    <x v="1"/>
    <x v="1"/>
    <x v="1"/>
    <x v="0"/>
    <x v="1"/>
    <x v="4"/>
    <n v="0"/>
    <n v="0"/>
    <n v="8950.14"/>
    <n v="8144.6273999999994"/>
    <n v="0"/>
    <n v="0"/>
    <n v="2"/>
    <s v="LIVRE"/>
    <n v="0"/>
    <n v="0"/>
    <n v="25"/>
    <n v="0"/>
    <n v="0"/>
    <n v="52.77"/>
    <n v="0"/>
    <m/>
    <n v="40.035165075358321"/>
    <m/>
    <n v="0"/>
    <n v="42506.899902000005"/>
    <n v="0"/>
    <n v="32248.829911281078"/>
    <x v="1"/>
  </r>
  <r>
    <s v="Regular"/>
    <x v="0"/>
    <x v="0"/>
    <x v="1"/>
    <x v="1"/>
    <x v="1"/>
    <x v="0"/>
    <x v="1"/>
    <x v="5"/>
    <n v="0"/>
    <n v="0"/>
    <n v="8538.34"/>
    <n v="7769.8894"/>
    <n v="0"/>
    <n v="0"/>
    <n v="2"/>
    <s v="LIVRE"/>
    <n v="0"/>
    <n v="0"/>
    <n v="25"/>
    <n v="0"/>
    <n v="0"/>
    <n v="52.77"/>
    <n v="0"/>
    <m/>
    <n v="40.035165075358321"/>
    <m/>
    <n v="0"/>
    <n v="40551.13816200001"/>
    <n v="0"/>
    <n v="30765.046623258153"/>
    <x v="1"/>
  </r>
  <r>
    <s v="Regular"/>
    <x v="0"/>
    <x v="0"/>
    <x v="1"/>
    <x v="1"/>
    <x v="1"/>
    <x v="0"/>
    <x v="1"/>
    <x v="6"/>
    <n v="0"/>
    <n v="0"/>
    <n v="8682.68"/>
    <n v="7901.2388000000001"/>
    <n v="0"/>
    <n v="0"/>
    <n v="2"/>
    <s v="LIVRE"/>
    <n v="0"/>
    <n v="0"/>
    <n v="25"/>
    <n v="0"/>
    <n v="0"/>
    <n v="52.77"/>
    <n v="0"/>
    <m/>
    <n v="40.035165075358321"/>
    <m/>
    <n v="0"/>
    <n v="41236.652124000015"/>
    <n v="0"/>
    <n v="31285.127438686104"/>
    <x v="1"/>
  </r>
  <r>
    <s v="Regular"/>
    <x v="0"/>
    <x v="0"/>
    <x v="1"/>
    <x v="1"/>
    <x v="1"/>
    <x v="0"/>
    <x v="1"/>
    <x v="7"/>
    <n v="0"/>
    <n v="0"/>
    <n v="9394.52"/>
    <n v="8549.0132000000012"/>
    <n v="0"/>
    <n v="0"/>
    <n v="2"/>
    <s v="LIVRE"/>
    <n v="0"/>
    <n v="0"/>
    <n v="25"/>
    <n v="0"/>
    <n v="0"/>
    <n v="52.77"/>
    <n v="0"/>
    <m/>
    <n v="40.035165075358321"/>
    <m/>
    <n v="0"/>
    <n v="44617.393835999959"/>
    <n v="0"/>
    <n v="33850.004310337943"/>
    <x v="1"/>
  </r>
  <r>
    <s v="Regular"/>
    <x v="0"/>
    <x v="0"/>
    <x v="1"/>
    <x v="1"/>
    <x v="1"/>
    <x v="0"/>
    <x v="1"/>
    <x v="8"/>
    <n v="0"/>
    <n v="0"/>
    <n v="8935.16"/>
    <n v="8130.9956000000002"/>
    <n v="0"/>
    <n v="0"/>
    <n v="2"/>
    <s v="LIVRE"/>
    <n v="0"/>
    <n v="0"/>
    <n v="25"/>
    <n v="0"/>
    <n v="0"/>
    <n v="52.77"/>
    <n v="0"/>
    <m/>
    <n v="40.035165075358321"/>
    <m/>
    <n v="0"/>
    <n v="42435.755387999983"/>
    <n v="0"/>
    <n v="32194.854501726466"/>
    <x v="1"/>
  </r>
  <r>
    <s v="Regular"/>
    <x v="0"/>
    <x v="0"/>
    <x v="1"/>
    <x v="1"/>
    <x v="1"/>
    <x v="0"/>
    <x v="1"/>
    <x v="9"/>
    <n v="0"/>
    <n v="0"/>
    <n v="9188.86"/>
    <n v="8361.8626000000004"/>
    <n v="0"/>
    <n v="0"/>
    <n v="2"/>
    <s v="LIVRE"/>
    <n v="0"/>
    <n v="0"/>
    <n v="25"/>
    <n v="0"/>
    <n v="0"/>
    <n v="52.77"/>
    <n v="0"/>
    <m/>
    <n v="40.035165075358321"/>
    <m/>
    <n v="0"/>
    <n v="43640.65279800001"/>
    <n v="0"/>
    <n v="33108.977425892146"/>
    <x v="1"/>
  </r>
  <r>
    <s v="Regular"/>
    <x v="0"/>
    <x v="0"/>
    <x v="1"/>
    <x v="1"/>
    <x v="1"/>
    <x v="0"/>
    <x v="1"/>
    <x v="10"/>
    <n v="0"/>
    <n v="0"/>
    <n v="8943.06"/>
    <n v="8138.1845999999996"/>
    <n v="0"/>
    <n v="0"/>
    <n v="2"/>
    <s v="LIVRE"/>
    <n v="0"/>
    <n v="0"/>
    <n v="25"/>
    <n v="0"/>
    <n v="0"/>
    <n v="52.77"/>
    <n v="0"/>
    <m/>
    <n v="40.035165075358321"/>
    <m/>
    <n v="0"/>
    <n v="42473.274857999997"/>
    <n v="0"/>
    <n v="32223.319504095056"/>
    <x v="1"/>
  </r>
  <r>
    <s v="PROJETADO"/>
    <x v="0"/>
    <x v="0"/>
    <x v="1"/>
    <x v="1"/>
    <x v="1"/>
    <x v="0"/>
    <x v="1"/>
    <x v="11"/>
    <n v="0"/>
    <n v="0"/>
    <n v="8943.06"/>
    <n v="8138.1845999999996"/>
    <n v="0"/>
    <n v="0"/>
    <n v="2"/>
    <s v="LIVRE"/>
    <n v="0"/>
    <n v="0"/>
    <n v="25"/>
    <n v="0"/>
    <n v="0"/>
    <n v="52.77"/>
    <n v="0"/>
    <m/>
    <n v="40.035165075358321"/>
    <m/>
    <n v="0"/>
    <n v="42473.274857999997"/>
    <n v="0"/>
    <n v="32223.319504095056"/>
    <x v="1"/>
  </r>
  <r>
    <s v="Regular"/>
    <x v="0"/>
    <x v="0"/>
    <x v="1"/>
    <x v="1"/>
    <x v="1"/>
    <x v="0"/>
    <x v="2"/>
    <x v="0"/>
    <n v="15174"/>
    <n v="13808.34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9887.3783999999996"/>
    <n v="0"/>
    <n v="10861.575758626395"/>
    <n v="0"/>
    <x v="1"/>
  </r>
  <r>
    <s v="Regular"/>
    <x v="0"/>
    <x v="0"/>
    <x v="1"/>
    <x v="1"/>
    <x v="1"/>
    <x v="0"/>
    <x v="2"/>
    <x v="1"/>
    <n v="15448"/>
    <n v="14057.68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10065.916799999999"/>
    <n v="0"/>
    <n v="11057.705438200906"/>
    <n v="0"/>
    <x v="1"/>
  </r>
  <r>
    <s v="Regular"/>
    <x v="0"/>
    <x v="0"/>
    <x v="1"/>
    <x v="1"/>
    <x v="1"/>
    <x v="0"/>
    <x v="2"/>
    <x v="2"/>
    <n v="14784"/>
    <n v="13453.44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9633.2543999999962"/>
    <n v="0"/>
    <n v="10582.413076020337"/>
    <n v="0"/>
    <x v="1"/>
  </r>
  <r>
    <s v="Regular"/>
    <x v="0"/>
    <x v="0"/>
    <x v="1"/>
    <x v="1"/>
    <x v="1"/>
    <x v="0"/>
    <x v="2"/>
    <x v="3"/>
    <n v="14784"/>
    <n v="13453.44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9633.2543999999962"/>
    <n v="0"/>
    <n v="10582.413076020337"/>
    <n v="0"/>
    <x v="1"/>
  </r>
  <r>
    <s v="Regular"/>
    <x v="0"/>
    <x v="0"/>
    <x v="1"/>
    <x v="1"/>
    <x v="1"/>
    <x v="0"/>
    <x v="2"/>
    <x v="4"/>
    <n v="14784"/>
    <n v="13453.44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9633.2543999999962"/>
    <n v="0"/>
    <n v="10582.413076020337"/>
    <n v="0"/>
    <x v="1"/>
  </r>
  <r>
    <s v="Regular"/>
    <x v="0"/>
    <x v="0"/>
    <x v="1"/>
    <x v="1"/>
    <x v="1"/>
    <x v="0"/>
    <x v="2"/>
    <x v="5"/>
    <n v="14784"/>
    <n v="13453.44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9633.2543999999962"/>
    <n v="0"/>
    <n v="10582.413076020337"/>
    <n v="0"/>
    <x v="1"/>
  </r>
  <r>
    <s v="Regular"/>
    <x v="0"/>
    <x v="0"/>
    <x v="1"/>
    <x v="1"/>
    <x v="1"/>
    <x v="0"/>
    <x v="2"/>
    <x v="6"/>
    <n v="14784"/>
    <n v="13453.44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9633.2543999999962"/>
    <n v="0"/>
    <n v="10582.413076020337"/>
    <n v="0"/>
    <x v="1"/>
  </r>
  <r>
    <s v="Regular"/>
    <x v="0"/>
    <x v="0"/>
    <x v="1"/>
    <x v="1"/>
    <x v="1"/>
    <x v="0"/>
    <x v="2"/>
    <x v="7"/>
    <n v="14784"/>
    <n v="13453.44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9633.2543999999962"/>
    <n v="0"/>
    <n v="10582.413076020337"/>
    <n v="0"/>
    <x v="1"/>
  </r>
  <r>
    <s v="Regular"/>
    <x v="0"/>
    <x v="0"/>
    <x v="1"/>
    <x v="1"/>
    <x v="1"/>
    <x v="0"/>
    <x v="2"/>
    <x v="8"/>
    <n v="14784"/>
    <n v="13453.44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9633.2543999999962"/>
    <n v="0"/>
    <n v="10582.413076020337"/>
    <n v="0"/>
    <x v="1"/>
  </r>
  <r>
    <s v="Regular"/>
    <x v="0"/>
    <x v="0"/>
    <x v="1"/>
    <x v="1"/>
    <x v="1"/>
    <x v="0"/>
    <x v="2"/>
    <x v="9"/>
    <n v="14784"/>
    <n v="13453.44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9633.2543999999962"/>
    <n v="0"/>
    <n v="10582.413076020337"/>
    <n v="0"/>
    <x v="1"/>
  </r>
  <r>
    <s v="Regular"/>
    <x v="0"/>
    <x v="0"/>
    <x v="1"/>
    <x v="1"/>
    <x v="1"/>
    <x v="0"/>
    <x v="2"/>
    <x v="10"/>
    <n v="14784"/>
    <n v="13453.44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9633.2543999999962"/>
    <n v="0"/>
    <n v="10582.413076020337"/>
    <n v="0"/>
    <x v="1"/>
  </r>
  <r>
    <s v="PROJETADO"/>
    <x v="0"/>
    <x v="0"/>
    <x v="1"/>
    <x v="1"/>
    <x v="1"/>
    <x v="0"/>
    <x v="2"/>
    <x v="11"/>
    <n v="14784"/>
    <n v="13453.44"/>
    <n v="0"/>
    <n v="0"/>
    <n v="0"/>
    <n v="0"/>
    <n v="0"/>
    <s v="LIVRE"/>
    <n v="0"/>
    <n v="1"/>
    <n v="0"/>
    <n v="0"/>
    <n v="7.24"/>
    <n v="0"/>
    <n v="0"/>
    <n v="7.9533527807993183"/>
    <n v="40.035165075358321"/>
    <m/>
    <n v="9633.2543999999962"/>
    <n v="0"/>
    <n v="10582.413076020337"/>
    <n v="0"/>
    <x v="1"/>
  </r>
  <r>
    <s v="Regular"/>
    <x v="0"/>
    <x v="1"/>
    <x v="2"/>
    <x v="0"/>
    <x v="1"/>
    <x v="1"/>
    <x v="1"/>
    <x v="0"/>
    <n v="157500"/>
    <n v="157500"/>
    <n v="0"/>
    <n v="0"/>
    <n v="0"/>
    <n v="0"/>
    <n v="0"/>
    <s v="GERAÇÃO"/>
    <n v="27250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2"/>
    <x v="1"/>
    <x v="0"/>
    <n v="60000"/>
    <n v="60000"/>
    <n v="0"/>
    <n v="0"/>
    <n v="0"/>
    <n v="0"/>
    <n v="0"/>
    <s v="GERAÇÃO"/>
    <n v="2927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3"/>
    <x v="1"/>
    <x v="0"/>
    <n v="60000"/>
    <n v="60000"/>
    <n v="0"/>
    <n v="0"/>
    <n v="0"/>
    <n v="0"/>
    <n v="0"/>
    <s v="GERAÇÃO"/>
    <n v="29276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4"/>
    <x v="1"/>
    <x v="0"/>
    <n v="60000"/>
    <n v="60000"/>
    <n v="0"/>
    <n v="0"/>
    <n v="0"/>
    <n v="0"/>
    <n v="0"/>
    <s v="GERAÇÃO"/>
    <n v="29361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5"/>
    <x v="1"/>
    <x v="0"/>
    <n v="63000"/>
    <n v="63000"/>
    <n v="0"/>
    <n v="0"/>
    <n v="0"/>
    <n v="0"/>
    <n v="0"/>
    <s v="GERAÇÃO"/>
    <n v="2943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1"/>
    <x v="1"/>
    <x v="1"/>
    <n v="157500"/>
    <n v="157500"/>
    <n v="0"/>
    <n v="0"/>
    <n v="0"/>
    <n v="0"/>
    <n v="0"/>
    <s v="GERAÇÃO"/>
    <n v="27250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2"/>
    <x v="1"/>
    <x v="1"/>
    <n v="60000"/>
    <n v="60000"/>
    <n v="0"/>
    <n v="0"/>
    <n v="0"/>
    <n v="0"/>
    <n v="0"/>
    <s v="GERAÇÃO"/>
    <n v="2927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3"/>
    <x v="1"/>
    <x v="1"/>
    <n v="60000"/>
    <n v="60000"/>
    <n v="0"/>
    <n v="0"/>
    <n v="0"/>
    <n v="0"/>
    <n v="0"/>
    <s v="GERAÇÃO"/>
    <n v="29276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4"/>
    <x v="1"/>
    <x v="1"/>
    <n v="60000"/>
    <n v="60000"/>
    <n v="0"/>
    <n v="0"/>
    <n v="0"/>
    <n v="0"/>
    <n v="0"/>
    <s v="GERAÇÃO"/>
    <n v="29361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5"/>
    <x v="1"/>
    <x v="1"/>
    <n v="63000"/>
    <n v="63000"/>
    <n v="0"/>
    <n v="0"/>
    <n v="0"/>
    <n v="0"/>
    <n v="0"/>
    <s v="GERAÇÃO"/>
    <n v="2943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1"/>
    <x v="1"/>
    <x v="2"/>
    <n v="157500"/>
    <n v="157500"/>
    <n v="0"/>
    <n v="0"/>
    <n v="0"/>
    <n v="0"/>
    <n v="0"/>
    <s v="GERAÇÃO"/>
    <n v="27250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2"/>
    <x v="1"/>
    <x v="2"/>
    <n v="60000"/>
    <n v="60000"/>
    <n v="0"/>
    <n v="0"/>
    <n v="0"/>
    <n v="0"/>
    <n v="0"/>
    <s v="GERAÇÃO"/>
    <n v="2927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3"/>
    <x v="1"/>
    <x v="2"/>
    <n v="60000"/>
    <n v="60000"/>
    <n v="0"/>
    <n v="0"/>
    <n v="0"/>
    <n v="0"/>
    <n v="0"/>
    <s v="GERAÇÃO"/>
    <n v="29276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4"/>
    <x v="1"/>
    <x v="2"/>
    <n v="60000"/>
    <n v="60000"/>
    <n v="0"/>
    <n v="0"/>
    <n v="0"/>
    <n v="0"/>
    <n v="0"/>
    <s v="GERAÇÃO"/>
    <n v="29361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5"/>
    <x v="1"/>
    <x v="2"/>
    <n v="63000"/>
    <n v="63000"/>
    <n v="0"/>
    <n v="0"/>
    <n v="0"/>
    <n v="0"/>
    <n v="0"/>
    <s v="GERAÇÃO"/>
    <n v="2943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1"/>
    <x v="1"/>
    <x v="3"/>
    <n v="157500"/>
    <n v="157500"/>
    <n v="0"/>
    <n v="0"/>
    <n v="0"/>
    <n v="0"/>
    <n v="0"/>
    <s v="GERAÇÃO"/>
    <n v="27250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2"/>
    <x v="1"/>
    <x v="3"/>
    <n v="60000"/>
    <n v="60000"/>
    <n v="0"/>
    <n v="0"/>
    <n v="0"/>
    <n v="0"/>
    <n v="0"/>
    <s v="GERAÇÃO"/>
    <n v="2927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3"/>
    <x v="1"/>
    <x v="3"/>
    <n v="60000"/>
    <n v="60000"/>
    <n v="0"/>
    <n v="0"/>
    <n v="0"/>
    <n v="0"/>
    <n v="0"/>
    <s v="GERAÇÃO"/>
    <n v="29276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4"/>
    <x v="1"/>
    <x v="3"/>
    <n v="60000"/>
    <n v="60000"/>
    <n v="0"/>
    <n v="0"/>
    <n v="0"/>
    <n v="0"/>
    <n v="0"/>
    <s v="GERAÇÃO"/>
    <n v="29361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5"/>
    <x v="1"/>
    <x v="3"/>
    <n v="63000"/>
    <n v="63000"/>
    <n v="0"/>
    <n v="0"/>
    <n v="0"/>
    <n v="0"/>
    <n v="0"/>
    <s v="GERAÇÃO"/>
    <n v="2943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1"/>
    <x v="1"/>
    <x v="4"/>
    <n v="157500"/>
    <n v="157500"/>
    <n v="0"/>
    <n v="0"/>
    <n v="0"/>
    <n v="0"/>
    <n v="0"/>
    <s v="GERAÇÃO"/>
    <n v="27250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2"/>
    <x v="1"/>
    <x v="4"/>
    <n v="60000"/>
    <n v="60000"/>
    <n v="0"/>
    <n v="0"/>
    <n v="0"/>
    <n v="0"/>
    <n v="0"/>
    <s v="GERAÇÃO"/>
    <n v="2927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3"/>
    <x v="1"/>
    <x v="4"/>
    <n v="60000"/>
    <n v="60000"/>
    <n v="0"/>
    <n v="0"/>
    <n v="0"/>
    <n v="0"/>
    <n v="0"/>
    <s v="GERAÇÃO"/>
    <n v="29276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4"/>
    <x v="1"/>
    <x v="4"/>
    <n v="60000"/>
    <n v="60000"/>
    <n v="0"/>
    <n v="0"/>
    <n v="0"/>
    <n v="0"/>
    <n v="0"/>
    <s v="GERAÇÃO"/>
    <n v="29361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5"/>
    <x v="1"/>
    <x v="4"/>
    <n v="63000"/>
    <n v="63000"/>
    <n v="0"/>
    <n v="0"/>
    <n v="0"/>
    <n v="0"/>
    <n v="0"/>
    <s v="GERAÇÃO"/>
    <n v="2943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1"/>
    <x v="1"/>
    <x v="5"/>
    <n v="157500"/>
    <n v="157500"/>
    <n v="0"/>
    <n v="0"/>
    <n v="0"/>
    <n v="0"/>
    <n v="0"/>
    <s v="GERAÇÃO"/>
    <n v="27250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2"/>
    <x v="1"/>
    <x v="5"/>
    <n v="60000"/>
    <n v="60000"/>
    <n v="0"/>
    <n v="0"/>
    <n v="0"/>
    <n v="0"/>
    <n v="0"/>
    <s v="GERAÇÃO"/>
    <n v="2927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3"/>
    <x v="1"/>
    <x v="5"/>
    <n v="60000"/>
    <n v="60000"/>
    <n v="0"/>
    <n v="0"/>
    <n v="0"/>
    <n v="0"/>
    <n v="0"/>
    <s v="GERAÇÃO"/>
    <n v="29276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4"/>
    <x v="1"/>
    <x v="5"/>
    <n v="60000"/>
    <n v="60000"/>
    <n v="0"/>
    <n v="0"/>
    <n v="0"/>
    <n v="0"/>
    <n v="0"/>
    <s v="GERAÇÃO"/>
    <n v="29361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5"/>
    <x v="1"/>
    <x v="5"/>
    <n v="63000"/>
    <n v="63000"/>
    <n v="0"/>
    <n v="0"/>
    <n v="0"/>
    <n v="0"/>
    <n v="0"/>
    <s v="GERAÇÃO"/>
    <n v="2943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1"/>
    <x v="1"/>
    <x v="6"/>
    <n v="157500"/>
    <n v="157500"/>
    <n v="0"/>
    <n v="0"/>
    <n v="0"/>
    <n v="0"/>
    <n v="0"/>
    <s v="GERAÇÃO"/>
    <n v="27250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2"/>
    <x v="1"/>
    <x v="6"/>
    <n v="60000"/>
    <n v="60000"/>
    <n v="0"/>
    <n v="0"/>
    <n v="0"/>
    <n v="0"/>
    <n v="0"/>
    <s v="GERAÇÃO"/>
    <n v="2927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3"/>
    <x v="1"/>
    <x v="6"/>
    <n v="60000"/>
    <n v="60000"/>
    <n v="0"/>
    <n v="0"/>
    <n v="0"/>
    <n v="0"/>
    <n v="0"/>
    <s v="GERAÇÃO"/>
    <n v="29276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4"/>
    <x v="1"/>
    <x v="6"/>
    <n v="60000"/>
    <n v="60000"/>
    <n v="0"/>
    <n v="0"/>
    <n v="0"/>
    <n v="0"/>
    <n v="0"/>
    <s v="GERAÇÃO"/>
    <n v="29361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5"/>
    <x v="1"/>
    <x v="6"/>
    <n v="63000"/>
    <n v="63000"/>
    <n v="0"/>
    <n v="0"/>
    <n v="0"/>
    <n v="0"/>
    <n v="0"/>
    <s v="GERAÇÃO"/>
    <n v="2943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1"/>
    <x v="1"/>
    <x v="7"/>
    <n v="157500"/>
    <n v="157500"/>
    <n v="0"/>
    <n v="0"/>
    <n v="0"/>
    <n v="0"/>
    <n v="0"/>
    <s v="GERAÇÃO"/>
    <n v="27250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2"/>
    <x v="1"/>
    <x v="7"/>
    <n v="60000"/>
    <n v="60000"/>
    <n v="0"/>
    <n v="0"/>
    <n v="0"/>
    <n v="0"/>
    <n v="0"/>
    <s v="GERAÇÃO"/>
    <n v="2927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3"/>
    <x v="1"/>
    <x v="7"/>
    <n v="60000"/>
    <n v="60000"/>
    <n v="0"/>
    <n v="0"/>
    <n v="0"/>
    <n v="0"/>
    <n v="0"/>
    <s v="GERAÇÃO"/>
    <n v="29276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4"/>
    <x v="1"/>
    <x v="7"/>
    <n v="60000"/>
    <n v="60000"/>
    <n v="0"/>
    <n v="0"/>
    <n v="0"/>
    <n v="0"/>
    <n v="0"/>
    <s v="GERAÇÃO"/>
    <n v="29361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5"/>
    <x v="1"/>
    <x v="7"/>
    <n v="63000"/>
    <n v="63000"/>
    <n v="0"/>
    <n v="0"/>
    <n v="0"/>
    <n v="0"/>
    <n v="0"/>
    <s v="GERAÇÃO"/>
    <n v="2943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1"/>
    <x v="1"/>
    <x v="8"/>
    <n v="157500"/>
    <n v="157500"/>
    <n v="0"/>
    <n v="0"/>
    <n v="0"/>
    <n v="0"/>
    <n v="0"/>
    <s v="GERAÇÃO"/>
    <n v="27250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2"/>
    <x v="1"/>
    <x v="8"/>
    <n v="60000"/>
    <n v="60000"/>
    <n v="0"/>
    <n v="0"/>
    <n v="0"/>
    <n v="0"/>
    <n v="0"/>
    <s v="GERAÇÃO"/>
    <n v="2927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3"/>
    <x v="1"/>
    <x v="8"/>
    <n v="60000"/>
    <n v="60000"/>
    <n v="0"/>
    <n v="0"/>
    <n v="0"/>
    <n v="0"/>
    <n v="0"/>
    <s v="GERAÇÃO"/>
    <n v="29276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4"/>
    <x v="1"/>
    <x v="8"/>
    <n v="60000"/>
    <n v="60000"/>
    <n v="0"/>
    <n v="0"/>
    <n v="0"/>
    <n v="0"/>
    <n v="0"/>
    <s v="GERAÇÃO"/>
    <n v="29361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5"/>
    <x v="1"/>
    <x v="8"/>
    <n v="63434"/>
    <n v="63434"/>
    <n v="0"/>
    <n v="0"/>
    <n v="0"/>
    <n v="0"/>
    <n v="0"/>
    <s v="GERAÇÃO"/>
    <n v="2943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1"/>
    <x v="1"/>
    <x v="9"/>
    <n v="157500"/>
    <n v="157500"/>
    <n v="0"/>
    <n v="0"/>
    <n v="0"/>
    <n v="0"/>
    <n v="0"/>
    <s v="GERAÇÃO"/>
    <n v="27250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2"/>
    <x v="1"/>
    <x v="9"/>
    <n v="60000"/>
    <n v="60000"/>
    <n v="0"/>
    <n v="0"/>
    <n v="0"/>
    <n v="0"/>
    <n v="0"/>
    <s v="GERAÇÃO"/>
    <n v="2927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3"/>
    <x v="1"/>
    <x v="9"/>
    <n v="60000"/>
    <n v="60000"/>
    <n v="0"/>
    <n v="0"/>
    <n v="0"/>
    <n v="0"/>
    <n v="0"/>
    <s v="GERAÇÃO"/>
    <n v="29276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4"/>
    <x v="1"/>
    <x v="9"/>
    <n v="60000"/>
    <n v="60000"/>
    <n v="0"/>
    <n v="0"/>
    <n v="0"/>
    <n v="0"/>
    <n v="0"/>
    <s v="GERAÇÃO"/>
    <n v="29361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5"/>
    <x v="1"/>
    <x v="9"/>
    <n v="63434"/>
    <n v="63434"/>
    <n v="0"/>
    <n v="0"/>
    <n v="0"/>
    <n v="0"/>
    <n v="0"/>
    <s v="GERAÇÃO"/>
    <n v="2943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1"/>
    <x v="1"/>
    <x v="10"/>
    <n v="157500"/>
    <n v="157500"/>
    <n v="0"/>
    <n v="0"/>
    <n v="0"/>
    <n v="0"/>
    <n v="0"/>
    <s v="GERAÇÃO"/>
    <n v="27250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2"/>
    <x v="1"/>
    <x v="10"/>
    <n v="60000"/>
    <n v="60000"/>
    <n v="0"/>
    <n v="0"/>
    <n v="0"/>
    <n v="0"/>
    <n v="0"/>
    <s v="GERAÇÃO"/>
    <n v="29272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3"/>
    <x v="1"/>
    <x v="10"/>
    <n v="60000"/>
    <n v="60000"/>
    <n v="0"/>
    <n v="0"/>
    <n v="0"/>
    <n v="0"/>
    <n v="0"/>
    <s v="GERAÇÃO"/>
    <n v="29276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4"/>
    <x v="1"/>
    <x v="10"/>
    <n v="60000"/>
    <n v="60000"/>
    <n v="0"/>
    <n v="0"/>
    <n v="0"/>
    <n v="0"/>
    <n v="0"/>
    <s v="GERAÇÃO"/>
    <n v="29361"/>
    <n v="27"/>
    <n v="0"/>
    <n v="0"/>
    <n v="7.58"/>
    <n v="0"/>
    <n v="0"/>
    <n v="9.1574451247299731"/>
    <m/>
    <m/>
    <n v="0"/>
    <n v="0"/>
    <n v="0"/>
    <n v="0"/>
    <x v="2"/>
  </r>
  <r>
    <s v="Regular"/>
    <x v="0"/>
    <x v="1"/>
    <x v="2"/>
    <x v="0"/>
    <x v="1"/>
    <x v="5"/>
    <x v="1"/>
    <x v="10"/>
    <n v="63434"/>
    <n v="63434"/>
    <n v="0"/>
    <n v="0"/>
    <n v="0"/>
    <n v="0"/>
    <n v="0"/>
    <s v="GERAÇÃO"/>
    <n v="29432"/>
    <n v="27"/>
    <n v="0"/>
    <n v="0"/>
    <n v="7.58"/>
    <n v="0"/>
    <n v="0"/>
    <n v="9.1574451247299731"/>
    <m/>
    <m/>
    <n v="0"/>
    <n v="0"/>
    <n v="0"/>
    <n v="0"/>
    <x v="2"/>
  </r>
  <r>
    <s v="PROJETADO"/>
    <x v="0"/>
    <x v="1"/>
    <x v="2"/>
    <x v="0"/>
    <x v="1"/>
    <x v="1"/>
    <x v="1"/>
    <x v="11"/>
    <n v="157500"/>
    <n v="157500"/>
    <n v="0"/>
    <n v="0"/>
    <n v="0"/>
    <n v="0"/>
    <n v="0"/>
    <s v="GERAÇÃO"/>
    <n v="27250"/>
    <n v="27"/>
    <n v="0"/>
    <n v="0"/>
    <n v="7.58"/>
    <n v="0"/>
    <n v="0"/>
    <n v="9.1574451247299731"/>
    <m/>
    <m/>
    <n v="0"/>
    <n v="0"/>
    <n v="0"/>
    <n v="0"/>
    <x v="2"/>
  </r>
  <r>
    <s v="PROJETADO"/>
    <x v="0"/>
    <x v="1"/>
    <x v="2"/>
    <x v="0"/>
    <x v="1"/>
    <x v="2"/>
    <x v="1"/>
    <x v="11"/>
    <n v="60000"/>
    <n v="60000"/>
    <n v="0"/>
    <n v="0"/>
    <n v="0"/>
    <n v="0"/>
    <n v="0"/>
    <s v="GERAÇÃO"/>
    <n v="29272"/>
    <n v="27"/>
    <n v="0"/>
    <n v="0"/>
    <n v="7.58"/>
    <n v="0"/>
    <n v="0"/>
    <n v="9.1574451247299731"/>
    <m/>
    <m/>
    <n v="0"/>
    <n v="0"/>
    <n v="0"/>
    <n v="0"/>
    <x v="2"/>
  </r>
  <r>
    <s v="PROJETADO"/>
    <x v="0"/>
    <x v="1"/>
    <x v="2"/>
    <x v="0"/>
    <x v="1"/>
    <x v="3"/>
    <x v="1"/>
    <x v="11"/>
    <n v="60000"/>
    <n v="60000"/>
    <n v="0"/>
    <n v="0"/>
    <n v="0"/>
    <n v="0"/>
    <n v="0"/>
    <s v="GERAÇÃO"/>
    <n v="29276"/>
    <n v="27"/>
    <n v="0"/>
    <n v="0"/>
    <n v="7.58"/>
    <n v="0"/>
    <n v="0"/>
    <n v="9.1574451247299731"/>
    <m/>
    <m/>
    <n v="0"/>
    <n v="0"/>
    <n v="0"/>
    <n v="0"/>
    <x v="2"/>
  </r>
  <r>
    <s v="PROJETADO"/>
    <x v="0"/>
    <x v="1"/>
    <x v="2"/>
    <x v="0"/>
    <x v="1"/>
    <x v="4"/>
    <x v="1"/>
    <x v="11"/>
    <n v="60000"/>
    <n v="60000"/>
    <n v="0"/>
    <n v="0"/>
    <n v="0"/>
    <n v="0"/>
    <n v="0"/>
    <s v="GERAÇÃO"/>
    <n v="29361"/>
    <n v="27"/>
    <n v="0"/>
    <n v="0"/>
    <n v="7.58"/>
    <n v="0"/>
    <n v="0"/>
    <n v="9.1574451247299731"/>
    <m/>
    <m/>
    <n v="0"/>
    <n v="0"/>
    <n v="0"/>
    <n v="0"/>
    <x v="2"/>
  </r>
  <r>
    <s v="PROJETADO"/>
    <x v="0"/>
    <x v="1"/>
    <x v="2"/>
    <x v="0"/>
    <x v="1"/>
    <x v="5"/>
    <x v="1"/>
    <x v="11"/>
    <n v="63434"/>
    <n v="63434"/>
    <n v="0"/>
    <n v="0"/>
    <n v="0"/>
    <n v="0"/>
    <n v="0"/>
    <s v="GERAÇÃO"/>
    <n v="29432"/>
    <n v="27"/>
    <n v="0"/>
    <n v="0"/>
    <n v="7.58"/>
    <n v="0"/>
    <n v="0"/>
    <n v="9.1574451247299731"/>
    <m/>
    <m/>
    <n v="0"/>
    <n v="0"/>
    <n v="0"/>
    <n v="0"/>
    <x v="2"/>
  </r>
  <r>
    <s v="Regular"/>
    <x v="1"/>
    <x v="0"/>
    <x v="0"/>
    <x v="0"/>
    <x v="0"/>
    <x v="0"/>
    <x v="0"/>
    <x v="0"/>
    <n v="49402"/>
    <n v="25446.9702"/>
    <n v="0"/>
    <n v="0"/>
    <n v="0"/>
    <n v="0"/>
    <n v="0"/>
    <s v="LIVRE"/>
    <n v="0"/>
    <n v="29"/>
    <n v="0"/>
    <n v="0"/>
    <n v="28.57"/>
    <n v="0"/>
    <n v="0"/>
    <n v="31.93064187172984"/>
    <n v="54.203801879475932"/>
    <m/>
    <n v="684395.20138600003"/>
    <n v="0"/>
    <n v="764899.47757041606"/>
    <n v="0"/>
    <x v="0"/>
  </r>
  <r>
    <s v="Regular"/>
    <x v="1"/>
    <x v="0"/>
    <x v="0"/>
    <x v="0"/>
    <x v="0"/>
    <x v="0"/>
    <x v="0"/>
    <x v="1"/>
    <n v="50390"/>
    <n v="25890.382000000001"/>
    <n v="0"/>
    <n v="0"/>
    <n v="0"/>
    <n v="0"/>
    <n v="0"/>
    <s v="LIVRE"/>
    <n v="0"/>
    <n v="29"/>
    <n v="0"/>
    <n v="0"/>
    <n v="28.57"/>
    <n v="0"/>
    <n v="0"/>
    <n v="31.93064187172984"/>
    <n v="54.203801879475932"/>
    <m/>
    <n v="699954.08626000001"/>
    <n v="0"/>
    <n v="782288.52835218608"/>
    <n v="0"/>
    <x v="0"/>
  </r>
  <r>
    <s v="Regular"/>
    <x v="1"/>
    <x v="0"/>
    <x v="0"/>
    <x v="0"/>
    <x v="0"/>
    <x v="0"/>
    <x v="0"/>
    <x v="2"/>
    <n v="45662"/>
    <n v="24378.941800000001"/>
    <n v="0"/>
    <n v="0"/>
    <n v="0"/>
    <n v="0"/>
    <n v="0"/>
    <s v="LIVRE"/>
    <n v="0"/>
    <n v="29"/>
    <n v="0"/>
    <n v="0"/>
    <n v="28.57"/>
    <n v="0"/>
    <n v="0"/>
    <n v="31.93064187172984"/>
    <n v="54.203801879475932"/>
    <m/>
    <n v="608056.97277400002"/>
    <n v="0"/>
    <n v="679581.70931938314"/>
    <n v="0"/>
    <x v="0"/>
  </r>
  <r>
    <s v="Regular"/>
    <x v="1"/>
    <x v="0"/>
    <x v="0"/>
    <x v="0"/>
    <x v="0"/>
    <x v="0"/>
    <x v="0"/>
    <x v="3"/>
    <n v="52318"/>
    <n v="26394.431"/>
    <n v="0"/>
    <n v="0"/>
    <n v="0"/>
    <n v="0"/>
    <n v="0"/>
    <s v="LIVRE"/>
    <n v="0"/>
    <n v="29"/>
    <n v="0"/>
    <n v="0"/>
    <n v="28.57"/>
    <n v="0"/>
    <n v="0"/>
    <n v="31.93064187172984"/>
    <n v="54.203801879475932"/>
    <m/>
    <n v="740636.36632999999"/>
    <n v="0"/>
    <n v="827756.19777607766"/>
    <n v="0"/>
    <x v="0"/>
  </r>
  <r>
    <s v="Regular"/>
    <x v="1"/>
    <x v="0"/>
    <x v="0"/>
    <x v="0"/>
    <x v="0"/>
    <x v="0"/>
    <x v="0"/>
    <x v="4"/>
    <n v="52801"/>
    <n v="26632.824400000001"/>
    <n v="0"/>
    <n v="0"/>
    <n v="0"/>
    <n v="0"/>
    <n v="0"/>
    <s v="LIVRE"/>
    <n v="0"/>
    <n v="29"/>
    <n v="0"/>
    <n v="0"/>
    <n v="28.57"/>
    <n v="0"/>
    <n v="0"/>
    <n v="31.93064187172984"/>
    <n v="54.203801879475932"/>
    <m/>
    <n v="747624.77689199999"/>
    <n v="0"/>
    <n v="835566.64352013904"/>
    <n v="0"/>
    <x v="0"/>
  </r>
  <r>
    <s v="Regular"/>
    <x v="1"/>
    <x v="0"/>
    <x v="0"/>
    <x v="0"/>
    <x v="0"/>
    <x v="0"/>
    <x v="0"/>
    <x v="5"/>
    <n v="53590"/>
    <n v="26987.923999999999"/>
    <n v="0"/>
    <n v="0"/>
    <n v="0"/>
    <n v="0"/>
    <n v="0"/>
    <s v="LIVRE"/>
    <n v="0"/>
    <n v="29"/>
    <n v="0"/>
    <n v="0"/>
    <n v="28.57"/>
    <n v="0"/>
    <n v="0"/>
    <n v="31.93064187172984"/>
    <n v="54.203801879475932"/>
    <m/>
    <n v="760021.31131999998"/>
    <n v="0"/>
    <n v="849421.36180053954"/>
    <n v="0"/>
    <x v="0"/>
  </r>
  <r>
    <s v="Regular"/>
    <x v="1"/>
    <x v="0"/>
    <x v="0"/>
    <x v="0"/>
    <x v="0"/>
    <x v="0"/>
    <x v="0"/>
    <x v="6"/>
    <n v="54209"/>
    <n v="27332.177800000001"/>
    <n v="0"/>
    <n v="0"/>
    <n v="0"/>
    <n v="0"/>
    <n v="0"/>
    <s v="LIVRE"/>
    <n v="0"/>
    <n v="29"/>
    <n v="0"/>
    <n v="0"/>
    <n v="28.57"/>
    <n v="0"/>
    <n v="0"/>
    <n v="31.93064187172984"/>
    <n v="54.203801879475932"/>
    <m/>
    <n v="767870.81025400001"/>
    <n v="0"/>
    <n v="858194.18431835808"/>
    <n v="0"/>
    <x v="0"/>
  </r>
  <r>
    <s v="Regular"/>
    <x v="1"/>
    <x v="0"/>
    <x v="0"/>
    <x v="0"/>
    <x v="0"/>
    <x v="0"/>
    <x v="0"/>
    <x v="7"/>
    <n v="45662"/>
    <n v="24378.941800000001"/>
    <n v="0"/>
    <n v="0"/>
    <n v="0"/>
    <n v="0"/>
    <n v="0"/>
    <s v="LIVRE"/>
    <n v="0"/>
    <n v="29"/>
    <n v="0"/>
    <n v="0"/>
    <n v="28.57"/>
    <n v="0"/>
    <n v="0"/>
    <n v="31.93064187172984"/>
    <n v="54.203801879475932"/>
    <m/>
    <n v="608056.97277400002"/>
    <n v="0"/>
    <n v="679581.70931938314"/>
    <n v="0"/>
    <x v="0"/>
  </r>
  <r>
    <s v="Regular"/>
    <x v="1"/>
    <x v="0"/>
    <x v="0"/>
    <x v="0"/>
    <x v="0"/>
    <x v="0"/>
    <x v="0"/>
    <x v="8"/>
    <n v="55486"/>
    <n v="27476.6672"/>
    <n v="0"/>
    <n v="0"/>
    <n v="0"/>
    <n v="0"/>
    <n v="0"/>
    <s v="LIVRE"/>
    <n v="0"/>
    <n v="29"/>
    <n v="0"/>
    <n v="0"/>
    <n v="28.57"/>
    <n v="0"/>
    <n v="0"/>
    <n v="31.93064187172984"/>
    <n v="54.203801879475932"/>
    <m/>
    <n v="800226.63809600007"/>
    <n v="0"/>
    <n v="894355.97470289597"/>
    <n v="0"/>
    <x v="0"/>
  </r>
  <r>
    <s v="Regular"/>
    <x v="1"/>
    <x v="0"/>
    <x v="0"/>
    <x v="0"/>
    <x v="0"/>
    <x v="0"/>
    <x v="0"/>
    <x v="9"/>
    <n v="53748"/>
    <n v="27889.837200000002"/>
    <n v="0"/>
    <n v="0"/>
    <n v="0"/>
    <n v="0"/>
    <n v="0"/>
    <s v="LIVRE"/>
    <n v="0"/>
    <n v="29"/>
    <n v="0"/>
    <n v="0"/>
    <n v="28.57"/>
    <n v="0"/>
    <n v="0"/>
    <n v="31.93064187172984"/>
    <n v="54.203801879475932"/>
    <m/>
    <n v="738767.71119599999"/>
    <n v="0"/>
    <n v="825667.73582768685"/>
    <n v="0"/>
    <x v="0"/>
  </r>
  <r>
    <s v="Regular"/>
    <x v="1"/>
    <x v="0"/>
    <x v="0"/>
    <x v="0"/>
    <x v="0"/>
    <x v="0"/>
    <x v="0"/>
    <x v="10"/>
    <n v="56211"/>
    <n v="25300.571100000001"/>
    <n v="0"/>
    <n v="0"/>
    <n v="0"/>
    <n v="0"/>
    <n v="0"/>
    <s v="LIVRE"/>
    <n v="0"/>
    <n v="29"/>
    <n v="0"/>
    <n v="0"/>
    <n v="28.57"/>
    <n v="0"/>
    <n v="0"/>
    <n v="31.93064187172984"/>
    <n v="54.203801879475932"/>
    <m/>
    <n v="883110.95367299998"/>
    <n v="0"/>
    <n v="986989.83530746808"/>
    <n v="0"/>
    <x v="0"/>
  </r>
  <r>
    <s v="PROJETADO"/>
    <x v="1"/>
    <x v="0"/>
    <x v="0"/>
    <x v="0"/>
    <x v="0"/>
    <x v="0"/>
    <x v="0"/>
    <x v="11"/>
    <n v="56211"/>
    <n v="25300.571100000001"/>
    <n v="0"/>
    <n v="0"/>
    <n v="0"/>
    <n v="0"/>
    <n v="0"/>
    <s v="LIVRE"/>
    <n v="0"/>
    <n v="29"/>
    <n v="0"/>
    <n v="0"/>
    <n v="28.57"/>
    <n v="0"/>
    <n v="0"/>
    <n v="31.93064187172984"/>
    <n v="54.203801879475932"/>
    <m/>
    <n v="883110.95367299998"/>
    <n v="0"/>
    <n v="986989.83530746808"/>
    <n v="0"/>
    <x v="0"/>
  </r>
  <r>
    <s v="Regular"/>
    <x v="1"/>
    <x v="0"/>
    <x v="0"/>
    <x v="0"/>
    <x v="0"/>
    <x v="0"/>
    <x v="1"/>
    <x v="0"/>
    <n v="0"/>
    <n v="0"/>
    <n v="22084.305"/>
    <n v="22084.305"/>
    <n v="0"/>
    <n v="0"/>
    <n v="51"/>
    <s v="LIVRE"/>
    <n v="0"/>
    <n v="0"/>
    <n v="30"/>
    <n v="0"/>
    <n v="0"/>
    <n v="149.63"/>
    <n v="0"/>
    <m/>
    <n v="54.203801879475932"/>
    <m/>
    <n v="0"/>
    <n v="0"/>
    <n v="0"/>
    <n v="0"/>
    <x v="0"/>
  </r>
  <r>
    <s v="Regular"/>
    <x v="1"/>
    <x v="0"/>
    <x v="0"/>
    <x v="0"/>
    <x v="0"/>
    <x v="0"/>
    <x v="1"/>
    <x v="1"/>
    <n v="0"/>
    <n v="0"/>
    <n v="22080.807000000001"/>
    <n v="22080.807000000001"/>
    <n v="0"/>
    <n v="0"/>
    <n v="52"/>
    <s v="LIVRE"/>
    <n v="0"/>
    <n v="0"/>
    <n v="30"/>
    <n v="0"/>
    <n v="0"/>
    <n v="149.63"/>
    <n v="0"/>
    <m/>
    <n v="54.203801879475932"/>
    <m/>
    <n v="0"/>
    <n v="0"/>
    <n v="0"/>
    <n v="0"/>
    <x v="0"/>
  </r>
  <r>
    <s v="Regular"/>
    <x v="1"/>
    <x v="0"/>
    <x v="0"/>
    <x v="0"/>
    <x v="0"/>
    <x v="0"/>
    <x v="1"/>
    <x v="2"/>
    <n v="0"/>
    <n v="0"/>
    <n v="19711.32"/>
    <n v="19711.32"/>
    <n v="0"/>
    <n v="0"/>
    <n v="52"/>
    <s v="LIVRE"/>
    <n v="0"/>
    <n v="0"/>
    <n v="30"/>
    <n v="0"/>
    <n v="0"/>
    <n v="149.63"/>
    <n v="0"/>
    <m/>
    <n v="54.203801879475932"/>
    <m/>
    <n v="0"/>
    <n v="0"/>
    <n v="0"/>
    <n v="0"/>
    <x v="0"/>
  </r>
  <r>
    <s v="Regular"/>
    <x v="1"/>
    <x v="0"/>
    <x v="0"/>
    <x v="0"/>
    <x v="0"/>
    <x v="0"/>
    <x v="1"/>
    <x v="3"/>
    <n v="0"/>
    <n v="0"/>
    <n v="19764.91"/>
    <n v="19764.91"/>
    <n v="0"/>
    <n v="0"/>
    <n v="54"/>
    <s v="LIVRE"/>
    <n v="0"/>
    <n v="0"/>
    <n v="30"/>
    <n v="0"/>
    <n v="0"/>
    <n v="149.63"/>
    <n v="0"/>
    <m/>
    <n v="54.203801879475932"/>
    <m/>
    <n v="0"/>
    <n v="0"/>
    <n v="0"/>
    <n v="0"/>
    <x v="0"/>
  </r>
  <r>
    <s v="Regular"/>
    <x v="1"/>
    <x v="0"/>
    <x v="0"/>
    <x v="0"/>
    <x v="0"/>
    <x v="0"/>
    <x v="1"/>
    <x v="4"/>
    <n v="0"/>
    <n v="0"/>
    <n v="23506.096000000001"/>
    <n v="23506.096000000001"/>
    <n v="0"/>
    <n v="0"/>
    <n v="55"/>
    <s v="LIVRE"/>
    <n v="0"/>
    <n v="0"/>
    <n v="30"/>
    <n v="0"/>
    <n v="0"/>
    <n v="149.63"/>
    <n v="0"/>
    <m/>
    <n v="54.203801879475932"/>
    <m/>
    <n v="0"/>
    <n v="0"/>
    <n v="0"/>
    <n v="0"/>
    <x v="0"/>
  </r>
  <r>
    <s v="Regular"/>
    <x v="1"/>
    <x v="0"/>
    <x v="0"/>
    <x v="0"/>
    <x v="0"/>
    <x v="0"/>
    <x v="1"/>
    <x v="5"/>
    <n v="0"/>
    <n v="0"/>
    <n v="22172.080000000002"/>
    <n v="22172.080000000002"/>
    <n v="0"/>
    <n v="0"/>
    <n v="58"/>
    <s v="LIVRE"/>
    <n v="0"/>
    <n v="0"/>
    <n v="30"/>
    <n v="0"/>
    <n v="0"/>
    <n v="149.63"/>
    <n v="0"/>
    <m/>
    <n v="54.203801879475932"/>
    <m/>
    <n v="0"/>
    <n v="0"/>
    <n v="0"/>
    <n v="0"/>
    <x v="0"/>
  </r>
  <r>
    <s v="Regular"/>
    <x v="1"/>
    <x v="0"/>
    <x v="0"/>
    <x v="0"/>
    <x v="0"/>
    <x v="0"/>
    <x v="1"/>
    <x v="6"/>
    <n v="0"/>
    <n v="0"/>
    <n v="23639.417000000001"/>
    <n v="23639.417000000001"/>
    <n v="0"/>
    <n v="0"/>
    <n v="58"/>
    <s v="LIVRE"/>
    <n v="0"/>
    <n v="0"/>
    <n v="30"/>
    <n v="0"/>
    <n v="0"/>
    <n v="149.63"/>
    <n v="0"/>
    <m/>
    <n v="54.203801879475932"/>
    <m/>
    <n v="0"/>
    <n v="0"/>
    <n v="0"/>
    <n v="0"/>
    <x v="0"/>
  </r>
  <r>
    <s v="Regular"/>
    <x v="1"/>
    <x v="0"/>
    <x v="0"/>
    <x v="0"/>
    <x v="0"/>
    <x v="0"/>
    <x v="1"/>
    <x v="7"/>
    <n v="0"/>
    <n v="0"/>
    <n v="19711.32"/>
    <n v="19711.32"/>
    <n v="0"/>
    <n v="0"/>
    <n v="52"/>
    <s v="LIVRE"/>
    <n v="0"/>
    <n v="0"/>
    <n v="30"/>
    <n v="0"/>
    <n v="0"/>
    <n v="149.63"/>
    <n v="0"/>
    <m/>
    <n v="54.203801879475932"/>
    <m/>
    <n v="0"/>
    <n v="0"/>
    <n v="0"/>
    <n v="0"/>
    <x v="0"/>
  </r>
  <r>
    <s v="Regular"/>
    <x v="1"/>
    <x v="0"/>
    <x v="0"/>
    <x v="0"/>
    <x v="0"/>
    <x v="0"/>
    <x v="1"/>
    <x v="8"/>
    <n v="0"/>
    <n v="0"/>
    <n v="23526.059000000001"/>
    <n v="23526.059000000001"/>
    <n v="0"/>
    <n v="0"/>
    <n v="60"/>
    <s v="LIVRE"/>
    <n v="0"/>
    <n v="0"/>
    <n v="30"/>
    <n v="0"/>
    <n v="0"/>
    <n v="149.63"/>
    <n v="0"/>
    <m/>
    <n v="54.203801879475932"/>
    <m/>
    <n v="0"/>
    <n v="0"/>
    <n v="0"/>
    <n v="0"/>
    <x v="0"/>
  </r>
  <r>
    <s v="Regular"/>
    <x v="1"/>
    <x v="0"/>
    <x v="0"/>
    <x v="0"/>
    <x v="0"/>
    <x v="0"/>
    <x v="1"/>
    <x v="9"/>
    <n v="0"/>
    <n v="0"/>
    <n v="23038.815999999999"/>
    <n v="23038.815999999999"/>
    <n v="0"/>
    <n v="0"/>
    <n v="59"/>
    <s v="LIVRE"/>
    <n v="0"/>
    <n v="0"/>
    <n v="30"/>
    <n v="0"/>
    <n v="0"/>
    <n v="149.63"/>
    <n v="0"/>
    <m/>
    <n v="54.203801879475932"/>
    <m/>
    <n v="0"/>
    <n v="0"/>
    <n v="0"/>
    <n v="0"/>
    <x v="0"/>
  </r>
  <r>
    <s v="Regular"/>
    <x v="1"/>
    <x v="0"/>
    <x v="0"/>
    <x v="0"/>
    <x v="0"/>
    <x v="0"/>
    <x v="1"/>
    <x v="10"/>
    <n v="0"/>
    <n v="0"/>
    <n v="23946.001"/>
    <n v="23946.001"/>
    <n v="0"/>
    <n v="0"/>
    <n v="62"/>
    <s v="LIVRE"/>
    <n v="0"/>
    <n v="0"/>
    <n v="30"/>
    <n v="0"/>
    <n v="0"/>
    <n v="149.63"/>
    <n v="0"/>
    <m/>
    <n v="54.203801879475932"/>
    <m/>
    <n v="0"/>
    <n v="0"/>
    <n v="0"/>
    <n v="0"/>
    <x v="0"/>
  </r>
  <r>
    <s v="PROJETADO"/>
    <x v="1"/>
    <x v="0"/>
    <x v="0"/>
    <x v="0"/>
    <x v="0"/>
    <x v="0"/>
    <x v="1"/>
    <x v="11"/>
    <n v="0"/>
    <n v="0"/>
    <n v="23946.001"/>
    <n v="23946.001"/>
    <n v="0"/>
    <n v="0"/>
    <n v="62"/>
    <s v="LIVRE"/>
    <n v="0"/>
    <n v="0"/>
    <n v="30"/>
    <n v="0"/>
    <n v="0"/>
    <n v="149.63"/>
    <n v="0"/>
    <m/>
    <n v="54.203801879475932"/>
    <m/>
    <n v="0"/>
    <n v="0"/>
    <n v="0"/>
    <n v="0"/>
    <x v="0"/>
  </r>
  <r>
    <s v="Regular"/>
    <x v="1"/>
    <x v="0"/>
    <x v="0"/>
    <x v="0"/>
    <x v="0"/>
    <x v="0"/>
    <x v="2"/>
    <x v="0"/>
    <n v="45185"/>
    <n v="23274.7935"/>
    <n v="0"/>
    <n v="0"/>
    <n v="0"/>
    <n v="0"/>
    <n v="0"/>
    <s v="LIVRE"/>
    <n v="0"/>
    <n v="28"/>
    <n v="0"/>
    <n v="0"/>
    <n v="52.99"/>
    <n v="0"/>
    <n v="0"/>
    <n v="59.276351675174958"/>
    <n v="54.203801879475932"/>
    <m/>
    <n v="1161021.842435"/>
    <n v="0"/>
    <n v="1298757.1057697043"/>
    <n v="0"/>
    <x v="0"/>
  </r>
  <r>
    <s v="Regular"/>
    <x v="1"/>
    <x v="0"/>
    <x v="0"/>
    <x v="0"/>
    <x v="0"/>
    <x v="0"/>
    <x v="2"/>
    <x v="1"/>
    <n v="45430"/>
    <n v="23341.934000000001"/>
    <n v="0"/>
    <n v="0"/>
    <n v="0"/>
    <n v="0"/>
    <n v="0"/>
    <s v="LIVRE"/>
    <n v="0"/>
    <n v="28"/>
    <n v="0"/>
    <n v="0"/>
    <n v="52.99"/>
    <n v="0"/>
    <n v="0"/>
    <n v="59.276351675174958"/>
    <n v="54.203801879475932"/>
    <m/>
    <n v="1170446.6173399999"/>
    <n v="0"/>
    <n v="1309299.9680404749"/>
    <n v="0"/>
    <x v="0"/>
  </r>
  <r>
    <s v="Regular"/>
    <x v="1"/>
    <x v="0"/>
    <x v="0"/>
    <x v="0"/>
    <x v="0"/>
    <x v="0"/>
    <x v="2"/>
    <x v="2"/>
    <n v="39704"/>
    <n v="21197.9656"/>
    <n v="0"/>
    <n v="0"/>
    <n v="0"/>
    <n v="0"/>
    <n v="0"/>
    <s v="LIVRE"/>
    <n v="0"/>
    <n v="28"/>
    <n v="0"/>
    <n v="0"/>
    <n v="52.99"/>
    <n v="0"/>
    <n v="0"/>
    <n v="59.276351675174958"/>
    <n v="54.203801879475932"/>
    <m/>
    <n v="980634.7628560001"/>
    <n v="0"/>
    <n v="1096970.2032072854"/>
    <n v="0"/>
    <x v="0"/>
  </r>
  <r>
    <s v="Regular"/>
    <x v="1"/>
    <x v="0"/>
    <x v="0"/>
    <x v="0"/>
    <x v="0"/>
    <x v="0"/>
    <x v="2"/>
    <x v="3"/>
    <n v="47096"/>
    <n v="23759.932000000001"/>
    <n v="0"/>
    <n v="0"/>
    <n v="0"/>
    <n v="0"/>
    <n v="0"/>
    <s v="LIVRE"/>
    <n v="0"/>
    <n v="28"/>
    <n v="0"/>
    <n v="0"/>
    <n v="52.99"/>
    <n v="0"/>
    <n v="0"/>
    <n v="59.276351675174958"/>
    <n v="54.203801879475932"/>
    <m/>
    <n v="1236578.2433200001"/>
    <n v="0"/>
    <n v="1383276.9734837967"/>
    <n v="0"/>
    <x v="0"/>
  </r>
  <r>
    <s v="Regular"/>
    <x v="1"/>
    <x v="0"/>
    <x v="0"/>
    <x v="0"/>
    <x v="0"/>
    <x v="0"/>
    <x v="2"/>
    <x v="4"/>
    <n v="47824"/>
    <n v="24122.425599999999"/>
    <n v="0"/>
    <n v="0"/>
    <n v="0"/>
    <n v="0"/>
    <n v="0"/>
    <s v="LIVRE"/>
    <n v="0"/>
    <n v="28"/>
    <n v="0"/>
    <n v="0"/>
    <n v="52.99"/>
    <n v="0"/>
    <n v="0"/>
    <n v="59.276351675174958"/>
    <n v="54.203801879475932"/>
    <m/>
    <n v="1255946.4274560001"/>
    <n v="0"/>
    <n v="1404942.859389724"/>
    <n v="0"/>
    <x v="0"/>
  </r>
  <r>
    <s v="Regular"/>
    <x v="1"/>
    <x v="0"/>
    <x v="0"/>
    <x v="0"/>
    <x v="0"/>
    <x v="0"/>
    <x v="2"/>
    <x v="5"/>
    <n v="48502"/>
    <n v="24425.607199999999"/>
    <n v="0"/>
    <n v="0"/>
    <n v="0"/>
    <n v="0"/>
    <n v="0"/>
    <s v="LIVRE"/>
    <n v="0"/>
    <n v="28"/>
    <n v="0"/>
    <n v="0"/>
    <n v="52.99"/>
    <n v="0"/>
    <n v="0"/>
    <n v="59.276351675174958"/>
    <n v="54.203801879475932"/>
    <m/>
    <n v="1275808.0544720001"/>
    <n v="0"/>
    <n v="1427160.7266824504"/>
    <n v="0"/>
    <x v="0"/>
  </r>
  <r>
    <s v="Regular"/>
    <x v="1"/>
    <x v="0"/>
    <x v="0"/>
    <x v="0"/>
    <x v="0"/>
    <x v="0"/>
    <x v="2"/>
    <x v="6"/>
    <n v="49206"/>
    <n v="24809.665199999999"/>
    <n v="0"/>
    <n v="0"/>
    <n v="0"/>
    <n v="0"/>
    <n v="0"/>
    <s v="LIVRE"/>
    <n v="0"/>
    <n v="28"/>
    <n v="0"/>
    <n v="0"/>
    <n v="52.99"/>
    <n v="0"/>
    <n v="0"/>
    <n v="59.276351675174958"/>
    <n v="54.203801879475932"/>
    <m/>
    <n v="1292761.7810520001"/>
    <n v="0"/>
    <n v="1446125.7211901092"/>
    <n v="0"/>
    <x v="0"/>
  </r>
  <r>
    <s v="Regular"/>
    <x v="1"/>
    <x v="0"/>
    <x v="0"/>
    <x v="0"/>
    <x v="0"/>
    <x v="0"/>
    <x v="2"/>
    <x v="7"/>
    <n v="39704"/>
    <n v="21197.9656"/>
    <n v="0"/>
    <n v="0"/>
    <n v="0"/>
    <n v="0"/>
    <n v="0"/>
    <s v="LIVRE"/>
    <n v="0"/>
    <n v="28"/>
    <n v="0"/>
    <n v="0"/>
    <n v="52.99"/>
    <n v="0"/>
    <n v="0"/>
    <n v="59.276351675174958"/>
    <n v="54.203801879475932"/>
    <m/>
    <n v="980634.7628560001"/>
    <n v="0"/>
    <n v="1096970.2032072854"/>
    <n v="0"/>
    <x v="0"/>
  </r>
  <r>
    <s v="Regular"/>
    <x v="1"/>
    <x v="0"/>
    <x v="0"/>
    <x v="0"/>
    <x v="0"/>
    <x v="0"/>
    <x v="2"/>
    <x v="8"/>
    <n v="50383"/>
    <n v="24949.661599999999"/>
    <n v="0"/>
    <n v="0"/>
    <n v="0"/>
    <n v="0"/>
    <n v="0"/>
    <s v="LIVRE"/>
    <n v="0"/>
    <n v="28"/>
    <n v="0"/>
    <n v="0"/>
    <n v="52.99"/>
    <n v="0"/>
    <n v="0"/>
    <n v="59.276351675174958"/>
    <n v="54.203801879475932"/>
    <m/>
    <n v="1347712.6018160002"/>
    <n v="0"/>
    <n v="1507595.5112721317"/>
    <n v="0"/>
    <x v="0"/>
  </r>
  <r>
    <s v="Regular"/>
    <x v="1"/>
    <x v="0"/>
    <x v="0"/>
    <x v="0"/>
    <x v="0"/>
    <x v="0"/>
    <x v="2"/>
    <x v="9"/>
    <n v="48876"/>
    <n v="25361.756399999998"/>
    <n v="0"/>
    <n v="0"/>
    <n v="0"/>
    <n v="0"/>
    <n v="0"/>
    <s v="LIVRE"/>
    <n v="0"/>
    <n v="28"/>
    <n v="0"/>
    <n v="0"/>
    <n v="52.99"/>
    <n v="0"/>
    <n v="0"/>
    <n v="59.276351675174958"/>
    <n v="54.203801879475932"/>
    <m/>
    <n v="1246019.7683640001"/>
    <n v="0"/>
    <n v="1393838.5730093322"/>
    <n v="0"/>
    <x v="0"/>
  </r>
  <r>
    <s v="Regular"/>
    <x v="1"/>
    <x v="0"/>
    <x v="0"/>
    <x v="0"/>
    <x v="0"/>
    <x v="0"/>
    <x v="2"/>
    <x v="10"/>
    <n v="50775"/>
    <n v="22853.827499999999"/>
    <n v="0"/>
    <n v="0"/>
    <n v="0"/>
    <n v="0"/>
    <n v="0"/>
    <s v="LIVRE"/>
    <n v="0"/>
    <n v="28"/>
    <n v="0"/>
    <n v="0"/>
    <n v="52.99"/>
    <n v="0"/>
    <n v="0"/>
    <n v="59.276351675174958"/>
    <n v="54.203801879475932"/>
    <m/>
    <n v="1479542.930775"/>
    <n v="0"/>
    <n v="1655065.2402932241"/>
    <n v="0"/>
    <x v="0"/>
  </r>
  <r>
    <s v="PROJETADO"/>
    <x v="1"/>
    <x v="0"/>
    <x v="0"/>
    <x v="0"/>
    <x v="0"/>
    <x v="0"/>
    <x v="2"/>
    <x v="11"/>
    <n v="50775"/>
    <n v="22853.827499999999"/>
    <n v="0"/>
    <n v="0"/>
    <n v="0"/>
    <n v="0"/>
    <n v="0"/>
    <s v="LIVRE"/>
    <n v="0"/>
    <n v="28"/>
    <n v="0"/>
    <n v="0"/>
    <n v="52.99"/>
    <n v="0"/>
    <n v="0"/>
    <n v="59.276351675174958"/>
    <n v="54.203801879475932"/>
    <m/>
    <n v="1479542.930775"/>
    <n v="0"/>
    <n v="1655065.2402932241"/>
    <n v="0"/>
    <x v="0"/>
  </r>
  <r>
    <s v="Regular"/>
    <x v="1"/>
    <x v="0"/>
    <x v="3"/>
    <x v="0"/>
    <x v="1"/>
    <x v="0"/>
    <x v="0"/>
    <x v="0"/>
    <n v="173"/>
    <n v="162.62"/>
    <n v="37.149000000000001"/>
    <n v="34.920059999999999"/>
    <n v="37.149000000000001"/>
    <n v="34.920059999999999"/>
    <n v="0"/>
    <s v="CATIVO"/>
    <n v="0"/>
    <n v="29"/>
    <n v="30"/>
    <n v="67"/>
    <n v="28.57"/>
    <n v="149.63"/>
    <n v="230.03"/>
    <n v="31.93064187172984"/>
    <n v="54.203801879475932"/>
    <n v="282.91739971702214"/>
    <n v="296.55659999999989"/>
    <n v="846.23936040000058"/>
    <n v="331.44006262855561"/>
    <n v="751.42293108649892"/>
    <x v="3"/>
  </r>
  <r>
    <s v="Sistema Isolado - Regular"/>
    <x v="1"/>
    <x v="0"/>
    <x v="3"/>
    <x v="0"/>
    <x v="1"/>
    <x v="0"/>
    <x v="0"/>
    <x v="0"/>
    <n v="768"/>
    <n v="721.92"/>
    <n v="173.52"/>
    <n v="163.1088"/>
    <n v="173.52"/>
    <n v="163.1088"/>
    <n v="0"/>
    <s v="CATIVO"/>
    <n v="0"/>
    <n v="29"/>
    <n v="30"/>
    <n v="67"/>
    <n v="28.57"/>
    <n v="149.63"/>
    <n v="230.03"/>
    <n v="31.93064187172984"/>
    <n v="54.203801879475932"/>
    <n v="282.91739971702214"/>
    <n v="1316.5056000000011"/>
    <n v="3952.716192000003"/>
    <n v="1471.3639774493124"/>
    <n v="3509.8362540614635"/>
    <x v="3"/>
  </r>
  <r>
    <s v="Regular"/>
    <x v="1"/>
    <x v="0"/>
    <x v="3"/>
    <x v="0"/>
    <x v="1"/>
    <x v="0"/>
    <x v="0"/>
    <x v="1"/>
    <n v="190"/>
    <n v="178.6"/>
    <n v="41.014000000000003"/>
    <n v="38.553159999999998"/>
    <n v="41.014000000000003"/>
    <n v="38.553159999999998"/>
    <n v="0"/>
    <s v="CATIVO"/>
    <n v="0"/>
    <n v="29"/>
    <n v="30"/>
    <n v="67"/>
    <n v="28.57"/>
    <n v="149.63"/>
    <n v="230.03"/>
    <n v="31.93064187172984"/>
    <n v="54.203801879475932"/>
    <n v="282.91739971702214"/>
    <n v="325.69800000000015"/>
    <n v="934.28251440000167"/>
    <n v="364.00931733772035"/>
    <n v="829.60133773672783"/>
    <x v="3"/>
  </r>
  <r>
    <s v="Sistema Isolado - Regular"/>
    <x v="1"/>
    <x v="0"/>
    <x v="3"/>
    <x v="0"/>
    <x v="1"/>
    <x v="0"/>
    <x v="0"/>
    <x v="1"/>
    <n v="722"/>
    <n v="678.68"/>
    <n v="136.32"/>
    <n v="128.14079999999998"/>
    <n v="136.32"/>
    <n v="128.14079999999998"/>
    <n v="0"/>
    <s v="CATIVO"/>
    <n v="0"/>
    <n v="29"/>
    <n v="30"/>
    <n v="67"/>
    <n v="28.57"/>
    <n v="149.63"/>
    <n v="230.03"/>
    <n v="31.93064187172984"/>
    <n v="54.203801879475932"/>
    <n v="282.91739971702214"/>
    <n v="1237.6524000000015"/>
    <n v="3105.3150720000031"/>
    <n v="1383.2354058833382"/>
    <n v="2757.3817320980802"/>
    <x v="3"/>
  </r>
  <r>
    <s v="Regular"/>
    <x v="1"/>
    <x v="0"/>
    <x v="3"/>
    <x v="0"/>
    <x v="1"/>
    <x v="0"/>
    <x v="0"/>
    <x v="2"/>
    <n v="191"/>
    <n v="179.54"/>
    <n v="40.171999999999997"/>
    <n v="37.761679999999998"/>
    <n v="40.171999999999997"/>
    <n v="37.761679999999998"/>
    <n v="0"/>
    <s v="CATIVO"/>
    <n v="0"/>
    <n v="29"/>
    <n v="30"/>
    <n v="67"/>
    <n v="28.57"/>
    <n v="149.63"/>
    <n v="230.03"/>
    <n v="31.93064187172984"/>
    <n v="54.203801879475932"/>
    <n v="282.91739971702214"/>
    <n v="327.41220000000021"/>
    <n v="915.10209119999945"/>
    <n v="365.92515585002423"/>
    <n v="812.56997463207085"/>
    <x v="3"/>
  </r>
  <r>
    <s v="Sistema Isolado - Regular"/>
    <x v="1"/>
    <x v="0"/>
    <x v="3"/>
    <x v="0"/>
    <x v="1"/>
    <x v="0"/>
    <x v="0"/>
    <x v="2"/>
    <n v="720"/>
    <n v="676.8"/>
    <n v="147.6"/>
    <n v="138.744"/>
    <n v="147.6"/>
    <n v="138.744"/>
    <n v="0"/>
    <s v="CATIVO"/>
    <n v="0"/>
    <n v="29"/>
    <n v="30"/>
    <n v="67"/>
    <n v="28.57"/>
    <n v="149.63"/>
    <n v="230.03"/>
    <n v="31.93064187172984"/>
    <n v="54.203801879475932"/>
    <n v="282.91739971702214"/>
    <n v="1234.2240000000013"/>
    <n v="3362.2689599999976"/>
    <n v="1379.4037288587306"/>
    <n v="2985.5453613385848"/>
    <x v="3"/>
  </r>
  <r>
    <s v="Regular"/>
    <x v="1"/>
    <x v="0"/>
    <x v="3"/>
    <x v="0"/>
    <x v="1"/>
    <x v="0"/>
    <x v="0"/>
    <x v="3"/>
    <n v="182"/>
    <n v="171.07999999999998"/>
    <n v="44.427999999999997"/>
    <n v="41.762319999999995"/>
    <n v="44.427999999999997"/>
    <n v="41.762319999999995"/>
    <n v="0"/>
    <s v="CATIVO"/>
    <n v="0"/>
    <n v="29"/>
    <n v="30"/>
    <n v="67"/>
    <n v="28.57"/>
    <n v="149.63"/>
    <n v="230.03"/>
    <n v="31.93064187172984"/>
    <n v="54.203801879475932"/>
    <n v="282.91739971702214"/>
    <n v="311.98440000000045"/>
    <n v="1012.0520688000007"/>
    <n v="348.68260923929034"/>
    <n v="898.65724467175357"/>
    <x v="3"/>
  </r>
  <r>
    <s v="Sistema Isolado - Regular"/>
    <x v="1"/>
    <x v="0"/>
    <x v="3"/>
    <x v="0"/>
    <x v="1"/>
    <x v="0"/>
    <x v="0"/>
    <x v="3"/>
    <n v="705"/>
    <n v="662.69999999999993"/>
    <n v="154.696"/>
    <n v="145.41423999999998"/>
    <n v="154.696"/>
    <n v="145.41423999999998"/>
    <n v="0"/>
    <s v="CATIVO"/>
    <n v="0"/>
    <n v="29"/>
    <n v="30"/>
    <n v="67"/>
    <n v="28.57"/>
    <n v="149.63"/>
    <n v="230.03"/>
    <n v="31.93064187172984"/>
    <n v="54.203801879475932"/>
    <n v="282.91739971702214"/>
    <n v="1208.511000000002"/>
    <n v="3523.9130016000076"/>
    <n v="1350.6661511741745"/>
    <n v="3129.0780841303185"/>
    <x v="3"/>
  </r>
  <r>
    <s v="Regular"/>
    <x v="1"/>
    <x v="0"/>
    <x v="3"/>
    <x v="0"/>
    <x v="1"/>
    <x v="0"/>
    <x v="0"/>
    <x v="4"/>
    <n v="173"/>
    <n v="162.62"/>
    <n v="40.174999999999997"/>
    <n v="37.764499999999998"/>
    <n v="40.174999999999997"/>
    <n v="37.764499999999998"/>
    <n v="0"/>
    <s v="CATIVO"/>
    <n v="0"/>
    <n v="29"/>
    <n v="30"/>
    <n v="67"/>
    <n v="28.57"/>
    <n v="149.63"/>
    <n v="230.03"/>
    <n v="31.93064187172984"/>
    <n v="54.203801879475932"/>
    <n v="282.91739971702214"/>
    <n v="296.55659999999989"/>
    <n v="915.17042999999956"/>
    <n v="331.44006262855561"/>
    <n v="812.63065644835831"/>
    <x v="3"/>
  </r>
  <r>
    <s v="Sistema Isolado - Regular"/>
    <x v="1"/>
    <x v="0"/>
    <x v="3"/>
    <x v="0"/>
    <x v="1"/>
    <x v="0"/>
    <x v="0"/>
    <x v="4"/>
    <n v="718"/>
    <n v="674.92"/>
    <n v="172.09200000000001"/>
    <n v="161.76648"/>
    <n v="172.09200000000001"/>
    <n v="161.76648"/>
    <n v="0"/>
    <s v="CATIVO"/>
    <n v="0"/>
    <n v="29"/>
    <n v="30"/>
    <n v="67"/>
    <n v="28.57"/>
    <n v="149.63"/>
    <n v="230.03"/>
    <n v="31.93064187172984"/>
    <n v="54.203801879475932"/>
    <n v="282.91739971702214"/>
    <n v="1230.7956000000013"/>
    <n v="3920.1869232000045"/>
    <n v="1375.5720518341227"/>
    <n v="3480.9517095086767"/>
    <x v="3"/>
  </r>
  <r>
    <s v="Regular"/>
    <x v="1"/>
    <x v="0"/>
    <x v="3"/>
    <x v="0"/>
    <x v="1"/>
    <x v="0"/>
    <x v="0"/>
    <x v="5"/>
    <n v="165"/>
    <n v="155.1"/>
    <n v="39.329000000000001"/>
    <n v="36.969259999999998"/>
    <n v="39.329000000000001"/>
    <n v="36.969259999999998"/>
    <n v="0"/>
    <s v="CATIVO"/>
    <n v="0"/>
    <n v="29"/>
    <n v="30"/>
    <n v="67"/>
    <n v="28.57"/>
    <n v="149.63"/>
    <n v="230.03"/>
    <n v="31.93064187172984"/>
    <n v="54.203801879475932"/>
    <n v="282.91739971702214"/>
    <n v="282.84300000000019"/>
    <n v="895.89888840000094"/>
    <n v="316.1133545301256"/>
    <n v="795.51838425532105"/>
    <x v="3"/>
  </r>
  <r>
    <s v="Sistema Isolado - Regular"/>
    <x v="1"/>
    <x v="0"/>
    <x v="3"/>
    <x v="0"/>
    <x v="1"/>
    <x v="0"/>
    <x v="0"/>
    <x v="5"/>
    <n v="696"/>
    <n v="654.24"/>
    <n v="154.584"/>
    <n v="145.30895999999998"/>
    <n v="154.584"/>
    <n v="145.30895999999998"/>
    <n v="0"/>
    <s v="CATIVO"/>
    <n v="0"/>
    <n v="29"/>
    <n v="30"/>
    <n v="67"/>
    <n v="28.57"/>
    <n v="149.63"/>
    <n v="230.03"/>
    <n v="31.93064187172984"/>
    <n v="54.203801879475932"/>
    <n v="282.91739971702214"/>
    <n v="1193.0831999999998"/>
    <n v="3521.3616864000069"/>
    <n v="1333.4236045634377"/>
    <n v="3126.8126296555897"/>
    <x v="3"/>
  </r>
  <r>
    <s v="Regular"/>
    <x v="1"/>
    <x v="0"/>
    <x v="3"/>
    <x v="0"/>
    <x v="1"/>
    <x v="0"/>
    <x v="0"/>
    <x v="6"/>
    <n v="169"/>
    <n v="158.86000000000001"/>
    <n v="36.453000000000003"/>
    <n v="34.265819999999998"/>
    <n v="36.453000000000003"/>
    <n v="34.265819999999998"/>
    <n v="0"/>
    <s v="CATIVO"/>
    <n v="0"/>
    <n v="29"/>
    <n v="30"/>
    <n v="67"/>
    <n v="28.57"/>
    <n v="149.63"/>
    <n v="230.03"/>
    <n v="31.93064187172984"/>
    <n v="54.203801879475932"/>
    <n v="282.91739971702214"/>
    <n v="289.69979999999964"/>
    <n v="830.38475880000192"/>
    <n v="323.77670857934015"/>
    <n v="737.34474970783037"/>
    <x v="3"/>
  </r>
  <r>
    <s v="Sistema Isolado - Regular"/>
    <x v="1"/>
    <x v="0"/>
    <x v="3"/>
    <x v="0"/>
    <x v="1"/>
    <x v="0"/>
    <x v="0"/>
    <x v="6"/>
    <n v="582"/>
    <n v="547.08000000000004"/>
    <n v="189.24"/>
    <n v="177.88560000000001"/>
    <n v="189.24"/>
    <n v="177.88560000000001"/>
    <n v="0"/>
    <s v="CATIVO"/>
    <n v="0"/>
    <n v="29"/>
    <n v="30"/>
    <n v="67"/>
    <n v="28.57"/>
    <n v="149.63"/>
    <n v="230.03"/>
    <n v="31.93064187172984"/>
    <n v="54.203801879475932"/>
    <n v="282.91739971702214"/>
    <n v="997.66439999999886"/>
    <n v="4310.8115039999993"/>
    <n v="1115.0180141608048"/>
    <n v="3827.8089714072771"/>
    <x v="3"/>
  </r>
  <r>
    <s v="Regular"/>
    <x v="1"/>
    <x v="0"/>
    <x v="3"/>
    <x v="0"/>
    <x v="1"/>
    <x v="0"/>
    <x v="0"/>
    <x v="7"/>
    <n v="150"/>
    <n v="141"/>
    <n v="35.372"/>
    <n v="33.249679999999998"/>
    <n v="35.372"/>
    <n v="33.249679999999998"/>
    <n v="0"/>
    <s v="CATIVO"/>
    <n v="0"/>
    <n v="29"/>
    <n v="30"/>
    <n v="67"/>
    <n v="28.57"/>
    <n v="149.63"/>
    <n v="230.03"/>
    <n v="31.93064187172984"/>
    <n v="54.203801879475932"/>
    <n v="282.91739971702214"/>
    <n v="257.13"/>
    <n v="805.76001120000069"/>
    <n v="287.37577684556857"/>
    <n v="715.47906857228054"/>
    <x v="3"/>
  </r>
  <r>
    <s v="Sistema Isolado - Regular"/>
    <x v="1"/>
    <x v="0"/>
    <x v="3"/>
    <x v="0"/>
    <x v="1"/>
    <x v="0"/>
    <x v="0"/>
    <x v="7"/>
    <n v="741"/>
    <n v="696.54"/>
    <n v="160.12799999999999"/>
    <n v="150.52031999999997"/>
    <n v="160.12799999999999"/>
    <n v="150.52031999999997"/>
    <n v="0"/>
    <s v="CATIVO"/>
    <n v="0"/>
    <n v="29"/>
    <n v="30"/>
    <n v="67"/>
    <n v="28.57"/>
    <n v="149.63"/>
    <n v="230.03"/>
    <n v="31.93064187172984"/>
    <n v="54.203801879475932"/>
    <n v="282.91739971702214"/>
    <n v="1270.2222000000011"/>
    <n v="3647.6517888000062"/>
    <n v="1419.6363376171098"/>
    <n v="3238.952626154648"/>
    <x v="3"/>
  </r>
  <r>
    <s v="Regular"/>
    <x v="1"/>
    <x v="0"/>
    <x v="3"/>
    <x v="0"/>
    <x v="1"/>
    <x v="0"/>
    <x v="0"/>
    <x v="8"/>
    <n v="175"/>
    <n v="164.5"/>
    <n v="40.423000000000002"/>
    <n v="37.997619999999998"/>
    <n v="40.423000000000002"/>
    <n v="37.997619999999998"/>
    <n v="0"/>
    <s v="CATIVO"/>
    <n v="0"/>
    <n v="29"/>
    <n v="30"/>
    <n v="67"/>
    <n v="28.57"/>
    <n v="149.63"/>
    <n v="230.03"/>
    <n v="31.93064187172984"/>
    <n v="54.203801879475932"/>
    <n v="282.91739971702214"/>
    <n v="299.98500000000001"/>
    <n v="920.81977080000149"/>
    <n v="335.27173965316331"/>
    <n v="817.64701992811592"/>
    <x v="3"/>
  </r>
  <r>
    <s v="Sistema Isolado - Regular"/>
    <x v="1"/>
    <x v="0"/>
    <x v="3"/>
    <x v="0"/>
    <x v="1"/>
    <x v="0"/>
    <x v="0"/>
    <x v="8"/>
    <n v="813"/>
    <n v="764.22"/>
    <n v="167.11199999999999"/>
    <n v="157.08528000000001"/>
    <n v="167.11199999999999"/>
    <n v="157.08528000000001"/>
    <n v="0"/>
    <s v="CATIVO"/>
    <n v="0"/>
    <n v="29"/>
    <n v="30"/>
    <n v="67"/>
    <n v="28.57"/>
    <n v="149.63"/>
    <n v="230.03"/>
    <n v="31.93064187172984"/>
    <n v="54.203801879475932"/>
    <n v="282.91739971702214"/>
    <n v="1393.6445999999992"/>
    <n v="3806.7445151999937"/>
    <n v="1557.5767105029806"/>
    <n v="3380.2198944716338"/>
    <x v="3"/>
  </r>
  <r>
    <s v="Regular"/>
    <x v="1"/>
    <x v="0"/>
    <x v="3"/>
    <x v="0"/>
    <x v="1"/>
    <x v="0"/>
    <x v="0"/>
    <x v="9"/>
    <n v="190"/>
    <n v="178.6"/>
    <n v="43.35"/>
    <n v="40.749000000000002"/>
    <n v="43.35"/>
    <n v="40.749000000000002"/>
    <n v="0"/>
    <s v="CATIVO"/>
    <n v="0"/>
    <n v="29"/>
    <n v="30"/>
    <n v="67"/>
    <n v="28.57"/>
    <n v="149.63"/>
    <n v="230.03"/>
    <n v="31.93064187172984"/>
    <n v="54.203801879475932"/>
    <n v="282.91739971702214"/>
    <n v="325.69800000000015"/>
    <n v="987.49565999999959"/>
    <n v="364.00931733772035"/>
    <n v="876.8522453524912"/>
    <x v="3"/>
  </r>
  <r>
    <s v="Sistema Isolado - Regular"/>
    <x v="1"/>
    <x v="0"/>
    <x v="3"/>
    <x v="0"/>
    <x v="1"/>
    <x v="0"/>
    <x v="0"/>
    <x v="9"/>
    <n v="804"/>
    <n v="755.76"/>
    <n v="188.06399999999999"/>
    <n v="176.78016"/>
    <n v="188.06399999999999"/>
    <n v="176.78016"/>
    <n v="0"/>
    <s v="CATIVO"/>
    <n v="0"/>
    <n v="29"/>
    <n v="30"/>
    <n v="67"/>
    <n v="28.57"/>
    <n v="149.63"/>
    <n v="230.03"/>
    <n v="31.93064187172984"/>
    <n v="54.203801879475932"/>
    <n v="282.91739971702214"/>
    <n v="1378.2168000000004"/>
    <n v="4284.0226943999987"/>
    <n v="1540.3341638922477"/>
    <n v="3804.021699422628"/>
    <x v="3"/>
  </r>
  <r>
    <s v="Regular"/>
    <x v="1"/>
    <x v="0"/>
    <x v="3"/>
    <x v="0"/>
    <x v="1"/>
    <x v="0"/>
    <x v="0"/>
    <x v="10"/>
    <n v="509"/>
    <n v="478.46"/>
    <n v="43.2"/>
    <n v="40.607999999999997"/>
    <n v="43.2"/>
    <n v="40.607999999999997"/>
    <n v="0"/>
    <s v="CATIVO"/>
    <n v="0"/>
    <n v="29"/>
    <n v="30"/>
    <n v="67"/>
    <n v="28.57"/>
    <n v="149.63"/>
    <n v="230.03"/>
    <n v="31.93064187172984"/>
    <n v="54.203801879475932"/>
    <n v="282.91739971702214"/>
    <n v="872.52780000000064"/>
    <n v="984.07872000000225"/>
    <n v="975.16180276262992"/>
    <n v="873.81815453812499"/>
    <x v="3"/>
  </r>
  <r>
    <s v="Sistema Isolado - Regular"/>
    <x v="1"/>
    <x v="0"/>
    <x v="3"/>
    <x v="0"/>
    <x v="1"/>
    <x v="0"/>
    <x v="0"/>
    <x v="10"/>
    <n v="791"/>
    <n v="743.54"/>
    <n v="146.88"/>
    <n v="138.06720000000001"/>
    <n v="146.88"/>
    <n v="138.06720000000001"/>
    <n v="0"/>
    <s v="CATIVO"/>
    <n v="0"/>
    <n v="29"/>
    <n v="30"/>
    <n v="67"/>
    <n v="28.57"/>
    <n v="149.63"/>
    <n v="230.03"/>
    <n v="31.93064187172984"/>
    <n v="54.203801879475932"/>
    <n v="282.91739971702214"/>
    <n v="1355.9322000000011"/>
    <n v="3345.8676479999931"/>
    <n v="1515.4282632322993"/>
    <n v="2970.9817254296117"/>
    <x v="3"/>
  </r>
  <r>
    <s v="PROJETADO"/>
    <x v="1"/>
    <x v="0"/>
    <x v="3"/>
    <x v="0"/>
    <x v="1"/>
    <x v="0"/>
    <x v="0"/>
    <x v="11"/>
    <n v="509"/>
    <n v="478.46"/>
    <n v="43.2"/>
    <n v="40.607999999999997"/>
    <n v="43.2"/>
    <n v="40.607999999999997"/>
    <n v="0"/>
    <s v="CATIVO"/>
    <n v="0"/>
    <n v="29"/>
    <n v="30"/>
    <n v="67"/>
    <n v="28.57"/>
    <n v="149.63"/>
    <n v="230.03"/>
    <n v="31.93064187172984"/>
    <n v="54.203801879475932"/>
    <n v="282.91739971702214"/>
    <n v="872.52780000000064"/>
    <n v="984.07872000000225"/>
    <n v="975.16180276262992"/>
    <n v="873.81815453812499"/>
    <x v="3"/>
  </r>
  <r>
    <s v="PROJETADO"/>
    <x v="1"/>
    <x v="0"/>
    <x v="3"/>
    <x v="0"/>
    <x v="1"/>
    <x v="0"/>
    <x v="0"/>
    <x v="11"/>
    <n v="791"/>
    <n v="743.54"/>
    <n v="146.88"/>
    <n v="138.06720000000001"/>
    <n v="146.88"/>
    <n v="138.06720000000001"/>
    <n v="0"/>
    <s v="CATIVO"/>
    <n v="0"/>
    <n v="29"/>
    <n v="30"/>
    <n v="67"/>
    <n v="28.57"/>
    <n v="149.63"/>
    <n v="230.03"/>
    <n v="31.93064187172984"/>
    <n v="54.203801879475932"/>
    <n v="282.91739971702214"/>
    <n v="1355.9322000000011"/>
    <n v="3345.8676479999931"/>
    <n v="1515.4282632322993"/>
    <n v="2970.9817254296117"/>
    <x v="3"/>
  </r>
  <r>
    <s v="Regular"/>
    <x v="1"/>
    <x v="0"/>
    <x v="3"/>
    <x v="0"/>
    <x v="1"/>
    <x v="0"/>
    <x v="2"/>
    <x v="0"/>
    <n v="107"/>
    <n v="100.58"/>
    <n v="3.6070000000000002"/>
    <n v="3.3905799999999999"/>
    <n v="3.6070000000000002"/>
    <n v="3.3905799999999999"/>
    <n v="0"/>
    <s v="CATIVO"/>
    <n v="0"/>
    <n v="28"/>
    <n v="30"/>
    <n v="66"/>
    <n v="52.99"/>
    <n v="149.63"/>
    <n v="389.28"/>
    <n v="59.276351675174958"/>
    <n v="54.203801879475932"/>
    <n v="454.3285679284046"/>
    <n v="340.19580000000008"/>
    <n v="116.63090220000014"/>
    <n v="380.55417775462331"/>
    <n v="110.05657547382165"/>
    <x v="3"/>
  </r>
  <r>
    <s v="Sistema Isolado - Regular"/>
    <x v="1"/>
    <x v="0"/>
    <x v="3"/>
    <x v="0"/>
    <x v="1"/>
    <x v="0"/>
    <x v="2"/>
    <x v="0"/>
    <n v="741"/>
    <n v="696.54"/>
    <n v="28.32"/>
    <n v="26.620799999999999"/>
    <n v="28.32"/>
    <n v="26.620799999999999"/>
    <n v="0"/>
    <s v="CATIVO"/>
    <n v="0"/>
    <n v="28"/>
    <n v="30"/>
    <n v="66"/>
    <n v="52.99"/>
    <n v="149.63"/>
    <n v="389.28"/>
    <n v="59.276351675174958"/>
    <n v="54.203801879475932"/>
    <n v="454.3285679284046"/>
    <n v="2355.9354000000021"/>
    <n v="915.71587200000056"/>
    <n v="2635.4265954782809"/>
    <n v="864.09820277755125"/>
    <x v="3"/>
  </r>
  <r>
    <s v="Regular"/>
    <x v="1"/>
    <x v="0"/>
    <x v="3"/>
    <x v="0"/>
    <x v="1"/>
    <x v="0"/>
    <x v="2"/>
    <x v="1"/>
    <n v="103"/>
    <n v="96.82"/>
    <n v="3.8490000000000002"/>
    <n v="3.6180599999999998"/>
    <n v="3.8490000000000002"/>
    <n v="3.6180599999999998"/>
    <n v="0"/>
    <s v="CATIVO"/>
    <n v="0"/>
    <n v="28"/>
    <n v="30"/>
    <n v="66"/>
    <n v="52.99"/>
    <n v="149.63"/>
    <n v="389.28"/>
    <n v="59.276351675174958"/>
    <n v="54.203801879475932"/>
    <n v="454.3285679284046"/>
    <n v="327.47820000000036"/>
    <n v="124.45587540000018"/>
    <n v="366.32785335258166"/>
    <n v="117.44046548343212"/>
    <x v="3"/>
  </r>
  <r>
    <s v="Sistema Isolado - Regular"/>
    <x v="1"/>
    <x v="0"/>
    <x v="3"/>
    <x v="0"/>
    <x v="1"/>
    <x v="0"/>
    <x v="2"/>
    <x v="1"/>
    <n v="703"/>
    <n v="660.81999999999994"/>
    <n v="21.36"/>
    <n v="20.078399999999998"/>
    <n v="21.36"/>
    <n v="20.078399999999998"/>
    <n v="0"/>
    <s v="CATIVO"/>
    <n v="0"/>
    <n v="28"/>
    <n v="30"/>
    <n v="66"/>
    <n v="52.99"/>
    <n v="149.63"/>
    <n v="389.28"/>
    <n v="59.276351675174958"/>
    <n v="54.203801879475932"/>
    <n v="454.3285679284046"/>
    <n v="2235.1182000000035"/>
    <n v="690.66705600000046"/>
    <n v="2500.2765136588837"/>
    <n v="651.7350851457802"/>
    <x v="3"/>
  </r>
  <r>
    <s v="Regular"/>
    <x v="1"/>
    <x v="0"/>
    <x v="3"/>
    <x v="0"/>
    <x v="1"/>
    <x v="0"/>
    <x v="2"/>
    <x v="2"/>
    <n v="111"/>
    <n v="104.33999999999999"/>
    <n v="3.835"/>
    <n v="3.6048999999999998"/>
    <n v="3.835"/>
    <n v="3.6048999999999998"/>
    <n v="0"/>
    <s v="CATIVO"/>
    <n v="0"/>
    <n v="28"/>
    <n v="30"/>
    <n v="66"/>
    <n v="52.99"/>
    <n v="149.63"/>
    <n v="389.28"/>
    <n v="59.276351675174958"/>
    <n v="54.203801879475932"/>
    <n v="454.3285679284046"/>
    <n v="352.91340000000059"/>
    <n v="124.0031910000001"/>
    <n v="394.78050215666588"/>
    <n v="117.01329829279341"/>
    <x v="3"/>
  </r>
  <r>
    <s v="Sistema Isolado - Regular"/>
    <x v="1"/>
    <x v="0"/>
    <x v="3"/>
    <x v="0"/>
    <x v="1"/>
    <x v="0"/>
    <x v="2"/>
    <x v="2"/>
    <n v="712"/>
    <n v="669.28"/>
    <n v="23.76"/>
    <n v="22.334399999999999"/>
    <n v="23.76"/>
    <n v="22.334399999999999"/>
    <n v="0"/>
    <s v="CATIVO"/>
    <n v="0"/>
    <n v="28"/>
    <n v="30"/>
    <n v="66"/>
    <n v="52.99"/>
    <n v="149.63"/>
    <n v="389.28"/>
    <n v="59.276351675174958"/>
    <n v="54.203801879475932"/>
    <n v="454.3285679284046"/>
    <n v="2263.7328000000016"/>
    <n v="768.27009600000144"/>
    <n v="2532.285743563476"/>
    <n v="724.96374639811586"/>
    <x v="3"/>
  </r>
  <r>
    <s v="Regular"/>
    <x v="1"/>
    <x v="0"/>
    <x v="3"/>
    <x v="0"/>
    <x v="1"/>
    <x v="0"/>
    <x v="2"/>
    <x v="3"/>
    <n v="103"/>
    <n v="96.82"/>
    <n v="4.008"/>
    <n v="3.7675199999999998"/>
    <n v="4.008"/>
    <n v="3.7675199999999998"/>
    <n v="0"/>
    <s v="CATIVO"/>
    <n v="0"/>
    <n v="28"/>
    <n v="30"/>
    <n v="66"/>
    <n v="52.99"/>
    <n v="149.63"/>
    <n v="389.28"/>
    <n v="59.276351675174958"/>
    <n v="54.203801879475932"/>
    <n v="454.3285679284046"/>
    <n v="327.47820000000036"/>
    <n v="129.59707680000014"/>
    <n v="366.32785335258166"/>
    <n v="122.29186429139924"/>
    <x v="3"/>
  </r>
  <r>
    <s v="Sistema Isolado - Regular"/>
    <x v="1"/>
    <x v="0"/>
    <x v="3"/>
    <x v="0"/>
    <x v="1"/>
    <x v="0"/>
    <x v="2"/>
    <x v="3"/>
    <n v="688"/>
    <n v="646.71999999999991"/>
    <n v="25.777999999999999"/>
    <n v="24.231319999999997"/>
    <n v="25.777999999999999"/>
    <n v="24.231319999999997"/>
    <n v="0"/>
    <s v="CATIVO"/>
    <n v="0"/>
    <n v="28"/>
    <n v="30"/>
    <n v="66"/>
    <n v="52.99"/>
    <n v="149.63"/>
    <n v="389.28"/>
    <n v="59.276351675174958"/>
    <n v="54.203801879475932"/>
    <n v="454.3285679284046"/>
    <n v="2187.4272000000046"/>
    <n v="833.52131880000104"/>
    <n v="2446.9277971512274"/>
    <n v="786.53684573445378"/>
    <x v="3"/>
  </r>
  <r>
    <s v="Regular"/>
    <x v="1"/>
    <x v="0"/>
    <x v="3"/>
    <x v="0"/>
    <x v="1"/>
    <x v="0"/>
    <x v="2"/>
    <x v="4"/>
    <n v="100"/>
    <n v="94"/>
    <n v="4.0199999999999996"/>
    <n v="3.7787999999999995"/>
    <n v="4.0199999999999996"/>
    <n v="3.7787999999999995"/>
    <n v="0"/>
    <s v="CATIVO"/>
    <n v="0"/>
    <n v="28"/>
    <n v="30"/>
    <n v="66"/>
    <n v="52.99"/>
    <n v="149.63"/>
    <n v="389.28"/>
    <n v="59.276351675174958"/>
    <n v="54.203801879475932"/>
    <n v="454.3285679284046"/>
    <n v="317.94"/>
    <n v="129.98509200000004"/>
    <n v="355.65811005104973"/>
    <n v="122.65800759766083"/>
    <x v="3"/>
  </r>
  <r>
    <s v="Sistema Isolado - Regular"/>
    <x v="1"/>
    <x v="0"/>
    <x v="3"/>
    <x v="0"/>
    <x v="1"/>
    <x v="0"/>
    <x v="2"/>
    <x v="4"/>
    <n v="584"/>
    <n v="548.95999999999992"/>
    <n v="27.468"/>
    <n v="25.81992"/>
    <n v="27.468"/>
    <n v="25.81992"/>
    <n v="0"/>
    <s v="CATIVO"/>
    <n v="0"/>
    <n v="28"/>
    <n v="30"/>
    <n v="66"/>
    <n v="52.99"/>
    <n v="149.63"/>
    <n v="389.28"/>
    <n v="59.276351675174958"/>
    <n v="54.203801879475932"/>
    <n v="454.3285679284046"/>
    <n v="1856.7696000000042"/>
    <n v="888.16679280000005"/>
    <n v="2077.0433626981353"/>
    <n v="838.10202803297182"/>
    <x v="3"/>
  </r>
  <r>
    <s v="Regular"/>
    <x v="1"/>
    <x v="0"/>
    <x v="3"/>
    <x v="0"/>
    <x v="1"/>
    <x v="0"/>
    <x v="2"/>
    <x v="5"/>
    <n v="95"/>
    <n v="89.3"/>
    <n v="3.58"/>
    <n v="3.3651999999999997"/>
    <n v="3.58"/>
    <n v="3.3651999999999997"/>
    <n v="0"/>
    <s v="CATIVO"/>
    <n v="0"/>
    <n v="28"/>
    <n v="30"/>
    <n v="66"/>
    <n v="52.99"/>
    <n v="149.63"/>
    <n v="389.28"/>
    <n v="59.276351675174958"/>
    <n v="54.203801879475932"/>
    <n v="454.3285679284046"/>
    <n v="302.04300000000018"/>
    <n v="115.75786800000017"/>
    <n v="337.87520454849744"/>
    <n v="109.23275303473291"/>
    <x v="3"/>
  </r>
  <r>
    <s v="Sistema Isolado - Regular"/>
    <x v="1"/>
    <x v="0"/>
    <x v="3"/>
    <x v="0"/>
    <x v="1"/>
    <x v="0"/>
    <x v="2"/>
    <x v="5"/>
    <n v="702"/>
    <n v="659.88"/>
    <n v="27.431999999999999"/>
    <n v="25.786079999999998"/>
    <n v="27.431999999999999"/>
    <n v="25.786079999999998"/>
    <n v="0"/>
    <s v="CATIVO"/>
    <n v="0"/>
    <n v="28"/>
    <n v="30"/>
    <n v="66"/>
    <n v="52.99"/>
    <n v="149.63"/>
    <n v="389.28"/>
    <n v="59.276351675174958"/>
    <n v="54.203801879475932"/>
    <n v="454.3285679284046"/>
    <n v="2231.9388000000004"/>
    <n v="887.00274720000004"/>
    <n v="2496.7199325583697"/>
    <n v="837.00359811418684"/>
    <x v="3"/>
  </r>
  <r>
    <s v="Regular"/>
    <x v="1"/>
    <x v="0"/>
    <x v="3"/>
    <x v="0"/>
    <x v="1"/>
    <x v="0"/>
    <x v="2"/>
    <x v="6"/>
    <n v="94"/>
    <n v="88.36"/>
    <n v="3.7749999999999999"/>
    <n v="3.5485000000000002"/>
    <n v="3.7749999999999999"/>
    <n v="3.5485000000000002"/>
    <n v="0"/>
    <s v="CATIVO"/>
    <n v="0"/>
    <n v="28"/>
    <n v="30"/>
    <n v="66"/>
    <n v="52.99"/>
    <n v="149.63"/>
    <n v="389.28"/>
    <n v="59.276351675174958"/>
    <n v="54.203801879475932"/>
    <n v="454.3285679284046"/>
    <n v="298.86360000000002"/>
    <n v="122.06311499999983"/>
    <n v="334.31862344798679"/>
    <n v="115.18258176148478"/>
    <x v="3"/>
  </r>
  <r>
    <s v="Sistema Isolado - Regular"/>
    <x v="1"/>
    <x v="0"/>
    <x v="3"/>
    <x v="0"/>
    <x v="1"/>
    <x v="0"/>
    <x v="2"/>
    <x v="6"/>
    <n v="638"/>
    <n v="599.72"/>
    <n v="32.472000000000001"/>
    <n v="30.523679999999999"/>
    <n v="32.472000000000001"/>
    <n v="30.523679999999999"/>
    <n v="0"/>
    <s v="CATIVO"/>
    <n v="0"/>
    <n v="28"/>
    <n v="30"/>
    <n v="66"/>
    <n v="52.99"/>
    <n v="149.63"/>
    <n v="389.28"/>
    <n v="59.276351675174958"/>
    <n v="54.203801879475932"/>
    <n v="454.3285679284046"/>
    <n v="2028.4571999999987"/>
    <n v="1049.9691312000014"/>
    <n v="2269.0987421256959"/>
    <n v="990.783786744091"/>
    <x v="3"/>
  </r>
  <r>
    <s v="Regular"/>
    <x v="1"/>
    <x v="0"/>
    <x v="3"/>
    <x v="0"/>
    <x v="1"/>
    <x v="0"/>
    <x v="2"/>
    <x v="7"/>
    <n v="91"/>
    <n v="85.54"/>
    <n v="3.9079999999999999"/>
    <n v="3.6735199999999999"/>
    <n v="3.9079999999999999"/>
    <n v="3.6735199999999999"/>
    <n v="0"/>
    <s v="CATIVO"/>
    <n v="0"/>
    <n v="28"/>
    <n v="30"/>
    <n v="66"/>
    <n v="52.99"/>
    <n v="149.63"/>
    <n v="389.28"/>
    <n v="59.276351675174958"/>
    <n v="54.203801879475932"/>
    <n v="454.3285679284046"/>
    <n v="289.32539999999966"/>
    <n v="126.36361680000002"/>
    <n v="323.64888014645487"/>
    <n v="119.24067007255184"/>
    <x v="3"/>
  </r>
  <r>
    <s v="Sistema Isolado - Regular"/>
    <x v="1"/>
    <x v="0"/>
    <x v="3"/>
    <x v="0"/>
    <x v="1"/>
    <x v="0"/>
    <x v="2"/>
    <x v="7"/>
    <n v="615"/>
    <n v="578.1"/>
    <n v="21.815999999999999"/>
    <n v="20.507039999999996"/>
    <n v="21.815999999999999"/>
    <n v="20.507039999999996"/>
    <n v="0"/>
    <s v="CATIVO"/>
    <n v="0"/>
    <n v="28"/>
    <n v="30"/>
    <n v="66"/>
    <n v="52.99"/>
    <n v="149.63"/>
    <n v="389.28"/>
    <n v="59.276351675174958"/>
    <n v="54.203801879475932"/>
    <n v="454.3285679284046"/>
    <n v="1955.3309999999988"/>
    <n v="705.41163360000132"/>
    <n v="2187.2973768139545"/>
    <n v="665.64853078372448"/>
    <x v="3"/>
  </r>
  <r>
    <s v="Regular"/>
    <x v="1"/>
    <x v="0"/>
    <x v="3"/>
    <x v="0"/>
    <x v="1"/>
    <x v="0"/>
    <x v="2"/>
    <x v="8"/>
    <n v="99"/>
    <n v="93.06"/>
    <n v="4.2619999999999996"/>
    <n v="4.0062800000000003"/>
    <n v="4.2619999999999996"/>
    <n v="4.0062800000000003"/>
    <n v="0"/>
    <s v="CATIVO"/>
    <n v="0"/>
    <n v="28"/>
    <n v="30"/>
    <n v="66"/>
    <n v="52.99"/>
    <n v="149.63"/>
    <n v="389.28"/>
    <n v="59.276351675174958"/>
    <n v="54.203801879475932"/>
    <n v="454.3285679284046"/>
    <n v="314.7605999999999"/>
    <n v="137.8100651999996"/>
    <n v="352.10152895053909"/>
    <n v="130.04189760727084"/>
    <x v="3"/>
  </r>
  <r>
    <s v="Sistema Isolado - Regular"/>
    <x v="1"/>
    <x v="0"/>
    <x v="3"/>
    <x v="0"/>
    <x v="1"/>
    <x v="0"/>
    <x v="2"/>
    <x v="8"/>
    <n v="461"/>
    <n v="433.34"/>
    <n v="9.5039999999999996"/>
    <n v="8.9337599999999995"/>
    <n v="9.5039999999999996"/>
    <n v="8.9337599999999995"/>
    <n v="0"/>
    <s v="CATIVO"/>
    <n v="0"/>
    <n v="28"/>
    <n v="30"/>
    <n v="66"/>
    <n v="52.99"/>
    <n v="149.63"/>
    <n v="389.28"/>
    <n v="59.276351675174958"/>
    <n v="54.203801879475932"/>
    <n v="454.3285679284046"/>
    <n v="1465.7034000000015"/>
    <n v="307.30803839999999"/>
    <n v="1639.5838873353407"/>
    <n v="289.9854985592458"/>
    <x v="3"/>
  </r>
  <r>
    <s v="Regular"/>
    <x v="1"/>
    <x v="0"/>
    <x v="3"/>
    <x v="0"/>
    <x v="1"/>
    <x v="0"/>
    <x v="2"/>
    <x v="9"/>
    <n v="102"/>
    <n v="95.88"/>
    <n v="4.093"/>
    <n v="3.8474200000000001"/>
    <n v="4.093"/>
    <n v="3.8474200000000001"/>
    <n v="0"/>
    <s v="CATIVO"/>
    <n v="0"/>
    <n v="28"/>
    <n v="30"/>
    <n v="66"/>
    <n v="52.99"/>
    <n v="149.63"/>
    <n v="389.28"/>
    <n v="59.276351675174958"/>
    <n v="54.203801879475932"/>
    <n v="454.3285679284046"/>
    <n v="324.29880000000026"/>
    <n v="132.34551779999993"/>
    <n v="362.77127225207101"/>
    <n v="124.88537937741926"/>
    <x v="3"/>
  </r>
  <r>
    <s v="Sistema Isolado - Regular"/>
    <x v="1"/>
    <x v="0"/>
    <x v="3"/>
    <x v="0"/>
    <x v="1"/>
    <x v="0"/>
    <x v="2"/>
    <x v="9"/>
    <n v="719"/>
    <n v="675.86"/>
    <n v="10.656000000000001"/>
    <n v="10.016640000000001"/>
    <n v="10.656000000000001"/>
    <n v="10.016640000000001"/>
    <n v="0"/>
    <s v="CATIVO"/>
    <n v="0"/>
    <n v="28"/>
    <n v="30"/>
    <n v="66"/>
    <n v="52.99"/>
    <n v="149.63"/>
    <n v="389.28"/>
    <n v="59.276351675174958"/>
    <n v="54.203801879475932"/>
    <n v="454.3285679284046"/>
    <n v="2285.9885999999992"/>
    <n v="344.55749759999992"/>
    <n v="2557.1818112670467"/>
    <n v="325.13525596036646"/>
    <x v="3"/>
  </r>
  <r>
    <s v="Regular"/>
    <x v="1"/>
    <x v="0"/>
    <x v="3"/>
    <x v="0"/>
    <x v="1"/>
    <x v="0"/>
    <x v="2"/>
    <x v="10"/>
    <n v="660"/>
    <n v="620.4"/>
    <n v="4.327"/>
    <n v="4.06738"/>
    <n v="4.327"/>
    <n v="4.06738"/>
    <n v="0"/>
    <s v="CATIVO"/>
    <n v="0"/>
    <n v="28"/>
    <n v="30"/>
    <n v="66"/>
    <n v="52.99"/>
    <n v="149.63"/>
    <n v="389.28"/>
    <n v="59.276351675174958"/>
    <n v="54.203801879475932"/>
    <n v="454.3285679284046"/>
    <n v="2098.4040000000014"/>
    <n v="139.91181419999998"/>
    <n v="2347.3435263369297"/>
    <n v="132.02517384952193"/>
    <x v="3"/>
  </r>
  <r>
    <s v="Sistema Isolado - Regular"/>
    <x v="1"/>
    <x v="0"/>
    <x v="3"/>
    <x v="0"/>
    <x v="1"/>
    <x v="0"/>
    <x v="2"/>
    <x v="10"/>
    <n v="671"/>
    <n v="630.74"/>
    <n v="7.6319999999999997"/>
    <n v="7.17408"/>
    <n v="7.6319999999999997"/>
    <n v="7.17408"/>
    <n v="0"/>
    <s v="CATIVO"/>
    <n v="0"/>
    <n v="28"/>
    <n v="30"/>
    <n v="66"/>
    <n v="52.99"/>
    <n v="149.63"/>
    <n v="389.28"/>
    <n v="59.276351675174958"/>
    <n v="54.203801879475932"/>
    <n v="454.3285679284046"/>
    <n v="2133.3773999999994"/>
    <n v="246.7776671999998"/>
    <n v="2386.4659184425432"/>
    <n v="232.86714278242448"/>
    <x v="3"/>
  </r>
  <r>
    <s v="PROJETADO"/>
    <x v="1"/>
    <x v="0"/>
    <x v="3"/>
    <x v="0"/>
    <x v="1"/>
    <x v="0"/>
    <x v="2"/>
    <x v="11"/>
    <n v="660"/>
    <n v="620.4"/>
    <n v="4.327"/>
    <n v="4.06738"/>
    <n v="4.327"/>
    <n v="4.06738"/>
    <n v="0"/>
    <s v="CATIVO"/>
    <n v="0"/>
    <n v="28"/>
    <n v="30"/>
    <n v="66"/>
    <n v="52.99"/>
    <n v="149.63"/>
    <n v="389.28"/>
    <n v="59.276351675174958"/>
    <n v="54.203801879475932"/>
    <n v="454.3285679284046"/>
    <n v="2098.4040000000014"/>
    <n v="139.91181419999998"/>
    <n v="2347.3435263369297"/>
    <n v="132.02517384952193"/>
    <x v="3"/>
  </r>
  <r>
    <s v="PROJETADO"/>
    <x v="1"/>
    <x v="0"/>
    <x v="3"/>
    <x v="0"/>
    <x v="1"/>
    <x v="0"/>
    <x v="2"/>
    <x v="11"/>
    <n v="671"/>
    <n v="630.74"/>
    <n v="7.6319999999999997"/>
    <n v="7.17408"/>
    <n v="7.6319999999999997"/>
    <n v="7.17408"/>
    <n v="0"/>
    <s v="CATIVO"/>
    <n v="0"/>
    <n v="28"/>
    <n v="30"/>
    <n v="66"/>
    <n v="52.99"/>
    <n v="149.63"/>
    <n v="389.28"/>
    <n v="59.276351675174958"/>
    <n v="54.203801879475932"/>
    <n v="454.3285679284046"/>
    <n v="2133.3773999999994"/>
    <n v="246.7776671999998"/>
    <n v="2386.4659184425432"/>
    <n v="232.86714278242448"/>
    <x v="3"/>
  </r>
  <r>
    <s v="Regular"/>
    <x v="1"/>
    <x v="0"/>
    <x v="1"/>
    <x v="1"/>
    <x v="1"/>
    <x v="0"/>
    <x v="0"/>
    <x v="0"/>
    <n v="1274"/>
    <n v="1082.8999999999999"/>
    <n v="446.23700000000002"/>
    <n v="406.07567000000006"/>
    <n v="446.23700000000002"/>
    <n v="406.07567000000006"/>
    <n v="0"/>
    <s v="CATIVO"/>
    <n v="0"/>
    <n v="29"/>
    <n v="30"/>
    <n v="67"/>
    <n v="28.57"/>
    <n v="149.63"/>
    <n v="230.03"/>
    <n v="31.93064187172984"/>
    <n v="54.203801879475932"/>
    <n v="282.91739971702214"/>
    <n v="5459.7270000000035"/>
    <n v="15247.650547799985"/>
    <n v="6101.9456616875768"/>
    <n v="13539.235827313474"/>
    <x v="1"/>
  </r>
  <r>
    <s v="Sistema Isolado - Regular"/>
    <x v="1"/>
    <x v="0"/>
    <x v="1"/>
    <x v="1"/>
    <x v="1"/>
    <x v="0"/>
    <x v="0"/>
    <x v="0"/>
    <n v="605"/>
    <n v="514.25"/>
    <n v="261.67700000000002"/>
    <n v="238.12607000000003"/>
    <n v="261.67700000000002"/>
    <n v="238.12607000000003"/>
    <n v="0"/>
    <s v="CATIVO"/>
    <n v="0"/>
    <n v="29"/>
    <n v="30"/>
    <n v="67"/>
    <n v="28.57"/>
    <n v="149.63"/>
    <n v="230.03"/>
    <n v="31.93064187172984"/>
    <n v="54.203801879475932"/>
    <n v="282.91739971702214"/>
    <n v="2592.7275"/>
    <n v="8941.3460837999974"/>
    <n v="2897.7057498594831"/>
    <n v="7939.5178203150126"/>
    <x v="1"/>
  </r>
  <r>
    <s v="Regular"/>
    <x v="1"/>
    <x v="0"/>
    <x v="1"/>
    <x v="1"/>
    <x v="1"/>
    <x v="0"/>
    <x v="0"/>
    <x v="1"/>
    <n v="1275"/>
    <n v="1083.75"/>
    <n v="462.72300000000001"/>
    <n v="421.07793000000004"/>
    <n v="462.72300000000001"/>
    <n v="421.07793000000004"/>
    <n v="0"/>
    <s v="CATIVO"/>
    <n v="0"/>
    <n v="29"/>
    <n v="30"/>
    <n v="67"/>
    <n v="28.57"/>
    <n v="149.63"/>
    <n v="230.03"/>
    <n v="31.93064187172984"/>
    <n v="54.203801879475932"/>
    <n v="282.91739971702214"/>
    <n v="5464.0124999999998"/>
    <n v="15810.967276199992"/>
    <n v="6106.735257968332"/>
    <n v="14039.436038970265"/>
    <x v="1"/>
  </r>
  <r>
    <s v="Sistema Isolado - Regular"/>
    <x v="1"/>
    <x v="0"/>
    <x v="1"/>
    <x v="1"/>
    <x v="1"/>
    <x v="0"/>
    <x v="0"/>
    <x v="1"/>
    <n v="612"/>
    <n v="520.19999999999993"/>
    <n v="299.572"/>
    <n v="272.61052000000001"/>
    <n v="299.572"/>
    <n v="272.61052000000001"/>
    <n v="0"/>
    <s v="CATIVO"/>
    <n v="0"/>
    <n v="29"/>
    <n v="30"/>
    <n v="67"/>
    <n v="28.57"/>
    <n v="149.63"/>
    <n v="230.03"/>
    <n v="31.93064187172984"/>
    <n v="54.203801879475932"/>
    <n v="282.91739971702214"/>
    <n v="2622.7260000000019"/>
    <n v="10236.195496799997"/>
    <n v="2931.2329238248017"/>
    <n v="9089.286534419949"/>
    <x v="1"/>
  </r>
  <r>
    <s v="Regular"/>
    <x v="1"/>
    <x v="0"/>
    <x v="1"/>
    <x v="1"/>
    <x v="1"/>
    <x v="0"/>
    <x v="0"/>
    <x v="2"/>
    <n v="1336"/>
    <n v="1135.5999999999999"/>
    <n v="461.69600000000003"/>
    <n v="420.14336000000003"/>
    <n v="461.69600000000003"/>
    <n v="420.14336000000003"/>
    <n v="0"/>
    <s v="CATIVO"/>
    <n v="0"/>
    <n v="29"/>
    <n v="30"/>
    <n v="67"/>
    <n v="28.57"/>
    <n v="149.63"/>
    <n v="230.03"/>
    <n v="31.93064187172984"/>
    <n v="54.203801879475932"/>
    <n v="282.91739971702214"/>
    <n v="5725.4280000000026"/>
    <n v="15775.875302399998"/>
    <n v="6398.9006310946625"/>
    <n v="14008.275926306709"/>
    <x v="1"/>
  </r>
  <r>
    <s v="Sistema Isolado - Regular"/>
    <x v="1"/>
    <x v="0"/>
    <x v="1"/>
    <x v="1"/>
    <x v="1"/>
    <x v="0"/>
    <x v="0"/>
    <x v="2"/>
    <n v="611"/>
    <n v="519.35"/>
    <n v="293.57900000000001"/>
    <n v="267.15689000000003"/>
    <n v="293.57900000000001"/>
    <n v="267.15689000000003"/>
    <n v="0"/>
    <s v="CATIVO"/>
    <n v="0"/>
    <n v="29"/>
    <n v="30"/>
    <n v="67"/>
    <n v="28.57"/>
    <n v="149.63"/>
    <n v="230.03"/>
    <n v="31.93064187172984"/>
    <n v="54.203801879475932"/>
    <n v="282.91739971702214"/>
    <n v="2618.4404999999992"/>
    <n v="10031.418282599991"/>
    <n v="2926.4433275440392"/>
    <n v="8907.4534719148396"/>
    <x v="1"/>
  </r>
  <r>
    <s v="Regular"/>
    <x v="1"/>
    <x v="0"/>
    <x v="1"/>
    <x v="1"/>
    <x v="1"/>
    <x v="0"/>
    <x v="0"/>
    <x v="3"/>
    <n v="1365"/>
    <n v="1160.25"/>
    <n v="405.6"/>
    <n v="369.09600000000006"/>
    <n v="405.6"/>
    <n v="369.09600000000006"/>
    <n v="0"/>
    <s v="CATIVO"/>
    <n v="0"/>
    <n v="29"/>
    <n v="30"/>
    <n v="67"/>
    <n v="28.57"/>
    <n v="149.63"/>
    <n v="230.03"/>
    <n v="31.93064187172984"/>
    <n v="54.203801879475932"/>
    <n v="282.91739971702214"/>
    <n v="5849.7075000000004"/>
    <n v="13859.108639999984"/>
    <n v="6537.7989232366845"/>
    <n v="12306.272343078554"/>
    <x v="1"/>
  </r>
  <r>
    <s v="Sistema Isolado - Regular"/>
    <x v="1"/>
    <x v="0"/>
    <x v="1"/>
    <x v="1"/>
    <x v="1"/>
    <x v="0"/>
    <x v="0"/>
    <x v="3"/>
    <n v="611"/>
    <n v="519.35"/>
    <n v="256.74900000000002"/>
    <n v="233.64159000000004"/>
    <n v="256.74900000000002"/>
    <n v="233.64159000000004"/>
    <n v="0"/>
    <s v="CATIVO"/>
    <n v="0"/>
    <n v="29"/>
    <n v="30"/>
    <n v="67"/>
    <n v="28.57"/>
    <n v="149.63"/>
    <n v="230.03"/>
    <n v="31.93064187172984"/>
    <n v="54.203801879475932"/>
    <n v="282.91739971702214"/>
    <n v="2618.4404999999992"/>
    <n v="8772.9592805999946"/>
    <n v="2926.4433275440392"/>
    <n v="7789.997824982931"/>
    <x v="1"/>
  </r>
  <r>
    <s v="Regular"/>
    <x v="1"/>
    <x v="0"/>
    <x v="1"/>
    <x v="1"/>
    <x v="1"/>
    <x v="0"/>
    <x v="0"/>
    <x v="4"/>
    <n v="1320"/>
    <n v="1122"/>
    <n v="418.74900000000002"/>
    <n v="381.06159000000002"/>
    <n v="418.74900000000002"/>
    <n v="381.06159000000002"/>
    <n v="0"/>
    <s v="CATIVO"/>
    <n v="0"/>
    <n v="29"/>
    <n v="30"/>
    <n v="67"/>
    <n v="28.57"/>
    <n v="149.63"/>
    <n v="230.03"/>
    <n v="31.93064187172984"/>
    <n v="54.203801879475932"/>
    <n v="282.91739971702214"/>
    <n v="5656.86"/>
    <n v="14308.402080600001"/>
    <n v="6322.2670906025087"/>
    <n v="12705.224944259877"/>
    <x v="1"/>
  </r>
  <r>
    <s v="Sistema Isolado - Regular"/>
    <x v="1"/>
    <x v="0"/>
    <x v="1"/>
    <x v="1"/>
    <x v="1"/>
    <x v="0"/>
    <x v="0"/>
    <x v="4"/>
    <n v="610"/>
    <n v="518.5"/>
    <n v="289.87400000000002"/>
    <n v="263.78534000000002"/>
    <n v="289.87400000000002"/>
    <n v="263.78534000000002"/>
    <n v="0"/>
    <s v="CATIVO"/>
    <n v="0"/>
    <n v="29"/>
    <n v="30"/>
    <n v="67"/>
    <n v="28.57"/>
    <n v="149.63"/>
    <n v="230.03"/>
    <n v="31.93064187172984"/>
    <n v="54.203801879475932"/>
    <n v="282.91739971702214"/>
    <n v="2614.1550000000002"/>
    <n v="9904.8206556000023"/>
    <n v="2921.6537312632804"/>
    <n v="8795.0404072424972"/>
    <x v="1"/>
  </r>
  <r>
    <s v="Regular"/>
    <x v="1"/>
    <x v="0"/>
    <x v="1"/>
    <x v="1"/>
    <x v="1"/>
    <x v="0"/>
    <x v="0"/>
    <x v="5"/>
    <n v="938"/>
    <n v="797.3"/>
    <n v="263.48"/>
    <n v="239.76680000000002"/>
    <n v="263.48"/>
    <n v="239.76680000000002"/>
    <n v="0"/>
    <s v="CATIVO"/>
    <n v="0"/>
    <n v="29"/>
    <n v="30"/>
    <n v="67"/>
    <n v="28.57"/>
    <n v="149.63"/>
    <n v="230.03"/>
    <n v="31.93064187172984"/>
    <n v="54.203801879475932"/>
    <n v="282.91739971702214"/>
    <n v="4019.7990000000013"/>
    <n v="9002.953512"/>
    <n v="4492.6413113523895"/>
    <n v="7994.2224776980784"/>
    <x v="1"/>
  </r>
  <r>
    <s v="Sistema Isolado - Regular"/>
    <x v="1"/>
    <x v="0"/>
    <x v="1"/>
    <x v="1"/>
    <x v="1"/>
    <x v="0"/>
    <x v="0"/>
    <x v="5"/>
    <n v="616"/>
    <n v="523.6"/>
    <n v="273.05500000000001"/>
    <n v="248.48005000000001"/>
    <n v="273.05500000000001"/>
    <n v="248.48005000000001"/>
    <n v="0"/>
    <s v="CATIVO"/>
    <n v="0"/>
    <n v="29"/>
    <n v="30"/>
    <n v="67"/>
    <n v="28.57"/>
    <n v="149.63"/>
    <n v="230.03"/>
    <n v="31.93064187172984"/>
    <n v="54.203801879475932"/>
    <n v="282.91739971702214"/>
    <n v="2639.8679999999995"/>
    <n v="9330.1255170000004"/>
    <n v="2950.3913089478365"/>
    <n v="8284.7366731738603"/>
    <x v="1"/>
  </r>
  <r>
    <s v="Regular"/>
    <x v="1"/>
    <x v="0"/>
    <x v="1"/>
    <x v="1"/>
    <x v="1"/>
    <x v="0"/>
    <x v="0"/>
    <x v="6"/>
    <n v="1114"/>
    <n v="946.9"/>
    <n v="295.05900000000003"/>
    <n v="268.50369000000001"/>
    <n v="295.05900000000003"/>
    <n v="268.50369000000001"/>
    <n v="0"/>
    <s v="CATIVO"/>
    <n v="0"/>
    <n v="29"/>
    <n v="30"/>
    <n v="67"/>
    <n v="28.57"/>
    <n v="149.63"/>
    <n v="230.03"/>
    <n v="31.93064187172984"/>
    <n v="54.203801879475932"/>
    <n v="282.91739971702214"/>
    <n v="4774.0470000000005"/>
    <n v="10081.988994600008"/>
    <n v="5335.6102567660573"/>
    <n v="8952.3580159675075"/>
    <x v="1"/>
  </r>
  <r>
    <s v="Sistema Isolado - Regular"/>
    <x v="1"/>
    <x v="0"/>
    <x v="1"/>
    <x v="1"/>
    <x v="1"/>
    <x v="0"/>
    <x v="0"/>
    <x v="6"/>
    <n v="640"/>
    <n v="544"/>
    <n v="277.32"/>
    <n v="252.3612"/>
    <n v="277.32"/>
    <n v="252.3612"/>
    <n v="0"/>
    <s v="CATIVO"/>
    <n v="0"/>
    <n v="29"/>
    <n v="30"/>
    <n v="67"/>
    <n v="28.57"/>
    <n v="149.63"/>
    <n v="230.03"/>
    <n v="31.93064187172984"/>
    <n v="54.203801879475932"/>
    <n v="282.91739971702214"/>
    <n v="2742.7200000000003"/>
    <n v="9475.8580079999992"/>
    <n v="3065.3416196860644"/>
    <n v="8414.1406464066749"/>
    <x v="1"/>
  </r>
  <r>
    <s v="Regular"/>
    <x v="1"/>
    <x v="0"/>
    <x v="1"/>
    <x v="1"/>
    <x v="1"/>
    <x v="0"/>
    <x v="0"/>
    <x v="7"/>
    <n v="966"/>
    <n v="821.1"/>
    <n v="238.61199999999999"/>
    <n v="217.13692"/>
    <n v="238.61199999999999"/>
    <n v="217.13692"/>
    <n v="0"/>
    <s v="CATIVO"/>
    <n v="0"/>
    <n v="29"/>
    <n v="30"/>
    <n v="67"/>
    <n v="28.57"/>
    <n v="149.63"/>
    <n v="230.03"/>
    <n v="31.93064187172984"/>
    <n v="54.203801879475932"/>
    <n v="282.91739971702214"/>
    <n v="4139.7929999999997"/>
    <n v="8153.2288727999967"/>
    <n v="4626.7500072136527"/>
    <n v="7239.7047739809204"/>
    <x v="1"/>
  </r>
  <r>
    <s v="Sistema Isolado - Regular"/>
    <x v="1"/>
    <x v="0"/>
    <x v="1"/>
    <x v="1"/>
    <x v="1"/>
    <x v="0"/>
    <x v="0"/>
    <x v="7"/>
    <n v="646"/>
    <n v="549.1"/>
    <n v="264.84899999999999"/>
    <n v="241.01258999999999"/>
    <n v="264.84899999999999"/>
    <n v="241.01258999999999"/>
    <n v="0"/>
    <s v="CATIVO"/>
    <n v="0"/>
    <n v="29"/>
    <n v="30"/>
    <n v="67"/>
    <n v="28.57"/>
    <n v="149.63"/>
    <n v="230.03"/>
    <n v="31.93064187172984"/>
    <n v="54.203801879475932"/>
    <n v="282.91739971702214"/>
    <n v="2768.4329999999995"/>
    <n v="9049.731420600001"/>
    <n v="3094.0791973706209"/>
    <n v="8035.7591809467831"/>
    <x v="1"/>
  </r>
  <r>
    <s v="Regular"/>
    <x v="1"/>
    <x v="0"/>
    <x v="1"/>
    <x v="1"/>
    <x v="1"/>
    <x v="0"/>
    <x v="0"/>
    <x v="8"/>
    <n v="1746"/>
    <n v="1484.1"/>
    <n v="157.25700000000001"/>
    <n v="143.10387"/>
    <n v="157.25700000000001"/>
    <n v="143.10387"/>
    <n v="0"/>
    <s v="CATIVO"/>
    <n v="0"/>
    <n v="29"/>
    <n v="30"/>
    <n v="67"/>
    <n v="28.57"/>
    <n v="149.63"/>
    <n v="230.03"/>
    <n v="31.93064187172984"/>
    <n v="54.203801879475932"/>
    <n v="282.91739971702214"/>
    <n v="7482.4830000000029"/>
    <n v="5373.3773358000017"/>
    <n v="8362.6351062060476"/>
    <n v="4771.3201919514468"/>
    <x v="1"/>
  </r>
  <r>
    <s v="Sistema Isolado - Regular"/>
    <x v="1"/>
    <x v="0"/>
    <x v="1"/>
    <x v="1"/>
    <x v="1"/>
    <x v="0"/>
    <x v="0"/>
    <x v="8"/>
    <n v="624"/>
    <n v="530.4"/>
    <n v="283.92599999999999"/>
    <n v="258.37266"/>
    <n v="283.92599999999999"/>
    <n v="258.37266"/>
    <n v="0"/>
    <s v="CATIVO"/>
    <n v="0"/>
    <n v="29"/>
    <n v="30"/>
    <n v="67"/>
    <n v="28.57"/>
    <n v="149.63"/>
    <n v="230.03"/>
    <n v="31.93064187172984"/>
    <n v="54.203801879475932"/>
    <n v="282.91739971702214"/>
    <n v="2674.1520000000005"/>
    <n v="9701.5810643999976"/>
    <n v="2988.7080791939138"/>
    <n v="8614.5726856038546"/>
    <x v="1"/>
  </r>
  <r>
    <s v="Regular"/>
    <x v="1"/>
    <x v="0"/>
    <x v="1"/>
    <x v="1"/>
    <x v="1"/>
    <x v="0"/>
    <x v="0"/>
    <x v="9"/>
    <n v="1746"/>
    <n v="1484.1"/>
    <n v="129.04400000000001"/>
    <n v="117.43004000000001"/>
    <n v="129.04400000000001"/>
    <n v="117.43004000000001"/>
    <n v="0"/>
    <s v="CATIVO"/>
    <n v="0"/>
    <n v="29"/>
    <n v="30"/>
    <n v="67"/>
    <n v="28.57"/>
    <n v="149.63"/>
    <n v="230.03"/>
    <n v="31.93064187172984"/>
    <n v="54.203801879475932"/>
    <n v="282.91739971702214"/>
    <n v="7482.4830000000029"/>
    <n v="4409.3560536000023"/>
    <n v="8362.6351062060476"/>
    <n v="3915.3121504936666"/>
    <x v="1"/>
  </r>
  <r>
    <s v="Sistema Isolado - Regular"/>
    <x v="1"/>
    <x v="0"/>
    <x v="1"/>
    <x v="1"/>
    <x v="1"/>
    <x v="0"/>
    <x v="0"/>
    <x v="9"/>
    <n v="648"/>
    <n v="550.79999999999995"/>
    <n v="268.27699999999999"/>
    <n v="244.13207"/>
    <n v="268.27699999999999"/>
    <n v="244.13207"/>
    <n v="0"/>
    <s v="CATIVO"/>
    <n v="0"/>
    <n v="29"/>
    <n v="30"/>
    <n v="67"/>
    <n v="28.57"/>
    <n v="149.63"/>
    <n v="230.03"/>
    <n v="31.93064187172984"/>
    <n v="54.203801879475932"/>
    <n v="282.91739971702214"/>
    <n v="2777.0040000000013"/>
    <n v="9166.8641237999964"/>
    <n v="3103.6583899321417"/>
    <n v="8139.7678140633298"/>
    <x v="1"/>
  </r>
  <r>
    <s v="Regular"/>
    <x v="1"/>
    <x v="0"/>
    <x v="1"/>
    <x v="1"/>
    <x v="1"/>
    <x v="0"/>
    <x v="0"/>
    <x v="10"/>
    <n v="1952"/>
    <n v="1659.2"/>
    <n v="340.94600000000003"/>
    <n v="310.26085999999998"/>
    <n v="340.94600000000003"/>
    <n v="310.26085999999998"/>
    <n v="0"/>
    <s v="CATIVO"/>
    <n v="0"/>
    <n v="29"/>
    <n v="30"/>
    <n v="67"/>
    <n v="28.57"/>
    <n v="149.63"/>
    <n v="230.03"/>
    <n v="31.93064187172984"/>
    <n v="54.203801879475932"/>
    <n v="282.91739971702214"/>
    <n v="8365.2959999999985"/>
    <n v="11649.920252400017"/>
    <n v="9349.2919400424962"/>
    <n v="10344.611267956781"/>
    <x v="1"/>
  </r>
  <r>
    <s v="Sistema Isolado - Regular"/>
    <x v="1"/>
    <x v="0"/>
    <x v="1"/>
    <x v="1"/>
    <x v="1"/>
    <x v="0"/>
    <x v="0"/>
    <x v="10"/>
    <n v="662"/>
    <n v="562.69999999999993"/>
    <n v="253.947"/>
    <n v="231.09177"/>
    <n v="253.947"/>
    <n v="231.09177"/>
    <n v="0"/>
    <s v="CATIVO"/>
    <n v="0"/>
    <n v="29"/>
    <n v="30"/>
    <n v="67"/>
    <n v="28.57"/>
    <n v="149.63"/>
    <n v="230.03"/>
    <n v="31.93064187172984"/>
    <n v="54.203801879475932"/>
    <n v="282.91739971702214"/>
    <n v="2837.001000000002"/>
    <n v="8677.216621800002"/>
    <n v="3170.7127378627752"/>
    <n v="7704.9826003643329"/>
    <x v="1"/>
  </r>
  <r>
    <s v="PROJETADO"/>
    <x v="1"/>
    <x v="0"/>
    <x v="1"/>
    <x v="1"/>
    <x v="1"/>
    <x v="0"/>
    <x v="0"/>
    <x v="11"/>
    <n v="1952"/>
    <n v="1659.2"/>
    <n v="340.94600000000003"/>
    <n v="310.26085999999998"/>
    <n v="340.94600000000003"/>
    <n v="310.26085999999998"/>
    <n v="0"/>
    <s v="CATIVO"/>
    <n v="0"/>
    <n v="29"/>
    <n v="30"/>
    <n v="67"/>
    <n v="28.57"/>
    <n v="149.63"/>
    <n v="230.03"/>
    <n v="31.93064187172984"/>
    <n v="54.203801879475932"/>
    <n v="282.91739971702214"/>
    <n v="8365.2959999999985"/>
    <n v="11649.920252400017"/>
    <n v="9349.2919400424962"/>
    <n v="10344.611267956781"/>
    <x v="1"/>
  </r>
  <r>
    <s v="PROJETADO"/>
    <x v="1"/>
    <x v="0"/>
    <x v="1"/>
    <x v="1"/>
    <x v="1"/>
    <x v="0"/>
    <x v="0"/>
    <x v="11"/>
    <n v="662"/>
    <n v="562.69999999999993"/>
    <n v="253.947"/>
    <n v="231.09177"/>
    <n v="253.947"/>
    <n v="231.09177"/>
    <n v="0"/>
    <s v="CATIVO"/>
    <n v="0"/>
    <n v="29"/>
    <n v="30"/>
    <n v="67"/>
    <n v="28.57"/>
    <n v="149.63"/>
    <n v="230.03"/>
    <n v="31.93064187172984"/>
    <n v="54.203801879475932"/>
    <n v="282.91739971702214"/>
    <n v="2837.001000000002"/>
    <n v="8677.216621800002"/>
    <n v="3170.7127378627752"/>
    <n v="7704.9826003643329"/>
    <x v="1"/>
  </r>
  <r>
    <s v="Regular"/>
    <x v="1"/>
    <x v="0"/>
    <x v="1"/>
    <x v="1"/>
    <x v="1"/>
    <x v="0"/>
    <x v="2"/>
    <x v="0"/>
    <n v="1264"/>
    <n v="1074.3999999999999"/>
    <n v="39.17"/>
    <n v="35.6447"/>
    <n v="39.17"/>
    <n v="35.6447"/>
    <n v="0"/>
    <s v="CATIVO"/>
    <n v="0"/>
    <n v="28"/>
    <n v="30"/>
    <n v="66"/>
    <n v="52.99"/>
    <n v="149.63"/>
    <n v="389.28"/>
    <n v="59.276351675174958"/>
    <n v="54.203801879475932"/>
    <n v="454.3285679284046"/>
    <n v="10046.904000000008"/>
    <n v="1899.8194230000008"/>
    <n v="11238.796277613181"/>
    <n v="1792.7291632837218"/>
    <x v="1"/>
  </r>
  <r>
    <s v="Sistema Isolado - Regular"/>
    <x v="1"/>
    <x v="0"/>
    <x v="1"/>
    <x v="1"/>
    <x v="1"/>
    <x v="0"/>
    <x v="2"/>
    <x v="0"/>
    <n v="604"/>
    <n v="513.4"/>
    <n v="26.055"/>
    <n v="23.710049999999999"/>
    <n v="26.055"/>
    <n v="23.710049999999999"/>
    <n v="0"/>
    <s v="CATIVO"/>
    <n v="0"/>
    <n v="28"/>
    <n v="30"/>
    <n v="66"/>
    <n v="52.99"/>
    <n v="149.63"/>
    <n v="389.28"/>
    <n v="59.276351675174958"/>
    <n v="54.203801879475932"/>
    <n v="454.3285679284046"/>
    <n v="4800.8940000000011"/>
    <n v="1263.7170045000003"/>
    <n v="5370.4374617708527"/>
    <n v="1192.48298058099"/>
    <x v="1"/>
  </r>
  <r>
    <s v="Regular"/>
    <x v="1"/>
    <x v="0"/>
    <x v="1"/>
    <x v="1"/>
    <x v="1"/>
    <x v="0"/>
    <x v="2"/>
    <x v="1"/>
    <n v="1275"/>
    <n v="1083.75"/>
    <n v="40.924999999999997"/>
    <n v="37.241749999999996"/>
    <n v="40.924999999999997"/>
    <n v="37.241749999999996"/>
    <n v="0"/>
    <s v="CATIVO"/>
    <n v="0"/>
    <n v="28"/>
    <n v="30"/>
    <n v="66"/>
    <n v="52.99"/>
    <n v="149.63"/>
    <n v="389.28"/>
    <n v="59.276351675174958"/>
    <n v="54.203801879475932"/>
    <n v="454.3285679284046"/>
    <n v="10134.3375"/>
    <n v="1984.9402575000004"/>
    <n v="11336.60225787721"/>
    <n v="1873.0518510948764"/>
    <x v="1"/>
  </r>
  <r>
    <s v="Sistema Isolado - Regular"/>
    <x v="1"/>
    <x v="0"/>
    <x v="1"/>
    <x v="1"/>
    <x v="1"/>
    <x v="0"/>
    <x v="2"/>
    <x v="1"/>
    <n v="611"/>
    <n v="519.35"/>
    <n v="30.416"/>
    <n v="27.678560000000001"/>
    <n v="30.416"/>
    <n v="27.678560000000001"/>
    <n v="0"/>
    <s v="CATIVO"/>
    <n v="0"/>
    <n v="28"/>
    <n v="30"/>
    <n v="66"/>
    <n v="52.99"/>
    <n v="149.63"/>
    <n v="389.28"/>
    <n v="59.276351675174958"/>
    <n v="54.203801879475932"/>
    <n v="454.3285679284046"/>
    <n v="4856.5334999999986"/>
    <n v="1475.2337903999996"/>
    <n v="5432.6776310297837"/>
    <n v="1392.0768504068842"/>
    <x v="1"/>
  </r>
  <r>
    <s v="Regular"/>
    <x v="1"/>
    <x v="0"/>
    <x v="1"/>
    <x v="1"/>
    <x v="1"/>
    <x v="0"/>
    <x v="2"/>
    <x v="2"/>
    <n v="1288"/>
    <n v="1094.8"/>
    <n v="40.505000000000003"/>
    <n v="36.859550000000006"/>
    <n v="40.505000000000003"/>
    <n v="36.859550000000006"/>
    <n v="0"/>
    <s v="CATIVO"/>
    <n v="0"/>
    <n v="28"/>
    <n v="30"/>
    <n v="66"/>
    <n v="52.99"/>
    <n v="149.63"/>
    <n v="389.28"/>
    <n v="59.276351675174958"/>
    <n v="54.203801879475932"/>
    <n v="454.3285679284046"/>
    <n v="10237.668000000003"/>
    <n v="1964.5694594999982"/>
    <n v="11452.191143643804"/>
    <n v="1853.8293275161363"/>
    <x v="1"/>
  </r>
  <r>
    <s v="Sistema Isolado - Regular"/>
    <x v="1"/>
    <x v="0"/>
    <x v="1"/>
    <x v="1"/>
    <x v="1"/>
    <x v="0"/>
    <x v="2"/>
    <x v="2"/>
    <n v="610"/>
    <n v="518.5"/>
    <n v="30"/>
    <n v="27.3"/>
    <n v="30"/>
    <n v="27.3"/>
    <n v="0"/>
    <s v="CATIVO"/>
    <n v="0"/>
    <n v="28"/>
    <n v="30"/>
    <n v="66"/>
    <n v="52.99"/>
    <n v="149.63"/>
    <n v="389.28"/>
    <n v="59.276351675174958"/>
    <n v="54.203801879475932"/>
    <n v="454.3285679284046"/>
    <n v="4848.585"/>
    <n v="1455.0569999999993"/>
    <n v="5423.7861782785085"/>
    <n v="1373.037398481277"/>
    <x v="1"/>
  </r>
  <r>
    <s v="Regular"/>
    <x v="1"/>
    <x v="0"/>
    <x v="1"/>
    <x v="1"/>
    <x v="1"/>
    <x v="0"/>
    <x v="2"/>
    <x v="3"/>
    <n v="1273"/>
    <n v="1082.05"/>
    <n v="36.959000000000003"/>
    <n v="33.632690000000004"/>
    <n v="36.959000000000003"/>
    <n v="33.632690000000004"/>
    <n v="0"/>
    <s v="CATIVO"/>
    <n v="0"/>
    <n v="28"/>
    <n v="30"/>
    <n v="66"/>
    <n v="52.99"/>
    <n v="149.63"/>
    <n v="389.28"/>
    <n v="59.276351675174958"/>
    <n v="54.203801879475932"/>
    <n v="454.3285679284046"/>
    <n v="10118.440500000002"/>
    <n v="1792.5817220999995"/>
    <n v="11318.819352374661"/>
    <n v="1691.5363070156509"/>
    <x v="1"/>
  </r>
  <r>
    <s v="Sistema Isolado - Regular"/>
    <x v="1"/>
    <x v="0"/>
    <x v="1"/>
    <x v="1"/>
    <x v="1"/>
    <x v="0"/>
    <x v="2"/>
    <x v="3"/>
    <n v="612"/>
    <n v="520.19999999999993"/>
    <n v="25.771999999999998"/>
    <n v="23.45252"/>
    <n v="25.771999999999998"/>
    <n v="23.45252"/>
    <n v="0"/>
    <s v="CATIVO"/>
    <n v="0"/>
    <n v="28"/>
    <n v="30"/>
    <n v="66"/>
    <n v="52.99"/>
    <n v="149.63"/>
    <n v="389.28"/>
    <n v="59.276351675174958"/>
    <n v="54.203801879475932"/>
    <n v="454.3285679284046"/>
    <n v="4864.4820000000036"/>
    <n v="1249.9909667999991"/>
    <n v="5441.5690837810653"/>
    <n v="1179.5306611219821"/>
    <x v="1"/>
  </r>
  <r>
    <s v="Regular"/>
    <x v="1"/>
    <x v="0"/>
    <x v="1"/>
    <x v="1"/>
    <x v="1"/>
    <x v="0"/>
    <x v="2"/>
    <x v="4"/>
    <n v="1273"/>
    <n v="1082.05"/>
    <n v="41.055999999999997"/>
    <n v="37.360959999999999"/>
    <n v="41.055999999999997"/>
    <n v="37.360959999999999"/>
    <n v="0"/>
    <s v="CATIVO"/>
    <n v="0"/>
    <n v="28"/>
    <n v="30"/>
    <n v="66"/>
    <n v="52.99"/>
    <n v="149.63"/>
    <n v="389.28"/>
    <n v="59.276351675174958"/>
    <n v="54.203801879475932"/>
    <n v="454.3285679284046"/>
    <n v="10118.440500000002"/>
    <n v="1991.294006399999"/>
    <n v="11318.819352374661"/>
    <n v="1879.0474477349103"/>
    <x v="1"/>
  </r>
  <r>
    <s v="Sistema Isolado - Regular"/>
    <x v="1"/>
    <x v="0"/>
    <x v="1"/>
    <x v="1"/>
    <x v="1"/>
    <x v="0"/>
    <x v="2"/>
    <x v="4"/>
    <n v="601"/>
    <n v="510.84999999999997"/>
    <n v="28.513000000000002"/>
    <n v="25.946830000000002"/>
    <n v="28.513000000000002"/>
    <n v="25.946830000000002"/>
    <n v="0"/>
    <s v="CATIVO"/>
    <n v="0"/>
    <n v="28"/>
    <n v="30"/>
    <n v="66"/>
    <n v="52.99"/>
    <n v="149.63"/>
    <n v="389.28"/>
    <n v="59.276351675174958"/>
    <n v="54.203801879475932"/>
    <n v="454.3285679284046"/>
    <n v="4777.0485000000017"/>
    <n v="1382.9346746999997"/>
    <n v="5343.7631035170243"/>
    <n v="1304.9805114298886"/>
    <x v="1"/>
  </r>
  <r>
    <s v="Regular"/>
    <x v="1"/>
    <x v="0"/>
    <x v="1"/>
    <x v="1"/>
    <x v="1"/>
    <x v="0"/>
    <x v="2"/>
    <x v="5"/>
    <n v="749"/>
    <n v="636.65"/>
    <n v="22.044"/>
    <n v="20.060040000000001"/>
    <n v="22.044"/>
    <n v="20.060040000000001"/>
    <n v="0"/>
    <s v="CATIVO"/>
    <n v="0"/>
    <n v="28"/>
    <n v="30"/>
    <n v="66"/>
    <n v="52.99"/>
    <n v="149.63"/>
    <n v="389.28"/>
    <n v="59.276351675174958"/>
    <n v="54.203801879475932"/>
    <n v="454.3285679284046"/>
    <n v="5953.4265000000014"/>
    <n v="1069.1758835999999"/>
    <n v="6659.6981107059082"/>
    <n v="1008.9078804040424"/>
    <x v="1"/>
  </r>
  <r>
    <s v="Sistema Isolado - Regular"/>
    <x v="1"/>
    <x v="0"/>
    <x v="1"/>
    <x v="1"/>
    <x v="1"/>
    <x v="0"/>
    <x v="2"/>
    <x v="5"/>
    <n v="610"/>
    <n v="518.5"/>
    <n v="28.16"/>
    <n v="25.625600000000002"/>
    <n v="28.16"/>
    <n v="25.625600000000002"/>
    <n v="0"/>
    <s v="CATIVO"/>
    <n v="0"/>
    <n v="28"/>
    <n v="30"/>
    <n v="66"/>
    <n v="52.99"/>
    <n v="149.63"/>
    <n v="389.28"/>
    <n v="59.276351675174958"/>
    <n v="54.203801879475932"/>
    <n v="454.3285679284046"/>
    <n v="4848.585"/>
    <n v="1365.8135039999988"/>
    <n v="5423.7861782785085"/>
    <n v="1288.8244380410915"/>
    <x v="1"/>
  </r>
  <r>
    <s v="Regular"/>
    <x v="1"/>
    <x v="0"/>
    <x v="1"/>
    <x v="1"/>
    <x v="1"/>
    <x v="0"/>
    <x v="2"/>
    <x v="6"/>
    <n v="823"/>
    <n v="699.55"/>
    <n v="25.006"/>
    <n v="22.755459999999999"/>
    <n v="25.006"/>
    <n v="22.755459999999999"/>
    <n v="0"/>
    <s v="CATIVO"/>
    <n v="0"/>
    <n v="28"/>
    <n v="30"/>
    <n v="66"/>
    <n v="52.99"/>
    <n v="149.63"/>
    <n v="389.28"/>
    <n v="59.276351675174958"/>
    <n v="54.203801879475932"/>
    <n v="454.3285679284046"/>
    <n v="6541.6155000000026"/>
    <n v="1212.8385114000002"/>
    <n v="7317.6656143003511"/>
    <n v="1144.4724395474279"/>
    <x v="1"/>
  </r>
  <r>
    <s v="Sistema Isolado - Regular"/>
    <x v="1"/>
    <x v="0"/>
    <x v="1"/>
    <x v="1"/>
    <x v="1"/>
    <x v="0"/>
    <x v="2"/>
    <x v="6"/>
    <n v="607"/>
    <n v="515.94999999999993"/>
    <n v="26.632000000000001"/>
    <n v="24.235119999999998"/>
    <n v="26.632000000000001"/>
    <n v="24.235119999999998"/>
    <n v="0"/>
    <s v="CATIVO"/>
    <n v="0"/>
    <n v="28"/>
    <n v="30"/>
    <n v="66"/>
    <n v="52.99"/>
    <n v="149.63"/>
    <n v="389.28"/>
    <n v="59.276351675174958"/>
    <n v="54.203801879475932"/>
    <n v="454.3285679284046"/>
    <n v="4824.7395000000042"/>
    <n v="1291.7026008000016"/>
    <n v="5397.1118200246838"/>
    <n v="1218.8910665451142"/>
    <x v="1"/>
  </r>
  <r>
    <s v="Regular"/>
    <x v="1"/>
    <x v="0"/>
    <x v="1"/>
    <x v="1"/>
    <x v="1"/>
    <x v="0"/>
    <x v="2"/>
    <x v="7"/>
    <n v="605"/>
    <n v="514.25"/>
    <n v="22.829000000000001"/>
    <n v="20.77439"/>
    <n v="22.829000000000001"/>
    <n v="20.77439"/>
    <n v="0"/>
    <s v="CATIVO"/>
    <n v="0"/>
    <n v="28"/>
    <n v="30"/>
    <n v="66"/>
    <n v="52.99"/>
    <n v="149.63"/>
    <n v="389.28"/>
    <n v="59.276351675174958"/>
    <n v="54.203801879475932"/>
    <n v="454.3285679284046"/>
    <n v="4808.8424999999997"/>
    <n v="1107.2498751000001"/>
    <n v="5379.328914522127"/>
    <n v="1044.8356923309696"/>
    <x v="1"/>
  </r>
  <r>
    <s v="Sistema Isolado - Regular"/>
    <x v="1"/>
    <x v="0"/>
    <x v="1"/>
    <x v="1"/>
    <x v="1"/>
    <x v="0"/>
    <x v="2"/>
    <x v="7"/>
    <n v="615"/>
    <n v="522.75"/>
    <n v="27.882000000000001"/>
    <n v="25.372620000000001"/>
    <n v="27.882000000000001"/>
    <n v="25.372620000000001"/>
    <n v="0"/>
    <s v="CATIVO"/>
    <n v="0"/>
    <n v="28"/>
    <n v="30"/>
    <n v="66"/>
    <n v="52.99"/>
    <n v="149.63"/>
    <n v="389.28"/>
    <n v="59.276351675174958"/>
    <n v="54.203801879475932"/>
    <n v="454.3285679284046"/>
    <n v="4888.3275000000003"/>
    <n v="1352.3299758000001"/>
    <n v="5468.24344203489"/>
    <n v="1276.1009581484993"/>
    <x v="1"/>
  </r>
  <r>
    <s v="Regular"/>
    <x v="1"/>
    <x v="0"/>
    <x v="1"/>
    <x v="1"/>
    <x v="1"/>
    <x v="0"/>
    <x v="2"/>
    <x v="8"/>
    <n v="1715"/>
    <n v="1457.75"/>
    <n v="14.938000000000001"/>
    <n v="13.593579999999999"/>
    <n v="14.938000000000001"/>
    <n v="13.593579999999999"/>
    <n v="0"/>
    <s v="CATIVO"/>
    <n v="0"/>
    <n v="28"/>
    <n v="30"/>
    <n v="66"/>
    <n v="52.99"/>
    <n v="149.63"/>
    <n v="389.28"/>
    <n v="59.276351675174958"/>
    <n v="54.203801879475932"/>
    <n v="454.3285679284046"/>
    <n v="13631.6775"/>
    <n v="724.52138220000063"/>
    <n v="15248.841468438757"/>
    <n v="683.68108861711141"/>
    <x v="1"/>
  </r>
  <r>
    <s v="Sistema Isolado - Regular"/>
    <x v="1"/>
    <x v="0"/>
    <x v="1"/>
    <x v="1"/>
    <x v="1"/>
    <x v="0"/>
    <x v="2"/>
    <x v="8"/>
    <n v="613"/>
    <n v="521.04999999999995"/>
    <n v="31.35"/>
    <n v="28.528500000000001"/>
    <n v="31.35"/>
    <n v="28.528500000000001"/>
    <n v="0"/>
    <s v="CATIVO"/>
    <n v="0"/>
    <n v="28"/>
    <n v="30"/>
    <n v="66"/>
    <n v="52.99"/>
    <n v="149.63"/>
    <n v="389.28"/>
    <n v="59.276351675174958"/>
    <n v="54.203801879475932"/>
    <n v="454.3285679284046"/>
    <n v="4872.4305000000022"/>
    <n v="1520.5345650000002"/>
    <n v="5450.4605365323405"/>
    <n v="1434.8240814129349"/>
    <x v="1"/>
  </r>
  <r>
    <s v="Regular"/>
    <x v="1"/>
    <x v="0"/>
    <x v="1"/>
    <x v="1"/>
    <x v="1"/>
    <x v="0"/>
    <x v="2"/>
    <x v="9"/>
    <n v="1715"/>
    <n v="1457.75"/>
    <n v="12.472"/>
    <n v="11.34952"/>
    <n v="12.472"/>
    <n v="11.34952"/>
    <n v="0"/>
    <s v="CATIVO"/>
    <n v="0"/>
    <n v="28"/>
    <n v="30"/>
    <n v="66"/>
    <n v="52.99"/>
    <n v="149.63"/>
    <n v="389.28"/>
    <n v="59.276351675174958"/>
    <n v="54.203801879475932"/>
    <n v="454.3285679284046"/>
    <n v="13631.6775"/>
    <n v="604.91569679999975"/>
    <n v="15248.841468438757"/>
    <n v="570.81741446194951"/>
    <x v="1"/>
  </r>
  <r>
    <s v="Sistema Isolado - Regular"/>
    <x v="1"/>
    <x v="0"/>
    <x v="1"/>
    <x v="1"/>
    <x v="1"/>
    <x v="0"/>
    <x v="2"/>
    <x v="9"/>
    <n v="613"/>
    <n v="521.04999999999995"/>
    <n v="27.288"/>
    <n v="24.832080000000001"/>
    <n v="27.288"/>
    <n v="24.832080000000001"/>
    <n v="0"/>
    <s v="CATIVO"/>
    <n v="0"/>
    <n v="28"/>
    <n v="30"/>
    <n v="66"/>
    <n v="52.99"/>
    <n v="149.63"/>
    <n v="389.28"/>
    <n v="59.276351675174958"/>
    <n v="54.203801879475932"/>
    <n v="454.3285679284046"/>
    <n v="4872.4305000000022"/>
    <n v="1323.5198471999993"/>
    <n v="5450.4605365323405"/>
    <n v="1248.9148176585695"/>
    <x v="1"/>
  </r>
  <r>
    <s v="Regular"/>
    <x v="1"/>
    <x v="0"/>
    <x v="1"/>
    <x v="1"/>
    <x v="1"/>
    <x v="0"/>
    <x v="2"/>
    <x v="10"/>
    <n v="1917"/>
    <n v="1629.45"/>
    <n v="33.853000000000002"/>
    <n v="30.806229999999999"/>
    <n v="33.853000000000002"/>
    <n v="30.806229999999999"/>
    <n v="0"/>
    <s v="CATIVO"/>
    <n v="0"/>
    <n v="28"/>
    <n v="30"/>
    <n v="66"/>
    <n v="52.99"/>
    <n v="149.63"/>
    <n v="389.28"/>
    <n v="59.276351675174958"/>
    <n v="54.203801879475932"/>
    <n v="454.3285679284046"/>
    <n v="15237.274499999998"/>
    <n v="1641.9348207000012"/>
    <n v="17044.914924196557"/>
    <n v="1549.3811683595573"/>
    <x v="1"/>
  </r>
  <r>
    <s v="Sistema Isolado - Regular"/>
    <x v="1"/>
    <x v="0"/>
    <x v="1"/>
    <x v="1"/>
    <x v="1"/>
    <x v="0"/>
    <x v="2"/>
    <x v="10"/>
    <n v="609"/>
    <n v="517.65"/>
    <n v="27.219000000000001"/>
    <n v="24.769290000000002"/>
    <n v="27.219000000000001"/>
    <n v="24.769290000000002"/>
    <n v="0"/>
    <s v="CATIVO"/>
    <n v="0"/>
    <n v="28"/>
    <n v="30"/>
    <n v="66"/>
    <n v="52.99"/>
    <n v="149.63"/>
    <n v="389.28"/>
    <n v="59.276351675174958"/>
    <n v="54.203801879475932"/>
    <n v="454.3285679284046"/>
    <n v="4840.6365000000014"/>
    <n v="1320.1732160999995"/>
    <n v="5414.8947255272342"/>
    <n v="1245.7568316420629"/>
    <x v="1"/>
  </r>
  <r>
    <s v="PROJETADO"/>
    <x v="1"/>
    <x v="0"/>
    <x v="1"/>
    <x v="1"/>
    <x v="1"/>
    <x v="0"/>
    <x v="2"/>
    <x v="11"/>
    <n v="1917"/>
    <n v="1629.45"/>
    <n v="33.853000000000002"/>
    <n v="30.806229999999999"/>
    <n v="33.853000000000002"/>
    <n v="30.806229999999999"/>
    <n v="0"/>
    <s v="CATIVO"/>
    <n v="0"/>
    <n v="28"/>
    <n v="30"/>
    <n v="66"/>
    <n v="52.99"/>
    <n v="149.63"/>
    <n v="389.28"/>
    <n v="59.276351675174958"/>
    <n v="54.203801879475932"/>
    <n v="454.3285679284046"/>
    <n v="15237.274499999998"/>
    <n v="1641.9348207000012"/>
    <n v="17044.914924196557"/>
    <n v="1549.3811683595573"/>
    <x v="1"/>
  </r>
  <r>
    <s v="PROJETADO"/>
    <x v="1"/>
    <x v="0"/>
    <x v="1"/>
    <x v="1"/>
    <x v="1"/>
    <x v="0"/>
    <x v="2"/>
    <x v="11"/>
    <n v="609"/>
    <n v="517.65"/>
    <n v="27.219000000000001"/>
    <n v="24.769290000000002"/>
    <n v="27.219000000000001"/>
    <n v="24.769290000000002"/>
    <n v="0"/>
    <s v="CATIVO"/>
    <n v="0"/>
    <n v="28"/>
    <n v="30"/>
    <n v="66"/>
    <n v="52.99"/>
    <n v="149.63"/>
    <n v="389.28"/>
    <n v="59.276351675174958"/>
    <n v="54.203801879475932"/>
    <n v="454.3285679284046"/>
    <n v="4840.6365000000014"/>
    <n v="1320.1732160999995"/>
    <n v="5414.8947255272342"/>
    <n v="1245.7568316420629"/>
    <x v="1"/>
  </r>
  <r>
    <s v="Regular"/>
    <x v="1"/>
    <x v="2"/>
    <x v="0"/>
    <x v="0"/>
    <x v="0"/>
    <x v="0"/>
    <x v="0"/>
    <x v="0"/>
    <n v="0"/>
    <n v="0"/>
    <n v="27701.027999999998"/>
    <n v="27701.027999999998"/>
    <n v="0"/>
    <n v="0"/>
    <n v="0"/>
    <s v="LIVRE"/>
    <n v="0"/>
    <n v="0"/>
    <n v="19"/>
    <n v="0"/>
    <n v="0"/>
    <n v="149.63"/>
    <n v="0"/>
    <m/>
    <n v="54.203801879475932"/>
    <m/>
    <n v="0"/>
    <n v="0"/>
    <n v="0"/>
    <n v="0"/>
    <x v="0"/>
  </r>
  <r>
    <s v="Regular"/>
    <x v="1"/>
    <x v="2"/>
    <x v="0"/>
    <x v="0"/>
    <x v="0"/>
    <x v="0"/>
    <x v="0"/>
    <x v="1"/>
    <n v="0"/>
    <n v="0"/>
    <n v="25931.152999999998"/>
    <n v="25931.152999999998"/>
    <n v="0"/>
    <n v="0"/>
    <n v="0"/>
    <s v="LIVRE"/>
    <n v="0"/>
    <n v="0"/>
    <n v="19"/>
    <n v="0"/>
    <n v="0"/>
    <n v="149.63"/>
    <n v="0"/>
    <m/>
    <n v="54.203801879475932"/>
    <m/>
    <n v="0"/>
    <n v="0"/>
    <n v="0"/>
    <n v="0"/>
    <x v="0"/>
  </r>
  <r>
    <s v="Regular"/>
    <x v="1"/>
    <x v="2"/>
    <x v="0"/>
    <x v="0"/>
    <x v="0"/>
    <x v="0"/>
    <x v="0"/>
    <x v="2"/>
    <n v="0"/>
    <n v="0"/>
    <n v="21403.15"/>
    <n v="21403.15"/>
    <n v="0"/>
    <n v="0"/>
    <n v="0"/>
    <s v="LIVRE"/>
    <n v="0"/>
    <n v="0"/>
    <n v="19"/>
    <n v="0"/>
    <n v="0"/>
    <n v="149.63"/>
    <n v="0"/>
    <m/>
    <n v="54.203801879475932"/>
    <m/>
    <n v="0"/>
    <n v="0"/>
    <n v="0"/>
    <n v="0"/>
    <x v="0"/>
  </r>
  <r>
    <s v="Regular"/>
    <x v="1"/>
    <x v="2"/>
    <x v="0"/>
    <x v="0"/>
    <x v="0"/>
    <x v="0"/>
    <x v="0"/>
    <x v="3"/>
    <n v="0"/>
    <n v="0"/>
    <n v="22032.32"/>
    <n v="22032.32"/>
    <n v="0"/>
    <n v="0"/>
    <n v="0"/>
    <s v="LIVRE"/>
    <n v="0"/>
    <n v="0"/>
    <n v="19"/>
    <n v="0"/>
    <n v="0"/>
    <n v="149.63"/>
    <n v="0"/>
    <m/>
    <n v="54.203801879475932"/>
    <m/>
    <n v="0"/>
    <n v="0"/>
    <n v="0"/>
    <n v="0"/>
    <x v="0"/>
  </r>
  <r>
    <s v="Regular"/>
    <x v="1"/>
    <x v="2"/>
    <x v="0"/>
    <x v="0"/>
    <x v="0"/>
    <x v="0"/>
    <x v="0"/>
    <x v="4"/>
    <n v="0"/>
    <n v="0"/>
    <n v="28997.48"/>
    <n v="28997.48"/>
    <n v="0"/>
    <n v="0"/>
    <n v="0"/>
    <s v="LIVRE"/>
    <n v="0"/>
    <n v="0"/>
    <n v="19"/>
    <n v="0"/>
    <n v="0"/>
    <n v="149.63"/>
    <n v="0"/>
    <m/>
    <n v="54.203801879475932"/>
    <m/>
    <n v="0"/>
    <n v="0"/>
    <n v="0"/>
    <n v="0"/>
    <x v="0"/>
  </r>
  <r>
    <s v="Regular"/>
    <x v="1"/>
    <x v="2"/>
    <x v="0"/>
    <x v="0"/>
    <x v="0"/>
    <x v="0"/>
    <x v="0"/>
    <x v="5"/>
    <n v="0"/>
    <n v="0"/>
    <n v="28943.581999999999"/>
    <n v="28943.581999999999"/>
    <n v="0"/>
    <n v="0"/>
    <n v="0"/>
    <s v="LIVRE"/>
    <n v="0"/>
    <n v="0"/>
    <n v="19"/>
    <n v="0"/>
    <n v="0"/>
    <n v="149.63"/>
    <n v="0"/>
    <m/>
    <n v="54.203801879475932"/>
    <m/>
    <n v="0"/>
    <n v="0"/>
    <n v="0"/>
    <n v="0"/>
    <x v="0"/>
  </r>
  <r>
    <s v="Regular"/>
    <x v="1"/>
    <x v="2"/>
    <x v="0"/>
    <x v="0"/>
    <x v="0"/>
    <x v="0"/>
    <x v="0"/>
    <x v="6"/>
    <n v="0"/>
    <n v="0"/>
    <n v="30874.821"/>
    <n v="30874.821"/>
    <n v="0"/>
    <n v="0"/>
    <n v="0"/>
    <s v="LIVRE"/>
    <n v="0"/>
    <n v="0"/>
    <n v="19"/>
    <n v="0"/>
    <n v="0"/>
    <n v="149.63"/>
    <n v="0"/>
    <m/>
    <n v="54.203801879475932"/>
    <m/>
    <n v="0"/>
    <n v="0"/>
    <n v="0"/>
    <n v="0"/>
    <x v="0"/>
  </r>
  <r>
    <s v="Regular"/>
    <x v="1"/>
    <x v="2"/>
    <x v="0"/>
    <x v="0"/>
    <x v="0"/>
    <x v="0"/>
    <x v="0"/>
    <x v="7"/>
    <n v="0"/>
    <n v="0"/>
    <n v="21403.15"/>
    <n v="21403.15"/>
    <n v="0"/>
    <n v="0"/>
    <n v="0"/>
    <s v="LIVRE"/>
    <n v="0"/>
    <n v="0"/>
    <n v="19"/>
    <n v="0"/>
    <n v="0"/>
    <n v="149.63"/>
    <n v="0"/>
    <m/>
    <n v="54.203801879475932"/>
    <m/>
    <n v="0"/>
    <n v="0"/>
    <n v="0"/>
    <n v="0"/>
    <x v="0"/>
  </r>
  <r>
    <s v="Regular"/>
    <x v="1"/>
    <x v="2"/>
    <x v="0"/>
    <x v="0"/>
    <x v="0"/>
    <x v="0"/>
    <x v="0"/>
    <x v="8"/>
    <n v="0"/>
    <n v="0"/>
    <n v="31734.306"/>
    <n v="31734.306"/>
    <n v="0"/>
    <n v="0"/>
    <n v="0"/>
    <s v="LIVRE"/>
    <n v="0"/>
    <n v="0"/>
    <n v="19"/>
    <n v="0"/>
    <n v="0"/>
    <n v="149.63"/>
    <n v="0"/>
    <m/>
    <n v="54.203801879475932"/>
    <m/>
    <n v="0"/>
    <n v="0"/>
    <n v="0"/>
    <n v="0"/>
    <x v="0"/>
  </r>
  <r>
    <s v="Regular"/>
    <x v="1"/>
    <x v="2"/>
    <x v="0"/>
    <x v="0"/>
    <x v="0"/>
    <x v="0"/>
    <x v="0"/>
    <x v="9"/>
    <n v="0"/>
    <n v="0"/>
    <n v="32571.826000000001"/>
    <n v="32571.826000000001"/>
    <n v="0"/>
    <n v="0"/>
    <n v="0"/>
    <s v="LIVRE"/>
    <n v="0"/>
    <n v="0"/>
    <n v="19"/>
    <n v="0"/>
    <n v="0"/>
    <n v="149.63"/>
    <n v="0"/>
    <m/>
    <n v="54.203801879475932"/>
    <m/>
    <n v="0"/>
    <n v="0"/>
    <n v="0"/>
    <n v="0"/>
    <x v="0"/>
  </r>
  <r>
    <s v="Regular"/>
    <x v="1"/>
    <x v="2"/>
    <x v="0"/>
    <x v="0"/>
    <x v="0"/>
    <x v="0"/>
    <x v="0"/>
    <x v="10"/>
    <n v="0"/>
    <n v="0"/>
    <n v="32074.414000000001"/>
    <n v="32074.414000000001"/>
    <n v="0"/>
    <n v="0"/>
    <n v="0"/>
    <s v="LIVRE"/>
    <n v="0"/>
    <n v="0"/>
    <n v="19"/>
    <n v="0"/>
    <n v="0"/>
    <n v="149.63"/>
    <n v="0"/>
    <m/>
    <n v="54.203801879475932"/>
    <m/>
    <n v="0"/>
    <n v="0"/>
    <n v="0"/>
    <n v="0"/>
    <x v="0"/>
  </r>
  <r>
    <s v="PROJETADO"/>
    <x v="1"/>
    <x v="2"/>
    <x v="0"/>
    <x v="0"/>
    <x v="0"/>
    <x v="0"/>
    <x v="0"/>
    <x v="11"/>
    <n v="0"/>
    <n v="0"/>
    <n v="32074.414000000001"/>
    <n v="32074.414000000001"/>
    <n v="0"/>
    <n v="0"/>
    <n v="0"/>
    <s v="LIVRE"/>
    <n v="0"/>
    <n v="0"/>
    <n v="19"/>
    <n v="0"/>
    <n v="0"/>
    <n v="149.63"/>
    <n v="0"/>
    <m/>
    <n v="54.203801879475932"/>
    <m/>
    <n v="0"/>
    <n v="0"/>
    <n v="0"/>
    <n v="0"/>
    <x v="0"/>
  </r>
  <r>
    <s v="Regular"/>
    <x v="1"/>
    <x v="2"/>
    <x v="0"/>
    <x v="0"/>
    <x v="0"/>
    <x v="0"/>
    <x v="1"/>
    <x v="0"/>
    <n v="101900"/>
    <n v="52060.71"/>
    <n v="0"/>
    <n v="0"/>
    <n v="0"/>
    <n v="0"/>
    <n v="123"/>
    <s v="LIVRE"/>
    <n v="0"/>
    <n v="23"/>
    <n v="0"/>
    <n v="0"/>
    <n v="28.57"/>
    <n v="0"/>
    <n v="0"/>
    <n v="31.93064187172984"/>
    <m/>
    <m/>
    <n v="1423908.5153000001"/>
    <n v="0"/>
    <n v="1591400.5201312862"/>
    <n v="0"/>
    <x v="0"/>
  </r>
  <r>
    <s v="Regular"/>
    <x v="1"/>
    <x v="2"/>
    <x v="0"/>
    <x v="0"/>
    <x v="0"/>
    <x v="0"/>
    <x v="1"/>
    <x v="1"/>
    <n v="97385"/>
    <n v="47932.896999999997"/>
    <n v="0"/>
    <n v="0"/>
    <n v="0"/>
    <n v="0"/>
    <n v="123"/>
    <s v="LIVRE"/>
    <n v="0"/>
    <n v="23"/>
    <n v="0"/>
    <n v="0"/>
    <n v="28.57"/>
    <n v="0"/>
    <n v="0"/>
    <n v="31.93064187172984"/>
    <m/>
    <m/>
    <n v="1412846.58271"/>
    <n v="0"/>
    <n v="1579037.3906968969"/>
    <n v="0"/>
    <x v="0"/>
  </r>
  <r>
    <s v="Regular"/>
    <x v="1"/>
    <x v="2"/>
    <x v="0"/>
    <x v="0"/>
    <x v="0"/>
    <x v="0"/>
    <x v="1"/>
    <x v="2"/>
    <n v="97560"/>
    <n v="49140.972000000002"/>
    <n v="0"/>
    <n v="0"/>
    <n v="0"/>
    <n v="0"/>
    <n v="124"/>
    <s v="LIVRE"/>
    <n v="0"/>
    <n v="23"/>
    <n v="0"/>
    <n v="0"/>
    <n v="28.57"/>
    <n v="0"/>
    <n v="0"/>
    <n v="31.93064187172984"/>
    <m/>
    <m/>
    <n v="1383331.62996"/>
    <n v="0"/>
    <n v="1546050.6428452595"/>
    <n v="0"/>
    <x v="0"/>
  </r>
  <r>
    <s v="Regular"/>
    <x v="1"/>
    <x v="2"/>
    <x v="0"/>
    <x v="0"/>
    <x v="0"/>
    <x v="0"/>
    <x v="1"/>
    <x v="3"/>
    <n v="101350"/>
    <n v="50279.735000000001"/>
    <n v="0"/>
    <n v="0"/>
    <n v="0"/>
    <n v="0"/>
    <n v="127"/>
    <s v="LIVRE"/>
    <n v="0"/>
    <n v="23"/>
    <n v="0"/>
    <n v="0"/>
    <n v="28.57"/>
    <n v="0"/>
    <n v="0"/>
    <n v="31.93064187172984"/>
    <m/>
    <m/>
    <n v="1459077.4710500001"/>
    <n v="0"/>
    <n v="1630706.342009339"/>
    <n v="0"/>
    <x v="0"/>
  </r>
  <r>
    <s v="Regular"/>
    <x v="1"/>
    <x v="2"/>
    <x v="0"/>
    <x v="0"/>
    <x v="0"/>
    <x v="0"/>
    <x v="1"/>
    <x v="4"/>
    <n v="102537"/>
    <n v="49709.937599999997"/>
    <n v="0"/>
    <n v="0"/>
    <n v="0"/>
    <n v="0"/>
    <n v="129"/>
    <s v="LIVRE"/>
    <n v="0"/>
    <n v="23"/>
    <n v="0"/>
    <n v="0"/>
    <n v="28.57"/>
    <n v="0"/>
    <n v="0"/>
    <n v="31.93064187172984"/>
    <m/>
    <m/>
    <n v="1509269.172768"/>
    <n v="0"/>
    <n v="1686802.0106299252"/>
    <n v="0"/>
    <x v="0"/>
  </r>
  <r>
    <s v="Regular"/>
    <x v="1"/>
    <x v="2"/>
    <x v="0"/>
    <x v="0"/>
    <x v="0"/>
    <x v="0"/>
    <x v="1"/>
    <x v="5"/>
    <n v="108267"/>
    <n v="51318.557999999997"/>
    <n v="0"/>
    <n v="0"/>
    <n v="0"/>
    <n v="0"/>
    <n v="134"/>
    <s v="LIVRE"/>
    <n v="0"/>
    <n v="23"/>
    <n v="0"/>
    <n v="0"/>
    <n v="28.57"/>
    <n v="0"/>
    <n v="0"/>
    <n v="31.93064187172984"/>
    <m/>
    <m/>
    <n v="1627016.9879400001"/>
    <n v="0"/>
    <n v="1818400.3066549783"/>
    <n v="0"/>
    <x v="0"/>
  </r>
  <r>
    <s v="Regular"/>
    <x v="1"/>
    <x v="2"/>
    <x v="0"/>
    <x v="0"/>
    <x v="0"/>
    <x v="0"/>
    <x v="1"/>
    <x v="6"/>
    <n v="110368"/>
    <n v="52766.940799999997"/>
    <n v="0"/>
    <n v="0"/>
    <n v="0"/>
    <n v="0"/>
    <n v="136"/>
    <s v="LIVRE"/>
    <n v="0"/>
    <n v="23"/>
    <n v="0"/>
    <n v="0"/>
    <n v="28.57"/>
    <n v="0"/>
    <n v="0"/>
    <n v="31.93064187172984"/>
    <m/>
    <m/>
    <n v="1645662.261344"/>
    <n v="0"/>
    <n v="1839238.7927475094"/>
    <n v="0"/>
    <x v="0"/>
  </r>
  <r>
    <s v="Regular"/>
    <x v="1"/>
    <x v="2"/>
    <x v="0"/>
    <x v="0"/>
    <x v="0"/>
    <x v="0"/>
    <x v="1"/>
    <x v="7"/>
    <n v="97560"/>
    <n v="49140.972000000002"/>
    <n v="0"/>
    <n v="0"/>
    <n v="0"/>
    <n v="0"/>
    <n v="124"/>
    <s v="LIVRE"/>
    <n v="0"/>
    <n v="23"/>
    <n v="0"/>
    <n v="0"/>
    <n v="28.57"/>
    <n v="0"/>
    <n v="0"/>
    <n v="31.93064187172984"/>
    <m/>
    <m/>
    <n v="1383331.62996"/>
    <n v="0"/>
    <n v="1546050.6428452595"/>
    <n v="0"/>
    <x v="0"/>
  </r>
  <r>
    <s v="Regular"/>
    <x v="1"/>
    <x v="2"/>
    <x v="0"/>
    <x v="0"/>
    <x v="0"/>
    <x v="0"/>
    <x v="1"/>
    <x v="8"/>
    <n v="107052"/>
    <n v="50742.648000000001"/>
    <n v="0"/>
    <n v="0"/>
    <n v="0"/>
    <n v="0"/>
    <n v="138"/>
    <s v="LIVRE"/>
    <n v="0"/>
    <n v="23"/>
    <n v="0"/>
    <n v="0"/>
    <n v="28.57"/>
    <n v="0"/>
    <n v="0"/>
    <n v="31.93064187172984"/>
    <m/>
    <m/>
    <n v="1608758.18664"/>
    <n v="0"/>
    <n v="1797993.7527411743"/>
    <n v="0"/>
    <x v="0"/>
  </r>
  <r>
    <s v="Regular"/>
    <x v="1"/>
    <x v="2"/>
    <x v="0"/>
    <x v="0"/>
    <x v="0"/>
    <x v="0"/>
    <x v="1"/>
    <x v="9"/>
    <n v="106883"/>
    <n v="48610.388400000003"/>
    <n v="0"/>
    <n v="0"/>
    <n v="0"/>
    <n v="0"/>
    <n v="138"/>
    <s v="LIVRE"/>
    <n v="0"/>
    <n v="23"/>
    <n v="0"/>
    <n v="0"/>
    <n v="28.57"/>
    <n v="0"/>
    <n v="0"/>
    <n v="31.93064187172984"/>
    <m/>
    <m/>
    <n v="1664848.5134119999"/>
    <n v="0"/>
    <n v="1860681.8919300099"/>
    <n v="0"/>
    <x v="0"/>
  </r>
  <r>
    <s v="Regular"/>
    <x v="1"/>
    <x v="2"/>
    <x v="0"/>
    <x v="0"/>
    <x v="0"/>
    <x v="0"/>
    <x v="1"/>
    <x v="10"/>
    <n v="109926"/>
    <n v="51621.249600000003"/>
    <n v="0"/>
    <n v="0"/>
    <n v="0"/>
    <n v="0"/>
    <n v="140"/>
    <s v="LIVRE"/>
    <n v="0"/>
    <n v="23"/>
    <n v="0"/>
    <n v="0"/>
    <n v="28.57"/>
    <n v="0"/>
    <n v="0"/>
    <n v="31.93064187172984"/>
    <m/>
    <m/>
    <n v="1665766.718928"/>
    <n v="0"/>
    <n v="1861708.1044429971"/>
    <n v="0"/>
    <x v="0"/>
  </r>
  <r>
    <s v="PROJETADO"/>
    <x v="1"/>
    <x v="2"/>
    <x v="0"/>
    <x v="0"/>
    <x v="0"/>
    <x v="0"/>
    <x v="1"/>
    <x v="11"/>
    <n v="109926"/>
    <n v="51621.249600000003"/>
    <n v="0"/>
    <n v="0"/>
    <n v="0"/>
    <n v="0"/>
    <n v="140"/>
    <s v="LIVRE"/>
    <n v="0"/>
    <n v="23"/>
    <n v="0"/>
    <n v="0"/>
    <n v="28.57"/>
    <n v="0"/>
    <n v="0"/>
    <n v="31.93064187172984"/>
    <m/>
    <m/>
    <n v="1665766.718928"/>
    <n v="0"/>
    <n v="1861708.1044429971"/>
    <n v="0"/>
    <x v="0"/>
  </r>
  <r>
    <s v="Regular"/>
    <x v="1"/>
    <x v="2"/>
    <x v="0"/>
    <x v="0"/>
    <x v="0"/>
    <x v="0"/>
    <x v="2"/>
    <x v="0"/>
    <n v="0"/>
    <n v="0"/>
    <n v="2704.8609999999999"/>
    <n v="1360.2745969"/>
    <n v="0"/>
    <n v="0"/>
    <n v="0"/>
    <s v="LIVRE"/>
    <n v="0"/>
    <n v="0"/>
    <n v="24"/>
    <n v="0"/>
    <n v="0"/>
    <n v="1434.79"/>
    <n v="0"/>
    <m/>
    <n v="1501.8340703569011"/>
    <m/>
    <n v="0"/>
    <n v="1929199.1253038489"/>
    <n v="0"/>
    <n v="2019345.6707142177"/>
    <x v="0"/>
  </r>
  <r>
    <s v="Regular"/>
    <x v="1"/>
    <x v="2"/>
    <x v="0"/>
    <x v="0"/>
    <x v="0"/>
    <x v="0"/>
    <x v="2"/>
    <x v="1"/>
    <n v="0"/>
    <n v="0"/>
    <n v="2518.8159999999998"/>
    <n v="1343.0326912"/>
    <n v="0"/>
    <n v="0"/>
    <n v="0"/>
    <s v="LIVRE"/>
    <n v="0"/>
    <n v="0"/>
    <n v="24"/>
    <n v="0"/>
    <n v="0"/>
    <n v="1434.79"/>
    <n v="0"/>
    <m/>
    <n v="1501.8340703569011"/>
    <m/>
    <n v="0"/>
    <n v="1687002.1336331517"/>
    <n v="0"/>
    <n v="1765831.4325128088"/>
    <x v="0"/>
  </r>
  <r>
    <s v="Regular"/>
    <x v="1"/>
    <x v="2"/>
    <x v="0"/>
    <x v="0"/>
    <x v="0"/>
    <x v="0"/>
    <x v="2"/>
    <x v="2"/>
    <n v="0"/>
    <n v="0"/>
    <n v="1639.9290000000001"/>
    <n v="866.70247649999999"/>
    <n v="0"/>
    <n v="0"/>
    <n v="0"/>
    <s v="LIVRE"/>
    <n v="0"/>
    <n v="0"/>
    <n v="24"/>
    <n v="0"/>
    <n v="0"/>
    <n v="1434.79"/>
    <n v="0"/>
    <m/>
    <n v="1501.8340703569011"/>
    <m/>
    <n v="0"/>
    <n v="1109417.6836525651"/>
    <n v="0"/>
    <n v="1161257.9370959213"/>
    <x v="0"/>
  </r>
  <r>
    <s v="Regular"/>
    <x v="1"/>
    <x v="2"/>
    <x v="0"/>
    <x v="0"/>
    <x v="0"/>
    <x v="0"/>
    <x v="2"/>
    <x v="3"/>
    <n v="0"/>
    <n v="0"/>
    <n v="1712.6179999999999"/>
    <n v="906.65996919999998"/>
    <n v="0"/>
    <n v="0"/>
    <n v="0"/>
    <s v="LIVRE"/>
    <n v="0"/>
    <n v="0"/>
    <n v="24"/>
    <n v="0"/>
    <n v="0"/>
    <n v="1434.79"/>
    <n v="0"/>
    <m/>
    <n v="1501.8340703569011"/>
    <m/>
    <n v="0"/>
    <n v="1156380.5230115319"/>
    <n v="0"/>
    <n v="1210415.2299331967"/>
    <x v="0"/>
  </r>
  <r>
    <s v="Regular"/>
    <x v="1"/>
    <x v="2"/>
    <x v="0"/>
    <x v="0"/>
    <x v="0"/>
    <x v="0"/>
    <x v="2"/>
    <x v="4"/>
    <n v="0"/>
    <n v="0"/>
    <n v="2639.7460000000001"/>
    <n v="1410.6802623999999"/>
    <n v="0"/>
    <n v="0"/>
    <n v="0"/>
    <s v="LIVRE"/>
    <n v="0"/>
    <n v="0"/>
    <n v="24"/>
    <n v="0"/>
    <n v="0"/>
    <n v="1434.79"/>
    <n v="0"/>
    <m/>
    <n v="1501.8340703569011"/>
    <m/>
    <n v="0"/>
    <n v="1763451.2296511042"/>
    <n v="0"/>
    <n v="1845852.7994360151"/>
    <x v="0"/>
  </r>
  <r>
    <s v="Regular"/>
    <x v="1"/>
    <x v="2"/>
    <x v="0"/>
    <x v="0"/>
    <x v="0"/>
    <x v="0"/>
    <x v="2"/>
    <x v="5"/>
    <n v="0"/>
    <n v="0"/>
    <n v="2612.0300000000002"/>
    <n v="1390.1223660000001"/>
    <n v="0"/>
    <n v="0"/>
    <n v="0"/>
    <s v="LIVRE"/>
    <n v="0"/>
    <n v="0"/>
    <n v="24"/>
    <n v="0"/>
    <n v="0"/>
    <n v="1434.79"/>
    <n v="0"/>
    <m/>
    <n v="1501.8340703569011"/>
    <m/>
    <n v="0"/>
    <n v="1753180.8541868601"/>
    <n v="0"/>
    <n v="1835102.5155703907"/>
    <x v="0"/>
  </r>
  <r>
    <s v="Regular"/>
    <x v="1"/>
    <x v="2"/>
    <x v="0"/>
    <x v="0"/>
    <x v="0"/>
    <x v="0"/>
    <x v="2"/>
    <x v="6"/>
    <n v="0"/>
    <n v="0"/>
    <n v="2902.4670000000001"/>
    <n v="1564.429713"/>
    <n v="0"/>
    <n v="0"/>
    <n v="0"/>
    <s v="LIVRE"/>
    <n v="0"/>
    <n v="0"/>
    <n v="24"/>
    <n v="0"/>
    <n v="0"/>
    <n v="1434.79"/>
    <n v="0"/>
    <m/>
    <n v="1501.8340703569011"/>
    <m/>
    <n v="0"/>
    <n v="1919802.5190147301"/>
    <n v="0"/>
    <n v="2009509.9850245151"/>
    <x v="0"/>
  </r>
  <r>
    <s v="Regular"/>
    <x v="1"/>
    <x v="2"/>
    <x v="0"/>
    <x v="0"/>
    <x v="0"/>
    <x v="0"/>
    <x v="2"/>
    <x v="7"/>
    <n v="0"/>
    <n v="0"/>
    <n v="1639.9290000000001"/>
    <n v="866.70247649999999"/>
    <n v="0"/>
    <n v="0"/>
    <n v="0"/>
    <s v="LIVRE"/>
    <n v="0"/>
    <n v="0"/>
    <n v="24"/>
    <n v="0"/>
    <n v="0"/>
    <n v="1434.79"/>
    <n v="0"/>
    <m/>
    <n v="1501.8340703569011"/>
    <m/>
    <n v="0"/>
    <n v="1109417.6836525651"/>
    <n v="0"/>
    <n v="1161257.9370959213"/>
    <x v="0"/>
  </r>
  <r>
    <s v="Regular"/>
    <x v="1"/>
    <x v="2"/>
    <x v="0"/>
    <x v="0"/>
    <x v="0"/>
    <x v="0"/>
    <x v="2"/>
    <x v="8"/>
    <n v="0"/>
    <n v="0"/>
    <n v="3131.4769999999999"/>
    <n v="1666.5720593999999"/>
    <n v="0"/>
    <n v="0"/>
    <n v="0"/>
    <s v="LIVRE"/>
    <n v="0"/>
    <n v="0"/>
    <n v="24"/>
    <n v="0"/>
    <n v="0"/>
    <n v="1434.79"/>
    <n v="0"/>
    <m/>
    <n v="1501.8340703569011"/>
    <m/>
    <n v="0"/>
    <n v="2101830.959723474"/>
    <n v="0"/>
    <n v="2200044.1496272325"/>
    <x v="0"/>
  </r>
  <r>
    <s v="Regular"/>
    <x v="1"/>
    <x v="2"/>
    <x v="0"/>
    <x v="0"/>
    <x v="0"/>
    <x v="0"/>
    <x v="2"/>
    <x v="9"/>
    <n v="0"/>
    <n v="0"/>
    <n v="3242.9160000000002"/>
    <n v="1669.4531568"/>
    <n v="0"/>
    <n v="0"/>
    <n v="0"/>
    <s v="LIVRE"/>
    <n v="0"/>
    <n v="0"/>
    <n v="24"/>
    <n v="0"/>
    <n v="0"/>
    <n v="1434.79"/>
    <n v="0"/>
    <m/>
    <n v="1501.8340703569011"/>
    <m/>
    <n v="0"/>
    <n v="2257588.7527949284"/>
    <n v="0"/>
    <n v="2363080.1063583987"/>
    <x v="0"/>
  </r>
  <r>
    <s v="Regular"/>
    <x v="1"/>
    <x v="2"/>
    <x v="0"/>
    <x v="0"/>
    <x v="0"/>
    <x v="0"/>
    <x v="2"/>
    <x v="10"/>
    <n v="0"/>
    <n v="0"/>
    <n v="3049.5859999999998"/>
    <n v="1533.3318408"/>
    <n v="0"/>
    <n v="0"/>
    <n v="0"/>
    <s v="LIVRE"/>
    <n v="0"/>
    <n v="0"/>
    <n v="24"/>
    <n v="0"/>
    <n v="0"/>
    <n v="1434.79"/>
    <n v="0"/>
    <m/>
    <n v="1501.8340703569011"/>
    <m/>
    <n v="0"/>
    <n v="2175506.3050785675"/>
    <n v="0"/>
    <n v="2277162.1556069162"/>
    <x v="0"/>
  </r>
  <r>
    <s v="PROJETADO"/>
    <x v="1"/>
    <x v="2"/>
    <x v="0"/>
    <x v="0"/>
    <x v="0"/>
    <x v="0"/>
    <x v="2"/>
    <x v="11"/>
    <n v="0"/>
    <n v="0"/>
    <n v="3049.5859999999998"/>
    <n v="1533.3318408"/>
    <n v="0"/>
    <n v="0"/>
    <n v="0"/>
    <s v="LIVRE"/>
    <n v="0"/>
    <n v="0"/>
    <n v="24"/>
    <n v="0"/>
    <n v="0"/>
    <n v="1434.79"/>
    <n v="0"/>
    <m/>
    <n v="1501.8340703569011"/>
    <m/>
    <n v="0"/>
    <n v="2175506.3050785675"/>
    <n v="0"/>
    <n v="2277162.1556069162"/>
    <x v="0"/>
  </r>
  <r>
    <s v="Sistema Isolado - Regular"/>
    <x v="1"/>
    <x v="2"/>
    <x v="3"/>
    <x v="2"/>
    <x v="2"/>
    <x v="0"/>
    <x v="0"/>
    <x v="8"/>
    <n v="0"/>
    <n v="0"/>
    <n v="4.34"/>
    <n v="0.86799999999999999"/>
    <n v="4.34"/>
    <n v="0.86799999999999999"/>
    <n v="0"/>
    <s v="CATIVO"/>
    <n v="0"/>
    <n v="0"/>
    <n v="19"/>
    <n v="67"/>
    <n v="0"/>
    <n v="149.63"/>
    <n v="230.03"/>
    <m/>
    <n v="54.203801879475932"/>
    <n v="282.91739971702214"/>
    <n v="0"/>
    <n v="1318.1795200000001"/>
    <n v="0"/>
    <n v="1170.4848119430412"/>
    <x v="3"/>
  </r>
  <r>
    <s v="Sistema Isolado - Regular"/>
    <x v="1"/>
    <x v="2"/>
    <x v="3"/>
    <x v="2"/>
    <x v="2"/>
    <x v="0"/>
    <x v="0"/>
    <x v="9"/>
    <n v="0"/>
    <n v="0"/>
    <n v="12.124000000000001"/>
    <n v="2.4247999999999998"/>
    <n v="12.124000000000001"/>
    <n v="2.4247999999999998"/>
    <n v="0"/>
    <s v="CATIVO"/>
    <n v="0"/>
    <n v="0"/>
    <n v="19"/>
    <n v="67"/>
    <n v="0"/>
    <n v="149.63"/>
    <n v="230.03"/>
    <m/>
    <n v="54.203801879475932"/>
    <n v="282.91739971702214"/>
    <n v="0"/>
    <n v="3682.3982720000004"/>
    <n v="0"/>
    <n v="3269.8059585247547"/>
    <x v="3"/>
  </r>
  <r>
    <s v="Sistema Isolado - Refaturamento"/>
    <x v="1"/>
    <x v="2"/>
    <x v="3"/>
    <x v="2"/>
    <x v="2"/>
    <x v="0"/>
    <x v="0"/>
    <x v="9"/>
    <n v="0"/>
    <n v="0"/>
    <n v="14.76"/>
    <n v="2.952"/>
    <n v="14.76"/>
    <n v="2.952"/>
    <n v="0"/>
    <s v="CATIVO"/>
    <n v="0"/>
    <n v="0"/>
    <n v="19"/>
    <n v="67"/>
    <n v="0"/>
    <n v="149.63"/>
    <n v="230.03"/>
    <m/>
    <n v="54.203801879475932"/>
    <n v="282.91739971702214"/>
    <n v="0"/>
    <n v="4483.0252799999998"/>
    <n v="0"/>
    <n v="3980.7271484514495"/>
    <x v="3"/>
  </r>
  <r>
    <s v="Sistema Isolado - Regular"/>
    <x v="1"/>
    <x v="2"/>
    <x v="3"/>
    <x v="2"/>
    <x v="2"/>
    <x v="0"/>
    <x v="0"/>
    <x v="10"/>
    <n v="0"/>
    <n v="0"/>
    <n v="13.739000000000001"/>
    <n v="2.7477999999999998"/>
    <n v="13.739000000000001"/>
    <n v="2.7477999999999998"/>
    <n v="0"/>
    <s v="CATIVO"/>
    <n v="0"/>
    <n v="0"/>
    <n v="19"/>
    <n v="67"/>
    <n v="0"/>
    <n v="149.63"/>
    <n v="230.03"/>
    <m/>
    <n v="54.203801879475932"/>
    <n v="282.91739971702214"/>
    <n v="0"/>
    <n v="4172.9189920000008"/>
    <n v="0"/>
    <n v="3705.3665509874299"/>
    <x v="3"/>
  </r>
  <r>
    <s v="PROJETADO"/>
    <x v="1"/>
    <x v="2"/>
    <x v="3"/>
    <x v="2"/>
    <x v="2"/>
    <x v="0"/>
    <x v="0"/>
    <x v="11"/>
    <n v="0"/>
    <n v="0"/>
    <n v="13.739000000000001"/>
    <n v="2.7477999999999998"/>
    <n v="13.739000000000001"/>
    <n v="2.7477999999999998"/>
    <n v="0"/>
    <s v="CATIVO"/>
    <n v="0"/>
    <n v="0"/>
    <n v="19"/>
    <n v="67"/>
    <n v="0"/>
    <n v="149.63"/>
    <n v="230.03"/>
    <m/>
    <n v="54.203801879475932"/>
    <n v="282.91739971702214"/>
    <n v="0"/>
    <n v="4172.9189920000008"/>
    <n v="0"/>
    <n v="3705.3665509874299"/>
    <x v="3"/>
  </r>
  <r>
    <s v="Sistema Isolado - Regular"/>
    <x v="1"/>
    <x v="2"/>
    <x v="3"/>
    <x v="2"/>
    <x v="2"/>
    <x v="0"/>
    <x v="2"/>
    <x v="8"/>
    <n v="0"/>
    <n v="0"/>
    <n v="3.7519999999999998"/>
    <n v="0.75039999999999996"/>
    <n v="3.7519999999999998"/>
    <n v="0.75039999999999996"/>
    <n v="0"/>
    <s v="CATIVO"/>
    <n v="0"/>
    <n v="0"/>
    <n v="24"/>
    <n v="66"/>
    <n v="0"/>
    <n v="1434.79"/>
    <n v="389.28"/>
    <m/>
    <n v="1501.8340703569011"/>
    <n v="454.3285679284046"/>
    <n v="0"/>
    <n v="5475.1285119999993"/>
    <n v="0"/>
    <n v="5871.6177750771731"/>
    <x v="3"/>
  </r>
  <r>
    <s v="Sistema Isolado - Regular"/>
    <x v="1"/>
    <x v="2"/>
    <x v="3"/>
    <x v="2"/>
    <x v="2"/>
    <x v="0"/>
    <x v="2"/>
    <x v="9"/>
    <n v="0"/>
    <n v="0"/>
    <n v="0.28000000000000003"/>
    <n v="5.6000000000000001E-2"/>
    <n v="0.28000000000000003"/>
    <n v="5.6000000000000001E-2"/>
    <n v="0"/>
    <s v="CATIVO"/>
    <n v="0"/>
    <n v="0"/>
    <n v="24"/>
    <n v="66"/>
    <n v="0"/>
    <n v="1434.79"/>
    <n v="389.28"/>
    <m/>
    <n v="1501.8340703569011"/>
    <n v="454.3285679284046"/>
    <n v="0"/>
    <n v="408.59168"/>
    <n v="0"/>
    <n v="438.18043097590851"/>
    <x v="3"/>
  </r>
  <r>
    <s v="Sistema Isolado - Regular"/>
    <x v="1"/>
    <x v="2"/>
    <x v="3"/>
    <x v="2"/>
    <x v="2"/>
    <x v="0"/>
    <x v="2"/>
    <x v="10"/>
    <n v="0"/>
    <n v="0"/>
    <n v="0.313"/>
    <n v="6.2600000000000003E-2"/>
    <n v="0.313"/>
    <n v="6.2600000000000003E-2"/>
    <n v="0"/>
    <s v="CATIVO"/>
    <n v="0"/>
    <n v="0"/>
    <n v="24"/>
    <n v="66"/>
    <n v="0"/>
    <n v="1434.79"/>
    <n v="389.28"/>
    <m/>
    <n v="1501.8340703569011"/>
    <n v="454.3285679284046"/>
    <n v="0"/>
    <n v="456.74712799999998"/>
    <n v="0"/>
    <n v="489.82312462664061"/>
    <x v="3"/>
  </r>
  <r>
    <s v="PROJETADO"/>
    <x v="1"/>
    <x v="2"/>
    <x v="3"/>
    <x v="2"/>
    <x v="2"/>
    <x v="0"/>
    <x v="2"/>
    <x v="11"/>
    <n v="0"/>
    <n v="0"/>
    <n v="0.313"/>
    <n v="6.2600000000000003E-2"/>
    <n v="0.313"/>
    <n v="6.2600000000000003E-2"/>
    <n v="0"/>
    <s v="CATIVO"/>
    <n v="0"/>
    <n v="0"/>
    <n v="24"/>
    <n v="66"/>
    <n v="0"/>
    <n v="1434.79"/>
    <n v="389.28"/>
    <m/>
    <n v="1501.8340703569011"/>
    <n v="454.3285679284046"/>
    <n v="0"/>
    <n v="456.74712799999998"/>
    <n v="0"/>
    <n v="489.82312462664061"/>
    <x v="3"/>
  </r>
  <r>
    <s v="Sistema Isolado - Regular"/>
    <x v="1"/>
    <x v="2"/>
    <x v="3"/>
    <x v="2"/>
    <x v="3"/>
    <x v="0"/>
    <x v="0"/>
    <x v="8"/>
    <n v="0"/>
    <n v="0"/>
    <n v="3.7240000000000002"/>
    <n v="3.5005600000000001"/>
    <n v="3.7240000000000002"/>
    <n v="3.5005600000000001"/>
    <n v="0"/>
    <s v="CATIVO"/>
    <n v="0"/>
    <n v="0"/>
    <n v="19"/>
    <n v="67"/>
    <n v="0"/>
    <n v="149.63"/>
    <n v="230.03"/>
    <m/>
    <n v="54.203801879475932"/>
    <n v="282.91739971702214"/>
    <n v="0"/>
    <n v="84.831230400000024"/>
    <n v="0"/>
    <n v="75.326361284721557"/>
    <x v="3"/>
  </r>
  <r>
    <s v="Sistema Isolado - Regular"/>
    <x v="1"/>
    <x v="2"/>
    <x v="3"/>
    <x v="2"/>
    <x v="3"/>
    <x v="0"/>
    <x v="0"/>
    <x v="9"/>
    <n v="0"/>
    <n v="0"/>
    <n v="7.1680000000000001"/>
    <n v="6.7379199999999999"/>
    <n v="7.1680000000000001"/>
    <n v="6.7379199999999999"/>
    <n v="0"/>
    <s v="CATIVO"/>
    <n v="0"/>
    <n v="0"/>
    <n v="19"/>
    <n v="67"/>
    <n v="0"/>
    <n v="149.63"/>
    <n v="230.03"/>
    <m/>
    <n v="54.203801879475932"/>
    <n v="282.91739971702214"/>
    <n v="0"/>
    <n v="163.28417280000008"/>
    <n v="0"/>
    <n v="144.98908638262196"/>
    <x v="3"/>
  </r>
  <r>
    <s v="Sistema Isolado - Refaturamento"/>
    <x v="1"/>
    <x v="2"/>
    <x v="3"/>
    <x v="2"/>
    <x v="3"/>
    <x v="0"/>
    <x v="0"/>
    <x v="9"/>
    <n v="0"/>
    <n v="0"/>
    <n v="3.6589999999999998"/>
    <n v="3.4394599999999995"/>
    <n v="3.6589999999999998"/>
    <n v="3.4394599999999995"/>
    <n v="0"/>
    <s v="CATIVO"/>
    <n v="0"/>
    <n v="0"/>
    <n v="19"/>
    <n v="67"/>
    <n v="0"/>
    <n v="149.63"/>
    <n v="230.03"/>
    <m/>
    <n v="54.203801879475932"/>
    <n v="282.91739971702214"/>
    <n v="0"/>
    <n v="83.350556400000102"/>
    <n v="0"/>
    <n v="74.01158859849528"/>
    <x v="3"/>
  </r>
  <r>
    <s v="Sistema Isolado - Regular"/>
    <x v="1"/>
    <x v="2"/>
    <x v="3"/>
    <x v="2"/>
    <x v="3"/>
    <x v="0"/>
    <x v="0"/>
    <x v="10"/>
    <n v="0"/>
    <n v="0"/>
    <n v="11.260999999999999"/>
    <n v="10.585339999999999"/>
    <n v="11.260999999999999"/>
    <n v="10.585339999999999"/>
    <n v="0"/>
    <s v="CATIVO"/>
    <n v="0"/>
    <n v="0"/>
    <n v="19"/>
    <n v="67"/>
    <n v="0"/>
    <n v="149.63"/>
    <n v="230.03"/>
    <m/>
    <n v="54.203801879475932"/>
    <n v="282.91739971702214"/>
    <n v="0"/>
    <n v="256.52107560000024"/>
    <n v="0"/>
    <n v="227.77931107069008"/>
    <x v="3"/>
  </r>
  <r>
    <s v="PROJETADO"/>
    <x v="1"/>
    <x v="2"/>
    <x v="3"/>
    <x v="2"/>
    <x v="3"/>
    <x v="0"/>
    <x v="0"/>
    <x v="11"/>
    <n v="0"/>
    <n v="0"/>
    <n v="11.260999999999999"/>
    <n v="10.585339999999999"/>
    <n v="11.260999999999999"/>
    <n v="10.585339999999999"/>
    <n v="0"/>
    <s v="CATIVO"/>
    <n v="0"/>
    <n v="0"/>
    <n v="19"/>
    <n v="67"/>
    <n v="0"/>
    <n v="149.63"/>
    <n v="230.03"/>
    <m/>
    <n v="54.203801879475932"/>
    <n v="282.91739971702214"/>
    <n v="0"/>
    <n v="256.52107560000024"/>
    <n v="0"/>
    <n v="227.77931107069008"/>
    <x v="3"/>
  </r>
  <r>
    <s v="Sistema Isolado - Regular"/>
    <x v="1"/>
    <x v="2"/>
    <x v="3"/>
    <x v="2"/>
    <x v="1"/>
    <x v="0"/>
    <x v="1"/>
    <x v="8"/>
    <n v="43"/>
    <n v="40.419999999999995"/>
    <n v="0"/>
    <n v="0"/>
    <n v="0"/>
    <n v="0"/>
    <n v="1"/>
    <s v="CATIVO"/>
    <n v="0"/>
    <n v="23"/>
    <n v="0"/>
    <n v="0"/>
    <n v="28.57"/>
    <n v="0"/>
    <n v="0"/>
    <n v="31.93064187172984"/>
    <m/>
    <m/>
    <n v="73.710600000000156"/>
    <n v="0"/>
    <n v="82.38105602906316"/>
    <n v="0"/>
    <x v="3"/>
  </r>
  <r>
    <s v="Sistema Isolado - Regular"/>
    <x v="1"/>
    <x v="2"/>
    <x v="3"/>
    <x v="2"/>
    <x v="1"/>
    <x v="0"/>
    <x v="1"/>
    <x v="9"/>
    <n v="88"/>
    <n v="82.72"/>
    <n v="0"/>
    <n v="0"/>
    <n v="0"/>
    <n v="0"/>
    <n v="1"/>
    <s v="CATIVO"/>
    <n v="0"/>
    <n v="23"/>
    <n v="0"/>
    <n v="0"/>
    <n v="28.57"/>
    <n v="0"/>
    <n v="0"/>
    <n v="31.93064187172984"/>
    <m/>
    <m/>
    <n v="150.84960000000004"/>
    <n v="0"/>
    <n v="168.59378908273359"/>
    <n v="0"/>
    <x v="3"/>
  </r>
  <r>
    <s v="Sistema Isolado - Regular"/>
    <x v="1"/>
    <x v="2"/>
    <x v="3"/>
    <x v="2"/>
    <x v="1"/>
    <x v="0"/>
    <x v="1"/>
    <x v="10"/>
    <n v="50"/>
    <n v="47"/>
    <n v="0"/>
    <n v="0"/>
    <n v="0"/>
    <n v="0"/>
    <n v="1"/>
    <s v="CATIVO"/>
    <n v="0"/>
    <n v="23"/>
    <n v="0"/>
    <n v="0"/>
    <n v="28.57"/>
    <n v="0"/>
    <n v="0"/>
    <n v="31.93064187172984"/>
    <m/>
    <m/>
    <n v="85.710000000000008"/>
    <n v="0"/>
    <n v="95.791925615189513"/>
    <n v="0"/>
    <x v="3"/>
  </r>
  <r>
    <s v="PROJETADO"/>
    <x v="1"/>
    <x v="2"/>
    <x v="3"/>
    <x v="2"/>
    <x v="1"/>
    <x v="0"/>
    <x v="1"/>
    <x v="11"/>
    <n v="50"/>
    <n v="47"/>
    <n v="0"/>
    <n v="0"/>
    <n v="0"/>
    <n v="0"/>
    <n v="1"/>
    <s v="CATIVO"/>
    <n v="0"/>
    <n v="23"/>
    <n v="0"/>
    <n v="0"/>
    <n v="28.57"/>
    <n v="0"/>
    <n v="0"/>
    <n v="31.93064187172984"/>
    <m/>
    <m/>
    <n v="85.710000000000008"/>
    <n v="0"/>
    <n v="95.791925615189513"/>
    <n v="0"/>
    <x v="3"/>
  </r>
  <r>
    <s v="Sistema Isolado - Refaturamento"/>
    <x v="1"/>
    <x v="2"/>
    <x v="3"/>
    <x v="2"/>
    <x v="1"/>
    <x v="0"/>
    <x v="2"/>
    <x v="9"/>
    <n v="0"/>
    <n v="0"/>
    <n v="-8.6419999999999995"/>
    <n v="-8.1234799999999989"/>
    <n v="-8.6419999999999995"/>
    <n v="-8.1234799999999989"/>
    <n v="0"/>
    <s v="CATIVO"/>
    <n v="0"/>
    <n v="0"/>
    <n v="24"/>
    <n v="66"/>
    <n v="0"/>
    <n v="1434.79"/>
    <n v="389.28"/>
    <m/>
    <n v="1501.8340703569011"/>
    <n v="454.3285679284046"/>
    <n v="0"/>
    <n v="-945.81677640000089"/>
    <n v="0"/>
    <n v="-1014.3094512036977"/>
    <x v="3"/>
  </r>
  <r>
    <s v="Regular"/>
    <x v="1"/>
    <x v="2"/>
    <x v="3"/>
    <x v="0"/>
    <x v="1"/>
    <x v="0"/>
    <x v="0"/>
    <x v="0"/>
    <n v="0"/>
    <n v="0"/>
    <n v="603.09500000000003"/>
    <n v="566.90930000000003"/>
    <n v="603.09500000000003"/>
    <n v="566.90930000000003"/>
    <n v="0"/>
    <s v="CATIVO"/>
    <n v="0"/>
    <n v="0"/>
    <n v="19"/>
    <n v="67"/>
    <n v="0"/>
    <n v="149.63"/>
    <n v="230.03"/>
    <m/>
    <n v="54.203801879475932"/>
    <n v="282.91739971702214"/>
    <n v="0"/>
    <n v="13738.262862"/>
    <n v="0"/>
    <n v="12198.966664610398"/>
    <x v="3"/>
  </r>
  <r>
    <s v="Sistema Isolado - Regular"/>
    <x v="1"/>
    <x v="2"/>
    <x v="3"/>
    <x v="0"/>
    <x v="1"/>
    <x v="0"/>
    <x v="0"/>
    <x v="0"/>
    <n v="0"/>
    <n v="0"/>
    <n v="91.853999999999999"/>
    <n v="86.342759999999998"/>
    <n v="91.853999999999999"/>
    <n v="86.342759999999998"/>
    <n v="0"/>
    <s v="CATIVO"/>
    <n v="0"/>
    <n v="0"/>
    <n v="19"/>
    <n v="67"/>
    <n v="0"/>
    <n v="149.63"/>
    <n v="230.03"/>
    <m/>
    <n v="54.203801879475932"/>
    <n v="282.91739971702214"/>
    <n v="0"/>
    <n v="2092.3973784000004"/>
    <n v="0"/>
    <n v="1857.9558510866843"/>
    <x v="3"/>
  </r>
  <r>
    <s v="Regular"/>
    <x v="1"/>
    <x v="2"/>
    <x v="3"/>
    <x v="0"/>
    <x v="1"/>
    <x v="0"/>
    <x v="0"/>
    <x v="1"/>
    <n v="0"/>
    <n v="0"/>
    <n v="599.38499999999999"/>
    <n v="563.42189999999994"/>
    <n v="599.38499999999999"/>
    <n v="563.42189999999994"/>
    <n v="0"/>
    <s v="CATIVO"/>
    <n v="0"/>
    <n v="0"/>
    <n v="19"/>
    <n v="67"/>
    <n v="0"/>
    <n v="149.63"/>
    <n v="230.03"/>
    <m/>
    <n v="54.203801879475932"/>
    <n v="282.91739971702214"/>
    <n v="0"/>
    <n v="13653.750546000019"/>
    <n v="0"/>
    <n v="12123.923485135039"/>
    <x v="3"/>
  </r>
  <r>
    <s v="Sistema Isolado - Regular"/>
    <x v="1"/>
    <x v="2"/>
    <x v="3"/>
    <x v="0"/>
    <x v="1"/>
    <x v="0"/>
    <x v="0"/>
    <x v="1"/>
    <n v="0"/>
    <n v="0"/>
    <n v="99.043999999999997"/>
    <n v="93.101359999999985"/>
    <n v="99.043999999999997"/>
    <n v="93.101359999999985"/>
    <n v="0"/>
    <s v="CATIVO"/>
    <n v="0"/>
    <n v="0"/>
    <n v="19"/>
    <n v="67"/>
    <n v="0"/>
    <n v="149.63"/>
    <n v="230.03"/>
    <m/>
    <n v="54.203801879475932"/>
    <n v="282.91739971702214"/>
    <n v="0"/>
    <n v="2256.182702400004"/>
    <n v="0"/>
    <n v="2003.3899374554171"/>
    <x v="3"/>
  </r>
  <r>
    <s v="Regular"/>
    <x v="1"/>
    <x v="2"/>
    <x v="3"/>
    <x v="0"/>
    <x v="1"/>
    <x v="0"/>
    <x v="0"/>
    <x v="2"/>
    <n v="0"/>
    <n v="0"/>
    <n v="532.41700000000003"/>
    <n v="500.47197999999997"/>
    <n v="532.41700000000003"/>
    <n v="500.47197999999997"/>
    <n v="0"/>
    <s v="CATIVO"/>
    <n v="0"/>
    <n v="0"/>
    <n v="19"/>
    <n v="67"/>
    <n v="0"/>
    <n v="149.63"/>
    <n v="230.03"/>
    <m/>
    <n v="54.203801879475932"/>
    <n v="282.91739971702214"/>
    <n v="0"/>
    <n v="12128.246293200022"/>
    <n v="0"/>
    <n v="10769.343527424182"/>
    <x v="3"/>
  </r>
  <r>
    <s v="Sistema Isolado - Regular"/>
    <x v="1"/>
    <x v="2"/>
    <x v="3"/>
    <x v="0"/>
    <x v="1"/>
    <x v="0"/>
    <x v="0"/>
    <x v="2"/>
    <n v="0"/>
    <n v="0"/>
    <n v="104.44"/>
    <n v="98.173599999999993"/>
    <n v="104.44"/>
    <n v="98.173599999999993"/>
    <n v="0"/>
    <s v="CATIVO"/>
    <n v="0"/>
    <n v="0"/>
    <n v="19"/>
    <n v="67"/>
    <n v="0"/>
    <n v="149.63"/>
    <n v="230.03"/>
    <m/>
    <n v="54.203801879475932"/>
    <n v="282.91739971702214"/>
    <n v="0"/>
    <n v="2379.1014240000013"/>
    <n v="0"/>
    <n v="2112.5362976842971"/>
    <x v="3"/>
  </r>
  <r>
    <s v="Regular"/>
    <x v="1"/>
    <x v="2"/>
    <x v="3"/>
    <x v="0"/>
    <x v="1"/>
    <x v="0"/>
    <x v="0"/>
    <x v="3"/>
    <n v="0"/>
    <n v="0"/>
    <n v="510.512"/>
    <n v="479.88127999999995"/>
    <n v="510.512"/>
    <n v="479.88127999999995"/>
    <n v="0"/>
    <s v="CATIVO"/>
    <n v="0"/>
    <n v="0"/>
    <n v="19"/>
    <n v="67"/>
    <n v="0"/>
    <n v="149.63"/>
    <n v="230.03"/>
    <m/>
    <n v="54.203801879475932"/>
    <n v="282.91739971702214"/>
    <n v="0"/>
    <n v="11629.259155200019"/>
    <n v="0"/>
    <n v="10326.265132165903"/>
    <x v="3"/>
  </r>
  <r>
    <s v="Sistema Isolado - Regular"/>
    <x v="1"/>
    <x v="2"/>
    <x v="3"/>
    <x v="0"/>
    <x v="1"/>
    <x v="0"/>
    <x v="0"/>
    <x v="3"/>
    <n v="0"/>
    <n v="0"/>
    <n v="91.816999999999993"/>
    <n v="86.307979999999986"/>
    <n v="91.816999999999993"/>
    <n v="86.307979999999986"/>
    <n v="0"/>
    <s v="CATIVO"/>
    <n v="0"/>
    <n v="0"/>
    <n v="19"/>
    <n v="67"/>
    <n v="0"/>
    <n v="149.63"/>
    <n v="230.03"/>
    <m/>
    <n v="54.203801879475932"/>
    <n v="282.91739971702214"/>
    <n v="0"/>
    <n v="2091.5545332000024"/>
    <n v="0"/>
    <n v="1857.207442019142"/>
    <x v="3"/>
  </r>
  <r>
    <s v="Regular"/>
    <x v="1"/>
    <x v="2"/>
    <x v="3"/>
    <x v="0"/>
    <x v="1"/>
    <x v="0"/>
    <x v="0"/>
    <x v="4"/>
    <n v="0"/>
    <n v="0"/>
    <n v="660.69299999999998"/>
    <n v="621.05141999999989"/>
    <n v="660.69299999999998"/>
    <n v="621.05141999999989"/>
    <n v="0"/>
    <s v="CATIVO"/>
    <n v="0"/>
    <n v="0"/>
    <n v="19"/>
    <n v="67"/>
    <n v="0"/>
    <n v="149.63"/>
    <n v="230.03"/>
    <m/>
    <n v="54.203801879475932"/>
    <n v="282.91739971702214"/>
    <n v="0"/>
    <n v="15050.322262800033"/>
    <n v="0"/>
    <n v="13364.017082783736"/>
    <x v="3"/>
  </r>
  <r>
    <s v="Sistema Isolado - Regular"/>
    <x v="1"/>
    <x v="2"/>
    <x v="3"/>
    <x v="0"/>
    <x v="1"/>
    <x v="0"/>
    <x v="0"/>
    <x v="4"/>
    <n v="0"/>
    <n v="0"/>
    <n v="87.51"/>
    <n v="82.259399999999999"/>
    <n v="87.51"/>
    <n v="82.259399999999999"/>
    <n v="0"/>
    <s v="CATIVO"/>
    <n v="0"/>
    <n v="0"/>
    <n v="19"/>
    <n v="67"/>
    <n v="0"/>
    <n v="149.63"/>
    <n v="230.03"/>
    <m/>
    <n v="54.203801879475932"/>
    <n v="282.91739971702214"/>
    <n v="0"/>
    <n v="1993.4427960000021"/>
    <n v="0"/>
    <n v="1770.0885811025746"/>
    <x v="3"/>
  </r>
  <r>
    <s v="Regular"/>
    <x v="1"/>
    <x v="2"/>
    <x v="3"/>
    <x v="0"/>
    <x v="1"/>
    <x v="0"/>
    <x v="0"/>
    <x v="5"/>
    <n v="0"/>
    <n v="0"/>
    <n v="627.84500000000003"/>
    <n v="590.17430000000002"/>
    <n v="627.84500000000003"/>
    <n v="590.17430000000002"/>
    <n v="0"/>
    <s v="CATIVO"/>
    <n v="0"/>
    <n v="0"/>
    <n v="19"/>
    <n v="67"/>
    <n v="0"/>
    <n v="149.63"/>
    <n v="230.03"/>
    <m/>
    <n v="54.203801879475932"/>
    <n v="282.91739971702214"/>
    <n v="0"/>
    <n v="14302.057962000003"/>
    <n v="0"/>
    <n v="12699.591648981204"/>
    <x v="3"/>
  </r>
  <r>
    <s v="Sistema Isolado - Regular"/>
    <x v="1"/>
    <x v="2"/>
    <x v="3"/>
    <x v="0"/>
    <x v="1"/>
    <x v="0"/>
    <x v="0"/>
    <x v="5"/>
    <n v="0"/>
    <n v="0"/>
    <n v="103.523"/>
    <n v="97.311619999999991"/>
    <n v="103.523"/>
    <n v="97.311619999999991"/>
    <n v="0"/>
    <s v="CATIVO"/>
    <n v="0"/>
    <n v="0"/>
    <n v="19"/>
    <n v="67"/>
    <n v="0"/>
    <n v="149.63"/>
    <n v="230.03"/>
    <m/>
    <n v="54.203801879475932"/>
    <n v="282.91739971702214"/>
    <n v="0"/>
    <n v="2358.2125308000022"/>
    <n v="0"/>
    <n v="2093.9878891724579"/>
    <x v="3"/>
  </r>
  <r>
    <s v="Regular"/>
    <x v="1"/>
    <x v="2"/>
    <x v="3"/>
    <x v="0"/>
    <x v="1"/>
    <x v="0"/>
    <x v="0"/>
    <x v="6"/>
    <n v="0"/>
    <n v="0"/>
    <n v="751.38199999999995"/>
    <n v="706.29908"/>
    <n v="751.38199999999995"/>
    <n v="706.29908"/>
    <n v="0"/>
    <s v="CATIVO"/>
    <n v="0"/>
    <n v="0"/>
    <n v="19"/>
    <n v="67"/>
    <n v="0"/>
    <n v="149.63"/>
    <n v="230.03"/>
    <m/>
    <n v="54.203801879475932"/>
    <n v="282.91739971702214"/>
    <n v="0"/>
    <n v="17116.18140719998"/>
    <n v="0"/>
    <n v="15198.408161878777"/>
    <x v="3"/>
  </r>
  <r>
    <s v="Sistema Isolado - Regular"/>
    <x v="1"/>
    <x v="2"/>
    <x v="3"/>
    <x v="0"/>
    <x v="1"/>
    <x v="0"/>
    <x v="0"/>
    <x v="6"/>
    <n v="0"/>
    <n v="0"/>
    <n v="105.182"/>
    <n v="98.871080000000006"/>
    <n v="105.182"/>
    <n v="98.871080000000006"/>
    <n v="0"/>
    <s v="CATIVO"/>
    <n v="0"/>
    <n v="0"/>
    <n v="19"/>
    <n v="67"/>
    <n v="0"/>
    <n v="149.63"/>
    <n v="230.03"/>
    <m/>
    <n v="54.203801879475932"/>
    <n v="282.91739971702214"/>
    <n v="0"/>
    <n v="2396.0038871999982"/>
    <n v="0"/>
    <n v="2127.5449335793701"/>
    <x v="3"/>
  </r>
  <r>
    <s v="Regular"/>
    <x v="1"/>
    <x v="2"/>
    <x v="3"/>
    <x v="0"/>
    <x v="1"/>
    <x v="0"/>
    <x v="0"/>
    <x v="7"/>
    <n v="0"/>
    <n v="0"/>
    <n v="690.61699999999996"/>
    <n v="649.17998"/>
    <n v="690.61699999999996"/>
    <n v="649.17998"/>
    <n v="0"/>
    <s v="CATIVO"/>
    <n v="0"/>
    <n v="0"/>
    <n v="19"/>
    <n v="67"/>
    <n v="0"/>
    <n v="149.63"/>
    <n v="230.03"/>
    <m/>
    <n v="54.203801879475932"/>
    <n v="282.91739971702214"/>
    <n v="0"/>
    <n v="15731.979013199985"/>
    <n v="0"/>
    <n v="13969.297972978109"/>
    <x v="3"/>
  </r>
  <r>
    <s v="Sistema Isolado - Regular"/>
    <x v="1"/>
    <x v="2"/>
    <x v="3"/>
    <x v="0"/>
    <x v="1"/>
    <x v="0"/>
    <x v="0"/>
    <x v="7"/>
    <n v="0"/>
    <n v="0"/>
    <n v="87.930999999999997"/>
    <n v="82.655139999999989"/>
    <n v="87.930999999999997"/>
    <n v="82.655139999999989"/>
    <n v="0"/>
    <s v="CATIVO"/>
    <n v="0"/>
    <n v="0"/>
    <n v="19"/>
    <n v="67"/>
    <n v="0"/>
    <n v="149.63"/>
    <n v="230.03"/>
    <m/>
    <n v="54.203801879475932"/>
    <n v="282.91739971702214"/>
    <n v="0"/>
    <n v="2003.0330076000032"/>
    <n v="0"/>
    <n v="1778.6042626549033"/>
    <x v="3"/>
  </r>
  <r>
    <s v="Regular"/>
    <x v="1"/>
    <x v="2"/>
    <x v="3"/>
    <x v="0"/>
    <x v="1"/>
    <x v="0"/>
    <x v="0"/>
    <x v="8"/>
    <n v="0"/>
    <n v="0"/>
    <n v="730.80399999999997"/>
    <n v="686.95576000000005"/>
    <n v="730.80399999999997"/>
    <n v="686.95576000000005"/>
    <n v="0"/>
    <s v="CATIVO"/>
    <n v="0"/>
    <n v="0"/>
    <n v="19"/>
    <n v="67"/>
    <n v="0"/>
    <n v="149.63"/>
    <n v="230.03"/>
    <m/>
    <n v="54.203801879475932"/>
    <n v="282.91739971702214"/>
    <n v="0"/>
    <n v="16647.42279839997"/>
    <n v="0"/>
    <n v="14782.171356691602"/>
    <x v="3"/>
  </r>
  <r>
    <s v="Sistema Isolado - Regular"/>
    <x v="1"/>
    <x v="2"/>
    <x v="3"/>
    <x v="0"/>
    <x v="1"/>
    <x v="0"/>
    <x v="0"/>
    <x v="8"/>
    <n v="0"/>
    <n v="0"/>
    <n v="81.924999999999997"/>
    <n v="77.009500000000003"/>
    <n v="81.924999999999997"/>
    <n v="77.009500000000003"/>
    <n v="0"/>
    <s v="CATIVO"/>
    <n v="0"/>
    <n v="0"/>
    <n v="19"/>
    <n v="67"/>
    <n v="0"/>
    <n v="149.63"/>
    <n v="230.03"/>
    <m/>
    <n v="54.203801879475932"/>
    <n v="282.91739971702214"/>
    <n v="0"/>
    <n v="1866.2187299999978"/>
    <n v="0"/>
    <n v="1657.1192664475846"/>
    <x v="3"/>
  </r>
  <r>
    <s v="Sistema de Compensação"/>
    <x v="1"/>
    <x v="2"/>
    <x v="3"/>
    <x v="0"/>
    <x v="1"/>
    <x v="0"/>
    <x v="0"/>
    <x v="8"/>
    <n v="0"/>
    <n v="0"/>
    <n v="7.8120000000000003"/>
    <n v="7.34328"/>
    <n v="7.8120000000000003"/>
    <n v="7.34328"/>
    <n v="0"/>
    <s v="CATIVO"/>
    <n v="0"/>
    <n v="0"/>
    <n v="19"/>
    <n v="67"/>
    <n v="0"/>
    <n v="149.63"/>
    <n v="230.03"/>
    <m/>
    <n v="54.203801879475932"/>
    <n v="282.91739971702214"/>
    <n v="0"/>
    <n v="177.95423520000008"/>
    <n v="0"/>
    <n v="158.01544961231068"/>
    <x v="3"/>
  </r>
  <r>
    <s v="Regular"/>
    <x v="1"/>
    <x v="2"/>
    <x v="3"/>
    <x v="0"/>
    <x v="1"/>
    <x v="0"/>
    <x v="0"/>
    <x v="9"/>
    <n v="0"/>
    <n v="0"/>
    <n v="725.05899999999997"/>
    <n v="681.55546000000004"/>
    <n v="725.05899999999997"/>
    <n v="681.55546000000004"/>
    <n v="0"/>
    <s v="CATIVO"/>
    <n v="0"/>
    <n v="0"/>
    <n v="19"/>
    <n v="67"/>
    <n v="0"/>
    <n v="149.63"/>
    <n v="230.03"/>
    <m/>
    <n v="54.203801879475932"/>
    <n v="282.91739971702214"/>
    <n v="0"/>
    <n v="16516.553996399973"/>
    <n v="0"/>
    <n v="14665.965678501294"/>
    <x v="3"/>
  </r>
  <r>
    <s v="Sistema Isolado - Regular"/>
    <x v="1"/>
    <x v="2"/>
    <x v="3"/>
    <x v="0"/>
    <x v="1"/>
    <x v="0"/>
    <x v="0"/>
    <x v="9"/>
    <n v="0"/>
    <n v="0"/>
    <n v="90.111000000000004"/>
    <n v="84.704340000000002"/>
    <n v="90.111000000000004"/>
    <n v="84.704340000000002"/>
    <n v="0"/>
    <s v="CATIVO"/>
    <n v="0"/>
    <n v="0"/>
    <n v="19"/>
    <n v="67"/>
    <n v="0"/>
    <n v="149.63"/>
    <n v="230.03"/>
    <m/>
    <n v="54.203801879475932"/>
    <n v="282.91739971702214"/>
    <n v="0"/>
    <n v="2052.6925356000011"/>
    <n v="0"/>
    <n v="1822.699715823723"/>
    <x v="3"/>
  </r>
  <r>
    <s v="Sistema de Compensação"/>
    <x v="1"/>
    <x v="2"/>
    <x v="3"/>
    <x v="0"/>
    <x v="1"/>
    <x v="0"/>
    <x v="0"/>
    <x v="9"/>
    <n v="0"/>
    <n v="0"/>
    <n v="10.981"/>
    <n v="10.322139999999999"/>
    <n v="10.981"/>
    <n v="10.322139999999999"/>
    <n v="0"/>
    <s v="CATIVO"/>
    <n v="0"/>
    <n v="0"/>
    <n v="19"/>
    <n v="67"/>
    <n v="0"/>
    <n v="149.63"/>
    <n v="230.03"/>
    <m/>
    <n v="54.203801879475932"/>
    <n v="282.91739971702214"/>
    <n v="0"/>
    <n v="250.14278760000025"/>
    <n v="0"/>
    <n v="222.11567488386896"/>
    <x v="3"/>
  </r>
  <r>
    <s v="Regular"/>
    <x v="1"/>
    <x v="2"/>
    <x v="3"/>
    <x v="0"/>
    <x v="1"/>
    <x v="0"/>
    <x v="0"/>
    <x v="10"/>
    <n v="0"/>
    <n v="0"/>
    <n v="714.33"/>
    <n v="671.47019999999998"/>
    <n v="714.33"/>
    <n v="671.47019999999998"/>
    <n v="0"/>
    <s v="CATIVO"/>
    <n v="0"/>
    <n v="0"/>
    <n v="19"/>
    <n v="67"/>
    <n v="0"/>
    <n v="149.63"/>
    <n v="230.03"/>
    <m/>
    <n v="54.203801879475932"/>
    <n v="282.91739971702214"/>
    <n v="0"/>
    <n v="16272.151668000024"/>
    <n v="0"/>
    <n v="14448.947276185609"/>
    <x v="3"/>
  </r>
  <r>
    <s v="Sistema Isolado - Regular"/>
    <x v="1"/>
    <x v="2"/>
    <x v="3"/>
    <x v="0"/>
    <x v="1"/>
    <x v="0"/>
    <x v="0"/>
    <x v="10"/>
    <n v="0"/>
    <n v="0"/>
    <n v="130.505"/>
    <n v="122.6747"/>
    <n v="130.505"/>
    <n v="122.6747"/>
    <n v="0"/>
    <s v="CATIVO"/>
    <n v="0"/>
    <n v="0"/>
    <n v="19"/>
    <n v="67"/>
    <n v="0"/>
    <n v="149.63"/>
    <n v="230.03"/>
    <m/>
    <n v="54.203801879475932"/>
    <n v="282.91739971702214"/>
    <n v="0"/>
    <n v="2972.8516979999977"/>
    <n v="0"/>
    <n v="2639.7601448610567"/>
    <x v="3"/>
  </r>
  <r>
    <s v="Sistema de Compensação"/>
    <x v="1"/>
    <x v="2"/>
    <x v="3"/>
    <x v="0"/>
    <x v="1"/>
    <x v="0"/>
    <x v="0"/>
    <x v="10"/>
    <n v="0"/>
    <n v="0"/>
    <n v="16.239999999999998"/>
    <n v="15.265599999999999"/>
    <n v="16.239999999999998"/>
    <n v="15.265599999999999"/>
    <n v="0"/>
    <s v="CATIVO"/>
    <n v="0"/>
    <n v="0"/>
    <n v="19"/>
    <n v="67"/>
    <n v="0"/>
    <n v="149.63"/>
    <n v="230.03"/>
    <m/>
    <n v="54.203801879475932"/>
    <n v="282.91739971702214"/>
    <n v="0"/>
    <n v="369.94070399999976"/>
    <n v="0"/>
    <n v="328.49089883562743"/>
    <x v="3"/>
  </r>
  <r>
    <s v="PROJETADO"/>
    <x v="1"/>
    <x v="2"/>
    <x v="3"/>
    <x v="0"/>
    <x v="1"/>
    <x v="0"/>
    <x v="0"/>
    <x v="11"/>
    <n v="0"/>
    <n v="0"/>
    <n v="714.33"/>
    <n v="671.47019999999998"/>
    <n v="714.33"/>
    <n v="671.47019999999998"/>
    <n v="0"/>
    <s v="CATIVO"/>
    <n v="0"/>
    <n v="0"/>
    <n v="19"/>
    <n v="67"/>
    <n v="0"/>
    <n v="149.63"/>
    <n v="230.03"/>
    <m/>
    <n v="54.203801879475932"/>
    <n v="282.91739971702214"/>
    <n v="0"/>
    <n v="16272.151668000024"/>
    <n v="0"/>
    <n v="14448.947276185609"/>
    <x v="3"/>
  </r>
  <r>
    <s v="PROJETADO"/>
    <x v="1"/>
    <x v="2"/>
    <x v="3"/>
    <x v="0"/>
    <x v="1"/>
    <x v="0"/>
    <x v="0"/>
    <x v="11"/>
    <n v="0"/>
    <n v="0"/>
    <n v="130.505"/>
    <n v="122.6747"/>
    <n v="130.505"/>
    <n v="122.6747"/>
    <n v="0"/>
    <s v="CATIVO"/>
    <n v="0"/>
    <n v="0"/>
    <n v="19"/>
    <n v="67"/>
    <n v="0"/>
    <n v="149.63"/>
    <n v="230.03"/>
    <m/>
    <n v="54.203801879475932"/>
    <n v="282.91739971702214"/>
    <n v="0"/>
    <n v="2972.8516979999977"/>
    <n v="0"/>
    <n v="2639.7601448610567"/>
    <x v="3"/>
  </r>
  <r>
    <s v="PROJETADO"/>
    <x v="1"/>
    <x v="2"/>
    <x v="3"/>
    <x v="0"/>
    <x v="1"/>
    <x v="0"/>
    <x v="0"/>
    <x v="11"/>
    <n v="0"/>
    <n v="0"/>
    <n v="16.239999999999998"/>
    <n v="15.265599999999999"/>
    <n v="16.239999999999998"/>
    <n v="15.265599999999999"/>
    <n v="0"/>
    <s v="CATIVO"/>
    <n v="0"/>
    <n v="0"/>
    <n v="19"/>
    <n v="67"/>
    <n v="0"/>
    <n v="149.63"/>
    <n v="230.03"/>
    <m/>
    <n v="54.203801879475932"/>
    <n v="282.91739971702214"/>
    <n v="0"/>
    <n v="369.94070399999976"/>
    <n v="0"/>
    <n v="328.49089883562743"/>
    <x v="3"/>
  </r>
  <r>
    <s v="Regular"/>
    <x v="1"/>
    <x v="2"/>
    <x v="3"/>
    <x v="0"/>
    <x v="1"/>
    <x v="0"/>
    <x v="1"/>
    <x v="0"/>
    <n v="2386"/>
    <n v="2242.8399999999997"/>
    <n v="0"/>
    <n v="0"/>
    <n v="0"/>
    <n v="0"/>
    <n v="17"/>
    <s v="CATIVO"/>
    <n v="0"/>
    <n v="23"/>
    <n v="0"/>
    <n v="0"/>
    <n v="28.57"/>
    <n v="0"/>
    <n v="0"/>
    <n v="31.93064187172984"/>
    <m/>
    <m/>
    <n v="4090.0812000000087"/>
    <n v="0"/>
    <n v="4571.1906903568533"/>
    <n v="0"/>
    <x v="3"/>
  </r>
  <r>
    <s v="Sistema Isolado - Regular"/>
    <x v="1"/>
    <x v="2"/>
    <x v="3"/>
    <x v="0"/>
    <x v="1"/>
    <x v="0"/>
    <x v="1"/>
    <x v="0"/>
    <n v="734"/>
    <n v="689.95999999999992"/>
    <n v="0"/>
    <n v="0"/>
    <n v="0"/>
    <n v="0"/>
    <n v="7"/>
    <s v="CATIVO"/>
    <n v="0"/>
    <n v="23"/>
    <n v="0"/>
    <n v="0"/>
    <n v="28.57"/>
    <n v="0"/>
    <n v="0"/>
    <n v="31.93064187172984"/>
    <m/>
    <m/>
    <n v="1258.2228000000023"/>
    <n v="0"/>
    <n v="1406.2254680309845"/>
    <n v="0"/>
    <x v="3"/>
  </r>
  <r>
    <s v="Regular"/>
    <x v="1"/>
    <x v="2"/>
    <x v="3"/>
    <x v="0"/>
    <x v="1"/>
    <x v="0"/>
    <x v="1"/>
    <x v="1"/>
    <n v="2017"/>
    <n v="1895.9799999999998"/>
    <n v="0"/>
    <n v="0"/>
    <n v="0"/>
    <n v="0"/>
    <n v="13"/>
    <s v="CATIVO"/>
    <n v="0"/>
    <n v="23"/>
    <n v="0"/>
    <n v="0"/>
    <n v="28.57"/>
    <n v="0"/>
    <n v="0"/>
    <n v="31.93064187172984"/>
    <m/>
    <m/>
    <n v="3457.541400000006"/>
    <n v="0"/>
    <n v="3864.246279316752"/>
    <n v="0"/>
    <x v="3"/>
  </r>
  <r>
    <s v="Sistema Isolado - Regular"/>
    <x v="1"/>
    <x v="2"/>
    <x v="3"/>
    <x v="0"/>
    <x v="1"/>
    <x v="0"/>
    <x v="1"/>
    <x v="1"/>
    <n v="732"/>
    <n v="688.07999999999993"/>
    <n v="0"/>
    <n v="0"/>
    <n v="0"/>
    <n v="0"/>
    <n v="7"/>
    <s v="CATIVO"/>
    <n v="0"/>
    <n v="23"/>
    <n v="0"/>
    <n v="0"/>
    <n v="28.57"/>
    <n v="0"/>
    <n v="0"/>
    <n v="31.93064187172984"/>
    <m/>
    <m/>
    <n v="1254.794400000002"/>
    <n v="0"/>
    <n v="1402.3937910063769"/>
    <n v="0"/>
    <x v="3"/>
  </r>
  <r>
    <s v="Regular"/>
    <x v="1"/>
    <x v="2"/>
    <x v="3"/>
    <x v="0"/>
    <x v="1"/>
    <x v="0"/>
    <x v="1"/>
    <x v="2"/>
    <n v="2301"/>
    <n v="2162.94"/>
    <n v="0"/>
    <n v="0"/>
    <n v="0"/>
    <n v="0"/>
    <n v="13"/>
    <s v="CATIVO"/>
    <n v="0"/>
    <n v="23"/>
    <n v="0"/>
    <n v="0"/>
    <n v="28.57"/>
    <n v="0"/>
    <n v="0"/>
    <n v="31.93064187172984"/>
    <m/>
    <m/>
    <n v="3944.3741999999984"/>
    <n v="0"/>
    <n v="4408.34441681102"/>
    <n v="0"/>
    <x v="3"/>
  </r>
  <r>
    <s v="Sistema Isolado - Regular"/>
    <x v="1"/>
    <x v="2"/>
    <x v="3"/>
    <x v="0"/>
    <x v="1"/>
    <x v="0"/>
    <x v="1"/>
    <x v="2"/>
    <n v="768"/>
    <n v="721.92"/>
    <n v="0"/>
    <n v="0"/>
    <n v="0"/>
    <n v="0"/>
    <n v="7"/>
    <s v="CATIVO"/>
    <n v="0"/>
    <n v="23"/>
    <n v="0"/>
    <n v="0"/>
    <n v="28.57"/>
    <n v="0"/>
    <n v="0"/>
    <n v="31.93064187172984"/>
    <m/>
    <m/>
    <n v="1316.5056000000011"/>
    <n v="0"/>
    <n v="1471.3639774493124"/>
    <n v="0"/>
    <x v="3"/>
  </r>
  <r>
    <s v="Regular"/>
    <x v="1"/>
    <x v="2"/>
    <x v="3"/>
    <x v="0"/>
    <x v="1"/>
    <x v="0"/>
    <x v="1"/>
    <x v="3"/>
    <n v="1751"/>
    <n v="1645.9399999999998"/>
    <n v="0"/>
    <n v="0"/>
    <n v="0"/>
    <n v="0"/>
    <n v="13"/>
    <s v="CATIVO"/>
    <n v="0"/>
    <n v="23"/>
    <n v="0"/>
    <n v="0"/>
    <n v="28.57"/>
    <n v="0"/>
    <n v="0"/>
    <n v="31.93064187172984"/>
    <m/>
    <m/>
    <n v="3001.5642000000048"/>
    <n v="0"/>
    <n v="3354.6332350439425"/>
    <n v="0"/>
    <x v="3"/>
  </r>
  <r>
    <s v="Sistema Isolado - Regular"/>
    <x v="1"/>
    <x v="2"/>
    <x v="3"/>
    <x v="0"/>
    <x v="1"/>
    <x v="0"/>
    <x v="1"/>
    <x v="3"/>
    <n v="1103"/>
    <n v="1036.82"/>
    <n v="0"/>
    <n v="0"/>
    <n v="0"/>
    <n v="0"/>
    <n v="7"/>
    <s v="CATIVO"/>
    <n v="0"/>
    <n v="23"/>
    <n v="0"/>
    <n v="0"/>
    <n v="28.57"/>
    <n v="0"/>
    <n v="0"/>
    <n v="31.93064187172984"/>
    <m/>
    <m/>
    <n v="1890.7626000000018"/>
    <n v="0"/>
    <n v="2113.169879071083"/>
    <n v="0"/>
    <x v="3"/>
  </r>
  <r>
    <s v="Regular"/>
    <x v="1"/>
    <x v="2"/>
    <x v="3"/>
    <x v="0"/>
    <x v="1"/>
    <x v="0"/>
    <x v="1"/>
    <x v="4"/>
    <n v="3088"/>
    <n v="2902.72"/>
    <n v="0"/>
    <n v="0"/>
    <n v="0"/>
    <n v="0"/>
    <n v="14"/>
    <s v="CATIVO"/>
    <n v="0"/>
    <n v="23"/>
    <n v="0"/>
    <n v="0"/>
    <n v="28.57"/>
    <n v="0"/>
    <n v="0"/>
    <n v="31.93064187172984"/>
    <m/>
    <m/>
    <n v="5293.4496000000054"/>
    <n v="0"/>
    <n v="5916.1093259941108"/>
    <n v="0"/>
    <x v="3"/>
  </r>
  <r>
    <s v="Sistema Isolado - Regular"/>
    <x v="1"/>
    <x v="2"/>
    <x v="3"/>
    <x v="0"/>
    <x v="1"/>
    <x v="0"/>
    <x v="1"/>
    <x v="4"/>
    <n v="615"/>
    <n v="578.1"/>
    <n v="0"/>
    <n v="0"/>
    <n v="0"/>
    <n v="0"/>
    <n v="7"/>
    <s v="CATIVO"/>
    <n v="0"/>
    <n v="23"/>
    <n v="0"/>
    <n v="0"/>
    <n v="28.57"/>
    <n v="0"/>
    <n v="0"/>
    <n v="31.93064187172984"/>
    <m/>
    <m/>
    <n v="1054.2329999999993"/>
    <n v="0"/>
    <n v="1178.2406850668303"/>
    <n v="0"/>
    <x v="3"/>
  </r>
  <r>
    <s v="Regular"/>
    <x v="1"/>
    <x v="2"/>
    <x v="3"/>
    <x v="0"/>
    <x v="1"/>
    <x v="0"/>
    <x v="1"/>
    <x v="5"/>
    <n v="2012"/>
    <n v="1891.28"/>
    <n v="0"/>
    <n v="0"/>
    <n v="0"/>
    <n v="0"/>
    <n v="14"/>
    <s v="CATIVO"/>
    <n v="0"/>
    <n v="23"/>
    <n v="0"/>
    <n v="0"/>
    <n v="28.57"/>
    <n v="0"/>
    <n v="0"/>
    <n v="31.93064187172984"/>
    <m/>
    <m/>
    <n v="3448.9704000000006"/>
    <n v="0"/>
    <n v="3854.667086755227"/>
    <n v="0"/>
    <x v="3"/>
  </r>
  <r>
    <s v="Sistema Isolado - Regular"/>
    <x v="1"/>
    <x v="2"/>
    <x v="3"/>
    <x v="0"/>
    <x v="1"/>
    <x v="0"/>
    <x v="1"/>
    <x v="5"/>
    <n v="721"/>
    <n v="677.74"/>
    <n v="0"/>
    <n v="0"/>
    <n v="0"/>
    <n v="0"/>
    <n v="9"/>
    <s v="CATIVO"/>
    <n v="0"/>
    <n v="23"/>
    <n v="0"/>
    <n v="0"/>
    <n v="28.57"/>
    <n v="0"/>
    <n v="0"/>
    <n v="31.93064187172984"/>
    <m/>
    <m/>
    <n v="1235.9381999999998"/>
    <n v="0"/>
    <n v="1381.3195673710327"/>
    <n v="0"/>
    <x v="3"/>
  </r>
  <r>
    <s v="Regular"/>
    <x v="1"/>
    <x v="2"/>
    <x v="3"/>
    <x v="0"/>
    <x v="1"/>
    <x v="0"/>
    <x v="1"/>
    <x v="6"/>
    <n v="2765"/>
    <n v="2599.1"/>
    <n v="0"/>
    <n v="0"/>
    <n v="0"/>
    <n v="0"/>
    <n v="14"/>
    <s v="CATIVO"/>
    <n v="0"/>
    <n v="23"/>
    <n v="0"/>
    <n v="0"/>
    <n v="28.57"/>
    <n v="0"/>
    <n v="0"/>
    <n v="31.93064187172984"/>
    <m/>
    <m/>
    <n v="4739.7630000000026"/>
    <n v="0"/>
    <n v="5297.2934865199832"/>
    <n v="0"/>
    <x v="3"/>
  </r>
  <r>
    <s v="Sistema Isolado - Regular"/>
    <x v="1"/>
    <x v="2"/>
    <x v="3"/>
    <x v="0"/>
    <x v="1"/>
    <x v="0"/>
    <x v="1"/>
    <x v="6"/>
    <n v="546"/>
    <n v="513.24"/>
    <n v="0"/>
    <n v="0"/>
    <n v="0"/>
    <n v="0"/>
    <n v="9"/>
    <s v="CATIVO"/>
    <n v="0"/>
    <n v="23"/>
    <n v="0"/>
    <n v="0"/>
    <n v="28.57"/>
    <n v="0"/>
    <n v="0"/>
    <n v="31.93064187172984"/>
    <m/>
    <m/>
    <n v="935.9531999999997"/>
    <n v="0"/>
    <n v="1046.0478277178693"/>
    <n v="0"/>
    <x v="3"/>
  </r>
  <r>
    <s v="Regular"/>
    <x v="1"/>
    <x v="2"/>
    <x v="3"/>
    <x v="0"/>
    <x v="1"/>
    <x v="0"/>
    <x v="1"/>
    <x v="7"/>
    <n v="2405"/>
    <n v="2260.6999999999998"/>
    <n v="0"/>
    <n v="0"/>
    <n v="0"/>
    <n v="0"/>
    <n v="14"/>
    <s v="CATIVO"/>
    <n v="0"/>
    <n v="23"/>
    <n v="0"/>
    <n v="0"/>
    <n v="28.57"/>
    <n v="0"/>
    <n v="0"/>
    <n v="31.93064187172984"/>
    <m/>
    <m/>
    <n v="4122.6510000000053"/>
    <n v="0"/>
    <n v="4607.591622090622"/>
    <n v="0"/>
    <x v="3"/>
  </r>
  <r>
    <s v="Sistema Isolado - Regular"/>
    <x v="1"/>
    <x v="2"/>
    <x v="3"/>
    <x v="0"/>
    <x v="1"/>
    <x v="0"/>
    <x v="1"/>
    <x v="7"/>
    <n v="1194"/>
    <n v="1122.3599999999999"/>
    <n v="0"/>
    <n v="0"/>
    <n v="0"/>
    <n v="0"/>
    <n v="9"/>
    <s v="CATIVO"/>
    <n v="0"/>
    <n v="23"/>
    <n v="0"/>
    <n v="0"/>
    <n v="28.57"/>
    <n v="0"/>
    <n v="0"/>
    <n v="31.93064187172984"/>
    <m/>
    <m/>
    <n v="2046.7548000000029"/>
    <n v="0"/>
    <n v="2287.511183690729"/>
    <n v="0"/>
    <x v="3"/>
  </r>
  <r>
    <s v="Regular"/>
    <x v="1"/>
    <x v="2"/>
    <x v="3"/>
    <x v="0"/>
    <x v="1"/>
    <x v="0"/>
    <x v="1"/>
    <x v="8"/>
    <n v="2222"/>
    <n v="2088.6799999999998"/>
    <n v="0"/>
    <n v="0"/>
    <n v="0"/>
    <n v="0"/>
    <n v="13"/>
    <s v="CATIVO"/>
    <n v="0"/>
    <n v="23"/>
    <n v="0"/>
    <n v="0"/>
    <n v="28.57"/>
    <n v="0"/>
    <n v="0"/>
    <n v="31.93064187172984"/>
    <m/>
    <m/>
    <n v="3808.9524000000047"/>
    <n v="0"/>
    <n v="4256.9931743390271"/>
    <n v="0"/>
    <x v="3"/>
  </r>
  <r>
    <s v="Sistema Isolado - Regular"/>
    <x v="1"/>
    <x v="2"/>
    <x v="3"/>
    <x v="0"/>
    <x v="1"/>
    <x v="0"/>
    <x v="1"/>
    <x v="8"/>
    <n v="737"/>
    <n v="692.78"/>
    <n v="0"/>
    <n v="0"/>
    <n v="0"/>
    <n v="0"/>
    <n v="8"/>
    <s v="CATIVO"/>
    <n v="0"/>
    <n v="23"/>
    <n v="0"/>
    <n v="0"/>
    <n v="28.57"/>
    <n v="0"/>
    <n v="0"/>
    <n v="31.93064187172984"/>
    <m/>
    <m/>
    <n v="1263.3654000000008"/>
    <n v="0"/>
    <n v="1411.9729835678943"/>
    <n v="0"/>
    <x v="3"/>
  </r>
  <r>
    <s v="Sistema Isolado - Refaturamento"/>
    <x v="1"/>
    <x v="2"/>
    <x v="3"/>
    <x v="0"/>
    <x v="1"/>
    <x v="0"/>
    <x v="1"/>
    <x v="8"/>
    <n v="-353"/>
    <n v="-331.82"/>
    <n v="0"/>
    <n v="0"/>
    <n v="0"/>
    <n v="0"/>
    <n v="0"/>
    <s v="CATIVO"/>
    <n v="0"/>
    <n v="23"/>
    <n v="0"/>
    <n v="0"/>
    <n v="28.57"/>
    <n v="0"/>
    <n v="0"/>
    <n v="31.93064187172984"/>
    <m/>
    <m/>
    <n v="-605.11260000000016"/>
    <n v="0"/>
    <n v="-676.2909948432382"/>
    <n v="0"/>
    <x v="3"/>
  </r>
  <r>
    <s v="Sistema de Compensação"/>
    <x v="1"/>
    <x v="2"/>
    <x v="3"/>
    <x v="0"/>
    <x v="1"/>
    <x v="0"/>
    <x v="1"/>
    <x v="8"/>
    <n v="35"/>
    <n v="32.9"/>
    <n v="0"/>
    <n v="0"/>
    <n v="0"/>
    <n v="0"/>
    <n v="1"/>
    <s v="CATIVO"/>
    <n v="0"/>
    <n v="23"/>
    <n v="0"/>
    <n v="0"/>
    <n v="28.57"/>
    <n v="0"/>
    <n v="0"/>
    <n v="31.93064187172984"/>
    <m/>
    <m/>
    <n v="59.997000000000043"/>
    <n v="0"/>
    <n v="67.054347930632716"/>
    <n v="0"/>
    <x v="3"/>
  </r>
  <r>
    <s v="Regular"/>
    <x v="1"/>
    <x v="2"/>
    <x v="3"/>
    <x v="0"/>
    <x v="1"/>
    <x v="0"/>
    <x v="1"/>
    <x v="9"/>
    <n v="2243"/>
    <n v="2108.42"/>
    <n v="0"/>
    <n v="0"/>
    <n v="0"/>
    <n v="0"/>
    <n v="12"/>
    <s v="CATIVO"/>
    <n v="0"/>
    <n v="23"/>
    <n v="0"/>
    <n v="0"/>
    <n v="28.57"/>
    <n v="0"/>
    <n v="0"/>
    <n v="31.93064187172984"/>
    <m/>
    <m/>
    <n v="3844.9505999999978"/>
    <n v="0"/>
    <n v="4297.2257830973995"/>
    <n v="0"/>
    <x v="3"/>
  </r>
  <r>
    <s v="Sistema Isolado - Regular"/>
    <x v="1"/>
    <x v="2"/>
    <x v="3"/>
    <x v="0"/>
    <x v="1"/>
    <x v="0"/>
    <x v="1"/>
    <x v="9"/>
    <n v="761"/>
    <n v="715.34"/>
    <n v="0"/>
    <n v="0"/>
    <n v="0"/>
    <n v="0"/>
    <n v="8"/>
    <s v="CATIVO"/>
    <n v="0"/>
    <n v="23"/>
    <n v="0"/>
    <n v="0"/>
    <n v="28.57"/>
    <n v="0"/>
    <n v="0"/>
    <n v="31.93064187172984"/>
    <m/>
    <m/>
    <n v="1304.5061999999991"/>
    <n v="0"/>
    <n v="1457.9531078631835"/>
    <n v="0"/>
    <x v="3"/>
  </r>
  <r>
    <s v="Sistema de Compensação"/>
    <x v="1"/>
    <x v="2"/>
    <x v="3"/>
    <x v="0"/>
    <x v="1"/>
    <x v="0"/>
    <x v="1"/>
    <x v="9"/>
    <n v="34"/>
    <n v="31.96"/>
    <n v="0"/>
    <n v="0"/>
    <n v="0"/>
    <n v="0"/>
    <n v="1"/>
    <s v="CATIVO"/>
    <n v="0"/>
    <n v="23"/>
    <n v="0"/>
    <n v="0"/>
    <n v="28.57"/>
    <n v="0"/>
    <n v="0"/>
    <n v="31.93064187172984"/>
    <m/>
    <m/>
    <n v="58.282799999999973"/>
    <n v="0"/>
    <n v="65.138509418328852"/>
    <n v="0"/>
    <x v="3"/>
  </r>
  <r>
    <s v="Regular"/>
    <x v="1"/>
    <x v="2"/>
    <x v="3"/>
    <x v="0"/>
    <x v="1"/>
    <x v="0"/>
    <x v="1"/>
    <x v="10"/>
    <n v="2514"/>
    <n v="2363.16"/>
    <n v="0"/>
    <n v="0"/>
    <n v="0"/>
    <n v="0"/>
    <n v="12"/>
    <s v="CATIVO"/>
    <n v="0"/>
    <n v="23"/>
    <n v="0"/>
    <n v="0"/>
    <n v="28.57"/>
    <n v="0"/>
    <n v="0"/>
    <n v="31.93064187172984"/>
    <m/>
    <m/>
    <n v="4309.4988000000039"/>
    <n v="0"/>
    <n v="4816.4180199317334"/>
    <n v="0"/>
    <x v="3"/>
  </r>
  <r>
    <s v="Sistema Isolado - Regular"/>
    <x v="1"/>
    <x v="2"/>
    <x v="3"/>
    <x v="0"/>
    <x v="1"/>
    <x v="0"/>
    <x v="1"/>
    <x v="10"/>
    <n v="750"/>
    <n v="705"/>
    <n v="0"/>
    <n v="0"/>
    <n v="0"/>
    <n v="0"/>
    <n v="7"/>
    <s v="CATIVO"/>
    <n v="0"/>
    <n v="23"/>
    <n v="0"/>
    <n v="0"/>
    <n v="28.57"/>
    <n v="0"/>
    <n v="0"/>
    <n v="31.93064187172984"/>
    <m/>
    <m/>
    <n v="1285.6500000000001"/>
    <n v="0"/>
    <n v="1436.8788842278427"/>
    <n v="0"/>
    <x v="3"/>
  </r>
  <r>
    <s v="Sistema de Compensação"/>
    <x v="1"/>
    <x v="2"/>
    <x v="3"/>
    <x v="0"/>
    <x v="1"/>
    <x v="0"/>
    <x v="1"/>
    <x v="10"/>
    <n v="98"/>
    <n v="92.12"/>
    <n v="0"/>
    <n v="0"/>
    <n v="0"/>
    <n v="0"/>
    <n v="1"/>
    <s v="CATIVO"/>
    <n v="0"/>
    <n v="23"/>
    <n v="0"/>
    <n v="0"/>
    <n v="28.57"/>
    <n v="0"/>
    <n v="0"/>
    <n v="31.93064187172984"/>
    <m/>
    <m/>
    <n v="167.99159999999986"/>
    <n v="0"/>
    <n v="187.75217420577133"/>
    <n v="0"/>
    <x v="3"/>
  </r>
  <r>
    <s v="PROJETADO"/>
    <x v="1"/>
    <x v="2"/>
    <x v="3"/>
    <x v="0"/>
    <x v="1"/>
    <x v="0"/>
    <x v="1"/>
    <x v="11"/>
    <n v="2514"/>
    <n v="2363.16"/>
    <n v="0"/>
    <n v="0"/>
    <n v="0"/>
    <n v="0"/>
    <n v="12"/>
    <s v="CATIVO"/>
    <n v="0"/>
    <n v="23"/>
    <n v="0"/>
    <n v="0"/>
    <n v="28.57"/>
    <n v="0"/>
    <n v="0"/>
    <n v="31.93064187172984"/>
    <m/>
    <m/>
    <n v="4309.4988000000039"/>
    <n v="0"/>
    <n v="4816.4180199317334"/>
    <n v="0"/>
    <x v="3"/>
  </r>
  <r>
    <s v="PROJETADO"/>
    <x v="1"/>
    <x v="2"/>
    <x v="3"/>
    <x v="0"/>
    <x v="1"/>
    <x v="0"/>
    <x v="1"/>
    <x v="11"/>
    <n v="750"/>
    <n v="705"/>
    <n v="0"/>
    <n v="0"/>
    <n v="0"/>
    <n v="0"/>
    <n v="7"/>
    <s v="CATIVO"/>
    <n v="0"/>
    <n v="23"/>
    <n v="0"/>
    <n v="0"/>
    <n v="28.57"/>
    <n v="0"/>
    <n v="0"/>
    <n v="31.93064187172984"/>
    <m/>
    <m/>
    <n v="1285.6500000000001"/>
    <n v="0"/>
    <n v="1436.8788842278427"/>
    <n v="0"/>
    <x v="3"/>
  </r>
  <r>
    <s v="PROJETADO"/>
    <x v="1"/>
    <x v="2"/>
    <x v="3"/>
    <x v="0"/>
    <x v="1"/>
    <x v="0"/>
    <x v="1"/>
    <x v="11"/>
    <n v="98"/>
    <n v="92.12"/>
    <n v="0"/>
    <n v="0"/>
    <n v="0"/>
    <n v="0"/>
    <n v="1"/>
    <s v="CATIVO"/>
    <n v="0"/>
    <n v="23"/>
    <n v="0"/>
    <n v="0"/>
    <n v="28.57"/>
    <n v="0"/>
    <n v="0"/>
    <n v="31.93064187172984"/>
    <m/>
    <m/>
    <n v="167.99159999999986"/>
    <n v="0"/>
    <n v="187.75217420577133"/>
    <n v="0"/>
    <x v="3"/>
  </r>
  <r>
    <s v="Regular"/>
    <x v="1"/>
    <x v="2"/>
    <x v="3"/>
    <x v="0"/>
    <x v="1"/>
    <x v="0"/>
    <x v="2"/>
    <x v="0"/>
    <n v="0"/>
    <n v="0"/>
    <n v="48.37"/>
    <n v="45.467799999999997"/>
    <n v="48.37"/>
    <n v="45.467799999999997"/>
    <n v="0"/>
    <s v="CATIVO"/>
    <n v="0"/>
    <n v="0"/>
    <n v="24"/>
    <n v="66"/>
    <n v="0"/>
    <n v="1434.79"/>
    <n v="389.28"/>
    <m/>
    <n v="1501.8340703569011"/>
    <n v="454.3285679284046"/>
    <n v="0"/>
    <n v="5293.8159540000006"/>
    <n v="0"/>
    <n v="5677.1752088316152"/>
    <x v="3"/>
  </r>
  <r>
    <s v="Sistema Isolado - Regular"/>
    <x v="1"/>
    <x v="2"/>
    <x v="3"/>
    <x v="0"/>
    <x v="1"/>
    <x v="0"/>
    <x v="2"/>
    <x v="0"/>
    <n v="0"/>
    <n v="0"/>
    <n v="8.5139999999999993"/>
    <n v="8.0031599999999994"/>
    <n v="8.5139999999999993"/>
    <n v="8.0031599999999994"/>
    <n v="0"/>
    <s v="CATIVO"/>
    <n v="0"/>
    <n v="0"/>
    <n v="24"/>
    <n v="66"/>
    <n v="0"/>
    <n v="1434.79"/>
    <n v="389.28"/>
    <m/>
    <n v="1501.8340703569011"/>
    <n v="454.3285679284046"/>
    <n v="0"/>
    <n v="931.80791879999992"/>
    <n v="0"/>
    <n v="999.28612214166549"/>
    <x v="3"/>
  </r>
  <r>
    <s v="Regular"/>
    <x v="1"/>
    <x v="2"/>
    <x v="3"/>
    <x v="0"/>
    <x v="1"/>
    <x v="0"/>
    <x v="2"/>
    <x v="1"/>
    <n v="0"/>
    <n v="0"/>
    <n v="48.774000000000001"/>
    <n v="45.847560000000001"/>
    <n v="48.774000000000001"/>
    <n v="45.847560000000001"/>
    <n v="0"/>
    <s v="CATIVO"/>
    <n v="0"/>
    <n v="0"/>
    <n v="24"/>
    <n v="66"/>
    <n v="0"/>
    <n v="1434.79"/>
    <n v="389.28"/>
    <m/>
    <n v="1501.8340703569011"/>
    <n v="454.3285679284046"/>
    <n v="0"/>
    <n v="5338.0314107999993"/>
    <n v="0"/>
    <n v="5724.5925911836493"/>
    <x v="3"/>
  </r>
  <r>
    <s v="Sistema Isolado - Regular"/>
    <x v="1"/>
    <x v="2"/>
    <x v="3"/>
    <x v="0"/>
    <x v="1"/>
    <x v="0"/>
    <x v="2"/>
    <x v="1"/>
    <n v="0"/>
    <n v="0"/>
    <n v="8.6110000000000007"/>
    <n v="8.0943400000000008"/>
    <n v="8.6110000000000007"/>
    <n v="8.0943400000000008"/>
    <n v="0"/>
    <s v="CATIVO"/>
    <n v="0"/>
    <n v="0"/>
    <n v="24"/>
    <n v="66"/>
    <n v="0"/>
    <n v="1434.79"/>
    <n v="389.28"/>
    <m/>
    <n v="1501.8340703569011"/>
    <n v="454.3285679284046"/>
    <n v="0"/>
    <n v="942.42400619999978"/>
    <n v="0"/>
    <n v="1010.6709886964858"/>
    <x v="3"/>
  </r>
  <r>
    <s v="Regular"/>
    <x v="1"/>
    <x v="2"/>
    <x v="3"/>
    <x v="0"/>
    <x v="1"/>
    <x v="0"/>
    <x v="2"/>
    <x v="2"/>
    <n v="0"/>
    <n v="0"/>
    <n v="45.341000000000001"/>
    <n v="42.620539999999998"/>
    <n v="45.341000000000001"/>
    <n v="42.620539999999998"/>
    <n v="0"/>
    <s v="CATIVO"/>
    <n v="0"/>
    <n v="0"/>
    <n v="24"/>
    <n v="66"/>
    <n v="0"/>
    <n v="1434.79"/>
    <n v="389.28"/>
    <m/>
    <n v="1501.8340703569011"/>
    <n v="454.3285679284046"/>
    <n v="0"/>
    <n v="4962.3094722000051"/>
    <n v="0"/>
    <n v="5321.6622109496484"/>
    <x v="3"/>
  </r>
  <r>
    <s v="Sistema Isolado - Regular"/>
    <x v="1"/>
    <x v="2"/>
    <x v="3"/>
    <x v="0"/>
    <x v="1"/>
    <x v="0"/>
    <x v="2"/>
    <x v="2"/>
    <n v="0"/>
    <n v="0"/>
    <n v="9.6530000000000005"/>
    <n v="9.0738199999999996"/>
    <n v="9.6530000000000005"/>
    <n v="9.0738199999999996"/>
    <n v="0"/>
    <s v="CATIVO"/>
    <n v="0"/>
    <n v="0"/>
    <n v="24"/>
    <n v="66"/>
    <n v="0"/>
    <n v="1434.79"/>
    <n v="389.28"/>
    <m/>
    <n v="1501.8340703569011"/>
    <n v="454.3285679284046"/>
    <n v="0"/>
    <n v="1056.4648626000017"/>
    <n v="0"/>
    <n v="1132.9702768420852"/>
    <x v="3"/>
  </r>
  <r>
    <s v="Regular"/>
    <x v="1"/>
    <x v="2"/>
    <x v="3"/>
    <x v="0"/>
    <x v="1"/>
    <x v="0"/>
    <x v="2"/>
    <x v="3"/>
    <n v="0"/>
    <n v="0"/>
    <n v="40.584000000000003"/>
    <n v="38.148960000000002"/>
    <n v="40.584000000000003"/>
    <n v="38.148960000000002"/>
    <n v="0"/>
    <s v="CATIVO"/>
    <n v="0"/>
    <n v="0"/>
    <n v="24"/>
    <n v="66"/>
    <n v="0"/>
    <n v="1434.79"/>
    <n v="389.28"/>
    <m/>
    <n v="1501.8340703569011"/>
    <n v="454.3285679284046"/>
    <n v="0"/>
    <n v="4441.683412800001"/>
    <n v="0"/>
    <n v="4763.3342707302527"/>
    <x v="3"/>
  </r>
  <r>
    <s v="Sistema Isolado - Regular"/>
    <x v="1"/>
    <x v="2"/>
    <x v="3"/>
    <x v="0"/>
    <x v="1"/>
    <x v="0"/>
    <x v="2"/>
    <x v="3"/>
    <n v="0"/>
    <n v="0"/>
    <n v="9.6539999999999999"/>
    <n v="9.0747599999999995"/>
    <n v="9.6539999999999999"/>
    <n v="9.0747599999999995"/>
    <n v="0"/>
    <s v="CATIVO"/>
    <n v="0"/>
    <n v="0"/>
    <n v="24"/>
    <n v="66"/>
    <n v="0"/>
    <n v="1434.79"/>
    <n v="389.28"/>
    <m/>
    <n v="1501.8340703569011"/>
    <n v="454.3285679284046"/>
    <n v="0"/>
    <n v="1056.5743068000008"/>
    <n v="0"/>
    <n v="1133.0876466003813"/>
    <x v="3"/>
  </r>
  <r>
    <s v="Regular"/>
    <x v="1"/>
    <x v="2"/>
    <x v="3"/>
    <x v="0"/>
    <x v="1"/>
    <x v="0"/>
    <x v="2"/>
    <x v="4"/>
    <n v="0"/>
    <n v="0"/>
    <n v="58.384"/>
    <n v="54.880959999999995"/>
    <n v="58.384"/>
    <n v="54.880959999999995"/>
    <n v="0"/>
    <s v="CATIVO"/>
    <n v="0"/>
    <n v="0"/>
    <n v="24"/>
    <n v="66"/>
    <n v="0"/>
    <n v="1434.79"/>
    <n v="389.28"/>
    <m/>
    <n v="1501.8340703569011"/>
    <n v="454.3285679284046"/>
    <n v="0"/>
    <n v="6389.7901728000097"/>
    <n v="0"/>
    <n v="6852.5159684189684"/>
    <x v="3"/>
  </r>
  <r>
    <s v="Sistema Isolado - Regular"/>
    <x v="1"/>
    <x v="2"/>
    <x v="3"/>
    <x v="0"/>
    <x v="1"/>
    <x v="0"/>
    <x v="2"/>
    <x v="4"/>
    <n v="0"/>
    <n v="0"/>
    <n v="9.3800000000000008"/>
    <n v="8.8171999999999997"/>
    <n v="9.3800000000000008"/>
    <n v="8.8171999999999997"/>
    <n v="0"/>
    <s v="CATIVO"/>
    <n v="0"/>
    <n v="0"/>
    <n v="24"/>
    <n v="66"/>
    <n v="0"/>
    <n v="1434.79"/>
    <n v="389.28"/>
    <m/>
    <n v="1501.8340703569011"/>
    <n v="454.3285679284046"/>
    <n v="0"/>
    <n v="1026.5865960000019"/>
    <n v="0"/>
    <n v="1100.9283328269721"/>
    <x v="3"/>
  </r>
  <r>
    <s v="Regular"/>
    <x v="1"/>
    <x v="2"/>
    <x v="3"/>
    <x v="0"/>
    <x v="1"/>
    <x v="0"/>
    <x v="2"/>
    <x v="5"/>
    <n v="0"/>
    <n v="0"/>
    <n v="47.512999999999998"/>
    <n v="44.662219999999998"/>
    <n v="47.512999999999998"/>
    <n v="44.662219999999998"/>
    <n v="0"/>
    <s v="CATIVO"/>
    <n v="0"/>
    <n v="0"/>
    <n v="24"/>
    <n v="66"/>
    <n v="0"/>
    <n v="1434.79"/>
    <n v="389.28"/>
    <m/>
    <n v="1501.8340703569011"/>
    <n v="454.3285679284046"/>
    <n v="0"/>
    <n v="5200.0222745999999"/>
    <n v="0"/>
    <n v="5576.5893259709846"/>
    <x v="3"/>
  </r>
  <r>
    <s v="Sistema Isolado - Regular"/>
    <x v="1"/>
    <x v="2"/>
    <x v="3"/>
    <x v="0"/>
    <x v="1"/>
    <x v="0"/>
    <x v="2"/>
    <x v="5"/>
    <n v="0"/>
    <n v="0"/>
    <n v="9.5039999999999996"/>
    <n v="8.9337599999999995"/>
    <n v="9.5039999999999996"/>
    <n v="8.9337599999999995"/>
    <n v="0"/>
    <s v="CATIVO"/>
    <n v="0"/>
    <n v="0"/>
    <n v="24"/>
    <n v="66"/>
    <n v="0"/>
    <n v="1434.79"/>
    <n v="389.28"/>
    <m/>
    <n v="1501.8340703569011"/>
    <n v="454.3285679284046"/>
    <n v="0"/>
    <n v="1040.1576768"/>
    <n v="0"/>
    <n v="1115.4821828558129"/>
    <x v="3"/>
  </r>
  <r>
    <s v="Regular"/>
    <x v="1"/>
    <x v="2"/>
    <x v="3"/>
    <x v="0"/>
    <x v="1"/>
    <x v="0"/>
    <x v="2"/>
    <x v="6"/>
    <n v="0"/>
    <n v="0"/>
    <n v="47.2"/>
    <n v="44.368000000000002"/>
    <n v="47.2"/>
    <n v="44.368000000000002"/>
    <n v="0"/>
    <s v="CATIVO"/>
    <n v="0"/>
    <n v="0"/>
    <n v="24"/>
    <n v="66"/>
    <n v="0"/>
    <n v="1434.79"/>
    <n v="389.28"/>
    <m/>
    <n v="1501.8340703569011"/>
    <n v="454.3285679284046"/>
    <n v="0"/>
    <n v="5165.7662400000008"/>
    <n v="0"/>
    <n v="5539.8525916239869"/>
    <x v="3"/>
  </r>
  <r>
    <s v="Sistema Isolado - Regular"/>
    <x v="1"/>
    <x v="2"/>
    <x v="3"/>
    <x v="0"/>
    <x v="1"/>
    <x v="0"/>
    <x v="2"/>
    <x v="6"/>
    <n v="0"/>
    <n v="0"/>
    <n v="9.3490000000000002"/>
    <n v="8.7880599999999998"/>
    <n v="9.3490000000000002"/>
    <n v="8.7880599999999998"/>
    <n v="0"/>
    <s v="CATIVO"/>
    <n v="0"/>
    <n v="0"/>
    <n v="24"/>
    <n v="66"/>
    <n v="0"/>
    <n v="1434.79"/>
    <n v="389.28"/>
    <m/>
    <n v="1501.8340703569011"/>
    <n v="454.3285679284046"/>
    <n v="0"/>
    <n v="1023.1938258000007"/>
    <n v="0"/>
    <n v="1097.2898703197602"/>
    <x v="3"/>
  </r>
  <r>
    <s v="Regular"/>
    <x v="1"/>
    <x v="2"/>
    <x v="3"/>
    <x v="0"/>
    <x v="1"/>
    <x v="0"/>
    <x v="2"/>
    <x v="7"/>
    <n v="0"/>
    <n v="0"/>
    <n v="59.685000000000002"/>
    <n v="56.103900000000003"/>
    <n v="59.685000000000002"/>
    <n v="56.103900000000003"/>
    <n v="0"/>
    <s v="CATIVO"/>
    <n v="0"/>
    <n v="0"/>
    <n v="24"/>
    <n v="66"/>
    <n v="0"/>
    <n v="1434.79"/>
    <n v="389.28"/>
    <m/>
    <n v="1501.8340703569011"/>
    <n v="454.3285679284046"/>
    <n v="0"/>
    <n v="6532.1770769999985"/>
    <n v="0"/>
    <n v="7005.2140239635064"/>
    <x v="3"/>
  </r>
  <r>
    <s v="Sistema Isolado - Regular"/>
    <x v="1"/>
    <x v="2"/>
    <x v="3"/>
    <x v="0"/>
    <x v="1"/>
    <x v="0"/>
    <x v="2"/>
    <x v="7"/>
    <n v="0"/>
    <n v="0"/>
    <n v="8.9809999999999999"/>
    <n v="8.4421400000000002"/>
    <n v="8.9809999999999999"/>
    <n v="8.4421400000000002"/>
    <n v="0"/>
    <s v="CATIVO"/>
    <n v="0"/>
    <n v="0"/>
    <n v="24"/>
    <n v="66"/>
    <n v="0"/>
    <n v="1434.79"/>
    <n v="389.28"/>
    <m/>
    <n v="1501.8340703569011"/>
    <n v="454.3285679284046"/>
    <n v="0"/>
    <n v="982.91836019999937"/>
    <n v="0"/>
    <n v="1054.0977992664191"/>
    <x v="3"/>
  </r>
  <r>
    <s v="Regular"/>
    <x v="1"/>
    <x v="2"/>
    <x v="3"/>
    <x v="0"/>
    <x v="1"/>
    <x v="0"/>
    <x v="2"/>
    <x v="8"/>
    <n v="0"/>
    <n v="0"/>
    <n v="42.317"/>
    <n v="39.777979999999999"/>
    <n v="42.317"/>
    <n v="39.777979999999999"/>
    <n v="0"/>
    <s v="CATIVO"/>
    <n v="0"/>
    <n v="0"/>
    <n v="24"/>
    <n v="66"/>
    <n v="0"/>
    <n v="1434.79"/>
    <n v="389.28"/>
    <m/>
    <n v="1501.8340703569011"/>
    <n v="454.3285679284046"/>
    <n v="0"/>
    <n v="4631.3502114000012"/>
    <n v="0"/>
    <n v="4966.7360618591583"/>
    <x v="3"/>
  </r>
  <r>
    <s v="Sistema Isolado - Regular"/>
    <x v="1"/>
    <x v="2"/>
    <x v="3"/>
    <x v="0"/>
    <x v="1"/>
    <x v="0"/>
    <x v="2"/>
    <x v="8"/>
    <n v="0"/>
    <n v="0"/>
    <n v="7.0359999999999996"/>
    <n v="6.6138399999999997"/>
    <n v="7.0359999999999996"/>
    <n v="6.6138399999999997"/>
    <n v="0"/>
    <s v="CATIVO"/>
    <n v="0"/>
    <n v="0"/>
    <n v="24"/>
    <n v="66"/>
    <n v="0"/>
    <n v="1434.79"/>
    <n v="389.28"/>
    <m/>
    <n v="1501.8340703569011"/>
    <n v="454.3285679284046"/>
    <n v="0"/>
    <n v="770.04939119999972"/>
    <n v="0"/>
    <n v="825.81361937852432"/>
    <x v="3"/>
  </r>
  <r>
    <s v="Sistema de Compensação"/>
    <x v="1"/>
    <x v="2"/>
    <x v="3"/>
    <x v="0"/>
    <x v="1"/>
    <x v="0"/>
    <x v="2"/>
    <x v="8"/>
    <n v="0"/>
    <n v="0"/>
    <n v="1.9950000000000001"/>
    <n v="1.8753"/>
    <n v="1.9950000000000001"/>
    <n v="1.8753"/>
    <n v="0"/>
    <s v="CATIVO"/>
    <n v="0"/>
    <n v="0"/>
    <n v="24"/>
    <n v="66"/>
    <n v="0"/>
    <n v="1434.79"/>
    <n v="389.28"/>
    <m/>
    <n v="1501.8340703569011"/>
    <n v="454.3285679284046"/>
    <n v="0"/>
    <n v="218.34117900000024"/>
    <n v="0"/>
    <n v="234.15266780275135"/>
    <x v="3"/>
  </r>
  <r>
    <s v="Regular"/>
    <x v="1"/>
    <x v="2"/>
    <x v="3"/>
    <x v="0"/>
    <x v="1"/>
    <x v="0"/>
    <x v="2"/>
    <x v="9"/>
    <n v="0"/>
    <n v="0"/>
    <n v="45.572000000000003"/>
    <n v="42.837679999999999"/>
    <n v="45.572000000000003"/>
    <n v="42.837679999999999"/>
    <n v="0"/>
    <s v="CATIVO"/>
    <n v="0"/>
    <n v="0"/>
    <n v="24"/>
    <n v="66"/>
    <n v="0"/>
    <n v="1434.79"/>
    <n v="389.28"/>
    <m/>
    <n v="1501.8340703569011"/>
    <n v="454.3285679284046"/>
    <n v="0"/>
    <n v="4987.5910824000066"/>
    <n v="0"/>
    <n v="5348.7746251162844"/>
    <x v="3"/>
  </r>
  <r>
    <s v="Sistema Isolado - Regular"/>
    <x v="1"/>
    <x v="2"/>
    <x v="3"/>
    <x v="0"/>
    <x v="1"/>
    <x v="0"/>
    <x v="2"/>
    <x v="9"/>
    <n v="0"/>
    <n v="0"/>
    <n v="8.2919999999999998"/>
    <n v="7.7944800000000001"/>
    <n v="8.2919999999999998"/>
    <n v="7.7944800000000001"/>
    <n v="0"/>
    <s v="CATIVO"/>
    <n v="0"/>
    <n v="0"/>
    <n v="24"/>
    <n v="66"/>
    <n v="0"/>
    <n v="1434.79"/>
    <n v="389.28"/>
    <m/>
    <n v="1501.8340703569011"/>
    <n v="454.3285679284046"/>
    <n v="0"/>
    <n v="907.51130639999951"/>
    <n v="0"/>
    <n v="973.23003579970486"/>
    <x v="3"/>
  </r>
  <r>
    <s v="Sistema de Compensação"/>
    <x v="1"/>
    <x v="2"/>
    <x v="3"/>
    <x v="0"/>
    <x v="1"/>
    <x v="0"/>
    <x v="2"/>
    <x v="9"/>
    <n v="0"/>
    <n v="0"/>
    <n v="1.304"/>
    <n v="1.22576"/>
    <n v="1.304"/>
    <n v="1.22576"/>
    <n v="0"/>
    <s v="CATIVO"/>
    <n v="0"/>
    <n v="0"/>
    <n v="24"/>
    <n v="66"/>
    <n v="0"/>
    <n v="1434.79"/>
    <n v="389.28"/>
    <m/>
    <n v="1501.8340703569011"/>
    <n v="454.3285679284046"/>
    <n v="0"/>
    <n v="142.71523680000016"/>
    <n v="0"/>
    <n v="153.05016481944247"/>
    <x v="3"/>
  </r>
  <r>
    <s v="Regular"/>
    <x v="1"/>
    <x v="2"/>
    <x v="3"/>
    <x v="0"/>
    <x v="1"/>
    <x v="0"/>
    <x v="2"/>
    <x v="10"/>
    <n v="0"/>
    <n v="0"/>
    <n v="43.832999999999998"/>
    <n v="41.203020000000002"/>
    <n v="43.832999999999998"/>
    <n v="41.203020000000002"/>
    <n v="0"/>
    <s v="CATIVO"/>
    <n v="0"/>
    <n v="0"/>
    <n v="24"/>
    <n v="66"/>
    <n v="0"/>
    <n v="1434.79"/>
    <n v="389.28"/>
    <m/>
    <n v="1501.8340703569011"/>
    <n v="454.3285679284046"/>
    <n v="0"/>
    <n v="4797.2676185999926"/>
    <n v="0"/>
    <n v="5144.6686154375802"/>
    <x v="3"/>
  </r>
  <r>
    <s v="Sistema Isolado - Regular"/>
    <x v="1"/>
    <x v="2"/>
    <x v="3"/>
    <x v="0"/>
    <x v="1"/>
    <x v="0"/>
    <x v="2"/>
    <x v="10"/>
    <n v="0"/>
    <n v="0"/>
    <n v="13.313000000000001"/>
    <n v="12.51422"/>
    <n v="13.313000000000001"/>
    <n v="12.51422"/>
    <n v="0"/>
    <s v="CATIVO"/>
    <n v="0"/>
    <n v="0"/>
    <n v="24"/>
    <n v="66"/>
    <n v="0"/>
    <n v="1434.79"/>
    <n v="389.28"/>
    <m/>
    <n v="1501.8340703569011"/>
    <n v="454.3285679284046"/>
    <n v="0"/>
    <n v="1457.0306346000011"/>
    <n v="0"/>
    <n v="1562.5435922095378"/>
    <x v="3"/>
  </r>
  <r>
    <s v="Sistema de Compensação"/>
    <x v="1"/>
    <x v="2"/>
    <x v="3"/>
    <x v="0"/>
    <x v="1"/>
    <x v="0"/>
    <x v="2"/>
    <x v="10"/>
    <n v="0"/>
    <n v="0"/>
    <n v="3.5640000000000001"/>
    <n v="3.3501599999999998"/>
    <n v="3.5640000000000001"/>
    <n v="3.3501599999999998"/>
    <n v="0"/>
    <s v="CATIVO"/>
    <n v="0"/>
    <n v="0"/>
    <n v="24"/>
    <n v="66"/>
    <n v="0"/>
    <n v="1434.79"/>
    <n v="389.28"/>
    <m/>
    <n v="1501.8340703569011"/>
    <n v="454.3285679284046"/>
    <n v="0"/>
    <n v="390.05912880000045"/>
    <n v="0"/>
    <n v="418.30581857093023"/>
    <x v="3"/>
  </r>
  <r>
    <s v="PROJETADO"/>
    <x v="1"/>
    <x v="2"/>
    <x v="3"/>
    <x v="0"/>
    <x v="1"/>
    <x v="0"/>
    <x v="2"/>
    <x v="11"/>
    <n v="0"/>
    <n v="0"/>
    <n v="43.832999999999998"/>
    <n v="41.203020000000002"/>
    <n v="43.832999999999998"/>
    <n v="41.203020000000002"/>
    <n v="0"/>
    <s v="CATIVO"/>
    <n v="0"/>
    <n v="0"/>
    <n v="24"/>
    <n v="66"/>
    <n v="0"/>
    <n v="1434.79"/>
    <n v="389.28"/>
    <m/>
    <n v="1501.8340703569011"/>
    <n v="454.3285679284046"/>
    <n v="0"/>
    <n v="4797.2676185999926"/>
    <n v="0"/>
    <n v="5144.6686154375802"/>
    <x v="3"/>
  </r>
  <r>
    <s v="PROJETADO"/>
    <x v="1"/>
    <x v="2"/>
    <x v="3"/>
    <x v="0"/>
    <x v="1"/>
    <x v="0"/>
    <x v="2"/>
    <x v="11"/>
    <n v="0"/>
    <n v="0"/>
    <n v="13.313000000000001"/>
    <n v="12.51422"/>
    <n v="13.313000000000001"/>
    <n v="12.51422"/>
    <n v="0"/>
    <s v="CATIVO"/>
    <n v="0"/>
    <n v="0"/>
    <n v="24"/>
    <n v="66"/>
    <n v="0"/>
    <n v="1434.79"/>
    <n v="389.28"/>
    <m/>
    <n v="1501.8340703569011"/>
    <n v="454.3285679284046"/>
    <n v="0"/>
    <n v="1457.0306346000011"/>
    <n v="0"/>
    <n v="1562.5435922095378"/>
    <x v="3"/>
  </r>
  <r>
    <s v="PROJETADO"/>
    <x v="1"/>
    <x v="2"/>
    <x v="3"/>
    <x v="0"/>
    <x v="1"/>
    <x v="0"/>
    <x v="2"/>
    <x v="11"/>
    <n v="0"/>
    <n v="0"/>
    <n v="3.5640000000000001"/>
    <n v="3.3501599999999998"/>
    <n v="3.5640000000000001"/>
    <n v="3.3501599999999998"/>
    <n v="0"/>
    <s v="CATIVO"/>
    <n v="0"/>
    <n v="0"/>
    <n v="24"/>
    <n v="66"/>
    <n v="0"/>
    <n v="1434.79"/>
    <n v="389.28"/>
    <m/>
    <n v="1501.8340703569011"/>
    <n v="454.3285679284046"/>
    <n v="0"/>
    <n v="390.05912880000045"/>
    <n v="0"/>
    <n v="418.30581857093023"/>
    <x v="3"/>
  </r>
  <r>
    <s v="Regular"/>
    <x v="1"/>
    <x v="2"/>
    <x v="1"/>
    <x v="1"/>
    <x v="1"/>
    <x v="0"/>
    <x v="0"/>
    <x v="0"/>
    <n v="0"/>
    <n v="0"/>
    <n v="1303.7059999999999"/>
    <n v="1186.37246"/>
    <n v="1303.7059999999999"/>
    <n v="1186.37246"/>
    <n v="0"/>
    <s v="CATIVO"/>
    <n v="0"/>
    <n v="0"/>
    <n v="19"/>
    <n v="67"/>
    <n v="0"/>
    <n v="149.63"/>
    <n v="230.03"/>
    <m/>
    <n v="54.203801879475932"/>
    <n v="282.91739971702214"/>
    <n v="0"/>
    <n v="44546.851796399947"/>
    <n v="0"/>
    <n v="39555.623992370725"/>
    <x v="1"/>
  </r>
  <r>
    <s v="Sistema Isolado - Regular"/>
    <x v="1"/>
    <x v="2"/>
    <x v="1"/>
    <x v="1"/>
    <x v="1"/>
    <x v="0"/>
    <x v="0"/>
    <x v="0"/>
    <n v="0"/>
    <n v="0"/>
    <n v="526.71500000000003"/>
    <n v="479.31065000000007"/>
    <n v="526.71500000000003"/>
    <n v="479.31065000000007"/>
    <n v="0"/>
    <s v="CATIVO"/>
    <n v="0"/>
    <n v="0"/>
    <n v="19"/>
    <n v="67"/>
    <n v="0"/>
    <n v="149.63"/>
    <n v="230.03"/>
    <m/>
    <n v="54.203801879475932"/>
    <n v="282.91739971702214"/>
    <n v="0"/>
    <n v="17997.535520999987"/>
    <n v="0"/>
    <n v="15981.011432900941"/>
    <x v="1"/>
  </r>
  <r>
    <s v="Regular"/>
    <x v="1"/>
    <x v="2"/>
    <x v="1"/>
    <x v="1"/>
    <x v="1"/>
    <x v="0"/>
    <x v="0"/>
    <x v="1"/>
    <n v="0"/>
    <n v="0"/>
    <n v="1315.575"/>
    <n v="1197.1732500000001"/>
    <n v="1315.575"/>
    <n v="1197.1732500000001"/>
    <n v="0"/>
    <s v="CATIVO"/>
    <n v="0"/>
    <n v="0"/>
    <n v="19"/>
    <n v="67"/>
    <n v="0"/>
    <n v="149.63"/>
    <n v="230.03"/>
    <m/>
    <n v="54.203801879475932"/>
    <n v="282.91739971702214"/>
    <n v="0"/>
    <n v="44952.408404999995"/>
    <n v="0"/>
    <n v="39915.740231128162"/>
    <x v="1"/>
  </r>
  <r>
    <s v="Sistema Isolado - Regular"/>
    <x v="1"/>
    <x v="2"/>
    <x v="1"/>
    <x v="1"/>
    <x v="1"/>
    <x v="0"/>
    <x v="0"/>
    <x v="1"/>
    <n v="0"/>
    <n v="0"/>
    <n v="573.81399999999996"/>
    <n v="522.17074000000002"/>
    <n v="573.81399999999996"/>
    <n v="522.17074000000002"/>
    <n v="0"/>
    <s v="CATIVO"/>
    <n v="0"/>
    <n v="0"/>
    <n v="19"/>
    <n v="67"/>
    <n v="0"/>
    <n v="149.63"/>
    <n v="230.03"/>
    <m/>
    <n v="54.203801879475932"/>
    <n v="282.91739971702214"/>
    <n v="0"/>
    <n v="19606.880091599978"/>
    <n v="0"/>
    <n v="17410.037865560345"/>
    <x v="1"/>
  </r>
  <r>
    <s v="Regular"/>
    <x v="1"/>
    <x v="2"/>
    <x v="1"/>
    <x v="1"/>
    <x v="1"/>
    <x v="0"/>
    <x v="0"/>
    <x v="2"/>
    <n v="0"/>
    <n v="0"/>
    <n v="1346.4849999999999"/>
    <n v="1225.30135"/>
    <n v="1346.4849999999999"/>
    <n v="1225.30135"/>
    <n v="0"/>
    <s v="CATIVO"/>
    <n v="0"/>
    <n v="0"/>
    <n v="19"/>
    <n v="67"/>
    <n v="0"/>
    <n v="149.63"/>
    <n v="230.03"/>
    <m/>
    <n v="54.203801879475932"/>
    <n v="282.91739971702214"/>
    <n v="0"/>
    <n v="46008.584558999981"/>
    <n v="0"/>
    <n v="40853.577701849441"/>
    <x v="1"/>
  </r>
  <r>
    <s v="Sistema Isolado - Regular"/>
    <x v="1"/>
    <x v="2"/>
    <x v="1"/>
    <x v="1"/>
    <x v="1"/>
    <x v="0"/>
    <x v="0"/>
    <x v="2"/>
    <n v="0"/>
    <n v="0"/>
    <n v="537.18399999999997"/>
    <n v="488.83744000000002"/>
    <n v="537.18399999999997"/>
    <n v="488.83744000000002"/>
    <n v="0"/>
    <s v="CATIVO"/>
    <n v="0"/>
    <n v="0"/>
    <n v="19"/>
    <n v="67"/>
    <n v="0"/>
    <n v="149.63"/>
    <n v="230.03"/>
    <m/>
    <n v="54.203801879475932"/>
    <n v="282.91739971702214"/>
    <n v="0"/>
    <n v="18355.254969599984"/>
    <n v="0"/>
    <n v="16298.650400257175"/>
    <x v="1"/>
  </r>
  <r>
    <s v="Regular"/>
    <x v="1"/>
    <x v="2"/>
    <x v="1"/>
    <x v="1"/>
    <x v="1"/>
    <x v="0"/>
    <x v="0"/>
    <x v="3"/>
    <n v="0"/>
    <n v="0"/>
    <n v="1201.9860000000001"/>
    <n v="1093.80726"/>
    <n v="1201.9860000000001"/>
    <n v="1093.80726"/>
    <n v="0"/>
    <s v="CATIVO"/>
    <n v="0"/>
    <n v="0"/>
    <n v="19"/>
    <n v="67"/>
    <n v="0"/>
    <n v="149.63"/>
    <n v="230.03"/>
    <m/>
    <n v="54.203801879475932"/>
    <n v="282.91739971702214"/>
    <n v="0"/>
    <n v="41071.140428400024"/>
    <n v="0"/>
    <n v="36469.346815995166"/>
    <x v="1"/>
  </r>
  <r>
    <s v="Sistema Isolado - Regular"/>
    <x v="1"/>
    <x v="2"/>
    <x v="1"/>
    <x v="1"/>
    <x v="1"/>
    <x v="0"/>
    <x v="0"/>
    <x v="3"/>
    <n v="0"/>
    <n v="0"/>
    <n v="475.80500000000001"/>
    <n v="432.98255"/>
    <n v="475.80500000000001"/>
    <n v="432.98255"/>
    <n v="0"/>
    <s v="CATIVO"/>
    <n v="0"/>
    <n v="0"/>
    <n v="19"/>
    <n v="67"/>
    <n v="0"/>
    <n v="149.63"/>
    <n v="230.03"/>
    <m/>
    <n v="54.203801879475932"/>
    <n v="282.91739971702214"/>
    <n v="0"/>
    <n v="16257.971367000002"/>
    <n v="0"/>
    <n v="14436.355799305958"/>
    <x v="1"/>
  </r>
  <r>
    <s v="Regular"/>
    <x v="1"/>
    <x v="2"/>
    <x v="1"/>
    <x v="1"/>
    <x v="1"/>
    <x v="0"/>
    <x v="0"/>
    <x v="4"/>
    <n v="0"/>
    <n v="0"/>
    <n v="1313.335"/>
    <n v="1195.1348500000001"/>
    <n v="1313.335"/>
    <n v="1195.1348500000001"/>
    <n v="0"/>
    <s v="CATIVO"/>
    <n v="0"/>
    <n v="0"/>
    <n v="19"/>
    <n v="67"/>
    <n v="0"/>
    <n v="149.63"/>
    <n v="230.03"/>
    <m/>
    <n v="54.203801879475932"/>
    <n v="282.91739971702214"/>
    <n v="0"/>
    <n v="44875.86894899996"/>
    <n v="0"/>
    <n v="39847.776596886273"/>
    <x v="1"/>
  </r>
  <r>
    <s v="Sistema Isolado - Regular"/>
    <x v="1"/>
    <x v="2"/>
    <x v="1"/>
    <x v="1"/>
    <x v="1"/>
    <x v="0"/>
    <x v="0"/>
    <x v="4"/>
    <n v="0"/>
    <n v="0"/>
    <n v="523.48400000000004"/>
    <n v="476.37044000000003"/>
    <n v="523.48400000000004"/>
    <n v="476.37044000000003"/>
    <n v="0"/>
    <s v="CATIVO"/>
    <n v="0"/>
    <n v="0"/>
    <n v="19"/>
    <n v="67"/>
    <n v="0"/>
    <n v="149.63"/>
    <n v="230.03"/>
    <m/>
    <n v="54.203801879475932"/>
    <n v="282.91739971702214"/>
    <n v="0"/>
    <n v="17887.134189600001"/>
    <n v="0"/>
    <n v="15882.979958688709"/>
    <x v="1"/>
  </r>
  <r>
    <s v="Regular"/>
    <x v="1"/>
    <x v="2"/>
    <x v="1"/>
    <x v="1"/>
    <x v="1"/>
    <x v="0"/>
    <x v="0"/>
    <x v="5"/>
    <n v="0"/>
    <n v="0"/>
    <n v="1209.104"/>
    <n v="1100.2846400000001"/>
    <n v="1209.104"/>
    <n v="1100.2846400000001"/>
    <n v="0"/>
    <s v="CATIVO"/>
    <n v="0"/>
    <n v="0"/>
    <n v="19"/>
    <n v="67"/>
    <n v="0"/>
    <n v="149.63"/>
    <n v="230.03"/>
    <m/>
    <n v="54.203801879475932"/>
    <n v="282.91739971702214"/>
    <n v="0"/>
    <n v="41314.358217599984"/>
    <n v="0"/>
    <n v="36685.313400161889"/>
    <x v="1"/>
  </r>
  <r>
    <s v="Sistema Isolado - Regular"/>
    <x v="1"/>
    <x v="2"/>
    <x v="1"/>
    <x v="1"/>
    <x v="1"/>
    <x v="0"/>
    <x v="0"/>
    <x v="5"/>
    <n v="0"/>
    <n v="0"/>
    <n v="527.22299999999996"/>
    <n v="479.77292999999997"/>
    <n v="527.22299999999996"/>
    <n v="479.77292999999997"/>
    <n v="0"/>
    <s v="CATIVO"/>
    <n v="0"/>
    <n v="0"/>
    <n v="19"/>
    <n v="67"/>
    <n v="0"/>
    <n v="149.63"/>
    <n v="230.03"/>
    <m/>
    <n v="54.203801879475932"/>
    <n v="282.91739971702214"/>
    <n v="0"/>
    <n v="18014.893576199993"/>
    <n v="0"/>
    <n v="15996.42461423794"/>
    <x v="1"/>
  </r>
  <r>
    <s v="Regular"/>
    <x v="1"/>
    <x v="2"/>
    <x v="1"/>
    <x v="1"/>
    <x v="1"/>
    <x v="0"/>
    <x v="0"/>
    <x v="6"/>
    <n v="0"/>
    <n v="0"/>
    <n v="1323.21"/>
    <n v="1204.1211000000001"/>
    <n v="1323.21"/>
    <n v="1204.1211000000001"/>
    <n v="0"/>
    <s v="CATIVO"/>
    <n v="0"/>
    <n v="0"/>
    <n v="19"/>
    <n v="67"/>
    <n v="0"/>
    <n v="149.63"/>
    <n v="230.03"/>
    <m/>
    <n v="54.203801879475932"/>
    <n v="282.91739971702214"/>
    <n v="0"/>
    <n v="45213.291773999983"/>
    <n v="0"/>
    <n v="40147.39306480519"/>
    <x v="1"/>
  </r>
  <r>
    <s v="Sistema Isolado - Regular"/>
    <x v="1"/>
    <x v="2"/>
    <x v="1"/>
    <x v="1"/>
    <x v="1"/>
    <x v="0"/>
    <x v="0"/>
    <x v="6"/>
    <n v="0"/>
    <n v="0"/>
    <n v="574.48800000000006"/>
    <n v="522.78408000000002"/>
    <n v="574.48800000000006"/>
    <n v="522.78408000000002"/>
    <n v="0"/>
    <s v="CATIVO"/>
    <n v="0"/>
    <n v="0"/>
    <n v="19"/>
    <n v="67"/>
    <n v="0"/>
    <n v="149.63"/>
    <n v="230.03"/>
    <m/>
    <n v="54.203801879475932"/>
    <n v="282.91739971702214"/>
    <n v="0"/>
    <n v="19629.910267200015"/>
    <n v="0"/>
    <n v="17430.487637649221"/>
    <x v="1"/>
  </r>
  <r>
    <s v="Sistema Isolado - Refaturamento"/>
    <x v="1"/>
    <x v="2"/>
    <x v="1"/>
    <x v="1"/>
    <x v="1"/>
    <x v="0"/>
    <x v="0"/>
    <x v="6"/>
    <n v="0"/>
    <n v="0"/>
    <n v="132.31399999999999"/>
    <n v="120.40573999999999"/>
    <n v="132.31399999999999"/>
    <n v="120.40573999999999"/>
    <n v="0"/>
    <s v="CATIVO"/>
    <n v="0"/>
    <n v="0"/>
    <n v="19"/>
    <n v="67"/>
    <n v="0"/>
    <n v="149.63"/>
    <n v="230.03"/>
    <m/>
    <n v="54.203801879475932"/>
    <n v="282.91739971702214"/>
    <n v="0"/>
    <n v="4521.0899915999998"/>
    <n v="0"/>
    <n v="4014.5269201235133"/>
    <x v="1"/>
  </r>
  <r>
    <s v="Regular"/>
    <x v="1"/>
    <x v="2"/>
    <x v="1"/>
    <x v="1"/>
    <x v="1"/>
    <x v="0"/>
    <x v="0"/>
    <x v="7"/>
    <n v="0"/>
    <n v="0"/>
    <n v="1258.903"/>
    <n v="1145.6017300000001"/>
    <n v="1258.903"/>
    <n v="1145.6017300000001"/>
    <n v="0"/>
    <s v="CATIVO"/>
    <n v="0"/>
    <n v="0"/>
    <n v="19"/>
    <n v="67"/>
    <n v="0"/>
    <n v="149.63"/>
    <n v="230.03"/>
    <m/>
    <n v="54.203801879475932"/>
    <n v="282.91739971702214"/>
    <n v="0"/>
    <n v="43015.960168199977"/>
    <n v="0"/>
    <n v="38196.260284809236"/>
    <x v="1"/>
  </r>
  <r>
    <s v="Sistema Isolado - Regular"/>
    <x v="1"/>
    <x v="2"/>
    <x v="1"/>
    <x v="1"/>
    <x v="1"/>
    <x v="0"/>
    <x v="0"/>
    <x v="7"/>
    <n v="0"/>
    <n v="0"/>
    <n v="586.72699999999998"/>
    <n v="533.92156999999997"/>
    <n v="586.72699999999998"/>
    <n v="533.92156999999997"/>
    <n v="0"/>
    <s v="CATIVO"/>
    <n v="0"/>
    <n v="0"/>
    <n v="19"/>
    <n v="67"/>
    <n v="0"/>
    <n v="149.63"/>
    <n v="230.03"/>
    <m/>
    <n v="54.203801879475932"/>
    <n v="282.91739971702214"/>
    <n v="0"/>
    <n v="20048.109553800001"/>
    <n v="0"/>
    <n v="17801.830012419767"/>
    <x v="1"/>
  </r>
  <r>
    <s v="Regular"/>
    <x v="1"/>
    <x v="2"/>
    <x v="1"/>
    <x v="1"/>
    <x v="1"/>
    <x v="0"/>
    <x v="0"/>
    <x v="8"/>
    <n v="0"/>
    <n v="0"/>
    <n v="1375.585"/>
    <n v="1251.78235"/>
    <n v="1375.585"/>
    <n v="1251.78235"/>
    <n v="0"/>
    <s v="CATIVO"/>
    <n v="0"/>
    <n v="0"/>
    <n v="19"/>
    <n v="67"/>
    <n v="0"/>
    <n v="149.63"/>
    <n v="230.03"/>
    <m/>
    <n v="54.203801879475932"/>
    <n v="282.91739971702214"/>
    <n v="0"/>
    <n v="47002.914099000031"/>
    <n v="0"/>
    <n v="41736.498128830724"/>
    <x v="1"/>
  </r>
  <r>
    <s v="Sistema Isolado - Regular"/>
    <x v="1"/>
    <x v="2"/>
    <x v="1"/>
    <x v="1"/>
    <x v="1"/>
    <x v="0"/>
    <x v="0"/>
    <x v="8"/>
    <n v="0"/>
    <n v="0"/>
    <n v="597.23299999999995"/>
    <n v="543.48203000000001"/>
    <n v="597.23299999999995"/>
    <n v="543.48203000000001"/>
    <n v="0"/>
    <s v="CATIVO"/>
    <n v="0"/>
    <n v="0"/>
    <n v="19"/>
    <n v="67"/>
    <n v="0"/>
    <n v="149.63"/>
    <n v="230.03"/>
    <m/>
    <n v="54.203801879475932"/>
    <n v="282.91739971702214"/>
    <n v="0"/>
    <n v="20407.093270199977"/>
    <n v="0"/>
    <n v="18120.591593377299"/>
    <x v="1"/>
  </r>
  <r>
    <s v="Regular"/>
    <x v="1"/>
    <x v="2"/>
    <x v="1"/>
    <x v="1"/>
    <x v="1"/>
    <x v="0"/>
    <x v="0"/>
    <x v="9"/>
    <n v="0"/>
    <n v="0"/>
    <n v="1358.9"/>
    <n v="1236.5989999999999"/>
    <n v="1358.9"/>
    <n v="1236.5989999999999"/>
    <n v="0"/>
    <s v="CATIVO"/>
    <n v="0"/>
    <n v="0"/>
    <n v="19"/>
    <n v="67"/>
    <n v="0"/>
    <n v="149.63"/>
    <n v="230.03"/>
    <m/>
    <n v="54.203801879475932"/>
    <n v="282.91739971702214"/>
    <n v="0"/>
    <n v="46432.797660000055"/>
    <n v="0"/>
    <n v="41230.260076453364"/>
    <x v="1"/>
  </r>
  <r>
    <s v="Sistema Isolado - Regular"/>
    <x v="1"/>
    <x v="2"/>
    <x v="1"/>
    <x v="1"/>
    <x v="1"/>
    <x v="0"/>
    <x v="0"/>
    <x v="9"/>
    <n v="0"/>
    <n v="0"/>
    <n v="634.44100000000003"/>
    <n v="577.34131000000002"/>
    <n v="634.44100000000003"/>
    <n v="577.34131000000002"/>
    <n v="0"/>
    <s v="CATIVO"/>
    <n v="0"/>
    <n v="0"/>
    <n v="19"/>
    <n v="67"/>
    <n v="0"/>
    <n v="149.63"/>
    <n v="230.03"/>
    <m/>
    <n v="54.203801879475932"/>
    <n v="282.91739971702214"/>
    <n v="0"/>
    <n v="21678.468305400005"/>
    <n v="0"/>
    <n v="19249.51610358755"/>
    <x v="1"/>
  </r>
  <r>
    <s v="Regular"/>
    <x v="1"/>
    <x v="2"/>
    <x v="1"/>
    <x v="1"/>
    <x v="1"/>
    <x v="0"/>
    <x v="0"/>
    <x v="10"/>
    <n v="0"/>
    <n v="0"/>
    <n v="1113.9380000000001"/>
    <n v="1013.68358"/>
    <n v="1113.9380000000001"/>
    <n v="1013.68358"/>
    <n v="0"/>
    <s v="CATIVO"/>
    <n v="0"/>
    <n v="0"/>
    <n v="19"/>
    <n v="67"/>
    <n v="0"/>
    <n v="149.63"/>
    <n v="230.03"/>
    <m/>
    <n v="54.203801879475932"/>
    <n v="282.91739971702214"/>
    <n v="0"/>
    <n v="38062.593097200035"/>
    <n v="0"/>
    <n v="33797.890535760023"/>
    <x v="1"/>
  </r>
  <r>
    <s v="Sistema Isolado - Regular"/>
    <x v="1"/>
    <x v="2"/>
    <x v="1"/>
    <x v="1"/>
    <x v="1"/>
    <x v="0"/>
    <x v="0"/>
    <x v="10"/>
    <n v="0"/>
    <n v="0"/>
    <n v="587.50900000000001"/>
    <n v="534.63319000000001"/>
    <n v="587.50900000000001"/>
    <n v="534.63319000000001"/>
    <n v="0"/>
    <s v="CATIVO"/>
    <n v="0"/>
    <n v="0"/>
    <n v="19"/>
    <n v="67"/>
    <n v="0"/>
    <n v="149.63"/>
    <n v="230.03"/>
    <m/>
    <n v="54.203801879475932"/>
    <n v="282.91739971702214"/>
    <n v="0"/>
    <n v="20074.8300246"/>
    <n v="0"/>
    <n v="17825.556602588127"/>
    <x v="1"/>
  </r>
  <r>
    <s v="PROJETADO"/>
    <x v="1"/>
    <x v="2"/>
    <x v="1"/>
    <x v="1"/>
    <x v="1"/>
    <x v="0"/>
    <x v="0"/>
    <x v="11"/>
    <n v="0"/>
    <n v="0"/>
    <n v="1113.9380000000001"/>
    <n v="1013.68358"/>
    <n v="1113.9380000000001"/>
    <n v="1013.68358"/>
    <n v="0"/>
    <s v="CATIVO"/>
    <n v="0"/>
    <n v="0"/>
    <n v="19"/>
    <n v="67"/>
    <n v="0"/>
    <n v="149.63"/>
    <n v="230.03"/>
    <m/>
    <n v="54.203801879475932"/>
    <n v="282.91739971702214"/>
    <n v="0"/>
    <n v="38062.593097200035"/>
    <n v="0"/>
    <n v="33797.890535760023"/>
    <x v="1"/>
  </r>
  <r>
    <s v="PROJETADO"/>
    <x v="1"/>
    <x v="2"/>
    <x v="1"/>
    <x v="1"/>
    <x v="1"/>
    <x v="0"/>
    <x v="0"/>
    <x v="11"/>
    <n v="0"/>
    <n v="0"/>
    <n v="587.50900000000001"/>
    <n v="534.63319000000001"/>
    <n v="587.50900000000001"/>
    <n v="534.63319000000001"/>
    <n v="0"/>
    <s v="CATIVO"/>
    <n v="0"/>
    <n v="0"/>
    <n v="19"/>
    <n v="67"/>
    <n v="0"/>
    <n v="149.63"/>
    <n v="230.03"/>
    <m/>
    <n v="54.203801879475932"/>
    <n v="282.91739971702214"/>
    <n v="0"/>
    <n v="20074.8300246"/>
    <n v="0"/>
    <n v="17825.556602588127"/>
    <x v="1"/>
  </r>
  <r>
    <s v="Regular"/>
    <x v="1"/>
    <x v="2"/>
    <x v="1"/>
    <x v="1"/>
    <x v="1"/>
    <x v="0"/>
    <x v="1"/>
    <x v="0"/>
    <n v="3874"/>
    <n v="3292.9"/>
    <n v="0"/>
    <n v="0"/>
    <n v="0"/>
    <n v="0"/>
    <n v="57"/>
    <s v="CATIVO"/>
    <n v="0"/>
    <n v="23"/>
    <n v="0"/>
    <n v="0"/>
    <n v="28.57"/>
    <n v="0"/>
    <n v="0"/>
    <n v="31.93064187172984"/>
    <m/>
    <m/>
    <n v="16602.026999999998"/>
    <n v="0"/>
    <n v="18554.895991662208"/>
    <n v="0"/>
    <x v="1"/>
  </r>
  <r>
    <s v="Sistema Isolado - Regular"/>
    <x v="1"/>
    <x v="2"/>
    <x v="1"/>
    <x v="1"/>
    <x v="1"/>
    <x v="0"/>
    <x v="1"/>
    <x v="0"/>
    <n v="1536"/>
    <n v="1305.5999999999999"/>
    <n v="0"/>
    <n v="0"/>
    <n v="0"/>
    <n v="0"/>
    <n v="15"/>
    <s v="CATIVO"/>
    <n v="0"/>
    <n v="23"/>
    <n v="0"/>
    <n v="0"/>
    <n v="28.57"/>
    <n v="0"/>
    <n v="0"/>
    <n v="31.93064187172984"/>
    <m/>
    <m/>
    <n v="6582.528000000003"/>
    <n v="0"/>
    <n v="7356.8198872465582"/>
    <n v="0"/>
    <x v="1"/>
  </r>
  <r>
    <s v="Regular"/>
    <x v="1"/>
    <x v="2"/>
    <x v="1"/>
    <x v="1"/>
    <x v="1"/>
    <x v="0"/>
    <x v="1"/>
    <x v="1"/>
    <n v="3837"/>
    <n v="3261.45"/>
    <n v="0"/>
    <n v="0"/>
    <n v="0"/>
    <n v="0"/>
    <n v="57"/>
    <s v="CATIVO"/>
    <n v="0"/>
    <n v="23"/>
    <n v="0"/>
    <n v="0"/>
    <n v="28.57"/>
    <n v="0"/>
    <n v="0"/>
    <n v="31.93064187172984"/>
    <m/>
    <m/>
    <n v="16443.463500000005"/>
    <n v="0"/>
    <n v="18377.680929274116"/>
    <n v="0"/>
    <x v="1"/>
  </r>
  <r>
    <s v="Sistema Isolado - Regular"/>
    <x v="1"/>
    <x v="2"/>
    <x v="1"/>
    <x v="1"/>
    <x v="1"/>
    <x v="0"/>
    <x v="1"/>
    <x v="1"/>
    <n v="1522"/>
    <n v="1293.7"/>
    <n v="0"/>
    <n v="0"/>
    <n v="0"/>
    <n v="0"/>
    <n v="15"/>
    <s v="CATIVO"/>
    <n v="0"/>
    <n v="23"/>
    <n v="0"/>
    <n v="0"/>
    <n v="28.57"/>
    <n v="0"/>
    <n v="0"/>
    <n v="31.93064187172984"/>
    <m/>
    <m/>
    <n v="6522.530999999999"/>
    <n v="0"/>
    <n v="7289.7655393159212"/>
    <n v="0"/>
    <x v="1"/>
  </r>
  <r>
    <s v="Regular"/>
    <x v="1"/>
    <x v="2"/>
    <x v="1"/>
    <x v="1"/>
    <x v="1"/>
    <x v="0"/>
    <x v="1"/>
    <x v="2"/>
    <n v="3923"/>
    <n v="3334.5499999999997"/>
    <n v="0"/>
    <n v="0"/>
    <n v="0"/>
    <n v="0"/>
    <n v="57"/>
    <s v="CATIVO"/>
    <n v="0"/>
    <n v="23"/>
    <n v="0"/>
    <n v="0"/>
    <n v="28.57"/>
    <n v="0"/>
    <n v="0"/>
    <n v="31.93064187172984"/>
    <m/>
    <m/>
    <n v="16812.016500000009"/>
    <n v="0"/>
    <n v="18789.586209419434"/>
    <n v="0"/>
    <x v="1"/>
  </r>
  <r>
    <s v="Sistema Isolado - Regular"/>
    <x v="1"/>
    <x v="2"/>
    <x v="1"/>
    <x v="1"/>
    <x v="1"/>
    <x v="0"/>
    <x v="1"/>
    <x v="2"/>
    <n v="1560"/>
    <n v="1326"/>
    <n v="0"/>
    <n v="0"/>
    <n v="0"/>
    <n v="0"/>
    <n v="15"/>
    <s v="CATIVO"/>
    <n v="0"/>
    <n v="23"/>
    <n v="0"/>
    <n v="0"/>
    <n v="28.57"/>
    <n v="0"/>
    <n v="0"/>
    <n v="31.93064187172984"/>
    <m/>
    <m/>
    <n v="6685.38"/>
    <n v="0"/>
    <n v="7471.7701979847825"/>
    <n v="0"/>
    <x v="1"/>
  </r>
  <r>
    <s v="Regular"/>
    <x v="1"/>
    <x v="2"/>
    <x v="1"/>
    <x v="1"/>
    <x v="1"/>
    <x v="0"/>
    <x v="1"/>
    <x v="3"/>
    <n v="3867"/>
    <n v="3286.95"/>
    <n v="0"/>
    <n v="0"/>
    <n v="0"/>
    <n v="0"/>
    <n v="56"/>
    <s v="CATIVO"/>
    <n v="0"/>
    <n v="23"/>
    <n v="0"/>
    <n v="0"/>
    <n v="28.57"/>
    <n v="0"/>
    <n v="0"/>
    <n v="31.93064187172984"/>
    <m/>
    <m/>
    <n v="16572.028500000004"/>
    <n v="0"/>
    <n v="18521.368817696901"/>
    <n v="0"/>
    <x v="1"/>
  </r>
  <r>
    <s v="Sistema Isolado - Regular"/>
    <x v="1"/>
    <x v="2"/>
    <x v="1"/>
    <x v="1"/>
    <x v="1"/>
    <x v="0"/>
    <x v="1"/>
    <x v="3"/>
    <n v="1554"/>
    <n v="1320.8999999999999"/>
    <n v="0"/>
    <n v="0"/>
    <n v="0"/>
    <n v="0"/>
    <n v="15"/>
    <s v="CATIVO"/>
    <n v="0"/>
    <n v="23"/>
    <n v="0"/>
    <n v="0"/>
    <n v="28.57"/>
    <n v="0"/>
    <n v="0"/>
    <n v="31.93064187172984"/>
    <m/>
    <m/>
    <n v="6659.667000000004"/>
    <n v="0"/>
    <n v="7443.0326203002296"/>
    <n v="0"/>
    <x v="1"/>
  </r>
  <r>
    <s v="Regular"/>
    <x v="1"/>
    <x v="2"/>
    <x v="1"/>
    <x v="1"/>
    <x v="1"/>
    <x v="0"/>
    <x v="1"/>
    <x v="4"/>
    <n v="4059"/>
    <n v="3450.15"/>
    <n v="0"/>
    <n v="0"/>
    <n v="0"/>
    <n v="0"/>
    <n v="59"/>
    <s v="CATIVO"/>
    <n v="0"/>
    <n v="23"/>
    <n v="0"/>
    <n v="0"/>
    <n v="28.57"/>
    <n v="0"/>
    <n v="0"/>
    <n v="31.93064187172984"/>
    <m/>
    <m/>
    <n v="17394.844499999999"/>
    <n v="0"/>
    <n v="19440.97130360271"/>
    <n v="0"/>
    <x v="1"/>
  </r>
  <r>
    <s v="Sistema Isolado - Regular"/>
    <x v="1"/>
    <x v="2"/>
    <x v="1"/>
    <x v="1"/>
    <x v="1"/>
    <x v="0"/>
    <x v="1"/>
    <x v="4"/>
    <n v="1516"/>
    <n v="1288.5999999999999"/>
    <n v="0"/>
    <n v="0"/>
    <n v="0"/>
    <n v="0"/>
    <n v="15"/>
    <s v="CATIVO"/>
    <n v="0"/>
    <n v="23"/>
    <n v="0"/>
    <n v="0"/>
    <n v="28.57"/>
    <n v="0"/>
    <n v="0"/>
    <n v="31.93064187172984"/>
    <m/>
    <m/>
    <n v="6496.8180000000029"/>
    <n v="0"/>
    <n v="7261.0279616313683"/>
    <n v="0"/>
    <x v="1"/>
  </r>
  <r>
    <s v="Regular"/>
    <x v="1"/>
    <x v="2"/>
    <x v="1"/>
    <x v="1"/>
    <x v="1"/>
    <x v="0"/>
    <x v="1"/>
    <x v="5"/>
    <n v="3935"/>
    <n v="3344.75"/>
    <n v="0"/>
    <n v="0"/>
    <n v="0"/>
    <n v="0"/>
    <n v="57"/>
    <s v="CATIVO"/>
    <n v="0"/>
    <n v="23"/>
    <n v="0"/>
    <n v="0"/>
    <n v="28.57"/>
    <n v="0"/>
    <n v="0"/>
    <n v="31.93064187172984"/>
    <m/>
    <m/>
    <n v="16863.442500000001"/>
    <n v="0"/>
    <n v="18847.061364788537"/>
    <n v="0"/>
    <x v="1"/>
  </r>
  <r>
    <s v="Refaturamento - Regular"/>
    <x v="1"/>
    <x v="2"/>
    <x v="1"/>
    <x v="1"/>
    <x v="1"/>
    <x v="0"/>
    <x v="1"/>
    <x v="5"/>
    <n v="-95"/>
    <n v="-80.75"/>
    <n v="0"/>
    <n v="0"/>
    <n v="0"/>
    <n v="0"/>
    <n v="0"/>
    <s v="CATIVO"/>
    <n v="0"/>
    <n v="23"/>
    <n v="0"/>
    <n v="0"/>
    <n v="28.57"/>
    <n v="0"/>
    <n v="0"/>
    <n v="31.93064187172984"/>
    <m/>
    <m/>
    <n v="-407.1225"/>
    <n v="0"/>
    <n v="-455.01164667215022"/>
    <n v="0"/>
    <x v="1"/>
  </r>
  <r>
    <s v="Sistema Isolado - Regular"/>
    <x v="1"/>
    <x v="2"/>
    <x v="1"/>
    <x v="1"/>
    <x v="1"/>
    <x v="0"/>
    <x v="1"/>
    <x v="5"/>
    <n v="1563"/>
    <n v="1328.55"/>
    <n v="0"/>
    <n v="0"/>
    <n v="0"/>
    <n v="0"/>
    <n v="16"/>
    <s v="CATIVO"/>
    <n v="0"/>
    <n v="23"/>
    <n v="0"/>
    <n v="0"/>
    <n v="28.57"/>
    <n v="0"/>
    <n v="0"/>
    <n v="31.93064187172984"/>
    <m/>
    <m/>
    <n v="6698.2365000000018"/>
    <n v="0"/>
    <n v="7486.1389868270626"/>
    <n v="0"/>
    <x v="1"/>
  </r>
  <r>
    <s v="Regular"/>
    <x v="1"/>
    <x v="2"/>
    <x v="1"/>
    <x v="1"/>
    <x v="1"/>
    <x v="0"/>
    <x v="1"/>
    <x v="6"/>
    <n v="3765"/>
    <n v="3200.25"/>
    <n v="0"/>
    <n v="0"/>
    <n v="0"/>
    <n v="0"/>
    <n v="57"/>
    <s v="CATIVO"/>
    <n v="0"/>
    <n v="23"/>
    <n v="0"/>
    <n v="0"/>
    <n v="28.57"/>
    <n v="0"/>
    <n v="0"/>
    <n v="31.93064187172984"/>
    <m/>
    <m/>
    <n v="16134.907499999999"/>
    <n v="0"/>
    <n v="18032.829997059427"/>
    <n v="0"/>
    <x v="1"/>
  </r>
  <r>
    <s v="Sistema Isolado - Regular"/>
    <x v="1"/>
    <x v="2"/>
    <x v="1"/>
    <x v="1"/>
    <x v="1"/>
    <x v="0"/>
    <x v="1"/>
    <x v="6"/>
    <n v="1757"/>
    <n v="1493.45"/>
    <n v="0"/>
    <n v="0"/>
    <n v="0"/>
    <n v="0"/>
    <n v="18"/>
    <s v="CATIVO"/>
    <n v="0"/>
    <n v="23"/>
    <n v="0"/>
    <n v="0"/>
    <n v="28.57"/>
    <n v="0"/>
    <n v="0"/>
    <n v="31.93064187172984"/>
    <m/>
    <m/>
    <n v="7529.6234999999988"/>
    <n v="0"/>
    <n v="8415.3206652943973"/>
    <n v="0"/>
    <x v="1"/>
  </r>
  <r>
    <s v="Sistema Isolado - Refaturamento"/>
    <x v="1"/>
    <x v="2"/>
    <x v="1"/>
    <x v="1"/>
    <x v="1"/>
    <x v="0"/>
    <x v="1"/>
    <x v="6"/>
    <n v="1800"/>
    <n v="1530"/>
    <n v="0"/>
    <n v="0"/>
    <n v="0"/>
    <n v="0"/>
    <n v="0"/>
    <s v="CATIVO"/>
    <n v="0"/>
    <n v="23"/>
    <n v="0"/>
    <n v="0"/>
    <n v="28.57"/>
    <n v="0"/>
    <n v="0"/>
    <n v="31.93064187172984"/>
    <m/>
    <m/>
    <n v="7713.9"/>
    <n v="0"/>
    <n v="8621.2733053670563"/>
    <n v="0"/>
    <x v="1"/>
  </r>
  <r>
    <s v="Regular"/>
    <x v="1"/>
    <x v="2"/>
    <x v="1"/>
    <x v="1"/>
    <x v="1"/>
    <x v="0"/>
    <x v="1"/>
    <x v="7"/>
    <n v="3917"/>
    <n v="3329.45"/>
    <n v="0"/>
    <n v="0"/>
    <n v="0"/>
    <n v="0"/>
    <n v="56"/>
    <s v="CATIVO"/>
    <n v="0"/>
    <n v="23"/>
    <n v="0"/>
    <n v="0"/>
    <n v="28.57"/>
    <n v="0"/>
    <n v="0"/>
    <n v="31.93064187172984"/>
    <m/>
    <m/>
    <n v="16786.303500000005"/>
    <n v="0"/>
    <n v="18760.848631734872"/>
    <n v="0"/>
    <x v="1"/>
  </r>
  <r>
    <s v="Sistema Isolado - Regular"/>
    <x v="1"/>
    <x v="2"/>
    <x v="1"/>
    <x v="1"/>
    <x v="1"/>
    <x v="0"/>
    <x v="1"/>
    <x v="7"/>
    <n v="1969"/>
    <n v="1673.6499999999999"/>
    <n v="0"/>
    <n v="0"/>
    <n v="0"/>
    <n v="0"/>
    <n v="18"/>
    <s v="CATIVO"/>
    <n v="0"/>
    <n v="23"/>
    <n v="0"/>
    <n v="0"/>
    <n v="28.57"/>
    <n v="0"/>
    <n v="0"/>
    <n v="31.93064187172984"/>
    <m/>
    <m/>
    <n v="8438.1495000000032"/>
    <n v="0"/>
    <n v="9430.7150768154133"/>
    <n v="0"/>
    <x v="1"/>
  </r>
  <r>
    <s v="Regular"/>
    <x v="1"/>
    <x v="2"/>
    <x v="1"/>
    <x v="1"/>
    <x v="1"/>
    <x v="0"/>
    <x v="1"/>
    <x v="8"/>
    <n v="3911"/>
    <n v="3324.35"/>
    <n v="0"/>
    <n v="0"/>
    <n v="0"/>
    <n v="0"/>
    <n v="56"/>
    <s v="CATIVO"/>
    <n v="0"/>
    <n v="23"/>
    <n v="0"/>
    <n v="0"/>
    <n v="28.57"/>
    <n v="0"/>
    <n v="0"/>
    <n v="31.93064187172984"/>
    <m/>
    <m/>
    <n v="16760.590500000002"/>
    <n v="0"/>
    <n v="18732.111054050314"/>
    <n v="0"/>
    <x v="1"/>
  </r>
  <r>
    <s v="Sistema Isolado - Regular"/>
    <x v="1"/>
    <x v="2"/>
    <x v="1"/>
    <x v="1"/>
    <x v="1"/>
    <x v="0"/>
    <x v="1"/>
    <x v="8"/>
    <n v="1810"/>
    <n v="1538.5"/>
    <n v="0"/>
    <n v="0"/>
    <n v="0"/>
    <n v="0"/>
    <n v="18"/>
    <s v="CATIVO"/>
    <n v="0"/>
    <n v="23"/>
    <n v="0"/>
    <n v="0"/>
    <n v="28.57"/>
    <n v="0"/>
    <n v="0"/>
    <n v="31.93064187172984"/>
    <m/>
    <m/>
    <n v="7756.7550000000001"/>
    <n v="0"/>
    <n v="8669.1692681746517"/>
    <n v="0"/>
    <x v="1"/>
  </r>
  <r>
    <s v="Regular"/>
    <x v="1"/>
    <x v="2"/>
    <x v="1"/>
    <x v="1"/>
    <x v="1"/>
    <x v="0"/>
    <x v="1"/>
    <x v="9"/>
    <n v="3903"/>
    <n v="3317.5499999999997"/>
    <n v="0"/>
    <n v="0"/>
    <n v="0"/>
    <n v="0"/>
    <n v="56"/>
    <s v="CATIVO"/>
    <n v="0"/>
    <n v="23"/>
    <n v="0"/>
    <n v="0"/>
    <n v="28.57"/>
    <n v="0"/>
    <n v="0"/>
    <n v="31.93064187172984"/>
    <m/>
    <m/>
    <n v="16726.30650000001"/>
    <n v="0"/>
    <n v="18693.794283804244"/>
    <n v="0"/>
    <x v="1"/>
  </r>
  <r>
    <s v="Sistema Isolado - Regular"/>
    <x v="1"/>
    <x v="2"/>
    <x v="1"/>
    <x v="1"/>
    <x v="1"/>
    <x v="0"/>
    <x v="1"/>
    <x v="9"/>
    <n v="1974"/>
    <n v="1677.8999999999999"/>
    <n v="0"/>
    <n v="0"/>
    <n v="0"/>
    <n v="0"/>
    <n v="18"/>
    <s v="CATIVO"/>
    <n v="0"/>
    <n v="23"/>
    <n v="0"/>
    <n v="0"/>
    <n v="28.57"/>
    <n v="0"/>
    <n v="0"/>
    <n v="31.93064187172984"/>
    <m/>
    <m/>
    <n v="8459.5770000000048"/>
    <n v="0"/>
    <n v="9454.6630582192101"/>
    <n v="0"/>
    <x v="1"/>
  </r>
  <r>
    <s v="Regular"/>
    <x v="1"/>
    <x v="2"/>
    <x v="1"/>
    <x v="1"/>
    <x v="1"/>
    <x v="0"/>
    <x v="1"/>
    <x v="10"/>
    <n v="3576"/>
    <n v="3039.6"/>
    <n v="0"/>
    <n v="0"/>
    <n v="0"/>
    <n v="0"/>
    <n v="53"/>
    <s v="CATIVO"/>
    <n v="0"/>
    <n v="23"/>
    <n v="0"/>
    <n v="0"/>
    <n v="28.57"/>
    <n v="0"/>
    <n v="0"/>
    <n v="31.93064187172984"/>
    <m/>
    <m/>
    <n v="15324.948000000002"/>
    <n v="0"/>
    <n v="17127.59629999589"/>
    <n v="0"/>
    <x v="1"/>
  </r>
  <r>
    <s v="Sistema Isolado - Regular"/>
    <x v="1"/>
    <x v="2"/>
    <x v="1"/>
    <x v="1"/>
    <x v="1"/>
    <x v="0"/>
    <x v="1"/>
    <x v="10"/>
    <n v="1879"/>
    <n v="1597.1499999999999"/>
    <n v="0"/>
    <n v="0"/>
    <n v="0"/>
    <n v="0"/>
    <n v="18"/>
    <s v="CATIVO"/>
    <n v="0"/>
    <n v="23"/>
    <n v="0"/>
    <n v="0"/>
    <n v="28.57"/>
    <n v="0"/>
    <n v="0"/>
    <n v="31.93064187172984"/>
    <m/>
    <m/>
    <n v="8052.4545000000044"/>
    <n v="0"/>
    <n v="8999.65141154706"/>
    <n v="0"/>
    <x v="1"/>
  </r>
  <r>
    <s v="PROJETADO"/>
    <x v="1"/>
    <x v="2"/>
    <x v="1"/>
    <x v="1"/>
    <x v="1"/>
    <x v="0"/>
    <x v="1"/>
    <x v="11"/>
    <n v="3576"/>
    <n v="3039.6"/>
    <n v="0"/>
    <n v="0"/>
    <n v="0"/>
    <n v="0"/>
    <n v="53"/>
    <s v="CATIVO"/>
    <n v="0"/>
    <n v="23"/>
    <n v="0"/>
    <n v="0"/>
    <n v="28.57"/>
    <n v="0"/>
    <n v="0"/>
    <n v="31.93064187172984"/>
    <m/>
    <m/>
    <n v="15324.948000000002"/>
    <n v="0"/>
    <n v="17127.59629999589"/>
    <n v="0"/>
    <x v="1"/>
  </r>
  <r>
    <s v="PROJETADO"/>
    <x v="1"/>
    <x v="2"/>
    <x v="1"/>
    <x v="1"/>
    <x v="1"/>
    <x v="0"/>
    <x v="1"/>
    <x v="11"/>
    <n v="1879"/>
    <n v="1597.1499999999999"/>
    <n v="0"/>
    <n v="0"/>
    <n v="0"/>
    <n v="0"/>
    <n v="18"/>
    <s v="CATIVO"/>
    <n v="0"/>
    <n v="23"/>
    <n v="0"/>
    <n v="0"/>
    <n v="28.57"/>
    <n v="0"/>
    <n v="0"/>
    <n v="31.93064187172984"/>
    <m/>
    <m/>
    <n v="8052.4545000000044"/>
    <n v="0"/>
    <n v="8999.65141154706"/>
    <n v="0"/>
    <x v="1"/>
  </r>
  <r>
    <s v="Regular"/>
    <x v="1"/>
    <x v="2"/>
    <x v="1"/>
    <x v="1"/>
    <x v="1"/>
    <x v="0"/>
    <x v="2"/>
    <x v="0"/>
    <n v="0"/>
    <n v="0"/>
    <n v="121.384"/>
    <n v="110.45944"/>
    <n v="121.384"/>
    <n v="110.45944"/>
    <n v="0"/>
    <s v="CATIVO"/>
    <n v="0"/>
    <n v="0"/>
    <n v="24"/>
    <n v="66"/>
    <n v="0"/>
    <n v="1434.79"/>
    <n v="389.28"/>
    <m/>
    <n v="1501.8340703569011"/>
    <n v="454.3285679284046"/>
    <n v="0"/>
    <n v="19927.162159199997"/>
    <n v="0"/>
    <n v="21370.216111706119"/>
    <x v="1"/>
  </r>
  <r>
    <s v="Sistema Isolado - Regular"/>
    <x v="1"/>
    <x v="2"/>
    <x v="1"/>
    <x v="1"/>
    <x v="1"/>
    <x v="0"/>
    <x v="2"/>
    <x v="0"/>
    <n v="0"/>
    <n v="0"/>
    <n v="83.113"/>
    <n v="75.632829999999998"/>
    <n v="83.113"/>
    <n v="75.632829999999998"/>
    <n v="0"/>
    <s v="CATIVO"/>
    <n v="0"/>
    <n v="0"/>
    <n v="24"/>
    <n v="66"/>
    <n v="0"/>
    <n v="1434.79"/>
    <n v="389.28"/>
    <m/>
    <n v="1501.8340703569011"/>
    <n v="454.3285679284046"/>
    <n v="0"/>
    <n v="13644.353691900002"/>
    <n v="0"/>
    <n v="14632.429082022598"/>
    <x v="1"/>
  </r>
  <r>
    <s v="Regular"/>
    <x v="1"/>
    <x v="2"/>
    <x v="1"/>
    <x v="1"/>
    <x v="1"/>
    <x v="0"/>
    <x v="2"/>
    <x v="1"/>
    <n v="0"/>
    <n v="0"/>
    <n v="132.047"/>
    <n v="120.16276999999999"/>
    <n v="132.047"/>
    <n v="120.16276999999999"/>
    <n v="0"/>
    <s v="CATIVO"/>
    <n v="0"/>
    <n v="0"/>
    <n v="24"/>
    <n v="66"/>
    <n v="0"/>
    <n v="1434.79"/>
    <n v="389.28"/>
    <m/>
    <n v="1501.8340703569011"/>
    <n v="454.3285679284046"/>
    <n v="0"/>
    <n v="21677.667416100005"/>
    <n v="0"/>
    <n v="23247.486710789384"/>
    <x v="1"/>
  </r>
  <r>
    <s v="Sistema Isolado - Regular"/>
    <x v="1"/>
    <x v="2"/>
    <x v="1"/>
    <x v="1"/>
    <x v="1"/>
    <x v="0"/>
    <x v="2"/>
    <x v="1"/>
    <n v="0"/>
    <n v="0"/>
    <n v="87.962000000000003"/>
    <n v="80.045420000000007"/>
    <n v="87.962000000000003"/>
    <n v="80.045420000000007"/>
    <n v="0"/>
    <s v="CATIVO"/>
    <n v="0"/>
    <n v="0"/>
    <n v="24"/>
    <n v="66"/>
    <n v="0"/>
    <n v="1434.79"/>
    <n v="389.28"/>
    <m/>
    <n v="1501.8340703569011"/>
    <n v="454.3285679284046"/>
    <n v="0"/>
    <n v="14440.396080599992"/>
    <n v="0"/>
    <n v="15486.118018996678"/>
    <x v="1"/>
  </r>
  <r>
    <s v="Regular"/>
    <x v="1"/>
    <x v="2"/>
    <x v="1"/>
    <x v="1"/>
    <x v="1"/>
    <x v="0"/>
    <x v="2"/>
    <x v="2"/>
    <n v="0"/>
    <n v="0"/>
    <n v="122.212"/>
    <n v="111.21292000000001"/>
    <n v="122.212"/>
    <n v="111.21292000000001"/>
    <n v="0"/>
    <s v="CATIVO"/>
    <n v="0"/>
    <n v="0"/>
    <n v="24"/>
    <n v="66"/>
    <n v="0"/>
    <n v="1434.79"/>
    <n v="389.28"/>
    <m/>
    <n v="1501.8340703569011"/>
    <n v="454.3285679284046"/>
    <n v="0"/>
    <n v="20063.091855599985"/>
    <n v="0"/>
    <n v="21515.989351511125"/>
    <x v="1"/>
  </r>
  <r>
    <s v="Sistema Isolado - Regular"/>
    <x v="1"/>
    <x v="2"/>
    <x v="1"/>
    <x v="1"/>
    <x v="1"/>
    <x v="0"/>
    <x v="2"/>
    <x v="2"/>
    <n v="0"/>
    <n v="0"/>
    <n v="87.938000000000002"/>
    <n v="80.02358000000001"/>
    <n v="87.938000000000002"/>
    <n v="80.02358000000001"/>
    <n v="0"/>
    <s v="CATIVO"/>
    <n v="0"/>
    <n v="0"/>
    <n v="24"/>
    <n v="66"/>
    <n v="0"/>
    <n v="1434.79"/>
    <n v="389.28"/>
    <m/>
    <n v="1501.8340703569011"/>
    <n v="454.3285679284046"/>
    <n v="0"/>
    <n v="14436.456089399984"/>
    <n v="0"/>
    <n v="15481.892707697974"/>
    <x v="1"/>
  </r>
  <r>
    <s v="Regular"/>
    <x v="1"/>
    <x v="2"/>
    <x v="1"/>
    <x v="1"/>
    <x v="1"/>
    <x v="0"/>
    <x v="2"/>
    <x v="3"/>
    <n v="0"/>
    <n v="0"/>
    <n v="113.482"/>
    <n v="103.26862"/>
    <n v="113.482"/>
    <n v="103.26862"/>
    <n v="0"/>
    <s v="CATIVO"/>
    <n v="0"/>
    <n v="0"/>
    <n v="24"/>
    <n v="66"/>
    <n v="0"/>
    <n v="1434.79"/>
    <n v="389.28"/>
    <m/>
    <n v="1501.8340703569011"/>
    <n v="454.3285679284046"/>
    <n v="0"/>
    <n v="18629.9200566"/>
    <n v="0"/>
    <n v="19979.032366610376"/>
    <x v="1"/>
  </r>
  <r>
    <s v="Sistema Isolado - Regular"/>
    <x v="1"/>
    <x v="2"/>
    <x v="1"/>
    <x v="1"/>
    <x v="1"/>
    <x v="0"/>
    <x v="2"/>
    <x v="3"/>
    <n v="0"/>
    <n v="0"/>
    <n v="79.055999999999997"/>
    <n v="71.940960000000004"/>
    <n v="79.055999999999997"/>
    <n v="71.940960000000004"/>
    <n v="0"/>
    <s v="CATIVO"/>
    <n v="0"/>
    <n v="0"/>
    <n v="24"/>
    <n v="66"/>
    <n v="0"/>
    <n v="1434.79"/>
    <n v="389.28"/>
    <m/>
    <n v="1501.8340703569011"/>
    <n v="454.3285679284046"/>
    <n v="0"/>
    <n v="12978.331012799987"/>
    <n v="0"/>
    <n v="13918.175417905468"/>
    <x v="1"/>
  </r>
  <r>
    <s v="Regular"/>
    <x v="1"/>
    <x v="2"/>
    <x v="1"/>
    <x v="1"/>
    <x v="1"/>
    <x v="0"/>
    <x v="2"/>
    <x v="4"/>
    <n v="0"/>
    <n v="0"/>
    <n v="135.04"/>
    <n v="122.88639999999999"/>
    <n v="135.04"/>
    <n v="122.88639999999999"/>
    <n v="0"/>
    <s v="CATIVO"/>
    <n v="0"/>
    <n v="0"/>
    <n v="24"/>
    <n v="66"/>
    <n v="0"/>
    <n v="1434.79"/>
    <n v="389.28"/>
    <m/>
    <n v="1501.8340703569011"/>
    <n v="454.3285679284046"/>
    <n v="0"/>
    <n v="22169.017151999993"/>
    <n v="0"/>
    <n v="23774.418240664287"/>
    <x v="1"/>
  </r>
  <r>
    <s v="Sistema Isolado - Regular"/>
    <x v="1"/>
    <x v="2"/>
    <x v="1"/>
    <x v="1"/>
    <x v="1"/>
    <x v="0"/>
    <x v="2"/>
    <x v="4"/>
    <n v="0"/>
    <n v="0"/>
    <n v="82.153999999999996"/>
    <n v="74.760139999999993"/>
    <n v="82.153999999999996"/>
    <n v="74.760139999999993"/>
    <n v="0"/>
    <s v="CATIVO"/>
    <n v="0"/>
    <n v="0"/>
    <n v="24"/>
    <n v="66"/>
    <n v="0"/>
    <n v="1434.79"/>
    <n v="389.28"/>
    <m/>
    <n v="1501.8340703569011"/>
    <n v="454.3285679284046"/>
    <n v="0"/>
    <n v="13486.918210200005"/>
    <n v="0"/>
    <n v="14463.592684712195"/>
    <x v="1"/>
  </r>
  <r>
    <s v="Regular"/>
    <x v="1"/>
    <x v="2"/>
    <x v="1"/>
    <x v="1"/>
    <x v="1"/>
    <x v="0"/>
    <x v="2"/>
    <x v="5"/>
    <n v="0"/>
    <n v="0"/>
    <n v="110.995"/>
    <n v="101.00545000000001"/>
    <n v="110.995"/>
    <n v="101.00545000000001"/>
    <n v="0"/>
    <s v="CATIVO"/>
    <n v="0"/>
    <n v="0"/>
    <n v="24"/>
    <n v="66"/>
    <n v="0"/>
    <n v="1434.79"/>
    <n v="389.28"/>
    <m/>
    <n v="1501.8340703569011"/>
    <n v="454.3285679284046"/>
    <n v="0"/>
    <n v="18221.63846849999"/>
    <n v="0"/>
    <n v="19541.184483282963"/>
    <x v="1"/>
  </r>
  <r>
    <s v="Sistema Isolado - Regular"/>
    <x v="1"/>
    <x v="2"/>
    <x v="1"/>
    <x v="1"/>
    <x v="1"/>
    <x v="0"/>
    <x v="2"/>
    <x v="5"/>
    <n v="0"/>
    <n v="0"/>
    <n v="84.238"/>
    <n v="76.656580000000005"/>
    <n v="84.238"/>
    <n v="76.656580000000005"/>
    <n v="0"/>
    <s v="CATIVO"/>
    <n v="0"/>
    <n v="0"/>
    <n v="24"/>
    <n v="66"/>
    <n v="0"/>
    <n v="1434.79"/>
    <n v="389.28"/>
    <m/>
    <n v="1501.8340703569011"/>
    <n v="454.3285679284046"/>
    <n v="0"/>
    <n v="13829.040779399989"/>
    <n v="0"/>
    <n v="14830.49054914897"/>
    <x v="1"/>
  </r>
  <r>
    <s v="Regular"/>
    <x v="1"/>
    <x v="2"/>
    <x v="1"/>
    <x v="1"/>
    <x v="1"/>
    <x v="0"/>
    <x v="2"/>
    <x v="6"/>
    <n v="0"/>
    <n v="0"/>
    <n v="122.526"/>
    <n v="111.49866"/>
    <n v="122.526"/>
    <n v="111.49866"/>
    <n v="0"/>
    <s v="CATIVO"/>
    <n v="0"/>
    <n v="0"/>
    <n v="24"/>
    <n v="66"/>
    <n v="0"/>
    <n v="1434.79"/>
    <n v="389.28"/>
    <m/>
    <n v="1501.8340703569011"/>
    <n v="454.3285679284046"/>
    <n v="0"/>
    <n v="20114.64007379999"/>
    <n v="0"/>
    <n v="21571.270507669076"/>
    <x v="1"/>
  </r>
  <r>
    <s v="Sistema Isolado - Regular"/>
    <x v="1"/>
    <x v="2"/>
    <x v="1"/>
    <x v="1"/>
    <x v="1"/>
    <x v="0"/>
    <x v="2"/>
    <x v="6"/>
    <n v="0"/>
    <n v="0"/>
    <n v="89.659000000000006"/>
    <n v="81.589690000000004"/>
    <n v="89.659000000000006"/>
    <n v="81.589690000000004"/>
    <n v="0"/>
    <s v="CATIVO"/>
    <n v="0"/>
    <n v="0"/>
    <n v="24"/>
    <n v="66"/>
    <n v="0"/>
    <n v="1434.79"/>
    <n v="389.28"/>
    <m/>
    <n v="1501.8340703569011"/>
    <n v="454.3285679284046"/>
    <n v="0"/>
    <n v="14718.986291700003"/>
    <n v="0"/>
    <n v="15784.882738742002"/>
    <x v="1"/>
  </r>
  <r>
    <s v="Sistema Isolado - Refaturamento"/>
    <x v="1"/>
    <x v="2"/>
    <x v="1"/>
    <x v="1"/>
    <x v="1"/>
    <x v="0"/>
    <x v="2"/>
    <x v="6"/>
    <n v="0"/>
    <n v="0"/>
    <n v="14.61"/>
    <n v="13.2951"/>
    <n v="14.61"/>
    <n v="13.2951"/>
    <n v="0"/>
    <s v="CATIVO"/>
    <n v="0"/>
    <n v="0"/>
    <n v="24"/>
    <n v="66"/>
    <n v="0"/>
    <n v="1434.79"/>
    <n v="389.28"/>
    <m/>
    <n v="1501.8340703569011"/>
    <n v="454.3285679284046"/>
    <n v="0"/>
    <n v="2398.4696429999995"/>
    <n v="0"/>
    <n v="2572.158253081348"/>
    <x v="1"/>
  </r>
  <r>
    <s v="Regular"/>
    <x v="1"/>
    <x v="2"/>
    <x v="1"/>
    <x v="1"/>
    <x v="1"/>
    <x v="0"/>
    <x v="2"/>
    <x v="7"/>
    <n v="0"/>
    <n v="0"/>
    <n v="122.699"/>
    <n v="111.65609000000001"/>
    <n v="122.699"/>
    <n v="111.65609000000001"/>
    <n v="0"/>
    <s v="CATIVO"/>
    <n v="0"/>
    <n v="0"/>
    <n v="24"/>
    <n v="66"/>
    <n v="0"/>
    <n v="1434.79"/>
    <n v="389.28"/>
    <m/>
    <n v="1501.8340703569011"/>
    <n v="454.3285679284046"/>
    <n v="0"/>
    <n v="20143.040843699986"/>
    <n v="0"/>
    <n v="21601.727959947169"/>
    <x v="1"/>
  </r>
  <r>
    <s v="Sistema Isolado - Regular"/>
    <x v="1"/>
    <x v="2"/>
    <x v="1"/>
    <x v="1"/>
    <x v="1"/>
    <x v="0"/>
    <x v="2"/>
    <x v="7"/>
    <n v="0"/>
    <n v="0"/>
    <n v="92.828999999999994"/>
    <n v="84.47439"/>
    <n v="92.828999999999994"/>
    <n v="84.47439"/>
    <n v="0"/>
    <s v="CATIVO"/>
    <n v="0"/>
    <n v="0"/>
    <n v="24"/>
    <n v="66"/>
    <n v="0"/>
    <n v="1434.79"/>
    <n v="389.28"/>
    <m/>
    <n v="1501.8340703569011"/>
    <n v="454.3285679284046"/>
    <n v="0"/>
    <n v="15239.393462699989"/>
    <n v="0"/>
    <n v="16342.975939444785"/>
    <x v="1"/>
  </r>
  <r>
    <s v="Regular"/>
    <x v="1"/>
    <x v="2"/>
    <x v="1"/>
    <x v="1"/>
    <x v="1"/>
    <x v="0"/>
    <x v="2"/>
    <x v="8"/>
    <n v="0"/>
    <n v="0"/>
    <n v="137.31800000000001"/>
    <n v="124.95938"/>
    <n v="137.31800000000001"/>
    <n v="124.95938"/>
    <n v="0"/>
    <s v="CATIVO"/>
    <n v="0"/>
    <n v="0"/>
    <n v="24"/>
    <n v="66"/>
    <n v="0"/>
    <n v="1434.79"/>
    <n v="389.28"/>
    <m/>
    <n v="1501.8340703569011"/>
    <n v="454.3285679284046"/>
    <n v="0"/>
    <n v="22542.987983400028"/>
    <n v="0"/>
    <n v="24175.470704765576"/>
    <x v="1"/>
  </r>
  <r>
    <s v="Sistema Isolado - Regular"/>
    <x v="1"/>
    <x v="2"/>
    <x v="1"/>
    <x v="1"/>
    <x v="1"/>
    <x v="0"/>
    <x v="2"/>
    <x v="8"/>
    <n v="0"/>
    <n v="0"/>
    <n v="56.061999999999998"/>
    <n v="51.016419999999997"/>
    <n v="56.061999999999998"/>
    <n v="51.016419999999997"/>
    <n v="0"/>
    <s v="CATIVO"/>
    <n v="0"/>
    <n v="0"/>
    <n v="24"/>
    <n v="66"/>
    <n v="0"/>
    <n v="1434.79"/>
    <n v="389.28"/>
    <m/>
    <n v="1501.8340703569011"/>
    <n v="454.3285679284046"/>
    <n v="0"/>
    <n v="9203.4911106000018"/>
    <n v="0"/>
    <n v="9869.9750844795744"/>
    <x v="1"/>
  </r>
  <r>
    <s v="Regular"/>
    <x v="1"/>
    <x v="2"/>
    <x v="1"/>
    <x v="1"/>
    <x v="1"/>
    <x v="0"/>
    <x v="2"/>
    <x v="9"/>
    <n v="0"/>
    <n v="0"/>
    <n v="135.59299999999999"/>
    <n v="123.38963"/>
    <n v="135.59299999999999"/>
    <n v="123.38963"/>
    <n v="0"/>
    <s v="CATIVO"/>
    <n v="0"/>
    <n v="0"/>
    <n v="24"/>
    <n v="66"/>
    <n v="0"/>
    <n v="1434.79"/>
    <n v="389.28"/>
    <m/>
    <n v="1501.8340703569011"/>
    <n v="454.3285679284046"/>
    <n v="0"/>
    <n v="22259.801115899983"/>
    <n v="0"/>
    <n v="23871.776455171737"/>
    <x v="1"/>
  </r>
  <r>
    <s v="Sistema Isolado - Regular"/>
    <x v="1"/>
    <x v="2"/>
    <x v="1"/>
    <x v="1"/>
    <x v="1"/>
    <x v="0"/>
    <x v="2"/>
    <x v="9"/>
    <n v="0"/>
    <n v="0"/>
    <n v="54.485999999999997"/>
    <n v="49.582259999999998"/>
    <n v="54.485999999999997"/>
    <n v="49.582259999999998"/>
    <n v="0"/>
    <s v="CATIVO"/>
    <n v="0"/>
    <n v="0"/>
    <n v="24"/>
    <n v="66"/>
    <n v="0"/>
    <n v="1434.79"/>
    <n v="389.28"/>
    <m/>
    <n v="1501.8340703569011"/>
    <n v="454.3285679284046"/>
    <n v="0"/>
    <n v="8944.7650217999981"/>
    <n v="0"/>
    <n v="9592.5129758651819"/>
    <x v="1"/>
  </r>
  <r>
    <s v="Regular"/>
    <x v="1"/>
    <x v="2"/>
    <x v="1"/>
    <x v="1"/>
    <x v="1"/>
    <x v="0"/>
    <x v="2"/>
    <x v="10"/>
    <n v="0"/>
    <n v="0"/>
    <n v="106.461"/>
    <n v="96.879509999999996"/>
    <n v="106.461"/>
    <n v="96.879509999999996"/>
    <n v="0"/>
    <s v="CATIVO"/>
    <n v="0"/>
    <n v="0"/>
    <n v="24"/>
    <n v="66"/>
    <n v="0"/>
    <n v="1434.79"/>
    <n v="389.28"/>
    <m/>
    <n v="1501.8340703569011"/>
    <n v="454.3285679284046"/>
    <n v="0"/>
    <n v="17477.308464300004"/>
    <n v="0"/>
    <n v="18742.952757104278"/>
    <x v="1"/>
  </r>
  <r>
    <s v="Sistema Isolado - Regular"/>
    <x v="1"/>
    <x v="2"/>
    <x v="1"/>
    <x v="1"/>
    <x v="1"/>
    <x v="0"/>
    <x v="2"/>
    <x v="10"/>
    <n v="0"/>
    <n v="0"/>
    <n v="53.558"/>
    <n v="48.737780000000001"/>
    <n v="53.558"/>
    <n v="48.737780000000001"/>
    <n v="0"/>
    <s v="CATIVO"/>
    <n v="0"/>
    <n v="0"/>
    <n v="24"/>
    <n v="66"/>
    <n v="0"/>
    <n v="1434.79"/>
    <n v="389.28"/>
    <m/>
    <n v="1501.8340703569011"/>
    <n v="454.3285679284046"/>
    <n v="0"/>
    <n v="8792.4186953999979"/>
    <n v="0"/>
    <n v="9429.134272315594"/>
    <x v="1"/>
  </r>
  <r>
    <s v="PROJETADO"/>
    <x v="1"/>
    <x v="2"/>
    <x v="1"/>
    <x v="1"/>
    <x v="1"/>
    <x v="0"/>
    <x v="2"/>
    <x v="11"/>
    <n v="0"/>
    <n v="0"/>
    <n v="106.461"/>
    <n v="96.879509999999996"/>
    <n v="106.461"/>
    <n v="96.879509999999996"/>
    <n v="0"/>
    <s v="CATIVO"/>
    <n v="0"/>
    <n v="0"/>
    <n v="24"/>
    <n v="66"/>
    <n v="0"/>
    <n v="1434.79"/>
    <n v="389.28"/>
    <m/>
    <n v="1501.8340703569011"/>
    <n v="454.3285679284046"/>
    <n v="0"/>
    <n v="17477.308464300004"/>
    <n v="0"/>
    <n v="18742.952757104278"/>
    <x v="1"/>
  </r>
  <r>
    <s v="PROJETADO"/>
    <x v="1"/>
    <x v="2"/>
    <x v="1"/>
    <x v="1"/>
    <x v="1"/>
    <x v="0"/>
    <x v="2"/>
    <x v="11"/>
    <n v="0"/>
    <n v="0"/>
    <n v="53.558"/>
    <n v="48.737780000000001"/>
    <n v="53.558"/>
    <n v="48.737780000000001"/>
    <n v="0"/>
    <s v="CATIVO"/>
    <n v="0"/>
    <n v="0"/>
    <n v="24"/>
    <n v="66"/>
    <n v="0"/>
    <n v="1434.79"/>
    <n v="389.28"/>
    <m/>
    <n v="1501.8340703569011"/>
    <n v="454.3285679284046"/>
    <n v="0"/>
    <n v="8792.4186953999979"/>
    <n v="0"/>
    <n v="9429.134272315594"/>
    <x v="1"/>
  </r>
  <r>
    <s v="Regular"/>
    <x v="2"/>
    <x v="3"/>
    <x v="4"/>
    <x v="3"/>
    <x v="1"/>
    <x v="0"/>
    <x v="1"/>
    <x v="0"/>
    <n v="0"/>
    <n v="0"/>
    <n v="126656.876"/>
    <n v="126656.876"/>
    <n v="126656.876"/>
    <n v="126656.876"/>
    <n v="519289"/>
    <s v="CATIVO"/>
    <n v="0"/>
    <n v="0"/>
    <n v="13"/>
    <n v="58"/>
    <n v="0"/>
    <n v="450.19"/>
    <n v="243.3"/>
    <m/>
    <n v="375.70304033862055"/>
    <n v="297.20166373463735"/>
    <n v="0"/>
    <n v="0"/>
    <n v="0"/>
    <n v="0"/>
    <x v="4"/>
  </r>
  <r>
    <s v="Regular"/>
    <x v="2"/>
    <x v="3"/>
    <x v="4"/>
    <x v="4"/>
    <x v="1"/>
    <x v="0"/>
    <x v="1"/>
    <x v="0"/>
    <n v="0"/>
    <n v="0"/>
    <n v="2276.748"/>
    <n v="2276.748"/>
    <n v="2276.748"/>
    <n v="2276.748"/>
    <n v="18863"/>
    <s v="CATIVO"/>
    <n v="0"/>
    <n v="0"/>
    <n v="9"/>
    <n v="59"/>
    <n v="0"/>
    <n v="147.13999999999999"/>
    <n v="85.16"/>
    <m/>
    <n v="115.22508190403593"/>
    <n v="104.02058230712306"/>
    <n v="0"/>
    <n v="982166.31972000026"/>
    <n v="0"/>
    <n v="927024.66535979451"/>
    <x v="5"/>
  </r>
  <r>
    <s v="Refaturamento - Regular"/>
    <x v="2"/>
    <x v="3"/>
    <x v="4"/>
    <x v="4"/>
    <x v="1"/>
    <x v="0"/>
    <x v="1"/>
    <x v="0"/>
    <n v="0"/>
    <n v="0"/>
    <n v="-4.38"/>
    <n v="-4.38"/>
    <n v="-4.38"/>
    <n v="-4.38"/>
    <n v="-250"/>
    <s v="CATIVO"/>
    <n v="0"/>
    <n v="0"/>
    <n v="9"/>
    <n v="59"/>
    <n v="0"/>
    <n v="147.13999999999999"/>
    <n v="85.16"/>
    <m/>
    <n v="115.22508190403593"/>
    <n v="104.02058230712306"/>
    <n v="0"/>
    <n v="-1889.4882000000005"/>
    <n v="0"/>
    <n v="-1783.406874311913"/>
    <x v="5"/>
  </r>
  <r>
    <s v="Sistema Isolado - Regular"/>
    <x v="2"/>
    <x v="3"/>
    <x v="4"/>
    <x v="4"/>
    <x v="1"/>
    <x v="0"/>
    <x v="1"/>
    <x v="0"/>
    <n v="0"/>
    <n v="0"/>
    <n v="3594.8150000000001"/>
    <n v="3594.8150000000001"/>
    <n v="3594.8150000000001"/>
    <n v="3594.8150000000001"/>
    <n v="26606"/>
    <s v="CATIVO"/>
    <n v="0"/>
    <n v="0"/>
    <n v="9"/>
    <n v="59"/>
    <n v="0"/>
    <n v="147.13999999999999"/>
    <n v="85.16"/>
    <m/>
    <n v="115.22508190403593"/>
    <n v="104.02058230712306"/>
    <n v="0"/>
    <n v="1550767.2428500003"/>
    <n v="0"/>
    <n v="1463702.6901551553"/>
    <x v="5"/>
  </r>
  <r>
    <s v="Sistema Isolado - Refaturamento"/>
    <x v="2"/>
    <x v="3"/>
    <x v="4"/>
    <x v="4"/>
    <x v="1"/>
    <x v="0"/>
    <x v="1"/>
    <x v="0"/>
    <n v="0"/>
    <n v="0"/>
    <n v="-2.19"/>
    <n v="-2.19"/>
    <n v="-2.19"/>
    <n v="-2.19"/>
    <n v="-60"/>
    <s v="CATIVO"/>
    <n v="0"/>
    <n v="0"/>
    <n v="9"/>
    <n v="59"/>
    <n v="0"/>
    <n v="147.13999999999999"/>
    <n v="85.16"/>
    <m/>
    <n v="115.22508190403593"/>
    <n v="104.02058230712306"/>
    <n v="0"/>
    <n v="-944.74410000000023"/>
    <n v="0"/>
    <n v="-891.70343715595652"/>
    <x v="5"/>
  </r>
  <r>
    <s v="Regular"/>
    <x v="2"/>
    <x v="3"/>
    <x v="4"/>
    <x v="4"/>
    <x v="1"/>
    <x v="0"/>
    <x v="1"/>
    <x v="1"/>
    <n v="0"/>
    <n v="0"/>
    <n v="2562.5459999999998"/>
    <n v="2562.5459999999998"/>
    <n v="2562.5459999999998"/>
    <n v="2562.5459999999998"/>
    <n v="20260"/>
    <s v="CATIVO"/>
    <n v="0"/>
    <n v="0"/>
    <n v="9"/>
    <n v="59"/>
    <n v="0"/>
    <n v="147.13999999999999"/>
    <n v="85.16"/>
    <m/>
    <n v="115.22508190403593"/>
    <n v="104.02058230712306"/>
    <n v="0"/>
    <n v="1105456.7189400003"/>
    <n v="0"/>
    <n v="1043393.1854202044"/>
    <x v="5"/>
  </r>
  <r>
    <s v="Refaturamento - Regular"/>
    <x v="2"/>
    <x v="3"/>
    <x v="4"/>
    <x v="4"/>
    <x v="1"/>
    <x v="0"/>
    <x v="1"/>
    <x v="1"/>
    <n v="0"/>
    <n v="0"/>
    <n v="-4.28"/>
    <n v="-4.28"/>
    <n v="-4.28"/>
    <n v="-4.28"/>
    <n v="0"/>
    <s v="CATIVO"/>
    <n v="0"/>
    <n v="0"/>
    <n v="9"/>
    <n v="59"/>
    <n v="0"/>
    <n v="147.13999999999999"/>
    <n v="85.16"/>
    <m/>
    <n v="115.22508190403593"/>
    <n v="104.02058230712306"/>
    <n v="0"/>
    <n v="-1846.3492000000006"/>
    <n v="0"/>
    <n v="-1742.6898223869837"/>
    <x v="5"/>
  </r>
  <r>
    <s v="Sistema Isolado - Regular"/>
    <x v="2"/>
    <x v="3"/>
    <x v="4"/>
    <x v="4"/>
    <x v="1"/>
    <x v="0"/>
    <x v="1"/>
    <x v="1"/>
    <n v="0"/>
    <n v="0"/>
    <n v="3857.759"/>
    <n v="3857.759"/>
    <n v="3857.759"/>
    <n v="3857.759"/>
    <n v="27235"/>
    <s v="CATIVO"/>
    <n v="0"/>
    <n v="0"/>
    <n v="9"/>
    <n v="59"/>
    <n v="0"/>
    <n v="147.13999999999999"/>
    <n v="85.16"/>
    <m/>
    <n v="115.22508190403593"/>
    <n v="104.02058230712306"/>
    <n v="0"/>
    <n v="1664198.6550100003"/>
    <n v="0"/>
    <n v="1570765.7351686419"/>
    <x v="5"/>
  </r>
  <r>
    <s v="Sistema Isolado - Refaturamento"/>
    <x v="2"/>
    <x v="3"/>
    <x v="4"/>
    <x v="4"/>
    <x v="1"/>
    <x v="0"/>
    <x v="1"/>
    <x v="1"/>
    <n v="0"/>
    <n v="0"/>
    <n v="-2.1640000000000001"/>
    <n v="-2.1640000000000001"/>
    <n v="-2.1640000000000001"/>
    <n v="-2.1640000000000001"/>
    <n v="0"/>
    <s v="CATIVO"/>
    <n v="0"/>
    <n v="0"/>
    <n v="9"/>
    <n v="59"/>
    <n v="0"/>
    <n v="147.13999999999999"/>
    <n v="85.16"/>
    <m/>
    <n v="115.22508190403593"/>
    <n v="104.02058230712306"/>
    <n v="0"/>
    <n v="-933.52796000000023"/>
    <n v="0"/>
    <n v="-881.11700365547495"/>
    <x v="5"/>
  </r>
  <r>
    <s v="Regular"/>
    <x v="2"/>
    <x v="3"/>
    <x v="4"/>
    <x v="4"/>
    <x v="1"/>
    <x v="0"/>
    <x v="1"/>
    <x v="2"/>
    <n v="0"/>
    <n v="0"/>
    <n v="2622.2089999999998"/>
    <n v="2622.2089999999998"/>
    <n v="2622.2089999999998"/>
    <n v="2622.2089999999998"/>
    <n v="20589"/>
    <s v="CATIVO"/>
    <n v="0"/>
    <n v="0"/>
    <n v="9"/>
    <n v="59"/>
    <n v="0"/>
    <n v="147.13999999999999"/>
    <n v="85.16"/>
    <m/>
    <n v="115.22508190403593"/>
    <n v="104.02058230712306"/>
    <n v="0"/>
    <n v="1131194.7405100001"/>
    <n v="0"/>
    <n v="1067686.2001101752"/>
    <x v="5"/>
  </r>
  <r>
    <s v="Refaturamento - Regular"/>
    <x v="2"/>
    <x v="3"/>
    <x v="4"/>
    <x v="4"/>
    <x v="1"/>
    <x v="0"/>
    <x v="1"/>
    <x v="2"/>
    <n v="0"/>
    <n v="0"/>
    <n v="-4.1399999999999997"/>
    <n v="-4.1399999999999997"/>
    <n v="-4.1399999999999997"/>
    <n v="-4.1399999999999997"/>
    <n v="0"/>
    <s v="CATIVO"/>
    <n v="0"/>
    <n v="0"/>
    <n v="9"/>
    <n v="59"/>
    <n v="0"/>
    <n v="147.13999999999999"/>
    <n v="85.16"/>
    <m/>
    <n v="115.22508190403593"/>
    <n v="104.02058230712306"/>
    <n v="0"/>
    <n v="-1785.9546000000003"/>
    <n v="0"/>
    <n v="-1685.6859496920822"/>
    <x v="5"/>
  </r>
  <r>
    <s v="Sistema Isolado - Regular"/>
    <x v="2"/>
    <x v="3"/>
    <x v="4"/>
    <x v="4"/>
    <x v="1"/>
    <x v="0"/>
    <x v="1"/>
    <x v="2"/>
    <n v="0"/>
    <n v="0"/>
    <n v="3924.2339999999999"/>
    <n v="3924.2339999999999"/>
    <n v="3924.2339999999999"/>
    <n v="3924.2339999999999"/>
    <n v="28895"/>
    <s v="CATIVO"/>
    <n v="0"/>
    <n v="0"/>
    <n v="9"/>
    <n v="59"/>
    <n v="0"/>
    <n v="147.13999999999999"/>
    <n v="85.16"/>
    <m/>
    <n v="115.22508190403593"/>
    <n v="104.02058230712306"/>
    <n v="0"/>
    <n v="1692875.3052600003"/>
    <n v="0"/>
    <n v="1597832.3954357388"/>
    <x v="5"/>
  </r>
  <r>
    <s v="Sistema Isolado - Refaturamento"/>
    <x v="2"/>
    <x v="3"/>
    <x v="4"/>
    <x v="4"/>
    <x v="1"/>
    <x v="0"/>
    <x v="1"/>
    <x v="2"/>
    <n v="0"/>
    <n v="0"/>
    <n v="-0.42"/>
    <n v="-0.42"/>
    <n v="-0.42"/>
    <n v="-0.42"/>
    <n v="0"/>
    <s v="CATIVO"/>
    <n v="0"/>
    <n v="0"/>
    <n v="9"/>
    <n v="59"/>
    <n v="0"/>
    <n v="147.13999999999999"/>
    <n v="85.16"/>
    <m/>
    <n v="115.22508190403593"/>
    <n v="104.02058230712306"/>
    <n v="0"/>
    <n v="-181.18380000000005"/>
    <n v="0"/>
    <n v="-171.011618084704"/>
    <x v="5"/>
  </r>
  <r>
    <s v="Sistema de Compensação"/>
    <x v="2"/>
    <x v="3"/>
    <x v="4"/>
    <x v="4"/>
    <x v="1"/>
    <x v="0"/>
    <x v="1"/>
    <x v="2"/>
    <n v="0"/>
    <n v="0"/>
    <n v="0.34699999999999998"/>
    <n v="0.34699999999999998"/>
    <n v="0.34699999999999998"/>
    <n v="0.34699999999999998"/>
    <n v="0"/>
    <s v="CATIVO"/>
    <n v="0"/>
    <n v="0"/>
    <n v="9"/>
    <n v="59"/>
    <n v="0"/>
    <n v="147.13999999999999"/>
    <n v="85.16"/>
    <m/>
    <n v="115.22508190403593"/>
    <n v="104.02058230712306"/>
    <n v="0"/>
    <n v="149.69233000000003"/>
    <n v="0"/>
    <n v="141.28817017950544"/>
    <x v="5"/>
  </r>
  <r>
    <s v="Sistema de Compensação"/>
    <x v="2"/>
    <x v="3"/>
    <x v="4"/>
    <x v="4"/>
    <x v="1"/>
    <x v="0"/>
    <x v="1"/>
    <x v="2"/>
    <n v="0"/>
    <n v="0"/>
    <n v="5.5010000000000003"/>
    <n v="5.5010000000000003"/>
    <n v="5.5010000000000003"/>
    <n v="5.5010000000000003"/>
    <n v="0"/>
    <s v="CATIVO"/>
    <n v="0"/>
    <n v="0"/>
    <n v="9"/>
    <n v="59"/>
    <n v="0"/>
    <n v="147.13999999999999"/>
    <n v="85.16"/>
    <m/>
    <n v="115.22508190403593"/>
    <n v="104.02058230712306"/>
    <n v="0"/>
    <n v="2373.0763900000006"/>
    <n v="0"/>
    <n v="2239.8450263903733"/>
    <x v="5"/>
  </r>
  <r>
    <s v="Regular"/>
    <x v="2"/>
    <x v="3"/>
    <x v="4"/>
    <x v="4"/>
    <x v="1"/>
    <x v="0"/>
    <x v="1"/>
    <x v="3"/>
    <n v="0"/>
    <n v="0"/>
    <n v="2622.5770000000002"/>
    <n v="2622.5770000000002"/>
    <n v="2622.5770000000002"/>
    <n v="2622.5770000000002"/>
    <n v="22606"/>
    <s v="CATIVO"/>
    <n v="0"/>
    <n v="0"/>
    <n v="9"/>
    <n v="59"/>
    <n v="0"/>
    <n v="147.13999999999999"/>
    <n v="85.16"/>
    <m/>
    <n v="115.22508190403593"/>
    <n v="104.02058230712306"/>
    <n v="0"/>
    <n v="1131353.4920300003"/>
    <n v="0"/>
    <n v="1067836.0388612591"/>
    <x v="5"/>
  </r>
  <r>
    <s v="Refaturamento - Regular"/>
    <x v="2"/>
    <x v="3"/>
    <x v="4"/>
    <x v="4"/>
    <x v="1"/>
    <x v="0"/>
    <x v="1"/>
    <x v="3"/>
    <n v="0"/>
    <n v="0"/>
    <n v="-2.1"/>
    <n v="-2.1"/>
    <n v="-2.1"/>
    <n v="-2.1"/>
    <n v="0"/>
    <s v="CATIVO"/>
    <n v="0"/>
    <n v="0"/>
    <n v="9"/>
    <n v="59"/>
    <n v="0"/>
    <n v="147.13999999999999"/>
    <n v="85.16"/>
    <m/>
    <n v="115.22508190403593"/>
    <n v="104.02058230712306"/>
    <n v="0"/>
    <n v="-905.91900000000021"/>
    <n v="0"/>
    <n v="-855.05809042352007"/>
    <x v="5"/>
  </r>
  <r>
    <s v="Sistema Isolado - Regular"/>
    <x v="2"/>
    <x v="3"/>
    <x v="4"/>
    <x v="4"/>
    <x v="1"/>
    <x v="0"/>
    <x v="1"/>
    <x v="3"/>
    <n v="0"/>
    <n v="0"/>
    <n v="3916.0709999999999"/>
    <n v="3916.0709999999999"/>
    <n v="3916.0709999999999"/>
    <n v="3916.0709999999999"/>
    <n v="30663"/>
    <s v="CATIVO"/>
    <n v="0"/>
    <n v="0"/>
    <n v="9"/>
    <n v="59"/>
    <n v="0"/>
    <n v="147.13999999999999"/>
    <n v="85.16"/>
    <m/>
    <n v="115.22508190403593"/>
    <n v="104.02058230712306"/>
    <n v="0"/>
    <n v="1689353.8686900004"/>
    <n v="0"/>
    <n v="1594508.6624871069"/>
    <x v="5"/>
  </r>
  <r>
    <s v="Sistema Isolado - Refaturamento"/>
    <x v="2"/>
    <x v="3"/>
    <x v="4"/>
    <x v="4"/>
    <x v="1"/>
    <x v="0"/>
    <x v="1"/>
    <x v="3"/>
    <n v="0"/>
    <n v="0"/>
    <n v="-8.1"/>
    <n v="-8.1"/>
    <n v="-8.1"/>
    <n v="-8.1"/>
    <n v="0"/>
    <s v="CATIVO"/>
    <n v="0"/>
    <n v="0"/>
    <n v="9"/>
    <n v="59"/>
    <n v="0"/>
    <n v="147.13999999999999"/>
    <n v="85.16"/>
    <m/>
    <n v="115.22508190403593"/>
    <n v="104.02058230712306"/>
    <n v="0"/>
    <n v="-3494.2590000000005"/>
    <n v="0"/>
    <n v="-3298.0812059192913"/>
    <x v="5"/>
  </r>
  <r>
    <s v="Sistema de Compensação"/>
    <x v="2"/>
    <x v="3"/>
    <x v="4"/>
    <x v="4"/>
    <x v="1"/>
    <x v="0"/>
    <x v="1"/>
    <x v="3"/>
    <n v="0"/>
    <n v="0"/>
    <n v="0.90100000000000002"/>
    <n v="0.90100000000000002"/>
    <n v="0.90100000000000002"/>
    <n v="0.90100000000000002"/>
    <n v="0"/>
    <s v="CATIVO"/>
    <n v="0"/>
    <n v="0"/>
    <n v="9"/>
    <n v="59"/>
    <n v="0"/>
    <n v="147.13999999999999"/>
    <n v="85.16"/>
    <m/>
    <n v="115.22508190403593"/>
    <n v="104.02058230712306"/>
    <n v="0"/>
    <n v="388.68239000000011"/>
    <n v="0"/>
    <n v="366.860637843615"/>
    <x v="5"/>
  </r>
  <r>
    <s v="Regular"/>
    <x v="2"/>
    <x v="3"/>
    <x v="4"/>
    <x v="4"/>
    <x v="1"/>
    <x v="0"/>
    <x v="1"/>
    <x v="4"/>
    <n v="0"/>
    <n v="0"/>
    <n v="2672.9630000000002"/>
    <n v="2672.9630000000002"/>
    <n v="2672.9630000000002"/>
    <n v="2672.9630000000002"/>
    <n v="24819"/>
    <s v="CATIVO"/>
    <n v="0"/>
    <n v="0"/>
    <n v="9"/>
    <n v="59"/>
    <n v="0"/>
    <n v="147.13999999999999"/>
    <n v="85.16"/>
    <m/>
    <n v="115.22508190403593"/>
    <n v="104.02058230712306"/>
    <n v="0"/>
    <n v="1153089.5085700003"/>
    <n v="0"/>
    <n v="1088351.732644154"/>
    <x v="5"/>
  </r>
  <r>
    <s v="Refaturamento - Regular"/>
    <x v="2"/>
    <x v="3"/>
    <x v="4"/>
    <x v="4"/>
    <x v="1"/>
    <x v="0"/>
    <x v="1"/>
    <x v="4"/>
    <n v="0"/>
    <n v="0"/>
    <n v="1.43"/>
    <n v="1.43"/>
    <n v="1.43"/>
    <n v="1.43"/>
    <n v="0"/>
    <s v="CATIVO"/>
    <n v="0"/>
    <n v="0"/>
    <n v="9"/>
    <n v="59"/>
    <n v="0"/>
    <n v="147.13999999999999"/>
    <n v="85.16"/>
    <m/>
    <n v="115.22508190403593"/>
    <n v="104.02058230712306"/>
    <n v="0"/>
    <n v="616.88770000000011"/>
    <n v="0"/>
    <n v="582.25384252649212"/>
    <x v="5"/>
  </r>
  <r>
    <s v="Sistema Isolado - Regular"/>
    <x v="2"/>
    <x v="3"/>
    <x v="4"/>
    <x v="4"/>
    <x v="1"/>
    <x v="0"/>
    <x v="1"/>
    <x v="4"/>
    <n v="0"/>
    <n v="0"/>
    <n v="3993.7"/>
    <n v="3993.7"/>
    <n v="3993.7"/>
    <n v="3993.7"/>
    <n v="31154"/>
    <s v="CATIVO"/>
    <n v="0"/>
    <n v="0"/>
    <n v="9"/>
    <n v="59"/>
    <n v="0"/>
    <n v="147.13999999999999"/>
    <n v="85.16"/>
    <m/>
    <n v="115.22508190403593"/>
    <n v="104.02058230712306"/>
    <n v="0"/>
    <n v="1722842.2430000002"/>
    <n v="0"/>
    <n v="1626116.9027259103"/>
    <x v="5"/>
  </r>
  <r>
    <s v="Sistema Isolado - Refaturamento"/>
    <x v="2"/>
    <x v="3"/>
    <x v="4"/>
    <x v="4"/>
    <x v="1"/>
    <x v="0"/>
    <x v="1"/>
    <x v="4"/>
    <n v="0"/>
    <n v="0"/>
    <n v="-2.88"/>
    <n v="-2.88"/>
    <n v="-2.88"/>
    <n v="-2.88"/>
    <n v="0"/>
    <s v="CATIVO"/>
    <n v="0"/>
    <n v="0"/>
    <n v="9"/>
    <n v="59"/>
    <n v="0"/>
    <n v="147.13999999999999"/>
    <n v="85.16"/>
    <m/>
    <n v="115.22508190403593"/>
    <n v="104.02058230712306"/>
    <n v="0"/>
    <n v="-1242.4032000000002"/>
    <n v="0"/>
    <n v="-1172.6510954379703"/>
    <x v="5"/>
  </r>
  <r>
    <s v="Sistema de Compensação"/>
    <x v="2"/>
    <x v="3"/>
    <x v="4"/>
    <x v="4"/>
    <x v="1"/>
    <x v="0"/>
    <x v="1"/>
    <x v="4"/>
    <n v="0"/>
    <n v="0"/>
    <n v="2.4940000000000002"/>
    <n v="2.4940000000000002"/>
    <n v="2.4940000000000002"/>
    <n v="2.4940000000000002"/>
    <n v="0"/>
    <s v="CATIVO"/>
    <n v="0"/>
    <n v="0"/>
    <n v="9"/>
    <n v="59"/>
    <n v="0"/>
    <n v="147.13999999999999"/>
    <n v="85.16"/>
    <m/>
    <n v="115.22508190403593"/>
    <n v="104.02058230712306"/>
    <n v="0"/>
    <n v="1075.8866600000003"/>
    <n v="0"/>
    <n v="1015.4832750077425"/>
    <x v="5"/>
  </r>
  <r>
    <s v="Regular"/>
    <x v="2"/>
    <x v="3"/>
    <x v="4"/>
    <x v="4"/>
    <x v="1"/>
    <x v="0"/>
    <x v="1"/>
    <x v="5"/>
    <n v="0"/>
    <n v="0"/>
    <n v="2029.4870000000001"/>
    <n v="2029.4870000000001"/>
    <n v="2029.4870000000001"/>
    <n v="2029.4870000000001"/>
    <n v="9497"/>
    <s v="CATIVO"/>
    <n v="0"/>
    <n v="0"/>
    <n v="9"/>
    <n v="59"/>
    <n v="0"/>
    <n v="147.13999999999999"/>
    <n v="85.16"/>
    <m/>
    <n v="115.22508190403593"/>
    <n v="104.02058230712306"/>
    <n v="0"/>
    <n v="875500.39693000028"/>
    <n v="0"/>
    <n v="826347.27559969446"/>
    <x v="5"/>
  </r>
  <r>
    <s v="Refaturamento - Regular"/>
    <x v="2"/>
    <x v="3"/>
    <x v="4"/>
    <x v="4"/>
    <x v="1"/>
    <x v="0"/>
    <x v="1"/>
    <x v="5"/>
    <n v="0"/>
    <n v="0"/>
    <n v="-5.43"/>
    <n v="-5.43"/>
    <n v="-5.43"/>
    <n v="-5.43"/>
    <n v="0"/>
    <s v="CATIVO"/>
    <n v="0"/>
    <n v="0"/>
    <n v="9"/>
    <n v="59"/>
    <n v="0"/>
    <n v="147.13999999999999"/>
    <n v="85.16"/>
    <m/>
    <n v="115.22508190403593"/>
    <n v="104.02058230712306"/>
    <n v="0"/>
    <n v="-2342.4477000000006"/>
    <n v="0"/>
    <n v="-2210.935919523673"/>
    <x v="5"/>
  </r>
  <r>
    <s v="Sistema Isolado - Regular"/>
    <x v="2"/>
    <x v="3"/>
    <x v="4"/>
    <x v="4"/>
    <x v="1"/>
    <x v="0"/>
    <x v="1"/>
    <x v="5"/>
    <n v="0"/>
    <n v="0"/>
    <n v="3740.915"/>
    <n v="3740.915"/>
    <n v="3740.915"/>
    <n v="3740.915"/>
    <n v="23050"/>
    <s v="CATIVO"/>
    <n v="0"/>
    <n v="0"/>
    <n v="9"/>
    <n v="59"/>
    <n v="0"/>
    <n v="147.13999999999999"/>
    <n v="85.16"/>
    <m/>
    <n v="115.22508190403593"/>
    <n v="104.02058230712306"/>
    <n v="0"/>
    <n v="1613793.3218500004"/>
    <n v="0"/>
    <n v="1523190.3030174773"/>
    <x v="5"/>
  </r>
  <r>
    <s v="Sistema Isolado - Refaturamento"/>
    <x v="2"/>
    <x v="3"/>
    <x v="4"/>
    <x v="4"/>
    <x v="1"/>
    <x v="0"/>
    <x v="1"/>
    <x v="5"/>
    <n v="0"/>
    <n v="0"/>
    <n v="-1.62"/>
    <n v="-1.62"/>
    <n v="-1.62"/>
    <n v="-1.62"/>
    <n v="0"/>
    <s v="CATIVO"/>
    <n v="0"/>
    <n v="0"/>
    <n v="9"/>
    <n v="59"/>
    <n v="0"/>
    <n v="147.13999999999999"/>
    <n v="85.16"/>
    <m/>
    <n v="115.22508190403593"/>
    <n v="104.02058230712306"/>
    <n v="0"/>
    <n v="-698.85180000000025"/>
    <n v="0"/>
    <n v="-659.61624118385828"/>
    <x v="5"/>
  </r>
  <r>
    <s v="Sistema de Compensação"/>
    <x v="2"/>
    <x v="3"/>
    <x v="4"/>
    <x v="4"/>
    <x v="1"/>
    <x v="0"/>
    <x v="1"/>
    <x v="5"/>
    <n v="0"/>
    <n v="0"/>
    <n v="3.1480000000000001"/>
    <n v="3.1480000000000001"/>
    <n v="3.1480000000000001"/>
    <n v="3.1480000000000001"/>
    <n v="0"/>
    <s v="CATIVO"/>
    <n v="0"/>
    <n v="0"/>
    <n v="9"/>
    <n v="59"/>
    <n v="0"/>
    <n v="147.13999999999999"/>
    <n v="85.16"/>
    <m/>
    <n v="115.22508190403593"/>
    <n v="104.02058230712306"/>
    <n v="0"/>
    <n v="1358.0157200000003"/>
    <n v="0"/>
    <n v="1281.7727945967815"/>
    <x v="5"/>
  </r>
  <r>
    <s v="Regular"/>
    <x v="2"/>
    <x v="3"/>
    <x v="4"/>
    <x v="4"/>
    <x v="1"/>
    <x v="0"/>
    <x v="1"/>
    <x v="6"/>
    <n v="0"/>
    <n v="0"/>
    <n v="2030.798"/>
    <n v="2030.798"/>
    <n v="2030.798"/>
    <n v="2030.798"/>
    <n v="9462"/>
    <s v="CATIVO"/>
    <n v="0"/>
    <n v="0"/>
    <n v="9"/>
    <n v="59"/>
    <n v="0"/>
    <n v="147.13999999999999"/>
    <n v="85.16"/>
    <m/>
    <n v="115.22508190403593"/>
    <n v="104.02058230712306"/>
    <n v="0"/>
    <n v="876065.94922000018"/>
    <n v="0"/>
    <n v="826881.07615043025"/>
    <x v="5"/>
  </r>
  <r>
    <s v="Refaturamento - Regular"/>
    <x v="2"/>
    <x v="3"/>
    <x v="4"/>
    <x v="4"/>
    <x v="1"/>
    <x v="0"/>
    <x v="1"/>
    <x v="6"/>
    <n v="0"/>
    <n v="0"/>
    <n v="-1.98"/>
    <n v="-1.98"/>
    <n v="-1.98"/>
    <n v="-1.98"/>
    <n v="0"/>
    <s v="CATIVO"/>
    <n v="0"/>
    <n v="0"/>
    <n v="9"/>
    <n v="59"/>
    <n v="0"/>
    <n v="147.13999999999999"/>
    <n v="85.16"/>
    <m/>
    <n v="115.22508190403593"/>
    <n v="104.02058230712306"/>
    <n v="0"/>
    <n v="-854.15220000000022"/>
    <n v="0"/>
    <n v="-806.19762811360454"/>
    <x v="5"/>
  </r>
  <r>
    <s v="Sistema Isolado - Regular"/>
    <x v="2"/>
    <x v="3"/>
    <x v="4"/>
    <x v="4"/>
    <x v="1"/>
    <x v="0"/>
    <x v="1"/>
    <x v="6"/>
    <n v="0"/>
    <n v="0"/>
    <n v="3735.4639999999999"/>
    <n v="3735.4639999999999"/>
    <n v="3735.4639999999999"/>
    <n v="3735.4639999999999"/>
    <n v="22748"/>
    <s v="CATIVO"/>
    <n v="0"/>
    <n v="0"/>
    <n v="9"/>
    <n v="59"/>
    <n v="0"/>
    <n v="147.13999999999999"/>
    <n v="85.16"/>
    <m/>
    <n v="115.22508190403593"/>
    <n v="104.02058230712306"/>
    <n v="0"/>
    <n v="1611441.8149600003"/>
    <n v="0"/>
    <n v="1520970.8165170494"/>
    <x v="5"/>
  </r>
  <r>
    <s v="Sistema Isolado - Refaturamento"/>
    <x v="2"/>
    <x v="3"/>
    <x v="4"/>
    <x v="4"/>
    <x v="1"/>
    <x v="0"/>
    <x v="1"/>
    <x v="6"/>
    <n v="0"/>
    <n v="0"/>
    <n v="-2.58"/>
    <n v="-2.58"/>
    <n v="-2.58"/>
    <n v="-2.58"/>
    <n v="0"/>
    <s v="CATIVO"/>
    <n v="0"/>
    <n v="0"/>
    <n v="9"/>
    <n v="59"/>
    <n v="0"/>
    <n v="147.13999999999999"/>
    <n v="85.16"/>
    <m/>
    <n v="115.22508190403593"/>
    <n v="104.02058230712306"/>
    <n v="0"/>
    <n v="-1112.9862000000003"/>
    <n v="0"/>
    <n v="-1050.4999396631817"/>
    <x v="5"/>
  </r>
  <r>
    <s v="Sistema de Compensação"/>
    <x v="2"/>
    <x v="3"/>
    <x v="4"/>
    <x v="4"/>
    <x v="1"/>
    <x v="0"/>
    <x v="1"/>
    <x v="6"/>
    <n v="0"/>
    <n v="0"/>
    <n v="2.9529999999999998"/>
    <n v="2.9529999999999998"/>
    <n v="2.9529999999999998"/>
    <n v="2.9529999999999998"/>
    <n v="0"/>
    <s v="CATIVO"/>
    <n v="0"/>
    <n v="0"/>
    <n v="9"/>
    <n v="59"/>
    <n v="0"/>
    <n v="147.13999999999999"/>
    <n v="85.16"/>
    <m/>
    <n v="115.22508190403593"/>
    <n v="104.02058230712306"/>
    <n v="0"/>
    <n v="1273.8946700000001"/>
    <n v="0"/>
    <n v="1202.3745433431689"/>
    <x v="5"/>
  </r>
  <r>
    <s v="Sistema de Compensação"/>
    <x v="2"/>
    <x v="3"/>
    <x v="4"/>
    <x v="4"/>
    <x v="1"/>
    <x v="0"/>
    <x v="1"/>
    <x v="6"/>
    <n v="0"/>
    <n v="0"/>
    <n v="0.219"/>
    <n v="0.219"/>
    <n v="0.219"/>
    <n v="0.219"/>
    <n v="0"/>
    <s v="CATIVO"/>
    <n v="0"/>
    <n v="0"/>
    <n v="9"/>
    <n v="59"/>
    <n v="0"/>
    <n v="147.13999999999999"/>
    <n v="85.16"/>
    <m/>
    <n v="115.22508190403593"/>
    <n v="104.02058230712306"/>
    <n v="0"/>
    <n v="94.47441000000002"/>
    <n v="0"/>
    <n v="89.170343715595664"/>
    <x v="5"/>
  </r>
  <r>
    <s v="Regular"/>
    <x v="2"/>
    <x v="3"/>
    <x v="4"/>
    <x v="4"/>
    <x v="1"/>
    <x v="0"/>
    <x v="1"/>
    <x v="7"/>
    <n v="0"/>
    <n v="0"/>
    <n v="2065.8119999999999"/>
    <n v="2065.8119999999999"/>
    <n v="2065.8119999999999"/>
    <n v="2065.8119999999999"/>
    <n v="9284"/>
    <s v="CATIVO"/>
    <n v="0"/>
    <n v="0"/>
    <n v="9"/>
    <n v="59"/>
    <n v="0"/>
    <n v="147.13999999999999"/>
    <n v="85.16"/>
    <m/>
    <n v="115.22508190403593"/>
    <n v="104.02058230712306"/>
    <n v="0"/>
    <n v="891170.63868000021"/>
    <n v="0"/>
    <n v="841137.74471142504"/>
    <x v="5"/>
  </r>
  <r>
    <s v="Refaturamento - Regular"/>
    <x v="2"/>
    <x v="3"/>
    <x v="4"/>
    <x v="4"/>
    <x v="1"/>
    <x v="0"/>
    <x v="1"/>
    <x v="7"/>
    <n v="0"/>
    <n v="0"/>
    <n v="-5.28"/>
    <n v="-5.28"/>
    <n v="-5.28"/>
    <n v="-5.28"/>
    <n v="0"/>
    <s v="CATIVO"/>
    <n v="0"/>
    <n v="0"/>
    <n v="9"/>
    <n v="59"/>
    <n v="0"/>
    <n v="147.13999999999999"/>
    <n v="85.16"/>
    <m/>
    <n v="115.22508190403593"/>
    <n v="104.02058230712306"/>
    <n v="0"/>
    <n v="-2277.7392000000004"/>
    <n v="0"/>
    <n v="-2149.8603416362789"/>
    <x v="5"/>
  </r>
  <r>
    <s v="Sistema Isolado - Regular"/>
    <x v="2"/>
    <x v="3"/>
    <x v="4"/>
    <x v="4"/>
    <x v="1"/>
    <x v="0"/>
    <x v="1"/>
    <x v="7"/>
    <n v="0"/>
    <n v="0"/>
    <n v="3767.37"/>
    <n v="3767.37"/>
    <n v="3767.37"/>
    <n v="3767.37"/>
    <n v="22725"/>
    <s v="CATIVO"/>
    <n v="0"/>
    <n v="0"/>
    <n v="9"/>
    <n v="59"/>
    <n v="0"/>
    <n v="147.13999999999999"/>
    <n v="85.16"/>
    <m/>
    <n v="115.22508190403593"/>
    <n v="104.02058230712306"/>
    <n v="0"/>
    <n v="1625205.7443000004"/>
    <n v="0"/>
    <n v="1533961.9991042174"/>
    <x v="5"/>
  </r>
  <r>
    <s v="Sistema Isolado - Refaturamento"/>
    <x v="2"/>
    <x v="3"/>
    <x v="4"/>
    <x v="4"/>
    <x v="1"/>
    <x v="0"/>
    <x v="1"/>
    <x v="7"/>
    <n v="0"/>
    <n v="0"/>
    <n v="-5.67"/>
    <n v="-5.67"/>
    <n v="-5.67"/>
    <n v="-5.67"/>
    <n v="0"/>
    <s v="CATIVO"/>
    <n v="0"/>
    <n v="0"/>
    <n v="9"/>
    <n v="59"/>
    <n v="0"/>
    <n v="147.13999999999999"/>
    <n v="85.16"/>
    <m/>
    <n v="115.22508190403593"/>
    <n v="104.02058230712306"/>
    <n v="0"/>
    <n v="-2445.9813000000004"/>
    <n v="0"/>
    <n v="-2308.6568441435038"/>
    <x v="5"/>
  </r>
  <r>
    <s v="Sistema de Compensação"/>
    <x v="2"/>
    <x v="3"/>
    <x v="4"/>
    <x v="4"/>
    <x v="1"/>
    <x v="0"/>
    <x v="1"/>
    <x v="7"/>
    <n v="0"/>
    <n v="0"/>
    <n v="3.6619999999999999"/>
    <n v="3.6619999999999999"/>
    <n v="3.6619999999999999"/>
    <n v="3.6619999999999999"/>
    <n v="0"/>
    <s v="CATIVO"/>
    <n v="0"/>
    <n v="0"/>
    <n v="9"/>
    <n v="59"/>
    <n v="0"/>
    <n v="147.13999999999999"/>
    <n v="85.16"/>
    <m/>
    <n v="115.22508190403593"/>
    <n v="104.02058230712306"/>
    <n v="0"/>
    <n v="1579.7501800000002"/>
    <n v="0"/>
    <n v="1491.0584414909192"/>
    <x v="5"/>
  </r>
  <r>
    <s v="Regular"/>
    <x v="2"/>
    <x v="3"/>
    <x v="4"/>
    <x v="4"/>
    <x v="1"/>
    <x v="0"/>
    <x v="1"/>
    <x v="8"/>
    <n v="0"/>
    <n v="0"/>
    <n v="2036.2950000000001"/>
    <n v="2036.2950000000001"/>
    <n v="2036.2950000000001"/>
    <n v="2036.2950000000001"/>
    <n v="9210"/>
    <s v="CATIVO"/>
    <n v="0"/>
    <n v="0"/>
    <n v="9"/>
    <n v="59"/>
    <n v="0"/>
    <n v="147.13999999999999"/>
    <n v="85.16"/>
    <m/>
    <n v="115.22508190403593"/>
    <n v="104.02058230712306"/>
    <n v="0"/>
    <n v="878437.30005000019"/>
    <n v="0"/>
    <n v="829119.29249474371"/>
    <x v="5"/>
  </r>
  <r>
    <s v="Refaturamento - Regular"/>
    <x v="2"/>
    <x v="3"/>
    <x v="4"/>
    <x v="4"/>
    <x v="1"/>
    <x v="0"/>
    <x v="1"/>
    <x v="8"/>
    <n v="0"/>
    <n v="0"/>
    <n v="-3.39"/>
    <n v="-3.39"/>
    <n v="-3.39"/>
    <n v="-3.39"/>
    <n v="0"/>
    <s v="CATIVO"/>
    <n v="0"/>
    <n v="0"/>
    <n v="9"/>
    <n v="59"/>
    <n v="0"/>
    <n v="147.13999999999999"/>
    <n v="85.16"/>
    <m/>
    <n v="115.22508190403593"/>
    <n v="104.02058230712306"/>
    <n v="0"/>
    <n v="-1462.4121000000005"/>
    <n v="0"/>
    <n v="-1380.3080602551108"/>
    <x v="5"/>
  </r>
  <r>
    <s v="Sistema Isolado - Regular"/>
    <x v="2"/>
    <x v="3"/>
    <x v="4"/>
    <x v="4"/>
    <x v="1"/>
    <x v="0"/>
    <x v="1"/>
    <x v="8"/>
    <n v="0"/>
    <n v="0"/>
    <n v="3764.8919999999998"/>
    <n v="3764.8919999999998"/>
    <n v="3764.8919999999998"/>
    <n v="3764.8919999999998"/>
    <n v="23385"/>
    <s v="CATIVO"/>
    <n v="0"/>
    <n v="0"/>
    <n v="9"/>
    <n v="59"/>
    <n v="0"/>
    <n v="147.13999999999999"/>
    <n v="85.16"/>
    <m/>
    <n v="115.22508190403593"/>
    <n v="104.02058230712306"/>
    <n v="0"/>
    <n v="1624136.7598800003"/>
    <n v="0"/>
    <n v="1532953.0305575177"/>
    <x v="5"/>
  </r>
  <r>
    <s v="Sistema Isolado - Refaturamento"/>
    <x v="2"/>
    <x v="3"/>
    <x v="4"/>
    <x v="4"/>
    <x v="1"/>
    <x v="0"/>
    <x v="1"/>
    <x v="8"/>
    <n v="0"/>
    <n v="0"/>
    <n v="-4.7699999999999996"/>
    <n v="-4.7699999999999996"/>
    <n v="-4.7699999999999996"/>
    <n v="-4.7699999999999996"/>
    <n v="0"/>
    <s v="CATIVO"/>
    <n v="0"/>
    <n v="0"/>
    <n v="9"/>
    <n v="59"/>
    <n v="0"/>
    <n v="147.13999999999999"/>
    <n v="85.16"/>
    <m/>
    <n v="115.22508190403593"/>
    <n v="104.02058230712306"/>
    <n v="0"/>
    <n v="-2057.7303000000002"/>
    <n v="0"/>
    <n v="-1942.2033768191382"/>
    <x v="5"/>
  </r>
  <r>
    <s v="Sistema de Compensação"/>
    <x v="2"/>
    <x v="3"/>
    <x v="4"/>
    <x v="4"/>
    <x v="1"/>
    <x v="0"/>
    <x v="1"/>
    <x v="8"/>
    <n v="0"/>
    <n v="0"/>
    <n v="4.5609999999999999"/>
    <n v="4.5609999999999999"/>
    <n v="4.5609999999999999"/>
    <n v="4.5609999999999999"/>
    <n v="0"/>
    <s v="CATIVO"/>
    <n v="0"/>
    <n v="0"/>
    <n v="9"/>
    <n v="59"/>
    <n v="0"/>
    <n v="147.13999999999999"/>
    <n v="85.16"/>
    <m/>
    <n v="115.22508190403593"/>
    <n v="104.02058230712306"/>
    <n v="0"/>
    <n v="1967.5697900000005"/>
    <n v="0"/>
    <n v="1857.1047382960355"/>
    <x v="5"/>
  </r>
  <r>
    <s v="Regular"/>
    <x v="2"/>
    <x v="3"/>
    <x v="4"/>
    <x v="4"/>
    <x v="1"/>
    <x v="0"/>
    <x v="1"/>
    <x v="9"/>
    <n v="0"/>
    <n v="0"/>
    <n v="2062.5630000000001"/>
    <n v="2062.5630000000001"/>
    <n v="2062.5630000000001"/>
    <n v="2062.5630000000001"/>
    <n v="9059"/>
    <s v="CATIVO"/>
    <n v="0"/>
    <n v="0"/>
    <n v="9"/>
    <n v="59"/>
    <n v="0"/>
    <n v="147.13999999999999"/>
    <n v="85.16"/>
    <m/>
    <n v="115.22508190403593"/>
    <n v="104.02058230712306"/>
    <n v="0"/>
    <n v="889769.05257000029"/>
    <n v="0"/>
    <n v="839814.84769438417"/>
    <x v="5"/>
  </r>
  <r>
    <s v="Refaturamento - Regular"/>
    <x v="2"/>
    <x v="3"/>
    <x v="4"/>
    <x v="4"/>
    <x v="1"/>
    <x v="0"/>
    <x v="1"/>
    <x v="9"/>
    <n v="0"/>
    <n v="0"/>
    <n v="-7.1849999999999996"/>
    <n v="-7.1849999999999996"/>
    <n v="-7.1849999999999996"/>
    <n v="-7.1849999999999996"/>
    <n v="0"/>
    <s v="CATIVO"/>
    <n v="0"/>
    <n v="0"/>
    <n v="9"/>
    <n v="59"/>
    <n v="0"/>
    <n v="147.13999999999999"/>
    <n v="85.16"/>
    <m/>
    <n v="115.22508190403593"/>
    <n v="104.02058230712306"/>
    <n v="0"/>
    <n v="-3099.5371500000006"/>
    <n v="0"/>
    <n v="-2925.5201808061861"/>
    <x v="5"/>
  </r>
  <r>
    <s v="Sistema Isolado - Regular"/>
    <x v="2"/>
    <x v="3"/>
    <x v="4"/>
    <x v="4"/>
    <x v="1"/>
    <x v="0"/>
    <x v="1"/>
    <x v="9"/>
    <n v="0"/>
    <n v="0"/>
    <n v="3759.9079999999999"/>
    <n v="3759.9079999999999"/>
    <n v="3759.9079999999999"/>
    <n v="3759.9079999999999"/>
    <n v="22639"/>
    <s v="CATIVO"/>
    <n v="0"/>
    <n v="0"/>
    <n v="9"/>
    <n v="59"/>
    <n v="0"/>
    <n v="147.13999999999999"/>
    <n v="85.16"/>
    <m/>
    <n v="115.22508190403593"/>
    <n v="104.02058230712306"/>
    <n v="0"/>
    <n v="1621986.7121200003"/>
    <n v="0"/>
    <n v="1530923.6926895792"/>
    <x v="5"/>
  </r>
  <r>
    <s v="Sistema Isolado - Refaturamento"/>
    <x v="2"/>
    <x v="3"/>
    <x v="4"/>
    <x v="4"/>
    <x v="1"/>
    <x v="0"/>
    <x v="1"/>
    <x v="9"/>
    <n v="0"/>
    <n v="0"/>
    <n v="-1.08"/>
    <n v="-1.08"/>
    <n v="-1.08"/>
    <n v="-1.08"/>
    <n v="0"/>
    <s v="CATIVO"/>
    <n v="0"/>
    <n v="0"/>
    <n v="9"/>
    <n v="59"/>
    <n v="0"/>
    <n v="147.13999999999999"/>
    <n v="85.16"/>
    <m/>
    <n v="115.22508190403593"/>
    <n v="104.02058230712306"/>
    <n v="0"/>
    <n v="-465.90120000000013"/>
    <n v="0"/>
    <n v="-439.74416078923889"/>
    <x v="5"/>
  </r>
  <r>
    <s v="Sistema de Compensação"/>
    <x v="2"/>
    <x v="3"/>
    <x v="4"/>
    <x v="4"/>
    <x v="1"/>
    <x v="0"/>
    <x v="1"/>
    <x v="9"/>
    <n v="0"/>
    <n v="0"/>
    <n v="5.7050000000000001"/>
    <n v="5.7050000000000001"/>
    <n v="5.7050000000000001"/>
    <n v="5.7050000000000001"/>
    <n v="0"/>
    <s v="CATIVO"/>
    <n v="0"/>
    <n v="0"/>
    <n v="9"/>
    <n v="59"/>
    <n v="0"/>
    <n v="147.13999999999999"/>
    <n v="85.16"/>
    <m/>
    <n v="115.22508190403593"/>
    <n v="104.02058230712306"/>
    <n v="0"/>
    <n v="2461.0799500000007"/>
    <n v="0"/>
    <n v="2322.9078123172294"/>
    <x v="5"/>
  </r>
  <r>
    <s v="Regular"/>
    <x v="2"/>
    <x v="3"/>
    <x v="4"/>
    <x v="4"/>
    <x v="1"/>
    <x v="0"/>
    <x v="1"/>
    <x v="10"/>
    <n v="0"/>
    <n v="0"/>
    <n v="2064.8539999999998"/>
    <n v="2064.8539999999998"/>
    <n v="2064.8539999999998"/>
    <n v="2064.8539999999998"/>
    <n v="8983"/>
    <s v="CATIVO"/>
    <n v="0"/>
    <n v="0"/>
    <n v="9"/>
    <n v="59"/>
    <n v="0"/>
    <n v="147.13999999999999"/>
    <n v="85.16"/>
    <m/>
    <n v="115.22508190403593"/>
    <n v="104.02058230712306"/>
    <n v="0"/>
    <n v="890757.36706000008"/>
    <n v="0"/>
    <n v="840747.67535398423"/>
    <x v="5"/>
  </r>
  <r>
    <s v="Refaturamento - Regular"/>
    <x v="2"/>
    <x v="3"/>
    <x v="4"/>
    <x v="4"/>
    <x v="1"/>
    <x v="0"/>
    <x v="1"/>
    <x v="10"/>
    <n v="0"/>
    <n v="0"/>
    <n v="-11.55"/>
    <n v="-11.55"/>
    <n v="-11.55"/>
    <n v="-11.55"/>
    <n v="0"/>
    <s v="CATIVO"/>
    <n v="0"/>
    <n v="0"/>
    <n v="9"/>
    <n v="59"/>
    <n v="0"/>
    <n v="147.13999999999999"/>
    <n v="85.16"/>
    <m/>
    <n v="115.22508190403593"/>
    <n v="104.02058230712306"/>
    <n v="0"/>
    <n v="-4982.5545000000011"/>
    <n v="0"/>
    <n v="-4702.8194973293603"/>
    <x v="5"/>
  </r>
  <r>
    <s v="Sistema Isolado - Regular"/>
    <x v="2"/>
    <x v="3"/>
    <x v="4"/>
    <x v="4"/>
    <x v="1"/>
    <x v="0"/>
    <x v="1"/>
    <x v="10"/>
    <n v="0"/>
    <n v="0"/>
    <n v="3774.047"/>
    <n v="3774.047"/>
    <n v="3774.047"/>
    <n v="3774.047"/>
    <n v="22362"/>
    <s v="CATIVO"/>
    <n v="0"/>
    <n v="0"/>
    <n v="9"/>
    <n v="59"/>
    <n v="0"/>
    <n v="147.13999999999999"/>
    <n v="85.16"/>
    <m/>
    <n v="115.22508190403593"/>
    <n v="104.02058230712306"/>
    <n v="0"/>
    <n v="1628086.1353300004"/>
    <n v="0"/>
    <n v="1536680.6766612451"/>
    <x v="5"/>
  </r>
  <r>
    <s v="Sistema Isolado - Refaturamento"/>
    <x v="2"/>
    <x v="3"/>
    <x v="4"/>
    <x v="4"/>
    <x v="1"/>
    <x v="0"/>
    <x v="1"/>
    <x v="10"/>
    <n v="0"/>
    <n v="0"/>
    <n v="-1.425"/>
    <n v="-1.425"/>
    <n v="-1.425"/>
    <n v="-1.425"/>
    <n v="0"/>
    <s v="CATIVO"/>
    <n v="0"/>
    <n v="0"/>
    <n v="9"/>
    <n v="59"/>
    <n v="0"/>
    <n v="147.13999999999999"/>
    <n v="85.16"/>
    <m/>
    <n v="115.22508190403593"/>
    <n v="104.02058230712306"/>
    <n v="0"/>
    <n v="-614.73075000000017"/>
    <n v="0"/>
    <n v="-580.21798993024572"/>
    <x v="5"/>
  </r>
  <r>
    <s v="Sistema de Compensação"/>
    <x v="2"/>
    <x v="3"/>
    <x v="4"/>
    <x v="4"/>
    <x v="1"/>
    <x v="0"/>
    <x v="1"/>
    <x v="10"/>
    <n v="0"/>
    <n v="0"/>
    <n v="5.8140000000000001"/>
    <n v="5.8140000000000001"/>
    <n v="5.8140000000000001"/>
    <n v="5.8140000000000001"/>
    <n v="0"/>
    <s v="CATIVO"/>
    <n v="0"/>
    <n v="0"/>
    <n v="9"/>
    <n v="59"/>
    <n v="0"/>
    <n v="147.13999999999999"/>
    <n v="85.16"/>
    <m/>
    <n v="115.22508190403593"/>
    <n v="104.02058230712306"/>
    <n v="0"/>
    <n v="2508.1014600000008"/>
    <n v="0"/>
    <n v="2367.2893989154027"/>
    <x v="5"/>
  </r>
  <r>
    <s v="PROJETADO"/>
    <x v="2"/>
    <x v="3"/>
    <x v="4"/>
    <x v="4"/>
    <x v="1"/>
    <x v="0"/>
    <x v="1"/>
    <x v="11"/>
    <n v="0"/>
    <n v="0"/>
    <n v="2064.8539999999998"/>
    <n v="2064.8539999999998"/>
    <n v="2064.8539999999998"/>
    <n v="2064.8539999999998"/>
    <n v="8983"/>
    <s v="CATIVO"/>
    <n v="0"/>
    <n v="0"/>
    <n v="9"/>
    <n v="59"/>
    <n v="0"/>
    <n v="147.13999999999999"/>
    <n v="85.16"/>
    <m/>
    <n v="115.22508190403593"/>
    <n v="104.02058230712306"/>
    <n v="0"/>
    <n v="890757.36706000008"/>
    <n v="0"/>
    <n v="840747.67535398423"/>
    <x v="5"/>
  </r>
  <r>
    <s v="PROJETADO"/>
    <x v="2"/>
    <x v="3"/>
    <x v="4"/>
    <x v="4"/>
    <x v="1"/>
    <x v="0"/>
    <x v="1"/>
    <x v="11"/>
    <n v="0"/>
    <n v="0"/>
    <n v="-11.55"/>
    <n v="-11.55"/>
    <n v="-11.55"/>
    <n v="-11.55"/>
    <n v="0"/>
    <s v="CATIVO"/>
    <n v="0"/>
    <n v="0"/>
    <n v="9"/>
    <n v="59"/>
    <n v="0"/>
    <n v="147.13999999999999"/>
    <n v="85.16"/>
    <m/>
    <n v="115.22508190403593"/>
    <n v="104.02058230712306"/>
    <n v="0"/>
    <n v="-4982.5545000000011"/>
    <n v="0"/>
    <n v="-4702.8194973293603"/>
    <x v="5"/>
  </r>
  <r>
    <s v="PROJETADO"/>
    <x v="2"/>
    <x v="3"/>
    <x v="4"/>
    <x v="4"/>
    <x v="1"/>
    <x v="0"/>
    <x v="1"/>
    <x v="11"/>
    <n v="0"/>
    <n v="0"/>
    <n v="3774.047"/>
    <n v="3774.047"/>
    <n v="3774.047"/>
    <n v="3774.047"/>
    <n v="22362"/>
    <s v="CATIVO"/>
    <n v="0"/>
    <n v="0"/>
    <n v="9"/>
    <n v="59"/>
    <n v="0"/>
    <n v="147.13999999999999"/>
    <n v="85.16"/>
    <m/>
    <n v="115.22508190403593"/>
    <n v="104.02058230712306"/>
    <n v="0"/>
    <n v="1628086.1353300004"/>
    <n v="0"/>
    <n v="1536680.6766612451"/>
    <x v="5"/>
  </r>
  <r>
    <s v="PROJETADO"/>
    <x v="2"/>
    <x v="3"/>
    <x v="4"/>
    <x v="4"/>
    <x v="1"/>
    <x v="0"/>
    <x v="1"/>
    <x v="11"/>
    <n v="0"/>
    <n v="0"/>
    <n v="-1.425"/>
    <n v="-1.425"/>
    <n v="-1.425"/>
    <n v="-1.425"/>
    <n v="0"/>
    <s v="CATIVO"/>
    <n v="0"/>
    <n v="0"/>
    <n v="9"/>
    <n v="59"/>
    <n v="0"/>
    <n v="147.13999999999999"/>
    <n v="85.16"/>
    <m/>
    <n v="115.22508190403593"/>
    <n v="104.02058230712306"/>
    <n v="0"/>
    <n v="-614.73075000000017"/>
    <n v="0"/>
    <n v="-580.21798993024572"/>
    <x v="5"/>
  </r>
  <r>
    <s v="PROJETADO"/>
    <x v="2"/>
    <x v="3"/>
    <x v="4"/>
    <x v="4"/>
    <x v="1"/>
    <x v="0"/>
    <x v="1"/>
    <x v="11"/>
    <n v="0"/>
    <n v="0"/>
    <n v="5.8140000000000001"/>
    <n v="5.8140000000000001"/>
    <n v="5.8140000000000001"/>
    <n v="5.8140000000000001"/>
    <n v="0"/>
    <s v="CATIVO"/>
    <n v="0"/>
    <n v="0"/>
    <n v="9"/>
    <n v="59"/>
    <n v="0"/>
    <n v="147.13999999999999"/>
    <n v="85.16"/>
    <m/>
    <n v="115.22508190403593"/>
    <n v="104.02058230712306"/>
    <n v="0"/>
    <n v="2508.1014600000008"/>
    <n v="0"/>
    <n v="2367.2893989154027"/>
    <x v="5"/>
  </r>
  <r>
    <s v="Regular"/>
    <x v="2"/>
    <x v="3"/>
    <x v="4"/>
    <x v="5"/>
    <x v="1"/>
    <x v="0"/>
    <x v="1"/>
    <x v="0"/>
    <n v="0"/>
    <n v="0"/>
    <n v="3289.5"/>
    <n v="3289.5"/>
    <n v="3289.5"/>
    <n v="3289.5"/>
    <n v="19133"/>
    <s v="CATIVO"/>
    <n v="0"/>
    <n v="0"/>
    <n v="10"/>
    <n v="60"/>
    <n v="0"/>
    <n v="252.24"/>
    <n v="145.97999999999999"/>
    <m/>
    <n v="197.52871183549016"/>
    <n v="178.32099824078242"/>
    <n v="0"/>
    <n v="873263.56500000006"/>
    <n v="0"/>
    <n v="824238.41419726552"/>
    <x v="5"/>
  </r>
  <r>
    <s v="Refaturamento - Regular"/>
    <x v="2"/>
    <x v="3"/>
    <x v="4"/>
    <x v="5"/>
    <x v="1"/>
    <x v="0"/>
    <x v="1"/>
    <x v="0"/>
    <n v="0"/>
    <n v="0"/>
    <n v="-4.3289999999999997"/>
    <n v="-4.3289999999999997"/>
    <n v="-4.3289999999999997"/>
    <n v="-4.3289999999999997"/>
    <n v="-41"/>
    <s v="CATIVO"/>
    <n v="0"/>
    <n v="0"/>
    <n v="10"/>
    <n v="60"/>
    <n v="0"/>
    <n v="252.24"/>
    <n v="145.97999999999999"/>
    <m/>
    <n v="197.52871183549016"/>
    <n v="178.32099824078242"/>
    <n v="0"/>
    <n v="-1149.2196300000001"/>
    <n v="0"/>
    <n v="-1084.7022632801222"/>
    <x v="5"/>
  </r>
  <r>
    <s v="Sistema Isolado - Regular"/>
    <x v="2"/>
    <x v="3"/>
    <x v="4"/>
    <x v="5"/>
    <x v="1"/>
    <x v="0"/>
    <x v="1"/>
    <x v="0"/>
    <n v="0"/>
    <n v="0"/>
    <n v="5666.1090000000004"/>
    <n v="5666.1090000000004"/>
    <n v="5666.1090000000004"/>
    <n v="5666.1090000000004"/>
    <n v="27981"/>
    <s v="CATIVO"/>
    <n v="0"/>
    <n v="0"/>
    <n v="10"/>
    <n v="60"/>
    <n v="0"/>
    <n v="252.24"/>
    <n v="145.97999999999999"/>
    <m/>
    <n v="197.52871183549016"/>
    <n v="178.32099824078242"/>
    <n v="0"/>
    <n v="1504181.9562300004"/>
    <n v="0"/>
    <n v="1419736.9499403723"/>
    <x v="5"/>
  </r>
  <r>
    <s v="Sistema Isolado - Refaturamento"/>
    <x v="2"/>
    <x v="3"/>
    <x v="4"/>
    <x v="5"/>
    <x v="1"/>
    <x v="0"/>
    <x v="1"/>
    <x v="0"/>
    <n v="0"/>
    <n v="0"/>
    <n v="-4.7480000000000002"/>
    <n v="-4.7480000000000002"/>
    <n v="-4.7480000000000002"/>
    <n v="-4.7480000000000002"/>
    <n v="-20"/>
    <s v="CATIVO"/>
    <n v="0"/>
    <n v="0"/>
    <n v="10"/>
    <n v="60"/>
    <n v="0"/>
    <n v="252.24"/>
    <n v="145.97999999999999"/>
    <m/>
    <n v="197.52871183549016"/>
    <n v="178.32099824078242"/>
    <n v="0"/>
    <n v="-1260.4515600000002"/>
    <n v="0"/>
    <n v="-1189.6896156280945"/>
    <x v="5"/>
  </r>
  <r>
    <s v="Regular"/>
    <x v="2"/>
    <x v="3"/>
    <x v="4"/>
    <x v="5"/>
    <x v="1"/>
    <x v="0"/>
    <x v="1"/>
    <x v="1"/>
    <n v="0"/>
    <n v="0"/>
    <n v="3746.348"/>
    <n v="3746.348"/>
    <n v="3746.348"/>
    <n v="3746.348"/>
    <n v="22159"/>
    <s v="CATIVO"/>
    <n v="0"/>
    <n v="0"/>
    <n v="10"/>
    <n v="60"/>
    <n v="0"/>
    <n v="252.24"/>
    <n v="145.97999999999999"/>
    <m/>
    <n v="197.52871183549016"/>
    <n v="178.32099824078242"/>
    <n v="0"/>
    <n v="994543.0035600001"/>
    <n v="0"/>
    <n v="938709.20642988209"/>
    <x v="5"/>
  </r>
  <r>
    <s v="Refaturamento - Regular"/>
    <x v="2"/>
    <x v="3"/>
    <x v="4"/>
    <x v="5"/>
    <x v="1"/>
    <x v="0"/>
    <x v="1"/>
    <x v="1"/>
    <n v="0"/>
    <n v="0"/>
    <n v="-6.7919999999999998"/>
    <n v="-6.7919999999999998"/>
    <n v="-6.7919999999999998"/>
    <n v="-6.7919999999999998"/>
    <n v="0"/>
    <s v="CATIVO"/>
    <n v="0"/>
    <n v="0"/>
    <n v="10"/>
    <n v="60"/>
    <n v="0"/>
    <n v="252.24"/>
    <n v="145.97999999999999"/>
    <m/>
    <n v="197.52871183549016"/>
    <n v="178.32099824078242"/>
    <n v="0"/>
    <n v="-1803.0722400000002"/>
    <n v="0"/>
    <n v="-1701.8474872253616"/>
    <x v="5"/>
  </r>
  <r>
    <s v="Sistema Isolado - Regular"/>
    <x v="2"/>
    <x v="3"/>
    <x v="4"/>
    <x v="5"/>
    <x v="1"/>
    <x v="0"/>
    <x v="1"/>
    <x v="1"/>
    <n v="0"/>
    <n v="0"/>
    <n v="6120.3680000000004"/>
    <n v="6120.3680000000004"/>
    <n v="6120.3680000000004"/>
    <n v="6120.3680000000004"/>
    <n v="31615"/>
    <s v="CATIVO"/>
    <n v="0"/>
    <n v="0"/>
    <n v="10"/>
    <n v="60"/>
    <n v="0"/>
    <n v="252.24"/>
    <n v="145.97999999999999"/>
    <m/>
    <n v="197.52871183549016"/>
    <n v="178.32099824078242"/>
    <n v="0"/>
    <n v="1624774.0929600003"/>
    <n v="0"/>
    <n v="1533559.0255733971"/>
    <x v="5"/>
  </r>
  <r>
    <s v="Sistema Isolado - Refaturamento"/>
    <x v="2"/>
    <x v="3"/>
    <x v="4"/>
    <x v="5"/>
    <x v="1"/>
    <x v="0"/>
    <x v="1"/>
    <x v="1"/>
    <n v="0"/>
    <n v="0"/>
    <n v="-6.5750000000000002"/>
    <n v="-6.5750000000000002"/>
    <n v="-6.5750000000000002"/>
    <n v="-6.5750000000000002"/>
    <n v="0"/>
    <s v="CATIVO"/>
    <n v="0"/>
    <n v="0"/>
    <n v="10"/>
    <n v="60"/>
    <n v="0"/>
    <n v="252.24"/>
    <n v="145.97999999999999"/>
    <m/>
    <n v="197.52871183549016"/>
    <n v="178.32099824078242"/>
    <n v="0"/>
    <n v="-1745.4652500000002"/>
    <n v="0"/>
    <n v="-1647.4745625009944"/>
    <x v="5"/>
  </r>
  <r>
    <s v="Regular"/>
    <x v="2"/>
    <x v="3"/>
    <x v="4"/>
    <x v="5"/>
    <x v="1"/>
    <x v="0"/>
    <x v="1"/>
    <x v="2"/>
    <n v="0"/>
    <n v="0"/>
    <n v="3875.0279999999998"/>
    <n v="3875.0279999999998"/>
    <n v="3875.0279999999998"/>
    <n v="3875.0279999999998"/>
    <n v="21806"/>
    <s v="CATIVO"/>
    <n v="0"/>
    <n v="0"/>
    <n v="10"/>
    <n v="60"/>
    <n v="0"/>
    <n v="252.24"/>
    <n v="145.97999999999999"/>
    <m/>
    <n v="197.52871183549016"/>
    <n v="178.32099824078242"/>
    <n v="0"/>
    <n v="1028703.68316"/>
    <n v="0"/>
    <n v="970952.10022495862"/>
    <x v="5"/>
  </r>
  <r>
    <s v="Refaturamento - Regular"/>
    <x v="2"/>
    <x v="3"/>
    <x v="4"/>
    <x v="5"/>
    <x v="1"/>
    <x v="0"/>
    <x v="1"/>
    <x v="2"/>
    <n v="0"/>
    <n v="0"/>
    <n v="-8.5250000000000004"/>
    <n v="-8.5250000000000004"/>
    <n v="-8.5250000000000004"/>
    <n v="-8.5250000000000004"/>
    <n v="0"/>
    <s v="CATIVO"/>
    <n v="0"/>
    <n v="0"/>
    <n v="10"/>
    <n v="60"/>
    <n v="0"/>
    <n v="252.24"/>
    <n v="145.97999999999999"/>
    <m/>
    <n v="197.52871183549016"/>
    <n v="178.32099824078242"/>
    <n v="0"/>
    <n v="-2263.1317500000005"/>
    <n v="0"/>
    <n v="-2136.0791856001488"/>
    <x v="5"/>
  </r>
  <r>
    <s v="Sistema Isolado - Regular"/>
    <x v="2"/>
    <x v="3"/>
    <x v="4"/>
    <x v="5"/>
    <x v="1"/>
    <x v="0"/>
    <x v="1"/>
    <x v="2"/>
    <n v="0"/>
    <n v="0"/>
    <n v="6055.92"/>
    <n v="6055.92"/>
    <n v="6055.92"/>
    <n v="6055.92"/>
    <n v="34511"/>
    <s v="CATIVO"/>
    <n v="0"/>
    <n v="0"/>
    <n v="10"/>
    <n v="60"/>
    <n v="0"/>
    <n v="252.24"/>
    <n v="145.97999999999999"/>
    <m/>
    <n v="197.52871183549016"/>
    <n v="178.32099824078242"/>
    <n v="0"/>
    <n v="1607665.0824000002"/>
    <n v="0"/>
    <n v="1517410.5174967335"/>
    <x v="5"/>
  </r>
  <r>
    <s v="Sistema Isolado - Refaturamento"/>
    <x v="2"/>
    <x v="3"/>
    <x v="4"/>
    <x v="5"/>
    <x v="1"/>
    <x v="0"/>
    <x v="1"/>
    <x v="2"/>
    <n v="0"/>
    <n v="0"/>
    <n v="-4.3979999999999997"/>
    <n v="-4.3979999999999997"/>
    <n v="-4.3979999999999997"/>
    <n v="-4.3979999999999997"/>
    <n v="0"/>
    <s v="CATIVO"/>
    <n v="0"/>
    <n v="0"/>
    <n v="10"/>
    <n v="60"/>
    <n v="0"/>
    <n v="252.24"/>
    <n v="145.97999999999999"/>
    <m/>
    <n v="197.52871183549016"/>
    <n v="178.32099824078242"/>
    <n v="0"/>
    <n v="-1167.5370600000001"/>
    <n v="0"/>
    <n v="-1101.9913499436309"/>
    <x v="5"/>
  </r>
  <r>
    <s v="Sistema de Compensação"/>
    <x v="2"/>
    <x v="3"/>
    <x v="4"/>
    <x v="5"/>
    <x v="1"/>
    <x v="0"/>
    <x v="1"/>
    <x v="2"/>
    <n v="0"/>
    <n v="0"/>
    <n v="0.02"/>
    <n v="0.02"/>
    <n v="0.02"/>
    <n v="0.02"/>
    <n v="0"/>
    <s v="CATIVO"/>
    <n v="0"/>
    <n v="0"/>
    <n v="10"/>
    <n v="60"/>
    <n v="0"/>
    <n v="252.24"/>
    <n v="145.97999999999999"/>
    <m/>
    <n v="197.52871183549016"/>
    <n v="178.32099824078242"/>
    <n v="0"/>
    <n v="5.309400000000001"/>
    <n v="0"/>
    <n v="5.0113294676836331"/>
    <x v="5"/>
  </r>
  <r>
    <s v="Sistema de Compensação"/>
    <x v="2"/>
    <x v="3"/>
    <x v="4"/>
    <x v="5"/>
    <x v="1"/>
    <x v="0"/>
    <x v="1"/>
    <x v="2"/>
    <n v="0"/>
    <n v="0"/>
    <n v="0.32700000000000001"/>
    <n v="0.32700000000000001"/>
    <n v="0.32700000000000001"/>
    <n v="0.32700000000000001"/>
    <n v="0"/>
    <s v="CATIVO"/>
    <n v="0"/>
    <n v="0"/>
    <n v="10"/>
    <n v="60"/>
    <n v="0"/>
    <n v="252.24"/>
    <n v="145.97999999999999"/>
    <m/>
    <n v="197.52871183549016"/>
    <n v="178.32099824078242"/>
    <n v="0"/>
    <n v="86.808690000000013"/>
    <n v="0"/>
    <n v="81.935236796627407"/>
    <x v="5"/>
  </r>
  <r>
    <s v="Regular"/>
    <x v="2"/>
    <x v="3"/>
    <x v="4"/>
    <x v="5"/>
    <x v="1"/>
    <x v="0"/>
    <x v="1"/>
    <x v="3"/>
    <n v="0"/>
    <n v="0"/>
    <n v="3629.8249999999998"/>
    <n v="3629.8249999999998"/>
    <n v="3629.8249999999998"/>
    <n v="3629.8249999999998"/>
    <n v="24844"/>
    <s v="CATIVO"/>
    <n v="0"/>
    <n v="0"/>
    <n v="10"/>
    <n v="60"/>
    <n v="0"/>
    <n v="252.24"/>
    <n v="145.97999999999999"/>
    <m/>
    <n v="197.52871183549016"/>
    <n v="178.32099824078242"/>
    <n v="0"/>
    <n v="963609.64275"/>
    <n v="0"/>
    <n v="909512.4492517371"/>
    <x v="5"/>
  </r>
  <r>
    <s v="Refaturamento - Regular"/>
    <x v="2"/>
    <x v="3"/>
    <x v="4"/>
    <x v="5"/>
    <x v="1"/>
    <x v="0"/>
    <x v="1"/>
    <x v="3"/>
    <n v="0"/>
    <n v="0"/>
    <n v="-5.8780000000000001"/>
    <n v="-5.8780000000000001"/>
    <n v="-5.8780000000000001"/>
    <n v="-5.8780000000000001"/>
    <n v="0"/>
    <s v="CATIVO"/>
    <n v="0"/>
    <n v="0"/>
    <n v="10"/>
    <n v="60"/>
    <n v="0"/>
    <n v="252.24"/>
    <n v="145.97999999999999"/>
    <m/>
    <n v="197.52871183549016"/>
    <n v="178.32099824078242"/>
    <n v="0"/>
    <n v="-1560.4326600000002"/>
    <n v="0"/>
    <n v="-1472.8297305522199"/>
    <x v="5"/>
  </r>
  <r>
    <s v="Sistema Isolado - Regular"/>
    <x v="2"/>
    <x v="3"/>
    <x v="4"/>
    <x v="5"/>
    <x v="1"/>
    <x v="0"/>
    <x v="1"/>
    <x v="3"/>
    <n v="0"/>
    <n v="0"/>
    <n v="5884.6030000000001"/>
    <n v="5884.6030000000001"/>
    <n v="5884.6030000000001"/>
    <n v="5884.6030000000001"/>
    <n v="35599"/>
    <s v="CATIVO"/>
    <n v="0"/>
    <n v="0"/>
    <n v="10"/>
    <n v="60"/>
    <n v="0"/>
    <n v="252.24"/>
    <n v="145.97999999999999"/>
    <m/>
    <n v="197.52871183549016"/>
    <n v="178.32099824078242"/>
    <n v="0"/>
    <n v="1562185.5584100003"/>
    <n v="0"/>
    <n v="1474484.2209759755"/>
    <x v="5"/>
  </r>
  <r>
    <s v="Sistema Isolado - Refaturamento"/>
    <x v="2"/>
    <x v="3"/>
    <x v="4"/>
    <x v="5"/>
    <x v="1"/>
    <x v="0"/>
    <x v="1"/>
    <x v="3"/>
    <n v="0"/>
    <n v="0"/>
    <n v="-15.532999999999999"/>
    <n v="-15.532999999999999"/>
    <n v="-15.532999999999999"/>
    <n v="-15.532999999999999"/>
    <n v="0"/>
    <s v="CATIVO"/>
    <n v="0"/>
    <n v="0"/>
    <n v="10"/>
    <n v="60"/>
    <n v="0"/>
    <n v="252.24"/>
    <n v="145.97999999999999"/>
    <m/>
    <n v="197.52871183549016"/>
    <n v="178.32099824078242"/>
    <n v="0"/>
    <n v="-4123.5455099999999"/>
    <n v="0"/>
    <n v="-3892.0490310764935"/>
    <x v="5"/>
  </r>
  <r>
    <s v="Sistema de Compensação"/>
    <x v="2"/>
    <x v="3"/>
    <x v="4"/>
    <x v="5"/>
    <x v="1"/>
    <x v="0"/>
    <x v="1"/>
    <x v="3"/>
    <n v="0"/>
    <n v="0"/>
    <n v="0.11"/>
    <n v="0.11"/>
    <n v="0.11"/>
    <n v="0.11"/>
    <n v="0"/>
    <s v="CATIVO"/>
    <n v="0"/>
    <n v="0"/>
    <n v="10"/>
    <n v="60"/>
    <n v="0"/>
    <n v="252.24"/>
    <n v="145.97999999999999"/>
    <m/>
    <n v="197.52871183549016"/>
    <n v="178.32099824078242"/>
    <n v="0"/>
    <n v="29.201700000000002"/>
    <n v="0"/>
    <n v="27.562312072259981"/>
    <x v="5"/>
  </r>
  <r>
    <s v="Regular"/>
    <x v="2"/>
    <x v="3"/>
    <x v="4"/>
    <x v="5"/>
    <x v="1"/>
    <x v="0"/>
    <x v="1"/>
    <x v="4"/>
    <n v="0"/>
    <n v="0"/>
    <n v="3651.268"/>
    <n v="3651.268"/>
    <n v="3651.268"/>
    <n v="3651.268"/>
    <n v="23187"/>
    <s v="CATIVO"/>
    <n v="0"/>
    <n v="0"/>
    <n v="10"/>
    <n v="60"/>
    <n v="0"/>
    <n v="252.24"/>
    <n v="145.97999999999999"/>
    <m/>
    <n v="197.52871183549016"/>
    <n v="178.32099824078242"/>
    <n v="0"/>
    <n v="969302.11596000008"/>
    <n v="0"/>
    <n v="914885.34614051413"/>
    <x v="5"/>
  </r>
  <r>
    <s v="Refaturamento - Regular"/>
    <x v="2"/>
    <x v="3"/>
    <x v="4"/>
    <x v="5"/>
    <x v="1"/>
    <x v="0"/>
    <x v="1"/>
    <x v="4"/>
    <n v="0"/>
    <n v="0"/>
    <n v="-28.635999999999999"/>
    <n v="-28.635999999999999"/>
    <n v="-28.635999999999999"/>
    <n v="-28.635999999999999"/>
    <n v="0"/>
    <s v="CATIVO"/>
    <n v="0"/>
    <n v="0"/>
    <n v="10"/>
    <n v="60"/>
    <n v="0"/>
    <n v="252.24"/>
    <n v="145.97999999999999"/>
    <m/>
    <n v="197.52871183549016"/>
    <n v="178.32099824078242"/>
    <n v="0"/>
    <n v="-7601.9989200000009"/>
    <n v="0"/>
    <n v="-7175.2215318294257"/>
    <x v="5"/>
  </r>
  <r>
    <s v="Sistema Isolado - Regular"/>
    <x v="2"/>
    <x v="3"/>
    <x v="4"/>
    <x v="5"/>
    <x v="1"/>
    <x v="0"/>
    <x v="1"/>
    <x v="4"/>
    <n v="0"/>
    <n v="0"/>
    <n v="6013.1149999999998"/>
    <n v="6013.1149999999998"/>
    <n v="6013.1149999999998"/>
    <n v="6013.1149999999998"/>
    <n v="36178"/>
    <s v="CATIVO"/>
    <n v="0"/>
    <n v="0"/>
    <n v="10"/>
    <n v="60"/>
    <n v="0"/>
    <n v="252.24"/>
    <n v="145.97999999999999"/>
    <m/>
    <n v="197.52871183549016"/>
    <n v="178.32099824078242"/>
    <n v="0"/>
    <n v="1596301.6390500001"/>
    <n v="0"/>
    <n v="1506685.0196035234"/>
    <x v="5"/>
  </r>
  <r>
    <s v="Sistema Isolado - Refaturamento"/>
    <x v="2"/>
    <x v="3"/>
    <x v="4"/>
    <x v="5"/>
    <x v="1"/>
    <x v="0"/>
    <x v="1"/>
    <x v="4"/>
    <n v="0"/>
    <n v="0"/>
    <n v="-10.236000000000001"/>
    <n v="-10.236000000000001"/>
    <n v="-10.236000000000001"/>
    <n v="-10.236000000000001"/>
    <n v="0"/>
    <s v="CATIVO"/>
    <n v="0"/>
    <n v="0"/>
    <n v="10"/>
    <n v="60"/>
    <n v="0"/>
    <n v="252.24"/>
    <n v="145.97999999999999"/>
    <m/>
    <n v="197.52871183549016"/>
    <n v="178.32099824078242"/>
    <n v="0"/>
    <n v="-2717.3509200000003"/>
    <n v="0"/>
    <n v="-2564.7984215604833"/>
    <x v="5"/>
  </r>
  <r>
    <s v="Sistema de Compensação"/>
    <x v="2"/>
    <x v="3"/>
    <x v="4"/>
    <x v="5"/>
    <x v="1"/>
    <x v="0"/>
    <x v="1"/>
    <x v="4"/>
    <n v="0"/>
    <n v="0"/>
    <n v="0.31"/>
    <n v="0.31"/>
    <n v="0.31"/>
    <n v="0.31"/>
    <n v="0"/>
    <s v="CATIVO"/>
    <n v="0"/>
    <n v="0"/>
    <n v="10"/>
    <n v="60"/>
    <n v="0"/>
    <n v="252.24"/>
    <n v="145.97999999999999"/>
    <m/>
    <n v="197.52871183549016"/>
    <n v="178.32099824078242"/>
    <n v="0"/>
    <n v="82.295700000000011"/>
    <n v="0"/>
    <n v="77.675606749096318"/>
    <x v="5"/>
  </r>
  <r>
    <s v="Regular"/>
    <x v="2"/>
    <x v="3"/>
    <x v="4"/>
    <x v="5"/>
    <x v="1"/>
    <x v="0"/>
    <x v="1"/>
    <x v="5"/>
    <n v="0"/>
    <n v="0"/>
    <n v="3515.0920000000001"/>
    <n v="3515.0920000000001"/>
    <n v="3515.0920000000001"/>
    <n v="3515.0920000000001"/>
    <n v="16611"/>
    <s v="CATIVO"/>
    <n v="0"/>
    <n v="0"/>
    <n v="10"/>
    <n v="60"/>
    <n v="0"/>
    <n v="252.24"/>
    <n v="145.97999999999999"/>
    <m/>
    <n v="197.52871183549016"/>
    <n v="178.32099824078242"/>
    <n v="0"/>
    <n v="933151.47324000008"/>
    <n v="0"/>
    <n v="880764.20606094983"/>
    <x v="5"/>
  </r>
  <r>
    <s v="Refaturamento - Regular"/>
    <x v="2"/>
    <x v="3"/>
    <x v="4"/>
    <x v="5"/>
    <x v="1"/>
    <x v="0"/>
    <x v="1"/>
    <x v="5"/>
    <n v="0"/>
    <n v="0"/>
    <n v="-6.1360000000000001"/>
    <n v="-6.1360000000000001"/>
    <n v="-6.1360000000000001"/>
    <n v="-6.1360000000000001"/>
    <n v="0"/>
    <s v="CATIVO"/>
    <n v="0"/>
    <n v="0"/>
    <n v="10"/>
    <n v="60"/>
    <n v="0"/>
    <n v="252.24"/>
    <n v="145.97999999999999"/>
    <m/>
    <n v="197.52871183549016"/>
    <n v="178.32099824078242"/>
    <n v="0"/>
    <n v="-1628.9239200000002"/>
    <n v="0"/>
    <n v="-1537.4758806853386"/>
    <x v="5"/>
  </r>
  <r>
    <s v="Sistema Isolado - Regular"/>
    <x v="2"/>
    <x v="3"/>
    <x v="4"/>
    <x v="5"/>
    <x v="1"/>
    <x v="0"/>
    <x v="1"/>
    <x v="5"/>
    <n v="0"/>
    <n v="0"/>
    <n v="6156.6170000000002"/>
    <n v="6156.6170000000002"/>
    <n v="6156.6170000000002"/>
    <n v="6156.6170000000002"/>
    <n v="31457"/>
    <s v="CATIVO"/>
    <n v="0"/>
    <n v="0"/>
    <n v="10"/>
    <n v="60"/>
    <n v="0"/>
    <n v="252.24"/>
    <n v="145.97999999999999"/>
    <m/>
    <n v="197.52871183549016"/>
    <n v="178.32099824078242"/>
    <n v="0"/>
    <n v="1634397.1149900001"/>
    <n v="0"/>
    <n v="1542641.8096671004"/>
    <x v="5"/>
  </r>
  <r>
    <s v="Sistema Isolado - Refaturamento"/>
    <x v="2"/>
    <x v="3"/>
    <x v="4"/>
    <x v="5"/>
    <x v="1"/>
    <x v="0"/>
    <x v="1"/>
    <x v="5"/>
    <n v="0"/>
    <n v="0"/>
    <n v="-17.922000000000001"/>
    <n v="-17.922000000000001"/>
    <n v="-17.922000000000001"/>
    <n v="-17.922000000000001"/>
    <n v="0"/>
    <s v="CATIVO"/>
    <n v="0"/>
    <n v="0"/>
    <n v="10"/>
    <n v="60"/>
    <n v="0"/>
    <n v="252.24"/>
    <n v="145.97999999999999"/>
    <m/>
    <n v="197.52871183549016"/>
    <n v="178.32099824078242"/>
    <n v="0"/>
    <n v="-4757.7533400000002"/>
    <n v="0"/>
    <n v="-4490.6523359913035"/>
    <x v="5"/>
  </r>
  <r>
    <s v="Sistema de Compensação"/>
    <x v="2"/>
    <x v="3"/>
    <x v="4"/>
    <x v="5"/>
    <x v="1"/>
    <x v="0"/>
    <x v="1"/>
    <x v="5"/>
    <n v="0"/>
    <n v="0"/>
    <n v="0.31"/>
    <n v="0.31"/>
    <n v="0.31"/>
    <n v="0.31"/>
    <n v="0"/>
    <s v="CATIVO"/>
    <n v="0"/>
    <n v="0"/>
    <n v="10"/>
    <n v="60"/>
    <n v="0"/>
    <n v="252.24"/>
    <n v="145.97999999999999"/>
    <m/>
    <n v="197.52871183549016"/>
    <n v="178.32099824078242"/>
    <n v="0"/>
    <n v="82.295700000000011"/>
    <n v="0"/>
    <n v="77.675606749096318"/>
    <x v="5"/>
  </r>
  <r>
    <s v="Regular"/>
    <x v="2"/>
    <x v="3"/>
    <x v="4"/>
    <x v="5"/>
    <x v="1"/>
    <x v="0"/>
    <x v="1"/>
    <x v="6"/>
    <n v="0"/>
    <n v="0"/>
    <n v="3522.761"/>
    <n v="3522.761"/>
    <n v="3522.761"/>
    <n v="3522.761"/>
    <n v="16814"/>
    <s v="CATIVO"/>
    <n v="0"/>
    <n v="0"/>
    <n v="10"/>
    <n v="60"/>
    <n v="0"/>
    <n v="252.24"/>
    <n v="145.97999999999999"/>
    <m/>
    <n v="197.52871183549016"/>
    <n v="178.32099824078242"/>
    <n v="0"/>
    <n v="935187.36267000006"/>
    <n v="0"/>
    <n v="882685.80034533318"/>
    <x v="5"/>
  </r>
  <r>
    <s v="Refaturamento - Regular"/>
    <x v="2"/>
    <x v="3"/>
    <x v="4"/>
    <x v="5"/>
    <x v="1"/>
    <x v="0"/>
    <x v="1"/>
    <x v="6"/>
    <n v="0"/>
    <n v="0"/>
    <n v="-5.5149999999999997"/>
    <n v="-5.5149999999999997"/>
    <n v="-5.5149999999999997"/>
    <n v="-5.5149999999999997"/>
    <n v="0"/>
    <s v="CATIVO"/>
    <n v="0"/>
    <n v="0"/>
    <n v="10"/>
    <n v="60"/>
    <n v="0"/>
    <n v="252.24"/>
    <n v="145.97999999999999"/>
    <m/>
    <n v="197.52871183549016"/>
    <n v="178.32099824078242"/>
    <n v="0"/>
    <n v="-1464.0670500000001"/>
    <n v="0"/>
    <n v="-1381.8741007137617"/>
    <x v="5"/>
  </r>
  <r>
    <s v="Sistema Isolado - Regular"/>
    <x v="2"/>
    <x v="3"/>
    <x v="4"/>
    <x v="5"/>
    <x v="1"/>
    <x v="0"/>
    <x v="1"/>
    <x v="6"/>
    <n v="0"/>
    <n v="0"/>
    <n v="6155.3789999999999"/>
    <n v="6155.3789999999999"/>
    <n v="6155.3789999999999"/>
    <n v="6155.3789999999999"/>
    <n v="31727"/>
    <s v="CATIVO"/>
    <n v="0"/>
    <n v="0"/>
    <n v="10"/>
    <n v="60"/>
    <n v="0"/>
    <n v="252.24"/>
    <n v="145.97999999999999"/>
    <m/>
    <n v="197.52871183549016"/>
    <n v="178.32099824078242"/>
    <n v="0"/>
    <n v="1634068.46313"/>
    <n v="0"/>
    <n v="1542331.6083730506"/>
    <x v="5"/>
  </r>
  <r>
    <s v="Sistema Isolado - Refaturamento"/>
    <x v="2"/>
    <x v="3"/>
    <x v="4"/>
    <x v="5"/>
    <x v="1"/>
    <x v="0"/>
    <x v="1"/>
    <x v="6"/>
    <n v="0"/>
    <n v="0"/>
    <n v="-14.021000000000001"/>
    <n v="-14.021000000000001"/>
    <n v="-14.021000000000001"/>
    <n v="-14.021000000000001"/>
    <n v="0"/>
    <s v="CATIVO"/>
    <n v="0"/>
    <n v="0"/>
    <n v="10"/>
    <n v="60"/>
    <n v="0"/>
    <n v="252.24"/>
    <n v="145.97999999999999"/>
    <m/>
    <n v="197.52871183549016"/>
    <n v="178.32099824078242"/>
    <n v="0"/>
    <n v="-3722.1548700000008"/>
    <n v="0"/>
    <n v="-3513.1925233196112"/>
    <x v="5"/>
  </r>
  <r>
    <s v="Sistema de Compensação"/>
    <x v="2"/>
    <x v="3"/>
    <x v="4"/>
    <x v="5"/>
    <x v="1"/>
    <x v="0"/>
    <x v="1"/>
    <x v="6"/>
    <n v="0"/>
    <n v="0"/>
    <n v="0.31"/>
    <n v="0.31"/>
    <n v="0.31"/>
    <n v="0.31"/>
    <n v="0"/>
    <s v="CATIVO"/>
    <n v="0"/>
    <n v="0"/>
    <n v="10"/>
    <n v="60"/>
    <n v="0"/>
    <n v="252.24"/>
    <n v="145.97999999999999"/>
    <m/>
    <n v="197.52871183549016"/>
    <n v="178.32099824078242"/>
    <n v="0"/>
    <n v="82.295700000000011"/>
    <n v="0"/>
    <n v="77.675606749096318"/>
    <x v="5"/>
  </r>
  <r>
    <s v="Sistema de Compensação"/>
    <x v="2"/>
    <x v="3"/>
    <x v="4"/>
    <x v="5"/>
    <x v="1"/>
    <x v="0"/>
    <x v="1"/>
    <x v="6"/>
    <n v="0"/>
    <n v="0"/>
    <n v="-0.05"/>
    <n v="-0.05"/>
    <n v="-0.05"/>
    <n v="-0.05"/>
    <n v="0"/>
    <s v="CATIVO"/>
    <n v="0"/>
    <n v="0"/>
    <n v="10"/>
    <n v="60"/>
    <n v="0"/>
    <n v="252.24"/>
    <n v="145.97999999999999"/>
    <m/>
    <n v="197.52871183549016"/>
    <n v="178.32099824078242"/>
    <n v="0"/>
    <n v="-13.273500000000002"/>
    <n v="0"/>
    <n v="-12.528323669209083"/>
    <x v="5"/>
  </r>
  <r>
    <s v="Regular"/>
    <x v="2"/>
    <x v="3"/>
    <x v="4"/>
    <x v="5"/>
    <x v="1"/>
    <x v="0"/>
    <x v="1"/>
    <x v="7"/>
    <n v="0"/>
    <n v="0"/>
    <n v="3645.2350000000001"/>
    <n v="3645.2350000000001"/>
    <n v="3645.2350000000001"/>
    <n v="3645.2350000000001"/>
    <n v="15683"/>
    <s v="CATIVO"/>
    <n v="0"/>
    <n v="0"/>
    <n v="10"/>
    <n v="60"/>
    <n v="0"/>
    <n v="252.24"/>
    <n v="145.97999999999999"/>
    <m/>
    <n v="197.52871183549016"/>
    <n v="178.32099824078242"/>
    <n v="0"/>
    <n v="967700.53545000008"/>
    <n v="0"/>
    <n v="913373.67860658746"/>
    <x v="5"/>
  </r>
  <r>
    <s v="Refaturamento - Regular"/>
    <x v="2"/>
    <x v="3"/>
    <x v="4"/>
    <x v="5"/>
    <x v="1"/>
    <x v="0"/>
    <x v="1"/>
    <x v="7"/>
    <n v="0"/>
    <n v="0"/>
    <n v="-7.3449999999999998"/>
    <n v="-7.3449999999999998"/>
    <n v="-7.3449999999999998"/>
    <n v="-7.3449999999999998"/>
    <n v="0"/>
    <s v="CATIVO"/>
    <n v="0"/>
    <n v="0"/>
    <n v="10"/>
    <n v="60"/>
    <n v="0"/>
    <n v="252.24"/>
    <n v="145.97999999999999"/>
    <m/>
    <n v="197.52871183549016"/>
    <n v="178.32099824078242"/>
    <n v="0"/>
    <n v="-1949.87715"/>
    <n v="0"/>
    <n v="-1840.4107470068141"/>
    <x v="5"/>
  </r>
  <r>
    <s v="Sistema Isolado - Regular"/>
    <x v="2"/>
    <x v="3"/>
    <x v="4"/>
    <x v="5"/>
    <x v="1"/>
    <x v="0"/>
    <x v="1"/>
    <x v="7"/>
    <n v="0"/>
    <n v="0"/>
    <n v="6281.2030000000004"/>
    <n v="6281.2030000000004"/>
    <n v="6281.2030000000004"/>
    <n v="6281.2030000000004"/>
    <n v="30400"/>
    <s v="CATIVO"/>
    <n v="0"/>
    <n v="0"/>
    <n v="10"/>
    <n v="60"/>
    <n v="0"/>
    <n v="252.24"/>
    <n v="145.97999999999999"/>
    <m/>
    <n v="197.52871183549016"/>
    <n v="178.32099824078242"/>
    <n v="0"/>
    <n v="1667470.9604100003"/>
    <n v="0"/>
    <n v="1573858.884320142"/>
    <x v="5"/>
  </r>
  <r>
    <s v="Sistema Isolado - Refaturamento"/>
    <x v="2"/>
    <x v="3"/>
    <x v="4"/>
    <x v="5"/>
    <x v="1"/>
    <x v="0"/>
    <x v="1"/>
    <x v="7"/>
    <n v="0"/>
    <n v="0"/>
    <n v="-10.89"/>
    <n v="-10.89"/>
    <n v="-10.89"/>
    <n v="-10.89"/>
    <n v="0"/>
    <s v="CATIVO"/>
    <n v="0"/>
    <n v="0"/>
    <n v="10"/>
    <n v="60"/>
    <n v="0"/>
    <n v="252.24"/>
    <n v="145.97999999999999"/>
    <m/>
    <n v="197.52871183549016"/>
    <n v="178.32099824078242"/>
    <n v="0"/>
    <n v="-2890.9683000000005"/>
    <n v="0"/>
    <n v="-2728.6688951537385"/>
    <x v="5"/>
  </r>
  <r>
    <s v="Sistema de Compensação"/>
    <x v="2"/>
    <x v="3"/>
    <x v="4"/>
    <x v="5"/>
    <x v="1"/>
    <x v="0"/>
    <x v="1"/>
    <x v="7"/>
    <n v="0"/>
    <n v="0"/>
    <n v="0.4"/>
    <n v="0.4"/>
    <n v="0.4"/>
    <n v="0.4"/>
    <n v="0"/>
    <s v="CATIVO"/>
    <n v="0"/>
    <n v="0"/>
    <n v="10"/>
    <n v="60"/>
    <n v="0"/>
    <n v="252.24"/>
    <n v="145.97999999999999"/>
    <m/>
    <n v="197.52871183549016"/>
    <n v="178.32099824078242"/>
    <n v="0"/>
    <n v="106.18800000000002"/>
    <n v="0"/>
    <n v="100.22658935367267"/>
    <x v="5"/>
  </r>
  <r>
    <s v="Regular"/>
    <x v="2"/>
    <x v="3"/>
    <x v="4"/>
    <x v="5"/>
    <x v="1"/>
    <x v="0"/>
    <x v="1"/>
    <x v="8"/>
    <n v="0"/>
    <n v="0"/>
    <n v="3557.2159999999999"/>
    <n v="3557.2159999999999"/>
    <n v="3557.2159999999999"/>
    <n v="3557.2159999999999"/>
    <n v="16501"/>
    <s v="CATIVO"/>
    <n v="0"/>
    <n v="0"/>
    <n v="10"/>
    <n v="60"/>
    <n v="0"/>
    <n v="252.24"/>
    <n v="145.97999999999999"/>
    <m/>
    <n v="197.52871183549016"/>
    <n v="178.32099824078242"/>
    <n v="0"/>
    <n v="944334.13152000005"/>
    <n v="0"/>
    <n v="891319.06818578509"/>
    <x v="5"/>
  </r>
  <r>
    <s v="Refaturamento - Regular"/>
    <x v="2"/>
    <x v="3"/>
    <x v="4"/>
    <x v="5"/>
    <x v="1"/>
    <x v="0"/>
    <x v="1"/>
    <x v="8"/>
    <n v="0"/>
    <n v="0"/>
    <n v="-14.151"/>
    <n v="-14.151"/>
    <n v="-14.151"/>
    <n v="-14.151"/>
    <n v="0"/>
    <s v="CATIVO"/>
    <n v="0"/>
    <n v="0"/>
    <n v="10"/>
    <n v="60"/>
    <n v="0"/>
    <n v="252.24"/>
    <n v="145.97999999999999"/>
    <m/>
    <n v="197.52871183549016"/>
    <n v="178.32099824078242"/>
    <n v="0"/>
    <n v="-3756.6659700000005"/>
    <n v="0"/>
    <n v="-3545.7661648595545"/>
    <x v="5"/>
  </r>
  <r>
    <s v="Sistema Isolado - Regular"/>
    <x v="2"/>
    <x v="3"/>
    <x v="4"/>
    <x v="5"/>
    <x v="1"/>
    <x v="0"/>
    <x v="1"/>
    <x v="8"/>
    <n v="0"/>
    <n v="0"/>
    <n v="6103.1670000000004"/>
    <n v="6103.1670000000004"/>
    <n v="6103.1670000000004"/>
    <n v="6103.1670000000004"/>
    <n v="34108"/>
    <s v="CATIVO"/>
    <n v="0"/>
    <n v="0"/>
    <n v="10"/>
    <n v="60"/>
    <n v="0"/>
    <n v="252.24"/>
    <n v="145.97999999999999"/>
    <m/>
    <n v="197.52871183549016"/>
    <n v="178.32099824078242"/>
    <n v="0"/>
    <n v="1620207.7434900003"/>
    <n v="0"/>
    <n v="1529249.0316647158"/>
    <x v="5"/>
  </r>
  <r>
    <s v="Sistema Isolado - Refaturamento"/>
    <x v="2"/>
    <x v="3"/>
    <x v="4"/>
    <x v="5"/>
    <x v="1"/>
    <x v="0"/>
    <x v="1"/>
    <x v="8"/>
    <n v="0"/>
    <n v="0"/>
    <n v="-12.086"/>
    <n v="-12.086"/>
    <n v="-12.086"/>
    <n v="-12.086"/>
    <n v="0"/>
    <s v="CATIVO"/>
    <n v="0"/>
    <n v="0"/>
    <n v="10"/>
    <n v="60"/>
    <n v="0"/>
    <n v="252.24"/>
    <n v="145.97999999999999"/>
    <m/>
    <n v="197.52871183549016"/>
    <n v="178.32099824078242"/>
    <n v="0"/>
    <n v="-3208.4704200000006"/>
    <n v="0"/>
    <n v="-3028.3463973212197"/>
    <x v="5"/>
  </r>
  <r>
    <s v="Sistema de Compensação"/>
    <x v="2"/>
    <x v="3"/>
    <x v="4"/>
    <x v="5"/>
    <x v="1"/>
    <x v="0"/>
    <x v="1"/>
    <x v="8"/>
    <n v="0"/>
    <n v="0"/>
    <n v="0.47"/>
    <n v="0.47"/>
    <n v="0.47"/>
    <n v="0.47"/>
    <n v="0"/>
    <s v="CATIVO"/>
    <n v="0"/>
    <n v="0"/>
    <n v="10"/>
    <n v="60"/>
    <n v="0"/>
    <n v="252.24"/>
    <n v="145.97999999999999"/>
    <m/>
    <n v="197.52871183549016"/>
    <n v="178.32099824078242"/>
    <n v="0"/>
    <n v="124.77090000000001"/>
    <n v="0"/>
    <n v="117.76624249056538"/>
    <x v="5"/>
  </r>
  <r>
    <s v="Regular"/>
    <x v="2"/>
    <x v="3"/>
    <x v="4"/>
    <x v="5"/>
    <x v="1"/>
    <x v="0"/>
    <x v="1"/>
    <x v="9"/>
    <n v="0"/>
    <n v="0"/>
    <n v="3662.4870000000001"/>
    <n v="3662.4870000000001"/>
    <n v="3662.4870000000001"/>
    <n v="3662.4870000000001"/>
    <n v="15334"/>
    <s v="CATIVO"/>
    <n v="0"/>
    <n v="0"/>
    <n v="10"/>
    <n v="60"/>
    <n v="0"/>
    <n v="252.24"/>
    <n v="145.97999999999999"/>
    <m/>
    <n v="197.52871183549016"/>
    <n v="178.32099824078242"/>
    <n v="0"/>
    <n v="972280.42389000009"/>
    <n v="0"/>
    <n v="917696.45140541135"/>
    <x v="5"/>
  </r>
  <r>
    <s v="Refaturamento - Regular"/>
    <x v="2"/>
    <x v="3"/>
    <x v="4"/>
    <x v="5"/>
    <x v="1"/>
    <x v="0"/>
    <x v="1"/>
    <x v="9"/>
    <n v="0"/>
    <n v="0"/>
    <n v="-13.510999999999999"/>
    <n v="-13.510999999999999"/>
    <n v="-13.510999999999999"/>
    <n v="-13.510999999999999"/>
    <n v="0"/>
    <s v="CATIVO"/>
    <n v="0"/>
    <n v="0"/>
    <n v="10"/>
    <n v="60"/>
    <n v="0"/>
    <n v="252.24"/>
    <n v="145.97999999999999"/>
    <m/>
    <n v="197.52871183549016"/>
    <n v="178.32099824078242"/>
    <n v="0"/>
    <n v="-3586.7651700000001"/>
    <n v="0"/>
    <n v="-3385.4036218936781"/>
    <x v="5"/>
  </r>
  <r>
    <s v="Sistema Isolado - Regular"/>
    <x v="2"/>
    <x v="3"/>
    <x v="4"/>
    <x v="5"/>
    <x v="1"/>
    <x v="0"/>
    <x v="1"/>
    <x v="9"/>
    <n v="0"/>
    <n v="0"/>
    <n v="6236.8689999999997"/>
    <n v="6236.8689999999997"/>
    <n v="6236.8689999999997"/>
    <n v="6236.8689999999997"/>
    <n v="31415"/>
    <s v="CATIVO"/>
    <n v="0"/>
    <n v="0"/>
    <n v="10"/>
    <n v="60"/>
    <n v="0"/>
    <n v="252.24"/>
    <n v="145.97999999999999"/>
    <m/>
    <n v="197.52871183549016"/>
    <n v="178.32099824078242"/>
    <n v="0"/>
    <n v="1655701.6134300001"/>
    <n v="0"/>
    <n v="1562750.2702891275"/>
    <x v="5"/>
  </r>
  <r>
    <s v="Sistema Isolado - Refaturamento"/>
    <x v="2"/>
    <x v="3"/>
    <x v="4"/>
    <x v="5"/>
    <x v="1"/>
    <x v="0"/>
    <x v="1"/>
    <x v="9"/>
    <n v="0"/>
    <n v="0"/>
    <n v="-12.356"/>
    <n v="-12.356"/>
    <n v="-12.356"/>
    <n v="-12.356"/>
    <n v="0"/>
    <s v="CATIVO"/>
    <n v="0"/>
    <n v="0"/>
    <n v="10"/>
    <n v="60"/>
    <n v="0"/>
    <n v="252.24"/>
    <n v="145.97999999999999"/>
    <m/>
    <n v="197.52871183549016"/>
    <n v="178.32099824078242"/>
    <n v="0"/>
    <n v="-3280.1473200000005"/>
    <n v="0"/>
    <n v="-3095.9993451349483"/>
    <x v="5"/>
  </r>
  <r>
    <s v="Sistema de Compensação"/>
    <x v="2"/>
    <x v="3"/>
    <x v="4"/>
    <x v="5"/>
    <x v="1"/>
    <x v="0"/>
    <x v="1"/>
    <x v="9"/>
    <n v="0"/>
    <n v="0"/>
    <n v="0.59"/>
    <n v="0.59"/>
    <n v="0.59"/>
    <n v="0.59"/>
    <n v="0"/>
    <s v="CATIVO"/>
    <n v="0"/>
    <n v="0"/>
    <n v="10"/>
    <n v="60"/>
    <n v="0"/>
    <n v="252.24"/>
    <n v="145.97999999999999"/>
    <m/>
    <n v="197.52871183549016"/>
    <n v="178.32099824078242"/>
    <n v="0"/>
    <n v="156.62730000000002"/>
    <n v="0"/>
    <n v="147.83421929666716"/>
    <x v="5"/>
  </r>
  <r>
    <s v="Regular"/>
    <x v="2"/>
    <x v="3"/>
    <x v="4"/>
    <x v="5"/>
    <x v="1"/>
    <x v="0"/>
    <x v="1"/>
    <x v="10"/>
    <n v="0"/>
    <n v="0"/>
    <n v="3683.6120000000001"/>
    <n v="3683.6120000000001"/>
    <n v="3683.6120000000001"/>
    <n v="3683.6120000000001"/>
    <n v="15119"/>
    <s v="CATIVO"/>
    <n v="0"/>
    <n v="0"/>
    <n v="10"/>
    <n v="60"/>
    <n v="0"/>
    <n v="252.24"/>
    <n v="145.97999999999999"/>
    <m/>
    <n v="197.52871183549016"/>
    <n v="178.32099824078242"/>
    <n v="0"/>
    <n v="977888.47764000017"/>
    <n v="0"/>
    <n v="922989.66815565212"/>
    <x v="5"/>
  </r>
  <r>
    <s v="Refaturamento - Regular"/>
    <x v="2"/>
    <x v="3"/>
    <x v="4"/>
    <x v="5"/>
    <x v="1"/>
    <x v="0"/>
    <x v="1"/>
    <x v="10"/>
    <n v="0"/>
    <n v="0"/>
    <n v="-8.1210000000000004"/>
    <n v="-8.1210000000000004"/>
    <n v="-8.1210000000000004"/>
    <n v="-8.1210000000000004"/>
    <n v="0"/>
    <s v="CATIVO"/>
    <n v="0"/>
    <n v="0"/>
    <n v="10"/>
    <n v="60"/>
    <n v="0"/>
    <n v="252.24"/>
    <n v="145.97999999999999"/>
    <m/>
    <n v="197.52871183549016"/>
    <n v="178.32099824078242"/>
    <n v="0"/>
    <n v="-2155.8818700000002"/>
    <n v="0"/>
    <n v="-2034.8503303529392"/>
    <x v="5"/>
  </r>
  <r>
    <s v="Sistema Isolado - Regular"/>
    <x v="2"/>
    <x v="3"/>
    <x v="4"/>
    <x v="5"/>
    <x v="1"/>
    <x v="0"/>
    <x v="1"/>
    <x v="10"/>
    <n v="0"/>
    <n v="0"/>
    <n v="6345.0460000000003"/>
    <n v="6345.0460000000003"/>
    <n v="6345.0460000000003"/>
    <n v="6345.0460000000003"/>
    <n v="29571"/>
    <s v="CATIVO"/>
    <n v="0"/>
    <n v="0"/>
    <n v="10"/>
    <n v="60"/>
    <n v="0"/>
    <n v="252.24"/>
    <n v="145.97999999999999"/>
    <m/>
    <n v="197.52871183549016"/>
    <n v="178.32099824078242"/>
    <n v="0"/>
    <n v="1684419.3616200003"/>
    <n v="0"/>
    <n v="1589855.7996804083"/>
    <x v="5"/>
  </r>
  <r>
    <s v="Sistema Isolado - Refaturamento"/>
    <x v="2"/>
    <x v="3"/>
    <x v="4"/>
    <x v="5"/>
    <x v="1"/>
    <x v="0"/>
    <x v="1"/>
    <x v="10"/>
    <n v="0"/>
    <n v="0"/>
    <n v="-8.2929999999999993"/>
    <n v="-8.2929999999999993"/>
    <n v="-8.2929999999999993"/>
    <n v="-8.2929999999999993"/>
    <n v="0"/>
    <s v="CATIVO"/>
    <n v="0"/>
    <n v="0"/>
    <n v="10"/>
    <n v="60"/>
    <n v="0"/>
    <n v="252.24"/>
    <n v="145.97999999999999"/>
    <m/>
    <n v="197.52871183549016"/>
    <n v="178.32099824078242"/>
    <n v="0"/>
    <n v="-2201.5427100000002"/>
    <n v="0"/>
    <n v="-2077.9477637750183"/>
    <x v="5"/>
  </r>
  <r>
    <s v="Sistema de Compensação"/>
    <x v="2"/>
    <x v="3"/>
    <x v="4"/>
    <x v="5"/>
    <x v="1"/>
    <x v="0"/>
    <x v="1"/>
    <x v="10"/>
    <n v="0"/>
    <n v="0"/>
    <n v="0.64100000000000001"/>
    <n v="0.64100000000000001"/>
    <n v="0.64100000000000001"/>
    <n v="0.64100000000000001"/>
    <n v="0"/>
    <s v="CATIVO"/>
    <n v="0"/>
    <n v="0"/>
    <n v="10"/>
    <n v="60"/>
    <n v="0"/>
    <n v="252.24"/>
    <n v="145.97999999999999"/>
    <m/>
    <n v="197.52871183549016"/>
    <n v="178.32099824078242"/>
    <n v="0"/>
    <n v="170.16627000000003"/>
    <n v="0"/>
    <n v="160.61310943926043"/>
    <x v="5"/>
  </r>
  <r>
    <s v="PROJETADO"/>
    <x v="2"/>
    <x v="3"/>
    <x v="4"/>
    <x v="5"/>
    <x v="1"/>
    <x v="0"/>
    <x v="1"/>
    <x v="11"/>
    <n v="0"/>
    <n v="0"/>
    <n v="3683.6120000000001"/>
    <n v="3683.6120000000001"/>
    <n v="3683.6120000000001"/>
    <n v="3683.6120000000001"/>
    <n v="15119"/>
    <s v="CATIVO"/>
    <n v="0"/>
    <n v="0"/>
    <n v="10"/>
    <n v="60"/>
    <n v="0"/>
    <n v="252.24"/>
    <n v="145.97999999999999"/>
    <m/>
    <n v="197.52871183549016"/>
    <n v="178.32099824078242"/>
    <n v="0"/>
    <n v="977888.47764000017"/>
    <n v="0"/>
    <n v="922989.66815565212"/>
    <x v="5"/>
  </r>
  <r>
    <s v="PROJETADO"/>
    <x v="2"/>
    <x v="3"/>
    <x v="4"/>
    <x v="5"/>
    <x v="1"/>
    <x v="0"/>
    <x v="1"/>
    <x v="11"/>
    <n v="0"/>
    <n v="0"/>
    <n v="-8.1210000000000004"/>
    <n v="-8.1210000000000004"/>
    <n v="-8.1210000000000004"/>
    <n v="-8.1210000000000004"/>
    <n v="0"/>
    <s v="CATIVO"/>
    <n v="0"/>
    <n v="0"/>
    <n v="10"/>
    <n v="60"/>
    <n v="0"/>
    <n v="252.24"/>
    <n v="145.97999999999999"/>
    <m/>
    <n v="197.52871183549016"/>
    <n v="178.32099824078242"/>
    <n v="0"/>
    <n v="-2155.8818700000002"/>
    <n v="0"/>
    <n v="-2034.8503303529392"/>
    <x v="5"/>
  </r>
  <r>
    <s v="PROJETADO"/>
    <x v="2"/>
    <x v="3"/>
    <x v="4"/>
    <x v="5"/>
    <x v="1"/>
    <x v="0"/>
    <x v="1"/>
    <x v="11"/>
    <n v="0"/>
    <n v="0"/>
    <n v="6345.0460000000003"/>
    <n v="6345.0460000000003"/>
    <n v="6345.0460000000003"/>
    <n v="6345.0460000000003"/>
    <n v="29571"/>
    <s v="CATIVO"/>
    <n v="0"/>
    <n v="0"/>
    <n v="10"/>
    <n v="60"/>
    <n v="0"/>
    <n v="252.24"/>
    <n v="145.97999999999999"/>
    <m/>
    <n v="197.52871183549016"/>
    <n v="178.32099824078242"/>
    <n v="0"/>
    <n v="1684419.3616200003"/>
    <n v="0"/>
    <n v="1589855.7996804083"/>
    <x v="5"/>
  </r>
  <r>
    <s v="PROJETADO"/>
    <x v="2"/>
    <x v="3"/>
    <x v="4"/>
    <x v="5"/>
    <x v="1"/>
    <x v="0"/>
    <x v="1"/>
    <x v="11"/>
    <n v="0"/>
    <n v="0"/>
    <n v="-8.2929999999999993"/>
    <n v="-8.2929999999999993"/>
    <n v="-8.2929999999999993"/>
    <n v="-8.2929999999999993"/>
    <n v="0"/>
    <s v="CATIVO"/>
    <n v="0"/>
    <n v="0"/>
    <n v="10"/>
    <n v="60"/>
    <n v="0"/>
    <n v="252.24"/>
    <n v="145.97999999999999"/>
    <m/>
    <n v="197.52871183549016"/>
    <n v="178.32099824078242"/>
    <n v="0"/>
    <n v="-2201.5427100000002"/>
    <n v="0"/>
    <n v="-2077.9477637750183"/>
    <x v="5"/>
  </r>
  <r>
    <s v="PROJETADO"/>
    <x v="2"/>
    <x v="3"/>
    <x v="4"/>
    <x v="5"/>
    <x v="1"/>
    <x v="0"/>
    <x v="1"/>
    <x v="11"/>
    <n v="0"/>
    <n v="0"/>
    <n v="0.64100000000000001"/>
    <n v="0.64100000000000001"/>
    <n v="0.64100000000000001"/>
    <n v="0.64100000000000001"/>
    <n v="0"/>
    <s v="CATIVO"/>
    <n v="0"/>
    <n v="0"/>
    <n v="10"/>
    <n v="60"/>
    <n v="0"/>
    <n v="252.24"/>
    <n v="145.97999999999999"/>
    <m/>
    <n v="197.52871183549016"/>
    <n v="178.32099824078242"/>
    <n v="0"/>
    <n v="170.16627000000003"/>
    <n v="0"/>
    <n v="160.61310943926043"/>
    <x v="5"/>
  </r>
  <r>
    <s v="Regular"/>
    <x v="2"/>
    <x v="3"/>
    <x v="4"/>
    <x v="6"/>
    <x v="1"/>
    <x v="0"/>
    <x v="1"/>
    <x v="0"/>
    <n v="0"/>
    <n v="0"/>
    <n v="3165.4250000000002"/>
    <n v="3165.4250000000002"/>
    <n v="3165.4250000000002"/>
    <n v="3165.4250000000002"/>
    <n v="21718"/>
    <s v="CATIVO"/>
    <n v="0"/>
    <n v="0"/>
    <n v="6"/>
    <n v="52"/>
    <n v="0"/>
    <n v="378.36"/>
    <n v="218.97"/>
    <m/>
    <n v="296.29306775323528"/>
    <n v="267.48149736117364"/>
    <n v="0"/>
    <n v="210057.60300000015"/>
    <n v="0"/>
    <n v="198287.34475303057"/>
    <x v="5"/>
  </r>
  <r>
    <s v="Refaturamento - Regular"/>
    <x v="2"/>
    <x v="3"/>
    <x v="4"/>
    <x v="6"/>
    <x v="1"/>
    <x v="0"/>
    <x v="1"/>
    <x v="0"/>
    <n v="0"/>
    <n v="0"/>
    <n v="-7.7649999999999997"/>
    <n v="-7.7649999999999997"/>
    <n v="-7.7649999999999997"/>
    <n v="-7.7649999999999997"/>
    <n v="-33"/>
    <s v="CATIVO"/>
    <n v="0"/>
    <n v="0"/>
    <n v="6"/>
    <n v="52"/>
    <n v="0"/>
    <n v="378.36"/>
    <n v="218.97"/>
    <m/>
    <n v="296.29306775323528"/>
    <n v="267.48149736117364"/>
    <n v="0"/>
    <n v="-515.28540000000032"/>
    <n v="0"/>
    <n v="-486.41216645704202"/>
    <x v="5"/>
  </r>
  <r>
    <s v="Sistema Isolado - Regular"/>
    <x v="2"/>
    <x v="3"/>
    <x v="4"/>
    <x v="6"/>
    <x v="1"/>
    <x v="0"/>
    <x v="1"/>
    <x v="0"/>
    <n v="0"/>
    <n v="0"/>
    <n v="4861.6059999999998"/>
    <n v="4861.6059999999998"/>
    <n v="4861.6059999999998"/>
    <n v="4861.6059999999998"/>
    <n v="43068"/>
    <s v="CATIVO"/>
    <n v="0"/>
    <n v="0"/>
    <n v="6"/>
    <n v="52"/>
    <n v="0"/>
    <n v="378.36"/>
    <n v="218.97"/>
    <m/>
    <n v="296.29306775323528"/>
    <n v="267.48149736117364"/>
    <n v="0"/>
    <n v="322616.17416000017"/>
    <n v="0"/>
    <n v="304538.86760084407"/>
    <x v="5"/>
  </r>
  <r>
    <s v="Sistema Isolado - Refaturamento"/>
    <x v="2"/>
    <x v="3"/>
    <x v="4"/>
    <x v="6"/>
    <x v="1"/>
    <x v="0"/>
    <x v="1"/>
    <x v="0"/>
    <n v="0"/>
    <n v="0"/>
    <n v="-7.7370000000000001"/>
    <n v="-7.7370000000000001"/>
    <n v="-7.7370000000000001"/>
    <n v="-7.7370000000000001"/>
    <n v="-50"/>
    <s v="CATIVO"/>
    <n v="0"/>
    <n v="0"/>
    <n v="6"/>
    <n v="52"/>
    <n v="0"/>
    <n v="378.36"/>
    <n v="218.97"/>
    <m/>
    <n v="296.29306775323528"/>
    <n v="267.48149736117364"/>
    <n v="0"/>
    <n v="-513.42732000000035"/>
    <n v="0"/>
    <n v="-484.65820114335276"/>
    <x v="5"/>
  </r>
  <r>
    <s v="Regular"/>
    <x v="2"/>
    <x v="3"/>
    <x v="4"/>
    <x v="6"/>
    <x v="1"/>
    <x v="0"/>
    <x v="1"/>
    <x v="1"/>
    <n v="0"/>
    <n v="0"/>
    <n v="3554.72"/>
    <n v="3554.72"/>
    <n v="3554.72"/>
    <n v="3554.72"/>
    <n v="25021"/>
    <s v="CATIVO"/>
    <n v="0"/>
    <n v="0"/>
    <n v="6"/>
    <n v="52"/>
    <n v="0"/>
    <n v="378.36"/>
    <n v="218.97"/>
    <m/>
    <n v="296.29306775323528"/>
    <n v="267.48149736117364"/>
    <n v="0"/>
    <n v="235891.21920000014"/>
    <n v="0"/>
    <n v="222673.41356705426"/>
    <x v="5"/>
  </r>
  <r>
    <s v="Refaturamento - Regular"/>
    <x v="2"/>
    <x v="3"/>
    <x v="4"/>
    <x v="6"/>
    <x v="1"/>
    <x v="0"/>
    <x v="1"/>
    <x v="1"/>
    <n v="0"/>
    <n v="0"/>
    <n v="-10.01"/>
    <n v="-10.01"/>
    <n v="-10.01"/>
    <n v="-10.01"/>
    <n v="0"/>
    <s v="CATIVO"/>
    <n v="0"/>
    <n v="0"/>
    <n v="6"/>
    <n v="52"/>
    <n v="0"/>
    <n v="378.36"/>
    <n v="218.97"/>
    <m/>
    <n v="296.29306775323528"/>
    <n v="267.48149736117364"/>
    <n v="0"/>
    <n v="-664.26360000000045"/>
    <n v="0"/>
    <n v="-627.04259964391383"/>
    <x v="5"/>
  </r>
  <r>
    <s v="Sistema Isolado - Regular"/>
    <x v="2"/>
    <x v="3"/>
    <x v="4"/>
    <x v="6"/>
    <x v="1"/>
    <x v="0"/>
    <x v="1"/>
    <x v="1"/>
    <n v="0"/>
    <n v="0"/>
    <n v="5089.3940000000002"/>
    <n v="5089.3940000000002"/>
    <n v="5089.3940000000002"/>
    <n v="5089.3940000000002"/>
    <n v="47104"/>
    <s v="CATIVO"/>
    <n v="0"/>
    <n v="0"/>
    <n v="6"/>
    <n v="52"/>
    <n v="0"/>
    <n v="378.36"/>
    <n v="218.97"/>
    <m/>
    <n v="296.29306775323528"/>
    <n v="267.48149736117364"/>
    <n v="0"/>
    <n v="337732.18584000022"/>
    <n v="0"/>
    <n v="318807.87656065304"/>
    <x v="5"/>
  </r>
  <r>
    <s v="Sistema Isolado - Refaturamento"/>
    <x v="2"/>
    <x v="3"/>
    <x v="4"/>
    <x v="6"/>
    <x v="1"/>
    <x v="0"/>
    <x v="1"/>
    <x v="1"/>
    <n v="0"/>
    <n v="0"/>
    <n v="-10.057"/>
    <n v="-10.057"/>
    <n v="-10.057"/>
    <n v="-10.057"/>
    <n v="0"/>
    <s v="CATIVO"/>
    <n v="0"/>
    <n v="0"/>
    <n v="6"/>
    <n v="52"/>
    <n v="0"/>
    <n v="378.36"/>
    <n v="218.97"/>
    <m/>
    <n v="296.29306775323528"/>
    <n v="267.48149736117364"/>
    <n v="0"/>
    <n v="-667.38252000000045"/>
    <n v="0"/>
    <n v="-629.98675570617797"/>
    <x v="5"/>
  </r>
  <r>
    <s v="Regular"/>
    <x v="2"/>
    <x v="3"/>
    <x v="4"/>
    <x v="6"/>
    <x v="1"/>
    <x v="0"/>
    <x v="1"/>
    <x v="2"/>
    <n v="0"/>
    <n v="0"/>
    <n v="3776.9380000000001"/>
    <n v="3776.9380000000001"/>
    <n v="3776.9380000000001"/>
    <n v="3776.9380000000001"/>
    <n v="25546"/>
    <s v="CATIVO"/>
    <n v="0"/>
    <n v="0"/>
    <n v="6"/>
    <n v="52"/>
    <n v="0"/>
    <n v="378.36"/>
    <n v="218.97"/>
    <m/>
    <n v="296.29306775323528"/>
    <n v="267.48149736117364"/>
    <n v="0"/>
    <n v="250637.60568000015"/>
    <n v="0"/>
    <n v="236593.50871267577"/>
    <x v="5"/>
  </r>
  <r>
    <s v="Refaturamento - Regular"/>
    <x v="2"/>
    <x v="3"/>
    <x v="4"/>
    <x v="6"/>
    <x v="1"/>
    <x v="0"/>
    <x v="1"/>
    <x v="2"/>
    <n v="0"/>
    <n v="0"/>
    <n v="-14.41"/>
    <n v="-14.41"/>
    <n v="-14.41"/>
    <n v="-14.41"/>
    <n v="0"/>
    <s v="CATIVO"/>
    <n v="0"/>
    <n v="0"/>
    <n v="6"/>
    <n v="52"/>
    <n v="0"/>
    <n v="378.36"/>
    <n v="218.97"/>
    <m/>
    <n v="296.29306775323528"/>
    <n v="267.48149736117364"/>
    <n v="0"/>
    <n v="-956.2476000000006"/>
    <n v="0"/>
    <n v="-902.66572036651326"/>
    <x v="5"/>
  </r>
  <r>
    <s v="Sistema Isolado - Regular"/>
    <x v="2"/>
    <x v="3"/>
    <x v="4"/>
    <x v="6"/>
    <x v="1"/>
    <x v="0"/>
    <x v="1"/>
    <x v="2"/>
    <n v="0"/>
    <n v="0"/>
    <n v="4809.9409999999998"/>
    <n v="4809.9409999999998"/>
    <n v="4809.9409999999998"/>
    <n v="4809.9409999999998"/>
    <n v="46604"/>
    <s v="CATIVO"/>
    <n v="0"/>
    <n v="0"/>
    <n v="6"/>
    <n v="52"/>
    <n v="0"/>
    <n v="378.36"/>
    <n v="218.97"/>
    <m/>
    <n v="296.29306775323528"/>
    <n v="267.48149736117364"/>
    <n v="0"/>
    <n v="319187.68476000021"/>
    <n v="0"/>
    <n v="301302.48838899564"/>
    <x v="5"/>
  </r>
  <r>
    <s v="Sistema Isolado - Refaturamento"/>
    <x v="2"/>
    <x v="3"/>
    <x v="4"/>
    <x v="6"/>
    <x v="1"/>
    <x v="0"/>
    <x v="1"/>
    <x v="2"/>
    <n v="0"/>
    <n v="0"/>
    <n v="-6.6639999999999997"/>
    <n v="-6.6639999999999997"/>
    <n v="-6.6639999999999997"/>
    <n v="-6.6639999999999997"/>
    <n v="0"/>
    <s v="CATIVO"/>
    <n v="0"/>
    <n v="0"/>
    <n v="6"/>
    <n v="52"/>
    <n v="0"/>
    <n v="378.36"/>
    <n v="218.97"/>
    <m/>
    <n v="296.29306775323528"/>
    <n v="267.48149736117364"/>
    <n v="0"/>
    <n v="-442.22304000000025"/>
    <n v="0"/>
    <n v="-417.44374465804611"/>
    <x v="5"/>
  </r>
  <r>
    <s v="Regular"/>
    <x v="2"/>
    <x v="3"/>
    <x v="4"/>
    <x v="6"/>
    <x v="1"/>
    <x v="0"/>
    <x v="1"/>
    <x v="3"/>
    <n v="0"/>
    <n v="0"/>
    <n v="3147.1849999999999"/>
    <n v="3147.1849999999999"/>
    <n v="3147.1849999999999"/>
    <n v="3147.1849999999999"/>
    <n v="24803"/>
    <s v="CATIVO"/>
    <n v="0"/>
    <n v="0"/>
    <n v="6"/>
    <n v="52"/>
    <n v="0"/>
    <n v="378.36"/>
    <n v="218.97"/>
    <m/>
    <n v="296.29306775323528"/>
    <n v="267.48149736117364"/>
    <n v="0"/>
    <n v="208847.19660000014"/>
    <n v="0"/>
    <n v="197144.76163439869"/>
    <x v="5"/>
  </r>
  <r>
    <s v="Refaturamento - Regular"/>
    <x v="2"/>
    <x v="3"/>
    <x v="4"/>
    <x v="6"/>
    <x v="1"/>
    <x v="0"/>
    <x v="1"/>
    <x v="3"/>
    <n v="0"/>
    <n v="0"/>
    <n v="-11.196"/>
    <n v="-11.196"/>
    <n v="-11.196"/>
    <n v="-11.196"/>
    <n v="0"/>
    <s v="CATIVO"/>
    <n v="0"/>
    <n v="0"/>
    <n v="6"/>
    <n v="52"/>
    <n v="0"/>
    <n v="378.36"/>
    <n v="218.97"/>
    <m/>
    <n v="296.29306775323528"/>
    <n v="267.48149736117364"/>
    <n v="0"/>
    <n v="-742.96656000000041"/>
    <n v="0"/>
    <n v="-701.33555900232352"/>
    <x v="5"/>
  </r>
  <r>
    <s v="Sistema Isolado - Regular"/>
    <x v="2"/>
    <x v="3"/>
    <x v="4"/>
    <x v="6"/>
    <x v="1"/>
    <x v="0"/>
    <x v="1"/>
    <x v="3"/>
    <n v="0"/>
    <n v="0"/>
    <n v="4478.4930000000004"/>
    <n v="4478.4930000000004"/>
    <n v="4478.4930000000004"/>
    <n v="4478.4930000000004"/>
    <n v="45450"/>
    <s v="CATIVO"/>
    <n v="0"/>
    <n v="0"/>
    <n v="6"/>
    <n v="52"/>
    <n v="0"/>
    <n v="378.36"/>
    <n v="218.97"/>
    <m/>
    <n v="296.29306775323528"/>
    <n v="267.48149736117364"/>
    <n v="0"/>
    <n v="297192.7954800002"/>
    <n v="0"/>
    <n v="280540.04927143565"/>
    <x v="5"/>
  </r>
  <r>
    <s v="Sistema Isolado - Refaturamento"/>
    <x v="2"/>
    <x v="3"/>
    <x v="4"/>
    <x v="6"/>
    <x v="1"/>
    <x v="0"/>
    <x v="1"/>
    <x v="3"/>
    <n v="0"/>
    <n v="0"/>
    <n v="-14.226000000000001"/>
    <n v="-14.226000000000001"/>
    <n v="-14.226000000000001"/>
    <n v="-14.226000000000001"/>
    <n v="0"/>
    <s v="CATIVO"/>
    <n v="0"/>
    <n v="0"/>
    <n v="6"/>
    <n v="52"/>
    <n v="0"/>
    <n v="378.36"/>
    <n v="218.97"/>
    <m/>
    <n v="296.29306775323528"/>
    <n v="267.48149736117364"/>
    <n v="0"/>
    <n v="-944.0373600000006"/>
    <n v="0"/>
    <n v="-891.139662590841"/>
    <x v="5"/>
  </r>
  <r>
    <s v="Regular"/>
    <x v="2"/>
    <x v="3"/>
    <x v="4"/>
    <x v="6"/>
    <x v="1"/>
    <x v="0"/>
    <x v="1"/>
    <x v="4"/>
    <n v="0"/>
    <n v="0"/>
    <n v="3351.1550000000002"/>
    <n v="3351.1550000000002"/>
    <n v="3351.1550000000002"/>
    <n v="3351.1550000000002"/>
    <n v="23749"/>
    <s v="CATIVO"/>
    <n v="0"/>
    <n v="0"/>
    <n v="6"/>
    <n v="52"/>
    <n v="0"/>
    <n v="378.36"/>
    <n v="218.97"/>
    <m/>
    <n v="296.29306775323528"/>
    <n v="267.48149736117364"/>
    <n v="0"/>
    <n v="222382.64580000014"/>
    <n v="0"/>
    <n v="209921.77252844156"/>
    <x v="5"/>
  </r>
  <r>
    <s v="Refaturamento - Regular"/>
    <x v="2"/>
    <x v="3"/>
    <x v="4"/>
    <x v="6"/>
    <x v="1"/>
    <x v="0"/>
    <x v="1"/>
    <x v="4"/>
    <n v="0"/>
    <n v="0"/>
    <n v="-46.134999999999998"/>
    <n v="-46.134999999999998"/>
    <n v="-46.134999999999998"/>
    <n v="-46.134999999999998"/>
    <n v="0"/>
    <s v="CATIVO"/>
    <n v="0"/>
    <n v="0"/>
    <n v="6"/>
    <n v="52"/>
    <n v="0"/>
    <n v="378.36"/>
    <n v="218.97"/>
    <m/>
    <n v="296.29306775323528"/>
    <n v="267.48149736117364"/>
    <n v="0"/>
    <n v="-3061.5186000000017"/>
    <n v="0"/>
    <n v="-2889.9710623948013"/>
    <x v="5"/>
  </r>
  <r>
    <s v="Sistema Isolado - Regular"/>
    <x v="2"/>
    <x v="3"/>
    <x v="4"/>
    <x v="6"/>
    <x v="1"/>
    <x v="0"/>
    <x v="1"/>
    <x v="4"/>
    <n v="0"/>
    <n v="0"/>
    <n v="4585.1030000000001"/>
    <n v="4585.1030000000001"/>
    <n v="4585.1030000000001"/>
    <n v="4585.1030000000001"/>
    <n v="46464"/>
    <s v="CATIVO"/>
    <n v="0"/>
    <n v="0"/>
    <n v="6"/>
    <n v="52"/>
    <n v="0"/>
    <n v="378.36"/>
    <n v="218.97"/>
    <m/>
    <n v="296.29306775323528"/>
    <n v="267.48149736117364"/>
    <n v="0"/>
    <n v="304267.4350800002"/>
    <n v="0"/>
    <n v="287218.27220330748"/>
    <x v="5"/>
  </r>
  <r>
    <s v="Sistema Isolado - Refaturamento"/>
    <x v="2"/>
    <x v="3"/>
    <x v="4"/>
    <x v="6"/>
    <x v="1"/>
    <x v="0"/>
    <x v="1"/>
    <x v="4"/>
    <n v="0"/>
    <n v="0"/>
    <n v="-13.526"/>
    <n v="-13.526"/>
    <n v="-13.526"/>
    <n v="-13.526"/>
    <n v="0"/>
    <s v="CATIVO"/>
    <n v="0"/>
    <n v="0"/>
    <n v="6"/>
    <n v="52"/>
    <n v="0"/>
    <n v="378.36"/>
    <n v="218.97"/>
    <m/>
    <n v="296.29306775323528"/>
    <n v="267.48149736117364"/>
    <n v="0"/>
    <n v="-897.58536000000061"/>
    <n v="0"/>
    <n v="-847.29052974860917"/>
    <x v="5"/>
  </r>
  <r>
    <s v="Sistema de Compensação"/>
    <x v="2"/>
    <x v="3"/>
    <x v="4"/>
    <x v="6"/>
    <x v="1"/>
    <x v="0"/>
    <x v="1"/>
    <x v="4"/>
    <n v="0"/>
    <n v="0"/>
    <n v="0.12"/>
    <n v="0.12"/>
    <n v="0.12"/>
    <n v="0.12"/>
    <n v="0"/>
    <s v="CATIVO"/>
    <n v="0"/>
    <n v="0"/>
    <n v="6"/>
    <n v="52"/>
    <n v="0"/>
    <n v="378.36"/>
    <n v="218.97"/>
    <m/>
    <n v="296.29306775323528"/>
    <n v="267.48149736117364"/>
    <n v="0"/>
    <n v="7.9632000000000049"/>
    <n v="0"/>
    <n v="7.5169942015254394"/>
    <x v="5"/>
  </r>
  <r>
    <s v="Regular"/>
    <x v="2"/>
    <x v="3"/>
    <x v="4"/>
    <x v="6"/>
    <x v="1"/>
    <x v="0"/>
    <x v="1"/>
    <x v="5"/>
    <n v="0"/>
    <n v="0"/>
    <n v="3475.22"/>
    <n v="3475.22"/>
    <n v="3475.22"/>
    <n v="3475.22"/>
    <n v="23023"/>
    <s v="CATIVO"/>
    <n v="0"/>
    <n v="0"/>
    <n v="6"/>
    <n v="52"/>
    <n v="0"/>
    <n v="378.36"/>
    <n v="218.97"/>
    <m/>
    <n v="296.29306775323528"/>
    <n v="267.48149736117364"/>
    <n v="0"/>
    <n v="230615.59920000014"/>
    <n v="0"/>
    <n v="217693.40490854366"/>
    <x v="5"/>
  </r>
  <r>
    <s v="Refaturamento - Regular"/>
    <x v="2"/>
    <x v="3"/>
    <x v="4"/>
    <x v="6"/>
    <x v="1"/>
    <x v="0"/>
    <x v="1"/>
    <x v="5"/>
    <n v="0"/>
    <n v="0"/>
    <n v="-12.143000000000001"/>
    <n v="-12.143000000000001"/>
    <n v="-12.143000000000001"/>
    <n v="-12.143000000000001"/>
    <n v="0"/>
    <s v="CATIVO"/>
    <n v="0"/>
    <n v="0"/>
    <n v="6"/>
    <n v="52"/>
    <n v="0"/>
    <n v="378.36"/>
    <n v="218.97"/>
    <m/>
    <n v="296.29306775323528"/>
    <n v="267.48149736117364"/>
    <n v="0"/>
    <n v="-805.80948000000058"/>
    <n v="0"/>
    <n v="-760.65717157602853"/>
    <x v="5"/>
  </r>
  <r>
    <s v="Sistema Isolado - Regular"/>
    <x v="2"/>
    <x v="3"/>
    <x v="4"/>
    <x v="6"/>
    <x v="1"/>
    <x v="0"/>
    <x v="1"/>
    <x v="5"/>
    <n v="0"/>
    <n v="0"/>
    <n v="5132.4709999999995"/>
    <n v="5132.4709999999995"/>
    <n v="5132.4709999999995"/>
    <n v="5132.4709999999995"/>
    <n v="47391"/>
    <s v="CATIVO"/>
    <n v="0"/>
    <n v="0"/>
    <n v="6"/>
    <n v="52"/>
    <n v="0"/>
    <n v="378.36"/>
    <n v="218.97"/>
    <m/>
    <n v="296.29306775323528"/>
    <n v="267.48149736117364"/>
    <n v="0"/>
    <n v="340590.77556000021"/>
    <n v="0"/>
    <n v="321506.28955414559"/>
    <x v="5"/>
  </r>
  <r>
    <s v="Sistema Isolado - Refaturamento"/>
    <x v="2"/>
    <x v="3"/>
    <x v="4"/>
    <x v="6"/>
    <x v="1"/>
    <x v="0"/>
    <x v="1"/>
    <x v="5"/>
    <n v="0"/>
    <n v="0"/>
    <n v="-19.844000000000001"/>
    <n v="-19.844000000000001"/>
    <n v="-19.844000000000001"/>
    <n v="-19.844000000000001"/>
    <n v="0"/>
    <s v="CATIVO"/>
    <n v="0"/>
    <n v="0"/>
    <n v="6"/>
    <n v="52"/>
    <n v="0"/>
    <n v="378.36"/>
    <n v="218.97"/>
    <m/>
    <n v="296.29306775323528"/>
    <n v="267.48149736117364"/>
    <n v="0"/>
    <n v="-1316.8478400000008"/>
    <n v="0"/>
    <n v="-1243.0602744589237"/>
    <x v="5"/>
  </r>
  <r>
    <s v="Sistema de Compensação"/>
    <x v="2"/>
    <x v="3"/>
    <x v="4"/>
    <x v="6"/>
    <x v="1"/>
    <x v="0"/>
    <x v="1"/>
    <x v="5"/>
    <n v="0"/>
    <n v="0"/>
    <n v="0.20200000000000001"/>
    <n v="0.20200000000000001"/>
    <n v="0.20200000000000001"/>
    <n v="0.20200000000000001"/>
    <n v="0"/>
    <s v="CATIVO"/>
    <n v="0"/>
    <n v="0"/>
    <n v="6"/>
    <n v="52"/>
    <n v="0"/>
    <n v="378.36"/>
    <n v="218.97"/>
    <m/>
    <n v="296.29306775323528"/>
    <n v="267.48149736117364"/>
    <n v="0"/>
    <n v="13.40472000000001"/>
    <n v="0"/>
    <n v="12.653606905901158"/>
    <x v="5"/>
  </r>
  <r>
    <s v="Regular"/>
    <x v="2"/>
    <x v="3"/>
    <x v="4"/>
    <x v="6"/>
    <x v="1"/>
    <x v="0"/>
    <x v="1"/>
    <x v="6"/>
    <n v="0"/>
    <n v="0"/>
    <n v="3425.6179999999999"/>
    <n v="3425.6179999999999"/>
    <n v="3425.6179999999999"/>
    <n v="3425.6179999999999"/>
    <n v="23518"/>
    <s v="CATIVO"/>
    <n v="0"/>
    <n v="0"/>
    <n v="6"/>
    <n v="52"/>
    <n v="0"/>
    <n v="378.36"/>
    <n v="218.97"/>
    <m/>
    <n v="296.29306775323528"/>
    <n v="267.48149736117364"/>
    <n v="0"/>
    <n v="227324.01048000014"/>
    <n v="0"/>
    <n v="214586.25535534314"/>
    <x v="5"/>
  </r>
  <r>
    <s v="Refaturamento - Regular"/>
    <x v="2"/>
    <x v="3"/>
    <x v="4"/>
    <x v="6"/>
    <x v="1"/>
    <x v="0"/>
    <x v="1"/>
    <x v="6"/>
    <n v="0"/>
    <n v="0"/>
    <n v="-7.1070000000000002"/>
    <n v="-7.1070000000000002"/>
    <n v="-7.1070000000000002"/>
    <n v="-7.1070000000000002"/>
    <n v="0"/>
    <s v="CATIVO"/>
    <n v="0"/>
    <n v="0"/>
    <n v="6"/>
    <n v="52"/>
    <n v="0"/>
    <n v="378.36"/>
    <n v="218.97"/>
    <m/>
    <n v="296.29306775323528"/>
    <n v="267.48149736117364"/>
    <n v="0"/>
    <n v="-471.62052000000034"/>
    <n v="0"/>
    <n v="-445.1939815853442"/>
    <x v="5"/>
  </r>
  <r>
    <s v="Sistema Isolado - Regular"/>
    <x v="2"/>
    <x v="3"/>
    <x v="4"/>
    <x v="6"/>
    <x v="1"/>
    <x v="0"/>
    <x v="1"/>
    <x v="6"/>
    <n v="0"/>
    <n v="0"/>
    <n v="5090.8789999999999"/>
    <n v="5090.8789999999999"/>
    <n v="5090.8789999999999"/>
    <n v="5090.8789999999999"/>
    <n v="47544"/>
    <s v="CATIVO"/>
    <n v="0"/>
    <n v="0"/>
    <n v="6"/>
    <n v="52"/>
    <n v="0"/>
    <n v="378.36"/>
    <n v="218.97"/>
    <m/>
    <n v="296.29306775323528"/>
    <n v="267.48149736117364"/>
    <n v="0"/>
    <n v="337830.73044000019"/>
    <n v="0"/>
    <n v="318900.89936389693"/>
    <x v="5"/>
  </r>
  <r>
    <s v="Sistema Isolado - Refaturamento"/>
    <x v="2"/>
    <x v="3"/>
    <x v="4"/>
    <x v="6"/>
    <x v="1"/>
    <x v="0"/>
    <x v="1"/>
    <x v="6"/>
    <n v="0"/>
    <n v="0"/>
    <n v="-18.498000000000001"/>
    <n v="-18.498000000000001"/>
    <n v="-18.498000000000001"/>
    <n v="-18.498000000000001"/>
    <n v="0"/>
    <s v="CATIVO"/>
    <n v="0"/>
    <n v="0"/>
    <n v="6"/>
    <n v="52"/>
    <n v="0"/>
    <n v="378.36"/>
    <n v="218.97"/>
    <m/>
    <n v="296.29306775323528"/>
    <n v="267.48149736117364"/>
    <n v="0"/>
    <n v="-1227.5272800000009"/>
    <n v="0"/>
    <n v="-1158.7446561651466"/>
    <x v="5"/>
  </r>
  <r>
    <s v="Sistema de Compensação"/>
    <x v="2"/>
    <x v="3"/>
    <x v="4"/>
    <x v="6"/>
    <x v="1"/>
    <x v="0"/>
    <x v="1"/>
    <x v="6"/>
    <n v="0"/>
    <n v="0"/>
    <n v="0.36"/>
    <n v="0.36"/>
    <n v="0.36"/>
    <n v="0.36"/>
    <n v="0"/>
    <s v="CATIVO"/>
    <n v="0"/>
    <n v="0"/>
    <n v="6"/>
    <n v="52"/>
    <n v="0"/>
    <n v="378.36"/>
    <n v="218.97"/>
    <m/>
    <n v="296.29306775323528"/>
    <n v="267.48149736117364"/>
    <n v="0"/>
    <n v="23.889600000000016"/>
    <n v="0"/>
    <n v="22.550982604576319"/>
    <x v="5"/>
  </r>
  <r>
    <s v="Sistema de Compensação"/>
    <x v="2"/>
    <x v="3"/>
    <x v="4"/>
    <x v="6"/>
    <x v="1"/>
    <x v="0"/>
    <x v="1"/>
    <x v="6"/>
    <n v="0"/>
    <n v="0"/>
    <n v="-8.2000000000000003E-2"/>
    <n v="-8.2000000000000003E-2"/>
    <n v="-8.2000000000000003E-2"/>
    <n v="-8.2000000000000003E-2"/>
    <n v="0"/>
    <s v="CATIVO"/>
    <n v="0"/>
    <n v="0"/>
    <n v="6"/>
    <n v="52"/>
    <n v="0"/>
    <n v="378.36"/>
    <n v="218.97"/>
    <m/>
    <n v="296.29306775323528"/>
    <n v="267.48149736117364"/>
    <n v="0"/>
    <n v="-5.4415200000000032"/>
    <n v="0"/>
    <n v="-5.1366127043757173"/>
    <x v="5"/>
  </r>
  <r>
    <s v="Regular"/>
    <x v="2"/>
    <x v="3"/>
    <x v="4"/>
    <x v="6"/>
    <x v="1"/>
    <x v="0"/>
    <x v="1"/>
    <x v="7"/>
    <n v="0"/>
    <n v="0"/>
    <n v="3776.489"/>
    <n v="3776.489"/>
    <n v="3776.489"/>
    <n v="3776.489"/>
    <n v="22898"/>
    <s v="CATIVO"/>
    <n v="0"/>
    <n v="0"/>
    <n v="6"/>
    <n v="52"/>
    <n v="0"/>
    <n v="378.36"/>
    <n v="218.97"/>
    <m/>
    <n v="296.29306775323528"/>
    <n v="267.48149736117364"/>
    <n v="0"/>
    <n v="250607.81004000016"/>
    <n v="0"/>
    <n v="236565.38262603839"/>
    <x v="5"/>
  </r>
  <r>
    <s v="Refaturamento - Regular"/>
    <x v="2"/>
    <x v="3"/>
    <x v="4"/>
    <x v="6"/>
    <x v="1"/>
    <x v="0"/>
    <x v="1"/>
    <x v="7"/>
    <n v="0"/>
    <n v="0"/>
    <n v="-10.093"/>
    <n v="-10.093"/>
    <n v="-10.093"/>
    <n v="-10.093"/>
    <n v="0"/>
    <s v="CATIVO"/>
    <n v="0"/>
    <n v="0"/>
    <n v="6"/>
    <n v="52"/>
    <n v="0"/>
    <n v="378.36"/>
    <n v="218.97"/>
    <m/>
    <n v="296.29306775323528"/>
    <n v="267.48149736117364"/>
    <n v="0"/>
    <n v="-669.77148000000045"/>
    <n v="0"/>
    <n v="-632.24185396663552"/>
    <x v="5"/>
  </r>
  <r>
    <s v="Sistema Isolado - Regular"/>
    <x v="2"/>
    <x v="3"/>
    <x v="4"/>
    <x v="6"/>
    <x v="1"/>
    <x v="0"/>
    <x v="1"/>
    <x v="7"/>
    <n v="0"/>
    <n v="0"/>
    <n v="5385.8019999999997"/>
    <n v="5385.8019999999997"/>
    <n v="5385.8019999999997"/>
    <n v="5385.8019999999997"/>
    <n v="47978"/>
    <s v="CATIVO"/>
    <n v="0"/>
    <n v="0"/>
    <n v="6"/>
    <n v="52"/>
    <n v="0"/>
    <n v="378.36"/>
    <n v="218.97"/>
    <m/>
    <n v="296.29306775323528"/>
    <n v="267.48149736117364"/>
    <n v="0"/>
    <n v="357401.82072000019"/>
    <n v="0"/>
    <n v="337375.35337136762"/>
    <x v="5"/>
  </r>
  <r>
    <s v="Sistema Isolado - Refaturamento"/>
    <x v="2"/>
    <x v="3"/>
    <x v="4"/>
    <x v="6"/>
    <x v="1"/>
    <x v="0"/>
    <x v="1"/>
    <x v="7"/>
    <n v="0"/>
    <n v="0"/>
    <n v="-13.67"/>
    <n v="-13.67"/>
    <n v="-13.67"/>
    <n v="-13.67"/>
    <n v="0"/>
    <s v="CATIVO"/>
    <n v="0"/>
    <n v="0"/>
    <n v="6"/>
    <n v="52"/>
    <n v="0"/>
    <n v="378.36"/>
    <n v="218.97"/>
    <m/>
    <n v="296.29306775323528"/>
    <n v="267.48149736117364"/>
    <n v="0"/>
    <n v="-907.14120000000059"/>
    <n v="0"/>
    <n v="-856.31092279043969"/>
    <x v="5"/>
  </r>
  <r>
    <s v="Sistema de Compensação"/>
    <x v="2"/>
    <x v="3"/>
    <x v="4"/>
    <x v="6"/>
    <x v="1"/>
    <x v="0"/>
    <x v="1"/>
    <x v="7"/>
    <n v="0"/>
    <n v="0"/>
    <n v="0.48"/>
    <n v="0.48"/>
    <n v="0.48"/>
    <n v="0.48"/>
    <n v="0"/>
    <s v="CATIVO"/>
    <n v="0"/>
    <n v="0"/>
    <n v="6"/>
    <n v="52"/>
    <n v="0"/>
    <n v="378.36"/>
    <n v="218.97"/>
    <m/>
    <n v="296.29306775323528"/>
    <n v="267.48149736117364"/>
    <n v="0"/>
    <n v="31.85280000000002"/>
    <n v="0"/>
    <n v="30.067976806101758"/>
    <x v="5"/>
  </r>
  <r>
    <s v="Regular"/>
    <x v="2"/>
    <x v="3"/>
    <x v="4"/>
    <x v="6"/>
    <x v="1"/>
    <x v="0"/>
    <x v="1"/>
    <x v="8"/>
    <n v="0"/>
    <n v="0"/>
    <n v="3521.1669999999999"/>
    <n v="3521.1669999999999"/>
    <n v="3521.1669999999999"/>
    <n v="3521.1669999999999"/>
    <n v="23479"/>
    <s v="CATIVO"/>
    <n v="0"/>
    <n v="0"/>
    <n v="6"/>
    <n v="52"/>
    <n v="0"/>
    <n v="378.36"/>
    <n v="218.97"/>
    <m/>
    <n v="296.29306775323528"/>
    <n v="267.48149736117364"/>
    <n v="0"/>
    <n v="233664.64212000015"/>
    <n v="0"/>
    <n v="220571.59934668941"/>
    <x v="5"/>
  </r>
  <r>
    <s v="Refaturamento - Regular"/>
    <x v="2"/>
    <x v="3"/>
    <x v="4"/>
    <x v="6"/>
    <x v="1"/>
    <x v="0"/>
    <x v="1"/>
    <x v="8"/>
    <n v="0"/>
    <n v="0"/>
    <n v="-21.87"/>
    <n v="-21.87"/>
    <n v="-21.87"/>
    <n v="-21.87"/>
    <n v="0"/>
    <s v="CATIVO"/>
    <n v="0"/>
    <n v="0"/>
    <n v="6"/>
    <n v="52"/>
    <n v="0"/>
    <n v="378.36"/>
    <n v="218.97"/>
    <m/>
    <n v="296.29306775323528"/>
    <n v="267.48149736117364"/>
    <n v="0"/>
    <n v="-1451.293200000001"/>
    <n v="0"/>
    <n v="-1369.9721932280115"/>
    <x v="5"/>
  </r>
  <r>
    <s v="Sistema Isolado - Regular"/>
    <x v="2"/>
    <x v="3"/>
    <x v="4"/>
    <x v="6"/>
    <x v="1"/>
    <x v="0"/>
    <x v="1"/>
    <x v="8"/>
    <n v="0"/>
    <n v="0"/>
    <n v="4833.4799999999996"/>
    <n v="4833.4799999999996"/>
    <n v="4833.4799999999996"/>
    <n v="4833.4799999999996"/>
    <n v="47063"/>
    <s v="CATIVO"/>
    <n v="0"/>
    <n v="0"/>
    <n v="6"/>
    <n v="52"/>
    <n v="0"/>
    <n v="378.36"/>
    <n v="218.97"/>
    <m/>
    <n v="296.29306775323528"/>
    <n v="267.48149736117364"/>
    <n v="0"/>
    <n v="320749.73280000017"/>
    <n v="0"/>
    <n v="302777.00944324315"/>
    <x v="5"/>
  </r>
  <r>
    <s v="Sistema Isolado - Refaturamento"/>
    <x v="2"/>
    <x v="3"/>
    <x v="4"/>
    <x v="6"/>
    <x v="1"/>
    <x v="0"/>
    <x v="1"/>
    <x v="8"/>
    <n v="0"/>
    <n v="0"/>
    <n v="-14.898"/>
    <n v="-14.898"/>
    <n v="-14.898"/>
    <n v="-14.898"/>
    <n v="0"/>
    <s v="CATIVO"/>
    <n v="0"/>
    <n v="0"/>
    <n v="6"/>
    <n v="52"/>
    <n v="0"/>
    <n v="378.36"/>
    <n v="218.97"/>
    <m/>
    <n v="296.29306775323528"/>
    <n v="267.48149736117364"/>
    <n v="0"/>
    <n v="-988.63128000000063"/>
    <n v="0"/>
    <n v="-933.23483011938333"/>
    <x v="5"/>
  </r>
  <r>
    <s v="Sistema de Compensação"/>
    <x v="2"/>
    <x v="3"/>
    <x v="4"/>
    <x v="6"/>
    <x v="1"/>
    <x v="0"/>
    <x v="1"/>
    <x v="8"/>
    <n v="0"/>
    <n v="0"/>
    <n v="0.44900000000000001"/>
    <n v="0.44900000000000001"/>
    <n v="0.44900000000000001"/>
    <n v="0.44900000000000001"/>
    <n v="0"/>
    <s v="CATIVO"/>
    <n v="0"/>
    <n v="0"/>
    <n v="6"/>
    <n v="52"/>
    <n v="0"/>
    <n v="378.36"/>
    <n v="218.97"/>
    <m/>
    <n v="296.29306775323528"/>
    <n v="267.48149736117364"/>
    <n v="0"/>
    <n v="29.79564000000002"/>
    <n v="0"/>
    <n v="28.126086637374357"/>
    <x v="5"/>
  </r>
  <r>
    <s v="Regular"/>
    <x v="2"/>
    <x v="3"/>
    <x v="4"/>
    <x v="6"/>
    <x v="1"/>
    <x v="0"/>
    <x v="1"/>
    <x v="9"/>
    <n v="0"/>
    <n v="0"/>
    <n v="3850.3139999999999"/>
    <n v="3850.3139999999999"/>
    <n v="3850.3139999999999"/>
    <n v="3850.3139999999999"/>
    <n v="22755"/>
    <s v="CATIVO"/>
    <n v="0"/>
    <n v="0"/>
    <n v="6"/>
    <n v="52"/>
    <n v="0"/>
    <n v="378.36"/>
    <n v="218.97"/>
    <m/>
    <n v="296.29306775323528"/>
    <n v="267.48149736117364"/>
    <n v="0"/>
    <n v="255506.83704000016"/>
    <n v="0"/>
    <n v="241189.90010043519"/>
    <x v="5"/>
  </r>
  <r>
    <s v="Refaturamento - Regular"/>
    <x v="2"/>
    <x v="3"/>
    <x v="4"/>
    <x v="6"/>
    <x v="1"/>
    <x v="0"/>
    <x v="1"/>
    <x v="9"/>
    <n v="0"/>
    <n v="0"/>
    <n v="-22.31"/>
    <n v="-22.31"/>
    <n v="-22.31"/>
    <n v="-22.31"/>
    <n v="0"/>
    <s v="CATIVO"/>
    <n v="0"/>
    <n v="0"/>
    <n v="6"/>
    <n v="52"/>
    <n v="0"/>
    <n v="378.36"/>
    <n v="218.97"/>
    <m/>
    <n v="296.29306775323528"/>
    <n v="267.48149736117364"/>
    <n v="0"/>
    <n v="-1480.4916000000007"/>
    <n v="0"/>
    <n v="-1397.5345053002713"/>
    <x v="5"/>
  </r>
  <r>
    <s v="Sistema Isolado - Regular"/>
    <x v="2"/>
    <x v="3"/>
    <x v="4"/>
    <x v="6"/>
    <x v="1"/>
    <x v="0"/>
    <x v="1"/>
    <x v="9"/>
    <n v="0"/>
    <n v="0"/>
    <n v="5247.9040000000005"/>
    <n v="5247.9040000000005"/>
    <n v="5247.9040000000005"/>
    <n v="5247.9040000000005"/>
    <n v="47418"/>
    <s v="CATIVO"/>
    <n v="0"/>
    <n v="0"/>
    <n v="6"/>
    <n v="52"/>
    <n v="0"/>
    <n v="378.36"/>
    <n v="218.97"/>
    <m/>
    <n v="296.29306775323528"/>
    <n v="267.48149736117364"/>
    <n v="0"/>
    <n v="348250.90944000025"/>
    <n v="0"/>
    <n v="328737.19948468474"/>
    <x v="5"/>
  </r>
  <r>
    <s v="Sistema Isolado - Refaturamento"/>
    <x v="2"/>
    <x v="3"/>
    <x v="4"/>
    <x v="6"/>
    <x v="1"/>
    <x v="0"/>
    <x v="1"/>
    <x v="9"/>
    <n v="0"/>
    <n v="0"/>
    <n v="-13.375"/>
    <n v="-13.375"/>
    <n v="-13.375"/>
    <n v="-13.375"/>
    <n v="0"/>
    <s v="CATIVO"/>
    <n v="0"/>
    <n v="0"/>
    <n v="6"/>
    <n v="52"/>
    <n v="0"/>
    <n v="378.36"/>
    <n v="218.97"/>
    <m/>
    <n v="296.29306775323528"/>
    <n v="267.48149736117364"/>
    <n v="0"/>
    <n v="-887.56500000000051"/>
    <n v="0"/>
    <n v="-837.83164537835637"/>
    <x v="5"/>
  </r>
  <r>
    <s v="Sistema de Compensação"/>
    <x v="2"/>
    <x v="3"/>
    <x v="4"/>
    <x v="6"/>
    <x v="1"/>
    <x v="0"/>
    <x v="1"/>
    <x v="9"/>
    <n v="0"/>
    <n v="0"/>
    <n v="0.52200000000000002"/>
    <n v="0.52200000000000002"/>
    <n v="0.52200000000000002"/>
    <n v="0.52200000000000002"/>
    <n v="0"/>
    <s v="CATIVO"/>
    <n v="0"/>
    <n v="0"/>
    <n v="6"/>
    <n v="52"/>
    <n v="0"/>
    <n v="378.36"/>
    <n v="218.97"/>
    <m/>
    <n v="296.29306775323528"/>
    <n v="267.48149736117364"/>
    <n v="0"/>
    <n v="34.639920000000025"/>
    <n v="0"/>
    <n v="32.698924776635664"/>
    <x v="5"/>
  </r>
  <r>
    <s v="Regular"/>
    <x v="2"/>
    <x v="3"/>
    <x v="4"/>
    <x v="6"/>
    <x v="1"/>
    <x v="0"/>
    <x v="1"/>
    <x v="10"/>
    <n v="0"/>
    <n v="0"/>
    <n v="3905.8760000000002"/>
    <n v="3905.8760000000002"/>
    <n v="3905.8760000000002"/>
    <n v="3905.8760000000002"/>
    <n v="22717"/>
    <s v="CATIVO"/>
    <n v="0"/>
    <n v="0"/>
    <n v="6"/>
    <n v="52"/>
    <n v="0"/>
    <n v="378.36"/>
    <n v="218.97"/>
    <m/>
    <n v="296.29306775323528"/>
    <n v="267.48149736117364"/>
    <n v="0"/>
    <n v="259193.93136000019"/>
    <n v="0"/>
    <n v="244670.39369897818"/>
    <x v="5"/>
  </r>
  <r>
    <s v="Refaturamento - Regular"/>
    <x v="2"/>
    <x v="3"/>
    <x v="4"/>
    <x v="6"/>
    <x v="1"/>
    <x v="0"/>
    <x v="1"/>
    <x v="10"/>
    <n v="0"/>
    <n v="0"/>
    <n v="-6.4509999999999996"/>
    <n v="-6.4509999999999996"/>
    <n v="-6.4509999999999996"/>
    <n v="-6.4509999999999996"/>
    <n v="0"/>
    <s v="CATIVO"/>
    <n v="0"/>
    <n v="0"/>
    <n v="6"/>
    <n v="52"/>
    <n v="0"/>
    <n v="378.36"/>
    <n v="218.97"/>
    <m/>
    <n v="296.29306775323528"/>
    <n v="267.48149736117364"/>
    <n v="0"/>
    <n v="-428.08836000000025"/>
    <n v="0"/>
    <n v="-404.10107995033843"/>
    <x v="5"/>
  </r>
  <r>
    <s v="Sistema Isolado - Regular"/>
    <x v="2"/>
    <x v="3"/>
    <x v="4"/>
    <x v="6"/>
    <x v="1"/>
    <x v="0"/>
    <x v="1"/>
    <x v="10"/>
    <n v="0"/>
    <n v="0"/>
    <n v="5581.9650000000001"/>
    <n v="5581.9650000000001"/>
    <n v="5581.9650000000001"/>
    <n v="5581.9650000000001"/>
    <n v="47692"/>
    <s v="CATIVO"/>
    <n v="0"/>
    <n v="0"/>
    <n v="6"/>
    <n v="52"/>
    <n v="0"/>
    <n v="378.36"/>
    <n v="218.97"/>
    <m/>
    <n v="296.29306775323528"/>
    <n v="267.48149736117364"/>
    <n v="0"/>
    <n v="370419.19740000024"/>
    <n v="0"/>
    <n v="349663.32115098293"/>
    <x v="5"/>
  </r>
  <r>
    <s v="Sistema Isolado - Refaturamento"/>
    <x v="2"/>
    <x v="3"/>
    <x v="4"/>
    <x v="6"/>
    <x v="1"/>
    <x v="0"/>
    <x v="1"/>
    <x v="10"/>
    <n v="0"/>
    <n v="0"/>
    <n v="-10.782999999999999"/>
    <n v="-10.782999999999999"/>
    <n v="-10.782999999999999"/>
    <n v="-10.782999999999999"/>
    <n v="0"/>
    <s v="CATIVO"/>
    <n v="0"/>
    <n v="0"/>
    <n v="6"/>
    <n v="52"/>
    <n v="0"/>
    <n v="378.36"/>
    <n v="218.97"/>
    <m/>
    <n v="296.29306775323528"/>
    <n v="267.48149736117364"/>
    <n v="0"/>
    <n v="-715.55988000000036"/>
    <n v="0"/>
    <n v="-675.46457062540685"/>
    <x v="5"/>
  </r>
  <r>
    <s v="Sistema de Compensação"/>
    <x v="2"/>
    <x v="3"/>
    <x v="4"/>
    <x v="6"/>
    <x v="1"/>
    <x v="0"/>
    <x v="1"/>
    <x v="10"/>
    <n v="0"/>
    <n v="0"/>
    <n v="0.72"/>
    <n v="0.72"/>
    <n v="0.72"/>
    <n v="0.72"/>
    <n v="0"/>
    <s v="CATIVO"/>
    <n v="0"/>
    <n v="0"/>
    <n v="6"/>
    <n v="52"/>
    <n v="0"/>
    <n v="378.36"/>
    <n v="218.97"/>
    <m/>
    <n v="296.29306775323528"/>
    <n v="267.48149736117364"/>
    <n v="0"/>
    <n v="47.779200000000031"/>
    <n v="0"/>
    <n v="45.101965209152638"/>
    <x v="5"/>
  </r>
  <r>
    <s v="PROJETADO"/>
    <x v="2"/>
    <x v="3"/>
    <x v="4"/>
    <x v="6"/>
    <x v="1"/>
    <x v="0"/>
    <x v="1"/>
    <x v="11"/>
    <n v="0"/>
    <n v="0"/>
    <n v="3905.8760000000002"/>
    <n v="3905.8760000000002"/>
    <n v="3905.8760000000002"/>
    <n v="3905.8760000000002"/>
    <n v="22717"/>
    <s v="CATIVO"/>
    <n v="0"/>
    <n v="0"/>
    <n v="6"/>
    <n v="52"/>
    <n v="0"/>
    <n v="378.36"/>
    <n v="218.97"/>
    <m/>
    <n v="296.29306775323528"/>
    <n v="267.48149736117364"/>
    <n v="0"/>
    <n v="259193.93136000019"/>
    <n v="0"/>
    <n v="244670.39369897818"/>
    <x v="5"/>
  </r>
  <r>
    <s v="PROJETADO"/>
    <x v="2"/>
    <x v="3"/>
    <x v="4"/>
    <x v="6"/>
    <x v="1"/>
    <x v="0"/>
    <x v="1"/>
    <x v="11"/>
    <n v="0"/>
    <n v="0"/>
    <n v="-6.4509999999999996"/>
    <n v="-6.4509999999999996"/>
    <n v="-6.4509999999999996"/>
    <n v="-6.4509999999999996"/>
    <n v="0"/>
    <s v="CATIVO"/>
    <n v="0"/>
    <n v="0"/>
    <n v="6"/>
    <n v="52"/>
    <n v="0"/>
    <n v="378.36"/>
    <n v="218.97"/>
    <m/>
    <n v="296.29306775323528"/>
    <n v="267.48149736117364"/>
    <n v="0"/>
    <n v="-428.08836000000025"/>
    <n v="0"/>
    <n v="-404.10107995033843"/>
    <x v="5"/>
  </r>
  <r>
    <s v="PROJETADO"/>
    <x v="2"/>
    <x v="3"/>
    <x v="4"/>
    <x v="6"/>
    <x v="1"/>
    <x v="0"/>
    <x v="1"/>
    <x v="11"/>
    <n v="0"/>
    <n v="0"/>
    <n v="5581.9650000000001"/>
    <n v="5581.9650000000001"/>
    <n v="5581.9650000000001"/>
    <n v="5581.9650000000001"/>
    <n v="47692"/>
    <s v="CATIVO"/>
    <n v="0"/>
    <n v="0"/>
    <n v="6"/>
    <n v="52"/>
    <n v="0"/>
    <n v="378.36"/>
    <n v="218.97"/>
    <m/>
    <n v="296.29306775323528"/>
    <n v="267.48149736117364"/>
    <n v="0"/>
    <n v="370419.19740000024"/>
    <n v="0"/>
    <n v="349663.32115098293"/>
    <x v="5"/>
  </r>
  <r>
    <s v="PROJETADO"/>
    <x v="2"/>
    <x v="3"/>
    <x v="4"/>
    <x v="6"/>
    <x v="1"/>
    <x v="0"/>
    <x v="1"/>
    <x v="11"/>
    <n v="0"/>
    <n v="0"/>
    <n v="-10.782999999999999"/>
    <n v="-10.782999999999999"/>
    <n v="-10.782999999999999"/>
    <n v="-10.782999999999999"/>
    <n v="0"/>
    <s v="CATIVO"/>
    <n v="0"/>
    <n v="0"/>
    <n v="6"/>
    <n v="52"/>
    <n v="0"/>
    <n v="378.36"/>
    <n v="218.97"/>
    <m/>
    <n v="296.29306775323528"/>
    <n v="267.48149736117364"/>
    <n v="0"/>
    <n v="-715.55988000000036"/>
    <n v="0"/>
    <n v="-675.46457062540685"/>
    <x v="5"/>
  </r>
  <r>
    <s v="PROJETADO"/>
    <x v="2"/>
    <x v="3"/>
    <x v="4"/>
    <x v="6"/>
    <x v="1"/>
    <x v="0"/>
    <x v="1"/>
    <x v="11"/>
    <n v="0"/>
    <n v="0"/>
    <n v="0.72"/>
    <n v="0.72"/>
    <n v="0.72"/>
    <n v="0.72"/>
    <n v="0"/>
    <s v="CATIVO"/>
    <n v="0"/>
    <n v="0"/>
    <n v="6"/>
    <n v="52"/>
    <n v="0"/>
    <n v="378.36"/>
    <n v="218.97"/>
    <m/>
    <n v="296.29306775323528"/>
    <n v="267.48149736117364"/>
    <n v="0"/>
    <n v="47.779200000000031"/>
    <n v="0"/>
    <n v="45.101965209152638"/>
    <x v="5"/>
  </r>
  <r>
    <s v="Regular"/>
    <x v="2"/>
    <x v="3"/>
    <x v="4"/>
    <x v="7"/>
    <x v="1"/>
    <x v="0"/>
    <x v="1"/>
    <x v="0"/>
    <n v="0"/>
    <n v="0"/>
    <n v="3173.7080000000001"/>
    <n v="3173.7080000000001"/>
    <n v="3173.7080000000001"/>
    <n v="3173.7080000000001"/>
    <n v="16181"/>
    <s v="CATIVO"/>
    <n v="0"/>
    <n v="0"/>
    <n v="7"/>
    <n v="53"/>
    <n v="0"/>
    <n v="420.39"/>
    <n v="243.3"/>
    <m/>
    <n v="329.21451972581696"/>
    <n v="297.20166373463735"/>
    <n v="0"/>
    <n v="1.8040441318589729E-10"/>
    <n v="0"/>
    <n v="-1.8040441318589729E-10"/>
    <x v="5"/>
  </r>
  <r>
    <s v="Refaturamento - Regular"/>
    <x v="2"/>
    <x v="3"/>
    <x v="4"/>
    <x v="7"/>
    <x v="1"/>
    <x v="0"/>
    <x v="1"/>
    <x v="0"/>
    <n v="0"/>
    <n v="0"/>
    <n v="-58.045999999999999"/>
    <n v="-58.045999999999999"/>
    <n v="-58.045999999999999"/>
    <n v="-58.045999999999999"/>
    <n v="-102"/>
    <s v="CATIVO"/>
    <n v="0"/>
    <n v="0"/>
    <n v="7"/>
    <n v="53"/>
    <n v="0"/>
    <n v="420.39"/>
    <n v="243.3"/>
    <m/>
    <n v="329.21451972581696"/>
    <n v="297.20166373463735"/>
    <n v="0"/>
    <n v="-3.299533091194462E-12"/>
    <n v="0"/>
    <n v="3.299533091194462E-12"/>
    <x v="5"/>
  </r>
  <r>
    <s v="Sistema Isolado - Regular"/>
    <x v="2"/>
    <x v="3"/>
    <x v="4"/>
    <x v="7"/>
    <x v="1"/>
    <x v="0"/>
    <x v="1"/>
    <x v="0"/>
    <n v="0"/>
    <n v="0"/>
    <n v="3090.0459999999998"/>
    <n v="3090.0459999999998"/>
    <n v="3090.0459999999998"/>
    <n v="3090.0459999999998"/>
    <n v="22179"/>
    <s v="CATIVO"/>
    <n v="0"/>
    <n v="0"/>
    <n v="7"/>
    <n v="53"/>
    <n v="0"/>
    <n v="420.39"/>
    <n v="243.3"/>
    <m/>
    <n v="329.21451972581696"/>
    <n v="297.20166373463735"/>
    <n v="0"/>
    <n v="1.7564877907716435E-10"/>
    <n v="0"/>
    <n v="-1.7564877907716435E-10"/>
    <x v="5"/>
  </r>
  <r>
    <s v="Sistema Isolado - Refaturamento"/>
    <x v="2"/>
    <x v="3"/>
    <x v="4"/>
    <x v="7"/>
    <x v="1"/>
    <x v="0"/>
    <x v="1"/>
    <x v="0"/>
    <n v="0"/>
    <n v="0"/>
    <n v="-26.347999999999999"/>
    <n v="-26.347999999999999"/>
    <n v="-26.347999999999999"/>
    <n v="-26.347999999999999"/>
    <n v="-89"/>
    <s v="CATIVO"/>
    <n v="0"/>
    <n v="0"/>
    <n v="7"/>
    <n v="53"/>
    <n v="0"/>
    <n v="420.39"/>
    <n v="243.3"/>
    <m/>
    <n v="329.21451972581696"/>
    <n v="297.20166373463735"/>
    <n v="0"/>
    <n v="-1.4977104001445695E-12"/>
    <n v="0"/>
    <n v="1.4977104001445695E-12"/>
    <x v="5"/>
  </r>
  <r>
    <s v="Regular"/>
    <x v="2"/>
    <x v="3"/>
    <x v="4"/>
    <x v="7"/>
    <x v="1"/>
    <x v="0"/>
    <x v="1"/>
    <x v="1"/>
    <n v="0"/>
    <n v="0"/>
    <n v="3304.6930000000002"/>
    <n v="3304.6930000000002"/>
    <n v="3304.6930000000002"/>
    <n v="3304.6930000000002"/>
    <n v="17972"/>
    <s v="CATIVO"/>
    <n v="0"/>
    <n v="0"/>
    <n v="7"/>
    <n v="53"/>
    <n v="0"/>
    <n v="420.39"/>
    <n v="243.3"/>
    <m/>
    <n v="329.21451972581696"/>
    <n v="297.20166373463735"/>
    <n v="0"/>
    <n v="1.8785004840538023E-10"/>
    <n v="0"/>
    <n v="-1.8785004840538023E-10"/>
    <x v="5"/>
  </r>
  <r>
    <s v="Refaturamento - Regular"/>
    <x v="2"/>
    <x v="3"/>
    <x v="4"/>
    <x v="7"/>
    <x v="1"/>
    <x v="0"/>
    <x v="1"/>
    <x v="1"/>
    <n v="0"/>
    <n v="0"/>
    <n v="-39.036999999999999"/>
    <n v="-39.036999999999999"/>
    <n v="-39.036999999999999"/>
    <n v="-39.036999999999999"/>
    <n v="0"/>
    <s v="CATIVO"/>
    <n v="0"/>
    <n v="0"/>
    <n v="7"/>
    <n v="53"/>
    <n v="0"/>
    <n v="420.39"/>
    <n v="243.3"/>
    <m/>
    <n v="329.21451972581696"/>
    <n v="297.20166373463735"/>
    <n v="0"/>
    <n v="-2.2189965420693624E-12"/>
    <n v="0"/>
    <n v="2.2189965420693624E-12"/>
    <x v="5"/>
  </r>
  <r>
    <s v="Sistema Isolado - Regular"/>
    <x v="2"/>
    <x v="3"/>
    <x v="4"/>
    <x v="7"/>
    <x v="1"/>
    <x v="0"/>
    <x v="1"/>
    <x v="1"/>
    <n v="0"/>
    <n v="0"/>
    <n v="2920.3449999999998"/>
    <n v="2920.3449999999998"/>
    <n v="2920.3449999999998"/>
    <n v="2920.3449999999998"/>
    <n v="22588"/>
    <s v="CATIVO"/>
    <n v="0"/>
    <n v="0"/>
    <n v="7"/>
    <n v="53"/>
    <n v="0"/>
    <n v="420.39"/>
    <n v="243.3"/>
    <m/>
    <n v="329.21451972581696"/>
    <n v="297.20166373463735"/>
    <n v="0"/>
    <n v="1.6600239405306637E-10"/>
    <n v="0"/>
    <n v="-1.6600239405306637E-10"/>
    <x v="5"/>
  </r>
  <r>
    <s v="Sistema Isolado - Refaturamento"/>
    <x v="2"/>
    <x v="3"/>
    <x v="4"/>
    <x v="7"/>
    <x v="1"/>
    <x v="0"/>
    <x v="1"/>
    <x v="1"/>
    <n v="0"/>
    <n v="0"/>
    <n v="-37.067"/>
    <n v="-37.067"/>
    <n v="-37.067"/>
    <n v="-37.067"/>
    <n v="0"/>
    <s v="CATIVO"/>
    <n v="0"/>
    <n v="0"/>
    <n v="7"/>
    <n v="53"/>
    <n v="0"/>
    <n v="420.39"/>
    <n v="243.3"/>
    <m/>
    <n v="329.21451972581696"/>
    <n v="297.20166373463735"/>
    <n v="0"/>
    <n v="-2.1070150069135707E-12"/>
    <n v="0"/>
    <n v="2.1070150069135707E-12"/>
    <x v="5"/>
  </r>
  <r>
    <s v="Regular"/>
    <x v="2"/>
    <x v="3"/>
    <x v="4"/>
    <x v="7"/>
    <x v="1"/>
    <x v="0"/>
    <x v="1"/>
    <x v="2"/>
    <n v="0"/>
    <n v="0"/>
    <n v="3638.5790000000002"/>
    <n v="3638.5790000000002"/>
    <n v="3638.5790000000002"/>
    <n v="3638.5790000000002"/>
    <n v="19455"/>
    <s v="CATIVO"/>
    <n v="0"/>
    <n v="0"/>
    <n v="7"/>
    <n v="53"/>
    <n v="0"/>
    <n v="420.39"/>
    <n v="243.3"/>
    <m/>
    <n v="329.21451972581696"/>
    <n v="297.20166373463735"/>
    <n v="0"/>
    <n v="2.0682927015513998E-10"/>
    <n v="0"/>
    <n v="-2.0682927015513998E-10"/>
    <x v="5"/>
  </r>
  <r>
    <s v="Refaturamento - Regular"/>
    <x v="2"/>
    <x v="3"/>
    <x v="4"/>
    <x v="7"/>
    <x v="1"/>
    <x v="0"/>
    <x v="1"/>
    <x v="2"/>
    <n v="0"/>
    <n v="0"/>
    <n v="-45.874000000000002"/>
    <n v="-45.874000000000002"/>
    <n v="-45.874000000000002"/>
    <n v="-45.874000000000002"/>
    <n v="0"/>
    <s v="CATIVO"/>
    <n v="0"/>
    <n v="0"/>
    <n v="7"/>
    <n v="53"/>
    <n v="0"/>
    <n v="420.39"/>
    <n v="243.3"/>
    <m/>
    <n v="329.21451972581696"/>
    <n v="297.20166373463735"/>
    <n v="0"/>
    <n v="-2.607634996820707E-12"/>
    <n v="0"/>
    <n v="2.607634996820707E-12"/>
    <x v="5"/>
  </r>
  <r>
    <s v="Sistema Isolado - Regular"/>
    <x v="2"/>
    <x v="3"/>
    <x v="4"/>
    <x v="7"/>
    <x v="1"/>
    <x v="0"/>
    <x v="1"/>
    <x v="2"/>
    <n v="0"/>
    <n v="0"/>
    <n v="2588.674"/>
    <n v="2588.674"/>
    <n v="2588.674"/>
    <n v="2588.674"/>
    <n v="20751"/>
    <s v="CATIVO"/>
    <n v="0"/>
    <n v="0"/>
    <n v="7"/>
    <n v="53"/>
    <n v="0"/>
    <n v="420.39"/>
    <n v="243.3"/>
    <m/>
    <n v="329.21451972581696"/>
    <n v="297.20166373463735"/>
    <n v="0"/>
    <n v="1.4714908047608333E-10"/>
    <n v="0"/>
    <n v="-1.4714908047608333E-10"/>
    <x v="5"/>
  </r>
  <r>
    <s v="Sistema Isolado - Refaturamento"/>
    <x v="2"/>
    <x v="3"/>
    <x v="4"/>
    <x v="7"/>
    <x v="1"/>
    <x v="0"/>
    <x v="1"/>
    <x v="2"/>
    <n v="0"/>
    <n v="0"/>
    <n v="-37.098999999999997"/>
    <n v="-37.098999999999997"/>
    <n v="-37.098999999999997"/>
    <n v="-37.098999999999997"/>
    <n v="0"/>
    <s v="CATIVO"/>
    <n v="0"/>
    <n v="0"/>
    <n v="7"/>
    <n v="53"/>
    <n v="0"/>
    <n v="420.39"/>
    <n v="243.3"/>
    <m/>
    <n v="329.21451972581696"/>
    <n v="297.20166373463735"/>
    <n v="0"/>
    <n v="-2.1088339963171164E-12"/>
    <n v="0"/>
    <n v="2.1088339963171164E-12"/>
    <x v="5"/>
  </r>
  <r>
    <s v="Regular"/>
    <x v="2"/>
    <x v="3"/>
    <x v="4"/>
    <x v="7"/>
    <x v="1"/>
    <x v="0"/>
    <x v="1"/>
    <x v="3"/>
    <n v="0"/>
    <n v="0"/>
    <n v="2583.326"/>
    <n v="2583.326"/>
    <n v="2583.326"/>
    <n v="2583.326"/>
    <n v="15165"/>
    <s v="CATIVO"/>
    <n v="0"/>
    <n v="0"/>
    <n v="7"/>
    <n v="53"/>
    <n v="0"/>
    <n v="420.39"/>
    <n v="243.3"/>
    <m/>
    <n v="329.21451972581696"/>
    <n v="297.20166373463735"/>
    <n v="0"/>
    <n v="1.4684508187201573E-10"/>
    <n v="0"/>
    <n v="-1.4684508187201573E-10"/>
    <x v="5"/>
  </r>
  <r>
    <s v="Refaturamento - Regular"/>
    <x v="2"/>
    <x v="3"/>
    <x v="4"/>
    <x v="7"/>
    <x v="1"/>
    <x v="0"/>
    <x v="1"/>
    <x v="3"/>
    <n v="0"/>
    <n v="0"/>
    <n v="-123.56699999999999"/>
    <n v="-123.56699999999999"/>
    <n v="-123.56699999999999"/>
    <n v="-123.56699999999999"/>
    <n v="0"/>
    <s v="CATIVO"/>
    <n v="0"/>
    <n v="0"/>
    <n v="7"/>
    <n v="53"/>
    <n v="0"/>
    <n v="420.39"/>
    <n v="243.3"/>
    <m/>
    <n v="329.21451972581696"/>
    <n v="297.20166373463735"/>
    <n v="0"/>
    <n v="-7.0239707383734636E-12"/>
    <n v="0"/>
    <n v="7.0239707383734636E-12"/>
    <x v="5"/>
  </r>
  <r>
    <s v="Sistema Isolado - Regular"/>
    <x v="2"/>
    <x v="3"/>
    <x v="4"/>
    <x v="7"/>
    <x v="1"/>
    <x v="0"/>
    <x v="1"/>
    <x v="3"/>
    <n v="0"/>
    <n v="0"/>
    <n v="2367.0630000000001"/>
    <n v="2367.0630000000001"/>
    <n v="2367.0630000000001"/>
    <n v="2367.0630000000001"/>
    <n v="18784"/>
    <s v="CATIVO"/>
    <n v="0"/>
    <n v="0"/>
    <n v="7"/>
    <n v="53"/>
    <n v="0"/>
    <n v="420.39"/>
    <n v="243.3"/>
    <m/>
    <n v="329.21451972581696"/>
    <n v="297.20166373463735"/>
    <n v="0"/>
    <n v="1.3455195357892081E-10"/>
    <n v="0"/>
    <n v="-1.3455195357892081E-10"/>
    <x v="5"/>
  </r>
  <r>
    <s v="Sistema Isolado - Refaturamento"/>
    <x v="2"/>
    <x v="3"/>
    <x v="4"/>
    <x v="7"/>
    <x v="1"/>
    <x v="0"/>
    <x v="1"/>
    <x v="3"/>
    <n v="0"/>
    <n v="0"/>
    <n v="-46.963000000000001"/>
    <n v="-46.963000000000001"/>
    <n v="-46.963000000000001"/>
    <n v="-46.963000000000001"/>
    <n v="0"/>
    <s v="CATIVO"/>
    <n v="0"/>
    <n v="0"/>
    <n v="7"/>
    <n v="53"/>
    <n v="0"/>
    <n v="420.39"/>
    <n v="243.3"/>
    <m/>
    <n v="329.21451972581696"/>
    <n v="297.20166373463735"/>
    <n v="0"/>
    <n v="-2.6695374799601269E-12"/>
    <n v="0"/>
    <n v="2.6695374799601269E-12"/>
    <x v="5"/>
  </r>
  <r>
    <s v="Regular"/>
    <x v="2"/>
    <x v="3"/>
    <x v="4"/>
    <x v="7"/>
    <x v="1"/>
    <x v="0"/>
    <x v="1"/>
    <x v="4"/>
    <n v="0"/>
    <n v="0"/>
    <n v="3072.7719999999999"/>
    <n v="3072.7719999999999"/>
    <n v="3072.7719999999999"/>
    <n v="3072.7719999999999"/>
    <n v="17326"/>
    <s v="CATIVO"/>
    <n v="0"/>
    <n v="0"/>
    <n v="7"/>
    <n v="53"/>
    <n v="0"/>
    <n v="420.39"/>
    <n v="243.3"/>
    <m/>
    <n v="329.21451972581696"/>
    <n v="297.20166373463735"/>
    <n v="0"/>
    <n v="1.7466686585976276E-10"/>
    <n v="0"/>
    <n v="-1.7466686585976276E-10"/>
    <x v="5"/>
  </r>
  <r>
    <s v="Refaturamento - Regular"/>
    <x v="2"/>
    <x v="3"/>
    <x v="4"/>
    <x v="7"/>
    <x v="1"/>
    <x v="0"/>
    <x v="1"/>
    <x v="4"/>
    <n v="0"/>
    <n v="0"/>
    <n v="-92.253"/>
    <n v="-92.253"/>
    <n v="-92.253"/>
    <n v="-92.253"/>
    <n v="0"/>
    <s v="CATIVO"/>
    <n v="0"/>
    <n v="0"/>
    <n v="7"/>
    <n v="53"/>
    <n v="0"/>
    <n v="420.39"/>
    <n v="243.3"/>
    <m/>
    <n v="329.21451972581696"/>
    <n v="297.20166373463735"/>
    <n v="0"/>
    <n v="-5.2439759201661218E-12"/>
    <n v="0"/>
    <n v="5.2439759201661218E-12"/>
    <x v="5"/>
  </r>
  <r>
    <s v="Sistema Isolado - Regular"/>
    <x v="2"/>
    <x v="3"/>
    <x v="4"/>
    <x v="7"/>
    <x v="1"/>
    <x v="0"/>
    <x v="1"/>
    <x v="4"/>
    <n v="0"/>
    <n v="0"/>
    <n v="2521.5030000000002"/>
    <n v="2521.5030000000002"/>
    <n v="2521.5030000000002"/>
    <n v="2521.5030000000002"/>
    <n v="19247"/>
    <s v="CATIVO"/>
    <n v="0"/>
    <n v="0"/>
    <n v="7"/>
    <n v="53"/>
    <n v="0"/>
    <n v="420.39"/>
    <n v="243.3"/>
    <m/>
    <n v="329.21451972581696"/>
    <n v="297.20166373463735"/>
    <n v="0"/>
    <n v="1.43330851187784E-10"/>
    <n v="0"/>
    <n v="-1.43330851187784E-10"/>
    <x v="5"/>
  </r>
  <r>
    <s v="Sistema Isolado - Refaturamento"/>
    <x v="2"/>
    <x v="3"/>
    <x v="4"/>
    <x v="7"/>
    <x v="1"/>
    <x v="0"/>
    <x v="1"/>
    <x v="4"/>
    <n v="0"/>
    <n v="0"/>
    <n v="-31.957000000000001"/>
    <n v="-31.957000000000001"/>
    <n v="-31.957000000000001"/>
    <n v="-31.957000000000001"/>
    <n v="0"/>
    <s v="CATIVO"/>
    <n v="0"/>
    <n v="0"/>
    <n v="7"/>
    <n v="53"/>
    <n v="0"/>
    <n v="420.39"/>
    <n v="243.3"/>
    <m/>
    <n v="329.21451972581696"/>
    <n v="297.20166373463735"/>
    <n v="0"/>
    <n v="-1.8165451365348418E-12"/>
    <n v="0"/>
    <n v="1.8165451365348418E-12"/>
    <x v="5"/>
  </r>
  <r>
    <s v="Sistema de Compensação"/>
    <x v="2"/>
    <x v="3"/>
    <x v="4"/>
    <x v="7"/>
    <x v="1"/>
    <x v="0"/>
    <x v="1"/>
    <x v="4"/>
    <n v="0"/>
    <n v="0"/>
    <n v="9.9000000000000005E-2"/>
    <n v="9.9000000000000005E-2"/>
    <n v="9.9000000000000005E-2"/>
    <n v="9.9000000000000005E-2"/>
    <n v="2"/>
    <s v="CATIVO"/>
    <n v="0"/>
    <n v="0"/>
    <n v="7"/>
    <n v="53"/>
    <n v="0"/>
    <n v="420.39"/>
    <n v="243.3"/>
    <m/>
    <n v="329.21451972581696"/>
    <n v="297.20166373463735"/>
    <n v="0"/>
    <n v="5.6274984672199937E-15"/>
    <n v="0"/>
    <n v="-5.6274984672199937E-15"/>
    <x v="5"/>
  </r>
  <r>
    <s v="Regular"/>
    <x v="2"/>
    <x v="3"/>
    <x v="4"/>
    <x v="7"/>
    <x v="1"/>
    <x v="0"/>
    <x v="1"/>
    <x v="5"/>
    <n v="0"/>
    <n v="0"/>
    <n v="3414.5819999999999"/>
    <n v="3414.5819999999999"/>
    <n v="3414.5819999999999"/>
    <n v="3414.5819999999999"/>
    <n v="18530"/>
    <s v="CATIVO"/>
    <n v="0"/>
    <n v="0"/>
    <n v="7"/>
    <n v="53"/>
    <n v="0"/>
    <n v="420.39"/>
    <n v="243.3"/>
    <m/>
    <n v="329.21451972581696"/>
    <n v="297.20166373463735"/>
    <n v="0"/>
    <n v="1.9409651486057555E-10"/>
    <n v="0"/>
    <n v="-1.9409651486057555E-10"/>
    <x v="5"/>
  </r>
  <r>
    <s v="Refaturamento - Regular"/>
    <x v="2"/>
    <x v="3"/>
    <x v="4"/>
    <x v="7"/>
    <x v="1"/>
    <x v="0"/>
    <x v="1"/>
    <x v="5"/>
    <n v="0"/>
    <n v="0"/>
    <n v="-47.475999999999999"/>
    <n v="-47.475999999999999"/>
    <n v="-47.475999999999999"/>
    <n v="-47.475999999999999"/>
    <n v="0"/>
    <s v="CATIVO"/>
    <n v="0"/>
    <n v="0"/>
    <n v="7"/>
    <n v="53"/>
    <n v="0"/>
    <n v="420.39"/>
    <n v="243.3"/>
    <m/>
    <n v="329.21451972581696"/>
    <n v="297.20166373463735"/>
    <n v="0"/>
    <n v="-2.6986981538357213E-12"/>
    <n v="0"/>
    <n v="2.6986981538357213E-12"/>
    <x v="5"/>
  </r>
  <r>
    <s v="Sistema Isolado - Regular"/>
    <x v="2"/>
    <x v="3"/>
    <x v="4"/>
    <x v="7"/>
    <x v="1"/>
    <x v="0"/>
    <x v="1"/>
    <x v="5"/>
    <n v="0"/>
    <n v="0"/>
    <n v="2899.3980000000001"/>
    <n v="2899.3980000000001"/>
    <n v="2899.3980000000001"/>
    <n v="2899.3980000000001"/>
    <n v="22749"/>
    <s v="CATIVO"/>
    <n v="0"/>
    <n v="0"/>
    <n v="7"/>
    <n v="53"/>
    <n v="0"/>
    <n v="420.39"/>
    <n v="243.3"/>
    <m/>
    <n v="329.21451972581696"/>
    <n v="297.20166373463735"/>
    <n v="0"/>
    <n v="1.6481169495818904E-10"/>
    <n v="0"/>
    <n v="-1.6481169495818904E-10"/>
    <x v="5"/>
  </r>
  <r>
    <s v="Sistema Isolado - Refaturamento"/>
    <x v="2"/>
    <x v="3"/>
    <x v="4"/>
    <x v="7"/>
    <x v="1"/>
    <x v="0"/>
    <x v="1"/>
    <x v="5"/>
    <n v="0"/>
    <n v="0"/>
    <n v="-47.3"/>
    <n v="-47.3"/>
    <n v="-47.3"/>
    <n v="-47.3"/>
    <n v="0"/>
    <s v="CATIVO"/>
    <n v="0"/>
    <n v="0"/>
    <n v="7"/>
    <n v="53"/>
    <n v="0"/>
    <n v="420.39"/>
    <n v="243.3"/>
    <m/>
    <n v="329.21451972581696"/>
    <n v="297.20166373463735"/>
    <n v="0"/>
    <n v="-2.6886937121162189E-12"/>
    <n v="0"/>
    <n v="2.6886937121162189E-12"/>
    <x v="5"/>
  </r>
  <r>
    <s v="Sistema de Compensação"/>
    <x v="2"/>
    <x v="3"/>
    <x v="4"/>
    <x v="7"/>
    <x v="1"/>
    <x v="0"/>
    <x v="1"/>
    <x v="5"/>
    <n v="0"/>
    <n v="0"/>
    <n v="5.8000000000000003E-2"/>
    <n v="5.8000000000000003E-2"/>
    <n v="5.8000000000000003E-2"/>
    <n v="5.8000000000000003E-2"/>
    <n v="1"/>
    <s v="CATIVO"/>
    <n v="0"/>
    <n v="0"/>
    <n v="7"/>
    <n v="53"/>
    <n v="0"/>
    <n v="420.39"/>
    <n v="243.3"/>
    <m/>
    <n v="329.21451972581696"/>
    <n v="297.20166373463735"/>
    <n v="0"/>
    <n v="3.296918293926865E-15"/>
    <n v="0"/>
    <n v="-3.296918293926865E-15"/>
    <x v="5"/>
  </r>
  <r>
    <s v="Regular"/>
    <x v="2"/>
    <x v="3"/>
    <x v="4"/>
    <x v="7"/>
    <x v="1"/>
    <x v="0"/>
    <x v="1"/>
    <x v="6"/>
    <n v="0"/>
    <n v="0"/>
    <n v="3291.07"/>
    <n v="3291.07"/>
    <n v="3291.07"/>
    <n v="3291.07"/>
    <n v="17987"/>
    <s v="CATIVO"/>
    <n v="0"/>
    <n v="0"/>
    <n v="7"/>
    <n v="53"/>
    <n v="0"/>
    <n v="420.39"/>
    <n v="243.3"/>
    <m/>
    <n v="329.21451972581696"/>
    <n v="297.20166373463735"/>
    <n v="0"/>
    <n v="1.8707567051023944E-10"/>
    <n v="0"/>
    <n v="-1.8707567051023944E-10"/>
    <x v="5"/>
  </r>
  <r>
    <s v="Refaturamento - Regular"/>
    <x v="2"/>
    <x v="3"/>
    <x v="4"/>
    <x v="7"/>
    <x v="1"/>
    <x v="0"/>
    <x v="1"/>
    <x v="6"/>
    <n v="0"/>
    <n v="0"/>
    <n v="-118.84"/>
    <n v="-118.84"/>
    <n v="-118.84"/>
    <n v="-118.84"/>
    <n v="0"/>
    <s v="CATIVO"/>
    <n v="0"/>
    <n v="0"/>
    <n v="7"/>
    <n v="53"/>
    <n v="0"/>
    <n v="420.39"/>
    <n v="243.3"/>
    <m/>
    <n v="329.21451972581696"/>
    <n v="297.20166373463735"/>
    <n v="0"/>
    <n v="-6.7552718974184247E-12"/>
    <n v="0"/>
    <n v="6.7552718974184247E-12"/>
    <x v="5"/>
  </r>
  <r>
    <s v="Sistema Isolado - Regular"/>
    <x v="2"/>
    <x v="3"/>
    <x v="4"/>
    <x v="7"/>
    <x v="1"/>
    <x v="0"/>
    <x v="1"/>
    <x v="6"/>
    <n v="0"/>
    <n v="0"/>
    <n v="2903.1790000000001"/>
    <n v="2903.1790000000001"/>
    <n v="2903.1790000000001"/>
    <n v="2903.1790000000001"/>
    <n v="22432"/>
    <s v="CATIVO"/>
    <n v="0"/>
    <n v="0"/>
    <n v="7"/>
    <n v="53"/>
    <n v="0"/>
    <n v="420.39"/>
    <n v="243.3"/>
    <m/>
    <n v="329.21451972581696"/>
    <n v="297.20166373463735"/>
    <n v="0"/>
    <n v="1.6502661992490176E-10"/>
    <n v="0"/>
    <n v="-1.6502661992490176E-10"/>
    <x v="5"/>
  </r>
  <r>
    <s v="Sistema Isolado - Refaturamento"/>
    <x v="2"/>
    <x v="3"/>
    <x v="4"/>
    <x v="7"/>
    <x v="1"/>
    <x v="0"/>
    <x v="1"/>
    <x v="6"/>
    <n v="0"/>
    <n v="0"/>
    <n v="-126.295"/>
    <n v="-126.295"/>
    <n v="-126.295"/>
    <n v="-126.295"/>
    <n v="0"/>
    <s v="CATIVO"/>
    <n v="0"/>
    <n v="0"/>
    <n v="7"/>
    <n v="53"/>
    <n v="0"/>
    <n v="420.39"/>
    <n v="243.3"/>
    <m/>
    <n v="329.21451972581696"/>
    <n v="297.20166373463735"/>
    <n v="0"/>
    <n v="-7.1790395850257483E-12"/>
    <n v="0"/>
    <n v="7.1790395850257483E-12"/>
    <x v="5"/>
  </r>
  <r>
    <s v="Sistema de Compensação"/>
    <x v="2"/>
    <x v="3"/>
    <x v="4"/>
    <x v="7"/>
    <x v="1"/>
    <x v="0"/>
    <x v="1"/>
    <x v="6"/>
    <n v="0"/>
    <n v="0"/>
    <n v="0.69199999999999995"/>
    <n v="0.69199999999999995"/>
    <n v="0.69199999999999995"/>
    <n v="0.69199999999999995"/>
    <n v="3"/>
    <s v="CATIVO"/>
    <n v="0"/>
    <n v="0"/>
    <n v="7"/>
    <n v="53"/>
    <n v="0"/>
    <n v="420.39"/>
    <n v="243.3"/>
    <m/>
    <n v="329.21451972581696"/>
    <n v="297.20166373463735"/>
    <n v="0"/>
    <n v="3.9335645851679143E-14"/>
    <n v="0"/>
    <n v="-3.9335645851679143E-14"/>
    <x v="5"/>
  </r>
  <r>
    <s v="Regular"/>
    <x v="2"/>
    <x v="3"/>
    <x v="4"/>
    <x v="7"/>
    <x v="1"/>
    <x v="0"/>
    <x v="1"/>
    <x v="7"/>
    <n v="0"/>
    <n v="0"/>
    <n v="4129.3940000000002"/>
    <n v="4129.3940000000002"/>
    <n v="4129.3940000000002"/>
    <n v="4129.3940000000002"/>
    <n v="20977"/>
    <s v="CATIVO"/>
    <n v="0"/>
    <n v="0"/>
    <n v="7"/>
    <n v="53"/>
    <n v="0"/>
    <n v="420.39"/>
    <n v="243.3"/>
    <m/>
    <n v="329.21451972581696"/>
    <n v="297.20166373463735"/>
    <n v="0"/>
    <n v="2.3472887278330746E-10"/>
    <n v="0"/>
    <n v="-2.3472887278330746E-10"/>
    <x v="5"/>
  </r>
  <r>
    <s v="Refaturamento - Regular"/>
    <x v="2"/>
    <x v="3"/>
    <x v="4"/>
    <x v="7"/>
    <x v="1"/>
    <x v="0"/>
    <x v="1"/>
    <x v="7"/>
    <n v="0"/>
    <n v="0"/>
    <n v="-31.288"/>
    <n v="-31.288"/>
    <n v="-31.288"/>
    <n v="-31.288"/>
    <n v="0"/>
    <s v="CATIVO"/>
    <n v="0"/>
    <n v="0"/>
    <n v="7"/>
    <n v="53"/>
    <n v="0"/>
    <n v="420.39"/>
    <n v="243.3"/>
    <m/>
    <n v="329.21451972581696"/>
    <n v="297.20166373463735"/>
    <n v="0"/>
    <n v="-1.7785168893169612E-12"/>
    <n v="0"/>
    <n v="1.7785168893169612E-12"/>
    <x v="5"/>
  </r>
  <r>
    <s v="Sistema Isolado - Regular"/>
    <x v="2"/>
    <x v="3"/>
    <x v="4"/>
    <x v="7"/>
    <x v="1"/>
    <x v="0"/>
    <x v="1"/>
    <x v="7"/>
    <n v="0"/>
    <n v="0"/>
    <n v="3316.9760000000001"/>
    <n v="3316.9760000000001"/>
    <n v="3316.9760000000001"/>
    <n v="3316.9760000000001"/>
    <n v="24413"/>
    <s v="CATIVO"/>
    <n v="0"/>
    <n v="0"/>
    <n v="7"/>
    <n v="53"/>
    <n v="0"/>
    <n v="420.39"/>
    <n v="243.3"/>
    <m/>
    <n v="329.21451972581696"/>
    <n v="297.20166373463735"/>
    <n v="0"/>
    <n v="1.8854825611924753E-10"/>
    <n v="0"/>
    <n v="-1.8854825611924753E-10"/>
    <x v="5"/>
  </r>
  <r>
    <s v="Sistema Isolado - Refaturamento"/>
    <x v="2"/>
    <x v="3"/>
    <x v="4"/>
    <x v="7"/>
    <x v="1"/>
    <x v="0"/>
    <x v="1"/>
    <x v="7"/>
    <n v="0"/>
    <n v="0"/>
    <n v="-146.59200000000001"/>
    <n v="-146.59200000000001"/>
    <n v="-146.59200000000001"/>
    <n v="-146.59200000000001"/>
    <n v="0"/>
    <s v="CATIVO"/>
    <n v="0"/>
    <n v="0"/>
    <n v="7"/>
    <n v="53"/>
    <n v="0"/>
    <n v="420.39"/>
    <n v="243.3"/>
    <m/>
    <n v="329.21451972581696"/>
    <n v="297.20166373463735"/>
    <n v="0"/>
    <n v="-8.3327904576435693E-12"/>
    <n v="0"/>
    <n v="8.3327904576435693E-12"/>
    <x v="5"/>
  </r>
  <r>
    <s v="Sistema de Compensação"/>
    <x v="2"/>
    <x v="3"/>
    <x v="4"/>
    <x v="7"/>
    <x v="1"/>
    <x v="0"/>
    <x v="1"/>
    <x v="7"/>
    <n v="0"/>
    <n v="0"/>
    <n v="0.91200000000000003"/>
    <n v="0.91200000000000003"/>
    <n v="0.91200000000000003"/>
    <n v="0.91200000000000003"/>
    <n v="4"/>
    <s v="CATIVO"/>
    <n v="0"/>
    <n v="0"/>
    <n v="7"/>
    <n v="53"/>
    <n v="0"/>
    <n v="420.39"/>
    <n v="243.3"/>
    <m/>
    <n v="329.21451972581696"/>
    <n v="297.20166373463735"/>
    <n v="0"/>
    <n v="5.1841198001056911E-14"/>
    <n v="0"/>
    <n v="-5.1841198001056911E-14"/>
    <x v="5"/>
  </r>
  <r>
    <s v="Regular"/>
    <x v="2"/>
    <x v="3"/>
    <x v="4"/>
    <x v="7"/>
    <x v="1"/>
    <x v="0"/>
    <x v="1"/>
    <x v="8"/>
    <n v="0"/>
    <n v="0"/>
    <n v="3495.712"/>
    <n v="3495.712"/>
    <n v="3495.712"/>
    <n v="3495.712"/>
    <n v="18661"/>
    <s v="CATIVO"/>
    <n v="0"/>
    <n v="0"/>
    <n v="7"/>
    <n v="53"/>
    <n v="0"/>
    <n v="420.39"/>
    <n v="243.3"/>
    <m/>
    <n v="329.21451972581696"/>
    <n v="297.20166373463735"/>
    <n v="0"/>
    <n v="1.9870822143275291E-10"/>
    <n v="0"/>
    <n v="-1.9870822143275291E-10"/>
    <x v="5"/>
  </r>
  <r>
    <s v="Refaturamento - Regular"/>
    <x v="2"/>
    <x v="3"/>
    <x v="4"/>
    <x v="7"/>
    <x v="1"/>
    <x v="0"/>
    <x v="1"/>
    <x v="8"/>
    <n v="0"/>
    <n v="0"/>
    <n v="-309.69200000000001"/>
    <n v="-309.69200000000001"/>
    <n v="-309.69200000000001"/>
    <n v="-309.69200000000001"/>
    <n v="0"/>
    <s v="CATIVO"/>
    <n v="0"/>
    <n v="0"/>
    <n v="7"/>
    <n v="53"/>
    <n v="0"/>
    <n v="420.39"/>
    <n v="243.3"/>
    <m/>
    <n v="329.21451972581696"/>
    <n v="297.20166373463735"/>
    <n v="0"/>
    <n v="-1.7603952073841356E-11"/>
    <n v="0"/>
    <n v="1.7603952073841356E-11"/>
    <x v="5"/>
  </r>
  <r>
    <s v="Sistema Isolado - Regular"/>
    <x v="2"/>
    <x v="3"/>
    <x v="4"/>
    <x v="7"/>
    <x v="1"/>
    <x v="0"/>
    <x v="1"/>
    <x v="8"/>
    <n v="0"/>
    <n v="0"/>
    <n v="2618.8760000000002"/>
    <n v="2618.8760000000002"/>
    <n v="2618.8760000000002"/>
    <n v="2618.8760000000002"/>
    <n v="20881"/>
    <s v="CATIVO"/>
    <n v="0"/>
    <n v="0"/>
    <n v="7"/>
    <n v="53"/>
    <n v="0"/>
    <n v="420.39"/>
    <n v="243.3"/>
    <m/>
    <n v="329.21451972581696"/>
    <n v="297.20166373463735"/>
    <n v="0"/>
    <n v="1.4886586541251746E-10"/>
    <n v="0"/>
    <n v="-1.4886586541251746E-10"/>
    <x v="5"/>
  </r>
  <r>
    <s v="Sistema Isolado - Refaturamento"/>
    <x v="2"/>
    <x v="3"/>
    <x v="4"/>
    <x v="7"/>
    <x v="1"/>
    <x v="0"/>
    <x v="1"/>
    <x v="8"/>
    <n v="0"/>
    <n v="0"/>
    <n v="-38.697000000000003"/>
    <n v="-38.697000000000003"/>
    <n v="-38.697000000000003"/>
    <n v="-38.697000000000003"/>
    <n v="0"/>
    <s v="CATIVO"/>
    <n v="0"/>
    <n v="0"/>
    <n v="7"/>
    <n v="53"/>
    <n v="0"/>
    <n v="420.39"/>
    <n v="243.3"/>
    <m/>
    <n v="329.21451972581696"/>
    <n v="297.20166373463735"/>
    <n v="0"/>
    <n v="-2.1996697796566879E-12"/>
    <n v="0"/>
    <n v="2.1996697796566879E-12"/>
    <x v="5"/>
  </r>
  <r>
    <s v="Sistema de Compensação"/>
    <x v="2"/>
    <x v="3"/>
    <x v="4"/>
    <x v="7"/>
    <x v="1"/>
    <x v="0"/>
    <x v="1"/>
    <x v="8"/>
    <n v="0"/>
    <n v="0"/>
    <n v="0.69499999999999995"/>
    <n v="0.69499999999999995"/>
    <n v="0.69499999999999995"/>
    <n v="0.69499999999999995"/>
    <n v="3"/>
    <s v="CATIVO"/>
    <n v="0"/>
    <n v="0"/>
    <n v="7"/>
    <n v="53"/>
    <n v="0"/>
    <n v="420.39"/>
    <n v="243.3"/>
    <m/>
    <n v="329.21451972581696"/>
    <n v="297.20166373463735"/>
    <n v="0"/>
    <n v="3.9506176108261568E-14"/>
    <n v="0"/>
    <n v="-3.9506176108261568E-14"/>
    <x v="5"/>
  </r>
  <r>
    <s v="Regular"/>
    <x v="2"/>
    <x v="3"/>
    <x v="4"/>
    <x v="7"/>
    <x v="1"/>
    <x v="0"/>
    <x v="1"/>
    <x v="9"/>
    <n v="0"/>
    <n v="0"/>
    <n v="4341.5770000000002"/>
    <n v="4341.5770000000002"/>
    <n v="4341.5770000000002"/>
    <n v="4341.5770000000002"/>
    <n v="21562"/>
    <s v="CATIVO"/>
    <n v="0"/>
    <n v="0"/>
    <n v="7"/>
    <n v="53"/>
    <n v="0"/>
    <n v="420.39"/>
    <n v="243.3"/>
    <m/>
    <n v="329.21451972581696"/>
    <n v="297.20166373463735"/>
    <n v="0"/>
    <n v="2.4679007992745029E-10"/>
    <n v="0"/>
    <n v="-2.4679007992745029E-10"/>
    <x v="5"/>
  </r>
  <r>
    <s v="Refaturamento - Regular"/>
    <x v="2"/>
    <x v="3"/>
    <x v="4"/>
    <x v="7"/>
    <x v="1"/>
    <x v="0"/>
    <x v="1"/>
    <x v="9"/>
    <n v="0"/>
    <n v="0"/>
    <n v="-76.388000000000005"/>
    <n v="-76.388000000000005"/>
    <n v="-76.388000000000005"/>
    <n v="-76.388000000000005"/>
    <n v="0"/>
    <s v="CATIVO"/>
    <n v="0"/>
    <n v="0"/>
    <n v="7"/>
    <n v="53"/>
    <n v="0"/>
    <n v="420.39"/>
    <n v="243.3"/>
    <m/>
    <n v="329.21451972581696"/>
    <n v="297.20166373463735"/>
    <n v="0"/>
    <n v="-4.3421550799394029E-12"/>
    <n v="0"/>
    <n v="4.3421550799394029E-12"/>
    <x v="5"/>
  </r>
  <r>
    <s v="Sistema Isolado - Regular"/>
    <x v="2"/>
    <x v="3"/>
    <x v="4"/>
    <x v="7"/>
    <x v="1"/>
    <x v="0"/>
    <x v="1"/>
    <x v="9"/>
    <n v="0"/>
    <n v="0"/>
    <n v="3354.346"/>
    <n v="3354.346"/>
    <n v="3354.346"/>
    <n v="3354.346"/>
    <n v="23800"/>
    <s v="CATIVO"/>
    <n v="0"/>
    <n v="0"/>
    <n v="7"/>
    <n v="53"/>
    <n v="0"/>
    <n v="420.39"/>
    <n v="243.3"/>
    <m/>
    <n v="329.21451972581696"/>
    <n v="297.20166373463735"/>
    <n v="0"/>
    <n v="1.9067249468207592E-10"/>
    <n v="0"/>
    <n v="-1.9067249468207592E-10"/>
    <x v="5"/>
  </r>
  <r>
    <s v="Sistema Isolado - Refaturamento"/>
    <x v="2"/>
    <x v="3"/>
    <x v="4"/>
    <x v="7"/>
    <x v="1"/>
    <x v="0"/>
    <x v="1"/>
    <x v="9"/>
    <n v="0"/>
    <n v="0"/>
    <n v="-18.576000000000001"/>
    <n v="-18.576000000000001"/>
    <n v="-18.576000000000001"/>
    <n v="-18.576000000000001"/>
    <n v="0"/>
    <s v="CATIVO"/>
    <n v="0"/>
    <n v="0"/>
    <n v="7"/>
    <n v="53"/>
    <n v="0"/>
    <n v="420.39"/>
    <n v="243.3"/>
    <m/>
    <n v="329.21451972581696"/>
    <n v="297.20166373463735"/>
    <n v="0"/>
    <n v="-1.0559233487583697E-12"/>
    <n v="0"/>
    <n v="1.0559233487583697E-12"/>
    <x v="5"/>
  </r>
  <r>
    <s v="Sistema de Compensação"/>
    <x v="2"/>
    <x v="3"/>
    <x v="4"/>
    <x v="7"/>
    <x v="1"/>
    <x v="0"/>
    <x v="1"/>
    <x v="9"/>
    <n v="0"/>
    <n v="0"/>
    <n v="0.57399999999999995"/>
    <n v="0.57399999999999995"/>
    <n v="0.57399999999999995"/>
    <n v="0.57399999999999995"/>
    <n v="3"/>
    <s v="CATIVO"/>
    <n v="0"/>
    <n v="0"/>
    <n v="7"/>
    <n v="53"/>
    <n v="0"/>
    <n v="420.39"/>
    <n v="243.3"/>
    <m/>
    <n v="329.21451972581696"/>
    <n v="297.20166373463735"/>
    <n v="0"/>
    <n v="3.2628122426103798E-14"/>
    <n v="0"/>
    <n v="-3.2628122426103798E-14"/>
    <x v="5"/>
  </r>
  <r>
    <s v="Regular"/>
    <x v="2"/>
    <x v="3"/>
    <x v="4"/>
    <x v="7"/>
    <x v="1"/>
    <x v="0"/>
    <x v="1"/>
    <x v="10"/>
    <n v="0"/>
    <n v="0"/>
    <n v="4587.0259999999998"/>
    <n v="4587.0259999999998"/>
    <n v="4587.0259999999998"/>
    <n v="4587.0259999999998"/>
    <n v="21988"/>
    <s v="CATIVO"/>
    <n v="0"/>
    <n v="0"/>
    <n v="7"/>
    <n v="53"/>
    <n v="0"/>
    <n v="420.39"/>
    <n v="243.3"/>
    <m/>
    <n v="329.21451972581696"/>
    <n v="297.20166373463735"/>
    <n v="0"/>
    <n v="2.6074224024341674E-10"/>
    <n v="0"/>
    <n v="-2.6074224024341674E-10"/>
    <x v="5"/>
  </r>
  <r>
    <s v="Refaturamento - Regular"/>
    <x v="2"/>
    <x v="3"/>
    <x v="4"/>
    <x v="7"/>
    <x v="1"/>
    <x v="0"/>
    <x v="1"/>
    <x v="10"/>
    <n v="0"/>
    <n v="0"/>
    <n v="-52.066000000000003"/>
    <n v="-52.066000000000003"/>
    <n v="-52.066000000000003"/>
    <n v="-52.066000000000003"/>
    <n v="0"/>
    <s v="CATIVO"/>
    <n v="0"/>
    <n v="0"/>
    <n v="7"/>
    <n v="53"/>
    <n v="0"/>
    <n v="420.39"/>
    <n v="243.3"/>
    <m/>
    <n v="329.21451972581696"/>
    <n v="297.20166373463735"/>
    <n v="0"/>
    <n v="-2.9596094464068302E-12"/>
    <n v="0"/>
    <n v="2.9596094464068302E-12"/>
    <x v="5"/>
  </r>
  <r>
    <s v="Sistema Isolado - Regular"/>
    <x v="2"/>
    <x v="3"/>
    <x v="4"/>
    <x v="7"/>
    <x v="1"/>
    <x v="0"/>
    <x v="1"/>
    <x v="10"/>
    <n v="0"/>
    <n v="0"/>
    <n v="3676.605"/>
    <n v="3676.605"/>
    <n v="3676.605"/>
    <n v="3676.605"/>
    <n v="26093"/>
    <s v="CATIVO"/>
    <n v="0"/>
    <n v="0"/>
    <n v="7"/>
    <n v="53"/>
    <n v="0"/>
    <n v="420.39"/>
    <n v="243.3"/>
    <m/>
    <n v="329.21451972581696"/>
    <n v="297.20166373463735"/>
    <n v="0"/>
    <n v="2.0899079800074105E-10"/>
    <n v="0"/>
    <n v="-2.0899079800074105E-10"/>
    <x v="5"/>
  </r>
  <r>
    <s v="Sistema Isolado - Refaturamento"/>
    <x v="2"/>
    <x v="3"/>
    <x v="4"/>
    <x v="7"/>
    <x v="1"/>
    <x v="0"/>
    <x v="1"/>
    <x v="10"/>
    <n v="0"/>
    <n v="0"/>
    <n v="-231.81899999999999"/>
    <n v="-231.81899999999999"/>
    <n v="-231.81899999999999"/>
    <n v="-231.81899999999999"/>
    <n v="0"/>
    <s v="CATIVO"/>
    <n v="0"/>
    <n v="0"/>
    <n v="7"/>
    <n v="53"/>
    <n v="0"/>
    <n v="420.39"/>
    <n v="243.3"/>
    <m/>
    <n v="329.21451972581696"/>
    <n v="297.20166373463735"/>
    <n v="0"/>
    <n v="-1.3177384516893653E-11"/>
    <n v="0"/>
    <n v="1.3177384516893653E-11"/>
    <x v="5"/>
  </r>
  <r>
    <s v="Sistema de Compensação"/>
    <x v="2"/>
    <x v="3"/>
    <x v="4"/>
    <x v="7"/>
    <x v="1"/>
    <x v="0"/>
    <x v="1"/>
    <x v="10"/>
    <n v="0"/>
    <n v="0"/>
    <n v="0.90400000000000003"/>
    <n v="0.90400000000000003"/>
    <n v="0.90400000000000003"/>
    <n v="0.90400000000000003"/>
    <n v="6"/>
    <s v="CATIVO"/>
    <n v="0"/>
    <n v="0"/>
    <n v="7"/>
    <n v="53"/>
    <n v="0"/>
    <n v="420.39"/>
    <n v="243.3"/>
    <m/>
    <n v="329.21451972581696"/>
    <n v="297.20166373463735"/>
    <n v="0"/>
    <n v="5.1386450650170447E-14"/>
    <n v="0"/>
    <n v="-5.1386450650170447E-14"/>
    <x v="5"/>
  </r>
  <r>
    <s v="PROJETADO"/>
    <x v="2"/>
    <x v="3"/>
    <x v="4"/>
    <x v="7"/>
    <x v="1"/>
    <x v="0"/>
    <x v="1"/>
    <x v="11"/>
    <n v="0"/>
    <n v="0"/>
    <n v="4587.0259999999998"/>
    <n v="4587.0259999999998"/>
    <n v="4587.0259999999998"/>
    <n v="4587.0259999999998"/>
    <n v="21988"/>
    <s v="CATIVO"/>
    <n v="0"/>
    <n v="0"/>
    <n v="7"/>
    <n v="53"/>
    <n v="0"/>
    <n v="420.39"/>
    <n v="243.3"/>
    <m/>
    <n v="329.21451972581696"/>
    <n v="297.20166373463735"/>
    <n v="0"/>
    <n v="2.6074224024341674E-10"/>
    <n v="0"/>
    <n v="-2.6074224024341674E-10"/>
    <x v="5"/>
  </r>
  <r>
    <s v="PROJETADO"/>
    <x v="2"/>
    <x v="3"/>
    <x v="4"/>
    <x v="7"/>
    <x v="1"/>
    <x v="0"/>
    <x v="1"/>
    <x v="11"/>
    <n v="0"/>
    <n v="0"/>
    <n v="-52.066000000000003"/>
    <n v="-52.066000000000003"/>
    <n v="-52.066000000000003"/>
    <n v="-52.066000000000003"/>
    <n v="0"/>
    <s v="CATIVO"/>
    <n v="0"/>
    <n v="0"/>
    <n v="7"/>
    <n v="53"/>
    <n v="0"/>
    <n v="420.39"/>
    <n v="243.3"/>
    <m/>
    <n v="329.21451972581696"/>
    <n v="297.20166373463735"/>
    <n v="0"/>
    <n v="-2.9596094464068302E-12"/>
    <n v="0"/>
    <n v="2.9596094464068302E-12"/>
    <x v="5"/>
  </r>
  <r>
    <s v="PROJETADO"/>
    <x v="2"/>
    <x v="3"/>
    <x v="4"/>
    <x v="7"/>
    <x v="1"/>
    <x v="0"/>
    <x v="1"/>
    <x v="11"/>
    <n v="0"/>
    <n v="0"/>
    <n v="3676.605"/>
    <n v="3676.605"/>
    <n v="3676.605"/>
    <n v="3676.605"/>
    <n v="26093"/>
    <s v="CATIVO"/>
    <n v="0"/>
    <n v="0"/>
    <n v="7"/>
    <n v="53"/>
    <n v="0"/>
    <n v="420.39"/>
    <n v="243.3"/>
    <m/>
    <n v="329.21451972581696"/>
    <n v="297.20166373463735"/>
    <n v="0"/>
    <n v="2.0899079800074105E-10"/>
    <n v="0"/>
    <n v="-2.0899079800074105E-10"/>
    <x v="5"/>
  </r>
  <r>
    <s v="PROJETADO"/>
    <x v="2"/>
    <x v="3"/>
    <x v="4"/>
    <x v="7"/>
    <x v="1"/>
    <x v="0"/>
    <x v="1"/>
    <x v="11"/>
    <n v="0"/>
    <n v="0"/>
    <n v="-231.81899999999999"/>
    <n v="-231.81899999999999"/>
    <n v="-231.81899999999999"/>
    <n v="-231.81899999999999"/>
    <n v="0"/>
    <s v="CATIVO"/>
    <n v="0"/>
    <n v="0"/>
    <n v="7"/>
    <n v="53"/>
    <n v="0"/>
    <n v="420.39"/>
    <n v="243.3"/>
    <m/>
    <n v="329.21451972581696"/>
    <n v="297.20166373463735"/>
    <n v="0"/>
    <n v="-1.3177384516893653E-11"/>
    <n v="0"/>
    <n v="1.3177384516893653E-11"/>
    <x v="5"/>
  </r>
  <r>
    <s v="PROJETADO"/>
    <x v="2"/>
    <x v="3"/>
    <x v="4"/>
    <x v="7"/>
    <x v="1"/>
    <x v="0"/>
    <x v="1"/>
    <x v="11"/>
    <n v="0"/>
    <n v="0"/>
    <n v="0.90400000000000003"/>
    <n v="0.90400000000000003"/>
    <n v="0.90400000000000003"/>
    <n v="0.90400000000000003"/>
    <n v="6"/>
    <s v="CATIVO"/>
    <n v="0"/>
    <n v="0"/>
    <n v="7"/>
    <n v="53"/>
    <n v="0"/>
    <n v="420.39"/>
    <n v="243.3"/>
    <m/>
    <n v="329.21451972581696"/>
    <n v="297.20166373463735"/>
    <n v="0"/>
    <n v="5.1386450650170447E-14"/>
    <n v="0"/>
    <n v="-5.1386450650170447E-14"/>
    <x v="5"/>
  </r>
  <r>
    <s v="Regular"/>
    <x v="3"/>
    <x v="4"/>
    <x v="3"/>
    <x v="0"/>
    <x v="1"/>
    <x v="0"/>
    <x v="0"/>
    <x v="0"/>
    <n v="0"/>
    <n v="0"/>
    <n v="9.8000000000000004E-2"/>
    <n v="9.8000000000000004E-2"/>
    <n v="9.8000000000000004E-2"/>
    <n v="9.8000000000000004E-2"/>
    <n v="0"/>
    <s v="CATIVO"/>
    <n v="0"/>
    <n v="0"/>
    <n v="38"/>
    <n v="57"/>
    <n v="0"/>
    <n v="296.56"/>
    <n v="188.63"/>
    <m/>
    <n v="242.8080878584272"/>
    <n v="248.96731175097949"/>
    <n v="0"/>
    <n v="6.483902727272727"/>
    <n v="0"/>
    <n v="6.5719076129620717"/>
    <x v="3"/>
  </r>
  <r>
    <s v="Regular"/>
    <x v="3"/>
    <x v="4"/>
    <x v="3"/>
    <x v="0"/>
    <x v="1"/>
    <x v="0"/>
    <x v="0"/>
    <x v="1"/>
    <n v="0"/>
    <n v="0"/>
    <n v="5.7000000000000002E-2"/>
    <n v="5.7000000000000002E-2"/>
    <n v="5.7000000000000002E-2"/>
    <n v="5.7000000000000002E-2"/>
    <n v="0"/>
    <s v="CATIVO"/>
    <n v="0"/>
    <n v="0"/>
    <n v="38"/>
    <n v="57"/>
    <n v="0"/>
    <n v="296.56"/>
    <n v="188.63"/>
    <m/>
    <n v="242.8080878584272"/>
    <n v="248.96731175097949"/>
    <n v="0"/>
    <n v="3.7712495454545456"/>
    <n v="0"/>
    <n v="3.8224360606003884"/>
    <x v="3"/>
  </r>
  <r>
    <s v="Regular"/>
    <x v="3"/>
    <x v="4"/>
    <x v="3"/>
    <x v="0"/>
    <x v="1"/>
    <x v="0"/>
    <x v="0"/>
    <x v="2"/>
    <n v="0"/>
    <n v="0"/>
    <n v="6.9000000000000006E-2"/>
    <n v="6.9000000000000006E-2"/>
    <n v="6.9000000000000006E-2"/>
    <n v="6.9000000000000006E-2"/>
    <n v="0"/>
    <s v="CATIVO"/>
    <n v="0"/>
    <n v="0"/>
    <n v="38"/>
    <n v="57"/>
    <n v="0"/>
    <n v="296.56"/>
    <n v="188.63"/>
    <m/>
    <n v="242.8080878584272"/>
    <n v="248.96731175097949"/>
    <n v="0"/>
    <n v="4.5651968181818177"/>
    <n v="0"/>
    <n v="4.6271594417794182"/>
    <x v="3"/>
  </r>
  <r>
    <s v="Regular"/>
    <x v="3"/>
    <x v="4"/>
    <x v="3"/>
    <x v="0"/>
    <x v="1"/>
    <x v="0"/>
    <x v="0"/>
    <x v="3"/>
    <n v="0"/>
    <n v="0"/>
    <n v="0.04"/>
    <n v="0.04"/>
    <n v="0.04"/>
    <n v="0.04"/>
    <n v="0"/>
    <s v="CATIVO"/>
    <n v="0"/>
    <n v="0"/>
    <n v="38"/>
    <n v="57"/>
    <n v="0"/>
    <n v="296.56"/>
    <n v="188.63"/>
    <m/>
    <n v="242.8080878584272"/>
    <n v="248.96731175097949"/>
    <n v="0"/>
    <n v="2.6464909090909097"/>
    <n v="0"/>
    <n v="2.6824112705967638"/>
    <x v="3"/>
  </r>
  <r>
    <s v="Regular"/>
    <x v="3"/>
    <x v="4"/>
    <x v="3"/>
    <x v="0"/>
    <x v="1"/>
    <x v="0"/>
    <x v="0"/>
    <x v="4"/>
    <n v="0"/>
    <n v="0"/>
    <n v="0.03"/>
    <n v="0.03"/>
    <n v="0.03"/>
    <n v="0.03"/>
    <n v="0"/>
    <s v="CATIVO"/>
    <n v="0"/>
    <n v="0"/>
    <n v="38"/>
    <n v="57"/>
    <n v="0"/>
    <n v="296.56"/>
    <n v="188.63"/>
    <m/>
    <n v="242.8080878584272"/>
    <n v="248.96731175097949"/>
    <n v="0"/>
    <n v="1.9848681818181815"/>
    <n v="0"/>
    <n v="2.011808452947573"/>
    <x v="3"/>
  </r>
  <r>
    <s v="Regular"/>
    <x v="3"/>
    <x v="4"/>
    <x v="3"/>
    <x v="0"/>
    <x v="1"/>
    <x v="0"/>
    <x v="0"/>
    <x v="5"/>
    <n v="0"/>
    <n v="0"/>
    <n v="3.6999999999999998E-2"/>
    <n v="3.6999999999999998E-2"/>
    <n v="3.6999999999999998E-2"/>
    <n v="3.6999999999999998E-2"/>
    <n v="0"/>
    <s v="CATIVO"/>
    <n v="0"/>
    <n v="0"/>
    <n v="38"/>
    <n v="57"/>
    <n v="0"/>
    <n v="296.56"/>
    <n v="188.63"/>
    <m/>
    <n v="242.8080878584272"/>
    <n v="248.96731175097949"/>
    <n v="0"/>
    <n v="2.448004090909091"/>
    <n v="0"/>
    <n v="2.4812304253020061"/>
    <x v="3"/>
  </r>
  <r>
    <s v="Regular"/>
    <x v="3"/>
    <x v="4"/>
    <x v="3"/>
    <x v="0"/>
    <x v="1"/>
    <x v="0"/>
    <x v="0"/>
    <x v="6"/>
    <n v="0"/>
    <n v="0"/>
    <n v="0.03"/>
    <n v="0.03"/>
    <n v="0.03"/>
    <n v="0.03"/>
    <n v="0"/>
    <s v="CATIVO"/>
    <n v="0"/>
    <n v="0"/>
    <n v="38"/>
    <n v="57"/>
    <n v="0"/>
    <n v="296.56"/>
    <n v="188.63"/>
    <m/>
    <n v="242.8080878584272"/>
    <n v="248.96731175097949"/>
    <n v="0"/>
    <n v="1.9848681818181815"/>
    <n v="0"/>
    <n v="2.011808452947573"/>
    <x v="3"/>
  </r>
  <r>
    <s v="Regular"/>
    <x v="3"/>
    <x v="4"/>
    <x v="3"/>
    <x v="0"/>
    <x v="1"/>
    <x v="0"/>
    <x v="0"/>
    <x v="7"/>
    <n v="0"/>
    <n v="0"/>
    <n v="6.5000000000000002E-2"/>
    <n v="6.5000000000000002E-2"/>
    <n v="6.5000000000000002E-2"/>
    <n v="6.5000000000000002E-2"/>
    <n v="0"/>
    <s v="CATIVO"/>
    <n v="0"/>
    <n v="0"/>
    <n v="38"/>
    <n v="57"/>
    <n v="0"/>
    <n v="296.56"/>
    <n v="188.63"/>
    <m/>
    <n v="242.8080878584272"/>
    <n v="248.96731175097949"/>
    <n v="0"/>
    <n v="4.3005477272727282"/>
    <n v="0"/>
    <n v="4.3589183147197401"/>
    <x v="3"/>
  </r>
  <r>
    <s v="Regular"/>
    <x v="3"/>
    <x v="4"/>
    <x v="3"/>
    <x v="0"/>
    <x v="1"/>
    <x v="0"/>
    <x v="0"/>
    <x v="8"/>
    <n v="0"/>
    <n v="0"/>
    <n v="0.03"/>
    <n v="0.03"/>
    <n v="0.03"/>
    <n v="0.03"/>
    <n v="0"/>
    <s v="CATIVO"/>
    <n v="0"/>
    <n v="0"/>
    <n v="38"/>
    <n v="57"/>
    <n v="0"/>
    <n v="296.56"/>
    <n v="188.63"/>
    <m/>
    <n v="242.8080878584272"/>
    <n v="248.96731175097949"/>
    <n v="0"/>
    <n v="1.9848681818181815"/>
    <n v="0"/>
    <n v="2.011808452947573"/>
    <x v="3"/>
  </r>
  <r>
    <s v="Regular"/>
    <x v="3"/>
    <x v="4"/>
    <x v="3"/>
    <x v="0"/>
    <x v="1"/>
    <x v="0"/>
    <x v="0"/>
    <x v="9"/>
    <n v="0"/>
    <n v="0"/>
    <n v="0.03"/>
    <n v="0.03"/>
    <n v="0.03"/>
    <n v="0.03"/>
    <n v="0"/>
    <s v="CATIVO"/>
    <n v="0"/>
    <n v="0"/>
    <n v="38"/>
    <n v="57"/>
    <n v="0"/>
    <n v="296.56"/>
    <n v="188.63"/>
    <m/>
    <n v="242.8080878584272"/>
    <n v="248.96731175097949"/>
    <n v="0"/>
    <n v="1.9848681818181815"/>
    <n v="0"/>
    <n v="2.011808452947573"/>
    <x v="3"/>
  </r>
  <r>
    <s v="Regular"/>
    <x v="3"/>
    <x v="4"/>
    <x v="3"/>
    <x v="0"/>
    <x v="1"/>
    <x v="0"/>
    <x v="0"/>
    <x v="10"/>
    <n v="0"/>
    <n v="0"/>
    <n v="0.03"/>
    <n v="0.03"/>
    <n v="0.03"/>
    <n v="0.03"/>
    <n v="0"/>
    <s v="CATIVO"/>
    <n v="0"/>
    <n v="0"/>
    <n v="38"/>
    <n v="57"/>
    <n v="0"/>
    <n v="296.56"/>
    <n v="188.63"/>
    <m/>
    <n v="242.8080878584272"/>
    <n v="248.96731175097949"/>
    <n v="0"/>
    <n v="1.9848681818181815"/>
    <n v="0"/>
    <n v="2.011808452947573"/>
    <x v="3"/>
  </r>
  <r>
    <s v="PROJETADO"/>
    <x v="3"/>
    <x v="4"/>
    <x v="3"/>
    <x v="0"/>
    <x v="1"/>
    <x v="0"/>
    <x v="0"/>
    <x v="11"/>
    <n v="0"/>
    <n v="0"/>
    <n v="0.03"/>
    <n v="0.03"/>
    <n v="0.03"/>
    <n v="0.03"/>
    <n v="0"/>
    <s v="CATIVO"/>
    <n v="0"/>
    <n v="0"/>
    <n v="38"/>
    <n v="57"/>
    <n v="0"/>
    <n v="296.56"/>
    <n v="188.63"/>
    <m/>
    <n v="242.8080878584272"/>
    <n v="248.96731175097949"/>
    <n v="0"/>
    <n v="1.9848681818181815"/>
    <n v="0"/>
    <n v="2.011808452947573"/>
    <x v="3"/>
  </r>
  <r>
    <s v="Regular"/>
    <x v="3"/>
    <x v="4"/>
    <x v="3"/>
    <x v="0"/>
    <x v="1"/>
    <x v="0"/>
    <x v="3"/>
    <x v="1"/>
    <n v="0"/>
    <n v="0"/>
    <n v="3.0000000000000001E-3"/>
    <n v="3.0000000000000001E-3"/>
    <n v="3.0000000000000001E-3"/>
    <n v="3.0000000000000001E-3"/>
    <n v="0"/>
    <s v="CATIVO"/>
    <n v="0"/>
    <n v="0"/>
    <n v="37"/>
    <n v="56"/>
    <n v="0"/>
    <n v="554.67999999999995"/>
    <n v="188.63"/>
    <m/>
    <n v="555.02361650772843"/>
    <n v="248.96731175097949"/>
    <n v="0"/>
    <n v="0.30408136363636362"/>
    <n v="0"/>
    <n v="0.32890537974219869"/>
    <x v="3"/>
  </r>
  <r>
    <s v="Regular"/>
    <x v="3"/>
    <x v="4"/>
    <x v="3"/>
    <x v="0"/>
    <x v="1"/>
    <x v="0"/>
    <x v="3"/>
    <x v="2"/>
    <n v="0"/>
    <n v="0"/>
    <n v="1E-3"/>
    <n v="1E-3"/>
    <n v="1E-3"/>
    <n v="1E-3"/>
    <n v="0"/>
    <s v="CATIVO"/>
    <n v="0"/>
    <n v="0"/>
    <n v="37"/>
    <n v="56"/>
    <n v="0"/>
    <n v="554.67999999999995"/>
    <n v="188.63"/>
    <m/>
    <n v="555.02361650772843"/>
    <n v="248.96731175097949"/>
    <n v="0"/>
    <n v="0.10136045454545453"/>
    <n v="0"/>
    <n v="0.10963512658073291"/>
    <x v="3"/>
  </r>
  <r>
    <s v="Regular"/>
    <x v="3"/>
    <x v="4"/>
    <x v="3"/>
    <x v="0"/>
    <x v="1"/>
    <x v="0"/>
    <x v="3"/>
    <x v="5"/>
    <n v="0"/>
    <n v="0"/>
    <n v="1E-3"/>
    <n v="1E-3"/>
    <n v="1E-3"/>
    <n v="1E-3"/>
    <n v="0"/>
    <s v="CATIVO"/>
    <n v="0"/>
    <n v="0"/>
    <n v="37"/>
    <n v="56"/>
    <n v="0"/>
    <n v="554.67999999999995"/>
    <n v="188.63"/>
    <m/>
    <n v="555.02361650772843"/>
    <n v="248.96731175097949"/>
    <n v="0"/>
    <n v="0.10136045454545453"/>
    <n v="0"/>
    <n v="0.10963512658073291"/>
    <x v="3"/>
  </r>
  <r>
    <s v="Regular"/>
    <x v="3"/>
    <x v="3"/>
    <x v="3"/>
    <x v="2"/>
    <x v="2"/>
    <x v="0"/>
    <x v="1"/>
    <x v="6"/>
    <n v="0"/>
    <n v="0"/>
    <n v="11.287000000000001"/>
    <n v="11.287000000000001"/>
    <n v="11.287000000000001"/>
    <n v="11.287000000000001"/>
    <n v="0"/>
    <s v="CATIVO"/>
    <n v="0"/>
    <n v="0"/>
    <n v="39"/>
    <n v="85"/>
    <n v="0"/>
    <n v="369.16"/>
    <n v="199.51"/>
    <m/>
    <n v="330.61867549798609"/>
    <n v="261.5374640864809"/>
    <n v="0"/>
    <n v="1408.8433400000001"/>
    <n v="0"/>
    <n v="911.40904738498318"/>
    <x v="3"/>
  </r>
  <r>
    <s v="Refaturamento - Regular"/>
    <x v="3"/>
    <x v="3"/>
    <x v="3"/>
    <x v="2"/>
    <x v="2"/>
    <x v="0"/>
    <x v="1"/>
    <x v="6"/>
    <n v="0"/>
    <n v="0"/>
    <n v="-4.157"/>
    <n v="-4.157"/>
    <n v="-4.157"/>
    <n v="-4.157"/>
    <n v="0"/>
    <s v="CATIVO"/>
    <n v="0"/>
    <n v="0"/>
    <n v="39"/>
    <n v="85"/>
    <n v="0"/>
    <n v="369.16"/>
    <n v="199.51"/>
    <m/>
    <n v="330.61867549798609"/>
    <n v="261.5374640864809"/>
    <n v="0"/>
    <n v="-518.87673999999993"/>
    <n v="0"/>
    <n v="-335.67178257990383"/>
    <x v="3"/>
  </r>
  <r>
    <s v="Sistema Isolado - Regular"/>
    <x v="3"/>
    <x v="3"/>
    <x v="3"/>
    <x v="2"/>
    <x v="2"/>
    <x v="0"/>
    <x v="1"/>
    <x v="6"/>
    <n v="0"/>
    <n v="0"/>
    <n v="18.858000000000001"/>
    <n v="18.858000000000001"/>
    <n v="18.858000000000001"/>
    <n v="18.858000000000001"/>
    <n v="0"/>
    <s v="CATIVO"/>
    <n v="0"/>
    <n v="0"/>
    <n v="39"/>
    <n v="85"/>
    <n v="0"/>
    <n v="369.16"/>
    <n v="199.51"/>
    <m/>
    <n v="330.61867549798609"/>
    <n v="261.5374640864809"/>
    <n v="0"/>
    <n v="2353.85556"/>
    <n v="0"/>
    <n v="1522.7564291296192"/>
    <x v="3"/>
  </r>
  <r>
    <s v="Sistema Isolado - Refaturamento"/>
    <x v="3"/>
    <x v="3"/>
    <x v="3"/>
    <x v="2"/>
    <x v="2"/>
    <x v="0"/>
    <x v="1"/>
    <x v="6"/>
    <n v="0"/>
    <n v="0"/>
    <n v="-0.443"/>
    <n v="-0.443"/>
    <n v="-0.443"/>
    <n v="-0.443"/>
    <n v="0"/>
    <s v="CATIVO"/>
    <n v="0"/>
    <n v="0"/>
    <n v="39"/>
    <n v="85"/>
    <n v="0"/>
    <n v="369.16"/>
    <n v="199.51"/>
    <m/>
    <n v="330.61867549798609"/>
    <n v="261.5374640864809"/>
    <n v="0"/>
    <n v="-55.295259999999999"/>
    <n v="0"/>
    <n v="-35.771614068534376"/>
    <x v="3"/>
  </r>
  <r>
    <s v="Regular"/>
    <x v="3"/>
    <x v="3"/>
    <x v="3"/>
    <x v="2"/>
    <x v="2"/>
    <x v="0"/>
    <x v="1"/>
    <x v="7"/>
    <n v="0"/>
    <n v="0"/>
    <n v="9.6080000000000005"/>
    <n v="9.6080000000000005"/>
    <n v="9.6080000000000005"/>
    <n v="9.6080000000000005"/>
    <n v="0"/>
    <s v="CATIVO"/>
    <n v="0"/>
    <n v="0"/>
    <n v="39"/>
    <n v="85"/>
    <n v="0"/>
    <n v="369.16"/>
    <n v="199.51"/>
    <m/>
    <n v="330.61867549798609"/>
    <n v="261.5374640864809"/>
    <n v="0"/>
    <n v="1199.2705599999999"/>
    <n v="0"/>
    <n v="775.83220760830318"/>
    <x v="3"/>
  </r>
  <r>
    <s v="Refaturamento - Regular"/>
    <x v="3"/>
    <x v="3"/>
    <x v="3"/>
    <x v="2"/>
    <x v="2"/>
    <x v="0"/>
    <x v="1"/>
    <x v="7"/>
    <n v="0"/>
    <n v="0"/>
    <n v="-1.0509999999999999"/>
    <n v="-1.0509999999999999"/>
    <n v="-1.0509999999999999"/>
    <n v="-1.0509999999999999"/>
    <n v="0"/>
    <s v="CATIVO"/>
    <n v="0"/>
    <n v="0"/>
    <n v="39"/>
    <n v="85"/>
    <n v="0"/>
    <n v="369.16"/>
    <n v="199.51"/>
    <m/>
    <n v="330.61867549798609"/>
    <n v="261.5374640864809"/>
    <n v="0"/>
    <n v="-131.18581999999998"/>
    <n v="0"/>
    <n v="-84.866741277719257"/>
    <x v="3"/>
  </r>
  <r>
    <s v="Sistema Isolado - Regular"/>
    <x v="3"/>
    <x v="3"/>
    <x v="3"/>
    <x v="2"/>
    <x v="2"/>
    <x v="0"/>
    <x v="1"/>
    <x v="7"/>
    <n v="0"/>
    <n v="0"/>
    <n v="23.059000000000001"/>
    <n v="23.059000000000001"/>
    <n v="23.059000000000001"/>
    <n v="23.059000000000001"/>
    <n v="0"/>
    <s v="CATIVO"/>
    <n v="0"/>
    <n v="0"/>
    <n v="39"/>
    <n v="85"/>
    <n v="0"/>
    <n v="369.16"/>
    <n v="199.51"/>
    <m/>
    <n v="330.61867549798609"/>
    <n v="261.5374640864809"/>
    <n v="0"/>
    <n v="2878.2243800000001"/>
    <n v="0"/>
    <n v="1861.98114854703"/>
    <x v="3"/>
  </r>
  <r>
    <s v="Regular"/>
    <x v="3"/>
    <x v="3"/>
    <x v="3"/>
    <x v="2"/>
    <x v="2"/>
    <x v="0"/>
    <x v="1"/>
    <x v="8"/>
    <n v="0"/>
    <n v="0"/>
    <n v="10.369"/>
    <n v="10.369"/>
    <n v="10.369"/>
    <n v="10.369"/>
    <n v="0"/>
    <s v="CATIVO"/>
    <n v="0"/>
    <n v="0"/>
    <n v="39"/>
    <n v="85"/>
    <n v="0"/>
    <n v="369.16"/>
    <n v="199.51"/>
    <m/>
    <n v="330.61867549798609"/>
    <n v="261.5374640864809"/>
    <n v="0"/>
    <n v="1294.2585799999999"/>
    <n v="0"/>
    <n v="837.28186518427299"/>
    <x v="3"/>
  </r>
  <r>
    <s v="Refaturamento - Regular"/>
    <x v="3"/>
    <x v="3"/>
    <x v="3"/>
    <x v="2"/>
    <x v="2"/>
    <x v="0"/>
    <x v="1"/>
    <x v="8"/>
    <n v="0"/>
    <n v="0"/>
    <n v="-1.597"/>
    <n v="-1.597"/>
    <n v="-1.597"/>
    <n v="-1.597"/>
    <n v="0"/>
    <s v="CATIVO"/>
    <n v="0"/>
    <n v="0"/>
    <n v="39"/>
    <n v="85"/>
    <n v="0"/>
    <n v="369.16"/>
    <n v="199.51"/>
    <m/>
    <n v="330.61867549798609"/>
    <n v="261.5374640864809"/>
    <n v="0"/>
    <n v="-199.33753999999999"/>
    <n v="0"/>
    <n v="-128.95545748859911"/>
    <x v="3"/>
  </r>
  <r>
    <s v="Sistema Isolado - Regular"/>
    <x v="3"/>
    <x v="3"/>
    <x v="3"/>
    <x v="2"/>
    <x v="2"/>
    <x v="0"/>
    <x v="1"/>
    <x v="8"/>
    <n v="0"/>
    <n v="0"/>
    <n v="24.103000000000002"/>
    <n v="24.103000000000002"/>
    <n v="24.103000000000002"/>
    <n v="24.103000000000002"/>
    <n v="0"/>
    <s v="CATIVO"/>
    <n v="0"/>
    <n v="0"/>
    <n v="39"/>
    <n v="85"/>
    <n v="0"/>
    <n v="369.16"/>
    <n v="199.51"/>
    <m/>
    <n v="330.61867549798609"/>
    <n v="261.5374640864809"/>
    <n v="0"/>
    <n v="3008.5364599999998"/>
    <n v="0"/>
    <n v="1946.2826498733277"/>
    <x v="3"/>
  </r>
  <r>
    <s v="Regular"/>
    <x v="3"/>
    <x v="3"/>
    <x v="3"/>
    <x v="2"/>
    <x v="2"/>
    <x v="0"/>
    <x v="1"/>
    <x v="9"/>
    <n v="0"/>
    <n v="0"/>
    <n v="26.681999999999999"/>
    <n v="26.681999999999999"/>
    <n v="26.681999999999999"/>
    <n v="26.681999999999999"/>
    <n v="0"/>
    <s v="CATIVO"/>
    <n v="0"/>
    <n v="0"/>
    <n v="39"/>
    <n v="85"/>
    <n v="0"/>
    <n v="369.16"/>
    <n v="199.51"/>
    <m/>
    <n v="330.61867549798609"/>
    <n v="261.5374640864809"/>
    <n v="0"/>
    <n v="3330.4472399999995"/>
    <n v="0"/>
    <n v="2154.5331976899192"/>
    <x v="3"/>
  </r>
  <r>
    <s v="Sistema Isolado - Regular"/>
    <x v="3"/>
    <x v="3"/>
    <x v="3"/>
    <x v="2"/>
    <x v="2"/>
    <x v="0"/>
    <x v="1"/>
    <x v="9"/>
    <n v="0"/>
    <n v="0"/>
    <n v="35.304000000000002"/>
    <n v="35.304000000000002"/>
    <n v="35.304000000000002"/>
    <n v="35.304000000000002"/>
    <n v="0"/>
    <s v="CATIVO"/>
    <n v="0"/>
    <n v="0"/>
    <n v="39"/>
    <n v="85"/>
    <n v="0"/>
    <n v="369.16"/>
    <n v="199.51"/>
    <m/>
    <n v="330.61867549798609"/>
    <n v="261.5374640864809"/>
    <n v="0"/>
    <n v="4406.6452799999997"/>
    <n v="0"/>
    <n v="2850.7473207122748"/>
    <x v="3"/>
  </r>
  <r>
    <s v="Sistema Isolado - Refaturamento"/>
    <x v="3"/>
    <x v="3"/>
    <x v="3"/>
    <x v="2"/>
    <x v="2"/>
    <x v="0"/>
    <x v="1"/>
    <x v="9"/>
    <n v="0"/>
    <n v="0"/>
    <n v="-1.0780000000000001"/>
    <n v="-1.0780000000000001"/>
    <n v="-1.0780000000000001"/>
    <n v="-1.0780000000000001"/>
    <n v="0"/>
    <s v="CATIVO"/>
    <n v="0"/>
    <n v="0"/>
    <n v="39"/>
    <n v="85"/>
    <n v="0"/>
    <n v="369.16"/>
    <n v="199.51"/>
    <m/>
    <n v="330.61867549798609"/>
    <n v="261.5374640864809"/>
    <n v="0"/>
    <n v="-134.55596"/>
    <n v="0"/>
    <n v="-87.046952518916612"/>
    <x v="3"/>
  </r>
  <r>
    <s v="Regular"/>
    <x v="3"/>
    <x v="3"/>
    <x v="3"/>
    <x v="2"/>
    <x v="2"/>
    <x v="0"/>
    <x v="1"/>
    <x v="10"/>
    <n v="0"/>
    <n v="0"/>
    <n v="18.504999999999999"/>
    <n v="18.504999999999999"/>
    <n v="18.504999999999999"/>
    <n v="18.504999999999999"/>
    <n v="0"/>
    <s v="CATIVO"/>
    <n v="0"/>
    <n v="0"/>
    <n v="39"/>
    <n v="85"/>
    <n v="0"/>
    <n v="369.16"/>
    <n v="199.51"/>
    <m/>
    <n v="330.61867549798609"/>
    <n v="261.5374640864809"/>
    <n v="0"/>
    <n v="2309.7940999999996"/>
    <n v="0"/>
    <n v="1494.2521858650759"/>
    <x v="3"/>
  </r>
  <r>
    <s v="Refaturamento - Regular"/>
    <x v="3"/>
    <x v="3"/>
    <x v="3"/>
    <x v="2"/>
    <x v="2"/>
    <x v="0"/>
    <x v="1"/>
    <x v="10"/>
    <n v="0"/>
    <n v="0"/>
    <n v="-1.9710000000000001"/>
    <n v="-1.9710000000000001"/>
    <n v="-1.9710000000000001"/>
    <n v="-1.9710000000000001"/>
    <n v="0"/>
    <s v="CATIVO"/>
    <n v="0"/>
    <n v="0"/>
    <n v="39"/>
    <n v="85"/>
    <n v="0"/>
    <n v="369.16"/>
    <n v="199.51"/>
    <m/>
    <n v="330.61867549798609"/>
    <n v="261.5374640864809"/>
    <n v="0"/>
    <n v="-246.02021999999999"/>
    <n v="0"/>
    <n v="-159.15542060740691"/>
    <x v="3"/>
  </r>
  <r>
    <s v="Sistema Isolado - Regular"/>
    <x v="3"/>
    <x v="3"/>
    <x v="3"/>
    <x v="2"/>
    <x v="2"/>
    <x v="0"/>
    <x v="1"/>
    <x v="10"/>
    <n v="0"/>
    <n v="0"/>
    <n v="26.731999999999999"/>
    <n v="26.731999999999999"/>
    <n v="26.731999999999999"/>
    <n v="26.731999999999999"/>
    <n v="0"/>
    <s v="CATIVO"/>
    <n v="0"/>
    <n v="0"/>
    <n v="39"/>
    <n v="85"/>
    <n v="0"/>
    <n v="369.16"/>
    <n v="199.51"/>
    <m/>
    <n v="330.61867549798609"/>
    <n v="261.5374640864809"/>
    <n v="0"/>
    <n v="3336.68824"/>
    <n v="0"/>
    <n v="2158.570625914359"/>
    <x v="3"/>
  </r>
  <r>
    <s v="PROJETADO"/>
    <x v="3"/>
    <x v="3"/>
    <x v="3"/>
    <x v="2"/>
    <x v="2"/>
    <x v="0"/>
    <x v="1"/>
    <x v="11"/>
    <n v="0"/>
    <n v="0"/>
    <n v="18.504999999999999"/>
    <n v="18.504999999999999"/>
    <n v="18.504999999999999"/>
    <n v="18.504999999999999"/>
    <n v="0"/>
    <s v="CATIVO"/>
    <n v="0"/>
    <n v="0"/>
    <n v="39"/>
    <n v="85"/>
    <n v="0"/>
    <n v="369.16"/>
    <n v="199.51"/>
    <m/>
    <n v="330.61867549798609"/>
    <n v="261.5374640864809"/>
    <n v="0"/>
    <n v="2309.7940999999996"/>
    <n v="0"/>
    <n v="1494.2521858650759"/>
    <x v="3"/>
  </r>
  <r>
    <s v="PROJETADO"/>
    <x v="3"/>
    <x v="3"/>
    <x v="3"/>
    <x v="2"/>
    <x v="2"/>
    <x v="0"/>
    <x v="1"/>
    <x v="11"/>
    <n v="0"/>
    <n v="0"/>
    <n v="-1.9710000000000001"/>
    <n v="-1.9710000000000001"/>
    <n v="-1.9710000000000001"/>
    <n v="-1.9710000000000001"/>
    <n v="0"/>
    <s v="CATIVO"/>
    <n v="0"/>
    <n v="0"/>
    <n v="39"/>
    <n v="85"/>
    <n v="0"/>
    <n v="369.16"/>
    <n v="199.51"/>
    <m/>
    <n v="330.61867549798609"/>
    <n v="261.5374640864809"/>
    <n v="0"/>
    <n v="-246.02021999999999"/>
    <n v="0"/>
    <n v="-159.15542060740691"/>
    <x v="3"/>
  </r>
  <r>
    <s v="PROJETADO"/>
    <x v="3"/>
    <x v="3"/>
    <x v="3"/>
    <x v="2"/>
    <x v="2"/>
    <x v="0"/>
    <x v="1"/>
    <x v="11"/>
    <n v="0"/>
    <n v="0"/>
    <n v="26.731999999999999"/>
    <n v="26.731999999999999"/>
    <n v="26.731999999999999"/>
    <n v="26.731999999999999"/>
    <n v="0"/>
    <s v="CATIVO"/>
    <n v="0"/>
    <n v="0"/>
    <n v="39"/>
    <n v="85"/>
    <n v="0"/>
    <n v="369.16"/>
    <n v="199.51"/>
    <m/>
    <n v="330.61867549798609"/>
    <n v="261.5374640864809"/>
    <n v="0"/>
    <n v="3336.68824"/>
    <n v="0"/>
    <n v="2158.570625914359"/>
    <x v="3"/>
  </r>
  <r>
    <s v="Regular"/>
    <x v="3"/>
    <x v="3"/>
    <x v="3"/>
    <x v="2"/>
    <x v="3"/>
    <x v="0"/>
    <x v="1"/>
    <x v="6"/>
    <n v="0"/>
    <n v="0"/>
    <n v="3.2349999999999999"/>
    <n v="1.06755"/>
    <n v="3.2349999999999999"/>
    <n v="1.06755"/>
    <n v="0"/>
    <s v="CATIVO"/>
    <n v="0"/>
    <n v="0"/>
    <n v="39"/>
    <n v="85"/>
    <n v="0"/>
    <n v="369.16"/>
    <n v="199.51"/>
    <m/>
    <n v="330.61867549798609"/>
    <n v="261.5374640864809"/>
    <n v="0"/>
    <n v="1636.3564914999999"/>
    <n v="0"/>
    <n v="1544.6904308635912"/>
    <x v="6"/>
  </r>
  <r>
    <s v="Refaturamento - Regular"/>
    <x v="3"/>
    <x v="3"/>
    <x v="3"/>
    <x v="2"/>
    <x v="3"/>
    <x v="0"/>
    <x v="1"/>
    <x v="6"/>
    <n v="0"/>
    <n v="0"/>
    <n v="1.028"/>
    <n v="0.33923999999999999"/>
    <n v="1.028"/>
    <n v="0.33923999999999999"/>
    <n v="0"/>
    <s v="CATIVO"/>
    <n v="0"/>
    <n v="0"/>
    <n v="39"/>
    <n v="85"/>
    <n v="0"/>
    <n v="369.16"/>
    <n v="199.51"/>
    <m/>
    <n v="330.61867549798609"/>
    <n v="261.5374640864809"/>
    <n v="0"/>
    <n v="519.99210920000007"/>
    <n v="0"/>
    <n v="490.86298699467449"/>
    <x v="6"/>
  </r>
  <r>
    <s v="Sistema Isolado - Regular"/>
    <x v="3"/>
    <x v="3"/>
    <x v="3"/>
    <x v="2"/>
    <x v="3"/>
    <x v="0"/>
    <x v="1"/>
    <x v="6"/>
    <n v="0"/>
    <n v="0"/>
    <n v="13.019"/>
    <n v="4.2962699999999998"/>
    <n v="13.019"/>
    <n v="4.2962699999999998"/>
    <n v="0"/>
    <s v="CATIVO"/>
    <n v="0"/>
    <n v="0"/>
    <n v="39"/>
    <n v="85"/>
    <n v="0"/>
    <n v="369.16"/>
    <n v="199.51"/>
    <m/>
    <n v="330.61867549798609"/>
    <n v="261.5374640864809"/>
    <n v="0"/>
    <n v="6585.3864491000004"/>
    <n v="0"/>
    <n v="6216.4836845171867"/>
    <x v="6"/>
  </r>
  <r>
    <s v="Sistema Isolado - Refaturamento"/>
    <x v="3"/>
    <x v="3"/>
    <x v="3"/>
    <x v="2"/>
    <x v="3"/>
    <x v="0"/>
    <x v="1"/>
    <x v="6"/>
    <n v="0"/>
    <n v="0"/>
    <n v="0.442"/>
    <n v="0.14585999999999999"/>
    <n v="0.442"/>
    <n v="0.14585999999999999"/>
    <n v="0"/>
    <s v="CATIVO"/>
    <n v="0"/>
    <n v="0"/>
    <n v="39"/>
    <n v="85"/>
    <n v="0"/>
    <n v="369.16"/>
    <n v="199.51"/>
    <m/>
    <n v="330.61867549798609"/>
    <n v="261.5374640864809"/>
    <n v="0"/>
    <n v="223.57637380000006"/>
    <n v="0"/>
    <n v="211.05198468058961"/>
    <x v="6"/>
  </r>
  <r>
    <s v="Regular"/>
    <x v="3"/>
    <x v="3"/>
    <x v="3"/>
    <x v="2"/>
    <x v="3"/>
    <x v="0"/>
    <x v="1"/>
    <x v="7"/>
    <n v="0"/>
    <n v="0"/>
    <n v="6.3869999999999996"/>
    <n v="2.10771"/>
    <n v="6.3869999999999996"/>
    <n v="2.10771"/>
    <n v="0"/>
    <s v="CATIVO"/>
    <n v="0"/>
    <n v="0"/>
    <n v="39"/>
    <n v="85"/>
    <n v="0"/>
    <n v="369.16"/>
    <n v="199.51"/>
    <m/>
    <n v="330.61867549798609"/>
    <n v="261.5374640864809"/>
    <n v="0"/>
    <n v="3230.7291842999998"/>
    <n v="0"/>
    <n v="3049.7489279523206"/>
    <x v="6"/>
  </r>
  <r>
    <s v="Refaturamento - Regular"/>
    <x v="3"/>
    <x v="3"/>
    <x v="3"/>
    <x v="2"/>
    <x v="3"/>
    <x v="0"/>
    <x v="1"/>
    <x v="7"/>
    <n v="0"/>
    <n v="0"/>
    <n v="3.7189999999999999"/>
    <n v="1.2272700000000001"/>
    <n v="3.7189999999999999"/>
    <n v="1.2272700000000001"/>
    <n v="0"/>
    <s v="CATIVO"/>
    <n v="0"/>
    <n v="0"/>
    <n v="39"/>
    <n v="85"/>
    <n v="0"/>
    <n v="369.16"/>
    <n v="199.51"/>
    <m/>
    <n v="330.61867549798609"/>
    <n v="261.5374640864809"/>
    <n v="0"/>
    <n v="1881.1776790999998"/>
    <n v="0"/>
    <n v="1775.7971290206169"/>
    <x v="6"/>
  </r>
  <r>
    <s v="Sistema Isolado - Regular"/>
    <x v="3"/>
    <x v="3"/>
    <x v="3"/>
    <x v="2"/>
    <x v="3"/>
    <x v="0"/>
    <x v="1"/>
    <x v="7"/>
    <n v="0"/>
    <n v="0"/>
    <n v="18.571999999999999"/>
    <n v="18.571999999999999"/>
    <n v="18.571999999999999"/>
    <n v="18.571999999999999"/>
    <n v="0"/>
    <s v="CATIVO"/>
    <n v="0"/>
    <n v="0"/>
    <n v="39"/>
    <n v="85"/>
    <n v="0"/>
    <n v="369.16"/>
    <n v="199.51"/>
    <m/>
    <n v="330.61867549798609"/>
    <n v="261.5374640864809"/>
    <n v="0"/>
    <n v="2318.1570399999996"/>
    <n v="0"/>
    <n v="1499.6623396858249"/>
    <x v="3"/>
  </r>
  <r>
    <s v="Regular"/>
    <x v="3"/>
    <x v="3"/>
    <x v="3"/>
    <x v="2"/>
    <x v="3"/>
    <x v="0"/>
    <x v="1"/>
    <x v="8"/>
    <n v="0"/>
    <n v="0"/>
    <n v="9.3330000000000002"/>
    <n v="3.0798899999999998"/>
    <n v="9.3330000000000002"/>
    <n v="3.0798899999999998"/>
    <n v="0"/>
    <s v="CATIVO"/>
    <n v="0"/>
    <n v="0"/>
    <n v="39"/>
    <n v="85"/>
    <n v="0"/>
    <n v="369.16"/>
    <n v="199.51"/>
    <m/>
    <n v="330.61867549798609"/>
    <n v="261.5374640864809"/>
    <n v="0"/>
    <n v="4720.9011237000013"/>
    <n v="0"/>
    <n v="4456.4438303709121"/>
    <x v="6"/>
  </r>
  <r>
    <s v="Refaturamento - Regular"/>
    <x v="3"/>
    <x v="3"/>
    <x v="3"/>
    <x v="2"/>
    <x v="3"/>
    <x v="0"/>
    <x v="1"/>
    <x v="8"/>
    <n v="0"/>
    <n v="0"/>
    <n v="-0.57599999999999996"/>
    <n v="-0.19008"/>
    <n v="-0.57599999999999996"/>
    <n v="-0.19008"/>
    <n v="0"/>
    <s v="CATIVO"/>
    <n v="0"/>
    <n v="0"/>
    <n v="39"/>
    <n v="85"/>
    <n v="0"/>
    <n v="369.16"/>
    <n v="199.51"/>
    <m/>
    <n v="330.61867549798609"/>
    <n v="261.5374640864809"/>
    <n v="0"/>
    <n v="-291.35744639999996"/>
    <n v="0"/>
    <n v="-275.03607053398099"/>
    <x v="6"/>
  </r>
  <r>
    <s v="Sistema Isolado - Regular"/>
    <x v="3"/>
    <x v="3"/>
    <x v="3"/>
    <x v="2"/>
    <x v="3"/>
    <x v="0"/>
    <x v="1"/>
    <x v="8"/>
    <n v="0"/>
    <n v="0"/>
    <n v="17.431999999999999"/>
    <n v="5.7525599999999999"/>
    <n v="17.431999999999999"/>
    <n v="5.7525599999999999"/>
    <n v="0"/>
    <s v="CATIVO"/>
    <n v="0"/>
    <n v="0"/>
    <n v="39"/>
    <n v="85"/>
    <n v="0"/>
    <n v="369.16"/>
    <n v="199.51"/>
    <m/>
    <n v="330.61867549798609"/>
    <n v="261.5374640864809"/>
    <n v="0"/>
    <n v="8817.6093848"/>
    <n v="0"/>
    <n v="8323.6610790770101"/>
    <x v="6"/>
  </r>
  <r>
    <s v="Regular"/>
    <x v="3"/>
    <x v="3"/>
    <x v="3"/>
    <x v="2"/>
    <x v="3"/>
    <x v="0"/>
    <x v="1"/>
    <x v="9"/>
    <n v="0"/>
    <n v="0"/>
    <n v="15.872"/>
    <n v="5.2377599999999997"/>
    <n v="15.872"/>
    <n v="5.2377599999999997"/>
    <n v="0"/>
    <s v="CATIVO"/>
    <n v="0"/>
    <n v="0"/>
    <n v="39"/>
    <n v="85"/>
    <n v="0"/>
    <n v="369.16"/>
    <n v="199.51"/>
    <m/>
    <n v="330.61867549798609"/>
    <n v="261.5374640864809"/>
    <n v="0"/>
    <n v="8028.5163008000009"/>
    <n v="0"/>
    <n v="7578.771721380811"/>
    <x v="6"/>
  </r>
  <r>
    <s v="Sistema Isolado - Regular"/>
    <x v="3"/>
    <x v="3"/>
    <x v="3"/>
    <x v="2"/>
    <x v="3"/>
    <x v="0"/>
    <x v="1"/>
    <x v="9"/>
    <n v="0"/>
    <n v="0"/>
    <n v="16.562999999999999"/>
    <n v="5.4657900000000001"/>
    <n v="16.562999999999999"/>
    <n v="5.4657900000000001"/>
    <n v="0"/>
    <s v="CATIVO"/>
    <n v="0"/>
    <n v="0"/>
    <n v="39"/>
    <n v="85"/>
    <n v="0"/>
    <n v="369.16"/>
    <n v="199.51"/>
    <m/>
    <n v="330.61867549798609"/>
    <n v="261.5374640864809"/>
    <n v="0"/>
    <n v="8378.0440706999998"/>
    <n v="0"/>
    <n v="7908.7195073859857"/>
    <x v="6"/>
  </r>
  <r>
    <s v="Sistema Isolado - Refaturamento"/>
    <x v="3"/>
    <x v="3"/>
    <x v="3"/>
    <x v="2"/>
    <x v="3"/>
    <x v="0"/>
    <x v="1"/>
    <x v="9"/>
    <n v="0"/>
    <n v="0"/>
    <n v="0.182"/>
    <n v="6.0060000000000002E-2"/>
    <n v="0.182"/>
    <n v="6.0060000000000002E-2"/>
    <n v="0"/>
    <s v="CATIVO"/>
    <n v="0"/>
    <n v="0"/>
    <n v="39"/>
    <n v="85"/>
    <n v="0"/>
    <n v="369.16"/>
    <n v="199.51"/>
    <m/>
    <n v="330.61867549798609"/>
    <n v="261.5374640864809"/>
    <n v="0"/>
    <n v="92.060859800000003"/>
    <n v="0"/>
    <n v="86.903758397889831"/>
    <x v="6"/>
  </r>
  <r>
    <s v="Regular"/>
    <x v="3"/>
    <x v="3"/>
    <x v="3"/>
    <x v="2"/>
    <x v="3"/>
    <x v="0"/>
    <x v="1"/>
    <x v="10"/>
    <n v="0"/>
    <n v="0"/>
    <n v="6.3520000000000003"/>
    <n v="2.0961599999999998"/>
    <n v="6.3520000000000003"/>
    <n v="2.0961599999999998"/>
    <n v="0"/>
    <s v="CATIVO"/>
    <n v="0"/>
    <n v="0"/>
    <n v="39"/>
    <n v="85"/>
    <n v="0"/>
    <n v="369.16"/>
    <n v="199.51"/>
    <m/>
    <n v="330.61867549798609"/>
    <n v="261.5374640864809"/>
    <n v="0"/>
    <n v="3213.0251728000007"/>
    <n v="0"/>
    <n v="3033.0366667219587"/>
    <x v="6"/>
  </r>
  <r>
    <s v="Sistema Isolado - Regular"/>
    <x v="3"/>
    <x v="3"/>
    <x v="3"/>
    <x v="2"/>
    <x v="3"/>
    <x v="0"/>
    <x v="1"/>
    <x v="10"/>
    <n v="0"/>
    <n v="0"/>
    <n v="18.033999999999999"/>
    <n v="5.9512200000000002"/>
    <n v="18.033999999999999"/>
    <n v="5.9512200000000002"/>
    <n v="0"/>
    <s v="CATIVO"/>
    <n v="0"/>
    <n v="0"/>
    <n v="39"/>
    <n v="85"/>
    <n v="0"/>
    <n v="369.16"/>
    <n v="199.51"/>
    <m/>
    <n v="330.61867549798609"/>
    <n v="261.5374640864809"/>
    <n v="0"/>
    <n v="9122.1183825999997"/>
    <n v="0"/>
    <n v="8611.1119722392596"/>
    <x v="6"/>
  </r>
  <r>
    <s v="PROJETADO"/>
    <x v="3"/>
    <x v="3"/>
    <x v="3"/>
    <x v="2"/>
    <x v="3"/>
    <x v="0"/>
    <x v="1"/>
    <x v="11"/>
    <n v="0"/>
    <n v="0"/>
    <n v="6.3520000000000003"/>
    <n v="2.0961599999999998"/>
    <n v="6.3520000000000003"/>
    <n v="2.0961599999999998"/>
    <n v="0"/>
    <s v="CATIVO"/>
    <n v="0"/>
    <n v="0"/>
    <n v="39"/>
    <n v="85"/>
    <n v="0"/>
    <n v="369.16"/>
    <n v="199.51"/>
    <m/>
    <n v="330.61867549798609"/>
    <n v="261.5374640864809"/>
    <n v="0"/>
    <n v="3213.0251728000007"/>
    <n v="0"/>
    <n v="3033.0366667219587"/>
    <x v="6"/>
  </r>
  <r>
    <s v="PROJETADO"/>
    <x v="3"/>
    <x v="3"/>
    <x v="3"/>
    <x v="2"/>
    <x v="3"/>
    <x v="0"/>
    <x v="1"/>
    <x v="11"/>
    <n v="0"/>
    <n v="0"/>
    <n v="18.033999999999999"/>
    <n v="5.9512200000000002"/>
    <n v="18.033999999999999"/>
    <n v="5.9512200000000002"/>
    <n v="0"/>
    <s v="CATIVO"/>
    <n v="0"/>
    <n v="0"/>
    <n v="39"/>
    <n v="85"/>
    <n v="0"/>
    <n v="369.16"/>
    <n v="199.51"/>
    <m/>
    <n v="330.61867549798609"/>
    <n v="261.5374640864809"/>
    <n v="0"/>
    <n v="9122.1183825999997"/>
    <n v="0"/>
    <n v="8611.1119722392596"/>
    <x v="6"/>
  </r>
  <r>
    <s v="Regular"/>
    <x v="3"/>
    <x v="3"/>
    <x v="3"/>
    <x v="0"/>
    <x v="1"/>
    <x v="0"/>
    <x v="1"/>
    <x v="0"/>
    <n v="0"/>
    <n v="0"/>
    <n v="1608.518"/>
    <n v="1608.518"/>
    <n v="1608.518"/>
    <n v="1608.518"/>
    <n v="8018"/>
    <s v="CATIVO"/>
    <n v="0"/>
    <n v="0"/>
    <n v="39"/>
    <n v="85"/>
    <n v="0"/>
    <n v="369.16"/>
    <n v="199.51"/>
    <m/>
    <n v="330.61867549798609"/>
    <n v="261.5374640864809"/>
    <n v="0"/>
    <n v="200775.21675999998"/>
    <n v="0"/>
    <n v="129885.51945438099"/>
    <x v="3"/>
  </r>
  <r>
    <s v="Refaturamento - Regular"/>
    <x v="3"/>
    <x v="3"/>
    <x v="3"/>
    <x v="0"/>
    <x v="1"/>
    <x v="0"/>
    <x v="1"/>
    <x v="0"/>
    <n v="0"/>
    <n v="0"/>
    <n v="-17.347999999999999"/>
    <n v="-17.347999999999999"/>
    <n v="-17.347999999999999"/>
    <n v="-17.347999999999999"/>
    <n v="-31"/>
    <s v="CATIVO"/>
    <n v="0"/>
    <n v="0"/>
    <n v="39"/>
    <n v="85"/>
    <n v="0"/>
    <n v="369.16"/>
    <n v="199.51"/>
    <m/>
    <n v="330.61867549798609"/>
    <n v="261.5374640864809"/>
    <n v="0"/>
    <n v="-2165.37736"/>
    <n v="0"/>
    <n v="-1400.8260967515448"/>
    <x v="3"/>
  </r>
  <r>
    <s v="Sistema Isolado - Regular"/>
    <x v="3"/>
    <x v="3"/>
    <x v="3"/>
    <x v="0"/>
    <x v="1"/>
    <x v="0"/>
    <x v="1"/>
    <x v="0"/>
    <n v="0"/>
    <n v="0"/>
    <n v="4186.5320000000002"/>
    <n v="4186.5320000000002"/>
    <n v="4186.5320000000002"/>
    <n v="4186.5320000000002"/>
    <n v="36019"/>
    <s v="CATIVO"/>
    <n v="0"/>
    <n v="0"/>
    <n v="39"/>
    <n v="85"/>
    <n v="0"/>
    <n v="369.16"/>
    <n v="199.51"/>
    <m/>
    <n v="330.61867549798609"/>
    <n v="261.5374640864809"/>
    <n v="0"/>
    <n v="522562.92423999996"/>
    <n v="0"/>
    <n v="338056.44918638683"/>
    <x v="3"/>
  </r>
  <r>
    <s v="Sistema Isolado - Refaturamento"/>
    <x v="3"/>
    <x v="3"/>
    <x v="3"/>
    <x v="0"/>
    <x v="1"/>
    <x v="0"/>
    <x v="1"/>
    <x v="0"/>
    <n v="0"/>
    <n v="0"/>
    <n v="-61.634"/>
    <n v="-61.634"/>
    <n v="-61.634"/>
    <n v="-61.634"/>
    <n v="-41"/>
    <s v="CATIVO"/>
    <n v="0"/>
    <n v="0"/>
    <n v="39"/>
    <n v="85"/>
    <n v="0"/>
    <n v="369.16"/>
    <n v="199.51"/>
    <m/>
    <n v="330.61867549798609"/>
    <n v="261.5374640864809"/>
    <n v="0"/>
    <n v="-7693.1558799999993"/>
    <n v="0"/>
    <n v="-4976.8570237021395"/>
    <x v="3"/>
  </r>
  <r>
    <s v="Sistema de Compensação"/>
    <x v="3"/>
    <x v="3"/>
    <x v="3"/>
    <x v="0"/>
    <x v="1"/>
    <x v="0"/>
    <x v="1"/>
    <x v="0"/>
    <n v="0"/>
    <n v="0"/>
    <n v="7.718"/>
    <n v="7.718"/>
    <n v="7.718"/>
    <n v="7.718"/>
    <n v="11"/>
    <s v="CATIVO"/>
    <n v="0"/>
    <n v="0"/>
    <n v="39"/>
    <n v="85"/>
    <n v="0"/>
    <n v="369.16"/>
    <n v="199.51"/>
    <m/>
    <n v="330.61867549798609"/>
    <n v="261.5374640864809"/>
    <n v="0"/>
    <n v="963.36075999999991"/>
    <n v="0"/>
    <n v="623.21742072448831"/>
    <x v="3"/>
  </r>
  <r>
    <s v="Sistema de Compensação"/>
    <x v="3"/>
    <x v="3"/>
    <x v="3"/>
    <x v="0"/>
    <x v="1"/>
    <x v="0"/>
    <x v="1"/>
    <x v="0"/>
    <n v="0"/>
    <n v="0"/>
    <n v="6.8440000000000003"/>
    <n v="6.8440000000000003"/>
    <n v="6.8440000000000003"/>
    <n v="6.8440000000000003"/>
    <n v="1"/>
    <s v="CATIVO"/>
    <n v="0"/>
    <n v="0"/>
    <n v="39"/>
    <n v="85"/>
    <n v="0"/>
    <n v="369.16"/>
    <n v="199.51"/>
    <m/>
    <n v="330.61867549798609"/>
    <n v="261.5374640864809"/>
    <n v="0"/>
    <n v="854.26807999999994"/>
    <n v="0"/>
    <n v="552.6431753612851"/>
    <x v="3"/>
  </r>
  <r>
    <s v="Regular"/>
    <x v="3"/>
    <x v="3"/>
    <x v="3"/>
    <x v="0"/>
    <x v="1"/>
    <x v="0"/>
    <x v="1"/>
    <x v="1"/>
    <n v="0"/>
    <n v="0"/>
    <n v="1598.566"/>
    <n v="1598.566"/>
    <n v="1598.566"/>
    <n v="1598.566"/>
    <n v="8021"/>
    <s v="CATIVO"/>
    <n v="0"/>
    <n v="0"/>
    <n v="39"/>
    <n v="85"/>
    <n v="0"/>
    <n v="369.16"/>
    <n v="199.51"/>
    <m/>
    <n v="330.61867549798609"/>
    <n v="261.5374640864809"/>
    <n v="0"/>
    <n v="199533.00811999998"/>
    <n v="0"/>
    <n v="129081.90974058854"/>
    <x v="3"/>
  </r>
  <r>
    <s v="Refaturamento - Regular"/>
    <x v="3"/>
    <x v="3"/>
    <x v="3"/>
    <x v="0"/>
    <x v="1"/>
    <x v="0"/>
    <x v="1"/>
    <x v="1"/>
    <n v="0"/>
    <n v="0"/>
    <n v="-76.828000000000003"/>
    <n v="-76.828000000000003"/>
    <n v="-76.828000000000003"/>
    <n v="-76.828000000000003"/>
    <n v="0"/>
    <s v="CATIVO"/>
    <n v="0"/>
    <n v="0"/>
    <n v="39"/>
    <n v="85"/>
    <n v="0"/>
    <n v="369.16"/>
    <n v="199.51"/>
    <m/>
    <n v="330.61867549798609"/>
    <n v="261.5374640864809"/>
    <n v="0"/>
    <n v="-9589.6709599999995"/>
    <n v="0"/>
    <n v="-6203.7507125448292"/>
    <x v="3"/>
  </r>
  <r>
    <s v="Sistema Isolado - Regular"/>
    <x v="3"/>
    <x v="3"/>
    <x v="3"/>
    <x v="0"/>
    <x v="1"/>
    <x v="0"/>
    <x v="1"/>
    <x v="1"/>
    <n v="0"/>
    <n v="0"/>
    <n v="4236.6030000000001"/>
    <n v="4236.6030000000001"/>
    <n v="4236.6030000000001"/>
    <n v="4236.6030000000001"/>
    <n v="36013"/>
    <s v="CATIVO"/>
    <n v="0"/>
    <n v="0"/>
    <n v="39"/>
    <n v="85"/>
    <n v="0"/>
    <n v="369.16"/>
    <n v="199.51"/>
    <m/>
    <n v="330.61867549798609"/>
    <n v="261.5374640864809"/>
    <n v="0"/>
    <n v="528812.78645999997"/>
    <n v="0"/>
    <n v="342099.61055890506"/>
    <x v="3"/>
  </r>
  <r>
    <s v="Sistema Isolado - Refaturamento"/>
    <x v="3"/>
    <x v="3"/>
    <x v="3"/>
    <x v="0"/>
    <x v="1"/>
    <x v="0"/>
    <x v="1"/>
    <x v="1"/>
    <n v="0"/>
    <n v="0"/>
    <n v="-10.084"/>
    <n v="-10.084"/>
    <n v="-10.084"/>
    <n v="-10.084"/>
    <n v="0"/>
    <s v="CATIVO"/>
    <n v="0"/>
    <n v="0"/>
    <n v="39"/>
    <n v="85"/>
    <n v="0"/>
    <n v="369.16"/>
    <n v="199.51"/>
    <m/>
    <n v="330.61867549798609"/>
    <n v="261.5374640864809"/>
    <n v="0"/>
    <n v="-1258.6848799999998"/>
    <n v="0"/>
    <n v="-814.26852430496763"/>
    <x v="3"/>
  </r>
  <r>
    <s v="Sistema de Compensação"/>
    <x v="3"/>
    <x v="3"/>
    <x v="3"/>
    <x v="0"/>
    <x v="1"/>
    <x v="0"/>
    <x v="1"/>
    <x v="1"/>
    <n v="0"/>
    <n v="0"/>
    <n v="7.3019999999999996"/>
    <n v="7.3019999999999996"/>
    <n v="7.3019999999999996"/>
    <n v="7.3019999999999996"/>
    <n v="11"/>
    <s v="CATIVO"/>
    <n v="0"/>
    <n v="0"/>
    <n v="39"/>
    <n v="85"/>
    <n v="0"/>
    <n v="369.16"/>
    <n v="199.51"/>
    <m/>
    <n v="330.61867549798609"/>
    <n v="261.5374640864809"/>
    <n v="0"/>
    <n v="911.43563999999992"/>
    <n v="0"/>
    <n v="589.62601789715131"/>
    <x v="3"/>
  </r>
  <r>
    <s v="Regular"/>
    <x v="3"/>
    <x v="3"/>
    <x v="3"/>
    <x v="0"/>
    <x v="1"/>
    <x v="0"/>
    <x v="1"/>
    <x v="2"/>
    <n v="0"/>
    <n v="0"/>
    <n v="1548.175"/>
    <n v="1548.175"/>
    <n v="1548.175"/>
    <n v="1548.175"/>
    <n v="8006"/>
    <s v="CATIVO"/>
    <n v="0"/>
    <n v="0"/>
    <n v="39"/>
    <n v="85"/>
    <n v="0"/>
    <n v="369.16"/>
    <n v="199.51"/>
    <m/>
    <n v="330.61867549798609"/>
    <n v="261.5374640864809"/>
    <n v="0"/>
    <n v="193243.20349999997"/>
    <n v="0"/>
    <n v="125012.90882743387"/>
    <x v="3"/>
  </r>
  <r>
    <s v="Refaturamento - Regular"/>
    <x v="3"/>
    <x v="3"/>
    <x v="3"/>
    <x v="0"/>
    <x v="1"/>
    <x v="0"/>
    <x v="1"/>
    <x v="2"/>
    <n v="0"/>
    <n v="0"/>
    <n v="-125.527"/>
    <n v="-125.527"/>
    <n v="-125.527"/>
    <n v="-125.527"/>
    <n v="0"/>
    <s v="CATIVO"/>
    <n v="0"/>
    <n v="0"/>
    <n v="39"/>
    <n v="85"/>
    <n v="0"/>
    <n v="369.16"/>
    <n v="199.51"/>
    <m/>
    <n v="330.61867549798609"/>
    <n v="261.5374640864809"/>
    <n v="0"/>
    <n v="-15668.280139999999"/>
    <n v="0"/>
    <n v="-10136.125054584458"/>
    <x v="3"/>
  </r>
  <r>
    <s v="Sistema Isolado - Regular"/>
    <x v="3"/>
    <x v="3"/>
    <x v="3"/>
    <x v="0"/>
    <x v="1"/>
    <x v="0"/>
    <x v="1"/>
    <x v="2"/>
    <n v="0"/>
    <n v="0"/>
    <n v="3906.348"/>
    <n v="3906.348"/>
    <n v="3906.348"/>
    <n v="3906.348"/>
    <n v="35938"/>
    <s v="CATIVO"/>
    <n v="0"/>
    <n v="0"/>
    <n v="39"/>
    <n v="85"/>
    <n v="0"/>
    <n v="369.16"/>
    <n v="199.51"/>
    <m/>
    <n v="330.61867549798609"/>
    <n v="261.5374640864809"/>
    <n v="0"/>
    <n v="487590.35735999997"/>
    <n v="0"/>
    <n v="315431.99339365942"/>
    <x v="3"/>
  </r>
  <r>
    <s v="Sistema Isolado - Refaturamento"/>
    <x v="3"/>
    <x v="3"/>
    <x v="3"/>
    <x v="0"/>
    <x v="1"/>
    <x v="0"/>
    <x v="1"/>
    <x v="2"/>
    <n v="0"/>
    <n v="0"/>
    <n v="-152.096"/>
    <n v="-152.096"/>
    <n v="-152.096"/>
    <n v="-152.096"/>
    <n v="0"/>
    <s v="CATIVO"/>
    <n v="0"/>
    <n v="0"/>
    <n v="39"/>
    <n v="85"/>
    <n v="0"/>
    <n v="369.16"/>
    <n v="199.51"/>
    <m/>
    <n v="330.61867549798609"/>
    <n v="261.5374640864809"/>
    <n v="0"/>
    <n v="-18984.622719999999"/>
    <n v="0"/>
    <n v="-12281.533664487144"/>
    <x v="3"/>
  </r>
  <r>
    <s v="Sistema de Compensação"/>
    <x v="3"/>
    <x v="3"/>
    <x v="3"/>
    <x v="0"/>
    <x v="1"/>
    <x v="0"/>
    <x v="1"/>
    <x v="2"/>
    <n v="0"/>
    <n v="0"/>
    <n v="7.7320000000000002"/>
    <n v="7.7320000000000002"/>
    <n v="7.7320000000000002"/>
    <n v="7.7320000000000002"/>
    <n v="11"/>
    <s v="CATIVO"/>
    <n v="0"/>
    <n v="0"/>
    <n v="39"/>
    <n v="85"/>
    <n v="0"/>
    <n v="369.16"/>
    <n v="199.51"/>
    <m/>
    <n v="330.61867549798609"/>
    <n v="261.5374640864809"/>
    <n v="0"/>
    <n v="965.10824000000002"/>
    <n v="0"/>
    <n v="624.34790062733146"/>
    <x v="3"/>
  </r>
  <r>
    <s v="Regular"/>
    <x v="3"/>
    <x v="3"/>
    <x v="3"/>
    <x v="0"/>
    <x v="1"/>
    <x v="0"/>
    <x v="1"/>
    <x v="3"/>
    <n v="0"/>
    <n v="0"/>
    <n v="1381.0920000000001"/>
    <n v="1381.0920000000001"/>
    <n v="1381.0920000000001"/>
    <n v="1381.0920000000001"/>
    <n v="7999"/>
    <s v="CATIVO"/>
    <n v="0"/>
    <n v="0"/>
    <n v="39"/>
    <n v="85"/>
    <n v="0"/>
    <n v="369.16"/>
    <n v="199.51"/>
    <m/>
    <n v="330.61867549798609"/>
    <n v="261.5374640864809"/>
    <n v="0"/>
    <n v="172387.90343999999"/>
    <n v="0"/>
    <n v="111521.19642695323"/>
    <x v="3"/>
  </r>
  <r>
    <s v="Refaturamento - Regular"/>
    <x v="3"/>
    <x v="3"/>
    <x v="3"/>
    <x v="0"/>
    <x v="1"/>
    <x v="0"/>
    <x v="1"/>
    <x v="3"/>
    <n v="0"/>
    <n v="0"/>
    <n v="-117.90900000000001"/>
    <n v="-117.90900000000001"/>
    <n v="-117.90900000000001"/>
    <n v="-117.90900000000001"/>
    <n v="0"/>
    <s v="CATIVO"/>
    <n v="0"/>
    <n v="0"/>
    <n v="39"/>
    <n v="85"/>
    <n v="0"/>
    <n v="369.16"/>
    <n v="199.51"/>
    <m/>
    <n v="330.61867549798609"/>
    <n v="261.5374640864809"/>
    <n v="0"/>
    <n v="-14717.401379999999"/>
    <n v="0"/>
    <n v="-9520.9824903088484"/>
    <x v="3"/>
  </r>
  <r>
    <s v="Sistema Isolado - Regular"/>
    <x v="3"/>
    <x v="3"/>
    <x v="3"/>
    <x v="0"/>
    <x v="1"/>
    <x v="0"/>
    <x v="1"/>
    <x v="3"/>
    <n v="0"/>
    <n v="0"/>
    <n v="3737.5740000000001"/>
    <n v="3737.5740000000001"/>
    <n v="3737.5740000000001"/>
    <n v="3737.5740000000001"/>
    <n v="35935"/>
    <s v="CATIVO"/>
    <n v="0"/>
    <n v="0"/>
    <n v="39"/>
    <n v="85"/>
    <n v="0"/>
    <n v="369.16"/>
    <n v="199.51"/>
    <m/>
    <n v="330.61867549798609"/>
    <n v="261.5374640864809"/>
    <n v="0"/>
    <n v="466523.98667999997"/>
    <n v="0"/>
    <n v="301803.73517062824"/>
    <x v="3"/>
  </r>
  <r>
    <s v="Sistema Isolado - Refaturamento"/>
    <x v="3"/>
    <x v="3"/>
    <x v="3"/>
    <x v="0"/>
    <x v="1"/>
    <x v="0"/>
    <x v="1"/>
    <x v="3"/>
    <n v="0"/>
    <n v="0"/>
    <n v="-14.449"/>
    <n v="-14.449"/>
    <n v="-14.449"/>
    <n v="-14.449"/>
    <n v="0"/>
    <s v="CATIVO"/>
    <n v="0"/>
    <n v="0"/>
    <n v="39"/>
    <n v="85"/>
    <n v="0"/>
    <n v="369.16"/>
    <n v="199.51"/>
    <m/>
    <n v="330.61867549798609"/>
    <n v="261.5374640864809"/>
    <n v="0"/>
    <n v="-1803.5241799999999"/>
    <n v="0"/>
    <n v="-1166.7360082985399"/>
    <x v="3"/>
  </r>
  <r>
    <s v="Sistema de Compensação"/>
    <x v="3"/>
    <x v="3"/>
    <x v="3"/>
    <x v="0"/>
    <x v="1"/>
    <x v="0"/>
    <x v="1"/>
    <x v="3"/>
    <n v="0"/>
    <n v="0"/>
    <n v="7.5449999999999999"/>
    <n v="7.5449999999999999"/>
    <n v="7.5449999999999999"/>
    <n v="7.5449999999999999"/>
    <n v="12"/>
    <s v="CATIVO"/>
    <n v="0"/>
    <n v="0"/>
    <n v="39"/>
    <n v="85"/>
    <n v="0"/>
    <n v="369.16"/>
    <n v="199.51"/>
    <m/>
    <n v="330.61867549798609"/>
    <n v="261.5374640864809"/>
    <n v="0"/>
    <n v="941.76689999999996"/>
    <n v="0"/>
    <n v="609.24791906792746"/>
    <x v="3"/>
  </r>
  <r>
    <s v="Regular"/>
    <x v="3"/>
    <x v="3"/>
    <x v="3"/>
    <x v="0"/>
    <x v="1"/>
    <x v="0"/>
    <x v="1"/>
    <x v="4"/>
    <n v="0"/>
    <n v="0"/>
    <n v="1397.4190000000001"/>
    <n v="1397.4190000000001"/>
    <n v="1397.4190000000001"/>
    <n v="1397.4190000000001"/>
    <n v="8002"/>
    <s v="CATIVO"/>
    <n v="0"/>
    <n v="0"/>
    <n v="39"/>
    <n v="85"/>
    <n v="0"/>
    <n v="369.16"/>
    <n v="199.51"/>
    <m/>
    <n v="330.61867549798609"/>
    <n v="261.5374640864809"/>
    <n v="0"/>
    <n v="174425.83958"/>
    <n v="0"/>
    <n v="112839.57823936173"/>
    <x v="3"/>
  </r>
  <r>
    <s v="Refaturamento - Regular"/>
    <x v="3"/>
    <x v="3"/>
    <x v="3"/>
    <x v="0"/>
    <x v="1"/>
    <x v="0"/>
    <x v="1"/>
    <x v="4"/>
    <n v="0"/>
    <n v="0"/>
    <n v="-66.885000000000005"/>
    <n v="-66.885000000000005"/>
    <n v="-66.885000000000005"/>
    <n v="-66.885000000000005"/>
    <n v="0"/>
    <s v="CATIVO"/>
    <n v="0"/>
    <n v="0"/>
    <n v="39"/>
    <n v="85"/>
    <n v="0"/>
    <n v="369.16"/>
    <n v="199.51"/>
    <m/>
    <n v="330.61867549798609"/>
    <n v="261.5374640864809"/>
    <n v="0"/>
    <n v="-8348.5856999999996"/>
    <n v="0"/>
    <n v="-5400.8677358327814"/>
    <x v="3"/>
  </r>
  <r>
    <s v="Sistema Isolado - Regular"/>
    <x v="3"/>
    <x v="3"/>
    <x v="3"/>
    <x v="0"/>
    <x v="1"/>
    <x v="0"/>
    <x v="1"/>
    <x v="4"/>
    <n v="0"/>
    <n v="0"/>
    <n v="3903.018"/>
    <n v="3903.018"/>
    <n v="3903.018"/>
    <n v="3903.018"/>
    <n v="35896"/>
    <s v="CATIVO"/>
    <n v="0"/>
    <n v="0"/>
    <n v="39"/>
    <n v="85"/>
    <n v="0"/>
    <n v="369.16"/>
    <n v="199.51"/>
    <m/>
    <n v="330.61867549798609"/>
    <n v="261.5374640864809"/>
    <n v="0"/>
    <n v="487174.70675999997"/>
    <n v="0"/>
    <n v="315163.10067391174"/>
    <x v="3"/>
  </r>
  <r>
    <s v="Sistema Isolado - Refaturamento"/>
    <x v="3"/>
    <x v="3"/>
    <x v="3"/>
    <x v="0"/>
    <x v="1"/>
    <x v="0"/>
    <x v="1"/>
    <x v="4"/>
    <n v="0"/>
    <n v="0"/>
    <n v="-40.159999999999997"/>
    <n v="-40.159999999999997"/>
    <n v="-40.159999999999997"/>
    <n v="-40.159999999999997"/>
    <n v="0"/>
    <s v="CATIVO"/>
    <n v="0"/>
    <n v="0"/>
    <n v="39"/>
    <n v="85"/>
    <n v="0"/>
    <n v="369.16"/>
    <n v="199.51"/>
    <m/>
    <n v="330.61867549798609"/>
    <n v="261.5374640864809"/>
    <n v="0"/>
    <n v="-5012.7711999999992"/>
    <n v="0"/>
    <n v="-3242.862349869843"/>
    <x v="3"/>
  </r>
  <r>
    <s v="Sistema de Compensação"/>
    <x v="3"/>
    <x v="3"/>
    <x v="3"/>
    <x v="0"/>
    <x v="1"/>
    <x v="0"/>
    <x v="1"/>
    <x v="4"/>
    <n v="0"/>
    <n v="0"/>
    <n v="7.9669999999999996"/>
    <n v="7.9669999999999996"/>
    <n v="7.9669999999999996"/>
    <n v="7.9669999999999996"/>
    <n v="13"/>
    <s v="CATIVO"/>
    <n v="0"/>
    <n v="0"/>
    <n v="39"/>
    <n v="85"/>
    <n v="0"/>
    <n v="369.16"/>
    <n v="199.51"/>
    <m/>
    <n v="330.61867549798609"/>
    <n v="261.5374640864809"/>
    <n v="0"/>
    <n v="994.44093999999996"/>
    <n v="0"/>
    <n v="643.32381328219719"/>
    <x v="3"/>
  </r>
  <r>
    <s v="Sistema de Compensação"/>
    <x v="3"/>
    <x v="3"/>
    <x v="3"/>
    <x v="0"/>
    <x v="1"/>
    <x v="0"/>
    <x v="1"/>
    <x v="4"/>
    <n v="0"/>
    <n v="0"/>
    <n v="1.361"/>
    <n v="1.361"/>
    <n v="1.361"/>
    <n v="1.361"/>
    <n v="0"/>
    <s v="CATIVO"/>
    <n v="0"/>
    <n v="0"/>
    <n v="39"/>
    <n v="85"/>
    <n v="0"/>
    <n v="369.16"/>
    <n v="199.51"/>
    <m/>
    <n v="330.61867549798609"/>
    <n v="261.5374640864809"/>
    <n v="0"/>
    <n v="169.88002"/>
    <n v="0"/>
    <n v="109.89879626924444"/>
    <x v="3"/>
  </r>
  <r>
    <s v="Regular"/>
    <x v="3"/>
    <x v="3"/>
    <x v="3"/>
    <x v="0"/>
    <x v="1"/>
    <x v="0"/>
    <x v="1"/>
    <x v="5"/>
    <n v="0"/>
    <n v="0"/>
    <n v="1546.347"/>
    <n v="1546.347"/>
    <n v="1546.347"/>
    <n v="1546.347"/>
    <n v="7514"/>
    <s v="CATIVO"/>
    <n v="0"/>
    <n v="0"/>
    <n v="39"/>
    <n v="85"/>
    <n v="0"/>
    <n v="369.16"/>
    <n v="199.51"/>
    <m/>
    <n v="330.61867549798609"/>
    <n v="261.5374640864809"/>
    <n v="0"/>
    <n v="193015.03253999999"/>
    <n v="0"/>
    <n v="124865.30045154836"/>
    <x v="3"/>
  </r>
  <r>
    <s v="Refaturamento - Regular"/>
    <x v="3"/>
    <x v="3"/>
    <x v="3"/>
    <x v="0"/>
    <x v="1"/>
    <x v="0"/>
    <x v="1"/>
    <x v="5"/>
    <n v="0"/>
    <n v="0"/>
    <n v="-35.676000000000002"/>
    <n v="-35.676000000000002"/>
    <n v="-35.676000000000002"/>
    <n v="-35.676000000000002"/>
    <n v="0"/>
    <s v="CATIVO"/>
    <n v="0"/>
    <n v="0"/>
    <n v="39"/>
    <n v="85"/>
    <n v="0"/>
    <n v="369.16"/>
    <n v="199.51"/>
    <m/>
    <n v="330.61867549798609"/>
    <n v="261.5374640864809"/>
    <n v="0"/>
    <n v="-4453.0783199999996"/>
    <n v="0"/>
    <n v="-2880.7857867021048"/>
    <x v="3"/>
  </r>
  <r>
    <s v="Sistema Isolado - Regular"/>
    <x v="3"/>
    <x v="3"/>
    <x v="3"/>
    <x v="0"/>
    <x v="1"/>
    <x v="0"/>
    <x v="1"/>
    <x v="5"/>
    <n v="0"/>
    <n v="0"/>
    <n v="3852.3090000000002"/>
    <n v="3852.3090000000002"/>
    <n v="3852.3090000000002"/>
    <n v="3852.3090000000002"/>
    <n v="33900"/>
    <s v="CATIVO"/>
    <n v="0"/>
    <n v="0"/>
    <n v="39"/>
    <n v="85"/>
    <n v="0"/>
    <n v="369.16"/>
    <n v="199.51"/>
    <m/>
    <n v="330.61867549798609"/>
    <n v="261.5374640864809"/>
    <n v="0"/>
    <n v="480845.20938000001"/>
    <n v="0"/>
    <n v="311068.42171724967"/>
    <x v="3"/>
  </r>
  <r>
    <s v="Sistema Isolado - Refaturamento"/>
    <x v="3"/>
    <x v="3"/>
    <x v="3"/>
    <x v="0"/>
    <x v="1"/>
    <x v="0"/>
    <x v="1"/>
    <x v="5"/>
    <n v="0"/>
    <n v="0"/>
    <n v="-38.832000000000001"/>
    <n v="-38.832000000000001"/>
    <n v="-38.832000000000001"/>
    <n v="-38.832000000000001"/>
    <n v="0"/>
    <s v="CATIVO"/>
    <n v="0"/>
    <n v="0"/>
    <n v="39"/>
    <n v="85"/>
    <n v="0"/>
    <n v="369.16"/>
    <n v="199.51"/>
    <m/>
    <n v="330.61867549798609"/>
    <n v="261.5374640864809"/>
    <n v="0"/>
    <n v="-4847.0102399999996"/>
    <n v="0"/>
    <n v="-3135.6282562287292"/>
    <x v="3"/>
  </r>
  <r>
    <s v="Sistema de Compensação"/>
    <x v="3"/>
    <x v="3"/>
    <x v="3"/>
    <x v="0"/>
    <x v="1"/>
    <x v="0"/>
    <x v="1"/>
    <x v="5"/>
    <n v="0"/>
    <n v="0"/>
    <n v="10.926"/>
    <n v="10.926"/>
    <n v="10.926"/>
    <n v="10.926"/>
    <n v="15"/>
    <s v="CATIVO"/>
    <n v="0"/>
    <n v="0"/>
    <n v="39"/>
    <n v="85"/>
    <n v="0"/>
    <n v="369.16"/>
    <n v="199.51"/>
    <m/>
    <n v="330.61867549798609"/>
    <n v="261.5374640864809"/>
    <n v="0"/>
    <n v="1363.78332"/>
    <n v="0"/>
    <n v="882.25881560452956"/>
    <x v="3"/>
  </r>
  <r>
    <s v="Regular"/>
    <x v="3"/>
    <x v="3"/>
    <x v="3"/>
    <x v="0"/>
    <x v="1"/>
    <x v="0"/>
    <x v="1"/>
    <x v="6"/>
    <n v="0"/>
    <n v="0"/>
    <n v="1470.9860000000001"/>
    <n v="1470.9860000000001"/>
    <n v="1470.9860000000001"/>
    <n v="1470.9860000000001"/>
    <n v="7507"/>
    <s v="CATIVO"/>
    <n v="0"/>
    <n v="0"/>
    <n v="39"/>
    <n v="85"/>
    <n v="0"/>
    <n v="369.16"/>
    <n v="199.51"/>
    <m/>
    <n v="330.61867549798609"/>
    <n v="261.5374640864809"/>
    <n v="0"/>
    <n v="183608.47252000001"/>
    <n v="0"/>
    <n v="118780.00788310861"/>
    <x v="3"/>
  </r>
  <r>
    <s v="Refaturamento - Regular"/>
    <x v="3"/>
    <x v="3"/>
    <x v="3"/>
    <x v="0"/>
    <x v="1"/>
    <x v="0"/>
    <x v="1"/>
    <x v="6"/>
    <n v="0"/>
    <n v="0"/>
    <n v="-12.042999999999999"/>
    <n v="-12.042999999999999"/>
    <n v="-12.042999999999999"/>
    <n v="-12.042999999999999"/>
    <n v="0"/>
    <s v="CATIVO"/>
    <n v="0"/>
    <n v="0"/>
    <n v="39"/>
    <n v="85"/>
    <n v="0"/>
    <n v="369.16"/>
    <n v="199.51"/>
    <m/>
    <n v="330.61867549798609"/>
    <n v="261.5374640864809"/>
    <n v="0"/>
    <n v="-1503.2072599999999"/>
    <n v="0"/>
    <n v="-972.45496213850902"/>
    <x v="3"/>
  </r>
  <r>
    <s v="Sistema Isolado - Regular"/>
    <x v="3"/>
    <x v="3"/>
    <x v="3"/>
    <x v="0"/>
    <x v="1"/>
    <x v="0"/>
    <x v="1"/>
    <x v="6"/>
    <n v="0"/>
    <n v="0"/>
    <n v="3894.768"/>
    <n v="3894.768"/>
    <n v="3894.768"/>
    <n v="3894.768"/>
    <n v="33900"/>
    <s v="CATIVO"/>
    <n v="0"/>
    <n v="0"/>
    <n v="39"/>
    <n v="85"/>
    <n v="0"/>
    <n v="369.16"/>
    <n v="199.51"/>
    <m/>
    <n v="330.61867549798609"/>
    <n v="261.5374640864809"/>
    <n v="0"/>
    <n v="486144.94175999996"/>
    <n v="0"/>
    <n v="314496.92501687922"/>
    <x v="3"/>
  </r>
  <r>
    <s v="Sistema Isolado - Refaturamento"/>
    <x v="3"/>
    <x v="3"/>
    <x v="3"/>
    <x v="0"/>
    <x v="1"/>
    <x v="0"/>
    <x v="1"/>
    <x v="6"/>
    <n v="0"/>
    <n v="0"/>
    <n v="-32.683"/>
    <n v="-32.683"/>
    <n v="-32.683"/>
    <n v="-32.683"/>
    <n v="0"/>
    <s v="CATIVO"/>
    <n v="0"/>
    <n v="0"/>
    <n v="39"/>
    <n v="85"/>
    <n v="0"/>
    <n v="369.16"/>
    <n v="199.51"/>
    <m/>
    <n v="330.61867549798609"/>
    <n v="261.5374640864809"/>
    <n v="0"/>
    <n v="-4079.4920599999996"/>
    <n v="0"/>
    <n v="-2639.1053331871535"/>
    <x v="3"/>
  </r>
  <r>
    <s v="Sistema de Compensação"/>
    <x v="3"/>
    <x v="3"/>
    <x v="3"/>
    <x v="0"/>
    <x v="1"/>
    <x v="0"/>
    <x v="1"/>
    <x v="6"/>
    <n v="0"/>
    <n v="0"/>
    <n v="16.609000000000002"/>
    <n v="16.609000000000002"/>
    <n v="16.609000000000002"/>
    <n v="16.609000000000002"/>
    <n v="18"/>
    <s v="CATIVO"/>
    <n v="0"/>
    <n v="0"/>
    <n v="39"/>
    <n v="85"/>
    <n v="0"/>
    <n v="369.16"/>
    <n v="199.51"/>
    <m/>
    <n v="330.61867549798609"/>
    <n v="261.5374640864809"/>
    <n v="0"/>
    <n v="2073.1353800000002"/>
    <n v="0"/>
    <n v="1341.1529075943286"/>
    <x v="3"/>
  </r>
  <r>
    <s v="Regular"/>
    <x v="3"/>
    <x v="3"/>
    <x v="3"/>
    <x v="0"/>
    <x v="1"/>
    <x v="0"/>
    <x v="1"/>
    <x v="7"/>
    <n v="0"/>
    <n v="0"/>
    <n v="1583.41"/>
    <n v="1583.41"/>
    <n v="1583.41"/>
    <n v="1583.41"/>
    <n v="7462"/>
    <s v="CATIVO"/>
    <n v="0"/>
    <n v="0"/>
    <n v="39"/>
    <n v="85"/>
    <n v="0"/>
    <n v="369.16"/>
    <n v="199.51"/>
    <m/>
    <n v="330.61867549798609"/>
    <n v="261.5374640864809"/>
    <n v="0"/>
    <n v="197641.23620000001"/>
    <n v="0"/>
    <n v="127858.08449719644"/>
    <x v="3"/>
  </r>
  <r>
    <s v="Refaturamento - Regular"/>
    <x v="3"/>
    <x v="3"/>
    <x v="3"/>
    <x v="0"/>
    <x v="1"/>
    <x v="0"/>
    <x v="1"/>
    <x v="7"/>
    <n v="0"/>
    <n v="0"/>
    <n v="-26.966999999999999"/>
    <n v="-26.966999999999999"/>
    <n v="-26.966999999999999"/>
    <n v="-26.966999999999999"/>
    <n v="0"/>
    <s v="CATIVO"/>
    <n v="0"/>
    <n v="0"/>
    <n v="39"/>
    <n v="85"/>
    <n v="0"/>
    <n v="369.16"/>
    <n v="199.51"/>
    <m/>
    <n v="330.61867549798609"/>
    <n v="261.5374640864809"/>
    <n v="0"/>
    <n v="-3366.0209399999999"/>
    <n v="0"/>
    <n v="-2177.5465385692246"/>
    <x v="3"/>
  </r>
  <r>
    <s v="Sistema Isolado - Regular"/>
    <x v="3"/>
    <x v="3"/>
    <x v="3"/>
    <x v="0"/>
    <x v="1"/>
    <x v="0"/>
    <x v="1"/>
    <x v="7"/>
    <n v="0"/>
    <n v="0"/>
    <n v="3971.7350000000001"/>
    <n v="3971.7350000000001"/>
    <n v="3971.7350000000001"/>
    <n v="3971.7350000000001"/>
    <n v="33865"/>
    <s v="CATIVO"/>
    <n v="0"/>
    <n v="0"/>
    <n v="39"/>
    <n v="85"/>
    <n v="0"/>
    <n v="369.16"/>
    <n v="199.51"/>
    <m/>
    <n v="330.61867549798609"/>
    <n v="261.5374640864809"/>
    <n v="0"/>
    <n v="495751.96269999997"/>
    <n v="0"/>
    <n v="320711.89977988799"/>
    <x v="3"/>
  </r>
  <r>
    <s v="Sistema Isolado - Refaturamento"/>
    <x v="3"/>
    <x v="3"/>
    <x v="3"/>
    <x v="0"/>
    <x v="1"/>
    <x v="0"/>
    <x v="1"/>
    <x v="7"/>
    <n v="0"/>
    <n v="0"/>
    <n v="-151.79400000000001"/>
    <n v="-151.79400000000001"/>
    <n v="-151.79400000000001"/>
    <n v="-151.79400000000001"/>
    <n v="0"/>
    <s v="CATIVO"/>
    <n v="0"/>
    <n v="0"/>
    <n v="39"/>
    <n v="85"/>
    <n v="0"/>
    <n v="369.16"/>
    <n v="199.51"/>
    <m/>
    <n v="330.61867549798609"/>
    <n v="261.5374640864809"/>
    <n v="0"/>
    <n v="-18946.927080000001"/>
    <n v="0"/>
    <n v="-12257.14759801153"/>
    <x v="3"/>
  </r>
  <r>
    <s v="Sistema de Compensação"/>
    <x v="3"/>
    <x v="3"/>
    <x v="3"/>
    <x v="0"/>
    <x v="1"/>
    <x v="0"/>
    <x v="1"/>
    <x v="7"/>
    <n v="0"/>
    <n v="0"/>
    <n v="16.03"/>
    <n v="16.03"/>
    <n v="16.03"/>
    <n v="16.03"/>
    <n v="21"/>
    <s v="CATIVO"/>
    <n v="0"/>
    <n v="0"/>
    <n v="39"/>
    <n v="85"/>
    <n v="0"/>
    <n v="369.16"/>
    <n v="199.51"/>
    <m/>
    <n v="330.61867549798609"/>
    <n v="261.5374640864809"/>
    <n v="0"/>
    <n v="2000.8646000000001"/>
    <n v="0"/>
    <n v="1294.3994887553185"/>
    <x v="3"/>
  </r>
  <r>
    <s v="Regular"/>
    <x v="3"/>
    <x v="3"/>
    <x v="3"/>
    <x v="0"/>
    <x v="1"/>
    <x v="0"/>
    <x v="1"/>
    <x v="8"/>
    <n v="0"/>
    <n v="0"/>
    <n v="1449.144"/>
    <n v="1449.144"/>
    <n v="1449.144"/>
    <n v="1449.144"/>
    <n v="7443"/>
    <s v="CATIVO"/>
    <n v="0"/>
    <n v="0"/>
    <n v="39"/>
    <n v="85"/>
    <n v="0"/>
    <n v="369.16"/>
    <n v="199.51"/>
    <m/>
    <n v="330.61867549798609"/>
    <n v="261.5374640864809"/>
    <n v="0"/>
    <n v="180882.15407999998"/>
    <n v="0"/>
    <n v="117016.29773754443"/>
    <x v="3"/>
  </r>
  <r>
    <s v="Refaturamento - Regular"/>
    <x v="3"/>
    <x v="3"/>
    <x v="3"/>
    <x v="0"/>
    <x v="1"/>
    <x v="0"/>
    <x v="1"/>
    <x v="8"/>
    <n v="0"/>
    <n v="0"/>
    <n v="-9.2910000000000004"/>
    <n v="-9.2910000000000004"/>
    <n v="-9.2910000000000004"/>
    <n v="-9.2910000000000004"/>
    <n v="0"/>
    <s v="CATIVO"/>
    <n v="0"/>
    <n v="0"/>
    <n v="39"/>
    <n v="85"/>
    <n v="0"/>
    <n v="369.16"/>
    <n v="199.51"/>
    <m/>
    <n v="330.61867549798609"/>
    <n v="261.5374640864809"/>
    <n v="0"/>
    <n v="-1159.70262"/>
    <n v="0"/>
    <n v="-750.23491266535643"/>
    <x v="3"/>
  </r>
  <r>
    <s v="Sistema Isolado - Regular"/>
    <x v="3"/>
    <x v="3"/>
    <x v="3"/>
    <x v="0"/>
    <x v="1"/>
    <x v="0"/>
    <x v="1"/>
    <x v="8"/>
    <n v="0"/>
    <n v="0"/>
    <n v="3776.7109999999998"/>
    <n v="3776.7109999999998"/>
    <n v="3776.7109999999998"/>
    <n v="3776.7109999999998"/>
    <n v="34038"/>
    <s v="CATIVO"/>
    <n v="0"/>
    <n v="0"/>
    <n v="39"/>
    <n v="85"/>
    <n v="0"/>
    <n v="369.16"/>
    <n v="199.51"/>
    <m/>
    <n v="330.61867549798609"/>
    <n v="261.5374640864809"/>
    <n v="0"/>
    <n v="471409.06701999996"/>
    <n v="0"/>
    <n v="304963.99173902604"/>
    <x v="3"/>
  </r>
  <r>
    <s v="Sistema Isolado - Refaturamento"/>
    <x v="3"/>
    <x v="3"/>
    <x v="3"/>
    <x v="0"/>
    <x v="1"/>
    <x v="0"/>
    <x v="1"/>
    <x v="8"/>
    <n v="0"/>
    <n v="0"/>
    <n v="-79.911000000000001"/>
    <n v="-79.911000000000001"/>
    <n v="-79.911000000000001"/>
    <n v="-79.911000000000001"/>
    <n v="0"/>
    <s v="CATIVO"/>
    <n v="0"/>
    <n v="0"/>
    <n v="39"/>
    <n v="85"/>
    <n v="0"/>
    <n v="369.16"/>
    <n v="199.51"/>
    <m/>
    <n v="330.61867549798609"/>
    <n v="261.5374640864809"/>
    <n v="0"/>
    <n v="-9974.4910199999995"/>
    <n v="0"/>
    <n v="-6452.6985368637716"/>
    <x v="3"/>
  </r>
  <r>
    <s v="Sistema de Compensação"/>
    <x v="3"/>
    <x v="3"/>
    <x v="3"/>
    <x v="0"/>
    <x v="1"/>
    <x v="0"/>
    <x v="1"/>
    <x v="8"/>
    <n v="0"/>
    <n v="0"/>
    <n v="16.318000000000001"/>
    <n v="16.318000000000001"/>
    <n v="16.318000000000001"/>
    <n v="16.318000000000001"/>
    <n v="22"/>
    <s v="CATIVO"/>
    <n v="0"/>
    <n v="0"/>
    <n v="39"/>
    <n v="85"/>
    <n v="0"/>
    <n v="369.16"/>
    <n v="199.51"/>
    <m/>
    <n v="330.61867549798609"/>
    <n v="261.5374640864809"/>
    <n v="0"/>
    <n v="2036.81276"/>
    <n v="0"/>
    <n v="1317.6550753280903"/>
    <x v="3"/>
  </r>
  <r>
    <s v="Regular"/>
    <x v="3"/>
    <x v="3"/>
    <x v="3"/>
    <x v="0"/>
    <x v="1"/>
    <x v="0"/>
    <x v="1"/>
    <x v="9"/>
    <n v="0"/>
    <n v="0"/>
    <n v="1553.607"/>
    <n v="1553.607"/>
    <n v="1553.607"/>
    <n v="1553.607"/>
    <n v="7413"/>
    <s v="CATIVO"/>
    <n v="0"/>
    <n v="0"/>
    <n v="39"/>
    <n v="85"/>
    <n v="0"/>
    <n v="369.16"/>
    <n v="199.51"/>
    <m/>
    <n v="330.61867549798609"/>
    <n v="261.5374640864809"/>
    <n v="0"/>
    <n v="193921.22573999999"/>
    <n v="0"/>
    <n v="125451.53502973699"/>
    <x v="3"/>
  </r>
  <r>
    <s v="Refaturamento - Regular"/>
    <x v="3"/>
    <x v="3"/>
    <x v="3"/>
    <x v="0"/>
    <x v="1"/>
    <x v="0"/>
    <x v="1"/>
    <x v="9"/>
    <n v="0"/>
    <n v="0"/>
    <n v="-55.225999999999999"/>
    <n v="-55.225999999999999"/>
    <n v="-55.225999999999999"/>
    <n v="-55.225999999999999"/>
    <n v="0"/>
    <s v="CATIVO"/>
    <n v="0"/>
    <n v="0"/>
    <n v="39"/>
    <n v="85"/>
    <n v="0"/>
    <n v="369.16"/>
    <n v="199.51"/>
    <m/>
    <n v="330.61867549798609"/>
    <n v="261.5374640864809"/>
    <n v="0"/>
    <n v="-6893.3093199999994"/>
    <n v="0"/>
    <n v="-4459.4202224579676"/>
    <x v="3"/>
  </r>
  <r>
    <s v="Sistema Isolado - Regular"/>
    <x v="3"/>
    <x v="3"/>
    <x v="3"/>
    <x v="0"/>
    <x v="1"/>
    <x v="0"/>
    <x v="1"/>
    <x v="9"/>
    <n v="0"/>
    <n v="0"/>
    <n v="3936.41"/>
    <n v="3936.41"/>
    <n v="3936.41"/>
    <n v="3936.41"/>
    <n v="33946"/>
    <s v="CATIVO"/>
    <n v="0"/>
    <n v="0"/>
    <n v="39"/>
    <n v="85"/>
    <n v="0"/>
    <n v="369.16"/>
    <n v="199.51"/>
    <m/>
    <n v="330.61867549798609"/>
    <n v="261.5374640864809"/>
    <n v="0"/>
    <n v="491342.69619999995"/>
    <n v="0"/>
    <n v="317859.45673932147"/>
    <x v="3"/>
  </r>
  <r>
    <s v="Sistema Isolado - Refaturamento"/>
    <x v="3"/>
    <x v="3"/>
    <x v="3"/>
    <x v="0"/>
    <x v="1"/>
    <x v="0"/>
    <x v="1"/>
    <x v="9"/>
    <n v="0"/>
    <n v="0"/>
    <n v="-82.900999999999996"/>
    <n v="-82.900999999999996"/>
    <n v="-82.900999999999996"/>
    <n v="-82.900999999999996"/>
    <n v="0"/>
    <s v="CATIVO"/>
    <n v="0"/>
    <n v="0"/>
    <n v="39"/>
    <n v="85"/>
    <n v="0"/>
    <n v="369.16"/>
    <n v="199.51"/>
    <m/>
    <n v="330.61867549798609"/>
    <n v="261.5374640864809"/>
    <n v="0"/>
    <n v="-10347.702819999999"/>
    <n v="0"/>
    <n v="-6694.1367446852555"/>
    <x v="3"/>
  </r>
  <r>
    <s v="Sistema de Compensação"/>
    <x v="3"/>
    <x v="3"/>
    <x v="3"/>
    <x v="0"/>
    <x v="1"/>
    <x v="0"/>
    <x v="1"/>
    <x v="9"/>
    <n v="0"/>
    <n v="0"/>
    <n v="26.995000000000001"/>
    <n v="26.995000000000001"/>
    <n v="26.995000000000001"/>
    <n v="26.995000000000001"/>
    <n v="21"/>
    <s v="CATIVO"/>
    <n v="0"/>
    <n v="0"/>
    <n v="39"/>
    <n v="85"/>
    <n v="0"/>
    <n v="369.16"/>
    <n v="199.51"/>
    <m/>
    <n v="330.61867549798609"/>
    <n v="261.5374640864809"/>
    <n v="0"/>
    <n v="3369.5158999999999"/>
    <n v="0"/>
    <n v="2179.8074983749111"/>
    <x v="3"/>
  </r>
  <r>
    <s v="Regular"/>
    <x v="3"/>
    <x v="3"/>
    <x v="3"/>
    <x v="0"/>
    <x v="1"/>
    <x v="0"/>
    <x v="1"/>
    <x v="10"/>
    <n v="0"/>
    <n v="0"/>
    <n v="1541.1030000000001"/>
    <n v="1541.1030000000001"/>
    <n v="1541.1030000000001"/>
    <n v="1541.1030000000001"/>
    <n v="7366"/>
    <s v="CATIVO"/>
    <n v="0"/>
    <n v="0"/>
    <n v="39"/>
    <n v="85"/>
    <n v="0"/>
    <n v="369.16"/>
    <n v="199.51"/>
    <m/>
    <n v="330.61867549798609"/>
    <n v="261.5374640864809"/>
    <n v="0"/>
    <n v="192360.47646000001"/>
    <n v="0"/>
    <n v="124441.85497936916"/>
    <x v="3"/>
  </r>
  <r>
    <s v="Refaturamento - Regular"/>
    <x v="3"/>
    <x v="3"/>
    <x v="3"/>
    <x v="0"/>
    <x v="1"/>
    <x v="0"/>
    <x v="1"/>
    <x v="10"/>
    <n v="0"/>
    <n v="0"/>
    <n v="-4.3579999999999997"/>
    <n v="-4.3579999999999997"/>
    <n v="-4.3579999999999997"/>
    <n v="-4.3579999999999997"/>
    <n v="0"/>
    <s v="CATIVO"/>
    <n v="0"/>
    <n v="0"/>
    <n v="39"/>
    <n v="85"/>
    <n v="0"/>
    <n v="369.16"/>
    <n v="199.51"/>
    <m/>
    <n v="330.61867549798609"/>
    <n v="261.5374640864809"/>
    <n v="0"/>
    <n v="-543.96555999999998"/>
    <n v="0"/>
    <n v="-351.90224404215081"/>
    <x v="3"/>
  </r>
  <r>
    <s v="Sistema Isolado - Regular"/>
    <x v="3"/>
    <x v="3"/>
    <x v="3"/>
    <x v="0"/>
    <x v="1"/>
    <x v="0"/>
    <x v="1"/>
    <x v="10"/>
    <n v="0"/>
    <n v="0"/>
    <n v="3986.1239999999998"/>
    <n v="3986.1239999999998"/>
    <n v="3986.1239999999998"/>
    <n v="3986.1239999999998"/>
    <n v="33609"/>
    <s v="CATIVO"/>
    <n v="0"/>
    <n v="0"/>
    <n v="39"/>
    <n v="85"/>
    <n v="0"/>
    <n v="369.16"/>
    <n v="199.51"/>
    <m/>
    <n v="330.61867549798609"/>
    <n v="261.5374640864809"/>
    <n v="0"/>
    <n v="497547.99767999997"/>
    <n v="0"/>
    <n v="321873.79087431717"/>
    <x v="3"/>
  </r>
  <r>
    <s v="Sistema Isolado - Refaturamento"/>
    <x v="3"/>
    <x v="3"/>
    <x v="3"/>
    <x v="0"/>
    <x v="1"/>
    <x v="0"/>
    <x v="1"/>
    <x v="10"/>
    <n v="0"/>
    <n v="0"/>
    <n v="-267.721"/>
    <n v="-267.721"/>
    <n v="-267.721"/>
    <n v="-267.721"/>
    <n v="0"/>
    <s v="CATIVO"/>
    <n v="0"/>
    <n v="0"/>
    <n v="39"/>
    <n v="85"/>
    <n v="0"/>
    <n v="369.16"/>
    <n v="199.51"/>
    <m/>
    <n v="330.61867549798609"/>
    <n v="261.5374640864809"/>
    <n v="0"/>
    <n v="-33416.935219999999"/>
    <n v="0"/>
    <n v="-21618.086433503595"/>
    <x v="3"/>
  </r>
  <r>
    <s v="Sistema de Compensação"/>
    <x v="3"/>
    <x v="3"/>
    <x v="3"/>
    <x v="0"/>
    <x v="1"/>
    <x v="0"/>
    <x v="1"/>
    <x v="10"/>
    <n v="0"/>
    <n v="0"/>
    <n v="26.422000000000001"/>
    <n v="26.422000000000001"/>
    <n v="26.422000000000001"/>
    <n v="26.422000000000001"/>
    <n v="22"/>
    <s v="CATIVO"/>
    <n v="0"/>
    <n v="0"/>
    <n v="39"/>
    <n v="85"/>
    <n v="0"/>
    <n v="369.16"/>
    <n v="199.51"/>
    <m/>
    <n v="330.61867549798609"/>
    <n v="261.5374640864809"/>
    <n v="0"/>
    <n v="3297.99404"/>
    <n v="0"/>
    <n v="2133.5385709228335"/>
    <x v="3"/>
  </r>
  <r>
    <s v="PROJETADO"/>
    <x v="3"/>
    <x v="3"/>
    <x v="3"/>
    <x v="0"/>
    <x v="1"/>
    <x v="0"/>
    <x v="1"/>
    <x v="11"/>
    <n v="0"/>
    <n v="0"/>
    <n v="1541.1030000000001"/>
    <n v="1541.1030000000001"/>
    <n v="1541.1030000000001"/>
    <n v="1541.1030000000001"/>
    <n v="7366"/>
    <s v="CATIVO"/>
    <n v="0"/>
    <n v="0"/>
    <n v="39"/>
    <n v="85"/>
    <n v="0"/>
    <n v="369.16"/>
    <n v="199.51"/>
    <m/>
    <n v="330.61867549798609"/>
    <n v="261.5374640864809"/>
    <n v="0"/>
    <n v="192360.47646000001"/>
    <n v="0"/>
    <n v="124441.85497936916"/>
    <x v="3"/>
  </r>
  <r>
    <s v="PROJETADO"/>
    <x v="3"/>
    <x v="3"/>
    <x v="3"/>
    <x v="0"/>
    <x v="1"/>
    <x v="0"/>
    <x v="1"/>
    <x v="11"/>
    <n v="0"/>
    <n v="0"/>
    <n v="-4.3579999999999997"/>
    <n v="-4.3579999999999997"/>
    <n v="-4.3579999999999997"/>
    <n v="-4.3579999999999997"/>
    <n v="0"/>
    <s v="CATIVO"/>
    <n v="0"/>
    <n v="0"/>
    <n v="39"/>
    <n v="85"/>
    <n v="0"/>
    <n v="369.16"/>
    <n v="199.51"/>
    <m/>
    <n v="330.61867549798609"/>
    <n v="261.5374640864809"/>
    <n v="0"/>
    <n v="-543.96555999999998"/>
    <n v="0"/>
    <n v="-351.90224404215081"/>
    <x v="3"/>
  </r>
  <r>
    <s v="PROJETADO"/>
    <x v="3"/>
    <x v="3"/>
    <x v="3"/>
    <x v="0"/>
    <x v="1"/>
    <x v="0"/>
    <x v="1"/>
    <x v="11"/>
    <n v="0"/>
    <n v="0"/>
    <n v="3986.1239999999998"/>
    <n v="3986.1239999999998"/>
    <n v="3986.1239999999998"/>
    <n v="3986.1239999999998"/>
    <n v="33609"/>
    <s v="CATIVO"/>
    <n v="0"/>
    <n v="0"/>
    <n v="39"/>
    <n v="85"/>
    <n v="0"/>
    <n v="369.16"/>
    <n v="199.51"/>
    <m/>
    <n v="330.61867549798609"/>
    <n v="261.5374640864809"/>
    <n v="0"/>
    <n v="497547.99767999997"/>
    <n v="0"/>
    <n v="321873.79087431717"/>
    <x v="3"/>
  </r>
  <r>
    <s v="PROJETADO"/>
    <x v="3"/>
    <x v="3"/>
    <x v="3"/>
    <x v="0"/>
    <x v="1"/>
    <x v="0"/>
    <x v="1"/>
    <x v="11"/>
    <n v="0"/>
    <n v="0"/>
    <n v="-267.721"/>
    <n v="-267.721"/>
    <n v="-267.721"/>
    <n v="-267.721"/>
    <n v="0"/>
    <s v="CATIVO"/>
    <n v="0"/>
    <n v="0"/>
    <n v="39"/>
    <n v="85"/>
    <n v="0"/>
    <n v="369.16"/>
    <n v="199.51"/>
    <m/>
    <n v="330.61867549798609"/>
    <n v="261.5374640864809"/>
    <n v="0"/>
    <n v="-33416.935219999999"/>
    <n v="0"/>
    <n v="-21618.086433503595"/>
    <x v="3"/>
  </r>
  <r>
    <s v="PROJETADO"/>
    <x v="3"/>
    <x v="3"/>
    <x v="3"/>
    <x v="0"/>
    <x v="1"/>
    <x v="0"/>
    <x v="1"/>
    <x v="11"/>
    <n v="0"/>
    <n v="0"/>
    <n v="26.422000000000001"/>
    <n v="26.422000000000001"/>
    <n v="26.422000000000001"/>
    <n v="26.422000000000001"/>
    <n v="22"/>
    <s v="CATIVO"/>
    <n v="0"/>
    <n v="0"/>
    <n v="39"/>
    <n v="85"/>
    <n v="0"/>
    <n v="369.16"/>
    <n v="199.51"/>
    <m/>
    <n v="330.61867549798609"/>
    <n v="261.5374640864809"/>
    <n v="0"/>
    <n v="3297.99404"/>
    <n v="0"/>
    <n v="2133.5385709228335"/>
    <x v="3"/>
  </r>
  <r>
    <s v="Regular"/>
    <x v="3"/>
    <x v="3"/>
    <x v="3"/>
    <x v="8"/>
    <x v="2"/>
    <x v="0"/>
    <x v="1"/>
    <x v="5"/>
    <n v="0"/>
    <n v="0"/>
    <n v="14.785"/>
    <n v="14.785"/>
    <n v="14.785"/>
    <n v="14.785"/>
    <n v="0"/>
    <s v="CATIVO"/>
    <n v="0"/>
    <n v="0"/>
    <n v="44"/>
    <n v="90"/>
    <n v="0"/>
    <n v="342.15"/>
    <n v="184.91"/>
    <m/>
    <n v="315.59055388444125"/>
    <n v="249.64939753709535"/>
    <n v="0"/>
    <n v="2460.6675500000006"/>
    <n v="0"/>
    <n v="1591.8233679556995"/>
    <x v="3"/>
  </r>
  <r>
    <s v="Refaturamento - Regular"/>
    <x v="3"/>
    <x v="3"/>
    <x v="3"/>
    <x v="8"/>
    <x v="2"/>
    <x v="0"/>
    <x v="1"/>
    <x v="5"/>
    <n v="0"/>
    <n v="0"/>
    <n v="-0.315"/>
    <n v="-0.315"/>
    <n v="-0.315"/>
    <n v="-0.315"/>
    <n v="0"/>
    <s v="CATIVO"/>
    <n v="0"/>
    <n v="0"/>
    <n v="44"/>
    <n v="90"/>
    <n v="0"/>
    <n v="342.15"/>
    <n v="184.91"/>
    <m/>
    <n v="315.59055388444125"/>
    <n v="249.64939753709535"/>
    <n v="0"/>
    <n v="-52.425450000000012"/>
    <n v="0"/>
    <n v="-33.914397085292208"/>
    <x v="3"/>
  </r>
  <r>
    <s v="Regular"/>
    <x v="3"/>
    <x v="3"/>
    <x v="3"/>
    <x v="8"/>
    <x v="3"/>
    <x v="0"/>
    <x v="1"/>
    <x v="5"/>
    <n v="0"/>
    <n v="0"/>
    <n v="6.5570000000000004"/>
    <n v="1.7703899999999999"/>
    <n v="6.5570000000000004"/>
    <n v="1.7703899999999999"/>
    <n v="0"/>
    <s v="CATIVO"/>
    <n v="0"/>
    <n v="0"/>
    <n v="44"/>
    <n v="90"/>
    <n v="0"/>
    <n v="342.15"/>
    <n v="184.91"/>
    <m/>
    <n v="330.61867549798609"/>
    <n v="261.5374640864809"/>
    <n v="0"/>
    <n v="3614.1121766000001"/>
    <n v="0"/>
    <n v="3363.8888366494075"/>
    <x v="6"/>
  </r>
  <r>
    <s v="Refaturamento - Regular"/>
    <x v="3"/>
    <x v="3"/>
    <x v="3"/>
    <x v="8"/>
    <x v="3"/>
    <x v="0"/>
    <x v="1"/>
    <x v="5"/>
    <n v="0"/>
    <n v="0"/>
    <n v="5.4850000000000003"/>
    <n v="1.48095"/>
    <n v="5.4850000000000003"/>
    <n v="1.48095"/>
    <n v="0"/>
    <s v="CATIVO"/>
    <n v="0"/>
    <n v="0"/>
    <n v="44"/>
    <n v="90"/>
    <n v="0"/>
    <n v="342.15"/>
    <n v="184.91"/>
    <m/>
    <n v="330.61867549798609"/>
    <n v="261.5374640864809"/>
    <n v="0"/>
    <n v="3023.2431430000001"/>
    <n v="0"/>
    <n v="2813.9286669242033"/>
    <x v="6"/>
  </r>
  <r>
    <s v="Regular"/>
    <x v="4"/>
    <x v="3"/>
    <x v="1"/>
    <x v="1"/>
    <x v="1"/>
    <x v="0"/>
    <x v="1"/>
    <x v="0"/>
    <n v="0"/>
    <n v="0"/>
    <n v="795.45899999999995"/>
    <n v="723.86768999999993"/>
    <n v="795.45899999999995"/>
    <n v="723.86768999999993"/>
    <n v="208"/>
    <s v="CATIVO"/>
    <n v="0"/>
    <n v="0"/>
    <n v="72"/>
    <n v="78"/>
    <n v="0"/>
    <n v="450.19"/>
    <n v="243.3"/>
    <m/>
    <n v="375.70304033862055"/>
    <n v="297.20166373463735"/>
    <n v="0"/>
    <n v="49647.857571900015"/>
    <n v="0"/>
    <n v="48174.129269766883"/>
    <x v="1"/>
  </r>
  <r>
    <s v="Refaturamento - Regular"/>
    <x v="4"/>
    <x v="3"/>
    <x v="1"/>
    <x v="1"/>
    <x v="1"/>
    <x v="0"/>
    <x v="1"/>
    <x v="0"/>
    <n v="0"/>
    <n v="0"/>
    <n v="1.8360000000000001"/>
    <n v="1.67076"/>
    <n v="1.8360000000000001"/>
    <n v="1.67076"/>
    <n v="0"/>
    <s v="CATIVO"/>
    <n v="0"/>
    <n v="0"/>
    <n v="72"/>
    <n v="78"/>
    <n v="0"/>
    <n v="450.19"/>
    <n v="243.3"/>
    <m/>
    <n v="375.70304033862055"/>
    <n v="297.20166373463735"/>
    <n v="0"/>
    <n v="114.59228760000005"/>
    <n v="0"/>
    <n v="111.19077330106518"/>
    <x v="1"/>
  </r>
  <r>
    <s v="Sistema Isolado - Regular"/>
    <x v="4"/>
    <x v="3"/>
    <x v="1"/>
    <x v="1"/>
    <x v="1"/>
    <x v="0"/>
    <x v="1"/>
    <x v="0"/>
    <n v="0"/>
    <n v="0"/>
    <n v="2055.0189999999998"/>
    <n v="1870.06729"/>
    <n v="2055.0189999999998"/>
    <n v="1870.06729"/>
    <n v="641"/>
    <s v="CATIVO"/>
    <n v="0"/>
    <n v="0"/>
    <n v="72"/>
    <n v="78"/>
    <n v="0"/>
    <n v="450.19"/>
    <n v="243.3"/>
    <m/>
    <n v="375.70304033862055"/>
    <n v="297.20166373463735"/>
    <n v="0"/>
    <n v="128262.16136789988"/>
    <n v="0"/>
    <n v="124454.87568539291"/>
    <x v="1"/>
  </r>
  <r>
    <s v="Sistema Isolado - Refaturamento"/>
    <x v="4"/>
    <x v="3"/>
    <x v="1"/>
    <x v="1"/>
    <x v="1"/>
    <x v="0"/>
    <x v="1"/>
    <x v="0"/>
    <n v="0"/>
    <n v="0"/>
    <n v="-2.7309999999999999"/>
    <n v="-2.4852099999999999"/>
    <n v="-2.7309999999999999"/>
    <n v="-2.4852099999999999"/>
    <n v="0"/>
    <s v="CATIVO"/>
    <n v="0"/>
    <n v="0"/>
    <n v="72"/>
    <n v="78"/>
    <n v="0"/>
    <n v="450.19"/>
    <n v="243.3"/>
    <m/>
    <n v="375.70304033862055"/>
    <n v="297.20166373463735"/>
    <n v="0"/>
    <n v="-170.45290709999995"/>
    <n v="0"/>
    <n v="-165.39324721416602"/>
    <x v="1"/>
  </r>
  <r>
    <s v="Regular"/>
    <x v="4"/>
    <x v="3"/>
    <x v="1"/>
    <x v="1"/>
    <x v="1"/>
    <x v="0"/>
    <x v="1"/>
    <x v="1"/>
    <n v="0"/>
    <n v="0"/>
    <n v="788.59500000000003"/>
    <n v="717.6214500000001"/>
    <n v="788.59500000000003"/>
    <n v="717.6214500000001"/>
    <n v="206"/>
    <s v="CATIVO"/>
    <n v="0"/>
    <n v="0"/>
    <n v="72"/>
    <n v="78"/>
    <n v="0"/>
    <n v="450.19"/>
    <n v="243.3"/>
    <m/>
    <n v="375.70304033862055"/>
    <n v="297.20166373463735"/>
    <n v="0"/>
    <n v="49219.447189499959"/>
    <n v="0"/>
    <n v="47758.435659778523"/>
    <x v="1"/>
  </r>
  <r>
    <s v="Refaturamento - Regular"/>
    <x v="4"/>
    <x v="3"/>
    <x v="1"/>
    <x v="1"/>
    <x v="1"/>
    <x v="0"/>
    <x v="1"/>
    <x v="1"/>
    <n v="0"/>
    <n v="0"/>
    <n v="-8.2550000000000008"/>
    <n v="-7.5120500000000012"/>
    <n v="-8.2550000000000008"/>
    <n v="-7.5120500000000012"/>
    <n v="0"/>
    <s v="CATIVO"/>
    <n v="0"/>
    <n v="0"/>
    <n v="72"/>
    <n v="78"/>
    <n v="0"/>
    <n v="450.19"/>
    <n v="243.3"/>
    <m/>
    <n v="375.70304033862055"/>
    <n v="297.20166373463735"/>
    <n v="0"/>
    <n v="-515.22839549999969"/>
    <n v="0"/>
    <n v="-499.93454989122665"/>
    <x v="1"/>
  </r>
  <r>
    <s v="Sistema Isolado - Regular"/>
    <x v="4"/>
    <x v="3"/>
    <x v="1"/>
    <x v="1"/>
    <x v="1"/>
    <x v="0"/>
    <x v="1"/>
    <x v="1"/>
    <n v="0"/>
    <n v="0"/>
    <n v="2063.1239999999998"/>
    <n v="1877.4428399999999"/>
    <n v="2063.1239999999998"/>
    <n v="1877.4428399999999"/>
    <n v="639"/>
    <s v="CATIVO"/>
    <n v="0"/>
    <n v="0"/>
    <n v="72"/>
    <n v="78"/>
    <n v="0"/>
    <n v="450.19"/>
    <n v="243.3"/>
    <m/>
    <n v="375.70304033862055"/>
    <n v="297.20166373463735"/>
    <n v="0"/>
    <n v="128768.0276483999"/>
    <n v="0"/>
    <n v="124945.72602177918"/>
    <x v="1"/>
  </r>
  <r>
    <s v="Sistema Isolado - Refaturamento"/>
    <x v="4"/>
    <x v="3"/>
    <x v="1"/>
    <x v="1"/>
    <x v="1"/>
    <x v="0"/>
    <x v="1"/>
    <x v="1"/>
    <n v="0"/>
    <n v="0"/>
    <n v="-36.978999999999999"/>
    <n v="-33.650890000000004"/>
    <n v="-36.978999999999999"/>
    <n v="-33.650890000000004"/>
    <n v="0"/>
    <s v="CATIVO"/>
    <n v="0"/>
    <n v="0"/>
    <n v="72"/>
    <n v="78"/>
    <n v="0"/>
    <n v="450.19"/>
    <n v="243.3"/>
    <m/>
    <n v="375.70304033862055"/>
    <n v="297.20166373463735"/>
    <n v="0"/>
    <n v="-2308.0110038999965"/>
    <n v="0"/>
    <n v="-2239.5008746732469"/>
    <x v="1"/>
  </r>
  <r>
    <s v="Regular"/>
    <x v="4"/>
    <x v="3"/>
    <x v="1"/>
    <x v="1"/>
    <x v="1"/>
    <x v="0"/>
    <x v="1"/>
    <x v="2"/>
    <n v="0"/>
    <n v="0"/>
    <n v="852.98800000000006"/>
    <n v="776.21908000000008"/>
    <n v="852.98800000000006"/>
    <n v="776.21908000000008"/>
    <n v="207"/>
    <s v="CATIVO"/>
    <n v="0"/>
    <n v="0"/>
    <n v="72"/>
    <n v="78"/>
    <n v="0"/>
    <n v="450.19"/>
    <n v="243.3"/>
    <m/>
    <n v="375.70304033862055"/>
    <n v="297.20166373463735"/>
    <n v="0"/>
    <n v="53238.47833079999"/>
    <n v="0"/>
    <n v="51658.167394623597"/>
    <x v="1"/>
  </r>
  <r>
    <s v="Refaturamento - Regular"/>
    <x v="4"/>
    <x v="3"/>
    <x v="1"/>
    <x v="1"/>
    <x v="1"/>
    <x v="0"/>
    <x v="1"/>
    <x v="2"/>
    <n v="0"/>
    <n v="0"/>
    <n v="-0.17799999999999999"/>
    <n v="-0.16197999999999999"/>
    <n v="-0.17799999999999999"/>
    <n v="-0.16197999999999999"/>
    <n v="0"/>
    <s v="CATIVO"/>
    <n v="0"/>
    <n v="0"/>
    <n v="72"/>
    <n v="78"/>
    <n v="0"/>
    <n v="450.19"/>
    <n v="243.3"/>
    <m/>
    <n v="375.70304033862055"/>
    <n v="297.20166373463735"/>
    <n v="0"/>
    <n v="-11.109709800000005"/>
    <n v="0"/>
    <n v="-10.779933359253596"/>
    <x v="1"/>
  </r>
  <r>
    <s v="Sistema Isolado - Regular"/>
    <x v="4"/>
    <x v="3"/>
    <x v="1"/>
    <x v="1"/>
    <x v="1"/>
    <x v="0"/>
    <x v="1"/>
    <x v="2"/>
    <n v="0"/>
    <n v="0"/>
    <n v="2048.2930000000001"/>
    <n v="1863.9466300000001"/>
    <n v="2048.2930000000001"/>
    <n v="1863.9466300000001"/>
    <n v="637"/>
    <s v="CATIVO"/>
    <n v="0"/>
    <n v="0"/>
    <n v="72"/>
    <n v="78"/>
    <n v="0"/>
    <n v="450.19"/>
    <n v="243.3"/>
    <m/>
    <n v="375.70304033862055"/>
    <n v="297.20166373463735"/>
    <n v="0"/>
    <n v="127842.36413129998"/>
    <n v="0"/>
    <n v="124047.53955182931"/>
    <x v="1"/>
  </r>
  <r>
    <s v="Regular"/>
    <x v="4"/>
    <x v="3"/>
    <x v="1"/>
    <x v="1"/>
    <x v="1"/>
    <x v="0"/>
    <x v="1"/>
    <x v="3"/>
    <n v="0"/>
    <n v="0"/>
    <n v="820.86500000000001"/>
    <n v="746.98715000000004"/>
    <n v="820.86500000000001"/>
    <n v="746.98715000000004"/>
    <n v="208"/>
    <s v="CATIVO"/>
    <n v="0"/>
    <n v="0"/>
    <n v="72"/>
    <n v="78"/>
    <n v="0"/>
    <n v="450.19"/>
    <n v="243.3"/>
    <m/>
    <n v="375.70304033862055"/>
    <n v="297.20166373463735"/>
    <n v="0"/>
    <n v="51233.550196499971"/>
    <n v="0"/>
    <n v="49712.752791818515"/>
    <x v="1"/>
  </r>
  <r>
    <s v="Refaturamento - Regular"/>
    <x v="4"/>
    <x v="3"/>
    <x v="1"/>
    <x v="1"/>
    <x v="1"/>
    <x v="0"/>
    <x v="1"/>
    <x v="3"/>
    <n v="0"/>
    <n v="0"/>
    <n v="0.25800000000000001"/>
    <n v="0.23478000000000002"/>
    <n v="0.25800000000000001"/>
    <n v="0.23478000000000002"/>
    <n v="0"/>
    <s v="CATIVO"/>
    <n v="0"/>
    <n v="0"/>
    <n v="72"/>
    <n v="78"/>
    <n v="0"/>
    <n v="450.19"/>
    <n v="243.3"/>
    <m/>
    <n v="375.70304033862055"/>
    <n v="297.20166373463735"/>
    <n v="0"/>
    <n v="16.102837799999996"/>
    <n v="0"/>
    <n v="15.624847228581043"/>
    <x v="1"/>
  </r>
  <r>
    <s v="Sistema Isolado - Regular"/>
    <x v="4"/>
    <x v="3"/>
    <x v="1"/>
    <x v="1"/>
    <x v="1"/>
    <x v="0"/>
    <x v="1"/>
    <x v="3"/>
    <n v="0"/>
    <n v="0"/>
    <n v="1974.415"/>
    <n v="1796.71765"/>
    <n v="1974.415"/>
    <n v="1796.71765"/>
    <n v="638"/>
    <s v="CATIVO"/>
    <n v="0"/>
    <n v="0"/>
    <n v="72"/>
    <n v="78"/>
    <n v="0"/>
    <n v="450.19"/>
    <n v="243.3"/>
    <m/>
    <n v="375.70304033862055"/>
    <n v="297.20166373463735"/>
    <n v="0"/>
    <n v="123231.33525149996"/>
    <n v="0"/>
    <n v="119573.38271635208"/>
    <x v="1"/>
  </r>
  <r>
    <s v="Sistema Isolado - Refaturamento"/>
    <x v="4"/>
    <x v="3"/>
    <x v="1"/>
    <x v="1"/>
    <x v="1"/>
    <x v="0"/>
    <x v="1"/>
    <x v="3"/>
    <n v="0"/>
    <n v="0"/>
    <n v="-19.899999999999999"/>
    <n v="-18.108999999999998"/>
    <n v="-19.899999999999999"/>
    <n v="-18.108999999999998"/>
    <n v="0"/>
    <s v="CATIVO"/>
    <n v="0"/>
    <n v="0"/>
    <n v="72"/>
    <n v="78"/>
    <n v="0"/>
    <n v="450.19"/>
    <n v="243.3"/>
    <m/>
    <n v="375.70304033862055"/>
    <n v="297.20166373463735"/>
    <n v="0"/>
    <n v="-1242.0405900000003"/>
    <n v="0"/>
    <n v="-1205.1723249952051"/>
    <x v="1"/>
  </r>
  <r>
    <s v="Regular"/>
    <x v="4"/>
    <x v="3"/>
    <x v="1"/>
    <x v="1"/>
    <x v="1"/>
    <x v="0"/>
    <x v="1"/>
    <x v="4"/>
    <n v="0"/>
    <n v="0"/>
    <n v="816.702"/>
    <n v="743.19882000000007"/>
    <n v="816.702"/>
    <n v="743.19882000000007"/>
    <n v="213"/>
    <s v="CATIVO"/>
    <n v="0"/>
    <n v="0"/>
    <n v="72"/>
    <n v="78"/>
    <n v="0"/>
    <n v="450.19"/>
    <n v="243.3"/>
    <m/>
    <n v="375.70304033862055"/>
    <n v="297.20166373463735"/>
    <n v="0"/>
    <n v="50973.720298199951"/>
    <n v="0"/>
    <n v="49460.635586343364"/>
    <x v="1"/>
  </r>
  <r>
    <s v="Sistema Isolado - Regular"/>
    <x v="4"/>
    <x v="3"/>
    <x v="1"/>
    <x v="1"/>
    <x v="1"/>
    <x v="0"/>
    <x v="1"/>
    <x v="4"/>
    <n v="0"/>
    <n v="0"/>
    <n v="2085.8470000000002"/>
    <n v="1898.1207700000002"/>
    <n v="2085.8470000000002"/>
    <n v="1898.1207700000002"/>
    <n v="639"/>
    <s v="CATIVO"/>
    <n v="0"/>
    <n v="0"/>
    <n v="72"/>
    <n v="78"/>
    <n v="0"/>
    <n v="450.19"/>
    <n v="243.3"/>
    <m/>
    <n v="375.70304033862055"/>
    <n v="297.20166373463735"/>
    <n v="0"/>
    <n v="130186.26324269999"/>
    <n v="0"/>
    <n v="126321.86324493834"/>
    <x v="1"/>
  </r>
  <r>
    <s v="Sistema Isolado - Refaturamento"/>
    <x v="4"/>
    <x v="3"/>
    <x v="1"/>
    <x v="1"/>
    <x v="1"/>
    <x v="0"/>
    <x v="1"/>
    <x v="4"/>
    <n v="0"/>
    <n v="0"/>
    <n v="-36.567999999999998"/>
    <n v="-33.276879999999998"/>
    <n v="-36.567999999999998"/>
    <n v="-33.276879999999998"/>
    <n v="0"/>
    <s v="CATIVO"/>
    <n v="0"/>
    <n v="0"/>
    <n v="72"/>
    <n v="78"/>
    <n v="0"/>
    <n v="450.19"/>
    <n v="243.3"/>
    <m/>
    <n v="375.70304033862055"/>
    <n v="297.20166373463735"/>
    <n v="0"/>
    <n v="-2282.3588087999997"/>
    <n v="0"/>
    <n v="-2214.6101296695801"/>
    <x v="1"/>
  </r>
  <r>
    <s v="Regular"/>
    <x v="4"/>
    <x v="3"/>
    <x v="1"/>
    <x v="1"/>
    <x v="1"/>
    <x v="0"/>
    <x v="1"/>
    <x v="5"/>
    <n v="0"/>
    <n v="0"/>
    <n v="862.18600000000004"/>
    <n v="784.58926000000008"/>
    <n v="862.18600000000004"/>
    <n v="784.58926000000008"/>
    <n v="226"/>
    <s v="CATIVO"/>
    <n v="0"/>
    <n v="0"/>
    <n v="72"/>
    <n v="78"/>
    <n v="0"/>
    <n v="450.19"/>
    <n v="243.3"/>
    <m/>
    <n v="375.70304033862055"/>
    <n v="297.20166373463735"/>
    <n v="0"/>
    <n v="53812.563222599973"/>
    <n v="0"/>
    <n v="52215.2113667495"/>
    <x v="1"/>
  </r>
  <r>
    <s v="Refaturamento - Regular"/>
    <x v="4"/>
    <x v="3"/>
    <x v="1"/>
    <x v="1"/>
    <x v="1"/>
    <x v="0"/>
    <x v="1"/>
    <x v="5"/>
    <n v="0"/>
    <n v="0"/>
    <n v="-0.1"/>
    <n v="-9.1000000000000011E-2"/>
    <n v="-0.1"/>
    <n v="-9.1000000000000011E-2"/>
    <n v="0"/>
    <s v="CATIVO"/>
    <n v="0"/>
    <n v="0"/>
    <n v="72"/>
    <n v="78"/>
    <n v="0"/>
    <n v="450.19"/>
    <n v="243.3"/>
    <m/>
    <n v="375.70304033862055"/>
    <n v="297.20166373463735"/>
    <n v="0"/>
    <n v="-6.2414099999999966"/>
    <n v="0"/>
    <n v="-6.0561423366593168"/>
    <x v="1"/>
  </r>
  <r>
    <s v="Sistema Isolado - Regular"/>
    <x v="4"/>
    <x v="3"/>
    <x v="1"/>
    <x v="1"/>
    <x v="1"/>
    <x v="0"/>
    <x v="1"/>
    <x v="5"/>
    <n v="0"/>
    <n v="0"/>
    <n v="2482.41"/>
    <n v="2258.9931000000001"/>
    <n v="2482.41"/>
    <n v="2258.9931000000001"/>
    <n v="955"/>
    <s v="CATIVO"/>
    <n v="0"/>
    <n v="0"/>
    <n v="72"/>
    <n v="78"/>
    <n v="0"/>
    <n v="450.19"/>
    <n v="243.3"/>
    <m/>
    <n v="375.70304033862055"/>
    <n v="297.20166373463735"/>
    <n v="0"/>
    <n v="154937.3859809998"/>
    <n v="0"/>
    <n v="150338.28297946445"/>
    <x v="1"/>
  </r>
  <r>
    <s v="Sistema Isolado - Refaturamento"/>
    <x v="4"/>
    <x v="3"/>
    <x v="1"/>
    <x v="1"/>
    <x v="1"/>
    <x v="0"/>
    <x v="1"/>
    <x v="5"/>
    <n v="0"/>
    <n v="0"/>
    <n v="-20.713000000000001"/>
    <n v="-18.848830000000003"/>
    <n v="-20.713000000000001"/>
    <n v="-18.848830000000003"/>
    <n v="0"/>
    <s v="CATIVO"/>
    <n v="0"/>
    <n v="0"/>
    <n v="72"/>
    <n v="78"/>
    <n v="0"/>
    <n v="450.19"/>
    <n v="243.3"/>
    <m/>
    <n v="375.70304033862055"/>
    <n v="297.20166373463735"/>
    <n v="0"/>
    <n v="-1292.7832532999987"/>
    <n v="0"/>
    <n v="-1254.4087621922438"/>
    <x v="1"/>
  </r>
  <r>
    <s v="Regular"/>
    <x v="4"/>
    <x v="3"/>
    <x v="1"/>
    <x v="1"/>
    <x v="1"/>
    <x v="0"/>
    <x v="1"/>
    <x v="6"/>
    <n v="0"/>
    <n v="0"/>
    <n v="886.2"/>
    <n v="806.44200000000001"/>
    <n v="886.2"/>
    <n v="806.44200000000001"/>
    <n v="235"/>
    <s v="CATIVO"/>
    <n v="0"/>
    <n v="0"/>
    <n v="72"/>
    <n v="78"/>
    <n v="0"/>
    <n v="450.19"/>
    <n v="243.3"/>
    <m/>
    <n v="375.70304033862055"/>
    <n v="297.20166373463735"/>
    <n v="0"/>
    <n v="55311.375420000026"/>
    <n v="0"/>
    <n v="53669.533387474927"/>
    <x v="1"/>
  </r>
  <r>
    <s v="Sistema Isolado - Regular"/>
    <x v="4"/>
    <x v="3"/>
    <x v="1"/>
    <x v="1"/>
    <x v="1"/>
    <x v="0"/>
    <x v="1"/>
    <x v="6"/>
    <n v="0"/>
    <n v="0"/>
    <n v="2832.8850000000002"/>
    <n v="2577.92535"/>
    <n v="2832.8850000000002"/>
    <n v="2577.92535"/>
    <n v="1296"/>
    <s v="CATIVO"/>
    <n v="0"/>
    <n v="0"/>
    <n v="72"/>
    <n v="78"/>
    <n v="0"/>
    <n v="450.19"/>
    <n v="243.3"/>
    <m/>
    <n v="375.70304033862055"/>
    <n v="297.20166373463735"/>
    <n v="0"/>
    <n v="176811.96767850016"/>
    <n v="0"/>
    <n v="171563.54783387156"/>
    <x v="1"/>
  </r>
  <r>
    <s v="Sistema Isolado - Refaturamento"/>
    <x v="4"/>
    <x v="3"/>
    <x v="1"/>
    <x v="1"/>
    <x v="1"/>
    <x v="0"/>
    <x v="1"/>
    <x v="6"/>
    <n v="0"/>
    <n v="0"/>
    <n v="36.384"/>
    <n v="33.109439999999999"/>
    <n v="36.384"/>
    <n v="33.109439999999999"/>
    <n v="0"/>
    <s v="CATIVO"/>
    <n v="0"/>
    <n v="0"/>
    <n v="72"/>
    <n v="78"/>
    <n v="0"/>
    <n v="450.19"/>
    <n v="243.3"/>
    <m/>
    <n v="375.70304033862055"/>
    <n v="297.20166373463735"/>
    <n v="0"/>
    <n v="2270.8746144000006"/>
    <n v="0"/>
    <n v="2203.466827770128"/>
    <x v="1"/>
  </r>
  <r>
    <s v="Regular"/>
    <x v="4"/>
    <x v="3"/>
    <x v="1"/>
    <x v="1"/>
    <x v="1"/>
    <x v="0"/>
    <x v="1"/>
    <x v="7"/>
    <n v="0"/>
    <n v="0"/>
    <n v="983.73"/>
    <n v="895.1943"/>
    <n v="983.73"/>
    <n v="895.1943"/>
    <n v="238"/>
    <s v="CATIVO"/>
    <n v="0"/>
    <n v="0"/>
    <n v="72"/>
    <n v="78"/>
    <n v="0"/>
    <n v="450.19"/>
    <n v="243.3"/>
    <m/>
    <n v="375.70304033862055"/>
    <n v="297.20166373463735"/>
    <n v="0"/>
    <n v="61398.622593000015"/>
    <n v="0"/>
    <n v="59576.089008418756"/>
    <x v="1"/>
  </r>
  <r>
    <s v="Sistema Isolado - Regular"/>
    <x v="4"/>
    <x v="3"/>
    <x v="1"/>
    <x v="1"/>
    <x v="1"/>
    <x v="0"/>
    <x v="1"/>
    <x v="7"/>
    <n v="0"/>
    <n v="0"/>
    <n v="3058.877"/>
    <n v="2783.57807"/>
    <n v="3058.877"/>
    <n v="2783.57807"/>
    <n v="1313"/>
    <s v="CATIVO"/>
    <n v="0"/>
    <n v="0"/>
    <n v="72"/>
    <n v="78"/>
    <n v="0"/>
    <n v="450.19"/>
    <n v="243.3"/>
    <m/>
    <n v="375.70304033862055"/>
    <n v="297.20166373463735"/>
    <n v="0"/>
    <n v="190917.05496569996"/>
    <n v="0"/>
    <n v="185249.9450233345"/>
    <x v="1"/>
  </r>
  <r>
    <s v="Sistema Isolado - Refaturamento"/>
    <x v="4"/>
    <x v="3"/>
    <x v="1"/>
    <x v="1"/>
    <x v="1"/>
    <x v="0"/>
    <x v="1"/>
    <x v="7"/>
    <n v="0"/>
    <n v="0"/>
    <n v="29.552"/>
    <n v="26.892320000000002"/>
    <n v="29.552"/>
    <n v="26.892320000000002"/>
    <n v="0"/>
    <s v="CATIVO"/>
    <n v="0"/>
    <n v="0"/>
    <n v="72"/>
    <n v="78"/>
    <n v="0"/>
    <n v="450.19"/>
    <n v="243.3"/>
    <m/>
    <n v="375.70304033862055"/>
    <n v="297.20166373463735"/>
    <n v="0"/>
    <n v="1844.4614831999986"/>
    <n v="0"/>
    <n v="1789.7111833295612"/>
    <x v="1"/>
  </r>
  <r>
    <s v="Regular"/>
    <x v="4"/>
    <x v="3"/>
    <x v="1"/>
    <x v="1"/>
    <x v="1"/>
    <x v="0"/>
    <x v="1"/>
    <x v="8"/>
    <n v="0"/>
    <n v="0"/>
    <n v="924.31700000000001"/>
    <n v="841.12846999999999"/>
    <n v="924.31700000000001"/>
    <n v="841.12846999999999"/>
    <n v="238"/>
    <s v="CATIVO"/>
    <n v="0"/>
    <n v="0"/>
    <n v="72"/>
    <n v="78"/>
    <n v="0"/>
    <n v="450.19"/>
    <n v="243.3"/>
    <m/>
    <n v="375.70304033862055"/>
    <n v="297.20166373463735"/>
    <n v="0"/>
    <n v="57690.413669700007"/>
    <n v="0"/>
    <n v="55977.953161939346"/>
    <x v="1"/>
  </r>
  <r>
    <s v="Sistema Isolado - Regular"/>
    <x v="4"/>
    <x v="3"/>
    <x v="1"/>
    <x v="1"/>
    <x v="1"/>
    <x v="0"/>
    <x v="1"/>
    <x v="8"/>
    <n v="0"/>
    <n v="0"/>
    <n v="3026.7339999999999"/>
    <n v="2754.3279400000001"/>
    <n v="3026.7339999999999"/>
    <n v="2754.3279400000001"/>
    <n v="1326"/>
    <s v="CATIVO"/>
    <n v="0"/>
    <n v="0"/>
    <n v="72"/>
    <n v="78"/>
    <n v="0"/>
    <n v="450.19"/>
    <n v="243.3"/>
    <m/>
    <n v="375.70304033862055"/>
    <n v="297.20166373463735"/>
    <n v="0"/>
    <n v="188910.87854939987"/>
    <n v="0"/>
    <n v="183303.31919206202"/>
    <x v="1"/>
  </r>
  <r>
    <s v="Sistema Isolado - Refaturamento"/>
    <x v="4"/>
    <x v="3"/>
    <x v="1"/>
    <x v="1"/>
    <x v="1"/>
    <x v="0"/>
    <x v="1"/>
    <x v="8"/>
    <n v="0"/>
    <n v="0"/>
    <n v="-5.4509999999999996"/>
    <n v="-4.9604100000000004"/>
    <n v="-5.4509999999999996"/>
    <n v="-4.9604100000000004"/>
    <n v="0"/>
    <s v="CATIVO"/>
    <n v="0"/>
    <n v="0"/>
    <n v="72"/>
    <n v="78"/>
    <n v="0"/>
    <n v="450.19"/>
    <n v="243.3"/>
    <m/>
    <n v="375.70304033862055"/>
    <n v="297.20166373463735"/>
    <n v="0"/>
    <n v="-340.21925909999942"/>
    <n v="0"/>
    <n v="-330.12031877129903"/>
    <x v="1"/>
  </r>
  <r>
    <s v="Regular"/>
    <x v="4"/>
    <x v="3"/>
    <x v="1"/>
    <x v="1"/>
    <x v="1"/>
    <x v="0"/>
    <x v="1"/>
    <x v="9"/>
    <n v="0"/>
    <n v="0"/>
    <n v="972.60799999999995"/>
    <n v="885.07327999999995"/>
    <n v="972.60799999999995"/>
    <n v="885.07327999999995"/>
    <n v="245"/>
    <s v="CATIVO"/>
    <n v="0"/>
    <n v="0"/>
    <n v="72"/>
    <n v="78"/>
    <n v="0"/>
    <n v="450.19"/>
    <n v="243.3"/>
    <m/>
    <n v="375.70304033862055"/>
    <n v="297.20166373463735"/>
    <n v="0"/>
    <n v="60704.452972799991"/>
    <n v="0"/>
    <n v="58902.52485773548"/>
    <x v="1"/>
  </r>
  <r>
    <s v="Refaturamento - Regular"/>
    <x v="4"/>
    <x v="3"/>
    <x v="1"/>
    <x v="1"/>
    <x v="1"/>
    <x v="0"/>
    <x v="1"/>
    <x v="9"/>
    <n v="0"/>
    <n v="0"/>
    <n v="13.105"/>
    <n v="11.925549999999999"/>
    <n v="13.105"/>
    <n v="11.925549999999999"/>
    <n v="0"/>
    <s v="CATIVO"/>
    <n v="0"/>
    <n v="0"/>
    <n v="72"/>
    <n v="78"/>
    <n v="0"/>
    <n v="450.19"/>
    <n v="243.3"/>
    <m/>
    <n v="375.70304033862055"/>
    <n v="297.20166373463735"/>
    <n v="0"/>
    <n v="817.93678050000074"/>
    <n v="0"/>
    <n v="793.65745321920474"/>
    <x v="1"/>
  </r>
  <r>
    <s v="Sistema Isolado - Regular"/>
    <x v="4"/>
    <x v="3"/>
    <x v="1"/>
    <x v="1"/>
    <x v="1"/>
    <x v="0"/>
    <x v="1"/>
    <x v="9"/>
    <n v="0"/>
    <n v="0"/>
    <n v="3053.116"/>
    <n v="2778.33556"/>
    <n v="3053.116"/>
    <n v="2778.33556"/>
    <n v="1327"/>
    <s v="CATIVO"/>
    <n v="0"/>
    <n v="0"/>
    <n v="72"/>
    <n v="78"/>
    <n v="0"/>
    <n v="450.19"/>
    <n v="243.3"/>
    <m/>
    <n v="375.70304033862055"/>
    <n v="297.20166373463735"/>
    <n v="0"/>
    <n v="190557.48733560002"/>
    <n v="0"/>
    <n v="184901.05066331959"/>
    <x v="1"/>
  </r>
  <r>
    <s v="Sistema Isolado - Refaturamento"/>
    <x v="4"/>
    <x v="3"/>
    <x v="1"/>
    <x v="1"/>
    <x v="1"/>
    <x v="0"/>
    <x v="1"/>
    <x v="9"/>
    <n v="0"/>
    <n v="0"/>
    <n v="22.221"/>
    <n v="20.221109999999999"/>
    <n v="22.221"/>
    <n v="20.221109999999999"/>
    <n v="0"/>
    <s v="CATIVO"/>
    <n v="0"/>
    <n v="0"/>
    <n v="72"/>
    <n v="78"/>
    <n v="0"/>
    <n v="450.19"/>
    <n v="243.3"/>
    <m/>
    <n v="375.70304033862055"/>
    <n v="297.20166373463735"/>
    <n v="0"/>
    <n v="1386.9037161000006"/>
    <n v="0"/>
    <n v="1345.735388629068"/>
    <x v="1"/>
  </r>
  <r>
    <s v="Regular"/>
    <x v="4"/>
    <x v="3"/>
    <x v="1"/>
    <x v="1"/>
    <x v="1"/>
    <x v="0"/>
    <x v="1"/>
    <x v="10"/>
    <n v="0"/>
    <n v="0"/>
    <n v="886.77099999999996"/>
    <n v="806.96160999999995"/>
    <n v="886.77099999999996"/>
    <n v="806.96160999999995"/>
    <n v="241"/>
    <s v="CATIVO"/>
    <n v="0"/>
    <n v="0"/>
    <n v="72"/>
    <n v="78"/>
    <n v="0"/>
    <n v="450.19"/>
    <n v="243.3"/>
    <m/>
    <n v="375.70304033862055"/>
    <n v="297.20166373463735"/>
    <n v="0"/>
    <n v="55347.013871100004"/>
    <n v="0"/>
    <n v="53704.113960217233"/>
    <x v="1"/>
  </r>
  <r>
    <s v="Refaturamento - Regular"/>
    <x v="4"/>
    <x v="3"/>
    <x v="1"/>
    <x v="1"/>
    <x v="1"/>
    <x v="0"/>
    <x v="1"/>
    <x v="10"/>
    <n v="0"/>
    <n v="0"/>
    <n v="-768.45"/>
    <n v="-699.28949999999998"/>
    <n v="-768.45"/>
    <n v="-699.28949999999998"/>
    <n v="0"/>
    <s v="CATIVO"/>
    <n v="0"/>
    <n v="0"/>
    <n v="72"/>
    <n v="78"/>
    <n v="0"/>
    <n v="450.19"/>
    <n v="243.3"/>
    <m/>
    <n v="375.70304033862055"/>
    <n v="297.20166373463735"/>
    <n v="0"/>
    <n v="-47962.115145000047"/>
    <n v="0"/>
    <n v="-46538.4257860586"/>
    <x v="1"/>
  </r>
  <r>
    <s v="Sistema Isolado - Regular"/>
    <x v="4"/>
    <x v="3"/>
    <x v="1"/>
    <x v="1"/>
    <x v="1"/>
    <x v="0"/>
    <x v="1"/>
    <x v="10"/>
    <n v="0"/>
    <n v="0"/>
    <n v="3230.107"/>
    <n v="2939.3973700000001"/>
    <n v="3230.107"/>
    <n v="2939.3973700000001"/>
    <n v="1331"/>
    <s v="CATIVO"/>
    <n v="0"/>
    <n v="0"/>
    <n v="72"/>
    <n v="78"/>
    <n v="0"/>
    <n v="450.19"/>
    <n v="243.3"/>
    <m/>
    <n v="375.70304033862055"/>
    <n v="297.20166373463735"/>
    <n v="0"/>
    <n v="201604.22130869987"/>
    <n v="0"/>
    <n v="195619.87754639616"/>
    <x v="1"/>
  </r>
  <r>
    <s v="Sistema Isolado - Refaturamento"/>
    <x v="4"/>
    <x v="3"/>
    <x v="1"/>
    <x v="1"/>
    <x v="1"/>
    <x v="0"/>
    <x v="1"/>
    <x v="10"/>
    <n v="0"/>
    <n v="0"/>
    <n v="30.367999999999999"/>
    <n v="27.634879999999999"/>
    <n v="30.367999999999999"/>
    <n v="27.634879999999999"/>
    <n v="0"/>
    <s v="CATIVO"/>
    <n v="0"/>
    <n v="0"/>
    <n v="72"/>
    <n v="78"/>
    <n v="0"/>
    <n v="450.19"/>
    <n v="243.3"/>
    <m/>
    <n v="375.70304033862055"/>
    <n v="297.20166373463735"/>
    <n v="0"/>
    <n v="1895.3913887999997"/>
    <n v="0"/>
    <n v="1839.1293047967024"/>
    <x v="1"/>
  </r>
  <r>
    <s v="PROJETADO"/>
    <x v="4"/>
    <x v="3"/>
    <x v="1"/>
    <x v="1"/>
    <x v="1"/>
    <x v="0"/>
    <x v="1"/>
    <x v="11"/>
    <n v="0"/>
    <n v="0"/>
    <n v="886.77099999999996"/>
    <n v="806.96160999999995"/>
    <n v="886.77099999999996"/>
    <n v="806.96160999999995"/>
    <n v="241"/>
    <s v="CATIVO"/>
    <n v="0"/>
    <n v="0"/>
    <n v="72"/>
    <n v="78"/>
    <n v="0"/>
    <n v="450.19"/>
    <n v="243.3"/>
    <m/>
    <n v="375.70304033862055"/>
    <n v="297.20166373463735"/>
    <n v="0"/>
    <n v="55347.013871100004"/>
    <n v="0"/>
    <n v="53704.113960217233"/>
    <x v="1"/>
  </r>
  <r>
    <s v="PROJETADO"/>
    <x v="4"/>
    <x v="3"/>
    <x v="1"/>
    <x v="1"/>
    <x v="1"/>
    <x v="0"/>
    <x v="1"/>
    <x v="11"/>
    <n v="0"/>
    <n v="0"/>
    <n v="-768.45"/>
    <n v="-699.28949999999998"/>
    <n v="-768.45"/>
    <n v="-699.28949999999998"/>
    <n v="0"/>
    <s v="CATIVO"/>
    <n v="0"/>
    <n v="0"/>
    <n v="72"/>
    <n v="78"/>
    <n v="0"/>
    <n v="450.19"/>
    <n v="243.3"/>
    <m/>
    <n v="375.70304033862055"/>
    <n v="297.20166373463735"/>
    <n v="0"/>
    <n v="-47962.115145000047"/>
    <n v="0"/>
    <n v="-46538.4257860586"/>
    <x v="1"/>
  </r>
  <r>
    <s v="PROJETADO"/>
    <x v="4"/>
    <x v="3"/>
    <x v="1"/>
    <x v="1"/>
    <x v="1"/>
    <x v="0"/>
    <x v="1"/>
    <x v="11"/>
    <n v="0"/>
    <n v="0"/>
    <n v="3230.107"/>
    <n v="2939.3973700000001"/>
    <n v="3230.107"/>
    <n v="2939.3973700000001"/>
    <n v="1331"/>
    <s v="CATIVO"/>
    <n v="0"/>
    <n v="0"/>
    <n v="72"/>
    <n v="78"/>
    <n v="0"/>
    <n v="450.19"/>
    <n v="243.3"/>
    <m/>
    <n v="375.70304033862055"/>
    <n v="297.20166373463735"/>
    <n v="0"/>
    <n v="201604.22130869987"/>
    <n v="0"/>
    <n v="195619.87754639616"/>
    <x v="1"/>
  </r>
  <r>
    <s v="PROJETADO"/>
    <x v="4"/>
    <x v="3"/>
    <x v="1"/>
    <x v="1"/>
    <x v="1"/>
    <x v="0"/>
    <x v="1"/>
    <x v="11"/>
    <n v="0"/>
    <n v="0"/>
    <n v="30.367999999999999"/>
    <n v="27.634879999999999"/>
    <n v="30.367999999999999"/>
    <n v="27.634879999999999"/>
    <n v="0"/>
    <s v="CATIVO"/>
    <n v="0"/>
    <n v="0"/>
    <n v="72"/>
    <n v="78"/>
    <n v="0"/>
    <n v="450.19"/>
    <n v="243.3"/>
    <m/>
    <n v="375.70304033862055"/>
    <n v="297.20166373463735"/>
    <n v="0"/>
    <n v="1895.3913887999997"/>
    <n v="0"/>
    <n v="1839.129304796702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90BDB-019C-41CF-9BB6-C03AE2198DD6}" name="Efeito Resumo" cacheId="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J1446" firstHeaderRow="0" firstDataRow="1" firstDataCol="1"/>
  <pivotFields count="36"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6">
        <item x="0"/>
        <item x="3"/>
        <item x="4"/>
        <item x="1"/>
        <item x="2"/>
        <item t="default"/>
      </items>
    </pivotField>
    <pivotField axis="axisRow" showAll="0">
      <items count="10">
        <item x="0"/>
        <item x="6"/>
        <item x="8"/>
        <item x="1"/>
        <item x="4"/>
        <item x="2"/>
        <item x="7"/>
        <item x="5"/>
        <item x="3"/>
        <item t="default"/>
      </items>
    </pivotField>
    <pivotField axis="axisRow" showAll="0">
      <items count="11">
        <item x="1"/>
        <item x="3"/>
        <item x="9"/>
        <item x="0"/>
        <item x="2"/>
        <item x="4"/>
        <item x="5"/>
        <item x="6"/>
        <item x="7"/>
        <item x="8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axis="axisRow" showAll="0">
      <items count="7">
        <item x="1"/>
        <item x="2"/>
        <item x="5"/>
        <item x="0"/>
        <item x="4"/>
        <item x="3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4">
        <item x="1"/>
        <item x="2"/>
        <item x="0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1445">
    <i>
      <x/>
    </i>
    <i r="1">
      <x/>
    </i>
    <i r="2">
      <x/>
    </i>
    <i r="3">
      <x v="3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6"/>
    </i>
    <i r="4">
      <x v="4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1"/>
    </i>
    <i r="6">
      <x v="3"/>
    </i>
    <i r="7">
      <x/>
    </i>
    <i r="8">
      <x v="8"/>
    </i>
    <i r="8">
      <x v="9"/>
    </i>
    <i r="8">
      <x v="10"/>
    </i>
    <i r="8">
      <x v="11"/>
    </i>
    <i r="7">
      <x v="3"/>
    </i>
    <i r="8">
      <x v="8"/>
    </i>
    <i r="8">
      <x v="9"/>
    </i>
    <i r="8">
      <x v="10"/>
    </i>
    <i r="8">
      <x v="11"/>
    </i>
    <i r="5">
      <x v="2"/>
    </i>
    <i r="6">
      <x v="3"/>
    </i>
    <i r="7">
      <x/>
    </i>
    <i r="8">
      <x v="8"/>
    </i>
    <i r="8">
      <x v="9"/>
    </i>
    <i r="8">
      <x v="10"/>
    </i>
    <i r="8">
      <x v="11"/>
    </i>
    <i r="5">
      <x v="3"/>
    </i>
    <i r="6">
      <x v="3"/>
    </i>
    <i r="7">
      <x v="2"/>
    </i>
    <i r="8">
      <x v="8"/>
    </i>
    <i r="8">
      <x v="9"/>
    </i>
    <i r="8">
      <x v="10"/>
    </i>
    <i r="8">
      <x v="11"/>
    </i>
    <i r="7">
      <x v="3"/>
    </i>
    <i r="8">
      <x v="9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6"/>
    </i>
    <i r="4">
      <x v="4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6"/>
    </i>
    <i r="4">
      <x v="4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7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 v="1"/>
    </i>
    <i r="8">
      <x v="2"/>
    </i>
    <i r="8">
      <x v="5"/>
    </i>
    <i r="2">
      <x v="2"/>
    </i>
    <i r="3">
      <x v="7"/>
    </i>
    <i r="4">
      <x v="1"/>
    </i>
    <i r="5">
      <x v="1"/>
    </i>
    <i r="6">
      <x v="3"/>
    </i>
    <i r="7">
      <x v="2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3"/>
    </i>
    <i r="7">
      <x v="2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9"/>
    </i>
    <i r="5">
      <x v="1"/>
    </i>
    <i r="6">
      <x v="3"/>
    </i>
    <i r="7">
      <x v="2"/>
    </i>
    <i r="8">
      <x v="5"/>
    </i>
    <i r="5">
      <x v="2"/>
    </i>
    <i r="6">
      <x v="3"/>
    </i>
    <i r="7">
      <x v="2"/>
    </i>
    <i r="8">
      <x v="5"/>
    </i>
    <i r="1">
      <x v="4"/>
    </i>
    <i r="2">
      <x v="1"/>
    </i>
    <i r="3">
      <x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3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5"/>
    </i>
    <i r="4">
      <x v="3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5"/>
    </i>
    <i r="2">
      <x v="2"/>
    </i>
    <i r="3">
      <x v="2"/>
    </i>
    <i r="4">
      <x v="2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/>
    </i>
    <i r="2">
      <x v="3"/>
    </i>
    <i r="3">
      <x v="4"/>
    </i>
    <i r="4">
      <x v="3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8"/>
    </i>
    <i r="4">
      <x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/>
    </i>
    <i r="4">
      <x v="3"/>
    </i>
    <i r="5">
      <x v="3"/>
    </i>
    <i r="6">
      <x v="3"/>
    </i>
    <i r="7">
      <x/>
    </i>
    <i r="8">
      <x v="5"/>
    </i>
    <i r="8">
      <x v="6"/>
    </i>
    <i r="8">
      <x v="8"/>
    </i>
    <i r="8">
      <x v="9"/>
    </i>
    <i r="8">
      <x v="10"/>
    </i>
    <i r="8">
      <x v="11"/>
    </i>
    <i r="7">
      <x v="2"/>
    </i>
    <i r="8">
      <x v="5"/>
    </i>
    <i r="8">
      <x v="6"/>
    </i>
    <i r="8">
      <x v="8"/>
    </i>
    <i r="8">
      <x v="9"/>
    </i>
    <i r="8">
      <x v="10"/>
    </i>
    <i r="8">
      <x v="11"/>
    </i>
    <i r="7">
      <x v="3"/>
    </i>
    <i r="8">
      <x v="5"/>
    </i>
    <i r="8">
      <x v="6"/>
    </i>
    <i r="8">
      <x v="8"/>
    </i>
    <i r="8">
      <x v="9"/>
    </i>
    <i r="8">
      <x v="10"/>
    </i>
    <i r="8">
      <x v="11"/>
    </i>
    <i r="3">
      <x v="3"/>
    </i>
    <i r="4">
      <x v="3"/>
    </i>
    <i r="5">
      <x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3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3"/>
    </i>
    <i r="6">
      <x v="3"/>
    </i>
    <i r="7">
      <x/>
    </i>
    <i r="8">
      <x v="6"/>
    </i>
    <i r="8">
      <x v="8"/>
    </i>
    <i r="8">
      <x v="9"/>
    </i>
    <i r="8">
      <x v="10"/>
    </i>
    <i r="8">
      <x v="11"/>
    </i>
    <i r="7">
      <x v="2"/>
    </i>
    <i r="8">
      <x v="6"/>
    </i>
    <i r="8">
      <x v="8"/>
    </i>
    <i r="8">
      <x v="9"/>
    </i>
    <i r="8">
      <x v="10"/>
    </i>
    <i r="8">
      <x v="11"/>
    </i>
    <i r="7">
      <x v="3"/>
    </i>
    <i r="8">
      <x v="6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6"/>
    <dataField name="Soma de Variação TE" fld="34" baseField="0" baseItem="0" numFmtId="166"/>
    <dataField name="Soma de Variação" fld="35" baseField="0" baseItem="0" numFmtId="166"/>
  </dataFields>
  <formats count="634">
    <format dxfId="985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98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983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982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981">
      <pivotArea type="all" dataOnly="0" outline="0" fieldPosition="0"/>
    </format>
    <format dxfId="980">
      <pivotArea outline="0" collapsedLevelsAreSubtotals="1" fieldPosition="0"/>
    </format>
    <format dxfId="979">
      <pivotArea field="16" type="button" dataOnly="0" labelOnly="1" outline="0" axis="axisRow" fieldPosition="0"/>
    </format>
    <format dxfId="978">
      <pivotArea dataOnly="0" labelOnly="1" fieldPosition="0">
        <references count="1">
          <reference field="16" count="0"/>
        </references>
      </pivotArea>
    </format>
    <format dxfId="977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976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975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2"/>
          </reference>
        </references>
      </pivotArea>
    </format>
    <format dxfId="974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97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972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71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70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969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968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967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2"/>
          </reference>
        </references>
      </pivotArea>
    </format>
    <format dxfId="966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2"/>
          </reference>
        </references>
      </pivotArea>
    </format>
    <format dxfId="965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2">
            <x v="3"/>
            <x v="5"/>
          </reference>
          <reference field="16" count="1" selected="0">
            <x v="0"/>
          </reference>
        </references>
      </pivotArea>
    </format>
    <format dxfId="964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5">
            <x v="0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963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7">
            <x v="0"/>
            <x v="1"/>
            <x v="3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962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961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960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959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958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3">
            <x v="0"/>
            <x v="3"/>
            <x v="5"/>
          </reference>
          <reference field="16" count="1" selected="0">
            <x v="0"/>
          </reference>
        </references>
      </pivotArea>
    </format>
    <format dxfId="957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956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955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954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3">
            <x v="0"/>
            <x v="3"/>
            <x v="8"/>
          </reference>
          <reference field="16" count="1" selected="0">
            <x v="2"/>
          </reference>
        </references>
      </pivotArea>
    </format>
    <format dxfId="953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2">
            <x v="0"/>
            <x v="3"/>
          </reference>
          <reference field="16" count="1" selected="0">
            <x v="2"/>
          </reference>
        </references>
      </pivotArea>
    </format>
    <format dxfId="952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2">
            <x v="0"/>
            <x v="3"/>
          </reference>
          <reference field="16" count="1" selected="0">
            <x v="2"/>
          </reference>
        </references>
      </pivotArea>
    </format>
    <format dxfId="95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5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49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4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4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4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45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944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43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4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41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4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39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2">
            <x v="1"/>
            <x v="3"/>
          </reference>
          <reference field="16" count="1" selected="0">
            <x v="0"/>
          </reference>
        </references>
      </pivotArea>
    </format>
    <format dxfId="93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937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936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935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34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3">
            <x v="1"/>
            <x v="3"/>
            <x v="9"/>
          </reference>
          <reference field="16" count="1" selected="0">
            <x v="0"/>
          </reference>
        </references>
      </pivotArea>
    </format>
    <format dxfId="933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32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31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30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29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2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2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92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925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92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923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92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92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2"/>
          </reference>
        </references>
      </pivotArea>
    </format>
    <format dxfId="920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919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91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917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91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1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14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13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12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1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10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09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08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07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06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05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04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3">
            <x v="1"/>
            <x v="2"/>
            <x v="3"/>
          </reference>
          <reference field="16" count="1" selected="0">
            <x v="0"/>
          </reference>
        </references>
      </pivotArea>
    </format>
    <format dxfId="90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0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0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90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89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891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90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9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8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6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5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4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3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88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88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88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2">
            <x v="0"/>
            <x v="3"/>
          </reference>
          <reference field="16" count="1" selected="0">
            <x v="2"/>
          </reference>
        </references>
      </pivotArea>
    </format>
    <format dxfId="87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87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87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2">
            <x v="0"/>
            <x v="3"/>
          </reference>
          <reference field="16" count="1" selected="0">
            <x v="2"/>
          </reference>
        </references>
      </pivotArea>
    </format>
    <format dxfId="876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875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2">
            <x v="0"/>
            <x v="3"/>
          </reference>
          <reference field="16" count="1" selected="0">
            <x v="2"/>
          </reference>
        </references>
      </pivotArea>
    </format>
    <format dxfId="87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7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7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7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7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8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6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1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6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8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5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4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4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4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1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4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2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45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44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43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42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41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4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3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38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37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83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5">
            <x v="0"/>
            <x v="1"/>
            <x v="2"/>
            <x v="4"/>
            <x v="5"/>
          </reference>
          <reference field="16" count="1" selected="0">
            <x v="1"/>
          </reference>
        </references>
      </pivotArea>
    </format>
    <format dxfId="835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83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83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83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83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83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82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828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82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826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82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2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2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2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2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2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1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1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1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16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1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1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1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81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81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2"/>
            <x v="3"/>
          </reference>
          <reference field="16" count="1" selected="0">
            <x v="0"/>
          </reference>
        </references>
      </pivotArea>
    </format>
    <format dxfId="81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0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80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80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0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0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0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0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0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1"/>
          </reference>
          <reference field="16" count="1" selected="0">
            <x v="0"/>
          </reference>
        </references>
      </pivotArea>
    </format>
    <format dxfId="80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80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9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9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1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9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96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95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94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79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9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9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9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8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88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78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78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78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78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78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782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78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78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77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77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77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77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77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77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77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77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7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7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6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6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6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6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6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6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6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6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6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6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5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5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5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5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5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5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5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5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5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5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4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4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4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4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4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4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4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74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3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74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74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73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1">
            <x v="9"/>
          </reference>
          <reference field="16" count="1" selected="0">
            <x v="0"/>
          </reference>
        </references>
      </pivotArea>
    </format>
    <format dxfId="73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3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3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3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3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3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3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3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73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2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2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2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2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2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2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2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3">
            <x v="1"/>
            <x v="2"/>
            <x v="5"/>
          </reference>
          <reference field="16" count="1" selected="0">
            <x v="0"/>
          </reference>
        </references>
      </pivotArea>
    </format>
    <format dxfId="72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2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72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2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72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1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2"/>
          </reference>
          <reference field="8" count="1">
            <x v="5"/>
          </reference>
          <reference field="16" count="1" selected="0">
            <x v="0"/>
          </reference>
        </references>
      </pivotArea>
    </format>
    <format dxfId="71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2"/>
          </reference>
          <reference field="8" count="1">
            <x v="5"/>
          </reference>
          <reference field="16" count="1" selected="0">
            <x v="0"/>
          </reference>
        </references>
      </pivotArea>
    </format>
    <format dxfId="71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1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715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1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1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71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1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71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70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708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0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06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05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04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03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70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70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70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9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9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69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9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9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69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9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9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69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9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8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68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8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8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68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6">
            <x v="5"/>
            <x v="6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68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6">
            <x v="5"/>
            <x v="6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68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6">
            <x v="5"/>
            <x v="6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68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8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8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67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7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7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67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7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7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67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67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67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67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5">
            <x v="6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66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5">
            <x v="6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66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5">
            <x v="6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667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666">
      <pivotArea type="all" dataOnly="0" outline="0" fieldPosition="0"/>
    </format>
    <format dxfId="665">
      <pivotArea outline="0" collapsedLevelsAreSubtotals="1" fieldPosition="0"/>
    </format>
    <format dxfId="664">
      <pivotArea field="16" type="button" dataOnly="0" labelOnly="1" outline="0" axis="axisRow" fieldPosition="0"/>
    </format>
    <format dxfId="663">
      <pivotArea dataOnly="0" labelOnly="1" fieldPosition="0">
        <references count="1">
          <reference field="16" count="0"/>
        </references>
      </pivotArea>
    </format>
    <format dxfId="662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661">
      <pivotArea dataOnly="0" labelOnly="1" fieldPosition="0">
        <references count="2">
          <reference field="1" count="1">
            <x v="0"/>
          </reference>
          <reference field="16" count="1" selected="0">
            <x v="1"/>
          </reference>
        </references>
      </pivotArea>
    </format>
    <format dxfId="660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2"/>
          </reference>
        </references>
      </pivotArea>
    </format>
    <format dxfId="659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658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0"/>
          </reference>
        </references>
      </pivotArea>
    </format>
    <format dxfId="657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656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655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654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653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652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2"/>
          </reference>
        </references>
      </pivotArea>
    </format>
    <format dxfId="651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16" count="1" selected="0">
            <x v="2"/>
          </reference>
        </references>
      </pivotArea>
    </format>
    <format dxfId="650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2">
            <x v="3"/>
            <x v="5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5">
            <x v="0"/>
            <x v="3"/>
            <x v="5"/>
            <x v="7"/>
            <x v="8"/>
          </reference>
          <reference field="16" count="1" selected="0">
            <x v="0"/>
          </reference>
        </references>
      </pivotArea>
    </format>
    <format dxfId="648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7">
            <x v="0"/>
            <x v="1"/>
            <x v="3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647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646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64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644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643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3">
            <x v="0"/>
            <x v="3"/>
            <x v="5"/>
          </reference>
          <reference field="16" count="1" selected="0">
            <x v="0"/>
          </reference>
        </references>
      </pivotArea>
    </format>
    <format dxfId="642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641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640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63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3">
            <x v="0"/>
            <x v="3"/>
            <x v="8"/>
          </reference>
          <reference field="16" count="1" selected="0">
            <x v="2"/>
          </reference>
        </references>
      </pivotArea>
    </format>
    <format dxfId="638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2">
            <x v="0"/>
            <x v="3"/>
          </reference>
          <reference field="16" count="1" selected="0">
            <x v="2"/>
          </reference>
        </references>
      </pivotArea>
    </format>
    <format dxfId="637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2">
            <x v="0"/>
            <x v="3"/>
          </reference>
          <reference field="16" count="1" selected="0">
            <x v="2"/>
          </reference>
        </references>
      </pivotArea>
    </format>
    <format dxfId="63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3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34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3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3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3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30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629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2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27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26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25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24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2">
            <x v="1"/>
            <x v="3"/>
          </reference>
          <reference field="16" count="1" selected="0">
            <x v="0"/>
          </reference>
        </references>
      </pivotArea>
    </format>
    <format dxfId="623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622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621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620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19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3">
            <x v="1"/>
            <x v="3"/>
            <x v="9"/>
          </reference>
          <reference field="16" count="1" selected="0">
            <x v="0"/>
          </reference>
        </references>
      </pivotArea>
    </format>
    <format dxfId="618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17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16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15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14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13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12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611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0"/>
          </reference>
        </references>
      </pivotArea>
    </format>
    <format dxfId="610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60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60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60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60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0"/>
          </reference>
          <reference field="16" count="1" selected="0">
            <x v="2"/>
          </reference>
        </references>
      </pivotArea>
    </format>
    <format dxfId="605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604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603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60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60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60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5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4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1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90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89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3">
            <x v="1"/>
            <x v="2"/>
            <x v="3"/>
          </reference>
          <reference field="16" count="1" selected="0">
            <x v="0"/>
          </reference>
        </references>
      </pivotArea>
    </format>
    <format dxfId="588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87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8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8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8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8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8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8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8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7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57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77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2">
            <x v="1"/>
            <x v="2"/>
          </reference>
          <reference field="16" count="1" selected="0">
            <x v="0"/>
          </reference>
        </references>
      </pivotArea>
    </format>
    <format dxfId="576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75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74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73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7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71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7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8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3"/>
          </reference>
          <reference field="16" count="1" selected="0">
            <x v="0"/>
          </reference>
        </references>
      </pivotArea>
    </format>
    <format dxfId="56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1"/>
          </reference>
        </references>
      </pivotArea>
    </format>
    <format dxfId="56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56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2">
            <x v="0"/>
            <x v="3"/>
          </reference>
          <reference field="16" count="1" selected="0">
            <x v="2"/>
          </reference>
        </references>
      </pivotArea>
    </format>
    <format dxfId="564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563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562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2">
            <x v="0"/>
            <x v="3"/>
          </reference>
          <reference field="16" count="1" selected="0">
            <x v="2"/>
          </reference>
        </references>
      </pivotArea>
    </format>
    <format dxfId="561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3"/>
          </reference>
          <reference field="16" count="1" selected="0">
            <x v="2"/>
          </reference>
        </references>
      </pivotArea>
    </format>
    <format dxfId="560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2">
            <x v="0"/>
            <x v="3"/>
          </reference>
          <reference field="16" count="1" selected="0">
            <x v="2"/>
          </reference>
        </references>
      </pivotArea>
    </format>
    <format dxfId="55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5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57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5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5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5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5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5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51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5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4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48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4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46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4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4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4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4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4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4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3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3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3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36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3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3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3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3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1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3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2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30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29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2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2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2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2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2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2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22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0"/>
          </reference>
        </references>
      </pivotArea>
    </format>
    <format dxfId="52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5">
            <x v="0"/>
            <x v="1"/>
            <x v="2"/>
            <x v="4"/>
            <x v="5"/>
          </reference>
          <reference field="16" count="1" selected="0">
            <x v="1"/>
          </reference>
        </references>
      </pivotArea>
    </format>
    <format dxfId="52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51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51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51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51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515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51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51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51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511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51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0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0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0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0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05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04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50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0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0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50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9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9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49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496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2"/>
            <x v="3"/>
          </reference>
          <reference field="16" count="1" selected="0">
            <x v="0"/>
          </reference>
        </references>
      </pivotArea>
    </format>
    <format dxfId="49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9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493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9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9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9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8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8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8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1"/>
          </reference>
          <reference field="16" count="1" selected="0">
            <x v="0"/>
          </reference>
        </references>
      </pivotArea>
    </format>
    <format dxfId="48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8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8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8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1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8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81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80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79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478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77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76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75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7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73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47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47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47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46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46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2"/>
          </reference>
          <reference field="16" count="1" selected="0">
            <x v="1"/>
          </reference>
        </references>
      </pivotArea>
    </format>
    <format dxfId="46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6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6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6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63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6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6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6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5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5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16" count="1" selected="0">
            <x v="2"/>
          </reference>
        </references>
      </pivotArea>
    </format>
    <format dxfId="45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5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5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5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5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5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5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5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4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4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4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4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4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4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4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4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4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4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3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3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3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3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3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3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3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3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2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2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3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2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2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4"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2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1">
            <x v="9"/>
          </reference>
          <reference field="16" count="1" selected="0">
            <x v="0"/>
          </reference>
        </references>
      </pivotArea>
    </format>
    <format dxfId="42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2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2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2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1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1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1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41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1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0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3">
            <x v="1"/>
            <x v="2"/>
            <x v="5"/>
          </reference>
          <reference field="16" count="1" selected="0">
            <x v="0"/>
          </reference>
        </references>
      </pivotArea>
    </format>
    <format dxfId="40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2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0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2"/>
          </reference>
          <reference field="8" count="6"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40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40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2"/>
          </reference>
          <reference field="8" count="1">
            <x v="5"/>
          </reference>
          <reference field="16" count="1" selected="0">
            <x v="0"/>
          </reference>
        </references>
      </pivotArea>
    </format>
    <format dxfId="40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9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2"/>
          </reference>
          <reference field="8" count="1">
            <x v="5"/>
          </reference>
          <reference field="16" count="1" selected="0">
            <x v="0"/>
          </reference>
        </references>
      </pivotArea>
    </format>
    <format dxfId="40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40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40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9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9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9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395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39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39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1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90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9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8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38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38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38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38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38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38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8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8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37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7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7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37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7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7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37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7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7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37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6">
            <x v="5"/>
            <x v="6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36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6">
            <x v="5"/>
            <x v="6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36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6">
            <x v="5"/>
            <x v="6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36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6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6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36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6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6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36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6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5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35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16" count="1" selected="0">
            <x v="2"/>
          </reference>
        </references>
      </pivotArea>
    </format>
    <format dxfId="35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35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16" count="1" selected="0">
            <x v="2"/>
          </reference>
        </references>
      </pivotArea>
    </format>
    <format dxfId="35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5">
            <x v="6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35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5">
            <x v="6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35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5">
            <x v="6"/>
            <x v="8"/>
            <x v="9"/>
            <x v="10"/>
            <x v="11"/>
          </reference>
          <reference field="16" count="1" selected="0">
            <x v="2"/>
          </reference>
        </references>
      </pivotArea>
    </format>
    <format dxfId="352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155AE-439B-4949-A20B-84B7101B4547}" name="Subsidio Resumo" cacheId="1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G615" firstHeaderRow="0" firstDataRow="1" firstDataCol="1"/>
  <pivotFields count="34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6">
        <item x="0"/>
        <item x="4"/>
        <item x="3"/>
        <item x="1"/>
        <item x="2"/>
        <item t="default"/>
      </items>
    </pivotField>
    <pivotField axis="axisRow" showAll="0">
      <items count="6">
        <item x="0"/>
        <item x="2"/>
        <item x="4"/>
        <item x="3"/>
        <item x="1"/>
        <item t="default"/>
      </items>
    </pivotField>
    <pivotField axis="axisRow" showAll="0">
      <items count="10">
        <item x="1"/>
        <item x="2"/>
        <item x="0"/>
        <item x="3"/>
        <item x="4"/>
        <item x="5"/>
        <item x="6"/>
        <item x="7"/>
        <item x="8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7">
        <item x="1"/>
        <item x="2"/>
        <item x="5"/>
        <item x="0"/>
        <item x="4"/>
        <item x="3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1"/>
        <item x="5"/>
        <item x="0"/>
        <item x="2"/>
        <item x="6"/>
        <item x="3"/>
        <item x="4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614">
    <i>
      <x/>
    </i>
    <i r="1">
      <x/>
    </i>
    <i r="2">
      <x/>
    </i>
    <i r="3">
      <x v="4"/>
    </i>
    <i r="4">
      <x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 v="4"/>
    </i>
    <i r="4">
      <x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4"/>
    </i>
    <i r="4">
      <x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2"/>
    </i>
    <i r="3">
      <x v="4"/>
    </i>
    <i r="4">
      <x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2"/>
    </i>
    <i r="2">
      <x v="2"/>
    </i>
    <i r="3">
      <x v="2"/>
    </i>
    <i r="4">
      <x v="4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/>
    </i>
    <i r="4">
      <x v="2"/>
    </i>
    <i r="5">
      <x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/>
    </i>
    <i r="4">
      <x v="2"/>
    </i>
    <i r="5">
      <x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2"/>
    </i>
    <i r="5">
      <x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3"/>
    </i>
    <i r="3">
      <x v="1"/>
    </i>
    <i r="4">
      <x v="2"/>
    </i>
    <i r="5">
      <x v="3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3"/>
    </i>
    <i r="2">
      <x v="2"/>
    </i>
    <i r="3">
      <x v="3"/>
    </i>
    <i r="4">
      <x v="1"/>
    </i>
    <i r="5">
      <x v="2"/>
    </i>
    <i r="6">
      <x v="3"/>
    </i>
    <i r="7">
      <x v="2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2"/>
    </i>
    <i r="6">
      <x v="3"/>
    </i>
    <i r="7">
      <x v="2"/>
    </i>
    <i r="8">
      <x v="5"/>
    </i>
    <i>
      <x v="5"/>
    </i>
    <i r="1">
      <x v="1"/>
    </i>
    <i r="2">
      <x/>
    </i>
    <i r="3">
      <x v="3"/>
    </i>
    <i r="4">
      <x v="2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3"/>
    </i>
    <i r="4">
      <x v="1"/>
    </i>
    <i r="5">
      <x v="1"/>
    </i>
    <i r="6">
      <x v="3"/>
    </i>
    <i r="7">
      <x/>
    </i>
    <i r="8">
      <x v="8"/>
    </i>
    <i r="8">
      <x v="9"/>
    </i>
    <i r="8">
      <x v="10"/>
    </i>
    <i r="8">
      <x v="11"/>
    </i>
    <i r="7">
      <x v="3"/>
    </i>
    <i r="8">
      <x v="8"/>
    </i>
    <i r="8">
      <x v="9"/>
    </i>
    <i r="8">
      <x v="10"/>
    </i>
    <i r="8">
      <x v="11"/>
    </i>
    <i r="5">
      <x v="2"/>
    </i>
    <i r="6">
      <x v="3"/>
    </i>
    <i r="7">
      <x/>
    </i>
    <i r="8">
      <x v="8"/>
    </i>
    <i r="8">
      <x v="9"/>
    </i>
    <i r="8">
      <x v="10"/>
    </i>
    <i r="8">
      <x v="11"/>
    </i>
    <i r="5">
      <x v="3"/>
    </i>
    <i r="6">
      <x v="3"/>
    </i>
    <i r="7">
      <x v="2"/>
    </i>
    <i r="8">
      <x v="8"/>
    </i>
    <i r="8">
      <x v="9"/>
    </i>
    <i r="8">
      <x v="10"/>
    </i>
    <i r="8">
      <x v="11"/>
    </i>
    <i r="7">
      <x v="3"/>
    </i>
    <i r="8">
      <x v="9"/>
    </i>
    <i r="4">
      <x v="2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3"/>
    </i>
    <i r="4">
      <x v="2"/>
    </i>
    <i r="5">
      <x v="3"/>
    </i>
    <i r="6">
      <x v="3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 v="1"/>
    </i>
    <i r="8">
      <x v="2"/>
    </i>
    <i r="8">
      <x v="5"/>
    </i>
    <i r="2">
      <x v="2"/>
    </i>
    <i r="3">
      <x v="3"/>
    </i>
    <i r="4">
      <x v="1"/>
    </i>
    <i r="5">
      <x v="1"/>
    </i>
    <i r="6">
      <x v="3"/>
    </i>
    <i r="7">
      <x v="2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 v="3"/>
    </i>
    <i r="7">
      <x v="2"/>
    </i>
    <i r="8">
      <x v="7"/>
    </i>
    <i r="4">
      <x v="2"/>
    </i>
    <i r="5">
      <x v="3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1"/>
    </i>
    <i r="6">
      <x v="3"/>
    </i>
    <i r="7">
      <x v="2"/>
    </i>
    <i r="8">
      <x v="5"/>
    </i>
    <i>
      <x v="6"/>
    </i>
    <i r="1">
      <x v="2"/>
    </i>
    <i r="2">
      <x v="2"/>
    </i>
    <i r="3">
      <x v="2"/>
    </i>
    <i r="4">
      <x v="3"/>
    </i>
    <i r="5">
      <x v="3"/>
    </i>
    <i r="6">
      <x v="3"/>
    </i>
    <i r="7">
      <x v="2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352">
    <format dxfId="351">
      <pivotArea outline="0" collapsedLevelsAreSubtotals="1" fieldPosition="0"/>
    </format>
    <format dxfId="35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49">
      <pivotArea type="all" dataOnly="0" outline="0" fieldPosition="0"/>
    </format>
    <format dxfId="348">
      <pivotArea outline="0" collapsedLevelsAreSubtotals="1" fieldPosition="0"/>
    </format>
    <format dxfId="347">
      <pivotArea field="31" type="button" dataOnly="0" labelOnly="1" outline="0" axis="axisRow" fieldPosition="0"/>
    </format>
    <format dxfId="346">
      <pivotArea dataOnly="0" labelOnly="1" fieldPosition="0">
        <references count="1">
          <reference field="31" count="0"/>
        </references>
      </pivotArea>
    </format>
    <format dxfId="345">
      <pivotArea dataOnly="0" labelOnly="1" fieldPosition="0">
        <references count="2">
          <reference field="1" count="3">
            <x v="0"/>
            <x v="1"/>
            <x v="4"/>
          </reference>
          <reference field="31" count="1" selected="0">
            <x v="0"/>
          </reference>
        </references>
      </pivotArea>
    </format>
    <format dxfId="344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343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2"/>
          </reference>
        </references>
      </pivotArea>
    </format>
    <format dxfId="342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341">
      <pivotArea dataOnly="0" labelOnly="1" fieldPosition="0">
        <references count="2">
          <reference field="1" count="1">
            <x v="3"/>
          </reference>
          <reference field="31" count="1" selected="0">
            <x v="4"/>
          </reference>
        </references>
      </pivotArea>
    </format>
    <format dxfId="340">
      <pivotArea dataOnly="0" labelOnly="1" fieldPosition="0">
        <references count="2">
          <reference field="1" count="2">
            <x v="1"/>
            <x v="3"/>
          </reference>
          <reference field="31" count="1" selected="0">
            <x v="5"/>
          </reference>
        </references>
      </pivotArea>
    </format>
    <format dxfId="339">
      <pivotArea dataOnly="0" labelOnly="1" fieldPosition="0">
        <references count="2">
          <reference field="1" count="1">
            <x v="2"/>
          </reference>
          <reference field="31" count="1" selected="0">
            <x v="6"/>
          </reference>
        </references>
      </pivotArea>
    </format>
    <format dxfId="338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337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0"/>
          </reference>
        </references>
      </pivotArea>
    </format>
    <format dxfId="336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335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334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2"/>
          </reference>
        </references>
      </pivotArea>
    </format>
    <format dxfId="33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332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331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330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5"/>
          </reference>
        </references>
      </pivotArea>
    </format>
    <format dxfId="329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31" count="1" selected="0">
            <x v="5"/>
          </reference>
        </references>
      </pivotArea>
    </format>
    <format dxfId="328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6"/>
          </reference>
        </references>
      </pivotArea>
    </format>
    <format dxfId="32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26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25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24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23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322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21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20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319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318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317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16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1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14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313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31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31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31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309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308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30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0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05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30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30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2">
            <x v="1"/>
            <x v="8"/>
          </reference>
          <reference field="31" count="1" selected="0">
            <x v="4"/>
          </reference>
        </references>
      </pivotArea>
    </format>
    <format dxfId="302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301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2">
            <x v="1"/>
            <x v="2"/>
          </reference>
          <reference field="31" count="1" selected="0">
            <x v="5"/>
          </reference>
        </references>
      </pivotArea>
    </format>
    <format dxfId="300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299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3">
            <x v="1"/>
            <x v="2"/>
            <x v="8"/>
          </reference>
          <reference field="31" count="1" selected="0">
            <x v="5"/>
          </reference>
        </references>
      </pivotArea>
    </format>
    <format dxfId="298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29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9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95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94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29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9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9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9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28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8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87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28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28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8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283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8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3">
            <x v="1"/>
            <x v="2"/>
            <x v="3"/>
          </reference>
          <reference field="31" count="1" selected="0">
            <x v="5"/>
          </reference>
        </references>
      </pivotArea>
    </format>
    <format dxfId="281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8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7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2">
            <x v="1"/>
            <x v="2"/>
          </reference>
          <reference field="31" count="1" selected="0">
            <x v="5"/>
          </reference>
        </references>
      </pivotArea>
    </format>
    <format dxfId="27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277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27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275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0"/>
          </reference>
        </references>
      </pivotArea>
    </format>
    <format dxfId="27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0"/>
          </reference>
        </references>
      </pivotArea>
    </format>
    <format dxfId="27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0"/>
          </reference>
        </references>
      </pivotArea>
    </format>
    <format dxfId="272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0"/>
          </reference>
        </references>
      </pivotArea>
    </format>
    <format dxfId="27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1"/>
          </reference>
        </references>
      </pivotArea>
    </format>
    <format dxfId="27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1"/>
          </reference>
        </references>
      </pivotArea>
    </format>
    <format dxfId="26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1"/>
          </reference>
        </references>
      </pivotArea>
    </format>
    <format dxfId="26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1"/>
          </reference>
        </references>
      </pivotArea>
    </format>
    <format dxfId="26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3"/>
          </reference>
          <reference field="31" count="1" selected="0">
            <x v="2"/>
          </reference>
        </references>
      </pivotArea>
    </format>
    <format dxfId="26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3"/>
          </reference>
          <reference field="31" count="1" selected="0">
            <x v="2"/>
          </reference>
        </references>
      </pivotArea>
    </format>
    <format dxfId="26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3"/>
          </reference>
          <reference field="31" count="1" selected="0">
            <x v="2"/>
          </reference>
        </references>
      </pivotArea>
    </format>
    <format dxfId="26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5">
            <x v="0"/>
            <x v="1"/>
            <x v="2"/>
            <x v="4"/>
            <x v="5"/>
          </reference>
          <reference field="31" count="1" selected="0">
            <x v="3"/>
          </reference>
        </references>
      </pivotArea>
    </format>
    <format dxfId="26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>
            <x v="3"/>
          </reference>
          <reference field="31" count="1" selected="0">
            <x v="4"/>
          </reference>
        </references>
      </pivotArea>
    </format>
    <format dxfId="26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2"/>
          </reference>
          <reference field="6" count="1">
            <x v="3"/>
          </reference>
          <reference field="31" count="1" selected="0">
            <x v="4"/>
          </reference>
        </references>
      </pivotArea>
    </format>
    <format dxfId="26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26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259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258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25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256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25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25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25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25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1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25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6"/>
          </reference>
        </references>
      </pivotArea>
    </format>
    <format dxfId="25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24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24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247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24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4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4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4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42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4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4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3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3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23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232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31" count="1" selected="0">
            <x v="5"/>
          </reference>
        </references>
      </pivotArea>
    </format>
    <format dxfId="23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2">
            <x v="0"/>
            <x v="3"/>
          </reference>
          <reference field="31" count="1" selected="0">
            <x v="5"/>
          </reference>
        </references>
      </pivotArea>
    </format>
    <format dxfId="23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0"/>
          </reference>
          <reference field="31" count="1" selected="0">
            <x v="5"/>
          </reference>
        </references>
      </pivotArea>
    </format>
    <format dxfId="22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2"/>
            <x v="3"/>
          </reference>
          <reference field="31" count="1" selected="0">
            <x v="5"/>
          </reference>
        </references>
      </pivotArea>
    </format>
    <format dxfId="22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227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1"/>
          </reference>
          <reference field="31" count="1" selected="0">
            <x v="5"/>
          </reference>
        </references>
      </pivotArea>
    </format>
    <format dxfId="22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22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22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22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1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22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22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2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1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21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1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21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1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1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213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1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1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1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0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20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0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0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20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0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0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20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0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0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9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9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9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9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9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9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2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4"/>
          </reference>
        </references>
      </pivotArea>
    </format>
    <format dxfId="19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2"/>
          </reference>
          <reference field="8" count="1">
            <x v="5"/>
          </reference>
          <reference field="31" count="1" selected="0">
            <x v="4"/>
          </reference>
        </references>
      </pivotArea>
    </format>
    <format dxfId="19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9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9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8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3"/>
          </reference>
          <reference field="8" count="4"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8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8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4"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8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1">
            <x v="9"/>
          </reference>
          <reference field="31" count="1" selected="0">
            <x v="5"/>
          </reference>
        </references>
      </pivotArea>
    </format>
    <format dxfId="18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8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8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82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81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3">
            <x v="1"/>
            <x v="2"/>
            <x v="5"/>
          </reference>
          <reference field="31" count="1" selected="0">
            <x v="5"/>
          </reference>
        </references>
      </pivotArea>
    </format>
    <format dxfId="18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2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7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2"/>
          </reference>
          <reference field="8" count="1">
            <x v="7"/>
          </reference>
          <reference field="31" count="1" selected="0">
            <x v="5"/>
          </reference>
        </references>
      </pivotArea>
    </format>
    <format dxfId="17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7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2"/>
          </reference>
          <reference field="8" count="1">
            <x v="5"/>
          </reference>
          <reference field="31" count="1" selected="0">
            <x v="5"/>
          </reference>
        </references>
      </pivotArea>
    </format>
    <format dxfId="17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175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74">
      <pivotArea type="all" dataOnly="0" outline="0" fieldPosition="0"/>
    </format>
    <format dxfId="173">
      <pivotArea outline="0" collapsedLevelsAreSubtotals="1" fieldPosition="0"/>
    </format>
    <format dxfId="172">
      <pivotArea field="31" type="button" dataOnly="0" labelOnly="1" outline="0" axis="axisRow" fieldPosition="0"/>
    </format>
    <format dxfId="171">
      <pivotArea dataOnly="0" labelOnly="1" fieldPosition="0">
        <references count="1">
          <reference field="31" count="0"/>
        </references>
      </pivotArea>
    </format>
    <format dxfId="170">
      <pivotArea dataOnly="0" labelOnly="1" fieldPosition="0">
        <references count="2">
          <reference field="1" count="3">
            <x v="0"/>
            <x v="1"/>
            <x v="4"/>
          </reference>
          <reference field="31" count="1" selected="0">
            <x v="0"/>
          </reference>
        </references>
      </pivotArea>
    </format>
    <format dxfId="169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168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2"/>
          </reference>
        </references>
      </pivotArea>
    </format>
    <format dxfId="167">
      <pivotArea dataOnly="0" labelOnly="1" fieldPosition="0">
        <references count="2">
          <reference field="1" count="1">
            <x v="0"/>
          </reference>
          <reference field="31" count="1" selected="0">
            <x v="3"/>
          </reference>
        </references>
      </pivotArea>
    </format>
    <format dxfId="166">
      <pivotArea dataOnly="0" labelOnly="1" fieldPosition="0">
        <references count="2">
          <reference field="1" count="1">
            <x v="3"/>
          </reference>
          <reference field="31" count="1" selected="0">
            <x v="4"/>
          </reference>
        </references>
      </pivotArea>
    </format>
    <format dxfId="165">
      <pivotArea dataOnly="0" labelOnly="1" fieldPosition="0">
        <references count="2">
          <reference field="1" count="2">
            <x v="1"/>
            <x v="3"/>
          </reference>
          <reference field="31" count="1" selected="0">
            <x v="5"/>
          </reference>
        </references>
      </pivotArea>
    </format>
    <format dxfId="164">
      <pivotArea dataOnly="0" labelOnly="1" fieldPosition="0">
        <references count="2">
          <reference field="1" count="1">
            <x v="2"/>
          </reference>
          <reference field="31" count="1" selected="0">
            <x v="6"/>
          </reference>
        </references>
      </pivotArea>
    </format>
    <format dxfId="163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162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0"/>
          </reference>
        </references>
      </pivotArea>
    </format>
    <format dxfId="161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160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159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2"/>
          </reference>
        </references>
      </pivotArea>
    </format>
    <format dxfId="158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157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156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155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5"/>
          </reference>
        </references>
      </pivotArea>
    </format>
    <format dxfId="154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31" count="1" selected="0">
            <x v="5"/>
          </reference>
        </references>
      </pivotArea>
    </format>
    <format dxfId="153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6"/>
          </reference>
        </references>
      </pivotArea>
    </format>
    <format dxfId="152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151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150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149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148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14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146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145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144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143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142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141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140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139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138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13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13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135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134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0"/>
          </reference>
          <reference field="31" count="1" selected="0">
            <x v="0"/>
          </reference>
        </references>
      </pivotArea>
    </format>
    <format dxfId="133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13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131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13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12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128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2">
            <x v="1"/>
            <x v="8"/>
          </reference>
          <reference field="31" count="1" selected="0">
            <x v="4"/>
          </reference>
        </references>
      </pivotArea>
    </format>
    <format dxfId="12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126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2">
            <x v="1"/>
            <x v="2"/>
          </reference>
          <reference field="31" count="1" selected="0">
            <x v="5"/>
          </reference>
        </references>
      </pivotArea>
    </format>
    <format dxfId="125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124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3">
            <x v="1"/>
            <x v="2"/>
            <x v="8"/>
          </reference>
          <reference field="31" count="1" selected="0">
            <x v="5"/>
          </reference>
        </references>
      </pivotArea>
    </format>
    <format dxfId="123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12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12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120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11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0"/>
          </reference>
        </references>
      </pivotArea>
    </format>
    <format dxfId="11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11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11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11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3"/>
          </reference>
          <reference field="31" count="1" selected="0">
            <x v="1"/>
          </reference>
        </references>
      </pivotArea>
    </format>
    <format dxfId="114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113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11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0"/>
          </reference>
          <reference field="31" count="1" selected="0">
            <x v="2"/>
          </reference>
        </references>
      </pivotArea>
    </format>
    <format dxfId="11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3"/>
          </reference>
        </references>
      </pivotArea>
    </format>
    <format dxfId="11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10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10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107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3">
            <x v="1"/>
            <x v="2"/>
            <x v="3"/>
          </reference>
          <reference field="31" count="1" selected="0">
            <x v="5"/>
          </reference>
        </references>
      </pivotArea>
    </format>
    <format dxfId="106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105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10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2">
            <x v="1"/>
            <x v="2"/>
          </reference>
          <reference field="31" count="1" selected="0">
            <x v="5"/>
          </reference>
        </references>
      </pivotArea>
    </format>
    <format dxfId="10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3"/>
          </reference>
          <reference field="31" count="1" selected="0">
            <x v="5"/>
          </reference>
        </references>
      </pivotArea>
    </format>
    <format dxfId="10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>
            <x v="1"/>
          </reference>
          <reference field="31" count="1" selected="0">
            <x v="5"/>
          </reference>
        </references>
      </pivotArea>
    </format>
    <format dxfId="10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3"/>
          </reference>
          <reference field="31" count="1" selected="0">
            <x v="6"/>
          </reference>
        </references>
      </pivotArea>
    </format>
    <format dxfId="10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0"/>
          </reference>
        </references>
      </pivotArea>
    </format>
    <format dxfId="9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0"/>
          </reference>
        </references>
      </pivotArea>
    </format>
    <format dxfId="98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0"/>
          </reference>
        </references>
      </pivotArea>
    </format>
    <format dxfId="9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0"/>
          </reference>
        </references>
      </pivotArea>
    </format>
    <format dxfId="9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1"/>
          </reference>
        </references>
      </pivotArea>
    </format>
    <format dxfId="9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1"/>
          </reference>
        </references>
      </pivotArea>
    </format>
    <format dxfId="9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1"/>
          </reference>
        </references>
      </pivotArea>
    </format>
    <format dxfId="9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1"/>
          </reference>
        </references>
      </pivotArea>
    </format>
    <format dxfId="9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3"/>
          </reference>
          <reference field="31" count="1" selected="0">
            <x v="2"/>
          </reference>
        </references>
      </pivotArea>
    </format>
    <format dxfId="9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3"/>
          </reference>
          <reference field="31" count="1" selected="0">
            <x v="2"/>
          </reference>
        </references>
      </pivotArea>
    </format>
    <format dxfId="9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3"/>
          </reference>
          <reference field="31" count="1" selected="0">
            <x v="2"/>
          </reference>
        </references>
      </pivotArea>
    </format>
    <format dxfId="8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5">
            <x v="0"/>
            <x v="1"/>
            <x v="2"/>
            <x v="4"/>
            <x v="5"/>
          </reference>
          <reference field="31" count="1" selected="0">
            <x v="3"/>
          </reference>
        </references>
      </pivotArea>
    </format>
    <format dxfId="8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>
            <x v="3"/>
          </reference>
          <reference field="31" count="1" selected="0">
            <x v="4"/>
          </reference>
        </references>
      </pivotArea>
    </format>
    <format dxfId="8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2"/>
          </reference>
          <reference field="6" count="1">
            <x v="3"/>
          </reference>
          <reference field="31" count="1" selected="0">
            <x v="4"/>
          </reference>
        </references>
      </pivotArea>
    </format>
    <format dxfId="86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8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8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8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8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8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8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7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7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7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1"/>
          </reference>
          <reference field="6" count="1">
            <x v="3"/>
          </reference>
          <reference field="31" count="1" selected="0">
            <x v="5"/>
          </reference>
        </references>
      </pivotArea>
    </format>
    <format dxfId="7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>
            <x v="3"/>
          </reference>
          <reference field="31" count="1" selected="0">
            <x v="6"/>
          </reference>
        </references>
      </pivotArea>
    </format>
    <format dxfId="7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74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7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7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7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7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6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6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6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6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6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6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6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6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6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6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5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5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5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3"/>
          </reference>
          <reference field="31" count="1" selected="0">
            <x v="5"/>
          </reference>
        </references>
      </pivotArea>
    </format>
    <format dxfId="56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2">
            <x v="0"/>
            <x v="3"/>
          </reference>
          <reference field="31" count="1" selected="0">
            <x v="5"/>
          </reference>
        </references>
      </pivotArea>
    </format>
    <format dxfId="5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0"/>
          </reference>
          <reference field="31" count="1" selected="0">
            <x v="5"/>
          </reference>
        </references>
      </pivotArea>
    </format>
    <format dxfId="5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2"/>
            <x v="3"/>
          </reference>
          <reference field="31" count="1" selected="0">
            <x v="5"/>
          </reference>
        </references>
      </pivotArea>
    </format>
    <format dxfId="5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5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2">
            <x v="0"/>
            <x v="1"/>
          </reference>
          <reference field="31" count="1" selected="0">
            <x v="5"/>
          </reference>
        </references>
      </pivotArea>
    </format>
    <format dxfId="5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5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4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4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1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4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4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4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4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4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4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4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4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38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3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2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26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2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2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2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4"/>
          </reference>
        </references>
      </pivotArea>
    </format>
    <format dxfId="1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2"/>
          </reference>
          <reference field="8" count="1">
            <x v="5"/>
          </reference>
          <reference field="31" count="1" selected="0">
            <x v="4"/>
          </reference>
        </references>
      </pivotArea>
    </format>
    <format dxfId="1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3"/>
          </reference>
          <reference field="8" count="4"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0"/>
          </reference>
          <reference field="8" count="4"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4"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1">
            <x v="9"/>
          </reference>
          <reference field="31" count="1" selected="0">
            <x v="5"/>
          </reference>
        </references>
      </pivotArea>
    </format>
    <format dxfId="1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1"/>
          </reference>
          <reference field="8" count="3">
            <x v="1"/>
            <x v="2"/>
            <x v="5"/>
          </reference>
          <reference field="31" count="1" selected="0">
            <x v="5"/>
          </reference>
        </references>
      </pivotArea>
    </format>
    <format dxfId="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2"/>
          </reference>
          <reference field="8" count="6"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1"/>
          </reference>
          <reference field="5" count="1" selected="0">
            <x v="2"/>
          </reference>
          <reference field="6" count="1" selected="0">
            <x v="3"/>
          </reference>
          <reference field="7" count="1" selected="0">
            <x v="2"/>
          </reference>
          <reference field="8" count="1">
            <x v="7"/>
          </reference>
          <reference field="31" count="1" selected="0">
            <x v="5"/>
          </reference>
        </references>
      </pivotArea>
    </format>
    <format dxfId="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8"/>
          </reference>
          <reference field="5" count="1" selected="0">
            <x v="1"/>
          </reference>
          <reference field="6" count="1" selected="0">
            <x v="3"/>
          </reference>
          <reference field="7" count="1" selected="0">
            <x v="2"/>
          </reference>
          <reference field="8" count="1">
            <x v="5"/>
          </reference>
          <reference field="31" count="1" selected="0">
            <x v="5"/>
          </reference>
        </references>
      </pivotArea>
    </format>
    <format dxfId="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3"/>
          </reference>
          <reference field="6" count="1" selected="0">
            <x v="3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F29D2A-07E7-4239-9C84-196DDCD9F3A4}" name="Efeito" displayName="Efeito" ref="A1:AG2578" totalsRowShown="0" headerRowDxfId="1054" dataDxfId="1053">
  <autoFilter ref="A1:AG2578" xr:uid="{B7F29D2A-07E7-4239-9C84-196DDCD9F3A4}"/>
  <tableColumns count="33">
    <tableColumn id="1" xr3:uid="{0DE5736A-7280-4DBD-A748-31706FF06FAF}" name="TipoMercado" dataDxfId="1052"/>
    <tableColumn id="2" xr3:uid="{6CC03B55-43CA-42B5-8833-D65C3DF5F53A}" name="Subgrupo" dataDxfId="1051"/>
    <tableColumn id="3" xr3:uid="{1A8BF584-A25C-458C-A4AC-8DCB8D421171}" name="Modalidade" dataDxfId="1050"/>
    <tableColumn id="4" xr3:uid="{7F7C1A79-6B35-46FE-ACAD-01EC7E5E089D}" name="Classe" dataDxfId="1049"/>
    <tableColumn id="5" xr3:uid="{F543B75C-42BE-4E6B-AEA6-63B3D40CEA10}" name="Subclasse" dataDxfId="1048"/>
    <tableColumn id="6" xr3:uid="{58893857-D1D1-4584-87CE-7F2584A856EF}" name="Detalhe" dataDxfId="1047"/>
    <tableColumn id="7" xr3:uid="{2FB63E2C-028F-4C4C-9E48-DA342FCC170B}" name="Agente" dataDxfId="1046"/>
    <tableColumn id="8" xr3:uid="{4C97E1ED-5935-4F36-B6BE-A5DA8BF5A412}" name="Posto" dataDxfId="1045"/>
    <tableColumn id="9" xr3:uid="{67E84B28-420E-4788-8AA0-6C8C915A3E0C}" name="AnoMes" dataDxfId="1044"/>
    <tableColumn id="10" xr3:uid="{276F7767-CD88-4602-AEF2-3836C1FE7734}" name="D" dataDxfId="1043"/>
    <tableColumn id="11" xr3:uid="{F0732F97-6310-457F-8E7E-DF91DDD872EC}" name="Daj" dataDxfId="1042"/>
    <tableColumn id="12" xr3:uid="{ACAD287B-3EF1-4901-A9F6-0FFE7EC617D7}" name="TUSD_E" dataDxfId="1041"/>
    <tableColumn id="13" xr3:uid="{7968EFE7-F35A-45D9-B260-195B3BBD99D6}" name="TUSD_Eaj" dataDxfId="1040"/>
    <tableColumn id="14" xr3:uid="{C46A3D8D-5EA3-41D7-A9C4-58A9BBDE8D26}" name="TE_E" dataDxfId="1039"/>
    <tableColumn id="15" xr3:uid="{FDFF3173-3565-41C2-AC57-184ACF8A31C5}" name="TE_Eaj" dataDxfId="1038"/>
    <tableColumn id="16" xr3:uid="{7752F680-9FE1-4252-91FF-C0294C4F1502}" name="UC" dataDxfId="1037"/>
    <tableColumn id="17" xr3:uid="{180021B6-D231-4EE9-96FB-C7752D7A2BB2}" name="OPÇÃO" dataDxfId="1036"/>
    <tableColumn id="18" xr3:uid="{1ECAFF91-E105-4536-901C-0D9D8553AF28}" name="CóD. AUX." dataDxfId="1035"/>
    <tableColumn id="19" xr3:uid="{BA8ECD3D-6549-4919-9DF2-42777E1F02CF}" name="CóD. AUX. TUSD R$/kW" dataDxfId="1034"/>
    <tableColumn id="20" xr3:uid="{B666947A-7DB3-41BF-8AE5-FDCB779CE2B7}" name="CóD. AUX. TUSD R$/MWh" dataDxfId="1033"/>
    <tableColumn id="21" xr3:uid="{7FB0A2FA-7EF2-4048-81AE-66665D96D013}" name="CóD. AUX. TE R$/MWh" dataDxfId="1032"/>
    <tableColumn id="22" xr3:uid="{5B96904E-A381-4946-9A35-D937B05A3E0C}" name="TUSD (R$/kW)" dataDxfId="1031"/>
    <tableColumn id="23" xr3:uid="{44803427-3625-4FCE-99BF-F8E07C48BFFE}" name="TUSD (R$/MWh)" dataDxfId="1030"/>
    <tableColumn id="24" xr3:uid="{2908EF6E-7C5B-46E1-87AD-648B8C21033D}" name="TE (R$/MWh)" dataDxfId="1029"/>
    <tableColumn id="25" xr3:uid="{079C6DF5-4F2A-4711-AE03-7206F6A9B44E}" name="TUSD (R$/kW) NOVA" dataDxfId="1028"/>
    <tableColumn id="26" xr3:uid="{F0184D03-5BB7-430E-B471-5A0F204F00DA}" name="TUSD (R$/MWh) NOVA" dataDxfId="1027">
      <calculatedColumnFormula>('TUSD BE'!$AM$55+'TUSD BF'!$AM$55+'TUSD CVA'!$AM$55)*1</calculatedColumnFormula>
    </tableColumn>
    <tableColumn id="27" xr3:uid="{5A775EF6-7E7E-42C6-BB7F-109FAE560840}" name="TE (R$/MWh) NOVA" dataDxfId="1026">
      <calculatedColumnFormula>('TE BE'!$AA$43+'TE BF'!$AA$43+'TE CVA'!$AA$43)*1</calculatedColumnFormula>
    </tableColumn>
    <tableColumn id="28" xr3:uid="{04E284AE-CDC6-4000-95EF-8CE56BD48F41}" name="RA0 ou RV - TUSD (kW)" dataDxfId="1025"/>
    <tableColumn id="29" xr3:uid="{83C38B70-23D3-4EA2-B93E-8E9C826E0017}" name="RA0 ou RV - TUSD (MWh)" dataDxfId="1024"/>
    <tableColumn id="30" xr3:uid="{B56006C7-FE6E-485F-B66B-3964534B5753}" name="RA0 ou RV - TE (MWh)" dataDxfId="1023"/>
    <tableColumn id="31" xr3:uid="{C894F74D-950E-44ED-9836-23AA8D4151E3}" name="RA1 ou RRD - TUSD (kW)" dataDxfId="1022"/>
    <tableColumn id="32" xr3:uid="{D26FCED3-D5BF-40AF-96BE-EC2A76415B08}" name="RA1 ou RRD - TUSD (MWh)" dataDxfId="1021"/>
    <tableColumn id="33" xr3:uid="{572FD648-F6A5-44D1-9A5A-ED01CB40A161}" name="RA1 ou RRD - TE (MWh)" dataDxfId="10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03EA7A-CD56-4EB3-A624-1CCF3762D5F1}" name="Subsidio" displayName="Subsidio" ref="A1:AF875" totalsRowShown="0" headerRowDxfId="1019" dataDxfId="1018">
  <autoFilter ref="A1:AF875" xr:uid="{D303EA7A-CD56-4EB3-A624-1CCF3762D5F1}"/>
  <tableColumns count="32">
    <tableColumn id="1" xr3:uid="{10E825C5-24F8-4A98-A5C3-BBE2CF54C9CB}" name="TipoMercado" dataDxfId="1017"/>
    <tableColumn id="2" xr3:uid="{5922342D-4B57-4A61-8A54-EB26C4DF50DF}" name="Subgrupo" dataDxfId="1016"/>
    <tableColumn id="3" xr3:uid="{8F7A84DD-2C4C-46C2-B571-9CB8E483B530}" name="Modalidade" dataDxfId="1015"/>
    <tableColumn id="4" xr3:uid="{545FE206-9403-4623-9CDD-9B91DBF8D645}" name="Classe" dataDxfId="1014"/>
    <tableColumn id="5" xr3:uid="{0AD41273-7CC8-4E09-8709-2E6A85ACA277}" name="Subclasse" dataDxfId="1013"/>
    <tableColumn id="6" xr3:uid="{F1921A34-6961-4280-A4F4-339DA1D2E687}" name="Detalhe" dataDxfId="1012"/>
    <tableColumn id="7" xr3:uid="{94F7D815-1E44-4D77-8A72-5F8B95D4B190}" name="Agente" dataDxfId="1011"/>
    <tableColumn id="8" xr3:uid="{2DE46296-F2C1-4CA3-8AF5-666A66458BCD}" name="Posto" dataDxfId="1010"/>
    <tableColumn id="9" xr3:uid="{2123C27B-F716-4867-8D4E-C131C5300D6D}" name="AnoMes" dataDxfId="1009"/>
    <tableColumn id="10" xr3:uid="{EC35652C-31F0-4381-A800-81E676B10566}" name="D" dataDxfId="1008"/>
    <tableColumn id="11" xr3:uid="{22C71C7A-8DA7-44FC-AC8F-CAF02A52FF72}" name="Daj" dataDxfId="1007"/>
    <tableColumn id="12" xr3:uid="{C5DAFDBD-7A31-41D3-8C7C-F11E8FEEBCDE}" name="TUSD_E" dataDxfId="1006"/>
    <tableColumn id="13" xr3:uid="{79F32FAC-A5BD-4485-A8A8-FB51533D9EAB}" name="TUSD_Eaj" dataDxfId="1005"/>
    <tableColumn id="14" xr3:uid="{709BB565-E347-47A6-8201-BD3C7C9CF187}" name="TE_E" dataDxfId="1004"/>
    <tableColumn id="15" xr3:uid="{A4C4A505-FBAF-4EBC-B76E-93290AB3154E}" name="TE_Eaj" dataDxfId="1003"/>
    <tableColumn id="16" xr3:uid="{4FD6261B-F6BF-4466-AC9B-3ACE246AB888}" name="UC" dataDxfId="1002"/>
    <tableColumn id="17" xr3:uid="{2A0914D5-C1F8-4492-BF66-A764AC6FDCF6}" name="OPÇÃO" dataDxfId="1001"/>
    <tableColumn id="18" xr3:uid="{3335F328-DA22-46CE-A51F-FA0156A3AFA8}" name="CóD. AUX." dataDxfId="1000"/>
    <tableColumn id="19" xr3:uid="{172D382A-5EEE-4DE9-A478-6CA1EC19D7F9}" name="CóD. AUX. TUSD R$/kW" dataDxfId="999"/>
    <tableColumn id="20" xr3:uid="{4E9FE538-9046-4FED-B823-FFB5313EA12A}" name="CóD. AUX. TUSD R$/MWh" dataDxfId="998"/>
    <tableColumn id="21" xr3:uid="{57FFC3A9-B8F7-4266-A8E0-87EC53F54EBF}" name="CóD. AUX. TE R$/MWh" dataDxfId="997"/>
    <tableColumn id="22" xr3:uid="{C8F76641-B264-4E0B-8D16-688B54D06AEF}" name="TUSD (R$/kW)" dataDxfId="996"/>
    <tableColumn id="23" xr3:uid="{8D086C13-87D2-433D-8752-B1980124A6B7}" name="TUSD (R$/MWh)" dataDxfId="995"/>
    <tableColumn id="24" xr3:uid="{9F9808E5-C90A-46B2-8C9B-BE093B9649FC}" name="TE (R$/MWh)" dataDxfId="994"/>
    <tableColumn id="25" xr3:uid="{3690960B-35F3-4E17-845E-494CB5B5B37B}" name="TUSD (R$/kW) NOVA" dataDxfId="993"/>
    <tableColumn id="26" xr3:uid="{209DA82C-D9E3-4C21-9F57-D7C3B86918CE}" name="TUSD (R$/MWh) NOVA" dataDxfId="992">
      <calculatedColumnFormula>('TUSD BE'!$AM$53+'TUSD BF'!$AM$53+'TUSD CVA'!$AM$53)*1</calculatedColumnFormula>
    </tableColumn>
    <tableColumn id="27" xr3:uid="{96753A85-55BC-4994-BAED-02C73B31C68F}" name="TE (R$/MWh) NOVA" dataDxfId="991">
      <calculatedColumnFormula>('TE BE'!$AA$41+'TE BF'!$AA$41+'TE CVA'!$AA$41)*1</calculatedColumnFormula>
    </tableColumn>
    <tableColumn id="28" xr3:uid="{DE7A13EC-1EE9-4162-9AC4-728F1D0ABDE4}" name="SUBSIDIO kW - TV" dataDxfId="990">
      <calculatedColumnFormula>(J2-K2)*V2</calculatedColumnFormula>
    </tableColumn>
    <tableColumn id="29" xr3:uid="{1236BFBA-E38C-4862-854C-4173952E0870}" name="SUBSIDIO MWh - TV" dataDxfId="989">
      <calculatedColumnFormula>(L2-M2)*W2+(N2-O2)*X2</calculatedColumnFormula>
    </tableColumn>
    <tableColumn id="30" xr3:uid="{9948E833-9A09-45EB-90F0-1F0C1E00A6A7}" name="SUBSIDIO kW - TN" dataDxfId="988">
      <calculatedColumnFormula>(J2-K2)*Y2</calculatedColumnFormula>
    </tableColumn>
    <tableColumn id="31" xr3:uid="{65496A5F-9F7C-4637-AF28-80B1414E7C87}" name="SUBSIDIO MWh - TN" dataDxfId="987">
      <calculatedColumnFormula>(L2-M2)*Z2+(N2-O2)*AA2</calculatedColumnFormula>
    </tableColumn>
    <tableColumn id="32" xr3:uid="{522B6ECF-61B9-40D7-80B2-9B75ABF52313}" name="TIPO" dataDxfId="98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8941B-4DFA-4250-BB4D-F72422B47D68}">
  <dimension ref="A1:W2578"/>
  <sheetViews>
    <sheetView showGridLines="0" topLeftCell="K2563" workbookViewId="0">
      <selection activeCell="T2579" sqref="T2579"/>
    </sheetView>
  </sheetViews>
  <sheetFormatPr defaultRowHeight="11.25" customHeight="1" x14ac:dyDescent="0.25"/>
  <cols>
    <col min="1" max="1" width="23.710937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5.42578125" style="4" bestFit="1" customWidth="1"/>
    <col min="8" max="8" width="10.28515625" style="4" bestFit="1" customWidth="1"/>
    <col min="9" max="9" width="8.7109375" style="5" bestFit="1" customWidth="1"/>
    <col min="10" max="16" width="8.7109375" style="6" bestFit="1" customWidth="1"/>
    <col min="17" max="17" width="8.42578125" style="4" bestFit="1" customWidth="1"/>
    <col min="18" max="18" width="8.5703125" style="4" bestFit="1" customWidth="1"/>
    <col min="19" max="19" width="78.140625" style="4" bestFit="1" customWidth="1"/>
    <col min="20" max="20" width="83.85546875" style="4" bestFit="1" customWidth="1"/>
    <col min="21" max="21" width="18.42578125" style="4" bestFit="1" customWidth="1"/>
    <col min="22" max="22" width="19.85546875" style="4" bestFit="1" customWidth="1"/>
    <col min="23" max="23" width="17.7109375" style="4" bestFit="1" customWidth="1"/>
    <col min="24" max="16384" width="9.140625" style="4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103</v>
      </c>
      <c r="T1" s="1" t="s">
        <v>408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4" t="s">
        <v>21</v>
      </c>
      <c r="B2" s="4" t="s">
        <v>43</v>
      </c>
      <c r="C2" s="4" t="s">
        <v>44</v>
      </c>
      <c r="D2" s="4" t="s">
        <v>45</v>
      </c>
      <c r="E2" s="4" t="s">
        <v>25</v>
      </c>
      <c r="F2" s="4" t="s">
        <v>25</v>
      </c>
      <c r="G2" s="4" t="s">
        <v>25</v>
      </c>
      <c r="H2" s="4" t="s">
        <v>38</v>
      </c>
      <c r="I2" s="5">
        <v>44136</v>
      </c>
      <c r="J2" s="6">
        <v>14050</v>
      </c>
      <c r="K2" s="6">
        <v>14050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60</v>
      </c>
      <c r="R2" s="4">
        <v>0</v>
      </c>
      <c r="S2" s="4" t="s">
        <v>104</v>
      </c>
      <c r="U2" s="4">
        <v>2</v>
      </c>
      <c r="V2" s="4">
        <v>0</v>
      </c>
      <c r="W2" s="4">
        <v>0</v>
      </c>
    </row>
    <row r="3" spans="1:23" ht="11.25" customHeight="1" x14ac:dyDescent="0.25">
      <c r="A3" s="4" t="s">
        <v>21</v>
      </c>
      <c r="B3" s="4" t="s">
        <v>43</v>
      </c>
      <c r="C3" s="4" t="s">
        <v>44</v>
      </c>
      <c r="D3" s="4" t="s">
        <v>45</v>
      </c>
      <c r="E3" s="4" t="s">
        <v>25</v>
      </c>
      <c r="F3" s="4" t="s">
        <v>25</v>
      </c>
      <c r="G3" s="4" t="s">
        <v>25</v>
      </c>
      <c r="H3" s="4" t="s">
        <v>38</v>
      </c>
      <c r="I3" s="5">
        <v>44166</v>
      </c>
      <c r="J3" s="6">
        <v>14050</v>
      </c>
      <c r="K3" s="6">
        <v>14050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60</v>
      </c>
      <c r="R3" s="4">
        <v>0</v>
      </c>
      <c r="S3" s="4" t="s">
        <v>105</v>
      </c>
      <c r="U3" s="4">
        <v>2</v>
      </c>
      <c r="V3" s="4">
        <v>0</v>
      </c>
      <c r="W3" s="4">
        <v>0</v>
      </c>
    </row>
    <row r="4" spans="1:23" ht="11.25" customHeight="1" x14ac:dyDescent="0.25">
      <c r="A4" s="4" t="s">
        <v>21</v>
      </c>
      <c r="B4" s="4" t="s">
        <v>43</v>
      </c>
      <c r="C4" s="4" t="s">
        <v>44</v>
      </c>
      <c r="D4" s="4" t="s">
        <v>45</v>
      </c>
      <c r="E4" s="4" t="s">
        <v>25</v>
      </c>
      <c r="F4" s="4" t="s">
        <v>25</v>
      </c>
      <c r="G4" s="4" t="s">
        <v>25</v>
      </c>
      <c r="H4" s="4" t="s">
        <v>38</v>
      </c>
      <c r="I4" s="5">
        <v>44197</v>
      </c>
      <c r="J4" s="6">
        <v>13050</v>
      </c>
      <c r="K4" s="6">
        <v>13050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60</v>
      </c>
      <c r="R4" s="4">
        <v>0</v>
      </c>
      <c r="S4" s="4" t="s">
        <v>106</v>
      </c>
      <c r="U4" s="4">
        <v>2</v>
      </c>
      <c r="V4" s="4">
        <v>0</v>
      </c>
      <c r="W4" s="4">
        <v>0</v>
      </c>
    </row>
    <row r="5" spans="1:23" ht="11.25" customHeight="1" x14ac:dyDescent="0.25">
      <c r="A5" s="4" t="s">
        <v>21</v>
      </c>
      <c r="B5" s="4" t="s">
        <v>43</v>
      </c>
      <c r="C5" s="4" t="s">
        <v>44</v>
      </c>
      <c r="D5" s="4" t="s">
        <v>45</v>
      </c>
      <c r="E5" s="4" t="s">
        <v>25</v>
      </c>
      <c r="F5" s="4" t="s">
        <v>25</v>
      </c>
      <c r="G5" s="4" t="s">
        <v>25</v>
      </c>
      <c r="H5" s="4" t="s">
        <v>38</v>
      </c>
      <c r="I5" s="5">
        <v>44228</v>
      </c>
      <c r="J5" s="6">
        <v>13050</v>
      </c>
      <c r="K5" s="6">
        <v>13050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60</v>
      </c>
      <c r="R5" s="4">
        <v>0</v>
      </c>
      <c r="S5" s="4" t="s">
        <v>107</v>
      </c>
      <c r="U5" s="4">
        <v>2</v>
      </c>
      <c r="V5" s="4">
        <v>0</v>
      </c>
      <c r="W5" s="4">
        <v>0</v>
      </c>
    </row>
    <row r="6" spans="1:23" ht="11.25" customHeight="1" x14ac:dyDescent="0.25">
      <c r="A6" s="4" t="s">
        <v>21</v>
      </c>
      <c r="B6" s="4" t="s">
        <v>43</v>
      </c>
      <c r="C6" s="4" t="s">
        <v>44</v>
      </c>
      <c r="D6" s="4" t="s">
        <v>45</v>
      </c>
      <c r="E6" s="4" t="s">
        <v>25</v>
      </c>
      <c r="F6" s="4" t="s">
        <v>25</v>
      </c>
      <c r="G6" s="4" t="s">
        <v>25</v>
      </c>
      <c r="H6" s="4" t="s">
        <v>38</v>
      </c>
      <c r="I6" s="5">
        <v>44256</v>
      </c>
      <c r="J6" s="6">
        <v>13050</v>
      </c>
      <c r="K6" s="6">
        <v>13050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60</v>
      </c>
      <c r="R6" s="4">
        <v>0</v>
      </c>
      <c r="S6" s="4" t="s">
        <v>108</v>
      </c>
      <c r="U6" s="4">
        <v>2</v>
      </c>
      <c r="V6" s="4">
        <v>0</v>
      </c>
      <c r="W6" s="4">
        <v>0</v>
      </c>
    </row>
    <row r="7" spans="1:23" ht="11.25" customHeight="1" x14ac:dyDescent="0.25">
      <c r="A7" s="4" t="s">
        <v>21</v>
      </c>
      <c r="B7" s="4" t="s">
        <v>43</v>
      </c>
      <c r="C7" s="4" t="s">
        <v>44</v>
      </c>
      <c r="D7" s="4" t="s">
        <v>45</v>
      </c>
      <c r="E7" s="4" t="s">
        <v>25</v>
      </c>
      <c r="F7" s="4" t="s">
        <v>25</v>
      </c>
      <c r="G7" s="4" t="s">
        <v>25</v>
      </c>
      <c r="H7" s="4" t="s">
        <v>38</v>
      </c>
      <c r="I7" s="5">
        <v>44287</v>
      </c>
      <c r="J7" s="6">
        <v>13050</v>
      </c>
      <c r="K7" s="6">
        <v>13050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60</v>
      </c>
      <c r="R7" s="4">
        <v>0</v>
      </c>
      <c r="S7" s="4" t="s">
        <v>109</v>
      </c>
      <c r="U7" s="4">
        <v>2</v>
      </c>
      <c r="V7" s="4">
        <v>0</v>
      </c>
      <c r="W7" s="4">
        <v>0</v>
      </c>
    </row>
    <row r="8" spans="1:23" ht="11.25" customHeight="1" x14ac:dyDescent="0.25">
      <c r="A8" s="4" t="s">
        <v>21</v>
      </c>
      <c r="B8" s="4" t="s">
        <v>43</v>
      </c>
      <c r="C8" s="4" t="s">
        <v>44</v>
      </c>
      <c r="D8" s="4" t="s">
        <v>45</v>
      </c>
      <c r="E8" s="4" t="s">
        <v>25</v>
      </c>
      <c r="F8" s="4" t="s">
        <v>25</v>
      </c>
      <c r="G8" s="4" t="s">
        <v>25</v>
      </c>
      <c r="H8" s="4" t="s">
        <v>38</v>
      </c>
      <c r="I8" s="5">
        <v>44317</v>
      </c>
      <c r="J8" s="6">
        <v>13050</v>
      </c>
      <c r="K8" s="6">
        <v>13050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60</v>
      </c>
      <c r="R8" s="4">
        <v>0</v>
      </c>
      <c r="S8" s="4" t="s">
        <v>110</v>
      </c>
      <c r="U8" s="4">
        <v>2</v>
      </c>
      <c r="V8" s="4">
        <v>0</v>
      </c>
      <c r="W8" s="4">
        <v>0</v>
      </c>
    </row>
    <row r="9" spans="1:23" ht="11.25" customHeight="1" x14ac:dyDescent="0.25">
      <c r="A9" s="4" t="s">
        <v>21</v>
      </c>
      <c r="B9" s="4" t="s">
        <v>43</v>
      </c>
      <c r="C9" s="4" t="s">
        <v>44</v>
      </c>
      <c r="D9" s="4" t="s">
        <v>45</v>
      </c>
      <c r="E9" s="4" t="s">
        <v>25</v>
      </c>
      <c r="F9" s="4" t="s">
        <v>25</v>
      </c>
      <c r="G9" s="4" t="s">
        <v>25</v>
      </c>
      <c r="H9" s="4" t="s">
        <v>38</v>
      </c>
      <c r="I9" s="5">
        <v>44348</v>
      </c>
      <c r="J9" s="6">
        <v>13050</v>
      </c>
      <c r="K9" s="6">
        <v>13050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60</v>
      </c>
      <c r="R9" s="4">
        <v>0</v>
      </c>
      <c r="S9" s="4" t="s">
        <v>111</v>
      </c>
      <c r="U9" s="4">
        <v>2</v>
      </c>
      <c r="V9" s="4">
        <v>0</v>
      </c>
      <c r="W9" s="4">
        <v>0</v>
      </c>
    </row>
    <row r="10" spans="1:23" ht="11.25" customHeight="1" x14ac:dyDescent="0.25">
      <c r="A10" s="4" t="s">
        <v>21</v>
      </c>
      <c r="B10" s="4" t="s">
        <v>43</v>
      </c>
      <c r="C10" s="4" t="s">
        <v>44</v>
      </c>
      <c r="D10" s="4" t="s">
        <v>45</v>
      </c>
      <c r="E10" s="4" t="s">
        <v>25</v>
      </c>
      <c r="F10" s="4" t="s">
        <v>25</v>
      </c>
      <c r="G10" s="4" t="s">
        <v>25</v>
      </c>
      <c r="H10" s="4" t="s">
        <v>38</v>
      </c>
      <c r="I10" s="5">
        <v>44378</v>
      </c>
      <c r="J10" s="6">
        <v>13050</v>
      </c>
      <c r="K10" s="6">
        <v>13050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60</v>
      </c>
      <c r="R10" s="4">
        <v>0</v>
      </c>
      <c r="S10" s="4" t="s">
        <v>112</v>
      </c>
      <c r="U10" s="4">
        <v>2</v>
      </c>
      <c r="V10" s="4">
        <v>0</v>
      </c>
      <c r="W10" s="4">
        <v>0</v>
      </c>
    </row>
    <row r="11" spans="1:23" ht="11.25" customHeight="1" x14ac:dyDescent="0.25">
      <c r="A11" s="4" t="s">
        <v>21</v>
      </c>
      <c r="B11" s="4" t="s">
        <v>43</v>
      </c>
      <c r="C11" s="4" t="s">
        <v>44</v>
      </c>
      <c r="D11" s="4" t="s">
        <v>45</v>
      </c>
      <c r="E11" s="4" t="s">
        <v>25</v>
      </c>
      <c r="F11" s="4" t="s">
        <v>25</v>
      </c>
      <c r="G11" s="4" t="s">
        <v>25</v>
      </c>
      <c r="H11" s="4" t="s">
        <v>38</v>
      </c>
      <c r="I11" s="5">
        <v>44409</v>
      </c>
      <c r="J11" s="6">
        <v>13050</v>
      </c>
      <c r="K11" s="6">
        <v>13050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60</v>
      </c>
      <c r="R11" s="4">
        <v>0</v>
      </c>
      <c r="S11" s="4" t="s">
        <v>113</v>
      </c>
      <c r="U11" s="4">
        <v>2</v>
      </c>
      <c r="V11" s="4">
        <v>0</v>
      </c>
      <c r="W11" s="4">
        <v>0</v>
      </c>
    </row>
    <row r="12" spans="1:23" ht="11.25" customHeight="1" x14ac:dyDescent="0.25">
      <c r="A12" s="4" t="s">
        <v>21</v>
      </c>
      <c r="B12" s="4" t="s">
        <v>43</v>
      </c>
      <c r="C12" s="4" t="s">
        <v>44</v>
      </c>
      <c r="D12" s="4" t="s">
        <v>45</v>
      </c>
      <c r="E12" s="4" t="s">
        <v>25</v>
      </c>
      <c r="F12" s="4" t="s">
        <v>25</v>
      </c>
      <c r="G12" s="4" t="s">
        <v>25</v>
      </c>
      <c r="H12" s="4" t="s">
        <v>38</v>
      </c>
      <c r="I12" s="5">
        <v>44440</v>
      </c>
      <c r="J12" s="6">
        <v>13050</v>
      </c>
      <c r="K12" s="6">
        <v>13050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60</v>
      </c>
      <c r="R12" s="4">
        <v>0</v>
      </c>
      <c r="S12" s="4" t="s">
        <v>114</v>
      </c>
      <c r="U12" s="4">
        <v>2</v>
      </c>
      <c r="V12" s="4">
        <v>0</v>
      </c>
      <c r="W12" s="4">
        <v>0</v>
      </c>
    </row>
    <row r="13" spans="1:23" ht="11.25" customHeight="1" x14ac:dyDescent="0.25">
      <c r="A13" s="4" t="s">
        <v>59</v>
      </c>
      <c r="B13" s="4" t="s">
        <v>43</v>
      </c>
      <c r="C13" s="4" t="s">
        <v>44</v>
      </c>
      <c r="D13" s="4" t="s">
        <v>45</v>
      </c>
      <c r="E13" s="4" t="s">
        <v>25</v>
      </c>
      <c r="F13" s="4" t="s">
        <v>25</v>
      </c>
      <c r="G13" s="4" t="s">
        <v>25</v>
      </c>
      <c r="H13" s="4" t="s">
        <v>38</v>
      </c>
      <c r="I13" s="5">
        <v>44470</v>
      </c>
      <c r="J13" s="6">
        <v>13050</v>
      </c>
      <c r="K13" s="6">
        <v>13050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60</v>
      </c>
      <c r="R13" s="4">
        <v>0</v>
      </c>
      <c r="S13" s="4" t="s">
        <v>115</v>
      </c>
      <c r="U13" s="4">
        <v>2</v>
      </c>
      <c r="V13" s="4">
        <v>0</v>
      </c>
      <c r="W13" s="4">
        <v>0</v>
      </c>
    </row>
    <row r="14" spans="1:23" ht="11.25" customHeight="1" x14ac:dyDescent="0.25">
      <c r="A14" s="4" t="s">
        <v>21</v>
      </c>
      <c r="B14" s="4" t="s">
        <v>43</v>
      </c>
      <c r="C14" s="4" t="s">
        <v>44</v>
      </c>
      <c r="D14" s="4" t="s">
        <v>45</v>
      </c>
      <c r="E14" s="4" t="s">
        <v>25</v>
      </c>
      <c r="F14" s="4" t="s">
        <v>25</v>
      </c>
      <c r="G14" s="4" t="s">
        <v>25</v>
      </c>
      <c r="H14" s="4" t="s">
        <v>25</v>
      </c>
      <c r="I14" s="5">
        <v>44136</v>
      </c>
      <c r="J14" s="6">
        <v>0</v>
      </c>
      <c r="K14" s="6">
        <v>0</v>
      </c>
      <c r="L14" s="6">
        <v>4325.2849999999999</v>
      </c>
      <c r="M14" s="6">
        <v>4325.2849999999999</v>
      </c>
      <c r="N14" s="6">
        <v>0</v>
      </c>
      <c r="O14" s="6">
        <v>0</v>
      </c>
      <c r="P14" s="6">
        <v>3</v>
      </c>
      <c r="Q14" s="4" t="s">
        <v>60</v>
      </c>
      <c r="R14" s="4">
        <v>0</v>
      </c>
      <c r="S14" s="4" t="s">
        <v>116</v>
      </c>
      <c r="U14" s="4">
        <v>0</v>
      </c>
      <c r="V14" s="4">
        <v>25</v>
      </c>
      <c r="W14" s="4">
        <v>0</v>
      </c>
    </row>
    <row r="15" spans="1:23" ht="11.25" customHeight="1" x14ac:dyDescent="0.25">
      <c r="A15" s="4" t="s">
        <v>21</v>
      </c>
      <c r="B15" s="4" t="s">
        <v>43</v>
      </c>
      <c r="C15" s="4" t="s">
        <v>44</v>
      </c>
      <c r="D15" s="4" t="s">
        <v>45</v>
      </c>
      <c r="E15" s="4" t="s">
        <v>25</v>
      </c>
      <c r="F15" s="4" t="s">
        <v>25</v>
      </c>
      <c r="G15" s="4" t="s">
        <v>25</v>
      </c>
      <c r="H15" s="4" t="s">
        <v>25</v>
      </c>
      <c r="I15" s="5">
        <v>44166</v>
      </c>
      <c r="J15" s="6">
        <v>0</v>
      </c>
      <c r="K15" s="6">
        <v>0</v>
      </c>
      <c r="L15" s="6">
        <v>4370.915</v>
      </c>
      <c r="M15" s="6">
        <v>4370.915</v>
      </c>
      <c r="N15" s="6">
        <v>0</v>
      </c>
      <c r="O15" s="6">
        <v>0</v>
      </c>
      <c r="P15" s="6">
        <v>3</v>
      </c>
      <c r="Q15" s="4" t="s">
        <v>60</v>
      </c>
      <c r="R15" s="4">
        <v>0</v>
      </c>
      <c r="S15" s="4" t="s">
        <v>117</v>
      </c>
      <c r="U15" s="4">
        <v>0</v>
      </c>
      <c r="V15" s="4">
        <v>25</v>
      </c>
      <c r="W15" s="4">
        <v>0</v>
      </c>
    </row>
    <row r="16" spans="1:23" ht="11.25" customHeight="1" x14ac:dyDescent="0.25">
      <c r="A16" s="4" t="s">
        <v>21</v>
      </c>
      <c r="B16" s="4" t="s">
        <v>43</v>
      </c>
      <c r="C16" s="4" t="s">
        <v>44</v>
      </c>
      <c r="D16" s="4" t="s">
        <v>45</v>
      </c>
      <c r="E16" s="4" t="s">
        <v>25</v>
      </c>
      <c r="F16" s="4" t="s">
        <v>25</v>
      </c>
      <c r="G16" s="4" t="s">
        <v>25</v>
      </c>
      <c r="H16" s="4" t="s">
        <v>25</v>
      </c>
      <c r="I16" s="5">
        <v>44197</v>
      </c>
      <c r="J16" s="6">
        <v>0</v>
      </c>
      <c r="K16" s="6">
        <v>0</v>
      </c>
      <c r="L16" s="6">
        <v>1928.15</v>
      </c>
      <c r="M16" s="6">
        <v>1928.15</v>
      </c>
      <c r="N16" s="6">
        <v>0</v>
      </c>
      <c r="O16" s="6">
        <v>0</v>
      </c>
      <c r="P16" s="6">
        <v>3</v>
      </c>
      <c r="Q16" s="4" t="s">
        <v>60</v>
      </c>
      <c r="R16" s="4">
        <v>0</v>
      </c>
      <c r="S16" s="4" t="s">
        <v>118</v>
      </c>
      <c r="U16" s="4">
        <v>0</v>
      </c>
      <c r="V16" s="4">
        <v>25</v>
      </c>
      <c r="W16" s="4">
        <v>0</v>
      </c>
    </row>
    <row r="17" spans="1:23" ht="11.25" customHeight="1" x14ac:dyDescent="0.25">
      <c r="A17" s="4" t="s">
        <v>21</v>
      </c>
      <c r="B17" s="4" t="s">
        <v>43</v>
      </c>
      <c r="C17" s="4" t="s">
        <v>44</v>
      </c>
      <c r="D17" s="4" t="s">
        <v>45</v>
      </c>
      <c r="E17" s="4" t="s">
        <v>25</v>
      </c>
      <c r="F17" s="4" t="s">
        <v>25</v>
      </c>
      <c r="G17" s="4" t="s">
        <v>25</v>
      </c>
      <c r="H17" s="4" t="s">
        <v>25</v>
      </c>
      <c r="I17" s="5">
        <v>44228</v>
      </c>
      <c r="J17" s="6">
        <v>0</v>
      </c>
      <c r="K17" s="6">
        <v>0</v>
      </c>
      <c r="L17" s="6">
        <v>1800.48</v>
      </c>
      <c r="M17" s="6">
        <v>1800.48</v>
      </c>
      <c r="N17" s="6">
        <v>0</v>
      </c>
      <c r="O17" s="6">
        <v>0</v>
      </c>
      <c r="P17" s="6">
        <v>3</v>
      </c>
      <c r="Q17" s="4" t="s">
        <v>60</v>
      </c>
      <c r="R17" s="4">
        <v>0</v>
      </c>
      <c r="S17" s="4" t="s">
        <v>119</v>
      </c>
      <c r="U17" s="4">
        <v>0</v>
      </c>
      <c r="V17" s="4">
        <v>25</v>
      </c>
      <c r="W17" s="4">
        <v>0</v>
      </c>
    </row>
    <row r="18" spans="1:23" ht="11.25" customHeight="1" x14ac:dyDescent="0.25">
      <c r="A18" s="4" t="s">
        <v>21</v>
      </c>
      <c r="B18" s="4" t="s">
        <v>43</v>
      </c>
      <c r="C18" s="4" t="s">
        <v>44</v>
      </c>
      <c r="D18" s="4" t="s">
        <v>45</v>
      </c>
      <c r="E18" s="4" t="s">
        <v>25</v>
      </c>
      <c r="F18" s="4" t="s">
        <v>25</v>
      </c>
      <c r="G18" s="4" t="s">
        <v>25</v>
      </c>
      <c r="H18" s="4" t="s">
        <v>25</v>
      </c>
      <c r="I18" s="5">
        <v>44256</v>
      </c>
      <c r="J18" s="6">
        <v>0</v>
      </c>
      <c r="K18" s="6">
        <v>0</v>
      </c>
      <c r="L18" s="6">
        <v>3124.4</v>
      </c>
      <c r="M18" s="6">
        <v>3124.4</v>
      </c>
      <c r="N18" s="6">
        <v>0</v>
      </c>
      <c r="O18" s="6">
        <v>0</v>
      </c>
      <c r="P18" s="6">
        <v>3</v>
      </c>
      <c r="Q18" s="4" t="s">
        <v>60</v>
      </c>
      <c r="R18" s="4">
        <v>0</v>
      </c>
      <c r="S18" s="4" t="s">
        <v>120</v>
      </c>
      <c r="U18" s="4">
        <v>0</v>
      </c>
      <c r="V18" s="4">
        <v>25</v>
      </c>
      <c r="W18" s="4">
        <v>0</v>
      </c>
    </row>
    <row r="19" spans="1:23" ht="11.25" customHeight="1" x14ac:dyDescent="0.25">
      <c r="A19" s="4" t="s">
        <v>21</v>
      </c>
      <c r="B19" s="4" t="s">
        <v>43</v>
      </c>
      <c r="C19" s="4" t="s">
        <v>44</v>
      </c>
      <c r="D19" s="4" t="s">
        <v>45</v>
      </c>
      <c r="E19" s="4" t="s">
        <v>25</v>
      </c>
      <c r="F19" s="4" t="s">
        <v>25</v>
      </c>
      <c r="G19" s="4" t="s">
        <v>25</v>
      </c>
      <c r="H19" s="4" t="s">
        <v>25</v>
      </c>
      <c r="I19" s="5">
        <v>44287</v>
      </c>
      <c r="J19" s="6">
        <v>0</v>
      </c>
      <c r="K19" s="6">
        <v>0</v>
      </c>
      <c r="L19" s="6">
        <v>3523.52</v>
      </c>
      <c r="M19" s="6">
        <v>3523.52</v>
      </c>
      <c r="N19" s="6">
        <v>0</v>
      </c>
      <c r="O19" s="6">
        <v>0</v>
      </c>
      <c r="P19" s="6">
        <v>3</v>
      </c>
      <c r="Q19" s="4" t="s">
        <v>60</v>
      </c>
      <c r="R19" s="4">
        <v>0</v>
      </c>
      <c r="S19" s="4" t="s">
        <v>121</v>
      </c>
      <c r="U19" s="4">
        <v>0</v>
      </c>
      <c r="V19" s="4">
        <v>25</v>
      </c>
      <c r="W19" s="4">
        <v>0</v>
      </c>
    </row>
    <row r="20" spans="1:23" ht="11.25" customHeight="1" x14ac:dyDescent="0.25">
      <c r="A20" s="4" t="s">
        <v>21</v>
      </c>
      <c r="B20" s="4" t="s">
        <v>43</v>
      </c>
      <c r="C20" s="4" t="s">
        <v>44</v>
      </c>
      <c r="D20" s="4" t="s">
        <v>45</v>
      </c>
      <c r="E20" s="4" t="s">
        <v>25</v>
      </c>
      <c r="F20" s="4" t="s">
        <v>25</v>
      </c>
      <c r="G20" s="4" t="s">
        <v>25</v>
      </c>
      <c r="H20" s="4" t="s">
        <v>25</v>
      </c>
      <c r="I20" s="5">
        <v>44317</v>
      </c>
      <c r="J20" s="6">
        <v>0</v>
      </c>
      <c r="K20" s="6">
        <v>0</v>
      </c>
      <c r="L20" s="6">
        <v>4059.7350000000001</v>
      </c>
      <c r="M20" s="6">
        <v>4059.7350000000001</v>
      </c>
      <c r="N20" s="6">
        <v>0</v>
      </c>
      <c r="O20" s="6">
        <v>0</v>
      </c>
      <c r="P20" s="6">
        <v>3</v>
      </c>
      <c r="Q20" s="4" t="s">
        <v>60</v>
      </c>
      <c r="R20" s="4">
        <v>0</v>
      </c>
      <c r="S20" s="4" t="s">
        <v>122</v>
      </c>
      <c r="U20" s="4">
        <v>0</v>
      </c>
      <c r="V20" s="4">
        <v>25</v>
      </c>
      <c r="W20" s="4">
        <v>0</v>
      </c>
    </row>
    <row r="21" spans="1:23" ht="11.25" customHeight="1" x14ac:dyDescent="0.25">
      <c r="A21" s="4" t="s">
        <v>21</v>
      </c>
      <c r="B21" s="4" t="s">
        <v>43</v>
      </c>
      <c r="C21" s="4" t="s">
        <v>44</v>
      </c>
      <c r="D21" s="4" t="s">
        <v>45</v>
      </c>
      <c r="E21" s="4" t="s">
        <v>25</v>
      </c>
      <c r="F21" s="4" t="s">
        <v>25</v>
      </c>
      <c r="G21" s="4" t="s">
        <v>25</v>
      </c>
      <c r="H21" s="4" t="s">
        <v>25</v>
      </c>
      <c r="I21" s="5">
        <v>44348</v>
      </c>
      <c r="J21" s="6">
        <v>0</v>
      </c>
      <c r="K21" s="6">
        <v>0</v>
      </c>
      <c r="L21" s="6">
        <v>1928.15</v>
      </c>
      <c r="M21" s="6">
        <v>1928.15</v>
      </c>
      <c r="N21" s="6">
        <v>0</v>
      </c>
      <c r="O21" s="6">
        <v>0</v>
      </c>
      <c r="P21" s="6">
        <v>3</v>
      </c>
      <c r="Q21" s="4" t="s">
        <v>60</v>
      </c>
      <c r="R21" s="4">
        <v>0</v>
      </c>
      <c r="S21" s="4" t="s">
        <v>123</v>
      </c>
      <c r="U21" s="4">
        <v>0</v>
      </c>
      <c r="V21" s="4">
        <v>25</v>
      </c>
      <c r="W21" s="4">
        <v>0</v>
      </c>
    </row>
    <row r="22" spans="1:23" ht="11.25" customHeight="1" x14ac:dyDescent="0.25">
      <c r="A22" s="4" t="s">
        <v>21</v>
      </c>
      <c r="B22" s="4" t="s">
        <v>43</v>
      </c>
      <c r="C22" s="4" t="s">
        <v>44</v>
      </c>
      <c r="D22" s="4" t="s">
        <v>45</v>
      </c>
      <c r="E22" s="4" t="s">
        <v>25</v>
      </c>
      <c r="F22" s="4" t="s">
        <v>25</v>
      </c>
      <c r="G22" s="4" t="s">
        <v>25</v>
      </c>
      <c r="H22" s="4" t="s">
        <v>25</v>
      </c>
      <c r="I22" s="5">
        <v>44378</v>
      </c>
      <c r="J22" s="6">
        <v>0</v>
      </c>
      <c r="K22" s="6">
        <v>0</v>
      </c>
      <c r="L22" s="6">
        <v>4466.1099999999997</v>
      </c>
      <c r="M22" s="6">
        <v>4466.1099999999997</v>
      </c>
      <c r="N22" s="6">
        <v>0</v>
      </c>
      <c r="O22" s="6">
        <v>0</v>
      </c>
      <c r="P22" s="6">
        <v>3</v>
      </c>
      <c r="Q22" s="4" t="s">
        <v>60</v>
      </c>
      <c r="R22" s="4">
        <v>0</v>
      </c>
      <c r="S22" s="4" t="s">
        <v>124</v>
      </c>
      <c r="U22" s="4">
        <v>0</v>
      </c>
      <c r="V22" s="4">
        <v>25</v>
      </c>
      <c r="W22" s="4">
        <v>0</v>
      </c>
    </row>
    <row r="23" spans="1:23" ht="11.25" customHeight="1" x14ac:dyDescent="0.25">
      <c r="A23" s="4" t="s">
        <v>21</v>
      </c>
      <c r="B23" s="4" t="s">
        <v>43</v>
      </c>
      <c r="C23" s="4" t="s">
        <v>44</v>
      </c>
      <c r="D23" s="4" t="s">
        <v>45</v>
      </c>
      <c r="E23" s="4" t="s">
        <v>25</v>
      </c>
      <c r="F23" s="4" t="s">
        <v>25</v>
      </c>
      <c r="G23" s="4" t="s">
        <v>25</v>
      </c>
      <c r="H23" s="4" t="s">
        <v>25</v>
      </c>
      <c r="I23" s="5">
        <v>44409</v>
      </c>
      <c r="J23" s="6">
        <v>0</v>
      </c>
      <c r="K23" s="6">
        <v>0</v>
      </c>
      <c r="L23" s="6">
        <v>4618.585</v>
      </c>
      <c r="M23" s="6">
        <v>4618.585</v>
      </c>
      <c r="N23" s="6">
        <v>0</v>
      </c>
      <c r="O23" s="6">
        <v>0</v>
      </c>
      <c r="P23" s="6">
        <v>3</v>
      </c>
      <c r="Q23" s="4" t="s">
        <v>60</v>
      </c>
      <c r="R23" s="4">
        <v>0</v>
      </c>
      <c r="S23" s="4" t="s">
        <v>125</v>
      </c>
      <c r="U23" s="4">
        <v>0</v>
      </c>
      <c r="V23" s="4">
        <v>25</v>
      </c>
      <c r="W23" s="4">
        <v>0</v>
      </c>
    </row>
    <row r="24" spans="1:23" ht="11.25" customHeight="1" x14ac:dyDescent="0.25">
      <c r="A24" s="4" t="s">
        <v>21</v>
      </c>
      <c r="B24" s="4" t="s">
        <v>43</v>
      </c>
      <c r="C24" s="4" t="s">
        <v>44</v>
      </c>
      <c r="D24" s="4" t="s">
        <v>45</v>
      </c>
      <c r="E24" s="4" t="s">
        <v>25</v>
      </c>
      <c r="F24" s="4" t="s">
        <v>25</v>
      </c>
      <c r="G24" s="4" t="s">
        <v>25</v>
      </c>
      <c r="H24" s="4" t="s">
        <v>25</v>
      </c>
      <c r="I24" s="5">
        <v>44440</v>
      </c>
      <c r="J24" s="6">
        <v>0</v>
      </c>
      <c r="K24" s="6">
        <v>0</v>
      </c>
      <c r="L24" s="6">
        <v>4423.01</v>
      </c>
      <c r="M24" s="6">
        <v>4423.01</v>
      </c>
      <c r="N24" s="6">
        <v>0</v>
      </c>
      <c r="O24" s="6">
        <v>0</v>
      </c>
      <c r="P24" s="6">
        <v>3</v>
      </c>
      <c r="Q24" s="4" t="s">
        <v>60</v>
      </c>
      <c r="R24" s="4">
        <v>0</v>
      </c>
      <c r="S24" s="4" t="s">
        <v>126</v>
      </c>
      <c r="U24" s="4">
        <v>0</v>
      </c>
      <c r="V24" s="4">
        <v>25</v>
      </c>
      <c r="W24" s="4">
        <v>0</v>
      </c>
    </row>
    <row r="25" spans="1:23" ht="11.25" customHeight="1" x14ac:dyDescent="0.25">
      <c r="A25" s="4" t="s">
        <v>59</v>
      </c>
      <c r="B25" s="4" t="s">
        <v>43</v>
      </c>
      <c r="C25" s="4" t="s">
        <v>44</v>
      </c>
      <c r="D25" s="4" t="s">
        <v>45</v>
      </c>
      <c r="E25" s="4" t="s">
        <v>25</v>
      </c>
      <c r="F25" s="4" t="s">
        <v>25</v>
      </c>
      <c r="G25" s="4" t="s">
        <v>25</v>
      </c>
      <c r="H25" s="4" t="s">
        <v>25</v>
      </c>
      <c r="I25" s="5">
        <v>44470</v>
      </c>
      <c r="J25" s="6">
        <v>0</v>
      </c>
      <c r="K25" s="6">
        <v>0</v>
      </c>
      <c r="L25" s="6">
        <v>4423.01</v>
      </c>
      <c r="M25" s="6">
        <v>4423.01</v>
      </c>
      <c r="N25" s="6">
        <v>0</v>
      </c>
      <c r="O25" s="6">
        <v>0</v>
      </c>
      <c r="P25" s="6">
        <v>3</v>
      </c>
      <c r="Q25" s="4" t="s">
        <v>60</v>
      </c>
      <c r="R25" s="4">
        <v>0</v>
      </c>
      <c r="S25" s="4" t="s">
        <v>127</v>
      </c>
      <c r="U25" s="4">
        <v>0</v>
      </c>
      <c r="V25" s="4">
        <v>25</v>
      </c>
      <c r="W25" s="4">
        <v>0</v>
      </c>
    </row>
    <row r="26" spans="1:23" ht="11.25" customHeight="1" x14ac:dyDescent="0.25">
      <c r="A26" s="4" t="s">
        <v>21</v>
      </c>
      <c r="B26" s="4" t="s">
        <v>43</v>
      </c>
      <c r="C26" s="4" t="s">
        <v>44</v>
      </c>
      <c r="D26" s="4" t="s">
        <v>45</v>
      </c>
      <c r="E26" s="4" t="s">
        <v>25</v>
      </c>
      <c r="F26" s="4" t="s">
        <v>25</v>
      </c>
      <c r="G26" s="4" t="s">
        <v>25</v>
      </c>
      <c r="H26" s="4" t="s">
        <v>37</v>
      </c>
      <c r="I26" s="5">
        <v>44136</v>
      </c>
      <c r="J26" s="6">
        <v>13260</v>
      </c>
      <c r="K26" s="6">
        <v>13260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60</v>
      </c>
      <c r="R26" s="4">
        <v>0</v>
      </c>
      <c r="S26" s="4" t="s">
        <v>128</v>
      </c>
      <c r="U26" s="4">
        <v>1</v>
      </c>
      <c r="V26" s="4">
        <v>0</v>
      </c>
      <c r="W26" s="4">
        <v>0</v>
      </c>
    </row>
    <row r="27" spans="1:23" ht="11.25" customHeight="1" x14ac:dyDescent="0.25">
      <c r="A27" s="4" t="s">
        <v>21</v>
      </c>
      <c r="B27" s="4" t="s">
        <v>43</v>
      </c>
      <c r="C27" s="4" t="s">
        <v>44</v>
      </c>
      <c r="D27" s="4" t="s">
        <v>45</v>
      </c>
      <c r="E27" s="4" t="s">
        <v>25</v>
      </c>
      <c r="F27" s="4" t="s">
        <v>25</v>
      </c>
      <c r="G27" s="4" t="s">
        <v>25</v>
      </c>
      <c r="H27" s="4" t="s">
        <v>37</v>
      </c>
      <c r="I27" s="5">
        <v>44166</v>
      </c>
      <c r="J27" s="6">
        <v>13260</v>
      </c>
      <c r="K27" s="6">
        <v>13260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60</v>
      </c>
      <c r="R27" s="4">
        <v>0</v>
      </c>
      <c r="S27" s="4" t="s">
        <v>129</v>
      </c>
      <c r="U27" s="4">
        <v>1</v>
      </c>
      <c r="V27" s="4">
        <v>0</v>
      </c>
      <c r="W27" s="4">
        <v>0</v>
      </c>
    </row>
    <row r="28" spans="1:23" ht="11.25" customHeight="1" x14ac:dyDescent="0.25">
      <c r="A28" s="4" t="s">
        <v>21</v>
      </c>
      <c r="B28" s="4" t="s">
        <v>43</v>
      </c>
      <c r="C28" s="4" t="s">
        <v>44</v>
      </c>
      <c r="D28" s="4" t="s">
        <v>45</v>
      </c>
      <c r="E28" s="4" t="s">
        <v>25</v>
      </c>
      <c r="F28" s="4" t="s">
        <v>25</v>
      </c>
      <c r="G28" s="4" t="s">
        <v>25</v>
      </c>
      <c r="H28" s="4" t="s">
        <v>37</v>
      </c>
      <c r="I28" s="5">
        <v>44197</v>
      </c>
      <c r="J28" s="6">
        <v>12260</v>
      </c>
      <c r="K28" s="6">
        <v>12260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60</v>
      </c>
      <c r="R28" s="4">
        <v>0</v>
      </c>
      <c r="S28" s="4" t="s">
        <v>130</v>
      </c>
      <c r="U28" s="4">
        <v>1</v>
      </c>
      <c r="V28" s="4">
        <v>0</v>
      </c>
      <c r="W28" s="4">
        <v>0</v>
      </c>
    </row>
    <row r="29" spans="1:23" ht="11.25" customHeight="1" x14ac:dyDescent="0.25">
      <c r="A29" s="4" t="s">
        <v>21</v>
      </c>
      <c r="B29" s="4" t="s">
        <v>43</v>
      </c>
      <c r="C29" s="4" t="s">
        <v>44</v>
      </c>
      <c r="D29" s="4" t="s">
        <v>45</v>
      </c>
      <c r="E29" s="4" t="s">
        <v>25</v>
      </c>
      <c r="F29" s="4" t="s">
        <v>25</v>
      </c>
      <c r="G29" s="4" t="s">
        <v>25</v>
      </c>
      <c r="H29" s="4" t="s">
        <v>37</v>
      </c>
      <c r="I29" s="5">
        <v>44228</v>
      </c>
      <c r="J29" s="6">
        <v>12260</v>
      </c>
      <c r="K29" s="6">
        <v>12260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60</v>
      </c>
      <c r="R29" s="4">
        <v>0</v>
      </c>
      <c r="S29" s="4" t="s">
        <v>131</v>
      </c>
      <c r="U29" s="4">
        <v>1</v>
      </c>
      <c r="V29" s="4">
        <v>0</v>
      </c>
      <c r="W29" s="4">
        <v>0</v>
      </c>
    </row>
    <row r="30" spans="1:23" ht="11.25" customHeight="1" x14ac:dyDescent="0.25">
      <c r="A30" s="4" t="s">
        <v>21</v>
      </c>
      <c r="B30" s="4" t="s">
        <v>43</v>
      </c>
      <c r="C30" s="4" t="s">
        <v>44</v>
      </c>
      <c r="D30" s="4" t="s">
        <v>45</v>
      </c>
      <c r="E30" s="4" t="s">
        <v>25</v>
      </c>
      <c r="F30" s="4" t="s">
        <v>25</v>
      </c>
      <c r="G30" s="4" t="s">
        <v>25</v>
      </c>
      <c r="H30" s="4" t="s">
        <v>37</v>
      </c>
      <c r="I30" s="5">
        <v>44256</v>
      </c>
      <c r="J30" s="6">
        <v>12260</v>
      </c>
      <c r="K30" s="6">
        <v>12260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60</v>
      </c>
      <c r="R30" s="4">
        <v>0</v>
      </c>
      <c r="S30" s="4" t="s">
        <v>132</v>
      </c>
      <c r="U30" s="4">
        <v>1</v>
      </c>
      <c r="V30" s="4">
        <v>0</v>
      </c>
      <c r="W30" s="4">
        <v>0</v>
      </c>
    </row>
    <row r="31" spans="1:23" ht="11.25" customHeight="1" x14ac:dyDescent="0.25">
      <c r="A31" s="4" t="s">
        <v>21</v>
      </c>
      <c r="B31" s="4" t="s">
        <v>43</v>
      </c>
      <c r="C31" s="4" t="s">
        <v>44</v>
      </c>
      <c r="D31" s="4" t="s">
        <v>45</v>
      </c>
      <c r="E31" s="4" t="s">
        <v>25</v>
      </c>
      <c r="F31" s="4" t="s">
        <v>25</v>
      </c>
      <c r="G31" s="4" t="s">
        <v>25</v>
      </c>
      <c r="H31" s="4" t="s">
        <v>37</v>
      </c>
      <c r="I31" s="5">
        <v>44287</v>
      </c>
      <c r="J31" s="6">
        <v>12260</v>
      </c>
      <c r="K31" s="6">
        <v>12260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60</v>
      </c>
      <c r="R31" s="4">
        <v>0</v>
      </c>
      <c r="S31" s="4" t="s">
        <v>133</v>
      </c>
      <c r="U31" s="4">
        <v>1</v>
      </c>
      <c r="V31" s="4">
        <v>0</v>
      </c>
      <c r="W31" s="4">
        <v>0</v>
      </c>
    </row>
    <row r="32" spans="1:23" ht="11.25" customHeight="1" x14ac:dyDescent="0.25">
      <c r="A32" s="4" t="s">
        <v>21</v>
      </c>
      <c r="B32" s="4" t="s">
        <v>43</v>
      </c>
      <c r="C32" s="4" t="s">
        <v>44</v>
      </c>
      <c r="D32" s="4" t="s">
        <v>45</v>
      </c>
      <c r="E32" s="4" t="s">
        <v>25</v>
      </c>
      <c r="F32" s="4" t="s">
        <v>25</v>
      </c>
      <c r="G32" s="4" t="s">
        <v>25</v>
      </c>
      <c r="H32" s="4" t="s">
        <v>37</v>
      </c>
      <c r="I32" s="5">
        <v>44317</v>
      </c>
      <c r="J32" s="6">
        <v>12260</v>
      </c>
      <c r="K32" s="6">
        <v>12260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60</v>
      </c>
      <c r="R32" s="4">
        <v>0</v>
      </c>
      <c r="S32" s="4" t="s">
        <v>134</v>
      </c>
      <c r="U32" s="4">
        <v>1</v>
      </c>
      <c r="V32" s="4">
        <v>0</v>
      </c>
      <c r="W32" s="4">
        <v>0</v>
      </c>
    </row>
    <row r="33" spans="1:23" ht="11.25" customHeight="1" x14ac:dyDescent="0.25">
      <c r="A33" s="4" t="s">
        <v>21</v>
      </c>
      <c r="B33" s="4" t="s">
        <v>43</v>
      </c>
      <c r="C33" s="4" t="s">
        <v>44</v>
      </c>
      <c r="D33" s="4" t="s">
        <v>45</v>
      </c>
      <c r="E33" s="4" t="s">
        <v>25</v>
      </c>
      <c r="F33" s="4" t="s">
        <v>25</v>
      </c>
      <c r="G33" s="4" t="s">
        <v>25</v>
      </c>
      <c r="H33" s="4" t="s">
        <v>37</v>
      </c>
      <c r="I33" s="5">
        <v>44348</v>
      </c>
      <c r="J33" s="6">
        <v>12260</v>
      </c>
      <c r="K33" s="6">
        <v>12260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60</v>
      </c>
      <c r="R33" s="4">
        <v>0</v>
      </c>
      <c r="S33" s="4" t="s">
        <v>135</v>
      </c>
      <c r="U33" s="4">
        <v>1</v>
      </c>
      <c r="V33" s="4">
        <v>0</v>
      </c>
      <c r="W33" s="4">
        <v>0</v>
      </c>
    </row>
    <row r="34" spans="1:23" ht="11.25" customHeight="1" x14ac:dyDescent="0.25">
      <c r="A34" s="4" t="s">
        <v>21</v>
      </c>
      <c r="B34" s="4" t="s">
        <v>43</v>
      </c>
      <c r="C34" s="4" t="s">
        <v>44</v>
      </c>
      <c r="D34" s="4" t="s">
        <v>45</v>
      </c>
      <c r="E34" s="4" t="s">
        <v>25</v>
      </c>
      <c r="F34" s="4" t="s">
        <v>25</v>
      </c>
      <c r="G34" s="4" t="s">
        <v>25</v>
      </c>
      <c r="H34" s="4" t="s">
        <v>37</v>
      </c>
      <c r="I34" s="5">
        <v>44378</v>
      </c>
      <c r="J34" s="6">
        <v>12260</v>
      </c>
      <c r="K34" s="6">
        <v>12260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60</v>
      </c>
      <c r="R34" s="4">
        <v>0</v>
      </c>
      <c r="S34" s="4" t="s">
        <v>136</v>
      </c>
      <c r="U34" s="4">
        <v>1</v>
      </c>
      <c r="V34" s="4">
        <v>0</v>
      </c>
      <c r="W34" s="4">
        <v>0</v>
      </c>
    </row>
    <row r="35" spans="1:23" ht="11.25" customHeight="1" x14ac:dyDescent="0.25">
      <c r="A35" s="4" t="s">
        <v>21</v>
      </c>
      <c r="B35" s="4" t="s">
        <v>43</v>
      </c>
      <c r="C35" s="4" t="s">
        <v>44</v>
      </c>
      <c r="D35" s="4" t="s">
        <v>45</v>
      </c>
      <c r="E35" s="4" t="s">
        <v>25</v>
      </c>
      <c r="F35" s="4" t="s">
        <v>25</v>
      </c>
      <c r="G35" s="4" t="s">
        <v>25</v>
      </c>
      <c r="H35" s="4" t="s">
        <v>37</v>
      </c>
      <c r="I35" s="5">
        <v>44409</v>
      </c>
      <c r="J35" s="6">
        <v>12260</v>
      </c>
      <c r="K35" s="6">
        <v>12260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60</v>
      </c>
      <c r="R35" s="4">
        <v>0</v>
      </c>
      <c r="S35" s="4" t="s">
        <v>137</v>
      </c>
      <c r="U35" s="4">
        <v>1</v>
      </c>
      <c r="V35" s="4">
        <v>0</v>
      </c>
      <c r="W35" s="4">
        <v>0</v>
      </c>
    </row>
    <row r="36" spans="1:23" ht="11.25" customHeight="1" x14ac:dyDescent="0.25">
      <c r="A36" s="4" t="s">
        <v>21</v>
      </c>
      <c r="B36" s="4" t="s">
        <v>43</v>
      </c>
      <c r="C36" s="4" t="s">
        <v>44</v>
      </c>
      <c r="D36" s="4" t="s">
        <v>45</v>
      </c>
      <c r="E36" s="4" t="s">
        <v>25</v>
      </c>
      <c r="F36" s="4" t="s">
        <v>25</v>
      </c>
      <c r="G36" s="4" t="s">
        <v>25</v>
      </c>
      <c r="H36" s="4" t="s">
        <v>37</v>
      </c>
      <c r="I36" s="5">
        <v>44440</v>
      </c>
      <c r="J36" s="6">
        <v>12260</v>
      </c>
      <c r="K36" s="6">
        <v>12260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60</v>
      </c>
      <c r="R36" s="4">
        <v>0</v>
      </c>
      <c r="S36" s="4" t="s">
        <v>138</v>
      </c>
      <c r="U36" s="4">
        <v>1</v>
      </c>
      <c r="V36" s="4">
        <v>0</v>
      </c>
      <c r="W36" s="4">
        <v>0</v>
      </c>
    </row>
    <row r="37" spans="1:23" ht="11.25" customHeight="1" x14ac:dyDescent="0.25">
      <c r="A37" s="4" t="s">
        <v>59</v>
      </c>
      <c r="B37" s="4" t="s">
        <v>43</v>
      </c>
      <c r="C37" s="4" t="s">
        <v>44</v>
      </c>
      <c r="D37" s="4" t="s">
        <v>45</v>
      </c>
      <c r="E37" s="4" t="s">
        <v>25</v>
      </c>
      <c r="F37" s="4" t="s">
        <v>25</v>
      </c>
      <c r="G37" s="4" t="s">
        <v>25</v>
      </c>
      <c r="H37" s="4" t="s">
        <v>37</v>
      </c>
      <c r="I37" s="5">
        <v>44470</v>
      </c>
      <c r="J37" s="6">
        <v>12260</v>
      </c>
      <c r="K37" s="6">
        <v>12260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60</v>
      </c>
      <c r="R37" s="4">
        <v>0</v>
      </c>
      <c r="S37" s="4" t="s">
        <v>139</v>
      </c>
      <c r="U37" s="4">
        <v>1</v>
      </c>
      <c r="V37" s="4">
        <v>0</v>
      </c>
      <c r="W37" s="4">
        <v>0</v>
      </c>
    </row>
    <row r="38" spans="1:23" ht="11.25" customHeight="1" x14ac:dyDescent="0.25">
      <c r="A38" s="4" t="s">
        <v>21</v>
      </c>
      <c r="B38" s="4" t="s">
        <v>43</v>
      </c>
      <c r="C38" s="4" t="s">
        <v>44</v>
      </c>
      <c r="D38" s="4" t="s">
        <v>42</v>
      </c>
      <c r="E38" s="4" t="s">
        <v>25</v>
      </c>
      <c r="F38" s="4" t="s">
        <v>62</v>
      </c>
      <c r="G38" s="4" t="s">
        <v>25</v>
      </c>
      <c r="H38" s="4" t="s">
        <v>38</v>
      </c>
      <c r="I38" s="5">
        <v>44136</v>
      </c>
      <c r="J38" s="6">
        <v>23256</v>
      </c>
      <c r="K38" s="6">
        <v>12241.9584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60</v>
      </c>
      <c r="R38" s="4">
        <v>0</v>
      </c>
      <c r="S38" s="4" t="s">
        <v>104</v>
      </c>
      <c r="U38" s="4">
        <v>2</v>
      </c>
      <c r="V38" s="4">
        <v>0</v>
      </c>
      <c r="W38" s="4">
        <v>0</v>
      </c>
    </row>
    <row r="39" spans="1:23" ht="11.25" customHeight="1" x14ac:dyDescent="0.25">
      <c r="A39" s="4" t="s">
        <v>21</v>
      </c>
      <c r="B39" s="4" t="s">
        <v>43</v>
      </c>
      <c r="C39" s="4" t="s">
        <v>44</v>
      </c>
      <c r="D39" s="4" t="s">
        <v>42</v>
      </c>
      <c r="E39" s="4" t="s">
        <v>25</v>
      </c>
      <c r="F39" s="4" t="s">
        <v>62</v>
      </c>
      <c r="G39" s="4" t="s">
        <v>25</v>
      </c>
      <c r="H39" s="4" t="s">
        <v>38</v>
      </c>
      <c r="I39" s="5">
        <v>44166</v>
      </c>
      <c r="J39" s="6">
        <v>23851</v>
      </c>
      <c r="K39" s="6">
        <v>14603.9673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60</v>
      </c>
      <c r="R39" s="4">
        <v>0</v>
      </c>
      <c r="S39" s="4" t="s">
        <v>105</v>
      </c>
      <c r="U39" s="4">
        <v>2</v>
      </c>
      <c r="V39" s="4">
        <v>0</v>
      </c>
      <c r="W39" s="4">
        <v>0</v>
      </c>
    </row>
    <row r="40" spans="1:23" ht="11.25" customHeight="1" x14ac:dyDescent="0.25">
      <c r="A40" s="4" t="s">
        <v>21</v>
      </c>
      <c r="B40" s="4" t="s">
        <v>43</v>
      </c>
      <c r="C40" s="4" t="s">
        <v>44</v>
      </c>
      <c r="D40" s="4" t="s">
        <v>42</v>
      </c>
      <c r="E40" s="4" t="s">
        <v>25</v>
      </c>
      <c r="F40" s="4" t="s">
        <v>62</v>
      </c>
      <c r="G40" s="4" t="s">
        <v>25</v>
      </c>
      <c r="H40" s="4" t="s">
        <v>38</v>
      </c>
      <c r="I40" s="5">
        <v>44197</v>
      </c>
      <c r="J40" s="6">
        <v>23851</v>
      </c>
      <c r="K40" s="6">
        <v>14603.9673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60</v>
      </c>
      <c r="R40" s="4">
        <v>0</v>
      </c>
      <c r="S40" s="4" t="s">
        <v>106</v>
      </c>
      <c r="U40" s="4">
        <v>2</v>
      </c>
      <c r="V40" s="4">
        <v>0</v>
      </c>
      <c r="W40" s="4">
        <v>0</v>
      </c>
    </row>
    <row r="41" spans="1:23" ht="11.25" customHeight="1" x14ac:dyDescent="0.25">
      <c r="A41" s="4" t="s">
        <v>21</v>
      </c>
      <c r="B41" s="4" t="s">
        <v>43</v>
      </c>
      <c r="C41" s="4" t="s">
        <v>44</v>
      </c>
      <c r="D41" s="4" t="s">
        <v>42</v>
      </c>
      <c r="E41" s="4" t="s">
        <v>25</v>
      </c>
      <c r="F41" s="4" t="s">
        <v>62</v>
      </c>
      <c r="G41" s="4" t="s">
        <v>25</v>
      </c>
      <c r="H41" s="4" t="s">
        <v>38</v>
      </c>
      <c r="I41" s="5">
        <v>44228</v>
      </c>
      <c r="J41" s="6">
        <v>23959</v>
      </c>
      <c r="K41" s="6">
        <v>14670.0957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60</v>
      </c>
      <c r="R41" s="4">
        <v>0</v>
      </c>
      <c r="S41" s="4" t="s">
        <v>107</v>
      </c>
      <c r="U41" s="4">
        <v>2</v>
      </c>
      <c r="V41" s="4">
        <v>0</v>
      </c>
      <c r="W41" s="4">
        <v>0</v>
      </c>
    </row>
    <row r="42" spans="1:23" ht="11.25" customHeight="1" x14ac:dyDescent="0.25">
      <c r="A42" s="4" t="s">
        <v>21</v>
      </c>
      <c r="B42" s="4" t="s">
        <v>43</v>
      </c>
      <c r="C42" s="4" t="s">
        <v>44</v>
      </c>
      <c r="D42" s="4" t="s">
        <v>42</v>
      </c>
      <c r="E42" s="4" t="s">
        <v>25</v>
      </c>
      <c r="F42" s="4" t="s">
        <v>62</v>
      </c>
      <c r="G42" s="4" t="s">
        <v>25</v>
      </c>
      <c r="H42" s="4" t="s">
        <v>38</v>
      </c>
      <c r="I42" s="5">
        <v>44256</v>
      </c>
      <c r="J42" s="6">
        <v>23851</v>
      </c>
      <c r="K42" s="6">
        <v>14603.9673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60</v>
      </c>
      <c r="R42" s="4">
        <v>0</v>
      </c>
      <c r="S42" s="4" t="s">
        <v>108</v>
      </c>
      <c r="U42" s="4">
        <v>2</v>
      </c>
      <c r="V42" s="4">
        <v>0</v>
      </c>
      <c r="W42" s="4">
        <v>0</v>
      </c>
    </row>
    <row r="43" spans="1:23" ht="11.25" customHeight="1" x14ac:dyDescent="0.25">
      <c r="A43" s="4" t="s">
        <v>21</v>
      </c>
      <c r="B43" s="4" t="s">
        <v>43</v>
      </c>
      <c r="C43" s="4" t="s">
        <v>44</v>
      </c>
      <c r="D43" s="4" t="s">
        <v>42</v>
      </c>
      <c r="E43" s="4" t="s">
        <v>25</v>
      </c>
      <c r="F43" s="4" t="s">
        <v>62</v>
      </c>
      <c r="G43" s="4" t="s">
        <v>25</v>
      </c>
      <c r="H43" s="4" t="s">
        <v>38</v>
      </c>
      <c r="I43" s="5">
        <v>44287</v>
      </c>
      <c r="J43" s="6">
        <v>23851</v>
      </c>
      <c r="K43" s="6">
        <v>14603.9673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60</v>
      </c>
      <c r="R43" s="4">
        <v>0</v>
      </c>
      <c r="S43" s="4" t="s">
        <v>109</v>
      </c>
      <c r="U43" s="4">
        <v>2</v>
      </c>
      <c r="V43" s="4">
        <v>0</v>
      </c>
      <c r="W43" s="4">
        <v>0</v>
      </c>
    </row>
    <row r="44" spans="1:23" ht="11.25" customHeight="1" x14ac:dyDescent="0.25">
      <c r="A44" s="4" t="s">
        <v>21</v>
      </c>
      <c r="B44" s="4" t="s">
        <v>43</v>
      </c>
      <c r="C44" s="4" t="s">
        <v>44</v>
      </c>
      <c r="D44" s="4" t="s">
        <v>42</v>
      </c>
      <c r="E44" s="4" t="s">
        <v>25</v>
      </c>
      <c r="F44" s="4" t="s">
        <v>62</v>
      </c>
      <c r="G44" s="4" t="s">
        <v>25</v>
      </c>
      <c r="H44" s="4" t="s">
        <v>38</v>
      </c>
      <c r="I44" s="5">
        <v>44317</v>
      </c>
      <c r="J44" s="6">
        <v>23851</v>
      </c>
      <c r="K44" s="6">
        <v>14603.9673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60</v>
      </c>
      <c r="R44" s="4">
        <v>0</v>
      </c>
      <c r="S44" s="4" t="s">
        <v>110</v>
      </c>
      <c r="U44" s="4">
        <v>2</v>
      </c>
      <c r="V44" s="4">
        <v>0</v>
      </c>
      <c r="W44" s="4">
        <v>0</v>
      </c>
    </row>
    <row r="45" spans="1:23" ht="11.25" customHeight="1" x14ac:dyDescent="0.25">
      <c r="A45" s="4" t="s">
        <v>21</v>
      </c>
      <c r="B45" s="4" t="s">
        <v>43</v>
      </c>
      <c r="C45" s="4" t="s">
        <v>44</v>
      </c>
      <c r="D45" s="4" t="s">
        <v>42</v>
      </c>
      <c r="E45" s="4" t="s">
        <v>25</v>
      </c>
      <c r="F45" s="4" t="s">
        <v>62</v>
      </c>
      <c r="G45" s="4" t="s">
        <v>25</v>
      </c>
      <c r="H45" s="4" t="s">
        <v>38</v>
      </c>
      <c r="I45" s="5">
        <v>44348</v>
      </c>
      <c r="J45" s="6">
        <v>23851</v>
      </c>
      <c r="K45" s="6">
        <v>14603.9673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60</v>
      </c>
      <c r="R45" s="4">
        <v>0</v>
      </c>
      <c r="S45" s="4" t="s">
        <v>111</v>
      </c>
      <c r="U45" s="4">
        <v>2</v>
      </c>
      <c r="V45" s="4">
        <v>0</v>
      </c>
      <c r="W45" s="4">
        <v>0</v>
      </c>
    </row>
    <row r="46" spans="1:23" ht="11.25" customHeight="1" x14ac:dyDescent="0.25">
      <c r="A46" s="4" t="s">
        <v>21</v>
      </c>
      <c r="B46" s="4" t="s">
        <v>43</v>
      </c>
      <c r="C46" s="4" t="s">
        <v>44</v>
      </c>
      <c r="D46" s="4" t="s">
        <v>42</v>
      </c>
      <c r="E46" s="4" t="s">
        <v>25</v>
      </c>
      <c r="F46" s="4" t="s">
        <v>62</v>
      </c>
      <c r="G46" s="4" t="s">
        <v>25</v>
      </c>
      <c r="H46" s="4" t="s">
        <v>38</v>
      </c>
      <c r="I46" s="5">
        <v>44378</v>
      </c>
      <c r="J46" s="6">
        <v>23851</v>
      </c>
      <c r="K46" s="6">
        <v>14603.9673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60</v>
      </c>
      <c r="R46" s="4">
        <v>0</v>
      </c>
      <c r="S46" s="4" t="s">
        <v>112</v>
      </c>
      <c r="U46" s="4">
        <v>2</v>
      </c>
      <c r="V46" s="4">
        <v>0</v>
      </c>
      <c r="W46" s="4">
        <v>0</v>
      </c>
    </row>
    <row r="47" spans="1:23" ht="11.25" customHeight="1" x14ac:dyDescent="0.25">
      <c r="A47" s="4" t="s">
        <v>21</v>
      </c>
      <c r="B47" s="4" t="s">
        <v>43</v>
      </c>
      <c r="C47" s="4" t="s">
        <v>44</v>
      </c>
      <c r="D47" s="4" t="s">
        <v>42</v>
      </c>
      <c r="E47" s="4" t="s">
        <v>25</v>
      </c>
      <c r="F47" s="4" t="s">
        <v>62</v>
      </c>
      <c r="G47" s="4" t="s">
        <v>25</v>
      </c>
      <c r="H47" s="4" t="s">
        <v>38</v>
      </c>
      <c r="I47" s="5">
        <v>44409</v>
      </c>
      <c r="J47" s="6">
        <v>26750</v>
      </c>
      <c r="K47" s="6">
        <v>16756.2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60</v>
      </c>
      <c r="R47" s="4">
        <v>0</v>
      </c>
      <c r="S47" s="4" t="s">
        <v>113</v>
      </c>
      <c r="U47" s="4">
        <v>2</v>
      </c>
      <c r="V47" s="4">
        <v>0</v>
      </c>
      <c r="W47" s="4">
        <v>0</v>
      </c>
    </row>
    <row r="48" spans="1:23" ht="11.25" customHeight="1" x14ac:dyDescent="0.25">
      <c r="A48" s="4" t="s">
        <v>21</v>
      </c>
      <c r="B48" s="4" t="s">
        <v>43</v>
      </c>
      <c r="C48" s="4" t="s">
        <v>44</v>
      </c>
      <c r="D48" s="4" t="s">
        <v>42</v>
      </c>
      <c r="E48" s="4" t="s">
        <v>25</v>
      </c>
      <c r="F48" s="4" t="s">
        <v>62</v>
      </c>
      <c r="G48" s="4" t="s">
        <v>25</v>
      </c>
      <c r="H48" s="4" t="s">
        <v>38</v>
      </c>
      <c r="I48" s="5">
        <v>44440</v>
      </c>
      <c r="J48" s="6">
        <v>26732</v>
      </c>
      <c r="K48" s="6">
        <v>16084.644399999999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60</v>
      </c>
      <c r="R48" s="4">
        <v>0</v>
      </c>
      <c r="S48" s="4" t="s">
        <v>114</v>
      </c>
      <c r="U48" s="4">
        <v>2</v>
      </c>
      <c r="V48" s="4">
        <v>0</v>
      </c>
      <c r="W48" s="4">
        <v>0</v>
      </c>
    </row>
    <row r="49" spans="1:23" ht="11.25" customHeight="1" x14ac:dyDescent="0.25">
      <c r="A49" s="4" t="s">
        <v>59</v>
      </c>
      <c r="B49" s="4" t="s">
        <v>43</v>
      </c>
      <c r="C49" s="4" t="s">
        <v>44</v>
      </c>
      <c r="D49" s="4" t="s">
        <v>42</v>
      </c>
      <c r="E49" s="4" t="s">
        <v>25</v>
      </c>
      <c r="F49" s="4" t="s">
        <v>62</v>
      </c>
      <c r="G49" s="4" t="s">
        <v>25</v>
      </c>
      <c r="H49" s="4" t="s">
        <v>38</v>
      </c>
      <c r="I49" s="5">
        <v>44470</v>
      </c>
      <c r="J49" s="6">
        <v>26732</v>
      </c>
      <c r="K49" s="6">
        <v>16084.644399999999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60</v>
      </c>
      <c r="R49" s="4">
        <v>0</v>
      </c>
      <c r="S49" s="4" t="s">
        <v>115</v>
      </c>
      <c r="U49" s="4">
        <v>2</v>
      </c>
      <c r="V49" s="4">
        <v>0</v>
      </c>
      <c r="W49" s="4">
        <v>0</v>
      </c>
    </row>
    <row r="50" spans="1:23" ht="11.25" customHeight="1" x14ac:dyDescent="0.25">
      <c r="A50" s="4" t="s">
        <v>21</v>
      </c>
      <c r="B50" s="4" t="s">
        <v>43</v>
      </c>
      <c r="C50" s="4" t="s">
        <v>44</v>
      </c>
      <c r="D50" s="4" t="s">
        <v>42</v>
      </c>
      <c r="E50" s="4" t="s">
        <v>25</v>
      </c>
      <c r="F50" s="4" t="s">
        <v>62</v>
      </c>
      <c r="G50" s="4" t="s">
        <v>25</v>
      </c>
      <c r="H50" s="4" t="s">
        <v>25</v>
      </c>
      <c r="I50" s="5">
        <v>44136</v>
      </c>
      <c r="J50" s="6">
        <v>0</v>
      </c>
      <c r="K50" s="6">
        <v>0</v>
      </c>
      <c r="L50" s="6">
        <v>6813.7240000000002</v>
      </c>
      <c r="M50" s="6">
        <v>6813.7240000000002</v>
      </c>
      <c r="N50" s="6">
        <v>0</v>
      </c>
      <c r="O50" s="6">
        <v>0</v>
      </c>
      <c r="P50" s="6">
        <v>9</v>
      </c>
      <c r="Q50" s="4" t="s">
        <v>60</v>
      </c>
      <c r="R50" s="4">
        <v>0</v>
      </c>
      <c r="S50" s="4" t="s">
        <v>116</v>
      </c>
      <c r="U50" s="4">
        <v>0</v>
      </c>
      <c r="V50" s="4">
        <v>25</v>
      </c>
      <c r="W50" s="4">
        <v>0</v>
      </c>
    </row>
    <row r="51" spans="1:23" ht="11.25" customHeight="1" x14ac:dyDescent="0.25">
      <c r="A51" s="4" t="s">
        <v>21</v>
      </c>
      <c r="B51" s="4" t="s">
        <v>43</v>
      </c>
      <c r="C51" s="4" t="s">
        <v>44</v>
      </c>
      <c r="D51" s="4" t="s">
        <v>42</v>
      </c>
      <c r="E51" s="4" t="s">
        <v>25</v>
      </c>
      <c r="F51" s="4" t="s">
        <v>62</v>
      </c>
      <c r="G51" s="4" t="s">
        <v>25</v>
      </c>
      <c r="H51" s="4" t="s">
        <v>25</v>
      </c>
      <c r="I51" s="5">
        <v>44166</v>
      </c>
      <c r="J51" s="6">
        <v>0</v>
      </c>
      <c r="K51" s="6">
        <v>0</v>
      </c>
      <c r="L51" s="6">
        <v>6483.4480000000003</v>
      </c>
      <c r="M51" s="6">
        <v>6483.4480000000003</v>
      </c>
      <c r="N51" s="6">
        <v>0</v>
      </c>
      <c r="O51" s="6">
        <v>0</v>
      </c>
      <c r="P51" s="6">
        <v>9</v>
      </c>
      <c r="Q51" s="4" t="s">
        <v>60</v>
      </c>
      <c r="R51" s="4">
        <v>0</v>
      </c>
      <c r="S51" s="4" t="s">
        <v>117</v>
      </c>
      <c r="U51" s="4">
        <v>0</v>
      </c>
      <c r="V51" s="4">
        <v>25</v>
      </c>
      <c r="W51" s="4">
        <v>0</v>
      </c>
    </row>
    <row r="52" spans="1:23" ht="11.25" customHeight="1" x14ac:dyDescent="0.25">
      <c r="A52" s="4" t="s">
        <v>21</v>
      </c>
      <c r="B52" s="4" t="s">
        <v>43</v>
      </c>
      <c r="C52" s="4" t="s">
        <v>44</v>
      </c>
      <c r="D52" s="4" t="s">
        <v>42</v>
      </c>
      <c r="E52" s="4" t="s">
        <v>25</v>
      </c>
      <c r="F52" s="4" t="s">
        <v>62</v>
      </c>
      <c r="G52" s="4" t="s">
        <v>25</v>
      </c>
      <c r="H52" s="4" t="s">
        <v>25</v>
      </c>
      <c r="I52" s="5">
        <v>44197</v>
      </c>
      <c r="J52" s="6">
        <v>0</v>
      </c>
      <c r="K52" s="6">
        <v>0</v>
      </c>
      <c r="L52" s="6">
        <v>4973.5590000000002</v>
      </c>
      <c r="M52" s="6">
        <v>4973.5590000000002</v>
      </c>
      <c r="N52" s="6">
        <v>0</v>
      </c>
      <c r="O52" s="6">
        <v>0</v>
      </c>
      <c r="P52" s="6">
        <v>9</v>
      </c>
      <c r="Q52" s="4" t="s">
        <v>60</v>
      </c>
      <c r="R52" s="4">
        <v>0</v>
      </c>
      <c r="S52" s="4" t="s">
        <v>118</v>
      </c>
      <c r="U52" s="4">
        <v>0</v>
      </c>
      <c r="V52" s="4">
        <v>25</v>
      </c>
      <c r="W52" s="4">
        <v>0</v>
      </c>
    </row>
    <row r="53" spans="1:23" ht="11.25" customHeight="1" x14ac:dyDescent="0.25">
      <c r="A53" s="4" t="s">
        <v>21</v>
      </c>
      <c r="B53" s="4" t="s">
        <v>43</v>
      </c>
      <c r="C53" s="4" t="s">
        <v>44</v>
      </c>
      <c r="D53" s="4" t="s">
        <v>42</v>
      </c>
      <c r="E53" s="4" t="s">
        <v>25</v>
      </c>
      <c r="F53" s="4" t="s">
        <v>62</v>
      </c>
      <c r="G53" s="4" t="s">
        <v>25</v>
      </c>
      <c r="H53" s="4" t="s">
        <v>25</v>
      </c>
      <c r="I53" s="5">
        <v>44228</v>
      </c>
      <c r="J53" s="6">
        <v>0</v>
      </c>
      <c r="K53" s="6">
        <v>0</v>
      </c>
      <c r="L53" s="6">
        <v>4976.5720000000001</v>
      </c>
      <c r="M53" s="6">
        <v>4976.5720000000001</v>
      </c>
      <c r="N53" s="6">
        <v>0</v>
      </c>
      <c r="O53" s="6">
        <v>0</v>
      </c>
      <c r="P53" s="6">
        <v>9</v>
      </c>
      <c r="Q53" s="4" t="s">
        <v>60</v>
      </c>
      <c r="R53" s="4">
        <v>0</v>
      </c>
      <c r="S53" s="4" t="s">
        <v>119</v>
      </c>
      <c r="U53" s="4">
        <v>0</v>
      </c>
      <c r="V53" s="4">
        <v>25</v>
      </c>
      <c r="W53" s="4">
        <v>0</v>
      </c>
    </row>
    <row r="54" spans="1:23" ht="11.25" customHeight="1" x14ac:dyDescent="0.25">
      <c r="A54" s="4" t="s">
        <v>21</v>
      </c>
      <c r="B54" s="4" t="s">
        <v>43</v>
      </c>
      <c r="C54" s="4" t="s">
        <v>44</v>
      </c>
      <c r="D54" s="4" t="s">
        <v>42</v>
      </c>
      <c r="E54" s="4" t="s">
        <v>25</v>
      </c>
      <c r="F54" s="4" t="s">
        <v>62</v>
      </c>
      <c r="G54" s="4" t="s">
        <v>25</v>
      </c>
      <c r="H54" s="4" t="s">
        <v>25</v>
      </c>
      <c r="I54" s="5">
        <v>44256</v>
      </c>
      <c r="J54" s="6">
        <v>0</v>
      </c>
      <c r="K54" s="6">
        <v>0</v>
      </c>
      <c r="L54" s="6">
        <v>6646.13</v>
      </c>
      <c r="M54" s="6">
        <v>6646.13</v>
      </c>
      <c r="N54" s="6">
        <v>0</v>
      </c>
      <c r="O54" s="6">
        <v>0</v>
      </c>
      <c r="P54" s="6">
        <v>9</v>
      </c>
      <c r="Q54" s="4" t="s">
        <v>60</v>
      </c>
      <c r="R54" s="4">
        <v>0</v>
      </c>
      <c r="S54" s="4" t="s">
        <v>120</v>
      </c>
      <c r="U54" s="4">
        <v>0</v>
      </c>
      <c r="V54" s="4">
        <v>25</v>
      </c>
      <c r="W54" s="4">
        <v>0</v>
      </c>
    </row>
    <row r="55" spans="1:23" ht="11.25" customHeight="1" x14ac:dyDescent="0.25">
      <c r="A55" s="4" t="s">
        <v>21</v>
      </c>
      <c r="B55" s="4" t="s">
        <v>43</v>
      </c>
      <c r="C55" s="4" t="s">
        <v>44</v>
      </c>
      <c r="D55" s="4" t="s">
        <v>42</v>
      </c>
      <c r="E55" s="4" t="s">
        <v>25</v>
      </c>
      <c r="F55" s="4" t="s">
        <v>62</v>
      </c>
      <c r="G55" s="4" t="s">
        <v>25</v>
      </c>
      <c r="H55" s="4" t="s">
        <v>25</v>
      </c>
      <c r="I55" s="5">
        <v>44287</v>
      </c>
      <c r="J55" s="6">
        <v>0</v>
      </c>
      <c r="K55" s="6">
        <v>0</v>
      </c>
      <c r="L55" s="6">
        <v>6696.0010000000002</v>
      </c>
      <c r="M55" s="6">
        <v>6696.0010000000002</v>
      </c>
      <c r="N55" s="6">
        <v>0</v>
      </c>
      <c r="O55" s="6">
        <v>0</v>
      </c>
      <c r="P55" s="6">
        <v>9</v>
      </c>
      <c r="Q55" s="4" t="s">
        <v>60</v>
      </c>
      <c r="R55" s="4">
        <v>0</v>
      </c>
      <c r="S55" s="4" t="s">
        <v>121</v>
      </c>
      <c r="U55" s="4">
        <v>0</v>
      </c>
      <c r="V55" s="4">
        <v>25</v>
      </c>
      <c r="W55" s="4">
        <v>0</v>
      </c>
    </row>
    <row r="56" spans="1:23" ht="11.25" customHeight="1" x14ac:dyDescent="0.25">
      <c r="A56" s="4" t="s">
        <v>21</v>
      </c>
      <c r="B56" s="4" t="s">
        <v>43</v>
      </c>
      <c r="C56" s="4" t="s">
        <v>44</v>
      </c>
      <c r="D56" s="4" t="s">
        <v>42</v>
      </c>
      <c r="E56" s="4" t="s">
        <v>25</v>
      </c>
      <c r="F56" s="4" t="s">
        <v>62</v>
      </c>
      <c r="G56" s="4" t="s">
        <v>25</v>
      </c>
      <c r="H56" s="4" t="s">
        <v>25</v>
      </c>
      <c r="I56" s="5">
        <v>44317</v>
      </c>
      <c r="J56" s="6">
        <v>0</v>
      </c>
      <c r="K56" s="6">
        <v>0</v>
      </c>
      <c r="L56" s="6">
        <v>7155.2470000000003</v>
      </c>
      <c r="M56" s="6">
        <v>7155.2470000000003</v>
      </c>
      <c r="N56" s="6">
        <v>0</v>
      </c>
      <c r="O56" s="6">
        <v>0</v>
      </c>
      <c r="P56" s="6">
        <v>9</v>
      </c>
      <c r="Q56" s="4" t="s">
        <v>60</v>
      </c>
      <c r="R56" s="4">
        <v>0</v>
      </c>
      <c r="S56" s="4" t="s">
        <v>122</v>
      </c>
      <c r="U56" s="4">
        <v>0</v>
      </c>
      <c r="V56" s="4">
        <v>25</v>
      </c>
      <c r="W56" s="4">
        <v>0</v>
      </c>
    </row>
    <row r="57" spans="1:23" ht="11.25" customHeight="1" x14ac:dyDescent="0.25">
      <c r="A57" s="4" t="s">
        <v>21</v>
      </c>
      <c r="B57" s="4" t="s">
        <v>43</v>
      </c>
      <c r="C57" s="4" t="s">
        <v>44</v>
      </c>
      <c r="D57" s="4" t="s">
        <v>42</v>
      </c>
      <c r="E57" s="4" t="s">
        <v>25</v>
      </c>
      <c r="F57" s="4" t="s">
        <v>62</v>
      </c>
      <c r="G57" s="4" t="s">
        <v>25</v>
      </c>
      <c r="H57" s="4" t="s">
        <v>25</v>
      </c>
      <c r="I57" s="5">
        <v>44348</v>
      </c>
      <c r="J57" s="6">
        <v>0</v>
      </c>
      <c r="K57" s="6">
        <v>0</v>
      </c>
      <c r="L57" s="6">
        <v>4973.5590000000002</v>
      </c>
      <c r="M57" s="6">
        <v>4973.5590000000002</v>
      </c>
      <c r="N57" s="6">
        <v>0</v>
      </c>
      <c r="O57" s="6">
        <v>0</v>
      </c>
      <c r="P57" s="6">
        <v>9</v>
      </c>
      <c r="Q57" s="4" t="s">
        <v>60</v>
      </c>
      <c r="R57" s="4">
        <v>0</v>
      </c>
      <c r="S57" s="4" t="s">
        <v>123</v>
      </c>
      <c r="U57" s="4">
        <v>0</v>
      </c>
      <c r="V57" s="4">
        <v>25</v>
      </c>
      <c r="W57" s="4">
        <v>0</v>
      </c>
    </row>
    <row r="58" spans="1:23" ht="11.25" customHeight="1" x14ac:dyDescent="0.25">
      <c r="A58" s="4" t="s">
        <v>21</v>
      </c>
      <c r="B58" s="4" t="s">
        <v>43</v>
      </c>
      <c r="C58" s="4" t="s">
        <v>44</v>
      </c>
      <c r="D58" s="4" t="s">
        <v>42</v>
      </c>
      <c r="E58" s="4" t="s">
        <v>25</v>
      </c>
      <c r="F58" s="4" t="s">
        <v>62</v>
      </c>
      <c r="G58" s="4" t="s">
        <v>25</v>
      </c>
      <c r="H58" s="4" t="s">
        <v>25</v>
      </c>
      <c r="I58" s="5">
        <v>44378</v>
      </c>
      <c r="J58" s="6">
        <v>0</v>
      </c>
      <c r="K58" s="6">
        <v>0</v>
      </c>
      <c r="L58" s="6">
        <v>6277.7579999999998</v>
      </c>
      <c r="M58" s="6">
        <v>6277.7579999999998</v>
      </c>
      <c r="N58" s="6">
        <v>0</v>
      </c>
      <c r="O58" s="6">
        <v>0</v>
      </c>
      <c r="P58" s="6">
        <v>9</v>
      </c>
      <c r="Q58" s="4" t="s">
        <v>60</v>
      </c>
      <c r="R58" s="4">
        <v>0</v>
      </c>
      <c r="S58" s="4" t="s">
        <v>124</v>
      </c>
      <c r="U58" s="4">
        <v>0</v>
      </c>
      <c r="V58" s="4">
        <v>25</v>
      </c>
      <c r="W58" s="4">
        <v>0</v>
      </c>
    </row>
    <row r="59" spans="1:23" ht="11.25" customHeight="1" x14ac:dyDescent="0.25">
      <c r="A59" s="4" t="s">
        <v>21</v>
      </c>
      <c r="B59" s="4" t="s">
        <v>43</v>
      </c>
      <c r="C59" s="4" t="s">
        <v>44</v>
      </c>
      <c r="D59" s="4" t="s">
        <v>42</v>
      </c>
      <c r="E59" s="4" t="s">
        <v>25</v>
      </c>
      <c r="F59" s="4" t="s">
        <v>62</v>
      </c>
      <c r="G59" s="4" t="s">
        <v>25</v>
      </c>
      <c r="H59" s="4" t="s">
        <v>25</v>
      </c>
      <c r="I59" s="5">
        <v>44409</v>
      </c>
      <c r="J59" s="6">
        <v>0</v>
      </c>
      <c r="K59" s="6">
        <v>0</v>
      </c>
      <c r="L59" s="6">
        <v>8817.0329999999994</v>
      </c>
      <c r="M59" s="6">
        <v>8817.0329999999994</v>
      </c>
      <c r="N59" s="6">
        <v>0</v>
      </c>
      <c r="O59" s="6">
        <v>0</v>
      </c>
      <c r="P59" s="6">
        <v>10</v>
      </c>
      <c r="Q59" s="4" t="s">
        <v>60</v>
      </c>
      <c r="R59" s="4">
        <v>0</v>
      </c>
      <c r="S59" s="4" t="s">
        <v>125</v>
      </c>
      <c r="U59" s="4">
        <v>0</v>
      </c>
      <c r="V59" s="4">
        <v>25</v>
      </c>
      <c r="W59" s="4">
        <v>0</v>
      </c>
    </row>
    <row r="60" spans="1:23" ht="11.25" customHeight="1" x14ac:dyDescent="0.25">
      <c r="A60" s="4" t="s">
        <v>21</v>
      </c>
      <c r="B60" s="4" t="s">
        <v>43</v>
      </c>
      <c r="C60" s="4" t="s">
        <v>44</v>
      </c>
      <c r="D60" s="4" t="s">
        <v>42</v>
      </c>
      <c r="E60" s="4" t="s">
        <v>25</v>
      </c>
      <c r="F60" s="4" t="s">
        <v>62</v>
      </c>
      <c r="G60" s="4" t="s">
        <v>25</v>
      </c>
      <c r="H60" s="4" t="s">
        <v>25</v>
      </c>
      <c r="I60" s="5">
        <v>44440</v>
      </c>
      <c r="J60" s="6">
        <v>0</v>
      </c>
      <c r="K60" s="6">
        <v>0</v>
      </c>
      <c r="L60" s="6">
        <v>8915.491</v>
      </c>
      <c r="M60" s="6">
        <v>8915.491</v>
      </c>
      <c r="N60" s="6">
        <v>0</v>
      </c>
      <c r="O60" s="6">
        <v>0</v>
      </c>
      <c r="P60" s="6">
        <v>10</v>
      </c>
      <c r="Q60" s="4" t="s">
        <v>60</v>
      </c>
      <c r="R60" s="4">
        <v>0</v>
      </c>
      <c r="S60" s="4" t="s">
        <v>126</v>
      </c>
      <c r="U60" s="4">
        <v>0</v>
      </c>
      <c r="V60" s="4">
        <v>25</v>
      </c>
      <c r="W60" s="4">
        <v>0</v>
      </c>
    </row>
    <row r="61" spans="1:23" ht="11.25" customHeight="1" x14ac:dyDescent="0.25">
      <c r="A61" s="4" t="s">
        <v>59</v>
      </c>
      <c r="B61" s="4" t="s">
        <v>43</v>
      </c>
      <c r="C61" s="4" t="s">
        <v>44</v>
      </c>
      <c r="D61" s="4" t="s">
        <v>42</v>
      </c>
      <c r="E61" s="4" t="s">
        <v>25</v>
      </c>
      <c r="F61" s="4" t="s">
        <v>62</v>
      </c>
      <c r="G61" s="4" t="s">
        <v>25</v>
      </c>
      <c r="H61" s="4" t="s">
        <v>25</v>
      </c>
      <c r="I61" s="5">
        <v>44470</v>
      </c>
      <c r="J61" s="6">
        <v>0</v>
      </c>
      <c r="K61" s="6">
        <v>0</v>
      </c>
      <c r="L61" s="6">
        <v>8915.491</v>
      </c>
      <c r="M61" s="6">
        <v>8915.491</v>
      </c>
      <c r="N61" s="6">
        <v>0</v>
      </c>
      <c r="O61" s="6">
        <v>0</v>
      </c>
      <c r="P61" s="6">
        <v>10</v>
      </c>
      <c r="Q61" s="4" t="s">
        <v>60</v>
      </c>
      <c r="R61" s="4">
        <v>0</v>
      </c>
      <c r="S61" s="4" t="s">
        <v>127</v>
      </c>
      <c r="U61" s="4">
        <v>0</v>
      </c>
      <c r="V61" s="4">
        <v>25</v>
      </c>
      <c r="W61" s="4">
        <v>0</v>
      </c>
    </row>
    <row r="62" spans="1:23" ht="11.25" customHeight="1" x14ac:dyDescent="0.25">
      <c r="A62" s="4" t="s">
        <v>21</v>
      </c>
      <c r="B62" s="4" t="s">
        <v>43</v>
      </c>
      <c r="C62" s="4" t="s">
        <v>44</v>
      </c>
      <c r="D62" s="4" t="s">
        <v>42</v>
      </c>
      <c r="E62" s="4" t="s">
        <v>25</v>
      </c>
      <c r="F62" s="4" t="s">
        <v>62</v>
      </c>
      <c r="G62" s="4" t="s">
        <v>25</v>
      </c>
      <c r="H62" s="4" t="s">
        <v>37</v>
      </c>
      <c r="I62" s="5">
        <v>44136</v>
      </c>
      <c r="J62" s="6">
        <v>20434</v>
      </c>
      <c r="K62" s="6">
        <v>10756.4576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60</v>
      </c>
      <c r="R62" s="4">
        <v>0</v>
      </c>
      <c r="S62" s="4" t="s">
        <v>128</v>
      </c>
      <c r="U62" s="4">
        <v>1</v>
      </c>
      <c r="V62" s="4">
        <v>0</v>
      </c>
      <c r="W62" s="4">
        <v>0</v>
      </c>
    </row>
    <row r="63" spans="1:23" ht="11.25" customHeight="1" x14ac:dyDescent="0.25">
      <c r="A63" s="4" t="s">
        <v>21</v>
      </c>
      <c r="B63" s="4" t="s">
        <v>43</v>
      </c>
      <c r="C63" s="4" t="s">
        <v>44</v>
      </c>
      <c r="D63" s="4" t="s">
        <v>42</v>
      </c>
      <c r="E63" s="4" t="s">
        <v>25</v>
      </c>
      <c r="F63" s="4" t="s">
        <v>62</v>
      </c>
      <c r="G63" s="4" t="s">
        <v>25</v>
      </c>
      <c r="H63" s="4" t="s">
        <v>37</v>
      </c>
      <c r="I63" s="5">
        <v>44166</v>
      </c>
      <c r="J63" s="6">
        <v>21254</v>
      </c>
      <c r="K63" s="6">
        <v>13013.824199999999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60</v>
      </c>
      <c r="R63" s="4">
        <v>0</v>
      </c>
      <c r="S63" s="4" t="s">
        <v>129</v>
      </c>
      <c r="U63" s="4">
        <v>1</v>
      </c>
      <c r="V63" s="4">
        <v>0</v>
      </c>
      <c r="W63" s="4">
        <v>0</v>
      </c>
    </row>
    <row r="64" spans="1:23" ht="11.25" customHeight="1" x14ac:dyDescent="0.25">
      <c r="A64" s="4" t="s">
        <v>21</v>
      </c>
      <c r="B64" s="4" t="s">
        <v>43</v>
      </c>
      <c r="C64" s="4" t="s">
        <v>44</v>
      </c>
      <c r="D64" s="4" t="s">
        <v>42</v>
      </c>
      <c r="E64" s="4" t="s">
        <v>25</v>
      </c>
      <c r="F64" s="4" t="s">
        <v>62</v>
      </c>
      <c r="G64" s="4" t="s">
        <v>25</v>
      </c>
      <c r="H64" s="4" t="s">
        <v>37</v>
      </c>
      <c r="I64" s="5">
        <v>44197</v>
      </c>
      <c r="J64" s="6">
        <v>21228</v>
      </c>
      <c r="K64" s="6">
        <v>12997.904399999999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60</v>
      </c>
      <c r="R64" s="4">
        <v>0</v>
      </c>
      <c r="S64" s="4" t="s">
        <v>130</v>
      </c>
      <c r="U64" s="4">
        <v>1</v>
      </c>
      <c r="V64" s="4">
        <v>0</v>
      </c>
      <c r="W64" s="4">
        <v>0</v>
      </c>
    </row>
    <row r="65" spans="1:23" ht="11.25" customHeight="1" x14ac:dyDescent="0.25">
      <c r="A65" s="4" t="s">
        <v>21</v>
      </c>
      <c r="B65" s="4" t="s">
        <v>43</v>
      </c>
      <c r="C65" s="4" t="s">
        <v>44</v>
      </c>
      <c r="D65" s="4" t="s">
        <v>42</v>
      </c>
      <c r="E65" s="4" t="s">
        <v>25</v>
      </c>
      <c r="F65" s="4" t="s">
        <v>62</v>
      </c>
      <c r="G65" s="4" t="s">
        <v>25</v>
      </c>
      <c r="H65" s="4" t="s">
        <v>37</v>
      </c>
      <c r="I65" s="5">
        <v>44228</v>
      </c>
      <c r="J65" s="6">
        <v>21228</v>
      </c>
      <c r="K65" s="6">
        <v>12997.904399999999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60</v>
      </c>
      <c r="R65" s="4">
        <v>0</v>
      </c>
      <c r="S65" s="4" t="s">
        <v>131</v>
      </c>
      <c r="U65" s="4">
        <v>1</v>
      </c>
      <c r="V65" s="4">
        <v>0</v>
      </c>
      <c r="W65" s="4">
        <v>0</v>
      </c>
    </row>
    <row r="66" spans="1:23" ht="11.25" customHeight="1" x14ac:dyDescent="0.25">
      <c r="A66" s="4" t="s">
        <v>21</v>
      </c>
      <c r="B66" s="4" t="s">
        <v>43</v>
      </c>
      <c r="C66" s="4" t="s">
        <v>44</v>
      </c>
      <c r="D66" s="4" t="s">
        <v>42</v>
      </c>
      <c r="E66" s="4" t="s">
        <v>25</v>
      </c>
      <c r="F66" s="4" t="s">
        <v>62</v>
      </c>
      <c r="G66" s="4" t="s">
        <v>25</v>
      </c>
      <c r="H66" s="4" t="s">
        <v>37</v>
      </c>
      <c r="I66" s="5">
        <v>44256</v>
      </c>
      <c r="J66" s="6">
        <v>21228</v>
      </c>
      <c r="K66" s="6">
        <v>12997.904399999999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60</v>
      </c>
      <c r="R66" s="4">
        <v>0</v>
      </c>
      <c r="S66" s="4" t="s">
        <v>132</v>
      </c>
      <c r="U66" s="4">
        <v>1</v>
      </c>
      <c r="V66" s="4">
        <v>0</v>
      </c>
      <c r="W66" s="4">
        <v>0</v>
      </c>
    </row>
    <row r="67" spans="1:23" ht="11.25" customHeight="1" x14ac:dyDescent="0.25">
      <c r="A67" s="4" t="s">
        <v>21</v>
      </c>
      <c r="B67" s="4" t="s">
        <v>43</v>
      </c>
      <c r="C67" s="4" t="s">
        <v>44</v>
      </c>
      <c r="D67" s="4" t="s">
        <v>42</v>
      </c>
      <c r="E67" s="4" t="s">
        <v>25</v>
      </c>
      <c r="F67" s="4" t="s">
        <v>62</v>
      </c>
      <c r="G67" s="4" t="s">
        <v>25</v>
      </c>
      <c r="H67" s="4" t="s">
        <v>37</v>
      </c>
      <c r="I67" s="5">
        <v>44287</v>
      </c>
      <c r="J67" s="6">
        <v>21228</v>
      </c>
      <c r="K67" s="6">
        <v>12997.904399999999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60</v>
      </c>
      <c r="R67" s="4">
        <v>0</v>
      </c>
      <c r="S67" s="4" t="s">
        <v>133</v>
      </c>
      <c r="U67" s="4">
        <v>1</v>
      </c>
      <c r="V67" s="4">
        <v>0</v>
      </c>
      <c r="W67" s="4">
        <v>0</v>
      </c>
    </row>
    <row r="68" spans="1:23" ht="11.25" customHeight="1" x14ac:dyDescent="0.25">
      <c r="A68" s="4" t="s">
        <v>21</v>
      </c>
      <c r="B68" s="4" t="s">
        <v>43</v>
      </c>
      <c r="C68" s="4" t="s">
        <v>44</v>
      </c>
      <c r="D68" s="4" t="s">
        <v>42</v>
      </c>
      <c r="E68" s="4" t="s">
        <v>25</v>
      </c>
      <c r="F68" s="4" t="s">
        <v>62</v>
      </c>
      <c r="G68" s="4" t="s">
        <v>25</v>
      </c>
      <c r="H68" s="4" t="s">
        <v>37</v>
      </c>
      <c r="I68" s="5">
        <v>44317</v>
      </c>
      <c r="J68" s="6">
        <v>21228</v>
      </c>
      <c r="K68" s="6">
        <v>12997.904399999999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60</v>
      </c>
      <c r="R68" s="4">
        <v>0</v>
      </c>
      <c r="S68" s="4" t="s">
        <v>134</v>
      </c>
      <c r="U68" s="4">
        <v>1</v>
      </c>
      <c r="V68" s="4">
        <v>0</v>
      </c>
      <c r="W68" s="4">
        <v>0</v>
      </c>
    </row>
    <row r="69" spans="1:23" ht="11.25" customHeight="1" x14ac:dyDescent="0.25">
      <c r="A69" s="4" t="s">
        <v>21</v>
      </c>
      <c r="B69" s="4" t="s">
        <v>43</v>
      </c>
      <c r="C69" s="4" t="s">
        <v>44</v>
      </c>
      <c r="D69" s="4" t="s">
        <v>42</v>
      </c>
      <c r="E69" s="4" t="s">
        <v>25</v>
      </c>
      <c r="F69" s="4" t="s">
        <v>62</v>
      </c>
      <c r="G69" s="4" t="s">
        <v>25</v>
      </c>
      <c r="H69" s="4" t="s">
        <v>37</v>
      </c>
      <c r="I69" s="5">
        <v>44348</v>
      </c>
      <c r="J69" s="6">
        <v>21228</v>
      </c>
      <c r="K69" s="6">
        <v>12997.904399999999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60</v>
      </c>
      <c r="R69" s="4">
        <v>0</v>
      </c>
      <c r="S69" s="4" t="s">
        <v>135</v>
      </c>
      <c r="U69" s="4">
        <v>1</v>
      </c>
      <c r="V69" s="4">
        <v>0</v>
      </c>
      <c r="W69" s="4">
        <v>0</v>
      </c>
    </row>
    <row r="70" spans="1:23" ht="11.25" customHeight="1" x14ac:dyDescent="0.25">
      <c r="A70" s="4" t="s">
        <v>21</v>
      </c>
      <c r="B70" s="4" t="s">
        <v>43</v>
      </c>
      <c r="C70" s="4" t="s">
        <v>44</v>
      </c>
      <c r="D70" s="4" t="s">
        <v>42</v>
      </c>
      <c r="E70" s="4" t="s">
        <v>25</v>
      </c>
      <c r="F70" s="4" t="s">
        <v>62</v>
      </c>
      <c r="G70" s="4" t="s">
        <v>25</v>
      </c>
      <c r="H70" s="4" t="s">
        <v>37</v>
      </c>
      <c r="I70" s="5">
        <v>44378</v>
      </c>
      <c r="J70" s="6">
        <v>21228</v>
      </c>
      <c r="K70" s="6">
        <v>12997.904399999999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60</v>
      </c>
      <c r="R70" s="4">
        <v>0</v>
      </c>
      <c r="S70" s="4" t="s">
        <v>136</v>
      </c>
      <c r="U70" s="4">
        <v>1</v>
      </c>
      <c r="V70" s="4">
        <v>0</v>
      </c>
      <c r="W70" s="4">
        <v>0</v>
      </c>
    </row>
    <row r="71" spans="1:23" ht="11.25" customHeight="1" x14ac:dyDescent="0.25">
      <c r="A71" s="4" t="s">
        <v>21</v>
      </c>
      <c r="B71" s="4" t="s">
        <v>43</v>
      </c>
      <c r="C71" s="4" t="s">
        <v>44</v>
      </c>
      <c r="D71" s="4" t="s">
        <v>42</v>
      </c>
      <c r="E71" s="4" t="s">
        <v>25</v>
      </c>
      <c r="F71" s="4" t="s">
        <v>62</v>
      </c>
      <c r="G71" s="4" t="s">
        <v>25</v>
      </c>
      <c r="H71" s="4" t="s">
        <v>37</v>
      </c>
      <c r="I71" s="5">
        <v>44409</v>
      </c>
      <c r="J71" s="6">
        <v>23872</v>
      </c>
      <c r="K71" s="6">
        <v>14953.4208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60</v>
      </c>
      <c r="R71" s="4">
        <v>0</v>
      </c>
      <c r="S71" s="4" t="s">
        <v>137</v>
      </c>
      <c r="U71" s="4">
        <v>1</v>
      </c>
      <c r="V71" s="4">
        <v>0</v>
      </c>
      <c r="W71" s="4">
        <v>0</v>
      </c>
    </row>
    <row r="72" spans="1:23" ht="11.25" customHeight="1" x14ac:dyDescent="0.25">
      <c r="A72" s="4" t="s">
        <v>21</v>
      </c>
      <c r="B72" s="4" t="s">
        <v>43</v>
      </c>
      <c r="C72" s="4" t="s">
        <v>44</v>
      </c>
      <c r="D72" s="4" t="s">
        <v>42</v>
      </c>
      <c r="E72" s="4" t="s">
        <v>25</v>
      </c>
      <c r="F72" s="4" t="s">
        <v>62</v>
      </c>
      <c r="G72" s="4" t="s">
        <v>25</v>
      </c>
      <c r="H72" s="4" t="s">
        <v>37</v>
      </c>
      <c r="I72" s="5">
        <v>44440</v>
      </c>
      <c r="J72" s="6">
        <v>24156</v>
      </c>
      <c r="K72" s="6">
        <v>14534.665199999999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60</v>
      </c>
      <c r="R72" s="4">
        <v>0</v>
      </c>
      <c r="S72" s="4" t="s">
        <v>138</v>
      </c>
      <c r="U72" s="4">
        <v>1</v>
      </c>
      <c r="V72" s="4">
        <v>0</v>
      </c>
      <c r="W72" s="4">
        <v>0</v>
      </c>
    </row>
    <row r="73" spans="1:23" ht="11.25" customHeight="1" x14ac:dyDescent="0.25">
      <c r="A73" s="4" t="s">
        <v>59</v>
      </c>
      <c r="B73" s="4" t="s">
        <v>43</v>
      </c>
      <c r="C73" s="4" t="s">
        <v>44</v>
      </c>
      <c r="D73" s="4" t="s">
        <v>42</v>
      </c>
      <c r="E73" s="4" t="s">
        <v>25</v>
      </c>
      <c r="F73" s="4" t="s">
        <v>62</v>
      </c>
      <c r="G73" s="4" t="s">
        <v>25</v>
      </c>
      <c r="H73" s="4" t="s">
        <v>37</v>
      </c>
      <c r="I73" s="5">
        <v>44470</v>
      </c>
      <c r="J73" s="6">
        <v>24156</v>
      </c>
      <c r="K73" s="6">
        <v>14534.665199999999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60</v>
      </c>
      <c r="R73" s="4">
        <v>0</v>
      </c>
      <c r="S73" s="4" t="s">
        <v>139</v>
      </c>
      <c r="U73" s="4">
        <v>1</v>
      </c>
      <c r="V73" s="4">
        <v>0</v>
      </c>
      <c r="W73" s="4">
        <v>0</v>
      </c>
    </row>
    <row r="74" spans="1:23" ht="11.25" customHeight="1" x14ac:dyDescent="0.25">
      <c r="A74" s="4" t="s">
        <v>21</v>
      </c>
      <c r="B74" s="4" t="s">
        <v>43</v>
      </c>
      <c r="C74" s="4" t="s">
        <v>44</v>
      </c>
      <c r="D74" s="4" t="s">
        <v>42</v>
      </c>
      <c r="E74" s="4" t="s">
        <v>25</v>
      </c>
      <c r="F74" s="4" t="s">
        <v>25</v>
      </c>
      <c r="G74" s="4" t="s">
        <v>25</v>
      </c>
      <c r="H74" s="4" t="s">
        <v>38</v>
      </c>
      <c r="I74" s="5">
        <v>44136</v>
      </c>
      <c r="J74" s="6">
        <v>10289</v>
      </c>
      <c r="K74" s="6">
        <v>10289</v>
      </c>
      <c r="L74" s="6">
        <v>2697.8159999999998</v>
      </c>
      <c r="M74" s="6">
        <v>2697.8159999999998</v>
      </c>
      <c r="N74" s="6">
        <v>2697.8159999999998</v>
      </c>
      <c r="O74" s="6">
        <v>2697.8159999999998</v>
      </c>
      <c r="P74" s="6">
        <v>0</v>
      </c>
      <c r="Q74" s="4" t="s">
        <v>26</v>
      </c>
      <c r="R74" s="4">
        <v>0</v>
      </c>
      <c r="S74" s="4" t="s">
        <v>104</v>
      </c>
      <c r="T74" s="4" t="s">
        <v>409</v>
      </c>
      <c r="U74" s="4">
        <v>2</v>
      </c>
      <c r="V74" s="4">
        <v>25</v>
      </c>
      <c r="W74" s="4">
        <v>65</v>
      </c>
    </row>
    <row r="75" spans="1:23" ht="11.25" customHeight="1" x14ac:dyDescent="0.25">
      <c r="A75" s="4" t="s">
        <v>21</v>
      </c>
      <c r="B75" s="4" t="s">
        <v>43</v>
      </c>
      <c r="C75" s="4" t="s">
        <v>44</v>
      </c>
      <c r="D75" s="4" t="s">
        <v>42</v>
      </c>
      <c r="E75" s="4" t="s">
        <v>25</v>
      </c>
      <c r="F75" s="4" t="s">
        <v>25</v>
      </c>
      <c r="G75" s="4" t="s">
        <v>25</v>
      </c>
      <c r="H75" s="4" t="s">
        <v>38</v>
      </c>
      <c r="I75" s="5">
        <v>44136</v>
      </c>
      <c r="J75" s="6">
        <v>154459</v>
      </c>
      <c r="K75" s="6">
        <v>154459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60</v>
      </c>
      <c r="R75" s="4">
        <v>0</v>
      </c>
      <c r="S75" s="4" t="s">
        <v>104</v>
      </c>
      <c r="U75" s="4">
        <v>2</v>
      </c>
      <c r="V75" s="4">
        <v>0</v>
      </c>
      <c r="W75" s="4">
        <v>0</v>
      </c>
    </row>
    <row r="76" spans="1:23" ht="11.25" customHeight="1" x14ac:dyDescent="0.25">
      <c r="A76" s="4" t="s">
        <v>21</v>
      </c>
      <c r="B76" s="4" t="s">
        <v>43</v>
      </c>
      <c r="C76" s="4" t="s">
        <v>44</v>
      </c>
      <c r="D76" s="4" t="s">
        <v>42</v>
      </c>
      <c r="E76" s="4" t="s">
        <v>25</v>
      </c>
      <c r="F76" s="4" t="s">
        <v>25</v>
      </c>
      <c r="G76" s="4" t="s">
        <v>25</v>
      </c>
      <c r="H76" s="4" t="s">
        <v>38</v>
      </c>
      <c r="I76" s="5">
        <v>44166</v>
      </c>
      <c r="J76" s="6">
        <v>10088</v>
      </c>
      <c r="K76" s="6">
        <v>10088</v>
      </c>
      <c r="L76" s="6">
        <v>2840.44</v>
      </c>
      <c r="M76" s="6">
        <v>2840.44</v>
      </c>
      <c r="N76" s="6">
        <v>2840.44</v>
      </c>
      <c r="O76" s="6">
        <v>2840.44</v>
      </c>
      <c r="P76" s="6">
        <v>0</v>
      </c>
      <c r="Q76" s="4" t="s">
        <v>26</v>
      </c>
      <c r="R76" s="4">
        <v>0</v>
      </c>
      <c r="S76" s="4" t="s">
        <v>105</v>
      </c>
      <c r="T76" s="4" t="s">
        <v>410</v>
      </c>
      <c r="U76" s="4">
        <v>2</v>
      </c>
      <c r="V76" s="4">
        <v>25</v>
      </c>
      <c r="W76" s="4">
        <v>65</v>
      </c>
    </row>
    <row r="77" spans="1:23" ht="11.25" customHeight="1" x14ac:dyDescent="0.25">
      <c r="A77" s="4" t="s">
        <v>21</v>
      </c>
      <c r="B77" s="4" t="s">
        <v>43</v>
      </c>
      <c r="C77" s="4" t="s">
        <v>44</v>
      </c>
      <c r="D77" s="4" t="s">
        <v>42</v>
      </c>
      <c r="E77" s="4" t="s">
        <v>25</v>
      </c>
      <c r="F77" s="4" t="s">
        <v>25</v>
      </c>
      <c r="G77" s="4" t="s">
        <v>25</v>
      </c>
      <c r="H77" s="4" t="s">
        <v>38</v>
      </c>
      <c r="I77" s="5">
        <v>44166</v>
      </c>
      <c r="J77" s="6">
        <v>154716</v>
      </c>
      <c r="K77" s="6">
        <v>154716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60</v>
      </c>
      <c r="R77" s="4">
        <v>0</v>
      </c>
      <c r="S77" s="4" t="s">
        <v>105</v>
      </c>
      <c r="U77" s="4">
        <v>2</v>
      </c>
      <c r="V77" s="4">
        <v>0</v>
      </c>
      <c r="W77" s="4">
        <v>0</v>
      </c>
    </row>
    <row r="78" spans="1:23" ht="11.25" customHeight="1" x14ac:dyDescent="0.25">
      <c r="A78" s="4" t="s">
        <v>21</v>
      </c>
      <c r="B78" s="4" t="s">
        <v>43</v>
      </c>
      <c r="C78" s="4" t="s">
        <v>44</v>
      </c>
      <c r="D78" s="4" t="s">
        <v>42</v>
      </c>
      <c r="E78" s="4" t="s">
        <v>25</v>
      </c>
      <c r="F78" s="4" t="s">
        <v>25</v>
      </c>
      <c r="G78" s="4" t="s">
        <v>25</v>
      </c>
      <c r="H78" s="4" t="s">
        <v>38</v>
      </c>
      <c r="I78" s="5">
        <v>44197</v>
      </c>
      <c r="J78" s="6">
        <v>10502</v>
      </c>
      <c r="K78" s="6">
        <v>10502</v>
      </c>
      <c r="L78" s="6">
        <v>2760.2959999999998</v>
      </c>
      <c r="M78" s="6">
        <v>2760.2959999999998</v>
      </c>
      <c r="N78" s="6">
        <v>2760.2959999999998</v>
      </c>
      <c r="O78" s="6">
        <v>2760.2959999999998</v>
      </c>
      <c r="P78" s="6">
        <v>0</v>
      </c>
      <c r="Q78" s="4" t="s">
        <v>26</v>
      </c>
      <c r="R78" s="4">
        <v>0</v>
      </c>
      <c r="S78" s="4" t="s">
        <v>106</v>
      </c>
      <c r="T78" s="4" t="s">
        <v>411</v>
      </c>
      <c r="U78" s="4">
        <v>2</v>
      </c>
      <c r="V78" s="4">
        <v>25</v>
      </c>
      <c r="W78" s="4">
        <v>65</v>
      </c>
    </row>
    <row r="79" spans="1:23" ht="11.25" customHeight="1" x14ac:dyDescent="0.25">
      <c r="A79" s="4" t="s">
        <v>21</v>
      </c>
      <c r="B79" s="4" t="s">
        <v>43</v>
      </c>
      <c r="C79" s="4" t="s">
        <v>44</v>
      </c>
      <c r="D79" s="4" t="s">
        <v>42</v>
      </c>
      <c r="E79" s="4" t="s">
        <v>25</v>
      </c>
      <c r="F79" s="4" t="s">
        <v>25</v>
      </c>
      <c r="G79" s="4" t="s">
        <v>25</v>
      </c>
      <c r="H79" s="4" t="s">
        <v>38</v>
      </c>
      <c r="I79" s="5">
        <v>44197</v>
      </c>
      <c r="J79" s="6">
        <v>154353</v>
      </c>
      <c r="K79" s="6">
        <v>154353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60</v>
      </c>
      <c r="R79" s="4">
        <v>0</v>
      </c>
      <c r="S79" s="4" t="s">
        <v>106</v>
      </c>
      <c r="U79" s="4">
        <v>2</v>
      </c>
      <c r="V79" s="4">
        <v>0</v>
      </c>
      <c r="W79" s="4">
        <v>0</v>
      </c>
    </row>
    <row r="80" spans="1:23" ht="11.25" customHeight="1" x14ac:dyDescent="0.25">
      <c r="A80" s="4" t="s">
        <v>21</v>
      </c>
      <c r="B80" s="4" t="s">
        <v>43</v>
      </c>
      <c r="C80" s="4" t="s">
        <v>44</v>
      </c>
      <c r="D80" s="4" t="s">
        <v>42</v>
      </c>
      <c r="E80" s="4" t="s">
        <v>25</v>
      </c>
      <c r="F80" s="4" t="s">
        <v>25</v>
      </c>
      <c r="G80" s="4" t="s">
        <v>25</v>
      </c>
      <c r="H80" s="4" t="s">
        <v>38</v>
      </c>
      <c r="I80" s="5">
        <v>44228</v>
      </c>
      <c r="J80" s="6">
        <v>10547</v>
      </c>
      <c r="K80" s="6">
        <v>10547</v>
      </c>
      <c r="L80" s="6">
        <v>2580.3960000000002</v>
      </c>
      <c r="M80" s="6">
        <v>2580.3960000000002</v>
      </c>
      <c r="N80" s="6">
        <v>2580.3960000000002</v>
      </c>
      <c r="O80" s="6">
        <v>2580.3960000000002</v>
      </c>
      <c r="P80" s="6">
        <v>0</v>
      </c>
      <c r="Q80" s="4" t="s">
        <v>26</v>
      </c>
      <c r="R80" s="4">
        <v>0</v>
      </c>
      <c r="S80" s="4" t="s">
        <v>107</v>
      </c>
      <c r="T80" s="4" t="s">
        <v>412</v>
      </c>
      <c r="U80" s="4">
        <v>2</v>
      </c>
      <c r="V80" s="4">
        <v>25</v>
      </c>
      <c r="W80" s="4">
        <v>65</v>
      </c>
    </row>
    <row r="81" spans="1:23" ht="11.25" customHeight="1" x14ac:dyDescent="0.25">
      <c r="A81" s="4" t="s">
        <v>21</v>
      </c>
      <c r="B81" s="4" t="s">
        <v>43</v>
      </c>
      <c r="C81" s="4" t="s">
        <v>44</v>
      </c>
      <c r="D81" s="4" t="s">
        <v>42</v>
      </c>
      <c r="E81" s="4" t="s">
        <v>25</v>
      </c>
      <c r="F81" s="4" t="s">
        <v>25</v>
      </c>
      <c r="G81" s="4" t="s">
        <v>25</v>
      </c>
      <c r="H81" s="4" t="s">
        <v>38</v>
      </c>
      <c r="I81" s="5">
        <v>44228</v>
      </c>
      <c r="J81" s="6">
        <v>154508</v>
      </c>
      <c r="K81" s="6">
        <v>154508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60</v>
      </c>
      <c r="R81" s="4">
        <v>0</v>
      </c>
      <c r="S81" s="4" t="s">
        <v>107</v>
      </c>
      <c r="U81" s="4">
        <v>2</v>
      </c>
      <c r="V81" s="4">
        <v>0</v>
      </c>
      <c r="W81" s="4">
        <v>0</v>
      </c>
    </row>
    <row r="82" spans="1:23" ht="11.25" customHeight="1" x14ac:dyDescent="0.25">
      <c r="A82" s="4" t="s">
        <v>21</v>
      </c>
      <c r="B82" s="4" t="s">
        <v>43</v>
      </c>
      <c r="C82" s="4" t="s">
        <v>44</v>
      </c>
      <c r="D82" s="4" t="s">
        <v>42</v>
      </c>
      <c r="E82" s="4" t="s">
        <v>25</v>
      </c>
      <c r="F82" s="4" t="s">
        <v>25</v>
      </c>
      <c r="G82" s="4" t="s">
        <v>25</v>
      </c>
      <c r="H82" s="4" t="s">
        <v>38</v>
      </c>
      <c r="I82" s="5">
        <v>44256</v>
      </c>
      <c r="J82" s="6">
        <v>10480</v>
      </c>
      <c r="K82" s="6">
        <v>10480</v>
      </c>
      <c r="L82" s="6">
        <v>2847.7</v>
      </c>
      <c r="M82" s="6">
        <v>2847.7</v>
      </c>
      <c r="N82" s="6">
        <v>2847.7</v>
      </c>
      <c r="O82" s="6">
        <v>2847.7</v>
      </c>
      <c r="P82" s="6">
        <v>0</v>
      </c>
      <c r="Q82" s="4" t="s">
        <v>26</v>
      </c>
      <c r="R82" s="4">
        <v>0</v>
      </c>
      <c r="S82" s="4" t="s">
        <v>108</v>
      </c>
      <c r="T82" s="4" t="s">
        <v>413</v>
      </c>
      <c r="U82" s="4">
        <v>2</v>
      </c>
      <c r="V82" s="4">
        <v>25</v>
      </c>
      <c r="W82" s="4">
        <v>65</v>
      </c>
    </row>
    <row r="83" spans="1:23" ht="11.25" customHeight="1" x14ac:dyDescent="0.25">
      <c r="A83" s="4" t="s">
        <v>21</v>
      </c>
      <c r="B83" s="4" t="s">
        <v>43</v>
      </c>
      <c r="C83" s="4" t="s">
        <v>44</v>
      </c>
      <c r="D83" s="4" t="s">
        <v>42</v>
      </c>
      <c r="E83" s="4" t="s">
        <v>25</v>
      </c>
      <c r="F83" s="4" t="s">
        <v>25</v>
      </c>
      <c r="G83" s="4" t="s">
        <v>25</v>
      </c>
      <c r="H83" s="4" t="s">
        <v>38</v>
      </c>
      <c r="I83" s="5">
        <v>44256</v>
      </c>
      <c r="J83" s="6">
        <v>154507</v>
      </c>
      <c r="K83" s="6">
        <v>154507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60</v>
      </c>
      <c r="R83" s="4">
        <v>0</v>
      </c>
      <c r="S83" s="4" t="s">
        <v>108</v>
      </c>
      <c r="U83" s="4">
        <v>2</v>
      </c>
      <c r="V83" s="4">
        <v>0</v>
      </c>
      <c r="W83" s="4">
        <v>0</v>
      </c>
    </row>
    <row r="84" spans="1:23" ht="11.25" customHeight="1" x14ac:dyDescent="0.25">
      <c r="A84" s="4" t="s">
        <v>21</v>
      </c>
      <c r="B84" s="4" t="s">
        <v>43</v>
      </c>
      <c r="C84" s="4" t="s">
        <v>44</v>
      </c>
      <c r="D84" s="4" t="s">
        <v>42</v>
      </c>
      <c r="E84" s="4" t="s">
        <v>25</v>
      </c>
      <c r="F84" s="4" t="s">
        <v>25</v>
      </c>
      <c r="G84" s="4" t="s">
        <v>25</v>
      </c>
      <c r="H84" s="4" t="s">
        <v>38</v>
      </c>
      <c r="I84" s="5">
        <v>44287</v>
      </c>
      <c r="J84" s="6">
        <v>10592</v>
      </c>
      <c r="K84" s="6">
        <v>10592</v>
      </c>
      <c r="L84" s="6">
        <v>2725.66</v>
      </c>
      <c r="M84" s="6">
        <v>2725.66</v>
      </c>
      <c r="N84" s="6">
        <v>2725.66</v>
      </c>
      <c r="O84" s="6">
        <v>2725.66</v>
      </c>
      <c r="P84" s="6">
        <v>0</v>
      </c>
      <c r="Q84" s="4" t="s">
        <v>26</v>
      </c>
      <c r="R84" s="4">
        <v>0</v>
      </c>
      <c r="S84" s="4" t="s">
        <v>109</v>
      </c>
      <c r="T84" s="4" t="s">
        <v>414</v>
      </c>
      <c r="U84" s="4">
        <v>2</v>
      </c>
      <c r="V84" s="4">
        <v>25</v>
      </c>
      <c r="W84" s="4">
        <v>65</v>
      </c>
    </row>
    <row r="85" spans="1:23" ht="11.25" customHeight="1" x14ac:dyDescent="0.25">
      <c r="A85" s="4" t="s">
        <v>21</v>
      </c>
      <c r="B85" s="4" t="s">
        <v>43</v>
      </c>
      <c r="C85" s="4" t="s">
        <v>44</v>
      </c>
      <c r="D85" s="4" t="s">
        <v>42</v>
      </c>
      <c r="E85" s="4" t="s">
        <v>25</v>
      </c>
      <c r="F85" s="4" t="s">
        <v>25</v>
      </c>
      <c r="G85" s="4" t="s">
        <v>25</v>
      </c>
      <c r="H85" s="4" t="s">
        <v>38</v>
      </c>
      <c r="I85" s="5">
        <v>44287</v>
      </c>
      <c r="J85" s="6">
        <v>157547</v>
      </c>
      <c r="K85" s="6">
        <v>157547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60</v>
      </c>
      <c r="R85" s="4">
        <v>0</v>
      </c>
      <c r="S85" s="4" t="s">
        <v>109</v>
      </c>
      <c r="U85" s="4">
        <v>2</v>
      </c>
      <c r="V85" s="4">
        <v>0</v>
      </c>
      <c r="W85" s="4">
        <v>0</v>
      </c>
    </row>
    <row r="86" spans="1:23" ht="11.25" customHeight="1" x14ac:dyDescent="0.25">
      <c r="A86" s="4" t="s">
        <v>21</v>
      </c>
      <c r="B86" s="4" t="s">
        <v>43</v>
      </c>
      <c r="C86" s="4" t="s">
        <v>44</v>
      </c>
      <c r="D86" s="4" t="s">
        <v>42</v>
      </c>
      <c r="E86" s="4" t="s">
        <v>25</v>
      </c>
      <c r="F86" s="4" t="s">
        <v>25</v>
      </c>
      <c r="G86" s="4" t="s">
        <v>25</v>
      </c>
      <c r="H86" s="4" t="s">
        <v>38</v>
      </c>
      <c r="I86" s="5">
        <v>44317</v>
      </c>
      <c r="J86" s="6">
        <v>10625</v>
      </c>
      <c r="K86" s="6">
        <v>10625</v>
      </c>
      <c r="L86" s="6">
        <v>2854.5839999999998</v>
      </c>
      <c r="M86" s="6">
        <v>2854.5839999999998</v>
      </c>
      <c r="N86" s="6">
        <v>2854.5839999999998</v>
      </c>
      <c r="O86" s="6">
        <v>2854.5839999999998</v>
      </c>
      <c r="P86" s="6">
        <v>0</v>
      </c>
      <c r="Q86" s="4" t="s">
        <v>26</v>
      </c>
      <c r="R86" s="4">
        <v>0</v>
      </c>
      <c r="S86" s="4" t="s">
        <v>110</v>
      </c>
      <c r="T86" s="4" t="s">
        <v>415</v>
      </c>
      <c r="U86" s="4">
        <v>2</v>
      </c>
      <c r="V86" s="4">
        <v>25</v>
      </c>
      <c r="W86" s="4">
        <v>65</v>
      </c>
    </row>
    <row r="87" spans="1:23" ht="11.25" customHeight="1" x14ac:dyDescent="0.25">
      <c r="A87" s="4" t="s">
        <v>21</v>
      </c>
      <c r="B87" s="4" t="s">
        <v>43</v>
      </c>
      <c r="C87" s="4" t="s">
        <v>44</v>
      </c>
      <c r="D87" s="4" t="s">
        <v>42</v>
      </c>
      <c r="E87" s="4" t="s">
        <v>25</v>
      </c>
      <c r="F87" s="4" t="s">
        <v>25</v>
      </c>
      <c r="G87" s="4" t="s">
        <v>25</v>
      </c>
      <c r="H87" s="4" t="s">
        <v>38</v>
      </c>
      <c r="I87" s="5">
        <v>44317</v>
      </c>
      <c r="J87" s="6">
        <v>157067</v>
      </c>
      <c r="K87" s="6">
        <v>157067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4" t="s">
        <v>60</v>
      </c>
      <c r="R87" s="4">
        <v>0</v>
      </c>
      <c r="S87" s="4" t="s">
        <v>110</v>
      </c>
      <c r="U87" s="4">
        <v>2</v>
      </c>
      <c r="V87" s="4">
        <v>0</v>
      </c>
      <c r="W87" s="4">
        <v>0</v>
      </c>
    </row>
    <row r="88" spans="1:23" ht="11.25" customHeight="1" x14ac:dyDescent="0.25">
      <c r="A88" s="4" t="s">
        <v>21</v>
      </c>
      <c r="B88" s="4" t="s">
        <v>43</v>
      </c>
      <c r="C88" s="4" t="s">
        <v>44</v>
      </c>
      <c r="D88" s="4" t="s">
        <v>42</v>
      </c>
      <c r="E88" s="4" t="s">
        <v>25</v>
      </c>
      <c r="F88" s="4" t="s">
        <v>25</v>
      </c>
      <c r="G88" s="4" t="s">
        <v>25</v>
      </c>
      <c r="H88" s="4" t="s">
        <v>38</v>
      </c>
      <c r="I88" s="5">
        <v>44348</v>
      </c>
      <c r="J88" s="6">
        <v>6000</v>
      </c>
      <c r="K88" s="6">
        <v>6000</v>
      </c>
      <c r="L88" s="6">
        <v>217.96</v>
      </c>
      <c r="M88" s="6">
        <v>217.96</v>
      </c>
      <c r="N88" s="6">
        <v>217.96</v>
      </c>
      <c r="O88" s="6">
        <v>217.96</v>
      </c>
      <c r="P88" s="6">
        <v>0</v>
      </c>
      <c r="Q88" s="4" t="s">
        <v>26</v>
      </c>
      <c r="R88" s="4">
        <v>0</v>
      </c>
      <c r="S88" s="4" t="s">
        <v>111</v>
      </c>
      <c r="T88" s="4" t="s">
        <v>416</v>
      </c>
      <c r="U88" s="4">
        <v>2</v>
      </c>
      <c r="V88" s="4">
        <v>25</v>
      </c>
      <c r="W88" s="4">
        <v>65</v>
      </c>
    </row>
    <row r="89" spans="1:23" ht="11.25" customHeight="1" x14ac:dyDescent="0.25">
      <c r="A89" s="4" t="s">
        <v>21</v>
      </c>
      <c r="B89" s="4" t="s">
        <v>43</v>
      </c>
      <c r="C89" s="4" t="s">
        <v>44</v>
      </c>
      <c r="D89" s="4" t="s">
        <v>42</v>
      </c>
      <c r="E89" s="4" t="s">
        <v>25</v>
      </c>
      <c r="F89" s="4" t="s">
        <v>25</v>
      </c>
      <c r="G89" s="4" t="s">
        <v>25</v>
      </c>
      <c r="H89" s="4" t="s">
        <v>38</v>
      </c>
      <c r="I89" s="5">
        <v>44348</v>
      </c>
      <c r="J89" s="6">
        <v>154353</v>
      </c>
      <c r="K89" s="6">
        <v>154353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60</v>
      </c>
      <c r="R89" s="4">
        <v>0</v>
      </c>
      <c r="S89" s="4" t="s">
        <v>111</v>
      </c>
      <c r="U89" s="4">
        <v>2</v>
      </c>
      <c r="V89" s="4">
        <v>0</v>
      </c>
      <c r="W89" s="4">
        <v>0</v>
      </c>
    </row>
    <row r="90" spans="1:23" ht="11.25" customHeight="1" x14ac:dyDescent="0.25">
      <c r="A90" s="4" t="s">
        <v>21</v>
      </c>
      <c r="B90" s="4" t="s">
        <v>43</v>
      </c>
      <c r="C90" s="4" t="s">
        <v>44</v>
      </c>
      <c r="D90" s="4" t="s">
        <v>42</v>
      </c>
      <c r="E90" s="4" t="s">
        <v>25</v>
      </c>
      <c r="F90" s="4" t="s">
        <v>25</v>
      </c>
      <c r="G90" s="4" t="s">
        <v>25</v>
      </c>
      <c r="H90" s="4" t="s">
        <v>38</v>
      </c>
      <c r="I90" s="5">
        <v>44378</v>
      </c>
      <c r="J90" s="6">
        <v>10100</v>
      </c>
      <c r="K90" s="6">
        <v>10100</v>
      </c>
      <c r="L90" s="6">
        <v>1641.5340000000001</v>
      </c>
      <c r="M90" s="6">
        <v>1641.5340000000001</v>
      </c>
      <c r="N90" s="6">
        <v>1641.5340000000001</v>
      </c>
      <c r="O90" s="6">
        <v>1641.5340000000001</v>
      </c>
      <c r="P90" s="6">
        <v>0</v>
      </c>
      <c r="Q90" s="4" t="s">
        <v>26</v>
      </c>
      <c r="R90" s="4">
        <v>0</v>
      </c>
      <c r="S90" s="4" t="s">
        <v>112</v>
      </c>
      <c r="T90" s="4" t="s">
        <v>417</v>
      </c>
      <c r="U90" s="4">
        <v>2</v>
      </c>
      <c r="V90" s="4">
        <v>25</v>
      </c>
      <c r="W90" s="4">
        <v>65</v>
      </c>
    </row>
    <row r="91" spans="1:23" ht="11.25" customHeight="1" x14ac:dyDescent="0.25">
      <c r="A91" s="4" t="s">
        <v>21</v>
      </c>
      <c r="B91" s="4" t="s">
        <v>43</v>
      </c>
      <c r="C91" s="4" t="s">
        <v>44</v>
      </c>
      <c r="D91" s="4" t="s">
        <v>42</v>
      </c>
      <c r="E91" s="4" t="s">
        <v>25</v>
      </c>
      <c r="F91" s="4" t="s">
        <v>25</v>
      </c>
      <c r="G91" s="4" t="s">
        <v>25</v>
      </c>
      <c r="H91" s="4" t="s">
        <v>38</v>
      </c>
      <c r="I91" s="5">
        <v>44378</v>
      </c>
      <c r="J91" s="6">
        <v>157755</v>
      </c>
      <c r="K91" s="6">
        <v>157755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60</v>
      </c>
      <c r="R91" s="4">
        <v>0</v>
      </c>
      <c r="S91" s="4" t="s">
        <v>112</v>
      </c>
      <c r="U91" s="4">
        <v>2</v>
      </c>
      <c r="V91" s="4">
        <v>0</v>
      </c>
      <c r="W91" s="4">
        <v>0</v>
      </c>
    </row>
    <row r="92" spans="1:23" ht="11.25" customHeight="1" x14ac:dyDescent="0.25">
      <c r="A92" s="4" t="s">
        <v>21</v>
      </c>
      <c r="B92" s="4" t="s">
        <v>43</v>
      </c>
      <c r="C92" s="4" t="s">
        <v>44</v>
      </c>
      <c r="D92" s="4" t="s">
        <v>42</v>
      </c>
      <c r="E92" s="4" t="s">
        <v>25</v>
      </c>
      <c r="F92" s="4" t="s">
        <v>25</v>
      </c>
      <c r="G92" s="4" t="s">
        <v>25</v>
      </c>
      <c r="H92" s="4" t="s">
        <v>38</v>
      </c>
      <c r="I92" s="5">
        <v>44409</v>
      </c>
      <c r="J92" s="6">
        <v>10100</v>
      </c>
      <c r="K92" s="6">
        <v>10100</v>
      </c>
      <c r="L92" s="6">
        <v>1808.049</v>
      </c>
      <c r="M92" s="6">
        <v>1808.049</v>
      </c>
      <c r="N92" s="6">
        <v>1808.049</v>
      </c>
      <c r="O92" s="6">
        <v>1808.049</v>
      </c>
      <c r="P92" s="6">
        <v>0</v>
      </c>
      <c r="Q92" s="4" t="s">
        <v>26</v>
      </c>
      <c r="R92" s="4">
        <v>0</v>
      </c>
      <c r="S92" s="4" t="s">
        <v>113</v>
      </c>
      <c r="T92" s="4" t="s">
        <v>418</v>
      </c>
      <c r="U92" s="4">
        <v>2</v>
      </c>
      <c r="V92" s="4">
        <v>25</v>
      </c>
      <c r="W92" s="4">
        <v>65</v>
      </c>
    </row>
    <row r="93" spans="1:23" ht="11.25" customHeight="1" x14ac:dyDescent="0.25">
      <c r="A93" s="4" t="s">
        <v>21</v>
      </c>
      <c r="B93" s="4" t="s">
        <v>43</v>
      </c>
      <c r="C93" s="4" t="s">
        <v>44</v>
      </c>
      <c r="D93" s="4" t="s">
        <v>42</v>
      </c>
      <c r="E93" s="4" t="s">
        <v>25</v>
      </c>
      <c r="F93" s="4" t="s">
        <v>25</v>
      </c>
      <c r="G93" s="4" t="s">
        <v>25</v>
      </c>
      <c r="H93" s="4" t="s">
        <v>38</v>
      </c>
      <c r="I93" s="5">
        <v>44409</v>
      </c>
      <c r="J93" s="6">
        <v>162614</v>
      </c>
      <c r="K93" s="6">
        <v>162614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60</v>
      </c>
      <c r="R93" s="4">
        <v>0</v>
      </c>
      <c r="S93" s="4" t="s">
        <v>113</v>
      </c>
      <c r="U93" s="4">
        <v>2</v>
      </c>
      <c r="V93" s="4">
        <v>0</v>
      </c>
      <c r="W93" s="4">
        <v>0</v>
      </c>
    </row>
    <row r="94" spans="1:23" ht="11.25" customHeight="1" x14ac:dyDescent="0.25">
      <c r="A94" s="4" t="s">
        <v>21</v>
      </c>
      <c r="B94" s="4" t="s">
        <v>43</v>
      </c>
      <c r="C94" s="4" t="s">
        <v>44</v>
      </c>
      <c r="D94" s="4" t="s">
        <v>42</v>
      </c>
      <c r="E94" s="4" t="s">
        <v>25</v>
      </c>
      <c r="F94" s="4" t="s">
        <v>25</v>
      </c>
      <c r="G94" s="4" t="s">
        <v>25</v>
      </c>
      <c r="H94" s="4" t="s">
        <v>38</v>
      </c>
      <c r="I94" s="5">
        <v>44440</v>
      </c>
      <c r="J94" s="6">
        <v>10100</v>
      </c>
      <c r="K94" s="6">
        <v>10100</v>
      </c>
      <c r="L94" s="6">
        <v>1720.08</v>
      </c>
      <c r="M94" s="6">
        <v>1720.08</v>
      </c>
      <c r="N94" s="6">
        <v>1720.08</v>
      </c>
      <c r="O94" s="6">
        <v>1720.08</v>
      </c>
      <c r="P94" s="6">
        <v>0</v>
      </c>
      <c r="Q94" s="4" t="s">
        <v>26</v>
      </c>
      <c r="R94" s="4">
        <v>0</v>
      </c>
      <c r="S94" s="4" t="s">
        <v>114</v>
      </c>
      <c r="T94" s="4" t="s">
        <v>419</v>
      </c>
      <c r="U94" s="4">
        <v>2</v>
      </c>
      <c r="V94" s="4">
        <v>25</v>
      </c>
      <c r="W94" s="4">
        <v>65</v>
      </c>
    </row>
    <row r="95" spans="1:23" ht="11.25" customHeight="1" x14ac:dyDescent="0.25">
      <c r="A95" s="4" t="s">
        <v>21</v>
      </c>
      <c r="B95" s="4" t="s">
        <v>43</v>
      </c>
      <c r="C95" s="4" t="s">
        <v>44</v>
      </c>
      <c r="D95" s="4" t="s">
        <v>42</v>
      </c>
      <c r="E95" s="4" t="s">
        <v>25</v>
      </c>
      <c r="F95" s="4" t="s">
        <v>25</v>
      </c>
      <c r="G95" s="4" t="s">
        <v>25</v>
      </c>
      <c r="H95" s="4" t="s">
        <v>38</v>
      </c>
      <c r="I95" s="5">
        <v>44440</v>
      </c>
      <c r="J95" s="6">
        <v>162319</v>
      </c>
      <c r="K95" s="6">
        <v>162319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60</v>
      </c>
      <c r="R95" s="4">
        <v>0</v>
      </c>
      <c r="S95" s="4" t="s">
        <v>114</v>
      </c>
      <c r="U95" s="4">
        <v>2</v>
      </c>
      <c r="V95" s="4">
        <v>0</v>
      </c>
      <c r="W95" s="4">
        <v>0</v>
      </c>
    </row>
    <row r="96" spans="1:23" ht="11.25" customHeight="1" x14ac:dyDescent="0.25">
      <c r="A96" s="4" t="s">
        <v>59</v>
      </c>
      <c r="B96" s="4" t="s">
        <v>43</v>
      </c>
      <c r="C96" s="4" t="s">
        <v>44</v>
      </c>
      <c r="D96" s="4" t="s">
        <v>42</v>
      </c>
      <c r="E96" s="4" t="s">
        <v>25</v>
      </c>
      <c r="F96" s="4" t="s">
        <v>25</v>
      </c>
      <c r="G96" s="4" t="s">
        <v>25</v>
      </c>
      <c r="H96" s="4" t="s">
        <v>38</v>
      </c>
      <c r="I96" s="5">
        <v>44470</v>
      </c>
      <c r="J96" s="6">
        <v>10100</v>
      </c>
      <c r="K96" s="6">
        <v>10100</v>
      </c>
      <c r="L96" s="6">
        <v>1720.08</v>
      </c>
      <c r="M96" s="6">
        <v>1720.08</v>
      </c>
      <c r="N96" s="6">
        <v>1720.08</v>
      </c>
      <c r="O96" s="6">
        <v>1720.08</v>
      </c>
      <c r="P96" s="6">
        <v>0</v>
      </c>
      <c r="Q96" s="4" t="s">
        <v>26</v>
      </c>
      <c r="R96" s="4">
        <v>0</v>
      </c>
      <c r="S96" s="4" t="s">
        <v>115</v>
      </c>
      <c r="T96" s="4" t="s">
        <v>420</v>
      </c>
      <c r="U96" s="4">
        <v>2</v>
      </c>
      <c r="V96" s="4">
        <v>25</v>
      </c>
      <c r="W96" s="4">
        <v>65</v>
      </c>
    </row>
    <row r="97" spans="1:23" ht="11.25" customHeight="1" x14ac:dyDescent="0.25">
      <c r="A97" s="4" t="s">
        <v>59</v>
      </c>
      <c r="B97" s="4" t="s">
        <v>43</v>
      </c>
      <c r="C97" s="4" t="s">
        <v>44</v>
      </c>
      <c r="D97" s="4" t="s">
        <v>42</v>
      </c>
      <c r="E97" s="4" t="s">
        <v>25</v>
      </c>
      <c r="F97" s="4" t="s">
        <v>25</v>
      </c>
      <c r="G97" s="4" t="s">
        <v>25</v>
      </c>
      <c r="H97" s="4" t="s">
        <v>38</v>
      </c>
      <c r="I97" s="5">
        <v>44470</v>
      </c>
      <c r="J97" s="6">
        <v>162319</v>
      </c>
      <c r="K97" s="6">
        <v>162319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60</v>
      </c>
      <c r="R97" s="4">
        <v>0</v>
      </c>
      <c r="S97" s="4" t="s">
        <v>115</v>
      </c>
      <c r="U97" s="4">
        <v>2</v>
      </c>
      <c r="V97" s="4">
        <v>0</v>
      </c>
      <c r="W97" s="4">
        <v>0</v>
      </c>
    </row>
    <row r="98" spans="1:23" ht="11.25" customHeight="1" x14ac:dyDescent="0.25">
      <c r="A98" s="4" t="s">
        <v>21</v>
      </c>
      <c r="B98" s="4" t="s">
        <v>43</v>
      </c>
      <c r="C98" s="4" t="s">
        <v>44</v>
      </c>
      <c r="D98" s="4" t="s">
        <v>42</v>
      </c>
      <c r="E98" s="4" t="s">
        <v>25</v>
      </c>
      <c r="F98" s="4" t="s">
        <v>25</v>
      </c>
      <c r="G98" s="4" t="s">
        <v>25</v>
      </c>
      <c r="H98" s="4" t="s">
        <v>25</v>
      </c>
      <c r="I98" s="5">
        <v>44136</v>
      </c>
      <c r="J98" s="6">
        <v>0</v>
      </c>
      <c r="K98" s="6">
        <v>0</v>
      </c>
      <c r="L98" s="6">
        <v>73540.95</v>
      </c>
      <c r="M98" s="6">
        <v>73540.95</v>
      </c>
      <c r="N98" s="6">
        <v>0</v>
      </c>
      <c r="O98" s="6">
        <v>0</v>
      </c>
      <c r="P98" s="6">
        <v>24</v>
      </c>
      <c r="Q98" s="4" t="s">
        <v>60</v>
      </c>
      <c r="R98" s="4">
        <v>0</v>
      </c>
      <c r="S98" s="4" t="s">
        <v>116</v>
      </c>
      <c r="U98" s="4">
        <v>0</v>
      </c>
      <c r="V98" s="4">
        <v>25</v>
      </c>
      <c r="W98" s="4">
        <v>0</v>
      </c>
    </row>
    <row r="99" spans="1:23" ht="11.25" customHeight="1" x14ac:dyDescent="0.25">
      <c r="A99" s="4" t="s">
        <v>21</v>
      </c>
      <c r="B99" s="4" t="s">
        <v>43</v>
      </c>
      <c r="C99" s="4" t="s">
        <v>44</v>
      </c>
      <c r="D99" s="4" t="s">
        <v>42</v>
      </c>
      <c r="E99" s="4" t="s">
        <v>25</v>
      </c>
      <c r="F99" s="4" t="s">
        <v>25</v>
      </c>
      <c r="G99" s="4" t="s">
        <v>25</v>
      </c>
      <c r="H99" s="4" t="s">
        <v>25</v>
      </c>
      <c r="I99" s="5">
        <v>44166</v>
      </c>
      <c r="J99" s="6">
        <v>0</v>
      </c>
      <c r="K99" s="6">
        <v>0</v>
      </c>
      <c r="L99" s="6">
        <v>66619.611000000004</v>
      </c>
      <c r="M99" s="6">
        <v>66619.611000000004</v>
      </c>
      <c r="N99" s="6">
        <v>0</v>
      </c>
      <c r="O99" s="6">
        <v>0</v>
      </c>
      <c r="P99" s="6">
        <v>24</v>
      </c>
      <c r="Q99" s="4" t="s">
        <v>60</v>
      </c>
      <c r="R99" s="4">
        <v>0</v>
      </c>
      <c r="S99" s="4" t="s">
        <v>117</v>
      </c>
      <c r="U99" s="4">
        <v>0</v>
      </c>
      <c r="V99" s="4">
        <v>25</v>
      </c>
      <c r="W99" s="4">
        <v>0</v>
      </c>
    </row>
    <row r="100" spans="1:23" ht="11.25" customHeight="1" x14ac:dyDescent="0.25">
      <c r="A100" s="4" t="s">
        <v>21</v>
      </c>
      <c r="B100" s="4" t="s">
        <v>43</v>
      </c>
      <c r="C100" s="4" t="s">
        <v>44</v>
      </c>
      <c r="D100" s="4" t="s">
        <v>42</v>
      </c>
      <c r="E100" s="4" t="s">
        <v>25</v>
      </c>
      <c r="F100" s="4" t="s">
        <v>25</v>
      </c>
      <c r="G100" s="4" t="s">
        <v>25</v>
      </c>
      <c r="H100" s="4" t="s">
        <v>25</v>
      </c>
      <c r="I100" s="5">
        <v>44197</v>
      </c>
      <c r="J100" s="6">
        <v>0</v>
      </c>
      <c r="K100" s="6">
        <v>0</v>
      </c>
      <c r="L100" s="6">
        <v>62831.25</v>
      </c>
      <c r="M100" s="6">
        <v>62831.25</v>
      </c>
      <c r="N100" s="6">
        <v>0</v>
      </c>
      <c r="O100" s="6">
        <v>0</v>
      </c>
      <c r="P100" s="6">
        <v>24</v>
      </c>
      <c r="Q100" s="4" t="s">
        <v>60</v>
      </c>
      <c r="R100" s="4">
        <v>0</v>
      </c>
      <c r="S100" s="4" t="s">
        <v>118</v>
      </c>
      <c r="U100" s="4">
        <v>0</v>
      </c>
      <c r="V100" s="4">
        <v>25</v>
      </c>
      <c r="W100" s="4">
        <v>0</v>
      </c>
    </row>
    <row r="101" spans="1:23" ht="11.25" customHeight="1" x14ac:dyDescent="0.25">
      <c r="A101" s="4" t="s">
        <v>21</v>
      </c>
      <c r="B101" s="4" t="s">
        <v>43</v>
      </c>
      <c r="C101" s="4" t="s">
        <v>44</v>
      </c>
      <c r="D101" s="4" t="s">
        <v>42</v>
      </c>
      <c r="E101" s="4" t="s">
        <v>25</v>
      </c>
      <c r="F101" s="4" t="s">
        <v>25</v>
      </c>
      <c r="G101" s="4" t="s">
        <v>25</v>
      </c>
      <c r="H101" s="4" t="s">
        <v>25</v>
      </c>
      <c r="I101" s="5">
        <v>44228</v>
      </c>
      <c r="J101" s="6">
        <v>0</v>
      </c>
      <c r="K101" s="6">
        <v>0</v>
      </c>
      <c r="L101" s="6">
        <v>62605.934999999998</v>
      </c>
      <c r="M101" s="6">
        <v>62605.934999999998</v>
      </c>
      <c r="N101" s="6">
        <v>0</v>
      </c>
      <c r="O101" s="6">
        <v>0</v>
      </c>
      <c r="P101" s="6">
        <v>24</v>
      </c>
      <c r="Q101" s="4" t="s">
        <v>60</v>
      </c>
      <c r="R101" s="4">
        <v>0</v>
      </c>
      <c r="S101" s="4" t="s">
        <v>119</v>
      </c>
      <c r="U101" s="4">
        <v>0</v>
      </c>
      <c r="V101" s="4">
        <v>25</v>
      </c>
      <c r="W101" s="4">
        <v>0</v>
      </c>
    </row>
    <row r="102" spans="1:23" ht="11.25" customHeight="1" x14ac:dyDescent="0.25">
      <c r="A102" s="4" t="s">
        <v>21</v>
      </c>
      <c r="B102" s="4" t="s">
        <v>43</v>
      </c>
      <c r="C102" s="4" t="s">
        <v>44</v>
      </c>
      <c r="D102" s="4" t="s">
        <v>42</v>
      </c>
      <c r="E102" s="4" t="s">
        <v>25</v>
      </c>
      <c r="F102" s="4" t="s">
        <v>25</v>
      </c>
      <c r="G102" s="4" t="s">
        <v>25</v>
      </c>
      <c r="H102" s="4" t="s">
        <v>25</v>
      </c>
      <c r="I102" s="5">
        <v>44256</v>
      </c>
      <c r="J102" s="6">
        <v>0</v>
      </c>
      <c r="K102" s="6">
        <v>0</v>
      </c>
      <c r="L102" s="6">
        <v>73646.445000000007</v>
      </c>
      <c r="M102" s="6">
        <v>73646.445000000007</v>
      </c>
      <c r="N102" s="6">
        <v>0</v>
      </c>
      <c r="O102" s="6">
        <v>0</v>
      </c>
      <c r="P102" s="6">
        <v>24</v>
      </c>
      <c r="Q102" s="4" t="s">
        <v>60</v>
      </c>
      <c r="R102" s="4">
        <v>0</v>
      </c>
      <c r="S102" s="4" t="s">
        <v>120</v>
      </c>
      <c r="U102" s="4">
        <v>0</v>
      </c>
      <c r="V102" s="4">
        <v>25</v>
      </c>
      <c r="W102" s="4">
        <v>0</v>
      </c>
    </row>
    <row r="103" spans="1:23" ht="11.25" customHeight="1" x14ac:dyDescent="0.25">
      <c r="A103" s="4" t="s">
        <v>21</v>
      </c>
      <c r="B103" s="4" t="s">
        <v>43</v>
      </c>
      <c r="C103" s="4" t="s">
        <v>44</v>
      </c>
      <c r="D103" s="4" t="s">
        <v>42</v>
      </c>
      <c r="E103" s="4" t="s">
        <v>25</v>
      </c>
      <c r="F103" s="4" t="s">
        <v>25</v>
      </c>
      <c r="G103" s="4" t="s">
        <v>25</v>
      </c>
      <c r="H103" s="4" t="s">
        <v>25</v>
      </c>
      <c r="I103" s="5">
        <v>44287</v>
      </c>
      <c r="J103" s="6">
        <v>0</v>
      </c>
      <c r="K103" s="6">
        <v>0</v>
      </c>
      <c r="L103" s="6">
        <v>73594.983999999997</v>
      </c>
      <c r="M103" s="6">
        <v>73594.983999999997</v>
      </c>
      <c r="N103" s="6">
        <v>0</v>
      </c>
      <c r="O103" s="6">
        <v>0</v>
      </c>
      <c r="P103" s="6">
        <v>24</v>
      </c>
      <c r="Q103" s="4" t="s">
        <v>60</v>
      </c>
      <c r="R103" s="4">
        <v>0</v>
      </c>
      <c r="S103" s="4" t="s">
        <v>121</v>
      </c>
      <c r="U103" s="4">
        <v>0</v>
      </c>
      <c r="V103" s="4">
        <v>25</v>
      </c>
      <c r="W103" s="4">
        <v>0</v>
      </c>
    </row>
    <row r="104" spans="1:23" ht="11.25" customHeight="1" x14ac:dyDescent="0.25">
      <c r="A104" s="4" t="s">
        <v>21</v>
      </c>
      <c r="B104" s="4" t="s">
        <v>43</v>
      </c>
      <c r="C104" s="4" t="s">
        <v>44</v>
      </c>
      <c r="D104" s="4" t="s">
        <v>42</v>
      </c>
      <c r="E104" s="4" t="s">
        <v>25</v>
      </c>
      <c r="F104" s="4" t="s">
        <v>25</v>
      </c>
      <c r="G104" s="4" t="s">
        <v>25</v>
      </c>
      <c r="H104" s="4" t="s">
        <v>25</v>
      </c>
      <c r="I104" s="5">
        <v>44317</v>
      </c>
      <c r="J104" s="6">
        <v>0</v>
      </c>
      <c r="K104" s="6">
        <v>0</v>
      </c>
      <c r="L104" s="6">
        <v>76162.103000000003</v>
      </c>
      <c r="M104" s="6">
        <v>76162.103000000003</v>
      </c>
      <c r="N104" s="6">
        <v>0</v>
      </c>
      <c r="O104" s="6">
        <v>0</v>
      </c>
      <c r="P104" s="6">
        <v>24</v>
      </c>
      <c r="Q104" s="4" t="s">
        <v>60</v>
      </c>
      <c r="R104" s="4">
        <v>0</v>
      </c>
      <c r="S104" s="4" t="s">
        <v>122</v>
      </c>
      <c r="U104" s="4">
        <v>0</v>
      </c>
      <c r="V104" s="4">
        <v>25</v>
      </c>
      <c r="W104" s="4">
        <v>0</v>
      </c>
    </row>
    <row r="105" spans="1:23" ht="11.25" customHeight="1" x14ac:dyDescent="0.25">
      <c r="A105" s="4" t="s">
        <v>21</v>
      </c>
      <c r="B105" s="4" t="s">
        <v>43</v>
      </c>
      <c r="C105" s="4" t="s">
        <v>44</v>
      </c>
      <c r="D105" s="4" t="s">
        <v>42</v>
      </c>
      <c r="E105" s="4" t="s">
        <v>25</v>
      </c>
      <c r="F105" s="4" t="s">
        <v>25</v>
      </c>
      <c r="G105" s="4" t="s">
        <v>25</v>
      </c>
      <c r="H105" s="4" t="s">
        <v>25</v>
      </c>
      <c r="I105" s="5">
        <v>44348</v>
      </c>
      <c r="J105" s="6">
        <v>0</v>
      </c>
      <c r="K105" s="6">
        <v>0</v>
      </c>
      <c r="L105" s="6">
        <v>62831.25</v>
      </c>
      <c r="M105" s="6">
        <v>62831.25</v>
      </c>
      <c r="N105" s="6">
        <v>0</v>
      </c>
      <c r="O105" s="6">
        <v>0</v>
      </c>
      <c r="P105" s="6">
        <v>24</v>
      </c>
      <c r="Q105" s="4" t="s">
        <v>60</v>
      </c>
      <c r="R105" s="4">
        <v>0</v>
      </c>
      <c r="S105" s="4" t="s">
        <v>123</v>
      </c>
      <c r="U105" s="4">
        <v>0</v>
      </c>
      <c r="V105" s="4">
        <v>25</v>
      </c>
      <c r="W105" s="4">
        <v>0</v>
      </c>
    </row>
    <row r="106" spans="1:23" ht="11.25" customHeight="1" x14ac:dyDescent="0.25">
      <c r="A106" s="4" t="s">
        <v>21</v>
      </c>
      <c r="B106" s="4" t="s">
        <v>43</v>
      </c>
      <c r="C106" s="4" t="s">
        <v>44</v>
      </c>
      <c r="D106" s="4" t="s">
        <v>42</v>
      </c>
      <c r="E106" s="4" t="s">
        <v>25</v>
      </c>
      <c r="F106" s="4" t="s">
        <v>25</v>
      </c>
      <c r="G106" s="4" t="s">
        <v>25</v>
      </c>
      <c r="H106" s="4" t="s">
        <v>25</v>
      </c>
      <c r="I106" s="5">
        <v>44378</v>
      </c>
      <c r="J106" s="6">
        <v>0</v>
      </c>
      <c r="K106" s="6">
        <v>0</v>
      </c>
      <c r="L106" s="6">
        <v>74983.373000000007</v>
      </c>
      <c r="M106" s="6">
        <v>74983.373000000007</v>
      </c>
      <c r="N106" s="6">
        <v>0</v>
      </c>
      <c r="O106" s="6">
        <v>0</v>
      </c>
      <c r="P106" s="6">
        <v>24</v>
      </c>
      <c r="Q106" s="4" t="s">
        <v>60</v>
      </c>
      <c r="R106" s="4">
        <v>0</v>
      </c>
      <c r="S106" s="4" t="s">
        <v>124</v>
      </c>
      <c r="U106" s="4">
        <v>0</v>
      </c>
      <c r="V106" s="4">
        <v>25</v>
      </c>
      <c r="W106" s="4">
        <v>0</v>
      </c>
    </row>
    <row r="107" spans="1:23" ht="11.25" customHeight="1" x14ac:dyDescent="0.25">
      <c r="A107" s="4" t="s">
        <v>21</v>
      </c>
      <c r="B107" s="4" t="s">
        <v>43</v>
      </c>
      <c r="C107" s="4" t="s">
        <v>44</v>
      </c>
      <c r="D107" s="4" t="s">
        <v>42</v>
      </c>
      <c r="E107" s="4" t="s">
        <v>25</v>
      </c>
      <c r="F107" s="4" t="s">
        <v>25</v>
      </c>
      <c r="G107" s="4" t="s">
        <v>25</v>
      </c>
      <c r="H107" s="4" t="s">
        <v>25</v>
      </c>
      <c r="I107" s="5">
        <v>44409</v>
      </c>
      <c r="J107" s="6">
        <v>0</v>
      </c>
      <c r="K107" s="6">
        <v>0</v>
      </c>
      <c r="L107" s="6">
        <v>80851.521999999997</v>
      </c>
      <c r="M107" s="6">
        <v>80851.521999999997</v>
      </c>
      <c r="N107" s="6">
        <v>0</v>
      </c>
      <c r="O107" s="6">
        <v>0</v>
      </c>
      <c r="P107" s="6">
        <v>24</v>
      </c>
      <c r="Q107" s="4" t="s">
        <v>60</v>
      </c>
      <c r="R107" s="4">
        <v>0</v>
      </c>
      <c r="S107" s="4" t="s">
        <v>125</v>
      </c>
      <c r="U107" s="4">
        <v>0</v>
      </c>
      <c r="V107" s="4">
        <v>25</v>
      </c>
      <c r="W107" s="4">
        <v>0</v>
      </c>
    </row>
    <row r="108" spans="1:23" ht="11.25" customHeight="1" x14ac:dyDescent="0.25">
      <c r="A108" s="4" t="s">
        <v>21</v>
      </c>
      <c r="B108" s="4" t="s">
        <v>43</v>
      </c>
      <c r="C108" s="4" t="s">
        <v>44</v>
      </c>
      <c r="D108" s="4" t="s">
        <v>42</v>
      </c>
      <c r="E108" s="4" t="s">
        <v>25</v>
      </c>
      <c r="F108" s="4" t="s">
        <v>25</v>
      </c>
      <c r="G108" s="4" t="s">
        <v>25</v>
      </c>
      <c r="H108" s="4" t="s">
        <v>25</v>
      </c>
      <c r="I108" s="5">
        <v>44440</v>
      </c>
      <c r="J108" s="6">
        <v>0</v>
      </c>
      <c r="K108" s="6">
        <v>0</v>
      </c>
      <c r="L108" s="6">
        <v>77873.202000000005</v>
      </c>
      <c r="M108" s="6">
        <v>77873.202000000005</v>
      </c>
      <c r="N108" s="6">
        <v>0</v>
      </c>
      <c r="O108" s="6">
        <v>0</v>
      </c>
      <c r="P108" s="6">
        <v>24</v>
      </c>
      <c r="Q108" s="4" t="s">
        <v>60</v>
      </c>
      <c r="R108" s="4">
        <v>0</v>
      </c>
      <c r="S108" s="4" t="s">
        <v>126</v>
      </c>
      <c r="U108" s="4">
        <v>0</v>
      </c>
      <c r="V108" s="4">
        <v>25</v>
      </c>
      <c r="W108" s="4">
        <v>0</v>
      </c>
    </row>
    <row r="109" spans="1:23" ht="11.25" customHeight="1" x14ac:dyDescent="0.25">
      <c r="A109" s="4" t="s">
        <v>59</v>
      </c>
      <c r="B109" s="4" t="s">
        <v>43</v>
      </c>
      <c r="C109" s="4" t="s">
        <v>44</v>
      </c>
      <c r="D109" s="4" t="s">
        <v>42</v>
      </c>
      <c r="E109" s="4" t="s">
        <v>25</v>
      </c>
      <c r="F109" s="4" t="s">
        <v>25</v>
      </c>
      <c r="G109" s="4" t="s">
        <v>25</v>
      </c>
      <c r="H109" s="4" t="s">
        <v>25</v>
      </c>
      <c r="I109" s="5">
        <v>44470</v>
      </c>
      <c r="J109" s="6">
        <v>0</v>
      </c>
      <c r="K109" s="6">
        <v>0</v>
      </c>
      <c r="L109" s="6">
        <v>77873.202000000005</v>
      </c>
      <c r="M109" s="6">
        <v>77873.202000000005</v>
      </c>
      <c r="N109" s="6">
        <v>0</v>
      </c>
      <c r="O109" s="6">
        <v>0</v>
      </c>
      <c r="P109" s="6">
        <v>24</v>
      </c>
      <c r="Q109" s="4" t="s">
        <v>60</v>
      </c>
      <c r="R109" s="4">
        <v>0</v>
      </c>
      <c r="S109" s="4" t="s">
        <v>127</v>
      </c>
      <c r="U109" s="4">
        <v>0</v>
      </c>
      <c r="V109" s="4">
        <v>25</v>
      </c>
      <c r="W109" s="4">
        <v>0</v>
      </c>
    </row>
    <row r="110" spans="1:23" ht="11.25" customHeight="1" x14ac:dyDescent="0.25">
      <c r="A110" s="4" t="s">
        <v>21</v>
      </c>
      <c r="B110" s="4" t="s">
        <v>43</v>
      </c>
      <c r="C110" s="4" t="s">
        <v>44</v>
      </c>
      <c r="D110" s="4" t="s">
        <v>42</v>
      </c>
      <c r="E110" s="4" t="s">
        <v>25</v>
      </c>
      <c r="F110" s="4" t="s">
        <v>25</v>
      </c>
      <c r="G110" s="4" t="s">
        <v>25</v>
      </c>
      <c r="H110" s="4" t="s">
        <v>37</v>
      </c>
      <c r="I110" s="5">
        <v>44136</v>
      </c>
      <c r="J110" s="6">
        <v>9200</v>
      </c>
      <c r="K110" s="6">
        <v>9200</v>
      </c>
      <c r="L110" s="6">
        <v>249.61600000000001</v>
      </c>
      <c r="M110" s="6">
        <v>249.61600000000001</v>
      </c>
      <c r="N110" s="6">
        <v>249.61600000000001</v>
      </c>
      <c r="O110" s="6">
        <v>249.61600000000001</v>
      </c>
      <c r="P110" s="6">
        <v>0</v>
      </c>
      <c r="Q110" s="4" t="s">
        <v>26</v>
      </c>
      <c r="R110" s="4">
        <v>0</v>
      </c>
      <c r="S110" s="4" t="s">
        <v>128</v>
      </c>
      <c r="T110" s="4" t="s">
        <v>421</v>
      </c>
      <c r="U110" s="4">
        <v>1</v>
      </c>
      <c r="V110" s="4">
        <v>25</v>
      </c>
      <c r="W110" s="4">
        <v>70</v>
      </c>
    </row>
    <row r="111" spans="1:23" ht="11.25" customHeight="1" x14ac:dyDescent="0.25">
      <c r="A111" s="4" t="s">
        <v>21</v>
      </c>
      <c r="B111" s="4" t="s">
        <v>43</v>
      </c>
      <c r="C111" s="4" t="s">
        <v>44</v>
      </c>
      <c r="D111" s="4" t="s">
        <v>42</v>
      </c>
      <c r="E111" s="4" t="s">
        <v>25</v>
      </c>
      <c r="F111" s="4" t="s">
        <v>25</v>
      </c>
      <c r="G111" s="4" t="s">
        <v>25</v>
      </c>
      <c r="H111" s="4" t="s">
        <v>37</v>
      </c>
      <c r="I111" s="5">
        <v>44136</v>
      </c>
      <c r="J111" s="6">
        <v>138254</v>
      </c>
      <c r="K111" s="6">
        <v>138254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60</v>
      </c>
      <c r="R111" s="4">
        <v>0</v>
      </c>
      <c r="S111" s="4" t="s">
        <v>128</v>
      </c>
      <c r="U111" s="4">
        <v>1</v>
      </c>
      <c r="V111" s="4">
        <v>0</v>
      </c>
      <c r="W111" s="4">
        <v>0</v>
      </c>
    </row>
    <row r="112" spans="1:23" ht="11.25" customHeight="1" x14ac:dyDescent="0.25">
      <c r="A112" s="4" t="s">
        <v>21</v>
      </c>
      <c r="B112" s="4" t="s">
        <v>43</v>
      </c>
      <c r="C112" s="4" t="s">
        <v>44</v>
      </c>
      <c r="D112" s="4" t="s">
        <v>42</v>
      </c>
      <c r="E112" s="4" t="s">
        <v>25</v>
      </c>
      <c r="F112" s="4" t="s">
        <v>25</v>
      </c>
      <c r="G112" s="4" t="s">
        <v>25</v>
      </c>
      <c r="H112" s="4" t="s">
        <v>37</v>
      </c>
      <c r="I112" s="5">
        <v>44166</v>
      </c>
      <c r="J112" s="6">
        <v>9209</v>
      </c>
      <c r="K112" s="6">
        <v>9209</v>
      </c>
      <c r="L112" s="6">
        <v>278.36799999999999</v>
      </c>
      <c r="M112" s="6">
        <v>278.36799999999999</v>
      </c>
      <c r="N112" s="6">
        <v>278.36799999999999</v>
      </c>
      <c r="O112" s="6">
        <v>278.36799999999999</v>
      </c>
      <c r="P112" s="6">
        <v>0</v>
      </c>
      <c r="Q112" s="4" t="s">
        <v>26</v>
      </c>
      <c r="R112" s="4">
        <v>0</v>
      </c>
      <c r="S112" s="4" t="s">
        <v>129</v>
      </c>
      <c r="T112" s="4" t="s">
        <v>422</v>
      </c>
      <c r="U112" s="4">
        <v>1</v>
      </c>
      <c r="V112" s="4">
        <v>25</v>
      </c>
      <c r="W112" s="4">
        <v>70</v>
      </c>
    </row>
    <row r="113" spans="1:23" ht="11.25" customHeight="1" x14ac:dyDescent="0.25">
      <c r="A113" s="4" t="s">
        <v>21</v>
      </c>
      <c r="B113" s="4" t="s">
        <v>43</v>
      </c>
      <c r="C113" s="4" t="s">
        <v>44</v>
      </c>
      <c r="D113" s="4" t="s">
        <v>42</v>
      </c>
      <c r="E113" s="4" t="s">
        <v>25</v>
      </c>
      <c r="F113" s="4" t="s">
        <v>25</v>
      </c>
      <c r="G113" s="4" t="s">
        <v>25</v>
      </c>
      <c r="H113" s="4" t="s">
        <v>37</v>
      </c>
      <c r="I113" s="5">
        <v>44166</v>
      </c>
      <c r="J113" s="6">
        <v>137580</v>
      </c>
      <c r="K113" s="6">
        <v>137580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60</v>
      </c>
      <c r="R113" s="4">
        <v>0</v>
      </c>
      <c r="S113" s="4" t="s">
        <v>129</v>
      </c>
      <c r="U113" s="4">
        <v>1</v>
      </c>
      <c r="V113" s="4">
        <v>0</v>
      </c>
      <c r="W113" s="4">
        <v>0</v>
      </c>
    </row>
    <row r="114" spans="1:23" ht="11.25" customHeight="1" x14ac:dyDescent="0.25">
      <c r="A114" s="4" t="s">
        <v>21</v>
      </c>
      <c r="B114" s="4" t="s">
        <v>43</v>
      </c>
      <c r="C114" s="4" t="s">
        <v>44</v>
      </c>
      <c r="D114" s="4" t="s">
        <v>42</v>
      </c>
      <c r="E114" s="4" t="s">
        <v>25</v>
      </c>
      <c r="F114" s="4" t="s">
        <v>25</v>
      </c>
      <c r="G114" s="4" t="s">
        <v>25</v>
      </c>
      <c r="H114" s="4" t="s">
        <v>37</v>
      </c>
      <c r="I114" s="5">
        <v>44197</v>
      </c>
      <c r="J114" s="6">
        <v>9534</v>
      </c>
      <c r="K114" s="6">
        <v>9534</v>
      </c>
      <c r="L114" s="6">
        <v>246</v>
      </c>
      <c r="M114" s="6">
        <v>246</v>
      </c>
      <c r="N114" s="6">
        <v>246</v>
      </c>
      <c r="O114" s="6">
        <v>246</v>
      </c>
      <c r="P114" s="6">
        <v>0</v>
      </c>
      <c r="Q114" s="4" t="s">
        <v>26</v>
      </c>
      <c r="R114" s="4">
        <v>0</v>
      </c>
      <c r="S114" s="4" t="s">
        <v>130</v>
      </c>
      <c r="T114" s="4" t="s">
        <v>423</v>
      </c>
      <c r="U114" s="4">
        <v>1</v>
      </c>
      <c r="V114" s="4">
        <v>25</v>
      </c>
      <c r="W114" s="4">
        <v>70</v>
      </c>
    </row>
    <row r="115" spans="1:23" ht="11.25" customHeight="1" x14ac:dyDescent="0.25">
      <c r="A115" s="4" t="s">
        <v>21</v>
      </c>
      <c r="B115" s="4" t="s">
        <v>43</v>
      </c>
      <c r="C115" s="4" t="s">
        <v>44</v>
      </c>
      <c r="D115" s="4" t="s">
        <v>42</v>
      </c>
      <c r="E115" s="4" t="s">
        <v>25</v>
      </c>
      <c r="F115" s="4" t="s">
        <v>25</v>
      </c>
      <c r="G115" s="4" t="s">
        <v>25</v>
      </c>
      <c r="H115" s="4" t="s">
        <v>37</v>
      </c>
      <c r="I115" s="5">
        <v>44197</v>
      </c>
      <c r="J115" s="6">
        <v>132923</v>
      </c>
      <c r="K115" s="6">
        <v>132923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60</v>
      </c>
      <c r="R115" s="4">
        <v>0</v>
      </c>
      <c r="S115" s="4" t="s">
        <v>130</v>
      </c>
      <c r="U115" s="4">
        <v>1</v>
      </c>
      <c r="V115" s="4">
        <v>0</v>
      </c>
      <c r="W115" s="4">
        <v>0</v>
      </c>
    </row>
    <row r="116" spans="1:23" ht="11.25" customHeight="1" x14ac:dyDescent="0.25">
      <c r="A116" s="4" t="s">
        <v>21</v>
      </c>
      <c r="B116" s="4" t="s">
        <v>43</v>
      </c>
      <c r="C116" s="4" t="s">
        <v>44</v>
      </c>
      <c r="D116" s="4" t="s">
        <v>42</v>
      </c>
      <c r="E116" s="4" t="s">
        <v>25</v>
      </c>
      <c r="F116" s="4" t="s">
        <v>25</v>
      </c>
      <c r="G116" s="4" t="s">
        <v>25</v>
      </c>
      <c r="H116" s="4" t="s">
        <v>37</v>
      </c>
      <c r="I116" s="5">
        <v>44228</v>
      </c>
      <c r="J116" s="6">
        <v>9646</v>
      </c>
      <c r="K116" s="6">
        <v>9646</v>
      </c>
      <c r="L116" s="6">
        <v>251.61600000000001</v>
      </c>
      <c r="M116" s="6">
        <v>251.61600000000001</v>
      </c>
      <c r="N116" s="6">
        <v>251.61600000000001</v>
      </c>
      <c r="O116" s="6">
        <v>251.61600000000001</v>
      </c>
      <c r="P116" s="6">
        <v>0</v>
      </c>
      <c r="Q116" s="4" t="s">
        <v>26</v>
      </c>
      <c r="R116" s="4">
        <v>0</v>
      </c>
      <c r="S116" s="4" t="s">
        <v>131</v>
      </c>
      <c r="T116" s="4" t="s">
        <v>424</v>
      </c>
      <c r="U116" s="4">
        <v>1</v>
      </c>
      <c r="V116" s="4">
        <v>25</v>
      </c>
      <c r="W116" s="4">
        <v>70</v>
      </c>
    </row>
    <row r="117" spans="1:23" ht="11.25" customHeight="1" x14ac:dyDescent="0.25">
      <c r="A117" s="4" t="s">
        <v>21</v>
      </c>
      <c r="B117" s="4" t="s">
        <v>43</v>
      </c>
      <c r="C117" s="4" t="s">
        <v>44</v>
      </c>
      <c r="D117" s="4" t="s">
        <v>42</v>
      </c>
      <c r="E117" s="4" t="s">
        <v>25</v>
      </c>
      <c r="F117" s="4" t="s">
        <v>25</v>
      </c>
      <c r="G117" s="4" t="s">
        <v>25</v>
      </c>
      <c r="H117" s="4" t="s">
        <v>37</v>
      </c>
      <c r="I117" s="5">
        <v>44228</v>
      </c>
      <c r="J117" s="6">
        <v>133568</v>
      </c>
      <c r="K117" s="6">
        <v>133568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60</v>
      </c>
      <c r="R117" s="4">
        <v>0</v>
      </c>
      <c r="S117" s="4" t="s">
        <v>131</v>
      </c>
      <c r="U117" s="4">
        <v>1</v>
      </c>
      <c r="V117" s="4">
        <v>0</v>
      </c>
      <c r="W117" s="4">
        <v>0</v>
      </c>
    </row>
    <row r="118" spans="1:23" ht="11.25" customHeight="1" x14ac:dyDescent="0.25">
      <c r="A118" s="4" t="s">
        <v>21</v>
      </c>
      <c r="B118" s="4" t="s">
        <v>43</v>
      </c>
      <c r="C118" s="4" t="s">
        <v>44</v>
      </c>
      <c r="D118" s="4" t="s">
        <v>42</v>
      </c>
      <c r="E118" s="4" t="s">
        <v>25</v>
      </c>
      <c r="F118" s="4" t="s">
        <v>25</v>
      </c>
      <c r="G118" s="4" t="s">
        <v>25</v>
      </c>
      <c r="H118" s="4" t="s">
        <v>37</v>
      </c>
      <c r="I118" s="5">
        <v>44256</v>
      </c>
      <c r="J118" s="6">
        <v>9680</v>
      </c>
      <c r="K118" s="6">
        <v>9680</v>
      </c>
      <c r="L118" s="6">
        <v>290.8</v>
      </c>
      <c r="M118" s="6">
        <v>290.8</v>
      </c>
      <c r="N118" s="6">
        <v>290.8</v>
      </c>
      <c r="O118" s="6">
        <v>290.8</v>
      </c>
      <c r="P118" s="6">
        <v>0</v>
      </c>
      <c r="Q118" s="4" t="s">
        <v>26</v>
      </c>
      <c r="R118" s="4">
        <v>0</v>
      </c>
      <c r="S118" s="4" t="s">
        <v>132</v>
      </c>
      <c r="T118" s="4" t="s">
        <v>425</v>
      </c>
      <c r="U118" s="4">
        <v>1</v>
      </c>
      <c r="V118" s="4">
        <v>25</v>
      </c>
      <c r="W118" s="4">
        <v>70</v>
      </c>
    </row>
    <row r="119" spans="1:23" ht="11.25" customHeight="1" x14ac:dyDescent="0.25">
      <c r="A119" s="4" t="s">
        <v>21</v>
      </c>
      <c r="B119" s="4" t="s">
        <v>43</v>
      </c>
      <c r="C119" s="4" t="s">
        <v>44</v>
      </c>
      <c r="D119" s="4" t="s">
        <v>42</v>
      </c>
      <c r="E119" s="4" t="s">
        <v>25</v>
      </c>
      <c r="F119" s="4" t="s">
        <v>25</v>
      </c>
      <c r="G119" s="4" t="s">
        <v>25</v>
      </c>
      <c r="H119" s="4" t="s">
        <v>37</v>
      </c>
      <c r="I119" s="5">
        <v>44256</v>
      </c>
      <c r="J119" s="6">
        <v>133743</v>
      </c>
      <c r="K119" s="6">
        <v>133743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60</v>
      </c>
      <c r="R119" s="4">
        <v>0</v>
      </c>
      <c r="S119" s="4" t="s">
        <v>132</v>
      </c>
      <c r="U119" s="4">
        <v>1</v>
      </c>
      <c r="V119" s="4">
        <v>0</v>
      </c>
      <c r="W119" s="4">
        <v>0</v>
      </c>
    </row>
    <row r="120" spans="1:23" ht="11.25" customHeight="1" x14ac:dyDescent="0.25">
      <c r="A120" s="4" t="s">
        <v>21</v>
      </c>
      <c r="B120" s="4" t="s">
        <v>43</v>
      </c>
      <c r="C120" s="4" t="s">
        <v>44</v>
      </c>
      <c r="D120" s="4" t="s">
        <v>42</v>
      </c>
      <c r="E120" s="4" t="s">
        <v>25</v>
      </c>
      <c r="F120" s="4" t="s">
        <v>25</v>
      </c>
      <c r="G120" s="4" t="s">
        <v>25</v>
      </c>
      <c r="H120" s="4" t="s">
        <v>37</v>
      </c>
      <c r="I120" s="5">
        <v>44287</v>
      </c>
      <c r="J120" s="6">
        <v>9713</v>
      </c>
      <c r="K120" s="6">
        <v>9713</v>
      </c>
      <c r="L120" s="6">
        <v>259.22000000000003</v>
      </c>
      <c r="M120" s="6">
        <v>259.22000000000003</v>
      </c>
      <c r="N120" s="6">
        <v>259.22000000000003</v>
      </c>
      <c r="O120" s="6">
        <v>259.22000000000003</v>
      </c>
      <c r="P120" s="6">
        <v>0</v>
      </c>
      <c r="Q120" s="4" t="s">
        <v>26</v>
      </c>
      <c r="R120" s="4">
        <v>0</v>
      </c>
      <c r="S120" s="4" t="s">
        <v>133</v>
      </c>
      <c r="T120" s="4" t="s">
        <v>426</v>
      </c>
      <c r="U120" s="4">
        <v>1</v>
      </c>
      <c r="V120" s="4">
        <v>25</v>
      </c>
      <c r="W120" s="4">
        <v>70</v>
      </c>
    </row>
    <row r="121" spans="1:23" ht="11.25" customHeight="1" x14ac:dyDescent="0.25">
      <c r="A121" s="4" t="s">
        <v>21</v>
      </c>
      <c r="B121" s="4" t="s">
        <v>43</v>
      </c>
      <c r="C121" s="4" t="s">
        <v>44</v>
      </c>
      <c r="D121" s="4" t="s">
        <v>42</v>
      </c>
      <c r="E121" s="4" t="s">
        <v>25</v>
      </c>
      <c r="F121" s="4" t="s">
        <v>25</v>
      </c>
      <c r="G121" s="4" t="s">
        <v>25</v>
      </c>
      <c r="H121" s="4" t="s">
        <v>37</v>
      </c>
      <c r="I121" s="5">
        <v>44287</v>
      </c>
      <c r="J121" s="6">
        <v>136959</v>
      </c>
      <c r="K121" s="6">
        <v>136959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60</v>
      </c>
      <c r="R121" s="4">
        <v>0</v>
      </c>
      <c r="S121" s="4" t="s">
        <v>133</v>
      </c>
      <c r="U121" s="4">
        <v>1</v>
      </c>
      <c r="V121" s="4">
        <v>0</v>
      </c>
      <c r="W121" s="4">
        <v>0</v>
      </c>
    </row>
    <row r="122" spans="1:23" ht="11.25" customHeight="1" x14ac:dyDescent="0.25">
      <c r="A122" s="4" t="s">
        <v>21</v>
      </c>
      <c r="B122" s="4" t="s">
        <v>43</v>
      </c>
      <c r="C122" s="4" t="s">
        <v>44</v>
      </c>
      <c r="D122" s="4" t="s">
        <v>42</v>
      </c>
      <c r="E122" s="4" t="s">
        <v>25</v>
      </c>
      <c r="F122" s="4" t="s">
        <v>25</v>
      </c>
      <c r="G122" s="4" t="s">
        <v>25</v>
      </c>
      <c r="H122" s="4" t="s">
        <v>37</v>
      </c>
      <c r="I122" s="5">
        <v>44317</v>
      </c>
      <c r="J122" s="6">
        <v>9646</v>
      </c>
      <c r="K122" s="6">
        <v>9646</v>
      </c>
      <c r="L122" s="6">
        <v>271.12400000000002</v>
      </c>
      <c r="M122" s="6">
        <v>271.12400000000002</v>
      </c>
      <c r="N122" s="6">
        <v>271.12400000000002</v>
      </c>
      <c r="O122" s="6">
        <v>271.12400000000002</v>
      </c>
      <c r="P122" s="6">
        <v>0</v>
      </c>
      <c r="Q122" s="4" t="s">
        <v>26</v>
      </c>
      <c r="R122" s="4">
        <v>0</v>
      </c>
      <c r="S122" s="4" t="s">
        <v>134</v>
      </c>
      <c r="T122" s="4" t="s">
        <v>427</v>
      </c>
      <c r="U122" s="4">
        <v>1</v>
      </c>
      <c r="V122" s="4">
        <v>25</v>
      </c>
      <c r="W122" s="4">
        <v>70</v>
      </c>
    </row>
    <row r="123" spans="1:23" ht="11.25" customHeight="1" x14ac:dyDescent="0.25">
      <c r="A123" s="4" t="s">
        <v>21</v>
      </c>
      <c r="B123" s="4" t="s">
        <v>43</v>
      </c>
      <c r="C123" s="4" t="s">
        <v>44</v>
      </c>
      <c r="D123" s="4" t="s">
        <v>42</v>
      </c>
      <c r="E123" s="4" t="s">
        <v>25</v>
      </c>
      <c r="F123" s="4" t="s">
        <v>25</v>
      </c>
      <c r="G123" s="4" t="s">
        <v>25</v>
      </c>
      <c r="H123" s="4" t="s">
        <v>37</v>
      </c>
      <c r="I123" s="5">
        <v>44317</v>
      </c>
      <c r="J123" s="6">
        <v>137260</v>
      </c>
      <c r="K123" s="6">
        <v>137260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60</v>
      </c>
      <c r="R123" s="4">
        <v>0</v>
      </c>
      <c r="S123" s="4" t="s">
        <v>134</v>
      </c>
      <c r="U123" s="4">
        <v>1</v>
      </c>
      <c r="V123" s="4">
        <v>0</v>
      </c>
      <c r="W123" s="4">
        <v>0</v>
      </c>
    </row>
    <row r="124" spans="1:23" ht="11.25" customHeight="1" x14ac:dyDescent="0.25">
      <c r="A124" s="4" t="s">
        <v>21</v>
      </c>
      <c r="B124" s="4" t="s">
        <v>43</v>
      </c>
      <c r="C124" s="4" t="s">
        <v>44</v>
      </c>
      <c r="D124" s="4" t="s">
        <v>42</v>
      </c>
      <c r="E124" s="4" t="s">
        <v>25</v>
      </c>
      <c r="F124" s="4" t="s">
        <v>25</v>
      </c>
      <c r="G124" s="4" t="s">
        <v>25</v>
      </c>
      <c r="H124" s="4" t="s">
        <v>37</v>
      </c>
      <c r="I124" s="5">
        <v>44348</v>
      </c>
      <c r="J124" s="6">
        <v>5200</v>
      </c>
      <c r="K124" s="6">
        <v>5200</v>
      </c>
      <c r="L124" s="6">
        <v>15.832000000000001</v>
      </c>
      <c r="M124" s="6">
        <v>15.832000000000001</v>
      </c>
      <c r="N124" s="6">
        <v>15.832000000000001</v>
      </c>
      <c r="O124" s="6">
        <v>15.832000000000001</v>
      </c>
      <c r="P124" s="6">
        <v>0</v>
      </c>
      <c r="Q124" s="4" t="s">
        <v>26</v>
      </c>
      <c r="R124" s="4">
        <v>0</v>
      </c>
      <c r="S124" s="4" t="s">
        <v>135</v>
      </c>
      <c r="T124" s="4" t="s">
        <v>428</v>
      </c>
      <c r="U124" s="4">
        <v>1</v>
      </c>
      <c r="V124" s="4">
        <v>25</v>
      </c>
      <c r="W124" s="4">
        <v>70</v>
      </c>
    </row>
    <row r="125" spans="1:23" ht="11.25" customHeight="1" x14ac:dyDescent="0.25">
      <c r="A125" s="4" t="s">
        <v>21</v>
      </c>
      <c r="B125" s="4" t="s">
        <v>43</v>
      </c>
      <c r="C125" s="4" t="s">
        <v>44</v>
      </c>
      <c r="D125" s="4" t="s">
        <v>42</v>
      </c>
      <c r="E125" s="4" t="s">
        <v>25</v>
      </c>
      <c r="F125" s="4" t="s">
        <v>25</v>
      </c>
      <c r="G125" s="4" t="s">
        <v>25</v>
      </c>
      <c r="H125" s="4" t="s">
        <v>37</v>
      </c>
      <c r="I125" s="5">
        <v>44348</v>
      </c>
      <c r="J125" s="6">
        <v>132923</v>
      </c>
      <c r="K125" s="6">
        <v>132923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60</v>
      </c>
      <c r="R125" s="4">
        <v>0</v>
      </c>
      <c r="S125" s="4" t="s">
        <v>135</v>
      </c>
      <c r="U125" s="4">
        <v>1</v>
      </c>
      <c r="V125" s="4">
        <v>0</v>
      </c>
      <c r="W125" s="4">
        <v>0</v>
      </c>
    </row>
    <row r="126" spans="1:23" ht="11.25" customHeight="1" x14ac:dyDescent="0.25">
      <c r="A126" s="4" t="s">
        <v>21</v>
      </c>
      <c r="B126" s="4" t="s">
        <v>43</v>
      </c>
      <c r="C126" s="4" t="s">
        <v>44</v>
      </c>
      <c r="D126" s="4" t="s">
        <v>42</v>
      </c>
      <c r="E126" s="4" t="s">
        <v>25</v>
      </c>
      <c r="F126" s="4" t="s">
        <v>25</v>
      </c>
      <c r="G126" s="4" t="s">
        <v>25</v>
      </c>
      <c r="H126" s="4" t="s">
        <v>37</v>
      </c>
      <c r="I126" s="5">
        <v>44378</v>
      </c>
      <c r="J126" s="6">
        <v>9100</v>
      </c>
      <c r="K126" s="6">
        <v>9100</v>
      </c>
      <c r="L126" s="6">
        <v>172.83699999999999</v>
      </c>
      <c r="M126" s="6">
        <v>172.83699999999999</v>
      </c>
      <c r="N126" s="6">
        <v>172.83699999999999</v>
      </c>
      <c r="O126" s="6">
        <v>172.83699999999999</v>
      </c>
      <c r="P126" s="6">
        <v>0</v>
      </c>
      <c r="Q126" s="4" t="s">
        <v>26</v>
      </c>
      <c r="R126" s="4">
        <v>0</v>
      </c>
      <c r="S126" s="4" t="s">
        <v>136</v>
      </c>
      <c r="T126" s="4" t="s">
        <v>429</v>
      </c>
      <c r="U126" s="4">
        <v>1</v>
      </c>
      <c r="V126" s="4">
        <v>25</v>
      </c>
      <c r="W126" s="4">
        <v>70</v>
      </c>
    </row>
    <row r="127" spans="1:23" ht="11.25" customHeight="1" x14ac:dyDescent="0.25">
      <c r="A127" s="4" t="s">
        <v>21</v>
      </c>
      <c r="B127" s="4" t="s">
        <v>43</v>
      </c>
      <c r="C127" s="4" t="s">
        <v>44</v>
      </c>
      <c r="D127" s="4" t="s">
        <v>42</v>
      </c>
      <c r="E127" s="4" t="s">
        <v>25</v>
      </c>
      <c r="F127" s="4" t="s">
        <v>25</v>
      </c>
      <c r="G127" s="4" t="s">
        <v>25</v>
      </c>
      <c r="H127" s="4" t="s">
        <v>37</v>
      </c>
      <c r="I127" s="5">
        <v>44378</v>
      </c>
      <c r="J127" s="6">
        <v>137603</v>
      </c>
      <c r="K127" s="6">
        <v>137603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60</v>
      </c>
      <c r="R127" s="4">
        <v>0</v>
      </c>
      <c r="S127" s="4" t="s">
        <v>136</v>
      </c>
      <c r="U127" s="4">
        <v>1</v>
      </c>
      <c r="V127" s="4">
        <v>0</v>
      </c>
      <c r="W127" s="4">
        <v>0</v>
      </c>
    </row>
    <row r="128" spans="1:23" ht="11.25" customHeight="1" x14ac:dyDescent="0.25">
      <c r="A128" s="4" t="s">
        <v>21</v>
      </c>
      <c r="B128" s="4" t="s">
        <v>43</v>
      </c>
      <c r="C128" s="4" t="s">
        <v>44</v>
      </c>
      <c r="D128" s="4" t="s">
        <v>42</v>
      </c>
      <c r="E128" s="4" t="s">
        <v>25</v>
      </c>
      <c r="F128" s="4" t="s">
        <v>25</v>
      </c>
      <c r="G128" s="4" t="s">
        <v>25</v>
      </c>
      <c r="H128" s="4" t="s">
        <v>37</v>
      </c>
      <c r="I128" s="5">
        <v>44409</v>
      </c>
      <c r="J128" s="6">
        <v>9100</v>
      </c>
      <c r="K128" s="6">
        <v>9100</v>
      </c>
      <c r="L128" s="6">
        <v>206.767</v>
      </c>
      <c r="M128" s="6">
        <v>206.767</v>
      </c>
      <c r="N128" s="6">
        <v>206.767</v>
      </c>
      <c r="O128" s="6">
        <v>206.767</v>
      </c>
      <c r="P128" s="6">
        <v>0</v>
      </c>
      <c r="Q128" s="4" t="s">
        <v>26</v>
      </c>
      <c r="R128" s="4">
        <v>0</v>
      </c>
      <c r="S128" s="4" t="s">
        <v>137</v>
      </c>
      <c r="T128" s="4" t="s">
        <v>430</v>
      </c>
      <c r="U128" s="4">
        <v>1</v>
      </c>
      <c r="V128" s="4">
        <v>25</v>
      </c>
      <c r="W128" s="4">
        <v>70</v>
      </c>
    </row>
    <row r="129" spans="1:23" ht="11.25" customHeight="1" x14ac:dyDescent="0.25">
      <c r="A129" s="4" t="s">
        <v>21</v>
      </c>
      <c r="B129" s="4" t="s">
        <v>43</v>
      </c>
      <c r="C129" s="4" t="s">
        <v>44</v>
      </c>
      <c r="D129" s="4" t="s">
        <v>42</v>
      </c>
      <c r="E129" s="4" t="s">
        <v>25</v>
      </c>
      <c r="F129" s="4" t="s">
        <v>25</v>
      </c>
      <c r="G129" s="4" t="s">
        <v>25</v>
      </c>
      <c r="H129" s="4" t="s">
        <v>37</v>
      </c>
      <c r="I129" s="5">
        <v>44409</v>
      </c>
      <c r="J129" s="6">
        <v>143523</v>
      </c>
      <c r="K129" s="6">
        <v>143523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60</v>
      </c>
      <c r="R129" s="4">
        <v>0</v>
      </c>
      <c r="S129" s="4" t="s">
        <v>137</v>
      </c>
      <c r="U129" s="4">
        <v>1</v>
      </c>
      <c r="V129" s="4">
        <v>0</v>
      </c>
      <c r="W129" s="4">
        <v>0</v>
      </c>
    </row>
    <row r="130" spans="1:23" ht="11.25" customHeight="1" x14ac:dyDescent="0.25">
      <c r="A130" s="4" t="s">
        <v>21</v>
      </c>
      <c r="B130" s="4" t="s">
        <v>43</v>
      </c>
      <c r="C130" s="4" t="s">
        <v>44</v>
      </c>
      <c r="D130" s="4" t="s">
        <v>42</v>
      </c>
      <c r="E130" s="4" t="s">
        <v>25</v>
      </c>
      <c r="F130" s="4" t="s">
        <v>25</v>
      </c>
      <c r="G130" s="4" t="s">
        <v>25</v>
      </c>
      <c r="H130" s="4" t="s">
        <v>37</v>
      </c>
      <c r="I130" s="5">
        <v>44440</v>
      </c>
      <c r="J130" s="6">
        <v>9100</v>
      </c>
      <c r="K130" s="6">
        <v>9100</v>
      </c>
      <c r="L130" s="6">
        <v>166.53399999999999</v>
      </c>
      <c r="M130" s="6">
        <v>166.53399999999999</v>
      </c>
      <c r="N130" s="6">
        <v>166.53399999999999</v>
      </c>
      <c r="O130" s="6">
        <v>166.53399999999999</v>
      </c>
      <c r="P130" s="6">
        <v>0</v>
      </c>
      <c r="Q130" s="4" t="s">
        <v>26</v>
      </c>
      <c r="R130" s="4">
        <v>0</v>
      </c>
      <c r="S130" s="4" t="s">
        <v>138</v>
      </c>
      <c r="T130" s="4" t="s">
        <v>431</v>
      </c>
      <c r="U130" s="4">
        <v>1</v>
      </c>
      <c r="V130" s="4">
        <v>25</v>
      </c>
      <c r="W130" s="4">
        <v>70</v>
      </c>
    </row>
    <row r="131" spans="1:23" ht="11.25" customHeight="1" x14ac:dyDescent="0.25">
      <c r="A131" s="4" t="s">
        <v>21</v>
      </c>
      <c r="B131" s="4" t="s">
        <v>43</v>
      </c>
      <c r="C131" s="4" t="s">
        <v>44</v>
      </c>
      <c r="D131" s="4" t="s">
        <v>42</v>
      </c>
      <c r="E131" s="4" t="s">
        <v>25</v>
      </c>
      <c r="F131" s="4" t="s">
        <v>25</v>
      </c>
      <c r="G131" s="4" t="s">
        <v>25</v>
      </c>
      <c r="H131" s="4" t="s">
        <v>37</v>
      </c>
      <c r="I131" s="5">
        <v>44440</v>
      </c>
      <c r="J131" s="6">
        <v>147144</v>
      </c>
      <c r="K131" s="6">
        <v>147144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60</v>
      </c>
      <c r="R131" s="4">
        <v>0</v>
      </c>
      <c r="S131" s="4" t="s">
        <v>138</v>
      </c>
      <c r="U131" s="4">
        <v>1</v>
      </c>
      <c r="V131" s="4">
        <v>0</v>
      </c>
      <c r="W131" s="4">
        <v>0</v>
      </c>
    </row>
    <row r="132" spans="1:23" ht="11.25" customHeight="1" x14ac:dyDescent="0.25">
      <c r="A132" s="4" t="s">
        <v>59</v>
      </c>
      <c r="B132" s="4" t="s">
        <v>43</v>
      </c>
      <c r="C132" s="4" t="s">
        <v>44</v>
      </c>
      <c r="D132" s="4" t="s">
        <v>42</v>
      </c>
      <c r="E132" s="4" t="s">
        <v>25</v>
      </c>
      <c r="F132" s="4" t="s">
        <v>25</v>
      </c>
      <c r="G132" s="4" t="s">
        <v>25</v>
      </c>
      <c r="H132" s="4" t="s">
        <v>37</v>
      </c>
      <c r="I132" s="5">
        <v>44470</v>
      </c>
      <c r="J132" s="6">
        <v>9100</v>
      </c>
      <c r="K132" s="6">
        <v>9100</v>
      </c>
      <c r="L132" s="6">
        <v>166.53399999999999</v>
      </c>
      <c r="M132" s="6">
        <v>166.53399999999999</v>
      </c>
      <c r="N132" s="6">
        <v>166.53399999999999</v>
      </c>
      <c r="O132" s="6">
        <v>166.53399999999999</v>
      </c>
      <c r="P132" s="6">
        <v>0</v>
      </c>
      <c r="Q132" s="4" t="s">
        <v>26</v>
      </c>
      <c r="R132" s="4">
        <v>0</v>
      </c>
      <c r="S132" s="4" t="s">
        <v>139</v>
      </c>
      <c r="T132" s="4" t="s">
        <v>432</v>
      </c>
      <c r="U132" s="4">
        <v>1</v>
      </c>
      <c r="V132" s="4">
        <v>25</v>
      </c>
      <c r="W132" s="4">
        <v>70</v>
      </c>
    </row>
    <row r="133" spans="1:23" ht="11.25" customHeight="1" x14ac:dyDescent="0.25">
      <c r="A133" s="4" t="s">
        <v>59</v>
      </c>
      <c r="B133" s="4" t="s">
        <v>43</v>
      </c>
      <c r="C133" s="4" t="s">
        <v>44</v>
      </c>
      <c r="D133" s="4" t="s">
        <v>42</v>
      </c>
      <c r="E133" s="4" t="s">
        <v>25</v>
      </c>
      <c r="F133" s="4" t="s">
        <v>25</v>
      </c>
      <c r="G133" s="4" t="s">
        <v>25</v>
      </c>
      <c r="H133" s="4" t="s">
        <v>37</v>
      </c>
      <c r="I133" s="5">
        <v>44470</v>
      </c>
      <c r="J133" s="6">
        <v>147144</v>
      </c>
      <c r="K133" s="6">
        <v>147144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60</v>
      </c>
      <c r="R133" s="4">
        <v>0</v>
      </c>
      <c r="S133" s="4" t="s">
        <v>139</v>
      </c>
      <c r="U133" s="4">
        <v>1</v>
      </c>
      <c r="V133" s="4">
        <v>0</v>
      </c>
      <c r="W133" s="4">
        <v>0</v>
      </c>
    </row>
    <row r="134" spans="1:23" ht="11.25" customHeight="1" x14ac:dyDescent="0.25">
      <c r="A134" s="4" t="s">
        <v>21</v>
      </c>
      <c r="B134" s="4" t="s">
        <v>43</v>
      </c>
      <c r="C134" s="4" t="s">
        <v>44</v>
      </c>
      <c r="D134" s="4" t="s">
        <v>48</v>
      </c>
      <c r="E134" s="4" t="s">
        <v>25</v>
      </c>
      <c r="F134" s="4" t="s">
        <v>25</v>
      </c>
      <c r="G134" s="4" t="s">
        <v>25</v>
      </c>
      <c r="H134" s="4" t="s">
        <v>38</v>
      </c>
      <c r="I134" s="5">
        <v>44136</v>
      </c>
      <c r="J134" s="6">
        <v>6800</v>
      </c>
      <c r="K134" s="6">
        <v>6800</v>
      </c>
      <c r="L134" s="6">
        <v>2306.2759999999998</v>
      </c>
      <c r="M134" s="6">
        <v>2306.2759999999998</v>
      </c>
      <c r="N134" s="6">
        <v>2306.2759999999998</v>
      </c>
      <c r="O134" s="6">
        <v>2306.2759999999998</v>
      </c>
      <c r="P134" s="6">
        <v>0</v>
      </c>
      <c r="Q134" s="4" t="s">
        <v>26</v>
      </c>
      <c r="R134" s="4">
        <v>0</v>
      </c>
      <c r="S134" s="4" t="s">
        <v>104</v>
      </c>
      <c r="T134" s="4" t="s">
        <v>409</v>
      </c>
      <c r="U134" s="4">
        <v>2</v>
      </c>
      <c r="V134" s="4">
        <v>25</v>
      </c>
      <c r="W134" s="4">
        <v>65</v>
      </c>
    </row>
    <row r="135" spans="1:23" ht="11.25" customHeight="1" x14ac:dyDescent="0.25">
      <c r="A135" s="4" t="s">
        <v>21</v>
      </c>
      <c r="B135" s="4" t="s">
        <v>43</v>
      </c>
      <c r="C135" s="4" t="s">
        <v>44</v>
      </c>
      <c r="D135" s="4" t="s">
        <v>48</v>
      </c>
      <c r="E135" s="4" t="s">
        <v>25</v>
      </c>
      <c r="F135" s="4" t="s">
        <v>25</v>
      </c>
      <c r="G135" s="4" t="s">
        <v>25</v>
      </c>
      <c r="H135" s="4" t="s">
        <v>38</v>
      </c>
      <c r="I135" s="5">
        <v>44166</v>
      </c>
      <c r="J135" s="6">
        <v>6800</v>
      </c>
      <c r="K135" s="6">
        <v>6800</v>
      </c>
      <c r="L135" s="6">
        <v>2336.6979999999999</v>
      </c>
      <c r="M135" s="6">
        <v>2336.6979999999999</v>
      </c>
      <c r="N135" s="6">
        <v>2336.6979999999999</v>
      </c>
      <c r="O135" s="6">
        <v>2336.6979999999999</v>
      </c>
      <c r="P135" s="6">
        <v>0</v>
      </c>
      <c r="Q135" s="4" t="s">
        <v>26</v>
      </c>
      <c r="R135" s="4">
        <v>0</v>
      </c>
      <c r="S135" s="4" t="s">
        <v>105</v>
      </c>
      <c r="T135" s="4" t="s">
        <v>410</v>
      </c>
      <c r="U135" s="4">
        <v>2</v>
      </c>
      <c r="V135" s="4">
        <v>25</v>
      </c>
      <c r="W135" s="4">
        <v>65</v>
      </c>
    </row>
    <row r="136" spans="1:23" ht="11.25" customHeight="1" x14ac:dyDescent="0.25">
      <c r="A136" s="4" t="s">
        <v>21</v>
      </c>
      <c r="B136" s="4" t="s">
        <v>43</v>
      </c>
      <c r="C136" s="4" t="s">
        <v>44</v>
      </c>
      <c r="D136" s="4" t="s">
        <v>48</v>
      </c>
      <c r="E136" s="4" t="s">
        <v>25</v>
      </c>
      <c r="F136" s="4" t="s">
        <v>25</v>
      </c>
      <c r="G136" s="4" t="s">
        <v>25</v>
      </c>
      <c r="H136" s="4" t="s">
        <v>38</v>
      </c>
      <c r="I136" s="5">
        <v>44197</v>
      </c>
      <c r="J136" s="6">
        <v>6800</v>
      </c>
      <c r="K136" s="6">
        <v>6800</v>
      </c>
      <c r="L136" s="6">
        <v>2230.4520000000002</v>
      </c>
      <c r="M136" s="6">
        <v>2230.4520000000002</v>
      </c>
      <c r="N136" s="6">
        <v>2230.4520000000002</v>
      </c>
      <c r="O136" s="6">
        <v>2230.4520000000002</v>
      </c>
      <c r="P136" s="6">
        <v>0</v>
      </c>
      <c r="Q136" s="4" t="s">
        <v>26</v>
      </c>
      <c r="R136" s="4">
        <v>0</v>
      </c>
      <c r="S136" s="4" t="s">
        <v>106</v>
      </c>
      <c r="T136" s="4" t="s">
        <v>411</v>
      </c>
      <c r="U136" s="4">
        <v>2</v>
      </c>
      <c r="V136" s="4">
        <v>25</v>
      </c>
      <c r="W136" s="4">
        <v>65</v>
      </c>
    </row>
    <row r="137" spans="1:23" ht="11.25" customHeight="1" x14ac:dyDescent="0.25">
      <c r="A137" s="4" t="s">
        <v>21</v>
      </c>
      <c r="B137" s="4" t="s">
        <v>43</v>
      </c>
      <c r="C137" s="4" t="s">
        <v>44</v>
      </c>
      <c r="D137" s="4" t="s">
        <v>48</v>
      </c>
      <c r="E137" s="4" t="s">
        <v>25</v>
      </c>
      <c r="F137" s="4" t="s">
        <v>25</v>
      </c>
      <c r="G137" s="4" t="s">
        <v>25</v>
      </c>
      <c r="H137" s="4" t="s">
        <v>38</v>
      </c>
      <c r="I137" s="5">
        <v>44228</v>
      </c>
      <c r="J137" s="6">
        <v>6800</v>
      </c>
      <c r="K137" s="6">
        <v>6800</v>
      </c>
      <c r="L137" s="6">
        <v>2032.4079999999999</v>
      </c>
      <c r="M137" s="6">
        <v>2032.4079999999999</v>
      </c>
      <c r="N137" s="6">
        <v>2032.4079999999999</v>
      </c>
      <c r="O137" s="6">
        <v>2032.4079999999999</v>
      </c>
      <c r="P137" s="6">
        <v>0</v>
      </c>
      <c r="Q137" s="4" t="s">
        <v>26</v>
      </c>
      <c r="R137" s="4">
        <v>0</v>
      </c>
      <c r="S137" s="4" t="s">
        <v>107</v>
      </c>
      <c r="T137" s="4" t="s">
        <v>412</v>
      </c>
      <c r="U137" s="4">
        <v>2</v>
      </c>
      <c r="V137" s="4">
        <v>25</v>
      </c>
      <c r="W137" s="4">
        <v>65</v>
      </c>
    </row>
    <row r="138" spans="1:23" ht="11.25" customHeight="1" x14ac:dyDescent="0.25">
      <c r="A138" s="4" t="s">
        <v>21</v>
      </c>
      <c r="B138" s="4" t="s">
        <v>43</v>
      </c>
      <c r="C138" s="4" t="s">
        <v>44</v>
      </c>
      <c r="D138" s="4" t="s">
        <v>48</v>
      </c>
      <c r="E138" s="4" t="s">
        <v>25</v>
      </c>
      <c r="F138" s="4" t="s">
        <v>25</v>
      </c>
      <c r="G138" s="4" t="s">
        <v>25</v>
      </c>
      <c r="H138" s="4" t="s">
        <v>38</v>
      </c>
      <c r="I138" s="5">
        <v>44256</v>
      </c>
      <c r="J138" s="6">
        <v>6800</v>
      </c>
      <c r="K138" s="6">
        <v>6800</v>
      </c>
      <c r="L138" s="6">
        <v>2269.7220000000002</v>
      </c>
      <c r="M138" s="6">
        <v>2269.7220000000002</v>
      </c>
      <c r="N138" s="6">
        <v>2269.7220000000002</v>
      </c>
      <c r="O138" s="6">
        <v>2269.7220000000002</v>
      </c>
      <c r="P138" s="6">
        <v>0</v>
      </c>
      <c r="Q138" s="4" t="s">
        <v>26</v>
      </c>
      <c r="R138" s="4">
        <v>0</v>
      </c>
      <c r="S138" s="4" t="s">
        <v>108</v>
      </c>
      <c r="T138" s="4" t="s">
        <v>413</v>
      </c>
      <c r="U138" s="4">
        <v>2</v>
      </c>
      <c r="V138" s="4">
        <v>25</v>
      </c>
      <c r="W138" s="4">
        <v>65</v>
      </c>
    </row>
    <row r="139" spans="1:23" ht="11.25" customHeight="1" x14ac:dyDescent="0.25">
      <c r="A139" s="4" t="s">
        <v>21</v>
      </c>
      <c r="B139" s="4" t="s">
        <v>43</v>
      </c>
      <c r="C139" s="4" t="s">
        <v>44</v>
      </c>
      <c r="D139" s="4" t="s">
        <v>48</v>
      </c>
      <c r="E139" s="4" t="s">
        <v>25</v>
      </c>
      <c r="F139" s="4" t="s">
        <v>25</v>
      </c>
      <c r="G139" s="4" t="s">
        <v>25</v>
      </c>
      <c r="H139" s="4" t="s">
        <v>38</v>
      </c>
      <c r="I139" s="5">
        <v>44287</v>
      </c>
      <c r="J139" s="6">
        <v>6800</v>
      </c>
      <c r="K139" s="6">
        <v>6800</v>
      </c>
      <c r="L139" s="6">
        <v>2143.7779999999998</v>
      </c>
      <c r="M139" s="6">
        <v>2143.7779999999998</v>
      </c>
      <c r="N139" s="6">
        <v>2143.7779999999998</v>
      </c>
      <c r="O139" s="6">
        <v>2143.7779999999998</v>
      </c>
      <c r="P139" s="6">
        <v>0</v>
      </c>
      <c r="Q139" s="4" t="s">
        <v>26</v>
      </c>
      <c r="R139" s="4">
        <v>0</v>
      </c>
      <c r="S139" s="4" t="s">
        <v>109</v>
      </c>
      <c r="T139" s="4" t="s">
        <v>414</v>
      </c>
      <c r="U139" s="4">
        <v>2</v>
      </c>
      <c r="V139" s="4">
        <v>25</v>
      </c>
      <c r="W139" s="4">
        <v>65</v>
      </c>
    </row>
    <row r="140" spans="1:23" ht="11.25" customHeight="1" x14ac:dyDescent="0.25">
      <c r="A140" s="4" t="s">
        <v>21</v>
      </c>
      <c r="B140" s="4" t="s">
        <v>43</v>
      </c>
      <c r="C140" s="4" t="s">
        <v>44</v>
      </c>
      <c r="D140" s="4" t="s">
        <v>48</v>
      </c>
      <c r="E140" s="4" t="s">
        <v>25</v>
      </c>
      <c r="F140" s="4" t="s">
        <v>25</v>
      </c>
      <c r="G140" s="4" t="s">
        <v>25</v>
      </c>
      <c r="H140" s="4" t="s">
        <v>38</v>
      </c>
      <c r="I140" s="5">
        <v>44317</v>
      </c>
      <c r="J140" s="6">
        <v>6800</v>
      </c>
      <c r="K140" s="6">
        <v>6800</v>
      </c>
      <c r="L140" s="6">
        <v>2196.5859999999998</v>
      </c>
      <c r="M140" s="6">
        <v>2196.5859999999998</v>
      </c>
      <c r="N140" s="6">
        <v>2196.5859999999998</v>
      </c>
      <c r="O140" s="6">
        <v>2196.5859999999998</v>
      </c>
      <c r="P140" s="6">
        <v>0</v>
      </c>
      <c r="Q140" s="4" t="s">
        <v>26</v>
      </c>
      <c r="R140" s="4">
        <v>0</v>
      </c>
      <c r="S140" s="4" t="s">
        <v>110</v>
      </c>
      <c r="T140" s="4" t="s">
        <v>415</v>
      </c>
      <c r="U140" s="4">
        <v>2</v>
      </c>
      <c r="V140" s="4">
        <v>25</v>
      </c>
      <c r="W140" s="4">
        <v>65</v>
      </c>
    </row>
    <row r="141" spans="1:23" ht="11.25" customHeight="1" x14ac:dyDescent="0.25">
      <c r="A141" s="4" t="s">
        <v>21</v>
      </c>
      <c r="B141" s="4" t="s">
        <v>43</v>
      </c>
      <c r="C141" s="4" t="s">
        <v>44</v>
      </c>
      <c r="D141" s="4" t="s">
        <v>48</v>
      </c>
      <c r="E141" s="4" t="s">
        <v>25</v>
      </c>
      <c r="F141" s="4" t="s">
        <v>25</v>
      </c>
      <c r="G141" s="4" t="s">
        <v>25</v>
      </c>
      <c r="H141" s="4" t="s">
        <v>38</v>
      </c>
      <c r="I141" s="5">
        <v>44348</v>
      </c>
      <c r="J141" s="6">
        <v>6800</v>
      </c>
      <c r="K141" s="6">
        <v>6800</v>
      </c>
      <c r="L141" s="6">
        <v>2098.4740000000002</v>
      </c>
      <c r="M141" s="6">
        <v>2098.4740000000002</v>
      </c>
      <c r="N141" s="6">
        <v>2098.4740000000002</v>
      </c>
      <c r="O141" s="6">
        <v>2098.4740000000002</v>
      </c>
      <c r="P141" s="6">
        <v>0</v>
      </c>
      <c r="Q141" s="4" t="s">
        <v>26</v>
      </c>
      <c r="R141" s="4">
        <v>0</v>
      </c>
      <c r="S141" s="4" t="s">
        <v>111</v>
      </c>
      <c r="T141" s="4" t="s">
        <v>416</v>
      </c>
      <c r="U141" s="4">
        <v>2</v>
      </c>
      <c r="V141" s="4">
        <v>25</v>
      </c>
      <c r="W141" s="4">
        <v>65</v>
      </c>
    </row>
    <row r="142" spans="1:23" ht="11.25" customHeight="1" x14ac:dyDescent="0.25">
      <c r="A142" s="4" t="s">
        <v>21</v>
      </c>
      <c r="B142" s="4" t="s">
        <v>43</v>
      </c>
      <c r="C142" s="4" t="s">
        <v>44</v>
      </c>
      <c r="D142" s="4" t="s">
        <v>48</v>
      </c>
      <c r="E142" s="4" t="s">
        <v>25</v>
      </c>
      <c r="F142" s="4" t="s">
        <v>25</v>
      </c>
      <c r="G142" s="4" t="s">
        <v>25</v>
      </c>
      <c r="H142" s="4" t="s">
        <v>38</v>
      </c>
      <c r="I142" s="5">
        <v>44378</v>
      </c>
      <c r="J142" s="6">
        <v>6800</v>
      </c>
      <c r="K142" s="6">
        <v>6800</v>
      </c>
      <c r="L142" s="6">
        <v>2228.4499999999998</v>
      </c>
      <c r="M142" s="6">
        <v>2228.4499999999998</v>
      </c>
      <c r="N142" s="6">
        <v>2228.4499999999998</v>
      </c>
      <c r="O142" s="6">
        <v>2228.4499999999998</v>
      </c>
      <c r="P142" s="6">
        <v>0</v>
      </c>
      <c r="Q142" s="4" t="s">
        <v>26</v>
      </c>
      <c r="R142" s="4">
        <v>0</v>
      </c>
      <c r="S142" s="4" t="s">
        <v>112</v>
      </c>
      <c r="T142" s="4" t="s">
        <v>417</v>
      </c>
      <c r="U142" s="4">
        <v>2</v>
      </c>
      <c r="V142" s="4">
        <v>25</v>
      </c>
      <c r="W142" s="4">
        <v>65</v>
      </c>
    </row>
    <row r="143" spans="1:23" ht="11.25" customHeight="1" x14ac:dyDescent="0.25">
      <c r="A143" s="4" t="s">
        <v>21</v>
      </c>
      <c r="B143" s="4" t="s">
        <v>43</v>
      </c>
      <c r="C143" s="4" t="s">
        <v>44</v>
      </c>
      <c r="D143" s="4" t="s">
        <v>48</v>
      </c>
      <c r="E143" s="4" t="s">
        <v>25</v>
      </c>
      <c r="F143" s="4" t="s">
        <v>25</v>
      </c>
      <c r="G143" s="4" t="s">
        <v>25</v>
      </c>
      <c r="H143" s="4" t="s">
        <v>38</v>
      </c>
      <c r="I143" s="5">
        <v>44409</v>
      </c>
      <c r="J143" s="6">
        <v>6800</v>
      </c>
      <c r="K143" s="6">
        <v>6800</v>
      </c>
      <c r="L143" s="6">
        <v>2392.2919999999999</v>
      </c>
      <c r="M143" s="6">
        <v>2392.2919999999999</v>
      </c>
      <c r="N143" s="6">
        <v>2392.2919999999999</v>
      </c>
      <c r="O143" s="6">
        <v>2392.2919999999999</v>
      </c>
      <c r="P143" s="6">
        <v>0</v>
      </c>
      <c r="Q143" s="4" t="s">
        <v>26</v>
      </c>
      <c r="R143" s="4">
        <v>0</v>
      </c>
      <c r="S143" s="4" t="s">
        <v>113</v>
      </c>
      <c r="T143" s="4" t="s">
        <v>418</v>
      </c>
      <c r="U143" s="4">
        <v>2</v>
      </c>
      <c r="V143" s="4">
        <v>25</v>
      </c>
      <c r="W143" s="4">
        <v>65</v>
      </c>
    </row>
    <row r="144" spans="1:23" ht="11.25" customHeight="1" x14ac:dyDescent="0.25">
      <c r="A144" s="4" t="s">
        <v>21</v>
      </c>
      <c r="B144" s="4" t="s">
        <v>43</v>
      </c>
      <c r="C144" s="4" t="s">
        <v>44</v>
      </c>
      <c r="D144" s="4" t="s">
        <v>48</v>
      </c>
      <c r="E144" s="4" t="s">
        <v>25</v>
      </c>
      <c r="F144" s="4" t="s">
        <v>25</v>
      </c>
      <c r="G144" s="4" t="s">
        <v>25</v>
      </c>
      <c r="H144" s="4" t="s">
        <v>38</v>
      </c>
      <c r="I144" s="5">
        <v>44440</v>
      </c>
      <c r="J144" s="6">
        <v>6800</v>
      </c>
      <c r="K144" s="6">
        <v>6800</v>
      </c>
      <c r="L144" s="6">
        <v>2352.2800000000002</v>
      </c>
      <c r="M144" s="6">
        <v>2352.2800000000002</v>
      </c>
      <c r="N144" s="6">
        <v>2352.2800000000002</v>
      </c>
      <c r="O144" s="6">
        <v>2352.2800000000002</v>
      </c>
      <c r="P144" s="6">
        <v>0</v>
      </c>
      <c r="Q144" s="4" t="s">
        <v>26</v>
      </c>
      <c r="R144" s="4">
        <v>0</v>
      </c>
      <c r="S144" s="4" t="s">
        <v>114</v>
      </c>
      <c r="T144" s="4" t="s">
        <v>419</v>
      </c>
      <c r="U144" s="4">
        <v>2</v>
      </c>
      <c r="V144" s="4">
        <v>25</v>
      </c>
      <c r="W144" s="4">
        <v>65</v>
      </c>
    </row>
    <row r="145" spans="1:23" ht="11.25" customHeight="1" x14ac:dyDescent="0.25">
      <c r="A145" s="4" t="s">
        <v>59</v>
      </c>
      <c r="B145" s="4" t="s">
        <v>43</v>
      </c>
      <c r="C145" s="4" t="s">
        <v>44</v>
      </c>
      <c r="D145" s="4" t="s">
        <v>48</v>
      </c>
      <c r="E145" s="4" t="s">
        <v>25</v>
      </c>
      <c r="F145" s="4" t="s">
        <v>25</v>
      </c>
      <c r="G145" s="4" t="s">
        <v>25</v>
      </c>
      <c r="H145" s="4" t="s">
        <v>38</v>
      </c>
      <c r="I145" s="5">
        <v>44470</v>
      </c>
      <c r="J145" s="6">
        <v>6800</v>
      </c>
      <c r="K145" s="6">
        <v>6800</v>
      </c>
      <c r="L145" s="6">
        <v>2352.2800000000002</v>
      </c>
      <c r="M145" s="6">
        <v>2352.2800000000002</v>
      </c>
      <c r="N145" s="6">
        <v>2352.2800000000002</v>
      </c>
      <c r="O145" s="6">
        <v>2352.2800000000002</v>
      </c>
      <c r="P145" s="6">
        <v>0</v>
      </c>
      <c r="Q145" s="4" t="s">
        <v>26</v>
      </c>
      <c r="R145" s="4">
        <v>0</v>
      </c>
      <c r="S145" s="4" t="s">
        <v>115</v>
      </c>
      <c r="T145" s="4" t="s">
        <v>420</v>
      </c>
      <c r="U145" s="4">
        <v>2</v>
      </c>
      <c r="V145" s="4">
        <v>25</v>
      </c>
      <c r="W145" s="4">
        <v>65</v>
      </c>
    </row>
    <row r="146" spans="1:23" ht="11.25" customHeight="1" x14ac:dyDescent="0.25">
      <c r="A146" s="4" t="s">
        <v>21</v>
      </c>
      <c r="B146" s="4" t="s">
        <v>43</v>
      </c>
      <c r="C146" s="4" t="s">
        <v>44</v>
      </c>
      <c r="D146" s="4" t="s">
        <v>48</v>
      </c>
      <c r="E146" s="4" t="s">
        <v>25</v>
      </c>
      <c r="F146" s="4" t="s">
        <v>25</v>
      </c>
      <c r="G146" s="4" t="s">
        <v>25</v>
      </c>
      <c r="H146" s="4" t="s">
        <v>37</v>
      </c>
      <c r="I146" s="5">
        <v>44136</v>
      </c>
      <c r="J146" s="6">
        <v>6300</v>
      </c>
      <c r="K146" s="6">
        <v>6300</v>
      </c>
      <c r="L146" s="6">
        <v>196.82599999999999</v>
      </c>
      <c r="M146" s="6">
        <v>196.82599999999999</v>
      </c>
      <c r="N146" s="6">
        <v>196.82599999999999</v>
      </c>
      <c r="O146" s="6">
        <v>196.82599999999999</v>
      </c>
      <c r="P146" s="6">
        <v>0</v>
      </c>
      <c r="Q146" s="4" t="s">
        <v>26</v>
      </c>
      <c r="R146" s="4">
        <v>0</v>
      </c>
      <c r="S146" s="4" t="s">
        <v>128</v>
      </c>
      <c r="T146" s="4" t="s">
        <v>421</v>
      </c>
      <c r="U146" s="4">
        <v>1</v>
      </c>
      <c r="V146" s="4">
        <v>25</v>
      </c>
      <c r="W146" s="4">
        <v>70</v>
      </c>
    </row>
    <row r="147" spans="1:23" ht="11.25" customHeight="1" x14ac:dyDescent="0.25">
      <c r="A147" s="4" t="s">
        <v>21</v>
      </c>
      <c r="B147" s="4" t="s">
        <v>43</v>
      </c>
      <c r="C147" s="4" t="s">
        <v>44</v>
      </c>
      <c r="D147" s="4" t="s">
        <v>48</v>
      </c>
      <c r="E147" s="4" t="s">
        <v>25</v>
      </c>
      <c r="F147" s="4" t="s">
        <v>25</v>
      </c>
      <c r="G147" s="4" t="s">
        <v>25</v>
      </c>
      <c r="H147" s="4" t="s">
        <v>37</v>
      </c>
      <c r="I147" s="5">
        <v>44166</v>
      </c>
      <c r="J147" s="6">
        <v>6300</v>
      </c>
      <c r="K147" s="6">
        <v>6300</v>
      </c>
      <c r="L147" s="6">
        <v>215.208</v>
      </c>
      <c r="M147" s="6">
        <v>215.208</v>
      </c>
      <c r="N147" s="6">
        <v>215.208</v>
      </c>
      <c r="O147" s="6">
        <v>215.208</v>
      </c>
      <c r="P147" s="6">
        <v>0</v>
      </c>
      <c r="Q147" s="4" t="s">
        <v>26</v>
      </c>
      <c r="R147" s="4">
        <v>0</v>
      </c>
      <c r="S147" s="4" t="s">
        <v>129</v>
      </c>
      <c r="T147" s="4" t="s">
        <v>422</v>
      </c>
      <c r="U147" s="4">
        <v>1</v>
      </c>
      <c r="V147" s="4">
        <v>25</v>
      </c>
      <c r="W147" s="4">
        <v>70</v>
      </c>
    </row>
    <row r="148" spans="1:23" ht="11.25" customHeight="1" x14ac:dyDescent="0.25">
      <c r="A148" s="4" t="s">
        <v>21</v>
      </c>
      <c r="B148" s="4" t="s">
        <v>43</v>
      </c>
      <c r="C148" s="4" t="s">
        <v>44</v>
      </c>
      <c r="D148" s="4" t="s">
        <v>48</v>
      </c>
      <c r="E148" s="4" t="s">
        <v>25</v>
      </c>
      <c r="F148" s="4" t="s">
        <v>25</v>
      </c>
      <c r="G148" s="4" t="s">
        <v>25</v>
      </c>
      <c r="H148" s="4" t="s">
        <v>37</v>
      </c>
      <c r="I148" s="5">
        <v>44197</v>
      </c>
      <c r="J148" s="6">
        <v>6300</v>
      </c>
      <c r="K148" s="6">
        <v>6300</v>
      </c>
      <c r="L148" s="6">
        <v>189.78399999999999</v>
      </c>
      <c r="M148" s="6">
        <v>189.78399999999999</v>
      </c>
      <c r="N148" s="6">
        <v>189.78399999999999</v>
      </c>
      <c r="O148" s="6">
        <v>189.78399999999999</v>
      </c>
      <c r="P148" s="6">
        <v>0</v>
      </c>
      <c r="Q148" s="4" t="s">
        <v>26</v>
      </c>
      <c r="R148" s="4">
        <v>0</v>
      </c>
      <c r="S148" s="4" t="s">
        <v>130</v>
      </c>
      <c r="T148" s="4" t="s">
        <v>423</v>
      </c>
      <c r="U148" s="4">
        <v>1</v>
      </c>
      <c r="V148" s="4">
        <v>25</v>
      </c>
      <c r="W148" s="4">
        <v>70</v>
      </c>
    </row>
    <row r="149" spans="1:23" ht="11.25" customHeight="1" x14ac:dyDescent="0.25">
      <c r="A149" s="4" t="s">
        <v>21</v>
      </c>
      <c r="B149" s="4" t="s">
        <v>43</v>
      </c>
      <c r="C149" s="4" t="s">
        <v>44</v>
      </c>
      <c r="D149" s="4" t="s">
        <v>48</v>
      </c>
      <c r="E149" s="4" t="s">
        <v>25</v>
      </c>
      <c r="F149" s="4" t="s">
        <v>25</v>
      </c>
      <c r="G149" s="4" t="s">
        <v>25</v>
      </c>
      <c r="H149" s="4" t="s">
        <v>37</v>
      </c>
      <c r="I149" s="5">
        <v>44228</v>
      </c>
      <c r="J149" s="6">
        <v>6300</v>
      </c>
      <c r="K149" s="6">
        <v>6300</v>
      </c>
      <c r="L149" s="6">
        <v>184.45</v>
      </c>
      <c r="M149" s="6">
        <v>184.45</v>
      </c>
      <c r="N149" s="6">
        <v>184.45</v>
      </c>
      <c r="O149" s="6">
        <v>184.45</v>
      </c>
      <c r="P149" s="6">
        <v>0</v>
      </c>
      <c r="Q149" s="4" t="s">
        <v>26</v>
      </c>
      <c r="R149" s="4">
        <v>0</v>
      </c>
      <c r="S149" s="4" t="s">
        <v>131</v>
      </c>
      <c r="T149" s="4" t="s">
        <v>424</v>
      </c>
      <c r="U149" s="4">
        <v>1</v>
      </c>
      <c r="V149" s="4">
        <v>25</v>
      </c>
      <c r="W149" s="4">
        <v>70</v>
      </c>
    </row>
    <row r="150" spans="1:23" ht="11.25" customHeight="1" x14ac:dyDescent="0.25">
      <c r="A150" s="4" t="s">
        <v>21</v>
      </c>
      <c r="B150" s="4" t="s">
        <v>43</v>
      </c>
      <c r="C150" s="4" t="s">
        <v>44</v>
      </c>
      <c r="D150" s="4" t="s">
        <v>48</v>
      </c>
      <c r="E150" s="4" t="s">
        <v>25</v>
      </c>
      <c r="F150" s="4" t="s">
        <v>25</v>
      </c>
      <c r="G150" s="4" t="s">
        <v>25</v>
      </c>
      <c r="H150" s="4" t="s">
        <v>37</v>
      </c>
      <c r="I150" s="5">
        <v>44256</v>
      </c>
      <c r="J150" s="6">
        <v>6300</v>
      </c>
      <c r="K150" s="6">
        <v>6300</v>
      </c>
      <c r="L150" s="6">
        <v>220.90600000000001</v>
      </c>
      <c r="M150" s="6">
        <v>220.90600000000001</v>
      </c>
      <c r="N150" s="6">
        <v>220.90600000000001</v>
      </c>
      <c r="O150" s="6">
        <v>220.90600000000001</v>
      </c>
      <c r="P150" s="6">
        <v>0</v>
      </c>
      <c r="Q150" s="4" t="s">
        <v>26</v>
      </c>
      <c r="R150" s="4">
        <v>0</v>
      </c>
      <c r="S150" s="4" t="s">
        <v>132</v>
      </c>
      <c r="T150" s="4" t="s">
        <v>425</v>
      </c>
      <c r="U150" s="4">
        <v>1</v>
      </c>
      <c r="V150" s="4">
        <v>25</v>
      </c>
      <c r="W150" s="4">
        <v>70</v>
      </c>
    </row>
    <row r="151" spans="1:23" ht="11.25" customHeight="1" x14ac:dyDescent="0.25">
      <c r="A151" s="4" t="s">
        <v>21</v>
      </c>
      <c r="B151" s="4" t="s">
        <v>43</v>
      </c>
      <c r="C151" s="4" t="s">
        <v>44</v>
      </c>
      <c r="D151" s="4" t="s">
        <v>48</v>
      </c>
      <c r="E151" s="4" t="s">
        <v>25</v>
      </c>
      <c r="F151" s="4" t="s">
        <v>25</v>
      </c>
      <c r="G151" s="4" t="s">
        <v>25</v>
      </c>
      <c r="H151" s="4" t="s">
        <v>37</v>
      </c>
      <c r="I151" s="5">
        <v>44287</v>
      </c>
      <c r="J151" s="6">
        <v>6300</v>
      </c>
      <c r="K151" s="6">
        <v>6300</v>
      </c>
      <c r="L151" s="6">
        <v>189.238</v>
      </c>
      <c r="M151" s="6">
        <v>189.238</v>
      </c>
      <c r="N151" s="6">
        <v>189.238</v>
      </c>
      <c r="O151" s="6">
        <v>189.238</v>
      </c>
      <c r="P151" s="6">
        <v>0</v>
      </c>
      <c r="Q151" s="4" t="s">
        <v>26</v>
      </c>
      <c r="R151" s="4">
        <v>0</v>
      </c>
      <c r="S151" s="4" t="s">
        <v>133</v>
      </c>
      <c r="T151" s="4" t="s">
        <v>426</v>
      </c>
      <c r="U151" s="4">
        <v>1</v>
      </c>
      <c r="V151" s="4">
        <v>25</v>
      </c>
      <c r="W151" s="4">
        <v>70</v>
      </c>
    </row>
    <row r="152" spans="1:23" ht="11.25" customHeight="1" x14ac:dyDescent="0.25">
      <c r="A152" s="4" t="s">
        <v>21</v>
      </c>
      <c r="B152" s="4" t="s">
        <v>43</v>
      </c>
      <c r="C152" s="4" t="s">
        <v>44</v>
      </c>
      <c r="D152" s="4" t="s">
        <v>48</v>
      </c>
      <c r="E152" s="4" t="s">
        <v>25</v>
      </c>
      <c r="F152" s="4" t="s">
        <v>25</v>
      </c>
      <c r="G152" s="4" t="s">
        <v>25</v>
      </c>
      <c r="H152" s="4" t="s">
        <v>37</v>
      </c>
      <c r="I152" s="5">
        <v>44317</v>
      </c>
      <c r="J152" s="6">
        <v>6300</v>
      </c>
      <c r="K152" s="6">
        <v>6300</v>
      </c>
      <c r="L152" s="6">
        <v>194.81</v>
      </c>
      <c r="M152" s="6">
        <v>194.81</v>
      </c>
      <c r="N152" s="6">
        <v>194.81</v>
      </c>
      <c r="O152" s="6">
        <v>194.81</v>
      </c>
      <c r="P152" s="6">
        <v>0</v>
      </c>
      <c r="Q152" s="4" t="s">
        <v>26</v>
      </c>
      <c r="R152" s="4">
        <v>0</v>
      </c>
      <c r="S152" s="4" t="s">
        <v>134</v>
      </c>
      <c r="T152" s="4" t="s">
        <v>427</v>
      </c>
      <c r="U152" s="4">
        <v>1</v>
      </c>
      <c r="V152" s="4">
        <v>25</v>
      </c>
      <c r="W152" s="4">
        <v>70</v>
      </c>
    </row>
    <row r="153" spans="1:23" ht="11.25" customHeight="1" x14ac:dyDescent="0.25">
      <c r="A153" s="4" t="s">
        <v>21</v>
      </c>
      <c r="B153" s="4" t="s">
        <v>43</v>
      </c>
      <c r="C153" s="4" t="s">
        <v>44</v>
      </c>
      <c r="D153" s="4" t="s">
        <v>48</v>
      </c>
      <c r="E153" s="4" t="s">
        <v>25</v>
      </c>
      <c r="F153" s="4" t="s">
        <v>25</v>
      </c>
      <c r="G153" s="4" t="s">
        <v>25</v>
      </c>
      <c r="H153" s="4" t="s">
        <v>37</v>
      </c>
      <c r="I153" s="5">
        <v>44348</v>
      </c>
      <c r="J153" s="6">
        <v>6300</v>
      </c>
      <c r="K153" s="6">
        <v>6300</v>
      </c>
      <c r="L153" s="6">
        <v>191.464</v>
      </c>
      <c r="M153" s="6">
        <v>191.464</v>
      </c>
      <c r="N153" s="6">
        <v>191.464</v>
      </c>
      <c r="O153" s="6">
        <v>191.464</v>
      </c>
      <c r="P153" s="6">
        <v>0</v>
      </c>
      <c r="Q153" s="4" t="s">
        <v>26</v>
      </c>
      <c r="R153" s="4">
        <v>0</v>
      </c>
      <c r="S153" s="4" t="s">
        <v>135</v>
      </c>
      <c r="T153" s="4" t="s">
        <v>428</v>
      </c>
      <c r="U153" s="4">
        <v>1</v>
      </c>
      <c r="V153" s="4">
        <v>25</v>
      </c>
      <c r="W153" s="4">
        <v>70</v>
      </c>
    </row>
    <row r="154" spans="1:23" ht="11.25" customHeight="1" x14ac:dyDescent="0.25">
      <c r="A154" s="4" t="s">
        <v>21</v>
      </c>
      <c r="B154" s="4" t="s">
        <v>43</v>
      </c>
      <c r="C154" s="4" t="s">
        <v>44</v>
      </c>
      <c r="D154" s="4" t="s">
        <v>48</v>
      </c>
      <c r="E154" s="4" t="s">
        <v>25</v>
      </c>
      <c r="F154" s="4" t="s">
        <v>25</v>
      </c>
      <c r="G154" s="4" t="s">
        <v>25</v>
      </c>
      <c r="H154" s="4" t="s">
        <v>37</v>
      </c>
      <c r="I154" s="5">
        <v>44378</v>
      </c>
      <c r="J154" s="6">
        <v>6300</v>
      </c>
      <c r="K154" s="6">
        <v>6300</v>
      </c>
      <c r="L154" s="6">
        <v>204.58199999999999</v>
      </c>
      <c r="M154" s="6">
        <v>204.58199999999999</v>
      </c>
      <c r="N154" s="6">
        <v>204.58199999999999</v>
      </c>
      <c r="O154" s="6">
        <v>204.58199999999999</v>
      </c>
      <c r="P154" s="6">
        <v>0</v>
      </c>
      <c r="Q154" s="4" t="s">
        <v>26</v>
      </c>
      <c r="R154" s="4">
        <v>0</v>
      </c>
      <c r="S154" s="4" t="s">
        <v>136</v>
      </c>
      <c r="T154" s="4" t="s">
        <v>429</v>
      </c>
      <c r="U154" s="4">
        <v>1</v>
      </c>
      <c r="V154" s="4">
        <v>25</v>
      </c>
      <c r="W154" s="4">
        <v>70</v>
      </c>
    </row>
    <row r="155" spans="1:23" ht="11.25" customHeight="1" x14ac:dyDescent="0.25">
      <c r="A155" s="4" t="s">
        <v>21</v>
      </c>
      <c r="B155" s="4" t="s">
        <v>43</v>
      </c>
      <c r="C155" s="4" t="s">
        <v>44</v>
      </c>
      <c r="D155" s="4" t="s">
        <v>48</v>
      </c>
      <c r="E155" s="4" t="s">
        <v>25</v>
      </c>
      <c r="F155" s="4" t="s">
        <v>25</v>
      </c>
      <c r="G155" s="4" t="s">
        <v>25</v>
      </c>
      <c r="H155" s="4" t="s">
        <v>37</v>
      </c>
      <c r="I155" s="5">
        <v>44409</v>
      </c>
      <c r="J155" s="6">
        <v>6300</v>
      </c>
      <c r="K155" s="6">
        <v>6300</v>
      </c>
      <c r="L155" s="6">
        <v>220.47200000000001</v>
      </c>
      <c r="M155" s="6">
        <v>220.47200000000001</v>
      </c>
      <c r="N155" s="6">
        <v>220.47200000000001</v>
      </c>
      <c r="O155" s="6">
        <v>220.47200000000001</v>
      </c>
      <c r="P155" s="6">
        <v>0</v>
      </c>
      <c r="Q155" s="4" t="s">
        <v>26</v>
      </c>
      <c r="R155" s="4">
        <v>0</v>
      </c>
      <c r="S155" s="4" t="s">
        <v>137</v>
      </c>
      <c r="T155" s="4" t="s">
        <v>430</v>
      </c>
      <c r="U155" s="4">
        <v>1</v>
      </c>
      <c r="V155" s="4">
        <v>25</v>
      </c>
      <c r="W155" s="4">
        <v>70</v>
      </c>
    </row>
    <row r="156" spans="1:23" ht="11.25" customHeight="1" x14ac:dyDescent="0.25">
      <c r="A156" s="4" t="s">
        <v>21</v>
      </c>
      <c r="B156" s="4" t="s">
        <v>43</v>
      </c>
      <c r="C156" s="4" t="s">
        <v>44</v>
      </c>
      <c r="D156" s="4" t="s">
        <v>48</v>
      </c>
      <c r="E156" s="4" t="s">
        <v>25</v>
      </c>
      <c r="F156" s="4" t="s">
        <v>25</v>
      </c>
      <c r="G156" s="4" t="s">
        <v>25</v>
      </c>
      <c r="H156" s="4" t="s">
        <v>37</v>
      </c>
      <c r="I156" s="5">
        <v>44440</v>
      </c>
      <c r="J156" s="6">
        <v>6300</v>
      </c>
      <c r="K156" s="6">
        <v>6300</v>
      </c>
      <c r="L156" s="6">
        <v>209.13200000000001</v>
      </c>
      <c r="M156" s="6">
        <v>209.13200000000001</v>
      </c>
      <c r="N156" s="6">
        <v>209.13200000000001</v>
      </c>
      <c r="O156" s="6">
        <v>209.13200000000001</v>
      </c>
      <c r="P156" s="6">
        <v>0</v>
      </c>
      <c r="Q156" s="4" t="s">
        <v>26</v>
      </c>
      <c r="R156" s="4">
        <v>0</v>
      </c>
      <c r="S156" s="4" t="s">
        <v>138</v>
      </c>
      <c r="T156" s="4" t="s">
        <v>431</v>
      </c>
      <c r="U156" s="4">
        <v>1</v>
      </c>
      <c r="V156" s="4">
        <v>25</v>
      </c>
      <c r="W156" s="4">
        <v>70</v>
      </c>
    </row>
    <row r="157" spans="1:23" ht="11.25" customHeight="1" x14ac:dyDescent="0.25">
      <c r="A157" s="4" t="s">
        <v>59</v>
      </c>
      <c r="B157" s="4" t="s">
        <v>43</v>
      </c>
      <c r="C157" s="4" t="s">
        <v>44</v>
      </c>
      <c r="D157" s="4" t="s">
        <v>48</v>
      </c>
      <c r="E157" s="4" t="s">
        <v>25</v>
      </c>
      <c r="F157" s="4" t="s">
        <v>25</v>
      </c>
      <c r="G157" s="4" t="s">
        <v>25</v>
      </c>
      <c r="H157" s="4" t="s">
        <v>37</v>
      </c>
      <c r="I157" s="5">
        <v>44470</v>
      </c>
      <c r="J157" s="6">
        <v>6300</v>
      </c>
      <c r="K157" s="6">
        <v>6300</v>
      </c>
      <c r="L157" s="6">
        <v>209.13200000000001</v>
      </c>
      <c r="M157" s="6">
        <v>209.13200000000001</v>
      </c>
      <c r="N157" s="6">
        <v>209.13200000000001</v>
      </c>
      <c r="O157" s="6">
        <v>209.13200000000001</v>
      </c>
      <c r="P157" s="6">
        <v>0</v>
      </c>
      <c r="Q157" s="4" t="s">
        <v>26</v>
      </c>
      <c r="R157" s="4">
        <v>0</v>
      </c>
      <c r="S157" s="4" t="s">
        <v>139</v>
      </c>
      <c r="T157" s="4" t="s">
        <v>432</v>
      </c>
      <c r="U157" s="4">
        <v>1</v>
      </c>
      <c r="V157" s="4">
        <v>25</v>
      </c>
      <c r="W157" s="4">
        <v>70</v>
      </c>
    </row>
    <row r="158" spans="1:23" ht="11.25" customHeight="1" x14ac:dyDescent="0.25">
      <c r="A158" s="4" t="s">
        <v>21</v>
      </c>
      <c r="B158" s="4" t="s">
        <v>43</v>
      </c>
      <c r="C158" s="4" t="s">
        <v>44</v>
      </c>
      <c r="D158" s="4" t="s">
        <v>61</v>
      </c>
      <c r="E158" s="4" t="s">
        <v>53</v>
      </c>
      <c r="F158" s="4" t="s">
        <v>25</v>
      </c>
      <c r="G158" s="4" t="s">
        <v>25</v>
      </c>
      <c r="H158" s="4" t="s">
        <v>38</v>
      </c>
      <c r="I158" s="5">
        <v>44136</v>
      </c>
      <c r="J158" s="6">
        <v>15217</v>
      </c>
      <c r="K158" s="6">
        <v>13847.470000000001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4" t="s">
        <v>60</v>
      </c>
      <c r="R158" s="4">
        <v>0</v>
      </c>
      <c r="S158" s="4" t="s">
        <v>104</v>
      </c>
      <c r="U158" s="4">
        <v>2</v>
      </c>
      <c r="V158" s="4">
        <v>0</v>
      </c>
      <c r="W158" s="4">
        <v>0</v>
      </c>
    </row>
    <row r="159" spans="1:23" ht="11.25" customHeight="1" x14ac:dyDescent="0.25">
      <c r="A159" s="4" t="s">
        <v>21</v>
      </c>
      <c r="B159" s="4" t="s">
        <v>43</v>
      </c>
      <c r="C159" s="4" t="s">
        <v>44</v>
      </c>
      <c r="D159" s="4" t="s">
        <v>61</v>
      </c>
      <c r="E159" s="4" t="s">
        <v>53</v>
      </c>
      <c r="F159" s="4" t="s">
        <v>25</v>
      </c>
      <c r="G159" s="4" t="s">
        <v>25</v>
      </c>
      <c r="H159" s="4" t="s">
        <v>38</v>
      </c>
      <c r="I159" s="5">
        <v>44166</v>
      </c>
      <c r="J159" s="6">
        <v>15621</v>
      </c>
      <c r="K159" s="6">
        <v>14215.11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60</v>
      </c>
      <c r="R159" s="4">
        <v>0</v>
      </c>
      <c r="S159" s="4" t="s">
        <v>105</v>
      </c>
      <c r="U159" s="4">
        <v>2</v>
      </c>
      <c r="V159" s="4">
        <v>0</v>
      </c>
      <c r="W159" s="4">
        <v>0</v>
      </c>
    </row>
    <row r="160" spans="1:23" ht="11.25" customHeight="1" x14ac:dyDescent="0.25">
      <c r="A160" s="4" t="s">
        <v>21</v>
      </c>
      <c r="B160" s="4" t="s">
        <v>43</v>
      </c>
      <c r="C160" s="4" t="s">
        <v>44</v>
      </c>
      <c r="D160" s="4" t="s">
        <v>61</v>
      </c>
      <c r="E160" s="4" t="s">
        <v>53</v>
      </c>
      <c r="F160" s="4" t="s">
        <v>25</v>
      </c>
      <c r="G160" s="4" t="s">
        <v>25</v>
      </c>
      <c r="H160" s="4" t="s">
        <v>38</v>
      </c>
      <c r="I160" s="5">
        <v>44197</v>
      </c>
      <c r="J160" s="6">
        <v>14839</v>
      </c>
      <c r="K160" s="6">
        <v>13503.49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4" t="s">
        <v>60</v>
      </c>
      <c r="R160" s="4">
        <v>0</v>
      </c>
      <c r="S160" s="4" t="s">
        <v>106</v>
      </c>
      <c r="U160" s="4">
        <v>2</v>
      </c>
      <c r="V160" s="4">
        <v>0</v>
      </c>
      <c r="W160" s="4">
        <v>0</v>
      </c>
    </row>
    <row r="161" spans="1:23" ht="11.25" customHeight="1" x14ac:dyDescent="0.25">
      <c r="A161" s="4" t="s">
        <v>21</v>
      </c>
      <c r="B161" s="4" t="s">
        <v>43</v>
      </c>
      <c r="C161" s="4" t="s">
        <v>44</v>
      </c>
      <c r="D161" s="4" t="s">
        <v>61</v>
      </c>
      <c r="E161" s="4" t="s">
        <v>53</v>
      </c>
      <c r="F161" s="4" t="s">
        <v>25</v>
      </c>
      <c r="G161" s="4" t="s">
        <v>25</v>
      </c>
      <c r="H161" s="4" t="s">
        <v>38</v>
      </c>
      <c r="I161" s="5">
        <v>44228</v>
      </c>
      <c r="J161" s="6">
        <v>14839</v>
      </c>
      <c r="K161" s="6">
        <v>13503.49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60</v>
      </c>
      <c r="R161" s="4">
        <v>0</v>
      </c>
      <c r="S161" s="4" t="s">
        <v>107</v>
      </c>
      <c r="U161" s="4">
        <v>2</v>
      </c>
      <c r="V161" s="4">
        <v>0</v>
      </c>
      <c r="W161" s="4">
        <v>0</v>
      </c>
    </row>
    <row r="162" spans="1:23" ht="11.25" customHeight="1" x14ac:dyDescent="0.25">
      <c r="A162" s="4" t="s">
        <v>21</v>
      </c>
      <c r="B162" s="4" t="s">
        <v>43</v>
      </c>
      <c r="C162" s="4" t="s">
        <v>44</v>
      </c>
      <c r="D162" s="4" t="s">
        <v>61</v>
      </c>
      <c r="E162" s="4" t="s">
        <v>53</v>
      </c>
      <c r="F162" s="4" t="s">
        <v>25</v>
      </c>
      <c r="G162" s="4" t="s">
        <v>25</v>
      </c>
      <c r="H162" s="4" t="s">
        <v>38</v>
      </c>
      <c r="I162" s="5">
        <v>44256</v>
      </c>
      <c r="J162" s="6">
        <v>14839</v>
      </c>
      <c r="K162" s="6">
        <v>13503.49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4" t="s">
        <v>60</v>
      </c>
      <c r="R162" s="4">
        <v>0</v>
      </c>
      <c r="S162" s="4" t="s">
        <v>108</v>
      </c>
      <c r="U162" s="4">
        <v>2</v>
      </c>
      <c r="V162" s="4">
        <v>0</v>
      </c>
      <c r="W162" s="4">
        <v>0</v>
      </c>
    </row>
    <row r="163" spans="1:23" ht="11.25" customHeight="1" x14ac:dyDescent="0.25">
      <c r="A163" s="4" t="s">
        <v>21</v>
      </c>
      <c r="B163" s="4" t="s">
        <v>43</v>
      </c>
      <c r="C163" s="4" t="s">
        <v>44</v>
      </c>
      <c r="D163" s="4" t="s">
        <v>61</v>
      </c>
      <c r="E163" s="4" t="s">
        <v>53</v>
      </c>
      <c r="F163" s="4" t="s">
        <v>25</v>
      </c>
      <c r="G163" s="4" t="s">
        <v>25</v>
      </c>
      <c r="H163" s="4" t="s">
        <v>38</v>
      </c>
      <c r="I163" s="5">
        <v>44287</v>
      </c>
      <c r="J163" s="6">
        <v>14839</v>
      </c>
      <c r="K163" s="6">
        <v>13503.49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60</v>
      </c>
      <c r="R163" s="4">
        <v>0</v>
      </c>
      <c r="S163" s="4" t="s">
        <v>109</v>
      </c>
      <c r="U163" s="4">
        <v>2</v>
      </c>
      <c r="V163" s="4">
        <v>0</v>
      </c>
      <c r="W163" s="4">
        <v>0</v>
      </c>
    </row>
    <row r="164" spans="1:23" ht="11.25" customHeight="1" x14ac:dyDescent="0.25">
      <c r="A164" s="4" t="s">
        <v>21</v>
      </c>
      <c r="B164" s="4" t="s">
        <v>43</v>
      </c>
      <c r="C164" s="4" t="s">
        <v>44</v>
      </c>
      <c r="D164" s="4" t="s">
        <v>61</v>
      </c>
      <c r="E164" s="4" t="s">
        <v>53</v>
      </c>
      <c r="F164" s="4" t="s">
        <v>25</v>
      </c>
      <c r="G164" s="4" t="s">
        <v>25</v>
      </c>
      <c r="H164" s="4" t="s">
        <v>38</v>
      </c>
      <c r="I164" s="5">
        <v>44317</v>
      </c>
      <c r="J164" s="6">
        <v>14839</v>
      </c>
      <c r="K164" s="6">
        <v>13503.49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4" t="s">
        <v>60</v>
      </c>
      <c r="R164" s="4">
        <v>0</v>
      </c>
      <c r="S164" s="4" t="s">
        <v>110</v>
      </c>
      <c r="U164" s="4">
        <v>2</v>
      </c>
      <c r="V164" s="4">
        <v>0</v>
      </c>
      <c r="W164" s="4">
        <v>0</v>
      </c>
    </row>
    <row r="165" spans="1:23" ht="11.25" customHeight="1" x14ac:dyDescent="0.25">
      <c r="A165" s="4" t="s">
        <v>21</v>
      </c>
      <c r="B165" s="4" t="s">
        <v>43</v>
      </c>
      <c r="C165" s="4" t="s">
        <v>44</v>
      </c>
      <c r="D165" s="4" t="s">
        <v>61</v>
      </c>
      <c r="E165" s="4" t="s">
        <v>53</v>
      </c>
      <c r="F165" s="4" t="s">
        <v>25</v>
      </c>
      <c r="G165" s="4" t="s">
        <v>25</v>
      </c>
      <c r="H165" s="4" t="s">
        <v>38</v>
      </c>
      <c r="I165" s="5">
        <v>44348</v>
      </c>
      <c r="J165" s="6">
        <v>14839</v>
      </c>
      <c r="K165" s="6">
        <v>13503.49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60</v>
      </c>
      <c r="R165" s="4">
        <v>0</v>
      </c>
      <c r="S165" s="4" t="s">
        <v>111</v>
      </c>
      <c r="U165" s="4">
        <v>2</v>
      </c>
      <c r="V165" s="4">
        <v>0</v>
      </c>
      <c r="W165" s="4">
        <v>0</v>
      </c>
    </row>
    <row r="166" spans="1:23" ht="11.25" customHeight="1" x14ac:dyDescent="0.25">
      <c r="A166" s="4" t="s">
        <v>21</v>
      </c>
      <c r="B166" s="4" t="s">
        <v>43</v>
      </c>
      <c r="C166" s="4" t="s">
        <v>44</v>
      </c>
      <c r="D166" s="4" t="s">
        <v>61</v>
      </c>
      <c r="E166" s="4" t="s">
        <v>53</v>
      </c>
      <c r="F166" s="4" t="s">
        <v>25</v>
      </c>
      <c r="G166" s="4" t="s">
        <v>25</v>
      </c>
      <c r="H166" s="4" t="s">
        <v>38</v>
      </c>
      <c r="I166" s="5">
        <v>44378</v>
      </c>
      <c r="J166" s="6">
        <v>14839</v>
      </c>
      <c r="K166" s="6">
        <v>13503.49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4" t="s">
        <v>60</v>
      </c>
      <c r="R166" s="4">
        <v>0</v>
      </c>
      <c r="S166" s="4" t="s">
        <v>112</v>
      </c>
      <c r="U166" s="4">
        <v>2</v>
      </c>
      <c r="V166" s="4">
        <v>0</v>
      </c>
      <c r="W166" s="4">
        <v>0</v>
      </c>
    </row>
    <row r="167" spans="1:23" ht="11.25" customHeight="1" x14ac:dyDescent="0.25">
      <c r="A167" s="4" t="s">
        <v>21</v>
      </c>
      <c r="B167" s="4" t="s">
        <v>43</v>
      </c>
      <c r="C167" s="4" t="s">
        <v>44</v>
      </c>
      <c r="D167" s="4" t="s">
        <v>61</v>
      </c>
      <c r="E167" s="4" t="s">
        <v>53</v>
      </c>
      <c r="F167" s="4" t="s">
        <v>25</v>
      </c>
      <c r="G167" s="4" t="s">
        <v>25</v>
      </c>
      <c r="H167" s="4" t="s">
        <v>38</v>
      </c>
      <c r="I167" s="5">
        <v>44409</v>
      </c>
      <c r="J167" s="6">
        <v>14839</v>
      </c>
      <c r="K167" s="6">
        <v>13503.49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60</v>
      </c>
      <c r="R167" s="4">
        <v>0</v>
      </c>
      <c r="S167" s="4" t="s">
        <v>113</v>
      </c>
      <c r="U167" s="4">
        <v>2</v>
      </c>
      <c r="V167" s="4">
        <v>0</v>
      </c>
      <c r="W167" s="4">
        <v>0</v>
      </c>
    </row>
    <row r="168" spans="1:23" ht="11.25" customHeight="1" x14ac:dyDescent="0.25">
      <c r="A168" s="4" t="s">
        <v>21</v>
      </c>
      <c r="B168" s="4" t="s">
        <v>43</v>
      </c>
      <c r="C168" s="4" t="s">
        <v>44</v>
      </c>
      <c r="D168" s="4" t="s">
        <v>61</v>
      </c>
      <c r="E168" s="4" t="s">
        <v>53</v>
      </c>
      <c r="F168" s="4" t="s">
        <v>25</v>
      </c>
      <c r="G168" s="4" t="s">
        <v>25</v>
      </c>
      <c r="H168" s="4" t="s">
        <v>38</v>
      </c>
      <c r="I168" s="5">
        <v>44440</v>
      </c>
      <c r="J168" s="6">
        <v>14839</v>
      </c>
      <c r="K168" s="6">
        <v>13503.49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4" t="s">
        <v>60</v>
      </c>
      <c r="R168" s="4">
        <v>0</v>
      </c>
      <c r="S168" s="4" t="s">
        <v>114</v>
      </c>
      <c r="U168" s="4">
        <v>2</v>
      </c>
      <c r="V168" s="4">
        <v>0</v>
      </c>
      <c r="W168" s="4">
        <v>0</v>
      </c>
    </row>
    <row r="169" spans="1:23" ht="11.25" customHeight="1" x14ac:dyDescent="0.25">
      <c r="A169" s="4" t="s">
        <v>59</v>
      </c>
      <c r="B169" s="4" t="s">
        <v>43</v>
      </c>
      <c r="C169" s="4" t="s">
        <v>44</v>
      </c>
      <c r="D169" s="4" t="s">
        <v>61</v>
      </c>
      <c r="E169" s="4" t="s">
        <v>53</v>
      </c>
      <c r="F169" s="4" t="s">
        <v>25</v>
      </c>
      <c r="G169" s="4" t="s">
        <v>25</v>
      </c>
      <c r="H169" s="4" t="s">
        <v>38</v>
      </c>
      <c r="I169" s="5">
        <v>44470</v>
      </c>
      <c r="J169" s="6">
        <v>14839</v>
      </c>
      <c r="K169" s="6">
        <v>13503.49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4" t="s">
        <v>60</v>
      </c>
      <c r="R169" s="4">
        <v>0</v>
      </c>
      <c r="S169" s="4" t="s">
        <v>115</v>
      </c>
      <c r="U169" s="4">
        <v>2</v>
      </c>
      <c r="V169" s="4">
        <v>0</v>
      </c>
      <c r="W169" s="4">
        <v>0</v>
      </c>
    </row>
    <row r="170" spans="1:23" ht="11.25" customHeight="1" x14ac:dyDescent="0.25">
      <c r="A170" s="4" t="s">
        <v>21</v>
      </c>
      <c r="B170" s="4" t="s">
        <v>43</v>
      </c>
      <c r="C170" s="4" t="s">
        <v>44</v>
      </c>
      <c r="D170" s="4" t="s">
        <v>61</v>
      </c>
      <c r="E170" s="4" t="s">
        <v>53</v>
      </c>
      <c r="F170" s="4" t="s">
        <v>25</v>
      </c>
      <c r="G170" s="4" t="s">
        <v>25</v>
      </c>
      <c r="H170" s="4" t="s">
        <v>25</v>
      </c>
      <c r="I170" s="5">
        <v>44136</v>
      </c>
      <c r="J170" s="6">
        <v>0</v>
      </c>
      <c r="K170" s="6">
        <v>0</v>
      </c>
      <c r="L170" s="6">
        <v>9891.32</v>
      </c>
      <c r="M170" s="6">
        <v>9001.1011999999992</v>
      </c>
      <c r="N170" s="6">
        <v>0</v>
      </c>
      <c r="O170" s="6">
        <v>0</v>
      </c>
      <c r="P170" s="6">
        <v>2</v>
      </c>
      <c r="Q170" s="4" t="s">
        <v>60</v>
      </c>
      <c r="R170" s="4">
        <v>0</v>
      </c>
      <c r="S170" s="4" t="s">
        <v>116</v>
      </c>
      <c r="U170" s="4">
        <v>0</v>
      </c>
      <c r="V170" s="4">
        <v>25</v>
      </c>
      <c r="W170" s="4">
        <v>0</v>
      </c>
    </row>
    <row r="171" spans="1:23" ht="11.25" customHeight="1" x14ac:dyDescent="0.25">
      <c r="A171" s="4" t="s">
        <v>21</v>
      </c>
      <c r="B171" s="4" t="s">
        <v>43</v>
      </c>
      <c r="C171" s="4" t="s">
        <v>44</v>
      </c>
      <c r="D171" s="4" t="s">
        <v>61</v>
      </c>
      <c r="E171" s="4" t="s">
        <v>53</v>
      </c>
      <c r="F171" s="4" t="s">
        <v>25</v>
      </c>
      <c r="G171" s="4" t="s">
        <v>25</v>
      </c>
      <c r="H171" s="4" t="s">
        <v>25</v>
      </c>
      <c r="I171" s="5">
        <v>44166</v>
      </c>
      <c r="J171" s="6">
        <v>0</v>
      </c>
      <c r="K171" s="6">
        <v>0</v>
      </c>
      <c r="L171" s="6">
        <v>10165.280000000001</v>
      </c>
      <c r="M171" s="6">
        <v>9250.4048000000003</v>
      </c>
      <c r="N171" s="6">
        <v>0</v>
      </c>
      <c r="O171" s="6">
        <v>0</v>
      </c>
      <c r="P171" s="6">
        <v>2</v>
      </c>
      <c r="Q171" s="4" t="s">
        <v>60</v>
      </c>
      <c r="R171" s="4">
        <v>0</v>
      </c>
      <c r="S171" s="4" t="s">
        <v>117</v>
      </c>
      <c r="U171" s="4">
        <v>0</v>
      </c>
      <c r="V171" s="4">
        <v>25</v>
      </c>
      <c r="W171" s="4">
        <v>0</v>
      </c>
    </row>
    <row r="172" spans="1:23" ht="11.25" customHeight="1" x14ac:dyDescent="0.25">
      <c r="A172" s="4" t="s">
        <v>21</v>
      </c>
      <c r="B172" s="4" t="s">
        <v>43</v>
      </c>
      <c r="C172" s="4" t="s">
        <v>44</v>
      </c>
      <c r="D172" s="4" t="s">
        <v>61</v>
      </c>
      <c r="E172" s="4" t="s">
        <v>53</v>
      </c>
      <c r="F172" s="4" t="s">
        <v>25</v>
      </c>
      <c r="G172" s="4" t="s">
        <v>25</v>
      </c>
      <c r="H172" s="4" t="s">
        <v>25</v>
      </c>
      <c r="I172" s="5">
        <v>44197</v>
      </c>
      <c r="J172" s="6">
        <v>0</v>
      </c>
      <c r="K172" s="6">
        <v>0</v>
      </c>
      <c r="L172" s="6">
        <v>9394.52</v>
      </c>
      <c r="M172" s="6">
        <v>8549.0132000000012</v>
      </c>
      <c r="N172" s="6">
        <v>0</v>
      </c>
      <c r="O172" s="6">
        <v>0</v>
      </c>
      <c r="P172" s="6">
        <v>2</v>
      </c>
      <c r="Q172" s="4" t="s">
        <v>60</v>
      </c>
      <c r="R172" s="4">
        <v>0</v>
      </c>
      <c r="S172" s="4" t="s">
        <v>118</v>
      </c>
      <c r="U172" s="4">
        <v>0</v>
      </c>
      <c r="V172" s="4">
        <v>25</v>
      </c>
      <c r="W172" s="4">
        <v>0</v>
      </c>
    </row>
    <row r="173" spans="1:23" ht="11.25" customHeight="1" x14ac:dyDescent="0.25">
      <c r="A173" s="4" t="s">
        <v>21</v>
      </c>
      <c r="B173" s="4" t="s">
        <v>43</v>
      </c>
      <c r="C173" s="4" t="s">
        <v>44</v>
      </c>
      <c r="D173" s="4" t="s">
        <v>61</v>
      </c>
      <c r="E173" s="4" t="s">
        <v>53</v>
      </c>
      <c r="F173" s="4" t="s">
        <v>25</v>
      </c>
      <c r="G173" s="4" t="s">
        <v>25</v>
      </c>
      <c r="H173" s="4" t="s">
        <v>25</v>
      </c>
      <c r="I173" s="5">
        <v>44228</v>
      </c>
      <c r="J173" s="6">
        <v>0</v>
      </c>
      <c r="K173" s="6">
        <v>0</v>
      </c>
      <c r="L173" s="6">
        <v>8105</v>
      </c>
      <c r="M173" s="6">
        <v>7375.55</v>
      </c>
      <c r="N173" s="6">
        <v>0</v>
      </c>
      <c r="O173" s="6">
        <v>0</v>
      </c>
      <c r="P173" s="6">
        <v>2</v>
      </c>
      <c r="Q173" s="4" t="s">
        <v>60</v>
      </c>
      <c r="R173" s="4">
        <v>0</v>
      </c>
      <c r="S173" s="4" t="s">
        <v>119</v>
      </c>
      <c r="U173" s="4">
        <v>0</v>
      </c>
      <c r="V173" s="4">
        <v>25</v>
      </c>
      <c r="W173" s="4">
        <v>0</v>
      </c>
    </row>
    <row r="174" spans="1:23" ht="11.25" customHeight="1" x14ac:dyDescent="0.25">
      <c r="A174" s="4" t="s">
        <v>21</v>
      </c>
      <c r="B174" s="4" t="s">
        <v>43</v>
      </c>
      <c r="C174" s="4" t="s">
        <v>44</v>
      </c>
      <c r="D174" s="4" t="s">
        <v>61</v>
      </c>
      <c r="E174" s="4" t="s">
        <v>53</v>
      </c>
      <c r="F174" s="4" t="s">
        <v>25</v>
      </c>
      <c r="G174" s="4" t="s">
        <v>25</v>
      </c>
      <c r="H174" s="4" t="s">
        <v>25</v>
      </c>
      <c r="I174" s="5">
        <v>44256</v>
      </c>
      <c r="J174" s="6">
        <v>0</v>
      </c>
      <c r="K174" s="6">
        <v>0</v>
      </c>
      <c r="L174" s="6">
        <v>8950.14</v>
      </c>
      <c r="M174" s="6">
        <v>8144.6273999999994</v>
      </c>
      <c r="N174" s="6">
        <v>0</v>
      </c>
      <c r="O174" s="6">
        <v>0</v>
      </c>
      <c r="P174" s="6">
        <v>2</v>
      </c>
      <c r="Q174" s="4" t="s">
        <v>60</v>
      </c>
      <c r="R174" s="4">
        <v>0</v>
      </c>
      <c r="S174" s="4" t="s">
        <v>120</v>
      </c>
      <c r="U174" s="4">
        <v>0</v>
      </c>
      <c r="V174" s="4">
        <v>25</v>
      </c>
      <c r="W174" s="4">
        <v>0</v>
      </c>
    </row>
    <row r="175" spans="1:23" ht="11.25" customHeight="1" x14ac:dyDescent="0.25">
      <c r="A175" s="4" t="s">
        <v>21</v>
      </c>
      <c r="B175" s="4" t="s">
        <v>43</v>
      </c>
      <c r="C175" s="4" t="s">
        <v>44</v>
      </c>
      <c r="D175" s="4" t="s">
        <v>61</v>
      </c>
      <c r="E175" s="4" t="s">
        <v>53</v>
      </c>
      <c r="F175" s="4" t="s">
        <v>25</v>
      </c>
      <c r="G175" s="4" t="s">
        <v>25</v>
      </c>
      <c r="H175" s="4" t="s">
        <v>25</v>
      </c>
      <c r="I175" s="5">
        <v>44287</v>
      </c>
      <c r="J175" s="6">
        <v>0</v>
      </c>
      <c r="K175" s="6">
        <v>0</v>
      </c>
      <c r="L175" s="6">
        <v>8538.34</v>
      </c>
      <c r="M175" s="6">
        <v>7769.8894</v>
      </c>
      <c r="N175" s="6">
        <v>0</v>
      </c>
      <c r="O175" s="6">
        <v>0</v>
      </c>
      <c r="P175" s="6">
        <v>2</v>
      </c>
      <c r="Q175" s="4" t="s">
        <v>60</v>
      </c>
      <c r="R175" s="4">
        <v>0</v>
      </c>
      <c r="S175" s="4" t="s">
        <v>121</v>
      </c>
      <c r="U175" s="4">
        <v>0</v>
      </c>
      <c r="V175" s="4">
        <v>25</v>
      </c>
      <c r="W175" s="4">
        <v>0</v>
      </c>
    </row>
    <row r="176" spans="1:23" ht="11.25" customHeight="1" x14ac:dyDescent="0.25">
      <c r="A176" s="4" t="s">
        <v>21</v>
      </c>
      <c r="B176" s="4" t="s">
        <v>43</v>
      </c>
      <c r="C176" s="4" t="s">
        <v>44</v>
      </c>
      <c r="D176" s="4" t="s">
        <v>61</v>
      </c>
      <c r="E176" s="4" t="s">
        <v>53</v>
      </c>
      <c r="F176" s="4" t="s">
        <v>25</v>
      </c>
      <c r="G176" s="4" t="s">
        <v>25</v>
      </c>
      <c r="H176" s="4" t="s">
        <v>25</v>
      </c>
      <c r="I176" s="5">
        <v>44317</v>
      </c>
      <c r="J176" s="6">
        <v>0</v>
      </c>
      <c r="K176" s="6">
        <v>0</v>
      </c>
      <c r="L176" s="6">
        <v>8682.68</v>
      </c>
      <c r="M176" s="6">
        <v>7901.2388000000001</v>
      </c>
      <c r="N176" s="6">
        <v>0</v>
      </c>
      <c r="O176" s="6">
        <v>0</v>
      </c>
      <c r="P176" s="6">
        <v>2</v>
      </c>
      <c r="Q176" s="4" t="s">
        <v>60</v>
      </c>
      <c r="R176" s="4">
        <v>0</v>
      </c>
      <c r="S176" s="4" t="s">
        <v>122</v>
      </c>
      <c r="U176" s="4">
        <v>0</v>
      </c>
      <c r="V176" s="4">
        <v>25</v>
      </c>
      <c r="W176" s="4">
        <v>0</v>
      </c>
    </row>
    <row r="177" spans="1:23" ht="11.25" customHeight="1" x14ac:dyDescent="0.25">
      <c r="A177" s="4" t="s">
        <v>21</v>
      </c>
      <c r="B177" s="4" t="s">
        <v>43</v>
      </c>
      <c r="C177" s="4" t="s">
        <v>44</v>
      </c>
      <c r="D177" s="4" t="s">
        <v>61</v>
      </c>
      <c r="E177" s="4" t="s">
        <v>53</v>
      </c>
      <c r="F177" s="4" t="s">
        <v>25</v>
      </c>
      <c r="G177" s="4" t="s">
        <v>25</v>
      </c>
      <c r="H177" s="4" t="s">
        <v>25</v>
      </c>
      <c r="I177" s="5">
        <v>44348</v>
      </c>
      <c r="J177" s="6">
        <v>0</v>
      </c>
      <c r="K177" s="6">
        <v>0</v>
      </c>
      <c r="L177" s="6">
        <v>9394.52</v>
      </c>
      <c r="M177" s="6">
        <v>8549.0132000000012</v>
      </c>
      <c r="N177" s="6">
        <v>0</v>
      </c>
      <c r="O177" s="6">
        <v>0</v>
      </c>
      <c r="P177" s="6">
        <v>2</v>
      </c>
      <c r="Q177" s="4" t="s">
        <v>60</v>
      </c>
      <c r="R177" s="4">
        <v>0</v>
      </c>
      <c r="S177" s="4" t="s">
        <v>123</v>
      </c>
      <c r="U177" s="4">
        <v>0</v>
      </c>
      <c r="V177" s="4">
        <v>25</v>
      </c>
      <c r="W177" s="4">
        <v>0</v>
      </c>
    </row>
    <row r="178" spans="1:23" ht="11.25" customHeight="1" x14ac:dyDescent="0.25">
      <c r="A178" s="4" t="s">
        <v>21</v>
      </c>
      <c r="B178" s="4" t="s">
        <v>43</v>
      </c>
      <c r="C178" s="4" t="s">
        <v>44</v>
      </c>
      <c r="D178" s="4" t="s">
        <v>61</v>
      </c>
      <c r="E178" s="4" t="s">
        <v>53</v>
      </c>
      <c r="F178" s="4" t="s">
        <v>25</v>
      </c>
      <c r="G178" s="4" t="s">
        <v>25</v>
      </c>
      <c r="H178" s="4" t="s">
        <v>25</v>
      </c>
      <c r="I178" s="5">
        <v>44378</v>
      </c>
      <c r="J178" s="6">
        <v>0</v>
      </c>
      <c r="K178" s="6">
        <v>0</v>
      </c>
      <c r="L178" s="6">
        <v>8935.16</v>
      </c>
      <c r="M178" s="6">
        <v>8130.9956000000002</v>
      </c>
      <c r="N178" s="6">
        <v>0</v>
      </c>
      <c r="O178" s="6">
        <v>0</v>
      </c>
      <c r="P178" s="6">
        <v>2</v>
      </c>
      <c r="Q178" s="4" t="s">
        <v>60</v>
      </c>
      <c r="R178" s="4">
        <v>0</v>
      </c>
      <c r="S178" s="4" t="s">
        <v>124</v>
      </c>
      <c r="U178" s="4">
        <v>0</v>
      </c>
      <c r="V178" s="4">
        <v>25</v>
      </c>
      <c r="W178" s="4">
        <v>0</v>
      </c>
    </row>
    <row r="179" spans="1:23" ht="11.25" customHeight="1" x14ac:dyDescent="0.25">
      <c r="A179" s="4" t="s">
        <v>21</v>
      </c>
      <c r="B179" s="4" t="s">
        <v>43</v>
      </c>
      <c r="C179" s="4" t="s">
        <v>44</v>
      </c>
      <c r="D179" s="4" t="s">
        <v>61</v>
      </c>
      <c r="E179" s="4" t="s">
        <v>53</v>
      </c>
      <c r="F179" s="4" t="s">
        <v>25</v>
      </c>
      <c r="G179" s="4" t="s">
        <v>25</v>
      </c>
      <c r="H179" s="4" t="s">
        <v>25</v>
      </c>
      <c r="I179" s="5">
        <v>44409</v>
      </c>
      <c r="J179" s="6">
        <v>0</v>
      </c>
      <c r="K179" s="6">
        <v>0</v>
      </c>
      <c r="L179" s="6">
        <v>9188.86</v>
      </c>
      <c r="M179" s="6">
        <v>8361.8626000000004</v>
      </c>
      <c r="N179" s="6">
        <v>0</v>
      </c>
      <c r="O179" s="6">
        <v>0</v>
      </c>
      <c r="P179" s="6">
        <v>2</v>
      </c>
      <c r="Q179" s="4" t="s">
        <v>60</v>
      </c>
      <c r="R179" s="4">
        <v>0</v>
      </c>
      <c r="S179" s="4" t="s">
        <v>125</v>
      </c>
      <c r="U179" s="4">
        <v>0</v>
      </c>
      <c r="V179" s="4">
        <v>25</v>
      </c>
      <c r="W179" s="4">
        <v>0</v>
      </c>
    </row>
    <row r="180" spans="1:23" ht="11.25" customHeight="1" x14ac:dyDescent="0.25">
      <c r="A180" s="4" t="s">
        <v>21</v>
      </c>
      <c r="B180" s="4" t="s">
        <v>43</v>
      </c>
      <c r="C180" s="4" t="s">
        <v>44</v>
      </c>
      <c r="D180" s="4" t="s">
        <v>61</v>
      </c>
      <c r="E180" s="4" t="s">
        <v>53</v>
      </c>
      <c r="F180" s="4" t="s">
        <v>25</v>
      </c>
      <c r="G180" s="4" t="s">
        <v>25</v>
      </c>
      <c r="H180" s="4" t="s">
        <v>25</v>
      </c>
      <c r="I180" s="5">
        <v>44440</v>
      </c>
      <c r="J180" s="6">
        <v>0</v>
      </c>
      <c r="K180" s="6">
        <v>0</v>
      </c>
      <c r="L180" s="6">
        <v>8943.06</v>
      </c>
      <c r="M180" s="6">
        <v>8138.1845999999996</v>
      </c>
      <c r="N180" s="6">
        <v>0</v>
      </c>
      <c r="O180" s="6">
        <v>0</v>
      </c>
      <c r="P180" s="6">
        <v>2</v>
      </c>
      <c r="Q180" s="4" t="s">
        <v>60</v>
      </c>
      <c r="R180" s="4">
        <v>0</v>
      </c>
      <c r="S180" s="4" t="s">
        <v>126</v>
      </c>
      <c r="U180" s="4">
        <v>0</v>
      </c>
      <c r="V180" s="4">
        <v>25</v>
      </c>
      <c r="W180" s="4">
        <v>0</v>
      </c>
    </row>
    <row r="181" spans="1:23" ht="11.25" customHeight="1" x14ac:dyDescent="0.25">
      <c r="A181" s="4" t="s">
        <v>59</v>
      </c>
      <c r="B181" s="4" t="s">
        <v>43</v>
      </c>
      <c r="C181" s="4" t="s">
        <v>44</v>
      </c>
      <c r="D181" s="4" t="s">
        <v>61</v>
      </c>
      <c r="E181" s="4" t="s">
        <v>53</v>
      </c>
      <c r="F181" s="4" t="s">
        <v>25</v>
      </c>
      <c r="G181" s="4" t="s">
        <v>25</v>
      </c>
      <c r="H181" s="4" t="s">
        <v>25</v>
      </c>
      <c r="I181" s="5">
        <v>44470</v>
      </c>
      <c r="J181" s="6">
        <v>0</v>
      </c>
      <c r="K181" s="6">
        <v>0</v>
      </c>
      <c r="L181" s="6">
        <v>8943.06</v>
      </c>
      <c r="M181" s="6">
        <v>8138.1845999999996</v>
      </c>
      <c r="N181" s="6">
        <v>0</v>
      </c>
      <c r="O181" s="6">
        <v>0</v>
      </c>
      <c r="P181" s="6">
        <v>2</v>
      </c>
      <c r="Q181" s="4" t="s">
        <v>60</v>
      </c>
      <c r="R181" s="4">
        <v>0</v>
      </c>
      <c r="S181" s="4" t="s">
        <v>127</v>
      </c>
      <c r="U181" s="4">
        <v>0</v>
      </c>
      <c r="V181" s="4">
        <v>25</v>
      </c>
      <c r="W181" s="4">
        <v>0</v>
      </c>
    </row>
    <row r="182" spans="1:23" ht="11.25" customHeight="1" x14ac:dyDescent="0.25">
      <c r="A182" s="4" t="s">
        <v>21</v>
      </c>
      <c r="B182" s="4" t="s">
        <v>43</v>
      </c>
      <c r="C182" s="4" t="s">
        <v>44</v>
      </c>
      <c r="D182" s="4" t="s">
        <v>61</v>
      </c>
      <c r="E182" s="4" t="s">
        <v>53</v>
      </c>
      <c r="F182" s="4" t="s">
        <v>25</v>
      </c>
      <c r="G182" s="4" t="s">
        <v>25</v>
      </c>
      <c r="H182" s="4" t="s">
        <v>37</v>
      </c>
      <c r="I182" s="5">
        <v>44136</v>
      </c>
      <c r="J182" s="6">
        <v>15174</v>
      </c>
      <c r="K182" s="6">
        <v>13808.34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4" t="s">
        <v>60</v>
      </c>
      <c r="R182" s="4">
        <v>0</v>
      </c>
      <c r="S182" s="4" t="s">
        <v>128</v>
      </c>
      <c r="U182" s="4">
        <v>1</v>
      </c>
      <c r="V182" s="4">
        <v>0</v>
      </c>
      <c r="W182" s="4">
        <v>0</v>
      </c>
    </row>
    <row r="183" spans="1:23" ht="11.25" customHeight="1" x14ac:dyDescent="0.25">
      <c r="A183" s="4" t="s">
        <v>21</v>
      </c>
      <c r="B183" s="4" t="s">
        <v>43</v>
      </c>
      <c r="C183" s="4" t="s">
        <v>44</v>
      </c>
      <c r="D183" s="4" t="s">
        <v>61</v>
      </c>
      <c r="E183" s="4" t="s">
        <v>53</v>
      </c>
      <c r="F183" s="4" t="s">
        <v>25</v>
      </c>
      <c r="G183" s="4" t="s">
        <v>25</v>
      </c>
      <c r="H183" s="4" t="s">
        <v>37</v>
      </c>
      <c r="I183" s="5">
        <v>44166</v>
      </c>
      <c r="J183" s="6">
        <v>15448</v>
      </c>
      <c r="K183" s="6">
        <v>14057.68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4" t="s">
        <v>60</v>
      </c>
      <c r="R183" s="4">
        <v>0</v>
      </c>
      <c r="S183" s="4" t="s">
        <v>129</v>
      </c>
      <c r="U183" s="4">
        <v>1</v>
      </c>
      <c r="V183" s="4">
        <v>0</v>
      </c>
      <c r="W183" s="4">
        <v>0</v>
      </c>
    </row>
    <row r="184" spans="1:23" ht="11.25" customHeight="1" x14ac:dyDescent="0.25">
      <c r="A184" s="4" t="s">
        <v>21</v>
      </c>
      <c r="B184" s="4" t="s">
        <v>43</v>
      </c>
      <c r="C184" s="4" t="s">
        <v>44</v>
      </c>
      <c r="D184" s="4" t="s">
        <v>61</v>
      </c>
      <c r="E184" s="4" t="s">
        <v>53</v>
      </c>
      <c r="F184" s="4" t="s">
        <v>25</v>
      </c>
      <c r="G184" s="4" t="s">
        <v>25</v>
      </c>
      <c r="H184" s="4" t="s">
        <v>37</v>
      </c>
      <c r="I184" s="5">
        <v>44197</v>
      </c>
      <c r="J184" s="6">
        <v>14784</v>
      </c>
      <c r="K184" s="6">
        <v>13453.44</v>
      </c>
      <c r="L184" s="6">
        <v>0</v>
      </c>
      <c r="M184" s="6">
        <v>0</v>
      </c>
      <c r="N184" s="6">
        <v>0</v>
      </c>
      <c r="O184" s="6">
        <v>0</v>
      </c>
      <c r="P184" s="6">
        <v>0</v>
      </c>
      <c r="Q184" s="4" t="s">
        <v>60</v>
      </c>
      <c r="R184" s="4">
        <v>0</v>
      </c>
      <c r="S184" s="4" t="s">
        <v>130</v>
      </c>
      <c r="U184" s="4">
        <v>1</v>
      </c>
      <c r="V184" s="4">
        <v>0</v>
      </c>
      <c r="W184" s="4">
        <v>0</v>
      </c>
    </row>
    <row r="185" spans="1:23" ht="11.25" customHeight="1" x14ac:dyDescent="0.25">
      <c r="A185" s="4" t="s">
        <v>21</v>
      </c>
      <c r="B185" s="4" t="s">
        <v>43</v>
      </c>
      <c r="C185" s="4" t="s">
        <v>44</v>
      </c>
      <c r="D185" s="4" t="s">
        <v>61</v>
      </c>
      <c r="E185" s="4" t="s">
        <v>53</v>
      </c>
      <c r="F185" s="4" t="s">
        <v>25</v>
      </c>
      <c r="G185" s="4" t="s">
        <v>25</v>
      </c>
      <c r="H185" s="4" t="s">
        <v>37</v>
      </c>
      <c r="I185" s="5">
        <v>44228</v>
      </c>
      <c r="J185" s="6">
        <v>14784</v>
      </c>
      <c r="K185" s="6">
        <v>13453.44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4" t="s">
        <v>60</v>
      </c>
      <c r="R185" s="4">
        <v>0</v>
      </c>
      <c r="S185" s="4" t="s">
        <v>131</v>
      </c>
      <c r="U185" s="4">
        <v>1</v>
      </c>
      <c r="V185" s="4">
        <v>0</v>
      </c>
      <c r="W185" s="4">
        <v>0</v>
      </c>
    </row>
    <row r="186" spans="1:23" ht="11.25" customHeight="1" x14ac:dyDescent="0.25">
      <c r="A186" s="4" t="s">
        <v>21</v>
      </c>
      <c r="B186" s="4" t="s">
        <v>43</v>
      </c>
      <c r="C186" s="4" t="s">
        <v>44</v>
      </c>
      <c r="D186" s="4" t="s">
        <v>61</v>
      </c>
      <c r="E186" s="4" t="s">
        <v>53</v>
      </c>
      <c r="F186" s="4" t="s">
        <v>25</v>
      </c>
      <c r="G186" s="4" t="s">
        <v>25</v>
      </c>
      <c r="H186" s="4" t="s">
        <v>37</v>
      </c>
      <c r="I186" s="5">
        <v>44256</v>
      </c>
      <c r="J186" s="6">
        <v>14784</v>
      </c>
      <c r="K186" s="6">
        <v>13453.44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4" t="s">
        <v>60</v>
      </c>
      <c r="R186" s="4">
        <v>0</v>
      </c>
      <c r="S186" s="4" t="s">
        <v>132</v>
      </c>
      <c r="U186" s="4">
        <v>1</v>
      </c>
      <c r="V186" s="4">
        <v>0</v>
      </c>
      <c r="W186" s="4">
        <v>0</v>
      </c>
    </row>
    <row r="187" spans="1:23" ht="11.25" customHeight="1" x14ac:dyDescent="0.25">
      <c r="A187" s="4" t="s">
        <v>21</v>
      </c>
      <c r="B187" s="4" t="s">
        <v>43</v>
      </c>
      <c r="C187" s="4" t="s">
        <v>44</v>
      </c>
      <c r="D187" s="4" t="s">
        <v>61</v>
      </c>
      <c r="E187" s="4" t="s">
        <v>53</v>
      </c>
      <c r="F187" s="4" t="s">
        <v>25</v>
      </c>
      <c r="G187" s="4" t="s">
        <v>25</v>
      </c>
      <c r="H187" s="4" t="s">
        <v>37</v>
      </c>
      <c r="I187" s="5">
        <v>44287</v>
      </c>
      <c r="J187" s="6">
        <v>14784</v>
      </c>
      <c r="K187" s="6">
        <v>13453.44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4" t="s">
        <v>60</v>
      </c>
      <c r="R187" s="4">
        <v>0</v>
      </c>
      <c r="S187" s="4" t="s">
        <v>133</v>
      </c>
      <c r="U187" s="4">
        <v>1</v>
      </c>
      <c r="V187" s="4">
        <v>0</v>
      </c>
      <c r="W187" s="4">
        <v>0</v>
      </c>
    </row>
    <row r="188" spans="1:23" ht="11.25" customHeight="1" x14ac:dyDescent="0.25">
      <c r="A188" s="4" t="s">
        <v>21</v>
      </c>
      <c r="B188" s="4" t="s">
        <v>43</v>
      </c>
      <c r="C188" s="4" t="s">
        <v>44</v>
      </c>
      <c r="D188" s="4" t="s">
        <v>61</v>
      </c>
      <c r="E188" s="4" t="s">
        <v>53</v>
      </c>
      <c r="F188" s="4" t="s">
        <v>25</v>
      </c>
      <c r="G188" s="4" t="s">
        <v>25</v>
      </c>
      <c r="H188" s="4" t="s">
        <v>37</v>
      </c>
      <c r="I188" s="5">
        <v>44317</v>
      </c>
      <c r="J188" s="6">
        <v>14784</v>
      </c>
      <c r="K188" s="6">
        <v>13453.44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4" t="s">
        <v>60</v>
      </c>
      <c r="R188" s="4">
        <v>0</v>
      </c>
      <c r="S188" s="4" t="s">
        <v>134</v>
      </c>
      <c r="U188" s="4">
        <v>1</v>
      </c>
      <c r="V188" s="4">
        <v>0</v>
      </c>
      <c r="W188" s="4">
        <v>0</v>
      </c>
    </row>
    <row r="189" spans="1:23" ht="11.25" customHeight="1" x14ac:dyDescent="0.25">
      <c r="A189" s="4" t="s">
        <v>21</v>
      </c>
      <c r="B189" s="4" t="s">
        <v>43</v>
      </c>
      <c r="C189" s="4" t="s">
        <v>44</v>
      </c>
      <c r="D189" s="4" t="s">
        <v>61</v>
      </c>
      <c r="E189" s="4" t="s">
        <v>53</v>
      </c>
      <c r="F189" s="4" t="s">
        <v>25</v>
      </c>
      <c r="G189" s="4" t="s">
        <v>25</v>
      </c>
      <c r="H189" s="4" t="s">
        <v>37</v>
      </c>
      <c r="I189" s="5">
        <v>44348</v>
      </c>
      <c r="J189" s="6">
        <v>14784</v>
      </c>
      <c r="K189" s="6">
        <v>13453.44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4" t="s">
        <v>60</v>
      </c>
      <c r="R189" s="4">
        <v>0</v>
      </c>
      <c r="S189" s="4" t="s">
        <v>135</v>
      </c>
      <c r="U189" s="4">
        <v>1</v>
      </c>
      <c r="V189" s="4">
        <v>0</v>
      </c>
      <c r="W189" s="4">
        <v>0</v>
      </c>
    </row>
    <row r="190" spans="1:23" ht="11.25" customHeight="1" x14ac:dyDescent="0.25">
      <c r="A190" s="4" t="s">
        <v>21</v>
      </c>
      <c r="B190" s="4" t="s">
        <v>43</v>
      </c>
      <c r="C190" s="4" t="s">
        <v>44</v>
      </c>
      <c r="D190" s="4" t="s">
        <v>61</v>
      </c>
      <c r="E190" s="4" t="s">
        <v>53</v>
      </c>
      <c r="F190" s="4" t="s">
        <v>25</v>
      </c>
      <c r="G190" s="4" t="s">
        <v>25</v>
      </c>
      <c r="H190" s="4" t="s">
        <v>37</v>
      </c>
      <c r="I190" s="5">
        <v>44378</v>
      </c>
      <c r="J190" s="6">
        <v>14784</v>
      </c>
      <c r="K190" s="6">
        <v>13453.44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4" t="s">
        <v>60</v>
      </c>
      <c r="R190" s="4">
        <v>0</v>
      </c>
      <c r="S190" s="4" t="s">
        <v>136</v>
      </c>
      <c r="U190" s="4">
        <v>1</v>
      </c>
      <c r="V190" s="4">
        <v>0</v>
      </c>
      <c r="W190" s="4">
        <v>0</v>
      </c>
    </row>
    <row r="191" spans="1:23" ht="11.25" customHeight="1" x14ac:dyDescent="0.25">
      <c r="A191" s="4" t="s">
        <v>21</v>
      </c>
      <c r="B191" s="4" t="s">
        <v>43</v>
      </c>
      <c r="C191" s="4" t="s">
        <v>44</v>
      </c>
      <c r="D191" s="4" t="s">
        <v>61</v>
      </c>
      <c r="E191" s="4" t="s">
        <v>53</v>
      </c>
      <c r="F191" s="4" t="s">
        <v>25</v>
      </c>
      <c r="G191" s="4" t="s">
        <v>25</v>
      </c>
      <c r="H191" s="4" t="s">
        <v>37</v>
      </c>
      <c r="I191" s="5">
        <v>44409</v>
      </c>
      <c r="J191" s="6">
        <v>14784</v>
      </c>
      <c r="K191" s="6">
        <v>13453.44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4" t="s">
        <v>60</v>
      </c>
      <c r="R191" s="4">
        <v>0</v>
      </c>
      <c r="S191" s="4" t="s">
        <v>137</v>
      </c>
      <c r="U191" s="4">
        <v>1</v>
      </c>
      <c r="V191" s="4">
        <v>0</v>
      </c>
      <c r="W191" s="4">
        <v>0</v>
      </c>
    </row>
    <row r="192" spans="1:23" ht="11.25" customHeight="1" x14ac:dyDescent="0.25">
      <c r="A192" s="4" t="s">
        <v>21</v>
      </c>
      <c r="B192" s="4" t="s">
        <v>43</v>
      </c>
      <c r="C192" s="4" t="s">
        <v>44</v>
      </c>
      <c r="D192" s="4" t="s">
        <v>61</v>
      </c>
      <c r="E192" s="4" t="s">
        <v>53</v>
      </c>
      <c r="F192" s="4" t="s">
        <v>25</v>
      </c>
      <c r="G192" s="4" t="s">
        <v>25</v>
      </c>
      <c r="H192" s="4" t="s">
        <v>37</v>
      </c>
      <c r="I192" s="5">
        <v>44440</v>
      </c>
      <c r="J192" s="6">
        <v>14784</v>
      </c>
      <c r="K192" s="6">
        <v>13453.44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4" t="s">
        <v>60</v>
      </c>
      <c r="R192" s="4">
        <v>0</v>
      </c>
      <c r="S192" s="4" t="s">
        <v>138</v>
      </c>
      <c r="U192" s="4">
        <v>1</v>
      </c>
      <c r="V192" s="4">
        <v>0</v>
      </c>
      <c r="W192" s="4">
        <v>0</v>
      </c>
    </row>
    <row r="193" spans="1:23" ht="11.25" customHeight="1" x14ac:dyDescent="0.25">
      <c r="A193" s="4" t="s">
        <v>59</v>
      </c>
      <c r="B193" s="4" t="s">
        <v>43</v>
      </c>
      <c r="C193" s="4" t="s">
        <v>44</v>
      </c>
      <c r="D193" s="4" t="s">
        <v>61</v>
      </c>
      <c r="E193" s="4" t="s">
        <v>53</v>
      </c>
      <c r="F193" s="4" t="s">
        <v>25</v>
      </c>
      <c r="G193" s="4" t="s">
        <v>25</v>
      </c>
      <c r="H193" s="4" t="s">
        <v>37</v>
      </c>
      <c r="I193" s="5">
        <v>44470</v>
      </c>
      <c r="J193" s="6">
        <v>14784</v>
      </c>
      <c r="K193" s="6">
        <v>13453.44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4" t="s">
        <v>60</v>
      </c>
      <c r="R193" s="4">
        <v>0</v>
      </c>
      <c r="S193" s="4" t="s">
        <v>139</v>
      </c>
      <c r="U193" s="4">
        <v>1</v>
      </c>
      <c r="V193" s="4">
        <v>0</v>
      </c>
      <c r="W193" s="4">
        <v>0</v>
      </c>
    </row>
    <row r="194" spans="1:23" ht="11.25" customHeight="1" x14ac:dyDescent="0.25">
      <c r="A194" s="4" t="s">
        <v>21</v>
      </c>
      <c r="B194" s="4" t="s">
        <v>43</v>
      </c>
      <c r="C194" s="4" t="s">
        <v>63</v>
      </c>
      <c r="D194" s="4" t="s">
        <v>25</v>
      </c>
      <c r="E194" s="4" t="s">
        <v>25</v>
      </c>
      <c r="F194" s="4" t="s">
        <v>25</v>
      </c>
      <c r="G194" s="4" t="s">
        <v>64</v>
      </c>
      <c r="H194" s="4" t="s">
        <v>25</v>
      </c>
      <c r="I194" s="5">
        <v>44136</v>
      </c>
      <c r="J194" s="6">
        <v>157500</v>
      </c>
      <c r="K194" s="6">
        <v>157500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4" t="s">
        <v>65</v>
      </c>
      <c r="R194" s="4">
        <v>27250</v>
      </c>
      <c r="S194" s="4" t="s">
        <v>140</v>
      </c>
      <c r="U194" s="4">
        <v>27</v>
      </c>
      <c r="V194" s="4">
        <v>0</v>
      </c>
      <c r="W194" s="4">
        <v>0</v>
      </c>
    </row>
    <row r="195" spans="1:23" ht="11.25" customHeight="1" x14ac:dyDescent="0.25">
      <c r="A195" s="4" t="s">
        <v>21</v>
      </c>
      <c r="B195" s="4" t="s">
        <v>43</v>
      </c>
      <c r="C195" s="4" t="s">
        <v>63</v>
      </c>
      <c r="D195" s="4" t="s">
        <v>25</v>
      </c>
      <c r="E195" s="4" t="s">
        <v>25</v>
      </c>
      <c r="F195" s="4" t="s">
        <v>25</v>
      </c>
      <c r="G195" s="4" t="s">
        <v>66</v>
      </c>
      <c r="H195" s="4" t="s">
        <v>25</v>
      </c>
      <c r="I195" s="5">
        <v>44136</v>
      </c>
      <c r="J195" s="6">
        <v>60000</v>
      </c>
      <c r="K195" s="6">
        <v>60000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4" t="s">
        <v>65</v>
      </c>
      <c r="R195" s="4">
        <v>29272</v>
      </c>
      <c r="S195" s="4" t="s">
        <v>140</v>
      </c>
      <c r="U195" s="4">
        <v>27</v>
      </c>
      <c r="V195" s="4">
        <v>0</v>
      </c>
      <c r="W195" s="4">
        <v>0</v>
      </c>
    </row>
    <row r="196" spans="1:23" ht="11.25" customHeight="1" x14ac:dyDescent="0.25">
      <c r="A196" s="4" t="s">
        <v>21</v>
      </c>
      <c r="B196" s="4" t="s">
        <v>43</v>
      </c>
      <c r="C196" s="4" t="s">
        <v>63</v>
      </c>
      <c r="D196" s="4" t="s">
        <v>25</v>
      </c>
      <c r="E196" s="4" t="s">
        <v>25</v>
      </c>
      <c r="F196" s="4" t="s">
        <v>25</v>
      </c>
      <c r="G196" s="4" t="s">
        <v>67</v>
      </c>
      <c r="H196" s="4" t="s">
        <v>25</v>
      </c>
      <c r="I196" s="5">
        <v>44136</v>
      </c>
      <c r="J196" s="6">
        <v>60000</v>
      </c>
      <c r="K196" s="6">
        <v>60000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4" t="s">
        <v>65</v>
      </c>
      <c r="R196" s="4">
        <v>29276</v>
      </c>
      <c r="S196" s="4" t="s">
        <v>140</v>
      </c>
      <c r="U196" s="4">
        <v>27</v>
      </c>
      <c r="V196" s="4">
        <v>0</v>
      </c>
      <c r="W196" s="4">
        <v>0</v>
      </c>
    </row>
    <row r="197" spans="1:23" ht="11.25" customHeight="1" x14ac:dyDescent="0.25">
      <c r="A197" s="4" t="s">
        <v>21</v>
      </c>
      <c r="B197" s="4" t="s">
        <v>43</v>
      </c>
      <c r="C197" s="4" t="s">
        <v>63</v>
      </c>
      <c r="D197" s="4" t="s">
        <v>25</v>
      </c>
      <c r="E197" s="4" t="s">
        <v>25</v>
      </c>
      <c r="F197" s="4" t="s">
        <v>25</v>
      </c>
      <c r="G197" s="4" t="s">
        <v>68</v>
      </c>
      <c r="H197" s="4" t="s">
        <v>25</v>
      </c>
      <c r="I197" s="5">
        <v>44136</v>
      </c>
      <c r="J197" s="6">
        <v>60000</v>
      </c>
      <c r="K197" s="6">
        <v>60000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4" t="s">
        <v>65</v>
      </c>
      <c r="R197" s="4">
        <v>29361</v>
      </c>
      <c r="S197" s="4" t="s">
        <v>140</v>
      </c>
      <c r="U197" s="4">
        <v>27</v>
      </c>
      <c r="V197" s="4">
        <v>0</v>
      </c>
      <c r="W197" s="4">
        <v>0</v>
      </c>
    </row>
    <row r="198" spans="1:23" ht="11.25" customHeight="1" x14ac:dyDescent="0.25">
      <c r="A198" s="4" t="s">
        <v>21</v>
      </c>
      <c r="B198" s="4" t="s">
        <v>43</v>
      </c>
      <c r="C198" s="4" t="s">
        <v>63</v>
      </c>
      <c r="D198" s="4" t="s">
        <v>25</v>
      </c>
      <c r="E198" s="4" t="s">
        <v>25</v>
      </c>
      <c r="F198" s="4" t="s">
        <v>25</v>
      </c>
      <c r="G198" s="4" t="s">
        <v>69</v>
      </c>
      <c r="H198" s="4" t="s">
        <v>25</v>
      </c>
      <c r="I198" s="5">
        <v>44136</v>
      </c>
      <c r="J198" s="6">
        <v>63000</v>
      </c>
      <c r="K198" s="6">
        <v>63000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4" t="s">
        <v>65</v>
      </c>
      <c r="R198" s="4">
        <v>29432</v>
      </c>
      <c r="S198" s="4" t="s">
        <v>140</v>
      </c>
      <c r="U198" s="4">
        <v>27</v>
      </c>
      <c r="V198" s="4">
        <v>0</v>
      </c>
      <c r="W198" s="4">
        <v>0</v>
      </c>
    </row>
    <row r="199" spans="1:23" ht="11.25" customHeight="1" x14ac:dyDescent="0.25">
      <c r="A199" s="4" t="s">
        <v>21</v>
      </c>
      <c r="B199" s="4" t="s">
        <v>43</v>
      </c>
      <c r="C199" s="4" t="s">
        <v>63</v>
      </c>
      <c r="D199" s="4" t="s">
        <v>25</v>
      </c>
      <c r="E199" s="4" t="s">
        <v>25</v>
      </c>
      <c r="F199" s="4" t="s">
        <v>25</v>
      </c>
      <c r="G199" s="4" t="s">
        <v>64</v>
      </c>
      <c r="H199" s="4" t="s">
        <v>25</v>
      </c>
      <c r="I199" s="5">
        <v>44166</v>
      </c>
      <c r="J199" s="6">
        <v>157500</v>
      </c>
      <c r="K199" s="6">
        <v>157500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4" t="s">
        <v>65</v>
      </c>
      <c r="R199" s="4">
        <v>27250</v>
      </c>
      <c r="S199" s="4" t="s">
        <v>141</v>
      </c>
      <c r="U199" s="4">
        <v>27</v>
      </c>
      <c r="V199" s="4">
        <v>0</v>
      </c>
      <c r="W199" s="4">
        <v>0</v>
      </c>
    </row>
    <row r="200" spans="1:23" ht="11.25" customHeight="1" x14ac:dyDescent="0.25">
      <c r="A200" s="4" t="s">
        <v>21</v>
      </c>
      <c r="B200" s="4" t="s">
        <v>43</v>
      </c>
      <c r="C200" s="4" t="s">
        <v>63</v>
      </c>
      <c r="D200" s="4" t="s">
        <v>25</v>
      </c>
      <c r="E200" s="4" t="s">
        <v>25</v>
      </c>
      <c r="F200" s="4" t="s">
        <v>25</v>
      </c>
      <c r="G200" s="4" t="s">
        <v>66</v>
      </c>
      <c r="H200" s="4" t="s">
        <v>25</v>
      </c>
      <c r="I200" s="5">
        <v>44166</v>
      </c>
      <c r="J200" s="6">
        <v>60000</v>
      </c>
      <c r="K200" s="6">
        <v>60000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4" t="s">
        <v>65</v>
      </c>
      <c r="R200" s="4">
        <v>29272</v>
      </c>
      <c r="S200" s="4" t="s">
        <v>141</v>
      </c>
      <c r="U200" s="4">
        <v>27</v>
      </c>
      <c r="V200" s="4">
        <v>0</v>
      </c>
      <c r="W200" s="4">
        <v>0</v>
      </c>
    </row>
    <row r="201" spans="1:23" ht="11.25" customHeight="1" x14ac:dyDescent="0.25">
      <c r="A201" s="4" t="s">
        <v>21</v>
      </c>
      <c r="B201" s="4" t="s">
        <v>43</v>
      </c>
      <c r="C201" s="4" t="s">
        <v>63</v>
      </c>
      <c r="D201" s="4" t="s">
        <v>25</v>
      </c>
      <c r="E201" s="4" t="s">
        <v>25</v>
      </c>
      <c r="F201" s="4" t="s">
        <v>25</v>
      </c>
      <c r="G201" s="4" t="s">
        <v>67</v>
      </c>
      <c r="H201" s="4" t="s">
        <v>25</v>
      </c>
      <c r="I201" s="5">
        <v>44166</v>
      </c>
      <c r="J201" s="6">
        <v>60000</v>
      </c>
      <c r="K201" s="6">
        <v>60000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4" t="s">
        <v>65</v>
      </c>
      <c r="R201" s="4">
        <v>29276</v>
      </c>
      <c r="S201" s="4" t="s">
        <v>141</v>
      </c>
      <c r="U201" s="4">
        <v>27</v>
      </c>
      <c r="V201" s="4">
        <v>0</v>
      </c>
      <c r="W201" s="4">
        <v>0</v>
      </c>
    </row>
    <row r="202" spans="1:23" ht="11.25" customHeight="1" x14ac:dyDescent="0.25">
      <c r="A202" s="4" t="s">
        <v>21</v>
      </c>
      <c r="B202" s="4" t="s">
        <v>43</v>
      </c>
      <c r="C202" s="4" t="s">
        <v>63</v>
      </c>
      <c r="D202" s="4" t="s">
        <v>25</v>
      </c>
      <c r="E202" s="4" t="s">
        <v>25</v>
      </c>
      <c r="F202" s="4" t="s">
        <v>25</v>
      </c>
      <c r="G202" s="4" t="s">
        <v>68</v>
      </c>
      <c r="H202" s="4" t="s">
        <v>25</v>
      </c>
      <c r="I202" s="5">
        <v>44166</v>
      </c>
      <c r="J202" s="6">
        <v>60000</v>
      </c>
      <c r="K202" s="6">
        <v>60000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4" t="s">
        <v>65</v>
      </c>
      <c r="R202" s="4">
        <v>29361</v>
      </c>
      <c r="S202" s="4" t="s">
        <v>141</v>
      </c>
      <c r="U202" s="4">
        <v>27</v>
      </c>
      <c r="V202" s="4">
        <v>0</v>
      </c>
      <c r="W202" s="4">
        <v>0</v>
      </c>
    </row>
    <row r="203" spans="1:23" ht="11.25" customHeight="1" x14ac:dyDescent="0.25">
      <c r="A203" s="4" t="s">
        <v>21</v>
      </c>
      <c r="B203" s="4" t="s">
        <v>43</v>
      </c>
      <c r="C203" s="4" t="s">
        <v>63</v>
      </c>
      <c r="D203" s="4" t="s">
        <v>25</v>
      </c>
      <c r="E203" s="4" t="s">
        <v>25</v>
      </c>
      <c r="F203" s="4" t="s">
        <v>25</v>
      </c>
      <c r="G203" s="4" t="s">
        <v>69</v>
      </c>
      <c r="H203" s="4" t="s">
        <v>25</v>
      </c>
      <c r="I203" s="5">
        <v>44166</v>
      </c>
      <c r="J203" s="6">
        <v>63000</v>
      </c>
      <c r="K203" s="6">
        <v>63000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4" t="s">
        <v>65</v>
      </c>
      <c r="R203" s="4">
        <v>29432</v>
      </c>
      <c r="S203" s="4" t="s">
        <v>141</v>
      </c>
      <c r="U203" s="4">
        <v>27</v>
      </c>
      <c r="V203" s="4">
        <v>0</v>
      </c>
      <c r="W203" s="4">
        <v>0</v>
      </c>
    </row>
    <row r="204" spans="1:23" ht="11.25" customHeight="1" x14ac:dyDescent="0.25">
      <c r="A204" s="4" t="s">
        <v>21</v>
      </c>
      <c r="B204" s="4" t="s">
        <v>43</v>
      </c>
      <c r="C204" s="4" t="s">
        <v>63</v>
      </c>
      <c r="D204" s="4" t="s">
        <v>25</v>
      </c>
      <c r="E204" s="4" t="s">
        <v>25</v>
      </c>
      <c r="F204" s="4" t="s">
        <v>25</v>
      </c>
      <c r="G204" s="4" t="s">
        <v>64</v>
      </c>
      <c r="H204" s="4" t="s">
        <v>25</v>
      </c>
      <c r="I204" s="5">
        <v>44197</v>
      </c>
      <c r="J204" s="6">
        <v>157500</v>
      </c>
      <c r="K204" s="6">
        <v>157500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4" t="s">
        <v>65</v>
      </c>
      <c r="R204" s="4">
        <v>27250</v>
      </c>
      <c r="S204" s="4" t="s">
        <v>142</v>
      </c>
      <c r="U204" s="4">
        <v>27</v>
      </c>
      <c r="V204" s="4">
        <v>0</v>
      </c>
      <c r="W204" s="4">
        <v>0</v>
      </c>
    </row>
    <row r="205" spans="1:23" ht="11.25" customHeight="1" x14ac:dyDescent="0.25">
      <c r="A205" s="4" t="s">
        <v>21</v>
      </c>
      <c r="B205" s="4" t="s">
        <v>43</v>
      </c>
      <c r="C205" s="4" t="s">
        <v>63</v>
      </c>
      <c r="D205" s="4" t="s">
        <v>25</v>
      </c>
      <c r="E205" s="4" t="s">
        <v>25</v>
      </c>
      <c r="F205" s="4" t="s">
        <v>25</v>
      </c>
      <c r="G205" s="4" t="s">
        <v>66</v>
      </c>
      <c r="H205" s="4" t="s">
        <v>25</v>
      </c>
      <c r="I205" s="5">
        <v>44197</v>
      </c>
      <c r="J205" s="6">
        <v>60000</v>
      </c>
      <c r="K205" s="6">
        <v>60000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4" t="s">
        <v>65</v>
      </c>
      <c r="R205" s="4">
        <v>29272</v>
      </c>
      <c r="S205" s="4" t="s">
        <v>142</v>
      </c>
      <c r="U205" s="4">
        <v>27</v>
      </c>
      <c r="V205" s="4">
        <v>0</v>
      </c>
      <c r="W205" s="4">
        <v>0</v>
      </c>
    </row>
    <row r="206" spans="1:23" ht="11.25" customHeight="1" x14ac:dyDescent="0.25">
      <c r="A206" s="4" t="s">
        <v>21</v>
      </c>
      <c r="B206" s="4" t="s">
        <v>43</v>
      </c>
      <c r="C206" s="4" t="s">
        <v>63</v>
      </c>
      <c r="D206" s="4" t="s">
        <v>25</v>
      </c>
      <c r="E206" s="4" t="s">
        <v>25</v>
      </c>
      <c r="F206" s="4" t="s">
        <v>25</v>
      </c>
      <c r="G206" s="4" t="s">
        <v>67</v>
      </c>
      <c r="H206" s="4" t="s">
        <v>25</v>
      </c>
      <c r="I206" s="5">
        <v>44197</v>
      </c>
      <c r="J206" s="6">
        <v>60000</v>
      </c>
      <c r="K206" s="6">
        <v>60000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4" t="s">
        <v>65</v>
      </c>
      <c r="R206" s="4">
        <v>29276</v>
      </c>
      <c r="S206" s="4" t="s">
        <v>142</v>
      </c>
      <c r="U206" s="4">
        <v>27</v>
      </c>
      <c r="V206" s="4">
        <v>0</v>
      </c>
      <c r="W206" s="4">
        <v>0</v>
      </c>
    </row>
    <row r="207" spans="1:23" ht="11.25" customHeight="1" x14ac:dyDescent="0.25">
      <c r="A207" s="4" t="s">
        <v>21</v>
      </c>
      <c r="B207" s="4" t="s">
        <v>43</v>
      </c>
      <c r="C207" s="4" t="s">
        <v>63</v>
      </c>
      <c r="D207" s="4" t="s">
        <v>25</v>
      </c>
      <c r="E207" s="4" t="s">
        <v>25</v>
      </c>
      <c r="F207" s="4" t="s">
        <v>25</v>
      </c>
      <c r="G207" s="4" t="s">
        <v>68</v>
      </c>
      <c r="H207" s="4" t="s">
        <v>25</v>
      </c>
      <c r="I207" s="5">
        <v>44197</v>
      </c>
      <c r="J207" s="6">
        <v>60000</v>
      </c>
      <c r="K207" s="6">
        <v>60000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4" t="s">
        <v>65</v>
      </c>
      <c r="R207" s="4">
        <v>29361</v>
      </c>
      <c r="S207" s="4" t="s">
        <v>142</v>
      </c>
      <c r="U207" s="4">
        <v>27</v>
      </c>
      <c r="V207" s="4">
        <v>0</v>
      </c>
      <c r="W207" s="4">
        <v>0</v>
      </c>
    </row>
    <row r="208" spans="1:23" ht="11.25" customHeight="1" x14ac:dyDescent="0.25">
      <c r="A208" s="4" t="s">
        <v>21</v>
      </c>
      <c r="B208" s="4" t="s">
        <v>43</v>
      </c>
      <c r="C208" s="4" t="s">
        <v>63</v>
      </c>
      <c r="D208" s="4" t="s">
        <v>25</v>
      </c>
      <c r="E208" s="4" t="s">
        <v>25</v>
      </c>
      <c r="F208" s="4" t="s">
        <v>25</v>
      </c>
      <c r="G208" s="4" t="s">
        <v>69</v>
      </c>
      <c r="H208" s="4" t="s">
        <v>25</v>
      </c>
      <c r="I208" s="5">
        <v>44197</v>
      </c>
      <c r="J208" s="6">
        <v>63000</v>
      </c>
      <c r="K208" s="6">
        <v>63000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4" t="s">
        <v>65</v>
      </c>
      <c r="R208" s="4">
        <v>29432</v>
      </c>
      <c r="S208" s="4" t="s">
        <v>142</v>
      </c>
      <c r="U208" s="4">
        <v>27</v>
      </c>
      <c r="V208" s="4">
        <v>0</v>
      </c>
      <c r="W208" s="4">
        <v>0</v>
      </c>
    </row>
    <row r="209" spans="1:23" ht="11.25" customHeight="1" x14ac:dyDescent="0.25">
      <c r="A209" s="4" t="s">
        <v>21</v>
      </c>
      <c r="B209" s="4" t="s">
        <v>43</v>
      </c>
      <c r="C209" s="4" t="s">
        <v>63</v>
      </c>
      <c r="D209" s="4" t="s">
        <v>25</v>
      </c>
      <c r="E209" s="4" t="s">
        <v>25</v>
      </c>
      <c r="F209" s="4" t="s">
        <v>25</v>
      </c>
      <c r="G209" s="4" t="s">
        <v>64</v>
      </c>
      <c r="H209" s="4" t="s">
        <v>25</v>
      </c>
      <c r="I209" s="5">
        <v>44228</v>
      </c>
      <c r="J209" s="6">
        <v>157500</v>
      </c>
      <c r="K209" s="6">
        <v>157500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4" t="s">
        <v>65</v>
      </c>
      <c r="R209" s="4">
        <v>27250</v>
      </c>
      <c r="S209" s="4" t="s">
        <v>143</v>
      </c>
      <c r="U209" s="4">
        <v>27</v>
      </c>
      <c r="V209" s="4">
        <v>0</v>
      </c>
      <c r="W209" s="4">
        <v>0</v>
      </c>
    </row>
    <row r="210" spans="1:23" ht="11.25" customHeight="1" x14ac:dyDescent="0.25">
      <c r="A210" s="4" t="s">
        <v>21</v>
      </c>
      <c r="B210" s="4" t="s">
        <v>43</v>
      </c>
      <c r="C210" s="4" t="s">
        <v>63</v>
      </c>
      <c r="D210" s="4" t="s">
        <v>25</v>
      </c>
      <c r="E210" s="4" t="s">
        <v>25</v>
      </c>
      <c r="F210" s="4" t="s">
        <v>25</v>
      </c>
      <c r="G210" s="4" t="s">
        <v>66</v>
      </c>
      <c r="H210" s="4" t="s">
        <v>25</v>
      </c>
      <c r="I210" s="5">
        <v>44228</v>
      </c>
      <c r="J210" s="6">
        <v>60000</v>
      </c>
      <c r="K210" s="6">
        <v>60000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4" t="s">
        <v>65</v>
      </c>
      <c r="R210" s="4">
        <v>29272</v>
      </c>
      <c r="S210" s="4" t="s">
        <v>143</v>
      </c>
      <c r="U210" s="4">
        <v>27</v>
      </c>
      <c r="V210" s="4">
        <v>0</v>
      </c>
      <c r="W210" s="4">
        <v>0</v>
      </c>
    </row>
    <row r="211" spans="1:23" ht="11.25" customHeight="1" x14ac:dyDescent="0.25">
      <c r="A211" s="4" t="s">
        <v>21</v>
      </c>
      <c r="B211" s="4" t="s">
        <v>43</v>
      </c>
      <c r="C211" s="4" t="s">
        <v>63</v>
      </c>
      <c r="D211" s="4" t="s">
        <v>25</v>
      </c>
      <c r="E211" s="4" t="s">
        <v>25</v>
      </c>
      <c r="F211" s="4" t="s">
        <v>25</v>
      </c>
      <c r="G211" s="4" t="s">
        <v>67</v>
      </c>
      <c r="H211" s="4" t="s">
        <v>25</v>
      </c>
      <c r="I211" s="5">
        <v>44228</v>
      </c>
      <c r="J211" s="6">
        <v>60000</v>
      </c>
      <c r="K211" s="6">
        <v>60000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4" t="s">
        <v>65</v>
      </c>
      <c r="R211" s="4">
        <v>29276</v>
      </c>
      <c r="S211" s="4" t="s">
        <v>143</v>
      </c>
      <c r="U211" s="4">
        <v>27</v>
      </c>
      <c r="V211" s="4">
        <v>0</v>
      </c>
      <c r="W211" s="4">
        <v>0</v>
      </c>
    </row>
    <row r="212" spans="1:23" ht="11.25" customHeight="1" x14ac:dyDescent="0.25">
      <c r="A212" s="4" t="s">
        <v>21</v>
      </c>
      <c r="B212" s="4" t="s">
        <v>43</v>
      </c>
      <c r="C212" s="4" t="s">
        <v>63</v>
      </c>
      <c r="D212" s="4" t="s">
        <v>25</v>
      </c>
      <c r="E212" s="4" t="s">
        <v>25</v>
      </c>
      <c r="F212" s="4" t="s">
        <v>25</v>
      </c>
      <c r="G212" s="4" t="s">
        <v>68</v>
      </c>
      <c r="H212" s="4" t="s">
        <v>25</v>
      </c>
      <c r="I212" s="5">
        <v>44228</v>
      </c>
      <c r="J212" s="6">
        <v>60000</v>
      </c>
      <c r="K212" s="6">
        <v>60000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4" t="s">
        <v>65</v>
      </c>
      <c r="R212" s="4">
        <v>29361</v>
      </c>
      <c r="S212" s="4" t="s">
        <v>143</v>
      </c>
      <c r="U212" s="4">
        <v>27</v>
      </c>
      <c r="V212" s="4">
        <v>0</v>
      </c>
      <c r="W212" s="4">
        <v>0</v>
      </c>
    </row>
    <row r="213" spans="1:23" ht="11.25" customHeight="1" x14ac:dyDescent="0.25">
      <c r="A213" s="4" t="s">
        <v>21</v>
      </c>
      <c r="B213" s="4" t="s">
        <v>43</v>
      </c>
      <c r="C213" s="4" t="s">
        <v>63</v>
      </c>
      <c r="D213" s="4" t="s">
        <v>25</v>
      </c>
      <c r="E213" s="4" t="s">
        <v>25</v>
      </c>
      <c r="F213" s="4" t="s">
        <v>25</v>
      </c>
      <c r="G213" s="4" t="s">
        <v>69</v>
      </c>
      <c r="H213" s="4" t="s">
        <v>25</v>
      </c>
      <c r="I213" s="5">
        <v>44228</v>
      </c>
      <c r="J213" s="6">
        <v>63000</v>
      </c>
      <c r="K213" s="6">
        <v>63000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4" t="s">
        <v>65</v>
      </c>
      <c r="R213" s="4">
        <v>29432</v>
      </c>
      <c r="S213" s="4" t="s">
        <v>143</v>
      </c>
      <c r="U213" s="4">
        <v>27</v>
      </c>
      <c r="V213" s="4">
        <v>0</v>
      </c>
      <c r="W213" s="4">
        <v>0</v>
      </c>
    </row>
    <row r="214" spans="1:23" ht="11.25" customHeight="1" x14ac:dyDescent="0.25">
      <c r="A214" s="4" t="s">
        <v>21</v>
      </c>
      <c r="B214" s="4" t="s">
        <v>43</v>
      </c>
      <c r="C214" s="4" t="s">
        <v>63</v>
      </c>
      <c r="D214" s="4" t="s">
        <v>25</v>
      </c>
      <c r="E214" s="4" t="s">
        <v>25</v>
      </c>
      <c r="F214" s="4" t="s">
        <v>25</v>
      </c>
      <c r="G214" s="4" t="s">
        <v>64</v>
      </c>
      <c r="H214" s="4" t="s">
        <v>25</v>
      </c>
      <c r="I214" s="5">
        <v>44256</v>
      </c>
      <c r="J214" s="6">
        <v>157500</v>
      </c>
      <c r="K214" s="6">
        <v>157500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4" t="s">
        <v>65</v>
      </c>
      <c r="R214" s="4">
        <v>27250</v>
      </c>
      <c r="S214" s="4" t="s">
        <v>144</v>
      </c>
      <c r="U214" s="4">
        <v>27</v>
      </c>
      <c r="V214" s="4">
        <v>0</v>
      </c>
      <c r="W214" s="4">
        <v>0</v>
      </c>
    </row>
    <row r="215" spans="1:23" ht="11.25" customHeight="1" x14ac:dyDescent="0.25">
      <c r="A215" s="4" t="s">
        <v>21</v>
      </c>
      <c r="B215" s="4" t="s">
        <v>43</v>
      </c>
      <c r="C215" s="4" t="s">
        <v>63</v>
      </c>
      <c r="D215" s="4" t="s">
        <v>25</v>
      </c>
      <c r="E215" s="4" t="s">
        <v>25</v>
      </c>
      <c r="F215" s="4" t="s">
        <v>25</v>
      </c>
      <c r="G215" s="4" t="s">
        <v>66</v>
      </c>
      <c r="H215" s="4" t="s">
        <v>25</v>
      </c>
      <c r="I215" s="5">
        <v>44256</v>
      </c>
      <c r="J215" s="6">
        <v>60000</v>
      </c>
      <c r="K215" s="6">
        <v>60000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4" t="s">
        <v>65</v>
      </c>
      <c r="R215" s="4">
        <v>29272</v>
      </c>
      <c r="S215" s="4" t="s">
        <v>144</v>
      </c>
      <c r="U215" s="4">
        <v>27</v>
      </c>
      <c r="V215" s="4">
        <v>0</v>
      </c>
      <c r="W215" s="4">
        <v>0</v>
      </c>
    </row>
    <row r="216" spans="1:23" ht="11.25" customHeight="1" x14ac:dyDescent="0.25">
      <c r="A216" s="4" t="s">
        <v>21</v>
      </c>
      <c r="B216" s="4" t="s">
        <v>43</v>
      </c>
      <c r="C216" s="4" t="s">
        <v>63</v>
      </c>
      <c r="D216" s="4" t="s">
        <v>25</v>
      </c>
      <c r="E216" s="4" t="s">
        <v>25</v>
      </c>
      <c r="F216" s="4" t="s">
        <v>25</v>
      </c>
      <c r="G216" s="4" t="s">
        <v>67</v>
      </c>
      <c r="H216" s="4" t="s">
        <v>25</v>
      </c>
      <c r="I216" s="5">
        <v>44256</v>
      </c>
      <c r="J216" s="6">
        <v>60000</v>
      </c>
      <c r="K216" s="6">
        <v>60000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4" t="s">
        <v>65</v>
      </c>
      <c r="R216" s="4">
        <v>29276</v>
      </c>
      <c r="S216" s="4" t="s">
        <v>144</v>
      </c>
      <c r="U216" s="4">
        <v>27</v>
      </c>
      <c r="V216" s="4">
        <v>0</v>
      </c>
      <c r="W216" s="4">
        <v>0</v>
      </c>
    </row>
    <row r="217" spans="1:23" ht="11.25" customHeight="1" x14ac:dyDescent="0.25">
      <c r="A217" s="4" t="s">
        <v>21</v>
      </c>
      <c r="B217" s="4" t="s">
        <v>43</v>
      </c>
      <c r="C217" s="4" t="s">
        <v>63</v>
      </c>
      <c r="D217" s="4" t="s">
        <v>25</v>
      </c>
      <c r="E217" s="4" t="s">
        <v>25</v>
      </c>
      <c r="F217" s="4" t="s">
        <v>25</v>
      </c>
      <c r="G217" s="4" t="s">
        <v>68</v>
      </c>
      <c r="H217" s="4" t="s">
        <v>25</v>
      </c>
      <c r="I217" s="5">
        <v>44256</v>
      </c>
      <c r="J217" s="6">
        <v>60000</v>
      </c>
      <c r="K217" s="6">
        <v>60000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4" t="s">
        <v>65</v>
      </c>
      <c r="R217" s="4">
        <v>29361</v>
      </c>
      <c r="S217" s="4" t="s">
        <v>144</v>
      </c>
      <c r="U217" s="4">
        <v>27</v>
      </c>
      <c r="V217" s="4">
        <v>0</v>
      </c>
      <c r="W217" s="4">
        <v>0</v>
      </c>
    </row>
    <row r="218" spans="1:23" ht="11.25" customHeight="1" x14ac:dyDescent="0.25">
      <c r="A218" s="4" t="s">
        <v>21</v>
      </c>
      <c r="B218" s="4" t="s">
        <v>43</v>
      </c>
      <c r="C218" s="4" t="s">
        <v>63</v>
      </c>
      <c r="D218" s="4" t="s">
        <v>25</v>
      </c>
      <c r="E218" s="4" t="s">
        <v>25</v>
      </c>
      <c r="F218" s="4" t="s">
        <v>25</v>
      </c>
      <c r="G218" s="4" t="s">
        <v>69</v>
      </c>
      <c r="H218" s="4" t="s">
        <v>25</v>
      </c>
      <c r="I218" s="5">
        <v>44256</v>
      </c>
      <c r="J218" s="6">
        <v>63000</v>
      </c>
      <c r="K218" s="6">
        <v>63000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4" t="s">
        <v>65</v>
      </c>
      <c r="R218" s="4">
        <v>29432</v>
      </c>
      <c r="S218" s="4" t="s">
        <v>144</v>
      </c>
      <c r="U218" s="4">
        <v>27</v>
      </c>
      <c r="V218" s="4">
        <v>0</v>
      </c>
      <c r="W218" s="4">
        <v>0</v>
      </c>
    </row>
    <row r="219" spans="1:23" ht="11.25" customHeight="1" x14ac:dyDescent="0.25">
      <c r="A219" s="4" t="s">
        <v>21</v>
      </c>
      <c r="B219" s="4" t="s">
        <v>43</v>
      </c>
      <c r="C219" s="4" t="s">
        <v>63</v>
      </c>
      <c r="D219" s="4" t="s">
        <v>25</v>
      </c>
      <c r="E219" s="4" t="s">
        <v>25</v>
      </c>
      <c r="F219" s="4" t="s">
        <v>25</v>
      </c>
      <c r="G219" s="4" t="s">
        <v>64</v>
      </c>
      <c r="H219" s="4" t="s">
        <v>25</v>
      </c>
      <c r="I219" s="5">
        <v>44287</v>
      </c>
      <c r="J219" s="6">
        <v>157500</v>
      </c>
      <c r="K219" s="6">
        <v>157500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4" t="s">
        <v>65</v>
      </c>
      <c r="R219" s="4">
        <v>27250</v>
      </c>
      <c r="S219" s="4" t="s">
        <v>145</v>
      </c>
      <c r="U219" s="4">
        <v>27</v>
      </c>
      <c r="V219" s="4">
        <v>0</v>
      </c>
      <c r="W219" s="4">
        <v>0</v>
      </c>
    </row>
    <row r="220" spans="1:23" ht="11.25" customHeight="1" x14ac:dyDescent="0.25">
      <c r="A220" s="4" t="s">
        <v>21</v>
      </c>
      <c r="B220" s="4" t="s">
        <v>43</v>
      </c>
      <c r="C220" s="4" t="s">
        <v>63</v>
      </c>
      <c r="D220" s="4" t="s">
        <v>25</v>
      </c>
      <c r="E220" s="4" t="s">
        <v>25</v>
      </c>
      <c r="F220" s="4" t="s">
        <v>25</v>
      </c>
      <c r="G220" s="4" t="s">
        <v>66</v>
      </c>
      <c r="H220" s="4" t="s">
        <v>25</v>
      </c>
      <c r="I220" s="5">
        <v>44287</v>
      </c>
      <c r="J220" s="6">
        <v>60000</v>
      </c>
      <c r="K220" s="6">
        <v>60000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4" t="s">
        <v>65</v>
      </c>
      <c r="R220" s="4">
        <v>29272</v>
      </c>
      <c r="S220" s="4" t="s">
        <v>145</v>
      </c>
      <c r="U220" s="4">
        <v>27</v>
      </c>
      <c r="V220" s="4">
        <v>0</v>
      </c>
      <c r="W220" s="4">
        <v>0</v>
      </c>
    </row>
    <row r="221" spans="1:23" ht="11.25" customHeight="1" x14ac:dyDescent="0.25">
      <c r="A221" s="4" t="s">
        <v>21</v>
      </c>
      <c r="B221" s="4" t="s">
        <v>43</v>
      </c>
      <c r="C221" s="4" t="s">
        <v>63</v>
      </c>
      <c r="D221" s="4" t="s">
        <v>25</v>
      </c>
      <c r="E221" s="4" t="s">
        <v>25</v>
      </c>
      <c r="F221" s="4" t="s">
        <v>25</v>
      </c>
      <c r="G221" s="4" t="s">
        <v>67</v>
      </c>
      <c r="H221" s="4" t="s">
        <v>25</v>
      </c>
      <c r="I221" s="5">
        <v>44287</v>
      </c>
      <c r="J221" s="6">
        <v>60000</v>
      </c>
      <c r="K221" s="6">
        <v>60000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4" t="s">
        <v>65</v>
      </c>
      <c r="R221" s="4">
        <v>29276</v>
      </c>
      <c r="S221" s="4" t="s">
        <v>145</v>
      </c>
      <c r="U221" s="4">
        <v>27</v>
      </c>
      <c r="V221" s="4">
        <v>0</v>
      </c>
      <c r="W221" s="4">
        <v>0</v>
      </c>
    </row>
    <row r="222" spans="1:23" ht="11.25" customHeight="1" x14ac:dyDescent="0.25">
      <c r="A222" s="4" t="s">
        <v>21</v>
      </c>
      <c r="B222" s="4" t="s">
        <v>43</v>
      </c>
      <c r="C222" s="4" t="s">
        <v>63</v>
      </c>
      <c r="D222" s="4" t="s">
        <v>25</v>
      </c>
      <c r="E222" s="4" t="s">
        <v>25</v>
      </c>
      <c r="F222" s="4" t="s">
        <v>25</v>
      </c>
      <c r="G222" s="4" t="s">
        <v>68</v>
      </c>
      <c r="H222" s="4" t="s">
        <v>25</v>
      </c>
      <c r="I222" s="5">
        <v>44287</v>
      </c>
      <c r="J222" s="6">
        <v>60000</v>
      </c>
      <c r="K222" s="6">
        <v>60000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4" t="s">
        <v>65</v>
      </c>
      <c r="R222" s="4">
        <v>29361</v>
      </c>
      <c r="S222" s="4" t="s">
        <v>145</v>
      </c>
      <c r="U222" s="4">
        <v>27</v>
      </c>
      <c r="V222" s="4">
        <v>0</v>
      </c>
      <c r="W222" s="4">
        <v>0</v>
      </c>
    </row>
    <row r="223" spans="1:23" ht="11.25" customHeight="1" x14ac:dyDescent="0.25">
      <c r="A223" s="4" t="s">
        <v>21</v>
      </c>
      <c r="B223" s="4" t="s">
        <v>43</v>
      </c>
      <c r="C223" s="4" t="s">
        <v>63</v>
      </c>
      <c r="D223" s="4" t="s">
        <v>25</v>
      </c>
      <c r="E223" s="4" t="s">
        <v>25</v>
      </c>
      <c r="F223" s="4" t="s">
        <v>25</v>
      </c>
      <c r="G223" s="4" t="s">
        <v>69</v>
      </c>
      <c r="H223" s="4" t="s">
        <v>25</v>
      </c>
      <c r="I223" s="5">
        <v>44287</v>
      </c>
      <c r="J223" s="6">
        <v>63000</v>
      </c>
      <c r="K223" s="6">
        <v>63000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4" t="s">
        <v>65</v>
      </c>
      <c r="R223" s="4">
        <v>29432</v>
      </c>
      <c r="S223" s="4" t="s">
        <v>145</v>
      </c>
      <c r="U223" s="4">
        <v>27</v>
      </c>
      <c r="V223" s="4">
        <v>0</v>
      </c>
      <c r="W223" s="4">
        <v>0</v>
      </c>
    </row>
    <row r="224" spans="1:23" ht="11.25" customHeight="1" x14ac:dyDescent="0.25">
      <c r="A224" s="4" t="s">
        <v>21</v>
      </c>
      <c r="B224" s="4" t="s">
        <v>43</v>
      </c>
      <c r="C224" s="4" t="s">
        <v>63</v>
      </c>
      <c r="D224" s="4" t="s">
        <v>25</v>
      </c>
      <c r="E224" s="4" t="s">
        <v>25</v>
      </c>
      <c r="F224" s="4" t="s">
        <v>25</v>
      </c>
      <c r="G224" s="4" t="s">
        <v>64</v>
      </c>
      <c r="H224" s="4" t="s">
        <v>25</v>
      </c>
      <c r="I224" s="5">
        <v>44317</v>
      </c>
      <c r="J224" s="6">
        <v>157500</v>
      </c>
      <c r="K224" s="6">
        <v>157500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4" t="s">
        <v>65</v>
      </c>
      <c r="R224" s="4">
        <v>27250</v>
      </c>
      <c r="S224" s="4" t="s">
        <v>146</v>
      </c>
      <c r="U224" s="4">
        <v>27</v>
      </c>
      <c r="V224" s="4">
        <v>0</v>
      </c>
      <c r="W224" s="4">
        <v>0</v>
      </c>
    </row>
    <row r="225" spans="1:23" ht="11.25" customHeight="1" x14ac:dyDescent="0.25">
      <c r="A225" s="4" t="s">
        <v>21</v>
      </c>
      <c r="B225" s="4" t="s">
        <v>43</v>
      </c>
      <c r="C225" s="4" t="s">
        <v>63</v>
      </c>
      <c r="D225" s="4" t="s">
        <v>25</v>
      </c>
      <c r="E225" s="4" t="s">
        <v>25</v>
      </c>
      <c r="F225" s="4" t="s">
        <v>25</v>
      </c>
      <c r="G225" s="4" t="s">
        <v>66</v>
      </c>
      <c r="H225" s="4" t="s">
        <v>25</v>
      </c>
      <c r="I225" s="5">
        <v>44317</v>
      </c>
      <c r="J225" s="6">
        <v>60000</v>
      </c>
      <c r="K225" s="6">
        <v>60000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4" t="s">
        <v>65</v>
      </c>
      <c r="R225" s="4">
        <v>29272</v>
      </c>
      <c r="S225" s="4" t="s">
        <v>146</v>
      </c>
      <c r="U225" s="4">
        <v>27</v>
      </c>
      <c r="V225" s="4">
        <v>0</v>
      </c>
      <c r="W225" s="4">
        <v>0</v>
      </c>
    </row>
    <row r="226" spans="1:23" ht="11.25" customHeight="1" x14ac:dyDescent="0.25">
      <c r="A226" s="4" t="s">
        <v>21</v>
      </c>
      <c r="B226" s="4" t="s">
        <v>43</v>
      </c>
      <c r="C226" s="4" t="s">
        <v>63</v>
      </c>
      <c r="D226" s="4" t="s">
        <v>25</v>
      </c>
      <c r="E226" s="4" t="s">
        <v>25</v>
      </c>
      <c r="F226" s="4" t="s">
        <v>25</v>
      </c>
      <c r="G226" s="4" t="s">
        <v>67</v>
      </c>
      <c r="H226" s="4" t="s">
        <v>25</v>
      </c>
      <c r="I226" s="5">
        <v>44317</v>
      </c>
      <c r="J226" s="6">
        <v>60000</v>
      </c>
      <c r="K226" s="6">
        <v>60000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4" t="s">
        <v>65</v>
      </c>
      <c r="R226" s="4">
        <v>29276</v>
      </c>
      <c r="S226" s="4" t="s">
        <v>146</v>
      </c>
      <c r="U226" s="4">
        <v>27</v>
      </c>
      <c r="V226" s="4">
        <v>0</v>
      </c>
      <c r="W226" s="4">
        <v>0</v>
      </c>
    </row>
    <row r="227" spans="1:23" ht="11.25" customHeight="1" x14ac:dyDescent="0.25">
      <c r="A227" s="4" t="s">
        <v>21</v>
      </c>
      <c r="B227" s="4" t="s">
        <v>43</v>
      </c>
      <c r="C227" s="4" t="s">
        <v>63</v>
      </c>
      <c r="D227" s="4" t="s">
        <v>25</v>
      </c>
      <c r="E227" s="4" t="s">
        <v>25</v>
      </c>
      <c r="F227" s="4" t="s">
        <v>25</v>
      </c>
      <c r="G227" s="4" t="s">
        <v>68</v>
      </c>
      <c r="H227" s="4" t="s">
        <v>25</v>
      </c>
      <c r="I227" s="5">
        <v>44317</v>
      </c>
      <c r="J227" s="6">
        <v>60000</v>
      </c>
      <c r="K227" s="6">
        <v>60000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4" t="s">
        <v>65</v>
      </c>
      <c r="R227" s="4">
        <v>29361</v>
      </c>
      <c r="S227" s="4" t="s">
        <v>146</v>
      </c>
      <c r="U227" s="4">
        <v>27</v>
      </c>
      <c r="V227" s="4">
        <v>0</v>
      </c>
      <c r="W227" s="4">
        <v>0</v>
      </c>
    </row>
    <row r="228" spans="1:23" ht="11.25" customHeight="1" x14ac:dyDescent="0.25">
      <c r="A228" s="4" t="s">
        <v>21</v>
      </c>
      <c r="B228" s="4" t="s">
        <v>43</v>
      </c>
      <c r="C228" s="4" t="s">
        <v>63</v>
      </c>
      <c r="D228" s="4" t="s">
        <v>25</v>
      </c>
      <c r="E228" s="4" t="s">
        <v>25</v>
      </c>
      <c r="F228" s="4" t="s">
        <v>25</v>
      </c>
      <c r="G228" s="4" t="s">
        <v>69</v>
      </c>
      <c r="H228" s="4" t="s">
        <v>25</v>
      </c>
      <c r="I228" s="5">
        <v>44317</v>
      </c>
      <c r="J228" s="6">
        <v>63000</v>
      </c>
      <c r="K228" s="6">
        <v>63000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4" t="s">
        <v>65</v>
      </c>
      <c r="R228" s="4">
        <v>29432</v>
      </c>
      <c r="S228" s="4" t="s">
        <v>146</v>
      </c>
      <c r="U228" s="4">
        <v>27</v>
      </c>
      <c r="V228" s="4">
        <v>0</v>
      </c>
      <c r="W228" s="4">
        <v>0</v>
      </c>
    </row>
    <row r="229" spans="1:23" ht="11.25" customHeight="1" x14ac:dyDescent="0.25">
      <c r="A229" s="4" t="s">
        <v>21</v>
      </c>
      <c r="B229" s="4" t="s">
        <v>43</v>
      </c>
      <c r="C229" s="4" t="s">
        <v>63</v>
      </c>
      <c r="D229" s="4" t="s">
        <v>25</v>
      </c>
      <c r="E229" s="4" t="s">
        <v>25</v>
      </c>
      <c r="F229" s="4" t="s">
        <v>25</v>
      </c>
      <c r="G229" s="4" t="s">
        <v>64</v>
      </c>
      <c r="H229" s="4" t="s">
        <v>25</v>
      </c>
      <c r="I229" s="5">
        <v>44348</v>
      </c>
      <c r="J229" s="6">
        <v>157500</v>
      </c>
      <c r="K229" s="6">
        <v>157500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4" t="s">
        <v>65</v>
      </c>
      <c r="R229" s="4">
        <v>27250</v>
      </c>
      <c r="S229" s="4" t="s">
        <v>147</v>
      </c>
      <c r="U229" s="4">
        <v>27</v>
      </c>
      <c r="V229" s="4">
        <v>0</v>
      </c>
      <c r="W229" s="4">
        <v>0</v>
      </c>
    </row>
    <row r="230" spans="1:23" ht="11.25" customHeight="1" x14ac:dyDescent="0.25">
      <c r="A230" s="4" t="s">
        <v>21</v>
      </c>
      <c r="B230" s="4" t="s">
        <v>43</v>
      </c>
      <c r="C230" s="4" t="s">
        <v>63</v>
      </c>
      <c r="D230" s="4" t="s">
        <v>25</v>
      </c>
      <c r="E230" s="4" t="s">
        <v>25</v>
      </c>
      <c r="F230" s="4" t="s">
        <v>25</v>
      </c>
      <c r="G230" s="4" t="s">
        <v>66</v>
      </c>
      <c r="H230" s="4" t="s">
        <v>25</v>
      </c>
      <c r="I230" s="5">
        <v>44348</v>
      </c>
      <c r="J230" s="6">
        <v>60000</v>
      </c>
      <c r="K230" s="6">
        <v>60000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4" t="s">
        <v>65</v>
      </c>
      <c r="R230" s="4">
        <v>29272</v>
      </c>
      <c r="S230" s="4" t="s">
        <v>147</v>
      </c>
      <c r="U230" s="4">
        <v>27</v>
      </c>
      <c r="V230" s="4">
        <v>0</v>
      </c>
      <c r="W230" s="4">
        <v>0</v>
      </c>
    </row>
    <row r="231" spans="1:23" ht="11.25" customHeight="1" x14ac:dyDescent="0.25">
      <c r="A231" s="4" t="s">
        <v>21</v>
      </c>
      <c r="B231" s="4" t="s">
        <v>43</v>
      </c>
      <c r="C231" s="4" t="s">
        <v>63</v>
      </c>
      <c r="D231" s="4" t="s">
        <v>25</v>
      </c>
      <c r="E231" s="4" t="s">
        <v>25</v>
      </c>
      <c r="F231" s="4" t="s">
        <v>25</v>
      </c>
      <c r="G231" s="4" t="s">
        <v>67</v>
      </c>
      <c r="H231" s="4" t="s">
        <v>25</v>
      </c>
      <c r="I231" s="5">
        <v>44348</v>
      </c>
      <c r="J231" s="6">
        <v>60000</v>
      </c>
      <c r="K231" s="6">
        <v>60000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4" t="s">
        <v>65</v>
      </c>
      <c r="R231" s="4">
        <v>29276</v>
      </c>
      <c r="S231" s="4" t="s">
        <v>147</v>
      </c>
      <c r="U231" s="4">
        <v>27</v>
      </c>
      <c r="V231" s="4">
        <v>0</v>
      </c>
      <c r="W231" s="4">
        <v>0</v>
      </c>
    </row>
    <row r="232" spans="1:23" ht="11.25" customHeight="1" x14ac:dyDescent="0.25">
      <c r="A232" s="4" t="s">
        <v>21</v>
      </c>
      <c r="B232" s="4" t="s">
        <v>43</v>
      </c>
      <c r="C232" s="4" t="s">
        <v>63</v>
      </c>
      <c r="D232" s="4" t="s">
        <v>25</v>
      </c>
      <c r="E232" s="4" t="s">
        <v>25</v>
      </c>
      <c r="F232" s="4" t="s">
        <v>25</v>
      </c>
      <c r="G232" s="4" t="s">
        <v>68</v>
      </c>
      <c r="H232" s="4" t="s">
        <v>25</v>
      </c>
      <c r="I232" s="5">
        <v>44348</v>
      </c>
      <c r="J232" s="6">
        <v>60000</v>
      </c>
      <c r="K232" s="6">
        <v>60000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4" t="s">
        <v>65</v>
      </c>
      <c r="R232" s="4">
        <v>29361</v>
      </c>
      <c r="S232" s="4" t="s">
        <v>147</v>
      </c>
      <c r="U232" s="4">
        <v>27</v>
      </c>
      <c r="V232" s="4">
        <v>0</v>
      </c>
      <c r="W232" s="4">
        <v>0</v>
      </c>
    </row>
    <row r="233" spans="1:23" ht="11.25" customHeight="1" x14ac:dyDescent="0.25">
      <c r="A233" s="4" t="s">
        <v>21</v>
      </c>
      <c r="B233" s="4" t="s">
        <v>43</v>
      </c>
      <c r="C233" s="4" t="s">
        <v>63</v>
      </c>
      <c r="D233" s="4" t="s">
        <v>25</v>
      </c>
      <c r="E233" s="4" t="s">
        <v>25</v>
      </c>
      <c r="F233" s="4" t="s">
        <v>25</v>
      </c>
      <c r="G233" s="4" t="s">
        <v>69</v>
      </c>
      <c r="H233" s="4" t="s">
        <v>25</v>
      </c>
      <c r="I233" s="5">
        <v>44348</v>
      </c>
      <c r="J233" s="6">
        <v>63000</v>
      </c>
      <c r="K233" s="6">
        <v>63000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4" t="s">
        <v>65</v>
      </c>
      <c r="R233" s="4">
        <v>29432</v>
      </c>
      <c r="S233" s="4" t="s">
        <v>147</v>
      </c>
      <c r="U233" s="4">
        <v>27</v>
      </c>
      <c r="V233" s="4">
        <v>0</v>
      </c>
      <c r="W233" s="4">
        <v>0</v>
      </c>
    </row>
    <row r="234" spans="1:23" ht="11.25" customHeight="1" x14ac:dyDescent="0.25">
      <c r="A234" s="4" t="s">
        <v>21</v>
      </c>
      <c r="B234" s="4" t="s">
        <v>43</v>
      </c>
      <c r="C234" s="4" t="s">
        <v>63</v>
      </c>
      <c r="D234" s="4" t="s">
        <v>25</v>
      </c>
      <c r="E234" s="4" t="s">
        <v>25</v>
      </c>
      <c r="F234" s="4" t="s">
        <v>25</v>
      </c>
      <c r="G234" s="4" t="s">
        <v>64</v>
      </c>
      <c r="H234" s="4" t="s">
        <v>25</v>
      </c>
      <c r="I234" s="5">
        <v>44378</v>
      </c>
      <c r="J234" s="6">
        <v>157500</v>
      </c>
      <c r="K234" s="6">
        <v>157500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4" t="s">
        <v>65</v>
      </c>
      <c r="R234" s="4">
        <v>27250</v>
      </c>
      <c r="S234" s="4" t="s">
        <v>148</v>
      </c>
      <c r="U234" s="4">
        <v>27</v>
      </c>
      <c r="V234" s="4">
        <v>0</v>
      </c>
      <c r="W234" s="4">
        <v>0</v>
      </c>
    </row>
    <row r="235" spans="1:23" ht="11.25" customHeight="1" x14ac:dyDescent="0.25">
      <c r="A235" s="4" t="s">
        <v>21</v>
      </c>
      <c r="B235" s="4" t="s">
        <v>43</v>
      </c>
      <c r="C235" s="4" t="s">
        <v>63</v>
      </c>
      <c r="D235" s="4" t="s">
        <v>25</v>
      </c>
      <c r="E235" s="4" t="s">
        <v>25</v>
      </c>
      <c r="F235" s="4" t="s">
        <v>25</v>
      </c>
      <c r="G235" s="4" t="s">
        <v>66</v>
      </c>
      <c r="H235" s="4" t="s">
        <v>25</v>
      </c>
      <c r="I235" s="5">
        <v>44378</v>
      </c>
      <c r="J235" s="6">
        <v>60000</v>
      </c>
      <c r="K235" s="6">
        <v>60000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4" t="s">
        <v>65</v>
      </c>
      <c r="R235" s="4">
        <v>29272</v>
      </c>
      <c r="S235" s="4" t="s">
        <v>148</v>
      </c>
      <c r="U235" s="4">
        <v>27</v>
      </c>
      <c r="V235" s="4">
        <v>0</v>
      </c>
      <c r="W235" s="4">
        <v>0</v>
      </c>
    </row>
    <row r="236" spans="1:23" ht="11.25" customHeight="1" x14ac:dyDescent="0.25">
      <c r="A236" s="4" t="s">
        <v>21</v>
      </c>
      <c r="B236" s="4" t="s">
        <v>43</v>
      </c>
      <c r="C236" s="4" t="s">
        <v>63</v>
      </c>
      <c r="D236" s="4" t="s">
        <v>25</v>
      </c>
      <c r="E236" s="4" t="s">
        <v>25</v>
      </c>
      <c r="F236" s="4" t="s">
        <v>25</v>
      </c>
      <c r="G236" s="4" t="s">
        <v>67</v>
      </c>
      <c r="H236" s="4" t="s">
        <v>25</v>
      </c>
      <c r="I236" s="5">
        <v>44378</v>
      </c>
      <c r="J236" s="6">
        <v>60000</v>
      </c>
      <c r="K236" s="6">
        <v>60000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4" t="s">
        <v>65</v>
      </c>
      <c r="R236" s="4">
        <v>29276</v>
      </c>
      <c r="S236" s="4" t="s">
        <v>148</v>
      </c>
      <c r="U236" s="4">
        <v>27</v>
      </c>
      <c r="V236" s="4">
        <v>0</v>
      </c>
      <c r="W236" s="4">
        <v>0</v>
      </c>
    </row>
    <row r="237" spans="1:23" ht="11.25" customHeight="1" x14ac:dyDescent="0.25">
      <c r="A237" s="4" t="s">
        <v>21</v>
      </c>
      <c r="B237" s="4" t="s">
        <v>43</v>
      </c>
      <c r="C237" s="4" t="s">
        <v>63</v>
      </c>
      <c r="D237" s="4" t="s">
        <v>25</v>
      </c>
      <c r="E237" s="4" t="s">
        <v>25</v>
      </c>
      <c r="F237" s="4" t="s">
        <v>25</v>
      </c>
      <c r="G237" s="4" t="s">
        <v>68</v>
      </c>
      <c r="H237" s="4" t="s">
        <v>25</v>
      </c>
      <c r="I237" s="5">
        <v>44378</v>
      </c>
      <c r="J237" s="6">
        <v>60000</v>
      </c>
      <c r="K237" s="6">
        <v>60000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4" t="s">
        <v>65</v>
      </c>
      <c r="R237" s="4">
        <v>29361</v>
      </c>
      <c r="S237" s="4" t="s">
        <v>148</v>
      </c>
      <c r="U237" s="4">
        <v>27</v>
      </c>
      <c r="V237" s="4">
        <v>0</v>
      </c>
      <c r="W237" s="4">
        <v>0</v>
      </c>
    </row>
    <row r="238" spans="1:23" ht="11.25" customHeight="1" x14ac:dyDescent="0.25">
      <c r="A238" s="4" t="s">
        <v>21</v>
      </c>
      <c r="B238" s="4" t="s">
        <v>43</v>
      </c>
      <c r="C238" s="4" t="s">
        <v>63</v>
      </c>
      <c r="D238" s="4" t="s">
        <v>25</v>
      </c>
      <c r="E238" s="4" t="s">
        <v>25</v>
      </c>
      <c r="F238" s="4" t="s">
        <v>25</v>
      </c>
      <c r="G238" s="4" t="s">
        <v>69</v>
      </c>
      <c r="H238" s="4" t="s">
        <v>25</v>
      </c>
      <c r="I238" s="5">
        <v>44378</v>
      </c>
      <c r="J238" s="6">
        <v>63434</v>
      </c>
      <c r="K238" s="6">
        <v>63434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4" t="s">
        <v>65</v>
      </c>
      <c r="R238" s="4">
        <v>29432</v>
      </c>
      <c r="S238" s="4" t="s">
        <v>148</v>
      </c>
      <c r="U238" s="4">
        <v>27</v>
      </c>
      <c r="V238" s="4">
        <v>0</v>
      </c>
      <c r="W238" s="4">
        <v>0</v>
      </c>
    </row>
    <row r="239" spans="1:23" ht="11.25" customHeight="1" x14ac:dyDescent="0.25">
      <c r="A239" s="4" t="s">
        <v>21</v>
      </c>
      <c r="B239" s="4" t="s">
        <v>43</v>
      </c>
      <c r="C239" s="4" t="s">
        <v>63</v>
      </c>
      <c r="D239" s="4" t="s">
        <v>25</v>
      </c>
      <c r="E239" s="4" t="s">
        <v>25</v>
      </c>
      <c r="F239" s="4" t="s">
        <v>25</v>
      </c>
      <c r="G239" s="4" t="s">
        <v>64</v>
      </c>
      <c r="H239" s="4" t="s">
        <v>25</v>
      </c>
      <c r="I239" s="5">
        <v>44409</v>
      </c>
      <c r="J239" s="6">
        <v>157500</v>
      </c>
      <c r="K239" s="6">
        <v>157500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4" t="s">
        <v>65</v>
      </c>
      <c r="R239" s="4">
        <v>27250</v>
      </c>
      <c r="S239" s="4" t="s">
        <v>149</v>
      </c>
      <c r="U239" s="4">
        <v>27</v>
      </c>
      <c r="V239" s="4">
        <v>0</v>
      </c>
      <c r="W239" s="4">
        <v>0</v>
      </c>
    </row>
    <row r="240" spans="1:23" ht="11.25" customHeight="1" x14ac:dyDescent="0.25">
      <c r="A240" s="4" t="s">
        <v>21</v>
      </c>
      <c r="B240" s="4" t="s">
        <v>43</v>
      </c>
      <c r="C240" s="4" t="s">
        <v>63</v>
      </c>
      <c r="D240" s="4" t="s">
        <v>25</v>
      </c>
      <c r="E240" s="4" t="s">
        <v>25</v>
      </c>
      <c r="F240" s="4" t="s">
        <v>25</v>
      </c>
      <c r="G240" s="4" t="s">
        <v>66</v>
      </c>
      <c r="H240" s="4" t="s">
        <v>25</v>
      </c>
      <c r="I240" s="5">
        <v>44409</v>
      </c>
      <c r="J240" s="6">
        <v>60000</v>
      </c>
      <c r="K240" s="6">
        <v>60000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4" t="s">
        <v>65</v>
      </c>
      <c r="R240" s="4">
        <v>29272</v>
      </c>
      <c r="S240" s="4" t="s">
        <v>149</v>
      </c>
      <c r="U240" s="4">
        <v>27</v>
      </c>
      <c r="V240" s="4">
        <v>0</v>
      </c>
      <c r="W240" s="4">
        <v>0</v>
      </c>
    </row>
    <row r="241" spans="1:23" ht="11.25" customHeight="1" x14ac:dyDescent="0.25">
      <c r="A241" s="4" t="s">
        <v>21</v>
      </c>
      <c r="B241" s="4" t="s">
        <v>43</v>
      </c>
      <c r="C241" s="4" t="s">
        <v>63</v>
      </c>
      <c r="D241" s="4" t="s">
        <v>25</v>
      </c>
      <c r="E241" s="4" t="s">
        <v>25</v>
      </c>
      <c r="F241" s="4" t="s">
        <v>25</v>
      </c>
      <c r="G241" s="4" t="s">
        <v>67</v>
      </c>
      <c r="H241" s="4" t="s">
        <v>25</v>
      </c>
      <c r="I241" s="5">
        <v>44409</v>
      </c>
      <c r="J241" s="6">
        <v>60000</v>
      </c>
      <c r="K241" s="6">
        <v>60000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4" t="s">
        <v>65</v>
      </c>
      <c r="R241" s="4">
        <v>29276</v>
      </c>
      <c r="S241" s="4" t="s">
        <v>149</v>
      </c>
      <c r="U241" s="4">
        <v>27</v>
      </c>
      <c r="V241" s="4">
        <v>0</v>
      </c>
      <c r="W241" s="4">
        <v>0</v>
      </c>
    </row>
    <row r="242" spans="1:23" ht="11.25" customHeight="1" x14ac:dyDescent="0.25">
      <c r="A242" s="4" t="s">
        <v>21</v>
      </c>
      <c r="B242" s="4" t="s">
        <v>43</v>
      </c>
      <c r="C242" s="4" t="s">
        <v>63</v>
      </c>
      <c r="D242" s="4" t="s">
        <v>25</v>
      </c>
      <c r="E242" s="4" t="s">
        <v>25</v>
      </c>
      <c r="F242" s="4" t="s">
        <v>25</v>
      </c>
      <c r="G242" s="4" t="s">
        <v>68</v>
      </c>
      <c r="H242" s="4" t="s">
        <v>25</v>
      </c>
      <c r="I242" s="5">
        <v>44409</v>
      </c>
      <c r="J242" s="6">
        <v>60000</v>
      </c>
      <c r="K242" s="6">
        <v>60000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4" t="s">
        <v>65</v>
      </c>
      <c r="R242" s="4">
        <v>29361</v>
      </c>
      <c r="S242" s="4" t="s">
        <v>149</v>
      </c>
      <c r="U242" s="4">
        <v>27</v>
      </c>
      <c r="V242" s="4">
        <v>0</v>
      </c>
      <c r="W242" s="4">
        <v>0</v>
      </c>
    </row>
    <row r="243" spans="1:23" ht="11.25" customHeight="1" x14ac:dyDescent="0.25">
      <c r="A243" s="4" t="s">
        <v>21</v>
      </c>
      <c r="B243" s="4" t="s">
        <v>43</v>
      </c>
      <c r="C243" s="4" t="s">
        <v>63</v>
      </c>
      <c r="D243" s="4" t="s">
        <v>25</v>
      </c>
      <c r="E243" s="4" t="s">
        <v>25</v>
      </c>
      <c r="F243" s="4" t="s">
        <v>25</v>
      </c>
      <c r="G243" s="4" t="s">
        <v>69</v>
      </c>
      <c r="H243" s="4" t="s">
        <v>25</v>
      </c>
      <c r="I243" s="5">
        <v>44409</v>
      </c>
      <c r="J243" s="6">
        <v>63434</v>
      </c>
      <c r="K243" s="6">
        <v>63434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4" t="s">
        <v>65</v>
      </c>
      <c r="R243" s="4">
        <v>29432</v>
      </c>
      <c r="S243" s="4" t="s">
        <v>149</v>
      </c>
      <c r="U243" s="4">
        <v>27</v>
      </c>
      <c r="V243" s="4">
        <v>0</v>
      </c>
      <c r="W243" s="4">
        <v>0</v>
      </c>
    </row>
    <row r="244" spans="1:23" ht="11.25" customHeight="1" x14ac:dyDescent="0.25">
      <c r="A244" s="4" t="s">
        <v>21</v>
      </c>
      <c r="B244" s="4" t="s">
        <v>43</v>
      </c>
      <c r="C244" s="4" t="s">
        <v>63</v>
      </c>
      <c r="D244" s="4" t="s">
        <v>25</v>
      </c>
      <c r="E244" s="4" t="s">
        <v>25</v>
      </c>
      <c r="F244" s="4" t="s">
        <v>25</v>
      </c>
      <c r="G244" s="4" t="s">
        <v>64</v>
      </c>
      <c r="H244" s="4" t="s">
        <v>25</v>
      </c>
      <c r="I244" s="5">
        <v>44440</v>
      </c>
      <c r="J244" s="6">
        <v>157500</v>
      </c>
      <c r="K244" s="6">
        <v>157500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4" t="s">
        <v>65</v>
      </c>
      <c r="R244" s="4">
        <v>27250</v>
      </c>
      <c r="S244" s="4" t="s">
        <v>150</v>
      </c>
      <c r="U244" s="4">
        <v>27</v>
      </c>
      <c r="V244" s="4">
        <v>0</v>
      </c>
      <c r="W244" s="4">
        <v>0</v>
      </c>
    </row>
    <row r="245" spans="1:23" ht="11.25" customHeight="1" x14ac:dyDescent="0.25">
      <c r="A245" s="4" t="s">
        <v>21</v>
      </c>
      <c r="B245" s="4" t="s">
        <v>43</v>
      </c>
      <c r="C245" s="4" t="s">
        <v>63</v>
      </c>
      <c r="D245" s="4" t="s">
        <v>25</v>
      </c>
      <c r="E245" s="4" t="s">
        <v>25</v>
      </c>
      <c r="F245" s="4" t="s">
        <v>25</v>
      </c>
      <c r="G245" s="4" t="s">
        <v>66</v>
      </c>
      <c r="H245" s="4" t="s">
        <v>25</v>
      </c>
      <c r="I245" s="5">
        <v>44440</v>
      </c>
      <c r="J245" s="6">
        <v>60000</v>
      </c>
      <c r="K245" s="6">
        <v>60000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4" t="s">
        <v>65</v>
      </c>
      <c r="R245" s="4">
        <v>29272</v>
      </c>
      <c r="S245" s="4" t="s">
        <v>150</v>
      </c>
      <c r="U245" s="4">
        <v>27</v>
      </c>
      <c r="V245" s="4">
        <v>0</v>
      </c>
      <c r="W245" s="4">
        <v>0</v>
      </c>
    </row>
    <row r="246" spans="1:23" ht="11.25" customHeight="1" x14ac:dyDescent="0.25">
      <c r="A246" s="4" t="s">
        <v>21</v>
      </c>
      <c r="B246" s="4" t="s">
        <v>43</v>
      </c>
      <c r="C246" s="4" t="s">
        <v>63</v>
      </c>
      <c r="D246" s="4" t="s">
        <v>25</v>
      </c>
      <c r="E246" s="4" t="s">
        <v>25</v>
      </c>
      <c r="F246" s="4" t="s">
        <v>25</v>
      </c>
      <c r="G246" s="4" t="s">
        <v>67</v>
      </c>
      <c r="H246" s="4" t="s">
        <v>25</v>
      </c>
      <c r="I246" s="5">
        <v>44440</v>
      </c>
      <c r="J246" s="6">
        <v>60000</v>
      </c>
      <c r="K246" s="6">
        <v>60000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4" t="s">
        <v>65</v>
      </c>
      <c r="R246" s="4">
        <v>29276</v>
      </c>
      <c r="S246" s="4" t="s">
        <v>150</v>
      </c>
      <c r="U246" s="4">
        <v>27</v>
      </c>
      <c r="V246" s="4">
        <v>0</v>
      </c>
      <c r="W246" s="4">
        <v>0</v>
      </c>
    </row>
    <row r="247" spans="1:23" ht="11.25" customHeight="1" x14ac:dyDescent="0.25">
      <c r="A247" s="4" t="s">
        <v>21</v>
      </c>
      <c r="B247" s="4" t="s">
        <v>43</v>
      </c>
      <c r="C247" s="4" t="s">
        <v>63</v>
      </c>
      <c r="D247" s="4" t="s">
        <v>25</v>
      </c>
      <c r="E247" s="4" t="s">
        <v>25</v>
      </c>
      <c r="F247" s="4" t="s">
        <v>25</v>
      </c>
      <c r="G247" s="4" t="s">
        <v>68</v>
      </c>
      <c r="H247" s="4" t="s">
        <v>25</v>
      </c>
      <c r="I247" s="5">
        <v>44440</v>
      </c>
      <c r="J247" s="6">
        <v>60000</v>
      </c>
      <c r="K247" s="6">
        <v>60000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4" t="s">
        <v>65</v>
      </c>
      <c r="R247" s="4">
        <v>29361</v>
      </c>
      <c r="S247" s="4" t="s">
        <v>150</v>
      </c>
      <c r="U247" s="4">
        <v>27</v>
      </c>
      <c r="V247" s="4">
        <v>0</v>
      </c>
      <c r="W247" s="4">
        <v>0</v>
      </c>
    </row>
    <row r="248" spans="1:23" ht="11.25" customHeight="1" x14ac:dyDescent="0.25">
      <c r="A248" s="4" t="s">
        <v>21</v>
      </c>
      <c r="B248" s="4" t="s">
        <v>43</v>
      </c>
      <c r="C248" s="4" t="s">
        <v>63</v>
      </c>
      <c r="D248" s="4" t="s">
        <v>25</v>
      </c>
      <c r="E248" s="4" t="s">
        <v>25</v>
      </c>
      <c r="F248" s="4" t="s">
        <v>25</v>
      </c>
      <c r="G248" s="4" t="s">
        <v>69</v>
      </c>
      <c r="H248" s="4" t="s">
        <v>25</v>
      </c>
      <c r="I248" s="5">
        <v>44440</v>
      </c>
      <c r="J248" s="6">
        <v>63434</v>
      </c>
      <c r="K248" s="6">
        <v>63434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4" t="s">
        <v>65</v>
      </c>
      <c r="R248" s="4">
        <v>29432</v>
      </c>
      <c r="S248" s="4" t="s">
        <v>150</v>
      </c>
      <c r="U248" s="4">
        <v>27</v>
      </c>
      <c r="V248" s="4">
        <v>0</v>
      </c>
      <c r="W248" s="4">
        <v>0</v>
      </c>
    </row>
    <row r="249" spans="1:23" ht="11.25" customHeight="1" x14ac:dyDescent="0.25">
      <c r="A249" s="4" t="s">
        <v>59</v>
      </c>
      <c r="B249" s="4" t="s">
        <v>43</v>
      </c>
      <c r="C249" s="4" t="s">
        <v>63</v>
      </c>
      <c r="D249" s="4" t="s">
        <v>25</v>
      </c>
      <c r="E249" s="4" t="s">
        <v>25</v>
      </c>
      <c r="F249" s="4" t="s">
        <v>25</v>
      </c>
      <c r="G249" s="4" t="s">
        <v>64</v>
      </c>
      <c r="H249" s="4" t="s">
        <v>25</v>
      </c>
      <c r="I249" s="5">
        <v>44470</v>
      </c>
      <c r="J249" s="6">
        <v>157500</v>
      </c>
      <c r="K249" s="6">
        <v>157500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4" t="s">
        <v>65</v>
      </c>
      <c r="R249" s="4">
        <v>27250</v>
      </c>
      <c r="S249" s="4" t="s">
        <v>151</v>
      </c>
      <c r="U249" s="4">
        <v>27</v>
      </c>
      <c r="V249" s="4">
        <v>0</v>
      </c>
      <c r="W249" s="4">
        <v>0</v>
      </c>
    </row>
    <row r="250" spans="1:23" ht="11.25" customHeight="1" x14ac:dyDescent="0.25">
      <c r="A250" s="4" t="s">
        <v>59</v>
      </c>
      <c r="B250" s="4" t="s">
        <v>43</v>
      </c>
      <c r="C250" s="4" t="s">
        <v>63</v>
      </c>
      <c r="D250" s="4" t="s">
        <v>25</v>
      </c>
      <c r="E250" s="4" t="s">
        <v>25</v>
      </c>
      <c r="F250" s="4" t="s">
        <v>25</v>
      </c>
      <c r="G250" s="4" t="s">
        <v>66</v>
      </c>
      <c r="H250" s="4" t="s">
        <v>25</v>
      </c>
      <c r="I250" s="5">
        <v>44470</v>
      </c>
      <c r="J250" s="6">
        <v>60000</v>
      </c>
      <c r="K250" s="6">
        <v>60000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4" t="s">
        <v>65</v>
      </c>
      <c r="R250" s="4">
        <v>29272</v>
      </c>
      <c r="S250" s="4" t="s">
        <v>151</v>
      </c>
      <c r="U250" s="4">
        <v>27</v>
      </c>
      <c r="V250" s="4">
        <v>0</v>
      </c>
      <c r="W250" s="4">
        <v>0</v>
      </c>
    </row>
    <row r="251" spans="1:23" ht="11.25" customHeight="1" x14ac:dyDescent="0.25">
      <c r="A251" s="4" t="s">
        <v>59</v>
      </c>
      <c r="B251" s="4" t="s">
        <v>43</v>
      </c>
      <c r="C251" s="4" t="s">
        <v>63</v>
      </c>
      <c r="D251" s="4" t="s">
        <v>25</v>
      </c>
      <c r="E251" s="4" t="s">
        <v>25</v>
      </c>
      <c r="F251" s="4" t="s">
        <v>25</v>
      </c>
      <c r="G251" s="4" t="s">
        <v>67</v>
      </c>
      <c r="H251" s="4" t="s">
        <v>25</v>
      </c>
      <c r="I251" s="5">
        <v>44470</v>
      </c>
      <c r="J251" s="6">
        <v>60000</v>
      </c>
      <c r="K251" s="6">
        <v>60000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4" t="s">
        <v>65</v>
      </c>
      <c r="R251" s="4">
        <v>29276</v>
      </c>
      <c r="S251" s="4" t="s">
        <v>151</v>
      </c>
      <c r="U251" s="4">
        <v>27</v>
      </c>
      <c r="V251" s="4">
        <v>0</v>
      </c>
      <c r="W251" s="4">
        <v>0</v>
      </c>
    </row>
    <row r="252" spans="1:23" ht="11.25" customHeight="1" x14ac:dyDescent="0.25">
      <c r="A252" s="4" t="s">
        <v>59</v>
      </c>
      <c r="B252" s="4" t="s">
        <v>43</v>
      </c>
      <c r="C252" s="4" t="s">
        <v>63</v>
      </c>
      <c r="D252" s="4" t="s">
        <v>25</v>
      </c>
      <c r="E252" s="4" t="s">
        <v>25</v>
      </c>
      <c r="F252" s="4" t="s">
        <v>25</v>
      </c>
      <c r="G252" s="4" t="s">
        <v>68</v>
      </c>
      <c r="H252" s="4" t="s">
        <v>25</v>
      </c>
      <c r="I252" s="5">
        <v>44470</v>
      </c>
      <c r="J252" s="6">
        <v>60000</v>
      </c>
      <c r="K252" s="6">
        <v>60000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4" t="s">
        <v>65</v>
      </c>
      <c r="R252" s="4">
        <v>29361</v>
      </c>
      <c r="S252" s="4" t="s">
        <v>151</v>
      </c>
      <c r="U252" s="4">
        <v>27</v>
      </c>
      <c r="V252" s="4">
        <v>0</v>
      </c>
      <c r="W252" s="4">
        <v>0</v>
      </c>
    </row>
    <row r="253" spans="1:23" ht="11.25" customHeight="1" x14ac:dyDescent="0.25">
      <c r="A253" s="4" t="s">
        <v>59</v>
      </c>
      <c r="B253" s="4" t="s">
        <v>43</v>
      </c>
      <c r="C253" s="4" t="s">
        <v>63</v>
      </c>
      <c r="D253" s="4" t="s">
        <v>25</v>
      </c>
      <c r="E253" s="4" t="s">
        <v>25</v>
      </c>
      <c r="F253" s="4" t="s">
        <v>25</v>
      </c>
      <c r="G253" s="4" t="s">
        <v>69</v>
      </c>
      <c r="H253" s="4" t="s">
        <v>25</v>
      </c>
      <c r="I253" s="5">
        <v>44470</v>
      </c>
      <c r="J253" s="6">
        <v>63434</v>
      </c>
      <c r="K253" s="6">
        <v>63434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4" t="s">
        <v>65</v>
      </c>
      <c r="R253" s="4">
        <v>29432</v>
      </c>
      <c r="S253" s="4" t="s">
        <v>151</v>
      </c>
      <c r="U253" s="4">
        <v>27</v>
      </c>
      <c r="V253" s="4">
        <v>0</v>
      </c>
      <c r="W253" s="4">
        <v>0</v>
      </c>
    </row>
    <row r="254" spans="1:23" ht="11.25" customHeight="1" x14ac:dyDescent="0.25">
      <c r="A254" s="4" t="s">
        <v>21</v>
      </c>
      <c r="B254" s="4" t="s">
        <v>35</v>
      </c>
      <c r="C254" s="4" t="s">
        <v>44</v>
      </c>
      <c r="D254" s="4" t="s">
        <v>45</v>
      </c>
      <c r="E254" s="4" t="s">
        <v>25</v>
      </c>
      <c r="F254" s="4" t="s">
        <v>25</v>
      </c>
      <c r="G254" s="4" t="s">
        <v>25</v>
      </c>
      <c r="H254" s="4" t="s">
        <v>38</v>
      </c>
      <c r="I254" s="5">
        <v>44136</v>
      </c>
      <c r="J254" s="6">
        <v>17466</v>
      </c>
      <c r="K254" s="6">
        <v>17466</v>
      </c>
      <c r="L254" s="6">
        <v>4712.63</v>
      </c>
      <c r="M254" s="6">
        <v>4712.63</v>
      </c>
      <c r="N254" s="6">
        <v>4712.63</v>
      </c>
      <c r="O254" s="6">
        <v>4712.63</v>
      </c>
      <c r="P254" s="6">
        <v>0</v>
      </c>
      <c r="Q254" s="4" t="s">
        <v>26</v>
      </c>
      <c r="R254" s="4">
        <v>0</v>
      </c>
      <c r="S254" s="4" t="s">
        <v>152</v>
      </c>
      <c r="T254" s="4" t="s">
        <v>433</v>
      </c>
      <c r="U254" s="4">
        <v>29</v>
      </c>
      <c r="V254" s="4">
        <v>30</v>
      </c>
      <c r="W254" s="4">
        <v>67</v>
      </c>
    </row>
    <row r="255" spans="1:23" ht="11.25" customHeight="1" x14ac:dyDescent="0.25">
      <c r="A255" s="4" t="s">
        <v>28</v>
      </c>
      <c r="B255" s="4" t="s">
        <v>35</v>
      </c>
      <c r="C255" s="4" t="s">
        <v>44</v>
      </c>
      <c r="D255" s="4" t="s">
        <v>45</v>
      </c>
      <c r="E255" s="4" t="s">
        <v>25</v>
      </c>
      <c r="F255" s="4" t="s">
        <v>25</v>
      </c>
      <c r="G255" s="4" t="s">
        <v>25</v>
      </c>
      <c r="H255" s="4" t="s">
        <v>38</v>
      </c>
      <c r="I255" s="5">
        <v>44136</v>
      </c>
      <c r="J255" s="6">
        <v>835</v>
      </c>
      <c r="K255" s="6">
        <v>835</v>
      </c>
      <c r="L255" s="6">
        <v>134.01300000000001</v>
      </c>
      <c r="M255" s="6">
        <v>134.01300000000001</v>
      </c>
      <c r="N255" s="6">
        <v>134.01300000000001</v>
      </c>
      <c r="O255" s="6">
        <v>134.01300000000001</v>
      </c>
      <c r="P255" s="6">
        <v>0</v>
      </c>
      <c r="Q255" s="4" t="s">
        <v>26</v>
      </c>
      <c r="R255" s="4">
        <v>0</v>
      </c>
      <c r="S255" s="4" t="s">
        <v>152</v>
      </c>
      <c r="T255" s="4" t="s">
        <v>433</v>
      </c>
      <c r="U255" s="4">
        <v>29</v>
      </c>
      <c r="V255" s="4">
        <v>30</v>
      </c>
      <c r="W255" s="4">
        <v>67</v>
      </c>
    </row>
    <row r="256" spans="1:23" ht="11.25" customHeight="1" x14ac:dyDescent="0.25">
      <c r="A256" s="4" t="s">
        <v>30</v>
      </c>
      <c r="B256" s="4" t="s">
        <v>35</v>
      </c>
      <c r="C256" s="4" t="s">
        <v>44</v>
      </c>
      <c r="D256" s="4" t="s">
        <v>45</v>
      </c>
      <c r="E256" s="4" t="s">
        <v>25</v>
      </c>
      <c r="F256" s="4" t="s">
        <v>25</v>
      </c>
      <c r="G256" s="4" t="s">
        <v>25</v>
      </c>
      <c r="H256" s="4" t="s">
        <v>38</v>
      </c>
      <c r="I256" s="5">
        <v>44136</v>
      </c>
      <c r="J256" s="6">
        <v>660</v>
      </c>
      <c r="K256" s="6">
        <v>660</v>
      </c>
      <c r="L256" s="6">
        <v>116.05800000000001</v>
      </c>
      <c r="M256" s="6">
        <v>116.05800000000001</v>
      </c>
      <c r="N256" s="6">
        <v>116.05800000000001</v>
      </c>
      <c r="O256" s="6">
        <v>116.05800000000001</v>
      </c>
      <c r="P256" s="6">
        <v>0</v>
      </c>
      <c r="Q256" s="4" t="s">
        <v>26</v>
      </c>
      <c r="R256" s="4">
        <v>0</v>
      </c>
      <c r="S256" s="4" t="s">
        <v>152</v>
      </c>
      <c r="T256" s="4" t="s">
        <v>433</v>
      </c>
      <c r="U256" s="4">
        <v>29</v>
      </c>
      <c r="V256" s="4">
        <v>30</v>
      </c>
      <c r="W256" s="4">
        <v>67</v>
      </c>
    </row>
    <row r="257" spans="1:23" ht="11.25" customHeight="1" x14ac:dyDescent="0.25">
      <c r="A257" s="4" t="s">
        <v>21</v>
      </c>
      <c r="B257" s="4" t="s">
        <v>35</v>
      </c>
      <c r="C257" s="4" t="s">
        <v>44</v>
      </c>
      <c r="D257" s="4" t="s">
        <v>45</v>
      </c>
      <c r="E257" s="4" t="s">
        <v>25</v>
      </c>
      <c r="F257" s="4" t="s">
        <v>25</v>
      </c>
      <c r="G257" s="4" t="s">
        <v>25</v>
      </c>
      <c r="H257" s="4" t="s">
        <v>38</v>
      </c>
      <c r="I257" s="5">
        <v>44166</v>
      </c>
      <c r="J257" s="6">
        <v>17419</v>
      </c>
      <c r="K257" s="6">
        <v>17419</v>
      </c>
      <c r="L257" s="6">
        <v>4632.241</v>
      </c>
      <c r="M257" s="6">
        <v>4632.241</v>
      </c>
      <c r="N257" s="6">
        <v>4632.241</v>
      </c>
      <c r="O257" s="6">
        <v>4632.241</v>
      </c>
      <c r="P257" s="6">
        <v>0</v>
      </c>
      <c r="Q257" s="4" t="s">
        <v>26</v>
      </c>
      <c r="R257" s="4">
        <v>0</v>
      </c>
      <c r="S257" s="4" t="s">
        <v>153</v>
      </c>
      <c r="T257" s="4" t="s">
        <v>434</v>
      </c>
      <c r="U257" s="4">
        <v>29</v>
      </c>
      <c r="V257" s="4">
        <v>30</v>
      </c>
      <c r="W257" s="4">
        <v>67</v>
      </c>
    </row>
    <row r="258" spans="1:23" ht="11.25" customHeight="1" x14ac:dyDescent="0.25">
      <c r="A258" s="4" t="s">
        <v>28</v>
      </c>
      <c r="B258" s="4" t="s">
        <v>35</v>
      </c>
      <c r="C258" s="4" t="s">
        <v>44</v>
      </c>
      <c r="D258" s="4" t="s">
        <v>45</v>
      </c>
      <c r="E258" s="4" t="s">
        <v>25</v>
      </c>
      <c r="F258" s="4" t="s">
        <v>25</v>
      </c>
      <c r="G258" s="4" t="s">
        <v>25</v>
      </c>
      <c r="H258" s="4" t="s">
        <v>38</v>
      </c>
      <c r="I258" s="5">
        <v>44166</v>
      </c>
      <c r="J258" s="6">
        <v>919</v>
      </c>
      <c r="K258" s="6">
        <v>919</v>
      </c>
      <c r="L258" s="6">
        <v>115.723</v>
      </c>
      <c r="M258" s="6">
        <v>115.723</v>
      </c>
      <c r="N258" s="6">
        <v>115.723</v>
      </c>
      <c r="O258" s="6">
        <v>115.723</v>
      </c>
      <c r="P258" s="6">
        <v>0</v>
      </c>
      <c r="Q258" s="4" t="s">
        <v>26</v>
      </c>
      <c r="R258" s="4">
        <v>0</v>
      </c>
      <c r="S258" s="4" t="s">
        <v>153</v>
      </c>
      <c r="T258" s="4" t="s">
        <v>434</v>
      </c>
      <c r="U258" s="4">
        <v>29</v>
      </c>
      <c r="V258" s="4">
        <v>30</v>
      </c>
      <c r="W258" s="4">
        <v>67</v>
      </c>
    </row>
    <row r="259" spans="1:23" ht="11.25" customHeight="1" x14ac:dyDescent="0.25">
      <c r="A259" s="4" t="s">
        <v>30</v>
      </c>
      <c r="B259" s="4" t="s">
        <v>35</v>
      </c>
      <c r="C259" s="4" t="s">
        <v>44</v>
      </c>
      <c r="D259" s="4" t="s">
        <v>45</v>
      </c>
      <c r="E259" s="4" t="s">
        <v>25</v>
      </c>
      <c r="F259" s="4" t="s">
        <v>25</v>
      </c>
      <c r="G259" s="4" t="s">
        <v>25</v>
      </c>
      <c r="H259" s="4" t="s">
        <v>38</v>
      </c>
      <c r="I259" s="5">
        <v>44166</v>
      </c>
      <c r="J259" s="6">
        <v>561</v>
      </c>
      <c r="K259" s="6">
        <v>561</v>
      </c>
      <c r="L259" s="6">
        <v>87.661000000000001</v>
      </c>
      <c r="M259" s="6">
        <v>87.661000000000001</v>
      </c>
      <c r="N259" s="6">
        <v>87.661000000000001</v>
      </c>
      <c r="O259" s="6">
        <v>87.661000000000001</v>
      </c>
      <c r="P259" s="6">
        <v>0</v>
      </c>
      <c r="Q259" s="4" t="s">
        <v>26</v>
      </c>
      <c r="R259" s="4">
        <v>0</v>
      </c>
      <c r="S259" s="4" t="s">
        <v>153</v>
      </c>
      <c r="T259" s="4" t="s">
        <v>434</v>
      </c>
      <c r="U259" s="4">
        <v>29</v>
      </c>
      <c r="V259" s="4">
        <v>30</v>
      </c>
      <c r="W259" s="4">
        <v>67</v>
      </c>
    </row>
    <row r="260" spans="1:23" ht="11.25" customHeight="1" x14ac:dyDescent="0.25">
      <c r="A260" s="4" t="s">
        <v>21</v>
      </c>
      <c r="B260" s="4" t="s">
        <v>35</v>
      </c>
      <c r="C260" s="4" t="s">
        <v>44</v>
      </c>
      <c r="D260" s="4" t="s">
        <v>45</v>
      </c>
      <c r="E260" s="4" t="s">
        <v>25</v>
      </c>
      <c r="F260" s="4" t="s">
        <v>25</v>
      </c>
      <c r="G260" s="4" t="s">
        <v>25</v>
      </c>
      <c r="H260" s="4" t="s">
        <v>38</v>
      </c>
      <c r="I260" s="5">
        <v>44197</v>
      </c>
      <c r="J260" s="6">
        <v>17296</v>
      </c>
      <c r="K260" s="6">
        <v>17296</v>
      </c>
      <c r="L260" s="6">
        <v>4437.4889999999996</v>
      </c>
      <c r="M260" s="6">
        <v>4437.4889999999996</v>
      </c>
      <c r="N260" s="6">
        <v>4437.4889999999996</v>
      </c>
      <c r="O260" s="6">
        <v>4437.4889999999996</v>
      </c>
      <c r="P260" s="6">
        <v>0</v>
      </c>
      <c r="Q260" s="4" t="s">
        <v>26</v>
      </c>
      <c r="R260" s="4">
        <v>0</v>
      </c>
      <c r="S260" s="4" t="s">
        <v>154</v>
      </c>
      <c r="T260" s="4" t="s">
        <v>435</v>
      </c>
      <c r="U260" s="4">
        <v>29</v>
      </c>
      <c r="V260" s="4">
        <v>30</v>
      </c>
      <c r="W260" s="4">
        <v>67</v>
      </c>
    </row>
    <row r="261" spans="1:23" ht="11.25" customHeight="1" x14ac:dyDescent="0.25">
      <c r="A261" s="4" t="s">
        <v>27</v>
      </c>
      <c r="B261" s="4" t="s">
        <v>35</v>
      </c>
      <c r="C261" s="4" t="s">
        <v>44</v>
      </c>
      <c r="D261" s="4" t="s">
        <v>45</v>
      </c>
      <c r="E261" s="4" t="s">
        <v>25</v>
      </c>
      <c r="F261" s="4" t="s">
        <v>25</v>
      </c>
      <c r="G261" s="4" t="s">
        <v>25</v>
      </c>
      <c r="H261" s="4" t="s">
        <v>38</v>
      </c>
      <c r="I261" s="5">
        <v>44197</v>
      </c>
      <c r="J261" s="6">
        <v>-7</v>
      </c>
      <c r="K261" s="6">
        <v>-7</v>
      </c>
      <c r="L261" s="6">
        <v>-76.326999999999998</v>
      </c>
      <c r="M261" s="6">
        <v>-76.326999999999998</v>
      </c>
      <c r="N261" s="6">
        <v>-76.326999999999998</v>
      </c>
      <c r="O261" s="6">
        <v>-76.326999999999998</v>
      </c>
      <c r="P261" s="6">
        <v>0</v>
      </c>
      <c r="Q261" s="4" t="s">
        <v>26</v>
      </c>
      <c r="R261" s="4">
        <v>0</v>
      </c>
      <c r="S261" s="4" t="s">
        <v>154</v>
      </c>
      <c r="T261" s="4" t="s">
        <v>435</v>
      </c>
      <c r="U261" s="4">
        <v>29</v>
      </c>
      <c r="V261" s="4">
        <v>30</v>
      </c>
      <c r="W261" s="4">
        <v>67</v>
      </c>
    </row>
    <row r="262" spans="1:23" ht="11.25" customHeight="1" x14ac:dyDescent="0.25">
      <c r="A262" s="4" t="s">
        <v>28</v>
      </c>
      <c r="B262" s="4" t="s">
        <v>35</v>
      </c>
      <c r="C262" s="4" t="s">
        <v>44</v>
      </c>
      <c r="D262" s="4" t="s">
        <v>45</v>
      </c>
      <c r="E262" s="4" t="s">
        <v>25</v>
      </c>
      <c r="F262" s="4" t="s">
        <v>25</v>
      </c>
      <c r="G262" s="4" t="s">
        <v>25</v>
      </c>
      <c r="H262" s="4" t="s">
        <v>38</v>
      </c>
      <c r="I262" s="5">
        <v>44197</v>
      </c>
      <c r="J262" s="6">
        <v>1009</v>
      </c>
      <c r="K262" s="6">
        <v>1009</v>
      </c>
      <c r="L262" s="6">
        <v>99.468000000000004</v>
      </c>
      <c r="M262" s="6">
        <v>99.468000000000004</v>
      </c>
      <c r="N262" s="6">
        <v>99.468000000000004</v>
      </c>
      <c r="O262" s="6">
        <v>99.468000000000004</v>
      </c>
      <c r="P262" s="6">
        <v>0</v>
      </c>
      <c r="Q262" s="4" t="s">
        <v>26</v>
      </c>
      <c r="R262" s="4">
        <v>0</v>
      </c>
      <c r="S262" s="4" t="s">
        <v>154</v>
      </c>
      <c r="T262" s="4" t="s">
        <v>435</v>
      </c>
      <c r="U262" s="4">
        <v>29</v>
      </c>
      <c r="V262" s="4">
        <v>30</v>
      </c>
      <c r="W262" s="4">
        <v>67</v>
      </c>
    </row>
    <row r="263" spans="1:23" ht="11.25" customHeight="1" x14ac:dyDescent="0.25">
      <c r="A263" s="4" t="s">
        <v>30</v>
      </c>
      <c r="B263" s="4" t="s">
        <v>35</v>
      </c>
      <c r="C263" s="4" t="s">
        <v>44</v>
      </c>
      <c r="D263" s="4" t="s">
        <v>45</v>
      </c>
      <c r="E263" s="4" t="s">
        <v>25</v>
      </c>
      <c r="F263" s="4" t="s">
        <v>25</v>
      </c>
      <c r="G263" s="4" t="s">
        <v>25</v>
      </c>
      <c r="H263" s="4" t="s">
        <v>38</v>
      </c>
      <c r="I263" s="5">
        <v>44197</v>
      </c>
      <c r="J263" s="6">
        <v>548</v>
      </c>
      <c r="K263" s="6">
        <v>548</v>
      </c>
      <c r="L263" s="6">
        <v>74.138999999999996</v>
      </c>
      <c r="M263" s="6">
        <v>74.138999999999996</v>
      </c>
      <c r="N263" s="6">
        <v>74.138999999999996</v>
      </c>
      <c r="O263" s="6">
        <v>74.138999999999996</v>
      </c>
      <c r="P263" s="6">
        <v>0</v>
      </c>
      <c r="Q263" s="4" t="s">
        <v>26</v>
      </c>
      <c r="R263" s="4">
        <v>0</v>
      </c>
      <c r="S263" s="4" t="s">
        <v>154</v>
      </c>
      <c r="T263" s="4" t="s">
        <v>435</v>
      </c>
      <c r="U263" s="4">
        <v>29</v>
      </c>
      <c r="V263" s="4">
        <v>30</v>
      </c>
      <c r="W263" s="4">
        <v>67</v>
      </c>
    </row>
    <row r="264" spans="1:23" ht="11.25" customHeight="1" x14ac:dyDescent="0.25">
      <c r="A264" s="4" t="s">
        <v>21</v>
      </c>
      <c r="B264" s="4" t="s">
        <v>35</v>
      </c>
      <c r="C264" s="4" t="s">
        <v>44</v>
      </c>
      <c r="D264" s="4" t="s">
        <v>45</v>
      </c>
      <c r="E264" s="4" t="s">
        <v>25</v>
      </c>
      <c r="F264" s="4" t="s">
        <v>25</v>
      </c>
      <c r="G264" s="4" t="s">
        <v>25</v>
      </c>
      <c r="H264" s="4" t="s">
        <v>38</v>
      </c>
      <c r="I264" s="5">
        <v>44228</v>
      </c>
      <c r="J264" s="6">
        <v>16535</v>
      </c>
      <c r="K264" s="6">
        <v>16535</v>
      </c>
      <c r="L264" s="6">
        <v>3780.259</v>
      </c>
      <c r="M264" s="6">
        <v>3780.259</v>
      </c>
      <c r="N264" s="6">
        <v>3780.259</v>
      </c>
      <c r="O264" s="6">
        <v>3780.259</v>
      </c>
      <c r="P264" s="6">
        <v>0</v>
      </c>
      <c r="Q264" s="4" t="s">
        <v>26</v>
      </c>
      <c r="R264" s="4">
        <v>0</v>
      </c>
      <c r="S264" s="4" t="s">
        <v>155</v>
      </c>
      <c r="T264" s="4" t="s">
        <v>436</v>
      </c>
      <c r="U264" s="4">
        <v>29</v>
      </c>
      <c r="V264" s="4">
        <v>30</v>
      </c>
      <c r="W264" s="4">
        <v>67</v>
      </c>
    </row>
    <row r="265" spans="1:23" ht="11.25" customHeight="1" x14ac:dyDescent="0.25">
      <c r="A265" s="4" t="s">
        <v>28</v>
      </c>
      <c r="B265" s="4" t="s">
        <v>35</v>
      </c>
      <c r="C265" s="4" t="s">
        <v>44</v>
      </c>
      <c r="D265" s="4" t="s">
        <v>45</v>
      </c>
      <c r="E265" s="4" t="s">
        <v>25</v>
      </c>
      <c r="F265" s="4" t="s">
        <v>25</v>
      </c>
      <c r="G265" s="4" t="s">
        <v>25</v>
      </c>
      <c r="H265" s="4" t="s">
        <v>38</v>
      </c>
      <c r="I265" s="5">
        <v>44228</v>
      </c>
      <c r="J265" s="6">
        <v>1009</v>
      </c>
      <c r="K265" s="6">
        <v>1009</v>
      </c>
      <c r="L265" s="6">
        <v>79.911000000000001</v>
      </c>
      <c r="M265" s="6">
        <v>79.911000000000001</v>
      </c>
      <c r="N265" s="6">
        <v>79.911000000000001</v>
      </c>
      <c r="O265" s="6">
        <v>79.911000000000001</v>
      </c>
      <c r="P265" s="6">
        <v>0</v>
      </c>
      <c r="Q265" s="4" t="s">
        <v>26</v>
      </c>
      <c r="R265" s="4">
        <v>0</v>
      </c>
      <c r="S265" s="4" t="s">
        <v>155</v>
      </c>
      <c r="T265" s="4" t="s">
        <v>436</v>
      </c>
      <c r="U265" s="4">
        <v>29</v>
      </c>
      <c r="V265" s="4">
        <v>30</v>
      </c>
      <c r="W265" s="4">
        <v>67</v>
      </c>
    </row>
    <row r="266" spans="1:23" ht="11.25" customHeight="1" x14ac:dyDescent="0.25">
      <c r="A266" s="4" t="s">
        <v>30</v>
      </c>
      <c r="B266" s="4" t="s">
        <v>35</v>
      </c>
      <c r="C266" s="4" t="s">
        <v>44</v>
      </c>
      <c r="D266" s="4" t="s">
        <v>45</v>
      </c>
      <c r="E266" s="4" t="s">
        <v>25</v>
      </c>
      <c r="F266" s="4" t="s">
        <v>25</v>
      </c>
      <c r="G266" s="4" t="s">
        <v>25</v>
      </c>
      <c r="H266" s="4" t="s">
        <v>38</v>
      </c>
      <c r="I266" s="5">
        <v>44228</v>
      </c>
      <c r="J266" s="6">
        <v>573</v>
      </c>
      <c r="K266" s="6">
        <v>573</v>
      </c>
      <c r="L266" s="6">
        <v>69.676000000000002</v>
      </c>
      <c r="M266" s="6">
        <v>69.676000000000002</v>
      </c>
      <c r="N266" s="6">
        <v>69.676000000000002</v>
      </c>
      <c r="O266" s="6">
        <v>69.676000000000002</v>
      </c>
      <c r="P266" s="6">
        <v>0</v>
      </c>
      <c r="Q266" s="4" t="s">
        <v>26</v>
      </c>
      <c r="R266" s="4">
        <v>0</v>
      </c>
      <c r="S266" s="4" t="s">
        <v>155</v>
      </c>
      <c r="T266" s="4" t="s">
        <v>436</v>
      </c>
      <c r="U266" s="4">
        <v>29</v>
      </c>
      <c r="V266" s="4">
        <v>30</v>
      </c>
      <c r="W266" s="4">
        <v>67</v>
      </c>
    </row>
    <row r="267" spans="1:23" ht="11.25" customHeight="1" x14ac:dyDescent="0.25">
      <c r="A267" s="4" t="s">
        <v>21</v>
      </c>
      <c r="B267" s="4" t="s">
        <v>35</v>
      </c>
      <c r="C267" s="4" t="s">
        <v>44</v>
      </c>
      <c r="D267" s="4" t="s">
        <v>45</v>
      </c>
      <c r="E267" s="4" t="s">
        <v>25</v>
      </c>
      <c r="F267" s="4" t="s">
        <v>25</v>
      </c>
      <c r="G267" s="4" t="s">
        <v>25</v>
      </c>
      <c r="H267" s="4" t="s">
        <v>38</v>
      </c>
      <c r="I267" s="5">
        <v>44256</v>
      </c>
      <c r="J267" s="6">
        <v>14616</v>
      </c>
      <c r="K267" s="6">
        <v>14616</v>
      </c>
      <c r="L267" s="6">
        <v>4022.636</v>
      </c>
      <c r="M267" s="6">
        <v>4022.636</v>
      </c>
      <c r="N267" s="6">
        <v>4022.636</v>
      </c>
      <c r="O267" s="6">
        <v>4022.636</v>
      </c>
      <c r="P267" s="6">
        <v>0</v>
      </c>
      <c r="Q267" s="4" t="s">
        <v>26</v>
      </c>
      <c r="R267" s="4">
        <v>0</v>
      </c>
      <c r="S267" s="4" t="s">
        <v>156</v>
      </c>
      <c r="T267" s="4" t="s">
        <v>437</v>
      </c>
      <c r="U267" s="4">
        <v>29</v>
      </c>
      <c r="V267" s="4">
        <v>30</v>
      </c>
      <c r="W267" s="4">
        <v>67</v>
      </c>
    </row>
    <row r="268" spans="1:23" ht="11.25" customHeight="1" x14ac:dyDescent="0.25">
      <c r="A268" s="4" t="s">
        <v>27</v>
      </c>
      <c r="B268" s="4" t="s">
        <v>35</v>
      </c>
      <c r="C268" s="4" t="s">
        <v>44</v>
      </c>
      <c r="D268" s="4" t="s">
        <v>45</v>
      </c>
      <c r="E268" s="4" t="s">
        <v>25</v>
      </c>
      <c r="F268" s="4" t="s">
        <v>25</v>
      </c>
      <c r="G268" s="4" t="s">
        <v>25</v>
      </c>
      <c r="H268" s="4" t="s">
        <v>38</v>
      </c>
      <c r="I268" s="5">
        <v>44256</v>
      </c>
      <c r="J268" s="6">
        <v>-87</v>
      </c>
      <c r="K268" s="6">
        <v>-87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4" t="s">
        <v>26</v>
      </c>
      <c r="R268" s="4">
        <v>0</v>
      </c>
      <c r="S268" s="4" t="s">
        <v>156</v>
      </c>
      <c r="T268" s="4" t="s">
        <v>437</v>
      </c>
      <c r="U268" s="4">
        <v>29</v>
      </c>
      <c r="V268" s="4">
        <v>0</v>
      </c>
      <c r="W268" s="4">
        <v>0</v>
      </c>
    </row>
    <row r="269" spans="1:23" ht="11.25" customHeight="1" x14ac:dyDescent="0.25">
      <c r="A269" s="4" t="s">
        <v>28</v>
      </c>
      <c r="B269" s="4" t="s">
        <v>35</v>
      </c>
      <c r="C269" s="4" t="s">
        <v>44</v>
      </c>
      <c r="D269" s="4" t="s">
        <v>45</v>
      </c>
      <c r="E269" s="4" t="s">
        <v>25</v>
      </c>
      <c r="F269" s="4" t="s">
        <v>25</v>
      </c>
      <c r="G269" s="4" t="s">
        <v>25</v>
      </c>
      <c r="H269" s="4" t="s">
        <v>38</v>
      </c>
      <c r="I269" s="5">
        <v>44256</v>
      </c>
      <c r="J269" s="6">
        <v>1040</v>
      </c>
      <c r="K269" s="6">
        <v>1040</v>
      </c>
      <c r="L269" s="6">
        <v>94.593999999999994</v>
      </c>
      <c r="M269" s="6">
        <v>94.593999999999994</v>
      </c>
      <c r="N269" s="6">
        <v>94.593999999999994</v>
      </c>
      <c r="O269" s="6">
        <v>94.593999999999994</v>
      </c>
      <c r="P269" s="6">
        <v>0</v>
      </c>
      <c r="Q269" s="4" t="s">
        <v>26</v>
      </c>
      <c r="R269" s="4">
        <v>0</v>
      </c>
      <c r="S269" s="4" t="s">
        <v>156</v>
      </c>
      <c r="T269" s="4" t="s">
        <v>437</v>
      </c>
      <c r="U269" s="4">
        <v>29</v>
      </c>
      <c r="V269" s="4">
        <v>30</v>
      </c>
      <c r="W269" s="4">
        <v>67</v>
      </c>
    </row>
    <row r="270" spans="1:23" ht="11.25" customHeight="1" x14ac:dyDescent="0.25">
      <c r="A270" s="4" t="s">
        <v>30</v>
      </c>
      <c r="B270" s="4" t="s">
        <v>35</v>
      </c>
      <c r="C270" s="4" t="s">
        <v>44</v>
      </c>
      <c r="D270" s="4" t="s">
        <v>45</v>
      </c>
      <c r="E270" s="4" t="s">
        <v>25</v>
      </c>
      <c r="F270" s="4" t="s">
        <v>25</v>
      </c>
      <c r="G270" s="4" t="s">
        <v>25</v>
      </c>
      <c r="H270" s="4" t="s">
        <v>38</v>
      </c>
      <c r="I270" s="5">
        <v>44256</v>
      </c>
      <c r="J270" s="6">
        <v>563</v>
      </c>
      <c r="K270" s="6">
        <v>563</v>
      </c>
      <c r="L270" s="6">
        <v>79.548000000000002</v>
      </c>
      <c r="M270" s="6">
        <v>79.548000000000002</v>
      </c>
      <c r="N270" s="6">
        <v>79.548000000000002</v>
      </c>
      <c r="O270" s="6">
        <v>79.548000000000002</v>
      </c>
      <c r="P270" s="6">
        <v>0</v>
      </c>
      <c r="Q270" s="4" t="s">
        <v>26</v>
      </c>
      <c r="R270" s="4">
        <v>0</v>
      </c>
      <c r="S270" s="4" t="s">
        <v>156</v>
      </c>
      <c r="T270" s="4" t="s">
        <v>437</v>
      </c>
      <c r="U270" s="4">
        <v>29</v>
      </c>
      <c r="V270" s="4">
        <v>30</v>
      </c>
      <c r="W270" s="4">
        <v>67</v>
      </c>
    </row>
    <row r="271" spans="1:23" ht="11.25" customHeight="1" x14ac:dyDescent="0.25">
      <c r="A271" s="4" t="s">
        <v>21</v>
      </c>
      <c r="B271" s="4" t="s">
        <v>35</v>
      </c>
      <c r="C271" s="4" t="s">
        <v>44</v>
      </c>
      <c r="D271" s="4" t="s">
        <v>45</v>
      </c>
      <c r="E271" s="4" t="s">
        <v>25</v>
      </c>
      <c r="F271" s="4" t="s">
        <v>25</v>
      </c>
      <c r="G271" s="4" t="s">
        <v>25</v>
      </c>
      <c r="H271" s="4" t="s">
        <v>38</v>
      </c>
      <c r="I271" s="5">
        <v>44287</v>
      </c>
      <c r="J271" s="6">
        <v>14813</v>
      </c>
      <c r="K271" s="6">
        <v>14813</v>
      </c>
      <c r="L271" s="6">
        <v>4149.2610000000004</v>
      </c>
      <c r="M271" s="6">
        <v>4149.2610000000004</v>
      </c>
      <c r="N271" s="6">
        <v>4149.2610000000004</v>
      </c>
      <c r="O271" s="6">
        <v>4149.2610000000004</v>
      </c>
      <c r="P271" s="6">
        <v>0</v>
      </c>
      <c r="Q271" s="4" t="s">
        <v>26</v>
      </c>
      <c r="R271" s="4">
        <v>0</v>
      </c>
      <c r="S271" s="4" t="s">
        <v>157</v>
      </c>
      <c r="T271" s="4" t="s">
        <v>438</v>
      </c>
      <c r="U271" s="4">
        <v>29</v>
      </c>
      <c r="V271" s="4">
        <v>30</v>
      </c>
      <c r="W271" s="4">
        <v>67</v>
      </c>
    </row>
    <row r="272" spans="1:23" ht="11.25" customHeight="1" x14ac:dyDescent="0.25">
      <c r="A272" s="4" t="s">
        <v>28</v>
      </c>
      <c r="B272" s="4" t="s">
        <v>35</v>
      </c>
      <c r="C272" s="4" t="s">
        <v>44</v>
      </c>
      <c r="D272" s="4" t="s">
        <v>45</v>
      </c>
      <c r="E272" s="4" t="s">
        <v>25</v>
      </c>
      <c r="F272" s="4" t="s">
        <v>25</v>
      </c>
      <c r="G272" s="4" t="s">
        <v>25</v>
      </c>
      <c r="H272" s="4" t="s">
        <v>38</v>
      </c>
      <c r="I272" s="5">
        <v>44287</v>
      </c>
      <c r="J272" s="6">
        <v>1009</v>
      </c>
      <c r="K272" s="6">
        <v>1009</v>
      </c>
      <c r="L272" s="6">
        <v>94.111000000000004</v>
      </c>
      <c r="M272" s="6">
        <v>94.111000000000004</v>
      </c>
      <c r="N272" s="6">
        <v>94.111000000000004</v>
      </c>
      <c r="O272" s="6">
        <v>94.111000000000004</v>
      </c>
      <c r="P272" s="6">
        <v>0</v>
      </c>
      <c r="Q272" s="4" t="s">
        <v>26</v>
      </c>
      <c r="R272" s="4">
        <v>0</v>
      </c>
      <c r="S272" s="4" t="s">
        <v>157</v>
      </c>
      <c r="T272" s="4" t="s">
        <v>438</v>
      </c>
      <c r="U272" s="4">
        <v>29</v>
      </c>
      <c r="V272" s="4">
        <v>30</v>
      </c>
      <c r="W272" s="4">
        <v>67</v>
      </c>
    </row>
    <row r="273" spans="1:23" ht="11.25" customHeight="1" x14ac:dyDescent="0.25">
      <c r="A273" s="4" t="s">
        <v>30</v>
      </c>
      <c r="B273" s="4" t="s">
        <v>35</v>
      </c>
      <c r="C273" s="4" t="s">
        <v>44</v>
      </c>
      <c r="D273" s="4" t="s">
        <v>45</v>
      </c>
      <c r="E273" s="4" t="s">
        <v>25</v>
      </c>
      <c r="F273" s="4" t="s">
        <v>25</v>
      </c>
      <c r="G273" s="4" t="s">
        <v>25</v>
      </c>
      <c r="H273" s="4" t="s">
        <v>38</v>
      </c>
      <c r="I273" s="5">
        <v>44287</v>
      </c>
      <c r="J273" s="6">
        <v>553</v>
      </c>
      <c r="K273" s="6">
        <v>553</v>
      </c>
      <c r="L273" s="6">
        <v>88.849000000000004</v>
      </c>
      <c r="M273" s="6">
        <v>88.849000000000004</v>
      </c>
      <c r="N273" s="6">
        <v>88.849000000000004</v>
      </c>
      <c r="O273" s="6">
        <v>88.849000000000004</v>
      </c>
      <c r="P273" s="6">
        <v>0</v>
      </c>
      <c r="Q273" s="4" t="s">
        <v>26</v>
      </c>
      <c r="R273" s="4">
        <v>0</v>
      </c>
      <c r="S273" s="4" t="s">
        <v>157</v>
      </c>
      <c r="T273" s="4" t="s">
        <v>438</v>
      </c>
      <c r="U273" s="4">
        <v>29</v>
      </c>
      <c r="V273" s="4">
        <v>30</v>
      </c>
      <c r="W273" s="4">
        <v>67</v>
      </c>
    </row>
    <row r="274" spans="1:23" ht="11.25" customHeight="1" x14ac:dyDescent="0.25">
      <c r="A274" s="4" t="s">
        <v>21</v>
      </c>
      <c r="B274" s="4" t="s">
        <v>35</v>
      </c>
      <c r="C274" s="4" t="s">
        <v>44</v>
      </c>
      <c r="D274" s="4" t="s">
        <v>45</v>
      </c>
      <c r="E274" s="4" t="s">
        <v>25</v>
      </c>
      <c r="F274" s="4" t="s">
        <v>25</v>
      </c>
      <c r="G274" s="4" t="s">
        <v>25</v>
      </c>
      <c r="H274" s="4" t="s">
        <v>38</v>
      </c>
      <c r="I274" s="5">
        <v>44287</v>
      </c>
      <c r="J274" s="6">
        <v>1408</v>
      </c>
      <c r="K274" s="6">
        <v>1408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4" t="s">
        <v>60</v>
      </c>
      <c r="R274" s="4">
        <v>0</v>
      </c>
      <c r="S274" s="4" t="s">
        <v>157</v>
      </c>
      <c r="U274" s="4">
        <v>29</v>
      </c>
      <c r="V274" s="4">
        <v>0</v>
      </c>
      <c r="W274" s="4">
        <v>0</v>
      </c>
    </row>
    <row r="275" spans="1:23" ht="11.25" customHeight="1" x14ac:dyDescent="0.25">
      <c r="A275" s="4" t="s">
        <v>21</v>
      </c>
      <c r="B275" s="4" t="s">
        <v>35</v>
      </c>
      <c r="C275" s="4" t="s">
        <v>44</v>
      </c>
      <c r="D275" s="4" t="s">
        <v>45</v>
      </c>
      <c r="E275" s="4" t="s">
        <v>25</v>
      </c>
      <c r="F275" s="4" t="s">
        <v>25</v>
      </c>
      <c r="G275" s="4" t="s">
        <v>25</v>
      </c>
      <c r="H275" s="4" t="s">
        <v>38</v>
      </c>
      <c r="I275" s="5">
        <v>44317</v>
      </c>
      <c r="J275" s="6">
        <v>14409</v>
      </c>
      <c r="K275" s="6">
        <v>14409</v>
      </c>
      <c r="L275" s="6">
        <v>4370.509</v>
      </c>
      <c r="M275" s="6">
        <v>4370.509</v>
      </c>
      <c r="N275" s="6">
        <v>4370.509</v>
      </c>
      <c r="O275" s="6">
        <v>4370.509</v>
      </c>
      <c r="P275" s="6">
        <v>0</v>
      </c>
      <c r="Q275" s="4" t="s">
        <v>26</v>
      </c>
      <c r="R275" s="4">
        <v>0</v>
      </c>
      <c r="S275" s="4" t="s">
        <v>158</v>
      </c>
      <c r="T275" s="4" t="s">
        <v>439</v>
      </c>
      <c r="U275" s="4">
        <v>29</v>
      </c>
      <c r="V275" s="4">
        <v>30</v>
      </c>
      <c r="W275" s="4">
        <v>67</v>
      </c>
    </row>
    <row r="276" spans="1:23" ht="11.25" customHeight="1" x14ac:dyDescent="0.25">
      <c r="A276" s="4" t="s">
        <v>28</v>
      </c>
      <c r="B276" s="4" t="s">
        <v>35</v>
      </c>
      <c r="C276" s="4" t="s">
        <v>44</v>
      </c>
      <c r="D276" s="4" t="s">
        <v>45</v>
      </c>
      <c r="E276" s="4" t="s">
        <v>25</v>
      </c>
      <c r="F276" s="4" t="s">
        <v>25</v>
      </c>
      <c r="G276" s="4" t="s">
        <v>25</v>
      </c>
      <c r="H276" s="4" t="s">
        <v>38</v>
      </c>
      <c r="I276" s="5">
        <v>44317</v>
      </c>
      <c r="J276" s="6">
        <v>1009</v>
      </c>
      <c r="K276" s="6">
        <v>1009</v>
      </c>
      <c r="L276" s="6">
        <v>109.797</v>
      </c>
      <c r="M276" s="6">
        <v>109.797</v>
      </c>
      <c r="N276" s="6">
        <v>109.797</v>
      </c>
      <c r="O276" s="6">
        <v>109.797</v>
      </c>
      <c r="P276" s="6">
        <v>0</v>
      </c>
      <c r="Q276" s="4" t="s">
        <v>26</v>
      </c>
      <c r="R276" s="4">
        <v>0</v>
      </c>
      <c r="S276" s="4" t="s">
        <v>158</v>
      </c>
      <c r="T276" s="4" t="s">
        <v>439</v>
      </c>
      <c r="U276" s="4">
        <v>29</v>
      </c>
      <c r="V276" s="4">
        <v>30</v>
      </c>
      <c r="W276" s="4">
        <v>67</v>
      </c>
    </row>
    <row r="277" spans="1:23" ht="11.25" customHeight="1" x14ac:dyDescent="0.25">
      <c r="A277" s="4" t="s">
        <v>30</v>
      </c>
      <c r="B277" s="4" t="s">
        <v>35</v>
      </c>
      <c r="C277" s="4" t="s">
        <v>44</v>
      </c>
      <c r="D277" s="4" t="s">
        <v>45</v>
      </c>
      <c r="E277" s="4" t="s">
        <v>25</v>
      </c>
      <c r="F277" s="4" t="s">
        <v>25</v>
      </c>
      <c r="G277" s="4" t="s">
        <v>25</v>
      </c>
      <c r="H277" s="4" t="s">
        <v>38</v>
      </c>
      <c r="I277" s="5">
        <v>44317</v>
      </c>
      <c r="J277" s="6">
        <v>562</v>
      </c>
      <c r="K277" s="6">
        <v>562</v>
      </c>
      <c r="L277" s="6">
        <v>98.25</v>
      </c>
      <c r="M277" s="6">
        <v>98.25</v>
      </c>
      <c r="N277" s="6">
        <v>98.25</v>
      </c>
      <c r="O277" s="6">
        <v>98.25</v>
      </c>
      <c r="P277" s="6">
        <v>0</v>
      </c>
      <c r="Q277" s="4" t="s">
        <v>26</v>
      </c>
      <c r="R277" s="4">
        <v>0</v>
      </c>
      <c r="S277" s="4" t="s">
        <v>158</v>
      </c>
      <c r="T277" s="4" t="s">
        <v>439</v>
      </c>
      <c r="U277" s="4">
        <v>29</v>
      </c>
      <c r="V277" s="4">
        <v>30</v>
      </c>
      <c r="W277" s="4">
        <v>67</v>
      </c>
    </row>
    <row r="278" spans="1:23" ht="11.25" customHeight="1" x14ac:dyDescent="0.25">
      <c r="A278" s="4" t="s">
        <v>21</v>
      </c>
      <c r="B278" s="4" t="s">
        <v>35</v>
      </c>
      <c r="C278" s="4" t="s">
        <v>44</v>
      </c>
      <c r="D278" s="4" t="s">
        <v>45</v>
      </c>
      <c r="E278" s="4" t="s">
        <v>25</v>
      </c>
      <c r="F278" s="4" t="s">
        <v>25</v>
      </c>
      <c r="G278" s="4" t="s">
        <v>25</v>
      </c>
      <c r="H278" s="4" t="s">
        <v>38</v>
      </c>
      <c r="I278" s="5">
        <v>44317</v>
      </c>
      <c r="J278" s="6">
        <v>1400</v>
      </c>
      <c r="K278" s="6">
        <v>1400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4" t="s">
        <v>60</v>
      </c>
      <c r="R278" s="4">
        <v>0</v>
      </c>
      <c r="S278" s="4" t="s">
        <v>158</v>
      </c>
      <c r="U278" s="4">
        <v>29</v>
      </c>
      <c r="V278" s="4">
        <v>0</v>
      </c>
      <c r="W278" s="4">
        <v>0</v>
      </c>
    </row>
    <row r="279" spans="1:23" ht="11.25" customHeight="1" x14ac:dyDescent="0.25">
      <c r="A279" s="4" t="s">
        <v>21</v>
      </c>
      <c r="B279" s="4" t="s">
        <v>35</v>
      </c>
      <c r="C279" s="4" t="s">
        <v>44</v>
      </c>
      <c r="D279" s="4" t="s">
        <v>45</v>
      </c>
      <c r="E279" s="4" t="s">
        <v>25</v>
      </c>
      <c r="F279" s="4" t="s">
        <v>25</v>
      </c>
      <c r="G279" s="4" t="s">
        <v>25</v>
      </c>
      <c r="H279" s="4" t="s">
        <v>38</v>
      </c>
      <c r="I279" s="5">
        <v>44348</v>
      </c>
      <c r="J279" s="6">
        <v>14380</v>
      </c>
      <c r="K279" s="6">
        <v>14380</v>
      </c>
      <c r="L279" s="6">
        <v>4221.6750000000002</v>
      </c>
      <c r="M279" s="6">
        <v>4221.6750000000002</v>
      </c>
      <c r="N279" s="6">
        <v>4221.6750000000002</v>
      </c>
      <c r="O279" s="6">
        <v>4221.6750000000002</v>
      </c>
      <c r="P279" s="6">
        <v>0</v>
      </c>
      <c r="Q279" s="4" t="s">
        <v>26</v>
      </c>
      <c r="R279" s="4">
        <v>0</v>
      </c>
      <c r="S279" s="4" t="s">
        <v>159</v>
      </c>
      <c r="T279" s="4" t="s">
        <v>440</v>
      </c>
      <c r="U279" s="4">
        <v>29</v>
      </c>
      <c r="V279" s="4">
        <v>30</v>
      </c>
      <c r="W279" s="4">
        <v>67</v>
      </c>
    </row>
    <row r="280" spans="1:23" ht="11.25" customHeight="1" x14ac:dyDescent="0.25">
      <c r="A280" s="4" t="s">
        <v>27</v>
      </c>
      <c r="B280" s="4" t="s">
        <v>35</v>
      </c>
      <c r="C280" s="4" t="s">
        <v>44</v>
      </c>
      <c r="D280" s="4" t="s">
        <v>45</v>
      </c>
      <c r="E280" s="4" t="s">
        <v>25</v>
      </c>
      <c r="F280" s="4" t="s">
        <v>25</v>
      </c>
      <c r="G280" s="4" t="s">
        <v>25</v>
      </c>
      <c r="H280" s="4" t="s">
        <v>38</v>
      </c>
      <c r="I280" s="5">
        <v>44348</v>
      </c>
      <c r="J280" s="6">
        <v>11</v>
      </c>
      <c r="K280" s="6">
        <v>11</v>
      </c>
      <c r="L280" s="6">
        <v>16.648</v>
      </c>
      <c r="M280" s="6">
        <v>16.648</v>
      </c>
      <c r="N280" s="6">
        <v>16.648</v>
      </c>
      <c r="O280" s="6">
        <v>16.648</v>
      </c>
      <c r="P280" s="6">
        <v>0</v>
      </c>
      <c r="Q280" s="4" t="s">
        <v>26</v>
      </c>
      <c r="R280" s="4">
        <v>0</v>
      </c>
      <c r="S280" s="4" t="s">
        <v>159</v>
      </c>
      <c r="T280" s="4" t="s">
        <v>440</v>
      </c>
      <c r="U280" s="4">
        <v>29</v>
      </c>
      <c r="V280" s="4">
        <v>30</v>
      </c>
      <c r="W280" s="4">
        <v>67</v>
      </c>
    </row>
    <row r="281" spans="1:23" ht="11.25" customHeight="1" x14ac:dyDescent="0.25">
      <c r="A281" s="4" t="s">
        <v>28</v>
      </c>
      <c r="B281" s="4" t="s">
        <v>35</v>
      </c>
      <c r="C281" s="4" t="s">
        <v>44</v>
      </c>
      <c r="D281" s="4" t="s">
        <v>45</v>
      </c>
      <c r="E281" s="4" t="s">
        <v>25</v>
      </c>
      <c r="F281" s="4" t="s">
        <v>25</v>
      </c>
      <c r="G281" s="4" t="s">
        <v>25</v>
      </c>
      <c r="H281" s="4" t="s">
        <v>38</v>
      </c>
      <c r="I281" s="5">
        <v>44348</v>
      </c>
      <c r="J281" s="6">
        <v>1009</v>
      </c>
      <c r="K281" s="6">
        <v>1009</v>
      </c>
      <c r="L281" s="6">
        <v>114.214</v>
      </c>
      <c r="M281" s="6">
        <v>114.214</v>
      </c>
      <c r="N281" s="6">
        <v>114.214</v>
      </c>
      <c r="O281" s="6">
        <v>114.214</v>
      </c>
      <c r="P281" s="6">
        <v>0</v>
      </c>
      <c r="Q281" s="4" t="s">
        <v>26</v>
      </c>
      <c r="R281" s="4">
        <v>0</v>
      </c>
      <c r="S281" s="4" t="s">
        <v>159</v>
      </c>
      <c r="T281" s="4" t="s">
        <v>440</v>
      </c>
      <c r="U281" s="4">
        <v>29</v>
      </c>
      <c r="V281" s="4">
        <v>30</v>
      </c>
      <c r="W281" s="4">
        <v>67</v>
      </c>
    </row>
    <row r="282" spans="1:23" ht="11.25" customHeight="1" x14ac:dyDescent="0.25">
      <c r="A282" s="4" t="s">
        <v>30</v>
      </c>
      <c r="B282" s="4" t="s">
        <v>35</v>
      </c>
      <c r="C282" s="4" t="s">
        <v>44</v>
      </c>
      <c r="D282" s="4" t="s">
        <v>45</v>
      </c>
      <c r="E282" s="4" t="s">
        <v>25</v>
      </c>
      <c r="F282" s="4" t="s">
        <v>25</v>
      </c>
      <c r="G282" s="4" t="s">
        <v>25</v>
      </c>
      <c r="H282" s="4" t="s">
        <v>38</v>
      </c>
      <c r="I282" s="5">
        <v>44348</v>
      </c>
      <c r="J282" s="6">
        <v>486</v>
      </c>
      <c r="K282" s="6">
        <v>486</v>
      </c>
      <c r="L282" s="6">
        <v>92.870999999999995</v>
      </c>
      <c r="M282" s="6">
        <v>92.870999999999995</v>
      </c>
      <c r="N282" s="6">
        <v>92.870999999999995</v>
      </c>
      <c r="O282" s="6">
        <v>92.870999999999995</v>
      </c>
      <c r="P282" s="6">
        <v>0</v>
      </c>
      <c r="Q282" s="4" t="s">
        <v>26</v>
      </c>
      <c r="R282" s="4">
        <v>0</v>
      </c>
      <c r="S282" s="4" t="s">
        <v>159</v>
      </c>
      <c r="T282" s="4" t="s">
        <v>440</v>
      </c>
      <c r="U282" s="4">
        <v>29</v>
      </c>
      <c r="V282" s="4">
        <v>30</v>
      </c>
      <c r="W282" s="4">
        <v>67</v>
      </c>
    </row>
    <row r="283" spans="1:23" ht="11.25" customHeight="1" x14ac:dyDescent="0.25">
      <c r="A283" s="4" t="s">
        <v>21</v>
      </c>
      <c r="B283" s="4" t="s">
        <v>35</v>
      </c>
      <c r="C283" s="4" t="s">
        <v>44</v>
      </c>
      <c r="D283" s="4" t="s">
        <v>45</v>
      </c>
      <c r="E283" s="4" t="s">
        <v>25</v>
      </c>
      <c r="F283" s="4" t="s">
        <v>25</v>
      </c>
      <c r="G283" s="4" t="s">
        <v>25</v>
      </c>
      <c r="H283" s="4" t="s">
        <v>38</v>
      </c>
      <c r="I283" s="5">
        <v>44378</v>
      </c>
      <c r="J283" s="6">
        <v>14142</v>
      </c>
      <c r="K283" s="6">
        <v>14142</v>
      </c>
      <c r="L283" s="6">
        <v>4285.9189999999999</v>
      </c>
      <c r="M283" s="6">
        <v>4285.9189999999999</v>
      </c>
      <c r="N283" s="6">
        <v>4285.9189999999999</v>
      </c>
      <c r="O283" s="6">
        <v>4285.9189999999999</v>
      </c>
      <c r="P283" s="6">
        <v>0</v>
      </c>
      <c r="Q283" s="4" t="s">
        <v>26</v>
      </c>
      <c r="R283" s="4">
        <v>0</v>
      </c>
      <c r="S283" s="4" t="s">
        <v>160</v>
      </c>
      <c r="T283" s="4" t="s">
        <v>441</v>
      </c>
      <c r="U283" s="4">
        <v>29</v>
      </c>
      <c r="V283" s="4">
        <v>30</v>
      </c>
      <c r="W283" s="4">
        <v>67</v>
      </c>
    </row>
    <row r="284" spans="1:23" ht="11.25" customHeight="1" x14ac:dyDescent="0.25">
      <c r="A284" s="4" t="s">
        <v>27</v>
      </c>
      <c r="B284" s="4" t="s">
        <v>35</v>
      </c>
      <c r="C284" s="4" t="s">
        <v>44</v>
      </c>
      <c r="D284" s="4" t="s">
        <v>45</v>
      </c>
      <c r="E284" s="4" t="s">
        <v>25</v>
      </c>
      <c r="F284" s="4" t="s">
        <v>25</v>
      </c>
      <c r="G284" s="4" t="s">
        <v>25</v>
      </c>
      <c r="H284" s="4" t="s">
        <v>38</v>
      </c>
      <c r="I284" s="5">
        <v>44378</v>
      </c>
      <c r="J284" s="6">
        <v>-2048</v>
      </c>
      <c r="K284" s="6">
        <v>-2048</v>
      </c>
      <c r="L284" s="6">
        <v>-539.31399999999996</v>
      </c>
      <c r="M284" s="6">
        <v>-539.31399999999996</v>
      </c>
      <c r="N284" s="6">
        <v>-539.31399999999996</v>
      </c>
      <c r="O284" s="6">
        <v>-539.31399999999996</v>
      </c>
      <c r="P284" s="6">
        <v>0</v>
      </c>
      <c r="Q284" s="4" t="s">
        <v>26</v>
      </c>
      <c r="R284" s="4">
        <v>0</v>
      </c>
      <c r="S284" s="4" t="s">
        <v>160</v>
      </c>
      <c r="T284" s="4" t="s">
        <v>441</v>
      </c>
      <c r="U284" s="4">
        <v>29</v>
      </c>
      <c r="V284" s="4">
        <v>30</v>
      </c>
      <c r="W284" s="4">
        <v>67</v>
      </c>
    </row>
    <row r="285" spans="1:23" ht="11.25" customHeight="1" x14ac:dyDescent="0.25">
      <c r="A285" s="4" t="s">
        <v>28</v>
      </c>
      <c r="B285" s="4" t="s">
        <v>35</v>
      </c>
      <c r="C285" s="4" t="s">
        <v>44</v>
      </c>
      <c r="D285" s="4" t="s">
        <v>45</v>
      </c>
      <c r="E285" s="4" t="s">
        <v>25</v>
      </c>
      <c r="F285" s="4" t="s">
        <v>25</v>
      </c>
      <c r="G285" s="4" t="s">
        <v>25</v>
      </c>
      <c r="H285" s="4" t="s">
        <v>38</v>
      </c>
      <c r="I285" s="5">
        <v>44378</v>
      </c>
      <c r="J285" s="6">
        <v>509</v>
      </c>
      <c r="K285" s="6">
        <v>509</v>
      </c>
      <c r="L285" s="6">
        <v>33.396999999999998</v>
      </c>
      <c r="M285" s="6">
        <v>33.396999999999998</v>
      </c>
      <c r="N285" s="6">
        <v>33.396999999999998</v>
      </c>
      <c r="O285" s="6">
        <v>33.396999999999998</v>
      </c>
      <c r="P285" s="6">
        <v>0</v>
      </c>
      <c r="Q285" s="4" t="s">
        <v>26</v>
      </c>
      <c r="R285" s="4">
        <v>0</v>
      </c>
      <c r="S285" s="4" t="s">
        <v>160</v>
      </c>
      <c r="T285" s="4" t="s">
        <v>441</v>
      </c>
      <c r="U285" s="4">
        <v>29</v>
      </c>
      <c r="V285" s="4">
        <v>30</v>
      </c>
      <c r="W285" s="4">
        <v>67</v>
      </c>
    </row>
    <row r="286" spans="1:23" ht="11.25" customHeight="1" x14ac:dyDescent="0.25">
      <c r="A286" s="4" t="s">
        <v>30</v>
      </c>
      <c r="B286" s="4" t="s">
        <v>35</v>
      </c>
      <c r="C286" s="4" t="s">
        <v>44</v>
      </c>
      <c r="D286" s="4" t="s">
        <v>45</v>
      </c>
      <c r="E286" s="4" t="s">
        <v>25</v>
      </c>
      <c r="F286" s="4" t="s">
        <v>25</v>
      </c>
      <c r="G286" s="4" t="s">
        <v>25</v>
      </c>
      <c r="H286" s="4" t="s">
        <v>38</v>
      </c>
      <c r="I286" s="5">
        <v>44378</v>
      </c>
      <c r="J286" s="6">
        <v>473</v>
      </c>
      <c r="K286" s="6">
        <v>473</v>
      </c>
      <c r="L286" s="6">
        <v>90.506</v>
      </c>
      <c r="M286" s="6">
        <v>90.506</v>
      </c>
      <c r="N286" s="6">
        <v>90.506</v>
      </c>
      <c r="O286" s="6">
        <v>90.506</v>
      </c>
      <c r="P286" s="6">
        <v>0</v>
      </c>
      <c r="Q286" s="4" t="s">
        <v>26</v>
      </c>
      <c r="R286" s="4">
        <v>0</v>
      </c>
      <c r="S286" s="4" t="s">
        <v>160</v>
      </c>
      <c r="T286" s="4" t="s">
        <v>441</v>
      </c>
      <c r="U286" s="4">
        <v>29</v>
      </c>
      <c r="V286" s="4">
        <v>30</v>
      </c>
      <c r="W286" s="4">
        <v>67</v>
      </c>
    </row>
    <row r="287" spans="1:23" ht="11.25" customHeight="1" x14ac:dyDescent="0.25">
      <c r="A287" s="4" t="s">
        <v>21</v>
      </c>
      <c r="B287" s="4" t="s">
        <v>35</v>
      </c>
      <c r="C287" s="4" t="s">
        <v>44</v>
      </c>
      <c r="D287" s="4" t="s">
        <v>45</v>
      </c>
      <c r="E287" s="4" t="s">
        <v>25</v>
      </c>
      <c r="F287" s="4" t="s">
        <v>25</v>
      </c>
      <c r="G287" s="4" t="s">
        <v>25</v>
      </c>
      <c r="H287" s="4" t="s">
        <v>38</v>
      </c>
      <c r="I287" s="5">
        <v>44378</v>
      </c>
      <c r="J287" s="6">
        <v>1400</v>
      </c>
      <c r="K287" s="6">
        <v>1400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4" t="s">
        <v>60</v>
      </c>
      <c r="R287" s="4">
        <v>0</v>
      </c>
      <c r="S287" s="4" t="s">
        <v>160</v>
      </c>
      <c r="U287" s="4">
        <v>29</v>
      </c>
      <c r="V287" s="4">
        <v>0</v>
      </c>
      <c r="W287" s="4">
        <v>0</v>
      </c>
    </row>
    <row r="288" spans="1:23" ht="11.25" customHeight="1" x14ac:dyDescent="0.25">
      <c r="A288" s="4" t="s">
        <v>21</v>
      </c>
      <c r="B288" s="4" t="s">
        <v>35</v>
      </c>
      <c r="C288" s="4" t="s">
        <v>44</v>
      </c>
      <c r="D288" s="4" t="s">
        <v>45</v>
      </c>
      <c r="E288" s="4" t="s">
        <v>25</v>
      </c>
      <c r="F288" s="4" t="s">
        <v>25</v>
      </c>
      <c r="G288" s="4" t="s">
        <v>25</v>
      </c>
      <c r="H288" s="4" t="s">
        <v>38</v>
      </c>
      <c r="I288" s="5">
        <v>44409</v>
      </c>
      <c r="J288" s="6">
        <v>16922</v>
      </c>
      <c r="K288" s="6">
        <v>16922</v>
      </c>
      <c r="L288" s="6">
        <v>5185.99</v>
      </c>
      <c r="M288" s="6">
        <v>5185.99</v>
      </c>
      <c r="N288" s="6">
        <v>5185.99</v>
      </c>
      <c r="O288" s="6">
        <v>5185.99</v>
      </c>
      <c r="P288" s="6">
        <v>0</v>
      </c>
      <c r="Q288" s="4" t="s">
        <v>26</v>
      </c>
      <c r="R288" s="4">
        <v>0</v>
      </c>
      <c r="S288" s="4" t="s">
        <v>161</v>
      </c>
      <c r="T288" s="4" t="s">
        <v>442</v>
      </c>
      <c r="U288" s="4">
        <v>29</v>
      </c>
      <c r="V288" s="4">
        <v>30</v>
      </c>
      <c r="W288" s="4">
        <v>67</v>
      </c>
    </row>
    <row r="289" spans="1:23" ht="11.25" customHeight="1" x14ac:dyDescent="0.25">
      <c r="A289" s="4" t="s">
        <v>27</v>
      </c>
      <c r="B289" s="4" t="s">
        <v>35</v>
      </c>
      <c r="C289" s="4" t="s">
        <v>44</v>
      </c>
      <c r="D289" s="4" t="s">
        <v>45</v>
      </c>
      <c r="E289" s="4" t="s">
        <v>25</v>
      </c>
      <c r="F289" s="4" t="s">
        <v>25</v>
      </c>
      <c r="G289" s="4" t="s">
        <v>25</v>
      </c>
      <c r="H289" s="4" t="s">
        <v>38</v>
      </c>
      <c r="I289" s="5">
        <v>44409</v>
      </c>
      <c r="J289" s="6">
        <v>699</v>
      </c>
      <c r="K289" s="6">
        <v>699</v>
      </c>
      <c r="L289" s="6">
        <v>127.797</v>
      </c>
      <c r="M289" s="6">
        <v>127.797</v>
      </c>
      <c r="N289" s="6">
        <v>127.797</v>
      </c>
      <c r="O289" s="6">
        <v>127.797</v>
      </c>
      <c r="P289" s="6">
        <v>0</v>
      </c>
      <c r="Q289" s="4" t="s">
        <v>26</v>
      </c>
      <c r="R289" s="4">
        <v>0</v>
      </c>
      <c r="S289" s="4" t="s">
        <v>161</v>
      </c>
      <c r="T289" s="4" t="s">
        <v>442</v>
      </c>
      <c r="U289" s="4">
        <v>29</v>
      </c>
      <c r="V289" s="4">
        <v>30</v>
      </c>
      <c r="W289" s="4">
        <v>67</v>
      </c>
    </row>
    <row r="290" spans="1:23" ht="11.25" customHeight="1" x14ac:dyDescent="0.25">
      <c r="A290" s="4" t="s">
        <v>28</v>
      </c>
      <c r="B290" s="4" t="s">
        <v>35</v>
      </c>
      <c r="C290" s="4" t="s">
        <v>44</v>
      </c>
      <c r="D290" s="4" t="s">
        <v>45</v>
      </c>
      <c r="E290" s="4" t="s">
        <v>25</v>
      </c>
      <c r="F290" s="4" t="s">
        <v>25</v>
      </c>
      <c r="G290" s="4" t="s">
        <v>25</v>
      </c>
      <c r="H290" s="4" t="s">
        <v>38</v>
      </c>
      <c r="I290" s="5">
        <v>44409</v>
      </c>
      <c r="J290" s="6">
        <v>509</v>
      </c>
      <c r="K290" s="6">
        <v>509</v>
      </c>
      <c r="L290" s="6">
        <v>27.917000000000002</v>
      </c>
      <c r="M290" s="6">
        <v>27.917000000000002</v>
      </c>
      <c r="N290" s="6">
        <v>27.917000000000002</v>
      </c>
      <c r="O290" s="6">
        <v>27.917000000000002</v>
      </c>
      <c r="P290" s="6">
        <v>0</v>
      </c>
      <c r="Q290" s="4" t="s">
        <v>26</v>
      </c>
      <c r="R290" s="4">
        <v>0</v>
      </c>
      <c r="S290" s="4" t="s">
        <v>161</v>
      </c>
      <c r="T290" s="4" t="s">
        <v>442</v>
      </c>
      <c r="U290" s="4">
        <v>29</v>
      </c>
      <c r="V290" s="4">
        <v>30</v>
      </c>
      <c r="W290" s="4">
        <v>67</v>
      </c>
    </row>
    <row r="291" spans="1:23" ht="11.25" customHeight="1" x14ac:dyDescent="0.25">
      <c r="A291" s="4" t="s">
        <v>30</v>
      </c>
      <c r="B291" s="4" t="s">
        <v>35</v>
      </c>
      <c r="C291" s="4" t="s">
        <v>44</v>
      </c>
      <c r="D291" s="4" t="s">
        <v>45</v>
      </c>
      <c r="E291" s="4" t="s">
        <v>25</v>
      </c>
      <c r="F291" s="4" t="s">
        <v>25</v>
      </c>
      <c r="G291" s="4" t="s">
        <v>25</v>
      </c>
      <c r="H291" s="4" t="s">
        <v>38</v>
      </c>
      <c r="I291" s="5">
        <v>44409</v>
      </c>
      <c r="J291" s="6">
        <v>477</v>
      </c>
      <c r="K291" s="6">
        <v>477</v>
      </c>
      <c r="L291" s="6">
        <v>100.547</v>
      </c>
      <c r="M291" s="6">
        <v>100.547</v>
      </c>
      <c r="N291" s="6">
        <v>100.547</v>
      </c>
      <c r="O291" s="6">
        <v>100.547</v>
      </c>
      <c r="P291" s="6">
        <v>0</v>
      </c>
      <c r="Q291" s="4" t="s">
        <v>26</v>
      </c>
      <c r="R291" s="4">
        <v>0</v>
      </c>
      <c r="S291" s="4" t="s">
        <v>161</v>
      </c>
      <c r="T291" s="4" t="s">
        <v>442</v>
      </c>
      <c r="U291" s="4">
        <v>29</v>
      </c>
      <c r="V291" s="4">
        <v>30</v>
      </c>
      <c r="W291" s="4">
        <v>67</v>
      </c>
    </row>
    <row r="292" spans="1:23" ht="11.25" customHeight="1" x14ac:dyDescent="0.25">
      <c r="A292" s="4" t="s">
        <v>21</v>
      </c>
      <c r="B292" s="4" t="s">
        <v>35</v>
      </c>
      <c r="C292" s="4" t="s">
        <v>44</v>
      </c>
      <c r="D292" s="4" t="s">
        <v>45</v>
      </c>
      <c r="E292" s="4" t="s">
        <v>25</v>
      </c>
      <c r="F292" s="4" t="s">
        <v>25</v>
      </c>
      <c r="G292" s="4" t="s">
        <v>25</v>
      </c>
      <c r="H292" s="4" t="s">
        <v>38</v>
      </c>
      <c r="I292" s="5">
        <v>44409</v>
      </c>
      <c r="J292" s="6">
        <v>1400</v>
      </c>
      <c r="K292" s="6">
        <v>1400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4" t="s">
        <v>60</v>
      </c>
      <c r="R292" s="4">
        <v>0</v>
      </c>
      <c r="S292" s="4" t="s">
        <v>161</v>
      </c>
      <c r="U292" s="4">
        <v>29</v>
      </c>
      <c r="V292" s="4">
        <v>0</v>
      </c>
      <c r="W292" s="4">
        <v>0</v>
      </c>
    </row>
    <row r="293" spans="1:23" ht="11.25" customHeight="1" x14ac:dyDescent="0.25">
      <c r="A293" s="4" t="s">
        <v>21</v>
      </c>
      <c r="B293" s="4" t="s">
        <v>35</v>
      </c>
      <c r="C293" s="4" t="s">
        <v>44</v>
      </c>
      <c r="D293" s="4" t="s">
        <v>45</v>
      </c>
      <c r="E293" s="4" t="s">
        <v>25</v>
      </c>
      <c r="F293" s="4" t="s">
        <v>25</v>
      </c>
      <c r="G293" s="4" t="s">
        <v>25</v>
      </c>
      <c r="H293" s="4" t="s">
        <v>38</v>
      </c>
      <c r="I293" s="5">
        <v>44440</v>
      </c>
      <c r="J293" s="6">
        <v>17541</v>
      </c>
      <c r="K293" s="6">
        <v>17541</v>
      </c>
      <c r="L293" s="6">
        <v>5269.2629999999999</v>
      </c>
      <c r="M293" s="6">
        <v>5269.2629999999999</v>
      </c>
      <c r="N293" s="6">
        <v>5269.2629999999999</v>
      </c>
      <c r="O293" s="6">
        <v>5269.2629999999999</v>
      </c>
      <c r="P293" s="6">
        <v>0</v>
      </c>
      <c r="Q293" s="4" t="s">
        <v>26</v>
      </c>
      <c r="R293" s="4">
        <v>0</v>
      </c>
      <c r="S293" s="4" t="s">
        <v>162</v>
      </c>
      <c r="T293" s="4" t="s">
        <v>443</v>
      </c>
      <c r="U293" s="4">
        <v>29</v>
      </c>
      <c r="V293" s="4">
        <v>30</v>
      </c>
      <c r="W293" s="4">
        <v>67</v>
      </c>
    </row>
    <row r="294" spans="1:23" ht="11.25" customHeight="1" x14ac:dyDescent="0.25">
      <c r="A294" s="4" t="s">
        <v>27</v>
      </c>
      <c r="B294" s="4" t="s">
        <v>35</v>
      </c>
      <c r="C294" s="4" t="s">
        <v>44</v>
      </c>
      <c r="D294" s="4" t="s">
        <v>45</v>
      </c>
      <c r="E294" s="4" t="s">
        <v>25</v>
      </c>
      <c r="F294" s="4" t="s">
        <v>25</v>
      </c>
      <c r="G294" s="4" t="s">
        <v>25</v>
      </c>
      <c r="H294" s="4" t="s">
        <v>38</v>
      </c>
      <c r="I294" s="5">
        <v>44440</v>
      </c>
      <c r="J294" s="6">
        <v>-278</v>
      </c>
      <c r="K294" s="6">
        <v>-278</v>
      </c>
      <c r="L294" s="6">
        <v>0.34399999999999997</v>
      </c>
      <c r="M294" s="6">
        <v>0.34399999999999997</v>
      </c>
      <c r="N294" s="6">
        <v>0.34399999999999997</v>
      </c>
      <c r="O294" s="6">
        <v>0.34399999999999997</v>
      </c>
      <c r="P294" s="6">
        <v>0</v>
      </c>
      <c r="Q294" s="4" t="s">
        <v>26</v>
      </c>
      <c r="R294" s="4">
        <v>0</v>
      </c>
      <c r="S294" s="4" t="s">
        <v>162</v>
      </c>
      <c r="T294" s="4" t="s">
        <v>443</v>
      </c>
      <c r="U294" s="4">
        <v>29</v>
      </c>
      <c r="V294" s="4">
        <v>30</v>
      </c>
      <c r="W294" s="4">
        <v>67</v>
      </c>
    </row>
    <row r="295" spans="1:23" ht="11.25" customHeight="1" x14ac:dyDescent="0.25">
      <c r="A295" s="4" t="s">
        <v>28</v>
      </c>
      <c r="B295" s="4" t="s">
        <v>35</v>
      </c>
      <c r="C295" s="4" t="s">
        <v>44</v>
      </c>
      <c r="D295" s="4" t="s">
        <v>45</v>
      </c>
      <c r="E295" s="4" t="s">
        <v>25</v>
      </c>
      <c r="F295" s="4" t="s">
        <v>25</v>
      </c>
      <c r="G295" s="4" t="s">
        <v>25</v>
      </c>
      <c r="H295" s="4" t="s">
        <v>38</v>
      </c>
      <c r="I295" s="5">
        <v>44440</v>
      </c>
      <c r="J295" s="6">
        <v>509</v>
      </c>
      <c r="K295" s="6">
        <v>509</v>
      </c>
      <c r="L295" s="6">
        <v>23.274000000000001</v>
      </c>
      <c r="M295" s="6">
        <v>23.274000000000001</v>
      </c>
      <c r="N295" s="6">
        <v>23.274000000000001</v>
      </c>
      <c r="O295" s="6">
        <v>23.274000000000001</v>
      </c>
      <c r="P295" s="6">
        <v>0</v>
      </c>
      <c r="Q295" s="4" t="s">
        <v>26</v>
      </c>
      <c r="R295" s="4">
        <v>0</v>
      </c>
      <c r="S295" s="4" t="s">
        <v>162</v>
      </c>
      <c r="T295" s="4" t="s">
        <v>443</v>
      </c>
      <c r="U295" s="4">
        <v>29</v>
      </c>
      <c r="V295" s="4">
        <v>30</v>
      </c>
      <c r="W295" s="4">
        <v>67</v>
      </c>
    </row>
    <row r="296" spans="1:23" ht="11.25" customHeight="1" x14ac:dyDescent="0.25">
      <c r="A296" s="4" t="s">
        <v>30</v>
      </c>
      <c r="B296" s="4" t="s">
        <v>35</v>
      </c>
      <c r="C296" s="4" t="s">
        <v>44</v>
      </c>
      <c r="D296" s="4" t="s">
        <v>45</v>
      </c>
      <c r="E296" s="4" t="s">
        <v>25</v>
      </c>
      <c r="F296" s="4" t="s">
        <v>25</v>
      </c>
      <c r="G296" s="4" t="s">
        <v>25</v>
      </c>
      <c r="H296" s="4" t="s">
        <v>38</v>
      </c>
      <c r="I296" s="5">
        <v>44440</v>
      </c>
      <c r="J296" s="6">
        <v>487</v>
      </c>
      <c r="K296" s="6">
        <v>487</v>
      </c>
      <c r="L296" s="6">
        <v>95.998999999999995</v>
      </c>
      <c r="M296" s="6">
        <v>95.998999999999995</v>
      </c>
      <c r="N296" s="6">
        <v>95.998999999999995</v>
      </c>
      <c r="O296" s="6">
        <v>95.998999999999995</v>
      </c>
      <c r="P296" s="6">
        <v>0</v>
      </c>
      <c r="Q296" s="4" t="s">
        <v>26</v>
      </c>
      <c r="R296" s="4">
        <v>0</v>
      </c>
      <c r="S296" s="4" t="s">
        <v>162</v>
      </c>
      <c r="T296" s="4" t="s">
        <v>443</v>
      </c>
      <c r="U296" s="4">
        <v>29</v>
      </c>
      <c r="V296" s="4">
        <v>30</v>
      </c>
      <c r="W296" s="4">
        <v>67</v>
      </c>
    </row>
    <row r="297" spans="1:23" ht="11.25" customHeight="1" x14ac:dyDescent="0.25">
      <c r="A297" s="4" t="s">
        <v>30</v>
      </c>
      <c r="B297" s="4" t="s">
        <v>35</v>
      </c>
      <c r="C297" s="4" t="s">
        <v>44</v>
      </c>
      <c r="D297" s="4" t="s">
        <v>45</v>
      </c>
      <c r="E297" s="4" t="s">
        <v>25</v>
      </c>
      <c r="F297" s="4" t="s">
        <v>25</v>
      </c>
      <c r="G297" s="4" t="s">
        <v>25</v>
      </c>
      <c r="H297" s="4" t="s">
        <v>38</v>
      </c>
      <c r="I297" s="5">
        <v>44440</v>
      </c>
      <c r="J297" s="6">
        <v>-132</v>
      </c>
      <c r="K297" s="6">
        <v>-132</v>
      </c>
      <c r="L297" s="6">
        <v>-18.78</v>
      </c>
      <c r="M297" s="6">
        <v>-18.78</v>
      </c>
      <c r="N297" s="6">
        <v>-18.78</v>
      </c>
      <c r="O297" s="6">
        <v>-18.78</v>
      </c>
      <c r="P297" s="6">
        <v>0</v>
      </c>
      <c r="Q297" s="4" t="s">
        <v>26</v>
      </c>
      <c r="R297" s="4">
        <v>0</v>
      </c>
      <c r="S297" s="4" t="s">
        <v>162</v>
      </c>
      <c r="T297" s="4" t="s">
        <v>443</v>
      </c>
      <c r="U297" s="4">
        <v>29</v>
      </c>
      <c r="V297" s="4">
        <v>30</v>
      </c>
      <c r="W297" s="4">
        <v>67</v>
      </c>
    </row>
    <row r="298" spans="1:23" ht="11.25" customHeight="1" x14ac:dyDescent="0.25">
      <c r="A298" s="4" t="s">
        <v>21</v>
      </c>
      <c r="B298" s="4" t="s">
        <v>35</v>
      </c>
      <c r="C298" s="4" t="s">
        <v>44</v>
      </c>
      <c r="D298" s="4" t="s">
        <v>45</v>
      </c>
      <c r="E298" s="4" t="s">
        <v>25</v>
      </c>
      <c r="F298" s="4" t="s">
        <v>25</v>
      </c>
      <c r="G298" s="4" t="s">
        <v>25</v>
      </c>
      <c r="H298" s="4" t="s">
        <v>38</v>
      </c>
      <c r="I298" s="5">
        <v>44440</v>
      </c>
      <c r="J298" s="6">
        <v>1400</v>
      </c>
      <c r="K298" s="6">
        <v>1400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4" t="s">
        <v>60</v>
      </c>
      <c r="R298" s="4">
        <v>0</v>
      </c>
      <c r="S298" s="4" t="s">
        <v>162</v>
      </c>
      <c r="U298" s="4">
        <v>29</v>
      </c>
      <c r="V298" s="4">
        <v>0</v>
      </c>
      <c r="W298" s="4">
        <v>0</v>
      </c>
    </row>
    <row r="299" spans="1:23" ht="11.25" customHeight="1" x14ac:dyDescent="0.25">
      <c r="A299" s="4" t="s">
        <v>59</v>
      </c>
      <c r="B299" s="4" t="s">
        <v>35</v>
      </c>
      <c r="C299" s="4" t="s">
        <v>44</v>
      </c>
      <c r="D299" s="4" t="s">
        <v>45</v>
      </c>
      <c r="E299" s="4" t="s">
        <v>25</v>
      </c>
      <c r="F299" s="4" t="s">
        <v>25</v>
      </c>
      <c r="G299" s="4" t="s">
        <v>25</v>
      </c>
      <c r="H299" s="4" t="s">
        <v>38</v>
      </c>
      <c r="I299" s="5">
        <v>44470</v>
      </c>
      <c r="J299" s="6">
        <v>17541</v>
      </c>
      <c r="K299" s="6">
        <v>17541</v>
      </c>
      <c r="L299" s="6">
        <v>5269.2629999999999</v>
      </c>
      <c r="M299" s="6">
        <v>5269.2629999999999</v>
      </c>
      <c r="N299" s="6">
        <v>5269.2629999999999</v>
      </c>
      <c r="O299" s="6">
        <v>5269.2629999999999</v>
      </c>
      <c r="P299" s="6">
        <v>0</v>
      </c>
      <c r="Q299" s="4" t="s">
        <v>26</v>
      </c>
      <c r="R299" s="4">
        <v>0</v>
      </c>
      <c r="S299" s="4" t="s">
        <v>163</v>
      </c>
      <c r="T299" s="4" t="s">
        <v>444</v>
      </c>
      <c r="U299" s="4">
        <v>29</v>
      </c>
      <c r="V299" s="4">
        <v>30</v>
      </c>
      <c r="W299" s="4">
        <v>67</v>
      </c>
    </row>
    <row r="300" spans="1:23" ht="11.25" customHeight="1" x14ac:dyDescent="0.25">
      <c r="A300" s="4" t="s">
        <v>59</v>
      </c>
      <c r="B300" s="4" t="s">
        <v>35</v>
      </c>
      <c r="C300" s="4" t="s">
        <v>44</v>
      </c>
      <c r="D300" s="4" t="s">
        <v>45</v>
      </c>
      <c r="E300" s="4" t="s">
        <v>25</v>
      </c>
      <c r="F300" s="4" t="s">
        <v>25</v>
      </c>
      <c r="G300" s="4" t="s">
        <v>25</v>
      </c>
      <c r="H300" s="4" t="s">
        <v>38</v>
      </c>
      <c r="I300" s="5">
        <v>44470</v>
      </c>
      <c r="J300" s="6">
        <v>-278</v>
      </c>
      <c r="K300" s="6">
        <v>-278</v>
      </c>
      <c r="L300" s="6">
        <v>0.34399999999999997</v>
      </c>
      <c r="M300" s="6">
        <v>0.34399999999999997</v>
      </c>
      <c r="N300" s="6">
        <v>0.34399999999999997</v>
      </c>
      <c r="O300" s="6">
        <v>0.34399999999999997</v>
      </c>
      <c r="P300" s="6">
        <v>0</v>
      </c>
      <c r="Q300" s="4" t="s">
        <v>26</v>
      </c>
      <c r="R300" s="4">
        <v>0</v>
      </c>
      <c r="S300" s="4" t="s">
        <v>163</v>
      </c>
      <c r="T300" s="4" t="s">
        <v>444</v>
      </c>
      <c r="U300" s="4">
        <v>29</v>
      </c>
      <c r="V300" s="4">
        <v>30</v>
      </c>
      <c r="W300" s="4">
        <v>67</v>
      </c>
    </row>
    <row r="301" spans="1:23" ht="11.25" customHeight="1" x14ac:dyDescent="0.25">
      <c r="A301" s="4" t="s">
        <v>59</v>
      </c>
      <c r="B301" s="4" t="s">
        <v>35</v>
      </c>
      <c r="C301" s="4" t="s">
        <v>44</v>
      </c>
      <c r="D301" s="4" t="s">
        <v>45</v>
      </c>
      <c r="E301" s="4" t="s">
        <v>25</v>
      </c>
      <c r="F301" s="4" t="s">
        <v>25</v>
      </c>
      <c r="G301" s="4" t="s">
        <v>25</v>
      </c>
      <c r="H301" s="4" t="s">
        <v>38</v>
      </c>
      <c r="I301" s="5">
        <v>44470</v>
      </c>
      <c r="J301" s="6">
        <v>509</v>
      </c>
      <c r="K301" s="6">
        <v>509</v>
      </c>
      <c r="L301" s="6">
        <v>23.274000000000001</v>
      </c>
      <c r="M301" s="6">
        <v>23.274000000000001</v>
      </c>
      <c r="N301" s="6">
        <v>23.274000000000001</v>
      </c>
      <c r="O301" s="6">
        <v>23.274000000000001</v>
      </c>
      <c r="P301" s="6">
        <v>0</v>
      </c>
      <c r="Q301" s="4" t="s">
        <v>26</v>
      </c>
      <c r="R301" s="4">
        <v>0</v>
      </c>
      <c r="S301" s="4" t="s">
        <v>163</v>
      </c>
      <c r="T301" s="4" t="s">
        <v>444</v>
      </c>
      <c r="U301" s="4">
        <v>29</v>
      </c>
      <c r="V301" s="4">
        <v>30</v>
      </c>
      <c r="W301" s="4">
        <v>67</v>
      </c>
    </row>
    <row r="302" spans="1:23" ht="11.25" customHeight="1" x14ac:dyDescent="0.25">
      <c r="A302" s="4" t="s">
        <v>59</v>
      </c>
      <c r="B302" s="4" t="s">
        <v>35</v>
      </c>
      <c r="C302" s="4" t="s">
        <v>44</v>
      </c>
      <c r="D302" s="4" t="s">
        <v>45</v>
      </c>
      <c r="E302" s="4" t="s">
        <v>25</v>
      </c>
      <c r="F302" s="4" t="s">
        <v>25</v>
      </c>
      <c r="G302" s="4" t="s">
        <v>25</v>
      </c>
      <c r="H302" s="4" t="s">
        <v>38</v>
      </c>
      <c r="I302" s="5">
        <v>44470</v>
      </c>
      <c r="J302" s="6">
        <v>487</v>
      </c>
      <c r="K302" s="6">
        <v>487</v>
      </c>
      <c r="L302" s="6">
        <v>95.998999999999995</v>
      </c>
      <c r="M302" s="6">
        <v>95.998999999999995</v>
      </c>
      <c r="N302" s="6">
        <v>95.998999999999995</v>
      </c>
      <c r="O302" s="6">
        <v>95.998999999999995</v>
      </c>
      <c r="P302" s="6">
        <v>0</v>
      </c>
      <c r="Q302" s="4" t="s">
        <v>26</v>
      </c>
      <c r="R302" s="4">
        <v>0</v>
      </c>
      <c r="S302" s="4" t="s">
        <v>163</v>
      </c>
      <c r="T302" s="4" t="s">
        <v>444</v>
      </c>
      <c r="U302" s="4">
        <v>29</v>
      </c>
      <c r="V302" s="4">
        <v>30</v>
      </c>
      <c r="W302" s="4">
        <v>67</v>
      </c>
    </row>
    <row r="303" spans="1:23" ht="11.25" customHeight="1" x14ac:dyDescent="0.25">
      <c r="A303" s="4" t="s">
        <v>59</v>
      </c>
      <c r="B303" s="4" t="s">
        <v>35</v>
      </c>
      <c r="C303" s="4" t="s">
        <v>44</v>
      </c>
      <c r="D303" s="4" t="s">
        <v>45</v>
      </c>
      <c r="E303" s="4" t="s">
        <v>25</v>
      </c>
      <c r="F303" s="4" t="s">
        <v>25</v>
      </c>
      <c r="G303" s="4" t="s">
        <v>25</v>
      </c>
      <c r="H303" s="4" t="s">
        <v>38</v>
      </c>
      <c r="I303" s="5">
        <v>44470</v>
      </c>
      <c r="J303" s="6">
        <v>-132</v>
      </c>
      <c r="K303" s="6">
        <v>-132</v>
      </c>
      <c r="L303" s="6">
        <v>-18.78</v>
      </c>
      <c r="M303" s="6">
        <v>-18.78</v>
      </c>
      <c r="N303" s="6">
        <v>-18.78</v>
      </c>
      <c r="O303" s="6">
        <v>-18.78</v>
      </c>
      <c r="P303" s="6">
        <v>0</v>
      </c>
      <c r="Q303" s="4" t="s">
        <v>26</v>
      </c>
      <c r="R303" s="4">
        <v>0</v>
      </c>
      <c r="S303" s="4" t="s">
        <v>163</v>
      </c>
      <c r="T303" s="4" t="s">
        <v>444</v>
      </c>
      <c r="U303" s="4">
        <v>29</v>
      </c>
      <c r="V303" s="4">
        <v>30</v>
      </c>
      <c r="W303" s="4">
        <v>67</v>
      </c>
    </row>
    <row r="304" spans="1:23" ht="11.25" customHeight="1" x14ac:dyDescent="0.25">
      <c r="A304" s="4" t="s">
        <v>59</v>
      </c>
      <c r="B304" s="4" t="s">
        <v>35</v>
      </c>
      <c r="C304" s="4" t="s">
        <v>44</v>
      </c>
      <c r="D304" s="4" t="s">
        <v>45</v>
      </c>
      <c r="E304" s="4" t="s">
        <v>25</v>
      </c>
      <c r="F304" s="4" t="s">
        <v>25</v>
      </c>
      <c r="G304" s="4" t="s">
        <v>25</v>
      </c>
      <c r="H304" s="4" t="s">
        <v>38</v>
      </c>
      <c r="I304" s="5">
        <v>44470</v>
      </c>
      <c r="J304" s="6">
        <v>1400</v>
      </c>
      <c r="K304" s="6">
        <v>1400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4" t="s">
        <v>60</v>
      </c>
      <c r="R304" s="4">
        <v>0</v>
      </c>
      <c r="S304" s="4" t="s">
        <v>163</v>
      </c>
      <c r="U304" s="4">
        <v>29</v>
      </c>
      <c r="V304" s="4">
        <v>0</v>
      </c>
      <c r="W304" s="4">
        <v>0</v>
      </c>
    </row>
    <row r="305" spans="1:23" ht="11.25" customHeight="1" x14ac:dyDescent="0.25">
      <c r="A305" s="4" t="s">
        <v>21</v>
      </c>
      <c r="B305" s="4" t="s">
        <v>35</v>
      </c>
      <c r="C305" s="4" t="s">
        <v>44</v>
      </c>
      <c r="D305" s="4" t="s">
        <v>45</v>
      </c>
      <c r="E305" s="4" t="s">
        <v>25</v>
      </c>
      <c r="F305" s="4" t="s">
        <v>25</v>
      </c>
      <c r="G305" s="4" t="s">
        <v>25</v>
      </c>
      <c r="H305" s="4" t="s">
        <v>25</v>
      </c>
      <c r="I305" s="5">
        <v>44287</v>
      </c>
      <c r="J305" s="6">
        <v>0</v>
      </c>
      <c r="K305" s="6">
        <v>0</v>
      </c>
      <c r="L305" s="6">
        <v>738.13599999999997</v>
      </c>
      <c r="M305" s="6">
        <v>738.13599999999997</v>
      </c>
      <c r="N305" s="6">
        <v>0</v>
      </c>
      <c r="O305" s="6">
        <v>0</v>
      </c>
      <c r="P305" s="6">
        <v>1</v>
      </c>
      <c r="Q305" s="4" t="s">
        <v>60</v>
      </c>
      <c r="R305" s="4">
        <v>0</v>
      </c>
      <c r="S305" s="4" t="s">
        <v>164</v>
      </c>
      <c r="U305" s="4">
        <v>0</v>
      </c>
      <c r="V305" s="4">
        <v>30</v>
      </c>
      <c r="W305" s="4">
        <v>0</v>
      </c>
    </row>
    <row r="306" spans="1:23" ht="11.25" customHeight="1" x14ac:dyDescent="0.25">
      <c r="A306" s="4" t="s">
        <v>21</v>
      </c>
      <c r="B306" s="4" t="s">
        <v>35</v>
      </c>
      <c r="C306" s="4" t="s">
        <v>44</v>
      </c>
      <c r="D306" s="4" t="s">
        <v>45</v>
      </c>
      <c r="E306" s="4" t="s">
        <v>25</v>
      </c>
      <c r="F306" s="4" t="s">
        <v>25</v>
      </c>
      <c r="G306" s="4" t="s">
        <v>25</v>
      </c>
      <c r="H306" s="4" t="s">
        <v>25</v>
      </c>
      <c r="I306" s="5">
        <v>44317</v>
      </c>
      <c r="J306" s="6">
        <v>0</v>
      </c>
      <c r="K306" s="6">
        <v>0</v>
      </c>
      <c r="L306" s="6">
        <v>625.072</v>
      </c>
      <c r="M306" s="6">
        <v>625.072</v>
      </c>
      <c r="N306" s="6">
        <v>0</v>
      </c>
      <c r="O306" s="6">
        <v>0</v>
      </c>
      <c r="P306" s="6">
        <v>1</v>
      </c>
      <c r="Q306" s="4" t="s">
        <v>60</v>
      </c>
      <c r="R306" s="4">
        <v>0</v>
      </c>
      <c r="S306" s="4" t="s">
        <v>165</v>
      </c>
      <c r="U306" s="4">
        <v>0</v>
      </c>
      <c r="V306" s="4">
        <v>30</v>
      </c>
      <c r="W306" s="4">
        <v>0</v>
      </c>
    </row>
    <row r="307" spans="1:23" ht="11.25" customHeight="1" x14ac:dyDescent="0.25">
      <c r="A307" s="4" t="s">
        <v>21</v>
      </c>
      <c r="B307" s="4" t="s">
        <v>35</v>
      </c>
      <c r="C307" s="4" t="s">
        <v>44</v>
      </c>
      <c r="D307" s="4" t="s">
        <v>45</v>
      </c>
      <c r="E307" s="4" t="s">
        <v>25</v>
      </c>
      <c r="F307" s="4" t="s">
        <v>25</v>
      </c>
      <c r="G307" s="4" t="s">
        <v>25</v>
      </c>
      <c r="H307" s="4" t="s">
        <v>25</v>
      </c>
      <c r="I307" s="5">
        <v>44378</v>
      </c>
      <c r="J307" s="6">
        <v>0</v>
      </c>
      <c r="K307" s="6">
        <v>0</v>
      </c>
      <c r="L307" s="6">
        <v>605.42999999999995</v>
      </c>
      <c r="M307" s="6">
        <v>605.42999999999995</v>
      </c>
      <c r="N307" s="6">
        <v>0</v>
      </c>
      <c r="O307" s="6">
        <v>0</v>
      </c>
      <c r="P307" s="6">
        <v>1</v>
      </c>
      <c r="Q307" s="4" t="s">
        <v>60</v>
      </c>
      <c r="R307" s="4">
        <v>0</v>
      </c>
      <c r="S307" s="4" t="s">
        <v>166</v>
      </c>
      <c r="U307" s="4">
        <v>0</v>
      </c>
      <c r="V307" s="4">
        <v>30</v>
      </c>
      <c r="W307" s="4">
        <v>0</v>
      </c>
    </row>
    <row r="308" spans="1:23" ht="11.25" customHeight="1" x14ac:dyDescent="0.25">
      <c r="A308" s="4" t="s">
        <v>21</v>
      </c>
      <c r="B308" s="4" t="s">
        <v>35</v>
      </c>
      <c r="C308" s="4" t="s">
        <v>44</v>
      </c>
      <c r="D308" s="4" t="s">
        <v>45</v>
      </c>
      <c r="E308" s="4" t="s">
        <v>25</v>
      </c>
      <c r="F308" s="4" t="s">
        <v>25</v>
      </c>
      <c r="G308" s="4" t="s">
        <v>25</v>
      </c>
      <c r="H308" s="4" t="s">
        <v>25</v>
      </c>
      <c r="I308" s="5">
        <v>44409</v>
      </c>
      <c r="J308" s="6">
        <v>0</v>
      </c>
      <c r="K308" s="6">
        <v>0</v>
      </c>
      <c r="L308" s="6">
        <v>552.62199999999996</v>
      </c>
      <c r="M308" s="6">
        <v>552.62199999999996</v>
      </c>
      <c r="N308" s="6">
        <v>0</v>
      </c>
      <c r="O308" s="6">
        <v>0</v>
      </c>
      <c r="P308" s="6">
        <v>1</v>
      </c>
      <c r="Q308" s="4" t="s">
        <v>60</v>
      </c>
      <c r="R308" s="4">
        <v>0</v>
      </c>
      <c r="S308" s="4" t="s">
        <v>167</v>
      </c>
      <c r="U308" s="4">
        <v>0</v>
      </c>
      <c r="V308" s="4">
        <v>30</v>
      </c>
      <c r="W308" s="4">
        <v>0</v>
      </c>
    </row>
    <row r="309" spans="1:23" ht="11.25" customHeight="1" x14ac:dyDescent="0.25">
      <c r="A309" s="4" t="s">
        <v>21</v>
      </c>
      <c r="B309" s="4" t="s">
        <v>35</v>
      </c>
      <c r="C309" s="4" t="s">
        <v>44</v>
      </c>
      <c r="D309" s="4" t="s">
        <v>45</v>
      </c>
      <c r="E309" s="4" t="s">
        <v>25</v>
      </c>
      <c r="F309" s="4" t="s">
        <v>25</v>
      </c>
      <c r="G309" s="4" t="s">
        <v>25</v>
      </c>
      <c r="H309" s="4" t="s">
        <v>25</v>
      </c>
      <c r="I309" s="5">
        <v>44440</v>
      </c>
      <c r="J309" s="6">
        <v>0</v>
      </c>
      <c r="K309" s="6">
        <v>0</v>
      </c>
      <c r="L309" s="6">
        <v>485.702</v>
      </c>
      <c r="M309" s="6">
        <v>485.702</v>
      </c>
      <c r="N309" s="6">
        <v>0</v>
      </c>
      <c r="O309" s="6">
        <v>0</v>
      </c>
      <c r="P309" s="6">
        <v>1</v>
      </c>
      <c r="Q309" s="4" t="s">
        <v>60</v>
      </c>
      <c r="R309" s="4">
        <v>0</v>
      </c>
      <c r="S309" s="4" t="s">
        <v>168</v>
      </c>
      <c r="U309" s="4">
        <v>0</v>
      </c>
      <c r="V309" s="4">
        <v>30</v>
      </c>
      <c r="W309" s="4">
        <v>0</v>
      </c>
    </row>
    <row r="310" spans="1:23" ht="11.25" customHeight="1" x14ac:dyDescent="0.25">
      <c r="A310" s="4" t="s">
        <v>59</v>
      </c>
      <c r="B310" s="4" t="s">
        <v>35</v>
      </c>
      <c r="C310" s="4" t="s">
        <v>44</v>
      </c>
      <c r="D310" s="4" t="s">
        <v>45</v>
      </c>
      <c r="E310" s="4" t="s">
        <v>25</v>
      </c>
      <c r="F310" s="4" t="s">
        <v>25</v>
      </c>
      <c r="G310" s="4" t="s">
        <v>25</v>
      </c>
      <c r="H310" s="4" t="s">
        <v>25</v>
      </c>
      <c r="I310" s="5">
        <v>44470</v>
      </c>
      <c r="J310" s="6">
        <v>0</v>
      </c>
      <c r="K310" s="6">
        <v>0</v>
      </c>
      <c r="L310" s="6">
        <v>485.702</v>
      </c>
      <c r="M310" s="6">
        <v>485.702</v>
      </c>
      <c r="N310" s="6">
        <v>0</v>
      </c>
      <c r="O310" s="6">
        <v>0</v>
      </c>
      <c r="P310" s="6">
        <v>1</v>
      </c>
      <c r="Q310" s="4" t="s">
        <v>60</v>
      </c>
      <c r="R310" s="4">
        <v>0</v>
      </c>
      <c r="S310" s="4" t="s">
        <v>169</v>
      </c>
      <c r="U310" s="4">
        <v>0</v>
      </c>
      <c r="V310" s="4">
        <v>30</v>
      </c>
      <c r="W310" s="4">
        <v>0</v>
      </c>
    </row>
    <row r="311" spans="1:23" ht="11.25" customHeight="1" x14ac:dyDescent="0.25">
      <c r="A311" s="4" t="s">
        <v>21</v>
      </c>
      <c r="B311" s="4" t="s">
        <v>35</v>
      </c>
      <c r="C311" s="4" t="s">
        <v>44</v>
      </c>
      <c r="D311" s="4" t="s">
        <v>45</v>
      </c>
      <c r="E311" s="4" t="s">
        <v>25</v>
      </c>
      <c r="F311" s="4" t="s">
        <v>25</v>
      </c>
      <c r="G311" s="4" t="s">
        <v>25</v>
      </c>
      <c r="H311" s="4" t="s">
        <v>37</v>
      </c>
      <c r="I311" s="5">
        <v>44136</v>
      </c>
      <c r="J311" s="6">
        <v>14266</v>
      </c>
      <c r="K311" s="6">
        <v>14266</v>
      </c>
      <c r="L311" s="6">
        <v>390.85599999999999</v>
      </c>
      <c r="M311" s="6">
        <v>390.85599999999999</v>
      </c>
      <c r="N311" s="6">
        <v>390.85599999999999</v>
      </c>
      <c r="O311" s="6">
        <v>390.85599999999999</v>
      </c>
      <c r="P311" s="6">
        <v>0</v>
      </c>
      <c r="Q311" s="4" t="s">
        <v>26</v>
      </c>
      <c r="R311" s="4">
        <v>0</v>
      </c>
      <c r="S311" s="4" t="s">
        <v>170</v>
      </c>
      <c r="T311" s="4" t="s">
        <v>445</v>
      </c>
      <c r="U311" s="4">
        <v>28</v>
      </c>
      <c r="V311" s="4">
        <v>30</v>
      </c>
      <c r="W311" s="4">
        <v>66</v>
      </c>
    </row>
    <row r="312" spans="1:23" ht="11.25" customHeight="1" x14ac:dyDescent="0.25">
      <c r="A312" s="4" t="s">
        <v>28</v>
      </c>
      <c r="B312" s="4" t="s">
        <v>35</v>
      </c>
      <c r="C312" s="4" t="s">
        <v>44</v>
      </c>
      <c r="D312" s="4" t="s">
        <v>45</v>
      </c>
      <c r="E312" s="4" t="s">
        <v>25</v>
      </c>
      <c r="F312" s="4" t="s">
        <v>25</v>
      </c>
      <c r="G312" s="4" t="s">
        <v>25</v>
      </c>
      <c r="H312" s="4" t="s">
        <v>37</v>
      </c>
      <c r="I312" s="5">
        <v>44136</v>
      </c>
      <c r="J312" s="6">
        <v>634</v>
      </c>
      <c r="K312" s="6">
        <v>634</v>
      </c>
      <c r="L312" s="6">
        <v>11.07</v>
      </c>
      <c r="M312" s="6">
        <v>11.07</v>
      </c>
      <c r="N312" s="6">
        <v>11.07</v>
      </c>
      <c r="O312" s="6">
        <v>11.07</v>
      </c>
      <c r="P312" s="6">
        <v>0</v>
      </c>
      <c r="Q312" s="4" t="s">
        <v>26</v>
      </c>
      <c r="R312" s="4">
        <v>0</v>
      </c>
      <c r="S312" s="4" t="s">
        <v>170</v>
      </c>
      <c r="T312" s="4" t="s">
        <v>445</v>
      </c>
      <c r="U312" s="4">
        <v>28</v>
      </c>
      <c r="V312" s="4">
        <v>30</v>
      </c>
      <c r="W312" s="4">
        <v>66</v>
      </c>
    </row>
    <row r="313" spans="1:23" ht="11.25" customHeight="1" x14ac:dyDescent="0.25">
      <c r="A313" s="4" t="s">
        <v>30</v>
      </c>
      <c r="B313" s="4" t="s">
        <v>35</v>
      </c>
      <c r="C313" s="4" t="s">
        <v>44</v>
      </c>
      <c r="D313" s="4" t="s">
        <v>45</v>
      </c>
      <c r="E313" s="4" t="s">
        <v>25</v>
      </c>
      <c r="F313" s="4" t="s">
        <v>25</v>
      </c>
      <c r="G313" s="4" t="s">
        <v>25</v>
      </c>
      <c r="H313" s="4" t="s">
        <v>37</v>
      </c>
      <c r="I313" s="5">
        <v>44136</v>
      </c>
      <c r="J313" s="6">
        <v>441</v>
      </c>
      <c r="K313" s="6">
        <v>441</v>
      </c>
      <c r="L313" s="6">
        <v>23.234999999999999</v>
      </c>
      <c r="M313" s="6">
        <v>23.234999999999999</v>
      </c>
      <c r="N313" s="6">
        <v>23.234999999999999</v>
      </c>
      <c r="O313" s="6">
        <v>23.234999999999999</v>
      </c>
      <c r="P313" s="6">
        <v>0</v>
      </c>
      <c r="Q313" s="4" t="s">
        <v>26</v>
      </c>
      <c r="R313" s="4">
        <v>0</v>
      </c>
      <c r="S313" s="4" t="s">
        <v>170</v>
      </c>
      <c r="T313" s="4" t="s">
        <v>445</v>
      </c>
      <c r="U313" s="4">
        <v>28</v>
      </c>
      <c r="V313" s="4">
        <v>30</v>
      </c>
      <c r="W313" s="4">
        <v>66</v>
      </c>
    </row>
    <row r="314" spans="1:23" ht="11.25" customHeight="1" x14ac:dyDescent="0.25">
      <c r="A314" s="4" t="s">
        <v>21</v>
      </c>
      <c r="B314" s="4" t="s">
        <v>35</v>
      </c>
      <c r="C314" s="4" t="s">
        <v>44</v>
      </c>
      <c r="D314" s="4" t="s">
        <v>45</v>
      </c>
      <c r="E314" s="4" t="s">
        <v>25</v>
      </c>
      <c r="F314" s="4" t="s">
        <v>25</v>
      </c>
      <c r="G314" s="4" t="s">
        <v>25</v>
      </c>
      <c r="H314" s="4" t="s">
        <v>37</v>
      </c>
      <c r="I314" s="5">
        <v>44166</v>
      </c>
      <c r="J314" s="6">
        <v>14079</v>
      </c>
      <c r="K314" s="6">
        <v>14079</v>
      </c>
      <c r="L314" s="6">
        <v>421.47199999999998</v>
      </c>
      <c r="M314" s="6">
        <v>421.47199999999998</v>
      </c>
      <c r="N314" s="6">
        <v>421.47199999999998</v>
      </c>
      <c r="O314" s="6">
        <v>421.47199999999998</v>
      </c>
      <c r="P314" s="6">
        <v>0</v>
      </c>
      <c r="Q314" s="4" t="s">
        <v>26</v>
      </c>
      <c r="R314" s="4">
        <v>0</v>
      </c>
      <c r="S314" s="4" t="s">
        <v>171</v>
      </c>
      <c r="T314" s="4" t="s">
        <v>446</v>
      </c>
      <c r="U314" s="4">
        <v>28</v>
      </c>
      <c r="V314" s="4">
        <v>30</v>
      </c>
      <c r="W314" s="4">
        <v>66</v>
      </c>
    </row>
    <row r="315" spans="1:23" ht="11.25" customHeight="1" x14ac:dyDescent="0.25">
      <c r="A315" s="4" t="s">
        <v>28</v>
      </c>
      <c r="B315" s="4" t="s">
        <v>35</v>
      </c>
      <c r="C315" s="4" t="s">
        <v>44</v>
      </c>
      <c r="D315" s="4" t="s">
        <v>45</v>
      </c>
      <c r="E315" s="4" t="s">
        <v>25</v>
      </c>
      <c r="F315" s="4" t="s">
        <v>25</v>
      </c>
      <c r="G315" s="4" t="s">
        <v>25</v>
      </c>
      <c r="H315" s="4" t="s">
        <v>37</v>
      </c>
      <c r="I315" s="5">
        <v>44166</v>
      </c>
      <c r="J315" s="6">
        <v>693</v>
      </c>
      <c r="K315" s="6">
        <v>693</v>
      </c>
      <c r="L315" s="6">
        <v>13.523</v>
      </c>
      <c r="M315" s="6">
        <v>13.523</v>
      </c>
      <c r="N315" s="6">
        <v>13.523</v>
      </c>
      <c r="O315" s="6">
        <v>13.523</v>
      </c>
      <c r="P315" s="6">
        <v>0</v>
      </c>
      <c r="Q315" s="4" t="s">
        <v>26</v>
      </c>
      <c r="R315" s="4">
        <v>0</v>
      </c>
      <c r="S315" s="4" t="s">
        <v>171</v>
      </c>
      <c r="T315" s="4" t="s">
        <v>446</v>
      </c>
      <c r="U315" s="4">
        <v>28</v>
      </c>
      <c r="V315" s="4">
        <v>30</v>
      </c>
      <c r="W315" s="4">
        <v>66</v>
      </c>
    </row>
    <row r="316" spans="1:23" ht="11.25" customHeight="1" x14ac:dyDescent="0.25">
      <c r="A316" s="4" t="s">
        <v>30</v>
      </c>
      <c r="B316" s="4" t="s">
        <v>35</v>
      </c>
      <c r="C316" s="4" t="s">
        <v>44</v>
      </c>
      <c r="D316" s="4" t="s">
        <v>45</v>
      </c>
      <c r="E316" s="4" t="s">
        <v>25</v>
      </c>
      <c r="F316" s="4" t="s">
        <v>25</v>
      </c>
      <c r="G316" s="4" t="s">
        <v>25</v>
      </c>
      <c r="H316" s="4" t="s">
        <v>37</v>
      </c>
      <c r="I316" s="5">
        <v>44166</v>
      </c>
      <c r="J316" s="6">
        <v>362</v>
      </c>
      <c r="K316" s="6">
        <v>362</v>
      </c>
      <c r="L316" s="6">
        <v>4.141</v>
      </c>
      <c r="M316" s="6">
        <v>4.141</v>
      </c>
      <c r="N316" s="6">
        <v>4.141</v>
      </c>
      <c r="O316" s="6">
        <v>4.141</v>
      </c>
      <c r="P316" s="6">
        <v>0</v>
      </c>
      <c r="Q316" s="4" t="s">
        <v>26</v>
      </c>
      <c r="R316" s="4">
        <v>0</v>
      </c>
      <c r="S316" s="4" t="s">
        <v>171</v>
      </c>
      <c r="T316" s="4" t="s">
        <v>446</v>
      </c>
      <c r="U316" s="4">
        <v>28</v>
      </c>
      <c r="V316" s="4">
        <v>30</v>
      </c>
      <c r="W316" s="4">
        <v>66</v>
      </c>
    </row>
    <row r="317" spans="1:23" ht="11.25" customHeight="1" x14ac:dyDescent="0.25">
      <c r="A317" s="4" t="s">
        <v>21</v>
      </c>
      <c r="B317" s="4" t="s">
        <v>35</v>
      </c>
      <c r="C317" s="4" t="s">
        <v>44</v>
      </c>
      <c r="D317" s="4" t="s">
        <v>45</v>
      </c>
      <c r="E317" s="4" t="s">
        <v>25</v>
      </c>
      <c r="F317" s="4" t="s">
        <v>25</v>
      </c>
      <c r="G317" s="4" t="s">
        <v>25</v>
      </c>
      <c r="H317" s="4" t="s">
        <v>37</v>
      </c>
      <c r="I317" s="5">
        <v>44197</v>
      </c>
      <c r="J317" s="6">
        <v>14088</v>
      </c>
      <c r="K317" s="6">
        <v>14088</v>
      </c>
      <c r="L317" s="6">
        <v>365.07900000000001</v>
      </c>
      <c r="M317" s="6">
        <v>365.07900000000001</v>
      </c>
      <c r="N317" s="6">
        <v>365.07900000000001</v>
      </c>
      <c r="O317" s="6">
        <v>365.07900000000001</v>
      </c>
      <c r="P317" s="6">
        <v>0</v>
      </c>
      <c r="Q317" s="4" t="s">
        <v>26</v>
      </c>
      <c r="R317" s="4">
        <v>0</v>
      </c>
      <c r="S317" s="4" t="s">
        <v>172</v>
      </c>
      <c r="T317" s="4" t="s">
        <v>447</v>
      </c>
      <c r="U317" s="4">
        <v>28</v>
      </c>
      <c r="V317" s="4">
        <v>30</v>
      </c>
      <c r="W317" s="4">
        <v>66</v>
      </c>
    </row>
    <row r="318" spans="1:23" ht="11.25" customHeight="1" x14ac:dyDescent="0.25">
      <c r="A318" s="4" t="s">
        <v>27</v>
      </c>
      <c r="B318" s="4" t="s">
        <v>35</v>
      </c>
      <c r="C318" s="4" t="s">
        <v>44</v>
      </c>
      <c r="D318" s="4" t="s">
        <v>45</v>
      </c>
      <c r="E318" s="4" t="s">
        <v>25</v>
      </c>
      <c r="F318" s="4" t="s">
        <v>25</v>
      </c>
      <c r="G318" s="4" t="s">
        <v>25</v>
      </c>
      <c r="H318" s="4" t="s">
        <v>37</v>
      </c>
      <c r="I318" s="5">
        <v>44197</v>
      </c>
      <c r="J318" s="6">
        <v>-5</v>
      </c>
      <c r="K318" s="6">
        <v>-5</v>
      </c>
      <c r="L318" s="6">
        <v>-8.6020000000000003</v>
      </c>
      <c r="M318" s="6">
        <v>-8.6020000000000003</v>
      </c>
      <c r="N318" s="6">
        <v>-8.6020000000000003</v>
      </c>
      <c r="O318" s="6">
        <v>-8.6020000000000003</v>
      </c>
      <c r="P318" s="6">
        <v>0</v>
      </c>
      <c r="Q318" s="4" t="s">
        <v>26</v>
      </c>
      <c r="R318" s="4">
        <v>0</v>
      </c>
      <c r="S318" s="4" t="s">
        <v>172</v>
      </c>
      <c r="T318" s="4" t="s">
        <v>447</v>
      </c>
      <c r="U318" s="4">
        <v>28</v>
      </c>
      <c r="V318" s="4">
        <v>30</v>
      </c>
      <c r="W318" s="4">
        <v>66</v>
      </c>
    </row>
    <row r="319" spans="1:23" ht="11.25" customHeight="1" x14ac:dyDescent="0.25">
      <c r="A319" s="4" t="s">
        <v>28</v>
      </c>
      <c r="B319" s="4" t="s">
        <v>35</v>
      </c>
      <c r="C319" s="4" t="s">
        <v>44</v>
      </c>
      <c r="D319" s="4" t="s">
        <v>45</v>
      </c>
      <c r="E319" s="4" t="s">
        <v>25</v>
      </c>
      <c r="F319" s="4" t="s">
        <v>25</v>
      </c>
      <c r="G319" s="4" t="s">
        <v>25</v>
      </c>
      <c r="H319" s="4" t="s">
        <v>37</v>
      </c>
      <c r="I319" s="5">
        <v>44197</v>
      </c>
      <c r="J319" s="6">
        <v>836</v>
      </c>
      <c r="K319" s="6">
        <v>836</v>
      </c>
      <c r="L319" s="6">
        <v>11.407</v>
      </c>
      <c r="M319" s="6">
        <v>11.407</v>
      </c>
      <c r="N319" s="6">
        <v>11.407</v>
      </c>
      <c r="O319" s="6">
        <v>11.407</v>
      </c>
      <c r="P319" s="6">
        <v>0</v>
      </c>
      <c r="Q319" s="4" t="s">
        <v>26</v>
      </c>
      <c r="R319" s="4">
        <v>0</v>
      </c>
      <c r="S319" s="4" t="s">
        <v>172</v>
      </c>
      <c r="T319" s="4" t="s">
        <v>447</v>
      </c>
      <c r="U319" s="4">
        <v>28</v>
      </c>
      <c r="V319" s="4">
        <v>30</v>
      </c>
      <c r="W319" s="4">
        <v>66</v>
      </c>
    </row>
    <row r="320" spans="1:23" ht="11.25" customHeight="1" x14ac:dyDescent="0.25">
      <c r="A320" s="4" t="s">
        <v>30</v>
      </c>
      <c r="B320" s="4" t="s">
        <v>35</v>
      </c>
      <c r="C320" s="4" t="s">
        <v>44</v>
      </c>
      <c r="D320" s="4" t="s">
        <v>45</v>
      </c>
      <c r="E320" s="4" t="s">
        <v>25</v>
      </c>
      <c r="F320" s="4" t="s">
        <v>25</v>
      </c>
      <c r="G320" s="4" t="s">
        <v>25</v>
      </c>
      <c r="H320" s="4" t="s">
        <v>37</v>
      </c>
      <c r="I320" s="5">
        <v>44197</v>
      </c>
      <c r="J320" s="6">
        <v>342</v>
      </c>
      <c r="K320" s="6">
        <v>342</v>
      </c>
      <c r="L320" s="6">
        <v>3.9470000000000001</v>
      </c>
      <c r="M320" s="6">
        <v>3.9470000000000001</v>
      </c>
      <c r="N320" s="6">
        <v>3.9470000000000001</v>
      </c>
      <c r="O320" s="6">
        <v>3.9470000000000001</v>
      </c>
      <c r="P320" s="6">
        <v>0</v>
      </c>
      <c r="Q320" s="4" t="s">
        <v>26</v>
      </c>
      <c r="R320" s="4">
        <v>0</v>
      </c>
      <c r="S320" s="4" t="s">
        <v>172</v>
      </c>
      <c r="T320" s="4" t="s">
        <v>447</v>
      </c>
      <c r="U320" s="4">
        <v>28</v>
      </c>
      <c r="V320" s="4">
        <v>30</v>
      </c>
      <c r="W320" s="4">
        <v>66</v>
      </c>
    </row>
    <row r="321" spans="1:23" ht="11.25" customHeight="1" x14ac:dyDescent="0.25">
      <c r="A321" s="4" t="s">
        <v>21</v>
      </c>
      <c r="B321" s="4" t="s">
        <v>35</v>
      </c>
      <c r="C321" s="4" t="s">
        <v>44</v>
      </c>
      <c r="D321" s="4" t="s">
        <v>45</v>
      </c>
      <c r="E321" s="4" t="s">
        <v>25</v>
      </c>
      <c r="F321" s="4" t="s">
        <v>25</v>
      </c>
      <c r="G321" s="4" t="s">
        <v>25</v>
      </c>
      <c r="H321" s="4" t="s">
        <v>37</v>
      </c>
      <c r="I321" s="5">
        <v>44228</v>
      </c>
      <c r="J321" s="6">
        <v>13639</v>
      </c>
      <c r="K321" s="6">
        <v>13639</v>
      </c>
      <c r="L321" s="6">
        <v>309.08800000000002</v>
      </c>
      <c r="M321" s="6">
        <v>309.08800000000002</v>
      </c>
      <c r="N321" s="6">
        <v>309.08800000000002</v>
      </c>
      <c r="O321" s="6">
        <v>309.08800000000002</v>
      </c>
      <c r="P321" s="6">
        <v>0</v>
      </c>
      <c r="Q321" s="4" t="s">
        <v>26</v>
      </c>
      <c r="R321" s="4">
        <v>0</v>
      </c>
      <c r="S321" s="4" t="s">
        <v>173</v>
      </c>
      <c r="T321" s="4" t="s">
        <v>448</v>
      </c>
      <c r="U321" s="4">
        <v>28</v>
      </c>
      <c r="V321" s="4">
        <v>30</v>
      </c>
      <c r="W321" s="4">
        <v>66</v>
      </c>
    </row>
    <row r="322" spans="1:23" ht="11.25" customHeight="1" x14ac:dyDescent="0.25">
      <c r="A322" s="4" t="s">
        <v>28</v>
      </c>
      <c r="B322" s="4" t="s">
        <v>35</v>
      </c>
      <c r="C322" s="4" t="s">
        <v>44</v>
      </c>
      <c r="D322" s="4" t="s">
        <v>45</v>
      </c>
      <c r="E322" s="4" t="s">
        <v>25</v>
      </c>
      <c r="F322" s="4" t="s">
        <v>25</v>
      </c>
      <c r="G322" s="4" t="s">
        <v>25</v>
      </c>
      <c r="H322" s="4" t="s">
        <v>37</v>
      </c>
      <c r="I322" s="5">
        <v>44228</v>
      </c>
      <c r="J322" s="6">
        <v>832</v>
      </c>
      <c r="K322" s="6">
        <v>832</v>
      </c>
      <c r="L322" s="6">
        <v>8.3919999999999995</v>
      </c>
      <c r="M322" s="6">
        <v>8.3919999999999995</v>
      </c>
      <c r="N322" s="6">
        <v>8.3919999999999995</v>
      </c>
      <c r="O322" s="6">
        <v>8.3919999999999995</v>
      </c>
      <c r="P322" s="6">
        <v>0</v>
      </c>
      <c r="Q322" s="4" t="s">
        <v>26</v>
      </c>
      <c r="R322" s="4">
        <v>0</v>
      </c>
      <c r="S322" s="4" t="s">
        <v>173</v>
      </c>
      <c r="T322" s="4" t="s">
        <v>448</v>
      </c>
      <c r="U322" s="4">
        <v>28</v>
      </c>
      <c r="V322" s="4">
        <v>30</v>
      </c>
      <c r="W322" s="4">
        <v>66</v>
      </c>
    </row>
    <row r="323" spans="1:23" ht="11.25" customHeight="1" x14ac:dyDescent="0.25">
      <c r="A323" s="4" t="s">
        <v>30</v>
      </c>
      <c r="B323" s="4" t="s">
        <v>35</v>
      </c>
      <c r="C323" s="4" t="s">
        <v>44</v>
      </c>
      <c r="D323" s="4" t="s">
        <v>45</v>
      </c>
      <c r="E323" s="4" t="s">
        <v>25</v>
      </c>
      <c r="F323" s="4" t="s">
        <v>25</v>
      </c>
      <c r="G323" s="4" t="s">
        <v>25</v>
      </c>
      <c r="H323" s="4" t="s">
        <v>37</v>
      </c>
      <c r="I323" s="5">
        <v>44228</v>
      </c>
      <c r="J323" s="6">
        <v>371</v>
      </c>
      <c r="K323" s="6">
        <v>371</v>
      </c>
      <c r="L323" s="6">
        <v>4.3049999999999997</v>
      </c>
      <c r="M323" s="6">
        <v>4.3049999999999997</v>
      </c>
      <c r="N323" s="6">
        <v>4.3049999999999997</v>
      </c>
      <c r="O323" s="6">
        <v>4.3049999999999997</v>
      </c>
      <c r="P323" s="6">
        <v>0</v>
      </c>
      <c r="Q323" s="4" t="s">
        <v>26</v>
      </c>
      <c r="R323" s="4">
        <v>0</v>
      </c>
      <c r="S323" s="4" t="s">
        <v>173</v>
      </c>
      <c r="T323" s="4" t="s">
        <v>448</v>
      </c>
      <c r="U323" s="4">
        <v>28</v>
      </c>
      <c r="V323" s="4">
        <v>30</v>
      </c>
      <c r="W323" s="4">
        <v>66</v>
      </c>
    </row>
    <row r="324" spans="1:23" ht="11.25" customHeight="1" x14ac:dyDescent="0.25">
      <c r="A324" s="4" t="s">
        <v>21</v>
      </c>
      <c r="B324" s="4" t="s">
        <v>35</v>
      </c>
      <c r="C324" s="4" t="s">
        <v>44</v>
      </c>
      <c r="D324" s="4" t="s">
        <v>45</v>
      </c>
      <c r="E324" s="4" t="s">
        <v>25</v>
      </c>
      <c r="F324" s="4" t="s">
        <v>25</v>
      </c>
      <c r="G324" s="4" t="s">
        <v>25</v>
      </c>
      <c r="H324" s="4" t="s">
        <v>37</v>
      </c>
      <c r="I324" s="5">
        <v>44256</v>
      </c>
      <c r="J324" s="6">
        <v>11726</v>
      </c>
      <c r="K324" s="6">
        <v>11726</v>
      </c>
      <c r="L324" s="6">
        <v>354.69499999999999</v>
      </c>
      <c r="M324" s="6">
        <v>354.69499999999999</v>
      </c>
      <c r="N324" s="6">
        <v>354.69499999999999</v>
      </c>
      <c r="O324" s="6">
        <v>354.69499999999999</v>
      </c>
      <c r="P324" s="6">
        <v>0</v>
      </c>
      <c r="Q324" s="4" t="s">
        <v>26</v>
      </c>
      <c r="R324" s="4">
        <v>0</v>
      </c>
      <c r="S324" s="4" t="s">
        <v>174</v>
      </c>
      <c r="T324" s="4" t="s">
        <v>449</v>
      </c>
      <c r="U324" s="4">
        <v>28</v>
      </c>
      <c r="V324" s="4">
        <v>30</v>
      </c>
      <c r="W324" s="4">
        <v>66</v>
      </c>
    </row>
    <row r="325" spans="1:23" ht="11.25" customHeight="1" x14ac:dyDescent="0.25">
      <c r="A325" s="4" t="s">
        <v>27</v>
      </c>
      <c r="B325" s="4" t="s">
        <v>35</v>
      </c>
      <c r="C325" s="4" t="s">
        <v>44</v>
      </c>
      <c r="D325" s="4" t="s">
        <v>45</v>
      </c>
      <c r="E325" s="4" t="s">
        <v>25</v>
      </c>
      <c r="F325" s="4" t="s">
        <v>25</v>
      </c>
      <c r="G325" s="4" t="s">
        <v>25</v>
      </c>
      <c r="H325" s="4" t="s">
        <v>37</v>
      </c>
      <c r="I325" s="5">
        <v>44256</v>
      </c>
      <c r="J325" s="6">
        <v>-115</v>
      </c>
      <c r="K325" s="6">
        <v>-115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4" t="s">
        <v>26</v>
      </c>
      <c r="R325" s="4">
        <v>0</v>
      </c>
      <c r="S325" s="4" t="s">
        <v>174</v>
      </c>
      <c r="T325" s="4" t="s">
        <v>449</v>
      </c>
      <c r="U325" s="4">
        <v>28</v>
      </c>
      <c r="V325" s="4">
        <v>0</v>
      </c>
      <c r="W325" s="4">
        <v>0</v>
      </c>
    </row>
    <row r="326" spans="1:23" ht="11.25" customHeight="1" x14ac:dyDescent="0.25">
      <c r="A326" s="4" t="s">
        <v>28</v>
      </c>
      <c r="B326" s="4" t="s">
        <v>35</v>
      </c>
      <c r="C326" s="4" t="s">
        <v>44</v>
      </c>
      <c r="D326" s="4" t="s">
        <v>45</v>
      </c>
      <c r="E326" s="4" t="s">
        <v>25</v>
      </c>
      <c r="F326" s="4" t="s">
        <v>25</v>
      </c>
      <c r="G326" s="4" t="s">
        <v>25</v>
      </c>
      <c r="H326" s="4" t="s">
        <v>37</v>
      </c>
      <c r="I326" s="5">
        <v>44256</v>
      </c>
      <c r="J326" s="6">
        <v>844</v>
      </c>
      <c r="K326" s="6">
        <v>844</v>
      </c>
      <c r="L326" s="6">
        <v>11.442</v>
      </c>
      <c r="M326" s="6">
        <v>11.442</v>
      </c>
      <c r="N326" s="6">
        <v>11.442</v>
      </c>
      <c r="O326" s="6">
        <v>11.442</v>
      </c>
      <c r="P326" s="6">
        <v>0</v>
      </c>
      <c r="Q326" s="4" t="s">
        <v>26</v>
      </c>
      <c r="R326" s="4">
        <v>0</v>
      </c>
      <c r="S326" s="4" t="s">
        <v>174</v>
      </c>
      <c r="T326" s="4" t="s">
        <v>449</v>
      </c>
      <c r="U326" s="4">
        <v>28</v>
      </c>
      <c r="V326" s="4">
        <v>30</v>
      </c>
      <c r="W326" s="4">
        <v>66</v>
      </c>
    </row>
    <row r="327" spans="1:23" ht="11.25" customHeight="1" x14ac:dyDescent="0.25">
      <c r="A327" s="4" t="s">
        <v>30</v>
      </c>
      <c r="B327" s="4" t="s">
        <v>35</v>
      </c>
      <c r="C327" s="4" t="s">
        <v>44</v>
      </c>
      <c r="D327" s="4" t="s">
        <v>45</v>
      </c>
      <c r="E327" s="4" t="s">
        <v>25</v>
      </c>
      <c r="F327" s="4" t="s">
        <v>25</v>
      </c>
      <c r="G327" s="4" t="s">
        <v>25</v>
      </c>
      <c r="H327" s="4" t="s">
        <v>37</v>
      </c>
      <c r="I327" s="5">
        <v>44256</v>
      </c>
      <c r="J327" s="6">
        <v>352</v>
      </c>
      <c r="K327" s="6">
        <v>352</v>
      </c>
      <c r="L327" s="6">
        <v>5.16</v>
      </c>
      <c r="M327" s="6">
        <v>5.16</v>
      </c>
      <c r="N327" s="6">
        <v>5.16</v>
      </c>
      <c r="O327" s="6">
        <v>5.16</v>
      </c>
      <c r="P327" s="6">
        <v>0</v>
      </c>
      <c r="Q327" s="4" t="s">
        <v>26</v>
      </c>
      <c r="R327" s="4">
        <v>0</v>
      </c>
      <c r="S327" s="4" t="s">
        <v>174</v>
      </c>
      <c r="T327" s="4" t="s">
        <v>449</v>
      </c>
      <c r="U327" s="4">
        <v>28</v>
      </c>
      <c r="V327" s="4">
        <v>30</v>
      </c>
      <c r="W327" s="4">
        <v>66</v>
      </c>
    </row>
    <row r="328" spans="1:23" ht="11.25" customHeight="1" x14ac:dyDescent="0.25">
      <c r="A328" s="4" t="s">
        <v>21</v>
      </c>
      <c r="B328" s="4" t="s">
        <v>35</v>
      </c>
      <c r="C328" s="4" t="s">
        <v>44</v>
      </c>
      <c r="D328" s="4" t="s">
        <v>45</v>
      </c>
      <c r="E328" s="4" t="s">
        <v>25</v>
      </c>
      <c r="F328" s="4" t="s">
        <v>25</v>
      </c>
      <c r="G328" s="4" t="s">
        <v>25</v>
      </c>
      <c r="H328" s="4" t="s">
        <v>37</v>
      </c>
      <c r="I328" s="5">
        <v>44287</v>
      </c>
      <c r="J328" s="6">
        <v>11738</v>
      </c>
      <c r="K328" s="6">
        <v>11738</v>
      </c>
      <c r="L328" s="6">
        <v>340.83100000000002</v>
      </c>
      <c r="M328" s="6">
        <v>340.83100000000002</v>
      </c>
      <c r="N328" s="6">
        <v>340.83100000000002</v>
      </c>
      <c r="O328" s="6">
        <v>340.83100000000002</v>
      </c>
      <c r="P328" s="6">
        <v>0</v>
      </c>
      <c r="Q328" s="4" t="s">
        <v>26</v>
      </c>
      <c r="R328" s="4">
        <v>0</v>
      </c>
      <c r="S328" s="4" t="s">
        <v>175</v>
      </c>
      <c r="T328" s="4" t="s">
        <v>450</v>
      </c>
      <c r="U328" s="4">
        <v>28</v>
      </c>
      <c r="V328" s="4">
        <v>30</v>
      </c>
      <c r="W328" s="4">
        <v>66</v>
      </c>
    </row>
    <row r="329" spans="1:23" ht="11.25" customHeight="1" x14ac:dyDescent="0.25">
      <c r="A329" s="4" t="s">
        <v>28</v>
      </c>
      <c r="B329" s="4" t="s">
        <v>35</v>
      </c>
      <c r="C329" s="4" t="s">
        <v>44</v>
      </c>
      <c r="D329" s="4" t="s">
        <v>45</v>
      </c>
      <c r="E329" s="4" t="s">
        <v>25</v>
      </c>
      <c r="F329" s="4" t="s">
        <v>25</v>
      </c>
      <c r="G329" s="4" t="s">
        <v>25</v>
      </c>
      <c r="H329" s="4" t="s">
        <v>37</v>
      </c>
      <c r="I329" s="5">
        <v>44287</v>
      </c>
      <c r="J329" s="6">
        <v>832</v>
      </c>
      <c r="K329" s="6">
        <v>832</v>
      </c>
      <c r="L329" s="6">
        <v>9.9700000000000006</v>
      </c>
      <c r="M329" s="6">
        <v>9.9700000000000006</v>
      </c>
      <c r="N329" s="6">
        <v>9.9700000000000006</v>
      </c>
      <c r="O329" s="6">
        <v>9.9700000000000006</v>
      </c>
      <c r="P329" s="6">
        <v>0</v>
      </c>
      <c r="Q329" s="4" t="s">
        <v>26</v>
      </c>
      <c r="R329" s="4">
        <v>0</v>
      </c>
      <c r="S329" s="4" t="s">
        <v>175</v>
      </c>
      <c r="T329" s="4" t="s">
        <v>450</v>
      </c>
      <c r="U329" s="4">
        <v>28</v>
      </c>
      <c r="V329" s="4">
        <v>30</v>
      </c>
      <c r="W329" s="4">
        <v>66</v>
      </c>
    </row>
    <row r="330" spans="1:23" ht="11.25" customHeight="1" x14ac:dyDescent="0.25">
      <c r="A330" s="4" t="s">
        <v>30</v>
      </c>
      <c r="B330" s="4" t="s">
        <v>35</v>
      </c>
      <c r="C330" s="4" t="s">
        <v>44</v>
      </c>
      <c r="D330" s="4" t="s">
        <v>45</v>
      </c>
      <c r="E330" s="4" t="s">
        <v>25</v>
      </c>
      <c r="F330" s="4" t="s">
        <v>25</v>
      </c>
      <c r="G330" s="4" t="s">
        <v>25</v>
      </c>
      <c r="H330" s="4" t="s">
        <v>37</v>
      </c>
      <c r="I330" s="5">
        <v>44287</v>
      </c>
      <c r="J330" s="6">
        <v>353</v>
      </c>
      <c r="K330" s="6">
        <v>353</v>
      </c>
      <c r="L330" s="6">
        <v>7.91</v>
      </c>
      <c r="M330" s="6">
        <v>7.91</v>
      </c>
      <c r="N330" s="6">
        <v>7.91</v>
      </c>
      <c r="O330" s="6">
        <v>7.91</v>
      </c>
      <c r="P330" s="6">
        <v>0</v>
      </c>
      <c r="Q330" s="4" t="s">
        <v>26</v>
      </c>
      <c r="R330" s="4">
        <v>0</v>
      </c>
      <c r="S330" s="4" t="s">
        <v>175</v>
      </c>
      <c r="T330" s="4" t="s">
        <v>450</v>
      </c>
      <c r="U330" s="4">
        <v>28</v>
      </c>
      <c r="V330" s="4">
        <v>30</v>
      </c>
      <c r="W330" s="4">
        <v>66</v>
      </c>
    </row>
    <row r="331" spans="1:23" ht="11.25" customHeight="1" x14ac:dyDescent="0.25">
      <c r="A331" s="4" t="s">
        <v>21</v>
      </c>
      <c r="B331" s="4" t="s">
        <v>35</v>
      </c>
      <c r="C331" s="4" t="s">
        <v>44</v>
      </c>
      <c r="D331" s="4" t="s">
        <v>45</v>
      </c>
      <c r="E331" s="4" t="s">
        <v>25</v>
      </c>
      <c r="F331" s="4" t="s">
        <v>25</v>
      </c>
      <c r="G331" s="4" t="s">
        <v>25</v>
      </c>
      <c r="H331" s="4" t="s">
        <v>37</v>
      </c>
      <c r="I331" s="5">
        <v>44287</v>
      </c>
      <c r="J331" s="6">
        <v>1400</v>
      </c>
      <c r="K331" s="6">
        <v>1400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4" t="s">
        <v>60</v>
      </c>
      <c r="R331" s="4">
        <v>0</v>
      </c>
      <c r="S331" s="4" t="s">
        <v>175</v>
      </c>
      <c r="U331" s="4">
        <v>28</v>
      </c>
      <c r="V331" s="4">
        <v>0</v>
      </c>
      <c r="W331" s="4">
        <v>0</v>
      </c>
    </row>
    <row r="332" spans="1:23" ht="11.25" customHeight="1" x14ac:dyDescent="0.25">
      <c r="A332" s="4" t="s">
        <v>21</v>
      </c>
      <c r="B332" s="4" t="s">
        <v>35</v>
      </c>
      <c r="C332" s="4" t="s">
        <v>44</v>
      </c>
      <c r="D332" s="4" t="s">
        <v>45</v>
      </c>
      <c r="E332" s="4" t="s">
        <v>25</v>
      </c>
      <c r="F332" s="4" t="s">
        <v>25</v>
      </c>
      <c r="G332" s="4" t="s">
        <v>25</v>
      </c>
      <c r="H332" s="4" t="s">
        <v>37</v>
      </c>
      <c r="I332" s="5">
        <v>44317</v>
      </c>
      <c r="J332" s="6">
        <v>11183</v>
      </c>
      <c r="K332" s="6">
        <v>11183</v>
      </c>
      <c r="L332" s="6">
        <v>357.49400000000003</v>
      </c>
      <c r="M332" s="6">
        <v>357.49400000000003</v>
      </c>
      <c r="N332" s="6">
        <v>357.49400000000003</v>
      </c>
      <c r="O332" s="6">
        <v>357.49400000000003</v>
      </c>
      <c r="P332" s="6">
        <v>0</v>
      </c>
      <c r="Q332" s="4" t="s">
        <v>26</v>
      </c>
      <c r="R332" s="4">
        <v>0</v>
      </c>
      <c r="S332" s="4" t="s">
        <v>176</v>
      </c>
      <c r="T332" s="4" t="s">
        <v>451</v>
      </c>
      <c r="U332" s="4">
        <v>28</v>
      </c>
      <c r="V332" s="4">
        <v>30</v>
      </c>
      <c r="W332" s="4">
        <v>66</v>
      </c>
    </row>
    <row r="333" spans="1:23" ht="11.25" customHeight="1" x14ac:dyDescent="0.25">
      <c r="A333" s="4" t="s">
        <v>28</v>
      </c>
      <c r="B333" s="4" t="s">
        <v>35</v>
      </c>
      <c r="C333" s="4" t="s">
        <v>44</v>
      </c>
      <c r="D333" s="4" t="s">
        <v>45</v>
      </c>
      <c r="E333" s="4" t="s">
        <v>25</v>
      </c>
      <c r="F333" s="4" t="s">
        <v>25</v>
      </c>
      <c r="G333" s="4" t="s">
        <v>25</v>
      </c>
      <c r="H333" s="4" t="s">
        <v>37</v>
      </c>
      <c r="I333" s="5">
        <v>44317</v>
      </c>
      <c r="J333" s="6">
        <v>937</v>
      </c>
      <c r="K333" s="6">
        <v>937</v>
      </c>
      <c r="L333" s="6">
        <v>10.384</v>
      </c>
      <c r="M333" s="6">
        <v>10.384</v>
      </c>
      <c r="N333" s="6">
        <v>10.384</v>
      </c>
      <c r="O333" s="6">
        <v>10.384</v>
      </c>
      <c r="P333" s="6">
        <v>0</v>
      </c>
      <c r="Q333" s="4" t="s">
        <v>26</v>
      </c>
      <c r="R333" s="4">
        <v>0</v>
      </c>
      <c r="S333" s="4" t="s">
        <v>176</v>
      </c>
      <c r="T333" s="4" t="s">
        <v>451</v>
      </c>
      <c r="U333" s="4">
        <v>28</v>
      </c>
      <c r="V333" s="4">
        <v>30</v>
      </c>
      <c r="W333" s="4">
        <v>66</v>
      </c>
    </row>
    <row r="334" spans="1:23" ht="11.25" customHeight="1" x14ac:dyDescent="0.25">
      <c r="A334" s="4" t="s">
        <v>30</v>
      </c>
      <c r="B334" s="4" t="s">
        <v>35</v>
      </c>
      <c r="C334" s="4" t="s">
        <v>44</v>
      </c>
      <c r="D334" s="4" t="s">
        <v>45</v>
      </c>
      <c r="E334" s="4" t="s">
        <v>25</v>
      </c>
      <c r="F334" s="4" t="s">
        <v>25</v>
      </c>
      <c r="G334" s="4" t="s">
        <v>25</v>
      </c>
      <c r="H334" s="4" t="s">
        <v>37</v>
      </c>
      <c r="I334" s="5">
        <v>44317</v>
      </c>
      <c r="J334" s="6">
        <v>361</v>
      </c>
      <c r="K334" s="6">
        <v>361</v>
      </c>
      <c r="L334" s="6">
        <v>8.7620000000000005</v>
      </c>
      <c r="M334" s="6">
        <v>8.7620000000000005</v>
      </c>
      <c r="N334" s="6">
        <v>8.7620000000000005</v>
      </c>
      <c r="O334" s="6">
        <v>8.7620000000000005</v>
      </c>
      <c r="P334" s="6">
        <v>0</v>
      </c>
      <c r="Q334" s="4" t="s">
        <v>26</v>
      </c>
      <c r="R334" s="4">
        <v>0</v>
      </c>
      <c r="S334" s="4" t="s">
        <v>176</v>
      </c>
      <c r="T334" s="4" t="s">
        <v>451</v>
      </c>
      <c r="U334" s="4">
        <v>28</v>
      </c>
      <c r="V334" s="4">
        <v>30</v>
      </c>
      <c r="W334" s="4">
        <v>66</v>
      </c>
    </row>
    <row r="335" spans="1:23" ht="11.25" customHeight="1" x14ac:dyDescent="0.25">
      <c r="A335" s="4" t="s">
        <v>21</v>
      </c>
      <c r="B335" s="4" t="s">
        <v>35</v>
      </c>
      <c r="C335" s="4" t="s">
        <v>44</v>
      </c>
      <c r="D335" s="4" t="s">
        <v>45</v>
      </c>
      <c r="E335" s="4" t="s">
        <v>25</v>
      </c>
      <c r="F335" s="4" t="s">
        <v>25</v>
      </c>
      <c r="G335" s="4" t="s">
        <v>25</v>
      </c>
      <c r="H335" s="4" t="s">
        <v>37</v>
      </c>
      <c r="I335" s="5">
        <v>44317</v>
      </c>
      <c r="J335" s="6">
        <v>1400</v>
      </c>
      <c r="K335" s="6">
        <v>1400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4" t="s">
        <v>60</v>
      </c>
      <c r="R335" s="4">
        <v>0</v>
      </c>
      <c r="S335" s="4" t="s">
        <v>176</v>
      </c>
      <c r="U335" s="4">
        <v>28</v>
      </c>
      <c r="V335" s="4">
        <v>0</v>
      </c>
      <c r="W335" s="4">
        <v>0</v>
      </c>
    </row>
    <row r="336" spans="1:23" ht="11.25" customHeight="1" x14ac:dyDescent="0.25">
      <c r="A336" s="4" t="s">
        <v>21</v>
      </c>
      <c r="B336" s="4" t="s">
        <v>35</v>
      </c>
      <c r="C336" s="4" t="s">
        <v>44</v>
      </c>
      <c r="D336" s="4" t="s">
        <v>45</v>
      </c>
      <c r="E336" s="4" t="s">
        <v>25</v>
      </c>
      <c r="F336" s="4" t="s">
        <v>25</v>
      </c>
      <c r="G336" s="4" t="s">
        <v>25</v>
      </c>
      <c r="H336" s="4" t="s">
        <v>37</v>
      </c>
      <c r="I336" s="5">
        <v>44348</v>
      </c>
      <c r="J336" s="6">
        <v>11099</v>
      </c>
      <c r="K336" s="6">
        <v>11099</v>
      </c>
      <c r="L336" s="6">
        <v>352.80900000000003</v>
      </c>
      <c r="M336" s="6">
        <v>352.80900000000003</v>
      </c>
      <c r="N336" s="6">
        <v>352.80900000000003</v>
      </c>
      <c r="O336" s="6">
        <v>352.80900000000003</v>
      </c>
      <c r="P336" s="6">
        <v>0</v>
      </c>
      <c r="Q336" s="4" t="s">
        <v>26</v>
      </c>
      <c r="R336" s="4">
        <v>0</v>
      </c>
      <c r="S336" s="4" t="s">
        <v>177</v>
      </c>
      <c r="T336" s="4" t="s">
        <v>452</v>
      </c>
      <c r="U336" s="4">
        <v>28</v>
      </c>
      <c r="V336" s="4">
        <v>30</v>
      </c>
      <c r="W336" s="4">
        <v>66</v>
      </c>
    </row>
    <row r="337" spans="1:23" ht="11.25" customHeight="1" x14ac:dyDescent="0.25">
      <c r="A337" s="4" t="s">
        <v>27</v>
      </c>
      <c r="B337" s="4" t="s">
        <v>35</v>
      </c>
      <c r="C337" s="4" t="s">
        <v>44</v>
      </c>
      <c r="D337" s="4" t="s">
        <v>45</v>
      </c>
      <c r="E337" s="4" t="s">
        <v>25</v>
      </c>
      <c r="F337" s="4" t="s">
        <v>25</v>
      </c>
      <c r="G337" s="4" t="s">
        <v>25</v>
      </c>
      <c r="H337" s="4" t="s">
        <v>37</v>
      </c>
      <c r="I337" s="5">
        <v>44348</v>
      </c>
      <c r="J337" s="6">
        <v>-6</v>
      </c>
      <c r="K337" s="6">
        <v>-6</v>
      </c>
      <c r="L337" s="6">
        <v>1.18</v>
      </c>
      <c r="M337" s="6">
        <v>1.18</v>
      </c>
      <c r="N337" s="6">
        <v>1.18</v>
      </c>
      <c r="O337" s="6">
        <v>1.18</v>
      </c>
      <c r="P337" s="6">
        <v>0</v>
      </c>
      <c r="Q337" s="4" t="s">
        <v>26</v>
      </c>
      <c r="R337" s="4">
        <v>0</v>
      </c>
      <c r="S337" s="4" t="s">
        <v>177</v>
      </c>
      <c r="T337" s="4" t="s">
        <v>452</v>
      </c>
      <c r="U337" s="4">
        <v>28</v>
      </c>
      <c r="V337" s="4">
        <v>30</v>
      </c>
      <c r="W337" s="4">
        <v>66</v>
      </c>
    </row>
    <row r="338" spans="1:23" ht="11.25" customHeight="1" x14ac:dyDescent="0.25">
      <c r="A338" s="4" t="s">
        <v>28</v>
      </c>
      <c r="B338" s="4" t="s">
        <v>35</v>
      </c>
      <c r="C338" s="4" t="s">
        <v>44</v>
      </c>
      <c r="D338" s="4" t="s">
        <v>45</v>
      </c>
      <c r="E338" s="4" t="s">
        <v>25</v>
      </c>
      <c r="F338" s="4" t="s">
        <v>25</v>
      </c>
      <c r="G338" s="4" t="s">
        <v>25</v>
      </c>
      <c r="H338" s="4" t="s">
        <v>37</v>
      </c>
      <c r="I338" s="5">
        <v>44348</v>
      </c>
      <c r="J338" s="6">
        <v>965</v>
      </c>
      <c r="K338" s="6">
        <v>965</v>
      </c>
      <c r="L338" s="6">
        <v>12.986000000000001</v>
      </c>
      <c r="M338" s="6">
        <v>12.986000000000001</v>
      </c>
      <c r="N338" s="6">
        <v>12.986000000000001</v>
      </c>
      <c r="O338" s="6">
        <v>12.986000000000001</v>
      </c>
      <c r="P338" s="6">
        <v>0</v>
      </c>
      <c r="Q338" s="4" t="s">
        <v>26</v>
      </c>
      <c r="R338" s="4">
        <v>0</v>
      </c>
      <c r="S338" s="4" t="s">
        <v>177</v>
      </c>
      <c r="T338" s="4" t="s">
        <v>452</v>
      </c>
      <c r="U338" s="4">
        <v>28</v>
      </c>
      <c r="V338" s="4">
        <v>30</v>
      </c>
      <c r="W338" s="4">
        <v>66</v>
      </c>
    </row>
    <row r="339" spans="1:23" ht="11.25" customHeight="1" x14ac:dyDescent="0.25">
      <c r="A339" s="4" t="s">
        <v>30</v>
      </c>
      <c r="B339" s="4" t="s">
        <v>35</v>
      </c>
      <c r="C339" s="4" t="s">
        <v>44</v>
      </c>
      <c r="D339" s="4" t="s">
        <v>45</v>
      </c>
      <c r="E339" s="4" t="s">
        <v>25</v>
      </c>
      <c r="F339" s="4" t="s">
        <v>25</v>
      </c>
      <c r="G339" s="4" t="s">
        <v>25</v>
      </c>
      <c r="H339" s="4" t="s">
        <v>37</v>
      </c>
      <c r="I339" s="5">
        <v>44348</v>
      </c>
      <c r="J339" s="6">
        <v>247</v>
      </c>
      <c r="K339" s="6">
        <v>247</v>
      </c>
      <c r="L339" s="6">
        <v>8.8970000000000002</v>
      </c>
      <c r="M339" s="6">
        <v>8.8970000000000002</v>
      </c>
      <c r="N339" s="6">
        <v>8.8970000000000002</v>
      </c>
      <c r="O339" s="6">
        <v>8.8970000000000002</v>
      </c>
      <c r="P339" s="6">
        <v>0</v>
      </c>
      <c r="Q339" s="4" t="s">
        <v>26</v>
      </c>
      <c r="R339" s="4">
        <v>0</v>
      </c>
      <c r="S339" s="4" t="s">
        <v>177</v>
      </c>
      <c r="T339" s="4" t="s">
        <v>452</v>
      </c>
      <c r="U339" s="4">
        <v>28</v>
      </c>
      <c r="V339" s="4">
        <v>30</v>
      </c>
      <c r="W339" s="4">
        <v>66</v>
      </c>
    </row>
    <row r="340" spans="1:23" ht="11.25" customHeight="1" x14ac:dyDescent="0.25">
      <c r="A340" s="4" t="s">
        <v>21</v>
      </c>
      <c r="B340" s="4" t="s">
        <v>35</v>
      </c>
      <c r="C340" s="4" t="s">
        <v>44</v>
      </c>
      <c r="D340" s="4" t="s">
        <v>45</v>
      </c>
      <c r="E340" s="4" t="s">
        <v>25</v>
      </c>
      <c r="F340" s="4" t="s">
        <v>25</v>
      </c>
      <c r="G340" s="4" t="s">
        <v>25</v>
      </c>
      <c r="H340" s="4" t="s">
        <v>37</v>
      </c>
      <c r="I340" s="5">
        <v>44378</v>
      </c>
      <c r="J340" s="6">
        <v>10956</v>
      </c>
      <c r="K340" s="6">
        <v>10956</v>
      </c>
      <c r="L340" s="6">
        <v>367.25299999999999</v>
      </c>
      <c r="M340" s="6">
        <v>367.25299999999999</v>
      </c>
      <c r="N340" s="6">
        <v>367.25299999999999</v>
      </c>
      <c r="O340" s="6">
        <v>367.25299999999999</v>
      </c>
      <c r="P340" s="6">
        <v>0</v>
      </c>
      <c r="Q340" s="4" t="s">
        <v>26</v>
      </c>
      <c r="R340" s="4">
        <v>0</v>
      </c>
      <c r="S340" s="4" t="s">
        <v>178</v>
      </c>
      <c r="T340" s="4" t="s">
        <v>453</v>
      </c>
      <c r="U340" s="4">
        <v>28</v>
      </c>
      <c r="V340" s="4">
        <v>30</v>
      </c>
      <c r="W340" s="4">
        <v>66</v>
      </c>
    </row>
    <row r="341" spans="1:23" ht="11.25" customHeight="1" x14ac:dyDescent="0.25">
      <c r="A341" s="4" t="s">
        <v>27</v>
      </c>
      <c r="B341" s="4" t="s">
        <v>35</v>
      </c>
      <c r="C341" s="4" t="s">
        <v>44</v>
      </c>
      <c r="D341" s="4" t="s">
        <v>45</v>
      </c>
      <c r="E341" s="4" t="s">
        <v>25</v>
      </c>
      <c r="F341" s="4" t="s">
        <v>25</v>
      </c>
      <c r="G341" s="4" t="s">
        <v>25</v>
      </c>
      <c r="H341" s="4" t="s">
        <v>37</v>
      </c>
      <c r="I341" s="5">
        <v>44378</v>
      </c>
      <c r="J341" s="6">
        <v>-1289</v>
      </c>
      <c r="K341" s="6">
        <v>-1289</v>
      </c>
      <c r="L341" s="6">
        <v>-61.13</v>
      </c>
      <c r="M341" s="6">
        <v>-61.13</v>
      </c>
      <c r="N341" s="6">
        <v>-61.13</v>
      </c>
      <c r="O341" s="6">
        <v>-61.13</v>
      </c>
      <c r="P341" s="6">
        <v>0</v>
      </c>
      <c r="Q341" s="4" t="s">
        <v>26</v>
      </c>
      <c r="R341" s="4">
        <v>0</v>
      </c>
      <c r="S341" s="4" t="s">
        <v>178</v>
      </c>
      <c r="T341" s="4" t="s">
        <v>453</v>
      </c>
      <c r="U341" s="4">
        <v>28</v>
      </c>
      <c r="V341" s="4">
        <v>30</v>
      </c>
      <c r="W341" s="4">
        <v>66</v>
      </c>
    </row>
    <row r="342" spans="1:23" ht="11.25" customHeight="1" x14ac:dyDescent="0.25">
      <c r="A342" s="4" t="s">
        <v>28</v>
      </c>
      <c r="B342" s="4" t="s">
        <v>35</v>
      </c>
      <c r="C342" s="4" t="s">
        <v>44</v>
      </c>
      <c r="D342" s="4" t="s">
        <v>45</v>
      </c>
      <c r="E342" s="4" t="s">
        <v>25</v>
      </c>
      <c r="F342" s="4" t="s">
        <v>25</v>
      </c>
      <c r="G342" s="4" t="s">
        <v>25</v>
      </c>
      <c r="H342" s="4" t="s">
        <v>37</v>
      </c>
      <c r="I342" s="5">
        <v>44378</v>
      </c>
      <c r="J342" s="6">
        <v>482</v>
      </c>
      <c r="K342" s="6">
        <v>482</v>
      </c>
      <c r="L342" s="6">
        <v>2.5009999999999999</v>
      </c>
      <c r="M342" s="6">
        <v>2.5009999999999999</v>
      </c>
      <c r="N342" s="6">
        <v>2.5009999999999999</v>
      </c>
      <c r="O342" s="6">
        <v>2.5009999999999999</v>
      </c>
      <c r="P342" s="6">
        <v>0</v>
      </c>
      <c r="Q342" s="4" t="s">
        <v>26</v>
      </c>
      <c r="R342" s="4">
        <v>0</v>
      </c>
      <c r="S342" s="4" t="s">
        <v>178</v>
      </c>
      <c r="T342" s="4" t="s">
        <v>453</v>
      </c>
      <c r="U342" s="4">
        <v>28</v>
      </c>
      <c r="V342" s="4">
        <v>30</v>
      </c>
      <c r="W342" s="4">
        <v>66</v>
      </c>
    </row>
    <row r="343" spans="1:23" ht="11.25" customHeight="1" x14ac:dyDescent="0.25">
      <c r="A343" s="4" t="s">
        <v>30</v>
      </c>
      <c r="B343" s="4" t="s">
        <v>35</v>
      </c>
      <c r="C343" s="4" t="s">
        <v>44</v>
      </c>
      <c r="D343" s="4" t="s">
        <v>45</v>
      </c>
      <c r="E343" s="4" t="s">
        <v>25</v>
      </c>
      <c r="F343" s="4" t="s">
        <v>25</v>
      </c>
      <c r="G343" s="4" t="s">
        <v>25</v>
      </c>
      <c r="H343" s="4" t="s">
        <v>37</v>
      </c>
      <c r="I343" s="5">
        <v>44378</v>
      </c>
      <c r="J343" s="6">
        <v>248</v>
      </c>
      <c r="K343" s="6">
        <v>248</v>
      </c>
      <c r="L343" s="6">
        <v>9.5060000000000002</v>
      </c>
      <c r="M343" s="6">
        <v>9.5060000000000002</v>
      </c>
      <c r="N343" s="6">
        <v>9.5060000000000002</v>
      </c>
      <c r="O343" s="6">
        <v>9.5060000000000002</v>
      </c>
      <c r="P343" s="6">
        <v>0</v>
      </c>
      <c r="Q343" s="4" t="s">
        <v>26</v>
      </c>
      <c r="R343" s="4">
        <v>0</v>
      </c>
      <c r="S343" s="4" t="s">
        <v>178</v>
      </c>
      <c r="T343" s="4" t="s">
        <v>453</v>
      </c>
      <c r="U343" s="4">
        <v>28</v>
      </c>
      <c r="V343" s="4">
        <v>30</v>
      </c>
      <c r="W343" s="4">
        <v>66</v>
      </c>
    </row>
    <row r="344" spans="1:23" ht="11.25" customHeight="1" x14ac:dyDescent="0.25">
      <c r="A344" s="4" t="s">
        <v>21</v>
      </c>
      <c r="B344" s="4" t="s">
        <v>35</v>
      </c>
      <c r="C344" s="4" t="s">
        <v>44</v>
      </c>
      <c r="D344" s="4" t="s">
        <v>45</v>
      </c>
      <c r="E344" s="4" t="s">
        <v>25</v>
      </c>
      <c r="F344" s="4" t="s">
        <v>25</v>
      </c>
      <c r="G344" s="4" t="s">
        <v>25</v>
      </c>
      <c r="H344" s="4" t="s">
        <v>37</v>
      </c>
      <c r="I344" s="5">
        <v>44378</v>
      </c>
      <c r="J344" s="6">
        <v>1400</v>
      </c>
      <c r="K344" s="6">
        <v>1400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4" t="s">
        <v>60</v>
      </c>
      <c r="R344" s="4">
        <v>0</v>
      </c>
      <c r="S344" s="4" t="s">
        <v>178</v>
      </c>
      <c r="U344" s="4">
        <v>28</v>
      </c>
      <c r="V344" s="4">
        <v>0</v>
      </c>
      <c r="W344" s="4">
        <v>0</v>
      </c>
    </row>
    <row r="345" spans="1:23" ht="11.25" customHeight="1" x14ac:dyDescent="0.25">
      <c r="A345" s="4" t="s">
        <v>21</v>
      </c>
      <c r="B345" s="4" t="s">
        <v>35</v>
      </c>
      <c r="C345" s="4" t="s">
        <v>44</v>
      </c>
      <c r="D345" s="4" t="s">
        <v>45</v>
      </c>
      <c r="E345" s="4" t="s">
        <v>25</v>
      </c>
      <c r="F345" s="4" t="s">
        <v>25</v>
      </c>
      <c r="G345" s="4" t="s">
        <v>25</v>
      </c>
      <c r="H345" s="4" t="s">
        <v>37</v>
      </c>
      <c r="I345" s="5">
        <v>44409</v>
      </c>
      <c r="J345" s="6">
        <v>14797</v>
      </c>
      <c r="K345" s="6">
        <v>14797</v>
      </c>
      <c r="L345" s="6">
        <v>454.72</v>
      </c>
      <c r="M345" s="6">
        <v>454.72</v>
      </c>
      <c r="N345" s="6">
        <v>454.72</v>
      </c>
      <c r="O345" s="6">
        <v>454.72</v>
      </c>
      <c r="P345" s="6">
        <v>0</v>
      </c>
      <c r="Q345" s="4" t="s">
        <v>26</v>
      </c>
      <c r="R345" s="4">
        <v>0</v>
      </c>
      <c r="S345" s="4" t="s">
        <v>179</v>
      </c>
      <c r="T345" s="4" t="s">
        <v>454</v>
      </c>
      <c r="U345" s="4">
        <v>28</v>
      </c>
      <c r="V345" s="4">
        <v>30</v>
      </c>
      <c r="W345" s="4">
        <v>66</v>
      </c>
    </row>
    <row r="346" spans="1:23" ht="11.25" customHeight="1" x14ac:dyDescent="0.25">
      <c r="A346" s="4" t="s">
        <v>27</v>
      </c>
      <c r="B346" s="4" t="s">
        <v>35</v>
      </c>
      <c r="C346" s="4" t="s">
        <v>44</v>
      </c>
      <c r="D346" s="4" t="s">
        <v>45</v>
      </c>
      <c r="E346" s="4" t="s">
        <v>25</v>
      </c>
      <c r="F346" s="4" t="s">
        <v>25</v>
      </c>
      <c r="G346" s="4" t="s">
        <v>25</v>
      </c>
      <c r="H346" s="4" t="s">
        <v>37</v>
      </c>
      <c r="I346" s="5">
        <v>44409</v>
      </c>
      <c r="J346" s="6">
        <v>574</v>
      </c>
      <c r="K346" s="6">
        <v>574</v>
      </c>
      <c r="L346" s="6">
        <v>12.545</v>
      </c>
      <c r="M346" s="6">
        <v>12.545</v>
      </c>
      <c r="N346" s="6">
        <v>12.545</v>
      </c>
      <c r="O346" s="6">
        <v>12.545</v>
      </c>
      <c r="P346" s="6">
        <v>0</v>
      </c>
      <c r="Q346" s="4" t="s">
        <v>26</v>
      </c>
      <c r="R346" s="4">
        <v>0</v>
      </c>
      <c r="S346" s="4" t="s">
        <v>179</v>
      </c>
      <c r="T346" s="4" t="s">
        <v>454</v>
      </c>
      <c r="U346" s="4">
        <v>28</v>
      </c>
      <c r="V346" s="4">
        <v>30</v>
      </c>
      <c r="W346" s="4">
        <v>66</v>
      </c>
    </row>
    <row r="347" spans="1:23" ht="11.25" customHeight="1" x14ac:dyDescent="0.25">
      <c r="A347" s="4" t="s">
        <v>28</v>
      </c>
      <c r="B347" s="4" t="s">
        <v>35</v>
      </c>
      <c r="C347" s="4" t="s">
        <v>44</v>
      </c>
      <c r="D347" s="4" t="s">
        <v>45</v>
      </c>
      <c r="E347" s="4" t="s">
        <v>25</v>
      </c>
      <c r="F347" s="4" t="s">
        <v>25</v>
      </c>
      <c r="G347" s="4" t="s">
        <v>25</v>
      </c>
      <c r="H347" s="4" t="s">
        <v>37</v>
      </c>
      <c r="I347" s="5">
        <v>44409</v>
      </c>
      <c r="J347" s="6">
        <v>482</v>
      </c>
      <c r="K347" s="6">
        <v>482</v>
      </c>
      <c r="L347" s="6">
        <v>2.0489999999999999</v>
      </c>
      <c r="M347" s="6">
        <v>2.0489999999999999</v>
      </c>
      <c r="N347" s="6">
        <v>2.0489999999999999</v>
      </c>
      <c r="O347" s="6">
        <v>2.0489999999999999</v>
      </c>
      <c r="P347" s="6">
        <v>0</v>
      </c>
      <c r="Q347" s="4" t="s">
        <v>26</v>
      </c>
      <c r="R347" s="4">
        <v>0</v>
      </c>
      <c r="S347" s="4" t="s">
        <v>179</v>
      </c>
      <c r="T347" s="4" t="s">
        <v>454</v>
      </c>
      <c r="U347" s="4">
        <v>28</v>
      </c>
      <c r="V347" s="4">
        <v>30</v>
      </c>
      <c r="W347" s="4">
        <v>66</v>
      </c>
    </row>
    <row r="348" spans="1:23" ht="11.25" customHeight="1" x14ac:dyDescent="0.25">
      <c r="A348" s="4" t="s">
        <v>30</v>
      </c>
      <c r="B348" s="4" t="s">
        <v>35</v>
      </c>
      <c r="C348" s="4" t="s">
        <v>44</v>
      </c>
      <c r="D348" s="4" t="s">
        <v>45</v>
      </c>
      <c r="E348" s="4" t="s">
        <v>25</v>
      </c>
      <c r="F348" s="4" t="s">
        <v>25</v>
      </c>
      <c r="G348" s="4" t="s">
        <v>25</v>
      </c>
      <c r="H348" s="4" t="s">
        <v>37</v>
      </c>
      <c r="I348" s="5">
        <v>44409</v>
      </c>
      <c r="J348" s="6">
        <v>267</v>
      </c>
      <c r="K348" s="6">
        <v>267</v>
      </c>
      <c r="L348" s="6">
        <v>8.7230000000000008</v>
      </c>
      <c r="M348" s="6">
        <v>8.7230000000000008</v>
      </c>
      <c r="N348" s="6">
        <v>8.7230000000000008</v>
      </c>
      <c r="O348" s="6">
        <v>8.7230000000000008</v>
      </c>
      <c r="P348" s="6">
        <v>0</v>
      </c>
      <c r="Q348" s="4" t="s">
        <v>26</v>
      </c>
      <c r="R348" s="4">
        <v>0</v>
      </c>
      <c r="S348" s="4" t="s">
        <v>179</v>
      </c>
      <c r="T348" s="4" t="s">
        <v>454</v>
      </c>
      <c r="U348" s="4">
        <v>28</v>
      </c>
      <c r="V348" s="4">
        <v>30</v>
      </c>
      <c r="W348" s="4">
        <v>66</v>
      </c>
    </row>
    <row r="349" spans="1:23" ht="11.25" customHeight="1" x14ac:dyDescent="0.25">
      <c r="A349" s="4" t="s">
        <v>21</v>
      </c>
      <c r="B349" s="4" t="s">
        <v>35</v>
      </c>
      <c r="C349" s="4" t="s">
        <v>44</v>
      </c>
      <c r="D349" s="4" t="s">
        <v>45</v>
      </c>
      <c r="E349" s="4" t="s">
        <v>25</v>
      </c>
      <c r="F349" s="4" t="s">
        <v>25</v>
      </c>
      <c r="G349" s="4" t="s">
        <v>25</v>
      </c>
      <c r="H349" s="4" t="s">
        <v>37</v>
      </c>
      <c r="I349" s="5">
        <v>44409</v>
      </c>
      <c r="J349" s="6">
        <v>1400</v>
      </c>
      <c r="K349" s="6">
        <v>1400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4" t="s">
        <v>60</v>
      </c>
      <c r="R349" s="4">
        <v>0</v>
      </c>
      <c r="S349" s="4" t="s">
        <v>179</v>
      </c>
      <c r="U349" s="4">
        <v>28</v>
      </c>
      <c r="V349" s="4">
        <v>0</v>
      </c>
      <c r="W349" s="4">
        <v>0</v>
      </c>
    </row>
    <row r="350" spans="1:23" ht="11.25" customHeight="1" x14ac:dyDescent="0.25">
      <c r="A350" s="4" t="s">
        <v>21</v>
      </c>
      <c r="B350" s="4" t="s">
        <v>35</v>
      </c>
      <c r="C350" s="4" t="s">
        <v>44</v>
      </c>
      <c r="D350" s="4" t="s">
        <v>45</v>
      </c>
      <c r="E350" s="4" t="s">
        <v>25</v>
      </c>
      <c r="F350" s="4" t="s">
        <v>25</v>
      </c>
      <c r="G350" s="4" t="s">
        <v>25</v>
      </c>
      <c r="H350" s="4" t="s">
        <v>37</v>
      </c>
      <c r="I350" s="5">
        <v>44440</v>
      </c>
      <c r="J350" s="6">
        <v>15560</v>
      </c>
      <c r="K350" s="6">
        <v>15560</v>
      </c>
      <c r="L350" s="6">
        <v>453.15899999999999</v>
      </c>
      <c r="M350" s="6">
        <v>453.15899999999999</v>
      </c>
      <c r="N350" s="6">
        <v>453.15899999999999</v>
      </c>
      <c r="O350" s="6">
        <v>453.15899999999999</v>
      </c>
      <c r="P350" s="6">
        <v>0</v>
      </c>
      <c r="Q350" s="4" t="s">
        <v>26</v>
      </c>
      <c r="R350" s="4">
        <v>0</v>
      </c>
      <c r="S350" s="4" t="s">
        <v>180</v>
      </c>
      <c r="T350" s="4" t="s">
        <v>455</v>
      </c>
      <c r="U350" s="4">
        <v>28</v>
      </c>
      <c r="V350" s="4">
        <v>30</v>
      </c>
      <c r="W350" s="4">
        <v>66</v>
      </c>
    </row>
    <row r="351" spans="1:23" ht="11.25" customHeight="1" x14ac:dyDescent="0.25">
      <c r="A351" s="4" t="s">
        <v>27</v>
      </c>
      <c r="B351" s="4" t="s">
        <v>35</v>
      </c>
      <c r="C351" s="4" t="s">
        <v>44</v>
      </c>
      <c r="D351" s="4" t="s">
        <v>45</v>
      </c>
      <c r="E351" s="4" t="s">
        <v>25</v>
      </c>
      <c r="F351" s="4" t="s">
        <v>25</v>
      </c>
      <c r="G351" s="4" t="s">
        <v>25</v>
      </c>
      <c r="H351" s="4" t="s">
        <v>37</v>
      </c>
      <c r="I351" s="5">
        <v>44440</v>
      </c>
      <c r="J351" s="6">
        <v>-2</v>
      </c>
      <c r="K351" s="6">
        <v>-2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4" t="s">
        <v>26</v>
      </c>
      <c r="R351" s="4">
        <v>0</v>
      </c>
      <c r="S351" s="4" t="s">
        <v>180</v>
      </c>
      <c r="T351" s="4" t="s">
        <v>455</v>
      </c>
      <c r="U351" s="4">
        <v>28</v>
      </c>
      <c r="V351" s="4">
        <v>0</v>
      </c>
      <c r="W351" s="4">
        <v>0</v>
      </c>
    </row>
    <row r="352" spans="1:23" ht="11.25" customHeight="1" x14ac:dyDescent="0.25">
      <c r="A352" s="4" t="s">
        <v>28</v>
      </c>
      <c r="B352" s="4" t="s">
        <v>35</v>
      </c>
      <c r="C352" s="4" t="s">
        <v>44</v>
      </c>
      <c r="D352" s="4" t="s">
        <v>45</v>
      </c>
      <c r="E352" s="4" t="s">
        <v>25</v>
      </c>
      <c r="F352" s="4" t="s">
        <v>25</v>
      </c>
      <c r="G352" s="4" t="s">
        <v>25</v>
      </c>
      <c r="H352" s="4" t="s">
        <v>37</v>
      </c>
      <c r="I352" s="5">
        <v>44440</v>
      </c>
      <c r="J352" s="6">
        <v>482</v>
      </c>
      <c r="K352" s="6">
        <v>482</v>
      </c>
      <c r="L352" s="6">
        <v>1.752</v>
      </c>
      <c r="M352" s="6">
        <v>1.752</v>
      </c>
      <c r="N352" s="6">
        <v>1.752</v>
      </c>
      <c r="O352" s="6">
        <v>1.752</v>
      </c>
      <c r="P352" s="6">
        <v>0</v>
      </c>
      <c r="Q352" s="4" t="s">
        <v>26</v>
      </c>
      <c r="R352" s="4">
        <v>0</v>
      </c>
      <c r="S352" s="4" t="s">
        <v>180</v>
      </c>
      <c r="T352" s="4" t="s">
        <v>455</v>
      </c>
      <c r="U352" s="4">
        <v>28</v>
      </c>
      <c r="V352" s="4">
        <v>30</v>
      </c>
      <c r="W352" s="4">
        <v>66</v>
      </c>
    </row>
    <row r="353" spans="1:23" ht="11.25" customHeight="1" x14ac:dyDescent="0.25">
      <c r="A353" s="4" t="s">
        <v>30</v>
      </c>
      <c r="B353" s="4" t="s">
        <v>35</v>
      </c>
      <c r="C353" s="4" t="s">
        <v>44</v>
      </c>
      <c r="D353" s="4" t="s">
        <v>45</v>
      </c>
      <c r="E353" s="4" t="s">
        <v>25</v>
      </c>
      <c r="F353" s="4" t="s">
        <v>25</v>
      </c>
      <c r="G353" s="4" t="s">
        <v>25</v>
      </c>
      <c r="H353" s="4" t="s">
        <v>37</v>
      </c>
      <c r="I353" s="5">
        <v>44440</v>
      </c>
      <c r="J353" s="6">
        <v>249</v>
      </c>
      <c r="K353" s="6">
        <v>249</v>
      </c>
      <c r="L353" s="6">
        <v>8.4580000000000002</v>
      </c>
      <c r="M353" s="6">
        <v>8.4580000000000002</v>
      </c>
      <c r="N353" s="6">
        <v>8.4580000000000002</v>
      </c>
      <c r="O353" s="6">
        <v>8.4580000000000002</v>
      </c>
      <c r="P353" s="6">
        <v>0</v>
      </c>
      <c r="Q353" s="4" t="s">
        <v>26</v>
      </c>
      <c r="R353" s="4">
        <v>0</v>
      </c>
      <c r="S353" s="4" t="s">
        <v>180</v>
      </c>
      <c r="T353" s="4" t="s">
        <v>455</v>
      </c>
      <c r="U353" s="4">
        <v>28</v>
      </c>
      <c r="V353" s="4">
        <v>30</v>
      </c>
      <c r="W353" s="4">
        <v>66</v>
      </c>
    </row>
    <row r="354" spans="1:23" ht="11.25" customHeight="1" x14ac:dyDescent="0.25">
      <c r="A354" s="4" t="s">
        <v>30</v>
      </c>
      <c r="B354" s="4" t="s">
        <v>35</v>
      </c>
      <c r="C354" s="4" t="s">
        <v>44</v>
      </c>
      <c r="D354" s="4" t="s">
        <v>45</v>
      </c>
      <c r="E354" s="4" t="s">
        <v>25</v>
      </c>
      <c r="F354" s="4" t="s">
        <v>25</v>
      </c>
      <c r="G354" s="4" t="s">
        <v>25</v>
      </c>
      <c r="H354" s="4" t="s">
        <v>37</v>
      </c>
      <c r="I354" s="5">
        <v>44440</v>
      </c>
      <c r="J354" s="6">
        <v>-71</v>
      </c>
      <c r="K354" s="6">
        <v>-71</v>
      </c>
      <c r="L354" s="6">
        <v>-3.5419999999999998</v>
      </c>
      <c r="M354" s="6">
        <v>-3.5419999999999998</v>
      </c>
      <c r="N354" s="6">
        <v>-3.5419999999999998</v>
      </c>
      <c r="O354" s="6">
        <v>-3.5419999999999998</v>
      </c>
      <c r="P354" s="6">
        <v>0</v>
      </c>
      <c r="Q354" s="4" t="s">
        <v>26</v>
      </c>
      <c r="R354" s="4">
        <v>0</v>
      </c>
      <c r="S354" s="4" t="s">
        <v>180</v>
      </c>
      <c r="T354" s="4" t="s">
        <v>455</v>
      </c>
      <c r="U354" s="4">
        <v>28</v>
      </c>
      <c r="V354" s="4">
        <v>30</v>
      </c>
      <c r="W354" s="4">
        <v>66</v>
      </c>
    </row>
    <row r="355" spans="1:23" ht="11.25" customHeight="1" x14ac:dyDescent="0.25">
      <c r="A355" s="4" t="s">
        <v>21</v>
      </c>
      <c r="B355" s="4" t="s">
        <v>35</v>
      </c>
      <c r="C355" s="4" t="s">
        <v>44</v>
      </c>
      <c r="D355" s="4" t="s">
        <v>45</v>
      </c>
      <c r="E355" s="4" t="s">
        <v>25</v>
      </c>
      <c r="F355" s="4" t="s">
        <v>25</v>
      </c>
      <c r="G355" s="4" t="s">
        <v>25</v>
      </c>
      <c r="H355" s="4" t="s">
        <v>37</v>
      </c>
      <c r="I355" s="5">
        <v>44440</v>
      </c>
      <c r="J355" s="6">
        <v>1400</v>
      </c>
      <c r="K355" s="6">
        <v>1400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4" t="s">
        <v>60</v>
      </c>
      <c r="R355" s="4">
        <v>0</v>
      </c>
      <c r="S355" s="4" t="s">
        <v>180</v>
      </c>
      <c r="U355" s="4">
        <v>28</v>
      </c>
      <c r="V355" s="4">
        <v>0</v>
      </c>
      <c r="W355" s="4">
        <v>0</v>
      </c>
    </row>
    <row r="356" spans="1:23" ht="11.25" customHeight="1" x14ac:dyDescent="0.25">
      <c r="A356" s="4" t="s">
        <v>59</v>
      </c>
      <c r="B356" s="4" t="s">
        <v>35</v>
      </c>
      <c r="C356" s="4" t="s">
        <v>44</v>
      </c>
      <c r="D356" s="4" t="s">
        <v>45</v>
      </c>
      <c r="E356" s="4" t="s">
        <v>25</v>
      </c>
      <c r="F356" s="4" t="s">
        <v>25</v>
      </c>
      <c r="G356" s="4" t="s">
        <v>25</v>
      </c>
      <c r="H356" s="4" t="s">
        <v>37</v>
      </c>
      <c r="I356" s="5">
        <v>44470</v>
      </c>
      <c r="J356" s="6">
        <v>15560</v>
      </c>
      <c r="K356" s="6">
        <v>15560</v>
      </c>
      <c r="L356" s="6">
        <v>453.15899999999999</v>
      </c>
      <c r="M356" s="6">
        <v>453.15899999999999</v>
      </c>
      <c r="N356" s="6">
        <v>453.15899999999999</v>
      </c>
      <c r="O356" s="6">
        <v>453.15899999999999</v>
      </c>
      <c r="P356" s="6">
        <v>0</v>
      </c>
      <c r="Q356" s="4" t="s">
        <v>26</v>
      </c>
      <c r="R356" s="4">
        <v>0</v>
      </c>
      <c r="S356" s="4" t="s">
        <v>181</v>
      </c>
      <c r="T356" s="4" t="s">
        <v>456</v>
      </c>
      <c r="U356" s="4">
        <v>28</v>
      </c>
      <c r="V356" s="4">
        <v>30</v>
      </c>
      <c r="W356" s="4">
        <v>66</v>
      </c>
    </row>
    <row r="357" spans="1:23" ht="11.25" customHeight="1" x14ac:dyDescent="0.25">
      <c r="A357" s="4" t="s">
        <v>59</v>
      </c>
      <c r="B357" s="4" t="s">
        <v>35</v>
      </c>
      <c r="C357" s="4" t="s">
        <v>44</v>
      </c>
      <c r="D357" s="4" t="s">
        <v>45</v>
      </c>
      <c r="E357" s="4" t="s">
        <v>25</v>
      </c>
      <c r="F357" s="4" t="s">
        <v>25</v>
      </c>
      <c r="G357" s="4" t="s">
        <v>25</v>
      </c>
      <c r="H357" s="4" t="s">
        <v>37</v>
      </c>
      <c r="I357" s="5">
        <v>44470</v>
      </c>
      <c r="J357" s="6">
        <v>-2</v>
      </c>
      <c r="K357" s="6">
        <v>-2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4" t="s">
        <v>26</v>
      </c>
      <c r="R357" s="4">
        <v>0</v>
      </c>
      <c r="S357" s="4" t="s">
        <v>181</v>
      </c>
      <c r="T357" s="4" t="s">
        <v>456</v>
      </c>
      <c r="U357" s="4">
        <v>28</v>
      </c>
      <c r="V357" s="4">
        <v>0</v>
      </c>
      <c r="W357" s="4">
        <v>0</v>
      </c>
    </row>
    <row r="358" spans="1:23" ht="11.25" customHeight="1" x14ac:dyDescent="0.25">
      <c r="A358" s="4" t="s">
        <v>59</v>
      </c>
      <c r="B358" s="4" t="s">
        <v>35</v>
      </c>
      <c r="C358" s="4" t="s">
        <v>44</v>
      </c>
      <c r="D358" s="4" t="s">
        <v>45</v>
      </c>
      <c r="E358" s="4" t="s">
        <v>25</v>
      </c>
      <c r="F358" s="4" t="s">
        <v>25</v>
      </c>
      <c r="G358" s="4" t="s">
        <v>25</v>
      </c>
      <c r="H358" s="4" t="s">
        <v>37</v>
      </c>
      <c r="I358" s="5">
        <v>44470</v>
      </c>
      <c r="J358" s="6">
        <v>482</v>
      </c>
      <c r="K358" s="6">
        <v>482</v>
      </c>
      <c r="L358" s="6">
        <v>1.752</v>
      </c>
      <c r="M358" s="6">
        <v>1.752</v>
      </c>
      <c r="N358" s="6">
        <v>1.752</v>
      </c>
      <c r="O358" s="6">
        <v>1.752</v>
      </c>
      <c r="P358" s="6">
        <v>0</v>
      </c>
      <c r="Q358" s="4" t="s">
        <v>26</v>
      </c>
      <c r="R358" s="4">
        <v>0</v>
      </c>
      <c r="S358" s="4" t="s">
        <v>181</v>
      </c>
      <c r="T358" s="4" t="s">
        <v>456</v>
      </c>
      <c r="U358" s="4">
        <v>28</v>
      </c>
      <c r="V358" s="4">
        <v>30</v>
      </c>
      <c r="W358" s="4">
        <v>66</v>
      </c>
    </row>
    <row r="359" spans="1:23" ht="11.25" customHeight="1" x14ac:dyDescent="0.25">
      <c r="A359" s="4" t="s">
        <v>59</v>
      </c>
      <c r="B359" s="4" t="s">
        <v>35</v>
      </c>
      <c r="C359" s="4" t="s">
        <v>44</v>
      </c>
      <c r="D359" s="4" t="s">
        <v>45</v>
      </c>
      <c r="E359" s="4" t="s">
        <v>25</v>
      </c>
      <c r="F359" s="4" t="s">
        <v>25</v>
      </c>
      <c r="G359" s="4" t="s">
        <v>25</v>
      </c>
      <c r="H359" s="4" t="s">
        <v>37</v>
      </c>
      <c r="I359" s="5">
        <v>44470</v>
      </c>
      <c r="J359" s="6">
        <v>249</v>
      </c>
      <c r="K359" s="6">
        <v>249</v>
      </c>
      <c r="L359" s="6">
        <v>8.4580000000000002</v>
      </c>
      <c r="M359" s="6">
        <v>8.4580000000000002</v>
      </c>
      <c r="N359" s="6">
        <v>8.4580000000000002</v>
      </c>
      <c r="O359" s="6">
        <v>8.4580000000000002</v>
      </c>
      <c r="P359" s="6">
        <v>0</v>
      </c>
      <c r="Q359" s="4" t="s">
        <v>26</v>
      </c>
      <c r="R359" s="4">
        <v>0</v>
      </c>
      <c r="S359" s="4" t="s">
        <v>181</v>
      </c>
      <c r="T359" s="4" t="s">
        <v>456</v>
      </c>
      <c r="U359" s="4">
        <v>28</v>
      </c>
      <c r="V359" s="4">
        <v>30</v>
      </c>
      <c r="W359" s="4">
        <v>66</v>
      </c>
    </row>
    <row r="360" spans="1:23" ht="11.25" customHeight="1" x14ac:dyDescent="0.25">
      <c r="A360" s="4" t="s">
        <v>59</v>
      </c>
      <c r="B360" s="4" t="s">
        <v>35</v>
      </c>
      <c r="C360" s="4" t="s">
        <v>44</v>
      </c>
      <c r="D360" s="4" t="s">
        <v>45</v>
      </c>
      <c r="E360" s="4" t="s">
        <v>25</v>
      </c>
      <c r="F360" s="4" t="s">
        <v>25</v>
      </c>
      <c r="G360" s="4" t="s">
        <v>25</v>
      </c>
      <c r="H360" s="4" t="s">
        <v>37</v>
      </c>
      <c r="I360" s="5">
        <v>44470</v>
      </c>
      <c r="J360" s="6">
        <v>-71</v>
      </c>
      <c r="K360" s="6">
        <v>-71</v>
      </c>
      <c r="L360" s="6">
        <v>-3.5419999999999998</v>
      </c>
      <c r="M360" s="6">
        <v>-3.5419999999999998</v>
      </c>
      <c r="N360" s="6">
        <v>-3.5419999999999998</v>
      </c>
      <c r="O360" s="6">
        <v>-3.5419999999999998</v>
      </c>
      <c r="P360" s="6">
        <v>0</v>
      </c>
      <c r="Q360" s="4" t="s">
        <v>26</v>
      </c>
      <c r="R360" s="4">
        <v>0</v>
      </c>
      <c r="S360" s="4" t="s">
        <v>181</v>
      </c>
      <c r="T360" s="4" t="s">
        <v>456</v>
      </c>
      <c r="U360" s="4">
        <v>28</v>
      </c>
      <c r="V360" s="4">
        <v>30</v>
      </c>
      <c r="W360" s="4">
        <v>66</v>
      </c>
    </row>
    <row r="361" spans="1:23" ht="11.25" customHeight="1" x14ac:dyDescent="0.25">
      <c r="A361" s="4" t="s">
        <v>59</v>
      </c>
      <c r="B361" s="4" t="s">
        <v>35</v>
      </c>
      <c r="C361" s="4" t="s">
        <v>44</v>
      </c>
      <c r="D361" s="4" t="s">
        <v>45</v>
      </c>
      <c r="E361" s="4" t="s">
        <v>25</v>
      </c>
      <c r="F361" s="4" t="s">
        <v>25</v>
      </c>
      <c r="G361" s="4" t="s">
        <v>25</v>
      </c>
      <c r="H361" s="4" t="s">
        <v>37</v>
      </c>
      <c r="I361" s="5">
        <v>44470</v>
      </c>
      <c r="J361" s="6">
        <v>1400</v>
      </c>
      <c r="K361" s="6">
        <v>1400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4" t="s">
        <v>60</v>
      </c>
      <c r="R361" s="4">
        <v>0</v>
      </c>
      <c r="S361" s="4" t="s">
        <v>181</v>
      </c>
      <c r="U361" s="4">
        <v>28</v>
      </c>
      <c r="V361" s="4">
        <v>0</v>
      </c>
      <c r="W361" s="4">
        <v>0</v>
      </c>
    </row>
    <row r="362" spans="1:23" ht="11.25" customHeight="1" x14ac:dyDescent="0.25">
      <c r="A362" s="4" t="s">
        <v>21</v>
      </c>
      <c r="B362" s="4" t="s">
        <v>35</v>
      </c>
      <c r="C362" s="4" t="s">
        <v>44</v>
      </c>
      <c r="D362" s="4" t="s">
        <v>42</v>
      </c>
      <c r="E362" s="4" t="s">
        <v>25</v>
      </c>
      <c r="F362" s="4" t="s">
        <v>62</v>
      </c>
      <c r="G362" s="4" t="s">
        <v>25</v>
      </c>
      <c r="H362" s="4" t="s">
        <v>38</v>
      </c>
      <c r="I362" s="5">
        <v>44136</v>
      </c>
      <c r="J362" s="6">
        <v>49402</v>
      </c>
      <c r="K362" s="6">
        <v>25446.9702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4" t="s">
        <v>60</v>
      </c>
      <c r="R362" s="4">
        <v>0</v>
      </c>
      <c r="S362" s="4" t="s">
        <v>152</v>
      </c>
      <c r="U362" s="4">
        <v>29</v>
      </c>
      <c r="V362" s="4">
        <v>0</v>
      </c>
      <c r="W362" s="4">
        <v>0</v>
      </c>
    </row>
    <row r="363" spans="1:23" ht="11.25" customHeight="1" x14ac:dyDescent="0.25">
      <c r="A363" s="4" t="s">
        <v>21</v>
      </c>
      <c r="B363" s="4" t="s">
        <v>35</v>
      </c>
      <c r="C363" s="4" t="s">
        <v>44</v>
      </c>
      <c r="D363" s="4" t="s">
        <v>42</v>
      </c>
      <c r="E363" s="4" t="s">
        <v>25</v>
      </c>
      <c r="F363" s="4" t="s">
        <v>62</v>
      </c>
      <c r="G363" s="4" t="s">
        <v>25</v>
      </c>
      <c r="H363" s="4" t="s">
        <v>38</v>
      </c>
      <c r="I363" s="5">
        <v>44166</v>
      </c>
      <c r="J363" s="6">
        <v>50390</v>
      </c>
      <c r="K363" s="6">
        <v>25890.382000000001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4" t="s">
        <v>60</v>
      </c>
      <c r="R363" s="4">
        <v>0</v>
      </c>
      <c r="S363" s="4" t="s">
        <v>153</v>
      </c>
      <c r="U363" s="4">
        <v>29</v>
      </c>
      <c r="V363" s="4">
        <v>0</v>
      </c>
      <c r="W363" s="4">
        <v>0</v>
      </c>
    </row>
    <row r="364" spans="1:23" ht="11.25" customHeight="1" x14ac:dyDescent="0.25">
      <c r="A364" s="4" t="s">
        <v>21</v>
      </c>
      <c r="B364" s="4" t="s">
        <v>35</v>
      </c>
      <c r="C364" s="4" t="s">
        <v>44</v>
      </c>
      <c r="D364" s="4" t="s">
        <v>42</v>
      </c>
      <c r="E364" s="4" t="s">
        <v>25</v>
      </c>
      <c r="F364" s="4" t="s">
        <v>62</v>
      </c>
      <c r="G364" s="4" t="s">
        <v>25</v>
      </c>
      <c r="H364" s="4" t="s">
        <v>38</v>
      </c>
      <c r="I364" s="5">
        <v>44197</v>
      </c>
      <c r="J364" s="6">
        <v>45662</v>
      </c>
      <c r="K364" s="6">
        <v>24378.941800000001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4" t="s">
        <v>60</v>
      </c>
      <c r="R364" s="4">
        <v>0</v>
      </c>
      <c r="S364" s="4" t="s">
        <v>154</v>
      </c>
      <c r="U364" s="4">
        <v>29</v>
      </c>
      <c r="V364" s="4">
        <v>0</v>
      </c>
      <c r="W364" s="4">
        <v>0</v>
      </c>
    </row>
    <row r="365" spans="1:23" ht="11.25" customHeight="1" x14ac:dyDescent="0.25">
      <c r="A365" s="4" t="s">
        <v>21</v>
      </c>
      <c r="B365" s="4" t="s">
        <v>35</v>
      </c>
      <c r="C365" s="4" t="s">
        <v>44</v>
      </c>
      <c r="D365" s="4" t="s">
        <v>42</v>
      </c>
      <c r="E365" s="4" t="s">
        <v>25</v>
      </c>
      <c r="F365" s="4" t="s">
        <v>62</v>
      </c>
      <c r="G365" s="4" t="s">
        <v>25</v>
      </c>
      <c r="H365" s="4" t="s">
        <v>38</v>
      </c>
      <c r="I365" s="5">
        <v>44228</v>
      </c>
      <c r="J365" s="6">
        <v>52318</v>
      </c>
      <c r="K365" s="6">
        <v>26394.431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4" t="s">
        <v>60</v>
      </c>
      <c r="R365" s="4">
        <v>0</v>
      </c>
      <c r="S365" s="4" t="s">
        <v>155</v>
      </c>
      <c r="U365" s="4">
        <v>29</v>
      </c>
      <c r="V365" s="4">
        <v>0</v>
      </c>
      <c r="W365" s="4">
        <v>0</v>
      </c>
    </row>
    <row r="366" spans="1:23" ht="11.25" customHeight="1" x14ac:dyDescent="0.25">
      <c r="A366" s="4" t="s">
        <v>21</v>
      </c>
      <c r="B366" s="4" t="s">
        <v>35</v>
      </c>
      <c r="C366" s="4" t="s">
        <v>44</v>
      </c>
      <c r="D366" s="4" t="s">
        <v>42</v>
      </c>
      <c r="E366" s="4" t="s">
        <v>25</v>
      </c>
      <c r="F366" s="4" t="s">
        <v>62</v>
      </c>
      <c r="G366" s="4" t="s">
        <v>25</v>
      </c>
      <c r="H366" s="4" t="s">
        <v>38</v>
      </c>
      <c r="I366" s="5">
        <v>44256</v>
      </c>
      <c r="J366" s="6">
        <v>52801</v>
      </c>
      <c r="K366" s="6">
        <v>26632.824400000001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4" t="s">
        <v>60</v>
      </c>
      <c r="R366" s="4">
        <v>0</v>
      </c>
      <c r="S366" s="4" t="s">
        <v>156</v>
      </c>
      <c r="U366" s="4">
        <v>29</v>
      </c>
      <c r="V366" s="4">
        <v>0</v>
      </c>
      <c r="W366" s="4">
        <v>0</v>
      </c>
    </row>
    <row r="367" spans="1:23" ht="11.25" customHeight="1" x14ac:dyDescent="0.25">
      <c r="A367" s="4" t="s">
        <v>21</v>
      </c>
      <c r="B367" s="4" t="s">
        <v>35</v>
      </c>
      <c r="C367" s="4" t="s">
        <v>44</v>
      </c>
      <c r="D367" s="4" t="s">
        <v>42</v>
      </c>
      <c r="E367" s="4" t="s">
        <v>25</v>
      </c>
      <c r="F367" s="4" t="s">
        <v>62</v>
      </c>
      <c r="G367" s="4" t="s">
        <v>25</v>
      </c>
      <c r="H367" s="4" t="s">
        <v>38</v>
      </c>
      <c r="I367" s="5">
        <v>44287</v>
      </c>
      <c r="J367" s="6">
        <v>53590</v>
      </c>
      <c r="K367" s="6">
        <v>26987.923999999999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4" t="s">
        <v>60</v>
      </c>
      <c r="R367" s="4">
        <v>0</v>
      </c>
      <c r="S367" s="4" t="s">
        <v>157</v>
      </c>
      <c r="U367" s="4">
        <v>29</v>
      </c>
      <c r="V367" s="4">
        <v>0</v>
      </c>
      <c r="W367" s="4">
        <v>0</v>
      </c>
    </row>
    <row r="368" spans="1:23" ht="11.25" customHeight="1" x14ac:dyDescent="0.25">
      <c r="A368" s="4" t="s">
        <v>21</v>
      </c>
      <c r="B368" s="4" t="s">
        <v>35</v>
      </c>
      <c r="C368" s="4" t="s">
        <v>44</v>
      </c>
      <c r="D368" s="4" t="s">
        <v>42</v>
      </c>
      <c r="E368" s="4" t="s">
        <v>25</v>
      </c>
      <c r="F368" s="4" t="s">
        <v>62</v>
      </c>
      <c r="G368" s="4" t="s">
        <v>25</v>
      </c>
      <c r="H368" s="4" t="s">
        <v>38</v>
      </c>
      <c r="I368" s="5">
        <v>44317</v>
      </c>
      <c r="J368" s="6">
        <v>54209</v>
      </c>
      <c r="K368" s="6">
        <v>27332.177800000001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4" t="s">
        <v>60</v>
      </c>
      <c r="R368" s="4">
        <v>0</v>
      </c>
      <c r="S368" s="4" t="s">
        <v>158</v>
      </c>
      <c r="U368" s="4">
        <v>29</v>
      </c>
      <c r="V368" s="4">
        <v>0</v>
      </c>
      <c r="W368" s="4">
        <v>0</v>
      </c>
    </row>
    <row r="369" spans="1:23" ht="11.25" customHeight="1" x14ac:dyDescent="0.25">
      <c r="A369" s="4" t="s">
        <v>21</v>
      </c>
      <c r="B369" s="4" t="s">
        <v>35</v>
      </c>
      <c r="C369" s="4" t="s">
        <v>44</v>
      </c>
      <c r="D369" s="4" t="s">
        <v>42</v>
      </c>
      <c r="E369" s="4" t="s">
        <v>25</v>
      </c>
      <c r="F369" s="4" t="s">
        <v>62</v>
      </c>
      <c r="G369" s="4" t="s">
        <v>25</v>
      </c>
      <c r="H369" s="4" t="s">
        <v>38</v>
      </c>
      <c r="I369" s="5">
        <v>44348</v>
      </c>
      <c r="J369" s="6">
        <v>45662</v>
      </c>
      <c r="K369" s="6">
        <v>24378.941800000001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4" t="s">
        <v>60</v>
      </c>
      <c r="R369" s="4">
        <v>0</v>
      </c>
      <c r="S369" s="4" t="s">
        <v>159</v>
      </c>
      <c r="U369" s="4">
        <v>29</v>
      </c>
      <c r="V369" s="4">
        <v>0</v>
      </c>
      <c r="W369" s="4">
        <v>0</v>
      </c>
    </row>
    <row r="370" spans="1:23" ht="11.25" customHeight="1" x14ac:dyDescent="0.25">
      <c r="A370" s="4" t="s">
        <v>21</v>
      </c>
      <c r="B370" s="4" t="s">
        <v>35</v>
      </c>
      <c r="C370" s="4" t="s">
        <v>44</v>
      </c>
      <c r="D370" s="4" t="s">
        <v>42</v>
      </c>
      <c r="E370" s="4" t="s">
        <v>25</v>
      </c>
      <c r="F370" s="4" t="s">
        <v>62</v>
      </c>
      <c r="G370" s="4" t="s">
        <v>25</v>
      </c>
      <c r="H370" s="4" t="s">
        <v>38</v>
      </c>
      <c r="I370" s="5">
        <v>44378</v>
      </c>
      <c r="J370" s="6">
        <v>55486</v>
      </c>
      <c r="K370" s="6">
        <v>27476.6672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4" t="s">
        <v>60</v>
      </c>
      <c r="R370" s="4">
        <v>0</v>
      </c>
      <c r="S370" s="4" t="s">
        <v>160</v>
      </c>
      <c r="U370" s="4">
        <v>29</v>
      </c>
      <c r="V370" s="4">
        <v>0</v>
      </c>
      <c r="W370" s="4">
        <v>0</v>
      </c>
    </row>
    <row r="371" spans="1:23" ht="11.25" customHeight="1" x14ac:dyDescent="0.25">
      <c r="A371" s="4" t="s">
        <v>21</v>
      </c>
      <c r="B371" s="4" t="s">
        <v>35</v>
      </c>
      <c r="C371" s="4" t="s">
        <v>44</v>
      </c>
      <c r="D371" s="4" t="s">
        <v>42</v>
      </c>
      <c r="E371" s="4" t="s">
        <v>25</v>
      </c>
      <c r="F371" s="4" t="s">
        <v>62</v>
      </c>
      <c r="G371" s="4" t="s">
        <v>25</v>
      </c>
      <c r="H371" s="4" t="s">
        <v>38</v>
      </c>
      <c r="I371" s="5">
        <v>44409</v>
      </c>
      <c r="J371" s="6">
        <v>53748</v>
      </c>
      <c r="K371" s="6">
        <v>27889.837200000002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4" t="s">
        <v>60</v>
      </c>
      <c r="R371" s="4">
        <v>0</v>
      </c>
      <c r="S371" s="4" t="s">
        <v>161</v>
      </c>
      <c r="U371" s="4">
        <v>29</v>
      </c>
      <c r="V371" s="4">
        <v>0</v>
      </c>
      <c r="W371" s="4">
        <v>0</v>
      </c>
    </row>
    <row r="372" spans="1:23" ht="11.25" customHeight="1" x14ac:dyDescent="0.25">
      <c r="A372" s="4" t="s">
        <v>21</v>
      </c>
      <c r="B372" s="4" t="s">
        <v>35</v>
      </c>
      <c r="C372" s="4" t="s">
        <v>44</v>
      </c>
      <c r="D372" s="4" t="s">
        <v>42</v>
      </c>
      <c r="E372" s="4" t="s">
        <v>25</v>
      </c>
      <c r="F372" s="4" t="s">
        <v>62</v>
      </c>
      <c r="G372" s="4" t="s">
        <v>25</v>
      </c>
      <c r="H372" s="4" t="s">
        <v>38</v>
      </c>
      <c r="I372" s="5">
        <v>44440</v>
      </c>
      <c r="J372" s="6">
        <v>56211</v>
      </c>
      <c r="K372" s="6">
        <v>25300.571100000001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4" t="s">
        <v>60</v>
      </c>
      <c r="R372" s="4">
        <v>0</v>
      </c>
      <c r="S372" s="4" t="s">
        <v>162</v>
      </c>
      <c r="U372" s="4">
        <v>29</v>
      </c>
      <c r="V372" s="4">
        <v>0</v>
      </c>
      <c r="W372" s="4">
        <v>0</v>
      </c>
    </row>
    <row r="373" spans="1:23" ht="11.25" customHeight="1" x14ac:dyDescent="0.25">
      <c r="A373" s="4" t="s">
        <v>59</v>
      </c>
      <c r="B373" s="4" t="s">
        <v>35</v>
      </c>
      <c r="C373" s="4" t="s">
        <v>44</v>
      </c>
      <c r="D373" s="4" t="s">
        <v>42</v>
      </c>
      <c r="E373" s="4" t="s">
        <v>25</v>
      </c>
      <c r="F373" s="4" t="s">
        <v>62</v>
      </c>
      <c r="G373" s="4" t="s">
        <v>25</v>
      </c>
      <c r="H373" s="4" t="s">
        <v>38</v>
      </c>
      <c r="I373" s="5">
        <v>44470</v>
      </c>
      <c r="J373" s="6">
        <v>56211</v>
      </c>
      <c r="K373" s="6">
        <v>25300.571100000001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4" t="s">
        <v>60</v>
      </c>
      <c r="R373" s="4">
        <v>0</v>
      </c>
      <c r="S373" s="4" t="s">
        <v>163</v>
      </c>
      <c r="U373" s="4">
        <v>29</v>
      </c>
      <c r="V373" s="4">
        <v>0</v>
      </c>
      <c r="W373" s="4">
        <v>0</v>
      </c>
    </row>
    <row r="374" spans="1:23" ht="11.25" customHeight="1" x14ac:dyDescent="0.25">
      <c r="A374" s="4" t="s">
        <v>21</v>
      </c>
      <c r="B374" s="4" t="s">
        <v>35</v>
      </c>
      <c r="C374" s="4" t="s">
        <v>44</v>
      </c>
      <c r="D374" s="4" t="s">
        <v>42</v>
      </c>
      <c r="E374" s="4" t="s">
        <v>25</v>
      </c>
      <c r="F374" s="4" t="s">
        <v>62</v>
      </c>
      <c r="G374" s="4" t="s">
        <v>25</v>
      </c>
      <c r="H374" s="4" t="s">
        <v>25</v>
      </c>
      <c r="I374" s="5">
        <v>44136</v>
      </c>
      <c r="J374" s="6">
        <v>0</v>
      </c>
      <c r="K374" s="6">
        <v>0</v>
      </c>
      <c r="L374" s="6">
        <v>22084.305</v>
      </c>
      <c r="M374" s="6">
        <v>22084.305</v>
      </c>
      <c r="N374" s="6">
        <v>0</v>
      </c>
      <c r="O374" s="6">
        <v>0</v>
      </c>
      <c r="P374" s="6">
        <v>51</v>
      </c>
      <c r="Q374" s="4" t="s">
        <v>60</v>
      </c>
      <c r="R374" s="4">
        <v>0</v>
      </c>
      <c r="S374" s="4" t="s">
        <v>182</v>
      </c>
      <c r="U374" s="4">
        <v>0</v>
      </c>
      <c r="V374" s="4">
        <v>30</v>
      </c>
      <c r="W374" s="4">
        <v>0</v>
      </c>
    </row>
    <row r="375" spans="1:23" ht="11.25" customHeight="1" x14ac:dyDescent="0.25">
      <c r="A375" s="4" t="s">
        <v>21</v>
      </c>
      <c r="B375" s="4" t="s">
        <v>35</v>
      </c>
      <c r="C375" s="4" t="s">
        <v>44</v>
      </c>
      <c r="D375" s="4" t="s">
        <v>42</v>
      </c>
      <c r="E375" s="4" t="s">
        <v>25</v>
      </c>
      <c r="F375" s="4" t="s">
        <v>62</v>
      </c>
      <c r="G375" s="4" t="s">
        <v>25</v>
      </c>
      <c r="H375" s="4" t="s">
        <v>25</v>
      </c>
      <c r="I375" s="5">
        <v>44166</v>
      </c>
      <c r="J375" s="6">
        <v>0</v>
      </c>
      <c r="K375" s="6">
        <v>0</v>
      </c>
      <c r="L375" s="6">
        <v>22080.807000000001</v>
      </c>
      <c r="M375" s="6">
        <v>22080.807000000001</v>
      </c>
      <c r="N375" s="6">
        <v>0</v>
      </c>
      <c r="O375" s="6">
        <v>0</v>
      </c>
      <c r="P375" s="6">
        <v>52</v>
      </c>
      <c r="Q375" s="4" t="s">
        <v>60</v>
      </c>
      <c r="R375" s="4">
        <v>0</v>
      </c>
      <c r="S375" s="4" t="s">
        <v>183</v>
      </c>
      <c r="U375" s="4">
        <v>0</v>
      </c>
      <c r="V375" s="4">
        <v>30</v>
      </c>
      <c r="W375" s="4">
        <v>0</v>
      </c>
    </row>
    <row r="376" spans="1:23" ht="11.25" customHeight="1" x14ac:dyDescent="0.25">
      <c r="A376" s="4" t="s">
        <v>21</v>
      </c>
      <c r="B376" s="4" t="s">
        <v>35</v>
      </c>
      <c r="C376" s="4" t="s">
        <v>44</v>
      </c>
      <c r="D376" s="4" t="s">
        <v>42</v>
      </c>
      <c r="E376" s="4" t="s">
        <v>25</v>
      </c>
      <c r="F376" s="4" t="s">
        <v>62</v>
      </c>
      <c r="G376" s="4" t="s">
        <v>25</v>
      </c>
      <c r="H376" s="4" t="s">
        <v>25</v>
      </c>
      <c r="I376" s="5">
        <v>44197</v>
      </c>
      <c r="J376" s="6">
        <v>0</v>
      </c>
      <c r="K376" s="6">
        <v>0</v>
      </c>
      <c r="L376" s="6">
        <v>19711.32</v>
      </c>
      <c r="M376" s="6">
        <v>19711.32</v>
      </c>
      <c r="N376" s="6">
        <v>0</v>
      </c>
      <c r="O376" s="6">
        <v>0</v>
      </c>
      <c r="P376" s="6">
        <v>52</v>
      </c>
      <c r="Q376" s="4" t="s">
        <v>60</v>
      </c>
      <c r="R376" s="4">
        <v>0</v>
      </c>
      <c r="S376" s="4" t="s">
        <v>184</v>
      </c>
      <c r="U376" s="4">
        <v>0</v>
      </c>
      <c r="V376" s="4">
        <v>30</v>
      </c>
      <c r="W376" s="4">
        <v>0</v>
      </c>
    </row>
    <row r="377" spans="1:23" ht="11.25" customHeight="1" x14ac:dyDescent="0.25">
      <c r="A377" s="4" t="s">
        <v>21</v>
      </c>
      <c r="B377" s="4" t="s">
        <v>35</v>
      </c>
      <c r="C377" s="4" t="s">
        <v>44</v>
      </c>
      <c r="D377" s="4" t="s">
        <v>42</v>
      </c>
      <c r="E377" s="4" t="s">
        <v>25</v>
      </c>
      <c r="F377" s="4" t="s">
        <v>62</v>
      </c>
      <c r="G377" s="4" t="s">
        <v>25</v>
      </c>
      <c r="H377" s="4" t="s">
        <v>25</v>
      </c>
      <c r="I377" s="5">
        <v>44228</v>
      </c>
      <c r="J377" s="6">
        <v>0</v>
      </c>
      <c r="K377" s="6">
        <v>0</v>
      </c>
      <c r="L377" s="6">
        <v>19764.91</v>
      </c>
      <c r="M377" s="6">
        <v>19764.91</v>
      </c>
      <c r="N377" s="6">
        <v>0</v>
      </c>
      <c r="O377" s="6">
        <v>0</v>
      </c>
      <c r="P377" s="6">
        <v>54</v>
      </c>
      <c r="Q377" s="4" t="s">
        <v>60</v>
      </c>
      <c r="R377" s="4">
        <v>0</v>
      </c>
      <c r="S377" s="4" t="s">
        <v>185</v>
      </c>
      <c r="U377" s="4">
        <v>0</v>
      </c>
      <c r="V377" s="4">
        <v>30</v>
      </c>
      <c r="W377" s="4">
        <v>0</v>
      </c>
    </row>
    <row r="378" spans="1:23" ht="11.25" customHeight="1" x14ac:dyDescent="0.25">
      <c r="A378" s="4" t="s">
        <v>21</v>
      </c>
      <c r="B378" s="4" t="s">
        <v>35</v>
      </c>
      <c r="C378" s="4" t="s">
        <v>44</v>
      </c>
      <c r="D378" s="4" t="s">
        <v>42</v>
      </c>
      <c r="E378" s="4" t="s">
        <v>25</v>
      </c>
      <c r="F378" s="4" t="s">
        <v>62</v>
      </c>
      <c r="G378" s="4" t="s">
        <v>25</v>
      </c>
      <c r="H378" s="4" t="s">
        <v>25</v>
      </c>
      <c r="I378" s="5">
        <v>44256</v>
      </c>
      <c r="J378" s="6">
        <v>0</v>
      </c>
      <c r="K378" s="6">
        <v>0</v>
      </c>
      <c r="L378" s="6">
        <v>23506.096000000001</v>
      </c>
      <c r="M378" s="6">
        <v>23506.096000000001</v>
      </c>
      <c r="N378" s="6">
        <v>0</v>
      </c>
      <c r="O378" s="6">
        <v>0</v>
      </c>
      <c r="P378" s="6">
        <v>55</v>
      </c>
      <c r="Q378" s="4" t="s">
        <v>60</v>
      </c>
      <c r="R378" s="4">
        <v>0</v>
      </c>
      <c r="S378" s="4" t="s">
        <v>186</v>
      </c>
      <c r="U378" s="4">
        <v>0</v>
      </c>
      <c r="V378" s="4">
        <v>30</v>
      </c>
      <c r="W378" s="4">
        <v>0</v>
      </c>
    </row>
    <row r="379" spans="1:23" ht="11.25" customHeight="1" x14ac:dyDescent="0.25">
      <c r="A379" s="4" t="s">
        <v>21</v>
      </c>
      <c r="B379" s="4" t="s">
        <v>35</v>
      </c>
      <c r="C379" s="4" t="s">
        <v>44</v>
      </c>
      <c r="D379" s="4" t="s">
        <v>42</v>
      </c>
      <c r="E379" s="4" t="s">
        <v>25</v>
      </c>
      <c r="F379" s="4" t="s">
        <v>62</v>
      </c>
      <c r="G379" s="4" t="s">
        <v>25</v>
      </c>
      <c r="H379" s="4" t="s">
        <v>25</v>
      </c>
      <c r="I379" s="5">
        <v>44287</v>
      </c>
      <c r="J379" s="6">
        <v>0</v>
      </c>
      <c r="K379" s="6">
        <v>0</v>
      </c>
      <c r="L379" s="6">
        <v>22172.080000000002</v>
      </c>
      <c r="M379" s="6">
        <v>22172.080000000002</v>
      </c>
      <c r="N379" s="6">
        <v>0</v>
      </c>
      <c r="O379" s="6">
        <v>0</v>
      </c>
      <c r="P379" s="6">
        <v>58</v>
      </c>
      <c r="Q379" s="4" t="s">
        <v>60</v>
      </c>
      <c r="R379" s="4">
        <v>0</v>
      </c>
      <c r="S379" s="4" t="s">
        <v>164</v>
      </c>
      <c r="U379" s="4">
        <v>0</v>
      </c>
      <c r="V379" s="4">
        <v>30</v>
      </c>
      <c r="W379" s="4">
        <v>0</v>
      </c>
    </row>
    <row r="380" spans="1:23" ht="11.25" customHeight="1" x14ac:dyDescent="0.25">
      <c r="A380" s="4" t="s">
        <v>21</v>
      </c>
      <c r="B380" s="4" t="s">
        <v>35</v>
      </c>
      <c r="C380" s="4" t="s">
        <v>44</v>
      </c>
      <c r="D380" s="4" t="s">
        <v>42</v>
      </c>
      <c r="E380" s="4" t="s">
        <v>25</v>
      </c>
      <c r="F380" s="4" t="s">
        <v>62</v>
      </c>
      <c r="G380" s="4" t="s">
        <v>25</v>
      </c>
      <c r="H380" s="4" t="s">
        <v>25</v>
      </c>
      <c r="I380" s="5">
        <v>44317</v>
      </c>
      <c r="J380" s="6">
        <v>0</v>
      </c>
      <c r="K380" s="6">
        <v>0</v>
      </c>
      <c r="L380" s="6">
        <v>23639.417000000001</v>
      </c>
      <c r="M380" s="6">
        <v>23639.417000000001</v>
      </c>
      <c r="N380" s="6">
        <v>0</v>
      </c>
      <c r="O380" s="6">
        <v>0</v>
      </c>
      <c r="P380" s="6">
        <v>58</v>
      </c>
      <c r="Q380" s="4" t="s">
        <v>60</v>
      </c>
      <c r="R380" s="4">
        <v>0</v>
      </c>
      <c r="S380" s="4" t="s">
        <v>165</v>
      </c>
      <c r="U380" s="4">
        <v>0</v>
      </c>
      <c r="V380" s="4">
        <v>30</v>
      </c>
      <c r="W380" s="4">
        <v>0</v>
      </c>
    </row>
    <row r="381" spans="1:23" ht="11.25" customHeight="1" x14ac:dyDescent="0.25">
      <c r="A381" s="4" t="s">
        <v>21</v>
      </c>
      <c r="B381" s="4" t="s">
        <v>35</v>
      </c>
      <c r="C381" s="4" t="s">
        <v>44</v>
      </c>
      <c r="D381" s="4" t="s">
        <v>42</v>
      </c>
      <c r="E381" s="4" t="s">
        <v>25</v>
      </c>
      <c r="F381" s="4" t="s">
        <v>62</v>
      </c>
      <c r="G381" s="4" t="s">
        <v>25</v>
      </c>
      <c r="H381" s="4" t="s">
        <v>25</v>
      </c>
      <c r="I381" s="5">
        <v>44348</v>
      </c>
      <c r="J381" s="6">
        <v>0</v>
      </c>
      <c r="K381" s="6">
        <v>0</v>
      </c>
      <c r="L381" s="6">
        <v>19711.32</v>
      </c>
      <c r="M381" s="6">
        <v>19711.32</v>
      </c>
      <c r="N381" s="6">
        <v>0</v>
      </c>
      <c r="O381" s="6">
        <v>0</v>
      </c>
      <c r="P381" s="6">
        <v>52</v>
      </c>
      <c r="Q381" s="4" t="s">
        <v>60</v>
      </c>
      <c r="R381" s="4">
        <v>0</v>
      </c>
      <c r="S381" s="4" t="s">
        <v>187</v>
      </c>
      <c r="U381" s="4">
        <v>0</v>
      </c>
      <c r="V381" s="4">
        <v>30</v>
      </c>
      <c r="W381" s="4">
        <v>0</v>
      </c>
    </row>
    <row r="382" spans="1:23" ht="11.25" customHeight="1" x14ac:dyDescent="0.25">
      <c r="A382" s="4" t="s">
        <v>21</v>
      </c>
      <c r="B382" s="4" t="s">
        <v>35</v>
      </c>
      <c r="C382" s="4" t="s">
        <v>44</v>
      </c>
      <c r="D382" s="4" t="s">
        <v>42</v>
      </c>
      <c r="E382" s="4" t="s">
        <v>25</v>
      </c>
      <c r="F382" s="4" t="s">
        <v>62</v>
      </c>
      <c r="G382" s="4" t="s">
        <v>25</v>
      </c>
      <c r="H382" s="4" t="s">
        <v>25</v>
      </c>
      <c r="I382" s="5">
        <v>44378</v>
      </c>
      <c r="J382" s="6">
        <v>0</v>
      </c>
      <c r="K382" s="6">
        <v>0</v>
      </c>
      <c r="L382" s="6">
        <v>23526.059000000001</v>
      </c>
      <c r="M382" s="6">
        <v>23526.059000000001</v>
      </c>
      <c r="N382" s="6">
        <v>0</v>
      </c>
      <c r="O382" s="6">
        <v>0</v>
      </c>
      <c r="P382" s="6">
        <v>60</v>
      </c>
      <c r="Q382" s="4" t="s">
        <v>60</v>
      </c>
      <c r="R382" s="4">
        <v>0</v>
      </c>
      <c r="S382" s="4" t="s">
        <v>166</v>
      </c>
      <c r="U382" s="4">
        <v>0</v>
      </c>
      <c r="V382" s="4">
        <v>30</v>
      </c>
      <c r="W382" s="4">
        <v>0</v>
      </c>
    </row>
    <row r="383" spans="1:23" ht="11.25" customHeight="1" x14ac:dyDescent="0.25">
      <c r="A383" s="4" t="s">
        <v>21</v>
      </c>
      <c r="B383" s="4" t="s">
        <v>35</v>
      </c>
      <c r="C383" s="4" t="s">
        <v>44</v>
      </c>
      <c r="D383" s="4" t="s">
        <v>42</v>
      </c>
      <c r="E383" s="4" t="s">
        <v>25</v>
      </c>
      <c r="F383" s="4" t="s">
        <v>62</v>
      </c>
      <c r="G383" s="4" t="s">
        <v>25</v>
      </c>
      <c r="H383" s="4" t="s">
        <v>25</v>
      </c>
      <c r="I383" s="5">
        <v>44409</v>
      </c>
      <c r="J383" s="6">
        <v>0</v>
      </c>
      <c r="K383" s="6">
        <v>0</v>
      </c>
      <c r="L383" s="6">
        <v>23038.815999999999</v>
      </c>
      <c r="M383" s="6">
        <v>23038.815999999999</v>
      </c>
      <c r="N383" s="6">
        <v>0</v>
      </c>
      <c r="O383" s="6">
        <v>0</v>
      </c>
      <c r="P383" s="6">
        <v>59</v>
      </c>
      <c r="Q383" s="4" t="s">
        <v>60</v>
      </c>
      <c r="R383" s="4">
        <v>0</v>
      </c>
      <c r="S383" s="4" t="s">
        <v>167</v>
      </c>
      <c r="U383" s="4">
        <v>0</v>
      </c>
      <c r="V383" s="4">
        <v>30</v>
      </c>
      <c r="W383" s="4">
        <v>0</v>
      </c>
    </row>
    <row r="384" spans="1:23" ht="11.25" customHeight="1" x14ac:dyDescent="0.25">
      <c r="A384" s="4" t="s">
        <v>21</v>
      </c>
      <c r="B384" s="4" t="s">
        <v>35</v>
      </c>
      <c r="C384" s="4" t="s">
        <v>44</v>
      </c>
      <c r="D384" s="4" t="s">
        <v>42</v>
      </c>
      <c r="E384" s="4" t="s">
        <v>25</v>
      </c>
      <c r="F384" s="4" t="s">
        <v>62</v>
      </c>
      <c r="G384" s="4" t="s">
        <v>25</v>
      </c>
      <c r="H384" s="4" t="s">
        <v>25</v>
      </c>
      <c r="I384" s="5">
        <v>44440</v>
      </c>
      <c r="J384" s="6">
        <v>0</v>
      </c>
      <c r="K384" s="6">
        <v>0</v>
      </c>
      <c r="L384" s="6">
        <v>23946.001</v>
      </c>
      <c r="M384" s="6">
        <v>23946.001</v>
      </c>
      <c r="N384" s="6">
        <v>0</v>
      </c>
      <c r="O384" s="6">
        <v>0</v>
      </c>
      <c r="P384" s="6">
        <v>62</v>
      </c>
      <c r="Q384" s="4" t="s">
        <v>60</v>
      </c>
      <c r="R384" s="4">
        <v>0</v>
      </c>
      <c r="S384" s="4" t="s">
        <v>168</v>
      </c>
      <c r="U384" s="4">
        <v>0</v>
      </c>
      <c r="V384" s="4">
        <v>30</v>
      </c>
      <c r="W384" s="4">
        <v>0</v>
      </c>
    </row>
    <row r="385" spans="1:23" ht="11.25" customHeight="1" x14ac:dyDescent="0.25">
      <c r="A385" s="4" t="s">
        <v>59</v>
      </c>
      <c r="B385" s="4" t="s">
        <v>35</v>
      </c>
      <c r="C385" s="4" t="s">
        <v>44</v>
      </c>
      <c r="D385" s="4" t="s">
        <v>42</v>
      </c>
      <c r="E385" s="4" t="s">
        <v>25</v>
      </c>
      <c r="F385" s="4" t="s">
        <v>62</v>
      </c>
      <c r="G385" s="4" t="s">
        <v>25</v>
      </c>
      <c r="H385" s="4" t="s">
        <v>25</v>
      </c>
      <c r="I385" s="5">
        <v>44470</v>
      </c>
      <c r="J385" s="6">
        <v>0</v>
      </c>
      <c r="K385" s="6">
        <v>0</v>
      </c>
      <c r="L385" s="6">
        <v>23946.001</v>
      </c>
      <c r="M385" s="6">
        <v>23946.001</v>
      </c>
      <c r="N385" s="6">
        <v>0</v>
      </c>
      <c r="O385" s="6">
        <v>0</v>
      </c>
      <c r="P385" s="6">
        <v>62</v>
      </c>
      <c r="Q385" s="4" t="s">
        <v>60</v>
      </c>
      <c r="R385" s="4">
        <v>0</v>
      </c>
      <c r="S385" s="4" t="s">
        <v>169</v>
      </c>
      <c r="U385" s="4">
        <v>0</v>
      </c>
      <c r="V385" s="4">
        <v>30</v>
      </c>
      <c r="W385" s="4">
        <v>0</v>
      </c>
    </row>
    <row r="386" spans="1:23" ht="11.25" customHeight="1" x14ac:dyDescent="0.25">
      <c r="A386" s="4" t="s">
        <v>21</v>
      </c>
      <c r="B386" s="4" t="s">
        <v>35</v>
      </c>
      <c r="C386" s="4" t="s">
        <v>44</v>
      </c>
      <c r="D386" s="4" t="s">
        <v>42</v>
      </c>
      <c r="E386" s="4" t="s">
        <v>25</v>
      </c>
      <c r="F386" s="4" t="s">
        <v>62</v>
      </c>
      <c r="G386" s="4" t="s">
        <v>25</v>
      </c>
      <c r="H386" s="4" t="s">
        <v>37</v>
      </c>
      <c r="I386" s="5">
        <v>44136</v>
      </c>
      <c r="J386" s="6">
        <v>45185</v>
      </c>
      <c r="K386" s="6">
        <v>23274.7935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4" t="s">
        <v>60</v>
      </c>
      <c r="R386" s="4">
        <v>0</v>
      </c>
      <c r="S386" s="4" t="s">
        <v>170</v>
      </c>
      <c r="U386" s="4">
        <v>28</v>
      </c>
      <c r="V386" s="4">
        <v>0</v>
      </c>
      <c r="W386" s="4">
        <v>0</v>
      </c>
    </row>
    <row r="387" spans="1:23" ht="11.25" customHeight="1" x14ac:dyDescent="0.25">
      <c r="A387" s="4" t="s">
        <v>21</v>
      </c>
      <c r="B387" s="4" t="s">
        <v>35</v>
      </c>
      <c r="C387" s="4" t="s">
        <v>44</v>
      </c>
      <c r="D387" s="4" t="s">
        <v>42</v>
      </c>
      <c r="E387" s="4" t="s">
        <v>25</v>
      </c>
      <c r="F387" s="4" t="s">
        <v>62</v>
      </c>
      <c r="G387" s="4" t="s">
        <v>25</v>
      </c>
      <c r="H387" s="4" t="s">
        <v>37</v>
      </c>
      <c r="I387" s="5">
        <v>44166</v>
      </c>
      <c r="J387" s="6">
        <v>45430</v>
      </c>
      <c r="K387" s="6">
        <v>23341.934000000001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4" t="s">
        <v>60</v>
      </c>
      <c r="R387" s="4">
        <v>0</v>
      </c>
      <c r="S387" s="4" t="s">
        <v>171</v>
      </c>
      <c r="U387" s="4">
        <v>28</v>
      </c>
      <c r="V387" s="4">
        <v>0</v>
      </c>
      <c r="W387" s="4">
        <v>0</v>
      </c>
    </row>
    <row r="388" spans="1:23" ht="11.25" customHeight="1" x14ac:dyDescent="0.25">
      <c r="A388" s="4" t="s">
        <v>21</v>
      </c>
      <c r="B388" s="4" t="s">
        <v>35</v>
      </c>
      <c r="C388" s="4" t="s">
        <v>44</v>
      </c>
      <c r="D388" s="4" t="s">
        <v>42</v>
      </c>
      <c r="E388" s="4" t="s">
        <v>25</v>
      </c>
      <c r="F388" s="4" t="s">
        <v>62</v>
      </c>
      <c r="G388" s="4" t="s">
        <v>25</v>
      </c>
      <c r="H388" s="4" t="s">
        <v>37</v>
      </c>
      <c r="I388" s="5">
        <v>44197</v>
      </c>
      <c r="J388" s="6">
        <v>39704</v>
      </c>
      <c r="K388" s="6">
        <v>21197.9656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4" t="s">
        <v>60</v>
      </c>
      <c r="R388" s="4">
        <v>0</v>
      </c>
      <c r="S388" s="4" t="s">
        <v>172</v>
      </c>
      <c r="U388" s="4">
        <v>28</v>
      </c>
      <c r="V388" s="4">
        <v>0</v>
      </c>
      <c r="W388" s="4">
        <v>0</v>
      </c>
    </row>
    <row r="389" spans="1:23" ht="11.25" customHeight="1" x14ac:dyDescent="0.25">
      <c r="A389" s="4" t="s">
        <v>21</v>
      </c>
      <c r="B389" s="4" t="s">
        <v>35</v>
      </c>
      <c r="C389" s="4" t="s">
        <v>44</v>
      </c>
      <c r="D389" s="4" t="s">
        <v>42</v>
      </c>
      <c r="E389" s="4" t="s">
        <v>25</v>
      </c>
      <c r="F389" s="4" t="s">
        <v>62</v>
      </c>
      <c r="G389" s="4" t="s">
        <v>25</v>
      </c>
      <c r="H389" s="4" t="s">
        <v>37</v>
      </c>
      <c r="I389" s="5">
        <v>44228</v>
      </c>
      <c r="J389" s="6">
        <v>47096</v>
      </c>
      <c r="K389" s="6">
        <v>23759.932000000001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4" t="s">
        <v>60</v>
      </c>
      <c r="R389" s="4">
        <v>0</v>
      </c>
      <c r="S389" s="4" t="s">
        <v>173</v>
      </c>
      <c r="U389" s="4">
        <v>28</v>
      </c>
      <c r="V389" s="4">
        <v>0</v>
      </c>
      <c r="W389" s="4">
        <v>0</v>
      </c>
    </row>
    <row r="390" spans="1:23" ht="11.25" customHeight="1" x14ac:dyDescent="0.25">
      <c r="A390" s="4" t="s">
        <v>21</v>
      </c>
      <c r="B390" s="4" t="s">
        <v>35</v>
      </c>
      <c r="C390" s="4" t="s">
        <v>44</v>
      </c>
      <c r="D390" s="4" t="s">
        <v>42</v>
      </c>
      <c r="E390" s="4" t="s">
        <v>25</v>
      </c>
      <c r="F390" s="4" t="s">
        <v>62</v>
      </c>
      <c r="G390" s="4" t="s">
        <v>25</v>
      </c>
      <c r="H390" s="4" t="s">
        <v>37</v>
      </c>
      <c r="I390" s="5">
        <v>44256</v>
      </c>
      <c r="J390" s="6">
        <v>47824</v>
      </c>
      <c r="K390" s="6">
        <v>24122.425599999999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4" t="s">
        <v>60</v>
      </c>
      <c r="R390" s="4">
        <v>0</v>
      </c>
      <c r="S390" s="4" t="s">
        <v>174</v>
      </c>
      <c r="U390" s="4">
        <v>28</v>
      </c>
      <c r="V390" s="4">
        <v>0</v>
      </c>
      <c r="W390" s="4">
        <v>0</v>
      </c>
    </row>
    <row r="391" spans="1:23" ht="11.25" customHeight="1" x14ac:dyDescent="0.25">
      <c r="A391" s="4" t="s">
        <v>21</v>
      </c>
      <c r="B391" s="4" t="s">
        <v>35</v>
      </c>
      <c r="C391" s="4" t="s">
        <v>44</v>
      </c>
      <c r="D391" s="4" t="s">
        <v>42</v>
      </c>
      <c r="E391" s="4" t="s">
        <v>25</v>
      </c>
      <c r="F391" s="4" t="s">
        <v>62</v>
      </c>
      <c r="G391" s="4" t="s">
        <v>25</v>
      </c>
      <c r="H391" s="4" t="s">
        <v>37</v>
      </c>
      <c r="I391" s="5">
        <v>44287</v>
      </c>
      <c r="J391" s="6">
        <v>48502</v>
      </c>
      <c r="K391" s="6">
        <v>24425.607199999999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4" t="s">
        <v>60</v>
      </c>
      <c r="R391" s="4">
        <v>0</v>
      </c>
      <c r="S391" s="4" t="s">
        <v>175</v>
      </c>
      <c r="U391" s="4">
        <v>28</v>
      </c>
      <c r="V391" s="4">
        <v>0</v>
      </c>
      <c r="W391" s="4">
        <v>0</v>
      </c>
    </row>
    <row r="392" spans="1:23" ht="11.25" customHeight="1" x14ac:dyDescent="0.25">
      <c r="A392" s="4" t="s">
        <v>21</v>
      </c>
      <c r="B392" s="4" t="s">
        <v>35</v>
      </c>
      <c r="C392" s="4" t="s">
        <v>44</v>
      </c>
      <c r="D392" s="4" t="s">
        <v>42</v>
      </c>
      <c r="E392" s="4" t="s">
        <v>25</v>
      </c>
      <c r="F392" s="4" t="s">
        <v>62</v>
      </c>
      <c r="G392" s="4" t="s">
        <v>25</v>
      </c>
      <c r="H392" s="4" t="s">
        <v>37</v>
      </c>
      <c r="I392" s="5">
        <v>44317</v>
      </c>
      <c r="J392" s="6">
        <v>49206</v>
      </c>
      <c r="K392" s="6">
        <v>24809.665199999999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4" t="s">
        <v>60</v>
      </c>
      <c r="R392" s="4">
        <v>0</v>
      </c>
      <c r="S392" s="4" t="s">
        <v>176</v>
      </c>
      <c r="U392" s="4">
        <v>28</v>
      </c>
      <c r="V392" s="4">
        <v>0</v>
      </c>
      <c r="W392" s="4">
        <v>0</v>
      </c>
    </row>
    <row r="393" spans="1:23" ht="11.25" customHeight="1" x14ac:dyDescent="0.25">
      <c r="A393" s="4" t="s">
        <v>21</v>
      </c>
      <c r="B393" s="4" t="s">
        <v>35</v>
      </c>
      <c r="C393" s="4" t="s">
        <v>44</v>
      </c>
      <c r="D393" s="4" t="s">
        <v>42</v>
      </c>
      <c r="E393" s="4" t="s">
        <v>25</v>
      </c>
      <c r="F393" s="4" t="s">
        <v>62</v>
      </c>
      <c r="G393" s="4" t="s">
        <v>25</v>
      </c>
      <c r="H393" s="4" t="s">
        <v>37</v>
      </c>
      <c r="I393" s="5">
        <v>44348</v>
      </c>
      <c r="J393" s="6">
        <v>39704</v>
      </c>
      <c r="K393" s="6">
        <v>21197.9656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4" t="s">
        <v>60</v>
      </c>
      <c r="R393" s="4">
        <v>0</v>
      </c>
      <c r="S393" s="4" t="s">
        <v>177</v>
      </c>
      <c r="U393" s="4">
        <v>28</v>
      </c>
      <c r="V393" s="4">
        <v>0</v>
      </c>
      <c r="W393" s="4">
        <v>0</v>
      </c>
    </row>
    <row r="394" spans="1:23" ht="11.25" customHeight="1" x14ac:dyDescent="0.25">
      <c r="A394" s="4" t="s">
        <v>21</v>
      </c>
      <c r="B394" s="4" t="s">
        <v>35</v>
      </c>
      <c r="C394" s="4" t="s">
        <v>44</v>
      </c>
      <c r="D394" s="4" t="s">
        <v>42</v>
      </c>
      <c r="E394" s="4" t="s">
        <v>25</v>
      </c>
      <c r="F394" s="4" t="s">
        <v>62</v>
      </c>
      <c r="G394" s="4" t="s">
        <v>25</v>
      </c>
      <c r="H394" s="4" t="s">
        <v>37</v>
      </c>
      <c r="I394" s="5">
        <v>44378</v>
      </c>
      <c r="J394" s="6">
        <v>50383</v>
      </c>
      <c r="K394" s="6">
        <v>24949.661599999999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4" t="s">
        <v>60</v>
      </c>
      <c r="R394" s="4">
        <v>0</v>
      </c>
      <c r="S394" s="4" t="s">
        <v>178</v>
      </c>
      <c r="U394" s="4">
        <v>28</v>
      </c>
      <c r="V394" s="4">
        <v>0</v>
      </c>
      <c r="W394" s="4">
        <v>0</v>
      </c>
    </row>
    <row r="395" spans="1:23" ht="11.25" customHeight="1" x14ac:dyDescent="0.25">
      <c r="A395" s="4" t="s">
        <v>21</v>
      </c>
      <c r="B395" s="4" t="s">
        <v>35</v>
      </c>
      <c r="C395" s="4" t="s">
        <v>44</v>
      </c>
      <c r="D395" s="4" t="s">
        <v>42</v>
      </c>
      <c r="E395" s="4" t="s">
        <v>25</v>
      </c>
      <c r="F395" s="4" t="s">
        <v>62</v>
      </c>
      <c r="G395" s="4" t="s">
        <v>25</v>
      </c>
      <c r="H395" s="4" t="s">
        <v>37</v>
      </c>
      <c r="I395" s="5">
        <v>44409</v>
      </c>
      <c r="J395" s="6">
        <v>48876</v>
      </c>
      <c r="K395" s="6">
        <v>25361.756399999998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4" t="s">
        <v>60</v>
      </c>
      <c r="R395" s="4">
        <v>0</v>
      </c>
      <c r="S395" s="4" t="s">
        <v>179</v>
      </c>
      <c r="U395" s="4">
        <v>28</v>
      </c>
      <c r="V395" s="4">
        <v>0</v>
      </c>
      <c r="W395" s="4">
        <v>0</v>
      </c>
    </row>
    <row r="396" spans="1:23" ht="11.25" customHeight="1" x14ac:dyDescent="0.25">
      <c r="A396" s="4" t="s">
        <v>21</v>
      </c>
      <c r="B396" s="4" t="s">
        <v>35</v>
      </c>
      <c r="C396" s="4" t="s">
        <v>44</v>
      </c>
      <c r="D396" s="4" t="s">
        <v>42</v>
      </c>
      <c r="E396" s="4" t="s">
        <v>25</v>
      </c>
      <c r="F396" s="4" t="s">
        <v>62</v>
      </c>
      <c r="G396" s="4" t="s">
        <v>25</v>
      </c>
      <c r="H396" s="4" t="s">
        <v>37</v>
      </c>
      <c r="I396" s="5">
        <v>44440</v>
      </c>
      <c r="J396" s="6">
        <v>50775</v>
      </c>
      <c r="K396" s="6">
        <v>22853.827499999999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4" t="s">
        <v>60</v>
      </c>
      <c r="R396" s="4">
        <v>0</v>
      </c>
      <c r="S396" s="4" t="s">
        <v>180</v>
      </c>
      <c r="U396" s="4">
        <v>28</v>
      </c>
      <c r="V396" s="4">
        <v>0</v>
      </c>
      <c r="W396" s="4">
        <v>0</v>
      </c>
    </row>
    <row r="397" spans="1:23" ht="11.25" customHeight="1" x14ac:dyDescent="0.25">
      <c r="A397" s="4" t="s">
        <v>59</v>
      </c>
      <c r="B397" s="4" t="s">
        <v>35</v>
      </c>
      <c r="C397" s="4" t="s">
        <v>44</v>
      </c>
      <c r="D397" s="4" t="s">
        <v>42</v>
      </c>
      <c r="E397" s="4" t="s">
        <v>25</v>
      </c>
      <c r="F397" s="4" t="s">
        <v>62</v>
      </c>
      <c r="G397" s="4" t="s">
        <v>25</v>
      </c>
      <c r="H397" s="4" t="s">
        <v>37</v>
      </c>
      <c r="I397" s="5">
        <v>44470</v>
      </c>
      <c r="J397" s="6">
        <v>50775</v>
      </c>
      <c r="K397" s="6">
        <v>22853.827499999999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4" t="s">
        <v>60</v>
      </c>
      <c r="R397" s="4">
        <v>0</v>
      </c>
      <c r="S397" s="4" t="s">
        <v>181</v>
      </c>
      <c r="U397" s="4">
        <v>28</v>
      </c>
      <c r="V397" s="4">
        <v>0</v>
      </c>
      <c r="W397" s="4">
        <v>0</v>
      </c>
    </row>
    <row r="398" spans="1:23" ht="11.25" customHeight="1" x14ac:dyDescent="0.25">
      <c r="A398" s="4" t="s">
        <v>21</v>
      </c>
      <c r="B398" s="4" t="s">
        <v>35</v>
      </c>
      <c r="C398" s="4" t="s">
        <v>44</v>
      </c>
      <c r="D398" s="4" t="s">
        <v>42</v>
      </c>
      <c r="E398" s="4" t="s">
        <v>25</v>
      </c>
      <c r="F398" s="4" t="s">
        <v>25</v>
      </c>
      <c r="G398" s="4" t="s">
        <v>25</v>
      </c>
      <c r="H398" s="4" t="s">
        <v>38</v>
      </c>
      <c r="I398" s="5">
        <v>44136</v>
      </c>
      <c r="J398" s="6">
        <v>26105</v>
      </c>
      <c r="K398" s="6">
        <v>26105</v>
      </c>
      <c r="L398" s="6">
        <v>6974.1930000000002</v>
      </c>
      <c r="M398" s="6">
        <v>6974.1930000000002</v>
      </c>
      <c r="N398" s="6">
        <v>6974.1930000000002</v>
      </c>
      <c r="O398" s="6">
        <v>6974.1930000000002</v>
      </c>
      <c r="P398" s="6">
        <v>0</v>
      </c>
      <c r="Q398" s="4" t="s">
        <v>26</v>
      </c>
      <c r="R398" s="4">
        <v>0</v>
      </c>
      <c r="S398" s="4" t="s">
        <v>152</v>
      </c>
      <c r="T398" s="4" t="s">
        <v>433</v>
      </c>
      <c r="U398" s="4">
        <v>29</v>
      </c>
      <c r="V398" s="4">
        <v>30</v>
      </c>
      <c r="W398" s="4">
        <v>67</v>
      </c>
    </row>
    <row r="399" spans="1:23" ht="11.25" customHeight="1" x14ac:dyDescent="0.25">
      <c r="A399" s="4" t="s">
        <v>28</v>
      </c>
      <c r="B399" s="4" t="s">
        <v>35</v>
      </c>
      <c r="C399" s="4" t="s">
        <v>44</v>
      </c>
      <c r="D399" s="4" t="s">
        <v>42</v>
      </c>
      <c r="E399" s="4" t="s">
        <v>25</v>
      </c>
      <c r="F399" s="4" t="s">
        <v>25</v>
      </c>
      <c r="G399" s="4" t="s">
        <v>25</v>
      </c>
      <c r="H399" s="4" t="s">
        <v>38</v>
      </c>
      <c r="I399" s="5">
        <v>44136</v>
      </c>
      <c r="J399" s="6">
        <v>2513</v>
      </c>
      <c r="K399" s="6">
        <v>2513</v>
      </c>
      <c r="L399" s="6">
        <v>500.30900000000003</v>
      </c>
      <c r="M399" s="6">
        <v>500.30900000000003</v>
      </c>
      <c r="N399" s="6">
        <v>500.30900000000003</v>
      </c>
      <c r="O399" s="6">
        <v>500.30900000000003</v>
      </c>
      <c r="P399" s="6">
        <v>0</v>
      </c>
      <c r="Q399" s="4" t="s">
        <v>26</v>
      </c>
      <c r="R399" s="4">
        <v>0</v>
      </c>
      <c r="S399" s="4" t="s">
        <v>152</v>
      </c>
      <c r="T399" s="4" t="s">
        <v>433</v>
      </c>
      <c r="U399" s="4">
        <v>29</v>
      </c>
      <c r="V399" s="4">
        <v>30</v>
      </c>
      <c r="W399" s="4">
        <v>67</v>
      </c>
    </row>
    <row r="400" spans="1:23" ht="11.25" customHeight="1" x14ac:dyDescent="0.25">
      <c r="A400" s="4" t="s">
        <v>29</v>
      </c>
      <c r="B400" s="4" t="s">
        <v>35</v>
      </c>
      <c r="C400" s="4" t="s">
        <v>44</v>
      </c>
      <c r="D400" s="4" t="s">
        <v>42</v>
      </c>
      <c r="E400" s="4" t="s">
        <v>25</v>
      </c>
      <c r="F400" s="4" t="s">
        <v>25</v>
      </c>
      <c r="G400" s="4" t="s">
        <v>25</v>
      </c>
      <c r="H400" s="4" t="s">
        <v>38</v>
      </c>
      <c r="I400" s="5">
        <v>44136</v>
      </c>
      <c r="J400" s="6">
        <v>-10097</v>
      </c>
      <c r="K400" s="6">
        <v>-10097</v>
      </c>
      <c r="L400" s="6">
        <v>-13.53</v>
      </c>
      <c r="M400" s="6">
        <v>-13.53</v>
      </c>
      <c r="N400" s="6">
        <v>-13.53</v>
      </c>
      <c r="O400" s="6">
        <v>-13.53</v>
      </c>
      <c r="P400" s="6">
        <v>0</v>
      </c>
      <c r="Q400" s="4" t="s">
        <v>26</v>
      </c>
      <c r="R400" s="4">
        <v>0</v>
      </c>
      <c r="S400" s="4" t="s">
        <v>152</v>
      </c>
      <c r="T400" s="4" t="s">
        <v>433</v>
      </c>
      <c r="U400" s="4">
        <v>29</v>
      </c>
      <c r="V400" s="4">
        <v>30</v>
      </c>
      <c r="W400" s="4">
        <v>67</v>
      </c>
    </row>
    <row r="401" spans="1:23" ht="11.25" customHeight="1" x14ac:dyDescent="0.25">
      <c r="A401" s="4" t="s">
        <v>30</v>
      </c>
      <c r="B401" s="4" t="s">
        <v>35</v>
      </c>
      <c r="C401" s="4" t="s">
        <v>44</v>
      </c>
      <c r="D401" s="4" t="s">
        <v>42</v>
      </c>
      <c r="E401" s="4" t="s">
        <v>25</v>
      </c>
      <c r="F401" s="4" t="s">
        <v>25</v>
      </c>
      <c r="G401" s="4" t="s">
        <v>25</v>
      </c>
      <c r="H401" s="4" t="s">
        <v>38</v>
      </c>
      <c r="I401" s="5">
        <v>44136</v>
      </c>
      <c r="J401" s="6">
        <v>1575</v>
      </c>
      <c r="K401" s="6">
        <v>1575</v>
      </c>
      <c r="L401" s="6">
        <v>720.55200000000002</v>
      </c>
      <c r="M401" s="6">
        <v>720.55200000000002</v>
      </c>
      <c r="N401" s="6">
        <v>720.55200000000002</v>
      </c>
      <c r="O401" s="6">
        <v>720.55200000000002</v>
      </c>
      <c r="P401" s="6">
        <v>0</v>
      </c>
      <c r="Q401" s="4" t="s">
        <v>26</v>
      </c>
      <c r="R401" s="4">
        <v>0</v>
      </c>
      <c r="S401" s="4" t="s">
        <v>152</v>
      </c>
      <c r="T401" s="4" t="s">
        <v>433</v>
      </c>
      <c r="U401" s="4">
        <v>29</v>
      </c>
      <c r="V401" s="4">
        <v>30</v>
      </c>
      <c r="W401" s="4">
        <v>67</v>
      </c>
    </row>
    <row r="402" spans="1:23" ht="11.25" customHeight="1" x14ac:dyDescent="0.25">
      <c r="A402" s="4" t="s">
        <v>21</v>
      </c>
      <c r="B402" s="4" t="s">
        <v>35</v>
      </c>
      <c r="C402" s="4" t="s">
        <v>44</v>
      </c>
      <c r="D402" s="4" t="s">
        <v>42</v>
      </c>
      <c r="E402" s="4" t="s">
        <v>25</v>
      </c>
      <c r="F402" s="4" t="s">
        <v>25</v>
      </c>
      <c r="G402" s="4" t="s">
        <v>25</v>
      </c>
      <c r="H402" s="4" t="s">
        <v>38</v>
      </c>
      <c r="I402" s="5">
        <v>44136</v>
      </c>
      <c r="J402" s="6">
        <v>6113</v>
      </c>
      <c r="K402" s="6">
        <v>6113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4" t="s">
        <v>60</v>
      </c>
      <c r="R402" s="4">
        <v>0</v>
      </c>
      <c r="S402" s="4" t="s">
        <v>152</v>
      </c>
      <c r="U402" s="4">
        <v>29</v>
      </c>
      <c r="V402" s="4">
        <v>0</v>
      </c>
      <c r="W402" s="4">
        <v>0</v>
      </c>
    </row>
    <row r="403" spans="1:23" ht="11.25" customHeight="1" x14ac:dyDescent="0.25">
      <c r="A403" s="4" t="s">
        <v>21</v>
      </c>
      <c r="B403" s="4" t="s">
        <v>35</v>
      </c>
      <c r="C403" s="4" t="s">
        <v>44</v>
      </c>
      <c r="D403" s="4" t="s">
        <v>42</v>
      </c>
      <c r="E403" s="4" t="s">
        <v>25</v>
      </c>
      <c r="F403" s="4" t="s">
        <v>25</v>
      </c>
      <c r="G403" s="4" t="s">
        <v>25</v>
      </c>
      <c r="H403" s="4" t="s">
        <v>38</v>
      </c>
      <c r="I403" s="5">
        <v>44166</v>
      </c>
      <c r="J403" s="6">
        <v>25399</v>
      </c>
      <c r="K403" s="6">
        <v>25399</v>
      </c>
      <c r="L403" s="6">
        <v>6301.9669999999996</v>
      </c>
      <c r="M403" s="6">
        <v>6301.9669999999996</v>
      </c>
      <c r="N403" s="6">
        <v>6301.9669999999996</v>
      </c>
      <c r="O403" s="6">
        <v>6301.9669999999996</v>
      </c>
      <c r="P403" s="6">
        <v>0</v>
      </c>
      <c r="Q403" s="4" t="s">
        <v>26</v>
      </c>
      <c r="R403" s="4">
        <v>0</v>
      </c>
      <c r="S403" s="4" t="s">
        <v>153</v>
      </c>
      <c r="T403" s="4" t="s">
        <v>434</v>
      </c>
      <c r="U403" s="4">
        <v>29</v>
      </c>
      <c r="V403" s="4">
        <v>30</v>
      </c>
      <c r="W403" s="4">
        <v>67</v>
      </c>
    </row>
    <row r="404" spans="1:23" ht="11.25" customHeight="1" x14ac:dyDescent="0.25">
      <c r="A404" s="4" t="s">
        <v>27</v>
      </c>
      <c r="B404" s="4" t="s">
        <v>35</v>
      </c>
      <c r="C404" s="4" t="s">
        <v>44</v>
      </c>
      <c r="D404" s="4" t="s">
        <v>42</v>
      </c>
      <c r="E404" s="4" t="s">
        <v>25</v>
      </c>
      <c r="F404" s="4" t="s">
        <v>25</v>
      </c>
      <c r="G404" s="4" t="s">
        <v>25</v>
      </c>
      <c r="H404" s="4" t="s">
        <v>38</v>
      </c>
      <c r="I404" s="5">
        <v>44166</v>
      </c>
      <c r="J404" s="6">
        <v>-500</v>
      </c>
      <c r="K404" s="6">
        <v>-500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4" t="s">
        <v>26</v>
      </c>
      <c r="R404" s="4">
        <v>0</v>
      </c>
      <c r="S404" s="4" t="s">
        <v>153</v>
      </c>
      <c r="T404" s="4" t="s">
        <v>434</v>
      </c>
      <c r="U404" s="4">
        <v>29</v>
      </c>
      <c r="V404" s="4">
        <v>0</v>
      </c>
      <c r="W404" s="4">
        <v>0</v>
      </c>
    </row>
    <row r="405" spans="1:23" ht="11.25" customHeight="1" x14ac:dyDescent="0.25">
      <c r="A405" s="4" t="s">
        <v>28</v>
      </c>
      <c r="B405" s="4" t="s">
        <v>35</v>
      </c>
      <c r="C405" s="4" t="s">
        <v>44</v>
      </c>
      <c r="D405" s="4" t="s">
        <v>42</v>
      </c>
      <c r="E405" s="4" t="s">
        <v>25</v>
      </c>
      <c r="F405" s="4" t="s">
        <v>25</v>
      </c>
      <c r="G405" s="4" t="s">
        <v>25</v>
      </c>
      <c r="H405" s="4" t="s">
        <v>38</v>
      </c>
      <c r="I405" s="5">
        <v>44166</v>
      </c>
      <c r="J405" s="6">
        <v>2437</v>
      </c>
      <c r="K405" s="6">
        <v>2437</v>
      </c>
      <c r="L405" s="6">
        <v>536.48800000000006</v>
      </c>
      <c r="M405" s="6">
        <v>536.48800000000006</v>
      </c>
      <c r="N405" s="6">
        <v>536.48800000000006</v>
      </c>
      <c r="O405" s="6">
        <v>536.48800000000006</v>
      </c>
      <c r="P405" s="6">
        <v>0</v>
      </c>
      <c r="Q405" s="4" t="s">
        <v>26</v>
      </c>
      <c r="R405" s="4">
        <v>0</v>
      </c>
      <c r="S405" s="4" t="s">
        <v>153</v>
      </c>
      <c r="T405" s="4" t="s">
        <v>434</v>
      </c>
      <c r="U405" s="4">
        <v>29</v>
      </c>
      <c r="V405" s="4">
        <v>30</v>
      </c>
      <c r="W405" s="4">
        <v>67</v>
      </c>
    </row>
    <row r="406" spans="1:23" ht="11.25" customHeight="1" x14ac:dyDescent="0.25">
      <c r="A406" s="4" t="s">
        <v>29</v>
      </c>
      <c r="B406" s="4" t="s">
        <v>35</v>
      </c>
      <c r="C406" s="4" t="s">
        <v>44</v>
      </c>
      <c r="D406" s="4" t="s">
        <v>42</v>
      </c>
      <c r="E406" s="4" t="s">
        <v>25</v>
      </c>
      <c r="F406" s="4" t="s">
        <v>25</v>
      </c>
      <c r="G406" s="4" t="s">
        <v>25</v>
      </c>
      <c r="H406" s="4" t="s">
        <v>38</v>
      </c>
      <c r="I406" s="5">
        <v>44166</v>
      </c>
      <c r="J406" s="6">
        <v>-2380</v>
      </c>
      <c r="K406" s="6">
        <v>-2380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4" t="s">
        <v>26</v>
      </c>
      <c r="R406" s="4">
        <v>0</v>
      </c>
      <c r="S406" s="4" t="s">
        <v>153</v>
      </c>
      <c r="T406" s="4" t="s">
        <v>434</v>
      </c>
      <c r="U406" s="4">
        <v>29</v>
      </c>
      <c r="V406" s="4">
        <v>0</v>
      </c>
      <c r="W406" s="4">
        <v>0</v>
      </c>
    </row>
    <row r="407" spans="1:23" ht="11.25" customHeight="1" x14ac:dyDescent="0.25">
      <c r="A407" s="4" t="s">
        <v>30</v>
      </c>
      <c r="B407" s="4" t="s">
        <v>35</v>
      </c>
      <c r="C407" s="4" t="s">
        <v>44</v>
      </c>
      <c r="D407" s="4" t="s">
        <v>42</v>
      </c>
      <c r="E407" s="4" t="s">
        <v>25</v>
      </c>
      <c r="F407" s="4" t="s">
        <v>25</v>
      </c>
      <c r="G407" s="4" t="s">
        <v>25</v>
      </c>
      <c r="H407" s="4" t="s">
        <v>38</v>
      </c>
      <c r="I407" s="5">
        <v>44166</v>
      </c>
      <c r="J407" s="6">
        <v>1614</v>
      </c>
      <c r="K407" s="6">
        <v>1614</v>
      </c>
      <c r="L407" s="6">
        <v>706.03399999999999</v>
      </c>
      <c r="M407" s="6">
        <v>706.03399999999999</v>
      </c>
      <c r="N407" s="6">
        <v>706.03399999999999</v>
      </c>
      <c r="O407" s="6">
        <v>706.03399999999999</v>
      </c>
      <c r="P407" s="6">
        <v>0</v>
      </c>
      <c r="Q407" s="4" t="s">
        <v>26</v>
      </c>
      <c r="R407" s="4">
        <v>0</v>
      </c>
      <c r="S407" s="4" t="s">
        <v>153</v>
      </c>
      <c r="T407" s="4" t="s">
        <v>434</v>
      </c>
      <c r="U407" s="4">
        <v>29</v>
      </c>
      <c r="V407" s="4">
        <v>30</v>
      </c>
      <c r="W407" s="4">
        <v>67</v>
      </c>
    </row>
    <row r="408" spans="1:23" ht="11.25" customHeight="1" x14ac:dyDescent="0.25">
      <c r="A408" s="4" t="s">
        <v>21</v>
      </c>
      <c r="B408" s="4" t="s">
        <v>35</v>
      </c>
      <c r="C408" s="4" t="s">
        <v>44</v>
      </c>
      <c r="D408" s="4" t="s">
        <v>42</v>
      </c>
      <c r="E408" s="4" t="s">
        <v>25</v>
      </c>
      <c r="F408" s="4" t="s">
        <v>25</v>
      </c>
      <c r="G408" s="4" t="s">
        <v>25</v>
      </c>
      <c r="H408" s="4" t="s">
        <v>38</v>
      </c>
      <c r="I408" s="5">
        <v>44166</v>
      </c>
      <c r="J408" s="6">
        <v>6027</v>
      </c>
      <c r="K408" s="6">
        <v>6027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4" t="s">
        <v>60</v>
      </c>
      <c r="R408" s="4">
        <v>0</v>
      </c>
      <c r="S408" s="4" t="s">
        <v>153</v>
      </c>
      <c r="U408" s="4">
        <v>29</v>
      </c>
      <c r="V408" s="4">
        <v>0</v>
      </c>
      <c r="W408" s="4">
        <v>0</v>
      </c>
    </row>
    <row r="409" spans="1:23" ht="11.25" customHeight="1" x14ac:dyDescent="0.25">
      <c r="A409" s="4" t="s">
        <v>21</v>
      </c>
      <c r="B409" s="4" t="s">
        <v>35</v>
      </c>
      <c r="C409" s="4" t="s">
        <v>44</v>
      </c>
      <c r="D409" s="4" t="s">
        <v>42</v>
      </c>
      <c r="E409" s="4" t="s">
        <v>25</v>
      </c>
      <c r="F409" s="4" t="s">
        <v>25</v>
      </c>
      <c r="G409" s="4" t="s">
        <v>25</v>
      </c>
      <c r="H409" s="4" t="s">
        <v>38</v>
      </c>
      <c r="I409" s="5">
        <v>44197</v>
      </c>
      <c r="J409" s="6">
        <v>28271</v>
      </c>
      <c r="K409" s="6">
        <v>28271</v>
      </c>
      <c r="L409" s="6">
        <v>6178.8339999999998</v>
      </c>
      <c r="M409" s="6">
        <v>6178.8339999999998</v>
      </c>
      <c r="N409" s="6">
        <v>6178.8339999999998</v>
      </c>
      <c r="O409" s="6">
        <v>6178.8339999999998</v>
      </c>
      <c r="P409" s="6">
        <v>0</v>
      </c>
      <c r="Q409" s="4" t="s">
        <v>26</v>
      </c>
      <c r="R409" s="4">
        <v>0</v>
      </c>
      <c r="S409" s="4" t="s">
        <v>154</v>
      </c>
      <c r="T409" s="4" t="s">
        <v>435</v>
      </c>
      <c r="U409" s="4">
        <v>29</v>
      </c>
      <c r="V409" s="4">
        <v>30</v>
      </c>
      <c r="W409" s="4">
        <v>67</v>
      </c>
    </row>
    <row r="410" spans="1:23" ht="11.25" customHeight="1" x14ac:dyDescent="0.25">
      <c r="A410" s="4" t="s">
        <v>27</v>
      </c>
      <c r="B410" s="4" t="s">
        <v>35</v>
      </c>
      <c r="C410" s="4" t="s">
        <v>44</v>
      </c>
      <c r="D410" s="4" t="s">
        <v>42</v>
      </c>
      <c r="E410" s="4" t="s">
        <v>25</v>
      </c>
      <c r="F410" s="4" t="s">
        <v>25</v>
      </c>
      <c r="G410" s="4" t="s">
        <v>25</v>
      </c>
      <c r="H410" s="4" t="s">
        <v>38</v>
      </c>
      <c r="I410" s="5">
        <v>44197</v>
      </c>
      <c r="J410" s="6">
        <v>-192</v>
      </c>
      <c r="K410" s="6">
        <v>-192</v>
      </c>
      <c r="L410" s="6">
        <v>-374.08199999999999</v>
      </c>
      <c r="M410" s="6">
        <v>-374.08199999999999</v>
      </c>
      <c r="N410" s="6">
        <v>-374.08199999999999</v>
      </c>
      <c r="O410" s="6">
        <v>-374.08199999999999</v>
      </c>
      <c r="P410" s="6">
        <v>0</v>
      </c>
      <c r="Q410" s="4" t="s">
        <v>26</v>
      </c>
      <c r="R410" s="4">
        <v>0</v>
      </c>
      <c r="S410" s="4" t="s">
        <v>154</v>
      </c>
      <c r="T410" s="4" t="s">
        <v>435</v>
      </c>
      <c r="U410" s="4">
        <v>29</v>
      </c>
      <c r="V410" s="4">
        <v>30</v>
      </c>
      <c r="W410" s="4">
        <v>67</v>
      </c>
    </row>
    <row r="411" spans="1:23" ht="11.25" customHeight="1" x14ac:dyDescent="0.25">
      <c r="A411" s="4" t="s">
        <v>28</v>
      </c>
      <c r="B411" s="4" t="s">
        <v>35</v>
      </c>
      <c r="C411" s="4" t="s">
        <v>44</v>
      </c>
      <c r="D411" s="4" t="s">
        <v>42</v>
      </c>
      <c r="E411" s="4" t="s">
        <v>25</v>
      </c>
      <c r="F411" s="4" t="s">
        <v>25</v>
      </c>
      <c r="G411" s="4" t="s">
        <v>25</v>
      </c>
      <c r="H411" s="4" t="s">
        <v>38</v>
      </c>
      <c r="I411" s="5">
        <v>44197</v>
      </c>
      <c r="J411" s="6">
        <v>2313</v>
      </c>
      <c r="K411" s="6">
        <v>2313</v>
      </c>
      <c r="L411" s="6">
        <v>348.08499999999998</v>
      </c>
      <c r="M411" s="6">
        <v>348.08499999999998</v>
      </c>
      <c r="N411" s="6">
        <v>348.08499999999998</v>
      </c>
      <c r="O411" s="6">
        <v>348.08499999999998</v>
      </c>
      <c r="P411" s="6">
        <v>0</v>
      </c>
      <c r="Q411" s="4" t="s">
        <v>26</v>
      </c>
      <c r="R411" s="4">
        <v>0</v>
      </c>
      <c r="S411" s="4" t="s">
        <v>154</v>
      </c>
      <c r="T411" s="4" t="s">
        <v>435</v>
      </c>
      <c r="U411" s="4">
        <v>29</v>
      </c>
      <c r="V411" s="4">
        <v>30</v>
      </c>
      <c r="W411" s="4">
        <v>67</v>
      </c>
    </row>
    <row r="412" spans="1:23" ht="11.25" customHeight="1" x14ac:dyDescent="0.25">
      <c r="A412" s="4" t="s">
        <v>30</v>
      </c>
      <c r="B412" s="4" t="s">
        <v>35</v>
      </c>
      <c r="C412" s="4" t="s">
        <v>44</v>
      </c>
      <c r="D412" s="4" t="s">
        <v>42</v>
      </c>
      <c r="E412" s="4" t="s">
        <v>25</v>
      </c>
      <c r="F412" s="4" t="s">
        <v>25</v>
      </c>
      <c r="G412" s="4" t="s">
        <v>25</v>
      </c>
      <c r="H412" s="4" t="s">
        <v>38</v>
      </c>
      <c r="I412" s="5">
        <v>44197</v>
      </c>
      <c r="J412" s="6">
        <v>1485</v>
      </c>
      <c r="K412" s="6">
        <v>1485</v>
      </c>
      <c r="L412" s="6">
        <v>704.60599999999999</v>
      </c>
      <c r="M412" s="6">
        <v>704.60599999999999</v>
      </c>
      <c r="N412" s="6">
        <v>704.60599999999999</v>
      </c>
      <c r="O412" s="6">
        <v>704.60599999999999</v>
      </c>
      <c r="P412" s="6">
        <v>0</v>
      </c>
      <c r="Q412" s="4" t="s">
        <v>26</v>
      </c>
      <c r="R412" s="4">
        <v>0</v>
      </c>
      <c r="S412" s="4" t="s">
        <v>154</v>
      </c>
      <c r="T412" s="4" t="s">
        <v>435</v>
      </c>
      <c r="U412" s="4">
        <v>29</v>
      </c>
      <c r="V412" s="4">
        <v>30</v>
      </c>
      <c r="W412" s="4">
        <v>67</v>
      </c>
    </row>
    <row r="413" spans="1:23" ht="11.25" customHeight="1" x14ac:dyDescent="0.25">
      <c r="A413" s="4" t="s">
        <v>21</v>
      </c>
      <c r="B413" s="4" t="s">
        <v>35</v>
      </c>
      <c r="C413" s="4" t="s">
        <v>44</v>
      </c>
      <c r="D413" s="4" t="s">
        <v>42</v>
      </c>
      <c r="E413" s="4" t="s">
        <v>25</v>
      </c>
      <c r="F413" s="4" t="s">
        <v>25</v>
      </c>
      <c r="G413" s="4" t="s">
        <v>25</v>
      </c>
      <c r="H413" s="4" t="s">
        <v>38</v>
      </c>
      <c r="I413" s="5">
        <v>44197</v>
      </c>
      <c r="J413" s="6">
        <v>5937</v>
      </c>
      <c r="K413" s="6">
        <v>5937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4" t="s">
        <v>60</v>
      </c>
      <c r="R413" s="4">
        <v>0</v>
      </c>
      <c r="S413" s="4" t="s">
        <v>154</v>
      </c>
      <c r="U413" s="4">
        <v>29</v>
      </c>
      <c r="V413" s="4">
        <v>0</v>
      </c>
      <c r="W413" s="4">
        <v>0</v>
      </c>
    </row>
    <row r="414" spans="1:23" ht="11.25" customHeight="1" x14ac:dyDescent="0.25">
      <c r="A414" s="4" t="s">
        <v>21</v>
      </c>
      <c r="B414" s="4" t="s">
        <v>35</v>
      </c>
      <c r="C414" s="4" t="s">
        <v>44</v>
      </c>
      <c r="D414" s="4" t="s">
        <v>42</v>
      </c>
      <c r="E414" s="4" t="s">
        <v>25</v>
      </c>
      <c r="F414" s="4" t="s">
        <v>25</v>
      </c>
      <c r="G414" s="4" t="s">
        <v>25</v>
      </c>
      <c r="H414" s="4" t="s">
        <v>38</v>
      </c>
      <c r="I414" s="5">
        <v>44228</v>
      </c>
      <c r="J414" s="6">
        <v>26870</v>
      </c>
      <c r="K414" s="6">
        <v>26870</v>
      </c>
      <c r="L414" s="6">
        <v>6037.8559999999998</v>
      </c>
      <c r="M414" s="6">
        <v>6037.8559999999998</v>
      </c>
      <c r="N414" s="6">
        <v>6037.8559999999998</v>
      </c>
      <c r="O414" s="6">
        <v>6037.8559999999998</v>
      </c>
      <c r="P414" s="6">
        <v>0</v>
      </c>
      <c r="Q414" s="4" t="s">
        <v>26</v>
      </c>
      <c r="R414" s="4">
        <v>0</v>
      </c>
      <c r="S414" s="4" t="s">
        <v>155</v>
      </c>
      <c r="T414" s="4" t="s">
        <v>436</v>
      </c>
      <c r="U414" s="4">
        <v>29</v>
      </c>
      <c r="V414" s="4">
        <v>30</v>
      </c>
      <c r="W414" s="4">
        <v>67</v>
      </c>
    </row>
    <row r="415" spans="1:23" ht="11.25" customHeight="1" x14ac:dyDescent="0.25">
      <c r="A415" s="4" t="s">
        <v>28</v>
      </c>
      <c r="B415" s="4" t="s">
        <v>35</v>
      </c>
      <c r="C415" s="4" t="s">
        <v>44</v>
      </c>
      <c r="D415" s="4" t="s">
        <v>42</v>
      </c>
      <c r="E415" s="4" t="s">
        <v>25</v>
      </c>
      <c r="F415" s="4" t="s">
        <v>25</v>
      </c>
      <c r="G415" s="4" t="s">
        <v>25</v>
      </c>
      <c r="H415" s="4" t="s">
        <v>38</v>
      </c>
      <c r="I415" s="5">
        <v>44228</v>
      </c>
      <c r="J415" s="6">
        <v>1944</v>
      </c>
      <c r="K415" s="6">
        <v>1944</v>
      </c>
      <c r="L415" s="6">
        <v>291.90899999999999</v>
      </c>
      <c r="M415" s="6">
        <v>291.90899999999999</v>
      </c>
      <c r="N415" s="6">
        <v>291.90899999999999</v>
      </c>
      <c r="O415" s="6">
        <v>291.90899999999999</v>
      </c>
      <c r="P415" s="6">
        <v>0</v>
      </c>
      <c r="Q415" s="4" t="s">
        <v>26</v>
      </c>
      <c r="R415" s="4">
        <v>0</v>
      </c>
      <c r="S415" s="4" t="s">
        <v>155</v>
      </c>
      <c r="T415" s="4" t="s">
        <v>436</v>
      </c>
      <c r="U415" s="4">
        <v>29</v>
      </c>
      <c r="V415" s="4">
        <v>30</v>
      </c>
      <c r="W415" s="4">
        <v>67</v>
      </c>
    </row>
    <row r="416" spans="1:23" ht="11.25" customHeight="1" x14ac:dyDescent="0.25">
      <c r="A416" s="4" t="s">
        <v>29</v>
      </c>
      <c r="B416" s="4" t="s">
        <v>35</v>
      </c>
      <c r="C416" s="4" t="s">
        <v>44</v>
      </c>
      <c r="D416" s="4" t="s">
        <v>42</v>
      </c>
      <c r="E416" s="4" t="s">
        <v>25</v>
      </c>
      <c r="F416" s="4" t="s">
        <v>25</v>
      </c>
      <c r="G416" s="4" t="s">
        <v>25</v>
      </c>
      <c r="H416" s="4" t="s">
        <v>38</v>
      </c>
      <c r="I416" s="5">
        <v>44228</v>
      </c>
      <c r="J416" s="6">
        <v>-1047</v>
      </c>
      <c r="K416" s="6">
        <v>-1047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4" t="s">
        <v>26</v>
      </c>
      <c r="R416" s="4">
        <v>0</v>
      </c>
      <c r="S416" s="4" t="s">
        <v>155</v>
      </c>
      <c r="T416" s="4" t="s">
        <v>436</v>
      </c>
      <c r="U416" s="4">
        <v>29</v>
      </c>
      <c r="V416" s="4">
        <v>0</v>
      </c>
      <c r="W416" s="4">
        <v>0</v>
      </c>
    </row>
    <row r="417" spans="1:23" ht="11.25" customHeight="1" x14ac:dyDescent="0.25">
      <c r="A417" s="4" t="s">
        <v>30</v>
      </c>
      <c r="B417" s="4" t="s">
        <v>35</v>
      </c>
      <c r="C417" s="4" t="s">
        <v>44</v>
      </c>
      <c r="D417" s="4" t="s">
        <v>42</v>
      </c>
      <c r="E417" s="4" t="s">
        <v>25</v>
      </c>
      <c r="F417" s="4" t="s">
        <v>25</v>
      </c>
      <c r="G417" s="4" t="s">
        <v>25</v>
      </c>
      <c r="H417" s="4" t="s">
        <v>38</v>
      </c>
      <c r="I417" s="5">
        <v>44228</v>
      </c>
      <c r="J417" s="6">
        <v>1580</v>
      </c>
      <c r="K417" s="6">
        <v>1580</v>
      </c>
      <c r="L417" s="6">
        <v>841.69399999999996</v>
      </c>
      <c r="M417" s="6">
        <v>841.69399999999996</v>
      </c>
      <c r="N417" s="6">
        <v>841.69399999999996</v>
      </c>
      <c r="O417" s="6">
        <v>841.69399999999996</v>
      </c>
      <c r="P417" s="6">
        <v>0</v>
      </c>
      <c r="Q417" s="4" t="s">
        <v>26</v>
      </c>
      <c r="R417" s="4">
        <v>0</v>
      </c>
      <c r="S417" s="4" t="s">
        <v>155</v>
      </c>
      <c r="T417" s="4" t="s">
        <v>436</v>
      </c>
      <c r="U417" s="4">
        <v>29</v>
      </c>
      <c r="V417" s="4">
        <v>30</v>
      </c>
      <c r="W417" s="4">
        <v>67</v>
      </c>
    </row>
    <row r="418" spans="1:23" ht="11.25" customHeight="1" x14ac:dyDescent="0.25">
      <c r="A418" s="4" t="s">
        <v>21</v>
      </c>
      <c r="B418" s="4" t="s">
        <v>35</v>
      </c>
      <c r="C418" s="4" t="s">
        <v>44</v>
      </c>
      <c r="D418" s="4" t="s">
        <v>42</v>
      </c>
      <c r="E418" s="4" t="s">
        <v>25</v>
      </c>
      <c r="F418" s="4" t="s">
        <v>25</v>
      </c>
      <c r="G418" s="4" t="s">
        <v>25</v>
      </c>
      <c r="H418" s="4" t="s">
        <v>38</v>
      </c>
      <c r="I418" s="5">
        <v>44228</v>
      </c>
      <c r="J418" s="6">
        <v>5836</v>
      </c>
      <c r="K418" s="6">
        <v>5836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4" t="s">
        <v>60</v>
      </c>
      <c r="R418" s="4">
        <v>0</v>
      </c>
      <c r="S418" s="4" t="s">
        <v>155</v>
      </c>
      <c r="U418" s="4">
        <v>29</v>
      </c>
      <c r="V418" s="4">
        <v>0</v>
      </c>
      <c r="W418" s="4">
        <v>0</v>
      </c>
    </row>
    <row r="419" spans="1:23" ht="11.25" customHeight="1" x14ac:dyDescent="0.25">
      <c r="A419" s="4" t="s">
        <v>21</v>
      </c>
      <c r="B419" s="4" t="s">
        <v>35</v>
      </c>
      <c r="C419" s="4" t="s">
        <v>44</v>
      </c>
      <c r="D419" s="4" t="s">
        <v>42</v>
      </c>
      <c r="E419" s="4" t="s">
        <v>25</v>
      </c>
      <c r="F419" s="4" t="s">
        <v>25</v>
      </c>
      <c r="G419" s="4" t="s">
        <v>25</v>
      </c>
      <c r="H419" s="4" t="s">
        <v>38</v>
      </c>
      <c r="I419" s="5">
        <v>44256</v>
      </c>
      <c r="J419" s="6">
        <v>27039</v>
      </c>
      <c r="K419" s="6">
        <v>27039</v>
      </c>
      <c r="L419" s="6">
        <v>7287.991</v>
      </c>
      <c r="M419" s="6">
        <v>7287.991</v>
      </c>
      <c r="N419" s="6">
        <v>7287.991</v>
      </c>
      <c r="O419" s="6">
        <v>7287.991</v>
      </c>
      <c r="P419" s="6">
        <v>0</v>
      </c>
      <c r="Q419" s="4" t="s">
        <v>26</v>
      </c>
      <c r="R419" s="4">
        <v>0</v>
      </c>
      <c r="S419" s="4" t="s">
        <v>156</v>
      </c>
      <c r="T419" s="4" t="s">
        <v>437</v>
      </c>
      <c r="U419" s="4">
        <v>29</v>
      </c>
      <c r="V419" s="4">
        <v>30</v>
      </c>
      <c r="W419" s="4">
        <v>67</v>
      </c>
    </row>
    <row r="420" spans="1:23" ht="11.25" customHeight="1" x14ac:dyDescent="0.25">
      <c r="A420" s="4" t="s">
        <v>28</v>
      </c>
      <c r="B420" s="4" t="s">
        <v>35</v>
      </c>
      <c r="C420" s="4" t="s">
        <v>44</v>
      </c>
      <c r="D420" s="4" t="s">
        <v>42</v>
      </c>
      <c r="E420" s="4" t="s">
        <v>25</v>
      </c>
      <c r="F420" s="4" t="s">
        <v>25</v>
      </c>
      <c r="G420" s="4" t="s">
        <v>25</v>
      </c>
      <c r="H420" s="4" t="s">
        <v>38</v>
      </c>
      <c r="I420" s="5">
        <v>44256</v>
      </c>
      <c r="J420" s="6">
        <v>2184</v>
      </c>
      <c r="K420" s="6">
        <v>2184</v>
      </c>
      <c r="L420" s="6">
        <v>520.65800000000002</v>
      </c>
      <c r="M420" s="6">
        <v>520.65800000000002</v>
      </c>
      <c r="N420" s="6">
        <v>520.65800000000002</v>
      </c>
      <c r="O420" s="6">
        <v>520.65800000000002</v>
      </c>
      <c r="P420" s="6">
        <v>0</v>
      </c>
      <c r="Q420" s="4" t="s">
        <v>26</v>
      </c>
      <c r="R420" s="4">
        <v>0</v>
      </c>
      <c r="S420" s="4" t="s">
        <v>156</v>
      </c>
      <c r="T420" s="4" t="s">
        <v>437</v>
      </c>
      <c r="U420" s="4">
        <v>29</v>
      </c>
      <c r="V420" s="4">
        <v>30</v>
      </c>
      <c r="W420" s="4">
        <v>67</v>
      </c>
    </row>
    <row r="421" spans="1:23" ht="11.25" customHeight="1" x14ac:dyDescent="0.25">
      <c r="A421" s="4" t="s">
        <v>30</v>
      </c>
      <c r="B421" s="4" t="s">
        <v>35</v>
      </c>
      <c r="C421" s="4" t="s">
        <v>44</v>
      </c>
      <c r="D421" s="4" t="s">
        <v>42</v>
      </c>
      <c r="E421" s="4" t="s">
        <v>25</v>
      </c>
      <c r="F421" s="4" t="s">
        <v>25</v>
      </c>
      <c r="G421" s="4" t="s">
        <v>25</v>
      </c>
      <c r="H421" s="4" t="s">
        <v>38</v>
      </c>
      <c r="I421" s="5">
        <v>44256</v>
      </c>
      <c r="J421" s="6">
        <v>1641</v>
      </c>
      <c r="K421" s="6">
        <v>1641</v>
      </c>
      <c r="L421" s="6">
        <v>865.9</v>
      </c>
      <c r="M421" s="6">
        <v>865.9</v>
      </c>
      <c r="N421" s="6">
        <v>865.9</v>
      </c>
      <c r="O421" s="6">
        <v>865.9</v>
      </c>
      <c r="P421" s="6">
        <v>0</v>
      </c>
      <c r="Q421" s="4" t="s">
        <v>26</v>
      </c>
      <c r="R421" s="4">
        <v>0</v>
      </c>
      <c r="S421" s="4" t="s">
        <v>156</v>
      </c>
      <c r="T421" s="4" t="s">
        <v>437</v>
      </c>
      <c r="U421" s="4">
        <v>29</v>
      </c>
      <c r="V421" s="4">
        <v>30</v>
      </c>
      <c r="W421" s="4">
        <v>67</v>
      </c>
    </row>
    <row r="422" spans="1:23" ht="11.25" customHeight="1" x14ac:dyDescent="0.25">
      <c r="A422" s="4" t="s">
        <v>21</v>
      </c>
      <c r="B422" s="4" t="s">
        <v>35</v>
      </c>
      <c r="C422" s="4" t="s">
        <v>44</v>
      </c>
      <c r="D422" s="4" t="s">
        <v>42</v>
      </c>
      <c r="E422" s="4" t="s">
        <v>25</v>
      </c>
      <c r="F422" s="4" t="s">
        <v>25</v>
      </c>
      <c r="G422" s="4" t="s">
        <v>25</v>
      </c>
      <c r="H422" s="4" t="s">
        <v>38</v>
      </c>
      <c r="I422" s="5">
        <v>44256</v>
      </c>
      <c r="J422" s="6">
        <v>5851</v>
      </c>
      <c r="K422" s="6">
        <v>5851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4" t="s">
        <v>60</v>
      </c>
      <c r="R422" s="4">
        <v>0</v>
      </c>
      <c r="S422" s="4" t="s">
        <v>156</v>
      </c>
      <c r="U422" s="4">
        <v>29</v>
      </c>
      <c r="V422" s="4">
        <v>0</v>
      </c>
      <c r="W422" s="4">
        <v>0</v>
      </c>
    </row>
    <row r="423" spans="1:23" ht="11.25" customHeight="1" x14ac:dyDescent="0.25">
      <c r="A423" s="4" t="s">
        <v>21</v>
      </c>
      <c r="B423" s="4" t="s">
        <v>35</v>
      </c>
      <c r="C423" s="4" t="s">
        <v>44</v>
      </c>
      <c r="D423" s="4" t="s">
        <v>42</v>
      </c>
      <c r="E423" s="4" t="s">
        <v>25</v>
      </c>
      <c r="F423" s="4" t="s">
        <v>25</v>
      </c>
      <c r="G423" s="4" t="s">
        <v>25</v>
      </c>
      <c r="H423" s="4" t="s">
        <v>38</v>
      </c>
      <c r="I423" s="5">
        <v>44287</v>
      </c>
      <c r="J423" s="6">
        <v>25940</v>
      </c>
      <c r="K423" s="6">
        <v>25940</v>
      </c>
      <c r="L423" s="6">
        <v>6144.634</v>
      </c>
      <c r="M423" s="6">
        <v>6144.634</v>
      </c>
      <c r="N423" s="6">
        <v>6144.634</v>
      </c>
      <c r="O423" s="6">
        <v>6144.634</v>
      </c>
      <c r="P423" s="6">
        <v>0</v>
      </c>
      <c r="Q423" s="4" t="s">
        <v>26</v>
      </c>
      <c r="R423" s="4">
        <v>0</v>
      </c>
      <c r="S423" s="4" t="s">
        <v>157</v>
      </c>
      <c r="T423" s="4" t="s">
        <v>438</v>
      </c>
      <c r="U423" s="4">
        <v>29</v>
      </c>
      <c r="V423" s="4">
        <v>30</v>
      </c>
      <c r="W423" s="4">
        <v>67</v>
      </c>
    </row>
    <row r="424" spans="1:23" ht="11.25" customHeight="1" x14ac:dyDescent="0.25">
      <c r="A424" s="4" t="s">
        <v>28</v>
      </c>
      <c r="B424" s="4" t="s">
        <v>35</v>
      </c>
      <c r="C424" s="4" t="s">
        <v>44</v>
      </c>
      <c r="D424" s="4" t="s">
        <v>42</v>
      </c>
      <c r="E424" s="4" t="s">
        <v>25</v>
      </c>
      <c r="F424" s="4" t="s">
        <v>25</v>
      </c>
      <c r="G424" s="4" t="s">
        <v>25</v>
      </c>
      <c r="H424" s="4" t="s">
        <v>38</v>
      </c>
      <c r="I424" s="5">
        <v>44287</v>
      </c>
      <c r="J424" s="6">
        <v>1340</v>
      </c>
      <c r="K424" s="6">
        <v>1340</v>
      </c>
      <c r="L424" s="6">
        <v>384.11099999999999</v>
      </c>
      <c r="M424" s="6">
        <v>384.11099999999999</v>
      </c>
      <c r="N424" s="6">
        <v>384.11099999999999</v>
      </c>
      <c r="O424" s="6">
        <v>384.11099999999999</v>
      </c>
      <c r="P424" s="6">
        <v>0</v>
      </c>
      <c r="Q424" s="4" t="s">
        <v>26</v>
      </c>
      <c r="R424" s="4">
        <v>0</v>
      </c>
      <c r="S424" s="4" t="s">
        <v>157</v>
      </c>
      <c r="T424" s="4" t="s">
        <v>438</v>
      </c>
      <c r="U424" s="4">
        <v>29</v>
      </c>
      <c r="V424" s="4">
        <v>30</v>
      </c>
      <c r="W424" s="4">
        <v>67</v>
      </c>
    </row>
    <row r="425" spans="1:23" ht="11.25" customHeight="1" x14ac:dyDescent="0.25">
      <c r="A425" s="4" t="s">
        <v>29</v>
      </c>
      <c r="B425" s="4" t="s">
        <v>35</v>
      </c>
      <c r="C425" s="4" t="s">
        <v>44</v>
      </c>
      <c r="D425" s="4" t="s">
        <v>42</v>
      </c>
      <c r="E425" s="4" t="s">
        <v>25</v>
      </c>
      <c r="F425" s="4" t="s">
        <v>25</v>
      </c>
      <c r="G425" s="4" t="s">
        <v>25</v>
      </c>
      <c r="H425" s="4" t="s">
        <v>38</v>
      </c>
      <c r="I425" s="5">
        <v>44287</v>
      </c>
      <c r="J425" s="6">
        <v>-393</v>
      </c>
      <c r="K425" s="6">
        <v>-393</v>
      </c>
      <c r="L425" s="6">
        <v>-82</v>
      </c>
      <c r="M425" s="6">
        <v>-82</v>
      </c>
      <c r="N425" s="6">
        <v>-82</v>
      </c>
      <c r="O425" s="6">
        <v>-82</v>
      </c>
      <c r="P425" s="6">
        <v>0</v>
      </c>
      <c r="Q425" s="4" t="s">
        <v>26</v>
      </c>
      <c r="R425" s="4">
        <v>0</v>
      </c>
      <c r="S425" s="4" t="s">
        <v>157</v>
      </c>
      <c r="T425" s="4" t="s">
        <v>438</v>
      </c>
      <c r="U425" s="4">
        <v>29</v>
      </c>
      <c r="V425" s="4">
        <v>30</v>
      </c>
      <c r="W425" s="4">
        <v>67</v>
      </c>
    </row>
    <row r="426" spans="1:23" ht="11.25" customHeight="1" x14ac:dyDescent="0.25">
      <c r="A426" s="4" t="s">
        <v>30</v>
      </c>
      <c r="B426" s="4" t="s">
        <v>35</v>
      </c>
      <c r="C426" s="4" t="s">
        <v>44</v>
      </c>
      <c r="D426" s="4" t="s">
        <v>42</v>
      </c>
      <c r="E426" s="4" t="s">
        <v>25</v>
      </c>
      <c r="F426" s="4" t="s">
        <v>25</v>
      </c>
      <c r="G426" s="4" t="s">
        <v>25</v>
      </c>
      <c r="H426" s="4" t="s">
        <v>38</v>
      </c>
      <c r="I426" s="5">
        <v>44287</v>
      </c>
      <c r="J426" s="6">
        <v>1644</v>
      </c>
      <c r="K426" s="6">
        <v>1644</v>
      </c>
      <c r="L426" s="6">
        <v>801.90599999999995</v>
      </c>
      <c r="M426" s="6">
        <v>801.90599999999995</v>
      </c>
      <c r="N426" s="6">
        <v>801.90599999999995</v>
      </c>
      <c r="O426" s="6">
        <v>801.90599999999995</v>
      </c>
      <c r="P426" s="6">
        <v>0</v>
      </c>
      <c r="Q426" s="4" t="s">
        <v>26</v>
      </c>
      <c r="R426" s="4">
        <v>0</v>
      </c>
      <c r="S426" s="4" t="s">
        <v>157</v>
      </c>
      <c r="T426" s="4" t="s">
        <v>438</v>
      </c>
      <c r="U426" s="4">
        <v>29</v>
      </c>
      <c r="V426" s="4">
        <v>30</v>
      </c>
      <c r="W426" s="4">
        <v>67</v>
      </c>
    </row>
    <row r="427" spans="1:23" ht="11.25" customHeight="1" x14ac:dyDescent="0.25">
      <c r="A427" s="4" t="s">
        <v>21</v>
      </c>
      <c r="B427" s="4" t="s">
        <v>35</v>
      </c>
      <c r="C427" s="4" t="s">
        <v>44</v>
      </c>
      <c r="D427" s="4" t="s">
        <v>42</v>
      </c>
      <c r="E427" s="4" t="s">
        <v>25</v>
      </c>
      <c r="F427" s="4" t="s">
        <v>25</v>
      </c>
      <c r="G427" s="4" t="s">
        <v>25</v>
      </c>
      <c r="H427" s="4" t="s">
        <v>38</v>
      </c>
      <c r="I427" s="5">
        <v>44287</v>
      </c>
      <c r="J427" s="6">
        <v>5962</v>
      </c>
      <c r="K427" s="6">
        <v>5962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4" t="s">
        <v>60</v>
      </c>
      <c r="R427" s="4">
        <v>0</v>
      </c>
      <c r="S427" s="4" t="s">
        <v>157</v>
      </c>
      <c r="U427" s="4">
        <v>29</v>
      </c>
      <c r="V427" s="4">
        <v>0</v>
      </c>
      <c r="W427" s="4">
        <v>0</v>
      </c>
    </row>
    <row r="428" spans="1:23" ht="11.25" customHeight="1" x14ac:dyDescent="0.25">
      <c r="A428" s="4" t="s">
        <v>21</v>
      </c>
      <c r="B428" s="4" t="s">
        <v>35</v>
      </c>
      <c r="C428" s="4" t="s">
        <v>44</v>
      </c>
      <c r="D428" s="4" t="s">
        <v>42</v>
      </c>
      <c r="E428" s="4" t="s">
        <v>25</v>
      </c>
      <c r="F428" s="4" t="s">
        <v>25</v>
      </c>
      <c r="G428" s="4" t="s">
        <v>25</v>
      </c>
      <c r="H428" s="4" t="s">
        <v>38</v>
      </c>
      <c r="I428" s="5">
        <v>44317</v>
      </c>
      <c r="J428" s="6">
        <v>23262</v>
      </c>
      <c r="K428" s="6">
        <v>23262</v>
      </c>
      <c r="L428" s="6">
        <v>5641.8639999999996</v>
      </c>
      <c r="M428" s="6">
        <v>5641.8639999999996</v>
      </c>
      <c r="N428" s="6">
        <v>5641.8639999999996</v>
      </c>
      <c r="O428" s="6">
        <v>5641.8639999999996</v>
      </c>
      <c r="P428" s="6">
        <v>0</v>
      </c>
      <c r="Q428" s="4" t="s">
        <v>26</v>
      </c>
      <c r="R428" s="4">
        <v>0</v>
      </c>
      <c r="S428" s="4" t="s">
        <v>158</v>
      </c>
      <c r="T428" s="4" t="s">
        <v>439</v>
      </c>
      <c r="U428" s="4">
        <v>29</v>
      </c>
      <c r="V428" s="4">
        <v>30</v>
      </c>
      <c r="W428" s="4">
        <v>67</v>
      </c>
    </row>
    <row r="429" spans="1:23" ht="11.25" customHeight="1" x14ac:dyDescent="0.25">
      <c r="A429" s="4" t="s">
        <v>27</v>
      </c>
      <c r="B429" s="4" t="s">
        <v>35</v>
      </c>
      <c r="C429" s="4" t="s">
        <v>44</v>
      </c>
      <c r="D429" s="4" t="s">
        <v>42</v>
      </c>
      <c r="E429" s="4" t="s">
        <v>25</v>
      </c>
      <c r="F429" s="4" t="s">
        <v>25</v>
      </c>
      <c r="G429" s="4" t="s">
        <v>25</v>
      </c>
      <c r="H429" s="4" t="s">
        <v>38</v>
      </c>
      <c r="I429" s="5">
        <v>44317</v>
      </c>
      <c r="J429" s="6">
        <v>1296</v>
      </c>
      <c r="K429" s="6">
        <v>1296</v>
      </c>
      <c r="L429" s="6">
        <v>747.39</v>
      </c>
      <c r="M429" s="6">
        <v>747.39</v>
      </c>
      <c r="N429" s="6">
        <v>747.39</v>
      </c>
      <c r="O429" s="6">
        <v>747.39</v>
      </c>
      <c r="P429" s="6">
        <v>0</v>
      </c>
      <c r="Q429" s="4" t="s">
        <v>26</v>
      </c>
      <c r="R429" s="4">
        <v>0</v>
      </c>
      <c r="S429" s="4" t="s">
        <v>158</v>
      </c>
      <c r="T429" s="4" t="s">
        <v>439</v>
      </c>
      <c r="U429" s="4">
        <v>29</v>
      </c>
      <c r="V429" s="4">
        <v>30</v>
      </c>
      <c r="W429" s="4">
        <v>67</v>
      </c>
    </row>
    <row r="430" spans="1:23" ht="11.25" customHeight="1" x14ac:dyDescent="0.25">
      <c r="A430" s="4" t="s">
        <v>28</v>
      </c>
      <c r="B430" s="4" t="s">
        <v>35</v>
      </c>
      <c r="C430" s="4" t="s">
        <v>44</v>
      </c>
      <c r="D430" s="4" t="s">
        <v>42</v>
      </c>
      <c r="E430" s="4" t="s">
        <v>25</v>
      </c>
      <c r="F430" s="4" t="s">
        <v>25</v>
      </c>
      <c r="G430" s="4" t="s">
        <v>25</v>
      </c>
      <c r="H430" s="4" t="s">
        <v>38</v>
      </c>
      <c r="I430" s="5">
        <v>44317</v>
      </c>
      <c r="J430" s="6">
        <v>1375</v>
      </c>
      <c r="K430" s="6">
        <v>1375</v>
      </c>
      <c r="L430" s="6">
        <v>417.71600000000001</v>
      </c>
      <c r="M430" s="6">
        <v>417.71600000000001</v>
      </c>
      <c r="N430" s="6">
        <v>417.71600000000001</v>
      </c>
      <c r="O430" s="6">
        <v>417.71600000000001</v>
      </c>
      <c r="P430" s="6">
        <v>0</v>
      </c>
      <c r="Q430" s="4" t="s">
        <v>26</v>
      </c>
      <c r="R430" s="4">
        <v>0</v>
      </c>
      <c r="S430" s="4" t="s">
        <v>158</v>
      </c>
      <c r="T430" s="4" t="s">
        <v>439</v>
      </c>
      <c r="U430" s="4">
        <v>29</v>
      </c>
      <c r="V430" s="4">
        <v>30</v>
      </c>
      <c r="W430" s="4">
        <v>67</v>
      </c>
    </row>
    <row r="431" spans="1:23" ht="11.25" customHeight="1" x14ac:dyDescent="0.25">
      <c r="A431" s="4" t="s">
        <v>30</v>
      </c>
      <c r="B431" s="4" t="s">
        <v>35</v>
      </c>
      <c r="C431" s="4" t="s">
        <v>44</v>
      </c>
      <c r="D431" s="4" t="s">
        <v>42</v>
      </c>
      <c r="E431" s="4" t="s">
        <v>25</v>
      </c>
      <c r="F431" s="4" t="s">
        <v>25</v>
      </c>
      <c r="G431" s="4" t="s">
        <v>25</v>
      </c>
      <c r="H431" s="4" t="s">
        <v>38</v>
      </c>
      <c r="I431" s="5">
        <v>44317</v>
      </c>
      <c r="J431" s="6">
        <v>1661</v>
      </c>
      <c r="K431" s="6">
        <v>1661</v>
      </c>
      <c r="L431" s="6">
        <v>758.19799999999998</v>
      </c>
      <c r="M431" s="6">
        <v>758.19799999999998</v>
      </c>
      <c r="N431" s="6">
        <v>758.19799999999998</v>
      </c>
      <c r="O431" s="6">
        <v>758.19799999999998</v>
      </c>
      <c r="P431" s="6">
        <v>0</v>
      </c>
      <c r="Q431" s="4" t="s">
        <v>26</v>
      </c>
      <c r="R431" s="4">
        <v>0</v>
      </c>
      <c r="S431" s="4" t="s">
        <v>158</v>
      </c>
      <c r="T431" s="4" t="s">
        <v>439</v>
      </c>
      <c r="U431" s="4">
        <v>29</v>
      </c>
      <c r="V431" s="4">
        <v>30</v>
      </c>
      <c r="W431" s="4">
        <v>67</v>
      </c>
    </row>
    <row r="432" spans="1:23" ht="11.25" customHeight="1" x14ac:dyDescent="0.25">
      <c r="A432" s="4" t="s">
        <v>21</v>
      </c>
      <c r="B432" s="4" t="s">
        <v>35</v>
      </c>
      <c r="C432" s="4" t="s">
        <v>44</v>
      </c>
      <c r="D432" s="4" t="s">
        <v>42</v>
      </c>
      <c r="E432" s="4" t="s">
        <v>25</v>
      </c>
      <c r="F432" s="4" t="s">
        <v>25</v>
      </c>
      <c r="G432" s="4" t="s">
        <v>25</v>
      </c>
      <c r="H432" s="4" t="s">
        <v>38</v>
      </c>
      <c r="I432" s="5">
        <v>44317</v>
      </c>
      <c r="J432" s="6">
        <v>5695</v>
      </c>
      <c r="K432" s="6">
        <v>5695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4" t="s">
        <v>60</v>
      </c>
      <c r="R432" s="4">
        <v>0</v>
      </c>
      <c r="S432" s="4" t="s">
        <v>158</v>
      </c>
      <c r="U432" s="4">
        <v>29</v>
      </c>
      <c r="V432" s="4">
        <v>0</v>
      </c>
      <c r="W432" s="4">
        <v>0</v>
      </c>
    </row>
    <row r="433" spans="1:23" ht="11.25" customHeight="1" x14ac:dyDescent="0.25">
      <c r="A433" s="4" t="s">
        <v>21</v>
      </c>
      <c r="B433" s="4" t="s">
        <v>35</v>
      </c>
      <c r="C433" s="4" t="s">
        <v>44</v>
      </c>
      <c r="D433" s="4" t="s">
        <v>42</v>
      </c>
      <c r="E433" s="4" t="s">
        <v>25</v>
      </c>
      <c r="F433" s="4" t="s">
        <v>25</v>
      </c>
      <c r="G433" s="4" t="s">
        <v>25</v>
      </c>
      <c r="H433" s="4" t="s">
        <v>38</v>
      </c>
      <c r="I433" s="5">
        <v>44348</v>
      </c>
      <c r="J433" s="6">
        <v>20035</v>
      </c>
      <c r="K433" s="6">
        <v>20035</v>
      </c>
      <c r="L433" s="6">
        <v>4770.3649999999998</v>
      </c>
      <c r="M433" s="6">
        <v>4770.3649999999998</v>
      </c>
      <c r="N433" s="6">
        <v>4770.3649999999998</v>
      </c>
      <c r="O433" s="6">
        <v>4770.3649999999998</v>
      </c>
      <c r="P433" s="6">
        <v>0</v>
      </c>
      <c r="Q433" s="4" t="s">
        <v>26</v>
      </c>
      <c r="R433" s="4">
        <v>0</v>
      </c>
      <c r="S433" s="4" t="s">
        <v>159</v>
      </c>
      <c r="T433" s="4" t="s">
        <v>440</v>
      </c>
      <c r="U433" s="4">
        <v>29</v>
      </c>
      <c r="V433" s="4">
        <v>30</v>
      </c>
      <c r="W433" s="4">
        <v>67</v>
      </c>
    </row>
    <row r="434" spans="1:23" ht="11.25" customHeight="1" x14ac:dyDescent="0.25">
      <c r="A434" s="4" t="s">
        <v>27</v>
      </c>
      <c r="B434" s="4" t="s">
        <v>35</v>
      </c>
      <c r="C434" s="4" t="s">
        <v>44</v>
      </c>
      <c r="D434" s="4" t="s">
        <v>42</v>
      </c>
      <c r="E434" s="4" t="s">
        <v>25</v>
      </c>
      <c r="F434" s="4" t="s">
        <v>25</v>
      </c>
      <c r="G434" s="4" t="s">
        <v>25</v>
      </c>
      <c r="H434" s="4" t="s">
        <v>38</v>
      </c>
      <c r="I434" s="5">
        <v>44348</v>
      </c>
      <c r="J434" s="6">
        <v>-2164</v>
      </c>
      <c r="K434" s="6">
        <v>-2164</v>
      </c>
      <c r="L434" s="6">
        <v>-557.60299999999995</v>
      </c>
      <c r="M434" s="6">
        <v>-557.60299999999995</v>
      </c>
      <c r="N434" s="6">
        <v>-557.60299999999995</v>
      </c>
      <c r="O434" s="6">
        <v>-557.60299999999995</v>
      </c>
      <c r="P434" s="6">
        <v>0</v>
      </c>
      <c r="Q434" s="4" t="s">
        <v>26</v>
      </c>
      <c r="R434" s="4">
        <v>0</v>
      </c>
      <c r="S434" s="4" t="s">
        <v>159</v>
      </c>
      <c r="T434" s="4" t="s">
        <v>440</v>
      </c>
      <c r="U434" s="4">
        <v>29</v>
      </c>
      <c r="V434" s="4">
        <v>30</v>
      </c>
      <c r="W434" s="4">
        <v>67</v>
      </c>
    </row>
    <row r="435" spans="1:23" ht="11.25" customHeight="1" x14ac:dyDescent="0.25">
      <c r="A435" s="4" t="s">
        <v>28</v>
      </c>
      <c r="B435" s="4" t="s">
        <v>35</v>
      </c>
      <c r="C435" s="4" t="s">
        <v>44</v>
      </c>
      <c r="D435" s="4" t="s">
        <v>42</v>
      </c>
      <c r="E435" s="4" t="s">
        <v>25</v>
      </c>
      <c r="F435" s="4" t="s">
        <v>25</v>
      </c>
      <c r="G435" s="4" t="s">
        <v>25</v>
      </c>
      <c r="H435" s="4" t="s">
        <v>38</v>
      </c>
      <c r="I435" s="5">
        <v>44348</v>
      </c>
      <c r="J435" s="6">
        <v>1393</v>
      </c>
      <c r="K435" s="6">
        <v>1393</v>
      </c>
      <c r="L435" s="6">
        <v>417.62400000000002</v>
      </c>
      <c r="M435" s="6">
        <v>417.62400000000002</v>
      </c>
      <c r="N435" s="6">
        <v>417.62400000000002</v>
      </c>
      <c r="O435" s="6">
        <v>417.62400000000002</v>
      </c>
      <c r="P435" s="6">
        <v>0</v>
      </c>
      <c r="Q435" s="4" t="s">
        <v>26</v>
      </c>
      <c r="R435" s="4">
        <v>0</v>
      </c>
      <c r="S435" s="4" t="s">
        <v>159</v>
      </c>
      <c r="T435" s="4" t="s">
        <v>440</v>
      </c>
      <c r="U435" s="4">
        <v>29</v>
      </c>
      <c r="V435" s="4">
        <v>30</v>
      </c>
      <c r="W435" s="4">
        <v>67</v>
      </c>
    </row>
    <row r="436" spans="1:23" ht="11.25" customHeight="1" x14ac:dyDescent="0.25">
      <c r="A436" s="4" t="s">
        <v>29</v>
      </c>
      <c r="B436" s="4" t="s">
        <v>35</v>
      </c>
      <c r="C436" s="4" t="s">
        <v>44</v>
      </c>
      <c r="D436" s="4" t="s">
        <v>42</v>
      </c>
      <c r="E436" s="4" t="s">
        <v>25</v>
      </c>
      <c r="F436" s="4" t="s">
        <v>25</v>
      </c>
      <c r="G436" s="4" t="s">
        <v>25</v>
      </c>
      <c r="H436" s="4" t="s">
        <v>38</v>
      </c>
      <c r="I436" s="5">
        <v>44348</v>
      </c>
      <c r="J436" s="6">
        <v>-101</v>
      </c>
      <c r="K436" s="6">
        <v>-101</v>
      </c>
      <c r="L436" s="6">
        <v>-45.182000000000002</v>
      </c>
      <c r="M436" s="6">
        <v>-45.182000000000002</v>
      </c>
      <c r="N436" s="6">
        <v>-45.182000000000002</v>
      </c>
      <c r="O436" s="6">
        <v>-45.182000000000002</v>
      </c>
      <c r="P436" s="6">
        <v>0</v>
      </c>
      <c r="Q436" s="4" t="s">
        <v>26</v>
      </c>
      <c r="R436" s="4">
        <v>0</v>
      </c>
      <c r="S436" s="4" t="s">
        <v>159</v>
      </c>
      <c r="T436" s="4" t="s">
        <v>440</v>
      </c>
      <c r="U436" s="4">
        <v>29</v>
      </c>
      <c r="V436" s="4">
        <v>30</v>
      </c>
      <c r="W436" s="4">
        <v>67</v>
      </c>
    </row>
    <row r="437" spans="1:23" ht="11.25" customHeight="1" x14ac:dyDescent="0.25">
      <c r="A437" s="4" t="s">
        <v>30</v>
      </c>
      <c r="B437" s="4" t="s">
        <v>35</v>
      </c>
      <c r="C437" s="4" t="s">
        <v>44</v>
      </c>
      <c r="D437" s="4" t="s">
        <v>42</v>
      </c>
      <c r="E437" s="4" t="s">
        <v>25</v>
      </c>
      <c r="F437" s="4" t="s">
        <v>25</v>
      </c>
      <c r="G437" s="4" t="s">
        <v>25</v>
      </c>
      <c r="H437" s="4" t="s">
        <v>38</v>
      </c>
      <c r="I437" s="5">
        <v>44348</v>
      </c>
      <c r="J437" s="6">
        <v>2227</v>
      </c>
      <c r="K437" s="6">
        <v>2227</v>
      </c>
      <c r="L437" s="6">
        <v>880.93499999999995</v>
      </c>
      <c r="M437" s="6">
        <v>880.93499999999995</v>
      </c>
      <c r="N437" s="6">
        <v>880.93499999999995</v>
      </c>
      <c r="O437" s="6">
        <v>880.93499999999995</v>
      </c>
      <c r="P437" s="6">
        <v>0</v>
      </c>
      <c r="Q437" s="4" t="s">
        <v>26</v>
      </c>
      <c r="R437" s="4">
        <v>0</v>
      </c>
      <c r="S437" s="4" t="s">
        <v>159</v>
      </c>
      <c r="T437" s="4" t="s">
        <v>440</v>
      </c>
      <c r="U437" s="4">
        <v>29</v>
      </c>
      <c r="V437" s="4">
        <v>30</v>
      </c>
      <c r="W437" s="4">
        <v>67</v>
      </c>
    </row>
    <row r="438" spans="1:23" ht="11.25" customHeight="1" x14ac:dyDescent="0.25">
      <c r="A438" s="4" t="s">
        <v>21</v>
      </c>
      <c r="B438" s="4" t="s">
        <v>35</v>
      </c>
      <c r="C438" s="4" t="s">
        <v>44</v>
      </c>
      <c r="D438" s="4" t="s">
        <v>42</v>
      </c>
      <c r="E438" s="4" t="s">
        <v>25</v>
      </c>
      <c r="F438" s="4" t="s">
        <v>25</v>
      </c>
      <c r="G438" s="4" t="s">
        <v>25</v>
      </c>
      <c r="H438" s="4" t="s">
        <v>38</v>
      </c>
      <c r="I438" s="5">
        <v>44348</v>
      </c>
      <c r="J438" s="6">
        <v>5937</v>
      </c>
      <c r="K438" s="6">
        <v>5937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4" t="s">
        <v>60</v>
      </c>
      <c r="R438" s="4">
        <v>0</v>
      </c>
      <c r="S438" s="4" t="s">
        <v>159</v>
      </c>
      <c r="U438" s="4">
        <v>29</v>
      </c>
      <c r="V438" s="4">
        <v>0</v>
      </c>
      <c r="W438" s="4">
        <v>0</v>
      </c>
    </row>
    <row r="439" spans="1:23" ht="11.25" customHeight="1" x14ac:dyDescent="0.25">
      <c r="A439" s="4" t="s">
        <v>21</v>
      </c>
      <c r="B439" s="4" t="s">
        <v>35</v>
      </c>
      <c r="C439" s="4" t="s">
        <v>44</v>
      </c>
      <c r="D439" s="4" t="s">
        <v>42</v>
      </c>
      <c r="E439" s="4" t="s">
        <v>25</v>
      </c>
      <c r="F439" s="4" t="s">
        <v>25</v>
      </c>
      <c r="G439" s="4" t="s">
        <v>25</v>
      </c>
      <c r="H439" s="4" t="s">
        <v>38</v>
      </c>
      <c r="I439" s="5">
        <v>44378</v>
      </c>
      <c r="J439" s="6">
        <v>19239</v>
      </c>
      <c r="K439" s="6">
        <v>19239</v>
      </c>
      <c r="L439" s="6">
        <v>5123.518</v>
      </c>
      <c r="M439" s="6">
        <v>5123.518</v>
      </c>
      <c r="N439" s="6">
        <v>5123.518</v>
      </c>
      <c r="O439" s="6">
        <v>5123.518</v>
      </c>
      <c r="P439" s="6">
        <v>0</v>
      </c>
      <c r="Q439" s="4" t="s">
        <v>26</v>
      </c>
      <c r="R439" s="4">
        <v>0</v>
      </c>
      <c r="S439" s="4" t="s">
        <v>160</v>
      </c>
      <c r="T439" s="4" t="s">
        <v>441</v>
      </c>
      <c r="U439" s="4">
        <v>29</v>
      </c>
      <c r="V439" s="4">
        <v>30</v>
      </c>
      <c r="W439" s="4">
        <v>67</v>
      </c>
    </row>
    <row r="440" spans="1:23" ht="11.25" customHeight="1" x14ac:dyDescent="0.25">
      <c r="A440" s="4" t="s">
        <v>27</v>
      </c>
      <c r="B440" s="4" t="s">
        <v>35</v>
      </c>
      <c r="C440" s="4" t="s">
        <v>44</v>
      </c>
      <c r="D440" s="4" t="s">
        <v>42</v>
      </c>
      <c r="E440" s="4" t="s">
        <v>25</v>
      </c>
      <c r="F440" s="4" t="s">
        <v>25</v>
      </c>
      <c r="G440" s="4" t="s">
        <v>25</v>
      </c>
      <c r="H440" s="4" t="s">
        <v>38</v>
      </c>
      <c r="I440" s="5">
        <v>44378</v>
      </c>
      <c r="J440" s="6">
        <v>-1200</v>
      </c>
      <c r="K440" s="6">
        <v>-1200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4" t="s">
        <v>26</v>
      </c>
      <c r="R440" s="4">
        <v>0</v>
      </c>
      <c r="S440" s="4" t="s">
        <v>160</v>
      </c>
      <c r="T440" s="4" t="s">
        <v>441</v>
      </c>
      <c r="U440" s="4">
        <v>29</v>
      </c>
      <c r="V440" s="4">
        <v>0</v>
      </c>
      <c r="W440" s="4">
        <v>0</v>
      </c>
    </row>
    <row r="441" spans="1:23" ht="11.25" customHeight="1" x14ac:dyDescent="0.25">
      <c r="A441" s="4" t="s">
        <v>28</v>
      </c>
      <c r="B441" s="4" t="s">
        <v>35</v>
      </c>
      <c r="C441" s="4" t="s">
        <v>44</v>
      </c>
      <c r="D441" s="4" t="s">
        <v>42</v>
      </c>
      <c r="E441" s="4" t="s">
        <v>25</v>
      </c>
      <c r="F441" s="4" t="s">
        <v>25</v>
      </c>
      <c r="G441" s="4" t="s">
        <v>25</v>
      </c>
      <c r="H441" s="4" t="s">
        <v>38</v>
      </c>
      <c r="I441" s="5">
        <v>44378</v>
      </c>
      <c r="J441" s="6">
        <v>1127</v>
      </c>
      <c r="K441" s="6">
        <v>1127</v>
      </c>
      <c r="L441" s="6">
        <v>432.959</v>
      </c>
      <c r="M441" s="6">
        <v>432.959</v>
      </c>
      <c r="N441" s="6">
        <v>432.959</v>
      </c>
      <c r="O441" s="6">
        <v>432.959</v>
      </c>
      <c r="P441" s="6">
        <v>0</v>
      </c>
      <c r="Q441" s="4" t="s">
        <v>26</v>
      </c>
      <c r="R441" s="4">
        <v>0</v>
      </c>
      <c r="S441" s="4" t="s">
        <v>160</v>
      </c>
      <c r="T441" s="4" t="s">
        <v>441</v>
      </c>
      <c r="U441" s="4">
        <v>29</v>
      </c>
      <c r="V441" s="4">
        <v>30</v>
      </c>
      <c r="W441" s="4">
        <v>67</v>
      </c>
    </row>
    <row r="442" spans="1:23" ht="11.25" customHeight="1" x14ac:dyDescent="0.25">
      <c r="A442" s="4" t="s">
        <v>30</v>
      </c>
      <c r="B442" s="4" t="s">
        <v>35</v>
      </c>
      <c r="C442" s="4" t="s">
        <v>44</v>
      </c>
      <c r="D442" s="4" t="s">
        <v>42</v>
      </c>
      <c r="E442" s="4" t="s">
        <v>25</v>
      </c>
      <c r="F442" s="4" t="s">
        <v>25</v>
      </c>
      <c r="G442" s="4" t="s">
        <v>25</v>
      </c>
      <c r="H442" s="4" t="s">
        <v>38</v>
      </c>
      <c r="I442" s="5">
        <v>44378</v>
      </c>
      <c r="J442" s="6">
        <v>2539</v>
      </c>
      <c r="K442" s="6">
        <v>2539</v>
      </c>
      <c r="L442" s="6">
        <v>988.24300000000005</v>
      </c>
      <c r="M442" s="6">
        <v>988.24300000000005</v>
      </c>
      <c r="N442" s="6">
        <v>988.24300000000005</v>
      </c>
      <c r="O442" s="6">
        <v>988.24300000000005</v>
      </c>
      <c r="P442" s="6">
        <v>0</v>
      </c>
      <c r="Q442" s="4" t="s">
        <v>26</v>
      </c>
      <c r="R442" s="4">
        <v>0</v>
      </c>
      <c r="S442" s="4" t="s">
        <v>160</v>
      </c>
      <c r="T442" s="4" t="s">
        <v>441</v>
      </c>
      <c r="U442" s="4">
        <v>29</v>
      </c>
      <c r="V442" s="4">
        <v>30</v>
      </c>
      <c r="W442" s="4">
        <v>67</v>
      </c>
    </row>
    <row r="443" spans="1:23" ht="11.25" customHeight="1" x14ac:dyDescent="0.25">
      <c r="A443" s="4" t="s">
        <v>21</v>
      </c>
      <c r="B443" s="4" t="s">
        <v>35</v>
      </c>
      <c r="C443" s="4" t="s">
        <v>44</v>
      </c>
      <c r="D443" s="4" t="s">
        <v>42</v>
      </c>
      <c r="E443" s="4" t="s">
        <v>25</v>
      </c>
      <c r="F443" s="4" t="s">
        <v>25</v>
      </c>
      <c r="G443" s="4" t="s">
        <v>25</v>
      </c>
      <c r="H443" s="4" t="s">
        <v>38</v>
      </c>
      <c r="I443" s="5">
        <v>44378</v>
      </c>
      <c r="J443" s="6">
        <v>5987</v>
      </c>
      <c r="K443" s="6">
        <v>5987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4" t="s">
        <v>60</v>
      </c>
      <c r="R443" s="4">
        <v>0</v>
      </c>
      <c r="S443" s="4" t="s">
        <v>160</v>
      </c>
      <c r="U443" s="4">
        <v>29</v>
      </c>
      <c r="V443" s="4">
        <v>0</v>
      </c>
      <c r="W443" s="4">
        <v>0</v>
      </c>
    </row>
    <row r="444" spans="1:23" ht="11.25" customHeight="1" x14ac:dyDescent="0.25">
      <c r="A444" s="4" t="s">
        <v>21</v>
      </c>
      <c r="B444" s="4" t="s">
        <v>35</v>
      </c>
      <c r="C444" s="4" t="s">
        <v>44</v>
      </c>
      <c r="D444" s="4" t="s">
        <v>42</v>
      </c>
      <c r="E444" s="4" t="s">
        <v>25</v>
      </c>
      <c r="F444" s="4" t="s">
        <v>25</v>
      </c>
      <c r="G444" s="4" t="s">
        <v>25</v>
      </c>
      <c r="H444" s="4" t="s">
        <v>38</v>
      </c>
      <c r="I444" s="5">
        <v>44409</v>
      </c>
      <c r="J444" s="6">
        <v>20507</v>
      </c>
      <c r="K444" s="6">
        <v>20507</v>
      </c>
      <c r="L444" s="6">
        <v>5742.0559999999996</v>
      </c>
      <c r="M444" s="6">
        <v>5742.0559999999996</v>
      </c>
      <c r="N444" s="6">
        <v>5742.0559999999996</v>
      </c>
      <c r="O444" s="6">
        <v>5742.0559999999996</v>
      </c>
      <c r="P444" s="6">
        <v>0</v>
      </c>
      <c r="Q444" s="4" t="s">
        <v>26</v>
      </c>
      <c r="R444" s="4">
        <v>0</v>
      </c>
      <c r="S444" s="4" t="s">
        <v>161</v>
      </c>
      <c r="T444" s="4" t="s">
        <v>442</v>
      </c>
      <c r="U444" s="4">
        <v>29</v>
      </c>
      <c r="V444" s="4">
        <v>30</v>
      </c>
      <c r="W444" s="4">
        <v>67</v>
      </c>
    </row>
    <row r="445" spans="1:23" ht="11.25" customHeight="1" x14ac:dyDescent="0.25">
      <c r="A445" s="4" t="s">
        <v>27</v>
      </c>
      <c r="B445" s="4" t="s">
        <v>35</v>
      </c>
      <c r="C445" s="4" t="s">
        <v>44</v>
      </c>
      <c r="D445" s="4" t="s">
        <v>42</v>
      </c>
      <c r="E445" s="4" t="s">
        <v>25</v>
      </c>
      <c r="F445" s="4" t="s">
        <v>25</v>
      </c>
      <c r="G445" s="4" t="s">
        <v>25</v>
      </c>
      <c r="H445" s="4" t="s">
        <v>38</v>
      </c>
      <c r="I445" s="5">
        <v>44409</v>
      </c>
      <c r="J445" s="6">
        <v>-500</v>
      </c>
      <c r="K445" s="6">
        <v>-500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4" t="s">
        <v>26</v>
      </c>
      <c r="R445" s="4">
        <v>0</v>
      </c>
      <c r="S445" s="4" t="s">
        <v>161</v>
      </c>
      <c r="T445" s="4" t="s">
        <v>442</v>
      </c>
      <c r="U445" s="4">
        <v>29</v>
      </c>
      <c r="V445" s="4">
        <v>0</v>
      </c>
      <c r="W445" s="4">
        <v>0</v>
      </c>
    </row>
    <row r="446" spans="1:23" ht="11.25" customHeight="1" x14ac:dyDescent="0.25">
      <c r="A446" s="4" t="s">
        <v>28</v>
      </c>
      <c r="B446" s="4" t="s">
        <v>35</v>
      </c>
      <c r="C446" s="4" t="s">
        <v>44</v>
      </c>
      <c r="D446" s="4" t="s">
        <v>42</v>
      </c>
      <c r="E446" s="4" t="s">
        <v>25</v>
      </c>
      <c r="F446" s="4" t="s">
        <v>25</v>
      </c>
      <c r="G446" s="4" t="s">
        <v>25</v>
      </c>
      <c r="H446" s="4" t="s">
        <v>38</v>
      </c>
      <c r="I446" s="5">
        <v>44409</v>
      </c>
      <c r="J446" s="6">
        <v>1288</v>
      </c>
      <c r="K446" s="6">
        <v>1288</v>
      </c>
      <c r="L446" s="6">
        <v>454.89800000000002</v>
      </c>
      <c r="M446" s="6">
        <v>454.89800000000002</v>
      </c>
      <c r="N446" s="6">
        <v>454.89800000000002</v>
      </c>
      <c r="O446" s="6">
        <v>454.89800000000002</v>
      </c>
      <c r="P446" s="6">
        <v>0</v>
      </c>
      <c r="Q446" s="4" t="s">
        <v>26</v>
      </c>
      <c r="R446" s="4">
        <v>0</v>
      </c>
      <c r="S446" s="4" t="s">
        <v>161</v>
      </c>
      <c r="T446" s="4" t="s">
        <v>442</v>
      </c>
      <c r="U446" s="4">
        <v>29</v>
      </c>
      <c r="V446" s="4">
        <v>30</v>
      </c>
      <c r="W446" s="4">
        <v>67</v>
      </c>
    </row>
    <row r="447" spans="1:23" ht="11.25" customHeight="1" x14ac:dyDescent="0.25">
      <c r="A447" s="4" t="s">
        <v>30</v>
      </c>
      <c r="B447" s="4" t="s">
        <v>35</v>
      </c>
      <c r="C447" s="4" t="s">
        <v>44</v>
      </c>
      <c r="D447" s="4" t="s">
        <v>42</v>
      </c>
      <c r="E447" s="4" t="s">
        <v>25</v>
      </c>
      <c r="F447" s="4" t="s">
        <v>25</v>
      </c>
      <c r="G447" s="4" t="s">
        <v>25</v>
      </c>
      <c r="H447" s="4" t="s">
        <v>38</v>
      </c>
      <c r="I447" s="5">
        <v>44409</v>
      </c>
      <c r="J447" s="6">
        <v>2214</v>
      </c>
      <c r="K447" s="6">
        <v>2214</v>
      </c>
      <c r="L447" s="6">
        <v>982.28200000000004</v>
      </c>
      <c r="M447" s="6">
        <v>982.28200000000004</v>
      </c>
      <c r="N447" s="6">
        <v>982.28200000000004</v>
      </c>
      <c r="O447" s="6">
        <v>982.28200000000004</v>
      </c>
      <c r="P447" s="6">
        <v>0</v>
      </c>
      <c r="Q447" s="4" t="s">
        <v>26</v>
      </c>
      <c r="R447" s="4">
        <v>0</v>
      </c>
      <c r="S447" s="4" t="s">
        <v>161</v>
      </c>
      <c r="T447" s="4" t="s">
        <v>442</v>
      </c>
      <c r="U447" s="4">
        <v>29</v>
      </c>
      <c r="V447" s="4">
        <v>30</v>
      </c>
      <c r="W447" s="4">
        <v>67</v>
      </c>
    </row>
    <row r="448" spans="1:23" ht="11.25" customHeight="1" x14ac:dyDescent="0.25">
      <c r="A448" s="4" t="s">
        <v>30</v>
      </c>
      <c r="B448" s="4" t="s">
        <v>35</v>
      </c>
      <c r="C448" s="4" t="s">
        <v>44</v>
      </c>
      <c r="D448" s="4" t="s">
        <v>42</v>
      </c>
      <c r="E448" s="4" t="s">
        <v>25</v>
      </c>
      <c r="F448" s="4" t="s">
        <v>25</v>
      </c>
      <c r="G448" s="4" t="s">
        <v>25</v>
      </c>
      <c r="H448" s="4" t="s">
        <v>38</v>
      </c>
      <c r="I448" s="5">
        <v>44409</v>
      </c>
      <c r="J448" s="6">
        <v>-350</v>
      </c>
      <c r="K448" s="6">
        <v>-350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4" t="s">
        <v>26</v>
      </c>
      <c r="R448" s="4">
        <v>0</v>
      </c>
      <c r="S448" s="4" t="s">
        <v>161</v>
      </c>
      <c r="T448" s="4" t="s">
        <v>442</v>
      </c>
      <c r="U448" s="4">
        <v>29</v>
      </c>
      <c r="V448" s="4">
        <v>0</v>
      </c>
      <c r="W448" s="4">
        <v>0</v>
      </c>
    </row>
    <row r="449" spans="1:23" ht="11.25" customHeight="1" x14ac:dyDescent="0.25">
      <c r="A449" s="4" t="s">
        <v>21</v>
      </c>
      <c r="B449" s="4" t="s">
        <v>35</v>
      </c>
      <c r="C449" s="4" t="s">
        <v>44</v>
      </c>
      <c r="D449" s="4" t="s">
        <v>42</v>
      </c>
      <c r="E449" s="4" t="s">
        <v>25</v>
      </c>
      <c r="F449" s="4" t="s">
        <v>25</v>
      </c>
      <c r="G449" s="4" t="s">
        <v>25</v>
      </c>
      <c r="H449" s="4" t="s">
        <v>38</v>
      </c>
      <c r="I449" s="5">
        <v>44409</v>
      </c>
      <c r="J449" s="6">
        <v>5927</v>
      </c>
      <c r="K449" s="6">
        <v>5927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4" t="s">
        <v>60</v>
      </c>
      <c r="R449" s="4">
        <v>0</v>
      </c>
      <c r="S449" s="4" t="s">
        <v>161</v>
      </c>
      <c r="U449" s="4">
        <v>29</v>
      </c>
      <c r="V449" s="4">
        <v>0</v>
      </c>
      <c r="W449" s="4">
        <v>0</v>
      </c>
    </row>
    <row r="450" spans="1:23" ht="11.25" customHeight="1" x14ac:dyDescent="0.25">
      <c r="A450" s="4" t="s">
        <v>21</v>
      </c>
      <c r="B450" s="4" t="s">
        <v>35</v>
      </c>
      <c r="C450" s="4" t="s">
        <v>44</v>
      </c>
      <c r="D450" s="4" t="s">
        <v>42</v>
      </c>
      <c r="E450" s="4" t="s">
        <v>25</v>
      </c>
      <c r="F450" s="4" t="s">
        <v>25</v>
      </c>
      <c r="G450" s="4" t="s">
        <v>25</v>
      </c>
      <c r="H450" s="4" t="s">
        <v>38</v>
      </c>
      <c r="I450" s="5">
        <v>44440</v>
      </c>
      <c r="J450" s="6">
        <v>19262</v>
      </c>
      <c r="K450" s="6">
        <v>19262</v>
      </c>
      <c r="L450" s="6">
        <v>5346.9030000000002</v>
      </c>
      <c r="M450" s="6">
        <v>5346.9030000000002</v>
      </c>
      <c r="N450" s="6">
        <v>5346.9030000000002</v>
      </c>
      <c r="O450" s="6">
        <v>5346.9030000000002</v>
      </c>
      <c r="P450" s="6">
        <v>0</v>
      </c>
      <c r="Q450" s="4" t="s">
        <v>26</v>
      </c>
      <c r="R450" s="4">
        <v>0</v>
      </c>
      <c r="S450" s="4" t="s">
        <v>162</v>
      </c>
      <c r="T450" s="4" t="s">
        <v>443</v>
      </c>
      <c r="U450" s="4">
        <v>29</v>
      </c>
      <c r="V450" s="4">
        <v>30</v>
      </c>
      <c r="W450" s="4">
        <v>67</v>
      </c>
    </row>
    <row r="451" spans="1:23" ht="11.25" customHeight="1" x14ac:dyDescent="0.25">
      <c r="A451" s="4" t="s">
        <v>28</v>
      </c>
      <c r="B451" s="4" t="s">
        <v>35</v>
      </c>
      <c r="C451" s="4" t="s">
        <v>44</v>
      </c>
      <c r="D451" s="4" t="s">
        <v>42</v>
      </c>
      <c r="E451" s="4" t="s">
        <v>25</v>
      </c>
      <c r="F451" s="4" t="s">
        <v>25</v>
      </c>
      <c r="G451" s="4" t="s">
        <v>25</v>
      </c>
      <c r="H451" s="4" t="s">
        <v>38</v>
      </c>
      <c r="I451" s="5">
        <v>44440</v>
      </c>
      <c r="J451" s="6">
        <v>1304</v>
      </c>
      <c r="K451" s="6">
        <v>1304</v>
      </c>
      <c r="L451" s="6">
        <v>425.51400000000001</v>
      </c>
      <c r="M451" s="6">
        <v>425.51400000000001</v>
      </c>
      <c r="N451" s="6">
        <v>425.51400000000001</v>
      </c>
      <c r="O451" s="6">
        <v>425.51400000000001</v>
      </c>
      <c r="P451" s="6">
        <v>0</v>
      </c>
      <c r="Q451" s="4" t="s">
        <v>26</v>
      </c>
      <c r="R451" s="4">
        <v>0</v>
      </c>
      <c r="S451" s="4" t="s">
        <v>162</v>
      </c>
      <c r="T451" s="4" t="s">
        <v>443</v>
      </c>
      <c r="U451" s="4">
        <v>29</v>
      </c>
      <c r="V451" s="4">
        <v>30</v>
      </c>
      <c r="W451" s="4">
        <v>67</v>
      </c>
    </row>
    <row r="452" spans="1:23" ht="11.25" customHeight="1" x14ac:dyDescent="0.25">
      <c r="A452" s="4" t="s">
        <v>30</v>
      </c>
      <c r="B452" s="4" t="s">
        <v>35</v>
      </c>
      <c r="C452" s="4" t="s">
        <v>44</v>
      </c>
      <c r="D452" s="4" t="s">
        <v>42</v>
      </c>
      <c r="E452" s="4" t="s">
        <v>25</v>
      </c>
      <c r="F452" s="4" t="s">
        <v>25</v>
      </c>
      <c r="G452" s="4" t="s">
        <v>25</v>
      </c>
      <c r="H452" s="4" t="s">
        <v>38</v>
      </c>
      <c r="I452" s="5">
        <v>44440</v>
      </c>
      <c r="J452" s="6">
        <v>2208</v>
      </c>
      <c r="K452" s="6">
        <v>2208</v>
      </c>
      <c r="L452" s="6">
        <v>921.87900000000002</v>
      </c>
      <c r="M452" s="6">
        <v>921.87900000000002</v>
      </c>
      <c r="N452" s="6">
        <v>921.87900000000002</v>
      </c>
      <c r="O452" s="6">
        <v>921.87900000000002</v>
      </c>
      <c r="P452" s="6">
        <v>0</v>
      </c>
      <c r="Q452" s="4" t="s">
        <v>26</v>
      </c>
      <c r="R452" s="4">
        <v>0</v>
      </c>
      <c r="S452" s="4" t="s">
        <v>162</v>
      </c>
      <c r="T452" s="4" t="s">
        <v>443</v>
      </c>
      <c r="U452" s="4">
        <v>29</v>
      </c>
      <c r="V452" s="4">
        <v>30</v>
      </c>
      <c r="W452" s="4">
        <v>67</v>
      </c>
    </row>
    <row r="453" spans="1:23" ht="11.25" customHeight="1" x14ac:dyDescent="0.25">
      <c r="A453" s="4" t="s">
        <v>21</v>
      </c>
      <c r="B453" s="4" t="s">
        <v>35</v>
      </c>
      <c r="C453" s="4" t="s">
        <v>44</v>
      </c>
      <c r="D453" s="4" t="s">
        <v>42</v>
      </c>
      <c r="E453" s="4" t="s">
        <v>25</v>
      </c>
      <c r="F453" s="4" t="s">
        <v>25</v>
      </c>
      <c r="G453" s="4" t="s">
        <v>25</v>
      </c>
      <c r="H453" s="4" t="s">
        <v>38</v>
      </c>
      <c r="I453" s="5">
        <v>44440</v>
      </c>
      <c r="J453" s="6">
        <v>5816</v>
      </c>
      <c r="K453" s="6">
        <v>5816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4" t="s">
        <v>60</v>
      </c>
      <c r="R453" s="4">
        <v>0</v>
      </c>
      <c r="S453" s="4" t="s">
        <v>162</v>
      </c>
      <c r="U453" s="4">
        <v>29</v>
      </c>
      <c r="V453" s="4">
        <v>0</v>
      </c>
      <c r="W453" s="4">
        <v>0</v>
      </c>
    </row>
    <row r="454" spans="1:23" ht="11.25" customHeight="1" x14ac:dyDescent="0.25">
      <c r="A454" s="4" t="s">
        <v>59</v>
      </c>
      <c r="B454" s="4" t="s">
        <v>35</v>
      </c>
      <c r="C454" s="4" t="s">
        <v>44</v>
      </c>
      <c r="D454" s="4" t="s">
        <v>42</v>
      </c>
      <c r="E454" s="4" t="s">
        <v>25</v>
      </c>
      <c r="F454" s="4" t="s">
        <v>25</v>
      </c>
      <c r="G454" s="4" t="s">
        <v>25</v>
      </c>
      <c r="H454" s="4" t="s">
        <v>38</v>
      </c>
      <c r="I454" s="5">
        <v>44470</v>
      </c>
      <c r="J454" s="6">
        <v>19262</v>
      </c>
      <c r="K454" s="6">
        <v>19262</v>
      </c>
      <c r="L454" s="6">
        <v>5346.9030000000002</v>
      </c>
      <c r="M454" s="6">
        <v>5346.9030000000002</v>
      </c>
      <c r="N454" s="6">
        <v>5346.9030000000002</v>
      </c>
      <c r="O454" s="6">
        <v>5346.9030000000002</v>
      </c>
      <c r="P454" s="6">
        <v>0</v>
      </c>
      <c r="Q454" s="4" t="s">
        <v>26</v>
      </c>
      <c r="R454" s="4">
        <v>0</v>
      </c>
      <c r="S454" s="4" t="s">
        <v>163</v>
      </c>
      <c r="T454" s="4" t="s">
        <v>444</v>
      </c>
      <c r="U454" s="4">
        <v>29</v>
      </c>
      <c r="V454" s="4">
        <v>30</v>
      </c>
      <c r="W454" s="4">
        <v>67</v>
      </c>
    </row>
    <row r="455" spans="1:23" ht="11.25" customHeight="1" x14ac:dyDescent="0.25">
      <c r="A455" s="4" t="s">
        <v>59</v>
      </c>
      <c r="B455" s="4" t="s">
        <v>35</v>
      </c>
      <c r="C455" s="4" t="s">
        <v>44</v>
      </c>
      <c r="D455" s="4" t="s">
        <v>42</v>
      </c>
      <c r="E455" s="4" t="s">
        <v>25</v>
      </c>
      <c r="F455" s="4" t="s">
        <v>25</v>
      </c>
      <c r="G455" s="4" t="s">
        <v>25</v>
      </c>
      <c r="H455" s="4" t="s">
        <v>38</v>
      </c>
      <c r="I455" s="5">
        <v>44470</v>
      </c>
      <c r="J455" s="6">
        <v>1304</v>
      </c>
      <c r="K455" s="6">
        <v>1304</v>
      </c>
      <c r="L455" s="6">
        <v>425.51400000000001</v>
      </c>
      <c r="M455" s="6">
        <v>425.51400000000001</v>
      </c>
      <c r="N455" s="6">
        <v>425.51400000000001</v>
      </c>
      <c r="O455" s="6">
        <v>425.51400000000001</v>
      </c>
      <c r="P455" s="6">
        <v>0</v>
      </c>
      <c r="Q455" s="4" t="s">
        <v>26</v>
      </c>
      <c r="R455" s="4">
        <v>0</v>
      </c>
      <c r="S455" s="4" t="s">
        <v>163</v>
      </c>
      <c r="T455" s="4" t="s">
        <v>444</v>
      </c>
      <c r="U455" s="4">
        <v>29</v>
      </c>
      <c r="V455" s="4">
        <v>30</v>
      </c>
      <c r="W455" s="4">
        <v>67</v>
      </c>
    </row>
    <row r="456" spans="1:23" ht="11.25" customHeight="1" x14ac:dyDescent="0.25">
      <c r="A456" s="4" t="s">
        <v>59</v>
      </c>
      <c r="B456" s="4" t="s">
        <v>35</v>
      </c>
      <c r="C456" s="4" t="s">
        <v>44</v>
      </c>
      <c r="D456" s="4" t="s">
        <v>42</v>
      </c>
      <c r="E456" s="4" t="s">
        <v>25</v>
      </c>
      <c r="F456" s="4" t="s">
        <v>25</v>
      </c>
      <c r="G456" s="4" t="s">
        <v>25</v>
      </c>
      <c r="H456" s="4" t="s">
        <v>38</v>
      </c>
      <c r="I456" s="5">
        <v>44470</v>
      </c>
      <c r="J456" s="6">
        <v>2208</v>
      </c>
      <c r="K456" s="6">
        <v>2208</v>
      </c>
      <c r="L456" s="6">
        <v>921.87900000000002</v>
      </c>
      <c r="M456" s="6">
        <v>921.87900000000002</v>
      </c>
      <c r="N456" s="6">
        <v>921.87900000000002</v>
      </c>
      <c r="O456" s="6">
        <v>921.87900000000002</v>
      </c>
      <c r="P456" s="6">
        <v>0</v>
      </c>
      <c r="Q456" s="4" t="s">
        <v>26</v>
      </c>
      <c r="R456" s="4">
        <v>0</v>
      </c>
      <c r="S456" s="4" t="s">
        <v>163</v>
      </c>
      <c r="T456" s="4" t="s">
        <v>444</v>
      </c>
      <c r="U456" s="4">
        <v>29</v>
      </c>
      <c r="V456" s="4">
        <v>30</v>
      </c>
      <c r="W456" s="4">
        <v>67</v>
      </c>
    </row>
    <row r="457" spans="1:23" ht="11.25" customHeight="1" x14ac:dyDescent="0.25">
      <c r="A457" s="4" t="s">
        <v>59</v>
      </c>
      <c r="B457" s="4" t="s">
        <v>35</v>
      </c>
      <c r="C457" s="4" t="s">
        <v>44</v>
      </c>
      <c r="D457" s="4" t="s">
        <v>42</v>
      </c>
      <c r="E457" s="4" t="s">
        <v>25</v>
      </c>
      <c r="F457" s="4" t="s">
        <v>25</v>
      </c>
      <c r="G457" s="4" t="s">
        <v>25</v>
      </c>
      <c r="H457" s="4" t="s">
        <v>38</v>
      </c>
      <c r="I457" s="5">
        <v>44470</v>
      </c>
      <c r="J457" s="6">
        <v>5816</v>
      </c>
      <c r="K457" s="6">
        <v>5816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4" t="s">
        <v>60</v>
      </c>
      <c r="R457" s="4">
        <v>0</v>
      </c>
      <c r="S457" s="4" t="s">
        <v>163</v>
      </c>
      <c r="U457" s="4">
        <v>29</v>
      </c>
      <c r="V457" s="4">
        <v>0</v>
      </c>
      <c r="W457" s="4">
        <v>0</v>
      </c>
    </row>
    <row r="458" spans="1:23" ht="11.25" customHeight="1" x14ac:dyDescent="0.25">
      <c r="A458" s="4" t="s">
        <v>21</v>
      </c>
      <c r="B458" s="4" t="s">
        <v>35</v>
      </c>
      <c r="C458" s="4" t="s">
        <v>44</v>
      </c>
      <c r="D458" s="4" t="s">
        <v>42</v>
      </c>
      <c r="E458" s="4" t="s">
        <v>25</v>
      </c>
      <c r="F458" s="4" t="s">
        <v>25</v>
      </c>
      <c r="G458" s="4" t="s">
        <v>25</v>
      </c>
      <c r="H458" s="4" t="s">
        <v>25</v>
      </c>
      <c r="I458" s="5">
        <v>44136</v>
      </c>
      <c r="J458" s="6">
        <v>0</v>
      </c>
      <c r="K458" s="6">
        <v>0</v>
      </c>
      <c r="L458" s="6">
        <v>3913.9380000000001</v>
      </c>
      <c r="M458" s="6">
        <v>3913.9380000000001</v>
      </c>
      <c r="N458" s="6">
        <v>0</v>
      </c>
      <c r="O458" s="6">
        <v>0</v>
      </c>
      <c r="P458" s="6">
        <v>1</v>
      </c>
      <c r="Q458" s="4" t="s">
        <v>60</v>
      </c>
      <c r="R458" s="4">
        <v>0</v>
      </c>
      <c r="S458" s="4" t="s">
        <v>182</v>
      </c>
      <c r="U458" s="4">
        <v>0</v>
      </c>
      <c r="V458" s="4">
        <v>30</v>
      </c>
      <c r="W458" s="4">
        <v>0</v>
      </c>
    </row>
    <row r="459" spans="1:23" ht="11.25" customHeight="1" x14ac:dyDescent="0.25">
      <c r="A459" s="4" t="s">
        <v>21</v>
      </c>
      <c r="B459" s="4" t="s">
        <v>35</v>
      </c>
      <c r="C459" s="4" t="s">
        <v>44</v>
      </c>
      <c r="D459" s="4" t="s">
        <v>42</v>
      </c>
      <c r="E459" s="4" t="s">
        <v>25</v>
      </c>
      <c r="F459" s="4" t="s">
        <v>25</v>
      </c>
      <c r="G459" s="4" t="s">
        <v>25</v>
      </c>
      <c r="H459" s="4" t="s">
        <v>25</v>
      </c>
      <c r="I459" s="5">
        <v>44166</v>
      </c>
      <c r="J459" s="6">
        <v>0</v>
      </c>
      <c r="K459" s="6">
        <v>0</v>
      </c>
      <c r="L459" s="6">
        <v>3774.96</v>
      </c>
      <c r="M459" s="6">
        <v>3774.96</v>
      </c>
      <c r="N459" s="6">
        <v>0</v>
      </c>
      <c r="O459" s="6">
        <v>0</v>
      </c>
      <c r="P459" s="6">
        <v>1</v>
      </c>
      <c r="Q459" s="4" t="s">
        <v>60</v>
      </c>
      <c r="R459" s="4">
        <v>0</v>
      </c>
      <c r="S459" s="4" t="s">
        <v>183</v>
      </c>
      <c r="U459" s="4">
        <v>0</v>
      </c>
      <c r="V459" s="4">
        <v>30</v>
      </c>
      <c r="W459" s="4">
        <v>0</v>
      </c>
    </row>
    <row r="460" spans="1:23" ht="11.25" customHeight="1" x14ac:dyDescent="0.25">
      <c r="A460" s="4" t="s">
        <v>21</v>
      </c>
      <c r="B460" s="4" t="s">
        <v>35</v>
      </c>
      <c r="C460" s="4" t="s">
        <v>44</v>
      </c>
      <c r="D460" s="4" t="s">
        <v>42</v>
      </c>
      <c r="E460" s="4" t="s">
        <v>25</v>
      </c>
      <c r="F460" s="4" t="s">
        <v>25</v>
      </c>
      <c r="G460" s="4" t="s">
        <v>25</v>
      </c>
      <c r="H460" s="4" t="s">
        <v>25</v>
      </c>
      <c r="I460" s="5">
        <v>44197</v>
      </c>
      <c r="J460" s="6">
        <v>0</v>
      </c>
      <c r="K460" s="6">
        <v>0</v>
      </c>
      <c r="L460" s="6">
        <v>3787.0140000000001</v>
      </c>
      <c r="M460" s="6">
        <v>3787.0140000000001</v>
      </c>
      <c r="N460" s="6">
        <v>0</v>
      </c>
      <c r="O460" s="6">
        <v>0</v>
      </c>
      <c r="P460" s="6">
        <v>1</v>
      </c>
      <c r="Q460" s="4" t="s">
        <v>60</v>
      </c>
      <c r="R460" s="4">
        <v>0</v>
      </c>
      <c r="S460" s="4" t="s">
        <v>184</v>
      </c>
      <c r="U460" s="4">
        <v>0</v>
      </c>
      <c r="V460" s="4">
        <v>30</v>
      </c>
      <c r="W460" s="4">
        <v>0</v>
      </c>
    </row>
    <row r="461" spans="1:23" ht="11.25" customHeight="1" x14ac:dyDescent="0.25">
      <c r="A461" s="4" t="s">
        <v>21</v>
      </c>
      <c r="B461" s="4" t="s">
        <v>35</v>
      </c>
      <c r="C461" s="4" t="s">
        <v>44</v>
      </c>
      <c r="D461" s="4" t="s">
        <v>42</v>
      </c>
      <c r="E461" s="4" t="s">
        <v>25</v>
      </c>
      <c r="F461" s="4" t="s">
        <v>25</v>
      </c>
      <c r="G461" s="4" t="s">
        <v>25</v>
      </c>
      <c r="H461" s="4" t="s">
        <v>25</v>
      </c>
      <c r="I461" s="5">
        <v>44228</v>
      </c>
      <c r="J461" s="6">
        <v>0</v>
      </c>
      <c r="K461" s="6">
        <v>0</v>
      </c>
      <c r="L461" s="6">
        <v>3425.6880000000001</v>
      </c>
      <c r="M461" s="6">
        <v>3425.6880000000001</v>
      </c>
      <c r="N461" s="6">
        <v>0</v>
      </c>
      <c r="O461" s="6">
        <v>0</v>
      </c>
      <c r="P461" s="6">
        <v>1</v>
      </c>
      <c r="Q461" s="4" t="s">
        <v>60</v>
      </c>
      <c r="R461" s="4">
        <v>0</v>
      </c>
      <c r="S461" s="4" t="s">
        <v>185</v>
      </c>
      <c r="U461" s="4">
        <v>0</v>
      </c>
      <c r="V461" s="4">
        <v>30</v>
      </c>
      <c r="W461" s="4">
        <v>0</v>
      </c>
    </row>
    <row r="462" spans="1:23" ht="11.25" customHeight="1" x14ac:dyDescent="0.25">
      <c r="A462" s="4" t="s">
        <v>21</v>
      </c>
      <c r="B462" s="4" t="s">
        <v>35</v>
      </c>
      <c r="C462" s="4" t="s">
        <v>44</v>
      </c>
      <c r="D462" s="4" t="s">
        <v>42</v>
      </c>
      <c r="E462" s="4" t="s">
        <v>25</v>
      </c>
      <c r="F462" s="4" t="s">
        <v>25</v>
      </c>
      <c r="G462" s="4" t="s">
        <v>25</v>
      </c>
      <c r="H462" s="4" t="s">
        <v>25</v>
      </c>
      <c r="I462" s="5">
        <v>44256</v>
      </c>
      <c r="J462" s="6">
        <v>0</v>
      </c>
      <c r="K462" s="6">
        <v>0</v>
      </c>
      <c r="L462" s="6">
        <v>3168.9839999999999</v>
      </c>
      <c r="M462" s="6">
        <v>3168.9839999999999</v>
      </c>
      <c r="N462" s="6">
        <v>0</v>
      </c>
      <c r="O462" s="6">
        <v>0</v>
      </c>
      <c r="P462" s="6">
        <v>1</v>
      </c>
      <c r="Q462" s="4" t="s">
        <v>60</v>
      </c>
      <c r="R462" s="4">
        <v>0</v>
      </c>
      <c r="S462" s="4" t="s">
        <v>186</v>
      </c>
      <c r="U462" s="4">
        <v>0</v>
      </c>
      <c r="V462" s="4">
        <v>30</v>
      </c>
      <c r="W462" s="4">
        <v>0</v>
      </c>
    </row>
    <row r="463" spans="1:23" ht="11.25" customHeight="1" x14ac:dyDescent="0.25">
      <c r="A463" s="4" t="s">
        <v>21</v>
      </c>
      <c r="B463" s="4" t="s">
        <v>35</v>
      </c>
      <c r="C463" s="4" t="s">
        <v>44</v>
      </c>
      <c r="D463" s="4" t="s">
        <v>42</v>
      </c>
      <c r="E463" s="4" t="s">
        <v>25</v>
      </c>
      <c r="F463" s="4" t="s">
        <v>25</v>
      </c>
      <c r="G463" s="4" t="s">
        <v>25</v>
      </c>
      <c r="H463" s="4" t="s">
        <v>25</v>
      </c>
      <c r="I463" s="5">
        <v>44287</v>
      </c>
      <c r="J463" s="6">
        <v>0</v>
      </c>
      <c r="K463" s="6">
        <v>0</v>
      </c>
      <c r="L463" s="6">
        <v>3555.2579999999998</v>
      </c>
      <c r="M463" s="6">
        <v>3555.2579999999998</v>
      </c>
      <c r="N463" s="6">
        <v>0</v>
      </c>
      <c r="O463" s="6">
        <v>0</v>
      </c>
      <c r="P463" s="6">
        <v>1</v>
      </c>
      <c r="Q463" s="4" t="s">
        <v>60</v>
      </c>
      <c r="R463" s="4">
        <v>0</v>
      </c>
      <c r="S463" s="4" t="s">
        <v>164</v>
      </c>
      <c r="U463" s="4">
        <v>0</v>
      </c>
      <c r="V463" s="4">
        <v>30</v>
      </c>
      <c r="W463" s="4">
        <v>0</v>
      </c>
    </row>
    <row r="464" spans="1:23" ht="11.25" customHeight="1" x14ac:dyDescent="0.25">
      <c r="A464" s="4" t="s">
        <v>21</v>
      </c>
      <c r="B464" s="4" t="s">
        <v>35</v>
      </c>
      <c r="C464" s="4" t="s">
        <v>44</v>
      </c>
      <c r="D464" s="4" t="s">
        <v>42</v>
      </c>
      <c r="E464" s="4" t="s">
        <v>25</v>
      </c>
      <c r="F464" s="4" t="s">
        <v>25</v>
      </c>
      <c r="G464" s="4" t="s">
        <v>25</v>
      </c>
      <c r="H464" s="4" t="s">
        <v>25</v>
      </c>
      <c r="I464" s="5">
        <v>44317</v>
      </c>
      <c r="J464" s="6">
        <v>0</v>
      </c>
      <c r="K464" s="6">
        <v>0</v>
      </c>
      <c r="L464" s="6">
        <v>3035.3820000000001</v>
      </c>
      <c r="M464" s="6">
        <v>3035.3820000000001</v>
      </c>
      <c r="N464" s="6">
        <v>0</v>
      </c>
      <c r="O464" s="6">
        <v>0</v>
      </c>
      <c r="P464" s="6">
        <v>1</v>
      </c>
      <c r="Q464" s="4" t="s">
        <v>60</v>
      </c>
      <c r="R464" s="4">
        <v>0</v>
      </c>
      <c r="S464" s="4" t="s">
        <v>165</v>
      </c>
      <c r="U464" s="4">
        <v>0</v>
      </c>
      <c r="V464" s="4">
        <v>30</v>
      </c>
      <c r="W464" s="4">
        <v>0</v>
      </c>
    </row>
    <row r="465" spans="1:23" ht="11.25" customHeight="1" x14ac:dyDescent="0.25">
      <c r="A465" s="4" t="s">
        <v>21</v>
      </c>
      <c r="B465" s="4" t="s">
        <v>35</v>
      </c>
      <c r="C465" s="4" t="s">
        <v>44</v>
      </c>
      <c r="D465" s="4" t="s">
        <v>42</v>
      </c>
      <c r="E465" s="4" t="s">
        <v>25</v>
      </c>
      <c r="F465" s="4" t="s">
        <v>25</v>
      </c>
      <c r="G465" s="4" t="s">
        <v>25</v>
      </c>
      <c r="H465" s="4" t="s">
        <v>25</v>
      </c>
      <c r="I465" s="5">
        <v>44348</v>
      </c>
      <c r="J465" s="6">
        <v>0</v>
      </c>
      <c r="K465" s="6">
        <v>0</v>
      </c>
      <c r="L465" s="6">
        <v>3787.0140000000001</v>
      </c>
      <c r="M465" s="6">
        <v>3787.0140000000001</v>
      </c>
      <c r="N465" s="6">
        <v>0</v>
      </c>
      <c r="O465" s="6">
        <v>0</v>
      </c>
      <c r="P465" s="6">
        <v>1</v>
      </c>
      <c r="Q465" s="4" t="s">
        <v>60</v>
      </c>
      <c r="R465" s="4">
        <v>0</v>
      </c>
      <c r="S465" s="4" t="s">
        <v>187</v>
      </c>
      <c r="U465" s="4">
        <v>0</v>
      </c>
      <c r="V465" s="4">
        <v>30</v>
      </c>
      <c r="W465" s="4">
        <v>0</v>
      </c>
    </row>
    <row r="466" spans="1:23" ht="11.25" customHeight="1" x14ac:dyDescent="0.25">
      <c r="A466" s="4" t="s">
        <v>21</v>
      </c>
      <c r="B466" s="4" t="s">
        <v>35</v>
      </c>
      <c r="C466" s="4" t="s">
        <v>44</v>
      </c>
      <c r="D466" s="4" t="s">
        <v>42</v>
      </c>
      <c r="E466" s="4" t="s">
        <v>25</v>
      </c>
      <c r="F466" s="4" t="s">
        <v>25</v>
      </c>
      <c r="G466" s="4" t="s">
        <v>25</v>
      </c>
      <c r="H466" s="4" t="s">
        <v>25</v>
      </c>
      <c r="I466" s="5">
        <v>44378</v>
      </c>
      <c r="J466" s="6">
        <v>0</v>
      </c>
      <c r="K466" s="6">
        <v>0</v>
      </c>
      <c r="L466" s="6">
        <v>3991.3440000000001</v>
      </c>
      <c r="M466" s="6">
        <v>3991.3440000000001</v>
      </c>
      <c r="N466" s="6">
        <v>0</v>
      </c>
      <c r="O466" s="6">
        <v>0</v>
      </c>
      <c r="P466" s="6">
        <v>1</v>
      </c>
      <c r="Q466" s="4" t="s">
        <v>60</v>
      </c>
      <c r="R466" s="4">
        <v>0</v>
      </c>
      <c r="S466" s="4" t="s">
        <v>166</v>
      </c>
      <c r="U466" s="4">
        <v>0</v>
      </c>
      <c r="V466" s="4">
        <v>30</v>
      </c>
      <c r="W466" s="4">
        <v>0</v>
      </c>
    </row>
    <row r="467" spans="1:23" ht="11.25" customHeight="1" x14ac:dyDescent="0.25">
      <c r="A467" s="4" t="s">
        <v>21</v>
      </c>
      <c r="B467" s="4" t="s">
        <v>35</v>
      </c>
      <c r="C467" s="4" t="s">
        <v>44</v>
      </c>
      <c r="D467" s="4" t="s">
        <v>42</v>
      </c>
      <c r="E467" s="4" t="s">
        <v>25</v>
      </c>
      <c r="F467" s="4" t="s">
        <v>25</v>
      </c>
      <c r="G467" s="4" t="s">
        <v>25</v>
      </c>
      <c r="H467" s="4" t="s">
        <v>25</v>
      </c>
      <c r="I467" s="5">
        <v>44409</v>
      </c>
      <c r="J467" s="6">
        <v>0</v>
      </c>
      <c r="K467" s="6">
        <v>0</v>
      </c>
      <c r="L467" s="6">
        <v>3921.7919999999999</v>
      </c>
      <c r="M467" s="6">
        <v>3921.7919999999999</v>
      </c>
      <c r="N467" s="6">
        <v>0</v>
      </c>
      <c r="O467" s="6">
        <v>0</v>
      </c>
      <c r="P467" s="6">
        <v>1</v>
      </c>
      <c r="Q467" s="4" t="s">
        <v>60</v>
      </c>
      <c r="R467" s="4">
        <v>0</v>
      </c>
      <c r="S467" s="4" t="s">
        <v>167</v>
      </c>
      <c r="U467" s="4">
        <v>0</v>
      </c>
      <c r="V467" s="4">
        <v>30</v>
      </c>
      <c r="W467" s="4">
        <v>0</v>
      </c>
    </row>
    <row r="468" spans="1:23" ht="11.25" customHeight="1" x14ac:dyDescent="0.25">
      <c r="A468" s="4" t="s">
        <v>21</v>
      </c>
      <c r="B468" s="4" t="s">
        <v>35</v>
      </c>
      <c r="C468" s="4" t="s">
        <v>44</v>
      </c>
      <c r="D468" s="4" t="s">
        <v>42</v>
      </c>
      <c r="E468" s="4" t="s">
        <v>25</v>
      </c>
      <c r="F468" s="4" t="s">
        <v>25</v>
      </c>
      <c r="G468" s="4" t="s">
        <v>25</v>
      </c>
      <c r="H468" s="4" t="s">
        <v>25</v>
      </c>
      <c r="I468" s="5">
        <v>44440</v>
      </c>
      <c r="J468" s="6">
        <v>0</v>
      </c>
      <c r="K468" s="6">
        <v>0</v>
      </c>
      <c r="L468" s="6">
        <v>3607.422</v>
      </c>
      <c r="M468" s="6">
        <v>3607.422</v>
      </c>
      <c r="N468" s="6">
        <v>0</v>
      </c>
      <c r="O468" s="6">
        <v>0</v>
      </c>
      <c r="P468" s="6">
        <v>1</v>
      </c>
      <c r="Q468" s="4" t="s">
        <v>60</v>
      </c>
      <c r="R468" s="4">
        <v>0</v>
      </c>
      <c r="S468" s="4" t="s">
        <v>168</v>
      </c>
      <c r="U468" s="4">
        <v>0</v>
      </c>
      <c r="V468" s="4">
        <v>30</v>
      </c>
      <c r="W468" s="4">
        <v>0</v>
      </c>
    </row>
    <row r="469" spans="1:23" ht="11.25" customHeight="1" x14ac:dyDescent="0.25">
      <c r="A469" s="4" t="s">
        <v>59</v>
      </c>
      <c r="B469" s="4" t="s">
        <v>35</v>
      </c>
      <c r="C469" s="4" t="s">
        <v>44</v>
      </c>
      <c r="D469" s="4" t="s">
        <v>42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44470</v>
      </c>
      <c r="J469" s="6">
        <v>0</v>
      </c>
      <c r="K469" s="6">
        <v>0</v>
      </c>
      <c r="L469" s="6">
        <v>3607.422</v>
      </c>
      <c r="M469" s="6">
        <v>3607.422</v>
      </c>
      <c r="N469" s="6">
        <v>0</v>
      </c>
      <c r="O469" s="6">
        <v>0</v>
      </c>
      <c r="P469" s="6">
        <v>1</v>
      </c>
      <c r="Q469" s="4" t="s">
        <v>60</v>
      </c>
      <c r="R469" s="4">
        <v>0</v>
      </c>
      <c r="S469" s="4" t="s">
        <v>169</v>
      </c>
      <c r="U469" s="4">
        <v>0</v>
      </c>
      <c r="V469" s="4">
        <v>30</v>
      </c>
      <c r="W469" s="4">
        <v>0</v>
      </c>
    </row>
    <row r="470" spans="1:23" ht="11.25" customHeight="1" x14ac:dyDescent="0.25">
      <c r="A470" s="4" t="s">
        <v>21</v>
      </c>
      <c r="B470" s="4" t="s">
        <v>35</v>
      </c>
      <c r="C470" s="4" t="s">
        <v>44</v>
      </c>
      <c r="D470" s="4" t="s">
        <v>42</v>
      </c>
      <c r="E470" s="4" t="s">
        <v>25</v>
      </c>
      <c r="F470" s="4" t="s">
        <v>25</v>
      </c>
      <c r="G470" s="4" t="s">
        <v>25</v>
      </c>
      <c r="H470" s="4" t="s">
        <v>37</v>
      </c>
      <c r="I470" s="5">
        <v>44136</v>
      </c>
      <c r="J470" s="6">
        <v>20640</v>
      </c>
      <c r="K470" s="6">
        <v>20640</v>
      </c>
      <c r="L470" s="6">
        <v>660.10299999999995</v>
      </c>
      <c r="M470" s="6">
        <v>660.10299999999995</v>
      </c>
      <c r="N470" s="6">
        <v>660.10299999999995</v>
      </c>
      <c r="O470" s="6">
        <v>660.10299999999995</v>
      </c>
      <c r="P470" s="6">
        <v>0</v>
      </c>
      <c r="Q470" s="4" t="s">
        <v>26</v>
      </c>
      <c r="R470" s="4">
        <v>0</v>
      </c>
      <c r="S470" s="4" t="s">
        <v>170</v>
      </c>
      <c r="T470" s="4" t="s">
        <v>445</v>
      </c>
      <c r="U470" s="4">
        <v>28</v>
      </c>
      <c r="V470" s="4">
        <v>30</v>
      </c>
      <c r="W470" s="4">
        <v>66</v>
      </c>
    </row>
    <row r="471" spans="1:23" ht="11.25" customHeight="1" x14ac:dyDescent="0.25">
      <c r="A471" s="4" t="s">
        <v>28</v>
      </c>
      <c r="B471" s="4" t="s">
        <v>35</v>
      </c>
      <c r="C471" s="4" t="s">
        <v>44</v>
      </c>
      <c r="D471" s="4" t="s">
        <v>42</v>
      </c>
      <c r="E471" s="4" t="s">
        <v>25</v>
      </c>
      <c r="F471" s="4" t="s">
        <v>25</v>
      </c>
      <c r="G471" s="4" t="s">
        <v>25</v>
      </c>
      <c r="H471" s="4" t="s">
        <v>37</v>
      </c>
      <c r="I471" s="5">
        <v>44136</v>
      </c>
      <c r="J471" s="6">
        <v>1292</v>
      </c>
      <c r="K471" s="6">
        <v>1292</v>
      </c>
      <c r="L471" s="6">
        <v>18.126999999999999</v>
      </c>
      <c r="M471" s="6">
        <v>18.126999999999999</v>
      </c>
      <c r="N471" s="6">
        <v>18.126999999999999</v>
      </c>
      <c r="O471" s="6">
        <v>18.126999999999999</v>
      </c>
      <c r="P471" s="6">
        <v>0</v>
      </c>
      <c r="Q471" s="4" t="s">
        <v>26</v>
      </c>
      <c r="R471" s="4">
        <v>0</v>
      </c>
      <c r="S471" s="4" t="s">
        <v>170</v>
      </c>
      <c r="T471" s="4" t="s">
        <v>445</v>
      </c>
      <c r="U471" s="4">
        <v>28</v>
      </c>
      <c r="V471" s="4">
        <v>30</v>
      </c>
      <c r="W471" s="4">
        <v>66</v>
      </c>
    </row>
    <row r="472" spans="1:23" ht="11.25" customHeight="1" x14ac:dyDescent="0.25">
      <c r="A472" s="4" t="s">
        <v>29</v>
      </c>
      <c r="B472" s="4" t="s">
        <v>35</v>
      </c>
      <c r="C472" s="4" t="s">
        <v>44</v>
      </c>
      <c r="D472" s="4" t="s">
        <v>42</v>
      </c>
      <c r="E472" s="4" t="s">
        <v>25</v>
      </c>
      <c r="F472" s="4" t="s">
        <v>25</v>
      </c>
      <c r="G472" s="4" t="s">
        <v>25</v>
      </c>
      <c r="H472" s="4" t="s">
        <v>37</v>
      </c>
      <c r="I472" s="5">
        <v>44136</v>
      </c>
      <c r="J472" s="6">
        <v>-3915</v>
      </c>
      <c r="K472" s="6">
        <v>-3915</v>
      </c>
      <c r="L472" s="6">
        <v>-0.36899999999999999</v>
      </c>
      <c r="M472" s="6">
        <v>-0.36899999999999999</v>
      </c>
      <c r="N472" s="6">
        <v>-0.36899999999999999</v>
      </c>
      <c r="O472" s="6">
        <v>-0.36899999999999999</v>
      </c>
      <c r="P472" s="6">
        <v>0</v>
      </c>
      <c r="Q472" s="4" t="s">
        <v>26</v>
      </c>
      <c r="R472" s="4">
        <v>0</v>
      </c>
      <c r="S472" s="4" t="s">
        <v>170</v>
      </c>
      <c r="T472" s="4" t="s">
        <v>445</v>
      </c>
      <c r="U472" s="4">
        <v>28</v>
      </c>
      <c r="V472" s="4">
        <v>30</v>
      </c>
      <c r="W472" s="4">
        <v>66</v>
      </c>
    </row>
    <row r="473" spans="1:23" ht="11.25" customHeight="1" x14ac:dyDescent="0.25">
      <c r="A473" s="4" t="s">
        <v>30</v>
      </c>
      <c r="B473" s="4" t="s">
        <v>35</v>
      </c>
      <c r="C473" s="4" t="s">
        <v>44</v>
      </c>
      <c r="D473" s="4" t="s">
        <v>42</v>
      </c>
      <c r="E473" s="4" t="s">
        <v>25</v>
      </c>
      <c r="F473" s="4" t="s">
        <v>25</v>
      </c>
      <c r="G473" s="4" t="s">
        <v>25</v>
      </c>
      <c r="H473" s="4" t="s">
        <v>37</v>
      </c>
      <c r="I473" s="5">
        <v>44136</v>
      </c>
      <c r="J473" s="6">
        <v>1440</v>
      </c>
      <c r="K473" s="6">
        <v>1440</v>
      </c>
      <c r="L473" s="6">
        <v>80.471999999999994</v>
      </c>
      <c r="M473" s="6">
        <v>80.471999999999994</v>
      </c>
      <c r="N473" s="6">
        <v>80.471999999999994</v>
      </c>
      <c r="O473" s="6">
        <v>80.471999999999994</v>
      </c>
      <c r="P473" s="6">
        <v>0</v>
      </c>
      <c r="Q473" s="4" t="s">
        <v>26</v>
      </c>
      <c r="R473" s="4">
        <v>0</v>
      </c>
      <c r="S473" s="4" t="s">
        <v>170</v>
      </c>
      <c r="T473" s="4" t="s">
        <v>445</v>
      </c>
      <c r="U473" s="4">
        <v>28</v>
      </c>
      <c r="V473" s="4">
        <v>30</v>
      </c>
      <c r="W473" s="4">
        <v>66</v>
      </c>
    </row>
    <row r="474" spans="1:23" ht="11.25" customHeight="1" x14ac:dyDescent="0.25">
      <c r="A474" s="4" t="s">
        <v>21</v>
      </c>
      <c r="B474" s="4" t="s">
        <v>35</v>
      </c>
      <c r="C474" s="4" t="s">
        <v>44</v>
      </c>
      <c r="D474" s="4" t="s">
        <v>42</v>
      </c>
      <c r="E474" s="4" t="s">
        <v>25</v>
      </c>
      <c r="F474" s="4" t="s">
        <v>25</v>
      </c>
      <c r="G474" s="4" t="s">
        <v>25</v>
      </c>
      <c r="H474" s="4" t="s">
        <v>37</v>
      </c>
      <c r="I474" s="5">
        <v>44136</v>
      </c>
      <c r="J474" s="6">
        <v>6073</v>
      </c>
      <c r="K474" s="6">
        <v>6073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4" t="s">
        <v>60</v>
      </c>
      <c r="R474" s="4">
        <v>0</v>
      </c>
      <c r="S474" s="4" t="s">
        <v>170</v>
      </c>
      <c r="U474" s="4">
        <v>28</v>
      </c>
      <c r="V474" s="4">
        <v>0</v>
      </c>
      <c r="W474" s="4">
        <v>0</v>
      </c>
    </row>
    <row r="475" spans="1:23" ht="11.25" customHeight="1" x14ac:dyDescent="0.25">
      <c r="A475" s="4" t="s">
        <v>21</v>
      </c>
      <c r="B475" s="4" t="s">
        <v>35</v>
      </c>
      <c r="C475" s="4" t="s">
        <v>44</v>
      </c>
      <c r="D475" s="4" t="s">
        <v>42</v>
      </c>
      <c r="E475" s="4" t="s">
        <v>25</v>
      </c>
      <c r="F475" s="4" t="s">
        <v>25</v>
      </c>
      <c r="G475" s="4" t="s">
        <v>25</v>
      </c>
      <c r="H475" s="4" t="s">
        <v>37</v>
      </c>
      <c r="I475" s="5">
        <v>44166</v>
      </c>
      <c r="J475" s="6">
        <v>20527</v>
      </c>
      <c r="K475" s="6">
        <v>20527</v>
      </c>
      <c r="L475" s="6">
        <v>587.01700000000005</v>
      </c>
      <c r="M475" s="6">
        <v>587.01700000000005</v>
      </c>
      <c r="N475" s="6">
        <v>587.01700000000005</v>
      </c>
      <c r="O475" s="6">
        <v>587.01700000000005</v>
      </c>
      <c r="P475" s="6">
        <v>0</v>
      </c>
      <c r="Q475" s="4" t="s">
        <v>26</v>
      </c>
      <c r="R475" s="4">
        <v>0</v>
      </c>
      <c r="S475" s="4" t="s">
        <v>171</v>
      </c>
      <c r="T475" s="4" t="s">
        <v>446</v>
      </c>
      <c r="U475" s="4">
        <v>28</v>
      </c>
      <c r="V475" s="4">
        <v>30</v>
      </c>
      <c r="W475" s="4">
        <v>66</v>
      </c>
    </row>
    <row r="476" spans="1:23" ht="11.25" customHeight="1" x14ac:dyDescent="0.25">
      <c r="A476" s="4" t="s">
        <v>27</v>
      </c>
      <c r="B476" s="4" t="s">
        <v>35</v>
      </c>
      <c r="C476" s="4" t="s">
        <v>44</v>
      </c>
      <c r="D476" s="4" t="s">
        <v>42</v>
      </c>
      <c r="E476" s="4" t="s">
        <v>25</v>
      </c>
      <c r="F476" s="4" t="s">
        <v>25</v>
      </c>
      <c r="G476" s="4" t="s">
        <v>25</v>
      </c>
      <c r="H476" s="4" t="s">
        <v>37</v>
      </c>
      <c r="I476" s="5">
        <v>44166</v>
      </c>
      <c r="J476" s="6">
        <v>-500</v>
      </c>
      <c r="K476" s="6">
        <v>-500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4" t="s">
        <v>26</v>
      </c>
      <c r="R476" s="4">
        <v>0</v>
      </c>
      <c r="S476" s="4" t="s">
        <v>171</v>
      </c>
      <c r="T476" s="4" t="s">
        <v>446</v>
      </c>
      <c r="U476" s="4">
        <v>28</v>
      </c>
      <c r="V476" s="4">
        <v>0</v>
      </c>
      <c r="W476" s="4">
        <v>0</v>
      </c>
    </row>
    <row r="477" spans="1:23" ht="11.25" customHeight="1" x14ac:dyDescent="0.25">
      <c r="A477" s="4" t="s">
        <v>28</v>
      </c>
      <c r="B477" s="4" t="s">
        <v>35</v>
      </c>
      <c r="C477" s="4" t="s">
        <v>44</v>
      </c>
      <c r="D477" s="4" t="s">
        <v>42</v>
      </c>
      <c r="E477" s="4" t="s">
        <v>25</v>
      </c>
      <c r="F477" s="4" t="s">
        <v>25</v>
      </c>
      <c r="G477" s="4" t="s">
        <v>25</v>
      </c>
      <c r="H477" s="4" t="s">
        <v>37</v>
      </c>
      <c r="I477" s="5">
        <v>44166</v>
      </c>
      <c r="J477" s="6">
        <v>1196</v>
      </c>
      <c r="K477" s="6">
        <v>1196</v>
      </c>
      <c r="L477" s="6">
        <v>17.995000000000001</v>
      </c>
      <c r="M477" s="6">
        <v>17.995000000000001</v>
      </c>
      <c r="N477" s="6">
        <v>17.995000000000001</v>
      </c>
      <c r="O477" s="6">
        <v>17.995000000000001</v>
      </c>
      <c r="P477" s="6">
        <v>0</v>
      </c>
      <c r="Q477" s="4" t="s">
        <v>26</v>
      </c>
      <c r="R477" s="4">
        <v>0</v>
      </c>
      <c r="S477" s="4" t="s">
        <v>171</v>
      </c>
      <c r="T477" s="4" t="s">
        <v>446</v>
      </c>
      <c r="U477" s="4">
        <v>28</v>
      </c>
      <c r="V477" s="4">
        <v>30</v>
      </c>
      <c r="W477" s="4">
        <v>66</v>
      </c>
    </row>
    <row r="478" spans="1:23" ht="11.25" customHeight="1" x14ac:dyDescent="0.25">
      <c r="A478" s="4" t="s">
        <v>29</v>
      </c>
      <c r="B478" s="4" t="s">
        <v>35</v>
      </c>
      <c r="C478" s="4" t="s">
        <v>44</v>
      </c>
      <c r="D478" s="4" t="s">
        <v>42</v>
      </c>
      <c r="E478" s="4" t="s">
        <v>25</v>
      </c>
      <c r="F478" s="4" t="s">
        <v>25</v>
      </c>
      <c r="G478" s="4" t="s">
        <v>25</v>
      </c>
      <c r="H478" s="4" t="s">
        <v>37</v>
      </c>
      <c r="I478" s="5">
        <v>44166</v>
      </c>
      <c r="J478" s="6">
        <v>-60</v>
      </c>
      <c r="K478" s="6">
        <v>-60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4" t="s">
        <v>26</v>
      </c>
      <c r="R478" s="4">
        <v>0</v>
      </c>
      <c r="S478" s="4" t="s">
        <v>171</v>
      </c>
      <c r="T478" s="4" t="s">
        <v>446</v>
      </c>
      <c r="U478" s="4">
        <v>28</v>
      </c>
      <c r="V478" s="4">
        <v>0</v>
      </c>
      <c r="W478" s="4">
        <v>0</v>
      </c>
    </row>
    <row r="479" spans="1:23" ht="11.25" customHeight="1" x14ac:dyDescent="0.25">
      <c r="A479" s="4" t="s">
        <v>30</v>
      </c>
      <c r="B479" s="4" t="s">
        <v>35</v>
      </c>
      <c r="C479" s="4" t="s">
        <v>44</v>
      </c>
      <c r="D479" s="4" t="s">
        <v>42</v>
      </c>
      <c r="E479" s="4" t="s">
        <v>25</v>
      </c>
      <c r="F479" s="4" t="s">
        <v>25</v>
      </c>
      <c r="G479" s="4" t="s">
        <v>25</v>
      </c>
      <c r="H479" s="4" t="s">
        <v>37</v>
      </c>
      <c r="I479" s="5">
        <v>44166</v>
      </c>
      <c r="J479" s="6">
        <v>1440</v>
      </c>
      <c r="K479" s="6">
        <v>1440</v>
      </c>
      <c r="L479" s="6">
        <v>74.578000000000003</v>
      </c>
      <c r="M479" s="6">
        <v>74.578000000000003</v>
      </c>
      <c r="N479" s="6">
        <v>74.578000000000003</v>
      </c>
      <c r="O479" s="6">
        <v>74.578000000000003</v>
      </c>
      <c r="P479" s="6">
        <v>0</v>
      </c>
      <c r="Q479" s="4" t="s">
        <v>26</v>
      </c>
      <c r="R479" s="4">
        <v>0</v>
      </c>
      <c r="S479" s="4" t="s">
        <v>171</v>
      </c>
      <c r="T479" s="4" t="s">
        <v>446</v>
      </c>
      <c r="U479" s="4">
        <v>28</v>
      </c>
      <c r="V479" s="4">
        <v>30</v>
      </c>
      <c r="W479" s="4">
        <v>66</v>
      </c>
    </row>
    <row r="480" spans="1:23" ht="11.25" customHeight="1" x14ac:dyDescent="0.25">
      <c r="A480" s="4" t="s">
        <v>21</v>
      </c>
      <c r="B480" s="4" t="s">
        <v>35</v>
      </c>
      <c r="C480" s="4" t="s">
        <v>44</v>
      </c>
      <c r="D480" s="4" t="s">
        <v>42</v>
      </c>
      <c r="E480" s="4" t="s">
        <v>25</v>
      </c>
      <c r="F480" s="4" t="s">
        <v>25</v>
      </c>
      <c r="G480" s="4" t="s">
        <v>25</v>
      </c>
      <c r="H480" s="4" t="s">
        <v>37</v>
      </c>
      <c r="I480" s="5">
        <v>44166</v>
      </c>
      <c r="J480" s="6">
        <v>6027</v>
      </c>
      <c r="K480" s="6">
        <v>6027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4" t="s">
        <v>60</v>
      </c>
      <c r="R480" s="4">
        <v>0</v>
      </c>
      <c r="S480" s="4" t="s">
        <v>171</v>
      </c>
      <c r="U480" s="4">
        <v>28</v>
      </c>
      <c r="V480" s="4">
        <v>0</v>
      </c>
      <c r="W480" s="4">
        <v>0</v>
      </c>
    </row>
    <row r="481" spans="1:23" ht="11.25" customHeight="1" x14ac:dyDescent="0.25">
      <c r="A481" s="4" t="s">
        <v>21</v>
      </c>
      <c r="B481" s="4" t="s">
        <v>35</v>
      </c>
      <c r="C481" s="4" t="s">
        <v>44</v>
      </c>
      <c r="D481" s="4" t="s">
        <v>42</v>
      </c>
      <c r="E481" s="4" t="s">
        <v>25</v>
      </c>
      <c r="F481" s="4" t="s">
        <v>25</v>
      </c>
      <c r="G481" s="4" t="s">
        <v>25</v>
      </c>
      <c r="H481" s="4" t="s">
        <v>37</v>
      </c>
      <c r="I481" s="5">
        <v>44197</v>
      </c>
      <c r="J481" s="6">
        <v>22859</v>
      </c>
      <c r="K481" s="6">
        <v>22859</v>
      </c>
      <c r="L481" s="6">
        <v>490.97300000000001</v>
      </c>
      <c r="M481" s="6">
        <v>490.97300000000001</v>
      </c>
      <c r="N481" s="6">
        <v>490.97300000000001</v>
      </c>
      <c r="O481" s="6">
        <v>490.97300000000001</v>
      </c>
      <c r="P481" s="6">
        <v>0</v>
      </c>
      <c r="Q481" s="4" t="s">
        <v>26</v>
      </c>
      <c r="R481" s="4">
        <v>0</v>
      </c>
      <c r="S481" s="4" t="s">
        <v>172</v>
      </c>
      <c r="T481" s="4" t="s">
        <v>447</v>
      </c>
      <c r="U481" s="4">
        <v>28</v>
      </c>
      <c r="V481" s="4">
        <v>30</v>
      </c>
      <c r="W481" s="4">
        <v>66</v>
      </c>
    </row>
    <row r="482" spans="1:23" ht="11.25" customHeight="1" x14ac:dyDescent="0.25">
      <c r="A482" s="4" t="s">
        <v>27</v>
      </c>
      <c r="B482" s="4" t="s">
        <v>35</v>
      </c>
      <c r="C482" s="4" t="s">
        <v>44</v>
      </c>
      <c r="D482" s="4" t="s">
        <v>42</v>
      </c>
      <c r="E482" s="4" t="s">
        <v>25</v>
      </c>
      <c r="F482" s="4" t="s">
        <v>25</v>
      </c>
      <c r="G482" s="4" t="s">
        <v>25</v>
      </c>
      <c r="H482" s="4" t="s">
        <v>37</v>
      </c>
      <c r="I482" s="5">
        <v>44197</v>
      </c>
      <c r="J482" s="6">
        <v>-115</v>
      </c>
      <c r="K482" s="6">
        <v>-115</v>
      </c>
      <c r="L482" s="6">
        <v>-38.981000000000002</v>
      </c>
      <c r="M482" s="6">
        <v>-38.981000000000002</v>
      </c>
      <c r="N482" s="6">
        <v>-38.981000000000002</v>
      </c>
      <c r="O482" s="6">
        <v>-38.981000000000002</v>
      </c>
      <c r="P482" s="6">
        <v>0</v>
      </c>
      <c r="Q482" s="4" t="s">
        <v>26</v>
      </c>
      <c r="R482" s="4">
        <v>0</v>
      </c>
      <c r="S482" s="4" t="s">
        <v>172</v>
      </c>
      <c r="T482" s="4" t="s">
        <v>447</v>
      </c>
      <c r="U482" s="4">
        <v>28</v>
      </c>
      <c r="V482" s="4">
        <v>30</v>
      </c>
      <c r="W482" s="4">
        <v>66</v>
      </c>
    </row>
    <row r="483" spans="1:23" ht="11.25" customHeight="1" x14ac:dyDescent="0.25">
      <c r="A483" s="4" t="s">
        <v>28</v>
      </c>
      <c r="B483" s="4" t="s">
        <v>35</v>
      </c>
      <c r="C483" s="4" t="s">
        <v>44</v>
      </c>
      <c r="D483" s="4" t="s">
        <v>42</v>
      </c>
      <c r="E483" s="4" t="s">
        <v>25</v>
      </c>
      <c r="F483" s="4" t="s">
        <v>25</v>
      </c>
      <c r="G483" s="4" t="s">
        <v>25</v>
      </c>
      <c r="H483" s="4" t="s">
        <v>37</v>
      </c>
      <c r="I483" s="5">
        <v>44197</v>
      </c>
      <c r="J483" s="6">
        <v>1154</v>
      </c>
      <c r="K483" s="6">
        <v>1154</v>
      </c>
      <c r="L483" s="6">
        <v>16.463000000000001</v>
      </c>
      <c r="M483" s="6">
        <v>16.463000000000001</v>
      </c>
      <c r="N483" s="6">
        <v>16.463000000000001</v>
      </c>
      <c r="O483" s="6">
        <v>16.463000000000001</v>
      </c>
      <c r="P483" s="6">
        <v>0</v>
      </c>
      <c r="Q483" s="4" t="s">
        <v>26</v>
      </c>
      <c r="R483" s="4">
        <v>0</v>
      </c>
      <c r="S483" s="4" t="s">
        <v>172</v>
      </c>
      <c r="T483" s="4" t="s">
        <v>447</v>
      </c>
      <c r="U483" s="4">
        <v>28</v>
      </c>
      <c r="V483" s="4">
        <v>30</v>
      </c>
      <c r="W483" s="4">
        <v>66</v>
      </c>
    </row>
    <row r="484" spans="1:23" ht="11.25" customHeight="1" x14ac:dyDescent="0.25">
      <c r="A484" s="4" t="s">
        <v>30</v>
      </c>
      <c r="B484" s="4" t="s">
        <v>35</v>
      </c>
      <c r="C484" s="4" t="s">
        <v>44</v>
      </c>
      <c r="D484" s="4" t="s">
        <v>42</v>
      </c>
      <c r="E484" s="4" t="s">
        <v>25</v>
      </c>
      <c r="F484" s="4" t="s">
        <v>25</v>
      </c>
      <c r="G484" s="4" t="s">
        <v>25</v>
      </c>
      <c r="H484" s="4" t="s">
        <v>37</v>
      </c>
      <c r="I484" s="5">
        <v>44197</v>
      </c>
      <c r="J484" s="6">
        <v>1464</v>
      </c>
      <c r="K484" s="6">
        <v>1464</v>
      </c>
      <c r="L484" s="6">
        <v>76.622</v>
      </c>
      <c r="M484" s="6">
        <v>76.622</v>
      </c>
      <c r="N484" s="6">
        <v>76.622</v>
      </c>
      <c r="O484" s="6">
        <v>76.622</v>
      </c>
      <c r="P484" s="6">
        <v>0</v>
      </c>
      <c r="Q484" s="4" t="s">
        <v>26</v>
      </c>
      <c r="R484" s="4">
        <v>0</v>
      </c>
      <c r="S484" s="4" t="s">
        <v>172</v>
      </c>
      <c r="T484" s="4" t="s">
        <v>447</v>
      </c>
      <c r="U484" s="4">
        <v>28</v>
      </c>
      <c r="V484" s="4">
        <v>30</v>
      </c>
      <c r="W484" s="4">
        <v>66</v>
      </c>
    </row>
    <row r="485" spans="1:23" ht="11.25" customHeight="1" x14ac:dyDescent="0.25">
      <c r="A485" s="4" t="s">
        <v>21</v>
      </c>
      <c r="B485" s="4" t="s">
        <v>35</v>
      </c>
      <c r="C485" s="4" t="s">
        <v>44</v>
      </c>
      <c r="D485" s="4" t="s">
        <v>42</v>
      </c>
      <c r="E485" s="4" t="s">
        <v>25</v>
      </c>
      <c r="F485" s="4" t="s">
        <v>25</v>
      </c>
      <c r="G485" s="4" t="s">
        <v>25</v>
      </c>
      <c r="H485" s="4" t="s">
        <v>37</v>
      </c>
      <c r="I485" s="5">
        <v>44197</v>
      </c>
      <c r="J485" s="6">
        <v>5932</v>
      </c>
      <c r="K485" s="6">
        <v>5932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4" t="s">
        <v>60</v>
      </c>
      <c r="R485" s="4">
        <v>0</v>
      </c>
      <c r="S485" s="4" t="s">
        <v>172</v>
      </c>
      <c r="U485" s="4">
        <v>28</v>
      </c>
      <c r="V485" s="4">
        <v>0</v>
      </c>
      <c r="W485" s="4">
        <v>0</v>
      </c>
    </row>
    <row r="486" spans="1:23" ht="11.25" customHeight="1" x14ac:dyDescent="0.25">
      <c r="A486" s="4" t="s">
        <v>21</v>
      </c>
      <c r="B486" s="4" t="s">
        <v>35</v>
      </c>
      <c r="C486" s="4" t="s">
        <v>44</v>
      </c>
      <c r="D486" s="4" t="s">
        <v>42</v>
      </c>
      <c r="E486" s="4" t="s">
        <v>25</v>
      </c>
      <c r="F486" s="4" t="s">
        <v>25</v>
      </c>
      <c r="G486" s="4" t="s">
        <v>25</v>
      </c>
      <c r="H486" s="4" t="s">
        <v>37</v>
      </c>
      <c r="I486" s="5">
        <v>44228</v>
      </c>
      <c r="J486" s="6">
        <v>21788</v>
      </c>
      <c r="K486" s="6">
        <v>21788</v>
      </c>
      <c r="L486" s="6">
        <v>490.58600000000001</v>
      </c>
      <c r="M486" s="6">
        <v>490.58600000000001</v>
      </c>
      <c r="N486" s="6">
        <v>490.58600000000001</v>
      </c>
      <c r="O486" s="6">
        <v>490.58600000000001</v>
      </c>
      <c r="P486" s="6">
        <v>0</v>
      </c>
      <c r="Q486" s="4" t="s">
        <v>26</v>
      </c>
      <c r="R486" s="4">
        <v>0</v>
      </c>
      <c r="S486" s="4" t="s">
        <v>173</v>
      </c>
      <c r="T486" s="4" t="s">
        <v>448</v>
      </c>
      <c r="U486" s="4">
        <v>28</v>
      </c>
      <c r="V486" s="4">
        <v>30</v>
      </c>
      <c r="W486" s="4">
        <v>66</v>
      </c>
    </row>
    <row r="487" spans="1:23" ht="11.25" customHeight="1" x14ac:dyDescent="0.25">
      <c r="A487" s="4" t="s">
        <v>28</v>
      </c>
      <c r="B487" s="4" t="s">
        <v>35</v>
      </c>
      <c r="C487" s="4" t="s">
        <v>44</v>
      </c>
      <c r="D487" s="4" t="s">
        <v>42</v>
      </c>
      <c r="E487" s="4" t="s">
        <v>25</v>
      </c>
      <c r="F487" s="4" t="s">
        <v>25</v>
      </c>
      <c r="G487" s="4" t="s">
        <v>25</v>
      </c>
      <c r="H487" s="4" t="s">
        <v>37</v>
      </c>
      <c r="I487" s="5">
        <v>44228</v>
      </c>
      <c r="J487" s="6">
        <v>1017</v>
      </c>
      <c r="K487" s="6">
        <v>1017</v>
      </c>
      <c r="L487" s="6">
        <v>11.180999999999999</v>
      </c>
      <c r="M487" s="6">
        <v>11.180999999999999</v>
      </c>
      <c r="N487" s="6">
        <v>11.180999999999999</v>
      </c>
      <c r="O487" s="6">
        <v>11.180999999999999</v>
      </c>
      <c r="P487" s="6">
        <v>0</v>
      </c>
      <c r="Q487" s="4" t="s">
        <v>26</v>
      </c>
      <c r="R487" s="4">
        <v>0</v>
      </c>
      <c r="S487" s="4" t="s">
        <v>173</v>
      </c>
      <c r="T487" s="4" t="s">
        <v>448</v>
      </c>
      <c r="U487" s="4">
        <v>28</v>
      </c>
      <c r="V487" s="4">
        <v>30</v>
      </c>
      <c r="W487" s="4">
        <v>66</v>
      </c>
    </row>
    <row r="488" spans="1:23" ht="11.25" customHeight="1" x14ac:dyDescent="0.25">
      <c r="A488" s="4" t="s">
        <v>29</v>
      </c>
      <c r="B488" s="4" t="s">
        <v>35</v>
      </c>
      <c r="C488" s="4" t="s">
        <v>44</v>
      </c>
      <c r="D488" s="4" t="s">
        <v>42</v>
      </c>
      <c r="E488" s="4" t="s">
        <v>25</v>
      </c>
      <c r="F488" s="4" t="s">
        <v>25</v>
      </c>
      <c r="G488" s="4" t="s">
        <v>25</v>
      </c>
      <c r="H488" s="4" t="s">
        <v>37</v>
      </c>
      <c r="I488" s="5">
        <v>44228</v>
      </c>
      <c r="J488" s="6">
        <v>-387</v>
      </c>
      <c r="K488" s="6">
        <v>-387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4" t="s">
        <v>26</v>
      </c>
      <c r="R488" s="4">
        <v>0</v>
      </c>
      <c r="S488" s="4" t="s">
        <v>173</v>
      </c>
      <c r="T488" s="4" t="s">
        <v>448</v>
      </c>
      <c r="U488" s="4">
        <v>28</v>
      </c>
      <c r="V488" s="4">
        <v>0</v>
      </c>
      <c r="W488" s="4">
        <v>0</v>
      </c>
    </row>
    <row r="489" spans="1:23" ht="11.25" customHeight="1" x14ac:dyDescent="0.25">
      <c r="A489" s="4" t="s">
        <v>30</v>
      </c>
      <c r="B489" s="4" t="s">
        <v>35</v>
      </c>
      <c r="C489" s="4" t="s">
        <v>44</v>
      </c>
      <c r="D489" s="4" t="s">
        <v>42</v>
      </c>
      <c r="E489" s="4" t="s">
        <v>25</v>
      </c>
      <c r="F489" s="4" t="s">
        <v>25</v>
      </c>
      <c r="G489" s="4" t="s">
        <v>25</v>
      </c>
      <c r="H489" s="4" t="s">
        <v>37</v>
      </c>
      <c r="I489" s="5">
        <v>44228</v>
      </c>
      <c r="J489" s="6">
        <v>1523</v>
      </c>
      <c r="K489" s="6">
        <v>1523</v>
      </c>
      <c r="L489" s="6">
        <v>78.89</v>
      </c>
      <c r="M489" s="6">
        <v>78.89</v>
      </c>
      <c r="N489" s="6">
        <v>78.89</v>
      </c>
      <c r="O489" s="6">
        <v>78.89</v>
      </c>
      <c r="P489" s="6">
        <v>0</v>
      </c>
      <c r="Q489" s="4" t="s">
        <v>26</v>
      </c>
      <c r="R489" s="4">
        <v>0</v>
      </c>
      <c r="S489" s="4" t="s">
        <v>173</v>
      </c>
      <c r="T489" s="4" t="s">
        <v>448</v>
      </c>
      <c r="U489" s="4">
        <v>28</v>
      </c>
      <c r="V489" s="4">
        <v>30</v>
      </c>
      <c r="W489" s="4">
        <v>66</v>
      </c>
    </row>
    <row r="490" spans="1:23" ht="11.25" customHeight="1" x14ac:dyDescent="0.25">
      <c r="A490" s="4" t="s">
        <v>21</v>
      </c>
      <c r="B490" s="4" t="s">
        <v>35</v>
      </c>
      <c r="C490" s="4" t="s">
        <v>44</v>
      </c>
      <c r="D490" s="4" t="s">
        <v>42</v>
      </c>
      <c r="E490" s="4" t="s">
        <v>25</v>
      </c>
      <c r="F490" s="4" t="s">
        <v>25</v>
      </c>
      <c r="G490" s="4" t="s">
        <v>25</v>
      </c>
      <c r="H490" s="4" t="s">
        <v>37</v>
      </c>
      <c r="I490" s="5">
        <v>44228</v>
      </c>
      <c r="J490" s="6">
        <v>5846</v>
      </c>
      <c r="K490" s="6">
        <v>5846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4" t="s">
        <v>60</v>
      </c>
      <c r="R490" s="4">
        <v>0</v>
      </c>
      <c r="S490" s="4" t="s">
        <v>173</v>
      </c>
      <c r="U490" s="4">
        <v>28</v>
      </c>
      <c r="V490" s="4">
        <v>0</v>
      </c>
      <c r="W490" s="4">
        <v>0</v>
      </c>
    </row>
    <row r="491" spans="1:23" ht="11.25" customHeight="1" x14ac:dyDescent="0.25">
      <c r="A491" s="4" t="s">
        <v>21</v>
      </c>
      <c r="B491" s="4" t="s">
        <v>35</v>
      </c>
      <c r="C491" s="4" t="s">
        <v>44</v>
      </c>
      <c r="D491" s="4" t="s">
        <v>42</v>
      </c>
      <c r="E491" s="4" t="s">
        <v>25</v>
      </c>
      <c r="F491" s="4" t="s">
        <v>25</v>
      </c>
      <c r="G491" s="4" t="s">
        <v>25</v>
      </c>
      <c r="H491" s="4" t="s">
        <v>37</v>
      </c>
      <c r="I491" s="5">
        <v>44256</v>
      </c>
      <c r="J491" s="6">
        <v>21822</v>
      </c>
      <c r="K491" s="6">
        <v>21822</v>
      </c>
      <c r="L491" s="6">
        <v>700.85400000000004</v>
      </c>
      <c r="M491" s="6">
        <v>700.85400000000004</v>
      </c>
      <c r="N491" s="6">
        <v>700.85400000000004</v>
      </c>
      <c r="O491" s="6">
        <v>700.85400000000004</v>
      </c>
      <c r="P491" s="6">
        <v>0</v>
      </c>
      <c r="Q491" s="4" t="s">
        <v>26</v>
      </c>
      <c r="R491" s="4">
        <v>0</v>
      </c>
      <c r="S491" s="4" t="s">
        <v>174</v>
      </c>
      <c r="T491" s="4" t="s">
        <v>449</v>
      </c>
      <c r="U491" s="4">
        <v>28</v>
      </c>
      <c r="V491" s="4">
        <v>30</v>
      </c>
      <c r="W491" s="4">
        <v>66</v>
      </c>
    </row>
    <row r="492" spans="1:23" ht="11.25" customHeight="1" x14ac:dyDescent="0.25">
      <c r="A492" s="4" t="s">
        <v>28</v>
      </c>
      <c r="B492" s="4" t="s">
        <v>35</v>
      </c>
      <c r="C492" s="4" t="s">
        <v>44</v>
      </c>
      <c r="D492" s="4" t="s">
        <v>42</v>
      </c>
      <c r="E492" s="4" t="s">
        <v>25</v>
      </c>
      <c r="F492" s="4" t="s">
        <v>25</v>
      </c>
      <c r="G492" s="4" t="s">
        <v>25</v>
      </c>
      <c r="H492" s="4" t="s">
        <v>37</v>
      </c>
      <c r="I492" s="5">
        <v>44256</v>
      </c>
      <c r="J492" s="6">
        <v>1017</v>
      </c>
      <c r="K492" s="6">
        <v>1017</v>
      </c>
      <c r="L492" s="6">
        <v>21.17</v>
      </c>
      <c r="M492" s="6">
        <v>21.17</v>
      </c>
      <c r="N492" s="6">
        <v>21.17</v>
      </c>
      <c r="O492" s="6">
        <v>21.17</v>
      </c>
      <c r="P492" s="6">
        <v>0</v>
      </c>
      <c r="Q492" s="4" t="s">
        <v>26</v>
      </c>
      <c r="R492" s="4">
        <v>0</v>
      </c>
      <c r="S492" s="4" t="s">
        <v>174</v>
      </c>
      <c r="T492" s="4" t="s">
        <v>449</v>
      </c>
      <c r="U492" s="4">
        <v>28</v>
      </c>
      <c r="V492" s="4">
        <v>30</v>
      </c>
      <c r="W492" s="4">
        <v>66</v>
      </c>
    </row>
    <row r="493" spans="1:23" ht="11.25" customHeight="1" x14ac:dyDescent="0.25">
      <c r="A493" s="4" t="s">
        <v>30</v>
      </c>
      <c r="B493" s="4" t="s">
        <v>35</v>
      </c>
      <c r="C493" s="4" t="s">
        <v>44</v>
      </c>
      <c r="D493" s="4" t="s">
        <v>42</v>
      </c>
      <c r="E493" s="4" t="s">
        <v>25</v>
      </c>
      <c r="F493" s="4" t="s">
        <v>25</v>
      </c>
      <c r="G493" s="4" t="s">
        <v>25</v>
      </c>
      <c r="H493" s="4" t="s">
        <v>37</v>
      </c>
      <c r="I493" s="5">
        <v>44256</v>
      </c>
      <c r="J493" s="6">
        <v>1600</v>
      </c>
      <c r="K493" s="6">
        <v>1600</v>
      </c>
      <c r="L493" s="6">
        <v>97.075999999999993</v>
      </c>
      <c r="M493" s="6">
        <v>97.075999999999993</v>
      </c>
      <c r="N493" s="6">
        <v>97.075999999999993</v>
      </c>
      <c r="O493" s="6">
        <v>97.075999999999993</v>
      </c>
      <c r="P493" s="6">
        <v>0</v>
      </c>
      <c r="Q493" s="4" t="s">
        <v>26</v>
      </c>
      <c r="R493" s="4">
        <v>0</v>
      </c>
      <c r="S493" s="4" t="s">
        <v>174</v>
      </c>
      <c r="T493" s="4" t="s">
        <v>449</v>
      </c>
      <c r="U493" s="4">
        <v>28</v>
      </c>
      <c r="V493" s="4">
        <v>30</v>
      </c>
      <c r="W493" s="4">
        <v>66</v>
      </c>
    </row>
    <row r="494" spans="1:23" ht="11.25" customHeight="1" x14ac:dyDescent="0.25">
      <c r="A494" s="4" t="s">
        <v>21</v>
      </c>
      <c r="B494" s="4" t="s">
        <v>35</v>
      </c>
      <c r="C494" s="4" t="s">
        <v>44</v>
      </c>
      <c r="D494" s="4" t="s">
        <v>42</v>
      </c>
      <c r="E494" s="4" t="s">
        <v>25</v>
      </c>
      <c r="F494" s="4" t="s">
        <v>25</v>
      </c>
      <c r="G494" s="4" t="s">
        <v>25</v>
      </c>
      <c r="H494" s="4" t="s">
        <v>37</v>
      </c>
      <c r="I494" s="5">
        <v>44256</v>
      </c>
      <c r="J494" s="6">
        <v>5790</v>
      </c>
      <c r="K494" s="6">
        <v>5790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4" t="s">
        <v>60</v>
      </c>
      <c r="R494" s="4">
        <v>0</v>
      </c>
      <c r="S494" s="4" t="s">
        <v>174</v>
      </c>
      <c r="U494" s="4">
        <v>28</v>
      </c>
      <c r="V494" s="4">
        <v>0</v>
      </c>
      <c r="W494" s="4">
        <v>0</v>
      </c>
    </row>
    <row r="495" spans="1:23" ht="11.25" customHeight="1" x14ac:dyDescent="0.25">
      <c r="A495" s="4" t="s">
        <v>21</v>
      </c>
      <c r="B495" s="4" t="s">
        <v>35</v>
      </c>
      <c r="C495" s="4" t="s">
        <v>44</v>
      </c>
      <c r="D495" s="4" t="s">
        <v>42</v>
      </c>
      <c r="E495" s="4" t="s">
        <v>25</v>
      </c>
      <c r="F495" s="4" t="s">
        <v>25</v>
      </c>
      <c r="G495" s="4" t="s">
        <v>25</v>
      </c>
      <c r="H495" s="4" t="s">
        <v>37</v>
      </c>
      <c r="I495" s="5">
        <v>44287</v>
      </c>
      <c r="J495" s="6">
        <v>20980</v>
      </c>
      <c r="K495" s="6">
        <v>20980</v>
      </c>
      <c r="L495" s="6">
        <v>551.23099999999999</v>
      </c>
      <c r="M495" s="6">
        <v>551.23099999999999</v>
      </c>
      <c r="N495" s="6">
        <v>551.23099999999999</v>
      </c>
      <c r="O495" s="6">
        <v>551.23099999999999</v>
      </c>
      <c r="P495" s="6">
        <v>0</v>
      </c>
      <c r="Q495" s="4" t="s">
        <v>26</v>
      </c>
      <c r="R495" s="4">
        <v>0</v>
      </c>
      <c r="S495" s="4" t="s">
        <v>175</v>
      </c>
      <c r="T495" s="4" t="s">
        <v>450</v>
      </c>
      <c r="U495" s="4">
        <v>28</v>
      </c>
      <c r="V495" s="4">
        <v>30</v>
      </c>
      <c r="W495" s="4">
        <v>66</v>
      </c>
    </row>
    <row r="496" spans="1:23" ht="11.25" customHeight="1" x14ac:dyDescent="0.25">
      <c r="A496" s="4" t="s">
        <v>28</v>
      </c>
      <c r="B496" s="4" t="s">
        <v>35</v>
      </c>
      <c r="C496" s="4" t="s">
        <v>44</v>
      </c>
      <c r="D496" s="4" t="s">
        <v>42</v>
      </c>
      <c r="E496" s="4" t="s">
        <v>25</v>
      </c>
      <c r="F496" s="4" t="s">
        <v>25</v>
      </c>
      <c r="G496" s="4" t="s">
        <v>25</v>
      </c>
      <c r="H496" s="4" t="s">
        <v>37</v>
      </c>
      <c r="I496" s="5">
        <v>44287</v>
      </c>
      <c r="J496" s="6">
        <v>838</v>
      </c>
      <c r="K496" s="6">
        <v>838</v>
      </c>
      <c r="L496" s="6">
        <v>19.206</v>
      </c>
      <c r="M496" s="6">
        <v>19.206</v>
      </c>
      <c r="N496" s="6">
        <v>19.206</v>
      </c>
      <c r="O496" s="6">
        <v>19.206</v>
      </c>
      <c r="P496" s="6">
        <v>0</v>
      </c>
      <c r="Q496" s="4" t="s">
        <v>26</v>
      </c>
      <c r="R496" s="4">
        <v>0</v>
      </c>
      <c r="S496" s="4" t="s">
        <v>175</v>
      </c>
      <c r="T496" s="4" t="s">
        <v>450</v>
      </c>
      <c r="U496" s="4">
        <v>28</v>
      </c>
      <c r="V496" s="4">
        <v>30</v>
      </c>
      <c r="W496" s="4">
        <v>66</v>
      </c>
    </row>
    <row r="497" spans="1:23" ht="11.25" customHeight="1" x14ac:dyDescent="0.25">
      <c r="A497" s="4" t="s">
        <v>29</v>
      </c>
      <c r="B497" s="4" t="s">
        <v>35</v>
      </c>
      <c r="C497" s="4" t="s">
        <v>44</v>
      </c>
      <c r="D497" s="4" t="s">
        <v>42</v>
      </c>
      <c r="E497" s="4" t="s">
        <v>25</v>
      </c>
      <c r="F497" s="4" t="s">
        <v>25</v>
      </c>
      <c r="G497" s="4" t="s">
        <v>25</v>
      </c>
      <c r="H497" s="4" t="s">
        <v>37</v>
      </c>
      <c r="I497" s="5">
        <v>44287</v>
      </c>
      <c r="J497" s="6">
        <v>0</v>
      </c>
      <c r="K497" s="6">
        <v>0</v>
      </c>
      <c r="L497" s="6">
        <v>-1</v>
      </c>
      <c r="M497" s="6">
        <v>-1</v>
      </c>
      <c r="N497" s="6">
        <v>-1</v>
      </c>
      <c r="O497" s="6">
        <v>-1</v>
      </c>
      <c r="P497" s="6">
        <v>0</v>
      </c>
      <c r="Q497" s="4" t="s">
        <v>26</v>
      </c>
      <c r="R497" s="4">
        <v>0</v>
      </c>
      <c r="S497" s="4" t="s">
        <v>175</v>
      </c>
      <c r="T497" s="4" t="s">
        <v>450</v>
      </c>
      <c r="U497" s="4">
        <v>0</v>
      </c>
      <c r="V497" s="4">
        <v>30</v>
      </c>
      <c r="W497" s="4">
        <v>66</v>
      </c>
    </row>
    <row r="498" spans="1:23" ht="11.25" customHeight="1" x14ac:dyDescent="0.25">
      <c r="A498" s="4" t="s">
        <v>30</v>
      </c>
      <c r="B498" s="4" t="s">
        <v>35</v>
      </c>
      <c r="C498" s="4" t="s">
        <v>44</v>
      </c>
      <c r="D498" s="4" t="s">
        <v>42</v>
      </c>
      <c r="E498" s="4" t="s">
        <v>25</v>
      </c>
      <c r="F498" s="4" t="s">
        <v>25</v>
      </c>
      <c r="G498" s="4" t="s">
        <v>25</v>
      </c>
      <c r="H498" s="4" t="s">
        <v>37</v>
      </c>
      <c r="I498" s="5">
        <v>44287</v>
      </c>
      <c r="J498" s="6">
        <v>1600</v>
      </c>
      <c r="K498" s="6">
        <v>1600</v>
      </c>
      <c r="L498" s="6">
        <v>84.293999999999997</v>
      </c>
      <c r="M498" s="6">
        <v>84.293999999999997</v>
      </c>
      <c r="N498" s="6">
        <v>84.293999999999997</v>
      </c>
      <c r="O498" s="6">
        <v>84.293999999999997</v>
      </c>
      <c r="P498" s="6">
        <v>0</v>
      </c>
      <c r="Q498" s="4" t="s">
        <v>26</v>
      </c>
      <c r="R498" s="4">
        <v>0</v>
      </c>
      <c r="S498" s="4" t="s">
        <v>175</v>
      </c>
      <c r="T498" s="4" t="s">
        <v>450</v>
      </c>
      <c r="U498" s="4">
        <v>28</v>
      </c>
      <c r="V498" s="4">
        <v>30</v>
      </c>
      <c r="W498" s="4">
        <v>66</v>
      </c>
    </row>
    <row r="499" spans="1:23" ht="11.25" customHeight="1" x14ac:dyDescent="0.25">
      <c r="A499" s="4" t="s">
        <v>21</v>
      </c>
      <c r="B499" s="4" t="s">
        <v>35</v>
      </c>
      <c r="C499" s="4" t="s">
        <v>44</v>
      </c>
      <c r="D499" s="4" t="s">
        <v>42</v>
      </c>
      <c r="E499" s="4" t="s">
        <v>25</v>
      </c>
      <c r="F499" s="4" t="s">
        <v>25</v>
      </c>
      <c r="G499" s="4" t="s">
        <v>25</v>
      </c>
      <c r="H499" s="4" t="s">
        <v>37</v>
      </c>
      <c r="I499" s="5">
        <v>44287</v>
      </c>
      <c r="J499" s="6">
        <v>5982</v>
      </c>
      <c r="K499" s="6">
        <v>5982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4" t="s">
        <v>60</v>
      </c>
      <c r="R499" s="4">
        <v>0</v>
      </c>
      <c r="S499" s="4" t="s">
        <v>175</v>
      </c>
      <c r="U499" s="4">
        <v>28</v>
      </c>
      <c r="V499" s="4">
        <v>0</v>
      </c>
      <c r="W499" s="4">
        <v>0</v>
      </c>
    </row>
    <row r="500" spans="1:23" ht="11.25" customHeight="1" x14ac:dyDescent="0.25">
      <c r="A500" s="4" t="s">
        <v>21</v>
      </c>
      <c r="B500" s="4" t="s">
        <v>35</v>
      </c>
      <c r="C500" s="4" t="s">
        <v>44</v>
      </c>
      <c r="D500" s="4" t="s">
        <v>42</v>
      </c>
      <c r="E500" s="4" t="s">
        <v>25</v>
      </c>
      <c r="F500" s="4" t="s">
        <v>25</v>
      </c>
      <c r="G500" s="4" t="s">
        <v>25</v>
      </c>
      <c r="H500" s="4" t="s">
        <v>37</v>
      </c>
      <c r="I500" s="5">
        <v>44317</v>
      </c>
      <c r="J500" s="6">
        <v>17524</v>
      </c>
      <c r="K500" s="6">
        <v>17524</v>
      </c>
      <c r="L500" s="6">
        <v>482.47800000000001</v>
      </c>
      <c r="M500" s="6">
        <v>482.47800000000001</v>
      </c>
      <c r="N500" s="6">
        <v>482.47800000000001</v>
      </c>
      <c r="O500" s="6">
        <v>482.47800000000001</v>
      </c>
      <c r="P500" s="6">
        <v>0</v>
      </c>
      <c r="Q500" s="4" t="s">
        <v>26</v>
      </c>
      <c r="R500" s="4">
        <v>0</v>
      </c>
      <c r="S500" s="4" t="s">
        <v>176</v>
      </c>
      <c r="T500" s="4" t="s">
        <v>451</v>
      </c>
      <c r="U500" s="4">
        <v>28</v>
      </c>
      <c r="V500" s="4">
        <v>30</v>
      </c>
      <c r="W500" s="4">
        <v>66</v>
      </c>
    </row>
    <row r="501" spans="1:23" ht="11.25" customHeight="1" x14ac:dyDescent="0.25">
      <c r="A501" s="4" t="s">
        <v>27</v>
      </c>
      <c r="B501" s="4" t="s">
        <v>35</v>
      </c>
      <c r="C501" s="4" t="s">
        <v>44</v>
      </c>
      <c r="D501" s="4" t="s">
        <v>42</v>
      </c>
      <c r="E501" s="4" t="s">
        <v>25</v>
      </c>
      <c r="F501" s="4" t="s">
        <v>25</v>
      </c>
      <c r="G501" s="4" t="s">
        <v>25</v>
      </c>
      <c r="H501" s="4" t="s">
        <v>37</v>
      </c>
      <c r="I501" s="5">
        <v>44317</v>
      </c>
      <c r="J501" s="6">
        <v>1232</v>
      </c>
      <c r="K501" s="6">
        <v>1232</v>
      </c>
      <c r="L501" s="6">
        <v>68.334000000000003</v>
      </c>
      <c r="M501" s="6">
        <v>68.334000000000003</v>
      </c>
      <c r="N501" s="6">
        <v>68.334000000000003</v>
      </c>
      <c r="O501" s="6">
        <v>68.334000000000003</v>
      </c>
      <c r="P501" s="6">
        <v>0</v>
      </c>
      <c r="Q501" s="4" t="s">
        <v>26</v>
      </c>
      <c r="R501" s="4">
        <v>0</v>
      </c>
      <c r="S501" s="4" t="s">
        <v>176</v>
      </c>
      <c r="T501" s="4" t="s">
        <v>451</v>
      </c>
      <c r="U501" s="4">
        <v>28</v>
      </c>
      <c r="V501" s="4">
        <v>30</v>
      </c>
      <c r="W501" s="4">
        <v>66</v>
      </c>
    </row>
    <row r="502" spans="1:23" ht="11.25" customHeight="1" x14ac:dyDescent="0.25">
      <c r="A502" s="4" t="s">
        <v>28</v>
      </c>
      <c r="B502" s="4" t="s">
        <v>35</v>
      </c>
      <c r="C502" s="4" t="s">
        <v>44</v>
      </c>
      <c r="D502" s="4" t="s">
        <v>42</v>
      </c>
      <c r="E502" s="4" t="s">
        <v>25</v>
      </c>
      <c r="F502" s="4" t="s">
        <v>25</v>
      </c>
      <c r="G502" s="4" t="s">
        <v>25</v>
      </c>
      <c r="H502" s="4" t="s">
        <v>37</v>
      </c>
      <c r="I502" s="5">
        <v>44317</v>
      </c>
      <c r="J502" s="6">
        <v>838</v>
      </c>
      <c r="K502" s="6">
        <v>838</v>
      </c>
      <c r="L502" s="6">
        <v>18.315999999999999</v>
      </c>
      <c r="M502" s="6">
        <v>18.315999999999999</v>
      </c>
      <c r="N502" s="6">
        <v>18.315999999999999</v>
      </c>
      <c r="O502" s="6">
        <v>18.315999999999999</v>
      </c>
      <c r="P502" s="6">
        <v>0</v>
      </c>
      <c r="Q502" s="4" t="s">
        <v>26</v>
      </c>
      <c r="R502" s="4">
        <v>0</v>
      </c>
      <c r="S502" s="4" t="s">
        <v>176</v>
      </c>
      <c r="T502" s="4" t="s">
        <v>451</v>
      </c>
      <c r="U502" s="4">
        <v>28</v>
      </c>
      <c r="V502" s="4">
        <v>30</v>
      </c>
      <c r="W502" s="4">
        <v>66</v>
      </c>
    </row>
    <row r="503" spans="1:23" ht="11.25" customHeight="1" x14ac:dyDescent="0.25">
      <c r="A503" s="4" t="s">
        <v>30</v>
      </c>
      <c r="B503" s="4" t="s">
        <v>35</v>
      </c>
      <c r="C503" s="4" t="s">
        <v>44</v>
      </c>
      <c r="D503" s="4" t="s">
        <v>42</v>
      </c>
      <c r="E503" s="4" t="s">
        <v>25</v>
      </c>
      <c r="F503" s="4" t="s">
        <v>25</v>
      </c>
      <c r="G503" s="4" t="s">
        <v>25</v>
      </c>
      <c r="H503" s="4" t="s">
        <v>37</v>
      </c>
      <c r="I503" s="5">
        <v>44317</v>
      </c>
      <c r="J503" s="6">
        <v>1600</v>
      </c>
      <c r="K503" s="6">
        <v>1600</v>
      </c>
      <c r="L503" s="6">
        <v>87.64</v>
      </c>
      <c r="M503" s="6">
        <v>87.64</v>
      </c>
      <c r="N503" s="6">
        <v>87.64</v>
      </c>
      <c r="O503" s="6">
        <v>87.64</v>
      </c>
      <c r="P503" s="6">
        <v>0</v>
      </c>
      <c r="Q503" s="4" t="s">
        <v>26</v>
      </c>
      <c r="R503" s="4">
        <v>0</v>
      </c>
      <c r="S503" s="4" t="s">
        <v>176</v>
      </c>
      <c r="T503" s="4" t="s">
        <v>451</v>
      </c>
      <c r="U503" s="4">
        <v>28</v>
      </c>
      <c r="V503" s="4">
        <v>30</v>
      </c>
      <c r="W503" s="4">
        <v>66</v>
      </c>
    </row>
    <row r="504" spans="1:23" ht="11.25" customHeight="1" x14ac:dyDescent="0.25">
      <c r="A504" s="4" t="s">
        <v>21</v>
      </c>
      <c r="B504" s="4" t="s">
        <v>35</v>
      </c>
      <c r="C504" s="4" t="s">
        <v>44</v>
      </c>
      <c r="D504" s="4" t="s">
        <v>42</v>
      </c>
      <c r="E504" s="4" t="s">
        <v>25</v>
      </c>
      <c r="F504" s="4" t="s">
        <v>25</v>
      </c>
      <c r="G504" s="4" t="s">
        <v>25</v>
      </c>
      <c r="H504" s="4" t="s">
        <v>37</v>
      </c>
      <c r="I504" s="5">
        <v>44317</v>
      </c>
      <c r="J504" s="6">
        <v>5600</v>
      </c>
      <c r="K504" s="6">
        <v>5600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4" t="s">
        <v>60</v>
      </c>
      <c r="R504" s="4">
        <v>0</v>
      </c>
      <c r="S504" s="4" t="s">
        <v>176</v>
      </c>
      <c r="U504" s="4">
        <v>28</v>
      </c>
      <c r="V504" s="4">
        <v>0</v>
      </c>
      <c r="W504" s="4">
        <v>0</v>
      </c>
    </row>
    <row r="505" spans="1:23" ht="11.25" customHeight="1" x14ac:dyDescent="0.25">
      <c r="A505" s="4" t="s">
        <v>21</v>
      </c>
      <c r="B505" s="4" t="s">
        <v>35</v>
      </c>
      <c r="C505" s="4" t="s">
        <v>44</v>
      </c>
      <c r="D505" s="4" t="s">
        <v>42</v>
      </c>
      <c r="E505" s="4" t="s">
        <v>25</v>
      </c>
      <c r="F505" s="4" t="s">
        <v>25</v>
      </c>
      <c r="G505" s="4" t="s">
        <v>25</v>
      </c>
      <c r="H505" s="4" t="s">
        <v>37</v>
      </c>
      <c r="I505" s="5">
        <v>44348</v>
      </c>
      <c r="J505" s="6">
        <v>16434</v>
      </c>
      <c r="K505" s="6">
        <v>16434</v>
      </c>
      <c r="L505" s="6">
        <v>493.84199999999998</v>
      </c>
      <c r="M505" s="6">
        <v>493.84199999999998</v>
      </c>
      <c r="N505" s="6">
        <v>493.84199999999998</v>
      </c>
      <c r="O505" s="6">
        <v>493.84199999999998</v>
      </c>
      <c r="P505" s="6">
        <v>0</v>
      </c>
      <c r="Q505" s="4" t="s">
        <v>26</v>
      </c>
      <c r="R505" s="4">
        <v>0</v>
      </c>
      <c r="S505" s="4" t="s">
        <v>177</v>
      </c>
      <c r="T505" s="4" t="s">
        <v>452</v>
      </c>
      <c r="U505" s="4">
        <v>28</v>
      </c>
      <c r="V505" s="4">
        <v>30</v>
      </c>
      <c r="W505" s="4">
        <v>66</v>
      </c>
    </row>
    <row r="506" spans="1:23" ht="11.25" customHeight="1" x14ac:dyDescent="0.25">
      <c r="A506" s="4" t="s">
        <v>27</v>
      </c>
      <c r="B506" s="4" t="s">
        <v>35</v>
      </c>
      <c r="C506" s="4" t="s">
        <v>44</v>
      </c>
      <c r="D506" s="4" t="s">
        <v>42</v>
      </c>
      <c r="E506" s="4" t="s">
        <v>25</v>
      </c>
      <c r="F506" s="4" t="s">
        <v>25</v>
      </c>
      <c r="G506" s="4" t="s">
        <v>25</v>
      </c>
      <c r="H506" s="4" t="s">
        <v>37</v>
      </c>
      <c r="I506" s="5">
        <v>44348</v>
      </c>
      <c r="J506" s="6">
        <v>-302</v>
      </c>
      <c r="K506" s="6">
        <v>-302</v>
      </c>
      <c r="L506" s="6">
        <v>-5.3730000000000002</v>
      </c>
      <c r="M506" s="6">
        <v>-5.3730000000000002</v>
      </c>
      <c r="N506" s="6">
        <v>-5.3730000000000002</v>
      </c>
      <c r="O506" s="6">
        <v>-5.3730000000000002</v>
      </c>
      <c r="P506" s="6">
        <v>0</v>
      </c>
      <c r="Q506" s="4" t="s">
        <v>26</v>
      </c>
      <c r="R506" s="4">
        <v>0</v>
      </c>
      <c r="S506" s="4" t="s">
        <v>177</v>
      </c>
      <c r="T506" s="4" t="s">
        <v>452</v>
      </c>
      <c r="U506" s="4">
        <v>28</v>
      </c>
      <c r="V506" s="4">
        <v>30</v>
      </c>
      <c r="W506" s="4">
        <v>66</v>
      </c>
    </row>
    <row r="507" spans="1:23" ht="11.25" customHeight="1" x14ac:dyDescent="0.25">
      <c r="A507" s="4" t="s">
        <v>28</v>
      </c>
      <c r="B507" s="4" t="s">
        <v>35</v>
      </c>
      <c r="C507" s="4" t="s">
        <v>44</v>
      </c>
      <c r="D507" s="4" t="s">
        <v>42</v>
      </c>
      <c r="E507" s="4" t="s">
        <v>25</v>
      </c>
      <c r="F507" s="4" t="s">
        <v>25</v>
      </c>
      <c r="G507" s="4" t="s">
        <v>25</v>
      </c>
      <c r="H507" s="4" t="s">
        <v>37</v>
      </c>
      <c r="I507" s="5">
        <v>44348</v>
      </c>
      <c r="J507" s="6">
        <v>838</v>
      </c>
      <c r="K507" s="6">
        <v>838</v>
      </c>
      <c r="L507" s="6">
        <v>20.436</v>
      </c>
      <c r="M507" s="6">
        <v>20.436</v>
      </c>
      <c r="N507" s="6">
        <v>20.436</v>
      </c>
      <c r="O507" s="6">
        <v>20.436</v>
      </c>
      <c r="P507" s="6">
        <v>0</v>
      </c>
      <c r="Q507" s="4" t="s">
        <v>26</v>
      </c>
      <c r="R507" s="4">
        <v>0</v>
      </c>
      <c r="S507" s="4" t="s">
        <v>177</v>
      </c>
      <c r="T507" s="4" t="s">
        <v>452</v>
      </c>
      <c r="U507" s="4">
        <v>28</v>
      </c>
      <c r="V507" s="4">
        <v>30</v>
      </c>
      <c r="W507" s="4">
        <v>66</v>
      </c>
    </row>
    <row r="508" spans="1:23" ht="11.25" customHeight="1" x14ac:dyDescent="0.25">
      <c r="A508" s="4" t="s">
        <v>29</v>
      </c>
      <c r="B508" s="4" t="s">
        <v>35</v>
      </c>
      <c r="C508" s="4" t="s">
        <v>44</v>
      </c>
      <c r="D508" s="4" t="s">
        <v>42</v>
      </c>
      <c r="E508" s="4" t="s">
        <v>25</v>
      </c>
      <c r="F508" s="4" t="s">
        <v>25</v>
      </c>
      <c r="G508" s="4" t="s">
        <v>25</v>
      </c>
      <c r="H508" s="4" t="s">
        <v>37</v>
      </c>
      <c r="I508" s="5">
        <v>44348</v>
      </c>
      <c r="J508" s="6">
        <v>-50</v>
      </c>
      <c r="K508" s="6">
        <v>-50</v>
      </c>
      <c r="L508" s="6">
        <v>-1.369</v>
      </c>
      <c r="M508" s="6">
        <v>-1.369</v>
      </c>
      <c r="N508" s="6">
        <v>-1.369</v>
      </c>
      <c r="O508" s="6">
        <v>-1.369</v>
      </c>
      <c r="P508" s="6">
        <v>0</v>
      </c>
      <c r="Q508" s="4" t="s">
        <v>26</v>
      </c>
      <c r="R508" s="4">
        <v>0</v>
      </c>
      <c r="S508" s="4" t="s">
        <v>177</v>
      </c>
      <c r="T508" s="4" t="s">
        <v>452</v>
      </c>
      <c r="U508" s="4">
        <v>28</v>
      </c>
      <c r="V508" s="4">
        <v>30</v>
      </c>
      <c r="W508" s="4">
        <v>66</v>
      </c>
    </row>
    <row r="509" spans="1:23" ht="11.25" customHeight="1" x14ac:dyDescent="0.25">
      <c r="A509" s="4" t="s">
        <v>30</v>
      </c>
      <c r="B509" s="4" t="s">
        <v>35</v>
      </c>
      <c r="C509" s="4" t="s">
        <v>44</v>
      </c>
      <c r="D509" s="4" t="s">
        <v>42</v>
      </c>
      <c r="E509" s="4" t="s">
        <v>25</v>
      </c>
      <c r="F509" s="4" t="s">
        <v>25</v>
      </c>
      <c r="G509" s="4" t="s">
        <v>25</v>
      </c>
      <c r="H509" s="4" t="s">
        <v>37</v>
      </c>
      <c r="I509" s="5">
        <v>44348</v>
      </c>
      <c r="J509" s="6">
        <v>2060</v>
      </c>
      <c r="K509" s="6">
        <v>2060</v>
      </c>
      <c r="L509" s="6">
        <v>89.927999999999997</v>
      </c>
      <c r="M509" s="6">
        <v>89.927999999999997</v>
      </c>
      <c r="N509" s="6">
        <v>89.927999999999997</v>
      </c>
      <c r="O509" s="6">
        <v>89.927999999999997</v>
      </c>
      <c r="P509" s="6">
        <v>0</v>
      </c>
      <c r="Q509" s="4" t="s">
        <v>26</v>
      </c>
      <c r="R509" s="4">
        <v>0</v>
      </c>
      <c r="S509" s="4" t="s">
        <v>177</v>
      </c>
      <c r="T509" s="4" t="s">
        <v>452</v>
      </c>
      <c r="U509" s="4">
        <v>28</v>
      </c>
      <c r="V509" s="4">
        <v>30</v>
      </c>
      <c r="W509" s="4">
        <v>66</v>
      </c>
    </row>
    <row r="510" spans="1:23" ht="11.25" customHeight="1" x14ac:dyDescent="0.25">
      <c r="A510" s="4" t="s">
        <v>21</v>
      </c>
      <c r="B510" s="4" t="s">
        <v>35</v>
      </c>
      <c r="C510" s="4" t="s">
        <v>44</v>
      </c>
      <c r="D510" s="4" t="s">
        <v>42</v>
      </c>
      <c r="E510" s="4" t="s">
        <v>25</v>
      </c>
      <c r="F510" s="4" t="s">
        <v>25</v>
      </c>
      <c r="G510" s="4" t="s">
        <v>25</v>
      </c>
      <c r="H510" s="4" t="s">
        <v>37</v>
      </c>
      <c r="I510" s="5">
        <v>44348</v>
      </c>
      <c r="J510" s="6">
        <v>5932</v>
      </c>
      <c r="K510" s="6">
        <v>5932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4" t="s">
        <v>60</v>
      </c>
      <c r="R510" s="4">
        <v>0</v>
      </c>
      <c r="S510" s="4" t="s">
        <v>177</v>
      </c>
      <c r="U510" s="4">
        <v>28</v>
      </c>
      <c r="V510" s="4">
        <v>0</v>
      </c>
      <c r="W510" s="4">
        <v>0</v>
      </c>
    </row>
    <row r="511" spans="1:23" ht="11.25" customHeight="1" x14ac:dyDescent="0.25">
      <c r="A511" s="4" t="s">
        <v>21</v>
      </c>
      <c r="B511" s="4" t="s">
        <v>35</v>
      </c>
      <c r="C511" s="4" t="s">
        <v>44</v>
      </c>
      <c r="D511" s="4" t="s">
        <v>42</v>
      </c>
      <c r="E511" s="4" t="s">
        <v>25</v>
      </c>
      <c r="F511" s="4" t="s">
        <v>25</v>
      </c>
      <c r="G511" s="4" t="s">
        <v>25</v>
      </c>
      <c r="H511" s="4" t="s">
        <v>37</v>
      </c>
      <c r="I511" s="5">
        <v>44378</v>
      </c>
      <c r="J511" s="6">
        <v>15321</v>
      </c>
      <c r="K511" s="6">
        <v>15321</v>
      </c>
      <c r="L511" s="6">
        <v>518.35500000000002</v>
      </c>
      <c r="M511" s="6">
        <v>518.35500000000002</v>
      </c>
      <c r="N511" s="6">
        <v>518.35500000000002</v>
      </c>
      <c r="O511" s="6">
        <v>518.35500000000002</v>
      </c>
      <c r="P511" s="6">
        <v>0</v>
      </c>
      <c r="Q511" s="4" t="s">
        <v>26</v>
      </c>
      <c r="R511" s="4">
        <v>0</v>
      </c>
      <c r="S511" s="4" t="s">
        <v>178</v>
      </c>
      <c r="T511" s="4" t="s">
        <v>453</v>
      </c>
      <c r="U511" s="4">
        <v>28</v>
      </c>
      <c r="V511" s="4">
        <v>30</v>
      </c>
      <c r="W511" s="4">
        <v>66</v>
      </c>
    </row>
    <row r="512" spans="1:23" ht="11.25" customHeight="1" x14ac:dyDescent="0.25">
      <c r="A512" s="4" t="s">
        <v>27</v>
      </c>
      <c r="B512" s="4" t="s">
        <v>35</v>
      </c>
      <c r="C512" s="4" t="s">
        <v>44</v>
      </c>
      <c r="D512" s="4" t="s">
        <v>42</v>
      </c>
      <c r="E512" s="4" t="s">
        <v>25</v>
      </c>
      <c r="F512" s="4" t="s">
        <v>25</v>
      </c>
      <c r="G512" s="4" t="s">
        <v>25</v>
      </c>
      <c r="H512" s="4" t="s">
        <v>37</v>
      </c>
      <c r="I512" s="5">
        <v>44378</v>
      </c>
      <c r="J512" s="6">
        <v>-1200</v>
      </c>
      <c r="K512" s="6">
        <v>-1200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4" t="s">
        <v>26</v>
      </c>
      <c r="R512" s="4">
        <v>0</v>
      </c>
      <c r="S512" s="4" t="s">
        <v>178</v>
      </c>
      <c r="T512" s="4" t="s">
        <v>453</v>
      </c>
      <c r="U512" s="4">
        <v>28</v>
      </c>
      <c r="V512" s="4">
        <v>0</v>
      </c>
      <c r="W512" s="4">
        <v>0</v>
      </c>
    </row>
    <row r="513" spans="1:23" ht="11.25" customHeight="1" x14ac:dyDescent="0.25">
      <c r="A513" s="4" t="s">
        <v>28</v>
      </c>
      <c r="B513" s="4" t="s">
        <v>35</v>
      </c>
      <c r="C513" s="4" t="s">
        <v>44</v>
      </c>
      <c r="D513" s="4" t="s">
        <v>42</v>
      </c>
      <c r="E513" s="4" t="s">
        <v>25</v>
      </c>
      <c r="F513" s="4" t="s">
        <v>25</v>
      </c>
      <c r="G513" s="4" t="s">
        <v>25</v>
      </c>
      <c r="H513" s="4" t="s">
        <v>37</v>
      </c>
      <c r="I513" s="5">
        <v>44378</v>
      </c>
      <c r="J513" s="6">
        <v>853</v>
      </c>
      <c r="K513" s="6">
        <v>853</v>
      </c>
      <c r="L513" s="6">
        <v>20.863</v>
      </c>
      <c r="M513" s="6">
        <v>20.863</v>
      </c>
      <c r="N513" s="6">
        <v>20.863</v>
      </c>
      <c r="O513" s="6">
        <v>20.863</v>
      </c>
      <c r="P513" s="6">
        <v>0</v>
      </c>
      <c r="Q513" s="4" t="s">
        <v>26</v>
      </c>
      <c r="R513" s="4">
        <v>0</v>
      </c>
      <c r="S513" s="4" t="s">
        <v>178</v>
      </c>
      <c r="T513" s="4" t="s">
        <v>453</v>
      </c>
      <c r="U513" s="4">
        <v>28</v>
      </c>
      <c r="V513" s="4">
        <v>30</v>
      </c>
      <c r="W513" s="4">
        <v>66</v>
      </c>
    </row>
    <row r="514" spans="1:23" ht="11.25" customHeight="1" x14ac:dyDescent="0.25">
      <c r="A514" s="4" t="s">
        <v>30</v>
      </c>
      <c r="B514" s="4" t="s">
        <v>35</v>
      </c>
      <c r="C514" s="4" t="s">
        <v>44</v>
      </c>
      <c r="D514" s="4" t="s">
        <v>42</v>
      </c>
      <c r="E514" s="4" t="s">
        <v>25</v>
      </c>
      <c r="F514" s="4" t="s">
        <v>25</v>
      </c>
      <c r="G514" s="4" t="s">
        <v>25</v>
      </c>
      <c r="H514" s="4" t="s">
        <v>37</v>
      </c>
      <c r="I514" s="5">
        <v>44378</v>
      </c>
      <c r="J514" s="6">
        <v>2430</v>
      </c>
      <c r="K514" s="6">
        <v>2430</v>
      </c>
      <c r="L514" s="6">
        <v>99.884</v>
      </c>
      <c r="M514" s="6">
        <v>99.884</v>
      </c>
      <c r="N514" s="6">
        <v>99.884</v>
      </c>
      <c r="O514" s="6">
        <v>99.884</v>
      </c>
      <c r="P514" s="6">
        <v>0</v>
      </c>
      <c r="Q514" s="4" t="s">
        <v>26</v>
      </c>
      <c r="R514" s="4">
        <v>0</v>
      </c>
      <c r="S514" s="4" t="s">
        <v>178</v>
      </c>
      <c r="T514" s="4" t="s">
        <v>453</v>
      </c>
      <c r="U514" s="4">
        <v>28</v>
      </c>
      <c r="V514" s="4">
        <v>30</v>
      </c>
      <c r="W514" s="4">
        <v>66</v>
      </c>
    </row>
    <row r="515" spans="1:23" ht="11.25" customHeight="1" x14ac:dyDescent="0.25">
      <c r="A515" s="4" t="s">
        <v>21</v>
      </c>
      <c r="B515" s="4" t="s">
        <v>35</v>
      </c>
      <c r="C515" s="4" t="s">
        <v>44</v>
      </c>
      <c r="D515" s="4" t="s">
        <v>42</v>
      </c>
      <c r="E515" s="4" t="s">
        <v>25</v>
      </c>
      <c r="F515" s="4" t="s">
        <v>25</v>
      </c>
      <c r="G515" s="4" t="s">
        <v>25</v>
      </c>
      <c r="H515" s="4" t="s">
        <v>37</v>
      </c>
      <c r="I515" s="5">
        <v>44378</v>
      </c>
      <c r="J515" s="6">
        <v>5901</v>
      </c>
      <c r="K515" s="6">
        <v>5901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4" t="s">
        <v>60</v>
      </c>
      <c r="R515" s="4">
        <v>0</v>
      </c>
      <c r="S515" s="4" t="s">
        <v>178</v>
      </c>
      <c r="U515" s="4">
        <v>28</v>
      </c>
      <c r="V515" s="4">
        <v>0</v>
      </c>
      <c r="W515" s="4">
        <v>0</v>
      </c>
    </row>
    <row r="516" spans="1:23" ht="11.25" customHeight="1" x14ac:dyDescent="0.25">
      <c r="A516" s="4" t="s">
        <v>21</v>
      </c>
      <c r="B516" s="4" t="s">
        <v>35</v>
      </c>
      <c r="C516" s="4" t="s">
        <v>44</v>
      </c>
      <c r="D516" s="4" t="s">
        <v>42</v>
      </c>
      <c r="E516" s="4" t="s">
        <v>25</v>
      </c>
      <c r="F516" s="4" t="s">
        <v>25</v>
      </c>
      <c r="G516" s="4" t="s">
        <v>25</v>
      </c>
      <c r="H516" s="4" t="s">
        <v>37</v>
      </c>
      <c r="I516" s="5">
        <v>44409</v>
      </c>
      <c r="J516" s="6">
        <v>16061</v>
      </c>
      <c r="K516" s="6">
        <v>16061</v>
      </c>
      <c r="L516" s="6">
        <v>537.82000000000005</v>
      </c>
      <c r="M516" s="6">
        <v>537.82000000000005</v>
      </c>
      <c r="N516" s="6">
        <v>537.82000000000005</v>
      </c>
      <c r="O516" s="6">
        <v>537.82000000000005</v>
      </c>
      <c r="P516" s="6">
        <v>0</v>
      </c>
      <c r="Q516" s="4" t="s">
        <v>26</v>
      </c>
      <c r="R516" s="4">
        <v>0</v>
      </c>
      <c r="S516" s="4" t="s">
        <v>179</v>
      </c>
      <c r="T516" s="4" t="s">
        <v>454</v>
      </c>
      <c r="U516" s="4">
        <v>28</v>
      </c>
      <c r="V516" s="4">
        <v>30</v>
      </c>
      <c r="W516" s="4">
        <v>66</v>
      </c>
    </row>
    <row r="517" spans="1:23" ht="11.25" customHeight="1" x14ac:dyDescent="0.25">
      <c r="A517" s="4" t="s">
        <v>27</v>
      </c>
      <c r="B517" s="4" t="s">
        <v>35</v>
      </c>
      <c r="C517" s="4" t="s">
        <v>44</v>
      </c>
      <c r="D517" s="4" t="s">
        <v>42</v>
      </c>
      <c r="E517" s="4" t="s">
        <v>25</v>
      </c>
      <c r="F517" s="4" t="s">
        <v>25</v>
      </c>
      <c r="G517" s="4" t="s">
        <v>25</v>
      </c>
      <c r="H517" s="4" t="s">
        <v>37</v>
      </c>
      <c r="I517" s="5">
        <v>44409</v>
      </c>
      <c r="J517" s="6">
        <v>-500</v>
      </c>
      <c r="K517" s="6">
        <v>-500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4" t="s">
        <v>26</v>
      </c>
      <c r="R517" s="4">
        <v>0</v>
      </c>
      <c r="S517" s="4" t="s">
        <v>179</v>
      </c>
      <c r="T517" s="4" t="s">
        <v>454</v>
      </c>
      <c r="U517" s="4">
        <v>28</v>
      </c>
      <c r="V517" s="4">
        <v>0</v>
      </c>
      <c r="W517" s="4">
        <v>0</v>
      </c>
    </row>
    <row r="518" spans="1:23" ht="11.25" customHeight="1" x14ac:dyDescent="0.25">
      <c r="A518" s="4" t="s">
        <v>28</v>
      </c>
      <c r="B518" s="4" t="s">
        <v>35</v>
      </c>
      <c r="C518" s="4" t="s">
        <v>44</v>
      </c>
      <c r="D518" s="4" t="s">
        <v>42</v>
      </c>
      <c r="E518" s="4" t="s">
        <v>25</v>
      </c>
      <c r="F518" s="4" t="s">
        <v>25</v>
      </c>
      <c r="G518" s="4" t="s">
        <v>25</v>
      </c>
      <c r="H518" s="4" t="s">
        <v>37</v>
      </c>
      <c r="I518" s="5">
        <v>44409</v>
      </c>
      <c r="J518" s="6">
        <v>845</v>
      </c>
      <c r="K518" s="6">
        <v>845</v>
      </c>
      <c r="L518" s="6">
        <v>20.427</v>
      </c>
      <c r="M518" s="6">
        <v>20.427</v>
      </c>
      <c r="N518" s="6">
        <v>20.427</v>
      </c>
      <c r="O518" s="6">
        <v>20.427</v>
      </c>
      <c r="P518" s="6">
        <v>0</v>
      </c>
      <c r="Q518" s="4" t="s">
        <v>26</v>
      </c>
      <c r="R518" s="4">
        <v>0</v>
      </c>
      <c r="S518" s="4" t="s">
        <v>179</v>
      </c>
      <c r="T518" s="4" t="s">
        <v>454</v>
      </c>
      <c r="U518" s="4">
        <v>28</v>
      </c>
      <c r="V518" s="4">
        <v>30</v>
      </c>
      <c r="W518" s="4">
        <v>66</v>
      </c>
    </row>
    <row r="519" spans="1:23" ht="11.25" customHeight="1" x14ac:dyDescent="0.25">
      <c r="A519" s="4" t="s">
        <v>30</v>
      </c>
      <c r="B519" s="4" t="s">
        <v>35</v>
      </c>
      <c r="C519" s="4" t="s">
        <v>44</v>
      </c>
      <c r="D519" s="4" t="s">
        <v>42</v>
      </c>
      <c r="E519" s="4" t="s">
        <v>25</v>
      </c>
      <c r="F519" s="4" t="s">
        <v>25</v>
      </c>
      <c r="G519" s="4" t="s">
        <v>25</v>
      </c>
      <c r="H519" s="4" t="s">
        <v>37</v>
      </c>
      <c r="I519" s="5">
        <v>44409</v>
      </c>
      <c r="J519" s="6">
        <v>2045</v>
      </c>
      <c r="K519" s="6">
        <v>2045</v>
      </c>
      <c r="L519" s="6">
        <v>103.642</v>
      </c>
      <c r="M519" s="6">
        <v>103.642</v>
      </c>
      <c r="N519" s="6">
        <v>103.642</v>
      </c>
      <c r="O519" s="6">
        <v>103.642</v>
      </c>
      <c r="P519" s="6">
        <v>0</v>
      </c>
      <c r="Q519" s="4" t="s">
        <v>26</v>
      </c>
      <c r="R519" s="4">
        <v>0</v>
      </c>
      <c r="S519" s="4" t="s">
        <v>179</v>
      </c>
      <c r="T519" s="4" t="s">
        <v>454</v>
      </c>
      <c r="U519" s="4">
        <v>28</v>
      </c>
      <c r="V519" s="4">
        <v>30</v>
      </c>
      <c r="W519" s="4">
        <v>66</v>
      </c>
    </row>
    <row r="520" spans="1:23" ht="11.25" customHeight="1" x14ac:dyDescent="0.25">
      <c r="A520" s="4" t="s">
        <v>30</v>
      </c>
      <c r="B520" s="4" t="s">
        <v>35</v>
      </c>
      <c r="C520" s="4" t="s">
        <v>44</v>
      </c>
      <c r="D520" s="4" t="s">
        <v>42</v>
      </c>
      <c r="E520" s="4" t="s">
        <v>25</v>
      </c>
      <c r="F520" s="4" t="s">
        <v>25</v>
      </c>
      <c r="G520" s="4" t="s">
        <v>25</v>
      </c>
      <c r="H520" s="4" t="s">
        <v>37</v>
      </c>
      <c r="I520" s="5">
        <v>44409</v>
      </c>
      <c r="J520" s="6">
        <v>-383</v>
      </c>
      <c r="K520" s="6">
        <v>-383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4" t="s">
        <v>26</v>
      </c>
      <c r="R520" s="4">
        <v>0</v>
      </c>
      <c r="S520" s="4" t="s">
        <v>179</v>
      </c>
      <c r="T520" s="4" t="s">
        <v>454</v>
      </c>
      <c r="U520" s="4">
        <v>28</v>
      </c>
      <c r="V520" s="4">
        <v>0</v>
      </c>
      <c r="W520" s="4">
        <v>0</v>
      </c>
    </row>
    <row r="521" spans="1:23" ht="11.25" customHeight="1" x14ac:dyDescent="0.25">
      <c r="A521" s="4" t="s">
        <v>21</v>
      </c>
      <c r="B521" s="4" t="s">
        <v>35</v>
      </c>
      <c r="C521" s="4" t="s">
        <v>44</v>
      </c>
      <c r="D521" s="4" t="s">
        <v>42</v>
      </c>
      <c r="E521" s="4" t="s">
        <v>25</v>
      </c>
      <c r="F521" s="4" t="s">
        <v>25</v>
      </c>
      <c r="G521" s="4" t="s">
        <v>25</v>
      </c>
      <c r="H521" s="4" t="s">
        <v>37</v>
      </c>
      <c r="I521" s="5">
        <v>44409</v>
      </c>
      <c r="J521" s="6">
        <v>5891</v>
      </c>
      <c r="K521" s="6">
        <v>5891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4" t="s">
        <v>60</v>
      </c>
      <c r="R521" s="4">
        <v>0</v>
      </c>
      <c r="S521" s="4" t="s">
        <v>179</v>
      </c>
      <c r="U521" s="4">
        <v>28</v>
      </c>
      <c r="V521" s="4">
        <v>0</v>
      </c>
      <c r="W521" s="4">
        <v>0</v>
      </c>
    </row>
    <row r="522" spans="1:23" ht="11.25" customHeight="1" x14ac:dyDescent="0.25">
      <c r="A522" s="4" t="s">
        <v>21</v>
      </c>
      <c r="B522" s="4" t="s">
        <v>35</v>
      </c>
      <c r="C522" s="4" t="s">
        <v>44</v>
      </c>
      <c r="D522" s="4" t="s">
        <v>42</v>
      </c>
      <c r="E522" s="4" t="s">
        <v>25</v>
      </c>
      <c r="F522" s="4" t="s">
        <v>25</v>
      </c>
      <c r="G522" s="4" t="s">
        <v>25</v>
      </c>
      <c r="H522" s="4" t="s">
        <v>37</v>
      </c>
      <c r="I522" s="5">
        <v>44440</v>
      </c>
      <c r="J522" s="6">
        <v>14900</v>
      </c>
      <c r="K522" s="6">
        <v>14900</v>
      </c>
      <c r="L522" s="6">
        <v>500.42399999999998</v>
      </c>
      <c r="M522" s="6">
        <v>500.42399999999998</v>
      </c>
      <c r="N522" s="6">
        <v>500.42399999999998</v>
      </c>
      <c r="O522" s="6">
        <v>500.42399999999998</v>
      </c>
      <c r="P522" s="6">
        <v>0</v>
      </c>
      <c r="Q522" s="4" t="s">
        <v>26</v>
      </c>
      <c r="R522" s="4">
        <v>0</v>
      </c>
      <c r="S522" s="4" t="s">
        <v>180</v>
      </c>
      <c r="T522" s="4" t="s">
        <v>455</v>
      </c>
      <c r="U522" s="4">
        <v>28</v>
      </c>
      <c r="V522" s="4">
        <v>30</v>
      </c>
      <c r="W522" s="4">
        <v>66</v>
      </c>
    </row>
    <row r="523" spans="1:23" ht="11.25" customHeight="1" x14ac:dyDescent="0.25">
      <c r="A523" s="4" t="s">
        <v>28</v>
      </c>
      <c r="B523" s="4" t="s">
        <v>35</v>
      </c>
      <c r="C523" s="4" t="s">
        <v>44</v>
      </c>
      <c r="D523" s="4" t="s">
        <v>42</v>
      </c>
      <c r="E523" s="4" t="s">
        <v>25</v>
      </c>
      <c r="F523" s="4" t="s">
        <v>25</v>
      </c>
      <c r="G523" s="4" t="s">
        <v>25</v>
      </c>
      <c r="H523" s="4" t="s">
        <v>37</v>
      </c>
      <c r="I523" s="5">
        <v>44440</v>
      </c>
      <c r="J523" s="6">
        <v>845</v>
      </c>
      <c r="K523" s="6">
        <v>845</v>
      </c>
      <c r="L523" s="6">
        <v>20.571999999999999</v>
      </c>
      <c r="M523" s="6">
        <v>20.571999999999999</v>
      </c>
      <c r="N523" s="6">
        <v>20.571999999999999</v>
      </c>
      <c r="O523" s="6">
        <v>20.571999999999999</v>
      </c>
      <c r="P523" s="6">
        <v>0</v>
      </c>
      <c r="Q523" s="4" t="s">
        <v>26</v>
      </c>
      <c r="R523" s="4">
        <v>0</v>
      </c>
      <c r="S523" s="4" t="s">
        <v>180</v>
      </c>
      <c r="T523" s="4" t="s">
        <v>455</v>
      </c>
      <c r="U523" s="4">
        <v>28</v>
      </c>
      <c r="V523" s="4">
        <v>30</v>
      </c>
      <c r="W523" s="4">
        <v>66</v>
      </c>
    </row>
    <row r="524" spans="1:23" ht="11.25" customHeight="1" x14ac:dyDescent="0.25">
      <c r="A524" s="4" t="s">
        <v>30</v>
      </c>
      <c r="B524" s="4" t="s">
        <v>35</v>
      </c>
      <c r="C524" s="4" t="s">
        <v>44</v>
      </c>
      <c r="D524" s="4" t="s">
        <v>42</v>
      </c>
      <c r="E524" s="4" t="s">
        <v>25</v>
      </c>
      <c r="F524" s="4" t="s">
        <v>25</v>
      </c>
      <c r="G524" s="4" t="s">
        <v>25</v>
      </c>
      <c r="H524" s="4" t="s">
        <v>37</v>
      </c>
      <c r="I524" s="5">
        <v>44440</v>
      </c>
      <c r="J524" s="6">
        <v>2150</v>
      </c>
      <c r="K524" s="6">
        <v>2150</v>
      </c>
      <c r="L524" s="6">
        <v>80.619</v>
      </c>
      <c r="M524" s="6">
        <v>80.619</v>
      </c>
      <c r="N524" s="6">
        <v>80.619</v>
      </c>
      <c r="O524" s="6">
        <v>80.619</v>
      </c>
      <c r="P524" s="6">
        <v>0</v>
      </c>
      <c r="Q524" s="4" t="s">
        <v>26</v>
      </c>
      <c r="R524" s="4">
        <v>0</v>
      </c>
      <c r="S524" s="4" t="s">
        <v>180</v>
      </c>
      <c r="T524" s="4" t="s">
        <v>455</v>
      </c>
      <c r="U524" s="4">
        <v>28</v>
      </c>
      <c r="V524" s="4">
        <v>30</v>
      </c>
      <c r="W524" s="4">
        <v>66</v>
      </c>
    </row>
    <row r="525" spans="1:23" ht="11.25" customHeight="1" x14ac:dyDescent="0.25">
      <c r="A525" s="4" t="s">
        <v>21</v>
      </c>
      <c r="B525" s="4" t="s">
        <v>35</v>
      </c>
      <c r="C525" s="4" t="s">
        <v>44</v>
      </c>
      <c r="D525" s="4" t="s">
        <v>42</v>
      </c>
      <c r="E525" s="4" t="s">
        <v>25</v>
      </c>
      <c r="F525" s="4" t="s">
        <v>25</v>
      </c>
      <c r="G525" s="4" t="s">
        <v>25</v>
      </c>
      <c r="H525" s="4" t="s">
        <v>37</v>
      </c>
      <c r="I525" s="5">
        <v>44440</v>
      </c>
      <c r="J525" s="6">
        <v>5871</v>
      </c>
      <c r="K525" s="6">
        <v>5871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4" t="s">
        <v>60</v>
      </c>
      <c r="R525" s="4">
        <v>0</v>
      </c>
      <c r="S525" s="4" t="s">
        <v>180</v>
      </c>
      <c r="U525" s="4">
        <v>28</v>
      </c>
      <c r="V525" s="4">
        <v>0</v>
      </c>
      <c r="W525" s="4">
        <v>0</v>
      </c>
    </row>
    <row r="526" spans="1:23" ht="11.25" customHeight="1" x14ac:dyDescent="0.25">
      <c r="A526" s="4" t="s">
        <v>59</v>
      </c>
      <c r="B526" s="4" t="s">
        <v>35</v>
      </c>
      <c r="C526" s="4" t="s">
        <v>44</v>
      </c>
      <c r="D526" s="4" t="s">
        <v>42</v>
      </c>
      <c r="E526" s="4" t="s">
        <v>25</v>
      </c>
      <c r="F526" s="4" t="s">
        <v>25</v>
      </c>
      <c r="G526" s="4" t="s">
        <v>25</v>
      </c>
      <c r="H526" s="4" t="s">
        <v>37</v>
      </c>
      <c r="I526" s="5">
        <v>44470</v>
      </c>
      <c r="J526" s="6">
        <v>14900</v>
      </c>
      <c r="K526" s="6">
        <v>14900</v>
      </c>
      <c r="L526" s="6">
        <v>500.42399999999998</v>
      </c>
      <c r="M526" s="6">
        <v>500.42399999999998</v>
      </c>
      <c r="N526" s="6">
        <v>500.42399999999998</v>
      </c>
      <c r="O526" s="6">
        <v>500.42399999999998</v>
      </c>
      <c r="P526" s="6">
        <v>0</v>
      </c>
      <c r="Q526" s="4" t="s">
        <v>26</v>
      </c>
      <c r="R526" s="4">
        <v>0</v>
      </c>
      <c r="S526" s="4" t="s">
        <v>181</v>
      </c>
      <c r="T526" s="4" t="s">
        <v>456</v>
      </c>
      <c r="U526" s="4">
        <v>28</v>
      </c>
      <c r="V526" s="4">
        <v>30</v>
      </c>
      <c r="W526" s="4">
        <v>66</v>
      </c>
    </row>
    <row r="527" spans="1:23" ht="11.25" customHeight="1" x14ac:dyDescent="0.25">
      <c r="A527" s="4" t="s">
        <v>59</v>
      </c>
      <c r="B527" s="4" t="s">
        <v>35</v>
      </c>
      <c r="C527" s="4" t="s">
        <v>44</v>
      </c>
      <c r="D527" s="4" t="s">
        <v>42</v>
      </c>
      <c r="E527" s="4" t="s">
        <v>25</v>
      </c>
      <c r="F527" s="4" t="s">
        <v>25</v>
      </c>
      <c r="G527" s="4" t="s">
        <v>25</v>
      </c>
      <c r="H527" s="4" t="s">
        <v>37</v>
      </c>
      <c r="I527" s="5">
        <v>44470</v>
      </c>
      <c r="J527" s="6">
        <v>845</v>
      </c>
      <c r="K527" s="6">
        <v>845</v>
      </c>
      <c r="L527" s="6">
        <v>20.571999999999999</v>
      </c>
      <c r="M527" s="6">
        <v>20.571999999999999</v>
      </c>
      <c r="N527" s="6">
        <v>20.571999999999999</v>
      </c>
      <c r="O527" s="6">
        <v>20.571999999999999</v>
      </c>
      <c r="P527" s="6">
        <v>0</v>
      </c>
      <c r="Q527" s="4" t="s">
        <v>26</v>
      </c>
      <c r="R527" s="4">
        <v>0</v>
      </c>
      <c r="S527" s="4" t="s">
        <v>181</v>
      </c>
      <c r="T527" s="4" t="s">
        <v>456</v>
      </c>
      <c r="U527" s="4">
        <v>28</v>
      </c>
      <c r="V527" s="4">
        <v>30</v>
      </c>
      <c r="W527" s="4">
        <v>66</v>
      </c>
    </row>
    <row r="528" spans="1:23" ht="11.25" customHeight="1" x14ac:dyDescent="0.25">
      <c r="A528" s="4" t="s">
        <v>59</v>
      </c>
      <c r="B528" s="4" t="s">
        <v>35</v>
      </c>
      <c r="C528" s="4" t="s">
        <v>44</v>
      </c>
      <c r="D528" s="4" t="s">
        <v>42</v>
      </c>
      <c r="E528" s="4" t="s">
        <v>25</v>
      </c>
      <c r="F528" s="4" t="s">
        <v>25</v>
      </c>
      <c r="G528" s="4" t="s">
        <v>25</v>
      </c>
      <c r="H528" s="4" t="s">
        <v>37</v>
      </c>
      <c r="I528" s="5">
        <v>44470</v>
      </c>
      <c r="J528" s="6">
        <v>2150</v>
      </c>
      <c r="K528" s="6">
        <v>2150</v>
      </c>
      <c r="L528" s="6">
        <v>80.619</v>
      </c>
      <c r="M528" s="6">
        <v>80.619</v>
      </c>
      <c r="N528" s="6">
        <v>80.619</v>
      </c>
      <c r="O528" s="6">
        <v>80.619</v>
      </c>
      <c r="P528" s="6">
        <v>0</v>
      </c>
      <c r="Q528" s="4" t="s">
        <v>26</v>
      </c>
      <c r="R528" s="4">
        <v>0</v>
      </c>
      <c r="S528" s="4" t="s">
        <v>181</v>
      </c>
      <c r="T528" s="4" t="s">
        <v>456</v>
      </c>
      <c r="U528" s="4">
        <v>28</v>
      </c>
      <c r="V528" s="4">
        <v>30</v>
      </c>
      <c r="W528" s="4">
        <v>66</v>
      </c>
    </row>
    <row r="529" spans="1:23" ht="11.25" customHeight="1" x14ac:dyDescent="0.25">
      <c r="A529" s="4" t="s">
        <v>59</v>
      </c>
      <c r="B529" s="4" t="s">
        <v>35</v>
      </c>
      <c r="C529" s="4" t="s">
        <v>44</v>
      </c>
      <c r="D529" s="4" t="s">
        <v>42</v>
      </c>
      <c r="E529" s="4" t="s">
        <v>25</v>
      </c>
      <c r="F529" s="4" t="s">
        <v>25</v>
      </c>
      <c r="G529" s="4" t="s">
        <v>25</v>
      </c>
      <c r="H529" s="4" t="s">
        <v>37</v>
      </c>
      <c r="I529" s="5">
        <v>44470</v>
      </c>
      <c r="J529" s="6">
        <v>5871</v>
      </c>
      <c r="K529" s="6">
        <v>5871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4" t="s">
        <v>60</v>
      </c>
      <c r="R529" s="4">
        <v>0</v>
      </c>
      <c r="S529" s="4" t="s">
        <v>181</v>
      </c>
      <c r="U529" s="4">
        <v>28</v>
      </c>
      <c r="V529" s="4">
        <v>0</v>
      </c>
      <c r="W529" s="4">
        <v>0</v>
      </c>
    </row>
    <row r="530" spans="1:23" ht="11.25" customHeight="1" x14ac:dyDescent="0.25">
      <c r="A530" s="4" t="s">
        <v>21</v>
      </c>
      <c r="B530" s="4" t="s">
        <v>35</v>
      </c>
      <c r="C530" s="4" t="s">
        <v>44</v>
      </c>
      <c r="D530" s="4" t="s">
        <v>48</v>
      </c>
      <c r="E530" s="4" t="s">
        <v>25</v>
      </c>
      <c r="F530" s="4" t="s">
        <v>25</v>
      </c>
      <c r="G530" s="4" t="s">
        <v>25</v>
      </c>
      <c r="H530" s="4" t="s">
        <v>38</v>
      </c>
      <c r="I530" s="5">
        <v>44136</v>
      </c>
      <c r="J530" s="6">
        <v>21353</v>
      </c>
      <c r="K530" s="6">
        <v>21353</v>
      </c>
      <c r="L530" s="6">
        <v>5635.8059999999996</v>
      </c>
      <c r="M530" s="6">
        <v>5635.8059999999996</v>
      </c>
      <c r="N530" s="6">
        <v>5635.8059999999996</v>
      </c>
      <c r="O530" s="6">
        <v>5635.8059999999996</v>
      </c>
      <c r="P530" s="6">
        <v>0</v>
      </c>
      <c r="Q530" s="4" t="s">
        <v>26</v>
      </c>
      <c r="R530" s="4">
        <v>0</v>
      </c>
      <c r="S530" s="4" t="s">
        <v>152</v>
      </c>
      <c r="T530" s="4" t="s">
        <v>433</v>
      </c>
      <c r="U530" s="4">
        <v>29</v>
      </c>
      <c r="V530" s="4">
        <v>30</v>
      </c>
      <c r="W530" s="4">
        <v>67</v>
      </c>
    </row>
    <row r="531" spans="1:23" ht="11.25" customHeight="1" x14ac:dyDescent="0.25">
      <c r="A531" s="4" t="s">
        <v>27</v>
      </c>
      <c r="B531" s="4" t="s">
        <v>35</v>
      </c>
      <c r="C531" s="4" t="s">
        <v>44</v>
      </c>
      <c r="D531" s="4" t="s">
        <v>48</v>
      </c>
      <c r="E531" s="4" t="s">
        <v>25</v>
      </c>
      <c r="F531" s="4" t="s">
        <v>25</v>
      </c>
      <c r="G531" s="4" t="s">
        <v>25</v>
      </c>
      <c r="H531" s="4" t="s">
        <v>38</v>
      </c>
      <c r="I531" s="5">
        <v>44136</v>
      </c>
      <c r="J531" s="6">
        <v>26</v>
      </c>
      <c r="K531" s="6">
        <v>26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4" t="s">
        <v>26</v>
      </c>
      <c r="R531" s="4">
        <v>0</v>
      </c>
      <c r="S531" s="4" t="s">
        <v>152</v>
      </c>
      <c r="T531" s="4" t="s">
        <v>433</v>
      </c>
      <c r="U531" s="4">
        <v>29</v>
      </c>
      <c r="V531" s="4">
        <v>0</v>
      </c>
      <c r="W531" s="4">
        <v>0</v>
      </c>
    </row>
    <row r="532" spans="1:23" ht="11.25" customHeight="1" x14ac:dyDescent="0.25">
      <c r="A532" s="4" t="s">
        <v>28</v>
      </c>
      <c r="B532" s="4" t="s">
        <v>35</v>
      </c>
      <c r="C532" s="4" t="s">
        <v>44</v>
      </c>
      <c r="D532" s="4" t="s">
        <v>48</v>
      </c>
      <c r="E532" s="4" t="s">
        <v>25</v>
      </c>
      <c r="F532" s="4" t="s">
        <v>25</v>
      </c>
      <c r="G532" s="4" t="s">
        <v>25</v>
      </c>
      <c r="H532" s="4" t="s">
        <v>38</v>
      </c>
      <c r="I532" s="5">
        <v>44136</v>
      </c>
      <c r="J532" s="6">
        <v>6145</v>
      </c>
      <c r="K532" s="6">
        <v>6145</v>
      </c>
      <c r="L532" s="6">
        <v>1475.3420000000001</v>
      </c>
      <c r="M532" s="6">
        <v>1475.3420000000001</v>
      </c>
      <c r="N532" s="6">
        <v>1475.3420000000001</v>
      </c>
      <c r="O532" s="6">
        <v>1475.3420000000001</v>
      </c>
      <c r="P532" s="6">
        <v>0</v>
      </c>
      <c r="Q532" s="4" t="s">
        <v>26</v>
      </c>
      <c r="R532" s="4">
        <v>0</v>
      </c>
      <c r="S532" s="4" t="s">
        <v>152</v>
      </c>
      <c r="T532" s="4" t="s">
        <v>433</v>
      </c>
      <c r="U532" s="4">
        <v>29</v>
      </c>
      <c r="V532" s="4">
        <v>30</v>
      </c>
      <c r="W532" s="4">
        <v>67</v>
      </c>
    </row>
    <row r="533" spans="1:23" ht="11.25" customHeight="1" x14ac:dyDescent="0.25">
      <c r="A533" s="4" t="s">
        <v>21</v>
      </c>
      <c r="B533" s="4" t="s">
        <v>35</v>
      </c>
      <c r="C533" s="4" t="s">
        <v>44</v>
      </c>
      <c r="D533" s="4" t="s">
        <v>48</v>
      </c>
      <c r="E533" s="4" t="s">
        <v>25</v>
      </c>
      <c r="F533" s="4" t="s">
        <v>25</v>
      </c>
      <c r="G533" s="4" t="s">
        <v>25</v>
      </c>
      <c r="H533" s="4" t="s">
        <v>38</v>
      </c>
      <c r="I533" s="5">
        <v>44166</v>
      </c>
      <c r="J533" s="6">
        <v>21189</v>
      </c>
      <c r="K533" s="6">
        <v>21189</v>
      </c>
      <c r="L533" s="6">
        <v>5468.9459999999999</v>
      </c>
      <c r="M533" s="6">
        <v>5468.9459999999999</v>
      </c>
      <c r="N533" s="6">
        <v>5468.9459999999999</v>
      </c>
      <c r="O533" s="6">
        <v>5468.9459999999999</v>
      </c>
      <c r="P533" s="6">
        <v>0</v>
      </c>
      <c r="Q533" s="4" t="s">
        <v>26</v>
      </c>
      <c r="R533" s="4">
        <v>0</v>
      </c>
      <c r="S533" s="4" t="s">
        <v>153</v>
      </c>
      <c r="T533" s="4" t="s">
        <v>434</v>
      </c>
      <c r="U533" s="4">
        <v>29</v>
      </c>
      <c r="V533" s="4">
        <v>30</v>
      </c>
      <c r="W533" s="4">
        <v>67</v>
      </c>
    </row>
    <row r="534" spans="1:23" ht="11.25" customHeight="1" x14ac:dyDescent="0.25">
      <c r="A534" s="4" t="s">
        <v>28</v>
      </c>
      <c r="B534" s="4" t="s">
        <v>35</v>
      </c>
      <c r="C534" s="4" t="s">
        <v>44</v>
      </c>
      <c r="D534" s="4" t="s">
        <v>48</v>
      </c>
      <c r="E534" s="4" t="s">
        <v>25</v>
      </c>
      <c r="F534" s="4" t="s">
        <v>25</v>
      </c>
      <c r="G534" s="4" t="s">
        <v>25</v>
      </c>
      <c r="H534" s="4" t="s">
        <v>38</v>
      </c>
      <c r="I534" s="5">
        <v>44166</v>
      </c>
      <c r="J534" s="6">
        <v>6330</v>
      </c>
      <c r="K534" s="6">
        <v>6330</v>
      </c>
      <c r="L534" s="6">
        <v>1433.1410000000001</v>
      </c>
      <c r="M534" s="6">
        <v>1433.1410000000001</v>
      </c>
      <c r="N534" s="6">
        <v>1433.1410000000001</v>
      </c>
      <c r="O534" s="6">
        <v>1433.1410000000001</v>
      </c>
      <c r="P534" s="6">
        <v>0</v>
      </c>
      <c r="Q534" s="4" t="s">
        <v>26</v>
      </c>
      <c r="R534" s="4">
        <v>0</v>
      </c>
      <c r="S534" s="4" t="s">
        <v>153</v>
      </c>
      <c r="T534" s="4" t="s">
        <v>434</v>
      </c>
      <c r="U534" s="4">
        <v>29</v>
      </c>
      <c r="V534" s="4">
        <v>30</v>
      </c>
      <c r="W534" s="4">
        <v>67</v>
      </c>
    </row>
    <row r="535" spans="1:23" ht="11.25" customHeight="1" x14ac:dyDescent="0.25">
      <c r="A535" s="4" t="s">
        <v>21</v>
      </c>
      <c r="B535" s="4" t="s">
        <v>35</v>
      </c>
      <c r="C535" s="4" t="s">
        <v>44</v>
      </c>
      <c r="D535" s="4" t="s">
        <v>48</v>
      </c>
      <c r="E535" s="4" t="s">
        <v>25</v>
      </c>
      <c r="F535" s="4" t="s">
        <v>25</v>
      </c>
      <c r="G535" s="4" t="s">
        <v>25</v>
      </c>
      <c r="H535" s="4" t="s">
        <v>38</v>
      </c>
      <c r="I535" s="5">
        <v>44197</v>
      </c>
      <c r="J535" s="6">
        <v>21194</v>
      </c>
      <c r="K535" s="6">
        <v>21194</v>
      </c>
      <c r="L535" s="6">
        <v>5112.22</v>
      </c>
      <c r="M535" s="6">
        <v>5112.22</v>
      </c>
      <c r="N535" s="6">
        <v>5112.22</v>
      </c>
      <c r="O535" s="6">
        <v>5112.22</v>
      </c>
      <c r="P535" s="6">
        <v>0</v>
      </c>
      <c r="Q535" s="4" t="s">
        <v>26</v>
      </c>
      <c r="R535" s="4">
        <v>0</v>
      </c>
      <c r="S535" s="4" t="s">
        <v>154</v>
      </c>
      <c r="T535" s="4" t="s">
        <v>435</v>
      </c>
      <c r="U535" s="4">
        <v>29</v>
      </c>
      <c r="V535" s="4">
        <v>30</v>
      </c>
      <c r="W535" s="4">
        <v>67</v>
      </c>
    </row>
    <row r="536" spans="1:23" ht="11.25" customHeight="1" x14ac:dyDescent="0.25">
      <c r="A536" s="4" t="s">
        <v>28</v>
      </c>
      <c r="B536" s="4" t="s">
        <v>35</v>
      </c>
      <c r="C536" s="4" t="s">
        <v>44</v>
      </c>
      <c r="D536" s="4" t="s">
        <v>48</v>
      </c>
      <c r="E536" s="4" t="s">
        <v>25</v>
      </c>
      <c r="F536" s="4" t="s">
        <v>25</v>
      </c>
      <c r="G536" s="4" t="s">
        <v>25</v>
      </c>
      <c r="H536" s="4" t="s">
        <v>38</v>
      </c>
      <c r="I536" s="5">
        <v>44197</v>
      </c>
      <c r="J536" s="6">
        <v>6098</v>
      </c>
      <c r="K536" s="6">
        <v>6098</v>
      </c>
      <c r="L536" s="6">
        <v>1402.4</v>
      </c>
      <c r="M536" s="6">
        <v>1402.4</v>
      </c>
      <c r="N536" s="6">
        <v>1402.4</v>
      </c>
      <c r="O536" s="6">
        <v>1402.4</v>
      </c>
      <c r="P536" s="6">
        <v>0</v>
      </c>
      <c r="Q536" s="4" t="s">
        <v>26</v>
      </c>
      <c r="R536" s="4">
        <v>0</v>
      </c>
      <c r="S536" s="4" t="s">
        <v>154</v>
      </c>
      <c r="T536" s="4" t="s">
        <v>435</v>
      </c>
      <c r="U536" s="4">
        <v>29</v>
      </c>
      <c r="V536" s="4">
        <v>30</v>
      </c>
      <c r="W536" s="4">
        <v>67</v>
      </c>
    </row>
    <row r="537" spans="1:23" ht="11.25" customHeight="1" x14ac:dyDescent="0.25">
      <c r="A537" s="4" t="s">
        <v>21</v>
      </c>
      <c r="B537" s="4" t="s">
        <v>35</v>
      </c>
      <c r="C537" s="4" t="s">
        <v>44</v>
      </c>
      <c r="D537" s="4" t="s">
        <v>48</v>
      </c>
      <c r="E537" s="4" t="s">
        <v>25</v>
      </c>
      <c r="F537" s="4" t="s">
        <v>25</v>
      </c>
      <c r="G537" s="4" t="s">
        <v>25</v>
      </c>
      <c r="H537" s="4" t="s">
        <v>38</v>
      </c>
      <c r="I537" s="5">
        <v>44228</v>
      </c>
      <c r="J537" s="6">
        <v>21048</v>
      </c>
      <c r="K537" s="6">
        <v>21048</v>
      </c>
      <c r="L537" s="6">
        <v>4835.0370000000003</v>
      </c>
      <c r="M537" s="6">
        <v>4835.0370000000003</v>
      </c>
      <c r="N537" s="6">
        <v>4835.0370000000003</v>
      </c>
      <c r="O537" s="6">
        <v>4835.0370000000003</v>
      </c>
      <c r="P537" s="6">
        <v>0</v>
      </c>
      <c r="Q537" s="4" t="s">
        <v>26</v>
      </c>
      <c r="R537" s="4">
        <v>0</v>
      </c>
      <c r="S537" s="4" t="s">
        <v>155</v>
      </c>
      <c r="T537" s="4" t="s">
        <v>436</v>
      </c>
      <c r="U537" s="4">
        <v>29</v>
      </c>
      <c r="V537" s="4">
        <v>30</v>
      </c>
      <c r="W537" s="4">
        <v>67</v>
      </c>
    </row>
    <row r="538" spans="1:23" ht="11.25" customHeight="1" x14ac:dyDescent="0.25">
      <c r="A538" s="4" t="s">
        <v>27</v>
      </c>
      <c r="B538" s="4" t="s">
        <v>35</v>
      </c>
      <c r="C538" s="4" t="s">
        <v>44</v>
      </c>
      <c r="D538" s="4" t="s">
        <v>48</v>
      </c>
      <c r="E538" s="4" t="s">
        <v>25</v>
      </c>
      <c r="F538" s="4" t="s">
        <v>25</v>
      </c>
      <c r="G538" s="4" t="s">
        <v>25</v>
      </c>
      <c r="H538" s="4" t="s">
        <v>38</v>
      </c>
      <c r="I538" s="5">
        <v>44228</v>
      </c>
      <c r="J538" s="6">
        <v>-75</v>
      </c>
      <c r="K538" s="6">
        <v>-75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4" t="s">
        <v>26</v>
      </c>
      <c r="R538" s="4">
        <v>0</v>
      </c>
      <c r="S538" s="4" t="s">
        <v>155</v>
      </c>
      <c r="T538" s="4" t="s">
        <v>436</v>
      </c>
      <c r="U538" s="4">
        <v>29</v>
      </c>
      <c r="V538" s="4">
        <v>0</v>
      </c>
      <c r="W538" s="4">
        <v>0</v>
      </c>
    </row>
    <row r="539" spans="1:23" ht="11.25" customHeight="1" x14ac:dyDescent="0.25">
      <c r="A539" s="4" t="s">
        <v>28</v>
      </c>
      <c r="B539" s="4" t="s">
        <v>35</v>
      </c>
      <c r="C539" s="4" t="s">
        <v>44</v>
      </c>
      <c r="D539" s="4" t="s">
        <v>48</v>
      </c>
      <c r="E539" s="4" t="s">
        <v>25</v>
      </c>
      <c r="F539" s="4" t="s">
        <v>25</v>
      </c>
      <c r="G539" s="4" t="s">
        <v>25</v>
      </c>
      <c r="H539" s="4" t="s">
        <v>38</v>
      </c>
      <c r="I539" s="5">
        <v>44228</v>
      </c>
      <c r="J539" s="6">
        <v>6565</v>
      </c>
      <c r="K539" s="6">
        <v>6565</v>
      </c>
      <c r="L539" s="6">
        <v>1459.3009999999999</v>
      </c>
      <c r="M539" s="6">
        <v>1459.3009999999999</v>
      </c>
      <c r="N539" s="6">
        <v>1459.3009999999999</v>
      </c>
      <c r="O539" s="6">
        <v>1459.3009999999999</v>
      </c>
      <c r="P539" s="6">
        <v>0</v>
      </c>
      <c r="Q539" s="4" t="s">
        <v>26</v>
      </c>
      <c r="R539" s="4">
        <v>0</v>
      </c>
      <c r="S539" s="4" t="s">
        <v>155</v>
      </c>
      <c r="T539" s="4" t="s">
        <v>436</v>
      </c>
      <c r="U539" s="4">
        <v>29</v>
      </c>
      <c r="V539" s="4">
        <v>30</v>
      </c>
      <c r="W539" s="4">
        <v>67</v>
      </c>
    </row>
    <row r="540" spans="1:23" ht="11.25" customHeight="1" x14ac:dyDescent="0.25">
      <c r="A540" s="4" t="s">
        <v>29</v>
      </c>
      <c r="B540" s="4" t="s">
        <v>35</v>
      </c>
      <c r="C540" s="4" t="s">
        <v>44</v>
      </c>
      <c r="D540" s="4" t="s">
        <v>48</v>
      </c>
      <c r="E540" s="4" t="s">
        <v>25</v>
      </c>
      <c r="F540" s="4" t="s">
        <v>25</v>
      </c>
      <c r="G540" s="4" t="s">
        <v>25</v>
      </c>
      <c r="H540" s="4" t="s">
        <v>38</v>
      </c>
      <c r="I540" s="5">
        <v>44228</v>
      </c>
      <c r="J540" s="6">
        <v>-230</v>
      </c>
      <c r="K540" s="6">
        <v>-230</v>
      </c>
      <c r="L540" s="6">
        <v>20.065000000000001</v>
      </c>
      <c r="M540" s="6">
        <v>20.065000000000001</v>
      </c>
      <c r="N540" s="6">
        <v>20.065000000000001</v>
      </c>
      <c r="O540" s="6">
        <v>20.065000000000001</v>
      </c>
      <c r="P540" s="6">
        <v>0</v>
      </c>
      <c r="Q540" s="4" t="s">
        <v>26</v>
      </c>
      <c r="R540" s="4">
        <v>0</v>
      </c>
      <c r="S540" s="4" t="s">
        <v>155</v>
      </c>
      <c r="T540" s="4" t="s">
        <v>436</v>
      </c>
      <c r="U540" s="4">
        <v>29</v>
      </c>
      <c r="V540" s="4">
        <v>30</v>
      </c>
      <c r="W540" s="4">
        <v>67</v>
      </c>
    </row>
    <row r="541" spans="1:23" ht="11.25" customHeight="1" x14ac:dyDescent="0.25">
      <c r="A541" s="4" t="s">
        <v>21</v>
      </c>
      <c r="B541" s="4" t="s">
        <v>35</v>
      </c>
      <c r="C541" s="4" t="s">
        <v>44</v>
      </c>
      <c r="D541" s="4" t="s">
        <v>48</v>
      </c>
      <c r="E541" s="4" t="s">
        <v>25</v>
      </c>
      <c r="F541" s="4" t="s">
        <v>25</v>
      </c>
      <c r="G541" s="4" t="s">
        <v>25</v>
      </c>
      <c r="H541" s="4" t="s">
        <v>38</v>
      </c>
      <c r="I541" s="5">
        <v>44256</v>
      </c>
      <c r="J541" s="6">
        <v>22070</v>
      </c>
      <c r="K541" s="6">
        <v>22070</v>
      </c>
      <c r="L541" s="6">
        <v>5257.424</v>
      </c>
      <c r="M541" s="6">
        <v>5257.424</v>
      </c>
      <c r="N541" s="6">
        <v>5257.424</v>
      </c>
      <c r="O541" s="6">
        <v>5257.424</v>
      </c>
      <c r="P541" s="6">
        <v>0</v>
      </c>
      <c r="Q541" s="4" t="s">
        <v>26</v>
      </c>
      <c r="R541" s="4">
        <v>0</v>
      </c>
      <c r="S541" s="4" t="s">
        <v>156</v>
      </c>
      <c r="T541" s="4" t="s">
        <v>437</v>
      </c>
      <c r="U541" s="4">
        <v>29</v>
      </c>
      <c r="V541" s="4">
        <v>30</v>
      </c>
      <c r="W541" s="4">
        <v>67</v>
      </c>
    </row>
    <row r="542" spans="1:23" ht="11.25" customHeight="1" x14ac:dyDescent="0.25">
      <c r="A542" s="4" t="s">
        <v>28</v>
      </c>
      <c r="B542" s="4" t="s">
        <v>35</v>
      </c>
      <c r="C542" s="4" t="s">
        <v>44</v>
      </c>
      <c r="D542" s="4" t="s">
        <v>48</v>
      </c>
      <c r="E542" s="4" t="s">
        <v>25</v>
      </c>
      <c r="F542" s="4" t="s">
        <v>25</v>
      </c>
      <c r="G542" s="4" t="s">
        <v>25</v>
      </c>
      <c r="H542" s="4" t="s">
        <v>38</v>
      </c>
      <c r="I542" s="5">
        <v>44256</v>
      </c>
      <c r="J542" s="6">
        <v>5799</v>
      </c>
      <c r="K542" s="6">
        <v>5799</v>
      </c>
      <c r="L542" s="6">
        <v>1592.9639999999999</v>
      </c>
      <c r="M542" s="6">
        <v>1592.9639999999999</v>
      </c>
      <c r="N542" s="6">
        <v>1592.9639999999999</v>
      </c>
      <c r="O542" s="6">
        <v>1592.9639999999999</v>
      </c>
      <c r="P542" s="6">
        <v>0</v>
      </c>
      <c r="Q542" s="4" t="s">
        <v>26</v>
      </c>
      <c r="R542" s="4">
        <v>0</v>
      </c>
      <c r="S542" s="4" t="s">
        <v>156</v>
      </c>
      <c r="T542" s="4" t="s">
        <v>437</v>
      </c>
      <c r="U542" s="4">
        <v>29</v>
      </c>
      <c r="V542" s="4">
        <v>30</v>
      </c>
      <c r="W542" s="4">
        <v>67</v>
      </c>
    </row>
    <row r="543" spans="1:23" ht="11.25" customHeight="1" x14ac:dyDescent="0.25">
      <c r="A543" s="4" t="s">
        <v>29</v>
      </c>
      <c r="B543" s="4" t="s">
        <v>35</v>
      </c>
      <c r="C543" s="4" t="s">
        <v>44</v>
      </c>
      <c r="D543" s="4" t="s">
        <v>48</v>
      </c>
      <c r="E543" s="4" t="s">
        <v>25</v>
      </c>
      <c r="F543" s="4" t="s">
        <v>25</v>
      </c>
      <c r="G543" s="4" t="s">
        <v>25</v>
      </c>
      <c r="H543" s="4" t="s">
        <v>38</v>
      </c>
      <c r="I543" s="5">
        <v>44256</v>
      </c>
      <c r="J543" s="6">
        <v>275</v>
      </c>
      <c r="K543" s="6">
        <v>275</v>
      </c>
      <c r="L543" s="6">
        <v>15.859</v>
      </c>
      <c r="M543" s="6">
        <v>15.859</v>
      </c>
      <c r="N543" s="6">
        <v>15.859</v>
      </c>
      <c r="O543" s="6">
        <v>15.859</v>
      </c>
      <c r="P543" s="6">
        <v>0</v>
      </c>
      <c r="Q543" s="4" t="s">
        <v>26</v>
      </c>
      <c r="R543" s="4">
        <v>0</v>
      </c>
      <c r="S543" s="4" t="s">
        <v>156</v>
      </c>
      <c r="T543" s="4" t="s">
        <v>437</v>
      </c>
      <c r="U543" s="4">
        <v>29</v>
      </c>
      <c r="V543" s="4">
        <v>30</v>
      </c>
      <c r="W543" s="4">
        <v>67</v>
      </c>
    </row>
    <row r="544" spans="1:23" ht="11.25" customHeight="1" x14ac:dyDescent="0.25">
      <c r="A544" s="4" t="s">
        <v>21</v>
      </c>
      <c r="B544" s="4" t="s">
        <v>35</v>
      </c>
      <c r="C544" s="4" t="s">
        <v>44</v>
      </c>
      <c r="D544" s="4" t="s">
        <v>48</v>
      </c>
      <c r="E544" s="4" t="s">
        <v>25</v>
      </c>
      <c r="F544" s="4" t="s">
        <v>25</v>
      </c>
      <c r="G544" s="4" t="s">
        <v>25</v>
      </c>
      <c r="H544" s="4" t="s">
        <v>38</v>
      </c>
      <c r="I544" s="5">
        <v>44287</v>
      </c>
      <c r="J544" s="6">
        <v>21384</v>
      </c>
      <c r="K544" s="6">
        <v>21384</v>
      </c>
      <c r="L544" s="6">
        <v>5382.0370000000003</v>
      </c>
      <c r="M544" s="6">
        <v>5382.0370000000003</v>
      </c>
      <c r="N544" s="6">
        <v>5382.0370000000003</v>
      </c>
      <c r="O544" s="6">
        <v>5382.0370000000003</v>
      </c>
      <c r="P544" s="6">
        <v>0</v>
      </c>
      <c r="Q544" s="4" t="s">
        <v>26</v>
      </c>
      <c r="R544" s="4">
        <v>0</v>
      </c>
      <c r="S544" s="4" t="s">
        <v>157</v>
      </c>
      <c r="T544" s="4" t="s">
        <v>438</v>
      </c>
      <c r="U544" s="4">
        <v>29</v>
      </c>
      <c r="V544" s="4">
        <v>30</v>
      </c>
      <c r="W544" s="4">
        <v>67</v>
      </c>
    </row>
    <row r="545" spans="1:23" ht="11.25" customHeight="1" x14ac:dyDescent="0.25">
      <c r="A545" s="4" t="s">
        <v>27</v>
      </c>
      <c r="B545" s="4" t="s">
        <v>35</v>
      </c>
      <c r="C545" s="4" t="s">
        <v>44</v>
      </c>
      <c r="D545" s="4" t="s">
        <v>48</v>
      </c>
      <c r="E545" s="4" t="s">
        <v>25</v>
      </c>
      <c r="F545" s="4" t="s">
        <v>25</v>
      </c>
      <c r="G545" s="4" t="s">
        <v>25</v>
      </c>
      <c r="H545" s="4" t="s">
        <v>38</v>
      </c>
      <c r="I545" s="5">
        <v>44287</v>
      </c>
      <c r="J545" s="6">
        <v>-840</v>
      </c>
      <c r="K545" s="6">
        <v>-840</v>
      </c>
      <c r="L545" s="6">
        <v>-1.484</v>
      </c>
      <c r="M545" s="6">
        <v>-1.484</v>
      </c>
      <c r="N545" s="6">
        <v>-1.484</v>
      </c>
      <c r="O545" s="6">
        <v>-1.484</v>
      </c>
      <c r="P545" s="6">
        <v>0</v>
      </c>
      <c r="Q545" s="4" t="s">
        <v>26</v>
      </c>
      <c r="R545" s="4">
        <v>0</v>
      </c>
      <c r="S545" s="4" t="s">
        <v>157</v>
      </c>
      <c r="T545" s="4" t="s">
        <v>438</v>
      </c>
      <c r="U545" s="4">
        <v>29</v>
      </c>
      <c r="V545" s="4">
        <v>30</v>
      </c>
      <c r="W545" s="4">
        <v>67</v>
      </c>
    </row>
    <row r="546" spans="1:23" ht="11.25" customHeight="1" x14ac:dyDescent="0.25">
      <c r="A546" s="4" t="s">
        <v>28</v>
      </c>
      <c r="B546" s="4" t="s">
        <v>35</v>
      </c>
      <c r="C546" s="4" t="s">
        <v>44</v>
      </c>
      <c r="D546" s="4" t="s">
        <v>48</v>
      </c>
      <c r="E546" s="4" t="s">
        <v>25</v>
      </c>
      <c r="F546" s="4" t="s">
        <v>25</v>
      </c>
      <c r="G546" s="4" t="s">
        <v>25</v>
      </c>
      <c r="H546" s="4" t="s">
        <v>38</v>
      </c>
      <c r="I546" s="5">
        <v>44287</v>
      </c>
      <c r="J546" s="6">
        <v>5691</v>
      </c>
      <c r="K546" s="6">
        <v>5691</v>
      </c>
      <c r="L546" s="6">
        <v>1616.8520000000001</v>
      </c>
      <c r="M546" s="6">
        <v>1616.8520000000001</v>
      </c>
      <c r="N546" s="6">
        <v>1616.8520000000001</v>
      </c>
      <c r="O546" s="6">
        <v>1616.8520000000001</v>
      </c>
      <c r="P546" s="6">
        <v>0</v>
      </c>
      <c r="Q546" s="4" t="s">
        <v>26</v>
      </c>
      <c r="R546" s="4">
        <v>0</v>
      </c>
      <c r="S546" s="4" t="s">
        <v>157</v>
      </c>
      <c r="T546" s="4" t="s">
        <v>438</v>
      </c>
      <c r="U546" s="4">
        <v>29</v>
      </c>
      <c r="V546" s="4">
        <v>30</v>
      </c>
      <c r="W546" s="4">
        <v>67</v>
      </c>
    </row>
    <row r="547" spans="1:23" ht="11.25" customHeight="1" x14ac:dyDescent="0.25">
      <c r="A547" s="4" t="s">
        <v>21</v>
      </c>
      <c r="B547" s="4" t="s">
        <v>35</v>
      </c>
      <c r="C547" s="4" t="s">
        <v>44</v>
      </c>
      <c r="D547" s="4" t="s">
        <v>48</v>
      </c>
      <c r="E547" s="4" t="s">
        <v>25</v>
      </c>
      <c r="F547" s="4" t="s">
        <v>25</v>
      </c>
      <c r="G547" s="4" t="s">
        <v>25</v>
      </c>
      <c r="H547" s="4" t="s">
        <v>38</v>
      </c>
      <c r="I547" s="5">
        <v>44317</v>
      </c>
      <c r="J547" s="6">
        <v>20449</v>
      </c>
      <c r="K547" s="6">
        <v>20449</v>
      </c>
      <c r="L547" s="6">
        <v>5699.848</v>
      </c>
      <c r="M547" s="6">
        <v>5699.848</v>
      </c>
      <c r="N547" s="6">
        <v>5699.848</v>
      </c>
      <c r="O547" s="6">
        <v>5699.848</v>
      </c>
      <c r="P547" s="6">
        <v>0</v>
      </c>
      <c r="Q547" s="4" t="s">
        <v>26</v>
      </c>
      <c r="R547" s="4">
        <v>0</v>
      </c>
      <c r="S547" s="4" t="s">
        <v>158</v>
      </c>
      <c r="T547" s="4" t="s">
        <v>439</v>
      </c>
      <c r="U547" s="4">
        <v>29</v>
      </c>
      <c r="V547" s="4">
        <v>30</v>
      </c>
      <c r="W547" s="4">
        <v>67</v>
      </c>
    </row>
    <row r="548" spans="1:23" ht="11.25" customHeight="1" x14ac:dyDescent="0.25">
      <c r="A548" s="4" t="s">
        <v>27</v>
      </c>
      <c r="B548" s="4" t="s">
        <v>35</v>
      </c>
      <c r="C548" s="4" t="s">
        <v>44</v>
      </c>
      <c r="D548" s="4" t="s">
        <v>48</v>
      </c>
      <c r="E548" s="4" t="s">
        <v>25</v>
      </c>
      <c r="F548" s="4" t="s">
        <v>25</v>
      </c>
      <c r="G548" s="4" t="s">
        <v>25</v>
      </c>
      <c r="H548" s="4" t="s">
        <v>38</v>
      </c>
      <c r="I548" s="5">
        <v>44317</v>
      </c>
      <c r="J548" s="6">
        <v>-2889</v>
      </c>
      <c r="K548" s="6">
        <v>-2889</v>
      </c>
      <c r="L548" s="6">
        <v>-161.61699999999999</v>
      </c>
      <c r="M548" s="6">
        <v>-161.61699999999999</v>
      </c>
      <c r="N548" s="6">
        <v>-161.61699999999999</v>
      </c>
      <c r="O548" s="6">
        <v>-161.61699999999999</v>
      </c>
      <c r="P548" s="6">
        <v>0</v>
      </c>
      <c r="Q548" s="4" t="s">
        <v>26</v>
      </c>
      <c r="R548" s="4">
        <v>0</v>
      </c>
      <c r="S548" s="4" t="s">
        <v>158</v>
      </c>
      <c r="T548" s="4" t="s">
        <v>439</v>
      </c>
      <c r="U548" s="4">
        <v>29</v>
      </c>
      <c r="V548" s="4">
        <v>30</v>
      </c>
      <c r="W548" s="4">
        <v>67</v>
      </c>
    </row>
    <row r="549" spans="1:23" ht="11.25" customHeight="1" x14ac:dyDescent="0.25">
      <c r="A549" s="4" t="s">
        <v>28</v>
      </c>
      <c r="B549" s="4" t="s">
        <v>35</v>
      </c>
      <c r="C549" s="4" t="s">
        <v>44</v>
      </c>
      <c r="D549" s="4" t="s">
        <v>48</v>
      </c>
      <c r="E549" s="4" t="s">
        <v>25</v>
      </c>
      <c r="F549" s="4" t="s">
        <v>25</v>
      </c>
      <c r="G549" s="4" t="s">
        <v>25</v>
      </c>
      <c r="H549" s="4" t="s">
        <v>38</v>
      </c>
      <c r="I549" s="5">
        <v>44317</v>
      </c>
      <c r="J549" s="6">
        <v>6007</v>
      </c>
      <c r="K549" s="6">
        <v>6007</v>
      </c>
      <c r="L549" s="6">
        <v>1564.819</v>
      </c>
      <c r="M549" s="6">
        <v>1564.819</v>
      </c>
      <c r="N549" s="6">
        <v>1564.819</v>
      </c>
      <c r="O549" s="6">
        <v>1564.819</v>
      </c>
      <c r="P549" s="6">
        <v>0</v>
      </c>
      <c r="Q549" s="4" t="s">
        <v>26</v>
      </c>
      <c r="R549" s="4">
        <v>0</v>
      </c>
      <c r="S549" s="4" t="s">
        <v>158</v>
      </c>
      <c r="T549" s="4" t="s">
        <v>439</v>
      </c>
      <c r="U549" s="4">
        <v>29</v>
      </c>
      <c r="V549" s="4">
        <v>30</v>
      </c>
      <c r="W549" s="4">
        <v>67</v>
      </c>
    </row>
    <row r="550" spans="1:23" ht="11.25" customHeight="1" x14ac:dyDescent="0.25">
      <c r="A550" s="4" t="s">
        <v>29</v>
      </c>
      <c r="B550" s="4" t="s">
        <v>35</v>
      </c>
      <c r="C550" s="4" t="s">
        <v>44</v>
      </c>
      <c r="D550" s="4" t="s">
        <v>48</v>
      </c>
      <c r="E550" s="4" t="s">
        <v>25</v>
      </c>
      <c r="F550" s="4" t="s">
        <v>25</v>
      </c>
      <c r="G550" s="4" t="s">
        <v>25</v>
      </c>
      <c r="H550" s="4" t="s">
        <v>38</v>
      </c>
      <c r="I550" s="5">
        <v>44317</v>
      </c>
      <c r="J550" s="6">
        <v>-2537</v>
      </c>
      <c r="K550" s="6">
        <v>-2537</v>
      </c>
      <c r="L550" s="6">
        <v>-98.445999999999998</v>
      </c>
      <c r="M550" s="6">
        <v>-98.445999999999998</v>
      </c>
      <c r="N550" s="6">
        <v>-98.445999999999998</v>
      </c>
      <c r="O550" s="6">
        <v>-98.445999999999998</v>
      </c>
      <c r="P550" s="6">
        <v>0</v>
      </c>
      <c r="Q550" s="4" t="s">
        <v>26</v>
      </c>
      <c r="R550" s="4">
        <v>0</v>
      </c>
      <c r="S550" s="4" t="s">
        <v>158</v>
      </c>
      <c r="T550" s="4" t="s">
        <v>439</v>
      </c>
      <c r="U550" s="4">
        <v>29</v>
      </c>
      <c r="V550" s="4">
        <v>30</v>
      </c>
      <c r="W550" s="4">
        <v>67</v>
      </c>
    </row>
    <row r="551" spans="1:23" ht="11.25" customHeight="1" x14ac:dyDescent="0.25">
      <c r="A551" s="4" t="s">
        <v>21</v>
      </c>
      <c r="B551" s="4" t="s">
        <v>35</v>
      </c>
      <c r="C551" s="4" t="s">
        <v>44</v>
      </c>
      <c r="D551" s="4" t="s">
        <v>48</v>
      </c>
      <c r="E551" s="4" t="s">
        <v>25</v>
      </c>
      <c r="F551" s="4" t="s">
        <v>25</v>
      </c>
      <c r="G551" s="4" t="s">
        <v>25</v>
      </c>
      <c r="H551" s="4" t="s">
        <v>38</v>
      </c>
      <c r="I551" s="5">
        <v>44348</v>
      </c>
      <c r="J551" s="6">
        <v>20397</v>
      </c>
      <c r="K551" s="6">
        <v>20397</v>
      </c>
      <c r="L551" s="6">
        <v>5644.5280000000002</v>
      </c>
      <c r="M551" s="6">
        <v>5644.5280000000002</v>
      </c>
      <c r="N551" s="6">
        <v>5644.5280000000002</v>
      </c>
      <c r="O551" s="6">
        <v>5644.5280000000002</v>
      </c>
      <c r="P551" s="6">
        <v>0</v>
      </c>
      <c r="Q551" s="4" t="s">
        <v>26</v>
      </c>
      <c r="R551" s="4">
        <v>0</v>
      </c>
      <c r="S551" s="4" t="s">
        <v>159</v>
      </c>
      <c r="T551" s="4" t="s">
        <v>440</v>
      </c>
      <c r="U551" s="4">
        <v>29</v>
      </c>
      <c r="V551" s="4">
        <v>30</v>
      </c>
      <c r="W551" s="4">
        <v>67</v>
      </c>
    </row>
    <row r="552" spans="1:23" ht="11.25" customHeight="1" x14ac:dyDescent="0.25">
      <c r="A552" s="4" t="s">
        <v>28</v>
      </c>
      <c r="B552" s="4" t="s">
        <v>35</v>
      </c>
      <c r="C552" s="4" t="s">
        <v>44</v>
      </c>
      <c r="D552" s="4" t="s">
        <v>48</v>
      </c>
      <c r="E552" s="4" t="s">
        <v>25</v>
      </c>
      <c r="F552" s="4" t="s">
        <v>25</v>
      </c>
      <c r="G552" s="4" t="s">
        <v>25</v>
      </c>
      <c r="H552" s="4" t="s">
        <v>38</v>
      </c>
      <c r="I552" s="5">
        <v>44348</v>
      </c>
      <c r="J552" s="6">
        <v>5477</v>
      </c>
      <c r="K552" s="6">
        <v>5477</v>
      </c>
      <c r="L552" s="6">
        <v>1581.47</v>
      </c>
      <c r="M552" s="6">
        <v>1581.47</v>
      </c>
      <c r="N552" s="6">
        <v>1581.47</v>
      </c>
      <c r="O552" s="6">
        <v>1581.47</v>
      </c>
      <c r="P552" s="6">
        <v>0</v>
      </c>
      <c r="Q552" s="4" t="s">
        <v>26</v>
      </c>
      <c r="R552" s="4">
        <v>0</v>
      </c>
      <c r="S552" s="4" t="s">
        <v>159</v>
      </c>
      <c r="T552" s="4" t="s">
        <v>440</v>
      </c>
      <c r="U552" s="4">
        <v>29</v>
      </c>
      <c r="V552" s="4">
        <v>30</v>
      </c>
      <c r="W552" s="4">
        <v>67</v>
      </c>
    </row>
    <row r="553" spans="1:23" ht="11.25" customHeight="1" x14ac:dyDescent="0.25">
      <c r="A553" s="4" t="s">
        <v>21</v>
      </c>
      <c r="B553" s="4" t="s">
        <v>35</v>
      </c>
      <c r="C553" s="4" t="s">
        <v>44</v>
      </c>
      <c r="D553" s="4" t="s">
        <v>48</v>
      </c>
      <c r="E553" s="4" t="s">
        <v>25</v>
      </c>
      <c r="F553" s="4" t="s">
        <v>25</v>
      </c>
      <c r="G553" s="4" t="s">
        <v>25</v>
      </c>
      <c r="H553" s="4" t="s">
        <v>38</v>
      </c>
      <c r="I553" s="5">
        <v>44378</v>
      </c>
      <c r="J553" s="6">
        <v>20327</v>
      </c>
      <c r="K553" s="6">
        <v>20327</v>
      </c>
      <c r="L553" s="6">
        <v>5658.576</v>
      </c>
      <c r="M553" s="6">
        <v>5658.576</v>
      </c>
      <c r="N553" s="6">
        <v>5658.576</v>
      </c>
      <c r="O553" s="6">
        <v>5658.576</v>
      </c>
      <c r="P553" s="6">
        <v>0</v>
      </c>
      <c r="Q553" s="4" t="s">
        <v>26</v>
      </c>
      <c r="R553" s="4">
        <v>0</v>
      </c>
      <c r="S553" s="4" t="s">
        <v>160</v>
      </c>
      <c r="T553" s="4" t="s">
        <v>441</v>
      </c>
      <c r="U553" s="4">
        <v>29</v>
      </c>
      <c r="V553" s="4">
        <v>30</v>
      </c>
      <c r="W553" s="4">
        <v>67</v>
      </c>
    </row>
    <row r="554" spans="1:23" ht="11.25" customHeight="1" x14ac:dyDescent="0.25">
      <c r="A554" s="4" t="s">
        <v>28</v>
      </c>
      <c r="B554" s="4" t="s">
        <v>35</v>
      </c>
      <c r="C554" s="4" t="s">
        <v>44</v>
      </c>
      <c r="D554" s="4" t="s">
        <v>48</v>
      </c>
      <c r="E554" s="4" t="s">
        <v>25</v>
      </c>
      <c r="F554" s="4" t="s">
        <v>25</v>
      </c>
      <c r="G554" s="4" t="s">
        <v>25</v>
      </c>
      <c r="H554" s="4" t="s">
        <v>38</v>
      </c>
      <c r="I554" s="5">
        <v>44378</v>
      </c>
      <c r="J554" s="6">
        <v>5446</v>
      </c>
      <c r="K554" s="6">
        <v>5446</v>
      </c>
      <c r="L554" s="6">
        <v>1550.462</v>
      </c>
      <c r="M554" s="6">
        <v>1550.462</v>
      </c>
      <c r="N554" s="6">
        <v>1550.462</v>
      </c>
      <c r="O554" s="6">
        <v>1550.462</v>
      </c>
      <c r="P554" s="6">
        <v>0</v>
      </c>
      <c r="Q554" s="4" t="s">
        <v>26</v>
      </c>
      <c r="R554" s="4">
        <v>0</v>
      </c>
      <c r="S554" s="4" t="s">
        <v>160</v>
      </c>
      <c r="T554" s="4" t="s">
        <v>441</v>
      </c>
      <c r="U554" s="4">
        <v>29</v>
      </c>
      <c r="V554" s="4">
        <v>30</v>
      </c>
      <c r="W554" s="4">
        <v>67</v>
      </c>
    </row>
    <row r="555" spans="1:23" ht="11.25" customHeight="1" x14ac:dyDescent="0.25">
      <c r="A555" s="4" t="s">
        <v>21</v>
      </c>
      <c r="B555" s="4" t="s">
        <v>35</v>
      </c>
      <c r="C555" s="4" t="s">
        <v>44</v>
      </c>
      <c r="D555" s="4" t="s">
        <v>48</v>
      </c>
      <c r="E555" s="4" t="s">
        <v>25</v>
      </c>
      <c r="F555" s="4" t="s">
        <v>25</v>
      </c>
      <c r="G555" s="4" t="s">
        <v>25</v>
      </c>
      <c r="H555" s="4" t="s">
        <v>38</v>
      </c>
      <c r="I555" s="5">
        <v>44409</v>
      </c>
      <c r="J555" s="6">
        <v>21152</v>
      </c>
      <c r="K555" s="6">
        <v>21152</v>
      </c>
      <c r="L555" s="6">
        <v>6128.2690000000002</v>
      </c>
      <c r="M555" s="6">
        <v>6128.2690000000002</v>
      </c>
      <c r="N555" s="6">
        <v>6128.2690000000002</v>
      </c>
      <c r="O555" s="6">
        <v>6128.2690000000002</v>
      </c>
      <c r="P555" s="6">
        <v>0</v>
      </c>
      <c r="Q555" s="4" t="s">
        <v>26</v>
      </c>
      <c r="R555" s="4">
        <v>0</v>
      </c>
      <c r="S555" s="4" t="s">
        <v>161</v>
      </c>
      <c r="T555" s="4" t="s">
        <v>442</v>
      </c>
      <c r="U555" s="4">
        <v>29</v>
      </c>
      <c r="V555" s="4">
        <v>30</v>
      </c>
      <c r="W555" s="4">
        <v>67</v>
      </c>
    </row>
    <row r="556" spans="1:23" ht="11.25" customHeight="1" x14ac:dyDescent="0.25">
      <c r="A556" s="4" t="s">
        <v>27</v>
      </c>
      <c r="B556" s="4" t="s">
        <v>35</v>
      </c>
      <c r="C556" s="4" t="s">
        <v>44</v>
      </c>
      <c r="D556" s="4" t="s">
        <v>48</v>
      </c>
      <c r="E556" s="4" t="s">
        <v>25</v>
      </c>
      <c r="F556" s="4" t="s">
        <v>25</v>
      </c>
      <c r="G556" s="4" t="s">
        <v>25</v>
      </c>
      <c r="H556" s="4" t="s">
        <v>38</v>
      </c>
      <c r="I556" s="5">
        <v>44409</v>
      </c>
      <c r="J556" s="6">
        <v>-525</v>
      </c>
      <c r="K556" s="6">
        <v>-525</v>
      </c>
      <c r="L556" s="6">
        <v>-127.797</v>
      </c>
      <c r="M556" s="6">
        <v>-127.797</v>
      </c>
      <c r="N556" s="6">
        <v>-127.797</v>
      </c>
      <c r="O556" s="6">
        <v>-127.797</v>
      </c>
      <c r="P556" s="6">
        <v>0</v>
      </c>
      <c r="Q556" s="4" t="s">
        <v>26</v>
      </c>
      <c r="R556" s="4">
        <v>0</v>
      </c>
      <c r="S556" s="4" t="s">
        <v>161</v>
      </c>
      <c r="T556" s="4" t="s">
        <v>442</v>
      </c>
      <c r="U556" s="4">
        <v>29</v>
      </c>
      <c r="V556" s="4">
        <v>30</v>
      </c>
      <c r="W556" s="4">
        <v>67</v>
      </c>
    </row>
    <row r="557" spans="1:23" ht="11.25" customHeight="1" x14ac:dyDescent="0.25">
      <c r="A557" s="4" t="s">
        <v>28</v>
      </c>
      <c r="B557" s="4" t="s">
        <v>35</v>
      </c>
      <c r="C557" s="4" t="s">
        <v>44</v>
      </c>
      <c r="D557" s="4" t="s">
        <v>48</v>
      </c>
      <c r="E557" s="4" t="s">
        <v>25</v>
      </c>
      <c r="F557" s="4" t="s">
        <v>25</v>
      </c>
      <c r="G557" s="4" t="s">
        <v>25</v>
      </c>
      <c r="H557" s="4" t="s">
        <v>38</v>
      </c>
      <c r="I557" s="5">
        <v>44409</v>
      </c>
      <c r="J557" s="6">
        <v>5998</v>
      </c>
      <c r="K557" s="6">
        <v>5998</v>
      </c>
      <c r="L557" s="6">
        <v>1708.4760000000001</v>
      </c>
      <c r="M557" s="6">
        <v>1708.4760000000001</v>
      </c>
      <c r="N557" s="6">
        <v>1708.4760000000001</v>
      </c>
      <c r="O557" s="6">
        <v>1708.4760000000001</v>
      </c>
      <c r="P557" s="6">
        <v>0</v>
      </c>
      <c r="Q557" s="4" t="s">
        <v>26</v>
      </c>
      <c r="R557" s="4">
        <v>0</v>
      </c>
      <c r="S557" s="4" t="s">
        <v>161</v>
      </c>
      <c r="T557" s="4" t="s">
        <v>442</v>
      </c>
      <c r="U557" s="4">
        <v>29</v>
      </c>
      <c r="V557" s="4">
        <v>30</v>
      </c>
      <c r="W557" s="4">
        <v>67</v>
      </c>
    </row>
    <row r="558" spans="1:23" ht="11.25" customHeight="1" x14ac:dyDescent="0.25">
      <c r="A558" s="4" t="s">
        <v>29</v>
      </c>
      <c r="B558" s="4" t="s">
        <v>35</v>
      </c>
      <c r="C558" s="4" t="s">
        <v>44</v>
      </c>
      <c r="D558" s="4" t="s">
        <v>48</v>
      </c>
      <c r="E558" s="4" t="s">
        <v>25</v>
      </c>
      <c r="F558" s="4" t="s">
        <v>25</v>
      </c>
      <c r="G558" s="4" t="s">
        <v>25</v>
      </c>
      <c r="H558" s="4" t="s">
        <v>38</v>
      </c>
      <c r="I558" s="5">
        <v>44409</v>
      </c>
      <c r="J558" s="6">
        <v>-98</v>
      </c>
      <c r="K558" s="6">
        <v>-98</v>
      </c>
      <c r="L558" s="6">
        <v>-30.672999999999998</v>
      </c>
      <c r="M558" s="6">
        <v>-30.672999999999998</v>
      </c>
      <c r="N558" s="6">
        <v>-30.672999999999998</v>
      </c>
      <c r="O558" s="6">
        <v>-30.672999999999998</v>
      </c>
      <c r="P558" s="6">
        <v>0</v>
      </c>
      <c r="Q558" s="4" t="s">
        <v>26</v>
      </c>
      <c r="R558" s="4">
        <v>0</v>
      </c>
      <c r="S558" s="4" t="s">
        <v>161</v>
      </c>
      <c r="T558" s="4" t="s">
        <v>442</v>
      </c>
      <c r="U558" s="4">
        <v>29</v>
      </c>
      <c r="V558" s="4">
        <v>30</v>
      </c>
      <c r="W558" s="4">
        <v>67</v>
      </c>
    </row>
    <row r="559" spans="1:23" ht="11.25" customHeight="1" x14ac:dyDescent="0.25">
      <c r="A559" s="4" t="s">
        <v>30</v>
      </c>
      <c r="B559" s="4" t="s">
        <v>35</v>
      </c>
      <c r="C559" s="4" t="s">
        <v>44</v>
      </c>
      <c r="D559" s="4" t="s">
        <v>48</v>
      </c>
      <c r="E559" s="4" t="s">
        <v>25</v>
      </c>
      <c r="F559" s="4" t="s">
        <v>25</v>
      </c>
      <c r="G559" s="4" t="s">
        <v>25</v>
      </c>
      <c r="H559" s="4" t="s">
        <v>38</v>
      </c>
      <c r="I559" s="5">
        <v>44409</v>
      </c>
      <c r="J559" s="6">
        <v>550</v>
      </c>
      <c r="K559" s="6">
        <v>550</v>
      </c>
      <c r="L559" s="6">
        <v>58.716000000000001</v>
      </c>
      <c r="M559" s="6">
        <v>58.716000000000001</v>
      </c>
      <c r="N559" s="6">
        <v>58.716000000000001</v>
      </c>
      <c r="O559" s="6">
        <v>58.716000000000001</v>
      </c>
      <c r="P559" s="6">
        <v>0</v>
      </c>
      <c r="Q559" s="4" t="s">
        <v>26</v>
      </c>
      <c r="R559" s="4">
        <v>0</v>
      </c>
      <c r="S559" s="4" t="s">
        <v>161</v>
      </c>
      <c r="T559" s="4" t="s">
        <v>442</v>
      </c>
      <c r="U559" s="4">
        <v>29</v>
      </c>
      <c r="V559" s="4">
        <v>30</v>
      </c>
      <c r="W559" s="4">
        <v>67</v>
      </c>
    </row>
    <row r="560" spans="1:23" ht="11.25" customHeight="1" x14ac:dyDescent="0.25">
      <c r="A560" s="4" t="s">
        <v>21</v>
      </c>
      <c r="B560" s="4" t="s">
        <v>35</v>
      </c>
      <c r="C560" s="4" t="s">
        <v>44</v>
      </c>
      <c r="D560" s="4" t="s">
        <v>48</v>
      </c>
      <c r="E560" s="4" t="s">
        <v>25</v>
      </c>
      <c r="F560" s="4" t="s">
        <v>25</v>
      </c>
      <c r="G560" s="4" t="s">
        <v>25</v>
      </c>
      <c r="H560" s="4" t="s">
        <v>38</v>
      </c>
      <c r="I560" s="5">
        <v>44440</v>
      </c>
      <c r="J560" s="6">
        <v>21086</v>
      </c>
      <c r="K560" s="6">
        <v>21086</v>
      </c>
      <c r="L560" s="6">
        <v>5905.5249999999996</v>
      </c>
      <c r="M560" s="6">
        <v>5905.5249999999996</v>
      </c>
      <c r="N560" s="6">
        <v>5905.5249999999996</v>
      </c>
      <c r="O560" s="6">
        <v>5905.5249999999996</v>
      </c>
      <c r="P560" s="6">
        <v>0</v>
      </c>
      <c r="Q560" s="4" t="s">
        <v>26</v>
      </c>
      <c r="R560" s="4">
        <v>0</v>
      </c>
      <c r="S560" s="4" t="s">
        <v>162</v>
      </c>
      <c r="T560" s="4" t="s">
        <v>443</v>
      </c>
      <c r="U560" s="4">
        <v>29</v>
      </c>
      <c r="V560" s="4">
        <v>30</v>
      </c>
      <c r="W560" s="4">
        <v>67</v>
      </c>
    </row>
    <row r="561" spans="1:23" ht="11.25" customHeight="1" x14ac:dyDescent="0.25">
      <c r="A561" s="4" t="s">
        <v>28</v>
      </c>
      <c r="B561" s="4" t="s">
        <v>35</v>
      </c>
      <c r="C561" s="4" t="s">
        <v>44</v>
      </c>
      <c r="D561" s="4" t="s">
        <v>48</v>
      </c>
      <c r="E561" s="4" t="s">
        <v>25</v>
      </c>
      <c r="F561" s="4" t="s">
        <v>25</v>
      </c>
      <c r="G561" s="4" t="s">
        <v>25</v>
      </c>
      <c r="H561" s="4" t="s">
        <v>38</v>
      </c>
      <c r="I561" s="5">
        <v>44440</v>
      </c>
      <c r="J561" s="6">
        <v>5957</v>
      </c>
      <c r="K561" s="6">
        <v>5957</v>
      </c>
      <c r="L561" s="6">
        <v>1613.6610000000001</v>
      </c>
      <c r="M561" s="6">
        <v>1613.6610000000001</v>
      </c>
      <c r="N561" s="6">
        <v>1613.6610000000001</v>
      </c>
      <c r="O561" s="6">
        <v>1613.6610000000001</v>
      </c>
      <c r="P561" s="6">
        <v>0</v>
      </c>
      <c r="Q561" s="4" t="s">
        <v>26</v>
      </c>
      <c r="R561" s="4">
        <v>0</v>
      </c>
      <c r="S561" s="4" t="s">
        <v>162</v>
      </c>
      <c r="T561" s="4" t="s">
        <v>443</v>
      </c>
      <c r="U561" s="4">
        <v>29</v>
      </c>
      <c r="V561" s="4">
        <v>30</v>
      </c>
      <c r="W561" s="4">
        <v>67</v>
      </c>
    </row>
    <row r="562" spans="1:23" ht="11.25" customHeight="1" x14ac:dyDescent="0.25">
      <c r="A562" s="4" t="s">
        <v>29</v>
      </c>
      <c r="B562" s="4" t="s">
        <v>35</v>
      </c>
      <c r="C562" s="4" t="s">
        <v>44</v>
      </c>
      <c r="D562" s="4" t="s">
        <v>48</v>
      </c>
      <c r="E562" s="4" t="s">
        <v>25</v>
      </c>
      <c r="F562" s="4" t="s">
        <v>25</v>
      </c>
      <c r="G562" s="4" t="s">
        <v>25</v>
      </c>
      <c r="H562" s="4" t="s">
        <v>38</v>
      </c>
      <c r="I562" s="5">
        <v>44440</v>
      </c>
      <c r="J562" s="6">
        <v>-72</v>
      </c>
      <c r="K562" s="6">
        <v>-72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4" t="s">
        <v>26</v>
      </c>
      <c r="R562" s="4">
        <v>0</v>
      </c>
      <c r="S562" s="4" t="s">
        <v>162</v>
      </c>
      <c r="T562" s="4" t="s">
        <v>443</v>
      </c>
      <c r="U562" s="4">
        <v>29</v>
      </c>
      <c r="V562" s="4">
        <v>0</v>
      </c>
      <c r="W562" s="4">
        <v>0</v>
      </c>
    </row>
    <row r="563" spans="1:23" ht="11.25" customHeight="1" x14ac:dyDescent="0.25">
      <c r="A563" s="4" t="s">
        <v>30</v>
      </c>
      <c r="B563" s="4" t="s">
        <v>35</v>
      </c>
      <c r="C563" s="4" t="s">
        <v>44</v>
      </c>
      <c r="D563" s="4" t="s">
        <v>48</v>
      </c>
      <c r="E563" s="4" t="s">
        <v>25</v>
      </c>
      <c r="F563" s="4" t="s">
        <v>25</v>
      </c>
      <c r="G563" s="4" t="s">
        <v>25</v>
      </c>
      <c r="H563" s="4" t="s">
        <v>38</v>
      </c>
      <c r="I563" s="5">
        <v>44440</v>
      </c>
      <c r="J563" s="6">
        <v>550</v>
      </c>
      <c r="K563" s="6">
        <v>550</v>
      </c>
      <c r="L563" s="6">
        <v>53.976999999999997</v>
      </c>
      <c r="M563" s="6">
        <v>53.976999999999997</v>
      </c>
      <c r="N563" s="6">
        <v>53.976999999999997</v>
      </c>
      <c r="O563" s="6">
        <v>53.976999999999997</v>
      </c>
      <c r="P563" s="6">
        <v>0</v>
      </c>
      <c r="Q563" s="4" t="s">
        <v>26</v>
      </c>
      <c r="R563" s="4">
        <v>0</v>
      </c>
      <c r="S563" s="4" t="s">
        <v>162</v>
      </c>
      <c r="T563" s="4" t="s">
        <v>443</v>
      </c>
      <c r="U563" s="4">
        <v>29</v>
      </c>
      <c r="V563" s="4">
        <v>30</v>
      </c>
      <c r="W563" s="4">
        <v>67</v>
      </c>
    </row>
    <row r="564" spans="1:23" ht="11.25" customHeight="1" x14ac:dyDescent="0.25">
      <c r="A564" s="4" t="s">
        <v>59</v>
      </c>
      <c r="B564" s="4" t="s">
        <v>35</v>
      </c>
      <c r="C564" s="4" t="s">
        <v>44</v>
      </c>
      <c r="D564" s="4" t="s">
        <v>48</v>
      </c>
      <c r="E564" s="4" t="s">
        <v>25</v>
      </c>
      <c r="F564" s="4" t="s">
        <v>25</v>
      </c>
      <c r="G564" s="4" t="s">
        <v>25</v>
      </c>
      <c r="H564" s="4" t="s">
        <v>38</v>
      </c>
      <c r="I564" s="5">
        <v>44470</v>
      </c>
      <c r="J564" s="6">
        <v>21086</v>
      </c>
      <c r="K564" s="6">
        <v>21086</v>
      </c>
      <c r="L564" s="6">
        <v>5905.5249999999996</v>
      </c>
      <c r="M564" s="6">
        <v>5905.5249999999996</v>
      </c>
      <c r="N564" s="6">
        <v>5905.5249999999996</v>
      </c>
      <c r="O564" s="6">
        <v>5905.5249999999996</v>
      </c>
      <c r="P564" s="6">
        <v>0</v>
      </c>
      <c r="Q564" s="4" t="s">
        <v>26</v>
      </c>
      <c r="R564" s="4">
        <v>0</v>
      </c>
      <c r="S564" s="4" t="s">
        <v>163</v>
      </c>
      <c r="T564" s="4" t="s">
        <v>444</v>
      </c>
      <c r="U564" s="4">
        <v>29</v>
      </c>
      <c r="V564" s="4">
        <v>30</v>
      </c>
      <c r="W564" s="4">
        <v>67</v>
      </c>
    </row>
    <row r="565" spans="1:23" ht="11.25" customHeight="1" x14ac:dyDescent="0.25">
      <c r="A565" s="4" t="s">
        <v>59</v>
      </c>
      <c r="B565" s="4" t="s">
        <v>35</v>
      </c>
      <c r="C565" s="4" t="s">
        <v>44</v>
      </c>
      <c r="D565" s="4" t="s">
        <v>48</v>
      </c>
      <c r="E565" s="4" t="s">
        <v>25</v>
      </c>
      <c r="F565" s="4" t="s">
        <v>25</v>
      </c>
      <c r="G565" s="4" t="s">
        <v>25</v>
      </c>
      <c r="H565" s="4" t="s">
        <v>38</v>
      </c>
      <c r="I565" s="5">
        <v>44470</v>
      </c>
      <c r="J565" s="6">
        <v>5957</v>
      </c>
      <c r="K565" s="6">
        <v>5957</v>
      </c>
      <c r="L565" s="6">
        <v>1613.6610000000001</v>
      </c>
      <c r="M565" s="6">
        <v>1613.6610000000001</v>
      </c>
      <c r="N565" s="6">
        <v>1613.6610000000001</v>
      </c>
      <c r="O565" s="6">
        <v>1613.6610000000001</v>
      </c>
      <c r="P565" s="6">
        <v>0</v>
      </c>
      <c r="Q565" s="4" t="s">
        <v>26</v>
      </c>
      <c r="R565" s="4">
        <v>0</v>
      </c>
      <c r="S565" s="4" t="s">
        <v>163</v>
      </c>
      <c r="T565" s="4" t="s">
        <v>444</v>
      </c>
      <c r="U565" s="4">
        <v>29</v>
      </c>
      <c r="V565" s="4">
        <v>30</v>
      </c>
      <c r="W565" s="4">
        <v>67</v>
      </c>
    </row>
    <row r="566" spans="1:23" ht="11.25" customHeight="1" x14ac:dyDescent="0.25">
      <c r="A566" s="4" t="s">
        <v>59</v>
      </c>
      <c r="B566" s="4" t="s">
        <v>35</v>
      </c>
      <c r="C566" s="4" t="s">
        <v>44</v>
      </c>
      <c r="D566" s="4" t="s">
        <v>48</v>
      </c>
      <c r="E566" s="4" t="s">
        <v>25</v>
      </c>
      <c r="F566" s="4" t="s">
        <v>25</v>
      </c>
      <c r="G566" s="4" t="s">
        <v>25</v>
      </c>
      <c r="H566" s="4" t="s">
        <v>38</v>
      </c>
      <c r="I566" s="5">
        <v>44470</v>
      </c>
      <c r="J566" s="6">
        <v>-72</v>
      </c>
      <c r="K566" s="6">
        <v>-72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4" t="s">
        <v>26</v>
      </c>
      <c r="R566" s="4">
        <v>0</v>
      </c>
      <c r="S566" s="4" t="s">
        <v>163</v>
      </c>
      <c r="T566" s="4" t="s">
        <v>444</v>
      </c>
      <c r="U566" s="4">
        <v>29</v>
      </c>
      <c r="V566" s="4">
        <v>0</v>
      </c>
      <c r="W566" s="4">
        <v>0</v>
      </c>
    </row>
    <row r="567" spans="1:23" ht="11.25" customHeight="1" x14ac:dyDescent="0.25">
      <c r="A567" s="4" t="s">
        <v>59</v>
      </c>
      <c r="B567" s="4" t="s">
        <v>35</v>
      </c>
      <c r="C567" s="4" t="s">
        <v>44</v>
      </c>
      <c r="D567" s="4" t="s">
        <v>48</v>
      </c>
      <c r="E567" s="4" t="s">
        <v>25</v>
      </c>
      <c r="F567" s="4" t="s">
        <v>25</v>
      </c>
      <c r="G567" s="4" t="s">
        <v>25</v>
      </c>
      <c r="H567" s="4" t="s">
        <v>38</v>
      </c>
      <c r="I567" s="5">
        <v>44470</v>
      </c>
      <c r="J567" s="6">
        <v>550</v>
      </c>
      <c r="K567" s="6">
        <v>550</v>
      </c>
      <c r="L567" s="6">
        <v>53.976999999999997</v>
      </c>
      <c r="M567" s="6">
        <v>53.976999999999997</v>
      </c>
      <c r="N567" s="6">
        <v>53.976999999999997</v>
      </c>
      <c r="O567" s="6">
        <v>53.976999999999997</v>
      </c>
      <c r="P567" s="6">
        <v>0</v>
      </c>
      <c r="Q567" s="4" t="s">
        <v>26</v>
      </c>
      <c r="R567" s="4">
        <v>0</v>
      </c>
      <c r="S567" s="4" t="s">
        <v>163</v>
      </c>
      <c r="T567" s="4" t="s">
        <v>444</v>
      </c>
      <c r="U567" s="4">
        <v>29</v>
      </c>
      <c r="V567" s="4">
        <v>30</v>
      </c>
      <c r="W567" s="4">
        <v>67</v>
      </c>
    </row>
    <row r="568" spans="1:23" ht="11.25" customHeight="1" x14ac:dyDescent="0.25">
      <c r="A568" s="4" t="s">
        <v>21</v>
      </c>
      <c r="B568" s="4" t="s">
        <v>35</v>
      </c>
      <c r="C568" s="4" t="s">
        <v>44</v>
      </c>
      <c r="D568" s="4" t="s">
        <v>48</v>
      </c>
      <c r="E568" s="4" t="s">
        <v>25</v>
      </c>
      <c r="F568" s="4" t="s">
        <v>25</v>
      </c>
      <c r="G568" s="4" t="s">
        <v>25</v>
      </c>
      <c r="H568" s="4" t="s">
        <v>37</v>
      </c>
      <c r="I568" s="5">
        <v>44136</v>
      </c>
      <c r="J568" s="6">
        <v>15499</v>
      </c>
      <c r="K568" s="6">
        <v>15499</v>
      </c>
      <c r="L568" s="6">
        <v>457.48099999999999</v>
      </c>
      <c r="M568" s="6">
        <v>457.48099999999999</v>
      </c>
      <c r="N568" s="6">
        <v>457.48099999999999</v>
      </c>
      <c r="O568" s="6">
        <v>457.48099999999999</v>
      </c>
      <c r="P568" s="6">
        <v>0</v>
      </c>
      <c r="Q568" s="4" t="s">
        <v>26</v>
      </c>
      <c r="R568" s="4">
        <v>0</v>
      </c>
      <c r="S568" s="4" t="s">
        <v>170</v>
      </c>
      <c r="T568" s="4" t="s">
        <v>445</v>
      </c>
      <c r="U568" s="4">
        <v>28</v>
      </c>
      <c r="V568" s="4">
        <v>30</v>
      </c>
      <c r="W568" s="4">
        <v>66</v>
      </c>
    </row>
    <row r="569" spans="1:23" ht="11.25" customHeight="1" x14ac:dyDescent="0.25">
      <c r="A569" s="4" t="s">
        <v>27</v>
      </c>
      <c r="B569" s="4" t="s">
        <v>35</v>
      </c>
      <c r="C569" s="4" t="s">
        <v>44</v>
      </c>
      <c r="D569" s="4" t="s">
        <v>48</v>
      </c>
      <c r="E569" s="4" t="s">
        <v>25</v>
      </c>
      <c r="F569" s="4" t="s">
        <v>25</v>
      </c>
      <c r="G569" s="4" t="s">
        <v>25</v>
      </c>
      <c r="H569" s="4" t="s">
        <v>37</v>
      </c>
      <c r="I569" s="5">
        <v>44136</v>
      </c>
      <c r="J569" s="6">
        <v>93</v>
      </c>
      <c r="K569" s="6">
        <v>93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4" t="s">
        <v>26</v>
      </c>
      <c r="R569" s="4">
        <v>0</v>
      </c>
      <c r="S569" s="4" t="s">
        <v>170</v>
      </c>
      <c r="T569" s="4" t="s">
        <v>445</v>
      </c>
      <c r="U569" s="4">
        <v>28</v>
      </c>
      <c r="V569" s="4">
        <v>0</v>
      </c>
      <c r="W569" s="4">
        <v>0</v>
      </c>
    </row>
    <row r="570" spans="1:23" ht="11.25" customHeight="1" x14ac:dyDescent="0.25">
      <c r="A570" s="4" t="s">
        <v>28</v>
      </c>
      <c r="B570" s="4" t="s">
        <v>35</v>
      </c>
      <c r="C570" s="4" t="s">
        <v>44</v>
      </c>
      <c r="D570" s="4" t="s">
        <v>48</v>
      </c>
      <c r="E570" s="4" t="s">
        <v>25</v>
      </c>
      <c r="F570" s="4" t="s">
        <v>25</v>
      </c>
      <c r="G570" s="4" t="s">
        <v>25</v>
      </c>
      <c r="H570" s="4" t="s">
        <v>37</v>
      </c>
      <c r="I570" s="5">
        <v>44136</v>
      </c>
      <c r="J570" s="6">
        <v>5282</v>
      </c>
      <c r="K570" s="6">
        <v>5282</v>
      </c>
      <c r="L570" s="6">
        <v>144.18899999999999</v>
      </c>
      <c r="M570" s="6">
        <v>144.18899999999999</v>
      </c>
      <c r="N570" s="6">
        <v>144.18899999999999</v>
      </c>
      <c r="O570" s="6">
        <v>144.18899999999999</v>
      </c>
      <c r="P570" s="6">
        <v>0</v>
      </c>
      <c r="Q570" s="4" t="s">
        <v>26</v>
      </c>
      <c r="R570" s="4">
        <v>0</v>
      </c>
      <c r="S570" s="4" t="s">
        <v>170</v>
      </c>
      <c r="T570" s="4" t="s">
        <v>445</v>
      </c>
      <c r="U570" s="4">
        <v>28</v>
      </c>
      <c r="V570" s="4">
        <v>30</v>
      </c>
      <c r="W570" s="4">
        <v>66</v>
      </c>
    </row>
    <row r="571" spans="1:23" ht="11.25" customHeight="1" x14ac:dyDescent="0.25">
      <c r="A571" s="4" t="s">
        <v>29</v>
      </c>
      <c r="B571" s="4" t="s">
        <v>35</v>
      </c>
      <c r="C571" s="4" t="s">
        <v>44</v>
      </c>
      <c r="D571" s="4" t="s">
        <v>48</v>
      </c>
      <c r="E571" s="4" t="s">
        <v>25</v>
      </c>
      <c r="F571" s="4" t="s">
        <v>25</v>
      </c>
      <c r="G571" s="4" t="s">
        <v>25</v>
      </c>
      <c r="H571" s="4" t="s">
        <v>37</v>
      </c>
      <c r="I571" s="5">
        <v>44136</v>
      </c>
      <c r="J571" s="6">
        <v>43</v>
      </c>
      <c r="K571" s="6">
        <v>43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4" t="s">
        <v>26</v>
      </c>
      <c r="R571" s="4">
        <v>0</v>
      </c>
      <c r="S571" s="4" t="s">
        <v>170</v>
      </c>
      <c r="T571" s="4" t="s">
        <v>445</v>
      </c>
      <c r="U571" s="4">
        <v>28</v>
      </c>
      <c r="V571" s="4">
        <v>0</v>
      </c>
      <c r="W571" s="4">
        <v>0</v>
      </c>
    </row>
    <row r="572" spans="1:23" ht="11.25" customHeight="1" x14ac:dyDescent="0.25">
      <c r="A572" s="4" t="s">
        <v>21</v>
      </c>
      <c r="B572" s="4" t="s">
        <v>35</v>
      </c>
      <c r="C572" s="4" t="s">
        <v>44</v>
      </c>
      <c r="D572" s="4" t="s">
        <v>48</v>
      </c>
      <c r="E572" s="4" t="s">
        <v>25</v>
      </c>
      <c r="F572" s="4" t="s">
        <v>25</v>
      </c>
      <c r="G572" s="4" t="s">
        <v>25</v>
      </c>
      <c r="H572" s="4" t="s">
        <v>37</v>
      </c>
      <c r="I572" s="5">
        <v>44166</v>
      </c>
      <c r="J572" s="6">
        <v>15478</v>
      </c>
      <c r="K572" s="6">
        <v>15478</v>
      </c>
      <c r="L572" s="6">
        <v>478.54199999999997</v>
      </c>
      <c r="M572" s="6">
        <v>478.54199999999997</v>
      </c>
      <c r="N572" s="6">
        <v>478.54199999999997</v>
      </c>
      <c r="O572" s="6">
        <v>478.54199999999997</v>
      </c>
      <c r="P572" s="6">
        <v>0</v>
      </c>
      <c r="Q572" s="4" t="s">
        <v>26</v>
      </c>
      <c r="R572" s="4">
        <v>0</v>
      </c>
      <c r="S572" s="4" t="s">
        <v>171</v>
      </c>
      <c r="T572" s="4" t="s">
        <v>446</v>
      </c>
      <c r="U572" s="4">
        <v>28</v>
      </c>
      <c r="V572" s="4">
        <v>30</v>
      </c>
      <c r="W572" s="4">
        <v>66</v>
      </c>
    </row>
    <row r="573" spans="1:23" ht="11.25" customHeight="1" x14ac:dyDescent="0.25">
      <c r="A573" s="4" t="s">
        <v>28</v>
      </c>
      <c r="B573" s="4" t="s">
        <v>35</v>
      </c>
      <c r="C573" s="4" t="s">
        <v>44</v>
      </c>
      <c r="D573" s="4" t="s">
        <v>48</v>
      </c>
      <c r="E573" s="4" t="s">
        <v>25</v>
      </c>
      <c r="F573" s="4" t="s">
        <v>25</v>
      </c>
      <c r="G573" s="4" t="s">
        <v>25</v>
      </c>
      <c r="H573" s="4" t="s">
        <v>37</v>
      </c>
      <c r="I573" s="5">
        <v>44166</v>
      </c>
      <c r="J573" s="6">
        <v>5436</v>
      </c>
      <c r="K573" s="6">
        <v>5436</v>
      </c>
      <c r="L573" s="6">
        <v>142.98699999999999</v>
      </c>
      <c r="M573" s="6">
        <v>142.98699999999999</v>
      </c>
      <c r="N573" s="6">
        <v>142.98699999999999</v>
      </c>
      <c r="O573" s="6">
        <v>142.98699999999999</v>
      </c>
      <c r="P573" s="6">
        <v>0</v>
      </c>
      <c r="Q573" s="4" t="s">
        <v>26</v>
      </c>
      <c r="R573" s="4">
        <v>0</v>
      </c>
      <c r="S573" s="4" t="s">
        <v>171</v>
      </c>
      <c r="T573" s="4" t="s">
        <v>446</v>
      </c>
      <c r="U573" s="4">
        <v>28</v>
      </c>
      <c r="V573" s="4">
        <v>30</v>
      </c>
      <c r="W573" s="4">
        <v>66</v>
      </c>
    </row>
    <row r="574" spans="1:23" ht="11.25" customHeight="1" x14ac:dyDescent="0.25">
      <c r="A574" s="4" t="s">
        <v>21</v>
      </c>
      <c r="B574" s="4" t="s">
        <v>35</v>
      </c>
      <c r="C574" s="4" t="s">
        <v>44</v>
      </c>
      <c r="D574" s="4" t="s">
        <v>48</v>
      </c>
      <c r="E574" s="4" t="s">
        <v>25</v>
      </c>
      <c r="F574" s="4" t="s">
        <v>25</v>
      </c>
      <c r="G574" s="4" t="s">
        <v>25</v>
      </c>
      <c r="H574" s="4" t="s">
        <v>37</v>
      </c>
      <c r="I574" s="5">
        <v>44197</v>
      </c>
      <c r="J574" s="6">
        <v>15402</v>
      </c>
      <c r="K574" s="6">
        <v>15402</v>
      </c>
      <c r="L574" s="6">
        <v>410.67</v>
      </c>
      <c r="M574" s="6">
        <v>410.67</v>
      </c>
      <c r="N574" s="6">
        <v>410.67</v>
      </c>
      <c r="O574" s="6">
        <v>410.67</v>
      </c>
      <c r="P574" s="6">
        <v>0</v>
      </c>
      <c r="Q574" s="4" t="s">
        <v>26</v>
      </c>
      <c r="R574" s="4">
        <v>0</v>
      </c>
      <c r="S574" s="4" t="s">
        <v>172</v>
      </c>
      <c r="T574" s="4" t="s">
        <v>447</v>
      </c>
      <c r="U574" s="4">
        <v>28</v>
      </c>
      <c r="V574" s="4">
        <v>30</v>
      </c>
      <c r="W574" s="4">
        <v>66</v>
      </c>
    </row>
    <row r="575" spans="1:23" ht="11.25" customHeight="1" x14ac:dyDescent="0.25">
      <c r="A575" s="4" t="s">
        <v>28</v>
      </c>
      <c r="B575" s="4" t="s">
        <v>35</v>
      </c>
      <c r="C575" s="4" t="s">
        <v>44</v>
      </c>
      <c r="D575" s="4" t="s">
        <v>48</v>
      </c>
      <c r="E575" s="4" t="s">
        <v>25</v>
      </c>
      <c r="F575" s="4" t="s">
        <v>25</v>
      </c>
      <c r="G575" s="4" t="s">
        <v>25</v>
      </c>
      <c r="H575" s="4" t="s">
        <v>37</v>
      </c>
      <c r="I575" s="5">
        <v>44197</v>
      </c>
      <c r="J575" s="6">
        <v>5375</v>
      </c>
      <c r="K575" s="6">
        <v>5375</v>
      </c>
      <c r="L575" s="6">
        <v>146.24100000000001</v>
      </c>
      <c r="M575" s="6">
        <v>146.24100000000001</v>
      </c>
      <c r="N575" s="6">
        <v>146.24100000000001</v>
      </c>
      <c r="O575" s="6">
        <v>146.24100000000001</v>
      </c>
      <c r="P575" s="6">
        <v>0</v>
      </c>
      <c r="Q575" s="4" t="s">
        <v>26</v>
      </c>
      <c r="R575" s="4">
        <v>0</v>
      </c>
      <c r="S575" s="4" t="s">
        <v>172</v>
      </c>
      <c r="T575" s="4" t="s">
        <v>447</v>
      </c>
      <c r="U575" s="4">
        <v>28</v>
      </c>
      <c r="V575" s="4">
        <v>30</v>
      </c>
      <c r="W575" s="4">
        <v>66</v>
      </c>
    </row>
    <row r="576" spans="1:23" ht="11.25" customHeight="1" x14ac:dyDescent="0.25">
      <c r="A576" s="4" t="s">
        <v>21</v>
      </c>
      <c r="B576" s="4" t="s">
        <v>35</v>
      </c>
      <c r="C576" s="4" t="s">
        <v>44</v>
      </c>
      <c r="D576" s="4" t="s">
        <v>48</v>
      </c>
      <c r="E576" s="4" t="s">
        <v>25</v>
      </c>
      <c r="F576" s="4" t="s">
        <v>25</v>
      </c>
      <c r="G576" s="4" t="s">
        <v>25</v>
      </c>
      <c r="H576" s="4" t="s">
        <v>37</v>
      </c>
      <c r="I576" s="5">
        <v>44228</v>
      </c>
      <c r="J576" s="6">
        <v>15467</v>
      </c>
      <c r="K576" s="6">
        <v>15467</v>
      </c>
      <c r="L576" s="6">
        <v>418.58300000000003</v>
      </c>
      <c r="M576" s="6">
        <v>418.58300000000003</v>
      </c>
      <c r="N576" s="6">
        <v>418.58300000000003</v>
      </c>
      <c r="O576" s="6">
        <v>418.58300000000003</v>
      </c>
      <c r="P576" s="6">
        <v>0</v>
      </c>
      <c r="Q576" s="4" t="s">
        <v>26</v>
      </c>
      <c r="R576" s="4">
        <v>0</v>
      </c>
      <c r="S576" s="4" t="s">
        <v>173</v>
      </c>
      <c r="T576" s="4" t="s">
        <v>448</v>
      </c>
      <c r="U576" s="4">
        <v>28</v>
      </c>
      <c r="V576" s="4">
        <v>30</v>
      </c>
      <c r="W576" s="4">
        <v>66</v>
      </c>
    </row>
    <row r="577" spans="1:23" ht="11.25" customHeight="1" x14ac:dyDescent="0.25">
      <c r="A577" s="4" t="s">
        <v>27</v>
      </c>
      <c r="B577" s="4" t="s">
        <v>35</v>
      </c>
      <c r="C577" s="4" t="s">
        <v>44</v>
      </c>
      <c r="D577" s="4" t="s">
        <v>48</v>
      </c>
      <c r="E577" s="4" t="s">
        <v>25</v>
      </c>
      <c r="F577" s="4" t="s">
        <v>25</v>
      </c>
      <c r="G577" s="4" t="s">
        <v>25</v>
      </c>
      <c r="H577" s="4" t="s">
        <v>37</v>
      </c>
      <c r="I577" s="5">
        <v>44228</v>
      </c>
      <c r="J577" s="6">
        <v>-75</v>
      </c>
      <c r="K577" s="6">
        <v>-75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4" t="s">
        <v>26</v>
      </c>
      <c r="R577" s="4">
        <v>0</v>
      </c>
      <c r="S577" s="4" t="s">
        <v>173</v>
      </c>
      <c r="T577" s="4" t="s">
        <v>448</v>
      </c>
      <c r="U577" s="4">
        <v>28</v>
      </c>
      <c r="V577" s="4">
        <v>0</v>
      </c>
      <c r="W577" s="4">
        <v>0</v>
      </c>
    </row>
    <row r="578" spans="1:23" ht="11.25" customHeight="1" x14ac:dyDescent="0.25">
      <c r="A578" s="4" t="s">
        <v>28</v>
      </c>
      <c r="B578" s="4" t="s">
        <v>35</v>
      </c>
      <c r="C578" s="4" t="s">
        <v>44</v>
      </c>
      <c r="D578" s="4" t="s">
        <v>48</v>
      </c>
      <c r="E578" s="4" t="s">
        <v>25</v>
      </c>
      <c r="F578" s="4" t="s">
        <v>25</v>
      </c>
      <c r="G578" s="4" t="s">
        <v>25</v>
      </c>
      <c r="H578" s="4" t="s">
        <v>37</v>
      </c>
      <c r="I578" s="5">
        <v>44228</v>
      </c>
      <c r="J578" s="6">
        <v>5445</v>
      </c>
      <c r="K578" s="6">
        <v>5445</v>
      </c>
      <c r="L578" s="6">
        <v>152.309</v>
      </c>
      <c r="M578" s="6">
        <v>152.309</v>
      </c>
      <c r="N578" s="6">
        <v>152.309</v>
      </c>
      <c r="O578" s="6">
        <v>152.309</v>
      </c>
      <c r="P578" s="6">
        <v>0</v>
      </c>
      <c r="Q578" s="4" t="s">
        <v>26</v>
      </c>
      <c r="R578" s="4">
        <v>0</v>
      </c>
      <c r="S578" s="4" t="s">
        <v>173</v>
      </c>
      <c r="T578" s="4" t="s">
        <v>448</v>
      </c>
      <c r="U578" s="4">
        <v>28</v>
      </c>
      <c r="V578" s="4">
        <v>30</v>
      </c>
      <c r="W578" s="4">
        <v>66</v>
      </c>
    </row>
    <row r="579" spans="1:23" ht="11.25" customHeight="1" x14ac:dyDescent="0.25">
      <c r="A579" s="4" t="s">
        <v>29</v>
      </c>
      <c r="B579" s="4" t="s">
        <v>35</v>
      </c>
      <c r="C579" s="4" t="s">
        <v>44</v>
      </c>
      <c r="D579" s="4" t="s">
        <v>48</v>
      </c>
      <c r="E579" s="4" t="s">
        <v>25</v>
      </c>
      <c r="F579" s="4" t="s">
        <v>25</v>
      </c>
      <c r="G579" s="4" t="s">
        <v>25</v>
      </c>
      <c r="H579" s="4" t="s">
        <v>37</v>
      </c>
      <c r="I579" s="5">
        <v>44228</v>
      </c>
      <c r="J579" s="6">
        <v>-153</v>
      </c>
      <c r="K579" s="6">
        <v>-153</v>
      </c>
      <c r="L579" s="6">
        <v>1.903</v>
      </c>
      <c r="M579" s="6">
        <v>1.903</v>
      </c>
      <c r="N579" s="6">
        <v>1.903</v>
      </c>
      <c r="O579" s="6">
        <v>1.903</v>
      </c>
      <c r="P579" s="6">
        <v>0</v>
      </c>
      <c r="Q579" s="4" t="s">
        <v>26</v>
      </c>
      <c r="R579" s="4">
        <v>0</v>
      </c>
      <c r="S579" s="4" t="s">
        <v>173</v>
      </c>
      <c r="T579" s="4" t="s">
        <v>448</v>
      </c>
      <c r="U579" s="4">
        <v>28</v>
      </c>
      <c r="V579" s="4">
        <v>30</v>
      </c>
      <c r="W579" s="4">
        <v>66</v>
      </c>
    </row>
    <row r="580" spans="1:23" ht="11.25" customHeight="1" x14ac:dyDescent="0.25">
      <c r="A580" s="4" t="s">
        <v>21</v>
      </c>
      <c r="B580" s="4" t="s">
        <v>35</v>
      </c>
      <c r="C580" s="4" t="s">
        <v>44</v>
      </c>
      <c r="D580" s="4" t="s">
        <v>48</v>
      </c>
      <c r="E580" s="4" t="s">
        <v>25</v>
      </c>
      <c r="F580" s="4" t="s">
        <v>25</v>
      </c>
      <c r="G580" s="4" t="s">
        <v>25</v>
      </c>
      <c r="H580" s="4" t="s">
        <v>37</v>
      </c>
      <c r="I580" s="5">
        <v>44256</v>
      </c>
      <c r="J580" s="6">
        <v>15892</v>
      </c>
      <c r="K580" s="6">
        <v>15892</v>
      </c>
      <c r="L580" s="6">
        <v>476.66699999999997</v>
      </c>
      <c r="M580" s="6">
        <v>476.66699999999997</v>
      </c>
      <c r="N580" s="6">
        <v>476.66699999999997</v>
      </c>
      <c r="O580" s="6">
        <v>476.66699999999997</v>
      </c>
      <c r="P580" s="6">
        <v>0</v>
      </c>
      <c r="Q580" s="4" t="s">
        <v>26</v>
      </c>
      <c r="R580" s="4">
        <v>0</v>
      </c>
      <c r="S580" s="4" t="s">
        <v>174</v>
      </c>
      <c r="T580" s="4" t="s">
        <v>449</v>
      </c>
      <c r="U580" s="4">
        <v>28</v>
      </c>
      <c r="V580" s="4">
        <v>30</v>
      </c>
      <c r="W580" s="4">
        <v>66</v>
      </c>
    </row>
    <row r="581" spans="1:23" ht="11.25" customHeight="1" x14ac:dyDescent="0.25">
      <c r="A581" s="4" t="s">
        <v>28</v>
      </c>
      <c r="B581" s="4" t="s">
        <v>35</v>
      </c>
      <c r="C581" s="4" t="s">
        <v>44</v>
      </c>
      <c r="D581" s="4" t="s">
        <v>48</v>
      </c>
      <c r="E581" s="4" t="s">
        <v>25</v>
      </c>
      <c r="F581" s="4" t="s">
        <v>25</v>
      </c>
      <c r="G581" s="4" t="s">
        <v>25</v>
      </c>
      <c r="H581" s="4" t="s">
        <v>37</v>
      </c>
      <c r="I581" s="5">
        <v>44256</v>
      </c>
      <c r="J581" s="6">
        <v>5442</v>
      </c>
      <c r="K581" s="6">
        <v>5442</v>
      </c>
      <c r="L581" s="6">
        <v>165.81200000000001</v>
      </c>
      <c r="M581" s="6">
        <v>165.81200000000001</v>
      </c>
      <c r="N581" s="6">
        <v>165.81200000000001</v>
      </c>
      <c r="O581" s="6">
        <v>165.81200000000001</v>
      </c>
      <c r="P581" s="6">
        <v>0</v>
      </c>
      <c r="Q581" s="4" t="s">
        <v>26</v>
      </c>
      <c r="R581" s="4">
        <v>0</v>
      </c>
      <c r="S581" s="4" t="s">
        <v>174</v>
      </c>
      <c r="T581" s="4" t="s">
        <v>449</v>
      </c>
      <c r="U581" s="4">
        <v>28</v>
      </c>
      <c r="V581" s="4">
        <v>30</v>
      </c>
      <c r="W581" s="4">
        <v>66</v>
      </c>
    </row>
    <row r="582" spans="1:23" ht="11.25" customHeight="1" x14ac:dyDescent="0.25">
      <c r="A582" s="4" t="s">
        <v>29</v>
      </c>
      <c r="B582" s="4" t="s">
        <v>35</v>
      </c>
      <c r="C582" s="4" t="s">
        <v>44</v>
      </c>
      <c r="D582" s="4" t="s">
        <v>48</v>
      </c>
      <c r="E582" s="4" t="s">
        <v>25</v>
      </c>
      <c r="F582" s="4" t="s">
        <v>25</v>
      </c>
      <c r="G582" s="4" t="s">
        <v>25</v>
      </c>
      <c r="H582" s="4" t="s">
        <v>37</v>
      </c>
      <c r="I582" s="5">
        <v>44256</v>
      </c>
      <c r="J582" s="6">
        <v>0</v>
      </c>
      <c r="K582" s="6">
        <v>0</v>
      </c>
      <c r="L582" s="6">
        <v>1.8</v>
      </c>
      <c r="M582" s="6">
        <v>1.8</v>
      </c>
      <c r="N582" s="6">
        <v>1.8</v>
      </c>
      <c r="O582" s="6">
        <v>1.8</v>
      </c>
      <c r="P582" s="6">
        <v>0</v>
      </c>
      <c r="Q582" s="4" t="s">
        <v>26</v>
      </c>
      <c r="R582" s="4">
        <v>0</v>
      </c>
      <c r="S582" s="4" t="s">
        <v>174</v>
      </c>
      <c r="T582" s="4" t="s">
        <v>449</v>
      </c>
      <c r="U582" s="4">
        <v>0</v>
      </c>
      <c r="V582" s="4">
        <v>30</v>
      </c>
      <c r="W582" s="4">
        <v>66</v>
      </c>
    </row>
    <row r="583" spans="1:23" ht="11.25" customHeight="1" x14ac:dyDescent="0.25">
      <c r="A583" s="4" t="s">
        <v>21</v>
      </c>
      <c r="B583" s="4" t="s">
        <v>35</v>
      </c>
      <c r="C583" s="4" t="s">
        <v>44</v>
      </c>
      <c r="D583" s="4" t="s">
        <v>48</v>
      </c>
      <c r="E583" s="4" t="s">
        <v>25</v>
      </c>
      <c r="F583" s="4" t="s">
        <v>25</v>
      </c>
      <c r="G583" s="4" t="s">
        <v>25</v>
      </c>
      <c r="H583" s="4" t="s">
        <v>37</v>
      </c>
      <c r="I583" s="5">
        <v>44287</v>
      </c>
      <c r="J583" s="6">
        <v>15393</v>
      </c>
      <c r="K583" s="6">
        <v>15393</v>
      </c>
      <c r="L583" s="6">
        <v>429.87799999999999</v>
      </c>
      <c r="M583" s="6">
        <v>429.87799999999999</v>
      </c>
      <c r="N583" s="6">
        <v>429.87799999999999</v>
      </c>
      <c r="O583" s="6">
        <v>429.87799999999999</v>
      </c>
      <c r="P583" s="6">
        <v>0</v>
      </c>
      <c r="Q583" s="4" t="s">
        <v>26</v>
      </c>
      <c r="R583" s="4">
        <v>0</v>
      </c>
      <c r="S583" s="4" t="s">
        <v>175</v>
      </c>
      <c r="T583" s="4" t="s">
        <v>450</v>
      </c>
      <c r="U583" s="4">
        <v>28</v>
      </c>
      <c r="V583" s="4">
        <v>30</v>
      </c>
      <c r="W583" s="4">
        <v>66</v>
      </c>
    </row>
    <row r="584" spans="1:23" ht="11.25" customHeight="1" x14ac:dyDescent="0.25">
      <c r="A584" s="4" t="s">
        <v>27</v>
      </c>
      <c r="B584" s="4" t="s">
        <v>35</v>
      </c>
      <c r="C584" s="4" t="s">
        <v>44</v>
      </c>
      <c r="D584" s="4" t="s">
        <v>48</v>
      </c>
      <c r="E584" s="4" t="s">
        <v>25</v>
      </c>
      <c r="F584" s="4" t="s">
        <v>25</v>
      </c>
      <c r="G584" s="4" t="s">
        <v>25</v>
      </c>
      <c r="H584" s="4" t="s">
        <v>37</v>
      </c>
      <c r="I584" s="5">
        <v>44287</v>
      </c>
      <c r="J584" s="6">
        <v>-555</v>
      </c>
      <c r="K584" s="6">
        <v>-555</v>
      </c>
      <c r="L584" s="6">
        <v>-0.28000000000000003</v>
      </c>
      <c r="M584" s="6">
        <v>-0.28000000000000003</v>
      </c>
      <c r="N584" s="6">
        <v>-0.28000000000000003</v>
      </c>
      <c r="O584" s="6">
        <v>-0.28000000000000003</v>
      </c>
      <c r="P584" s="6">
        <v>0</v>
      </c>
      <c r="Q584" s="4" t="s">
        <v>26</v>
      </c>
      <c r="R584" s="4">
        <v>0</v>
      </c>
      <c r="S584" s="4" t="s">
        <v>175</v>
      </c>
      <c r="T584" s="4" t="s">
        <v>450</v>
      </c>
      <c r="U584" s="4">
        <v>28</v>
      </c>
      <c r="V584" s="4">
        <v>30</v>
      </c>
      <c r="W584" s="4">
        <v>66</v>
      </c>
    </row>
    <row r="585" spans="1:23" ht="11.25" customHeight="1" x14ac:dyDescent="0.25">
      <c r="A585" s="4" t="s">
        <v>28</v>
      </c>
      <c r="B585" s="4" t="s">
        <v>35</v>
      </c>
      <c r="C585" s="4" t="s">
        <v>44</v>
      </c>
      <c r="D585" s="4" t="s">
        <v>48</v>
      </c>
      <c r="E585" s="4" t="s">
        <v>25</v>
      </c>
      <c r="F585" s="4" t="s">
        <v>25</v>
      </c>
      <c r="G585" s="4" t="s">
        <v>25</v>
      </c>
      <c r="H585" s="4" t="s">
        <v>37</v>
      </c>
      <c r="I585" s="5">
        <v>44287</v>
      </c>
      <c r="J585" s="6">
        <v>5402</v>
      </c>
      <c r="K585" s="6">
        <v>5402</v>
      </c>
      <c r="L585" s="6">
        <v>166.22200000000001</v>
      </c>
      <c r="M585" s="6">
        <v>166.22200000000001</v>
      </c>
      <c r="N585" s="6">
        <v>166.22200000000001</v>
      </c>
      <c r="O585" s="6">
        <v>166.22200000000001</v>
      </c>
      <c r="P585" s="6">
        <v>0</v>
      </c>
      <c r="Q585" s="4" t="s">
        <v>26</v>
      </c>
      <c r="R585" s="4">
        <v>0</v>
      </c>
      <c r="S585" s="4" t="s">
        <v>175</v>
      </c>
      <c r="T585" s="4" t="s">
        <v>450</v>
      </c>
      <c r="U585" s="4">
        <v>28</v>
      </c>
      <c r="V585" s="4">
        <v>30</v>
      </c>
      <c r="W585" s="4">
        <v>66</v>
      </c>
    </row>
    <row r="586" spans="1:23" ht="11.25" customHeight="1" x14ac:dyDescent="0.25">
      <c r="A586" s="4" t="s">
        <v>21</v>
      </c>
      <c r="B586" s="4" t="s">
        <v>35</v>
      </c>
      <c r="C586" s="4" t="s">
        <v>44</v>
      </c>
      <c r="D586" s="4" t="s">
        <v>48</v>
      </c>
      <c r="E586" s="4" t="s">
        <v>25</v>
      </c>
      <c r="F586" s="4" t="s">
        <v>25</v>
      </c>
      <c r="G586" s="4" t="s">
        <v>25</v>
      </c>
      <c r="H586" s="4" t="s">
        <v>37</v>
      </c>
      <c r="I586" s="5">
        <v>44317</v>
      </c>
      <c r="J586" s="6">
        <v>14827</v>
      </c>
      <c r="K586" s="6">
        <v>14827</v>
      </c>
      <c r="L586" s="6">
        <v>457.81900000000002</v>
      </c>
      <c r="M586" s="6">
        <v>457.81900000000002</v>
      </c>
      <c r="N586" s="6">
        <v>457.81900000000002</v>
      </c>
      <c r="O586" s="6">
        <v>457.81900000000002</v>
      </c>
      <c r="P586" s="6">
        <v>0</v>
      </c>
      <c r="Q586" s="4" t="s">
        <v>26</v>
      </c>
      <c r="R586" s="4">
        <v>0</v>
      </c>
      <c r="S586" s="4" t="s">
        <v>176</v>
      </c>
      <c r="T586" s="4" t="s">
        <v>451</v>
      </c>
      <c r="U586" s="4">
        <v>28</v>
      </c>
      <c r="V586" s="4">
        <v>30</v>
      </c>
      <c r="W586" s="4">
        <v>66</v>
      </c>
    </row>
    <row r="587" spans="1:23" ht="11.25" customHeight="1" x14ac:dyDescent="0.25">
      <c r="A587" s="4" t="s">
        <v>27</v>
      </c>
      <c r="B587" s="4" t="s">
        <v>35</v>
      </c>
      <c r="C587" s="4" t="s">
        <v>44</v>
      </c>
      <c r="D587" s="4" t="s">
        <v>48</v>
      </c>
      <c r="E587" s="4" t="s">
        <v>25</v>
      </c>
      <c r="F587" s="4" t="s">
        <v>25</v>
      </c>
      <c r="G587" s="4" t="s">
        <v>25</v>
      </c>
      <c r="H587" s="4" t="s">
        <v>37</v>
      </c>
      <c r="I587" s="5">
        <v>44317</v>
      </c>
      <c r="J587" s="6">
        <v>-2269</v>
      </c>
      <c r="K587" s="6">
        <v>-2269</v>
      </c>
      <c r="L587" s="6">
        <v>-14.282</v>
      </c>
      <c r="M587" s="6">
        <v>-14.282</v>
      </c>
      <c r="N587" s="6">
        <v>-14.282</v>
      </c>
      <c r="O587" s="6">
        <v>-14.282</v>
      </c>
      <c r="P587" s="6">
        <v>0</v>
      </c>
      <c r="Q587" s="4" t="s">
        <v>26</v>
      </c>
      <c r="R587" s="4">
        <v>0</v>
      </c>
      <c r="S587" s="4" t="s">
        <v>176</v>
      </c>
      <c r="T587" s="4" t="s">
        <v>451</v>
      </c>
      <c r="U587" s="4">
        <v>28</v>
      </c>
      <c r="V587" s="4">
        <v>30</v>
      </c>
      <c r="W587" s="4">
        <v>66</v>
      </c>
    </row>
    <row r="588" spans="1:23" ht="11.25" customHeight="1" x14ac:dyDescent="0.25">
      <c r="A588" s="4" t="s">
        <v>28</v>
      </c>
      <c r="B588" s="4" t="s">
        <v>35</v>
      </c>
      <c r="C588" s="4" t="s">
        <v>44</v>
      </c>
      <c r="D588" s="4" t="s">
        <v>48</v>
      </c>
      <c r="E588" s="4" t="s">
        <v>25</v>
      </c>
      <c r="F588" s="4" t="s">
        <v>25</v>
      </c>
      <c r="G588" s="4" t="s">
        <v>25</v>
      </c>
      <c r="H588" s="4" t="s">
        <v>37</v>
      </c>
      <c r="I588" s="5">
        <v>44317</v>
      </c>
      <c r="J588" s="6">
        <v>5277</v>
      </c>
      <c r="K588" s="6">
        <v>5277</v>
      </c>
      <c r="L588" s="6">
        <v>160.21600000000001</v>
      </c>
      <c r="M588" s="6">
        <v>160.21600000000001</v>
      </c>
      <c r="N588" s="6">
        <v>160.21600000000001</v>
      </c>
      <c r="O588" s="6">
        <v>160.21600000000001</v>
      </c>
      <c r="P588" s="6">
        <v>0</v>
      </c>
      <c r="Q588" s="4" t="s">
        <v>26</v>
      </c>
      <c r="R588" s="4">
        <v>0</v>
      </c>
      <c r="S588" s="4" t="s">
        <v>176</v>
      </c>
      <c r="T588" s="4" t="s">
        <v>451</v>
      </c>
      <c r="U588" s="4">
        <v>28</v>
      </c>
      <c r="V588" s="4">
        <v>30</v>
      </c>
      <c r="W588" s="4">
        <v>66</v>
      </c>
    </row>
    <row r="589" spans="1:23" ht="11.25" customHeight="1" x14ac:dyDescent="0.25">
      <c r="A589" s="4" t="s">
        <v>29</v>
      </c>
      <c r="B589" s="4" t="s">
        <v>35</v>
      </c>
      <c r="C589" s="4" t="s">
        <v>44</v>
      </c>
      <c r="D589" s="4" t="s">
        <v>48</v>
      </c>
      <c r="E589" s="4" t="s">
        <v>25</v>
      </c>
      <c r="F589" s="4" t="s">
        <v>25</v>
      </c>
      <c r="G589" s="4" t="s">
        <v>25</v>
      </c>
      <c r="H589" s="4" t="s">
        <v>37</v>
      </c>
      <c r="I589" s="5">
        <v>44317</v>
      </c>
      <c r="J589" s="6">
        <v>-1640</v>
      </c>
      <c r="K589" s="6">
        <v>-1640</v>
      </c>
      <c r="L589" s="6">
        <v>-11.467000000000001</v>
      </c>
      <c r="M589" s="6">
        <v>-11.467000000000001</v>
      </c>
      <c r="N589" s="6">
        <v>-11.467000000000001</v>
      </c>
      <c r="O589" s="6">
        <v>-11.467000000000001</v>
      </c>
      <c r="P589" s="6">
        <v>0</v>
      </c>
      <c r="Q589" s="4" t="s">
        <v>26</v>
      </c>
      <c r="R589" s="4">
        <v>0</v>
      </c>
      <c r="S589" s="4" t="s">
        <v>176</v>
      </c>
      <c r="T589" s="4" t="s">
        <v>451</v>
      </c>
      <c r="U589" s="4">
        <v>28</v>
      </c>
      <c r="V589" s="4">
        <v>30</v>
      </c>
      <c r="W589" s="4">
        <v>66</v>
      </c>
    </row>
    <row r="590" spans="1:23" ht="11.25" customHeight="1" x14ac:dyDescent="0.25">
      <c r="A590" s="4" t="s">
        <v>21</v>
      </c>
      <c r="B590" s="4" t="s">
        <v>35</v>
      </c>
      <c r="C590" s="4" t="s">
        <v>44</v>
      </c>
      <c r="D590" s="4" t="s">
        <v>48</v>
      </c>
      <c r="E590" s="4" t="s">
        <v>25</v>
      </c>
      <c r="F590" s="4" t="s">
        <v>25</v>
      </c>
      <c r="G590" s="4" t="s">
        <v>25</v>
      </c>
      <c r="H590" s="4" t="s">
        <v>37</v>
      </c>
      <c r="I590" s="5">
        <v>44348</v>
      </c>
      <c r="J590" s="6">
        <v>14855</v>
      </c>
      <c r="K590" s="6">
        <v>14855</v>
      </c>
      <c r="L590" s="6">
        <v>462.822</v>
      </c>
      <c r="M590" s="6">
        <v>462.822</v>
      </c>
      <c r="N590" s="6">
        <v>462.822</v>
      </c>
      <c r="O590" s="6">
        <v>462.822</v>
      </c>
      <c r="P590" s="6">
        <v>0</v>
      </c>
      <c r="Q590" s="4" t="s">
        <v>26</v>
      </c>
      <c r="R590" s="4">
        <v>0</v>
      </c>
      <c r="S590" s="4" t="s">
        <v>177</v>
      </c>
      <c r="T590" s="4" t="s">
        <v>452</v>
      </c>
      <c r="U590" s="4">
        <v>28</v>
      </c>
      <c r="V590" s="4">
        <v>30</v>
      </c>
      <c r="W590" s="4">
        <v>66</v>
      </c>
    </row>
    <row r="591" spans="1:23" ht="11.25" customHeight="1" x14ac:dyDescent="0.25">
      <c r="A591" s="4" t="s">
        <v>28</v>
      </c>
      <c r="B591" s="4" t="s">
        <v>35</v>
      </c>
      <c r="C591" s="4" t="s">
        <v>44</v>
      </c>
      <c r="D591" s="4" t="s">
        <v>48</v>
      </c>
      <c r="E591" s="4" t="s">
        <v>25</v>
      </c>
      <c r="F591" s="4" t="s">
        <v>25</v>
      </c>
      <c r="G591" s="4" t="s">
        <v>25</v>
      </c>
      <c r="H591" s="4" t="s">
        <v>37</v>
      </c>
      <c r="I591" s="5">
        <v>44348</v>
      </c>
      <c r="J591" s="6">
        <v>5140</v>
      </c>
      <c r="K591" s="6">
        <v>5140</v>
      </c>
      <c r="L591" s="6">
        <v>163.92400000000001</v>
      </c>
      <c r="M591" s="6">
        <v>163.92400000000001</v>
      </c>
      <c r="N591" s="6">
        <v>163.92400000000001</v>
      </c>
      <c r="O591" s="6">
        <v>163.92400000000001</v>
      </c>
      <c r="P591" s="6">
        <v>0</v>
      </c>
      <c r="Q591" s="4" t="s">
        <v>26</v>
      </c>
      <c r="R591" s="4">
        <v>0</v>
      </c>
      <c r="S591" s="4" t="s">
        <v>177</v>
      </c>
      <c r="T591" s="4" t="s">
        <v>452</v>
      </c>
      <c r="U591" s="4">
        <v>28</v>
      </c>
      <c r="V591" s="4">
        <v>30</v>
      </c>
      <c r="W591" s="4">
        <v>66</v>
      </c>
    </row>
    <row r="592" spans="1:23" ht="11.25" customHeight="1" x14ac:dyDescent="0.25">
      <c r="A592" s="4" t="s">
        <v>21</v>
      </c>
      <c r="B592" s="4" t="s">
        <v>35</v>
      </c>
      <c r="C592" s="4" t="s">
        <v>44</v>
      </c>
      <c r="D592" s="4" t="s">
        <v>48</v>
      </c>
      <c r="E592" s="4" t="s">
        <v>25</v>
      </c>
      <c r="F592" s="4" t="s">
        <v>25</v>
      </c>
      <c r="G592" s="4" t="s">
        <v>25</v>
      </c>
      <c r="H592" s="4" t="s">
        <v>37</v>
      </c>
      <c r="I592" s="5">
        <v>44378</v>
      </c>
      <c r="J592" s="6">
        <v>14777</v>
      </c>
      <c r="K592" s="6">
        <v>14777</v>
      </c>
      <c r="L592" s="6">
        <v>479.69400000000002</v>
      </c>
      <c r="M592" s="6">
        <v>479.69400000000002</v>
      </c>
      <c r="N592" s="6">
        <v>479.69400000000002</v>
      </c>
      <c r="O592" s="6">
        <v>479.69400000000002</v>
      </c>
      <c r="P592" s="6">
        <v>0</v>
      </c>
      <c r="Q592" s="4" t="s">
        <v>26</v>
      </c>
      <c r="R592" s="4">
        <v>0</v>
      </c>
      <c r="S592" s="4" t="s">
        <v>178</v>
      </c>
      <c r="T592" s="4" t="s">
        <v>453</v>
      </c>
      <c r="U592" s="4">
        <v>28</v>
      </c>
      <c r="V592" s="4">
        <v>30</v>
      </c>
      <c r="W592" s="4">
        <v>66</v>
      </c>
    </row>
    <row r="593" spans="1:23" ht="11.25" customHeight="1" x14ac:dyDescent="0.25">
      <c r="A593" s="4" t="s">
        <v>28</v>
      </c>
      <c r="B593" s="4" t="s">
        <v>35</v>
      </c>
      <c r="C593" s="4" t="s">
        <v>44</v>
      </c>
      <c r="D593" s="4" t="s">
        <v>48</v>
      </c>
      <c r="E593" s="4" t="s">
        <v>25</v>
      </c>
      <c r="F593" s="4" t="s">
        <v>25</v>
      </c>
      <c r="G593" s="4" t="s">
        <v>25</v>
      </c>
      <c r="H593" s="4" t="s">
        <v>37</v>
      </c>
      <c r="I593" s="5">
        <v>44378</v>
      </c>
      <c r="J593" s="6">
        <v>5170</v>
      </c>
      <c r="K593" s="6">
        <v>5170</v>
      </c>
      <c r="L593" s="6">
        <v>169.131</v>
      </c>
      <c r="M593" s="6">
        <v>169.131</v>
      </c>
      <c r="N593" s="6">
        <v>169.131</v>
      </c>
      <c r="O593" s="6">
        <v>169.131</v>
      </c>
      <c r="P593" s="6">
        <v>0</v>
      </c>
      <c r="Q593" s="4" t="s">
        <v>26</v>
      </c>
      <c r="R593" s="4">
        <v>0</v>
      </c>
      <c r="S593" s="4" t="s">
        <v>178</v>
      </c>
      <c r="T593" s="4" t="s">
        <v>453</v>
      </c>
      <c r="U593" s="4">
        <v>28</v>
      </c>
      <c r="V593" s="4">
        <v>30</v>
      </c>
      <c r="W593" s="4">
        <v>66</v>
      </c>
    </row>
    <row r="594" spans="1:23" ht="11.25" customHeight="1" x14ac:dyDescent="0.25">
      <c r="A594" s="4" t="s">
        <v>21</v>
      </c>
      <c r="B594" s="4" t="s">
        <v>35</v>
      </c>
      <c r="C594" s="4" t="s">
        <v>44</v>
      </c>
      <c r="D594" s="4" t="s">
        <v>48</v>
      </c>
      <c r="E594" s="4" t="s">
        <v>25</v>
      </c>
      <c r="F594" s="4" t="s">
        <v>25</v>
      </c>
      <c r="G594" s="4" t="s">
        <v>25</v>
      </c>
      <c r="H594" s="4" t="s">
        <v>37</v>
      </c>
      <c r="I594" s="5">
        <v>44409</v>
      </c>
      <c r="J594" s="6">
        <v>19230</v>
      </c>
      <c r="K594" s="6">
        <v>19230</v>
      </c>
      <c r="L594" s="6">
        <v>510.53300000000002</v>
      </c>
      <c r="M594" s="6">
        <v>510.53300000000002</v>
      </c>
      <c r="N594" s="6">
        <v>510.53300000000002</v>
      </c>
      <c r="O594" s="6">
        <v>510.53300000000002</v>
      </c>
      <c r="P594" s="6">
        <v>0</v>
      </c>
      <c r="Q594" s="4" t="s">
        <v>26</v>
      </c>
      <c r="R594" s="4">
        <v>0</v>
      </c>
      <c r="S594" s="4" t="s">
        <v>179</v>
      </c>
      <c r="T594" s="4" t="s">
        <v>454</v>
      </c>
      <c r="U594" s="4">
        <v>28</v>
      </c>
      <c r="V594" s="4">
        <v>30</v>
      </c>
      <c r="W594" s="4">
        <v>66</v>
      </c>
    </row>
    <row r="595" spans="1:23" ht="11.25" customHeight="1" x14ac:dyDescent="0.25">
      <c r="A595" s="4" t="s">
        <v>27</v>
      </c>
      <c r="B595" s="4" t="s">
        <v>35</v>
      </c>
      <c r="C595" s="4" t="s">
        <v>44</v>
      </c>
      <c r="D595" s="4" t="s">
        <v>48</v>
      </c>
      <c r="E595" s="4" t="s">
        <v>25</v>
      </c>
      <c r="F595" s="4" t="s">
        <v>25</v>
      </c>
      <c r="G595" s="4" t="s">
        <v>25</v>
      </c>
      <c r="H595" s="4" t="s">
        <v>37</v>
      </c>
      <c r="I595" s="5">
        <v>44409</v>
      </c>
      <c r="J595" s="6">
        <v>-450</v>
      </c>
      <c r="K595" s="6">
        <v>-450</v>
      </c>
      <c r="L595" s="6">
        <v>-12.545</v>
      </c>
      <c r="M595" s="6">
        <v>-12.545</v>
      </c>
      <c r="N595" s="6">
        <v>-12.545</v>
      </c>
      <c r="O595" s="6">
        <v>-12.545</v>
      </c>
      <c r="P595" s="6">
        <v>0</v>
      </c>
      <c r="Q595" s="4" t="s">
        <v>26</v>
      </c>
      <c r="R595" s="4">
        <v>0</v>
      </c>
      <c r="S595" s="4" t="s">
        <v>179</v>
      </c>
      <c r="T595" s="4" t="s">
        <v>454</v>
      </c>
      <c r="U595" s="4">
        <v>28</v>
      </c>
      <c r="V595" s="4">
        <v>30</v>
      </c>
      <c r="W595" s="4">
        <v>66</v>
      </c>
    </row>
    <row r="596" spans="1:23" ht="11.25" customHeight="1" x14ac:dyDescent="0.25">
      <c r="A596" s="4" t="s">
        <v>28</v>
      </c>
      <c r="B596" s="4" t="s">
        <v>35</v>
      </c>
      <c r="C596" s="4" t="s">
        <v>44</v>
      </c>
      <c r="D596" s="4" t="s">
        <v>48</v>
      </c>
      <c r="E596" s="4" t="s">
        <v>25</v>
      </c>
      <c r="F596" s="4" t="s">
        <v>25</v>
      </c>
      <c r="G596" s="4" t="s">
        <v>25</v>
      </c>
      <c r="H596" s="4" t="s">
        <v>37</v>
      </c>
      <c r="I596" s="5">
        <v>44409</v>
      </c>
      <c r="J596" s="6">
        <v>5516</v>
      </c>
      <c r="K596" s="6">
        <v>5516</v>
      </c>
      <c r="L596" s="6">
        <v>187.358</v>
      </c>
      <c r="M596" s="6">
        <v>187.358</v>
      </c>
      <c r="N596" s="6">
        <v>187.358</v>
      </c>
      <c r="O596" s="6">
        <v>187.358</v>
      </c>
      <c r="P596" s="6">
        <v>0</v>
      </c>
      <c r="Q596" s="4" t="s">
        <v>26</v>
      </c>
      <c r="R596" s="4">
        <v>0</v>
      </c>
      <c r="S596" s="4" t="s">
        <v>179</v>
      </c>
      <c r="T596" s="4" t="s">
        <v>454</v>
      </c>
      <c r="U596" s="4">
        <v>28</v>
      </c>
      <c r="V596" s="4">
        <v>30</v>
      </c>
      <c r="W596" s="4">
        <v>66</v>
      </c>
    </row>
    <row r="597" spans="1:23" ht="11.25" customHeight="1" x14ac:dyDescent="0.25">
      <c r="A597" s="4" t="s">
        <v>29</v>
      </c>
      <c r="B597" s="4" t="s">
        <v>35</v>
      </c>
      <c r="C597" s="4" t="s">
        <v>44</v>
      </c>
      <c r="D597" s="4" t="s">
        <v>48</v>
      </c>
      <c r="E597" s="4" t="s">
        <v>25</v>
      </c>
      <c r="F597" s="4" t="s">
        <v>25</v>
      </c>
      <c r="G597" s="4" t="s">
        <v>25</v>
      </c>
      <c r="H597" s="4" t="s">
        <v>37</v>
      </c>
      <c r="I597" s="5">
        <v>44409</v>
      </c>
      <c r="J597" s="6">
        <v>-95</v>
      </c>
      <c r="K597" s="6">
        <v>-95</v>
      </c>
      <c r="L597" s="6">
        <v>-2.681</v>
      </c>
      <c r="M597" s="6">
        <v>-2.681</v>
      </c>
      <c r="N597" s="6">
        <v>-2.681</v>
      </c>
      <c r="O597" s="6">
        <v>-2.681</v>
      </c>
      <c r="P597" s="6">
        <v>0</v>
      </c>
      <c r="Q597" s="4" t="s">
        <v>26</v>
      </c>
      <c r="R597" s="4">
        <v>0</v>
      </c>
      <c r="S597" s="4" t="s">
        <v>179</v>
      </c>
      <c r="T597" s="4" t="s">
        <v>454</v>
      </c>
      <c r="U597" s="4">
        <v>28</v>
      </c>
      <c r="V597" s="4">
        <v>30</v>
      </c>
      <c r="W597" s="4">
        <v>66</v>
      </c>
    </row>
    <row r="598" spans="1:23" ht="11.25" customHeight="1" x14ac:dyDescent="0.25">
      <c r="A598" s="4" t="s">
        <v>30</v>
      </c>
      <c r="B598" s="4" t="s">
        <v>35</v>
      </c>
      <c r="C598" s="4" t="s">
        <v>44</v>
      </c>
      <c r="D598" s="4" t="s">
        <v>48</v>
      </c>
      <c r="E598" s="4" t="s">
        <v>25</v>
      </c>
      <c r="F598" s="4" t="s">
        <v>25</v>
      </c>
      <c r="G598" s="4" t="s">
        <v>25</v>
      </c>
      <c r="H598" s="4" t="s">
        <v>37</v>
      </c>
      <c r="I598" s="5">
        <v>44409</v>
      </c>
      <c r="J598" s="6">
        <v>550</v>
      </c>
      <c r="K598" s="6">
        <v>550</v>
      </c>
      <c r="L598" s="6">
        <v>4.0179999999999998</v>
      </c>
      <c r="M598" s="6">
        <v>4.0179999999999998</v>
      </c>
      <c r="N598" s="6">
        <v>4.0179999999999998</v>
      </c>
      <c r="O598" s="6">
        <v>4.0179999999999998</v>
      </c>
      <c r="P598" s="6">
        <v>0</v>
      </c>
      <c r="Q598" s="4" t="s">
        <v>26</v>
      </c>
      <c r="R598" s="4">
        <v>0</v>
      </c>
      <c r="S598" s="4" t="s">
        <v>179</v>
      </c>
      <c r="T598" s="4" t="s">
        <v>454</v>
      </c>
      <c r="U598" s="4">
        <v>28</v>
      </c>
      <c r="V598" s="4">
        <v>30</v>
      </c>
      <c r="W598" s="4">
        <v>66</v>
      </c>
    </row>
    <row r="599" spans="1:23" ht="11.25" customHeight="1" x14ac:dyDescent="0.25">
      <c r="A599" s="4" t="s">
        <v>21</v>
      </c>
      <c r="B599" s="4" t="s">
        <v>35</v>
      </c>
      <c r="C599" s="4" t="s">
        <v>44</v>
      </c>
      <c r="D599" s="4" t="s">
        <v>48</v>
      </c>
      <c r="E599" s="4" t="s">
        <v>25</v>
      </c>
      <c r="F599" s="4" t="s">
        <v>25</v>
      </c>
      <c r="G599" s="4" t="s">
        <v>25</v>
      </c>
      <c r="H599" s="4" t="s">
        <v>37</v>
      </c>
      <c r="I599" s="5">
        <v>44440</v>
      </c>
      <c r="J599" s="6">
        <v>19107</v>
      </c>
      <c r="K599" s="6">
        <v>19107</v>
      </c>
      <c r="L599" s="6">
        <v>478.75200000000001</v>
      </c>
      <c r="M599" s="6">
        <v>478.75200000000001</v>
      </c>
      <c r="N599" s="6">
        <v>478.75200000000001</v>
      </c>
      <c r="O599" s="6">
        <v>478.75200000000001</v>
      </c>
      <c r="P599" s="6">
        <v>0</v>
      </c>
      <c r="Q599" s="4" t="s">
        <v>26</v>
      </c>
      <c r="R599" s="4">
        <v>0</v>
      </c>
      <c r="S599" s="4" t="s">
        <v>180</v>
      </c>
      <c r="T599" s="4" t="s">
        <v>455</v>
      </c>
      <c r="U599" s="4">
        <v>28</v>
      </c>
      <c r="V599" s="4">
        <v>30</v>
      </c>
      <c r="W599" s="4">
        <v>66</v>
      </c>
    </row>
    <row r="600" spans="1:23" ht="11.25" customHeight="1" x14ac:dyDescent="0.25">
      <c r="A600" s="4" t="s">
        <v>28</v>
      </c>
      <c r="B600" s="4" t="s">
        <v>35</v>
      </c>
      <c r="C600" s="4" t="s">
        <v>44</v>
      </c>
      <c r="D600" s="4" t="s">
        <v>48</v>
      </c>
      <c r="E600" s="4" t="s">
        <v>25</v>
      </c>
      <c r="F600" s="4" t="s">
        <v>25</v>
      </c>
      <c r="G600" s="4" t="s">
        <v>25</v>
      </c>
      <c r="H600" s="4" t="s">
        <v>37</v>
      </c>
      <c r="I600" s="5">
        <v>44440</v>
      </c>
      <c r="J600" s="6">
        <v>5608</v>
      </c>
      <c r="K600" s="6">
        <v>5608</v>
      </c>
      <c r="L600" s="6">
        <v>166.917</v>
      </c>
      <c r="M600" s="6">
        <v>166.917</v>
      </c>
      <c r="N600" s="6">
        <v>166.917</v>
      </c>
      <c r="O600" s="6">
        <v>166.917</v>
      </c>
      <c r="P600" s="6">
        <v>0</v>
      </c>
      <c r="Q600" s="4" t="s">
        <v>26</v>
      </c>
      <c r="R600" s="4">
        <v>0</v>
      </c>
      <c r="S600" s="4" t="s">
        <v>180</v>
      </c>
      <c r="T600" s="4" t="s">
        <v>455</v>
      </c>
      <c r="U600" s="4">
        <v>28</v>
      </c>
      <c r="V600" s="4">
        <v>30</v>
      </c>
      <c r="W600" s="4">
        <v>66</v>
      </c>
    </row>
    <row r="601" spans="1:23" ht="11.25" customHeight="1" x14ac:dyDescent="0.25">
      <c r="A601" s="4" t="s">
        <v>29</v>
      </c>
      <c r="B601" s="4" t="s">
        <v>35</v>
      </c>
      <c r="C601" s="4" t="s">
        <v>44</v>
      </c>
      <c r="D601" s="4" t="s">
        <v>48</v>
      </c>
      <c r="E601" s="4" t="s">
        <v>25</v>
      </c>
      <c r="F601" s="4" t="s">
        <v>25</v>
      </c>
      <c r="G601" s="4" t="s">
        <v>25</v>
      </c>
      <c r="H601" s="4" t="s">
        <v>37</v>
      </c>
      <c r="I601" s="5">
        <v>44440</v>
      </c>
      <c r="J601" s="6">
        <v>-42</v>
      </c>
      <c r="K601" s="6">
        <v>-42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4" t="s">
        <v>26</v>
      </c>
      <c r="R601" s="4">
        <v>0</v>
      </c>
      <c r="S601" s="4" t="s">
        <v>180</v>
      </c>
      <c r="T601" s="4" t="s">
        <v>455</v>
      </c>
      <c r="U601" s="4">
        <v>28</v>
      </c>
      <c r="V601" s="4">
        <v>0</v>
      </c>
      <c r="W601" s="4">
        <v>0</v>
      </c>
    </row>
    <row r="602" spans="1:23" ht="11.25" customHeight="1" x14ac:dyDescent="0.25">
      <c r="A602" s="4" t="s">
        <v>30</v>
      </c>
      <c r="B602" s="4" t="s">
        <v>35</v>
      </c>
      <c r="C602" s="4" t="s">
        <v>44</v>
      </c>
      <c r="D602" s="4" t="s">
        <v>48</v>
      </c>
      <c r="E602" s="4" t="s">
        <v>25</v>
      </c>
      <c r="F602" s="4" t="s">
        <v>25</v>
      </c>
      <c r="G602" s="4" t="s">
        <v>25</v>
      </c>
      <c r="H602" s="4" t="s">
        <v>37</v>
      </c>
      <c r="I602" s="5">
        <v>44440</v>
      </c>
      <c r="J602" s="6">
        <v>550</v>
      </c>
      <c r="K602" s="6">
        <v>550</v>
      </c>
      <c r="L602" s="6">
        <v>3.6680000000000001</v>
      </c>
      <c r="M602" s="6">
        <v>3.6680000000000001</v>
      </c>
      <c r="N602" s="6">
        <v>3.6680000000000001</v>
      </c>
      <c r="O602" s="6">
        <v>3.6680000000000001</v>
      </c>
      <c r="P602" s="6">
        <v>0</v>
      </c>
      <c r="Q602" s="4" t="s">
        <v>26</v>
      </c>
      <c r="R602" s="4">
        <v>0</v>
      </c>
      <c r="S602" s="4" t="s">
        <v>180</v>
      </c>
      <c r="T602" s="4" t="s">
        <v>455</v>
      </c>
      <c r="U602" s="4">
        <v>28</v>
      </c>
      <c r="V602" s="4">
        <v>30</v>
      </c>
      <c r="W602" s="4">
        <v>66</v>
      </c>
    </row>
    <row r="603" spans="1:23" ht="11.25" customHeight="1" x14ac:dyDescent="0.25">
      <c r="A603" s="4" t="s">
        <v>59</v>
      </c>
      <c r="B603" s="4" t="s">
        <v>35</v>
      </c>
      <c r="C603" s="4" t="s">
        <v>44</v>
      </c>
      <c r="D603" s="4" t="s">
        <v>48</v>
      </c>
      <c r="E603" s="4" t="s">
        <v>25</v>
      </c>
      <c r="F603" s="4" t="s">
        <v>25</v>
      </c>
      <c r="G603" s="4" t="s">
        <v>25</v>
      </c>
      <c r="H603" s="4" t="s">
        <v>37</v>
      </c>
      <c r="I603" s="5">
        <v>44470</v>
      </c>
      <c r="J603" s="6">
        <v>19107</v>
      </c>
      <c r="K603" s="6">
        <v>19107</v>
      </c>
      <c r="L603" s="6">
        <v>478.75200000000001</v>
      </c>
      <c r="M603" s="6">
        <v>478.75200000000001</v>
      </c>
      <c r="N603" s="6">
        <v>478.75200000000001</v>
      </c>
      <c r="O603" s="6">
        <v>478.75200000000001</v>
      </c>
      <c r="P603" s="6">
        <v>0</v>
      </c>
      <c r="Q603" s="4" t="s">
        <v>26</v>
      </c>
      <c r="R603" s="4">
        <v>0</v>
      </c>
      <c r="S603" s="4" t="s">
        <v>181</v>
      </c>
      <c r="T603" s="4" t="s">
        <v>456</v>
      </c>
      <c r="U603" s="4">
        <v>28</v>
      </c>
      <c r="V603" s="4">
        <v>30</v>
      </c>
      <c r="W603" s="4">
        <v>66</v>
      </c>
    </row>
    <row r="604" spans="1:23" ht="11.25" customHeight="1" x14ac:dyDescent="0.25">
      <c r="A604" s="4" t="s">
        <v>59</v>
      </c>
      <c r="B604" s="4" t="s">
        <v>35</v>
      </c>
      <c r="C604" s="4" t="s">
        <v>44</v>
      </c>
      <c r="D604" s="4" t="s">
        <v>48</v>
      </c>
      <c r="E604" s="4" t="s">
        <v>25</v>
      </c>
      <c r="F604" s="4" t="s">
        <v>25</v>
      </c>
      <c r="G604" s="4" t="s">
        <v>25</v>
      </c>
      <c r="H604" s="4" t="s">
        <v>37</v>
      </c>
      <c r="I604" s="5">
        <v>44470</v>
      </c>
      <c r="J604" s="6">
        <v>5608</v>
      </c>
      <c r="K604" s="6">
        <v>5608</v>
      </c>
      <c r="L604" s="6">
        <v>166.917</v>
      </c>
      <c r="M604" s="6">
        <v>166.917</v>
      </c>
      <c r="N604" s="6">
        <v>166.917</v>
      </c>
      <c r="O604" s="6">
        <v>166.917</v>
      </c>
      <c r="P604" s="6">
        <v>0</v>
      </c>
      <c r="Q604" s="4" t="s">
        <v>26</v>
      </c>
      <c r="R604" s="4">
        <v>0</v>
      </c>
      <c r="S604" s="4" t="s">
        <v>181</v>
      </c>
      <c r="T604" s="4" t="s">
        <v>456</v>
      </c>
      <c r="U604" s="4">
        <v>28</v>
      </c>
      <c r="V604" s="4">
        <v>30</v>
      </c>
      <c r="W604" s="4">
        <v>66</v>
      </c>
    </row>
    <row r="605" spans="1:23" ht="11.25" customHeight="1" x14ac:dyDescent="0.25">
      <c r="A605" s="4" t="s">
        <v>59</v>
      </c>
      <c r="B605" s="4" t="s">
        <v>35</v>
      </c>
      <c r="C605" s="4" t="s">
        <v>44</v>
      </c>
      <c r="D605" s="4" t="s">
        <v>48</v>
      </c>
      <c r="E605" s="4" t="s">
        <v>25</v>
      </c>
      <c r="F605" s="4" t="s">
        <v>25</v>
      </c>
      <c r="G605" s="4" t="s">
        <v>25</v>
      </c>
      <c r="H605" s="4" t="s">
        <v>37</v>
      </c>
      <c r="I605" s="5">
        <v>44470</v>
      </c>
      <c r="J605" s="6">
        <v>-42</v>
      </c>
      <c r="K605" s="6">
        <v>-42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4" t="s">
        <v>26</v>
      </c>
      <c r="R605" s="4">
        <v>0</v>
      </c>
      <c r="S605" s="4" t="s">
        <v>181</v>
      </c>
      <c r="T605" s="4" t="s">
        <v>456</v>
      </c>
      <c r="U605" s="4">
        <v>28</v>
      </c>
      <c r="V605" s="4">
        <v>0</v>
      </c>
      <c r="W605" s="4">
        <v>0</v>
      </c>
    </row>
    <row r="606" spans="1:23" ht="11.25" customHeight="1" x14ac:dyDescent="0.25">
      <c r="A606" s="4" t="s">
        <v>59</v>
      </c>
      <c r="B606" s="4" t="s">
        <v>35</v>
      </c>
      <c r="C606" s="4" t="s">
        <v>44</v>
      </c>
      <c r="D606" s="4" t="s">
        <v>48</v>
      </c>
      <c r="E606" s="4" t="s">
        <v>25</v>
      </c>
      <c r="F606" s="4" t="s">
        <v>25</v>
      </c>
      <c r="G606" s="4" t="s">
        <v>25</v>
      </c>
      <c r="H606" s="4" t="s">
        <v>37</v>
      </c>
      <c r="I606" s="5">
        <v>44470</v>
      </c>
      <c r="J606" s="6">
        <v>550</v>
      </c>
      <c r="K606" s="6">
        <v>550</v>
      </c>
      <c r="L606" s="6">
        <v>3.6680000000000001</v>
      </c>
      <c r="M606" s="6">
        <v>3.6680000000000001</v>
      </c>
      <c r="N606" s="6">
        <v>3.6680000000000001</v>
      </c>
      <c r="O606" s="6">
        <v>3.6680000000000001</v>
      </c>
      <c r="P606" s="6">
        <v>0</v>
      </c>
      <c r="Q606" s="4" t="s">
        <v>26</v>
      </c>
      <c r="R606" s="4">
        <v>0</v>
      </c>
      <c r="S606" s="4" t="s">
        <v>181</v>
      </c>
      <c r="T606" s="4" t="s">
        <v>456</v>
      </c>
      <c r="U606" s="4">
        <v>28</v>
      </c>
      <c r="V606" s="4">
        <v>30</v>
      </c>
      <c r="W606" s="4">
        <v>66</v>
      </c>
    </row>
    <row r="607" spans="1:23" ht="11.25" customHeight="1" x14ac:dyDescent="0.25">
      <c r="A607" s="4" t="s">
        <v>21</v>
      </c>
      <c r="B607" s="4" t="s">
        <v>35</v>
      </c>
      <c r="C607" s="4" t="s">
        <v>44</v>
      </c>
      <c r="D607" s="4" t="s">
        <v>47</v>
      </c>
      <c r="E607" s="4" t="s">
        <v>25</v>
      </c>
      <c r="F607" s="4" t="s">
        <v>25</v>
      </c>
      <c r="G607" s="4" t="s">
        <v>25</v>
      </c>
      <c r="H607" s="4" t="s">
        <v>38</v>
      </c>
      <c r="I607" s="5">
        <v>44136</v>
      </c>
      <c r="J607" s="6">
        <v>173</v>
      </c>
      <c r="K607" s="6">
        <v>162.62</v>
      </c>
      <c r="L607" s="6">
        <v>37.149000000000001</v>
      </c>
      <c r="M607" s="6">
        <v>34.920059999999999</v>
      </c>
      <c r="N607" s="6">
        <v>37.149000000000001</v>
      </c>
      <c r="O607" s="6">
        <v>34.920059999999999</v>
      </c>
      <c r="P607" s="6">
        <v>0</v>
      </c>
      <c r="Q607" s="4" t="s">
        <v>26</v>
      </c>
      <c r="R607" s="4">
        <v>0</v>
      </c>
      <c r="S607" s="4" t="s">
        <v>152</v>
      </c>
      <c r="T607" s="4" t="s">
        <v>433</v>
      </c>
      <c r="U607" s="4">
        <v>29</v>
      </c>
      <c r="V607" s="4">
        <v>30</v>
      </c>
      <c r="W607" s="4">
        <v>67</v>
      </c>
    </row>
    <row r="608" spans="1:23" ht="11.25" customHeight="1" x14ac:dyDescent="0.25">
      <c r="A608" s="4" t="s">
        <v>28</v>
      </c>
      <c r="B608" s="4" t="s">
        <v>35</v>
      </c>
      <c r="C608" s="4" t="s">
        <v>44</v>
      </c>
      <c r="D608" s="4" t="s">
        <v>47</v>
      </c>
      <c r="E608" s="4" t="s">
        <v>25</v>
      </c>
      <c r="F608" s="4" t="s">
        <v>25</v>
      </c>
      <c r="G608" s="4" t="s">
        <v>25</v>
      </c>
      <c r="H608" s="4" t="s">
        <v>38</v>
      </c>
      <c r="I608" s="5">
        <v>44136</v>
      </c>
      <c r="J608" s="6">
        <v>768</v>
      </c>
      <c r="K608" s="6">
        <v>721.92</v>
      </c>
      <c r="L608" s="6">
        <v>173.52</v>
      </c>
      <c r="M608" s="6">
        <v>163.1088</v>
      </c>
      <c r="N608" s="6">
        <v>173.52</v>
      </c>
      <c r="O608" s="6">
        <v>163.1088</v>
      </c>
      <c r="P608" s="6">
        <v>0</v>
      </c>
      <c r="Q608" s="4" t="s">
        <v>26</v>
      </c>
      <c r="R608" s="4">
        <v>0</v>
      </c>
      <c r="S608" s="4" t="s">
        <v>152</v>
      </c>
      <c r="T608" s="4" t="s">
        <v>433</v>
      </c>
      <c r="U608" s="4">
        <v>29</v>
      </c>
      <c r="V608" s="4">
        <v>30</v>
      </c>
      <c r="W608" s="4">
        <v>67</v>
      </c>
    </row>
    <row r="609" spans="1:23" ht="11.25" customHeight="1" x14ac:dyDescent="0.25">
      <c r="A609" s="4" t="s">
        <v>21</v>
      </c>
      <c r="B609" s="4" t="s">
        <v>35</v>
      </c>
      <c r="C609" s="4" t="s">
        <v>44</v>
      </c>
      <c r="D609" s="4" t="s">
        <v>47</v>
      </c>
      <c r="E609" s="4" t="s">
        <v>25</v>
      </c>
      <c r="F609" s="4" t="s">
        <v>25</v>
      </c>
      <c r="G609" s="4" t="s">
        <v>25</v>
      </c>
      <c r="H609" s="4" t="s">
        <v>38</v>
      </c>
      <c r="I609" s="5">
        <v>44166</v>
      </c>
      <c r="J609" s="6">
        <v>190</v>
      </c>
      <c r="K609" s="6">
        <v>178.6</v>
      </c>
      <c r="L609" s="6">
        <v>41.014000000000003</v>
      </c>
      <c r="M609" s="6">
        <v>38.553159999999998</v>
      </c>
      <c r="N609" s="6">
        <v>41.014000000000003</v>
      </c>
      <c r="O609" s="6">
        <v>38.553159999999998</v>
      </c>
      <c r="P609" s="6">
        <v>0</v>
      </c>
      <c r="Q609" s="4" t="s">
        <v>26</v>
      </c>
      <c r="R609" s="4">
        <v>0</v>
      </c>
      <c r="S609" s="4" t="s">
        <v>153</v>
      </c>
      <c r="T609" s="4" t="s">
        <v>434</v>
      </c>
      <c r="U609" s="4">
        <v>29</v>
      </c>
      <c r="V609" s="4">
        <v>30</v>
      </c>
      <c r="W609" s="4">
        <v>67</v>
      </c>
    </row>
    <row r="610" spans="1:23" ht="11.25" customHeight="1" x14ac:dyDescent="0.25">
      <c r="A610" s="4" t="s">
        <v>28</v>
      </c>
      <c r="B610" s="4" t="s">
        <v>35</v>
      </c>
      <c r="C610" s="4" t="s">
        <v>44</v>
      </c>
      <c r="D610" s="4" t="s">
        <v>47</v>
      </c>
      <c r="E610" s="4" t="s">
        <v>25</v>
      </c>
      <c r="F610" s="4" t="s">
        <v>25</v>
      </c>
      <c r="G610" s="4" t="s">
        <v>25</v>
      </c>
      <c r="H610" s="4" t="s">
        <v>38</v>
      </c>
      <c r="I610" s="5">
        <v>44166</v>
      </c>
      <c r="J610" s="6">
        <v>722</v>
      </c>
      <c r="K610" s="6">
        <v>678.68</v>
      </c>
      <c r="L610" s="6">
        <v>136.32</v>
      </c>
      <c r="M610" s="6">
        <v>128.14079999999998</v>
      </c>
      <c r="N610" s="6">
        <v>136.32</v>
      </c>
      <c r="O610" s="6">
        <v>128.14079999999998</v>
      </c>
      <c r="P610" s="6">
        <v>0</v>
      </c>
      <c r="Q610" s="4" t="s">
        <v>26</v>
      </c>
      <c r="R610" s="4">
        <v>0</v>
      </c>
      <c r="S610" s="4" t="s">
        <v>153</v>
      </c>
      <c r="T610" s="4" t="s">
        <v>434</v>
      </c>
      <c r="U610" s="4">
        <v>29</v>
      </c>
      <c r="V610" s="4">
        <v>30</v>
      </c>
      <c r="W610" s="4">
        <v>67</v>
      </c>
    </row>
    <row r="611" spans="1:23" ht="11.25" customHeight="1" x14ac:dyDescent="0.25">
      <c r="A611" s="4" t="s">
        <v>21</v>
      </c>
      <c r="B611" s="4" t="s">
        <v>35</v>
      </c>
      <c r="C611" s="4" t="s">
        <v>44</v>
      </c>
      <c r="D611" s="4" t="s">
        <v>47</v>
      </c>
      <c r="E611" s="4" t="s">
        <v>25</v>
      </c>
      <c r="F611" s="4" t="s">
        <v>25</v>
      </c>
      <c r="G611" s="4" t="s">
        <v>25</v>
      </c>
      <c r="H611" s="4" t="s">
        <v>38</v>
      </c>
      <c r="I611" s="5">
        <v>44197</v>
      </c>
      <c r="J611" s="6">
        <v>191</v>
      </c>
      <c r="K611" s="6">
        <v>179.54</v>
      </c>
      <c r="L611" s="6">
        <v>40.171999999999997</v>
      </c>
      <c r="M611" s="6">
        <v>37.761679999999998</v>
      </c>
      <c r="N611" s="6">
        <v>40.171999999999997</v>
      </c>
      <c r="O611" s="6">
        <v>37.761679999999998</v>
      </c>
      <c r="P611" s="6">
        <v>0</v>
      </c>
      <c r="Q611" s="4" t="s">
        <v>26</v>
      </c>
      <c r="R611" s="4">
        <v>0</v>
      </c>
      <c r="S611" s="4" t="s">
        <v>154</v>
      </c>
      <c r="T611" s="4" t="s">
        <v>435</v>
      </c>
      <c r="U611" s="4">
        <v>29</v>
      </c>
      <c r="V611" s="4">
        <v>30</v>
      </c>
      <c r="W611" s="4">
        <v>67</v>
      </c>
    </row>
    <row r="612" spans="1:23" ht="11.25" customHeight="1" x14ac:dyDescent="0.25">
      <c r="A612" s="4" t="s">
        <v>28</v>
      </c>
      <c r="B612" s="4" t="s">
        <v>35</v>
      </c>
      <c r="C612" s="4" t="s">
        <v>44</v>
      </c>
      <c r="D612" s="4" t="s">
        <v>47</v>
      </c>
      <c r="E612" s="4" t="s">
        <v>25</v>
      </c>
      <c r="F612" s="4" t="s">
        <v>25</v>
      </c>
      <c r="G612" s="4" t="s">
        <v>25</v>
      </c>
      <c r="H612" s="4" t="s">
        <v>38</v>
      </c>
      <c r="I612" s="5">
        <v>44197</v>
      </c>
      <c r="J612" s="6">
        <v>720</v>
      </c>
      <c r="K612" s="6">
        <v>676.8</v>
      </c>
      <c r="L612" s="6">
        <v>147.6</v>
      </c>
      <c r="M612" s="6">
        <v>138.744</v>
      </c>
      <c r="N612" s="6">
        <v>147.6</v>
      </c>
      <c r="O612" s="6">
        <v>138.744</v>
      </c>
      <c r="P612" s="6">
        <v>0</v>
      </c>
      <c r="Q612" s="4" t="s">
        <v>26</v>
      </c>
      <c r="R612" s="4">
        <v>0</v>
      </c>
      <c r="S612" s="4" t="s">
        <v>154</v>
      </c>
      <c r="T612" s="4" t="s">
        <v>435</v>
      </c>
      <c r="U612" s="4">
        <v>29</v>
      </c>
      <c r="V612" s="4">
        <v>30</v>
      </c>
      <c r="W612" s="4">
        <v>67</v>
      </c>
    </row>
    <row r="613" spans="1:23" ht="11.25" customHeight="1" x14ac:dyDescent="0.25">
      <c r="A613" s="4" t="s">
        <v>21</v>
      </c>
      <c r="B613" s="4" t="s">
        <v>35</v>
      </c>
      <c r="C613" s="4" t="s">
        <v>44</v>
      </c>
      <c r="D613" s="4" t="s">
        <v>47</v>
      </c>
      <c r="E613" s="4" t="s">
        <v>25</v>
      </c>
      <c r="F613" s="4" t="s">
        <v>25</v>
      </c>
      <c r="G613" s="4" t="s">
        <v>25</v>
      </c>
      <c r="H613" s="4" t="s">
        <v>38</v>
      </c>
      <c r="I613" s="5">
        <v>44228</v>
      </c>
      <c r="J613" s="6">
        <v>182</v>
      </c>
      <c r="K613" s="6">
        <v>171.07999999999998</v>
      </c>
      <c r="L613" s="6">
        <v>44.427999999999997</v>
      </c>
      <c r="M613" s="6">
        <v>41.762319999999995</v>
      </c>
      <c r="N613" s="6">
        <v>44.427999999999997</v>
      </c>
      <c r="O613" s="6">
        <v>41.762319999999995</v>
      </c>
      <c r="P613" s="6">
        <v>0</v>
      </c>
      <c r="Q613" s="4" t="s">
        <v>26</v>
      </c>
      <c r="R613" s="4">
        <v>0</v>
      </c>
      <c r="S613" s="4" t="s">
        <v>155</v>
      </c>
      <c r="T613" s="4" t="s">
        <v>436</v>
      </c>
      <c r="U613" s="4">
        <v>29</v>
      </c>
      <c r="V613" s="4">
        <v>30</v>
      </c>
      <c r="W613" s="4">
        <v>67</v>
      </c>
    </row>
    <row r="614" spans="1:23" ht="11.25" customHeight="1" x14ac:dyDescent="0.25">
      <c r="A614" s="4" t="s">
        <v>28</v>
      </c>
      <c r="B614" s="4" t="s">
        <v>35</v>
      </c>
      <c r="C614" s="4" t="s">
        <v>44</v>
      </c>
      <c r="D614" s="4" t="s">
        <v>47</v>
      </c>
      <c r="E614" s="4" t="s">
        <v>25</v>
      </c>
      <c r="F614" s="4" t="s">
        <v>25</v>
      </c>
      <c r="G614" s="4" t="s">
        <v>25</v>
      </c>
      <c r="H614" s="4" t="s">
        <v>38</v>
      </c>
      <c r="I614" s="5">
        <v>44228</v>
      </c>
      <c r="J614" s="6">
        <v>705</v>
      </c>
      <c r="K614" s="6">
        <v>662.69999999999993</v>
      </c>
      <c r="L614" s="6">
        <v>154.696</v>
      </c>
      <c r="M614" s="6">
        <v>145.41423999999998</v>
      </c>
      <c r="N614" s="6">
        <v>154.696</v>
      </c>
      <c r="O614" s="6">
        <v>145.41423999999998</v>
      </c>
      <c r="P614" s="6">
        <v>0</v>
      </c>
      <c r="Q614" s="4" t="s">
        <v>26</v>
      </c>
      <c r="R614" s="4">
        <v>0</v>
      </c>
      <c r="S614" s="4" t="s">
        <v>155</v>
      </c>
      <c r="T614" s="4" t="s">
        <v>436</v>
      </c>
      <c r="U614" s="4">
        <v>29</v>
      </c>
      <c r="V614" s="4">
        <v>30</v>
      </c>
      <c r="W614" s="4">
        <v>67</v>
      </c>
    </row>
    <row r="615" spans="1:23" ht="11.25" customHeight="1" x14ac:dyDescent="0.25">
      <c r="A615" s="4" t="s">
        <v>21</v>
      </c>
      <c r="B615" s="4" t="s">
        <v>35</v>
      </c>
      <c r="C615" s="4" t="s">
        <v>44</v>
      </c>
      <c r="D615" s="4" t="s">
        <v>47</v>
      </c>
      <c r="E615" s="4" t="s">
        <v>25</v>
      </c>
      <c r="F615" s="4" t="s">
        <v>25</v>
      </c>
      <c r="G615" s="4" t="s">
        <v>25</v>
      </c>
      <c r="H615" s="4" t="s">
        <v>38</v>
      </c>
      <c r="I615" s="5">
        <v>44256</v>
      </c>
      <c r="J615" s="6">
        <v>173</v>
      </c>
      <c r="K615" s="6">
        <v>162.62</v>
      </c>
      <c r="L615" s="6">
        <v>40.174999999999997</v>
      </c>
      <c r="M615" s="6">
        <v>37.764499999999998</v>
      </c>
      <c r="N615" s="6">
        <v>40.174999999999997</v>
      </c>
      <c r="O615" s="6">
        <v>37.764499999999998</v>
      </c>
      <c r="P615" s="6">
        <v>0</v>
      </c>
      <c r="Q615" s="4" t="s">
        <v>26</v>
      </c>
      <c r="R615" s="4">
        <v>0</v>
      </c>
      <c r="S615" s="4" t="s">
        <v>156</v>
      </c>
      <c r="T615" s="4" t="s">
        <v>437</v>
      </c>
      <c r="U615" s="4">
        <v>29</v>
      </c>
      <c r="V615" s="4">
        <v>30</v>
      </c>
      <c r="W615" s="4">
        <v>67</v>
      </c>
    </row>
    <row r="616" spans="1:23" ht="11.25" customHeight="1" x14ac:dyDescent="0.25">
      <c r="A616" s="4" t="s">
        <v>28</v>
      </c>
      <c r="B616" s="4" t="s">
        <v>35</v>
      </c>
      <c r="C616" s="4" t="s">
        <v>44</v>
      </c>
      <c r="D616" s="4" t="s">
        <v>47</v>
      </c>
      <c r="E616" s="4" t="s">
        <v>25</v>
      </c>
      <c r="F616" s="4" t="s">
        <v>25</v>
      </c>
      <c r="G616" s="4" t="s">
        <v>25</v>
      </c>
      <c r="H616" s="4" t="s">
        <v>38</v>
      </c>
      <c r="I616" s="5">
        <v>44256</v>
      </c>
      <c r="J616" s="6">
        <v>718</v>
      </c>
      <c r="K616" s="6">
        <v>674.92</v>
      </c>
      <c r="L616" s="6">
        <v>172.09200000000001</v>
      </c>
      <c r="M616" s="6">
        <v>161.76648</v>
      </c>
      <c r="N616" s="6">
        <v>172.09200000000001</v>
      </c>
      <c r="O616" s="6">
        <v>161.76648</v>
      </c>
      <c r="P616" s="6">
        <v>0</v>
      </c>
      <c r="Q616" s="4" t="s">
        <v>26</v>
      </c>
      <c r="R616" s="4">
        <v>0</v>
      </c>
      <c r="S616" s="4" t="s">
        <v>156</v>
      </c>
      <c r="T616" s="4" t="s">
        <v>437</v>
      </c>
      <c r="U616" s="4">
        <v>29</v>
      </c>
      <c r="V616" s="4">
        <v>30</v>
      </c>
      <c r="W616" s="4">
        <v>67</v>
      </c>
    </row>
    <row r="617" spans="1:23" ht="11.25" customHeight="1" x14ac:dyDescent="0.25">
      <c r="A617" s="4" t="s">
        <v>21</v>
      </c>
      <c r="B617" s="4" t="s">
        <v>35</v>
      </c>
      <c r="C617" s="4" t="s">
        <v>44</v>
      </c>
      <c r="D617" s="4" t="s">
        <v>47</v>
      </c>
      <c r="E617" s="4" t="s">
        <v>25</v>
      </c>
      <c r="F617" s="4" t="s">
        <v>25</v>
      </c>
      <c r="G617" s="4" t="s">
        <v>25</v>
      </c>
      <c r="H617" s="4" t="s">
        <v>38</v>
      </c>
      <c r="I617" s="5">
        <v>44287</v>
      </c>
      <c r="J617" s="6">
        <v>165</v>
      </c>
      <c r="K617" s="6">
        <v>155.1</v>
      </c>
      <c r="L617" s="6">
        <v>39.329000000000001</v>
      </c>
      <c r="M617" s="6">
        <v>36.969259999999998</v>
      </c>
      <c r="N617" s="6">
        <v>39.329000000000001</v>
      </c>
      <c r="O617" s="6">
        <v>36.969259999999998</v>
      </c>
      <c r="P617" s="6">
        <v>0</v>
      </c>
      <c r="Q617" s="4" t="s">
        <v>26</v>
      </c>
      <c r="R617" s="4">
        <v>0</v>
      </c>
      <c r="S617" s="4" t="s">
        <v>157</v>
      </c>
      <c r="T617" s="4" t="s">
        <v>438</v>
      </c>
      <c r="U617" s="4">
        <v>29</v>
      </c>
      <c r="V617" s="4">
        <v>30</v>
      </c>
      <c r="W617" s="4">
        <v>67</v>
      </c>
    </row>
    <row r="618" spans="1:23" ht="11.25" customHeight="1" x14ac:dyDescent="0.25">
      <c r="A618" s="4" t="s">
        <v>28</v>
      </c>
      <c r="B618" s="4" t="s">
        <v>35</v>
      </c>
      <c r="C618" s="4" t="s">
        <v>44</v>
      </c>
      <c r="D618" s="4" t="s">
        <v>47</v>
      </c>
      <c r="E618" s="4" t="s">
        <v>25</v>
      </c>
      <c r="F618" s="4" t="s">
        <v>25</v>
      </c>
      <c r="G618" s="4" t="s">
        <v>25</v>
      </c>
      <c r="H618" s="4" t="s">
        <v>38</v>
      </c>
      <c r="I618" s="5">
        <v>44287</v>
      </c>
      <c r="J618" s="6">
        <v>696</v>
      </c>
      <c r="K618" s="6">
        <v>654.24</v>
      </c>
      <c r="L618" s="6">
        <v>154.584</v>
      </c>
      <c r="M618" s="6">
        <v>145.30895999999998</v>
      </c>
      <c r="N618" s="6">
        <v>154.584</v>
      </c>
      <c r="O618" s="6">
        <v>145.30895999999998</v>
      </c>
      <c r="P618" s="6">
        <v>0</v>
      </c>
      <c r="Q618" s="4" t="s">
        <v>26</v>
      </c>
      <c r="R618" s="4">
        <v>0</v>
      </c>
      <c r="S618" s="4" t="s">
        <v>157</v>
      </c>
      <c r="T618" s="4" t="s">
        <v>438</v>
      </c>
      <c r="U618" s="4">
        <v>29</v>
      </c>
      <c r="V618" s="4">
        <v>30</v>
      </c>
      <c r="W618" s="4">
        <v>67</v>
      </c>
    </row>
    <row r="619" spans="1:23" ht="11.25" customHeight="1" x14ac:dyDescent="0.25">
      <c r="A619" s="4" t="s">
        <v>21</v>
      </c>
      <c r="B619" s="4" t="s">
        <v>35</v>
      </c>
      <c r="C619" s="4" t="s">
        <v>44</v>
      </c>
      <c r="D619" s="4" t="s">
        <v>47</v>
      </c>
      <c r="E619" s="4" t="s">
        <v>25</v>
      </c>
      <c r="F619" s="4" t="s">
        <v>25</v>
      </c>
      <c r="G619" s="4" t="s">
        <v>25</v>
      </c>
      <c r="H619" s="4" t="s">
        <v>38</v>
      </c>
      <c r="I619" s="5">
        <v>44317</v>
      </c>
      <c r="J619" s="6">
        <v>169</v>
      </c>
      <c r="K619" s="6">
        <v>158.86000000000001</v>
      </c>
      <c r="L619" s="6">
        <v>36.453000000000003</v>
      </c>
      <c r="M619" s="6">
        <v>34.265819999999998</v>
      </c>
      <c r="N619" s="6">
        <v>36.453000000000003</v>
      </c>
      <c r="O619" s="6">
        <v>34.265819999999998</v>
      </c>
      <c r="P619" s="6">
        <v>0</v>
      </c>
      <c r="Q619" s="4" t="s">
        <v>26</v>
      </c>
      <c r="R619" s="4">
        <v>0</v>
      </c>
      <c r="S619" s="4" t="s">
        <v>158</v>
      </c>
      <c r="T619" s="4" t="s">
        <v>439</v>
      </c>
      <c r="U619" s="4">
        <v>29</v>
      </c>
      <c r="V619" s="4">
        <v>30</v>
      </c>
      <c r="W619" s="4">
        <v>67</v>
      </c>
    </row>
    <row r="620" spans="1:23" ht="11.25" customHeight="1" x14ac:dyDescent="0.25">
      <c r="A620" s="4" t="s">
        <v>28</v>
      </c>
      <c r="B620" s="4" t="s">
        <v>35</v>
      </c>
      <c r="C620" s="4" t="s">
        <v>44</v>
      </c>
      <c r="D620" s="4" t="s">
        <v>47</v>
      </c>
      <c r="E620" s="4" t="s">
        <v>25</v>
      </c>
      <c r="F620" s="4" t="s">
        <v>25</v>
      </c>
      <c r="G620" s="4" t="s">
        <v>25</v>
      </c>
      <c r="H620" s="4" t="s">
        <v>38</v>
      </c>
      <c r="I620" s="5">
        <v>44317</v>
      </c>
      <c r="J620" s="6">
        <v>582</v>
      </c>
      <c r="K620" s="6">
        <v>547.08000000000004</v>
      </c>
      <c r="L620" s="6">
        <v>189.24</v>
      </c>
      <c r="M620" s="6">
        <v>177.88560000000001</v>
      </c>
      <c r="N620" s="6">
        <v>189.24</v>
      </c>
      <c r="O620" s="6">
        <v>177.88560000000001</v>
      </c>
      <c r="P620" s="6">
        <v>0</v>
      </c>
      <c r="Q620" s="4" t="s">
        <v>26</v>
      </c>
      <c r="R620" s="4">
        <v>0</v>
      </c>
      <c r="S620" s="4" t="s">
        <v>158</v>
      </c>
      <c r="T620" s="4" t="s">
        <v>439</v>
      </c>
      <c r="U620" s="4">
        <v>29</v>
      </c>
      <c r="V620" s="4">
        <v>30</v>
      </c>
      <c r="W620" s="4">
        <v>67</v>
      </c>
    </row>
    <row r="621" spans="1:23" ht="11.25" customHeight="1" x14ac:dyDescent="0.25">
      <c r="A621" s="4" t="s">
        <v>21</v>
      </c>
      <c r="B621" s="4" t="s">
        <v>35</v>
      </c>
      <c r="C621" s="4" t="s">
        <v>44</v>
      </c>
      <c r="D621" s="4" t="s">
        <v>47</v>
      </c>
      <c r="E621" s="4" t="s">
        <v>25</v>
      </c>
      <c r="F621" s="4" t="s">
        <v>25</v>
      </c>
      <c r="G621" s="4" t="s">
        <v>25</v>
      </c>
      <c r="H621" s="4" t="s">
        <v>38</v>
      </c>
      <c r="I621" s="5">
        <v>44348</v>
      </c>
      <c r="J621" s="6">
        <v>150</v>
      </c>
      <c r="K621" s="6">
        <v>141</v>
      </c>
      <c r="L621" s="6">
        <v>35.372</v>
      </c>
      <c r="M621" s="6">
        <v>33.249679999999998</v>
      </c>
      <c r="N621" s="6">
        <v>35.372</v>
      </c>
      <c r="O621" s="6">
        <v>33.249679999999998</v>
      </c>
      <c r="P621" s="6">
        <v>0</v>
      </c>
      <c r="Q621" s="4" t="s">
        <v>26</v>
      </c>
      <c r="R621" s="4">
        <v>0</v>
      </c>
      <c r="S621" s="4" t="s">
        <v>159</v>
      </c>
      <c r="T621" s="4" t="s">
        <v>440</v>
      </c>
      <c r="U621" s="4">
        <v>29</v>
      </c>
      <c r="V621" s="4">
        <v>30</v>
      </c>
      <c r="W621" s="4">
        <v>67</v>
      </c>
    </row>
    <row r="622" spans="1:23" ht="11.25" customHeight="1" x14ac:dyDescent="0.25">
      <c r="A622" s="4" t="s">
        <v>28</v>
      </c>
      <c r="B622" s="4" t="s">
        <v>35</v>
      </c>
      <c r="C622" s="4" t="s">
        <v>44</v>
      </c>
      <c r="D622" s="4" t="s">
        <v>47</v>
      </c>
      <c r="E622" s="4" t="s">
        <v>25</v>
      </c>
      <c r="F622" s="4" t="s">
        <v>25</v>
      </c>
      <c r="G622" s="4" t="s">
        <v>25</v>
      </c>
      <c r="H622" s="4" t="s">
        <v>38</v>
      </c>
      <c r="I622" s="5">
        <v>44348</v>
      </c>
      <c r="J622" s="6">
        <v>741</v>
      </c>
      <c r="K622" s="6">
        <v>696.54</v>
      </c>
      <c r="L622" s="6">
        <v>160.12799999999999</v>
      </c>
      <c r="M622" s="6">
        <v>150.52031999999997</v>
      </c>
      <c r="N622" s="6">
        <v>160.12799999999999</v>
      </c>
      <c r="O622" s="6">
        <v>150.52031999999997</v>
      </c>
      <c r="P622" s="6">
        <v>0</v>
      </c>
      <c r="Q622" s="4" t="s">
        <v>26</v>
      </c>
      <c r="R622" s="4">
        <v>0</v>
      </c>
      <c r="S622" s="4" t="s">
        <v>159</v>
      </c>
      <c r="T622" s="4" t="s">
        <v>440</v>
      </c>
      <c r="U622" s="4">
        <v>29</v>
      </c>
      <c r="V622" s="4">
        <v>30</v>
      </c>
      <c r="W622" s="4">
        <v>67</v>
      </c>
    </row>
    <row r="623" spans="1:23" ht="11.25" customHeight="1" x14ac:dyDescent="0.25">
      <c r="A623" s="4" t="s">
        <v>21</v>
      </c>
      <c r="B623" s="4" t="s">
        <v>35</v>
      </c>
      <c r="C623" s="4" t="s">
        <v>44</v>
      </c>
      <c r="D623" s="4" t="s">
        <v>47</v>
      </c>
      <c r="E623" s="4" t="s">
        <v>25</v>
      </c>
      <c r="F623" s="4" t="s">
        <v>25</v>
      </c>
      <c r="G623" s="4" t="s">
        <v>25</v>
      </c>
      <c r="H623" s="4" t="s">
        <v>38</v>
      </c>
      <c r="I623" s="5">
        <v>44378</v>
      </c>
      <c r="J623" s="6">
        <v>175</v>
      </c>
      <c r="K623" s="6">
        <v>164.5</v>
      </c>
      <c r="L623" s="6">
        <v>40.423000000000002</v>
      </c>
      <c r="M623" s="6">
        <v>37.997619999999998</v>
      </c>
      <c r="N623" s="6">
        <v>40.423000000000002</v>
      </c>
      <c r="O623" s="6">
        <v>37.997619999999998</v>
      </c>
      <c r="P623" s="6">
        <v>0</v>
      </c>
      <c r="Q623" s="4" t="s">
        <v>26</v>
      </c>
      <c r="R623" s="4">
        <v>0</v>
      </c>
      <c r="S623" s="4" t="s">
        <v>160</v>
      </c>
      <c r="T623" s="4" t="s">
        <v>441</v>
      </c>
      <c r="U623" s="4">
        <v>29</v>
      </c>
      <c r="V623" s="4">
        <v>30</v>
      </c>
      <c r="W623" s="4">
        <v>67</v>
      </c>
    </row>
    <row r="624" spans="1:23" ht="11.25" customHeight="1" x14ac:dyDescent="0.25">
      <c r="A624" s="4" t="s">
        <v>28</v>
      </c>
      <c r="B624" s="4" t="s">
        <v>35</v>
      </c>
      <c r="C624" s="4" t="s">
        <v>44</v>
      </c>
      <c r="D624" s="4" t="s">
        <v>47</v>
      </c>
      <c r="E624" s="4" t="s">
        <v>25</v>
      </c>
      <c r="F624" s="4" t="s">
        <v>25</v>
      </c>
      <c r="G624" s="4" t="s">
        <v>25</v>
      </c>
      <c r="H624" s="4" t="s">
        <v>38</v>
      </c>
      <c r="I624" s="5">
        <v>44378</v>
      </c>
      <c r="J624" s="6">
        <v>813</v>
      </c>
      <c r="K624" s="6">
        <v>764.22</v>
      </c>
      <c r="L624" s="6">
        <v>167.11199999999999</v>
      </c>
      <c r="M624" s="6">
        <v>157.08528000000001</v>
      </c>
      <c r="N624" s="6">
        <v>167.11199999999999</v>
      </c>
      <c r="O624" s="6">
        <v>157.08528000000001</v>
      </c>
      <c r="P624" s="6">
        <v>0</v>
      </c>
      <c r="Q624" s="4" t="s">
        <v>26</v>
      </c>
      <c r="R624" s="4">
        <v>0</v>
      </c>
      <c r="S624" s="4" t="s">
        <v>160</v>
      </c>
      <c r="T624" s="4" t="s">
        <v>441</v>
      </c>
      <c r="U624" s="4">
        <v>29</v>
      </c>
      <c r="V624" s="4">
        <v>30</v>
      </c>
      <c r="W624" s="4">
        <v>67</v>
      </c>
    </row>
    <row r="625" spans="1:23" ht="11.25" customHeight="1" x14ac:dyDescent="0.25">
      <c r="A625" s="4" t="s">
        <v>21</v>
      </c>
      <c r="B625" s="4" t="s">
        <v>35</v>
      </c>
      <c r="C625" s="4" t="s">
        <v>44</v>
      </c>
      <c r="D625" s="4" t="s">
        <v>47</v>
      </c>
      <c r="E625" s="4" t="s">
        <v>25</v>
      </c>
      <c r="F625" s="4" t="s">
        <v>25</v>
      </c>
      <c r="G625" s="4" t="s">
        <v>25</v>
      </c>
      <c r="H625" s="4" t="s">
        <v>38</v>
      </c>
      <c r="I625" s="5">
        <v>44409</v>
      </c>
      <c r="J625" s="6">
        <v>190</v>
      </c>
      <c r="K625" s="6">
        <v>178.6</v>
      </c>
      <c r="L625" s="6">
        <v>43.35</v>
      </c>
      <c r="M625" s="6">
        <v>40.749000000000002</v>
      </c>
      <c r="N625" s="6">
        <v>43.35</v>
      </c>
      <c r="O625" s="6">
        <v>40.749000000000002</v>
      </c>
      <c r="P625" s="6">
        <v>0</v>
      </c>
      <c r="Q625" s="4" t="s">
        <v>26</v>
      </c>
      <c r="R625" s="4">
        <v>0</v>
      </c>
      <c r="S625" s="4" t="s">
        <v>161</v>
      </c>
      <c r="T625" s="4" t="s">
        <v>442</v>
      </c>
      <c r="U625" s="4">
        <v>29</v>
      </c>
      <c r="V625" s="4">
        <v>30</v>
      </c>
      <c r="W625" s="4">
        <v>67</v>
      </c>
    </row>
    <row r="626" spans="1:23" ht="11.25" customHeight="1" x14ac:dyDescent="0.25">
      <c r="A626" s="4" t="s">
        <v>28</v>
      </c>
      <c r="B626" s="4" t="s">
        <v>35</v>
      </c>
      <c r="C626" s="4" t="s">
        <v>44</v>
      </c>
      <c r="D626" s="4" t="s">
        <v>47</v>
      </c>
      <c r="E626" s="4" t="s">
        <v>25</v>
      </c>
      <c r="F626" s="4" t="s">
        <v>25</v>
      </c>
      <c r="G626" s="4" t="s">
        <v>25</v>
      </c>
      <c r="H626" s="4" t="s">
        <v>38</v>
      </c>
      <c r="I626" s="5">
        <v>44409</v>
      </c>
      <c r="J626" s="6">
        <v>804</v>
      </c>
      <c r="K626" s="6">
        <v>755.76</v>
      </c>
      <c r="L626" s="6">
        <v>188.06399999999999</v>
      </c>
      <c r="M626" s="6">
        <v>176.78016</v>
      </c>
      <c r="N626" s="6">
        <v>188.06399999999999</v>
      </c>
      <c r="O626" s="6">
        <v>176.78016</v>
      </c>
      <c r="P626" s="6">
        <v>0</v>
      </c>
      <c r="Q626" s="4" t="s">
        <v>26</v>
      </c>
      <c r="R626" s="4">
        <v>0</v>
      </c>
      <c r="S626" s="4" t="s">
        <v>161</v>
      </c>
      <c r="T626" s="4" t="s">
        <v>442</v>
      </c>
      <c r="U626" s="4">
        <v>29</v>
      </c>
      <c r="V626" s="4">
        <v>30</v>
      </c>
      <c r="W626" s="4">
        <v>67</v>
      </c>
    </row>
    <row r="627" spans="1:23" ht="11.25" customHeight="1" x14ac:dyDescent="0.25">
      <c r="A627" s="4" t="s">
        <v>21</v>
      </c>
      <c r="B627" s="4" t="s">
        <v>35</v>
      </c>
      <c r="C627" s="4" t="s">
        <v>44</v>
      </c>
      <c r="D627" s="4" t="s">
        <v>47</v>
      </c>
      <c r="E627" s="4" t="s">
        <v>25</v>
      </c>
      <c r="F627" s="4" t="s">
        <v>25</v>
      </c>
      <c r="G627" s="4" t="s">
        <v>25</v>
      </c>
      <c r="H627" s="4" t="s">
        <v>38</v>
      </c>
      <c r="I627" s="5">
        <v>44440</v>
      </c>
      <c r="J627" s="6">
        <v>509</v>
      </c>
      <c r="K627" s="6">
        <v>478.46</v>
      </c>
      <c r="L627" s="6">
        <v>43.2</v>
      </c>
      <c r="M627" s="6">
        <v>40.607999999999997</v>
      </c>
      <c r="N627" s="6">
        <v>43.2</v>
      </c>
      <c r="O627" s="6">
        <v>40.607999999999997</v>
      </c>
      <c r="P627" s="6">
        <v>0</v>
      </c>
      <c r="Q627" s="4" t="s">
        <v>26</v>
      </c>
      <c r="R627" s="4">
        <v>0</v>
      </c>
      <c r="S627" s="4" t="s">
        <v>162</v>
      </c>
      <c r="T627" s="4" t="s">
        <v>443</v>
      </c>
      <c r="U627" s="4">
        <v>29</v>
      </c>
      <c r="V627" s="4">
        <v>30</v>
      </c>
      <c r="W627" s="4">
        <v>67</v>
      </c>
    </row>
    <row r="628" spans="1:23" ht="11.25" customHeight="1" x14ac:dyDescent="0.25">
      <c r="A628" s="4" t="s">
        <v>28</v>
      </c>
      <c r="B628" s="4" t="s">
        <v>35</v>
      </c>
      <c r="C628" s="4" t="s">
        <v>44</v>
      </c>
      <c r="D628" s="4" t="s">
        <v>47</v>
      </c>
      <c r="E628" s="4" t="s">
        <v>25</v>
      </c>
      <c r="F628" s="4" t="s">
        <v>25</v>
      </c>
      <c r="G628" s="4" t="s">
        <v>25</v>
      </c>
      <c r="H628" s="4" t="s">
        <v>38</v>
      </c>
      <c r="I628" s="5">
        <v>44440</v>
      </c>
      <c r="J628" s="6">
        <v>791</v>
      </c>
      <c r="K628" s="6">
        <v>743.54</v>
      </c>
      <c r="L628" s="6">
        <v>146.88</v>
      </c>
      <c r="M628" s="6">
        <v>138.06720000000001</v>
      </c>
      <c r="N628" s="6">
        <v>146.88</v>
      </c>
      <c r="O628" s="6">
        <v>138.06720000000001</v>
      </c>
      <c r="P628" s="6">
        <v>0</v>
      </c>
      <c r="Q628" s="4" t="s">
        <v>26</v>
      </c>
      <c r="R628" s="4">
        <v>0</v>
      </c>
      <c r="S628" s="4" t="s">
        <v>162</v>
      </c>
      <c r="T628" s="4" t="s">
        <v>443</v>
      </c>
      <c r="U628" s="4">
        <v>29</v>
      </c>
      <c r="V628" s="4">
        <v>30</v>
      </c>
      <c r="W628" s="4">
        <v>67</v>
      </c>
    </row>
    <row r="629" spans="1:23" ht="11.25" customHeight="1" x14ac:dyDescent="0.25">
      <c r="A629" s="4" t="s">
        <v>59</v>
      </c>
      <c r="B629" s="4" t="s">
        <v>35</v>
      </c>
      <c r="C629" s="4" t="s">
        <v>44</v>
      </c>
      <c r="D629" s="4" t="s">
        <v>47</v>
      </c>
      <c r="E629" s="4" t="s">
        <v>25</v>
      </c>
      <c r="F629" s="4" t="s">
        <v>25</v>
      </c>
      <c r="G629" s="4" t="s">
        <v>25</v>
      </c>
      <c r="H629" s="4" t="s">
        <v>38</v>
      </c>
      <c r="I629" s="5">
        <v>44470</v>
      </c>
      <c r="J629" s="6">
        <v>509</v>
      </c>
      <c r="K629" s="6">
        <v>478.46</v>
      </c>
      <c r="L629" s="6">
        <v>43.2</v>
      </c>
      <c r="M629" s="6">
        <v>40.607999999999997</v>
      </c>
      <c r="N629" s="6">
        <v>43.2</v>
      </c>
      <c r="O629" s="6">
        <v>40.607999999999997</v>
      </c>
      <c r="P629" s="6">
        <v>0</v>
      </c>
      <c r="Q629" s="4" t="s">
        <v>26</v>
      </c>
      <c r="R629" s="4">
        <v>0</v>
      </c>
      <c r="S629" s="4" t="s">
        <v>163</v>
      </c>
      <c r="T629" s="4" t="s">
        <v>444</v>
      </c>
      <c r="U629" s="4">
        <v>29</v>
      </c>
      <c r="V629" s="4">
        <v>30</v>
      </c>
      <c r="W629" s="4">
        <v>67</v>
      </c>
    </row>
    <row r="630" spans="1:23" ht="11.25" customHeight="1" x14ac:dyDescent="0.25">
      <c r="A630" s="4" t="s">
        <v>59</v>
      </c>
      <c r="B630" s="4" t="s">
        <v>35</v>
      </c>
      <c r="C630" s="4" t="s">
        <v>44</v>
      </c>
      <c r="D630" s="4" t="s">
        <v>47</v>
      </c>
      <c r="E630" s="4" t="s">
        <v>25</v>
      </c>
      <c r="F630" s="4" t="s">
        <v>25</v>
      </c>
      <c r="G630" s="4" t="s">
        <v>25</v>
      </c>
      <c r="H630" s="4" t="s">
        <v>38</v>
      </c>
      <c r="I630" s="5">
        <v>44470</v>
      </c>
      <c r="J630" s="6">
        <v>791</v>
      </c>
      <c r="K630" s="6">
        <v>743.54</v>
      </c>
      <c r="L630" s="6">
        <v>146.88</v>
      </c>
      <c r="M630" s="6">
        <v>138.06720000000001</v>
      </c>
      <c r="N630" s="6">
        <v>146.88</v>
      </c>
      <c r="O630" s="6">
        <v>138.06720000000001</v>
      </c>
      <c r="P630" s="6">
        <v>0</v>
      </c>
      <c r="Q630" s="4" t="s">
        <v>26</v>
      </c>
      <c r="R630" s="4">
        <v>0</v>
      </c>
      <c r="S630" s="4" t="s">
        <v>163</v>
      </c>
      <c r="T630" s="4" t="s">
        <v>444</v>
      </c>
      <c r="U630" s="4">
        <v>29</v>
      </c>
      <c r="V630" s="4">
        <v>30</v>
      </c>
      <c r="W630" s="4">
        <v>67</v>
      </c>
    </row>
    <row r="631" spans="1:23" ht="11.25" customHeight="1" x14ac:dyDescent="0.25">
      <c r="A631" s="4" t="s">
        <v>21</v>
      </c>
      <c r="B631" s="4" t="s">
        <v>35</v>
      </c>
      <c r="C631" s="4" t="s">
        <v>44</v>
      </c>
      <c r="D631" s="4" t="s">
        <v>47</v>
      </c>
      <c r="E631" s="4" t="s">
        <v>25</v>
      </c>
      <c r="F631" s="4" t="s">
        <v>25</v>
      </c>
      <c r="G631" s="4" t="s">
        <v>25</v>
      </c>
      <c r="H631" s="4" t="s">
        <v>37</v>
      </c>
      <c r="I631" s="5">
        <v>44136</v>
      </c>
      <c r="J631" s="6">
        <v>107</v>
      </c>
      <c r="K631" s="6">
        <v>100.58</v>
      </c>
      <c r="L631" s="6">
        <v>3.6070000000000002</v>
      </c>
      <c r="M631" s="6">
        <v>3.3905799999999999</v>
      </c>
      <c r="N631" s="6">
        <v>3.6070000000000002</v>
      </c>
      <c r="O631" s="6">
        <v>3.3905799999999999</v>
      </c>
      <c r="P631" s="6">
        <v>0</v>
      </c>
      <c r="Q631" s="4" t="s">
        <v>26</v>
      </c>
      <c r="R631" s="4">
        <v>0</v>
      </c>
      <c r="S631" s="4" t="s">
        <v>170</v>
      </c>
      <c r="T631" s="4" t="s">
        <v>445</v>
      </c>
      <c r="U631" s="4">
        <v>28</v>
      </c>
      <c r="V631" s="4">
        <v>30</v>
      </c>
      <c r="W631" s="4">
        <v>66</v>
      </c>
    </row>
    <row r="632" spans="1:23" ht="11.25" customHeight="1" x14ac:dyDescent="0.25">
      <c r="A632" s="4" t="s">
        <v>28</v>
      </c>
      <c r="B632" s="4" t="s">
        <v>35</v>
      </c>
      <c r="C632" s="4" t="s">
        <v>44</v>
      </c>
      <c r="D632" s="4" t="s">
        <v>47</v>
      </c>
      <c r="E632" s="4" t="s">
        <v>25</v>
      </c>
      <c r="F632" s="4" t="s">
        <v>25</v>
      </c>
      <c r="G632" s="4" t="s">
        <v>25</v>
      </c>
      <c r="H632" s="4" t="s">
        <v>37</v>
      </c>
      <c r="I632" s="5">
        <v>44136</v>
      </c>
      <c r="J632" s="6">
        <v>741</v>
      </c>
      <c r="K632" s="6">
        <v>696.54</v>
      </c>
      <c r="L632" s="6">
        <v>28.32</v>
      </c>
      <c r="M632" s="6">
        <v>26.620799999999999</v>
      </c>
      <c r="N632" s="6">
        <v>28.32</v>
      </c>
      <c r="O632" s="6">
        <v>26.620799999999999</v>
      </c>
      <c r="P632" s="6">
        <v>0</v>
      </c>
      <c r="Q632" s="4" t="s">
        <v>26</v>
      </c>
      <c r="R632" s="4">
        <v>0</v>
      </c>
      <c r="S632" s="4" t="s">
        <v>170</v>
      </c>
      <c r="T632" s="4" t="s">
        <v>445</v>
      </c>
      <c r="U632" s="4">
        <v>28</v>
      </c>
      <c r="V632" s="4">
        <v>30</v>
      </c>
      <c r="W632" s="4">
        <v>66</v>
      </c>
    </row>
    <row r="633" spans="1:23" ht="11.25" customHeight="1" x14ac:dyDescent="0.25">
      <c r="A633" s="4" t="s">
        <v>21</v>
      </c>
      <c r="B633" s="4" t="s">
        <v>35</v>
      </c>
      <c r="C633" s="4" t="s">
        <v>44</v>
      </c>
      <c r="D633" s="4" t="s">
        <v>47</v>
      </c>
      <c r="E633" s="4" t="s">
        <v>25</v>
      </c>
      <c r="F633" s="4" t="s">
        <v>25</v>
      </c>
      <c r="G633" s="4" t="s">
        <v>25</v>
      </c>
      <c r="H633" s="4" t="s">
        <v>37</v>
      </c>
      <c r="I633" s="5">
        <v>44166</v>
      </c>
      <c r="J633" s="6">
        <v>103</v>
      </c>
      <c r="K633" s="6">
        <v>96.82</v>
      </c>
      <c r="L633" s="6">
        <v>3.8490000000000002</v>
      </c>
      <c r="M633" s="6">
        <v>3.6180599999999998</v>
      </c>
      <c r="N633" s="6">
        <v>3.8490000000000002</v>
      </c>
      <c r="O633" s="6">
        <v>3.6180599999999998</v>
      </c>
      <c r="P633" s="6">
        <v>0</v>
      </c>
      <c r="Q633" s="4" t="s">
        <v>26</v>
      </c>
      <c r="R633" s="4">
        <v>0</v>
      </c>
      <c r="S633" s="4" t="s">
        <v>171</v>
      </c>
      <c r="T633" s="4" t="s">
        <v>446</v>
      </c>
      <c r="U633" s="4">
        <v>28</v>
      </c>
      <c r="V633" s="4">
        <v>30</v>
      </c>
      <c r="W633" s="4">
        <v>66</v>
      </c>
    </row>
    <row r="634" spans="1:23" ht="11.25" customHeight="1" x14ac:dyDescent="0.25">
      <c r="A634" s="4" t="s">
        <v>28</v>
      </c>
      <c r="B634" s="4" t="s">
        <v>35</v>
      </c>
      <c r="C634" s="4" t="s">
        <v>44</v>
      </c>
      <c r="D634" s="4" t="s">
        <v>47</v>
      </c>
      <c r="E634" s="4" t="s">
        <v>25</v>
      </c>
      <c r="F634" s="4" t="s">
        <v>25</v>
      </c>
      <c r="G634" s="4" t="s">
        <v>25</v>
      </c>
      <c r="H634" s="4" t="s">
        <v>37</v>
      </c>
      <c r="I634" s="5">
        <v>44166</v>
      </c>
      <c r="J634" s="6">
        <v>703</v>
      </c>
      <c r="K634" s="6">
        <v>660.81999999999994</v>
      </c>
      <c r="L634" s="6">
        <v>21.36</v>
      </c>
      <c r="M634" s="6">
        <v>20.078399999999998</v>
      </c>
      <c r="N634" s="6">
        <v>21.36</v>
      </c>
      <c r="O634" s="6">
        <v>20.078399999999998</v>
      </c>
      <c r="P634" s="6">
        <v>0</v>
      </c>
      <c r="Q634" s="4" t="s">
        <v>26</v>
      </c>
      <c r="R634" s="4">
        <v>0</v>
      </c>
      <c r="S634" s="4" t="s">
        <v>171</v>
      </c>
      <c r="T634" s="4" t="s">
        <v>446</v>
      </c>
      <c r="U634" s="4">
        <v>28</v>
      </c>
      <c r="V634" s="4">
        <v>30</v>
      </c>
      <c r="W634" s="4">
        <v>66</v>
      </c>
    </row>
    <row r="635" spans="1:23" ht="11.25" customHeight="1" x14ac:dyDescent="0.25">
      <c r="A635" s="4" t="s">
        <v>21</v>
      </c>
      <c r="B635" s="4" t="s">
        <v>35</v>
      </c>
      <c r="C635" s="4" t="s">
        <v>44</v>
      </c>
      <c r="D635" s="4" t="s">
        <v>47</v>
      </c>
      <c r="E635" s="4" t="s">
        <v>25</v>
      </c>
      <c r="F635" s="4" t="s">
        <v>25</v>
      </c>
      <c r="G635" s="4" t="s">
        <v>25</v>
      </c>
      <c r="H635" s="4" t="s">
        <v>37</v>
      </c>
      <c r="I635" s="5">
        <v>44197</v>
      </c>
      <c r="J635" s="6">
        <v>111</v>
      </c>
      <c r="K635" s="6">
        <v>104.33999999999999</v>
      </c>
      <c r="L635" s="6">
        <v>3.835</v>
      </c>
      <c r="M635" s="6">
        <v>3.6048999999999998</v>
      </c>
      <c r="N635" s="6">
        <v>3.835</v>
      </c>
      <c r="O635" s="6">
        <v>3.6048999999999998</v>
      </c>
      <c r="P635" s="6">
        <v>0</v>
      </c>
      <c r="Q635" s="4" t="s">
        <v>26</v>
      </c>
      <c r="R635" s="4">
        <v>0</v>
      </c>
      <c r="S635" s="4" t="s">
        <v>172</v>
      </c>
      <c r="T635" s="4" t="s">
        <v>447</v>
      </c>
      <c r="U635" s="4">
        <v>28</v>
      </c>
      <c r="V635" s="4">
        <v>30</v>
      </c>
      <c r="W635" s="4">
        <v>66</v>
      </c>
    </row>
    <row r="636" spans="1:23" ht="11.25" customHeight="1" x14ac:dyDescent="0.25">
      <c r="A636" s="4" t="s">
        <v>28</v>
      </c>
      <c r="B636" s="4" t="s">
        <v>35</v>
      </c>
      <c r="C636" s="4" t="s">
        <v>44</v>
      </c>
      <c r="D636" s="4" t="s">
        <v>47</v>
      </c>
      <c r="E636" s="4" t="s">
        <v>25</v>
      </c>
      <c r="F636" s="4" t="s">
        <v>25</v>
      </c>
      <c r="G636" s="4" t="s">
        <v>25</v>
      </c>
      <c r="H636" s="4" t="s">
        <v>37</v>
      </c>
      <c r="I636" s="5">
        <v>44197</v>
      </c>
      <c r="J636" s="6">
        <v>712</v>
      </c>
      <c r="K636" s="6">
        <v>669.28</v>
      </c>
      <c r="L636" s="6">
        <v>23.76</v>
      </c>
      <c r="M636" s="6">
        <v>22.334399999999999</v>
      </c>
      <c r="N636" s="6">
        <v>23.76</v>
      </c>
      <c r="O636" s="6">
        <v>22.334399999999999</v>
      </c>
      <c r="P636" s="6">
        <v>0</v>
      </c>
      <c r="Q636" s="4" t="s">
        <v>26</v>
      </c>
      <c r="R636" s="4">
        <v>0</v>
      </c>
      <c r="S636" s="4" t="s">
        <v>172</v>
      </c>
      <c r="T636" s="4" t="s">
        <v>447</v>
      </c>
      <c r="U636" s="4">
        <v>28</v>
      </c>
      <c r="V636" s="4">
        <v>30</v>
      </c>
      <c r="W636" s="4">
        <v>66</v>
      </c>
    </row>
    <row r="637" spans="1:23" ht="11.25" customHeight="1" x14ac:dyDescent="0.25">
      <c r="A637" s="4" t="s">
        <v>21</v>
      </c>
      <c r="B637" s="4" t="s">
        <v>35</v>
      </c>
      <c r="C637" s="4" t="s">
        <v>44</v>
      </c>
      <c r="D637" s="4" t="s">
        <v>47</v>
      </c>
      <c r="E637" s="4" t="s">
        <v>25</v>
      </c>
      <c r="F637" s="4" t="s">
        <v>25</v>
      </c>
      <c r="G637" s="4" t="s">
        <v>25</v>
      </c>
      <c r="H637" s="4" t="s">
        <v>37</v>
      </c>
      <c r="I637" s="5">
        <v>44228</v>
      </c>
      <c r="J637" s="6">
        <v>103</v>
      </c>
      <c r="K637" s="6">
        <v>96.82</v>
      </c>
      <c r="L637" s="6">
        <v>4.008</v>
      </c>
      <c r="M637" s="6">
        <v>3.7675199999999998</v>
      </c>
      <c r="N637" s="6">
        <v>4.008</v>
      </c>
      <c r="O637" s="6">
        <v>3.7675199999999998</v>
      </c>
      <c r="P637" s="6">
        <v>0</v>
      </c>
      <c r="Q637" s="4" t="s">
        <v>26</v>
      </c>
      <c r="R637" s="4">
        <v>0</v>
      </c>
      <c r="S637" s="4" t="s">
        <v>173</v>
      </c>
      <c r="T637" s="4" t="s">
        <v>448</v>
      </c>
      <c r="U637" s="4">
        <v>28</v>
      </c>
      <c r="V637" s="4">
        <v>30</v>
      </c>
      <c r="W637" s="4">
        <v>66</v>
      </c>
    </row>
    <row r="638" spans="1:23" ht="11.25" customHeight="1" x14ac:dyDescent="0.25">
      <c r="A638" s="4" t="s">
        <v>28</v>
      </c>
      <c r="B638" s="4" t="s">
        <v>35</v>
      </c>
      <c r="C638" s="4" t="s">
        <v>44</v>
      </c>
      <c r="D638" s="4" t="s">
        <v>47</v>
      </c>
      <c r="E638" s="4" t="s">
        <v>25</v>
      </c>
      <c r="F638" s="4" t="s">
        <v>25</v>
      </c>
      <c r="G638" s="4" t="s">
        <v>25</v>
      </c>
      <c r="H638" s="4" t="s">
        <v>37</v>
      </c>
      <c r="I638" s="5">
        <v>44228</v>
      </c>
      <c r="J638" s="6">
        <v>688</v>
      </c>
      <c r="K638" s="6">
        <v>646.71999999999991</v>
      </c>
      <c r="L638" s="6">
        <v>25.777999999999999</v>
      </c>
      <c r="M638" s="6">
        <v>24.231319999999997</v>
      </c>
      <c r="N638" s="6">
        <v>25.777999999999999</v>
      </c>
      <c r="O638" s="6">
        <v>24.231319999999997</v>
      </c>
      <c r="P638" s="6">
        <v>0</v>
      </c>
      <c r="Q638" s="4" t="s">
        <v>26</v>
      </c>
      <c r="R638" s="4">
        <v>0</v>
      </c>
      <c r="S638" s="4" t="s">
        <v>173</v>
      </c>
      <c r="T638" s="4" t="s">
        <v>448</v>
      </c>
      <c r="U638" s="4">
        <v>28</v>
      </c>
      <c r="V638" s="4">
        <v>30</v>
      </c>
      <c r="W638" s="4">
        <v>66</v>
      </c>
    </row>
    <row r="639" spans="1:23" ht="11.25" customHeight="1" x14ac:dyDescent="0.25">
      <c r="A639" s="4" t="s">
        <v>21</v>
      </c>
      <c r="B639" s="4" t="s">
        <v>35</v>
      </c>
      <c r="C639" s="4" t="s">
        <v>44</v>
      </c>
      <c r="D639" s="4" t="s">
        <v>47</v>
      </c>
      <c r="E639" s="4" t="s">
        <v>25</v>
      </c>
      <c r="F639" s="4" t="s">
        <v>25</v>
      </c>
      <c r="G639" s="4" t="s">
        <v>25</v>
      </c>
      <c r="H639" s="4" t="s">
        <v>37</v>
      </c>
      <c r="I639" s="5">
        <v>44256</v>
      </c>
      <c r="J639" s="6">
        <v>100</v>
      </c>
      <c r="K639" s="6">
        <v>94</v>
      </c>
      <c r="L639" s="6">
        <v>4.0199999999999996</v>
      </c>
      <c r="M639" s="6">
        <v>3.7787999999999995</v>
      </c>
      <c r="N639" s="6">
        <v>4.0199999999999996</v>
      </c>
      <c r="O639" s="6">
        <v>3.7787999999999995</v>
      </c>
      <c r="P639" s="6">
        <v>0</v>
      </c>
      <c r="Q639" s="4" t="s">
        <v>26</v>
      </c>
      <c r="R639" s="4">
        <v>0</v>
      </c>
      <c r="S639" s="4" t="s">
        <v>174</v>
      </c>
      <c r="T639" s="4" t="s">
        <v>449</v>
      </c>
      <c r="U639" s="4">
        <v>28</v>
      </c>
      <c r="V639" s="4">
        <v>30</v>
      </c>
      <c r="W639" s="4">
        <v>66</v>
      </c>
    </row>
    <row r="640" spans="1:23" ht="11.25" customHeight="1" x14ac:dyDescent="0.25">
      <c r="A640" s="4" t="s">
        <v>28</v>
      </c>
      <c r="B640" s="4" t="s">
        <v>35</v>
      </c>
      <c r="C640" s="4" t="s">
        <v>44</v>
      </c>
      <c r="D640" s="4" t="s">
        <v>47</v>
      </c>
      <c r="E640" s="4" t="s">
        <v>25</v>
      </c>
      <c r="F640" s="4" t="s">
        <v>25</v>
      </c>
      <c r="G640" s="4" t="s">
        <v>25</v>
      </c>
      <c r="H640" s="4" t="s">
        <v>37</v>
      </c>
      <c r="I640" s="5">
        <v>44256</v>
      </c>
      <c r="J640" s="6">
        <v>584</v>
      </c>
      <c r="K640" s="6">
        <v>548.95999999999992</v>
      </c>
      <c r="L640" s="6">
        <v>27.468</v>
      </c>
      <c r="M640" s="6">
        <v>25.81992</v>
      </c>
      <c r="N640" s="6">
        <v>27.468</v>
      </c>
      <c r="O640" s="6">
        <v>25.81992</v>
      </c>
      <c r="P640" s="6">
        <v>0</v>
      </c>
      <c r="Q640" s="4" t="s">
        <v>26</v>
      </c>
      <c r="R640" s="4">
        <v>0</v>
      </c>
      <c r="S640" s="4" t="s">
        <v>174</v>
      </c>
      <c r="T640" s="4" t="s">
        <v>449</v>
      </c>
      <c r="U640" s="4">
        <v>28</v>
      </c>
      <c r="V640" s="4">
        <v>30</v>
      </c>
      <c r="W640" s="4">
        <v>66</v>
      </c>
    </row>
    <row r="641" spans="1:23" ht="11.25" customHeight="1" x14ac:dyDescent="0.25">
      <c r="A641" s="4" t="s">
        <v>21</v>
      </c>
      <c r="B641" s="4" t="s">
        <v>35</v>
      </c>
      <c r="C641" s="4" t="s">
        <v>44</v>
      </c>
      <c r="D641" s="4" t="s">
        <v>47</v>
      </c>
      <c r="E641" s="4" t="s">
        <v>25</v>
      </c>
      <c r="F641" s="4" t="s">
        <v>25</v>
      </c>
      <c r="G641" s="4" t="s">
        <v>25</v>
      </c>
      <c r="H641" s="4" t="s">
        <v>37</v>
      </c>
      <c r="I641" s="5">
        <v>44287</v>
      </c>
      <c r="J641" s="6">
        <v>95</v>
      </c>
      <c r="K641" s="6">
        <v>89.3</v>
      </c>
      <c r="L641" s="6">
        <v>3.58</v>
      </c>
      <c r="M641" s="6">
        <v>3.3651999999999997</v>
      </c>
      <c r="N641" s="6">
        <v>3.58</v>
      </c>
      <c r="O641" s="6">
        <v>3.3651999999999997</v>
      </c>
      <c r="P641" s="6">
        <v>0</v>
      </c>
      <c r="Q641" s="4" t="s">
        <v>26</v>
      </c>
      <c r="R641" s="4">
        <v>0</v>
      </c>
      <c r="S641" s="4" t="s">
        <v>175</v>
      </c>
      <c r="T641" s="4" t="s">
        <v>450</v>
      </c>
      <c r="U641" s="4">
        <v>28</v>
      </c>
      <c r="V641" s="4">
        <v>30</v>
      </c>
      <c r="W641" s="4">
        <v>66</v>
      </c>
    </row>
    <row r="642" spans="1:23" ht="11.25" customHeight="1" x14ac:dyDescent="0.25">
      <c r="A642" s="4" t="s">
        <v>28</v>
      </c>
      <c r="B642" s="4" t="s">
        <v>35</v>
      </c>
      <c r="C642" s="4" t="s">
        <v>44</v>
      </c>
      <c r="D642" s="4" t="s">
        <v>47</v>
      </c>
      <c r="E642" s="4" t="s">
        <v>25</v>
      </c>
      <c r="F642" s="4" t="s">
        <v>25</v>
      </c>
      <c r="G642" s="4" t="s">
        <v>25</v>
      </c>
      <c r="H642" s="4" t="s">
        <v>37</v>
      </c>
      <c r="I642" s="5">
        <v>44287</v>
      </c>
      <c r="J642" s="6">
        <v>702</v>
      </c>
      <c r="K642" s="6">
        <v>659.88</v>
      </c>
      <c r="L642" s="6">
        <v>27.431999999999999</v>
      </c>
      <c r="M642" s="6">
        <v>25.786079999999998</v>
      </c>
      <c r="N642" s="6">
        <v>27.431999999999999</v>
      </c>
      <c r="O642" s="6">
        <v>25.786079999999998</v>
      </c>
      <c r="P642" s="6">
        <v>0</v>
      </c>
      <c r="Q642" s="4" t="s">
        <v>26</v>
      </c>
      <c r="R642" s="4">
        <v>0</v>
      </c>
      <c r="S642" s="4" t="s">
        <v>175</v>
      </c>
      <c r="T642" s="4" t="s">
        <v>450</v>
      </c>
      <c r="U642" s="4">
        <v>28</v>
      </c>
      <c r="V642" s="4">
        <v>30</v>
      </c>
      <c r="W642" s="4">
        <v>66</v>
      </c>
    </row>
    <row r="643" spans="1:23" ht="11.25" customHeight="1" x14ac:dyDescent="0.25">
      <c r="A643" s="4" t="s">
        <v>21</v>
      </c>
      <c r="B643" s="4" t="s">
        <v>35</v>
      </c>
      <c r="C643" s="4" t="s">
        <v>44</v>
      </c>
      <c r="D643" s="4" t="s">
        <v>47</v>
      </c>
      <c r="E643" s="4" t="s">
        <v>25</v>
      </c>
      <c r="F643" s="4" t="s">
        <v>25</v>
      </c>
      <c r="G643" s="4" t="s">
        <v>25</v>
      </c>
      <c r="H643" s="4" t="s">
        <v>37</v>
      </c>
      <c r="I643" s="5">
        <v>44317</v>
      </c>
      <c r="J643" s="6">
        <v>94</v>
      </c>
      <c r="K643" s="6">
        <v>88.36</v>
      </c>
      <c r="L643" s="6">
        <v>3.7749999999999999</v>
      </c>
      <c r="M643" s="6">
        <v>3.5485000000000002</v>
      </c>
      <c r="N643" s="6">
        <v>3.7749999999999999</v>
      </c>
      <c r="O643" s="6">
        <v>3.5485000000000002</v>
      </c>
      <c r="P643" s="6">
        <v>0</v>
      </c>
      <c r="Q643" s="4" t="s">
        <v>26</v>
      </c>
      <c r="R643" s="4">
        <v>0</v>
      </c>
      <c r="S643" s="4" t="s">
        <v>176</v>
      </c>
      <c r="T643" s="4" t="s">
        <v>451</v>
      </c>
      <c r="U643" s="4">
        <v>28</v>
      </c>
      <c r="V643" s="4">
        <v>30</v>
      </c>
      <c r="W643" s="4">
        <v>66</v>
      </c>
    </row>
    <row r="644" spans="1:23" ht="11.25" customHeight="1" x14ac:dyDescent="0.25">
      <c r="A644" s="4" t="s">
        <v>28</v>
      </c>
      <c r="B644" s="4" t="s">
        <v>35</v>
      </c>
      <c r="C644" s="4" t="s">
        <v>44</v>
      </c>
      <c r="D644" s="4" t="s">
        <v>47</v>
      </c>
      <c r="E644" s="4" t="s">
        <v>25</v>
      </c>
      <c r="F644" s="4" t="s">
        <v>25</v>
      </c>
      <c r="G644" s="4" t="s">
        <v>25</v>
      </c>
      <c r="H644" s="4" t="s">
        <v>37</v>
      </c>
      <c r="I644" s="5">
        <v>44317</v>
      </c>
      <c r="J644" s="6">
        <v>638</v>
      </c>
      <c r="K644" s="6">
        <v>599.72</v>
      </c>
      <c r="L644" s="6">
        <v>32.472000000000001</v>
      </c>
      <c r="M644" s="6">
        <v>30.523679999999999</v>
      </c>
      <c r="N644" s="6">
        <v>32.472000000000001</v>
      </c>
      <c r="O644" s="6">
        <v>30.523679999999999</v>
      </c>
      <c r="P644" s="6">
        <v>0</v>
      </c>
      <c r="Q644" s="4" t="s">
        <v>26</v>
      </c>
      <c r="R644" s="4">
        <v>0</v>
      </c>
      <c r="S644" s="4" t="s">
        <v>176</v>
      </c>
      <c r="T644" s="4" t="s">
        <v>451</v>
      </c>
      <c r="U644" s="4">
        <v>28</v>
      </c>
      <c r="V644" s="4">
        <v>30</v>
      </c>
      <c r="W644" s="4">
        <v>66</v>
      </c>
    </row>
    <row r="645" spans="1:23" ht="11.25" customHeight="1" x14ac:dyDescent="0.25">
      <c r="A645" s="4" t="s">
        <v>21</v>
      </c>
      <c r="B645" s="4" t="s">
        <v>35</v>
      </c>
      <c r="C645" s="4" t="s">
        <v>44</v>
      </c>
      <c r="D645" s="4" t="s">
        <v>47</v>
      </c>
      <c r="E645" s="4" t="s">
        <v>25</v>
      </c>
      <c r="F645" s="4" t="s">
        <v>25</v>
      </c>
      <c r="G645" s="4" t="s">
        <v>25</v>
      </c>
      <c r="H645" s="4" t="s">
        <v>37</v>
      </c>
      <c r="I645" s="5">
        <v>44348</v>
      </c>
      <c r="J645" s="6">
        <v>91</v>
      </c>
      <c r="K645" s="6">
        <v>85.54</v>
      </c>
      <c r="L645" s="6">
        <v>3.9079999999999999</v>
      </c>
      <c r="M645" s="6">
        <v>3.6735199999999999</v>
      </c>
      <c r="N645" s="6">
        <v>3.9079999999999999</v>
      </c>
      <c r="O645" s="6">
        <v>3.6735199999999999</v>
      </c>
      <c r="P645" s="6">
        <v>0</v>
      </c>
      <c r="Q645" s="4" t="s">
        <v>26</v>
      </c>
      <c r="R645" s="4">
        <v>0</v>
      </c>
      <c r="S645" s="4" t="s">
        <v>177</v>
      </c>
      <c r="T645" s="4" t="s">
        <v>452</v>
      </c>
      <c r="U645" s="4">
        <v>28</v>
      </c>
      <c r="V645" s="4">
        <v>30</v>
      </c>
      <c r="W645" s="4">
        <v>66</v>
      </c>
    </row>
    <row r="646" spans="1:23" ht="11.25" customHeight="1" x14ac:dyDescent="0.25">
      <c r="A646" s="4" t="s">
        <v>28</v>
      </c>
      <c r="B646" s="4" t="s">
        <v>35</v>
      </c>
      <c r="C646" s="4" t="s">
        <v>44</v>
      </c>
      <c r="D646" s="4" t="s">
        <v>47</v>
      </c>
      <c r="E646" s="4" t="s">
        <v>25</v>
      </c>
      <c r="F646" s="4" t="s">
        <v>25</v>
      </c>
      <c r="G646" s="4" t="s">
        <v>25</v>
      </c>
      <c r="H646" s="4" t="s">
        <v>37</v>
      </c>
      <c r="I646" s="5">
        <v>44348</v>
      </c>
      <c r="J646" s="6">
        <v>615</v>
      </c>
      <c r="K646" s="6">
        <v>578.1</v>
      </c>
      <c r="L646" s="6">
        <v>21.815999999999999</v>
      </c>
      <c r="M646" s="6">
        <v>20.507039999999996</v>
      </c>
      <c r="N646" s="6">
        <v>21.815999999999999</v>
      </c>
      <c r="O646" s="6">
        <v>20.507039999999996</v>
      </c>
      <c r="P646" s="6">
        <v>0</v>
      </c>
      <c r="Q646" s="4" t="s">
        <v>26</v>
      </c>
      <c r="R646" s="4">
        <v>0</v>
      </c>
      <c r="S646" s="4" t="s">
        <v>177</v>
      </c>
      <c r="T646" s="4" t="s">
        <v>452</v>
      </c>
      <c r="U646" s="4">
        <v>28</v>
      </c>
      <c r="V646" s="4">
        <v>30</v>
      </c>
      <c r="W646" s="4">
        <v>66</v>
      </c>
    </row>
    <row r="647" spans="1:23" ht="11.25" customHeight="1" x14ac:dyDescent="0.25">
      <c r="A647" s="4" t="s">
        <v>21</v>
      </c>
      <c r="B647" s="4" t="s">
        <v>35</v>
      </c>
      <c r="C647" s="4" t="s">
        <v>44</v>
      </c>
      <c r="D647" s="4" t="s">
        <v>47</v>
      </c>
      <c r="E647" s="4" t="s">
        <v>25</v>
      </c>
      <c r="F647" s="4" t="s">
        <v>25</v>
      </c>
      <c r="G647" s="4" t="s">
        <v>25</v>
      </c>
      <c r="H647" s="4" t="s">
        <v>37</v>
      </c>
      <c r="I647" s="5">
        <v>44378</v>
      </c>
      <c r="J647" s="6">
        <v>99</v>
      </c>
      <c r="K647" s="6">
        <v>93.06</v>
      </c>
      <c r="L647" s="6">
        <v>4.2619999999999996</v>
      </c>
      <c r="M647" s="6">
        <v>4.0062800000000003</v>
      </c>
      <c r="N647" s="6">
        <v>4.2619999999999996</v>
      </c>
      <c r="O647" s="6">
        <v>4.0062800000000003</v>
      </c>
      <c r="P647" s="6">
        <v>0</v>
      </c>
      <c r="Q647" s="4" t="s">
        <v>26</v>
      </c>
      <c r="R647" s="4">
        <v>0</v>
      </c>
      <c r="S647" s="4" t="s">
        <v>178</v>
      </c>
      <c r="T647" s="4" t="s">
        <v>453</v>
      </c>
      <c r="U647" s="4">
        <v>28</v>
      </c>
      <c r="V647" s="4">
        <v>30</v>
      </c>
      <c r="W647" s="4">
        <v>66</v>
      </c>
    </row>
    <row r="648" spans="1:23" ht="11.25" customHeight="1" x14ac:dyDescent="0.25">
      <c r="A648" s="4" t="s">
        <v>28</v>
      </c>
      <c r="B648" s="4" t="s">
        <v>35</v>
      </c>
      <c r="C648" s="4" t="s">
        <v>44</v>
      </c>
      <c r="D648" s="4" t="s">
        <v>47</v>
      </c>
      <c r="E648" s="4" t="s">
        <v>25</v>
      </c>
      <c r="F648" s="4" t="s">
        <v>25</v>
      </c>
      <c r="G648" s="4" t="s">
        <v>25</v>
      </c>
      <c r="H648" s="4" t="s">
        <v>37</v>
      </c>
      <c r="I648" s="5">
        <v>44378</v>
      </c>
      <c r="J648" s="6">
        <v>461</v>
      </c>
      <c r="K648" s="6">
        <v>433.34</v>
      </c>
      <c r="L648" s="6">
        <v>9.5039999999999996</v>
      </c>
      <c r="M648" s="6">
        <v>8.9337599999999995</v>
      </c>
      <c r="N648" s="6">
        <v>9.5039999999999996</v>
      </c>
      <c r="O648" s="6">
        <v>8.9337599999999995</v>
      </c>
      <c r="P648" s="6">
        <v>0</v>
      </c>
      <c r="Q648" s="4" t="s">
        <v>26</v>
      </c>
      <c r="R648" s="4">
        <v>0</v>
      </c>
      <c r="S648" s="4" t="s">
        <v>178</v>
      </c>
      <c r="T648" s="4" t="s">
        <v>453</v>
      </c>
      <c r="U648" s="4">
        <v>28</v>
      </c>
      <c r="V648" s="4">
        <v>30</v>
      </c>
      <c r="W648" s="4">
        <v>66</v>
      </c>
    </row>
    <row r="649" spans="1:23" ht="11.25" customHeight="1" x14ac:dyDescent="0.25">
      <c r="A649" s="4" t="s">
        <v>21</v>
      </c>
      <c r="B649" s="4" t="s">
        <v>35</v>
      </c>
      <c r="C649" s="4" t="s">
        <v>44</v>
      </c>
      <c r="D649" s="4" t="s">
        <v>47</v>
      </c>
      <c r="E649" s="4" t="s">
        <v>25</v>
      </c>
      <c r="F649" s="4" t="s">
        <v>25</v>
      </c>
      <c r="G649" s="4" t="s">
        <v>25</v>
      </c>
      <c r="H649" s="4" t="s">
        <v>37</v>
      </c>
      <c r="I649" s="5">
        <v>44409</v>
      </c>
      <c r="J649" s="6">
        <v>102</v>
      </c>
      <c r="K649" s="6">
        <v>95.88</v>
      </c>
      <c r="L649" s="6">
        <v>4.093</v>
      </c>
      <c r="M649" s="6">
        <v>3.8474200000000001</v>
      </c>
      <c r="N649" s="6">
        <v>4.093</v>
      </c>
      <c r="O649" s="6">
        <v>3.8474200000000001</v>
      </c>
      <c r="P649" s="6">
        <v>0</v>
      </c>
      <c r="Q649" s="4" t="s">
        <v>26</v>
      </c>
      <c r="R649" s="4">
        <v>0</v>
      </c>
      <c r="S649" s="4" t="s">
        <v>179</v>
      </c>
      <c r="T649" s="4" t="s">
        <v>454</v>
      </c>
      <c r="U649" s="4">
        <v>28</v>
      </c>
      <c r="V649" s="4">
        <v>30</v>
      </c>
      <c r="W649" s="4">
        <v>66</v>
      </c>
    </row>
    <row r="650" spans="1:23" ht="11.25" customHeight="1" x14ac:dyDescent="0.25">
      <c r="A650" s="4" t="s">
        <v>28</v>
      </c>
      <c r="B650" s="4" t="s">
        <v>35</v>
      </c>
      <c r="C650" s="4" t="s">
        <v>44</v>
      </c>
      <c r="D650" s="4" t="s">
        <v>47</v>
      </c>
      <c r="E650" s="4" t="s">
        <v>25</v>
      </c>
      <c r="F650" s="4" t="s">
        <v>25</v>
      </c>
      <c r="G650" s="4" t="s">
        <v>25</v>
      </c>
      <c r="H650" s="4" t="s">
        <v>37</v>
      </c>
      <c r="I650" s="5">
        <v>44409</v>
      </c>
      <c r="J650" s="6">
        <v>719</v>
      </c>
      <c r="K650" s="6">
        <v>675.86</v>
      </c>
      <c r="L650" s="6">
        <v>10.656000000000001</v>
      </c>
      <c r="M650" s="6">
        <v>10.016640000000001</v>
      </c>
      <c r="N650" s="6">
        <v>10.656000000000001</v>
      </c>
      <c r="O650" s="6">
        <v>10.016640000000001</v>
      </c>
      <c r="P650" s="6">
        <v>0</v>
      </c>
      <c r="Q650" s="4" t="s">
        <v>26</v>
      </c>
      <c r="R650" s="4">
        <v>0</v>
      </c>
      <c r="S650" s="4" t="s">
        <v>179</v>
      </c>
      <c r="T650" s="4" t="s">
        <v>454</v>
      </c>
      <c r="U650" s="4">
        <v>28</v>
      </c>
      <c r="V650" s="4">
        <v>30</v>
      </c>
      <c r="W650" s="4">
        <v>66</v>
      </c>
    </row>
    <row r="651" spans="1:23" ht="11.25" customHeight="1" x14ac:dyDescent="0.25">
      <c r="A651" s="4" t="s">
        <v>21</v>
      </c>
      <c r="B651" s="4" t="s">
        <v>35</v>
      </c>
      <c r="C651" s="4" t="s">
        <v>44</v>
      </c>
      <c r="D651" s="4" t="s">
        <v>47</v>
      </c>
      <c r="E651" s="4" t="s">
        <v>25</v>
      </c>
      <c r="F651" s="4" t="s">
        <v>25</v>
      </c>
      <c r="G651" s="4" t="s">
        <v>25</v>
      </c>
      <c r="H651" s="4" t="s">
        <v>37</v>
      </c>
      <c r="I651" s="5">
        <v>44440</v>
      </c>
      <c r="J651" s="6">
        <v>660</v>
      </c>
      <c r="K651" s="6">
        <v>620.4</v>
      </c>
      <c r="L651" s="6">
        <v>4.327</v>
      </c>
      <c r="M651" s="6">
        <v>4.06738</v>
      </c>
      <c r="N651" s="6">
        <v>4.327</v>
      </c>
      <c r="O651" s="6">
        <v>4.06738</v>
      </c>
      <c r="P651" s="6">
        <v>0</v>
      </c>
      <c r="Q651" s="4" t="s">
        <v>26</v>
      </c>
      <c r="R651" s="4">
        <v>0</v>
      </c>
      <c r="S651" s="4" t="s">
        <v>180</v>
      </c>
      <c r="T651" s="4" t="s">
        <v>455</v>
      </c>
      <c r="U651" s="4">
        <v>28</v>
      </c>
      <c r="V651" s="4">
        <v>30</v>
      </c>
      <c r="W651" s="4">
        <v>66</v>
      </c>
    </row>
    <row r="652" spans="1:23" ht="11.25" customHeight="1" x14ac:dyDescent="0.25">
      <c r="A652" s="4" t="s">
        <v>28</v>
      </c>
      <c r="B652" s="4" t="s">
        <v>35</v>
      </c>
      <c r="C652" s="4" t="s">
        <v>44</v>
      </c>
      <c r="D652" s="4" t="s">
        <v>47</v>
      </c>
      <c r="E652" s="4" t="s">
        <v>25</v>
      </c>
      <c r="F652" s="4" t="s">
        <v>25</v>
      </c>
      <c r="G652" s="4" t="s">
        <v>25</v>
      </c>
      <c r="H652" s="4" t="s">
        <v>37</v>
      </c>
      <c r="I652" s="5">
        <v>44440</v>
      </c>
      <c r="J652" s="6">
        <v>671</v>
      </c>
      <c r="K652" s="6">
        <v>630.74</v>
      </c>
      <c r="L652" s="6">
        <v>7.6319999999999997</v>
      </c>
      <c r="M652" s="6">
        <v>7.17408</v>
      </c>
      <c r="N652" s="6">
        <v>7.6319999999999997</v>
      </c>
      <c r="O652" s="6">
        <v>7.17408</v>
      </c>
      <c r="P652" s="6">
        <v>0</v>
      </c>
      <c r="Q652" s="4" t="s">
        <v>26</v>
      </c>
      <c r="R652" s="4">
        <v>0</v>
      </c>
      <c r="S652" s="4" t="s">
        <v>180</v>
      </c>
      <c r="T652" s="4" t="s">
        <v>455</v>
      </c>
      <c r="U652" s="4">
        <v>28</v>
      </c>
      <c r="V652" s="4">
        <v>30</v>
      </c>
      <c r="W652" s="4">
        <v>66</v>
      </c>
    </row>
    <row r="653" spans="1:23" ht="11.25" customHeight="1" x14ac:dyDescent="0.25">
      <c r="A653" s="4" t="s">
        <v>59</v>
      </c>
      <c r="B653" s="4" t="s">
        <v>35</v>
      </c>
      <c r="C653" s="4" t="s">
        <v>44</v>
      </c>
      <c r="D653" s="4" t="s">
        <v>47</v>
      </c>
      <c r="E653" s="4" t="s">
        <v>25</v>
      </c>
      <c r="F653" s="4" t="s">
        <v>25</v>
      </c>
      <c r="G653" s="4" t="s">
        <v>25</v>
      </c>
      <c r="H653" s="4" t="s">
        <v>37</v>
      </c>
      <c r="I653" s="5">
        <v>44470</v>
      </c>
      <c r="J653" s="6">
        <v>660</v>
      </c>
      <c r="K653" s="6">
        <v>620.4</v>
      </c>
      <c r="L653" s="6">
        <v>4.327</v>
      </c>
      <c r="M653" s="6">
        <v>4.06738</v>
      </c>
      <c r="N653" s="6">
        <v>4.327</v>
      </c>
      <c r="O653" s="6">
        <v>4.06738</v>
      </c>
      <c r="P653" s="6">
        <v>0</v>
      </c>
      <c r="Q653" s="4" t="s">
        <v>26</v>
      </c>
      <c r="R653" s="4">
        <v>0</v>
      </c>
      <c r="S653" s="4" t="s">
        <v>181</v>
      </c>
      <c r="T653" s="4" t="s">
        <v>456</v>
      </c>
      <c r="U653" s="4">
        <v>28</v>
      </c>
      <c r="V653" s="4">
        <v>30</v>
      </c>
      <c r="W653" s="4">
        <v>66</v>
      </c>
    </row>
    <row r="654" spans="1:23" ht="11.25" customHeight="1" x14ac:dyDescent="0.25">
      <c r="A654" s="4" t="s">
        <v>59</v>
      </c>
      <c r="B654" s="4" t="s">
        <v>35</v>
      </c>
      <c r="C654" s="4" t="s">
        <v>44</v>
      </c>
      <c r="D654" s="4" t="s">
        <v>47</v>
      </c>
      <c r="E654" s="4" t="s">
        <v>25</v>
      </c>
      <c r="F654" s="4" t="s">
        <v>25</v>
      </c>
      <c r="G654" s="4" t="s">
        <v>25</v>
      </c>
      <c r="H654" s="4" t="s">
        <v>37</v>
      </c>
      <c r="I654" s="5">
        <v>44470</v>
      </c>
      <c r="J654" s="6">
        <v>671</v>
      </c>
      <c r="K654" s="6">
        <v>630.74</v>
      </c>
      <c r="L654" s="6">
        <v>7.6319999999999997</v>
      </c>
      <c r="M654" s="6">
        <v>7.17408</v>
      </c>
      <c r="N654" s="6">
        <v>7.6319999999999997</v>
      </c>
      <c r="O654" s="6">
        <v>7.17408</v>
      </c>
      <c r="P654" s="6">
        <v>0</v>
      </c>
      <c r="Q654" s="4" t="s">
        <v>26</v>
      </c>
      <c r="R654" s="4">
        <v>0</v>
      </c>
      <c r="S654" s="4" t="s">
        <v>181</v>
      </c>
      <c r="T654" s="4" t="s">
        <v>456</v>
      </c>
      <c r="U654" s="4">
        <v>28</v>
      </c>
      <c r="V654" s="4">
        <v>30</v>
      </c>
      <c r="W654" s="4">
        <v>66</v>
      </c>
    </row>
    <row r="655" spans="1:23" ht="11.25" customHeight="1" x14ac:dyDescent="0.25">
      <c r="A655" s="4" t="s">
        <v>21</v>
      </c>
      <c r="B655" s="4" t="s">
        <v>35</v>
      </c>
      <c r="C655" s="4" t="s">
        <v>44</v>
      </c>
      <c r="D655" s="4" t="s">
        <v>52</v>
      </c>
      <c r="E655" s="4" t="s">
        <v>53</v>
      </c>
      <c r="F655" s="4" t="s">
        <v>25</v>
      </c>
      <c r="G655" s="4" t="s">
        <v>25</v>
      </c>
      <c r="H655" s="4" t="s">
        <v>38</v>
      </c>
      <c r="I655" s="5">
        <v>44136</v>
      </c>
      <c r="J655" s="6">
        <v>1274</v>
      </c>
      <c r="K655" s="6">
        <v>1159.3400000000001</v>
      </c>
      <c r="L655" s="6">
        <v>446.23700000000002</v>
      </c>
      <c r="M655" s="6">
        <v>406.07567000000006</v>
      </c>
      <c r="N655" s="6">
        <v>446.23700000000002</v>
      </c>
      <c r="O655" s="6">
        <v>406.07567000000006</v>
      </c>
      <c r="P655" s="6">
        <v>0</v>
      </c>
      <c r="Q655" s="4" t="s">
        <v>26</v>
      </c>
      <c r="R655" s="4">
        <v>0</v>
      </c>
      <c r="S655" s="4" t="s">
        <v>152</v>
      </c>
      <c r="T655" s="4" t="s">
        <v>433</v>
      </c>
      <c r="U655" s="4">
        <v>29</v>
      </c>
      <c r="V655" s="4">
        <v>30</v>
      </c>
      <c r="W655" s="4">
        <v>67</v>
      </c>
    </row>
    <row r="656" spans="1:23" ht="11.25" customHeight="1" x14ac:dyDescent="0.25">
      <c r="A656" s="4" t="s">
        <v>28</v>
      </c>
      <c r="B656" s="4" t="s">
        <v>35</v>
      </c>
      <c r="C656" s="4" t="s">
        <v>44</v>
      </c>
      <c r="D656" s="4" t="s">
        <v>52</v>
      </c>
      <c r="E656" s="4" t="s">
        <v>53</v>
      </c>
      <c r="F656" s="4" t="s">
        <v>25</v>
      </c>
      <c r="G656" s="4" t="s">
        <v>25</v>
      </c>
      <c r="H656" s="4" t="s">
        <v>38</v>
      </c>
      <c r="I656" s="5">
        <v>44136</v>
      </c>
      <c r="J656" s="6">
        <v>605</v>
      </c>
      <c r="K656" s="6">
        <v>550.55000000000007</v>
      </c>
      <c r="L656" s="6">
        <v>261.67700000000002</v>
      </c>
      <c r="M656" s="6">
        <v>238.12607000000003</v>
      </c>
      <c r="N656" s="6">
        <v>261.67700000000002</v>
      </c>
      <c r="O656" s="6">
        <v>238.12607000000003</v>
      </c>
      <c r="P656" s="6">
        <v>0</v>
      </c>
      <c r="Q656" s="4" t="s">
        <v>26</v>
      </c>
      <c r="R656" s="4">
        <v>0</v>
      </c>
      <c r="S656" s="4" t="s">
        <v>152</v>
      </c>
      <c r="T656" s="4" t="s">
        <v>433</v>
      </c>
      <c r="U656" s="4">
        <v>29</v>
      </c>
      <c r="V656" s="4">
        <v>30</v>
      </c>
      <c r="W656" s="4">
        <v>67</v>
      </c>
    </row>
    <row r="657" spans="1:23" ht="11.25" customHeight="1" x14ac:dyDescent="0.25">
      <c r="A657" s="4" t="s">
        <v>21</v>
      </c>
      <c r="B657" s="4" t="s">
        <v>35</v>
      </c>
      <c r="C657" s="4" t="s">
        <v>44</v>
      </c>
      <c r="D657" s="4" t="s">
        <v>52</v>
      </c>
      <c r="E657" s="4" t="s">
        <v>53</v>
      </c>
      <c r="F657" s="4" t="s">
        <v>25</v>
      </c>
      <c r="G657" s="4" t="s">
        <v>25</v>
      </c>
      <c r="H657" s="4" t="s">
        <v>38</v>
      </c>
      <c r="I657" s="5">
        <v>44166</v>
      </c>
      <c r="J657" s="6">
        <v>1275</v>
      </c>
      <c r="K657" s="6">
        <v>1160.25</v>
      </c>
      <c r="L657" s="6">
        <v>462.72300000000001</v>
      </c>
      <c r="M657" s="6">
        <v>421.07793000000004</v>
      </c>
      <c r="N657" s="6">
        <v>462.72300000000001</v>
      </c>
      <c r="O657" s="6">
        <v>421.07793000000004</v>
      </c>
      <c r="P657" s="6">
        <v>0</v>
      </c>
      <c r="Q657" s="4" t="s">
        <v>26</v>
      </c>
      <c r="R657" s="4">
        <v>0</v>
      </c>
      <c r="S657" s="4" t="s">
        <v>153</v>
      </c>
      <c r="T657" s="4" t="s">
        <v>434</v>
      </c>
      <c r="U657" s="4">
        <v>29</v>
      </c>
      <c r="V657" s="4">
        <v>30</v>
      </c>
      <c r="W657" s="4">
        <v>67</v>
      </c>
    </row>
    <row r="658" spans="1:23" ht="11.25" customHeight="1" x14ac:dyDescent="0.25">
      <c r="A658" s="4" t="s">
        <v>28</v>
      </c>
      <c r="B658" s="4" t="s">
        <v>35</v>
      </c>
      <c r="C658" s="4" t="s">
        <v>44</v>
      </c>
      <c r="D658" s="4" t="s">
        <v>52</v>
      </c>
      <c r="E658" s="4" t="s">
        <v>53</v>
      </c>
      <c r="F658" s="4" t="s">
        <v>25</v>
      </c>
      <c r="G658" s="4" t="s">
        <v>25</v>
      </c>
      <c r="H658" s="4" t="s">
        <v>38</v>
      </c>
      <c r="I658" s="5">
        <v>44166</v>
      </c>
      <c r="J658" s="6">
        <v>612</v>
      </c>
      <c r="K658" s="6">
        <v>556.92000000000007</v>
      </c>
      <c r="L658" s="6">
        <v>299.572</v>
      </c>
      <c r="M658" s="6">
        <v>272.61052000000001</v>
      </c>
      <c r="N658" s="6">
        <v>299.572</v>
      </c>
      <c r="O658" s="6">
        <v>272.61052000000001</v>
      </c>
      <c r="P658" s="6">
        <v>0</v>
      </c>
      <c r="Q658" s="4" t="s">
        <v>26</v>
      </c>
      <c r="R658" s="4">
        <v>0</v>
      </c>
      <c r="S658" s="4" t="s">
        <v>153</v>
      </c>
      <c r="T658" s="4" t="s">
        <v>434</v>
      </c>
      <c r="U658" s="4">
        <v>29</v>
      </c>
      <c r="V658" s="4">
        <v>30</v>
      </c>
      <c r="W658" s="4">
        <v>67</v>
      </c>
    </row>
    <row r="659" spans="1:23" ht="11.25" customHeight="1" x14ac:dyDescent="0.25">
      <c r="A659" s="4" t="s">
        <v>21</v>
      </c>
      <c r="B659" s="4" t="s">
        <v>35</v>
      </c>
      <c r="C659" s="4" t="s">
        <v>44</v>
      </c>
      <c r="D659" s="4" t="s">
        <v>52</v>
      </c>
      <c r="E659" s="4" t="s">
        <v>53</v>
      </c>
      <c r="F659" s="4" t="s">
        <v>25</v>
      </c>
      <c r="G659" s="4" t="s">
        <v>25</v>
      </c>
      <c r="H659" s="4" t="s">
        <v>38</v>
      </c>
      <c r="I659" s="5">
        <v>44197</v>
      </c>
      <c r="J659" s="6">
        <v>1336</v>
      </c>
      <c r="K659" s="6">
        <v>1215.76</v>
      </c>
      <c r="L659" s="6">
        <v>461.69600000000003</v>
      </c>
      <c r="M659" s="6">
        <v>420.14336000000003</v>
      </c>
      <c r="N659" s="6">
        <v>461.69600000000003</v>
      </c>
      <c r="O659" s="6">
        <v>420.14336000000003</v>
      </c>
      <c r="P659" s="6">
        <v>0</v>
      </c>
      <c r="Q659" s="4" t="s">
        <v>26</v>
      </c>
      <c r="R659" s="4">
        <v>0</v>
      </c>
      <c r="S659" s="4" t="s">
        <v>154</v>
      </c>
      <c r="T659" s="4" t="s">
        <v>435</v>
      </c>
      <c r="U659" s="4">
        <v>29</v>
      </c>
      <c r="V659" s="4">
        <v>30</v>
      </c>
      <c r="W659" s="4">
        <v>67</v>
      </c>
    </row>
    <row r="660" spans="1:23" ht="11.25" customHeight="1" x14ac:dyDescent="0.25">
      <c r="A660" s="4" t="s">
        <v>28</v>
      </c>
      <c r="B660" s="4" t="s">
        <v>35</v>
      </c>
      <c r="C660" s="4" t="s">
        <v>44</v>
      </c>
      <c r="D660" s="4" t="s">
        <v>52</v>
      </c>
      <c r="E660" s="4" t="s">
        <v>53</v>
      </c>
      <c r="F660" s="4" t="s">
        <v>25</v>
      </c>
      <c r="G660" s="4" t="s">
        <v>25</v>
      </c>
      <c r="H660" s="4" t="s">
        <v>38</v>
      </c>
      <c r="I660" s="5">
        <v>44197</v>
      </c>
      <c r="J660" s="6">
        <v>611</v>
      </c>
      <c r="K660" s="6">
        <v>556.01</v>
      </c>
      <c r="L660" s="6">
        <v>293.57900000000001</v>
      </c>
      <c r="M660" s="6">
        <v>267.15689000000003</v>
      </c>
      <c r="N660" s="6">
        <v>293.57900000000001</v>
      </c>
      <c r="O660" s="6">
        <v>267.15689000000003</v>
      </c>
      <c r="P660" s="6">
        <v>0</v>
      </c>
      <c r="Q660" s="4" t="s">
        <v>26</v>
      </c>
      <c r="R660" s="4">
        <v>0</v>
      </c>
      <c r="S660" s="4" t="s">
        <v>154</v>
      </c>
      <c r="T660" s="4" t="s">
        <v>435</v>
      </c>
      <c r="U660" s="4">
        <v>29</v>
      </c>
      <c r="V660" s="4">
        <v>30</v>
      </c>
      <c r="W660" s="4">
        <v>67</v>
      </c>
    </row>
    <row r="661" spans="1:23" ht="11.25" customHeight="1" x14ac:dyDescent="0.25">
      <c r="A661" s="4" t="s">
        <v>21</v>
      </c>
      <c r="B661" s="4" t="s">
        <v>35</v>
      </c>
      <c r="C661" s="4" t="s">
        <v>44</v>
      </c>
      <c r="D661" s="4" t="s">
        <v>52</v>
      </c>
      <c r="E661" s="4" t="s">
        <v>53</v>
      </c>
      <c r="F661" s="4" t="s">
        <v>25</v>
      </c>
      <c r="G661" s="4" t="s">
        <v>25</v>
      </c>
      <c r="H661" s="4" t="s">
        <v>38</v>
      </c>
      <c r="I661" s="5">
        <v>44228</v>
      </c>
      <c r="J661" s="6">
        <v>1365</v>
      </c>
      <c r="K661" s="6">
        <v>1242.1500000000001</v>
      </c>
      <c r="L661" s="6">
        <v>405.6</v>
      </c>
      <c r="M661" s="6">
        <v>369.09600000000006</v>
      </c>
      <c r="N661" s="6">
        <v>405.6</v>
      </c>
      <c r="O661" s="6">
        <v>369.09600000000006</v>
      </c>
      <c r="P661" s="6">
        <v>0</v>
      </c>
      <c r="Q661" s="4" t="s">
        <v>26</v>
      </c>
      <c r="R661" s="4">
        <v>0</v>
      </c>
      <c r="S661" s="4" t="s">
        <v>155</v>
      </c>
      <c r="T661" s="4" t="s">
        <v>436</v>
      </c>
      <c r="U661" s="4">
        <v>29</v>
      </c>
      <c r="V661" s="4">
        <v>30</v>
      </c>
      <c r="W661" s="4">
        <v>67</v>
      </c>
    </row>
    <row r="662" spans="1:23" ht="11.25" customHeight="1" x14ac:dyDescent="0.25">
      <c r="A662" s="4" t="s">
        <v>28</v>
      </c>
      <c r="B662" s="4" t="s">
        <v>35</v>
      </c>
      <c r="C662" s="4" t="s">
        <v>44</v>
      </c>
      <c r="D662" s="4" t="s">
        <v>52</v>
      </c>
      <c r="E662" s="4" t="s">
        <v>53</v>
      </c>
      <c r="F662" s="4" t="s">
        <v>25</v>
      </c>
      <c r="G662" s="4" t="s">
        <v>25</v>
      </c>
      <c r="H662" s="4" t="s">
        <v>38</v>
      </c>
      <c r="I662" s="5">
        <v>44228</v>
      </c>
      <c r="J662" s="6">
        <v>611</v>
      </c>
      <c r="K662" s="6">
        <v>556.01</v>
      </c>
      <c r="L662" s="6">
        <v>256.74900000000002</v>
      </c>
      <c r="M662" s="6">
        <v>233.64159000000004</v>
      </c>
      <c r="N662" s="6">
        <v>256.74900000000002</v>
      </c>
      <c r="O662" s="6">
        <v>233.64159000000004</v>
      </c>
      <c r="P662" s="6">
        <v>0</v>
      </c>
      <c r="Q662" s="4" t="s">
        <v>26</v>
      </c>
      <c r="R662" s="4">
        <v>0</v>
      </c>
      <c r="S662" s="4" t="s">
        <v>155</v>
      </c>
      <c r="T662" s="4" t="s">
        <v>436</v>
      </c>
      <c r="U662" s="4">
        <v>29</v>
      </c>
      <c r="V662" s="4">
        <v>30</v>
      </c>
      <c r="W662" s="4">
        <v>67</v>
      </c>
    </row>
    <row r="663" spans="1:23" ht="11.25" customHeight="1" x14ac:dyDescent="0.25">
      <c r="A663" s="4" t="s">
        <v>21</v>
      </c>
      <c r="B663" s="4" t="s">
        <v>35</v>
      </c>
      <c r="C663" s="4" t="s">
        <v>44</v>
      </c>
      <c r="D663" s="4" t="s">
        <v>52</v>
      </c>
      <c r="E663" s="4" t="s">
        <v>53</v>
      </c>
      <c r="F663" s="4" t="s">
        <v>25</v>
      </c>
      <c r="G663" s="4" t="s">
        <v>25</v>
      </c>
      <c r="H663" s="4" t="s">
        <v>38</v>
      </c>
      <c r="I663" s="5">
        <v>44256</v>
      </c>
      <c r="J663" s="6">
        <v>1320</v>
      </c>
      <c r="K663" s="6">
        <v>1201.2</v>
      </c>
      <c r="L663" s="6">
        <v>418.74900000000002</v>
      </c>
      <c r="M663" s="6">
        <v>381.06159000000002</v>
      </c>
      <c r="N663" s="6">
        <v>418.74900000000002</v>
      </c>
      <c r="O663" s="6">
        <v>381.06159000000002</v>
      </c>
      <c r="P663" s="6">
        <v>0</v>
      </c>
      <c r="Q663" s="4" t="s">
        <v>26</v>
      </c>
      <c r="R663" s="4">
        <v>0</v>
      </c>
      <c r="S663" s="4" t="s">
        <v>156</v>
      </c>
      <c r="T663" s="4" t="s">
        <v>437</v>
      </c>
      <c r="U663" s="4">
        <v>29</v>
      </c>
      <c r="V663" s="4">
        <v>30</v>
      </c>
      <c r="W663" s="4">
        <v>67</v>
      </c>
    </row>
    <row r="664" spans="1:23" ht="11.25" customHeight="1" x14ac:dyDescent="0.25">
      <c r="A664" s="4" t="s">
        <v>28</v>
      </c>
      <c r="B664" s="4" t="s">
        <v>35</v>
      </c>
      <c r="C664" s="4" t="s">
        <v>44</v>
      </c>
      <c r="D664" s="4" t="s">
        <v>52</v>
      </c>
      <c r="E664" s="4" t="s">
        <v>53</v>
      </c>
      <c r="F664" s="4" t="s">
        <v>25</v>
      </c>
      <c r="G664" s="4" t="s">
        <v>25</v>
      </c>
      <c r="H664" s="4" t="s">
        <v>38</v>
      </c>
      <c r="I664" s="5">
        <v>44256</v>
      </c>
      <c r="J664" s="6">
        <v>610</v>
      </c>
      <c r="K664" s="6">
        <v>555.1</v>
      </c>
      <c r="L664" s="6">
        <v>289.87400000000002</v>
      </c>
      <c r="M664" s="6">
        <v>263.78534000000002</v>
      </c>
      <c r="N664" s="6">
        <v>289.87400000000002</v>
      </c>
      <c r="O664" s="6">
        <v>263.78534000000002</v>
      </c>
      <c r="P664" s="6">
        <v>0</v>
      </c>
      <c r="Q664" s="4" t="s">
        <v>26</v>
      </c>
      <c r="R664" s="4">
        <v>0</v>
      </c>
      <c r="S664" s="4" t="s">
        <v>156</v>
      </c>
      <c r="T664" s="4" t="s">
        <v>437</v>
      </c>
      <c r="U664" s="4">
        <v>29</v>
      </c>
      <c r="V664" s="4">
        <v>30</v>
      </c>
      <c r="W664" s="4">
        <v>67</v>
      </c>
    </row>
    <row r="665" spans="1:23" ht="11.25" customHeight="1" x14ac:dyDescent="0.25">
      <c r="A665" s="4" t="s">
        <v>21</v>
      </c>
      <c r="B665" s="4" t="s">
        <v>35</v>
      </c>
      <c r="C665" s="4" t="s">
        <v>44</v>
      </c>
      <c r="D665" s="4" t="s">
        <v>52</v>
      </c>
      <c r="E665" s="4" t="s">
        <v>53</v>
      </c>
      <c r="F665" s="4" t="s">
        <v>25</v>
      </c>
      <c r="G665" s="4" t="s">
        <v>25</v>
      </c>
      <c r="H665" s="4" t="s">
        <v>38</v>
      </c>
      <c r="I665" s="5">
        <v>44287</v>
      </c>
      <c r="J665" s="6">
        <v>938</v>
      </c>
      <c r="K665" s="6">
        <v>853.58</v>
      </c>
      <c r="L665" s="6">
        <v>263.48</v>
      </c>
      <c r="M665" s="6">
        <v>239.76680000000002</v>
      </c>
      <c r="N665" s="6">
        <v>263.48</v>
      </c>
      <c r="O665" s="6">
        <v>239.76680000000002</v>
      </c>
      <c r="P665" s="6">
        <v>0</v>
      </c>
      <c r="Q665" s="4" t="s">
        <v>26</v>
      </c>
      <c r="R665" s="4">
        <v>0</v>
      </c>
      <c r="S665" s="4" t="s">
        <v>157</v>
      </c>
      <c r="T665" s="4" t="s">
        <v>438</v>
      </c>
      <c r="U665" s="4">
        <v>29</v>
      </c>
      <c r="V665" s="4">
        <v>30</v>
      </c>
      <c r="W665" s="4">
        <v>67</v>
      </c>
    </row>
    <row r="666" spans="1:23" ht="11.25" customHeight="1" x14ac:dyDescent="0.25">
      <c r="A666" s="4" t="s">
        <v>28</v>
      </c>
      <c r="B666" s="4" t="s">
        <v>35</v>
      </c>
      <c r="C666" s="4" t="s">
        <v>44</v>
      </c>
      <c r="D666" s="4" t="s">
        <v>52</v>
      </c>
      <c r="E666" s="4" t="s">
        <v>53</v>
      </c>
      <c r="F666" s="4" t="s">
        <v>25</v>
      </c>
      <c r="G666" s="4" t="s">
        <v>25</v>
      </c>
      <c r="H666" s="4" t="s">
        <v>38</v>
      </c>
      <c r="I666" s="5">
        <v>44287</v>
      </c>
      <c r="J666" s="6">
        <v>616</v>
      </c>
      <c r="K666" s="6">
        <v>560.56000000000006</v>
      </c>
      <c r="L666" s="6">
        <v>273.05500000000001</v>
      </c>
      <c r="M666" s="6">
        <v>248.48005000000001</v>
      </c>
      <c r="N666" s="6">
        <v>273.05500000000001</v>
      </c>
      <c r="O666" s="6">
        <v>248.48005000000001</v>
      </c>
      <c r="P666" s="6">
        <v>0</v>
      </c>
      <c r="Q666" s="4" t="s">
        <v>26</v>
      </c>
      <c r="R666" s="4">
        <v>0</v>
      </c>
      <c r="S666" s="4" t="s">
        <v>157</v>
      </c>
      <c r="T666" s="4" t="s">
        <v>438</v>
      </c>
      <c r="U666" s="4">
        <v>29</v>
      </c>
      <c r="V666" s="4">
        <v>30</v>
      </c>
      <c r="W666" s="4">
        <v>67</v>
      </c>
    </row>
    <row r="667" spans="1:23" ht="11.25" customHeight="1" x14ac:dyDescent="0.25">
      <c r="A667" s="4" t="s">
        <v>21</v>
      </c>
      <c r="B667" s="4" t="s">
        <v>35</v>
      </c>
      <c r="C667" s="4" t="s">
        <v>44</v>
      </c>
      <c r="D667" s="4" t="s">
        <v>52</v>
      </c>
      <c r="E667" s="4" t="s">
        <v>53</v>
      </c>
      <c r="F667" s="4" t="s">
        <v>25</v>
      </c>
      <c r="G667" s="4" t="s">
        <v>25</v>
      </c>
      <c r="H667" s="4" t="s">
        <v>38</v>
      </c>
      <c r="I667" s="5">
        <v>44317</v>
      </c>
      <c r="J667" s="6">
        <v>1114</v>
      </c>
      <c r="K667" s="6">
        <v>1013.74</v>
      </c>
      <c r="L667" s="6">
        <v>295.05900000000003</v>
      </c>
      <c r="M667" s="6">
        <v>268.50369000000001</v>
      </c>
      <c r="N667" s="6">
        <v>295.05900000000003</v>
      </c>
      <c r="O667" s="6">
        <v>268.50369000000001</v>
      </c>
      <c r="P667" s="6">
        <v>0</v>
      </c>
      <c r="Q667" s="4" t="s">
        <v>26</v>
      </c>
      <c r="R667" s="4">
        <v>0</v>
      </c>
      <c r="S667" s="4" t="s">
        <v>158</v>
      </c>
      <c r="T667" s="4" t="s">
        <v>439</v>
      </c>
      <c r="U667" s="4">
        <v>29</v>
      </c>
      <c r="V667" s="4">
        <v>30</v>
      </c>
      <c r="W667" s="4">
        <v>67</v>
      </c>
    </row>
    <row r="668" spans="1:23" ht="11.25" customHeight="1" x14ac:dyDescent="0.25">
      <c r="A668" s="4" t="s">
        <v>28</v>
      </c>
      <c r="B668" s="4" t="s">
        <v>35</v>
      </c>
      <c r="C668" s="4" t="s">
        <v>44</v>
      </c>
      <c r="D668" s="4" t="s">
        <v>52</v>
      </c>
      <c r="E668" s="4" t="s">
        <v>53</v>
      </c>
      <c r="F668" s="4" t="s">
        <v>25</v>
      </c>
      <c r="G668" s="4" t="s">
        <v>25</v>
      </c>
      <c r="H668" s="4" t="s">
        <v>38</v>
      </c>
      <c r="I668" s="5">
        <v>44317</v>
      </c>
      <c r="J668" s="6">
        <v>640</v>
      </c>
      <c r="K668" s="6">
        <v>582.4</v>
      </c>
      <c r="L668" s="6">
        <v>277.32</v>
      </c>
      <c r="M668" s="6">
        <v>252.3612</v>
      </c>
      <c r="N668" s="6">
        <v>277.32</v>
      </c>
      <c r="O668" s="6">
        <v>252.3612</v>
      </c>
      <c r="P668" s="6">
        <v>0</v>
      </c>
      <c r="Q668" s="4" t="s">
        <v>26</v>
      </c>
      <c r="R668" s="4">
        <v>0</v>
      </c>
      <c r="S668" s="4" t="s">
        <v>158</v>
      </c>
      <c r="T668" s="4" t="s">
        <v>439</v>
      </c>
      <c r="U668" s="4">
        <v>29</v>
      </c>
      <c r="V668" s="4">
        <v>30</v>
      </c>
      <c r="W668" s="4">
        <v>67</v>
      </c>
    </row>
    <row r="669" spans="1:23" ht="11.25" customHeight="1" x14ac:dyDescent="0.25">
      <c r="A669" s="4" t="s">
        <v>21</v>
      </c>
      <c r="B669" s="4" t="s">
        <v>35</v>
      </c>
      <c r="C669" s="4" t="s">
        <v>44</v>
      </c>
      <c r="D669" s="4" t="s">
        <v>52</v>
      </c>
      <c r="E669" s="4" t="s">
        <v>53</v>
      </c>
      <c r="F669" s="4" t="s">
        <v>25</v>
      </c>
      <c r="G669" s="4" t="s">
        <v>25</v>
      </c>
      <c r="H669" s="4" t="s">
        <v>38</v>
      </c>
      <c r="I669" s="5">
        <v>44348</v>
      </c>
      <c r="J669" s="6">
        <v>966</v>
      </c>
      <c r="K669" s="6">
        <v>879.06</v>
      </c>
      <c r="L669" s="6">
        <v>238.61199999999999</v>
      </c>
      <c r="M669" s="6">
        <v>217.13692</v>
      </c>
      <c r="N669" s="6">
        <v>238.61199999999999</v>
      </c>
      <c r="O669" s="6">
        <v>217.13692</v>
      </c>
      <c r="P669" s="6">
        <v>0</v>
      </c>
      <c r="Q669" s="4" t="s">
        <v>26</v>
      </c>
      <c r="R669" s="4">
        <v>0</v>
      </c>
      <c r="S669" s="4" t="s">
        <v>159</v>
      </c>
      <c r="T669" s="4" t="s">
        <v>440</v>
      </c>
      <c r="U669" s="4">
        <v>29</v>
      </c>
      <c r="V669" s="4">
        <v>30</v>
      </c>
      <c r="W669" s="4">
        <v>67</v>
      </c>
    </row>
    <row r="670" spans="1:23" ht="11.25" customHeight="1" x14ac:dyDescent="0.25">
      <c r="A670" s="4" t="s">
        <v>28</v>
      </c>
      <c r="B670" s="4" t="s">
        <v>35</v>
      </c>
      <c r="C670" s="4" t="s">
        <v>44</v>
      </c>
      <c r="D670" s="4" t="s">
        <v>52</v>
      </c>
      <c r="E670" s="4" t="s">
        <v>53</v>
      </c>
      <c r="F670" s="4" t="s">
        <v>25</v>
      </c>
      <c r="G670" s="4" t="s">
        <v>25</v>
      </c>
      <c r="H670" s="4" t="s">
        <v>38</v>
      </c>
      <c r="I670" s="5">
        <v>44348</v>
      </c>
      <c r="J670" s="6">
        <v>646</v>
      </c>
      <c r="K670" s="6">
        <v>587.86</v>
      </c>
      <c r="L670" s="6">
        <v>264.84899999999999</v>
      </c>
      <c r="M670" s="6">
        <v>241.01258999999999</v>
      </c>
      <c r="N670" s="6">
        <v>264.84899999999999</v>
      </c>
      <c r="O670" s="6">
        <v>241.01258999999999</v>
      </c>
      <c r="P670" s="6">
        <v>0</v>
      </c>
      <c r="Q670" s="4" t="s">
        <v>26</v>
      </c>
      <c r="R670" s="4">
        <v>0</v>
      </c>
      <c r="S670" s="4" t="s">
        <v>159</v>
      </c>
      <c r="T670" s="4" t="s">
        <v>440</v>
      </c>
      <c r="U670" s="4">
        <v>29</v>
      </c>
      <c r="V670" s="4">
        <v>30</v>
      </c>
      <c r="W670" s="4">
        <v>67</v>
      </c>
    </row>
    <row r="671" spans="1:23" ht="11.25" customHeight="1" x14ac:dyDescent="0.25">
      <c r="A671" s="4" t="s">
        <v>21</v>
      </c>
      <c r="B671" s="4" t="s">
        <v>35</v>
      </c>
      <c r="C671" s="4" t="s">
        <v>44</v>
      </c>
      <c r="D671" s="4" t="s">
        <v>52</v>
      </c>
      <c r="E671" s="4" t="s">
        <v>53</v>
      </c>
      <c r="F671" s="4" t="s">
        <v>25</v>
      </c>
      <c r="G671" s="4" t="s">
        <v>25</v>
      </c>
      <c r="H671" s="4" t="s">
        <v>38</v>
      </c>
      <c r="I671" s="5">
        <v>44378</v>
      </c>
      <c r="J671" s="6">
        <v>1746</v>
      </c>
      <c r="K671" s="6">
        <v>1588.86</v>
      </c>
      <c r="L671" s="6">
        <v>157.25700000000001</v>
      </c>
      <c r="M671" s="6">
        <v>143.10387</v>
      </c>
      <c r="N671" s="6">
        <v>157.25700000000001</v>
      </c>
      <c r="O671" s="6">
        <v>143.10387</v>
      </c>
      <c r="P671" s="6">
        <v>0</v>
      </c>
      <c r="Q671" s="4" t="s">
        <v>26</v>
      </c>
      <c r="R671" s="4">
        <v>0</v>
      </c>
      <c r="S671" s="4" t="s">
        <v>160</v>
      </c>
      <c r="T671" s="4" t="s">
        <v>441</v>
      </c>
      <c r="U671" s="4">
        <v>29</v>
      </c>
      <c r="V671" s="4">
        <v>30</v>
      </c>
      <c r="W671" s="4">
        <v>67</v>
      </c>
    </row>
    <row r="672" spans="1:23" ht="11.25" customHeight="1" x14ac:dyDescent="0.25">
      <c r="A672" s="4" t="s">
        <v>28</v>
      </c>
      <c r="B672" s="4" t="s">
        <v>35</v>
      </c>
      <c r="C672" s="4" t="s">
        <v>44</v>
      </c>
      <c r="D672" s="4" t="s">
        <v>52</v>
      </c>
      <c r="E672" s="4" t="s">
        <v>53</v>
      </c>
      <c r="F672" s="4" t="s">
        <v>25</v>
      </c>
      <c r="G672" s="4" t="s">
        <v>25</v>
      </c>
      <c r="H672" s="4" t="s">
        <v>38</v>
      </c>
      <c r="I672" s="5">
        <v>44378</v>
      </c>
      <c r="J672" s="6">
        <v>624</v>
      </c>
      <c r="K672" s="6">
        <v>567.84</v>
      </c>
      <c r="L672" s="6">
        <v>283.92599999999999</v>
      </c>
      <c r="M672" s="6">
        <v>258.37266</v>
      </c>
      <c r="N672" s="6">
        <v>283.92599999999999</v>
      </c>
      <c r="O672" s="6">
        <v>258.37266</v>
      </c>
      <c r="P672" s="6">
        <v>0</v>
      </c>
      <c r="Q672" s="4" t="s">
        <v>26</v>
      </c>
      <c r="R672" s="4">
        <v>0</v>
      </c>
      <c r="S672" s="4" t="s">
        <v>160</v>
      </c>
      <c r="T672" s="4" t="s">
        <v>441</v>
      </c>
      <c r="U672" s="4">
        <v>29</v>
      </c>
      <c r="V672" s="4">
        <v>30</v>
      </c>
      <c r="W672" s="4">
        <v>67</v>
      </c>
    </row>
    <row r="673" spans="1:23" ht="11.25" customHeight="1" x14ac:dyDescent="0.25">
      <c r="A673" s="4" t="s">
        <v>21</v>
      </c>
      <c r="B673" s="4" t="s">
        <v>35</v>
      </c>
      <c r="C673" s="4" t="s">
        <v>44</v>
      </c>
      <c r="D673" s="4" t="s">
        <v>52</v>
      </c>
      <c r="E673" s="4" t="s">
        <v>53</v>
      </c>
      <c r="F673" s="4" t="s">
        <v>25</v>
      </c>
      <c r="G673" s="4" t="s">
        <v>25</v>
      </c>
      <c r="H673" s="4" t="s">
        <v>38</v>
      </c>
      <c r="I673" s="5">
        <v>44409</v>
      </c>
      <c r="J673" s="6">
        <v>1746</v>
      </c>
      <c r="K673" s="6">
        <v>1588.86</v>
      </c>
      <c r="L673" s="6">
        <v>129.04400000000001</v>
      </c>
      <c r="M673" s="6">
        <v>117.43004000000001</v>
      </c>
      <c r="N673" s="6">
        <v>129.04400000000001</v>
      </c>
      <c r="O673" s="6">
        <v>117.43004000000001</v>
      </c>
      <c r="P673" s="6">
        <v>0</v>
      </c>
      <c r="Q673" s="4" t="s">
        <v>26</v>
      </c>
      <c r="R673" s="4">
        <v>0</v>
      </c>
      <c r="S673" s="4" t="s">
        <v>161</v>
      </c>
      <c r="T673" s="4" t="s">
        <v>442</v>
      </c>
      <c r="U673" s="4">
        <v>29</v>
      </c>
      <c r="V673" s="4">
        <v>30</v>
      </c>
      <c r="W673" s="4">
        <v>67</v>
      </c>
    </row>
    <row r="674" spans="1:23" ht="11.25" customHeight="1" x14ac:dyDescent="0.25">
      <c r="A674" s="4" t="s">
        <v>28</v>
      </c>
      <c r="B674" s="4" t="s">
        <v>35</v>
      </c>
      <c r="C674" s="4" t="s">
        <v>44</v>
      </c>
      <c r="D674" s="4" t="s">
        <v>52</v>
      </c>
      <c r="E674" s="4" t="s">
        <v>53</v>
      </c>
      <c r="F674" s="4" t="s">
        <v>25</v>
      </c>
      <c r="G674" s="4" t="s">
        <v>25</v>
      </c>
      <c r="H674" s="4" t="s">
        <v>38</v>
      </c>
      <c r="I674" s="5">
        <v>44409</v>
      </c>
      <c r="J674" s="6">
        <v>648</v>
      </c>
      <c r="K674" s="6">
        <v>589.67999999999995</v>
      </c>
      <c r="L674" s="6">
        <v>268.27699999999999</v>
      </c>
      <c r="M674" s="6">
        <v>244.13207</v>
      </c>
      <c r="N674" s="6">
        <v>268.27699999999999</v>
      </c>
      <c r="O674" s="6">
        <v>244.13207</v>
      </c>
      <c r="P674" s="6">
        <v>0</v>
      </c>
      <c r="Q674" s="4" t="s">
        <v>26</v>
      </c>
      <c r="R674" s="4">
        <v>0</v>
      </c>
      <c r="S674" s="4" t="s">
        <v>161</v>
      </c>
      <c r="T674" s="4" t="s">
        <v>442</v>
      </c>
      <c r="U674" s="4">
        <v>29</v>
      </c>
      <c r="V674" s="4">
        <v>30</v>
      </c>
      <c r="W674" s="4">
        <v>67</v>
      </c>
    </row>
    <row r="675" spans="1:23" ht="11.25" customHeight="1" x14ac:dyDescent="0.25">
      <c r="A675" s="4" t="s">
        <v>21</v>
      </c>
      <c r="B675" s="4" t="s">
        <v>35</v>
      </c>
      <c r="C675" s="4" t="s">
        <v>44</v>
      </c>
      <c r="D675" s="4" t="s">
        <v>52</v>
      </c>
      <c r="E675" s="4" t="s">
        <v>53</v>
      </c>
      <c r="F675" s="4" t="s">
        <v>25</v>
      </c>
      <c r="G675" s="4" t="s">
        <v>25</v>
      </c>
      <c r="H675" s="4" t="s">
        <v>38</v>
      </c>
      <c r="I675" s="5">
        <v>44440</v>
      </c>
      <c r="J675" s="6">
        <v>1952</v>
      </c>
      <c r="K675" s="6">
        <v>1776.32</v>
      </c>
      <c r="L675" s="6">
        <v>340.94600000000003</v>
      </c>
      <c r="M675" s="6">
        <v>310.26085999999998</v>
      </c>
      <c r="N675" s="6">
        <v>340.94600000000003</v>
      </c>
      <c r="O675" s="6">
        <v>310.26085999999998</v>
      </c>
      <c r="P675" s="6">
        <v>0</v>
      </c>
      <c r="Q675" s="4" t="s">
        <v>26</v>
      </c>
      <c r="R675" s="4">
        <v>0</v>
      </c>
      <c r="S675" s="4" t="s">
        <v>162</v>
      </c>
      <c r="T675" s="4" t="s">
        <v>443</v>
      </c>
      <c r="U675" s="4">
        <v>29</v>
      </c>
      <c r="V675" s="4">
        <v>30</v>
      </c>
      <c r="W675" s="4">
        <v>67</v>
      </c>
    </row>
    <row r="676" spans="1:23" ht="11.25" customHeight="1" x14ac:dyDescent="0.25">
      <c r="A676" s="4" t="s">
        <v>28</v>
      </c>
      <c r="B676" s="4" t="s">
        <v>35</v>
      </c>
      <c r="C676" s="4" t="s">
        <v>44</v>
      </c>
      <c r="D676" s="4" t="s">
        <v>52</v>
      </c>
      <c r="E676" s="4" t="s">
        <v>53</v>
      </c>
      <c r="F676" s="4" t="s">
        <v>25</v>
      </c>
      <c r="G676" s="4" t="s">
        <v>25</v>
      </c>
      <c r="H676" s="4" t="s">
        <v>38</v>
      </c>
      <c r="I676" s="5">
        <v>44440</v>
      </c>
      <c r="J676" s="6">
        <v>662</v>
      </c>
      <c r="K676" s="6">
        <v>602.41999999999996</v>
      </c>
      <c r="L676" s="6">
        <v>253.947</v>
      </c>
      <c r="M676" s="6">
        <v>231.09177</v>
      </c>
      <c r="N676" s="6">
        <v>253.947</v>
      </c>
      <c r="O676" s="6">
        <v>231.09177</v>
      </c>
      <c r="P676" s="6">
        <v>0</v>
      </c>
      <c r="Q676" s="4" t="s">
        <v>26</v>
      </c>
      <c r="R676" s="4">
        <v>0</v>
      </c>
      <c r="S676" s="4" t="s">
        <v>162</v>
      </c>
      <c r="T676" s="4" t="s">
        <v>443</v>
      </c>
      <c r="U676" s="4">
        <v>29</v>
      </c>
      <c r="V676" s="4">
        <v>30</v>
      </c>
      <c r="W676" s="4">
        <v>67</v>
      </c>
    </row>
    <row r="677" spans="1:23" ht="11.25" customHeight="1" x14ac:dyDescent="0.25">
      <c r="A677" s="4" t="s">
        <v>59</v>
      </c>
      <c r="B677" s="4" t="s">
        <v>35</v>
      </c>
      <c r="C677" s="4" t="s">
        <v>44</v>
      </c>
      <c r="D677" s="4" t="s">
        <v>52</v>
      </c>
      <c r="E677" s="4" t="s">
        <v>53</v>
      </c>
      <c r="F677" s="4" t="s">
        <v>25</v>
      </c>
      <c r="G677" s="4" t="s">
        <v>25</v>
      </c>
      <c r="H677" s="4" t="s">
        <v>38</v>
      </c>
      <c r="I677" s="5">
        <v>44470</v>
      </c>
      <c r="J677" s="6">
        <v>1952</v>
      </c>
      <c r="K677" s="6">
        <v>1776.32</v>
      </c>
      <c r="L677" s="6">
        <v>340.94600000000003</v>
      </c>
      <c r="M677" s="6">
        <v>310.26085999999998</v>
      </c>
      <c r="N677" s="6">
        <v>340.94600000000003</v>
      </c>
      <c r="O677" s="6">
        <v>310.26085999999998</v>
      </c>
      <c r="P677" s="6">
        <v>0</v>
      </c>
      <c r="Q677" s="4" t="s">
        <v>26</v>
      </c>
      <c r="R677" s="4">
        <v>0</v>
      </c>
      <c r="S677" s="4" t="s">
        <v>163</v>
      </c>
      <c r="T677" s="4" t="s">
        <v>444</v>
      </c>
      <c r="U677" s="4">
        <v>29</v>
      </c>
      <c r="V677" s="4">
        <v>30</v>
      </c>
      <c r="W677" s="4">
        <v>67</v>
      </c>
    </row>
    <row r="678" spans="1:23" ht="11.25" customHeight="1" x14ac:dyDescent="0.25">
      <c r="A678" s="4" t="s">
        <v>59</v>
      </c>
      <c r="B678" s="4" t="s">
        <v>35</v>
      </c>
      <c r="C678" s="4" t="s">
        <v>44</v>
      </c>
      <c r="D678" s="4" t="s">
        <v>52</v>
      </c>
      <c r="E678" s="4" t="s">
        <v>53</v>
      </c>
      <c r="F678" s="4" t="s">
        <v>25</v>
      </c>
      <c r="G678" s="4" t="s">
        <v>25</v>
      </c>
      <c r="H678" s="4" t="s">
        <v>38</v>
      </c>
      <c r="I678" s="5">
        <v>44470</v>
      </c>
      <c r="J678" s="6">
        <v>662</v>
      </c>
      <c r="K678" s="6">
        <v>602.41999999999996</v>
      </c>
      <c r="L678" s="6">
        <v>253.947</v>
      </c>
      <c r="M678" s="6">
        <v>231.09177</v>
      </c>
      <c r="N678" s="6">
        <v>253.947</v>
      </c>
      <c r="O678" s="6">
        <v>231.09177</v>
      </c>
      <c r="P678" s="6">
        <v>0</v>
      </c>
      <c r="Q678" s="4" t="s">
        <v>26</v>
      </c>
      <c r="R678" s="4">
        <v>0</v>
      </c>
      <c r="S678" s="4" t="s">
        <v>163</v>
      </c>
      <c r="T678" s="4" t="s">
        <v>444</v>
      </c>
      <c r="U678" s="4">
        <v>29</v>
      </c>
      <c r="V678" s="4">
        <v>30</v>
      </c>
      <c r="W678" s="4">
        <v>67</v>
      </c>
    </row>
    <row r="679" spans="1:23" ht="11.25" customHeight="1" x14ac:dyDescent="0.25">
      <c r="A679" s="4" t="s">
        <v>21</v>
      </c>
      <c r="B679" s="4" t="s">
        <v>35</v>
      </c>
      <c r="C679" s="4" t="s">
        <v>44</v>
      </c>
      <c r="D679" s="4" t="s">
        <v>52</v>
      </c>
      <c r="E679" s="4" t="s">
        <v>53</v>
      </c>
      <c r="F679" s="4" t="s">
        <v>25</v>
      </c>
      <c r="G679" s="4" t="s">
        <v>25</v>
      </c>
      <c r="H679" s="4" t="s">
        <v>37</v>
      </c>
      <c r="I679" s="5">
        <v>44136</v>
      </c>
      <c r="J679" s="6">
        <v>1264</v>
      </c>
      <c r="K679" s="6">
        <v>1150.24</v>
      </c>
      <c r="L679" s="6">
        <v>39.17</v>
      </c>
      <c r="M679" s="6">
        <v>35.6447</v>
      </c>
      <c r="N679" s="6">
        <v>39.17</v>
      </c>
      <c r="O679" s="6">
        <v>35.6447</v>
      </c>
      <c r="P679" s="6">
        <v>0</v>
      </c>
      <c r="Q679" s="4" t="s">
        <v>26</v>
      </c>
      <c r="R679" s="4">
        <v>0</v>
      </c>
      <c r="S679" s="4" t="s">
        <v>170</v>
      </c>
      <c r="T679" s="4" t="s">
        <v>445</v>
      </c>
      <c r="U679" s="4">
        <v>28</v>
      </c>
      <c r="V679" s="4">
        <v>30</v>
      </c>
      <c r="W679" s="4">
        <v>66</v>
      </c>
    </row>
    <row r="680" spans="1:23" ht="11.25" customHeight="1" x14ac:dyDescent="0.25">
      <c r="A680" s="4" t="s">
        <v>28</v>
      </c>
      <c r="B680" s="4" t="s">
        <v>35</v>
      </c>
      <c r="C680" s="4" t="s">
        <v>44</v>
      </c>
      <c r="D680" s="4" t="s">
        <v>52</v>
      </c>
      <c r="E680" s="4" t="s">
        <v>53</v>
      </c>
      <c r="F680" s="4" t="s">
        <v>25</v>
      </c>
      <c r="G680" s="4" t="s">
        <v>25</v>
      </c>
      <c r="H680" s="4" t="s">
        <v>37</v>
      </c>
      <c r="I680" s="5">
        <v>44136</v>
      </c>
      <c r="J680" s="6">
        <v>604</v>
      </c>
      <c r="K680" s="6">
        <v>549.64</v>
      </c>
      <c r="L680" s="6">
        <v>26.055</v>
      </c>
      <c r="M680" s="6">
        <v>23.710049999999999</v>
      </c>
      <c r="N680" s="6">
        <v>26.055</v>
      </c>
      <c r="O680" s="6">
        <v>23.710049999999999</v>
      </c>
      <c r="P680" s="6">
        <v>0</v>
      </c>
      <c r="Q680" s="4" t="s">
        <v>26</v>
      </c>
      <c r="R680" s="4">
        <v>0</v>
      </c>
      <c r="S680" s="4" t="s">
        <v>170</v>
      </c>
      <c r="T680" s="4" t="s">
        <v>445</v>
      </c>
      <c r="U680" s="4">
        <v>28</v>
      </c>
      <c r="V680" s="4">
        <v>30</v>
      </c>
      <c r="W680" s="4">
        <v>66</v>
      </c>
    </row>
    <row r="681" spans="1:23" ht="11.25" customHeight="1" x14ac:dyDescent="0.25">
      <c r="A681" s="4" t="s">
        <v>21</v>
      </c>
      <c r="B681" s="4" t="s">
        <v>35</v>
      </c>
      <c r="C681" s="4" t="s">
        <v>44</v>
      </c>
      <c r="D681" s="4" t="s">
        <v>52</v>
      </c>
      <c r="E681" s="4" t="s">
        <v>53</v>
      </c>
      <c r="F681" s="4" t="s">
        <v>25</v>
      </c>
      <c r="G681" s="4" t="s">
        <v>25</v>
      </c>
      <c r="H681" s="4" t="s">
        <v>37</v>
      </c>
      <c r="I681" s="5">
        <v>44166</v>
      </c>
      <c r="J681" s="6">
        <v>1275</v>
      </c>
      <c r="K681" s="6">
        <v>1160.25</v>
      </c>
      <c r="L681" s="6">
        <v>40.924999999999997</v>
      </c>
      <c r="M681" s="6">
        <v>37.241749999999996</v>
      </c>
      <c r="N681" s="6">
        <v>40.924999999999997</v>
      </c>
      <c r="O681" s="6">
        <v>37.241749999999996</v>
      </c>
      <c r="P681" s="6">
        <v>0</v>
      </c>
      <c r="Q681" s="4" t="s">
        <v>26</v>
      </c>
      <c r="R681" s="4">
        <v>0</v>
      </c>
      <c r="S681" s="4" t="s">
        <v>171</v>
      </c>
      <c r="T681" s="4" t="s">
        <v>446</v>
      </c>
      <c r="U681" s="4">
        <v>28</v>
      </c>
      <c r="V681" s="4">
        <v>30</v>
      </c>
      <c r="W681" s="4">
        <v>66</v>
      </c>
    </row>
    <row r="682" spans="1:23" ht="11.25" customHeight="1" x14ac:dyDescent="0.25">
      <c r="A682" s="4" t="s">
        <v>28</v>
      </c>
      <c r="B682" s="4" t="s">
        <v>35</v>
      </c>
      <c r="C682" s="4" t="s">
        <v>44</v>
      </c>
      <c r="D682" s="4" t="s">
        <v>52</v>
      </c>
      <c r="E682" s="4" t="s">
        <v>53</v>
      </c>
      <c r="F682" s="4" t="s">
        <v>25</v>
      </c>
      <c r="G682" s="4" t="s">
        <v>25</v>
      </c>
      <c r="H682" s="4" t="s">
        <v>37</v>
      </c>
      <c r="I682" s="5">
        <v>44166</v>
      </c>
      <c r="J682" s="6">
        <v>611</v>
      </c>
      <c r="K682" s="6">
        <v>556.01</v>
      </c>
      <c r="L682" s="6">
        <v>30.416</v>
      </c>
      <c r="M682" s="6">
        <v>27.678560000000001</v>
      </c>
      <c r="N682" s="6">
        <v>30.416</v>
      </c>
      <c r="O682" s="6">
        <v>27.678560000000001</v>
      </c>
      <c r="P682" s="6">
        <v>0</v>
      </c>
      <c r="Q682" s="4" t="s">
        <v>26</v>
      </c>
      <c r="R682" s="4">
        <v>0</v>
      </c>
      <c r="S682" s="4" t="s">
        <v>171</v>
      </c>
      <c r="T682" s="4" t="s">
        <v>446</v>
      </c>
      <c r="U682" s="4">
        <v>28</v>
      </c>
      <c r="V682" s="4">
        <v>30</v>
      </c>
      <c r="W682" s="4">
        <v>66</v>
      </c>
    </row>
    <row r="683" spans="1:23" ht="11.25" customHeight="1" x14ac:dyDescent="0.25">
      <c r="A683" s="4" t="s">
        <v>21</v>
      </c>
      <c r="B683" s="4" t="s">
        <v>35</v>
      </c>
      <c r="C683" s="4" t="s">
        <v>44</v>
      </c>
      <c r="D683" s="4" t="s">
        <v>52</v>
      </c>
      <c r="E683" s="4" t="s">
        <v>53</v>
      </c>
      <c r="F683" s="4" t="s">
        <v>25</v>
      </c>
      <c r="G683" s="4" t="s">
        <v>25</v>
      </c>
      <c r="H683" s="4" t="s">
        <v>37</v>
      </c>
      <c r="I683" s="5">
        <v>44197</v>
      </c>
      <c r="J683" s="6">
        <v>1288</v>
      </c>
      <c r="K683" s="6">
        <v>1172.08</v>
      </c>
      <c r="L683" s="6">
        <v>40.505000000000003</v>
      </c>
      <c r="M683" s="6">
        <v>36.859550000000006</v>
      </c>
      <c r="N683" s="6">
        <v>40.505000000000003</v>
      </c>
      <c r="O683" s="6">
        <v>36.859550000000006</v>
      </c>
      <c r="P683" s="6">
        <v>0</v>
      </c>
      <c r="Q683" s="4" t="s">
        <v>26</v>
      </c>
      <c r="R683" s="4">
        <v>0</v>
      </c>
      <c r="S683" s="4" t="s">
        <v>172</v>
      </c>
      <c r="T683" s="4" t="s">
        <v>447</v>
      </c>
      <c r="U683" s="4">
        <v>28</v>
      </c>
      <c r="V683" s="4">
        <v>30</v>
      </c>
      <c r="W683" s="4">
        <v>66</v>
      </c>
    </row>
    <row r="684" spans="1:23" ht="11.25" customHeight="1" x14ac:dyDescent="0.25">
      <c r="A684" s="4" t="s">
        <v>28</v>
      </c>
      <c r="B684" s="4" t="s">
        <v>35</v>
      </c>
      <c r="C684" s="4" t="s">
        <v>44</v>
      </c>
      <c r="D684" s="4" t="s">
        <v>52</v>
      </c>
      <c r="E684" s="4" t="s">
        <v>53</v>
      </c>
      <c r="F684" s="4" t="s">
        <v>25</v>
      </c>
      <c r="G684" s="4" t="s">
        <v>25</v>
      </c>
      <c r="H684" s="4" t="s">
        <v>37</v>
      </c>
      <c r="I684" s="5">
        <v>44197</v>
      </c>
      <c r="J684" s="6">
        <v>610</v>
      </c>
      <c r="K684" s="6">
        <v>555.1</v>
      </c>
      <c r="L684" s="6">
        <v>30</v>
      </c>
      <c r="M684" s="6">
        <v>27.3</v>
      </c>
      <c r="N684" s="6">
        <v>30</v>
      </c>
      <c r="O684" s="6">
        <v>27.3</v>
      </c>
      <c r="P684" s="6">
        <v>0</v>
      </c>
      <c r="Q684" s="4" t="s">
        <v>26</v>
      </c>
      <c r="R684" s="4">
        <v>0</v>
      </c>
      <c r="S684" s="4" t="s">
        <v>172</v>
      </c>
      <c r="T684" s="4" t="s">
        <v>447</v>
      </c>
      <c r="U684" s="4">
        <v>28</v>
      </c>
      <c r="V684" s="4">
        <v>30</v>
      </c>
      <c r="W684" s="4">
        <v>66</v>
      </c>
    </row>
    <row r="685" spans="1:23" ht="11.25" customHeight="1" x14ac:dyDescent="0.25">
      <c r="A685" s="4" t="s">
        <v>21</v>
      </c>
      <c r="B685" s="4" t="s">
        <v>35</v>
      </c>
      <c r="C685" s="4" t="s">
        <v>44</v>
      </c>
      <c r="D685" s="4" t="s">
        <v>52</v>
      </c>
      <c r="E685" s="4" t="s">
        <v>53</v>
      </c>
      <c r="F685" s="4" t="s">
        <v>25</v>
      </c>
      <c r="G685" s="4" t="s">
        <v>25</v>
      </c>
      <c r="H685" s="4" t="s">
        <v>37</v>
      </c>
      <c r="I685" s="5">
        <v>44228</v>
      </c>
      <c r="J685" s="6">
        <v>1273</v>
      </c>
      <c r="K685" s="6">
        <v>1158.43</v>
      </c>
      <c r="L685" s="6">
        <v>36.959000000000003</v>
      </c>
      <c r="M685" s="6">
        <v>33.632690000000004</v>
      </c>
      <c r="N685" s="6">
        <v>36.959000000000003</v>
      </c>
      <c r="O685" s="6">
        <v>33.632690000000004</v>
      </c>
      <c r="P685" s="6">
        <v>0</v>
      </c>
      <c r="Q685" s="4" t="s">
        <v>26</v>
      </c>
      <c r="R685" s="4">
        <v>0</v>
      </c>
      <c r="S685" s="4" t="s">
        <v>173</v>
      </c>
      <c r="T685" s="4" t="s">
        <v>448</v>
      </c>
      <c r="U685" s="4">
        <v>28</v>
      </c>
      <c r="V685" s="4">
        <v>30</v>
      </c>
      <c r="W685" s="4">
        <v>66</v>
      </c>
    </row>
    <row r="686" spans="1:23" ht="11.25" customHeight="1" x14ac:dyDescent="0.25">
      <c r="A686" s="4" t="s">
        <v>28</v>
      </c>
      <c r="B686" s="4" t="s">
        <v>35</v>
      </c>
      <c r="C686" s="4" t="s">
        <v>44</v>
      </c>
      <c r="D686" s="4" t="s">
        <v>52</v>
      </c>
      <c r="E686" s="4" t="s">
        <v>53</v>
      </c>
      <c r="F686" s="4" t="s">
        <v>25</v>
      </c>
      <c r="G686" s="4" t="s">
        <v>25</v>
      </c>
      <c r="H686" s="4" t="s">
        <v>37</v>
      </c>
      <c r="I686" s="5">
        <v>44228</v>
      </c>
      <c r="J686" s="6">
        <v>612</v>
      </c>
      <c r="K686" s="6">
        <v>556.92000000000007</v>
      </c>
      <c r="L686" s="6">
        <v>25.771999999999998</v>
      </c>
      <c r="M686" s="6">
        <v>23.45252</v>
      </c>
      <c r="N686" s="6">
        <v>25.771999999999998</v>
      </c>
      <c r="O686" s="6">
        <v>23.45252</v>
      </c>
      <c r="P686" s="6">
        <v>0</v>
      </c>
      <c r="Q686" s="4" t="s">
        <v>26</v>
      </c>
      <c r="R686" s="4">
        <v>0</v>
      </c>
      <c r="S686" s="4" t="s">
        <v>173</v>
      </c>
      <c r="T686" s="4" t="s">
        <v>448</v>
      </c>
      <c r="U686" s="4">
        <v>28</v>
      </c>
      <c r="V686" s="4">
        <v>30</v>
      </c>
      <c r="W686" s="4">
        <v>66</v>
      </c>
    </row>
    <row r="687" spans="1:23" ht="11.25" customHeight="1" x14ac:dyDescent="0.25">
      <c r="A687" s="4" t="s">
        <v>21</v>
      </c>
      <c r="B687" s="4" t="s">
        <v>35</v>
      </c>
      <c r="C687" s="4" t="s">
        <v>44</v>
      </c>
      <c r="D687" s="4" t="s">
        <v>52</v>
      </c>
      <c r="E687" s="4" t="s">
        <v>53</v>
      </c>
      <c r="F687" s="4" t="s">
        <v>25</v>
      </c>
      <c r="G687" s="4" t="s">
        <v>25</v>
      </c>
      <c r="H687" s="4" t="s">
        <v>37</v>
      </c>
      <c r="I687" s="5">
        <v>44256</v>
      </c>
      <c r="J687" s="6">
        <v>1273</v>
      </c>
      <c r="K687" s="6">
        <v>1158.43</v>
      </c>
      <c r="L687" s="6">
        <v>41.055999999999997</v>
      </c>
      <c r="M687" s="6">
        <v>37.360959999999999</v>
      </c>
      <c r="N687" s="6">
        <v>41.055999999999997</v>
      </c>
      <c r="O687" s="6">
        <v>37.360959999999999</v>
      </c>
      <c r="P687" s="6">
        <v>0</v>
      </c>
      <c r="Q687" s="4" t="s">
        <v>26</v>
      </c>
      <c r="R687" s="4">
        <v>0</v>
      </c>
      <c r="S687" s="4" t="s">
        <v>174</v>
      </c>
      <c r="T687" s="4" t="s">
        <v>449</v>
      </c>
      <c r="U687" s="4">
        <v>28</v>
      </c>
      <c r="V687" s="4">
        <v>30</v>
      </c>
      <c r="W687" s="4">
        <v>66</v>
      </c>
    </row>
    <row r="688" spans="1:23" ht="11.25" customHeight="1" x14ac:dyDescent="0.25">
      <c r="A688" s="4" t="s">
        <v>28</v>
      </c>
      <c r="B688" s="4" t="s">
        <v>35</v>
      </c>
      <c r="C688" s="4" t="s">
        <v>44</v>
      </c>
      <c r="D688" s="4" t="s">
        <v>52</v>
      </c>
      <c r="E688" s="4" t="s">
        <v>53</v>
      </c>
      <c r="F688" s="4" t="s">
        <v>25</v>
      </c>
      <c r="G688" s="4" t="s">
        <v>25</v>
      </c>
      <c r="H688" s="4" t="s">
        <v>37</v>
      </c>
      <c r="I688" s="5">
        <v>44256</v>
      </c>
      <c r="J688" s="6">
        <v>601</v>
      </c>
      <c r="K688" s="6">
        <v>546.91</v>
      </c>
      <c r="L688" s="6">
        <v>28.513000000000002</v>
      </c>
      <c r="M688" s="6">
        <v>25.946830000000002</v>
      </c>
      <c r="N688" s="6">
        <v>28.513000000000002</v>
      </c>
      <c r="O688" s="6">
        <v>25.946830000000002</v>
      </c>
      <c r="P688" s="6">
        <v>0</v>
      </c>
      <c r="Q688" s="4" t="s">
        <v>26</v>
      </c>
      <c r="R688" s="4">
        <v>0</v>
      </c>
      <c r="S688" s="4" t="s">
        <v>174</v>
      </c>
      <c r="T688" s="4" t="s">
        <v>449</v>
      </c>
      <c r="U688" s="4">
        <v>28</v>
      </c>
      <c r="V688" s="4">
        <v>30</v>
      </c>
      <c r="W688" s="4">
        <v>66</v>
      </c>
    </row>
    <row r="689" spans="1:23" ht="11.25" customHeight="1" x14ac:dyDescent="0.25">
      <c r="A689" s="4" t="s">
        <v>21</v>
      </c>
      <c r="B689" s="4" t="s">
        <v>35</v>
      </c>
      <c r="C689" s="4" t="s">
        <v>44</v>
      </c>
      <c r="D689" s="4" t="s">
        <v>52</v>
      </c>
      <c r="E689" s="4" t="s">
        <v>53</v>
      </c>
      <c r="F689" s="4" t="s">
        <v>25</v>
      </c>
      <c r="G689" s="4" t="s">
        <v>25</v>
      </c>
      <c r="H689" s="4" t="s">
        <v>37</v>
      </c>
      <c r="I689" s="5">
        <v>44287</v>
      </c>
      <c r="J689" s="6">
        <v>749</v>
      </c>
      <c r="K689" s="6">
        <v>681.59</v>
      </c>
      <c r="L689" s="6">
        <v>22.044</v>
      </c>
      <c r="M689" s="6">
        <v>20.060040000000001</v>
      </c>
      <c r="N689" s="6">
        <v>22.044</v>
      </c>
      <c r="O689" s="6">
        <v>20.060040000000001</v>
      </c>
      <c r="P689" s="6">
        <v>0</v>
      </c>
      <c r="Q689" s="4" t="s">
        <v>26</v>
      </c>
      <c r="R689" s="4">
        <v>0</v>
      </c>
      <c r="S689" s="4" t="s">
        <v>175</v>
      </c>
      <c r="T689" s="4" t="s">
        <v>450</v>
      </c>
      <c r="U689" s="4">
        <v>28</v>
      </c>
      <c r="V689" s="4">
        <v>30</v>
      </c>
      <c r="W689" s="4">
        <v>66</v>
      </c>
    </row>
    <row r="690" spans="1:23" ht="11.25" customHeight="1" x14ac:dyDescent="0.25">
      <c r="A690" s="4" t="s">
        <v>28</v>
      </c>
      <c r="B690" s="4" t="s">
        <v>35</v>
      </c>
      <c r="C690" s="4" t="s">
        <v>44</v>
      </c>
      <c r="D690" s="4" t="s">
        <v>52</v>
      </c>
      <c r="E690" s="4" t="s">
        <v>53</v>
      </c>
      <c r="F690" s="4" t="s">
        <v>25</v>
      </c>
      <c r="G690" s="4" t="s">
        <v>25</v>
      </c>
      <c r="H690" s="4" t="s">
        <v>37</v>
      </c>
      <c r="I690" s="5">
        <v>44287</v>
      </c>
      <c r="J690" s="6">
        <v>610</v>
      </c>
      <c r="K690" s="6">
        <v>555.1</v>
      </c>
      <c r="L690" s="6">
        <v>28.16</v>
      </c>
      <c r="M690" s="6">
        <v>25.625600000000002</v>
      </c>
      <c r="N690" s="6">
        <v>28.16</v>
      </c>
      <c r="O690" s="6">
        <v>25.625600000000002</v>
      </c>
      <c r="P690" s="6">
        <v>0</v>
      </c>
      <c r="Q690" s="4" t="s">
        <v>26</v>
      </c>
      <c r="R690" s="4">
        <v>0</v>
      </c>
      <c r="S690" s="4" t="s">
        <v>175</v>
      </c>
      <c r="T690" s="4" t="s">
        <v>450</v>
      </c>
      <c r="U690" s="4">
        <v>28</v>
      </c>
      <c r="V690" s="4">
        <v>30</v>
      </c>
      <c r="W690" s="4">
        <v>66</v>
      </c>
    </row>
    <row r="691" spans="1:23" ht="11.25" customHeight="1" x14ac:dyDescent="0.25">
      <c r="A691" s="4" t="s">
        <v>21</v>
      </c>
      <c r="B691" s="4" t="s">
        <v>35</v>
      </c>
      <c r="C691" s="4" t="s">
        <v>44</v>
      </c>
      <c r="D691" s="4" t="s">
        <v>52</v>
      </c>
      <c r="E691" s="4" t="s">
        <v>53</v>
      </c>
      <c r="F691" s="4" t="s">
        <v>25</v>
      </c>
      <c r="G691" s="4" t="s">
        <v>25</v>
      </c>
      <c r="H691" s="4" t="s">
        <v>37</v>
      </c>
      <c r="I691" s="5">
        <v>44317</v>
      </c>
      <c r="J691" s="6">
        <v>823</v>
      </c>
      <c r="K691" s="6">
        <v>748.93</v>
      </c>
      <c r="L691" s="6">
        <v>25.006</v>
      </c>
      <c r="M691" s="6">
        <v>22.755459999999999</v>
      </c>
      <c r="N691" s="6">
        <v>25.006</v>
      </c>
      <c r="O691" s="6">
        <v>22.755459999999999</v>
      </c>
      <c r="P691" s="6">
        <v>0</v>
      </c>
      <c r="Q691" s="4" t="s">
        <v>26</v>
      </c>
      <c r="R691" s="4">
        <v>0</v>
      </c>
      <c r="S691" s="4" t="s">
        <v>176</v>
      </c>
      <c r="T691" s="4" t="s">
        <v>451</v>
      </c>
      <c r="U691" s="4">
        <v>28</v>
      </c>
      <c r="V691" s="4">
        <v>30</v>
      </c>
      <c r="W691" s="4">
        <v>66</v>
      </c>
    </row>
    <row r="692" spans="1:23" ht="11.25" customHeight="1" x14ac:dyDescent="0.25">
      <c r="A692" s="4" t="s">
        <v>28</v>
      </c>
      <c r="B692" s="4" t="s">
        <v>35</v>
      </c>
      <c r="C692" s="4" t="s">
        <v>44</v>
      </c>
      <c r="D692" s="4" t="s">
        <v>52</v>
      </c>
      <c r="E692" s="4" t="s">
        <v>53</v>
      </c>
      <c r="F692" s="4" t="s">
        <v>25</v>
      </c>
      <c r="G692" s="4" t="s">
        <v>25</v>
      </c>
      <c r="H692" s="4" t="s">
        <v>37</v>
      </c>
      <c r="I692" s="5">
        <v>44317</v>
      </c>
      <c r="J692" s="6">
        <v>607</v>
      </c>
      <c r="K692" s="6">
        <v>552.37</v>
      </c>
      <c r="L692" s="6">
        <v>26.632000000000001</v>
      </c>
      <c r="M692" s="6">
        <v>24.235119999999998</v>
      </c>
      <c r="N692" s="6">
        <v>26.632000000000001</v>
      </c>
      <c r="O692" s="6">
        <v>24.235119999999998</v>
      </c>
      <c r="P692" s="6">
        <v>0</v>
      </c>
      <c r="Q692" s="4" t="s">
        <v>26</v>
      </c>
      <c r="R692" s="4">
        <v>0</v>
      </c>
      <c r="S692" s="4" t="s">
        <v>176</v>
      </c>
      <c r="T692" s="4" t="s">
        <v>451</v>
      </c>
      <c r="U692" s="4">
        <v>28</v>
      </c>
      <c r="V692" s="4">
        <v>30</v>
      </c>
      <c r="W692" s="4">
        <v>66</v>
      </c>
    </row>
    <row r="693" spans="1:23" ht="11.25" customHeight="1" x14ac:dyDescent="0.25">
      <c r="A693" s="4" t="s">
        <v>21</v>
      </c>
      <c r="B693" s="4" t="s">
        <v>35</v>
      </c>
      <c r="C693" s="4" t="s">
        <v>44</v>
      </c>
      <c r="D693" s="4" t="s">
        <v>52</v>
      </c>
      <c r="E693" s="4" t="s">
        <v>53</v>
      </c>
      <c r="F693" s="4" t="s">
        <v>25</v>
      </c>
      <c r="G693" s="4" t="s">
        <v>25</v>
      </c>
      <c r="H693" s="4" t="s">
        <v>37</v>
      </c>
      <c r="I693" s="5">
        <v>44348</v>
      </c>
      <c r="J693" s="6">
        <v>605</v>
      </c>
      <c r="K693" s="6">
        <v>550.54999999999995</v>
      </c>
      <c r="L693" s="6">
        <v>22.829000000000001</v>
      </c>
      <c r="M693" s="6">
        <v>20.77439</v>
      </c>
      <c r="N693" s="6">
        <v>22.829000000000001</v>
      </c>
      <c r="O693" s="6">
        <v>20.77439</v>
      </c>
      <c r="P693" s="6">
        <v>0</v>
      </c>
      <c r="Q693" s="4" t="s">
        <v>26</v>
      </c>
      <c r="R693" s="4">
        <v>0</v>
      </c>
      <c r="S693" s="4" t="s">
        <v>177</v>
      </c>
      <c r="T693" s="4" t="s">
        <v>452</v>
      </c>
      <c r="U693" s="4">
        <v>28</v>
      </c>
      <c r="V693" s="4">
        <v>30</v>
      </c>
      <c r="W693" s="4">
        <v>66</v>
      </c>
    </row>
    <row r="694" spans="1:23" ht="11.25" customHeight="1" x14ac:dyDescent="0.25">
      <c r="A694" s="4" t="s">
        <v>28</v>
      </c>
      <c r="B694" s="4" t="s">
        <v>35</v>
      </c>
      <c r="C694" s="4" t="s">
        <v>44</v>
      </c>
      <c r="D694" s="4" t="s">
        <v>52</v>
      </c>
      <c r="E694" s="4" t="s">
        <v>53</v>
      </c>
      <c r="F694" s="4" t="s">
        <v>25</v>
      </c>
      <c r="G694" s="4" t="s">
        <v>25</v>
      </c>
      <c r="H694" s="4" t="s">
        <v>37</v>
      </c>
      <c r="I694" s="5">
        <v>44348</v>
      </c>
      <c r="J694" s="6">
        <v>615</v>
      </c>
      <c r="K694" s="6">
        <v>559.65</v>
      </c>
      <c r="L694" s="6">
        <v>27.882000000000001</v>
      </c>
      <c r="M694" s="6">
        <v>25.372620000000001</v>
      </c>
      <c r="N694" s="6">
        <v>27.882000000000001</v>
      </c>
      <c r="O694" s="6">
        <v>25.372620000000001</v>
      </c>
      <c r="P694" s="6">
        <v>0</v>
      </c>
      <c r="Q694" s="4" t="s">
        <v>26</v>
      </c>
      <c r="R694" s="4">
        <v>0</v>
      </c>
      <c r="S694" s="4" t="s">
        <v>177</v>
      </c>
      <c r="T694" s="4" t="s">
        <v>452</v>
      </c>
      <c r="U694" s="4">
        <v>28</v>
      </c>
      <c r="V694" s="4">
        <v>30</v>
      </c>
      <c r="W694" s="4">
        <v>66</v>
      </c>
    </row>
    <row r="695" spans="1:23" ht="11.25" customHeight="1" x14ac:dyDescent="0.25">
      <c r="A695" s="4" t="s">
        <v>21</v>
      </c>
      <c r="B695" s="4" t="s">
        <v>35</v>
      </c>
      <c r="C695" s="4" t="s">
        <v>44</v>
      </c>
      <c r="D695" s="4" t="s">
        <v>52</v>
      </c>
      <c r="E695" s="4" t="s">
        <v>53</v>
      </c>
      <c r="F695" s="4" t="s">
        <v>25</v>
      </c>
      <c r="G695" s="4" t="s">
        <v>25</v>
      </c>
      <c r="H695" s="4" t="s">
        <v>37</v>
      </c>
      <c r="I695" s="5">
        <v>44378</v>
      </c>
      <c r="J695" s="6">
        <v>1715</v>
      </c>
      <c r="K695" s="6">
        <v>1560.65</v>
      </c>
      <c r="L695" s="6">
        <v>14.938000000000001</v>
      </c>
      <c r="M695" s="6">
        <v>13.593579999999999</v>
      </c>
      <c r="N695" s="6">
        <v>14.938000000000001</v>
      </c>
      <c r="O695" s="6">
        <v>13.593579999999999</v>
      </c>
      <c r="P695" s="6">
        <v>0</v>
      </c>
      <c r="Q695" s="4" t="s">
        <v>26</v>
      </c>
      <c r="R695" s="4">
        <v>0</v>
      </c>
      <c r="S695" s="4" t="s">
        <v>178</v>
      </c>
      <c r="T695" s="4" t="s">
        <v>453</v>
      </c>
      <c r="U695" s="4">
        <v>28</v>
      </c>
      <c r="V695" s="4">
        <v>30</v>
      </c>
      <c r="W695" s="4">
        <v>66</v>
      </c>
    </row>
    <row r="696" spans="1:23" ht="11.25" customHeight="1" x14ac:dyDescent="0.25">
      <c r="A696" s="4" t="s">
        <v>28</v>
      </c>
      <c r="B696" s="4" t="s">
        <v>35</v>
      </c>
      <c r="C696" s="4" t="s">
        <v>44</v>
      </c>
      <c r="D696" s="4" t="s">
        <v>52</v>
      </c>
      <c r="E696" s="4" t="s">
        <v>53</v>
      </c>
      <c r="F696" s="4" t="s">
        <v>25</v>
      </c>
      <c r="G696" s="4" t="s">
        <v>25</v>
      </c>
      <c r="H696" s="4" t="s">
        <v>37</v>
      </c>
      <c r="I696" s="5">
        <v>44378</v>
      </c>
      <c r="J696" s="6">
        <v>613</v>
      </c>
      <c r="K696" s="6">
        <v>557.83000000000004</v>
      </c>
      <c r="L696" s="6">
        <v>31.35</v>
      </c>
      <c r="M696" s="6">
        <v>28.528500000000001</v>
      </c>
      <c r="N696" s="6">
        <v>31.35</v>
      </c>
      <c r="O696" s="6">
        <v>28.528500000000001</v>
      </c>
      <c r="P696" s="6">
        <v>0</v>
      </c>
      <c r="Q696" s="4" t="s">
        <v>26</v>
      </c>
      <c r="R696" s="4">
        <v>0</v>
      </c>
      <c r="S696" s="4" t="s">
        <v>178</v>
      </c>
      <c r="T696" s="4" t="s">
        <v>453</v>
      </c>
      <c r="U696" s="4">
        <v>28</v>
      </c>
      <c r="V696" s="4">
        <v>30</v>
      </c>
      <c r="W696" s="4">
        <v>66</v>
      </c>
    </row>
    <row r="697" spans="1:23" ht="11.25" customHeight="1" x14ac:dyDescent="0.25">
      <c r="A697" s="4" t="s">
        <v>21</v>
      </c>
      <c r="B697" s="4" t="s">
        <v>35</v>
      </c>
      <c r="C697" s="4" t="s">
        <v>44</v>
      </c>
      <c r="D697" s="4" t="s">
        <v>52</v>
      </c>
      <c r="E697" s="4" t="s">
        <v>53</v>
      </c>
      <c r="F697" s="4" t="s">
        <v>25</v>
      </c>
      <c r="G697" s="4" t="s">
        <v>25</v>
      </c>
      <c r="H697" s="4" t="s">
        <v>37</v>
      </c>
      <c r="I697" s="5">
        <v>44409</v>
      </c>
      <c r="J697" s="6">
        <v>1715</v>
      </c>
      <c r="K697" s="6">
        <v>1560.65</v>
      </c>
      <c r="L697" s="6">
        <v>12.472</v>
      </c>
      <c r="M697" s="6">
        <v>11.34952</v>
      </c>
      <c r="N697" s="6">
        <v>12.472</v>
      </c>
      <c r="O697" s="6">
        <v>11.34952</v>
      </c>
      <c r="P697" s="6">
        <v>0</v>
      </c>
      <c r="Q697" s="4" t="s">
        <v>26</v>
      </c>
      <c r="R697" s="4">
        <v>0</v>
      </c>
      <c r="S697" s="4" t="s">
        <v>179</v>
      </c>
      <c r="T697" s="4" t="s">
        <v>454</v>
      </c>
      <c r="U697" s="4">
        <v>28</v>
      </c>
      <c r="V697" s="4">
        <v>30</v>
      </c>
      <c r="W697" s="4">
        <v>66</v>
      </c>
    </row>
    <row r="698" spans="1:23" ht="11.25" customHeight="1" x14ac:dyDescent="0.25">
      <c r="A698" s="4" t="s">
        <v>28</v>
      </c>
      <c r="B698" s="4" t="s">
        <v>35</v>
      </c>
      <c r="C698" s="4" t="s">
        <v>44</v>
      </c>
      <c r="D698" s="4" t="s">
        <v>52</v>
      </c>
      <c r="E698" s="4" t="s">
        <v>53</v>
      </c>
      <c r="F698" s="4" t="s">
        <v>25</v>
      </c>
      <c r="G698" s="4" t="s">
        <v>25</v>
      </c>
      <c r="H698" s="4" t="s">
        <v>37</v>
      </c>
      <c r="I698" s="5">
        <v>44409</v>
      </c>
      <c r="J698" s="6">
        <v>613</v>
      </c>
      <c r="K698" s="6">
        <v>557.83000000000004</v>
      </c>
      <c r="L698" s="6">
        <v>27.288</v>
      </c>
      <c r="M698" s="6">
        <v>24.832080000000001</v>
      </c>
      <c r="N698" s="6">
        <v>27.288</v>
      </c>
      <c r="O698" s="6">
        <v>24.832080000000001</v>
      </c>
      <c r="P698" s="6">
        <v>0</v>
      </c>
      <c r="Q698" s="4" t="s">
        <v>26</v>
      </c>
      <c r="R698" s="4">
        <v>0</v>
      </c>
      <c r="S698" s="4" t="s">
        <v>179</v>
      </c>
      <c r="T698" s="4" t="s">
        <v>454</v>
      </c>
      <c r="U698" s="4">
        <v>28</v>
      </c>
      <c r="V698" s="4">
        <v>30</v>
      </c>
      <c r="W698" s="4">
        <v>66</v>
      </c>
    </row>
    <row r="699" spans="1:23" ht="11.25" customHeight="1" x14ac:dyDescent="0.25">
      <c r="A699" s="4" t="s">
        <v>21</v>
      </c>
      <c r="B699" s="4" t="s">
        <v>35</v>
      </c>
      <c r="C699" s="4" t="s">
        <v>44</v>
      </c>
      <c r="D699" s="4" t="s">
        <v>52</v>
      </c>
      <c r="E699" s="4" t="s">
        <v>53</v>
      </c>
      <c r="F699" s="4" t="s">
        <v>25</v>
      </c>
      <c r="G699" s="4" t="s">
        <v>25</v>
      </c>
      <c r="H699" s="4" t="s">
        <v>37</v>
      </c>
      <c r="I699" s="5">
        <v>44440</v>
      </c>
      <c r="J699" s="6">
        <v>1917</v>
      </c>
      <c r="K699" s="6">
        <v>1744.47</v>
      </c>
      <c r="L699" s="6">
        <v>33.853000000000002</v>
      </c>
      <c r="M699" s="6">
        <v>30.806229999999999</v>
      </c>
      <c r="N699" s="6">
        <v>33.853000000000002</v>
      </c>
      <c r="O699" s="6">
        <v>30.806229999999999</v>
      </c>
      <c r="P699" s="6">
        <v>0</v>
      </c>
      <c r="Q699" s="4" t="s">
        <v>26</v>
      </c>
      <c r="R699" s="4">
        <v>0</v>
      </c>
      <c r="S699" s="4" t="s">
        <v>180</v>
      </c>
      <c r="T699" s="4" t="s">
        <v>455</v>
      </c>
      <c r="U699" s="4">
        <v>28</v>
      </c>
      <c r="V699" s="4">
        <v>30</v>
      </c>
      <c r="W699" s="4">
        <v>66</v>
      </c>
    </row>
    <row r="700" spans="1:23" ht="11.25" customHeight="1" x14ac:dyDescent="0.25">
      <c r="A700" s="4" t="s">
        <v>28</v>
      </c>
      <c r="B700" s="4" t="s">
        <v>35</v>
      </c>
      <c r="C700" s="4" t="s">
        <v>44</v>
      </c>
      <c r="D700" s="4" t="s">
        <v>52</v>
      </c>
      <c r="E700" s="4" t="s">
        <v>53</v>
      </c>
      <c r="F700" s="4" t="s">
        <v>25</v>
      </c>
      <c r="G700" s="4" t="s">
        <v>25</v>
      </c>
      <c r="H700" s="4" t="s">
        <v>37</v>
      </c>
      <c r="I700" s="5">
        <v>44440</v>
      </c>
      <c r="J700" s="6">
        <v>609</v>
      </c>
      <c r="K700" s="6">
        <v>554.19000000000005</v>
      </c>
      <c r="L700" s="6">
        <v>27.219000000000001</v>
      </c>
      <c r="M700" s="6">
        <v>24.769290000000002</v>
      </c>
      <c r="N700" s="6">
        <v>27.219000000000001</v>
      </c>
      <c r="O700" s="6">
        <v>24.769290000000002</v>
      </c>
      <c r="P700" s="6">
        <v>0</v>
      </c>
      <c r="Q700" s="4" t="s">
        <v>26</v>
      </c>
      <c r="R700" s="4">
        <v>0</v>
      </c>
      <c r="S700" s="4" t="s">
        <v>180</v>
      </c>
      <c r="T700" s="4" t="s">
        <v>455</v>
      </c>
      <c r="U700" s="4">
        <v>28</v>
      </c>
      <c r="V700" s="4">
        <v>30</v>
      </c>
      <c r="W700" s="4">
        <v>66</v>
      </c>
    </row>
    <row r="701" spans="1:23" ht="11.25" customHeight="1" x14ac:dyDescent="0.25">
      <c r="A701" s="4" t="s">
        <v>59</v>
      </c>
      <c r="B701" s="4" t="s">
        <v>35</v>
      </c>
      <c r="C701" s="4" t="s">
        <v>44</v>
      </c>
      <c r="D701" s="4" t="s">
        <v>52</v>
      </c>
      <c r="E701" s="4" t="s">
        <v>53</v>
      </c>
      <c r="F701" s="4" t="s">
        <v>25</v>
      </c>
      <c r="G701" s="4" t="s">
        <v>25</v>
      </c>
      <c r="H701" s="4" t="s">
        <v>37</v>
      </c>
      <c r="I701" s="5">
        <v>44470</v>
      </c>
      <c r="J701" s="6">
        <v>1917</v>
      </c>
      <c r="K701" s="6">
        <v>1744.47</v>
      </c>
      <c r="L701" s="6">
        <v>33.853000000000002</v>
      </c>
      <c r="M701" s="6">
        <v>30.806229999999999</v>
      </c>
      <c r="N701" s="6">
        <v>33.853000000000002</v>
      </c>
      <c r="O701" s="6">
        <v>30.806229999999999</v>
      </c>
      <c r="P701" s="6">
        <v>0</v>
      </c>
      <c r="Q701" s="4" t="s">
        <v>26</v>
      </c>
      <c r="R701" s="4">
        <v>0</v>
      </c>
      <c r="S701" s="4" t="s">
        <v>181</v>
      </c>
      <c r="T701" s="4" t="s">
        <v>456</v>
      </c>
      <c r="U701" s="4">
        <v>28</v>
      </c>
      <c r="V701" s="4">
        <v>30</v>
      </c>
      <c r="W701" s="4">
        <v>66</v>
      </c>
    </row>
    <row r="702" spans="1:23" ht="11.25" customHeight="1" x14ac:dyDescent="0.25">
      <c r="A702" s="4" t="s">
        <v>59</v>
      </c>
      <c r="B702" s="4" t="s">
        <v>35</v>
      </c>
      <c r="C702" s="4" t="s">
        <v>44</v>
      </c>
      <c r="D702" s="4" t="s">
        <v>52</v>
      </c>
      <c r="E702" s="4" t="s">
        <v>53</v>
      </c>
      <c r="F702" s="4" t="s">
        <v>25</v>
      </c>
      <c r="G702" s="4" t="s">
        <v>25</v>
      </c>
      <c r="H702" s="4" t="s">
        <v>37</v>
      </c>
      <c r="I702" s="5">
        <v>44470</v>
      </c>
      <c r="J702" s="6">
        <v>609</v>
      </c>
      <c r="K702" s="6">
        <v>554.19000000000005</v>
      </c>
      <c r="L702" s="6">
        <v>27.219000000000001</v>
      </c>
      <c r="M702" s="6">
        <v>24.769290000000002</v>
      </c>
      <c r="N702" s="6">
        <v>27.219000000000001</v>
      </c>
      <c r="O702" s="6">
        <v>24.769290000000002</v>
      </c>
      <c r="P702" s="6">
        <v>0</v>
      </c>
      <c r="Q702" s="4" t="s">
        <v>26</v>
      </c>
      <c r="R702" s="4">
        <v>0</v>
      </c>
      <c r="S702" s="4" t="s">
        <v>181</v>
      </c>
      <c r="T702" s="4" t="s">
        <v>456</v>
      </c>
      <c r="U702" s="4">
        <v>28</v>
      </c>
      <c r="V702" s="4">
        <v>30</v>
      </c>
      <c r="W702" s="4">
        <v>66</v>
      </c>
    </row>
    <row r="703" spans="1:23" ht="11.25" customHeight="1" x14ac:dyDescent="0.25">
      <c r="A703" s="4" t="s">
        <v>21</v>
      </c>
      <c r="B703" s="4" t="s">
        <v>35</v>
      </c>
      <c r="C703" s="4" t="s">
        <v>36</v>
      </c>
      <c r="D703" s="4" t="s">
        <v>45</v>
      </c>
      <c r="E703" s="4" t="s">
        <v>25</v>
      </c>
      <c r="F703" s="4" t="s">
        <v>25</v>
      </c>
      <c r="G703" s="4" t="s">
        <v>25</v>
      </c>
      <c r="H703" s="4" t="s">
        <v>38</v>
      </c>
      <c r="I703" s="5">
        <v>44136</v>
      </c>
      <c r="J703" s="6">
        <v>0</v>
      </c>
      <c r="K703" s="6">
        <v>0</v>
      </c>
      <c r="L703" s="6">
        <v>24133.951000000001</v>
      </c>
      <c r="M703" s="6">
        <v>24133.951000000001</v>
      </c>
      <c r="N703" s="6">
        <v>24133.951000000001</v>
      </c>
      <c r="O703" s="6">
        <v>24133.951000000001</v>
      </c>
      <c r="P703" s="6">
        <v>0</v>
      </c>
      <c r="Q703" s="4" t="s">
        <v>26</v>
      </c>
      <c r="R703" s="4">
        <v>0</v>
      </c>
      <c r="S703" s="4" t="s">
        <v>188</v>
      </c>
      <c r="T703" s="4" t="s">
        <v>433</v>
      </c>
      <c r="U703" s="4">
        <v>0</v>
      </c>
      <c r="V703" s="4">
        <v>19</v>
      </c>
      <c r="W703" s="4">
        <v>67</v>
      </c>
    </row>
    <row r="704" spans="1:23" ht="11.25" customHeight="1" x14ac:dyDescent="0.25">
      <c r="A704" s="4" t="s">
        <v>27</v>
      </c>
      <c r="B704" s="4" t="s">
        <v>35</v>
      </c>
      <c r="C704" s="4" t="s">
        <v>36</v>
      </c>
      <c r="D704" s="4" t="s">
        <v>45</v>
      </c>
      <c r="E704" s="4" t="s">
        <v>25</v>
      </c>
      <c r="F704" s="4" t="s">
        <v>25</v>
      </c>
      <c r="G704" s="4" t="s">
        <v>25</v>
      </c>
      <c r="H704" s="4" t="s">
        <v>38</v>
      </c>
      <c r="I704" s="5">
        <v>44136</v>
      </c>
      <c r="J704" s="6">
        <v>0</v>
      </c>
      <c r="K704" s="6">
        <v>0</v>
      </c>
      <c r="L704" s="6">
        <v>75.441999999999993</v>
      </c>
      <c r="M704" s="6">
        <v>75.441999999999993</v>
      </c>
      <c r="N704" s="6">
        <v>75.441999999999993</v>
      </c>
      <c r="O704" s="6">
        <v>75.441999999999993</v>
      </c>
      <c r="P704" s="6">
        <v>0</v>
      </c>
      <c r="Q704" s="4" t="s">
        <v>26</v>
      </c>
      <c r="R704" s="4">
        <v>0</v>
      </c>
      <c r="S704" s="4" t="s">
        <v>188</v>
      </c>
      <c r="T704" s="4" t="s">
        <v>433</v>
      </c>
      <c r="U704" s="4">
        <v>0</v>
      </c>
      <c r="V704" s="4">
        <v>19</v>
      </c>
      <c r="W704" s="4">
        <v>67</v>
      </c>
    </row>
    <row r="705" spans="1:23" ht="11.25" customHeight="1" x14ac:dyDescent="0.25">
      <c r="A705" s="4" t="s">
        <v>28</v>
      </c>
      <c r="B705" s="4" t="s">
        <v>35</v>
      </c>
      <c r="C705" s="4" t="s">
        <v>36</v>
      </c>
      <c r="D705" s="4" t="s">
        <v>45</v>
      </c>
      <c r="E705" s="4" t="s">
        <v>25</v>
      </c>
      <c r="F705" s="4" t="s">
        <v>25</v>
      </c>
      <c r="G705" s="4" t="s">
        <v>25</v>
      </c>
      <c r="H705" s="4" t="s">
        <v>38</v>
      </c>
      <c r="I705" s="5">
        <v>44136</v>
      </c>
      <c r="J705" s="6">
        <v>0</v>
      </c>
      <c r="K705" s="6">
        <v>0</v>
      </c>
      <c r="L705" s="6">
        <v>1764.5229999999999</v>
      </c>
      <c r="M705" s="6">
        <v>1764.5229999999999</v>
      </c>
      <c r="N705" s="6">
        <v>1764.5229999999999</v>
      </c>
      <c r="O705" s="6">
        <v>1764.5229999999999</v>
      </c>
      <c r="P705" s="6">
        <v>0</v>
      </c>
      <c r="Q705" s="4" t="s">
        <v>26</v>
      </c>
      <c r="R705" s="4">
        <v>0</v>
      </c>
      <c r="S705" s="4" t="s">
        <v>188</v>
      </c>
      <c r="T705" s="4" t="s">
        <v>433</v>
      </c>
      <c r="U705" s="4">
        <v>0</v>
      </c>
      <c r="V705" s="4">
        <v>19</v>
      </c>
      <c r="W705" s="4">
        <v>67</v>
      </c>
    </row>
    <row r="706" spans="1:23" ht="11.25" customHeight="1" x14ac:dyDescent="0.25">
      <c r="A706" s="4" t="s">
        <v>30</v>
      </c>
      <c r="B706" s="4" t="s">
        <v>35</v>
      </c>
      <c r="C706" s="4" t="s">
        <v>36</v>
      </c>
      <c r="D706" s="4" t="s">
        <v>45</v>
      </c>
      <c r="E706" s="4" t="s">
        <v>25</v>
      </c>
      <c r="F706" s="4" t="s">
        <v>25</v>
      </c>
      <c r="G706" s="4" t="s">
        <v>25</v>
      </c>
      <c r="H706" s="4" t="s">
        <v>38</v>
      </c>
      <c r="I706" s="5">
        <v>44136</v>
      </c>
      <c r="J706" s="6">
        <v>0</v>
      </c>
      <c r="K706" s="6">
        <v>0</v>
      </c>
      <c r="L706" s="6">
        <v>571.38499999999999</v>
      </c>
      <c r="M706" s="6">
        <v>571.38499999999999</v>
      </c>
      <c r="N706" s="6">
        <v>571.38499999999999</v>
      </c>
      <c r="O706" s="6">
        <v>571.38499999999999</v>
      </c>
      <c r="P706" s="6">
        <v>0</v>
      </c>
      <c r="Q706" s="4" t="s">
        <v>26</v>
      </c>
      <c r="R706" s="4">
        <v>0</v>
      </c>
      <c r="S706" s="4" t="s">
        <v>188</v>
      </c>
      <c r="T706" s="4" t="s">
        <v>433</v>
      </c>
      <c r="U706" s="4">
        <v>0</v>
      </c>
      <c r="V706" s="4">
        <v>19</v>
      </c>
      <c r="W706" s="4">
        <v>67</v>
      </c>
    </row>
    <row r="707" spans="1:23" ht="11.25" customHeight="1" x14ac:dyDescent="0.25">
      <c r="A707" s="4" t="s">
        <v>21</v>
      </c>
      <c r="B707" s="4" t="s">
        <v>35</v>
      </c>
      <c r="C707" s="4" t="s">
        <v>36</v>
      </c>
      <c r="D707" s="4" t="s">
        <v>45</v>
      </c>
      <c r="E707" s="4" t="s">
        <v>25</v>
      </c>
      <c r="F707" s="4" t="s">
        <v>25</v>
      </c>
      <c r="G707" s="4" t="s">
        <v>25</v>
      </c>
      <c r="H707" s="4" t="s">
        <v>38</v>
      </c>
      <c r="I707" s="5">
        <v>44136</v>
      </c>
      <c r="J707" s="6">
        <v>0</v>
      </c>
      <c r="K707" s="6">
        <v>0</v>
      </c>
      <c r="L707" s="6">
        <v>-164.25700000000001</v>
      </c>
      <c r="M707" s="6">
        <v>-164.25700000000001</v>
      </c>
      <c r="N707" s="6">
        <v>0</v>
      </c>
      <c r="O707" s="6">
        <v>0</v>
      </c>
      <c r="P707" s="6">
        <v>0</v>
      </c>
      <c r="Q707" s="4" t="s">
        <v>60</v>
      </c>
      <c r="R707" s="4">
        <v>0</v>
      </c>
      <c r="S707" s="4" t="s">
        <v>188</v>
      </c>
      <c r="U707" s="4">
        <v>0</v>
      </c>
      <c r="V707" s="4">
        <v>19</v>
      </c>
      <c r="W707" s="4">
        <v>0</v>
      </c>
    </row>
    <row r="708" spans="1:23" ht="11.25" customHeight="1" x14ac:dyDescent="0.25">
      <c r="A708" s="4" t="s">
        <v>21</v>
      </c>
      <c r="B708" s="4" t="s">
        <v>35</v>
      </c>
      <c r="C708" s="4" t="s">
        <v>36</v>
      </c>
      <c r="D708" s="4" t="s">
        <v>45</v>
      </c>
      <c r="E708" s="4" t="s">
        <v>25</v>
      </c>
      <c r="F708" s="4" t="s">
        <v>25</v>
      </c>
      <c r="G708" s="4" t="s">
        <v>25</v>
      </c>
      <c r="H708" s="4" t="s">
        <v>38</v>
      </c>
      <c r="I708" s="5">
        <v>44166</v>
      </c>
      <c r="J708" s="6">
        <v>0</v>
      </c>
      <c r="K708" s="6">
        <v>0</v>
      </c>
      <c r="L708" s="6">
        <v>23222.081999999999</v>
      </c>
      <c r="M708" s="6">
        <v>23222.081999999999</v>
      </c>
      <c r="N708" s="6">
        <v>23222.081999999999</v>
      </c>
      <c r="O708" s="6">
        <v>23222.081999999999</v>
      </c>
      <c r="P708" s="6">
        <v>0</v>
      </c>
      <c r="Q708" s="4" t="s">
        <v>26</v>
      </c>
      <c r="R708" s="4">
        <v>0</v>
      </c>
      <c r="S708" s="4" t="s">
        <v>189</v>
      </c>
      <c r="T708" s="4" t="s">
        <v>434</v>
      </c>
      <c r="U708" s="4">
        <v>0</v>
      </c>
      <c r="V708" s="4">
        <v>19</v>
      </c>
      <c r="W708" s="4">
        <v>67</v>
      </c>
    </row>
    <row r="709" spans="1:23" ht="11.25" customHeight="1" x14ac:dyDescent="0.25">
      <c r="A709" s="4" t="s">
        <v>27</v>
      </c>
      <c r="B709" s="4" t="s">
        <v>35</v>
      </c>
      <c r="C709" s="4" t="s">
        <v>36</v>
      </c>
      <c r="D709" s="4" t="s">
        <v>45</v>
      </c>
      <c r="E709" s="4" t="s">
        <v>25</v>
      </c>
      <c r="F709" s="4" t="s">
        <v>25</v>
      </c>
      <c r="G709" s="4" t="s">
        <v>25</v>
      </c>
      <c r="H709" s="4" t="s">
        <v>38</v>
      </c>
      <c r="I709" s="5">
        <v>44166</v>
      </c>
      <c r="J709" s="6">
        <v>0</v>
      </c>
      <c r="K709" s="6">
        <v>0</v>
      </c>
      <c r="L709" s="6">
        <v>-163.30699999999999</v>
      </c>
      <c r="M709" s="6">
        <v>-163.30699999999999</v>
      </c>
      <c r="N709" s="6">
        <v>-163.30699999999999</v>
      </c>
      <c r="O709" s="6">
        <v>-163.30699999999999</v>
      </c>
      <c r="P709" s="6">
        <v>0</v>
      </c>
      <c r="Q709" s="4" t="s">
        <v>26</v>
      </c>
      <c r="R709" s="4">
        <v>0</v>
      </c>
      <c r="S709" s="4" t="s">
        <v>189</v>
      </c>
      <c r="T709" s="4" t="s">
        <v>434</v>
      </c>
      <c r="U709" s="4">
        <v>0</v>
      </c>
      <c r="V709" s="4">
        <v>19</v>
      </c>
      <c r="W709" s="4">
        <v>67</v>
      </c>
    </row>
    <row r="710" spans="1:23" ht="11.25" customHeight="1" x14ac:dyDescent="0.25">
      <c r="A710" s="4" t="s">
        <v>28</v>
      </c>
      <c r="B710" s="4" t="s">
        <v>35</v>
      </c>
      <c r="C710" s="4" t="s">
        <v>36</v>
      </c>
      <c r="D710" s="4" t="s">
        <v>45</v>
      </c>
      <c r="E710" s="4" t="s">
        <v>25</v>
      </c>
      <c r="F710" s="4" t="s">
        <v>25</v>
      </c>
      <c r="G710" s="4" t="s">
        <v>25</v>
      </c>
      <c r="H710" s="4" t="s">
        <v>38</v>
      </c>
      <c r="I710" s="5">
        <v>44166</v>
      </c>
      <c r="J710" s="6">
        <v>0</v>
      </c>
      <c r="K710" s="6">
        <v>0</v>
      </c>
      <c r="L710" s="6">
        <v>1784.136</v>
      </c>
      <c r="M710" s="6">
        <v>1784.136</v>
      </c>
      <c r="N710" s="6">
        <v>1784.136</v>
      </c>
      <c r="O710" s="6">
        <v>1784.136</v>
      </c>
      <c r="P710" s="6">
        <v>0</v>
      </c>
      <c r="Q710" s="4" t="s">
        <v>26</v>
      </c>
      <c r="R710" s="4">
        <v>0</v>
      </c>
      <c r="S710" s="4" t="s">
        <v>189</v>
      </c>
      <c r="T710" s="4" t="s">
        <v>434</v>
      </c>
      <c r="U710" s="4">
        <v>0</v>
      </c>
      <c r="V710" s="4">
        <v>19</v>
      </c>
      <c r="W710" s="4">
        <v>67</v>
      </c>
    </row>
    <row r="711" spans="1:23" ht="11.25" customHeight="1" x14ac:dyDescent="0.25">
      <c r="A711" s="4" t="s">
        <v>30</v>
      </c>
      <c r="B711" s="4" t="s">
        <v>35</v>
      </c>
      <c r="C711" s="4" t="s">
        <v>36</v>
      </c>
      <c r="D711" s="4" t="s">
        <v>45</v>
      </c>
      <c r="E711" s="4" t="s">
        <v>25</v>
      </c>
      <c r="F711" s="4" t="s">
        <v>25</v>
      </c>
      <c r="G711" s="4" t="s">
        <v>25</v>
      </c>
      <c r="H711" s="4" t="s">
        <v>38</v>
      </c>
      <c r="I711" s="5">
        <v>44166</v>
      </c>
      <c r="J711" s="6">
        <v>0</v>
      </c>
      <c r="K711" s="6">
        <v>0</v>
      </c>
      <c r="L711" s="6">
        <v>621.69899999999996</v>
      </c>
      <c r="M711" s="6">
        <v>621.69899999999996</v>
      </c>
      <c r="N711" s="6">
        <v>621.69899999999996</v>
      </c>
      <c r="O711" s="6">
        <v>621.69899999999996</v>
      </c>
      <c r="P711" s="6">
        <v>0</v>
      </c>
      <c r="Q711" s="4" t="s">
        <v>26</v>
      </c>
      <c r="R711" s="4">
        <v>0</v>
      </c>
      <c r="S711" s="4" t="s">
        <v>189</v>
      </c>
      <c r="T711" s="4" t="s">
        <v>434</v>
      </c>
      <c r="U711" s="4">
        <v>0</v>
      </c>
      <c r="V711" s="4">
        <v>19</v>
      </c>
      <c r="W711" s="4">
        <v>67</v>
      </c>
    </row>
    <row r="712" spans="1:23" ht="11.25" customHeight="1" x14ac:dyDescent="0.25">
      <c r="A712" s="4" t="s">
        <v>21</v>
      </c>
      <c r="B712" s="4" t="s">
        <v>35</v>
      </c>
      <c r="C712" s="4" t="s">
        <v>36</v>
      </c>
      <c r="D712" s="4" t="s">
        <v>45</v>
      </c>
      <c r="E712" s="4" t="s">
        <v>25</v>
      </c>
      <c r="F712" s="4" t="s">
        <v>25</v>
      </c>
      <c r="G712" s="4" t="s">
        <v>25</v>
      </c>
      <c r="H712" s="4" t="s">
        <v>38</v>
      </c>
      <c r="I712" s="5">
        <v>44166</v>
      </c>
      <c r="J712" s="6">
        <v>0</v>
      </c>
      <c r="K712" s="6">
        <v>0</v>
      </c>
      <c r="L712" s="6">
        <v>417.20299999999997</v>
      </c>
      <c r="M712" s="6">
        <v>417.20299999999997</v>
      </c>
      <c r="N712" s="6">
        <v>0</v>
      </c>
      <c r="O712" s="6">
        <v>0</v>
      </c>
      <c r="P712" s="6">
        <v>0</v>
      </c>
      <c r="Q712" s="4" t="s">
        <v>60</v>
      </c>
      <c r="R712" s="4">
        <v>0</v>
      </c>
      <c r="S712" s="4" t="s">
        <v>189</v>
      </c>
      <c r="U712" s="4">
        <v>0</v>
      </c>
      <c r="V712" s="4">
        <v>19</v>
      </c>
      <c r="W712" s="4">
        <v>0</v>
      </c>
    </row>
    <row r="713" spans="1:23" ht="11.25" customHeight="1" x14ac:dyDescent="0.25">
      <c r="A713" s="4" t="s">
        <v>21</v>
      </c>
      <c r="B713" s="4" t="s">
        <v>35</v>
      </c>
      <c r="C713" s="4" t="s">
        <v>36</v>
      </c>
      <c r="D713" s="4" t="s">
        <v>45</v>
      </c>
      <c r="E713" s="4" t="s">
        <v>25</v>
      </c>
      <c r="F713" s="4" t="s">
        <v>25</v>
      </c>
      <c r="G713" s="4" t="s">
        <v>25</v>
      </c>
      <c r="H713" s="4" t="s">
        <v>38</v>
      </c>
      <c r="I713" s="5">
        <v>44197</v>
      </c>
      <c r="J713" s="6">
        <v>0</v>
      </c>
      <c r="K713" s="6">
        <v>0</v>
      </c>
      <c r="L713" s="6">
        <v>19477.964</v>
      </c>
      <c r="M713" s="6">
        <v>19477.964</v>
      </c>
      <c r="N713" s="6">
        <v>19477.964</v>
      </c>
      <c r="O713" s="6">
        <v>19477.964</v>
      </c>
      <c r="P713" s="6">
        <v>0</v>
      </c>
      <c r="Q713" s="4" t="s">
        <v>26</v>
      </c>
      <c r="R713" s="4">
        <v>0</v>
      </c>
      <c r="S713" s="4" t="s">
        <v>190</v>
      </c>
      <c r="T713" s="4" t="s">
        <v>435</v>
      </c>
      <c r="U713" s="4">
        <v>0</v>
      </c>
      <c r="V713" s="4">
        <v>19</v>
      </c>
      <c r="W713" s="4">
        <v>67</v>
      </c>
    </row>
    <row r="714" spans="1:23" ht="11.25" customHeight="1" x14ac:dyDescent="0.25">
      <c r="A714" s="4" t="s">
        <v>27</v>
      </c>
      <c r="B714" s="4" t="s">
        <v>35</v>
      </c>
      <c r="C714" s="4" t="s">
        <v>36</v>
      </c>
      <c r="D714" s="4" t="s">
        <v>45</v>
      </c>
      <c r="E714" s="4" t="s">
        <v>25</v>
      </c>
      <c r="F714" s="4" t="s">
        <v>25</v>
      </c>
      <c r="G714" s="4" t="s">
        <v>25</v>
      </c>
      <c r="H714" s="4" t="s">
        <v>38</v>
      </c>
      <c r="I714" s="5">
        <v>44197</v>
      </c>
      <c r="J714" s="6">
        <v>0</v>
      </c>
      <c r="K714" s="6">
        <v>0</v>
      </c>
      <c r="L714" s="6">
        <v>-199.67599999999999</v>
      </c>
      <c r="M714" s="6">
        <v>-199.67599999999999</v>
      </c>
      <c r="N714" s="6">
        <v>-199.67599999999999</v>
      </c>
      <c r="O714" s="6">
        <v>-199.67599999999999</v>
      </c>
      <c r="P714" s="6">
        <v>0</v>
      </c>
      <c r="Q714" s="4" t="s">
        <v>26</v>
      </c>
      <c r="R714" s="4">
        <v>0</v>
      </c>
      <c r="S714" s="4" t="s">
        <v>190</v>
      </c>
      <c r="T714" s="4" t="s">
        <v>435</v>
      </c>
      <c r="U714" s="4">
        <v>0</v>
      </c>
      <c r="V714" s="4">
        <v>19</v>
      </c>
      <c r="W714" s="4">
        <v>67</v>
      </c>
    </row>
    <row r="715" spans="1:23" ht="11.25" customHeight="1" x14ac:dyDescent="0.25">
      <c r="A715" s="4" t="s">
        <v>28</v>
      </c>
      <c r="B715" s="4" t="s">
        <v>35</v>
      </c>
      <c r="C715" s="4" t="s">
        <v>36</v>
      </c>
      <c r="D715" s="4" t="s">
        <v>45</v>
      </c>
      <c r="E715" s="4" t="s">
        <v>25</v>
      </c>
      <c r="F715" s="4" t="s">
        <v>25</v>
      </c>
      <c r="G715" s="4" t="s">
        <v>25</v>
      </c>
      <c r="H715" s="4" t="s">
        <v>38</v>
      </c>
      <c r="I715" s="5">
        <v>44197</v>
      </c>
      <c r="J715" s="6">
        <v>0</v>
      </c>
      <c r="K715" s="6">
        <v>0</v>
      </c>
      <c r="L715" s="6">
        <v>1510.17</v>
      </c>
      <c r="M715" s="6">
        <v>1510.17</v>
      </c>
      <c r="N715" s="6">
        <v>1510.17</v>
      </c>
      <c r="O715" s="6">
        <v>1510.17</v>
      </c>
      <c r="P715" s="6">
        <v>0</v>
      </c>
      <c r="Q715" s="4" t="s">
        <v>26</v>
      </c>
      <c r="R715" s="4">
        <v>0</v>
      </c>
      <c r="S715" s="4" t="s">
        <v>190</v>
      </c>
      <c r="T715" s="4" t="s">
        <v>435</v>
      </c>
      <c r="U715" s="4">
        <v>0</v>
      </c>
      <c r="V715" s="4">
        <v>19</v>
      </c>
      <c r="W715" s="4">
        <v>67</v>
      </c>
    </row>
    <row r="716" spans="1:23" ht="11.25" customHeight="1" x14ac:dyDescent="0.25">
      <c r="A716" s="4" t="s">
        <v>29</v>
      </c>
      <c r="B716" s="4" t="s">
        <v>35</v>
      </c>
      <c r="C716" s="4" t="s">
        <v>36</v>
      </c>
      <c r="D716" s="4" t="s">
        <v>45</v>
      </c>
      <c r="E716" s="4" t="s">
        <v>25</v>
      </c>
      <c r="F716" s="4" t="s">
        <v>25</v>
      </c>
      <c r="G716" s="4" t="s">
        <v>25</v>
      </c>
      <c r="H716" s="4" t="s">
        <v>38</v>
      </c>
      <c r="I716" s="5">
        <v>44197</v>
      </c>
      <c r="J716" s="6">
        <v>0</v>
      </c>
      <c r="K716" s="6">
        <v>0</v>
      </c>
      <c r="L716" s="6">
        <v>-3.3809999999999998</v>
      </c>
      <c r="M716" s="6">
        <v>-3.3809999999999998</v>
      </c>
      <c r="N716" s="6">
        <v>-3.3809999999999998</v>
      </c>
      <c r="O716" s="6">
        <v>-3.3809999999999998</v>
      </c>
      <c r="P716" s="6">
        <v>0</v>
      </c>
      <c r="Q716" s="4" t="s">
        <v>26</v>
      </c>
      <c r="R716" s="4">
        <v>0</v>
      </c>
      <c r="S716" s="4" t="s">
        <v>190</v>
      </c>
      <c r="T716" s="4" t="s">
        <v>435</v>
      </c>
      <c r="U716" s="4">
        <v>0</v>
      </c>
      <c r="V716" s="4">
        <v>19</v>
      </c>
      <c r="W716" s="4">
        <v>67</v>
      </c>
    </row>
    <row r="717" spans="1:23" ht="11.25" customHeight="1" x14ac:dyDescent="0.25">
      <c r="A717" s="4" t="s">
        <v>30</v>
      </c>
      <c r="B717" s="4" t="s">
        <v>35</v>
      </c>
      <c r="C717" s="4" t="s">
        <v>36</v>
      </c>
      <c r="D717" s="4" t="s">
        <v>45</v>
      </c>
      <c r="E717" s="4" t="s">
        <v>25</v>
      </c>
      <c r="F717" s="4" t="s">
        <v>25</v>
      </c>
      <c r="G717" s="4" t="s">
        <v>25</v>
      </c>
      <c r="H717" s="4" t="s">
        <v>38</v>
      </c>
      <c r="I717" s="5">
        <v>44197</v>
      </c>
      <c r="J717" s="6">
        <v>0</v>
      </c>
      <c r="K717" s="6">
        <v>0</v>
      </c>
      <c r="L717" s="6">
        <v>510.70600000000002</v>
      </c>
      <c r="M717" s="6">
        <v>510.70600000000002</v>
      </c>
      <c r="N717" s="6">
        <v>510.70600000000002</v>
      </c>
      <c r="O717" s="6">
        <v>510.70600000000002</v>
      </c>
      <c r="P717" s="6">
        <v>0</v>
      </c>
      <c r="Q717" s="4" t="s">
        <v>26</v>
      </c>
      <c r="R717" s="4">
        <v>0</v>
      </c>
      <c r="S717" s="4" t="s">
        <v>190</v>
      </c>
      <c r="T717" s="4" t="s">
        <v>435</v>
      </c>
      <c r="U717" s="4">
        <v>0</v>
      </c>
      <c r="V717" s="4">
        <v>19</v>
      </c>
      <c r="W717" s="4">
        <v>67</v>
      </c>
    </row>
    <row r="718" spans="1:23" ht="11.25" customHeight="1" x14ac:dyDescent="0.25">
      <c r="A718" s="4" t="s">
        <v>21</v>
      </c>
      <c r="B718" s="4" t="s">
        <v>35</v>
      </c>
      <c r="C718" s="4" t="s">
        <v>36</v>
      </c>
      <c r="D718" s="4" t="s">
        <v>45</v>
      </c>
      <c r="E718" s="4" t="s">
        <v>25</v>
      </c>
      <c r="F718" s="4" t="s">
        <v>25</v>
      </c>
      <c r="G718" s="4" t="s">
        <v>25</v>
      </c>
      <c r="H718" s="4" t="s">
        <v>38</v>
      </c>
      <c r="I718" s="5">
        <v>44197</v>
      </c>
      <c r="J718" s="6">
        <v>0</v>
      </c>
      <c r="K718" s="6">
        <v>0</v>
      </c>
      <c r="L718" s="6">
        <v>73.08</v>
      </c>
      <c r="M718" s="6">
        <v>73.08</v>
      </c>
      <c r="N718" s="6">
        <v>0</v>
      </c>
      <c r="O718" s="6">
        <v>0</v>
      </c>
      <c r="P718" s="6">
        <v>0</v>
      </c>
      <c r="Q718" s="4" t="s">
        <v>60</v>
      </c>
      <c r="R718" s="4">
        <v>0</v>
      </c>
      <c r="S718" s="4" t="s">
        <v>190</v>
      </c>
      <c r="U718" s="4">
        <v>0</v>
      </c>
      <c r="V718" s="4">
        <v>19</v>
      </c>
      <c r="W718" s="4">
        <v>0</v>
      </c>
    </row>
    <row r="719" spans="1:23" ht="11.25" customHeight="1" x14ac:dyDescent="0.25">
      <c r="A719" s="4" t="s">
        <v>21</v>
      </c>
      <c r="B719" s="4" t="s">
        <v>35</v>
      </c>
      <c r="C719" s="4" t="s">
        <v>36</v>
      </c>
      <c r="D719" s="4" t="s">
        <v>45</v>
      </c>
      <c r="E719" s="4" t="s">
        <v>25</v>
      </c>
      <c r="F719" s="4" t="s">
        <v>25</v>
      </c>
      <c r="G719" s="4" t="s">
        <v>25</v>
      </c>
      <c r="H719" s="4" t="s">
        <v>38</v>
      </c>
      <c r="I719" s="5">
        <v>44228</v>
      </c>
      <c r="J719" s="6">
        <v>0</v>
      </c>
      <c r="K719" s="6">
        <v>0</v>
      </c>
      <c r="L719" s="6">
        <v>18552.884999999998</v>
      </c>
      <c r="M719" s="6">
        <v>18552.884999999998</v>
      </c>
      <c r="N719" s="6">
        <v>18552.884999999998</v>
      </c>
      <c r="O719" s="6">
        <v>18552.884999999998</v>
      </c>
      <c r="P719" s="6">
        <v>0</v>
      </c>
      <c r="Q719" s="4" t="s">
        <v>26</v>
      </c>
      <c r="R719" s="4">
        <v>0</v>
      </c>
      <c r="S719" s="4" t="s">
        <v>191</v>
      </c>
      <c r="T719" s="4" t="s">
        <v>436</v>
      </c>
      <c r="U719" s="4">
        <v>0</v>
      </c>
      <c r="V719" s="4">
        <v>19</v>
      </c>
      <c r="W719" s="4">
        <v>67</v>
      </c>
    </row>
    <row r="720" spans="1:23" ht="11.25" customHeight="1" x14ac:dyDescent="0.25">
      <c r="A720" s="4" t="s">
        <v>27</v>
      </c>
      <c r="B720" s="4" t="s">
        <v>35</v>
      </c>
      <c r="C720" s="4" t="s">
        <v>36</v>
      </c>
      <c r="D720" s="4" t="s">
        <v>45</v>
      </c>
      <c r="E720" s="4" t="s">
        <v>25</v>
      </c>
      <c r="F720" s="4" t="s">
        <v>25</v>
      </c>
      <c r="G720" s="4" t="s">
        <v>25</v>
      </c>
      <c r="H720" s="4" t="s">
        <v>38</v>
      </c>
      <c r="I720" s="5">
        <v>44228</v>
      </c>
      <c r="J720" s="6">
        <v>0</v>
      </c>
      <c r="K720" s="6">
        <v>0</v>
      </c>
      <c r="L720" s="6">
        <v>-0.96899999999999997</v>
      </c>
      <c r="M720" s="6">
        <v>-0.96899999999999997</v>
      </c>
      <c r="N720" s="6">
        <v>-0.96899999999999997</v>
      </c>
      <c r="O720" s="6">
        <v>-0.96899999999999997</v>
      </c>
      <c r="P720" s="6">
        <v>0</v>
      </c>
      <c r="Q720" s="4" t="s">
        <v>26</v>
      </c>
      <c r="R720" s="4">
        <v>0</v>
      </c>
      <c r="S720" s="4" t="s">
        <v>191</v>
      </c>
      <c r="T720" s="4" t="s">
        <v>436</v>
      </c>
      <c r="U720" s="4">
        <v>0</v>
      </c>
      <c r="V720" s="4">
        <v>19</v>
      </c>
      <c r="W720" s="4">
        <v>67</v>
      </c>
    </row>
    <row r="721" spans="1:23" ht="11.25" customHeight="1" x14ac:dyDescent="0.25">
      <c r="A721" s="4" t="s">
        <v>28</v>
      </c>
      <c r="B721" s="4" t="s">
        <v>35</v>
      </c>
      <c r="C721" s="4" t="s">
        <v>36</v>
      </c>
      <c r="D721" s="4" t="s">
        <v>45</v>
      </c>
      <c r="E721" s="4" t="s">
        <v>25</v>
      </c>
      <c r="F721" s="4" t="s">
        <v>25</v>
      </c>
      <c r="G721" s="4" t="s">
        <v>25</v>
      </c>
      <c r="H721" s="4" t="s">
        <v>38</v>
      </c>
      <c r="I721" s="5">
        <v>44228</v>
      </c>
      <c r="J721" s="6">
        <v>0</v>
      </c>
      <c r="K721" s="6">
        <v>0</v>
      </c>
      <c r="L721" s="6">
        <v>1338.557</v>
      </c>
      <c r="M721" s="6">
        <v>1338.557</v>
      </c>
      <c r="N721" s="6">
        <v>1338.557</v>
      </c>
      <c r="O721" s="6">
        <v>1338.557</v>
      </c>
      <c r="P721" s="6">
        <v>0</v>
      </c>
      <c r="Q721" s="4" t="s">
        <v>26</v>
      </c>
      <c r="R721" s="4">
        <v>0</v>
      </c>
      <c r="S721" s="4" t="s">
        <v>191</v>
      </c>
      <c r="T721" s="4" t="s">
        <v>436</v>
      </c>
      <c r="U721" s="4">
        <v>0</v>
      </c>
      <c r="V721" s="4">
        <v>19</v>
      </c>
      <c r="W721" s="4">
        <v>67</v>
      </c>
    </row>
    <row r="722" spans="1:23" ht="11.25" customHeight="1" x14ac:dyDescent="0.25">
      <c r="A722" s="4" t="s">
        <v>29</v>
      </c>
      <c r="B722" s="4" t="s">
        <v>35</v>
      </c>
      <c r="C722" s="4" t="s">
        <v>36</v>
      </c>
      <c r="D722" s="4" t="s">
        <v>45</v>
      </c>
      <c r="E722" s="4" t="s">
        <v>25</v>
      </c>
      <c r="F722" s="4" t="s">
        <v>25</v>
      </c>
      <c r="G722" s="4" t="s">
        <v>25</v>
      </c>
      <c r="H722" s="4" t="s">
        <v>38</v>
      </c>
      <c r="I722" s="5">
        <v>44228</v>
      </c>
      <c r="J722" s="6">
        <v>0</v>
      </c>
      <c r="K722" s="6">
        <v>0</v>
      </c>
      <c r="L722" s="6">
        <v>-11.875999999999999</v>
      </c>
      <c r="M722" s="6">
        <v>-11.875999999999999</v>
      </c>
      <c r="N722" s="6">
        <v>-11.875999999999999</v>
      </c>
      <c r="O722" s="6">
        <v>-11.875999999999999</v>
      </c>
      <c r="P722" s="6">
        <v>0</v>
      </c>
      <c r="Q722" s="4" t="s">
        <v>26</v>
      </c>
      <c r="R722" s="4">
        <v>0</v>
      </c>
      <c r="S722" s="4" t="s">
        <v>191</v>
      </c>
      <c r="T722" s="4" t="s">
        <v>436</v>
      </c>
      <c r="U722" s="4">
        <v>0</v>
      </c>
      <c r="V722" s="4">
        <v>19</v>
      </c>
      <c r="W722" s="4">
        <v>67</v>
      </c>
    </row>
    <row r="723" spans="1:23" ht="11.25" customHeight="1" x14ac:dyDescent="0.25">
      <c r="A723" s="4" t="s">
        <v>30</v>
      </c>
      <c r="B723" s="4" t="s">
        <v>35</v>
      </c>
      <c r="C723" s="4" t="s">
        <v>36</v>
      </c>
      <c r="D723" s="4" t="s">
        <v>45</v>
      </c>
      <c r="E723" s="4" t="s">
        <v>25</v>
      </c>
      <c r="F723" s="4" t="s">
        <v>25</v>
      </c>
      <c r="G723" s="4" t="s">
        <v>25</v>
      </c>
      <c r="H723" s="4" t="s">
        <v>38</v>
      </c>
      <c r="I723" s="5">
        <v>44228</v>
      </c>
      <c r="J723" s="6">
        <v>0</v>
      </c>
      <c r="K723" s="6">
        <v>0</v>
      </c>
      <c r="L723" s="6">
        <v>603.31399999999996</v>
      </c>
      <c r="M723" s="6">
        <v>603.31399999999996</v>
      </c>
      <c r="N723" s="6">
        <v>603.31399999999996</v>
      </c>
      <c r="O723" s="6">
        <v>603.31399999999996</v>
      </c>
      <c r="P723" s="6">
        <v>0</v>
      </c>
      <c r="Q723" s="4" t="s">
        <v>26</v>
      </c>
      <c r="R723" s="4">
        <v>0</v>
      </c>
      <c r="S723" s="4" t="s">
        <v>191</v>
      </c>
      <c r="T723" s="4" t="s">
        <v>436</v>
      </c>
      <c r="U723" s="4">
        <v>0</v>
      </c>
      <c r="V723" s="4">
        <v>19</v>
      </c>
      <c r="W723" s="4">
        <v>67</v>
      </c>
    </row>
    <row r="724" spans="1:23" ht="11.25" customHeight="1" x14ac:dyDescent="0.25">
      <c r="A724" s="4" t="s">
        <v>21</v>
      </c>
      <c r="B724" s="4" t="s">
        <v>35</v>
      </c>
      <c r="C724" s="4" t="s">
        <v>36</v>
      </c>
      <c r="D724" s="4" t="s">
        <v>45</v>
      </c>
      <c r="E724" s="4" t="s">
        <v>25</v>
      </c>
      <c r="F724" s="4" t="s">
        <v>25</v>
      </c>
      <c r="G724" s="4" t="s">
        <v>25</v>
      </c>
      <c r="H724" s="4" t="s">
        <v>38</v>
      </c>
      <c r="I724" s="5">
        <v>44228</v>
      </c>
      <c r="J724" s="6">
        <v>0</v>
      </c>
      <c r="K724" s="6">
        <v>0</v>
      </c>
      <c r="L724" s="6">
        <v>64.665999999999997</v>
      </c>
      <c r="M724" s="6">
        <v>64.665999999999997</v>
      </c>
      <c r="N724" s="6">
        <v>0</v>
      </c>
      <c r="O724" s="6">
        <v>0</v>
      </c>
      <c r="P724" s="6">
        <v>0</v>
      </c>
      <c r="Q724" s="4" t="s">
        <v>60</v>
      </c>
      <c r="R724" s="4">
        <v>0</v>
      </c>
      <c r="S724" s="4" t="s">
        <v>191</v>
      </c>
      <c r="U724" s="4">
        <v>0</v>
      </c>
      <c r="V724" s="4">
        <v>19</v>
      </c>
      <c r="W724" s="4">
        <v>0</v>
      </c>
    </row>
    <row r="725" spans="1:23" ht="11.25" customHeight="1" x14ac:dyDescent="0.25">
      <c r="A725" s="4" t="s">
        <v>21</v>
      </c>
      <c r="B725" s="4" t="s">
        <v>35</v>
      </c>
      <c r="C725" s="4" t="s">
        <v>36</v>
      </c>
      <c r="D725" s="4" t="s">
        <v>45</v>
      </c>
      <c r="E725" s="4" t="s">
        <v>25</v>
      </c>
      <c r="F725" s="4" t="s">
        <v>25</v>
      </c>
      <c r="G725" s="4" t="s">
        <v>25</v>
      </c>
      <c r="H725" s="4" t="s">
        <v>38</v>
      </c>
      <c r="I725" s="5">
        <v>44256</v>
      </c>
      <c r="J725" s="6">
        <v>0</v>
      </c>
      <c r="K725" s="6">
        <v>0</v>
      </c>
      <c r="L725" s="6">
        <v>21758.094000000001</v>
      </c>
      <c r="M725" s="6">
        <v>21758.094000000001</v>
      </c>
      <c r="N725" s="6">
        <v>21758.094000000001</v>
      </c>
      <c r="O725" s="6">
        <v>21758.094000000001</v>
      </c>
      <c r="P725" s="6">
        <v>0</v>
      </c>
      <c r="Q725" s="4" t="s">
        <v>26</v>
      </c>
      <c r="R725" s="4">
        <v>0</v>
      </c>
      <c r="S725" s="4" t="s">
        <v>192</v>
      </c>
      <c r="T725" s="4" t="s">
        <v>437</v>
      </c>
      <c r="U725" s="4">
        <v>0</v>
      </c>
      <c r="V725" s="4">
        <v>19</v>
      </c>
      <c r="W725" s="4">
        <v>67</v>
      </c>
    </row>
    <row r="726" spans="1:23" ht="11.25" customHeight="1" x14ac:dyDescent="0.25">
      <c r="A726" s="4" t="s">
        <v>27</v>
      </c>
      <c r="B726" s="4" t="s">
        <v>35</v>
      </c>
      <c r="C726" s="4" t="s">
        <v>36</v>
      </c>
      <c r="D726" s="4" t="s">
        <v>45</v>
      </c>
      <c r="E726" s="4" t="s">
        <v>25</v>
      </c>
      <c r="F726" s="4" t="s">
        <v>25</v>
      </c>
      <c r="G726" s="4" t="s">
        <v>25</v>
      </c>
      <c r="H726" s="4" t="s">
        <v>38</v>
      </c>
      <c r="I726" s="5">
        <v>44256</v>
      </c>
      <c r="J726" s="6">
        <v>0</v>
      </c>
      <c r="K726" s="6">
        <v>0</v>
      </c>
      <c r="L726" s="6">
        <v>-97.486999999999995</v>
      </c>
      <c r="M726" s="6">
        <v>-97.486999999999995</v>
      </c>
      <c r="N726" s="6">
        <v>-97.486999999999995</v>
      </c>
      <c r="O726" s="6">
        <v>-97.486999999999995</v>
      </c>
      <c r="P726" s="6">
        <v>0</v>
      </c>
      <c r="Q726" s="4" t="s">
        <v>26</v>
      </c>
      <c r="R726" s="4">
        <v>0</v>
      </c>
      <c r="S726" s="4" t="s">
        <v>192</v>
      </c>
      <c r="T726" s="4" t="s">
        <v>437</v>
      </c>
      <c r="U726" s="4">
        <v>0</v>
      </c>
      <c r="V726" s="4">
        <v>19</v>
      </c>
      <c r="W726" s="4">
        <v>67</v>
      </c>
    </row>
    <row r="727" spans="1:23" ht="11.25" customHeight="1" x14ac:dyDescent="0.25">
      <c r="A727" s="4" t="s">
        <v>28</v>
      </c>
      <c r="B727" s="4" t="s">
        <v>35</v>
      </c>
      <c r="C727" s="4" t="s">
        <v>36</v>
      </c>
      <c r="D727" s="4" t="s">
        <v>45</v>
      </c>
      <c r="E727" s="4" t="s">
        <v>25</v>
      </c>
      <c r="F727" s="4" t="s">
        <v>25</v>
      </c>
      <c r="G727" s="4" t="s">
        <v>25</v>
      </c>
      <c r="H727" s="4" t="s">
        <v>38</v>
      </c>
      <c r="I727" s="5">
        <v>44256</v>
      </c>
      <c r="J727" s="6">
        <v>0</v>
      </c>
      <c r="K727" s="6">
        <v>0</v>
      </c>
      <c r="L727" s="6">
        <v>1447.2159999999999</v>
      </c>
      <c r="M727" s="6">
        <v>1447.2159999999999</v>
      </c>
      <c r="N727" s="6">
        <v>1447.2159999999999</v>
      </c>
      <c r="O727" s="6">
        <v>1447.2159999999999</v>
      </c>
      <c r="P727" s="6">
        <v>0</v>
      </c>
      <c r="Q727" s="4" t="s">
        <v>26</v>
      </c>
      <c r="R727" s="4">
        <v>0</v>
      </c>
      <c r="S727" s="4" t="s">
        <v>192</v>
      </c>
      <c r="T727" s="4" t="s">
        <v>437</v>
      </c>
      <c r="U727" s="4">
        <v>0</v>
      </c>
      <c r="V727" s="4">
        <v>19</v>
      </c>
      <c r="W727" s="4">
        <v>67</v>
      </c>
    </row>
    <row r="728" spans="1:23" ht="11.25" customHeight="1" x14ac:dyDescent="0.25">
      <c r="A728" s="4" t="s">
        <v>30</v>
      </c>
      <c r="B728" s="4" t="s">
        <v>35</v>
      </c>
      <c r="C728" s="4" t="s">
        <v>36</v>
      </c>
      <c r="D728" s="4" t="s">
        <v>45</v>
      </c>
      <c r="E728" s="4" t="s">
        <v>25</v>
      </c>
      <c r="F728" s="4" t="s">
        <v>25</v>
      </c>
      <c r="G728" s="4" t="s">
        <v>25</v>
      </c>
      <c r="H728" s="4" t="s">
        <v>38</v>
      </c>
      <c r="I728" s="5">
        <v>44256</v>
      </c>
      <c r="J728" s="6">
        <v>0</v>
      </c>
      <c r="K728" s="6">
        <v>0</v>
      </c>
      <c r="L728" s="6">
        <v>739.28099999999995</v>
      </c>
      <c r="M728" s="6">
        <v>739.28099999999995</v>
      </c>
      <c r="N728" s="6">
        <v>739.28099999999995</v>
      </c>
      <c r="O728" s="6">
        <v>739.28099999999995</v>
      </c>
      <c r="P728" s="6">
        <v>0</v>
      </c>
      <c r="Q728" s="4" t="s">
        <v>26</v>
      </c>
      <c r="R728" s="4">
        <v>0</v>
      </c>
      <c r="S728" s="4" t="s">
        <v>192</v>
      </c>
      <c r="T728" s="4" t="s">
        <v>437</v>
      </c>
      <c r="U728" s="4">
        <v>0</v>
      </c>
      <c r="V728" s="4">
        <v>19</v>
      </c>
      <c r="W728" s="4">
        <v>67</v>
      </c>
    </row>
    <row r="729" spans="1:23" ht="11.25" customHeight="1" x14ac:dyDescent="0.25">
      <c r="A729" s="4" t="s">
        <v>21</v>
      </c>
      <c r="B729" s="4" t="s">
        <v>35</v>
      </c>
      <c r="C729" s="4" t="s">
        <v>36</v>
      </c>
      <c r="D729" s="4" t="s">
        <v>45</v>
      </c>
      <c r="E729" s="4" t="s">
        <v>25</v>
      </c>
      <c r="F729" s="4" t="s">
        <v>25</v>
      </c>
      <c r="G729" s="4" t="s">
        <v>25</v>
      </c>
      <c r="H729" s="4" t="s">
        <v>38</v>
      </c>
      <c r="I729" s="5">
        <v>44256</v>
      </c>
      <c r="J729" s="6">
        <v>0</v>
      </c>
      <c r="K729" s="6">
        <v>0</v>
      </c>
      <c r="L729" s="6">
        <v>101.53400000000001</v>
      </c>
      <c r="M729" s="6">
        <v>101.53400000000001</v>
      </c>
      <c r="N729" s="6">
        <v>0</v>
      </c>
      <c r="O729" s="6">
        <v>0</v>
      </c>
      <c r="P729" s="6">
        <v>0</v>
      </c>
      <c r="Q729" s="4" t="s">
        <v>60</v>
      </c>
      <c r="R729" s="4">
        <v>0</v>
      </c>
      <c r="S729" s="4" t="s">
        <v>192</v>
      </c>
      <c r="U729" s="4">
        <v>0</v>
      </c>
      <c r="V729" s="4">
        <v>19</v>
      </c>
      <c r="W729" s="4">
        <v>0</v>
      </c>
    </row>
    <row r="730" spans="1:23" ht="11.25" customHeight="1" x14ac:dyDescent="0.25">
      <c r="A730" s="4" t="s">
        <v>21</v>
      </c>
      <c r="B730" s="4" t="s">
        <v>35</v>
      </c>
      <c r="C730" s="4" t="s">
        <v>36</v>
      </c>
      <c r="D730" s="4" t="s">
        <v>45</v>
      </c>
      <c r="E730" s="4" t="s">
        <v>25</v>
      </c>
      <c r="F730" s="4" t="s">
        <v>25</v>
      </c>
      <c r="G730" s="4" t="s">
        <v>25</v>
      </c>
      <c r="H730" s="4" t="s">
        <v>38</v>
      </c>
      <c r="I730" s="5">
        <v>44287</v>
      </c>
      <c r="J730" s="6">
        <v>0</v>
      </c>
      <c r="K730" s="6">
        <v>0</v>
      </c>
      <c r="L730" s="6">
        <v>22047.66</v>
      </c>
      <c r="M730" s="6">
        <v>22047.66</v>
      </c>
      <c r="N730" s="6">
        <v>22047.66</v>
      </c>
      <c r="O730" s="6">
        <v>22047.66</v>
      </c>
      <c r="P730" s="6">
        <v>0</v>
      </c>
      <c r="Q730" s="4" t="s">
        <v>26</v>
      </c>
      <c r="R730" s="4">
        <v>0</v>
      </c>
      <c r="S730" s="4" t="s">
        <v>193</v>
      </c>
      <c r="T730" s="4" t="s">
        <v>438</v>
      </c>
      <c r="U730" s="4">
        <v>0</v>
      </c>
      <c r="V730" s="4">
        <v>19</v>
      </c>
      <c r="W730" s="4">
        <v>67</v>
      </c>
    </row>
    <row r="731" spans="1:23" ht="11.25" customHeight="1" x14ac:dyDescent="0.25">
      <c r="A731" s="4" t="s">
        <v>27</v>
      </c>
      <c r="B731" s="4" t="s">
        <v>35</v>
      </c>
      <c r="C731" s="4" t="s">
        <v>36</v>
      </c>
      <c r="D731" s="4" t="s">
        <v>45</v>
      </c>
      <c r="E731" s="4" t="s">
        <v>25</v>
      </c>
      <c r="F731" s="4" t="s">
        <v>25</v>
      </c>
      <c r="G731" s="4" t="s">
        <v>25</v>
      </c>
      <c r="H731" s="4" t="s">
        <v>38</v>
      </c>
      <c r="I731" s="5">
        <v>44287</v>
      </c>
      <c r="J731" s="6">
        <v>0</v>
      </c>
      <c r="K731" s="6">
        <v>0</v>
      </c>
      <c r="L731" s="6">
        <v>-459.62099999999998</v>
      </c>
      <c r="M731" s="6">
        <v>-459.62099999999998</v>
      </c>
      <c r="N731" s="6">
        <v>-459.62099999999998</v>
      </c>
      <c r="O731" s="6">
        <v>-459.62099999999998</v>
      </c>
      <c r="P731" s="6">
        <v>0</v>
      </c>
      <c r="Q731" s="4" t="s">
        <v>26</v>
      </c>
      <c r="R731" s="4">
        <v>0</v>
      </c>
      <c r="S731" s="4" t="s">
        <v>193</v>
      </c>
      <c r="T731" s="4" t="s">
        <v>438</v>
      </c>
      <c r="U731" s="4">
        <v>0</v>
      </c>
      <c r="V731" s="4">
        <v>19</v>
      </c>
      <c r="W731" s="4">
        <v>67</v>
      </c>
    </row>
    <row r="732" spans="1:23" ht="11.25" customHeight="1" x14ac:dyDescent="0.25">
      <c r="A732" s="4" t="s">
        <v>28</v>
      </c>
      <c r="B732" s="4" t="s">
        <v>35</v>
      </c>
      <c r="C732" s="4" t="s">
        <v>36</v>
      </c>
      <c r="D732" s="4" t="s">
        <v>45</v>
      </c>
      <c r="E732" s="4" t="s">
        <v>25</v>
      </c>
      <c r="F732" s="4" t="s">
        <v>25</v>
      </c>
      <c r="G732" s="4" t="s">
        <v>25</v>
      </c>
      <c r="H732" s="4" t="s">
        <v>38</v>
      </c>
      <c r="I732" s="5">
        <v>44287</v>
      </c>
      <c r="J732" s="6">
        <v>0</v>
      </c>
      <c r="K732" s="6">
        <v>0</v>
      </c>
      <c r="L732" s="6">
        <v>1515.8989999999999</v>
      </c>
      <c r="M732" s="6">
        <v>1515.8989999999999</v>
      </c>
      <c r="N732" s="6">
        <v>1515.8989999999999</v>
      </c>
      <c r="O732" s="6">
        <v>1515.8989999999999</v>
      </c>
      <c r="P732" s="6">
        <v>0</v>
      </c>
      <c r="Q732" s="4" t="s">
        <v>26</v>
      </c>
      <c r="R732" s="4">
        <v>0</v>
      </c>
      <c r="S732" s="4" t="s">
        <v>193</v>
      </c>
      <c r="T732" s="4" t="s">
        <v>438</v>
      </c>
      <c r="U732" s="4">
        <v>0</v>
      </c>
      <c r="V732" s="4">
        <v>19</v>
      </c>
      <c r="W732" s="4">
        <v>67</v>
      </c>
    </row>
    <row r="733" spans="1:23" ht="11.25" customHeight="1" x14ac:dyDescent="0.25">
      <c r="A733" s="4" t="s">
        <v>30</v>
      </c>
      <c r="B733" s="4" t="s">
        <v>35</v>
      </c>
      <c r="C733" s="4" t="s">
        <v>36</v>
      </c>
      <c r="D733" s="4" t="s">
        <v>45</v>
      </c>
      <c r="E733" s="4" t="s">
        <v>25</v>
      </c>
      <c r="F733" s="4" t="s">
        <v>25</v>
      </c>
      <c r="G733" s="4" t="s">
        <v>25</v>
      </c>
      <c r="H733" s="4" t="s">
        <v>38</v>
      </c>
      <c r="I733" s="5">
        <v>44287</v>
      </c>
      <c r="J733" s="6">
        <v>0</v>
      </c>
      <c r="K733" s="6">
        <v>0</v>
      </c>
      <c r="L733" s="6">
        <v>757.69600000000003</v>
      </c>
      <c r="M733" s="6">
        <v>757.69600000000003</v>
      </c>
      <c r="N733" s="6">
        <v>757.69600000000003</v>
      </c>
      <c r="O733" s="6">
        <v>757.69600000000003</v>
      </c>
      <c r="P733" s="6">
        <v>0</v>
      </c>
      <c r="Q733" s="4" t="s">
        <v>26</v>
      </c>
      <c r="R733" s="4">
        <v>0</v>
      </c>
      <c r="S733" s="4" t="s">
        <v>193</v>
      </c>
      <c r="T733" s="4" t="s">
        <v>438</v>
      </c>
      <c r="U733" s="4">
        <v>0</v>
      </c>
      <c r="V733" s="4">
        <v>19</v>
      </c>
      <c r="W733" s="4">
        <v>67</v>
      </c>
    </row>
    <row r="734" spans="1:23" ht="11.25" customHeight="1" x14ac:dyDescent="0.25">
      <c r="A734" s="4" t="s">
        <v>21</v>
      </c>
      <c r="B734" s="4" t="s">
        <v>35</v>
      </c>
      <c r="C734" s="4" t="s">
        <v>36</v>
      </c>
      <c r="D734" s="4" t="s">
        <v>45</v>
      </c>
      <c r="E734" s="4" t="s">
        <v>25</v>
      </c>
      <c r="F734" s="4" t="s">
        <v>25</v>
      </c>
      <c r="G734" s="4" t="s">
        <v>25</v>
      </c>
      <c r="H734" s="4" t="s">
        <v>38</v>
      </c>
      <c r="I734" s="5">
        <v>44287</v>
      </c>
      <c r="J734" s="6">
        <v>0</v>
      </c>
      <c r="K734" s="6">
        <v>0</v>
      </c>
      <c r="L734" s="6">
        <v>101.349</v>
      </c>
      <c r="M734" s="6">
        <v>101.349</v>
      </c>
      <c r="N734" s="6">
        <v>0</v>
      </c>
      <c r="O734" s="6">
        <v>0</v>
      </c>
      <c r="P734" s="6">
        <v>0</v>
      </c>
      <c r="Q734" s="4" t="s">
        <v>60</v>
      </c>
      <c r="R734" s="4">
        <v>0</v>
      </c>
      <c r="S734" s="4" t="s">
        <v>193</v>
      </c>
      <c r="U734" s="4">
        <v>0</v>
      </c>
      <c r="V734" s="4">
        <v>19</v>
      </c>
      <c r="W734" s="4">
        <v>0</v>
      </c>
    </row>
    <row r="735" spans="1:23" ht="11.25" customHeight="1" x14ac:dyDescent="0.25">
      <c r="A735" s="4" t="s">
        <v>21</v>
      </c>
      <c r="B735" s="4" t="s">
        <v>35</v>
      </c>
      <c r="C735" s="4" t="s">
        <v>36</v>
      </c>
      <c r="D735" s="4" t="s">
        <v>45</v>
      </c>
      <c r="E735" s="4" t="s">
        <v>25</v>
      </c>
      <c r="F735" s="4" t="s">
        <v>25</v>
      </c>
      <c r="G735" s="4" t="s">
        <v>25</v>
      </c>
      <c r="H735" s="4" t="s">
        <v>38</v>
      </c>
      <c r="I735" s="5">
        <v>44317</v>
      </c>
      <c r="J735" s="6">
        <v>0</v>
      </c>
      <c r="K735" s="6">
        <v>0</v>
      </c>
      <c r="L735" s="6">
        <v>23072.761999999999</v>
      </c>
      <c r="M735" s="6">
        <v>23072.761999999999</v>
      </c>
      <c r="N735" s="6">
        <v>23072.761999999999</v>
      </c>
      <c r="O735" s="6">
        <v>23072.761999999999</v>
      </c>
      <c r="P735" s="6">
        <v>0</v>
      </c>
      <c r="Q735" s="4" t="s">
        <v>26</v>
      </c>
      <c r="R735" s="4">
        <v>0</v>
      </c>
      <c r="S735" s="4" t="s">
        <v>194</v>
      </c>
      <c r="T735" s="4" t="s">
        <v>439</v>
      </c>
      <c r="U735" s="4">
        <v>0</v>
      </c>
      <c r="V735" s="4">
        <v>19</v>
      </c>
      <c r="W735" s="4">
        <v>67</v>
      </c>
    </row>
    <row r="736" spans="1:23" ht="11.25" customHeight="1" x14ac:dyDescent="0.25">
      <c r="A736" s="4" t="s">
        <v>27</v>
      </c>
      <c r="B736" s="4" t="s">
        <v>35</v>
      </c>
      <c r="C736" s="4" t="s">
        <v>36</v>
      </c>
      <c r="D736" s="4" t="s">
        <v>45</v>
      </c>
      <c r="E736" s="4" t="s">
        <v>25</v>
      </c>
      <c r="F736" s="4" t="s">
        <v>25</v>
      </c>
      <c r="G736" s="4" t="s">
        <v>25</v>
      </c>
      <c r="H736" s="4" t="s">
        <v>38</v>
      </c>
      <c r="I736" s="5">
        <v>44317</v>
      </c>
      <c r="J736" s="6">
        <v>0</v>
      </c>
      <c r="K736" s="6">
        <v>0</v>
      </c>
      <c r="L736" s="6">
        <v>-19.039000000000001</v>
      </c>
      <c r="M736" s="6">
        <v>-19.039000000000001</v>
      </c>
      <c r="N736" s="6">
        <v>-19.039000000000001</v>
      </c>
      <c r="O736" s="6">
        <v>-19.039000000000001</v>
      </c>
      <c r="P736" s="6">
        <v>0</v>
      </c>
      <c r="Q736" s="4" t="s">
        <v>26</v>
      </c>
      <c r="R736" s="4">
        <v>0</v>
      </c>
      <c r="S736" s="4" t="s">
        <v>194</v>
      </c>
      <c r="T736" s="4" t="s">
        <v>439</v>
      </c>
      <c r="U736" s="4">
        <v>0</v>
      </c>
      <c r="V736" s="4">
        <v>19</v>
      </c>
      <c r="W736" s="4">
        <v>67</v>
      </c>
    </row>
    <row r="737" spans="1:23" ht="11.25" customHeight="1" x14ac:dyDescent="0.25">
      <c r="A737" s="4" t="s">
        <v>28</v>
      </c>
      <c r="B737" s="4" t="s">
        <v>35</v>
      </c>
      <c r="C737" s="4" t="s">
        <v>36</v>
      </c>
      <c r="D737" s="4" t="s">
        <v>45</v>
      </c>
      <c r="E737" s="4" t="s">
        <v>25</v>
      </c>
      <c r="F737" s="4" t="s">
        <v>25</v>
      </c>
      <c r="G737" s="4" t="s">
        <v>25</v>
      </c>
      <c r="H737" s="4" t="s">
        <v>38</v>
      </c>
      <c r="I737" s="5">
        <v>44317</v>
      </c>
      <c r="J737" s="6">
        <v>0</v>
      </c>
      <c r="K737" s="6">
        <v>0</v>
      </c>
      <c r="L737" s="6">
        <v>1611.606</v>
      </c>
      <c r="M737" s="6">
        <v>1611.606</v>
      </c>
      <c r="N737" s="6">
        <v>1611.606</v>
      </c>
      <c r="O737" s="6">
        <v>1611.606</v>
      </c>
      <c r="P737" s="6">
        <v>0</v>
      </c>
      <c r="Q737" s="4" t="s">
        <v>26</v>
      </c>
      <c r="R737" s="4">
        <v>0</v>
      </c>
      <c r="S737" s="4" t="s">
        <v>194</v>
      </c>
      <c r="T737" s="4" t="s">
        <v>439</v>
      </c>
      <c r="U737" s="4">
        <v>0</v>
      </c>
      <c r="V737" s="4">
        <v>19</v>
      </c>
      <c r="W737" s="4">
        <v>67</v>
      </c>
    </row>
    <row r="738" spans="1:23" ht="11.25" customHeight="1" x14ac:dyDescent="0.25">
      <c r="A738" s="4" t="s">
        <v>30</v>
      </c>
      <c r="B738" s="4" t="s">
        <v>35</v>
      </c>
      <c r="C738" s="4" t="s">
        <v>36</v>
      </c>
      <c r="D738" s="4" t="s">
        <v>45</v>
      </c>
      <c r="E738" s="4" t="s">
        <v>25</v>
      </c>
      <c r="F738" s="4" t="s">
        <v>25</v>
      </c>
      <c r="G738" s="4" t="s">
        <v>25</v>
      </c>
      <c r="H738" s="4" t="s">
        <v>38</v>
      </c>
      <c r="I738" s="5">
        <v>44317</v>
      </c>
      <c r="J738" s="6">
        <v>0</v>
      </c>
      <c r="K738" s="6">
        <v>0</v>
      </c>
      <c r="L738" s="6">
        <v>805.21500000000003</v>
      </c>
      <c r="M738" s="6">
        <v>805.21500000000003</v>
      </c>
      <c r="N738" s="6">
        <v>805.21500000000003</v>
      </c>
      <c r="O738" s="6">
        <v>805.21500000000003</v>
      </c>
      <c r="P738" s="6">
        <v>0</v>
      </c>
      <c r="Q738" s="4" t="s">
        <v>26</v>
      </c>
      <c r="R738" s="4">
        <v>0</v>
      </c>
      <c r="S738" s="4" t="s">
        <v>194</v>
      </c>
      <c r="T738" s="4" t="s">
        <v>439</v>
      </c>
      <c r="U738" s="4">
        <v>0</v>
      </c>
      <c r="V738" s="4">
        <v>19</v>
      </c>
      <c r="W738" s="4">
        <v>67</v>
      </c>
    </row>
    <row r="739" spans="1:23" ht="11.25" customHeight="1" x14ac:dyDescent="0.25">
      <c r="A739" s="4" t="s">
        <v>21</v>
      </c>
      <c r="B739" s="4" t="s">
        <v>35</v>
      </c>
      <c r="C739" s="4" t="s">
        <v>36</v>
      </c>
      <c r="D739" s="4" t="s">
        <v>45</v>
      </c>
      <c r="E739" s="4" t="s">
        <v>25</v>
      </c>
      <c r="F739" s="4" t="s">
        <v>25</v>
      </c>
      <c r="G739" s="4" t="s">
        <v>25</v>
      </c>
      <c r="H739" s="4" t="s">
        <v>38</v>
      </c>
      <c r="I739" s="5">
        <v>44317</v>
      </c>
      <c r="J739" s="6">
        <v>0</v>
      </c>
      <c r="K739" s="6">
        <v>0</v>
      </c>
      <c r="L739" s="6">
        <v>115.354</v>
      </c>
      <c r="M739" s="6">
        <v>115.354</v>
      </c>
      <c r="N739" s="6">
        <v>0</v>
      </c>
      <c r="O739" s="6">
        <v>0</v>
      </c>
      <c r="P739" s="6">
        <v>0</v>
      </c>
      <c r="Q739" s="4" t="s">
        <v>60</v>
      </c>
      <c r="R739" s="4">
        <v>0</v>
      </c>
      <c r="S739" s="4" t="s">
        <v>194</v>
      </c>
      <c r="U739" s="4">
        <v>0</v>
      </c>
      <c r="V739" s="4">
        <v>19</v>
      </c>
      <c r="W739" s="4">
        <v>0</v>
      </c>
    </row>
    <row r="740" spans="1:23" ht="11.25" customHeight="1" x14ac:dyDescent="0.25">
      <c r="A740" s="4" t="s">
        <v>21</v>
      </c>
      <c r="B740" s="4" t="s">
        <v>35</v>
      </c>
      <c r="C740" s="4" t="s">
        <v>36</v>
      </c>
      <c r="D740" s="4" t="s">
        <v>45</v>
      </c>
      <c r="E740" s="4" t="s">
        <v>25</v>
      </c>
      <c r="F740" s="4" t="s">
        <v>25</v>
      </c>
      <c r="G740" s="4" t="s">
        <v>25</v>
      </c>
      <c r="H740" s="4" t="s">
        <v>38</v>
      </c>
      <c r="I740" s="5">
        <v>44348</v>
      </c>
      <c r="J740" s="6">
        <v>0</v>
      </c>
      <c r="K740" s="6">
        <v>0</v>
      </c>
      <c r="L740" s="6">
        <v>22187.151999999998</v>
      </c>
      <c r="M740" s="6">
        <v>22187.151999999998</v>
      </c>
      <c r="N740" s="6">
        <v>22187.151999999998</v>
      </c>
      <c r="O740" s="6">
        <v>22187.151999999998</v>
      </c>
      <c r="P740" s="6">
        <v>0</v>
      </c>
      <c r="Q740" s="4" t="s">
        <v>26</v>
      </c>
      <c r="R740" s="4">
        <v>0</v>
      </c>
      <c r="S740" s="4" t="s">
        <v>195</v>
      </c>
      <c r="T740" s="4" t="s">
        <v>440</v>
      </c>
      <c r="U740" s="4">
        <v>0</v>
      </c>
      <c r="V740" s="4">
        <v>19</v>
      </c>
      <c r="W740" s="4">
        <v>67</v>
      </c>
    </row>
    <row r="741" spans="1:23" ht="11.25" customHeight="1" x14ac:dyDescent="0.25">
      <c r="A741" s="4" t="s">
        <v>27</v>
      </c>
      <c r="B741" s="4" t="s">
        <v>35</v>
      </c>
      <c r="C741" s="4" t="s">
        <v>36</v>
      </c>
      <c r="D741" s="4" t="s">
        <v>45</v>
      </c>
      <c r="E741" s="4" t="s">
        <v>25</v>
      </c>
      <c r="F741" s="4" t="s">
        <v>25</v>
      </c>
      <c r="G741" s="4" t="s">
        <v>25</v>
      </c>
      <c r="H741" s="4" t="s">
        <v>38</v>
      </c>
      <c r="I741" s="5">
        <v>44348</v>
      </c>
      <c r="J741" s="6">
        <v>0</v>
      </c>
      <c r="K741" s="6">
        <v>0</v>
      </c>
      <c r="L741" s="6">
        <v>-33.576999999999998</v>
      </c>
      <c r="M741" s="6">
        <v>-33.576999999999998</v>
      </c>
      <c r="N741" s="6">
        <v>-33.576999999999998</v>
      </c>
      <c r="O741" s="6">
        <v>-33.576999999999998</v>
      </c>
      <c r="P741" s="6">
        <v>0</v>
      </c>
      <c r="Q741" s="4" t="s">
        <v>26</v>
      </c>
      <c r="R741" s="4">
        <v>0</v>
      </c>
      <c r="S741" s="4" t="s">
        <v>195</v>
      </c>
      <c r="T741" s="4" t="s">
        <v>440</v>
      </c>
      <c r="U741" s="4">
        <v>0</v>
      </c>
      <c r="V741" s="4">
        <v>19</v>
      </c>
      <c r="W741" s="4">
        <v>67</v>
      </c>
    </row>
    <row r="742" spans="1:23" ht="11.25" customHeight="1" x14ac:dyDescent="0.25">
      <c r="A742" s="4" t="s">
        <v>28</v>
      </c>
      <c r="B742" s="4" t="s">
        <v>35</v>
      </c>
      <c r="C742" s="4" t="s">
        <v>36</v>
      </c>
      <c r="D742" s="4" t="s">
        <v>45</v>
      </c>
      <c r="E742" s="4" t="s">
        <v>25</v>
      </c>
      <c r="F742" s="4" t="s">
        <v>25</v>
      </c>
      <c r="G742" s="4" t="s">
        <v>25</v>
      </c>
      <c r="H742" s="4" t="s">
        <v>38</v>
      </c>
      <c r="I742" s="5">
        <v>44348</v>
      </c>
      <c r="J742" s="6">
        <v>0</v>
      </c>
      <c r="K742" s="6">
        <v>0</v>
      </c>
      <c r="L742" s="6">
        <v>1434.345</v>
      </c>
      <c r="M742" s="6">
        <v>1434.345</v>
      </c>
      <c r="N742" s="6">
        <v>1434.345</v>
      </c>
      <c r="O742" s="6">
        <v>1434.345</v>
      </c>
      <c r="P742" s="6">
        <v>0</v>
      </c>
      <c r="Q742" s="4" t="s">
        <v>26</v>
      </c>
      <c r="R742" s="4">
        <v>0</v>
      </c>
      <c r="S742" s="4" t="s">
        <v>195</v>
      </c>
      <c r="T742" s="4" t="s">
        <v>440</v>
      </c>
      <c r="U742" s="4">
        <v>0</v>
      </c>
      <c r="V742" s="4">
        <v>19</v>
      </c>
      <c r="W742" s="4">
        <v>67</v>
      </c>
    </row>
    <row r="743" spans="1:23" ht="11.25" customHeight="1" x14ac:dyDescent="0.25">
      <c r="A743" s="4" t="s">
        <v>29</v>
      </c>
      <c r="B743" s="4" t="s">
        <v>35</v>
      </c>
      <c r="C743" s="4" t="s">
        <v>36</v>
      </c>
      <c r="D743" s="4" t="s">
        <v>45</v>
      </c>
      <c r="E743" s="4" t="s">
        <v>25</v>
      </c>
      <c r="F743" s="4" t="s">
        <v>25</v>
      </c>
      <c r="G743" s="4" t="s">
        <v>25</v>
      </c>
      <c r="H743" s="4" t="s">
        <v>38</v>
      </c>
      <c r="I743" s="5">
        <v>44348</v>
      </c>
      <c r="J743" s="6">
        <v>0</v>
      </c>
      <c r="K743" s="6">
        <v>0</v>
      </c>
      <c r="L743" s="6">
        <v>-8.1059999999999999</v>
      </c>
      <c r="M743" s="6">
        <v>-8.1059999999999999</v>
      </c>
      <c r="N743" s="6">
        <v>-8.1059999999999999</v>
      </c>
      <c r="O743" s="6">
        <v>-8.1059999999999999</v>
      </c>
      <c r="P743" s="6">
        <v>0</v>
      </c>
      <c r="Q743" s="4" t="s">
        <v>26</v>
      </c>
      <c r="R743" s="4">
        <v>0</v>
      </c>
      <c r="S743" s="4" t="s">
        <v>195</v>
      </c>
      <c r="T743" s="4" t="s">
        <v>440</v>
      </c>
      <c r="U743" s="4">
        <v>0</v>
      </c>
      <c r="V743" s="4">
        <v>19</v>
      </c>
      <c r="W743" s="4">
        <v>67</v>
      </c>
    </row>
    <row r="744" spans="1:23" ht="11.25" customHeight="1" x14ac:dyDescent="0.25">
      <c r="A744" s="4" t="s">
        <v>30</v>
      </c>
      <c r="B744" s="4" t="s">
        <v>35</v>
      </c>
      <c r="C744" s="4" t="s">
        <v>36</v>
      </c>
      <c r="D744" s="4" t="s">
        <v>45</v>
      </c>
      <c r="E744" s="4" t="s">
        <v>25</v>
      </c>
      <c r="F744" s="4" t="s">
        <v>25</v>
      </c>
      <c r="G744" s="4" t="s">
        <v>25</v>
      </c>
      <c r="H744" s="4" t="s">
        <v>38</v>
      </c>
      <c r="I744" s="5">
        <v>44348</v>
      </c>
      <c r="J744" s="6">
        <v>0</v>
      </c>
      <c r="K744" s="6">
        <v>0</v>
      </c>
      <c r="L744" s="6">
        <v>843.98400000000004</v>
      </c>
      <c r="M744" s="6">
        <v>843.98400000000004</v>
      </c>
      <c r="N744" s="6">
        <v>843.98400000000004</v>
      </c>
      <c r="O744" s="6">
        <v>843.98400000000004</v>
      </c>
      <c r="P744" s="6">
        <v>0</v>
      </c>
      <c r="Q744" s="4" t="s">
        <v>26</v>
      </c>
      <c r="R744" s="4">
        <v>0</v>
      </c>
      <c r="S744" s="4" t="s">
        <v>195</v>
      </c>
      <c r="T744" s="4" t="s">
        <v>440</v>
      </c>
      <c r="U744" s="4">
        <v>0</v>
      </c>
      <c r="V744" s="4">
        <v>19</v>
      </c>
      <c r="W744" s="4">
        <v>67</v>
      </c>
    </row>
    <row r="745" spans="1:23" ht="11.25" customHeight="1" x14ac:dyDescent="0.25">
      <c r="A745" s="4" t="s">
        <v>21</v>
      </c>
      <c r="B745" s="4" t="s">
        <v>35</v>
      </c>
      <c r="C745" s="4" t="s">
        <v>36</v>
      </c>
      <c r="D745" s="4" t="s">
        <v>45</v>
      </c>
      <c r="E745" s="4" t="s">
        <v>25</v>
      </c>
      <c r="F745" s="4" t="s">
        <v>25</v>
      </c>
      <c r="G745" s="4" t="s">
        <v>25</v>
      </c>
      <c r="H745" s="4" t="s">
        <v>38</v>
      </c>
      <c r="I745" s="5">
        <v>44348</v>
      </c>
      <c r="J745" s="6">
        <v>0</v>
      </c>
      <c r="K745" s="6">
        <v>0</v>
      </c>
      <c r="L745" s="6">
        <v>73.08</v>
      </c>
      <c r="M745" s="6">
        <v>73.08</v>
      </c>
      <c r="N745" s="6">
        <v>0</v>
      </c>
      <c r="O745" s="6">
        <v>0</v>
      </c>
      <c r="P745" s="6">
        <v>0</v>
      </c>
      <c r="Q745" s="4" t="s">
        <v>60</v>
      </c>
      <c r="R745" s="4">
        <v>0</v>
      </c>
      <c r="S745" s="4" t="s">
        <v>195</v>
      </c>
      <c r="U745" s="4">
        <v>0</v>
      </c>
      <c r="V745" s="4">
        <v>19</v>
      </c>
      <c r="W745" s="4">
        <v>0</v>
      </c>
    </row>
    <row r="746" spans="1:23" ht="11.25" customHeight="1" x14ac:dyDescent="0.25">
      <c r="A746" s="4" t="s">
        <v>21</v>
      </c>
      <c r="B746" s="4" t="s">
        <v>35</v>
      </c>
      <c r="C746" s="4" t="s">
        <v>36</v>
      </c>
      <c r="D746" s="4" t="s">
        <v>45</v>
      </c>
      <c r="E746" s="4" t="s">
        <v>25</v>
      </c>
      <c r="F746" s="4" t="s">
        <v>25</v>
      </c>
      <c r="G746" s="4" t="s">
        <v>25</v>
      </c>
      <c r="H746" s="4" t="s">
        <v>38</v>
      </c>
      <c r="I746" s="5">
        <v>44378</v>
      </c>
      <c r="J746" s="6">
        <v>0</v>
      </c>
      <c r="K746" s="6">
        <v>0</v>
      </c>
      <c r="L746" s="6">
        <v>23023.66</v>
      </c>
      <c r="M746" s="6">
        <v>23023.66</v>
      </c>
      <c r="N746" s="6">
        <v>23023.66</v>
      </c>
      <c r="O746" s="6">
        <v>23023.66</v>
      </c>
      <c r="P746" s="6">
        <v>0</v>
      </c>
      <c r="Q746" s="4" t="s">
        <v>26</v>
      </c>
      <c r="R746" s="4">
        <v>0</v>
      </c>
      <c r="S746" s="4" t="s">
        <v>196</v>
      </c>
      <c r="T746" s="4" t="s">
        <v>441</v>
      </c>
      <c r="U746" s="4">
        <v>0</v>
      </c>
      <c r="V746" s="4">
        <v>19</v>
      </c>
      <c r="W746" s="4">
        <v>67</v>
      </c>
    </row>
    <row r="747" spans="1:23" ht="11.25" customHeight="1" x14ac:dyDescent="0.25">
      <c r="A747" s="4" t="s">
        <v>27</v>
      </c>
      <c r="B747" s="4" t="s">
        <v>35</v>
      </c>
      <c r="C747" s="4" t="s">
        <v>36</v>
      </c>
      <c r="D747" s="4" t="s">
        <v>45</v>
      </c>
      <c r="E747" s="4" t="s">
        <v>25</v>
      </c>
      <c r="F747" s="4" t="s">
        <v>25</v>
      </c>
      <c r="G747" s="4" t="s">
        <v>25</v>
      </c>
      <c r="H747" s="4" t="s">
        <v>38</v>
      </c>
      <c r="I747" s="5">
        <v>44378</v>
      </c>
      <c r="J747" s="6">
        <v>0</v>
      </c>
      <c r="K747" s="6">
        <v>0</v>
      </c>
      <c r="L747" s="6">
        <v>-59.619</v>
      </c>
      <c r="M747" s="6">
        <v>-59.619</v>
      </c>
      <c r="N747" s="6">
        <v>-59.619</v>
      </c>
      <c r="O747" s="6">
        <v>-59.619</v>
      </c>
      <c r="P747" s="6">
        <v>0</v>
      </c>
      <c r="Q747" s="4" t="s">
        <v>26</v>
      </c>
      <c r="R747" s="4">
        <v>0</v>
      </c>
      <c r="S747" s="4" t="s">
        <v>196</v>
      </c>
      <c r="T747" s="4" t="s">
        <v>441</v>
      </c>
      <c r="U747" s="4">
        <v>0</v>
      </c>
      <c r="V747" s="4">
        <v>19</v>
      </c>
      <c r="W747" s="4">
        <v>67</v>
      </c>
    </row>
    <row r="748" spans="1:23" ht="11.25" customHeight="1" x14ac:dyDescent="0.25">
      <c r="A748" s="4" t="s">
        <v>28</v>
      </c>
      <c r="B748" s="4" t="s">
        <v>35</v>
      </c>
      <c r="C748" s="4" t="s">
        <v>36</v>
      </c>
      <c r="D748" s="4" t="s">
        <v>45</v>
      </c>
      <c r="E748" s="4" t="s">
        <v>25</v>
      </c>
      <c r="F748" s="4" t="s">
        <v>25</v>
      </c>
      <c r="G748" s="4" t="s">
        <v>25</v>
      </c>
      <c r="H748" s="4" t="s">
        <v>38</v>
      </c>
      <c r="I748" s="5">
        <v>44378</v>
      </c>
      <c r="J748" s="6">
        <v>0</v>
      </c>
      <c r="K748" s="6">
        <v>0</v>
      </c>
      <c r="L748" s="6">
        <v>1559.309</v>
      </c>
      <c r="M748" s="6">
        <v>1559.309</v>
      </c>
      <c r="N748" s="6">
        <v>1559.309</v>
      </c>
      <c r="O748" s="6">
        <v>1559.309</v>
      </c>
      <c r="P748" s="6">
        <v>0</v>
      </c>
      <c r="Q748" s="4" t="s">
        <v>26</v>
      </c>
      <c r="R748" s="4">
        <v>0</v>
      </c>
      <c r="S748" s="4" t="s">
        <v>196</v>
      </c>
      <c r="T748" s="4" t="s">
        <v>441</v>
      </c>
      <c r="U748" s="4">
        <v>0</v>
      </c>
      <c r="V748" s="4">
        <v>19</v>
      </c>
      <c r="W748" s="4">
        <v>67</v>
      </c>
    </row>
    <row r="749" spans="1:23" ht="11.25" customHeight="1" x14ac:dyDescent="0.25">
      <c r="A749" s="4" t="s">
        <v>29</v>
      </c>
      <c r="B749" s="4" t="s">
        <v>35</v>
      </c>
      <c r="C749" s="4" t="s">
        <v>36</v>
      </c>
      <c r="D749" s="4" t="s">
        <v>45</v>
      </c>
      <c r="E749" s="4" t="s">
        <v>25</v>
      </c>
      <c r="F749" s="4" t="s">
        <v>25</v>
      </c>
      <c r="G749" s="4" t="s">
        <v>25</v>
      </c>
      <c r="H749" s="4" t="s">
        <v>38</v>
      </c>
      <c r="I749" s="5">
        <v>44378</v>
      </c>
      <c r="J749" s="6">
        <v>0</v>
      </c>
      <c r="K749" s="6">
        <v>0</v>
      </c>
      <c r="L749" s="6">
        <v>81.710999999999999</v>
      </c>
      <c r="M749" s="6">
        <v>81.710999999999999</v>
      </c>
      <c r="N749" s="6">
        <v>81.710999999999999</v>
      </c>
      <c r="O749" s="6">
        <v>81.710999999999999</v>
      </c>
      <c r="P749" s="6">
        <v>0</v>
      </c>
      <c r="Q749" s="4" t="s">
        <v>26</v>
      </c>
      <c r="R749" s="4">
        <v>0</v>
      </c>
      <c r="S749" s="4" t="s">
        <v>196</v>
      </c>
      <c r="T749" s="4" t="s">
        <v>441</v>
      </c>
      <c r="U749" s="4">
        <v>0</v>
      </c>
      <c r="V749" s="4">
        <v>19</v>
      </c>
      <c r="W749" s="4">
        <v>67</v>
      </c>
    </row>
    <row r="750" spans="1:23" ht="11.25" customHeight="1" x14ac:dyDescent="0.25">
      <c r="A750" s="4" t="s">
        <v>30</v>
      </c>
      <c r="B750" s="4" t="s">
        <v>35</v>
      </c>
      <c r="C750" s="4" t="s">
        <v>36</v>
      </c>
      <c r="D750" s="4" t="s">
        <v>45</v>
      </c>
      <c r="E750" s="4" t="s">
        <v>25</v>
      </c>
      <c r="F750" s="4" t="s">
        <v>25</v>
      </c>
      <c r="G750" s="4" t="s">
        <v>25</v>
      </c>
      <c r="H750" s="4" t="s">
        <v>38</v>
      </c>
      <c r="I750" s="5">
        <v>44378</v>
      </c>
      <c r="J750" s="6">
        <v>0</v>
      </c>
      <c r="K750" s="6">
        <v>0</v>
      </c>
      <c r="L750" s="6">
        <v>872.72299999999996</v>
      </c>
      <c r="M750" s="6">
        <v>872.72299999999996</v>
      </c>
      <c r="N750" s="6">
        <v>872.72299999999996</v>
      </c>
      <c r="O750" s="6">
        <v>872.72299999999996</v>
      </c>
      <c r="P750" s="6">
        <v>0</v>
      </c>
      <c r="Q750" s="4" t="s">
        <v>26</v>
      </c>
      <c r="R750" s="4">
        <v>0</v>
      </c>
      <c r="S750" s="4" t="s">
        <v>196</v>
      </c>
      <c r="T750" s="4" t="s">
        <v>441</v>
      </c>
      <c r="U750" s="4">
        <v>0</v>
      </c>
      <c r="V750" s="4">
        <v>19</v>
      </c>
      <c r="W750" s="4">
        <v>67</v>
      </c>
    </row>
    <row r="751" spans="1:23" ht="11.25" customHeight="1" x14ac:dyDescent="0.25">
      <c r="A751" s="4" t="s">
        <v>30</v>
      </c>
      <c r="B751" s="4" t="s">
        <v>35</v>
      </c>
      <c r="C751" s="4" t="s">
        <v>36</v>
      </c>
      <c r="D751" s="4" t="s">
        <v>45</v>
      </c>
      <c r="E751" s="4" t="s">
        <v>25</v>
      </c>
      <c r="F751" s="4" t="s">
        <v>25</v>
      </c>
      <c r="G751" s="4" t="s">
        <v>25</v>
      </c>
      <c r="H751" s="4" t="s">
        <v>38</v>
      </c>
      <c r="I751" s="5">
        <v>44378</v>
      </c>
      <c r="J751" s="6">
        <v>0</v>
      </c>
      <c r="K751" s="6">
        <v>0</v>
      </c>
      <c r="L751" s="6">
        <v>-32.326999999999998</v>
      </c>
      <c r="M751" s="6">
        <v>-32.326999999999998</v>
      </c>
      <c r="N751" s="6">
        <v>-32.326999999999998</v>
      </c>
      <c r="O751" s="6">
        <v>-32.326999999999998</v>
      </c>
      <c r="P751" s="6">
        <v>0</v>
      </c>
      <c r="Q751" s="4" t="s">
        <v>26</v>
      </c>
      <c r="R751" s="4">
        <v>0</v>
      </c>
      <c r="S751" s="4" t="s">
        <v>196</v>
      </c>
      <c r="T751" s="4" t="s">
        <v>441</v>
      </c>
      <c r="U751" s="4">
        <v>0</v>
      </c>
      <c r="V751" s="4">
        <v>19</v>
      </c>
      <c r="W751" s="4">
        <v>67</v>
      </c>
    </row>
    <row r="752" spans="1:23" ht="11.25" customHeight="1" x14ac:dyDescent="0.25">
      <c r="A752" s="4" t="s">
        <v>21</v>
      </c>
      <c r="B752" s="4" t="s">
        <v>35</v>
      </c>
      <c r="C752" s="4" t="s">
        <v>36</v>
      </c>
      <c r="D752" s="4" t="s">
        <v>45</v>
      </c>
      <c r="E752" s="4" t="s">
        <v>25</v>
      </c>
      <c r="F752" s="4" t="s">
        <v>25</v>
      </c>
      <c r="G752" s="4" t="s">
        <v>25</v>
      </c>
      <c r="H752" s="4" t="s">
        <v>38</v>
      </c>
      <c r="I752" s="5">
        <v>44378</v>
      </c>
      <c r="J752" s="6">
        <v>0</v>
      </c>
      <c r="K752" s="6">
        <v>0</v>
      </c>
      <c r="L752" s="6">
        <v>113.667</v>
      </c>
      <c r="M752" s="6">
        <v>113.667</v>
      </c>
      <c r="N752" s="6">
        <v>0</v>
      </c>
      <c r="O752" s="6">
        <v>0</v>
      </c>
      <c r="P752" s="6">
        <v>0</v>
      </c>
      <c r="Q752" s="4" t="s">
        <v>60</v>
      </c>
      <c r="R752" s="4">
        <v>0</v>
      </c>
      <c r="S752" s="4" t="s">
        <v>196</v>
      </c>
      <c r="U752" s="4">
        <v>0</v>
      </c>
      <c r="V752" s="4">
        <v>19</v>
      </c>
      <c r="W752" s="4">
        <v>0</v>
      </c>
    </row>
    <row r="753" spans="1:23" ht="11.25" customHeight="1" x14ac:dyDescent="0.25">
      <c r="A753" s="4" t="s">
        <v>21</v>
      </c>
      <c r="B753" s="4" t="s">
        <v>35</v>
      </c>
      <c r="C753" s="4" t="s">
        <v>36</v>
      </c>
      <c r="D753" s="4" t="s">
        <v>45</v>
      </c>
      <c r="E753" s="4" t="s">
        <v>25</v>
      </c>
      <c r="F753" s="4" t="s">
        <v>25</v>
      </c>
      <c r="G753" s="4" t="s">
        <v>25</v>
      </c>
      <c r="H753" s="4" t="s">
        <v>38</v>
      </c>
      <c r="I753" s="5">
        <v>44409</v>
      </c>
      <c r="J753" s="6">
        <v>0</v>
      </c>
      <c r="K753" s="6">
        <v>0</v>
      </c>
      <c r="L753" s="6">
        <v>24700.725999999999</v>
      </c>
      <c r="M753" s="6">
        <v>24700.725999999999</v>
      </c>
      <c r="N753" s="6">
        <v>24700.725999999999</v>
      </c>
      <c r="O753" s="6">
        <v>24700.725999999999</v>
      </c>
      <c r="P753" s="6">
        <v>0</v>
      </c>
      <c r="Q753" s="4" t="s">
        <v>26</v>
      </c>
      <c r="R753" s="4">
        <v>0</v>
      </c>
      <c r="S753" s="4" t="s">
        <v>197</v>
      </c>
      <c r="T753" s="4" t="s">
        <v>442</v>
      </c>
      <c r="U753" s="4">
        <v>0</v>
      </c>
      <c r="V753" s="4">
        <v>19</v>
      </c>
      <c r="W753" s="4">
        <v>67</v>
      </c>
    </row>
    <row r="754" spans="1:23" ht="11.25" customHeight="1" x14ac:dyDescent="0.25">
      <c r="A754" s="4" t="s">
        <v>27</v>
      </c>
      <c r="B754" s="4" t="s">
        <v>35</v>
      </c>
      <c r="C754" s="4" t="s">
        <v>36</v>
      </c>
      <c r="D754" s="4" t="s">
        <v>45</v>
      </c>
      <c r="E754" s="4" t="s">
        <v>25</v>
      </c>
      <c r="F754" s="4" t="s">
        <v>25</v>
      </c>
      <c r="G754" s="4" t="s">
        <v>25</v>
      </c>
      <c r="H754" s="4" t="s">
        <v>38</v>
      </c>
      <c r="I754" s="5">
        <v>44409</v>
      </c>
      <c r="J754" s="6">
        <v>0</v>
      </c>
      <c r="K754" s="6">
        <v>0</v>
      </c>
      <c r="L754" s="6">
        <v>22808.315999999999</v>
      </c>
      <c r="M754" s="6">
        <v>22808.315999999999</v>
      </c>
      <c r="N754" s="6">
        <v>22808.315999999999</v>
      </c>
      <c r="O754" s="6">
        <v>22808.315999999999</v>
      </c>
      <c r="P754" s="6">
        <v>0</v>
      </c>
      <c r="Q754" s="4" t="s">
        <v>26</v>
      </c>
      <c r="R754" s="4">
        <v>0</v>
      </c>
      <c r="S754" s="4" t="s">
        <v>197</v>
      </c>
      <c r="T754" s="4" t="s">
        <v>442</v>
      </c>
      <c r="U754" s="4">
        <v>0</v>
      </c>
      <c r="V754" s="4">
        <v>19</v>
      </c>
      <c r="W754" s="4">
        <v>67</v>
      </c>
    </row>
    <row r="755" spans="1:23" ht="11.25" customHeight="1" x14ac:dyDescent="0.25">
      <c r="A755" s="4" t="s">
        <v>28</v>
      </c>
      <c r="B755" s="4" t="s">
        <v>35</v>
      </c>
      <c r="C755" s="4" t="s">
        <v>36</v>
      </c>
      <c r="D755" s="4" t="s">
        <v>45</v>
      </c>
      <c r="E755" s="4" t="s">
        <v>25</v>
      </c>
      <c r="F755" s="4" t="s">
        <v>25</v>
      </c>
      <c r="G755" s="4" t="s">
        <v>25</v>
      </c>
      <c r="H755" s="4" t="s">
        <v>38</v>
      </c>
      <c r="I755" s="5">
        <v>44409</v>
      </c>
      <c r="J755" s="6">
        <v>0</v>
      </c>
      <c r="K755" s="6">
        <v>0</v>
      </c>
      <c r="L755" s="6">
        <v>1806.8689999999999</v>
      </c>
      <c r="M755" s="6">
        <v>1806.8689999999999</v>
      </c>
      <c r="N755" s="6">
        <v>1806.8689999999999</v>
      </c>
      <c r="O755" s="6">
        <v>1806.8689999999999</v>
      </c>
      <c r="P755" s="6">
        <v>0</v>
      </c>
      <c r="Q755" s="4" t="s">
        <v>26</v>
      </c>
      <c r="R755" s="4">
        <v>0</v>
      </c>
      <c r="S755" s="4" t="s">
        <v>197</v>
      </c>
      <c r="T755" s="4" t="s">
        <v>442</v>
      </c>
      <c r="U755" s="4">
        <v>0</v>
      </c>
      <c r="V755" s="4">
        <v>19</v>
      </c>
      <c r="W755" s="4">
        <v>67</v>
      </c>
    </row>
    <row r="756" spans="1:23" ht="11.25" customHeight="1" x14ac:dyDescent="0.25">
      <c r="A756" s="4" t="s">
        <v>30</v>
      </c>
      <c r="B756" s="4" t="s">
        <v>35</v>
      </c>
      <c r="C756" s="4" t="s">
        <v>36</v>
      </c>
      <c r="D756" s="4" t="s">
        <v>45</v>
      </c>
      <c r="E756" s="4" t="s">
        <v>25</v>
      </c>
      <c r="F756" s="4" t="s">
        <v>25</v>
      </c>
      <c r="G756" s="4" t="s">
        <v>25</v>
      </c>
      <c r="H756" s="4" t="s">
        <v>38</v>
      </c>
      <c r="I756" s="5">
        <v>44409</v>
      </c>
      <c r="J756" s="6">
        <v>0</v>
      </c>
      <c r="K756" s="6">
        <v>0</v>
      </c>
      <c r="L756" s="6">
        <v>905.57799999999997</v>
      </c>
      <c r="M756" s="6">
        <v>905.57799999999997</v>
      </c>
      <c r="N756" s="6">
        <v>905.57799999999997</v>
      </c>
      <c r="O756" s="6">
        <v>905.57799999999997</v>
      </c>
      <c r="P756" s="6">
        <v>0</v>
      </c>
      <c r="Q756" s="4" t="s">
        <v>26</v>
      </c>
      <c r="R756" s="4">
        <v>0</v>
      </c>
      <c r="S756" s="4" t="s">
        <v>197</v>
      </c>
      <c r="T756" s="4" t="s">
        <v>442</v>
      </c>
      <c r="U756" s="4">
        <v>0</v>
      </c>
      <c r="V756" s="4">
        <v>19</v>
      </c>
      <c r="W756" s="4">
        <v>67</v>
      </c>
    </row>
    <row r="757" spans="1:23" ht="11.25" customHeight="1" x14ac:dyDescent="0.25">
      <c r="A757" s="4" t="s">
        <v>30</v>
      </c>
      <c r="B757" s="4" t="s">
        <v>35</v>
      </c>
      <c r="C757" s="4" t="s">
        <v>36</v>
      </c>
      <c r="D757" s="4" t="s">
        <v>45</v>
      </c>
      <c r="E757" s="4" t="s">
        <v>25</v>
      </c>
      <c r="F757" s="4" t="s">
        <v>25</v>
      </c>
      <c r="G757" s="4" t="s">
        <v>25</v>
      </c>
      <c r="H757" s="4" t="s">
        <v>38</v>
      </c>
      <c r="I757" s="5">
        <v>44409</v>
      </c>
      <c r="J757" s="6">
        <v>0</v>
      </c>
      <c r="K757" s="6">
        <v>0</v>
      </c>
      <c r="L757" s="6">
        <v>-1E-3</v>
      </c>
      <c r="M757" s="6">
        <v>-1E-3</v>
      </c>
      <c r="N757" s="6">
        <v>-1E-3</v>
      </c>
      <c r="O757" s="6">
        <v>-1E-3</v>
      </c>
      <c r="P757" s="6">
        <v>0</v>
      </c>
      <c r="Q757" s="4" t="s">
        <v>26</v>
      </c>
      <c r="R757" s="4">
        <v>0</v>
      </c>
      <c r="S757" s="4" t="s">
        <v>197</v>
      </c>
      <c r="T757" s="4" t="s">
        <v>442</v>
      </c>
      <c r="U757" s="4">
        <v>0</v>
      </c>
      <c r="V757" s="4">
        <v>19</v>
      </c>
      <c r="W757" s="4">
        <v>67</v>
      </c>
    </row>
    <row r="758" spans="1:23" ht="11.25" customHeight="1" x14ac:dyDescent="0.25">
      <c r="A758" s="4" t="s">
        <v>21</v>
      </c>
      <c r="B758" s="4" t="s">
        <v>35</v>
      </c>
      <c r="C758" s="4" t="s">
        <v>36</v>
      </c>
      <c r="D758" s="4" t="s">
        <v>45</v>
      </c>
      <c r="E758" s="4" t="s">
        <v>25</v>
      </c>
      <c r="F758" s="4" t="s">
        <v>25</v>
      </c>
      <c r="G758" s="4" t="s">
        <v>25</v>
      </c>
      <c r="H758" s="4" t="s">
        <v>38</v>
      </c>
      <c r="I758" s="5">
        <v>44409</v>
      </c>
      <c r="J758" s="6">
        <v>0</v>
      </c>
      <c r="K758" s="6">
        <v>0</v>
      </c>
      <c r="L758" s="6">
        <v>127.48</v>
      </c>
      <c r="M758" s="6">
        <v>127.48</v>
      </c>
      <c r="N758" s="6">
        <v>0</v>
      </c>
      <c r="O758" s="6">
        <v>0</v>
      </c>
      <c r="P758" s="6">
        <v>0</v>
      </c>
      <c r="Q758" s="4" t="s">
        <v>60</v>
      </c>
      <c r="R758" s="4">
        <v>0</v>
      </c>
      <c r="S758" s="4" t="s">
        <v>197</v>
      </c>
      <c r="U758" s="4">
        <v>0</v>
      </c>
      <c r="V758" s="4">
        <v>19</v>
      </c>
      <c r="W758" s="4">
        <v>0</v>
      </c>
    </row>
    <row r="759" spans="1:23" ht="11.25" customHeight="1" x14ac:dyDescent="0.25">
      <c r="A759" s="4" t="s">
        <v>21</v>
      </c>
      <c r="B759" s="4" t="s">
        <v>35</v>
      </c>
      <c r="C759" s="4" t="s">
        <v>36</v>
      </c>
      <c r="D759" s="4" t="s">
        <v>45</v>
      </c>
      <c r="E759" s="4" t="s">
        <v>25</v>
      </c>
      <c r="F759" s="4" t="s">
        <v>25</v>
      </c>
      <c r="G759" s="4" t="s">
        <v>25</v>
      </c>
      <c r="H759" s="4" t="s">
        <v>38</v>
      </c>
      <c r="I759" s="5">
        <v>44440</v>
      </c>
      <c r="J759" s="6">
        <v>0</v>
      </c>
      <c r="K759" s="6">
        <v>0</v>
      </c>
      <c r="L759" s="6">
        <v>24012.271000000001</v>
      </c>
      <c r="M759" s="6">
        <v>24012.271000000001</v>
      </c>
      <c r="N759" s="6">
        <v>24012.271000000001</v>
      </c>
      <c r="O759" s="6">
        <v>24012.271000000001</v>
      </c>
      <c r="P759" s="6">
        <v>0</v>
      </c>
      <c r="Q759" s="4" t="s">
        <v>26</v>
      </c>
      <c r="R759" s="4">
        <v>0</v>
      </c>
      <c r="S759" s="4" t="s">
        <v>198</v>
      </c>
      <c r="T759" s="4" t="s">
        <v>443</v>
      </c>
      <c r="U759" s="4">
        <v>0</v>
      </c>
      <c r="V759" s="4">
        <v>19</v>
      </c>
      <c r="W759" s="4">
        <v>67</v>
      </c>
    </row>
    <row r="760" spans="1:23" ht="11.25" customHeight="1" x14ac:dyDescent="0.25">
      <c r="A760" s="4" t="s">
        <v>27</v>
      </c>
      <c r="B760" s="4" t="s">
        <v>35</v>
      </c>
      <c r="C760" s="4" t="s">
        <v>36</v>
      </c>
      <c r="D760" s="4" t="s">
        <v>45</v>
      </c>
      <c r="E760" s="4" t="s">
        <v>25</v>
      </c>
      <c r="F760" s="4" t="s">
        <v>25</v>
      </c>
      <c r="G760" s="4" t="s">
        <v>25</v>
      </c>
      <c r="H760" s="4" t="s">
        <v>38</v>
      </c>
      <c r="I760" s="5">
        <v>44440</v>
      </c>
      <c r="J760" s="6">
        <v>0</v>
      </c>
      <c r="K760" s="6">
        <v>0</v>
      </c>
      <c r="L760" s="6">
        <v>-39.322000000000003</v>
      </c>
      <c r="M760" s="6">
        <v>-39.322000000000003</v>
      </c>
      <c r="N760" s="6">
        <v>-39.322000000000003</v>
      </c>
      <c r="O760" s="6">
        <v>-39.322000000000003</v>
      </c>
      <c r="P760" s="6">
        <v>0</v>
      </c>
      <c r="Q760" s="4" t="s">
        <v>26</v>
      </c>
      <c r="R760" s="4">
        <v>0</v>
      </c>
      <c r="S760" s="4" t="s">
        <v>198</v>
      </c>
      <c r="T760" s="4" t="s">
        <v>443</v>
      </c>
      <c r="U760" s="4">
        <v>0</v>
      </c>
      <c r="V760" s="4">
        <v>19</v>
      </c>
      <c r="W760" s="4">
        <v>67</v>
      </c>
    </row>
    <row r="761" spans="1:23" ht="11.25" customHeight="1" x14ac:dyDescent="0.25">
      <c r="A761" s="4" t="s">
        <v>28</v>
      </c>
      <c r="B761" s="4" t="s">
        <v>35</v>
      </c>
      <c r="C761" s="4" t="s">
        <v>36</v>
      </c>
      <c r="D761" s="4" t="s">
        <v>45</v>
      </c>
      <c r="E761" s="4" t="s">
        <v>25</v>
      </c>
      <c r="F761" s="4" t="s">
        <v>25</v>
      </c>
      <c r="G761" s="4" t="s">
        <v>25</v>
      </c>
      <c r="H761" s="4" t="s">
        <v>38</v>
      </c>
      <c r="I761" s="5">
        <v>44440</v>
      </c>
      <c r="J761" s="6">
        <v>0</v>
      </c>
      <c r="K761" s="6">
        <v>0</v>
      </c>
      <c r="L761" s="6">
        <v>1914.962</v>
      </c>
      <c r="M761" s="6">
        <v>1914.962</v>
      </c>
      <c r="N761" s="6">
        <v>1914.962</v>
      </c>
      <c r="O761" s="6">
        <v>1914.962</v>
      </c>
      <c r="P761" s="6">
        <v>0</v>
      </c>
      <c r="Q761" s="4" t="s">
        <v>26</v>
      </c>
      <c r="R761" s="4">
        <v>0</v>
      </c>
      <c r="S761" s="4" t="s">
        <v>198</v>
      </c>
      <c r="T761" s="4" t="s">
        <v>443</v>
      </c>
      <c r="U761" s="4">
        <v>0</v>
      </c>
      <c r="V761" s="4">
        <v>19</v>
      </c>
      <c r="W761" s="4">
        <v>67</v>
      </c>
    </row>
    <row r="762" spans="1:23" ht="11.25" customHeight="1" x14ac:dyDescent="0.25">
      <c r="A762" s="4" t="s">
        <v>30</v>
      </c>
      <c r="B762" s="4" t="s">
        <v>35</v>
      </c>
      <c r="C762" s="4" t="s">
        <v>36</v>
      </c>
      <c r="D762" s="4" t="s">
        <v>45</v>
      </c>
      <c r="E762" s="4" t="s">
        <v>25</v>
      </c>
      <c r="F762" s="4" t="s">
        <v>25</v>
      </c>
      <c r="G762" s="4" t="s">
        <v>25</v>
      </c>
      <c r="H762" s="4" t="s">
        <v>38</v>
      </c>
      <c r="I762" s="5">
        <v>44440</v>
      </c>
      <c r="J762" s="6">
        <v>0</v>
      </c>
      <c r="K762" s="6">
        <v>0</v>
      </c>
      <c r="L762" s="6">
        <v>910.15099999999995</v>
      </c>
      <c r="M762" s="6">
        <v>910.15099999999995</v>
      </c>
      <c r="N762" s="6">
        <v>910.15099999999995</v>
      </c>
      <c r="O762" s="6">
        <v>910.15099999999995</v>
      </c>
      <c r="P762" s="6">
        <v>0</v>
      </c>
      <c r="Q762" s="4" t="s">
        <v>26</v>
      </c>
      <c r="R762" s="4">
        <v>0</v>
      </c>
      <c r="S762" s="4" t="s">
        <v>198</v>
      </c>
      <c r="T762" s="4" t="s">
        <v>443</v>
      </c>
      <c r="U762" s="4">
        <v>0</v>
      </c>
      <c r="V762" s="4">
        <v>19</v>
      </c>
      <c r="W762" s="4">
        <v>67</v>
      </c>
    </row>
    <row r="763" spans="1:23" ht="11.25" customHeight="1" x14ac:dyDescent="0.25">
      <c r="A763" s="4" t="s">
        <v>21</v>
      </c>
      <c r="B763" s="4" t="s">
        <v>35</v>
      </c>
      <c r="C763" s="4" t="s">
        <v>36</v>
      </c>
      <c r="D763" s="4" t="s">
        <v>45</v>
      </c>
      <c r="E763" s="4" t="s">
        <v>25</v>
      </c>
      <c r="F763" s="4" t="s">
        <v>25</v>
      </c>
      <c r="G763" s="4" t="s">
        <v>25</v>
      </c>
      <c r="H763" s="4" t="s">
        <v>38</v>
      </c>
      <c r="I763" s="5">
        <v>44440</v>
      </c>
      <c r="J763" s="6">
        <v>0</v>
      </c>
      <c r="K763" s="6">
        <v>0</v>
      </c>
      <c r="L763" s="6">
        <v>128.90899999999999</v>
      </c>
      <c r="M763" s="6">
        <v>128.90899999999999</v>
      </c>
      <c r="N763" s="6">
        <v>0</v>
      </c>
      <c r="O763" s="6">
        <v>0</v>
      </c>
      <c r="P763" s="6">
        <v>0</v>
      </c>
      <c r="Q763" s="4" t="s">
        <v>60</v>
      </c>
      <c r="R763" s="4">
        <v>0</v>
      </c>
      <c r="S763" s="4" t="s">
        <v>198</v>
      </c>
      <c r="U763" s="4">
        <v>0</v>
      </c>
      <c r="V763" s="4">
        <v>19</v>
      </c>
      <c r="W763" s="4">
        <v>0</v>
      </c>
    </row>
    <row r="764" spans="1:23" ht="11.25" customHeight="1" x14ac:dyDescent="0.25">
      <c r="A764" s="4" t="s">
        <v>59</v>
      </c>
      <c r="B764" s="4" t="s">
        <v>35</v>
      </c>
      <c r="C764" s="4" t="s">
        <v>36</v>
      </c>
      <c r="D764" s="4" t="s">
        <v>45</v>
      </c>
      <c r="E764" s="4" t="s">
        <v>25</v>
      </c>
      <c r="F764" s="4" t="s">
        <v>25</v>
      </c>
      <c r="G764" s="4" t="s">
        <v>25</v>
      </c>
      <c r="H764" s="4" t="s">
        <v>38</v>
      </c>
      <c r="I764" s="5">
        <v>44470</v>
      </c>
      <c r="J764" s="6">
        <v>0</v>
      </c>
      <c r="K764" s="6">
        <v>0</v>
      </c>
      <c r="L764" s="6">
        <v>24012.271000000001</v>
      </c>
      <c r="M764" s="6">
        <v>24012.271000000001</v>
      </c>
      <c r="N764" s="6">
        <v>24012.271000000001</v>
      </c>
      <c r="O764" s="6">
        <v>24012.271000000001</v>
      </c>
      <c r="P764" s="6">
        <v>0</v>
      </c>
      <c r="Q764" s="4" t="s">
        <v>26</v>
      </c>
      <c r="R764" s="4">
        <v>0</v>
      </c>
      <c r="S764" s="4" t="s">
        <v>199</v>
      </c>
      <c r="T764" s="4" t="s">
        <v>444</v>
      </c>
      <c r="U764" s="4">
        <v>0</v>
      </c>
      <c r="V764" s="4">
        <v>19</v>
      </c>
      <c r="W764" s="4">
        <v>67</v>
      </c>
    </row>
    <row r="765" spans="1:23" ht="11.25" customHeight="1" x14ac:dyDescent="0.25">
      <c r="A765" s="4" t="s">
        <v>59</v>
      </c>
      <c r="B765" s="4" t="s">
        <v>35</v>
      </c>
      <c r="C765" s="4" t="s">
        <v>36</v>
      </c>
      <c r="D765" s="4" t="s">
        <v>45</v>
      </c>
      <c r="E765" s="4" t="s">
        <v>25</v>
      </c>
      <c r="F765" s="4" t="s">
        <v>25</v>
      </c>
      <c r="G765" s="4" t="s">
        <v>25</v>
      </c>
      <c r="H765" s="4" t="s">
        <v>38</v>
      </c>
      <c r="I765" s="5">
        <v>44470</v>
      </c>
      <c r="J765" s="6">
        <v>0</v>
      </c>
      <c r="K765" s="6">
        <v>0</v>
      </c>
      <c r="L765" s="6">
        <v>-39.322000000000003</v>
      </c>
      <c r="M765" s="6">
        <v>-39.322000000000003</v>
      </c>
      <c r="N765" s="6">
        <v>-39.322000000000003</v>
      </c>
      <c r="O765" s="6">
        <v>-39.322000000000003</v>
      </c>
      <c r="P765" s="6">
        <v>0</v>
      </c>
      <c r="Q765" s="4" t="s">
        <v>26</v>
      </c>
      <c r="R765" s="4">
        <v>0</v>
      </c>
      <c r="S765" s="4" t="s">
        <v>199</v>
      </c>
      <c r="T765" s="4" t="s">
        <v>444</v>
      </c>
      <c r="U765" s="4">
        <v>0</v>
      </c>
      <c r="V765" s="4">
        <v>19</v>
      </c>
      <c r="W765" s="4">
        <v>67</v>
      </c>
    </row>
    <row r="766" spans="1:23" ht="11.25" customHeight="1" x14ac:dyDescent="0.25">
      <c r="A766" s="4" t="s">
        <v>59</v>
      </c>
      <c r="B766" s="4" t="s">
        <v>35</v>
      </c>
      <c r="C766" s="4" t="s">
        <v>36</v>
      </c>
      <c r="D766" s="4" t="s">
        <v>45</v>
      </c>
      <c r="E766" s="4" t="s">
        <v>25</v>
      </c>
      <c r="F766" s="4" t="s">
        <v>25</v>
      </c>
      <c r="G766" s="4" t="s">
        <v>25</v>
      </c>
      <c r="H766" s="4" t="s">
        <v>38</v>
      </c>
      <c r="I766" s="5">
        <v>44470</v>
      </c>
      <c r="J766" s="6">
        <v>0</v>
      </c>
      <c r="K766" s="6">
        <v>0</v>
      </c>
      <c r="L766" s="6">
        <v>1914.962</v>
      </c>
      <c r="M766" s="6">
        <v>1914.962</v>
      </c>
      <c r="N766" s="6">
        <v>1914.962</v>
      </c>
      <c r="O766" s="6">
        <v>1914.962</v>
      </c>
      <c r="P766" s="6">
        <v>0</v>
      </c>
      <c r="Q766" s="4" t="s">
        <v>26</v>
      </c>
      <c r="R766" s="4">
        <v>0</v>
      </c>
      <c r="S766" s="4" t="s">
        <v>199</v>
      </c>
      <c r="T766" s="4" t="s">
        <v>444</v>
      </c>
      <c r="U766" s="4">
        <v>0</v>
      </c>
      <c r="V766" s="4">
        <v>19</v>
      </c>
      <c r="W766" s="4">
        <v>67</v>
      </c>
    </row>
    <row r="767" spans="1:23" ht="11.25" customHeight="1" x14ac:dyDescent="0.25">
      <c r="A767" s="4" t="s">
        <v>59</v>
      </c>
      <c r="B767" s="4" t="s">
        <v>35</v>
      </c>
      <c r="C767" s="4" t="s">
        <v>36</v>
      </c>
      <c r="D767" s="4" t="s">
        <v>45</v>
      </c>
      <c r="E767" s="4" t="s">
        <v>25</v>
      </c>
      <c r="F767" s="4" t="s">
        <v>25</v>
      </c>
      <c r="G767" s="4" t="s">
        <v>25</v>
      </c>
      <c r="H767" s="4" t="s">
        <v>38</v>
      </c>
      <c r="I767" s="5">
        <v>44470</v>
      </c>
      <c r="J767" s="6">
        <v>0</v>
      </c>
      <c r="K767" s="6">
        <v>0</v>
      </c>
      <c r="L767" s="6">
        <v>910.15099999999995</v>
      </c>
      <c r="M767" s="6">
        <v>910.15099999999995</v>
      </c>
      <c r="N767" s="6">
        <v>910.15099999999995</v>
      </c>
      <c r="O767" s="6">
        <v>910.15099999999995</v>
      </c>
      <c r="P767" s="6">
        <v>0</v>
      </c>
      <c r="Q767" s="4" t="s">
        <v>26</v>
      </c>
      <c r="R767" s="4">
        <v>0</v>
      </c>
      <c r="S767" s="4" t="s">
        <v>199</v>
      </c>
      <c r="T767" s="4" t="s">
        <v>444</v>
      </c>
      <c r="U767" s="4">
        <v>0</v>
      </c>
      <c r="V767" s="4">
        <v>19</v>
      </c>
      <c r="W767" s="4">
        <v>67</v>
      </c>
    </row>
    <row r="768" spans="1:23" ht="11.25" customHeight="1" x14ac:dyDescent="0.25">
      <c r="A768" s="4" t="s">
        <v>59</v>
      </c>
      <c r="B768" s="4" t="s">
        <v>35</v>
      </c>
      <c r="C768" s="4" t="s">
        <v>36</v>
      </c>
      <c r="D768" s="4" t="s">
        <v>45</v>
      </c>
      <c r="E768" s="4" t="s">
        <v>25</v>
      </c>
      <c r="F768" s="4" t="s">
        <v>25</v>
      </c>
      <c r="G768" s="4" t="s">
        <v>25</v>
      </c>
      <c r="H768" s="4" t="s">
        <v>38</v>
      </c>
      <c r="I768" s="5">
        <v>44470</v>
      </c>
      <c r="J768" s="6">
        <v>0</v>
      </c>
      <c r="K768" s="6">
        <v>0</v>
      </c>
      <c r="L768" s="6">
        <v>128.90899999999999</v>
      </c>
      <c r="M768" s="6">
        <v>128.90899999999999</v>
      </c>
      <c r="N768" s="6">
        <v>0</v>
      </c>
      <c r="O768" s="6">
        <v>0</v>
      </c>
      <c r="P768" s="6">
        <v>0</v>
      </c>
      <c r="Q768" s="4" t="s">
        <v>60</v>
      </c>
      <c r="R768" s="4">
        <v>0</v>
      </c>
      <c r="S768" s="4" t="s">
        <v>199</v>
      </c>
      <c r="U768" s="4">
        <v>0</v>
      </c>
      <c r="V768" s="4">
        <v>19</v>
      </c>
      <c r="W768" s="4">
        <v>0</v>
      </c>
    </row>
    <row r="769" spans="1:23" ht="11.25" customHeight="1" x14ac:dyDescent="0.25">
      <c r="A769" s="4" t="s">
        <v>21</v>
      </c>
      <c r="B769" s="4" t="s">
        <v>35</v>
      </c>
      <c r="C769" s="4" t="s">
        <v>36</v>
      </c>
      <c r="D769" s="4" t="s">
        <v>45</v>
      </c>
      <c r="E769" s="4" t="s">
        <v>25</v>
      </c>
      <c r="F769" s="4" t="s">
        <v>25</v>
      </c>
      <c r="G769" s="4" t="s">
        <v>25</v>
      </c>
      <c r="H769" s="4" t="s">
        <v>25</v>
      </c>
      <c r="I769" s="5">
        <v>44136</v>
      </c>
      <c r="J769" s="6">
        <v>138718</v>
      </c>
      <c r="K769" s="6">
        <v>138718</v>
      </c>
      <c r="L769" s="6">
        <v>0</v>
      </c>
      <c r="M769" s="6">
        <v>0</v>
      </c>
      <c r="N769" s="6">
        <v>0</v>
      </c>
      <c r="O769" s="6">
        <v>0</v>
      </c>
      <c r="P769" s="6">
        <v>844</v>
      </c>
      <c r="Q769" s="4" t="s">
        <v>26</v>
      </c>
      <c r="R769" s="4">
        <v>0</v>
      </c>
      <c r="S769" s="4" t="s">
        <v>200</v>
      </c>
      <c r="U769" s="4">
        <v>23</v>
      </c>
      <c r="V769" s="4">
        <v>0</v>
      </c>
      <c r="W769" s="4">
        <v>0</v>
      </c>
    </row>
    <row r="770" spans="1:23" ht="11.25" customHeight="1" x14ac:dyDescent="0.25">
      <c r="A770" s="4" t="s">
        <v>27</v>
      </c>
      <c r="B770" s="4" t="s">
        <v>35</v>
      </c>
      <c r="C770" s="4" t="s">
        <v>36</v>
      </c>
      <c r="D770" s="4" t="s">
        <v>45</v>
      </c>
      <c r="E770" s="4" t="s">
        <v>25</v>
      </c>
      <c r="F770" s="4" t="s">
        <v>25</v>
      </c>
      <c r="G770" s="4" t="s">
        <v>25</v>
      </c>
      <c r="H770" s="4" t="s">
        <v>25</v>
      </c>
      <c r="I770" s="5">
        <v>44136</v>
      </c>
      <c r="J770" s="6">
        <v>-231</v>
      </c>
      <c r="K770" s="6">
        <v>-231</v>
      </c>
      <c r="L770" s="6">
        <v>0</v>
      </c>
      <c r="M770" s="6">
        <v>0</v>
      </c>
      <c r="N770" s="6">
        <v>0</v>
      </c>
      <c r="O770" s="6">
        <v>0</v>
      </c>
      <c r="P770" s="6">
        <v>-1</v>
      </c>
      <c r="Q770" s="4" t="s">
        <v>26</v>
      </c>
      <c r="R770" s="4">
        <v>0</v>
      </c>
      <c r="S770" s="4" t="s">
        <v>200</v>
      </c>
      <c r="U770" s="4">
        <v>23</v>
      </c>
      <c r="V770" s="4">
        <v>0</v>
      </c>
      <c r="W770" s="4">
        <v>0</v>
      </c>
    </row>
    <row r="771" spans="1:23" ht="11.25" customHeight="1" x14ac:dyDescent="0.25">
      <c r="A771" s="4" t="s">
        <v>28</v>
      </c>
      <c r="B771" s="4" t="s">
        <v>35</v>
      </c>
      <c r="C771" s="4" t="s">
        <v>36</v>
      </c>
      <c r="D771" s="4" t="s">
        <v>45</v>
      </c>
      <c r="E771" s="4" t="s">
        <v>25</v>
      </c>
      <c r="F771" s="4" t="s">
        <v>25</v>
      </c>
      <c r="G771" s="4" t="s">
        <v>25</v>
      </c>
      <c r="H771" s="4" t="s">
        <v>25</v>
      </c>
      <c r="I771" s="5">
        <v>44136</v>
      </c>
      <c r="J771" s="6">
        <v>9121</v>
      </c>
      <c r="K771" s="6">
        <v>9121</v>
      </c>
      <c r="L771" s="6">
        <v>0</v>
      </c>
      <c r="M771" s="6">
        <v>0</v>
      </c>
      <c r="N771" s="6">
        <v>0</v>
      </c>
      <c r="O771" s="6">
        <v>0</v>
      </c>
      <c r="P771" s="6">
        <v>110</v>
      </c>
      <c r="Q771" s="4" t="s">
        <v>26</v>
      </c>
      <c r="R771" s="4">
        <v>0</v>
      </c>
      <c r="S771" s="4" t="s">
        <v>200</v>
      </c>
      <c r="U771" s="4">
        <v>23</v>
      </c>
      <c r="V771" s="4">
        <v>0</v>
      </c>
      <c r="W771" s="4">
        <v>0</v>
      </c>
    </row>
    <row r="772" spans="1:23" ht="11.25" customHeight="1" x14ac:dyDescent="0.25">
      <c r="A772" s="4" t="s">
        <v>30</v>
      </c>
      <c r="B772" s="4" t="s">
        <v>35</v>
      </c>
      <c r="C772" s="4" t="s">
        <v>36</v>
      </c>
      <c r="D772" s="4" t="s">
        <v>45</v>
      </c>
      <c r="E772" s="4" t="s">
        <v>25</v>
      </c>
      <c r="F772" s="4" t="s">
        <v>25</v>
      </c>
      <c r="G772" s="4" t="s">
        <v>25</v>
      </c>
      <c r="H772" s="4" t="s">
        <v>25</v>
      </c>
      <c r="I772" s="5">
        <v>44136</v>
      </c>
      <c r="J772" s="6">
        <v>5781</v>
      </c>
      <c r="K772" s="6">
        <v>5781</v>
      </c>
      <c r="L772" s="6">
        <v>0</v>
      </c>
      <c r="M772" s="6">
        <v>0</v>
      </c>
      <c r="N772" s="6">
        <v>0</v>
      </c>
      <c r="O772" s="6">
        <v>0</v>
      </c>
      <c r="P772" s="6">
        <v>29</v>
      </c>
      <c r="Q772" s="4" t="s">
        <v>26</v>
      </c>
      <c r="R772" s="4">
        <v>0</v>
      </c>
      <c r="S772" s="4" t="s">
        <v>200</v>
      </c>
      <c r="U772" s="4">
        <v>23</v>
      </c>
      <c r="V772" s="4">
        <v>0</v>
      </c>
      <c r="W772" s="4">
        <v>0</v>
      </c>
    </row>
    <row r="773" spans="1:23" ht="11.25" customHeight="1" x14ac:dyDescent="0.25">
      <c r="A773" s="4" t="s">
        <v>21</v>
      </c>
      <c r="B773" s="4" t="s">
        <v>35</v>
      </c>
      <c r="C773" s="4" t="s">
        <v>36</v>
      </c>
      <c r="D773" s="4" t="s">
        <v>45</v>
      </c>
      <c r="E773" s="4" t="s">
        <v>25</v>
      </c>
      <c r="F773" s="4" t="s">
        <v>25</v>
      </c>
      <c r="G773" s="4" t="s">
        <v>25</v>
      </c>
      <c r="H773" s="4" t="s">
        <v>25</v>
      </c>
      <c r="I773" s="5">
        <v>44136</v>
      </c>
      <c r="J773" s="6">
        <v>295</v>
      </c>
      <c r="K773" s="6">
        <v>295</v>
      </c>
      <c r="L773" s="6">
        <v>0</v>
      </c>
      <c r="M773" s="6">
        <v>0</v>
      </c>
      <c r="N773" s="6">
        <v>0</v>
      </c>
      <c r="O773" s="6">
        <v>0</v>
      </c>
      <c r="P773" s="6">
        <v>1</v>
      </c>
      <c r="Q773" s="4" t="s">
        <v>60</v>
      </c>
      <c r="R773" s="4">
        <v>0</v>
      </c>
      <c r="S773" s="4" t="s">
        <v>200</v>
      </c>
      <c r="U773" s="4">
        <v>23</v>
      </c>
      <c r="V773" s="4">
        <v>0</v>
      </c>
      <c r="W773" s="4">
        <v>0</v>
      </c>
    </row>
    <row r="774" spans="1:23" ht="11.25" customHeight="1" x14ac:dyDescent="0.25">
      <c r="A774" s="4" t="s">
        <v>21</v>
      </c>
      <c r="B774" s="4" t="s">
        <v>35</v>
      </c>
      <c r="C774" s="4" t="s">
        <v>36</v>
      </c>
      <c r="D774" s="4" t="s">
        <v>45</v>
      </c>
      <c r="E774" s="4" t="s">
        <v>25</v>
      </c>
      <c r="F774" s="4" t="s">
        <v>25</v>
      </c>
      <c r="G774" s="4" t="s">
        <v>25</v>
      </c>
      <c r="H774" s="4" t="s">
        <v>25</v>
      </c>
      <c r="I774" s="5">
        <v>44166</v>
      </c>
      <c r="J774" s="6">
        <v>135147</v>
      </c>
      <c r="K774" s="6">
        <v>135147</v>
      </c>
      <c r="L774" s="6">
        <v>0</v>
      </c>
      <c r="M774" s="6">
        <v>0</v>
      </c>
      <c r="N774" s="6">
        <v>0</v>
      </c>
      <c r="O774" s="6">
        <v>0</v>
      </c>
      <c r="P774" s="6">
        <v>847</v>
      </c>
      <c r="Q774" s="4" t="s">
        <v>26</v>
      </c>
      <c r="R774" s="4">
        <v>0</v>
      </c>
      <c r="S774" s="4" t="s">
        <v>201</v>
      </c>
      <c r="U774" s="4">
        <v>23</v>
      </c>
      <c r="V774" s="4">
        <v>0</v>
      </c>
      <c r="W774" s="4">
        <v>0</v>
      </c>
    </row>
    <row r="775" spans="1:23" ht="11.25" customHeight="1" x14ac:dyDescent="0.25">
      <c r="A775" s="4" t="s">
        <v>27</v>
      </c>
      <c r="B775" s="4" t="s">
        <v>35</v>
      </c>
      <c r="C775" s="4" t="s">
        <v>36</v>
      </c>
      <c r="D775" s="4" t="s">
        <v>45</v>
      </c>
      <c r="E775" s="4" t="s">
        <v>25</v>
      </c>
      <c r="F775" s="4" t="s">
        <v>25</v>
      </c>
      <c r="G775" s="4" t="s">
        <v>25</v>
      </c>
      <c r="H775" s="4" t="s">
        <v>25</v>
      </c>
      <c r="I775" s="5">
        <v>44166</v>
      </c>
      <c r="J775" s="6">
        <v>-6756</v>
      </c>
      <c r="K775" s="6">
        <v>-6756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4" t="s">
        <v>26</v>
      </c>
      <c r="R775" s="4">
        <v>0</v>
      </c>
      <c r="S775" s="4" t="s">
        <v>201</v>
      </c>
      <c r="U775" s="4">
        <v>23</v>
      </c>
      <c r="V775" s="4">
        <v>0</v>
      </c>
      <c r="W775" s="4">
        <v>0</v>
      </c>
    </row>
    <row r="776" spans="1:23" ht="11.25" customHeight="1" x14ac:dyDescent="0.25">
      <c r="A776" s="4" t="s">
        <v>28</v>
      </c>
      <c r="B776" s="4" t="s">
        <v>35</v>
      </c>
      <c r="C776" s="4" t="s">
        <v>36</v>
      </c>
      <c r="D776" s="4" t="s">
        <v>45</v>
      </c>
      <c r="E776" s="4" t="s">
        <v>25</v>
      </c>
      <c r="F776" s="4" t="s">
        <v>25</v>
      </c>
      <c r="G776" s="4" t="s">
        <v>25</v>
      </c>
      <c r="H776" s="4" t="s">
        <v>25</v>
      </c>
      <c r="I776" s="5">
        <v>44166</v>
      </c>
      <c r="J776" s="6">
        <v>9253</v>
      </c>
      <c r="K776" s="6">
        <v>9253</v>
      </c>
      <c r="L776" s="6">
        <v>0</v>
      </c>
      <c r="M776" s="6">
        <v>0</v>
      </c>
      <c r="N776" s="6">
        <v>0</v>
      </c>
      <c r="O776" s="6">
        <v>0</v>
      </c>
      <c r="P776" s="6">
        <v>111</v>
      </c>
      <c r="Q776" s="4" t="s">
        <v>26</v>
      </c>
      <c r="R776" s="4">
        <v>0</v>
      </c>
      <c r="S776" s="4" t="s">
        <v>201</v>
      </c>
      <c r="U776" s="4">
        <v>23</v>
      </c>
      <c r="V776" s="4">
        <v>0</v>
      </c>
      <c r="W776" s="4">
        <v>0</v>
      </c>
    </row>
    <row r="777" spans="1:23" ht="11.25" customHeight="1" x14ac:dyDescent="0.25">
      <c r="A777" s="4" t="s">
        <v>30</v>
      </c>
      <c r="B777" s="4" t="s">
        <v>35</v>
      </c>
      <c r="C777" s="4" t="s">
        <v>36</v>
      </c>
      <c r="D777" s="4" t="s">
        <v>45</v>
      </c>
      <c r="E777" s="4" t="s">
        <v>25</v>
      </c>
      <c r="F777" s="4" t="s">
        <v>25</v>
      </c>
      <c r="G777" s="4" t="s">
        <v>25</v>
      </c>
      <c r="H777" s="4" t="s">
        <v>25</v>
      </c>
      <c r="I777" s="5">
        <v>44166</v>
      </c>
      <c r="J777" s="6">
        <v>6097</v>
      </c>
      <c r="K777" s="6">
        <v>6097</v>
      </c>
      <c r="L777" s="6">
        <v>0</v>
      </c>
      <c r="M777" s="6">
        <v>0</v>
      </c>
      <c r="N777" s="6">
        <v>0</v>
      </c>
      <c r="O777" s="6">
        <v>0</v>
      </c>
      <c r="P777" s="6">
        <v>32</v>
      </c>
      <c r="Q777" s="4" t="s">
        <v>26</v>
      </c>
      <c r="R777" s="4">
        <v>0</v>
      </c>
      <c r="S777" s="4" t="s">
        <v>201</v>
      </c>
      <c r="U777" s="4">
        <v>23</v>
      </c>
      <c r="V777" s="4">
        <v>0</v>
      </c>
      <c r="W777" s="4">
        <v>0</v>
      </c>
    </row>
    <row r="778" spans="1:23" ht="11.25" customHeight="1" x14ac:dyDescent="0.25">
      <c r="A778" s="4" t="s">
        <v>21</v>
      </c>
      <c r="B778" s="4" t="s">
        <v>35</v>
      </c>
      <c r="C778" s="4" t="s">
        <v>36</v>
      </c>
      <c r="D778" s="4" t="s">
        <v>45</v>
      </c>
      <c r="E778" s="4" t="s">
        <v>25</v>
      </c>
      <c r="F778" s="4" t="s">
        <v>25</v>
      </c>
      <c r="G778" s="4" t="s">
        <v>25</v>
      </c>
      <c r="H778" s="4" t="s">
        <v>25</v>
      </c>
      <c r="I778" s="5">
        <v>44166</v>
      </c>
      <c r="J778" s="6">
        <v>2165</v>
      </c>
      <c r="K778" s="6">
        <v>2165</v>
      </c>
      <c r="L778" s="6">
        <v>0</v>
      </c>
      <c r="M778" s="6">
        <v>0</v>
      </c>
      <c r="N778" s="6">
        <v>0</v>
      </c>
      <c r="O778" s="6">
        <v>0</v>
      </c>
      <c r="P778" s="6">
        <v>3</v>
      </c>
      <c r="Q778" s="4" t="s">
        <v>60</v>
      </c>
      <c r="R778" s="4">
        <v>0</v>
      </c>
      <c r="S778" s="4" t="s">
        <v>201</v>
      </c>
      <c r="U778" s="4">
        <v>23</v>
      </c>
      <c r="V778" s="4">
        <v>0</v>
      </c>
      <c r="W778" s="4">
        <v>0</v>
      </c>
    </row>
    <row r="779" spans="1:23" ht="11.25" customHeight="1" x14ac:dyDescent="0.25">
      <c r="A779" s="4" t="s">
        <v>21</v>
      </c>
      <c r="B779" s="4" t="s">
        <v>35</v>
      </c>
      <c r="C779" s="4" t="s">
        <v>36</v>
      </c>
      <c r="D779" s="4" t="s">
        <v>45</v>
      </c>
      <c r="E779" s="4" t="s">
        <v>25</v>
      </c>
      <c r="F779" s="4" t="s">
        <v>25</v>
      </c>
      <c r="G779" s="4" t="s">
        <v>25</v>
      </c>
      <c r="H779" s="4" t="s">
        <v>25</v>
      </c>
      <c r="I779" s="5">
        <v>44197</v>
      </c>
      <c r="J779" s="6">
        <v>133860</v>
      </c>
      <c r="K779" s="6">
        <v>133860</v>
      </c>
      <c r="L779" s="6">
        <v>0</v>
      </c>
      <c r="M779" s="6">
        <v>0</v>
      </c>
      <c r="N779" s="6">
        <v>0</v>
      </c>
      <c r="O779" s="6">
        <v>0</v>
      </c>
      <c r="P779" s="6">
        <v>846</v>
      </c>
      <c r="Q779" s="4" t="s">
        <v>26</v>
      </c>
      <c r="R779" s="4">
        <v>0</v>
      </c>
      <c r="S779" s="4" t="s">
        <v>202</v>
      </c>
      <c r="U779" s="4">
        <v>23</v>
      </c>
      <c r="V779" s="4">
        <v>0</v>
      </c>
      <c r="W779" s="4">
        <v>0</v>
      </c>
    </row>
    <row r="780" spans="1:23" ht="11.25" customHeight="1" x14ac:dyDescent="0.25">
      <c r="A780" s="4" t="s">
        <v>27</v>
      </c>
      <c r="B780" s="4" t="s">
        <v>35</v>
      </c>
      <c r="C780" s="4" t="s">
        <v>36</v>
      </c>
      <c r="D780" s="4" t="s">
        <v>45</v>
      </c>
      <c r="E780" s="4" t="s">
        <v>25</v>
      </c>
      <c r="F780" s="4" t="s">
        <v>25</v>
      </c>
      <c r="G780" s="4" t="s">
        <v>25</v>
      </c>
      <c r="H780" s="4" t="s">
        <v>25</v>
      </c>
      <c r="I780" s="5">
        <v>44197</v>
      </c>
      <c r="J780" s="6">
        <v>-609</v>
      </c>
      <c r="K780" s="6">
        <v>-609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4" t="s">
        <v>26</v>
      </c>
      <c r="R780" s="4">
        <v>0</v>
      </c>
      <c r="S780" s="4" t="s">
        <v>202</v>
      </c>
      <c r="U780" s="4">
        <v>23</v>
      </c>
      <c r="V780" s="4">
        <v>0</v>
      </c>
      <c r="W780" s="4">
        <v>0</v>
      </c>
    </row>
    <row r="781" spans="1:23" ht="11.25" customHeight="1" x14ac:dyDescent="0.25">
      <c r="A781" s="4" t="s">
        <v>28</v>
      </c>
      <c r="B781" s="4" t="s">
        <v>35</v>
      </c>
      <c r="C781" s="4" t="s">
        <v>36</v>
      </c>
      <c r="D781" s="4" t="s">
        <v>45</v>
      </c>
      <c r="E781" s="4" t="s">
        <v>25</v>
      </c>
      <c r="F781" s="4" t="s">
        <v>25</v>
      </c>
      <c r="G781" s="4" t="s">
        <v>25</v>
      </c>
      <c r="H781" s="4" t="s">
        <v>25</v>
      </c>
      <c r="I781" s="5">
        <v>44197</v>
      </c>
      <c r="J781" s="6">
        <v>9132</v>
      </c>
      <c r="K781" s="6">
        <v>9132</v>
      </c>
      <c r="L781" s="6">
        <v>0</v>
      </c>
      <c r="M781" s="6">
        <v>0</v>
      </c>
      <c r="N781" s="6">
        <v>0</v>
      </c>
      <c r="O781" s="6">
        <v>0</v>
      </c>
      <c r="P781" s="6">
        <v>109</v>
      </c>
      <c r="Q781" s="4" t="s">
        <v>26</v>
      </c>
      <c r="R781" s="4">
        <v>0</v>
      </c>
      <c r="S781" s="4" t="s">
        <v>202</v>
      </c>
      <c r="U781" s="4">
        <v>23</v>
      </c>
      <c r="V781" s="4">
        <v>0</v>
      </c>
      <c r="W781" s="4">
        <v>0</v>
      </c>
    </row>
    <row r="782" spans="1:23" ht="11.25" customHeight="1" x14ac:dyDescent="0.25">
      <c r="A782" s="4" t="s">
        <v>29</v>
      </c>
      <c r="B782" s="4" t="s">
        <v>35</v>
      </c>
      <c r="C782" s="4" t="s">
        <v>36</v>
      </c>
      <c r="D782" s="4" t="s">
        <v>45</v>
      </c>
      <c r="E782" s="4" t="s">
        <v>25</v>
      </c>
      <c r="F782" s="4" t="s">
        <v>25</v>
      </c>
      <c r="G782" s="4" t="s">
        <v>25</v>
      </c>
      <c r="H782" s="4" t="s">
        <v>25</v>
      </c>
      <c r="I782" s="5">
        <v>44197</v>
      </c>
      <c r="J782" s="6">
        <v>-396</v>
      </c>
      <c r="K782" s="6">
        <v>-396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4" t="s">
        <v>26</v>
      </c>
      <c r="R782" s="4">
        <v>0</v>
      </c>
      <c r="S782" s="4" t="s">
        <v>202</v>
      </c>
      <c r="U782" s="4">
        <v>23</v>
      </c>
      <c r="V782" s="4">
        <v>0</v>
      </c>
      <c r="W782" s="4">
        <v>0</v>
      </c>
    </row>
    <row r="783" spans="1:23" ht="11.25" customHeight="1" x14ac:dyDescent="0.25">
      <c r="A783" s="4" t="s">
        <v>30</v>
      </c>
      <c r="B783" s="4" t="s">
        <v>35</v>
      </c>
      <c r="C783" s="4" t="s">
        <v>36</v>
      </c>
      <c r="D783" s="4" t="s">
        <v>45</v>
      </c>
      <c r="E783" s="4" t="s">
        <v>25</v>
      </c>
      <c r="F783" s="4" t="s">
        <v>25</v>
      </c>
      <c r="G783" s="4" t="s">
        <v>25</v>
      </c>
      <c r="H783" s="4" t="s">
        <v>25</v>
      </c>
      <c r="I783" s="5">
        <v>44197</v>
      </c>
      <c r="J783" s="6">
        <v>6196</v>
      </c>
      <c r="K783" s="6">
        <v>6196</v>
      </c>
      <c r="L783" s="6">
        <v>0</v>
      </c>
      <c r="M783" s="6">
        <v>0</v>
      </c>
      <c r="N783" s="6">
        <v>0</v>
      </c>
      <c r="O783" s="6">
        <v>0</v>
      </c>
      <c r="P783" s="6">
        <v>32</v>
      </c>
      <c r="Q783" s="4" t="s">
        <v>26</v>
      </c>
      <c r="R783" s="4">
        <v>0</v>
      </c>
      <c r="S783" s="4" t="s">
        <v>202</v>
      </c>
      <c r="U783" s="4">
        <v>23</v>
      </c>
      <c r="V783" s="4">
        <v>0</v>
      </c>
      <c r="W783" s="4">
        <v>0</v>
      </c>
    </row>
    <row r="784" spans="1:23" ht="11.25" customHeight="1" x14ac:dyDescent="0.25">
      <c r="A784" s="4" t="s">
        <v>21</v>
      </c>
      <c r="B784" s="4" t="s">
        <v>35</v>
      </c>
      <c r="C784" s="4" t="s">
        <v>36</v>
      </c>
      <c r="D784" s="4" t="s">
        <v>45</v>
      </c>
      <c r="E784" s="4" t="s">
        <v>25</v>
      </c>
      <c r="F784" s="4" t="s">
        <v>25</v>
      </c>
      <c r="G784" s="4" t="s">
        <v>25</v>
      </c>
      <c r="H784" s="4" t="s">
        <v>25</v>
      </c>
      <c r="I784" s="5">
        <v>44197</v>
      </c>
      <c r="J784" s="6">
        <v>575</v>
      </c>
      <c r="K784" s="6">
        <v>575</v>
      </c>
      <c r="L784" s="6">
        <v>0</v>
      </c>
      <c r="M784" s="6">
        <v>0</v>
      </c>
      <c r="N784" s="6">
        <v>0</v>
      </c>
      <c r="O784" s="6">
        <v>0</v>
      </c>
      <c r="P784" s="6">
        <v>2</v>
      </c>
      <c r="Q784" s="4" t="s">
        <v>60</v>
      </c>
      <c r="R784" s="4">
        <v>0</v>
      </c>
      <c r="S784" s="4" t="s">
        <v>202</v>
      </c>
      <c r="U784" s="4">
        <v>23</v>
      </c>
      <c r="V784" s="4">
        <v>0</v>
      </c>
      <c r="W784" s="4">
        <v>0</v>
      </c>
    </row>
    <row r="785" spans="1:23" ht="11.25" customHeight="1" x14ac:dyDescent="0.25">
      <c r="A785" s="4" t="s">
        <v>21</v>
      </c>
      <c r="B785" s="4" t="s">
        <v>35</v>
      </c>
      <c r="C785" s="4" t="s">
        <v>36</v>
      </c>
      <c r="D785" s="4" t="s">
        <v>45</v>
      </c>
      <c r="E785" s="4" t="s">
        <v>25</v>
      </c>
      <c r="F785" s="4" t="s">
        <v>25</v>
      </c>
      <c r="G785" s="4" t="s">
        <v>25</v>
      </c>
      <c r="H785" s="4" t="s">
        <v>25</v>
      </c>
      <c r="I785" s="5">
        <v>44228</v>
      </c>
      <c r="J785" s="6">
        <v>133057</v>
      </c>
      <c r="K785" s="6">
        <v>133057</v>
      </c>
      <c r="L785" s="6">
        <v>0</v>
      </c>
      <c r="M785" s="6">
        <v>0</v>
      </c>
      <c r="N785" s="6">
        <v>0</v>
      </c>
      <c r="O785" s="6">
        <v>0</v>
      </c>
      <c r="P785" s="6">
        <v>847</v>
      </c>
      <c r="Q785" s="4" t="s">
        <v>26</v>
      </c>
      <c r="R785" s="4">
        <v>0</v>
      </c>
      <c r="S785" s="4" t="s">
        <v>203</v>
      </c>
      <c r="U785" s="4">
        <v>23</v>
      </c>
      <c r="V785" s="4">
        <v>0</v>
      </c>
      <c r="W785" s="4">
        <v>0</v>
      </c>
    </row>
    <row r="786" spans="1:23" ht="11.25" customHeight="1" x14ac:dyDescent="0.25">
      <c r="A786" s="4" t="s">
        <v>27</v>
      </c>
      <c r="B786" s="4" t="s">
        <v>35</v>
      </c>
      <c r="C786" s="4" t="s">
        <v>36</v>
      </c>
      <c r="D786" s="4" t="s">
        <v>45</v>
      </c>
      <c r="E786" s="4" t="s">
        <v>25</v>
      </c>
      <c r="F786" s="4" t="s">
        <v>25</v>
      </c>
      <c r="G786" s="4" t="s">
        <v>25</v>
      </c>
      <c r="H786" s="4" t="s">
        <v>25</v>
      </c>
      <c r="I786" s="5">
        <v>44228</v>
      </c>
      <c r="J786" s="6">
        <v>-384</v>
      </c>
      <c r="K786" s="6">
        <v>-384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4" t="s">
        <v>26</v>
      </c>
      <c r="R786" s="4">
        <v>0</v>
      </c>
      <c r="S786" s="4" t="s">
        <v>203</v>
      </c>
      <c r="U786" s="4">
        <v>23</v>
      </c>
      <c r="V786" s="4">
        <v>0</v>
      </c>
      <c r="W786" s="4">
        <v>0</v>
      </c>
    </row>
    <row r="787" spans="1:23" ht="11.25" customHeight="1" x14ac:dyDescent="0.25">
      <c r="A787" s="4" t="s">
        <v>28</v>
      </c>
      <c r="B787" s="4" t="s">
        <v>35</v>
      </c>
      <c r="C787" s="4" t="s">
        <v>36</v>
      </c>
      <c r="D787" s="4" t="s">
        <v>45</v>
      </c>
      <c r="E787" s="4" t="s">
        <v>25</v>
      </c>
      <c r="F787" s="4" t="s">
        <v>25</v>
      </c>
      <c r="G787" s="4" t="s">
        <v>25</v>
      </c>
      <c r="H787" s="4" t="s">
        <v>25</v>
      </c>
      <c r="I787" s="5">
        <v>44228</v>
      </c>
      <c r="J787" s="6">
        <v>8936</v>
      </c>
      <c r="K787" s="6">
        <v>8936</v>
      </c>
      <c r="L787" s="6">
        <v>0</v>
      </c>
      <c r="M787" s="6">
        <v>0</v>
      </c>
      <c r="N787" s="6">
        <v>0</v>
      </c>
      <c r="O787" s="6">
        <v>0</v>
      </c>
      <c r="P787" s="6">
        <v>110</v>
      </c>
      <c r="Q787" s="4" t="s">
        <v>26</v>
      </c>
      <c r="R787" s="4">
        <v>0</v>
      </c>
      <c r="S787" s="4" t="s">
        <v>203</v>
      </c>
      <c r="U787" s="4">
        <v>23</v>
      </c>
      <c r="V787" s="4">
        <v>0</v>
      </c>
      <c r="W787" s="4">
        <v>0</v>
      </c>
    </row>
    <row r="788" spans="1:23" ht="11.25" customHeight="1" x14ac:dyDescent="0.25">
      <c r="A788" s="4" t="s">
        <v>29</v>
      </c>
      <c r="B788" s="4" t="s">
        <v>35</v>
      </c>
      <c r="C788" s="4" t="s">
        <v>36</v>
      </c>
      <c r="D788" s="4" t="s">
        <v>45</v>
      </c>
      <c r="E788" s="4" t="s">
        <v>25</v>
      </c>
      <c r="F788" s="4" t="s">
        <v>25</v>
      </c>
      <c r="G788" s="4" t="s">
        <v>25</v>
      </c>
      <c r="H788" s="4" t="s">
        <v>25</v>
      </c>
      <c r="I788" s="5">
        <v>44228</v>
      </c>
      <c r="J788" s="6">
        <v>-232</v>
      </c>
      <c r="K788" s="6">
        <v>-232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4" t="s">
        <v>26</v>
      </c>
      <c r="R788" s="4">
        <v>0</v>
      </c>
      <c r="S788" s="4" t="s">
        <v>203</v>
      </c>
      <c r="U788" s="4">
        <v>23</v>
      </c>
      <c r="V788" s="4">
        <v>0</v>
      </c>
      <c r="W788" s="4">
        <v>0</v>
      </c>
    </row>
    <row r="789" spans="1:23" ht="11.25" customHeight="1" x14ac:dyDescent="0.25">
      <c r="A789" s="4" t="s">
        <v>30</v>
      </c>
      <c r="B789" s="4" t="s">
        <v>35</v>
      </c>
      <c r="C789" s="4" t="s">
        <v>36</v>
      </c>
      <c r="D789" s="4" t="s">
        <v>45</v>
      </c>
      <c r="E789" s="4" t="s">
        <v>25</v>
      </c>
      <c r="F789" s="4" t="s">
        <v>25</v>
      </c>
      <c r="G789" s="4" t="s">
        <v>25</v>
      </c>
      <c r="H789" s="4" t="s">
        <v>25</v>
      </c>
      <c r="I789" s="5">
        <v>44228</v>
      </c>
      <c r="J789" s="6">
        <v>7621</v>
      </c>
      <c r="K789" s="6">
        <v>7621</v>
      </c>
      <c r="L789" s="6">
        <v>0</v>
      </c>
      <c r="M789" s="6">
        <v>0</v>
      </c>
      <c r="N789" s="6">
        <v>0</v>
      </c>
      <c r="O789" s="6">
        <v>0</v>
      </c>
      <c r="P789" s="6">
        <v>34</v>
      </c>
      <c r="Q789" s="4" t="s">
        <v>26</v>
      </c>
      <c r="R789" s="4">
        <v>0</v>
      </c>
      <c r="S789" s="4" t="s">
        <v>203</v>
      </c>
      <c r="U789" s="4">
        <v>23</v>
      </c>
      <c r="V789" s="4">
        <v>0</v>
      </c>
      <c r="W789" s="4">
        <v>0</v>
      </c>
    </row>
    <row r="790" spans="1:23" ht="11.25" customHeight="1" x14ac:dyDescent="0.25">
      <c r="A790" s="4" t="s">
        <v>21</v>
      </c>
      <c r="B790" s="4" t="s">
        <v>35</v>
      </c>
      <c r="C790" s="4" t="s">
        <v>36</v>
      </c>
      <c r="D790" s="4" t="s">
        <v>45</v>
      </c>
      <c r="E790" s="4" t="s">
        <v>25</v>
      </c>
      <c r="F790" s="4" t="s">
        <v>25</v>
      </c>
      <c r="G790" s="4" t="s">
        <v>25</v>
      </c>
      <c r="H790" s="4" t="s">
        <v>25</v>
      </c>
      <c r="I790" s="5">
        <v>44228</v>
      </c>
      <c r="J790" s="6">
        <v>575</v>
      </c>
      <c r="K790" s="6">
        <v>575</v>
      </c>
      <c r="L790" s="6">
        <v>0</v>
      </c>
      <c r="M790" s="6">
        <v>0</v>
      </c>
      <c r="N790" s="6">
        <v>0</v>
      </c>
      <c r="O790" s="6">
        <v>0</v>
      </c>
      <c r="P790" s="6">
        <v>2</v>
      </c>
      <c r="Q790" s="4" t="s">
        <v>60</v>
      </c>
      <c r="R790" s="4">
        <v>0</v>
      </c>
      <c r="S790" s="4" t="s">
        <v>203</v>
      </c>
      <c r="U790" s="4">
        <v>23</v>
      </c>
      <c r="V790" s="4">
        <v>0</v>
      </c>
      <c r="W790" s="4">
        <v>0</v>
      </c>
    </row>
    <row r="791" spans="1:23" ht="11.25" customHeight="1" x14ac:dyDescent="0.25">
      <c r="A791" s="4" t="s">
        <v>21</v>
      </c>
      <c r="B791" s="4" t="s">
        <v>35</v>
      </c>
      <c r="C791" s="4" t="s">
        <v>36</v>
      </c>
      <c r="D791" s="4" t="s">
        <v>45</v>
      </c>
      <c r="E791" s="4" t="s">
        <v>25</v>
      </c>
      <c r="F791" s="4" t="s">
        <v>25</v>
      </c>
      <c r="G791" s="4" t="s">
        <v>25</v>
      </c>
      <c r="H791" s="4" t="s">
        <v>25</v>
      </c>
      <c r="I791" s="5">
        <v>44256</v>
      </c>
      <c r="J791" s="6">
        <v>133333</v>
      </c>
      <c r="K791" s="6">
        <v>133333</v>
      </c>
      <c r="L791" s="6">
        <v>0</v>
      </c>
      <c r="M791" s="6">
        <v>0</v>
      </c>
      <c r="N791" s="6">
        <v>0</v>
      </c>
      <c r="O791" s="6">
        <v>0</v>
      </c>
      <c r="P791" s="6">
        <v>848</v>
      </c>
      <c r="Q791" s="4" t="s">
        <v>26</v>
      </c>
      <c r="R791" s="4">
        <v>0</v>
      </c>
      <c r="S791" s="4" t="s">
        <v>204</v>
      </c>
      <c r="U791" s="4">
        <v>23</v>
      </c>
      <c r="V791" s="4">
        <v>0</v>
      </c>
      <c r="W791" s="4">
        <v>0</v>
      </c>
    </row>
    <row r="792" spans="1:23" ht="11.25" customHeight="1" x14ac:dyDescent="0.25">
      <c r="A792" s="4" t="s">
        <v>27</v>
      </c>
      <c r="B792" s="4" t="s">
        <v>35</v>
      </c>
      <c r="C792" s="4" t="s">
        <v>36</v>
      </c>
      <c r="D792" s="4" t="s">
        <v>45</v>
      </c>
      <c r="E792" s="4" t="s">
        <v>25</v>
      </c>
      <c r="F792" s="4" t="s">
        <v>25</v>
      </c>
      <c r="G792" s="4" t="s">
        <v>25</v>
      </c>
      <c r="H792" s="4" t="s">
        <v>25</v>
      </c>
      <c r="I792" s="5">
        <v>44256</v>
      </c>
      <c r="J792" s="6">
        <v>-1044</v>
      </c>
      <c r="K792" s="6">
        <v>-1044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4" t="s">
        <v>26</v>
      </c>
      <c r="R792" s="4">
        <v>0</v>
      </c>
      <c r="S792" s="4" t="s">
        <v>204</v>
      </c>
      <c r="U792" s="4">
        <v>23</v>
      </c>
      <c r="V792" s="4">
        <v>0</v>
      </c>
      <c r="W792" s="4">
        <v>0</v>
      </c>
    </row>
    <row r="793" spans="1:23" ht="11.25" customHeight="1" x14ac:dyDescent="0.25">
      <c r="A793" s="4" t="s">
        <v>28</v>
      </c>
      <c r="B793" s="4" t="s">
        <v>35</v>
      </c>
      <c r="C793" s="4" t="s">
        <v>36</v>
      </c>
      <c r="D793" s="4" t="s">
        <v>45</v>
      </c>
      <c r="E793" s="4" t="s">
        <v>25</v>
      </c>
      <c r="F793" s="4" t="s">
        <v>25</v>
      </c>
      <c r="G793" s="4" t="s">
        <v>25</v>
      </c>
      <c r="H793" s="4" t="s">
        <v>25</v>
      </c>
      <c r="I793" s="5">
        <v>44256</v>
      </c>
      <c r="J793" s="6">
        <v>9060</v>
      </c>
      <c r="K793" s="6">
        <v>9060</v>
      </c>
      <c r="L793" s="6">
        <v>0</v>
      </c>
      <c r="M793" s="6">
        <v>0</v>
      </c>
      <c r="N793" s="6">
        <v>0</v>
      </c>
      <c r="O793" s="6">
        <v>0</v>
      </c>
      <c r="P793" s="6">
        <v>109</v>
      </c>
      <c r="Q793" s="4" t="s">
        <v>26</v>
      </c>
      <c r="R793" s="4">
        <v>0</v>
      </c>
      <c r="S793" s="4" t="s">
        <v>204</v>
      </c>
      <c r="U793" s="4">
        <v>23</v>
      </c>
      <c r="V793" s="4">
        <v>0</v>
      </c>
      <c r="W793" s="4">
        <v>0</v>
      </c>
    </row>
    <row r="794" spans="1:23" ht="11.25" customHeight="1" x14ac:dyDescent="0.25">
      <c r="A794" s="4" t="s">
        <v>30</v>
      </c>
      <c r="B794" s="4" t="s">
        <v>35</v>
      </c>
      <c r="C794" s="4" t="s">
        <v>36</v>
      </c>
      <c r="D794" s="4" t="s">
        <v>45</v>
      </c>
      <c r="E794" s="4" t="s">
        <v>25</v>
      </c>
      <c r="F794" s="4" t="s">
        <v>25</v>
      </c>
      <c r="G794" s="4" t="s">
        <v>25</v>
      </c>
      <c r="H794" s="4" t="s">
        <v>25</v>
      </c>
      <c r="I794" s="5">
        <v>44256</v>
      </c>
      <c r="J794" s="6">
        <v>7700</v>
      </c>
      <c r="K794" s="6">
        <v>7700</v>
      </c>
      <c r="L794" s="6">
        <v>0</v>
      </c>
      <c r="M794" s="6">
        <v>0</v>
      </c>
      <c r="N794" s="6">
        <v>0</v>
      </c>
      <c r="O794" s="6">
        <v>0</v>
      </c>
      <c r="P794" s="6">
        <v>34</v>
      </c>
      <c r="Q794" s="4" t="s">
        <v>26</v>
      </c>
      <c r="R794" s="4">
        <v>0</v>
      </c>
      <c r="S794" s="4" t="s">
        <v>204</v>
      </c>
      <c r="U794" s="4">
        <v>23</v>
      </c>
      <c r="V794" s="4">
        <v>0</v>
      </c>
      <c r="W794" s="4">
        <v>0</v>
      </c>
    </row>
    <row r="795" spans="1:23" ht="11.25" customHeight="1" x14ac:dyDescent="0.25">
      <c r="A795" s="4" t="s">
        <v>21</v>
      </c>
      <c r="B795" s="4" t="s">
        <v>35</v>
      </c>
      <c r="C795" s="4" t="s">
        <v>36</v>
      </c>
      <c r="D795" s="4" t="s">
        <v>45</v>
      </c>
      <c r="E795" s="4" t="s">
        <v>25</v>
      </c>
      <c r="F795" s="4" t="s">
        <v>25</v>
      </c>
      <c r="G795" s="4" t="s">
        <v>25</v>
      </c>
      <c r="H795" s="4" t="s">
        <v>25</v>
      </c>
      <c r="I795" s="5">
        <v>44256</v>
      </c>
      <c r="J795" s="6">
        <v>575</v>
      </c>
      <c r="K795" s="6">
        <v>575</v>
      </c>
      <c r="L795" s="6">
        <v>0</v>
      </c>
      <c r="M795" s="6">
        <v>0</v>
      </c>
      <c r="N795" s="6">
        <v>0</v>
      </c>
      <c r="O795" s="6">
        <v>0</v>
      </c>
      <c r="P795" s="6">
        <v>2</v>
      </c>
      <c r="Q795" s="4" t="s">
        <v>60</v>
      </c>
      <c r="R795" s="4">
        <v>0</v>
      </c>
      <c r="S795" s="4" t="s">
        <v>204</v>
      </c>
      <c r="U795" s="4">
        <v>23</v>
      </c>
      <c r="V795" s="4">
        <v>0</v>
      </c>
      <c r="W795" s="4">
        <v>0</v>
      </c>
    </row>
    <row r="796" spans="1:23" ht="11.25" customHeight="1" x14ac:dyDescent="0.25">
      <c r="A796" s="4" t="s">
        <v>21</v>
      </c>
      <c r="B796" s="4" t="s">
        <v>35</v>
      </c>
      <c r="C796" s="4" t="s">
        <v>36</v>
      </c>
      <c r="D796" s="4" t="s">
        <v>45</v>
      </c>
      <c r="E796" s="4" t="s">
        <v>25</v>
      </c>
      <c r="F796" s="4" t="s">
        <v>25</v>
      </c>
      <c r="G796" s="4" t="s">
        <v>25</v>
      </c>
      <c r="H796" s="4" t="s">
        <v>25</v>
      </c>
      <c r="I796" s="5">
        <v>44287</v>
      </c>
      <c r="J796" s="6">
        <v>132153</v>
      </c>
      <c r="K796" s="6">
        <v>132153</v>
      </c>
      <c r="L796" s="6">
        <v>0</v>
      </c>
      <c r="M796" s="6">
        <v>0</v>
      </c>
      <c r="N796" s="6">
        <v>0</v>
      </c>
      <c r="O796" s="6">
        <v>0</v>
      </c>
      <c r="P796" s="6">
        <v>840</v>
      </c>
      <c r="Q796" s="4" t="s">
        <v>26</v>
      </c>
      <c r="R796" s="4">
        <v>0</v>
      </c>
      <c r="S796" s="4" t="s">
        <v>205</v>
      </c>
      <c r="U796" s="4">
        <v>23</v>
      </c>
      <c r="V796" s="4">
        <v>0</v>
      </c>
      <c r="W796" s="4">
        <v>0</v>
      </c>
    </row>
    <row r="797" spans="1:23" ht="11.25" customHeight="1" x14ac:dyDescent="0.25">
      <c r="A797" s="4" t="s">
        <v>27</v>
      </c>
      <c r="B797" s="4" t="s">
        <v>35</v>
      </c>
      <c r="C797" s="4" t="s">
        <v>36</v>
      </c>
      <c r="D797" s="4" t="s">
        <v>45</v>
      </c>
      <c r="E797" s="4" t="s">
        <v>25</v>
      </c>
      <c r="F797" s="4" t="s">
        <v>25</v>
      </c>
      <c r="G797" s="4" t="s">
        <v>25</v>
      </c>
      <c r="H797" s="4" t="s">
        <v>25</v>
      </c>
      <c r="I797" s="5">
        <v>44287</v>
      </c>
      <c r="J797" s="6">
        <v>-3761</v>
      </c>
      <c r="K797" s="6">
        <v>-3761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4" t="s">
        <v>26</v>
      </c>
      <c r="R797" s="4">
        <v>0</v>
      </c>
      <c r="S797" s="4" t="s">
        <v>205</v>
      </c>
      <c r="U797" s="4">
        <v>23</v>
      </c>
      <c r="V797" s="4">
        <v>0</v>
      </c>
      <c r="W797" s="4">
        <v>0</v>
      </c>
    </row>
    <row r="798" spans="1:23" ht="11.25" customHeight="1" x14ac:dyDescent="0.25">
      <c r="A798" s="4" t="s">
        <v>28</v>
      </c>
      <c r="B798" s="4" t="s">
        <v>35</v>
      </c>
      <c r="C798" s="4" t="s">
        <v>36</v>
      </c>
      <c r="D798" s="4" t="s">
        <v>45</v>
      </c>
      <c r="E798" s="4" t="s">
        <v>25</v>
      </c>
      <c r="F798" s="4" t="s">
        <v>25</v>
      </c>
      <c r="G798" s="4" t="s">
        <v>25</v>
      </c>
      <c r="H798" s="4" t="s">
        <v>25</v>
      </c>
      <c r="I798" s="5">
        <v>44287</v>
      </c>
      <c r="J798" s="6">
        <v>8227</v>
      </c>
      <c r="K798" s="6">
        <v>8227</v>
      </c>
      <c r="L798" s="6">
        <v>0</v>
      </c>
      <c r="M798" s="6">
        <v>0</v>
      </c>
      <c r="N798" s="6">
        <v>0</v>
      </c>
      <c r="O798" s="6">
        <v>0</v>
      </c>
      <c r="P798" s="6">
        <v>108</v>
      </c>
      <c r="Q798" s="4" t="s">
        <v>26</v>
      </c>
      <c r="R798" s="4">
        <v>0</v>
      </c>
      <c r="S798" s="4" t="s">
        <v>205</v>
      </c>
      <c r="U798" s="4">
        <v>23</v>
      </c>
      <c r="V798" s="4">
        <v>0</v>
      </c>
      <c r="W798" s="4">
        <v>0</v>
      </c>
    </row>
    <row r="799" spans="1:23" ht="11.25" customHeight="1" x14ac:dyDescent="0.25">
      <c r="A799" s="4" t="s">
        <v>30</v>
      </c>
      <c r="B799" s="4" t="s">
        <v>35</v>
      </c>
      <c r="C799" s="4" t="s">
        <v>36</v>
      </c>
      <c r="D799" s="4" t="s">
        <v>45</v>
      </c>
      <c r="E799" s="4" t="s">
        <v>25</v>
      </c>
      <c r="F799" s="4" t="s">
        <v>25</v>
      </c>
      <c r="G799" s="4" t="s">
        <v>25</v>
      </c>
      <c r="H799" s="4" t="s">
        <v>25</v>
      </c>
      <c r="I799" s="5">
        <v>44287</v>
      </c>
      <c r="J799" s="6">
        <v>7873</v>
      </c>
      <c r="K799" s="6">
        <v>7873</v>
      </c>
      <c r="L799" s="6">
        <v>0</v>
      </c>
      <c r="M799" s="6">
        <v>0</v>
      </c>
      <c r="N799" s="6">
        <v>0</v>
      </c>
      <c r="O799" s="6">
        <v>0</v>
      </c>
      <c r="P799" s="6">
        <v>37</v>
      </c>
      <c r="Q799" s="4" t="s">
        <v>26</v>
      </c>
      <c r="R799" s="4">
        <v>0</v>
      </c>
      <c r="S799" s="4" t="s">
        <v>205</v>
      </c>
      <c r="U799" s="4">
        <v>23</v>
      </c>
      <c r="V799" s="4">
        <v>0</v>
      </c>
      <c r="W799" s="4">
        <v>0</v>
      </c>
    </row>
    <row r="800" spans="1:23" ht="11.25" customHeight="1" x14ac:dyDescent="0.25">
      <c r="A800" s="4" t="s">
        <v>21</v>
      </c>
      <c r="B800" s="4" t="s">
        <v>35</v>
      </c>
      <c r="C800" s="4" t="s">
        <v>36</v>
      </c>
      <c r="D800" s="4" t="s">
        <v>45</v>
      </c>
      <c r="E800" s="4" t="s">
        <v>25</v>
      </c>
      <c r="F800" s="4" t="s">
        <v>25</v>
      </c>
      <c r="G800" s="4" t="s">
        <v>25</v>
      </c>
      <c r="H800" s="4" t="s">
        <v>25</v>
      </c>
      <c r="I800" s="5">
        <v>44287</v>
      </c>
      <c r="J800" s="6">
        <v>575</v>
      </c>
      <c r="K800" s="6">
        <v>575</v>
      </c>
      <c r="L800" s="6">
        <v>0</v>
      </c>
      <c r="M800" s="6">
        <v>0</v>
      </c>
      <c r="N800" s="6">
        <v>0</v>
      </c>
      <c r="O800" s="6">
        <v>0</v>
      </c>
      <c r="P800" s="6">
        <v>2</v>
      </c>
      <c r="Q800" s="4" t="s">
        <v>60</v>
      </c>
      <c r="R800" s="4">
        <v>0</v>
      </c>
      <c r="S800" s="4" t="s">
        <v>205</v>
      </c>
      <c r="U800" s="4">
        <v>23</v>
      </c>
      <c r="V800" s="4">
        <v>0</v>
      </c>
      <c r="W800" s="4">
        <v>0</v>
      </c>
    </row>
    <row r="801" spans="1:23" ht="11.25" customHeight="1" x14ac:dyDescent="0.25">
      <c r="A801" s="4" t="s">
        <v>21</v>
      </c>
      <c r="B801" s="4" t="s">
        <v>35</v>
      </c>
      <c r="C801" s="4" t="s">
        <v>36</v>
      </c>
      <c r="D801" s="4" t="s">
        <v>45</v>
      </c>
      <c r="E801" s="4" t="s">
        <v>25</v>
      </c>
      <c r="F801" s="4" t="s">
        <v>25</v>
      </c>
      <c r="G801" s="4" t="s">
        <v>25</v>
      </c>
      <c r="H801" s="4" t="s">
        <v>25</v>
      </c>
      <c r="I801" s="5">
        <v>44317</v>
      </c>
      <c r="J801" s="6">
        <v>131251</v>
      </c>
      <c r="K801" s="6">
        <v>131251</v>
      </c>
      <c r="L801" s="6">
        <v>0</v>
      </c>
      <c r="M801" s="6">
        <v>0</v>
      </c>
      <c r="N801" s="6">
        <v>0</v>
      </c>
      <c r="O801" s="6">
        <v>0</v>
      </c>
      <c r="P801" s="6">
        <v>840</v>
      </c>
      <c r="Q801" s="4" t="s">
        <v>26</v>
      </c>
      <c r="R801" s="4">
        <v>0</v>
      </c>
      <c r="S801" s="4" t="s">
        <v>206</v>
      </c>
      <c r="U801" s="4">
        <v>23</v>
      </c>
      <c r="V801" s="4">
        <v>0</v>
      </c>
      <c r="W801" s="4">
        <v>0</v>
      </c>
    </row>
    <row r="802" spans="1:23" ht="11.25" customHeight="1" x14ac:dyDescent="0.25">
      <c r="A802" s="4" t="s">
        <v>27</v>
      </c>
      <c r="B802" s="4" t="s">
        <v>35</v>
      </c>
      <c r="C802" s="4" t="s">
        <v>36</v>
      </c>
      <c r="D802" s="4" t="s">
        <v>45</v>
      </c>
      <c r="E802" s="4" t="s">
        <v>25</v>
      </c>
      <c r="F802" s="4" t="s">
        <v>25</v>
      </c>
      <c r="G802" s="4" t="s">
        <v>25</v>
      </c>
      <c r="H802" s="4" t="s">
        <v>25</v>
      </c>
      <c r="I802" s="5">
        <v>44317</v>
      </c>
      <c r="J802" s="6">
        <v>-1464</v>
      </c>
      <c r="K802" s="6">
        <v>-1464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4" t="s">
        <v>26</v>
      </c>
      <c r="R802" s="4">
        <v>0</v>
      </c>
      <c r="S802" s="4" t="s">
        <v>206</v>
      </c>
      <c r="U802" s="4">
        <v>23</v>
      </c>
      <c r="V802" s="4">
        <v>0</v>
      </c>
      <c r="W802" s="4">
        <v>0</v>
      </c>
    </row>
    <row r="803" spans="1:23" ht="11.25" customHeight="1" x14ac:dyDescent="0.25">
      <c r="A803" s="4" t="s">
        <v>28</v>
      </c>
      <c r="B803" s="4" t="s">
        <v>35</v>
      </c>
      <c r="C803" s="4" t="s">
        <v>36</v>
      </c>
      <c r="D803" s="4" t="s">
        <v>45</v>
      </c>
      <c r="E803" s="4" t="s">
        <v>25</v>
      </c>
      <c r="F803" s="4" t="s">
        <v>25</v>
      </c>
      <c r="G803" s="4" t="s">
        <v>25</v>
      </c>
      <c r="H803" s="4" t="s">
        <v>25</v>
      </c>
      <c r="I803" s="5">
        <v>44317</v>
      </c>
      <c r="J803" s="6">
        <v>8698</v>
      </c>
      <c r="K803" s="6">
        <v>8698</v>
      </c>
      <c r="L803" s="6">
        <v>0</v>
      </c>
      <c r="M803" s="6">
        <v>0</v>
      </c>
      <c r="N803" s="6">
        <v>0</v>
      </c>
      <c r="O803" s="6">
        <v>0</v>
      </c>
      <c r="P803" s="6">
        <v>108</v>
      </c>
      <c r="Q803" s="4" t="s">
        <v>26</v>
      </c>
      <c r="R803" s="4">
        <v>0</v>
      </c>
      <c r="S803" s="4" t="s">
        <v>206</v>
      </c>
      <c r="U803" s="4">
        <v>23</v>
      </c>
      <c r="V803" s="4">
        <v>0</v>
      </c>
      <c r="W803" s="4">
        <v>0</v>
      </c>
    </row>
    <row r="804" spans="1:23" ht="11.25" customHeight="1" x14ac:dyDescent="0.25">
      <c r="A804" s="4" t="s">
        <v>30</v>
      </c>
      <c r="B804" s="4" t="s">
        <v>35</v>
      </c>
      <c r="C804" s="4" t="s">
        <v>36</v>
      </c>
      <c r="D804" s="4" t="s">
        <v>45</v>
      </c>
      <c r="E804" s="4" t="s">
        <v>25</v>
      </c>
      <c r="F804" s="4" t="s">
        <v>25</v>
      </c>
      <c r="G804" s="4" t="s">
        <v>25</v>
      </c>
      <c r="H804" s="4" t="s">
        <v>25</v>
      </c>
      <c r="I804" s="5">
        <v>44317</v>
      </c>
      <c r="J804" s="6">
        <v>8672</v>
      </c>
      <c r="K804" s="6">
        <v>8672</v>
      </c>
      <c r="L804" s="6">
        <v>0</v>
      </c>
      <c r="M804" s="6">
        <v>0</v>
      </c>
      <c r="N804" s="6">
        <v>0</v>
      </c>
      <c r="O804" s="6">
        <v>0</v>
      </c>
      <c r="P804" s="6">
        <v>39</v>
      </c>
      <c r="Q804" s="4" t="s">
        <v>26</v>
      </c>
      <c r="R804" s="4">
        <v>0</v>
      </c>
      <c r="S804" s="4" t="s">
        <v>206</v>
      </c>
      <c r="U804" s="4">
        <v>23</v>
      </c>
      <c r="V804" s="4">
        <v>0</v>
      </c>
      <c r="W804" s="4">
        <v>0</v>
      </c>
    </row>
    <row r="805" spans="1:23" ht="11.25" customHeight="1" x14ac:dyDescent="0.25">
      <c r="A805" s="4" t="s">
        <v>21</v>
      </c>
      <c r="B805" s="4" t="s">
        <v>35</v>
      </c>
      <c r="C805" s="4" t="s">
        <v>36</v>
      </c>
      <c r="D805" s="4" t="s">
        <v>45</v>
      </c>
      <c r="E805" s="4" t="s">
        <v>25</v>
      </c>
      <c r="F805" s="4" t="s">
        <v>25</v>
      </c>
      <c r="G805" s="4" t="s">
        <v>25</v>
      </c>
      <c r="H805" s="4" t="s">
        <v>25</v>
      </c>
      <c r="I805" s="5">
        <v>44317</v>
      </c>
      <c r="J805" s="6">
        <v>575</v>
      </c>
      <c r="K805" s="6">
        <v>575</v>
      </c>
      <c r="L805" s="6">
        <v>0</v>
      </c>
      <c r="M805" s="6">
        <v>0</v>
      </c>
      <c r="N805" s="6">
        <v>0</v>
      </c>
      <c r="O805" s="6">
        <v>0</v>
      </c>
      <c r="P805" s="6">
        <v>2</v>
      </c>
      <c r="Q805" s="4" t="s">
        <v>60</v>
      </c>
      <c r="R805" s="4">
        <v>0</v>
      </c>
      <c r="S805" s="4" t="s">
        <v>206</v>
      </c>
      <c r="U805" s="4">
        <v>23</v>
      </c>
      <c r="V805" s="4">
        <v>0</v>
      </c>
      <c r="W805" s="4">
        <v>0</v>
      </c>
    </row>
    <row r="806" spans="1:23" ht="11.25" customHeight="1" x14ac:dyDescent="0.25">
      <c r="A806" s="4" t="s">
        <v>21</v>
      </c>
      <c r="B806" s="4" t="s">
        <v>35</v>
      </c>
      <c r="C806" s="4" t="s">
        <v>36</v>
      </c>
      <c r="D806" s="4" t="s">
        <v>45</v>
      </c>
      <c r="E806" s="4" t="s">
        <v>25</v>
      </c>
      <c r="F806" s="4" t="s">
        <v>25</v>
      </c>
      <c r="G806" s="4" t="s">
        <v>25</v>
      </c>
      <c r="H806" s="4" t="s">
        <v>25</v>
      </c>
      <c r="I806" s="5">
        <v>44348</v>
      </c>
      <c r="J806" s="6">
        <v>130281</v>
      </c>
      <c r="K806" s="6">
        <v>130281</v>
      </c>
      <c r="L806" s="6">
        <v>0</v>
      </c>
      <c r="M806" s="6">
        <v>0</v>
      </c>
      <c r="N806" s="6">
        <v>0</v>
      </c>
      <c r="O806" s="6">
        <v>0</v>
      </c>
      <c r="P806" s="6">
        <v>837</v>
      </c>
      <c r="Q806" s="4" t="s">
        <v>26</v>
      </c>
      <c r="R806" s="4">
        <v>0</v>
      </c>
      <c r="S806" s="4" t="s">
        <v>207</v>
      </c>
      <c r="U806" s="4">
        <v>23</v>
      </c>
      <c r="V806" s="4">
        <v>0</v>
      </c>
      <c r="W806" s="4">
        <v>0</v>
      </c>
    </row>
    <row r="807" spans="1:23" ht="11.25" customHeight="1" x14ac:dyDescent="0.25">
      <c r="A807" s="4" t="s">
        <v>27</v>
      </c>
      <c r="B807" s="4" t="s">
        <v>35</v>
      </c>
      <c r="C807" s="4" t="s">
        <v>36</v>
      </c>
      <c r="D807" s="4" t="s">
        <v>45</v>
      </c>
      <c r="E807" s="4" t="s">
        <v>25</v>
      </c>
      <c r="F807" s="4" t="s">
        <v>25</v>
      </c>
      <c r="G807" s="4" t="s">
        <v>25</v>
      </c>
      <c r="H807" s="4" t="s">
        <v>25</v>
      </c>
      <c r="I807" s="5">
        <v>44348</v>
      </c>
      <c r="J807" s="6">
        <v>-540</v>
      </c>
      <c r="K807" s="6">
        <v>-540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4" t="s">
        <v>26</v>
      </c>
      <c r="R807" s="4">
        <v>0</v>
      </c>
      <c r="S807" s="4" t="s">
        <v>207</v>
      </c>
      <c r="U807" s="4">
        <v>23</v>
      </c>
      <c r="V807" s="4">
        <v>0</v>
      </c>
      <c r="W807" s="4">
        <v>0</v>
      </c>
    </row>
    <row r="808" spans="1:23" ht="11.25" customHeight="1" x14ac:dyDescent="0.25">
      <c r="A808" s="4" t="s">
        <v>28</v>
      </c>
      <c r="B808" s="4" t="s">
        <v>35</v>
      </c>
      <c r="C808" s="4" t="s">
        <v>36</v>
      </c>
      <c r="D808" s="4" t="s">
        <v>45</v>
      </c>
      <c r="E808" s="4" t="s">
        <v>25</v>
      </c>
      <c r="F808" s="4" t="s">
        <v>25</v>
      </c>
      <c r="G808" s="4" t="s">
        <v>25</v>
      </c>
      <c r="H808" s="4" t="s">
        <v>25</v>
      </c>
      <c r="I808" s="5">
        <v>44348</v>
      </c>
      <c r="J808" s="6">
        <v>8950</v>
      </c>
      <c r="K808" s="6">
        <v>8950</v>
      </c>
      <c r="L808" s="6">
        <v>0</v>
      </c>
      <c r="M808" s="6">
        <v>0</v>
      </c>
      <c r="N808" s="6">
        <v>0</v>
      </c>
      <c r="O808" s="6">
        <v>0</v>
      </c>
      <c r="P808" s="6">
        <v>108</v>
      </c>
      <c r="Q808" s="4" t="s">
        <v>26</v>
      </c>
      <c r="R808" s="4">
        <v>0</v>
      </c>
      <c r="S808" s="4" t="s">
        <v>207</v>
      </c>
      <c r="U808" s="4">
        <v>23</v>
      </c>
      <c r="V808" s="4">
        <v>0</v>
      </c>
      <c r="W808" s="4">
        <v>0</v>
      </c>
    </row>
    <row r="809" spans="1:23" ht="11.25" customHeight="1" x14ac:dyDescent="0.25">
      <c r="A809" s="4" t="s">
        <v>29</v>
      </c>
      <c r="B809" s="4" t="s">
        <v>35</v>
      </c>
      <c r="C809" s="4" t="s">
        <v>36</v>
      </c>
      <c r="D809" s="4" t="s">
        <v>45</v>
      </c>
      <c r="E809" s="4" t="s">
        <v>25</v>
      </c>
      <c r="F809" s="4" t="s">
        <v>25</v>
      </c>
      <c r="G809" s="4" t="s">
        <v>25</v>
      </c>
      <c r="H809" s="4" t="s">
        <v>25</v>
      </c>
      <c r="I809" s="5">
        <v>44348</v>
      </c>
      <c r="J809" s="6">
        <v>-568</v>
      </c>
      <c r="K809" s="6">
        <v>-568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4" t="s">
        <v>26</v>
      </c>
      <c r="R809" s="4">
        <v>0</v>
      </c>
      <c r="S809" s="4" t="s">
        <v>207</v>
      </c>
      <c r="U809" s="4">
        <v>23</v>
      </c>
      <c r="V809" s="4">
        <v>0</v>
      </c>
      <c r="W809" s="4">
        <v>0</v>
      </c>
    </row>
    <row r="810" spans="1:23" ht="11.25" customHeight="1" x14ac:dyDescent="0.25">
      <c r="A810" s="4" t="s">
        <v>30</v>
      </c>
      <c r="B810" s="4" t="s">
        <v>35</v>
      </c>
      <c r="C810" s="4" t="s">
        <v>36</v>
      </c>
      <c r="D810" s="4" t="s">
        <v>45</v>
      </c>
      <c r="E810" s="4" t="s">
        <v>25</v>
      </c>
      <c r="F810" s="4" t="s">
        <v>25</v>
      </c>
      <c r="G810" s="4" t="s">
        <v>25</v>
      </c>
      <c r="H810" s="4" t="s">
        <v>25</v>
      </c>
      <c r="I810" s="5">
        <v>44348</v>
      </c>
      <c r="J810" s="6">
        <v>9028</v>
      </c>
      <c r="K810" s="6">
        <v>9028</v>
      </c>
      <c r="L810" s="6">
        <v>0</v>
      </c>
      <c r="M810" s="6">
        <v>0</v>
      </c>
      <c r="N810" s="6">
        <v>0</v>
      </c>
      <c r="O810" s="6">
        <v>0</v>
      </c>
      <c r="P810" s="6">
        <v>41</v>
      </c>
      <c r="Q810" s="4" t="s">
        <v>26</v>
      </c>
      <c r="R810" s="4">
        <v>0</v>
      </c>
      <c r="S810" s="4" t="s">
        <v>207</v>
      </c>
      <c r="U810" s="4">
        <v>23</v>
      </c>
      <c r="V810" s="4">
        <v>0</v>
      </c>
      <c r="W810" s="4">
        <v>0</v>
      </c>
    </row>
    <row r="811" spans="1:23" ht="11.25" customHeight="1" x14ac:dyDescent="0.25">
      <c r="A811" s="4" t="s">
        <v>21</v>
      </c>
      <c r="B811" s="4" t="s">
        <v>35</v>
      </c>
      <c r="C811" s="4" t="s">
        <v>36</v>
      </c>
      <c r="D811" s="4" t="s">
        <v>45</v>
      </c>
      <c r="E811" s="4" t="s">
        <v>25</v>
      </c>
      <c r="F811" s="4" t="s">
        <v>25</v>
      </c>
      <c r="G811" s="4" t="s">
        <v>25</v>
      </c>
      <c r="H811" s="4" t="s">
        <v>25</v>
      </c>
      <c r="I811" s="5">
        <v>44348</v>
      </c>
      <c r="J811" s="6">
        <v>575</v>
      </c>
      <c r="K811" s="6">
        <v>575</v>
      </c>
      <c r="L811" s="6">
        <v>0</v>
      </c>
      <c r="M811" s="6">
        <v>0</v>
      </c>
      <c r="N811" s="6">
        <v>0</v>
      </c>
      <c r="O811" s="6">
        <v>0</v>
      </c>
      <c r="P811" s="6">
        <v>2</v>
      </c>
      <c r="Q811" s="4" t="s">
        <v>60</v>
      </c>
      <c r="R811" s="4">
        <v>0</v>
      </c>
      <c r="S811" s="4" t="s">
        <v>207</v>
      </c>
      <c r="U811" s="4">
        <v>23</v>
      </c>
      <c r="V811" s="4">
        <v>0</v>
      </c>
      <c r="W811" s="4">
        <v>0</v>
      </c>
    </row>
    <row r="812" spans="1:23" ht="11.25" customHeight="1" x14ac:dyDescent="0.25">
      <c r="A812" s="4" t="s">
        <v>21</v>
      </c>
      <c r="B812" s="4" t="s">
        <v>35</v>
      </c>
      <c r="C812" s="4" t="s">
        <v>36</v>
      </c>
      <c r="D812" s="4" t="s">
        <v>45</v>
      </c>
      <c r="E812" s="4" t="s">
        <v>25</v>
      </c>
      <c r="F812" s="4" t="s">
        <v>25</v>
      </c>
      <c r="G812" s="4" t="s">
        <v>25</v>
      </c>
      <c r="H812" s="4" t="s">
        <v>25</v>
      </c>
      <c r="I812" s="5">
        <v>44378</v>
      </c>
      <c r="J812" s="6">
        <v>135022</v>
      </c>
      <c r="K812" s="6">
        <v>135022</v>
      </c>
      <c r="L812" s="6">
        <v>0</v>
      </c>
      <c r="M812" s="6">
        <v>0</v>
      </c>
      <c r="N812" s="6">
        <v>0</v>
      </c>
      <c r="O812" s="6">
        <v>0</v>
      </c>
      <c r="P812" s="6">
        <v>838</v>
      </c>
      <c r="Q812" s="4" t="s">
        <v>26</v>
      </c>
      <c r="R812" s="4">
        <v>0</v>
      </c>
      <c r="S812" s="4" t="s">
        <v>208</v>
      </c>
      <c r="U812" s="4">
        <v>23</v>
      </c>
      <c r="V812" s="4">
        <v>0</v>
      </c>
      <c r="W812" s="4">
        <v>0</v>
      </c>
    </row>
    <row r="813" spans="1:23" ht="11.25" customHeight="1" x14ac:dyDescent="0.25">
      <c r="A813" s="4" t="s">
        <v>27</v>
      </c>
      <c r="B813" s="4" t="s">
        <v>35</v>
      </c>
      <c r="C813" s="4" t="s">
        <v>36</v>
      </c>
      <c r="D813" s="4" t="s">
        <v>45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44378</v>
      </c>
      <c r="J813" s="6">
        <v>-271</v>
      </c>
      <c r="K813" s="6">
        <v>-271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4" t="s">
        <v>26</v>
      </c>
      <c r="R813" s="4">
        <v>0</v>
      </c>
      <c r="S813" s="4" t="s">
        <v>208</v>
      </c>
      <c r="U813" s="4">
        <v>23</v>
      </c>
      <c r="V813" s="4">
        <v>0</v>
      </c>
      <c r="W813" s="4">
        <v>0</v>
      </c>
    </row>
    <row r="814" spans="1:23" ht="11.25" customHeight="1" x14ac:dyDescent="0.25">
      <c r="A814" s="4" t="s">
        <v>28</v>
      </c>
      <c r="B814" s="4" t="s">
        <v>35</v>
      </c>
      <c r="C814" s="4" t="s">
        <v>36</v>
      </c>
      <c r="D814" s="4" t="s">
        <v>45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44378</v>
      </c>
      <c r="J814" s="6">
        <v>9665</v>
      </c>
      <c r="K814" s="6">
        <v>9665</v>
      </c>
      <c r="L814" s="6">
        <v>0</v>
      </c>
      <c r="M814" s="6">
        <v>0</v>
      </c>
      <c r="N814" s="6">
        <v>0</v>
      </c>
      <c r="O814" s="6">
        <v>0</v>
      </c>
      <c r="P814" s="6">
        <v>110</v>
      </c>
      <c r="Q814" s="4" t="s">
        <v>26</v>
      </c>
      <c r="R814" s="4">
        <v>0</v>
      </c>
      <c r="S814" s="4" t="s">
        <v>208</v>
      </c>
      <c r="U814" s="4">
        <v>23</v>
      </c>
      <c r="V814" s="4">
        <v>0</v>
      </c>
      <c r="W814" s="4">
        <v>0</v>
      </c>
    </row>
    <row r="815" spans="1:23" ht="11.25" customHeight="1" x14ac:dyDescent="0.25">
      <c r="A815" s="4" t="s">
        <v>29</v>
      </c>
      <c r="B815" s="4" t="s">
        <v>35</v>
      </c>
      <c r="C815" s="4" t="s">
        <v>36</v>
      </c>
      <c r="D815" s="4" t="s">
        <v>45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44378</v>
      </c>
      <c r="J815" s="6">
        <v>6</v>
      </c>
      <c r="K815" s="6">
        <v>6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4" t="s">
        <v>26</v>
      </c>
      <c r="R815" s="4">
        <v>0</v>
      </c>
      <c r="S815" s="4" t="s">
        <v>208</v>
      </c>
      <c r="U815" s="4">
        <v>23</v>
      </c>
      <c r="V815" s="4">
        <v>0</v>
      </c>
      <c r="W815" s="4">
        <v>0</v>
      </c>
    </row>
    <row r="816" spans="1:23" ht="11.25" customHeight="1" x14ac:dyDescent="0.25">
      <c r="A816" s="4" t="s">
        <v>30</v>
      </c>
      <c r="B816" s="4" t="s">
        <v>35</v>
      </c>
      <c r="C816" s="4" t="s">
        <v>36</v>
      </c>
      <c r="D816" s="4" t="s">
        <v>45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44378</v>
      </c>
      <c r="J816" s="6">
        <v>9213</v>
      </c>
      <c r="K816" s="6">
        <v>9213</v>
      </c>
      <c r="L816" s="6">
        <v>0</v>
      </c>
      <c r="M816" s="6">
        <v>0</v>
      </c>
      <c r="N816" s="6">
        <v>0</v>
      </c>
      <c r="O816" s="6">
        <v>0</v>
      </c>
      <c r="P816" s="6">
        <v>44</v>
      </c>
      <c r="Q816" s="4" t="s">
        <v>26</v>
      </c>
      <c r="R816" s="4">
        <v>0</v>
      </c>
      <c r="S816" s="4" t="s">
        <v>208</v>
      </c>
      <c r="U816" s="4">
        <v>23</v>
      </c>
      <c r="V816" s="4">
        <v>0</v>
      </c>
      <c r="W816" s="4">
        <v>0</v>
      </c>
    </row>
    <row r="817" spans="1:23" ht="11.25" customHeight="1" x14ac:dyDescent="0.25">
      <c r="A817" s="4" t="s">
        <v>30</v>
      </c>
      <c r="B817" s="4" t="s">
        <v>35</v>
      </c>
      <c r="C817" s="4" t="s">
        <v>36</v>
      </c>
      <c r="D817" s="4" t="s">
        <v>45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44378</v>
      </c>
      <c r="J817" s="6">
        <v>-95</v>
      </c>
      <c r="K817" s="6">
        <v>-95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4" t="s">
        <v>26</v>
      </c>
      <c r="R817" s="4">
        <v>0</v>
      </c>
      <c r="S817" s="4" t="s">
        <v>208</v>
      </c>
      <c r="U817" s="4">
        <v>23</v>
      </c>
      <c r="V817" s="4">
        <v>0</v>
      </c>
      <c r="W817" s="4">
        <v>0</v>
      </c>
    </row>
    <row r="818" spans="1:23" ht="11.25" customHeight="1" x14ac:dyDescent="0.25">
      <c r="A818" s="4" t="s">
        <v>21</v>
      </c>
      <c r="B818" s="4" t="s">
        <v>35</v>
      </c>
      <c r="C818" s="4" t="s">
        <v>36</v>
      </c>
      <c r="D818" s="4" t="s">
        <v>45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44378</v>
      </c>
      <c r="J818" s="6">
        <v>575</v>
      </c>
      <c r="K818" s="6">
        <v>575</v>
      </c>
      <c r="L818" s="6">
        <v>0</v>
      </c>
      <c r="M818" s="6">
        <v>0</v>
      </c>
      <c r="N818" s="6">
        <v>0</v>
      </c>
      <c r="O818" s="6">
        <v>0</v>
      </c>
      <c r="P818" s="6">
        <v>2</v>
      </c>
      <c r="Q818" s="4" t="s">
        <v>60</v>
      </c>
      <c r="R818" s="4">
        <v>0</v>
      </c>
      <c r="S818" s="4" t="s">
        <v>208</v>
      </c>
      <c r="U818" s="4">
        <v>23</v>
      </c>
      <c r="V818" s="4">
        <v>0</v>
      </c>
      <c r="W818" s="4">
        <v>0</v>
      </c>
    </row>
    <row r="819" spans="1:23" ht="11.25" customHeight="1" x14ac:dyDescent="0.25">
      <c r="A819" s="4" t="s">
        <v>21</v>
      </c>
      <c r="B819" s="4" t="s">
        <v>35</v>
      </c>
      <c r="C819" s="4" t="s">
        <v>36</v>
      </c>
      <c r="D819" s="4" t="s">
        <v>45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44409</v>
      </c>
      <c r="J819" s="6">
        <v>134734</v>
      </c>
      <c r="K819" s="6">
        <v>134734</v>
      </c>
      <c r="L819" s="6">
        <v>0</v>
      </c>
      <c r="M819" s="6">
        <v>0</v>
      </c>
      <c r="N819" s="6">
        <v>0</v>
      </c>
      <c r="O819" s="6">
        <v>0</v>
      </c>
      <c r="P819" s="6">
        <v>844</v>
      </c>
      <c r="Q819" s="4" t="s">
        <v>26</v>
      </c>
      <c r="R819" s="4">
        <v>0</v>
      </c>
      <c r="S819" s="4" t="s">
        <v>209</v>
      </c>
      <c r="U819" s="4">
        <v>23</v>
      </c>
      <c r="V819" s="4">
        <v>0</v>
      </c>
      <c r="W819" s="4">
        <v>0</v>
      </c>
    </row>
    <row r="820" spans="1:23" ht="11.25" customHeight="1" x14ac:dyDescent="0.25">
      <c r="A820" s="4" t="s">
        <v>27</v>
      </c>
      <c r="B820" s="4" t="s">
        <v>35</v>
      </c>
      <c r="C820" s="4" t="s">
        <v>36</v>
      </c>
      <c r="D820" s="4" t="s">
        <v>45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44409</v>
      </c>
      <c r="J820" s="6">
        <v>45432</v>
      </c>
      <c r="K820" s="6">
        <v>45432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4" t="s">
        <v>26</v>
      </c>
      <c r="R820" s="4">
        <v>0</v>
      </c>
      <c r="S820" s="4" t="s">
        <v>209</v>
      </c>
      <c r="U820" s="4">
        <v>23</v>
      </c>
      <c r="V820" s="4">
        <v>0</v>
      </c>
      <c r="W820" s="4">
        <v>0</v>
      </c>
    </row>
    <row r="821" spans="1:23" ht="11.25" customHeight="1" x14ac:dyDescent="0.25">
      <c r="A821" s="4" t="s">
        <v>28</v>
      </c>
      <c r="B821" s="4" t="s">
        <v>35</v>
      </c>
      <c r="C821" s="4" t="s">
        <v>36</v>
      </c>
      <c r="D821" s="4" t="s">
        <v>45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44409</v>
      </c>
      <c r="J821" s="6">
        <v>10027</v>
      </c>
      <c r="K821" s="6">
        <v>10027</v>
      </c>
      <c r="L821" s="6">
        <v>0</v>
      </c>
      <c r="M821" s="6">
        <v>0</v>
      </c>
      <c r="N821" s="6">
        <v>0</v>
      </c>
      <c r="O821" s="6">
        <v>0</v>
      </c>
      <c r="P821" s="6">
        <v>111</v>
      </c>
      <c r="Q821" s="4" t="s">
        <v>26</v>
      </c>
      <c r="R821" s="4">
        <v>0</v>
      </c>
      <c r="S821" s="4" t="s">
        <v>209</v>
      </c>
      <c r="U821" s="4">
        <v>23</v>
      </c>
      <c r="V821" s="4">
        <v>0</v>
      </c>
      <c r="W821" s="4">
        <v>0</v>
      </c>
    </row>
    <row r="822" spans="1:23" ht="11.25" customHeight="1" x14ac:dyDescent="0.25">
      <c r="A822" s="4" t="s">
        <v>30</v>
      </c>
      <c r="B822" s="4" t="s">
        <v>35</v>
      </c>
      <c r="C822" s="4" t="s">
        <v>36</v>
      </c>
      <c r="D822" s="4" t="s">
        <v>45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44409</v>
      </c>
      <c r="J822" s="6">
        <v>9734</v>
      </c>
      <c r="K822" s="6">
        <v>9734</v>
      </c>
      <c r="L822" s="6">
        <v>0</v>
      </c>
      <c r="M822" s="6">
        <v>0</v>
      </c>
      <c r="N822" s="6">
        <v>0</v>
      </c>
      <c r="O822" s="6">
        <v>0</v>
      </c>
      <c r="P822" s="6">
        <v>47</v>
      </c>
      <c r="Q822" s="4" t="s">
        <v>26</v>
      </c>
      <c r="R822" s="4">
        <v>0</v>
      </c>
      <c r="S822" s="4" t="s">
        <v>209</v>
      </c>
      <c r="U822" s="4">
        <v>23</v>
      </c>
      <c r="V822" s="4">
        <v>0</v>
      </c>
      <c r="W822" s="4">
        <v>0</v>
      </c>
    </row>
    <row r="823" spans="1:23" ht="11.25" customHeight="1" x14ac:dyDescent="0.25">
      <c r="A823" s="4" t="s">
        <v>30</v>
      </c>
      <c r="B823" s="4" t="s">
        <v>35</v>
      </c>
      <c r="C823" s="4" t="s">
        <v>36</v>
      </c>
      <c r="D823" s="4" t="s">
        <v>45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44409</v>
      </c>
      <c r="J823" s="6">
        <v>-5</v>
      </c>
      <c r="K823" s="6">
        <v>-5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4" t="s">
        <v>26</v>
      </c>
      <c r="R823" s="4">
        <v>0</v>
      </c>
      <c r="S823" s="4" t="s">
        <v>209</v>
      </c>
      <c r="U823" s="4">
        <v>23</v>
      </c>
      <c r="V823" s="4">
        <v>0</v>
      </c>
      <c r="W823" s="4">
        <v>0</v>
      </c>
    </row>
    <row r="824" spans="1:23" ht="11.25" customHeight="1" x14ac:dyDescent="0.25">
      <c r="A824" s="4" t="s">
        <v>21</v>
      </c>
      <c r="B824" s="4" t="s">
        <v>35</v>
      </c>
      <c r="C824" s="4" t="s">
        <v>36</v>
      </c>
      <c r="D824" s="4" t="s">
        <v>45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44409</v>
      </c>
      <c r="J824" s="6">
        <v>575</v>
      </c>
      <c r="K824" s="6">
        <v>575</v>
      </c>
      <c r="L824" s="6">
        <v>0</v>
      </c>
      <c r="M824" s="6">
        <v>0</v>
      </c>
      <c r="N824" s="6">
        <v>0</v>
      </c>
      <c r="O824" s="6">
        <v>0</v>
      </c>
      <c r="P824" s="6">
        <v>2</v>
      </c>
      <c r="Q824" s="4" t="s">
        <v>60</v>
      </c>
      <c r="R824" s="4">
        <v>0</v>
      </c>
      <c r="S824" s="4" t="s">
        <v>209</v>
      </c>
      <c r="U824" s="4">
        <v>23</v>
      </c>
      <c r="V824" s="4">
        <v>0</v>
      </c>
      <c r="W824" s="4">
        <v>0</v>
      </c>
    </row>
    <row r="825" spans="1:23" ht="11.25" customHeight="1" x14ac:dyDescent="0.25">
      <c r="A825" s="4" t="s">
        <v>21</v>
      </c>
      <c r="B825" s="4" t="s">
        <v>35</v>
      </c>
      <c r="C825" s="4" t="s">
        <v>36</v>
      </c>
      <c r="D825" s="4" t="s">
        <v>45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44440</v>
      </c>
      <c r="J825" s="6">
        <v>133872</v>
      </c>
      <c r="K825" s="6">
        <v>133872</v>
      </c>
      <c r="L825" s="6">
        <v>0</v>
      </c>
      <c r="M825" s="6">
        <v>0</v>
      </c>
      <c r="N825" s="6">
        <v>0</v>
      </c>
      <c r="O825" s="6">
        <v>0</v>
      </c>
      <c r="P825" s="6">
        <v>845</v>
      </c>
      <c r="Q825" s="4" t="s">
        <v>26</v>
      </c>
      <c r="R825" s="4">
        <v>0</v>
      </c>
      <c r="S825" s="4" t="s">
        <v>210</v>
      </c>
      <c r="U825" s="4">
        <v>23</v>
      </c>
      <c r="V825" s="4">
        <v>0</v>
      </c>
      <c r="W825" s="4">
        <v>0</v>
      </c>
    </row>
    <row r="826" spans="1:23" ht="11.25" customHeight="1" x14ac:dyDescent="0.25">
      <c r="A826" s="4" t="s">
        <v>27</v>
      </c>
      <c r="B826" s="4" t="s">
        <v>35</v>
      </c>
      <c r="C826" s="4" t="s">
        <v>36</v>
      </c>
      <c r="D826" s="4" t="s">
        <v>45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44440</v>
      </c>
      <c r="J826" s="6">
        <v>-1682</v>
      </c>
      <c r="K826" s="6">
        <v>-1682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4" t="s">
        <v>26</v>
      </c>
      <c r="R826" s="4">
        <v>0</v>
      </c>
      <c r="S826" s="4" t="s">
        <v>210</v>
      </c>
      <c r="U826" s="4">
        <v>23</v>
      </c>
      <c r="V826" s="4">
        <v>0</v>
      </c>
      <c r="W826" s="4">
        <v>0</v>
      </c>
    </row>
    <row r="827" spans="1:23" ht="11.25" customHeight="1" x14ac:dyDescent="0.25">
      <c r="A827" s="4" t="s">
        <v>28</v>
      </c>
      <c r="B827" s="4" t="s">
        <v>35</v>
      </c>
      <c r="C827" s="4" t="s">
        <v>36</v>
      </c>
      <c r="D827" s="4" t="s">
        <v>45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44440</v>
      </c>
      <c r="J827" s="6">
        <v>10401</v>
      </c>
      <c r="K827" s="6">
        <v>10401</v>
      </c>
      <c r="L827" s="6">
        <v>0</v>
      </c>
      <c r="M827" s="6">
        <v>0</v>
      </c>
      <c r="N827" s="6">
        <v>0</v>
      </c>
      <c r="O827" s="6">
        <v>0</v>
      </c>
      <c r="P827" s="6">
        <v>115</v>
      </c>
      <c r="Q827" s="4" t="s">
        <v>26</v>
      </c>
      <c r="R827" s="4">
        <v>0</v>
      </c>
      <c r="S827" s="4" t="s">
        <v>210</v>
      </c>
      <c r="U827" s="4">
        <v>23</v>
      </c>
      <c r="V827" s="4">
        <v>0</v>
      </c>
      <c r="W827" s="4">
        <v>0</v>
      </c>
    </row>
    <row r="828" spans="1:23" ht="11.25" customHeight="1" x14ac:dyDescent="0.25">
      <c r="A828" s="4" t="s">
        <v>30</v>
      </c>
      <c r="B828" s="4" t="s">
        <v>35</v>
      </c>
      <c r="C828" s="4" t="s">
        <v>36</v>
      </c>
      <c r="D828" s="4" t="s">
        <v>45</v>
      </c>
      <c r="E828" s="4" t="s">
        <v>25</v>
      </c>
      <c r="F828" s="4" t="s">
        <v>25</v>
      </c>
      <c r="G828" s="4" t="s">
        <v>25</v>
      </c>
      <c r="H828" s="4" t="s">
        <v>25</v>
      </c>
      <c r="I828" s="5">
        <v>44440</v>
      </c>
      <c r="J828" s="6">
        <v>9639</v>
      </c>
      <c r="K828" s="6">
        <v>9639</v>
      </c>
      <c r="L828" s="6">
        <v>0</v>
      </c>
      <c r="M828" s="6">
        <v>0</v>
      </c>
      <c r="N828" s="6">
        <v>0</v>
      </c>
      <c r="O828" s="6">
        <v>0</v>
      </c>
      <c r="P828" s="6">
        <v>47</v>
      </c>
      <c r="Q828" s="4" t="s">
        <v>26</v>
      </c>
      <c r="R828" s="4">
        <v>0</v>
      </c>
      <c r="S828" s="4" t="s">
        <v>210</v>
      </c>
      <c r="U828" s="4">
        <v>23</v>
      </c>
      <c r="V828" s="4">
        <v>0</v>
      </c>
      <c r="W828" s="4">
        <v>0</v>
      </c>
    </row>
    <row r="829" spans="1:23" ht="11.25" customHeight="1" x14ac:dyDescent="0.25">
      <c r="A829" s="4" t="s">
        <v>21</v>
      </c>
      <c r="B829" s="4" t="s">
        <v>35</v>
      </c>
      <c r="C829" s="4" t="s">
        <v>36</v>
      </c>
      <c r="D829" s="4" t="s">
        <v>45</v>
      </c>
      <c r="E829" s="4" t="s">
        <v>25</v>
      </c>
      <c r="F829" s="4" t="s">
        <v>25</v>
      </c>
      <c r="G829" s="4" t="s">
        <v>25</v>
      </c>
      <c r="H829" s="4" t="s">
        <v>25</v>
      </c>
      <c r="I829" s="5">
        <v>44440</v>
      </c>
      <c r="J829" s="6">
        <v>575</v>
      </c>
      <c r="K829" s="6">
        <v>575</v>
      </c>
      <c r="L829" s="6">
        <v>0</v>
      </c>
      <c r="M829" s="6">
        <v>0</v>
      </c>
      <c r="N829" s="6">
        <v>0</v>
      </c>
      <c r="O829" s="6">
        <v>0</v>
      </c>
      <c r="P829" s="6">
        <v>2</v>
      </c>
      <c r="Q829" s="4" t="s">
        <v>60</v>
      </c>
      <c r="R829" s="4">
        <v>0</v>
      </c>
      <c r="S829" s="4" t="s">
        <v>210</v>
      </c>
      <c r="U829" s="4">
        <v>23</v>
      </c>
      <c r="V829" s="4">
        <v>0</v>
      </c>
      <c r="W829" s="4">
        <v>0</v>
      </c>
    </row>
    <row r="830" spans="1:23" ht="11.25" customHeight="1" x14ac:dyDescent="0.25">
      <c r="A830" s="4" t="s">
        <v>59</v>
      </c>
      <c r="B830" s="4" t="s">
        <v>35</v>
      </c>
      <c r="C830" s="4" t="s">
        <v>36</v>
      </c>
      <c r="D830" s="4" t="s">
        <v>45</v>
      </c>
      <c r="E830" s="4" t="s">
        <v>25</v>
      </c>
      <c r="F830" s="4" t="s">
        <v>25</v>
      </c>
      <c r="G830" s="4" t="s">
        <v>25</v>
      </c>
      <c r="H830" s="4" t="s">
        <v>25</v>
      </c>
      <c r="I830" s="5">
        <v>44470</v>
      </c>
      <c r="J830" s="6">
        <v>133872</v>
      </c>
      <c r="K830" s="6">
        <v>133872</v>
      </c>
      <c r="L830" s="6">
        <v>0</v>
      </c>
      <c r="M830" s="6">
        <v>0</v>
      </c>
      <c r="N830" s="6">
        <v>0</v>
      </c>
      <c r="O830" s="6">
        <v>0</v>
      </c>
      <c r="P830" s="6">
        <v>845</v>
      </c>
      <c r="Q830" s="4" t="s">
        <v>26</v>
      </c>
      <c r="R830" s="4">
        <v>0</v>
      </c>
      <c r="S830" s="4" t="s">
        <v>211</v>
      </c>
      <c r="U830" s="4">
        <v>23</v>
      </c>
      <c r="V830" s="4">
        <v>0</v>
      </c>
      <c r="W830" s="4">
        <v>0</v>
      </c>
    </row>
    <row r="831" spans="1:23" ht="11.25" customHeight="1" x14ac:dyDescent="0.25">
      <c r="A831" s="4" t="s">
        <v>59</v>
      </c>
      <c r="B831" s="4" t="s">
        <v>35</v>
      </c>
      <c r="C831" s="4" t="s">
        <v>36</v>
      </c>
      <c r="D831" s="4" t="s">
        <v>45</v>
      </c>
      <c r="E831" s="4" t="s">
        <v>25</v>
      </c>
      <c r="F831" s="4" t="s">
        <v>25</v>
      </c>
      <c r="G831" s="4" t="s">
        <v>25</v>
      </c>
      <c r="H831" s="4" t="s">
        <v>25</v>
      </c>
      <c r="I831" s="5">
        <v>44470</v>
      </c>
      <c r="J831" s="6">
        <v>-1682</v>
      </c>
      <c r="K831" s="6">
        <v>-1682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4" t="s">
        <v>26</v>
      </c>
      <c r="R831" s="4">
        <v>0</v>
      </c>
      <c r="S831" s="4" t="s">
        <v>211</v>
      </c>
      <c r="U831" s="4">
        <v>23</v>
      </c>
      <c r="V831" s="4">
        <v>0</v>
      </c>
      <c r="W831" s="4">
        <v>0</v>
      </c>
    </row>
    <row r="832" spans="1:23" ht="11.25" customHeight="1" x14ac:dyDescent="0.25">
      <c r="A832" s="4" t="s">
        <v>59</v>
      </c>
      <c r="B832" s="4" t="s">
        <v>35</v>
      </c>
      <c r="C832" s="4" t="s">
        <v>36</v>
      </c>
      <c r="D832" s="4" t="s">
        <v>45</v>
      </c>
      <c r="E832" s="4" t="s">
        <v>25</v>
      </c>
      <c r="F832" s="4" t="s">
        <v>25</v>
      </c>
      <c r="G832" s="4" t="s">
        <v>25</v>
      </c>
      <c r="H832" s="4" t="s">
        <v>25</v>
      </c>
      <c r="I832" s="5">
        <v>44470</v>
      </c>
      <c r="J832" s="6">
        <v>10401</v>
      </c>
      <c r="K832" s="6">
        <v>10401</v>
      </c>
      <c r="L832" s="6">
        <v>0</v>
      </c>
      <c r="M832" s="6">
        <v>0</v>
      </c>
      <c r="N832" s="6">
        <v>0</v>
      </c>
      <c r="O832" s="6">
        <v>0</v>
      </c>
      <c r="P832" s="6">
        <v>115</v>
      </c>
      <c r="Q832" s="4" t="s">
        <v>26</v>
      </c>
      <c r="R832" s="4">
        <v>0</v>
      </c>
      <c r="S832" s="4" t="s">
        <v>211</v>
      </c>
      <c r="U832" s="4">
        <v>23</v>
      </c>
      <c r="V832" s="4">
        <v>0</v>
      </c>
      <c r="W832" s="4">
        <v>0</v>
      </c>
    </row>
    <row r="833" spans="1:23" ht="11.25" customHeight="1" x14ac:dyDescent="0.25">
      <c r="A833" s="4" t="s">
        <v>59</v>
      </c>
      <c r="B833" s="4" t="s">
        <v>35</v>
      </c>
      <c r="C833" s="4" t="s">
        <v>36</v>
      </c>
      <c r="D833" s="4" t="s">
        <v>45</v>
      </c>
      <c r="E833" s="4" t="s">
        <v>25</v>
      </c>
      <c r="F833" s="4" t="s">
        <v>25</v>
      </c>
      <c r="G833" s="4" t="s">
        <v>25</v>
      </c>
      <c r="H833" s="4" t="s">
        <v>25</v>
      </c>
      <c r="I833" s="5">
        <v>44470</v>
      </c>
      <c r="J833" s="6">
        <v>9639</v>
      </c>
      <c r="K833" s="6">
        <v>9639</v>
      </c>
      <c r="L833" s="6">
        <v>0</v>
      </c>
      <c r="M833" s="6">
        <v>0</v>
      </c>
      <c r="N833" s="6">
        <v>0</v>
      </c>
      <c r="O833" s="6">
        <v>0</v>
      </c>
      <c r="P833" s="6">
        <v>47</v>
      </c>
      <c r="Q833" s="4" t="s">
        <v>26</v>
      </c>
      <c r="R833" s="4">
        <v>0</v>
      </c>
      <c r="S833" s="4" t="s">
        <v>211</v>
      </c>
      <c r="U833" s="4">
        <v>23</v>
      </c>
      <c r="V833" s="4">
        <v>0</v>
      </c>
      <c r="W833" s="4">
        <v>0</v>
      </c>
    </row>
    <row r="834" spans="1:23" ht="11.25" customHeight="1" x14ac:dyDescent="0.25">
      <c r="A834" s="4" t="s">
        <v>59</v>
      </c>
      <c r="B834" s="4" t="s">
        <v>35</v>
      </c>
      <c r="C834" s="4" t="s">
        <v>36</v>
      </c>
      <c r="D834" s="4" t="s">
        <v>45</v>
      </c>
      <c r="E834" s="4" t="s">
        <v>25</v>
      </c>
      <c r="F834" s="4" t="s">
        <v>25</v>
      </c>
      <c r="G834" s="4" t="s">
        <v>25</v>
      </c>
      <c r="H834" s="4" t="s">
        <v>25</v>
      </c>
      <c r="I834" s="5">
        <v>44470</v>
      </c>
      <c r="J834" s="6">
        <v>575</v>
      </c>
      <c r="K834" s="6">
        <v>575</v>
      </c>
      <c r="L834" s="6">
        <v>0</v>
      </c>
      <c r="M834" s="6">
        <v>0</v>
      </c>
      <c r="N834" s="6">
        <v>0</v>
      </c>
      <c r="O834" s="6">
        <v>0</v>
      </c>
      <c r="P834" s="6">
        <v>2</v>
      </c>
      <c r="Q834" s="4" t="s">
        <v>60</v>
      </c>
      <c r="R834" s="4">
        <v>0</v>
      </c>
      <c r="S834" s="4" t="s">
        <v>211</v>
      </c>
      <c r="U834" s="4">
        <v>23</v>
      </c>
      <c r="V834" s="4">
        <v>0</v>
      </c>
      <c r="W834" s="4">
        <v>0</v>
      </c>
    </row>
    <row r="835" spans="1:23" ht="11.25" customHeight="1" x14ac:dyDescent="0.25">
      <c r="A835" s="4" t="s">
        <v>21</v>
      </c>
      <c r="B835" s="4" t="s">
        <v>35</v>
      </c>
      <c r="C835" s="4" t="s">
        <v>36</v>
      </c>
      <c r="D835" s="4" t="s">
        <v>45</v>
      </c>
      <c r="E835" s="4" t="s">
        <v>25</v>
      </c>
      <c r="F835" s="4" t="s">
        <v>25</v>
      </c>
      <c r="G835" s="4" t="s">
        <v>25</v>
      </c>
      <c r="H835" s="4" t="s">
        <v>37</v>
      </c>
      <c r="I835" s="5">
        <v>44136</v>
      </c>
      <c r="J835" s="6">
        <v>0</v>
      </c>
      <c r="K835" s="6">
        <v>0</v>
      </c>
      <c r="L835" s="6">
        <v>1768.345</v>
      </c>
      <c r="M835" s="6">
        <v>1768.345</v>
      </c>
      <c r="N835" s="6">
        <v>1768.345</v>
      </c>
      <c r="O835" s="6">
        <v>1768.345</v>
      </c>
      <c r="P835" s="6">
        <v>0</v>
      </c>
      <c r="Q835" s="4" t="s">
        <v>26</v>
      </c>
      <c r="R835" s="4">
        <v>0</v>
      </c>
      <c r="S835" s="4" t="s">
        <v>212</v>
      </c>
      <c r="T835" s="4" t="s">
        <v>445</v>
      </c>
      <c r="U835" s="4">
        <v>0</v>
      </c>
      <c r="V835" s="4">
        <v>24</v>
      </c>
      <c r="W835" s="4">
        <v>66</v>
      </c>
    </row>
    <row r="836" spans="1:23" ht="11.25" customHeight="1" x14ac:dyDescent="0.25">
      <c r="A836" s="4" t="s">
        <v>27</v>
      </c>
      <c r="B836" s="4" t="s">
        <v>35</v>
      </c>
      <c r="C836" s="4" t="s">
        <v>36</v>
      </c>
      <c r="D836" s="4" t="s">
        <v>45</v>
      </c>
      <c r="E836" s="4" t="s">
        <v>25</v>
      </c>
      <c r="F836" s="4" t="s">
        <v>25</v>
      </c>
      <c r="G836" s="4" t="s">
        <v>25</v>
      </c>
      <c r="H836" s="4" t="s">
        <v>37</v>
      </c>
      <c r="I836" s="5">
        <v>44136</v>
      </c>
      <c r="J836" s="6">
        <v>0</v>
      </c>
      <c r="K836" s="6">
        <v>0</v>
      </c>
      <c r="L836" s="6">
        <v>3.0609999999999999</v>
      </c>
      <c r="M836" s="6">
        <v>3.0609999999999999</v>
      </c>
      <c r="N836" s="6">
        <v>3.0609999999999999</v>
      </c>
      <c r="O836" s="6">
        <v>3.0609999999999999</v>
      </c>
      <c r="P836" s="6">
        <v>0</v>
      </c>
      <c r="Q836" s="4" t="s">
        <v>26</v>
      </c>
      <c r="R836" s="4">
        <v>0</v>
      </c>
      <c r="S836" s="4" t="s">
        <v>212</v>
      </c>
      <c r="T836" s="4" t="s">
        <v>445</v>
      </c>
      <c r="U836" s="4">
        <v>0</v>
      </c>
      <c r="V836" s="4">
        <v>24</v>
      </c>
      <c r="W836" s="4">
        <v>66</v>
      </c>
    </row>
    <row r="837" spans="1:23" ht="11.25" customHeight="1" x14ac:dyDescent="0.25">
      <c r="A837" s="4" t="s">
        <v>28</v>
      </c>
      <c r="B837" s="4" t="s">
        <v>35</v>
      </c>
      <c r="C837" s="4" t="s">
        <v>36</v>
      </c>
      <c r="D837" s="4" t="s">
        <v>45</v>
      </c>
      <c r="E837" s="4" t="s">
        <v>25</v>
      </c>
      <c r="F837" s="4" t="s">
        <v>25</v>
      </c>
      <c r="G837" s="4" t="s">
        <v>25</v>
      </c>
      <c r="H837" s="4" t="s">
        <v>37</v>
      </c>
      <c r="I837" s="5">
        <v>44136</v>
      </c>
      <c r="J837" s="6">
        <v>0</v>
      </c>
      <c r="K837" s="6">
        <v>0</v>
      </c>
      <c r="L837" s="6">
        <v>141.45599999999999</v>
      </c>
      <c r="M837" s="6">
        <v>141.45599999999999</v>
      </c>
      <c r="N837" s="6">
        <v>141.45599999999999</v>
      </c>
      <c r="O837" s="6">
        <v>141.45599999999999</v>
      </c>
      <c r="P837" s="6">
        <v>0</v>
      </c>
      <c r="Q837" s="4" t="s">
        <v>26</v>
      </c>
      <c r="R837" s="4">
        <v>0</v>
      </c>
      <c r="S837" s="4" t="s">
        <v>212</v>
      </c>
      <c r="T837" s="4" t="s">
        <v>445</v>
      </c>
      <c r="U837" s="4">
        <v>0</v>
      </c>
      <c r="V837" s="4">
        <v>24</v>
      </c>
      <c r="W837" s="4">
        <v>66</v>
      </c>
    </row>
    <row r="838" spans="1:23" ht="11.25" customHeight="1" x14ac:dyDescent="0.25">
      <c r="A838" s="4" t="s">
        <v>30</v>
      </c>
      <c r="B838" s="4" t="s">
        <v>35</v>
      </c>
      <c r="C838" s="4" t="s">
        <v>36</v>
      </c>
      <c r="D838" s="4" t="s">
        <v>45</v>
      </c>
      <c r="E838" s="4" t="s">
        <v>25</v>
      </c>
      <c r="F838" s="4" t="s">
        <v>25</v>
      </c>
      <c r="G838" s="4" t="s">
        <v>25</v>
      </c>
      <c r="H838" s="4" t="s">
        <v>37</v>
      </c>
      <c r="I838" s="5">
        <v>44136</v>
      </c>
      <c r="J838" s="6">
        <v>0</v>
      </c>
      <c r="K838" s="6">
        <v>0</v>
      </c>
      <c r="L838" s="6">
        <v>44.008000000000003</v>
      </c>
      <c r="M838" s="6">
        <v>44.008000000000003</v>
      </c>
      <c r="N838" s="6">
        <v>44.008000000000003</v>
      </c>
      <c r="O838" s="6">
        <v>44.008000000000003</v>
      </c>
      <c r="P838" s="6">
        <v>0</v>
      </c>
      <c r="Q838" s="4" t="s">
        <v>26</v>
      </c>
      <c r="R838" s="4">
        <v>0</v>
      </c>
      <c r="S838" s="4" t="s">
        <v>212</v>
      </c>
      <c r="T838" s="4" t="s">
        <v>445</v>
      </c>
      <c r="U838" s="4">
        <v>0</v>
      </c>
      <c r="V838" s="4">
        <v>24</v>
      </c>
      <c r="W838" s="4">
        <v>66</v>
      </c>
    </row>
    <row r="839" spans="1:23" ht="11.25" customHeight="1" x14ac:dyDescent="0.25">
      <c r="A839" s="4" t="s">
        <v>21</v>
      </c>
      <c r="B839" s="4" t="s">
        <v>35</v>
      </c>
      <c r="C839" s="4" t="s">
        <v>36</v>
      </c>
      <c r="D839" s="4" t="s">
        <v>45</v>
      </c>
      <c r="E839" s="4" t="s">
        <v>25</v>
      </c>
      <c r="F839" s="4" t="s">
        <v>25</v>
      </c>
      <c r="G839" s="4" t="s">
        <v>25</v>
      </c>
      <c r="H839" s="4" t="s">
        <v>37</v>
      </c>
      <c r="I839" s="5">
        <v>44136</v>
      </c>
      <c r="J839" s="6">
        <v>0</v>
      </c>
      <c r="K839" s="6">
        <v>0</v>
      </c>
      <c r="L839" s="6">
        <v>-21.004999999999999</v>
      </c>
      <c r="M839" s="6">
        <v>-21.004999999999999</v>
      </c>
      <c r="N839" s="6">
        <v>0</v>
      </c>
      <c r="O839" s="6">
        <v>0</v>
      </c>
      <c r="P839" s="6">
        <v>0</v>
      </c>
      <c r="Q839" s="4" t="s">
        <v>60</v>
      </c>
      <c r="R839" s="4">
        <v>0</v>
      </c>
      <c r="S839" s="4" t="s">
        <v>212</v>
      </c>
      <c r="U839" s="4">
        <v>0</v>
      </c>
      <c r="V839" s="4">
        <v>24</v>
      </c>
      <c r="W839" s="4">
        <v>0</v>
      </c>
    </row>
    <row r="840" spans="1:23" ht="11.25" customHeight="1" x14ac:dyDescent="0.25">
      <c r="A840" s="4" t="s">
        <v>21</v>
      </c>
      <c r="B840" s="4" t="s">
        <v>35</v>
      </c>
      <c r="C840" s="4" t="s">
        <v>36</v>
      </c>
      <c r="D840" s="4" t="s">
        <v>45</v>
      </c>
      <c r="E840" s="4" t="s">
        <v>25</v>
      </c>
      <c r="F840" s="4" t="s">
        <v>25</v>
      </c>
      <c r="G840" s="4" t="s">
        <v>25</v>
      </c>
      <c r="H840" s="4" t="s">
        <v>37</v>
      </c>
      <c r="I840" s="5">
        <v>44166</v>
      </c>
      <c r="J840" s="6">
        <v>0</v>
      </c>
      <c r="K840" s="6">
        <v>0</v>
      </c>
      <c r="L840" s="6">
        <v>1788.2909999999999</v>
      </c>
      <c r="M840" s="6">
        <v>1788.2909999999999</v>
      </c>
      <c r="N840" s="6">
        <v>1788.2909999999999</v>
      </c>
      <c r="O840" s="6">
        <v>1788.2909999999999</v>
      </c>
      <c r="P840" s="6">
        <v>0</v>
      </c>
      <c r="Q840" s="4" t="s">
        <v>26</v>
      </c>
      <c r="R840" s="4">
        <v>0</v>
      </c>
      <c r="S840" s="4" t="s">
        <v>213</v>
      </c>
      <c r="T840" s="4" t="s">
        <v>446</v>
      </c>
      <c r="U840" s="4">
        <v>0</v>
      </c>
      <c r="V840" s="4">
        <v>24</v>
      </c>
      <c r="W840" s="4">
        <v>66</v>
      </c>
    </row>
    <row r="841" spans="1:23" ht="11.25" customHeight="1" x14ac:dyDescent="0.25">
      <c r="A841" s="4" t="s">
        <v>27</v>
      </c>
      <c r="B841" s="4" t="s">
        <v>35</v>
      </c>
      <c r="C841" s="4" t="s">
        <v>36</v>
      </c>
      <c r="D841" s="4" t="s">
        <v>45</v>
      </c>
      <c r="E841" s="4" t="s">
        <v>25</v>
      </c>
      <c r="F841" s="4" t="s">
        <v>25</v>
      </c>
      <c r="G841" s="4" t="s">
        <v>25</v>
      </c>
      <c r="H841" s="4" t="s">
        <v>37</v>
      </c>
      <c r="I841" s="5">
        <v>44166</v>
      </c>
      <c r="J841" s="6">
        <v>0</v>
      </c>
      <c r="K841" s="6">
        <v>0</v>
      </c>
      <c r="L841" s="6">
        <v>-20.244</v>
      </c>
      <c r="M841" s="6">
        <v>-20.244</v>
      </c>
      <c r="N841" s="6">
        <v>-20.244</v>
      </c>
      <c r="O841" s="6">
        <v>-20.244</v>
      </c>
      <c r="P841" s="6">
        <v>0</v>
      </c>
      <c r="Q841" s="4" t="s">
        <v>26</v>
      </c>
      <c r="R841" s="4">
        <v>0</v>
      </c>
      <c r="S841" s="4" t="s">
        <v>213</v>
      </c>
      <c r="T841" s="4" t="s">
        <v>446</v>
      </c>
      <c r="U841" s="4">
        <v>0</v>
      </c>
      <c r="V841" s="4">
        <v>24</v>
      </c>
      <c r="W841" s="4">
        <v>66</v>
      </c>
    </row>
    <row r="842" spans="1:23" ht="11.25" customHeight="1" x14ac:dyDescent="0.25">
      <c r="A842" s="4" t="s">
        <v>28</v>
      </c>
      <c r="B842" s="4" t="s">
        <v>35</v>
      </c>
      <c r="C842" s="4" t="s">
        <v>36</v>
      </c>
      <c r="D842" s="4" t="s">
        <v>45</v>
      </c>
      <c r="E842" s="4" t="s">
        <v>25</v>
      </c>
      <c r="F842" s="4" t="s">
        <v>25</v>
      </c>
      <c r="G842" s="4" t="s">
        <v>25</v>
      </c>
      <c r="H842" s="4" t="s">
        <v>37</v>
      </c>
      <c r="I842" s="5">
        <v>44166</v>
      </c>
      <c r="J842" s="6">
        <v>0</v>
      </c>
      <c r="K842" s="6">
        <v>0</v>
      </c>
      <c r="L842" s="6">
        <v>146.922</v>
      </c>
      <c r="M842" s="6">
        <v>146.922</v>
      </c>
      <c r="N842" s="6">
        <v>146.922</v>
      </c>
      <c r="O842" s="6">
        <v>146.922</v>
      </c>
      <c r="P842" s="6">
        <v>0</v>
      </c>
      <c r="Q842" s="4" t="s">
        <v>26</v>
      </c>
      <c r="R842" s="4">
        <v>0</v>
      </c>
      <c r="S842" s="4" t="s">
        <v>213</v>
      </c>
      <c r="T842" s="4" t="s">
        <v>446</v>
      </c>
      <c r="U842" s="4">
        <v>0</v>
      </c>
      <c r="V842" s="4">
        <v>24</v>
      </c>
      <c r="W842" s="4">
        <v>66</v>
      </c>
    </row>
    <row r="843" spans="1:23" ht="11.25" customHeight="1" x14ac:dyDescent="0.25">
      <c r="A843" s="4" t="s">
        <v>30</v>
      </c>
      <c r="B843" s="4" t="s">
        <v>35</v>
      </c>
      <c r="C843" s="4" t="s">
        <v>36</v>
      </c>
      <c r="D843" s="4" t="s">
        <v>45</v>
      </c>
      <c r="E843" s="4" t="s">
        <v>25</v>
      </c>
      <c r="F843" s="4" t="s">
        <v>25</v>
      </c>
      <c r="G843" s="4" t="s">
        <v>25</v>
      </c>
      <c r="H843" s="4" t="s">
        <v>37</v>
      </c>
      <c r="I843" s="5">
        <v>44166</v>
      </c>
      <c r="J843" s="6">
        <v>0</v>
      </c>
      <c r="K843" s="6">
        <v>0</v>
      </c>
      <c r="L843" s="6">
        <v>53.268000000000001</v>
      </c>
      <c r="M843" s="6">
        <v>53.268000000000001</v>
      </c>
      <c r="N843" s="6">
        <v>53.268000000000001</v>
      </c>
      <c r="O843" s="6">
        <v>53.268000000000001</v>
      </c>
      <c r="P843" s="6">
        <v>0</v>
      </c>
      <c r="Q843" s="4" t="s">
        <v>26</v>
      </c>
      <c r="R843" s="4">
        <v>0</v>
      </c>
      <c r="S843" s="4" t="s">
        <v>213</v>
      </c>
      <c r="T843" s="4" t="s">
        <v>446</v>
      </c>
      <c r="U843" s="4">
        <v>0</v>
      </c>
      <c r="V843" s="4">
        <v>24</v>
      </c>
      <c r="W843" s="4">
        <v>66</v>
      </c>
    </row>
    <row r="844" spans="1:23" ht="11.25" customHeight="1" x14ac:dyDescent="0.25">
      <c r="A844" s="4" t="s">
        <v>21</v>
      </c>
      <c r="B844" s="4" t="s">
        <v>35</v>
      </c>
      <c r="C844" s="4" t="s">
        <v>36</v>
      </c>
      <c r="D844" s="4" t="s">
        <v>45</v>
      </c>
      <c r="E844" s="4" t="s">
        <v>25</v>
      </c>
      <c r="F844" s="4" t="s">
        <v>25</v>
      </c>
      <c r="G844" s="4" t="s">
        <v>25</v>
      </c>
      <c r="H844" s="4" t="s">
        <v>37</v>
      </c>
      <c r="I844" s="5">
        <v>44166</v>
      </c>
      <c r="J844" s="6">
        <v>0</v>
      </c>
      <c r="K844" s="6">
        <v>0</v>
      </c>
      <c r="L844" s="6">
        <v>26.468</v>
      </c>
      <c r="M844" s="6">
        <v>26.468</v>
      </c>
      <c r="N844" s="6">
        <v>0</v>
      </c>
      <c r="O844" s="6">
        <v>0</v>
      </c>
      <c r="P844" s="6">
        <v>0</v>
      </c>
      <c r="Q844" s="4" t="s">
        <v>60</v>
      </c>
      <c r="R844" s="4">
        <v>0</v>
      </c>
      <c r="S844" s="4" t="s">
        <v>213</v>
      </c>
      <c r="U844" s="4">
        <v>0</v>
      </c>
      <c r="V844" s="4">
        <v>24</v>
      </c>
      <c r="W844" s="4">
        <v>0</v>
      </c>
    </row>
    <row r="845" spans="1:23" ht="11.25" customHeight="1" x14ac:dyDescent="0.25">
      <c r="A845" s="4" t="s">
        <v>21</v>
      </c>
      <c r="B845" s="4" t="s">
        <v>35</v>
      </c>
      <c r="C845" s="4" t="s">
        <v>36</v>
      </c>
      <c r="D845" s="4" t="s">
        <v>45</v>
      </c>
      <c r="E845" s="4" t="s">
        <v>25</v>
      </c>
      <c r="F845" s="4" t="s">
        <v>25</v>
      </c>
      <c r="G845" s="4" t="s">
        <v>25</v>
      </c>
      <c r="H845" s="4" t="s">
        <v>37</v>
      </c>
      <c r="I845" s="5">
        <v>44197</v>
      </c>
      <c r="J845" s="6">
        <v>0</v>
      </c>
      <c r="K845" s="6">
        <v>0</v>
      </c>
      <c r="L845" s="6">
        <v>1314.9590000000001</v>
      </c>
      <c r="M845" s="6">
        <v>1314.9590000000001</v>
      </c>
      <c r="N845" s="6">
        <v>1314.9590000000001</v>
      </c>
      <c r="O845" s="6">
        <v>1314.9590000000001</v>
      </c>
      <c r="P845" s="6">
        <v>0</v>
      </c>
      <c r="Q845" s="4" t="s">
        <v>26</v>
      </c>
      <c r="R845" s="4">
        <v>0</v>
      </c>
      <c r="S845" s="4" t="s">
        <v>214</v>
      </c>
      <c r="T845" s="4" t="s">
        <v>447</v>
      </c>
      <c r="U845" s="4">
        <v>0</v>
      </c>
      <c r="V845" s="4">
        <v>24</v>
      </c>
      <c r="W845" s="4">
        <v>66</v>
      </c>
    </row>
    <row r="846" spans="1:23" ht="11.25" customHeight="1" x14ac:dyDescent="0.25">
      <c r="A846" s="4" t="s">
        <v>27</v>
      </c>
      <c r="B846" s="4" t="s">
        <v>35</v>
      </c>
      <c r="C846" s="4" t="s">
        <v>36</v>
      </c>
      <c r="D846" s="4" t="s">
        <v>45</v>
      </c>
      <c r="E846" s="4" t="s">
        <v>25</v>
      </c>
      <c r="F846" s="4" t="s">
        <v>25</v>
      </c>
      <c r="G846" s="4" t="s">
        <v>25</v>
      </c>
      <c r="H846" s="4" t="s">
        <v>37</v>
      </c>
      <c r="I846" s="5">
        <v>44197</v>
      </c>
      <c r="J846" s="6">
        <v>0</v>
      </c>
      <c r="K846" s="6">
        <v>0</v>
      </c>
      <c r="L846" s="6">
        <v>-18.911000000000001</v>
      </c>
      <c r="M846" s="6">
        <v>-18.911000000000001</v>
      </c>
      <c r="N846" s="6">
        <v>-18.911000000000001</v>
      </c>
      <c r="O846" s="6">
        <v>-18.911000000000001</v>
      </c>
      <c r="P846" s="6">
        <v>0</v>
      </c>
      <c r="Q846" s="4" t="s">
        <v>26</v>
      </c>
      <c r="R846" s="4">
        <v>0</v>
      </c>
      <c r="S846" s="4" t="s">
        <v>214</v>
      </c>
      <c r="T846" s="4" t="s">
        <v>447</v>
      </c>
      <c r="U846" s="4">
        <v>0</v>
      </c>
      <c r="V846" s="4">
        <v>24</v>
      </c>
      <c r="W846" s="4">
        <v>66</v>
      </c>
    </row>
    <row r="847" spans="1:23" ht="11.25" customHeight="1" x14ac:dyDescent="0.25">
      <c r="A847" s="4" t="s">
        <v>28</v>
      </c>
      <c r="B847" s="4" t="s">
        <v>35</v>
      </c>
      <c r="C847" s="4" t="s">
        <v>36</v>
      </c>
      <c r="D847" s="4" t="s">
        <v>45</v>
      </c>
      <c r="E847" s="4" t="s">
        <v>25</v>
      </c>
      <c r="F847" s="4" t="s">
        <v>25</v>
      </c>
      <c r="G847" s="4" t="s">
        <v>25</v>
      </c>
      <c r="H847" s="4" t="s">
        <v>37</v>
      </c>
      <c r="I847" s="5">
        <v>44197</v>
      </c>
      <c r="J847" s="6">
        <v>0</v>
      </c>
      <c r="K847" s="6">
        <v>0</v>
      </c>
      <c r="L847" s="6">
        <v>120.947</v>
      </c>
      <c r="M847" s="6">
        <v>120.947</v>
      </c>
      <c r="N847" s="6">
        <v>120.947</v>
      </c>
      <c r="O847" s="6">
        <v>120.947</v>
      </c>
      <c r="P847" s="6">
        <v>0</v>
      </c>
      <c r="Q847" s="4" t="s">
        <v>26</v>
      </c>
      <c r="R847" s="4">
        <v>0</v>
      </c>
      <c r="S847" s="4" t="s">
        <v>214</v>
      </c>
      <c r="T847" s="4" t="s">
        <v>447</v>
      </c>
      <c r="U847" s="4">
        <v>0</v>
      </c>
      <c r="V847" s="4">
        <v>24</v>
      </c>
      <c r="W847" s="4">
        <v>66</v>
      </c>
    </row>
    <row r="848" spans="1:23" ht="11.25" customHeight="1" x14ac:dyDescent="0.25">
      <c r="A848" s="4" t="s">
        <v>29</v>
      </c>
      <c r="B848" s="4" t="s">
        <v>35</v>
      </c>
      <c r="C848" s="4" t="s">
        <v>36</v>
      </c>
      <c r="D848" s="4" t="s">
        <v>45</v>
      </c>
      <c r="E848" s="4" t="s">
        <v>25</v>
      </c>
      <c r="F848" s="4" t="s">
        <v>25</v>
      </c>
      <c r="G848" s="4" t="s">
        <v>25</v>
      </c>
      <c r="H848" s="4" t="s">
        <v>37</v>
      </c>
      <c r="I848" s="5">
        <v>44197</v>
      </c>
      <c r="J848" s="6">
        <v>0</v>
      </c>
      <c r="K848" s="6">
        <v>0</v>
      </c>
      <c r="L848" s="6">
        <v>-14.73</v>
      </c>
      <c r="M848" s="6">
        <v>-14.73</v>
      </c>
      <c r="N848" s="6">
        <v>-14.73</v>
      </c>
      <c r="O848" s="6">
        <v>-14.73</v>
      </c>
      <c r="P848" s="6">
        <v>0</v>
      </c>
      <c r="Q848" s="4" t="s">
        <v>26</v>
      </c>
      <c r="R848" s="4">
        <v>0</v>
      </c>
      <c r="S848" s="4" t="s">
        <v>214</v>
      </c>
      <c r="T848" s="4" t="s">
        <v>447</v>
      </c>
      <c r="U848" s="4">
        <v>0</v>
      </c>
      <c r="V848" s="4">
        <v>24</v>
      </c>
      <c r="W848" s="4">
        <v>66</v>
      </c>
    </row>
    <row r="849" spans="1:23" ht="11.25" customHeight="1" x14ac:dyDescent="0.25">
      <c r="A849" s="4" t="s">
        <v>30</v>
      </c>
      <c r="B849" s="4" t="s">
        <v>35</v>
      </c>
      <c r="C849" s="4" t="s">
        <v>36</v>
      </c>
      <c r="D849" s="4" t="s">
        <v>45</v>
      </c>
      <c r="E849" s="4" t="s">
        <v>25</v>
      </c>
      <c r="F849" s="4" t="s">
        <v>25</v>
      </c>
      <c r="G849" s="4" t="s">
        <v>25</v>
      </c>
      <c r="H849" s="4" t="s">
        <v>37</v>
      </c>
      <c r="I849" s="5">
        <v>44197</v>
      </c>
      <c r="J849" s="6">
        <v>0</v>
      </c>
      <c r="K849" s="6">
        <v>0</v>
      </c>
      <c r="L849" s="6">
        <v>41.4</v>
      </c>
      <c r="M849" s="6">
        <v>41.4</v>
      </c>
      <c r="N849" s="6">
        <v>41.4</v>
      </c>
      <c r="O849" s="6">
        <v>41.4</v>
      </c>
      <c r="P849" s="6">
        <v>0</v>
      </c>
      <c r="Q849" s="4" t="s">
        <v>26</v>
      </c>
      <c r="R849" s="4">
        <v>0</v>
      </c>
      <c r="S849" s="4" t="s">
        <v>214</v>
      </c>
      <c r="T849" s="4" t="s">
        <v>447</v>
      </c>
      <c r="U849" s="4">
        <v>0</v>
      </c>
      <c r="V849" s="4">
        <v>24</v>
      </c>
      <c r="W849" s="4">
        <v>66</v>
      </c>
    </row>
    <row r="850" spans="1:23" ht="11.25" customHeight="1" x14ac:dyDescent="0.25">
      <c r="A850" s="4" t="s">
        <v>21</v>
      </c>
      <c r="B850" s="4" t="s">
        <v>35</v>
      </c>
      <c r="C850" s="4" t="s">
        <v>36</v>
      </c>
      <c r="D850" s="4" t="s">
        <v>45</v>
      </c>
      <c r="E850" s="4" t="s">
        <v>25</v>
      </c>
      <c r="F850" s="4" t="s">
        <v>25</v>
      </c>
      <c r="G850" s="4" t="s">
        <v>25</v>
      </c>
      <c r="H850" s="4" t="s">
        <v>37</v>
      </c>
      <c r="I850" s="5">
        <v>44197</v>
      </c>
      <c r="J850" s="6">
        <v>0</v>
      </c>
      <c r="K850" s="6">
        <v>0</v>
      </c>
      <c r="L850" s="6">
        <v>2.7559999999999998</v>
      </c>
      <c r="M850" s="6">
        <v>2.7559999999999998</v>
      </c>
      <c r="N850" s="6">
        <v>0</v>
      </c>
      <c r="O850" s="6">
        <v>0</v>
      </c>
      <c r="P850" s="6">
        <v>0</v>
      </c>
      <c r="Q850" s="4" t="s">
        <v>60</v>
      </c>
      <c r="R850" s="4">
        <v>0</v>
      </c>
      <c r="S850" s="4" t="s">
        <v>214</v>
      </c>
      <c r="U850" s="4">
        <v>0</v>
      </c>
      <c r="V850" s="4">
        <v>24</v>
      </c>
      <c r="W850" s="4">
        <v>0</v>
      </c>
    </row>
    <row r="851" spans="1:23" ht="11.25" customHeight="1" x14ac:dyDescent="0.25">
      <c r="A851" s="4" t="s">
        <v>21</v>
      </c>
      <c r="B851" s="4" t="s">
        <v>35</v>
      </c>
      <c r="C851" s="4" t="s">
        <v>36</v>
      </c>
      <c r="D851" s="4" t="s">
        <v>45</v>
      </c>
      <c r="E851" s="4" t="s">
        <v>25</v>
      </c>
      <c r="F851" s="4" t="s">
        <v>25</v>
      </c>
      <c r="G851" s="4" t="s">
        <v>25</v>
      </c>
      <c r="H851" s="4" t="s">
        <v>37</v>
      </c>
      <c r="I851" s="5">
        <v>44228</v>
      </c>
      <c r="J851" s="6">
        <v>0</v>
      </c>
      <c r="K851" s="6">
        <v>0</v>
      </c>
      <c r="L851" s="6">
        <v>1264.748</v>
      </c>
      <c r="M851" s="6">
        <v>1264.748</v>
      </c>
      <c r="N851" s="6">
        <v>1264.748</v>
      </c>
      <c r="O851" s="6">
        <v>1264.748</v>
      </c>
      <c r="P851" s="6">
        <v>0</v>
      </c>
      <c r="Q851" s="4" t="s">
        <v>26</v>
      </c>
      <c r="R851" s="4">
        <v>0</v>
      </c>
      <c r="S851" s="4" t="s">
        <v>215</v>
      </c>
      <c r="T851" s="4" t="s">
        <v>448</v>
      </c>
      <c r="U851" s="4">
        <v>0</v>
      </c>
      <c r="V851" s="4">
        <v>24</v>
      </c>
      <c r="W851" s="4">
        <v>66</v>
      </c>
    </row>
    <row r="852" spans="1:23" ht="11.25" customHeight="1" x14ac:dyDescent="0.25">
      <c r="A852" s="4" t="s">
        <v>27</v>
      </c>
      <c r="B852" s="4" t="s">
        <v>35</v>
      </c>
      <c r="C852" s="4" t="s">
        <v>36</v>
      </c>
      <c r="D852" s="4" t="s">
        <v>45</v>
      </c>
      <c r="E852" s="4" t="s">
        <v>25</v>
      </c>
      <c r="F852" s="4" t="s">
        <v>25</v>
      </c>
      <c r="G852" s="4" t="s">
        <v>25</v>
      </c>
      <c r="H852" s="4" t="s">
        <v>37</v>
      </c>
      <c r="I852" s="5">
        <v>44228</v>
      </c>
      <c r="J852" s="6">
        <v>0</v>
      </c>
      <c r="K852" s="6">
        <v>0</v>
      </c>
      <c r="L852" s="6">
        <v>-0.06</v>
      </c>
      <c r="M852" s="6">
        <v>-0.06</v>
      </c>
      <c r="N852" s="6">
        <v>-0.06</v>
      </c>
      <c r="O852" s="6">
        <v>-0.06</v>
      </c>
      <c r="P852" s="6">
        <v>0</v>
      </c>
      <c r="Q852" s="4" t="s">
        <v>26</v>
      </c>
      <c r="R852" s="4">
        <v>0</v>
      </c>
      <c r="S852" s="4" t="s">
        <v>215</v>
      </c>
      <c r="T852" s="4" t="s">
        <v>448</v>
      </c>
      <c r="U852" s="4">
        <v>0</v>
      </c>
      <c r="V852" s="4">
        <v>24</v>
      </c>
      <c r="W852" s="4">
        <v>66</v>
      </c>
    </row>
    <row r="853" spans="1:23" ht="11.25" customHeight="1" x14ac:dyDescent="0.25">
      <c r="A853" s="4" t="s">
        <v>28</v>
      </c>
      <c r="B853" s="4" t="s">
        <v>35</v>
      </c>
      <c r="C853" s="4" t="s">
        <v>36</v>
      </c>
      <c r="D853" s="4" t="s">
        <v>45</v>
      </c>
      <c r="E853" s="4" t="s">
        <v>25</v>
      </c>
      <c r="F853" s="4" t="s">
        <v>25</v>
      </c>
      <c r="G853" s="4" t="s">
        <v>25</v>
      </c>
      <c r="H853" s="4" t="s">
        <v>37</v>
      </c>
      <c r="I853" s="5">
        <v>44228</v>
      </c>
      <c r="J853" s="6">
        <v>0</v>
      </c>
      <c r="K853" s="6">
        <v>0</v>
      </c>
      <c r="L853" s="6">
        <v>98.628</v>
      </c>
      <c r="M853" s="6">
        <v>98.628</v>
      </c>
      <c r="N853" s="6">
        <v>98.628</v>
      </c>
      <c r="O853" s="6">
        <v>98.628</v>
      </c>
      <c r="P853" s="6">
        <v>0</v>
      </c>
      <c r="Q853" s="4" t="s">
        <v>26</v>
      </c>
      <c r="R853" s="4">
        <v>0</v>
      </c>
      <c r="S853" s="4" t="s">
        <v>215</v>
      </c>
      <c r="T853" s="4" t="s">
        <v>448</v>
      </c>
      <c r="U853" s="4">
        <v>0</v>
      </c>
      <c r="V853" s="4">
        <v>24</v>
      </c>
      <c r="W853" s="4">
        <v>66</v>
      </c>
    </row>
    <row r="854" spans="1:23" ht="11.25" customHeight="1" x14ac:dyDescent="0.25">
      <c r="A854" s="4" t="s">
        <v>29</v>
      </c>
      <c r="B854" s="4" t="s">
        <v>35</v>
      </c>
      <c r="C854" s="4" t="s">
        <v>36</v>
      </c>
      <c r="D854" s="4" t="s">
        <v>45</v>
      </c>
      <c r="E854" s="4" t="s">
        <v>25</v>
      </c>
      <c r="F854" s="4" t="s">
        <v>25</v>
      </c>
      <c r="G854" s="4" t="s">
        <v>25</v>
      </c>
      <c r="H854" s="4" t="s">
        <v>37</v>
      </c>
      <c r="I854" s="5">
        <v>44228</v>
      </c>
      <c r="J854" s="6">
        <v>0</v>
      </c>
      <c r="K854" s="6">
        <v>0</v>
      </c>
      <c r="L854" s="6">
        <v>-0.77400000000000002</v>
      </c>
      <c r="M854" s="6">
        <v>-0.77400000000000002</v>
      </c>
      <c r="N854" s="6">
        <v>-0.77400000000000002</v>
      </c>
      <c r="O854" s="6">
        <v>-0.77400000000000002</v>
      </c>
      <c r="P854" s="6">
        <v>0</v>
      </c>
      <c r="Q854" s="4" t="s">
        <v>26</v>
      </c>
      <c r="R854" s="4">
        <v>0</v>
      </c>
      <c r="S854" s="4" t="s">
        <v>215</v>
      </c>
      <c r="T854" s="4" t="s">
        <v>448</v>
      </c>
      <c r="U854" s="4">
        <v>0</v>
      </c>
      <c r="V854" s="4">
        <v>24</v>
      </c>
      <c r="W854" s="4">
        <v>66</v>
      </c>
    </row>
    <row r="855" spans="1:23" ht="11.25" customHeight="1" x14ac:dyDescent="0.25">
      <c r="A855" s="4" t="s">
        <v>30</v>
      </c>
      <c r="B855" s="4" t="s">
        <v>35</v>
      </c>
      <c r="C855" s="4" t="s">
        <v>36</v>
      </c>
      <c r="D855" s="4" t="s">
        <v>45</v>
      </c>
      <c r="E855" s="4" t="s">
        <v>25</v>
      </c>
      <c r="F855" s="4" t="s">
        <v>25</v>
      </c>
      <c r="G855" s="4" t="s">
        <v>25</v>
      </c>
      <c r="H855" s="4" t="s">
        <v>37</v>
      </c>
      <c r="I855" s="5">
        <v>44228</v>
      </c>
      <c r="J855" s="6">
        <v>0</v>
      </c>
      <c r="K855" s="6">
        <v>0</v>
      </c>
      <c r="L855" s="6">
        <v>43.920999999999999</v>
      </c>
      <c r="M855" s="6">
        <v>43.920999999999999</v>
      </c>
      <c r="N855" s="6">
        <v>43.920999999999999</v>
      </c>
      <c r="O855" s="6">
        <v>43.920999999999999</v>
      </c>
      <c r="P855" s="6">
        <v>0</v>
      </c>
      <c r="Q855" s="4" t="s">
        <v>26</v>
      </c>
      <c r="R855" s="4">
        <v>0</v>
      </c>
      <c r="S855" s="4" t="s">
        <v>215</v>
      </c>
      <c r="T855" s="4" t="s">
        <v>448</v>
      </c>
      <c r="U855" s="4">
        <v>0</v>
      </c>
      <c r="V855" s="4">
        <v>24</v>
      </c>
      <c r="W855" s="4">
        <v>66</v>
      </c>
    </row>
    <row r="856" spans="1:23" ht="11.25" customHeight="1" x14ac:dyDescent="0.25">
      <c r="A856" s="4" t="s">
        <v>21</v>
      </c>
      <c r="B856" s="4" t="s">
        <v>35</v>
      </c>
      <c r="C856" s="4" t="s">
        <v>36</v>
      </c>
      <c r="D856" s="4" t="s">
        <v>45</v>
      </c>
      <c r="E856" s="4" t="s">
        <v>25</v>
      </c>
      <c r="F856" s="4" t="s">
        <v>25</v>
      </c>
      <c r="G856" s="4" t="s">
        <v>25</v>
      </c>
      <c r="H856" s="4" t="s">
        <v>37</v>
      </c>
      <c r="I856" s="5">
        <v>44228</v>
      </c>
      <c r="J856" s="6">
        <v>0</v>
      </c>
      <c r="K856" s="6">
        <v>0</v>
      </c>
      <c r="L856" s="6">
        <v>2.5259999999999998</v>
      </c>
      <c r="M856" s="6">
        <v>2.5259999999999998</v>
      </c>
      <c r="N856" s="6">
        <v>0</v>
      </c>
      <c r="O856" s="6">
        <v>0</v>
      </c>
      <c r="P856" s="6">
        <v>0</v>
      </c>
      <c r="Q856" s="4" t="s">
        <v>60</v>
      </c>
      <c r="R856" s="4">
        <v>0</v>
      </c>
      <c r="S856" s="4" t="s">
        <v>215</v>
      </c>
      <c r="U856" s="4">
        <v>0</v>
      </c>
      <c r="V856" s="4">
        <v>24</v>
      </c>
      <c r="W856" s="4">
        <v>0</v>
      </c>
    </row>
    <row r="857" spans="1:23" ht="11.25" customHeight="1" x14ac:dyDescent="0.25">
      <c r="A857" s="4" t="s">
        <v>21</v>
      </c>
      <c r="B857" s="4" t="s">
        <v>35</v>
      </c>
      <c r="C857" s="4" t="s">
        <v>36</v>
      </c>
      <c r="D857" s="4" t="s">
        <v>45</v>
      </c>
      <c r="E857" s="4" t="s">
        <v>25</v>
      </c>
      <c r="F857" s="4" t="s">
        <v>25</v>
      </c>
      <c r="G857" s="4" t="s">
        <v>25</v>
      </c>
      <c r="H857" s="4" t="s">
        <v>37</v>
      </c>
      <c r="I857" s="5">
        <v>44256</v>
      </c>
      <c r="J857" s="6">
        <v>0</v>
      </c>
      <c r="K857" s="6">
        <v>0</v>
      </c>
      <c r="L857" s="6">
        <v>1545.633</v>
      </c>
      <c r="M857" s="6">
        <v>1545.633</v>
      </c>
      <c r="N857" s="6">
        <v>1545.633</v>
      </c>
      <c r="O857" s="6">
        <v>1545.633</v>
      </c>
      <c r="P857" s="6">
        <v>0</v>
      </c>
      <c r="Q857" s="4" t="s">
        <v>26</v>
      </c>
      <c r="R857" s="4">
        <v>0</v>
      </c>
      <c r="S857" s="4" t="s">
        <v>216</v>
      </c>
      <c r="T857" s="4" t="s">
        <v>449</v>
      </c>
      <c r="U857" s="4">
        <v>0</v>
      </c>
      <c r="V857" s="4">
        <v>24</v>
      </c>
      <c r="W857" s="4">
        <v>66</v>
      </c>
    </row>
    <row r="858" spans="1:23" ht="11.25" customHeight="1" x14ac:dyDescent="0.25">
      <c r="A858" s="4" t="s">
        <v>27</v>
      </c>
      <c r="B858" s="4" t="s">
        <v>35</v>
      </c>
      <c r="C858" s="4" t="s">
        <v>36</v>
      </c>
      <c r="D858" s="4" t="s">
        <v>45</v>
      </c>
      <c r="E858" s="4" t="s">
        <v>25</v>
      </c>
      <c r="F858" s="4" t="s">
        <v>25</v>
      </c>
      <c r="G858" s="4" t="s">
        <v>25</v>
      </c>
      <c r="H858" s="4" t="s">
        <v>37</v>
      </c>
      <c r="I858" s="5">
        <v>44256</v>
      </c>
      <c r="J858" s="6">
        <v>0</v>
      </c>
      <c r="K858" s="6">
        <v>0</v>
      </c>
      <c r="L858" s="6">
        <v>-12.581</v>
      </c>
      <c r="M858" s="6">
        <v>-12.581</v>
      </c>
      <c r="N858" s="6">
        <v>-12.581</v>
      </c>
      <c r="O858" s="6">
        <v>-12.581</v>
      </c>
      <c r="P858" s="6">
        <v>0</v>
      </c>
      <c r="Q858" s="4" t="s">
        <v>26</v>
      </c>
      <c r="R858" s="4">
        <v>0</v>
      </c>
      <c r="S858" s="4" t="s">
        <v>216</v>
      </c>
      <c r="T858" s="4" t="s">
        <v>449</v>
      </c>
      <c r="U858" s="4">
        <v>0</v>
      </c>
      <c r="V858" s="4">
        <v>24</v>
      </c>
      <c r="W858" s="4">
        <v>66</v>
      </c>
    </row>
    <row r="859" spans="1:23" ht="11.25" customHeight="1" x14ac:dyDescent="0.25">
      <c r="A859" s="4" t="s">
        <v>28</v>
      </c>
      <c r="B859" s="4" t="s">
        <v>35</v>
      </c>
      <c r="C859" s="4" t="s">
        <v>36</v>
      </c>
      <c r="D859" s="4" t="s">
        <v>45</v>
      </c>
      <c r="E859" s="4" t="s">
        <v>25</v>
      </c>
      <c r="F859" s="4" t="s">
        <v>25</v>
      </c>
      <c r="G859" s="4" t="s">
        <v>25</v>
      </c>
      <c r="H859" s="4" t="s">
        <v>37</v>
      </c>
      <c r="I859" s="5">
        <v>44256</v>
      </c>
      <c r="J859" s="6">
        <v>0</v>
      </c>
      <c r="K859" s="6">
        <v>0</v>
      </c>
      <c r="L859" s="6">
        <v>109.23399999999999</v>
      </c>
      <c r="M859" s="6">
        <v>109.23399999999999</v>
      </c>
      <c r="N859" s="6">
        <v>109.23399999999999</v>
      </c>
      <c r="O859" s="6">
        <v>109.23399999999999</v>
      </c>
      <c r="P859" s="6">
        <v>0</v>
      </c>
      <c r="Q859" s="4" t="s">
        <v>26</v>
      </c>
      <c r="R859" s="4">
        <v>0</v>
      </c>
      <c r="S859" s="4" t="s">
        <v>216</v>
      </c>
      <c r="T859" s="4" t="s">
        <v>449</v>
      </c>
      <c r="U859" s="4">
        <v>0</v>
      </c>
      <c r="V859" s="4">
        <v>24</v>
      </c>
      <c r="W859" s="4">
        <v>66</v>
      </c>
    </row>
    <row r="860" spans="1:23" ht="11.25" customHeight="1" x14ac:dyDescent="0.25">
      <c r="A860" s="4" t="s">
        <v>30</v>
      </c>
      <c r="B860" s="4" t="s">
        <v>35</v>
      </c>
      <c r="C860" s="4" t="s">
        <v>36</v>
      </c>
      <c r="D860" s="4" t="s">
        <v>45</v>
      </c>
      <c r="E860" s="4" t="s">
        <v>25</v>
      </c>
      <c r="F860" s="4" t="s">
        <v>25</v>
      </c>
      <c r="G860" s="4" t="s">
        <v>25</v>
      </c>
      <c r="H860" s="4" t="s">
        <v>37</v>
      </c>
      <c r="I860" s="5">
        <v>44256</v>
      </c>
      <c r="J860" s="6">
        <v>0</v>
      </c>
      <c r="K860" s="6">
        <v>0</v>
      </c>
      <c r="L860" s="6">
        <v>66.132000000000005</v>
      </c>
      <c r="M860" s="6">
        <v>66.132000000000005</v>
      </c>
      <c r="N860" s="6">
        <v>66.132000000000005</v>
      </c>
      <c r="O860" s="6">
        <v>66.132000000000005</v>
      </c>
      <c r="P860" s="6">
        <v>0</v>
      </c>
      <c r="Q860" s="4" t="s">
        <v>26</v>
      </c>
      <c r="R860" s="4">
        <v>0</v>
      </c>
      <c r="S860" s="4" t="s">
        <v>216</v>
      </c>
      <c r="T860" s="4" t="s">
        <v>449</v>
      </c>
      <c r="U860" s="4">
        <v>0</v>
      </c>
      <c r="V860" s="4">
        <v>24</v>
      </c>
      <c r="W860" s="4">
        <v>66</v>
      </c>
    </row>
    <row r="861" spans="1:23" ht="11.25" customHeight="1" x14ac:dyDescent="0.25">
      <c r="A861" s="4" t="s">
        <v>21</v>
      </c>
      <c r="B861" s="4" t="s">
        <v>35</v>
      </c>
      <c r="C861" s="4" t="s">
        <v>36</v>
      </c>
      <c r="D861" s="4" t="s">
        <v>45</v>
      </c>
      <c r="E861" s="4" t="s">
        <v>25</v>
      </c>
      <c r="F861" s="4" t="s">
        <v>25</v>
      </c>
      <c r="G861" s="4" t="s">
        <v>25</v>
      </c>
      <c r="H861" s="4" t="s">
        <v>37</v>
      </c>
      <c r="I861" s="5">
        <v>44256</v>
      </c>
      <c r="J861" s="6">
        <v>0</v>
      </c>
      <c r="K861" s="6">
        <v>0</v>
      </c>
      <c r="L861" s="6">
        <v>3.2829999999999999</v>
      </c>
      <c r="M861" s="6">
        <v>3.2829999999999999</v>
      </c>
      <c r="N861" s="6">
        <v>0</v>
      </c>
      <c r="O861" s="6">
        <v>0</v>
      </c>
      <c r="P861" s="6">
        <v>0</v>
      </c>
      <c r="Q861" s="4" t="s">
        <v>60</v>
      </c>
      <c r="R861" s="4">
        <v>0</v>
      </c>
      <c r="S861" s="4" t="s">
        <v>216</v>
      </c>
      <c r="U861" s="4">
        <v>0</v>
      </c>
      <c r="V861" s="4">
        <v>24</v>
      </c>
      <c r="W861" s="4">
        <v>0</v>
      </c>
    </row>
    <row r="862" spans="1:23" ht="11.25" customHeight="1" x14ac:dyDescent="0.25">
      <c r="A862" s="4" t="s">
        <v>21</v>
      </c>
      <c r="B862" s="4" t="s">
        <v>35</v>
      </c>
      <c r="C862" s="4" t="s">
        <v>36</v>
      </c>
      <c r="D862" s="4" t="s">
        <v>45</v>
      </c>
      <c r="E862" s="4" t="s">
        <v>25</v>
      </c>
      <c r="F862" s="4" t="s">
        <v>25</v>
      </c>
      <c r="G862" s="4" t="s">
        <v>25</v>
      </c>
      <c r="H862" s="4" t="s">
        <v>37</v>
      </c>
      <c r="I862" s="5">
        <v>44287</v>
      </c>
      <c r="J862" s="6">
        <v>0</v>
      </c>
      <c r="K862" s="6">
        <v>0</v>
      </c>
      <c r="L862" s="6">
        <v>1457.0530000000001</v>
      </c>
      <c r="M862" s="6">
        <v>1457.0530000000001</v>
      </c>
      <c r="N862" s="6">
        <v>1457.0530000000001</v>
      </c>
      <c r="O862" s="6">
        <v>1457.0530000000001</v>
      </c>
      <c r="P862" s="6">
        <v>0</v>
      </c>
      <c r="Q862" s="4" t="s">
        <v>26</v>
      </c>
      <c r="R862" s="4">
        <v>0</v>
      </c>
      <c r="S862" s="4" t="s">
        <v>217</v>
      </c>
      <c r="T862" s="4" t="s">
        <v>450</v>
      </c>
      <c r="U862" s="4">
        <v>0</v>
      </c>
      <c r="V862" s="4">
        <v>24</v>
      </c>
      <c r="W862" s="4">
        <v>66</v>
      </c>
    </row>
    <row r="863" spans="1:23" ht="11.25" customHeight="1" x14ac:dyDescent="0.25">
      <c r="A863" s="4" t="s">
        <v>27</v>
      </c>
      <c r="B863" s="4" t="s">
        <v>35</v>
      </c>
      <c r="C863" s="4" t="s">
        <v>36</v>
      </c>
      <c r="D863" s="4" t="s">
        <v>45</v>
      </c>
      <c r="E863" s="4" t="s">
        <v>25</v>
      </c>
      <c r="F863" s="4" t="s">
        <v>25</v>
      </c>
      <c r="G863" s="4" t="s">
        <v>25</v>
      </c>
      <c r="H863" s="4" t="s">
        <v>37</v>
      </c>
      <c r="I863" s="5">
        <v>44287</v>
      </c>
      <c r="J863" s="6">
        <v>0</v>
      </c>
      <c r="K863" s="6">
        <v>0</v>
      </c>
      <c r="L863" s="6">
        <v>-56.198</v>
      </c>
      <c r="M863" s="6">
        <v>-56.198</v>
      </c>
      <c r="N863" s="6">
        <v>-56.198</v>
      </c>
      <c r="O863" s="6">
        <v>-56.198</v>
      </c>
      <c r="P863" s="6">
        <v>0</v>
      </c>
      <c r="Q863" s="4" t="s">
        <v>26</v>
      </c>
      <c r="R863" s="4">
        <v>0</v>
      </c>
      <c r="S863" s="4" t="s">
        <v>217</v>
      </c>
      <c r="T863" s="4" t="s">
        <v>450</v>
      </c>
      <c r="U863" s="4">
        <v>0</v>
      </c>
      <c r="V863" s="4">
        <v>24</v>
      </c>
      <c r="W863" s="4">
        <v>66</v>
      </c>
    </row>
    <row r="864" spans="1:23" ht="11.25" customHeight="1" x14ac:dyDescent="0.25">
      <c r="A864" s="4" t="s">
        <v>28</v>
      </c>
      <c r="B864" s="4" t="s">
        <v>35</v>
      </c>
      <c r="C864" s="4" t="s">
        <v>36</v>
      </c>
      <c r="D864" s="4" t="s">
        <v>45</v>
      </c>
      <c r="E864" s="4" t="s">
        <v>25</v>
      </c>
      <c r="F864" s="4" t="s">
        <v>25</v>
      </c>
      <c r="G864" s="4" t="s">
        <v>25</v>
      </c>
      <c r="H864" s="4" t="s">
        <v>37</v>
      </c>
      <c r="I864" s="5">
        <v>44287</v>
      </c>
      <c r="J864" s="6">
        <v>0</v>
      </c>
      <c r="K864" s="6">
        <v>0</v>
      </c>
      <c r="L864" s="6">
        <v>119.91800000000001</v>
      </c>
      <c r="M864" s="6">
        <v>119.91800000000001</v>
      </c>
      <c r="N864" s="6">
        <v>119.91800000000001</v>
      </c>
      <c r="O864" s="6">
        <v>119.91800000000001</v>
      </c>
      <c r="P864" s="6">
        <v>0</v>
      </c>
      <c r="Q864" s="4" t="s">
        <v>26</v>
      </c>
      <c r="R864" s="4">
        <v>0</v>
      </c>
      <c r="S864" s="4" t="s">
        <v>217</v>
      </c>
      <c r="T864" s="4" t="s">
        <v>450</v>
      </c>
      <c r="U864" s="4">
        <v>0</v>
      </c>
      <c r="V864" s="4">
        <v>24</v>
      </c>
      <c r="W864" s="4">
        <v>66</v>
      </c>
    </row>
    <row r="865" spans="1:23" ht="11.25" customHeight="1" x14ac:dyDescent="0.25">
      <c r="A865" s="4" t="s">
        <v>30</v>
      </c>
      <c r="B865" s="4" t="s">
        <v>35</v>
      </c>
      <c r="C865" s="4" t="s">
        <v>36</v>
      </c>
      <c r="D865" s="4" t="s">
        <v>45</v>
      </c>
      <c r="E865" s="4" t="s">
        <v>25</v>
      </c>
      <c r="F865" s="4" t="s">
        <v>25</v>
      </c>
      <c r="G865" s="4" t="s">
        <v>25</v>
      </c>
      <c r="H865" s="4" t="s">
        <v>37</v>
      </c>
      <c r="I865" s="5">
        <v>44287</v>
      </c>
      <c r="J865" s="6">
        <v>0</v>
      </c>
      <c r="K865" s="6">
        <v>0</v>
      </c>
      <c r="L865" s="6">
        <v>63.927999999999997</v>
      </c>
      <c r="M865" s="6">
        <v>63.927999999999997</v>
      </c>
      <c r="N865" s="6">
        <v>63.927999999999997</v>
      </c>
      <c r="O865" s="6">
        <v>63.927999999999997</v>
      </c>
      <c r="P865" s="6">
        <v>0</v>
      </c>
      <c r="Q865" s="4" t="s">
        <v>26</v>
      </c>
      <c r="R865" s="4">
        <v>0</v>
      </c>
      <c r="S865" s="4" t="s">
        <v>217</v>
      </c>
      <c r="T865" s="4" t="s">
        <v>450</v>
      </c>
      <c r="U865" s="4">
        <v>0</v>
      </c>
      <c r="V865" s="4">
        <v>24</v>
      </c>
      <c r="W865" s="4">
        <v>66</v>
      </c>
    </row>
    <row r="866" spans="1:23" ht="11.25" customHeight="1" x14ac:dyDescent="0.25">
      <c r="A866" s="4" t="s">
        <v>21</v>
      </c>
      <c r="B866" s="4" t="s">
        <v>35</v>
      </c>
      <c r="C866" s="4" t="s">
        <v>36</v>
      </c>
      <c r="D866" s="4" t="s">
        <v>45</v>
      </c>
      <c r="E866" s="4" t="s">
        <v>25</v>
      </c>
      <c r="F866" s="4" t="s">
        <v>25</v>
      </c>
      <c r="G866" s="4" t="s">
        <v>25</v>
      </c>
      <c r="H866" s="4" t="s">
        <v>37</v>
      </c>
      <c r="I866" s="5">
        <v>44287</v>
      </c>
      <c r="J866" s="6">
        <v>0</v>
      </c>
      <c r="K866" s="6">
        <v>0</v>
      </c>
      <c r="L866" s="6">
        <v>2.911</v>
      </c>
      <c r="M866" s="6">
        <v>2.911</v>
      </c>
      <c r="N866" s="6">
        <v>0</v>
      </c>
      <c r="O866" s="6">
        <v>0</v>
      </c>
      <c r="P866" s="6">
        <v>0</v>
      </c>
      <c r="Q866" s="4" t="s">
        <v>60</v>
      </c>
      <c r="R866" s="4">
        <v>0</v>
      </c>
      <c r="S866" s="4" t="s">
        <v>217</v>
      </c>
      <c r="U866" s="4">
        <v>0</v>
      </c>
      <c r="V866" s="4">
        <v>24</v>
      </c>
      <c r="W866" s="4">
        <v>0</v>
      </c>
    </row>
    <row r="867" spans="1:23" ht="11.25" customHeight="1" x14ac:dyDescent="0.25">
      <c r="A867" s="4" t="s">
        <v>21</v>
      </c>
      <c r="B867" s="4" t="s">
        <v>35</v>
      </c>
      <c r="C867" s="4" t="s">
        <v>36</v>
      </c>
      <c r="D867" s="4" t="s">
        <v>45</v>
      </c>
      <c r="E867" s="4" t="s">
        <v>25</v>
      </c>
      <c r="F867" s="4" t="s">
        <v>25</v>
      </c>
      <c r="G867" s="4" t="s">
        <v>25</v>
      </c>
      <c r="H867" s="4" t="s">
        <v>37</v>
      </c>
      <c r="I867" s="5">
        <v>44317</v>
      </c>
      <c r="J867" s="6">
        <v>0</v>
      </c>
      <c r="K867" s="6">
        <v>0</v>
      </c>
      <c r="L867" s="6">
        <v>1616.25</v>
      </c>
      <c r="M867" s="6">
        <v>1616.25</v>
      </c>
      <c r="N867" s="6">
        <v>1616.25</v>
      </c>
      <c r="O867" s="6">
        <v>1616.25</v>
      </c>
      <c r="P867" s="6">
        <v>0</v>
      </c>
      <c r="Q867" s="4" t="s">
        <v>26</v>
      </c>
      <c r="R867" s="4">
        <v>0</v>
      </c>
      <c r="S867" s="4" t="s">
        <v>218</v>
      </c>
      <c r="T867" s="4" t="s">
        <v>451</v>
      </c>
      <c r="U867" s="4">
        <v>0</v>
      </c>
      <c r="V867" s="4">
        <v>24</v>
      </c>
      <c r="W867" s="4">
        <v>66</v>
      </c>
    </row>
    <row r="868" spans="1:23" ht="11.25" customHeight="1" x14ac:dyDescent="0.25">
      <c r="A868" s="4" t="s">
        <v>27</v>
      </c>
      <c r="B868" s="4" t="s">
        <v>35</v>
      </c>
      <c r="C868" s="4" t="s">
        <v>36</v>
      </c>
      <c r="D868" s="4" t="s">
        <v>45</v>
      </c>
      <c r="E868" s="4" t="s">
        <v>25</v>
      </c>
      <c r="F868" s="4" t="s">
        <v>25</v>
      </c>
      <c r="G868" s="4" t="s">
        <v>25</v>
      </c>
      <c r="H868" s="4" t="s">
        <v>37</v>
      </c>
      <c r="I868" s="5">
        <v>44317</v>
      </c>
      <c r="J868" s="6">
        <v>0</v>
      </c>
      <c r="K868" s="6">
        <v>0</v>
      </c>
      <c r="L868" s="6">
        <v>-2.1890000000000001</v>
      </c>
      <c r="M868" s="6">
        <v>-2.1890000000000001</v>
      </c>
      <c r="N868" s="6">
        <v>-2.1890000000000001</v>
      </c>
      <c r="O868" s="6">
        <v>-2.1890000000000001</v>
      </c>
      <c r="P868" s="6">
        <v>0</v>
      </c>
      <c r="Q868" s="4" t="s">
        <v>26</v>
      </c>
      <c r="R868" s="4">
        <v>0</v>
      </c>
      <c r="S868" s="4" t="s">
        <v>218</v>
      </c>
      <c r="T868" s="4" t="s">
        <v>451</v>
      </c>
      <c r="U868" s="4">
        <v>0</v>
      </c>
      <c r="V868" s="4">
        <v>24</v>
      </c>
      <c r="W868" s="4">
        <v>66</v>
      </c>
    </row>
    <row r="869" spans="1:23" ht="11.25" customHeight="1" x14ac:dyDescent="0.25">
      <c r="A869" s="4" t="s">
        <v>28</v>
      </c>
      <c r="B869" s="4" t="s">
        <v>35</v>
      </c>
      <c r="C869" s="4" t="s">
        <v>36</v>
      </c>
      <c r="D869" s="4" t="s">
        <v>45</v>
      </c>
      <c r="E869" s="4" t="s">
        <v>25</v>
      </c>
      <c r="F869" s="4" t="s">
        <v>25</v>
      </c>
      <c r="G869" s="4" t="s">
        <v>25</v>
      </c>
      <c r="H869" s="4" t="s">
        <v>37</v>
      </c>
      <c r="I869" s="5">
        <v>44317</v>
      </c>
      <c r="J869" s="6">
        <v>0</v>
      </c>
      <c r="K869" s="6">
        <v>0</v>
      </c>
      <c r="L869" s="6">
        <v>121.998</v>
      </c>
      <c r="M869" s="6">
        <v>121.998</v>
      </c>
      <c r="N869" s="6">
        <v>121.998</v>
      </c>
      <c r="O869" s="6">
        <v>121.998</v>
      </c>
      <c r="P869" s="6">
        <v>0</v>
      </c>
      <c r="Q869" s="4" t="s">
        <v>26</v>
      </c>
      <c r="R869" s="4">
        <v>0</v>
      </c>
      <c r="S869" s="4" t="s">
        <v>218</v>
      </c>
      <c r="T869" s="4" t="s">
        <v>451</v>
      </c>
      <c r="U869" s="4">
        <v>0</v>
      </c>
      <c r="V869" s="4">
        <v>24</v>
      </c>
      <c r="W869" s="4">
        <v>66</v>
      </c>
    </row>
    <row r="870" spans="1:23" ht="11.25" customHeight="1" x14ac:dyDescent="0.25">
      <c r="A870" s="4" t="s">
        <v>30</v>
      </c>
      <c r="B870" s="4" t="s">
        <v>35</v>
      </c>
      <c r="C870" s="4" t="s">
        <v>36</v>
      </c>
      <c r="D870" s="4" t="s">
        <v>45</v>
      </c>
      <c r="E870" s="4" t="s">
        <v>25</v>
      </c>
      <c r="F870" s="4" t="s">
        <v>25</v>
      </c>
      <c r="G870" s="4" t="s">
        <v>25</v>
      </c>
      <c r="H870" s="4" t="s">
        <v>37</v>
      </c>
      <c r="I870" s="5">
        <v>44317</v>
      </c>
      <c r="J870" s="6">
        <v>0</v>
      </c>
      <c r="K870" s="6">
        <v>0</v>
      </c>
      <c r="L870" s="6">
        <v>71.709000000000003</v>
      </c>
      <c r="M870" s="6">
        <v>71.709000000000003</v>
      </c>
      <c r="N870" s="6">
        <v>71.709000000000003</v>
      </c>
      <c r="O870" s="6">
        <v>71.709000000000003</v>
      </c>
      <c r="P870" s="6">
        <v>0</v>
      </c>
      <c r="Q870" s="4" t="s">
        <v>26</v>
      </c>
      <c r="R870" s="4">
        <v>0</v>
      </c>
      <c r="S870" s="4" t="s">
        <v>218</v>
      </c>
      <c r="T870" s="4" t="s">
        <v>451</v>
      </c>
      <c r="U870" s="4">
        <v>0</v>
      </c>
      <c r="V870" s="4">
        <v>24</v>
      </c>
      <c r="W870" s="4">
        <v>66</v>
      </c>
    </row>
    <row r="871" spans="1:23" ht="11.25" customHeight="1" x14ac:dyDescent="0.25">
      <c r="A871" s="4" t="s">
        <v>21</v>
      </c>
      <c r="B871" s="4" t="s">
        <v>35</v>
      </c>
      <c r="C871" s="4" t="s">
        <v>36</v>
      </c>
      <c r="D871" s="4" t="s">
        <v>45</v>
      </c>
      <c r="E871" s="4" t="s">
        <v>25</v>
      </c>
      <c r="F871" s="4" t="s">
        <v>25</v>
      </c>
      <c r="G871" s="4" t="s">
        <v>25</v>
      </c>
      <c r="H871" s="4" t="s">
        <v>37</v>
      </c>
      <c r="I871" s="5">
        <v>44317</v>
      </c>
      <c r="J871" s="6">
        <v>0</v>
      </c>
      <c r="K871" s="6">
        <v>0</v>
      </c>
      <c r="L871" s="6">
        <v>2.6680000000000001</v>
      </c>
      <c r="M871" s="6">
        <v>2.6680000000000001</v>
      </c>
      <c r="N871" s="6">
        <v>0</v>
      </c>
      <c r="O871" s="6">
        <v>0</v>
      </c>
      <c r="P871" s="6">
        <v>0</v>
      </c>
      <c r="Q871" s="4" t="s">
        <v>60</v>
      </c>
      <c r="R871" s="4">
        <v>0</v>
      </c>
      <c r="S871" s="4" t="s">
        <v>218</v>
      </c>
      <c r="U871" s="4">
        <v>0</v>
      </c>
      <c r="V871" s="4">
        <v>24</v>
      </c>
      <c r="W871" s="4">
        <v>0</v>
      </c>
    </row>
    <row r="872" spans="1:23" ht="11.25" customHeight="1" x14ac:dyDescent="0.25">
      <c r="A872" s="4" t="s">
        <v>21</v>
      </c>
      <c r="B872" s="4" t="s">
        <v>35</v>
      </c>
      <c r="C872" s="4" t="s">
        <v>36</v>
      </c>
      <c r="D872" s="4" t="s">
        <v>45</v>
      </c>
      <c r="E872" s="4" t="s">
        <v>25</v>
      </c>
      <c r="F872" s="4" t="s">
        <v>25</v>
      </c>
      <c r="G872" s="4" t="s">
        <v>25</v>
      </c>
      <c r="H872" s="4" t="s">
        <v>37</v>
      </c>
      <c r="I872" s="5">
        <v>44348</v>
      </c>
      <c r="J872" s="6">
        <v>0</v>
      </c>
      <c r="K872" s="6">
        <v>0</v>
      </c>
      <c r="L872" s="6">
        <v>1578</v>
      </c>
      <c r="M872" s="6">
        <v>1578</v>
      </c>
      <c r="N872" s="6">
        <v>1578</v>
      </c>
      <c r="O872" s="6">
        <v>1578</v>
      </c>
      <c r="P872" s="6">
        <v>0</v>
      </c>
      <c r="Q872" s="4" t="s">
        <v>26</v>
      </c>
      <c r="R872" s="4">
        <v>0</v>
      </c>
      <c r="S872" s="4" t="s">
        <v>219</v>
      </c>
      <c r="T872" s="4" t="s">
        <v>452</v>
      </c>
      <c r="U872" s="4">
        <v>0</v>
      </c>
      <c r="V872" s="4">
        <v>24</v>
      </c>
      <c r="W872" s="4">
        <v>66</v>
      </c>
    </row>
    <row r="873" spans="1:23" ht="11.25" customHeight="1" x14ac:dyDescent="0.25">
      <c r="A873" s="4" t="s">
        <v>27</v>
      </c>
      <c r="B873" s="4" t="s">
        <v>35</v>
      </c>
      <c r="C873" s="4" t="s">
        <v>36</v>
      </c>
      <c r="D873" s="4" t="s">
        <v>45</v>
      </c>
      <c r="E873" s="4" t="s">
        <v>25</v>
      </c>
      <c r="F873" s="4" t="s">
        <v>25</v>
      </c>
      <c r="G873" s="4" t="s">
        <v>25</v>
      </c>
      <c r="H873" s="4" t="s">
        <v>37</v>
      </c>
      <c r="I873" s="5">
        <v>44348</v>
      </c>
      <c r="J873" s="6">
        <v>0</v>
      </c>
      <c r="K873" s="6">
        <v>0</v>
      </c>
      <c r="L873" s="6">
        <v>-2.8220000000000001</v>
      </c>
      <c r="M873" s="6">
        <v>-2.8220000000000001</v>
      </c>
      <c r="N873" s="6">
        <v>-2.8220000000000001</v>
      </c>
      <c r="O873" s="6">
        <v>-2.8220000000000001</v>
      </c>
      <c r="P873" s="6">
        <v>0</v>
      </c>
      <c r="Q873" s="4" t="s">
        <v>26</v>
      </c>
      <c r="R873" s="4">
        <v>0</v>
      </c>
      <c r="S873" s="4" t="s">
        <v>219</v>
      </c>
      <c r="T873" s="4" t="s">
        <v>452</v>
      </c>
      <c r="U873" s="4">
        <v>0</v>
      </c>
      <c r="V873" s="4">
        <v>24</v>
      </c>
      <c r="W873" s="4">
        <v>66</v>
      </c>
    </row>
    <row r="874" spans="1:23" ht="11.25" customHeight="1" x14ac:dyDescent="0.25">
      <c r="A874" s="4" t="s">
        <v>28</v>
      </c>
      <c r="B874" s="4" t="s">
        <v>35</v>
      </c>
      <c r="C874" s="4" t="s">
        <v>36</v>
      </c>
      <c r="D874" s="4" t="s">
        <v>45</v>
      </c>
      <c r="E874" s="4" t="s">
        <v>25</v>
      </c>
      <c r="F874" s="4" t="s">
        <v>25</v>
      </c>
      <c r="G874" s="4" t="s">
        <v>25</v>
      </c>
      <c r="H874" s="4" t="s">
        <v>37</v>
      </c>
      <c r="I874" s="5">
        <v>44348</v>
      </c>
      <c r="J874" s="6">
        <v>0</v>
      </c>
      <c r="K874" s="6">
        <v>0</v>
      </c>
      <c r="L874" s="6">
        <v>114.40600000000001</v>
      </c>
      <c r="M874" s="6">
        <v>114.40600000000001</v>
      </c>
      <c r="N874" s="6">
        <v>114.40600000000001</v>
      </c>
      <c r="O874" s="6">
        <v>114.40600000000001</v>
      </c>
      <c r="P874" s="6">
        <v>0</v>
      </c>
      <c r="Q874" s="4" t="s">
        <v>26</v>
      </c>
      <c r="R874" s="4">
        <v>0</v>
      </c>
      <c r="S874" s="4" t="s">
        <v>219</v>
      </c>
      <c r="T874" s="4" t="s">
        <v>452</v>
      </c>
      <c r="U874" s="4">
        <v>0</v>
      </c>
      <c r="V874" s="4">
        <v>24</v>
      </c>
      <c r="W874" s="4">
        <v>66</v>
      </c>
    </row>
    <row r="875" spans="1:23" ht="11.25" customHeight="1" x14ac:dyDescent="0.25">
      <c r="A875" s="4" t="s">
        <v>29</v>
      </c>
      <c r="B875" s="4" t="s">
        <v>35</v>
      </c>
      <c r="C875" s="4" t="s">
        <v>36</v>
      </c>
      <c r="D875" s="4" t="s">
        <v>45</v>
      </c>
      <c r="E875" s="4" t="s">
        <v>25</v>
      </c>
      <c r="F875" s="4" t="s">
        <v>25</v>
      </c>
      <c r="G875" s="4" t="s">
        <v>25</v>
      </c>
      <c r="H875" s="4" t="s">
        <v>37</v>
      </c>
      <c r="I875" s="5">
        <v>44348</v>
      </c>
      <c r="J875" s="6">
        <v>0</v>
      </c>
      <c r="K875" s="6">
        <v>0</v>
      </c>
      <c r="L875" s="6">
        <v>-2.8380000000000001</v>
      </c>
      <c r="M875" s="6">
        <v>-2.8380000000000001</v>
      </c>
      <c r="N875" s="6">
        <v>-2.8380000000000001</v>
      </c>
      <c r="O875" s="6">
        <v>-2.8380000000000001</v>
      </c>
      <c r="P875" s="6">
        <v>0</v>
      </c>
      <c r="Q875" s="4" t="s">
        <v>26</v>
      </c>
      <c r="R875" s="4">
        <v>0</v>
      </c>
      <c r="S875" s="4" t="s">
        <v>219</v>
      </c>
      <c r="T875" s="4" t="s">
        <v>452</v>
      </c>
      <c r="U875" s="4">
        <v>0</v>
      </c>
      <c r="V875" s="4">
        <v>24</v>
      </c>
      <c r="W875" s="4">
        <v>66</v>
      </c>
    </row>
    <row r="876" spans="1:23" ht="11.25" customHeight="1" x14ac:dyDescent="0.25">
      <c r="A876" s="4" t="s">
        <v>30</v>
      </c>
      <c r="B876" s="4" t="s">
        <v>35</v>
      </c>
      <c r="C876" s="4" t="s">
        <v>36</v>
      </c>
      <c r="D876" s="4" t="s">
        <v>45</v>
      </c>
      <c r="E876" s="4" t="s">
        <v>25</v>
      </c>
      <c r="F876" s="4" t="s">
        <v>25</v>
      </c>
      <c r="G876" s="4" t="s">
        <v>25</v>
      </c>
      <c r="H876" s="4" t="s">
        <v>37</v>
      </c>
      <c r="I876" s="5">
        <v>44348</v>
      </c>
      <c r="J876" s="6">
        <v>0</v>
      </c>
      <c r="K876" s="6">
        <v>0</v>
      </c>
      <c r="L876" s="6">
        <v>80.149000000000001</v>
      </c>
      <c r="M876" s="6">
        <v>80.149000000000001</v>
      </c>
      <c r="N876" s="6">
        <v>80.149000000000001</v>
      </c>
      <c r="O876" s="6">
        <v>80.149000000000001</v>
      </c>
      <c r="P876" s="6">
        <v>0</v>
      </c>
      <c r="Q876" s="4" t="s">
        <v>26</v>
      </c>
      <c r="R876" s="4">
        <v>0</v>
      </c>
      <c r="S876" s="4" t="s">
        <v>219</v>
      </c>
      <c r="T876" s="4" t="s">
        <v>452</v>
      </c>
      <c r="U876" s="4">
        <v>0</v>
      </c>
      <c r="V876" s="4">
        <v>24</v>
      </c>
      <c r="W876" s="4">
        <v>66</v>
      </c>
    </row>
    <row r="877" spans="1:23" ht="11.25" customHeight="1" x14ac:dyDescent="0.25">
      <c r="A877" s="4" t="s">
        <v>21</v>
      </c>
      <c r="B877" s="4" t="s">
        <v>35</v>
      </c>
      <c r="C877" s="4" t="s">
        <v>36</v>
      </c>
      <c r="D877" s="4" t="s">
        <v>45</v>
      </c>
      <c r="E877" s="4" t="s">
        <v>25</v>
      </c>
      <c r="F877" s="4" t="s">
        <v>25</v>
      </c>
      <c r="G877" s="4" t="s">
        <v>25</v>
      </c>
      <c r="H877" s="4" t="s">
        <v>37</v>
      </c>
      <c r="I877" s="5">
        <v>44348</v>
      </c>
      <c r="J877" s="6">
        <v>0</v>
      </c>
      <c r="K877" s="6">
        <v>0</v>
      </c>
      <c r="L877" s="6">
        <v>2.7559999999999998</v>
      </c>
      <c r="M877" s="6">
        <v>2.7559999999999998</v>
      </c>
      <c r="N877" s="6">
        <v>0</v>
      </c>
      <c r="O877" s="6">
        <v>0</v>
      </c>
      <c r="P877" s="6">
        <v>0</v>
      </c>
      <c r="Q877" s="4" t="s">
        <v>60</v>
      </c>
      <c r="R877" s="4">
        <v>0</v>
      </c>
      <c r="S877" s="4" t="s">
        <v>219</v>
      </c>
      <c r="U877" s="4">
        <v>0</v>
      </c>
      <c r="V877" s="4">
        <v>24</v>
      </c>
      <c r="W877" s="4">
        <v>0</v>
      </c>
    </row>
    <row r="878" spans="1:23" ht="11.25" customHeight="1" x14ac:dyDescent="0.25">
      <c r="A878" s="4" t="s">
        <v>21</v>
      </c>
      <c r="B878" s="4" t="s">
        <v>35</v>
      </c>
      <c r="C878" s="4" t="s">
        <v>36</v>
      </c>
      <c r="D878" s="4" t="s">
        <v>45</v>
      </c>
      <c r="E878" s="4" t="s">
        <v>25</v>
      </c>
      <c r="F878" s="4" t="s">
        <v>25</v>
      </c>
      <c r="G878" s="4" t="s">
        <v>25</v>
      </c>
      <c r="H878" s="4" t="s">
        <v>37</v>
      </c>
      <c r="I878" s="5">
        <v>44378</v>
      </c>
      <c r="J878" s="6">
        <v>0</v>
      </c>
      <c r="K878" s="6">
        <v>0</v>
      </c>
      <c r="L878" s="6">
        <v>1673.9010000000001</v>
      </c>
      <c r="M878" s="6">
        <v>1673.9010000000001</v>
      </c>
      <c r="N878" s="6">
        <v>1673.9010000000001</v>
      </c>
      <c r="O878" s="6">
        <v>1673.9010000000001</v>
      </c>
      <c r="P878" s="6">
        <v>0</v>
      </c>
      <c r="Q878" s="4" t="s">
        <v>26</v>
      </c>
      <c r="R878" s="4">
        <v>0</v>
      </c>
      <c r="S878" s="4" t="s">
        <v>220</v>
      </c>
      <c r="T878" s="4" t="s">
        <v>453</v>
      </c>
      <c r="U878" s="4">
        <v>0</v>
      </c>
      <c r="V878" s="4">
        <v>24</v>
      </c>
      <c r="W878" s="4">
        <v>66</v>
      </c>
    </row>
    <row r="879" spans="1:23" ht="11.25" customHeight="1" x14ac:dyDescent="0.25">
      <c r="A879" s="4" t="s">
        <v>27</v>
      </c>
      <c r="B879" s="4" t="s">
        <v>35</v>
      </c>
      <c r="C879" s="4" t="s">
        <v>36</v>
      </c>
      <c r="D879" s="4" t="s">
        <v>45</v>
      </c>
      <c r="E879" s="4" t="s">
        <v>25</v>
      </c>
      <c r="F879" s="4" t="s">
        <v>25</v>
      </c>
      <c r="G879" s="4" t="s">
        <v>25</v>
      </c>
      <c r="H879" s="4" t="s">
        <v>37</v>
      </c>
      <c r="I879" s="5">
        <v>44378</v>
      </c>
      <c r="J879" s="6">
        <v>0</v>
      </c>
      <c r="K879" s="6">
        <v>0</v>
      </c>
      <c r="L879" s="6">
        <v>-6.1520000000000001</v>
      </c>
      <c r="M879" s="6">
        <v>-6.1520000000000001</v>
      </c>
      <c r="N879" s="6">
        <v>-6.1520000000000001</v>
      </c>
      <c r="O879" s="6">
        <v>-6.1520000000000001</v>
      </c>
      <c r="P879" s="6">
        <v>0</v>
      </c>
      <c r="Q879" s="4" t="s">
        <v>26</v>
      </c>
      <c r="R879" s="4">
        <v>0</v>
      </c>
      <c r="S879" s="4" t="s">
        <v>220</v>
      </c>
      <c r="T879" s="4" t="s">
        <v>453</v>
      </c>
      <c r="U879" s="4">
        <v>0</v>
      </c>
      <c r="V879" s="4">
        <v>24</v>
      </c>
      <c r="W879" s="4">
        <v>66</v>
      </c>
    </row>
    <row r="880" spans="1:23" ht="11.25" customHeight="1" x14ac:dyDescent="0.25">
      <c r="A880" s="4" t="s">
        <v>28</v>
      </c>
      <c r="B880" s="4" t="s">
        <v>35</v>
      </c>
      <c r="C880" s="4" t="s">
        <v>36</v>
      </c>
      <c r="D880" s="4" t="s">
        <v>45</v>
      </c>
      <c r="E880" s="4" t="s">
        <v>25</v>
      </c>
      <c r="F880" s="4" t="s">
        <v>25</v>
      </c>
      <c r="G880" s="4" t="s">
        <v>25</v>
      </c>
      <c r="H880" s="4" t="s">
        <v>37</v>
      </c>
      <c r="I880" s="5">
        <v>44378</v>
      </c>
      <c r="J880" s="6">
        <v>0</v>
      </c>
      <c r="K880" s="6">
        <v>0</v>
      </c>
      <c r="L880" s="6">
        <v>133.15299999999999</v>
      </c>
      <c r="M880" s="6">
        <v>133.15299999999999</v>
      </c>
      <c r="N880" s="6">
        <v>133.15299999999999</v>
      </c>
      <c r="O880" s="6">
        <v>133.15299999999999</v>
      </c>
      <c r="P880" s="6">
        <v>0</v>
      </c>
      <c r="Q880" s="4" t="s">
        <v>26</v>
      </c>
      <c r="R880" s="4">
        <v>0</v>
      </c>
      <c r="S880" s="4" t="s">
        <v>220</v>
      </c>
      <c r="T880" s="4" t="s">
        <v>453</v>
      </c>
      <c r="U880" s="4">
        <v>0</v>
      </c>
      <c r="V880" s="4">
        <v>24</v>
      </c>
      <c r="W880" s="4">
        <v>66</v>
      </c>
    </row>
    <row r="881" spans="1:23" ht="11.25" customHeight="1" x14ac:dyDescent="0.25">
      <c r="A881" s="4" t="s">
        <v>29</v>
      </c>
      <c r="B881" s="4" t="s">
        <v>35</v>
      </c>
      <c r="C881" s="4" t="s">
        <v>36</v>
      </c>
      <c r="D881" s="4" t="s">
        <v>45</v>
      </c>
      <c r="E881" s="4" t="s">
        <v>25</v>
      </c>
      <c r="F881" s="4" t="s">
        <v>25</v>
      </c>
      <c r="G881" s="4" t="s">
        <v>25</v>
      </c>
      <c r="H881" s="4" t="s">
        <v>37</v>
      </c>
      <c r="I881" s="5">
        <v>44378</v>
      </c>
      <c r="J881" s="6">
        <v>0</v>
      </c>
      <c r="K881" s="6">
        <v>0</v>
      </c>
      <c r="L881" s="6">
        <v>6.3360000000000003</v>
      </c>
      <c r="M881" s="6">
        <v>6.3360000000000003</v>
      </c>
      <c r="N881" s="6">
        <v>6.3360000000000003</v>
      </c>
      <c r="O881" s="6">
        <v>6.3360000000000003</v>
      </c>
      <c r="P881" s="6">
        <v>0</v>
      </c>
      <c r="Q881" s="4" t="s">
        <v>26</v>
      </c>
      <c r="R881" s="4">
        <v>0</v>
      </c>
      <c r="S881" s="4" t="s">
        <v>220</v>
      </c>
      <c r="T881" s="4" t="s">
        <v>453</v>
      </c>
      <c r="U881" s="4">
        <v>0</v>
      </c>
      <c r="V881" s="4">
        <v>24</v>
      </c>
      <c r="W881" s="4">
        <v>66</v>
      </c>
    </row>
    <row r="882" spans="1:23" ht="11.25" customHeight="1" x14ac:dyDescent="0.25">
      <c r="A882" s="4" t="s">
        <v>30</v>
      </c>
      <c r="B882" s="4" t="s">
        <v>35</v>
      </c>
      <c r="C882" s="4" t="s">
        <v>36</v>
      </c>
      <c r="D882" s="4" t="s">
        <v>45</v>
      </c>
      <c r="E882" s="4" t="s">
        <v>25</v>
      </c>
      <c r="F882" s="4" t="s">
        <v>25</v>
      </c>
      <c r="G882" s="4" t="s">
        <v>25</v>
      </c>
      <c r="H882" s="4" t="s">
        <v>37</v>
      </c>
      <c r="I882" s="5">
        <v>44378</v>
      </c>
      <c r="J882" s="6">
        <v>0</v>
      </c>
      <c r="K882" s="6">
        <v>0</v>
      </c>
      <c r="L882" s="6">
        <v>88.462000000000003</v>
      </c>
      <c r="M882" s="6">
        <v>88.462000000000003</v>
      </c>
      <c r="N882" s="6">
        <v>88.462000000000003</v>
      </c>
      <c r="O882" s="6">
        <v>88.462000000000003</v>
      </c>
      <c r="P882" s="6">
        <v>0</v>
      </c>
      <c r="Q882" s="4" t="s">
        <v>26</v>
      </c>
      <c r="R882" s="4">
        <v>0</v>
      </c>
      <c r="S882" s="4" t="s">
        <v>220</v>
      </c>
      <c r="T882" s="4" t="s">
        <v>453</v>
      </c>
      <c r="U882" s="4">
        <v>0</v>
      </c>
      <c r="V882" s="4">
        <v>24</v>
      </c>
      <c r="W882" s="4">
        <v>66</v>
      </c>
    </row>
    <row r="883" spans="1:23" ht="11.25" customHeight="1" x14ac:dyDescent="0.25">
      <c r="A883" s="4" t="s">
        <v>30</v>
      </c>
      <c r="B883" s="4" t="s">
        <v>35</v>
      </c>
      <c r="C883" s="4" t="s">
        <v>36</v>
      </c>
      <c r="D883" s="4" t="s">
        <v>45</v>
      </c>
      <c r="E883" s="4" t="s">
        <v>25</v>
      </c>
      <c r="F883" s="4" t="s">
        <v>25</v>
      </c>
      <c r="G883" s="4" t="s">
        <v>25</v>
      </c>
      <c r="H883" s="4" t="s">
        <v>37</v>
      </c>
      <c r="I883" s="5">
        <v>44378</v>
      </c>
      <c r="J883" s="6">
        <v>0</v>
      </c>
      <c r="K883" s="6">
        <v>0</v>
      </c>
      <c r="L883" s="6">
        <v>-1.02</v>
      </c>
      <c r="M883" s="6">
        <v>-1.02</v>
      </c>
      <c r="N883" s="6">
        <v>-1.02</v>
      </c>
      <c r="O883" s="6">
        <v>-1.02</v>
      </c>
      <c r="P883" s="6">
        <v>0</v>
      </c>
      <c r="Q883" s="4" t="s">
        <v>26</v>
      </c>
      <c r="R883" s="4">
        <v>0</v>
      </c>
      <c r="S883" s="4" t="s">
        <v>220</v>
      </c>
      <c r="T883" s="4" t="s">
        <v>453</v>
      </c>
      <c r="U883" s="4">
        <v>0</v>
      </c>
      <c r="V883" s="4">
        <v>24</v>
      </c>
      <c r="W883" s="4">
        <v>66</v>
      </c>
    </row>
    <row r="884" spans="1:23" ht="11.25" customHeight="1" x14ac:dyDescent="0.25">
      <c r="A884" s="4" t="s">
        <v>21</v>
      </c>
      <c r="B884" s="4" t="s">
        <v>35</v>
      </c>
      <c r="C884" s="4" t="s">
        <v>36</v>
      </c>
      <c r="D884" s="4" t="s">
        <v>45</v>
      </c>
      <c r="E884" s="4" t="s">
        <v>25</v>
      </c>
      <c r="F884" s="4" t="s">
        <v>25</v>
      </c>
      <c r="G884" s="4" t="s">
        <v>25</v>
      </c>
      <c r="H884" s="4" t="s">
        <v>37</v>
      </c>
      <c r="I884" s="5">
        <v>44378</v>
      </c>
      <c r="J884" s="6">
        <v>0</v>
      </c>
      <c r="K884" s="6">
        <v>0</v>
      </c>
      <c r="L884" s="6">
        <v>2.746</v>
      </c>
      <c r="M884" s="6">
        <v>2.746</v>
      </c>
      <c r="N884" s="6">
        <v>0</v>
      </c>
      <c r="O884" s="6">
        <v>0</v>
      </c>
      <c r="P884" s="6">
        <v>0</v>
      </c>
      <c r="Q884" s="4" t="s">
        <v>60</v>
      </c>
      <c r="R884" s="4">
        <v>0</v>
      </c>
      <c r="S884" s="4" t="s">
        <v>220</v>
      </c>
      <c r="U884" s="4">
        <v>0</v>
      </c>
      <c r="V884" s="4">
        <v>24</v>
      </c>
      <c r="W884" s="4">
        <v>0</v>
      </c>
    </row>
    <row r="885" spans="1:23" ht="11.25" customHeight="1" x14ac:dyDescent="0.25">
      <c r="A885" s="4" t="s">
        <v>21</v>
      </c>
      <c r="B885" s="4" t="s">
        <v>35</v>
      </c>
      <c r="C885" s="4" t="s">
        <v>36</v>
      </c>
      <c r="D885" s="4" t="s">
        <v>45</v>
      </c>
      <c r="E885" s="4" t="s">
        <v>25</v>
      </c>
      <c r="F885" s="4" t="s">
        <v>25</v>
      </c>
      <c r="G885" s="4" t="s">
        <v>25</v>
      </c>
      <c r="H885" s="4" t="s">
        <v>37</v>
      </c>
      <c r="I885" s="5">
        <v>44409</v>
      </c>
      <c r="J885" s="6">
        <v>0</v>
      </c>
      <c r="K885" s="6">
        <v>0</v>
      </c>
      <c r="L885" s="6">
        <v>1782.7270000000001</v>
      </c>
      <c r="M885" s="6">
        <v>1782.7270000000001</v>
      </c>
      <c r="N885" s="6">
        <v>1782.7270000000001</v>
      </c>
      <c r="O885" s="6">
        <v>1782.7270000000001</v>
      </c>
      <c r="P885" s="6">
        <v>0</v>
      </c>
      <c r="Q885" s="4" t="s">
        <v>26</v>
      </c>
      <c r="R885" s="4">
        <v>0</v>
      </c>
      <c r="S885" s="4" t="s">
        <v>221</v>
      </c>
      <c r="T885" s="4" t="s">
        <v>454</v>
      </c>
      <c r="U885" s="4">
        <v>0</v>
      </c>
      <c r="V885" s="4">
        <v>24</v>
      </c>
      <c r="W885" s="4">
        <v>66</v>
      </c>
    </row>
    <row r="886" spans="1:23" ht="11.25" customHeight="1" x14ac:dyDescent="0.25">
      <c r="A886" s="4" t="s">
        <v>27</v>
      </c>
      <c r="B886" s="4" t="s">
        <v>35</v>
      </c>
      <c r="C886" s="4" t="s">
        <v>36</v>
      </c>
      <c r="D886" s="4" t="s">
        <v>45</v>
      </c>
      <c r="E886" s="4" t="s">
        <v>25</v>
      </c>
      <c r="F886" s="4" t="s">
        <v>25</v>
      </c>
      <c r="G886" s="4" t="s">
        <v>25</v>
      </c>
      <c r="H886" s="4" t="s">
        <v>37</v>
      </c>
      <c r="I886" s="5">
        <v>44409</v>
      </c>
      <c r="J886" s="6">
        <v>0</v>
      </c>
      <c r="K886" s="6">
        <v>0</v>
      </c>
      <c r="L886" s="6">
        <v>2138.2089999999998</v>
      </c>
      <c r="M886" s="6">
        <v>2138.2089999999998</v>
      </c>
      <c r="N886" s="6">
        <v>2138.2089999999998</v>
      </c>
      <c r="O886" s="6">
        <v>2138.2089999999998</v>
      </c>
      <c r="P886" s="6">
        <v>0</v>
      </c>
      <c r="Q886" s="4" t="s">
        <v>26</v>
      </c>
      <c r="R886" s="4">
        <v>0</v>
      </c>
      <c r="S886" s="4" t="s">
        <v>221</v>
      </c>
      <c r="T886" s="4" t="s">
        <v>454</v>
      </c>
      <c r="U886" s="4">
        <v>0</v>
      </c>
      <c r="V886" s="4">
        <v>24</v>
      </c>
      <c r="W886" s="4">
        <v>66</v>
      </c>
    </row>
    <row r="887" spans="1:23" ht="11.25" customHeight="1" x14ac:dyDescent="0.25">
      <c r="A887" s="4" t="s">
        <v>28</v>
      </c>
      <c r="B887" s="4" t="s">
        <v>35</v>
      </c>
      <c r="C887" s="4" t="s">
        <v>36</v>
      </c>
      <c r="D887" s="4" t="s">
        <v>45</v>
      </c>
      <c r="E887" s="4" t="s">
        <v>25</v>
      </c>
      <c r="F887" s="4" t="s">
        <v>25</v>
      </c>
      <c r="G887" s="4" t="s">
        <v>25</v>
      </c>
      <c r="H887" s="4" t="s">
        <v>37</v>
      </c>
      <c r="I887" s="5">
        <v>44409</v>
      </c>
      <c r="J887" s="6">
        <v>0</v>
      </c>
      <c r="K887" s="6">
        <v>0</v>
      </c>
      <c r="L887" s="6">
        <v>141.84800000000001</v>
      </c>
      <c r="M887" s="6">
        <v>141.84800000000001</v>
      </c>
      <c r="N887" s="6">
        <v>141.84800000000001</v>
      </c>
      <c r="O887" s="6">
        <v>141.84800000000001</v>
      </c>
      <c r="P887" s="6">
        <v>0</v>
      </c>
      <c r="Q887" s="4" t="s">
        <v>26</v>
      </c>
      <c r="R887" s="4">
        <v>0</v>
      </c>
      <c r="S887" s="4" t="s">
        <v>221</v>
      </c>
      <c r="T887" s="4" t="s">
        <v>454</v>
      </c>
      <c r="U887" s="4">
        <v>0</v>
      </c>
      <c r="V887" s="4">
        <v>24</v>
      </c>
      <c r="W887" s="4">
        <v>66</v>
      </c>
    </row>
    <row r="888" spans="1:23" ht="11.25" customHeight="1" x14ac:dyDescent="0.25">
      <c r="A888" s="4" t="s">
        <v>30</v>
      </c>
      <c r="B888" s="4" t="s">
        <v>35</v>
      </c>
      <c r="C888" s="4" t="s">
        <v>36</v>
      </c>
      <c r="D888" s="4" t="s">
        <v>45</v>
      </c>
      <c r="E888" s="4" t="s">
        <v>25</v>
      </c>
      <c r="F888" s="4" t="s">
        <v>25</v>
      </c>
      <c r="G888" s="4" t="s">
        <v>25</v>
      </c>
      <c r="H888" s="4" t="s">
        <v>37</v>
      </c>
      <c r="I888" s="5">
        <v>44409</v>
      </c>
      <c r="J888" s="6">
        <v>0</v>
      </c>
      <c r="K888" s="6">
        <v>0</v>
      </c>
      <c r="L888" s="6">
        <v>99.721000000000004</v>
      </c>
      <c r="M888" s="6">
        <v>99.721000000000004</v>
      </c>
      <c r="N888" s="6">
        <v>99.721000000000004</v>
      </c>
      <c r="O888" s="6">
        <v>99.721000000000004</v>
      </c>
      <c r="P888" s="6">
        <v>0</v>
      </c>
      <c r="Q888" s="4" t="s">
        <v>26</v>
      </c>
      <c r="R888" s="4">
        <v>0</v>
      </c>
      <c r="S888" s="4" t="s">
        <v>221</v>
      </c>
      <c r="T888" s="4" t="s">
        <v>454</v>
      </c>
      <c r="U888" s="4">
        <v>0</v>
      </c>
      <c r="V888" s="4">
        <v>24</v>
      </c>
      <c r="W888" s="4">
        <v>66</v>
      </c>
    </row>
    <row r="889" spans="1:23" ht="11.25" customHeight="1" x14ac:dyDescent="0.25">
      <c r="A889" s="4" t="s">
        <v>30</v>
      </c>
      <c r="B889" s="4" t="s">
        <v>35</v>
      </c>
      <c r="C889" s="4" t="s">
        <v>36</v>
      </c>
      <c r="D889" s="4" t="s">
        <v>45</v>
      </c>
      <c r="E889" s="4" t="s">
        <v>25</v>
      </c>
      <c r="F889" s="4" t="s">
        <v>25</v>
      </c>
      <c r="G889" s="4" t="s">
        <v>25</v>
      </c>
      <c r="H889" s="4" t="s">
        <v>37</v>
      </c>
      <c r="I889" s="5">
        <v>44409</v>
      </c>
      <c r="J889" s="6">
        <v>0</v>
      </c>
      <c r="K889" s="6">
        <v>0</v>
      </c>
      <c r="L889" s="6">
        <v>-1E-3</v>
      </c>
      <c r="M889" s="6">
        <v>-1E-3</v>
      </c>
      <c r="N889" s="6">
        <v>-1E-3</v>
      </c>
      <c r="O889" s="6">
        <v>-1E-3</v>
      </c>
      <c r="P889" s="6">
        <v>0</v>
      </c>
      <c r="Q889" s="4" t="s">
        <v>26</v>
      </c>
      <c r="R889" s="4">
        <v>0</v>
      </c>
      <c r="S889" s="4" t="s">
        <v>221</v>
      </c>
      <c r="T889" s="4" t="s">
        <v>454</v>
      </c>
      <c r="U889" s="4">
        <v>0</v>
      </c>
      <c r="V889" s="4">
        <v>24</v>
      </c>
      <c r="W889" s="4">
        <v>66</v>
      </c>
    </row>
    <row r="890" spans="1:23" ht="11.25" customHeight="1" x14ac:dyDescent="0.25">
      <c r="A890" s="4" t="s">
        <v>21</v>
      </c>
      <c r="B890" s="4" t="s">
        <v>35</v>
      </c>
      <c r="C890" s="4" t="s">
        <v>36</v>
      </c>
      <c r="D890" s="4" t="s">
        <v>45</v>
      </c>
      <c r="E890" s="4" t="s">
        <v>25</v>
      </c>
      <c r="F890" s="4" t="s">
        <v>25</v>
      </c>
      <c r="G890" s="4" t="s">
        <v>25</v>
      </c>
      <c r="H890" s="4" t="s">
        <v>37</v>
      </c>
      <c r="I890" s="5">
        <v>44409</v>
      </c>
      <c r="J890" s="6">
        <v>0</v>
      </c>
      <c r="K890" s="6">
        <v>0</v>
      </c>
      <c r="L890" s="6">
        <v>3.0569999999999999</v>
      </c>
      <c r="M890" s="6">
        <v>3.0569999999999999</v>
      </c>
      <c r="N890" s="6">
        <v>0</v>
      </c>
      <c r="O890" s="6">
        <v>0</v>
      </c>
      <c r="P890" s="6">
        <v>0</v>
      </c>
      <c r="Q890" s="4" t="s">
        <v>60</v>
      </c>
      <c r="R890" s="4">
        <v>0</v>
      </c>
      <c r="S890" s="4" t="s">
        <v>221</v>
      </c>
      <c r="U890" s="4">
        <v>0</v>
      </c>
      <c r="V890" s="4">
        <v>24</v>
      </c>
      <c r="W890" s="4">
        <v>0</v>
      </c>
    </row>
    <row r="891" spans="1:23" ht="11.25" customHeight="1" x14ac:dyDescent="0.25">
      <c r="A891" s="4" t="s">
        <v>21</v>
      </c>
      <c r="B891" s="4" t="s">
        <v>35</v>
      </c>
      <c r="C891" s="4" t="s">
        <v>36</v>
      </c>
      <c r="D891" s="4" t="s">
        <v>45</v>
      </c>
      <c r="E891" s="4" t="s">
        <v>25</v>
      </c>
      <c r="F891" s="4" t="s">
        <v>25</v>
      </c>
      <c r="G891" s="4" t="s">
        <v>25</v>
      </c>
      <c r="H891" s="4" t="s">
        <v>37</v>
      </c>
      <c r="I891" s="5">
        <v>44440</v>
      </c>
      <c r="J891" s="6">
        <v>0</v>
      </c>
      <c r="K891" s="6">
        <v>0</v>
      </c>
      <c r="L891" s="6">
        <v>1713.297</v>
      </c>
      <c r="M891" s="6">
        <v>1713.297</v>
      </c>
      <c r="N891" s="6">
        <v>1713.297</v>
      </c>
      <c r="O891" s="6">
        <v>1713.297</v>
      </c>
      <c r="P891" s="6">
        <v>0</v>
      </c>
      <c r="Q891" s="4" t="s">
        <v>26</v>
      </c>
      <c r="R891" s="4">
        <v>0</v>
      </c>
      <c r="S891" s="4" t="s">
        <v>222</v>
      </c>
      <c r="T891" s="4" t="s">
        <v>455</v>
      </c>
      <c r="U891" s="4">
        <v>0</v>
      </c>
      <c r="V891" s="4">
        <v>24</v>
      </c>
      <c r="W891" s="4">
        <v>66</v>
      </c>
    </row>
    <row r="892" spans="1:23" ht="11.25" customHeight="1" x14ac:dyDescent="0.25">
      <c r="A892" s="4" t="s">
        <v>27</v>
      </c>
      <c r="B892" s="4" t="s">
        <v>35</v>
      </c>
      <c r="C892" s="4" t="s">
        <v>36</v>
      </c>
      <c r="D892" s="4" t="s">
        <v>45</v>
      </c>
      <c r="E892" s="4" t="s">
        <v>25</v>
      </c>
      <c r="F892" s="4" t="s">
        <v>25</v>
      </c>
      <c r="G892" s="4" t="s">
        <v>25</v>
      </c>
      <c r="H892" s="4" t="s">
        <v>37</v>
      </c>
      <c r="I892" s="5">
        <v>44440</v>
      </c>
      <c r="J892" s="6">
        <v>0</v>
      </c>
      <c r="K892" s="6">
        <v>0</v>
      </c>
      <c r="L892" s="6">
        <v>-6.5650000000000004</v>
      </c>
      <c r="M892" s="6">
        <v>-6.5650000000000004</v>
      </c>
      <c r="N892" s="6">
        <v>-6.5650000000000004</v>
      </c>
      <c r="O892" s="6">
        <v>-6.5650000000000004</v>
      </c>
      <c r="P892" s="6">
        <v>0</v>
      </c>
      <c r="Q892" s="4" t="s">
        <v>26</v>
      </c>
      <c r="R892" s="4">
        <v>0</v>
      </c>
      <c r="S892" s="4" t="s">
        <v>222</v>
      </c>
      <c r="T892" s="4" t="s">
        <v>455</v>
      </c>
      <c r="U892" s="4">
        <v>0</v>
      </c>
      <c r="V892" s="4">
        <v>24</v>
      </c>
      <c r="W892" s="4">
        <v>66</v>
      </c>
    </row>
    <row r="893" spans="1:23" ht="11.25" customHeight="1" x14ac:dyDescent="0.25">
      <c r="A893" s="4" t="s">
        <v>28</v>
      </c>
      <c r="B893" s="4" t="s">
        <v>35</v>
      </c>
      <c r="C893" s="4" t="s">
        <v>36</v>
      </c>
      <c r="D893" s="4" t="s">
        <v>45</v>
      </c>
      <c r="E893" s="4" t="s">
        <v>25</v>
      </c>
      <c r="F893" s="4" t="s">
        <v>25</v>
      </c>
      <c r="G893" s="4" t="s">
        <v>25</v>
      </c>
      <c r="H893" s="4" t="s">
        <v>37</v>
      </c>
      <c r="I893" s="5">
        <v>44440</v>
      </c>
      <c r="J893" s="6">
        <v>0</v>
      </c>
      <c r="K893" s="6">
        <v>0</v>
      </c>
      <c r="L893" s="6">
        <v>161.34399999999999</v>
      </c>
      <c r="M893" s="6">
        <v>161.34399999999999</v>
      </c>
      <c r="N893" s="6">
        <v>161.34399999999999</v>
      </c>
      <c r="O893" s="6">
        <v>161.34399999999999</v>
      </c>
      <c r="P893" s="6">
        <v>0</v>
      </c>
      <c r="Q893" s="4" t="s">
        <v>26</v>
      </c>
      <c r="R893" s="4">
        <v>0</v>
      </c>
      <c r="S893" s="4" t="s">
        <v>222</v>
      </c>
      <c r="T893" s="4" t="s">
        <v>455</v>
      </c>
      <c r="U893" s="4">
        <v>0</v>
      </c>
      <c r="V893" s="4">
        <v>24</v>
      </c>
      <c r="W893" s="4">
        <v>66</v>
      </c>
    </row>
    <row r="894" spans="1:23" ht="11.25" customHeight="1" x14ac:dyDescent="0.25">
      <c r="A894" s="4" t="s">
        <v>30</v>
      </c>
      <c r="B894" s="4" t="s">
        <v>35</v>
      </c>
      <c r="C894" s="4" t="s">
        <v>36</v>
      </c>
      <c r="D894" s="4" t="s">
        <v>45</v>
      </c>
      <c r="E894" s="4" t="s">
        <v>25</v>
      </c>
      <c r="F894" s="4" t="s">
        <v>25</v>
      </c>
      <c r="G894" s="4" t="s">
        <v>25</v>
      </c>
      <c r="H894" s="4" t="s">
        <v>37</v>
      </c>
      <c r="I894" s="5">
        <v>44440</v>
      </c>
      <c r="J894" s="6">
        <v>0</v>
      </c>
      <c r="K894" s="6">
        <v>0</v>
      </c>
      <c r="L894" s="6">
        <v>96.26</v>
      </c>
      <c r="M894" s="6">
        <v>96.26</v>
      </c>
      <c r="N894" s="6">
        <v>96.26</v>
      </c>
      <c r="O894" s="6">
        <v>96.26</v>
      </c>
      <c r="P894" s="6">
        <v>0</v>
      </c>
      <c r="Q894" s="4" t="s">
        <v>26</v>
      </c>
      <c r="R894" s="4">
        <v>0</v>
      </c>
      <c r="S894" s="4" t="s">
        <v>222</v>
      </c>
      <c r="T894" s="4" t="s">
        <v>455</v>
      </c>
      <c r="U894" s="4">
        <v>0</v>
      </c>
      <c r="V894" s="4">
        <v>24</v>
      </c>
      <c r="W894" s="4">
        <v>66</v>
      </c>
    </row>
    <row r="895" spans="1:23" ht="11.25" customHeight="1" x14ac:dyDescent="0.25">
      <c r="A895" s="4" t="s">
        <v>21</v>
      </c>
      <c r="B895" s="4" t="s">
        <v>35</v>
      </c>
      <c r="C895" s="4" t="s">
        <v>36</v>
      </c>
      <c r="D895" s="4" t="s">
        <v>45</v>
      </c>
      <c r="E895" s="4" t="s">
        <v>25</v>
      </c>
      <c r="F895" s="4" t="s">
        <v>25</v>
      </c>
      <c r="G895" s="4" t="s">
        <v>25</v>
      </c>
      <c r="H895" s="4" t="s">
        <v>37</v>
      </c>
      <c r="I895" s="5">
        <v>44440</v>
      </c>
      <c r="J895" s="6">
        <v>0</v>
      </c>
      <c r="K895" s="6">
        <v>0</v>
      </c>
      <c r="L895" s="6">
        <v>2.75</v>
      </c>
      <c r="M895" s="6">
        <v>2.75</v>
      </c>
      <c r="N895" s="6">
        <v>0</v>
      </c>
      <c r="O895" s="6">
        <v>0</v>
      </c>
      <c r="P895" s="6">
        <v>0</v>
      </c>
      <c r="Q895" s="4" t="s">
        <v>60</v>
      </c>
      <c r="R895" s="4">
        <v>0</v>
      </c>
      <c r="S895" s="4" t="s">
        <v>222</v>
      </c>
      <c r="U895" s="4">
        <v>0</v>
      </c>
      <c r="V895" s="4">
        <v>24</v>
      </c>
      <c r="W895" s="4">
        <v>0</v>
      </c>
    </row>
    <row r="896" spans="1:23" ht="11.25" customHeight="1" x14ac:dyDescent="0.25">
      <c r="A896" s="4" t="s">
        <v>59</v>
      </c>
      <c r="B896" s="4" t="s">
        <v>35</v>
      </c>
      <c r="C896" s="4" t="s">
        <v>36</v>
      </c>
      <c r="D896" s="4" t="s">
        <v>45</v>
      </c>
      <c r="E896" s="4" t="s">
        <v>25</v>
      </c>
      <c r="F896" s="4" t="s">
        <v>25</v>
      </c>
      <c r="G896" s="4" t="s">
        <v>25</v>
      </c>
      <c r="H896" s="4" t="s">
        <v>37</v>
      </c>
      <c r="I896" s="5">
        <v>44470</v>
      </c>
      <c r="J896" s="6">
        <v>0</v>
      </c>
      <c r="K896" s="6">
        <v>0</v>
      </c>
      <c r="L896" s="6">
        <v>1713.297</v>
      </c>
      <c r="M896" s="6">
        <v>1713.297</v>
      </c>
      <c r="N896" s="6">
        <v>1713.297</v>
      </c>
      <c r="O896" s="6">
        <v>1713.297</v>
      </c>
      <c r="P896" s="6">
        <v>0</v>
      </c>
      <c r="Q896" s="4" t="s">
        <v>26</v>
      </c>
      <c r="R896" s="4">
        <v>0</v>
      </c>
      <c r="S896" s="4" t="s">
        <v>223</v>
      </c>
      <c r="T896" s="4" t="s">
        <v>456</v>
      </c>
      <c r="U896" s="4">
        <v>0</v>
      </c>
      <c r="V896" s="4">
        <v>24</v>
      </c>
      <c r="W896" s="4">
        <v>66</v>
      </c>
    </row>
    <row r="897" spans="1:23" ht="11.25" customHeight="1" x14ac:dyDescent="0.25">
      <c r="A897" s="4" t="s">
        <v>59</v>
      </c>
      <c r="B897" s="4" t="s">
        <v>35</v>
      </c>
      <c r="C897" s="4" t="s">
        <v>36</v>
      </c>
      <c r="D897" s="4" t="s">
        <v>45</v>
      </c>
      <c r="E897" s="4" t="s">
        <v>25</v>
      </c>
      <c r="F897" s="4" t="s">
        <v>25</v>
      </c>
      <c r="G897" s="4" t="s">
        <v>25</v>
      </c>
      <c r="H897" s="4" t="s">
        <v>37</v>
      </c>
      <c r="I897" s="5">
        <v>44470</v>
      </c>
      <c r="J897" s="6">
        <v>0</v>
      </c>
      <c r="K897" s="6">
        <v>0</v>
      </c>
      <c r="L897" s="6">
        <v>-6.5650000000000004</v>
      </c>
      <c r="M897" s="6">
        <v>-6.5650000000000004</v>
      </c>
      <c r="N897" s="6">
        <v>-6.5650000000000004</v>
      </c>
      <c r="O897" s="6">
        <v>-6.5650000000000004</v>
      </c>
      <c r="P897" s="6">
        <v>0</v>
      </c>
      <c r="Q897" s="4" t="s">
        <v>26</v>
      </c>
      <c r="R897" s="4">
        <v>0</v>
      </c>
      <c r="S897" s="4" t="s">
        <v>223</v>
      </c>
      <c r="T897" s="4" t="s">
        <v>456</v>
      </c>
      <c r="U897" s="4">
        <v>0</v>
      </c>
      <c r="V897" s="4">
        <v>24</v>
      </c>
      <c r="W897" s="4">
        <v>66</v>
      </c>
    </row>
    <row r="898" spans="1:23" ht="11.25" customHeight="1" x14ac:dyDescent="0.25">
      <c r="A898" s="4" t="s">
        <v>59</v>
      </c>
      <c r="B898" s="4" t="s">
        <v>35</v>
      </c>
      <c r="C898" s="4" t="s">
        <v>36</v>
      </c>
      <c r="D898" s="4" t="s">
        <v>45</v>
      </c>
      <c r="E898" s="4" t="s">
        <v>25</v>
      </c>
      <c r="F898" s="4" t="s">
        <v>25</v>
      </c>
      <c r="G898" s="4" t="s">
        <v>25</v>
      </c>
      <c r="H898" s="4" t="s">
        <v>37</v>
      </c>
      <c r="I898" s="5">
        <v>44470</v>
      </c>
      <c r="J898" s="6">
        <v>0</v>
      </c>
      <c r="K898" s="6">
        <v>0</v>
      </c>
      <c r="L898" s="6">
        <v>161.34399999999999</v>
      </c>
      <c r="M898" s="6">
        <v>161.34399999999999</v>
      </c>
      <c r="N898" s="6">
        <v>161.34399999999999</v>
      </c>
      <c r="O898" s="6">
        <v>161.34399999999999</v>
      </c>
      <c r="P898" s="6">
        <v>0</v>
      </c>
      <c r="Q898" s="4" t="s">
        <v>26</v>
      </c>
      <c r="R898" s="4">
        <v>0</v>
      </c>
      <c r="S898" s="4" t="s">
        <v>223</v>
      </c>
      <c r="T898" s="4" t="s">
        <v>456</v>
      </c>
      <c r="U898" s="4">
        <v>0</v>
      </c>
      <c r="V898" s="4">
        <v>24</v>
      </c>
      <c r="W898" s="4">
        <v>66</v>
      </c>
    </row>
    <row r="899" spans="1:23" ht="11.25" customHeight="1" x14ac:dyDescent="0.25">
      <c r="A899" s="4" t="s">
        <v>59</v>
      </c>
      <c r="B899" s="4" t="s">
        <v>35</v>
      </c>
      <c r="C899" s="4" t="s">
        <v>36</v>
      </c>
      <c r="D899" s="4" t="s">
        <v>45</v>
      </c>
      <c r="E899" s="4" t="s">
        <v>25</v>
      </c>
      <c r="F899" s="4" t="s">
        <v>25</v>
      </c>
      <c r="G899" s="4" t="s">
        <v>25</v>
      </c>
      <c r="H899" s="4" t="s">
        <v>37</v>
      </c>
      <c r="I899" s="5">
        <v>44470</v>
      </c>
      <c r="J899" s="6">
        <v>0</v>
      </c>
      <c r="K899" s="6">
        <v>0</v>
      </c>
      <c r="L899" s="6">
        <v>96.26</v>
      </c>
      <c r="M899" s="6">
        <v>96.26</v>
      </c>
      <c r="N899" s="6">
        <v>96.26</v>
      </c>
      <c r="O899" s="6">
        <v>96.26</v>
      </c>
      <c r="P899" s="6">
        <v>0</v>
      </c>
      <c r="Q899" s="4" t="s">
        <v>26</v>
      </c>
      <c r="R899" s="4">
        <v>0</v>
      </c>
      <c r="S899" s="4" t="s">
        <v>223</v>
      </c>
      <c r="T899" s="4" t="s">
        <v>456</v>
      </c>
      <c r="U899" s="4">
        <v>0</v>
      </c>
      <c r="V899" s="4">
        <v>24</v>
      </c>
      <c r="W899" s="4">
        <v>66</v>
      </c>
    </row>
    <row r="900" spans="1:23" ht="11.25" customHeight="1" x14ac:dyDescent="0.25">
      <c r="A900" s="4" t="s">
        <v>59</v>
      </c>
      <c r="B900" s="4" t="s">
        <v>35</v>
      </c>
      <c r="C900" s="4" t="s">
        <v>36</v>
      </c>
      <c r="D900" s="4" t="s">
        <v>45</v>
      </c>
      <c r="E900" s="4" t="s">
        <v>25</v>
      </c>
      <c r="F900" s="4" t="s">
        <v>25</v>
      </c>
      <c r="G900" s="4" t="s">
        <v>25</v>
      </c>
      <c r="H900" s="4" t="s">
        <v>37</v>
      </c>
      <c r="I900" s="5">
        <v>44470</v>
      </c>
      <c r="J900" s="6">
        <v>0</v>
      </c>
      <c r="K900" s="6">
        <v>0</v>
      </c>
      <c r="L900" s="6">
        <v>2.75</v>
      </c>
      <c r="M900" s="6">
        <v>2.75</v>
      </c>
      <c r="N900" s="6">
        <v>0</v>
      </c>
      <c r="O900" s="6">
        <v>0</v>
      </c>
      <c r="P900" s="6">
        <v>0</v>
      </c>
      <c r="Q900" s="4" t="s">
        <v>60</v>
      </c>
      <c r="R900" s="4">
        <v>0</v>
      </c>
      <c r="S900" s="4" t="s">
        <v>223</v>
      </c>
      <c r="U900" s="4">
        <v>0</v>
      </c>
      <c r="V900" s="4">
        <v>24</v>
      </c>
      <c r="W900" s="4">
        <v>0</v>
      </c>
    </row>
    <row r="901" spans="1:23" ht="11.25" customHeight="1" x14ac:dyDescent="0.25">
      <c r="A901" s="4" t="s">
        <v>21</v>
      </c>
      <c r="B901" s="4" t="s">
        <v>35</v>
      </c>
      <c r="C901" s="4" t="s">
        <v>36</v>
      </c>
      <c r="D901" s="4" t="s">
        <v>54</v>
      </c>
      <c r="E901" s="4" t="s">
        <v>25</v>
      </c>
      <c r="F901" s="4" t="s">
        <v>25</v>
      </c>
      <c r="G901" s="4" t="s">
        <v>25</v>
      </c>
      <c r="H901" s="4" t="s">
        <v>38</v>
      </c>
      <c r="I901" s="5">
        <v>44136</v>
      </c>
      <c r="J901" s="6">
        <v>0</v>
      </c>
      <c r="K901" s="6">
        <v>0</v>
      </c>
      <c r="L901" s="6">
        <v>200.82300000000001</v>
      </c>
      <c r="M901" s="6">
        <v>200.82300000000001</v>
      </c>
      <c r="N901" s="6">
        <v>200.82300000000001</v>
      </c>
      <c r="O901" s="6">
        <v>200.82300000000001</v>
      </c>
      <c r="P901" s="6">
        <v>0</v>
      </c>
      <c r="Q901" s="4" t="s">
        <v>26</v>
      </c>
      <c r="R901" s="4">
        <v>0</v>
      </c>
      <c r="S901" s="4" t="s">
        <v>188</v>
      </c>
      <c r="T901" s="4" t="s">
        <v>433</v>
      </c>
      <c r="U901" s="4">
        <v>0</v>
      </c>
      <c r="V901" s="4">
        <v>19</v>
      </c>
      <c r="W901" s="4">
        <v>67</v>
      </c>
    </row>
    <row r="902" spans="1:23" ht="11.25" customHeight="1" x14ac:dyDescent="0.25">
      <c r="A902" s="4" t="s">
        <v>21</v>
      </c>
      <c r="B902" s="4" t="s">
        <v>35</v>
      </c>
      <c r="C902" s="4" t="s">
        <v>36</v>
      </c>
      <c r="D902" s="4" t="s">
        <v>54</v>
      </c>
      <c r="E902" s="4" t="s">
        <v>25</v>
      </c>
      <c r="F902" s="4" t="s">
        <v>25</v>
      </c>
      <c r="G902" s="4" t="s">
        <v>25</v>
      </c>
      <c r="H902" s="4" t="s">
        <v>38</v>
      </c>
      <c r="I902" s="5">
        <v>44166</v>
      </c>
      <c r="J902" s="6">
        <v>0</v>
      </c>
      <c r="K902" s="6">
        <v>0</v>
      </c>
      <c r="L902" s="6">
        <v>192.61099999999999</v>
      </c>
      <c r="M902" s="6">
        <v>192.61099999999999</v>
      </c>
      <c r="N902" s="6">
        <v>192.61099999999999</v>
      </c>
      <c r="O902" s="6">
        <v>192.61099999999999</v>
      </c>
      <c r="P902" s="6">
        <v>0</v>
      </c>
      <c r="Q902" s="4" t="s">
        <v>26</v>
      </c>
      <c r="R902" s="4">
        <v>0</v>
      </c>
      <c r="S902" s="4" t="s">
        <v>189</v>
      </c>
      <c r="T902" s="4" t="s">
        <v>434</v>
      </c>
      <c r="U902" s="4">
        <v>0</v>
      </c>
      <c r="V902" s="4">
        <v>19</v>
      </c>
      <c r="W902" s="4">
        <v>67</v>
      </c>
    </row>
    <row r="903" spans="1:23" ht="11.25" customHeight="1" x14ac:dyDescent="0.25">
      <c r="A903" s="4" t="s">
        <v>21</v>
      </c>
      <c r="B903" s="4" t="s">
        <v>35</v>
      </c>
      <c r="C903" s="4" t="s">
        <v>36</v>
      </c>
      <c r="D903" s="4" t="s">
        <v>54</v>
      </c>
      <c r="E903" s="4" t="s">
        <v>25</v>
      </c>
      <c r="F903" s="4" t="s">
        <v>25</v>
      </c>
      <c r="G903" s="4" t="s">
        <v>25</v>
      </c>
      <c r="H903" s="4" t="s">
        <v>38</v>
      </c>
      <c r="I903" s="5">
        <v>44197</v>
      </c>
      <c r="J903" s="6">
        <v>0</v>
      </c>
      <c r="K903" s="6">
        <v>0</v>
      </c>
      <c r="L903" s="6">
        <v>171.77500000000001</v>
      </c>
      <c r="M903" s="6">
        <v>171.77500000000001</v>
      </c>
      <c r="N903" s="6">
        <v>171.77500000000001</v>
      </c>
      <c r="O903" s="6">
        <v>171.77500000000001</v>
      </c>
      <c r="P903" s="6">
        <v>0</v>
      </c>
      <c r="Q903" s="4" t="s">
        <v>26</v>
      </c>
      <c r="R903" s="4">
        <v>0</v>
      </c>
      <c r="S903" s="4" t="s">
        <v>190</v>
      </c>
      <c r="T903" s="4" t="s">
        <v>435</v>
      </c>
      <c r="U903" s="4">
        <v>0</v>
      </c>
      <c r="V903" s="4">
        <v>19</v>
      </c>
      <c r="W903" s="4">
        <v>67</v>
      </c>
    </row>
    <row r="904" spans="1:23" ht="11.25" customHeight="1" x14ac:dyDescent="0.25">
      <c r="A904" s="4" t="s">
        <v>21</v>
      </c>
      <c r="B904" s="4" t="s">
        <v>35</v>
      </c>
      <c r="C904" s="4" t="s">
        <v>36</v>
      </c>
      <c r="D904" s="4" t="s">
        <v>54</v>
      </c>
      <c r="E904" s="4" t="s">
        <v>25</v>
      </c>
      <c r="F904" s="4" t="s">
        <v>25</v>
      </c>
      <c r="G904" s="4" t="s">
        <v>25</v>
      </c>
      <c r="H904" s="4" t="s">
        <v>38</v>
      </c>
      <c r="I904" s="5">
        <v>44228</v>
      </c>
      <c r="J904" s="6">
        <v>0</v>
      </c>
      <c r="K904" s="6">
        <v>0</v>
      </c>
      <c r="L904" s="6">
        <v>170.74100000000001</v>
      </c>
      <c r="M904" s="6">
        <v>170.74100000000001</v>
      </c>
      <c r="N904" s="6">
        <v>170.74100000000001</v>
      </c>
      <c r="O904" s="6">
        <v>170.74100000000001</v>
      </c>
      <c r="P904" s="6">
        <v>0</v>
      </c>
      <c r="Q904" s="4" t="s">
        <v>26</v>
      </c>
      <c r="R904" s="4">
        <v>0</v>
      </c>
      <c r="S904" s="4" t="s">
        <v>191</v>
      </c>
      <c r="T904" s="4" t="s">
        <v>436</v>
      </c>
      <c r="U904" s="4">
        <v>0</v>
      </c>
      <c r="V904" s="4">
        <v>19</v>
      </c>
      <c r="W904" s="4">
        <v>67</v>
      </c>
    </row>
    <row r="905" spans="1:23" ht="11.25" customHeight="1" x14ac:dyDescent="0.25">
      <c r="A905" s="4" t="s">
        <v>21</v>
      </c>
      <c r="B905" s="4" t="s">
        <v>35</v>
      </c>
      <c r="C905" s="4" t="s">
        <v>36</v>
      </c>
      <c r="D905" s="4" t="s">
        <v>54</v>
      </c>
      <c r="E905" s="4" t="s">
        <v>25</v>
      </c>
      <c r="F905" s="4" t="s">
        <v>25</v>
      </c>
      <c r="G905" s="4" t="s">
        <v>25</v>
      </c>
      <c r="H905" s="4" t="s">
        <v>38</v>
      </c>
      <c r="I905" s="5">
        <v>44256</v>
      </c>
      <c r="J905" s="6">
        <v>0</v>
      </c>
      <c r="K905" s="6">
        <v>0</v>
      </c>
      <c r="L905" s="6">
        <v>195.67099999999999</v>
      </c>
      <c r="M905" s="6">
        <v>195.67099999999999</v>
      </c>
      <c r="N905" s="6">
        <v>195.67099999999999</v>
      </c>
      <c r="O905" s="6">
        <v>195.67099999999999</v>
      </c>
      <c r="P905" s="6">
        <v>0</v>
      </c>
      <c r="Q905" s="4" t="s">
        <v>26</v>
      </c>
      <c r="R905" s="4">
        <v>0</v>
      </c>
      <c r="S905" s="4" t="s">
        <v>192</v>
      </c>
      <c r="T905" s="4" t="s">
        <v>437</v>
      </c>
      <c r="U905" s="4">
        <v>0</v>
      </c>
      <c r="V905" s="4">
        <v>19</v>
      </c>
      <c r="W905" s="4">
        <v>67</v>
      </c>
    </row>
    <row r="906" spans="1:23" ht="11.25" customHeight="1" x14ac:dyDescent="0.25">
      <c r="A906" s="4" t="s">
        <v>21</v>
      </c>
      <c r="B906" s="4" t="s">
        <v>35</v>
      </c>
      <c r="C906" s="4" t="s">
        <v>36</v>
      </c>
      <c r="D906" s="4" t="s">
        <v>54</v>
      </c>
      <c r="E906" s="4" t="s">
        <v>25</v>
      </c>
      <c r="F906" s="4" t="s">
        <v>25</v>
      </c>
      <c r="G906" s="4" t="s">
        <v>25</v>
      </c>
      <c r="H906" s="4" t="s">
        <v>38</v>
      </c>
      <c r="I906" s="5">
        <v>44287</v>
      </c>
      <c r="J906" s="6">
        <v>0</v>
      </c>
      <c r="K906" s="6">
        <v>0</v>
      </c>
      <c r="L906" s="6">
        <v>197.00399999999999</v>
      </c>
      <c r="M906" s="6">
        <v>197.00399999999999</v>
      </c>
      <c r="N906" s="6">
        <v>197.00399999999999</v>
      </c>
      <c r="O906" s="6">
        <v>197.00399999999999</v>
      </c>
      <c r="P906" s="6">
        <v>0</v>
      </c>
      <c r="Q906" s="4" t="s">
        <v>26</v>
      </c>
      <c r="R906" s="4">
        <v>0</v>
      </c>
      <c r="S906" s="4" t="s">
        <v>193</v>
      </c>
      <c r="T906" s="4" t="s">
        <v>438</v>
      </c>
      <c r="U906" s="4">
        <v>0</v>
      </c>
      <c r="V906" s="4">
        <v>19</v>
      </c>
      <c r="W906" s="4">
        <v>67</v>
      </c>
    </row>
    <row r="907" spans="1:23" ht="11.25" customHeight="1" x14ac:dyDescent="0.25">
      <c r="A907" s="4" t="s">
        <v>21</v>
      </c>
      <c r="B907" s="4" t="s">
        <v>35</v>
      </c>
      <c r="C907" s="4" t="s">
        <v>36</v>
      </c>
      <c r="D907" s="4" t="s">
        <v>54</v>
      </c>
      <c r="E907" s="4" t="s">
        <v>25</v>
      </c>
      <c r="F907" s="4" t="s">
        <v>25</v>
      </c>
      <c r="G907" s="4" t="s">
        <v>25</v>
      </c>
      <c r="H907" s="4" t="s">
        <v>38</v>
      </c>
      <c r="I907" s="5">
        <v>44317</v>
      </c>
      <c r="J907" s="6">
        <v>0</v>
      </c>
      <c r="K907" s="6">
        <v>0</v>
      </c>
      <c r="L907" s="6">
        <v>211.381</v>
      </c>
      <c r="M907" s="6">
        <v>211.381</v>
      </c>
      <c r="N907" s="6">
        <v>211.381</v>
      </c>
      <c r="O907" s="6">
        <v>211.381</v>
      </c>
      <c r="P907" s="6">
        <v>0</v>
      </c>
      <c r="Q907" s="4" t="s">
        <v>26</v>
      </c>
      <c r="R907" s="4">
        <v>0</v>
      </c>
      <c r="S907" s="4" t="s">
        <v>194</v>
      </c>
      <c r="T907" s="4" t="s">
        <v>439</v>
      </c>
      <c r="U907" s="4">
        <v>0</v>
      </c>
      <c r="V907" s="4">
        <v>19</v>
      </c>
      <c r="W907" s="4">
        <v>67</v>
      </c>
    </row>
    <row r="908" spans="1:23" ht="11.25" customHeight="1" x14ac:dyDescent="0.25">
      <c r="A908" s="4" t="s">
        <v>21</v>
      </c>
      <c r="B908" s="4" t="s">
        <v>35</v>
      </c>
      <c r="C908" s="4" t="s">
        <v>36</v>
      </c>
      <c r="D908" s="4" t="s">
        <v>54</v>
      </c>
      <c r="E908" s="4" t="s">
        <v>25</v>
      </c>
      <c r="F908" s="4" t="s">
        <v>25</v>
      </c>
      <c r="G908" s="4" t="s">
        <v>25</v>
      </c>
      <c r="H908" s="4" t="s">
        <v>38</v>
      </c>
      <c r="I908" s="5">
        <v>44348</v>
      </c>
      <c r="J908" s="6">
        <v>0</v>
      </c>
      <c r="K908" s="6">
        <v>0</v>
      </c>
      <c r="L908" s="6">
        <v>203.55699999999999</v>
      </c>
      <c r="M908" s="6">
        <v>203.55699999999999</v>
      </c>
      <c r="N908" s="6">
        <v>203.55699999999999</v>
      </c>
      <c r="O908" s="6">
        <v>203.55699999999999</v>
      </c>
      <c r="P908" s="6">
        <v>0</v>
      </c>
      <c r="Q908" s="4" t="s">
        <v>26</v>
      </c>
      <c r="R908" s="4">
        <v>0</v>
      </c>
      <c r="S908" s="4" t="s">
        <v>195</v>
      </c>
      <c r="T908" s="4" t="s">
        <v>440</v>
      </c>
      <c r="U908" s="4">
        <v>0</v>
      </c>
      <c r="V908" s="4">
        <v>19</v>
      </c>
      <c r="W908" s="4">
        <v>67</v>
      </c>
    </row>
    <row r="909" spans="1:23" ht="11.25" customHeight="1" x14ac:dyDescent="0.25">
      <c r="A909" s="4" t="s">
        <v>21</v>
      </c>
      <c r="B909" s="4" t="s">
        <v>35</v>
      </c>
      <c r="C909" s="4" t="s">
        <v>36</v>
      </c>
      <c r="D909" s="4" t="s">
        <v>54</v>
      </c>
      <c r="E909" s="4" t="s">
        <v>25</v>
      </c>
      <c r="F909" s="4" t="s">
        <v>25</v>
      </c>
      <c r="G909" s="4" t="s">
        <v>25</v>
      </c>
      <c r="H909" s="4" t="s">
        <v>38</v>
      </c>
      <c r="I909" s="5">
        <v>44378</v>
      </c>
      <c r="J909" s="6">
        <v>0</v>
      </c>
      <c r="K909" s="6">
        <v>0</v>
      </c>
      <c r="L909" s="6">
        <v>210.88900000000001</v>
      </c>
      <c r="M909" s="6">
        <v>210.88900000000001</v>
      </c>
      <c r="N909" s="6">
        <v>210.88900000000001</v>
      </c>
      <c r="O909" s="6">
        <v>210.88900000000001</v>
      </c>
      <c r="P909" s="6">
        <v>0</v>
      </c>
      <c r="Q909" s="4" t="s">
        <v>26</v>
      </c>
      <c r="R909" s="4">
        <v>0</v>
      </c>
      <c r="S909" s="4" t="s">
        <v>196</v>
      </c>
      <c r="T909" s="4" t="s">
        <v>441</v>
      </c>
      <c r="U909" s="4">
        <v>0</v>
      </c>
      <c r="V909" s="4">
        <v>19</v>
      </c>
      <c r="W909" s="4">
        <v>67</v>
      </c>
    </row>
    <row r="910" spans="1:23" ht="11.25" customHeight="1" x14ac:dyDescent="0.25">
      <c r="A910" s="4" t="s">
        <v>21</v>
      </c>
      <c r="B910" s="4" t="s">
        <v>35</v>
      </c>
      <c r="C910" s="4" t="s">
        <v>36</v>
      </c>
      <c r="D910" s="4" t="s">
        <v>54</v>
      </c>
      <c r="E910" s="4" t="s">
        <v>25</v>
      </c>
      <c r="F910" s="4" t="s">
        <v>25</v>
      </c>
      <c r="G910" s="4" t="s">
        <v>25</v>
      </c>
      <c r="H910" s="4" t="s">
        <v>38</v>
      </c>
      <c r="I910" s="5">
        <v>44409</v>
      </c>
      <c r="J910" s="6">
        <v>0</v>
      </c>
      <c r="K910" s="6">
        <v>0</v>
      </c>
      <c r="L910" s="6">
        <v>223.595</v>
      </c>
      <c r="M910" s="6">
        <v>223.595</v>
      </c>
      <c r="N910" s="6">
        <v>223.595</v>
      </c>
      <c r="O910" s="6">
        <v>223.595</v>
      </c>
      <c r="P910" s="6">
        <v>0</v>
      </c>
      <c r="Q910" s="4" t="s">
        <v>26</v>
      </c>
      <c r="R910" s="4">
        <v>0</v>
      </c>
      <c r="S910" s="4" t="s">
        <v>197</v>
      </c>
      <c r="T910" s="4" t="s">
        <v>442</v>
      </c>
      <c r="U910" s="4">
        <v>0</v>
      </c>
      <c r="V910" s="4">
        <v>19</v>
      </c>
      <c r="W910" s="4">
        <v>67</v>
      </c>
    </row>
    <row r="911" spans="1:23" ht="11.25" customHeight="1" x14ac:dyDescent="0.25">
      <c r="A911" s="4" t="s">
        <v>21</v>
      </c>
      <c r="B911" s="4" t="s">
        <v>35</v>
      </c>
      <c r="C911" s="4" t="s">
        <v>36</v>
      </c>
      <c r="D911" s="4" t="s">
        <v>54</v>
      </c>
      <c r="E911" s="4" t="s">
        <v>25</v>
      </c>
      <c r="F911" s="4" t="s">
        <v>25</v>
      </c>
      <c r="G911" s="4" t="s">
        <v>25</v>
      </c>
      <c r="H911" s="4" t="s">
        <v>38</v>
      </c>
      <c r="I911" s="5">
        <v>44440</v>
      </c>
      <c r="J911" s="6">
        <v>0</v>
      </c>
      <c r="K911" s="6">
        <v>0</v>
      </c>
      <c r="L911" s="6">
        <v>209.81800000000001</v>
      </c>
      <c r="M911" s="6">
        <v>209.81800000000001</v>
      </c>
      <c r="N911" s="6">
        <v>209.81800000000001</v>
      </c>
      <c r="O911" s="6">
        <v>209.81800000000001</v>
      </c>
      <c r="P911" s="6">
        <v>0</v>
      </c>
      <c r="Q911" s="4" t="s">
        <v>26</v>
      </c>
      <c r="R911" s="4">
        <v>0</v>
      </c>
      <c r="S911" s="4" t="s">
        <v>198</v>
      </c>
      <c r="T911" s="4" t="s">
        <v>443</v>
      </c>
      <c r="U911" s="4">
        <v>0</v>
      </c>
      <c r="V911" s="4">
        <v>19</v>
      </c>
      <c r="W911" s="4">
        <v>67</v>
      </c>
    </row>
    <row r="912" spans="1:23" ht="11.25" customHeight="1" x14ac:dyDescent="0.25">
      <c r="A912" s="4" t="s">
        <v>59</v>
      </c>
      <c r="B912" s="4" t="s">
        <v>35</v>
      </c>
      <c r="C912" s="4" t="s">
        <v>36</v>
      </c>
      <c r="D912" s="4" t="s">
        <v>54</v>
      </c>
      <c r="E912" s="4" t="s">
        <v>25</v>
      </c>
      <c r="F912" s="4" t="s">
        <v>25</v>
      </c>
      <c r="G912" s="4" t="s">
        <v>25</v>
      </c>
      <c r="H912" s="4" t="s">
        <v>38</v>
      </c>
      <c r="I912" s="5">
        <v>44470</v>
      </c>
      <c r="J912" s="6">
        <v>0</v>
      </c>
      <c r="K912" s="6">
        <v>0</v>
      </c>
      <c r="L912" s="6">
        <v>209.81800000000001</v>
      </c>
      <c r="M912" s="6">
        <v>209.81800000000001</v>
      </c>
      <c r="N912" s="6">
        <v>209.81800000000001</v>
      </c>
      <c r="O912" s="6">
        <v>209.81800000000001</v>
      </c>
      <c r="P912" s="6">
        <v>0</v>
      </c>
      <c r="Q912" s="4" t="s">
        <v>26</v>
      </c>
      <c r="R912" s="4">
        <v>0</v>
      </c>
      <c r="S912" s="4" t="s">
        <v>199</v>
      </c>
      <c r="T912" s="4" t="s">
        <v>444</v>
      </c>
      <c r="U912" s="4">
        <v>0</v>
      </c>
      <c r="V912" s="4">
        <v>19</v>
      </c>
      <c r="W912" s="4">
        <v>67</v>
      </c>
    </row>
    <row r="913" spans="1:23" ht="11.25" customHeight="1" x14ac:dyDescent="0.25">
      <c r="A913" s="4" t="s">
        <v>21</v>
      </c>
      <c r="B913" s="4" t="s">
        <v>35</v>
      </c>
      <c r="C913" s="4" t="s">
        <v>36</v>
      </c>
      <c r="D913" s="4" t="s">
        <v>54</v>
      </c>
      <c r="E913" s="4" t="s">
        <v>25</v>
      </c>
      <c r="F913" s="4" t="s">
        <v>25</v>
      </c>
      <c r="G913" s="4" t="s">
        <v>25</v>
      </c>
      <c r="H913" s="4" t="s">
        <v>25</v>
      </c>
      <c r="I913" s="5">
        <v>44136</v>
      </c>
      <c r="J913" s="6">
        <v>898</v>
      </c>
      <c r="K913" s="6">
        <v>898</v>
      </c>
      <c r="L913" s="6">
        <v>0</v>
      </c>
      <c r="M913" s="6">
        <v>0</v>
      </c>
      <c r="N913" s="6">
        <v>0</v>
      </c>
      <c r="O913" s="6">
        <v>0</v>
      </c>
      <c r="P913" s="6">
        <v>7</v>
      </c>
      <c r="Q913" s="4" t="s">
        <v>26</v>
      </c>
      <c r="R913" s="4">
        <v>0</v>
      </c>
      <c r="S913" s="4" t="s">
        <v>200</v>
      </c>
      <c r="U913" s="4">
        <v>23</v>
      </c>
      <c r="V913" s="4">
        <v>0</v>
      </c>
      <c r="W913" s="4">
        <v>0</v>
      </c>
    </row>
    <row r="914" spans="1:23" ht="11.25" customHeight="1" x14ac:dyDescent="0.25">
      <c r="A914" s="4" t="s">
        <v>21</v>
      </c>
      <c r="B914" s="4" t="s">
        <v>35</v>
      </c>
      <c r="C914" s="4" t="s">
        <v>36</v>
      </c>
      <c r="D914" s="4" t="s">
        <v>54</v>
      </c>
      <c r="E914" s="4" t="s">
        <v>25</v>
      </c>
      <c r="F914" s="4" t="s">
        <v>25</v>
      </c>
      <c r="G914" s="4" t="s">
        <v>25</v>
      </c>
      <c r="H914" s="4" t="s">
        <v>25</v>
      </c>
      <c r="I914" s="5">
        <v>44166</v>
      </c>
      <c r="J914" s="6">
        <v>879</v>
      </c>
      <c r="K914" s="6">
        <v>879</v>
      </c>
      <c r="L914" s="6">
        <v>0</v>
      </c>
      <c r="M914" s="6">
        <v>0</v>
      </c>
      <c r="N914" s="6">
        <v>0</v>
      </c>
      <c r="O914" s="6">
        <v>0</v>
      </c>
      <c r="P914" s="6">
        <v>7</v>
      </c>
      <c r="Q914" s="4" t="s">
        <v>26</v>
      </c>
      <c r="R914" s="4">
        <v>0</v>
      </c>
      <c r="S914" s="4" t="s">
        <v>201</v>
      </c>
      <c r="U914" s="4">
        <v>23</v>
      </c>
      <c r="V914" s="4">
        <v>0</v>
      </c>
      <c r="W914" s="4">
        <v>0</v>
      </c>
    </row>
    <row r="915" spans="1:23" ht="11.25" customHeight="1" x14ac:dyDescent="0.25">
      <c r="A915" s="4" t="s">
        <v>21</v>
      </c>
      <c r="B915" s="4" t="s">
        <v>35</v>
      </c>
      <c r="C915" s="4" t="s">
        <v>36</v>
      </c>
      <c r="D915" s="4" t="s">
        <v>54</v>
      </c>
      <c r="E915" s="4" t="s">
        <v>25</v>
      </c>
      <c r="F915" s="4" t="s">
        <v>25</v>
      </c>
      <c r="G915" s="4" t="s">
        <v>25</v>
      </c>
      <c r="H915" s="4" t="s">
        <v>25</v>
      </c>
      <c r="I915" s="5">
        <v>44197</v>
      </c>
      <c r="J915" s="6">
        <v>798</v>
      </c>
      <c r="K915" s="6">
        <v>798</v>
      </c>
      <c r="L915" s="6">
        <v>0</v>
      </c>
      <c r="M915" s="6">
        <v>0</v>
      </c>
      <c r="N915" s="6">
        <v>0</v>
      </c>
      <c r="O915" s="6">
        <v>0</v>
      </c>
      <c r="P915" s="6">
        <v>7</v>
      </c>
      <c r="Q915" s="4" t="s">
        <v>26</v>
      </c>
      <c r="R915" s="4">
        <v>0</v>
      </c>
      <c r="S915" s="4" t="s">
        <v>202</v>
      </c>
      <c r="U915" s="4">
        <v>23</v>
      </c>
      <c r="V915" s="4">
        <v>0</v>
      </c>
      <c r="W915" s="4">
        <v>0</v>
      </c>
    </row>
    <row r="916" spans="1:23" ht="11.25" customHeight="1" x14ac:dyDescent="0.25">
      <c r="A916" s="4" t="s">
        <v>21</v>
      </c>
      <c r="B916" s="4" t="s">
        <v>35</v>
      </c>
      <c r="C916" s="4" t="s">
        <v>36</v>
      </c>
      <c r="D916" s="4" t="s">
        <v>54</v>
      </c>
      <c r="E916" s="4" t="s">
        <v>25</v>
      </c>
      <c r="F916" s="4" t="s">
        <v>25</v>
      </c>
      <c r="G916" s="4" t="s">
        <v>25</v>
      </c>
      <c r="H916" s="4" t="s">
        <v>25</v>
      </c>
      <c r="I916" s="5">
        <v>44228</v>
      </c>
      <c r="J916" s="6">
        <v>827</v>
      </c>
      <c r="K916" s="6">
        <v>827</v>
      </c>
      <c r="L916" s="6">
        <v>0</v>
      </c>
      <c r="M916" s="6">
        <v>0</v>
      </c>
      <c r="N916" s="6">
        <v>0</v>
      </c>
      <c r="O916" s="6">
        <v>0</v>
      </c>
      <c r="P916" s="6">
        <v>7</v>
      </c>
      <c r="Q916" s="4" t="s">
        <v>26</v>
      </c>
      <c r="R916" s="4">
        <v>0</v>
      </c>
      <c r="S916" s="4" t="s">
        <v>203</v>
      </c>
      <c r="U916" s="4">
        <v>23</v>
      </c>
      <c r="V916" s="4">
        <v>0</v>
      </c>
      <c r="W916" s="4">
        <v>0</v>
      </c>
    </row>
    <row r="917" spans="1:23" ht="11.25" customHeight="1" x14ac:dyDescent="0.25">
      <c r="A917" s="4" t="s">
        <v>21</v>
      </c>
      <c r="B917" s="4" t="s">
        <v>35</v>
      </c>
      <c r="C917" s="4" t="s">
        <v>36</v>
      </c>
      <c r="D917" s="4" t="s">
        <v>54</v>
      </c>
      <c r="E917" s="4" t="s">
        <v>25</v>
      </c>
      <c r="F917" s="4" t="s">
        <v>25</v>
      </c>
      <c r="G917" s="4" t="s">
        <v>25</v>
      </c>
      <c r="H917" s="4" t="s">
        <v>25</v>
      </c>
      <c r="I917" s="5">
        <v>44256</v>
      </c>
      <c r="J917" s="6">
        <v>843</v>
      </c>
      <c r="K917" s="6">
        <v>843</v>
      </c>
      <c r="L917" s="6">
        <v>0</v>
      </c>
      <c r="M917" s="6">
        <v>0</v>
      </c>
      <c r="N917" s="6">
        <v>0</v>
      </c>
      <c r="O917" s="6">
        <v>0</v>
      </c>
      <c r="P917" s="6">
        <v>7</v>
      </c>
      <c r="Q917" s="4" t="s">
        <v>26</v>
      </c>
      <c r="R917" s="4">
        <v>0</v>
      </c>
      <c r="S917" s="4" t="s">
        <v>204</v>
      </c>
      <c r="U917" s="4">
        <v>23</v>
      </c>
      <c r="V917" s="4">
        <v>0</v>
      </c>
      <c r="W917" s="4">
        <v>0</v>
      </c>
    </row>
    <row r="918" spans="1:23" ht="11.25" customHeight="1" x14ac:dyDescent="0.25">
      <c r="A918" s="4" t="s">
        <v>21</v>
      </c>
      <c r="B918" s="4" t="s">
        <v>35</v>
      </c>
      <c r="C918" s="4" t="s">
        <v>36</v>
      </c>
      <c r="D918" s="4" t="s">
        <v>54</v>
      </c>
      <c r="E918" s="4" t="s">
        <v>25</v>
      </c>
      <c r="F918" s="4" t="s">
        <v>25</v>
      </c>
      <c r="G918" s="4" t="s">
        <v>25</v>
      </c>
      <c r="H918" s="4" t="s">
        <v>25</v>
      </c>
      <c r="I918" s="5">
        <v>44287</v>
      </c>
      <c r="J918" s="6">
        <v>865</v>
      </c>
      <c r="K918" s="6">
        <v>865</v>
      </c>
      <c r="L918" s="6">
        <v>0</v>
      </c>
      <c r="M918" s="6">
        <v>0</v>
      </c>
      <c r="N918" s="6">
        <v>0</v>
      </c>
      <c r="O918" s="6">
        <v>0</v>
      </c>
      <c r="P918" s="6">
        <v>7</v>
      </c>
      <c r="Q918" s="4" t="s">
        <v>26</v>
      </c>
      <c r="R918" s="4">
        <v>0</v>
      </c>
      <c r="S918" s="4" t="s">
        <v>205</v>
      </c>
      <c r="U918" s="4">
        <v>23</v>
      </c>
      <c r="V918" s="4">
        <v>0</v>
      </c>
      <c r="W918" s="4">
        <v>0</v>
      </c>
    </row>
    <row r="919" spans="1:23" ht="11.25" customHeight="1" x14ac:dyDescent="0.25">
      <c r="A919" s="4" t="s">
        <v>21</v>
      </c>
      <c r="B919" s="4" t="s">
        <v>35</v>
      </c>
      <c r="C919" s="4" t="s">
        <v>36</v>
      </c>
      <c r="D919" s="4" t="s">
        <v>54</v>
      </c>
      <c r="E919" s="4" t="s">
        <v>25</v>
      </c>
      <c r="F919" s="4" t="s">
        <v>25</v>
      </c>
      <c r="G919" s="4" t="s">
        <v>25</v>
      </c>
      <c r="H919" s="4" t="s">
        <v>25</v>
      </c>
      <c r="I919" s="5">
        <v>44317</v>
      </c>
      <c r="J919" s="6">
        <v>888</v>
      </c>
      <c r="K919" s="6">
        <v>888</v>
      </c>
      <c r="L919" s="6">
        <v>0</v>
      </c>
      <c r="M919" s="6">
        <v>0</v>
      </c>
      <c r="N919" s="6">
        <v>0</v>
      </c>
      <c r="O919" s="6">
        <v>0</v>
      </c>
      <c r="P919" s="6">
        <v>7</v>
      </c>
      <c r="Q919" s="4" t="s">
        <v>26</v>
      </c>
      <c r="R919" s="4">
        <v>0</v>
      </c>
      <c r="S919" s="4" t="s">
        <v>206</v>
      </c>
      <c r="U919" s="4">
        <v>23</v>
      </c>
      <c r="V919" s="4">
        <v>0</v>
      </c>
      <c r="W919" s="4">
        <v>0</v>
      </c>
    </row>
    <row r="920" spans="1:23" ht="11.25" customHeight="1" x14ac:dyDescent="0.25">
      <c r="A920" s="4" t="s">
        <v>21</v>
      </c>
      <c r="B920" s="4" t="s">
        <v>35</v>
      </c>
      <c r="C920" s="4" t="s">
        <v>36</v>
      </c>
      <c r="D920" s="4" t="s">
        <v>54</v>
      </c>
      <c r="E920" s="4" t="s">
        <v>25</v>
      </c>
      <c r="F920" s="4" t="s">
        <v>25</v>
      </c>
      <c r="G920" s="4" t="s">
        <v>25</v>
      </c>
      <c r="H920" s="4" t="s">
        <v>25</v>
      </c>
      <c r="I920" s="5">
        <v>44348</v>
      </c>
      <c r="J920" s="6">
        <v>891</v>
      </c>
      <c r="K920" s="6">
        <v>891</v>
      </c>
      <c r="L920" s="6">
        <v>0</v>
      </c>
      <c r="M920" s="6">
        <v>0</v>
      </c>
      <c r="N920" s="6">
        <v>0</v>
      </c>
      <c r="O920" s="6">
        <v>0</v>
      </c>
      <c r="P920" s="6">
        <v>7</v>
      </c>
      <c r="Q920" s="4" t="s">
        <v>26</v>
      </c>
      <c r="R920" s="4">
        <v>0</v>
      </c>
      <c r="S920" s="4" t="s">
        <v>207</v>
      </c>
      <c r="U920" s="4">
        <v>23</v>
      </c>
      <c r="V920" s="4">
        <v>0</v>
      </c>
      <c r="W920" s="4">
        <v>0</v>
      </c>
    </row>
    <row r="921" spans="1:23" ht="11.25" customHeight="1" x14ac:dyDescent="0.25">
      <c r="A921" s="4" t="s">
        <v>21</v>
      </c>
      <c r="B921" s="4" t="s">
        <v>35</v>
      </c>
      <c r="C921" s="4" t="s">
        <v>36</v>
      </c>
      <c r="D921" s="4" t="s">
        <v>54</v>
      </c>
      <c r="E921" s="4" t="s">
        <v>25</v>
      </c>
      <c r="F921" s="4" t="s">
        <v>25</v>
      </c>
      <c r="G921" s="4" t="s">
        <v>25</v>
      </c>
      <c r="H921" s="4" t="s">
        <v>25</v>
      </c>
      <c r="I921" s="5">
        <v>44378</v>
      </c>
      <c r="J921" s="6">
        <v>873</v>
      </c>
      <c r="K921" s="6">
        <v>873</v>
      </c>
      <c r="L921" s="6">
        <v>0</v>
      </c>
      <c r="M921" s="6">
        <v>0</v>
      </c>
      <c r="N921" s="6">
        <v>0</v>
      </c>
      <c r="O921" s="6">
        <v>0</v>
      </c>
      <c r="P921" s="6">
        <v>7</v>
      </c>
      <c r="Q921" s="4" t="s">
        <v>26</v>
      </c>
      <c r="R921" s="4">
        <v>0</v>
      </c>
      <c r="S921" s="4" t="s">
        <v>208</v>
      </c>
      <c r="U921" s="4">
        <v>23</v>
      </c>
      <c r="V921" s="4">
        <v>0</v>
      </c>
      <c r="W921" s="4">
        <v>0</v>
      </c>
    </row>
    <row r="922" spans="1:23" ht="11.25" customHeight="1" x14ac:dyDescent="0.25">
      <c r="A922" s="4" t="s">
        <v>21</v>
      </c>
      <c r="B922" s="4" t="s">
        <v>35</v>
      </c>
      <c r="C922" s="4" t="s">
        <v>36</v>
      </c>
      <c r="D922" s="4" t="s">
        <v>54</v>
      </c>
      <c r="E922" s="4" t="s">
        <v>25</v>
      </c>
      <c r="F922" s="4" t="s">
        <v>25</v>
      </c>
      <c r="G922" s="4" t="s">
        <v>25</v>
      </c>
      <c r="H922" s="4" t="s">
        <v>25</v>
      </c>
      <c r="I922" s="5">
        <v>44409</v>
      </c>
      <c r="J922" s="6">
        <v>914</v>
      </c>
      <c r="K922" s="6">
        <v>914</v>
      </c>
      <c r="L922" s="6">
        <v>0</v>
      </c>
      <c r="M922" s="6">
        <v>0</v>
      </c>
      <c r="N922" s="6">
        <v>0</v>
      </c>
      <c r="O922" s="6">
        <v>0</v>
      </c>
      <c r="P922" s="6">
        <v>7</v>
      </c>
      <c r="Q922" s="4" t="s">
        <v>26</v>
      </c>
      <c r="R922" s="4">
        <v>0</v>
      </c>
      <c r="S922" s="4" t="s">
        <v>209</v>
      </c>
      <c r="U922" s="4">
        <v>23</v>
      </c>
      <c r="V922" s="4">
        <v>0</v>
      </c>
      <c r="W922" s="4">
        <v>0</v>
      </c>
    </row>
    <row r="923" spans="1:23" ht="11.25" customHeight="1" x14ac:dyDescent="0.25">
      <c r="A923" s="4" t="s">
        <v>21</v>
      </c>
      <c r="B923" s="4" t="s">
        <v>35</v>
      </c>
      <c r="C923" s="4" t="s">
        <v>36</v>
      </c>
      <c r="D923" s="4" t="s">
        <v>54</v>
      </c>
      <c r="E923" s="4" t="s">
        <v>25</v>
      </c>
      <c r="F923" s="4" t="s">
        <v>25</v>
      </c>
      <c r="G923" s="4" t="s">
        <v>25</v>
      </c>
      <c r="H923" s="4" t="s">
        <v>25</v>
      </c>
      <c r="I923" s="5">
        <v>44440</v>
      </c>
      <c r="J923" s="6">
        <v>895</v>
      </c>
      <c r="K923" s="6">
        <v>895</v>
      </c>
      <c r="L923" s="6">
        <v>0</v>
      </c>
      <c r="M923" s="6">
        <v>0</v>
      </c>
      <c r="N923" s="6">
        <v>0</v>
      </c>
      <c r="O923" s="6">
        <v>0</v>
      </c>
      <c r="P923" s="6">
        <v>7</v>
      </c>
      <c r="Q923" s="4" t="s">
        <v>26</v>
      </c>
      <c r="R923" s="4">
        <v>0</v>
      </c>
      <c r="S923" s="4" t="s">
        <v>210</v>
      </c>
      <c r="U923" s="4">
        <v>23</v>
      </c>
      <c r="V923" s="4">
        <v>0</v>
      </c>
      <c r="W923" s="4">
        <v>0</v>
      </c>
    </row>
    <row r="924" spans="1:23" ht="11.25" customHeight="1" x14ac:dyDescent="0.25">
      <c r="A924" s="4" t="s">
        <v>59</v>
      </c>
      <c r="B924" s="4" t="s">
        <v>35</v>
      </c>
      <c r="C924" s="4" t="s">
        <v>36</v>
      </c>
      <c r="D924" s="4" t="s">
        <v>54</v>
      </c>
      <c r="E924" s="4" t="s">
        <v>25</v>
      </c>
      <c r="F924" s="4" t="s">
        <v>25</v>
      </c>
      <c r="G924" s="4" t="s">
        <v>25</v>
      </c>
      <c r="H924" s="4" t="s">
        <v>25</v>
      </c>
      <c r="I924" s="5">
        <v>44470</v>
      </c>
      <c r="J924" s="6">
        <v>895</v>
      </c>
      <c r="K924" s="6">
        <v>895</v>
      </c>
      <c r="L924" s="6">
        <v>0</v>
      </c>
      <c r="M924" s="6">
        <v>0</v>
      </c>
      <c r="N924" s="6">
        <v>0</v>
      </c>
      <c r="O924" s="6">
        <v>0</v>
      </c>
      <c r="P924" s="6">
        <v>7</v>
      </c>
      <c r="Q924" s="4" t="s">
        <v>26</v>
      </c>
      <c r="R924" s="4">
        <v>0</v>
      </c>
      <c r="S924" s="4" t="s">
        <v>211</v>
      </c>
      <c r="U924" s="4">
        <v>23</v>
      </c>
      <c r="V924" s="4">
        <v>0</v>
      </c>
      <c r="W924" s="4">
        <v>0</v>
      </c>
    </row>
    <row r="925" spans="1:23" ht="11.25" customHeight="1" x14ac:dyDescent="0.25">
      <c r="A925" s="4" t="s">
        <v>21</v>
      </c>
      <c r="B925" s="4" t="s">
        <v>35</v>
      </c>
      <c r="C925" s="4" t="s">
        <v>36</v>
      </c>
      <c r="D925" s="4" t="s">
        <v>54</v>
      </c>
      <c r="E925" s="4" t="s">
        <v>25</v>
      </c>
      <c r="F925" s="4" t="s">
        <v>25</v>
      </c>
      <c r="G925" s="4" t="s">
        <v>25</v>
      </c>
      <c r="H925" s="4" t="s">
        <v>37</v>
      </c>
      <c r="I925" s="5">
        <v>44136</v>
      </c>
      <c r="J925" s="6">
        <v>0</v>
      </c>
      <c r="K925" s="6">
        <v>0</v>
      </c>
      <c r="L925" s="6">
        <v>10.016</v>
      </c>
      <c r="M925" s="6">
        <v>10.016</v>
      </c>
      <c r="N925" s="6">
        <v>10.016</v>
      </c>
      <c r="O925" s="6">
        <v>10.016</v>
      </c>
      <c r="P925" s="6">
        <v>0</v>
      </c>
      <c r="Q925" s="4" t="s">
        <v>26</v>
      </c>
      <c r="R925" s="4">
        <v>0</v>
      </c>
      <c r="S925" s="4" t="s">
        <v>212</v>
      </c>
      <c r="T925" s="4" t="s">
        <v>445</v>
      </c>
      <c r="U925" s="4">
        <v>0</v>
      </c>
      <c r="V925" s="4">
        <v>24</v>
      </c>
      <c r="W925" s="4">
        <v>66</v>
      </c>
    </row>
    <row r="926" spans="1:23" ht="11.25" customHeight="1" x14ac:dyDescent="0.25">
      <c r="A926" s="4" t="s">
        <v>21</v>
      </c>
      <c r="B926" s="4" t="s">
        <v>35</v>
      </c>
      <c r="C926" s="4" t="s">
        <v>36</v>
      </c>
      <c r="D926" s="4" t="s">
        <v>54</v>
      </c>
      <c r="E926" s="4" t="s">
        <v>25</v>
      </c>
      <c r="F926" s="4" t="s">
        <v>25</v>
      </c>
      <c r="G926" s="4" t="s">
        <v>25</v>
      </c>
      <c r="H926" s="4" t="s">
        <v>37</v>
      </c>
      <c r="I926" s="5">
        <v>44166</v>
      </c>
      <c r="J926" s="6">
        <v>0</v>
      </c>
      <c r="K926" s="6">
        <v>0</v>
      </c>
      <c r="L926" s="6">
        <v>11.084</v>
      </c>
      <c r="M926" s="6">
        <v>11.084</v>
      </c>
      <c r="N926" s="6">
        <v>11.084</v>
      </c>
      <c r="O926" s="6">
        <v>11.084</v>
      </c>
      <c r="P926" s="6">
        <v>0</v>
      </c>
      <c r="Q926" s="4" t="s">
        <v>26</v>
      </c>
      <c r="R926" s="4">
        <v>0</v>
      </c>
      <c r="S926" s="4" t="s">
        <v>213</v>
      </c>
      <c r="T926" s="4" t="s">
        <v>446</v>
      </c>
      <c r="U926" s="4">
        <v>0</v>
      </c>
      <c r="V926" s="4">
        <v>24</v>
      </c>
      <c r="W926" s="4">
        <v>66</v>
      </c>
    </row>
    <row r="927" spans="1:23" ht="11.25" customHeight="1" x14ac:dyDescent="0.25">
      <c r="A927" s="4" t="s">
        <v>21</v>
      </c>
      <c r="B927" s="4" t="s">
        <v>35</v>
      </c>
      <c r="C927" s="4" t="s">
        <v>36</v>
      </c>
      <c r="D927" s="4" t="s">
        <v>54</v>
      </c>
      <c r="E927" s="4" t="s">
        <v>25</v>
      </c>
      <c r="F927" s="4" t="s">
        <v>25</v>
      </c>
      <c r="G927" s="4" t="s">
        <v>25</v>
      </c>
      <c r="H927" s="4" t="s">
        <v>37</v>
      </c>
      <c r="I927" s="5">
        <v>44197</v>
      </c>
      <c r="J927" s="6">
        <v>0</v>
      </c>
      <c r="K927" s="6">
        <v>0</v>
      </c>
      <c r="L927" s="6">
        <v>9.4049999999999994</v>
      </c>
      <c r="M927" s="6">
        <v>9.4049999999999994</v>
      </c>
      <c r="N927" s="6">
        <v>9.4049999999999994</v>
      </c>
      <c r="O927" s="6">
        <v>9.4049999999999994</v>
      </c>
      <c r="P927" s="6">
        <v>0</v>
      </c>
      <c r="Q927" s="4" t="s">
        <v>26</v>
      </c>
      <c r="R927" s="4">
        <v>0</v>
      </c>
      <c r="S927" s="4" t="s">
        <v>214</v>
      </c>
      <c r="T927" s="4" t="s">
        <v>447</v>
      </c>
      <c r="U927" s="4">
        <v>0</v>
      </c>
      <c r="V927" s="4">
        <v>24</v>
      </c>
      <c r="W927" s="4">
        <v>66</v>
      </c>
    </row>
    <row r="928" spans="1:23" ht="11.25" customHeight="1" x14ac:dyDescent="0.25">
      <c r="A928" s="4" t="s">
        <v>21</v>
      </c>
      <c r="B928" s="4" t="s">
        <v>35</v>
      </c>
      <c r="C928" s="4" t="s">
        <v>36</v>
      </c>
      <c r="D928" s="4" t="s">
        <v>54</v>
      </c>
      <c r="E928" s="4" t="s">
        <v>25</v>
      </c>
      <c r="F928" s="4" t="s">
        <v>25</v>
      </c>
      <c r="G928" s="4" t="s">
        <v>25</v>
      </c>
      <c r="H928" s="4" t="s">
        <v>37</v>
      </c>
      <c r="I928" s="5">
        <v>44228</v>
      </c>
      <c r="J928" s="6">
        <v>0</v>
      </c>
      <c r="K928" s="6">
        <v>0</v>
      </c>
      <c r="L928" s="6">
        <v>9.5660000000000007</v>
      </c>
      <c r="M928" s="6">
        <v>9.5660000000000007</v>
      </c>
      <c r="N928" s="6">
        <v>9.5660000000000007</v>
      </c>
      <c r="O928" s="6">
        <v>9.5660000000000007</v>
      </c>
      <c r="P928" s="6">
        <v>0</v>
      </c>
      <c r="Q928" s="4" t="s">
        <v>26</v>
      </c>
      <c r="R928" s="4">
        <v>0</v>
      </c>
      <c r="S928" s="4" t="s">
        <v>215</v>
      </c>
      <c r="T928" s="4" t="s">
        <v>448</v>
      </c>
      <c r="U928" s="4">
        <v>0</v>
      </c>
      <c r="V928" s="4">
        <v>24</v>
      </c>
      <c r="W928" s="4">
        <v>66</v>
      </c>
    </row>
    <row r="929" spans="1:23" ht="11.25" customHeight="1" x14ac:dyDescent="0.25">
      <c r="A929" s="4" t="s">
        <v>21</v>
      </c>
      <c r="B929" s="4" t="s">
        <v>35</v>
      </c>
      <c r="C929" s="4" t="s">
        <v>36</v>
      </c>
      <c r="D929" s="4" t="s">
        <v>54</v>
      </c>
      <c r="E929" s="4" t="s">
        <v>25</v>
      </c>
      <c r="F929" s="4" t="s">
        <v>25</v>
      </c>
      <c r="G929" s="4" t="s">
        <v>25</v>
      </c>
      <c r="H929" s="4" t="s">
        <v>37</v>
      </c>
      <c r="I929" s="5">
        <v>44256</v>
      </c>
      <c r="J929" s="6">
        <v>0</v>
      </c>
      <c r="K929" s="6">
        <v>0</v>
      </c>
      <c r="L929" s="6">
        <v>11.2</v>
      </c>
      <c r="M929" s="6">
        <v>11.2</v>
      </c>
      <c r="N929" s="6">
        <v>11.2</v>
      </c>
      <c r="O929" s="6">
        <v>11.2</v>
      </c>
      <c r="P929" s="6">
        <v>0</v>
      </c>
      <c r="Q929" s="4" t="s">
        <v>26</v>
      </c>
      <c r="R929" s="4">
        <v>0</v>
      </c>
      <c r="S929" s="4" t="s">
        <v>216</v>
      </c>
      <c r="T929" s="4" t="s">
        <v>449</v>
      </c>
      <c r="U929" s="4">
        <v>0</v>
      </c>
      <c r="V929" s="4">
        <v>24</v>
      </c>
      <c r="W929" s="4">
        <v>66</v>
      </c>
    </row>
    <row r="930" spans="1:23" ht="11.25" customHeight="1" x14ac:dyDescent="0.25">
      <c r="A930" s="4" t="s">
        <v>21</v>
      </c>
      <c r="B930" s="4" t="s">
        <v>35</v>
      </c>
      <c r="C930" s="4" t="s">
        <v>36</v>
      </c>
      <c r="D930" s="4" t="s">
        <v>54</v>
      </c>
      <c r="E930" s="4" t="s">
        <v>25</v>
      </c>
      <c r="F930" s="4" t="s">
        <v>25</v>
      </c>
      <c r="G930" s="4" t="s">
        <v>25</v>
      </c>
      <c r="H930" s="4" t="s">
        <v>37</v>
      </c>
      <c r="I930" s="5">
        <v>44287</v>
      </c>
      <c r="J930" s="6">
        <v>0</v>
      </c>
      <c r="K930" s="6">
        <v>0</v>
      </c>
      <c r="L930" s="6">
        <v>10.715999999999999</v>
      </c>
      <c r="M930" s="6">
        <v>10.715999999999999</v>
      </c>
      <c r="N930" s="6">
        <v>10.715999999999999</v>
      </c>
      <c r="O930" s="6">
        <v>10.715999999999999</v>
      </c>
      <c r="P930" s="6">
        <v>0</v>
      </c>
      <c r="Q930" s="4" t="s">
        <v>26</v>
      </c>
      <c r="R930" s="4">
        <v>0</v>
      </c>
      <c r="S930" s="4" t="s">
        <v>217</v>
      </c>
      <c r="T930" s="4" t="s">
        <v>450</v>
      </c>
      <c r="U930" s="4">
        <v>0</v>
      </c>
      <c r="V930" s="4">
        <v>24</v>
      </c>
      <c r="W930" s="4">
        <v>66</v>
      </c>
    </row>
    <row r="931" spans="1:23" ht="11.25" customHeight="1" x14ac:dyDescent="0.25">
      <c r="A931" s="4" t="s">
        <v>21</v>
      </c>
      <c r="B931" s="4" t="s">
        <v>35</v>
      </c>
      <c r="C931" s="4" t="s">
        <v>36</v>
      </c>
      <c r="D931" s="4" t="s">
        <v>54</v>
      </c>
      <c r="E931" s="4" t="s">
        <v>25</v>
      </c>
      <c r="F931" s="4" t="s">
        <v>25</v>
      </c>
      <c r="G931" s="4" t="s">
        <v>25</v>
      </c>
      <c r="H931" s="4" t="s">
        <v>37</v>
      </c>
      <c r="I931" s="5">
        <v>44317</v>
      </c>
      <c r="J931" s="6">
        <v>0</v>
      </c>
      <c r="K931" s="6">
        <v>0</v>
      </c>
      <c r="L931" s="6">
        <v>12.023</v>
      </c>
      <c r="M931" s="6">
        <v>12.023</v>
      </c>
      <c r="N931" s="6">
        <v>12.023</v>
      </c>
      <c r="O931" s="6">
        <v>12.023</v>
      </c>
      <c r="P931" s="6">
        <v>0</v>
      </c>
      <c r="Q931" s="4" t="s">
        <v>26</v>
      </c>
      <c r="R931" s="4">
        <v>0</v>
      </c>
      <c r="S931" s="4" t="s">
        <v>218</v>
      </c>
      <c r="T931" s="4" t="s">
        <v>451</v>
      </c>
      <c r="U931" s="4">
        <v>0</v>
      </c>
      <c r="V931" s="4">
        <v>24</v>
      </c>
      <c r="W931" s="4">
        <v>66</v>
      </c>
    </row>
    <row r="932" spans="1:23" ht="11.25" customHeight="1" x14ac:dyDescent="0.25">
      <c r="A932" s="4" t="s">
        <v>21</v>
      </c>
      <c r="B932" s="4" t="s">
        <v>35</v>
      </c>
      <c r="C932" s="4" t="s">
        <v>36</v>
      </c>
      <c r="D932" s="4" t="s">
        <v>54</v>
      </c>
      <c r="E932" s="4" t="s">
        <v>25</v>
      </c>
      <c r="F932" s="4" t="s">
        <v>25</v>
      </c>
      <c r="G932" s="4" t="s">
        <v>25</v>
      </c>
      <c r="H932" s="4" t="s">
        <v>37</v>
      </c>
      <c r="I932" s="5">
        <v>44348</v>
      </c>
      <c r="J932" s="6">
        <v>0</v>
      </c>
      <c r="K932" s="6">
        <v>0</v>
      </c>
      <c r="L932" s="6">
        <v>11.859</v>
      </c>
      <c r="M932" s="6">
        <v>11.859</v>
      </c>
      <c r="N932" s="6">
        <v>11.859</v>
      </c>
      <c r="O932" s="6">
        <v>11.859</v>
      </c>
      <c r="P932" s="6">
        <v>0</v>
      </c>
      <c r="Q932" s="4" t="s">
        <v>26</v>
      </c>
      <c r="R932" s="4">
        <v>0</v>
      </c>
      <c r="S932" s="4" t="s">
        <v>219</v>
      </c>
      <c r="T932" s="4" t="s">
        <v>452</v>
      </c>
      <c r="U932" s="4">
        <v>0</v>
      </c>
      <c r="V932" s="4">
        <v>24</v>
      </c>
      <c r="W932" s="4">
        <v>66</v>
      </c>
    </row>
    <row r="933" spans="1:23" ht="11.25" customHeight="1" x14ac:dyDescent="0.25">
      <c r="A933" s="4" t="s">
        <v>21</v>
      </c>
      <c r="B933" s="4" t="s">
        <v>35</v>
      </c>
      <c r="C933" s="4" t="s">
        <v>36</v>
      </c>
      <c r="D933" s="4" t="s">
        <v>54</v>
      </c>
      <c r="E933" s="4" t="s">
        <v>25</v>
      </c>
      <c r="F933" s="4" t="s">
        <v>25</v>
      </c>
      <c r="G933" s="4" t="s">
        <v>25</v>
      </c>
      <c r="H933" s="4" t="s">
        <v>37</v>
      </c>
      <c r="I933" s="5">
        <v>44378</v>
      </c>
      <c r="J933" s="6">
        <v>0</v>
      </c>
      <c r="K933" s="6">
        <v>0</v>
      </c>
      <c r="L933" s="6">
        <v>11.95</v>
      </c>
      <c r="M933" s="6">
        <v>11.95</v>
      </c>
      <c r="N933" s="6">
        <v>11.95</v>
      </c>
      <c r="O933" s="6">
        <v>11.95</v>
      </c>
      <c r="P933" s="6">
        <v>0</v>
      </c>
      <c r="Q933" s="4" t="s">
        <v>26</v>
      </c>
      <c r="R933" s="4">
        <v>0</v>
      </c>
      <c r="S933" s="4" t="s">
        <v>220</v>
      </c>
      <c r="T933" s="4" t="s">
        <v>453</v>
      </c>
      <c r="U933" s="4">
        <v>0</v>
      </c>
      <c r="V933" s="4">
        <v>24</v>
      </c>
      <c r="W933" s="4">
        <v>66</v>
      </c>
    </row>
    <row r="934" spans="1:23" ht="11.25" customHeight="1" x14ac:dyDescent="0.25">
      <c r="A934" s="4" t="s">
        <v>21</v>
      </c>
      <c r="B934" s="4" t="s">
        <v>35</v>
      </c>
      <c r="C934" s="4" t="s">
        <v>36</v>
      </c>
      <c r="D934" s="4" t="s">
        <v>54</v>
      </c>
      <c r="E934" s="4" t="s">
        <v>25</v>
      </c>
      <c r="F934" s="4" t="s">
        <v>25</v>
      </c>
      <c r="G934" s="4" t="s">
        <v>25</v>
      </c>
      <c r="H934" s="4" t="s">
        <v>37</v>
      </c>
      <c r="I934" s="5">
        <v>44409</v>
      </c>
      <c r="J934" s="6">
        <v>0</v>
      </c>
      <c r="K934" s="6">
        <v>0</v>
      </c>
      <c r="L934" s="6">
        <v>12.388</v>
      </c>
      <c r="M934" s="6">
        <v>12.388</v>
      </c>
      <c r="N934" s="6">
        <v>12.388</v>
      </c>
      <c r="O934" s="6">
        <v>12.388</v>
      </c>
      <c r="P934" s="6">
        <v>0</v>
      </c>
      <c r="Q934" s="4" t="s">
        <v>26</v>
      </c>
      <c r="R934" s="4">
        <v>0</v>
      </c>
      <c r="S934" s="4" t="s">
        <v>221</v>
      </c>
      <c r="T934" s="4" t="s">
        <v>454</v>
      </c>
      <c r="U934" s="4">
        <v>0</v>
      </c>
      <c r="V934" s="4">
        <v>24</v>
      </c>
      <c r="W934" s="4">
        <v>66</v>
      </c>
    </row>
    <row r="935" spans="1:23" ht="11.25" customHeight="1" x14ac:dyDescent="0.25">
      <c r="A935" s="4" t="s">
        <v>21</v>
      </c>
      <c r="B935" s="4" t="s">
        <v>35</v>
      </c>
      <c r="C935" s="4" t="s">
        <v>36</v>
      </c>
      <c r="D935" s="4" t="s">
        <v>54</v>
      </c>
      <c r="E935" s="4" t="s">
        <v>25</v>
      </c>
      <c r="F935" s="4" t="s">
        <v>25</v>
      </c>
      <c r="G935" s="4" t="s">
        <v>25</v>
      </c>
      <c r="H935" s="4" t="s">
        <v>37</v>
      </c>
      <c r="I935" s="5">
        <v>44440</v>
      </c>
      <c r="J935" s="6">
        <v>0</v>
      </c>
      <c r="K935" s="6">
        <v>0</v>
      </c>
      <c r="L935" s="6">
        <v>11.398999999999999</v>
      </c>
      <c r="M935" s="6">
        <v>11.398999999999999</v>
      </c>
      <c r="N935" s="6">
        <v>11.398999999999999</v>
      </c>
      <c r="O935" s="6">
        <v>11.398999999999999</v>
      </c>
      <c r="P935" s="6">
        <v>0</v>
      </c>
      <c r="Q935" s="4" t="s">
        <v>26</v>
      </c>
      <c r="R935" s="4">
        <v>0</v>
      </c>
      <c r="S935" s="4" t="s">
        <v>222</v>
      </c>
      <c r="T935" s="4" t="s">
        <v>455</v>
      </c>
      <c r="U935" s="4">
        <v>0</v>
      </c>
      <c r="V935" s="4">
        <v>24</v>
      </c>
      <c r="W935" s="4">
        <v>66</v>
      </c>
    </row>
    <row r="936" spans="1:23" ht="11.25" customHeight="1" x14ac:dyDescent="0.25">
      <c r="A936" s="4" t="s">
        <v>59</v>
      </c>
      <c r="B936" s="4" t="s">
        <v>35</v>
      </c>
      <c r="C936" s="4" t="s">
        <v>36</v>
      </c>
      <c r="D936" s="4" t="s">
        <v>54</v>
      </c>
      <c r="E936" s="4" t="s">
        <v>25</v>
      </c>
      <c r="F936" s="4" t="s">
        <v>25</v>
      </c>
      <c r="G936" s="4" t="s">
        <v>25</v>
      </c>
      <c r="H936" s="4" t="s">
        <v>37</v>
      </c>
      <c r="I936" s="5">
        <v>44470</v>
      </c>
      <c r="J936" s="6">
        <v>0</v>
      </c>
      <c r="K936" s="6">
        <v>0</v>
      </c>
      <c r="L936" s="6">
        <v>11.398999999999999</v>
      </c>
      <c r="M936" s="6">
        <v>11.398999999999999</v>
      </c>
      <c r="N936" s="6">
        <v>11.398999999999999</v>
      </c>
      <c r="O936" s="6">
        <v>11.398999999999999</v>
      </c>
      <c r="P936" s="6">
        <v>0</v>
      </c>
      <c r="Q936" s="4" t="s">
        <v>26</v>
      </c>
      <c r="R936" s="4">
        <v>0</v>
      </c>
      <c r="S936" s="4" t="s">
        <v>223</v>
      </c>
      <c r="T936" s="4" t="s">
        <v>456</v>
      </c>
      <c r="U936" s="4">
        <v>0</v>
      </c>
      <c r="V936" s="4">
        <v>24</v>
      </c>
      <c r="W936" s="4">
        <v>66</v>
      </c>
    </row>
    <row r="937" spans="1:23" ht="11.25" customHeight="1" x14ac:dyDescent="0.25">
      <c r="A937" s="4" t="s">
        <v>21</v>
      </c>
      <c r="B937" s="4" t="s">
        <v>35</v>
      </c>
      <c r="C937" s="4" t="s">
        <v>36</v>
      </c>
      <c r="D937" s="4" t="s">
        <v>42</v>
      </c>
      <c r="E937" s="4" t="s">
        <v>25</v>
      </c>
      <c r="F937" s="4" t="s">
        <v>62</v>
      </c>
      <c r="G937" s="4" t="s">
        <v>25</v>
      </c>
      <c r="H937" s="4" t="s">
        <v>38</v>
      </c>
      <c r="I937" s="5">
        <v>44136</v>
      </c>
      <c r="J937" s="6">
        <v>0</v>
      </c>
      <c r="K937" s="6">
        <v>0</v>
      </c>
      <c r="L937" s="6">
        <v>27701.027999999998</v>
      </c>
      <c r="M937" s="6">
        <v>27701.027999999998</v>
      </c>
      <c r="N937" s="6">
        <v>0</v>
      </c>
      <c r="O937" s="6">
        <v>0</v>
      </c>
      <c r="P937" s="6">
        <v>0</v>
      </c>
      <c r="Q937" s="4" t="s">
        <v>60</v>
      </c>
      <c r="R937" s="4">
        <v>0</v>
      </c>
      <c r="S937" s="4" t="s">
        <v>188</v>
      </c>
      <c r="U937" s="4">
        <v>0</v>
      </c>
      <c r="V937" s="4">
        <v>19</v>
      </c>
      <c r="W937" s="4">
        <v>0</v>
      </c>
    </row>
    <row r="938" spans="1:23" ht="11.25" customHeight="1" x14ac:dyDescent="0.25">
      <c r="A938" s="4" t="s">
        <v>21</v>
      </c>
      <c r="B938" s="4" t="s">
        <v>35</v>
      </c>
      <c r="C938" s="4" t="s">
        <v>36</v>
      </c>
      <c r="D938" s="4" t="s">
        <v>42</v>
      </c>
      <c r="E938" s="4" t="s">
        <v>25</v>
      </c>
      <c r="F938" s="4" t="s">
        <v>62</v>
      </c>
      <c r="G938" s="4" t="s">
        <v>25</v>
      </c>
      <c r="H938" s="4" t="s">
        <v>38</v>
      </c>
      <c r="I938" s="5">
        <v>44166</v>
      </c>
      <c r="J938" s="6">
        <v>0</v>
      </c>
      <c r="K938" s="6">
        <v>0</v>
      </c>
      <c r="L938" s="6">
        <v>25931.152999999998</v>
      </c>
      <c r="M938" s="6">
        <v>25931.152999999998</v>
      </c>
      <c r="N938" s="6">
        <v>0</v>
      </c>
      <c r="O938" s="6">
        <v>0</v>
      </c>
      <c r="P938" s="6">
        <v>0</v>
      </c>
      <c r="Q938" s="4" t="s">
        <v>60</v>
      </c>
      <c r="R938" s="4">
        <v>0</v>
      </c>
      <c r="S938" s="4" t="s">
        <v>189</v>
      </c>
      <c r="U938" s="4">
        <v>0</v>
      </c>
      <c r="V938" s="4">
        <v>19</v>
      </c>
      <c r="W938" s="4">
        <v>0</v>
      </c>
    </row>
    <row r="939" spans="1:23" ht="11.25" customHeight="1" x14ac:dyDescent="0.25">
      <c r="A939" s="4" t="s">
        <v>21</v>
      </c>
      <c r="B939" s="4" t="s">
        <v>35</v>
      </c>
      <c r="C939" s="4" t="s">
        <v>36</v>
      </c>
      <c r="D939" s="4" t="s">
        <v>42</v>
      </c>
      <c r="E939" s="4" t="s">
        <v>25</v>
      </c>
      <c r="F939" s="4" t="s">
        <v>62</v>
      </c>
      <c r="G939" s="4" t="s">
        <v>25</v>
      </c>
      <c r="H939" s="4" t="s">
        <v>38</v>
      </c>
      <c r="I939" s="5">
        <v>44197</v>
      </c>
      <c r="J939" s="6">
        <v>0</v>
      </c>
      <c r="K939" s="6">
        <v>0</v>
      </c>
      <c r="L939" s="6">
        <v>21403.15</v>
      </c>
      <c r="M939" s="6">
        <v>21403.15</v>
      </c>
      <c r="N939" s="6">
        <v>0</v>
      </c>
      <c r="O939" s="6">
        <v>0</v>
      </c>
      <c r="P939" s="6">
        <v>0</v>
      </c>
      <c r="Q939" s="4" t="s">
        <v>60</v>
      </c>
      <c r="R939" s="4">
        <v>0</v>
      </c>
      <c r="S939" s="4" t="s">
        <v>190</v>
      </c>
      <c r="U939" s="4">
        <v>0</v>
      </c>
      <c r="V939" s="4">
        <v>19</v>
      </c>
      <c r="W939" s="4">
        <v>0</v>
      </c>
    </row>
    <row r="940" spans="1:23" ht="11.25" customHeight="1" x14ac:dyDescent="0.25">
      <c r="A940" s="4" t="s">
        <v>21</v>
      </c>
      <c r="B940" s="4" t="s">
        <v>35</v>
      </c>
      <c r="C940" s="4" t="s">
        <v>36</v>
      </c>
      <c r="D940" s="4" t="s">
        <v>42</v>
      </c>
      <c r="E940" s="4" t="s">
        <v>25</v>
      </c>
      <c r="F940" s="4" t="s">
        <v>62</v>
      </c>
      <c r="G940" s="4" t="s">
        <v>25</v>
      </c>
      <c r="H940" s="4" t="s">
        <v>38</v>
      </c>
      <c r="I940" s="5">
        <v>44228</v>
      </c>
      <c r="J940" s="6">
        <v>0</v>
      </c>
      <c r="K940" s="6">
        <v>0</v>
      </c>
      <c r="L940" s="6">
        <v>22032.32</v>
      </c>
      <c r="M940" s="6">
        <v>22032.32</v>
      </c>
      <c r="N940" s="6">
        <v>0</v>
      </c>
      <c r="O940" s="6">
        <v>0</v>
      </c>
      <c r="P940" s="6">
        <v>0</v>
      </c>
      <c r="Q940" s="4" t="s">
        <v>60</v>
      </c>
      <c r="R940" s="4">
        <v>0</v>
      </c>
      <c r="S940" s="4" t="s">
        <v>191</v>
      </c>
      <c r="U940" s="4">
        <v>0</v>
      </c>
      <c r="V940" s="4">
        <v>19</v>
      </c>
      <c r="W940" s="4">
        <v>0</v>
      </c>
    </row>
    <row r="941" spans="1:23" ht="11.25" customHeight="1" x14ac:dyDescent="0.25">
      <c r="A941" s="4" t="s">
        <v>21</v>
      </c>
      <c r="B941" s="4" t="s">
        <v>35</v>
      </c>
      <c r="C941" s="4" t="s">
        <v>36</v>
      </c>
      <c r="D941" s="4" t="s">
        <v>42</v>
      </c>
      <c r="E941" s="4" t="s">
        <v>25</v>
      </c>
      <c r="F941" s="4" t="s">
        <v>62</v>
      </c>
      <c r="G941" s="4" t="s">
        <v>25</v>
      </c>
      <c r="H941" s="4" t="s">
        <v>38</v>
      </c>
      <c r="I941" s="5">
        <v>44256</v>
      </c>
      <c r="J941" s="6">
        <v>0</v>
      </c>
      <c r="K941" s="6">
        <v>0</v>
      </c>
      <c r="L941" s="6">
        <v>28997.48</v>
      </c>
      <c r="M941" s="6">
        <v>28997.48</v>
      </c>
      <c r="N941" s="6">
        <v>0</v>
      </c>
      <c r="O941" s="6">
        <v>0</v>
      </c>
      <c r="P941" s="6">
        <v>0</v>
      </c>
      <c r="Q941" s="4" t="s">
        <v>60</v>
      </c>
      <c r="R941" s="4">
        <v>0</v>
      </c>
      <c r="S941" s="4" t="s">
        <v>192</v>
      </c>
      <c r="U941" s="4">
        <v>0</v>
      </c>
      <c r="V941" s="4">
        <v>19</v>
      </c>
      <c r="W941" s="4">
        <v>0</v>
      </c>
    </row>
    <row r="942" spans="1:23" ht="11.25" customHeight="1" x14ac:dyDescent="0.25">
      <c r="A942" s="4" t="s">
        <v>21</v>
      </c>
      <c r="B942" s="4" t="s">
        <v>35</v>
      </c>
      <c r="C942" s="4" t="s">
        <v>36</v>
      </c>
      <c r="D942" s="4" t="s">
        <v>42</v>
      </c>
      <c r="E942" s="4" t="s">
        <v>25</v>
      </c>
      <c r="F942" s="4" t="s">
        <v>62</v>
      </c>
      <c r="G942" s="4" t="s">
        <v>25</v>
      </c>
      <c r="H942" s="4" t="s">
        <v>38</v>
      </c>
      <c r="I942" s="5">
        <v>44287</v>
      </c>
      <c r="J942" s="6">
        <v>0</v>
      </c>
      <c r="K942" s="6">
        <v>0</v>
      </c>
      <c r="L942" s="6">
        <v>28943.581999999999</v>
      </c>
      <c r="M942" s="6">
        <v>28943.581999999999</v>
      </c>
      <c r="N942" s="6">
        <v>0</v>
      </c>
      <c r="O942" s="6">
        <v>0</v>
      </c>
      <c r="P942" s="6">
        <v>0</v>
      </c>
      <c r="Q942" s="4" t="s">
        <v>60</v>
      </c>
      <c r="R942" s="4">
        <v>0</v>
      </c>
      <c r="S942" s="4" t="s">
        <v>193</v>
      </c>
      <c r="U942" s="4">
        <v>0</v>
      </c>
      <c r="V942" s="4">
        <v>19</v>
      </c>
      <c r="W942" s="4">
        <v>0</v>
      </c>
    </row>
    <row r="943" spans="1:23" ht="11.25" customHeight="1" x14ac:dyDescent="0.25">
      <c r="A943" s="4" t="s">
        <v>21</v>
      </c>
      <c r="B943" s="4" t="s">
        <v>35</v>
      </c>
      <c r="C943" s="4" t="s">
        <v>36</v>
      </c>
      <c r="D943" s="4" t="s">
        <v>42</v>
      </c>
      <c r="E943" s="4" t="s">
        <v>25</v>
      </c>
      <c r="F943" s="4" t="s">
        <v>62</v>
      </c>
      <c r="G943" s="4" t="s">
        <v>25</v>
      </c>
      <c r="H943" s="4" t="s">
        <v>38</v>
      </c>
      <c r="I943" s="5">
        <v>44317</v>
      </c>
      <c r="J943" s="6">
        <v>0</v>
      </c>
      <c r="K943" s="6">
        <v>0</v>
      </c>
      <c r="L943" s="6">
        <v>30874.821</v>
      </c>
      <c r="M943" s="6">
        <v>30874.821</v>
      </c>
      <c r="N943" s="6">
        <v>0</v>
      </c>
      <c r="O943" s="6">
        <v>0</v>
      </c>
      <c r="P943" s="6">
        <v>0</v>
      </c>
      <c r="Q943" s="4" t="s">
        <v>60</v>
      </c>
      <c r="R943" s="4">
        <v>0</v>
      </c>
      <c r="S943" s="4" t="s">
        <v>194</v>
      </c>
      <c r="U943" s="4">
        <v>0</v>
      </c>
      <c r="V943" s="4">
        <v>19</v>
      </c>
      <c r="W943" s="4">
        <v>0</v>
      </c>
    </row>
    <row r="944" spans="1:23" ht="11.25" customHeight="1" x14ac:dyDescent="0.25">
      <c r="A944" s="4" t="s">
        <v>21</v>
      </c>
      <c r="B944" s="4" t="s">
        <v>35</v>
      </c>
      <c r="C944" s="4" t="s">
        <v>36</v>
      </c>
      <c r="D944" s="4" t="s">
        <v>42</v>
      </c>
      <c r="E944" s="4" t="s">
        <v>25</v>
      </c>
      <c r="F944" s="4" t="s">
        <v>62</v>
      </c>
      <c r="G944" s="4" t="s">
        <v>25</v>
      </c>
      <c r="H944" s="4" t="s">
        <v>38</v>
      </c>
      <c r="I944" s="5">
        <v>44348</v>
      </c>
      <c r="J944" s="6">
        <v>0</v>
      </c>
      <c r="K944" s="6">
        <v>0</v>
      </c>
      <c r="L944" s="6">
        <v>21403.15</v>
      </c>
      <c r="M944" s="6">
        <v>21403.15</v>
      </c>
      <c r="N944" s="6">
        <v>0</v>
      </c>
      <c r="O944" s="6">
        <v>0</v>
      </c>
      <c r="P944" s="6">
        <v>0</v>
      </c>
      <c r="Q944" s="4" t="s">
        <v>60</v>
      </c>
      <c r="R944" s="4">
        <v>0</v>
      </c>
      <c r="S944" s="4" t="s">
        <v>195</v>
      </c>
      <c r="U944" s="4">
        <v>0</v>
      </c>
      <c r="V944" s="4">
        <v>19</v>
      </c>
      <c r="W944" s="4">
        <v>0</v>
      </c>
    </row>
    <row r="945" spans="1:23" ht="11.25" customHeight="1" x14ac:dyDescent="0.25">
      <c r="A945" s="4" t="s">
        <v>21</v>
      </c>
      <c r="B945" s="4" t="s">
        <v>35</v>
      </c>
      <c r="C945" s="4" t="s">
        <v>36</v>
      </c>
      <c r="D945" s="4" t="s">
        <v>42</v>
      </c>
      <c r="E945" s="4" t="s">
        <v>25</v>
      </c>
      <c r="F945" s="4" t="s">
        <v>62</v>
      </c>
      <c r="G945" s="4" t="s">
        <v>25</v>
      </c>
      <c r="H945" s="4" t="s">
        <v>38</v>
      </c>
      <c r="I945" s="5">
        <v>44378</v>
      </c>
      <c r="J945" s="6">
        <v>0</v>
      </c>
      <c r="K945" s="6">
        <v>0</v>
      </c>
      <c r="L945" s="6">
        <v>31734.306</v>
      </c>
      <c r="M945" s="6">
        <v>31734.306</v>
      </c>
      <c r="N945" s="6">
        <v>0</v>
      </c>
      <c r="O945" s="6">
        <v>0</v>
      </c>
      <c r="P945" s="6">
        <v>0</v>
      </c>
      <c r="Q945" s="4" t="s">
        <v>60</v>
      </c>
      <c r="R945" s="4">
        <v>0</v>
      </c>
      <c r="S945" s="4" t="s">
        <v>196</v>
      </c>
      <c r="U945" s="4">
        <v>0</v>
      </c>
      <c r="V945" s="4">
        <v>19</v>
      </c>
      <c r="W945" s="4">
        <v>0</v>
      </c>
    </row>
    <row r="946" spans="1:23" ht="11.25" customHeight="1" x14ac:dyDescent="0.25">
      <c r="A946" s="4" t="s">
        <v>21</v>
      </c>
      <c r="B946" s="4" t="s">
        <v>35</v>
      </c>
      <c r="C946" s="4" t="s">
        <v>36</v>
      </c>
      <c r="D946" s="4" t="s">
        <v>42</v>
      </c>
      <c r="E946" s="4" t="s">
        <v>25</v>
      </c>
      <c r="F946" s="4" t="s">
        <v>62</v>
      </c>
      <c r="G946" s="4" t="s">
        <v>25</v>
      </c>
      <c r="H946" s="4" t="s">
        <v>38</v>
      </c>
      <c r="I946" s="5">
        <v>44409</v>
      </c>
      <c r="J946" s="6">
        <v>0</v>
      </c>
      <c r="K946" s="6">
        <v>0</v>
      </c>
      <c r="L946" s="6">
        <v>32571.826000000001</v>
      </c>
      <c r="M946" s="6">
        <v>32571.826000000001</v>
      </c>
      <c r="N946" s="6">
        <v>0</v>
      </c>
      <c r="O946" s="6">
        <v>0</v>
      </c>
      <c r="P946" s="6">
        <v>0</v>
      </c>
      <c r="Q946" s="4" t="s">
        <v>60</v>
      </c>
      <c r="R946" s="4">
        <v>0</v>
      </c>
      <c r="S946" s="4" t="s">
        <v>197</v>
      </c>
      <c r="U946" s="4">
        <v>0</v>
      </c>
      <c r="V946" s="4">
        <v>19</v>
      </c>
      <c r="W946" s="4">
        <v>0</v>
      </c>
    </row>
    <row r="947" spans="1:23" ht="11.25" customHeight="1" x14ac:dyDescent="0.25">
      <c r="A947" s="4" t="s">
        <v>21</v>
      </c>
      <c r="B947" s="4" t="s">
        <v>35</v>
      </c>
      <c r="C947" s="4" t="s">
        <v>36</v>
      </c>
      <c r="D947" s="4" t="s">
        <v>42</v>
      </c>
      <c r="E947" s="4" t="s">
        <v>25</v>
      </c>
      <c r="F947" s="4" t="s">
        <v>62</v>
      </c>
      <c r="G947" s="4" t="s">
        <v>25</v>
      </c>
      <c r="H947" s="4" t="s">
        <v>38</v>
      </c>
      <c r="I947" s="5">
        <v>44440</v>
      </c>
      <c r="J947" s="6">
        <v>0</v>
      </c>
      <c r="K947" s="6">
        <v>0</v>
      </c>
      <c r="L947" s="6">
        <v>32074.414000000001</v>
      </c>
      <c r="M947" s="6">
        <v>32074.414000000001</v>
      </c>
      <c r="N947" s="6">
        <v>0</v>
      </c>
      <c r="O947" s="6">
        <v>0</v>
      </c>
      <c r="P947" s="6">
        <v>0</v>
      </c>
      <c r="Q947" s="4" t="s">
        <v>60</v>
      </c>
      <c r="R947" s="4">
        <v>0</v>
      </c>
      <c r="S947" s="4" t="s">
        <v>198</v>
      </c>
      <c r="U947" s="4">
        <v>0</v>
      </c>
      <c r="V947" s="4">
        <v>19</v>
      </c>
      <c r="W947" s="4">
        <v>0</v>
      </c>
    </row>
    <row r="948" spans="1:23" ht="11.25" customHeight="1" x14ac:dyDescent="0.25">
      <c r="A948" s="4" t="s">
        <v>59</v>
      </c>
      <c r="B948" s="4" t="s">
        <v>35</v>
      </c>
      <c r="C948" s="4" t="s">
        <v>36</v>
      </c>
      <c r="D948" s="4" t="s">
        <v>42</v>
      </c>
      <c r="E948" s="4" t="s">
        <v>25</v>
      </c>
      <c r="F948" s="4" t="s">
        <v>62</v>
      </c>
      <c r="G948" s="4" t="s">
        <v>25</v>
      </c>
      <c r="H948" s="4" t="s">
        <v>38</v>
      </c>
      <c r="I948" s="5">
        <v>44470</v>
      </c>
      <c r="J948" s="6">
        <v>0</v>
      </c>
      <c r="K948" s="6">
        <v>0</v>
      </c>
      <c r="L948" s="6">
        <v>32074.414000000001</v>
      </c>
      <c r="M948" s="6">
        <v>32074.414000000001</v>
      </c>
      <c r="N948" s="6">
        <v>0</v>
      </c>
      <c r="O948" s="6">
        <v>0</v>
      </c>
      <c r="P948" s="6">
        <v>0</v>
      </c>
      <c r="Q948" s="4" t="s">
        <v>60</v>
      </c>
      <c r="R948" s="4">
        <v>0</v>
      </c>
      <c r="S948" s="4" t="s">
        <v>199</v>
      </c>
      <c r="U948" s="4">
        <v>0</v>
      </c>
      <c r="V948" s="4">
        <v>19</v>
      </c>
      <c r="W948" s="4">
        <v>0</v>
      </c>
    </row>
    <row r="949" spans="1:23" ht="11.25" customHeight="1" x14ac:dyDescent="0.25">
      <c r="A949" s="4" t="s">
        <v>21</v>
      </c>
      <c r="B949" s="4" t="s">
        <v>35</v>
      </c>
      <c r="C949" s="4" t="s">
        <v>36</v>
      </c>
      <c r="D949" s="4" t="s">
        <v>42</v>
      </c>
      <c r="E949" s="4" t="s">
        <v>25</v>
      </c>
      <c r="F949" s="4" t="s">
        <v>62</v>
      </c>
      <c r="G949" s="4" t="s">
        <v>25</v>
      </c>
      <c r="H949" s="4" t="s">
        <v>25</v>
      </c>
      <c r="I949" s="5">
        <v>44136</v>
      </c>
      <c r="J949" s="6">
        <v>101900</v>
      </c>
      <c r="K949" s="6">
        <v>52060.71</v>
      </c>
      <c r="L949" s="6">
        <v>0</v>
      </c>
      <c r="M949" s="6">
        <v>0</v>
      </c>
      <c r="N949" s="6">
        <v>0</v>
      </c>
      <c r="O949" s="6">
        <v>0</v>
      </c>
      <c r="P949" s="6">
        <v>123</v>
      </c>
      <c r="Q949" s="4" t="s">
        <v>60</v>
      </c>
      <c r="R949" s="4">
        <v>0</v>
      </c>
      <c r="S949" s="4" t="s">
        <v>200</v>
      </c>
      <c r="U949" s="4">
        <v>23</v>
      </c>
      <c r="V949" s="4">
        <v>0</v>
      </c>
      <c r="W949" s="4">
        <v>0</v>
      </c>
    </row>
    <row r="950" spans="1:23" ht="11.25" customHeight="1" x14ac:dyDescent="0.25">
      <c r="A950" s="4" t="s">
        <v>21</v>
      </c>
      <c r="B950" s="4" t="s">
        <v>35</v>
      </c>
      <c r="C950" s="4" t="s">
        <v>36</v>
      </c>
      <c r="D950" s="4" t="s">
        <v>42</v>
      </c>
      <c r="E950" s="4" t="s">
        <v>25</v>
      </c>
      <c r="F950" s="4" t="s">
        <v>62</v>
      </c>
      <c r="G950" s="4" t="s">
        <v>25</v>
      </c>
      <c r="H950" s="4" t="s">
        <v>25</v>
      </c>
      <c r="I950" s="5">
        <v>44166</v>
      </c>
      <c r="J950" s="6">
        <v>97385</v>
      </c>
      <c r="K950" s="6">
        <v>47932.896999999997</v>
      </c>
      <c r="L950" s="6">
        <v>0</v>
      </c>
      <c r="M950" s="6">
        <v>0</v>
      </c>
      <c r="N950" s="6">
        <v>0</v>
      </c>
      <c r="O950" s="6">
        <v>0</v>
      </c>
      <c r="P950" s="6">
        <v>123</v>
      </c>
      <c r="Q950" s="4" t="s">
        <v>60</v>
      </c>
      <c r="R950" s="4">
        <v>0</v>
      </c>
      <c r="S950" s="4" t="s">
        <v>201</v>
      </c>
      <c r="U950" s="4">
        <v>23</v>
      </c>
      <c r="V950" s="4">
        <v>0</v>
      </c>
      <c r="W950" s="4">
        <v>0</v>
      </c>
    </row>
    <row r="951" spans="1:23" ht="11.25" customHeight="1" x14ac:dyDescent="0.25">
      <c r="A951" s="4" t="s">
        <v>21</v>
      </c>
      <c r="B951" s="4" t="s">
        <v>35</v>
      </c>
      <c r="C951" s="4" t="s">
        <v>36</v>
      </c>
      <c r="D951" s="4" t="s">
        <v>42</v>
      </c>
      <c r="E951" s="4" t="s">
        <v>25</v>
      </c>
      <c r="F951" s="4" t="s">
        <v>62</v>
      </c>
      <c r="G951" s="4" t="s">
        <v>25</v>
      </c>
      <c r="H951" s="4" t="s">
        <v>25</v>
      </c>
      <c r="I951" s="5">
        <v>44197</v>
      </c>
      <c r="J951" s="6">
        <v>97560</v>
      </c>
      <c r="K951" s="6">
        <v>49140.972000000002</v>
      </c>
      <c r="L951" s="6">
        <v>0</v>
      </c>
      <c r="M951" s="6">
        <v>0</v>
      </c>
      <c r="N951" s="6">
        <v>0</v>
      </c>
      <c r="O951" s="6">
        <v>0</v>
      </c>
      <c r="P951" s="6">
        <v>124</v>
      </c>
      <c r="Q951" s="4" t="s">
        <v>60</v>
      </c>
      <c r="R951" s="4">
        <v>0</v>
      </c>
      <c r="S951" s="4" t="s">
        <v>202</v>
      </c>
      <c r="U951" s="4">
        <v>23</v>
      </c>
      <c r="V951" s="4">
        <v>0</v>
      </c>
      <c r="W951" s="4">
        <v>0</v>
      </c>
    </row>
    <row r="952" spans="1:23" ht="11.25" customHeight="1" x14ac:dyDescent="0.25">
      <c r="A952" s="4" t="s">
        <v>21</v>
      </c>
      <c r="B952" s="4" t="s">
        <v>35</v>
      </c>
      <c r="C952" s="4" t="s">
        <v>36</v>
      </c>
      <c r="D952" s="4" t="s">
        <v>42</v>
      </c>
      <c r="E952" s="4" t="s">
        <v>25</v>
      </c>
      <c r="F952" s="4" t="s">
        <v>62</v>
      </c>
      <c r="G952" s="4" t="s">
        <v>25</v>
      </c>
      <c r="H952" s="4" t="s">
        <v>25</v>
      </c>
      <c r="I952" s="5">
        <v>44228</v>
      </c>
      <c r="J952" s="6">
        <v>101350</v>
      </c>
      <c r="K952" s="6">
        <v>50279.735000000001</v>
      </c>
      <c r="L952" s="6">
        <v>0</v>
      </c>
      <c r="M952" s="6">
        <v>0</v>
      </c>
      <c r="N952" s="6">
        <v>0</v>
      </c>
      <c r="O952" s="6">
        <v>0</v>
      </c>
      <c r="P952" s="6">
        <v>127</v>
      </c>
      <c r="Q952" s="4" t="s">
        <v>60</v>
      </c>
      <c r="R952" s="4">
        <v>0</v>
      </c>
      <c r="S952" s="4" t="s">
        <v>203</v>
      </c>
      <c r="U952" s="4">
        <v>23</v>
      </c>
      <c r="V952" s="4">
        <v>0</v>
      </c>
      <c r="W952" s="4">
        <v>0</v>
      </c>
    </row>
    <row r="953" spans="1:23" ht="11.25" customHeight="1" x14ac:dyDescent="0.25">
      <c r="A953" s="4" t="s">
        <v>21</v>
      </c>
      <c r="B953" s="4" t="s">
        <v>35</v>
      </c>
      <c r="C953" s="4" t="s">
        <v>36</v>
      </c>
      <c r="D953" s="4" t="s">
        <v>42</v>
      </c>
      <c r="E953" s="4" t="s">
        <v>25</v>
      </c>
      <c r="F953" s="4" t="s">
        <v>62</v>
      </c>
      <c r="G953" s="4" t="s">
        <v>25</v>
      </c>
      <c r="H953" s="4" t="s">
        <v>25</v>
      </c>
      <c r="I953" s="5">
        <v>44256</v>
      </c>
      <c r="J953" s="6">
        <v>102537</v>
      </c>
      <c r="K953" s="6">
        <v>49709.937599999997</v>
      </c>
      <c r="L953" s="6">
        <v>0</v>
      </c>
      <c r="M953" s="6">
        <v>0</v>
      </c>
      <c r="N953" s="6">
        <v>0</v>
      </c>
      <c r="O953" s="6">
        <v>0</v>
      </c>
      <c r="P953" s="6">
        <v>129</v>
      </c>
      <c r="Q953" s="4" t="s">
        <v>60</v>
      </c>
      <c r="R953" s="4">
        <v>0</v>
      </c>
      <c r="S953" s="4" t="s">
        <v>204</v>
      </c>
      <c r="U953" s="4">
        <v>23</v>
      </c>
      <c r="V953" s="4">
        <v>0</v>
      </c>
      <c r="W953" s="4">
        <v>0</v>
      </c>
    </row>
    <row r="954" spans="1:23" ht="11.25" customHeight="1" x14ac:dyDescent="0.25">
      <c r="A954" s="4" t="s">
        <v>21</v>
      </c>
      <c r="B954" s="4" t="s">
        <v>35</v>
      </c>
      <c r="C954" s="4" t="s">
        <v>36</v>
      </c>
      <c r="D954" s="4" t="s">
        <v>42</v>
      </c>
      <c r="E954" s="4" t="s">
        <v>25</v>
      </c>
      <c r="F954" s="4" t="s">
        <v>62</v>
      </c>
      <c r="G954" s="4" t="s">
        <v>25</v>
      </c>
      <c r="H954" s="4" t="s">
        <v>25</v>
      </c>
      <c r="I954" s="5">
        <v>44287</v>
      </c>
      <c r="J954" s="6">
        <v>108267</v>
      </c>
      <c r="K954" s="6">
        <v>51318.557999999997</v>
      </c>
      <c r="L954" s="6">
        <v>0</v>
      </c>
      <c r="M954" s="6">
        <v>0</v>
      </c>
      <c r="N954" s="6">
        <v>0</v>
      </c>
      <c r="O954" s="6">
        <v>0</v>
      </c>
      <c r="P954" s="6">
        <v>134</v>
      </c>
      <c r="Q954" s="4" t="s">
        <v>60</v>
      </c>
      <c r="R954" s="4">
        <v>0</v>
      </c>
      <c r="S954" s="4" t="s">
        <v>205</v>
      </c>
      <c r="U954" s="4">
        <v>23</v>
      </c>
      <c r="V954" s="4">
        <v>0</v>
      </c>
      <c r="W954" s="4">
        <v>0</v>
      </c>
    </row>
    <row r="955" spans="1:23" ht="11.25" customHeight="1" x14ac:dyDescent="0.25">
      <c r="A955" s="4" t="s">
        <v>21</v>
      </c>
      <c r="B955" s="4" t="s">
        <v>35</v>
      </c>
      <c r="C955" s="4" t="s">
        <v>36</v>
      </c>
      <c r="D955" s="4" t="s">
        <v>42</v>
      </c>
      <c r="E955" s="4" t="s">
        <v>25</v>
      </c>
      <c r="F955" s="4" t="s">
        <v>62</v>
      </c>
      <c r="G955" s="4" t="s">
        <v>25</v>
      </c>
      <c r="H955" s="4" t="s">
        <v>25</v>
      </c>
      <c r="I955" s="5">
        <v>44317</v>
      </c>
      <c r="J955" s="6">
        <v>110368</v>
      </c>
      <c r="K955" s="6">
        <v>52766.940799999997</v>
      </c>
      <c r="L955" s="6">
        <v>0</v>
      </c>
      <c r="M955" s="6">
        <v>0</v>
      </c>
      <c r="N955" s="6">
        <v>0</v>
      </c>
      <c r="O955" s="6">
        <v>0</v>
      </c>
      <c r="P955" s="6">
        <v>136</v>
      </c>
      <c r="Q955" s="4" t="s">
        <v>60</v>
      </c>
      <c r="R955" s="4">
        <v>0</v>
      </c>
      <c r="S955" s="4" t="s">
        <v>206</v>
      </c>
      <c r="U955" s="4">
        <v>23</v>
      </c>
      <c r="V955" s="4">
        <v>0</v>
      </c>
      <c r="W955" s="4">
        <v>0</v>
      </c>
    </row>
    <row r="956" spans="1:23" ht="11.25" customHeight="1" x14ac:dyDescent="0.25">
      <c r="A956" s="4" t="s">
        <v>21</v>
      </c>
      <c r="B956" s="4" t="s">
        <v>35</v>
      </c>
      <c r="C956" s="4" t="s">
        <v>36</v>
      </c>
      <c r="D956" s="4" t="s">
        <v>42</v>
      </c>
      <c r="E956" s="4" t="s">
        <v>25</v>
      </c>
      <c r="F956" s="4" t="s">
        <v>62</v>
      </c>
      <c r="G956" s="4" t="s">
        <v>25</v>
      </c>
      <c r="H956" s="4" t="s">
        <v>25</v>
      </c>
      <c r="I956" s="5">
        <v>44348</v>
      </c>
      <c r="J956" s="6">
        <v>97560</v>
      </c>
      <c r="K956" s="6">
        <v>49140.972000000002</v>
      </c>
      <c r="L956" s="6">
        <v>0</v>
      </c>
      <c r="M956" s="6">
        <v>0</v>
      </c>
      <c r="N956" s="6">
        <v>0</v>
      </c>
      <c r="O956" s="6">
        <v>0</v>
      </c>
      <c r="P956" s="6">
        <v>124</v>
      </c>
      <c r="Q956" s="4" t="s">
        <v>60</v>
      </c>
      <c r="R956" s="4">
        <v>0</v>
      </c>
      <c r="S956" s="4" t="s">
        <v>207</v>
      </c>
      <c r="U956" s="4">
        <v>23</v>
      </c>
      <c r="V956" s="4">
        <v>0</v>
      </c>
      <c r="W956" s="4">
        <v>0</v>
      </c>
    </row>
    <row r="957" spans="1:23" ht="11.25" customHeight="1" x14ac:dyDescent="0.25">
      <c r="A957" s="4" t="s">
        <v>21</v>
      </c>
      <c r="B957" s="4" t="s">
        <v>35</v>
      </c>
      <c r="C957" s="4" t="s">
        <v>36</v>
      </c>
      <c r="D957" s="4" t="s">
        <v>42</v>
      </c>
      <c r="E957" s="4" t="s">
        <v>25</v>
      </c>
      <c r="F957" s="4" t="s">
        <v>62</v>
      </c>
      <c r="G957" s="4" t="s">
        <v>25</v>
      </c>
      <c r="H957" s="4" t="s">
        <v>25</v>
      </c>
      <c r="I957" s="5">
        <v>44378</v>
      </c>
      <c r="J957" s="6">
        <v>107052</v>
      </c>
      <c r="K957" s="6">
        <v>50742.648000000001</v>
      </c>
      <c r="L957" s="6">
        <v>0</v>
      </c>
      <c r="M957" s="6">
        <v>0</v>
      </c>
      <c r="N957" s="6">
        <v>0</v>
      </c>
      <c r="O957" s="6">
        <v>0</v>
      </c>
      <c r="P957" s="6">
        <v>138</v>
      </c>
      <c r="Q957" s="4" t="s">
        <v>60</v>
      </c>
      <c r="R957" s="4">
        <v>0</v>
      </c>
      <c r="S957" s="4" t="s">
        <v>208</v>
      </c>
      <c r="U957" s="4">
        <v>23</v>
      </c>
      <c r="V957" s="4">
        <v>0</v>
      </c>
      <c r="W957" s="4">
        <v>0</v>
      </c>
    </row>
    <row r="958" spans="1:23" ht="11.25" customHeight="1" x14ac:dyDescent="0.25">
      <c r="A958" s="4" t="s">
        <v>21</v>
      </c>
      <c r="B958" s="4" t="s">
        <v>35</v>
      </c>
      <c r="C958" s="4" t="s">
        <v>36</v>
      </c>
      <c r="D958" s="4" t="s">
        <v>42</v>
      </c>
      <c r="E958" s="4" t="s">
        <v>25</v>
      </c>
      <c r="F958" s="4" t="s">
        <v>62</v>
      </c>
      <c r="G958" s="4" t="s">
        <v>25</v>
      </c>
      <c r="H958" s="4" t="s">
        <v>25</v>
      </c>
      <c r="I958" s="5">
        <v>44409</v>
      </c>
      <c r="J958" s="6">
        <v>106883</v>
      </c>
      <c r="K958" s="6">
        <v>48610.388400000003</v>
      </c>
      <c r="L958" s="6">
        <v>0</v>
      </c>
      <c r="M958" s="6">
        <v>0</v>
      </c>
      <c r="N958" s="6">
        <v>0</v>
      </c>
      <c r="O958" s="6">
        <v>0</v>
      </c>
      <c r="P958" s="6">
        <v>138</v>
      </c>
      <c r="Q958" s="4" t="s">
        <v>60</v>
      </c>
      <c r="R958" s="4">
        <v>0</v>
      </c>
      <c r="S958" s="4" t="s">
        <v>209</v>
      </c>
      <c r="U958" s="4">
        <v>23</v>
      </c>
      <c r="V958" s="4">
        <v>0</v>
      </c>
      <c r="W958" s="4">
        <v>0</v>
      </c>
    </row>
    <row r="959" spans="1:23" ht="11.25" customHeight="1" x14ac:dyDescent="0.25">
      <c r="A959" s="4" t="s">
        <v>21</v>
      </c>
      <c r="B959" s="4" t="s">
        <v>35</v>
      </c>
      <c r="C959" s="4" t="s">
        <v>36</v>
      </c>
      <c r="D959" s="4" t="s">
        <v>42</v>
      </c>
      <c r="E959" s="4" t="s">
        <v>25</v>
      </c>
      <c r="F959" s="4" t="s">
        <v>62</v>
      </c>
      <c r="G959" s="4" t="s">
        <v>25</v>
      </c>
      <c r="H959" s="4" t="s">
        <v>25</v>
      </c>
      <c r="I959" s="5">
        <v>44440</v>
      </c>
      <c r="J959" s="6">
        <v>109926</v>
      </c>
      <c r="K959" s="6">
        <v>51621.249600000003</v>
      </c>
      <c r="L959" s="6">
        <v>0</v>
      </c>
      <c r="M959" s="6">
        <v>0</v>
      </c>
      <c r="N959" s="6">
        <v>0</v>
      </c>
      <c r="O959" s="6">
        <v>0</v>
      </c>
      <c r="P959" s="6">
        <v>140</v>
      </c>
      <c r="Q959" s="4" t="s">
        <v>60</v>
      </c>
      <c r="R959" s="4">
        <v>0</v>
      </c>
      <c r="S959" s="4" t="s">
        <v>210</v>
      </c>
      <c r="U959" s="4">
        <v>23</v>
      </c>
      <c r="V959" s="4">
        <v>0</v>
      </c>
      <c r="W959" s="4">
        <v>0</v>
      </c>
    </row>
    <row r="960" spans="1:23" ht="11.25" customHeight="1" x14ac:dyDescent="0.25">
      <c r="A960" s="4" t="s">
        <v>59</v>
      </c>
      <c r="B960" s="4" t="s">
        <v>35</v>
      </c>
      <c r="C960" s="4" t="s">
        <v>36</v>
      </c>
      <c r="D960" s="4" t="s">
        <v>42</v>
      </c>
      <c r="E960" s="4" t="s">
        <v>25</v>
      </c>
      <c r="F960" s="4" t="s">
        <v>62</v>
      </c>
      <c r="G960" s="4" t="s">
        <v>25</v>
      </c>
      <c r="H960" s="4" t="s">
        <v>25</v>
      </c>
      <c r="I960" s="5">
        <v>44470</v>
      </c>
      <c r="J960" s="6">
        <v>109926</v>
      </c>
      <c r="K960" s="6">
        <v>51621.249600000003</v>
      </c>
      <c r="L960" s="6">
        <v>0</v>
      </c>
      <c r="M960" s="6">
        <v>0</v>
      </c>
      <c r="N960" s="6">
        <v>0</v>
      </c>
      <c r="O960" s="6">
        <v>0</v>
      </c>
      <c r="P960" s="6">
        <v>140</v>
      </c>
      <c r="Q960" s="4" t="s">
        <v>60</v>
      </c>
      <c r="R960" s="4">
        <v>0</v>
      </c>
      <c r="S960" s="4" t="s">
        <v>211</v>
      </c>
      <c r="U960" s="4">
        <v>23</v>
      </c>
      <c r="V960" s="4">
        <v>0</v>
      </c>
      <c r="W960" s="4">
        <v>0</v>
      </c>
    </row>
    <row r="961" spans="1:23" ht="11.25" customHeight="1" x14ac:dyDescent="0.25">
      <c r="A961" s="4" t="s">
        <v>21</v>
      </c>
      <c r="B961" s="4" t="s">
        <v>35</v>
      </c>
      <c r="C961" s="4" t="s">
        <v>36</v>
      </c>
      <c r="D961" s="4" t="s">
        <v>42</v>
      </c>
      <c r="E961" s="4" t="s">
        <v>25</v>
      </c>
      <c r="F961" s="4" t="s">
        <v>62</v>
      </c>
      <c r="G961" s="4" t="s">
        <v>25</v>
      </c>
      <c r="H961" s="4" t="s">
        <v>37</v>
      </c>
      <c r="I961" s="5">
        <v>44136</v>
      </c>
      <c r="J961" s="6">
        <v>0</v>
      </c>
      <c r="K961" s="6">
        <v>0</v>
      </c>
      <c r="L961" s="6">
        <v>2704.8609999999999</v>
      </c>
      <c r="M961" s="6">
        <v>1360.2745969</v>
      </c>
      <c r="N961" s="6">
        <v>0</v>
      </c>
      <c r="O961" s="6">
        <v>0</v>
      </c>
      <c r="P961" s="6">
        <v>0</v>
      </c>
      <c r="Q961" s="4" t="s">
        <v>60</v>
      </c>
      <c r="R961" s="4">
        <v>0</v>
      </c>
      <c r="S961" s="4" t="s">
        <v>212</v>
      </c>
      <c r="U961" s="4">
        <v>0</v>
      </c>
      <c r="V961" s="4">
        <v>24</v>
      </c>
      <c r="W961" s="4">
        <v>0</v>
      </c>
    </row>
    <row r="962" spans="1:23" ht="11.25" customHeight="1" x14ac:dyDescent="0.25">
      <c r="A962" s="4" t="s">
        <v>21</v>
      </c>
      <c r="B962" s="4" t="s">
        <v>35</v>
      </c>
      <c r="C962" s="4" t="s">
        <v>36</v>
      </c>
      <c r="D962" s="4" t="s">
        <v>42</v>
      </c>
      <c r="E962" s="4" t="s">
        <v>25</v>
      </c>
      <c r="F962" s="4" t="s">
        <v>62</v>
      </c>
      <c r="G962" s="4" t="s">
        <v>25</v>
      </c>
      <c r="H962" s="4" t="s">
        <v>37</v>
      </c>
      <c r="I962" s="5">
        <v>44166</v>
      </c>
      <c r="J962" s="6">
        <v>0</v>
      </c>
      <c r="K962" s="6">
        <v>0</v>
      </c>
      <c r="L962" s="6">
        <v>2518.8159999999998</v>
      </c>
      <c r="M962" s="6">
        <v>1343.0326912</v>
      </c>
      <c r="N962" s="6">
        <v>0</v>
      </c>
      <c r="O962" s="6">
        <v>0</v>
      </c>
      <c r="P962" s="6">
        <v>0</v>
      </c>
      <c r="Q962" s="4" t="s">
        <v>60</v>
      </c>
      <c r="R962" s="4">
        <v>0</v>
      </c>
      <c r="S962" s="4" t="s">
        <v>213</v>
      </c>
      <c r="U962" s="4">
        <v>0</v>
      </c>
      <c r="V962" s="4">
        <v>24</v>
      </c>
      <c r="W962" s="4">
        <v>0</v>
      </c>
    </row>
    <row r="963" spans="1:23" ht="11.25" customHeight="1" x14ac:dyDescent="0.25">
      <c r="A963" s="4" t="s">
        <v>21</v>
      </c>
      <c r="B963" s="4" t="s">
        <v>35</v>
      </c>
      <c r="C963" s="4" t="s">
        <v>36</v>
      </c>
      <c r="D963" s="4" t="s">
        <v>42</v>
      </c>
      <c r="E963" s="4" t="s">
        <v>25</v>
      </c>
      <c r="F963" s="4" t="s">
        <v>62</v>
      </c>
      <c r="G963" s="4" t="s">
        <v>25</v>
      </c>
      <c r="H963" s="4" t="s">
        <v>37</v>
      </c>
      <c r="I963" s="5">
        <v>44197</v>
      </c>
      <c r="J963" s="6">
        <v>0</v>
      </c>
      <c r="K963" s="6">
        <v>0</v>
      </c>
      <c r="L963" s="6">
        <v>1639.9290000000001</v>
      </c>
      <c r="M963" s="6">
        <v>866.70247649999999</v>
      </c>
      <c r="N963" s="6">
        <v>0</v>
      </c>
      <c r="O963" s="6">
        <v>0</v>
      </c>
      <c r="P963" s="6">
        <v>0</v>
      </c>
      <c r="Q963" s="4" t="s">
        <v>60</v>
      </c>
      <c r="R963" s="4">
        <v>0</v>
      </c>
      <c r="S963" s="4" t="s">
        <v>214</v>
      </c>
      <c r="U963" s="4">
        <v>0</v>
      </c>
      <c r="V963" s="4">
        <v>24</v>
      </c>
      <c r="W963" s="4">
        <v>0</v>
      </c>
    </row>
    <row r="964" spans="1:23" ht="11.25" customHeight="1" x14ac:dyDescent="0.25">
      <c r="A964" s="4" t="s">
        <v>21</v>
      </c>
      <c r="B964" s="4" t="s">
        <v>35</v>
      </c>
      <c r="C964" s="4" t="s">
        <v>36</v>
      </c>
      <c r="D964" s="4" t="s">
        <v>42</v>
      </c>
      <c r="E964" s="4" t="s">
        <v>25</v>
      </c>
      <c r="F964" s="4" t="s">
        <v>62</v>
      </c>
      <c r="G964" s="4" t="s">
        <v>25</v>
      </c>
      <c r="H964" s="4" t="s">
        <v>37</v>
      </c>
      <c r="I964" s="5">
        <v>44228</v>
      </c>
      <c r="J964" s="6">
        <v>0</v>
      </c>
      <c r="K964" s="6">
        <v>0</v>
      </c>
      <c r="L964" s="6">
        <v>1712.6179999999999</v>
      </c>
      <c r="M964" s="6">
        <v>906.65996919999998</v>
      </c>
      <c r="N964" s="6">
        <v>0</v>
      </c>
      <c r="O964" s="6">
        <v>0</v>
      </c>
      <c r="P964" s="6">
        <v>0</v>
      </c>
      <c r="Q964" s="4" t="s">
        <v>60</v>
      </c>
      <c r="R964" s="4">
        <v>0</v>
      </c>
      <c r="S964" s="4" t="s">
        <v>215</v>
      </c>
      <c r="U964" s="4">
        <v>0</v>
      </c>
      <c r="V964" s="4">
        <v>24</v>
      </c>
      <c r="W964" s="4">
        <v>0</v>
      </c>
    </row>
    <row r="965" spans="1:23" ht="11.25" customHeight="1" x14ac:dyDescent="0.25">
      <c r="A965" s="4" t="s">
        <v>21</v>
      </c>
      <c r="B965" s="4" t="s">
        <v>35</v>
      </c>
      <c r="C965" s="4" t="s">
        <v>36</v>
      </c>
      <c r="D965" s="4" t="s">
        <v>42</v>
      </c>
      <c r="E965" s="4" t="s">
        <v>25</v>
      </c>
      <c r="F965" s="4" t="s">
        <v>62</v>
      </c>
      <c r="G965" s="4" t="s">
        <v>25</v>
      </c>
      <c r="H965" s="4" t="s">
        <v>37</v>
      </c>
      <c r="I965" s="5">
        <v>44256</v>
      </c>
      <c r="J965" s="6">
        <v>0</v>
      </c>
      <c r="K965" s="6">
        <v>0</v>
      </c>
      <c r="L965" s="6">
        <v>2639.7460000000001</v>
      </c>
      <c r="M965" s="6">
        <v>1410.6802623999999</v>
      </c>
      <c r="N965" s="6">
        <v>0</v>
      </c>
      <c r="O965" s="6">
        <v>0</v>
      </c>
      <c r="P965" s="6">
        <v>0</v>
      </c>
      <c r="Q965" s="4" t="s">
        <v>60</v>
      </c>
      <c r="R965" s="4">
        <v>0</v>
      </c>
      <c r="S965" s="4" t="s">
        <v>216</v>
      </c>
      <c r="U965" s="4">
        <v>0</v>
      </c>
      <c r="V965" s="4">
        <v>24</v>
      </c>
      <c r="W965" s="4">
        <v>0</v>
      </c>
    </row>
    <row r="966" spans="1:23" ht="11.25" customHeight="1" x14ac:dyDescent="0.25">
      <c r="A966" s="4" t="s">
        <v>21</v>
      </c>
      <c r="B966" s="4" t="s">
        <v>35</v>
      </c>
      <c r="C966" s="4" t="s">
        <v>36</v>
      </c>
      <c r="D966" s="4" t="s">
        <v>42</v>
      </c>
      <c r="E966" s="4" t="s">
        <v>25</v>
      </c>
      <c r="F966" s="4" t="s">
        <v>62</v>
      </c>
      <c r="G966" s="4" t="s">
        <v>25</v>
      </c>
      <c r="H966" s="4" t="s">
        <v>37</v>
      </c>
      <c r="I966" s="5">
        <v>44287</v>
      </c>
      <c r="J966" s="6">
        <v>0</v>
      </c>
      <c r="K966" s="6">
        <v>0</v>
      </c>
      <c r="L966" s="6">
        <v>2612.0300000000002</v>
      </c>
      <c r="M966" s="6">
        <v>1390.1223660000001</v>
      </c>
      <c r="N966" s="6">
        <v>0</v>
      </c>
      <c r="O966" s="6">
        <v>0</v>
      </c>
      <c r="P966" s="6">
        <v>0</v>
      </c>
      <c r="Q966" s="4" t="s">
        <v>60</v>
      </c>
      <c r="R966" s="4">
        <v>0</v>
      </c>
      <c r="S966" s="4" t="s">
        <v>217</v>
      </c>
      <c r="U966" s="4">
        <v>0</v>
      </c>
      <c r="V966" s="4">
        <v>24</v>
      </c>
      <c r="W966" s="4">
        <v>0</v>
      </c>
    </row>
    <row r="967" spans="1:23" ht="11.25" customHeight="1" x14ac:dyDescent="0.25">
      <c r="A967" s="4" t="s">
        <v>21</v>
      </c>
      <c r="B967" s="4" t="s">
        <v>35</v>
      </c>
      <c r="C967" s="4" t="s">
        <v>36</v>
      </c>
      <c r="D967" s="4" t="s">
        <v>42</v>
      </c>
      <c r="E967" s="4" t="s">
        <v>25</v>
      </c>
      <c r="F967" s="4" t="s">
        <v>62</v>
      </c>
      <c r="G967" s="4" t="s">
        <v>25</v>
      </c>
      <c r="H967" s="4" t="s">
        <v>37</v>
      </c>
      <c r="I967" s="5">
        <v>44317</v>
      </c>
      <c r="J967" s="6">
        <v>0</v>
      </c>
      <c r="K967" s="6">
        <v>0</v>
      </c>
      <c r="L967" s="6">
        <v>2902.4670000000001</v>
      </c>
      <c r="M967" s="6">
        <v>1564.429713</v>
      </c>
      <c r="N967" s="6">
        <v>0</v>
      </c>
      <c r="O967" s="6">
        <v>0</v>
      </c>
      <c r="P967" s="6">
        <v>0</v>
      </c>
      <c r="Q967" s="4" t="s">
        <v>60</v>
      </c>
      <c r="R967" s="4">
        <v>0</v>
      </c>
      <c r="S967" s="4" t="s">
        <v>218</v>
      </c>
      <c r="U967" s="4">
        <v>0</v>
      </c>
      <c r="V967" s="4">
        <v>24</v>
      </c>
      <c r="W967" s="4">
        <v>0</v>
      </c>
    </row>
    <row r="968" spans="1:23" ht="11.25" customHeight="1" x14ac:dyDescent="0.25">
      <c r="A968" s="4" t="s">
        <v>21</v>
      </c>
      <c r="B968" s="4" t="s">
        <v>35</v>
      </c>
      <c r="C968" s="4" t="s">
        <v>36</v>
      </c>
      <c r="D968" s="4" t="s">
        <v>42</v>
      </c>
      <c r="E968" s="4" t="s">
        <v>25</v>
      </c>
      <c r="F968" s="4" t="s">
        <v>62</v>
      </c>
      <c r="G968" s="4" t="s">
        <v>25</v>
      </c>
      <c r="H968" s="4" t="s">
        <v>37</v>
      </c>
      <c r="I968" s="5">
        <v>44348</v>
      </c>
      <c r="J968" s="6">
        <v>0</v>
      </c>
      <c r="K968" s="6">
        <v>0</v>
      </c>
      <c r="L968" s="6">
        <v>1639.9290000000001</v>
      </c>
      <c r="M968" s="6">
        <v>866.70247649999999</v>
      </c>
      <c r="N968" s="6">
        <v>0</v>
      </c>
      <c r="O968" s="6">
        <v>0</v>
      </c>
      <c r="P968" s="6">
        <v>0</v>
      </c>
      <c r="Q968" s="4" t="s">
        <v>60</v>
      </c>
      <c r="R968" s="4">
        <v>0</v>
      </c>
      <c r="S968" s="4" t="s">
        <v>219</v>
      </c>
      <c r="U968" s="4">
        <v>0</v>
      </c>
      <c r="V968" s="4">
        <v>24</v>
      </c>
      <c r="W968" s="4">
        <v>0</v>
      </c>
    </row>
    <row r="969" spans="1:23" ht="11.25" customHeight="1" x14ac:dyDescent="0.25">
      <c r="A969" s="4" t="s">
        <v>21</v>
      </c>
      <c r="B969" s="4" t="s">
        <v>35</v>
      </c>
      <c r="C969" s="4" t="s">
        <v>36</v>
      </c>
      <c r="D969" s="4" t="s">
        <v>42</v>
      </c>
      <c r="E969" s="4" t="s">
        <v>25</v>
      </c>
      <c r="F969" s="4" t="s">
        <v>62</v>
      </c>
      <c r="G969" s="4" t="s">
        <v>25</v>
      </c>
      <c r="H969" s="4" t="s">
        <v>37</v>
      </c>
      <c r="I969" s="5">
        <v>44378</v>
      </c>
      <c r="J969" s="6">
        <v>0</v>
      </c>
      <c r="K969" s="6">
        <v>0</v>
      </c>
      <c r="L969" s="6">
        <v>3131.4769999999999</v>
      </c>
      <c r="M969" s="6">
        <v>1666.5720593999999</v>
      </c>
      <c r="N969" s="6">
        <v>0</v>
      </c>
      <c r="O969" s="6">
        <v>0</v>
      </c>
      <c r="P969" s="6">
        <v>0</v>
      </c>
      <c r="Q969" s="4" t="s">
        <v>60</v>
      </c>
      <c r="R969" s="4">
        <v>0</v>
      </c>
      <c r="S969" s="4" t="s">
        <v>220</v>
      </c>
      <c r="U969" s="4">
        <v>0</v>
      </c>
      <c r="V969" s="4">
        <v>24</v>
      </c>
      <c r="W969" s="4">
        <v>0</v>
      </c>
    </row>
    <row r="970" spans="1:23" ht="11.25" customHeight="1" x14ac:dyDescent="0.25">
      <c r="A970" s="4" t="s">
        <v>21</v>
      </c>
      <c r="B970" s="4" t="s">
        <v>35</v>
      </c>
      <c r="C970" s="4" t="s">
        <v>36</v>
      </c>
      <c r="D970" s="4" t="s">
        <v>42</v>
      </c>
      <c r="E970" s="4" t="s">
        <v>25</v>
      </c>
      <c r="F970" s="4" t="s">
        <v>62</v>
      </c>
      <c r="G970" s="4" t="s">
        <v>25</v>
      </c>
      <c r="H970" s="4" t="s">
        <v>37</v>
      </c>
      <c r="I970" s="5">
        <v>44409</v>
      </c>
      <c r="J970" s="6">
        <v>0</v>
      </c>
      <c r="K970" s="6">
        <v>0</v>
      </c>
      <c r="L970" s="6">
        <v>3242.9160000000002</v>
      </c>
      <c r="M970" s="6">
        <v>1669.4531568</v>
      </c>
      <c r="N970" s="6">
        <v>0</v>
      </c>
      <c r="O970" s="6">
        <v>0</v>
      </c>
      <c r="P970" s="6">
        <v>0</v>
      </c>
      <c r="Q970" s="4" t="s">
        <v>60</v>
      </c>
      <c r="R970" s="4">
        <v>0</v>
      </c>
      <c r="S970" s="4" t="s">
        <v>221</v>
      </c>
      <c r="U970" s="4">
        <v>0</v>
      </c>
      <c r="V970" s="4">
        <v>24</v>
      </c>
      <c r="W970" s="4">
        <v>0</v>
      </c>
    </row>
    <row r="971" spans="1:23" ht="11.25" customHeight="1" x14ac:dyDescent="0.25">
      <c r="A971" s="4" t="s">
        <v>21</v>
      </c>
      <c r="B971" s="4" t="s">
        <v>35</v>
      </c>
      <c r="C971" s="4" t="s">
        <v>36</v>
      </c>
      <c r="D971" s="4" t="s">
        <v>42</v>
      </c>
      <c r="E971" s="4" t="s">
        <v>25</v>
      </c>
      <c r="F971" s="4" t="s">
        <v>62</v>
      </c>
      <c r="G971" s="4" t="s">
        <v>25</v>
      </c>
      <c r="H971" s="4" t="s">
        <v>37</v>
      </c>
      <c r="I971" s="5">
        <v>44440</v>
      </c>
      <c r="J971" s="6">
        <v>0</v>
      </c>
      <c r="K971" s="6">
        <v>0</v>
      </c>
      <c r="L971" s="6">
        <v>3049.5859999999998</v>
      </c>
      <c r="M971" s="6">
        <v>1533.3318408</v>
      </c>
      <c r="N971" s="6">
        <v>0</v>
      </c>
      <c r="O971" s="6">
        <v>0</v>
      </c>
      <c r="P971" s="6">
        <v>0</v>
      </c>
      <c r="Q971" s="4" t="s">
        <v>60</v>
      </c>
      <c r="R971" s="4">
        <v>0</v>
      </c>
      <c r="S971" s="4" t="s">
        <v>222</v>
      </c>
      <c r="U971" s="4">
        <v>0</v>
      </c>
      <c r="V971" s="4">
        <v>24</v>
      </c>
      <c r="W971" s="4">
        <v>0</v>
      </c>
    </row>
    <row r="972" spans="1:23" ht="11.25" customHeight="1" x14ac:dyDescent="0.25">
      <c r="A972" s="4" t="s">
        <v>59</v>
      </c>
      <c r="B972" s="4" t="s">
        <v>35</v>
      </c>
      <c r="C972" s="4" t="s">
        <v>36</v>
      </c>
      <c r="D972" s="4" t="s">
        <v>42</v>
      </c>
      <c r="E972" s="4" t="s">
        <v>25</v>
      </c>
      <c r="F972" s="4" t="s">
        <v>62</v>
      </c>
      <c r="G972" s="4" t="s">
        <v>25</v>
      </c>
      <c r="H972" s="4" t="s">
        <v>37</v>
      </c>
      <c r="I972" s="5">
        <v>44470</v>
      </c>
      <c r="J972" s="6">
        <v>0</v>
      </c>
      <c r="K972" s="6">
        <v>0</v>
      </c>
      <c r="L972" s="6">
        <v>3049.5859999999998</v>
      </c>
      <c r="M972" s="6">
        <v>1533.3318408</v>
      </c>
      <c r="N972" s="6">
        <v>0</v>
      </c>
      <c r="O972" s="6">
        <v>0</v>
      </c>
      <c r="P972" s="6">
        <v>0</v>
      </c>
      <c r="Q972" s="4" t="s">
        <v>60</v>
      </c>
      <c r="R972" s="4">
        <v>0</v>
      </c>
      <c r="S972" s="4" t="s">
        <v>223</v>
      </c>
      <c r="U972" s="4">
        <v>0</v>
      </c>
      <c r="V972" s="4">
        <v>24</v>
      </c>
      <c r="W972" s="4">
        <v>0</v>
      </c>
    </row>
    <row r="973" spans="1:23" ht="11.25" customHeight="1" x14ac:dyDescent="0.25">
      <c r="A973" s="4" t="s">
        <v>21</v>
      </c>
      <c r="B973" s="4" t="s">
        <v>35</v>
      </c>
      <c r="C973" s="4" t="s">
        <v>36</v>
      </c>
      <c r="D973" s="4" t="s">
        <v>42</v>
      </c>
      <c r="E973" s="4" t="s">
        <v>25</v>
      </c>
      <c r="F973" s="4" t="s">
        <v>25</v>
      </c>
      <c r="G973" s="4" t="s">
        <v>25</v>
      </c>
      <c r="H973" s="4" t="s">
        <v>38</v>
      </c>
      <c r="I973" s="5">
        <v>44136</v>
      </c>
      <c r="J973" s="6">
        <v>0</v>
      </c>
      <c r="K973" s="6">
        <v>0</v>
      </c>
      <c r="L973" s="6">
        <v>21322.179</v>
      </c>
      <c r="M973" s="6">
        <v>21322.179</v>
      </c>
      <c r="N973" s="6">
        <v>21322.179</v>
      </c>
      <c r="O973" s="6">
        <v>21322.179</v>
      </c>
      <c r="P973" s="6">
        <v>0</v>
      </c>
      <c r="Q973" s="4" t="s">
        <v>26</v>
      </c>
      <c r="R973" s="4">
        <v>0</v>
      </c>
      <c r="S973" s="4" t="s">
        <v>188</v>
      </c>
      <c r="T973" s="4" t="s">
        <v>433</v>
      </c>
      <c r="U973" s="4">
        <v>0</v>
      </c>
      <c r="V973" s="4">
        <v>19</v>
      </c>
      <c r="W973" s="4">
        <v>67</v>
      </c>
    </row>
    <row r="974" spans="1:23" ht="11.25" customHeight="1" x14ac:dyDescent="0.25">
      <c r="A974" s="4" t="s">
        <v>27</v>
      </c>
      <c r="B974" s="4" t="s">
        <v>35</v>
      </c>
      <c r="C974" s="4" t="s">
        <v>36</v>
      </c>
      <c r="D974" s="4" t="s">
        <v>42</v>
      </c>
      <c r="E974" s="4" t="s">
        <v>25</v>
      </c>
      <c r="F974" s="4" t="s">
        <v>25</v>
      </c>
      <c r="G974" s="4" t="s">
        <v>25</v>
      </c>
      <c r="H974" s="4" t="s">
        <v>38</v>
      </c>
      <c r="I974" s="5">
        <v>44136</v>
      </c>
      <c r="J974" s="6">
        <v>0</v>
      </c>
      <c r="K974" s="6">
        <v>0</v>
      </c>
      <c r="L974" s="6">
        <v>-117.988</v>
      </c>
      <c r="M974" s="6">
        <v>-117.988</v>
      </c>
      <c r="N974" s="6">
        <v>-117.988</v>
      </c>
      <c r="O974" s="6">
        <v>-117.988</v>
      </c>
      <c r="P974" s="6">
        <v>0</v>
      </c>
      <c r="Q974" s="4" t="s">
        <v>26</v>
      </c>
      <c r="R974" s="4">
        <v>0</v>
      </c>
      <c r="S974" s="4" t="s">
        <v>188</v>
      </c>
      <c r="T974" s="4" t="s">
        <v>433</v>
      </c>
      <c r="U974" s="4">
        <v>0</v>
      </c>
      <c r="V974" s="4">
        <v>19</v>
      </c>
      <c r="W974" s="4">
        <v>67</v>
      </c>
    </row>
    <row r="975" spans="1:23" ht="11.25" customHeight="1" x14ac:dyDescent="0.25">
      <c r="A975" s="4" t="s">
        <v>28</v>
      </c>
      <c r="B975" s="4" t="s">
        <v>35</v>
      </c>
      <c r="C975" s="4" t="s">
        <v>36</v>
      </c>
      <c r="D975" s="4" t="s">
        <v>42</v>
      </c>
      <c r="E975" s="4" t="s">
        <v>25</v>
      </c>
      <c r="F975" s="4" t="s">
        <v>25</v>
      </c>
      <c r="G975" s="4" t="s">
        <v>25</v>
      </c>
      <c r="H975" s="4" t="s">
        <v>38</v>
      </c>
      <c r="I975" s="5">
        <v>44136</v>
      </c>
      <c r="J975" s="6">
        <v>0</v>
      </c>
      <c r="K975" s="6">
        <v>0</v>
      </c>
      <c r="L975" s="6">
        <v>2113.6280000000002</v>
      </c>
      <c r="M975" s="6">
        <v>2113.6280000000002</v>
      </c>
      <c r="N975" s="6">
        <v>2113.6280000000002</v>
      </c>
      <c r="O975" s="6">
        <v>2113.6280000000002</v>
      </c>
      <c r="P975" s="6">
        <v>0</v>
      </c>
      <c r="Q975" s="4" t="s">
        <v>26</v>
      </c>
      <c r="R975" s="4">
        <v>0</v>
      </c>
      <c r="S975" s="4" t="s">
        <v>188</v>
      </c>
      <c r="T975" s="4" t="s">
        <v>433</v>
      </c>
      <c r="U975" s="4">
        <v>0</v>
      </c>
      <c r="V975" s="4">
        <v>19</v>
      </c>
      <c r="W975" s="4">
        <v>67</v>
      </c>
    </row>
    <row r="976" spans="1:23" ht="11.25" customHeight="1" x14ac:dyDescent="0.25">
      <c r="A976" s="4" t="s">
        <v>30</v>
      </c>
      <c r="B976" s="4" t="s">
        <v>35</v>
      </c>
      <c r="C976" s="4" t="s">
        <v>36</v>
      </c>
      <c r="D976" s="4" t="s">
        <v>42</v>
      </c>
      <c r="E976" s="4" t="s">
        <v>25</v>
      </c>
      <c r="F976" s="4" t="s">
        <v>25</v>
      </c>
      <c r="G976" s="4" t="s">
        <v>25</v>
      </c>
      <c r="H976" s="4" t="s">
        <v>38</v>
      </c>
      <c r="I976" s="5">
        <v>44136</v>
      </c>
      <c r="J976" s="6">
        <v>0</v>
      </c>
      <c r="K976" s="6">
        <v>0</v>
      </c>
      <c r="L976" s="6">
        <v>470.30399999999997</v>
      </c>
      <c r="M976" s="6">
        <v>470.30399999999997</v>
      </c>
      <c r="N976" s="6">
        <v>470.30399999999997</v>
      </c>
      <c r="O976" s="6">
        <v>470.30399999999997</v>
      </c>
      <c r="P976" s="6">
        <v>0</v>
      </c>
      <c r="Q976" s="4" t="s">
        <v>26</v>
      </c>
      <c r="R976" s="4">
        <v>0</v>
      </c>
      <c r="S976" s="4" t="s">
        <v>188</v>
      </c>
      <c r="T976" s="4" t="s">
        <v>433</v>
      </c>
      <c r="U976" s="4">
        <v>0</v>
      </c>
      <c r="V976" s="4">
        <v>19</v>
      </c>
      <c r="W976" s="4">
        <v>67</v>
      </c>
    </row>
    <row r="977" spans="1:23" ht="11.25" customHeight="1" x14ac:dyDescent="0.25">
      <c r="A977" s="4" t="s">
        <v>21</v>
      </c>
      <c r="B977" s="4" t="s">
        <v>35</v>
      </c>
      <c r="C977" s="4" t="s">
        <v>36</v>
      </c>
      <c r="D977" s="4" t="s">
        <v>42</v>
      </c>
      <c r="E977" s="4" t="s">
        <v>25</v>
      </c>
      <c r="F977" s="4" t="s">
        <v>25</v>
      </c>
      <c r="G977" s="4" t="s">
        <v>25</v>
      </c>
      <c r="H977" s="4" t="s">
        <v>38</v>
      </c>
      <c r="I977" s="5">
        <v>44166</v>
      </c>
      <c r="J977" s="6">
        <v>0</v>
      </c>
      <c r="K977" s="6">
        <v>0</v>
      </c>
      <c r="L977" s="6">
        <v>19935.892</v>
      </c>
      <c r="M977" s="6">
        <v>19935.892</v>
      </c>
      <c r="N977" s="6">
        <v>19935.892</v>
      </c>
      <c r="O977" s="6">
        <v>19935.892</v>
      </c>
      <c r="P977" s="6">
        <v>0</v>
      </c>
      <c r="Q977" s="4" t="s">
        <v>26</v>
      </c>
      <c r="R977" s="4">
        <v>0</v>
      </c>
      <c r="S977" s="4" t="s">
        <v>189</v>
      </c>
      <c r="T977" s="4" t="s">
        <v>434</v>
      </c>
      <c r="U977" s="4">
        <v>0</v>
      </c>
      <c r="V977" s="4">
        <v>19</v>
      </c>
      <c r="W977" s="4">
        <v>67</v>
      </c>
    </row>
    <row r="978" spans="1:23" ht="11.25" customHeight="1" x14ac:dyDescent="0.25">
      <c r="A978" s="4" t="s">
        <v>28</v>
      </c>
      <c r="B978" s="4" t="s">
        <v>35</v>
      </c>
      <c r="C978" s="4" t="s">
        <v>36</v>
      </c>
      <c r="D978" s="4" t="s">
        <v>42</v>
      </c>
      <c r="E978" s="4" t="s">
        <v>25</v>
      </c>
      <c r="F978" s="4" t="s">
        <v>25</v>
      </c>
      <c r="G978" s="4" t="s">
        <v>25</v>
      </c>
      <c r="H978" s="4" t="s">
        <v>38</v>
      </c>
      <c r="I978" s="5">
        <v>44166</v>
      </c>
      <c r="J978" s="6">
        <v>0</v>
      </c>
      <c r="K978" s="6">
        <v>0</v>
      </c>
      <c r="L978" s="6">
        <v>1960.7460000000001</v>
      </c>
      <c r="M978" s="6">
        <v>1960.7460000000001</v>
      </c>
      <c r="N978" s="6">
        <v>1960.7460000000001</v>
      </c>
      <c r="O978" s="6">
        <v>1960.7460000000001</v>
      </c>
      <c r="P978" s="6">
        <v>0</v>
      </c>
      <c r="Q978" s="4" t="s">
        <v>26</v>
      </c>
      <c r="R978" s="4">
        <v>0</v>
      </c>
      <c r="S978" s="4" t="s">
        <v>189</v>
      </c>
      <c r="T978" s="4" t="s">
        <v>434</v>
      </c>
      <c r="U978" s="4">
        <v>0</v>
      </c>
      <c r="V978" s="4">
        <v>19</v>
      </c>
      <c r="W978" s="4">
        <v>67</v>
      </c>
    </row>
    <row r="979" spans="1:23" ht="11.25" customHeight="1" x14ac:dyDescent="0.25">
      <c r="A979" s="4" t="s">
        <v>30</v>
      </c>
      <c r="B979" s="4" t="s">
        <v>35</v>
      </c>
      <c r="C979" s="4" t="s">
        <v>36</v>
      </c>
      <c r="D979" s="4" t="s">
        <v>42</v>
      </c>
      <c r="E979" s="4" t="s">
        <v>25</v>
      </c>
      <c r="F979" s="4" t="s">
        <v>25</v>
      </c>
      <c r="G979" s="4" t="s">
        <v>25</v>
      </c>
      <c r="H979" s="4" t="s">
        <v>38</v>
      </c>
      <c r="I979" s="5">
        <v>44166</v>
      </c>
      <c r="J979" s="6">
        <v>0</v>
      </c>
      <c r="K979" s="6">
        <v>0</v>
      </c>
      <c r="L979" s="6">
        <v>441.44499999999999</v>
      </c>
      <c r="M979" s="6">
        <v>441.44499999999999</v>
      </c>
      <c r="N979" s="6">
        <v>441.44499999999999</v>
      </c>
      <c r="O979" s="6">
        <v>441.44499999999999</v>
      </c>
      <c r="P979" s="6">
        <v>0</v>
      </c>
      <c r="Q979" s="4" t="s">
        <v>26</v>
      </c>
      <c r="R979" s="4">
        <v>0</v>
      </c>
      <c r="S979" s="4" t="s">
        <v>189</v>
      </c>
      <c r="T979" s="4" t="s">
        <v>434</v>
      </c>
      <c r="U979" s="4">
        <v>0</v>
      </c>
      <c r="V979" s="4">
        <v>19</v>
      </c>
      <c r="W979" s="4">
        <v>67</v>
      </c>
    </row>
    <row r="980" spans="1:23" ht="11.25" customHeight="1" x14ac:dyDescent="0.25">
      <c r="A980" s="4" t="s">
        <v>21</v>
      </c>
      <c r="B980" s="4" t="s">
        <v>35</v>
      </c>
      <c r="C980" s="4" t="s">
        <v>36</v>
      </c>
      <c r="D980" s="4" t="s">
        <v>42</v>
      </c>
      <c r="E980" s="4" t="s">
        <v>25</v>
      </c>
      <c r="F980" s="4" t="s">
        <v>25</v>
      </c>
      <c r="G980" s="4" t="s">
        <v>25</v>
      </c>
      <c r="H980" s="4" t="s">
        <v>38</v>
      </c>
      <c r="I980" s="5">
        <v>44197</v>
      </c>
      <c r="J980" s="6">
        <v>0</v>
      </c>
      <c r="K980" s="6">
        <v>0</v>
      </c>
      <c r="L980" s="6">
        <v>18655.61</v>
      </c>
      <c r="M980" s="6">
        <v>18655.61</v>
      </c>
      <c r="N980" s="6">
        <v>18655.61</v>
      </c>
      <c r="O980" s="6">
        <v>18655.61</v>
      </c>
      <c r="P980" s="6">
        <v>0</v>
      </c>
      <c r="Q980" s="4" t="s">
        <v>26</v>
      </c>
      <c r="R980" s="4">
        <v>0</v>
      </c>
      <c r="S980" s="4" t="s">
        <v>190</v>
      </c>
      <c r="T980" s="4" t="s">
        <v>435</v>
      </c>
      <c r="U980" s="4">
        <v>0</v>
      </c>
      <c r="V980" s="4">
        <v>19</v>
      </c>
      <c r="W980" s="4">
        <v>67</v>
      </c>
    </row>
    <row r="981" spans="1:23" ht="11.25" customHeight="1" x14ac:dyDescent="0.25">
      <c r="A981" s="4" t="s">
        <v>27</v>
      </c>
      <c r="B981" s="4" t="s">
        <v>35</v>
      </c>
      <c r="C981" s="4" t="s">
        <v>36</v>
      </c>
      <c r="D981" s="4" t="s">
        <v>42</v>
      </c>
      <c r="E981" s="4" t="s">
        <v>25</v>
      </c>
      <c r="F981" s="4" t="s">
        <v>25</v>
      </c>
      <c r="G981" s="4" t="s">
        <v>25</v>
      </c>
      <c r="H981" s="4" t="s">
        <v>38</v>
      </c>
      <c r="I981" s="5">
        <v>44197</v>
      </c>
      <c r="J981" s="6">
        <v>0</v>
      </c>
      <c r="K981" s="6">
        <v>0</v>
      </c>
      <c r="L981" s="6">
        <v>-40.768000000000001</v>
      </c>
      <c r="M981" s="6">
        <v>-40.768000000000001</v>
      </c>
      <c r="N981" s="6">
        <v>-40.768000000000001</v>
      </c>
      <c r="O981" s="6">
        <v>-40.768000000000001</v>
      </c>
      <c r="P981" s="6">
        <v>0</v>
      </c>
      <c r="Q981" s="4" t="s">
        <v>26</v>
      </c>
      <c r="R981" s="4">
        <v>0</v>
      </c>
      <c r="S981" s="4" t="s">
        <v>190</v>
      </c>
      <c r="T981" s="4" t="s">
        <v>435</v>
      </c>
      <c r="U981" s="4">
        <v>0</v>
      </c>
      <c r="V981" s="4">
        <v>19</v>
      </c>
      <c r="W981" s="4">
        <v>67</v>
      </c>
    </row>
    <row r="982" spans="1:23" ht="11.25" customHeight="1" x14ac:dyDescent="0.25">
      <c r="A982" s="4" t="s">
        <v>28</v>
      </c>
      <c r="B982" s="4" t="s">
        <v>35</v>
      </c>
      <c r="C982" s="4" t="s">
        <v>36</v>
      </c>
      <c r="D982" s="4" t="s">
        <v>42</v>
      </c>
      <c r="E982" s="4" t="s">
        <v>25</v>
      </c>
      <c r="F982" s="4" t="s">
        <v>25</v>
      </c>
      <c r="G982" s="4" t="s">
        <v>25</v>
      </c>
      <c r="H982" s="4" t="s">
        <v>38</v>
      </c>
      <c r="I982" s="5">
        <v>44197</v>
      </c>
      <c r="J982" s="6">
        <v>0</v>
      </c>
      <c r="K982" s="6">
        <v>0</v>
      </c>
      <c r="L982" s="6">
        <v>1792.346</v>
      </c>
      <c r="M982" s="6">
        <v>1792.346</v>
      </c>
      <c r="N982" s="6">
        <v>1792.346</v>
      </c>
      <c r="O982" s="6">
        <v>1792.346</v>
      </c>
      <c r="P982" s="6">
        <v>0</v>
      </c>
      <c r="Q982" s="4" t="s">
        <v>26</v>
      </c>
      <c r="R982" s="4">
        <v>0</v>
      </c>
      <c r="S982" s="4" t="s">
        <v>190</v>
      </c>
      <c r="T982" s="4" t="s">
        <v>435</v>
      </c>
      <c r="U982" s="4">
        <v>0</v>
      </c>
      <c r="V982" s="4">
        <v>19</v>
      </c>
      <c r="W982" s="4">
        <v>67</v>
      </c>
    </row>
    <row r="983" spans="1:23" ht="11.25" customHeight="1" x14ac:dyDescent="0.25">
      <c r="A983" s="4" t="s">
        <v>29</v>
      </c>
      <c r="B983" s="4" t="s">
        <v>35</v>
      </c>
      <c r="C983" s="4" t="s">
        <v>36</v>
      </c>
      <c r="D983" s="4" t="s">
        <v>42</v>
      </c>
      <c r="E983" s="4" t="s">
        <v>25</v>
      </c>
      <c r="F983" s="4" t="s">
        <v>25</v>
      </c>
      <c r="G983" s="4" t="s">
        <v>25</v>
      </c>
      <c r="H983" s="4" t="s">
        <v>38</v>
      </c>
      <c r="I983" s="5">
        <v>44197</v>
      </c>
      <c r="J983" s="6">
        <v>0</v>
      </c>
      <c r="K983" s="6">
        <v>0</v>
      </c>
      <c r="L983" s="6">
        <v>-89.811000000000007</v>
      </c>
      <c r="M983" s="6">
        <v>-89.811000000000007</v>
      </c>
      <c r="N983" s="6">
        <v>-89.811000000000007</v>
      </c>
      <c r="O983" s="6">
        <v>-89.811000000000007</v>
      </c>
      <c r="P983" s="6">
        <v>0</v>
      </c>
      <c r="Q983" s="4" t="s">
        <v>26</v>
      </c>
      <c r="R983" s="4">
        <v>0</v>
      </c>
      <c r="S983" s="4" t="s">
        <v>190</v>
      </c>
      <c r="T983" s="4" t="s">
        <v>435</v>
      </c>
      <c r="U983" s="4">
        <v>0</v>
      </c>
      <c r="V983" s="4">
        <v>19</v>
      </c>
      <c r="W983" s="4">
        <v>67</v>
      </c>
    </row>
    <row r="984" spans="1:23" ht="11.25" customHeight="1" x14ac:dyDescent="0.25">
      <c r="A984" s="4" t="s">
        <v>30</v>
      </c>
      <c r="B984" s="4" t="s">
        <v>35</v>
      </c>
      <c r="C984" s="4" t="s">
        <v>36</v>
      </c>
      <c r="D984" s="4" t="s">
        <v>42</v>
      </c>
      <c r="E984" s="4" t="s">
        <v>25</v>
      </c>
      <c r="F984" s="4" t="s">
        <v>25</v>
      </c>
      <c r="G984" s="4" t="s">
        <v>25</v>
      </c>
      <c r="H984" s="4" t="s">
        <v>38</v>
      </c>
      <c r="I984" s="5">
        <v>44197</v>
      </c>
      <c r="J984" s="6">
        <v>0</v>
      </c>
      <c r="K984" s="6">
        <v>0</v>
      </c>
      <c r="L984" s="6">
        <v>393.58699999999999</v>
      </c>
      <c r="M984" s="6">
        <v>393.58699999999999</v>
      </c>
      <c r="N984" s="6">
        <v>393.58699999999999</v>
      </c>
      <c r="O984" s="6">
        <v>393.58699999999999</v>
      </c>
      <c r="P984" s="6">
        <v>0</v>
      </c>
      <c r="Q984" s="4" t="s">
        <v>26</v>
      </c>
      <c r="R984" s="4">
        <v>0</v>
      </c>
      <c r="S984" s="4" t="s">
        <v>190</v>
      </c>
      <c r="T984" s="4" t="s">
        <v>435</v>
      </c>
      <c r="U984" s="4">
        <v>0</v>
      </c>
      <c r="V984" s="4">
        <v>19</v>
      </c>
      <c r="W984" s="4">
        <v>67</v>
      </c>
    </row>
    <row r="985" spans="1:23" ht="11.25" customHeight="1" x14ac:dyDescent="0.25">
      <c r="A985" s="4" t="s">
        <v>21</v>
      </c>
      <c r="B985" s="4" t="s">
        <v>35</v>
      </c>
      <c r="C985" s="4" t="s">
        <v>36</v>
      </c>
      <c r="D985" s="4" t="s">
        <v>42</v>
      </c>
      <c r="E985" s="4" t="s">
        <v>25</v>
      </c>
      <c r="F985" s="4" t="s">
        <v>25</v>
      </c>
      <c r="G985" s="4" t="s">
        <v>25</v>
      </c>
      <c r="H985" s="4" t="s">
        <v>38</v>
      </c>
      <c r="I985" s="5">
        <v>44228</v>
      </c>
      <c r="J985" s="6">
        <v>0</v>
      </c>
      <c r="K985" s="6">
        <v>0</v>
      </c>
      <c r="L985" s="6">
        <v>18739.04</v>
      </c>
      <c r="M985" s="6">
        <v>18739.04</v>
      </c>
      <c r="N985" s="6">
        <v>18739.04</v>
      </c>
      <c r="O985" s="6">
        <v>18739.04</v>
      </c>
      <c r="P985" s="6">
        <v>0</v>
      </c>
      <c r="Q985" s="4" t="s">
        <v>26</v>
      </c>
      <c r="R985" s="4">
        <v>0</v>
      </c>
      <c r="S985" s="4" t="s">
        <v>191</v>
      </c>
      <c r="T985" s="4" t="s">
        <v>436</v>
      </c>
      <c r="U985" s="4">
        <v>0</v>
      </c>
      <c r="V985" s="4">
        <v>19</v>
      </c>
      <c r="W985" s="4">
        <v>67</v>
      </c>
    </row>
    <row r="986" spans="1:23" ht="11.25" customHeight="1" x14ac:dyDescent="0.25">
      <c r="A986" s="4" t="s">
        <v>27</v>
      </c>
      <c r="B986" s="4" t="s">
        <v>35</v>
      </c>
      <c r="C986" s="4" t="s">
        <v>36</v>
      </c>
      <c r="D986" s="4" t="s">
        <v>42</v>
      </c>
      <c r="E986" s="4" t="s">
        <v>25</v>
      </c>
      <c r="F986" s="4" t="s">
        <v>25</v>
      </c>
      <c r="G986" s="4" t="s">
        <v>25</v>
      </c>
      <c r="H986" s="4" t="s">
        <v>38</v>
      </c>
      <c r="I986" s="5">
        <v>44228</v>
      </c>
      <c r="J986" s="6">
        <v>0</v>
      </c>
      <c r="K986" s="6">
        <v>0</v>
      </c>
      <c r="L986" s="6">
        <v>-721.37</v>
      </c>
      <c r="M986" s="6">
        <v>-721.37</v>
      </c>
      <c r="N986" s="6">
        <v>-721.37</v>
      </c>
      <c r="O986" s="6">
        <v>-721.37</v>
      </c>
      <c r="P986" s="6">
        <v>0</v>
      </c>
      <c r="Q986" s="4" t="s">
        <v>26</v>
      </c>
      <c r="R986" s="4">
        <v>0</v>
      </c>
      <c r="S986" s="4" t="s">
        <v>191</v>
      </c>
      <c r="T986" s="4" t="s">
        <v>436</v>
      </c>
      <c r="U986" s="4">
        <v>0</v>
      </c>
      <c r="V986" s="4">
        <v>19</v>
      </c>
      <c r="W986" s="4">
        <v>67</v>
      </c>
    </row>
    <row r="987" spans="1:23" ht="11.25" customHeight="1" x14ac:dyDescent="0.25">
      <c r="A987" s="4" t="s">
        <v>28</v>
      </c>
      <c r="B987" s="4" t="s">
        <v>35</v>
      </c>
      <c r="C987" s="4" t="s">
        <v>36</v>
      </c>
      <c r="D987" s="4" t="s">
        <v>42</v>
      </c>
      <c r="E987" s="4" t="s">
        <v>25</v>
      </c>
      <c r="F987" s="4" t="s">
        <v>25</v>
      </c>
      <c r="G987" s="4" t="s">
        <v>25</v>
      </c>
      <c r="H987" s="4" t="s">
        <v>38</v>
      </c>
      <c r="I987" s="5">
        <v>44228</v>
      </c>
      <c r="J987" s="6">
        <v>0</v>
      </c>
      <c r="K987" s="6">
        <v>0</v>
      </c>
      <c r="L987" s="6">
        <v>1665.7329999999999</v>
      </c>
      <c r="M987" s="6">
        <v>1665.7329999999999</v>
      </c>
      <c r="N987" s="6">
        <v>1665.7329999999999</v>
      </c>
      <c r="O987" s="6">
        <v>1665.7329999999999</v>
      </c>
      <c r="P987" s="6">
        <v>0</v>
      </c>
      <c r="Q987" s="4" t="s">
        <v>26</v>
      </c>
      <c r="R987" s="4">
        <v>0</v>
      </c>
      <c r="S987" s="4" t="s">
        <v>191</v>
      </c>
      <c r="T987" s="4" t="s">
        <v>436</v>
      </c>
      <c r="U987" s="4">
        <v>0</v>
      </c>
      <c r="V987" s="4">
        <v>19</v>
      </c>
      <c r="W987" s="4">
        <v>67</v>
      </c>
    </row>
    <row r="988" spans="1:23" ht="11.25" customHeight="1" x14ac:dyDescent="0.25">
      <c r="A988" s="4" t="s">
        <v>30</v>
      </c>
      <c r="B988" s="4" t="s">
        <v>35</v>
      </c>
      <c r="C988" s="4" t="s">
        <v>36</v>
      </c>
      <c r="D988" s="4" t="s">
        <v>42</v>
      </c>
      <c r="E988" s="4" t="s">
        <v>25</v>
      </c>
      <c r="F988" s="4" t="s">
        <v>25</v>
      </c>
      <c r="G988" s="4" t="s">
        <v>25</v>
      </c>
      <c r="H988" s="4" t="s">
        <v>38</v>
      </c>
      <c r="I988" s="5">
        <v>44228</v>
      </c>
      <c r="J988" s="6">
        <v>0</v>
      </c>
      <c r="K988" s="6">
        <v>0</v>
      </c>
      <c r="L988" s="6">
        <v>418.28300000000002</v>
      </c>
      <c r="M988" s="6">
        <v>418.28300000000002</v>
      </c>
      <c r="N988" s="6">
        <v>418.28300000000002</v>
      </c>
      <c r="O988" s="6">
        <v>418.28300000000002</v>
      </c>
      <c r="P988" s="6">
        <v>0</v>
      </c>
      <c r="Q988" s="4" t="s">
        <v>26</v>
      </c>
      <c r="R988" s="4">
        <v>0</v>
      </c>
      <c r="S988" s="4" t="s">
        <v>191</v>
      </c>
      <c r="T988" s="4" t="s">
        <v>436</v>
      </c>
      <c r="U988" s="4">
        <v>0</v>
      </c>
      <c r="V988" s="4">
        <v>19</v>
      </c>
      <c r="W988" s="4">
        <v>67</v>
      </c>
    </row>
    <row r="989" spans="1:23" ht="11.25" customHeight="1" x14ac:dyDescent="0.25">
      <c r="A989" s="4" t="s">
        <v>21</v>
      </c>
      <c r="B989" s="4" t="s">
        <v>35</v>
      </c>
      <c r="C989" s="4" t="s">
        <v>36</v>
      </c>
      <c r="D989" s="4" t="s">
        <v>42</v>
      </c>
      <c r="E989" s="4" t="s">
        <v>25</v>
      </c>
      <c r="F989" s="4" t="s">
        <v>25</v>
      </c>
      <c r="G989" s="4" t="s">
        <v>25</v>
      </c>
      <c r="H989" s="4" t="s">
        <v>38</v>
      </c>
      <c r="I989" s="5">
        <v>44256</v>
      </c>
      <c r="J989" s="6">
        <v>0</v>
      </c>
      <c r="K989" s="6">
        <v>0</v>
      </c>
      <c r="L989" s="6">
        <v>21912.107</v>
      </c>
      <c r="M989" s="6">
        <v>21912.107</v>
      </c>
      <c r="N989" s="6">
        <v>21912.107</v>
      </c>
      <c r="O989" s="6">
        <v>21912.107</v>
      </c>
      <c r="P989" s="6">
        <v>0</v>
      </c>
      <c r="Q989" s="4" t="s">
        <v>26</v>
      </c>
      <c r="R989" s="4">
        <v>0</v>
      </c>
      <c r="S989" s="4" t="s">
        <v>192</v>
      </c>
      <c r="T989" s="4" t="s">
        <v>437</v>
      </c>
      <c r="U989" s="4">
        <v>0</v>
      </c>
      <c r="V989" s="4">
        <v>19</v>
      </c>
      <c r="W989" s="4">
        <v>67</v>
      </c>
    </row>
    <row r="990" spans="1:23" ht="11.25" customHeight="1" x14ac:dyDescent="0.25">
      <c r="A990" s="4" t="s">
        <v>27</v>
      </c>
      <c r="B990" s="4" t="s">
        <v>35</v>
      </c>
      <c r="C990" s="4" t="s">
        <v>36</v>
      </c>
      <c r="D990" s="4" t="s">
        <v>42</v>
      </c>
      <c r="E990" s="4" t="s">
        <v>25</v>
      </c>
      <c r="F990" s="4" t="s">
        <v>25</v>
      </c>
      <c r="G990" s="4" t="s">
        <v>25</v>
      </c>
      <c r="H990" s="4" t="s">
        <v>38</v>
      </c>
      <c r="I990" s="5">
        <v>44256</v>
      </c>
      <c r="J990" s="6">
        <v>0</v>
      </c>
      <c r="K990" s="6">
        <v>0</v>
      </c>
      <c r="L990" s="6">
        <v>-598.60599999999999</v>
      </c>
      <c r="M990" s="6">
        <v>-598.60599999999999</v>
      </c>
      <c r="N990" s="6">
        <v>-598.60599999999999</v>
      </c>
      <c r="O990" s="6">
        <v>-598.60599999999999</v>
      </c>
      <c r="P990" s="6">
        <v>0</v>
      </c>
      <c r="Q990" s="4" t="s">
        <v>26</v>
      </c>
      <c r="R990" s="4">
        <v>0</v>
      </c>
      <c r="S990" s="4" t="s">
        <v>192</v>
      </c>
      <c r="T990" s="4" t="s">
        <v>437</v>
      </c>
      <c r="U990" s="4">
        <v>0</v>
      </c>
      <c r="V990" s="4">
        <v>19</v>
      </c>
      <c r="W990" s="4">
        <v>67</v>
      </c>
    </row>
    <row r="991" spans="1:23" ht="11.25" customHeight="1" x14ac:dyDescent="0.25">
      <c r="A991" s="4" t="s">
        <v>28</v>
      </c>
      <c r="B991" s="4" t="s">
        <v>35</v>
      </c>
      <c r="C991" s="4" t="s">
        <v>36</v>
      </c>
      <c r="D991" s="4" t="s">
        <v>42</v>
      </c>
      <c r="E991" s="4" t="s">
        <v>25</v>
      </c>
      <c r="F991" s="4" t="s">
        <v>25</v>
      </c>
      <c r="G991" s="4" t="s">
        <v>25</v>
      </c>
      <c r="H991" s="4" t="s">
        <v>38</v>
      </c>
      <c r="I991" s="5">
        <v>44256</v>
      </c>
      <c r="J991" s="6">
        <v>0</v>
      </c>
      <c r="K991" s="6">
        <v>0</v>
      </c>
      <c r="L991" s="6">
        <v>1907.5360000000001</v>
      </c>
      <c r="M991" s="6">
        <v>1907.5360000000001</v>
      </c>
      <c r="N991" s="6">
        <v>1907.5360000000001</v>
      </c>
      <c r="O991" s="6">
        <v>1907.5360000000001</v>
      </c>
      <c r="P991" s="6">
        <v>0</v>
      </c>
      <c r="Q991" s="4" t="s">
        <v>26</v>
      </c>
      <c r="R991" s="4">
        <v>0</v>
      </c>
      <c r="S991" s="4" t="s">
        <v>192</v>
      </c>
      <c r="T991" s="4" t="s">
        <v>437</v>
      </c>
      <c r="U991" s="4">
        <v>0</v>
      </c>
      <c r="V991" s="4">
        <v>19</v>
      </c>
      <c r="W991" s="4">
        <v>67</v>
      </c>
    </row>
    <row r="992" spans="1:23" ht="11.25" customHeight="1" x14ac:dyDescent="0.25">
      <c r="A992" s="4" t="s">
        <v>30</v>
      </c>
      <c r="B992" s="4" t="s">
        <v>35</v>
      </c>
      <c r="C992" s="4" t="s">
        <v>36</v>
      </c>
      <c r="D992" s="4" t="s">
        <v>42</v>
      </c>
      <c r="E992" s="4" t="s">
        <v>25</v>
      </c>
      <c r="F992" s="4" t="s">
        <v>25</v>
      </c>
      <c r="G992" s="4" t="s">
        <v>25</v>
      </c>
      <c r="H992" s="4" t="s">
        <v>38</v>
      </c>
      <c r="I992" s="5">
        <v>44256</v>
      </c>
      <c r="J992" s="6">
        <v>0</v>
      </c>
      <c r="K992" s="6">
        <v>0</v>
      </c>
      <c r="L992" s="6">
        <v>499.84500000000003</v>
      </c>
      <c r="M992" s="6">
        <v>499.84500000000003</v>
      </c>
      <c r="N992" s="6">
        <v>499.84500000000003</v>
      </c>
      <c r="O992" s="6">
        <v>499.84500000000003</v>
      </c>
      <c r="P992" s="6">
        <v>0</v>
      </c>
      <c r="Q992" s="4" t="s">
        <v>26</v>
      </c>
      <c r="R992" s="4">
        <v>0</v>
      </c>
      <c r="S992" s="4" t="s">
        <v>192</v>
      </c>
      <c r="T992" s="4" t="s">
        <v>437</v>
      </c>
      <c r="U992" s="4">
        <v>0</v>
      </c>
      <c r="V992" s="4">
        <v>19</v>
      </c>
      <c r="W992" s="4">
        <v>67</v>
      </c>
    </row>
    <row r="993" spans="1:23" ht="11.25" customHeight="1" x14ac:dyDescent="0.25">
      <c r="A993" s="4" t="s">
        <v>21</v>
      </c>
      <c r="B993" s="4" t="s">
        <v>35</v>
      </c>
      <c r="C993" s="4" t="s">
        <v>36</v>
      </c>
      <c r="D993" s="4" t="s">
        <v>42</v>
      </c>
      <c r="E993" s="4" t="s">
        <v>25</v>
      </c>
      <c r="F993" s="4" t="s">
        <v>25</v>
      </c>
      <c r="G993" s="4" t="s">
        <v>25</v>
      </c>
      <c r="H993" s="4" t="s">
        <v>38</v>
      </c>
      <c r="I993" s="5">
        <v>44287</v>
      </c>
      <c r="J993" s="6">
        <v>0</v>
      </c>
      <c r="K993" s="6">
        <v>0</v>
      </c>
      <c r="L993" s="6">
        <v>20272.514999999999</v>
      </c>
      <c r="M993" s="6">
        <v>20272.514999999999</v>
      </c>
      <c r="N993" s="6">
        <v>20272.514999999999</v>
      </c>
      <c r="O993" s="6">
        <v>20272.514999999999</v>
      </c>
      <c r="P993" s="6">
        <v>0</v>
      </c>
      <c r="Q993" s="4" t="s">
        <v>26</v>
      </c>
      <c r="R993" s="4">
        <v>0</v>
      </c>
      <c r="S993" s="4" t="s">
        <v>193</v>
      </c>
      <c r="T993" s="4" t="s">
        <v>438</v>
      </c>
      <c r="U993" s="4">
        <v>0</v>
      </c>
      <c r="V993" s="4">
        <v>19</v>
      </c>
      <c r="W993" s="4">
        <v>67</v>
      </c>
    </row>
    <row r="994" spans="1:23" ht="11.25" customHeight="1" x14ac:dyDescent="0.25">
      <c r="A994" s="4" t="s">
        <v>27</v>
      </c>
      <c r="B994" s="4" t="s">
        <v>35</v>
      </c>
      <c r="C994" s="4" t="s">
        <v>36</v>
      </c>
      <c r="D994" s="4" t="s">
        <v>42</v>
      </c>
      <c r="E994" s="4" t="s">
        <v>25</v>
      </c>
      <c r="F994" s="4" t="s">
        <v>25</v>
      </c>
      <c r="G994" s="4" t="s">
        <v>25</v>
      </c>
      <c r="H994" s="4" t="s">
        <v>38</v>
      </c>
      <c r="I994" s="5">
        <v>44287</v>
      </c>
      <c r="J994" s="6">
        <v>0</v>
      </c>
      <c r="K994" s="6">
        <v>0</v>
      </c>
      <c r="L994" s="6">
        <v>-16.161999999999999</v>
      </c>
      <c r="M994" s="6">
        <v>-16.161999999999999</v>
      </c>
      <c r="N994" s="6">
        <v>-16.161999999999999</v>
      </c>
      <c r="O994" s="6">
        <v>-16.161999999999999</v>
      </c>
      <c r="P994" s="6">
        <v>0</v>
      </c>
      <c r="Q994" s="4" t="s">
        <v>26</v>
      </c>
      <c r="R994" s="4">
        <v>0</v>
      </c>
      <c r="S994" s="4" t="s">
        <v>193</v>
      </c>
      <c r="T994" s="4" t="s">
        <v>438</v>
      </c>
      <c r="U994" s="4">
        <v>0</v>
      </c>
      <c r="V994" s="4">
        <v>19</v>
      </c>
      <c r="W994" s="4">
        <v>67</v>
      </c>
    </row>
    <row r="995" spans="1:23" ht="11.25" customHeight="1" x14ac:dyDescent="0.25">
      <c r="A995" s="4" t="s">
        <v>28</v>
      </c>
      <c r="B995" s="4" t="s">
        <v>35</v>
      </c>
      <c r="C995" s="4" t="s">
        <v>36</v>
      </c>
      <c r="D995" s="4" t="s">
        <v>42</v>
      </c>
      <c r="E995" s="4" t="s">
        <v>25</v>
      </c>
      <c r="F995" s="4" t="s">
        <v>25</v>
      </c>
      <c r="G995" s="4" t="s">
        <v>25</v>
      </c>
      <c r="H995" s="4" t="s">
        <v>38</v>
      </c>
      <c r="I995" s="5">
        <v>44287</v>
      </c>
      <c r="J995" s="6">
        <v>0</v>
      </c>
      <c r="K995" s="6">
        <v>0</v>
      </c>
      <c r="L995" s="6">
        <v>2100.3609999999999</v>
      </c>
      <c r="M995" s="6">
        <v>2100.3609999999999</v>
      </c>
      <c r="N995" s="6">
        <v>2100.3609999999999</v>
      </c>
      <c r="O995" s="6">
        <v>2100.3609999999999</v>
      </c>
      <c r="P995" s="6">
        <v>0</v>
      </c>
      <c r="Q995" s="4" t="s">
        <v>26</v>
      </c>
      <c r="R995" s="4">
        <v>0</v>
      </c>
      <c r="S995" s="4" t="s">
        <v>193</v>
      </c>
      <c r="T995" s="4" t="s">
        <v>438</v>
      </c>
      <c r="U995" s="4">
        <v>0</v>
      </c>
      <c r="V995" s="4">
        <v>19</v>
      </c>
      <c r="W995" s="4">
        <v>67</v>
      </c>
    </row>
    <row r="996" spans="1:23" ht="11.25" customHeight="1" x14ac:dyDescent="0.25">
      <c r="A996" s="4" t="s">
        <v>29</v>
      </c>
      <c r="B996" s="4" t="s">
        <v>35</v>
      </c>
      <c r="C996" s="4" t="s">
        <v>36</v>
      </c>
      <c r="D996" s="4" t="s">
        <v>42</v>
      </c>
      <c r="E996" s="4" t="s">
        <v>25</v>
      </c>
      <c r="F996" s="4" t="s">
        <v>25</v>
      </c>
      <c r="G996" s="4" t="s">
        <v>25</v>
      </c>
      <c r="H996" s="4" t="s">
        <v>38</v>
      </c>
      <c r="I996" s="5">
        <v>44287</v>
      </c>
      <c r="J996" s="6">
        <v>0</v>
      </c>
      <c r="K996" s="6">
        <v>0</v>
      </c>
      <c r="L996" s="6">
        <v>-217.69800000000001</v>
      </c>
      <c r="M996" s="6">
        <v>-217.69800000000001</v>
      </c>
      <c r="N996" s="6">
        <v>-217.69800000000001</v>
      </c>
      <c r="O996" s="6">
        <v>-217.69800000000001</v>
      </c>
      <c r="P996" s="6">
        <v>0</v>
      </c>
      <c r="Q996" s="4" t="s">
        <v>26</v>
      </c>
      <c r="R996" s="4">
        <v>0</v>
      </c>
      <c r="S996" s="4" t="s">
        <v>193</v>
      </c>
      <c r="T996" s="4" t="s">
        <v>438</v>
      </c>
      <c r="U996" s="4">
        <v>0</v>
      </c>
      <c r="V996" s="4">
        <v>19</v>
      </c>
      <c r="W996" s="4">
        <v>67</v>
      </c>
    </row>
    <row r="997" spans="1:23" ht="11.25" customHeight="1" x14ac:dyDescent="0.25">
      <c r="A997" s="4" t="s">
        <v>30</v>
      </c>
      <c r="B997" s="4" t="s">
        <v>35</v>
      </c>
      <c r="C997" s="4" t="s">
        <v>36</v>
      </c>
      <c r="D997" s="4" t="s">
        <v>42</v>
      </c>
      <c r="E997" s="4" t="s">
        <v>25</v>
      </c>
      <c r="F997" s="4" t="s">
        <v>25</v>
      </c>
      <c r="G997" s="4" t="s">
        <v>25</v>
      </c>
      <c r="H997" s="4" t="s">
        <v>38</v>
      </c>
      <c r="I997" s="5">
        <v>44287</v>
      </c>
      <c r="J997" s="6">
        <v>0</v>
      </c>
      <c r="K997" s="6">
        <v>0</v>
      </c>
      <c r="L997" s="6">
        <v>648.23699999999997</v>
      </c>
      <c r="M997" s="6">
        <v>648.23699999999997</v>
      </c>
      <c r="N997" s="6">
        <v>648.23699999999997</v>
      </c>
      <c r="O997" s="6">
        <v>648.23699999999997</v>
      </c>
      <c r="P997" s="6">
        <v>0</v>
      </c>
      <c r="Q997" s="4" t="s">
        <v>26</v>
      </c>
      <c r="R997" s="4">
        <v>0</v>
      </c>
      <c r="S997" s="4" t="s">
        <v>193</v>
      </c>
      <c r="T997" s="4" t="s">
        <v>438</v>
      </c>
      <c r="U997" s="4">
        <v>0</v>
      </c>
      <c r="V997" s="4">
        <v>19</v>
      </c>
      <c r="W997" s="4">
        <v>67</v>
      </c>
    </row>
    <row r="998" spans="1:23" ht="11.25" customHeight="1" x14ac:dyDescent="0.25">
      <c r="A998" s="4" t="s">
        <v>21</v>
      </c>
      <c r="B998" s="4" t="s">
        <v>35</v>
      </c>
      <c r="C998" s="4" t="s">
        <v>36</v>
      </c>
      <c r="D998" s="4" t="s">
        <v>42</v>
      </c>
      <c r="E998" s="4" t="s">
        <v>25</v>
      </c>
      <c r="F998" s="4" t="s">
        <v>25</v>
      </c>
      <c r="G998" s="4" t="s">
        <v>25</v>
      </c>
      <c r="H998" s="4" t="s">
        <v>38</v>
      </c>
      <c r="I998" s="5">
        <v>44317</v>
      </c>
      <c r="J998" s="6">
        <v>0</v>
      </c>
      <c r="K998" s="6">
        <v>0</v>
      </c>
      <c r="L998" s="6">
        <v>20632.148000000001</v>
      </c>
      <c r="M998" s="6">
        <v>20632.148000000001</v>
      </c>
      <c r="N998" s="6">
        <v>20632.148000000001</v>
      </c>
      <c r="O998" s="6">
        <v>20632.148000000001</v>
      </c>
      <c r="P998" s="6">
        <v>0</v>
      </c>
      <c r="Q998" s="4" t="s">
        <v>26</v>
      </c>
      <c r="R998" s="4">
        <v>0</v>
      </c>
      <c r="S998" s="4" t="s">
        <v>194</v>
      </c>
      <c r="T998" s="4" t="s">
        <v>439</v>
      </c>
      <c r="U998" s="4">
        <v>0</v>
      </c>
      <c r="V998" s="4">
        <v>19</v>
      </c>
      <c r="W998" s="4">
        <v>67</v>
      </c>
    </row>
    <row r="999" spans="1:23" ht="11.25" customHeight="1" x14ac:dyDescent="0.25">
      <c r="A999" s="4" t="s">
        <v>27</v>
      </c>
      <c r="B999" s="4" t="s">
        <v>35</v>
      </c>
      <c r="C999" s="4" t="s">
        <v>36</v>
      </c>
      <c r="D999" s="4" t="s">
        <v>42</v>
      </c>
      <c r="E999" s="4" t="s">
        <v>25</v>
      </c>
      <c r="F999" s="4" t="s">
        <v>25</v>
      </c>
      <c r="G999" s="4" t="s">
        <v>25</v>
      </c>
      <c r="H999" s="4" t="s">
        <v>38</v>
      </c>
      <c r="I999" s="5">
        <v>44317</v>
      </c>
      <c r="J999" s="6">
        <v>0</v>
      </c>
      <c r="K999" s="6">
        <v>0</v>
      </c>
      <c r="L999" s="6">
        <v>-747.39</v>
      </c>
      <c r="M999" s="6">
        <v>-747.39</v>
      </c>
      <c r="N999" s="6">
        <v>-747.39</v>
      </c>
      <c r="O999" s="6">
        <v>-747.39</v>
      </c>
      <c r="P999" s="6">
        <v>0</v>
      </c>
      <c r="Q999" s="4" t="s">
        <v>26</v>
      </c>
      <c r="R999" s="4">
        <v>0</v>
      </c>
      <c r="S999" s="4" t="s">
        <v>194</v>
      </c>
      <c r="T999" s="4" t="s">
        <v>439</v>
      </c>
      <c r="U999" s="4">
        <v>0</v>
      </c>
      <c r="V999" s="4">
        <v>19</v>
      </c>
      <c r="W999" s="4">
        <v>67</v>
      </c>
    </row>
    <row r="1000" spans="1:23" ht="11.25" customHeight="1" x14ac:dyDescent="0.25">
      <c r="A1000" s="4" t="s">
        <v>28</v>
      </c>
      <c r="B1000" s="4" t="s">
        <v>35</v>
      </c>
      <c r="C1000" s="4" t="s">
        <v>36</v>
      </c>
      <c r="D1000" s="4" t="s">
        <v>42</v>
      </c>
      <c r="E1000" s="4" t="s">
        <v>25</v>
      </c>
      <c r="F1000" s="4" t="s">
        <v>25</v>
      </c>
      <c r="G1000" s="4" t="s">
        <v>25</v>
      </c>
      <c r="H1000" s="4" t="s">
        <v>38</v>
      </c>
      <c r="I1000" s="5">
        <v>44317</v>
      </c>
      <c r="J1000" s="6">
        <v>0</v>
      </c>
      <c r="K1000" s="6">
        <v>0</v>
      </c>
      <c r="L1000" s="6">
        <v>2120.6309999999999</v>
      </c>
      <c r="M1000" s="6">
        <v>2120.6309999999999</v>
      </c>
      <c r="N1000" s="6">
        <v>2120.6309999999999</v>
      </c>
      <c r="O1000" s="6">
        <v>2120.6309999999999</v>
      </c>
      <c r="P1000" s="6">
        <v>0</v>
      </c>
      <c r="Q1000" s="4" t="s">
        <v>26</v>
      </c>
      <c r="R1000" s="4">
        <v>0</v>
      </c>
      <c r="S1000" s="4" t="s">
        <v>194</v>
      </c>
      <c r="T1000" s="4" t="s">
        <v>439</v>
      </c>
      <c r="U1000" s="4">
        <v>0</v>
      </c>
      <c r="V1000" s="4">
        <v>19</v>
      </c>
      <c r="W1000" s="4">
        <v>67</v>
      </c>
    </row>
    <row r="1001" spans="1:23" ht="11.25" customHeight="1" x14ac:dyDescent="0.25">
      <c r="A1001" s="4" t="s">
        <v>29</v>
      </c>
      <c r="B1001" s="4" t="s">
        <v>35</v>
      </c>
      <c r="C1001" s="4" t="s">
        <v>36</v>
      </c>
      <c r="D1001" s="4" t="s">
        <v>42</v>
      </c>
      <c r="E1001" s="4" t="s">
        <v>25</v>
      </c>
      <c r="F1001" s="4" t="s">
        <v>25</v>
      </c>
      <c r="G1001" s="4" t="s">
        <v>25</v>
      </c>
      <c r="H1001" s="4" t="s">
        <v>38</v>
      </c>
      <c r="I1001" s="5">
        <v>44317</v>
      </c>
      <c r="J1001" s="6">
        <v>0</v>
      </c>
      <c r="K1001" s="6">
        <v>0</v>
      </c>
      <c r="L1001" s="6">
        <v>-201.69900000000001</v>
      </c>
      <c r="M1001" s="6">
        <v>-201.69900000000001</v>
      </c>
      <c r="N1001" s="6">
        <v>-201.69900000000001</v>
      </c>
      <c r="O1001" s="6">
        <v>-201.69900000000001</v>
      </c>
      <c r="P1001" s="6">
        <v>0</v>
      </c>
      <c r="Q1001" s="4" t="s">
        <v>26</v>
      </c>
      <c r="R1001" s="4">
        <v>0</v>
      </c>
      <c r="S1001" s="4" t="s">
        <v>194</v>
      </c>
      <c r="T1001" s="4" t="s">
        <v>439</v>
      </c>
      <c r="U1001" s="4">
        <v>0</v>
      </c>
      <c r="V1001" s="4">
        <v>19</v>
      </c>
      <c r="W1001" s="4">
        <v>67</v>
      </c>
    </row>
    <row r="1002" spans="1:23" ht="11.25" customHeight="1" x14ac:dyDescent="0.25">
      <c r="A1002" s="4" t="s">
        <v>30</v>
      </c>
      <c r="B1002" s="4" t="s">
        <v>35</v>
      </c>
      <c r="C1002" s="4" t="s">
        <v>36</v>
      </c>
      <c r="D1002" s="4" t="s">
        <v>42</v>
      </c>
      <c r="E1002" s="4" t="s">
        <v>25</v>
      </c>
      <c r="F1002" s="4" t="s">
        <v>25</v>
      </c>
      <c r="G1002" s="4" t="s">
        <v>25</v>
      </c>
      <c r="H1002" s="4" t="s">
        <v>38</v>
      </c>
      <c r="I1002" s="5">
        <v>44317</v>
      </c>
      <c r="J1002" s="6">
        <v>0</v>
      </c>
      <c r="K1002" s="6">
        <v>0</v>
      </c>
      <c r="L1002" s="6">
        <v>668.11699999999996</v>
      </c>
      <c r="M1002" s="6">
        <v>668.11699999999996</v>
      </c>
      <c r="N1002" s="6">
        <v>668.11699999999996</v>
      </c>
      <c r="O1002" s="6">
        <v>668.11699999999996</v>
      </c>
      <c r="P1002" s="6">
        <v>0</v>
      </c>
      <c r="Q1002" s="4" t="s">
        <v>26</v>
      </c>
      <c r="R1002" s="4">
        <v>0</v>
      </c>
      <c r="S1002" s="4" t="s">
        <v>194</v>
      </c>
      <c r="T1002" s="4" t="s">
        <v>439</v>
      </c>
      <c r="U1002" s="4">
        <v>0</v>
      </c>
      <c r="V1002" s="4">
        <v>19</v>
      </c>
      <c r="W1002" s="4">
        <v>67</v>
      </c>
    </row>
    <row r="1003" spans="1:23" ht="11.25" customHeight="1" x14ac:dyDescent="0.25">
      <c r="A1003" s="4" t="s">
        <v>21</v>
      </c>
      <c r="B1003" s="4" t="s">
        <v>35</v>
      </c>
      <c r="C1003" s="4" t="s">
        <v>36</v>
      </c>
      <c r="D1003" s="4" t="s">
        <v>42</v>
      </c>
      <c r="E1003" s="4" t="s">
        <v>25</v>
      </c>
      <c r="F1003" s="4" t="s">
        <v>25</v>
      </c>
      <c r="G1003" s="4" t="s">
        <v>25</v>
      </c>
      <c r="H1003" s="4" t="s">
        <v>38</v>
      </c>
      <c r="I1003" s="5">
        <v>44317</v>
      </c>
      <c r="J1003" s="6">
        <v>0</v>
      </c>
      <c r="K1003" s="6">
        <v>0</v>
      </c>
      <c r="L1003" s="6">
        <v>47.298999999999999</v>
      </c>
      <c r="M1003" s="6">
        <v>47.298999999999999</v>
      </c>
      <c r="N1003" s="6">
        <v>0</v>
      </c>
      <c r="O1003" s="6">
        <v>0</v>
      </c>
      <c r="P1003" s="6">
        <v>0</v>
      </c>
      <c r="Q1003" s="4" t="s">
        <v>60</v>
      </c>
      <c r="R1003" s="4">
        <v>0</v>
      </c>
      <c r="S1003" s="4" t="s">
        <v>194</v>
      </c>
      <c r="U1003" s="4">
        <v>0</v>
      </c>
      <c r="V1003" s="4">
        <v>19</v>
      </c>
      <c r="W1003" s="4">
        <v>0</v>
      </c>
    </row>
    <row r="1004" spans="1:23" ht="11.25" customHeight="1" x14ac:dyDescent="0.25">
      <c r="A1004" s="4" t="s">
        <v>21</v>
      </c>
      <c r="B1004" s="4" t="s">
        <v>35</v>
      </c>
      <c r="C1004" s="4" t="s">
        <v>36</v>
      </c>
      <c r="D1004" s="4" t="s">
        <v>42</v>
      </c>
      <c r="E1004" s="4" t="s">
        <v>25</v>
      </c>
      <c r="F1004" s="4" t="s">
        <v>25</v>
      </c>
      <c r="G1004" s="4" t="s">
        <v>25</v>
      </c>
      <c r="H1004" s="4" t="s">
        <v>38</v>
      </c>
      <c r="I1004" s="5">
        <v>44348</v>
      </c>
      <c r="J1004" s="6">
        <v>0</v>
      </c>
      <c r="K1004" s="6">
        <v>0</v>
      </c>
      <c r="L1004" s="6">
        <v>20769.954000000002</v>
      </c>
      <c r="M1004" s="6">
        <v>20769.954000000002</v>
      </c>
      <c r="N1004" s="6">
        <v>20769.954000000002</v>
      </c>
      <c r="O1004" s="6">
        <v>20769.954000000002</v>
      </c>
      <c r="P1004" s="6">
        <v>0</v>
      </c>
      <c r="Q1004" s="4" t="s">
        <v>26</v>
      </c>
      <c r="R1004" s="4">
        <v>0</v>
      </c>
      <c r="S1004" s="4" t="s">
        <v>195</v>
      </c>
      <c r="T1004" s="4" t="s">
        <v>440</v>
      </c>
      <c r="U1004" s="4">
        <v>0</v>
      </c>
      <c r="V1004" s="4">
        <v>19</v>
      </c>
      <c r="W1004" s="4">
        <v>67</v>
      </c>
    </row>
    <row r="1005" spans="1:23" ht="11.25" customHeight="1" x14ac:dyDescent="0.25">
      <c r="A1005" s="4" t="s">
        <v>27</v>
      </c>
      <c r="B1005" s="4" t="s">
        <v>35</v>
      </c>
      <c r="C1005" s="4" t="s">
        <v>36</v>
      </c>
      <c r="D1005" s="4" t="s">
        <v>42</v>
      </c>
      <c r="E1005" s="4" t="s">
        <v>25</v>
      </c>
      <c r="F1005" s="4" t="s">
        <v>25</v>
      </c>
      <c r="G1005" s="4" t="s">
        <v>25</v>
      </c>
      <c r="H1005" s="4" t="s">
        <v>38</v>
      </c>
      <c r="I1005" s="5">
        <v>44348</v>
      </c>
      <c r="J1005" s="6">
        <v>0</v>
      </c>
      <c r="K1005" s="6">
        <v>0</v>
      </c>
      <c r="L1005" s="6">
        <v>142.99199999999999</v>
      </c>
      <c r="M1005" s="6">
        <v>142.99199999999999</v>
      </c>
      <c r="N1005" s="6">
        <v>142.99199999999999</v>
      </c>
      <c r="O1005" s="6">
        <v>142.99199999999999</v>
      </c>
      <c r="P1005" s="6">
        <v>0</v>
      </c>
      <c r="Q1005" s="4" t="s">
        <v>26</v>
      </c>
      <c r="R1005" s="4">
        <v>0</v>
      </c>
      <c r="S1005" s="4" t="s">
        <v>195</v>
      </c>
      <c r="T1005" s="4" t="s">
        <v>440</v>
      </c>
      <c r="U1005" s="4">
        <v>0</v>
      </c>
      <c r="V1005" s="4">
        <v>19</v>
      </c>
      <c r="W1005" s="4">
        <v>67</v>
      </c>
    </row>
    <row r="1006" spans="1:23" ht="11.25" customHeight="1" x14ac:dyDescent="0.25">
      <c r="A1006" s="4" t="s">
        <v>28</v>
      </c>
      <c r="B1006" s="4" t="s">
        <v>35</v>
      </c>
      <c r="C1006" s="4" t="s">
        <v>36</v>
      </c>
      <c r="D1006" s="4" t="s">
        <v>42</v>
      </c>
      <c r="E1006" s="4" t="s">
        <v>25</v>
      </c>
      <c r="F1006" s="4" t="s">
        <v>25</v>
      </c>
      <c r="G1006" s="4" t="s">
        <v>25</v>
      </c>
      <c r="H1006" s="4" t="s">
        <v>38</v>
      </c>
      <c r="I1006" s="5">
        <v>44348</v>
      </c>
      <c r="J1006" s="6">
        <v>0</v>
      </c>
      <c r="K1006" s="6">
        <v>0</v>
      </c>
      <c r="L1006" s="6">
        <v>1769.5450000000001</v>
      </c>
      <c r="M1006" s="6">
        <v>1769.5450000000001</v>
      </c>
      <c r="N1006" s="6">
        <v>1769.5450000000001</v>
      </c>
      <c r="O1006" s="6">
        <v>1769.5450000000001</v>
      </c>
      <c r="P1006" s="6">
        <v>0</v>
      </c>
      <c r="Q1006" s="4" t="s">
        <v>26</v>
      </c>
      <c r="R1006" s="4">
        <v>0</v>
      </c>
      <c r="S1006" s="4" t="s">
        <v>195</v>
      </c>
      <c r="T1006" s="4" t="s">
        <v>440</v>
      </c>
      <c r="U1006" s="4">
        <v>0</v>
      </c>
      <c r="V1006" s="4">
        <v>19</v>
      </c>
      <c r="W1006" s="4">
        <v>67</v>
      </c>
    </row>
    <row r="1007" spans="1:23" ht="11.25" customHeight="1" x14ac:dyDescent="0.25">
      <c r="A1007" s="4" t="s">
        <v>30</v>
      </c>
      <c r="B1007" s="4" t="s">
        <v>35</v>
      </c>
      <c r="C1007" s="4" t="s">
        <v>36</v>
      </c>
      <c r="D1007" s="4" t="s">
        <v>42</v>
      </c>
      <c r="E1007" s="4" t="s">
        <v>25</v>
      </c>
      <c r="F1007" s="4" t="s">
        <v>25</v>
      </c>
      <c r="G1007" s="4" t="s">
        <v>25</v>
      </c>
      <c r="H1007" s="4" t="s">
        <v>38</v>
      </c>
      <c r="I1007" s="5">
        <v>44348</v>
      </c>
      <c r="J1007" s="6">
        <v>0</v>
      </c>
      <c r="K1007" s="6">
        <v>0</v>
      </c>
      <c r="L1007" s="6">
        <v>505.024</v>
      </c>
      <c r="M1007" s="6">
        <v>505.024</v>
      </c>
      <c r="N1007" s="6">
        <v>505.024</v>
      </c>
      <c r="O1007" s="6">
        <v>505.024</v>
      </c>
      <c r="P1007" s="6">
        <v>0</v>
      </c>
      <c r="Q1007" s="4" t="s">
        <v>26</v>
      </c>
      <c r="R1007" s="4">
        <v>0</v>
      </c>
      <c r="S1007" s="4" t="s">
        <v>195</v>
      </c>
      <c r="T1007" s="4" t="s">
        <v>440</v>
      </c>
      <c r="U1007" s="4">
        <v>0</v>
      </c>
      <c r="V1007" s="4">
        <v>19</v>
      </c>
      <c r="W1007" s="4">
        <v>67</v>
      </c>
    </row>
    <row r="1008" spans="1:23" ht="11.25" customHeight="1" x14ac:dyDescent="0.25">
      <c r="A1008" s="4" t="s">
        <v>21</v>
      </c>
      <c r="B1008" s="4" t="s">
        <v>35</v>
      </c>
      <c r="C1008" s="4" t="s">
        <v>36</v>
      </c>
      <c r="D1008" s="4" t="s">
        <v>42</v>
      </c>
      <c r="E1008" s="4" t="s">
        <v>25</v>
      </c>
      <c r="F1008" s="4" t="s">
        <v>25</v>
      </c>
      <c r="G1008" s="4" t="s">
        <v>25</v>
      </c>
      <c r="H1008" s="4" t="s">
        <v>38</v>
      </c>
      <c r="I1008" s="5">
        <v>44378</v>
      </c>
      <c r="J1008" s="6">
        <v>0</v>
      </c>
      <c r="K1008" s="6">
        <v>0</v>
      </c>
      <c r="L1008" s="6">
        <v>22052.966</v>
      </c>
      <c r="M1008" s="6">
        <v>22052.966</v>
      </c>
      <c r="N1008" s="6">
        <v>22052.966</v>
      </c>
      <c r="O1008" s="6">
        <v>22052.966</v>
      </c>
      <c r="P1008" s="6">
        <v>0</v>
      </c>
      <c r="Q1008" s="4" t="s">
        <v>26</v>
      </c>
      <c r="R1008" s="4">
        <v>0</v>
      </c>
      <c r="S1008" s="4" t="s">
        <v>196</v>
      </c>
      <c r="T1008" s="4" t="s">
        <v>441</v>
      </c>
      <c r="U1008" s="4">
        <v>0</v>
      </c>
      <c r="V1008" s="4">
        <v>19</v>
      </c>
      <c r="W1008" s="4">
        <v>67</v>
      </c>
    </row>
    <row r="1009" spans="1:23" ht="11.25" customHeight="1" x14ac:dyDescent="0.25">
      <c r="A1009" s="4" t="s">
        <v>28</v>
      </c>
      <c r="B1009" s="4" t="s">
        <v>35</v>
      </c>
      <c r="C1009" s="4" t="s">
        <v>36</v>
      </c>
      <c r="D1009" s="4" t="s">
        <v>42</v>
      </c>
      <c r="E1009" s="4" t="s">
        <v>25</v>
      </c>
      <c r="F1009" s="4" t="s">
        <v>25</v>
      </c>
      <c r="G1009" s="4" t="s">
        <v>25</v>
      </c>
      <c r="H1009" s="4" t="s">
        <v>38</v>
      </c>
      <c r="I1009" s="5">
        <v>44378</v>
      </c>
      <c r="J1009" s="6">
        <v>0</v>
      </c>
      <c r="K1009" s="6">
        <v>0</v>
      </c>
      <c r="L1009" s="6">
        <v>1522.942</v>
      </c>
      <c r="M1009" s="6">
        <v>1522.942</v>
      </c>
      <c r="N1009" s="6">
        <v>1522.942</v>
      </c>
      <c r="O1009" s="6">
        <v>1522.942</v>
      </c>
      <c r="P1009" s="6">
        <v>0</v>
      </c>
      <c r="Q1009" s="4" t="s">
        <v>26</v>
      </c>
      <c r="R1009" s="4">
        <v>0</v>
      </c>
      <c r="S1009" s="4" t="s">
        <v>196</v>
      </c>
      <c r="T1009" s="4" t="s">
        <v>441</v>
      </c>
      <c r="U1009" s="4">
        <v>0</v>
      </c>
      <c r="V1009" s="4">
        <v>19</v>
      </c>
      <c r="W1009" s="4">
        <v>67</v>
      </c>
    </row>
    <row r="1010" spans="1:23" ht="11.25" customHeight="1" x14ac:dyDescent="0.25">
      <c r="A1010" s="4" t="s">
        <v>30</v>
      </c>
      <c r="B1010" s="4" t="s">
        <v>35</v>
      </c>
      <c r="C1010" s="4" t="s">
        <v>36</v>
      </c>
      <c r="D1010" s="4" t="s">
        <v>42</v>
      </c>
      <c r="E1010" s="4" t="s">
        <v>25</v>
      </c>
      <c r="F1010" s="4" t="s">
        <v>25</v>
      </c>
      <c r="G1010" s="4" t="s">
        <v>25</v>
      </c>
      <c r="H1010" s="4" t="s">
        <v>38</v>
      </c>
      <c r="I1010" s="5">
        <v>44378</v>
      </c>
      <c r="J1010" s="6">
        <v>0</v>
      </c>
      <c r="K1010" s="6">
        <v>0</v>
      </c>
      <c r="L1010" s="6">
        <v>525.94200000000001</v>
      </c>
      <c r="M1010" s="6">
        <v>525.94200000000001</v>
      </c>
      <c r="N1010" s="6">
        <v>525.94200000000001</v>
      </c>
      <c r="O1010" s="6">
        <v>525.94200000000001</v>
      </c>
      <c r="P1010" s="6">
        <v>0</v>
      </c>
      <c r="Q1010" s="4" t="s">
        <v>26</v>
      </c>
      <c r="R1010" s="4">
        <v>0</v>
      </c>
      <c r="S1010" s="4" t="s">
        <v>196</v>
      </c>
      <c r="T1010" s="4" t="s">
        <v>441</v>
      </c>
      <c r="U1010" s="4">
        <v>0</v>
      </c>
      <c r="V1010" s="4">
        <v>19</v>
      </c>
      <c r="W1010" s="4">
        <v>67</v>
      </c>
    </row>
    <row r="1011" spans="1:23" ht="11.25" customHeight="1" x14ac:dyDescent="0.25">
      <c r="A1011" s="4" t="s">
        <v>21</v>
      </c>
      <c r="B1011" s="4" t="s">
        <v>35</v>
      </c>
      <c r="C1011" s="4" t="s">
        <v>36</v>
      </c>
      <c r="D1011" s="4" t="s">
        <v>42</v>
      </c>
      <c r="E1011" s="4" t="s">
        <v>25</v>
      </c>
      <c r="F1011" s="4" t="s">
        <v>25</v>
      </c>
      <c r="G1011" s="4" t="s">
        <v>25</v>
      </c>
      <c r="H1011" s="4" t="s">
        <v>38</v>
      </c>
      <c r="I1011" s="5">
        <v>44378</v>
      </c>
      <c r="J1011" s="6">
        <v>0</v>
      </c>
      <c r="K1011" s="6">
        <v>0</v>
      </c>
      <c r="L1011" s="6">
        <v>532.75599999999997</v>
      </c>
      <c r="M1011" s="6">
        <v>532.75599999999997</v>
      </c>
      <c r="N1011" s="6">
        <v>0</v>
      </c>
      <c r="O1011" s="6">
        <v>0</v>
      </c>
      <c r="P1011" s="6">
        <v>0</v>
      </c>
      <c r="Q1011" s="4" t="s">
        <v>60</v>
      </c>
      <c r="R1011" s="4">
        <v>0</v>
      </c>
      <c r="S1011" s="4" t="s">
        <v>196</v>
      </c>
      <c r="U1011" s="4">
        <v>0</v>
      </c>
      <c r="V1011" s="4">
        <v>19</v>
      </c>
      <c r="W1011" s="4">
        <v>0</v>
      </c>
    </row>
    <row r="1012" spans="1:23" ht="11.25" customHeight="1" x14ac:dyDescent="0.25">
      <c r="A1012" s="4" t="s">
        <v>21</v>
      </c>
      <c r="B1012" s="4" t="s">
        <v>35</v>
      </c>
      <c r="C1012" s="4" t="s">
        <v>36</v>
      </c>
      <c r="D1012" s="4" t="s">
        <v>42</v>
      </c>
      <c r="E1012" s="4" t="s">
        <v>25</v>
      </c>
      <c r="F1012" s="4" t="s">
        <v>25</v>
      </c>
      <c r="G1012" s="4" t="s">
        <v>25</v>
      </c>
      <c r="H1012" s="4" t="s">
        <v>38</v>
      </c>
      <c r="I1012" s="5">
        <v>44409</v>
      </c>
      <c r="J1012" s="6">
        <v>0</v>
      </c>
      <c r="K1012" s="6">
        <v>0</v>
      </c>
      <c r="L1012" s="6">
        <v>22740.772000000001</v>
      </c>
      <c r="M1012" s="6">
        <v>22740.772000000001</v>
      </c>
      <c r="N1012" s="6">
        <v>22740.772000000001</v>
      </c>
      <c r="O1012" s="6">
        <v>22740.772000000001</v>
      </c>
      <c r="P1012" s="6">
        <v>0</v>
      </c>
      <c r="Q1012" s="4" t="s">
        <v>26</v>
      </c>
      <c r="R1012" s="4">
        <v>0</v>
      </c>
      <c r="S1012" s="4" t="s">
        <v>197</v>
      </c>
      <c r="T1012" s="4" t="s">
        <v>442</v>
      </c>
      <c r="U1012" s="4">
        <v>0</v>
      </c>
      <c r="V1012" s="4">
        <v>19</v>
      </c>
      <c r="W1012" s="4">
        <v>67</v>
      </c>
    </row>
    <row r="1013" spans="1:23" ht="11.25" customHeight="1" x14ac:dyDescent="0.25">
      <c r="A1013" s="4" t="s">
        <v>27</v>
      </c>
      <c r="B1013" s="4" t="s">
        <v>35</v>
      </c>
      <c r="C1013" s="4" t="s">
        <v>36</v>
      </c>
      <c r="D1013" s="4" t="s">
        <v>42</v>
      </c>
      <c r="E1013" s="4" t="s">
        <v>25</v>
      </c>
      <c r="F1013" s="4" t="s">
        <v>25</v>
      </c>
      <c r="G1013" s="4" t="s">
        <v>25</v>
      </c>
      <c r="H1013" s="4" t="s">
        <v>38</v>
      </c>
      <c r="I1013" s="5">
        <v>44409</v>
      </c>
      <c r="J1013" s="6">
        <v>0</v>
      </c>
      <c r="K1013" s="6">
        <v>0</v>
      </c>
      <c r="L1013" s="6">
        <v>-9.6590000000000007</v>
      </c>
      <c r="M1013" s="6">
        <v>-9.6590000000000007</v>
      </c>
      <c r="N1013" s="6">
        <v>-9.6590000000000007</v>
      </c>
      <c r="O1013" s="6">
        <v>-9.6590000000000007</v>
      </c>
      <c r="P1013" s="6">
        <v>0</v>
      </c>
      <c r="Q1013" s="4" t="s">
        <v>26</v>
      </c>
      <c r="R1013" s="4">
        <v>0</v>
      </c>
      <c r="S1013" s="4" t="s">
        <v>197</v>
      </c>
      <c r="T1013" s="4" t="s">
        <v>442</v>
      </c>
      <c r="U1013" s="4">
        <v>0</v>
      </c>
      <c r="V1013" s="4">
        <v>19</v>
      </c>
      <c r="W1013" s="4">
        <v>67</v>
      </c>
    </row>
    <row r="1014" spans="1:23" ht="11.25" customHeight="1" x14ac:dyDescent="0.25">
      <c r="A1014" s="4" t="s">
        <v>28</v>
      </c>
      <c r="B1014" s="4" t="s">
        <v>35</v>
      </c>
      <c r="C1014" s="4" t="s">
        <v>36</v>
      </c>
      <c r="D1014" s="4" t="s">
        <v>42</v>
      </c>
      <c r="E1014" s="4" t="s">
        <v>25</v>
      </c>
      <c r="F1014" s="4" t="s">
        <v>25</v>
      </c>
      <c r="G1014" s="4" t="s">
        <v>25</v>
      </c>
      <c r="H1014" s="4" t="s">
        <v>38</v>
      </c>
      <c r="I1014" s="5">
        <v>44409</v>
      </c>
      <c r="J1014" s="6">
        <v>0</v>
      </c>
      <c r="K1014" s="6">
        <v>0</v>
      </c>
      <c r="L1014" s="6">
        <v>1745.923</v>
      </c>
      <c r="M1014" s="6">
        <v>1745.923</v>
      </c>
      <c r="N1014" s="6">
        <v>1745.923</v>
      </c>
      <c r="O1014" s="6">
        <v>1745.923</v>
      </c>
      <c r="P1014" s="6">
        <v>0</v>
      </c>
      <c r="Q1014" s="4" t="s">
        <v>26</v>
      </c>
      <c r="R1014" s="4">
        <v>0</v>
      </c>
      <c r="S1014" s="4" t="s">
        <v>197</v>
      </c>
      <c r="T1014" s="4" t="s">
        <v>442</v>
      </c>
      <c r="U1014" s="4">
        <v>0</v>
      </c>
      <c r="V1014" s="4">
        <v>19</v>
      </c>
      <c r="W1014" s="4">
        <v>67</v>
      </c>
    </row>
    <row r="1015" spans="1:23" ht="11.25" customHeight="1" x14ac:dyDescent="0.25">
      <c r="A1015" s="4" t="s">
        <v>30</v>
      </c>
      <c r="B1015" s="4" t="s">
        <v>35</v>
      </c>
      <c r="C1015" s="4" t="s">
        <v>36</v>
      </c>
      <c r="D1015" s="4" t="s">
        <v>42</v>
      </c>
      <c r="E1015" s="4" t="s">
        <v>25</v>
      </c>
      <c r="F1015" s="4" t="s">
        <v>25</v>
      </c>
      <c r="G1015" s="4" t="s">
        <v>25</v>
      </c>
      <c r="H1015" s="4" t="s">
        <v>38</v>
      </c>
      <c r="I1015" s="5">
        <v>44409</v>
      </c>
      <c r="J1015" s="6">
        <v>0</v>
      </c>
      <c r="K1015" s="6">
        <v>0</v>
      </c>
      <c r="L1015" s="6">
        <v>527.851</v>
      </c>
      <c r="M1015" s="6">
        <v>527.851</v>
      </c>
      <c r="N1015" s="6">
        <v>527.851</v>
      </c>
      <c r="O1015" s="6">
        <v>527.851</v>
      </c>
      <c r="P1015" s="6">
        <v>0</v>
      </c>
      <c r="Q1015" s="4" t="s">
        <v>26</v>
      </c>
      <c r="R1015" s="4">
        <v>0</v>
      </c>
      <c r="S1015" s="4" t="s">
        <v>197</v>
      </c>
      <c r="T1015" s="4" t="s">
        <v>442</v>
      </c>
      <c r="U1015" s="4">
        <v>0</v>
      </c>
      <c r="V1015" s="4">
        <v>19</v>
      </c>
      <c r="W1015" s="4">
        <v>67</v>
      </c>
    </row>
    <row r="1016" spans="1:23" ht="11.25" customHeight="1" x14ac:dyDescent="0.25">
      <c r="A1016" s="4" t="s">
        <v>21</v>
      </c>
      <c r="B1016" s="4" t="s">
        <v>35</v>
      </c>
      <c r="C1016" s="4" t="s">
        <v>36</v>
      </c>
      <c r="D1016" s="4" t="s">
        <v>42</v>
      </c>
      <c r="E1016" s="4" t="s">
        <v>25</v>
      </c>
      <c r="F1016" s="4" t="s">
        <v>25</v>
      </c>
      <c r="G1016" s="4" t="s">
        <v>25</v>
      </c>
      <c r="H1016" s="4" t="s">
        <v>38</v>
      </c>
      <c r="I1016" s="5">
        <v>44409</v>
      </c>
      <c r="J1016" s="6">
        <v>0</v>
      </c>
      <c r="K1016" s="6">
        <v>0</v>
      </c>
      <c r="L1016" s="6">
        <v>541.78599999999994</v>
      </c>
      <c r="M1016" s="6">
        <v>541.78599999999994</v>
      </c>
      <c r="N1016" s="6">
        <v>0</v>
      </c>
      <c r="O1016" s="6">
        <v>0</v>
      </c>
      <c r="P1016" s="6">
        <v>0</v>
      </c>
      <c r="Q1016" s="4" t="s">
        <v>60</v>
      </c>
      <c r="R1016" s="4">
        <v>0</v>
      </c>
      <c r="S1016" s="4" t="s">
        <v>197</v>
      </c>
      <c r="U1016" s="4">
        <v>0</v>
      </c>
      <c r="V1016" s="4">
        <v>19</v>
      </c>
      <c r="W1016" s="4">
        <v>0</v>
      </c>
    </row>
    <row r="1017" spans="1:23" ht="11.25" customHeight="1" x14ac:dyDescent="0.25">
      <c r="A1017" s="4" t="s">
        <v>21</v>
      </c>
      <c r="B1017" s="4" t="s">
        <v>35</v>
      </c>
      <c r="C1017" s="4" t="s">
        <v>36</v>
      </c>
      <c r="D1017" s="4" t="s">
        <v>42</v>
      </c>
      <c r="E1017" s="4" t="s">
        <v>25</v>
      </c>
      <c r="F1017" s="4" t="s">
        <v>25</v>
      </c>
      <c r="G1017" s="4" t="s">
        <v>25</v>
      </c>
      <c r="H1017" s="4" t="s">
        <v>38</v>
      </c>
      <c r="I1017" s="5">
        <v>44440</v>
      </c>
      <c r="J1017" s="6">
        <v>0</v>
      </c>
      <c r="K1017" s="6">
        <v>0</v>
      </c>
      <c r="L1017" s="6">
        <v>20569.343000000001</v>
      </c>
      <c r="M1017" s="6">
        <v>20569.343000000001</v>
      </c>
      <c r="N1017" s="6">
        <v>20569.343000000001</v>
      </c>
      <c r="O1017" s="6">
        <v>20569.343000000001</v>
      </c>
      <c r="P1017" s="6">
        <v>0</v>
      </c>
      <c r="Q1017" s="4" t="s">
        <v>26</v>
      </c>
      <c r="R1017" s="4">
        <v>0</v>
      </c>
      <c r="S1017" s="4" t="s">
        <v>198</v>
      </c>
      <c r="T1017" s="4" t="s">
        <v>443</v>
      </c>
      <c r="U1017" s="4">
        <v>0</v>
      </c>
      <c r="V1017" s="4">
        <v>19</v>
      </c>
      <c r="W1017" s="4">
        <v>67</v>
      </c>
    </row>
    <row r="1018" spans="1:23" ht="11.25" customHeight="1" x14ac:dyDescent="0.25">
      <c r="A1018" s="4" t="s">
        <v>27</v>
      </c>
      <c r="B1018" s="4" t="s">
        <v>35</v>
      </c>
      <c r="C1018" s="4" t="s">
        <v>36</v>
      </c>
      <c r="D1018" s="4" t="s">
        <v>42</v>
      </c>
      <c r="E1018" s="4" t="s">
        <v>25</v>
      </c>
      <c r="F1018" s="4" t="s">
        <v>25</v>
      </c>
      <c r="G1018" s="4" t="s">
        <v>25</v>
      </c>
      <c r="H1018" s="4" t="s">
        <v>38</v>
      </c>
      <c r="I1018" s="5">
        <v>44440</v>
      </c>
      <c r="J1018" s="6">
        <v>0</v>
      </c>
      <c r="K1018" s="6">
        <v>0</v>
      </c>
      <c r="L1018" s="6">
        <v>-35.49</v>
      </c>
      <c r="M1018" s="6">
        <v>-35.49</v>
      </c>
      <c r="N1018" s="6">
        <v>-35.49</v>
      </c>
      <c r="O1018" s="6">
        <v>-35.49</v>
      </c>
      <c r="P1018" s="6">
        <v>0</v>
      </c>
      <c r="Q1018" s="4" t="s">
        <v>26</v>
      </c>
      <c r="R1018" s="4">
        <v>0</v>
      </c>
      <c r="S1018" s="4" t="s">
        <v>198</v>
      </c>
      <c r="T1018" s="4" t="s">
        <v>443</v>
      </c>
      <c r="U1018" s="4">
        <v>0</v>
      </c>
      <c r="V1018" s="4">
        <v>19</v>
      </c>
      <c r="W1018" s="4">
        <v>67</v>
      </c>
    </row>
    <row r="1019" spans="1:23" ht="11.25" customHeight="1" x14ac:dyDescent="0.25">
      <c r="A1019" s="4" t="s">
        <v>28</v>
      </c>
      <c r="B1019" s="4" t="s">
        <v>35</v>
      </c>
      <c r="C1019" s="4" t="s">
        <v>36</v>
      </c>
      <c r="D1019" s="4" t="s">
        <v>42</v>
      </c>
      <c r="E1019" s="4" t="s">
        <v>25</v>
      </c>
      <c r="F1019" s="4" t="s">
        <v>25</v>
      </c>
      <c r="G1019" s="4" t="s">
        <v>25</v>
      </c>
      <c r="H1019" s="4" t="s">
        <v>38</v>
      </c>
      <c r="I1019" s="5">
        <v>44440</v>
      </c>
      <c r="J1019" s="6">
        <v>0</v>
      </c>
      <c r="K1019" s="6">
        <v>0</v>
      </c>
      <c r="L1019" s="6">
        <v>2086.9160000000002</v>
      </c>
      <c r="M1019" s="6">
        <v>2086.9160000000002</v>
      </c>
      <c r="N1019" s="6">
        <v>2086.9160000000002</v>
      </c>
      <c r="O1019" s="6">
        <v>2086.9160000000002</v>
      </c>
      <c r="P1019" s="6">
        <v>0</v>
      </c>
      <c r="Q1019" s="4" t="s">
        <v>26</v>
      </c>
      <c r="R1019" s="4">
        <v>0</v>
      </c>
      <c r="S1019" s="4" t="s">
        <v>198</v>
      </c>
      <c r="T1019" s="4" t="s">
        <v>443</v>
      </c>
      <c r="U1019" s="4">
        <v>0</v>
      </c>
      <c r="V1019" s="4">
        <v>19</v>
      </c>
      <c r="W1019" s="4">
        <v>67</v>
      </c>
    </row>
    <row r="1020" spans="1:23" ht="11.25" customHeight="1" x14ac:dyDescent="0.25">
      <c r="A1020" s="4" t="s">
        <v>29</v>
      </c>
      <c r="B1020" s="4" t="s">
        <v>35</v>
      </c>
      <c r="C1020" s="4" t="s">
        <v>36</v>
      </c>
      <c r="D1020" s="4" t="s">
        <v>42</v>
      </c>
      <c r="E1020" s="4" t="s">
        <v>25</v>
      </c>
      <c r="F1020" s="4" t="s">
        <v>25</v>
      </c>
      <c r="G1020" s="4" t="s">
        <v>25</v>
      </c>
      <c r="H1020" s="4" t="s">
        <v>38</v>
      </c>
      <c r="I1020" s="5">
        <v>44440</v>
      </c>
      <c r="J1020" s="6">
        <v>0</v>
      </c>
      <c r="K1020" s="6">
        <v>0</v>
      </c>
      <c r="L1020" s="6">
        <v>-5.0209999999999999</v>
      </c>
      <c r="M1020" s="6">
        <v>-5.0209999999999999</v>
      </c>
      <c r="N1020" s="6">
        <v>-5.0209999999999999</v>
      </c>
      <c r="O1020" s="6">
        <v>-5.0209999999999999</v>
      </c>
      <c r="P1020" s="6">
        <v>0</v>
      </c>
      <c r="Q1020" s="4" t="s">
        <v>26</v>
      </c>
      <c r="R1020" s="4">
        <v>0</v>
      </c>
      <c r="S1020" s="4" t="s">
        <v>198</v>
      </c>
      <c r="T1020" s="4" t="s">
        <v>443</v>
      </c>
      <c r="U1020" s="4">
        <v>0</v>
      </c>
      <c r="V1020" s="4">
        <v>19</v>
      </c>
      <c r="W1020" s="4">
        <v>67</v>
      </c>
    </row>
    <row r="1021" spans="1:23" ht="11.25" customHeight="1" x14ac:dyDescent="0.25">
      <c r="A1021" s="4" t="s">
        <v>30</v>
      </c>
      <c r="B1021" s="4" t="s">
        <v>35</v>
      </c>
      <c r="C1021" s="4" t="s">
        <v>36</v>
      </c>
      <c r="D1021" s="4" t="s">
        <v>42</v>
      </c>
      <c r="E1021" s="4" t="s">
        <v>25</v>
      </c>
      <c r="F1021" s="4" t="s">
        <v>25</v>
      </c>
      <c r="G1021" s="4" t="s">
        <v>25</v>
      </c>
      <c r="H1021" s="4" t="s">
        <v>38</v>
      </c>
      <c r="I1021" s="5">
        <v>44440</v>
      </c>
      <c r="J1021" s="6">
        <v>0</v>
      </c>
      <c r="K1021" s="6">
        <v>0</v>
      </c>
      <c r="L1021" s="6">
        <v>519.255</v>
      </c>
      <c r="M1021" s="6">
        <v>519.255</v>
      </c>
      <c r="N1021" s="6">
        <v>519.255</v>
      </c>
      <c r="O1021" s="6">
        <v>519.255</v>
      </c>
      <c r="P1021" s="6">
        <v>0</v>
      </c>
      <c r="Q1021" s="4" t="s">
        <v>26</v>
      </c>
      <c r="R1021" s="4">
        <v>0</v>
      </c>
      <c r="S1021" s="4" t="s">
        <v>198</v>
      </c>
      <c r="T1021" s="4" t="s">
        <v>443</v>
      </c>
      <c r="U1021" s="4">
        <v>0</v>
      </c>
      <c r="V1021" s="4">
        <v>19</v>
      </c>
      <c r="W1021" s="4">
        <v>67</v>
      </c>
    </row>
    <row r="1022" spans="1:23" ht="11.25" customHeight="1" x14ac:dyDescent="0.25">
      <c r="A1022" s="4" t="s">
        <v>21</v>
      </c>
      <c r="B1022" s="4" t="s">
        <v>35</v>
      </c>
      <c r="C1022" s="4" t="s">
        <v>36</v>
      </c>
      <c r="D1022" s="4" t="s">
        <v>42</v>
      </c>
      <c r="E1022" s="4" t="s">
        <v>25</v>
      </c>
      <c r="F1022" s="4" t="s">
        <v>25</v>
      </c>
      <c r="G1022" s="4" t="s">
        <v>25</v>
      </c>
      <c r="H1022" s="4" t="s">
        <v>38</v>
      </c>
      <c r="I1022" s="5">
        <v>44440</v>
      </c>
      <c r="J1022" s="6">
        <v>0</v>
      </c>
      <c r="K1022" s="6">
        <v>0</v>
      </c>
      <c r="L1022" s="6">
        <v>979.41499999999996</v>
      </c>
      <c r="M1022" s="6">
        <v>979.41499999999996</v>
      </c>
      <c r="N1022" s="6">
        <v>0</v>
      </c>
      <c r="O1022" s="6">
        <v>0</v>
      </c>
      <c r="P1022" s="6">
        <v>0</v>
      </c>
      <c r="Q1022" s="4" t="s">
        <v>60</v>
      </c>
      <c r="R1022" s="4">
        <v>0</v>
      </c>
      <c r="S1022" s="4" t="s">
        <v>198</v>
      </c>
      <c r="U1022" s="4">
        <v>0</v>
      </c>
      <c r="V1022" s="4">
        <v>19</v>
      </c>
      <c r="W1022" s="4">
        <v>0</v>
      </c>
    </row>
    <row r="1023" spans="1:23" ht="11.25" customHeight="1" x14ac:dyDescent="0.25">
      <c r="A1023" s="4" t="s">
        <v>59</v>
      </c>
      <c r="B1023" s="4" t="s">
        <v>35</v>
      </c>
      <c r="C1023" s="4" t="s">
        <v>36</v>
      </c>
      <c r="D1023" s="4" t="s">
        <v>42</v>
      </c>
      <c r="E1023" s="4" t="s">
        <v>25</v>
      </c>
      <c r="F1023" s="4" t="s">
        <v>25</v>
      </c>
      <c r="G1023" s="4" t="s">
        <v>25</v>
      </c>
      <c r="H1023" s="4" t="s">
        <v>38</v>
      </c>
      <c r="I1023" s="5">
        <v>44470</v>
      </c>
      <c r="J1023" s="6">
        <v>0</v>
      </c>
      <c r="K1023" s="6">
        <v>0</v>
      </c>
      <c r="L1023" s="6">
        <v>20569.343000000001</v>
      </c>
      <c r="M1023" s="6">
        <v>20569.343000000001</v>
      </c>
      <c r="N1023" s="6">
        <v>20569.343000000001</v>
      </c>
      <c r="O1023" s="6">
        <v>20569.343000000001</v>
      </c>
      <c r="P1023" s="6">
        <v>0</v>
      </c>
      <c r="Q1023" s="4" t="s">
        <v>26</v>
      </c>
      <c r="R1023" s="4">
        <v>0</v>
      </c>
      <c r="S1023" s="4" t="s">
        <v>199</v>
      </c>
      <c r="T1023" s="4" t="s">
        <v>444</v>
      </c>
      <c r="U1023" s="4">
        <v>0</v>
      </c>
      <c r="V1023" s="4">
        <v>19</v>
      </c>
      <c r="W1023" s="4">
        <v>67</v>
      </c>
    </row>
    <row r="1024" spans="1:23" ht="11.25" customHeight="1" x14ac:dyDescent="0.25">
      <c r="A1024" s="4" t="s">
        <v>59</v>
      </c>
      <c r="B1024" s="4" t="s">
        <v>35</v>
      </c>
      <c r="C1024" s="4" t="s">
        <v>36</v>
      </c>
      <c r="D1024" s="4" t="s">
        <v>42</v>
      </c>
      <c r="E1024" s="4" t="s">
        <v>25</v>
      </c>
      <c r="F1024" s="4" t="s">
        <v>25</v>
      </c>
      <c r="G1024" s="4" t="s">
        <v>25</v>
      </c>
      <c r="H1024" s="4" t="s">
        <v>38</v>
      </c>
      <c r="I1024" s="5">
        <v>44470</v>
      </c>
      <c r="J1024" s="6">
        <v>0</v>
      </c>
      <c r="K1024" s="6">
        <v>0</v>
      </c>
      <c r="L1024" s="6">
        <v>-35.49</v>
      </c>
      <c r="M1024" s="6">
        <v>-35.49</v>
      </c>
      <c r="N1024" s="6">
        <v>-35.49</v>
      </c>
      <c r="O1024" s="6">
        <v>-35.49</v>
      </c>
      <c r="P1024" s="6">
        <v>0</v>
      </c>
      <c r="Q1024" s="4" t="s">
        <v>26</v>
      </c>
      <c r="R1024" s="4">
        <v>0</v>
      </c>
      <c r="S1024" s="4" t="s">
        <v>199</v>
      </c>
      <c r="T1024" s="4" t="s">
        <v>444</v>
      </c>
      <c r="U1024" s="4">
        <v>0</v>
      </c>
      <c r="V1024" s="4">
        <v>19</v>
      </c>
      <c r="W1024" s="4">
        <v>67</v>
      </c>
    </row>
    <row r="1025" spans="1:23" ht="11.25" customHeight="1" x14ac:dyDescent="0.25">
      <c r="A1025" s="4" t="s">
        <v>59</v>
      </c>
      <c r="B1025" s="4" t="s">
        <v>35</v>
      </c>
      <c r="C1025" s="4" t="s">
        <v>36</v>
      </c>
      <c r="D1025" s="4" t="s">
        <v>42</v>
      </c>
      <c r="E1025" s="4" t="s">
        <v>25</v>
      </c>
      <c r="F1025" s="4" t="s">
        <v>25</v>
      </c>
      <c r="G1025" s="4" t="s">
        <v>25</v>
      </c>
      <c r="H1025" s="4" t="s">
        <v>38</v>
      </c>
      <c r="I1025" s="5">
        <v>44470</v>
      </c>
      <c r="J1025" s="6">
        <v>0</v>
      </c>
      <c r="K1025" s="6">
        <v>0</v>
      </c>
      <c r="L1025" s="6">
        <v>2086.9160000000002</v>
      </c>
      <c r="M1025" s="6">
        <v>2086.9160000000002</v>
      </c>
      <c r="N1025" s="6">
        <v>2086.9160000000002</v>
      </c>
      <c r="O1025" s="6">
        <v>2086.9160000000002</v>
      </c>
      <c r="P1025" s="6">
        <v>0</v>
      </c>
      <c r="Q1025" s="4" t="s">
        <v>26</v>
      </c>
      <c r="R1025" s="4">
        <v>0</v>
      </c>
      <c r="S1025" s="4" t="s">
        <v>199</v>
      </c>
      <c r="T1025" s="4" t="s">
        <v>444</v>
      </c>
      <c r="U1025" s="4">
        <v>0</v>
      </c>
      <c r="V1025" s="4">
        <v>19</v>
      </c>
      <c r="W1025" s="4">
        <v>67</v>
      </c>
    </row>
    <row r="1026" spans="1:23" ht="11.25" customHeight="1" x14ac:dyDescent="0.25">
      <c r="A1026" s="4" t="s">
        <v>59</v>
      </c>
      <c r="B1026" s="4" t="s">
        <v>35</v>
      </c>
      <c r="C1026" s="4" t="s">
        <v>36</v>
      </c>
      <c r="D1026" s="4" t="s">
        <v>42</v>
      </c>
      <c r="E1026" s="4" t="s">
        <v>25</v>
      </c>
      <c r="F1026" s="4" t="s">
        <v>25</v>
      </c>
      <c r="G1026" s="4" t="s">
        <v>25</v>
      </c>
      <c r="H1026" s="4" t="s">
        <v>38</v>
      </c>
      <c r="I1026" s="5">
        <v>44470</v>
      </c>
      <c r="J1026" s="6">
        <v>0</v>
      </c>
      <c r="K1026" s="6">
        <v>0</v>
      </c>
      <c r="L1026" s="6">
        <v>-5.0209999999999999</v>
      </c>
      <c r="M1026" s="6">
        <v>-5.0209999999999999</v>
      </c>
      <c r="N1026" s="6">
        <v>-5.0209999999999999</v>
      </c>
      <c r="O1026" s="6">
        <v>-5.0209999999999999</v>
      </c>
      <c r="P1026" s="6">
        <v>0</v>
      </c>
      <c r="Q1026" s="4" t="s">
        <v>26</v>
      </c>
      <c r="R1026" s="4">
        <v>0</v>
      </c>
      <c r="S1026" s="4" t="s">
        <v>199</v>
      </c>
      <c r="T1026" s="4" t="s">
        <v>444</v>
      </c>
      <c r="U1026" s="4">
        <v>0</v>
      </c>
      <c r="V1026" s="4">
        <v>19</v>
      </c>
      <c r="W1026" s="4">
        <v>67</v>
      </c>
    </row>
    <row r="1027" spans="1:23" ht="11.25" customHeight="1" x14ac:dyDescent="0.25">
      <c r="A1027" s="4" t="s">
        <v>59</v>
      </c>
      <c r="B1027" s="4" t="s">
        <v>35</v>
      </c>
      <c r="C1027" s="4" t="s">
        <v>36</v>
      </c>
      <c r="D1027" s="4" t="s">
        <v>42</v>
      </c>
      <c r="E1027" s="4" t="s">
        <v>25</v>
      </c>
      <c r="F1027" s="4" t="s">
        <v>25</v>
      </c>
      <c r="G1027" s="4" t="s">
        <v>25</v>
      </c>
      <c r="H1027" s="4" t="s">
        <v>38</v>
      </c>
      <c r="I1027" s="5">
        <v>44470</v>
      </c>
      <c r="J1027" s="6">
        <v>0</v>
      </c>
      <c r="K1027" s="6">
        <v>0</v>
      </c>
      <c r="L1027" s="6">
        <v>519.255</v>
      </c>
      <c r="M1027" s="6">
        <v>519.255</v>
      </c>
      <c r="N1027" s="6">
        <v>519.255</v>
      </c>
      <c r="O1027" s="6">
        <v>519.255</v>
      </c>
      <c r="P1027" s="6">
        <v>0</v>
      </c>
      <c r="Q1027" s="4" t="s">
        <v>26</v>
      </c>
      <c r="R1027" s="4">
        <v>0</v>
      </c>
      <c r="S1027" s="4" t="s">
        <v>199</v>
      </c>
      <c r="T1027" s="4" t="s">
        <v>444</v>
      </c>
      <c r="U1027" s="4">
        <v>0</v>
      </c>
      <c r="V1027" s="4">
        <v>19</v>
      </c>
      <c r="W1027" s="4">
        <v>67</v>
      </c>
    </row>
    <row r="1028" spans="1:23" ht="11.25" customHeight="1" x14ac:dyDescent="0.25">
      <c r="A1028" s="4" t="s">
        <v>59</v>
      </c>
      <c r="B1028" s="4" t="s">
        <v>35</v>
      </c>
      <c r="C1028" s="4" t="s">
        <v>36</v>
      </c>
      <c r="D1028" s="4" t="s">
        <v>42</v>
      </c>
      <c r="E1028" s="4" t="s">
        <v>25</v>
      </c>
      <c r="F1028" s="4" t="s">
        <v>25</v>
      </c>
      <c r="G1028" s="4" t="s">
        <v>25</v>
      </c>
      <c r="H1028" s="4" t="s">
        <v>38</v>
      </c>
      <c r="I1028" s="5">
        <v>44470</v>
      </c>
      <c r="J1028" s="6">
        <v>0</v>
      </c>
      <c r="K1028" s="6">
        <v>0</v>
      </c>
      <c r="L1028" s="6">
        <v>979.41499999999996</v>
      </c>
      <c r="M1028" s="6">
        <v>979.41499999999996</v>
      </c>
      <c r="N1028" s="6">
        <v>0</v>
      </c>
      <c r="O1028" s="6">
        <v>0</v>
      </c>
      <c r="P1028" s="6">
        <v>0</v>
      </c>
      <c r="Q1028" s="4" t="s">
        <v>60</v>
      </c>
      <c r="R1028" s="4">
        <v>0</v>
      </c>
      <c r="S1028" s="4" t="s">
        <v>199</v>
      </c>
      <c r="U1028" s="4">
        <v>0</v>
      </c>
      <c r="V1028" s="4">
        <v>19</v>
      </c>
      <c r="W1028" s="4">
        <v>0</v>
      </c>
    </row>
    <row r="1029" spans="1:23" ht="11.25" customHeight="1" x14ac:dyDescent="0.25">
      <c r="A1029" s="4" t="s">
        <v>21</v>
      </c>
      <c r="B1029" s="4" t="s">
        <v>35</v>
      </c>
      <c r="C1029" s="4" t="s">
        <v>36</v>
      </c>
      <c r="D1029" s="4" t="s">
        <v>42</v>
      </c>
      <c r="E1029" s="4" t="s">
        <v>25</v>
      </c>
      <c r="F1029" s="4" t="s">
        <v>25</v>
      </c>
      <c r="G1029" s="4" t="s">
        <v>25</v>
      </c>
      <c r="H1029" s="4" t="s">
        <v>25</v>
      </c>
      <c r="I1029" s="5">
        <v>44136</v>
      </c>
      <c r="J1029" s="6">
        <v>101891</v>
      </c>
      <c r="K1029" s="6">
        <v>101891</v>
      </c>
      <c r="L1029" s="6">
        <v>0</v>
      </c>
      <c r="M1029" s="6">
        <v>0</v>
      </c>
      <c r="N1029" s="6">
        <v>0</v>
      </c>
      <c r="O1029" s="6">
        <v>0</v>
      </c>
      <c r="P1029" s="6">
        <v>343</v>
      </c>
      <c r="Q1029" s="4" t="s">
        <v>26</v>
      </c>
      <c r="R1029" s="4">
        <v>0</v>
      </c>
      <c r="S1029" s="4" t="s">
        <v>200</v>
      </c>
      <c r="U1029" s="4">
        <v>23</v>
      </c>
      <c r="V1029" s="4">
        <v>0</v>
      </c>
      <c r="W1029" s="4">
        <v>0</v>
      </c>
    </row>
    <row r="1030" spans="1:23" ht="11.25" customHeight="1" x14ac:dyDescent="0.25">
      <c r="A1030" s="4" t="s">
        <v>27</v>
      </c>
      <c r="B1030" s="4" t="s">
        <v>35</v>
      </c>
      <c r="C1030" s="4" t="s">
        <v>36</v>
      </c>
      <c r="D1030" s="4" t="s">
        <v>42</v>
      </c>
      <c r="E1030" s="4" t="s">
        <v>25</v>
      </c>
      <c r="F1030" s="4" t="s">
        <v>25</v>
      </c>
      <c r="G1030" s="4" t="s">
        <v>25</v>
      </c>
      <c r="H1030" s="4" t="s">
        <v>25</v>
      </c>
      <c r="I1030" s="5">
        <v>44136</v>
      </c>
      <c r="J1030" s="6">
        <v>-6</v>
      </c>
      <c r="K1030" s="6">
        <v>-6</v>
      </c>
      <c r="L1030" s="6">
        <v>0</v>
      </c>
      <c r="M1030" s="6">
        <v>0</v>
      </c>
      <c r="N1030" s="6">
        <v>0</v>
      </c>
      <c r="O1030" s="6">
        <v>0</v>
      </c>
      <c r="P1030" s="6">
        <v>-1</v>
      </c>
      <c r="Q1030" s="4" t="s">
        <v>26</v>
      </c>
      <c r="R1030" s="4">
        <v>0</v>
      </c>
      <c r="S1030" s="4" t="s">
        <v>200</v>
      </c>
      <c r="U1030" s="4">
        <v>23</v>
      </c>
      <c r="V1030" s="4">
        <v>0</v>
      </c>
      <c r="W1030" s="4">
        <v>0</v>
      </c>
    </row>
    <row r="1031" spans="1:23" ht="11.25" customHeight="1" x14ac:dyDescent="0.25">
      <c r="A1031" s="4" t="s">
        <v>28</v>
      </c>
      <c r="B1031" s="4" t="s">
        <v>35</v>
      </c>
      <c r="C1031" s="4" t="s">
        <v>36</v>
      </c>
      <c r="D1031" s="4" t="s">
        <v>42</v>
      </c>
      <c r="E1031" s="4" t="s">
        <v>25</v>
      </c>
      <c r="F1031" s="4" t="s">
        <v>25</v>
      </c>
      <c r="G1031" s="4" t="s">
        <v>25</v>
      </c>
      <c r="H1031" s="4" t="s">
        <v>25</v>
      </c>
      <c r="I1031" s="5">
        <v>44136</v>
      </c>
      <c r="J1031" s="6">
        <v>11895</v>
      </c>
      <c r="K1031" s="6">
        <v>11895</v>
      </c>
      <c r="L1031" s="6">
        <v>0</v>
      </c>
      <c r="M1031" s="6">
        <v>0</v>
      </c>
      <c r="N1031" s="6">
        <v>0</v>
      </c>
      <c r="O1031" s="6">
        <v>0</v>
      </c>
      <c r="P1031" s="6">
        <v>71</v>
      </c>
      <c r="Q1031" s="4" t="s">
        <v>26</v>
      </c>
      <c r="R1031" s="4">
        <v>0</v>
      </c>
      <c r="S1031" s="4" t="s">
        <v>200</v>
      </c>
      <c r="U1031" s="4">
        <v>23</v>
      </c>
      <c r="V1031" s="4">
        <v>0</v>
      </c>
      <c r="W1031" s="4">
        <v>0</v>
      </c>
    </row>
    <row r="1032" spans="1:23" ht="11.25" customHeight="1" x14ac:dyDescent="0.25">
      <c r="A1032" s="4" t="s">
        <v>29</v>
      </c>
      <c r="B1032" s="4" t="s">
        <v>35</v>
      </c>
      <c r="C1032" s="4" t="s">
        <v>36</v>
      </c>
      <c r="D1032" s="4" t="s">
        <v>42</v>
      </c>
      <c r="E1032" s="4" t="s">
        <v>25</v>
      </c>
      <c r="F1032" s="4" t="s">
        <v>25</v>
      </c>
      <c r="G1032" s="4" t="s">
        <v>25</v>
      </c>
      <c r="H1032" s="4" t="s">
        <v>25</v>
      </c>
      <c r="I1032" s="5">
        <v>44136</v>
      </c>
      <c r="J1032" s="6">
        <v>-94</v>
      </c>
      <c r="K1032" s="6">
        <v>-94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4" t="s">
        <v>26</v>
      </c>
      <c r="R1032" s="4">
        <v>0</v>
      </c>
      <c r="S1032" s="4" t="s">
        <v>200</v>
      </c>
      <c r="U1032" s="4">
        <v>23</v>
      </c>
      <c r="V1032" s="4">
        <v>0</v>
      </c>
      <c r="W1032" s="4">
        <v>0</v>
      </c>
    </row>
    <row r="1033" spans="1:23" ht="11.25" customHeight="1" x14ac:dyDescent="0.25">
      <c r="A1033" s="4" t="s">
        <v>30</v>
      </c>
      <c r="B1033" s="4" t="s">
        <v>35</v>
      </c>
      <c r="C1033" s="4" t="s">
        <v>36</v>
      </c>
      <c r="D1033" s="4" t="s">
        <v>42</v>
      </c>
      <c r="E1033" s="4" t="s">
        <v>25</v>
      </c>
      <c r="F1033" s="4" t="s">
        <v>25</v>
      </c>
      <c r="G1033" s="4" t="s">
        <v>25</v>
      </c>
      <c r="H1033" s="4" t="s">
        <v>25</v>
      </c>
      <c r="I1033" s="5">
        <v>44136</v>
      </c>
      <c r="J1033" s="6">
        <v>1719</v>
      </c>
      <c r="K1033" s="6">
        <v>1719</v>
      </c>
      <c r="L1033" s="6">
        <v>0</v>
      </c>
      <c r="M1033" s="6">
        <v>0</v>
      </c>
      <c r="N1033" s="6">
        <v>0</v>
      </c>
      <c r="O1033" s="6">
        <v>0</v>
      </c>
      <c r="P1033" s="6">
        <v>6</v>
      </c>
      <c r="Q1033" s="4" t="s">
        <v>26</v>
      </c>
      <c r="R1033" s="4">
        <v>0</v>
      </c>
      <c r="S1033" s="4" t="s">
        <v>200</v>
      </c>
      <c r="U1033" s="4">
        <v>23</v>
      </c>
      <c r="V1033" s="4">
        <v>0</v>
      </c>
      <c r="W1033" s="4">
        <v>0</v>
      </c>
    </row>
    <row r="1034" spans="1:23" ht="11.25" customHeight="1" x14ac:dyDescent="0.25">
      <c r="A1034" s="4" t="s">
        <v>21</v>
      </c>
      <c r="B1034" s="4" t="s">
        <v>35</v>
      </c>
      <c r="C1034" s="4" t="s">
        <v>36</v>
      </c>
      <c r="D1034" s="4" t="s">
        <v>42</v>
      </c>
      <c r="E1034" s="4" t="s">
        <v>25</v>
      </c>
      <c r="F1034" s="4" t="s">
        <v>25</v>
      </c>
      <c r="G1034" s="4" t="s">
        <v>25</v>
      </c>
      <c r="H1034" s="4" t="s">
        <v>25</v>
      </c>
      <c r="I1034" s="5">
        <v>44166</v>
      </c>
      <c r="J1034" s="6">
        <v>102849</v>
      </c>
      <c r="K1034" s="6">
        <v>102849</v>
      </c>
      <c r="L1034" s="6">
        <v>0</v>
      </c>
      <c r="M1034" s="6">
        <v>0</v>
      </c>
      <c r="N1034" s="6">
        <v>0</v>
      </c>
      <c r="O1034" s="6">
        <v>0</v>
      </c>
      <c r="P1034" s="6">
        <v>346</v>
      </c>
      <c r="Q1034" s="4" t="s">
        <v>26</v>
      </c>
      <c r="R1034" s="4">
        <v>0</v>
      </c>
      <c r="S1034" s="4" t="s">
        <v>201</v>
      </c>
      <c r="U1034" s="4">
        <v>23</v>
      </c>
      <c r="V1034" s="4">
        <v>0</v>
      </c>
      <c r="W1034" s="4">
        <v>0</v>
      </c>
    </row>
    <row r="1035" spans="1:23" ht="11.25" customHeight="1" x14ac:dyDescent="0.25">
      <c r="A1035" s="4" t="s">
        <v>27</v>
      </c>
      <c r="B1035" s="4" t="s">
        <v>35</v>
      </c>
      <c r="C1035" s="4" t="s">
        <v>36</v>
      </c>
      <c r="D1035" s="4" t="s">
        <v>42</v>
      </c>
      <c r="E1035" s="4" t="s">
        <v>25</v>
      </c>
      <c r="F1035" s="4" t="s">
        <v>25</v>
      </c>
      <c r="G1035" s="4" t="s">
        <v>25</v>
      </c>
      <c r="H1035" s="4" t="s">
        <v>25</v>
      </c>
      <c r="I1035" s="5">
        <v>44166</v>
      </c>
      <c r="J1035" s="6">
        <v>-808</v>
      </c>
      <c r="K1035" s="6">
        <v>-808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4" t="s">
        <v>26</v>
      </c>
      <c r="R1035" s="4">
        <v>0</v>
      </c>
      <c r="S1035" s="4" t="s">
        <v>201</v>
      </c>
      <c r="U1035" s="4">
        <v>23</v>
      </c>
      <c r="V1035" s="4">
        <v>0</v>
      </c>
      <c r="W1035" s="4">
        <v>0</v>
      </c>
    </row>
    <row r="1036" spans="1:23" ht="11.25" customHeight="1" x14ac:dyDescent="0.25">
      <c r="A1036" s="4" t="s">
        <v>28</v>
      </c>
      <c r="B1036" s="4" t="s">
        <v>35</v>
      </c>
      <c r="C1036" s="4" t="s">
        <v>36</v>
      </c>
      <c r="D1036" s="4" t="s">
        <v>42</v>
      </c>
      <c r="E1036" s="4" t="s">
        <v>25</v>
      </c>
      <c r="F1036" s="4" t="s">
        <v>25</v>
      </c>
      <c r="G1036" s="4" t="s">
        <v>25</v>
      </c>
      <c r="H1036" s="4" t="s">
        <v>25</v>
      </c>
      <c r="I1036" s="5">
        <v>44166</v>
      </c>
      <c r="J1036" s="6">
        <v>12157</v>
      </c>
      <c r="K1036" s="6">
        <v>12157</v>
      </c>
      <c r="L1036" s="6">
        <v>0</v>
      </c>
      <c r="M1036" s="6">
        <v>0</v>
      </c>
      <c r="N1036" s="6">
        <v>0</v>
      </c>
      <c r="O1036" s="6">
        <v>0</v>
      </c>
      <c r="P1036" s="6">
        <v>72</v>
      </c>
      <c r="Q1036" s="4" t="s">
        <v>26</v>
      </c>
      <c r="R1036" s="4">
        <v>0</v>
      </c>
      <c r="S1036" s="4" t="s">
        <v>201</v>
      </c>
      <c r="U1036" s="4">
        <v>23</v>
      </c>
      <c r="V1036" s="4">
        <v>0</v>
      </c>
      <c r="W1036" s="4">
        <v>0</v>
      </c>
    </row>
    <row r="1037" spans="1:23" ht="11.25" customHeight="1" x14ac:dyDescent="0.25">
      <c r="A1037" s="4" t="s">
        <v>30</v>
      </c>
      <c r="B1037" s="4" t="s">
        <v>35</v>
      </c>
      <c r="C1037" s="4" t="s">
        <v>36</v>
      </c>
      <c r="D1037" s="4" t="s">
        <v>42</v>
      </c>
      <c r="E1037" s="4" t="s">
        <v>25</v>
      </c>
      <c r="F1037" s="4" t="s">
        <v>25</v>
      </c>
      <c r="G1037" s="4" t="s">
        <v>25</v>
      </c>
      <c r="H1037" s="4" t="s">
        <v>25</v>
      </c>
      <c r="I1037" s="5">
        <v>44166</v>
      </c>
      <c r="J1037" s="6">
        <v>1662</v>
      </c>
      <c r="K1037" s="6">
        <v>1662</v>
      </c>
      <c r="L1037" s="6">
        <v>0</v>
      </c>
      <c r="M1037" s="6">
        <v>0</v>
      </c>
      <c r="N1037" s="6">
        <v>0</v>
      </c>
      <c r="O1037" s="6">
        <v>0</v>
      </c>
      <c r="P1037" s="6">
        <v>6</v>
      </c>
      <c r="Q1037" s="4" t="s">
        <v>26</v>
      </c>
      <c r="R1037" s="4">
        <v>0</v>
      </c>
      <c r="S1037" s="4" t="s">
        <v>201</v>
      </c>
      <c r="U1037" s="4">
        <v>23</v>
      </c>
      <c r="V1037" s="4">
        <v>0</v>
      </c>
      <c r="W1037" s="4">
        <v>0</v>
      </c>
    </row>
    <row r="1038" spans="1:23" ht="11.25" customHeight="1" x14ac:dyDescent="0.25">
      <c r="A1038" s="4" t="s">
        <v>21</v>
      </c>
      <c r="B1038" s="4" t="s">
        <v>35</v>
      </c>
      <c r="C1038" s="4" t="s">
        <v>36</v>
      </c>
      <c r="D1038" s="4" t="s">
        <v>42</v>
      </c>
      <c r="E1038" s="4" t="s">
        <v>25</v>
      </c>
      <c r="F1038" s="4" t="s">
        <v>25</v>
      </c>
      <c r="G1038" s="4" t="s">
        <v>25</v>
      </c>
      <c r="H1038" s="4" t="s">
        <v>25</v>
      </c>
      <c r="I1038" s="5">
        <v>44197</v>
      </c>
      <c r="J1038" s="6">
        <v>102774</v>
      </c>
      <c r="K1038" s="6">
        <v>102774</v>
      </c>
      <c r="L1038" s="6">
        <v>0</v>
      </c>
      <c r="M1038" s="6">
        <v>0</v>
      </c>
      <c r="N1038" s="6">
        <v>0</v>
      </c>
      <c r="O1038" s="6">
        <v>0</v>
      </c>
      <c r="P1038" s="6">
        <v>343</v>
      </c>
      <c r="Q1038" s="4" t="s">
        <v>26</v>
      </c>
      <c r="R1038" s="4">
        <v>0</v>
      </c>
      <c r="S1038" s="4" t="s">
        <v>202</v>
      </c>
      <c r="U1038" s="4">
        <v>23</v>
      </c>
      <c r="V1038" s="4">
        <v>0</v>
      </c>
      <c r="W1038" s="4">
        <v>0</v>
      </c>
    </row>
    <row r="1039" spans="1:23" ht="11.25" customHeight="1" x14ac:dyDescent="0.25">
      <c r="A1039" s="4" t="s">
        <v>27</v>
      </c>
      <c r="B1039" s="4" t="s">
        <v>35</v>
      </c>
      <c r="C1039" s="4" t="s">
        <v>36</v>
      </c>
      <c r="D1039" s="4" t="s">
        <v>42</v>
      </c>
      <c r="E1039" s="4" t="s">
        <v>25</v>
      </c>
      <c r="F1039" s="4" t="s">
        <v>25</v>
      </c>
      <c r="G1039" s="4" t="s">
        <v>25</v>
      </c>
      <c r="H1039" s="4" t="s">
        <v>25</v>
      </c>
      <c r="I1039" s="5">
        <v>44197</v>
      </c>
      <c r="J1039" s="6">
        <v>-235</v>
      </c>
      <c r="K1039" s="6">
        <v>-235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4" t="s">
        <v>26</v>
      </c>
      <c r="R1039" s="4">
        <v>0</v>
      </c>
      <c r="S1039" s="4" t="s">
        <v>202</v>
      </c>
      <c r="U1039" s="4">
        <v>23</v>
      </c>
      <c r="V1039" s="4">
        <v>0</v>
      </c>
      <c r="W1039" s="4">
        <v>0</v>
      </c>
    </row>
    <row r="1040" spans="1:23" ht="11.25" customHeight="1" x14ac:dyDescent="0.25">
      <c r="A1040" s="4" t="s">
        <v>28</v>
      </c>
      <c r="B1040" s="4" t="s">
        <v>35</v>
      </c>
      <c r="C1040" s="4" t="s">
        <v>36</v>
      </c>
      <c r="D1040" s="4" t="s">
        <v>42</v>
      </c>
      <c r="E1040" s="4" t="s">
        <v>25</v>
      </c>
      <c r="F1040" s="4" t="s">
        <v>25</v>
      </c>
      <c r="G1040" s="4" t="s">
        <v>25</v>
      </c>
      <c r="H1040" s="4" t="s">
        <v>25</v>
      </c>
      <c r="I1040" s="5">
        <v>44197</v>
      </c>
      <c r="J1040" s="6">
        <v>12493</v>
      </c>
      <c r="K1040" s="6">
        <v>12493</v>
      </c>
      <c r="L1040" s="6">
        <v>0</v>
      </c>
      <c r="M1040" s="6">
        <v>0</v>
      </c>
      <c r="N1040" s="6">
        <v>0</v>
      </c>
      <c r="O1040" s="6">
        <v>0</v>
      </c>
      <c r="P1040" s="6">
        <v>73</v>
      </c>
      <c r="Q1040" s="4" t="s">
        <v>26</v>
      </c>
      <c r="R1040" s="4">
        <v>0</v>
      </c>
      <c r="S1040" s="4" t="s">
        <v>202</v>
      </c>
      <c r="U1040" s="4">
        <v>23</v>
      </c>
      <c r="V1040" s="4">
        <v>0</v>
      </c>
      <c r="W1040" s="4">
        <v>0</v>
      </c>
    </row>
    <row r="1041" spans="1:23" ht="11.25" customHeight="1" x14ac:dyDescent="0.25">
      <c r="A1041" s="4" t="s">
        <v>29</v>
      </c>
      <c r="B1041" s="4" t="s">
        <v>35</v>
      </c>
      <c r="C1041" s="4" t="s">
        <v>36</v>
      </c>
      <c r="D1041" s="4" t="s">
        <v>42</v>
      </c>
      <c r="E1041" s="4" t="s">
        <v>25</v>
      </c>
      <c r="F1041" s="4" t="s">
        <v>25</v>
      </c>
      <c r="G1041" s="4" t="s">
        <v>25</v>
      </c>
      <c r="H1041" s="4" t="s">
        <v>25</v>
      </c>
      <c r="I1041" s="5">
        <v>44197</v>
      </c>
      <c r="J1041" s="6">
        <v>-3717</v>
      </c>
      <c r="K1041" s="6">
        <v>-3717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4" t="s">
        <v>26</v>
      </c>
      <c r="R1041" s="4">
        <v>0</v>
      </c>
      <c r="S1041" s="4" t="s">
        <v>202</v>
      </c>
      <c r="U1041" s="4">
        <v>23</v>
      </c>
      <c r="V1041" s="4">
        <v>0</v>
      </c>
      <c r="W1041" s="4">
        <v>0</v>
      </c>
    </row>
    <row r="1042" spans="1:23" ht="11.25" customHeight="1" x14ac:dyDescent="0.25">
      <c r="A1042" s="4" t="s">
        <v>30</v>
      </c>
      <c r="B1042" s="4" t="s">
        <v>35</v>
      </c>
      <c r="C1042" s="4" t="s">
        <v>36</v>
      </c>
      <c r="D1042" s="4" t="s">
        <v>42</v>
      </c>
      <c r="E1042" s="4" t="s">
        <v>25</v>
      </c>
      <c r="F1042" s="4" t="s">
        <v>25</v>
      </c>
      <c r="G1042" s="4" t="s">
        <v>25</v>
      </c>
      <c r="H1042" s="4" t="s">
        <v>25</v>
      </c>
      <c r="I1042" s="5">
        <v>44197</v>
      </c>
      <c r="J1042" s="6">
        <v>1673</v>
      </c>
      <c r="K1042" s="6">
        <v>1673</v>
      </c>
      <c r="L1042" s="6">
        <v>0</v>
      </c>
      <c r="M1042" s="6">
        <v>0</v>
      </c>
      <c r="N1042" s="6">
        <v>0</v>
      </c>
      <c r="O1042" s="6">
        <v>0</v>
      </c>
      <c r="P1042" s="6">
        <v>6</v>
      </c>
      <c r="Q1042" s="4" t="s">
        <v>26</v>
      </c>
      <c r="R1042" s="4">
        <v>0</v>
      </c>
      <c r="S1042" s="4" t="s">
        <v>202</v>
      </c>
      <c r="U1042" s="4">
        <v>23</v>
      </c>
      <c r="V1042" s="4">
        <v>0</v>
      </c>
      <c r="W1042" s="4">
        <v>0</v>
      </c>
    </row>
    <row r="1043" spans="1:23" ht="11.25" customHeight="1" x14ac:dyDescent="0.25">
      <c r="A1043" s="4" t="s">
        <v>21</v>
      </c>
      <c r="B1043" s="4" t="s">
        <v>35</v>
      </c>
      <c r="C1043" s="4" t="s">
        <v>36</v>
      </c>
      <c r="D1043" s="4" t="s">
        <v>42</v>
      </c>
      <c r="E1043" s="4" t="s">
        <v>25</v>
      </c>
      <c r="F1043" s="4" t="s">
        <v>25</v>
      </c>
      <c r="G1043" s="4" t="s">
        <v>25</v>
      </c>
      <c r="H1043" s="4" t="s">
        <v>25</v>
      </c>
      <c r="I1043" s="5">
        <v>44228</v>
      </c>
      <c r="J1043" s="6">
        <v>101003</v>
      </c>
      <c r="K1043" s="6">
        <v>101003</v>
      </c>
      <c r="L1043" s="6">
        <v>0</v>
      </c>
      <c r="M1043" s="6">
        <v>0</v>
      </c>
      <c r="N1043" s="6">
        <v>0</v>
      </c>
      <c r="O1043" s="6">
        <v>0</v>
      </c>
      <c r="P1043" s="6">
        <v>347</v>
      </c>
      <c r="Q1043" s="4" t="s">
        <v>26</v>
      </c>
      <c r="R1043" s="4">
        <v>0</v>
      </c>
      <c r="S1043" s="4" t="s">
        <v>203</v>
      </c>
      <c r="U1043" s="4">
        <v>23</v>
      </c>
      <c r="V1043" s="4">
        <v>0</v>
      </c>
      <c r="W1043" s="4">
        <v>0</v>
      </c>
    </row>
    <row r="1044" spans="1:23" ht="11.25" customHeight="1" x14ac:dyDescent="0.25">
      <c r="A1044" s="4" t="s">
        <v>27</v>
      </c>
      <c r="B1044" s="4" t="s">
        <v>35</v>
      </c>
      <c r="C1044" s="4" t="s">
        <v>36</v>
      </c>
      <c r="D1044" s="4" t="s">
        <v>42</v>
      </c>
      <c r="E1044" s="4" t="s">
        <v>25</v>
      </c>
      <c r="F1044" s="4" t="s">
        <v>25</v>
      </c>
      <c r="G1044" s="4" t="s">
        <v>25</v>
      </c>
      <c r="H1044" s="4" t="s">
        <v>25</v>
      </c>
      <c r="I1044" s="5">
        <v>44228</v>
      </c>
      <c r="J1044" s="6">
        <v>-2862</v>
      </c>
      <c r="K1044" s="6">
        <v>-2862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4" t="s">
        <v>26</v>
      </c>
      <c r="R1044" s="4">
        <v>0</v>
      </c>
      <c r="S1044" s="4" t="s">
        <v>203</v>
      </c>
      <c r="U1044" s="4">
        <v>23</v>
      </c>
      <c r="V1044" s="4">
        <v>0</v>
      </c>
      <c r="W1044" s="4">
        <v>0</v>
      </c>
    </row>
    <row r="1045" spans="1:23" ht="11.25" customHeight="1" x14ac:dyDescent="0.25">
      <c r="A1045" s="4" t="s">
        <v>28</v>
      </c>
      <c r="B1045" s="4" t="s">
        <v>35</v>
      </c>
      <c r="C1045" s="4" t="s">
        <v>36</v>
      </c>
      <c r="D1045" s="4" t="s">
        <v>42</v>
      </c>
      <c r="E1045" s="4" t="s">
        <v>25</v>
      </c>
      <c r="F1045" s="4" t="s">
        <v>25</v>
      </c>
      <c r="G1045" s="4" t="s">
        <v>25</v>
      </c>
      <c r="H1045" s="4" t="s">
        <v>25</v>
      </c>
      <c r="I1045" s="5">
        <v>44228</v>
      </c>
      <c r="J1045" s="6">
        <v>11986</v>
      </c>
      <c r="K1045" s="6">
        <v>11986</v>
      </c>
      <c r="L1045" s="6">
        <v>0</v>
      </c>
      <c r="M1045" s="6">
        <v>0</v>
      </c>
      <c r="N1045" s="6">
        <v>0</v>
      </c>
      <c r="O1045" s="6">
        <v>0</v>
      </c>
      <c r="P1045" s="6">
        <v>71</v>
      </c>
      <c r="Q1045" s="4" t="s">
        <v>26</v>
      </c>
      <c r="R1045" s="4">
        <v>0</v>
      </c>
      <c r="S1045" s="4" t="s">
        <v>203</v>
      </c>
      <c r="U1045" s="4">
        <v>23</v>
      </c>
      <c r="V1045" s="4">
        <v>0</v>
      </c>
      <c r="W1045" s="4">
        <v>0</v>
      </c>
    </row>
    <row r="1046" spans="1:23" ht="11.25" customHeight="1" x14ac:dyDescent="0.25">
      <c r="A1046" s="4" t="s">
        <v>29</v>
      </c>
      <c r="B1046" s="4" t="s">
        <v>35</v>
      </c>
      <c r="C1046" s="4" t="s">
        <v>36</v>
      </c>
      <c r="D1046" s="4" t="s">
        <v>42</v>
      </c>
      <c r="E1046" s="4" t="s">
        <v>25</v>
      </c>
      <c r="F1046" s="4" t="s">
        <v>25</v>
      </c>
      <c r="G1046" s="4" t="s">
        <v>25</v>
      </c>
      <c r="H1046" s="4" t="s">
        <v>25</v>
      </c>
      <c r="I1046" s="5">
        <v>44228</v>
      </c>
      <c r="J1046" s="6">
        <v>-511</v>
      </c>
      <c r="K1046" s="6">
        <v>-511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4" t="s">
        <v>26</v>
      </c>
      <c r="R1046" s="4">
        <v>0</v>
      </c>
      <c r="S1046" s="4" t="s">
        <v>203</v>
      </c>
      <c r="U1046" s="4">
        <v>23</v>
      </c>
      <c r="V1046" s="4">
        <v>0</v>
      </c>
      <c r="W1046" s="4">
        <v>0</v>
      </c>
    </row>
    <row r="1047" spans="1:23" ht="11.25" customHeight="1" x14ac:dyDescent="0.25">
      <c r="A1047" s="4" t="s">
        <v>30</v>
      </c>
      <c r="B1047" s="4" t="s">
        <v>35</v>
      </c>
      <c r="C1047" s="4" t="s">
        <v>36</v>
      </c>
      <c r="D1047" s="4" t="s">
        <v>42</v>
      </c>
      <c r="E1047" s="4" t="s">
        <v>25</v>
      </c>
      <c r="F1047" s="4" t="s">
        <v>25</v>
      </c>
      <c r="G1047" s="4" t="s">
        <v>25</v>
      </c>
      <c r="H1047" s="4" t="s">
        <v>25</v>
      </c>
      <c r="I1047" s="5">
        <v>44228</v>
      </c>
      <c r="J1047" s="6">
        <v>1706</v>
      </c>
      <c r="K1047" s="6">
        <v>1706</v>
      </c>
      <c r="L1047" s="6">
        <v>0</v>
      </c>
      <c r="M1047" s="6">
        <v>0</v>
      </c>
      <c r="N1047" s="6">
        <v>0</v>
      </c>
      <c r="O1047" s="6">
        <v>0</v>
      </c>
      <c r="P1047" s="6">
        <v>7</v>
      </c>
      <c r="Q1047" s="4" t="s">
        <v>26</v>
      </c>
      <c r="R1047" s="4">
        <v>0</v>
      </c>
      <c r="S1047" s="4" t="s">
        <v>203</v>
      </c>
      <c r="U1047" s="4">
        <v>23</v>
      </c>
      <c r="V1047" s="4">
        <v>0</v>
      </c>
      <c r="W1047" s="4">
        <v>0</v>
      </c>
    </row>
    <row r="1048" spans="1:23" ht="11.25" customHeight="1" x14ac:dyDescent="0.25">
      <c r="A1048" s="4" t="s">
        <v>21</v>
      </c>
      <c r="B1048" s="4" t="s">
        <v>35</v>
      </c>
      <c r="C1048" s="4" t="s">
        <v>36</v>
      </c>
      <c r="D1048" s="4" t="s">
        <v>42</v>
      </c>
      <c r="E1048" s="4" t="s">
        <v>25</v>
      </c>
      <c r="F1048" s="4" t="s">
        <v>25</v>
      </c>
      <c r="G1048" s="4" t="s">
        <v>25</v>
      </c>
      <c r="H1048" s="4" t="s">
        <v>25</v>
      </c>
      <c r="I1048" s="5">
        <v>44256</v>
      </c>
      <c r="J1048" s="6">
        <v>101006</v>
      </c>
      <c r="K1048" s="6">
        <v>101006</v>
      </c>
      <c r="L1048" s="6">
        <v>0</v>
      </c>
      <c r="M1048" s="6">
        <v>0</v>
      </c>
      <c r="N1048" s="6">
        <v>0</v>
      </c>
      <c r="O1048" s="6">
        <v>0</v>
      </c>
      <c r="P1048" s="6">
        <v>345</v>
      </c>
      <c r="Q1048" s="4" t="s">
        <v>26</v>
      </c>
      <c r="R1048" s="4">
        <v>0</v>
      </c>
      <c r="S1048" s="4" t="s">
        <v>204</v>
      </c>
      <c r="U1048" s="4">
        <v>23</v>
      </c>
      <c r="V1048" s="4">
        <v>0</v>
      </c>
      <c r="W1048" s="4">
        <v>0</v>
      </c>
    </row>
    <row r="1049" spans="1:23" ht="11.25" customHeight="1" x14ac:dyDescent="0.25">
      <c r="A1049" s="4" t="s">
        <v>28</v>
      </c>
      <c r="B1049" s="4" t="s">
        <v>35</v>
      </c>
      <c r="C1049" s="4" t="s">
        <v>36</v>
      </c>
      <c r="D1049" s="4" t="s">
        <v>42</v>
      </c>
      <c r="E1049" s="4" t="s">
        <v>25</v>
      </c>
      <c r="F1049" s="4" t="s">
        <v>25</v>
      </c>
      <c r="G1049" s="4" t="s">
        <v>25</v>
      </c>
      <c r="H1049" s="4" t="s">
        <v>25</v>
      </c>
      <c r="I1049" s="5">
        <v>44256</v>
      </c>
      <c r="J1049" s="6">
        <v>12321</v>
      </c>
      <c r="K1049" s="6">
        <v>12321</v>
      </c>
      <c r="L1049" s="6">
        <v>0</v>
      </c>
      <c r="M1049" s="6">
        <v>0</v>
      </c>
      <c r="N1049" s="6">
        <v>0</v>
      </c>
      <c r="O1049" s="6">
        <v>0</v>
      </c>
      <c r="P1049" s="6">
        <v>71</v>
      </c>
      <c r="Q1049" s="4" t="s">
        <v>26</v>
      </c>
      <c r="R1049" s="4">
        <v>0</v>
      </c>
      <c r="S1049" s="4" t="s">
        <v>204</v>
      </c>
      <c r="U1049" s="4">
        <v>23</v>
      </c>
      <c r="V1049" s="4">
        <v>0</v>
      </c>
      <c r="W1049" s="4">
        <v>0</v>
      </c>
    </row>
    <row r="1050" spans="1:23" ht="11.25" customHeight="1" x14ac:dyDescent="0.25">
      <c r="A1050" s="4" t="s">
        <v>29</v>
      </c>
      <c r="B1050" s="4" t="s">
        <v>35</v>
      </c>
      <c r="C1050" s="4" t="s">
        <v>36</v>
      </c>
      <c r="D1050" s="4" t="s">
        <v>42</v>
      </c>
      <c r="E1050" s="4" t="s">
        <v>25</v>
      </c>
      <c r="F1050" s="4" t="s">
        <v>25</v>
      </c>
      <c r="G1050" s="4" t="s">
        <v>25</v>
      </c>
      <c r="H1050" s="4" t="s">
        <v>25</v>
      </c>
      <c r="I1050" s="5">
        <v>44256</v>
      </c>
      <c r="J1050" s="6">
        <v>-275</v>
      </c>
      <c r="K1050" s="6">
        <v>-275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4" t="s">
        <v>26</v>
      </c>
      <c r="R1050" s="4">
        <v>0</v>
      </c>
      <c r="S1050" s="4" t="s">
        <v>204</v>
      </c>
      <c r="U1050" s="4">
        <v>23</v>
      </c>
      <c r="V1050" s="4">
        <v>0</v>
      </c>
      <c r="W1050" s="4">
        <v>0</v>
      </c>
    </row>
    <row r="1051" spans="1:23" ht="11.25" customHeight="1" x14ac:dyDescent="0.25">
      <c r="A1051" s="4" t="s">
        <v>30</v>
      </c>
      <c r="B1051" s="4" t="s">
        <v>35</v>
      </c>
      <c r="C1051" s="4" t="s">
        <v>36</v>
      </c>
      <c r="D1051" s="4" t="s">
        <v>42</v>
      </c>
      <c r="E1051" s="4" t="s">
        <v>25</v>
      </c>
      <c r="F1051" s="4" t="s">
        <v>25</v>
      </c>
      <c r="G1051" s="4" t="s">
        <v>25</v>
      </c>
      <c r="H1051" s="4" t="s">
        <v>25</v>
      </c>
      <c r="I1051" s="5">
        <v>44256</v>
      </c>
      <c r="J1051" s="6">
        <v>1745</v>
      </c>
      <c r="K1051" s="6">
        <v>1745</v>
      </c>
      <c r="L1051" s="6">
        <v>0</v>
      </c>
      <c r="M1051" s="6">
        <v>0</v>
      </c>
      <c r="N1051" s="6">
        <v>0</v>
      </c>
      <c r="O1051" s="6">
        <v>0</v>
      </c>
      <c r="P1051" s="6">
        <v>8</v>
      </c>
      <c r="Q1051" s="4" t="s">
        <v>26</v>
      </c>
      <c r="R1051" s="4">
        <v>0</v>
      </c>
      <c r="S1051" s="4" t="s">
        <v>204</v>
      </c>
      <c r="U1051" s="4">
        <v>23</v>
      </c>
      <c r="V1051" s="4">
        <v>0</v>
      </c>
      <c r="W1051" s="4">
        <v>0</v>
      </c>
    </row>
    <row r="1052" spans="1:23" ht="11.25" customHeight="1" x14ac:dyDescent="0.25">
      <c r="A1052" s="4" t="s">
        <v>21</v>
      </c>
      <c r="B1052" s="4" t="s">
        <v>35</v>
      </c>
      <c r="C1052" s="4" t="s">
        <v>36</v>
      </c>
      <c r="D1052" s="4" t="s">
        <v>42</v>
      </c>
      <c r="E1052" s="4" t="s">
        <v>25</v>
      </c>
      <c r="F1052" s="4" t="s">
        <v>25</v>
      </c>
      <c r="G1052" s="4" t="s">
        <v>25</v>
      </c>
      <c r="H1052" s="4" t="s">
        <v>25</v>
      </c>
      <c r="I1052" s="5">
        <v>44287</v>
      </c>
      <c r="J1052" s="6">
        <v>100295</v>
      </c>
      <c r="K1052" s="6">
        <v>100295</v>
      </c>
      <c r="L1052" s="6">
        <v>0</v>
      </c>
      <c r="M1052" s="6">
        <v>0</v>
      </c>
      <c r="N1052" s="6">
        <v>0</v>
      </c>
      <c r="O1052" s="6">
        <v>0</v>
      </c>
      <c r="P1052" s="6">
        <v>341</v>
      </c>
      <c r="Q1052" s="4" t="s">
        <v>26</v>
      </c>
      <c r="R1052" s="4">
        <v>0</v>
      </c>
      <c r="S1052" s="4" t="s">
        <v>205</v>
      </c>
      <c r="U1052" s="4">
        <v>23</v>
      </c>
      <c r="V1052" s="4">
        <v>0</v>
      </c>
      <c r="W1052" s="4">
        <v>0</v>
      </c>
    </row>
    <row r="1053" spans="1:23" ht="11.25" customHeight="1" x14ac:dyDescent="0.25">
      <c r="A1053" s="4" t="s">
        <v>27</v>
      </c>
      <c r="B1053" s="4" t="s">
        <v>35</v>
      </c>
      <c r="C1053" s="4" t="s">
        <v>36</v>
      </c>
      <c r="D1053" s="4" t="s">
        <v>42</v>
      </c>
      <c r="E1053" s="4" t="s">
        <v>25</v>
      </c>
      <c r="F1053" s="4" t="s">
        <v>25</v>
      </c>
      <c r="G1053" s="4" t="s">
        <v>25</v>
      </c>
      <c r="H1053" s="4" t="s">
        <v>25</v>
      </c>
      <c r="I1053" s="5">
        <v>44287</v>
      </c>
      <c r="J1053" s="6">
        <v>-156</v>
      </c>
      <c r="K1053" s="6">
        <v>-156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4" t="s">
        <v>26</v>
      </c>
      <c r="R1053" s="4">
        <v>0</v>
      </c>
      <c r="S1053" s="4" t="s">
        <v>205</v>
      </c>
      <c r="U1053" s="4">
        <v>23</v>
      </c>
      <c r="V1053" s="4">
        <v>0</v>
      </c>
      <c r="W1053" s="4">
        <v>0</v>
      </c>
    </row>
    <row r="1054" spans="1:23" ht="11.25" customHeight="1" x14ac:dyDescent="0.25">
      <c r="A1054" s="4" t="s">
        <v>28</v>
      </c>
      <c r="B1054" s="4" t="s">
        <v>35</v>
      </c>
      <c r="C1054" s="4" t="s">
        <v>36</v>
      </c>
      <c r="D1054" s="4" t="s">
        <v>42</v>
      </c>
      <c r="E1054" s="4" t="s">
        <v>25</v>
      </c>
      <c r="F1054" s="4" t="s">
        <v>25</v>
      </c>
      <c r="G1054" s="4" t="s">
        <v>25</v>
      </c>
      <c r="H1054" s="4" t="s">
        <v>25</v>
      </c>
      <c r="I1054" s="5">
        <v>44287</v>
      </c>
      <c r="J1054" s="6">
        <v>10978</v>
      </c>
      <c r="K1054" s="6">
        <v>10978</v>
      </c>
      <c r="L1054" s="6">
        <v>0</v>
      </c>
      <c r="M1054" s="6">
        <v>0</v>
      </c>
      <c r="N1054" s="6">
        <v>0</v>
      </c>
      <c r="O1054" s="6">
        <v>0</v>
      </c>
      <c r="P1054" s="6">
        <v>70</v>
      </c>
      <c r="Q1054" s="4" t="s">
        <v>26</v>
      </c>
      <c r="R1054" s="4">
        <v>0</v>
      </c>
      <c r="S1054" s="4" t="s">
        <v>205</v>
      </c>
      <c r="U1054" s="4">
        <v>23</v>
      </c>
      <c r="V1054" s="4">
        <v>0</v>
      </c>
      <c r="W1054" s="4">
        <v>0</v>
      </c>
    </row>
    <row r="1055" spans="1:23" ht="11.25" customHeight="1" x14ac:dyDescent="0.25">
      <c r="A1055" s="4" t="s">
        <v>29</v>
      </c>
      <c r="B1055" s="4" t="s">
        <v>35</v>
      </c>
      <c r="C1055" s="4" t="s">
        <v>36</v>
      </c>
      <c r="D1055" s="4" t="s">
        <v>42</v>
      </c>
      <c r="E1055" s="4" t="s">
        <v>25</v>
      </c>
      <c r="F1055" s="4" t="s">
        <v>25</v>
      </c>
      <c r="G1055" s="4" t="s">
        <v>25</v>
      </c>
      <c r="H1055" s="4" t="s">
        <v>25</v>
      </c>
      <c r="I1055" s="5">
        <v>44287</v>
      </c>
      <c r="J1055" s="6">
        <v>-7976</v>
      </c>
      <c r="K1055" s="6">
        <v>-7976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4" t="s">
        <v>26</v>
      </c>
      <c r="R1055" s="4">
        <v>0</v>
      </c>
      <c r="S1055" s="4" t="s">
        <v>205</v>
      </c>
      <c r="U1055" s="4">
        <v>23</v>
      </c>
      <c r="V1055" s="4">
        <v>0</v>
      </c>
      <c r="W1055" s="4">
        <v>0</v>
      </c>
    </row>
    <row r="1056" spans="1:23" ht="11.25" customHeight="1" x14ac:dyDescent="0.25">
      <c r="A1056" s="4" t="s">
        <v>30</v>
      </c>
      <c r="B1056" s="4" t="s">
        <v>35</v>
      </c>
      <c r="C1056" s="4" t="s">
        <v>36</v>
      </c>
      <c r="D1056" s="4" t="s">
        <v>42</v>
      </c>
      <c r="E1056" s="4" t="s">
        <v>25</v>
      </c>
      <c r="F1056" s="4" t="s">
        <v>25</v>
      </c>
      <c r="G1056" s="4" t="s">
        <v>25</v>
      </c>
      <c r="H1056" s="4" t="s">
        <v>25</v>
      </c>
      <c r="I1056" s="5">
        <v>44287</v>
      </c>
      <c r="J1056" s="6">
        <v>2533</v>
      </c>
      <c r="K1056" s="6">
        <v>2533</v>
      </c>
      <c r="L1056" s="6">
        <v>0</v>
      </c>
      <c r="M1056" s="6">
        <v>0</v>
      </c>
      <c r="N1056" s="6">
        <v>0</v>
      </c>
      <c r="O1056" s="6">
        <v>0</v>
      </c>
      <c r="P1056" s="6">
        <v>9</v>
      </c>
      <c r="Q1056" s="4" t="s">
        <v>26</v>
      </c>
      <c r="R1056" s="4">
        <v>0</v>
      </c>
      <c r="S1056" s="4" t="s">
        <v>205</v>
      </c>
      <c r="U1056" s="4">
        <v>23</v>
      </c>
      <c r="V1056" s="4">
        <v>0</v>
      </c>
      <c r="W1056" s="4">
        <v>0</v>
      </c>
    </row>
    <row r="1057" spans="1:23" ht="11.25" customHeight="1" x14ac:dyDescent="0.25">
      <c r="A1057" s="4" t="s">
        <v>21</v>
      </c>
      <c r="B1057" s="4" t="s">
        <v>35</v>
      </c>
      <c r="C1057" s="4" t="s">
        <v>36</v>
      </c>
      <c r="D1057" s="4" t="s">
        <v>42</v>
      </c>
      <c r="E1057" s="4" t="s">
        <v>25</v>
      </c>
      <c r="F1057" s="4" t="s">
        <v>25</v>
      </c>
      <c r="G1057" s="4" t="s">
        <v>25</v>
      </c>
      <c r="H1057" s="4" t="s">
        <v>25</v>
      </c>
      <c r="I1057" s="5">
        <v>44317</v>
      </c>
      <c r="J1057" s="6">
        <v>99403</v>
      </c>
      <c r="K1057" s="6">
        <v>99403</v>
      </c>
      <c r="L1057" s="6">
        <v>0</v>
      </c>
      <c r="M1057" s="6">
        <v>0</v>
      </c>
      <c r="N1057" s="6">
        <v>0</v>
      </c>
      <c r="O1057" s="6">
        <v>0</v>
      </c>
      <c r="P1057" s="6">
        <v>339</v>
      </c>
      <c r="Q1057" s="4" t="s">
        <v>26</v>
      </c>
      <c r="R1057" s="4">
        <v>0</v>
      </c>
      <c r="S1057" s="4" t="s">
        <v>206</v>
      </c>
      <c r="U1057" s="4">
        <v>23</v>
      </c>
      <c r="V1057" s="4">
        <v>0</v>
      </c>
      <c r="W1057" s="4">
        <v>0</v>
      </c>
    </row>
    <row r="1058" spans="1:23" ht="11.25" customHeight="1" x14ac:dyDescent="0.25">
      <c r="A1058" s="4" t="s">
        <v>27</v>
      </c>
      <c r="B1058" s="4" t="s">
        <v>35</v>
      </c>
      <c r="C1058" s="4" t="s">
        <v>36</v>
      </c>
      <c r="D1058" s="4" t="s">
        <v>42</v>
      </c>
      <c r="E1058" s="4" t="s">
        <v>25</v>
      </c>
      <c r="F1058" s="4" t="s">
        <v>25</v>
      </c>
      <c r="G1058" s="4" t="s">
        <v>25</v>
      </c>
      <c r="H1058" s="4" t="s">
        <v>25</v>
      </c>
      <c r="I1058" s="5">
        <v>44317</v>
      </c>
      <c r="J1058" s="6">
        <v>-1366</v>
      </c>
      <c r="K1058" s="6">
        <v>-1366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4" t="s">
        <v>26</v>
      </c>
      <c r="R1058" s="4">
        <v>0</v>
      </c>
      <c r="S1058" s="4" t="s">
        <v>206</v>
      </c>
      <c r="U1058" s="4">
        <v>23</v>
      </c>
      <c r="V1058" s="4">
        <v>0</v>
      </c>
      <c r="W1058" s="4">
        <v>0</v>
      </c>
    </row>
    <row r="1059" spans="1:23" ht="11.25" customHeight="1" x14ac:dyDescent="0.25">
      <c r="A1059" s="4" t="s">
        <v>28</v>
      </c>
      <c r="B1059" s="4" t="s">
        <v>35</v>
      </c>
      <c r="C1059" s="4" t="s">
        <v>36</v>
      </c>
      <c r="D1059" s="4" t="s">
        <v>42</v>
      </c>
      <c r="E1059" s="4" t="s">
        <v>25</v>
      </c>
      <c r="F1059" s="4" t="s">
        <v>25</v>
      </c>
      <c r="G1059" s="4" t="s">
        <v>25</v>
      </c>
      <c r="H1059" s="4" t="s">
        <v>25</v>
      </c>
      <c r="I1059" s="5">
        <v>44317</v>
      </c>
      <c r="J1059" s="6">
        <v>10533</v>
      </c>
      <c r="K1059" s="6">
        <v>10533</v>
      </c>
      <c r="L1059" s="6">
        <v>0</v>
      </c>
      <c r="M1059" s="6">
        <v>0</v>
      </c>
      <c r="N1059" s="6">
        <v>0</v>
      </c>
      <c r="O1059" s="6">
        <v>0</v>
      </c>
      <c r="P1059" s="6">
        <v>69</v>
      </c>
      <c r="Q1059" s="4" t="s">
        <v>26</v>
      </c>
      <c r="R1059" s="4">
        <v>0</v>
      </c>
      <c r="S1059" s="4" t="s">
        <v>206</v>
      </c>
      <c r="U1059" s="4">
        <v>23</v>
      </c>
      <c r="V1059" s="4">
        <v>0</v>
      </c>
      <c r="W1059" s="4">
        <v>0</v>
      </c>
    </row>
    <row r="1060" spans="1:23" ht="11.25" customHeight="1" x14ac:dyDescent="0.25">
      <c r="A1060" s="4" t="s">
        <v>29</v>
      </c>
      <c r="B1060" s="4" t="s">
        <v>35</v>
      </c>
      <c r="C1060" s="4" t="s">
        <v>36</v>
      </c>
      <c r="D1060" s="4" t="s">
        <v>42</v>
      </c>
      <c r="E1060" s="4" t="s">
        <v>25</v>
      </c>
      <c r="F1060" s="4" t="s">
        <v>25</v>
      </c>
      <c r="G1060" s="4" t="s">
        <v>25</v>
      </c>
      <c r="H1060" s="4" t="s">
        <v>25</v>
      </c>
      <c r="I1060" s="5">
        <v>44317</v>
      </c>
      <c r="J1060" s="6">
        <v>-257</v>
      </c>
      <c r="K1060" s="6">
        <v>-257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4" t="s">
        <v>26</v>
      </c>
      <c r="R1060" s="4">
        <v>0</v>
      </c>
      <c r="S1060" s="4" t="s">
        <v>206</v>
      </c>
      <c r="U1060" s="4">
        <v>23</v>
      </c>
      <c r="V1060" s="4">
        <v>0</v>
      </c>
      <c r="W1060" s="4">
        <v>0</v>
      </c>
    </row>
    <row r="1061" spans="1:23" ht="11.25" customHeight="1" x14ac:dyDescent="0.25">
      <c r="A1061" s="4" t="s">
        <v>30</v>
      </c>
      <c r="B1061" s="4" t="s">
        <v>35</v>
      </c>
      <c r="C1061" s="4" t="s">
        <v>36</v>
      </c>
      <c r="D1061" s="4" t="s">
        <v>42</v>
      </c>
      <c r="E1061" s="4" t="s">
        <v>25</v>
      </c>
      <c r="F1061" s="4" t="s">
        <v>25</v>
      </c>
      <c r="G1061" s="4" t="s">
        <v>25</v>
      </c>
      <c r="H1061" s="4" t="s">
        <v>25</v>
      </c>
      <c r="I1061" s="5">
        <v>44317</v>
      </c>
      <c r="J1061" s="6">
        <v>2511</v>
      </c>
      <c r="K1061" s="6">
        <v>2511</v>
      </c>
      <c r="L1061" s="6">
        <v>0</v>
      </c>
      <c r="M1061" s="6">
        <v>0</v>
      </c>
      <c r="N1061" s="6">
        <v>0</v>
      </c>
      <c r="O1061" s="6">
        <v>0</v>
      </c>
      <c r="P1061" s="6">
        <v>9</v>
      </c>
      <c r="Q1061" s="4" t="s">
        <v>26</v>
      </c>
      <c r="R1061" s="4">
        <v>0</v>
      </c>
      <c r="S1061" s="4" t="s">
        <v>206</v>
      </c>
      <c r="U1061" s="4">
        <v>23</v>
      </c>
      <c r="V1061" s="4">
        <v>0</v>
      </c>
      <c r="W1061" s="4">
        <v>0</v>
      </c>
    </row>
    <row r="1062" spans="1:23" ht="11.25" customHeight="1" x14ac:dyDescent="0.25">
      <c r="A1062" s="4" t="s">
        <v>21</v>
      </c>
      <c r="B1062" s="4" t="s">
        <v>35</v>
      </c>
      <c r="C1062" s="4" t="s">
        <v>36</v>
      </c>
      <c r="D1062" s="4" t="s">
        <v>42</v>
      </c>
      <c r="E1062" s="4" t="s">
        <v>25</v>
      </c>
      <c r="F1062" s="4" t="s">
        <v>25</v>
      </c>
      <c r="G1062" s="4" t="s">
        <v>25</v>
      </c>
      <c r="H1062" s="4" t="s">
        <v>25</v>
      </c>
      <c r="I1062" s="5">
        <v>44317</v>
      </c>
      <c r="J1062" s="6">
        <v>185</v>
      </c>
      <c r="K1062" s="6">
        <v>185</v>
      </c>
      <c r="L1062" s="6">
        <v>0</v>
      </c>
      <c r="M1062" s="6">
        <v>0</v>
      </c>
      <c r="N1062" s="6">
        <v>0</v>
      </c>
      <c r="O1062" s="6">
        <v>0</v>
      </c>
      <c r="P1062" s="6">
        <v>1</v>
      </c>
      <c r="Q1062" s="4" t="s">
        <v>60</v>
      </c>
      <c r="R1062" s="4">
        <v>0</v>
      </c>
      <c r="S1062" s="4" t="s">
        <v>206</v>
      </c>
      <c r="U1062" s="4">
        <v>23</v>
      </c>
      <c r="V1062" s="4">
        <v>0</v>
      </c>
      <c r="W1062" s="4">
        <v>0</v>
      </c>
    </row>
    <row r="1063" spans="1:23" ht="11.25" customHeight="1" x14ac:dyDescent="0.25">
      <c r="A1063" s="4" t="s">
        <v>21</v>
      </c>
      <c r="B1063" s="4" t="s">
        <v>35</v>
      </c>
      <c r="C1063" s="4" t="s">
        <v>36</v>
      </c>
      <c r="D1063" s="4" t="s">
        <v>42</v>
      </c>
      <c r="E1063" s="4" t="s">
        <v>25</v>
      </c>
      <c r="F1063" s="4" t="s">
        <v>25</v>
      </c>
      <c r="G1063" s="4" t="s">
        <v>25</v>
      </c>
      <c r="H1063" s="4" t="s">
        <v>25</v>
      </c>
      <c r="I1063" s="5">
        <v>44348</v>
      </c>
      <c r="J1063" s="6">
        <v>102103</v>
      </c>
      <c r="K1063" s="6">
        <v>102103</v>
      </c>
      <c r="L1063" s="6">
        <v>0</v>
      </c>
      <c r="M1063" s="6">
        <v>0</v>
      </c>
      <c r="N1063" s="6">
        <v>0</v>
      </c>
      <c r="O1063" s="6">
        <v>0</v>
      </c>
      <c r="P1063" s="6">
        <v>349</v>
      </c>
      <c r="Q1063" s="4" t="s">
        <v>26</v>
      </c>
      <c r="R1063" s="4">
        <v>0</v>
      </c>
      <c r="S1063" s="4" t="s">
        <v>207</v>
      </c>
      <c r="U1063" s="4">
        <v>23</v>
      </c>
      <c r="V1063" s="4">
        <v>0</v>
      </c>
      <c r="W1063" s="4">
        <v>0</v>
      </c>
    </row>
    <row r="1064" spans="1:23" ht="11.25" customHeight="1" x14ac:dyDescent="0.25">
      <c r="A1064" s="4" t="s">
        <v>27</v>
      </c>
      <c r="B1064" s="4" t="s">
        <v>35</v>
      </c>
      <c r="C1064" s="4" t="s">
        <v>36</v>
      </c>
      <c r="D1064" s="4" t="s">
        <v>42</v>
      </c>
      <c r="E1064" s="4" t="s">
        <v>25</v>
      </c>
      <c r="F1064" s="4" t="s">
        <v>25</v>
      </c>
      <c r="G1064" s="4" t="s">
        <v>25</v>
      </c>
      <c r="H1064" s="4" t="s">
        <v>25</v>
      </c>
      <c r="I1064" s="5">
        <v>44348</v>
      </c>
      <c r="J1064" s="6">
        <v>1895</v>
      </c>
      <c r="K1064" s="6">
        <v>1895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4" t="s">
        <v>26</v>
      </c>
      <c r="R1064" s="4">
        <v>0</v>
      </c>
      <c r="S1064" s="4" t="s">
        <v>207</v>
      </c>
      <c r="U1064" s="4">
        <v>23</v>
      </c>
      <c r="V1064" s="4">
        <v>0</v>
      </c>
      <c r="W1064" s="4">
        <v>0</v>
      </c>
    </row>
    <row r="1065" spans="1:23" ht="11.25" customHeight="1" x14ac:dyDescent="0.25">
      <c r="A1065" s="4" t="s">
        <v>28</v>
      </c>
      <c r="B1065" s="4" t="s">
        <v>35</v>
      </c>
      <c r="C1065" s="4" t="s">
        <v>36</v>
      </c>
      <c r="D1065" s="4" t="s">
        <v>42</v>
      </c>
      <c r="E1065" s="4" t="s">
        <v>25</v>
      </c>
      <c r="F1065" s="4" t="s">
        <v>25</v>
      </c>
      <c r="G1065" s="4" t="s">
        <v>25</v>
      </c>
      <c r="H1065" s="4" t="s">
        <v>25</v>
      </c>
      <c r="I1065" s="5">
        <v>44348</v>
      </c>
      <c r="J1065" s="6">
        <v>10615</v>
      </c>
      <c r="K1065" s="6">
        <v>10615</v>
      </c>
      <c r="L1065" s="6">
        <v>0</v>
      </c>
      <c r="M1065" s="6">
        <v>0</v>
      </c>
      <c r="N1065" s="6">
        <v>0</v>
      </c>
      <c r="O1065" s="6">
        <v>0</v>
      </c>
      <c r="P1065" s="6">
        <v>69</v>
      </c>
      <c r="Q1065" s="4" t="s">
        <v>26</v>
      </c>
      <c r="R1065" s="4">
        <v>0</v>
      </c>
      <c r="S1065" s="4" t="s">
        <v>207</v>
      </c>
      <c r="U1065" s="4">
        <v>23</v>
      </c>
      <c r="V1065" s="4">
        <v>0</v>
      </c>
      <c r="W1065" s="4">
        <v>0</v>
      </c>
    </row>
    <row r="1066" spans="1:23" ht="11.25" customHeight="1" x14ac:dyDescent="0.25">
      <c r="A1066" s="4" t="s">
        <v>29</v>
      </c>
      <c r="B1066" s="4" t="s">
        <v>35</v>
      </c>
      <c r="C1066" s="4" t="s">
        <v>36</v>
      </c>
      <c r="D1066" s="4" t="s">
        <v>42</v>
      </c>
      <c r="E1066" s="4" t="s">
        <v>25</v>
      </c>
      <c r="F1066" s="4" t="s">
        <v>25</v>
      </c>
      <c r="G1066" s="4" t="s">
        <v>25</v>
      </c>
      <c r="H1066" s="4" t="s">
        <v>25</v>
      </c>
      <c r="I1066" s="5">
        <v>44348</v>
      </c>
      <c r="J1066" s="6">
        <v>-49</v>
      </c>
      <c r="K1066" s="6">
        <v>-49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4" t="s">
        <v>26</v>
      </c>
      <c r="R1066" s="4">
        <v>0</v>
      </c>
      <c r="S1066" s="4" t="s">
        <v>207</v>
      </c>
      <c r="U1066" s="4">
        <v>23</v>
      </c>
      <c r="V1066" s="4">
        <v>0</v>
      </c>
      <c r="W1066" s="4">
        <v>0</v>
      </c>
    </row>
    <row r="1067" spans="1:23" ht="11.25" customHeight="1" x14ac:dyDescent="0.25">
      <c r="A1067" s="4" t="s">
        <v>30</v>
      </c>
      <c r="B1067" s="4" t="s">
        <v>35</v>
      </c>
      <c r="C1067" s="4" t="s">
        <v>36</v>
      </c>
      <c r="D1067" s="4" t="s">
        <v>42</v>
      </c>
      <c r="E1067" s="4" t="s">
        <v>25</v>
      </c>
      <c r="F1067" s="4" t="s">
        <v>25</v>
      </c>
      <c r="G1067" s="4" t="s">
        <v>25</v>
      </c>
      <c r="H1067" s="4" t="s">
        <v>25</v>
      </c>
      <c r="I1067" s="5">
        <v>44348</v>
      </c>
      <c r="J1067" s="6">
        <v>1730</v>
      </c>
      <c r="K1067" s="6">
        <v>1730</v>
      </c>
      <c r="L1067" s="6">
        <v>0</v>
      </c>
      <c r="M1067" s="6">
        <v>0</v>
      </c>
      <c r="N1067" s="6">
        <v>0</v>
      </c>
      <c r="O1067" s="6">
        <v>0</v>
      </c>
      <c r="P1067" s="6">
        <v>8</v>
      </c>
      <c r="Q1067" s="4" t="s">
        <v>26</v>
      </c>
      <c r="R1067" s="4">
        <v>0</v>
      </c>
      <c r="S1067" s="4" t="s">
        <v>207</v>
      </c>
      <c r="U1067" s="4">
        <v>23</v>
      </c>
      <c r="V1067" s="4">
        <v>0</v>
      </c>
      <c r="W1067" s="4">
        <v>0</v>
      </c>
    </row>
    <row r="1068" spans="1:23" ht="11.25" customHeight="1" x14ac:dyDescent="0.25">
      <c r="A1068" s="4" t="s">
        <v>30</v>
      </c>
      <c r="B1068" s="4" t="s">
        <v>35</v>
      </c>
      <c r="C1068" s="4" t="s">
        <v>36</v>
      </c>
      <c r="D1068" s="4" t="s">
        <v>42</v>
      </c>
      <c r="E1068" s="4" t="s">
        <v>25</v>
      </c>
      <c r="F1068" s="4" t="s">
        <v>25</v>
      </c>
      <c r="G1068" s="4" t="s">
        <v>25</v>
      </c>
      <c r="H1068" s="4" t="s">
        <v>25</v>
      </c>
      <c r="I1068" s="5">
        <v>44348</v>
      </c>
      <c r="J1068" s="6">
        <v>30</v>
      </c>
      <c r="K1068" s="6">
        <v>30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4" t="s">
        <v>26</v>
      </c>
      <c r="R1068" s="4">
        <v>0</v>
      </c>
      <c r="S1068" s="4" t="s">
        <v>207</v>
      </c>
      <c r="U1068" s="4">
        <v>23</v>
      </c>
      <c r="V1068" s="4">
        <v>0</v>
      </c>
      <c r="W1068" s="4">
        <v>0</v>
      </c>
    </row>
    <row r="1069" spans="1:23" ht="11.25" customHeight="1" x14ac:dyDescent="0.25">
      <c r="A1069" s="4" t="s">
        <v>21</v>
      </c>
      <c r="B1069" s="4" t="s">
        <v>35</v>
      </c>
      <c r="C1069" s="4" t="s">
        <v>36</v>
      </c>
      <c r="D1069" s="4" t="s">
        <v>42</v>
      </c>
      <c r="E1069" s="4" t="s">
        <v>25</v>
      </c>
      <c r="F1069" s="4" t="s">
        <v>25</v>
      </c>
      <c r="G1069" s="4" t="s">
        <v>25</v>
      </c>
      <c r="H1069" s="4" t="s">
        <v>25</v>
      </c>
      <c r="I1069" s="5">
        <v>44378</v>
      </c>
      <c r="J1069" s="6">
        <v>101848</v>
      </c>
      <c r="K1069" s="6">
        <v>101848</v>
      </c>
      <c r="L1069" s="6">
        <v>0</v>
      </c>
      <c r="M1069" s="6">
        <v>0</v>
      </c>
      <c r="N1069" s="6">
        <v>0</v>
      </c>
      <c r="O1069" s="6">
        <v>0</v>
      </c>
      <c r="P1069" s="6">
        <v>348</v>
      </c>
      <c r="Q1069" s="4" t="s">
        <v>26</v>
      </c>
      <c r="R1069" s="4">
        <v>0</v>
      </c>
      <c r="S1069" s="4" t="s">
        <v>208</v>
      </c>
      <c r="U1069" s="4">
        <v>23</v>
      </c>
      <c r="V1069" s="4">
        <v>0</v>
      </c>
      <c r="W1069" s="4">
        <v>0</v>
      </c>
    </row>
    <row r="1070" spans="1:23" ht="11.25" customHeight="1" x14ac:dyDescent="0.25">
      <c r="A1070" s="4" t="s">
        <v>28</v>
      </c>
      <c r="B1070" s="4" t="s">
        <v>35</v>
      </c>
      <c r="C1070" s="4" t="s">
        <v>36</v>
      </c>
      <c r="D1070" s="4" t="s">
        <v>42</v>
      </c>
      <c r="E1070" s="4" t="s">
        <v>25</v>
      </c>
      <c r="F1070" s="4" t="s">
        <v>25</v>
      </c>
      <c r="G1070" s="4" t="s">
        <v>25</v>
      </c>
      <c r="H1070" s="4" t="s">
        <v>25</v>
      </c>
      <c r="I1070" s="5">
        <v>44378</v>
      </c>
      <c r="J1070" s="6">
        <v>10467</v>
      </c>
      <c r="K1070" s="6">
        <v>10467</v>
      </c>
      <c r="L1070" s="6">
        <v>0</v>
      </c>
      <c r="M1070" s="6">
        <v>0</v>
      </c>
      <c r="N1070" s="6">
        <v>0</v>
      </c>
      <c r="O1070" s="6">
        <v>0</v>
      </c>
      <c r="P1070" s="6">
        <v>69</v>
      </c>
      <c r="Q1070" s="4" t="s">
        <v>26</v>
      </c>
      <c r="R1070" s="4">
        <v>0</v>
      </c>
      <c r="S1070" s="4" t="s">
        <v>208</v>
      </c>
      <c r="U1070" s="4">
        <v>23</v>
      </c>
      <c r="V1070" s="4">
        <v>0</v>
      </c>
      <c r="W1070" s="4">
        <v>0</v>
      </c>
    </row>
    <row r="1071" spans="1:23" ht="11.25" customHeight="1" x14ac:dyDescent="0.25">
      <c r="A1071" s="4" t="s">
        <v>30</v>
      </c>
      <c r="B1071" s="4" t="s">
        <v>35</v>
      </c>
      <c r="C1071" s="4" t="s">
        <v>36</v>
      </c>
      <c r="D1071" s="4" t="s">
        <v>42</v>
      </c>
      <c r="E1071" s="4" t="s">
        <v>25</v>
      </c>
      <c r="F1071" s="4" t="s">
        <v>25</v>
      </c>
      <c r="G1071" s="4" t="s">
        <v>25</v>
      </c>
      <c r="H1071" s="4" t="s">
        <v>25</v>
      </c>
      <c r="I1071" s="5">
        <v>44378</v>
      </c>
      <c r="J1071" s="6">
        <v>1816</v>
      </c>
      <c r="K1071" s="6">
        <v>1816</v>
      </c>
      <c r="L1071" s="6">
        <v>0</v>
      </c>
      <c r="M1071" s="6">
        <v>0</v>
      </c>
      <c r="N1071" s="6">
        <v>0</v>
      </c>
      <c r="O1071" s="6">
        <v>0</v>
      </c>
      <c r="P1071" s="6">
        <v>8</v>
      </c>
      <c r="Q1071" s="4" t="s">
        <v>26</v>
      </c>
      <c r="R1071" s="4">
        <v>0</v>
      </c>
      <c r="S1071" s="4" t="s">
        <v>208</v>
      </c>
      <c r="U1071" s="4">
        <v>23</v>
      </c>
      <c r="V1071" s="4">
        <v>0</v>
      </c>
      <c r="W1071" s="4">
        <v>0</v>
      </c>
    </row>
    <row r="1072" spans="1:23" ht="11.25" customHeight="1" x14ac:dyDescent="0.25">
      <c r="A1072" s="4" t="s">
        <v>21</v>
      </c>
      <c r="B1072" s="4" t="s">
        <v>35</v>
      </c>
      <c r="C1072" s="4" t="s">
        <v>36</v>
      </c>
      <c r="D1072" s="4" t="s">
        <v>42</v>
      </c>
      <c r="E1072" s="4" t="s">
        <v>25</v>
      </c>
      <c r="F1072" s="4" t="s">
        <v>25</v>
      </c>
      <c r="G1072" s="4" t="s">
        <v>25</v>
      </c>
      <c r="H1072" s="4" t="s">
        <v>25</v>
      </c>
      <c r="I1072" s="5">
        <v>44378</v>
      </c>
      <c r="J1072" s="6">
        <v>1885</v>
      </c>
      <c r="K1072" s="6">
        <v>1885</v>
      </c>
      <c r="L1072" s="6">
        <v>0</v>
      </c>
      <c r="M1072" s="6">
        <v>0</v>
      </c>
      <c r="N1072" s="6">
        <v>0</v>
      </c>
      <c r="O1072" s="6">
        <v>0</v>
      </c>
      <c r="P1072" s="6">
        <v>2</v>
      </c>
      <c r="Q1072" s="4" t="s">
        <v>60</v>
      </c>
      <c r="R1072" s="4">
        <v>0</v>
      </c>
      <c r="S1072" s="4" t="s">
        <v>208</v>
      </c>
      <c r="U1072" s="4">
        <v>23</v>
      </c>
      <c r="V1072" s="4">
        <v>0</v>
      </c>
      <c r="W1072" s="4">
        <v>0</v>
      </c>
    </row>
    <row r="1073" spans="1:23" ht="11.25" customHeight="1" x14ac:dyDescent="0.25">
      <c r="A1073" s="4" t="s">
        <v>21</v>
      </c>
      <c r="B1073" s="4" t="s">
        <v>35</v>
      </c>
      <c r="C1073" s="4" t="s">
        <v>36</v>
      </c>
      <c r="D1073" s="4" t="s">
        <v>42</v>
      </c>
      <c r="E1073" s="4" t="s">
        <v>25</v>
      </c>
      <c r="F1073" s="4" t="s">
        <v>25</v>
      </c>
      <c r="G1073" s="4" t="s">
        <v>25</v>
      </c>
      <c r="H1073" s="4" t="s">
        <v>25</v>
      </c>
      <c r="I1073" s="5">
        <v>44409</v>
      </c>
      <c r="J1073" s="6">
        <v>103748</v>
      </c>
      <c r="K1073" s="6">
        <v>103748</v>
      </c>
      <c r="L1073" s="6">
        <v>0</v>
      </c>
      <c r="M1073" s="6">
        <v>0</v>
      </c>
      <c r="N1073" s="6">
        <v>0</v>
      </c>
      <c r="O1073" s="6">
        <v>0</v>
      </c>
      <c r="P1073" s="6">
        <v>350</v>
      </c>
      <c r="Q1073" s="4" t="s">
        <v>26</v>
      </c>
      <c r="R1073" s="4">
        <v>0</v>
      </c>
      <c r="S1073" s="4" t="s">
        <v>209</v>
      </c>
      <c r="U1073" s="4">
        <v>23</v>
      </c>
      <c r="V1073" s="4">
        <v>0</v>
      </c>
      <c r="W1073" s="4">
        <v>0</v>
      </c>
    </row>
    <row r="1074" spans="1:23" ht="11.25" customHeight="1" x14ac:dyDescent="0.25">
      <c r="A1074" s="4" t="s">
        <v>27</v>
      </c>
      <c r="B1074" s="4" t="s">
        <v>35</v>
      </c>
      <c r="C1074" s="4" t="s">
        <v>36</v>
      </c>
      <c r="D1074" s="4" t="s">
        <v>42</v>
      </c>
      <c r="E1074" s="4" t="s">
        <v>25</v>
      </c>
      <c r="F1074" s="4" t="s">
        <v>25</v>
      </c>
      <c r="G1074" s="4" t="s">
        <v>25</v>
      </c>
      <c r="H1074" s="4" t="s">
        <v>25</v>
      </c>
      <c r="I1074" s="5">
        <v>44409</v>
      </c>
      <c r="J1074" s="6">
        <v>-561</v>
      </c>
      <c r="K1074" s="6">
        <v>-561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4" t="s">
        <v>26</v>
      </c>
      <c r="R1074" s="4">
        <v>0</v>
      </c>
      <c r="S1074" s="4" t="s">
        <v>209</v>
      </c>
      <c r="U1074" s="4">
        <v>23</v>
      </c>
      <c r="V1074" s="4">
        <v>0</v>
      </c>
      <c r="W1074" s="4">
        <v>0</v>
      </c>
    </row>
    <row r="1075" spans="1:23" ht="11.25" customHeight="1" x14ac:dyDescent="0.25">
      <c r="A1075" s="4" t="s">
        <v>28</v>
      </c>
      <c r="B1075" s="4" t="s">
        <v>35</v>
      </c>
      <c r="C1075" s="4" t="s">
        <v>36</v>
      </c>
      <c r="D1075" s="4" t="s">
        <v>42</v>
      </c>
      <c r="E1075" s="4" t="s">
        <v>25</v>
      </c>
      <c r="F1075" s="4" t="s">
        <v>25</v>
      </c>
      <c r="G1075" s="4" t="s">
        <v>25</v>
      </c>
      <c r="H1075" s="4" t="s">
        <v>25</v>
      </c>
      <c r="I1075" s="5">
        <v>44409</v>
      </c>
      <c r="J1075" s="6">
        <v>11533</v>
      </c>
      <c r="K1075" s="6">
        <v>11533</v>
      </c>
      <c r="L1075" s="6">
        <v>0</v>
      </c>
      <c r="M1075" s="6">
        <v>0</v>
      </c>
      <c r="N1075" s="6">
        <v>0</v>
      </c>
      <c r="O1075" s="6">
        <v>0</v>
      </c>
      <c r="P1075" s="6">
        <v>69</v>
      </c>
      <c r="Q1075" s="4" t="s">
        <v>26</v>
      </c>
      <c r="R1075" s="4">
        <v>0</v>
      </c>
      <c r="S1075" s="4" t="s">
        <v>209</v>
      </c>
      <c r="U1075" s="4">
        <v>23</v>
      </c>
      <c r="V1075" s="4">
        <v>0</v>
      </c>
      <c r="W1075" s="4">
        <v>0</v>
      </c>
    </row>
    <row r="1076" spans="1:23" ht="11.25" customHeight="1" x14ac:dyDescent="0.25">
      <c r="A1076" s="4" t="s">
        <v>30</v>
      </c>
      <c r="B1076" s="4" t="s">
        <v>35</v>
      </c>
      <c r="C1076" s="4" t="s">
        <v>36</v>
      </c>
      <c r="D1076" s="4" t="s">
        <v>42</v>
      </c>
      <c r="E1076" s="4" t="s">
        <v>25</v>
      </c>
      <c r="F1076" s="4" t="s">
        <v>25</v>
      </c>
      <c r="G1076" s="4" t="s">
        <v>25</v>
      </c>
      <c r="H1076" s="4" t="s">
        <v>25</v>
      </c>
      <c r="I1076" s="5">
        <v>44409</v>
      </c>
      <c r="J1076" s="6">
        <v>2142</v>
      </c>
      <c r="K1076" s="6">
        <v>2142</v>
      </c>
      <c r="L1076" s="6">
        <v>0</v>
      </c>
      <c r="M1076" s="6">
        <v>0</v>
      </c>
      <c r="N1076" s="6">
        <v>0</v>
      </c>
      <c r="O1076" s="6">
        <v>0</v>
      </c>
      <c r="P1076" s="6">
        <v>9</v>
      </c>
      <c r="Q1076" s="4" t="s">
        <v>26</v>
      </c>
      <c r="R1076" s="4">
        <v>0</v>
      </c>
      <c r="S1076" s="4" t="s">
        <v>209</v>
      </c>
      <c r="U1076" s="4">
        <v>23</v>
      </c>
      <c r="V1076" s="4">
        <v>0</v>
      </c>
      <c r="W1076" s="4">
        <v>0</v>
      </c>
    </row>
    <row r="1077" spans="1:23" ht="11.25" customHeight="1" x14ac:dyDescent="0.25">
      <c r="A1077" s="4" t="s">
        <v>21</v>
      </c>
      <c r="B1077" s="4" t="s">
        <v>35</v>
      </c>
      <c r="C1077" s="4" t="s">
        <v>36</v>
      </c>
      <c r="D1077" s="4" t="s">
        <v>42</v>
      </c>
      <c r="E1077" s="4" t="s">
        <v>25</v>
      </c>
      <c r="F1077" s="4" t="s">
        <v>25</v>
      </c>
      <c r="G1077" s="4" t="s">
        <v>25</v>
      </c>
      <c r="H1077" s="4" t="s">
        <v>25</v>
      </c>
      <c r="I1077" s="5">
        <v>44409</v>
      </c>
      <c r="J1077" s="6">
        <v>1885</v>
      </c>
      <c r="K1077" s="6">
        <v>1885</v>
      </c>
      <c r="L1077" s="6">
        <v>0</v>
      </c>
      <c r="M1077" s="6">
        <v>0</v>
      </c>
      <c r="N1077" s="6">
        <v>0</v>
      </c>
      <c r="O1077" s="6">
        <v>0</v>
      </c>
      <c r="P1077" s="6">
        <v>2</v>
      </c>
      <c r="Q1077" s="4" t="s">
        <v>60</v>
      </c>
      <c r="R1077" s="4">
        <v>0</v>
      </c>
      <c r="S1077" s="4" t="s">
        <v>209</v>
      </c>
      <c r="U1077" s="4">
        <v>23</v>
      </c>
      <c r="V1077" s="4">
        <v>0</v>
      </c>
      <c r="W1077" s="4">
        <v>0</v>
      </c>
    </row>
    <row r="1078" spans="1:23" ht="11.25" customHeight="1" x14ac:dyDescent="0.25">
      <c r="A1078" s="4" t="s">
        <v>21</v>
      </c>
      <c r="B1078" s="4" t="s">
        <v>35</v>
      </c>
      <c r="C1078" s="4" t="s">
        <v>36</v>
      </c>
      <c r="D1078" s="4" t="s">
        <v>42</v>
      </c>
      <c r="E1078" s="4" t="s">
        <v>25</v>
      </c>
      <c r="F1078" s="4" t="s">
        <v>25</v>
      </c>
      <c r="G1078" s="4" t="s">
        <v>25</v>
      </c>
      <c r="H1078" s="4" t="s">
        <v>25</v>
      </c>
      <c r="I1078" s="5">
        <v>44440</v>
      </c>
      <c r="J1078" s="6">
        <v>98518</v>
      </c>
      <c r="K1078" s="6">
        <v>98518</v>
      </c>
      <c r="L1078" s="6">
        <v>0</v>
      </c>
      <c r="M1078" s="6">
        <v>0</v>
      </c>
      <c r="N1078" s="6">
        <v>0</v>
      </c>
      <c r="O1078" s="6">
        <v>0</v>
      </c>
      <c r="P1078" s="6">
        <v>342</v>
      </c>
      <c r="Q1078" s="4" t="s">
        <v>26</v>
      </c>
      <c r="R1078" s="4">
        <v>0</v>
      </c>
      <c r="S1078" s="4" t="s">
        <v>210</v>
      </c>
      <c r="U1078" s="4">
        <v>23</v>
      </c>
      <c r="V1078" s="4">
        <v>0</v>
      </c>
      <c r="W1078" s="4">
        <v>0</v>
      </c>
    </row>
    <row r="1079" spans="1:23" ht="11.25" customHeight="1" x14ac:dyDescent="0.25">
      <c r="A1079" s="4" t="s">
        <v>27</v>
      </c>
      <c r="B1079" s="4" t="s">
        <v>35</v>
      </c>
      <c r="C1079" s="4" t="s">
        <v>36</v>
      </c>
      <c r="D1079" s="4" t="s">
        <v>42</v>
      </c>
      <c r="E1079" s="4" t="s">
        <v>25</v>
      </c>
      <c r="F1079" s="4" t="s">
        <v>25</v>
      </c>
      <c r="G1079" s="4" t="s">
        <v>25</v>
      </c>
      <c r="H1079" s="4" t="s">
        <v>25</v>
      </c>
      <c r="I1079" s="5">
        <v>44440</v>
      </c>
      <c r="J1079" s="6">
        <v>-180</v>
      </c>
      <c r="K1079" s="6">
        <v>-180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4" t="s">
        <v>26</v>
      </c>
      <c r="R1079" s="4">
        <v>0</v>
      </c>
      <c r="S1079" s="4" t="s">
        <v>210</v>
      </c>
      <c r="U1079" s="4">
        <v>23</v>
      </c>
      <c r="V1079" s="4">
        <v>0</v>
      </c>
      <c r="W1079" s="4">
        <v>0</v>
      </c>
    </row>
    <row r="1080" spans="1:23" ht="11.25" customHeight="1" x14ac:dyDescent="0.25">
      <c r="A1080" s="4" t="s">
        <v>28</v>
      </c>
      <c r="B1080" s="4" t="s">
        <v>35</v>
      </c>
      <c r="C1080" s="4" t="s">
        <v>36</v>
      </c>
      <c r="D1080" s="4" t="s">
        <v>42</v>
      </c>
      <c r="E1080" s="4" t="s">
        <v>25</v>
      </c>
      <c r="F1080" s="4" t="s">
        <v>25</v>
      </c>
      <c r="G1080" s="4" t="s">
        <v>25</v>
      </c>
      <c r="H1080" s="4" t="s">
        <v>25</v>
      </c>
      <c r="I1080" s="5">
        <v>44440</v>
      </c>
      <c r="J1080" s="6">
        <v>11701</v>
      </c>
      <c r="K1080" s="6">
        <v>11701</v>
      </c>
      <c r="L1080" s="6">
        <v>0</v>
      </c>
      <c r="M1080" s="6">
        <v>0</v>
      </c>
      <c r="N1080" s="6">
        <v>0</v>
      </c>
      <c r="O1080" s="6">
        <v>0</v>
      </c>
      <c r="P1080" s="6">
        <v>69</v>
      </c>
      <c r="Q1080" s="4" t="s">
        <v>26</v>
      </c>
      <c r="R1080" s="4">
        <v>0</v>
      </c>
      <c r="S1080" s="4" t="s">
        <v>210</v>
      </c>
      <c r="U1080" s="4">
        <v>23</v>
      </c>
      <c r="V1080" s="4">
        <v>0</v>
      </c>
      <c r="W1080" s="4">
        <v>0</v>
      </c>
    </row>
    <row r="1081" spans="1:23" ht="11.25" customHeight="1" x14ac:dyDescent="0.25">
      <c r="A1081" s="4" t="s">
        <v>29</v>
      </c>
      <c r="B1081" s="4" t="s">
        <v>35</v>
      </c>
      <c r="C1081" s="4" t="s">
        <v>36</v>
      </c>
      <c r="D1081" s="4" t="s">
        <v>42</v>
      </c>
      <c r="E1081" s="4" t="s">
        <v>25</v>
      </c>
      <c r="F1081" s="4" t="s">
        <v>25</v>
      </c>
      <c r="G1081" s="4" t="s">
        <v>25</v>
      </c>
      <c r="H1081" s="4" t="s">
        <v>25</v>
      </c>
      <c r="I1081" s="5">
        <v>44440</v>
      </c>
      <c r="J1081" s="6">
        <v>-14</v>
      </c>
      <c r="K1081" s="6">
        <v>-14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4" t="s">
        <v>26</v>
      </c>
      <c r="R1081" s="4">
        <v>0</v>
      </c>
      <c r="S1081" s="4" t="s">
        <v>210</v>
      </c>
      <c r="U1081" s="4">
        <v>23</v>
      </c>
      <c r="V1081" s="4">
        <v>0</v>
      </c>
      <c r="W1081" s="4">
        <v>0</v>
      </c>
    </row>
    <row r="1082" spans="1:23" ht="11.25" customHeight="1" x14ac:dyDescent="0.25">
      <c r="A1082" s="4" t="s">
        <v>30</v>
      </c>
      <c r="B1082" s="4" t="s">
        <v>35</v>
      </c>
      <c r="C1082" s="4" t="s">
        <v>36</v>
      </c>
      <c r="D1082" s="4" t="s">
        <v>42</v>
      </c>
      <c r="E1082" s="4" t="s">
        <v>25</v>
      </c>
      <c r="F1082" s="4" t="s">
        <v>25</v>
      </c>
      <c r="G1082" s="4" t="s">
        <v>25</v>
      </c>
      <c r="H1082" s="4" t="s">
        <v>25</v>
      </c>
      <c r="I1082" s="5">
        <v>44440</v>
      </c>
      <c r="J1082" s="6">
        <v>2502</v>
      </c>
      <c r="K1082" s="6">
        <v>2502</v>
      </c>
      <c r="L1082" s="6">
        <v>0</v>
      </c>
      <c r="M1082" s="6">
        <v>0</v>
      </c>
      <c r="N1082" s="6">
        <v>0</v>
      </c>
      <c r="O1082" s="6">
        <v>0</v>
      </c>
      <c r="P1082" s="6">
        <v>11</v>
      </c>
      <c r="Q1082" s="4" t="s">
        <v>26</v>
      </c>
      <c r="R1082" s="4">
        <v>0</v>
      </c>
      <c r="S1082" s="4" t="s">
        <v>210</v>
      </c>
      <c r="U1082" s="4">
        <v>23</v>
      </c>
      <c r="V1082" s="4">
        <v>0</v>
      </c>
      <c r="W1082" s="4">
        <v>0</v>
      </c>
    </row>
    <row r="1083" spans="1:23" ht="11.25" customHeight="1" x14ac:dyDescent="0.25">
      <c r="A1083" s="4" t="s">
        <v>21</v>
      </c>
      <c r="B1083" s="4" t="s">
        <v>35</v>
      </c>
      <c r="C1083" s="4" t="s">
        <v>36</v>
      </c>
      <c r="D1083" s="4" t="s">
        <v>42</v>
      </c>
      <c r="E1083" s="4" t="s">
        <v>25</v>
      </c>
      <c r="F1083" s="4" t="s">
        <v>25</v>
      </c>
      <c r="G1083" s="4" t="s">
        <v>25</v>
      </c>
      <c r="H1083" s="4" t="s">
        <v>25</v>
      </c>
      <c r="I1083" s="5">
        <v>44440</v>
      </c>
      <c r="J1083" s="6">
        <v>3085</v>
      </c>
      <c r="K1083" s="6">
        <v>3085</v>
      </c>
      <c r="L1083" s="6">
        <v>0</v>
      </c>
      <c r="M1083" s="6">
        <v>0</v>
      </c>
      <c r="N1083" s="6">
        <v>0</v>
      </c>
      <c r="O1083" s="6">
        <v>0</v>
      </c>
      <c r="P1083" s="6">
        <v>3</v>
      </c>
      <c r="Q1083" s="4" t="s">
        <v>60</v>
      </c>
      <c r="R1083" s="4">
        <v>0</v>
      </c>
      <c r="S1083" s="4" t="s">
        <v>210</v>
      </c>
      <c r="U1083" s="4">
        <v>23</v>
      </c>
      <c r="V1083" s="4">
        <v>0</v>
      </c>
      <c r="W1083" s="4">
        <v>0</v>
      </c>
    </row>
    <row r="1084" spans="1:23" ht="11.25" customHeight="1" x14ac:dyDescent="0.25">
      <c r="A1084" s="4" t="s">
        <v>59</v>
      </c>
      <c r="B1084" s="4" t="s">
        <v>35</v>
      </c>
      <c r="C1084" s="4" t="s">
        <v>36</v>
      </c>
      <c r="D1084" s="4" t="s">
        <v>42</v>
      </c>
      <c r="E1084" s="4" t="s">
        <v>25</v>
      </c>
      <c r="F1084" s="4" t="s">
        <v>25</v>
      </c>
      <c r="G1084" s="4" t="s">
        <v>25</v>
      </c>
      <c r="H1084" s="4" t="s">
        <v>25</v>
      </c>
      <c r="I1084" s="5">
        <v>44470</v>
      </c>
      <c r="J1084" s="6">
        <v>98518</v>
      </c>
      <c r="K1084" s="6">
        <v>98518</v>
      </c>
      <c r="L1084" s="6">
        <v>0</v>
      </c>
      <c r="M1084" s="6">
        <v>0</v>
      </c>
      <c r="N1084" s="6">
        <v>0</v>
      </c>
      <c r="O1084" s="6">
        <v>0</v>
      </c>
      <c r="P1084" s="6">
        <v>342</v>
      </c>
      <c r="Q1084" s="4" t="s">
        <v>26</v>
      </c>
      <c r="R1084" s="4">
        <v>0</v>
      </c>
      <c r="S1084" s="4" t="s">
        <v>211</v>
      </c>
      <c r="U1084" s="4">
        <v>23</v>
      </c>
      <c r="V1084" s="4">
        <v>0</v>
      </c>
      <c r="W1084" s="4">
        <v>0</v>
      </c>
    </row>
    <row r="1085" spans="1:23" ht="11.25" customHeight="1" x14ac:dyDescent="0.25">
      <c r="A1085" s="4" t="s">
        <v>59</v>
      </c>
      <c r="B1085" s="4" t="s">
        <v>35</v>
      </c>
      <c r="C1085" s="4" t="s">
        <v>36</v>
      </c>
      <c r="D1085" s="4" t="s">
        <v>42</v>
      </c>
      <c r="E1085" s="4" t="s">
        <v>25</v>
      </c>
      <c r="F1085" s="4" t="s">
        <v>25</v>
      </c>
      <c r="G1085" s="4" t="s">
        <v>25</v>
      </c>
      <c r="H1085" s="4" t="s">
        <v>25</v>
      </c>
      <c r="I1085" s="5">
        <v>44470</v>
      </c>
      <c r="J1085" s="6">
        <v>-180</v>
      </c>
      <c r="K1085" s="6">
        <v>-180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4" t="s">
        <v>26</v>
      </c>
      <c r="R1085" s="4">
        <v>0</v>
      </c>
      <c r="S1085" s="4" t="s">
        <v>211</v>
      </c>
      <c r="U1085" s="4">
        <v>23</v>
      </c>
      <c r="V1085" s="4">
        <v>0</v>
      </c>
      <c r="W1085" s="4">
        <v>0</v>
      </c>
    </row>
    <row r="1086" spans="1:23" ht="11.25" customHeight="1" x14ac:dyDescent="0.25">
      <c r="A1086" s="4" t="s">
        <v>59</v>
      </c>
      <c r="B1086" s="4" t="s">
        <v>35</v>
      </c>
      <c r="C1086" s="4" t="s">
        <v>36</v>
      </c>
      <c r="D1086" s="4" t="s">
        <v>42</v>
      </c>
      <c r="E1086" s="4" t="s">
        <v>25</v>
      </c>
      <c r="F1086" s="4" t="s">
        <v>25</v>
      </c>
      <c r="G1086" s="4" t="s">
        <v>25</v>
      </c>
      <c r="H1086" s="4" t="s">
        <v>25</v>
      </c>
      <c r="I1086" s="5">
        <v>44470</v>
      </c>
      <c r="J1086" s="6">
        <v>11701</v>
      </c>
      <c r="K1086" s="6">
        <v>11701</v>
      </c>
      <c r="L1086" s="6">
        <v>0</v>
      </c>
      <c r="M1086" s="6">
        <v>0</v>
      </c>
      <c r="N1086" s="6">
        <v>0</v>
      </c>
      <c r="O1086" s="6">
        <v>0</v>
      </c>
      <c r="P1086" s="6">
        <v>69</v>
      </c>
      <c r="Q1086" s="4" t="s">
        <v>26</v>
      </c>
      <c r="R1086" s="4">
        <v>0</v>
      </c>
      <c r="S1086" s="4" t="s">
        <v>211</v>
      </c>
      <c r="U1086" s="4">
        <v>23</v>
      </c>
      <c r="V1086" s="4">
        <v>0</v>
      </c>
      <c r="W1086" s="4">
        <v>0</v>
      </c>
    </row>
    <row r="1087" spans="1:23" ht="11.25" customHeight="1" x14ac:dyDescent="0.25">
      <c r="A1087" s="4" t="s">
        <v>59</v>
      </c>
      <c r="B1087" s="4" t="s">
        <v>35</v>
      </c>
      <c r="C1087" s="4" t="s">
        <v>36</v>
      </c>
      <c r="D1087" s="4" t="s">
        <v>42</v>
      </c>
      <c r="E1087" s="4" t="s">
        <v>25</v>
      </c>
      <c r="F1087" s="4" t="s">
        <v>25</v>
      </c>
      <c r="G1087" s="4" t="s">
        <v>25</v>
      </c>
      <c r="H1087" s="4" t="s">
        <v>25</v>
      </c>
      <c r="I1087" s="5">
        <v>44470</v>
      </c>
      <c r="J1087" s="6">
        <v>-14</v>
      </c>
      <c r="K1087" s="6">
        <v>-14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4" t="s">
        <v>26</v>
      </c>
      <c r="R1087" s="4">
        <v>0</v>
      </c>
      <c r="S1087" s="4" t="s">
        <v>211</v>
      </c>
      <c r="U1087" s="4">
        <v>23</v>
      </c>
      <c r="V1087" s="4">
        <v>0</v>
      </c>
      <c r="W1087" s="4">
        <v>0</v>
      </c>
    </row>
    <row r="1088" spans="1:23" ht="11.25" customHeight="1" x14ac:dyDescent="0.25">
      <c r="A1088" s="4" t="s">
        <v>59</v>
      </c>
      <c r="B1088" s="4" t="s">
        <v>35</v>
      </c>
      <c r="C1088" s="4" t="s">
        <v>36</v>
      </c>
      <c r="D1088" s="4" t="s">
        <v>42</v>
      </c>
      <c r="E1088" s="4" t="s">
        <v>25</v>
      </c>
      <c r="F1088" s="4" t="s">
        <v>25</v>
      </c>
      <c r="G1088" s="4" t="s">
        <v>25</v>
      </c>
      <c r="H1088" s="4" t="s">
        <v>25</v>
      </c>
      <c r="I1088" s="5">
        <v>44470</v>
      </c>
      <c r="J1088" s="6">
        <v>2502</v>
      </c>
      <c r="K1088" s="6">
        <v>2502</v>
      </c>
      <c r="L1088" s="6">
        <v>0</v>
      </c>
      <c r="M1088" s="6">
        <v>0</v>
      </c>
      <c r="N1088" s="6">
        <v>0</v>
      </c>
      <c r="O1088" s="6">
        <v>0</v>
      </c>
      <c r="P1088" s="6">
        <v>11</v>
      </c>
      <c r="Q1088" s="4" t="s">
        <v>26</v>
      </c>
      <c r="R1088" s="4">
        <v>0</v>
      </c>
      <c r="S1088" s="4" t="s">
        <v>211</v>
      </c>
      <c r="U1088" s="4">
        <v>23</v>
      </c>
      <c r="V1088" s="4">
        <v>0</v>
      </c>
      <c r="W1088" s="4">
        <v>0</v>
      </c>
    </row>
    <row r="1089" spans="1:23" ht="11.25" customHeight="1" x14ac:dyDescent="0.25">
      <c r="A1089" s="4" t="s">
        <v>59</v>
      </c>
      <c r="B1089" s="4" t="s">
        <v>35</v>
      </c>
      <c r="C1089" s="4" t="s">
        <v>36</v>
      </c>
      <c r="D1089" s="4" t="s">
        <v>42</v>
      </c>
      <c r="E1089" s="4" t="s">
        <v>25</v>
      </c>
      <c r="F1089" s="4" t="s">
        <v>25</v>
      </c>
      <c r="G1089" s="4" t="s">
        <v>25</v>
      </c>
      <c r="H1089" s="4" t="s">
        <v>25</v>
      </c>
      <c r="I1089" s="5">
        <v>44470</v>
      </c>
      <c r="J1089" s="6">
        <v>3085</v>
      </c>
      <c r="K1089" s="6">
        <v>3085</v>
      </c>
      <c r="L1089" s="6">
        <v>0</v>
      </c>
      <c r="M1089" s="6">
        <v>0</v>
      </c>
      <c r="N1089" s="6">
        <v>0</v>
      </c>
      <c r="O1089" s="6">
        <v>0</v>
      </c>
      <c r="P1089" s="6">
        <v>3</v>
      </c>
      <c r="Q1089" s="4" t="s">
        <v>60</v>
      </c>
      <c r="R1089" s="4">
        <v>0</v>
      </c>
      <c r="S1089" s="4" t="s">
        <v>211</v>
      </c>
      <c r="U1089" s="4">
        <v>23</v>
      </c>
      <c r="V1089" s="4">
        <v>0</v>
      </c>
      <c r="W1089" s="4">
        <v>0</v>
      </c>
    </row>
    <row r="1090" spans="1:23" ht="11.25" customHeight="1" x14ac:dyDescent="0.25">
      <c r="A1090" s="4" t="s">
        <v>21</v>
      </c>
      <c r="B1090" s="4" t="s">
        <v>35</v>
      </c>
      <c r="C1090" s="4" t="s">
        <v>36</v>
      </c>
      <c r="D1090" s="4" t="s">
        <v>42</v>
      </c>
      <c r="E1090" s="4" t="s">
        <v>25</v>
      </c>
      <c r="F1090" s="4" t="s">
        <v>25</v>
      </c>
      <c r="G1090" s="4" t="s">
        <v>25</v>
      </c>
      <c r="H1090" s="4" t="s">
        <v>37</v>
      </c>
      <c r="I1090" s="5">
        <v>44136</v>
      </c>
      <c r="J1090" s="6">
        <v>0</v>
      </c>
      <c r="K1090" s="6">
        <v>0</v>
      </c>
      <c r="L1090" s="6">
        <v>1762.345</v>
      </c>
      <c r="M1090" s="6">
        <v>1762.345</v>
      </c>
      <c r="N1090" s="6">
        <v>1762.345</v>
      </c>
      <c r="O1090" s="6">
        <v>1762.345</v>
      </c>
      <c r="P1090" s="6">
        <v>0</v>
      </c>
      <c r="Q1090" s="4" t="s">
        <v>26</v>
      </c>
      <c r="R1090" s="4">
        <v>0</v>
      </c>
      <c r="S1090" s="4" t="s">
        <v>212</v>
      </c>
      <c r="T1090" s="4" t="s">
        <v>445</v>
      </c>
      <c r="U1090" s="4">
        <v>0</v>
      </c>
      <c r="V1090" s="4">
        <v>24</v>
      </c>
      <c r="W1090" s="4">
        <v>66</v>
      </c>
    </row>
    <row r="1091" spans="1:23" ht="11.25" customHeight="1" x14ac:dyDescent="0.25">
      <c r="A1091" s="4" t="s">
        <v>27</v>
      </c>
      <c r="B1091" s="4" t="s">
        <v>35</v>
      </c>
      <c r="C1091" s="4" t="s">
        <v>36</v>
      </c>
      <c r="D1091" s="4" t="s">
        <v>42</v>
      </c>
      <c r="E1091" s="4" t="s">
        <v>25</v>
      </c>
      <c r="F1091" s="4" t="s">
        <v>25</v>
      </c>
      <c r="G1091" s="4" t="s">
        <v>25</v>
      </c>
      <c r="H1091" s="4" t="s">
        <v>37</v>
      </c>
      <c r="I1091" s="5">
        <v>44136</v>
      </c>
      <c r="J1091" s="6">
        <v>0</v>
      </c>
      <c r="K1091" s="6">
        <v>0</v>
      </c>
      <c r="L1091" s="6">
        <v>-3.488</v>
      </c>
      <c r="M1091" s="6">
        <v>-3.488</v>
      </c>
      <c r="N1091" s="6">
        <v>-3.488</v>
      </c>
      <c r="O1091" s="6">
        <v>-3.488</v>
      </c>
      <c r="P1091" s="6">
        <v>0</v>
      </c>
      <c r="Q1091" s="4" t="s">
        <v>26</v>
      </c>
      <c r="R1091" s="4">
        <v>0</v>
      </c>
      <c r="S1091" s="4" t="s">
        <v>212</v>
      </c>
      <c r="T1091" s="4" t="s">
        <v>445</v>
      </c>
      <c r="U1091" s="4">
        <v>0</v>
      </c>
      <c r="V1091" s="4">
        <v>24</v>
      </c>
      <c r="W1091" s="4">
        <v>66</v>
      </c>
    </row>
    <row r="1092" spans="1:23" ht="11.25" customHeight="1" x14ac:dyDescent="0.25">
      <c r="A1092" s="4" t="s">
        <v>28</v>
      </c>
      <c r="B1092" s="4" t="s">
        <v>35</v>
      </c>
      <c r="C1092" s="4" t="s">
        <v>36</v>
      </c>
      <c r="D1092" s="4" t="s">
        <v>42</v>
      </c>
      <c r="E1092" s="4" t="s">
        <v>25</v>
      </c>
      <c r="F1092" s="4" t="s">
        <v>25</v>
      </c>
      <c r="G1092" s="4" t="s">
        <v>25</v>
      </c>
      <c r="H1092" s="4" t="s">
        <v>37</v>
      </c>
      <c r="I1092" s="5">
        <v>44136</v>
      </c>
      <c r="J1092" s="6">
        <v>0</v>
      </c>
      <c r="K1092" s="6">
        <v>0</v>
      </c>
      <c r="L1092" s="6">
        <v>161.99</v>
      </c>
      <c r="M1092" s="6">
        <v>161.99</v>
      </c>
      <c r="N1092" s="6">
        <v>161.99</v>
      </c>
      <c r="O1092" s="6">
        <v>161.99</v>
      </c>
      <c r="P1092" s="6">
        <v>0</v>
      </c>
      <c r="Q1092" s="4" t="s">
        <v>26</v>
      </c>
      <c r="R1092" s="4">
        <v>0</v>
      </c>
      <c r="S1092" s="4" t="s">
        <v>212</v>
      </c>
      <c r="T1092" s="4" t="s">
        <v>445</v>
      </c>
      <c r="U1092" s="4">
        <v>0</v>
      </c>
      <c r="V1092" s="4">
        <v>24</v>
      </c>
      <c r="W1092" s="4">
        <v>66</v>
      </c>
    </row>
    <row r="1093" spans="1:23" ht="11.25" customHeight="1" x14ac:dyDescent="0.25">
      <c r="A1093" s="4" t="s">
        <v>30</v>
      </c>
      <c r="B1093" s="4" t="s">
        <v>35</v>
      </c>
      <c r="C1093" s="4" t="s">
        <v>36</v>
      </c>
      <c r="D1093" s="4" t="s">
        <v>42</v>
      </c>
      <c r="E1093" s="4" t="s">
        <v>25</v>
      </c>
      <c r="F1093" s="4" t="s">
        <v>25</v>
      </c>
      <c r="G1093" s="4" t="s">
        <v>25</v>
      </c>
      <c r="H1093" s="4" t="s">
        <v>37</v>
      </c>
      <c r="I1093" s="5">
        <v>44136</v>
      </c>
      <c r="J1093" s="6">
        <v>0</v>
      </c>
      <c r="K1093" s="6">
        <v>0</v>
      </c>
      <c r="L1093" s="6">
        <v>37.658000000000001</v>
      </c>
      <c r="M1093" s="6">
        <v>37.658000000000001</v>
      </c>
      <c r="N1093" s="6">
        <v>37.658000000000001</v>
      </c>
      <c r="O1093" s="6">
        <v>37.658000000000001</v>
      </c>
      <c r="P1093" s="6">
        <v>0</v>
      </c>
      <c r="Q1093" s="4" t="s">
        <v>26</v>
      </c>
      <c r="R1093" s="4">
        <v>0</v>
      </c>
      <c r="S1093" s="4" t="s">
        <v>212</v>
      </c>
      <c r="T1093" s="4" t="s">
        <v>445</v>
      </c>
      <c r="U1093" s="4">
        <v>0</v>
      </c>
      <c r="V1093" s="4">
        <v>24</v>
      </c>
      <c r="W1093" s="4">
        <v>66</v>
      </c>
    </row>
    <row r="1094" spans="1:23" ht="11.25" customHeight="1" x14ac:dyDescent="0.25">
      <c r="A1094" s="4" t="s">
        <v>21</v>
      </c>
      <c r="B1094" s="4" t="s">
        <v>35</v>
      </c>
      <c r="C1094" s="4" t="s">
        <v>36</v>
      </c>
      <c r="D1094" s="4" t="s">
        <v>42</v>
      </c>
      <c r="E1094" s="4" t="s">
        <v>25</v>
      </c>
      <c r="F1094" s="4" t="s">
        <v>25</v>
      </c>
      <c r="G1094" s="4" t="s">
        <v>25</v>
      </c>
      <c r="H1094" s="4" t="s">
        <v>37</v>
      </c>
      <c r="I1094" s="5">
        <v>44166</v>
      </c>
      <c r="J1094" s="6">
        <v>0</v>
      </c>
      <c r="K1094" s="6">
        <v>0</v>
      </c>
      <c r="L1094" s="6">
        <v>1650.701</v>
      </c>
      <c r="M1094" s="6">
        <v>1650.701</v>
      </c>
      <c r="N1094" s="6">
        <v>1650.701</v>
      </c>
      <c r="O1094" s="6">
        <v>1650.701</v>
      </c>
      <c r="P1094" s="6">
        <v>0</v>
      </c>
      <c r="Q1094" s="4" t="s">
        <v>26</v>
      </c>
      <c r="R1094" s="4">
        <v>0</v>
      </c>
      <c r="S1094" s="4" t="s">
        <v>213</v>
      </c>
      <c r="T1094" s="4" t="s">
        <v>446</v>
      </c>
      <c r="U1094" s="4">
        <v>0</v>
      </c>
      <c r="V1094" s="4">
        <v>24</v>
      </c>
      <c r="W1094" s="4">
        <v>66</v>
      </c>
    </row>
    <row r="1095" spans="1:23" ht="11.25" customHeight="1" x14ac:dyDescent="0.25">
      <c r="A1095" s="4" t="s">
        <v>28</v>
      </c>
      <c r="B1095" s="4" t="s">
        <v>35</v>
      </c>
      <c r="C1095" s="4" t="s">
        <v>36</v>
      </c>
      <c r="D1095" s="4" t="s">
        <v>42</v>
      </c>
      <c r="E1095" s="4" t="s">
        <v>25</v>
      </c>
      <c r="F1095" s="4" t="s">
        <v>25</v>
      </c>
      <c r="G1095" s="4" t="s">
        <v>25</v>
      </c>
      <c r="H1095" s="4" t="s">
        <v>37</v>
      </c>
      <c r="I1095" s="5">
        <v>44166</v>
      </c>
      <c r="J1095" s="6">
        <v>0</v>
      </c>
      <c r="K1095" s="6">
        <v>0</v>
      </c>
      <c r="L1095" s="6">
        <v>152.63800000000001</v>
      </c>
      <c r="M1095" s="6">
        <v>152.63800000000001</v>
      </c>
      <c r="N1095" s="6">
        <v>152.63800000000001</v>
      </c>
      <c r="O1095" s="6">
        <v>152.63800000000001</v>
      </c>
      <c r="P1095" s="6">
        <v>0</v>
      </c>
      <c r="Q1095" s="4" t="s">
        <v>26</v>
      </c>
      <c r="R1095" s="4">
        <v>0</v>
      </c>
      <c r="S1095" s="4" t="s">
        <v>213</v>
      </c>
      <c r="T1095" s="4" t="s">
        <v>446</v>
      </c>
      <c r="U1095" s="4">
        <v>0</v>
      </c>
      <c r="V1095" s="4">
        <v>24</v>
      </c>
      <c r="W1095" s="4">
        <v>66</v>
      </c>
    </row>
    <row r="1096" spans="1:23" ht="11.25" customHeight="1" x14ac:dyDescent="0.25">
      <c r="A1096" s="4" t="s">
        <v>30</v>
      </c>
      <c r="B1096" s="4" t="s">
        <v>35</v>
      </c>
      <c r="C1096" s="4" t="s">
        <v>36</v>
      </c>
      <c r="D1096" s="4" t="s">
        <v>42</v>
      </c>
      <c r="E1096" s="4" t="s">
        <v>25</v>
      </c>
      <c r="F1096" s="4" t="s">
        <v>25</v>
      </c>
      <c r="G1096" s="4" t="s">
        <v>25</v>
      </c>
      <c r="H1096" s="4" t="s">
        <v>37</v>
      </c>
      <c r="I1096" s="5">
        <v>44166</v>
      </c>
      <c r="J1096" s="6">
        <v>0</v>
      </c>
      <c r="K1096" s="6">
        <v>0</v>
      </c>
      <c r="L1096" s="6">
        <v>34.484000000000002</v>
      </c>
      <c r="M1096" s="6">
        <v>34.484000000000002</v>
      </c>
      <c r="N1096" s="6">
        <v>34.484000000000002</v>
      </c>
      <c r="O1096" s="6">
        <v>34.484000000000002</v>
      </c>
      <c r="P1096" s="6">
        <v>0</v>
      </c>
      <c r="Q1096" s="4" t="s">
        <v>26</v>
      </c>
      <c r="R1096" s="4">
        <v>0</v>
      </c>
      <c r="S1096" s="4" t="s">
        <v>213</v>
      </c>
      <c r="T1096" s="4" t="s">
        <v>446</v>
      </c>
      <c r="U1096" s="4">
        <v>0</v>
      </c>
      <c r="V1096" s="4">
        <v>24</v>
      </c>
      <c r="W1096" s="4">
        <v>66</v>
      </c>
    </row>
    <row r="1097" spans="1:23" ht="11.25" customHeight="1" x14ac:dyDescent="0.25">
      <c r="A1097" s="4" t="s">
        <v>21</v>
      </c>
      <c r="B1097" s="4" t="s">
        <v>35</v>
      </c>
      <c r="C1097" s="4" t="s">
        <v>36</v>
      </c>
      <c r="D1097" s="4" t="s">
        <v>42</v>
      </c>
      <c r="E1097" s="4" t="s">
        <v>25</v>
      </c>
      <c r="F1097" s="4" t="s">
        <v>25</v>
      </c>
      <c r="G1097" s="4" t="s">
        <v>25</v>
      </c>
      <c r="H1097" s="4" t="s">
        <v>37</v>
      </c>
      <c r="I1097" s="5">
        <v>44197</v>
      </c>
      <c r="J1097" s="6">
        <v>0</v>
      </c>
      <c r="K1097" s="6">
        <v>0</v>
      </c>
      <c r="L1097" s="6">
        <v>1289.5060000000001</v>
      </c>
      <c r="M1097" s="6">
        <v>1289.5060000000001</v>
      </c>
      <c r="N1097" s="6">
        <v>1289.5060000000001</v>
      </c>
      <c r="O1097" s="6">
        <v>1289.5060000000001</v>
      </c>
      <c r="P1097" s="6">
        <v>0</v>
      </c>
      <c r="Q1097" s="4" t="s">
        <v>26</v>
      </c>
      <c r="R1097" s="4">
        <v>0</v>
      </c>
      <c r="S1097" s="4" t="s">
        <v>214</v>
      </c>
      <c r="T1097" s="4" t="s">
        <v>447</v>
      </c>
      <c r="U1097" s="4">
        <v>0</v>
      </c>
      <c r="V1097" s="4">
        <v>24</v>
      </c>
      <c r="W1097" s="4">
        <v>66</v>
      </c>
    </row>
    <row r="1098" spans="1:23" ht="11.25" customHeight="1" x14ac:dyDescent="0.25">
      <c r="A1098" s="4" t="s">
        <v>27</v>
      </c>
      <c r="B1098" s="4" t="s">
        <v>35</v>
      </c>
      <c r="C1098" s="4" t="s">
        <v>36</v>
      </c>
      <c r="D1098" s="4" t="s">
        <v>42</v>
      </c>
      <c r="E1098" s="4" t="s">
        <v>25</v>
      </c>
      <c r="F1098" s="4" t="s">
        <v>25</v>
      </c>
      <c r="G1098" s="4" t="s">
        <v>25</v>
      </c>
      <c r="H1098" s="4" t="s">
        <v>37</v>
      </c>
      <c r="I1098" s="5">
        <v>44197</v>
      </c>
      <c r="J1098" s="6">
        <v>0</v>
      </c>
      <c r="K1098" s="6">
        <v>0</v>
      </c>
      <c r="L1098" s="6">
        <v>-0.59699999999999998</v>
      </c>
      <c r="M1098" s="6">
        <v>-0.59699999999999998</v>
      </c>
      <c r="N1098" s="6">
        <v>-0.59699999999999998</v>
      </c>
      <c r="O1098" s="6">
        <v>-0.59699999999999998</v>
      </c>
      <c r="P1098" s="6">
        <v>0</v>
      </c>
      <c r="Q1098" s="4" t="s">
        <v>26</v>
      </c>
      <c r="R1098" s="4">
        <v>0</v>
      </c>
      <c r="S1098" s="4" t="s">
        <v>214</v>
      </c>
      <c r="T1098" s="4" t="s">
        <v>447</v>
      </c>
      <c r="U1098" s="4">
        <v>0</v>
      </c>
      <c r="V1098" s="4">
        <v>24</v>
      </c>
      <c r="W1098" s="4">
        <v>66</v>
      </c>
    </row>
    <row r="1099" spans="1:23" ht="11.25" customHeight="1" x14ac:dyDescent="0.25">
      <c r="A1099" s="4" t="s">
        <v>28</v>
      </c>
      <c r="B1099" s="4" t="s">
        <v>35</v>
      </c>
      <c r="C1099" s="4" t="s">
        <v>36</v>
      </c>
      <c r="D1099" s="4" t="s">
        <v>42</v>
      </c>
      <c r="E1099" s="4" t="s">
        <v>25</v>
      </c>
      <c r="F1099" s="4" t="s">
        <v>25</v>
      </c>
      <c r="G1099" s="4" t="s">
        <v>25</v>
      </c>
      <c r="H1099" s="4" t="s">
        <v>37</v>
      </c>
      <c r="I1099" s="5">
        <v>44197</v>
      </c>
      <c r="J1099" s="6">
        <v>0</v>
      </c>
      <c r="K1099" s="6">
        <v>0</v>
      </c>
      <c r="L1099" s="6">
        <v>125.721</v>
      </c>
      <c r="M1099" s="6">
        <v>125.721</v>
      </c>
      <c r="N1099" s="6">
        <v>125.721</v>
      </c>
      <c r="O1099" s="6">
        <v>125.721</v>
      </c>
      <c r="P1099" s="6">
        <v>0</v>
      </c>
      <c r="Q1099" s="4" t="s">
        <v>26</v>
      </c>
      <c r="R1099" s="4">
        <v>0</v>
      </c>
      <c r="S1099" s="4" t="s">
        <v>214</v>
      </c>
      <c r="T1099" s="4" t="s">
        <v>447</v>
      </c>
      <c r="U1099" s="4">
        <v>0</v>
      </c>
      <c r="V1099" s="4">
        <v>24</v>
      </c>
      <c r="W1099" s="4">
        <v>66</v>
      </c>
    </row>
    <row r="1100" spans="1:23" ht="11.25" customHeight="1" x14ac:dyDescent="0.25">
      <c r="A1100" s="4" t="s">
        <v>29</v>
      </c>
      <c r="B1100" s="4" t="s">
        <v>35</v>
      </c>
      <c r="C1100" s="4" t="s">
        <v>36</v>
      </c>
      <c r="D1100" s="4" t="s">
        <v>42</v>
      </c>
      <c r="E1100" s="4" t="s">
        <v>25</v>
      </c>
      <c r="F1100" s="4" t="s">
        <v>25</v>
      </c>
      <c r="G1100" s="4" t="s">
        <v>25</v>
      </c>
      <c r="H1100" s="4" t="s">
        <v>37</v>
      </c>
      <c r="I1100" s="5">
        <v>44197</v>
      </c>
      <c r="J1100" s="6">
        <v>0</v>
      </c>
      <c r="K1100" s="6">
        <v>0</v>
      </c>
      <c r="L1100" s="6">
        <v>-12.753</v>
      </c>
      <c r="M1100" s="6">
        <v>-12.753</v>
      </c>
      <c r="N1100" s="6">
        <v>-12.753</v>
      </c>
      <c r="O1100" s="6">
        <v>-12.753</v>
      </c>
      <c r="P1100" s="6">
        <v>0</v>
      </c>
      <c r="Q1100" s="4" t="s">
        <v>26</v>
      </c>
      <c r="R1100" s="4">
        <v>0</v>
      </c>
      <c r="S1100" s="4" t="s">
        <v>214</v>
      </c>
      <c r="T1100" s="4" t="s">
        <v>447</v>
      </c>
      <c r="U1100" s="4">
        <v>0</v>
      </c>
      <c r="V1100" s="4">
        <v>24</v>
      </c>
      <c r="W1100" s="4">
        <v>66</v>
      </c>
    </row>
    <row r="1101" spans="1:23" ht="11.25" customHeight="1" x14ac:dyDescent="0.25">
      <c r="A1101" s="4" t="s">
        <v>30</v>
      </c>
      <c r="B1101" s="4" t="s">
        <v>35</v>
      </c>
      <c r="C1101" s="4" t="s">
        <v>36</v>
      </c>
      <c r="D1101" s="4" t="s">
        <v>42</v>
      </c>
      <c r="E1101" s="4" t="s">
        <v>25</v>
      </c>
      <c r="F1101" s="4" t="s">
        <v>25</v>
      </c>
      <c r="G1101" s="4" t="s">
        <v>25</v>
      </c>
      <c r="H1101" s="4" t="s">
        <v>37</v>
      </c>
      <c r="I1101" s="5">
        <v>44197</v>
      </c>
      <c r="J1101" s="6">
        <v>0</v>
      </c>
      <c r="K1101" s="6">
        <v>0</v>
      </c>
      <c r="L1101" s="6">
        <v>25.818000000000001</v>
      </c>
      <c r="M1101" s="6">
        <v>25.818000000000001</v>
      </c>
      <c r="N1101" s="6">
        <v>25.818000000000001</v>
      </c>
      <c r="O1101" s="6">
        <v>25.818000000000001</v>
      </c>
      <c r="P1101" s="6">
        <v>0</v>
      </c>
      <c r="Q1101" s="4" t="s">
        <v>26</v>
      </c>
      <c r="R1101" s="4">
        <v>0</v>
      </c>
      <c r="S1101" s="4" t="s">
        <v>214</v>
      </c>
      <c r="T1101" s="4" t="s">
        <v>447</v>
      </c>
      <c r="U1101" s="4">
        <v>0</v>
      </c>
      <c r="V1101" s="4">
        <v>24</v>
      </c>
      <c r="W1101" s="4">
        <v>66</v>
      </c>
    </row>
    <row r="1102" spans="1:23" ht="11.25" customHeight="1" x14ac:dyDescent="0.25">
      <c r="A1102" s="4" t="s">
        <v>21</v>
      </c>
      <c r="B1102" s="4" t="s">
        <v>35</v>
      </c>
      <c r="C1102" s="4" t="s">
        <v>36</v>
      </c>
      <c r="D1102" s="4" t="s">
        <v>42</v>
      </c>
      <c r="E1102" s="4" t="s">
        <v>25</v>
      </c>
      <c r="F1102" s="4" t="s">
        <v>25</v>
      </c>
      <c r="G1102" s="4" t="s">
        <v>25</v>
      </c>
      <c r="H1102" s="4" t="s">
        <v>37</v>
      </c>
      <c r="I1102" s="5">
        <v>44228</v>
      </c>
      <c r="J1102" s="6">
        <v>0</v>
      </c>
      <c r="K1102" s="6">
        <v>0</v>
      </c>
      <c r="L1102" s="6">
        <v>1299.403</v>
      </c>
      <c r="M1102" s="6">
        <v>1299.403</v>
      </c>
      <c r="N1102" s="6">
        <v>1299.403</v>
      </c>
      <c r="O1102" s="6">
        <v>1299.403</v>
      </c>
      <c r="P1102" s="6">
        <v>0</v>
      </c>
      <c r="Q1102" s="4" t="s">
        <v>26</v>
      </c>
      <c r="R1102" s="4">
        <v>0</v>
      </c>
      <c r="S1102" s="4" t="s">
        <v>215</v>
      </c>
      <c r="T1102" s="4" t="s">
        <v>448</v>
      </c>
      <c r="U1102" s="4">
        <v>0</v>
      </c>
      <c r="V1102" s="4">
        <v>24</v>
      </c>
      <c r="W1102" s="4">
        <v>66</v>
      </c>
    </row>
    <row r="1103" spans="1:23" ht="11.25" customHeight="1" x14ac:dyDescent="0.25">
      <c r="A1103" s="4" t="s">
        <v>27</v>
      </c>
      <c r="B1103" s="4" t="s">
        <v>35</v>
      </c>
      <c r="C1103" s="4" t="s">
        <v>36</v>
      </c>
      <c r="D1103" s="4" t="s">
        <v>42</v>
      </c>
      <c r="E1103" s="4" t="s">
        <v>25</v>
      </c>
      <c r="F1103" s="4" t="s">
        <v>25</v>
      </c>
      <c r="G1103" s="4" t="s">
        <v>25</v>
      </c>
      <c r="H1103" s="4" t="s">
        <v>37</v>
      </c>
      <c r="I1103" s="5">
        <v>44228</v>
      </c>
      <c r="J1103" s="6">
        <v>0</v>
      </c>
      <c r="K1103" s="6">
        <v>0</v>
      </c>
      <c r="L1103" s="6">
        <v>-137.392</v>
      </c>
      <c r="M1103" s="6">
        <v>-137.392</v>
      </c>
      <c r="N1103" s="6">
        <v>-137.392</v>
      </c>
      <c r="O1103" s="6">
        <v>-137.392</v>
      </c>
      <c r="P1103" s="6">
        <v>0</v>
      </c>
      <c r="Q1103" s="4" t="s">
        <v>26</v>
      </c>
      <c r="R1103" s="4">
        <v>0</v>
      </c>
      <c r="S1103" s="4" t="s">
        <v>215</v>
      </c>
      <c r="T1103" s="4" t="s">
        <v>448</v>
      </c>
      <c r="U1103" s="4">
        <v>0</v>
      </c>
      <c r="V1103" s="4">
        <v>24</v>
      </c>
      <c r="W1103" s="4">
        <v>66</v>
      </c>
    </row>
    <row r="1104" spans="1:23" ht="11.25" customHeight="1" x14ac:dyDescent="0.25">
      <c r="A1104" s="4" t="s">
        <v>28</v>
      </c>
      <c r="B1104" s="4" t="s">
        <v>35</v>
      </c>
      <c r="C1104" s="4" t="s">
        <v>36</v>
      </c>
      <c r="D1104" s="4" t="s">
        <v>42</v>
      </c>
      <c r="E1104" s="4" t="s">
        <v>25</v>
      </c>
      <c r="F1104" s="4" t="s">
        <v>25</v>
      </c>
      <c r="G1104" s="4" t="s">
        <v>25</v>
      </c>
      <c r="H1104" s="4" t="s">
        <v>37</v>
      </c>
      <c r="I1104" s="5">
        <v>44228</v>
      </c>
      <c r="J1104" s="6">
        <v>0</v>
      </c>
      <c r="K1104" s="6">
        <v>0</v>
      </c>
      <c r="L1104" s="6">
        <v>123.121</v>
      </c>
      <c r="M1104" s="6">
        <v>123.121</v>
      </c>
      <c r="N1104" s="6">
        <v>123.121</v>
      </c>
      <c r="O1104" s="6">
        <v>123.121</v>
      </c>
      <c r="P1104" s="6">
        <v>0</v>
      </c>
      <c r="Q1104" s="4" t="s">
        <v>26</v>
      </c>
      <c r="R1104" s="4">
        <v>0</v>
      </c>
      <c r="S1104" s="4" t="s">
        <v>215</v>
      </c>
      <c r="T1104" s="4" t="s">
        <v>448</v>
      </c>
      <c r="U1104" s="4">
        <v>0</v>
      </c>
      <c r="V1104" s="4">
        <v>24</v>
      </c>
      <c r="W1104" s="4">
        <v>66</v>
      </c>
    </row>
    <row r="1105" spans="1:23" ht="11.25" customHeight="1" x14ac:dyDescent="0.25">
      <c r="A1105" s="4" t="s">
        <v>30</v>
      </c>
      <c r="B1105" s="4" t="s">
        <v>35</v>
      </c>
      <c r="C1105" s="4" t="s">
        <v>36</v>
      </c>
      <c r="D1105" s="4" t="s">
        <v>42</v>
      </c>
      <c r="E1105" s="4" t="s">
        <v>25</v>
      </c>
      <c r="F1105" s="4" t="s">
        <v>25</v>
      </c>
      <c r="G1105" s="4" t="s">
        <v>25</v>
      </c>
      <c r="H1105" s="4" t="s">
        <v>37</v>
      </c>
      <c r="I1105" s="5">
        <v>44228</v>
      </c>
      <c r="J1105" s="6">
        <v>0</v>
      </c>
      <c r="K1105" s="6">
        <v>0</v>
      </c>
      <c r="L1105" s="6">
        <v>36.865000000000002</v>
      </c>
      <c r="M1105" s="6">
        <v>36.865000000000002</v>
      </c>
      <c r="N1105" s="6">
        <v>36.865000000000002</v>
      </c>
      <c r="O1105" s="6">
        <v>36.865000000000002</v>
      </c>
      <c r="P1105" s="6">
        <v>0</v>
      </c>
      <c r="Q1105" s="4" t="s">
        <v>26</v>
      </c>
      <c r="R1105" s="4">
        <v>0</v>
      </c>
      <c r="S1105" s="4" t="s">
        <v>215</v>
      </c>
      <c r="T1105" s="4" t="s">
        <v>448</v>
      </c>
      <c r="U1105" s="4">
        <v>0</v>
      </c>
      <c r="V1105" s="4">
        <v>24</v>
      </c>
      <c r="W1105" s="4">
        <v>66</v>
      </c>
    </row>
    <row r="1106" spans="1:23" ht="11.25" customHeight="1" x14ac:dyDescent="0.25">
      <c r="A1106" s="4" t="s">
        <v>21</v>
      </c>
      <c r="B1106" s="4" t="s">
        <v>35</v>
      </c>
      <c r="C1106" s="4" t="s">
        <v>36</v>
      </c>
      <c r="D1106" s="4" t="s">
        <v>42</v>
      </c>
      <c r="E1106" s="4" t="s">
        <v>25</v>
      </c>
      <c r="F1106" s="4" t="s">
        <v>25</v>
      </c>
      <c r="G1106" s="4" t="s">
        <v>25</v>
      </c>
      <c r="H1106" s="4" t="s">
        <v>37</v>
      </c>
      <c r="I1106" s="5">
        <v>44256</v>
      </c>
      <c r="J1106" s="6">
        <v>0</v>
      </c>
      <c r="K1106" s="6">
        <v>0</v>
      </c>
      <c r="L1106" s="6">
        <v>1823.8440000000001</v>
      </c>
      <c r="M1106" s="6">
        <v>1823.8440000000001</v>
      </c>
      <c r="N1106" s="6">
        <v>1823.8440000000001</v>
      </c>
      <c r="O1106" s="6">
        <v>1823.8440000000001</v>
      </c>
      <c r="P1106" s="6">
        <v>0</v>
      </c>
      <c r="Q1106" s="4" t="s">
        <v>26</v>
      </c>
      <c r="R1106" s="4">
        <v>0</v>
      </c>
      <c r="S1106" s="4" t="s">
        <v>216</v>
      </c>
      <c r="T1106" s="4" t="s">
        <v>449</v>
      </c>
      <c r="U1106" s="4">
        <v>0</v>
      </c>
      <c r="V1106" s="4">
        <v>24</v>
      </c>
      <c r="W1106" s="4">
        <v>66</v>
      </c>
    </row>
    <row r="1107" spans="1:23" ht="11.25" customHeight="1" x14ac:dyDescent="0.25">
      <c r="A1107" s="4" t="s">
        <v>28</v>
      </c>
      <c r="B1107" s="4" t="s">
        <v>35</v>
      </c>
      <c r="C1107" s="4" t="s">
        <v>36</v>
      </c>
      <c r="D1107" s="4" t="s">
        <v>42</v>
      </c>
      <c r="E1107" s="4" t="s">
        <v>25</v>
      </c>
      <c r="F1107" s="4" t="s">
        <v>25</v>
      </c>
      <c r="G1107" s="4" t="s">
        <v>25</v>
      </c>
      <c r="H1107" s="4" t="s">
        <v>37</v>
      </c>
      <c r="I1107" s="5">
        <v>44256</v>
      </c>
      <c r="J1107" s="6">
        <v>0</v>
      </c>
      <c r="K1107" s="6">
        <v>0</v>
      </c>
      <c r="L1107" s="6">
        <v>130.07300000000001</v>
      </c>
      <c r="M1107" s="6">
        <v>130.07300000000001</v>
      </c>
      <c r="N1107" s="6">
        <v>130.07300000000001</v>
      </c>
      <c r="O1107" s="6">
        <v>130.07300000000001</v>
      </c>
      <c r="P1107" s="6">
        <v>0</v>
      </c>
      <c r="Q1107" s="4" t="s">
        <v>26</v>
      </c>
      <c r="R1107" s="4">
        <v>0</v>
      </c>
      <c r="S1107" s="4" t="s">
        <v>216</v>
      </c>
      <c r="T1107" s="4" t="s">
        <v>449</v>
      </c>
      <c r="U1107" s="4">
        <v>0</v>
      </c>
      <c r="V1107" s="4">
        <v>24</v>
      </c>
      <c r="W1107" s="4">
        <v>66</v>
      </c>
    </row>
    <row r="1108" spans="1:23" ht="11.25" customHeight="1" x14ac:dyDescent="0.25">
      <c r="A1108" s="4" t="s">
        <v>30</v>
      </c>
      <c r="B1108" s="4" t="s">
        <v>35</v>
      </c>
      <c r="C1108" s="4" t="s">
        <v>36</v>
      </c>
      <c r="D1108" s="4" t="s">
        <v>42</v>
      </c>
      <c r="E1108" s="4" t="s">
        <v>25</v>
      </c>
      <c r="F1108" s="4" t="s">
        <v>25</v>
      </c>
      <c r="G1108" s="4" t="s">
        <v>25</v>
      </c>
      <c r="H1108" s="4" t="s">
        <v>37</v>
      </c>
      <c r="I1108" s="5">
        <v>44256</v>
      </c>
      <c r="J1108" s="6">
        <v>0</v>
      </c>
      <c r="K1108" s="6">
        <v>0</v>
      </c>
      <c r="L1108" s="6">
        <v>49.954999999999998</v>
      </c>
      <c r="M1108" s="6">
        <v>49.954999999999998</v>
      </c>
      <c r="N1108" s="6">
        <v>49.954999999999998</v>
      </c>
      <c r="O1108" s="6">
        <v>49.954999999999998</v>
      </c>
      <c r="P1108" s="6">
        <v>0</v>
      </c>
      <c r="Q1108" s="4" t="s">
        <v>26</v>
      </c>
      <c r="R1108" s="4">
        <v>0</v>
      </c>
      <c r="S1108" s="4" t="s">
        <v>216</v>
      </c>
      <c r="T1108" s="4" t="s">
        <v>449</v>
      </c>
      <c r="U1108" s="4">
        <v>0</v>
      </c>
      <c r="V1108" s="4">
        <v>24</v>
      </c>
      <c r="W1108" s="4">
        <v>66</v>
      </c>
    </row>
    <row r="1109" spans="1:23" ht="11.25" customHeight="1" x14ac:dyDescent="0.25">
      <c r="A1109" s="4" t="s">
        <v>21</v>
      </c>
      <c r="B1109" s="4" t="s">
        <v>35</v>
      </c>
      <c r="C1109" s="4" t="s">
        <v>36</v>
      </c>
      <c r="D1109" s="4" t="s">
        <v>42</v>
      </c>
      <c r="E1109" s="4" t="s">
        <v>25</v>
      </c>
      <c r="F1109" s="4" t="s">
        <v>25</v>
      </c>
      <c r="G1109" s="4" t="s">
        <v>25</v>
      </c>
      <c r="H1109" s="4" t="s">
        <v>37</v>
      </c>
      <c r="I1109" s="5">
        <v>44287</v>
      </c>
      <c r="J1109" s="6">
        <v>0</v>
      </c>
      <c r="K1109" s="6">
        <v>0</v>
      </c>
      <c r="L1109" s="6">
        <v>1559.2639999999999</v>
      </c>
      <c r="M1109" s="6">
        <v>1559.2639999999999</v>
      </c>
      <c r="N1109" s="6">
        <v>1559.2639999999999</v>
      </c>
      <c r="O1109" s="6">
        <v>1559.2639999999999</v>
      </c>
      <c r="P1109" s="6">
        <v>0</v>
      </c>
      <c r="Q1109" s="4" t="s">
        <v>26</v>
      </c>
      <c r="R1109" s="4">
        <v>0</v>
      </c>
      <c r="S1109" s="4" t="s">
        <v>217</v>
      </c>
      <c r="T1109" s="4" t="s">
        <v>450</v>
      </c>
      <c r="U1109" s="4">
        <v>0</v>
      </c>
      <c r="V1109" s="4">
        <v>24</v>
      </c>
      <c r="W1109" s="4">
        <v>66</v>
      </c>
    </row>
    <row r="1110" spans="1:23" ht="11.25" customHeight="1" x14ac:dyDescent="0.25">
      <c r="A1110" s="4" t="s">
        <v>27</v>
      </c>
      <c r="B1110" s="4" t="s">
        <v>35</v>
      </c>
      <c r="C1110" s="4" t="s">
        <v>36</v>
      </c>
      <c r="D1110" s="4" t="s">
        <v>42</v>
      </c>
      <c r="E1110" s="4" t="s">
        <v>25</v>
      </c>
      <c r="F1110" s="4" t="s">
        <v>25</v>
      </c>
      <c r="G1110" s="4" t="s">
        <v>25</v>
      </c>
      <c r="H1110" s="4" t="s">
        <v>37</v>
      </c>
      <c r="I1110" s="5">
        <v>44287</v>
      </c>
      <c r="J1110" s="6">
        <v>0</v>
      </c>
      <c r="K1110" s="6">
        <v>0</v>
      </c>
      <c r="L1110" s="6">
        <v>-0.72599999999999998</v>
      </c>
      <c r="M1110" s="6">
        <v>-0.72599999999999998</v>
      </c>
      <c r="N1110" s="6">
        <v>-0.72599999999999998</v>
      </c>
      <c r="O1110" s="6">
        <v>-0.72599999999999998</v>
      </c>
      <c r="P1110" s="6">
        <v>0</v>
      </c>
      <c r="Q1110" s="4" t="s">
        <v>26</v>
      </c>
      <c r="R1110" s="4">
        <v>0</v>
      </c>
      <c r="S1110" s="4" t="s">
        <v>217</v>
      </c>
      <c r="T1110" s="4" t="s">
        <v>450</v>
      </c>
      <c r="U1110" s="4">
        <v>0</v>
      </c>
      <c r="V1110" s="4">
        <v>24</v>
      </c>
      <c r="W1110" s="4">
        <v>66</v>
      </c>
    </row>
    <row r="1111" spans="1:23" ht="11.25" customHeight="1" x14ac:dyDescent="0.25">
      <c r="A1111" s="4" t="s">
        <v>28</v>
      </c>
      <c r="B1111" s="4" t="s">
        <v>35</v>
      </c>
      <c r="C1111" s="4" t="s">
        <v>36</v>
      </c>
      <c r="D1111" s="4" t="s">
        <v>42</v>
      </c>
      <c r="E1111" s="4" t="s">
        <v>25</v>
      </c>
      <c r="F1111" s="4" t="s">
        <v>25</v>
      </c>
      <c r="G1111" s="4" t="s">
        <v>25</v>
      </c>
      <c r="H1111" s="4" t="s">
        <v>37</v>
      </c>
      <c r="I1111" s="5">
        <v>44287</v>
      </c>
      <c r="J1111" s="6">
        <v>0</v>
      </c>
      <c r="K1111" s="6">
        <v>0</v>
      </c>
      <c r="L1111" s="6">
        <v>153.97800000000001</v>
      </c>
      <c r="M1111" s="6">
        <v>153.97800000000001</v>
      </c>
      <c r="N1111" s="6">
        <v>153.97800000000001</v>
      </c>
      <c r="O1111" s="6">
        <v>153.97800000000001</v>
      </c>
      <c r="P1111" s="6">
        <v>0</v>
      </c>
      <c r="Q1111" s="4" t="s">
        <v>26</v>
      </c>
      <c r="R1111" s="4">
        <v>0</v>
      </c>
      <c r="S1111" s="4" t="s">
        <v>217</v>
      </c>
      <c r="T1111" s="4" t="s">
        <v>450</v>
      </c>
      <c r="U1111" s="4">
        <v>0</v>
      </c>
      <c r="V1111" s="4">
        <v>24</v>
      </c>
      <c r="W1111" s="4">
        <v>66</v>
      </c>
    </row>
    <row r="1112" spans="1:23" ht="11.25" customHeight="1" x14ac:dyDescent="0.25">
      <c r="A1112" s="4" t="s">
        <v>29</v>
      </c>
      <c r="B1112" s="4" t="s">
        <v>35</v>
      </c>
      <c r="C1112" s="4" t="s">
        <v>36</v>
      </c>
      <c r="D1112" s="4" t="s">
        <v>42</v>
      </c>
      <c r="E1112" s="4" t="s">
        <v>25</v>
      </c>
      <c r="F1112" s="4" t="s">
        <v>25</v>
      </c>
      <c r="G1112" s="4" t="s">
        <v>25</v>
      </c>
      <c r="H1112" s="4" t="s">
        <v>37</v>
      </c>
      <c r="I1112" s="5">
        <v>44287</v>
      </c>
      <c r="J1112" s="6">
        <v>0</v>
      </c>
      <c r="K1112" s="6">
        <v>0</v>
      </c>
      <c r="L1112" s="6">
        <v>-31.096</v>
      </c>
      <c r="M1112" s="6">
        <v>-31.096</v>
      </c>
      <c r="N1112" s="6">
        <v>-31.096</v>
      </c>
      <c r="O1112" s="6">
        <v>-31.096</v>
      </c>
      <c r="P1112" s="6">
        <v>0</v>
      </c>
      <c r="Q1112" s="4" t="s">
        <v>26</v>
      </c>
      <c r="R1112" s="4">
        <v>0</v>
      </c>
      <c r="S1112" s="4" t="s">
        <v>217</v>
      </c>
      <c r="T1112" s="4" t="s">
        <v>450</v>
      </c>
      <c r="U1112" s="4">
        <v>0</v>
      </c>
      <c r="V1112" s="4">
        <v>24</v>
      </c>
      <c r="W1112" s="4">
        <v>66</v>
      </c>
    </row>
    <row r="1113" spans="1:23" ht="11.25" customHeight="1" x14ac:dyDescent="0.25">
      <c r="A1113" s="4" t="s">
        <v>30</v>
      </c>
      <c r="B1113" s="4" t="s">
        <v>35</v>
      </c>
      <c r="C1113" s="4" t="s">
        <v>36</v>
      </c>
      <c r="D1113" s="4" t="s">
        <v>42</v>
      </c>
      <c r="E1113" s="4" t="s">
        <v>25</v>
      </c>
      <c r="F1113" s="4" t="s">
        <v>25</v>
      </c>
      <c r="G1113" s="4" t="s">
        <v>25</v>
      </c>
      <c r="H1113" s="4" t="s">
        <v>37</v>
      </c>
      <c r="I1113" s="5">
        <v>44287</v>
      </c>
      <c r="J1113" s="6">
        <v>0</v>
      </c>
      <c r="K1113" s="6">
        <v>0</v>
      </c>
      <c r="L1113" s="6">
        <v>54.634</v>
      </c>
      <c r="M1113" s="6">
        <v>54.634</v>
      </c>
      <c r="N1113" s="6">
        <v>54.634</v>
      </c>
      <c r="O1113" s="6">
        <v>54.634</v>
      </c>
      <c r="P1113" s="6">
        <v>0</v>
      </c>
      <c r="Q1113" s="4" t="s">
        <v>26</v>
      </c>
      <c r="R1113" s="4">
        <v>0</v>
      </c>
      <c r="S1113" s="4" t="s">
        <v>217</v>
      </c>
      <c r="T1113" s="4" t="s">
        <v>450</v>
      </c>
      <c r="U1113" s="4">
        <v>0</v>
      </c>
      <c r="V1113" s="4">
        <v>24</v>
      </c>
      <c r="W1113" s="4">
        <v>66</v>
      </c>
    </row>
    <row r="1114" spans="1:23" ht="11.25" customHeight="1" x14ac:dyDescent="0.25">
      <c r="A1114" s="4" t="s">
        <v>21</v>
      </c>
      <c r="B1114" s="4" t="s">
        <v>35</v>
      </c>
      <c r="C1114" s="4" t="s">
        <v>36</v>
      </c>
      <c r="D1114" s="4" t="s">
        <v>42</v>
      </c>
      <c r="E1114" s="4" t="s">
        <v>25</v>
      </c>
      <c r="F1114" s="4" t="s">
        <v>25</v>
      </c>
      <c r="G1114" s="4" t="s">
        <v>25</v>
      </c>
      <c r="H1114" s="4" t="s">
        <v>37</v>
      </c>
      <c r="I1114" s="5">
        <v>44317</v>
      </c>
      <c r="J1114" s="6">
        <v>0</v>
      </c>
      <c r="K1114" s="6">
        <v>0</v>
      </c>
      <c r="L1114" s="6">
        <v>1611.5139999999999</v>
      </c>
      <c r="M1114" s="6">
        <v>1611.5139999999999</v>
      </c>
      <c r="N1114" s="6">
        <v>1611.5139999999999</v>
      </c>
      <c r="O1114" s="6">
        <v>1611.5139999999999</v>
      </c>
      <c r="P1114" s="6">
        <v>0</v>
      </c>
      <c r="Q1114" s="4" t="s">
        <v>26</v>
      </c>
      <c r="R1114" s="4">
        <v>0</v>
      </c>
      <c r="S1114" s="4" t="s">
        <v>218</v>
      </c>
      <c r="T1114" s="4" t="s">
        <v>451</v>
      </c>
      <c r="U1114" s="4">
        <v>0</v>
      </c>
      <c r="V1114" s="4">
        <v>24</v>
      </c>
      <c r="W1114" s="4">
        <v>66</v>
      </c>
    </row>
    <row r="1115" spans="1:23" ht="11.25" customHeight="1" x14ac:dyDescent="0.25">
      <c r="A1115" s="4" t="s">
        <v>27</v>
      </c>
      <c r="B1115" s="4" t="s">
        <v>35</v>
      </c>
      <c r="C1115" s="4" t="s">
        <v>36</v>
      </c>
      <c r="D1115" s="4" t="s">
        <v>42</v>
      </c>
      <c r="E1115" s="4" t="s">
        <v>25</v>
      </c>
      <c r="F1115" s="4" t="s">
        <v>25</v>
      </c>
      <c r="G1115" s="4" t="s">
        <v>25</v>
      </c>
      <c r="H1115" s="4" t="s">
        <v>37</v>
      </c>
      <c r="I1115" s="5">
        <v>44317</v>
      </c>
      <c r="J1115" s="6">
        <v>0</v>
      </c>
      <c r="K1115" s="6">
        <v>0</v>
      </c>
      <c r="L1115" s="6">
        <v>-68.334000000000003</v>
      </c>
      <c r="M1115" s="6">
        <v>-68.334000000000003</v>
      </c>
      <c r="N1115" s="6">
        <v>-68.334000000000003</v>
      </c>
      <c r="O1115" s="6">
        <v>-68.334000000000003</v>
      </c>
      <c r="P1115" s="6">
        <v>0</v>
      </c>
      <c r="Q1115" s="4" t="s">
        <v>26</v>
      </c>
      <c r="R1115" s="4">
        <v>0</v>
      </c>
      <c r="S1115" s="4" t="s">
        <v>218</v>
      </c>
      <c r="T1115" s="4" t="s">
        <v>451</v>
      </c>
      <c r="U1115" s="4">
        <v>0</v>
      </c>
      <c r="V1115" s="4">
        <v>24</v>
      </c>
      <c r="W1115" s="4">
        <v>66</v>
      </c>
    </row>
    <row r="1116" spans="1:23" ht="11.25" customHeight="1" x14ac:dyDescent="0.25">
      <c r="A1116" s="4" t="s">
        <v>28</v>
      </c>
      <c r="B1116" s="4" t="s">
        <v>35</v>
      </c>
      <c r="C1116" s="4" t="s">
        <v>36</v>
      </c>
      <c r="D1116" s="4" t="s">
        <v>42</v>
      </c>
      <c r="E1116" s="4" t="s">
        <v>25</v>
      </c>
      <c r="F1116" s="4" t="s">
        <v>25</v>
      </c>
      <c r="G1116" s="4" t="s">
        <v>25</v>
      </c>
      <c r="H1116" s="4" t="s">
        <v>37</v>
      </c>
      <c r="I1116" s="5">
        <v>44317</v>
      </c>
      <c r="J1116" s="6">
        <v>0</v>
      </c>
      <c r="K1116" s="6">
        <v>0</v>
      </c>
      <c r="L1116" s="6">
        <v>161.38900000000001</v>
      </c>
      <c r="M1116" s="6">
        <v>161.38900000000001</v>
      </c>
      <c r="N1116" s="6">
        <v>161.38900000000001</v>
      </c>
      <c r="O1116" s="6">
        <v>161.38900000000001</v>
      </c>
      <c r="P1116" s="6">
        <v>0</v>
      </c>
      <c r="Q1116" s="4" t="s">
        <v>26</v>
      </c>
      <c r="R1116" s="4">
        <v>0</v>
      </c>
      <c r="S1116" s="4" t="s">
        <v>218</v>
      </c>
      <c r="T1116" s="4" t="s">
        <v>451</v>
      </c>
      <c r="U1116" s="4">
        <v>0</v>
      </c>
      <c r="V1116" s="4">
        <v>24</v>
      </c>
      <c r="W1116" s="4">
        <v>66</v>
      </c>
    </row>
    <row r="1117" spans="1:23" ht="11.25" customHeight="1" x14ac:dyDescent="0.25">
      <c r="A1117" s="4" t="s">
        <v>29</v>
      </c>
      <c r="B1117" s="4" t="s">
        <v>35</v>
      </c>
      <c r="C1117" s="4" t="s">
        <v>36</v>
      </c>
      <c r="D1117" s="4" t="s">
        <v>42</v>
      </c>
      <c r="E1117" s="4" t="s">
        <v>25</v>
      </c>
      <c r="F1117" s="4" t="s">
        <v>25</v>
      </c>
      <c r="G1117" s="4" t="s">
        <v>25</v>
      </c>
      <c r="H1117" s="4" t="s">
        <v>37</v>
      </c>
      <c r="I1117" s="5">
        <v>44317</v>
      </c>
      <c r="J1117" s="6">
        <v>0</v>
      </c>
      <c r="K1117" s="6">
        <v>0</v>
      </c>
      <c r="L1117" s="6">
        <v>-17.904</v>
      </c>
      <c r="M1117" s="6">
        <v>-17.904</v>
      </c>
      <c r="N1117" s="6">
        <v>-17.904</v>
      </c>
      <c r="O1117" s="6">
        <v>-17.904</v>
      </c>
      <c r="P1117" s="6">
        <v>0</v>
      </c>
      <c r="Q1117" s="4" t="s">
        <v>26</v>
      </c>
      <c r="R1117" s="4">
        <v>0</v>
      </c>
      <c r="S1117" s="4" t="s">
        <v>218</v>
      </c>
      <c r="T1117" s="4" t="s">
        <v>451</v>
      </c>
      <c r="U1117" s="4">
        <v>0</v>
      </c>
      <c r="V1117" s="4">
        <v>24</v>
      </c>
      <c r="W1117" s="4">
        <v>66</v>
      </c>
    </row>
    <row r="1118" spans="1:23" ht="11.25" customHeight="1" x14ac:dyDescent="0.25">
      <c r="A1118" s="4" t="s">
        <v>30</v>
      </c>
      <c r="B1118" s="4" t="s">
        <v>35</v>
      </c>
      <c r="C1118" s="4" t="s">
        <v>36</v>
      </c>
      <c r="D1118" s="4" t="s">
        <v>42</v>
      </c>
      <c r="E1118" s="4" t="s">
        <v>25</v>
      </c>
      <c r="F1118" s="4" t="s">
        <v>25</v>
      </c>
      <c r="G1118" s="4" t="s">
        <v>25</v>
      </c>
      <c r="H1118" s="4" t="s">
        <v>37</v>
      </c>
      <c r="I1118" s="5">
        <v>44317</v>
      </c>
      <c r="J1118" s="6">
        <v>0</v>
      </c>
      <c r="K1118" s="6">
        <v>0</v>
      </c>
      <c r="L1118" s="6">
        <v>59.680999999999997</v>
      </c>
      <c r="M1118" s="6">
        <v>59.680999999999997</v>
      </c>
      <c r="N1118" s="6">
        <v>59.680999999999997</v>
      </c>
      <c r="O1118" s="6">
        <v>59.680999999999997</v>
      </c>
      <c r="P1118" s="6">
        <v>0</v>
      </c>
      <c r="Q1118" s="4" t="s">
        <v>26</v>
      </c>
      <c r="R1118" s="4">
        <v>0</v>
      </c>
      <c r="S1118" s="4" t="s">
        <v>218</v>
      </c>
      <c r="T1118" s="4" t="s">
        <v>451</v>
      </c>
      <c r="U1118" s="4">
        <v>0</v>
      </c>
      <c r="V1118" s="4">
        <v>24</v>
      </c>
      <c r="W1118" s="4">
        <v>66</v>
      </c>
    </row>
    <row r="1119" spans="1:23" ht="11.25" customHeight="1" x14ac:dyDescent="0.25">
      <c r="A1119" s="4" t="s">
        <v>21</v>
      </c>
      <c r="B1119" s="4" t="s">
        <v>35</v>
      </c>
      <c r="C1119" s="4" t="s">
        <v>36</v>
      </c>
      <c r="D1119" s="4" t="s">
        <v>42</v>
      </c>
      <c r="E1119" s="4" t="s">
        <v>25</v>
      </c>
      <c r="F1119" s="4" t="s">
        <v>25</v>
      </c>
      <c r="G1119" s="4" t="s">
        <v>25</v>
      </c>
      <c r="H1119" s="4" t="s">
        <v>37</v>
      </c>
      <c r="I1119" s="5">
        <v>44317</v>
      </c>
      <c r="J1119" s="6">
        <v>0</v>
      </c>
      <c r="K1119" s="6">
        <v>0</v>
      </c>
      <c r="L1119" s="6">
        <v>3.069</v>
      </c>
      <c r="M1119" s="6">
        <v>3.069</v>
      </c>
      <c r="N1119" s="6">
        <v>0</v>
      </c>
      <c r="O1119" s="6">
        <v>0</v>
      </c>
      <c r="P1119" s="6">
        <v>0</v>
      </c>
      <c r="Q1119" s="4" t="s">
        <v>60</v>
      </c>
      <c r="R1119" s="4">
        <v>0</v>
      </c>
      <c r="S1119" s="4" t="s">
        <v>218</v>
      </c>
      <c r="U1119" s="4">
        <v>0</v>
      </c>
      <c r="V1119" s="4">
        <v>24</v>
      </c>
      <c r="W1119" s="4">
        <v>0</v>
      </c>
    </row>
    <row r="1120" spans="1:23" ht="11.25" customHeight="1" x14ac:dyDescent="0.25">
      <c r="A1120" s="4" t="s">
        <v>21</v>
      </c>
      <c r="B1120" s="4" t="s">
        <v>35</v>
      </c>
      <c r="C1120" s="4" t="s">
        <v>36</v>
      </c>
      <c r="D1120" s="4" t="s">
        <v>42</v>
      </c>
      <c r="E1120" s="4" t="s">
        <v>25</v>
      </c>
      <c r="F1120" s="4" t="s">
        <v>25</v>
      </c>
      <c r="G1120" s="4" t="s">
        <v>25</v>
      </c>
      <c r="H1120" s="4" t="s">
        <v>37</v>
      </c>
      <c r="I1120" s="5">
        <v>44348</v>
      </c>
      <c r="J1120" s="6">
        <v>0</v>
      </c>
      <c r="K1120" s="6">
        <v>0</v>
      </c>
      <c r="L1120" s="6">
        <v>1537.4860000000001</v>
      </c>
      <c r="M1120" s="6">
        <v>1537.4860000000001</v>
      </c>
      <c r="N1120" s="6">
        <v>1537.4860000000001</v>
      </c>
      <c r="O1120" s="6">
        <v>1537.4860000000001</v>
      </c>
      <c r="P1120" s="6">
        <v>0</v>
      </c>
      <c r="Q1120" s="4" t="s">
        <v>26</v>
      </c>
      <c r="R1120" s="4">
        <v>0</v>
      </c>
      <c r="S1120" s="4" t="s">
        <v>219</v>
      </c>
      <c r="T1120" s="4" t="s">
        <v>452</v>
      </c>
      <c r="U1120" s="4">
        <v>0</v>
      </c>
      <c r="V1120" s="4">
        <v>24</v>
      </c>
      <c r="W1120" s="4">
        <v>66</v>
      </c>
    </row>
    <row r="1121" spans="1:23" ht="11.25" customHeight="1" x14ac:dyDescent="0.25">
      <c r="A1121" s="4" t="s">
        <v>27</v>
      </c>
      <c r="B1121" s="4" t="s">
        <v>35</v>
      </c>
      <c r="C1121" s="4" t="s">
        <v>36</v>
      </c>
      <c r="D1121" s="4" t="s">
        <v>42</v>
      </c>
      <c r="E1121" s="4" t="s">
        <v>25</v>
      </c>
      <c r="F1121" s="4" t="s">
        <v>25</v>
      </c>
      <c r="G1121" s="4" t="s">
        <v>25</v>
      </c>
      <c r="H1121" s="4" t="s">
        <v>37</v>
      </c>
      <c r="I1121" s="5">
        <v>44348</v>
      </c>
      <c r="J1121" s="6">
        <v>0</v>
      </c>
      <c r="K1121" s="6">
        <v>0</v>
      </c>
      <c r="L1121" s="6">
        <v>-28.067</v>
      </c>
      <c r="M1121" s="6">
        <v>-28.067</v>
      </c>
      <c r="N1121" s="6">
        <v>-28.067</v>
      </c>
      <c r="O1121" s="6">
        <v>-28.067</v>
      </c>
      <c r="P1121" s="6">
        <v>0</v>
      </c>
      <c r="Q1121" s="4" t="s">
        <v>26</v>
      </c>
      <c r="R1121" s="4">
        <v>0</v>
      </c>
      <c r="S1121" s="4" t="s">
        <v>219</v>
      </c>
      <c r="T1121" s="4" t="s">
        <v>452</v>
      </c>
      <c r="U1121" s="4">
        <v>0</v>
      </c>
      <c r="V1121" s="4">
        <v>24</v>
      </c>
      <c r="W1121" s="4">
        <v>66</v>
      </c>
    </row>
    <row r="1122" spans="1:23" ht="11.25" customHeight="1" x14ac:dyDescent="0.25">
      <c r="A1122" s="4" t="s">
        <v>28</v>
      </c>
      <c r="B1122" s="4" t="s">
        <v>35</v>
      </c>
      <c r="C1122" s="4" t="s">
        <v>36</v>
      </c>
      <c r="D1122" s="4" t="s">
        <v>42</v>
      </c>
      <c r="E1122" s="4" t="s">
        <v>25</v>
      </c>
      <c r="F1122" s="4" t="s">
        <v>25</v>
      </c>
      <c r="G1122" s="4" t="s">
        <v>25</v>
      </c>
      <c r="H1122" s="4" t="s">
        <v>37</v>
      </c>
      <c r="I1122" s="5">
        <v>44348</v>
      </c>
      <c r="J1122" s="6">
        <v>0</v>
      </c>
      <c r="K1122" s="6">
        <v>0</v>
      </c>
      <c r="L1122" s="6">
        <v>120.002</v>
      </c>
      <c r="M1122" s="6">
        <v>120.002</v>
      </c>
      <c r="N1122" s="6">
        <v>120.002</v>
      </c>
      <c r="O1122" s="6">
        <v>120.002</v>
      </c>
      <c r="P1122" s="6">
        <v>0</v>
      </c>
      <c r="Q1122" s="4" t="s">
        <v>26</v>
      </c>
      <c r="R1122" s="4">
        <v>0</v>
      </c>
      <c r="S1122" s="4" t="s">
        <v>219</v>
      </c>
      <c r="T1122" s="4" t="s">
        <v>452</v>
      </c>
      <c r="U1122" s="4">
        <v>0</v>
      </c>
      <c r="V1122" s="4">
        <v>24</v>
      </c>
      <c r="W1122" s="4">
        <v>66</v>
      </c>
    </row>
    <row r="1123" spans="1:23" ht="11.25" customHeight="1" x14ac:dyDescent="0.25">
      <c r="A1123" s="4" t="s">
        <v>30</v>
      </c>
      <c r="B1123" s="4" t="s">
        <v>35</v>
      </c>
      <c r="C1123" s="4" t="s">
        <v>36</v>
      </c>
      <c r="D1123" s="4" t="s">
        <v>42</v>
      </c>
      <c r="E1123" s="4" t="s">
        <v>25</v>
      </c>
      <c r="F1123" s="4" t="s">
        <v>25</v>
      </c>
      <c r="G1123" s="4" t="s">
        <v>25</v>
      </c>
      <c r="H1123" s="4" t="s">
        <v>37</v>
      </c>
      <c r="I1123" s="5">
        <v>44348</v>
      </c>
      <c r="J1123" s="6">
        <v>0</v>
      </c>
      <c r="K1123" s="6">
        <v>0</v>
      </c>
      <c r="L1123" s="6">
        <v>45.491</v>
      </c>
      <c r="M1123" s="6">
        <v>45.491</v>
      </c>
      <c r="N1123" s="6">
        <v>45.491</v>
      </c>
      <c r="O1123" s="6">
        <v>45.491</v>
      </c>
      <c r="P1123" s="6">
        <v>0</v>
      </c>
      <c r="Q1123" s="4" t="s">
        <v>26</v>
      </c>
      <c r="R1123" s="4">
        <v>0</v>
      </c>
      <c r="S1123" s="4" t="s">
        <v>219</v>
      </c>
      <c r="T1123" s="4" t="s">
        <v>452</v>
      </c>
      <c r="U1123" s="4">
        <v>0</v>
      </c>
      <c r="V1123" s="4">
        <v>24</v>
      </c>
      <c r="W1123" s="4">
        <v>66</v>
      </c>
    </row>
    <row r="1124" spans="1:23" ht="11.25" customHeight="1" x14ac:dyDescent="0.25">
      <c r="A1124" s="4" t="s">
        <v>21</v>
      </c>
      <c r="B1124" s="4" t="s">
        <v>35</v>
      </c>
      <c r="C1124" s="4" t="s">
        <v>36</v>
      </c>
      <c r="D1124" s="4" t="s">
        <v>42</v>
      </c>
      <c r="E1124" s="4" t="s">
        <v>25</v>
      </c>
      <c r="F1124" s="4" t="s">
        <v>25</v>
      </c>
      <c r="G1124" s="4" t="s">
        <v>25</v>
      </c>
      <c r="H1124" s="4" t="s">
        <v>37</v>
      </c>
      <c r="I1124" s="5">
        <v>44378</v>
      </c>
      <c r="J1124" s="6">
        <v>0</v>
      </c>
      <c r="K1124" s="6">
        <v>0</v>
      </c>
      <c r="L1124" s="6">
        <v>1693.818</v>
      </c>
      <c r="M1124" s="6">
        <v>1693.818</v>
      </c>
      <c r="N1124" s="6">
        <v>1693.818</v>
      </c>
      <c r="O1124" s="6">
        <v>1693.818</v>
      </c>
      <c r="P1124" s="6">
        <v>0</v>
      </c>
      <c r="Q1124" s="4" t="s">
        <v>26</v>
      </c>
      <c r="R1124" s="4">
        <v>0</v>
      </c>
      <c r="S1124" s="4" t="s">
        <v>220</v>
      </c>
      <c r="T1124" s="4" t="s">
        <v>453</v>
      </c>
      <c r="U1124" s="4">
        <v>0</v>
      </c>
      <c r="V1124" s="4">
        <v>24</v>
      </c>
      <c r="W1124" s="4">
        <v>66</v>
      </c>
    </row>
    <row r="1125" spans="1:23" ht="11.25" customHeight="1" x14ac:dyDescent="0.25">
      <c r="A1125" s="4" t="s">
        <v>28</v>
      </c>
      <c r="B1125" s="4" t="s">
        <v>35</v>
      </c>
      <c r="C1125" s="4" t="s">
        <v>36</v>
      </c>
      <c r="D1125" s="4" t="s">
        <v>42</v>
      </c>
      <c r="E1125" s="4" t="s">
        <v>25</v>
      </c>
      <c r="F1125" s="4" t="s">
        <v>25</v>
      </c>
      <c r="G1125" s="4" t="s">
        <v>25</v>
      </c>
      <c r="H1125" s="4" t="s">
        <v>37</v>
      </c>
      <c r="I1125" s="5">
        <v>44378</v>
      </c>
      <c r="J1125" s="6">
        <v>0</v>
      </c>
      <c r="K1125" s="6">
        <v>0</v>
      </c>
      <c r="L1125" s="6">
        <v>113.124</v>
      </c>
      <c r="M1125" s="6">
        <v>113.124</v>
      </c>
      <c r="N1125" s="6">
        <v>113.124</v>
      </c>
      <c r="O1125" s="6">
        <v>113.124</v>
      </c>
      <c r="P1125" s="6">
        <v>0</v>
      </c>
      <c r="Q1125" s="4" t="s">
        <v>26</v>
      </c>
      <c r="R1125" s="4">
        <v>0</v>
      </c>
      <c r="S1125" s="4" t="s">
        <v>220</v>
      </c>
      <c r="T1125" s="4" t="s">
        <v>453</v>
      </c>
      <c r="U1125" s="4">
        <v>0</v>
      </c>
      <c r="V1125" s="4">
        <v>24</v>
      </c>
      <c r="W1125" s="4">
        <v>66</v>
      </c>
    </row>
    <row r="1126" spans="1:23" ht="11.25" customHeight="1" x14ac:dyDescent="0.25">
      <c r="A1126" s="4" t="s">
        <v>30</v>
      </c>
      <c r="B1126" s="4" t="s">
        <v>35</v>
      </c>
      <c r="C1126" s="4" t="s">
        <v>36</v>
      </c>
      <c r="D1126" s="4" t="s">
        <v>42</v>
      </c>
      <c r="E1126" s="4" t="s">
        <v>25</v>
      </c>
      <c r="F1126" s="4" t="s">
        <v>25</v>
      </c>
      <c r="G1126" s="4" t="s">
        <v>25</v>
      </c>
      <c r="H1126" s="4" t="s">
        <v>37</v>
      </c>
      <c r="I1126" s="5">
        <v>44378</v>
      </c>
      <c r="J1126" s="6">
        <v>0</v>
      </c>
      <c r="K1126" s="6">
        <v>0</v>
      </c>
      <c r="L1126" s="6">
        <v>46.540999999999997</v>
      </c>
      <c r="M1126" s="6">
        <v>46.540999999999997</v>
      </c>
      <c r="N1126" s="6">
        <v>46.540999999999997</v>
      </c>
      <c r="O1126" s="6">
        <v>46.540999999999997</v>
      </c>
      <c r="P1126" s="6">
        <v>0</v>
      </c>
      <c r="Q1126" s="4" t="s">
        <v>26</v>
      </c>
      <c r="R1126" s="4">
        <v>0</v>
      </c>
      <c r="S1126" s="4" t="s">
        <v>220</v>
      </c>
      <c r="T1126" s="4" t="s">
        <v>453</v>
      </c>
      <c r="U1126" s="4">
        <v>0</v>
      </c>
      <c r="V1126" s="4">
        <v>24</v>
      </c>
      <c r="W1126" s="4">
        <v>66</v>
      </c>
    </row>
    <row r="1127" spans="1:23" ht="11.25" customHeight="1" x14ac:dyDescent="0.25">
      <c r="A1127" s="4" t="s">
        <v>21</v>
      </c>
      <c r="B1127" s="4" t="s">
        <v>35</v>
      </c>
      <c r="C1127" s="4" t="s">
        <v>36</v>
      </c>
      <c r="D1127" s="4" t="s">
        <v>42</v>
      </c>
      <c r="E1127" s="4" t="s">
        <v>25</v>
      </c>
      <c r="F1127" s="4" t="s">
        <v>25</v>
      </c>
      <c r="G1127" s="4" t="s">
        <v>25</v>
      </c>
      <c r="H1127" s="4" t="s">
        <v>37</v>
      </c>
      <c r="I1127" s="5">
        <v>44378</v>
      </c>
      <c r="J1127" s="6">
        <v>0</v>
      </c>
      <c r="K1127" s="6">
        <v>0</v>
      </c>
      <c r="L1127" s="6">
        <v>55.079000000000001</v>
      </c>
      <c r="M1127" s="6">
        <v>55.079000000000001</v>
      </c>
      <c r="N1127" s="6">
        <v>0</v>
      </c>
      <c r="O1127" s="6">
        <v>0</v>
      </c>
      <c r="P1127" s="6">
        <v>0</v>
      </c>
      <c r="Q1127" s="4" t="s">
        <v>60</v>
      </c>
      <c r="R1127" s="4">
        <v>0</v>
      </c>
      <c r="S1127" s="4" t="s">
        <v>220</v>
      </c>
      <c r="U1127" s="4">
        <v>0</v>
      </c>
      <c r="V1127" s="4">
        <v>24</v>
      </c>
      <c r="W1127" s="4">
        <v>0</v>
      </c>
    </row>
    <row r="1128" spans="1:23" ht="11.25" customHeight="1" x14ac:dyDescent="0.25">
      <c r="A1128" s="4" t="s">
        <v>21</v>
      </c>
      <c r="B1128" s="4" t="s">
        <v>35</v>
      </c>
      <c r="C1128" s="4" t="s">
        <v>36</v>
      </c>
      <c r="D1128" s="4" t="s">
        <v>42</v>
      </c>
      <c r="E1128" s="4" t="s">
        <v>25</v>
      </c>
      <c r="F1128" s="4" t="s">
        <v>25</v>
      </c>
      <c r="G1128" s="4" t="s">
        <v>25</v>
      </c>
      <c r="H1128" s="4" t="s">
        <v>37</v>
      </c>
      <c r="I1128" s="5">
        <v>44409</v>
      </c>
      <c r="J1128" s="6">
        <v>0</v>
      </c>
      <c r="K1128" s="6">
        <v>0</v>
      </c>
      <c r="L1128" s="6">
        <v>1822.175</v>
      </c>
      <c r="M1128" s="6">
        <v>1822.175</v>
      </c>
      <c r="N1128" s="6">
        <v>1822.175</v>
      </c>
      <c r="O1128" s="6">
        <v>1822.175</v>
      </c>
      <c r="P1128" s="6">
        <v>0</v>
      </c>
      <c r="Q1128" s="4" t="s">
        <v>26</v>
      </c>
      <c r="R1128" s="4">
        <v>0</v>
      </c>
      <c r="S1128" s="4" t="s">
        <v>221</v>
      </c>
      <c r="T1128" s="4" t="s">
        <v>454</v>
      </c>
      <c r="U1128" s="4">
        <v>0</v>
      </c>
      <c r="V1128" s="4">
        <v>24</v>
      </c>
      <c r="W1128" s="4">
        <v>66</v>
      </c>
    </row>
    <row r="1129" spans="1:23" ht="11.25" customHeight="1" x14ac:dyDescent="0.25">
      <c r="A1129" s="4" t="s">
        <v>27</v>
      </c>
      <c r="B1129" s="4" t="s">
        <v>35</v>
      </c>
      <c r="C1129" s="4" t="s">
        <v>36</v>
      </c>
      <c r="D1129" s="4" t="s">
        <v>42</v>
      </c>
      <c r="E1129" s="4" t="s">
        <v>25</v>
      </c>
      <c r="F1129" s="4" t="s">
        <v>25</v>
      </c>
      <c r="G1129" s="4" t="s">
        <v>25</v>
      </c>
      <c r="H1129" s="4" t="s">
        <v>37</v>
      </c>
      <c r="I1129" s="5">
        <v>44409</v>
      </c>
      <c r="J1129" s="6">
        <v>0</v>
      </c>
      <c r="K1129" s="6">
        <v>0</v>
      </c>
      <c r="L1129" s="6">
        <v>-0.23400000000000001</v>
      </c>
      <c r="M1129" s="6">
        <v>-0.23400000000000001</v>
      </c>
      <c r="N1129" s="6">
        <v>-0.23400000000000001</v>
      </c>
      <c r="O1129" s="6">
        <v>-0.23400000000000001</v>
      </c>
      <c r="P1129" s="6">
        <v>0</v>
      </c>
      <c r="Q1129" s="4" t="s">
        <v>26</v>
      </c>
      <c r="R1129" s="4">
        <v>0</v>
      </c>
      <c r="S1129" s="4" t="s">
        <v>221</v>
      </c>
      <c r="T1129" s="4" t="s">
        <v>454</v>
      </c>
      <c r="U1129" s="4">
        <v>0</v>
      </c>
      <c r="V1129" s="4">
        <v>24</v>
      </c>
      <c r="W1129" s="4">
        <v>66</v>
      </c>
    </row>
    <row r="1130" spans="1:23" ht="11.25" customHeight="1" x14ac:dyDescent="0.25">
      <c r="A1130" s="4" t="s">
        <v>28</v>
      </c>
      <c r="B1130" s="4" t="s">
        <v>35</v>
      </c>
      <c r="C1130" s="4" t="s">
        <v>36</v>
      </c>
      <c r="D1130" s="4" t="s">
        <v>42</v>
      </c>
      <c r="E1130" s="4" t="s">
        <v>25</v>
      </c>
      <c r="F1130" s="4" t="s">
        <v>25</v>
      </c>
      <c r="G1130" s="4" t="s">
        <v>25</v>
      </c>
      <c r="H1130" s="4" t="s">
        <v>37</v>
      </c>
      <c r="I1130" s="5">
        <v>44409</v>
      </c>
      <c r="J1130" s="6">
        <v>0</v>
      </c>
      <c r="K1130" s="6">
        <v>0</v>
      </c>
      <c r="L1130" s="6">
        <v>125.10899999999999</v>
      </c>
      <c r="M1130" s="6">
        <v>125.10899999999999</v>
      </c>
      <c r="N1130" s="6">
        <v>125.10899999999999</v>
      </c>
      <c r="O1130" s="6">
        <v>125.10899999999999</v>
      </c>
      <c r="P1130" s="6">
        <v>0</v>
      </c>
      <c r="Q1130" s="4" t="s">
        <v>26</v>
      </c>
      <c r="R1130" s="4">
        <v>0</v>
      </c>
      <c r="S1130" s="4" t="s">
        <v>221</v>
      </c>
      <c r="T1130" s="4" t="s">
        <v>454</v>
      </c>
      <c r="U1130" s="4">
        <v>0</v>
      </c>
      <c r="V1130" s="4">
        <v>24</v>
      </c>
      <c r="W1130" s="4">
        <v>66</v>
      </c>
    </row>
    <row r="1131" spans="1:23" ht="11.25" customHeight="1" x14ac:dyDescent="0.25">
      <c r="A1131" s="4" t="s">
        <v>30</v>
      </c>
      <c r="B1131" s="4" t="s">
        <v>35</v>
      </c>
      <c r="C1131" s="4" t="s">
        <v>36</v>
      </c>
      <c r="D1131" s="4" t="s">
        <v>42</v>
      </c>
      <c r="E1131" s="4" t="s">
        <v>25</v>
      </c>
      <c r="F1131" s="4" t="s">
        <v>25</v>
      </c>
      <c r="G1131" s="4" t="s">
        <v>25</v>
      </c>
      <c r="H1131" s="4" t="s">
        <v>37</v>
      </c>
      <c r="I1131" s="5">
        <v>44409</v>
      </c>
      <c r="J1131" s="6">
        <v>0</v>
      </c>
      <c r="K1131" s="6">
        <v>0</v>
      </c>
      <c r="L1131" s="6">
        <v>48.753</v>
      </c>
      <c r="M1131" s="6">
        <v>48.753</v>
      </c>
      <c r="N1131" s="6">
        <v>48.753</v>
      </c>
      <c r="O1131" s="6">
        <v>48.753</v>
      </c>
      <c r="P1131" s="6">
        <v>0</v>
      </c>
      <c r="Q1131" s="4" t="s">
        <v>26</v>
      </c>
      <c r="R1131" s="4">
        <v>0</v>
      </c>
      <c r="S1131" s="4" t="s">
        <v>221</v>
      </c>
      <c r="T1131" s="4" t="s">
        <v>454</v>
      </c>
      <c r="U1131" s="4">
        <v>0</v>
      </c>
      <c r="V1131" s="4">
        <v>24</v>
      </c>
      <c r="W1131" s="4">
        <v>66</v>
      </c>
    </row>
    <row r="1132" spans="1:23" ht="11.25" customHeight="1" x14ac:dyDescent="0.25">
      <c r="A1132" s="4" t="s">
        <v>21</v>
      </c>
      <c r="B1132" s="4" t="s">
        <v>35</v>
      </c>
      <c r="C1132" s="4" t="s">
        <v>36</v>
      </c>
      <c r="D1132" s="4" t="s">
        <v>42</v>
      </c>
      <c r="E1132" s="4" t="s">
        <v>25</v>
      </c>
      <c r="F1132" s="4" t="s">
        <v>25</v>
      </c>
      <c r="G1132" s="4" t="s">
        <v>25</v>
      </c>
      <c r="H1132" s="4" t="s">
        <v>37</v>
      </c>
      <c r="I1132" s="5">
        <v>44409</v>
      </c>
      <c r="J1132" s="6">
        <v>0</v>
      </c>
      <c r="K1132" s="6">
        <v>0</v>
      </c>
      <c r="L1132" s="6">
        <v>54.908000000000001</v>
      </c>
      <c r="M1132" s="6">
        <v>54.908000000000001</v>
      </c>
      <c r="N1132" s="6">
        <v>0</v>
      </c>
      <c r="O1132" s="6">
        <v>0</v>
      </c>
      <c r="P1132" s="6">
        <v>0</v>
      </c>
      <c r="Q1132" s="4" t="s">
        <v>60</v>
      </c>
      <c r="R1132" s="4">
        <v>0</v>
      </c>
      <c r="S1132" s="4" t="s">
        <v>221</v>
      </c>
      <c r="U1132" s="4">
        <v>0</v>
      </c>
      <c r="V1132" s="4">
        <v>24</v>
      </c>
      <c r="W1132" s="4">
        <v>0</v>
      </c>
    </row>
    <row r="1133" spans="1:23" ht="11.25" customHeight="1" x14ac:dyDescent="0.25">
      <c r="A1133" s="4" t="s">
        <v>21</v>
      </c>
      <c r="B1133" s="4" t="s">
        <v>35</v>
      </c>
      <c r="C1133" s="4" t="s">
        <v>36</v>
      </c>
      <c r="D1133" s="4" t="s">
        <v>42</v>
      </c>
      <c r="E1133" s="4" t="s">
        <v>25</v>
      </c>
      <c r="F1133" s="4" t="s">
        <v>25</v>
      </c>
      <c r="G1133" s="4" t="s">
        <v>25</v>
      </c>
      <c r="H1133" s="4" t="s">
        <v>37</v>
      </c>
      <c r="I1133" s="5">
        <v>44440</v>
      </c>
      <c r="J1133" s="6">
        <v>0</v>
      </c>
      <c r="K1133" s="6">
        <v>0</v>
      </c>
      <c r="L1133" s="6">
        <v>1583.3430000000001</v>
      </c>
      <c r="M1133" s="6">
        <v>1583.3430000000001</v>
      </c>
      <c r="N1133" s="6">
        <v>1583.3430000000001</v>
      </c>
      <c r="O1133" s="6">
        <v>1583.3430000000001</v>
      </c>
      <c r="P1133" s="6">
        <v>0</v>
      </c>
      <c r="Q1133" s="4" t="s">
        <v>26</v>
      </c>
      <c r="R1133" s="4">
        <v>0</v>
      </c>
      <c r="S1133" s="4" t="s">
        <v>222</v>
      </c>
      <c r="T1133" s="4" t="s">
        <v>455</v>
      </c>
      <c r="U1133" s="4">
        <v>0</v>
      </c>
      <c r="V1133" s="4">
        <v>24</v>
      </c>
      <c r="W1133" s="4">
        <v>66</v>
      </c>
    </row>
    <row r="1134" spans="1:23" ht="11.25" customHeight="1" x14ac:dyDescent="0.25">
      <c r="A1134" s="4" t="s">
        <v>27</v>
      </c>
      <c r="B1134" s="4" t="s">
        <v>35</v>
      </c>
      <c r="C1134" s="4" t="s">
        <v>36</v>
      </c>
      <c r="D1134" s="4" t="s">
        <v>42</v>
      </c>
      <c r="E1134" s="4" t="s">
        <v>25</v>
      </c>
      <c r="F1134" s="4" t="s">
        <v>25</v>
      </c>
      <c r="G1134" s="4" t="s">
        <v>25</v>
      </c>
      <c r="H1134" s="4" t="s">
        <v>37</v>
      </c>
      <c r="I1134" s="5">
        <v>44440</v>
      </c>
      <c r="J1134" s="6">
        <v>0</v>
      </c>
      <c r="K1134" s="6">
        <v>0</v>
      </c>
      <c r="L1134" s="6">
        <v>-11.44</v>
      </c>
      <c r="M1134" s="6">
        <v>-11.44</v>
      </c>
      <c r="N1134" s="6">
        <v>-11.44</v>
      </c>
      <c r="O1134" s="6">
        <v>-11.44</v>
      </c>
      <c r="P1134" s="6">
        <v>0</v>
      </c>
      <c r="Q1134" s="4" t="s">
        <v>26</v>
      </c>
      <c r="R1134" s="4">
        <v>0</v>
      </c>
      <c r="S1134" s="4" t="s">
        <v>222</v>
      </c>
      <c r="T1134" s="4" t="s">
        <v>455</v>
      </c>
      <c r="U1134" s="4">
        <v>0</v>
      </c>
      <c r="V1134" s="4">
        <v>24</v>
      </c>
      <c r="W1134" s="4">
        <v>66</v>
      </c>
    </row>
    <row r="1135" spans="1:23" ht="11.25" customHeight="1" x14ac:dyDescent="0.25">
      <c r="A1135" s="4" t="s">
        <v>28</v>
      </c>
      <c r="B1135" s="4" t="s">
        <v>35</v>
      </c>
      <c r="C1135" s="4" t="s">
        <v>36</v>
      </c>
      <c r="D1135" s="4" t="s">
        <v>42</v>
      </c>
      <c r="E1135" s="4" t="s">
        <v>25</v>
      </c>
      <c r="F1135" s="4" t="s">
        <v>25</v>
      </c>
      <c r="G1135" s="4" t="s">
        <v>25</v>
      </c>
      <c r="H1135" s="4" t="s">
        <v>37</v>
      </c>
      <c r="I1135" s="5">
        <v>44440</v>
      </c>
      <c r="J1135" s="6">
        <v>0</v>
      </c>
      <c r="K1135" s="6">
        <v>0</v>
      </c>
      <c r="L1135" s="6">
        <v>164.79599999999999</v>
      </c>
      <c r="M1135" s="6">
        <v>164.79599999999999</v>
      </c>
      <c r="N1135" s="6">
        <v>164.79599999999999</v>
      </c>
      <c r="O1135" s="6">
        <v>164.79599999999999</v>
      </c>
      <c r="P1135" s="6">
        <v>0</v>
      </c>
      <c r="Q1135" s="4" t="s">
        <v>26</v>
      </c>
      <c r="R1135" s="4">
        <v>0</v>
      </c>
      <c r="S1135" s="4" t="s">
        <v>222</v>
      </c>
      <c r="T1135" s="4" t="s">
        <v>455</v>
      </c>
      <c r="U1135" s="4">
        <v>0</v>
      </c>
      <c r="V1135" s="4">
        <v>24</v>
      </c>
      <c r="W1135" s="4">
        <v>66</v>
      </c>
    </row>
    <row r="1136" spans="1:23" ht="11.25" customHeight="1" x14ac:dyDescent="0.25">
      <c r="A1136" s="4" t="s">
        <v>29</v>
      </c>
      <c r="B1136" s="4" t="s">
        <v>35</v>
      </c>
      <c r="C1136" s="4" t="s">
        <v>36</v>
      </c>
      <c r="D1136" s="4" t="s">
        <v>42</v>
      </c>
      <c r="E1136" s="4" t="s">
        <v>25</v>
      </c>
      <c r="F1136" s="4" t="s">
        <v>25</v>
      </c>
      <c r="G1136" s="4" t="s">
        <v>25</v>
      </c>
      <c r="H1136" s="4" t="s">
        <v>37</v>
      </c>
      <c r="I1136" s="5">
        <v>44440</v>
      </c>
      <c r="J1136" s="6">
        <v>0</v>
      </c>
      <c r="K1136" s="6">
        <v>0</v>
      </c>
      <c r="L1136" s="6">
        <v>-0.1</v>
      </c>
      <c r="M1136" s="6">
        <v>-0.1</v>
      </c>
      <c r="N1136" s="6">
        <v>-0.1</v>
      </c>
      <c r="O1136" s="6">
        <v>-0.1</v>
      </c>
      <c r="P1136" s="6">
        <v>0</v>
      </c>
      <c r="Q1136" s="4" t="s">
        <v>26</v>
      </c>
      <c r="R1136" s="4">
        <v>0</v>
      </c>
      <c r="S1136" s="4" t="s">
        <v>222</v>
      </c>
      <c r="T1136" s="4" t="s">
        <v>455</v>
      </c>
      <c r="U1136" s="4">
        <v>0</v>
      </c>
      <c r="V1136" s="4">
        <v>24</v>
      </c>
      <c r="W1136" s="4">
        <v>66</v>
      </c>
    </row>
    <row r="1137" spans="1:23" ht="11.25" customHeight="1" x14ac:dyDescent="0.25">
      <c r="A1137" s="4" t="s">
        <v>30</v>
      </c>
      <c r="B1137" s="4" t="s">
        <v>35</v>
      </c>
      <c r="C1137" s="4" t="s">
        <v>36</v>
      </c>
      <c r="D1137" s="4" t="s">
        <v>42</v>
      </c>
      <c r="E1137" s="4" t="s">
        <v>25</v>
      </c>
      <c r="F1137" s="4" t="s">
        <v>25</v>
      </c>
      <c r="G1137" s="4" t="s">
        <v>25</v>
      </c>
      <c r="H1137" s="4" t="s">
        <v>37</v>
      </c>
      <c r="I1137" s="5">
        <v>44440</v>
      </c>
      <c r="J1137" s="6">
        <v>0</v>
      </c>
      <c r="K1137" s="6">
        <v>0</v>
      </c>
      <c r="L1137" s="6">
        <v>47.02</v>
      </c>
      <c r="M1137" s="6">
        <v>47.02</v>
      </c>
      <c r="N1137" s="6">
        <v>47.02</v>
      </c>
      <c r="O1137" s="6">
        <v>47.02</v>
      </c>
      <c r="P1137" s="6">
        <v>0</v>
      </c>
      <c r="Q1137" s="4" t="s">
        <v>26</v>
      </c>
      <c r="R1137" s="4">
        <v>0</v>
      </c>
      <c r="S1137" s="4" t="s">
        <v>222</v>
      </c>
      <c r="T1137" s="4" t="s">
        <v>455</v>
      </c>
      <c r="U1137" s="4">
        <v>0</v>
      </c>
      <c r="V1137" s="4">
        <v>24</v>
      </c>
      <c r="W1137" s="4">
        <v>66</v>
      </c>
    </row>
    <row r="1138" spans="1:23" ht="11.25" customHeight="1" x14ac:dyDescent="0.25">
      <c r="A1138" s="4" t="s">
        <v>21</v>
      </c>
      <c r="B1138" s="4" t="s">
        <v>35</v>
      </c>
      <c r="C1138" s="4" t="s">
        <v>36</v>
      </c>
      <c r="D1138" s="4" t="s">
        <v>42</v>
      </c>
      <c r="E1138" s="4" t="s">
        <v>25</v>
      </c>
      <c r="F1138" s="4" t="s">
        <v>25</v>
      </c>
      <c r="G1138" s="4" t="s">
        <v>25</v>
      </c>
      <c r="H1138" s="4" t="s">
        <v>37</v>
      </c>
      <c r="I1138" s="5">
        <v>44440</v>
      </c>
      <c r="J1138" s="6">
        <v>0</v>
      </c>
      <c r="K1138" s="6">
        <v>0</v>
      </c>
      <c r="L1138" s="6">
        <v>98.802000000000007</v>
      </c>
      <c r="M1138" s="6">
        <v>98.802000000000007</v>
      </c>
      <c r="N1138" s="6">
        <v>0</v>
      </c>
      <c r="O1138" s="6">
        <v>0</v>
      </c>
      <c r="P1138" s="6">
        <v>0</v>
      </c>
      <c r="Q1138" s="4" t="s">
        <v>60</v>
      </c>
      <c r="R1138" s="4">
        <v>0</v>
      </c>
      <c r="S1138" s="4" t="s">
        <v>222</v>
      </c>
      <c r="U1138" s="4">
        <v>0</v>
      </c>
      <c r="V1138" s="4">
        <v>24</v>
      </c>
      <c r="W1138" s="4">
        <v>0</v>
      </c>
    </row>
    <row r="1139" spans="1:23" ht="11.25" customHeight="1" x14ac:dyDescent="0.25">
      <c r="A1139" s="4" t="s">
        <v>59</v>
      </c>
      <c r="B1139" s="4" t="s">
        <v>35</v>
      </c>
      <c r="C1139" s="4" t="s">
        <v>36</v>
      </c>
      <c r="D1139" s="4" t="s">
        <v>42</v>
      </c>
      <c r="E1139" s="4" t="s">
        <v>25</v>
      </c>
      <c r="F1139" s="4" t="s">
        <v>25</v>
      </c>
      <c r="G1139" s="4" t="s">
        <v>25</v>
      </c>
      <c r="H1139" s="4" t="s">
        <v>37</v>
      </c>
      <c r="I1139" s="5">
        <v>44470</v>
      </c>
      <c r="J1139" s="6">
        <v>0</v>
      </c>
      <c r="K1139" s="6">
        <v>0</v>
      </c>
      <c r="L1139" s="6">
        <v>1583.3430000000001</v>
      </c>
      <c r="M1139" s="6">
        <v>1583.3430000000001</v>
      </c>
      <c r="N1139" s="6">
        <v>1583.3430000000001</v>
      </c>
      <c r="O1139" s="6">
        <v>1583.3430000000001</v>
      </c>
      <c r="P1139" s="6">
        <v>0</v>
      </c>
      <c r="Q1139" s="4" t="s">
        <v>26</v>
      </c>
      <c r="R1139" s="4">
        <v>0</v>
      </c>
      <c r="S1139" s="4" t="s">
        <v>223</v>
      </c>
      <c r="T1139" s="4" t="s">
        <v>456</v>
      </c>
      <c r="U1139" s="4">
        <v>0</v>
      </c>
      <c r="V1139" s="4">
        <v>24</v>
      </c>
      <c r="W1139" s="4">
        <v>66</v>
      </c>
    </row>
    <row r="1140" spans="1:23" ht="11.25" customHeight="1" x14ac:dyDescent="0.25">
      <c r="A1140" s="4" t="s">
        <v>59</v>
      </c>
      <c r="B1140" s="4" t="s">
        <v>35</v>
      </c>
      <c r="C1140" s="4" t="s">
        <v>36</v>
      </c>
      <c r="D1140" s="4" t="s">
        <v>42</v>
      </c>
      <c r="E1140" s="4" t="s">
        <v>25</v>
      </c>
      <c r="F1140" s="4" t="s">
        <v>25</v>
      </c>
      <c r="G1140" s="4" t="s">
        <v>25</v>
      </c>
      <c r="H1140" s="4" t="s">
        <v>37</v>
      </c>
      <c r="I1140" s="5">
        <v>44470</v>
      </c>
      <c r="J1140" s="6">
        <v>0</v>
      </c>
      <c r="K1140" s="6">
        <v>0</v>
      </c>
      <c r="L1140" s="6">
        <v>-11.44</v>
      </c>
      <c r="M1140" s="6">
        <v>-11.44</v>
      </c>
      <c r="N1140" s="6">
        <v>-11.44</v>
      </c>
      <c r="O1140" s="6">
        <v>-11.44</v>
      </c>
      <c r="P1140" s="6">
        <v>0</v>
      </c>
      <c r="Q1140" s="4" t="s">
        <v>26</v>
      </c>
      <c r="R1140" s="4">
        <v>0</v>
      </c>
      <c r="S1140" s="4" t="s">
        <v>223</v>
      </c>
      <c r="T1140" s="4" t="s">
        <v>456</v>
      </c>
      <c r="U1140" s="4">
        <v>0</v>
      </c>
      <c r="V1140" s="4">
        <v>24</v>
      </c>
      <c r="W1140" s="4">
        <v>66</v>
      </c>
    </row>
    <row r="1141" spans="1:23" ht="11.25" customHeight="1" x14ac:dyDescent="0.25">
      <c r="A1141" s="4" t="s">
        <v>59</v>
      </c>
      <c r="B1141" s="4" t="s">
        <v>35</v>
      </c>
      <c r="C1141" s="4" t="s">
        <v>36</v>
      </c>
      <c r="D1141" s="4" t="s">
        <v>42</v>
      </c>
      <c r="E1141" s="4" t="s">
        <v>25</v>
      </c>
      <c r="F1141" s="4" t="s">
        <v>25</v>
      </c>
      <c r="G1141" s="4" t="s">
        <v>25</v>
      </c>
      <c r="H1141" s="4" t="s">
        <v>37</v>
      </c>
      <c r="I1141" s="5">
        <v>44470</v>
      </c>
      <c r="J1141" s="6">
        <v>0</v>
      </c>
      <c r="K1141" s="6">
        <v>0</v>
      </c>
      <c r="L1141" s="6">
        <v>164.79599999999999</v>
      </c>
      <c r="M1141" s="6">
        <v>164.79599999999999</v>
      </c>
      <c r="N1141" s="6">
        <v>164.79599999999999</v>
      </c>
      <c r="O1141" s="6">
        <v>164.79599999999999</v>
      </c>
      <c r="P1141" s="6">
        <v>0</v>
      </c>
      <c r="Q1141" s="4" t="s">
        <v>26</v>
      </c>
      <c r="R1141" s="4">
        <v>0</v>
      </c>
      <c r="S1141" s="4" t="s">
        <v>223</v>
      </c>
      <c r="T1141" s="4" t="s">
        <v>456</v>
      </c>
      <c r="U1141" s="4">
        <v>0</v>
      </c>
      <c r="V1141" s="4">
        <v>24</v>
      </c>
      <c r="W1141" s="4">
        <v>66</v>
      </c>
    </row>
    <row r="1142" spans="1:23" ht="11.25" customHeight="1" x14ac:dyDescent="0.25">
      <c r="A1142" s="4" t="s">
        <v>59</v>
      </c>
      <c r="B1142" s="4" t="s">
        <v>35</v>
      </c>
      <c r="C1142" s="4" t="s">
        <v>36</v>
      </c>
      <c r="D1142" s="4" t="s">
        <v>42</v>
      </c>
      <c r="E1142" s="4" t="s">
        <v>25</v>
      </c>
      <c r="F1142" s="4" t="s">
        <v>25</v>
      </c>
      <c r="G1142" s="4" t="s">
        <v>25</v>
      </c>
      <c r="H1142" s="4" t="s">
        <v>37</v>
      </c>
      <c r="I1142" s="5">
        <v>44470</v>
      </c>
      <c r="J1142" s="6">
        <v>0</v>
      </c>
      <c r="K1142" s="6">
        <v>0</v>
      </c>
      <c r="L1142" s="6">
        <v>-0.1</v>
      </c>
      <c r="M1142" s="6">
        <v>-0.1</v>
      </c>
      <c r="N1142" s="6">
        <v>-0.1</v>
      </c>
      <c r="O1142" s="6">
        <v>-0.1</v>
      </c>
      <c r="P1142" s="6">
        <v>0</v>
      </c>
      <c r="Q1142" s="4" t="s">
        <v>26</v>
      </c>
      <c r="R1142" s="4">
        <v>0</v>
      </c>
      <c r="S1142" s="4" t="s">
        <v>223</v>
      </c>
      <c r="T1142" s="4" t="s">
        <v>456</v>
      </c>
      <c r="U1142" s="4">
        <v>0</v>
      </c>
      <c r="V1142" s="4">
        <v>24</v>
      </c>
      <c r="W1142" s="4">
        <v>66</v>
      </c>
    </row>
    <row r="1143" spans="1:23" ht="11.25" customHeight="1" x14ac:dyDescent="0.25">
      <c r="A1143" s="4" t="s">
        <v>59</v>
      </c>
      <c r="B1143" s="4" t="s">
        <v>35</v>
      </c>
      <c r="C1143" s="4" t="s">
        <v>36</v>
      </c>
      <c r="D1143" s="4" t="s">
        <v>42</v>
      </c>
      <c r="E1143" s="4" t="s">
        <v>25</v>
      </c>
      <c r="F1143" s="4" t="s">
        <v>25</v>
      </c>
      <c r="G1143" s="4" t="s">
        <v>25</v>
      </c>
      <c r="H1143" s="4" t="s">
        <v>37</v>
      </c>
      <c r="I1143" s="5">
        <v>44470</v>
      </c>
      <c r="J1143" s="6">
        <v>0</v>
      </c>
      <c r="K1143" s="6">
        <v>0</v>
      </c>
      <c r="L1143" s="6">
        <v>47.02</v>
      </c>
      <c r="M1143" s="6">
        <v>47.02</v>
      </c>
      <c r="N1143" s="6">
        <v>47.02</v>
      </c>
      <c r="O1143" s="6">
        <v>47.02</v>
      </c>
      <c r="P1143" s="6">
        <v>0</v>
      </c>
      <c r="Q1143" s="4" t="s">
        <v>26</v>
      </c>
      <c r="R1143" s="4">
        <v>0</v>
      </c>
      <c r="S1143" s="4" t="s">
        <v>223</v>
      </c>
      <c r="T1143" s="4" t="s">
        <v>456</v>
      </c>
      <c r="U1143" s="4">
        <v>0</v>
      </c>
      <c r="V1143" s="4">
        <v>24</v>
      </c>
      <c r="W1143" s="4">
        <v>66</v>
      </c>
    </row>
    <row r="1144" spans="1:23" ht="11.25" customHeight="1" x14ac:dyDescent="0.25">
      <c r="A1144" s="4" t="s">
        <v>59</v>
      </c>
      <c r="B1144" s="4" t="s">
        <v>35</v>
      </c>
      <c r="C1144" s="4" t="s">
        <v>36</v>
      </c>
      <c r="D1144" s="4" t="s">
        <v>42</v>
      </c>
      <c r="E1144" s="4" t="s">
        <v>25</v>
      </c>
      <c r="F1144" s="4" t="s">
        <v>25</v>
      </c>
      <c r="G1144" s="4" t="s">
        <v>25</v>
      </c>
      <c r="H1144" s="4" t="s">
        <v>37</v>
      </c>
      <c r="I1144" s="5">
        <v>44470</v>
      </c>
      <c r="J1144" s="6">
        <v>0</v>
      </c>
      <c r="K1144" s="6">
        <v>0</v>
      </c>
      <c r="L1144" s="6">
        <v>98.802000000000007</v>
      </c>
      <c r="M1144" s="6">
        <v>98.802000000000007</v>
      </c>
      <c r="N1144" s="6">
        <v>0</v>
      </c>
      <c r="O1144" s="6">
        <v>0</v>
      </c>
      <c r="P1144" s="6">
        <v>0</v>
      </c>
      <c r="Q1144" s="4" t="s">
        <v>60</v>
      </c>
      <c r="R1144" s="4">
        <v>0</v>
      </c>
      <c r="S1144" s="4" t="s">
        <v>223</v>
      </c>
      <c r="U1144" s="4">
        <v>0</v>
      </c>
      <c r="V1144" s="4">
        <v>24</v>
      </c>
      <c r="W1144" s="4">
        <v>0</v>
      </c>
    </row>
    <row r="1145" spans="1:23" ht="11.25" customHeight="1" x14ac:dyDescent="0.25">
      <c r="A1145" s="4" t="s">
        <v>21</v>
      </c>
      <c r="B1145" s="4" t="s">
        <v>35</v>
      </c>
      <c r="C1145" s="4" t="s">
        <v>36</v>
      </c>
      <c r="D1145" s="4" t="s">
        <v>48</v>
      </c>
      <c r="E1145" s="4" t="s">
        <v>25</v>
      </c>
      <c r="F1145" s="4" t="s">
        <v>25</v>
      </c>
      <c r="G1145" s="4" t="s">
        <v>25</v>
      </c>
      <c r="H1145" s="4" t="s">
        <v>38</v>
      </c>
      <c r="I1145" s="5">
        <v>44136</v>
      </c>
      <c r="J1145" s="6">
        <v>0</v>
      </c>
      <c r="K1145" s="6">
        <v>0</v>
      </c>
      <c r="L1145" s="6">
        <v>13749.628000000001</v>
      </c>
      <c r="M1145" s="6">
        <v>13749.628000000001</v>
      </c>
      <c r="N1145" s="6">
        <v>13749.628000000001</v>
      </c>
      <c r="O1145" s="6">
        <v>13749.628000000001</v>
      </c>
      <c r="P1145" s="6">
        <v>0</v>
      </c>
      <c r="Q1145" s="4" t="s">
        <v>26</v>
      </c>
      <c r="R1145" s="4">
        <v>0</v>
      </c>
      <c r="S1145" s="4" t="s">
        <v>188</v>
      </c>
      <c r="T1145" s="4" t="s">
        <v>433</v>
      </c>
      <c r="U1145" s="4">
        <v>0</v>
      </c>
      <c r="V1145" s="4">
        <v>19</v>
      </c>
      <c r="W1145" s="4">
        <v>67</v>
      </c>
    </row>
    <row r="1146" spans="1:23" ht="11.25" customHeight="1" x14ac:dyDescent="0.25">
      <c r="A1146" s="4" t="s">
        <v>27</v>
      </c>
      <c r="B1146" s="4" t="s">
        <v>35</v>
      </c>
      <c r="C1146" s="4" t="s">
        <v>36</v>
      </c>
      <c r="D1146" s="4" t="s">
        <v>48</v>
      </c>
      <c r="E1146" s="4" t="s">
        <v>25</v>
      </c>
      <c r="F1146" s="4" t="s">
        <v>25</v>
      </c>
      <c r="G1146" s="4" t="s">
        <v>25</v>
      </c>
      <c r="H1146" s="4" t="s">
        <v>38</v>
      </c>
      <c r="I1146" s="5">
        <v>44136</v>
      </c>
      <c r="J1146" s="6">
        <v>0</v>
      </c>
      <c r="K1146" s="6">
        <v>0</v>
      </c>
      <c r="L1146" s="6">
        <v>133.392</v>
      </c>
      <c r="M1146" s="6">
        <v>133.392</v>
      </c>
      <c r="N1146" s="6">
        <v>133.392</v>
      </c>
      <c r="O1146" s="6">
        <v>133.392</v>
      </c>
      <c r="P1146" s="6">
        <v>0</v>
      </c>
      <c r="Q1146" s="4" t="s">
        <v>26</v>
      </c>
      <c r="R1146" s="4">
        <v>0</v>
      </c>
      <c r="S1146" s="4" t="s">
        <v>188</v>
      </c>
      <c r="T1146" s="4" t="s">
        <v>433</v>
      </c>
      <c r="U1146" s="4">
        <v>0</v>
      </c>
      <c r="V1146" s="4">
        <v>19</v>
      </c>
      <c r="W1146" s="4">
        <v>67</v>
      </c>
    </row>
    <row r="1147" spans="1:23" ht="11.25" customHeight="1" x14ac:dyDescent="0.25">
      <c r="A1147" s="4" t="s">
        <v>28</v>
      </c>
      <c r="B1147" s="4" t="s">
        <v>35</v>
      </c>
      <c r="C1147" s="4" t="s">
        <v>36</v>
      </c>
      <c r="D1147" s="4" t="s">
        <v>48</v>
      </c>
      <c r="E1147" s="4" t="s">
        <v>25</v>
      </c>
      <c r="F1147" s="4" t="s">
        <v>25</v>
      </c>
      <c r="G1147" s="4" t="s">
        <v>25</v>
      </c>
      <c r="H1147" s="4" t="s">
        <v>38</v>
      </c>
      <c r="I1147" s="5">
        <v>44136</v>
      </c>
      <c r="J1147" s="6">
        <v>0</v>
      </c>
      <c r="K1147" s="6">
        <v>0</v>
      </c>
      <c r="L1147" s="6">
        <v>2743.3609999999999</v>
      </c>
      <c r="M1147" s="6">
        <v>2743.3609999999999</v>
      </c>
      <c r="N1147" s="6">
        <v>2743.3609999999999</v>
      </c>
      <c r="O1147" s="6">
        <v>2743.3609999999999</v>
      </c>
      <c r="P1147" s="6">
        <v>0</v>
      </c>
      <c r="Q1147" s="4" t="s">
        <v>26</v>
      </c>
      <c r="R1147" s="4">
        <v>0</v>
      </c>
      <c r="S1147" s="4" t="s">
        <v>188</v>
      </c>
      <c r="T1147" s="4" t="s">
        <v>433</v>
      </c>
      <c r="U1147" s="4">
        <v>0</v>
      </c>
      <c r="V1147" s="4">
        <v>19</v>
      </c>
      <c r="W1147" s="4">
        <v>67</v>
      </c>
    </row>
    <row r="1148" spans="1:23" ht="11.25" customHeight="1" x14ac:dyDescent="0.25">
      <c r="A1148" s="4" t="s">
        <v>30</v>
      </c>
      <c r="B1148" s="4" t="s">
        <v>35</v>
      </c>
      <c r="C1148" s="4" t="s">
        <v>36</v>
      </c>
      <c r="D1148" s="4" t="s">
        <v>48</v>
      </c>
      <c r="E1148" s="4" t="s">
        <v>25</v>
      </c>
      <c r="F1148" s="4" t="s">
        <v>25</v>
      </c>
      <c r="G1148" s="4" t="s">
        <v>25</v>
      </c>
      <c r="H1148" s="4" t="s">
        <v>38</v>
      </c>
      <c r="I1148" s="5">
        <v>44136</v>
      </c>
      <c r="J1148" s="6">
        <v>0</v>
      </c>
      <c r="K1148" s="6">
        <v>0</v>
      </c>
      <c r="L1148" s="6">
        <v>47.103000000000002</v>
      </c>
      <c r="M1148" s="6">
        <v>47.103000000000002</v>
      </c>
      <c r="N1148" s="6">
        <v>47.103000000000002</v>
      </c>
      <c r="O1148" s="6">
        <v>47.103000000000002</v>
      </c>
      <c r="P1148" s="6">
        <v>0</v>
      </c>
      <c r="Q1148" s="4" t="s">
        <v>26</v>
      </c>
      <c r="R1148" s="4">
        <v>0</v>
      </c>
      <c r="S1148" s="4" t="s">
        <v>188</v>
      </c>
      <c r="T1148" s="4" t="s">
        <v>433</v>
      </c>
      <c r="U1148" s="4">
        <v>0</v>
      </c>
      <c r="V1148" s="4">
        <v>19</v>
      </c>
      <c r="W1148" s="4">
        <v>67</v>
      </c>
    </row>
    <row r="1149" spans="1:23" ht="11.25" customHeight="1" x14ac:dyDescent="0.25">
      <c r="A1149" s="4" t="s">
        <v>21</v>
      </c>
      <c r="B1149" s="4" t="s">
        <v>35</v>
      </c>
      <c r="C1149" s="4" t="s">
        <v>36</v>
      </c>
      <c r="D1149" s="4" t="s">
        <v>48</v>
      </c>
      <c r="E1149" s="4" t="s">
        <v>25</v>
      </c>
      <c r="F1149" s="4" t="s">
        <v>25</v>
      </c>
      <c r="G1149" s="4" t="s">
        <v>25</v>
      </c>
      <c r="H1149" s="4" t="s">
        <v>38</v>
      </c>
      <c r="I1149" s="5">
        <v>44166</v>
      </c>
      <c r="J1149" s="6">
        <v>0</v>
      </c>
      <c r="K1149" s="6">
        <v>0</v>
      </c>
      <c r="L1149" s="6">
        <v>12342.635</v>
      </c>
      <c r="M1149" s="6">
        <v>12342.635</v>
      </c>
      <c r="N1149" s="6">
        <v>12342.635</v>
      </c>
      <c r="O1149" s="6">
        <v>12342.635</v>
      </c>
      <c r="P1149" s="6">
        <v>0</v>
      </c>
      <c r="Q1149" s="4" t="s">
        <v>26</v>
      </c>
      <c r="R1149" s="4">
        <v>0</v>
      </c>
      <c r="S1149" s="4" t="s">
        <v>189</v>
      </c>
      <c r="T1149" s="4" t="s">
        <v>434</v>
      </c>
      <c r="U1149" s="4">
        <v>0</v>
      </c>
      <c r="V1149" s="4">
        <v>19</v>
      </c>
      <c r="W1149" s="4">
        <v>67</v>
      </c>
    </row>
    <row r="1150" spans="1:23" ht="11.25" customHeight="1" x14ac:dyDescent="0.25">
      <c r="A1150" s="4" t="s">
        <v>27</v>
      </c>
      <c r="B1150" s="4" t="s">
        <v>35</v>
      </c>
      <c r="C1150" s="4" t="s">
        <v>36</v>
      </c>
      <c r="D1150" s="4" t="s">
        <v>48</v>
      </c>
      <c r="E1150" s="4" t="s">
        <v>25</v>
      </c>
      <c r="F1150" s="4" t="s">
        <v>25</v>
      </c>
      <c r="G1150" s="4" t="s">
        <v>25</v>
      </c>
      <c r="H1150" s="4" t="s">
        <v>38</v>
      </c>
      <c r="I1150" s="5">
        <v>44166</v>
      </c>
      <c r="J1150" s="6">
        <v>0</v>
      </c>
      <c r="K1150" s="6">
        <v>0</v>
      </c>
      <c r="L1150" s="6">
        <v>8.6739999999999995</v>
      </c>
      <c r="M1150" s="6">
        <v>8.6739999999999995</v>
      </c>
      <c r="N1150" s="6">
        <v>8.6739999999999995</v>
      </c>
      <c r="O1150" s="6">
        <v>8.6739999999999995</v>
      </c>
      <c r="P1150" s="6">
        <v>0</v>
      </c>
      <c r="Q1150" s="4" t="s">
        <v>26</v>
      </c>
      <c r="R1150" s="4">
        <v>0</v>
      </c>
      <c r="S1150" s="4" t="s">
        <v>189</v>
      </c>
      <c r="T1150" s="4" t="s">
        <v>434</v>
      </c>
      <c r="U1150" s="4">
        <v>0</v>
      </c>
      <c r="V1150" s="4">
        <v>19</v>
      </c>
      <c r="W1150" s="4">
        <v>67</v>
      </c>
    </row>
    <row r="1151" spans="1:23" ht="11.25" customHeight="1" x14ac:dyDescent="0.25">
      <c r="A1151" s="4" t="s">
        <v>28</v>
      </c>
      <c r="B1151" s="4" t="s">
        <v>35</v>
      </c>
      <c r="C1151" s="4" t="s">
        <v>36</v>
      </c>
      <c r="D1151" s="4" t="s">
        <v>48</v>
      </c>
      <c r="E1151" s="4" t="s">
        <v>25</v>
      </c>
      <c r="F1151" s="4" t="s">
        <v>25</v>
      </c>
      <c r="G1151" s="4" t="s">
        <v>25</v>
      </c>
      <c r="H1151" s="4" t="s">
        <v>38</v>
      </c>
      <c r="I1151" s="5">
        <v>44166</v>
      </c>
      <c r="J1151" s="6">
        <v>0</v>
      </c>
      <c r="K1151" s="6">
        <v>0</v>
      </c>
      <c r="L1151" s="6">
        <v>3710.2339999999999</v>
      </c>
      <c r="M1151" s="6">
        <v>3710.2339999999999</v>
      </c>
      <c r="N1151" s="6">
        <v>3710.2339999999999</v>
      </c>
      <c r="O1151" s="6">
        <v>3710.2339999999999</v>
      </c>
      <c r="P1151" s="6">
        <v>0</v>
      </c>
      <c r="Q1151" s="4" t="s">
        <v>26</v>
      </c>
      <c r="R1151" s="4">
        <v>0</v>
      </c>
      <c r="S1151" s="4" t="s">
        <v>189</v>
      </c>
      <c r="T1151" s="4" t="s">
        <v>434</v>
      </c>
      <c r="U1151" s="4">
        <v>0</v>
      </c>
      <c r="V1151" s="4">
        <v>19</v>
      </c>
      <c r="W1151" s="4">
        <v>67</v>
      </c>
    </row>
    <row r="1152" spans="1:23" ht="11.25" customHeight="1" x14ac:dyDescent="0.25">
      <c r="A1152" s="4" t="s">
        <v>30</v>
      </c>
      <c r="B1152" s="4" t="s">
        <v>35</v>
      </c>
      <c r="C1152" s="4" t="s">
        <v>36</v>
      </c>
      <c r="D1152" s="4" t="s">
        <v>48</v>
      </c>
      <c r="E1152" s="4" t="s">
        <v>25</v>
      </c>
      <c r="F1152" s="4" t="s">
        <v>25</v>
      </c>
      <c r="G1152" s="4" t="s">
        <v>25</v>
      </c>
      <c r="H1152" s="4" t="s">
        <v>38</v>
      </c>
      <c r="I1152" s="5">
        <v>44166</v>
      </c>
      <c r="J1152" s="6">
        <v>0</v>
      </c>
      <c r="K1152" s="6">
        <v>0</v>
      </c>
      <c r="L1152" s="6">
        <v>45.444000000000003</v>
      </c>
      <c r="M1152" s="6">
        <v>45.444000000000003</v>
      </c>
      <c r="N1152" s="6">
        <v>45.444000000000003</v>
      </c>
      <c r="O1152" s="6">
        <v>45.444000000000003</v>
      </c>
      <c r="P1152" s="6">
        <v>0</v>
      </c>
      <c r="Q1152" s="4" t="s">
        <v>26</v>
      </c>
      <c r="R1152" s="4">
        <v>0</v>
      </c>
      <c r="S1152" s="4" t="s">
        <v>189</v>
      </c>
      <c r="T1152" s="4" t="s">
        <v>434</v>
      </c>
      <c r="U1152" s="4">
        <v>0</v>
      </c>
      <c r="V1152" s="4">
        <v>19</v>
      </c>
      <c r="W1152" s="4">
        <v>67</v>
      </c>
    </row>
    <row r="1153" spans="1:23" ht="11.25" customHeight="1" x14ac:dyDescent="0.25">
      <c r="A1153" s="4" t="s">
        <v>21</v>
      </c>
      <c r="B1153" s="4" t="s">
        <v>35</v>
      </c>
      <c r="C1153" s="4" t="s">
        <v>36</v>
      </c>
      <c r="D1153" s="4" t="s">
        <v>48</v>
      </c>
      <c r="E1153" s="4" t="s">
        <v>25</v>
      </c>
      <c r="F1153" s="4" t="s">
        <v>25</v>
      </c>
      <c r="G1153" s="4" t="s">
        <v>25</v>
      </c>
      <c r="H1153" s="4" t="s">
        <v>38</v>
      </c>
      <c r="I1153" s="5">
        <v>44197</v>
      </c>
      <c r="J1153" s="6">
        <v>0</v>
      </c>
      <c r="K1153" s="6">
        <v>0</v>
      </c>
      <c r="L1153" s="6">
        <v>9522.723</v>
      </c>
      <c r="M1153" s="6">
        <v>9522.723</v>
      </c>
      <c r="N1153" s="6">
        <v>9522.723</v>
      </c>
      <c r="O1153" s="6">
        <v>9522.723</v>
      </c>
      <c r="P1153" s="6">
        <v>0</v>
      </c>
      <c r="Q1153" s="4" t="s">
        <v>26</v>
      </c>
      <c r="R1153" s="4">
        <v>0</v>
      </c>
      <c r="S1153" s="4" t="s">
        <v>190</v>
      </c>
      <c r="T1153" s="4" t="s">
        <v>435</v>
      </c>
      <c r="U1153" s="4">
        <v>0</v>
      </c>
      <c r="V1153" s="4">
        <v>19</v>
      </c>
      <c r="W1153" s="4">
        <v>67</v>
      </c>
    </row>
    <row r="1154" spans="1:23" ht="11.25" customHeight="1" x14ac:dyDescent="0.25">
      <c r="A1154" s="4" t="s">
        <v>28</v>
      </c>
      <c r="B1154" s="4" t="s">
        <v>35</v>
      </c>
      <c r="C1154" s="4" t="s">
        <v>36</v>
      </c>
      <c r="D1154" s="4" t="s">
        <v>48</v>
      </c>
      <c r="E1154" s="4" t="s">
        <v>25</v>
      </c>
      <c r="F1154" s="4" t="s">
        <v>25</v>
      </c>
      <c r="G1154" s="4" t="s">
        <v>25</v>
      </c>
      <c r="H1154" s="4" t="s">
        <v>38</v>
      </c>
      <c r="I1154" s="5">
        <v>44197</v>
      </c>
      <c r="J1154" s="6">
        <v>0</v>
      </c>
      <c r="K1154" s="6">
        <v>0</v>
      </c>
      <c r="L1154" s="6">
        <v>2086.9589999999998</v>
      </c>
      <c r="M1154" s="6">
        <v>2086.9589999999998</v>
      </c>
      <c r="N1154" s="6">
        <v>2086.9589999999998</v>
      </c>
      <c r="O1154" s="6">
        <v>2086.9589999999998</v>
      </c>
      <c r="P1154" s="6">
        <v>0</v>
      </c>
      <c r="Q1154" s="4" t="s">
        <v>26</v>
      </c>
      <c r="R1154" s="4">
        <v>0</v>
      </c>
      <c r="S1154" s="4" t="s">
        <v>190</v>
      </c>
      <c r="T1154" s="4" t="s">
        <v>435</v>
      </c>
      <c r="U1154" s="4">
        <v>0</v>
      </c>
      <c r="V1154" s="4">
        <v>19</v>
      </c>
      <c r="W1154" s="4">
        <v>67</v>
      </c>
    </row>
    <row r="1155" spans="1:23" ht="11.25" customHeight="1" x14ac:dyDescent="0.25">
      <c r="A1155" s="4" t="s">
        <v>30</v>
      </c>
      <c r="B1155" s="4" t="s">
        <v>35</v>
      </c>
      <c r="C1155" s="4" t="s">
        <v>36</v>
      </c>
      <c r="D1155" s="4" t="s">
        <v>48</v>
      </c>
      <c r="E1155" s="4" t="s">
        <v>25</v>
      </c>
      <c r="F1155" s="4" t="s">
        <v>25</v>
      </c>
      <c r="G1155" s="4" t="s">
        <v>25</v>
      </c>
      <c r="H1155" s="4" t="s">
        <v>38</v>
      </c>
      <c r="I1155" s="5">
        <v>44197</v>
      </c>
      <c r="J1155" s="6">
        <v>0</v>
      </c>
      <c r="K1155" s="6">
        <v>0</v>
      </c>
      <c r="L1155" s="6">
        <v>30.46</v>
      </c>
      <c r="M1155" s="6">
        <v>30.46</v>
      </c>
      <c r="N1155" s="6">
        <v>30.46</v>
      </c>
      <c r="O1155" s="6">
        <v>30.46</v>
      </c>
      <c r="P1155" s="6">
        <v>0</v>
      </c>
      <c r="Q1155" s="4" t="s">
        <v>26</v>
      </c>
      <c r="R1155" s="4">
        <v>0</v>
      </c>
      <c r="S1155" s="4" t="s">
        <v>190</v>
      </c>
      <c r="T1155" s="4" t="s">
        <v>435</v>
      </c>
      <c r="U1155" s="4">
        <v>0</v>
      </c>
      <c r="V1155" s="4">
        <v>19</v>
      </c>
      <c r="W1155" s="4">
        <v>67</v>
      </c>
    </row>
    <row r="1156" spans="1:23" ht="11.25" customHeight="1" x14ac:dyDescent="0.25">
      <c r="A1156" s="4" t="s">
        <v>21</v>
      </c>
      <c r="B1156" s="4" t="s">
        <v>35</v>
      </c>
      <c r="C1156" s="4" t="s">
        <v>36</v>
      </c>
      <c r="D1156" s="4" t="s">
        <v>48</v>
      </c>
      <c r="E1156" s="4" t="s">
        <v>25</v>
      </c>
      <c r="F1156" s="4" t="s">
        <v>25</v>
      </c>
      <c r="G1156" s="4" t="s">
        <v>25</v>
      </c>
      <c r="H1156" s="4" t="s">
        <v>38</v>
      </c>
      <c r="I1156" s="5">
        <v>44228</v>
      </c>
      <c r="J1156" s="6">
        <v>0</v>
      </c>
      <c r="K1156" s="6">
        <v>0</v>
      </c>
      <c r="L1156" s="6">
        <v>9429.6170000000002</v>
      </c>
      <c r="M1156" s="6">
        <v>9429.6170000000002</v>
      </c>
      <c r="N1156" s="6">
        <v>9429.6170000000002</v>
      </c>
      <c r="O1156" s="6">
        <v>9429.6170000000002</v>
      </c>
      <c r="P1156" s="6">
        <v>0</v>
      </c>
      <c r="Q1156" s="4" t="s">
        <v>26</v>
      </c>
      <c r="R1156" s="4">
        <v>0</v>
      </c>
      <c r="S1156" s="4" t="s">
        <v>191</v>
      </c>
      <c r="T1156" s="4" t="s">
        <v>436</v>
      </c>
      <c r="U1156" s="4">
        <v>0</v>
      </c>
      <c r="V1156" s="4">
        <v>19</v>
      </c>
      <c r="W1156" s="4">
        <v>67</v>
      </c>
    </row>
    <row r="1157" spans="1:23" ht="11.25" customHeight="1" x14ac:dyDescent="0.25">
      <c r="A1157" s="4" t="s">
        <v>28</v>
      </c>
      <c r="B1157" s="4" t="s">
        <v>35</v>
      </c>
      <c r="C1157" s="4" t="s">
        <v>36</v>
      </c>
      <c r="D1157" s="4" t="s">
        <v>48</v>
      </c>
      <c r="E1157" s="4" t="s">
        <v>25</v>
      </c>
      <c r="F1157" s="4" t="s">
        <v>25</v>
      </c>
      <c r="G1157" s="4" t="s">
        <v>25</v>
      </c>
      <c r="H1157" s="4" t="s">
        <v>38</v>
      </c>
      <c r="I1157" s="5">
        <v>44228</v>
      </c>
      <c r="J1157" s="6">
        <v>0</v>
      </c>
      <c r="K1157" s="6">
        <v>0</v>
      </c>
      <c r="L1157" s="6">
        <v>2130.9340000000002</v>
      </c>
      <c r="M1157" s="6">
        <v>2130.9340000000002</v>
      </c>
      <c r="N1157" s="6">
        <v>2130.9340000000002</v>
      </c>
      <c r="O1157" s="6">
        <v>2130.9340000000002</v>
      </c>
      <c r="P1157" s="6">
        <v>0</v>
      </c>
      <c r="Q1157" s="4" t="s">
        <v>26</v>
      </c>
      <c r="R1157" s="4">
        <v>0</v>
      </c>
      <c r="S1157" s="4" t="s">
        <v>191</v>
      </c>
      <c r="T1157" s="4" t="s">
        <v>436</v>
      </c>
      <c r="U1157" s="4">
        <v>0</v>
      </c>
      <c r="V1157" s="4">
        <v>19</v>
      </c>
      <c r="W1157" s="4">
        <v>67</v>
      </c>
    </row>
    <row r="1158" spans="1:23" ht="11.25" customHeight="1" x14ac:dyDescent="0.25">
      <c r="A1158" s="4" t="s">
        <v>30</v>
      </c>
      <c r="B1158" s="4" t="s">
        <v>35</v>
      </c>
      <c r="C1158" s="4" t="s">
        <v>36</v>
      </c>
      <c r="D1158" s="4" t="s">
        <v>48</v>
      </c>
      <c r="E1158" s="4" t="s">
        <v>25</v>
      </c>
      <c r="F1158" s="4" t="s">
        <v>25</v>
      </c>
      <c r="G1158" s="4" t="s">
        <v>25</v>
      </c>
      <c r="H1158" s="4" t="s">
        <v>38</v>
      </c>
      <c r="I1158" s="5">
        <v>44228</v>
      </c>
      <c r="J1158" s="6">
        <v>0</v>
      </c>
      <c r="K1158" s="6">
        <v>0</v>
      </c>
      <c r="L1158" s="6">
        <v>30.219000000000001</v>
      </c>
      <c r="M1158" s="6">
        <v>30.219000000000001</v>
      </c>
      <c r="N1158" s="6">
        <v>30.219000000000001</v>
      </c>
      <c r="O1158" s="6">
        <v>30.219000000000001</v>
      </c>
      <c r="P1158" s="6">
        <v>0</v>
      </c>
      <c r="Q1158" s="4" t="s">
        <v>26</v>
      </c>
      <c r="R1158" s="4">
        <v>0</v>
      </c>
      <c r="S1158" s="4" t="s">
        <v>191</v>
      </c>
      <c r="T1158" s="4" t="s">
        <v>436</v>
      </c>
      <c r="U1158" s="4">
        <v>0</v>
      </c>
      <c r="V1158" s="4">
        <v>19</v>
      </c>
      <c r="W1158" s="4">
        <v>67</v>
      </c>
    </row>
    <row r="1159" spans="1:23" ht="11.25" customHeight="1" x14ac:dyDescent="0.25">
      <c r="A1159" s="4" t="s">
        <v>21</v>
      </c>
      <c r="B1159" s="4" t="s">
        <v>35</v>
      </c>
      <c r="C1159" s="4" t="s">
        <v>36</v>
      </c>
      <c r="D1159" s="4" t="s">
        <v>48</v>
      </c>
      <c r="E1159" s="4" t="s">
        <v>25</v>
      </c>
      <c r="F1159" s="4" t="s">
        <v>25</v>
      </c>
      <c r="G1159" s="4" t="s">
        <v>25</v>
      </c>
      <c r="H1159" s="4" t="s">
        <v>38</v>
      </c>
      <c r="I1159" s="5">
        <v>44256</v>
      </c>
      <c r="J1159" s="6">
        <v>0</v>
      </c>
      <c r="K1159" s="6">
        <v>0</v>
      </c>
      <c r="L1159" s="6">
        <v>10456.519</v>
      </c>
      <c r="M1159" s="6">
        <v>10456.519</v>
      </c>
      <c r="N1159" s="6">
        <v>10456.519</v>
      </c>
      <c r="O1159" s="6">
        <v>10456.519</v>
      </c>
      <c r="P1159" s="6">
        <v>0</v>
      </c>
      <c r="Q1159" s="4" t="s">
        <v>26</v>
      </c>
      <c r="R1159" s="4">
        <v>0</v>
      </c>
      <c r="S1159" s="4" t="s">
        <v>192</v>
      </c>
      <c r="T1159" s="4" t="s">
        <v>437</v>
      </c>
      <c r="U1159" s="4">
        <v>0</v>
      </c>
      <c r="V1159" s="4">
        <v>19</v>
      </c>
      <c r="W1159" s="4">
        <v>67</v>
      </c>
    </row>
    <row r="1160" spans="1:23" ht="11.25" customHeight="1" x14ac:dyDescent="0.25">
      <c r="A1160" s="4" t="s">
        <v>27</v>
      </c>
      <c r="B1160" s="4" t="s">
        <v>35</v>
      </c>
      <c r="C1160" s="4" t="s">
        <v>36</v>
      </c>
      <c r="D1160" s="4" t="s">
        <v>48</v>
      </c>
      <c r="E1160" s="4" t="s">
        <v>25</v>
      </c>
      <c r="F1160" s="4" t="s">
        <v>25</v>
      </c>
      <c r="G1160" s="4" t="s">
        <v>25</v>
      </c>
      <c r="H1160" s="4" t="s">
        <v>38</v>
      </c>
      <c r="I1160" s="5">
        <v>44256</v>
      </c>
      <c r="J1160" s="6">
        <v>0</v>
      </c>
      <c r="K1160" s="6">
        <v>0</v>
      </c>
      <c r="L1160" s="6">
        <v>-1.3380000000000001</v>
      </c>
      <c r="M1160" s="6">
        <v>-1.3380000000000001</v>
      </c>
      <c r="N1160" s="6">
        <v>-1.3380000000000001</v>
      </c>
      <c r="O1160" s="6">
        <v>-1.3380000000000001</v>
      </c>
      <c r="P1160" s="6">
        <v>0</v>
      </c>
      <c r="Q1160" s="4" t="s">
        <v>26</v>
      </c>
      <c r="R1160" s="4">
        <v>0</v>
      </c>
      <c r="S1160" s="4" t="s">
        <v>192</v>
      </c>
      <c r="T1160" s="4" t="s">
        <v>437</v>
      </c>
      <c r="U1160" s="4">
        <v>0</v>
      </c>
      <c r="V1160" s="4">
        <v>19</v>
      </c>
      <c r="W1160" s="4">
        <v>67</v>
      </c>
    </row>
    <row r="1161" spans="1:23" ht="11.25" customHeight="1" x14ac:dyDescent="0.25">
      <c r="A1161" s="4" t="s">
        <v>28</v>
      </c>
      <c r="B1161" s="4" t="s">
        <v>35</v>
      </c>
      <c r="C1161" s="4" t="s">
        <v>36</v>
      </c>
      <c r="D1161" s="4" t="s">
        <v>48</v>
      </c>
      <c r="E1161" s="4" t="s">
        <v>25</v>
      </c>
      <c r="F1161" s="4" t="s">
        <v>25</v>
      </c>
      <c r="G1161" s="4" t="s">
        <v>25</v>
      </c>
      <c r="H1161" s="4" t="s">
        <v>38</v>
      </c>
      <c r="I1161" s="5">
        <v>44256</v>
      </c>
      <c r="J1161" s="6">
        <v>0</v>
      </c>
      <c r="K1161" s="6">
        <v>0</v>
      </c>
      <c r="L1161" s="6">
        <v>2162.2710000000002</v>
      </c>
      <c r="M1161" s="6">
        <v>2162.2710000000002</v>
      </c>
      <c r="N1161" s="6">
        <v>2162.2710000000002</v>
      </c>
      <c r="O1161" s="6">
        <v>2162.2710000000002</v>
      </c>
      <c r="P1161" s="6">
        <v>0</v>
      </c>
      <c r="Q1161" s="4" t="s">
        <v>26</v>
      </c>
      <c r="R1161" s="4">
        <v>0</v>
      </c>
      <c r="S1161" s="4" t="s">
        <v>192</v>
      </c>
      <c r="T1161" s="4" t="s">
        <v>437</v>
      </c>
      <c r="U1161" s="4">
        <v>0</v>
      </c>
      <c r="V1161" s="4">
        <v>19</v>
      </c>
      <c r="W1161" s="4">
        <v>67</v>
      </c>
    </row>
    <row r="1162" spans="1:23" ht="11.25" customHeight="1" x14ac:dyDescent="0.25">
      <c r="A1162" s="4" t="s">
        <v>29</v>
      </c>
      <c r="B1162" s="4" t="s">
        <v>35</v>
      </c>
      <c r="C1162" s="4" t="s">
        <v>36</v>
      </c>
      <c r="D1162" s="4" t="s">
        <v>48</v>
      </c>
      <c r="E1162" s="4" t="s">
        <v>25</v>
      </c>
      <c r="F1162" s="4" t="s">
        <v>25</v>
      </c>
      <c r="G1162" s="4" t="s">
        <v>25</v>
      </c>
      <c r="H1162" s="4" t="s">
        <v>38</v>
      </c>
      <c r="I1162" s="5">
        <v>44256</v>
      </c>
      <c r="J1162" s="6">
        <v>0</v>
      </c>
      <c r="K1162" s="6">
        <v>0</v>
      </c>
      <c r="L1162" s="6">
        <v>-2.3010000000000002</v>
      </c>
      <c r="M1162" s="6">
        <v>-2.3010000000000002</v>
      </c>
      <c r="N1162" s="6">
        <v>-2.3010000000000002</v>
      </c>
      <c r="O1162" s="6">
        <v>-2.3010000000000002</v>
      </c>
      <c r="P1162" s="6">
        <v>0</v>
      </c>
      <c r="Q1162" s="4" t="s">
        <v>26</v>
      </c>
      <c r="R1162" s="4">
        <v>0</v>
      </c>
      <c r="S1162" s="4" t="s">
        <v>192</v>
      </c>
      <c r="T1162" s="4" t="s">
        <v>437</v>
      </c>
      <c r="U1162" s="4">
        <v>0</v>
      </c>
      <c r="V1162" s="4">
        <v>19</v>
      </c>
      <c r="W1162" s="4">
        <v>67</v>
      </c>
    </row>
    <row r="1163" spans="1:23" ht="11.25" customHeight="1" x14ac:dyDescent="0.25">
      <c r="A1163" s="4" t="s">
        <v>30</v>
      </c>
      <c r="B1163" s="4" t="s">
        <v>35</v>
      </c>
      <c r="C1163" s="4" t="s">
        <v>36</v>
      </c>
      <c r="D1163" s="4" t="s">
        <v>48</v>
      </c>
      <c r="E1163" s="4" t="s">
        <v>25</v>
      </c>
      <c r="F1163" s="4" t="s">
        <v>25</v>
      </c>
      <c r="G1163" s="4" t="s">
        <v>25</v>
      </c>
      <c r="H1163" s="4" t="s">
        <v>38</v>
      </c>
      <c r="I1163" s="5">
        <v>44256</v>
      </c>
      <c r="J1163" s="6">
        <v>0</v>
      </c>
      <c r="K1163" s="6">
        <v>0</v>
      </c>
      <c r="L1163" s="6">
        <v>33.862000000000002</v>
      </c>
      <c r="M1163" s="6">
        <v>33.862000000000002</v>
      </c>
      <c r="N1163" s="6">
        <v>33.862000000000002</v>
      </c>
      <c r="O1163" s="6">
        <v>33.862000000000002</v>
      </c>
      <c r="P1163" s="6">
        <v>0</v>
      </c>
      <c r="Q1163" s="4" t="s">
        <v>26</v>
      </c>
      <c r="R1163" s="4">
        <v>0</v>
      </c>
      <c r="S1163" s="4" t="s">
        <v>192</v>
      </c>
      <c r="T1163" s="4" t="s">
        <v>437</v>
      </c>
      <c r="U1163" s="4">
        <v>0</v>
      </c>
      <c r="V1163" s="4">
        <v>19</v>
      </c>
      <c r="W1163" s="4">
        <v>67</v>
      </c>
    </row>
    <row r="1164" spans="1:23" ht="11.25" customHeight="1" x14ac:dyDescent="0.25">
      <c r="A1164" s="4" t="s">
        <v>21</v>
      </c>
      <c r="B1164" s="4" t="s">
        <v>35</v>
      </c>
      <c r="C1164" s="4" t="s">
        <v>36</v>
      </c>
      <c r="D1164" s="4" t="s">
        <v>48</v>
      </c>
      <c r="E1164" s="4" t="s">
        <v>25</v>
      </c>
      <c r="F1164" s="4" t="s">
        <v>25</v>
      </c>
      <c r="G1164" s="4" t="s">
        <v>25</v>
      </c>
      <c r="H1164" s="4" t="s">
        <v>38</v>
      </c>
      <c r="I1164" s="5">
        <v>44287</v>
      </c>
      <c r="J1164" s="6">
        <v>0</v>
      </c>
      <c r="K1164" s="6">
        <v>0</v>
      </c>
      <c r="L1164" s="6">
        <v>10825.665999999999</v>
      </c>
      <c r="M1164" s="6">
        <v>10825.665999999999</v>
      </c>
      <c r="N1164" s="6">
        <v>10825.665999999999</v>
      </c>
      <c r="O1164" s="6">
        <v>10825.665999999999</v>
      </c>
      <c r="P1164" s="6">
        <v>0</v>
      </c>
      <c r="Q1164" s="4" t="s">
        <v>26</v>
      </c>
      <c r="R1164" s="4">
        <v>0</v>
      </c>
      <c r="S1164" s="4" t="s">
        <v>193</v>
      </c>
      <c r="T1164" s="4" t="s">
        <v>438</v>
      </c>
      <c r="U1164" s="4">
        <v>0</v>
      </c>
      <c r="V1164" s="4">
        <v>19</v>
      </c>
      <c r="W1164" s="4">
        <v>67</v>
      </c>
    </row>
    <row r="1165" spans="1:23" ht="11.25" customHeight="1" x14ac:dyDescent="0.25">
      <c r="A1165" s="4" t="s">
        <v>27</v>
      </c>
      <c r="B1165" s="4" t="s">
        <v>35</v>
      </c>
      <c r="C1165" s="4" t="s">
        <v>36</v>
      </c>
      <c r="D1165" s="4" t="s">
        <v>48</v>
      </c>
      <c r="E1165" s="4" t="s">
        <v>25</v>
      </c>
      <c r="F1165" s="4" t="s">
        <v>25</v>
      </c>
      <c r="G1165" s="4" t="s">
        <v>25</v>
      </c>
      <c r="H1165" s="4" t="s">
        <v>38</v>
      </c>
      <c r="I1165" s="5">
        <v>44287</v>
      </c>
      <c r="J1165" s="6">
        <v>0</v>
      </c>
      <c r="K1165" s="6">
        <v>0</v>
      </c>
      <c r="L1165" s="6">
        <v>-0.97699999999999998</v>
      </c>
      <c r="M1165" s="6">
        <v>-0.97699999999999998</v>
      </c>
      <c r="N1165" s="6">
        <v>-0.97699999999999998</v>
      </c>
      <c r="O1165" s="6">
        <v>-0.97699999999999998</v>
      </c>
      <c r="P1165" s="6">
        <v>0</v>
      </c>
      <c r="Q1165" s="4" t="s">
        <v>26</v>
      </c>
      <c r="R1165" s="4">
        <v>0</v>
      </c>
      <c r="S1165" s="4" t="s">
        <v>193</v>
      </c>
      <c r="T1165" s="4" t="s">
        <v>438</v>
      </c>
      <c r="U1165" s="4">
        <v>0</v>
      </c>
      <c r="V1165" s="4">
        <v>19</v>
      </c>
      <c r="W1165" s="4">
        <v>67</v>
      </c>
    </row>
    <row r="1166" spans="1:23" ht="11.25" customHeight="1" x14ac:dyDescent="0.25">
      <c r="A1166" s="4" t="s">
        <v>28</v>
      </c>
      <c r="B1166" s="4" t="s">
        <v>35</v>
      </c>
      <c r="C1166" s="4" t="s">
        <v>36</v>
      </c>
      <c r="D1166" s="4" t="s">
        <v>48</v>
      </c>
      <c r="E1166" s="4" t="s">
        <v>25</v>
      </c>
      <c r="F1166" s="4" t="s">
        <v>25</v>
      </c>
      <c r="G1166" s="4" t="s">
        <v>25</v>
      </c>
      <c r="H1166" s="4" t="s">
        <v>38</v>
      </c>
      <c r="I1166" s="5">
        <v>44287</v>
      </c>
      <c r="J1166" s="6">
        <v>0</v>
      </c>
      <c r="K1166" s="6">
        <v>0</v>
      </c>
      <c r="L1166" s="6">
        <v>2196.944</v>
      </c>
      <c r="M1166" s="6">
        <v>2196.944</v>
      </c>
      <c r="N1166" s="6">
        <v>2196.944</v>
      </c>
      <c r="O1166" s="6">
        <v>2196.944</v>
      </c>
      <c r="P1166" s="6">
        <v>0</v>
      </c>
      <c r="Q1166" s="4" t="s">
        <v>26</v>
      </c>
      <c r="R1166" s="4">
        <v>0</v>
      </c>
      <c r="S1166" s="4" t="s">
        <v>193</v>
      </c>
      <c r="T1166" s="4" t="s">
        <v>438</v>
      </c>
      <c r="U1166" s="4">
        <v>0</v>
      </c>
      <c r="V1166" s="4">
        <v>19</v>
      </c>
      <c r="W1166" s="4">
        <v>67</v>
      </c>
    </row>
    <row r="1167" spans="1:23" ht="11.25" customHeight="1" x14ac:dyDescent="0.25">
      <c r="A1167" s="4" t="s">
        <v>29</v>
      </c>
      <c r="B1167" s="4" t="s">
        <v>35</v>
      </c>
      <c r="C1167" s="4" t="s">
        <v>36</v>
      </c>
      <c r="D1167" s="4" t="s">
        <v>48</v>
      </c>
      <c r="E1167" s="4" t="s">
        <v>25</v>
      </c>
      <c r="F1167" s="4" t="s">
        <v>25</v>
      </c>
      <c r="G1167" s="4" t="s">
        <v>25</v>
      </c>
      <c r="H1167" s="4" t="s">
        <v>38</v>
      </c>
      <c r="I1167" s="5">
        <v>44287</v>
      </c>
      <c r="J1167" s="6">
        <v>0</v>
      </c>
      <c r="K1167" s="6">
        <v>0</v>
      </c>
      <c r="L1167" s="6">
        <v>-5.3639999999999999</v>
      </c>
      <c r="M1167" s="6">
        <v>-5.3639999999999999</v>
      </c>
      <c r="N1167" s="6">
        <v>-5.3639999999999999</v>
      </c>
      <c r="O1167" s="6">
        <v>-5.3639999999999999</v>
      </c>
      <c r="P1167" s="6">
        <v>0</v>
      </c>
      <c r="Q1167" s="4" t="s">
        <v>26</v>
      </c>
      <c r="R1167" s="4">
        <v>0</v>
      </c>
      <c r="S1167" s="4" t="s">
        <v>193</v>
      </c>
      <c r="T1167" s="4" t="s">
        <v>438</v>
      </c>
      <c r="U1167" s="4">
        <v>0</v>
      </c>
      <c r="V1167" s="4">
        <v>19</v>
      </c>
      <c r="W1167" s="4">
        <v>67</v>
      </c>
    </row>
    <row r="1168" spans="1:23" ht="11.25" customHeight="1" x14ac:dyDescent="0.25">
      <c r="A1168" s="4" t="s">
        <v>30</v>
      </c>
      <c r="B1168" s="4" t="s">
        <v>35</v>
      </c>
      <c r="C1168" s="4" t="s">
        <v>36</v>
      </c>
      <c r="D1168" s="4" t="s">
        <v>48</v>
      </c>
      <c r="E1168" s="4" t="s">
        <v>25</v>
      </c>
      <c r="F1168" s="4" t="s">
        <v>25</v>
      </c>
      <c r="G1168" s="4" t="s">
        <v>25</v>
      </c>
      <c r="H1168" s="4" t="s">
        <v>38</v>
      </c>
      <c r="I1168" s="5">
        <v>44287</v>
      </c>
      <c r="J1168" s="6">
        <v>0</v>
      </c>
      <c r="K1168" s="6">
        <v>0</v>
      </c>
      <c r="L1168" s="6">
        <v>42.994</v>
      </c>
      <c r="M1168" s="6">
        <v>42.994</v>
      </c>
      <c r="N1168" s="6">
        <v>42.994</v>
      </c>
      <c r="O1168" s="6">
        <v>42.994</v>
      </c>
      <c r="P1168" s="6">
        <v>0</v>
      </c>
      <c r="Q1168" s="4" t="s">
        <v>26</v>
      </c>
      <c r="R1168" s="4">
        <v>0</v>
      </c>
      <c r="S1168" s="4" t="s">
        <v>193</v>
      </c>
      <c r="T1168" s="4" t="s">
        <v>438</v>
      </c>
      <c r="U1168" s="4">
        <v>0</v>
      </c>
      <c r="V1168" s="4">
        <v>19</v>
      </c>
      <c r="W1168" s="4">
        <v>67</v>
      </c>
    </row>
    <row r="1169" spans="1:23" ht="11.25" customHeight="1" x14ac:dyDescent="0.25">
      <c r="A1169" s="4" t="s">
        <v>21</v>
      </c>
      <c r="B1169" s="4" t="s">
        <v>35</v>
      </c>
      <c r="C1169" s="4" t="s">
        <v>36</v>
      </c>
      <c r="D1169" s="4" t="s">
        <v>48</v>
      </c>
      <c r="E1169" s="4" t="s">
        <v>25</v>
      </c>
      <c r="F1169" s="4" t="s">
        <v>25</v>
      </c>
      <c r="G1169" s="4" t="s">
        <v>25</v>
      </c>
      <c r="H1169" s="4" t="s">
        <v>38</v>
      </c>
      <c r="I1169" s="5">
        <v>44317</v>
      </c>
      <c r="J1169" s="6">
        <v>0</v>
      </c>
      <c r="K1169" s="6">
        <v>0</v>
      </c>
      <c r="L1169" s="6">
        <v>12160.052</v>
      </c>
      <c r="M1169" s="6">
        <v>12160.052</v>
      </c>
      <c r="N1169" s="6">
        <v>12160.052</v>
      </c>
      <c r="O1169" s="6">
        <v>12160.052</v>
      </c>
      <c r="P1169" s="6">
        <v>0</v>
      </c>
      <c r="Q1169" s="4" t="s">
        <v>26</v>
      </c>
      <c r="R1169" s="4">
        <v>0</v>
      </c>
      <c r="S1169" s="4" t="s">
        <v>194</v>
      </c>
      <c r="T1169" s="4" t="s">
        <v>439</v>
      </c>
      <c r="U1169" s="4">
        <v>0</v>
      </c>
      <c r="V1169" s="4">
        <v>19</v>
      </c>
      <c r="W1169" s="4">
        <v>67</v>
      </c>
    </row>
    <row r="1170" spans="1:23" ht="11.25" customHeight="1" x14ac:dyDescent="0.25">
      <c r="A1170" s="4" t="s">
        <v>27</v>
      </c>
      <c r="B1170" s="4" t="s">
        <v>35</v>
      </c>
      <c r="C1170" s="4" t="s">
        <v>36</v>
      </c>
      <c r="D1170" s="4" t="s">
        <v>48</v>
      </c>
      <c r="E1170" s="4" t="s">
        <v>25</v>
      </c>
      <c r="F1170" s="4" t="s">
        <v>25</v>
      </c>
      <c r="G1170" s="4" t="s">
        <v>25</v>
      </c>
      <c r="H1170" s="4" t="s">
        <v>38</v>
      </c>
      <c r="I1170" s="5">
        <v>44317</v>
      </c>
      <c r="J1170" s="6">
        <v>0</v>
      </c>
      <c r="K1170" s="6">
        <v>0</v>
      </c>
      <c r="L1170" s="6">
        <v>161.61699999999999</v>
      </c>
      <c r="M1170" s="6">
        <v>161.61699999999999</v>
      </c>
      <c r="N1170" s="6">
        <v>161.61699999999999</v>
      </c>
      <c r="O1170" s="6">
        <v>161.61699999999999</v>
      </c>
      <c r="P1170" s="6">
        <v>0</v>
      </c>
      <c r="Q1170" s="4" t="s">
        <v>26</v>
      </c>
      <c r="R1170" s="4">
        <v>0</v>
      </c>
      <c r="S1170" s="4" t="s">
        <v>194</v>
      </c>
      <c r="T1170" s="4" t="s">
        <v>439</v>
      </c>
      <c r="U1170" s="4">
        <v>0</v>
      </c>
      <c r="V1170" s="4">
        <v>19</v>
      </c>
      <c r="W1170" s="4">
        <v>67</v>
      </c>
    </row>
    <row r="1171" spans="1:23" ht="11.25" customHeight="1" x14ac:dyDescent="0.25">
      <c r="A1171" s="4" t="s">
        <v>28</v>
      </c>
      <c r="B1171" s="4" t="s">
        <v>35</v>
      </c>
      <c r="C1171" s="4" t="s">
        <v>36</v>
      </c>
      <c r="D1171" s="4" t="s">
        <v>48</v>
      </c>
      <c r="E1171" s="4" t="s">
        <v>25</v>
      </c>
      <c r="F1171" s="4" t="s">
        <v>25</v>
      </c>
      <c r="G1171" s="4" t="s">
        <v>25</v>
      </c>
      <c r="H1171" s="4" t="s">
        <v>38</v>
      </c>
      <c r="I1171" s="5">
        <v>44317</v>
      </c>
      <c r="J1171" s="6">
        <v>0</v>
      </c>
      <c r="K1171" s="6">
        <v>0</v>
      </c>
      <c r="L1171" s="6">
        <v>2797.5050000000001</v>
      </c>
      <c r="M1171" s="6">
        <v>2797.5050000000001</v>
      </c>
      <c r="N1171" s="6">
        <v>2797.5050000000001</v>
      </c>
      <c r="O1171" s="6">
        <v>2797.5050000000001</v>
      </c>
      <c r="P1171" s="6">
        <v>0</v>
      </c>
      <c r="Q1171" s="4" t="s">
        <v>26</v>
      </c>
      <c r="R1171" s="4">
        <v>0</v>
      </c>
      <c r="S1171" s="4" t="s">
        <v>194</v>
      </c>
      <c r="T1171" s="4" t="s">
        <v>439</v>
      </c>
      <c r="U1171" s="4">
        <v>0</v>
      </c>
      <c r="V1171" s="4">
        <v>19</v>
      </c>
      <c r="W1171" s="4">
        <v>67</v>
      </c>
    </row>
    <row r="1172" spans="1:23" ht="11.25" customHeight="1" x14ac:dyDescent="0.25">
      <c r="A1172" s="4" t="s">
        <v>29</v>
      </c>
      <c r="B1172" s="4" t="s">
        <v>35</v>
      </c>
      <c r="C1172" s="4" t="s">
        <v>36</v>
      </c>
      <c r="D1172" s="4" t="s">
        <v>48</v>
      </c>
      <c r="E1172" s="4" t="s">
        <v>25</v>
      </c>
      <c r="F1172" s="4" t="s">
        <v>25</v>
      </c>
      <c r="G1172" s="4" t="s">
        <v>25</v>
      </c>
      <c r="H1172" s="4" t="s">
        <v>38</v>
      </c>
      <c r="I1172" s="5">
        <v>44317</v>
      </c>
      <c r="J1172" s="6">
        <v>0</v>
      </c>
      <c r="K1172" s="6">
        <v>0</v>
      </c>
      <c r="L1172" s="6">
        <v>-35.921999999999997</v>
      </c>
      <c r="M1172" s="6">
        <v>-35.921999999999997</v>
      </c>
      <c r="N1172" s="6">
        <v>-35.921999999999997</v>
      </c>
      <c r="O1172" s="6">
        <v>-35.921999999999997</v>
      </c>
      <c r="P1172" s="6">
        <v>0</v>
      </c>
      <c r="Q1172" s="4" t="s">
        <v>26</v>
      </c>
      <c r="R1172" s="4">
        <v>0</v>
      </c>
      <c r="S1172" s="4" t="s">
        <v>194</v>
      </c>
      <c r="T1172" s="4" t="s">
        <v>439</v>
      </c>
      <c r="U1172" s="4">
        <v>0</v>
      </c>
      <c r="V1172" s="4">
        <v>19</v>
      </c>
      <c r="W1172" s="4">
        <v>67</v>
      </c>
    </row>
    <row r="1173" spans="1:23" ht="11.25" customHeight="1" x14ac:dyDescent="0.25">
      <c r="A1173" s="4" t="s">
        <v>30</v>
      </c>
      <c r="B1173" s="4" t="s">
        <v>35</v>
      </c>
      <c r="C1173" s="4" t="s">
        <v>36</v>
      </c>
      <c r="D1173" s="4" t="s">
        <v>48</v>
      </c>
      <c r="E1173" s="4" t="s">
        <v>25</v>
      </c>
      <c r="F1173" s="4" t="s">
        <v>25</v>
      </c>
      <c r="G1173" s="4" t="s">
        <v>25</v>
      </c>
      <c r="H1173" s="4" t="s">
        <v>38</v>
      </c>
      <c r="I1173" s="5">
        <v>44317</v>
      </c>
      <c r="J1173" s="6">
        <v>0</v>
      </c>
      <c r="K1173" s="6">
        <v>0</v>
      </c>
      <c r="L1173" s="6">
        <v>51.936</v>
      </c>
      <c r="M1173" s="6">
        <v>51.936</v>
      </c>
      <c r="N1173" s="6">
        <v>51.936</v>
      </c>
      <c r="O1173" s="6">
        <v>51.936</v>
      </c>
      <c r="P1173" s="6">
        <v>0</v>
      </c>
      <c r="Q1173" s="4" t="s">
        <v>26</v>
      </c>
      <c r="R1173" s="4">
        <v>0</v>
      </c>
      <c r="S1173" s="4" t="s">
        <v>194</v>
      </c>
      <c r="T1173" s="4" t="s">
        <v>439</v>
      </c>
      <c r="U1173" s="4">
        <v>0</v>
      </c>
      <c r="V1173" s="4">
        <v>19</v>
      </c>
      <c r="W1173" s="4">
        <v>67</v>
      </c>
    </row>
    <row r="1174" spans="1:23" ht="11.25" customHeight="1" x14ac:dyDescent="0.25">
      <c r="A1174" s="4" t="s">
        <v>21</v>
      </c>
      <c r="B1174" s="4" t="s">
        <v>35</v>
      </c>
      <c r="C1174" s="4" t="s">
        <v>36</v>
      </c>
      <c r="D1174" s="4" t="s">
        <v>48</v>
      </c>
      <c r="E1174" s="4" t="s">
        <v>25</v>
      </c>
      <c r="F1174" s="4" t="s">
        <v>25</v>
      </c>
      <c r="G1174" s="4" t="s">
        <v>25</v>
      </c>
      <c r="H1174" s="4" t="s">
        <v>38</v>
      </c>
      <c r="I1174" s="5">
        <v>44348</v>
      </c>
      <c r="J1174" s="6">
        <v>0</v>
      </c>
      <c r="K1174" s="6">
        <v>0</v>
      </c>
      <c r="L1174" s="6">
        <v>14051.075000000001</v>
      </c>
      <c r="M1174" s="6">
        <v>14051.075000000001</v>
      </c>
      <c r="N1174" s="6">
        <v>14051.075000000001</v>
      </c>
      <c r="O1174" s="6">
        <v>14051.075000000001</v>
      </c>
      <c r="P1174" s="6">
        <v>0</v>
      </c>
      <c r="Q1174" s="4" t="s">
        <v>26</v>
      </c>
      <c r="R1174" s="4">
        <v>0</v>
      </c>
      <c r="S1174" s="4" t="s">
        <v>195</v>
      </c>
      <c r="T1174" s="4" t="s">
        <v>440</v>
      </c>
      <c r="U1174" s="4">
        <v>0</v>
      </c>
      <c r="V1174" s="4">
        <v>19</v>
      </c>
      <c r="W1174" s="4">
        <v>67</v>
      </c>
    </row>
    <row r="1175" spans="1:23" ht="11.25" customHeight="1" x14ac:dyDescent="0.25">
      <c r="A1175" s="4" t="s">
        <v>27</v>
      </c>
      <c r="B1175" s="4" t="s">
        <v>35</v>
      </c>
      <c r="C1175" s="4" t="s">
        <v>36</v>
      </c>
      <c r="D1175" s="4" t="s">
        <v>48</v>
      </c>
      <c r="E1175" s="4" t="s">
        <v>25</v>
      </c>
      <c r="F1175" s="4" t="s">
        <v>25</v>
      </c>
      <c r="G1175" s="4" t="s">
        <v>25</v>
      </c>
      <c r="H1175" s="4" t="s">
        <v>38</v>
      </c>
      <c r="I1175" s="5">
        <v>44348</v>
      </c>
      <c r="J1175" s="6">
        <v>0</v>
      </c>
      <c r="K1175" s="6">
        <v>0</v>
      </c>
      <c r="L1175" s="6">
        <v>-1.635</v>
      </c>
      <c r="M1175" s="6">
        <v>-1.635</v>
      </c>
      <c r="N1175" s="6">
        <v>-1.635</v>
      </c>
      <c r="O1175" s="6">
        <v>-1.635</v>
      </c>
      <c r="P1175" s="6">
        <v>0</v>
      </c>
      <c r="Q1175" s="4" t="s">
        <v>26</v>
      </c>
      <c r="R1175" s="4">
        <v>0</v>
      </c>
      <c r="S1175" s="4" t="s">
        <v>195</v>
      </c>
      <c r="T1175" s="4" t="s">
        <v>440</v>
      </c>
      <c r="U1175" s="4">
        <v>0</v>
      </c>
      <c r="V1175" s="4">
        <v>19</v>
      </c>
      <c r="W1175" s="4">
        <v>67</v>
      </c>
    </row>
    <row r="1176" spans="1:23" ht="11.25" customHeight="1" x14ac:dyDescent="0.25">
      <c r="A1176" s="4" t="s">
        <v>28</v>
      </c>
      <c r="B1176" s="4" t="s">
        <v>35</v>
      </c>
      <c r="C1176" s="4" t="s">
        <v>36</v>
      </c>
      <c r="D1176" s="4" t="s">
        <v>48</v>
      </c>
      <c r="E1176" s="4" t="s">
        <v>25</v>
      </c>
      <c r="F1176" s="4" t="s">
        <v>25</v>
      </c>
      <c r="G1176" s="4" t="s">
        <v>25</v>
      </c>
      <c r="H1176" s="4" t="s">
        <v>38</v>
      </c>
      <c r="I1176" s="5">
        <v>44348</v>
      </c>
      <c r="J1176" s="6">
        <v>0</v>
      </c>
      <c r="K1176" s="6">
        <v>0</v>
      </c>
      <c r="L1176" s="6">
        <v>3416.154</v>
      </c>
      <c r="M1176" s="6">
        <v>3416.154</v>
      </c>
      <c r="N1176" s="6">
        <v>3416.154</v>
      </c>
      <c r="O1176" s="6">
        <v>3416.154</v>
      </c>
      <c r="P1176" s="6">
        <v>0</v>
      </c>
      <c r="Q1176" s="4" t="s">
        <v>26</v>
      </c>
      <c r="R1176" s="4">
        <v>0</v>
      </c>
      <c r="S1176" s="4" t="s">
        <v>195</v>
      </c>
      <c r="T1176" s="4" t="s">
        <v>440</v>
      </c>
      <c r="U1176" s="4">
        <v>0</v>
      </c>
      <c r="V1176" s="4">
        <v>19</v>
      </c>
      <c r="W1176" s="4">
        <v>67</v>
      </c>
    </row>
    <row r="1177" spans="1:23" ht="11.25" customHeight="1" x14ac:dyDescent="0.25">
      <c r="A1177" s="4" t="s">
        <v>29</v>
      </c>
      <c r="B1177" s="4" t="s">
        <v>35</v>
      </c>
      <c r="C1177" s="4" t="s">
        <v>36</v>
      </c>
      <c r="D1177" s="4" t="s">
        <v>48</v>
      </c>
      <c r="E1177" s="4" t="s">
        <v>25</v>
      </c>
      <c r="F1177" s="4" t="s">
        <v>25</v>
      </c>
      <c r="G1177" s="4" t="s">
        <v>25</v>
      </c>
      <c r="H1177" s="4" t="s">
        <v>38</v>
      </c>
      <c r="I1177" s="5">
        <v>44348</v>
      </c>
      <c r="J1177" s="6">
        <v>0</v>
      </c>
      <c r="K1177" s="6">
        <v>0</v>
      </c>
      <c r="L1177" s="6">
        <v>8.1059999999999999</v>
      </c>
      <c r="M1177" s="6">
        <v>8.1059999999999999</v>
      </c>
      <c r="N1177" s="6">
        <v>8.1059999999999999</v>
      </c>
      <c r="O1177" s="6">
        <v>8.1059999999999999</v>
      </c>
      <c r="P1177" s="6">
        <v>0</v>
      </c>
      <c r="Q1177" s="4" t="s">
        <v>26</v>
      </c>
      <c r="R1177" s="4">
        <v>0</v>
      </c>
      <c r="S1177" s="4" t="s">
        <v>195</v>
      </c>
      <c r="T1177" s="4" t="s">
        <v>440</v>
      </c>
      <c r="U1177" s="4">
        <v>0</v>
      </c>
      <c r="V1177" s="4">
        <v>19</v>
      </c>
      <c r="W1177" s="4">
        <v>67</v>
      </c>
    </row>
    <row r="1178" spans="1:23" ht="11.25" customHeight="1" x14ac:dyDescent="0.25">
      <c r="A1178" s="4" t="s">
        <v>30</v>
      </c>
      <c r="B1178" s="4" t="s">
        <v>35</v>
      </c>
      <c r="C1178" s="4" t="s">
        <v>36</v>
      </c>
      <c r="D1178" s="4" t="s">
        <v>48</v>
      </c>
      <c r="E1178" s="4" t="s">
        <v>25</v>
      </c>
      <c r="F1178" s="4" t="s">
        <v>25</v>
      </c>
      <c r="G1178" s="4" t="s">
        <v>25</v>
      </c>
      <c r="H1178" s="4" t="s">
        <v>38</v>
      </c>
      <c r="I1178" s="5">
        <v>44348</v>
      </c>
      <c r="J1178" s="6">
        <v>0</v>
      </c>
      <c r="K1178" s="6">
        <v>0</v>
      </c>
      <c r="L1178" s="6">
        <v>48.914999999999999</v>
      </c>
      <c r="M1178" s="6">
        <v>48.914999999999999</v>
      </c>
      <c r="N1178" s="6">
        <v>48.914999999999999</v>
      </c>
      <c r="O1178" s="6">
        <v>48.914999999999999</v>
      </c>
      <c r="P1178" s="6">
        <v>0</v>
      </c>
      <c r="Q1178" s="4" t="s">
        <v>26</v>
      </c>
      <c r="R1178" s="4">
        <v>0</v>
      </c>
      <c r="S1178" s="4" t="s">
        <v>195</v>
      </c>
      <c r="T1178" s="4" t="s">
        <v>440</v>
      </c>
      <c r="U1178" s="4">
        <v>0</v>
      </c>
      <c r="V1178" s="4">
        <v>19</v>
      </c>
      <c r="W1178" s="4">
        <v>67</v>
      </c>
    </row>
    <row r="1179" spans="1:23" ht="11.25" customHeight="1" x14ac:dyDescent="0.25">
      <c r="A1179" s="4" t="s">
        <v>21</v>
      </c>
      <c r="B1179" s="4" t="s">
        <v>35</v>
      </c>
      <c r="C1179" s="4" t="s">
        <v>36</v>
      </c>
      <c r="D1179" s="4" t="s">
        <v>48</v>
      </c>
      <c r="E1179" s="4" t="s">
        <v>25</v>
      </c>
      <c r="F1179" s="4" t="s">
        <v>25</v>
      </c>
      <c r="G1179" s="4" t="s">
        <v>25</v>
      </c>
      <c r="H1179" s="4" t="s">
        <v>38</v>
      </c>
      <c r="I1179" s="5">
        <v>44378</v>
      </c>
      <c r="J1179" s="6">
        <v>0</v>
      </c>
      <c r="K1179" s="6">
        <v>0</v>
      </c>
      <c r="L1179" s="6">
        <v>15580.68</v>
      </c>
      <c r="M1179" s="6">
        <v>15580.68</v>
      </c>
      <c r="N1179" s="6">
        <v>15580.68</v>
      </c>
      <c r="O1179" s="6">
        <v>15580.68</v>
      </c>
      <c r="P1179" s="6">
        <v>0</v>
      </c>
      <c r="Q1179" s="4" t="s">
        <v>26</v>
      </c>
      <c r="R1179" s="4">
        <v>0</v>
      </c>
      <c r="S1179" s="4" t="s">
        <v>196</v>
      </c>
      <c r="T1179" s="4" t="s">
        <v>441</v>
      </c>
      <c r="U1179" s="4">
        <v>0</v>
      </c>
      <c r="V1179" s="4">
        <v>19</v>
      </c>
      <c r="W1179" s="4">
        <v>67</v>
      </c>
    </row>
    <row r="1180" spans="1:23" ht="11.25" customHeight="1" x14ac:dyDescent="0.25">
      <c r="A1180" s="4" t="s">
        <v>28</v>
      </c>
      <c r="B1180" s="4" t="s">
        <v>35</v>
      </c>
      <c r="C1180" s="4" t="s">
        <v>36</v>
      </c>
      <c r="D1180" s="4" t="s">
        <v>48</v>
      </c>
      <c r="E1180" s="4" t="s">
        <v>25</v>
      </c>
      <c r="F1180" s="4" t="s">
        <v>25</v>
      </c>
      <c r="G1180" s="4" t="s">
        <v>25</v>
      </c>
      <c r="H1180" s="4" t="s">
        <v>38</v>
      </c>
      <c r="I1180" s="5">
        <v>44378</v>
      </c>
      <c r="J1180" s="6">
        <v>0</v>
      </c>
      <c r="K1180" s="6">
        <v>0</v>
      </c>
      <c r="L1180" s="6">
        <v>3726.6419999999998</v>
      </c>
      <c r="M1180" s="6">
        <v>3726.6419999999998</v>
      </c>
      <c r="N1180" s="6">
        <v>3726.6419999999998</v>
      </c>
      <c r="O1180" s="6">
        <v>3726.6419999999998</v>
      </c>
      <c r="P1180" s="6">
        <v>0</v>
      </c>
      <c r="Q1180" s="4" t="s">
        <v>26</v>
      </c>
      <c r="R1180" s="4">
        <v>0</v>
      </c>
      <c r="S1180" s="4" t="s">
        <v>196</v>
      </c>
      <c r="T1180" s="4" t="s">
        <v>441</v>
      </c>
      <c r="U1180" s="4">
        <v>0</v>
      </c>
      <c r="V1180" s="4">
        <v>19</v>
      </c>
      <c r="W1180" s="4">
        <v>67</v>
      </c>
    </row>
    <row r="1181" spans="1:23" ht="11.25" customHeight="1" x14ac:dyDescent="0.25">
      <c r="A1181" s="4" t="s">
        <v>30</v>
      </c>
      <c r="B1181" s="4" t="s">
        <v>35</v>
      </c>
      <c r="C1181" s="4" t="s">
        <v>36</v>
      </c>
      <c r="D1181" s="4" t="s">
        <v>48</v>
      </c>
      <c r="E1181" s="4" t="s">
        <v>25</v>
      </c>
      <c r="F1181" s="4" t="s">
        <v>25</v>
      </c>
      <c r="G1181" s="4" t="s">
        <v>25</v>
      </c>
      <c r="H1181" s="4" t="s">
        <v>38</v>
      </c>
      <c r="I1181" s="5">
        <v>44378</v>
      </c>
      <c r="J1181" s="6">
        <v>0</v>
      </c>
      <c r="K1181" s="6">
        <v>0</v>
      </c>
      <c r="L1181" s="6">
        <v>52.664999999999999</v>
      </c>
      <c r="M1181" s="6">
        <v>52.664999999999999</v>
      </c>
      <c r="N1181" s="6">
        <v>52.664999999999999</v>
      </c>
      <c r="O1181" s="6">
        <v>52.664999999999999</v>
      </c>
      <c r="P1181" s="6">
        <v>0</v>
      </c>
      <c r="Q1181" s="4" t="s">
        <v>26</v>
      </c>
      <c r="R1181" s="4">
        <v>0</v>
      </c>
      <c r="S1181" s="4" t="s">
        <v>196</v>
      </c>
      <c r="T1181" s="4" t="s">
        <v>441</v>
      </c>
      <c r="U1181" s="4">
        <v>0</v>
      </c>
      <c r="V1181" s="4">
        <v>19</v>
      </c>
      <c r="W1181" s="4">
        <v>67</v>
      </c>
    </row>
    <row r="1182" spans="1:23" ht="11.25" customHeight="1" x14ac:dyDescent="0.25">
      <c r="A1182" s="4" t="s">
        <v>21</v>
      </c>
      <c r="B1182" s="4" t="s">
        <v>35</v>
      </c>
      <c r="C1182" s="4" t="s">
        <v>36</v>
      </c>
      <c r="D1182" s="4" t="s">
        <v>48</v>
      </c>
      <c r="E1182" s="4" t="s">
        <v>25</v>
      </c>
      <c r="F1182" s="4" t="s">
        <v>25</v>
      </c>
      <c r="G1182" s="4" t="s">
        <v>25</v>
      </c>
      <c r="H1182" s="4" t="s">
        <v>38</v>
      </c>
      <c r="I1182" s="5">
        <v>44409</v>
      </c>
      <c r="J1182" s="6">
        <v>0</v>
      </c>
      <c r="K1182" s="6">
        <v>0</v>
      </c>
      <c r="L1182" s="6">
        <v>15985.593999999999</v>
      </c>
      <c r="M1182" s="6">
        <v>15985.593999999999</v>
      </c>
      <c r="N1182" s="6">
        <v>15985.593999999999</v>
      </c>
      <c r="O1182" s="6">
        <v>15985.593999999999</v>
      </c>
      <c r="P1182" s="6">
        <v>0</v>
      </c>
      <c r="Q1182" s="4" t="s">
        <v>26</v>
      </c>
      <c r="R1182" s="4">
        <v>0</v>
      </c>
      <c r="S1182" s="4" t="s">
        <v>197</v>
      </c>
      <c r="T1182" s="4" t="s">
        <v>442</v>
      </c>
      <c r="U1182" s="4">
        <v>0</v>
      </c>
      <c r="V1182" s="4">
        <v>19</v>
      </c>
      <c r="W1182" s="4">
        <v>67</v>
      </c>
    </row>
    <row r="1183" spans="1:23" ht="11.25" customHeight="1" x14ac:dyDescent="0.25">
      <c r="A1183" s="4" t="s">
        <v>27</v>
      </c>
      <c r="B1183" s="4" t="s">
        <v>35</v>
      </c>
      <c r="C1183" s="4" t="s">
        <v>36</v>
      </c>
      <c r="D1183" s="4" t="s">
        <v>48</v>
      </c>
      <c r="E1183" s="4" t="s">
        <v>25</v>
      </c>
      <c r="F1183" s="4" t="s">
        <v>25</v>
      </c>
      <c r="G1183" s="4" t="s">
        <v>25</v>
      </c>
      <c r="H1183" s="4" t="s">
        <v>38</v>
      </c>
      <c r="I1183" s="5">
        <v>44409</v>
      </c>
      <c r="J1183" s="6">
        <v>0</v>
      </c>
      <c r="K1183" s="6">
        <v>0</v>
      </c>
      <c r="L1183" s="6">
        <v>-22839.87</v>
      </c>
      <c r="M1183" s="6">
        <v>-22839.87</v>
      </c>
      <c r="N1183" s="6">
        <v>-22839.87</v>
      </c>
      <c r="O1183" s="6">
        <v>-22839.87</v>
      </c>
      <c r="P1183" s="6">
        <v>0</v>
      </c>
      <c r="Q1183" s="4" t="s">
        <v>26</v>
      </c>
      <c r="R1183" s="4">
        <v>0</v>
      </c>
      <c r="S1183" s="4" t="s">
        <v>197</v>
      </c>
      <c r="T1183" s="4" t="s">
        <v>442</v>
      </c>
      <c r="U1183" s="4">
        <v>0</v>
      </c>
      <c r="V1183" s="4">
        <v>19</v>
      </c>
      <c r="W1183" s="4">
        <v>67</v>
      </c>
    </row>
    <row r="1184" spans="1:23" ht="11.25" customHeight="1" x14ac:dyDescent="0.25">
      <c r="A1184" s="4" t="s">
        <v>28</v>
      </c>
      <c r="B1184" s="4" t="s">
        <v>35</v>
      </c>
      <c r="C1184" s="4" t="s">
        <v>36</v>
      </c>
      <c r="D1184" s="4" t="s">
        <v>48</v>
      </c>
      <c r="E1184" s="4" t="s">
        <v>25</v>
      </c>
      <c r="F1184" s="4" t="s">
        <v>25</v>
      </c>
      <c r="G1184" s="4" t="s">
        <v>25</v>
      </c>
      <c r="H1184" s="4" t="s">
        <v>38</v>
      </c>
      <c r="I1184" s="5">
        <v>44409</v>
      </c>
      <c r="J1184" s="6">
        <v>0</v>
      </c>
      <c r="K1184" s="6">
        <v>0</v>
      </c>
      <c r="L1184" s="6">
        <v>3410.8530000000001</v>
      </c>
      <c r="M1184" s="6">
        <v>3410.8530000000001</v>
      </c>
      <c r="N1184" s="6">
        <v>3410.8530000000001</v>
      </c>
      <c r="O1184" s="6">
        <v>3410.8530000000001</v>
      </c>
      <c r="P1184" s="6">
        <v>0</v>
      </c>
      <c r="Q1184" s="4" t="s">
        <v>26</v>
      </c>
      <c r="R1184" s="4">
        <v>0</v>
      </c>
      <c r="S1184" s="4" t="s">
        <v>197</v>
      </c>
      <c r="T1184" s="4" t="s">
        <v>442</v>
      </c>
      <c r="U1184" s="4">
        <v>0</v>
      </c>
      <c r="V1184" s="4">
        <v>19</v>
      </c>
      <c r="W1184" s="4">
        <v>67</v>
      </c>
    </row>
    <row r="1185" spans="1:23" ht="11.25" customHeight="1" x14ac:dyDescent="0.25">
      <c r="A1185" s="4" t="s">
        <v>29</v>
      </c>
      <c r="B1185" s="4" t="s">
        <v>35</v>
      </c>
      <c r="C1185" s="4" t="s">
        <v>36</v>
      </c>
      <c r="D1185" s="4" t="s">
        <v>48</v>
      </c>
      <c r="E1185" s="4" t="s">
        <v>25</v>
      </c>
      <c r="F1185" s="4" t="s">
        <v>25</v>
      </c>
      <c r="G1185" s="4" t="s">
        <v>25</v>
      </c>
      <c r="H1185" s="4" t="s">
        <v>38</v>
      </c>
      <c r="I1185" s="5">
        <v>44409</v>
      </c>
      <c r="J1185" s="6">
        <v>0</v>
      </c>
      <c r="K1185" s="6">
        <v>0</v>
      </c>
      <c r="L1185" s="6">
        <v>-8.2089999999999996</v>
      </c>
      <c r="M1185" s="6">
        <v>-8.2089999999999996</v>
      </c>
      <c r="N1185" s="6">
        <v>-8.2089999999999996</v>
      </c>
      <c r="O1185" s="6">
        <v>-8.2089999999999996</v>
      </c>
      <c r="P1185" s="6">
        <v>0</v>
      </c>
      <c r="Q1185" s="4" t="s">
        <v>26</v>
      </c>
      <c r="R1185" s="4">
        <v>0</v>
      </c>
      <c r="S1185" s="4" t="s">
        <v>197</v>
      </c>
      <c r="T1185" s="4" t="s">
        <v>442</v>
      </c>
      <c r="U1185" s="4">
        <v>0</v>
      </c>
      <c r="V1185" s="4">
        <v>19</v>
      </c>
      <c r="W1185" s="4">
        <v>67</v>
      </c>
    </row>
    <row r="1186" spans="1:23" ht="11.25" customHeight="1" x14ac:dyDescent="0.25">
      <c r="A1186" s="4" t="s">
        <v>30</v>
      </c>
      <c r="B1186" s="4" t="s">
        <v>35</v>
      </c>
      <c r="C1186" s="4" t="s">
        <v>36</v>
      </c>
      <c r="D1186" s="4" t="s">
        <v>48</v>
      </c>
      <c r="E1186" s="4" t="s">
        <v>25</v>
      </c>
      <c r="F1186" s="4" t="s">
        <v>25</v>
      </c>
      <c r="G1186" s="4" t="s">
        <v>25</v>
      </c>
      <c r="H1186" s="4" t="s">
        <v>38</v>
      </c>
      <c r="I1186" s="5">
        <v>44409</v>
      </c>
      <c r="J1186" s="6">
        <v>0</v>
      </c>
      <c r="K1186" s="6">
        <v>0</v>
      </c>
      <c r="L1186" s="6">
        <v>5.4240000000000004</v>
      </c>
      <c r="M1186" s="6">
        <v>5.4240000000000004</v>
      </c>
      <c r="N1186" s="6">
        <v>5.4240000000000004</v>
      </c>
      <c r="O1186" s="6">
        <v>5.4240000000000004</v>
      </c>
      <c r="P1186" s="6">
        <v>0</v>
      </c>
      <c r="Q1186" s="4" t="s">
        <v>26</v>
      </c>
      <c r="R1186" s="4">
        <v>0</v>
      </c>
      <c r="S1186" s="4" t="s">
        <v>197</v>
      </c>
      <c r="T1186" s="4" t="s">
        <v>442</v>
      </c>
      <c r="U1186" s="4">
        <v>0</v>
      </c>
      <c r="V1186" s="4">
        <v>19</v>
      </c>
      <c r="W1186" s="4">
        <v>67</v>
      </c>
    </row>
    <row r="1187" spans="1:23" ht="11.25" customHeight="1" x14ac:dyDescent="0.25">
      <c r="A1187" s="4" t="s">
        <v>21</v>
      </c>
      <c r="B1187" s="4" t="s">
        <v>35</v>
      </c>
      <c r="C1187" s="4" t="s">
        <v>36</v>
      </c>
      <c r="D1187" s="4" t="s">
        <v>48</v>
      </c>
      <c r="E1187" s="4" t="s">
        <v>25</v>
      </c>
      <c r="F1187" s="4" t="s">
        <v>25</v>
      </c>
      <c r="G1187" s="4" t="s">
        <v>25</v>
      </c>
      <c r="H1187" s="4" t="s">
        <v>38</v>
      </c>
      <c r="I1187" s="5">
        <v>44440</v>
      </c>
      <c r="J1187" s="6">
        <v>0</v>
      </c>
      <c r="K1187" s="6">
        <v>0</v>
      </c>
      <c r="L1187" s="6">
        <v>15783.975</v>
      </c>
      <c r="M1187" s="6">
        <v>15783.975</v>
      </c>
      <c r="N1187" s="6">
        <v>15783.975</v>
      </c>
      <c r="O1187" s="6">
        <v>15783.975</v>
      </c>
      <c r="P1187" s="6">
        <v>0</v>
      </c>
      <c r="Q1187" s="4" t="s">
        <v>26</v>
      </c>
      <c r="R1187" s="4">
        <v>0</v>
      </c>
      <c r="S1187" s="4" t="s">
        <v>198</v>
      </c>
      <c r="T1187" s="4" t="s">
        <v>443</v>
      </c>
      <c r="U1187" s="4">
        <v>0</v>
      </c>
      <c r="V1187" s="4">
        <v>19</v>
      </c>
      <c r="W1187" s="4">
        <v>67</v>
      </c>
    </row>
    <row r="1188" spans="1:23" ht="11.25" customHeight="1" x14ac:dyDescent="0.25">
      <c r="A1188" s="4" t="s">
        <v>27</v>
      </c>
      <c r="B1188" s="4" t="s">
        <v>35</v>
      </c>
      <c r="C1188" s="4" t="s">
        <v>36</v>
      </c>
      <c r="D1188" s="4" t="s">
        <v>48</v>
      </c>
      <c r="E1188" s="4" t="s">
        <v>25</v>
      </c>
      <c r="F1188" s="4" t="s">
        <v>25</v>
      </c>
      <c r="G1188" s="4" t="s">
        <v>25</v>
      </c>
      <c r="H1188" s="4" t="s">
        <v>38</v>
      </c>
      <c r="I1188" s="5">
        <v>44440</v>
      </c>
      <c r="J1188" s="6">
        <v>0</v>
      </c>
      <c r="K1188" s="6">
        <v>0</v>
      </c>
      <c r="L1188" s="6">
        <v>-3.69</v>
      </c>
      <c r="M1188" s="6">
        <v>-3.69</v>
      </c>
      <c r="N1188" s="6">
        <v>-3.69</v>
      </c>
      <c r="O1188" s="6">
        <v>-3.69</v>
      </c>
      <c r="P1188" s="6">
        <v>0</v>
      </c>
      <c r="Q1188" s="4" t="s">
        <v>26</v>
      </c>
      <c r="R1188" s="4">
        <v>0</v>
      </c>
      <c r="S1188" s="4" t="s">
        <v>198</v>
      </c>
      <c r="T1188" s="4" t="s">
        <v>443</v>
      </c>
      <c r="U1188" s="4">
        <v>0</v>
      </c>
      <c r="V1188" s="4">
        <v>19</v>
      </c>
      <c r="W1188" s="4">
        <v>67</v>
      </c>
    </row>
    <row r="1189" spans="1:23" ht="11.25" customHeight="1" x14ac:dyDescent="0.25">
      <c r="A1189" s="4" t="s">
        <v>28</v>
      </c>
      <c r="B1189" s="4" t="s">
        <v>35</v>
      </c>
      <c r="C1189" s="4" t="s">
        <v>36</v>
      </c>
      <c r="D1189" s="4" t="s">
        <v>48</v>
      </c>
      <c r="E1189" s="4" t="s">
        <v>25</v>
      </c>
      <c r="F1189" s="4" t="s">
        <v>25</v>
      </c>
      <c r="G1189" s="4" t="s">
        <v>25</v>
      </c>
      <c r="H1189" s="4" t="s">
        <v>38</v>
      </c>
      <c r="I1189" s="5">
        <v>44440</v>
      </c>
      <c r="J1189" s="6">
        <v>0</v>
      </c>
      <c r="K1189" s="6">
        <v>0</v>
      </c>
      <c r="L1189" s="6">
        <v>3515.1869999999999</v>
      </c>
      <c r="M1189" s="6">
        <v>3515.1869999999999</v>
      </c>
      <c r="N1189" s="6">
        <v>3515.1869999999999</v>
      </c>
      <c r="O1189" s="6">
        <v>3515.1869999999999</v>
      </c>
      <c r="P1189" s="6">
        <v>0</v>
      </c>
      <c r="Q1189" s="4" t="s">
        <v>26</v>
      </c>
      <c r="R1189" s="4">
        <v>0</v>
      </c>
      <c r="S1189" s="4" t="s">
        <v>198</v>
      </c>
      <c r="T1189" s="4" t="s">
        <v>443</v>
      </c>
      <c r="U1189" s="4">
        <v>0</v>
      </c>
      <c r="V1189" s="4">
        <v>19</v>
      </c>
      <c r="W1189" s="4">
        <v>67</v>
      </c>
    </row>
    <row r="1190" spans="1:23" ht="11.25" customHeight="1" x14ac:dyDescent="0.25">
      <c r="A1190" s="4" t="s">
        <v>30</v>
      </c>
      <c r="B1190" s="4" t="s">
        <v>35</v>
      </c>
      <c r="C1190" s="4" t="s">
        <v>36</v>
      </c>
      <c r="D1190" s="4" t="s">
        <v>48</v>
      </c>
      <c r="E1190" s="4" t="s">
        <v>25</v>
      </c>
      <c r="F1190" s="4" t="s">
        <v>25</v>
      </c>
      <c r="G1190" s="4" t="s">
        <v>25</v>
      </c>
      <c r="H1190" s="4" t="s">
        <v>38</v>
      </c>
      <c r="I1190" s="5">
        <v>44440</v>
      </c>
      <c r="J1190" s="6">
        <v>0</v>
      </c>
      <c r="K1190" s="6">
        <v>0</v>
      </c>
      <c r="L1190" s="6">
        <v>5.6639999999999997</v>
      </c>
      <c r="M1190" s="6">
        <v>5.6639999999999997</v>
      </c>
      <c r="N1190" s="6">
        <v>5.6639999999999997</v>
      </c>
      <c r="O1190" s="6">
        <v>5.6639999999999997</v>
      </c>
      <c r="P1190" s="6">
        <v>0</v>
      </c>
      <c r="Q1190" s="4" t="s">
        <v>26</v>
      </c>
      <c r="R1190" s="4">
        <v>0</v>
      </c>
      <c r="S1190" s="4" t="s">
        <v>198</v>
      </c>
      <c r="T1190" s="4" t="s">
        <v>443</v>
      </c>
      <c r="U1190" s="4">
        <v>0</v>
      </c>
      <c r="V1190" s="4">
        <v>19</v>
      </c>
      <c r="W1190" s="4">
        <v>67</v>
      </c>
    </row>
    <row r="1191" spans="1:23" ht="11.25" customHeight="1" x14ac:dyDescent="0.25">
      <c r="A1191" s="4" t="s">
        <v>59</v>
      </c>
      <c r="B1191" s="4" t="s">
        <v>35</v>
      </c>
      <c r="C1191" s="4" t="s">
        <v>36</v>
      </c>
      <c r="D1191" s="4" t="s">
        <v>48</v>
      </c>
      <c r="E1191" s="4" t="s">
        <v>25</v>
      </c>
      <c r="F1191" s="4" t="s">
        <v>25</v>
      </c>
      <c r="G1191" s="4" t="s">
        <v>25</v>
      </c>
      <c r="H1191" s="4" t="s">
        <v>38</v>
      </c>
      <c r="I1191" s="5">
        <v>44470</v>
      </c>
      <c r="J1191" s="6">
        <v>0</v>
      </c>
      <c r="K1191" s="6">
        <v>0</v>
      </c>
      <c r="L1191" s="6">
        <v>15783.975</v>
      </c>
      <c r="M1191" s="6">
        <v>15783.975</v>
      </c>
      <c r="N1191" s="6">
        <v>15783.975</v>
      </c>
      <c r="O1191" s="6">
        <v>15783.975</v>
      </c>
      <c r="P1191" s="6">
        <v>0</v>
      </c>
      <c r="Q1191" s="4" t="s">
        <v>26</v>
      </c>
      <c r="R1191" s="4">
        <v>0</v>
      </c>
      <c r="S1191" s="4" t="s">
        <v>199</v>
      </c>
      <c r="T1191" s="4" t="s">
        <v>444</v>
      </c>
      <c r="U1191" s="4">
        <v>0</v>
      </c>
      <c r="V1191" s="4">
        <v>19</v>
      </c>
      <c r="W1191" s="4">
        <v>67</v>
      </c>
    </row>
    <row r="1192" spans="1:23" ht="11.25" customHeight="1" x14ac:dyDescent="0.25">
      <c r="A1192" s="4" t="s">
        <v>59</v>
      </c>
      <c r="B1192" s="4" t="s">
        <v>35</v>
      </c>
      <c r="C1192" s="4" t="s">
        <v>36</v>
      </c>
      <c r="D1192" s="4" t="s">
        <v>48</v>
      </c>
      <c r="E1192" s="4" t="s">
        <v>25</v>
      </c>
      <c r="F1192" s="4" t="s">
        <v>25</v>
      </c>
      <c r="G1192" s="4" t="s">
        <v>25</v>
      </c>
      <c r="H1192" s="4" t="s">
        <v>38</v>
      </c>
      <c r="I1192" s="5">
        <v>44470</v>
      </c>
      <c r="J1192" s="6">
        <v>0</v>
      </c>
      <c r="K1192" s="6">
        <v>0</v>
      </c>
      <c r="L1192" s="6">
        <v>-3.69</v>
      </c>
      <c r="M1192" s="6">
        <v>-3.69</v>
      </c>
      <c r="N1192" s="6">
        <v>-3.69</v>
      </c>
      <c r="O1192" s="6">
        <v>-3.69</v>
      </c>
      <c r="P1192" s="6">
        <v>0</v>
      </c>
      <c r="Q1192" s="4" t="s">
        <v>26</v>
      </c>
      <c r="R1192" s="4">
        <v>0</v>
      </c>
      <c r="S1192" s="4" t="s">
        <v>199</v>
      </c>
      <c r="T1192" s="4" t="s">
        <v>444</v>
      </c>
      <c r="U1192" s="4">
        <v>0</v>
      </c>
      <c r="V1192" s="4">
        <v>19</v>
      </c>
      <c r="W1192" s="4">
        <v>67</v>
      </c>
    </row>
    <row r="1193" spans="1:23" ht="11.25" customHeight="1" x14ac:dyDescent="0.25">
      <c r="A1193" s="4" t="s">
        <v>59</v>
      </c>
      <c r="B1193" s="4" t="s">
        <v>35</v>
      </c>
      <c r="C1193" s="4" t="s">
        <v>36</v>
      </c>
      <c r="D1193" s="4" t="s">
        <v>48</v>
      </c>
      <c r="E1193" s="4" t="s">
        <v>25</v>
      </c>
      <c r="F1193" s="4" t="s">
        <v>25</v>
      </c>
      <c r="G1193" s="4" t="s">
        <v>25</v>
      </c>
      <c r="H1193" s="4" t="s">
        <v>38</v>
      </c>
      <c r="I1193" s="5">
        <v>44470</v>
      </c>
      <c r="J1193" s="6">
        <v>0</v>
      </c>
      <c r="K1193" s="6">
        <v>0</v>
      </c>
      <c r="L1193" s="6">
        <v>3515.1869999999999</v>
      </c>
      <c r="M1193" s="6">
        <v>3515.1869999999999</v>
      </c>
      <c r="N1193" s="6">
        <v>3515.1869999999999</v>
      </c>
      <c r="O1193" s="6">
        <v>3515.1869999999999</v>
      </c>
      <c r="P1193" s="6">
        <v>0</v>
      </c>
      <c r="Q1193" s="4" t="s">
        <v>26</v>
      </c>
      <c r="R1193" s="4">
        <v>0</v>
      </c>
      <c r="S1193" s="4" t="s">
        <v>199</v>
      </c>
      <c r="T1193" s="4" t="s">
        <v>444</v>
      </c>
      <c r="U1193" s="4">
        <v>0</v>
      </c>
      <c r="V1193" s="4">
        <v>19</v>
      </c>
      <c r="W1193" s="4">
        <v>67</v>
      </c>
    </row>
    <row r="1194" spans="1:23" ht="11.25" customHeight="1" x14ac:dyDescent="0.25">
      <c r="A1194" s="4" t="s">
        <v>59</v>
      </c>
      <c r="B1194" s="4" t="s">
        <v>35</v>
      </c>
      <c r="C1194" s="4" t="s">
        <v>36</v>
      </c>
      <c r="D1194" s="4" t="s">
        <v>48</v>
      </c>
      <c r="E1194" s="4" t="s">
        <v>25</v>
      </c>
      <c r="F1194" s="4" t="s">
        <v>25</v>
      </c>
      <c r="G1194" s="4" t="s">
        <v>25</v>
      </c>
      <c r="H1194" s="4" t="s">
        <v>38</v>
      </c>
      <c r="I1194" s="5">
        <v>44470</v>
      </c>
      <c r="J1194" s="6">
        <v>0</v>
      </c>
      <c r="K1194" s="6">
        <v>0</v>
      </c>
      <c r="L1194" s="6">
        <v>5.6639999999999997</v>
      </c>
      <c r="M1194" s="6">
        <v>5.6639999999999997</v>
      </c>
      <c r="N1194" s="6">
        <v>5.6639999999999997</v>
      </c>
      <c r="O1194" s="6">
        <v>5.6639999999999997</v>
      </c>
      <c r="P1194" s="6">
        <v>0</v>
      </c>
      <c r="Q1194" s="4" t="s">
        <v>26</v>
      </c>
      <c r="R1194" s="4">
        <v>0</v>
      </c>
      <c r="S1194" s="4" t="s">
        <v>199</v>
      </c>
      <c r="T1194" s="4" t="s">
        <v>444</v>
      </c>
      <c r="U1194" s="4">
        <v>0</v>
      </c>
      <c r="V1194" s="4">
        <v>19</v>
      </c>
      <c r="W1194" s="4">
        <v>67</v>
      </c>
    </row>
    <row r="1195" spans="1:23" ht="11.25" customHeight="1" x14ac:dyDescent="0.25">
      <c r="A1195" s="4" t="s">
        <v>21</v>
      </c>
      <c r="B1195" s="4" t="s">
        <v>35</v>
      </c>
      <c r="C1195" s="4" t="s">
        <v>36</v>
      </c>
      <c r="D1195" s="4" t="s">
        <v>48</v>
      </c>
      <c r="E1195" s="4" t="s">
        <v>25</v>
      </c>
      <c r="F1195" s="4" t="s">
        <v>25</v>
      </c>
      <c r="G1195" s="4" t="s">
        <v>25</v>
      </c>
      <c r="H1195" s="4" t="s">
        <v>25</v>
      </c>
      <c r="I1195" s="5">
        <v>44136</v>
      </c>
      <c r="J1195" s="6">
        <v>108570</v>
      </c>
      <c r="K1195" s="6">
        <v>108570</v>
      </c>
      <c r="L1195" s="6">
        <v>0</v>
      </c>
      <c r="M1195" s="6">
        <v>0</v>
      </c>
      <c r="N1195" s="6">
        <v>0</v>
      </c>
      <c r="O1195" s="6">
        <v>0</v>
      </c>
      <c r="P1195" s="6">
        <v>666</v>
      </c>
      <c r="Q1195" s="4" t="s">
        <v>26</v>
      </c>
      <c r="R1195" s="4">
        <v>0</v>
      </c>
      <c r="S1195" s="4" t="s">
        <v>200</v>
      </c>
      <c r="U1195" s="4">
        <v>23</v>
      </c>
      <c r="V1195" s="4">
        <v>0</v>
      </c>
      <c r="W1195" s="4">
        <v>0</v>
      </c>
    </row>
    <row r="1196" spans="1:23" ht="11.25" customHeight="1" x14ac:dyDescent="0.25">
      <c r="A1196" s="4" t="s">
        <v>27</v>
      </c>
      <c r="B1196" s="4" t="s">
        <v>35</v>
      </c>
      <c r="C1196" s="4" t="s">
        <v>36</v>
      </c>
      <c r="D1196" s="4" t="s">
        <v>48</v>
      </c>
      <c r="E1196" s="4" t="s">
        <v>25</v>
      </c>
      <c r="F1196" s="4" t="s">
        <v>25</v>
      </c>
      <c r="G1196" s="4" t="s">
        <v>25</v>
      </c>
      <c r="H1196" s="4" t="s">
        <v>25</v>
      </c>
      <c r="I1196" s="5">
        <v>44136</v>
      </c>
      <c r="J1196" s="6">
        <v>106</v>
      </c>
      <c r="K1196" s="6">
        <v>106</v>
      </c>
      <c r="L1196" s="6">
        <v>0</v>
      </c>
      <c r="M1196" s="6">
        <v>0</v>
      </c>
      <c r="N1196" s="6">
        <v>0</v>
      </c>
      <c r="O1196" s="6">
        <v>0</v>
      </c>
      <c r="P1196" s="6">
        <v>2</v>
      </c>
      <c r="Q1196" s="4" t="s">
        <v>26</v>
      </c>
      <c r="R1196" s="4">
        <v>0</v>
      </c>
      <c r="S1196" s="4" t="s">
        <v>200</v>
      </c>
      <c r="U1196" s="4">
        <v>23</v>
      </c>
      <c r="V1196" s="4">
        <v>0</v>
      </c>
      <c r="W1196" s="4">
        <v>0</v>
      </c>
    </row>
    <row r="1197" spans="1:23" ht="11.25" customHeight="1" x14ac:dyDescent="0.25">
      <c r="A1197" s="4" t="s">
        <v>28</v>
      </c>
      <c r="B1197" s="4" t="s">
        <v>35</v>
      </c>
      <c r="C1197" s="4" t="s">
        <v>36</v>
      </c>
      <c r="D1197" s="4" t="s">
        <v>48</v>
      </c>
      <c r="E1197" s="4" t="s">
        <v>25</v>
      </c>
      <c r="F1197" s="4" t="s">
        <v>25</v>
      </c>
      <c r="G1197" s="4" t="s">
        <v>25</v>
      </c>
      <c r="H1197" s="4" t="s">
        <v>25</v>
      </c>
      <c r="I1197" s="5">
        <v>44136</v>
      </c>
      <c r="J1197" s="6">
        <v>33228</v>
      </c>
      <c r="K1197" s="6">
        <v>33228</v>
      </c>
      <c r="L1197" s="6">
        <v>0</v>
      </c>
      <c r="M1197" s="6">
        <v>0</v>
      </c>
      <c r="N1197" s="6">
        <v>0</v>
      </c>
      <c r="O1197" s="6">
        <v>0</v>
      </c>
      <c r="P1197" s="6">
        <v>401</v>
      </c>
      <c r="Q1197" s="4" t="s">
        <v>26</v>
      </c>
      <c r="R1197" s="4">
        <v>0</v>
      </c>
      <c r="S1197" s="4" t="s">
        <v>200</v>
      </c>
      <c r="U1197" s="4">
        <v>23</v>
      </c>
      <c r="V1197" s="4">
        <v>0</v>
      </c>
      <c r="W1197" s="4">
        <v>0</v>
      </c>
    </row>
    <row r="1198" spans="1:23" ht="11.25" customHeight="1" x14ac:dyDescent="0.25">
      <c r="A1198" s="4" t="s">
        <v>30</v>
      </c>
      <c r="B1198" s="4" t="s">
        <v>35</v>
      </c>
      <c r="C1198" s="4" t="s">
        <v>36</v>
      </c>
      <c r="D1198" s="4" t="s">
        <v>48</v>
      </c>
      <c r="E1198" s="4" t="s">
        <v>25</v>
      </c>
      <c r="F1198" s="4" t="s">
        <v>25</v>
      </c>
      <c r="G1198" s="4" t="s">
        <v>25</v>
      </c>
      <c r="H1198" s="4" t="s">
        <v>25</v>
      </c>
      <c r="I1198" s="5">
        <v>44136</v>
      </c>
      <c r="J1198" s="6">
        <v>550</v>
      </c>
      <c r="K1198" s="6">
        <v>550</v>
      </c>
      <c r="L1198" s="6">
        <v>0</v>
      </c>
      <c r="M1198" s="6">
        <v>0</v>
      </c>
      <c r="N1198" s="6">
        <v>0</v>
      </c>
      <c r="O1198" s="6">
        <v>0</v>
      </c>
      <c r="P1198" s="6">
        <v>1</v>
      </c>
      <c r="Q1198" s="4" t="s">
        <v>26</v>
      </c>
      <c r="R1198" s="4">
        <v>0</v>
      </c>
      <c r="S1198" s="4" t="s">
        <v>200</v>
      </c>
      <c r="U1198" s="4">
        <v>23</v>
      </c>
      <c r="V1198" s="4">
        <v>0</v>
      </c>
      <c r="W1198" s="4">
        <v>0</v>
      </c>
    </row>
    <row r="1199" spans="1:23" ht="11.25" customHeight="1" x14ac:dyDescent="0.25">
      <c r="A1199" s="4" t="s">
        <v>21</v>
      </c>
      <c r="B1199" s="4" t="s">
        <v>35</v>
      </c>
      <c r="C1199" s="4" t="s">
        <v>36</v>
      </c>
      <c r="D1199" s="4" t="s">
        <v>48</v>
      </c>
      <c r="E1199" s="4" t="s">
        <v>25</v>
      </c>
      <c r="F1199" s="4" t="s">
        <v>25</v>
      </c>
      <c r="G1199" s="4" t="s">
        <v>25</v>
      </c>
      <c r="H1199" s="4" t="s">
        <v>25</v>
      </c>
      <c r="I1199" s="5">
        <v>44166</v>
      </c>
      <c r="J1199" s="6">
        <v>108382</v>
      </c>
      <c r="K1199" s="6">
        <v>108382</v>
      </c>
      <c r="L1199" s="6">
        <v>0</v>
      </c>
      <c r="M1199" s="6">
        <v>0</v>
      </c>
      <c r="N1199" s="6">
        <v>0</v>
      </c>
      <c r="O1199" s="6">
        <v>0</v>
      </c>
      <c r="P1199" s="6">
        <v>663</v>
      </c>
      <c r="Q1199" s="4" t="s">
        <v>26</v>
      </c>
      <c r="R1199" s="4">
        <v>0</v>
      </c>
      <c r="S1199" s="4" t="s">
        <v>201</v>
      </c>
      <c r="U1199" s="4">
        <v>23</v>
      </c>
      <c r="V1199" s="4">
        <v>0</v>
      </c>
      <c r="W1199" s="4">
        <v>0</v>
      </c>
    </row>
    <row r="1200" spans="1:23" ht="11.25" customHeight="1" x14ac:dyDescent="0.25">
      <c r="A1200" s="4" t="s">
        <v>27</v>
      </c>
      <c r="B1200" s="4" t="s">
        <v>35</v>
      </c>
      <c r="C1200" s="4" t="s">
        <v>36</v>
      </c>
      <c r="D1200" s="4" t="s">
        <v>48</v>
      </c>
      <c r="E1200" s="4" t="s">
        <v>25</v>
      </c>
      <c r="F1200" s="4" t="s">
        <v>25</v>
      </c>
      <c r="G1200" s="4" t="s">
        <v>25</v>
      </c>
      <c r="H1200" s="4" t="s">
        <v>25</v>
      </c>
      <c r="I1200" s="5">
        <v>44166</v>
      </c>
      <c r="J1200" s="6">
        <v>3267</v>
      </c>
      <c r="K1200" s="6">
        <v>3267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4" t="s">
        <v>26</v>
      </c>
      <c r="R1200" s="4">
        <v>0</v>
      </c>
      <c r="S1200" s="4" t="s">
        <v>201</v>
      </c>
      <c r="U1200" s="4">
        <v>23</v>
      </c>
      <c r="V1200" s="4">
        <v>0</v>
      </c>
      <c r="W1200" s="4">
        <v>0</v>
      </c>
    </row>
    <row r="1201" spans="1:23" ht="11.25" customHeight="1" x14ac:dyDescent="0.25">
      <c r="A1201" s="4" t="s">
        <v>28</v>
      </c>
      <c r="B1201" s="4" t="s">
        <v>35</v>
      </c>
      <c r="C1201" s="4" t="s">
        <v>36</v>
      </c>
      <c r="D1201" s="4" t="s">
        <v>48</v>
      </c>
      <c r="E1201" s="4" t="s">
        <v>25</v>
      </c>
      <c r="F1201" s="4" t="s">
        <v>25</v>
      </c>
      <c r="G1201" s="4" t="s">
        <v>25</v>
      </c>
      <c r="H1201" s="4" t="s">
        <v>25</v>
      </c>
      <c r="I1201" s="5">
        <v>44166</v>
      </c>
      <c r="J1201" s="6">
        <v>33366</v>
      </c>
      <c r="K1201" s="6">
        <v>33366</v>
      </c>
      <c r="L1201" s="6">
        <v>0</v>
      </c>
      <c r="M1201" s="6">
        <v>0</v>
      </c>
      <c r="N1201" s="6">
        <v>0</v>
      </c>
      <c r="O1201" s="6">
        <v>0</v>
      </c>
      <c r="P1201" s="6">
        <v>402</v>
      </c>
      <c r="Q1201" s="4" t="s">
        <v>26</v>
      </c>
      <c r="R1201" s="4">
        <v>0</v>
      </c>
      <c r="S1201" s="4" t="s">
        <v>201</v>
      </c>
      <c r="U1201" s="4">
        <v>23</v>
      </c>
      <c r="V1201" s="4">
        <v>0</v>
      </c>
      <c r="W1201" s="4">
        <v>0</v>
      </c>
    </row>
    <row r="1202" spans="1:23" ht="11.25" customHeight="1" x14ac:dyDescent="0.25">
      <c r="A1202" s="4" t="s">
        <v>29</v>
      </c>
      <c r="B1202" s="4" t="s">
        <v>35</v>
      </c>
      <c r="C1202" s="4" t="s">
        <v>36</v>
      </c>
      <c r="D1202" s="4" t="s">
        <v>48</v>
      </c>
      <c r="E1202" s="4" t="s">
        <v>25</v>
      </c>
      <c r="F1202" s="4" t="s">
        <v>25</v>
      </c>
      <c r="G1202" s="4" t="s">
        <v>25</v>
      </c>
      <c r="H1202" s="4" t="s">
        <v>25</v>
      </c>
      <c r="I1202" s="5">
        <v>44166</v>
      </c>
      <c r="J1202" s="6">
        <v>2736</v>
      </c>
      <c r="K1202" s="6">
        <v>2736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4" t="s">
        <v>26</v>
      </c>
      <c r="R1202" s="4">
        <v>0</v>
      </c>
      <c r="S1202" s="4" t="s">
        <v>201</v>
      </c>
      <c r="U1202" s="4">
        <v>23</v>
      </c>
      <c r="V1202" s="4">
        <v>0</v>
      </c>
      <c r="W1202" s="4">
        <v>0</v>
      </c>
    </row>
    <row r="1203" spans="1:23" ht="11.25" customHeight="1" x14ac:dyDescent="0.25">
      <c r="A1203" s="4" t="s">
        <v>30</v>
      </c>
      <c r="B1203" s="4" t="s">
        <v>35</v>
      </c>
      <c r="C1203" s="4" t="s">
        <v>36</v>
      </c>
      <c r="D1203" s="4" t="s">
        <v>48</v>
      </c>
      <c r="E1203" s="4" t="s">
        <v>25</v>
      </c>
      <c r="F1203" s="4" t="s">
        <v>25</v>
      </c>
      <c r="G1203" s="4" t="s">
        <v>25</v>
      </c>
      <c r="H1203" s="4" t="s">
        <v>25</v>
      </c>
      <c r="I1203" s="5">
        <v>44166</v>
      </c>
      <c r="J1203" s="6">
        <v>550</v>
      </c>
      <c r="K1203" s="6">
        <v>550</v>
      </c>
      <c r="L1203" s="6">
        <v>0</v>
      </c>
      <c r="M1203" s="6">
        <v>0</v>
      </c>
      <c r="N1203" s="6">
        <v>0</v>
      </c>
      <c r="O1203" s="6">
        <v>0</v>
      </c>
      <c r="P1203" s="6">
        <v>1</v>
      </c>
      <c r="Q1203" s="4" t="s">
        <v>26</v>
      </c>
      <c r="R1203" s="4">
        <v>0</v>
      </c>
      <c r="S1203" s="4" t="s">
        <v>201</v>
      </c>
      <c r="U1203" s="4">
        <v>23</v>
      </c>
      <c r="V1203" s="4">
        <v>0</v>
      </c>
      <c r="W1203" s="4">
        <v>0</v>
      </c>
    </row>
    <row r="1204" spans="1:23" ht="11.25" customHeight="1" x14ac:dyDescent="0.25">
      <c r="A1204" s="4" t="s">
        <v>21</v>
      </c>
      <c r="B1204" s="4" t="s">
        <v>35</v>
      </c>
      <c r="C1204" s="4" t="s">
        <v>36</v>
      </c>
      <c r="D1204" s="4" t="s">
        <v>48</v>
      </c>
      <c r="E1204" s="4" t="s">
        <v>25</v>
      </c>
      <c r="F1204" s="4" t="s">
        <v>25</v>
      </c>
      <c r="G1204" s="4" t="s">
        <v>25</v>
      </c>
      <c r="H1204" s="4" t="s">
        <v>25</v>
      </c>
      <c r="I1204" s="5">
        <v>44197</v>
      </c>
      <c r="J1204" s="6">
        <v>107023</v>
      </c>
      <c r="K1204" s="6">
        <v>107023</v>
      </c>
      <c r="L1204" s="6">
        <v>0</v>
      </c>
      <c r="M1204" s="6">
        <v>0</v>
      </c>
      <c r="N1204" s="6">
        <v>0</v>
      </c>
      <c r="O1204" s="6">
        <v>0</v>
      </c>
      <c r="P1204" s="6">
        <v>670</v>
      </c>
      <c r="Q1204" s="4" t="s">
        <v>26</v>
      </c>
      <c r="R1204" s="4">
        <v>0</v>
      </c>
      <c r="S1204" s="4" t="s">
        <v>202</v>
      </c>
      <c r="U1204" s="4">
        <v>23</v>
      </c>
      <c r="V1204" s="4">
        <v>0</v>
      </c>
      <c r="W1204" s="4">
        <v>0</v>
      </c>
    </row>
    <row r="1205" spans="1:23" ht="11.25" customHeight="1" x14ac:dyDescent="0.25">
      <c r="A1205" s="4" t="s">
        <v>27</v>
      </c>
      <c r="B1205" s="4" t="s">
        <v>35</v>
      </c>
      <c r="C1205" s="4" t="s">
        <v>36</v>
      </c>
      <c r="D1205" s="4" t="s">
        <v>48</v>
      </c>
      <c r="E1205" s="4" t="s">
        <v>25</v>
      </c>
      <c r="F1205" s="4" t="s">
        <v>25</v>
      </c>
      <c r="G1205" s="4" t="s">
        <v>25</v>
      </c>
      <c r="H1205" s="4" t="s">
        <v>25</v>
      </c>
      <c r="I1205" s="5">
        <v>44197</v>
      </c>
      <c r="J1205" s="6">
        <v>-3744</v>
      </c>
      <c r="K1205" s="6">
        <v>-3744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4" t="s">
        <v>26</v>
      </c>
      <c r="R1205" s="4">
        <v>0</v>
      </c>
      <c r="S1205" s="4" t="s">
        <v>202</v>
      </c>
      <c r="U1205" s="4">
        <v>23</v>
      </c>
      <c r="V1205" s="4">
        <v>0</v>
      </c>
      <c r="W1205" s="4">
        <v>0</v>
      </c>
    </row>
    <row r="1206" spans="1:23" ht="11.25" customHeight="1" x14ac:dyDescent="0.25">
      <c r="A1206" s="4" t="s">
        <v>28</v>
      </c>
      <c r="B1206" s="4" t="s">
        <v>35</v>
      </c>
      <c r="C1206" s="4" t="s">
        <v>36</v>
      </c>
      <c r="D1206" s="4" t="s">
        <v>48</v>
      </c>
      <c r="E1206" s="4" t="s">
        <v>25</v>
      </c>
      <c r="F1206" s="4" t="s">
        <v>25</v>
      </c>
      <c r="G1206" s="4" t="s">
        <v>25</v>
      </c>
      <c r="H1206" s="4" t="s">
        <v>25</v>
      </c>
      <c r="I1206" s="5">
        <v>44197</v>
      </c>
      <c r="J1206" s="6">
        <v>32842</v>
      </c>
      <c r="K1206" s="6">
        <v>32842</v>
      </c>
      <c r="L1206" s="6">
        <v>0</v>
      </c>
      <c r="M1206" s="6">
        <v>0</v>
      </c>
      <c r="N1206" s="6">
        <v>0</v>
      </c>
      <c r="O1206" s="6">
        <v>0</v>
      </c>
      <c r="P1206" s="6">
        <v>403</v>
      </c>
      <c r="Q1206" s="4" t="s">
        <v>26</v>
      </c>
      <c r="R1206" s="4">
        <v>0</v>
      </c>
      <c r="S1206" s="4" t="s">
        <v>202</v>
      </c>
      <c r="U1206" s="4">
        <v>23</v>
      </c>
      <c r="V1206" s="4">
        <v>0</v>
      </c>
      <c r="W1206" s="4">
        <v>0</v>
      </c>
    </row>
    <row r="1207" spans="1:23" ht="11.25" customHeight="1" x14ac:dyDescent="0.25">
      <c r="A1207" s="4" t="s">
        <v>29</v>
      </c>
      <c r="B1207" s="4" t="s">
        <v>35</v>
      </c>
      <c r="C1207" s="4" t="s">
        <v>36</v>
      </c>
      <c r="D1207" s="4" t="s">
        <v>48</v>
      </c>
      <c r="E1207" s="4" t="s">
        <v>25</v>
      </c>
      <c r="F1207" s="4" t="s">
        <v>25</v>
      </c>
      <c r="G1207" s="4" t="s">
        <v>25</v>
      </c>
      <c r="H1207" s="4" t="s">
        <v>25</v>
      </c>
      <c r="I1207" s="5">
        <v>44197</v>
      </c>
      <c r="J1207" s="6">
        <v>-2942</v>
      </c>
      <c r="K1207" s="6">
        <v>-2942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4" t="s">
        <v>26</v>
      </c>
      <c r="R1207" s="4">
        <v>0</v>
      </c>
      <c r="S1207" s="4" t="s">
        <v>202</v>
      </c>
      <c r="U1207" s="4">
        <v>23</v>
      </c>
      <c r="V1207" s="4">
        <v>0</v>
      </c>
      <c r="W1207" s="4">
        <v>0</v>
      </c>
    </row>
    <row r="1208" spans="1:23" ht="11.25" customHeight="1" x14ac:dyDescent="0.25">
      <c r="A1208" s="4" t="s">
        <v>30</v>
      </c>
      <c r="B1208" s="4" t="s">
        <v>35</v>
      </c>
      <c r="C1208" s="4" t="s">
        <v>36</v>
      </c>
      <c r="D1208" s="4" t="s">
        <v>48</v>
      </c>
      <c r="E1208" s="4" t="s">
        <v>25</v>
      </c>
      <c r="F1208" s="4" t="s">
        <v>25</v>
      </c>
      <c r="G1208" s="4" t="s">
        <v>25</v>
      </c>
      <c r="H1208" s="4" t="s">
        <v>25</v>
      </c>
      <c r="I1208" s="5">
        <v>44197</v>
      </c>
      <c r="J1208" s="6">
        <v>550</v>
      </c>
      <c r="K1208" s="6">
        <v>550</v>
      </c>
      <c r="L1208" s="6">
        <v>0</v>
      </c>
      <c r="M1208" s="6">
        <v>0</v>
      </c>
      <c r="N1208" s="6">
        <v>0</v>
      </c>
      <c r="O1208" s="6">
        <v>0</v>
      </c>
      <c r="P1208" s="6">
        <v>1</v>
      </c>
      <c r="Q1208" s="4" t="s">
        <v>26</v>
      </c>
      <c r="R1208" s="4">
        <v>0</v>
      </c>
      <c r="S1208" s="4" t="s">
        <v>202</v>
      </c>
      <c r="U1208" s="4">
        <v>23</v>
      </c>
      <c r="V1208" s="4">
        <v>0</v>
      </c>
      <c r="W1208" s="4">
        <v>0</v>
      </c>
    </row>
    <row r="1209" spans="1:23" ht="11.25" customHeight="1" x14ac:dyDescent="0.25">
      <c r="A1209" s="4" t="s">
        <v>21</v>
      </c>
      <c r="B1209" s="4" t="s">
        <v>35</v>
      </c>
      <c r="C1209" s="4" t="s">
        <v>36</v>
      </c>
      <c r="D1209" s="4" t="s">
        <v>48</v>
      </c>
      <c r="E1209" s="4" t="s">
        <v>25</v>
      </c>
      <c r="F1209" s="4" t="s">
        <v>25</v>
      </c>
      <c r="G1209" s="4" t="s">
        <v>25</v>
      </c>
      <c r="H1209" s="4" t="s">
        <v>25</v>
      </c>
      <c r="I1209" s="5">
        <v>44228</v>
      </c>
      <c r="J1209" s="6">
        <v>104624</v>
      </c>
      <c r="K1209" s="6">
        <v>104624</v>
      </c>
      <c r="L1209" s="6">
        <v>0</v>
      </c>
      <c r="M1209" s="6">
        <v>0</v>
      </c>
      <c r="N1209" s="6">
        <v>0</v>
      </c>
      <c r="O1209" s="6">
        <v>0</v>
      </c>
      <c r="P1209" s="6">
        <v>670</v>
      </c>
      <c r="Q1209" s="4" t="s">
        <v>26</v>
      </c>
      <c r="R1209" s="4">
        <v>0</v>
      </c>
      <c r="S1209" s="4" t="s">
        <v>203</v>
      </c>
      <c r="U1209" s="4">
        <v>23</v>
      </c>
      <c r="V1209" s="4">
        <v>0</v>
      </c>
      <c r="W1209" s="4">
        <v>0</v>
      </c>
    </row>
    <row r="1210" spans="1:23" ht="11.25" customHeight="1" x14ac:dyDescent="0.25">
      <c r="A1210" s="4" t="s">
        <v>27</v>
      </c>
      <c r="B1210" s="4" t="s">
        <v>35</v>
      </c>
      <c r="C1210" s="4" t="s">
        <v>36</v>
      </c>
      <c r="D1210" s="4" t="s">
        <v>48</v>
      </c>
      <c r="E1210" s="4" t="s">
        <v>25</v>
      </c>
      <c r="F1210" s="4" t="s">
        <v>25</v>
      </c>
      <c r="G1210" s="4" t="s">
        <v>25</v>
      </c>
      <c r="H1210" s="4" t="s">
        <v>25</v>
      </c>
      <c r="I1210" s="5">
        <v>44228</v>
      </c>
      <c r="J1210" s="6">
        <v>-4047</v>
      </c>
      <c r="K1210" s="6">
        <v>-4047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4" t="s">
        <v>26</v>
      </c>
      <c r="R1210" s="4">
        <v>0</v>
      </c>
      <c r="S1210" s="4" t="s">
        <v>203</v>
      </c>
      <c r="U1210" s="4">
        <v>23</v>
      </c>
      <c r="V1210" s="4">
        <v>0</v>
      </c>
      <c r="W1210" s="4">
        <v>0</v>
      </c>
    </row>
    <row r="1211" spans="1:23" ht="11.25" customHeight="1" x14ac:dyDescent="0.25">
      <c r="A1211" s="4" t="s">
        <v>28</v>
      </c>
      <c r="B1211" s="4" t="s">
        <v>35</v>
      </c>
      <c r="C1211" s="4" t="s">
        <v>36</v>
      </c>
      <c r="D1211" s="4" t="s">
        <v>48</v>
      </c>
      <c r="E1211" s="4" t="s">
        <v>25</v>
      </c>
      <c r="F1211" s="4" t="s">
        <v>25</v>
      </c>
      <c r="G1211" s="4" t="s">
        <v>25</v>
      </c>
      <c r="H1211" s="4" t="s">
        <v>25</v>
      </c>
      <c r="I1211" s="5">
        <v>44228</v>
      </c>
      <c r="J1211" s="6">
        <v>32156</v>
      </c>
      <c r="K1211" s="6">
        <v>32156</v>
      </c>
      <c r="L1211" s="6">
        <v>0</v>
      </c>
      <c r="M1211" s="6">
        <v>0</v>
      </c>
      <c r="N1211" s="6">
        <v>0</v>
      </c>
      <c r="O1211" s="6">
        <v>0</v>
      </c>
      <c r="P1211" s="6">
        <v>400</v>
      </c>
      <c r="Q1211" s="4" t="s">
        <v>26</v>
      </c>
      <c r="R1211" s="4">
        <v>0</v>
      </c>
      <c r="S1211" s="4" t="s">
        <v>203</v>
      </c>
      <c r="U1211" s="4">
        <v>23</v>
      </c>
      <c r="V1211" s="4">
        <v>0</v>
      </c>
      <c r="W1211" s="4">
        <v>0</v>
      </c>
    </row>
    <row r="1212" spans="1:23" ht="11.25" customHeight="1" x14ac:dyDescent="0.25">
      <c r="A1212" s="4" t="s">
        <v>29</v>
      </c>
      <c r="B1212" s="4" t="s">
        <v>35</v>
      </c>
      <c r="C1212" s="4" t="s">
        <v>36</v>
      </c>
      <c r="D1212" s="4" t="s">
        <v>48</v>
      </c>
      <c r="E1212" s="4" t="s">
        <v>25</v>
      </c>
      <c r="F1212" s="4" t="s">
        <v>25</v>
      </c>
      <c r="G1212" s="4" t="s">
        <v>25</v>
      </c>
      <c r="H1212" s="4" t="s">
        <v>25</v>
      </c>
      <c r="I1212" s="5">
        <v>44228</v>
      </c>
      <c r="J1212" s="6">
        <v>-1590</v>
      </c>
      <c r="K1212" s="6">
        <v>-1590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4" t="s">
        <v>26</v>
      </c>
      <c r="R1212" s="4">
        <v>0</v>
      </c>
      <c r="S1212" s="4" t="s">
        <v>203</v>
      </c>
      <c r="U1212" s="4">
        <v>23</v>
      </c>
      <c r="V1212" s="4">
        <v>0</v>
      </c>
      <c r="W1212" s="4">
        <v>0</v>
      </c>
    </row>
    <row r="1213" spans="1:23" ht="11.25" customHeight="1" x14ac:dyDescent="0.25">
      <c r="A1213" s="4" t="s">
        <v>30</v>
      </c>
      <c r="B1213" s="4" t="s">
        <v>35</v>
      </c>
      <c r="C1213" s="4" t="s">
        <v>36</v>
      </c>
      <c r="D1213" s="4" t="s">
        <v>48</v>
      </c>
      <c r="E1213" s="4" t="s">
        <v>25</v>
      </c>
      <c r="F1213" s="4" t="s">
        <v>25</v>
      </c>
      <c r="G1213" s="4" t="s">
        <v>25</v>
      </c>
      <c r="H1213" s="4" t="s">
        <v>25</v>
      </c>
      <c r="I1213" s="5">
        <v>44228</v>
      </c>
      <c r="J1213" s="6">
        <v>550</v>
      </c>
      <c r="K1213" s="6">
        <v>550</v>
      </c>
      <c r="L1213" s="6">
        <v>0</v>
      </c>
      <c r="M1213" s="6">
        <v>0</v>
      </c>
      <c r="N1213" s="6">
        <v>0</v>
      </c>
      <c r="O1213" s="6">
        <v>0</v>
      </c>
      <c r="P1213" s="6">
        <v>1</v>
      </c>
      <c r="Q1213" s="4" t="s">
        <v>26</v>
      </c>
      <c r="R1213" s="4">
        <v>0</v>
      </c>
      <c r="S1213" s="4" t="s">
        <v>203</v>
      </c>
      <c r="U1213" s="4">
        <v>23</v>
      </c>
      <c r="V1213" s="4">
        <v>0</v>
      </c>
      <c r="W1213" s="4">
        <v>0</v>
      </c>
    </row>
    <row r="1214" spans="1:23" ht="11.25" customHeight="1" x14ac:dyDescent="0.25">
      <c r="A1214" s="4" t="s">
        <v>21</v>
      </c>
      <c r="B1214" s="4" t="s">
        <v>35</v>
      </c>
      <c r="C1214" s="4" t="s">
        <v>36</v>
      </c>
      <c r="D1214" s="4" t="s">
        <v>48</v>
      </c>
      <c r="E1214" s="4" t="s">
        <v>25</v>
      </c>
      <c r="F1214" s="4" t="s">
        <v>25</v>
      </c>
      <c r="G1214" s="4" t="s">
        <v>25</v>
      </c>
      <c r="H1214" s="4" t="s">
        <v>25</v>
      </c>
      <c r="I1214" s="5">
        <v>44256</v>
      </c>
      <c r="J1214" s="6">
        <v>94984</v>
      </c>
      <c r="K1214" s="6">
        <v>94984</v>
      </c>
      <c r="L1214" s="6">
        <v>0</v>
      </c>
      <c r="M1214" s="6">
        <v>0</v>
      </c>
      <c r="N1214" s="6">
        <v>0</v>
      </c>
      <c r="O1214" s="6">
        <v>0</v>
      </c>
      <c r="P1214" s="6">
        <v>669</v>
      </c>
      <c r="Q1214" s="4" t="s">
        <v>26</v>
      </c>
      <c r="R1214" s="4">
        <v>0</v>
      </c>
      <c r="S1214" s="4" t="s">
        <v>204</v>
      </c>
      <c r="U1214" s="4">
        <v>23</v>
      </c>
      <c r="V1214" s="4">
        <v>0</v>
      </c>
      <c r="W1214" s="4">
        <v>0</v>
      </c>
    </row>
    <row r="1215" spans="1:23" ht="11.25" customHeight="1" x14ac:dyDescent="0.25">
      <c r="A1215" s="4" t="s">
        <v>27</v>
      </c>
      <c r="B1215" s="4" t="s">
        <v>35</v>
      </c>
      <c r="C1215" s="4" t="s">
        <v>36</v>
      </c>
      <c r="D1215" s="4" t="s">
        <v>48</v>
      </c>
      <c r="E1215" s="4" t="s">
        <v>25</v>
      </c>
      <c r="F1215" s="4" t="s">
        <v>25</v>
      </c>
      <c r="G1215" s="4" t="s">
        <v>25</v>
      </c>
      <c r="H1215" s="4" t="s">
        <v>25</v>
      </c>
      <c r="I1215" s="5">
        <v>44256</v>
      </c>
      <c r="J1215" s="6">
        <v>-739</v>
      </c>
      <c r="K1215" s="6">
        <v>-739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4" t="s">
        <v>26</v>
      </c>
      <c r="R1215" s="4">
        <v>0</v>
      </c>
      <c r="S1215" s="4" t="s">
        <v>204</v>
      </c>
      <c r="U1215" s="4">
        <v>23</v>
      </c>
      <c r="V1215" s="4">
        <v>0</v>
      </c>
      <c r="W1215" s="4">
        <v>0</v>
      </c>
    </row>
    <row r="1216" spans="1:23" ht="11.25" customHeight="1" x14ac:dyDescent="0.25">
      <c r="A1216" s="4" t="s">
        <v>28</v>
      </c>
      <c r="B1216" s="4" t="s">
        <v>35</v>
      </c>
      <c r="C1216" s="4" t="s">
        <v>36</v>
      </c>
      <c r="D1216" s="4" t="s">
        <v>48</v>
      </c>
      <c r="E1216" s="4" t="s">
        <v>25</v>
      </c>
      <c r="F1216" s="4" t="s">
        <v>25</v>
      </c>
      <c r="G1216" s="4" t="s">
        <v>25</v>
      </c>
      <c r="H1216" s="4" t="s">
        <v>25</v>
      </c>
      <c r="I1216" s="5">
        <v>44256</v>
      </c>
      <c r="J1216" s="6">
        <v>25874</v>
      </c>
      <c r="K1216" s="6">
        <v>25874</v>
      </c>
      <c r="L1216" s="6">
        <v>0</v>
      </c>
      <c r="M1216" s="6">
        <v>0</v>
      </c>
      <c r="N1216" s="6">
        <v>0</v>
      </c>
      <c r="O1216" s="6">
        <v>0</v>
      </c>
      <c r="P1216" s="6">
        <v>397</v>
      </c>
      <c r="Q1216" s="4" t="s">
        <v>26</v>
      </c>
      <c r="R1216" s="4">
        <v>0</v>
      </c>
      <c r="S1216" s="4" t="s">
        <v>204</v>
      </c>
      <c r="U1216" s="4">
        <v>23</v>
      </c>
      <c r="V1216" s="4">
        <v>0</v>
      </c>
      <c r="W1216" s="4">
        <v>0</v>
      </c>
    </row>
    <row r="1217" spans="1:23" ht="11.25" customHeight="1" x14ac:dyDescent="0.25">
      <c r="A1217" s="4" t="s">
        <v>29</v>
      </c>
      <c r="B1217" s="4" t="s">
        <v>35</v>
      </c>
      <c r="C1217" s="4" t="s">
        <v>36</v>
      </c>
      <c r="D1217" s="4" t="s">
        <v>48</v>
      </c>
      <c r="E1217" s="4" t="s">
        <v>25</v>
      </c>
      <c r="F1217" s="4" t="s">
        <v>25</v>
      </c>
      <c r="G1217" s="4" t="s">
        <v>25</v>
      </c>
      <c r="H1217" s="4" t="s">
        <v>25</v>
      </c>
      <c r="I1217" s="5">
        <v>44256</v>
      </c>
      <c r="J1217" s="6">
        <v>-17097</v>
      </c>
      <c r="K1217" s="6">
        <v>-17097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4" t="s">
        <v>26</v>
      </c>
      <c r="R1217" s="4">
        <v>0</v>
      </c>
      <c r="S1217" s="4" t="s">
        <v>204</v>
      </c>
      <c r="U1217" s="4">
        <v>23</v>
      </c>
      <c r="V1217" s="4">
        <v>0</v>
      </c>
      <c r="W1217" s="4">
        <v>0</v>
      </c>
    </row>
    <row r="1218" spans="1:23" ht="11.25" customHeight="1" x14ac:dyDescent="0.25">
      <c r="A1218" s="4" t="s">
        <v>30</v>
      </c>
      <c r="B1218" s="4" t="s">
        <v>35</v>
      </c>
      <c r="C1218" s="4" t="s">
        <v>36</v>
      </c>
      <c r="D1218" s="4" t="s">
        <v>48</v>
      </c>
      <c r="E1218" s="4" t="s">
        <v>25</v>
      </c>
      <c r="F1218" s="4" t="s">
        <v>25</v>
      </c>
      <c r="G1218" s="4" t="s">
        <v>25</v>
      </c>
      <c r="H1218" s="4" t="s">
        <v>25</v>
      </c>
      <c r="I1218" s="5">
        <v>44256</v>
      </c>
      <c r="J1218" s="6">
        <v>550</v>
      </c>
      <c r="K1218" s="6">
        <v>550</v>
      </c>
      <c r="L1218" s="6">
        <v>0</v>
      </c>
      <c r="M1218" s="6">
        <v>0</v>
      </c>
      <c r="N1218" s="6">
        <v>0</v>
      </c>
      <c r="O1218" s="6">
        <v>0</v>
      </c>
      <c r="P1218" s="6">
        <v>1</v>
      </c>
      <c r="Q1218" s="4" t="s">
        <v>26</v>
      </c>
      <c r="R1218" s="4">
        <v>0</v>
      </c>
      <c r="S1218" s="4" t="s">
        <v>204</v>
      </c>
      <c r="U1218" s="4">
        <v>23</v>
      </c>
      <c r="V1218" s="4">
        <v>0</v>
      </c>
      <c r="W1218" s="4">
        <v>0</v>
      </c>
    </row>
    <row r="1219" spans="1:23" ht="11.25" customHeight="1" x14ac:dyDescent="0.25">
      <c r="A1219" s="4" t="s">
        <v>21</v>
      </c>
      <c r="B1219" s="4" t="s">
        <v>35</v>
      </c>
      <c r="C1219" s="4" t="s">
        <v>36</v>
      </c>
      <c r="D1219" s="4" t="s">
        <v>48</v>
      </c>
      <c r="E1219" s="4" t="s">
        <v>25</v>
      </c>
      <c r="F1219" s="4" t="s">
        <v>25</v>
      </c>
      <c r="G1219" s="4" t="s">
        <v>25</v>
      </c>
      <c r="H1219" s="4" t="s">
        <v>25</v>
      </c>
      <c r="I1219" s="5">
        <v>44287</v>
      </c>
      <c r="J1219" s="6">
        <v>94388</v>
      </c>
      <c r="K1219" s="6">
        <v>94388</v>
      </c>
      <c r="L1219" s="6">
        <v>0</v>
      </c>
      <c r="M1219" s="6">
        <v>0</v>
      </c>
      <c r="N1219" s="6">
        <v>0</v>
      </c>
      <c r="O1219" s="6">
        <v>0</v>
      </c>
      <c r="P1219" s="6">
        <v>668</v>
      </c>
      <c r="Q1219" s="4" t="s">
        <v>26</v>
      </c>
      <c r="R1219" s="4">
        <v>0</v>
      </c>
      <c r="S1219" s="4" t="s">
        <v>205</v>
      </c>
      <c r="U1219" s="4">
        <v>23</v>
      </c>
      <c r="V1219" s="4">
        <v>0</v>
      </c>
      <c r="W1219" s="4">
        <v>0</v>
      </c>
    </row>
    <row r="1220" spans="1:23" ht="11.25" customHeight="1" x14ac:dyDescent="0.25">
      <c r="A1220" s="4" t="s">
        <v>27</v>
      </c>
      <c r="B1220" s="4" t="s">
        <v>35</v>
      </c>
      <c r="C1220" s="4" t="s">
        <v>36</v>
      </c>
      <c r="D1220" s="4" t="s">
        <v>48</v>
      </c>
      <c r="E1220" s="4" t="s">
        <v>25</v>
      </c>
      <c r="F1220" s="4" t="s">
        <v>25</v>
      </c>
      <c r="G1220" s="4" t="s">
        <v>25</v>
      </c>
      <c r="H1220" s="4" t="s">
        <v>25</v>
      </c>
      <c r="I1220" s="5">
        <v>44287</v>
      </c>
      <c r="J1220" s="6">
        <v>-1547</v>
      </c>
      <c r="K1220" s="6">
        <v>-1547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4" t="s">
        <v>26</v>
      </c>
      <c r="R1220" s="4">
        <v>0</v>
      </c>
      <c r="S1220" s="4" t="s">
        <v>205</v>
      </c>
      <c r="U1220" s="4">
        <v>23</v>
      </c>
      <c r="V1220" s="4">
        <v>0</v>
      </c>
      <c r="W1220" s="4">
        <v>0</v>
      </c>
    </row>
    <row r="1221" spans="1:23" ht="11.25" customHeight="1" x14ac:dyDescent="0.25">
      <c r="A1221" s="4" t="s">
        <v>28</v>
      </c>
      <c r="B1221" s="4" t="s">
        <v>35</v>
      </c>
      <c r="C1221" s="4" t="s">
        <v>36</v>
      </c>
      <c r="D1221" s="4" t="s">
        <v>48</v>
      </c>
      <c r="E1221" s="4" t="s">
        <v>25</v>
      </c>
      <c r="F1221" s="4" t="s">
        <v>25</v>
      </c>
      <c r="G1221" s="4" t="s">
        <v>25</v>
      </c>
      <c r="H1221" s="4" t="s">
        <v>25</v>
      </c>
      <c r="I1221" s="5">
        <v>44287</v>
      </c>
      <c r="J1221" s="6">
        <v>25739</v>
      </c>
      <c r="K1221" s="6">
        <v>25739</v>
      </c>
      <c r="L1221" s="6">
        <v>0</v>
      </c>
      <c r="M1221" s="6">
        <v>0</v>
      </c>
      <c r="N1221" s="6">
        <v>0</v>
      </c>
      <c r="O1221" s="6">
        <v>0</v>
      </c>
      <c r="P1221" s="6">
        <v>397</v>
      </c>
      <c r="Q1221" s="4" t="s">
        <v>26</v>
      </c>
      <c r="R1221" s="4">
        <v>0</v>
      </c>
      <c r="S1221" s="4" t="s">
        <v>205</v>
      </c>
      <c r="U1221" s="4">
        <v>23</v>
      </c>
      <c r="V1221" s="4">
        <v>0</v>
      </c>
      <c r="W1221" s="4">
        <v>0</v>
      </c>
    </row>
    <row r="1222" spans="1:23" ht="11.25" customHeight="1" x14ac:dyDescent="0.25">
      <c r="A1222" s="4" t="s">
        <v>30</v>
      </c>
      <c r="B1222" s="4" t="s">
        <v>35</v>
      </c>
      <c r="C1222" s="4" t="s">
        <v>36</v>
      </c>
      <c r="D1222" s="4" t="s">
        <v>48</v>
      </c>
      <c r="E1222" s="4" t="s">
        <v>25</v>
      </c>
      <c r="F1222" s="4" t="s">
        <v>25</v>
      </c>
      <c r="G1222" s="4" t="s">
        <v>25</v>
      </c>
      <c r="H1222" s="4" t="s">
        <v>25</v>
      </c>
      <c r="I1222" s="5">
        <v>44287</v>
      </c>
      <c r="J1222" s="6">
        <v>550</v>
      </c>
      <c r="K1222" s="6">
        <v>550</v>
      </c>
      <c r="L1222" s="6">
        <v>0</v>
      </c>
      <c r="M1222" s="6">
        <v>0</v>
      </c>
      <c r="N1222" s="6">
        <v>0</v>
      </c>
      <c r="O1222" s="6">
        <v>0</v>
      </c>
      <c r="P1222" s="6">
        <v>1</v>
      </c>
      <c r="Q1222" s="4" t="s">
        <v>26</v>
      </c>
      <c r="R1222" s="4">
        <v>0</v>
      </c>
      <c r="S1222" s="4" t="s">
        <v>205</v>
      </c>
      <c r="U1222" s="4">
        <v>23</v>
      </c>
      <c r="V1222" s="4">
        <v>0</v>
      </c>
      <c r="W1222" s="4">
        <v>0</v>
      </c>
    </row>
    <row r="1223" spans="1:23" ht="11.25" customHeight="1" x14ac:dyDescent="0.25">
      <c r="A1223" s="4" t="s">
        <v>21</v>
      </c>
      <c r="B1223" s="4" t="s">
        <v>35</v>
      </c>
      <c r="C1223" s="4" t="s">
        <v>36</v>
      </c>
      <c r="D1223" s="4" t="s">
        <v>48</v>
      </c>
      <c r="E1223" s="4" t="s">
        <v>25</v>
      </c>
      <c r="F1223" s="4" t="s">
        <v>25</v>
      </c>
      <c r="G1223" s="4" t="s">
        <v>25</v>
      </c>
      <c r="H1223" s="4" t="s">
        <v>25</v>
      </c>
      <c r="I1223" s="5">
        <v>44317</v>
      </c>
      <c r="J1223" s="6">
        <v>100383</v>
      </c>
      <c r="K1223" s="6">
        <v>100383</v>
      </c>
      <c r="L1223" s="6">
        <v>0</v>
      </c>
      <c r="M1223" s="6">
        <v>0</v>
      </c>
      <c r="N1223" s="6">
        <v>0</v>
      </c>
      <c r="O1223" s="6">
        <v>0</v>
      </c>
      <c r="P1223" s="6">
        <v>668</v>
      </c>
      <c r="Q1223" s="4" t="s">
        <v>26</v>
      </c>
      <c r="R1223" s="4">
        <v>0</v>
      </c>
      <c r="S1223" s="4" t="s">
        <v>206</v>
      </c>
      <c r="U1223" s="4">
        <v>23</v>
      </c>
      <c r="V1223" s="4">
        <v>0</v>
      </c>
      <c r="W1223" s="4">
        <v>0</v>
      </c>
    </row>
    <row r="1224" spans="1:23" ht="11.25" customHeight="1" x14ac:dyDescent="0.25">
      <c r="A1224" s="4" t="s">
        <v>27</v>
      </c>
      <c r="B1224" s="4" t="s">
        <v>35</v>
      </c>
      <c r="C1224" s="4" t="s">
        <v>36</v>
      </c>
      <c r="D1224" s="4" t="s">
        <v>48</v>
      </c>
      <c r="E1224" s="4" t="s">
        <v>25</v>
      </c>
      <c r="F1224" s="4" t="s">
        <v>25</v>
      </c>
      <c r="G1224" s="4" t="s">
        <v>25</v>
      </c>
      <c r="H1224" s="4" t="s">
        <v>25</v>
      </c>
      <c r="I1224" s="5">
        <v>44317</v>
      </c>
      <c r="J1224" s="6">
        <v>873</v>
      </c>
      <c r="K1224" s="6">
        <v>873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4" t="s">
        <v>26</v>
      </c>
      <c r="R1224" s="4">
        <v>0</v>
      </c>
      <c r="S1224" s="4" t="s">
        <v>206</v>
      </c>
      <c r="U1224" s="4">
        <v>23</v>
      </c>
      <c r="V1224" s="4">
        <v>0</v>
      </c>
      <c r="W1224" s="4">
        <v>0</v>
      </c>
    </row>
    <row r="1225" spans="1:23" ht="11.25" customHeight="1" x14ac:dyDescent="0.25">
      <c r="A1225" s="4" t="s">
        <v>28</v>
      </c>
      <c r="B1225" s="4" t="s">
        <v>35</v>
      </c>
      <c r="C1225" s="4" t="s">
        <v>36</v>
      </c>
      <c r="D1225" s="4" t="s">
        <v>48</v>
      </c>
      <c r="E1225" s="4" t="s">
        <v>25</v>
      </c>
      <c r="F1225" s="4" t="s">
        <v>25</v>
      </c>
      <c r="G1225" s="4" t="s">
        <v>25</v>
      </c>
      <c r="H1225" s="4" t="s">
        <v>25</v>
      </c>
      <c r="I1225" s="5">
        <v>44317</v>
      </c>
      <c r="J1225" s="6">
        <v>27940</v>
      </c>
      <c r="K1225" s="6">
        <v>27940</v>
      </c>
      <c r="L1225" s="6">
        <v>0</v>
      </c>
      <c r="M1225" s="6">
        <v>0</v>
      </c>
      <c r="N1225" s="6">
        <v>0</v>
      </c>
      <c r="O1225" s="6">
        <v>0</v>
      </c>
      <c r="P1225" s="6">
        <v>402</v>
      </c>
      <c r="Q1225" s="4" t="s">
        <v>26</v>
      </c>
      <c r="R1225" s="4">
        <v>0</v>
      </c>
      <c r="S1225" s="4" t="s">
        <v>206</v>
      </c>
      <c r="U1225" s="4">
        <v>23</v>
      </c>
      <c r="V1225" s="4">
        <v>0</v>
      </c>
      <c r="W1225" s="4">
        <v>0</v>
      </c>
    </row>
    <row r="1226" spans="1:23" ht="11.25" customHeight="1" x14ac:dyDescent="0.25">
      <c r="A1226" s="4" t="s">
        <v>29</v>
      </c>
      <c r="B1226" s="4" t="s">
        <v>35</v>
      </c>
      <c r="C1226" s="4" t="s">
        <v>36</v>
      </c>
      <c r="D1226" s="4" t="s">
        <v>48</v>
      </c>
      <c r="E1226" s="4" t="s">
        <v>25</v>
      </c>
      <c r="F1226" s="4" t="s">
        <v>25</v>
      </c>
      <c r="G1226" s="4" t="s">
        <v>25</v>
      </c>
      <c r="H1226" s="4" t="s">
        <v>25</v>
      </c>
      <c r="I1226" s="5">
        <v>44317</v>
      </c>
      <c r="J1226" s="6">
        <v>-991</v>
      </c>
      <c r="K1226" s="6">
        <v>-991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4" t="s">
        <v>26</v>
      </c>
      <c r="R1226" s="4">
        <v>0</v>
      </c>
      <c r="S1226" s="4" t="s">
        <v>206</v>
      </c>
      <c r="U1226" s="4">
        <v>23</v>
      </c>
      <c r="V1226" s="4">
        <v>0</v>
      </c>
      <c r="W1226" s="4">
        <v>0</v>
      </c>
    </row>
    <row r="1227" spans="1:23" ht="11.25" customHeight="1" x14ac:dyDescent="0.25">
      <c r="A1227" s="4" t="s">
        <v>30</v>
      </c>
      <c r="B1227" s="4" t="s">
        <v>35</v>
      </c>
      <c r="C1227" s="4" t="s">
        <v>36</v>
      </c>
      <c r="D1227" s="4" t="s">
        <v>48</v>
      </c>
      <c r="E1227" s="4" t="s">
        <v>25</v>
      </c>
      <c r="F1227" s="4" t="s">
        <v>25</v>
      </c>
      <c r="G1227" s="4" t="s">
        <v>25</v>
      </c>
      <c r="H1227" s="4" t="s">
        <v>25</v>
      </c>
      <c r="I1227" s="5">
        <v>44317</v>
      </c>
      <c r="J1227" s="6">
        <v>690</v>
      </c>
      <c r="K1227" s="6">
        <v>690</v>
      </c>
      <c r="L1227" s="6">
        <v>0</v>
      </c>
      <c r="M1227" s="6">
        <v>0</v>
      </c>
      <c r="N1227" s="6">
        <v>0</v>
      </c>
      <c r="O1227" s="6">
        <v>0</v>
      </c>
      <c r="P1227" s="6">
        <v>2</v>
      </c>
      <c r="Q1227" s="4" t="s">
        <v>26</v>
      </c>
      <c r="R1227" s="4">
        <v>0</v>
      </c>
      <c r="S1227" s="4" t="s">
        <v>206</v>
      </c>
      <c r="U1227" s="4">
        <v>23</v>
      </c>
      <c r="V1227" s="4">
        <v>0</v>
      </c>
      <c r="W1227" s="4">
        <v>0</v>
      </c>
    </row>
    <row r="1228" spans="1:23" ht="11.25" customHeight="1" x14ac:dyDescent="0.25">
      <c r="A1228" s="4" t="s">
        <v>21</v>
      </c>
      <c r="B1228" s="4" t="s">
        <v>35</v>
      </c>
      <c r="C1228" s="4" t="s">
        <v>36</v>
      </c>
      <c r="D1228" s="4" t="s">
        <v>48</v>
      </c>
      <c r="E1228" s="4" t="s">
        <v>25</v>
      </c>
      <c r="F1228" s="4" t="s">
        <v>25</v>
      </c>
      <c r="G1228" s="4" t="s">
        <v>25</v>
      </c>
      <c r="H1228" s="4" t="s">
        <v>25</v>
      </c>
      <c r="I1228" s="5">
        <v>44348</v>
      </c>
      <c r="J1228" s="6">
        <v>104845</v>
      </c>
      <c r="K1228" s="6">
        <v>104845</v>
      </c>
      <c r="L1228" s="6">
        <v>0</v>
      </c>
      <c r="M1228" s="6">
        <v>0</v>
      </c>
      <c r="N1228" s="6">
        <v>0</v>
      </c>
      <c r="O1228" s="6">
        <v>0</v>
      </c>
      <c r="P1228" s="6">
        <v>677</v>
      </c>
      <c r="Q1228" s="4" t="s">
        <v>26</v>
      </c>
      <c r="R1228" s="4">
        <v>0</v>
      </c>
      <c r="S1228" s="4" t="s">
        <v>207</v>
      </c>
      <c r="U1228" s="4">
        <v>23</v>
      </c>
      <c r="V1228" s="4">
        <v>0</v>
      </c>
      <c r="W1228" s="4">
        <v>0</v>
      </c>
    </row>
    <row r="1229" spans="1:23" ht="11.25" customHeight="1" x14ac:dyDescent="0.25">
      <c r="A1229" s="4" t="s">
        <v>27</v>
      </c>
      <c r="B1229" s="4" t="s">
        <v>35</v>
      </c>
      <c r="C1229" s="4" t="s">
        <v>36</v>
      </c>
      <c r="D1229" s="4" t="s">
        <v>48</v>
      </c>
      <c r="E1229" s="4" t="s">
        <v>25</v>
      </c>
      <c r="F1229" s="4" t="s">
        <v>25</v>
      </c>
      <c r="G1229" s="4" t="s">
        <v>25</v>
      </c>
      <c r="H1229" s="4" t="s">
        <v>25</v>
      </c>
      <c r="I1229" s="5">
        <v>44348</v>
      </c>
      <c r="J1229" s="6">
        <v>-556</v>
      </c>
      <c r="K1229" s="6">
        <v>-556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4" t="s">
        <v>26</v>
      </c>
      <c r="R1229" s="4">
        <v>0</v>
      </c>
      <c r="S1229" s="4" t="s">
        <v>207</v>
      </c>
      <c r="U1229" s="4">
        <v>23</v>
      </c>
      <c r="V1229" s="4">
        <v>0</v>
      </c>
      <c r="W1229" s="4">
        <v>0</v>
      </c>
    </row>
    <row r="1230" spans="1:23" ht="11.25" customHeight="1" x14ac:dyDescent="0.25">
      <c r="A1230" s="4" t="s">
        <v>28</v>
      </c>
      <c r="B1230" s="4" t="s">
        <v>35</v>
      </c>
      <c r="C1230" s="4" t="s">
        <v>36</v>
      </c>
      <c r="D1230" s="4" t="s">
        <v>48</v>
      </c>
      <c r="E1230" s="4" t="s">
        <v>25</v>
      </c>
      <c r="F1230" s="4" t="s">
        <v>25</v>
      </c>
      <c r="G1230" s="4" t="s">
        <v>25</v>
      </c>
      <c r="H1230" s="4" t="s">
        <v>25</v>
      </c>
      <c r="I1230" s="5">
        <v>44348</v>
      </c>
      <c r="J1230" s="6">
        <v>28880</v>
      </c>
      <c r="K1230" s="6">
        <v>28880</v>
      </c>
      <c r="L1230" s="6">
        <v>0</v>
      </c>
      <c r="M1230" s="6">
        <v>0</v>
      </c>
      <c r="N1230" s="6">
        <v>0</v>
      </c>
      <c r="O1230" s="6">
        <v>0</v>
      </c>
      <c r="P1230" s="6">
        <v>403</v>
      </c>
      <c r="Q1230" s="4" t="s">
        <v>26</v>
      </c>
      <c r="R1230" s="4">
        <v>0</v>
      </c>
      <c r="S1230" s="4" t="s">
        <v>207</v>
      </c>
      <c r="U1230" s="4">
        <v>23</v>
      </c>
      <c r="V1230" s="4">
        <v>0</v>
      </c>
      <c r="W1230" s="4">
        <v>0</v>
      </c>
    </row>
    <row r="1231" spans="1:23" ht="11.25" customHeight="1" x14ac:dyDescent="0.25">
      <c r="A1231" s="4" t="s">
        <v>29</v>
      </c>
      <c r="B1231" s="4" t="s">
        <v>35</v>
      </c>
      <c r="C1231" s="4" t="s">
        <v>36</v>
      </c>
      <c r="D1231" s="4" t="s">
        <v>48</v>
      </c>
      <c r="E1231" s="4" t="s">
        <v>25</v>
      </c>
      <c r="F1231" s="4" t="s">
        <v>25</v>
      </c>
      <c r="G1231" s="4" t="s">
        <v>25</v>
      </c>
      <c r="H1231" s="4" t="s">
        <v>25</v>
      </c>
      <c r="I1231" s="5">
        <v>44348</v>
      </c>
      <c r="J1231" s="6">
        <v>42</v>
      </c>
      <c r="K1231" s="6">
        <v>42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4" t="s">
        <v>26</v>
      </c>
      <c r="R1231" s="4">
        <v>0</v>
      </c>
      <c r="S1231" s="4" t="s">
        <v>207</v>
      </c>
      <c r="U1231" s="4">
        <v>23</v>
      </c>
      <c r="V1231" s="4">
        <v>0</v>
      </c>
      <c r="W1231" s="4">
        <v>0</v>
      </c>
    </row>
    <row r="1232" spans="1:23" ht="11.25" customHeight="1" x14ac:dyDescent="0.25">
      <c r="A1232" s="4" t="s">
        <v>30</v>
      </c>
      <c r="B1232" s="4" t="s">
        <v>35</v>
      </c>
      <c r="C1232" s="4" t="s">
        <v>36</v>
      </c>
      <c r="D1232" s="4" t="s">
        <v>48</v>
      </c>
      <c r="E1232" s="4" t="s">
        <v>25</v>
      </c>
      <c r="F1232" s="4" t="s">
        <v>25</v>
      </c>
      <c r="G1232" s="4" t="s">
        <v>25</v>
      </c>
      <c r="H1232" s="4" t="s">
        <v>25</v>
      </c>
      <c r="I1232" s="5">
        <v>44348</v>
      </c>
      <c r="J1232" s="6">
        <v>690</v>
      </c>
      <c r="K1232" s="6">
        <v>690</v>
      </c>
      <c r="L1232" s="6">
        <v>0</v>
      </c>
      <c r="M1232" s="6">
        <v>0</v>
      </c>
      <c r="N1232" s="6">
        <v>0</v>
      </c>
      <c r="O1232" s="6">
        <v>0</v>
      </c>
      <c r="P1232" s="6">
        <v>2</v>
      </c>
      <c r="Q1232" s="4" t="s">
        <v>26</v>
      </c>
      <c r="R1232" s="4">
        <v>0</v>
      </c>
      <c r="S1232" s="4" t="s">
        <v>207</v>
      </c>
      <c r="U1232" s="4">
        <v>23</v>
      </c>
      <c r="V1232" s="4">
        <v>0</v>
      </c>
      <c r="W1232" s="4">
        <v>0</v>
      </c>
    </row>
    <row r="1233" spans="1:23" ht="11.25" customHeight="1" x14ac:dyDescent="0.25">
      <c r="A1233" s="4" t="s">
        <v>21</v>
      </c>
      <c r="B1233" s="4" t="s">
        <v>35</v>
      </c>
      <c r="C1233" s="4" t="s">
        <v>36</v>
      </c>
      <c r="D1233" s="4" t="s">
        <v>48</v>
      </c>
      <c r="E1233" s="4" t="s">
        <v>25</v>
      </c>
      <c r="F1233" s="4" t="s">
        <v>25</v>
      </c>
      <c r="G1233" s="4" t="s">
        <v>25</v>
      </c>
      <c r="H1233" s="4" t="s">
        <v>25</v>
      </c>
      <c r="I1233" s="5">
        <v>44378</v>
      </c>
      <c r="J1233" s="6">
        <v>105502</v>
      </c>
      <c r="K1233" s="6">
        <v>105502</v>
      </c>
      <c r="L1233" s="6">
        <v>0</v>
      </c>
      <c r="M1233" s="6">
        <v>0</v>
      </c>
      <c r="N1233" s="6">
        <v>0</v>
      </c>
      <c r="O1233" s="6">
        <v>0</v>
      </c>
      <c r="P1233" s="6">
        <v>677</v>
      </c>
      <c r="Q1233" s="4" t="s">
        <v>26</v>
      </c>
      <c r="R1233" s="4">
        <v>0</v>
      </c>
      <c r="S1233" s="4" t="s">
        <v>208</v>
      </c>
      <c r="U1233" s="4">
        <v>23</v>
      </c>
      <c r="V1233" s="4">
        <v>0</v>
      </c>
      <c r="W1233" s="4">
        <v>0</v>
      </c>
    </row>
    <row r="1234" spans="1:23" ht="11.25" customHeight="1" x14ac:dyDescent="0.25">
      <c r="A1234" s="4" t="s">
        <v>27</v>
      </c>
      <c r="B1234" s="4" t="s">
        <v>35</v>
      </c>
      <c r="C1234" s="4" t="s">
        <v>36</v>
      </c>
      <c r="D1234" s="4" t="s">
        <v>48</v>
      </c>
      <c r="E1234" s="4" t="s">
        <v>25</v>
      </c>
      <c r="F1234" s="4" t="s">
        <v>25</v>
      </c>
      <c r="G1234" s="4" t="s">
        <v>25</v>
      </c>
      <c r="H1234" s="4" t="s">
        <v>25</v>
      </c>
      <c r="I1234" s="5">
        <v>44378</v>
      </c>
      <c r="J1234" s="6">
        <v>-121</v>
      </c>
      <c r="K1234" s="6">
        <v>-121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4" t="s">
        <v>26</v>
      </c>
      <c r="R1234" s="4">
        <v>0</v>
      </c>
      <c r="S1234" s="4" t="s">
        <v>208</v>
      </c>
      <c r="U1234" s="4">
        <v>23</v>
      </c>
      <c r="V1234" s="4">
        <v>0</v>
      </c>
      <c r="W1234" s="4">
        <v>0</v>
      </c>
    </row>
    <row r="1235" spans="1:23" ht="11.25" customHeight="1" x14ac:dyDescent="0.25">
      <c r="A1235" s="4" t="s">
        <v>28</v>
      </c>
      <c r="B1235" s="4" t="s">
        <v>35</v>
      </c>
      <c r="C1235" s="4" t="s">
        <v>36</v>
      </c>
      <c r="D1235" s="4" t="s">
        <v>48</v>
      </c>
      <c r="E1235" s="4" t="s">
        <v>25</v>
      </c>
      <c r="F1235" s="4" t="s">
        <v>25</v>
      </c>
      <c r="G1235" s="4" t="s">
        <v>25</v>
      </c>
      <c r="H1235" s="4" t="s">
        <v>25</v>
      </c>
      <c r="I1235" s="5">
        <v>44378</v>
      </c>
      <c r="J1235" s="6">
        <v>29225</v>
      </c>
      <c r="K1235" s="6">
        <v>29225</v>
      </c>
      <c r="L1235" s="6">
        <v>0</v>
      </c>
      <c r="M1235" s="6">
        <v>0</v>
      </c>
      <c r="N1235" s="6">
        <v>0</v>
      </c>
      <c r="O1235" s="6">
        <v>0</v>
      </c>
      <c r="P1235" s="6">
        <v>403</v>
      </c>
      <c r="Q1235" s="4" t="s">
        <v>26</v>
      </c>
      <c r="R1235" s="4">
        <v>0</v>
      </c>
      <c r="S1235" s="4" t="s">
        <v>208</v>
      </c>
      <c r="U1235" s="4">
        <v>23</v>
      </c>
      <c r="V1235" s="4">
        <v>0</v>
      </c>
      <c r="W1235" s="4">
        <v>0</v>
      </c>
    </row>
    <row r="1236" spans="1:23" ht="11.25" customHeight="1" x14ac:dyDescent="0.25">
      <c r="A1236" s="4" t="s">
        <v>30</v>
      </c>
      <c r="B1236" s="4" t="s">
        <v>35</v>
      </c>
      <c r="C1236" s="4" t="s">
        <v>36</v>
      </c>
      <c r="D1236" s="4" t="s">
        <v>48</v>
      </c>
      <c r="E1236" s="4" t="s">
        <v>25</v>
      </c>
      <c r="F1236" s="4" t="s">
        <v>25</v>
      </c>
      <c r="G1236" s="4" t="s">
        <v>25</v>
      </c>
      <c r="H1236" s="4" t="s">
        <v>25</v>
      </c>
      <c r="I1236" s="5">
        <v>44378</v>
      </c>
      <c r="J1236" s="6">
        <v>690</v>
      </c>
      <c r="K1236" s="6">
        <v>690</v>
      </c>
      <c r="L1236" s="6">
        <v>0</v>
      </c>
      <c r="M1236" s="6">
        <v>0</v>
      </c>
      <c r="N1236" s="6">
        <v>0</v>
      </c>
      <c r="O1236" s="6">
        <v>0</v>
      </c>
      <c r="P1236" s="6">
        <v>2</v>
      </c>
      <c r="Q1236" s="4" t="s">
        <v>26</v>
      </c>
      <c r="R1236" s="4">
        <v>0</v>
      </c>
      <c r="S1236" s="4" t="s">
        <v>208</v>
      </c>
      <c r="U1236" s="4">
        <v>23</v>
      </c>
      <c r="V1236" s="4">
        <v>0</v>
      </c>
      <c r="W1236" s="4">
        <v>0</v>
      </c>
    </row>
    <row r="1237" spans="1:23" ht="11.25" customHeight="1" x14ac:dyDescent="0.25">
      <c r="A1237" s="4" t="s">
        <v>21</v>
      </c>
      <c r="B1237" s="4" t="s">
        <v>35</v>
      </c>
      <c r="C1237" s="4" t="s">
        <v>36</v>
      </c>
      <c r="D1237" s="4" t="s">
        <v>48</v>
      </c>
      <c r="E1237" s="4" t="s">
        <v>25</v>
      </c>
      <c r="F1237" s="4" t="s">
        <v>25</v>
      </c>
      <c r="G1237" s="4" t="s">
        <v>25</v>
      </c>
      <c r="H1237" s="4" t="s">
        <v>25</v>
      </c>
      <c r="I1237" s="5">
        <v>44409</v>
      </c>
      <c r="J1237" s="6">
        <v>100019</v>
      </c>
      <c r="K1237" s="6">
        <v>100019</v>
      </c>
      <c r="L1237" s="6">
        <v>0</v>
      </c>
      <c r="M1237" s="6">
        <v>0</v>
      </c>
      <c r="N1237" s="6">
        <v>0</v>
      </c>
      <c r="O1237" s="6">
        <v>0</v>
      </c>
      <c r="P1237" s="6">
        <v>629</v>
      </c>
      <c r="Q1237" s="4" t="s">
        <v>26</v>
      </c>
      <c r="R1237" s="4">
        <v>0</v>
      </c>
      <c r="S1237" s="4" t="s">
        <v>209</v>
      </c>
      <c r="U1237" s="4">
        <v>23</v>
      </c>
      <c r="V1237" s="4">
        <v>0</v>
      </c>
      <c r="W1237" s="4">
        <v>0</v>
      </c>
    </row>
    <row r="1238" spans="1:23" ht="11.25" customHeight="1" x14ac:dyDescent="0.25">
      <c r="A1238" s="4" t="s">
        <v>27</v>
      </c>
      <c r="B1238" s="4" t="s">
        <v>35</v>
      </c>
      <c r="C1238" s="4" t="s">
        <v>36</v>
      </c>
      <c r="D1238" s="4" t="s">
        <v>48</v>
      </c>
      <c r="E1238" s="4" t="s">
        <v>25</v>
      </c>
      <c r="F1238" s="4" t="s">
        <v>25</v>
      </c>
      <c r="G1238" s="4" t="s">
        <v>25</v>
      </c>
      <c r="H1238" s="4" t="s">
        <v>25</v>
      </c>
      <c r="I1238" s="5">
        <v>44409</v>
      </c>
      <c r="J1238" s="6">
        <v>-45976</v>
      </c>
      <c r="K1238" s="6">
        <v>-45976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4" t="s">
        <v>26</v>
      </c>
      <c r="R1238" s="4">
        <v>0</v>
      </c>
      <c r="S1238" s="4" t="s">
        <v>209</v>
      </c>
      <c r="U1238" s="4">
        <v>23</v>
      </c>
      <c r="V1238" s="4">
        <v>0</v>
      </c>
      <c r="W1238" s="4">
        <v>0</v>
      </c>
    </row>
    <row r="1239" spans="1:23" ht="11.25" customHeight="1" x14ac:dyDescent="0.25">
      <c r="A1239" s="4" t="s">
        <v>28</v>
      </c>
      <c r="B1239" s="4" t="s">
        <v>35</v>
      </c>
      <c r="C1239" s="4" t="s">
        <v>36</v>
      </c>
      <c r="D1239" s="4" t="s">
        <v>48</v>
      </c>
      <c r="E1239" s="4" t="s">
        <v>25</v>
      </c>
      <c r="F1239" s="4" t="s">
        <v>25</v>
      </c>
      <c r="G1239" s="4" t="s">
        <v>25</v>
      </c>
      <c r="H1239" s="4" t="s">
        <v>25</v>
      </c>
      <c r="I1239" s="5">
        <v>44409</v>
      </c>
      <c r="J1239" s="6">
        <v>25152</v>
      </c>
      <c r="K1239" s="6">
        <v>25152</v>
      </c>
      <c r="L1239" s="6">
        <v>0</v>
      </c>
      <c r="M1239" s="6">
        <v>0</v>
      </c>
      <c r="N1239" s="6">
        <v>0</v>
      </c>
      <c r="O1239" s="6">
        <v>0</v>
      </c>
      <c r="P1239" s="6">
        <v>304</v>
      </c>
      <c r="Q1239" s="4" t="s">
        <v>26</v>
      </c>
      <c r="R1239" s="4">
        <v>0</v>
      </c>
      <c r="S1239" s="4" t="s">
        <v>209</v>
      </c>
      <c r="U1239" s="4">
        <v>23</v>
      </c>
      <c r="V1239" s="4">
        <v>0</v>
      </c>
      <c r="W1239" s="4">
        <v>0</v>
      </c>
    </row>
    <row r="1240" spans="1:23" ht="11.25" customHeight="1" x14ac:dyDescent="0.25">
      <c r="A1240" s="4" t="s">
        <v>29</v>
      </c>
      <c r="B1240" s="4" t="s">
        <v>35</v>
      </c>
      <c r="C1240" s="4" t="s">
        <v>36</v>
      </c>
      <c r="D1240" s="4" t="s">
        <v>48</v>
      </c>
      <c r="E1240" s="4" t="s">
        <v>25</v>
      </c>
      <c r="F1240" s="4" t="s">
        <v>25</v>
      </c>
      <c r="G1240" s="4" t="s">
        <v>25</v>
      </c>
      <c r="H1240" s="4" t="s">
        <v>25</v>
      </c>
      <c r="I1240" s="5">
        <v>44409</v>
      </c>
      <c r="J1240" s="6">
        <v>-232</v>
      </c>
      <c r="K1240" s="6">
        <v>-232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4" t="s">
        <v>26</v>
      </c>
      <c r="R1240" s="4">
        <v>0</v>
      </c>
      <c r="S1240" s="4" t="s">
        <v>209</v>
      </c>
      <c r="U1240" s="4">
        <v>23</v>
      </c>
      <c r="V1240" s="4">
        <v>0</v>
      </c>
      <c r="W1240" s="4">
        <v>0</v>
      </c>
    </row>
    <row r="1241" spans="1:23" ht="11.25" customHeight="1" x14ac:dyDescent="0.25">
      <c r="A1241" s="4" t="s">
        <v>30</v>
      </c>
      <c r="B1241" s="4" t="s">
        <v>35</v>
      </c>
      <c r="C1241" s="4" t="s">
        <v>36</v>
      </c>
      <c r="D1241" s="4" t="s">
        <v>48</v>
      </c>
      <c r="E1241" s="4" t="s">
        <v>25</v>
      </c>
      <c r="F1241" s="4" t="s">
        <v>25</v>
      </c>
      <c r="G1241" s="4" t="s">
        <v>25</v>
      </c>
      <c r="H1241" s="4" t="s">
        <v>25</v>
      </c>
      <c r="I1241" s="5">
        <v>44409</v>
      </c>
      <c r="J1241" s="6">
        <v>140</v>
      </c>
      <c r="K1241" s="6">
        <v>140</v>
      </c>
      <c r="L1241" s="6">
        <v>0</v>
      </c>
      <c r="M1241" s="6">
        <v>0</v>
      </c>
      <c r="N1241" s="6">
        <v>0</v>
      </c>
      <c r="O1241" s="6">
        <v>0</v>
      </c>
      <c r="P1241" s="6">
        <v>1</v>
      </c>
      <c r="Q1241" s="4" t="s">
        <v>26</v>
      </c>
      <c r="R1241" s="4">
        <v>0</v>
      </c>
      <c r="S1241" s="4" t="s">
        <v>209</v>
      </c>
      <c r="U1241" s="4">
        <v>23</v>
      </c>
      <c r="V1241" s="4">
        <v>0</v>
      </c>
      <c r="W1241" s="4">
        <v>0</v>
      </c>
    </row>
    <row r="1242" spans="1:23" ht="11.25" customHeight="1" x14ac:dyDescent="0.25">
      <c r="A1242" s="4" t="s">
        <v>21</v>
      </c>
      <c r="B1242" s="4" t="s">
        <v>35</v>
      </c>
      <c r="C1242" s="4" t="s">
        <v>36</v>
      </c>
      <c r="D1242" s="4" t="s">
        <v>48</v>
      </c>
      <c r="E1242" s="4" t="s">
        <v>25</v>
      </c>
      <c r="F1242" s="4" t="s">
        <v>25</v>
      </c>
      <c r="G1242" s="4" t="s">
        <v>25</v>
      </c>
      <c r="H1242" s="4" t="s">
        <v>25</v>
      </c>
      <c r="I1242" s="5">
        <v>44440</v>
      </c>
      <c r="J1242" s="6">
        <v>100447</v>
      </c>
      <c r="K1242" s="6">
        <v>100447</v>
      </c>
      <c r="L1242" s="6">
        <v>0</v>
      </c>
      <c r="M1242" s="6">
        <v>0</v>
      </c>
      <c r="N1242" s="6">
        <v>0</v>
      </c>
      <c r="O1242" s="6">
        <v>0</v>
      </c>
      <c r="P1242" s="6">
        <v>630</v>
      </c>
      <c r="Q1242" s="4" t="s">
        <v>26</v>
      </c>
      <c r="R1242" s="4">
        <v>0</v>
      </c>
      <c r="S1242" s="4" t="s">
        <v>210</v>
      </c>
      <c r="U1242" s="4">
        <v>23</v>
      </c>
      <c r="V1242" s="4">
        <v>0</v>
      </c>
      <c r="W1242" s="4">
        <v>0</v>
      </c>
    </row>
    <row r="1243" spans="1:23" ht="11.25" customHeight="1" x14ac:dyDescent="0.25">
      <c r="A1243" s="4" t="s">
        <v>28</v>
      </c>
      <c r="B1243" s="4" t="s">
        <v>35</v>
      </c>
      <c r="C1243" s="4" t="s">
        <v>36</v>
      </c>
      <c r="D1243" s="4" t="s">
        <v>48</v>
      </c>
      <c r="E1243" s="4" t="s">
        <v>25</v>
      </c>
      <c r="F1243" s="4" t="s">
        <v>25</v>
      </c>
      <c r="G1243" s="4" t="s">
        <v>25</v>
      </c>
      <c r="H1243" s="4" t="s">
        <v>25</v>
      </c>
      <c r="I1243" s="5">
        <v>44440</v>
      </c>
      <c r="J1243" s="6">
        <v>25603</v>
      </c>
      <c r="K1243" s="6">
        <v>25603</v>
      </c>
      <c r="L1243" s="6">
        <v>0</v>
      </c>
      <c r="M1243" s="6">
        <v>0</v>
      </c>
      <c r="N1243" s="6">
        <v>0</v>
      </c>
      <c r="O1243" s="6">
        <v>0</v>
      </c>
      <c r="P1243" s="6">
        <v>306</v>
      </c>
      <c r="Q1243" s="4" t="s">
        <v>26</v>
      </c>
      <c r="R1243" s="4">
        <v>0</v>
      </c>
      <c r="S1243" s="4" t="s">
        <v>210</v>
      </c>
      <c r="U1243" s="4">
        <v>23</v>
      </c>
      <c r="V1243" s="4">
        <v>0</v>
      </c>
      <c r="W1243" s="4">
        <v>0</v>
      </c>
    </row>
    <row r="1244" spans="1:23" ht="11.25" customHeight="1" x14ac:dyDescent="0.25">
      <c r="A1244" s="4" t="s">
        <v>30</v>
      </c>
      <c r="B1244" s="4" t="s">
        <v>35</v>
      </c>
      <c r="C1244" s="4" t="s">
        <v>36</v>
      </c>
      <c r="D1244" s="4" t="s">
        <v>48</v>
      </c>
      <c r="E1244" s="4" t="s">
        <v>25</v>
      </c>
      <c r="F1244" s="4" t="s">
        <v>25</v>
      </c>
      <c r="G1244" s="4" t="s">
        <v>25</v>
      </c>
      <c r="H1244" s="4" t="s">
        <v>25</v>
      </c>
      <c r="I1244" s="5">
        <v>44440</v>
      </c>
      <c r="J1244" s="6">
        <v>125</v>
      </c>
      <c r="K1244" s="6">
        <v>125</v>
      </c>
      <c r="L1244" s="6">
        <v>0</v>
      </c>
      <c r="M1244" s="6">
        <v>0</v>
      </c>
      <c r="N1244" s="6">
        <v>0</v>
      </c>
      <c r="O1244" s="6">
        <v>0</v>
      </c>
      <c r="P1244" s="6">
        <v>1</v>
      </c>
      <c r="Q1244" s="4" t="s">
        <v>26</v>
      </c>
      <c r="R1244" s="4">
        <v>0</v>
      </c>
      <c r="S1244" s="4" t="s">
        <v>210</v>
      </c>
      <c r="U1244" s="4">
        <v>23</v>
      </c>
      <c r="V1244" s="4">
        <v>0</v>
      </c>
      <c r="W1244" s="4">
        <v>0</v>
      </c>
    </row>
    <row r="1245" spans="1:23" ht="11.25" customHeight="1" x14ac:dyDescent="0.25">
      <c r="A1245" s="4" t="s">
        <v>59</v>
      </c>
      <c r="B1245" s="4" t="s">
        <v>35</v>
      </c>
      <c r="C1245" s="4" t="s">
        <v>36</v>
      </c>
      <c r="D1245" s="4" t="s">
        <v>48</v>
      </c>
      <c r="E1245" s="4" t="s">
        <v>25</v>
      </c>
      <c r="F1245" s="4" t="s">
        <v>25</v>
      </c>
      <c r="G1245" s="4" t="s">
        <v>25</v>
      </c>
      <c r="H1245" s="4" t="s">
        <v>25</v>
      </c>
      <c r="I1245" s="5">
        <v>44470</v>
      </c>
      <c r="J1245" s="6">
        <v>100447</v>
      </c>
      <c r="K1245" s="6">
        <v>100447</v>
      </c>
      <c r="L1245" s="6">
        <v>0</v>
      </c>
      <c r="M1245" s="6">
        <v>0</v>
      </c>
      <c r="N1245" s="6">
        <v>0</v>
      </c>
      <c r="O1245" s="6">
        <v>0</v>
      </c>
      <c r="P1245" s="6">
        <v>630</v>
      </c>
      <c r="Q1245" s="4" t="s">
        <v>26</v>
      </c>
      <c r="R1245" s="4">
        <v>0</v>
      </c>
      <c r="S1245" s="4" t="s">
        <v>211</v>
      </c>
      <c r="U1245" s="4">
        <v>23</v>
      </c>
      <c r="V1245" s="4">
        <v>0</v>
      </c>
      <c r="W1245" s="4">
        <v>0</v>
      </c>
    </row>
    <row r="1246" spans="1:23" ht="11.25" customHeight="1" x14ac:dyDescent="0.25">
      <c r="A1246" s="4" t="s">
        <v>59</v>
      </c>
      <c r="B1246" s="4" t="s">
        <v>35</v>
      </c>
      <c r="C1246" s="4" t="s">
        <v>36</v>
      </c>
      <c r="D1246" s="4" t="s">
        <v>48</v>
      </c>
      <c r="E1246" s="4" t="s">
        <v>25</v>
      </c>
      <c r="F1246" s="4" t="s">
        <v>25</v>
      </c>
      <c r="G1246" s="4" t="s">
        <v>25</v>
      </c>
      <c r="H1246" s="4" t="s">
        <v>25</v>
      </c>
      <c r="I1246" s="5">
        <v>44470</v>
      </c>
      <c r="J1246" s="6">
        <v>25603</v>
      </c>
      <c r="K1246" s="6">
        <v>25603</v>
      </c>
      <c r="L1246" s="6">
        <v>0</v>
      </c>
      <c r="M1246" s="6">
        <v>0</v>
      </c>
      <c r="N1246" s="6">
        <v>0</v>
      </c>
      <c r="O1246" s="6">
        <v>0</v>
      </c>
      <c r="P1246" s="6">
        <v>306</v>
      </c>
      <c r="Q1246" s="4" t="s">
        <v>26</v>
      </c>
      <c r="R1246" s="4">
        <v>0</v>
      </c>
      <c r="S1246" s="4" t="s">
        <v>211</v>
      </c>
      <c r="U1246" s="4">
        <v>23</v>
      </c>
      <c r="V1246" s="4">
        <v>0</v>
      </c>
      <c r="W1246" s="4">
        <v>0</v>
      </c>
    </row>
    <row r="1247" spans="1:23" ht="11.25" customHeight="1" x14ac:dyDescent="0.25">
      <c r="A1247" s="4" t="s">
        <v>59</v>
      </c>
      <c r="B1247" s="4" t="s">
        <v>35</v>
      </c>
      <c r="C1247" s="4" t="s">
        <v>36</v>
      </c>
      <c r="D1247" s="4" t="s">
        <v>48</v>
      </c>
      <c r="E1247" s="4" t="s">
        <v>25</v>
      </c>
      <c r="F1247" s="4" t="s">
        <v>25</v>
      </c>
      <c r="G1247" s="4" t="s">
        <v>25</v>
      </c>
      <c r="H1247" s="4" t="s">
        <v>25</v>
      </c>
      <c r="I1247" s="5">
        <v>44470</v>
      </c>
      <c r="J1247" s="6">
        <v>125</v>
      </c>
      <c r="K1247" s="6">
        <v>125</v>
      </c>
      <c r="L1247" s="6">
        <v>0</v>
      </c>
      <c r="M1247" s="6">
        <v>0</v>
      </c>
      <c r="N1247" s="6">
        <v>0</v>
      </c>
      <c r="O1247" s="6">
        <v>0</v>
      </c>
      <c r="P1247" s="6">
        <v>1</v>
      </c>
      <c r="Q1247" s="4" t="s">
        <v>26</v>
      </c>
      <c r="R1247" s="4">
        <v>0</v>
      </c>
      <c r="S1247" s="4" t="s">
        <v>211</v>
      </c>
      <c r="U1247" s="4">
        <v>23</v>
      </c>
      <c r="V1247" s="4">
        <v>0</v>
      </c>
      <c r="W1247" s="4">
        <v>0</v>
      </c>
    </row>
    <row r="1248" spans="1:23" ht="11.25" customHeight="1" x14ac:dyDescent="0.25">
      <c r="A1248" s="4" t="s">
        <v>21</v>
      </c>
      <c r="B1248" s="4" t="s">
        <v>35</v>
      </c>
      <c r="C1248" s="4" t="s">
        <v>36</v>
      </c>
      <c r="D1248" s="4" t="s">
        <v>48</v>
      </c>
      <c r="E1248" s="4" t="s">
        <v>25</v>
      </c>
      <c r="F1248" s="4" t="s">
        <v>25</v>
      </c>
      <c r="G1248" s="4" t="s">
        <v>25</v>
      </c>
      <c r="H1248" s="4" t="s">
        <v>37</v>
      </c>
      <c r="I1248" s="5">
        <v>44136</v>
      </c>
      <c r="J1248" s="6">
        <v>0</v>
      </c>
      <c r="K1248" s="6">
        <v>0</v>
      </c>
      <c r="L1248" s="6">
        <v>911.37599999999998</v>
      </c>
      <c r="M1248" s="6">
        <v>911.37599999999998</v>
      </c>
      <c r="N1248" s="6">
        <v>911.37599999999998</v>
      </c>
      <c r="O1248" s="6">
        <v>911.37599999999998</v>
      </c>
      <c r="P1248" s="6">
        <v>0</v>
      </c>
      <c r="Q1248" s="4" t="s">
        <v>26</v>
      </c>
      <c r="R1248" s="4">
        <v>0</v>
      </c>
      <c r="S1248" s="4" t="s">
        <v>212</v>
      </c>
      <c r="T1248" s="4" t="s">
        <v>445</v>
      </c>
      <c r="U1248" s="4">
        <v>0</v>
      </c>
      <c r="V1248" s="4">
        <v>24</v>
      </c>
      <c r="W1248" s="4">
        <v>66</v>
      </c>
    </row>
    <row r="1249" spans="1:23" ht="11.25" customHeight="1" x14ac:dyDescent="0.25">
      <c r="A1249" s="4" t="s">
        <v>27</v>
      </c>
      <c r="B1249" s="4" t="s">
        <v>35</v>
      </c>
      <c r="C1249" s="4" t="s">
        <v>36</v>
      </c>
      <c r="D1249" s="4" t="s">
        <v>48</v>
      </c>
      <c r="E1249" s="4" t="s">
        <v>25</v>
      </c>
      <c r="F1249" s="4" t="s">
        <v>25</v>
      </c>
      <c r="G1249" s="4" t="s">
        <v>25</v>
      </c>
      <c r="H1249" s="4" t="s">
        <v>37</v>
      </c>
      <c r="I1249" s="5">
        <v>44136</v>
      </c>
      <c r="J1249" s="6">
        <v>0</v>
      </c>
      <c r="K1249" s="6">
        <v>0</v>
      </c>
      <c r="L1249" s="6">
        <v>7.2590000000000003</v>
      </c>
      <c r="M1249" s="6">
        <v>7.2590000000000003</v>
      </c>
      <c r="N1249" s="6">
        <v>7.2590000000000003</v>
      </c>
      <c r="O1249" s="6">
        <v>7.2590000000000003</v>
      </c>
      <c r="P1249" s="6">
        <v>0</v>
      </c>
      <c r="Q1249" s="4" t="s">
        <v>26</v>
      </c>
      <c r="R1249" s="4">
        <v>0</v>
      </c>
      <c r="S1249" s="4" t="s">
        <v>212</v>
      </c>
      <c r="T1249" s="4" t="s">
        <v>445</v>
      </c>
      <c r="U1249" s="4">
        <v>0</v>
      </c>
      <c r="V1249" s="4">
        <v>24</v>
      </c>
      <c r="W1249" s="4">
        <v>66</v>
      </c>
    </row>
    <row r="1250" spans="1:23" ht="11.25" customHeight="1" x14ac:dyDescent="0.25">
      <c r="A1250" s="4" t="s">
        <v>28</v>
      </c>
      <c r="B1250" s="4" t="s">
        <v>35</v>
      </c>
      <c r="C1250" s="4" t="s">
        <v>36</v>
      </c>
      <c r="D1250" s="4" t="s">
        <v>48</v>
      </c>
      <c r="E1250" s="4" t="s">
        <v>25</v>
      </c>
      <c r="F1250" s="4" t="s">
        <v>25</v>
      </c>
      <c r="G1250" s="4" t="s">
        <v>25</v>
      </c>
      <c r="H1250" s="4" t="s">
        <v>37</v>
      </c>
      <c r="I1250" s="5">
        <v>44136</v>
      </c>
      <c r="J1250" s="6">
        <v>0</v>
      </c>
      <c r="K1250" s="6">
        <v>0</v>
      </c>
      <c r="L1250" s="6">
        <v>249.249</v>
      </c>
      <c r="M1250" s="6">
        <v>249.249</v>
      </c>
      <c r="N1250" s="6">
        <v>249.249</v>
      </c>
      <c r="O1250" s="6">
        <v>249.249</v>
      </c>
      <c r="P1250" s="6">
        <v>0</v>
      </c>
      <c r="Q1250" s="4" t="s">
        <v>26</v>
      </c>
      <c r="R1250" s="4">
        <v>0</v>
      </c>
      <c r="S1250" s="4" t="s">
        <v>212</v>
      </c>
      <c r="T1250" s="4" t="s">
        <v>445</v>
      </c>
      <c r="U1250" s="4">
        <v>0</v>
      </c>
      <c r="V1250" s="4">
        <v>24</v>
      </c>
      <c r="W1250" s="4">
        <v>66</v>
      </c>
    </row>
    <row r="1251" spans="1:23" ht="11.25" customHeight="1" x14ac:dyDescent="0.25">
      <c r="A1251" s="4" t="s">
        <v>30</v>
      </c>
      <c r="B1251" s="4" t="s">
        <v>35</v>
      </c>
      <c r="C1251" s="4" t="s">
        <v>36</v>
      </c>
      <c r="D1251" s="4" t="s">
        <v>48</v>
      </c>
      <c r="E1251" s="4" t="s">
        <v>25</v>
      </c>
      <c r="F1251" s="4" t="s">
        <v>25</v>
      </c>
      <c r="G1251" s="4" t="s">
        <v>25</v>
      </c>
      <c r="H1251" s="4" t="s">
        <v>37</v>
      </c>
      <c r="I1251" s="5">
        <v>44136</v>
      </c>
      <c r="J1251" s="6">
        <v>0</v>
      </c>
      <c r="K1251" s="6">
        <v>0</v>
      </c>
      <c r="L1251" s="6">
        <v>3.2130000000000001</v>
      </c>
      <c r="M1251" s="6">
        <v>3.2130000000000001</v>
      </c>
      <c r="N1251" s="6">
        <v>3.2130000000000001</v>
      </c>
      <c r="O1251" s="6">
        <v>3.2130000000000001</v>
      </c>
      <c r="P1251" s="6">
        <v>0</v>
      </c>
      <c r="Q1251" s="4" t="s">
        <v>26</v>
      </c>
      <c r="R1251" s="4">
        <v>0</v>
      </c>
      <c r="S1251" s="4" t="s">
        <v>212</v>
      </c>
      <c r="T1251" s="4" t="s">
        <v>445</v>
      </c>
      <c r="U1251" s="4">
        <v>0</v>
      </c>
      <c r="V1251" s="4">
        <v>24</v>
      </c>
      <c r="W1251" s="4">
        <v>66</v>
      </c>
    </row>
    <row r="1252" spans="1:23" ht="11.25" customHeight="1" x14ac:dyDescent="0.25">
      <c r="A1252" s="4" t="s">
        <v>21</v>
      </c>
      <c r="B1252" s="4" t="s">
        <v>35</v>
      </c>
      <c r="C1252" s="4" t="s">
        <v>36</v>
      </c>
      <c r="D1252" s="4" t="s">
        <v>48</v>
      </c>
      <c r="E1252" s="4" t="s">
        <v>25</v>
      </c>
      <c r="F1252" s="4" t="s">
        <v>25</v>
      </c>
      <c r="G1252" s="4" t="s">
        <v>25</v>
      </c>
      <c r="H1252" s="4" t="s">
        <v>37</v>
      </c>
      <c r="I1252" s="5">
        <v>44166</v>
      </c>
      <c r="J1252" s="6">
        <v>0</v>
      </c>
      <c r="K1252" s="6">
        <v>0</v>
      </c>
      <c r="L1252" s="6">
        <v>936.32</v>
      </c>
      <c r="M1252" s="6">
        <v>936.32</v>
      </c>
      <c r="N1252" s="6">
        <v>936.32</v>
      </c>
      <c r="O1252" s="6">
        <v>936.32</v>
      </c>
      <c r="P1252" s="6">
        <v>0</v>
      </c>
      <c r="Q1252" s="4" t="s">
        <v>26</v>
      </c>
      <c r="R1252" s="4">
        <v>0</v>
      </c>
      <c r="S1252" s="4" t="s">
        <v>213</v>
      </c>
      <c r="T1252" s="4" t="s">
        <v>446</v>
      </c>
      <c r="U1252" s="4">
        <v>0</v>
      </c>
      <c r="V1252" s="4">
        <v>24</v>
      </c>
      <c r="W1252" s="4">
        <v>66</v>
      </c>
    </row>
    <row r="1253" spans="1:23" ht="11.25" customHeight="1" x14ac:dyDescent="0.25">
      <c r="A1253" s="4" t="s">
        <v>27</v>
      </c>
      <c r="B1253" s="4" t="s">
        <v>35</v>
      </c>
      <c r="C1253" s="4" t="s">
        <v>36</v>
      </c>
      <c r="D1253" s="4" t="s">
        <v>48</v>
      </c>
      <c r="E1253" s="4" t="s">
        <v>25</v>
      </c>
      <c r="F1253" s="4" t="s">
        <v>25</v>
      </c>
      <c r="G1253" s="4" t="s">
        <v>25</v>
      </c>
      <c r="H1253" s="4" t="s">
        <v>37</v>
      </c>
      <c r="I1253" s="5">
        <v>44166</v>
      </c>
      <c r="J1253" s="6">
        <v>0</v>
      </c>
      <c r="K1253" s="6">
        <v>0</v>
      </c>
      <c r="L1253" s="6">
        <v>0.47199999999999998</v>
      </c>
      <c r="M1253" s="6">
        <v>0.47199999999999998</v>
      </c>
      <c r="N1253" s="6">
        <v>0.47199999999999998</v>
      </c>
      <c r="O1253" s="6">
        <v>0.47199999999999998</v>
      </c>
      <c r="P1253" s="6">
        <v>0</v>
      </c>
      <c r="Q1253" s="4" t="s">
        <v>26</v>
      </c>
      <c r="R1253" s="4">
        <v>0</v>
      </c>
      <c r="S1253" s="4" t="s">
        <v>213</v>
      </c>
      <c r="T1253" s="4" t="s">
        <v>446</v>
      </c>
      <c r="U1253" s="4">
        <v>0</v>
      </c>
      <c r="V1253" s="4">
        <v>24</v>
      </c>
      <c r="W1253" s="4">
        <v>66</v>
      </c>
    </row>
    <row r="1254" spans="1:23" ht="11.25" customHeight="1" x14ac:dyDescent="0.25">
      <c r="A1254" s="4" t="s">
        <v>28</v>
      </c>
      <c r="B1254" s="4" t="s">
        <v>35</v>
      </c>
      <c r="C1254" s="4" t="s">
        <v>36</v>
      </c>
      <c r="D1254" s="4" t="s">
        <v>48</v>
      </c>
      <c r="E1254" s="4" t="s">
        <v>25</v>
      </c>
      <c r="F1254" s="4" t="s">
        <v>25</v>
      </c>
      <c r="G1254" s="4" t="s">
        <v>25</v>
      </c>
      <c r="H1254" s="4" t="s">
        <v>37</v>
      </c>
      <c r="I1254" s="5">
        <v>44166</v>
      </c>
      <c r="J1254" s="6">
        <v>0</v>
      </c>
      <c r="K1254" s="6">
        <v>0</v>
      </c>
      <c r="L1254" s="6">
        <v>337.07499999999999</v>
      </c>
      <c r="M1254" s="6">
        <v>337.07499999999999</v>
      </c>
      <c r="N1254" s="6">
        <v>337.07499999999999</v>
      </c>
      <c r="O1254" s="6">
        <v>337.07499999999999</v>
      </c>
      <c r="P1254" s="6">
        <v>0</v>
      </c>
      <c r="Q1254" s="4" t="s">
        <v>26</v>
      </c>
      <c r="R1254" s="4">
        <v>0</v>
      </c>
      <c r="S1254" s="4" t="s">
        <v>213</v>
      </c>
      <c r="T1254" s="4" t="s">
        <v>446</v>
      </c>
      <c r="U1254" s="4">
        <v>0</v>
      </c>
      <c r="V1254" s="4">
        <v>24</v>
      </c>
      <c r="W1254" s="4">
        <v>66</v>
      </c>
    </row>
    <row r="1255" spans="1:23" ht="11.25" customHeight="1" x14ac:dyDescent="0.25">
      <c r="A1255" s="4" t="s">
        <v>29</v>
      </c>
      <c r="B1255" s="4" t="s">
        <v>35</v>
      </c>
      <c r="C1255" s="4" t="s">
        <v>36</v>
      </c>
      <c r="D1255" s="4" t="s">
        <v>48</v>
      </c>
      <c r="E1255" s="4" t="s">
        <v>25</v>
      </c>
      <c r="F1255" s="4" t="s">
        <v>25</v>
      </c>
      <c r="G1255" s="4" t="s">
        <v>25</v>
      </c>
      <c r="H1255" s="4" t="s">
        <v>37</v>
      </c>
      <c r="I1255" s="5">
        <v>44166</v>
      </c>
      <c r="J1255" s="6">
        <v>0</v>
      </c>
      <c r="K1255" s="6">
        <v>0</v>
      </c>
      <c r="L1255" s="6">
        <v>2.8719999999999999</v>
      </c>
      <c r="M1255" s="6">
        <v>2.8719999999999999</v>
      </c>
      <c r="N1255" s="6">
        <v>2.8719999999999999</v>
      </c>
      <c r="O1255" s="6">
        <v>2.8719999999999999</v>
      </c>
      <c r="P1255" s="6">
        <v>0</v>
      </c>
      <c r="Q1255" s="4" t="s">
        <v>26</v>
      </c>
      <c r="R1255" s="4">
        <v>0</v>
      </c>
      <c r="S1255" s="4" t="s">
        <v>213</v>
      </c>
      <c r="T1255" s="4" t="s">
        <v>446</v>
      </c>
      <c r="U1255" s="4">
        <v>0</v>
      </c>
      <c r="V1255" s="4">
        <v>24</v>
      </c>
      <c r="W1255" s="4">
        <v>66</v>
      </c>
    </row>
    <row r="1256" spans="1:23" ht="11.25" customHeight="1" x14ac:dyDescent="0.25">
      <c r="A1256" s="4" t="s">
        <v>30</v>
      </c>
      <c r="B1256" s="4" t="s">
        <v>35</v>
      </c>
      <c r="C1256" s="4" t="s">
        <v>36</v>
      </c>
      <c r="D1256" s="4" t="s">
        <v>48</v>
      </c>
      <c r="E1256" s="4" t="s">
        <v>25</v>
      </c>
      <c r="F1256" s="4" t="s">
        <v>25</v>
      </c>
      <c r="G1256" s="4" t="s">
        <v>25</v>
      </c>
      <c r="H1256" s="4" t="s">
        <v>37</v>
      </c>
      <c r="I1256" s="5">
        <v>44166</v>
      </c>
      <c r="J1256" s="6">
        <v>0</v>
      </c>
      <c r="K1256" s="6">
        <v>0</v>
      </c>
      <c r="L1256" s="6">
        <v>3.58</v>
      </c>
      <c r="M1256" s="6">
        <v>3.58</v>
      </c>
      <c r="N1256" s="6">
        <v>3.58</v>
      </c>
      <c r="O1256" s="6">
        <v>3.58</v>
      </c>
      <c r="P1256" s="6">
        <v>0</v>
      </c>
      <c r="Q1256" s="4" t="s">
        <v>26</v>
      </c>
      <c r="R1256" s="4">
        <v>0</v>
      </c>
      <c r="S1256" s="4" t="s">
        <v>213</v>
      </c>
      <c r="T1256" s="4" t="s">
        <v>446</v>
      </c>
      <c r="U1256" s="4">
        <v>0</v>
      </c>
      <c r="V1256" s="4">
        <v>24</v>
      </c>
      <c r="W1256" s="4">
        <v>66</v>
      </c>
    </row>
    <row r="1257" spans="1:23" ht="11.25" customHeight="1" x14ac:dyDescent="0.25">
      <c r="A1257" s="4" t="s">
        <v>21</v>
      </c>
      <c r="B1257" s="4" t="s">
        <v>35</v>
      </c>
      <c r="C1257" s="4" t="s">
        <v>36</v>
      </c>
      <c r="D1257" s="4" t="s">
        <v>48</v>
      </c>
      <c r="E1257" s="4" t="s">
        <v>25</v>
      </c>
      <c r="F1257" s="4" t="s">
        <v>25</v>
      </c>
      <c r="G1257" s="4" t="s">
        <v>25</v>
      </c>
      <c r="H1257" s="4" t="s">
        <v>37</v>
      </c>
      <c r="I1257" s="5">
        <v>44197</v>
      </c>
      <c r="J1257" s="6">
        <v>0</v>
      </c>
      <c r="K1257" s="6">
        <v>0</v>
      </c>
      <c r="L1257" s="6">
        <v>742.05799999999999</v>
      </c>
      <c r="M1257" s="6">
        <v>742.05799999999999</v>
      </c>
      <c r="N1257" s="6">
        <v>742.05799999999999</v>
      </c>
      <c r="O1257" s="6">
        <v>742.05799999999999</v>
      </c>
      <c r="P1257" s="6">
        <v>0</v>
      </c>
      <c r="Q1257" s="4" t="s">
        <v>26</v>
      </c>
      <c r="R1257" s="4">
        <v>0</v>
      </c>
      <c r="S1257" s="4" t="s">
        <v>214</v>
      </c>
      <c r="T1257" s="4" t="s">
        <v>447</v>
      </c>
      <c r="U1257" s="4">
        <v>0</v>
      </c>
      <c r="V1257" s="4">
        <v>24</v>
      </c>
      <c r="W1257" s="4">
        <v>66</v>
      </c>
    </row>
    <row r="1258" spans="1:23" ht="11.25" customHeight="1" x14ac:dyDescent="0.25">
      <c r="A1258" s="4" t="s">
        <v>28</v>
      </c>
      <c r="B1258" s="4" t="s">
        <v>35</v>
      </c>
      <c r="C1258" s="4" t="s">
        <v>36</v>
      </c>
      <c r="D1258" s="4" t="s">
        <v>48</v>
      </c>
      <c r="E1258" s="4" t="s">
        <v>25</v>
      </c>
      <c r="F1258" s="4" t="s">
        <v>25</v>
      </c>
      <c r="G1258" s="4" t="s">
        <v>25</v>
      </c>
      <c r="H1258" s="4" t="s">
        <v>37</v>
      </c>
      <c r="I1258" s="5">
        <v>44197</v>
      </c>
      <c r="J1258" s="6">
        <v>0</v>
      </c>
      <c r="K1258" s="6">
        <v>0</v>
      </c>
      <c r="L1258" s="6">
        <v>220.649</v>
      </c>
      <c r="M1258" s="6">
        <v>220.649</v>
      </c>
      <c r="N1258" s="6">
        <v>220.649</v>
      </c>
      <c r="O1258" s="6">
        <v>220.649</v>
      </c>
      <c r="P1258" s="6">
        <v>0</v>
      </c>
      <c r="Q1258" s="4" t="s">
        <v>26</v>
      </c>
      <c r="R1258" s="4">
        <v>0</v>
      </c>
      <c r="S1258" s="4" t="s">
        <v>214</v>
      </c>
      <c r="T1258" s="4" t="s">
        <v>447</v>
      </c>
      <c r="U1258" s="4">
        <v>0</v>
      </c>
      <c r="V1258" s="4">
        <v>24</v>
      </c>
      <c r="W1258" s="4">
        <v>66</v>
      </c>
    </row>
    <row r="1259" spans="1:23" ht="11.25" customHeight="1" x14ac:dyDescent="0.25">
      <c r="A1259" s="4" t="s">
        <v>29</v>
      </c>
      <c r="B1259" s="4" t="s">
        <v>35</v>
      </c>
      <c r="C1259" s="4" t="s">
        <v>36</v>
      </c>
      <c r="D1259" s="4" t="s">
        <v>48</v>
      </c>
      <c r="E1259" s="4" t="s">
        <v>25</v>
      </c>
      <c r="F1259" s="4" t="s">
        <v>25</v>
      </c>
      <c r="G1259" s="4" t="s">
        <v>25</v>
      </c>
      <c r="H1259" s="4" t="s">
        <v>37</v>
      </c>
      <c r="I1259" s="5">
        <v>44197</v>
      </c>
      <c r="J1259" s="6">
        <v>0</v>
      </c>
      <c r="K1259" s="6">
        <v>0</v>
      </c>
      <c r="L1259" s="6">
        <v>-2.8719999999999999</v>
      </c>
      <c r="M1259" s="6">
        <v>-2.8719999999999999</v>
      </c>
      <c r="N1259" s="6">
        <v>-2.8719999999999999</v>
      </c>
      <c r="O1259" s="6">
        <v>-2.8719999999999999</v>
      </c>
      <c r="P1259" s="6">
        <v>0</v>
      </c>
      <c r="Q1259" s="4" t="s">
        <v>26</v>
      </c>
      <c r="R1259" s="4">
        <v>0</v>
      </c>
      <c r="S1259" s="4" t="s">
        <v>214</v>
      </c>
      <c r="T1259" s="4" t="s">
        <v>447</v>
      </c>
      <c r="U1259" s="4">
        <v>0</v>
      </c>
      <c r="V1259" s="4">
        <v>24</v>
      </c>
      <c r="W1259" s="4">
        <v>66</v>
      </c>
    </row>
    <row r="1260" spans="1:23" ht="11.25" customHeight="1" x14ac:dyDescent="0.25">
      <c r="A1260" s="4" t="s">
        <v>30</v>
      </c>
      <c r="B1260" s="4" t="s">
        <v>35</v>
      </c>
      <c r="C1260" s="4" t="s">
        <v>36</v>
      </c>
      <c r="D1260" s="4" t="s">
        <v>48</v>
      </c>
      <c r="E1260" s="4" t="s">
        <v>25</v>
      </c>
      <c r="F1260" s="4" t="s">
        <v>25</v>
      </c>
      <c r="G1260" s="4" t="s">
        <v>25</v>
      </c>
      <c r="H1260" s="4" t="s">
        <v>37</v>
      </c>
      <c r="I1260" s="5">
        <v>44197</v>
      </c>
      <c r="J1260" s="6">
        <v>0</v>
      </c>
      <c r="K1260" s="6">
        <v>0</v>
      </c>
      <c r="L1260" s="6">
        <v>2.8660000000000001</v>
      </c>
      <c r="M1260" s="6">
        <v>2.8660000000000001</v>
      </c>
      <c r="N1260" s="6">
        <v>2.8660000000000001</v>
      </c>
      <c r="O1260" s="6">
        <v>2.8660000000000001</v>
      </c>
      <c r="P1260" s="6">
        <v>0</v>
      </c>
      <c r="Q1260" s="4" t="s">
        <v>26</v>
      </c>
      <c r="R1260" s="4">
        <v>0</v>
      </c>
      <c r="S1260" s="4" t="s">
        <v>214</v>
      </c>
      <c r="T1260" s="4" t="s">
        <v>447</v>
      </c>
      <c r="U1260" s="4">
        <v>0</v>
      </c>
      <c r="V1260" s="4">
        <v>24</v>
      </c>
      <c r="W1260" s="4">
        <v>66</v>
      </c>
    </row>
    <row r="1261" spans="1:23" ht="11.25" customHeight="1" x14ac:dyDescent="0.25">
      <c r="A1261" s="4" t="s">
        <v>21</v>
      </c>
      <c r="B1261" s="4" t="s">
        <v>35</v>
      </c>
      <c r="C1261" s="4" t="s">
        <v>36</v>
      </c>
      <c r="D1261" s="4" t="s">
        <v>48</v>
      </c>
      <c r="E1261" s="4" t="s">
        <v>25</v>
      </c>
      <c r="F1261" s="4" t="s">
        <v>25</v>
      </c>
      <c r="G1261" s="4" t="s">
        <v>25</v>
      </c>
      <c r="H1261" s="4" t="s">
        <v>37</v>
      </c>
      <c r="I1261" s="5">
        <v>44228</v>
      </c>
      <c r="J1261" s="6">
        <v>0</v>
      </c>
      <c r="K1261" s="6">
        <v>0</v>
      </c>
      <c r="L1261" s="6">
        <v>735.00199999999995</v>
      </c>
      <c r="M1261" s="6">
        <v>735.00199999999995</v>
      </c>
      <c r="N1261" s="6">
        <v>735.00199999999995</v>
      </c>
      <c r="O1261" s="6">
        <v>735.00199999999995</v>
      </c>
      <c r="P1261" s="6">
        <v>0</v>
      </c>
      <c r="Q1261" s="4" t="s">
        <v>26</v>
      </c>
      <c r="R1261" s="4">
        <v>0</v>
      </c>
      <c r="S1261" s="4" t="s">
        <v>215</v>
      </c>
      <c r="T1261" s="4" t="s">
        <v>448</v>
      </c>
      <c r="U1261" s="4">
        <v>0</v>
      </c>
      <c r="V1261" s="4">
        <v>24</v>
      </c>
      <c r="W1261" s="4">
        <v>66</v>
      </c>
    </row>
    <row r="1262" spans="1:23" ht="11.25" customHeight="1" x14ac:dyDescent="0.25">
      <c r="A1262" s="4" t="s">
        <v>28</v>
      </c>
      <c r="B1262" s="4" t="s">
        <v>35</v>
      </c>
      <c r="C1262" s="4" t="s">
        <v>36</v>
      </c>
      <c r="D1262" s="4" t="s">
        <v>48</v>
      </c>
      <c r="E1262" s="4" t="s">
        <v>25</v>
      </c>
      <c r="F1262" s="4" t="s">
        <v>25</v>
      </c>
      <c r="G1262" s="4" t="s">
        <v>25</v>
      </c>
      <c r="H1262" s="4" t="s">
        <v>37</v>
      </c>
      <c r="I1262" s="5">
        <v>44228</v>
      </c>
      <c r="J1262" s="6">
        <v>0</v>
      </c>
      <c r="K1262" s="6">
        <v>0</v>
      </c>
      <c r="L1262" s="6">
        <v>198.77500000000001</v>
      </c>
      <c r="M1262" s="6">
        <v>198.77500000000001</v>
      </c>
      <c r="N1262" s="6">
        <v>198.77500000000001</v>
      </c>
      <c r="O1262" s="6">
        <v>198.77500000000001</v>
      </c>
      <c r="P1262" s="6">
        <v>0</v>
      </c>
      <c r="Q1262" s="4" t="s">
        <v>26</v>
      </c>
      <c r="R1262" s="4">
        <v>0</v>
      </c>
      <c r="S1262" s="4" t="s">
        <v>215</v>
      </c>
      <c r="T1262" s="4" t="s">
        <v>448</v>
      </c>
      <c r="U1262" s="4">
        <v>0</v>
      </c>
      <c r="V1262" s="4">
        <v>24</v>
      </c>
      <c r="W1262" s="4">
        <v>66</v>
      </c>
    </row>
    <row r="1263" spans="1:23" ht="11.25" customHeight="1" x14ac:dyDescent="0.25">
      <c r="A1263" s="4" t="s">
        <v>30</v>
      </c>
      <c r="B1263" s="4" t="s">
        <v>35</v>
      </c>
      <c r="C1263" s="4" t="s">
        <v>36</v>
      </c>
      <c r="D1263" s="4" t="s">
        <v>48</v>
      </c>
      <c r="E1263" s="4" t="s">
        <v>25</v>
      </c>
      <c r="F1263" s="4" t="s">
        <v>25</v>
      </c>
      <c r="G1263" s="4" t="s">
        <v>25</v>
      </c>
      <c r="H1263" s="4" t="s">
        <v>37</v>
      </c>
      <c r="I1263" s="5">
        <v>44228</v>
      </c>
      <c r="J1263" s="6">
        <v>0</v>
      </c>
      <c r="K1263" s="6">
        <v>0</v>
      </c>
      <c r="L1263" s="6">
        <v>2.7509999999999999</v>
      </c>
      <c r="M1263" s="6">
        <v>2.7509999999999999</v>
      </c>
      <c r="N1263" s="6">
        <v>2.7509999999999999</v>
      </c>
      <c r="O1263" s="6">
        <v>2.7509999999999999</v>
      </c>
      <c r="P1263" s="6">
        <v>0</v>
      </c>
      <c r="Q1263" s="4" t="s">
        <v>26</v>
      </c>
      <c r="R1263" s="4">
        <v>0</v>
      </c>
      <c r="S1263" s="4" t="s">
        <v>215</v>
      </c>
      <c r="T1263" s="4" t="s">
        <v>448</v>
      </c>
      <c r="U1263" s="4">
        <v>0</v>
      </c>
      <c r="V1263" s="4">
        <v>24</v>
      </c>
      <c r="W1263" s="4">
        <v>66</v>
      </c>
    </row>
    <row r="1264" spans="1:23" ht="11.25" customHeight="1" x14ac:dyDescent="0.25">
      <c r="A1264" s="4" t="s">
        <v>21</v>
      </c>
      <c r="B1264" s="4" t="s">
        <v>35</v>
      </c>
      <c r="C1264" s="4" t="s">
        <v>36</v>
      </c>
      <c r="D1264" s="4" t="s">
        <v>48</v>
      </c>
      <c r="E1264" s="4" t="s">
        <v>25</v>
      </c>
      <c r="F1264" s="4" t="s">
        <v>25</v>
      </c>
      <c r="G1264" s="4" t="s">
        <v>25</v>
      </c>
      <c r="H1264" s="4" t="s">
        <v>37</v>
      </c>
      <c r="I1264" s="5">
        <v>44256</v>
      </c>
      <c r="J1264" s="6">
        <v>0</v>
      </c>
      <c r="K1264" s="6">
        <v>0</v>
      </c>
      <c r="L1264" s="6">
        <v>848.99099999999999</v>
      </c>
      <c r="M1264" s="6">
        <v>848.99099999999999</v>
      </c>
      <c r="N1264" s="6">
        <v>848.99099999999999</v>
      </c>
      <c r="O1264" s="6">
        <v>848.99099999999999</v>
      </c>
      <c r="P1264" s="6">
        <v>0</v>
      </c>
      <c r="Q1264" s="4" t="s">
        <v>26</v>
      </c>
      <c r="R1264" s="4">
        <v>0</v>
      </c>
      <c r="S1264" s="4" t="s">
        <v>216</v>
      </c>
      <c r="T1264" s="4" t="s">
        <v>449</v>
      </c>
      <c r="U1264" s="4">
        <v>0</v>
      </c>
      <c r="V1264" s="4">
        <v>24</v>
      </c>
      <c r="W1264" s="4">
        <v>66</v>
      </c>
    </row>
    <row r="1265" spans="1:23" ht="11.25" customHeight="1" x14ac:dyDescent="0.25">
      <c r="A1265" s="4" t="s">
        <v>27</v>
      </c>
      <c r="B1265" s="4" t="s">
        <v>35</v>
      </c>
      <c r="C1265" s="4" t="s">
        <v>36</v>
      </c>
      <c r="D1265" s="4" t="s">
        <v>48</v>
      </c>
      <c r="E1265" s="4" t="s">
        <v>25</v>
      </c>
      <c r="F1265" s="4" t="s">
        <v>25</v>
      </c>
      <c r="G1265" s="4" t="s">
        <v>25</v>
      </c>
      <c r="H1265" s="4" t="s">
        <v>37</v>
      </c>
      <c r="I1265" s="5">
        <v>44256</v>
      </c>
      <c r="J1265" s="6">
        <v>0</v>
      </c>
      <c r="K1265" s="6">
        <v>0</v>
      </c>
      <c r="L1265" s="6">
        <v>-0.106</v>
      </c>
      <c r="M1265" s="6">
        <v>-0.106</v>
      </c>
      <c r="N1265" s="6">
        <v>-0.106</v>
      </c>
      <c r="O1265" s="6">
        <v>-0.106</v>
      </c>
      <c r="P1265" s="6">
        <v>0</v>
      </c>
      <c r="Q1265" s="4" t="s">
        <v>26</v>
      </c>
      <c r="R1265" s="4">
        <v>0</v>
      </c>
      <c r="S1265" s="4" t="s">
        <v>216</v>
      </c>
      <c r="T1265" s="4" t="s">
        <v>449</v>
      </c>
      <c r="U1265" s="4">
        <v>0</v>
      </c>
      <c r="V1265" s="4">
        <v>24</v>
      </c>
      <c r="W1265" s="4">
        <v>66</v>
      </c>
    </row>
    <row r="1266" spans="1:23" ht="11.25" customHeight="1" x14ac:dyDescent="0.25">
      <c r="A1266" s="4" t="s">
        <v>28</v>
      </c>
      <c r="B1266" s="4" t="s">
        <v>35</v>
      </c>
      <c r="C1266" s="4" t="s">
        <v>36</v>
      </c>
      <c r="D1266" s="4" t="s">
        <v>48</v>
      </c>
      <c r="E1266" s="4" t="s">
        <v>25</v>
      </c>
      <c r="F1266" s="4" t="s">
        <v>25</v>
      </c>
      <c r="G1266" s="4" t="s">
        <v>25</v>
      </c>
      <c r="H1266" s="4" t="s">
        <v>37</v>
      </c>
      <c r="I1266" s="5">
        <v>44256</v>
      </c>
      <c r="J1266" s="6">
        <v>0</v>
      </c>
      <c r="K1266" s="6">
        <v>0</v>
      </c>
      <c r="L1266" s="6">
        <v>213.41499999999999</v>
      </c>
      <c r="M1266" s="6">
        <v>213.41499999999999</v>
      </c>
      <c r="N1266" s="6">
        <v>213.41499999999999</v>
      </c>
      <c r="O1266" s="6">
        <v>213.41499999999999</v>
      </c>
      <c r="P1266" s="6">
        <v>0</v>
      </c>
      <c r="Q1266" s="4" t="s">
        <v>26</v>
      </c>
      <c r="R1266" s="4">
        <v>0</v>
      </c>
      <c r="S1266" s="4" t="s">
        <v>216</v>
      </c>
      <c r="T1266" s="4" t="s">
        <v>449</v>
      </c>
      <c r="U1266" s="4">
        <v>0</v>
      </c>
      <c r="V1266" s="4">
        <v>24</v>
      </c>
      <c r="W1266" s="4">
        <v>66</v>
      </c>
    </row>
    <row r="1267" spans="1:23" ht="11.25" customHeight="1" x14ac:dyDescent="0.25">
      <c r="A1267" s="4" t="s">
        <v>29</v>
      </c>
      <c r="B1267" s="4" t="s">
        <v>35</v>
      </c>
      <c r="C1267" s="4" t="s">
        <v>36</v>
      </c>
      <c r="D1267" s="4" t="s">
        <v>48</v>
      </c>
      <c r="E1267" s="4" t="s">
        <v>25</v>
      </c>
      <c r="F1267" s="4" t="s">
        <v>25</v>
      </c>
      <c r="G1267" s="4" t="s">
        <v>25</v>
      </c>
      <c r="H1267" s="4" t="s">
        <v>37</v>
      </c>
      <c r="I1267" s="5">
        <v>44256</v>
      </c>
      <c r="J1267" s="6">
        <v>0</v>
      </c>
      <c r="K1267" s="6">
        <v>0</v>
      </c>
      <c r="L1267" s="6">
        <v>-0.73899999999999999</v>
      </c>
      <c r="M1267" s="6">
        <v>-0.73899999999999999</v>
      </c>
      <c r="N1267" s="6">
        <v>-0.73899999999999999</v>
      </c>
      <c r="O1267" s="6">
        <v>-0.73899999999999999</v>
      </c>
      <c r="P1267" s="6">
        <v>0</v>
      </c>
      <c r="Q1267" s="4" t="s">
        <v>26</v>
      </c>
      <c r="R1267" s="4">
        <v>0</v>
      </c>
      <c r="S1267" s="4" t="s">
        <v>216</v>
      </c>
      <c r="T1267" s="4" t="s">
        <v>449</v>
      </c>
      <c r="U1267" s="4">
        <v>0</v>
      </c>
      <c r="V1267" s="4">
        <v>24</v>
      </c>
      <c r="W1267" s="4">
        <v>66</v>
      </c>
    </row>
    <row r="1268" spans="1:23" ht="11.25" customHeight="1" x14ac:dyDescent="0.25">
      <c r="A1268" s="4" t="s">
        <v>30</v>
      </c>
      <c r="B1268" s="4" t="s">
        <v>35</v>
      </c>
      <c r="C1268" s="4" t="s">
        <v>36</v>
      </c>
      <c r="D1268" s="4" t="s">
        <v>48</v>
      </c>
      <c r="E1268" s="4" t="s">
        <v>25</v>
      </c>
      <c r="F1268" s="4" t="s">
        <v>25</v>
      </c>
      <c r="G1268" s="4" t="s">
        <v>25</v>
      </c>
      <c r="H1268" s="4" t="s">
        <v>37</v>
      </c>
      <c r="I1268" s="5">
        <v>44256</v>
      </c>
      <c r="J1268" s="6">
        <v>0</v>
      </c>
      <c r="K1268" s="6">
        <v>0</v>
      </c>
      <c r="L1268" s="6">
        <v>3.0550000000000002</v>
      </c>
      <c r="M1268" s="6">
        <v>3.0550000000000002</v>
      </c>
      <c r="N1268" s="6">
        <v>3.0550000000000002</v>
      </c>
      <c r="O1268" s="6">
        <v>3.0550000000000002</v>
      </c>
      <c r="P1268" s="6">
        <v>0</v>
      </c>
      <c r="Q1268" s="4" t="s">
        <v>26</v>
      </c>
      <c r="R1268" s="4">
        <v>0</v>
      </c>
      <c r="S1268" s="4" t="s">
        <v>216</v>
      </c>
      <c r="T1268" s="4" t="s">
        <v>449</v>
      </c>
      <c r="U1268" s="4">
        <v>0</v>
      </c>
      <c r="V1268" s="4">
        <v>24</v>
      </c>
      <c r="W1268" s="4">
        <v>66</v>
      </c>
    </row>
    <row r="1269" spans="1:23" ht="11.25" customHeight="1" x14ac:dyDescent="0.25">
      <c r="A1269" s="4" t="s">
        <v>21</v>
      </c>
      <c r="B1269" s="4" t="s">
        <v>35</v>
      </c>
      <c r="C1269" s="4" t="s">
        <v>36</v>
      </c>
      <c r="D1269" s="4" t="s">
        <v>48</v>
      </c>
      <c r="E1269" s="4" t="s">
        <v>25</v>
      </c>
      <c r="F1269" s="4" t="s">
        <v>25</v>
      </c>
      <c r="G1269" s="4" t="s">
        <v>25</v>
      </c>
      <c r="H1269" s="4" t="s">
        <v>37</v>
      </c>
      <c r="I1269" s="5">
        <v>44287</v>
      </c>
      <c r="J1269" s="6">
        <v>0</v>
      </c>
      <c r="K1269" s="6">
        <v>0</v>
      </c>
      <c r="L1269" s="6">
        <v>787.827</v>
      </c>
      <c r="M1269" s="6">
        <v>787.827</v>
      </c>
      <c r="N1269" s="6">
        <v>787.827</v>
      </c>
      <c r="O1269" s="6">
        <v>787.827</v>
      </c>
      <c r="P1269" s="6">
        <v>0</v>
      </c>
      <c r="Q1269" s="4" t="s">
        <v>26</v>
      </c>
      <c r="R1269" s="4">
        <v>0</v>
      </c>
      <c r="S1269" s="4" t="s">
        <v>217</v>
      </c>
      <c r="T1269" s="4" t="s">
        <v>450</v>
      </c>
      <c r="U1269" s="4">
        <v>0</v>
      </c>
      <c r="V1269" s="4">
        <v>24</v>
      </c>
      <c r="W1269" s="4">
        <v>66</v>
      </c>
    </row>
    <row r="1270" spans="1:23" ht="11.25" customHeight="1" x14ac:dyDescent="0.25">
      <c r="A1270" s="4" t="s">
        <v>27</v>
      </c>
      <c r="B1270" s="4" t="s">
        <v>35</v>
      </c>
      <c r="C1270" s="4" t="s">
        <v>36</v>
      </c>
      <c r="D1270" s="4" t="s">
        <v>48</v>
      </c>
      <c r="E1270" s="4" t="s">
        <v>25</v>
      </c>
      <c r="F1270" s="4" t="s">
        <v>25</v>
      </c>
      <c r="G1270" s="4" t="s">
        <v>25</v>
      </c>
      <c r="H1270" s="4" t="s">
        <v>37</v>
      </c>
      <c r="I1270" s="5">
        <v>44287</v>
      </c>
      <c r="J1270" s="6">
        <v>0</v>
      </c>
      <c r="K1270" s="6">
        <v>0</v>
      </c>
      <c r="L1270" s="6">
        <v>-0.113</v>
      </c>
      <c r="M1270" s="6">
        <v>-0.113</v>
      </c>
      <c r="N1270" s="6">
        <v>-0.113</v>
      </c>
      <c r="O1270" s="6">
        <v>-0.113</v>
      </c>
      <c r="P1270" s="6">
        <v>0</v>
      </c>
      <c r="Q1270" s="4" t="s">
        <v>26</v>
      </c>
      <c r="R1270" s="4">
        <v>0</v>
      </c>
      <c r="S1270" s="4" t="s">
        <v>217</v>
      </c>
      <c r="T1270" s="4" t="s">
        <v>450</v>
      </c>
      <c r="U1270" s="4">
        <v>0</v>
      </c>
      <c r="V1270" s="4">
        <v>24</v>
      </c>
      <c r="W1270" s="4">
        <v>66</v>
      </c>
    </row>
    <row r="1271" spans="1:23" ht="11.25" customHeight="1" x14ac:dyDescent="0.25">
      <c r="A1271" s="4" t="s">
        <v>28</v>
      </c>
      <c r="B1271" s="4" t="s">
        <v>35</v>
      </c>
      <c r="C1271" s="4" t="s">
        <v>36</v>
      </c>
      <c r="D1271" s="4" t="s">
        <v>48</v>
      </c>
      <c r="E1271" s="4" t="s">
        <v>25</v>
      </c>
      <c r="F1271" s="4" t="s">
        <v>25</v>
      </c>
      <c r="G1271" s="4" t="s">
        <v>25</v>
      </c>
      <c r="H1271" s="4" t="s">
        <v>37</v>
      </c>
      <c r="I1271" s="5">
        <v>44287</v>
      </c>
      <c r="J1271" s="6">
        <v>0</v>
      </c>
      <c r="K1271" s="6">
        <v>0</v>
      </c>
      <c r="L1271" s="6">
        <v>208.245</v>
      </c>
      <c r="M1271" s="6">
        <v>208.245</v>
      </c>
      <c r="N1271" s="6">
        <v>208.245</v>
      </c>
      <c r="O1271" s="6">
        <v>208.245</v>
      </c>
      <c r="P1271" s="6">
        <v>0</v>
      </c>
      <c r="Q1271" s="4" t="s">
        <v>26</v>
      </c>
      <c r="R1271" s="4">
        <v>0</v>
      </c>
      <c r="S1271" s="4" t="s">
        <v>217</v>
      </c>
      <c r="T1271" s="4" t="s">
        <v>450</v>
      </c>
      <c r="U1271" s="4">
        <v>0</v>
      </c>
      <c r="V1271" s="4">
        <v>24</v>
      </c>
      <c r="W1271" s="4">
        <v>66</v>
      </c>
    </row>
    <row r="1272" spans="1:23" ht="11.25" customHeight="1" x14ac:dyDescent="0.25">
      <c r="A1272" s="4" t="s">
        <v>29</v>
      </c>
      <c r="B1272" s="4" t="s">
        <v>35</v>
      </c>
      <c r="C1272" s="4" t="s">
        <v>36</v>
      </c>
      <c r="D1272" s="4" t="s">
        <v>48</v>
      </c>
      <c r="E1272" s="4" t="s">
        <v>25</v>
      </c>
      <c r="F1272" s="4" t="s">
        <v>25</v>
      </c>
      <c r="G1272" s="4" t="s">
        <v>25</v>
      </c>
      <c r="H1272" s="4" t="s">
        <v>37</v>
      </c>
      <c r="I1272" s="5">
        <v>44287</v>
      </c>
      <c r="J1272" s="6">
        <v>0</v>
      </c>
      <c r="K1272" s="6">
        <v>0</v>
      </c>
      <c r="L1272" s="6">
        <v>-0.64</v>
      </c>
      <c r="M1272" s="6">
        <v>-0.64</v>
      </c>
      <c r="N1272" s="6">
        <v>-0.64</v>
      </c>
      <c r="O1272" s="6">
        <v>-0.64</v>
      </c>
      <c r="P1272" s="6">
        <v>0</v>
      </c>
      <c r="Q1272" s="4" t="s">
        <v>26</v>
      </c>
      <c r="R1272" s="4">
        <v>0</v>
      </c>
      <c r="S1272" s="4" t="s">
        <v>217</v>
      </c>
      <c r="T1272" s="4" t="s">
        <v>450</v>
      </c>
      <c r="U1272" s="4">
        <v>0</v>
      </c>
      <c r="V1272" s="4">
        <v>24</v>
      </c>
      <c r="W1272" s="4">
        <v>66</v>
      </c>
    </row>
    <row r="1273" spans="1:23" ht="11.25" customHeight="1" x14ac:dyDescent="0.25">
      <c r="A1273" s="4" t="s">
        <v>30</v>
      </c>
      <c r="B1273" s="4" t="s">
        <v>35</v>
      </c>
      <c r="C1273" s="4" t="s">
        <v>36</v>
      </c>
      <c r="D1273" s="4" t="s">
        <v>48</v>
      </c>
      <c r="E1273" s="4" t="s">
        <v>25</v>
      </c>
      <c r="F1273" s="4" t="s">
        <v>25</v>
      </c>
      <c r="G1273" s="4" t="s">
        <v>25</v>
      </c>
      <c r="H1273" s="4" t="s">
        <v>37</v>
      </c>
      <c r="I1273" s="5">
        <v>44287</v>
      </c>
      <c r="J1273" s="6">
        <v>0</v>
      </c>
      <c r="K1273" s="6">
        <v>0</v>
      </c>
      <c r="L1273" s="6">
        <v>3.3809999999999998</v>
      </c>
      <c r="M1273" s="6">
        <v>3.3809999999999998</v>
      </c>
      <c r="N1273" s="6">
        <v>3.3809999999999998</v>
      </c>
      <c r="O1273" s="6">
        <v>3.3809999999999998</v>
      </c>
      <c r="P1273" s="6">
        <v>0</v>
      </c>
      <c r="Q1273" s="4" t="s">
        <v>26</v>
      </c>
      <c r="R1273" s="4">
        <v>0</v>
      </c>
      <c r="S1273" s="4" t="s">
        <v>217</v>
      </c>
      <c r="T1273" s="4" t="s">
        <v>450</v>
      </c>
      <c r="U1273" s="4">
        <v>0</v>
      </c>
      <c r="V1273" s="4">
        <v>24</v>
      </c>
      <c r="W1273" s="4">
        <v>66</v>
      </c>
    </row>
    <row r="1274" spans="1:23" ht="11.25" customHeight="1" x14ac:dyDescent="0.25">
      <c r="A1274" s="4" t="s">
        <v>21</v>
      </c>
      <c r="B1274" s="4" t="s">
        <v>35</v>
      </c>
      <c r="C1274" s="4" t="s">
        <v>36</v>
      </c>
      <c r="D1274" s="4" t="s">
        <v>48</v>
      </c>
      <c r="E1274" s="4" t="s">
        <v>25</v>
      </c>
      <c r="F1274" s="4" t="s">
        <v>25</v>
      </c>
      <c r="G1274" s="4" t="s">
        <v>25</v>
      </c>
      <c r="H1274" s="4" t="s">
        <v>37</v>
      </c>
      <c r="I1274" s="5">
        <v>44317</v>
      </c>
      <c r="J1274" s="6">
        <v>0</v>
      </c>
      <c r="K1274" s="6">
        <v>0</v>
      </c>
      <c r="L1274" s="6">
        <v>844.34100000000001</v>
      </c>
      <c r="M1274" s="6">
        <v>844.34100000000001</v>
      </c>
      <c r="N1274" s="6">
        <v>844.34100000000001</v>
      </c>
      <c r="O1274" s="6">
        <v>844.34100000000001</v>
      </c>
      <c r="P1274" s="6">
        <v>0</v>
      </c>
      <c r="Q1274" s="4" t="s">
        <v>26</v>
      </c>
      <c r="R1274" s="4">
        <v>0</v>
      </c>
      <c r="S1274" s="4" t="s">
        <v>218</v>
      </c>
      <c r="T1274" s="4" t="s">
        <v>451</v>
      </c>
      <c r="U1274" s="4">
        <v>0</v>
      </c>
      <c r="V1274" s="4">
        <v>24</v>
      </c>
      <c r="W1274" s="4">
        <v>66</v>
      </c>
    </row>
    <row r="1275" spans="1:23" ht="11.25" customHeight="1" x14ac:dyDescent="0.25">
      <c r="A1275" s="4" t="s">
        <v>27</v>
      </c>
      <c r="B1275" s="4" t="s">
        <v>35</v>
      </c>
      <c r="C1275" s="4" t="s">
        <v>36</v>
      </c>
      <c r="D1275" s="4" t="s">
        <v>48</v>
      </c>
      <c r="E1275" s="4" t="s">
        <v>25</v>
      </c>
      <c r="F1275" s="4" t="s">
        <v>25</v>
      </c>
      <c r="G1275" s="4" t="s">
        <v>25</v>
      </c>
      <c r="H1275" s="4" t="s">
        <v>37</v>
      </c>
      <c r="I1275" s="5">
        <v>44317</v>
      </c>
      <c r="J1275" s="6">
        <v>0</v>
      </c>
      <c r="K1275" s="6">
        <v>0</v>
      </c>
      <c r="L1275" s="6">
        <v>14.282</v>
      </c>
      <c r="M1275" s="6">
        <v>14.282</v>
      </c>
      <c r="N1275" s="6">
        <v>14.282</v>
      </c>
      <c r="O1275" s="6">
        <v>14.282</v>
      </c>
      <c r="P1275" s="6">
        <v>0</v>
      </c>
      <c r="Q1275" s="4" t="s">
        <v>26</v>
      </c>
      <c r="R1275" s="4">
        <v>0</v>
      </c>
      <c r="S1275" s="4" t="s">
        <v>218</v>
      </c>
      <c r="T1275" s="4" t="s">
        <v>451</v>
      </c>
      <c r="U1275" s="4">
        <v>0</v>
      </c>
      <c r="V1275" s="4">
        <v>24</v>
      </c>
      <c r="W1275" s="4">
        <v>66</v>
      </c>
    </row>
    <row r="1276" spans="1:23" ht="11.25" customHeight="1" x14ac:dyDescent="0.25">
      <c r="A1276" s="4" t="s">
        <v>28</v>
      </c>
      <c r="B1276" s="4" t="s">
        <v>35</v>
      </c>
      <c r="C1276" s="4" t="s">
        <v>36</v>
      </c>
      <c r="D1276" s="4" t="s">
        <v>48</v>
      </c>
      <c r="E1276" s="4" t="s">
        <v>25</v>
      </c>
      <c r="F1276" s="4" t="s">
        <v>25</v>
      </c>
      <c r="G1276" s="4" t="s">
        <v>25</v>
      </c>
      <c r="H1276" s="4" t="s">
        <v>37</v>
      </c>
      <c r="I1276" s="5">
        <v>44317</v>
      </c>
      <c r="J1276" s="6">
        <v>0</v>
      </c>
      <c r="K1276" s="6">
        <v>0</v>
      </c>
      <c r="L1276" s="6">
        <v>254.05699999999999</v>
      </c>
      <c r="M1276" s="6">
        <v>254.05699999999999</v>
      </c>
      <c r="N1276" s="6">
        <v>254.05699999999999</v>
      </c>
      <c r="O1276" s="6">
        <v>254.05699999999999</v>
      </c>
      <c r="P1276" s="6">
        <v>0</v>
      </c>
      <c r="Q1276" s="4" t="s">
        <v>26</v>
      </c>
      <c r="R1276" s="4">
        <v>0</v>
      </c>
      <c r="S1276" s="4" t="s">
        <v>218</v>
      </c>
      <c r="T1276" s="4" t="s">
        <v>451</v>
      </c>
      <c r="U1276" s="4">
        <v>0</v>
      </c>
      <c r="V1276" s="4">
        <v>24</v>
      </c>
      <c r="W1276" s="4">
        <v>66</v>
      </c>
    </row>
    <row r="1277" spans="1:23" ht="11.25" customHeight="1" x14ac:dyDescent="0.25">
      <c r="A1277" s="4" t="s">
        <v>29</v>
      </c>
      <c r="B1277" s="4" t="s">
        <v>35</v>
      </c>
      <c r="C1277" s="4" t="s">
        <v>36</v>
      </c>
      <c r="D1277" s="4" t="s">
        <v>48</v>
      </c>
      <c r="E1277" s="4" t="s">
        <v>25</v>
      </c>
      <c r="F1277" s="4" t="s">
        <v>25</v>
      </c>
      <c r="G1277" s="4" t="s">
        <v>25</v>
      </c>
      <c r="H1277" s="4" t="s">
        <v>37</v>
      </c>
      <c r="I1277" s="5">
        <v>44317</v>
      </c>
      <c r="J1277" s="6">
        <v>0</v>
      </c>
      <c r="K1277" s="6">
        <v>0</v>
      </c>
      <c r="L1277" s="6">
        <v>-3.988</v>
      </c>
      <c r="M1277" s="6">
        <v>-3.988</v>
      </c>
      <c r="N1277" s="6">
        <v>-3.988</v>
      </c>
      <c r="O1277" s="6">
        <v>-3.988</v>
      </c>
      <c r="P1277" s="6">
        <v>0</v>
      </c>
      <c r="Q1277" s="4" t="s">
        <v>26</v>
      </c>
      <c r="R1277" s="4">
        <v>0</v>
      </c>
      <c r="S1277" s="4" t="s">
        <v>218</v>
      </c>
      <c r="T1277" s="4" t="s">
        <v>451</v>
      </c>
      <c r="U1277" s="4">
        <v>0</v>
      </c>
      <c r="V1277" s="4">
        <v>24</v>
      </c>
      <c r="W1277" s="4">
        <v>66</v>
      </c>
    </row>
    <row r="1278" spans="1:23" ht="11.25" customHeight="1" x14ac:dyDescent="0.25">
      <c r="A1278" s="4" t="s">
        <v>30</v>
      </c>
      <c r="B1278" s="4" t="s">
        <v>35</v>
      </c>
      <c r="C1278" s="4" t="s">
        <v>36</v>
      </c>
      <c r="D1278" s="4" t="s">
        <v>48</v>
      </c>
      <c r="E1278" s="4" t="s">
        <v>25</v>
      </c>
      <c r="F1278" s="4" t="s">
        <v>25</v>
      </c>
      <c r="G1278" s="4" t="s">
        <v>25</v>
      </c>
      <c r="H1278" s="4" t="s">
        <v>37</v>
      </c>
      <c r="I1278" s="5">
        <v>44317</v>
      </c>
      <c r="J1278" s="6">
        <v>0</v>
      </c>
      <c r="K1278" s="6">
        <v>0</v>
      </c>
      <c r="L1278" s="6">
        <v>4.1360000000000001</v>
      </c>
      <c r="M1278" s="6">
        <v>4.1360000000000001</v>
      </c>
      <c r="N1278" s="6">
        <v>4.1360000000000001</v>
      </c>
      <c r="O1278" s="6">
        <v>4.1360000000000001</v>
      </c>
      <c r="P1278" s="6">
        <v>0</v>
      </c>
      <c r="Q1278" s="4" t="s">
        <v>26</v>
      </c>
      <c r="R1278" s="4">
        <v>0</v>
      </c>
      <c r="S1278" s="4" t="s">
        <v>218</v>
      </c>
      <c r="T1278" s="4" t="s">
        <v>451</v>
      </c>
      <c r="U1278" s="4">
        <v>0</v>
      </c>
      <c r="V1278" s="4">
        <v>24</v>
      </c>
      <c r="W1278" s="4">
        <v>66</v>
      </c>
    </row>
    <row r="1279" spans="1:23" ht="11.25" customHeight="1" x14ac:dyDescent="0.25">
      <c r="A1279" s="4" t="s">
        <v>21</v>
      </c>
      <c r="B1279" s="4" t="s">
        <v>35</v>
      </c>
      <c r="C1279" s="4" t="s">
        <v>36</v>
      </c>
      <c r="D1279" s="4" t="s">
        <v>48</v>
      </c>
      <c r="E1279" s="4" t="s">
        <v>25</v>
      </c>
      <c r="F1279" s="4" t="s">
        <v>25</v>
      </c>
      <c r="G1279" s="4" t="s">
        <v>25</v>
      </c>
      <c r="H1279" s="4" t="s">
        <v>37</v>
      </c>
      <c r="I1279" s="5">
        <v>44348</v>
      </c>
      <c r="J1279" s="6">
        <v>0</v>
      </c>
      <c r="K1279" s="6">
        <v>0</v>
      </c>
      <c r="L1279" s="6">
        <v>957.69600000000003</v>
      </c>
      <c r="M1279" s="6">
        <v>957.69600000000003</v>
      </c>
      <c r="N1279" s="6">
        <v>957.69600000000003</v>
      </c>
      <c r="O1279" s="6">
        <v>957.69600000000003</v>
      </c>
      <c r="P1279" s="6">
        <v>0</v>
      </c>
      <c r="Q1279" s="4" t="s">
        <v>26</v>
      </c>
      <c r="R1279" s="4">
        <v>0</v>
      </c>
      <c r="S1279" s="4" t="s">
        <v>219</v>
      </c>
      <c r="T1279" s="4" t="s">
        <v>452</v>
      </c>
      <c r="U1279" s="4">
        <v>0</v>
      </c>
      <c r="V1279" s="4">
        <v>24</v>
      </c>
      <c r="W1279" s="4">
        <v>66</v>
      </c>
    </row>
    <row r="1280" spans="1:23" ht="11.25" customHeight="1" x14ac:dyDescent="0.25">
      <c r="A1280" s="4" t="s">
        <v>27</v>
      </c>
      <c r="B1280" s="4" t="s">
        <v>35</v>
      </c>
      <c r="C1280" s="4" t="s">
        <v>36</v>
      </c>
      <c r="D1280" s="4" t="s">
        <v>48</v>
      </c>
      <c r="E1280" s="4" t="s">
        <v>25</v>
      </c>
      <c r="F1280" s="4" t="s">
        <v>25</v>
      </c>
      <c r="G1280" s="4" t="s">
        <v>25</v>
      </c>
      <c r="H1280" s="4" t="s">
        <v>37</v>
      </c>
      <c r="I1280" s="5">
        <v>44348</v>
      </c>
      <c r="J1280" s="6">
        <v>0</v>
      </c>
      <c r="K1280" s="6">
        <v>0</v>
      </c>
      <c r="L1280" s="6">
        <v>-8.4000000000000005E-2</v>
      </c>
      <c r="M1280" s="6">
        <v>-8.4000000000000005E-2</v>
      </c>
      <c r="N1280" s="6">
        <v>-8.4000000000000005E-2</v>
      </c>
      <c r="O1280" s="6">
        <v>-8.4000000000000005E-2</v>
      </c>
      <c r="P1280" s="6">
        <v>0</v>
      </c>
      <c r="Q1280" s="4" t="s">
        <v>26</v>
      </c>
      <c r="R1280" s="4">
        <v>0</v>
      </c>
      <c r="S1280" s="4" t="s">
        <v>219</v>
      </c>
      <c r="T1280" s="4" t="s">
        <v>452</v>
      </c>
      <c r="U1280" s="4">
        <v>0</v>
      </c>
      <c r="V1280" s="4">
        <v>24</v>
      </c>
      <c r="W1280" s="4">
        <v>66</v>
      </c>
    </row>
    <row r="1281" spans="1:23" ht="11.25" customHeight="1" x14ac:dyDescent="0.25">
      <c r="A1281" s="4" t="s">
        <v>28</v>
      </c>
      <c r="B1281" s="4" t="s">
        <v>35</v>
      </c>
      <c r="C1281" s="4" t="s">
        <v>36</v>
      </c>
      <c r="D1281" s="4" t="s">
        <v>48</v>
      </c>
      <c r="E1281" s="4" t="s">
        <v>25</v>
      </c>
      <c r="F1281" s="4" t="s">
        <v>25</v>
      </c>
      <c r="G1281" s="4" t="s">
        <v>25</v>
      </c>
      <c r="H1281" s="4" t="s">
        <v>37</v>
      </c>
      <c r="I1281" s="5">
        <v>44348</v>
      </c>
      <c r="J1281" s="6">
        <v>0</v>
      </c>
      <c r="K1281" s="6">
        <v>0</v>
      </c>
      <c r="L1281" s="6">
        <v>302.089</v>
      </c>
      <c r="M1281" s="6">
        <v>302.089</v>
      </c>
      <c r="N1281" s="6">
        <v>302.089</v>
      </c>
      <c r="O1281" s="6">
        <v>302.089</v>
      </c>
      <c r="P1281" s="6">
        <v>0</v>
      </c>
      <c r="Q1281" s="4" t="s">
        <v>26</v>
      </c>
      <c r="R1281" s="4">
        <v>0</v>
      </c>
      <c r="S1281" s="4" t="s">
        <v>219</v>
      </c>
      <c r="T1281" s="4" t="s">
        <v>452</v>
      </c>
      <c r="U1281" s="4">
        <v>0</v>
      </c>
      <c r="V1281" s="4">
        <v>24</v>
      </c>
      <c r="W1281" s="4">
        <v>66</v>
      </c>
    </row>
    <row r="1282" spans="1:23" ht="11.25" customHeight="1" x14ac:dyDescent="0.25">
      <c r="A1282" s="4" t="s">
        <v>29</v>
      </c>
      <c r="B1282" s="4" t="s">
        <v>35</v>
      </c>
      <c r="C1282" s="4" t="s">
        <v>36</v>
      </c>
      <c r="D1282" s="4" t="s">
        <v>48</v>
      </c>
      <c r="E1282" s="4" t="s">
        <v>25</v>
      </c>
      <c r="F1282" s="4" t="s">
        <v>25</v>
      </c>
      <c r="G1282" s="4" t="s">
        <v>25</v>
      </c>
      <c r="H1282" s="4" t="s">
        <v>37</v>
      </c>
      <c r="I1282" s="5">
        <v>44348</v>
      </c>
      <c r="J1282" s="6">
        <v>0</v>
      </c>
      <c r="K1282" s="6">
        <v>0</v>
      </c>
      <c r="L1282" s="6">
        <v>0.378</v>
      </c>
      <c r="M1282" s="6">
        <v>0.378</v>
      </c>
      <c r="N1282" s="6">
        <v>0.378</v>
      </c>
      <c r="O1282" s="6">
        <v>0.378</v>
      </c>
      <c r="P1282" s="6">
        <v>0</v>
      </c>
      <c r="Q1282" s="4" t="s">
        <v>26</v>
      </c>
      <c r="R1282" s="4">
        <v>0</v>
      </c>
      <c r="S1282" s="4" t="s">
        <v>219</v>
      </c>
      <c r="T1282" s="4" t="s">
        <v>452</v>
      </c>
      <c r="U1282" s="4">
        <v>0</v>
      </c>
      <c r="V1282" s="4">
        <v>24</v>
      </c>
      <c r="W1282" s="4">
        <v>66</v>
      </c>
    </row>
    <row r="1283" spans="1:23" ht="11.25" customHeight="1" x14ac:dyDescent="0.25">
      <c r="A1283" s="4" t="s">
        <v>30</v>
      </c>
      <c r="B1283" s="4" t="s">
        <v>35</v>
      </c>
      <c r="C1283" s="4" t="s">
        <v>36</v>
      </c>
      <c r="D1283" s="4" t="s">
        <v>48</v>
      </c>
      <c r="E1283" s="4" t="s">
        <v>25</v>
      </c>
      <c r="F1283" s="4" t="s">
        <v>25</v>
      </c>
      <c r="G1283" s="4" t="s">
        <v>25</v>
      </c>
      <c r="H1283" s="4" t="s">
        <v>37</v>
      </c>
      <c r="I1283" s="5">
        <v>44348</v>
      </c>
      <c r="J1283" s="6">
        <v>0</v>
      </c>
      <c r="K1283" s="6">
        <v>0</v>
      </c>
      <c r="L1283" s="6">
        <v>4.0369999999999999</v>
      </c>
      <c r="M1283" s="6">
        <v>4.0369999999999999</v>
      </c>
      <c r="N1283" s="6">
        <v>4.0369999999999999</v>
      </c>
      <c r="O1283" s="6">
        <v>4.0369999999999999</v>
      </c>
      <c r="P1283" s="6">
        <v>0</v>
      </c>
      <c r="Q1283" s="4" t="s">
        <v>26</v>
      </c>
      <c r="R1283" s="4">
        <v>0</v>
      </c>
      <c r="S1283" s="4" t="s">
        <v>219</v>
      </c>
      <c r="T1283" s="4" t="s">
        <v>452</v>
      </c>
      <c r="U1283" s="4">
        <v>0</v>
      </c>
      <c r="V1283" s="4">
        <v>24</v>
      </c>
      <c r="W1283" s="4">
        <v>66</v>
      </c>
    </row>
    <row r="1284" spans="1:23" ht="11.25" customHeight="1" x14ac:dyDescent="0.25">
      <c r="A1284" s="4" t="s">
        <v>21</v>
      </c>
      <c r="B1284" s="4" t="s">
        <v>35</v>
      </c>
      <c r="C1284" s="4" t="s">
        <v>36</v>
      </c>
      <c r="D1284" s="4" t="s">
        <v>48</v>
      </c>
      <c r="E1284" s="4" t="s">
        <v>25</v>
      </c>
      <c r="F1284" s="4" t="s">
        <v>25</v>
      </c>
      <c r="G1284" s="4" t="s">
        <v>25</v>
      </c>
      <c r="H1284" s="4" t="s">
        <v>37</v>
      </c>
      <c r="I1284" s="5">
        <v>44378</v>
      </c>
      <c r="J1284" s="6">
        <v>0</v>
      </c>
      <c r="K1284" s="6">
        <v>0</v>
      </c>
      <c r="L1284" s="6">
        <v>1032.9469999999999</v>
      </c>
      <c r="M1284" s="6">
        <v>1032.9469999999999</v>
      </c>
      <c r="N1284" s="6">
        <v>1032.9469999999999</v>
      </c>
      <c r="O1284" s="6">
        <v>1032.9469999999999</v>
      </c>
      <c r="P1284" s="6">
        <v>0</v>
      </c>
      <c r="Q1284" s="4" t="s">
        <v>26</v>
      </c>
      <c r="R1284" s="4">
        <v>0</v>
      </c>
      <c r="S1284" s="4" t="s">
        <v>220</v>
      </c>
      <c r="T1284" s="4" t="s">
        <v>453</v>
      </c>
      <c r="U1284" s="4">
        <v>0</v>
      </c>
      <c r="V1284" s="4">
        <v>24</v>
      </c>
      <c r="W1284" s="4">
        <v>66</v>
      </c>
    </row>
    <row r="1285" spans="1:23" ht="11.25" customHeight="1" x14ac:dyDescent="0.25">
      <c r="A1285" s="4" t="s">
        <v>28</v>
      </c>
      <c r="B1285" s="4" t="s">
        <v>35</v>
      </c>
      <c r="C1285" s="4" t="s">
        <v>36</v>
      </c>
      <c r="D1285" s="4" t="s">
        <v>48</v>
      </c>
      <c r="E1285" s="4" t="s">
        <v>25</v>
      </c>
      <c r="F1285" s="4" t="s">
        <v>25</v>
      </c>
      <c r="G1285" s="4" t="s">
        <v>25</v>
      </c>
      <c r="H1285" s="4" t="s">
        <v>37</v>
      </c>
      <c r="I1285" s="5">
        <v>44378</v>
      </c>
      <c r="J1285" s="6">
        <v>0</v>
      </c>
      <c r="K1285" s="6">
        <v>0</v>
      </c>
      <c r="L1285" s="6">
        <v>320.89999999999998</v>
      </c>
      <c r="M1285" s="6">
        <v>320.89999999999998</v>
      </c>
      <c r="N1285" s="6">
        <v>320.89999999999998</v>
      </c>
      <c r="O1285" s="6">
        <v>320.89999999999998</v>
      </c>
      <c r="P1285" s="6">
        <v>0</v>
      </c>
      <c r="Q1285" s="4" t="s">
        <v>26</v>
      </c>
      <c r="R1285" s="4">
        <v>0</v>
      </c>
      <c r="S1285" s="4" t="s">
        <v>220</v>
      </c>
      <c r="T1285" s="4" t="s">
        <v>453</v>
      </c>
      <c r="U1285" s="4">
        <v>0</v>
      </c>
      <c r="V1285" s="4">
        <v>24</v>
      </c>
      <c r="W1285" s="4">
        <v>66</v>
      </c>
    </row>
    <row r="1286" spans="1:23" ht="11.25" customHeight="1" x14ac:dyDescent="0.25">
      <c r="A1286" s="4" t="s">
        <v>30</v>
      </c>
      <c r="B1286" s="4" t="s">
        <v>35</v>
      </c>
      <c r="C1286" s="4" t="s">
        <v>36</v>
      </c>
      <c r="D1286" s="4" t="s">
        <v>48</v>
      </c>
      <c r="E1286" s="4" t="s">
        <v>25</v>
      </c>
      <c r="F1286" s="4" t="s">
        <v>25</v>
      </c>
      <c r="G1286" s="4" t="s">
        <v>25</v>
      </c>
      <c r="H1286" s="4" t="s">
        <v>37</v>
      </c>
      <c r="I1286" s="5">
        <v>44378</v>
      </c>
      <c r="J1286" s="6">
        <v>0</v>
      </c>
      <c r="K1286" s="6">
        <v>0</v>
      </c>
      <c r="L1286" s="6">
        <v>4.2830000000000004</v>
      </c>
      <c r="M1286" s="6">
        <v>4.2830000000000004</v>
      </c>
      <c r="N1286" s="6">
        <v>4.2830000000000004</v>
      </c>
      <c r="O1286" s="6">
        <v>4.2830000000000004</v>
      </c>
      <c r="P1286" s="6">
        <v>0</v>
      </c>
      <c r="Q1286" s="4" t="s">
        <v>26</v>
      </c>
      <c r="R1286" s="4">
        <v>0</v>
      </c>
      <c r="S1286" s="4" t="s">
        <v>220</v>
      </c>
      <c r="T1286" s="4" t="s">
        <v>453</v>
      </c>
      <c r="U1286" s="4">
        <v>0</v>
      </c>
      <c r="V1286" s="4">
        <v>24</v>
      </c>
      <c r="W1286" s="4">
        <v>66</v>
      </c>
    </row>
    <row r="1287" spans="1:23" ht="11.25" customHeight="1" x14ac:dyDescent="0.25">
      <c r="A1287" s="4" t="s">
        <v>21</v>
      </c>
      <c r="B1287" s="4" t="s">
        <v>35</v>
      </c>
      <c r="C1287" s="4" t="s">
        <v>36</v>
      </c>
      <c r="D1287" s="4" t="s">
        <v>48</v>
      </c>
      <c r="E1287" s="4" t="s">
        <v>25</v>
      </c>
      <c r="F1287" s="4" t="s">
        <v>25</v>
      </c>
      <c r="G1287" s="4" t="s">
        <v>25</v>
      </c>
      <c r="H1287" s="4" t="s">
        <v>37</v>
      </c>
      <c r="I1287" s="5">
        <v>44409</v>
      </c>
      <c r="J1287" s="6">
        <v>0</v>
      </c>
      <c r="K1287" s="6">
        <v>0</v>
      </c>
      <c r="L1287" s="6">
        <v>979.41399999999999</v>
      </c>
      <c r="M1287" s="6">
        <v>979.41399999999999</v>
      </c>
      <c r="N1287" s="6">
        <v>979.41399999999999</v>
      </c>
      <c r="O1287" s="6">
        <v>979.41399999999999</v>
      </c>
      <c r="P1287" s="6">
        <v>0</v>
      </c>
      <c r="Q1287" s="4" t="s">
        <v>26</v>
      </c>
      <c r="R1287" s="4">
        <v>0</v>
      </c>
      <c r="S1287" s="4" t="s">
        <v>221</v>
      </c>
      <c r="T1287" s="4" t="s">
        <v>454</v>
      </c>
      <c r="U1287" s="4">
        <v>0</v>
      </c>
      <c r="V1287" s="4">
        <v>24</v>
      </c>
      <c r="W1287" s="4">
        <v>66</v>
      </c>
    </row>
    <row r="1288" spans="1:23" ht="11.25" customHeight="1" x14ac:dyDescent="0.25">
      <c r="A1288" s="4" t="s">
        <v>27</v>
      </c>
      <c r="B1288" s="4" t="s">
        <v>35</v>
      </c>
      <c r="C1288" s="4" t="s">
        <v>36</v>
      </c>
      <c r="D1288" s="4" t="s">
        <v>48</v>
      </c>
      <c r="E1288" s="4" t="s">
        <v>25</v>
      </c>
      <c r="F1288" s="4" t="s">
        <v>25</v>
      </c>
      <c r="G1288" s="4" t="s">
        <v>25</v>
      </c>
      <c r="H1288" s="4" t="s">
        <v>37</v>
      </c>
      <c r="I1288" s="5">
        <v>44409</v>
      </c>
      <c r="J1288" s="6">
        <v>0</v>
      </c>
      <c r="K1288" s="6">
        <v>0</v>
      </c>
      <c r="L1288" s="6">
        <v>-2143.2049999999999</v>
      </c>
      <c r="M1288" s="6">
        <v>-2143.2049999999999</v>
      </c>
      <c r="N1288" s="6">
        <v>-2143.2049999999999</v>
      </c>
      <c r="O1288" s="6">
        <v>-2143.2049999999999</v>
      </c>
      <c r="P1288" s="6">
        <v>0</v>
      </c>
      <c r="Q1288" s="4" t="s">
        <v>26</v>
      </c>
      <c r="R1288" s="4">
        <v>0</v>
      </c>
      <c r="S1288" s="4" t="s">
        <v>221</v>
      </c>
      <c r="T1288" s="4" t="s">
        <v>454</v>
      </c>
      <c r="U1288" s="4">
        <v>0</v>
      </c>
      <c r="V1288" s="4">
        <v>24</v>
      </c>
      <c r="W1288" s="4">
        <v>66</v>
      </c>
    </row>
    <row r="1289" spans="1:23" ht="11.25" customHeight="1" x14ac:dyDescent="0.25">
      <c r="A1289" s="4" t="s">
        <v>28</v>
      </c>
      <c r="B1289" s="4" t="s">
        <v>35</v>
      </c>
      <c r="C1289" s="4" t="s">
        <v>36</v>
      </c>
      <c r="D1289" s="4" t="s">
        <v>48</v>
      </c>
      <c r="E1289" s="4" t="s">
        <v>25</v>
      </c>
      <c r="F1289" s="4" t="s">
        <v>25</v>
      </c>
      <c r="G1289" s="4" t="s">
        <v>25</v>
      </c>
      <c r="H1289" s="4" t="s">
        <v>37</v>
      </c>
      <c r="I1289" s="5">
        <v>44409</v>
      </c>
      <c r="J1289" s="6">
        <v>0</v>
      </c>
      <c r="K1289" s="6">
        <v>0</v>
      </c>
      <c r="L1289" s="6">
        <v>297.65699999999998</v>
      </c>
      <c r="M1289" s="6">
        <v>297.65699999999998</v>
      </c>
      <c r="N1289" s="6">
        <v>297.65699999999998</v>
      </c>
      <c r="O1289" s="6">
        <v>297.65699999999998</v>
      </c>
      <c r="P1289" s="6">
        <v>0</v>
      </c>
      <c r="Q1289" s="4" t="s">
        <v>26</v>
      </c>
      <c r="R1289" s="4">
        <v>0</v>
      </c>
      <c r="S1289" s="4" t="s">
        <v>221</v>
      </c>
      <c r="T1289" s="4" t="s">
        <v>454</v>
      </c>
      <c r="U1289" s="4">
        <v>0</v>
      </c>
      <c r="V1289" s="4">
        <v>24</v>
      </c>
      <c r="W1289" s="4">
        <v>66</v>
      </c>
    </row>
    <row r="1290" spans="1:23" ht="11.25" customHeight="1" x14ac:dyDescent="0.25">
      <c r="A1290" s="4" t="s">
        <v>30</v>
      </c>
      <c r="B1290" s="4" t="s">
        <v>35</v>
      </c>
      <c r="C1290" s="4" t="s">
        <v>36</v>
      </c>
      <c r="D1290" s="4" t="s">
        <v>48</v>
      </c>
      <c r="E1290" s="4" t="s">
        <v>25</v>
      </c>
      <c r="F1290" s="4" t="s">
        <v>25</v>
      </c>
      <c r="G1290" s="4" t="s">
        <v>25</v>
      </c>
      <c r="H1290" s="4" t="s">
        <v>37</v>
      </c>
      <c r="I1290" s="5">
        <v>44409</v>
      </c>
      <c r="J1290" s="6">
        <v>0</v>
      </c>
      <c r="K1290" s="6">
        <v>0</v>
      </c>
      <c r="L1290" s="6">
        <v>0.72</v>
      </c>
      <c r="M1290" s="6">
        <v>0.72</v>
      </c>
      <c r="N1290" s="6">
        <v>0.72</v>
      </c>
      <c r="O1290" s="6">
        <v>0.72</v>
      </c>
      <c r="P1290" s="6">
        <v>0</v>
      </c>
      <c r="Q1290" s="4" t="s">
        <v>26</v>
      </c>
      <c r="R1290" s="4">
        <v>0</v>
      </c>
      <c r="S1290" s="4" t="s">
        <v>221</v>
      </c>
      <c r="T1290" s="4" t="s">
        <v>454</v>
      </c>
      <c r="U1290" s="4">
        <v>0</v>
      </c>
      <c r="V1290" s="4">
        <v>24</v>
      </c>
      <c r="W1290" s="4">
        <v>66</v>
      </c>
    </row>
    <row r="1291" spans="1:23" ht="11.25" customHeight="1" x14ac:dyDescent="0.25">
      <c r="A1291" s="4" t="s">
        <v>21</v>
      </c>
      <c r="B1291" s="4" t="s">
        <v>35</v>
      </c>
      <c r="C1291" s="4" t="s">
        <v>36</v>
      </c>
      <c r="D1291" s="4" t="s">
        <v>48</v>
      </c>
      <c r="E1291" s="4" t="s">
        <v>25</v>
      </c>
      <c r="F1291" s="4" t="s">
        <v>25</v>
      </c>
      <c r="G1291" s="4" t="s">
        <v>25</v>
      </c>
      <c r="H1291" s="4" t="s">
        <v>37</v>
      </c>
      <c r="I1291" s="5">
        <v>44440</v>
      </c>
      <c r="J1291" s="6">
        <v>0</v>
      </c>
      <c r="K1291" s="6">
        <v>0</v>
      </c>
      <c r="L1291" s="6">
        <v>932.279</v>
      </c>
      <c r="M1291" s="6">
        <v>932.279</v>
      </c>
      <c r="N1291" s="6">
        <v>932.279</v>
      </c>
      <c r="O1291" s="6">
        <v>932.279</v>
      </c>
      <c r="P1291" s="6">
        <v>0</v>
      </c>
      <c r="Q1291" s="4" t="s">
        <v>26</v>
      </c>
      <c r="R1291" s="4">
        <v>0</v>
      </c>
      <c r="S1291" s="4" t="s">
        <v>222</v>
      </c>
      <c r="T1291" s="4" t="s">
        <v>455</v>
      </c>
      <c r="U1291" s="4">
        <v>0</v>
      </c>
      <c r="V1291" s="4">
        <v>24</v>
      </c>
      <c r="W1291" s="4">
        <v>66</v>
      </c>
    </row>
    <row r="1292" spans="1:23" ht="11.25" customHeight="1" x14ac:dyDescent="0.25">
      <c r="A1292" s="4" t="s">
        <v>27</v>
      </c>
      <c r="B1292" s="4" t="s">
        <v>35</v>
      </c>
      <c r="C1292" s="4" t="s">
        <v>36</v>
      </c>
      <c r="D1292" s="4" t="s">
        <v>48</v>
      </c>
      <c r="E1292" s="4" t="s">
        <v>25</v>
      </c>
      <c r="F1292" s="4" t="s">
        <v>25</v>
      </c>
      <c r="G1292" s="4" t="s">
        <v>25</v>
      </c>
      <c r="H1292" s="4" t="s">
        <v>37</v>
      </c>
      <c r="I1292" s="5">
        <v>44440</v>
      </c>
      <c r="J1292" s="6">
        <v>0</v>
      </c>
      <c r="K1292" s="6">
        <v>0</v>
      </c>
      <c r="L1292" s="6">
        <v>-0.73799999999999999</v>
      </c>
      <c r="M1292" s="6">
        <v>-0.73799999999999999</v>
      </c>
      <c r="N1292" s="6">
        <v>-0.73799999999999999</v>
      </c>
      <c r="O1292" s="6">
        <v>-0.73799999999999999</v>
      </c>
      <c r="P1292" s="6">
        <v>0</v>
      </c>
      <c r="Q1292" s="4" t="s">
        <v>26</v>
      </c>
      <c r="R1292" s="4">
        <v>0</v>
      </c>
      <c r="S1292" s="4" t="s">
        <v>222</v>
      </c>
      <c r="T1292" s="4" t="s">
        <v>455</v>
      </c>
      <c r="U1292" s="4">
        <v>0</v>
      </c>
      <c r="V1292" s="4">
        <v>24</v>
      </c>
      <c r="W1292" s="4">
        <v>66</v>
      </c>
    </row>
    <row r="1293" spans="1:23" ht="11.25" customHeight="1" x14ac:dyDescent="0.25">
      <c r="A1293" s="4" t="s">
        <v>28</v>
      </c>
      <c r="B1293" s="4" t="s">
        <v>35</v>
      </c>
      <c r="C1293" s="4" t="s">
        <v>36</v>
      </c>
      <c r="D1293" s="4" t="s">
        <v>48</v>
      </c>
      <c r="E1293" s="4" t="s">
        <v>25</v>
      </c>
      <c r="F1293" s="4" t="s">
        <v>25</v>
      </c>
      <c r="G1293" s="4" t="s">
        <v>25</v>
      </c>
      <c r="H1293" s="4" t="s">
        <v>37</v>
      </c>
      <c r="I1293" s="5">
        <v>44440</v>
      </c>
      <c r="J1293" s="6">
        <v>0</v>
      </c>
      <c r="K1293" s="6">
        <v>0</v>
      </c>
      <c r="L1293" s="6">
        <v>309.04500000000002</v>
      </c>
      <c r="M1293" s="6">
        <v>309.04500000000002</v>
      </c>
      <c r="N1293" s="6">
        <v>309.04500000000002</v>
      </c>
      <c r="O1293" s="6">
        <v>309.04500000000002</v>
      </c>
      <c r="P1293" s="6">
        <v>0</v>
      </c>
      <c r="Q1293" s="4" t="s">
        <v>26</v>
      </c>
      <c r="R1293" s="4">
        <v>0</v>
      </c>
      <c r="S1293" s="4" t="s">
        <v>222</v>
      </c>
      <c r="T1293" s="4" t="s">
        <v>455</v>
      </c>
      <c r="U1293" s="4">
        <v>0</v>
      </c>
      <c r="V1293" s="4">
        <v>24</v>
      </c>
      <c r="W1293" s="4">
        <v>66</v>
      </c>
    </row>
    <row r="1294" spans="1:23" ht="11.25" customHeight="1" x14ac:dyDescent="0.25">
      <c r="A1294" s="4" t="s">
        <v>30</v>
      </c>
      <c r="B1294" s="4" t="s">
        <v>35</v>
      </c>
      <c r="C1294" s="4" t="s">
        <v>36</v>
      </c>
      <c r="D1294" s="4" t="s">
        <v>48</v>
      </c>
      <c r="E1294" s="4" t="s">
        <v>25</v>
      </c>
      <c r="F1294" s="4" t="s">
        <v>25</v>
      </c>
      <c r="G1294" s="4" t="s">
        <v>25</v>
      </c>
      <c r="H1294" s="4" t="s">
        <v>37</v>
      </c>
      <c r="I1294" s="5">
        <v>44440</v>
      </c>
      <c r="J1294" s="6">
        <v>0</v>
      </c>
      <c r="K1294" s="6">
        <v>0</v>
      </c>
      <c r="L1294" s="6">
        <v>0.67200000000000004</v>
      </c>
      <c r="M1294" s="6">
        <v>0.67200000000000004</v>
      </c>
      <c r="N1294" s="6">
        <v>0.67200000000000004</v>
      </c>
      <c r="O1294" s="6">
        <v>0.67200000000000004</v>
      </c>
      <c r="P1294" s="6">
        <v>0</v>
      </c>
      <c r="Q1294" s="4" t="s">
        <v>26</v>
      </c>
      <c r="R1294" s="4">
        <v>0</v>
      </c>
      <c r="S1294" s="4" t="s">
        <v>222</v>
      </c>
      <c r="T1294" s="4" t="s">
        <v>455</v>
      </c>
      <c r="U1294" s="4">
        <v>0</v>
      </c>
      <c r="V1294" s="4">
        <v>24</v>
      </c>
      <c r="W1294" s="4">
        <v>66</v>
      </c>
    </row>
    <row r="1295" spans="1:23" ht="11.25" customHeight="1" x14ac:dyDescent="0.25">
      <c r="A1295" s="4" t="s">
        <v>59</v>
      </c>
      <c r="B1295" s="4" t="s">
        <v>35</v>
      </c>
      <c r="C1295" s="4" t="s">
        <v>36</v>
      </c>
      <c r="D1295" s="4" t="s">
        <v>48</v>
      </c>
      <c r="E1295" s="4" t="s">
        <v>25</v>
      </c>
      <c r="F1295" s="4" t="s">
        <v>25</v>
      </c>
      <c r="G1295" s="4" t="s">
        <v>25</v>
      </c>
      <c r="H1295" s="4" t="s">
        <v>37</v>
      </c>
      <c r="I1295" s="5">
        <v>44470</v>
      </c>
      <c r="J1295" s="6">
        <v>0</v>
      </c>
      <c r="K1295" s="6">
        <v>0</v>
      </c>
      <c r="L1295" s="6">
        <v>932.279</v>
      </c>
      <c r="M1295" s="6">
        <v>932.279</v>
      </c>
      <c r="N1295" s="6">
        <v>932.279</v>
      </c>
      <c r="O1295" s="6">
        <v>932.279</v>
      </c>
      <c r="P1295" s="6">
        <v>0</v>
      </c>
      <c r="Q1295" s="4" t="s">
        <v>26</v>
      </c>
      <c r="R1295" s="4">
        <v>0</v>
      </c>
      <c r="S1295" s="4" t="s">
        <v>223</v>
      </c>
      <c r="T1295" s="4" t="s">
        <v>456</v>
      </c>
      <c r="U1295" s="4">
        <v>0</v>
      </c>
      <c r="V1295" s="4">
        <v>24</v>
      </c>
      <c r="W1295" s="4">
        <v>66</v>
      </c>
    </row>
    <row r="1296" spans="1:23" ht="11.25" customHeight="1" x14ac:dyDescent="0.25">
      <c r="A1296" s="4" t="s">
        <v>59</v>
      </c>
      <c r="B1296" s="4" t="s">
        <v>35</v>
      </c>
      <c r="C1296" s="4" t="s">
        <v>36</v>
      </c>
      <c r="D1296" s="4" t="s">
        <v>48</v>
      </c>
      <c r="E1296" s="4" t="s">
        <v>25</v>
      </c>
      <c r="F1296" s="4" t="s">
        <v>25</v>
      </c>
      <c r="G1296" s="4" t="s">
        <v>25</v>
      </c>
      <c r="H1296" s="4" t="s">
        <v>37</v>
      </c>
      <c r="I1296" s="5">
        <v>44470</v>
      </c>
      <c r="J1296" s="6">
        <v>0</v>
      </c>
      <c r="K1296" s="6">
        <v>0</v>
      </c>
      <c r="L1296" s="6">
        <v>-0.73799999999999999</v>
      </c>
      <c r="M1296" s="6">
        <v>-0.73799999999999999</v>
      </c>
      <c r="N1296" s="6">
        <v>-0.73799999999999999</v>
      </c>
      <c r="O1296" s="6">
        <v>-0.73799999999999999</v>
      </c>
      <c r="P1296" s="6">
        <v>0</v>
      </c>
      <c r="Q1296" s="4" t="s">
        <v>26</v>
      </c>
      <c r="R1296" s="4">
        <v>0</v>
      </c>
      <c r="S1296" s="4" t="s">
        <v>223</v>
      </c>
      <c r="T1296" s="4" t="s">
        <v>456</v>
      </c>
      <c r="U1296" s="4">
        <v>0</v>
      </c>
      <c r="V1296" s="4">
        <v>24</v>
      </c>
      <c r="W1296" s="4">
        <v>66</v>
      </c>
    </row>
    <row r="1297" spans="1:23" ht="11.25" customHeight="1" x14ac:dyDescent="0.25">
      <c r="A1297" s="4" t="s">
        <v>59</v>
      </c>
      <c r="B1297" s="4" t="s">
        <v>35</v>
      </c>
      <c r="C1297" s="4" t="s">
        <v>36</v>
      </c>
      <c r="D1297" s="4" t="s">
        <v>48</v>
      </c>
      <c r="E1297" s="4" t="s">
        <v>25</v>
      </c>
      <c r="F1297" s="4" t="s">
        <v>25</v>
      </c>
      <c r="G1297" s="4" t="s">
        <v>25</v>
      </c>
      <c r="H1297" s="4" t="s">
        <v>37</v>
      </c>
      <c r="I1297" s="5">
        <v>44470</v>
      </c>
      <c r="J1297" s="6">
        <v>0</v>
      </c>
      <c r="K1297" s="6">
        <v>0</v>
      </c>
      <c r="L1297" s="6">
        <v>309.04500000000002</v>
      </c>
      <c r="M1297" s="6">
        <v>309.04500000000002</v>
      </c>
      <c r="N1297" s="6">
        <v>309.04500000000002</v>
      </c>
      <c r="O1297" s="6">
        <v>309.04500000000002</v>
      </c>
      <c r="P1297" s="6">
        <v>0</v>
      </c>
      <c r="Q1297" s="4" t="s">
        <v>26</v>
      </c>
      <c r="R1297" s="4">
        <v>0</v>
      </c>
      <c r="S1297" s="4" t="s">
        <v>223</v>
      </c>
      <c r="T1297" s="4" t="s">
        <v>456</v>
      </c>
      <c r="U1297" s="4">
        <v>0</v>
      </c>
      <c r="V1297" s="4">
        <v>24</v>
      </c>
      <c r="W1297" s="4">
        <v>66</v>
      </c>
    </row>
    <row r="1298" spans="1:23" ht="11.25" customHeight="1" x14ac:dyDescent="0.25">
      <c r="A1298" s="4" t="s">
        <v>59</v>
      </c>
      <c r="B1298" s="4" t="s">
        <v>35</v>
      </c>
      <c r="C1298" s="4" t="s">
        <v>36</v>
      </c>
      <c r="D1298" s="4" t="s">
        <v>48</v>
      </c>
      <c r="E1298" s="4" t="s">
        <v>25</v>
      </c>
      <c r="F1298" s="4" t="s">
        <v>25</v>
      </c>
      <c r="G1298" s="4" t="s">
        <v>25</v>
      </c>
      <c r="H1298" s="4" t="s">
        <v>37</v>
      </c>
      <c r="I1298" s="5">
        <v>44470</v>
      </c>
      <c r="J1298" s="6">
        <v>0</v>
      </c>
      <c r="K1298" s="6">
        <v>0</v>
      </c>
      <c r="L1298" s="6">
        <v>0.67200000000000004</v>
      </c>
      <c r="M1298" s="6">
        <v>0.67200000000000004</v>
      </c>
      <c r="N1298" s="6">
        <v>0.67200000000000004</v>
      </c>
      <c r="O1298" s="6">
        <v>0.67200000000000004</v>
      </c>
      <c r="P1298" s="6">
        <v>0</v>
      </c>
      <c r="Q1298" s="4" t="s">
        <v>26</v>
      </c>
      <c r="R1298" s="4">
        <v>0</v>
      </c>
      <c r="S1298" s="4" t="s">
        <v>223</v>
      </c>
      <c r="T1298" s="4" t="s">
        <v>456</v>
      </c>
      <c r="U1298" s="4">
        <v>0</v>
      </c>
      <c r="V1298" s="4">
        <v>24</v>
      </c>
      <c r="W1298" s="4">
        <v>66</v>
      </c>
    </row>
    <row r="1299" spans="1:23" ht="11.25" customHeight="1" x14ac:dyDescent="0.25">
      <c r="A1299" s="4" t="s">
        <v>21</v>
      </c>
      <c r="B1299" s="4" t="s">
        <v>35</v>
      </c>
      <c r="C1299" s="4" t="s">
        <v>36</v>
      </c>
      <c r="D1299" s="4" t="s">
        <v>24</v>
      </c>
      <c r="E1299" s="4" t="s">
        <v>24</v>
      </c>
      <c r="F1299" s="4" t="s">
        <v>25</v>
      </c>
      <c r="G1299" s="4" t="s">
        <v>25</v>
      </c>
      <c r="H1299" s="4" t="s">
        <v>38</v>
      </c>
      <c r="I1299" s="5">
        <v>44136</v>
      </c>
      <c r="J1299" s="6">
        <v>0</v>
      </c>
      <c r="K1299" s="6">
        <v>0</v>
      </c>
      <c r="L1299" s="6">
        <v>412.899</v>
      </c>
      <c r="M1299" s="6">
        <v>412.899</v>
      </c>
      <c r="N1299" s="6">
        <v>412.899</v>
      </c>
      <c r="O1299" s="6">
        <v>412.899</v>
      </c>
      <c r="P1299" s="6">
        <v>0</v>
      </c>
      <c r="Q1299" s="4" t="s">
        <v>26</v>
      </c>
      <c r="R1299" s="4">
        <v>0</v>
      </c>
      <c r="S1299" s="4" t="s">
        <v>188</v>
      </c>
      <c r="T1299" s="4" t="s">
        <v>433</v>
      </c>
      <c r="U1299" s="4">
        <v>0</v>
      </c>
      <c r="V1299" s="4">
        <v>19</v>
      </c>
      <c r="W1299" s="4">
        <v>67</v>
      </c>
    </row>
    <row r="1300" spans="1:23" ht="11.25" customHeight="1" x14ac:dyDescent="0.25">
      <c r="A1300" s="4" t="s">
        <v>21</v>
      </c>
      <c r="B1300" s="4" t="s">
        <v>35</v>
      </c>
      <c r="C1300" s="4" t="s">
        <v>36</v>
      </c>
      <c r="D1300" s="4" t="s">
        <v>24</v>
      </c>
      <c r="E1300" s="4" t="s">
        <v>24</v>
      </c>
      <c r="F1300" s="4" t="s">
        <v>25</v>
      </c>
      <c r="G1300" s="4" t="s">
        <v>25</v>
      </c>
      <c r="H1300" s="4" t="s">
        <v>38</v>
      </c>
      <c r="I1300" s="5">
        <v>44166</v>
      </c>
      <c r="J1300" s="6">
        <v>0</v>
      </c>
      <c r="K1300" s="6">
        <v>0</v>
      </c>
      <c r="L1300" s="6">
        <v>414.23399999999998</v>
      </c>
      <c r="M1300" s="6">
        <v>414.23399999999998</v>
      </c>
      <c r="N1300" s="6">
        <v>414.23399999999998</v>
      </c>
      <c r="O1300" s="6">
        <v>414.23399999999998</v>
      </c>
      <c r="P1300" s="6">
        <v>0</v>
      </c>
      <c r="Q1300" s="4" t="s">
        <v>26</v>
      </c>
      <c r="R1300" s="4">
        <v>0</v>
      </c>
      <c r="S1300" s="4" t="s">
        <v>189</v>
      </c>
      <c r="T1300" s="4" t="s">
        <v>434</v>
      </c>
      <c r="U1300" s="4">
        <v>0</v>
      </c>
      <c r="V1300" s="4">
        <v>19</v>
      </c>
      <c r="W1300" s="4">
        <v>67</v>
      </c>
    </row>
    <row r="1301" spans="1:23" ht="11.25" customHeight="1" x14ac:dyDescent="0.25">
      <c r="A1301" s="4" t="s">
        <v>21</v>
      </c>
      <c r="B1301" s="4" t="s">
        <v>35</v>
      </c>
      <c r="C1301" s="4" t="s">
        <v>36</v>
      </c>
      <c r="D1301" s="4" t="s">
        <v>24</v>
      </c>
      <c r="E1301" s="4" t="s">
        <v>24</v>
      </c>
      <c r="F1301" s="4" t="s">
        <v>25</v>
      </c>
      <c r="G1301" s="4" t="s">
        <v>25</v>
      </c>
      <c r="H1301" s="4" t="s">
        <v>38</v>
      </c>
      <c r="I1301" s="5">
        <v>44197</v>
      </c>
      <c r="J1301" s="6">
        <v>0</v>
      </c>
      <c r="K1301" s="6">
        <v>0</v>
      </c>
      <c r="L1301" s="6">
        <v>357.72500000000002</v>
      </c>
      <c r="M1301" s="6">
        <v>357.72500000000002</v>
      </c>
      <c r="N1301" s="6">
        <v>357.72500000000002</v>
      </c>
      <c r="O1301" s="6">
        <v>357.72500000000002</v>
      </c>
      <c r="P1301" s="6">
        <v>0</v>
      </c>
      <c r="Q1301" s="4" t="s">
        <v>26</v>
      </c>
      <c r="R1301" s="4">
        <v>0</v>
      </c>
      <c r="S1301" s="4" t="s">
        <v>190</v>
      </c>
      <c r="T1301" s="4" t="s">
        <v>435</v>
      </c>
      <c r="U1301" s="4">
        <v>0</v>
      </c>
      <c r="V1301" s="4">
        <v>19</v>
      </c>
      <c r="W1301" s="4">
        <v>67</v>
      </c>
    </row>
    <row r="1302" spans="1:23" ht="11.25" customHeight="1" x14ac:dyDescent="0.25">
      <c r="A1302" s="4" t="s">
        <v>21</v>
      </c>
      <c r="B1302" s="4" t="s">
        <v>35</v>
      </c>
      <c r="C1302" s="4" t="s">
        <v>36</v>
      </c>
      <c r="D1302" s="4" t="s">
        <v>24</v>
      </c>
      <c r="E1302" s="4" t="s">
        <v>24</v>
      </c>
      <c r="F1302" s="4" t="s">
        <v>25</v>
      </c>
      <c r="G1302" s="4" t="s">
        <v>25</v>
      </c>
      <c r="H1302" s="4" t="s">
        <v>38</v>
      </c>
      <c r="I1302" s="5">
        <v>44228</v>
      </c>
      <c r="J1302" s="6">
        <v>0</v>
      </c>
      <c r="K1302" s="6">
        <v>0</v>
      </c>
      <c r="L1302" s="6">
        <v>327.81700000000001</v>
      </c>
      <c r="M1302" s="6">
        <v>327.81700000000001</v>
      </c>
      <c r="N1302" s="6">
        <v>327.81700000000001</v>
      </c>
      <c r="O1302" s="6">
        <v>327.81700000000001</v>
      </c>
      <c r="P1302" s="6">
        <v>0</v>
      </c>
      <c r="Q1302" s="4" t="s">
        <v>26</v>
      </c>
      <c r="R1302" s="4">
        <v>0</v>
      </c>
      <c r="S1302" s="4" t="s">
        <v>191</v>
      </c>
      <c r="T1302" s="4" t="s">
        <v>436</v>
      </c>
      <c r="U1302" s="4">
        <v>0</v>
      </c>
      <c r="V1302" s="4">
        <v>19</v>
      </c>
      <c r="W1302" s="4">
        <v>67</v>
      </c>
    </row>
    <row r="1303" spans="1:23" ht="11.25" customHeight="1" x14ac:dyDescent="0.25">
      <c r="A1303" s="4" t="s">
        <v>21</v>
      </c>
      <c r="B1303" s="4" t="s">
        <v>35</v>
      </c>
      <c r="C1303" s="4" t="s">
        <v>36</v>
      </c>
      <c r="D1303" s="4" t="s">
        <v>24</v>
      </c>
      <c r="E1303" s="4" t="s">
        <v>24</v>
      </c>
      <c r="F1303" s="4" t="s">
        <v>25</v>
      </c>
      <c r="G1303" s="4" t="s">
        <v>25</v>
      </c>
      <c r="H1303" s="4" t="s">
        <v>38</v>
      </c>
      <c r="I1303" s="5">
        <v>44256</v>
      </c>
      <c r="J1303" s="6">
        <v>0</v>
      </c>
      <c r="K1303" s="6">
        <v>0</v>
      </c>
      <c r="L1303" s="6">
        <v>402.77100000000002</v>
      </c>
      <c r="M1303" s="6">
        <v>402.77100000000002</v>
      </c>
      <c r="N1303" s="6">
        <v>402.77100000000002</v>
      </c>
      <c r="O1303" s="6">
        <v>402.77100000000002</v>
      </c>
      <c r="P1303" s="6">
        <v>0</v>
      </c>
      <c r="Q1303" s="4" t="s">
        <v>26</v>
      </c>
      <c r="R1303" s="4">
        <v>0</v>
      </c>
      <c r="S1303" s="4" t="s">
        <v>192</v>
      </c>
      <c r="T1303" s="4" t="s">
        <v>437</v>
      </c>
      <c r="U1303" s="4">
        <v>0</v>
      </c>
      <c r="V1303" s="4">
        <v>19</v>
      </c>
      <c r="W1303" s="4">
        <v>67</v>
      </c>
    </row>
    <row r="1304" spans="1:23" ht="11.25" customHeight="1" x14ac:dyDescent="0.25">
      <c r="A1304" s="4" t="s">
        <v>21</v>
      </c>
      <c r="B1304" s="4" t="s">
        <v>35</v>
      </c>
      <c r="C1304" s="4" t="s">
        <v>36</v>
      </c>
      <c r="D1304" s="4" t="s">
        <v>24</v>
      </c>
      <c r="E1304" s="4" t="s">
        <v>24</v>
      </c>
      <c r="F1304" s="4" t="s">
        <v>25</v>
      </c>
      <c r="G1304" s="4" t="s">
        <v>25</v>
      </c>
      <c r="H1304" s="4" t="s">
        <v>38</v>
      </c>
      <c r="I1304" s="5">
        <v>44287</v>
      </c>
      <c r="J1304" s="6">
        <v>0</v>
      </c>
      <c r="K1304" s="6">
        <v>0</v>
      </c>
      <c r="L1304" s="6">
        <v>390.07900000000001</v>
      </c>
      <c r="M1304" s="6">
        <v>390.07900000000001</v>
      </c>
      <c r="N1304" s="6">
        <v>390.07900000000001</v>
      </c>
      <c r="O1304" s="6">
        <v>390.07900000000001</v>
      </c>
      <c r="P1304" s="6">
        <v>0</v>
      </c>
      <c r="Q1304" s="4" t="s">
        <v>26</v>
      </c>
      <c r="R1304" s="4">
        <v>0</v>
      </c>
      <c r="S1304" s="4" t="s">
        <v>193</v>
      </c>
      <c r="T1304" s="4" t="s">
        <v>438</v>
      </c>
      <c r="U1304" s="4">
        <v>0</v>
      </c>
      <c r="V1304" s="4">
        <v>19</v>
      </c>
      <c r="W1304" s="4">
        <v>67</v>
      </c>
    </row>
    <row r="1305" spans="1:23" ht="11.25" customHeight="1" x14ac:dyDescent="0.25">
      <c r="A1305" s="4" t="s">
        <v>28</v>
      </c>
      <c r="B1305" s="4" t="s">
        <v>35</v>
      </c>
      <c r="C1305" s="4" t="s">
        <v>36</v>
      </c>
      <c r="D1305" s="4" t="s">
        <v>24</v>
      </c>
      <c r="E1305" s="4" t="s">
        <v>24</v>
      </c>
      <c r="F1305" s="4" t="s">
        <v>25</v>
      </c>
      <c r="G1305" s="4" t="s">
        <v>25</v>
      </c>
      <c r="H1305" s="4" t="s">
        <v>38</v>
      </c>
      <c r="I1305" s="5">
        <v>44287</v>
      </c>
      <c r="J1305" s="6">
        <v>0</v>
      </c>
      <c r="K1305" s="6">
        <v>0</v>
      </c>
      <c r="L1305" s="6">
        <v>8.2409999999999997</v>
      </c>
      <c r="M1305" s="6">
        <v>8.2409999999999997</v>
      </c>
      <c r="N1305" s="6">
        <v>8.2409999999999997</v>
      </c>
      <c r="O1305" s="6">
        <v>8.2409999999999997</v>
      </c>
      <c r="P1305" s="6">
        <v>0</v>
      </c>
      <c r="Q1305" s="4" t="s">
        <v>26</v>
      </c>
      <c r="R1305" s="4">
        <v>0</v>
      </c>
      <c r="S1305" s="4" t="s">
        <v>193</v>
      </c>
      <c r="T1305" s="4" t="s">
        <v>438</v>
      </c>
      <c r="U1305" s="4">
        <v>0</v>
      </c>
      <c r="V1305" s="4">
        <v>19</v>
      </c>
      <c r="W1305" s="4">
        <v>67</v>
      </c>
    </row>
    <row r="1306" spans="1:23" ht="11.25" customHeight="1" x14ac:dyDescent="0.25">
      <c r="A1306" s="4" t="s">
        <v>21</v>
      </c>
      <c r="B1306" s="4" t="s">
        <v>35</v>
      </c>
      <c r="C1306" s="4" t="s">
        <v>36</v>
      </c>
      <c r="D1306" s="4" t="s">
        <v>24</v>
      </c>
      <c r="E1306" s="4" t="s">
        <v>24</v>
      </c>
      <c r="F1306" s="4" t="s">
        <v>25</v>
      </c>
      <c r="G1306" s="4" t="s">
        <v>25</v>
      </c>
      <c r="H1306" s="4" t="s">
        <v>38</v>
      </c>
      <c r="I1306" s="5">
        <v>44317</v>
      </c>
      <c r="J1306" s="6">
        <v>0</v>
      </c>
      <c r="K1306" s="6">
        <v>0</v>
      </c>
      <c r="L1306" s="6">
        <v>394.95100000000002</v>
      </c>
      <c r="M1306" s="6">
        <v>394.95100000000002</v>
      </c>
      <c r="N1306" s="6">
        <v>394.95100000000002</v>
      </c>
      <c r="O1306" s="6">
        <v>394.95100000000002</v>
      </c>
      <c r="P1306" s="6">
        <v>0</v>
      </c>
      <c r="Q1306" s="4" t="s">
        <v>26</v>
      </c>
      <c r="R1306" s="4">
        <v>0</v>
      </c>
      <c r="S1306" s="4" t="s">
        <v>194</v>
      </c>
      <c r="T1306" s="4" t="s">
        <v>439</v>
      </c>
      <c r="U1306" s="4">
        <v>0</v>
      </c>
      <c r="V1306" s="4">
        <v>19</v>
      </c>
      <c r="W1306" s="4">
        <v>67</v>
      </c>
    </row>
    <row r="1307" spans="1:23" ht="11.25" customHeight="1" x14ac:dyDescent="0.25">
      <c r="A1307" s="4" t="s">
        <v>28</v>
      </c>
      <c r="B1307" s="4" t="s">
        <v>35</v>
      </c>
      <c r="C1307" s="4" t="s">
        <v>36</v>
      </c>
      <c r="D1307" s="4" t="s">
        <v>24</v>
      </c>
      <c r="E1307" s="4" t="s">
        <v>24</v>
      </c>
      <c r="F1307" s="4" t="s">
        <v>25</v>
      </c>
      <c r="G1307" s="4" t="s">
        <v>25</v>
      </c>
      <c r="H1307" s="4" t="s">
        <v>38</v>
      </c>
      <c r="I1307" s="5">
        <v>44317</v>
      </c>
      <c r="J1307" s="6">
        <v>0</v>
      </c>
      <c r="K1307" s="6">
        <v>0</v>
      </c>
      <c r="L1307" s="6">
        <v>5.51</v>
      </c>
      <c r="M1307" s="6">
        <v>5.51</v>
      </c>
      <c r="N1307" s="6">
        <v>5.51</v>
      </c>
      <c r="O1307" s="6">
        <v>5.51</v>
      </c>
      <c r="P1307" s="6">
        <v>0</v>
      </c>
      <c r="Q1307" s="4" t="s">
        <v>26</v>
      </c>
      <c r="R1307" s="4">
        <v>0</v>
      </c>
      <c r="S1307" s="4" t="s">
        <v>194</v>
      </c>
      <c r="T1307" s="4" t="s">
        <v>439</v>
      </c>
      <c r="U1307" s="4">
        <v>0</v>
      </c>
      <c r="V1307" s="4">
        <v>19</v>
      </c>
      <c r="W1307" s="4">
        <v>67</v>
      </c>
    </row>
    <row r="1308" spans="1:23" ht="11.25" customHeight="1" x14ac:dyDescent="0.25">
      <c r="A1308" s="4" t="s">
        <v>21</v>
      </c>
      <c r="B1308" s="4" t="s">
        <v>35</v>
      </c>
      <c r="C1308" s="4" t="s">
        <v>36</v>
      </c>
      <c r="D1308" s="4" t="s">
        <v>24</v>
      </c>
      <c r="E1308" s="4" t="s">
        <v>24</v>
      </c>
      <c r="F1308" s="4" t="s">
        <v>25</v>
      </c>
      <c r="G1308" s="4" t="s">
        <v>25</v>
      </c>
      <c r="H1308" s="4" t="s">
        <v>38</v>
      </c>
      <c r="I1308" s="5">
        <v>44348</v>
      </c>
      <c r="J1308" s="6">
        <v>0</v>
      </c>
      <c r="K1308" s="6">
        <v>0</v>
      </c>
      <c r="L1308" s="6">
        <v>366.95400000000001</v>
      </c>
      <c r="M1308" s="6">
        <v>366.95400000000001</v>
      </c>
      <c r="N1308" s="6">
        <v>366.95400000000001</v>
      </c>
      <c r="O1308" s="6">
        <v>366.95400000000001</v>
      </c>
      <c r="P1308" s="6">
        <v>0</v>
      </c>
      <c r="Q1308" s="4" t="s">
        <v>26</v>
      </c>
      <c r="R1308" s="4">
        <v>0</v>
      </c>
      <c r="S1308" s="4" t="s">
        <v>195</v>
      </c>
      <c r="T1308" s="4" t="s">
        <v>440</v>
      </c>
      <c r="U1308" s="4">
        <v>0</v>
      </c>
      <c r="V1308" s="4">
        <v>19</v>
      </c>
      <c r="W1308" s="4">
        <v>67</v>
      </c>
    </row>
    <row r="1309" spans="1:23" ht="11.25" customHeight="1" x14ac:dyDescent="0.25">
      <c r="A1309" s="4" t="s">
        <v>28</v>
      </c>
      <c r="B1309" s="4" t="s">
        <v>35</v>
      </c>
      <c r="C1309" s="4" t="s">
        <v>36</v>
      </c>
      <c r="D1309" s="4" t="s">
        <v>24</v>
      </c>
      <c r="E1309" s="4" t="s">
        <v>24</v>
      </c>
      <c r="F1309" s="4" t="s">
        <v>25</v>
      </c>
      <c r="G1309" s="4" t="s">
        <v>25</v>
      </c>
      <c r="H1309" s="4" t="s">
        <v>38</v>
      </c>
      <c r="I1309" s="5">
        <v>44348</v>
      </c>
      <c r="J1309" s="6">
        <v>0</v>
      </c>
      <c r="K1309" s="6">
        <v>0</v>
      </c>
      <c r="L1309" s="6">
        <v>5.8789999999999996</v>
      </c>
      <c r="M1309" s="6">
        <v>5.8789999999999996</v>
      </c>
      <c r="N1309" s="6">
        <v>5.8789999999999996</v>
      </c>
      <c r="O1309" s="6">
        <v>5.8789999999999996</v>
      </c>
      <c r="P1309" s="6">
        <v>0</v>
      </c>
      <c r="Q1309" s="4" t="s">
        <v>26</v>
      </c>
      <c r="R1309" s="4">
        <v>0</v>
      </c>
      <c r="S1309" s="4" t="s">
        <v>195</v>
      </c>
      <c r="T1309" s="4" t="s">
        <v>440</v>
      </c>
      <c r="U1309" s="4">
        <v>0</v>
      </c>
      <c r="V1309" s="4">
        <v>19</v>
      </c>
      <c r="W1309" s="4">
        <v>67</v>
      </c>
    </row>
    <row r="1310" spans="1:23" ht="11.25" customHeight="1" x14ac:dyDescent="0.25">
      <c r="A1310" s="4" t="s">
        <v>21</v>
      </c>
      <c r="B1310" s="4" t="s">
        <v>35</v>
      </c>
      <c r="C1310" s="4" t="s">
        <v>36</v>
      </c>
      <c r="D1310" s="4" t="s">
        <v>24</v>
      </c>
      <c r="E1310" s="4" t="s">
        <v>24</v>
      </c>
      <c r="F1310" s="4" t="s">
        <v>25</v>
      </c>
      <c r="G1310" s="4" t="s">
        <v>25</v>
      </c>
      <c r="H1310" s="4" t="s">
        <v>38</v>
      </c>
      <c r="I1310" s="5">
        <v>44378</v>
      </c>
      <c r="J1310" s="6">
        <v>0</v>
      </c>
      <c r="K1310" s="6">
        <v>0</v>
      </c>
      <c r="L1310" s="6">
        <v>378.87599999999998</v>
      </c>
      <c r="M1310" s="6">
        <v>378.87599999999998</v>
      </c>
      <c r="N1310" s="6">
        <v>378.87599999999998</v>
      </c>
      <c r="O1310" s="6">
        <v>378.87599999999998</v>
      </c>
      <c r="P1310" s="6">
        <v>0</v>
      </c>
      <c r="Q1310" s="4" t="s">
        <v>26</v>
      </c>
      <c r="R1310" s="4">
        <v>0</v>
      </c>
      <c r="S1310" s="4" t="s">
        <v>196</v>
      </c>
      <c r="T1310" s="4" t="s">
        <v>441</v>
      </c>
      <c r="U1310" s="4">
        <v>0</v>
      </c>
      <c r="V1310" s="4">
        <v>19</v>
      </c>
      <c r="W1310" s="4">
        <v>67</v>
      </c>
    </row>
    <row r="1311" spans="1:23" ht="11.25" customHeight="1" x14ac:dyDescent="0.25">
      <c r="A1311" s="4" t="s">
        <v>28</v>
      </c>
      <c r="B1311" s="4" t="s">
        <v>35</v>
      </c>
      <c r="C1311" s="4" t="s">
        <v>36</v>
      </c>
      <c r="D1311" s="4" t="s">
        <v>24</v>
      </c>
      <c r="E1311" s="4" t="s">
        <v>24</v>
      </c>
      <c r="F1311" s="4" t="s">
        <v>25</v>
      </c>
      <c r="G1311" s="4" t="s">
        <v>25</v>
      </c>
      <c r="H1311" s="4" t="s">
        <v>38</v>
      </c>
      <c r="I1311" s="5">
        <v>44378</v>
      </c>
      <c r="J1311" s="6">
        <v>0</v>
      </c>
      <c r="K1311" s="6">
        <v>0</v>
      </c>
      <c r="L1311" s="6">
        <v>7.0110000000000001</v>
      </c>
      <c r="M1311" s="6">
        <v>7.0110000000000001</v>
      </c>
      <c r="N1311" s="6">
        <v>7.0110000000000001</v>
      </c>
      <c r="O1311" s="6">
        <v>7.0110000000000001</v>
      </c>
      <c r="P1311" s="6">
        <v>0</v>
      </c>
      <c r="Q1311" s="4" t="s">
        <v>26</v>
      </c>
      <c r="R1311" s="4">
        <v>0</v>
      </c>
      <c r="S1311" s="4" t="s">
        <v>196</v>
      </c>
      <c r="T1311" s="4" t="s">
        <v>441</v>
      </c>
      <c r="U1311" s="4">
        <v>0</v>
      </c>
      <c r="V1311" s="4">
        <v>19</v>
      </c>
      <c r="W1311" s="4">
        <v>67</v>
      </c>
    </row>
    <row r="1312" spans="1:23" ht="11.25" customHeight="1" x14ac:dyDescent="0.25">
      <c r="A1312" s="4" t="s">
        <v>21</v>
      </c>
      <c r="B1312" s="4" t="s">
        <v>35</v>
      </c>
      <c r="C1312" s="4" t="s">
        <v>36</v>
      </c>
      <c r="D1312" s="4" t="s">
        <v>24</v>
      </c>
      <c r="E1312" s="4" t="s">
        <v>24</v>
      </c>
      <c r="F1312" s="4" t="s">
        <v>25</v>
      </c>
      <c r="G1312" s="4" t="s">
        <v>25</v>
      </c>
      <c r="H1312" s="4" t="s">
        <v>38</v>
      </c>
      <c r="I1312" s="5">
        <v>44409</v>
      </c>
      <c r="J1312" s="6">
        <v>0</v>
      </c>
      <c r="K1312" s="6">
        <v>0</v>
      </c>
      <c r="L1312" s="6">
        <v>407.428</v>
      </c>
      <c r="M1312" s="6">
        <v>407.428</v>
      </c>
      <c r="N1312" s="6">
        <v>407.428</v>
      </c>
      <c r="O1312" s="6">
        <v>407.428</v>
      </c>
      <c r="P1312" s="6">
        <v>0</v>
      </c>
      <c r="Q1312" s="4" t="s">
        <v>26</v>
      </c>
      <c r="R1312" s="4">
        <v>0</v>
      </c>
      <c r="S1312" s="4" t="s">
        <v>197</v>
      </c>
      <c r="T1312" s="4" t="s">
        <v>442</v>
      </c>
      <c r="U1312" s="4">
        <v>0</v>
      </c>
      <c r="V1312" s="4">
        <v>19</v>
      </c>
      <c r="W1312" s="4">
        <v>67</v>
      </c>
    </row>
    <row r="1313" spans="1:23" ht="11.25" customHeight="1" x14ac:dyDescent="0.25">
      <c r="A1313" s="4" t="s">
        <v>28</v>
      </c>
      <c r="B1313" s="4" t="s">
        <v>35</v>
      </c>
      <c r="C1313" s="4" t="s">
        <v>36</v>
      </c>
      <c r="D1313" s="4" t="s">
        <v>24</v>
      </c>
      <c r="E1313" s="4" t="s">
        <v>24</v>
      </c>
      <c r="F1313" s="4" t="s">
        <v>25</v>
      </c>
      <c r="G1313" s="4" t="s">
        <v>25</v>
      </c>
      <c r="H1313" s="4" t="s">
        <v>38</v>
      </c>
      <c r="I1313" s="5">
        <v>44409</v>
      </c>
      <c r="J1313" s="6">
        <v>0</v>
      </c>
      <c r="K1313" s="6">
        <v>0</v>
      </c>
      <c r="L1313" s="6">
        <v>7.9950000000000001</v>
      </c>
      <c r="M1313" s="6">
        <v>7.9950000000000001</v>
      </c>
      <c r="N1313" s="6">
        <v>7.9950000000000001</v>
      </c>
      <c r="O1313" s="6">
        <v>7.9950000000000001</v>
      </c>
      <c r="P1313" s="6">
        <v>0</v>
      </c>
      <c r="Q1313" s="4" t="s">
        <v>26</v>
      </c>
      <c r="R1313" s="4">
        <v>0</v>
      </c>
      <c r="S1313" s="4" t="s">
        <v>197</v>
      </c>
      <c r="T1313" s="4" t="s">
        <v>442</v>
      </c>
      <c r="U1313" s="4">
        <v>0</v>
      </c>
      <c r="V1313" s="4">
        <v>19</v>
      </c>
      <c r="W1313" s="4">
        <v>67</v>
      </c>
    </row>
    <row r="1314" spans="1:23" ht="11.25" customHeight="1" x14ac:dyDescent="0.25">
      <c r="A1314" s="4" t="s">
        <v>21</v>
      </c>
      <c r="B1314" s="4" t="s">
        <v>35</v>
      </c>
      <c r="C1314" s="4" t="s">
        <v>36</v>
      </c>
      <c r="D1314" s="4" t="s">
        <v>24</v>
      </c>
      <c r="E1314" s="4" t="s">
        <v>24</v>
      </c>
      <c r="F1314" s="4" t="s">
        <v>25</v>
      </c>
      <c r="G1314" s="4" t="s">
        <v>25</v>
      </c>
      <c r="H1314" s="4" t="s">
        <v>38</v>
      </c>
      <c r="I1314" s="5">
        <v>44440</v>
      </c>
      <c r="J1314" s="6">
        <v>0</v>
      </c>
      <c r="K1314" s="6">
        <v>0</v>
      </c>
      <c r="L1314" s="6">
        <v>381.166</v>
      </c>
      <c r="M1314" s="6">
        <v>381.166</v>
      </c>
      <c r="N1314" s="6">
        <v>381.166</v>
      </c>
      <c r="O1314" s="6">
        <v>381.166</v>
      </c>
      <c r="P1314" s="6">
        <v>0</v>
      </c>
      <c r="Q1314" s="4" t="s">
        <v>26</v>
      </c>
      <c r="R1314" s="4">
        <v>0</v>
      </c>
      <c r="S1314" s="4" t="s">
        <v>198</v>
      </c>
      <c r="T1314" s="4" t="s">
        <v>443</v>
      </c>
      <c r="U1314" s="4">
        <v>0</v>
      </c>
      <c r="V1314" s="4">
        <v>19</v>
      </c>
      <c r="W1314" s="4">
        <v>67</v>
      </c>
    </row>
    <row r="1315" spans="1:23" ht="11.25" customHeight="1" x14ac:dyDescent="0.25">
      <c r="A1315" s="4" t="s">
        <v>28</v>
      </c>
      <c r="B1315" s="4" t="s">
        <v>35</v>
      </c>
      <c r="C1315" s="4" t="s">
        <v>36</v>
      </c>
      <c r="D1315" s="4" t="s">
        <v>24</v>
      </c>
      <c r="E1315" s="4" t="s">
        <v>24</v>
      </c>
      <c r="F1315" s="4" t="s">
        <v>25</v>
      </c>
      <c r="G1315" s="4" t="s">
        <v>25</v>
      </c>
      <c r="H1315" s="4" t="s">
        <v>38</v>
      </c>
      <c r="I1315" s="5">
        <v>44440</v>
      </c>
      <c r="J1315" s="6">
        <v>0</v>
      </c>
      <c r="K1315" s="6">
        <v>0</v>
      </c>
      <c r="L1315" s="6">
        <v>7.6870000000000003</v>
      </c>
      <c r="M1315" s="6">
        <v>7.6870000000000003</v>
      </c>
      <c r="N1315" s="6">
        <v>7.6870000000000003</v>
      </c>
      <c r="O1315" s="6">
        <v>7.6870000000000003</v>
      </c>
      <c r="P1315" s="6">
        <v>0</v>
      </c>
      <c r="Q1315" s="4" t="s">
        <v>26</v>
      </c>
      <c r="R1315" s="4">
        <v>0</v>
      </c>
      <c r="S1315" s="4" t="s">
        <v>198</v>
      </c>
      <c r="T1315" s="4" t="s">
        <v>443</v>
      </c>
      <c r="U1315" s="4">
        <v>0</v>
      </c>
      <c r="V1315" s="4">
        <v>19</v>
      </c>
      <c r="W1315" s="4">
        <v>67</v>
      </c>
    </row>
    <row r="1316" spans="1:23" ht="11.25" customHeight="1" x14ac:dyDescent="0.25">
      <c r="A1316" s="4" t="s">
        <v>59</v>
      </c>
      <c r="B1316" s="4" t="s">
        <v>35</v>
      </c>
      <c r="C1316" s="4" t="s">
        <v>36</v>
      </c>
      <c r="D1316" s="4" t="s">
        <v>24</v>
      </c>
      <c r="E1316" s="4" t="s">
        <v>24</v>
      </c>
      <c r="F1316" s="4" t="s">
        <v>25</v>
      </c>
      <c r="G1316" s="4" t="s">
        <v>25</v>
      </c>
      <c r="H1316" s="4" t="s">
        <v>38</v>
      </c>
      <c r="I1316" s="5">
        <v>44470</v>
      </c>
      <c r="J1316" s="6">
        <v>0</v>
      </c>
      <c r="K1316" s="6">
        <v>0</v>
      </c>
      <c r="L1316" s="6">
        <v>381.166</v>
      </c>
      <c r="M1316" s="6">
        <v>381.166</v>
      </c>
      <c r="N1316" s="6">
        <v>381.166</v>
      </c>
      <c r="O1316" s="6">
        <v>381.166</v>
      </c>
      <c r="P1316" s="6">
        <v>0</v>
      </c>
      <c r="Q1316" s="4" t="s">
        <v>26</v>
      </c>
      <c r="R1316" s="4">
        <v>0</v>
      </c>
      <c r="S1316" s="4" t="s">
        <v>199</v>
      </c>
      <c r="T1316" s="4" t="s">
        <v>444</v>
      </c>
      <c r="U1316" s="4">
        <v>0</v>
      </c>
      <c r="V1316" s="4">
        <v>19</v>
      </c>
      <c r="W1316" s="4">
        <v>67</v>
      </c>
    </row>
    <row r="1317" spans="1:23" ht="11.25" customHeight="1" x14ac:dyDescent="0.25">
      <c r="A1317" s="4" t="s">
        <v>59</v>
      </c>
      <c r="B1317" s="4" t="s">
        <v>35</v>
      </c>
      <c r="C1317" s="4" t="s">
        <v>36</v>
      </c>
      <c r="D1317" s="4" t="s">
        <v>24</v>
      </c>
      <c r="E1317" s="4" t="s">
        <v>24</v>
      </c>
      <c r="F1317" s="4" t="s">
        <v>25</v>
      </c>
      <c r="G1317" s="4" t="s">
        <v>25</v>
      </c>
      <c r="H1317" s="4" t="s">
        <v>38</v>
      </c>
      <c r="I1317" s="5">
        <v>44470</v>
      </c>
      <c r="J1317" s="6">
        <v>0</v>
      </c>
      <c r="K1317" s="6">
        <v>0</v>
      </c>
      <c r="L1317" s="6">
        <v>7.6870000000000003</v>
      </c>
      <c r="M1317" s="6">
        <v>7.6870000000000003</v>
      </c>
      <c r="N1317" s="6">
        <v>7.6870000000000003</v>
      </c>
      <c r="O1317" s="6">
        <v>7.6870000000000003</v>
      </c>
      <c r="P1317" s="6">
        <v>0</v>
      </c>
      <c r="Q1317" s="4" t="s">
        <v>26</v>
      </c>
      <c r="R1317" s="4">
        <v>0</v>
      </c>
      <c r="S1317" s="4" t="s">
        <v>199</v>
      </c>
      <c r="T1317" s="4" t="s">
        <v>444</v>
      </c>
      <c r="U1317" s="4">
        <v>0</v>
      </c>
      <c r="V1317" s="4">
        <v>19</v>
      </c>
      <c r="W1317" s="4">
        <v>67</v>
      </c>
    </row>
    <row r="1318" spans="1:23" ht="11.25" customHeight="1" x14ac:dyDescent="0.25">
      <c r="A1318" s="4" t="s">
        <v>21</v>
      </c>
      <c r="B1318" s="4" t="s">
        <v>35</v>
      </c>
      <c r="C1318" s="4" t="s">
        <v>36</v>
      </c>
      <c r="D1318" s="4" t="s">
        <v>24</v>
      </c>
      <c r="E1318" s="4" t="s">
        <v>24</v>
      </c>
      <c r="F1318" s="4" t="s">
        <v>25</v>
      </c>
      <c r="G1318" s="4" t="s">
        <v>25</v>
      </c>
      <c r="H1318" s="4" t="s">
        <v>25</v>
      </c>
      <c r="I1318" s="5">
        <v>44136</v>
      </c>
      <c r="J1318" s="6">
        <v>2965</v>
      </c>
      <c r="K1318" s="6">
        <v>2965</v>
      </c>
      <c r="L1318" s="6">
        <v>0</v>
      </c>
      <c r="M1318" s="6">
        <v>0</v>
      </c>
      <c r="N1318" s="6">
        <v>0</v>
      </c>
      <c r="O1318" s="6">
        <v>0</v>
      </c>
      <c r="P1318" s="6">
        <v>46</v>
      </c>
      <c r="Q1318" s="4" t="s">
        <v>26</v>
      </c>
      <c r="R1318" s="4">
        <v>0</v>
      </c>
      <c r="S1318" s="4" t="s">
        <v>200</v>
      </c>
      <c r="U1318" s="4">
        <v>23</v>
      </c>
      <c r="V1318" s="4">
        <v>0</v>
      </c>
      <c r="W1318" s="4">
        <v>0</v>
      </c>
    </row>
    <row r="1319" spans="1:23" ht="11.25" customHeight="1" x14ac:dyDescent="0.25">
      <c r="A1319" s="4" t="s">
        <v>21</v>
      </c>
      <c r="B1319" s="4" t="s">
        <v>35</v>
      </c>
      <c r="C1319" s="4" t="s">
        <v>36</v>
      </c>
      <c r="D1319" s="4" t="s">
        <v>24</v>
      </c>
      <c r="E1319" s="4" t="s">
        <v>24</v>
      </c>
      <c r="F1319" s="4" t="s">
        <v>25</v>
      </c>
      <c r="G1319" s="4" t="s">
        <v>25</v>
      </c>
      <c r="H1319" s="4" t="s">
        <v>25</v>
      </c>
      <c r="I1319" s="5">
        <v>44166</v>
      </c>
      <c r="J1319" s="6">
        <v>2963</v>
      </c>
      <c r="K1319" s="6">
        <v>2963</v>
      </c>
      <c r="L1319" s="6">
        <v>0</v>
      </c>
      <c r="M1319" s="6">
        <v>0</v>
      </c>
      <c r="N1319" s="6">
        <v>0</v>
      </c>
      <c r="O1319" s="6">
        <v>0</v>
      </c>
      <c r="P1319" s="6">
        <v>46</v>
      </c>
      <c r="Q1319" s="4" t="s">
        <v>26</v>
      </c>
      <c r="R1319" s="4">
        <v>0</v>
      </c>
      <c r="S1319" s="4" t="s">
        <v>201</v>
      </c>
      <c r="U1319" s="4">
        <v>23</v>
      </c>
      <c r="V1319" s="4">
        <v>0</v>
      </c>
      <c r="W1319" s="4">
        <v>0</v>
      </c>
    </row>
    <row r="1320" spans="1:23" ht="11.25" customHeight="1" x14ac:dyDescent="0.25">
      <c r="A1320" s="4" t="s">
        <v>21</v>
      </c>
      <c r="B1320" s="4" t="s">
        <v>35</v>
      </c>
      <c r="C1320" s="4" t="s">
        <v>36</v>
      </c>
      <c r="D1320" s="4" t="s">
        <v>24</v>
      </c>
      <c r="E1320" s="4" t="s">
        <v>24</v>
      </c>
      <c r="F1320" s="4" t="s">
        <v>25</v>
      </c>
      <c r="G1320" s="4" t="s">
        <v>25</v>
      </c>
      <c r="H1320" s="4" t="s">
        <v>25</v>
      </c>
      <c r="I1320" s="5">
        <v>44197</v>
      </c>
      <c r="J1320" s="6">
        <v>2961</v>
      </c>
      <c r="K1320" s="6">
        <v>2961</v>
      </c>
      <c r="L1320" s="6">
        <v>0</v>
      </c>
      <c r="M1320" s="6">
        <v>0</v>
      </c>
      <c r="N1320" s="6">
        <v>0</v>
      </c>
      <c r="O1320" s="6">
        <v>0</v>
      </c>
      <c r="P1320" s="6">
        <v>46</v>
      </c>
      <c r="Q1320" s="4" t="s">
        <v>26</v>
      </c>
      <c r="R1320" s="4">
        <v>0</v>
      </c>
      <c r="S1320" s="4" t="s">
        <v>202</v>
      </c>
      <c r="U1320" s="4">
        <v>23</v>
      </c>
      <c r="V1320" s="4">
        <v>0</v>
      </c>
      <c r="W1320" s="4">
        <v>0</v>
      </c>
    </row>
    <row r="1321" spans="1:23" ht="11.25" customHeight="1" x14ac:dyDescent="0.25">
      <c r="A1321" s="4" t="s">
        <v>21</v>
      </c>
      <c r="B1321" s="4" t="s">
        <v>35</v>
      </c>
      <c r="C1321" s="4" t="s">
        <v>36</v>
      </c>
      <c r="D1321" s="4" t="s">
        <v>24</v>
      </c>
      <c r="E1321" s="4" t="s">
        <v>24</v>
      </c>
      <c r="F1321" s="4" t="s">
        <v>25</v>
      </c>
      <c r="G1321" s="4" t="s">
        <v>25</v>
      </c>
      <c r="H1321" s="4" t="s">
        <v>25</v>
      </c>
      <c r="I1321" s="5">
        <v>44228</v>
      </c>
      <c r="J1321" s="6">
        <v>2964</v>
      </c>
      <c r="K1321" s="6">
        <v>2964</v>
      </c>
      <c r="L1321" s="6">
        <v>0</v>
      </c>
      <c r="M1321" s="6">
        <v>0</v>
      </c>
      <c r="N1321" s="6">
        <v>0</v>
      </c>
      <c r="O1321" s="6">
        <v>0</v>
      </c>
      <c r="P1321" s="6">
        <v>46</v>
      </c>
      <c r="Q1321" s="4" t="s">
        <v>26</v>
      </c>
      <c r="R1321" s="4">
        <v>0</v>
      </c>
      <c r="S1321" s="4" t="s">
        <v>203</v>
      </c>
      <c r="U1321" s="4">
        <v>23</v>
      </c>
      <c r="V1321" s="4">
        <v>0</v>
      </c>
      <c r="W1321" s="4">
        <v>0</v>
      </c>
    </row>
    <row r="1322" spans="1:23" ht="11.25" customHeight="1" x14ac:dyDescent="0.25">
      <c r="A1322" s="4" t="s">
        <v>21</v>
      </c>
      <c r="B1322" s="4" t="s">
        <v>35</v>
      </c>
      <c r="C1322" s="4" t="s">
        <v>36</v>
      </c>
      <c r="D1322" s="4" t="s">
        <v>24</v>
      </c>
      <c r="E1322" s="4" t="s">
        <v>24</v>
      </c>
      <c r="F1322" s="4" t="s">
        <v>25</v>
      </c>
      <c r="G1322" s="4" t="s">
        <v>25</v>
      </c>
      <c r="H1322" s="4" t="s">
        <v>25</v>
      </c>
      <c r="I1322" s="5">
        <v>44256</v>
      </c>
      <c r="J1322" s="6">
        <v>2963</v>
      </c>
      <c r="K1322" s="6">
        <v>2963</v>
      </c>
      <c r="L1322" s="6">
        <v>0</v>
      </c>
      <c r="M1322" s="6">
        <v>0</v>
      </c>
      <c r="N1322" s="6">
        <v>0</v>
      </c>
      <c r="O1322" s="6">
        <v>0</v>
      </c>
      <c r="P1322" s="6">
        <v>46</v>
      </c>
      <c r="Q1322" s="4" t="s">
        <v>26</v>
      </c>
      <c r="R1322" s="4">
        <v>0</v>
      </c>
      <c r="S1322" s="4" t="s">
        <v>204</v>
      </c>
      <c r="U1322" s="4">
        <v>23</v>
      </c>
      <c r="V1322" s="4">
        <v>0</v>
      </c>
      <c r="W1322" s="4">
        <v>0</v>
      </c>
    </row>
    <row r="1323" spans="1:23" ht="11.25" customHeight="1" x14ac:dyDescent="0.25">
      <c r="A1323" s="4" t="s">
        <v>21</v>
      </c>
      <c r="B1323" s="4" t="s">
        <v>35</v>
      </c>
      <c r="C1323" s="4" t="s">
        <v>36</v>
      </c>
      <c r="D1323" s="4" t="s">
        <v>24</v>
      </c>
      <c r="E1323" s="4" t="s">
        <v>24</v>
      </c>
      <c r="F1323" s="4" t="s">
        <v>25</v>
      </c>
      <c r="G1323" s="4" t="s">
        <v>25</v>
      </c>
      <c r="H1323" s="4" t="s">
        <v>25</v>
      </c>
      <c r="I1323" s="5">
        <v>44287</v>
      </c>
      <c r="J1323" s="6">
        <v>2890</v>
      </c>
      <c r="K1323" s="6">
        <v>2890</v>
      </c>
      <c r="L1323" s="6">
        <v>0</v>
      </c>
      <c r="M1323" s="6">
        <v>0</v>
      </c>
      <c r="N1323" s="6">
        <v>0</v>
      </c>
      <c r="O1323" s="6">
        <v>0</v>
      </c>
      <c r="P1323" s="6">
        <v>44</v>
      </c>
      <c r="Q1323" s="4" t="s">
        <v>26</v>
      </c>
      <c r="R1323" s="4">
        <v>0</v>
      </c>
      <c r="S1323" s="4" t="s">
        <v>205</v>
      </c>
      <c r="U1323" s="4">
        <v>23</v>
      </c>
      <c r="V1323" s="4">
        <v>0</v>
      </c>
      <c r="W1323" s="4">
        <v>0</v>
      </c>
    </row>
    <row r="1324" spans="1:23" ht="11.25" customHeight="1" x14ac:dyDescent="0.25">
      <c r="A1324" s="4" t="s">
        <v>28</v>
      </c>
      <c r="B1324" s="4" t="s">
        <v>35</v>
      </c>
      <c r="C1324" s="4" t="s">
        <v>36</v>
      </c>
      <c r="D1324" s="4" t="s">
        <v>24</v>
      </c>
      <c r="E1324" s="4" t="s">
        <v>24</v>
      </c>
      <c r="F1324" s="4" t="s">
        <v>25</v>
      </c>
      <c r="G1324" s="4" t="s">
        <v>25</v>
      </c>
      <c r="H1324" s="4" t="s">
        <v>25</v>
      </c>
      <c r="I1324" s="5">
        <v>44287</v>
      </c>
      <c r="J1324" s="6">
        <v>57</v>
      </c>
      <c r="K1324" s="6">
        <v>57</v>
      </c>
      <c r="L1324" s="6">
        <v>0</v>
      </c>
      <c r="M1324" s="6">
        <v>0</v>
      </c>
      <c r="N1324" s="6">
        <v>0</v>
      </c>
      <c r="O1324" s="6">
        <v>0</v>
      </c>
      <c r="P1324" s="6">
        <v>1</v>
      </c>
      <c r="Q1324" s="4" t="s">
        <v>26</v>
      </c>
      <c r="R1324" s="4">
        <v>0</v>
      </c>
      <c r="S1324" s="4" t="s">
        <v>205</v>
      </c>
      <c r="U1324" s="4">
        <v>23</v>
      </c>
      <c r="V1324" s="4">
        <v>0</v>
      </c>
      <c r="W1324" s="4">
        <v>0</v>
      </c>
    </row>
    <row r="1325" spans="1:23" ht="11.25" customHeight="1" x14ac:dyDescent="0.25">
      <c r="A1325" s="4" t="s">
        <v>21</v>
      </c>
      <c r="B1325" s="4" t="s">
        <v>35</v>
      </c>
      <c r="C1325" s="4" t="s">
        <v>36</v>
      </c>
      <c r="D1325" s="4" t="s">
        <v>24</v>
      </c>
      <c r="E1325" s="4" t="s">
        <v>24</v>
      </c>
      <c r="F1325" s="4" t="s">
        <v>25</v>
      </c>
      <c r="G1325" s="4" t="s">
        <v>25</v>
      </c>
      <c r="H1325" s="4" t="s">
        <v>25</v>
      </c>
      <c r="I1325" s="5">
        <v>44317</v>
      </c>
      <c r="J1325" s="6">
        <v>2827</v>
      </c>
      <c r="K1325" s="6">
        <v>2827</v>
      </c>
      <c r="L1325" s="6">
        <v>0</v>
      </c>
      <c r="M1325" s="6">
        <v>0</v>
      </c>
      <c r="N1325" s="6">
        <v>0</v>
      </c>
      <c r="O1325" s="6">
        <v>0</v>
      </c>
      <c r="P1325" s="6">
        <v>43</v>
      </c>
      <c r="Q1325" s="4" t="s">
        <v>26</v>
      </c>
      <c r="R1325" s="4">
        <v>0</v>
      </c>
      <c r="S1325" s="4" t="s">
        <v>206</v>
      </c>
      <c r="U1325" s="4">
        <v>23</v>
      </c>
      <c r="V1325" s="4">
        <v>0</v>
      </c>
      <c r="W1325" s="4">
        <v>0</v>
      </c>
    </row>
    <row r="1326" spans="1:23" ht="11.25" customHeight="1" x14ac:dyDescent="0.25">
      <c r="A1326" s="4" t="s">
        <v>28</v>
      </c>
      <c r="B1326" s="4" t="s">
        <v>35</v>
      </c>
      <c r="C1326" s="4" t="s">
        <v>36</v>
      </c>
      <c r="D1326" s="4" t="s">
        <v>24</v>
      </c>
      <c r="E1326" s="4" t="s">
        <v>24</v>
      </c>
      <c r="F1326" s="4" t="s">
        <v>25</v>
      </c>
      <c r="G1326" s="4" t="s">
        <v>25</v>
      </c>
      <c r="H1326" s="4" t="s">
        <v>25</v>
      </c>
      <c r="I1326" s="5">
        <v>44317</v>
      </c>
      <c r="J1326" s="6">
        <v>57</v>
      </c>
      <c r="K1326" s="6">
        <v>57</v>
      </c>
      <c r="L1326" s="6">
        <v>0</v>
      </c>
      <c r="M1326" s="6">
        <v>0</v>
      </c>
      <c r="N1326" s="6">
        <v>0</v>
      </c>
      <c r="O1326" s="6">
        <v>0</v>
      </c>
      <c r="P1326" s="6">
        <v>1</v>
      </c>
      <c r="Q1326" s="4" t="s">
        <v>26</v>
      </c>
      <c r="R1326" s="4">
        <v>0</v>
      </c>
      <c r="S1326" s="4" t="s">
        <v>206</v>
      </c>
      <c r="U1326" s="4">
        <v>23</v>
      </c>
      <c r="V1326" s="4">
        <v>0</v>
      </c>
      <c r="W1326" s="4">
        <v>0</v>
      </c>
    </row>
    <row r="1327" spans="1:23" ht="11.25" customHeight="1" x14ac:dyDescent="0.25">
      <c r="A1327" s="4" t="s">
        <v>21</v>
      </c>
      <c r="B1327" s="4" t="s">
        <v>35</v>
      </c>
      <c r="C1327" s="4" t="s">
        <v>36</v>
      </c>
      <c r="D1327" s="4" t="s">
        <v>24</v>
      </c>
      <c r="E1327" s="4" t="s">
        <v>24</v>
      </c>
      <c r="F1327" s="4" t="s">
        <v>25</v>
      </c>
      <c r="G1327" s="4" t="s">
        <v>25</v>
      </c>
      <c r="H1327" s="4" t="s">
        <v>25</v>
      </c>
      <c r="I1327" s="5">
        <v>44348</v>
      </c>
      <c r="J1327" s="6">
        <v>2706</v>
      </c>
      <c r="K1327" s="6">
        <v>2706</v>
      </c>
      <c r="L1327" s="6">
        <v>0</v>
      </c>
      <c r="M1327" s="6">
        <v>0</v>
      </c>
      <c r="N1327" s="6">
        <v>0</v>
      </c>
      <c r="O1327" s="6">
        <v>0</v>
      </c>
      <c r="P1327" s="6">
        <v>42</v>
      </c>
      <c r="Q1327" s="4" t="s">
        <v>26</v>
      </c>
      <c r="R1327" s="4">
        <v>0</v>
      </c>
      <c r="S1327" s="4" t="s">
        <v>207</v>
      </c>
      <c r="U1327" s="4">
        <v>23</v>
      </c>
      <c r="V1327" s="4">
        <v>0</v>
      </c>
      <c r="W1327" s="4">
        <v>0</v>
      </c>
    </row>
    <row r="1328" spans="1:23" ht="11.25" customHeight="1" x14ac:dyDescent="0.25">
      <c r="A1328" s="4" t="s">
        <v>28</v>
      </c>
      <c r="B1328" s="4" t="s">
        <v>35</v>
      </c>
      <c r="C1328" s="4" t="s">
        <v>36</v>
      </c>
      <c r="D1328" s="4" t="s">
        <v>24</v>
      </c>
      <c r="E1328" s="4" t="s">
        <v>24</v>
      </c>
      <c r="F1328" s="4" t="s">
        <v>25</v>
      </c>
      <c r="G1328" s="4" t="s">
        <v>25</v>
      </c>
      <c r="H1328" s="4" t="s">
        <v>25</v>
      </c>
      <c r="I1328" s="5">
        <v>44348</v>
      </c>
      <c r="J1328" s="6">
        <v>64</v>
      </c>
      <c r="K1328" s="6">
        <v>64</v>
      </c>
      <c r="L1328" s="6">
        <v>0</v>
      </c>
      <c r="M1328" s="6">
        <v>0</v>
      </c>
      <c r="N1328" s="6">
        <v>0</v>
      </c>
      <c r="O1328" s="6">
        <v>0</v>
      </c>
      <c r="P1328" s="6">
        <v>1</v>
      </c>
      <c r="Q1328" s="4" t="s">
        <v>26</v>
      </c>
      <c r="R1328" s="4">
        <v>0</v>
      </c>
      <c r="S1328" s="4" t="s">
        <v>207</v>
      </c>
      <c r="U1328" s="4">
        <v>23</v>
      </c>
      <c r="V1328" s="4">
        <v>0</v>
      </c>
      <c r="W1328" s="4">
        <v>0</v>
      </c>
    </row>
    <row r="1329" spans="1:23" ht="11.25" customHeight="1" x14ac:dyDescent="0.25">
      <c r="A1329" s="4" t="s">
        <v>21</v>
      </c>
      <c r="B1329" s="4" t="s">
        <v>35</v>
      </c>
      <c r="C1329" s="4" t="s">
        <v>36</v>
      </c>
      <c r="D1329" s="4" t="s">
        <v>24</v>
      </c>
      <c r="E1329" s="4" t="s">
        <v>24</v>
      </c>
      <c r="F1329" s="4" t="s">
        <v>25</v>
      </c>
      <c r="G1329" s="4" t="s">
        <v>25</v>
      </c>
      <c r="H1329" s="4" t="s">
        <v>25</v>
      </c>
      <c r="I1329" s="5">
        <v>44378</v>
      </c>
      <c r="J1329" s="6">
        <v>2727</v>
      </c>
      <c r="K1329" s="6">
        <v>2727</v>
      </c>
      <c r="L1329" s="6">
        <v>0</v>
      </c>
      <c r="M1329" s="6">
        <v>0</v>
      </c>
      <c r="N1329" s="6">
        <v>0</v>
      </c>
      <c r="O1329" s="6">
        <v>0</v>
      </c>
      <c r="P1329" s="6">
        <v>42</v>
      </c>
      <c r="Q1329" s="4" t="s">
        <v>26</v>
      </c>
      <c r="R1329" s="4">
        <v>0</v>
      </c>
      <c r="S1329" s="4" t="s">
        <v>208</v>
      </c>
      <c r="U1329" s="4">
        <v>23</v>
      </c>
      <c r="V1329" s="4">
        <v>0</v>
      </c>
      <c r="W1329" s="4">
        <v>0</v>
      </c>
    </row>
    <row r="1330" spans="1:23" ht="11.25" customHeight="1" x14ac:dyDescent="0.25">
      <c r="A1330" s="4" t="s">
        <v>28</v>
      </c>
      <c r="B1330" s="4" t="s">
        <v>35</v>
      </c>
      <c r="C1330" s="4" t="s">
        <v>36</v>
      </c>
      <c r="D1330" s="4" t="s">
        <v>24</v>
      </c>
      <c r="E1330" s="4" t="s">
        <v>24</v>
      </c>
      <c r="F1330" s="4" t="s">
        <v>25</v>
      </c>
      <c r="G1330" s="4" t="s">
        <v>25</v>
      </c>
      <c r="H1330" s="4" t="s">
        <v>25</v>
      </c>
      <c r="I1330" s="5">
        <v>44378</v>
      </c>
      <c r="J1330" s="6">
        <v>65</v>
      </c>
      <c r="K1330" s="6">
        <v>65</v>
      </c>
      <c r="L1330" s="6">
        <v>0</v>
      </c>
      <c r="M1330" s="6">
        <v>0</v>
      </c>
      <c r="N1330" s="6">
        <v>0</v>
      </c>
      <c r="O1330" s="6">
        <v>0</v>
      </c>
      <c r="P1330" s="6">
        <v>1</v>
      </c>
      <c r="Q1330" s="4" t="s">
        <v>26</v>
      </c>
      <c r="R1330" s="4">
        <v>0</v>
      </c>
      <c r="S1330" s="4" t="s">
        <v>208</v>
      </c>
      <c r="U1330" s="4">
        <v>23</v>
      </c>
      <c r="V1330" s="4">
        <v>0</v>
      </c>
      <c r="W1330" s="4">
        <v>0</v>
      </c>
    </row>
    <row r="1331" spans="1:23" ht="11.25" customHeight="1" x14ac:dyDescent="0.25">
      <c r="A1331" s="4" t="s">
        <v>21</v>
      </c>
      <c r="B1331" s="4" t="s">
        <v>35</v>
      </c>
      <c r="C1331" s="4" t="s">
        <v>36</v>
      </c>
      <c r="D1331" s="4" t="s">
        <v>24</v>
      </c>
      <c r="E1331" s="4" t="s">
        <v>24</v>
      </c>
      <c r="F1331" s="4" t="s">
        <v>25</v>
      </c>
      <c r="G1331" s="4" t="s">
        <v>25</v>
      </c>
      <c r="H1331" s="4" t="s">
        <v>25</v>
      </c>
      <c r="I1331" s="5">
        <v>44409</v>
      </c>
      <c r="J1331" s="6">
        <v>2708</v>
      </c>
      <c r="K1331" s="6">
        <v>2708</v>
      </c>
      <c r="L1331" s="6">
        <v>0</v>
      </c>
      <c r="M1331" s="6">
        <v>0</v>
      </c>
      <c r="N1331" s="6">
        <v>0</v>
      </c>
      <c r="O1331" s="6">
        <v>0</v>
      </c>
      <c r="P1331" s="6">
        <v>42</v>
      </c>
      <c r="Q1331" s="4" t="s">
        <v>26</v>
      </c>
      <c r="R1331" s="4">
        <v>0</v>
      </c>
      <c r="S1331" s="4" t="s">
        <v>209</v>
      </c>
      <c r="U1331" s="4">
        <v>23</v>
      </c>
      <c r="V1331" s="4">
        <v>0</v>
      </c>
      <c r="W1331" s="4">
        <v>0</v>
      </c>
    </row>
    <row r="1332" spans="1:23" ht="11.25" customHeight="1" x14ac:dyDescent="0.25">
      <c r="A1332" s="4" t="s">
        <v>28</v>
      </c>
      <c r="B1332" s="4" t="s">
        <v>35</v>
      </c>
      <c r="C1332" s="4" t="s">
        <v>36</v>
      </c>
      <c r="D1332" s="4" t="s">
        <v>24</v>
      </c>
      <c r="E1332" s="4" t="s">
        <v>24</v>
      </c>
      <c r="F1332" s="4" t="s">
        <v>25</v>
      </c>
      <c r="G1332" s="4" t="s">
        <v>25</v>
      </c>
      <c r="H1332" s="4" t="s">
        <v>25</v>
      </c>
      <c r="I1332" s="5">
        <v>44409</v>
      </c>
      <c r="J1332" s="6">
        <v>73</v>
      </c>
      <c r="K1332" s="6">
        <v>73</v>
      </c>
      <c r="L1332" s="6">
        <v>0</v>
      </c>
      <c r="M1332" s="6">
        <v>0</v>
      </c>
      <c r="N1332" s="6">
        <v>0</v>
      </c>
      <c r="O1332" s="6">
        <v>0</v>
      </c>
      <c r="P1332" s="6">
        <v>1</v>
      </c>
      <c r="Q1332" s="4" t="s">
        <v>26</v>
      </c>
      <c r="R1332" s="4">
        <v>0</v>
      </c>
      <c r="S1332" s="4" t="s">
        <v>209</v>
      </c>
      <c r="U1332" s="4">
        <v>23</v>
      </c>
      <c r="V1332" s="4">
        <v>0</v>
      </c>
      <c r="W1332" s="4">
        <v>0</v>
      </c>
    </row>
    <row r="1333" spans="1:23" ht="11.25" customHeight="1" x14ac:dyDescent="0.25">
      <c r="A1333" s="4" t="s">
        <v>21</v>
      </c>
      <c r="B1333" s="4" t="s">
        <v>35</v>
      </c>
      <c r="C1333" s="4" t="s">
        <v>36</v>
      </c>
      <c r="D1333" s="4" t="s">
        <v>24</v>
      </c>
      <c r="E1333" s="4" t="s">
        <v>24</v>
      </c>
      <c r="F1333" s="4" t="s">
        <v>25</v>
      </c>
      <c r="G1333" s="4" t="s">
        <v>25</v>
      </c>
      <c r="H1333" s="4" t="s">
        <v>25</v>
      </c>
      <c r="I1333" s="5">
        <v>44440</v>
      </c>
      <c r="J1333" s="6">
        <v>2710</v>
      </c>
      <c r="K1333" s="6">
        <v>2710</v>
      </c>
      <c r="L1333" s="6">
        <v>0</v>
      </c>
      <c r="M1333" s="6">
        <v>0</v>
      </c>
      <c r="N1333" s="6">
        <v>0</v>
      </c>
      <c r="O1333" s="6">
        <v>0</v>
      </c>
      <c r="P1333" s="6">
        <v>42</v>
      </c>
      <c r="Q1333" s="4" t="s">
        <v>26</v>
      </c>
      <c r="R1333" s="4">
        <v>0</v>
      </c>
      <c r="S1333" s="4" t="s">
        <v>210</v>
      </c>
      <c r="U1333" s="4">
        <v>23</v>
      </c>
      <c r="V1333" s="4">
        <v>0</v>
      </c>
      <c r="W1333" s="4">
        <v>0</v>
      </c>
    </row>
    <row r="1334" spans="1:23" ht="11.25" customHeight="1" x14ac:dyDescent="0.25">
      <c r="A1334" s="4" t="s">
        <v>28</v>
      </c>
      <c r="B1334" s="4" t="s">
        <v>35</v>
      </c>
      <c r="C1334" s="4" t="s">
        <v>36</v>
      </c>
      <c r="D1334" s="4" t="s">
        <v>24</v>
      </c>
      <c r="E1334" s="4" t="s">
        <v>24</v>
      </c>
      <c r="F1334" s="4" t="s">
        <v>25</v>
      </c>
      <c r="G1334" s="4" t="s">
        <v>25</v>
      </c>
      <c r="H1334" s="4" t="s">
        <v>25</v>
      </c>
      <c r="I1334" s="5">
        <v>44440</v>
      </c>
      <c r="J1334" s="6">
        <v>73</v>
      </c>
      <c r="K1334" s="6">
        <v>73</v>
      </c>
      <c r="L1334" s="6">
        <v>0</v>
      </c>
      <c r="M1334" s="6">
        <v>0</v>
      </c>
      <c r="N1334" s="6">
        <v>0</v>
      </c>
      <c r="O1334" s="6">
        <v>0</v>
      </c>
      <c r="P1334" s="6">
        <v>1</v>
      </c>
      <c r="Q1334" s="4" t="s">
        <v>26</v>
      </c>
      <c r="R1334" s="4">
        <v>0</v>
      </c>
      <c r="S1334" s="4" t="s">
        <v>210</v>
      </c>
      <c r="U1334" s="4">
        <v>23</v>
      </c>
      <c r="V1334" s="4">
        <v>0</v>
      </c>
      <c r="W1334" s="4">
        <v>0</v>
      </c>
    </row>
    <row r="1335" spans="1:23" ht="11.25" customHeight="1" x14ac:dyDescent="0.25">
      <c r="A1335" s="4" t="s">
        <v>59</v>
      </c>
      <c r="B1335" s="4" t="s">
        <v>35</v>
      </c>
      <c r="C1335" s="4" t="s">
        <v>36</v>
      </c>
      <c r="D1335" s="4" t="s">
        <v>24</v>
      </c>
      <c r="E1335" s="4" t="s">
        <v>24</v>
      </c>
      <c r="F1335" s="4" t="s">
        <v>25</v>
      </c>
      <c r="G1335" s="4" t="s">
        <v>25</v>
      </c>
      <c r="H1335" s="4" t="s">
        <v>25</v>
      </c>
      <c r="I1335" s="5">
        <v>44470</v>
      </c>
      <c r="J1335" s="6">
        <v>2710</v>
      </c>
      <c r="K1335" s="6">
        <v>2710</v>
      </c>
      <c r="L1335" s="6">
        <v>0</v>
      </c>
      <c r="M1335" s="6">
        <v>0</v>
      </c>
      <c r="N1335" s="6">
        <v>0</v>
      </c>
      <c r="O1335" s="6">
        <v>0</v>
      </c>
      <c r="P1335" s="6">
        <v>42</v>
      </c>
      <c r="Q1335" s="4" t="s">
        <v>26</v>
      </c>
      <c r="R1335" s="4">
        <v>0</v>
      </c>
      <c r="S1335" s="4" t="s">
        <v>211</v>
      </c>
      <c r="U1335" s="4">
        <v>23</v>
      </c>
      <c r="V1335" s="4">
        <v>0</v>
      </c>
      <c r="W1335" s="4">
        <v>0</v>
      </c>
    </row>
    <row r="1336" spans="1:23" ht="11.25" customHeight="1" x14ac:dyDescent="0.25">
      <c r="A1336" s="4" t="s">
        <v>59</v>
      </c>
      <c r="B1336" s="4" t="s">
        <v>35</v>
      </c>
      <c r="C1336" s="4" t="s">
        <v>36</v>
      </c>
      <c r="D1336" s="4" t="s">
        <v>24</v>
      </c>
      <c r="E1336" s="4" t="s">
        <v>24</v>
      </c>
      <c r="F1336" s="4" t="s">
        <v>25</v>
      </c>
      <c r="G1336" s="4" t="s">
        <v>25</v>
      </c>
      <c r="H1336" s="4" t="s">
        <v>25</v>
      </c>
      <c r="I1336" s="5">
        <v>44470</v>
      </c>
      <c r="J1336" s="6">
        <v>73</v>
      </c>
      <c r="K1336" s="6">
        <v>73</v>
      </c>
      <c r="L1336" s="6">
        <v>0</v>
      </c>
      <c r="M1336" s="6">
        <v>0</v>
      </c>
      <c r="N1336" s="6">
        <v>0</v>
      </c>
      <c r="O1336" s="6">
        <v>0</v>
      </c>
      <c r="P1336" s="6">
        <v>1</v>
      </c>
      <c r="Q1336" s="4" t="s">
        <v>26</v>
      </c>
      <c r="R1336" s="4">
        <v>0</v>
      </c>
      <c r="S1336" s="4" t="s">
        <v>211</v>
      </c>
      <c r="U1336" s="4">
        <v>23</v>
      </c>
      <c r="V1336" s="4">
        <v>0</v>
      </c>
      <c r="W1336" s="4">
        <v>0</v>
      </c>
    </row>
    <row r="1337" spans="1:23" ht="11.25" customHeight="1" x14ac:dyDescent="0.25">
      <c r="A1337" s="4" t="s">
        <v>21</v>
      </c>
      <c r="B1337" s="4" t="s">
        <v>35</v>
      </c>
      <c r="C1337" s="4" t="s">
        <v>36</v>
      </c>
      <c r="D1337" s="4" t="s">
        <v>24</v>
      </c>
      <c r="E1337" s="4" t="s">
        <v>24</v>
      </c>
      <c r="F1337" s="4" t="s">
        <v>25</v>
      </c>
      <c r="G1337" s="4" t="s">
        <v>25</v>
      </c>
      <c r="H1337" s="4" t="s">
        <v>37</v>
      </c>
      <c r="I1337" s="5">
        <v>44136</v>
      </c>
      <c r="J1337" s="6">
        <v>0</v>
      </c>
      <c r="K1337" s="6">
        <v>0</v>
      </c>
      <c r="L1337" s="6">
        <v>34.767000000000003</v>
      </c>
      <c r="M1337" s="6">
        <v>34.767000000000003</v>
      </c>
      <c r="N1337" s="6">
        <v>34.767000000000003</v>
      </c>
      <c r="O1337" s="6">
        <v>34.767000000000003</v>
      </c>
      <c r="P1337" s="6">
        <v>0</v>
      </c>
      <c r="Q1337" s="4" t="s">
        <v>26</v>
      </c>
      <c r="R1337" s="4">
        <v>0</v>
      </c>
      <c r="S1337" s="4" t="s">
        <v>212</v>
      </c>
      <c r="T1337" s="4" t="s">
        <v>445</v>
      </c>
      <c r="U1337" s="4">
        <v>0</v>
      </c>
      <c r="V1337" s="4">
        <v>24</v>
      </c>
      <c r="W1337" s="4">
        <v>66</v>
      </c>
    </row>
    <row r="1338" spans="1:23" ht="11.25" customHeight="1" x14ac:dyDescent="0.25">
      <c r="A1338" s="4" t="s">
        <v>21</v>
      </c>
      <c r="B1338" s="4" t="s">
        <v>35</v>
      </c>
      <c r="C1338" s="4" t="s">
        <v>36</v>
      </c>
      <c r="D1338" s="4" t="s">
        <v>24</v>
      </c>
      <c r="E1338" s="4" t="s">
        <v>24</v>
      </c>
      <c r="F1338" s="4" t="s">
        <v>25</v>
      </c>
      <c r="G1338" s="4" t="s">
        <v>25</v>
      </c>
      <c r="H1338" s="4" t="s">
        <v>37</v>
      </c>
      <c r="I1338" s="5">
        <v>44166</v>
      </c>
      <c r="J1338" s="6">
        <v>0</v>
      </c>
      <c r="K1338" s="6">
        <v>0</v>
      </c>
      <c r="L1338" s="6">
        <v>37.703000000000003</v>
      </c>
      <c r="M1338" s="6">
        <v>37.703000000000003</v>
      </c>
      <c r="N1338" s="6">
        <v>37.703000000000003</v>
      </c>
      <c r="O1338" s="6">
        <v>37.703000000000003</v>
      </c>
      <c r="P1338" s="6">
        <v>0</v>
      </c>
      <c r="Q1338" s="4" t="s">
        <v>26</v>
      </c>
      <c r="R1338" s="4">
        <v>0</v>
      </c>
      <c r="S1338" s="4" t="s">
        <v>213</v>
      </c>
      <c r="T1338" s="4" t="s">
        <v>446</v>
      </c>
      <c r="U1338" s="4">
        <v>0</v>
      </c>
      <c r="V1338" s="4">
        <v>24</v>
      </c>
      <c r="W1338" s="4">
        <v>66</v>
      </c>
    </row>
    <row r="1339" spans="1:23" ht="11.25" customHeight="1" x14ac:dyDescent="0.25">
      <c r="A1339" s="4" t="s">
        <v>21</v>
      </c>
      <c r="B1339" s="4" t="s">
        <v>35</v>
      </c>
      <c r="C1339" s="4" t="s">
        <v>36</v>
      </c>
      <c r="D1339" s="4" t="s">
        <v>24</v>
      </c>
      <c r="E1339" s="4" t="s">
        <v>24</v>
      </c>
      <c r="F1339" s="4" t="s">
        <v>25</v>
      </c>
      <c r="G1339" s="4" t="s">
        <v>25</v>
      </c>
      <c r="H1339" s="4" t="s">
        <v>37</v>
      </c>
      <c r="I1339" s="5">
        <v>44197</v>
      </c>
      <c r="J1339" s="6">
        <v>0</v>
      </c>
      <c r="K1339" s="6">
        <v>0</v>
      </c>
      <c r="L1339" s="6">
        <v>30.234000000000002</v>
      </c>
      <c r="M1339" s="6">
        <v>30.234000000000002</v>
      </c>
      <c r="N1339" s="6">
        <v>30.234000000000002</v>
      </c>
      <c r="O1339" s="6">
        <v>30.234000000000002</v>
      </c>
      <c r="P1339" s="6">
        <v>0</v>
      </c>
      <c r="Q1339" s="4" t="s">
        <v>26</v>
      </c>
      <c r="R1339" s="4">
        <v>0</v>
      </c>
      <c r="S1339" s="4" t="s">
        <v>214</v>
      </c>
      <c r="T1339" s="4" t="s">
        <v>447</v>
      </c>
      <c r="U1339" s="4">
        <v>0</v>
      </c>
      <c r="V1339" s="4">
        <v>24</v>
      </c>
      <c r="W1339" s="4">
        <v>66</v>
      </c>
    </row>
    <row r="1340" spans="1:23" ht="11.25" customHeight="1" x14ac:dyDescent="0.25">
      <c r="A1340" s="4" t="s">
        <v>21</v>
      </c>
      <c r="B1340" s="4" t="s">
        <v>35</v>
      </c>
      <c r="C1340" s="4" t="s">
        <v>36</v>
      </c>
      <c r="D1340" s="4" t="s">
        <v>24</v>
      </c>
      <c r="E1340" s="4" t="s">
        <v>24</v>
      </c>
      <c r="F1340" s="4" t="s">
        <v>25</v>
      </c>
      <c r="G1340" s="4" t="s">
        <v>25</v>
      </c>
      <c r="H1340" s="4" t="s">
        <v>37</v>
      </c>
      <c r="I1340" s="5">
        <v>44228</v>
      </c>
      <c r="J1340" s="6">
        <v>0</v>
      </c>
      <c r="K1340" s="6">
        <v>0</v>
      </c>
      <c r="L1340" s="6">
        <v>26.241</v>
      </c>
      <c r="M1340" s="6">
        <v>26.241</v>
      </c>
      <c r="N1340" s="6">
        <v>26.241</v>
      </c>
      <c r="O1340" s="6">
        <v>26.241</v>
      </c>
      <c r="P1340" s="6">
        <v>0</v>
      </c>
      <c r="Q1340" s="4" t="s">
        <v>26</v>
      </c>
      <c r="R1340" s="4">
        <v>0</v>
      </c>
      <c r="S1340" s="4" t="s">
        <v>215</v>
      </c>
      <c r="T1340" s="4" t="s">
        <v>448</v>
      </c>
      <c r="U1340" s="4">
        <v>0</v>
      </c>
      <c r="V1340" s="4">
        <v>24</v>
      </c>
      <c r="W1340" s="4">
        <v>66</v>
      </c>
    </row>
    <row r="1341" spans="1:23" ht="11.25" customHeight="1" x14ac:dyDescent="0.25">
      <c r="A1341" s="4" t="s">
        <v>21</v>
      </c>
      <c r="B1341" s="4" t="s">
        <v>35</v>
      </c>
      <c r="C1341" s="4" t="s">
        <v>36</v>
      </c>
      <c r="D1341" s="4" t="s">
        <v>24</v>
      </c>
      <c r="E1341" s="4" t="s">
        <v>24</v>
      </c>
      <c r="F1341" s="4" t="s">
        <v>25</v>
      </c>
      <c r="G1341" s="4" t="s">
        <v>25</v>
      </c>
      <c r="H1341" s="4" t="s">
        <v>37</v>
      </c>
      <c r="I1341" s="5">
        <v>44256</v>
      </c>
      <c r="J1341" s="6">
        <v>0</v>
      </c>
      <c r="K1341" s="6">
        <v>0</v>
      </c>
      <c r="L1341" s="6">
        <v>37.262999999999998</v>
      </c>
      <c r="M1341" s="6">
        <v>37.262999999999998</v>
      </c>
      <c r="N1341" s="6">
        <v>37.262999999999998</v>
      </c>
      <c r="O1341" s="6">
        <v>37.262999999999998</v>
      </c>
      <c r="P1341" s="6">
        <v>0</v>
      </c>
      <c r="Q1341" s="4" t="s">
        <v>26</v>
      </c>
      <c r="R1341" s="4">
        <v>0</v>
      </c>
      <c r="S1341" s="4" t="s">
        <v>216</v>
      </c>
      <c r="T1341" s="4" t="s">
        <v>449</v>
      </c>
      <c r="U1341" s="4">
        <v>0</v>
      </c>
      <c r="V1341" s="4">
        <v>24</v>
      </c>
      <c r="W1341" s="4">
        <v>66</v>
      </c>
    </row>
    <row r="1342" spans="1:23" ht="11.25" customHeight="1" x14ac:dyDescent="0.25">
      <c r="A1342" s="4" t="s">
        <v>21</v>
      </c>
      <c r="B1342" s="4" t="s">
        <v>35</v>
      </c>
      <c r="C1342" s="4" t="s">
        <v>36</v>
      </c>
      <c r="D1342" s="4" t="s">
        <v>24</v>
      </c>
      <c r="E1342" s="4" t="s">
        <v>24</v>
      </c>
      <c r="F1342" s="4" t="s">
        <v>25</v>
      </c>
      <c r="G1342" s="4" t="s">
        <v>25</v>
      </c>
      <c r="H1342" s="4" t="s">
        <v>37</v>
      </c>
      <c r="I1342" s="5">
        <v>44287</v>
      </c>
      <c r="J1342" s="6">
        <v>0</v>
      </c>
      <c r="K1342" s="6">
        <v>0</v>
      </c>
      <c r="L1342" s="6">
        <v>30.452999999999999</v>
      </c>
      <c r="M1342" s="6">
        <v>30.452999999999999</v>
      </c>
      <c r="N1342" s="6">
        <v>30.452999999999999</v>
      </c>
      <c r="O1342" s="6">
        <v>30.452999999999999</v>
      </c>
      <c r="P1342" s="6">
        <v>0</v>
      </c>
      <c r="Q1342" s="4" t="s">
        <v>26</v>
      </c>
      <c r="R1342" s="4">
        <v>0</v>
      </c>
      <c r="S1342" s="4" t="s">
        <v>217</v>
      </c>
      <c r="T1342" s="4" t="s">
        <v>450</v>
      </c>
      <c r="U1342" s="4">
        <v>0</v>
      </c>
      <c r="V1342" s="4">
        <v>24</v>
      </c>
      <c r="W1342" s="4">
        <v>66</v>
      </c>
    </row>
    <row r="1343" spans="1:23" ht="11.25" customHeight="1" x14ac:dyDescent="0.25">
      <c r="A1343" s="4" t="s">
        <v>28</v>
      </c>
      <c r="B1343" s="4" t="s">
        <v>35</v>
      </c>
      <c r="C1343" s="4" t="s">
        <v>36</v>
      </c>
      <c r="D1343" s="4" t="s">
        <v>24</v>
      </c>
      <c r="E1343" s="4" t="s">
        <v>24</v>
      </c>
      <c r="F1343" s="4" t="s">
        <v>25</v>
      </c>
      <c r="G1343" s="4" t="s">
        <v>25</v>
      </c>
      <c r="H1343" s="4" t="s">
        <v>37</v>
      </c>
      <c r="I1343" s="5">
        <v>44287</v>
      </c>
      <c r="J1343" s="6">
        <v>0</v>
      </c>
      <c r="K1343" s="6">
        <v>0</v>
      </c>
      <c r="L1343" s="6">
        <v>1.3160000000000001</v>
      </c>
      <c r="M1343" s="6">
        <v>1.3160000000000001</v>
      </c>
      <c r="N1343" s="6">
        <v>1.3160000000000001</v>
      </c>
      <c r="O1343" s="6">
        <v>1.3160000000000001</v>
      </c>
      <c r="P1343" s="6">
        <v>0</v>
      </c>
      <c r="Q1343" s="4" t="s">
        <v>26</v>
      </c>
      <c r="R1343" s="4">
        <v>0</v>
      </c>
      <c r="S1343" s="4" t="s">
        <v>217</v>
      </c>
      <c r="T1343" s="4" t="s">
        <v>450</v>
      </c>
      <c r="U1343" s="4">
        <v>0</v>
      </c>
      <c r="V1343" s="4">
        <v>24</v>
      </c>
      <c r="W1343" s="4">
        <v>66</v>
      </c>
    </row>
    <row r="1344" spans="1:23" ht="11.25" customHeight="1" x14ac:dyDescent="0.25">
      <c r="A1344" s="4" t="s">
        <v>21</v>
      </c>
      <c r="B1344" s="4" t="s">
        <v>35</v>
      </c>
      <c r="C1344" s="4" t="s">
        <v>36</v>
      </c>
      <c r="D1344" s="4" t="s">
        <v>24</v>
      </c>
      <c r="E1344" s="4" t="s">
        <v>24</v>
      </c>
      <c r="F1344" s="4" t="s">
        <v>25</v>
      </c>
      <c r="G1344" s="4" t="s">
        <v>25</v>
      </c>
      <c r="H1344" s="4" t="s">
        <v>37</v>
      </c>
      <c r="I1344" s="5">
        <v>44317</v>
      </c>
      <c r="J1344" s="6">
        <v>0</v>
      </c>
      <c r="K1344" s="6">
        <v>0</v>
      </c>
      <c r="L1344" s="6">
        <v>31.655999999999999</v>
      </c>
      <c r="M1344" s="6">
        <v>31.655999999999999</v>
      </c>
      <c r="N1344" s="6">
        <v>31.655999999999999</v>
      </c>
      <c r="O1344" s="6">
        <v>31.655999999999999</v>
      </c>
      <c r="P1344" s="6">
        <v>0</v>
      </c>
      <c r="Q1344" s="4" t="s">
        <v>26</v>
      </c>
      <c r="R1344" s="4">
        <v>0</v>
      </c>
      <c r="S1344" s="4" t="s">
        <v>218</v>
      </c>
      <c r="T1344" s="4" t="s">
        <v>451</v>
      </c>
      <c r="U1344" s="4">
        <v>0</v>
      </c>
      <c r="V1344" s="4">
        <v>24</v>
      </c>
      <c r="W1344" s="4">
        <v>66</v>
      </c>
    </row>
    <row r="1345" spans="1:23" ht="11.25" customHeight="1" x14ac:dyDescent="0.25">
      <c r="A1345" s="4" t="s">
        <v>28</v>
      </c>
      <c r="B1345" s="4" t="s">
        <v>35</v>
      </c>
      <c r="C1345" s="4" t="s">
        <v>36</v>
      </c>
      <c r="D1345" s="4" t="s">
        <v>24</v>
      </c>
      <c r="E1345" s="4" t="s">
        <v>24</v>
      </c>
      <c r="F1345" s="4" t="s">
        <v>25</v>
      </c>
      <c r="G1345" s="4" t="s">
        <v>25</v>
      </c>
      <c r="H1345" s="4" t="s">
        <v>37</v>
      </c>
      <c r="I1345" s="5">
        <v>44317</v>
      </c>
      <c r="J1345" s="6">
        <v>0</v>
      </c>
      <c r="K1345" s="6">
        <v>0</v>
      </c>
      <c r="L1345" s="6">
        <v>0.91</v>
      </c>
      <c r="M1345" s="6">
        <v>0.91</v>
      </c>
      <c r="N1345" s="6">
        <v>0.91</v>
      </c>
      <c r="O1345" s="6">
        <v>0.91</v>
      </c>
      <c r="P1345" s="6">
        <v>0</v>
      </c>
      <c r="Q1345" s="4" t="s">
        <v>26</v>
      </c>
      <c r="R1345" s="4">
        <v>0</v>
      </c>
      <c r="S1345" s="4" t="s">
        <v>218</v>
      </c>
      <c r="T1345" s="4" t="s">
        <v>451</v>
      </c>
      <c r="U1345" s="4">
        <v>0</v>
      </c>
      <c r="V1345" s="4">
        <v>24</v>
      </c>
      <c r="W1345" s="4">
        <v>66</v>
      </c>
    </row>
    <row r="1346" spans="1:23" ht="11.25" customHeight="1" x14ac:dyDescent="0.25">
      <c r="A1346" s="4" t="s">
        <v>21</v>
      </c>
      <c r="B1346" s="4" t="s">
        <v>35</v>
      </c>
      <c r="C1346" s="4" t="s">
        <v>36</v>
      </c>
      <c r="D1346" s="4" t="s">
        <v>24</v>
      </c>
      <c r="E1346" s="4" t="s">
        <v>24</v>
      </c>
      <c r="F1346" s="4" t="s">
        <v>25</v>
      </c>
      <c r="G1346" s="4" t="s">
        <v>25</v>
      </c>
      <c r="H1346" s="4" t="s">
        <v>37</v>
      </c>
      <c r="I1346" s="5">
        <v>44348</v>
      </c>
      <c r="J1346" s="6">
        <v>0</v>
      </c>
      <c r="K1346" s="6">
        <v>0</v>
      </c>
      <c r="L1346" s="6">
        <v>31.318000000000001</v>
      </c>
      <c r="M1346" s="6">
        <v>31.318000000000001</v>
      </c>
      <c r="N1346" s="6">
        <v>31.318000000000001</v>
      </c>
      <c r="O1346" s="6">
        <v>31.318000000000001</v>
      </c>
      <c r="P1346" s="6">
        <v>0</v>
      </c>
      <c r="Q1346" s="4" t="s">
        <v>26</v>
      </c>
      <c r="R1346" s="4">
        <v>0</v>
      </c>
      <c r="S1346" s="4" t="s">
        <v>219</v>
      </c>
      <c r="T1346" s="4" t="s">
        <v>452</v>
      </c>
      <c r="U1346" s="4">
        <v>0</v>
      </c>
      <c r="V1346" s="4">
        <v>24</v>
      </c>
      <c r="W1346" s="4">
        <v>66</v>
      </c>
    </row>
    <row r="1347" spans="1:23" ht="11.25" customHeight="1" x14ac:dyDescent="0.25">
      <c r="A1347" s="4" t="s">
        <v>28</v>
      </c>
      <c r="B1347" s="4" t="s">
        <v>35</v>
      </c>
      <c r="C1347" s="4" t="s">
        <v>36</v>
      </c>
      <c r="D1347" s="4" t="s">
        <v>24</v>
      </c>
      <c r="E1347" s="4" t="s">
        <v>24</v>
      </c>
      <c r="F1347" s="4" t="s">
        <v>25</v>
      </c>
      <c r="G1347" s="4" t="s">
        <v>25</v>
      </c>
      <c r="H1347" s="4" t="s">
        <v>37</v>
      </c>
      <c r="I1347" s="5">
        <v>44348</v>
      </c>
      <c r="J1347" s="6">
        <v>0</v>
      </c>
      <c r="K1347" s="6">
        <v>0</v>
      </c>
      <c r="L1347" s="6">
        <v>1.02</v>
      </c>
      <c r="M1347" s="6">
        <v>1.02</v>
      </c>
      <c r="N1347" s="6">
        <v>1.02</v>
      </c>
      <c r="O1347" s="6">
        <v>1.02</v>
      </c>
      <c r="P1347" s="6">
        <v>0</v>
      </c>
      <c r="Q1347" s="4" t="s">
        <v>26</v>
      </c>
      <c r="R1347" s="4">
        <v>0</v>
      </c>
      <c r="S1347" s="4" t="s">
        <v>219</v>
      </c>
      <c r="T1347" s="4" t="s">
        <v>452</v>
      </c>
      <c r="U1347" s="4">
        <v>0</v>
      </c>
      <c r="V1347" s="4">
        <v>24</v>
      </c>
      <c r="W1347" s="4">
        <v>66</v>
      </c>
    </row>
    <row r="1348" spans="1:23" ht="11.25" customHeight="1" x14ac:dyDescent="0.25">
      <c r="A1348" s="4" t="s">
        <v>21</v>
      </c>
      <c r="B1348" s="4" t="s">
        <v>35</v>
      </c>
      <c r="C1348" s="4" t="s">
        <v>36</v>
      </c>
      <c r="D1348" s="4" t="s">
        <v>24</v>
      </c>
      <c r="E1348" s="4" t="s">
        <v>24</v>
      </c>
      <c r="F1348" s="4" t="s">
        <v>25</v>
      </c>
      <c r="G1348" s="4" t="s">
        <v>25</v>
      </c>
      <c r="H1348" s="4" t="s">
        <v>37</v>
      </c>
      <c r="I1348" s="5">
        <v>44378</v>
      </c>
      <c r="J1348" s="6">
        <v>0</v>
      </c>
      <c r="K1348" s="6">
        <v>0</v>
      </c>
      <c r="L1348" s="6">
        <v>34.119999999999997</v>
      </c>
      <c r="M1348" s="6">
        <v>34.119999999999997</v>
      </c>
      <c r="N1348" s="6">
        <v>34.119999999999997</v>
      </c>
      <c r="O1348" s="6">
        <v>34.119999999999997</v>
      </c>
      <c r="P1348" s="6">
        <v>0</v>
      </c>
      <c r="Q1348" s="4" t="s">
        <v>26</v>
      </c>
      <c r="R1348" s="4">
        <v>0</v>
      </c>
      <c r="S1348" s="4" t="s">
        <v>220</v>
      </c>
      <c r="T1348" s="4" t="s">
        <v>453</v>
      </c>
      <c r="U1348" s="4">
        <v>0</v>
      </c>
      <c r="V1348" s="4">
        <v>24</v>
      </c>
      <c r="W1348" s="4">
        <v>66</v>
      </c>
    </row>
    <row r="1349" spans="1:23" ht="11.25" customHeight="1" x14ac:dyDescent="0.25">
      <c r="A1349" s="4" t="s">
        <v>28</v>
      </c>
      <c r="B1349" s="4" t="s">
        <v>35</v>
      </c>
      <c r="C1349" s="4" t="s">
        <v>36</v>
      </c>
      <c r="D1349" s="4" t="s">
        <v>24</v>
      </c>
      <c r="E1349" s="4" t="s">
        <v>24</v>
      </c>
      <c r="F1349" s="4" t="s">
        <v>25</v>
      </c>
      <c r="G1349" s="4" t="s">
        <v>25</v>
      </c>
      <c r="H1349" s="4" t="s">
        <v>37</v>
      </c>
      <c r="I1349" s="5">
        <v>44378</v>
      </c>
      <c r="J1349" s="6">
        <v>0</v>
      </c>
      <c r="K1349" s="6">
        <v>0</v>
      </c>
      <c r="L1349" s="6">
        <v>1.4390000000000001</v>
      </c>
      <c r="M1349" s="6">
        <v>1.4390000000000001</v>
      </c>
      <c r="N1349" s="6">
        <v>1.4390000000000001</v>
      </c>
      <c r="O1349" s="6">
        <v>1.4390000000000001</v>
      </c>
      <c r="P1349" s="6">
        <v>0</v>
      </c>
      <c r="Q1349" s="4" t="s">
        <v>26</v>
      </c>
      <c r="R1349" s="4">
        <v>0</v>
      </c>
      <c r="S1349" s="4" t="s">
        <v>220</v>
      </c>
      <c r="T1349" s="4" t="s">
        <v>453</v>
      </c>
      <c r="U1349" s="4">
        <v>0</v>
      </c>
      <c r="V1349" s="4">
        <v>24</v>
      </c>
      <c r="W1349" s="4">
        <v>66</v>
      </c>
    </row>
    <row r="1350" spans="1:23" ht="11.25" customHeight="1" x14ac:dyDescent="0.25">
      <c r="A1350" s="4" t="s">
        <v>21</v>
      </c>
      <c r="B1350" s="4" t="s">
        <v>35</v>
      </c>
      <c r="C1350" s="4" t="s">
        <v>36</v>
      </c>
      <c r="D1350" s="4" t="s">
        <v>24</v>
      </c>
      <c r="E1350" s="4" t="s">
        <v>24</v>
      </c>
      <c r="F1350" s="4" t="s">
        <v>25</v>
      </c>
      <c r="G1350" s="4" t="s">
        <v>25</v>
      </c>
      <c r="H1350" s="4" t="s">
        <v>37</v>
      </c>
      <c r="I1350" s="5">
        <v>44409</v>
      </c>
      <c r="J1350" s="6">
        <v>0</v>
      </c>
      <c r="K1350" s="6">
        <v>0</v>
      </c>
      <c r="L1350" s="6">
        <v>35.936999999999998</v>
      </c>
      <c r="M1350" s="6">
        <v>35.936999999999998</v>
      </c>
      <c r="N1350" s="6">
        <v>35.936999999999998</v>
      </c>
      <c r="O1350" s="6">
        <v>35.936999999999998</v>
      </c>
      <c r="P1350" s="6">
        <v>0</v>
      </c>
      <c r="Q1350" s="4" t="s">
        <v>26</v>
      </c>
      <c r="R1350" s="4">
        <v>0</v>
      </c>
      <c r="S1350" s="4" t="s">
        <v>221</v>
      </c>
      <c r="T1350" s="4" t="s">
        <v>454</v>
      </c>
      <c r="U1350" s="4">
        <v>0</v>
      </c>
      <c r="V1350" s="4">
        <v>24</v>
      </c>
      <c r="W1350" s="4">
        <v>66</v>
      </c>
    </row>
    <row r="1351" spans="1:23" ht="11.25" customHeight="1" x14ac:dyDescent="0.25">
      <c r="A1351" s="4" t="s">
        <v>28</v>
      </c>
      <c r="B1351" s="4" t="s">
        <v>35</v>
      </c>
      <c r="C1351" s="4" t="s">
        <v>36</v>
      </c>
      <c r="D1351" s="4" t="s">
        <v>24</v>
      </c>
      <c r="E1351" s="4" t="s">
        <v>24</v>
      </c>
      <c r="F1351" s="4" t="s">
        <v>25</v>
      </c>
      <c r="G1351" s="4" t="s">
        <v>25</v>
      </c>
      <c r="H1351" s="4" t="s">
        <v>37</v>
      </c>
      <c r="I1351" s="5">
        <v>44409</v>
      </c>
      <c r="J1351" s="6">
        <v>0</v>
      </c>
      <c r="K1351" s="6">
        <v>0</v>
      </c>
      <c r="L1351" s="6">
        <v>1.34</v>
      </c>
      <c r="M1351" s="6">
        <v>1.34</v>
      </c>
      <c r="N1351" s="6">
        <v>1.34</v>
      </c>
      <c r="O1351" s="6">
        <v>1.34</v>
      </c>
      <c r="P1351" s="6">
        <v>0</v>
      </c>
      <c r="Q1351" s="4" t="s">
        <v>26</v>
      </c>
      <c r="R1351" s="4">
        <v>0</v>
      </c>
      <c r="S1351" s="4" t="s">
        <v>221</v>
      </c>
      <c r="T1351" s="4" t="s">
        <v>454</v>
      </c>
      <c r="U1351" s="4">
        <v>0</v>
      </c>
      <c r="V1351" s="4">
        <v>24</v>
      </c>
      <c r="W1351" s="4">
        <v>66</v>
      </c>
    </row>
    <row r="1352" spans="1:23" ht="11.25" customHeight="1" x14ac:dyDescent="0.25">
      <c r="A1352" s="4" t="s">
        <v>21</v>
      </c>
      <c r="B1352" s="4" t="s">
        <v>35</v>
      </c>
      <c r="C1352" s="4" t="s">
        <v>36</v>
      </c>
      <c r="D1352" s="4" t="s">
        <v>24</v>
      </c>
      <c r="E1352" s="4" t="s">
        <v>24</v>
      </c>
      <c r="F1352" s="4" t="s">
        <v>25</v>
      </c>
      <c r="G1352" s="4" t="s">
        <v>25</v>
      </c>
      <c r="H1352" s="4" t="s">
        <v>37</v>
      </c>
      <c r="I1352" s="5">
        <v>44440</v>
      </c>
      <c r="J1352" s="6">
        <v>0</v>
      </c>
      <c r="K1352" s="6">
        <v>0</v>
      </c>
      <c r="L1352" s="6">
        <v>34.281999999999996</v>
      </c>
      <c r="M1352" s="6">
        <v>34.281999999999996</v>
      </c>
      <c r="N1352" s="6">
        <v>34.281999999999996</v>
      </c>
      <c r="O1352" s="6">
        <v>34.281999999999996</v>
      </c>
      <c r="P1352" s="6">
        <v>0</v>
      </c>
      <c r="Q1352" s="4" t="s">
        <v>26</v>
      </c>
      <c r="R1352" s="4">
        <v>0</v>
      </c>
      <c r="S1352" s="4" t="s">
        <v>222</v>
      </c>
      <c r="T1352" s="4" t="s">
        <v>455</v>
      </c>
      <c r="U1352" s="4">
        <v>0</v>
      </c>
      <c r="V1352" s="4">
        <v>24</v>
      </c>
      <c r="W1352" s="4">
        <v>66</v>
      </c>
    </row>
    <row r="1353" spans="1:23" ht="11.25" customHeight="1" x14ac:dyDescent="0.25">
      <c r="A1353" s="4" t="s">
        <v>28</v>
      </c>
      <c r="B1353" s="4" t="s">
        <v>35</v>
      </c>
      <c r="C1353" s="4" t="s">
        <v>36</v>
      </c>
      <c r="D1353" s="4" t="s">
        <v>24</v>
      </c>
      <c r="E1353" s="4" t="s">
        <v>24</v>
      </c>
      <c r="F1353" s="4" t="s">
        <v>25</v>
      </c>
      <c r="G1353" s="4" t="s">
        <v>25</v>
      </c>
      <c r="H1353" s="4" t="s">
        <v>37</v>
      </c>
      <c r="I1353" s="5">
        <v>44440</v>
      </c>
      <c r="J1353" s="6">
        <v>0</v>
      </c>
      <c r="K1353" s="6">
        <v>0</v>
      </c>
      <c r="L1353" s="6">
        <v>1.4259999999999999</v>
      </c>
      <c r="M1353" s="6">
        <v>1.4259999999999999</v>
      </c>
      <c r="N1353" s="6">
        <v>1.4259999999999999</v>
      </c>
      <c r="O1353" s="6">
        <v>1.4259999999999999</v>
      </c>
      <c r="P1353" s="6">
        <v>0</v>
      </c>
      <c r="Q1353" s="4" t="s">
        <v>26</v>
      </c>
      <c r="R1353" s="4">
        <v>0</v>
      </c>
      <c r="S1353" s="4" t="s">
        <v>222</v>
      </c>
      <c r="T1353" s="4" t="s">
        <v>455</v>
      </c>
      <c r="U1353" s="4">
        <v>0</v>
      </c>
      <c r="V1353" s="4">
        <v>24</v>
      </c>
      <c r="W1353" s="4">
        <v>66</v>
      </c>
    </row>
    <row r="1354" spans="1:23" ht="11.25" customHeight="1" x14ac:dyDescent="0.25">
      <c r="A1354" s="4" t="s">
        <v>59</v>
      </c>
      <c r="B1354" s="4" t="s">
        <v>35</v>
      </c>
      <c r="C1354" s="4" t="s">
        <v>36</v>
      </c>
      <c r="D1354" s="4" t="s">
        <v>24</v>
      </c>
      <c r="E1354" s="4" t="s">
        <v>24</v>
      </c>
      <c r="F1354" s="4" t="s">
        <v>25</v>
      </c>
      <c r="G1354" s="4" t="s">
        <v>25</v>
      </c>
      <c r="H1354" s="4" t="s">
        <v>37</v>
      </c>
      <c r="I1354" s="5">
        <v>44470</v>
      </c>
      <c r="J1354" s="6">
        <v>0</v>
      </c>
      <c r="K1354" s="6">
        <v>0</v>
      </c>
      <c r="L1354" s="6">
        <v>34.281999999999996</v>
      </c>
      <c r="M1354" s="6">
        <v>34.281999999999996</v>
      </c>
      <c r="N1354" s="6">
        <v>34.281999999999996</v>
      </c>
      <c r="O1354" s="6">
        <v>34.281999999999996</v>
      </c>
      <c r="P1354" s="6">
        <v>0</v>
      </c>
      <c r="Q1354" s="4" t="s">
        <v>26</v>
      </c>
      <c r="R1354" s="4">
        <v>0</v>
      </c>
      <c r="S1354" s="4" t="s">
        <v>223</v>
      </c>
      <c r="T1354" s="4" t="s">
        <v>456</v>
      </c>
      <c r="U1354" s="4">
        <v>0</v>
      </c>
      <c r="V1354" s="4">
        <v>24</v>
      </c>
      <c r="W1354" s="4">
        <v>66</v>
      </c>
    </row>
    <row r="1355" spans="1:23" ht="11.25" customHeight="1" x14ac:dyDescent="0.25">
      <c r="A1355" s="4" t="s">
        <v>59</v>
      </c>
      <c r="B1355" s="4" t="s">
        <v>35</v>
      </c>
      <c r="C1355" s="4" t="s">
        <v>36</v>
      </c>
      <c r="D1355" s="4" t="s">
        <v>24</v>
      </c>
      <c r="E1355" s="4" t="s">
        <v>24</v>
      </c>
      <c r="F1355" s="4" t="s">
        <v>25</v>
      </c>
      <c r="G1355" s="4" t="s">
        <v>25</v>
      </c>
      <c r="H1355" s="4" t="s">
        <v>37</v>
      </c>
      <c r="I1355" s="5">
        <v>44470</v>
      </c>
      <c r="J1355" s="6">
        <v>0</v>
      </c>
      <c r="K1355" s="6">
        <v>0</v>
      </c>
      <c r="L1355" s="6">
        <v>1.4259999999999999</v>
      </c>
      <c r="M1355" s="6">
        <v>1.4259999999999999</v>
      </c>
      <c r="N1355" s="6">
        <v>1.4259999999999999</v>
      </c>
      <c r="O1355" s="6">
        <v>1.4259999999999999</v>
      </c>
      <c r="P1355" s="6">
        <v>0</v>
      </c>
      <c r="Q1355" s="4" t="s">
        <v>26</v>
      </c>
      <c r="R1355" s="4">
        <v>0</v>
      </c>
      <c r="S1355" s="4" t="s">
        <v>223</v>
      </c>
      <c r="T1355" s="4" t="s">
        <v>456</v>
      </c>
      <c r="U1355" s="4">
        <v>0</v>
      </c>
      <c r="V1355" s="4">
        <v>24</v>
      </c>
      <c r="W1355" s="4">
        <v>66</v>
      </c>
    </row>
    <row r="1356" spans="1:23" ht="11.25" customHeight="1" x14ac:dyDescent="0.25">
      <c r="A1356" s="4" t="s">
        <v>28</v>
      </c>
      <c r="B1356" s="4" t="s">
        <v>35</v>
      </c>
      <c r="C1356" s="4" t="s">
        <v>36</v>
      </c>
      <c r="D1356" s="4" t="s">
        <v>47</v>
      </c>
      <c r="E1356" s="4" t="s">
        <v>58</v>
      </c>
      <c r="F1356" s="4" t="s">
        <v>56</v>
      </c>
      <c r="G1356" s="4" t="s">
        <v>25</v>
      </c>
      <c r="H1356" s="4" t="s">
        <v>38</v>
      </c>
      <c r="I1356" s="5">
        <v>44378</v>
      </c>
      <c r="J1356" s="6">
        <v>0</v>
      </c>
      <c r="K1356" s="6">
        <v>0</v>
      </c>
      <c r="L1356" s="6">
        <v>4.34</v>
      </c>
      <c r="M1356" s="6">
        <v>0.86799999999999999</v>
      </c>
      <c r="N1356" s="6">
        <v>4.34</v>
      </c>
      <c r="O1356" s="6">
        <v>0.86799999999999999</v>
      </c>
      <c r="P1356" s="6">
        <v>0</v>
      </c>
      <c r="Q1356" s="4" t="s">
        <v>26</v>
      </c>
      <c r="R1356" s="4">
        <v>0</v>
      </c>
      <c r="S1356" s="4" t="s">
        <v>196</v>
      </c>
      <c r="T1356" s="4" t="s">
        <v>441</v>
      </c>
      <c r="U1356" s="4">
        <v>0</v>
      </c>
      <c r="V1356" s="4">
        <v>19</v>
      </c>
      <c r="W1356" s="4">
        <v>67</v>
      </c>
    </row>
    <row r="1357" spans="1:23" ht="11.25" customHeight="1" x14ac:dyDescent="0.25">
      <c r="A1357" s="4" t="s">
        <v>28</v>
      </c>
      <c r="B1357" s="4" t="s">
        <v>35</v>
      </c>
      <c r="C1357" s="4" t="s">
        <v>36</v>
      </c>
      <c r="D1357" s="4" t="s">
        <v>47</v>
      </c>
      <c r="E1357" s="4" t="s">
        <v>58</v>
      </c>
      <c r="F1357" s="4" t="s">
        <v>56</v>
      </c>
      <c r="G1357" s="4" t="s">
        <v>25</v>
      </c>
      <c r="H1357" s="4" t="s">
        <v>38</v>
      </c>
      <c r="I1357" s="5">
        <v>44409</v>
      </c>
      <c r="J1357" s="6">
        <v>0</v>
      </c>
      <c r="K1357" s="6">
        <v>0</v>
      </c>
      <c r="L1357" s="6">
        <v>12.124000000000001</v>
      </c>
      <c r="M1357" s="6">
        <v>2.4247999999999998</v>
      </c>
      <c r="N1357" s="6">
        <v>12.124000000000001</v>
      </c>
      <c r="O1357" s="6">
        <v>2.4247999999999998</v>
      </c>
      <c r="P1357" s="6">
        <v>0</v>
      </c>
      <c r="Q1357" s="4" t="s">
        <v>26</v>
      </c>
      <c r="R1357" s="4">
        <v>0</v>
      </c>
      <c r="S1357" s="4" t="s">
        <v>197</v>
      </c>
      <c r="T1357" s="4" t="s">
        <v>442</v>
      </c>
      <c r="U1357" s="4">
        <v>0</v>
      </c>
      <c r="V1357" s="4">
        <v>19</v>
      </c>
      <c r="W1357" s="4">
        <v>67</v>
      </c>
    </row>
    <row r="1358" spans="1:23" ht="11.25" customHeight="1" x14ac:dyDescent="0.25">
      <c r="A1358" s="4" t="s">
        <v>29</v>
      </c>
      <c r="B1358" s="4" t="s">
        <v>35</v>
      </c>
      <c r="C1358" s="4" t="s">
        <v>36</v>
      </c>
      <c r="D1358" s="4" t="s">
        <v>47</v>
      </c>
      <c r="E1358" s="4" t="s">
        <v>58</v>
      </c>
      <c r="F1358" s="4" t="s">
        <v>56</v>
      </c>
      <c r="G1358" s="4" t="s">
        <v>25</v>
      </c>
      <c r="H1358" s="4" t="s">
        <v>38</v>
      </c>
      <c r="I1358" s="5">
        <v>44409</v>
      </c>
      <c r="J1358" s="6">
        <v>0</v>
      </c>
      <c r="K1358" s="6">
        <v>0</v>
      </c>
      <c r="L1358" s="6">
        <v>14.76</v>
      </c>
      <c r="M1358" s="6">
        <v>2.952</v>
      </c>
      <c r="N1358" s="6">
        <v>14.76</v>
      </c>
      <c r="O1358" s="6">
        <v>2.952</v>
      </c>
      <c r="P1358" s="6">
        <v>0</v>
      </c>
      <c r="Q1358" s="4" t="s">
        <v>26</v>
      </c>
      <c r="R1358" s="4">
        <v>0</v>
      </c>
      <c r="S1358" s="4" t="s">
        <v>197</v>
      </c>
      <c r="T1358" s="4" t="s">
        <v>442</v>
      </c>
      <c r="U1358" s="4">
        <v>0</v>
      </c>
      <c r="V1358" s="4">
        <v>19</v>
      </c>
      <c r="W1358" s="4">
        <v>67</v>
      </c>
    </row>
    <row r="1359" spans="1:23" ht="11.25" customHeight="1" x14ac:dyDescent="0.25">
      <c r="A1359" s="4" t="s">
        <v>28</v>
      </c>
      <c r="B1359" s="4" t="s">
        <v>35</v>
      </c>
      <c r="C1359" s="4" t="s">
        <v>36</v>
      </c>
      <c r="D1359" s="4" t="s">
        <v>47</v>
      </c>
      <c r="E1359" s="4" t="s">
        <v>58</v>
      </c>
      <c r="F1359" s="4" t="s">
        <v>56</v>
      </c>
      <c r="G1359" s="4" t="s">
        <v>25</v>
      </c>
      <c r="H1359" s="4" t="s">
        <v>38</v>
      </c>
      <c r="I1359" s="5">
        <v>44440</v>
      </c>
      <c r="J1359" s="6">
        <v>0</v>
      </c>
      <c r="K1359" s="6">
        <v>0</v>
      </c>
      <c r="L1359" s="6">
        <v>13.739000000000001</v>
      </c>
      <c r="M1359" s="6">
        <v>2.7477999999999998</v>
      </c>
      <c r="N1359" s="6">
        <v>13.739000000000001</v>
      </c>
      <c r="O1359" s="6">
        <v>2.7477999999999998</v>
      </c>
      <c r="P1359" s="6">
        <v>0</v>
      </c>
      <c r="Q1359" s="4" t="s">
        <v>26</v>
      </c>
      <c r="R1359" s="4">
        <v>0</v>
      </c>
      <c r="S1359" s="4" t="s">
        <v>198</v>
      </c>
      <c r="T1359" s="4" t="s">
        <v>443</v>
      </c>
      <c r="U1359" s="4">
        <v>0</v>
      </c>
      <c r="V1359" s="4">
        <v>19</v>
      </c>
      <c r="W1359" s="4">
        <v>67</v>
      </c>
    </row>
    <row r="1360" spans="1:23" ht="11.25" customHeight="1" x14ac:dyDescent="0.25">
      <c r="A1360" s="4" t="s">
        <v>59</v>
      </c>
      <c r="B1360" s="4" t="s">
        <v>35</v>
      </c>
      <c r="C1360" s="4" t="s">
        <v>36</v>
      </c>
      <c r="D1360" s="4" t="s">
        <v>47</v>
      </c>
      <c r="E1360" s="4" t="s">
        <v>58</v>
      </c>
      <c r="F1360" s="4" t="s">
        <v>56</v>
      </c>
      <c r="G1360" s="4" t="s">
        <v>25</v>
      </c>
      <c r="H1360" s="4" t="s">
        <v>38</v>
      </c>
      <c r="I1360" s="5">
        <v>44470</v>
      </c>
      <c r="J1360" s="6">
        <v>0</v>
      </c>
      <c r="K1360" s="6">
        <v>0</v>
      </c>
      <c r="L1360" s="6">
        <v>13.739000000000001</v>
      </c>
      <c r="M1360" s="6">
        <v>2.7477999999999998</v>
      </c>
      <c r="N1360" s="6">
        <v>13.739000000000001</v>
      </c>
      <c r="O1360" s="6">
        <v>2.7477999999999998</v>
      </c>
      <c r="P1360" s="6">
        <v>0</v>
      </c>
      <c r="Q1360" s="4" t="s">
        <v>26</v>
      </c>
      <c r="R1360" s="4">
        <v>0</v>
      </c>
      <c r="S1360" s="4" t="s">
        <v>199</v>
      </c>
      <c r="T1360" s="4" t="s">
        <v>444</v>
      </c>
      <c r="U1360" s="4">
        <v>0</v>
      </c>
      <c r="V1360" s="4">
        <v>19</v>
      </c>
      <c r="W1360" s="4">
        <v>67</v>
      </c>
    </row>
    <row r="1361" spans="1:23" ht="11.25" customHeight="1" x14ac:dyDescent="0.25">
      <c r="A1361" s="4" t="s">
        <v>28</v>
      </c>
      <c r="B1361" s="4" t="s">
        <v>35</v>
      </c>
      <c r="C1361" s="4" t="s">
        <v>36</v>
      </c>
      <c r="D1361" s="4" t="s">
        <v>47</v>
      </c>
      <c r="E1361" s="4" t="s">
        <v>58</v>
      </c>
      <c r="F1361" s="4" t="s">
        <v>56</v>
      </c>
      <c r="G1361" s="4" t="s">
        <v>25</v>
      </c>
      <c r="H1361" s="4" t="s">
        <v>37</v>
      </c>
      <c r="I1361" s="5">
        <v>44378</v>
      </c>
      <c r="J1361" s="6">
        <v>0</v>
      </c>
      <c r="K1361" s="6">
        <v>0</v>
      </c>
      <c r="L1361" s="6">
        <v>3.7519999999999998</v>
      </c>
      <c r="M1361" s="6">
        <v>0.75039999999999996</v>
      </c>
      <c r="N1361" s="6">
        <v>3.7519999999999998</v>
      </c>
      <c r="O1361" s="6">
        <v>0.75039999999999996</v>
      </c>
      <c r="P1361" s="6">
        <v>0</v>
      </c>
      <c r="Q1361" s="4" t="s">
        <v>26</v>
      </c>
      <c r="R1361" s="4">
        <v>0</v>
      </c>
      <c r="S1361" s="4" t="s">
        <v>220</v>
      </c>
      <c r="T1361" s="4" t="s">
        <v>453</v>
      </c>
      <c r="U1361" s="4">
        <v>0</v>
      </c>
      <c r="V1361" s="4">
        <v>24</v>
      </c>
      <c r="W1361" s="4">
        <v>66</v>
      </c>
    </row>
    <row r="1362" spans="1:23" ht="11.25" customHeight="1" x14ac:dyDescent="0.25">
      <c r="A1362" s="4" t="s">
        <v>28</v>
      </c>
      <c r="B1362" s="4" t="s">
        <v>35</v>
      </c>
      <c r="C1362" s="4" t="s">
        <v>36</v>
      </c>
      <c r="D1362" s="4" t="s">
        <v>47</v>
      </c>
      <c r="E1362" s="4" t="s">
        <v>58</v>
      </c>
      <c r="F1362" s="4" t="s">
        <v>56</v>
      </c>
      <c r="G1362" s="4" t="s">
        <v>25</v>
      </c>
      <c r="H1362" s="4" t="s">
        <v>37</v>
      </c>
      <c r="I1362" s="5">
        <v>44409</v>
      </c>
      <c r="J1362" s="6">
        <v>0</v>
      </c>
      <c r="K1362" s="6">
        <v>0</v>
      </c>
      <c r="L1362" s="6">
        <v>0.28000000000000003</v>
      </c>
      <c r="M1362" s="6">
        <v>5.6000000000000001E-2</v>
      </c>
      <c r="N1362" s="6">
        <v>0.28000000000000003</v>
      </c>
      <c r="O1362" s="6">
        <v>5.6000000000000001E-2</v>
      </c>
      <c r="P1362" s="6">
        <v>0</v>
      </c>
      <c r="Q1362" s="4" t="s">
        <v>26</v>
      </c>
      <c r="R1362" s="4">
        <v>0</v>
      </c>
      <c r="S1362" s="4" t="s">
        <v>221</v>
      </c>
      <c r="T1362" s="4" t="s">
        <v>454</v>
      </c>
      <c r="U1362" s="4">
        <v>0</v>
      </c>
      <c r="V1362" s="4">
        <v>24</v>
      </c>
      <c r="W1362" s="4">
        <v>66</v>
      </c>
    </row>
    <row r="1363" spans="1:23" ht="11.25" customHeight="1" x14ac:dyDescent="0.25">
      <c r="A1363" s="4" t="s">
        <v>28</v>
      </c>
      <c r="B1363" s="4" t="s">
        <v>35</v>
      </c>
      <c r="C1363" s="4" t="s">
        <v>36</v>
      </c>
      <c r="D1363" s="4" t="s">
        <v>47</v>
      </c>
      <c r="E1363" s="4" t="s">
        <v>58</v>
      </c>
      <c r="F1363" s="4" t="s">
        <v>56</v>
      </c>
      <c r="G1363" s="4" t="s">
        <v>25</v>
      </c>
      <c r="H1363" s="4" t="s">
        <v>37</v>
      </c>
      <c r="I1363" s="5">
        <v>44440</v>
      </c>
      <c r="J1363" s="6">
        <v>0</v>
      </c>
      <c r="K1363" s="6">
        <v>0</v>
      </c>
      <c r="L1363" s="6">
        <v>0.313</v>
      </c>
      <c r="M1363" s="6">
        <v>6.2600000000000003E-2</v>
      </c>
      <c r="N1363" s="6">
        <v>0.313</v>
      </c>
      <c r="O1363" s="6">
        <v>6.2600000000000003E-2</v>
      </c>
      <c r="P1363" s="6">
        <v>0</v>
      </c>
      <c r="Q1363" s="4" t="s">
        <v>26</v>
      </c>
      <c r="R1363" s="4">
        <v>0</v>
      </c>
      <c r="S1363" s="4" t="s">
        <v>222</v>
      </c>
      <c r="T1363" s="4" t="s">
        <v>455</v>
      </c>
      <c r="U1363" s="4">
        <v>0</v>
      </c>
      <c r="V1363" s="4">
        <v>24</v>
      </c>
      <c r="W1363" s="4">
        <v>66</v>
      </c>
    </row>
    <row r="1364" spans="1:23" ht="11.25" customHeight="1" x14ac:dyDescent="0.25">
      <c r="A1364" s="4" t="s">
        <v>59</v>
      </c>
      <c r="B1364" s="4" t="s">
        <v>35</v>
      </c>
      <c r="C1364" s="4" t="s">
        <v>36</v>
      </c>
      <c r="D1364" s="4" t="s">
        <v>47</v>
      </c>
      <c r="E1364" s="4" t="s">
        <v>58</v>
      </c>
      <c r="F1364" s="4" t="s">
        <v>56</v>
      </c>
      <c r="G1364" s="4" t="s">
        <v>25</v>
      </c>
      <c r="H1364" s="4" t="s">
        <v>37</v>
      </c>
      <c r="I1364" s="5">
        <v>44470</v>
      </c>
      <c r="J1364" s="6">
        <v>0</v>
      </c>
      <c r="K1364" s="6">
        <v>0</v>
      </c>
      <c r="L1364" s="6">
        <v>0.313</v>
      </c>
      <c r="M1364" s="6">
        <v>6.2600000000000003E-2</v>
      </c>
      <c r="N1364" s="6">
        <v>0.313</v>
      </c>
      <c r="O1364" s="6">
        <v>6.2600000000000003E-2</v>
      </c>
      <c r="P1364" s="6">
        <v>0</v>
      </c>
      <c r="Q1364" s="4" t="s">
        <v>26</v>
      </c>
      <c r="R1364" s="4">
        <v>0</v>
      </c>
      <c r="S1364" s="4" t="s">
        <v>223</v>
      </c>
      <c r="T1364" s="4" t="s">
        <v>456</v>
      </c>
      <c r="U1364" s="4">
        <v>0</v>
      </c>
      <c r="V1364" s="4">
        <v>24</v>
      </c>
      <c r="W1364" s="4">
        <v>66</v>
      </c>
    </row>
    <row r="1365" spans="1:23" ht="11.25" customHeight="1" x14ac:dyDescent="0.25">
      <c r="A1365" s="4" t="s">
        <v>28</v>
      </c>
      <c r="B1365" s="4" t="s">
        <v>35</v>
      </c>
      <c r="C1365" s="4" t="s">
        <v>36</v>
      </c>
      <c r="D1365" s="4" t="s">
        <v>47</v>
      </c>
      <c r="E1365" s="4" t="s">
        <v>58</v>
      </c>
      <c r="F1365" s="4" t="s">
        <v>57</v>
      </c>
      <c r="G1365" s="4" t="s">
        <v>25</v>
      </c>
      <c r="H1365" s="4" t="s">
        <v>38</v>
      </c>
      <c r="I1365" s="5">
        <v>44378</v>
      </c>
      <c r="J1365" s="6">
        <v>0</v>
      </c>
      <c r="K1365" s="6">
        <v>0</v>
      </c>
      <c r="L1365" s="6">
        <v>3.7240000000000002</v>
      </c>
      <c r="M1365" s="6">
        <v>3.5005600000000001</v>
      </c>
      <c r="N1365" s="6">
        <v>3.7240000000000002</v>
      </c>
      <c r="O1365" s="6">
        <v>3.5005600000000001</v>
      </c>
      <c r="P1365" s="6">
        <v>0</v>
      </c>
      <c r="Q1365" s="4" t="s">
        <v>26</v>
      </c>
      <c r="R1365" s="4">
        <v>0</v>
      </c>
      <c r="S1365" s="4" t="s">
        <v>196</v>
      </c>
      <c r="T1365" s="4" t="s">
        <v>441</v>
      </c>
      <c r="U1365" s="4">
        <v>0</v>
      </c>
      <c r="V1365" s="4">
        <v>19</v>
      </c>
      <c r="W1365" s="4">
        <v>67</v>
      </c>
    </row>
    <row r="1366" spans="1:23" ht="11.25" customHeight="1" x14ac:dyDescent="0.25">
      <c r="A1366" s="4" t="s">
        <v>28</v>
      </c>
      <c r="B1366" s="4" t="s">
        <v>35</v>
      </c>
      <c r="C1366" s="4" t="s">
        <v>36</v>
      </c>
      <c r="D1366" s="4" t="s">
        <v>47</v>
      </c>
      <c r="E1366" s="4" t="s">
        <v>58</v>
      </c>
      <c r="F1366" s="4" t="s">
        <v>57</v>
      </c>
      <c r="G1366" s="4" t="s">
        <v>25</v>
      </c>
      <c r="H1366" s="4" t="s">
        <v>38</v>
      </c>
      <c r="I1366" s="5">
        <v>44409</v>
      </c>
      <c r="J1366" s="6">
        <v>0</v>
      </c>
      <c r="K1366" s="6">
        <v>0</v>
      </c>
      <c r="L1366" s="6">
        <v>7.1680000000000001</v>
      </c>
      <c r="M1366" s="6">
        <v>6.7379199999999999</v>
      </c>
      <c r="N1366" s="6">
        <v>7.1680000000000001</v>
      </c>
      <c r="O1366" s="6">
        <v>6.7379199999999999</v>
      </c>
      <c r="P1366" s="6">
        <v>0</v>
      </c>
      <c r="Q1366" s="4" t="s">
        <v>26</v>
      </c>
      <c r="R1366" s="4">
        <v>0</v>
      </c>
      <c r="S1366" s="4" t="s">
        <v>197</v>
      </c>
      <c r="T1366" s="4" t="s">
        <v>442</v>
      </c>
      <c r="U1366" s="4">
        <v>0</v>
      </c>
      <c r="V1366" s="4">
        <v>19</v>
      </c>
      <c r="W1366" s="4">
        <v>67</v>
      </c>
    </row>
    <row r="1367" spans="1:23" ht="11.25" customHeight="1" x14ac:dyDescent="0.25">
      <c r="A1367" s="4" t="s">
        <v>29</v>
      </c>
      <c r="B1367" s="4" t="s">
        <v>35</v>
      </c>
      <c r="C1367" s="4" t="s">
        <v>36</v>
      </c>
      <c r="D1367" s="4" t="s">
        <v>47</v>
      </c>
      <c r="E1367" s="4" t="s">
        <v>58</v>
      </c>
      <c r="F1367" s="4" t="s">
        <v>57</v>
      </c>
      <c r="G1367" s="4" t="s">
        <v>25</v>
      </c>
      <c r="H1367" s="4" t="s">
        <v>38</v>
      </c>
      <c r="I1367" s="5">
        <v>44409</v>
      </c>
      <c r="J1367" s="6">
        <v>0</v>
      </c>
      <c r="K1367" s="6">
        <v>0</v>
      </c>
      <c r="L1367" s="6">
        <v>3.6589999999999998</v>
      </c>
      <c r="M1367" s="6">
        <v>3.4394599999999995</v>
      </c>
      <c r="N1367" s="6">
        <v>3.6589999999999998</v>
      </c>
      <c r="O1367" s="6">
        <v>3.4394599999999995</v>
      </c>
      <c r="P1367" s="6">
        <v>0</v>
      </c>
      <c r="Q1367" s="4" t="s">
        <v>26</v>
      </c>
      <c r="R1367" s="4">
        <v>0</v>
      </c>
      <c r="S1367" s="4" t="s">
        <v>197</v>
      </c>
      <c r="T1367" s="4" t="s">
        <v>442</v>
      </c>
      <c r="U1367" s="4">
        <v>0</v>
      </c>
      <c r="V1367" s="4">
        <v>19</v>
      </c>
      <c r="W1367" s="4">
        <v>67</v>
      </c>
    </row>
    <row r="1368" spans="1:23" ht="11.25" customHeight="1" x14ac:dyDescent="0.25">
      <c r="A1368" s="4" t="s">
        <v>28</v>
      </c>
      <c r="B1368" s="4" t="s">
        <v>35</v>
      </c>
      <c r="C1368" s="4" t="s">
        <v>36</v>
      </c>
      <c r="D1368" s="4" t="s">
        <v>47</v>
      </c>
      <c r="E1368" s="4" t="s">
        <v>58</v>
      </c>
      <c r="F1368" s="4" t="s">
        <v>57</v>
      </c>
      <c r="G1368" s="4" t="s">
        <v>25</v>
      </c>
      <c r="H1368" s="4" t="s">
        <v>38</v>
      </c>
      <c r="I1368" s="5">
        <v>44440</v>
      </c>
      <c r="J1368" s="6">
        <v>0</v>
      </c>
      <c r="K1368" s="6">
        <v>0</v>
      </c>
      <c r="L1368" s="6">
        <v>11.260999999999999</v>
      </c>
      <c r="M1368" s="6">
        <v>10.585339999999999</v>
      </c>
      <c r="N1368" s="6">
        <v>11.260999999999999</v>
      </c>
      <c r="O1368" s="6">
        <v>10.585339999999999</v>
      </c>
      <c r="P1368" s="6">
        <v>0</v>
      </c>
      <c r="Q1368" s="4" t="s">
        <v>26</v>
      </c>
      <c r="R1368" s="4">
        <v>0</v>
      </c>
      <c r="S1368" s="4" t="s">
        <v>198</v>
      </c>
      <c r="T1368" s="4" t="s">
        <v>443</v>
      </c>
      <c r="U1368" s="4">
        <v>0</v>
      </c>
      <c r="V1368" s="4">
        <v>19</v>
      </c>
      <c r="W1368" s="4">
        <v>67</v>
      </c>
    </row>
    <row r="1369" spans="1:23" ht="11.25" customHeight="1" x14ac:dyDescent="0.25">
      <c r="A1369" s="4" t="s">
        <v>59</v>
      </c>
      <c r="B1369" s="4" t="s">
        <v>35</v>
      </c>
      <c r="C1369" s="4" t="s">
        <v>36</v>
      </c>
      <c r="D1369" s="4" t="s">
        <v>47</v>
      </c>
      <c r="E1369" s="4" t="s">
        <v>58</v>
      </c>
      <c r="F1369" s="4" t="s">
        <v>57</v>
      </c>
      <c r="G1369" s="4" t="s">
        <v>25</v>
      </c>
      <c r="H1369" s="4" t="s">
        <v>38</v>
      </c>
      <c r="I1369" s="5">
        <v>44470</v>
      </c>
      <c r="J1369" s="6">
        <v>0</v>
      </c>
      <c r="K1369" s="6">
        <v>0</v>
      </c>
      <c r="L1369" s="6">
        <v>11.260999999999999</v>
      </c>
      <c r="M1369" s="6">
        <v>10.585339999999999</v>
      </c>
      <c r="N1369" s="6">
        <v>11.260999999999999</v>
      </c>
      <c r="O1369" s="6">
        <v>10.585339999999999</v>
      </c>
      <c r="P1369" s="6">
        <v>0</v>
      </c>
      <c r="Q1369" s="4" t="s">
        <v>26</v>
      </c>
      <c r="R1369" s="4">
        <v>0</v>
      </c>
      <c r="S1369" s="4" t="s">
        <v>199</v>
      </c>
      <c r="T1369" s="4" t="s">
        <v>444</v>
      </c>
      <c r="U1369" s="4">
        <v>0</v>
      </c>
      <c r="V1369" s="4">
        <v>19</v>
      </c>
      <c r="W1369" s="4">
        <v>67</v>
      </c>
    </row>
    <row r="1370" spans="1:23" ht="11.25" customHeight="1" x14ac:dyDescent="0.25">
      <c r="A1370" s="4" t="s">
        <v>28</v>
      </c>
      <c r="B1370" s="4" t="s">
        <v>35</v>
      </c>
      <c r="C1370" s="4" t="s">
        <v>36</v>
      </c>
      <c r="D1370" s="4" t="s">
        <v>47</v>
      </c>
      <c r="E1370" s="4" t="s">
        <v>58</v>
      </c>
      <c r="F1370" s="4" t="s">
        <v>25</v>
      </c>
      <c r="G1370" s="4" t="s">
        <v>25</v>
      </c>
      <c r="H1370" s="4" t="s">
        <v>25</v>
      </c>
      <c r="I1370" s="5">
        <v>44378</v>
      </c>
      <c r="J1370" s="6">
        <v>43</v>
      </c>
      <c r="K1370" s="6">
        <v>40.419999999999995</v>
      </c>
      <c r="L1370" s="6">
        <v>0</v>
      </c>
      <c r="M1370" s="6">
        <v>0</v>
      </c>
      <c r="N1370" s="6">
        <v>0</v>
      </c>
      <c r="O1370" s="6">
        <v>0</v>
      </c>
      <c r="P1370" s="6">
        <v>1</v>
      </c>
      <c r="Q1370" s="4" t="s">
        <v>26</v>
      </c>
      <c r="R1370" s="4">
        <v>0</v>
      </c>
      <c r="S1370" s="4" t="s">
        <v>208</v>
      </c>
      <c r="U1370" s="4">
        <v>23</v>
      </c>
      <c r="V1370" s="4">
        <v>0</v>
      </c>
      <c r="W1370" s="4">
        <v>0</v>
      </c>
    </row>
    <row r="1371" spans="1:23" ht="11.25" customHeight="1" x14ac:dyDescent="0.25">
      <c r="A1371" s="4" t="s">
        <v>28</v>
      </c>
      <c r="B1371" s="4" t="s">
        <v>35</v>
      </c>
      <c r="C1371" s="4" t="s">
        <v>36</v>
      </c>
      <c r="D1371" s="4" t="s">
        <v>47</v>
      </c>
      <c r="E1371" s="4" t="s">
        <v>58</v>
      </c>
      <c r="F1371" s="4" t="s">
        <v>25</v>
      </c>
      <c r="G1371" s="4" t="s">
        <v>25</v>
      </c>
      <c r="H1371" s="4" t="s">
        <v>25</v>
      </c>
      <c r="I1371" s="5">
        <v>44409</v>
      </c>
      <c r="J1371" s="6">
        <v>88</v>
      </c>
      <c r="K1371" s="6">
        <v>82.72</v>
      </c>
      <c r="L1371" s="6">
        <v>0</v>
      </c>
      <c r="M1371" s="6">
        <v>0</v>
      </c>
      <c r="N1371" s="6">
        <v>0</v>
      </c>
      <c r="O1371" s="6">
        <v>0</v>
      </c>
      <c r="P1371" s="6">
        <v>1</v>
      </c>
      <c r="Q1371" s="4" t="s">
        <v>26</v>
      </c>
      <c r="R1371" s="4">
        <v>0</v>
      </c>
      <c r="S1371" s="4" t="s">
        <v>209</v>
      </c>
      <c r="U1371" s="4">
        <v>23</v>
      </c>
      <c r="V1371" s="4">
        <v>0</v>
      </c>
      <c r="W1371" s="4">
        <v>0</v>
      </c>
    </row>
    <row r="1372" spans="1:23" ht="11.25" customHeight="1" x14ac:dyDescent="0.25">
      <c r="A1372" s="4" t="s">
        <v>28</v>
      </c>
      <c r="B1372" s="4" t="s">
        <v>35</v>
      </c>
      <c r="C1372" s="4" t="s">
        <v>36</v>
      </c>
      <c r="D1372" s="4" t="s">
        <v>47</v>
      </c>
      <c r="E1372" s="4" t="s">
        <v>58</v>
      </c>
      <c r="F1372" s="4" t="s">
        <v>25</v>
      </c>
      <c r="G1372" s="4" t="s">
        <v>25</v>
      </c>
      <c r="H1372" s="4" t="s">
        <v>25</v>
      </c>
      <c r="I1372" s="5">
        <v>44440</v>
      </c>
      <c r="J1372" s="6">
        <v>50</v>
      </c>
      <c r="K1372" s="6">
        <v>47</v>
      </c>
      <c r="L1372" s="6">
        <v>0</v>
      </c>
      <c r="M1372" s="6">
        <v>0</v>
      </c>
      <c r="N1372" s="6">
        <v>0</v>
      </c>
      <c r="O1372" s="6">
        <v>0</v>
      </c>
      <c r="P1372" s="6">
        <v>1</v>
      </c>
      <c r="Q1372" s="4" t="s">
        <v>26</v>
      </c>
      <c r="R1372" s="4">
        <v>0</v>
      </c>
      <c r="S1372" s="4" t="s">
        <v>210</v>
      </c>
      <c r="U1372" s="4">
        <v>23</v>
      </c>
      <c r="V1372" s="4">
        <v>0</v>
      </c>
      <c r="W1372" s="4">
        <v>0</v>
      </c>
    </row>
    <row r="1373" spans="1:23" ht="11.25" customHeight="1" x14ac:dyDescent="0.25">
      <c r="A1373" s="4" t="s">
        <v>59</v>
      </c>
      <c r="B1373" s="4" t="s">
        <v>35</v>
      </c>
      <c r="C1373" s="4" t="s">
        <v>36</v>
      </c>
      <c r="D1373" s="4" t="s">
        <v>47</v>
      </c>
      <c r="E1373" s="4" t="s">
        <v>58</v>
      </c>
      <c r="F1373" s="4" t="s">
        <v>25</v>
      </c>
      <c r="G1373" s="4" t="s">
        <v>25</v>
      </c>
      <c r="H1373" s="4" t="s">
        <v>25</v>
      </c>
      <c r="I1373" s="5">
        <v>44470</v>
      </c>
      <c r="J1373" s="6">
        <v>50</v>
      </c>
      <c r="K1373" s="6">
        <v>47</v>
      </c>
      <c r="L1373" s="6">
        <v>0</v>
      </c>
      <c r="M1373" s="6">
        <v>0</v>
      </c>
      <c r="N1373" s="6">
        <v>0</v>
      </c>
      <c r="O1373" s="6">
        <v>0</v>
      </c>
      <c r="P1373" s="6">
        <v>1</v>
      </c>
      <c r="Q1373" s="4" t="s">
        <v>26</v>
      </c>
      <c r="R1373" s="4">
        <v>0</v>
      </c>
      <c r="S1373" s="4" t="s">
        <v>211</v>
      </c>
      <c r="U1373" s="4">
        <v>23</v>
      </c>
      <c r="V1373" s="4">
        <v>0</v>
      </c>
      <c r="W1373" s="4">
        <v>0</v>
      </c>
    </row>
    <row r="1374" spans="1:23" ht="11.25" customHeight="1" x14ac:dyDescent="0.25">
      <c r="A1374" s="4" t="s">
        <v>29</v>
      </c>
      <c r="B1374" s="4" t="s">
        <v>35</v>
      </c>
      <c r="C1374" s="4" t="s">
        <v>36</v>
      </c>
      <c r="D1374" s="4" t="s">
        <v>47</v>
      </c>
      <c r="E1374" s="4" t="s">
        <v>58</v>
      </c>
      <c r="F1374" s="4" t="s">
        <v>25</v>
      </c>
      <c r="G1374" s="4" t="s">
        <v>25</v>
      </c>
      <c r="H1374" s="4" t="s">
        <v>37</v>
      </c>
      <c r="I1374" s="5">
        <v>44409</v>
      </c>
      <c r="J1374" s="6">
        <v>0</v>
      </c>
      <c r="K1374" s="6">
        <v>0</v>
      </c>
      <c r="L1374" s="6">
        <v>-8.6419999999999995</v>
      </c>
      <c r="M1374" s="6">
        <v>-8.1234799999999989</v>
      </c>
      <c r="N1374" s="6">
        <v>-8.6419999999999995</v>
      </c>
      <c r="O1374" s="6">
        <v>-8.1234799999999989</v>
      </c>
      <c r="P1374" s="6">
        <v>0</v>
      </c>
      <c r="Q1374" s="4" t="s">
        <v>26</v>
      </c>
      <c r="R1374" s="4">
        <v>0</v>
      </c>
      <c r="S1374" s="4" t="s">
        <v>221</v>
      </c>
      <c r="T1374" s="4" t="s">
        <v>454</v>
      </c>
      <c r="U1374" s="4">
        <v>0</v>
      </c>
      <c r="V1374" s="4">
        <v>24</v>
      </c>
      <c r="W1374" s="4">
        <v>66</v>
      </c>
    </row>
    <row r="1375" spans="1:23" ht="11.25" customHeight="1" x14ac:dyDescent="0.25">
      <c r="A1375" s="4" t="s">
        <v>21</v>
      </c>
      <c r="B1375" s="4" t="s">
        <v>35</v>
      </c>
      <c r="C1375" s="4" t="s">
        <v>36</v>
      </c>
      <c r="D1375" s="4" t="s">
        <v>47</v>
      </c>
      <c r="E1375" s="4" t="s">
        <v>25</v>
      </c>
      <c r="F1375" s="4" t="s">
        <v>25</v>
      </c>
      <c r="G1375" s="4" t="s">
        <v>25</v>
      </c>
      <c r="H1375" s="4" t="s">
        <v>38</v>
      </c>
      <c r="I1375" s="5">
        <v>44136</v>
      </c>
      <c r="J1375" s="6">
        <v>0</v>
      </c>
      <c r="K1375" s="6">
        <v>0</v>
      </c>
      <c r="L1375" s="6">
        <v>603.09500000000003</v>
      </c>
      <c r="M1375" s="6">
        <v>566.90930000000003</v>
      </c>
      <c r="N1375" s="6">
        <v>603.09500000000003</v>
      </c>
      <c r="O1375" s="6">
        <v>566.90930000000003</v>
      </c>
      <c r="P1375" s="6">
        <v>0</v>
      </c>
      <c r="Q1375" s="4" t="s">
        <v>26</v>
      </c>
      <c r="R1375" s="4">
        <v>0</v>
      </c>
      <c r="S1375" s="4" t="s">
        <v>188</v>
      </c>
      <c r="T1375" s="4" t="s">
        <v>433</v>
      </c>
      <c r="U1375" s="4">
        <v>0</v>
      </c>
      <c r="V1375" s="4">
        <v>19</v>
      </c>
      <c r="W1375" s="4">
        <v>67</v>
      </c>
    </row>
    <row r="1376" spans="1:23" ht="11.25" customHeight="1" x14ac:dyDescent="0.25">
      <c r="A1376" s="4" t="s">
        <v>28</v>
      </c>
      <c r="B1376" s="4" t="s">
        <v>35</v>
      </c>
      <c r="C1376" s="4" t="s">
        <v>36</v>
      </c>
      <c r="D1376" s="4" t="s">
        <v>47</v>
      </c>
      <c r="E1376" s="4" t="s">
        <v>25</v>
      </c>
      <c r="F1376" s="4" t="s">
        <v>25</v>
      </c>
      <c r="G1376" s="4" t="s">
        <v>25</v>
      </c>
      <c r="H1376" s="4" t="s">
        <v>38</v>
      </c>
      <c r="I1376" s="5">
        <v>44136</v>
      </c>
      <c r="J1376" s="6">
        <v>0</v>
      </c>
      <c r="K1376" s="6">
        <v>0</v>
      </c>
      <c r="L1376" s="6">
        <v>91.853999999999999</v>
      </c>
      <c r="M1376" s="6">
        <v>86.342759999999998</v>
      </c>
      <c r="N1376" s="6">
        <v>91.853999999999999</v>
      </c>
      <c r="O1376" s="6">
        <v>86.342759999999998</v>
      </c>
      <c r="P1376" s="6">
        <v>0</v>
      </c>
      <c r="Q1376" s="4" t="s">
        <v>26</v>
      </c>
      <c r="R1376" s="4">
        <v>0</v>
      </c>
      <c r="S1376" s="4" t="s">
        <v>188</v>
      </c>
      <c r="T1376" s="4" t="s">
        <v>433</v>
      </c>
      <c r="U1376" s="4">
        <v>0</v>
      </c>
      <c r="V1376" s="4">
        <v>19</v>
      </c>
      <c r="W1376" s="4">
        <v>67</v>
      </c>
    </row>
    <row r="1377" spans="1:23" ht="11.25" customHeight="1" x14ac:dyDescent="0.25">
      <c r="A1377" s="4" t="s">
        <v>21</v>
      </c>
      <c r="B1377" s="4" t="s">
        <v>35</v>
      </c>
      <c r="C1377" s="4" t="s">
        <v>36</v>
      </c>
      <c r="D1377" s="4" t="s">
        <v>47</v>
      </c>
      <c r="E1377" s="4" t="s">
        <v>25</v>
      </c>
      <c r="F1377" s="4" t="s">
        <v>25</v>
      </c>
      <c r="G1377" s="4" t="s">
        <v>25</v>
      </c>
      <c r="H1377" s="4" t="s">
        <v>38</v>
      </c>
      <c r="I1377" s="5">
        <v>44166</v>
      </c>
      <c r="J1377" s="6">
        <v>0</v>
      </c>
      <c r="K1377" s="6">
        <v>0</v>
      </c>
      <c r="L1377" s="6">
        <v>599.38499999999999</v>
      </c>
      <c r="M1377" s="6">
        <v>563.42189999999994</v>
      </c>
      <c r="N1377" s="6">
        <v>599.38499999999999</v>
      </c>
      <c r="O1377" s="6">
        <v>563.42189999999994</v>
      </c>
      <c r="P1377" s="6">
        <v>0</v>
      </c>
      <c r="Q1377" s="4" t="s">
        <v>26</v>
      </c>
      <c r="R1377" s="4">
        <v>0</v>
      </c>
      <c r="S1377" s="4" t="s">
        <v>189</v>
      </c>
      <c r="T1377" s="4" t="s">
        <v>434</v>
      </c>
      <c r="U1377" s="4">
        <v>0</v>
      </c>
      <c r="V1377" s="4">
        <v>19</v>
      </c>
      <c r="W1377" s="4">
        <v>67</v>
      </c>
    </row>
    <row r="1378" spans="1:23" ht="11.25" customHeight="1" x14ac:dyDescent="0.25">
      <c r="A1378" s="4" t="s">
        <v>28</v>
      </c>
      <c r="B1378" s="4" t="s">
        <v>35</v>
      </c>
      <c r="C1378" s="4" t="s">
        <v>36</v>
      </c>
      <c r="D1378" s="4" t="s">
        <v>47</v>
      </c>
      <c r="E1378" s="4" t="s">
        <v>25</v>
      </c>
      <c r="F1378" s="4" t="s">
        <v>25</v>
      </c>
      <c r="G1378" s="4" t="s">
        <v>25</v>
      </c>
      <c r="H1378" s="4" t="s">
        <v>38</v>
      </c>
      <c r="I1378" s="5">
        <v>44166</v>
      </c>
      <c r="J1378" s="6">
        <v>0</v>
      </c>
      <c r="K1378" s="6">
        <v>0</v>
      </c>
      <c r="L1378" s="6">
        <v>99.043999999999997</v>
      </c>
      <c r="M1378" s="6">
        <v>93.101359999999985</v>
      </c>
      <c r="N1378" s="6">
        <v>99.043999999999997</v>
      </c>
      <c r="O1378" s="6">
        <v>93.101359999999985</v>
      </c>
      <c r="P1378" s="6">
        <v>0</v>
      </c>
      <c r="Q1378" s="4" t="s">
        <v>26</v>
      </c>
      <c r="R1378" s="4">
        <v>0</v>
      </c>
      <c r="S1378" s="4" t="s">
        <v>189</v>
      </c>
      <c r="T1378" s="4" t="s">
        <v>434</v>
      </c>
      <c r="U1378" s="4">
        <v>0</v>
      </c>
      <c r="V1378" s="4">
        <v>19</v>
      </c>
      <c r="W1378" s="4">
        <v>67</v>
      </c>
    </row>
    <row r="1379" spans="1:23" ht="11.25" customHeight="1" x14ac:dyDescent="0.25">
      <c r="A1379" s="4" t="s">
        <v>21</v>
      </c>
      <c r="B1379" s="4" t="s">
        <v>35</v>
      </c>
      <c r="C1379" s="4" t="s">
        <v>36</v>
      </c>
      <c r="D1379" s="4" t="s">
        <v>47</v>
      </c>
      <c r="E1379" s="4" t="s">
        <v>25</v>
      </c>
      <c r="F1379" s="4" t="s">
        <v>25</v>
      </c>
      <c r="G1379" s="4" t="s">
        <v>25</v>
      </c>
      <c r="H1379" s="4" t="s">
        <v>38</v>
      </c>
      <c r="I1379" s="5">
        <v>44197</v>
      </c>
      <c r="J1379" s="6">
        <v>0</v>
      </c>
      <c r="K1379" s="6">
        <v>0</v>
      </c>
      <c r="L1379" s="6">
        <v>532.41700000000003</v>
      </c>
      <c r="M1379" s="6">
        <v>500.47197999999997</v>
      </c>
      <c r="N1379" s="6">
        <v>532.41700000000003</v>
      </c>
      <c r="O1379" s="6">
        <v>500.47197999999997</v>
      </c>
      <c r="P1379" s="6">
        <v>0</v>
      </c>
      <c r="Q1379" s="4" t="s">
        <v>26</v>
      </c>
      <c r="R1379" s="4">
        <v>0</v>
      </c>
      <c r="S1379" s="4" t="s">
        <v>190</v>
      </c>
      <c r="T1379" s="4" t="s">
        <v>435</v>
      </c>
      <c r="U1379" s="4">
        <v>0</v>
      </c>
      <c r="V1379" s="4">
        <v>19</v>
      </c>
      <c r="W1379" s="4">
        <v>67</v>
      </c>
    </row>
    <row r="1380" spans="1:23" ht="11.25" customHeight="1" x14ac:dyDescent="0.25">
      <c r="A1380" s="4" t="s">
        <v>28</v>
      </c>
      <c r="B1380" s="4" t="s">
        <v>35</v>
      </c>
      <c r="C1380" s="4" t="s">
        <v>36</v>
      </c>
      <c r="D1380" s="4" t="s">
        <v>47</v>
      </c>
      <c r="E1380" s="4" t="s">
        <v>25</v>
      </c>
      <c r="F1380" s="4" t="s">
        <v>25</v>
      </c>
      <c r="G1380" s="4" t="s">
        <v>25</v>
      </c>
      <c r="H1380" s="4" t="s">
        <v>38</v>
      </c>
      <c r="I1380" s="5">
        <v>44197</v>
      </c>
      <c r="J1380" s="6">
        <v>0</v>
      </c>
      <c r="K1380" s="6">
        <v>0</v>
      </c>
      <c r="L1380" s="6">
        <v>104.44</v>
      </c>
      <c r="M1380" s="6">
        <v>98.173599999999993</v>
      </c>
      <c r="N1380" s="6">
        <v>104.44</v>
      </c>
      <c r="O1380" s="6">
        <v>98.173599999999993</v>
      </c>
      <c r="P1380" s="6">
        <v>0</v>
      </c>
      <c r="Q1380" s="4" t="s">
        <v>26</v>
      </c>
      <c r="R1380" s="4">
        <v>0</v>
      </c>
      <c r="S1380" s="4" t="s">
        <v>190</v>
      </c>
      <c r="T1380" s="4" t="s">
        <v>435</v>
      </c>
      <c r="U1380" s="4">
        <v>0</v>
      </c>
      <c r="V1380" s="4">
        <v>19</v>
      </c>
      <c r="W1380" s="4">
        <v>67</v>
      </c>
    </row>
    <row r="1381" spans="1:23" ht="11.25" customHeight="1" x14ac:dyDescent="0.25">
      <c r="A1381" s="4" t="s">
        <v>21</v>
      </c>
      <c r="B1381" s="4" t="s">
        <v>35</v>
      </c>
      <c r="C1381" s="4" t="s">
        <v>36</v>
      </c>
      <c r="D1381" s="4" t="s">
        <v>47</v>
      </c>
      <c r="E1381" s="4" t="s">
        <v>25</v>
      </c>
      <c r="F1381" s="4" t="s">
        <v>25</v>
      </c>
      <c r="G1381" s="4" t="s">
        <v>25</v>
      </c>
      <c r="H1381" s="4" t="s">
        <v>38</v>
      </c>
      <c r="I1381" s="5">
        <v>44228</v>
      </c>
      <c r="J1381" s="6">
        <v>0</v>
      </c>
      <c r="K1381" s="6">
        <v>0</v>
      </c>
      <c r="L1381" s="6">
        <v>510.512</v>
      </c>
      <c r="M1381" s="6">
        <v>479.88127999999995</v>
      </c>
      <c r="N1381" s="6">
        <v>510.512</v>
      </c>
      <c r="O1381" s="6">
        <v>479.88127999999995</v>
      </c>
      <c r="P1381" s="6">
        <v>0</v>
      </c>
      <c r="Q1381" s="4" t="s">
        <v>26</v>
      </c>
      <c r="R1381" s="4">
        <v>0</v>
      </c>
      <c r="S1381" s="4" t="s">
        <v>191</v>
      </c>
      <c r="T1381" s="4" t="s">
        <v>436</v>
      </c>
      <c r="U1381" s="4">
        <v>0</v>
      </c>
      <c r="V1381" s="4">
        <v>19</v>
      </c>
      <c r="W1381" s="4">
        <v>67</v>
      </c>
    </row>
    <row r="1382" spans="1:23" ht="11.25" customHeight="1" x14ac:dyDescent="0.25">
      <c r="A1382" s="4" t="s">
        <v>28</v>
      </c>
      <c r="B1382" s="4" t="s">
        <v>35</v>
      </c>
      <c r="C1382" s="4" t="s">
        <v>36</v>
      </c>
      <c r="D1382" s="4" t="s">
        <v>47</v>
      </c>
      <c r="E1382" s="4" t="s">
        <v>25</v>
      </c>
      <c r="F1382" s="4" t="s">
        <v>25</v>
      </c>
      <c r="G1382" s="4" t="s">
        <v>25</v>
      </c>
      <c r="H1382" s="4" t="s">
        <v>38</v>
      </c>
      <c r="I1382" s="5">
        <v>44228</v>
      </c>
      <c r="J1382" s="6">
        <v>0</v>
      </c>
      <c r="K1382" s="6">
        <v>0</v>
      </c>
      <c r="L1382" s="6">
        <v>91.816999999999993</v>
      </c>
      <c r="M1382" s="6">
        <v>86.307979999999986</v>
      </c>
      <c r="N1382" s="6">
        <v>91.816999999999993</v>
      </c>
      <c r="O1382" s="6">
        <v>86.307979999999986</v>
      </c>
      <c r="P1382" s="6">
        <v>0</v>
      </c>
      <c r="Q1382" s="4" t="s">
        <v>26</v>
      </c>
      <c r="R1382" s="4">
        <v>0</v>
      </c>
      <c r="S1382" s="4" t="s">
        <v>191</v>
      </c>
      <c r="T1382" s="4" t="s">
        <v>436</v>
      </c>
      <c r="U1382" s="4">
        <v>0</v>
      </c>
      <c r="V1382" s="4">
        <v>19</v>
      </c>
      <c r="W1382" s="4">
        <v>67</v>
      </c>
    </row>
    <row r="1383" spans="1:23" ht="11.25" customHeight="1" x14ac:dyDescent="0.25">
      <c r="A1383" s="4" t="s">
        <v>21</v>
      </c>
      <c r="B1383" s="4" t="s">
        <v>35</v>
      </c>
      <c r="C1383" s="4" t="s">
        <v>36</v>
      </c>
      <c r="D1383" s="4" t="s">
        <v>47</v>
      </c>
      <c r="E1383" s="4" t="s">
        <v>25</v>
      </c>
      <c r="F1383" s="4" t="s">
        <v>25</v>
      </c>
      <c r="G1383" s="4" t="s">
        <v>25</v>
      </c>
      <c r="H1383" s="4" t="s">
        <v>38</v>
      </c>
      <c r="I1383" s="5">
        <v>44256</v>
      </c>
      <c r="J1383" s="6">
        <v>0</v>
      </c>
      <c r="K1383" s="6">
        <v>0</v>
      </c>
      <c r="L1383" s="6">
        <v>660.69299999999998</v>
      </c>
      <c r="M1383" s="6">
        <v>621.05141999999989</v>
      </c>
      <c r="N1383" s="6">
        <v>660.69299999999998</v>
      </c>
      <c r="O1383" s="6">
        <v>621.05141999999989</v>
      </c>
      <c r="P1383" s="6">
        <v>0</v>
      </c>
      <c r="Q1383" s="4" t="s">
        <v>26</v>
      </c>
      <c r="R1383" s="4">
        <v>0</v>
      </c>
      <c r="S1383" s="4" t="s">
        <v>192</v>
      </c>
      <c r="T1383" s="4" t="s">
        <v>437</v>
      </c>
      <c r="U1383" s="4">
        <v>0</v>
      </c>
      <c r="V1383" s="4">
        <v>19</v>
      </c>
      <c r="W1383" s="4">
        <v>67</v>
      </c>
    </row>
    <row r="1384" spans="1:23" ht="11.25" customHeight="1" x14ac:dyDescent="0.25">
      <c r="A1384" s="4" t="s">
        <v>28</v>
      </c>
      <c r="B1384" s="4" t="s">
        <v>35</v>
      </c>
      <c r="C1384" s="4" t="s">
        <v>36</v>
      </c>
      <c r="D1384" s="4" t="s">
        <v>47</v>
      </c>
      <c r="E1384" s="4" t="s">
        <v>25</v>
      </c>
      <c r="F1384" s="4" t="s">
        <v>25</v>
      </c>
      <c r="G1384" s="4" t="s">
        <v>25</v>
      </c>
      <c r="H1384" s="4" t="s">
        <v>38</v>
      </c>
      <c r="I1384" s="5">
        <v>44256</v>
      </c>
      <c r="J1384" s="6">
        <v>0</v>
      </c>
      <c r="K1384" s="6">
        <v>0</v>
      </c>
      <c r="L1384" s="6">
        <v>87.51</v>
      </c>
      <c r="M1384" s="6">
        <v>82.259399999999999</v>
      </c>
      <c r="N1384" s="6">
        <v>87.51</v>
      </c>
      <c r="O1384" s="6">
        <v>82.259399999999999</v>
      </c>
      <c r="P1384" s="6">
        <v>0</v>
      </c>
      <c r="Q1384" s="4" t="s">
        <v>26</v>
      </c>
      <c r="R1384" s="4">
        <v>0</v>
      </c>
      <c r="S1384" s="4" t="s">
        <v>192</v>
      </c>
      <c r="T1384" s="4" t="s">
        <v>437</v>
      </c>
      <c r="U1384" s="4">
        <v>0</v>
      </c>
      <c r="V1384" s="4">
        <v>19</v>
      </c>
      <c r="W1384" s="4">
        <v>67</v>
      </c>
    </row>
    <row r="1385" spans="1:23" ht="11.25" customHeight="1" x14ac:dyDescent="0.25">
      <c r="A1385" s="4" t="s">
        <v>21</v>
      </c>
      <c r="B1385" s="4" t="s">
        <v>35</v>
      </c>
      <c r="C1385" s="4" t="s">
        <v>36</v>
      </c>
      <c r="D1385" s="4" t="s">
        <v>47</v>
      </c>
      <c r="E1385" s="4" t="s">
        <v>25</v>
      </c>
      <c r="F1385" s="4" t="s">
        <v>25</v>
      </c>
      <c r="G1385" s="4" t="s">
        <v>25</v>
      </c>
      <c r="H1385" s="4" t="s">
        <v>38</v>
      </c>
      <c r="I1385" s="5">
        <v>44287</v>
      </c>
      <c r="J1385" s="6">
        <v>0</v>
      </c>
      <c r="K1385" s="6">
        <v>0</v>
      </c>
      <c r="L1385" s="6">
        <v>627.84500000000003</v>
      </c>
      <c r="M1385" s="6">
        <v>590.17430000000002</v>
      </c>
      <c r="N1385" s="6">
        <v>627.84500000000003</v>
      </c>
      <c r="O1385" s="6">
        <v>590.17430000000002</v>
      </c>
      <c r="P1385" s="6">
        <v>0</v>
      </c>
      <c r="Q1385" s="4" t="s">
        <v>26</v>
      </c>
      <c r="R1385" s="4">
        <v>0</v>
      </c>
      <c r="S1385" s="4" t="s">
        <v>193</v>
      </c>
      <c r="T1385" s="4" t="s">
        <v>438</v>
      </c>
      <c r="U1385" s="4">
        <v>0</v>
      </c>
      <c r="V1385" s="4">
        <v>19</v>
      </c>
      <c r="W1385" s="4">
        <v>67</v>
      </c>
    </row>
    <row r="1386" spans="1:23" ht="11.25" customHeight="1" x14ac:dyDescent="0.25">
      <c r="A1386" s="4" t="s">
        <v>28</v>
      </c>
      <c r="B1386" s="4" t="s">
        <v>35</v>
      </c>
      <c r="C1386" s="4" t="s">
        <v>36</v>
      </c>
      <c r="D1386" s="4" t="s">
        <v>47</v>
      </c>
      <c r="E1386" s="4" t="s">
        <v>25</v>
      </c>
      <c r="F1386" s="4" t="s">
        <v>25</v>
      </c>
      <c r="G1386" s="4" t="s">
        <v>25</v>
      </c>
      <c r="H1386" s="4" t="s">
        <v>38</v>
      </c>
      <c r="I1386" s="5">
        <v>44287</v>
      </c>
      <c r="J1386" s="6">
        <v>0</v>
      </c>
      <c r="K1386" s="6">
        <v>0</v>
      </c>
      <c r="L1386" s="6">
        <v>103.523</v>
      </c>
      <c r="M1386" s="6">
        <v>97.311619999999991</v>
      </c>
      <c r="N1386" s="6">
        <v>103.523</v>
      </c>
      <c r="O1386" s="6">
        <v>97.311619999999991</v>
      </c>
      <c r="P1386" s="6">
        <v>0</v>
      </c>
      <c r="Q1386" s="4" t="s">
        <v>26</v>
      </c>
      <c r="R1386" s="4">
        <v>0</v>
      </c>
      <c r="S1386" s="4" t="s">
        <v>193</v>
      </c>
      <c r="T1386" s="4" t="s">
        <v>438</v>
      </c>
      <c r="U1386" s="4">
        <v>0</v>
      </c>
      <c r="V1386" s="4">
        <v>19</v>
      </c>
      <c r="W1386" s="4">
        <v>67</v>
      </c>
    </row>
    <row r="1387" spans="1:23" ht="11.25" customHeight="1" x14ac:dyDescent="0.25">
      <c r="A1387" s="4" t="s">
        <v>21</v>
      </c>
      <c r="B1387" s="4" t="s">
        <v>35</v>
      </c>
      <c r="C1387" s="4" t="s">
        <v>36</v>
      </c>
      <c r="D1387" s="4" t="s">
        <v>47</v>
      </c>
      <c r="E1387" s="4" t="s">
        <v>25</v>
      </c>
      <c r="F1387" s="4" t="s">
        <v>25</v>
      </c>
      <c r="G1387" s="4" t="s">
        <v>25</v>
      </c>
      <c r="H1387" s="4" t="s">
        <v>38</v>
      </c>
      <c r="I1387" s="5">
        <v>44317</v>
      </c>
      <c r="J1387" s="6">
        <v>0</v>
      </c>
      <c r="K1387" s="6">
        <v>0</v>
      </c>
      <c r="L1387" s="6">
        <v>751.38199999999995</v>
      </c>
      <c r="M1387" s="6">
        <v>706.29908</v>
      </c>
      <c r="N1387" s="6">
        <v>751.38199999999995</v>
      </c>
      <c r="O1387" s="6">
        <v>706.29908</v>
      </c>
      <c r="P1387" s="6">
        <v>0</v>
      </c>
      <c r="Q1387" s="4" t="s">
        <v>26</v>
      </c>
      <c r="R1387" s="4">
        <v>0</v>
      </c>
      <c r="S1387" s="4" t="s">
        <v>194</v>
      </c>
      <c r="T1387" s="4" t="s">
        <v>439</v>
      </c>
      <c r="U1387" s="4">
        <v>0</v>
      </c>
      <c r="V1387" s="4">
        <v>19</v>
      </c>
      <c r="W1387" s="4">
        <v>67</v>
      </c>
    </row>
    <row r="1388" spans="1:23" ht="11.25" customHeight="1" x14ac:dyDescent="0.25">
      <c r="A1388" s="4" t="s">
        <v>28</v>
      </c>
      <c r="B1388" s="4" t="s">
        <v>35</v>
      </c>
      <c r="C1388" s="4" t="s">
        <v>36</v>
      </c>
      <c r="D1388" s="4" t="s">
        <v>47</v>
      </c>
      <c r="E1388" s="4" t="s">
        <v>25</v>
      </c>
      <c r="F1388" s="4" t="s">
        <v>25</v>
      </c>
      <c r="G1388" s="4" t="s">
        <v>25</v>
      </c>
      <c r="H1388" s="4" t="s">
        <v>38</v>
      </c>
      <c r="I1388" s="5">
        <v>44317</v>
      </c>
      <c r="J1388" s="6">
        <v>0</v>
      </c>
      <c r="K1388" s="6">
        <v>0</v>
      </c>
      <c r="L1388" s="6">
        <v>105.182</v>
      </c>
      <c r="M1388" s="6">
        <v>98.871080000000006</v>
      </c>
      <c r="N1388" s="6">
        <v>105.182</v>
      </c>
      <c r="O1388" s="6">
        <v>98.871080000000006</v>
      </c>
      <c r="P1388" s="6">
        <v>0</v>
      </c>
      <c r="Q1388" s="4" t="s">
        <v>26</v>
      </c>
      <c r="R1388" s="4">
        <v>0</v>
      </c>
      <c r="S1388" s="4" t="s">
        <v>194</v>
      </c>
      <c r="T1388" s="4" t="s">
        <v>439</v>
      </c>
      <c r="U1388" s="4">
        <v>0</v>
      </c>
      <c r="V1388" s="4">
        <v>19</v>
      </c>
      <c r="W1388" s="4">
        <v>67</v>
      </c>
    </row>
    <row r="1389" spans="1:23" ht="11.25" customHeight="1" x14ac:dyDescent="0.25">
      <c r="A1389" s="4" t="s">
        <v>21</v>
      </c>
      <c r="B1389" s="4" t="s">
        <v>35</v>
      </c>
      <c r="C1389" s="4" t="s">
        <v>36</v>
      </c>
      <c r="D1389" s="4" t="s">
        <v>47</v>
      </c>
      <c r="E1389" s="4" t="s">
        <v>25</v>
      </c>
      <c r="F1389" s="4" t="s">
        <v>25</v>
      </c>
      <c r="G1389" s="4" t="s">
        <v>25</v>
      </c>
      <c r="H1389" s="4" t="s">
        <v>38</v>
      </c>
      <c r="I1389" s="5">
        <v>44348</v>
      </c>
      <c r="J1389" s="6">
        <v>0</v>
      </c>
      <c r="K1389" s="6">
        <v>0</v>
      </c>
      <c r="L1389" s="6">
        <v>690.61699999999996</v>
      </c>
      <c r="M1389" s="6">
        <v>649.17998</v>
      </c>
      <c r="N1389" s="6">
        <v>690.61699999999996</v>
      </c>
      <c r="O1389" s="6">
        <v>649.17998</v>
      </c>
      <c r="P1389" s="6">
        <v>0</v>
      </c>
      <c r="Q1389" s="4" t="s">
        <v>26</v>
      </c>
      <c r="R1389" s="4">
        <v>0</v>
      </c>
      <c r="S1389" s="4" t="s">
        <v>195</v>
      </c>
      <c r="T1389" s="4" t="s">
        <v>440</v>
      </c>
      <c r="U1389" s="4">
        <v>0</v>
      </c>
      <c r="V1389" s="4">
        <v>19</v>
      </c>
      <c r="W1389" s="4">
        <v>67</v>
      </c>
    </row>
    <row r="1390" spans="1:23" ht="11.25" customHeight="1" x14ac:dyDescent="0.25">
      <c r="A1390" s="4" t="s">
        <v>28</v>
      </c>
      <c r="B1390" s="4" t="s">
        <v>35</v>
      </c>
      <c r="C1390" s="4" t="s">
        <v>36</v>
      </c>
      <c r="D1390" s="4" t="s">
        <v>47</v>
      </c>
      <c r="E1390" s="4" t="s">
        <v>25</v>
      </c>
      <c r="F1390" s="4" t="s">
        <v>25</v>
      </c>
      <c r="G1390" s="4" t="s">
        <v>25</v>
      </c>
      <c r="H1390" s="4" t="s">
        <v>38</v>
      </c>
      <c r="I1390" s="5">
        <v>44348</v>
      </c>
      <c r="J1390" s="6">
        <v>0</v>
      </c>
      <c r="K1390" s="6">
        <v>0</v>
      </c>
      <c r="L1390" s="6">
        <v>87.930999999999997</v>
      </c>
      <c r="M1390" s="6">
        <v>82.655139999999989</v>
      </c>
      <c r="N1390" s="6">
        <v>87.930999999999997</v>
      </c>
      <c r="O1390" s="6">
        <v>82.655139999999989</v>
      </c>
      <c r="P1390" s="6">
        <v>0</v>
      </c>
      <c r="Q1390" s="4" t="s">
        <v>26</v>
      </c>
      <c r="R1390" s="4">
        <v>0</v>
      </c>
      <c r="S1390" s="4" t="s">
        <v>195</v>
      </c>
      <c r="T1390" s="4" t="s">
        <v>440</v>
      </c>
      <c r="U1390" s="4">
        <v>0</v>
      </c>
      <c r="V1390" s="4">
        <v>19</v>
      </c>
      <c r="W1390" s="4">
        <v>67</v>
      </c>
    </row>
    <row r="1391" spans="1:23" ht="11.25" customHeight="1" x14ac:dyDescent="0.25">
      <c r="A1391" s="4" t="s">
        <v>21</v>
      </c>
      <c r="B1391" s="4" t="s">
        <v>35</v>
      </c>
      <c r="C1391" s="4" t="s">
        <v>36</v>
      </c>
      <c r="D1391" s="4" t="s">
        <v>47</v>
      </c>
      <c r="E1391" s="4" t="s">
        <v>25</v>
      </c>
      <c r="F1391" s="4" t="s">
        <v>25</v>
      </c>
      <c r="G1391" s="4" t="s">
        <v>25</v>
      </c>
      <c r="H1391" s="4" t="s">
        <v>38</v>
      </c>
      <c r="I1391" s="5">
        <v>44378</v>
      </c>
      <c r="J1391" s="6">
        <v>0</v>
      </c>
      <c r="K1391" s="6">
        <v>0</v>
      </c>
      <c r="L1391" s="6">
        <v>730.80399999999997</v>
      </c>
      <c r="M1391" s="6">
        <v>686.95576000000005</v>
      </c>
      <c r="N1391" s="6">
        <v>730.80399999999997</v>
      </c>
      <c r="O1391" s="6">
        <v>686.95576000000005</v>
      </c>
      <c r="P1391" s="6">
        <v>0</v>
      </c>
      <c r="Q1391" s="4" t="s">
        <v>26</v>
      </c>
      <c r="R1391" s="4">
        <v>0</v>
      </c>
      <c r="S1391" s="4" t="s">
        <v>196</v>
      </c>
      <c r="T1391" s="4" t="s">
        <v>441</v>
      </c>
      <c r="U1391" s="4">
        <v>0</v>
      </c>
      <c r="V1391" s="4">
        <v>19</v>
      </c>
      <c r="W1391" s="4">
        <v>67</v>
      </c>
    </row>
    <row r="1392" spans="1:23" ht="11.25" customHeight="1" x14ac:dyDescent="0.25">
      <c r="A1392" s="4" t="s">
        <v>28</v>
      </c>
      <c r="B1392" s="4" t="s">
        <v>35</v>
      </c>
      <c r="C1392" s="4" t="s">
        <v>36</v>
      </c>
      <c r="D1392" s="4" t="s">
        <v>47</v>
      </c>
      <c r="E1392" s="4" t="s">
        <v>25</v>
      </c>
      <c r="F1392" s="4" t="s">
        <v>25</v>
      </c>
      <c r="G1392" s="4" t="s">
        <v>25</v>
      </c>
      <c r="H1392" s="4" t="s">
        <v>38</v>
      </c>
      <c r="I1392" s="5">
        <v>44378</v>
      </c>
      <c r="J1392" s="6">
        <v>0</v>
      </c>
      <c r="K1392" s="6">
        <v>0</v>
      </c>
      <c r="L1392" s="6">
        <v>81.924999999999997</v>
      </c>
      <c r="M1392" s="6">
        <v>77.009500000000003</v>
      </c>
      <c r="N1392" s="6">
        <v>81.924999999999997</v>
      </c>
      <c r="O1392" s="6">
        <v>77.009500000000003</v>
      </c>
      <c r="P1392" s="6">
        <v>0</v>
      </c>
      <c r="Q1392" s="4" t="s">
        <v>26</v>
      </c>
      <c r="R1392" s="4">
        <v>0</v>
      </c>
      <c r="S1392" s="4" t="s">
        <v>196</v>
      </c>
      <c r="T1392" s="4" t="s">
        <v>441</v>
      </c>
      <c r="U1392" s="4">
        <v>0</v>
      </c>
      <c r="V1392" s="4">
        <v>19</v>
      </c>
      <c r="W1392" s="4">
        <v>67</v>
      </c>
    </row>
    <row r="1393" spans="1:23" ht="11.25" customHeight="1" x14ac:dyDescent="0.25">
      <c r="A1393" s="4" t="s">
        <v>30</v>
      </c>
      <c r="B1393" s="4" t="s">
        <v>35</v>
      </c>
      <c r="C1393" s="4" t="s">
        <v>36</v>
      </c>
      <c r="D1393" s="4" t="s">
        <v>47</v>
      </c>
      <c r="E1393" s="4" t="s">
        <v>25</v>
      </c>
      <c r="F1393" s="4" t="s">
        <v>25</v>
      </c>
      <c r="G1393" s="4" t="s">
        <v>25</v>
      </c>
      <c r="H1393" s="4" t="s">
        <v>38</v>
      </c>
      <c r="I1393" s="5">
        <v>44378</v>
      </c>
      <c r="J1393" s="6">
        <v>0</v>
      </c>
      <c r="K1393" s="6">
        <v>0</v>
      </c>
      <c r="L1393" s="6">
        <v>7.8120000000000003</v>
      </c>
      <c r="M1393" s="6">
        <v>7.34328</v>
      </c>
      <c r="N1393" s="6">
        <v>7.8120000000000003</v>
      </c>
      <c r="O1393" s="6">
        <v>7.34328</v>
      </c>
      <c r="P1393" s="6">
        <v>0</v>
      </c>
      <c r="Q1393" s="4" t="s">
        <v>26</v>
      </c>
      <c r="R1393" s="4">
        <v>0</v>
      </c>
      <c r="S1393" s="4" t="s">
        <v>196</v>
      </c>
      <c r="T1393" s="4" t="s">
        <v>441</v>
      </c>
      <c r="U1393" s="4">
        <v>0</v>
      </c>
      <c r="V1393" s="4">
        <v>19</v>
      </c>
      <c r="W1393" s="4">
        <v>67</v>
      </c>
    </row>
    <row r="1394" spans="1:23" ht="11.25" customHeight="1" x14ac:dyDescent="0.25">
      <c r="A1394" s="4" t="s">
        <v>21</v>
      </c>
      <c r="B1394" s="4" t="s">
        <v>35</v>
      </c>
      <c r="C1394" s="4" t="s">
        <v>36</v>
      </c>
      <c r="D1394" s="4" t="s">
        <v>47</v>
      </c>
      <c r="E1394" s="4" t="s">
        <v>25</v>
      </c>
      <c r="F1394" s="4" t="s">
        <v>25</v>
      </c>
      <c r="G1394" s="4" t="s">
        <v>25</v>
      </c>
      <c r="H1394" s="4" t="s">
        <v>38</v>
      </c>
      <c r="I1394" s="5">
        <v>44409</v>
      </c>
      <c r="J1394" s="6">
        <v>0</v>
      </c>
      <c r="K1394" s="6">
        <v>0</v>
      </c>
      <c r="L1394" s="6">
        <v>725.05899999999997</v>
      </c>
      <c r="M1394" s="6">
        <v>681.55546000000004</v>
      </c>
      <c r="N1394" s="6">
        <v>725.05899999999997</v>
      </c>
      <c r="O1394" s="6">
        <v>681.55546000000004</v>
      </c>
      <c r="P1394" s="6">
        <v>0</v>
      </c>
      <c r="Q1394" s="4" t="s">
        <v>26</v>
      </c>
      <c r="R1394" s="4">
        <v>0</v>
      </c>
      <c r="S1394" s="4" t="s">
        <v>197</v>
      </c>
      <c r="T1394" s="4" t="s">
        <v>442</v>
      </c>
      <c r="U1394" s="4">
        <v>0</v>
      </c>
      <c r="V1394" s="4">
        <v>19</v>
      </c>
      <c r="W1394" s="4">
        <v>67</v>
      </c>
    </row>
    <row r="1395" spans="1:23" ht="11.25" customHeight="1" x14ac:dyDescent="0.25">
      <c r="A1395" s="4" t="s">
        <v>28</v>
      </c>
      <c r="B1395" s="4" t="s">
        <v>35</v>
      </c>
      <c r="C1395" s="4" t="s">
        <v>36</v>
      </c>
      <c r="D1395" s="4" t="s">
        <v>47</v>
      </c>
      <c r="E1395" s="4" t="s">
        <v>25</v>
      </c>
      <c r="F1395" s="4" t="s">
        <v>25</v>
      </c>
      <c r="G1395" s="4" t="s">
        <v>25</v>
      </c>
      <c r="H1395" s="4" t="s">
        <v>38</v>
      </c>
      <c r="I1395" s="5">
        <v>44409</v>
      </c>
      <c r="J1395" s="6">
        <v>0</v>
      </c>
      <c r="K1395" s="6">
        <v>0</v>
      </c>
      <c r="L1395" s="6">
        <v>90.111000000000004</v>
      </c>
      <c r="M1395" s="6">
        <v>84.704340000000002</v>
      </c>
      <c r="N1395" s="6">
        <v>90.111000000000004</v>
      </c>
      <c r="O1395" s="6">
        <v>84.704340000000002</v>
      </c>
      <c r="P1395" s="6">
        <v>0</v>
      </c>
      <c r="Q1395" s="4" t="s">
        <v>26</v>
      </c>
      <c r="R1395" s="4">
        <v>0</v>
      </c>
      <c r="S1395" s="4" t="s">
        <v>197</v>
      </c>
      <c r="T1395" s="4" t="s">
        <v>442</v>
      </c>
      <c r="U1395" s="4">
        <v>0</v>
      </c>
      <c r="V1395" s="4">
        <v>19</v>
      </c>
      <c r="W1395" s="4">
        <v>67</v>
      </c>
    </row>
    <row r="1396" spans="1:23" ht="11.25" customHeight="1" x14ac:dyDescent="0.25">
      <c r="A1396" s="4" t="s">
        <v>30</v>
      </c>
      <c r="B1396" s="4" t="s">
        <v>35</v>
      </c>
      <c r="C1396" s="4" t="s">
        <v>36</v>
      </c>
      <c r="D1396" s="4" t="s">
        <v>47</v>
      </c>
      <c r="E1396" s="4" t="s">
        <v>25</v>
      </c>
      <c r="F1396" s="4" t="s">
        <v>25</v>
      </c>
      <c r="G1396" s="4" t="s">
        <v>25</v>
      </c>
      <c r="H1396" s="4" t="s">
        <v>38</v>
      </c>
      <c r="I1396" s="5">
        <v>44409</v>
      </c>
      <c r="J1396" s="6">
        <v>0</v>
      </c>
      <c r="K1396" s="6">
        <v>0</v>
      </c>
      <c r="L1396" s="6">
        <v>10.981</v>
      </c>
      <c r="M1396" s="6">
        <v>10.322139999999999</v>
      </c>
      <c r="N1396" s="6">
        <v>10.981</v>
      </c>
      <c r="O1396" s="6">
        <v>10.322139999999999</v>
      </c>
      <c r="P1396" s="6">
        <v>0</v>
      </c>
      <c r="Q1396" s="4" t="s">
        <v>26</v>
      </c>
      <c r="R1396" s="4">
        <v>0</v>
      </c>
      <c r="S1396" s="4" t="s">
        <v>197</v>
      </c>
      <c r="T1396" s="4" t="s">
        <v>442</v>
      </c>
      <c r="U1396" s="4">
        <v>0</v>
      </c>
      <c r="V1396" s="4">
        <v>19</v>
      </c>
      <c r="W1396" s="4">
        <v>67</v>
      </c>
    </row>
    <row r="1397" spans="1:23" ht="11.25" customHeight="1" x14ac:dyDescent="0.25">
      <c r="A1397" s="4" t="s">
        <v>21</v>
      </c>
      <c r="B1397" s="4" t="s">
        <v>35</v>
      </c>
      <c r="C1397" s="4" t="s">
        <v>36</v>
      </c>
      <c r="D1397" s="4" t="s">
        <v>47</v>
      </c>
      <c r="E1397" s="4" t="s">
        <v>25</v>
      </c>
      <c r="F1397" s="4" t="s">
        <v>25</v>
      </c>
      <c r="G1397" s="4" t="s">
        <v>25</v>
      </c>
      <c r="H1397" s="4" t="s">
        <v>38</v>
      </c>
      <c r="I1397" s="5">
        <v>44440</v>
      </c>
      <c r="J1397" s="6">
        <v>0</v>
      </c>
      <c r="K1397" s="6">
        <v>0</v>
      </c>
      <c r="L1397" s="6">
        <v>714.33</v>
      </c>
      <c r="M1397" s="6">
        <v>671.47019999999998</v>
      </c>
      <c r="N1397" s="6">
        <v>714.33</v>
      </c>
      <c r="O1397" s="6">
        <v>671.47019999999998</v>
      </c>
      <c r="P1397" s="6">
        <v>0</v>
      </c>
      <c r="Q1397" s="4" t="s">
        <v>26</v>
      </c>
      <c r="R1397" s="4">
        <v>0</v>
      </c>
      <c r="S1397" s="4" t="s">
        <v>198</v>
      </c>
      <c r="T1397" s="4" t="s">
        <v>443</v>
      </c>
      <c r="U1397" s="4">
        <v>0</v>
      </c>
      <c r="V1397" s="4">
        <v>19</v>
      </c>
      <c r="W1397" s="4">
        <v>67</v>
      </c>
    </row>
    <row r="1398" spans="1:23" ht="11.25" customHeight="1" x14ac:dyDescent="0.25">
      <c r="A1398" s="4" t="s">
        <v>28</v>
      </c>
      <c r="B1398" s="4" t="s">
        <v>35</v>
      </c>
      <c r="C1398" s="4" t="s">
        <v>36</v>
      </c>
      <c r="D1398" s="4" t="s">
        <v>47</v>
      </c>
      <c r="E1398" s="4" t="s">
        <v>25</v>
      </c>
      <c r="F1398" s="4" t="s">
        <v>25</v>
      </c>
      <c r="G1398" s="4" t="s">
        <v>25</v>
      </c>
      <c r="H1398" s="4" t="s">
        <v>38</v>
      </c>
      <c r="I1398" s="5">
        <v>44440</v>
      </c>
      <c r="J1398" s="6">
        <v>0</v>
      </c>
      <c r="K1398" s="6">
        <v>0</v>
      </c>
      <c r="L1398" s="6">
        <v>130.505</v>
      </c>
      <c r="M1398" s="6">
        <v>122.6747</v>
      </c>
      <c r="N1398" s="6">
        <v>130.505</v>
      </c>
      <c r="O1398" s="6">
        <v>122.6747</v>
      </c>
      <c r="P1398" s="6">
        <v>0</v>
      </c>
      <c r="Q1398" s="4" t="s">
        <v>26</v>
      </c>
      <c r="R1398" s="4">
        <v>0</v>
      </c>
      <c r="S1398" s="4" t="s">
        <v>198</v>
      </c>
      <c r="T1398" s="4" t="s">
        <v>443</v>
      </c>
      <c r="U1398" s="4">
        <v>0</v>
      </c>
      <c r="V1398" s="4">
        <v>19</v>
      </c>
      <c r="W1398" s="4">
        <v>67</v>
      </c>
    </row>
    <row r="1399" spans="1:23" ht="11.25" customHeight="1" x14ac:dyDescent="0.25">
      <c r="A1399" s="4" t="s">
        <v>30</v>
      </c>
      <c r="B1399" s="4" t="s">
        <v>35</v>
      </c>
      <c r="C1399" s="4" t="s">
        <v>36</v>
      </c>
      <c r="D1399" s="4" t="s">
        <v>47</v>
      </c>
      <c r="E1399" s="4" t="s">
        <v>25</v>
      </c>
      <c r="F1399" s="4" t="s">
        <v>25</v>
      </c>
      <c r="G1399" s="4" t="s">
        <v>25</v>
      </c>
      <c r="H1399" s="4" t="s">
        <v>38</v>
      </c>
      <c r="I1399" s="5">
        <v>44440</v>
      </c>
      <c r="J1399" s="6">
        <v>0</v>
      </c>
      <c r="K1399" s="6">
        <v>0</v>
      </c>
      <c r="L1399" s="6">
        <v>16.239999999999998</v>
      </c>
      <c r="M1399" s="6">
        <v>15.265599999999999</v>
      </c>
      <c r="N1399" s="6">
        <v>16.239999999999998</v>
      </c>
      <c r="O1399" s="6">
        <v>15.265599999999999</v>
      </c>
      <c r="P1399" s="6">
        <v>0</v>
      </c>
      <c r="Q1399" s="4" t="s">
        <v>26</v>
      </c>
      <c r="R1399" s="4">
        <v>0</v>
      </c>
      <c r="S1399" s="4" t="s">
        <v>198</v>
      </c>
      <c r="T1399" s="4" t="s">
        <v>443</v>
      </c>
      <c r="U1399" s="4">
        <v>0</v>
      </c>
      <c r="V1399" s="4">
        <v>19</v>
      </c>
      <c r="W1399" s="4">
        <v>67</v>
      </c>
    </row>
    <row r="1400" spans="1:23" ht="11.25" customHeight="1" x14ac:dyDescent="0.25">
      <c r="A1400" s="4" t="s">
        <v>59</v>
      </c>
      <c r="B1400" s="4" t="s">
        <v>35</v>
      </c>
      <c r="C1400" s="4" t="s">
        <v>36</v>
      </c>
      <c r="D1400" s="4" t="s">
        <v>47</v>
      </c>
      <c r="E1400" s="4" t="s">
        <v>25</v>
      </c>
      <c r="F1400" s="4" t="s">
        <v>25</v>
      </c>
      <c r="G1400" s="4" t="s">
        <v>25</v>
      </c>
      <c r="H1400" s="4" t="s">
        <v>38</v>
      </c>
      <c r="I1400" s="5">
        <v>44470</v>
      </c>
      <c r="J1400" s="6">
        <v>0</v>
      </c>
      <c r="K1400" s="6">
        <v>0</v>
      </c>
      <c r="L1400" s="6">
        <v>714.33</v>
      </c>
      <c r="M1400" s="6">
        <v>671.47019999999998</v>
      </c>
      <c r="N1400" s="6">
        <v>714.33</v>
      </c>
      <c r="O1400" s="6">
        <v>671.47019999999998</v>
      </c>
      <c r="P1400" s="6">
        <v>0</v>
      </c>
      <c r="Q1400" s="4" t="s">
        <v>26</v>
      </c>
      <c r="R1400" s="4">
        <v>0</v>
      </c>
      <c r="S1400" s="4" t="s">
        <v>199</v>
      </c>
      <c r="T1400" s="4" t="s">
        <v>444</v>
      </c>
      <c r="U1400" s="4">
        <v>0</v>
      </c>
      <c r="V1400" s="4">
        <v>19</v>
      </c>
      <c r="W1400" s="4">
        <v>67</v>
      </c>
    </row>
    <row r="1401" spans="1:23" ht="11.25" customHeight="1" x14ac:dyDescent="0.25">
      <c r="A1401" s="4" t="s">
        <v>59</v>
      </c>
      <c r="B1401" s="4" t="s">
        <v>35</v>
      </c>
      <c r="C1401" s="4" t="s">
        <v>36</v>
      </c>
      <c r="D1401" s="4" t="s">
        <v>47</v>
      </c>
      <c r="E1401" s="4" t="s">
        <v>25</v>
      </c>
      <c r="F1401" s="4" t="s">
        <v>25</v>
      </c>
      <c r="G1401" s="4" t="s">
        <v>25</v>
      </c>
      <c r="H1401" s="4" t="s">
        <v>38</v>
      </c>
      <c r="I1401" s="5">
        <v>44470</v>
      </c>
      <c r="J1401" s="6">
        <v>0</v>
      </c>
      <c r="K1401" s="6">
        <v>0</v>
      </c>
      <c r="L1401" s="6">
        <v>130.505</v>
      </c>
      <c r="M1401" s="6">
        <v>122.6747</v>
      </c>
      <c r="N1401" s="6">
        <v>130.505</v>
      </c>
      <c r="O1401" s="6">
        <v>122.6747</v>
      </c>
      <c r="P1401" s="6">
        <v>0</v>
      </c>
      <c r="Q1401" s="4" t="s">
        <v>26</v>
      </c>
      <c r="R1401" s="4">
        <v>0</v>
      </c>
      <c r="S1401" s="4" t="s">
        <v>199</v>
      </c>
      <c r="T1401" s="4" t="s">
        <v>444</v>
      </c>
      <c r="U1401" s="4">
        <v>0</v>
      </c>
      <c r="V1401" s="4">
        <v>19</v>
      </c>
      <c r="W1401" s="4">
        <v>67</v>
      </c>
    </row>
    <row r="1402" spans="1:23" ht="11.25" customHeight="1" x14ac:dyDescent="0.25">
      <c r="A1402" s="4" t="s">
        <v>59</v>
      </c>
      <c r="B1402" s="4" t="s">
        <v>35</v>
      </c>
      <c r="C1402" s="4" t="s">
        <v>36</v>
      </c>
      <c r="D1402" s="4" t="s">
        <v>47</v>
      </c>
      <c r="E1402" s="4" t="s">
        <v>25</v>
      </c>
      <c r="F1402" s="4" t="s">
        <v>25</v>
      </c>
      <c r="G1402" s="4" t="s">
        <v>25</v>
      </c>
      <c r="H1402" s="4" t="s">
        <v>38</v>
      </c>
      <c r="I1402" s="5">
        <v>44470</v>
      </c>
      <c r="J1402" s="6">
        <v>0</v>
      </c>
      <c r="K1402" s="6">
        <v>0</v>
      </c>
      <c r="L1402" s="6">
        <v>16.239999999999998</v>
      </c>
      <c r="M1402" s="6">
        <v>15.265599999999999</v>
      </c>
      <c r="N1402" s="6">
        <v>16.239999999999998</v>
      </c>
      <c r="O1402" s="6">
        <v>15.265599999999999</v>
      </c>
      <c r="P1402" s="6">
        <v>0</v>
      </c>
      <c r="Q1402" s="4" t="s">
        <v>26</v>
      </c>
      <c r="R1402" s="4">
        <v>0</v>
      </c>
      <c r="S1402" s="4" t="s">
        <v>199</v>
      </c>
      <c r="T1402" s="4" t="s">
        <v>444</v>
      </c>
      <c r="U1402" s="4">
        <v>0</v>
      </c>
      <c r="V1402" s="4">
        <v>19</v>
      </c>
      <c r="W1402" s="4">
        <v>67</v>
      </c>
    </row>
    <row r="1403" spans="1:23" ht="11.25" customHeight="1" x14ac:dyDescent="0.25">
      <c r="A1403" s="4" t="s">
        <v>21</v>
      </c>
      <c r="B1403" s="4" t="s">
        <v>35</v>
      </c>
      <c r="C1403" s="4" t="s">
        <v>36</v>
      </c>
      <c r="D1403" s="4" t="s">
        <v>47</v>
      </c>
      <c r="E1403" s="4" t="s">
        <v>25</v>
      </c>
      <c r="F1403" s="4" t="s">
        <v>25</v>
      </c>
      <c r="G1403" s="4" t="s">
        <v>25</v>
      </c>
      <c r="H1403" s="4" t="s">
        <v>25</v>
      </c>
      <c r="I1403" s="5">
        <v>44136</v>
      </c>
      <c r="J1403" s="6">
        <v>2386</v>
      </c>
      <c r="K1403" s="6">
        <v>2242.8399999999997</v>
      </c>
      <c r="L1403" s="6">
        <v>0</v>
      </c>
      <c r="M1403" s="6">
        <v>0</v>
      </c>
      <c r="N1403" s="6">
        <v>0</v>
      </c>
      <c r="O1403" s="6">
        <v>0</v>
      </c>
      <c r="P1403" s="6">
        <v>17</v>
      </c>
      <c r="Q1403" s="4" t="s">
        <v>26</v>
      </c>
      <c r="R1403" s="4">
        <v>0</v>
      </c>
      <c r="S1403" s="4" t="s">
        <v>200</v>
      </c>
      <c r="U1403" s="4">
        <v>23</v>
      </c>
      <c r="V1403" s="4">
        <v>0</v>
      </c>
      <c r="W1403" s="4">
        <v>0</v>
      </c>
    </row>
    <row r="1404" spans="1:23" ht="11.25" customHeight="1" x14ac:dyDescent="0.25">
      <c r="A1404" s="4" t="s">
        <v>28</v>
      </c>
      <c r="B1404" s="4" t="s">
        <v>35</v>
      </c>
      <c r="C1404" s="4" t="s">
        <v>36</v>
      </c>
      <c r="D1404" s="4" t="s">
        <v>47</v>
      </c>
      <c r="E1404" s="4" t="s">
        <v>25</v>
      </c>
      <c r="F1404" s="4" t="s">
        <v>25</v>
      </c>
      <c r="G1404" s="4" t="s">
        <v>25</v>
      </c>
      <c r="H1404" s="4" t="s">
        <v>25</v>
      </c>
      <c r="I1404" s="5">
        <v>44136</v>
      </c>
      <c r="J1404" s="6">
        <v>734</v>
      </c>
      <c r="K1404" s="6">
        <v>689.95999999999992</v>
      </c>
      <c r="L1404" s="6">
        <v>0</v>
      </c>
      <c r="M1404" s="6">
        <v>0</v>
      </c>
      <c r="N1404" s="6">
        <v>0</v>
      </c>
      <c r="O1404" s="6">
        <v>0</v>
      </c>
      <c r="P1404" s="6">
        <v>7</v>
      </c>
      <c r="Q1404" s="4" t="s">
        <v>26</v>
      </c>
      <c r="R1404" s="4">
        <v>0</v>
      </c>
      <c r="S1404" s="4" t="s">
        <v>200</v>
      </c>
      <c r="U1404" s="4">
        <v>23</v>
      </c>
      <c r="V1404" s="4">
        <v>0</v>
      </c>
      <c r="W1404" s="4">
        <v>0</v>
      </c>
    </row>
    <row r="1405" spans="1:23" ht="11.25" customHeight="1" x14ac:dyDescent="0.25">
      <c r="A1405" s="4" t="s">
        <v>21</v>
      </c>
      <c r="B1405" s="4" t="s">
        <v>35</v>
      </c>
      <c r="C1405" s="4" t="s">
        <v>36</v>
      </c>
      <c r="D1405" s="4" t="s">
        <v>47</v>
      </c>
      <c r="E1405" s="4" t="s">
        <v>25</v>
      </c>
      <c r="F1405" s="4" t="s">
        <v>25</v>
      </c>
      <c r="G1405" s="4" t="s">
        <v>25</v>
      </c>
      <c r="H1405" s="4" t="s">
        <v>25</v>
      </c>
      <c r="I1405" s="5">
        <v>44166</v>
      </c>
      <c r="J1405" s="6">
        <v>2017</v>
      </c>
      <c r="K1405" s="6">
        <v>1895.9799999999998</v>
      </c>
      <c r="L1405" s="6">
        <v>0</v>
      </c>
      <c r="M1405" s="6">
        <v>0</v>
      </c>
      <c r="N1405" s="6">
        <v>0</v>
      </c>
      <c r="O1405" s="6">
        <v>0</v>
      </c>
      <c r="P1405" s="6">
        <v>13</v>
      </c>
      <c r="Q1405" s="4" t="s">
        <v>26</v>
      </c>
      <c r="R1405" s="4">
        <v>0</v>
      </c>
      <c r="S1405" s="4" t="s">
        <v>201</v>
      </c>
      <c r="U1405" s="4">
        <v>23</v>
      </c>
      <c r="V1405" s="4">
        <v>0</v>
      </c>
      <c r="W1405" s="4">
        <v>0</v>
      </c>
    </row>
    <row r="1406" spans="1:23" ht="11.25" customHeight="1" x14ac:dyDescent="0.25">
      <c r="A1406" s="4" t="s">
        <v>28</v>
      </c>
      <c r="B1406" s="4" t="s">
        <v>35</v>
      </c>
      <c r="C1406" s="4" t="s">
        <v>36</v>
      </c>
      <c r="D1406" s="4" t="s">
        <v>47</v>
      </c>
      <c r="E1406" s="4" t="s">
        <v>25</v>
      </c>
      <c r="F1406" s="4" t="s">
        <v>25</v>
      </c>
      <c r="G1406" s="4" t="s">
        <v>25</v>
      </c>
      <c r="H1406" s="4" t="s">
        <v>25</v>
      </c>
      <c r="I1406" s="5">
        <v>44166</v>
      </c>
      <c r="J1406" s="6">
        <v>732</v>
      </c>
      <c r="K1406" s="6">
        <v>688.07999999999993</v>
      </c>
      <c r="L1406" s="6">
        <v>0</v>
      </c>
      <c r="M1406" s="6">
        <v>0</v>
      </c>
      <c r="N1406" s="6">
        <v>0</v>
      </c>
      <c r="O1406" s="6">
        <v>0</v>
      </c>
      <c r="P1406" s="6">
        <v>7</v>
      </c>
      <c r="Q1406" s="4" t="s">
        <v>26</v>
      </c>
      <c r="R1406" s="4">
        <v>0</v>
      </c>
      <c r="S1406" s="4" t="s">
        <v>201</v>
      </c>
      <c r="U1406" s="4">
        <v>23</v>
      </c>
      <c r="V1406" s="4">
        <v>0</v>
      </c>
      <c r="W1406" s="4">
        <v>0</v>
      </c>
    </row>
    <row r="1407" spans="1:23" ht="11.25" customHeight="1" x14ac:dyDescent="0.25">
      <c r="A1407" s="4" t="s">
        <v>21</v>
      </c>
      <c r="B1407" s="4" t="s">
        <v>35</v>
      </c>
      <c r="C1407" s="4" t="s">
        <v>36</v>
      </c>
      <c r="D1407" s="4" t="s">
        <v>47</v>
      </c>
      <c r="E1407" s="4" t="s">
        <v>25</v>
      </c>
      <c r="F1407" s="4" t="s">
        <v>25</v>
      </c>
      <c r="G1407" s="4" t="s">
        <v>25</v>
      </c>
      <c r="H1407" s="4" t="s">
        <v>25</v>
      </c>
      <c r="I1407" s="5">
        <v>44197</v>
      </c>
      <c r="J1407" s="6">
        <v>2301</v>
      </c>
      <c r="K1407" s="6">
        <v>2162.94</v>
      </c>
      <c r="L1407" s="6">
        <v>0</v>
      </c>
      <c r="M1407" s="6">
        <v>0</v>
      </c>
      <c r="N1407" s="6">
        <v>0</v>
      </c>
      <c r="O1407" s="6">
        <v>0</v>
      </c>
      <c r="P1407" s="6">
        <v>13</v>
      </c>
      <c r="Q1407" s="4" t="s">
        <v>26</v>
      </c>
      <c r="R1407" s="4">
        <v>0</v>
      </c>
      <c r="S1407" s="4" t="s">
        <v>202</v>
      </c>
      <c r="U1407" s="4">
        <v>23</v>
      </c>
      <c r="V1407" s="4">
        <v>0</v>
      </c>
      <c r="W1407" s="4">
        <v>0</v>
      </c>
    </row>
    <row r="1408" spans="1:23" ht="11.25" customHeight="1" x14ac:dyDescent="0.25">
      <c r="A1408" s="4" t="s">
        <v>28</v>
      </c>
      <c r="B1408" s="4" t="s">
        <v>35</v>
      </c>
      <c r="C1408" s="4" t="s">
        <v>36</v>
      </c>
      <c r="D1408" s="4" t="s">
        <v>47</v>
      </c>
      <c r="E1408" s="4" t="s">
        <v>25</v>
      </c>
      <c r="F1408" s="4" t="s">
        <v>25</v>
      </c>
      <c r="G1408" s="4" t="s">
        <v>25</v>
      </c>
      <c r="H1408" s="4" t="s">
        <v>25</v>
      </c>
      <c r="I1408" s="5">
        <v>44197</v>
      </c>
      <c r="J1408" s="6">
        <v>768</v>
      </c>
      <c r="K1408" s="6">
        <v>721.92</v>
      </c>
      <c r="L1408" s="6">
        <v>0</v>
      </c>
      <c r="M1408" s="6">
        <v>0</v>
      </c>
      <c r="N1408" s="6">
        <v>0</v>
      </c>
      <c r="O1408" s="6">
        <v>0</v>
      </c>
      <c r="P1408" s="6">
        <v>7</v>
      </c>
      <c r="Q1408" s="4" t="s">
        <v>26</v>
      </c>
      <c r="R1408" s="4">
        <v>0</v>
      </c>
      <c r="S1408" s="4" t="s">
        <v>202</v>
      </c>
      <c r="U1408" s="4">
        <v>23</v>
      </c>
      <c r="V1408" s="4">
        <v>0</v>
      </c>
      <c r="W1408" s="4">
        <v>0</v>
      </c>
    </row>
    <row r="1409" spans="1:23" ht="11.25" customHeight="1" x14ac:dyDescent="0.25">
      <c r="A1409" s="4" t="s">
        <v>21</v>
      </c>
      <c r="B1409" s="4" t="s">
        <v>35</v>
      </c>
      <c r="C1409" s="4" t="s">
        <v>36</v>
      </c>
      <c r="D1409" s="4" t="s">
        <v>47</v>
      </c>
      <c r="E1409" s="4" t="s">
        <v>25</v>
      </c>
      <c r="F1409" s="4" t="s">
        <v>25</v>
      </c>
      <c r="G1409" s="4" t="s">
        <v>25</v>
      </c>
      <c r="H1409" s="4" t="s">
        <v>25</v>
      </c>
      <c r="I1409" s="5">
        <v>44228</v>
      </c>
      <c r="J1409" s="6">
        <v>1751</v>
      </c>
      <c r="K1409" s="6">
        <v>1645.9399999999998</v>
      </c>
      <c r="L1409" s="6">
        <v>0</v>
      </c>
      <c r="M1409" s="6">
        <v>0</v>
      </c>
      <c r="N1409" s="6">
        <v>0</v>
      </c>
      <c r="O1409" s="6">
        <v>0</v>
      </c>
      <c r="P1409" s="6">
        <v>13</v>
      </c>
      <c r="Q1409" s="4" t="s">
        <v>26</v>
      </c>
      <c r="R1409" s="4">
        <v>0</v>
      </c>
      <c r="S1409" s="4" t="s">
        <v>203</v>
      </c>
      <c r="U1409" s="4">
        <v>23</v>
      </c>
      <c r="V1409" s="4">
        <v>0</v>
      </c>
      <c r="W1409" s="4">
        <v>0</v>
      </c>
    </row>
    <row r="1410" spans="1:23" ht="11.25" customHeight="1" x14ac:dyDescent="0.25">
      <c r="A1410" s="4" t="s">
        <v>28</v>
      </c>
      <c r="B1410" s="4" t="s">
        <v>35</v>
      </c>
      <c r="C1410" s="4" t="s">
        <v>36</v>
      </c>
      <c r="D1410" s="4" t="s">
        <v>47</v>
      </c>
      <c r="E1410" s="4" t="s">
        <v>25</v>
      </c>
      <c r="F1410" s="4" t="s">
        <v>25</v>
      </c>
      <c r="G1410" s="4" t="s">
        <v>25</v>
      </c>
      <c r="H1410" s="4" t="s">
        <v>25</v>
      </c>
      <c r="I1410" s="5">
        <v>44228</v>
      </c>
      <c r="J1410" s="6">
        <v>1103</v>
      </c>
      <c r="K1410" s="6">
        <v>1036.82</v>
      </c>
      <c r="L1410" s="6">
        <v>0</v>
      </c>
      <c r="M1410" s="6">
        <v>0</v>
      </c>
      <c r="N1410" s="6">
        <v>0</v>
      </c>
      <c r="O1410" s="6">
        <v>0</v>
      </c>
      <c r="P1410" s="6">
        <v>7</v>
      </c>
      <c r="Q1410" s="4" t="s">
        <v>26</v>
      </c>
      <c r="R1410" s="4">
        <v>0</v>
      </c>
      <c r="S1410" s="4" t="s">
        <v>203</v>
      </c>
      <c r="U1410" s="4">
        <v>23</v>
      </c>
      <c r="V1410" s="4">
        <v>0</v>
      </c>
      <c r="W1410" s="4">
        <v>0</v>
      </c>
    </row>
    <row r="1411" spans="1:23" ht="11.25" customHeight="1" x14ac:dyDescent="0.25">
      <c r="A1411" s="4" t="s">
        <v>21</v>
      </c>
      <c r="B1411" s="4" t="s">
        <v>35</v>
      </c>
      <c r="C1411" s="4" t="s">
        <v>36</v>
      </c>
      <c r="D1411" s="4" t="s">
        <v>47</v>
      </c>
      <c r="E1411" s="4" t="s">
        <v>25</v>
      </c>
      <c r="F1411" s="4" t="s">
        <v>25</v>
      </c>
      <c r="G1411" s="4" t="s">
        <v>25</v>
      </c>
      <c r="H1411" s="4" t="s">
        <v>25</v>
      </c>
      <c r="I1411" s="5">
        <v>44256</v>
      </c>
      <c r="J1411" s="6">
        <v>3088</v>
      </c>
      <c r="K1411" s="6">
        <v>2902.72</v>
      </c>
      <c r="L1411" s="6">
        <v>0</v>
      </c>
      <c r="M1411" s="6">
        <v>0</v>
      </c>
      <c r="N1411" s="6">
        <v>0</v>
      </c>
      <c r="O1411" s="6">
        <v>0</v>
      </c>
      <c r="P1411" s="6">
        <v>14</v>
      </c>
      <c r="Q1411" s="4" t="s">
        <v>26</v>
      </c>
      <c r="R1411" s="4">
        <v>0</v>
      </c>
      <c r="S1411" s="4" t="s">
        <v>204</v>
      </c>
      <c r="U1411" s="4">
        <v>23</v>
      </c>
      <c r="V1411" s="4">
        <v>0</v>
      </c>
      <c r="W1411" s="4">
        <v>0</v>
      </c>
    </row>
    <row r="1412" spans="1:23" ht="11.25" customHeight="1" x14ac:dyDescent="0.25">
      <c r="A1412" s="4" t="s">
        <v>28</v>
      </c>
      <c r="B1412" s="4" t="s">
        <v>35</v>
      </c>
      <c r="C1412" s="4" t="s">
        <v>36</v>
      </c>
      <c r="D1412" s="4" t="s">
        <v>47</v>
      </c>
      <c r="E1412" s="4" t="s">
        <v>25</v>
      </c>
      <c r="F1412" s="4" t="s">
        <v>25</v>
      </c>
      <c r="G1412" s="4" t="s">
        <v>25</v>
      </c>
      <c r="H1412" s="4" t="s">
        <v>25</v>
      </c>
      <c r="I1412" s="5">
        <v>44256</v>
      </c>
      <c r="J1412" s="6">
        <v>615</v>
      </c>
      <c r="K1412" s="6">
        <v>578.1</v>
      </c>
      <c r="L1412" s="6">
        <v>0</v>
      </c>
      <c r="M1412" s="6">
        <v>0</v>
      </c>
      <c r="N1412" s="6">
        <v>0</v>
      </c>
      <c r="O1412" s="6">
        <v>0</v>
      </c>
      <c r="P1412" s="6">
        <v>7</v>
      </c>
      <c r="Q1412" s="4" t="s">
        <v>26</v>
      </c>
      <c r="R1412" s="4">
        <v>0</v>
      </c>
      <c r="S1412" s="4" t="s">
        <v>204</v>
      </c>
      <c r="U1412" s="4">
        <v>23</v>
      </c>
      <c r="V1412" s="4">
        <v>0</v>
      </c>
      <c r="W1412" s="4">
        <v>0</v>
      </c>
    </row>
    <row r="1413" spans="1:23" ht="11.25" customHeight="1" x14ac:dyDescent="0.25">
      <c r="A1413" s="4" t="s">
        <v>21</v>
      </c>
      <c r="B1413" s="4" t="s">
        <v>35</v>
      </c>
      <c r="C1413" s="4" t="s">
        <v>36</v>
      </c>
      <c r="D1413" s="4" t="s">
        <v>47</v>
      </c>
      <c r="E1413" s="4" t="s">
        <v>25</v>
      </c>
      <c r="F1413" s="4" t="s">
        <v>25</v>
      </c>
      <c r="G1413" s="4" t="s">
        <v>25</v>
      </c>
      <c r="H1413" s="4" t="s">
        <v>25</v>
      </c>
      <c r="I1413" s="5">
        <v>44287</v>
      </c>
      <c r="J1413" s="6">
        <v>2012</v>
      </c>
      <c r="K1413" s="6">
        <v>1891.28</v>
      </c>
      <c r="L1413" s="6">
        <v>0</v>
      </c>
      <c r="M1413" s="6">
        <v>0</v>
      </c>
      <c r="N1413" s="6">
        <v>0</v>
      </c>
      <c r="O1413" s="6">
        <v>0</v>
      </c>
      <c r="P1413" s="6">
        <v>14</v>
      </c>
      <c r="Q1413" s="4" t="s">
        <v>26</v>
      </c>
      <c r="R1413" s="4">
        <v>0</v>
      </c>
      <c r="S1413" s="4" t="s">
        <v>205</v>
      </c>
      <c r="U1413" s="4">
        <v>23</v>
      </c>
      <c r="V1413" s="4">
        <v>0</v>
      </c>
      <c r="W1413" s="4">
        <v>0</v>
      </c>
    </row>
    <row r="1414" spans="1:23" ht="11.25" customHeight="1" x14ac:dyDescent="0.25">
      <c r="A1414" s="4" t="s">
        <v>28</v>
      </c>
      <c r="B1414" s="4" t="s">
        <v>35</v>
      </c>
      <c r="C1414" s="4" t="s">
        <v>36</v>
      </c>
      <c r="D1414" s="4" t="s">
        <v>47</v>
      </c>
      <c r="E1414" s="4" t="s">
        <v>25</v>
      </c>
      <c r="F1414" s="4" t="s">
        <v>25</v>
      </c>
      <c r="G1414" s="4" t="s">
        <v>25</v>
      </c>
      <c r="H1414" s="4" t="s">
        <v>25</v>
      </c>
      <c r="I1414" s="5">
        <v>44287</v>
      </c>
      <c r="J1414" s="6">
        <v>721</v>
      </c>
      <c r="K1414" s="6">
        <v>677.74</v>
      </c>
      <c r="L1414" s="6">
        <v>0</v>
      </c>
      <c r="M1414" s="6">
        <v>0</v>
      </c>
      <c r="N1414" s="6">
        <v>0</v>
      </c>
      <c r="O1414" s="6">
        <v>0</v>
      </c>
      <c r="P1414" s="6">
        <v>9</v>
      </c>
      <c r="Q1414" s="4" t="s">
        <v>26</v>
      </c>
      <c r="R1414" s="4">
        <v>0</v>
      </c>
      <c r="S1414" s="4" t="s">
        <v>205</v>
      </c>
      <c r="U1414" s="4">
        <v>23</v>
      </c>
      <c r="V1414" s="4">
        <v>0</v>
      </c>
      <c r="W1414" s="4">
        <v>0</v>
      </c>
    </row>
    <row r="1415" spans="1:23" ht="11.25" customHeight="1" x14ac:dyDescent="0.25">
      <c r="A1415" s="4" t="s">
        <v>21</v>
      </c>
      <c r="B1415" s="4" t="s">
        <v>35</v>
      </c>
      <c r="C1415" s="4" t="s">
        <v>36</v>
      </c>
      <c r="D1415" s="4" t="s">
        <v>47</v>
      </c>
      <c r="E1415" s="4" t="s">
        <v>25</v>
      </c>
      <c r="F1415" s="4" t="s">
        <v>25</v>
      </c>
      <c r="G1415" s="4" t="s">
        <v>25</v>
      </c>
      <c r="H1415" s="4" t="s">
        <v>25</v>
      </c>
      <c r="I1415" s="5">
        <v>44317</v>
      </c>
      <c r="J1415" s="6">
        <v>2765</v>
      </c>
      <c r="K1415" s="6">
        <v>2599.1</v>
      </c>
      <c r="L1415" s="6">
        <v>0</v>
      </c>
      <c r="M1415" s="6">
        <v>0</v>
      </c>
      <c r="N1415" s="6">
        <v>0</v>
      </c>
      <c r="O1415" s="6">
        <v>0</v>
      </c>
      <c r="P1415" s="6">
        <v>14</v>
      </c>
      <c r="Q1415" s="4" t="s">
        <v>26</v>
      </c>
      <c r="R1415" s="4">
        <v>0</v>
      </c>
      <c r="S1415" s="4" t="s">
        <v>206</v>
      </c>
      <c r="U1415" s="4">
        <v>23</v>
      </c>
      <c r="V1415" s="4">
        <v>0</v>
      </c>
      <c r="W1415" s="4">
        <v>0</v>
      </c>
    </row>
    <row r="1416" spans="1:23" ht="11.25" customHeight="1" x14ac:dyDescent="0.25">
      <c r="A1416" s="4" t="s">
        <v>28</v>
      </c>
      <c r="B1416" s="4" t="s">
        <v>35</v>
      </c>
      <c r="C1416" s="4" t="s">
        <v>36</v>
      </c>
      <c r="D1416" s="4" t="s">
        <v>47</v>
      </c>
      <c r="E1416" s="4" t="s">
        <v>25</v>
      </c>
      <c r="F1416" s="4" t="s">
        <v>25</v>
      </c>
      <c r="G1416" s="4" t="s">
        <v>25</v>
      </c>
      <c r="H1416" s="4" t="s">
        <v>25</v>
      </c>
      <c r="I1416" s="5">
        <v>44317</v>
      </c>
      <c r="J1416" s="6">
        <v>546</v>
      </c>
      <c r="K1416" s="6">
        <v>513.24</v>
      </c>
      <c r="L1416" s="6">
        <v>0</v>
      </c>
      <c r="M1416" s="6">
        <v>0</v>
      </c>
      <c r="N1416" s="6">
        <v>0</v>
      </c>
      <c r="O1416" s="6">
        <v>0</v>
      </c>
      <c r="P1416" s="6">
        <v>9</v>
      </c>
      <c r="Q1416" s="4" t="s">
        <v>26</v>
      </c>
      <c r="R1416" s="4">
        <v>0</v>
      </c>
      <c r="S1416" s="4" t="s">
        <v>206</v>
      </c>
      <c r="U1416" s="4">
        <v>23</v>
      </c>
      <c r="V1416" s="4">
        <v>0</v>
      </c>
      <c r="W1416" s="4">
        <v>0</v>
      </c>
    </row>
    <row r="1417" spans="1:23" ht="11.25" customHeight="1" x14ac:dyDescent="0.25">
      <c r="A1417" s="4" t="s">
        <v>21</v>
      </c>
      <c r="B1417" s="4" t="s">
        <v>35</v>
      </c>
      <c r="C1417" s="4" t="s">
        <v>36</v>
      </c>
      <c r="D1417" s="4" t="s">
        <v>47</v>
      </c>
      <c r="E1417" s="4" t="s">
        <v>25</v>
      </c>
      <c r="F1417" s="4" t="s">
        <v>25</v>
      </c>
      <c r="G1417" s="4" t="s">
        <v>25</v>
      </c>
      <c r="H1417" s="4" t="s">
        <v>25</v>
      </c>
      <c r="I1417" s="5">
        <v>44348</v>
      </c>
      <c r="J1417" s="6">
        <v>2405</v>
      </c>
      <c r="K1417" s="6">
        <v>2260.6999999999998</v>
      </c>
      <c r="L1417" s="6">
        <v>0</v>
      </c>
      <c r="M1417" s="6">
        <v>0</v>
      </c>
      <c r="N1417" s="6">
        <v>0</v>
      </c>
      <c r="O1417" s="6">
        <v>0</v>
      </c>
      <c r="P1417" s="6">
        <v>14</v>
      </c>
      <c r="Q1417" s="4" t="s">
        <v>26</v>
      </c>
      <c r="R1417" s="4">
        <v>0</v>
      </c>
      <c r="S1417" s="4" t="s">
        <v>207</v>
      </c>
      <c r="U1417" s="4">
        <v>23</v>
      </c>
      <c r="V1417" s="4">
        <v>0</v>
      </c>
      <c r="W1417" s="4">
        <v>0</v>
      </c>
    </row>
    <row r="1418" spans="1:23" ht="11.25" customHeight="1" x14ac:dyDescent="0.25">
      <c r="A1418" s="4" t="s">
        <v>28</v>
      </c>
      <c r="B1418" s="4" t="s">
        <v>35</v>
      </c>
      <c r="C1418" s="4" t="s">
        <v>36</v>
      </c>
      <c r="D1418" s="4" t="s">
        <v>47</v>
      </c>
      <c r="E1418" s="4" t="s">
        <v>25</v>
      </c>
      <c r="F1418" s="4" t="s">
        <v>25</v>
      </c>
      <c r="G1418" s="4" t="s">
        <v>25</v>
      </c>
      <c r="H1418" s="4" t="s">
        <v>25</v>
      </c>
      <c r="I1418" s="5">
        <v>44348</v>
      </c>
      <c r="J1418" s="6">
        <v>1194</v>
      </c>
      <c r="K1418" s="6">
        <v>1122.3599999999999</v>
      </c>
      <c r="L1418" s="6">
        <v>0</v>
      </c>
      <c r="M1418" s="6">
        <v>0</v>
      </c>
      <c r="N1418" s="6">
        <v>0</v>
      </c>
      <c r="O1418" s="6">
        <v>0</v>
      </c>
      <c r="P1418" s="6">
        <v>9</v>
      </c>
      <c r="Q1418" s="4" t="s">
        <v>26</v>
      </c>
      <c r="R1418" s="4">
        <v>0</v>
      </c>
      <c r="S1418" s="4" t="s">
        <v>207</v>
      </c>
      <c r="U1418" s="4">
        <v>23</v>
      </c>
      <c r="V1418" s="4">
        <v>0</v>
      </c>
      <c r="W1418" s="4">
        <v>0</v>
      </c>
    </row>
    <row r="1419" spans="1:23" ht="11.25" customHeight="1" x14ac:dyDescent="0.25">
      <c r="A1419" s="4" t="s">
        <v>21</v>
      </c>
      <c r="B1419" s="4" t="s">
        <v>35</v>
      </c>
      <c r="C1419" s="4" t="s">
        <v>36</v>
      </c>
      <c r="D1419" s="4" t="s">
        <v>47</v>
      </c>
      <c r="E1419" s="4" t="s">
        <v>25</v>
      </c>
      <c r="F1419" s="4" t="s">
        <v>25</v>
      </c>
      <c r="G1419" s="4" t="s">
        <v>25</v>
      </c>
      <c r="H1419" s="4" t="s">
        <v>25</v>
      </c>
      <c r="I1419" s="5">
        <v>44378</v>
      </c>
      <c r="J1419" s="6">
        <v>2222</v>
      </c>
      <c r="K1419" s="6">
        <v>2088.6799999999998</v>
      </c>
      <c r="L1419" s="6">
        <v>0</v>
      </c>
      <c r="M1419" s="6">
        <v>0</v>
      </c>
      <c r="N1419" s="6">
        <v>0</v>
      </c>
      <c r="O1419" s="6">
        <v>0</v>
      </c>
      <c r="P1419" s="6">
        <v>13</v>
      </c>
      <c r="Q1419" s="4" t="s">
        <v>26</v>
      </c>
      <c r="R1419" s="4">
        <v>0</v>
      </c>
      <c r="S1419" s="4" t="s">
        <v>208</v>
      </c>
      <c r="U1419" s="4">
        <v>23</v>
      </c>
      <c r="V1419" s="4">
        <v>0</v>
      </c>
      <c r="W1419" s="4">
        <v>0</v>
      </c>
    </row>
    <row r="1420" spans="1:23" ht="11.25" customHeight="1" x14ac:dyDescent="0.25">
      <c r="A1420" s="4" t="s">
        <v>28</v>
      </c>
      <c r="B1420" s="4" t="s">
        <v>35</v>
      </c>
      <c r="C1420" s="4" t="s">
        <v>36</v>
      </c>
      <c r="D1420" s="4" t="s">
        <v>47</v>
      </c>
      <c r="E1420" s="4" t="s">
        <v>25</v>
      </c>
      <c r="F1420" s="4" t="s">
        <v>25</v>
      </c>
      <c r="G1420" s="4" t="s">
        <v>25</v>
      </c>
      <c r="H1420" s="4" t="s">
        <v>25</v>
      </c>
      <c r="I1420" s="5">
        <v>44378</v>
      </c>
      <c r="J1420" s="6">
        <v>737</v>
      </c>
      <c r="K1420" s="6">
        <v>692.78</v>
      </c>
      <c r="L1420" s="6">
        <v>0</v>
      </c>
      <c r="M1420" s="6">
        <v>0</v>
      </c>
      <c r="N1420" s="6">
        <v>0</v>
      </c>
      <c r="O1420" s="6">
        <v>0</v>
      </c>
      <c r="P1420" s="6">
        <v>8</v>
      </c>
      <c r="Q1420" s="4" t="s">
        <v>26</v>
      </c>
      <c r="R1420" s="4">
        <v>0</v>
      </c>
      <c r="S1420" s="4" t="s">
        <v>208</v>
      </c>
      <c r="U1420" s="4">
        <v>23</v>
      </c>
      <c r="V1420" s="4">
        <v>0</v>
      </c>
      <c r="W1420" s="4">
        <v>0</v>
      </c>
    </row>
    <row r="1421" spans="1:23" ht="11.25" customHeight="1" x14ac:dyDescent="0.25">
      <c r="A1421" s="4" t="s">
        <v>29</v>
      </c>
      <c r="B1421" s="4" t="s">
        <v>35</v>
      </c>
      <c r="C1421" s="4" t="s">
        <v>36</v>
      </c>
      <c r="D1421" s="4" t="s">
        <v>47</v>
      </c>
      <c r="E1421" s="4" t="s">
        <v>25</v>
      </c>
      <c r="F1421" s="4" t="s">
        <v>25</v>
      </c>
      <c r="G1421" s="4" t="s">
        <v>25</v>
      </c>
      <c r="H1421" s="4" t="s">
        <v>25</v>
      </c>
      <c r="I1421" s="5">
        <v>44378</v>
      </c>
      <c r="J1421" s="6">
        <v>-353</v>
      </c>
      <c r="K1421" s="6">
        <v>-331.82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4" t="s">
        <v>26</v>
      </c>
      <c r="R1421" s="4">
        <v>0</v>
      </c>
      <c r="S1421" s="4" t="s">
        <v>208</v>
      </c>
      <c r="U1421" s="4">
        <v>23</v>
      </c>
      <c r="V1421" s="4">
        <v>0</v>
      </c>
      <c r="W1421" s="4">
        <v>0</v>
      </c>
    </row>
    <row r="1422" spans="1:23" ht="11.25" customHeight="1" x14ac:dyDescent="0.25">
      <c r="A1422" s="4" t="s">
        <v>30</v>
      </c>
      <c r="B1422" s="4" t="s">
        <v>35</v>
      </c>
      <c r="C1422" s="4" t="s">
        <v>36</v>
      </c>
      <c r="D1422" s="4" t="s">
        <v>47</v>
      </c>
      <c r="E1422" s="4" t="s">
        <v>25</v>
      </c>
      <c r="F1422" s="4" t="s">
        <v>25</v>
      </c>
      <c r="G1422" s="4" t="s">
        <v>25</v>
      </c>
      <c r="H1422" s="4" t="s">
        <v>25</v>
      </c>
      <c r="I1422" s="5">
        <v>44378</v>
      </c>
      <c r="J1422" s="6">
        <v>35</v>
      </c>
      <c r="K1422" s="6">
        <v>32.9</v>
      </c>
      <c r="L1422" s="6">
        <v>0</v>
      </c>
      <c r="M1422" s="6">
        <v>0</v>
      </c>
      <c r="N1422" s="6">
        <v>0</v>
      </c>
      <c r="O1422" s="6">
        <v>0</v>
      </c>
      <c r="P1422" s="6">
        <v>1</v>
      </c>
      <c r="Q1422" s="4" t="s">
        <v>26</v>
      </c>
      <c r="R1422" s="4">
        <v>0</v>
      </c>
      <c r="S1422" s="4" t="s">
        <v>208</v>
      </c>
      <c r="U1422" s="4">
        <v>23</v>
      </c>
      <c r="V1422" s="4">
        <v>0</v>
      </c>
      <c r="W1422" s="4">
        <v>0</v>
      </c>
    </row>
    <row r="1423" spans="1:23" ht="11.25" customHeight="1" x14ac:dyDescent="0.25">
      <c r="A1423" s="4" t="s">
        <v>21</v>
      </c>
      <c r="B1423" s="4" t="s">
        <v>35</v>
      </c>
      <c r="C1423" s="4" t="s">
        <v>36</v>
      </c>
      <c r="D1423" s="4" t="s">
        <v>47</v>
      </c>
      <c r="E1423" s="4" t="s">
        <v>25</v>
      </c>
      <c r="F1423" s="4" t="s">
        <v>25</v>
      </c>
      <c r="G1423" s="4" t="s">
        <v>25</v>
      </c>
      <c r="H1423" s="4" t="s">
        <v>25</v>
      </c>
      <c r="I1423" s="5">
        <v>44409</v>
      </c>
      <c r="J1423" s="6">
        <v>2243</v>
      </c>
      <c r="K1423" s="6">
        <v>2108.42</v>
      </c>
      <c r="L1423" s="6">
        <v>0</v>
      </c>
      <c r="M1423" s="6">
        <v>0</v>
      </c>
      <c r="N1423" s="6">
        <v>0</v>
      </c>
      <c r="O1423" s="6">
        <v>0</v>
      </c>
      <c r="P1423" s="6">
        <v>12</v>
      </c>
      <c r="Q1423" s="4" t="s">
        <v>26</v>
      </c>
      <c r="R1423" s="4">
        <v>0</v>
      </c>
      <c r="S1423" s="4" t="s">
        <v>209</v>
      </c>
      <c r="U1423" s="4">
        <v>23</v>
      </c>
      <c r="V1423" s="4">
        <v>0</v>
      </c>
      <c r="W1423" s="4">
        <v>0</v>
      </c>
    </row>
    <row r="1424" spans="1:23" ht="11.25" customHeight="1" x14ac:dyDescent="0.25">
      <c r="A1424" s="4" t="s">
        <v>28</v>
      </c>
      <c r="B1424" s="4" t="s">
        <v>35</v>
      </c>
      <c r="C1424" s="4" t="s">
        <v>36</v>
      </c>
      <c r="D1424" s="4" t="s">
        <v>47</v>
      </c>
      <c r="E1424" s="4" t="s">
        <v>25</v>
      </c>
      <c r="F1424" s="4" t="s">
        <v>25</v>
      </c>
      <c r="G1424" s="4" t="s">
        <v>25</v>
      </c>
      <c r="H1424" s="4" t="s">
        <v>25</v>
      </c>
      <c r="I1424" s="5">
        <v>44409</v>
      </c>
      <c r="J1424" s="6">
        <v>761</v>
      </c>
      <c r="K1424" s="6">
        <v>715.34</v>
      </c>
      <c r="L1424" s="6">
        <v>0</v>
      </c>
      <c r="M1424" s="6">
        <v>0</v>
      </c>
      <c r="N1424" s="6">
        <v>0</v>
      </c>
      <c r="O1424" s="6">
        <v>0</v>
      </c>
      <c r="P1424" s="6">
        <v>8</v>
      </c>
      <c r="Q1424" s="4" t="s">
        <v>26</v>
      </c>
      <c r="R1424" s="4">
        <v>0</v>
      </c>
      <c r="S1424" s="4" t="s">
        <v>209</v>
      </c>
      <c r="U1424" s="4">
        <v>23</v>
      </c>
      <c r="V1424" s="4">
        <v>0</v>
      </c>
      <c r="W1424" s="4">
        <v>0</v>
      </c>
    </row>
    <row r="1425" spans="1:23" ht="11.25" customHeight="1" x14ac:dyDescent="0.25">
      <c r="A1425" s="4" t="s">
        <v>30</v>
      </c>
      <c r="B1425" s="4" t="s">
        <v>35</v>
      </c>
      <c r="C1425" s="4" t="s">
        <v>36</v>
      </c>
      <c r="D1425" s="4" t="s">
        <v>47</v>
      </c>
      <c r="E1425" s="4" t="s">
        <v>25</v>
      </c>
      <c r="F1425" s="4" t="s">
        <v>25</v>
      </c>
      <c r="G1425" s="4" t="s">
        <v>25</v>
      </c>
      <c r="H1425" s="4" t="s">
        <v>25</v>
      </c>
      <c r="I1425" s="5">
        <v>44409</v>
      </c>
      <c r="J1425" s="6">
        <v>34</v>
      </c>
      <c r="K1425" s="6">
        <v>31.96</v>
      </c>
      <c r="L1425" s="6">
        <v>0</v>
      </c>
      <c r="M1425" s="6">
        <v>0</v>
      </c>
      <c r="N1425" s="6">
        <v>0</v>
      </c>
      <c r="O1425" s="6">
        <v>0</v>
      </c>
      <c r="P1425" s="6">
        <v>1</v>
      </c>
      <c r="Q1425" s="4" t="s">
        <v>26</v>
      </c>
      <c r="R1425" s="4">
        <v>0</v>
      </c>
      <c r="S1425" s="4" t="s">
        <v>209</v>
      </c>
      <c r="U1425" s="4">
        <v>23</v>
      </c>
      <c r="V1425" s="4">
        <v>0</v>
      </c>
      <c r="W1425" s="4">
        <v>0</v>
      </c>
    </row>
    <row r="1426" spans="1:23" ht="11.25" customHeight="1" x14ac:dyDescent="0.25">
      <c r="A1426" s="4" t="s">
        <v>21</v>
      </c>
      <c r="B1426" s="4" t="s">
        <v>35</v>
      </c>
      <c r="C1426" s="4" t="s">
        <v>36</v>
      </c>
      <c r="D1426" s="4" t="s">
        <v>47</v>
      </c>
      <c r="E1426" s="4" t="s">
        <v>25</v>
      </c>
      <c r="F1426" s="4" t="s">
        <v>25</v>
      </c>
      <c r="G1426" s="4" t="s">
        <v>25</v>
      </c>
      <c r="H1426" s="4" t="s">
        <v>25</v>
      </c>
      <c r="I1426" s="5">
        <v>44440</v>
      </c>
      <c r="J1426" s="6">
        <v>2514</v>
      </c>
      <c r="K1426" s="6">
        <v>2363.16</v>
      </c>
      <c r="L1426" s="6">
        <v>0</v>
      </c>
      <c r="M1426" s="6">
        <v>0</v>
      </c>
      <c r="N1426" s="6">
        <v>0</v>
      </c>
      <c r="O1426" s="6">
        <v>0</v>
      </c>
      <c r="P1426" s="6">
        <v>12</v>
      </c>
      <c r="Q1426" s="4" t="s">
        <v>26</v>
      </c>
      <c r="R1426" s="4">
        <v>0</v>
      </c>
      <c r="S1426" s="4" t="s">
        <v>210</v>
      </c>
      <c r="U1426" s="4">
        <v>23</v>
      </c>
      <c r="V1426" s="4">
        <v>0</v>
      </c>
      <c r="W1426" s="4">
        <v>0</v>
      </c>
    </row>
    <row r="1427" spans="1:23" ht="11.25" customHeight="1" x14ac:dyDescent="0.25">
      <c r="A1427" s="4" t="s">
        <v>28</v>
      </c>
      <c r="B1427" s="4" t="s">
        <v>35</v>
      </c>
      <c r="C1427" s="4" t="s">
        <v>36</v>
      </c>
      <c r="D1427" s="4" t="s">
        <v>47</v>
      </c>
      <c r="E1427" s="4" t="s">
        <v>25</v>
      </c>
      <c r="F1427" s="4" t="s">
        <v>25</v>
      </c>
      <c r="G1427" s="4" t="s">
        <v>25</v>
      </c>
      <c r="H1427" s="4" t="s">
        <v>25</v>
      </c>
      <c r="I1427" s="5">
        <v>44440</v>
      </c>
      <c r="J1427" s="6">
        <v>750</v>
      </c>
      <c r="K1427" s="6">
        <v>705</v>
      </c>
      <c r="L1427" s="6">
        <v>0</v>
      </c>
      <c r="M1427" s="6">
        <v>0</v>
      </c>
      <c r="N1427" s="6">
        <v>0</v>
      </c>
      <c r="O1427" s="6">
        <v>0</v>
      </c>
      <c r="P1427" s="6">
        <v>7</v>
      </c>
      <c r="Q1427" s="4" t="s">
        <v>26</v>
      </c>
      <c r="R1427" s="4">
        <v>0</v>
      </c>
      <c r="S1427" s="4" t="s">
        <v>210</v>
      </c>
      <c r="U1427" s="4">
        <v>23</v>
      </c>
      <c r="V1427" s="4">
        <v>0</v>
      </c>
      <c r="W1427" s="4">
        <v>0</v>
      </c>
    </row>
    <row r="1428" spans="1:23" ht="11.25" customHeight="1" x14ac:dyDescent="0.25">
      <c r="A1428" s="4" t="s">
        <v>30</v>
      </c>
      <c r="B1428" s="4" t="s">
        <v>35</v>
      </c>
      <c r="C1428" s="4" t="s">
        <v>36</v>
      </c>
      <c r="D1428" s="4" t="s">
        <v>47</v>
      </c>
      <c r="E1428" s="4" t="s">
        <v>25</v>
      </c>
      <c r="F1428" s="4" t="s">
        <v>25</v>
      </c>
      <c r="G1428" s="4" t="s">
        <v>25</v>
      </c>
      <c r="H1428" s="4" t="s">
        <v>25</v>
      </c>
      <c r="I1428" s="5">
        <v>44440</v>
      </c>
      <c r="J1428" s="6">
        <v>98</v>
      </c>
      <c r="K1428" s="6">
        <v>92.12</v>
      </c>
      <c r="L1428" s="6">
        <v>0</v>
      </c>
      <c r="M1428" s="6">
        <v>0</v>
      </c>
      <c r="N1428" s="6">
        <v>0</v>
      </c>
      <c r="O1428" s="6">
        <v>0</v>
      </c>
      <c r="P1428" s="6">
        <v>1</v>
      </c>
      <c r="Q1428" s="4" t="s">
        <v>26</v>
      </c>
      <c r="R1428" s="4">
        <v>0</v>
      </c>
      <c r="S1428" s="4" t="s">
        <v>210</v>
      </c>
      <c r="U1428" s="4">
        <v>23</v>
      </c>
      <c r="V1428" s="4">
        <v>0</v>
      </c>
      <c r="W1428" s="4">
        <v>0</v>
      </c>
    </row>
    <row r="1429" spans="1:23" ht="11.25" customHeight="1" x14ac:dyDescent="0.25">
      <c r="A1429" s="4" t="s">
        <v>59</v>
      </c>
      <c r="B1429" s="4" t="s">
        <v>35</v>
      </c>
      <c r="C1429" s="4" t="s">
        <v>36</v>
      </c>
      <c r="D1429" s="4" t="s">
        <v>47</v>
      </c>
      <c r="E1429" s="4" t="s">
        <v>25</v>
      </c>
      <c r="F1429" s="4" t="s">
        <v>25</v>
      </c>
      <c r="G1429" s="4" t="s">
        <v>25</v>
      </c>
      <c r="H1429" s="4" t="s">
        <v>25</v>
      </c>
      <c r="I1429" s="5">
        <v>44470</v>
      </c>
      <c r="J1429" s="6">
        <v>2514</v>
      </c>
      <c r="K1429" s="6">
        <v>2363.16</v>
      </c>
      <c r="L1429" s="6">
        <v>0</v>
      </c>
      <c r="M1429" s="6">
        <v>0</v>
      </c>
      <c r="N1429" s="6">
        <v>0</v>
      </c>
      <c r="O1429" s="6">
        <v>0</v>
      </c>
      <c r="P1429" s="6">
        <v>12</v>
      </c>
      <c r="Q1429" s="4" t="s">
        <v>26</v>
      </c>
      <c r="R1429" s="4">
        <v>0</v>
      </c>
      <c r="S1429" s="4" t="s">
        <v>211</v>
      </c>
      <c r="U1429" s="4">
        <v>23</v>
      </c>
      <c r="V1429" s="4">
        <v>0</v>
      </c>
      <c r="W1429" s="4">
        <v>0</v>
      </c>
    </row>
    <row r="1430" spans="1:23" ht="11.25" customHeight="1" x14ac:dyDescent="0.25">
      <c r="A1430" s="4" t="s">
        <v>59</v>
      </c>
      <c r="B1430" s="4" t="s">
        <v>35</v>
      </c>
      <c r="C1430" s="4" t="s">
        <v>36</v>
      </c>
      <c r="D1430" s="4" t="s">
        <v>47</v>
      </c>
      <c r="E1430" s="4" t="s">
        <v>25</v>
      </c>
      <c r="F1430" s="4" t="s">
        <v>25</v>
      </c>
      <c r="G1430" s="4" t="s">
        <v>25</v>
      </c>
      <c r="H1430" s="4" t="s">
        <v>25</v>
      </c>
      <c r="I1430" s="5">
        <v>44470</v>
      </c>
      <c r="J1430" s="6">
        <v>750</v>
      </c>
      <c r="K1430" s="6">
        <v>705</v>
      </c>
      <c r="L1430" s="6">
        <v>0</v>
      </c>
      <c r="M1430" s="6">
        <v>0</v>
      </c>
      <c r="N1430" s="6">
        <v>0</v>
      </c>
      <c r="O1430" s="6">
        <v>0</v>
      </c>
      <c r="P1430" s="6">
        <v>7</v>
      </c>
      <c r="Q1430" s="4" t="s">
        <v>26</v>
      </c>
      <c r="R1430" s="4">
        <v>0</v>
      </c>
      <c r="S1430" s="4" t="s">
        <v>211</v>
      </c>
      <c r="U1430" s="4">
        <v>23</v>
      </c>
      <c r="V1430" s="4">
        <v>0</v>
      </c>
      <c r="W1430" s="4">
        <v>0</v>
      </c>
    </row>
    <row r="1431" spans="1:23" ht="11.25" customHeight="1" x14ac:dyDescent="0.25">
      <c r="A1431" s="4" t="s">
        <v>59</v>
      </c>
      <c r="B1431" s="4" t="s">
        <v>35</v>
      </c>
      <c r="C1431" s="4" t="s">
        <v>36</v>
      </c>
      <c r="D1431" s="4" t="s">
        <v>47</v>
      </c>
      <c r="E1431" s="4" t="s">
        <v>25</v>
      </c>
      <c r="F1431" s="4" t="s">
        <v>25</v>
      </c>
      <c r="G1431" s="4" t="s">
        <v>25</v>
      </c>
      <c r="H1431" s="4" t="s">
        <v>25</v>
      </c>
      <c r="I1431" s="5">
        <v>44470</v>
      </c>
      <c r="J1431" s="6">
        <v>98</v>
      </c>
      <c r="K1431" s="6">
        <v>92.12</v>
      </c>
      <c r="L1431" s="6">
        <v>0</v>
      </c>
      <c r="M1431" s="6">
        <v>0</v>
      </c>
      <c r="N1431" s="6">
        <v>0</v>
      </c>
      <c r="O1431" s="6">
        <v>0</v>
      </c>
      <c r="P1431" s="6">
        <v>1</v>
      </c>
      <c r="Q1431" s="4" t="s">
        <v>26</v>
      </c>
      <c r="R1431" s="4">
        <v>0</v>
      </c>
      <c r="S1431" s="4" t="s">
        <v>211</v>
      </c>
      <c r="U1431" s="4">
        <v>23</v>
      </c>
      <c r="V1431" s="4">
        <v>0</v>
      </c>
      <c r="W1431" s="4">
        <v>0</v>
      </c>
    </row>
    <row r="1432" spans="1:23" ht="11.25" customHeight="1" x14ac:dyDescent="0.25">
      <c r="A1432" s="4" t="s">
        <v>21</v>
      </c>
      <c r="B1432" s="4" t="s">
        <v>35</v>
      </c>
      <c r="C1432" s="4" t="s">
        <v>36</v>
      </c>
      <c r="D1432" s="4" t="s">
        <v>47</v>
      </c>
      <c r="E1432" s="4" t="s">
        <v>25</v>
      </c>
      <c r="F1432" s="4" t="s">
        <v>25</v>
      </c>
      <c r="G1432" s="4" t="s">
        <v>25</v>
      </c>
      <c r="H1432" s="4" t="s">
        <v>37</v>
      </c>
      <c r="I1432" s="5">
        <v>44136</v>
      </c>
      <c r="J1432" s="6">
        <v>0</v>
      </c>
      <c r="K1432" s="6">
        <v>0</v>
      </c>
      <c r="L1432" s="6">
        <v>48.37</v>
      </c>
      <c r="M1432" s="6">
        <v>45.467799999999997</v>
      </c>
      <c r="N1432" s="6">
        <v>48.37</v>
      </c>
      <c r="O1432" s="6">
        <v>45.467799999999997</v>
      </c>
      <c r="P1432" s="6">
        <v>0</v>
      </c>
      <c r="Q1432" s="4" t="s">
        <v>26</v>
      </c>
      <c r="R1432" s="4">
        <v>0</v>
      </c>
      <c r="S1432" s="4" t="s">
        <v>212</v>
      </c>
      <c r="T1432" s="4" t="s">
        <v>445</v>
      </c>
      <c r="U1432" s="4">
        <v>0</v>
      </c>
      <c r="V1432" s="4">
        <v>24</v>
      </c>
      <c r="W1432" s="4">
        <v>66</v>
      </c>
    </row>
    <row r="1433" spans="1:23" ht="11.25" customHeight="1" x14ac:dyDescent="0.25">
      <c r="A1433" s="4" t="s">
        <v>28</v>
      </c>
      <c r="B1433" s="4" t="s">
        <v>35</v>
      </c>
      <c r="C1433" s="4" t="s">
        <v>36</v>
      </c>
      <c r="D1433" s="4" t="s">
        <v>47</v>
      </c>
      <c r="E1433" s="4" t="s">
        <v>25</v>
      </c>
      <c r="F1433" s="4" t="s">
        <v>25</v>
      </c>
      <c r="G1433" s="4" t="s">
        <v>25</v>
      </c>
      <c r="H1433" s="4" t="s">
        <v>37</v>
      </c>
      <c r="I1433" s="5">
        <v>44136</v>
      </c>
      <c r="J1433" s="6">
        <v>0</v>
      </c>
      <c r="K1433" s="6">
        <v>0</v>
      </c>
      <c r="L1433" s="6">
        <v>8.5139999999999993</v>
      </c>
      <c r="M1433" s="6">
        <v>8.0031599999999994</v>
      </c>
      <c r="N1433" s="6">
        <v>8.5139999999999993</v>
      </c>
      <c r="O1433" s="6">
        <v>8.0031599999999994</v>
      </c>
      <c r="P1433" s="6">
        <v>0</v>
      </c>
      <c r="Q1433" s="4" t="s">
        <v>26</v>
      </c>
      <c r="R1433" s="4">
        <v>0</v>
      </c>
      <c r="S1433" s="4" t="s">
        <v>212</v>
      </c>
      <c r="T1433" s="4" t="s">
        <v>445</v>
      </c>
      <c r="U1433" s="4">
        <v>0</v>
      </c>
      <c r="V1433" s="4">
        <v>24</v>
      </c>
      <c r="W1433" s="4">
        <v>66</v>
      </c>
    </row>
    <row r="1434" spans="1:23" ht="11.25" customHeight="1" x14ac:dyDescent="0.25">
      <c r="A1434" s="4" t="s">
        <v>21</v>
      </c>
      <c r="B1434" s="4" t="s">
        <v>35</v>
      </c>
      <c r="C1434" s="4" t="s">
        <v>36</v>
      </c>
      <c r="D1434" s="4" t="s">
        <v>47</v>
      </c>
      <c r="E1434" s="4" t="s">
        <v>25</v>
      </c>
      <c r="F1434" s="4" t="s">
        <v>25</v>
      </c>
      <c r="G1434" s="4" t="s">
        <v>25</v>
      </c>
      <c r="H1434" s="4" t="s">
        <v>37</v>
      </c>
      <c r="I1434" s="5">
        <v>44166</v>
      </c>
      <c r="J1434" s="6">
        <v>0</v>
      </c>
      <c r="K1434" s="6">
        <v>0</v>
      </c>
      <c r="L1434" s="6">
        <v>48.774000000000001</v>
      </c>
      <c r="M1434" s="6">
        <v>45.847560000000001</v>
      </c>
      <c r="N1434" s="6">
        <v>48.774000000000001</v>
      </c>
      <c r="O1434" s="6">
        <v>45.847560000000001</v>
      </c>
      <c r="P1434" s="6">
        <v>0</v>
      </c>
      <c r="Q1434" s="4" t="s">
        <v>26</v>
      </c>
      <c r="R1434" s="4">
        <v>0</v>
      </c>
      <c r="S1434" s="4" t="s">
        <v>213</v>
      </c>
      <c r="T1434" s="4" t="s">
        <v>446</v>
      </c>
      <c r="U1434" s="4">
        <v>0</v>
      </c>
      <c r="V1434" s="4">
        <v>24</v>
      </c>
      <c r="W1434" s="4">
        <v>66</v>
      </c>
    </row>
    <row r="1435" spans="1:23" ht="11.25" customHeight="1" x14ac:dyDescent="0.25">
      <c r="A1435" s="4" t="s">
        <v>28</v>
      </c>
      <c r="B1435" s="4" t="s">
        <v>35</v>
      </c>
      <c r="C1435" s="4" t="s">
        <v>36</v>
      </c>
      <c r="D1435" s="4" t="s">
        <v>47</v>
      </c>
      <c r="E1435" s="4" t="s">
        <v>25</v>
      </c>
      <c r="F1435" s="4" t="s">
        <v>25</v>
      </c>
      <c r="G1435" s="4" t="s">
        <v>25</v>
      </c>
      <c r="H1435" s="4" t="s">
        <v>37</v>
      </c>
      <c r="I1435" s="5">
        <v>44166</v>
      </c>
      <c r="J1435" s="6">
        <v>0</v>
      </c>
      <c r="K1435" s="6">
        <v>0</v>
      </c>
      <c r="L1435" s="6">
        <v>8.6110000000000007</v>
      </c>
      <c r="M1435" s="6">
        <v>8.0943400000000008</v>
      </c>
      <c r="N1435" s="6">
        <v>8.6110000000000007</v>
      </c>
      <c r="O1435" s="6">
        <v>8.0943400000000008</v>
      </c>
      <c r="P1435" s="6">
        <v>0</v>
      </c>
      <c r="Q1435" s="4" t="s">
        <v>26</v>
      </c>
      <c r="R1435" s="4">
        <v>0</v>
      </c>
      <c r="S1435" s="4" t="s">
        <v>213</v>
      </c>
      <c r="T1435" s="4" t="s">
        <v>446</v>
      </c>
      <c r="U1435" s="4">
        <v>0</v>
      </c>
      <c r="V1435" s="4">
        <v>24</v>
      </c>
      <c r="W1435" s="4">
        <v>66</v>
      </c>
    </row>
    <row r="1436" spans="1:23" ht="11.25" customHeight="1" x14ac:dyDescent="0.25">
      <c r="A1436" s="4" t="s">
        <v>21</v>
      </c>
      <c r="B1436" s="4" t="s">
        <v>35</v>
      </c>
      <c r="C1436" s="4" t="s">
        <v>36</v>
      </c>
      <c r="D1436" s="4" t="s">
        <v>47</v>
      </c>
      <c r="E1436" s="4" t="s">
        <v>25</v>
      </c>
      <c r="F1436" s="4" t="s">
        <v>25</v>
      </c>
      <c r="G1436" s="4" t="s">
        <v>25</v>
      </c>
      <c r="H1436" s="4" t="s">
        <v>37</v>
      </c>
      <c r="I1436" s="5">
        <v>44197</v>
      </c>
      <c r="J1436" s="6">
        <v>0</v>
      </c>
      <c r="K1436" s="6">
        <v>0</v>
      </c>
      <c r="L1436" s="6">
        <v>45.341000000000001</v>
      </c>
      <c r="M1436" s="6">
        <v>42.620539999999998</v>
      </c>
      <c r="N1436" s="6">
        <v>45.341000000000001</v>
      </c>
      <c r="O1436" s="6">
        <v>42.620539999999998</v>
      </c>
      <c r="P1436" s="6">
        <v>0</v>
      </c>
      <c r="Q1436" s="4" t="s">
        <v>26</v>
      </c>
      <c r="R1436" s="4">
        <v>0</v>
      </c>
      <c r="S1436" s="4" t="s">
        <v>214</v>
      </c>
      <c r="T1436" s="4" t="s">
        <v>447</v>
      </c>
      <c r="U1436" s="4">
        <v>0</v>
      </c>
      <c r="V1436" s="4">
        <v>24</v>
      </c>
      <c r="W1436" s="4">
        <v>66</v>
      </c>
    </row>
    <row r="1437" spans="1:23" ht="11.25" customHeight="1" x14ac:dyDescent="0.25">
      <c r="A1437" s="4" t="s">
        <v>28</v>
      </c>
      <c r="B1437" s="4" t="s">
        <v>35</v>
      </c>
      <c r="C1437" s="4" t="s">
        <v>36</v>
      </c>
      <c r="D1437" s="4" t="s">
        <v>47</v>
      </c>
      <c r="E1437" s="4" t="s">
        <v>25</v>
      </c>
      <c r="F1437" s="4" t="s">
        <v>25</v>
      </c>
      <c r="G1437" s="4" t="s">
        <v>25</v>
      </c>
      <c r="H1437" s="4" t="s">
        <v>37</v>
      </c>
      <c r="I1437" s="5">
        <v>44197</v>
      </c>
      <c r="J1437" s="6">
        <v>0</v>
      </c>
      <c r="K1437" s="6">
        <v>0</v>
      </c>
      <c r="L1437" s="6">
        <v>9.6530000000000005</v>
      </c>
      <c r="M1437" s="6">
        <v>9.0738199999999996</v>
      </c>
      <c r="N1437" s="6">
        <v>9.6530000000000005</v>
      </c>
      <c r="O1437" s="6">
        <v>9.0738199999999996</v>
      </c>
      <c r="P1437" s="6">
        <v>0</v>
      </c>
      <c r="Q1437" s="4" t="s">
        <v>26</v>
      </c>
      <c r="R1437" s="4">
        <v>0</v>
      </c>
      <c r="S1437" s="4" t="s">
        <v>214</v>
      </c>
      <c r="T1437" s="4" t="s">
        <v>447</v>
      </c>
      <c r="U1437" s="4">
        <v>0</v>
      </c>
      <c r="V1437" s="4">
        <v>24</v>
      </c>
      <c r="W1437" s="4">
        <v>66</v>
      </c>
    </row>
    <row r="1438" spans="1:23" ht="11.25" customHeight="1" x14ac:dyDescent="0.25">
      <c r="A1438" s="4" t="s">
        <v>21</v>
      </c>
      <c r="B1438" s="4" t="s">
        <v>35</v>
      </c>
      <c r="C1438" s="4" t="s">
        <v>36</v>
      </c>
      <c r="D1438" s="4" t="s">
        <v>47</v>
      </c>
      <c r="E1438" s="4" t="s">
        <v>25</v>
      </c>
      <c r="F1438" s="4" t="s">
        <v>25</v>
      </c>
      <c r="G1438" s="4" t="s">
        <v>25</v>
      </c>
      <c r="H1438" s="4" t="s">
        <v>37</v>
      </c>
      <c r="I1438" s="5">
        <v>44228</v>
      </c>
      <c r="J1438" s="6">
        <v>0</v>
      </c>
      <c r="K1438" s="6">
        <v>0</v>
      </c>
      <c r="L1438" s="6">
        <v>40.584000000000003</v>
      </c>
      <c r="M1438" s="6">
        <v>38.148960000000002</v>
      </c>
      <c r="N1438" s="6">
        <v>40.584000000000003</v>
      </c>
      <c r="O1438" s="6">
        <v>38.148960000000002</v>
      </c>
      <c r="P1438" s="6">
        <v>0</v>
      </c>
      <c r="Q1438" s="4" t="s">
        <v>26</v>
      </c>
      <c r="R1438" s="4">
        <v>0</v>
      </c>
      <c r="S1438" s="4" t="s">
        <v>215</v>
      </c>
      <c r="T1438" s="4" t="s">
        <v>448</v>
      </c>
      <c r="U1438" s="4">
        <v>0</v>
      </c>
      <c r="V1438" s="4">
        <v>24</v>
      </c>
      <c r="W1438" s="4">
        <v>66</v>
      </c>
    </row>
    <row r="1439" spans="1:23" ht="11.25" customHeight="1" x14ac:dyDescent="0.25">
      <c r="A1439" s="4" t="s">
        <v>28</v>
      </c>
      <c r="B1439" s="4" t="s">
        <v>35</v>
      </c>
      <c r="C1439" s="4" t="s">
        <v>36</v>
      </c>
      <c r="D1439" s="4" t="s">
        <v>47</v>
      </c>
      <c r="E1439" s="4" t="s">
        <v>25</v>
      </c>
      <c r="F1439" s="4" t="s">
        <v>25</v>
      </c>
      <c r="G1439" s="4" t="s">
        <v>25</v>
      </c>
      <c r="H1439" s="4" t="s">
        <v>37</v>
      </c>
      <c r="I1439" s="5">
        <v>44228</v>
      </c>
      <c r="J1439" s="6">
        <v>0</v>
      </c>
      <c r="K1439" s="6">
        <v>0</v>
      </c>
      <c r="L1439" s="6">
        <v>9.6539999999999999</v>
      </c>
      <c r="M1439" s="6">
        <v>9.0747599999999995</v>
      </c>
      <c r="N1439" s="6">
        <v>9.6539999999999999</v>
      </c>
      <c r="O1439" s="6">
        <v>9.0747599999999995</v>
      </c>
      <c r="P1439" s="6">
        <v>0</v>
      </c>
      <c r="Q1439" s="4" t="s">
        <v>26</v>
      </c>
      <c r="R1439" s="4">
        <v>0</v>
      </c>
      <c r="S1439" s="4" t="s">
        <v>215</v>
      </c>
      <c r="T1439" s="4" t="s">
        <v>448</v>
      </c>
      <c r="U1439" s="4">
        <v>0</v>
      </c>
      <c r="V1439" s="4">
        <v>24</v>
      </c>
      <c r="W1439" s="4">
        <v>66</v>
      </c>
    </row>
    <row r="1440" spans="1:23" ht="11.25" customHeight="1" x14ac:dyDescent="0.25">
      <c r="A1440" s="4" t="s">
        <v>21</v>
      </c>
      <c r="B1440" s="4" t="s">
        <v>35</v>
      </c>
      <c r="C1440" s="4" t="s">
        <v>36</v>
      </c>
      <c r="D1440" s="4" t="s">
        <v>47</v>
      </c>
      <c r="E1440" s="4" t="s">
        <v>25</v>
      </c>
      <c r="F1440" s="4" t="s">
        <v>25</v>
      </c>
      <c r="G1440" s="4" t="s">
        <v>25</v>
      </c>
      <c r="H1440" s="4" t="s">
        <v>37</v>
      </c>
      <c r="I1440" s="5">
        <v>44256</v>
      </c>
      <c r="J1440" s="6">
        <v>0</v>
      </c>
      <c r="K1440" s="6">
        <v>0</v>
      </c>
      <c r="L1440" s="6">
        <v>58.384</v>
      </c>
      <c r="M1440" s="6">
        <v>54.880959999999995</v>
      </c>
      <c r="N1440" s="6">
        <v>58.384</v>
      </c>
      <c r="O1440" s="6">
        <v>54.880959999999995</v>
      </c>
      <c r="P1440" s="6">
        <v>0</v>
      </c>
      <c r="Q1440" s="4" t="s">
        <v>26</v>
      </c>
      <c r="R1440" s="4">
        <v>0</v>
      </c>
      <c r="S1440" s="4" t="s">
        <v>216</v>
      </c>
      <c r="T1440" s="4" t="s">
        <v>449</v>
      </c>
      <c r="U1440" s="4">
        <v>0</v>
      </c>
      <c r="V1440" s="4">
        <v>24</v>
      </c>
      <c r="W1440" s="4">
        <v>66</v>
      </c>
    </row>
    <row r="1441" spans="1:23" ht="11.25" customHeight="1" x14ac:dyDescent="0.25">
      <c r="A1441" s="4" t="s">
        <v>28</v>
      </c>
      <c r="B1441" s="4" t="s">
        <v>35</v>
      </c>
      <c r="C1441" s="4" t="s">
        <v>36</v>
      </c>
      <c r="D1441" s="4" t="s">
        <v>47</v>
      </c>
      <c r="E1441" s="4" t="s">
        <v>25</v>
      </c>
      <c r="F1441" s="4" t="s">
        <v>25</v>
      </c>
      <c r="G1441" s="4" t="s">
        <v>25</v>
      </c>
      <c r="H1441" s="4" t="s">
        <v>37</v>
      </c>
      <c r="I1441" s="5">
        <v>44256</v>
      </c>
      <c r="J1441" s="6">
        <v>0</v>
      </c>
      <c r="K1441" s="6">
        <v>0</v>
      </c>
      <c r="L1441" s="6">
        <v>9.3800000000000008</v>
      </c>
      <c r="M1441" s="6">
        <v>8.8171999999999997</v>
      </c>
      <c r="N1441" s="6">
        <v>9.3800000000000008</v>
      </c>
      <c r="O1441" s="6">
        <v>8.8171999999999997</v>
      </c>
      <c r="P1441" s="6">
        <v>0</v>
      </c>
      <c r="Q1441" s="4" t="s">
        <v>26</v>
      </c>
      <c r="R1441" s="4">
        <v>0</v>
      </c>
      <c r="S1441" s="4" t="s">
        <v>216</v>
      </c>
      <c r="T1441" s="4" t="s">
        <v>449</v>
      </c>
      <c r="U1441" s="4">
        <v>0</v>
      </c>
      <c r="V1441" s="4">
        <v>24</v>
      </c>
      <c r="W1441" s="4">
        <v>66</v>
      </c>
    </row>
    <row r="1442" spans="1:23" ht="11.25" customHeight="1" x14ac:dyDescent="0.25">
      <c r="A1442" s="4" t="s">
        <v>21</v>
      </c>
      <c r="B1442" s="4" t="s">
        <v>35</v>
      </c>
      <c r="C1442" s="4" t="s">
        <v>36</v>
      </c>
      <c r="D1442" s="4" t="s">
        <v>47</v>
      </c>
      <c r="E1442" s="4" t="s">
        <v>25</v>
      </c>
      <c r="F1442" s="4" t="s">
        <v>25</v>
      </c>
      <c r="G1442" s="4" t="s">
        <v>25</v>
      </c>
      <c r="H1442" s="4" t="s">
        <v>37</v>
      </c>
      <c r="I1442" s="5">
        <v>44287</v>
      </c>
      <c r="J1442" s="6">
        <v>0</v>
      </c>
      <c r="K1442" s="6">
        <v>0</v>
      </c>
      <c r="L1442" s="6">
        <v>47.512999999999998</v>
      </c>
      <c r="M1442" s="6">
        <v>44.662219999999998</v>
      </c>
      <c r="N1442" s="6">
        <v>47.512999999999998</v>
      </c>
      <c r="O1442" s="6">
        <v>44.662219999999998</v>
      </c>
      <c r="P1442" s="6">
        <v>0</v>
      </c>
      <c r="Q1442" s="4" t="s">
        <v>26</v>
      </c>
      <c r="R1442" s="4">
        <v>0</v>
      </c>
      <c r="S1442" s="4" t="s">
        <v>217</v>
      </c>
      <c r="T1442" s="4" t="s">
        <v>450</v>
      </c>
      <c r="U1442" s="4">
        <v>0</v>
      </c>
      <c r="V1442" s="4">
        <v>24</v>
      </c>
      <c r="W1442" s="4">
        <v>66</v>
      </c>
    </row>
    <row r="1443" spans="1:23" ht="11.25" customHeight="1" x14ac:dyDescent="0.25">
      <c r="A1443" s="4" t="s">
        <v>28</v>
      </c>
      <c r="B1443" s="4" t="s">
        <v>35</v>
      </c>
      <c r="C1443" s="4" t="s">
        <v>36</v>
      </c>
      <c r="D1443" s="4" t="s">
        <v>47</v>
      </c>
      <c r="E1443" s="4" t="s">
        <v>25</v>
      </c>
      <c r="F1443" s="4" t="s">
        <v>25</v>
      </c>
      <c r="G1443" s="4" t="s">
        <v>25</v>
      </c>
      <c r="H1443" s="4" t="s">
        <v>37</v>
      </c>
      <c r="I1443" s="5">
        <v>44287</v>
      </c>
      <c r="J1443" s="6">
        <v>0</v>
      </c>
      <c r="K1443" s="6">
        <v>0</v>
      </c>
      <c r="L1443" s="6">
        <v>9.5039999999999996</v>
      </c>
      <c r="M1443" s="6">
        <v>8.9337599999999995</v>
      </c>
      <c r="N1443" s="6">
        <v>9.5039999999999996</v>
      </c>
      <c r="O1443" s="6">
        <v>8.9337599999999995</v>
      </c>
      <c r="P1443" s="6">
        <v>0</v>
      </c>
      <c r="Q1443" s="4" t="s">
        <v>26</v>
      </c>
      <c r="R1443" s="4">
        <v>0</v>
      </c>
      <c r="S1443" s="4" t="s">
        <v>217</v>
      </c>
      <c r="T1443" s="4" t="s">
        <v>450</v>
      </c>
      <c r="U1443" s="4">
        <v>0</v>
      </c>
      <c r="V1443" s="4">
        <v>24</v>
      </c>
      <c r="W1443" s="4">
        <v>66</v>
      </c>
    </row>
    <row r="1444" spans="1:23" ht="11.25" customHeight="1" x14ac:dyDescent="0.25">
      <c r="A1444" s="4" t="s">
        <v>21</v>
      </c>
      <c r="B1444" s="4" t="s">
        <v>35</v>
      </c>
      <c r="C1444" s="4" t="s">
        <v>36</v>
      </c>
      <c r="D1444" s="4" t="s">
        <v>47</v>
      </c>
      <c r="E1444" s="4" t="s">
        <v>25</v>
      </c>
      <c r="F1444" s="4" t="s">
        <v>25</v>
      </c>
      <c r="G1444" s="4" t="s">
        <v>25</v>
      </c>
      <c r="H1444" s="4" t="s">
        <v>37</v>
      </c>
      <c r="I1444" s="5">
        <v>44317</v>
      </c>
      <c r="J1444" s="6">
        <v>0</v>
      </c>
      <c r="K1444" s="6">
        <v>0</v>
      </c>
      <c r="L1444" s="6">
        <v>47.2</v>
      </c>
      <c r="M1444" s="6">
        <v>44.368000000000002</v>
      </c>
      <c r="N1444" s="6">
        <v>47.2</v>
      </c>
      <c r="O1444" s="6">
        <v>44.368000000000002</v>
      </c>
      <c r="P1444" s="6">
        <v>0</v>
      </c>
      <c r="Q1444" s="4" t="s">
        <v>26</v>
      </c>
      <c r="R1444" s="4">
        <v>0</v>
      </c>
      <c r="S1444" s="4" t="s">
        <v>218</v>
      </c>
      <c r="T1444" s="4" t="s">
        <v>451</v>
      </c>
      <c r="U1444" s="4">
        <v>0</v>
      </c>
      <c r="V1444" s="4">
        <v>24</v>
      </c>
      <c r="W1444" s="4">
        <v>66</v>
      </c>
    </row>
    <row r="1445" spans="1:23" ht="11.25" customHeight="1" x14ac:dyDescent="0.25">
      <c r="A1445" s="4" t="s">
        <v>28</v>
      </c>
      <c r="B1445" s="4" t="s">
        <v>35</v>
      </c>
      <c r="C1445" s="4" t="s">
        <v>36</v>
      </c>
      <c r="D1445" s="4" t="s">
        <v>47</v>
      </c>
      <c r="E1445" s="4" t="s">
        <v>25</v>
      </c>
      <c r="F1445" s="4" t="s">
        <v>25</v>
      </c>
      <c r="G1445" s="4" t="s">
        <v>25</v>
      </c>
      <c r="H1445" s="4" t="s">
        <v>37</v>
      </c>
      <c r="I1445" s="5">
        <v>44317</v>
      </c>
      <c r="J1445" s="6">
        <v>0</v>
      </c>
      <c r="K1445" s="6">
        <v>0</v>
      </c>
      <c r="L1445" s="6">
        <v>9.3490000000000002</v>
      </c>
      <c r="M1445" s="6">
        <v>8.7880599999999998</v>
      </c>
      <c r="N1445" s="6">
        <v>9.3490000000000002</v>
      </c>
      <c r="O1445" s="6">
        <v>8.7880599999999998</v>
      </c>
      <c r="P1445" s="6">
        <v>0</v>
      </c>
      <c r="Q1445" s="4" t="s">
        <v>26</v>
      </c>
      <c r="R1445" s="4">
        <v>0</v>
      </c>
      <c r="S1445" s="4" t="s">
        <v>218</v>
      </c>
      <c r="T1445" s="4" t="s">
        <v>451</v>
      </c>
      <c r="U1445" s="4">
        <v>0</v>
      </c>
      <c r="V1445" s="4">
        <v>24</v>
      </c>
      <c r="W1445" s="4">
        <v>66</v>
      </c>
    </row>
    <row r="1446" spans="1:23" ht="11.25" customHeight="1" x14ac:dyDescent="0.25">
      <c r="A1446" s="4" t="s">
        <v>21</v>
      </c>
      <c r="B1446" s="4" t="s">
        <v>35</v>
      </c>
      <c r="C1446" s="4" t="s">
        <v>36</v>
      </c>
      <c r="D1446" s="4" t="s">
        <v>47</v>
      </c>
      <c r="E1446" s="4" t="s">
        <v>25</v>
      </c>
      <c r="F1446" s="4" t="s">
        <v>25</v>
      </c>
      <c r="G1446" s="4" t="s">
        <v>25</v>
      </c>
      <c r="H1446" s="4" t="s">
        <v>37</v>
      </c>
      <c r="I1446" s="5">
        <v>44348</v>
      </c>
      <c r="J1446" s="6">
        <v>0</v>
      </c>
      <c r="K1446" s="6">
        <v>0</v>
      </c>
      <c r="L1446" s="6">
        <v>59.685000000000002</v>
      </c>
      <c r="M1446" s="6">
        <v>56.103900000000003</v>
      </c>
      <c r="N1446" s="6">
        <v>59.685000000000002</v>
      </c>
      <c r="O1446" s="6">
        <v>56.103900000000003</v>
      </c>
      <c r="P1446" s="6">
        <v>0</v>
      </c>
      <c r="Q1446" s="4" t="s">
        <v>26</v>
      </c>
      <c r="R1446" s="4">
        <v>0</v>
      </c>
      <c r="S1446" s="4" t="s">
        <v>219</v>
      </c>
      <c r="T1446" s="4" t="s">
        <v>452</v>
      </c>
      <c r="U1446" s="4">
        <v>0</v>
      </c>
      <c r="V1446" s="4">
        <v>24</v>
      </c>
      <c r="W1446" s="4">
        <v>66</v>
      </c>
    </row>
    <row r="1447" spans="1:23" ht="11.25" customHeight="1" x14ac:dyDescent="0.25">
      <c r="A1447" s="4" t="s">
        <v>28</v>
      </c>
      <c r="B1447" s="4" t="s">
        <v>35</v>
      </c>
      <c r="C1447" s="4" t="s">
        <v>36</v>
      </c>
      <c r="D1447" s="4" t="s">
        <v>47</v>
      </c>
      <c r="E1447" s="4" t="s">
        <v>25</v>
      </c>
      <c r="F1447" s="4" t="s">
        <v>25</v>
      </c>
      <c r="G1447" s="4" t="s">
        <v>25</v>
      </c>
      <c r="H1447" s="4" t="s">
        <v>37</v>
      </c>
      <c r="I1447" s="5">
        <v>44348</v>
      </c>
      <c r="J1447" s="6">
        <v>0</v>
      </c>
      <c r="K1447" s="6">
        <v>0</v>
      </c>
      <c r="L1447" s="6">
        <v>8.9809999999999999</v>
      </c>
      <c r="M1447" s="6">
        <v>8.4421400000000002</v>
      </c>
      <c r="N1447" s="6">
        <v>8.9809999999999999</v>
      </c>
      <c r="O1447" s="6">
        <v>8.4421400000000002</v>
      </c>
      <c r="P1447" s="6">
        <v>0</v>
      </c>
      <c r="Q1447" s="4" t="s">
        <v>26</v>
      </c>
      <c r="R1447" s="4">
        <v>0</v>
      </c>
      <c r="S1447" s="4" t="s">
        <v>219</v>
      </c>
      <c r="T1447" s="4" t="s">
        <v>452</v>
      </c>
      <c r="U1447" s="4">
        <v>0</v>
      </c>
      <c r="V1447" s="4">
        <v>24</v>
      </c>
      <c r="W1447" s="4">
        <v>66</v>
      </c>
    </row>
    <row r="1448" spans="1:23" ht="11.25" customHeight="1" x14ac:dyDescent="0.25">
      <c r="A1448" s="4" t="s">
        <v>21</v>
      </c>
      <c r="B1448" s="4" t="s">
        <v>35</v>
      </c>
      <c r="C1448" s="4" t="s">
        <v>36</v>
      </c>
      <c r="D1448" s="4" t="s">
        <v>47</v>
      </c>
      <c r="E1448" s="4" t="s">
        <v>25</v>
      </c>
      <c r="F1448" s="4" t="s">
        <v>25</v>
      </c>
      <c r="G1448" s="4" t="s">
        <v>25</v>
      </c>
      <c r="H1448" s="4" t="s">
        <v>37</v>
      </c>
      <c r="I1448" s="5">
        <v>44378</v>
      </c>
      <c r="J1448" s="6">
        <v>0</v>
      </c>
      <c r="K1448" s="6">
        <v>0</v>
      </c>
      <c r="L1448" s="6">
        <v>42.317</v>
      </c>
      <c r="M1448" s="6">
        <v>39.777979999999999</v>
      </c>
      <c r="N1448" s="6">
        <v>42.317</v>
      </c>
      <c r="O1448" s="6">
        <v>39.777979999999999</v>
      </c>
      <c r="P1448" s="6">
        <v>0</v>
      </c>
      <c r="Q1448" s="4" t="s">
        <v>26</v>
      </c>
      <c r="R1448" s="4">
        <v>0</v>
      </c>
      <c r="S1448" s="4" t="s">
        <v>220</v>
      </c>
      <c r="T1448" s="4" t="s">
        <v>453</v>
      </c>
      <c r="U1448" s="4">
        <v>0</v>
      </c>
      <c r="V1448" s="4">
        <v>24</v>
      </c>
      <c r="W1448" s="4">
        <v>66</v>
      </c>
    </row>
    <row r="1449" spans="1:23" ht="11.25" customHeight="1" x14ac:dyDescent="0.25">
      <c r="A1449" s="4" t="s">
        <v>28</v>
      </c>
      <c r="B1449" s="4" t="s">
        <v>35</v>
      </c>
      <c r="C1449" s="4" t="s">
        <v>36</v>
      </c>
      <c r="D1449" s="4" t="s">
        <v>47</v>
      </c>
      <c r="E1449" s="4" t="s">
        <v>25</v>
      </c>
      <c r="F1449" s="4" t="s">
        <v>25</v>
      </c>
      <c r="G1449" s="4" t="s">
        <v>25</v>
      </c>
      <c r="H1449" s="4" t="s">
        <v>37</v>
      </c>
      <c r="I1449" s="5">
        <v>44378</v>
      </c>
      <c r="J1449" s="6">
        <v>0</v>
      </c>
      <c r="K1449" s="6">
        <v>0</v>
      </c>
      <c r="L1449" s="6">
        <v>7.0359999999999996</v>
      </c>
      <c r="M1449" s="6">
        <v>6.6138399999999997</v>
      </c>
      <c r="N1449" s="6">
        <v>7.0359999999999996</v>
      </c>
      <c r="O1449" s="6">
        <v>6.6138399999999997</v>
      </c>
      <c r="P1449" s="6">
        <v>0</v>
      </c>
      <c r="Q1449" s="4" t="s">
        <v>26</v>
      </c>
      <c r="R1449" s="4">
        <v>0</v>
      </c>
      <c r="S1449" s="4" t="s">
        <v>220</v>
      </c>
      <c r="T1449" s="4" t="s">
        <v>453</v>
      </c>
      <c r="U1449" s="4">
        <v>0</v>
      </c>
      <c r="V1449" s="4">
        <v>24</v>
      </c>
      <c r="W1449" s="4">
        <v>66</v>
      </c>
    </row>
    <row r="1450" spans="1:23" ht="11.25" customHeight="1" x14ac:dyDescent="0.25">
      <c r="A1450" s="4" t="s">
        <v>30</v>
      </c>
      <c r="B1450" s="4" t="s">
        <v>35</v>
      </c>
      <c r="C1450" s="4" t="s">
        <v>36</v>
      </c>
      <c r="D1450" s="4" t="s">
        <v>47</v>
      </c>
      <c r="E1450" s="4" t="s">
        <v>25</v>
      </c>
      <c r="F1450" s="4" t="s">
        <v>25</v>
      </c>
      <c r="G1450" s="4" t="s">
        <v>25</v>
      </c>
      <c r="H1450" s="4" t="s">
        <v>37</v>
      </c>
      <c r="I1450" s="5">
        <v>44378</v>
      </c>
      <c r="J1450" s="6">
        <v>0</v>
      </c>
      <c r="K1450" s="6">
        <v>0</v>
      </c>
      <c r="L1450" s="6">
        <v>1.9950000000000001</v>
      </c>
      <c r="M1450" s="6">
        <v>1.8753</v>
      </c>
      <c r="N1450" s="6">
        <v>1.9950000000000001</v>
      </c>
      <c r="O1450" s="6">
        <v>1.8753</v>
      </c>
      <c r="P1450" s="6">
        <v>0</v>
      </c>
      <c r="Q1450" s="4" t="s">
        <v>26</v>
      </c>
      <c r="R1450" s="4">
        <v>0</v>
      </c>
      <c r="S1450" s="4" t="s">
        <v>220</v>
      </c>
      <c r="T1450" s="4" t="s">
        <v>453</v>
      </c>
      <c r="U1450" s="4">
        <v>0</v>
      </c>
      <c r="V1450" s="4">
        <v>24</v>
      </c>
      <c r="W1450" s="4">
        <v>66</v>
      </c>
    </row>
    <row r="1451" spans="1:23" ht="11.25" customHeight="1" x14ac:dyDescent="0.25">
      <c r="A1451" s="4" t="s">
        <v>21</v>
      </c>
      <c r="B1451" s="4" t="s">
        <v>35</v>
      </c>
      <c r="C1451" s="4" t="s">
        <v>36</v>
      </c>
      <c r="D1451" s="4" t="s">
        <v>47</v>
      </c>
      <c r="E1451" s="4" t="s">
        <v>25</v>
      </c>
      <c r="F1451" s="4" t="s">
        <v>25</v>
      </c>
      <c r="G1451" s="4" t="s">
        <v>25</v>
      </c>
      <c r="H1451" s="4" t="s">
        <v>37</v>
      </c>
      <c r="I1451" s="5">
        <v>44409</v>
      </c>
      <c r="J1451" s="6">
        <v>0</v>
      </c>
      <c r="K1451" s="6">
        <v>0</v>
      </c>
      <c r="L1451" s="6">
        <v>45.572000000000003</v>
      </c>
      <c r="M1451" s="6">
        <v>42.837679999999999</v>
      </c>
      <c r="N1451" s="6">
        <v>45.572000000000003</v>
      </c>
      <c r="O1451" s="6">
        <v>42.837679999999999</v>
      </c>
      <c r="P1451" s="6">
        <v>0</v>
      </c>
      <c r="Q1451" s="4" t="s">
        <v>26</v>
      </c>
      <c r="R1451" s="4">
        <v>0</v>
      </c>
      <c r="S1451" s="4" t="s">
        <v>221</v>
      </c>
      <c r="T1451" s="4" t="s">
        <v>454</v>
      </c>
      <c r="U1451" s="4">
        <v>0</v>
      </c>
      <c r="V1451" s="4">
        <v>24</v>
      </c>
      <c r="W1451" s="4">
        <v>66</v>
      </c>
    </row>
    <row r="1452" spans="1:23" ht="11.25" customHeight="1" x14ac:dyDescent="0.25">
      <c r="A1452" s="4" t="s">
        <v>28</v>
      </c>
      <c r="B1452" s="4" t="s">
        <v>35</v>
      </c>
      <c r="C1452" s="4" t="s">
        <v>36</v>
      </c>
      <c r="D1452" s="4" t="s">
        <v>47</v>
      </c>
      <c r="E1452" s="4" t="s">
        <v>25</v>
      </c>
      <c r="F1452" s="4" t="s">
        <v>25</v>
      </c>
      <c r="G1452" s="4" t="s">
        <v>25</v>
      </c>
      <c r="H1452" s="4" t="s">
        <v>37</v>
      </c>
      <c r="I1452" s="5">
        <v>44409</v>
      </c>
      <c r="J1452" s="6">
        <v>0</v>
      </c>
      <c r="K1452" s="6">
        <v>0</v>
      </c>
      <c r="L1452" s="6">
        <v>8.2919999999999998</v>
      </c>
      <c r="M1452" s="6">
        <v>7.7944800000000001</v>
      </c>
      <c r="N1452" s="6">
        <v>8.2919999999999998</v>
      </c>
      <c r="O1452" s="6">
        <v>7.7944800000000001</v>
      </c>
      <c r="P1452" s="6">
        <v>0</v>
      </c>
      <c r="Q1452" s="4" t="s">
        <v>26</v>
      </c>
      <c r="R1452" s="4">
        <v>0</v>
      </c>
      <c r="S1452" s="4" t="s">
        <v>221</v>
      </c>
      <c r="T1452" s="4" t="s">
        <v>454</v>
      </c>
      <c r="U1452" s="4">
        <v>0</v>
      </c>
      <c r="V1452" s="4">
        <v>24</v>
      </c>
      <c r="W1452" s="4">
        <v>66</v>
      </c>
    </row>
    <row r="1453" spans="1:23" ht="11.25" customHeight="1" x14ac:dyDescent="0.25">
      <c r="A1453" s="4" t="s">
        <v>30</v>
      </c>
      <c r="B1453" s="4" t="s">
        <v>35</v>
      </c>
      <c r="C1453" s="4" t="s">
        <v>36</v>
      </c>
      <c r="D1453" s="4" t="s">
        <v>47</v>
      </c>
      <c r="E1453" s="4" t="s">
        <v>25</v>
      </c>
      <c r="F1453" s="4" t="s">
        <v>25</v>
      </c>
      <c r="G1453" s="4" t="s">
        <v>25</v>
      </c>
      <c r="H1453" s="4" t="s">
        <v>37</v>
      </c>
      <c r="I1453" s="5">
        <v>44409</v>
      </c>
      <c r="J1453" s="6">
        <v>0</v>
      </c>
      <c r="K1453" s="6">
        <v>0</v>
      </c>
      <c r="L1453" s="6">
        <v>1.304</v>
      </c>
      <c r="M1453" s="6">
        <v>1.22576</v>
      </c>
      <c r="N1453" s="6">
        <v>1.304</v>
      </c>
      <c r="O1453" s="6">
        <v>1.22576</v>
      </c>
      <c r="P1453" s="6">
        <v>0</v>
      </c>
      <c r="Q1453" s="4" t="s">
        <v>26</v>
      </c>
      <c r="R1453" s="4">
        <v>0</v>
      </c>
      <c r="S1453" s="4" t="s">
        <v>221</v>
      </c>
      <c r="T1453" s="4" t="s">
        <v>454</v>
      </c>
      <c r="U1453" s="4">
        <v>0</v>
      </c>
      <c r="V1453" s="4">
        <v>24</v>
      </c>
      <c r="W1453" s="4">
        <v>66</v>
      </c>
    </row>
    <row r="1454" spans="1:23" ht="11.25" customHeight="1" x14ac:dyDescent="0.25">
      <c r="A1454" s="4" t="s">
        <v>21</v>
      </c>
      <c r="B1454" s="4" t="s">
        <v>35</v>
      </c>
      <c r="C1454" s="4" t="s">
        <v>36</v>
      </c>
      <c r="D1454" s="4" t="s">
        <v>47</v>
      </c>
      <c r="E1454" s="4" t="s">
        <v>25</v>
      </c>
      <c r="F1454" s="4" t="s">
        <v>25</v>
      </c>
      <c r="G1454" s="4" t="s">
        <v>25</v>
      </c>
      <c r="H1454" s="4" t="s">
        <v>37</v>
      </c>
      <c r="I1454" s="5">
        <v>44440</v>
      </c>
      <c r="J1454" s="6">
        <v>0</v>
      </c>
      <c r="K1454" s="6">
        <v>0</v>
      </c>
      <c r="L1454" s="6">
        <v>43.832999999999998</v>
      </c>
      <c r="M1454" s="6">
        <v>41.203020000000002</v>
      </c>
      <c r="N1454" s="6">
        <v>43.832999999999998</v>
      </c>
      <c r="O1454" s="6">
        <v>41.203020000000002</v>
      </c>
      <c r="P1454" s="6">
        <v>0</v>
      </c>
      <c r="Q1454" s="4" t="s">
        <v>26</v>
      </c>
      <c r="R1454" s="4">
        <v>0</v>
      </c>
      <c r="S1454" s="4" t="s">
        <v>222</v>
      </c>
      <c r="T1454" s="4" t="s">
        <v>455</v>
      </c>
      <c r="U1454" s="4">
        <v>0</v>
      </c>
      <c r="V1454" s="4">
        <v>24</v>
      </c>
      <c r="W1454" s="4">
        <v>66</v>
      </c>
    </row>
    <row r="1455" spans="1:23" ht="11.25" customHeight="1" x14ac:dyDescent="0.25">
      <c r="A1455" s="4" t="s">
        <v>28</v>
      </c>
      <c r="B1455" s="4" t="s">
        <v>35</v>
      </c>
      <c r="C1455" s="4" t="s">
        <v>36</v>
      </c>
      <c r="D1455" s="4" t="s">
        <v>47</v>
      </c>
      <c r="E1455" s="4" t="s">
        <v>25</v>
      </c>
      <c r="F1455" s="4" t="s">
        <v>25</v>
      </c>
      <c r="G1455" s="4" t="s">
        <v>25</v>
      </c>
      <c r="H1455" s="4" t="s">
        <v>37</v>
      </c>
      <c r="I1455" s="5">
        <v>44440</v>
      </c>
      <c r="J1455" s="6">
        <v>0</v>
      </c>
      <c r="K1455" s="6">
        <v>0</v>
      </c>
      <c r="L1455" s="6">
        <v>13.313000000000001</v>
      </c>
      <c r="M1455" s="6">
        <v>12.51422</v>
      </c>
      <c r="N1455" s="6">
        <v>13.313000000000001</v>
      </c>
      <c r="O1455" s="6">
        <v>12.51422</v>
      </c>
      <c r="P1455" s="6">
        <v>0</v>
      </c>
      <c r="Q1455" s="4" t="s">
        <v>26</v>
      </c>
      <c r="R1455" s="4">
        <v>0</v>
      </c>
      <c r="S1455" s="4" t="s">
        <v>222</v>
      </c>
      <c r="T1455" s="4" t="s">
        <v>455</v>
      </c>
      <c r="U1455" s="4">
        <v>0</v>
      </c>
      <c r="V1455" s="4">
        <v>24</v>
      </c>
      <c r="W1455" s="4">
        <v>66</v>
      </c>
    </row>
    <row r="1456" spans="1:23" ht="11.25" customHeight="1" x14ac:dyDescent="0.25">
      <c r="A1456" s="4" t="s">
        <v>30</v>
      </c>
      <c r="B1456" s="4" t="s">
        <v>35</v>
      </c>
      <c r="C1456" s="4" t="s">
        <v>36</v>
      </c>
      <c r="D1456" s="4" t="s">
        <v>47</v>
      </c>
      <c r="E1456" s="4" t="s">
        <v>25</v>
      </c>
      <c r="F1456" s="4" t="s">
        <v>25</v>
      </c>
      <c r="G1456" s="4" t="s">
        <v>25</v>
      </c>
      <c r="H1456" s="4" t="s">
        <v>37</v>
      </c>
      <c r="I1456" s="5">
        <v>44440</v>
      </c>
      <c r="J1456" s="6">
        <v>0</v>
      </c>
      <c r="K1456" s="6">
        <v>0</v>
      </c>
      <c r="L1456" s="6">
        <v>3.5640000000000001</v>
      </c>
      <c r="M1456" s="6">
        <v>3.3501599999999998</v>
      </c>
      <c r="N1456" s="6">
        <v>3.5640000000000001</v>
      </c>
      <c r="O1456" s="6">
        <v>3.3501599999999998</v>
      </c>
      <c r="P1456" s="6">
        <v>0</v>
      </c>
      <c r="Q1456" s="4" t="s">
        <v>26</v>
      </c>
      <c r="R1456" s="4">
        <v>0</v>
      </c>
      <c r="S1456" s="4" t="s">
        <v>222</v>
      </c>
      <c r="T1456" s="4" t="s">
        <v>455</v>
      </c>
      <c r="U1456" s="4">
        <v>0</v>
      </c>
      <c r="V1456" s="4">
        <v>24</v>
      </c>
      <c r="W1456" s="4">
        <v>66</v>
      </c>
    </row>
    <row r="1457" spans="1:23" ht="11.25" customHeight="1" x14ac:dyDescent="0.25">
      <c r="A1457" s="4" t="s">
        <v>59</v>
      </c>
      <c r="B1457" s="4" t="s">
        <v>35</v>
      </c>
      <c r="C1457" s="4" t="s">
        <v>36</v>
      </c>
      <c r="D1457" s="4" t="s">
        <v>47</v>
      </c>
      <c r="E1457" s="4" t="s">
        <v>25</v>
      </c>
      <c r="F1457" s="4" t="s">
        <v>25</v>
      </c>
      <c r="G1457" s="4" t="s">
        <v>25</v>
      </c>
      <c r="H1457" s="4" t="s">
        <v>37</v>
      </c>
      <c r="I1457" s="5">
        <v>44470</v>
      </c>
      <c r="J1457" s="6">
        <v>0</v>
      </c>
      <c r="K1457" s="6">
        <v>0</v>
      </c>
      <c r="L1457" s="6">
        <v>43.832999999999998</v>
      </c>
      <c r="M1457" s="6">
        <v>41.203020000000002</v>
      </c>
      <c r="N1457" s="6">
        <v>43.832999999999998</v>
      </c>
      <c r="O1457" s="6">
        <v>41.203020000000002</v>
      </c>
      <c r="P1457" s="6">
        <v>0</v>
      </c>
      <c r="Q1457" s="4" t="s">
        <v>26</v>
      </c>
      <c r="R1457" s="4">
        <v>0</v>
      </c>
      <c r="S1457" s="4" t="s">
        <v>223</v>
      </c>
      <c r="T1457" s="4" t="s">
        <v>456</v>
      </c>
      <c r="U1457" s="4">
        <v>0</v>
      </c>
      <c r="V1457" s="4">
        <v>24</v>
      </c>
      <c r="W1457" s="4">
        <v>66</v>
      </c>
    </row>
    <row r="1458" spans="1:23" ht="11.25" customHeight="1" x14ac:dyDescent="0.25">
      <c r="A1458" s="4" t="s">
        <v>59</v>
      </c>
      <c r="B1458" s="4" t="s">
        <v>35</v>
      </c>
      <c r="C1458" s="4" t="s">
        <v>36</v>
      </c>
      <c r="D1458" s="4" t="s">
        <v>47</v>
      </c>
      <c r="E1458" s="4" t="s">
        <v>25</v>
      </c>
      <c r="F1458" s="4" t="s">
        <v>25</v>
      </c>
      <c r="G1458" s="4" t="s">
        <v>25</v>
      </c>
      <c r="H1458" s="4" t="s">
        <v>37</v>
      </c>
      <c r="I1458" s="5">
        <v>44470</v>
      </c>
      <c r="J1458" s="6">
        <v>0</v>
      </c>
      <c r="K1458" s="6">
        <v>0</v>
      </c>
      <c r="L1458" s="6">
        <v>13.313000000000001</v>
      </c>
      <c r="M1458" s="6">
        <v>12.51422</v>
      </c>
      <c r="N1458" s="6">
        <v>13.313000000000001</v>
      </c>
      <c r="O1458" s="6">
        <v>12.51422</v>
      </c>
      <c r="P1458" s="6">
        <v>0</v>
      </c>
      <c r="Q1458" s="4" t="s">
        <v>26</v>
      </c>
      <c r="R1458" s="4">
        <v>0</v>
      </c>
      <c r="S1458" s="4" t="s">
        <v>223</v>
      </c>
      <c r="T1458" s="4" t="s">
        <v>456</v>
      </c>
      <c r="U1458" s="4">
        <v>0</v>
      </c>
      <c r="V1458" s="4">
        <v>24</v>
      </c>
      <c r="W1458" s="4">
        <v>66</v>
      </c>
    </row>
    <row r="1459" spans="1:23" ht="11.25" customHeight="1" x14ac:dyDescent="0.25">
      <c r="A1459" s="4" t="s">
        <v>59</v>
      </c>
      <c r="B1459" s="4" t="s">
        <v>35</v>
      </c>
      <c r="C1459" s="4" t="s">
        <v>36</v>
      </c>
      <c r="D1459" s="4" t="s">
        <v>47</v>
      </c>
      <c r="E1459" s="4" t="s">
        <v>25</v>
      </c>
      <c r="F1459" s="4" t="s">
        <v>25</v>
      </c>
      <c r="G1459" s="4" t="s">
        <v>25</v>
      </c>
      <c r="H1459" s="4" t="s">
        <v>37</v>
      </c>
      <c r="I1459" s="5">
        <v>44470</v>
      </c>
      <c r="J1459" s="6">
        <v>0</v>
      </c>
      <c r="K1459" s="6">
        <v>0</v>
      </c>
      <c r="L1459" s="6">
        <v>3.5640000000000001</v>
      </c>
      <c r="M1459" s="6">
        <v>3.3501599999999998</v>
      </c>
      <c r="N1459" s="6">
        <v>3.5640000000000001</v>
      </c>
      <c r="O1459" s="6">
        <v>3.3501599999999998</v>
      </c>
      <c r="P1459" s="6">
        <v>0</v>
      </c>
      <c r="Q1459" s="4" t="s">
        <v>26</v>
      </c>
      <c r="R1459" s="4">
        <v>0</v>
      </c>
      <c r="S1459" s="4" t="s">
        <v>223</v>
      </c>
      <c r="T1459" s="4" t="s">
        <v>456</v>
      </c>
      <c r="U1459" s="4">
        <v>0</v>
      </c>
      <c r="V1459" s="4">
        <v>24</v>
      </c>
      <c r="W1459" s="4">
        <v>66</v>
      </c>
    </row>
    <row r="1460" spans="1:23" ht="11.25" customHeight="1" x14ac:dyDescent="0.25">
      <c r="A1460" s="4" t="s">
        <v>21</v>
      </c>
      <c r="B1460" s="4" t="s">
        <v>35</v>
      </c>
      <c r="C1460" s="4" t="s">
        <v>36</v>
      </c>
      <c r="D1460" s="4" t="s">
        <v>52</v>
      </c>
      <c r="E1460" s="4" t="s">
        <v>53</v>
      </c>
      <c r="F1460" s="4" t="s">
        <v>25</v>
      </c>
      <c r="G1460" s="4" t="s">
        <v>25</v>
      </c>
      <c r="H1460" s="4" t="s">
        <v>38</v>
      </c>
      <c r="I1460" s="5">
        <v>44136</v>
      </c>
      <c r="J1460" s="6">
        <v>0</v>
      </c>
      <c r="K1460" s="6">
        <v>0</v>
      </c>
      <c r="L1460" s="6">
        <v>1303.7059999999999</v>
      </c>
      <c r="M1460" s="6">
        <v>1186.37246</v>
      </c>
      <c r="N1460" s="6">
        <v>1303.7059999999999</v>
      </c>
      <c r="O1460" s="6">
        <v>1186.37246</v>
      </c>
      <c r="P1460" s="6">
        <v>0</v>
      </c>
      <c r="Q1460" s="4" t="s">
        <v>26</v>
      </c>
      <c r="R1460" s="4">
        <v>0</v>
      </c>
      <c r="S1460" s="4" t="s">
        <v>188</v>
      </c>
      <c r="T1460" s="4" t="s">
        <v>433</v>
      </c>
      <c r="U1460" s="4">
        <v>0</v>
      </c>
      <c r="V1460" s="4">
        <v>19</v>
      </c>
      <c r="W1460" s="4">
        <v>67</v>
      </c>
    </row>
    <row r="1461" spans="1:23" ht="11.25" customHeight="1" x14ac:dyDescent="0.25">
      <c r="A1461" s="4" t="s">
        <v>28</v>
      </c>
      <c r="B1461" s="4" t="s">
        <v>35</v>
      </c>
      <c r="C1461" s="4" t="s">
        <v>36</v>
      </c>
      <c r="D1461" s="4" t="s">
        <v>52</v>
      </c>
      <c r="E1461" s="4" t="s">
        <v>53</v>
      </c>
      <c r="F1461" s="4" t="s">
        <v>25</v>
      </c>
      <c r="G1461" s="4" t="s">
        <v>25</v>
      </c>
      <c r="H1461" s="4" t="s">
        <v>38</v>
      </c>
      <c r="I1461" s="5">
        <v>44136</v>
      </c>
      <c r="J1461" s="6">
        <v>0</v>
      </c>
      <c r="K1461" s="6">
        <v>0</v>
      </c>
      <c r="L1461" s="6">
        <v>526.71500000000003</v>
      </c>
      <c r="M1461" s="6">
        <v>479.31065000000007</v>
      </c>
      <c r="N1461" s="6">
        <v>526.71500000000003</v>
      </c>
      <c r="O1461" s="6">
        <v>479.31065000000007</v>
      </c>
      <c r="P1461" s="6">
        <v>0</v>
      </c>
      <c r="Q1461" s="4" t="s">
        <v>26</v>
      </c>
      <c r="R1461" s="4">
        <v>0</v>
      </c>
      <c r="S1461" s="4" t="s">
        <v>188</v>
      </c>
      <c r="T1461" s="4" t="s">
        <v>433</v>
      </c>
      <c r="U1461" s="4">
        <v>0</v>
      </c>
      <c r="V1461" s="4">
        <v>19</v>
      </c>
      <c r="W1461" s="4">
        <v>67</v>
      </c>
    </row>
    <row r="1462" spans="1:23" ht="11.25" customHeight="1" x14ac:dyDescent="0.25">
      <c r="A1462" s="4" t="s">
        <v>21</v>
      </c>
      <c r="B1462" s="4" t="s">
        <v>35</v>
      </c>
      <c r="C1462" s="4" t="s">
        <v>36</v>
      </c>
      <c r="D1462" s="4" t="s">
        <v>52</v>
      </c>
      <c r="E1462" s="4" t="s">
        <v>53</v>
      </c>
      <c r="F1462" s="4" t="s">
        <v>25</v>
      </c>
      <c r="G1462" s="4" t="s">
        <v>25</v>
      </c>
      <c r="H1462" s="4" t="s">
        <v>38</v>
      </c>
      <c r="I1462" s="5">
        <v>44166</v>
      </c>
      <c r="J1462" s="6">
        <v>0</v>
      </c>
      <c r="K1462" s="6">
        <v>0</v>
      </c>
      <c r="L1462" s="6">
        <v>1315.575</v>
      </c>
      <c r="M1462" s="6">
        <v>1197.1732500000001</v>
      </c>
      <c r="N1462" s="6">
        <v>1315.575</v>
      </c>
      <c r="O1462" s="6">
        <v>1197.1732500000001</v>
      </c>
      <c r="P1462" s="6">
        <v>0</v>
      </c>
      <c r="Q1462" s="4" t="s">
        <v>26</v>
      </c>
      <c r="R1462" s="4">
        <v>0</v>
      </c>
      <c r="S1462" s="4" t="s">
        <v>189</v>
      </c>
      <c r="T1462" s="4" t="s">
        <v>434</v>
      </c>
      <c r="U1462" s="4">
        <v>0</v>
      </c>
      <c r="V1462" s="4">
        <v>19</v>
      </c>
      <c r="W1462" s="4">
        <v>67</v>
      </c>
    </row>
    <row r="1463" spans="1:23" ht="11.25" customHeight="1" x14ac:dyDescent="0.25">
      <c r="A1463" s="4" t="s">
        <v>28</v>
      </c>
      <c r="B1463" s="4" t="s">
        <v>35</v>
      </c>
      <c r="C1463" s="4" t="s">
        <v>36</v>
      </c>
      <c r="D1463" s="4" t="s">
        <v>52</v>
      </c>
      <c r="E1463" s="4" t="s">
        <v>53</v>
      </c>
      <c r="F1463" s="4" t="s">
        <v>25</v>
      </c>
      <c r="G1463" s="4" t="s">
        <v>25</v>
      </c>
      <c r="H1463" s="4" t="s">
        <v>38</v>
      </c>
      <c r="I1463" s="5">
        <v>44166</v>
      </c>
      <c r="J1463" s="6">
        <v>0</v>
      </c>
      <c r="K1463" s="6">
        <v>0</v>
      </c>
      <c r="L1463" s="6">
        <v>573.81399999999996</v>
      </c>
      <c r="M1463" s="6">
        <v>522.17074000000002</v>
      </c>
      <c r="N1463" s="6">
        <v>573.81399999999996</v>
      </c>
      <c r="O1463" s="6">
        <v>522.17074000000002</v>
      </c>
      <c r="P1463" s="6">
        <v>0</v>
      </c>
      <c r="Q1463" s="4" t="s">
        <v>26</v>
      </c>
      <c r="R1463" s="4">
        <v>0</v>
      </c>
      <c r="S1463" s="4" t="s">
        <v>189</v>
      </c>
      <c r="T1463" s="4" t="s">
        <v>434</v>
      </c>
      <c r="U1463" s="4">
        <v>0</v>
      </c>
      <c r="V1463" s="4">
        <v>19</v>
      </c>
      <c r="W1463" s="4">
        <v>67</v>
      </c>
    </row>
    <row r="1464" spans="1:23" ht="11.25" customHeight="1" x14ac:dyDescent="0.25">
      <c r="A1464" s="4" t="s">
        <v>21</v>
      </c>
      <c r="B1464" s="4" t="s">
        <v>35</v>
      </c>
      <c r="C1464" s="4" t="s">
        <v>36</v>
      </c>
      <c r="D1464" s="4" t="s">
        <v>52</v>
      </c>
      <c r="E1464" s="4" t="s">
        <v>53</v>
      </c>
      <c r="F1464" s="4" t="s">
        <v>25</v>
      </c>
      <c r="G1464" s="4" t="s">
        <v>25</v>
      </c>
      <c r="H1464" s="4" t="s">
        <v>38</v>
      </c>
      <c r="I1464" s="5">
        <v>44197</v>
      </c>
      <c r="J1464" s="6">
        <v>0</v>
      </c>
      <c r="K1464" s="6">
        <v>0</v>
      </c>
      <c r="L1464" s="6">
        <v>1346.4849999999999</v>
      </c>
      <c r="M1464" s="6">
        <v>1225.30135</v>
      </c>
      <c r="N1464" s="6">
        <v>1346.4849999999999</v>
      </c>
      <c r="O1464" s="6">
        <v>1225.30135</v>
      </c>
      <c r="P1464" s="6">
        <v>0</v>
      </c>
      <c r="Q1464" s="4" t="s">
        <v>26</v>
      </c>
      <c r="R1464" s="4">
        <v>0</v>
      </c>
      <c r="S1464" s="4" t="s">
        <v>190</v>
      </c>
      <c r="T1464" s="4" t="s">
        <v>435</v>
      </c>
      <c r="U1464" s="4">
        <v>0</v>
      </c>
      <c r="V1464" s="4">
        <v>19</v>
      </c>
      <c r="W1464" s="4">
        <v>67</v>
      </c>
    </row>
    <row r="1465" spans="1:23" ht="11.25" customHeight="1" x14ac:dyDescent="0.25">
      <c r="A1465" s="4" t="s">
        <v>28</v>
      </c>
      <c r="B1465" s="4" t="s">
        <v>35</v>
      </c>
      <c r="C1465" s="4" t="s">
        <v>36</v>
      </c>
      <c r="D1465" s="4" t="s">
        <v>52</v>
      </c>
      <c r="E1465" s="4" t="s">
        <v>53</v>
      </c>
      <c r="F1465" s="4" t="s">
        <v>25</v>
      </c>
      <c r="G1465" s="4" t="s">
        <v>25</v>
      </c>
      <c r="H1465" s="4" t="s">
        <v>38</v>
      </c>
      <c r="I1465" s="5">
        <v>44197</v>
      </c>
      <c r="J1465" s="6">
        <v>0</v>
      </c>
      <c r="K1465" s="6">
        <v>0</v>
      </c>
      <c r="L1465" s="6">
        <v>537.18399999999997</v>
      </c>
      <c r="M1465" s="6">
        <v>488.83744000000002</v>
      </c>
      <c r="N1465" s="6">
        <v>537.18399999999997</v>
      </c>
      <c r="O1465" s="6">
        <v>488.83744000000002</v>
      </c>
      <c r="P1465" s="6">
        <v>0</v>
      </c>
      <c r="Q1465" s="4" t="s">
        <v>26</v>
      </c>
      <c r="R1465" s="4">
        <v>0</v>
      </c>
      <c r="S1465" s="4" t="s">
        <v>190</v>
      </c>
      <c r="T1465" s="4" t="s">
        <v>435</v>
      </c>
      <c r="U1465" s="4">
        <v>0</v>
      </c>
      <c r="V1465" s="4">
        <v>19</v>
      </c>
      <c r="W1465" s="4">
        <v>67</v>
      </c>
    </row>
    <row r="1466" spans="1:23" ht="11.25" customHeight="1" x14ac:dyDescent="0.25">
      <c r="A1466" s="4" t="s">
        <v>21</v>
      </c>
      <c r="B1466" s="4" t="s">
        <v>35</v>
      </c>
      <c r="C1466" s="4" t="s">
        <v>36</v>
      </c>
      <c r="D1466" s="4" t="s">
        <v>52</v>
      </c>
      <c r="E1466" s="4" t="s">
        <v>53</v>
      </c>
      <c r="F1466" s="4" t="s">
        <v>25</v>
      </c>
      <c r="G1466" s="4" t="s">
        <v>25</v>
      </c>
      <c r="H1466" s="4" t="s">
        <v>38</v>
      </c>
      <c r="I1466" s="5">
        <v>44228</v>
      </c>
      <c r="J1466" s="6">
        <v>0</v>
      </c>
      <c r="K1466" s="6">
        <v>0</v>
      </c>
      <c r="L1466" s="6">
        <v>1201.9860000000001</v>
      </c>
      <c r="M1466" s="6">
        <v>1093.80726</v>
      </c>
      <c r="N1466" s="6">
        <v>1201.9860000000001</v>
      </c>
      <c r="O1466" s="6">
        <v>1093.80726</v>
      </c>
      <c r="P1466" s="6">
        <v>0</v>
      </c>
      <c r="Q1466" s="4" t="s">
        <v>26</v>
      </c>
      <c r="R1466" s="4">
        <v>0</v>
      </c>
      <c r="S1466" s="4" t="s">
        <v>191</v>
      </c>
      <c r="T1466" s="4" t="s">
        <v>436</v>
      </c>
      <c r="U1466" s="4">
        <v>0</v>
      </c>
      <c r="V1466" s="4">
        <v>19</v>
      </c>
      <c r="W1466" s="4">
        <v>67</v>
      </c>
    </row>
    <row r="1467" spans="1:23" ht="11.25" customHeight="1" x14ac:dyDescent="0.25">
      <c r="A1467" s="4" t="s">
        <v>28</v>
      </c>
      <c r="B1467" s="4" t="s">
        <v>35</v>
      </c>
      <c r="C1467" s="4" t="s">
        <v>36</v>
      </c>
      <c r="D1467" s="4" t="s">
        <v>52</v>
      </c>
      <c r="E1467" s="4" t="s">
        <v>53</v>
      </c>
      <c r="F1467" s="4" t="s">
        <v>25</v>
      </c>
      <c r="G1467" s="4" t="s">
        <v>25</v>
      </c>
      <c r="H1467" s="4" t="s">
        <v>38</v>
      </c>
      <c r="I1467" s="5">
        <v>44228</v>
      </c>
      <c r="J1467" s="6">
        <v>0</v>
      </c>
      <c r="K1467" s="6">
        <v>0</v>
      </c>
      <c r="L1467" s="6">
        <v>475.80500000000001</v>
      </c>
      <c r="M1467" s="6">
        <v>432.98255</v>
      </c>
      <c r="N1467" s="6">
        <v>475.80500000000001</v>
      </c>
      <c r="O1467" s="6">
        <v>432.98255</v>
      </c>
      <c r="P1467" s="6">
        <v>0</v>
      </c>
      <c r="Q1467" s="4" t="s">
        <v>26</v>
      </c>
      <c r="R1467" s="4">
        <v>0</v>
      </c>
      <c r="S1467" s="4" t="s">
        <v>191</v>
      </c>
      <c r="T1467" s="4" t="s">
        <v>436</v>
      </c>
      <c r="U1467" s="4">
        <v>0</v>
      </c>
      <c r="V1467" s="4">
        <v>19</v>
      </c>
      <c r="W1467" s="4">
        <v>67</v>
      </c>
    </row>
    <row r="1468" spans="1:23" ht="11.25" customHeight="1" x14ac:dyDescent="0.25">
      <c r="A1468" s="4" t="s">
        <v>21</v>
      </c>
      <c r="B1468" s="4" t="s">
        <v>35</v>
      </c>
      <c r="C1468" s="4" t="s">
        <v>36</v>
      </c>
      <c r="D1468" s="4" t="s">
        <v>52</v>
      </c>
      <c r="E1468" s="4" t="s">
        <v>53</v>
      </c>
      <c r="F1468" s="4" t="s">
        <v>25</v>
      </c>
      <c r="G1468" s="4" t="s">
        <v>25</v>
      </c>
      <c r="H1468" s="4" t="s">
        <v>38</v>
      </c>
      <c r="I1468" s="5">
        <v>44256</v>
      </c>
      <c r="J1468" s="6">
        <v>0</v>
      </c>
      <c r="K1468" s="6">
        <v>0</v>
      </c>
      <c r="L1468" s="6">
        <v>1313.335</v>
      </c>
      <c r="M1468" s="6">
        <v>1195.1348500000001</v>
      </c>
      <c r="N1468" s="6">
        <v>1313.335</v>
      </c>
      <c r="O1468" s="6">
        <v>1195.1348500000001</v>
      </c>
      <c r="P1468" s="6">
        <v>0</v>
      </c>
      <c r="Q1468" s="4" t="s">
        <v>26</v>
      </c>
      <c r="R1468" s="4">
        <v>0</v>
      </c>
      <c r="S1468" s="4" t="s">
        <v>192</v>
      </c>
      <c r="T1468" s="4" t="s">
        <v>437</v>
      </c>
      <c r="U1468" s="4">
        <v>0</v>
      </c>
      <c r="V1468" s="4">
        <v>19</v>
      </c>
      <c r="W1468" s="4">
        <v>67</v>
      </c>
    </row>
    <row r="1469" spans="1:23" ht="11.25" customHeight="1" x14ac:dyDescent="0.25">
      <c r="A1469" s="4" t="s">
        <v>28</v>
      </c>
      <c r="B1469" s="4" t="s">
        <v>35</v>
      </c>
      <c r="C1469" s="4" t="s">
        <v>36</v>
      </c>
      <c r="D1469" s="4" t="s">
        <v>52</v>
      </c>
      <c r="E1469" s="4" t="s">
        <v>53</v>
      </c>
      <c r="F1469" s="4" t="s">
        <v>25</v>
      </c>
      <c r="G1469" s="4" t="s">
        <v>25</v>
      </c>
      <c r="H1469" s="4" t="s">
        <v>38</v>
      </c>
      <c r="I1469" s="5">
        <v>44256</v>
      </c>
      <c r="J1469" s="6">
        <v>0</v>
      </c>
      <c r="K1469" s="6">
        <v>0</v>
      </c>
      <c r="L1469" s="6">
        <v>523.48400000000004</v>
      </c>
      <c r="M1469" s="6">
        <v>476.37044000000003</v>
      </c>
      <c r="N1469" s="6">
        <v>523.48400000000004</v>
      </c>
      <c r="O1469" s="6">
        <v>476.37044000000003</v>
      </c>
      <c r="P1469" s="6">
        <v>0</v>
      </c>
      <c r="Q1469" s="4" t="s">
        <v>26</v>
      </c>
      <c r="R1469" s="4">
        <v>0</v>
      </c>
      <c r="S1469" s="4" t="s">
        <v>192</v>
      </c>
      <c r="T1469" s="4" t="s">
        <v>437</v>
      </c>
      <c r="U1469" s="4">
        <v>0</v>
      </c>
      <c r="V1469" s="4">
        <v>19</v>
      </c>
      <c r="W1469" s="4">
        <v>67</v>
      </c>
    </row>
    <row r="1470" spans="1:23" ht="11.25" customHeight="1" x14ac:dyDescent="0.25">
      <c r="A1470" s="4" t="s">
        <v>21</v>
      </c>
      <c r="B1470" s="4" t="s">
        <v>35</v>
      </c>
      <c r="C1470" s="4" t="s">
        <v>36</v>
      </c>
      <c r="D1470" s="4" t="s">
        <v>52</v>
      </c>
      <c r="E1470" s="4" t="s">
        <v>53</v>
      </c>
      <c r="F1470" s="4" t="s">
        <v>25</v>
      </c>
      <c r="G1470" s="4" t="s">
        <v>25</v>
      </c>
      <c r="H1470" s="4" t="s">
        <v>38</v>
      </c>
      <c r="I1470" s="5">
        <v>44287</v>
      </c>
      <c r="J1470" s="6">
        <v>0</v>
      </c>
      <c r="K1470" s="6">
        <v>0</v>
      </c>
      <c r="L1470" s="6">
        <v>1209.104</v>
      </c>
      <c r="M1470" s="6">
        <v>1100.2846400000001</v>
      </c>
      <c r="N1470" s="6">
        <v>1209.104</v>
      </c>
      <c r="O1470" s="6">
        <v>1100.2846400000001</v>
      </c>
      <c r="P1470" s="6">
        <v>0</v>
      </c>
      <c r="Q1470" s="4" t="s">
        <v>26</v>
      </c>
      <c r="R1470" s="4">
        <v>0</v>
      </c>
      <c r="S1470" s="4" t="s">
        <v>193</v>
      </c>
      <c r="T1470" s="4" t="s">
        <v>438</v>
      </c>
      <c r="U1470" s="4">
        <v>0</v>
      </c>
      <c r="V1470" s="4">
        <v>19</v>
      </c>
      <c r="W1470" s="4">
        <v>67</v>
      </c>
    </row>
    <row r="1471" spans="1:23" ht="11.25" customHeight="1" x14ac:dyDescent="0.25">
      <c r="A1471" s="4" t="s">
        <v>28</v>
      </c>
      <c r="B1471" s="4" t="s">
        <v>35</v>
      </c>
      <c r="C1471" s="4" t="s">
        <v>36</v>
      </c>
      <c r="D1471" s="4" t="s">
        <v>52</v>
      </c>
      <c r="E1471" s="4" t="s">
        <v>53</v>
      </c>
      <c r="F1471" s="4" t="s">
        <v>25</v>
      </c>
      <c r="G1471" s="4" t="s">
        <v>25</v>
      </c>
      <c r="H1471" s="4" t="s">
        <v>38</v>
      </c>
      <c r="I1471" s="5">
        <v>44287</v>
      </c>
      <c r="J1471" s="6">
        <v>0</v>
      </c>
      <c r="K1471" s="6">
        <v>0</v>
      </c>
      <c r="L1471" s="6">
        <v>527.22299999999996</v>
      </c>
      <c r="M1471" s="6">
        <v>479.77292999999997</v>
      </c>
      <c r="N1471" s="6">
        <v>527.22299999999996</v>
      </c>
      <c r="O1471" s="6">
        <v>479.77292999999997</v>
      </c>
      <c r="P1471" s="6">
        <v>0</v>
      </c>
      <c r="Q1471" s="4" t="s">
        <v>26</v>
      </c>
      <c r="R1471" s="4">
        <v>0</v>
      </c>
      <c r="S1471" s="4" t="s">
        <v>193</v>
      </c>
      <c r="T1471" s="4" t="s">
        <v>438</v>
      </c>
      <c r="U1471" s="4">
        <v>0</v>
      </c>
      <c r="V1471" s="4">
        <v>19</v>
      </c>
      <c r="W1471" s="4">
        <v>67</v>
      </c>
    </row>
    <row r="1472" spans="1:23" ht="11.25" customHeight="1" x14ac:dyDescent="0.25">
      <c r="A1472" s="4" t="s">
        <v>21</v>
      </c>
      <c r="B1472" s="4" t="s">
        <v>35</v>
      </c>
      <c r="C1472" s="4" t="s">
        <v>36</v>
      </c>
      <c r="D1472" s="4" t="s">
        <v>52</v>
      </c>
      <c r="E1472" s="4" t="s">
        <v>53</v>
      </c>
      <c r="F1472" s="4" t="s">
        <v>25</v>
      </c>
      <c r="G1472" s="4" t="s">
        <v>25</v>
      </c>
      <c r="H1472" s="4" t="s">
        <v>38</v>
      </c>
      <c r="I1472" s="5">
        <v>44317</v>
      </c>
      <c r="J1472" s="6">
        <v>0</v>
      </c>
      <c r="K1472" s="6">
        <v>0</v>
      </c>
      <c r="L1472" s="6">
        <v>1323.21</v>
      </c>
      <c r="M1472" s="6">
        <v>1204.1211000000001</v>
      </c>
      <c r="N1472" s="6">
        <v>1323.21</v>
      </c>
      <c r="O1472" s="6">
        <v>1204.1211000000001</v>
      </c>
      <c r="P1472" s="6">
        <v>0</v>
      </c>
      <c r="Q1472" s="4" t="s">
        <v>26</v>
      </c>
      <c r="R1472" s="4">
        <v>0</v>
      </c>
      <c r="S1472" s="4" t="s">
        <v>194</v>
      </c>
      <c r="T1472" s="4" t="s">
        <v>439</v>
      </c>
      <c r="U1472" s="4">
        <v>0</v>
      </c>
      <c r="V1472" s="4">
        <v>19</v>
      </c>
      <c r="W1472" s="4">
        <v>67</v>
      </c>
    </row>
    <row r="1473" spans="1:23" ht="11.25" customHeight="1" x14ac:dyDescent="0.25">
      <c r="A1473" s="4" t="s">
        <v>28</v>
      </c>
      <c r="B1473" s="4" t="s">
        <v>35</v>
      </c>
      <c r="C1473" s="4" t="s">
        <v>36</v>
      </c>
      <c r="D1473" s="4" t="s">
        <v>52</v>
      </c>
      <c r="E1473" s="4" t="s">
        <v>53</v>
      </c>
      <c r="F1473" s="4" t="s">
        <v>25</v>
      </c>
      <c r="G1473" s="4" t="s">
        <v>25</v>
      </c>
      <c r="H1473" s="4" t="s">
        <v>38</v>
      </c>
      <c r="I1473" s="5">
        <v>44317</v>
      </c>
      <c r="J1473" s="6">
        <v>0</v>
      </c>
      <c r="K1473" s="6">
        <v>0</v>
      </c>
      <c r="L1473" s="6">
        <v>574.48800000000006</v>
      </c>
      <c r="M1473" s="6">
        <v>522.78408000000002</v>
      </c>
      <c r="N1473" s="6">
        <v>574.48800000000006</v>
      </c>
      <c r="O1473" s="6">
        <v>522.78408000000002</v>
      </c>
      <c r="P1473" s="6">
        <v>0</v>
      </c>
      <c r="Q1473" s="4" t="s">
        <v>26</v>
      </c>
      <c r="R1473" s="4">
        <v>0</v>
      </c>
      <c r="S1473" s="4" t="s">
        <v>194</v>
      </c>
      <c r="T1473" s="4" t="s">
        <v>439</v>
      </c>
      <c r="U1473" s="4">
        <v>0</v>
      </c>
      <c r="V1473" s="4">
        <v>19</v>
      </c>
      <c r="W1473" s="4">
        <v>67</v>
      </c>
    </row>
    <row r="1474" spans="1:23" ht="11.25" customHeight="1" x14ac:dyDescent="0.25">
      <c r="A1474" s="4" t="s">
        <v>29</v>
      </c>
      <c r="B1474" s="4" t="s">
        <v>35</v>
      </c>
      <c r="C1474" s="4" t="s">
        <v>36</v>
      </c>
      <c r="D1474" s="4" t="s">
        <v>52</v>
      </c>
      <c r="E1474" s="4" t="s">
        <v>53</v>
      </c>
      <c r="F1474" s="4" t="s">
        <v>25</v>
      </c>
      <c r="G1474" s="4" t="s">
        <v>25</v>
      </c>
      <c r="H1474" s="4" t="s">
        <v>38</v>
      </c>
      <c r="I1474" s="5">
        <v>44317</v>
      </c>
      <c r="J1474" s="6">
        <v>0</v>
      </c>
      <c r="K1474" s="6">
        <v>0</v>
      </c>
      <c r="L1474" s="6">
        <v>132.31399999999999</v>
      </c>
      <c r="M1474" s="6">
        <v>120.40573999999999</v>
      </c>
      <c r="N1474" s="6">
        <v>132.31399999999999</v>
      </c>
      <c r="O1474" s="6">
        <v>120.40573999999999</v>
      </c>
      <c r="P1474" s="6">
        <v>0</v>
      </c>
      <c r="Q1474" s="4" t="s">
        <v>26</v>
      </c>
      <c r="R1474" s="4">
        <v>0</v>
      </c>
      <c r="S1474" s="4" t="s">
        <v>194</v>
      </c>
      <c r="T1474" s="4" t="s">
        <v>439</v>
      </c>
      <c r="U1474" s="4">
        <v>0</v>
      </c>
      <c r="V1474" s="4">
        <v>19</v>
      </c>
      <c r="W1474" s="4">
        <v>67</v>
      </c>
    </row>
    <row r="1475" spans="1:23" ht="11.25" customHeight="1" x14ac:dyDescent="0.25">
      <c r="A1475" s="4" t="s">
        <v>21</v>
      </c>
      <c r="B1475" s="4" t="s">
        <v>35</v>
      </c>
      <c r="C1475" s="4" t="s">
        <v>36</v>
      </c>
      <c r="D1475" s="4" t="s">
        <v>52</v>
      </c>
      <c r="E1475" s="4" t="s">
        <v>53</v>
      </c>
      <c r="F1475" s="4" t="s">
        <v>25</v>
      </c>
      <c r="G1475" s="4" t="s">
        <v>25</v>
      </c>
      <c r="H1475" s="4" t="s">
        <v>38</v>
      </c>
      <c r="I1475" s="5">
        <v>44348</v>
      </c>
      <c r="J1475" s="6">
        <v>0</v>
      </c>
      <c r="K1475" s="6">
        <v>0</v>
      </c>
      <c r="L1475" s="6">
        <v>1258.903</v>
      </c>
      <c r="M1475" s="6">
        <v>1145.6017300000001</v>
      </c>
      <c r="N1475" s="6">
        <v>1258.903</v>
      </c>
      <c r="O1475" s="6">
        <v>1145.6017300000001</v>
      </c>
      <c r="P1475" s="6">
        <v>0</v>
      </c>
      <c r="Q1475" s="4" t="s">
        <v>26</v>
      </c>
      <c r="R1475" s="4">
        <v>0</v>
      </c>
      <c r="S1475" s="4" t="s">
        <v>195</v>
      </c>
      <c r="T1475" s="4" t="s">
        <v>440</v>
      </c>
      <c r="U1475" s="4">
        <v>0</v>
      </c>
      <c r="V1475" s="4">
        <v>19</v>
      </c>
      <c r="W1475" s="4">
        <v>67</v>
      </c>
    </row>
    <row r="1476" spans="1:23" ht="11.25" customHeight="1" x14ac:dyDescent="0.25">
      <c r="A1476" s="4" t="s">
        <v>28</v>
      </c>
      <c r="B1476" s="4" t="s">
        <v>35</v>
      </c>
      <c r="C1476" s="4" t="s">
        <v>36</v>
      </c>
      <c r="D1476" s="4" t="s">
        <v>52</v>
      </c>
      <c r="E1476" s="4" t="s">
        <v>53</v>
      </c>
      <c r="F1476" s="4" t="s">
        <v>25</v>
      </c>
      <c r="G1476" s="4" t="s">
        <v>25</v>
      </c>
      <c r="H1476" s="4" t="s">
        <v>38</v>
      </c>
      <c r="I1476" s="5">
        <v>44348</v>
      </c>
      <c r="J1476" s="6">
        <v>0</v>
      </c>
      <c r="K1476" s="6">
        <v>0</v>
      </c>
      <c r="L1476" s="6">
        <v>586.72699999999998</v>
      </c>
      <c r="M1476" s="6">
        <v>533.92156999999997</v>
      </c>
      <c r="N1476" s="6">
        <v>586.72699999999998</v>
      </c>
      <c r="O1476" s="6">
        <v>533.92156999999997</v>
      </c>
      <c r="P1476" s="6">
        <v>0</v>
      </c>
      <c r="Q1476" s="4" t="s">
        <v>26</v>
      </c>
      <c r="R1476" s="4">
        <v>0</v>
      </c>
      <c r="S1476" s="4" t="s">
        <v>195</v>
      </c>
      <c r="T1476" s="4" t="s">
        <v>440</v>
      </c>
      <c r="U1476" s="4">
        <v>0</v>
      </c>
      <c r="V1476" s="4">
        <v>19</v>
      </c>
      <c r="W1476" s="4">
        <v>67</v>
      </c>
    </row>
    <row r="1477" spans="1:23" ht="11.25" customHeight="1" x14ac:dyDescent="0.25">
      <c r="A1477" s="4" t="s">
        <v>21</v>
      </c>
      <c r="B1477" s="4" t="s">
        <v>35</v>
      </c>
      <c r="C1477" s="4" t="s">
        <v>36</v>
      </c>
      <c r="D1477" s="4" t="s">
        <v>52</v>
      </c>
      <c r="E1477" s="4" t="s">
        <v>53</v>
      </c>
      <c r="F1477" s="4" t="s">
        <v>25</v>
      </c>
      <c r="G1477" s="4" t="s">
        <v>25</v>
      </c>
      <c r="H1477" s="4" t="s">
        <v>38</v>
      </c>
      <c r="I1477" s="5">
        <v>44378</v>
      </c>
      <c r="J1477" s="6">
        <v>0</v>
      </c>
      <c r="K1477" s="6">
        <v>0</v>
      </c>
      <c r="L1477" s="6">
        <v>1375.585</v>
      </c>
      <c r="M1477" s="6">
        <v>1251.78235</v>
      </c>
      <c r="N1477" s="6">
        <v>1375.585</v>
      </c>
      <c r="O1477" s="6">
        <v>1251.78235</v>
      </c>
      <c r="P1477" s="6">
        <v>0</v>
      </c>
      <c r="Q1477" s="4" t="s">
        <v>26</v>
      </c>
      <c r="R1477" s="4">
        <v>0</v>
      </c>
      <c r="S1477" s="4" t="s">
        <v>196</v>
      </c>
      <c r="T1477" s="4" t="s">
        <v>441</v>
      </c>
      <c r="U1477" s="4">
        <v>0</v>
      </c>
      <c r="V1477" s="4">
        <v>19</v>
      </c>
      <c r="W1477" s="4">
        <v>67</v>
      </c>
    </row>
    <row r="1478" spans="1:23" ht="11.25" customHeight="1" x14ac:dyDescent="0.25">
      <c r="A1478" s="4" t="s">
        <v>28</v>
      </c>
      <c r="B1478" s="4" t="s">
        <v>35</v>
      </c>
      <c r="C1478" s="4" t="s">
        <v>36</v>
      </c>
      <c r="D1478" s="4" t="s">
        <v>52</v>
      </c>
      <c r="E1478" s="4" t="s">
        <v>53</v>
      </c>
      <c r="F1478" s="4" t="s">
        <v>25</v>
      </c>
      <c r="G1478" s="4" t="s">
        <v>25</v>
      </c>
      <c r="H1478" s="4" t="s">
        <v>38</v>
      </c>
      <c r="I1478" s="5">
        <v>44378</v>
      </c>
      <c r="J1478" s="6">
        <v>0</v>
      </c>
      <c r="K1478" s="6">
        <v>0</v>
      </c>
      <c r="L1478" s="6">
        <v>597.23299999999995</v>
      </c>
      <c r="M1478" s="6">
        <v>543.48203000000001</v>
      </c>
      <c r="N1478" s="6">
        <v>597.23299999999995</v>
      </c>
      <c r="O1478" s="6">
        <v>543.48203000000001</v>
      </c>
      <c r="P1478" s="6">
        <v>0</v>
      </c>
      <c r="Q1478" s="4" t="s">
        <v>26</v>
      </c>
      <c r="R1478" s="4">
        <v>0</v>
      </c>
      <c r="S1478" s="4" t="s">
        <v>196</v>
      </c>
      <c r="T1478" s="4" t="s">
        <v>441</v>
      </c>
      <c r="U1478" s="4">
        <v>0</v>
      </c>
      <c r="V1478" s="4">
        <v>19</v>
      </c>
      <c r="W1478" s="4">
        <v>67</v>
      </c>
    </row>
    <row r="1479" spans="1:23" ht="11.25" customHeight="1" x14ac:dyDescent="0.25">
      <c r="A1479" s="4" t="s">
        <v>21</v>
      </c>
      <c r="B1479" s="4" t="s">
        <v>35</v>
      </c>
      <c r="C1479" s="4" t="s">
        <v>36</v>
      </c>
      <c r="D1479" s="4" t="s">
        <v>52</v>
      </c>
      <c r="E1479" s="4" t="s">
        <v>53</v>
      </c>
      <c r="F1479" s="4" t="s">
        <v>25</v>
      </c>
      <c r="G1479" s="4" t="s">
        <v>25</v>
      </c>
      <c r="H1479" s="4" t="s">
        <v>38</v>
      </c>
      <c r="I1479" s="5">
        <v>44409</v>
      </c>
      <c r="J1479" s="6">
        <v>0</v>
      </c>
      <c r="K1479" s="6">
        <v>0</v>
      </c>
      <c r="L1479" s="6">
        <v>1358.9</v>
      </c>
      <c r="M1479" s="6">
        <v>1236.5989999999999</v>
      </c>
      <c r="N1479" s="6">
        <v>1358.9</v>
      </c>
      <c r="O1479" s="6">
        <v>1236.5989999999999</v>
      </c>
      <c r="P1479" s="6">
        <v>0</v>
      </c>
      <c r="Q1479" s="4" t="s">
        <v>26</v>
      </c>
      <c r="R1479" s="4">
        <v>0</v>
      </c>
      <c r="S1479" s="4" t="s">
        <v>197</v>
      </c>
      <c r="T1479" s="4" t="s">
        <v>442</v>
      </c>
      <c r="U1479" s="4">
        <v>0</v>
      </c>
      <c r="V1479" s="4">
        <v>19</v>
      </c>
      <c r="W1479" s="4">
        <v>67</v>
      </c>
    </row>
    <row r="1480" spans="1:23" ht="11.25" customHeight="1" x14ac:dyDescent="0.25">
      <c r="A1480" s="4" t="s">
        <v>28</v>
      </c>
      <c r="B1480" s="4" t="s">
        <v>35</v>
      </c>
      <c r="C1480" s="4" t="s">
        <v>36</v>
      </c>
      <c r="D1480" s="4" t="s">
        <v>52</v>
      </c>
      <c r="E1480" s="4" t="s">
        <v>53</v>
      </c>
      <c r="F1480" s="4" t="s">
        <v>25</v>
      </c>
      <c r="G1480" s="4" t="s">
        <v>25</v>
      </c>
      <c r="H1480" s="4" t="s">
        <v>38</v>
      </c>
      <c r="I1480" s="5">
        <v>44409</v>
      </c>
      <c r="J1480" s="6">
        <v>0</v>
      </c>
      <c r="K1480" s="6">
        <v>0</v>
      </c>
      <c r="L1480" s="6">
        <v>634.44100000000003</v>
      </c>
      <c r="M1480" s="6">
        <v>577.34131000000002</v>
      </c>
      <c r="N1480" s="6">
        <v>634.44100000000003</v>
      </c>
      <c r="O1480" s="6">
        <v>577.34131000000002</v>
      </c>
      <c r="P1480" s="6">
        <v>0</v>
      </c>
      <c r="Q1480" s="4" t="s">
        <v>26</v>
      </c>
      <c r="R1480" s="4">
        <v>0</v>
      </c>
      <c r="S1480" s="4" t="s">
        <v>197</v>
      </c>
      <c r="T1480" s="4" t="s">
        <v>442</v>
      </c>
      <c r="U1480" s="4">
        <v>0</v>
      </c>
      <c r="V1480" s="4">
        <v>19</v>
      </c>
      <c r="W1480" s="4">
        <v>67</v>
      </c>
    </row>
    <row r="1481" spans="1:23" ht="11.25" customHeight="1" x14ac:dyDescent="0.25">
      <c r="A1481" s="4" t="s">
        <v>21</v>
      </c>
      <c r="B1481" s="4" t="s">
        <v>35</v>
      </c>
      <c r="C1481" s="4" t="s">
        <v>36</v>
      </c>
      <c r="D1481" s="4" t="s">
        <v>52</v>
      </c>
      <c r="E1481" s="4" t="s">
        <v>53</v>
      </c>
      <c r="F1481" s="4" t="s">
        <v>25</v>
      </c>
      <c r="G1481" s="4" t="s">
        <v>25</v>
      </c>
      <c r="H1481" s="4" t="s">
        <v>38</v>
      </c>
      <c r="I1481" s="5">
        <v>44440</v>
      </c>
      <c r="J1481" s="6">
        <v>0</v>
      </c>
      <c r="K1481" s="6">
        <v>0</v>
      </c>
      <c r="L1481" s="6">
        <v>1113.9380000000001</v>
      </c>
      <c r="M1481" s="6">
        <v>1013.68358</v>
      </c>
      <c r="N1481" s="6">
        <v>1113.9380000000001</v>
      </c>
      <c r="O1481" s="6">
        <v>1013.68358</v>
      </c>
      <c r="P1481" s="6">
        <v>0</v>
      </c>
      <c r="Q1481" s="4" t="s">
        <v>26</v>
      </c>
      <c r="R1481" s="4">
        <v>0</v>
      </c>
      <c r="S1481" s="4" t="s">
        <v>198</v>
      </c>
      <c r="T1481" s="4" t="s">
        <v>443</v>
      </c>
      <c r="U1481" s="4">
        <v>0</v>
      </c>
      <c r="V1481" s="4">
        <v>19</v>
      </c>
      <c r="W1481" s="4">
        <v>67</v>
      </c>
    </row>
    <row r="1482" spans="1:23" ht="11.25" customHeight="1" x14ac:dyDescent="0.25">
      <c r="A1482" s="4" t="s">
        <v>28</v>
      </c>
      <c r="B1482" s="4" t="s">
        <v>35</v>
      </c>
      <c r="C1482" s="4" t="s">
        <v>36</v>
      </c>
      <c r="D1482" s="4" t="s">
        <v>52</v>
      </c>
      <c r="E1482" s="4" t="s">
        <v>53</v>
      </c>
      <c r="F1482" s="4" t="s">
        <v>25</v>
      </c>
      <c r="G1482" s="4" t="s">
        <v>25</v>
      </c>
      <c r="H1482" s="4" t="s">
        <v>38</v>
      </c>
      <c r="I1482" s="5">
        <v>44440</v>
      </c>
      <c r="J1482" s="6">
        <v>0</v>
      </c>
      <c r="K1482" s="6">
        <v>0</v>
      </c>
      <c r="L1482" s="6">
        <v>587.50900000000001</v>
      </c>
      <c r="M1482" s="6">
        <v>534.63319000000001</v>
      </c>
      <c r="N1482" s="6">
        <v>587.50900000000001</v>
      </c>
      <c r="O1482" s="6">
        <v>534.63319000000001</v>
      </c>
      <c r="P1482" s="6">
        <v>0</v>
      </c>
      <c r="Q1482" s="4" t="s">
        <v>26</v>
      </c>
      <c r="R1482" s="4">
        <v>0</v>
      </c>
      <c r="S1482" s="4" t="s">
        <v>198</v>
      </c>
      <c r="T1482" s="4" t="s">
        <v>443</v>
      </c>
      <c r="U1482" s="4">
        <v>0</v>
      </c>
      <c r="V1482" s="4">
        <v>19</v>
      </c>
      <c r="W1482" s="4">
        <v>67</v>
      </c>
    </row>
    <row r="1483" spans="1:23" ht="11.25" customHeight="1" x14ac:dyDescent="0.25">
      <c r="A1483" s="4" t="s">
        <v>59</v>
      </c>
      <c r="B1483" s="4" t="s">
        <v>35</v>
      </c>
      <c r="C1483" s="4" t="s">
        <v>36</v>
      </c>
      <c r="D1483" s="4" t="s">
        <v>52</v>
      </c>
      <c r="E1483" s="4" t="s">
        <v>53</v>
      </c>
      <c r="F1483" s="4" t="s">
        <v>25</v>
      </c>
      <c r="G1483" s="4" t="s">
        <v>25</v>
      </c>
      <c r="H1483" s="4" t="s">
        <v>38</v>
      </c>
      <c r="I1483" s="5">
        <v>44470</v>
      </c>
      <c r="J1483" s="6">
        <v>0</v>
      </c>
      <c r="K1483" s="6">
        <v>0</v>
      </c>
      <c r="L1483" s="6">
        <v>1113.9380000000001</v>
      </c>
      <c r="M1483" s="6">
        <v>1013.68358</v>
      </c>
      <c r="N1483" s="6">
        <v>1113.9380000000001</v>
      </c>
      <c r="O1483" s="6">
        <v>1013.68358</v>
      </c>
      <c r="P1483" s="6">
        <v>0</v>
      </c>
      <c r="Q1483" s="4" t="s">
        <v>26</v>
      </c>
      <c r="R1483" s="4">
        <v>0</v>
      </c>
      <c r="S1483" s="4" t="s">
        <v>199</v>
      </c>
      <c r="T1483" s="4" t="s">
        <v>444</v>
      </c>
      <c r="U1483" s="4">
        <v>0</v>
      </c>
      <c r="V1483" s="4">
        <v>19</v>
      </c>
      <c r="W1483" s="4">
        <v>67</v>
      </c>
    </row>
    <row r="1484" spans="1:23" ht="11.25" customHeight="1" x14ac:dyDescent="0.25">
      <c r="A1484" s="4" t="s">
        <v>59</v>
      </c>
      <c r="B1484" s="4" t="s">
        <v>35</v>
      </c>
      <c r="C1484" s="4" t="s">
        <v>36</v>
      </c>
      <c r="D1484" s="4" t="s">
        <v>52</v>
      </c>
      <c r="E1484" s="4" t="s">
        <v>53</v>
      </c>
      <c r="F1484" s="4" t="s">
        <v>25</v>
      </c>
      <c r="G1484" s="4" t="s">
        <v>25</v>
      </c>
      <c r="H1484" s="4" t="s">
        <v>38</v>
      </c>
      <c r="I1484" s="5">
        <v>44470</v>
      </c>
      <c r="J1484" s="6">
        <v>0</v>
      </c>
      <c r="K1484" s="6">
        <v>0</v>
      </c>
      <c r="L1484" s="6">
        <v>587.50900000000001</v>
      </c>
      <c r="M1484" s="6">
        <v>534.63319000000001</v>
      </c>
      <c r="N1484" s="6">
        <v>587.50900000000001</v>
      </c>
      <c r="O1484" s="6">
        <v>534.63319000000001</v>
      </c>
      <c r="P1484" s="6">
        <v>0</v>
      </c>
      <c r="Q1484" s="4" t="s">
        <v>26</v>
      </c>
      <c r="R1484" s="4">
        <v>0</v>
      </c>
      <c r="S1484" s="4" t="s">
        <v>199</v>
      </c>
      <c r="T1484" s="4" t="s">
        <v>444</v>
      </c>
      <c r="U1484" s="4">
        <v>0</v>
      </c>
      <c r="V1484" s="4">
        <v>19</v>
      </c>
      <c r="W1484" s="4">
        <v>67</v>
      </c>
    </row>
    <row r="1485" spans="1:23" ht="11.25" customHeight="1" x14ac:dyDescent="0.25">
      <c r="A1485" s="4" t="s">
        <v>21</v>
      </c>
      <c r="B1485" s="4" t="s">
        <v>35</v>
      </c>
      <c r="C1485" s="4" t="s">
        <v>36</v>
      </c>
      <c r="D1485" s="4" t="s">
        <v>52</v>
      </c>
      <c r="E1485" s="4" t="s">
        <v>53</v>
      </c>
      <c r="F1485" s="4" t="s">
        <v>25</v>
      </c>
      <c r="G1485" s="4" t="s">
        <v>25</v>
      </c>
      <c r="H1485" s="4" t="s">
        <v>25</v>
      </c>
      <c r="I1485" s="5">
        <v>44136</v>
      </c>
      <c r="J1485" s="6">
        <v>3874</v>
      </c>
      <c r="K1485" s="6">
        <v>3525.34</v>
      </c>
      <c r="L1485" s="6">
        <v>0</v>
      </c>
      <c r="M1485" s="6">
        <v>0</v>
      </c>
      <c r="N1485" s="6">
        <v>0</v>
      </c>
      <c r="O1485" s="6">
        <v>0</v>
      </c>
      <c r="P1485" s="6">
        <v>57</v>
      </c>
      <c r="Q1485" s="4" t="s">
        <v>26</v>
      </c>
      <c r="R1485" s="4">
        <v>0</v>
      </c>
      <c r="S1485" s="4" t="s">
        <v>200</v>
      </c>
      <c r="U1485" s="4">
        <v>23</v>
      </c>
      <c r="V1485" s="4">
        <v>0</v>
      </c>
      <c r="W1485" s="4">
        <v>0</v>
      </c>
    </row>
    <row r="1486" spans="1:23" ht="11.25" customHeight="1" x14ac:dyDescent="0.25">
      <c r="A1486" s="4" t="s">
        <v>28</v>
      </c>
      <c r="B1486" s="4" t="s">
        <v>35</v>
      </c>
      <c r="C1486" s="4" t="s">
        <v>36</v>
      </c>
      <c r="D1486" s="4" t="s">
        <v>52</v>
      </c>
      <c r="E1486" s="4" t="s">
        <v>53</v>
      </c>
      <c r="F1486" s="4" t="s">
        <v>25</v>
      </c>
      <c r="G1486" s="4" t="s">
        <v>25</v>
      </c>
      <c r="H1486" s="4" t="s">
        <v>25</v>
      </c>
      <c r="I1486" s="5">
        <v>44136</v>
      </c>
      <c r="J1486" s="6">
        <v>1536</v>
      </c>
      <c r="K1486" s="6">
        <v>1397.76</v>
      </c>
      <c r="L1486" s="6">
        <v>0</v>
      </c>
      <c r="M1486" s="6">
        <v>0</v>
      </c>
      <c r="N1486" s="6">
        <v>0</v>
      </c>
      <c r="O1486" s="6">
        <v>0</v>
      </c>
      <c r="P1486" s="6">
        <v>15</v>
      </c>
      <c r="Q1486" s="4" t="s">
        <v>26</v>
      </c>
      <c r="R1486" s="4">
        <v>0</v>
      </c>
      <c r="S1486" s="4" t="s">
        <v>200</v>
      </c>
      <c r="U1486" s="4">
        <v>23</v>
      </c>
      <c r="V1486" s="4">
        <v>0</v>
      </c>
      <c r="W1486" s="4">
        <v>0</v>
      </c>
    </row>
    <row r="1487" spans="1:23" ht="11.25" customHeight="1" x14ac:dyDescent="0.25">
      <c r="A1487" s="4" t="s">
        <v>21</v>
      </c>
      <c r="B1487" s="4" t="s">
        <v>35</v>
      </c>
      <c r="C1487" s="4" t="s">
        <v>36</v>
      </c>
      <c r="D1487" s="4" t="s">
        <v>52</v>
      </c>
      <c r="E1487" s="4" t="s">
        <v>53</v>
      </c>
      <c r="F1487" s="4" t="s">
        <v>25</v>
      </c>
      <c r="G1487" s="4" t="s">
        <v>25</v>
      </c>
      <c r="H1487" s="4" t="s">
        <v>25</v>
      </c>
      <c r="I1487" s="5">
        <v>44166</v>
      </c>
      <c r="J1487" s="6">
        <v>3837</v>
      </c>
      <c r="K1487" s="6">
        <v>3491.67</v>
      </c>
      <c r="L1487" s="6">
        <v>0</v>
      </c>
      <c r="M1487" s="6">
        <v>0</v>
      </c>
      <c r="N1487" s="6">
        <v>0</v>
      </c>
      <c r="O1487" s="6">
        <v>0</v>
      </c>
      <c r="P1487" s="6">
        <v>57</v>
      </c>
      <c r="Q1487" s="4" t="s">
        <v>26</v>
      </c>
      <c r="R1487" s="4">
        <v>0</v>
      </c>
      <c r="S1487" s="4" t="s">
        <v>201</v>
      </c>
      <c r="U1487" s="4">
        <v>23</v>
      </c>
      <c r="V1487" s="4">
        <v>0</v>
      </c>
      <c r="W1487" s="4">
        <v>0</v>
      </c>
    </row>
    <row r="1488" spans="1:23" ht="11.25" customHeight="1" x14ac:dyDescent="0.25">
      <c r="A1488" s="4" t="s">
        <v>28</v>
      </c>
      <c r="B1488" s="4" t="s">
        <v>35</v>
      </c>
      <c r="C1488" s="4" t="s">
        <v>36</v>
      </c>
      <c r="D1488" s="4" t="s">
        <v>52</v>
      </c>
      <c r="E1488" s="4" t="s">
        <v>53</v>
      </c>
      <c r="F1488" s="4" t="s">
        <v>25</v>
      </c>
      <c r="G1488" s="4" t="s">
        <v>25</v>
      </c>
      <c r="H1488" s="4" t="s">
        <v>25</v>
      </c>
      <c r="I1488" s="5">
        <v>44166</v>
      </c>
      <c r="J1488" s="6">
        <v>1522</v>
      </c>
      <c r="K1488" s="6">
        <v>1385.02</v>
      </c>
      <c r="L1488" s="6">
        <v>0</v>
      </c>
      <c r="M1488" s="6">
        <v>0</v>
      </c>
      <c r="N1488" s="6">
        <v>0</v>
      </c>
      <c r="O1488" s="6">
        <v>0</v>
      </c>
      <c r="P1488" s="6">
        <v>15</v>
      </c>
      <c r="Q1488" s="4" t="s">
        <v>26</v>
      </c>
      <c r="R1488" s="4">
        <v>0</v>
      </c>
      <c r="S1488" s="4" t="s">
        <v>201</v>
      </c>
      <c r="U1488" s="4">
        <v>23</v>
      </c>
      <c r="V1488" s="4">
        <v>0</v>
      </c>
      <c r="W1488" s="4">
        <v>0</v>
      </c>
    </row>
    <row r="1489" spans="1:23" ht="11.25" customHeight="1" x14ac:dyDescent="0.25">
      <c r="A1489" s="4" t="s">
        <v>21</v>
      </c>
      <c r="B1489" s="4" t="s">
        <v>35</v>
      </c>
      <c r="C1489" s="4" t="s">
        <v>36</v>
      </c>
      <c r="D1489" s="4" t="s">
        <v>52</v>
      </c>
      <c r="E1489" s="4" t="s">
        <v>53</v>
      </c>
      <c r="F1489" s="4" t="s">
        <v>25</v>
      </c>
      <c r="G1489" s="4" t="s">
        <v>25</v>
      </c>
      <c r="H1489" s="4" t="s">
        <v>25</v>
      </c>
      <c r="I1489" s="5">
        <v>44197</v>
      </c>
      <c r="J1489" s="6">
        <v>3923</v>
      </c>
      <c r="K1489" s="6">
        <v>3569.9300000000003</v>
      </c>
      <c r="L1489" s="6">
        <v>0</v>
      </c>
      <c r="M1489" s="6">
        <v>0</v>
      </c>
      <c r="N1489" s="6">
        <v>0</v>
      </c>
      <c r="O1489" s="6">
        <v>0</v>
      </c>
      <c r="P1489" s="6">
        <v>57</v>
      </c>
      <c r="Q1489" s="4" t="s">
        <v>26</v>
      </c>
      <c r="R1489" s="4">
        <v>0</v>
      </c>
      <c r="S1489" s="4" t="s">
        <v>202</v>
      </c>
      <c r="U1489" s="4">
        <v>23</v>
      </c>
      <c r="V1489" s="4">
        <v>0</v>
      </c>
      <c r="W1489" s="4">
        <v>0</v>
      </c>
    </row>
    <row r="1490" spans="1:23" ht="11.25" customHeight="1" x14ac:dyDescent="0.25">
      <c r="A1490" s="4" t="s">
        <v>28</v>
      </c>
      <c r="B1490" s="4" t="s">
        <v>35</v>
      </c>
      <c r="C1490" s="4" t="s">
        <v>36</v>
      </c>
      <c r="D1490" s="4" t="s">
        <v>52</v>
      </c>
      <c r="E1490" s="4" t="s">
        <v>53</v>
      </c>
      <c r="F1490" s="4" t="s">
        <v>25</v>
      </c>
      <c r="G1490" s="4" t="s">
        <v>25</v>
      </c>
      <c r="H1490" s="4" t="s">
        <v>25</v>
      </c>
      <c r="I1490" s="5">
        <v>44197</v>
      </c>
      <c r="J1490" s="6">
        <v>1560</v>
      </c>
      <c r="K1490" s="6">
        <v>1419.6000000000001</v>
      </c>
      <c r="L1490" s="6">
        <v>0</v>
      </c>
      <c r="M1490" s="6">
        <v>0</v>
      </c>
      <c r="N1490" s="6">
        <v>0</v>
      </c>
      <c r="O1490" s="6">
        <v>0</v>
      </c>
      <c r="P1490" s="6">
        <v>15</v>
      </c>
      <c r="Q1490" s="4" t="s">
        <v>26</v>
      </c>
      <c r="R1490" s="4">
        <v>0</v>
      </c>
      <c r="S1490" s="4" t="s">
        <v>202</v>
      </c>
      <c r="U1490" s="4">
        <v>23</v>
      </c>
      <c r="V1490" s="4">
        <v>0</v>
      </c>
      <c r="W1490" s="4">
        <v>0</v>
      </c>
    </row>
    <row r="1491" spans="1:23" ht="11.25" customHeight="1" x14ac:dyDescent="0.25">
      <c r="A1491" s="4" t="s">
        <v>21</v>
      </c>
      <c r="B1491" s="4" t="s">
        <v>35</v>
      </c>
      <c r="C1491" s="4" t="s">
        <v>36</v>
      </c>
      <c r="D1491" s="4" t="s">
        <v>52</v>
      </c>
      <c r="E1491" s="4" t="s">
        <v>53</v>
      </c>
      <c r="F1491" s="4" t="s">
        <v>25</v>
      </c>
      <c r="G1491" s="4" t="s">
        <v>25</v>
      </c>
      <c r="H1491" s="4" t="s">
        <v>25</v>
      </c>
      <c r="I1491" s="5">
        <v>44228</v>
      </c>
      <c r="J1491" s="6">
        <v>3867</v>
      </c>
      <c r="K1491" s="6">
        <v>3518.9700000000003</v>
      </c>
      <c r="L1491" s="6">
        <v>0</v>
      </c>
      <c r="M1491" s="6">
        <v>0</v>
      </c>
      <c r="N1491" s="6">
        <v>0</v>
      </c>
      <c r="O1491" s="6">
        <v>0</v>
      </c>
      <c r="P1491" s="6">
        <v>56</v>
      </c>
      <c r="Q1491" s="4" t="s">
        <v>26</v>
      </c>
      <c r="R1491" s="4">
        <v>0</v>
      </c>
      <c r="S1491" s="4" t="s">
        <v>203</v>
      </c>
      <c r="U1491" s="4">
        <v>23</v>
      </c>
      <c r="V1491" s="4">
        <v>0</v>
      </c>
      <c r="W1491" s="4">
        <v>0</v>
      </c>
    </row>
    <row r="1492" spans="1:23" ht="11.25" customHeight="1" x14ac:dyDescent="0.25">
      <c r="A1492" s="4" t="s">
        <v>28</v>
      </c>
      <c r="B1492" s="4" t="s">
        <v>35</v>
      </c>
      <c r="C1492" s="4" t="s">
        <v>36</v>
      </c>
      <c r="D1492" s="4" t="s">
        <v>52</v>
      </c>
      <c r="E1492" s="4" t="s">
        <v>53</v>
      </c>
      <c r="F1492" s="4" t="s">
        <v>25</v>
      </c>
      <c r="G1492" s="4" t="s">
        <v>25</v>
      </c>
      <c r="H1492" s="4" t="s">
        <v>25</v>
      </c>
      <c r="I1492" s="5">
        <v>44228</v>
      </c>
      <c r="J1492" s="6">
        <v>1554</v>
      </c>
      <c r="K1492" s="6">
        <v>1414.14</v>
      </c>
      <c r="L1492" s="6">
        <v>0</v>
      </c>
      <c r="M1492" s="6">
        <v>0</v>
      </c>
      <c r="N1492" s="6">
        <v>0</v>
      </c>
      <c r="O1492" s="6">
        <v>0</v>
      </c>
      <c r="P1492" s="6">
        <v>15</v>
      </c>
      <c r="Q1492" s="4" t="s">
        <v>26</v>
      </c>
      <c r="R1492" s="4">
        <v>0</v>
      </c>
      <c r="S1492" s="4" t="s">
        <v>203</v>
      </c>
      <c r="U1492" s="4">
        <v>23</v>
      </c>
      <c r="V1492" s="4">
        <v>0</v>
      </c>
      <c r="W1492" s="4">
        <v>0</v>
      </c>
    </row>
    <row r="1493" spans="1:23" ht="11.25" customHeight="1" x14ac:dyDescent="0.25">
      <c r="A1493" s="4" t="s">
        <v>21</v>
      </c>
      <c r="B1493" s="4" t="s">
        <v>35</v>
      </c>
      <c r="C1493" s="4" t="s">
        <v>36</v>
      </c>
      <c r="D1493" s="4" t="s">
        <v>52</v>
      </c>
      <c r="E1493" s="4" t="s">
        <v>53</v>
      </c>
      <c r="F1493" s="4" t="s">
        <v>25</v>
      </c>
      <c r="G1493" s="4" t="s">
        <v>25</v>
      </c>
      <c r="H1493" s="4" t="s">
        <v>25</v>
      </c>
      <c r="I1493" s="5">
        <v>44256</v>
      </c>
      <c r="J1493" s="6">
        <v>4059</v>
      </c>
      <c r="K1493" s="6">
        <v>3693.69</v>
      </c>
      <c r="L1493" s="6">
        <v>0</v>
      </c>
      <c r="M1493" s="6">
        <v>0</v>
      </c>
      <c r="N1493" s="6">
        <v>0</v>
      </c>
      <c r="O1493" s="6">
        <v>0</v>
      </c>
      <c r="P1493" s="6">
        <v>59</v>
      </c>
      <c r="Q1493" s="4" t="s">
        <v>26</v>
      </c>
      <c r="R1493" s="4">
        <v>0</v>
      </c>
      <c r="S1493" s="4" t="s">
        <v>204</v>
      </c>
      <c r="U1493" s="4">
        <v>23</v>
      </c>
      <c r="V1493" s="4">
        <v>0</v>
      </c>
      <c r="W1493" s="4">
        <v>0</v>
      </c>
    </row>
    <row r="1494" spans="1:23" ht="11.25" customHeight="1" x14ac:dyDescent="0.25">
      <c r="A1494" s="4" t="s">
        <v>28</v>
      </c>
      <c r="B1494" s="4" t="s">
        <v>35</v>
      </c>
      <c r="C1494" s="4" t="s">
        <v>36</v>
      </c>
      <c r="D1494" s="4" t="s">
        <v>52</v>
      </c>
      <c r="E1494" s="4" t="s">
        <v>53</v>
      </c>
      <c r="F1494" s="4" t="s">
        <v>25</v>
      </c>
      <c r="G1494" s="4" t="s">
        <v>25</v>
      </c>
      <c r="H1494" s="4" t="s">
        <v>25</v>
      </c>
      <c r="I1494" s="5">
        <v>44256</v>
      </c>
      <c r="J1494" s="6">
        <v>1516</v>
      </c>
      <c r="K1494" s="6">
        <v>1379.56</v>
      </c>
      <c r="L1494" s="6">
        <v>0</v>
      </c>
      <c r="M1494" s="6">
        <v>0</v>
      </c>
      <c r="N1494" s="6">
        <v>0</v>
      </c>
      <c r="O1494" s="6">
        <v>0</v>
      </c>
      <c r="P1494" s="6">
        <v>15</v>
      </c>
      <c r="Q1494" s="4" t="s">
        <v>26</v>
      </c>
      <c r="R1494" s="4">
        <v>0</v>
      </c>
      <c r="S1494" s="4" t="s">
        <v>204</v>
      </c>
      <c r="U1494" s="4">
        <v>23</v>
      </c>
      <c r="V1494" s="4">
        <v>0</v>
      </c>
      <c r="W1494" s="4">
        <v>0</v>
      </c>
    </row>
    <row r="1495" spans="1:23" ht="11.25" customHeight="1" x14ac:dyDescent="0.25">
      <c r="A1495" s="4" t="s">
        <v>21</v>
      </c>
      <c r="B1495" s="4" t="s">
        <v>35</v>
      </c>
      <c r="C1495" s="4" t="s">
        <v>36</v>
      </c>
      <c r="D1495" s="4" t="s">
        <v>52</v>
      </c>
      <c r="E1495" s="4" t="s">
        <v>53</v>
      </c>
      <c r="F1495" s="4" t="s">
        <v>25</v>
      </c>
      <c r="G1495" s="4" t="s">
        <v>25</v>
      </c>
      <c r="H1495" s="4" t="s">
        <v>25</v>
      </c>
      <c r="I1495" s="5">
        <v>44287</v>
      </c>
      <c r="J1495" s="6">
        <v>3935</v>
      </c>
      <c r="K1495" s="6">
        <v>3580.85</v>
      </c>
      <c r="L1495" s="6">
        <v>0</v>
      </c>
      <c r="M1495" s="6">
        <v>0</v>
      </c>
      <c r="N1495" s="6">
        <v>0</v>
      </c>
      <c r="O1495" s="6">
        <v>0</v>
      </c>
      <c r="P1495" s="6">
        <v>57</v>
      </c>
      <c r="Q1495" s="4" t="s">
        <v>26</v>
      </c>
      <c r="R1495" s="4">
        <v>0</v>
      </c>
      <c r="S1495" s="4" t="s">
        <v>205</v>
      </c>
      <c r="U1495" s="4">
        <v>23</v>
      </c>
      <c r="V1495" s="4">
        <v>0</v>
      </c>
      <c r="W1495" s="4">
        <v>0</v>
      </c>
    </row>
    <row r="1496" spans="1:23" ht="11.25" customHeight="1" x14ac:dyDescent="0.25">
      <c r="A1496" s="4" t="s">
        <v>27</v>
      </c>
      <c r="B1496" s="4" t="s">
        <v>35</v>
      </c>
      <c r="C1496" s="4" t="s">
        <v>36</v>
      </c>
      <c r="D1496" s="4" t="s">
        <v>52</v>
      </c>
      <c r="E1496" s="4" t="s">
        <v>53</v>
      </c>
      <c r="F1496" s="4" t="s">
        <v>25</v>
      </c>
      <c r="G1496" s="4" t="s">
        <v>25</v>
      </c>
      <c r="H1496" s="4" t="s">
        <v>25</v>
      </c>
      <c r="I1496" s="5">
        <v>44287</v>
      </c>
      <c r="J1496" s="6">
        <v>-95</v>
      </c>
      <c r="K1496" s="6">
        <v>-86.45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4" t="s">
        <v>26</v>
      </c>
      <c r="R1496" s="4">
        <v>0</v>
      </c>
      <c r="S1496" s="4" t="s">
        <v>205</v>
      </c>
      <c r="U1496" s="4">
        <v>23</v>
      </c>
      <c r="V1496" s="4">
        <v>0</v>
      </c>
      <c r="W1496" s="4">
        <v>0</v>
      </c>
    </row>
    <row r="1497" spans="1:23" ht="11.25" customHeight="1" x14ac:dyDescent="0.25">
      <c r="A1497" s="4" t="s">
        <v>28</v>
      </c>
      <c r="B1497" s="4" t="s">
        <v>35</v>
      </c>
      <c r="C1497" s="4" t="s">
        <v>36</v>
      </c>
      <c r="D1497" s="4" t="s">
        <v>52</v>
      </c>
      <c r="E1497" s="4" t="s">
        <v>53</v>
      </c>
      <c r="F1497" s="4" t="s">
        <v>25</v>
      </c>
      <c r="G1497" s="4" t="s">
        <v>25</v>
      </c>
      <c r="H1497" s="4" t="s">
        <v>25</v>
      </c>
      <c r="I1497" s="5">
        <v>44287</v>
      </c>
      <c r="J1497" s="6">
        <v>1563</v>
      </c>
      <c r="K1497" s="6">
        <v>1422.3300000000002</v>
      </c>
      <c r="L1497" s="6">
        <v>0</v>
      </c>
      <c r="M1497" s="6">
        <v>0</v>
      </c>
      <c r="N1497" s="6">
        <v>0</v>
      </c>
      <c r="O1497" s="6">
        <v>0</v>
      </c>
      <c r="P1497" s="6">
        <v>16</v>
      </c>
      <c r="Q1497" s="4" t="s">
        <v>26</v>
      </c>
      <c r="R1497" s="4">
        <v>0</v>
      </c>
      <c r="S1497" s="4" t="s">
        <v>205</v>
      </c>
      <c r="U1497" s="4">
        <v>23</v>
      </c>
      <c r="V1497" s="4">
        <v>0</v>
      </c>
      <c r="W1497" s="4">
        <v>0</v>
      </c>
    </row>
    <row r="1498" spans="1:23" ht="11.25" customHeight="1" x14ac:dyDescent="0.25">
      <c r="A1498" s="4" t="s">
        <v>21</v>
      </c>
      <c r="B1498" s="4" t="s">
        <v>35</v>
      </c>
      <c r="C1498" s="4" t="s">
        <v>36</v>
      </c>
      <c r="D1498" s="4" t="s">
        <v>52</v>
      </c>
      <c r="E1498" s="4" t="s">
        <v>53</v>
      </c>
      <c r="F1498" s="4" t="s">
        <v>25</v>
      </c>
      <c r="G1498" s="4" t="s">
        <v>25</v>
      </c>
      <c r="H1498" s="4" t="s">
        <v>25</v>
      </c>
      <c r="I1498" s="5">
        <v>44317</v>
      </c>
      <c r="J1498" s="6">
        <v>3765</v>
      </c>
      <c r="K1498" s="6">
        <v>3426.15</v>
      </c>
      <c r="L1498" s="6">
        <v>0</v>
      </c>
      <c r="M1498" s="6">
        <v>0</v>
      </c>
      <c r="N1498" s="6">
        <v>0</v>
      </c>
      <c r="O1498" s="6">
        <v>0</v>
      </c>
      <c r="P1498" s="6">
        <v>57</v>
      </c>
      <c r="Q1498" s="4" t="s">
        <v>26</v>
      </c>
      <c r="R1498" s="4">
        <v>0</v>
      </c>
      <c r="S1498" s="4" t="s">
        <v>206</v>
      </c>
      <c r="U1498" s="4">
        <v>23</v>
      </c>
      <c r="V1498" s="4">
        <v>0</v>
      </c>
      <c r="W1498" s="4">
        <v>0</v>
      </c>
    </row>
    <row r="1499" spans="1:23" ht="11.25" customHeight="1" x14ac:dyDescent="0.25">
      <c r="A1499" s="4" t="s">
        <v>28</v>
      </c>
      <c r="B1499" s="4" t="s">
        <v>35</v>
      </c>
      <c r="C1499" s="4" t="s">
        <v>36</v>
      </c>
      <c r="D1499" s="4" t="s">
        <v>52</v>
      </c>
      <c r="E1499" s="4" t="s">
        <v>53</v>
      </c>
      <c r="F1499" s="4" t="s">
        <v>25</v>
      </c>
      <c r="G1499" s="4" t="s">
        <v>25</v>
      </c>
      <c r="H1499" s="4" t="s">
        <v>25</v>
      </c>
      <c r="I1499" s="5">
        <v>44317</v>
      </c>
      <c r="J1499" s="6">
        <v>1757</v>
      </c>
      <c r="K1499" s="6">
        <v>1598.87</v>
      </c>
      <c r="L1499" s="6">
        <v>0</v>
      </c>
      <c r="M1499" s="6">
        <v>0</v>
      </c>
      <c r="N1499" s="6">
        <v>0</v>
      </c>
      <c r="O1499" s="6">
        <v>0</v>
      </c>
      <c r="P1499" s="6">
        <v>18</v>
      </c>
      <c r="Q1499" s="4" t="s">
        <v>26</v>
      </c>
      <c r="R1499" s="4">
        <v>0</v>
      </c>
      <c r="S1499" s="4" t="s">
        <v>206</v>
      </c>
      <c r="U1499" s="4">
        <v>23</v>
      </c>
      <c r="V1499" s="4">
        <v>0</v>
      </c>
      <c r="W1499" s="4">
        <v>0</v>
      </c>
    </row>
    <row r="1500" spans="1:23" ht="11.25" customHeight="1" x14ac:dyDescent="0.25">
      <c r="A1500" s="4" t="s">
        <v>29</v>
      </c>
      <c r="B1500" s="4" t="s">
        <v>35</v>
      </c>
      <c r="C1500" s="4" t="s">
        <v>36</v>
      </c>
      <c r="D1500" s="4" t="s">
        <v>52</v>
      </c>
      <c r="E1500" s="4" t="s">
        <v>53</v>
      </c>
      <c r="F1500" s="4" t="s">
        <v>25</v>
      </c>
      <c r="G1500" s="4" t="s">
        <v>25</v>
      </c>
      <c r="H1500" s="4" t="s">
        <v>25</v>
      </c>
      <c r="I1500" s="5">
        <v>44317</v>
      </c>
      <c r="J1500" s="6">
        <v>1800</v>
      </c>
      <c r="K1500" s="6">
        <v>1638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4" t="s">
        <v>26</v>
      </c>
      <c r="R1500" s="4">
        <v>0</v>
      </c>
      <c r="S1500" s="4" t="s">
        <v>206</v>
      </c>
      <c r="U1500" s="4">
        <v>23</v>
      </c>
      <c r="V1500" s="4">
        <v>0</v>
      </c>
      <c r="W1500" s="4">
        <v>0</v>
      </c>
    </row>
    <row r="1501" spans="1:23" ht="11.25" customHeight="1" x14ac:dyDescent="0.25">
      <c r="A1501" s="4" t="s">
        <v>21</v>
      </c>
      <c r="B1501" s="4" t="s">
        <v>35</v>
      </c>
      <c r="C1501" s="4" t="s">
        <v>36</v>
      </c>
      <c r="D1501" s="4" t="s">
        <v>52</v>
      </c>
      <c r="E1501" s="4" t="s">
        <v>53</v>
      </c>
      <c r="F1501" s="4" t="s">
        <v>25</v>
      </c>
      <c r="G1501" s="4" t="s">
        <v>25</v>
      </c>
      <c r="H1501" s="4" t="s">
        <v>25</v>
      </c>
      <c r="I1501" s="5">
        <v>44348</v>
      </c>
      <c r="J1501" s="6">
        <v>3917</v>
      </c>
      <c r="K1501" s="6">
        <v>3564.47</v>
      </c>
      <c r="L1501" s="6">
        <v>0</v>
      </c>
      <c r="M1501" s="6">
        <v>0</v>
      </c>
      <c r="N1501" s="6">
        <v>0</v>
      </c>
      <c r="O1501" s="6">
        <v>0</v>
      </c>
      <c r="P1501" s="6">
        <v>56</v>
      </c>
      <c r="Q1501" s="4" t="s">
        <v>26</v>
      </c>
      <c r="R1501" s="4">
        <v>0</v>
      </c>
      <c r="S1501" s="4" t="s">
        <v>207</v>
      </c>
      <c r="U1501" s="4">
        <v>23</v>
      </c>
      <c r="V1501" s="4">
        <v>0</v>
      </c>
      <c r="W1501" s="4">
        <v>0</v>
      </c>
    </row>
    <row r="1502" spans="1:23" ht="11.25" customHeight="1" x14ac:dyDescent="0.25">
      <c r="A1502" s="4" t="s">
        <v>28</v>
      </c>
      <c r="B1502" s="4" t="s">
        <v>35</v>
      </c>
      <c r="C1502" s="4" t="s">
        <v>36</v>
      </c>
      <c r="D1502" s="4" t="s">
        <v>52</v>
      </c>
      <c r="E1502" s="4" t="s">
        <v>53</v>
      </c>
      <c r="F1502" s="4" t="s">
        <v>25</v>
      </c>
      <c r="G1502" s="4" t="s">
        <v>25</v>
      </c>
      <c r="H1502" s="4" t="s">
        <v>25</v>
      </c>
      <c r="I1502" s="5">
        <v>44348</v>
      </c>
      <c r="J1502" s="6">
        <v>1969</v>
      </c>
      <c r="K1502" s="6">
        <v>1791.79</v>
      </c>
      <c r="L1502" s="6">
        <v>0</v>
      </c>
      <c r="M1502" s="6">
        <v>0</v>
      </c>
      <c r="N1502" s="6">
        <v>0</v>
      </c>
      <c r="O1502" s="6">
        <v>0</v>
      </c>
      <c r="P1502" s="6">
        <v>18</v>
      </c>
      <c r="Q1502" s="4" t="s">
        <v>26</v>
      </c>
      <c r="R1502" s="4">
        <v>0</v>
      </c>
      <c r="S1502" s="4" t="s">
        <v>207</v>
      </c>
      <c r="U1502" s="4">
        <v>23</v>
      </c>
      <c r="V1502" s="4">
        <v>0</v>
      </c>
      <c r="W1502" s="4">
        <v>0</v>
      </c>
    </row>
    <row r="1503" spans="1:23" ht="11.25" customHeight="1" x14ac:dyDescent="0.25">
      <c r="A1503" s="4" t="s">
        <v>21</v>
      </c>
      <c r="B1503" s="4" t="s">
        <v>35</v>
      </c>
      <c r="C1503" s="4" t="s">
        <v>36</v>
      </c>
      <c r="D1503" s="4" t="s">
        <v>52</v>
      </c>
      <c r="E1503" s="4" t="s">
        <v>53</v>
      </c>
      <c r="F1503" s="4" t="s">
        <v>25</v>
      </c>
      <c r="G1503" s="4" t="s">
        <v>25</v>
      </c>
      <c r="H1503" s="4" t="s">
        <v>25</v>
      </c>
      <c r="I1503" s="5">
        <v>44378</v>
      </c>
      <c r="J1503" s="6">
        <v>3911</v>
      </c>
      <c r="K1503" s="6">
        <v>3559.01</v>
      </c>
      <c r="L1503" s="6">
        <v>0</v>
      </c>
      <c r="M1503" s="6">
        <v>0</v>
      </c>
      <c r="N1503" s="6">
        <v>0</v>
      </c>
      <c r="O1503" s="6">
        <v>0</v>
      </c>
      <c r="P1503" s="6">
        <v>56</v>
      </c>
      <c r="Q1503" s="4" t="s">
        <v>26</v>
      </c>
      <c r="R1503" s="4">
        <v>0</v>
      </c>
      <c r="S1503" s="4" t="s">
        <v>208</v>
      </c>
      <c r="U1503" s="4">
        <v>23</v>
      </c>
      <c r="V1503" s="4">
        <v>0</v>
      </c>
      <c r="W1503" s="4">
        <v>0</v>
      </c>
    </row>
    <row r="1504" spans="1:23" ht="11.25" customHeight="1" x14ac:dyDescent="0.25">
      <c r="A1504" s="4" t="s">
        <v>28</v>
      </c>
      <c r="B1504" s="4" t="s">
        <v>35</v>
      </c>
      <c r="C1504" s="4" t="s">
        <v>36</v>
      </c>
      <c r="D1504" s="4" t="s">
        <v>52</v>
      </c>
      <c r="E1504" s="4" t="s">
        <v>53</v>
      </c>
      <c r="F1504" s="4" t="s">
        <v>25</v>
      </c>
      <c r="G1504" s="4" t="s">
        <v>25</v>
      </c>
      <c r="H1504" s="4" t="s">
        <v>25</v>
      </c>
      <c r="I1504" s="5">
        <v>44378</v>
      </c>
      <c r="J1504" s="6">
        <v>1810</v>
      </c>
      <c r="K1504" s="6">
        <v>1647.1</v>
      </c>
      <c r="L1504" s="6">
        <v>0</v>
      </c>
      <c r="M1504" s="6">
        <v>0</v>
      </c>
      <c r="N1504" s="6">
        <v>0</v>
      </c>
      <c r="O1504" s="6">
        <v>0</v>
      </c>
      <c r="P1504" s="6">
        <v>18</v>
      </c>
      <c r="Q1504" s="4" t="s">
        <v>26</v>
      </c>
      <c r="R1504" s="4">
        <v>0</v>
      </c>
      <c r="S1504" s="4" t="s">
        <v>208</v>
      </c>
      <c r="U1504" s="4">
        <v>23</v>
      </c>
      <c r="V1504" s="4">
        <v>0</v>
      </c>
      <c r="W1504" s="4">
        <v>0</v>
      </c>
    </row>
    <row r="1505" spans="1:23" ht="11.25" customHeight="1" x14ac:dyDescent="0.25">
      <c r="A1505" s="4" t="s">
        <v>21</v>
      </c>
      <c r="B1505" s="4" t="s">
        <v>35</v>
      </c>
      <c r="C1505" s="4" t="s">
        <v>36</v>
      </c>
      <c r="D1505" s="4" t="s">
        <v>52</v>
      </c>
      <c r="E1505" s="4" t="s">
        <v>53</v>
      </c>
      <c r="F1505" s="4" t="s">
        <v>25</v>
      </c>
      <c r="G1505" s="4" t="s">
        <v>25</v>
      </c>
      <c r="H1505" s="4" t="s">
        <v>25</v>
      </c>
      <c r="I1505" s="5">
        <v>44409</v>
      </c>
      <c r="J1505" s="6">
        <v>3903</v>
      </c>
      <c r="K1505" s="6">
        <v>3551.73</v>
      </c>
      <c r="L1505" s="6">
        <v>0</v>
      </c>
      <c r="M1505" s="6">
        <v>0</v>
      </c>
      <c r="N1505" s="6">
        <v>0</v>
      </c>
      <c r="O1505" s="6">
        <v>0</v>
      </c>
      <c r="P1505" s="6">
        <v>56</v>
      </c>
      <c r="Q1505" s="4" t="s">
        <v>26</v>
      </c>
      <c r="R1505" s="4">
        <v>0</v>
      </c>
      <c r="S1505" s="4" t="s">
        <v>209</v>
      </c>
      <c r="U1505" s="4">
        <v>23</v>
      </c>
      <c r="V1505" s="4">
        <v>0</v>
      </c>
      <c r="W1505" s="4">
        <v>0</v>
      </c>
    </row>
    <row r="1506" spans="1:23" ht="11.25" customHeight="1" x14ac:dyDescent="0.25">
      <c r="A1506" s="4" t="s">
        <v>28</v>
      </c>
      <c r="B1506" s="4" t="s">
        <v>35</v>
      </c>
      <c r="C1506" s="4" t="s">
        <v>36</v>
      </c>
      <c r="D1506" s="4" t="s">
        <v>52</v>
      </c>
      <c r="E1506" s="4" t="s">
        <v>53</v>
      </c>
      <c r="F1506" s="4" t="s">
        <v>25</v>
      </c>
      <c r="G1506" s="4" t="s">
        <v>25</v>
      </c>
      <c r="H1506" s="4" t="s">
        <v>25</v>
      </c>
      <c r="I1506" s="5">
        <v>44409</v>
      </c>
      <c r="J1506" s="6">
        <v>1974</v>
      </c>
      <c r="K1506" s="6">
        <v>1796.34</v>
      </c>
      <c r="L1506" s="6">
        <v>0</v>
      </c>
      <c r="M1506" s="6">
        <v>0</v>
      </c>
      <c r="N1506" s="6">
        <v>0</v>
      </c>
      <c r="O1506" s="6">
        <v>0</v>
      </c>
      <c r="P1506" s="6">
        <v>18</v>
      </c>
      <c r="Q1506" s="4" t="s">
        <v>26</v>
      </c>
      <c r="R1506" s="4">
        <v>0</v>
      </c>
      <c r="S1506" s="4" t="s">
        <v>209</v>
      </c>
      <c r="U1506" s="4">
        <v>23</v>
      </c>
      <c r="V1506" s="4">
        <v>0</v>
      </c>
      <c r="W1506" s="4">
        <v>0</v>
      </c>
    </row>
    <row r="1507" spans="1:23" ht="11.25" customHeight="1" x14ac:dyDescent="0.25">
      <c r="A1507" s="4" t="s">
        <v>21</v>
      </c>
      <c r="B1507" s="4" t="s">
        <v>35</v>
      </c>
      <c r="C1507" s="4" t="s">
        <v>36</v>
      </c>
      <c r="D1507" s="4" t="s">
        <v>52</v>
      </c>
      <c r="E1507" s="4" t="s">
        <v>53</v>
      </c>
      <c r="F1507" s="4" t="s">
        <v>25</v>
      </c>
      <c r="G1507" s="4" t="s">
        <v>25</v>
      </c>
      <c r="H1507" s="4" t="s">
        <v>25</v>
      </c>
      <c r="I1507" s="5">
        <v>44440</v>
      </c>
      <c r="J1507" s="6">
        <v>3576</v>
      </c>
      <c r="K1507" s="6">
        <v>3254.16</v>
      </c>
      <c r="L1507" s="6">
        <v>0</v>
      </c>
      <c r="M1507" s="6">
        <v>0</v>
      </c>
      <c r="N1507" s="6">
        <v>0</v>
      </c>
      <c r="O1507" s="6">
        <v>0</v>
      </c>
      <c r="P1507" s="6">
        <v>53</v>
      </c>
      <c r="Q1507" s="4" t="s">
        <v>26</v>
      </c>
      <c r="R1507" s="4">
        <v>0</v>
      </c>
      <c r="S1507" s="4" t="s">
        <v>210</v>
      </c>
      <c r="U1507" s="4">
        <v>23</v>
      </c>
      <c r="V1507" s="4">
        <v>0</v>
      </c>
      <c r="W1507" s="4">
        <v>0</v>
      </c>
    </row>
    <row r="1508" spans="1:23" ht="11.25" customHeight="1" x14ac:dyDescent="0.25">
      <c r="A1508" s="4" t="s">
        <v>28</v>
      </c>
      <c r="B1508" s="4" t="s">
        <v>35</v>
      </c>
      <c r="C1508" s="4" t="s">
        <v>36</v>
      </c>
      <c r="D1508" s="4" t="s">
        <v>52</v>
      </c>
      <c r="E1508" s="4" t="s">
        <v>53</v>
      </c>
      <c r="F1508" s="4" t="s">
        <v>25</v>
      </c>
      <c r="G1508" s="4" t="s">
        <v>25</v>
      </c>
      <c r="H1508" s="4" t="s">
        <v>25</v>
      </c>
      <c r="I1508" s="5">
        <v>44440</v>
      </c>
      <c r="J1508" s="6">
        <v>1879</v>
      </c>
      <c r="K1508" s="6">
        <v>1709.89</v>
      </c>
      <c r="L1508" s="6">
        <v>0</v>
      </c>
      <c r="M1508" s="6">
        <v>0</v>
      </c>
      <c r="N1508" s="6">
        <v>0</v>
      </c>
      <c r="O1508" s="6">
        <v>0</v>
      </c>
      <c r="P1508" s="6">
        <v>18</v>
      </c>
      <c r="Q1508" s="4" t="s">
        <v>26</v>
      </c>
      <c r="R1508" s="4">
        <v>0</v>
      </c>
      <c r="S1508" s="4" t="s">
        <v>210</v>
      </c>
      <c r="U1508" s="4">
        <v>23</v>
      </c>
      <c r="V1508" s="4">
        <v>0</v>
      </c>
      <c r="W1508" s="4">
        <v>0</v>
      </c>
    </row>
    <row r="1509" spans="1:23" ht="11.25" customHeight="1" x14ac:dyDescent="0.25">
      <c r="A1509" s="4" t="s">
        <v>59</v>
      </c>
      <c r="B1509" s="4" t="s">
        <v>35</v>
      </c>
      <c r="C1509" s="4" t="s">
        <v>36</v>
      </c>
      <c r="D1509" s="4" t="s">
        <v>52</v>
      </c>
      <c r="E1509" s="4" t="s">
        <v>53</v>
      </c>
      <c r="F1509" s="4" t="s">
        <v>25</v>
      </c>
      <c r="G1509" s="4" t="s">
        <v>25</v>
      </c>
      <c r="H1509" s="4" t="s">
        <v>25</v>
      </c>
      <c r="I1509" s="5">
        <v>44470</v>
      </c>
      <c r="J1509" s="6">
        <v>3576</v>
      </c>
      <c r="K1509" s="6">
        <v>3254.16</v>
      </c>
      <c r="L1509" s="6">
        <v>0</v>
      </c>
      <c r="M1509" s="6">
        <v>0</v>
      </c>
      <c r="N1509" s="6">
        <v>0</v>
      </c>
      <c r="O1509" s="6">
        <v>0</v>
      </c>
      <c r="P1509" s="6">
        <v>53</v>
      </c>
      <c r="Q1509" s="4" t="s">
        <v>26</v>
      </c>
      <c r="R1509" s="4">
        <v>0</v>
      </c>
      <c r="S1509" s="4" t="s">
        <v>211</v>
      </c>
      <c r="U1509" s="4">
        <v>23</v>
      </c>
      <c r="V1509" s="4">
        <v>0</v>
      </c>
      <c r="W1509" s="4">
        <v>0</v>
      </c>
    </row>
    <row r="1510" spans="1:23" ht="11.25" customHeight="1" x14ac:dyDescent="0.25">
      <c r="A1510" s="4" t="s">
        <v>59</v>
      </c>
      <c r="B1510" s="4" t="s">
        <v>35</v>
      </c>
      <c r="C1510" s="4" t="s">
        <v>36</v>
      </c>
      <c r="D1510" s="4" t="s">
        <v>52</v>
      </c>
      <c r="E1510" s="4" t="s">
        <v>53</v>
      </c>
      <c r="F1510" s="4" t="s">
        <v>25</v>
      </c>
      <c r="G1510" s="4" t="s">
        <v>25</v>
      </c>
      <c r="H1510" s="4" t="s">
        <v>25</v>
      </c>
      <c r="I1510" s="5">
        <v>44470</v>
      </c>
      <c r="J1510" s="6">
        <v>1879</v>
      </c>
      <c r="K1510" s="6">
        <v>1709.89</v>
      </c>
      <c r="L1510" s="6">
        <v>0</v>
      </c>
      <c r="M1510" s="6">
        <v>0</v>
      </c>
      <c r="N1510" s="6">
        <v>0</v>
      </c>
      <c r="O1510" s="6">
        <v>0</v>
      </c>
      <c r="P1510" s="6">
        <v>18</v>
      </c>
      <c r="Q1510" s="4" t="s">
        <v>26</v>
      </c>
      <c r="R1510" s="4">
        <v>0</v>
      </c>
      <c r="S1510" s="4" t="s">
        <v>211</v>
      </c>
      <c r="U1510" s="4">
        <v>23</v>
      </c>
      <c r="V1510" s="4">
        <v>0</v>
      </c>
      <c r="W1510" s="4">
        <v>0</v>
      </c>
    </row>
    <row r="1511" spans="1:23" ht="11.25" customHeight="1" x14ac:dyDescent="0.25">
      <c r="A1511" s="4" t="s">
        <v>21</v>
      </c>
      <c r="B1511" s="4" t="s">
        <v>35</v>
      </c>
      <c r="C1511" s="4" t="s">
        <v>36</v>
      </c>
      <c r="D1511" s="4" t="s">
        <v>52</v>
      </c>
      <c r="E1511" s="4" t="s">
        <v>53</v>
      </c>
      <c r="F1511" s="4" t="s">
        <v>25</v>
      </c>
      <c r="G1511" s="4" t="s">
        <v>25</v>
      </c>
      <c r="H1511" s="4" t="s">
        <v>37</v>
      </c>
      <c r="I1511" s="5">
        <v>44136</v>
      </c>
      <c r="J1511" s="6">
        <v>0</v>
      </c>
      <c r="K1511" s="6">
        <v>0</v>
      </c>
      <c r="L1511" s="6">
        <v>121.384</v>
      </c>
      <c r="M1511" s="6">
        <v>110.45944</v>
      </c>
      <c r="N1511" s="6">
        <v>121.384</v>
      </c>
      <c r="O1511" s="6">
        <v>110.45944</v>
      </c>
      <c r="P1511" s="6">
        <v>0</v>
      </c>
      <c r="Q1511" s="4" t="s">
        <v>26</v>
      </c>
      <c r="R1511" s="4">
        <v>0</v>
      </c>
      <c r="S1511" s="4" t="s">
        <v>212</v>
      </c>
      <c r="T1511" s="4" t="s">
        <v>445</v>
      </c>
      <c r="U1511" s="4">
        <v>0</v>
      </c>
      <c r="V1511" s="4">
        <v>24</v>
      </c>
      <c r="W1511" s="4">
        <v>66</v>
      </c>
    </row>
    <row r="1512" spans="1:23" ht="11.25" customHeight="1" x14ac:dyDescent="0.25">
      <c r="A1512" s="4" t="s">
        <v>28</v>
      </c>
      <c r="B1512" s="4" t="s">
        <v>35</v>
      </c>
      <c r="C1512" s="4" t="s">
        <v>36</v>
      </c>
      <c r="D1512" s="4" t="s">
        <v>52</v>
      </c>
      <c r="E1512" s="4" t="s">
        <v>53</v>
      </c>
      <c r="F1512" s="4" t="s">
        <v>25</v>
      </c>
      <c r="G1512" s="4" t="s">
        <v>25</v>
      </c>
      <c r="H1512" s="4" t="s">
        <v>37</v>
      </c>
      <c r="I1512" s="5">
        <v>44136</v>
      </c>
      <c r="J1512" s="6">
        <v>0</v>
      </c>
      <c r="K1512" s="6">
        <v>0</v>
      </c>
      <c r="L1512" s="6">
        <v>83.113</v>
      </c>
      <c r="M1512" s="6">
        <v>75.632829999999998</v>
      </c>
      <c r="N1512" s="6">
        <v>83.113</v>
      </c>
      <c r="O1512" s="6">
        <v>75.632829999999998</v>
      </c>
      <c r="P1512" s="6">
        <v>0</v>
      </c>
      <c r="Q1512" s="4" t="s">
        <v>26</v>
      </c>
      <c r="R1512" s="4">
        <v>0</v>
      </c>
      <c r="S1512" s="4" t="s">
        <v>212</v>
      </c>
      <c r="T1512" s="4" t="s">
        <v>445</v>
      </c>
      <c r="U1512" s="4">
        <v>0</v>
      </c>
      <c r="V1512" s="4">
        <v>24</v>
      </c>
      <c r="W1512" s="4">
        <v>66</v>
      </c>
    </row>
    <row r="1513" spans="1:23" ht="11.25" customHeight="1" x14ac:dyDescent="0.25">
      <c r="A1513" s="4" t="s">
        <v>21</v>
      </c>
      <c r="B1513" s="4" t="s">
        <v>35</v>
      </c>
      <c r="C1513" s="4" t="s">
        <v>36</v>
      </c>
      <c r="D1513" s="4" t="s">
        <v>52</v>
      </c>
      <c r="E1513" s="4" t="s">
        <v>53</v>
      </c>
      <c r="F1513" s="4" t="s">
        <v>25</v>
      </c>
      <c r="G1513" s="4" t="s">
        <v>25</v>
      </c>
      <c r="H1513" s="4" t="s">
        <v>37</v>
      </c>
      <c r="I1513" s="5">
        <v>44166</v>
      </c>
      <c r="J1513" s="6">
        <v>0</v>
      </c>
      <c r="K1513" s="6">
        <v>0</v>
      </c>
      <c r="L1513" s="6">
        <v>132.047</v>
      </c>
      <c r="M1513" s="6">
        <v>120.16276999999999</v>
      </c>
      <c r="N1513" s="6">
        <v>132.047</v>
      </c>
      <c r="O1513" s="6">
        <v>120.16276999999999</v>
      </c>
      <c r="P1513" s="6">
        <v>0</v>
      </c>
      <c r="Q1513" s="4" t="s">
        <v>26</v>
      </c>
      <c r="R1513" s="4">
        <v>0</v>
      </c>
      <c r="S1513" s="4" t="s">
        <v>213</v>
      </c>
      <c r="T1513" s="4" t="s">
        <v>446</v>
      </c>
      <c r="U1513" s="4">
        <v>0</v>
      </c>
      <c r="V1513" s="4">
        <v>24</v>
      </c>
      <c r="W1513" s="4">
        <v>66</v>
      </c>
    </row>
    <row r="1514" spans="1:23" ht="11.25" customHeight="1" x14ac:dyDescent="0.25">
      <c r="A1514" s="4" t="s">
        <v>28</v>
      </c>
      <c r="B1514" s="4" t="s">
        <v>35</v>
      </c>
      <c r="C1514" s="4" t="s">
        <v>36</v>
      </c>
      <c r="D1514" s="4" t="s">
        <v>52</v>
      </c>
      <c r="E1514" s="4" t="s">
        <v>53</v>
      </c>
      <c r="F1514" s="4" t="s">
        <v>25</v>
      </c>
      <c r="G1514" s="4" t="s">
        <v>25</v>
      </c>
      <c r="H1514" s="4" t="s">
        <v>37</v>
      </c>
      <c r="I1514" s="5">
        <v>44166</v>
      </c>
      <c r="J1514" s="6">
        <v>0</v>
      </c>
      <c r="K1514" s="6">
        <v>0</v>
      </c>
      <c r="L1514" s="6">
        <v>87.962000000000003</v>
      </c>
      <c r="M1514" s="6">
        <v>80.045420000000007</v>
      </c>
      <c r="N1514" s="6">
        <v>87.962000000000003</v>
      </c>
      <c r="O1514" s="6">
        <v>80.045420000000007</v>
      </c>
      <c r="P1514" s="6">
        <v>0</v>
      </c>
      <c r="Q1514" s="4" t="s">
        <v>26</v>
      </c>
      <c r="R1514" s="4">
        <v>0</v>
      </c>
      <c r="S1514" s="4" t="s">
        <v>213</v>
      </c>
      <c r="T1514" s="4" t="s">
        <v>446</v>
      </c>
      <c r="U1514" s="4">
        <v>0</v>
      </c>
      <c r="V1514" s="4">
        <v>24</v>
      </c>
      <c r="W1514" s="4">
        <v>66</v>
      </c>
    </row>
    <row r="1515" spans="1:23" ht="11.25" customHeight="1" x14ac:dyDescent="0.25">
      <c r="A1515" s="4" t="s">
        <v>21</v>
      </c>
      <c r="B1515" s="4" t="s">
        <v>35</v>
      </c>
      <c r="C1515" s="4" t="s">
        <v>36</v>
      </c>
      <c r="D1515" s="4" t="s">
        <v>52</v>
      </c>
      <c r="E1515" s="4" t="s">
        <v>53</v>
      </c>
      <c r="F1515" s="4" t="s">
        <v>25</v>
      </c>
      <c r="G1515" s="4" t="s">
        <v>25</v>
      </c>
      <c r="H1515" s="4" t="s">
        <v>37</v>
      </c>
      <c r="I1515" s="5">
        <v>44197</v>
      </c>
      <c r="J1515" s="6">
        <v>0</v>
      </c>
      <c r="K1515" s="6">
        <v>0</v>
      </c>
      <c r="L1515" s="6">
        <v>122.212</v>
      </c>
      <c r="M1515" s="6">
        <v>111.21292000000001</v>
      </c>
      <c r="N1515" s="6">
        <v>122.212</v>
      </c>
      <c r="O1515" s="6">
        <v>111.21292000000001</v>
      </c>
      <c r="P1515" s="6">
        <v>0</v>
      </c>
      <c r="Q1515" s="4" t="s">
        <v>26</v>
      </c>
      <c r="R1515" s="4">
        <v>0</v>
      </c>
      <c r="S1515" s="4" t="s">
        <v>214</v>
      </c>
      <c r="T1515" s="4" t="s">
        <v>447</v>
      </c>
      <c r="U1515" s="4">
        <v>0</v>
      </c>
      <c r="V1515" s="4">
        <v>24</v>
      </c>
      <c r="W1515" s="4">
        <v>66</v>
      </c>
    </row>
    <row r="1516" spans="1:23" ht="11.25" customHeight="1" x14ac:dyDescent="0.25">
      <c r="A1516" s="4" t="s">
        <v>28</v>
      </c>
      <c r="B1516" s="4" t="s">
        <v>35</v>
      </c>
      <c r="C1516" s="4" t="s">
        <v>36</v>
      </c>
      <c r="D1516" s="4" t="s">
        <v>52</v>
      </c>
      <c r="E1516" s="4" t="s">
        <v>53</v>
      </c>
      <c r="F1516" s="4" t="s">
        <v>25</v>
      </c>
      <c r="G1516" s="4" t="s">
        <v>25</v>
      </c>
      <c r="H1516" s="4" t="s">
        <v>37</v>
      </c>
      <c r="I1516" s="5">
        <v>44197</v>
      </c>
      <c r="J1516" s="6">
        <v>0</v>
      </c>
      <c r="K1516" s="6">
        <v>0</v>
      </c>
      <c r="L1516" s="6">
        <v>87.938000000000002</v>
      </c>
      <c r="M1516" s="6">
        <v>80.02358000000001</v>
      </c>
      <c r="N1516" s="6">
        <v>87.938000000000002</v>
      </c>
      <c r="O1516" s="6">
        <v>80.02358000000001</v>
      </c>
      <c r="P1516" s="6">
        <v>0</v>
      </c>
      <c r="Q1516" s="4" t="s">
        <v>26</v>
      </c>
      <c r="R1516" s="4">
        <v>0</v>
      </c>
      <c r="S1516" s="4" t="s">
        <v>214</v>
      </c>
      <c r="T1516" s="4" t="s">
        <v>447</v>
      </c>
      <c r="U1516" s="4">
        <v>0</v>
      </c>
      <c r="V1516" s="4">
        <v>24</v>
      </c>
      <c r="W1516" s="4">
        <v>66</v>
      </c>
    </row>
    <row r="1517" spans="1:23" ht="11.25" customHeight="1" x14ac:dyDescent="0.25">
      <c r="A1517" s="4" t="s">
        <v>21</v>
      </c>
      <c r="B1517" s="4" t="s">
        <v>35</v>
      </c>
      <c r="C1517" s="4" t="s">
        <v>36</v>
      </c>
      <c r="D1517" s="4" t="s">
        <v>52</v>
      </c>
      <c r="E1517" s="4" t="s">
        <v>53</v>
      </c>
      <c r="F1517" s="4" t="s">
        <v>25</v>
      </c>
      <c r="G1517" s="4" t="s">
        <v>25</v>
      </c>
      <c r="H1517" s="4" t="s">
        <v>37</v>
      </c>
      <c r="I1517" s="5">
        <v>44228</v>
      </c>
      <c r="J1517" s="6">
        <v>0</v>
      </c>
      <c r="K1517" s="6">
        <v>0</v>
      </c>
      <c r="L1517" s="6">
        <v>113.482</v>
      </c>
      <c r="M1517" s="6">
        <v>103.26862</v>
      </c>
      <c r="N1517" s="6">
        <v>113.482</v>
      </c>
      <c r="O1517" s="6">
        <v>103.26862</v>
      </c>
      <c r="P1517" s="6">
        <v>0</v>
      </c>
      <c r="Q1517" s="4" t="s">
        <v>26</v>
      </c>
      <c r="R1517" s="4">
        <v>0</v>
      </c>
      <c r="S1517" s="4" t="s">
        <v>215</v>
      </c>
      <c r="T1517" s="4" t="s">
        <v>448</v>
      </c>
      <c r="U1517" s="4">
        <v>0</v>
      </c>
      <c r="V1517" s="4">
        <v>24</v>
      </c>
      <c r="W1517" s="4">
        <v>66</v>
      </c>
    </row>
    <row r="1518" spans="1:23" ht="11.25" customHeight="1" x14ac:dyDescent="0.25">
      <c r="A1518" s="4" t="s">
        <v>28</v>
      </c>
      <c r="B1518" s="4" t="s">
        <v>35</v>
      </c>
      <c r="C1518" s="4" t="s">
        <v>36</v>
      </c>
      <c r="D1518" s="4" t="s">
        <v>52</v>
      </c>
      <c r="E1518" s="4" t="s">
        <v>53</v>
      </c>
      <c r="F1518" s="4" t="s">
        <v>25</v>
      </c>
      <c r="G1518" s="4" t="s">
        <v>25</v>
      </c>
      <c r="H1518" s="4" t="s">
        <v>37</v>
      </c>
      <c r="I1518" s="5">
        <v>44228</v>
      </c>
      <c r="J1518" s="6">
        <v>0</v>
      </c>
      <c r="K1518" s="6">
        <v>0</v>
      </c>
      <c r="L1518" s="6">
        <v>79.055999999999997</v>
      </c>
      <c r="M1518" s="6">
        <v>71.940960000000004</v>
      </c>
      <c r="N1518" s="6">
        <v>79.055999999999997</v>
      </c>
      <c r="O1518" s="6">
        <v>71.940960000000004</v>
      </c>
      <c r="P1518" s="6">
        <v>0</v>
      </c>
      <c r="Q1518" s="4" t="s">
        <v>26</v>
      </c>
      <c r="R1518" s="4">
        <v>0</v>
      </c>
      <c r="S1518" s="4" t="s">
        <v>215</v>
      </c>
      <c r="T1518" s="4" t="s">
        <v>448</v>
      </c>
      <c r="U1518" s="4">
        <v>0</v>
      </c>
      <c r="V1518" s="4">
        <v>24</v>
      </c>
      <c r="W1518" s="4">
        <v>66</v>
      </c>
    </row>
    <row r="1519" spans="1:23" ht="11.25" customHeight="1" x14ac:dyDescent="0.25">
      <c r="A1519" s="4" t="s">
        <v>21</v>
      </c>
      <c r="B1519" s="4" t="s">
        <v>35</v>
      </c>
      <c r="C1519" s="4" t="s">
        <v>36</v>
      </c>
      <c r="D1519" s="4" t="s">
        <v>52</v>
      </c>
      <c r="E1519" s="4" t="s">
        <v>53</v>
      </c>
      <c r="F1519" s="4" t="s">
        <v>25</v>
      </c>
      <c r="G1519" s="4" t="s">
        <v>25</v>
      </c>
      <c r="H1519" s="4" t="s">
        <v>37</v>
      </c>
      <c r="I1519" s="5">
        <v>44256</v>
      </c>
      <c r="J1519" s="6">
        <v>0</v>
      </c>
      <c r="K1519" s="6">
        <v>0</v>
      </c>
      <c r="L1519" s="6">
        <v>135.04</v>
      </c>
      <c r="M1519" s="6">
        <v>122.88639999999999</v>
      </c>
      <c r="N1519" s="6">
        <v>135.04</v>
      </c>
      <c r="O1519" s="6">
        <v>122.88639999999999</v>
      </c>
      <c r="P1519" s="6">
        <v>0</v>
      </c>
      <c r="Q1519" s="4" t="s">
        <v>26</v>
      </c>
      <c r="R1519" s="4">
        <v>0</v>
      </c>
      <c r="S1519" s="4" t="s">
        <v>216</v>
      </c>
      <c r="T1519" s="4" t="s">
        <v>449</v>
      </c>
      <c r="U1519" s="4">
        <v>0</v>
      </c>
      <c r="V1519" s="4">
        <v>24</v>
      </c>
      <c r="W1519" s="4">
        <v>66</v>
      </c>
    </row>
    <row r="1520" spans="1:23" ht="11.25" customHeight="1" x14ac:dyDescent="0.25">
      <c r="A1520" s="4" t="s">
        <v>28</v>
      </c>
      <c r="B1520" s="4" t="s">
        <v>35</v>
      </c>
      <c r="C1520" s="4" t="s">
        <v>36</v>
      </c>
      <c r="D1520" s="4" t="s">
        <v>52</v>
      </c>
      <c r="E1520" s="4" t="s">
        <v>53</v>
      </c>
      <c r="F1520" s="4" t="s">
        <v>25</v>
      </c>
      <c r="G1520" s="4" t="s">
        <v>25</v>
      </c>
      <c r="H1520" s="4" t="s">
        <v>37</v>
      </c>
      <c r="I1520" s="5">
        <v>44256</v>
      </c>
      <c r="J1520" s="6">
        <v>0</v>
      </c>
      <c r="K1520" s="6">
        <v>0</v>
      </c>
      <c r="L1520" s="6">
        <v>82.153999999999996</v>
      </c>
      <c r="M1520" s="6">
        <v>74.760139999999993</v>
      </c>
      <c r="N1520" s="6">
        <v>82.153999999999996</v>
      </c>
      <c r="O1520" s="6">
        <v>74.760139999999993</v>
      </c>
      <c r="P1520" s="6">
        <v>0</v>
      </c>
      <c r="Q1520" s="4" t="s">
        <v>26</v>
      </c>
      <c r="R1520" s="4">
        <v>0</v>
      </c>
      <c r="S1520" s="4" t="s">
        <v>216</v>
      </c>
      <c r="T1520" s="4" t="s">
        <v>449</v>
      </c>
      <c r="U1520" s="4">
        <v>0</v>
      </c>
      <c r="V1520" s="4">
        <v>24</v>
      </c>
      <c r="W1520" s="4">
        <v>66</v>
      </c>
    </row>
    <row r="1521" spans="1:23" ht="11.25" customHeight="1" x14ac:dyDescent="0.25">
      <c r="A1521" s="4" t="s">
        <v>21</v>
      </c>
      <c r="B1521" s="4" t="s">
        <v>35</v>
      </c>
      <c r="C1521" s="4" t="s">
        <v>36</v>
      </c>
      <c r="D1521" s="4" t="s">
        <v>52</v>
      </c>
      <c r="E1521" s="4" t="s">
        <v>53</v>
      </c>
      <c r="F1521" s="4" t="s">
        <v>25</v>
      </c>
      <c r="G1521" s="4" t="s">
        <v>25</v>
      </c>
      <c r="H1521" s="4" t="s">
        <v>37</v>
      </c>
      <c r="I1521" s="5">
        <v>44287</v>
      </c>
      <c r="J1521" s="6">
        <v>0</v>
      </c>
      <c r="K1521" s="6">
        <v>0</v>
      </c>
      <c r="L1521" s="6">
        <v>110.995</v>
      </c>
      <c r="M1521" s="6">
        <v>101.00545000000001</v>
      </c>
      <c r="N1521" s="6">
        <v>110.995</v>
      </c>
      <c r="O1521" s="6">
        <v>101.00545000000001</v>
      </c>
      <c r="P1521" s="6">
        <v>0</v>
      </c>
      <c r="Q1521" s="4" t="s">
        <v>26</v>
      </c>
      <c r="R1521" s="4">
        <v>0</v>
      </c>
      <c r="S1521" s="4" t="s">
        <v>217</v>
      </c>
      <c r="T1521" s="4" t="s">
        <v>450</v>
      </c>
      <c r="U1521" s="4">
        <v>0</v>
      </c>
      <c r="V1521" s="4">
        <v>24</v>
      </c>
      <c r="W1521" s="4">
        <v>66</v>
      </c>
    </row>
    <row r="1522" spans="1:23" ht="11.25" customHeight="1" x14ac:dyDescent="0.25">
      <c r="A1522" s="4" t="s">
        <v>28</v>
      </c>
      <c r="B1522" s="4" t="s">
        <v>35</v>
      </c>
      <c r="C1522" s="4" t="s">
        <v>36</v>
      </c>
      <c r="D1522" s="4" t="s">
        <v>52</v>
      </c>
      <c r="E1522" s="4" t="s">
        <v>53</v>
      </c>
      <c r="F1522" s="4" t="s">
        <v>25</v>
      </c>
      <c r="G1522" s="4" t="s">
        <v>25</v>
      </c>
      <c r="H1522" s="4" t="s">
        <v>37</v>
      </c>
      <c r="I1522" s="5">
        <v>44287</v>
      </c>
      <c r="J1522" s="6">
        <v>0</v>
      </c>
      <c r="K1522" s="6">
        <v>0</v>
      </c>
      <c r="L1522" s="6">
        <v>84.238</v>
      </c>
      <c r="M1522" s="6">
        <v>76.656580000000005</v>
      </c>
      <c r="N1522" s="6">
        <v>84.238</v>
      </c>
      <c r="O1522" s="6">
        <v>76.656580000000005</v>
      </c>
      <c r="P1522" s="6">
        <v>0</v>
      </c>
      <c r="Q1522" s="4" t="s">
        <v>26</v>
      </c>
      <c r="R1522" s="4">
        <v>0</v>
      </c>
      <c r="S1522" s="4" t="s">
        <v>217</v>
      </c>
      <c r="T1522" s="4" t="s">
        <v>450</v>
      </c>
      <c r="U1522" s="4">
        <v>0</v>
      </c>
      <c r="V1522" s="4">
        <v>24</v>
      </c>
      <c r="W1522" s="4">
        <v>66</v>
      </c>
    </row>
    <row r="1523" spans="1:23" ht="11.25" customHeight="1" x14ac:dyDescent="0.25">
      <c r="A1523" s="4" t="s">
        <v>21</v>
      </c>
      <c r="B1523" s="4" t="s">
        <v>35</v>
      </c>
      <c r="C1523" s="4" t="s">
        <v>36</v>
      </c>
      <c r="D1523" s="4" t="s">
        <v>52</v>
      </c>
      <c r="E1523" s="4" t="s">
        <v>53</v>
      </c>
      <c r="F1523" s="4" t="s">
        <v>25</v>
      </c>
      <c r="G1523" s="4" t="s">
        <v>25</v>
      </c>
      <c r="H1523" s="4" t="s">
        <v>37</v>
      </c>
      <c r="I1523" s="5">
        <v>44317</v>
      </c>
      <c r="J1523" s="6">
        <v>0</v>
      </c>
      <c r="K1523" s="6">
        <v>0</v>
      </c>
      <c r="L1523" s="6">
        <v>122.526</v>
      </c>
      <c r="M1523" s="6">
        <v>111.49866</v>
      </c>
      <c r="N1523" s="6">
        <v>122.526</v>
      </c>
      <c r="O1523" s="6">
        <v>111.49866</v>
      </c>
      <c r="P1523" s="6">
        <v>0</v>
      </c>
      <c r="Q1523" s="4" t="s">
        <v>26</v>
      </c>
      <c r="R1523" s="4">
        <v>0</v>
      </c>
      <c r="S1523" s="4" t="s">
        <v>218</v>
      </c>
      <c r="T1523" s="4" t="s">
        <v>451</v>
      </c>
      <c r="U1523" s="4">
        <v>0</v>
      </c>
      <c r="V1523" s="4">
        <v>24</v>
      </c>
      <c r="W1523" s="4">
        <v>66</v>
      </c>
    </row>
    <row r="1524" spans="1:23" ht="11.25" customHeight="1" x14ac:dyDescent="0.25">
      <c r="A1524" s="4" t="s">
        <v>28</v>
      </c>
      <c r="B1524" s="4" t="s">
        <v>35</v>
      </c>
      <c r="C1524" s="4" t="s">
        <v>36</v>
      </c>
      <c r="D1524" s="4" t="s">
        <v>52</v>
      </c>
      <c r="E1524" s="4" t="s">
        <v>53</v>
      </c>
      <c r="F1524" s="4" t="s">
        <v>25</v>
      </c>
      <c r="G1524" s="4" t="s">
        <v>25</v>
      </c>
      <c r="H1524" s="4" t="s">
        <v>37</v>
      </c>
      <c r="I1524" s="5">
        <v>44317</v>
      </c>
      <c r="J1524" s="6">
        <v>0</v>
      </c>
      <c r="K1524" s="6">
        <v>0</v>
      </c>
      <c r="L1524" s="6">
        <v>89.659000000000006</v>
      </c>
      <c r="M1524" s="6">
        <v>81.589690000000004</v>
      </c>
      <c r="N1524" s="6">
        <v>89.659000000000006</v>
      </c>
      <c r="O1524" s="6">
        <v>81.589690000000004</v>
      </c>
      <c r="P1524" s="6">
        <v>0</v>
      </c>
      <c r="Q1524" s="4" t="s">
        <v>26</v>
      </c>
      <c r="R1524" s="4">
        <v>0</v>
      </c>
      <c r="S1524" s="4" t="s">
        <v>218</v>
      </c>
      <c r="T1524" s="4" t="s">
        <v>451</v>
      </c>
      <c r="U1524" s="4">
        <v>0</v>
      </c>
      <c r="V1524" s="4">
        <v>24</v>
      </c>
      <c r="W1524" s="4">
        <v>66</v>
      </c>
    </row>
    <row r="1525" spans="1:23" ht="11.25" customHeight="1" x14ac:dyDescent="0.25">
      <c r="A1525" s="4" t="s">
        <v>29</v>
      </c>
      <c r="B1525" s="4" t="s">
        <v>35</v>
      </c>
      <c r="C1525" s="4" t="s">
        <v>36</v>
      </c>
      <c r="D1525" s="4" t="s">
        <v>52</v>
      </c>
      <c r="E1525" s="4" t="s">
        <v>53</v>
      </c>
      <c r="F1525" s="4" t="s">
        <v>25</v>
      </c>
      <c r="G1525" s="4" t="s">
        <v>25</v>
      </c>
      <c r="H1525" s="4" t="s">
        <v>37</v>
      </c>
      <c r="I1525" s="5">
        <v>44317</v>
      </c>
      <c r="J1525" s="6">
        <v>0</v>
      </c>
      <c r="K1525" s="6">
        <v>0</v>
      </c>
      <c r="L1525" s="6">
        <v>14.61</v>
      </c>
      <c r="M1525" s="6">
        <v>13.2951</v>
      </c>
      <c r="N1525" s="6">
        <v>14.61</v>
      </c>
      <c r="O1525" s="6">
        <v>13.2951</v>
      </c>
      <c r="P1525" s="6">
        <v>0</v>
      </c>
      <c r="Q1525" s="4" t="s">
        <v>26</v>
      </c>
      <c r="R1525" s="4">
        <v>0</v>
      </c>
      <c r="S1525" s="4" t="s">
        <v>218</v>
      </c>
      <c r="T1525" s="4" t="s">
        <v>451</v>
      </c>
      <c r="U1525" s="4">
        <v>0</v>
      </c>
      <c r="V1525" s="4">
        <v>24</v>
      </c>
      <c r="W1525" s="4">
        <v>66</v>
      </c>
    </row>
    <row r="1526" spans="1:23" ht="11.25" customHeight="1" x14ac:dyDescent="0.25">
      <c r="A1526" s="4" t="s">
        <v>21</v>
      </c>
      <c r="B1526" s="4" t="s">
        <v>35</v>
      </c>
      <c r="C1526" s="4" t="s">
        <v>36</v>
      </c>
      <c r="D1526" s="4" t="s">
        <v>52</v>
      </c>
      <c r="E1526" s="4" t="s">
        <v>53</v>
      </c>
      <c r="F1526" s="4" t="s">
        <v>25</v>
      </c>
      <c r="G1526" s="4" t="s">
        <v>25</v>
      </c>
      <c r="H1526" s="4" t="s">
        <v>37</v>
      </c>
      <c r="I1526" s="5">
        <v>44348</v>
      </c>
      <c r="J1526" s="6">
        <v>0</v>
      </c>
      <c r="K1526" s="6">
        <v>0</v>
      </c>
      <c r="L1526" s="6">
        <v>122.699</v>
      </c>
      <c r="M1526" s="6">
        <v>111.65609000000001</v>
      </c>
      <c r="N1526" s="6">
        <v>122.699</v>
      </c>
      <c r="O1526" s="6">
        <v>111.65609000000001</v>
      </c>
      <c r="P1526" s="6">
        <v>0</v>
      </c>
      <c r="Q1526" s="4" t="s">
        <v>26</v>
      </c>
      <c r="R1526" s="4">
        <v>0</v>
      </c>
      <c r="S1526" s="4" t="s">
        <v>219</v>
      </c>
      <c r="T1526" s="4" t="s">
        <v>452</v>
      </c>
      <c r="U1526" s="4">
        <v>0</v>
      </c>
      <c r="V1526" s="4">
        <v>24</v>
      </c>
      <c r="W1526" s="4">
        <v>66</v>
      </c>
    </row>
    <row r="1527" spans="1:23" ht="11.25" customHeight="1" x14ac:dyDescent="0.25">
      <c r="A1527" s="4" t="s">
        <v>28</v>
      </c>
      <c r="B1527" s="4" t="s">
        <v>35</v>
      </c>
      <c r="C1527" s="4" t="s">
        <v>36</v>
      </c>
      <c r="D1527" s="4" t="s">
        <v>52</v>
      </c>
      <c r="E1527" s="4" t="s">
        <v>53</v>
      </c>
      <c r="F1527" s="4" t="s">
        <v>25</v>
      </c>
      <c r="G1527" s="4" t="s">
        <v>25</v>
      </c>
      <c r="H1527" s="4" t="s">
        <v>37</v>
      </c>
      <c r="I1527" s="5">
        <v>44348</v>
      </c>
      <c r="J1527" s="6">
        <v>0</v>
      </c>
      <c r="K1527" s="6">
        <v>0</v>
      </c>
      <c r="L1527" s="6">
        <v>92.828999999999994</v>
      </c>
      <c r="M1527" s="6">
        <v>84.47439</v>
      </c>
      <c r="N1527" s="6">
        <v>92.828999999999994</v>
      </c>
      <c r="O1527" s="6">
        <v>84.47439</v>
      </c>
      <c r="P1527" s="6">
        <v>0</v>
      </c>
      <c r="Q1527" s="4" t="s">
        <v>26</v>
      </c>
      <c r="R1527" s="4">
        <v>0</v>
      </c>
      <c r="S1527" s="4" t="s">
        <v>219</v>
      </c>
      <c r="T1527" s="4" t="s">
        <v>452</v>
      </c>
      <c r="U1527" s="4">
        <v>0</v>
      </c>
      <c r="V1527" s="4">
        <v>24</v>
      </c>
      <c r="W1527" s="4">
        <v>66</v>
      </c>
    </row>
    <row r="1528" spans="1:23" ht="11.25" customHeight="1" x14ac:dyDescent="0.25">
      <c r="A1528" s="4" t="s">
        <v>21</v>
      </c>
      <c r="B1528" s="4" t="s">
        <v>35</v>
      </c>
      <c r="C1528" s="4" t="s">
        <v>36</v>
      </c>
      <c r="D1528" s="4" t="s">
        <v>52</v>
      </c>
      <c r="E1528" s="4" t="s">
        <v>53</v>
      </c>
      <c r="F1528" s="4" t="s">
        <v>25</v>
      </c>
      <c r="G1528" s="4" t="s">
        <v>25</v>
      </c>
      <c r="H1528" s="4" t="s">
        <v>37</v>
      </c>
      <c r="I1528" s="5">
        <v>44378</v>
      </c>
      <c r="J1528" s="6">
        <v>0</v>
      </c>
      <c r="K1528" s="6">
        <v>0</v>
      </c>
      <c r="L1528" s="6">
        <v>137.31800000000001</v>
      </c>
      <c r="M1528" s="6">
        <v>124.95938</v>
      </c>
      <c r="N1528" s="6">
        <v>137.31800000000001</v>
      </c>
      <c r="O1528" s="6">
        <v>124.95938</v>
      </c>
      <c r="P1528" s="6">
        <v>0</v>
      </c>
      <c r="Q1528" s="4" t="s">
        <v>26</v>
      </c>
      <c r="R1528" s="4">
        <v>0</v>
      </c>
      <c r="S1528" s="4" t="s">
        <v>220</v>
      </c>
      <c r="T1528" s="4" t="s">
        <v>453</v>
      </c>
      <c r="U1528" s="4">
        <v>0</v>
      </c>
      <c r="V1528" s="4">
        <v>24</v>
      </c>
      <c r="W1528" s="4">
        <v>66</v>
      </c>
    </row>
    <row r="1529" spans="1:23" ht="11.25" customHeight="1" x14ac:dyDescent="0.25">
      <c r="A1529" s="4" t="s">
        <v>28</v>
      </c>
      <c r="B1529" s="4" t="s">
        <v>35</v>
      </c>
      <c r="C1529" s="4" t="s">
        <v>36</v>
      </c>
      <c r="D1529" s="4" t="s">
        <v>52</v>
      </c>
      <c r="E1529" s="4" t="s">
        <v>53</v>
      </c>
      <c r="F1529" s="4" t="s">
        <v>25</v>
      </c>
      <c r="G1529" s="4" t="s">
        <v>25</v>
      </c>
      <c r="H1529" s="4" t="s">
        <v>37</v>
      </c>
      <c r="I1529" s="5">
        <v>44378</v>
      </c>
      <c r="J1529" s="6">
        <v>0</v>
      </c>
      <c r="K1529" s="6">
        <v>0</v>
      </c>
      <c r="L1529" s="6">
        <v>56.061999999999998</v>
      </c>
      <c r="M1529" s="6">
        <v>51.016419999999997</v>
      </c>
      <c r="N1529" s="6">
        <v>56.061999999999998</v>
      </c>
      <c r="O1529" s="6">
        <v>51.016419999999997</v>
      </c>
      <c r="P1529" s="6">
        <v>0</v>
      </c>
      <c r="Q1529" s="4" t="s">
        <v>26</v>
      </c>
      <c r="R1529" s="4">
        <v>0</v>
      </c>
      <c r="S1529" s="4" t="s">
        <v>220</v>
      </c>
      <c r="T1529" s="4" t="s">
        <v>453</v>
      </c>
      <c r="U1529" s="4">
        <v>0</v>
      </c>
      <c r="V1529" s="4">
        <v>24</v>
      </c>
      <c r="W1529" s="4">
        <v>66</v>
      </c>
    </row>
    <row r="1530" spans="1:23" ht="11.25" customHeight="1" x14ac:dyDescent="0.25">
      <c r="A1530" s="4" t="s">
        <v>21</v>
      </c>
      <c r="B1530" s="4" t="s">
        <v>35</v>
      </c>
      <c r="C1530" s="4" t="s">
        <v>36</v>
      </c>
      <c r="D1530" s="4" t="s">
        <v>52</v>
      </c>
      <c r="E1530" s="4" t="s">
        <v>53</v>
      </c>
      <c r="F1530" s="4" t="s">
        <v>25</v>
      </c>
      <c r="G1530" s="4" t="s">
        <v>25</v>
      </c>
      <c r="H1530" s="4" t="s">
        <v>37</v>
      </c>
      <c r="I1530" s="5">
        <v>44409</v>
      </c>
      <c r="J1530" s="6">
        <v>0</v>
      </c>
      <c r="K1530" s="6">
        <v>0</v>
      </c>
      <c r="L1530" s="6">
        <v>135.59299999999999</v>
      </c>
      <c r="M1530" s="6">
        <v>123.38963</v>
      </c>
      <c r="N1530" s="6">
        <v>135.59299999999999</v>
      </c>
      <c r="O1530" s="6">
        <v>123.38963</v>
      </c>
      <c r="P1530" s="6">
        <v>0</v>
      </c>
      <c r="Q1530" s="4" t="s">
        <v>26</v>
      </c>
      <c r="R1530" s="4">
        <v>0</v>
      </c>
      <c r="S1530" s="4" t="s">
        <v>221</v>
      </c>
      <c r="T1530" s="4" t="s">
        <v>454</v>
      </c>
      <c r="U1530" s="4">
        <v>0</v>
      </c>
      <c r="V1530" s="4">
        <v>24</v>
      </c>
      <c r="W1530" s="4">
        <v>66</v>
      </c>
    </row>
    <row r="1531" spans="1:23" ht="11.25" customHeight="1" x14ac:dyDescent="0.25">
      <c r="A1531" s="4" t="s">
        <v>28</v>
      </c>
      <c r="B1531" s="4" t="s">
        <v>35</v>
      </c>
      <c r="C1531" s="4" t="s">
        <v>36</v>
      </c>
      <c r="D1531" s="4" t="s">
        <v>52</v>
      </c>
      <c r="E1531" s="4" t="s">
        <v>53</v>
      </c>
      <c r="F1531" s="4" t="s">
        <v>25</v>
      </c>
      <c r="G1531" s="4" t="s">
        <v>25</v>
      </c>
      <c r="H1531" s="4" t="s">
        <v>37</v>
      </c>
      <c r="I1531" s="5">
        <v>44409</v>
      </c>
      <c r="J1531" s="6">
        <v>0</v>
      </c>
      <c r="K1531" s="6">
        <v>0</v>
      </c>
      <c r="L1531" s="6">
        <v>54.485999999999997</v>
      </c>
      <c r="M1531" s="6">
        <v>49.582259999999998</v>
      </c>
      <c r="N1531" s="6">
        <v>54.485999999999997</v>
      </c>
      <c r="O1531" s="6">
        <v>49.582259999999998</v>
      </c>
      <c r="P1531" s="6">
        <v>0</v>
      </c>
      <c r="Q1531" s="4" t="s">
        <v>26</v>
      </c>
      <c r="R1531" s="4">
        <v>0</v>
      </c>
      <c r="S1531" s="4" t="s">
        <v>221</v>
      </c>
      <c r="T1531" s="4" t="s">
        <v>454</v>
      </c>
      <c r="U1531" s="4">
        <v>0</v>
      </c>
      <c r="V1531" s="4">
        <v>24</v>
      </c>
      <c r="W1531" s="4">
        <v>66</v>
      </c>
    </row>
    <row r="1532" spans="1:23" ht="11.25" customHeight="1" x14ac:dyDescent="0.25">
      <c r="A1532" s="4" t="s">
        <v>21</v>
      </c>
      <c r="B1532" s="4" t="s">
        <v>35</v>
      </c>
      <c r="C1532" s="4" t="s">
        <v>36</v>
      </c>
      <c r="D1532" s="4" t="s">
        <v>52</v>
      </c>
      <c r="E1532" s="4" t="s">
        <v>53</v>
      </c>
      <c r="F1532" s="4" t="s">
        <v>25</v>
      </c>
      <c r="G1532" s="4" t="s">
        <v>25</v>
      </c>
      <c r="H1532" s="4" t="s">
        <v>37</v>
      </c>
      <c r="I1532" s="5">
        <v>44440</v>
      </c>
      <c r="J1532" s="6">
        <v>0</v>
      </c>
      <c r="K1532" s="6">
        <v>0</v>
      </c>
      <c r="L1532" s="6">
        <v>106.461</v>
      </c>
      <c r="M1532" s="6">
        <v>96.879509999999996</v>
      </c>
      <c r="N1532" s="6">
        <v>106.461</v>
      </c>
      <c r="O1532" s="6">
        <v>96.879509999999996</v>
      </c>
      <c r="P1532" s="6">
        <v>0</v>
      </c>
      <c r="Q1532" s="4" t="s">
        <v>26</v>
      </c>
      <c r="R1532" s="4">
        <v>0</v>
      </c>
      <c r="S1532" s="4" t="s">
        <v>222</v>
      </c>
      <c r="T1532" s="4" t="s">
        <v>455</v>
      </c>
      <c r="U1532" s="4">
        <v>0</v>
      </c>
      <c r="V1532" s="4">
        <v>24</v>
      </c>
      <c r="W1532" s="4">
        <v>66</v>
      </c>
    </row>
    <row r="1533" spans="1:23" ht="11.25" customHeight="1" x14ac:dyDescent="0.25">
      <c r="A1533" s="4" t="s">
        <v>28</v>
      </c>
      <c r="B1533" s="4" t="s">
        <v>35</v>
      </c>
      <c r="C1533" s="4" t="s">
        <v>36</v>
      </c>
      <c r="D1533" s="4" t="s">
        <v>52</v>
      </c>
      <c r="E1533" s="4" t="s">
        <v>53</v>
      </c>
      <c r="F1533" s="4" t="s">
        <v>25</v>
      </c>
      <c r="G1533" s="4" t="s">
        <v>25</v>
      </c>
      <c r="H1533" s="4" t="s">
        <v>37</v>
      </c>
      <c r="I1533" s="5">
        <v>44440</v>
      </c>
      <c r="J1533" s="6">
        <v>0</v>
      </c>
      <c r="K1533" s="6">
        <v>0</v>
      </c>
      <c r="L1533" s="6">
        <v>53.558</v>
      </c>
      <c r="M1533" s="6">
        <v>48.737780000000001</v>
      </c>
      <c r="N1533" s="6">
        <v>53.558</v>
      </c>
      <c r="O1533" s="6">
        <v>48.737780000000001</v>
      </c>
      <c r="P1533" s="6">
        <v>0</v>
      </c>
      <c r="Q1533" s="4" t="s">
        <v>26</v>
      </c>
      <c r="R1533" s="4">
        <v>0</v>
      </c>
      <c r="S1533" s="4" t="s">
        <v>222</v>
      </c>
      <c r="T1533" s="4" t="s">
        <v>455</v>
      </c>
      <c r="U1533" s="4">
        <v>0</v>
      </c>
      <c r="V1533" s="4">
        <v>24</v>
      </c>
      <c r="W1533" s="4">
        <v>66</v>
      </c>
    </row>
    <row r="1534" spans="1:23" ht="11.25" customHeight="1" x14ac:dyDescent="0.25">
      <c r="A1534" s="4" t="s">
        <v>59</v>
      </c>
      <c r="B1534" s="4" t="s">
        <v>35</v>
      </c>
      <c r="C1534" s="4" t="s">
        <v>36</v>
      </c>
      <c r="D1534" s="4" t="s">
        <v>52</v>
      </c>
      <c r="E1534" s="4" t="s">
        <v>53</v>
      </c>
      <c r="F1534" s="4" t="s">
        <v>25</v>
      </c>
      <c r="G1534" s="4" t="s">
        <v>25</v>
      </c>
      <c r="H1534" s="4" t="s">
        <v>37</v>
      </c>
      <c r="I1534" s="5">
        <v>44470</v>
      </c>
      <c r="J1534" s="6">
        <v>0</v>
      </c>
      <c r="K1534" s="6">
        <v>0</v>
      </c>
      <c r="L1534" s="6">
        <v>106.461</v>
      </c>
      <c r="M1534" s="6">
        <v>96.879509999999996</v>
      </c>
      <c r="N1534" s="6">
        <v>106.461</v>
      </c>
      <c r="O1534" s="6">
        <v>96.879509999999996</v>
      </c>
      <c r="P1534" s="6">
        <v>0</v>
      </c>
      <c r="Q1534" s="4" t="s">
        <v>26</v>
      </c>
      <c r="R1534" s="4">
        <v>0</v>
      </c>
      <c r="S1534" s="4" t="s">
        <v>223</v>
      </c>
      <c r="T1534" s="4" t="s">
        <v>456</v>
      </c>
      <c r="U1534" s="4">
        <v>0</v>
      </c>
      <c r="V1534" s="4">
        <v>24</v>
      </c>
      <c r="W1534" s="4">
        <v>66</v>
      </c>
    </row>
    <row r="1535" spans="1:23" ht="11.25" customHeight="1" x14ac:dyDescent="0.25">
      <c r="A1535" s="4" t="s">
        <v>59</v>
      </c>
      <c r="B1535" s="4" t="s">
        <v>35</v>
      </c>
      <c r="C1535" s="4" t="s">
        <v>36</v>
      </c>
      <c r="D1535" s="4" t="s">
        <v>52</v>
      </c>
      <c r="E1535" s="4" t="s">
        <v>53</v>
      </c>
      <c r="F1535" s="4" t="s">
        <v>25</v>
      </c>
      <c r="G1535" s="4" t="s">
        <v>25</v>
      </c>
      <c r="H1535" s="4" t="s">
        <v>37</v>
      </c>
      <c r="I1535" s="5">
        <v>44470</v>
      </c>
      <c r="J1535" s="6">
        <v>0</v>
      </c>
      <c r="K1535" s="6">
        <v>0</v>
      </c>
      <c r="L1535" s="6">
        <v>53.558</v>
      </c>
      <c r="M1535" s="6">
        <v>48.737780000000001</v>
      </c>
      <c r="N1535" s="6">
        <v>53.558</v>
      </c>
      <c r="O1535" s="6">
        <v>48.737780000000001</v>
      </c>
      <c r="P1535" s="6">
        <v>0</v>
      </c>
      <c r="Q1535" s="4" t="s">
        <v>26</v>
      </c>
      <c r="R1535" s="4">
        <v>0</v>
      </c>
      <c r="S1535" s="4" t="s">
        <v>223</v>
      </c>
      <c r="T1535" s="4" t="s">
        <v>456</v>
      </c>
      <c r="U1535" s="4">
        <v>0</v>
      </c>
      <c r="V1535" s="4">
        <v>24</v>
      </c>
      <c r="W1535" s="4">
        <v>66</v>
      </c>
    </row>
    <row r="1536" spans="1:23" ht="11.25" customHeight="1" x14ac:dyDescent="0.25">
      <c r="A1536" s="4" t="s">
        <v>21</v>
      </c>
      <c r="B1536" s="4" t="s">
        <v>22</v>
      </c>
      <c r="C1536" s="4" t="s">
        <v>39</v>
      </c>
      <c r="D1536" s="4" t="s">
        <v>24</v>
      </c>
      <c r="E1536" s="4" t="s">
        <v>24</v>
      </c>
      <c r="F1536" s="4" t="s">
        <v>25</v>
      </c>
      <c r="G1536" s="4" t="s">
        <v>25</v>
      </c>
      <c r="H1536" s="4" t="s">
        <v>38</v>
      </c>
      <c r="I1536" s="5">
        <v>44136</v>
      </c>
      <c r="J1536" s="6">
        <v>0</v>
      </c>
      <c r="K1536" s="6">
        <v>0</v>
      </c>
      <c r="L1536" s="6">
        <v>35.856999999999999</v>
      </c>
      <c r="M1536" s="6">
        <v>35.856999999999999</v>
      </c>
      <c r="N1536" s="6">
        <v>35.856999999999999</v>
      </c>
      <c r="O1536" s="6">
        <v>35.856999999999999</v>
      </c>
      <c r="P1536" s="6">
        <v>0</v>
      </c>
      <c r="Q1536" s="4" t="s">
        <v>26</v>
      </c>
      <c r="R1536" s="4">
        <v>0</v>
      </c>
      <c r="S1536" s="4" t="s">
        <v>224</v>
      </c>
      <c r="T1536" s="4" t="s">
        <v>461</v>
      </c>
      <c r="U1536" s="4">
        <v>0</v>
      </c>
      <c r="V1536" s="4">
        <v>12</v>
      </c>
      <c r="W1536" s="4">
        <v>64</v>
      </c>
    </row>
    <row r="1537" spans="1:23" ht="11.25" customHeight="1" x14ac:dyDescent="0.25">
      <c r="A1537" s="4" t="s">
        <v>27</v>
      </c>
      <c r="B1537" s="4" t="s">
        <v>22</v>
      </c>
      <c r="C1537" s="4" t="s">
        <v>39</v>
      </c>
      <c r="D1537" s="4" t="s">
        <v>24</v>
      </c>
      <c r="E1537" s="4" t="s">
        <v>24</v>
      </c>
      <c r="F1537" s="4" t="s">
        <v>25</v>
      </c>
      <c r="G1537" s="4" t="s">
        <v>25</v>
      </c>
      <c r="H1537" s="4" t="s">
        <v>38</v>
      </c>
      <c r="I1537" s="5">
        <v>44136</v>
      </c>
      <c r="J1537" s="6">
        <v>0</v>
      </c>
      <c r="K1537" s="6">
        <v>0</v>
      </c>
      <c r="L1537" s="6">
        <v>-6.7160000000000002</v>
      </c>
      <c r="M1537" s="6">
        <v>-6.7160000000000002</v>
      </c>
      <c r="N1537" s="6">
        <v>-6.7160000000000002</v>
      </c>
      <c r="O1537" s="6">
        <v>-6.7160000000000002</v>
      </c>
      <c r="P1537" s="6">
        <v>0</v>
      </c>
      <c r="Q1537" s="4" t="s">
        <v>26</v>
      </c>
      <c r="R1537" s="4">
        <v>0</v>
      </c>
      <c r="S1537" s="4" t="s">
        <v>224</v>
      </c>
      <c r="T1537" s="4" t="s">
        <v>461</v>
      </c>
      <c r="U1537" s="4">
        <v>0</v>
      </c>
      <c r="V1537" s="4">
        <v>12</v>
      </c>
      <c r="W1537" s="4">
        <v>64</v>
      </c>
    </row>
    <row r="1538" spans="1:23" ht="11.25" customHeight="1" x14ac:dyDescent="0.25">
      <c r="A1538" s="4" t="s">
        <v>28</v>
      </c>
      <c r="B1538" s="4" t="s">
        <v>22</v>
      </c>
      <c r="C1538" s="4" t="s">
        <v>39</v>
      </c>
      <c r="D1538" s="4" t="s">
        <v>24</v>
      </c>
      <c r="E1538" s="4" t="s">
        <v>24</v>
      </c>
      <c r="F1538" s="4" t="s">
        <v>25</v>
      </c>
      <c r="G1538" s="4" t="s">
        <v>25</v>
      </c>
      <c r="H1538" s="4" t="s">
        <v>38</v>
      </c>
      <c r="I1538" s="5">
        <v>44136</v>
      </c>
      <c r="J1538" s="6">
        <v>0</v>
      </c>
      <c r="K1538" s="6">
        <v>0</v>
      </c>
      <c r="L1538" s="6">
        <v>2.5169999999999999</v>
      </c>
      <c r="M1538" s="6">
        <v>2.5169999999999999</v>
      </c>
      <c r="N1538" s="6">
        <v>2.5169999999999999</v>
      </c>
      <c r="O1538" s="6">
        <v>2.5169999999999999</v>
      </c>
      <c r="P1538" s="6">
        <v>0</v>
      </c>
      <c r="Q1538" s="4" t="s">
        <v>26</v>
      </c>
      <c r="R1538" s="4">
        <v>0</v>
      </c>
      <c r="S1538" s="4" t="s">
        <v>224</v>
      </c>
      <c r="T1538" s="4" t="s">
        <v>461</v>
      </c>
      <c r="U1538" s="4">
        <v>0</v>
      </c>
      <c r="V1538" s="4">
        <v>12</v>
      </c>
      <c r="W1538" s="4">
        <v>64</v>
      </c>
    </row>
    <row r="1539" spans="1:23" ht="11.25" customHeight="1" x14ac:dyDescent="0.25">
      <c r="A1539" s="4" t="s">
        <v>30</v>
      </c>
      <c r="B1539" s="4" t="s">
        <v>22</v>
      </c>
      <c r="C1539" s="4" t="s">
        <v>39</v>
      </c>
      <c r="D1539" s="4" t="s">
        <v>24</v>
      </c>
      <c r="E1539" s="4" t="s">
        <v>24</v>
      </c>
      <c r="F1539" s="4" t="s">
        <v>25</v>
      </c>
      <c r="G1539" s="4" t="s">
        <v>25</v>
      </c>
      <c r="H1539" s="4" t="s">
        <v>38</v>
      </c>
      <c r="I1539" s="5">
        <v>44136</v>
      </c>
      <c r="J1539" s="6">
        <v>0</v>
      </c>
      <c r="K1539" s="6">
        <v>0</v>
      </c>
      <c r="L1539" s="6">
        <v>0.92400000000000004</v>
      </c>
      <c r="M1539" s="6">
        <v>0.92400000000000004</v>
      </c>
      <c r="N1539" s="6">
        <v>0.92400000000000004</v>
      </c>
      <c r="O1539" s="6">
        <v>0.92400000000000004</v>
      </c>
      <c r="P1539" s="6">
        <v>0</v>
      </c>
      <c r="Q1539" s="4" t="s">
        <v>26</v>
      </c>
      <c r="R1539" s="4">
        <v>0</v>
      </c>
      <c r="S1539" s="4" t="s">
        <v>224</v>
      </c>
      <c r="T1539" s="4" t="s">
        <v>461</v>
      </c>
      <c r="U1539" s="4">
        <v>0</v>
      </c>
      <c r="V1539" s="4">
        <v>12</v>
      </c>
      <c r="W1539" s="4">
        <v>64</v>
      </c>
    </row>
    <row r="1540" spans="1:23" ht="11.25" customHeight="1" x14ac:dyDescent="0.25">
      <c r="A1540" s="4" t="s">
        <v>21</v>
      </c>
      <c r="B1540" s="4" t="s">
        <v>22</v>
      </c>
      <c r="C1540" s="4" t="s">
        <v>39</v>
      </c>
      <c r="D1540" s="4" t="s">
        <v>24</v>
      </c>
      <c r="E1540" s="4" t="s">
        <v>24</v>
      </c>
      <c r="F1540" s="4" t="s">
        <v>25</v>
      </c>
      <c r="G1540" s="4" t="s">
        <v>25</v>
      </c>
      <c r="H1540" s="4" t="s">
        <v>38</v>
      </c>
      <c r="I1540" s="5">
        <v>44166</v>
      </c>
      <c r="J1540" s="6">
        <v>0</v>
      </c>
      <c r="K1540" s="6">
        <v>0</v>
      </c>
      <c r="L1540" s="6">
        <v>36.542000000000002</v>
      </c>
      <c r="M1540" s="6">
        <v>36.542000000000002</v>
      </c>
      <c r="N1540" s="6">
        <v>36.542000000000002</v>
      </c>
      <c r="O1540" s="6">
        <v>36.542000000000002</v>
      </c>
      <c r="P1540" s="6">
        <v>0</v>
      </c>
      <c r="Q1540" s="4" t="s">
        <v>26</v>
      </c>
      <c r="R1540" s="4">
        <v>0</v>
      </c>
      <c r="S1540" s="4" t="s">
        <v>225</v>
      </c>
      <c r="T1540" s="4" t="s">
        <v>462</v>
      </c>
      <c r="U1540" s="4">
        <v>0</v>
      </c>
      <c r="V1540" s="4">
        <v>12</v>
      </c>
      <c r="W1540" s="4">
        <v>64</v>
      </c>
    </row>
    <row r="1541" spans="1:23" ht="11.25" customHeight="1" x14ac:dyDescent="0.25">
      <c r="A1541" s="4" t="s">
        <v>27</v>
      </c>
      <c r="B1541" s="4" t="s">
        <v>22</v>
      </c>
      <c r="C1541" s="4" t="s">
        <v>39</v>
      </c>
      <c r="D1541" s="4" t="s">
        <v>24</v>
      </c>
      <c r="E1541" s="4" t="s">
        <v>24</v>
      </c>
      <c r="F1541" s="4" t="s">
        <v>25</v>
      </c>
      <c r="G1541" s="4" t="s">
        <v>25</v>
      </c>
      <c r="H1541" s="4" t="s">
        <v>38</v>
      </c>
      <c r="I1541" s="5">
        <v>44166</v>
      </c>
      <c r="J1541" s="6">
        <v>0</v>
      </c>
      <c r="K1541" s="6">
        <v>0</v>
      </c>
      <c r="L1541" s="6">
        <v>0.36799999999999999</v>
      </c>
      <c r="M1541" s="6">
        <v>0.36799999999999999</v>
      </c>
      <c r="N1541" s="6">
        <v>0.36799999999999999</v>
      </c>
      <c r="O1541" s="6">
        <v>0.36799999999999999</v>
      </c>
      <c r="P1541" s="6">
        <v>0</v>
      </c>
      <c r="Q1541" s="4" t="s">
        <v>26</v>
      </c>
      <c r="R1541" s="4">
        <v>0</v>
      </c>
      <c r="S1541" s="4" t="s">
        <v>225</v>
      </c>
      <c r="T1541" s="4" t="s">
        <v>462</v>
      </c>
      <c r="U1541" s="4">
        <v>0</v>
      </c>
      <c r="V1541" s="4">
        <v>12</v>
      </c>
      <c r="W1541" s="4">
        <v>64</v>
      </c>
    </row>
    <row r="1542" spans="1:23" ht="11.25" customHeight="1" x14ac:dyDescent="0.25">
      <c r="A1542" s="4" t="s">
        <v>28</v>
      </c>
      <c r="B1542" s="4" t="s">
        <v>22</v>
      </c>
      <c r="C1542" s="4" t="s">
        <v>39</v>
      </c>
      <c r="D1542" s="4" t="s">
        <v>24</v>
      </c>
      <c r="E1542" s="4" t="s">
        <v>24</v>
      </c>
      <c r="F1542" s="4" t="s">
        <v>25</v>
      </c>
      <c r="G1542" s="4" t="s">
        <v>25</v>
      </c>
      <c r="H1542" s="4" t="s">
        <v>38</v>
      </c>
      <c r="I1542" s="5">
        <v>44166</v>
      </c>
      <c r="J1542" s="6">
        <v>0</v>
      </c>
      <c r="K1542" s="6">
        <v>0</v>
      </c>
      <c r="L1542" s="6">
        <v>1.4950000000000001</v>
      </c>
      <c r="M1542" s="6">
        <v>1.4950000000000001</v>
      </c>
      <c r="N1542" s="6">
        <v>1.4950000000000001</v>
      </c>
      <c r="O1542" s="6">
        <v>1.4950000000000001</v>
      </c>
      <c r="P1542" s="6">
        <v>0</v>
      </c>
      <c r="Q1542" s="4" t="s">
        <v>26</v>
      </c>
      <c r="R1542" s="4">
        <v>0</v>
      </c>
      <c r="S1542" s="4" t="s">
        <v>225</v>
      </c>
      <c r="T1542" s="4" t="s">
        <v>462</v>
      </c>
      <c r="U1542" s="4">
        <v>0</v>
      </c>
      <c r="V1542" s="4">
        <v>12</v>
      </c>
      <c r="W1542" s="4">
        <v>64</v>
      </c>
    </row>
    <row r="1543" spans="1:23" ht="11.25" customHeight="1" x14ac:dyDescent="0.25">
      <c r="A1543" s="4" t="s">
        <v>30</v>
      </c>
      <c r="B1543" s="4" t="s">
        <v>22</v>
      </c>
      <c r="C1543" s="4" t="s">
        <v>39</v>
      </c>
      <c r="D1543" s="4" t="s">
        <v>24</v>
      </c>
      <c r="E1543" s="4" t="s">
        <v>24</v>
      </c>
      <c r="F1543" s="4" t="s">
        <v>25</v>
      </c>
      <c r="G1543" s="4" t="s">
        <v>25</v>
      </c>
      <c r="H1543" s="4" t="s">
        <v>38</v>
      </c>
      <c r="I1543" s="5">
        <v>44166</v>
      </c>
      <c r="J1543" s="6">
        <v>0</v>
      </c>
      <c r="K1543" s="6">
        <v>0</v>
      </c>
      <c r="L1543" s="6">
        <v>1.0249999999999999</v>
      </c>
      <c r="M1543" s="6">
        <v>1.0249999999999999</v>
      </c>
      <c r="N1543" s="6">
        <v>1.0249999999999999</v>
      </c>
      <c r="O1543" s="6">
        <v>1.0249999999999999</v>
      </c>
      <c r="P1543" s="6">
        <v>0</v>
      </c>
      <c r="Q1543" s="4" t="s">
        <v>26</v>
      </c>
      <c r="R1543" s="4">
        <v>0</v>
      </c>
      <c r="S1543" s="4" t="s">
        <v>225</v>
      </c>
      <c r="T1543" s="4" t="s">
        <v>462</v>
      </c>
      <c r="U1543" s="4">
        <v>0</v>
      </c>
      <c r="V1543" s="4">
        <v>12</v>
      </c>
      <c r="W1543" s="4">
        <v>64</v>
      </c>
    </row>
    <row r="1544" spans="1:23" ht="11.25" customHeight="1" x14ac:dyDescent="0.25">
      <c r="A1544" s="4" t="s">
        <v>21</v>
      </c>
      <c r="B1544" s="4" t="s">
        <v>22</v>
      </c>
      <c r="C1544" s="4" t="s">
        <v>39</v>
      </c>
      <c r="D1544" s="4" t="s">
        <v>24</v>
      </c>
      <c r="E1544" s="4" t="s">
        <v>24</v>
      </c>
      <c r="F1544" s="4" t="s">
        <v>25</v>
      </c>
      <c r="G1544" s="4" t="s">
        <v>25</v>
      </c>
      <c r="H1544" s="4" t="s">
        <v>38</v>
      </c>
      <c r="I1544" s="5">
        <v>44197</v>
      </c>
      <c r="J1544" s="6">
        <v>0</v>
      </c>
      <c r="K1544" s="6">
        <v>0</v>
      </c>
      <c r="L1544" s="6">
        <v>32.886000000000003</v>
      </c>
      <c r="M1544" s="6">
        <v>32.886000000000003</v>
      </c>
      <c r="N1544" s="6">
        <v>32.886000000000003</v>
      </c>
      <c r="O1544" s="6">
        <v>32.886000000000003</v>
      </c>
      <c r="P1544" s="6">
        <v>0</v>
      </c>
      <c r="Q1544" s="4" t="s">
        <v>26</v>
      </c>
      <c r="R1544" s="4">
        <v>0</v>
      </c>
      <c r="S1544" s="4" t="s">
        <v>226</v>
      </c>
      <c r="T1544" s="4" t="s">
        <v>463</v>
      </c>
      <c r="U1544" s="4">
        <v>0</v>
      </c>
      <c r="V1544" s="4">
        <v>12</v>
      </c>
      <c r="W1544" s="4">
        <v>64</v>
      </c>
    </row>
    <row r="1545" spans="1:23" ht="11.25" customHeight="1" x14ac:dyDescent="0.25">
      <c r="A1545" s="4" t="s">
        <v>27</v>
      </c>
      <c r="B1545" s="4" t="s">
        <v>22</v>
      </c>
      <c r="C1545" s="4" t="s">
        <v>39</v>
      </c>
      <c r="D1545" s="4" t="s">
        <v>24</v>
      </c>
      <c r="E1545" s="4" t="s">
        <v>24</v>
      </c>
      <c r="F1545" s="4" t="s">
        <v>25</v>
      </c>
      <c r="G1545" s="4" t="s">
        <v>25</v>
      </c>
      <c r="H1545" s="4" t="s">
        <v>38</v>
      </c>
      <c r="I1545" s="5">
        <v>44197</v>
      </c>
      <c r="J1545" s="6">
        <v>0</v>
      </c>
      <c r="K1545" s="6">
        <v>0</v>
      </c>
      <c r="L1545" s="6">
        <v>-0.126</v>
      </c>
      <c r="M1545" s="6">
        <v>-0.126</v>
      </c>
      <c r="N1545" s="6">
        <v>-0.126</v>
      </c>
      <c r="O1545" s="6">
        <v>-0.126</v>
      </c>
      <c r="P1545" s="6">
        <v>0</v>
      </c>
      <c r="Q1545" s="4" t="s">
        <v>26</v>
      </c>
      <c r="R1545" s="4">
        <v>0</v>
      </c>
      <c r="S1545" s="4" t="s">
        <v>226</v>
      </c>
      <c r="T1545" s="4" t="s">
        <v>463</v>
      </c>
      <c r="U1545" s="4">
        <v>0</v>
      </c>
      <c r="V1545" s="4">
        <v>12</v>
      </c>
      <c r="W1545" s="4">
        <v>64</v>
      </c>
    </row>
    <row r="1546" spans="1:23" ht="11.25" customHeight="1" x14ac:dyDescent="0.25">
      <c r="A1546" s="4" t="s">
        <v>28</v>
      </c>
      <c r="B1546" s="4" t="s">
        <v>22</v>
      </c>
      <c r="C1546" s="4" t="s">
        <v>39</v>
      </c>
      <c r="D1546" s="4" t="s">
        <v>24</v>
      </c>
      <c r="E1546" s="4" t="s">
        <v>24</v>
      </c>
      <c r="F1546" s="4" t="s">
        <v>25</v>
      </c>
      <c r="G1546" s="4" t="s">
        <v>25</v>
      </c>
      <c r="H1546" s="4" t="s">
        <v>38</v>
      </c>
      <c r="I1546" s="5">
        <v>44197</v>
      </c>
      <c r="J1546" s="6">
        <v>0</v>
      </c>
      <c r="K1546" s="6">
        <v>0</v>
      </c>
      <c r="L1546" s="6">
        <v>1.548</v>
      </c>
      <c r="M1546" s="6">
        <v>1.548</v>
      </c>
      <c r="N1546" s="6">
        <v>1.548</v>
      </c>
      <c r="O1546" s="6">
        <v>1.548</v>
      </c>
      <c r="P1546" s="6">
        <v>0</v>
      </c>
      <c r="Q1546" s="4" t="s">
        <v>26</v>
      </c>
      <c r="R1546" s="4">
        <v>0</v>
      </c>
      <c r="S1546" s="4" t="s">
        <v>226</v>
      </c>
      <c r="T1546" s="4" t="s">
        <v>463</v>
      </c>
      <c r="U1546" s="4">
        <v>0</v>
      </c>
      <c r="V1546" s="4">
        <v>12</v>
      </c>
      <c r="W1546" s="4">
        <v>64</v>
      </c>
    </row>
    <row r="1547" spans="1:23" ht="11.25" customHeight="1" x14ac:dyDescent="0.25">
      <c r="A1547" s="4" t="s">
        <v>30</v>
      </c>
      <c r="B1547" s="4" t="s">
        <v>22</v>
      </c>
      <c r="C1547" s="4" t="s">
        <v>39</v>
      </c>
      <c r="D1547" s="4" t="s">
        <v>24</v>
      </c>
      <c r="E1547" s="4" t="s">
        <v>24</v>
      </c>
      <c r="F1547" s="4" t="s">
        <v>25</v>
      </c>
      <c r="G1547" s="4" t="s">
        <v>25</v>
      </c>
      <c r="H1547" s="4" t="s">
        <v>38</v>
      </c>
      <c r="I1547" s="5">
        <v>44197</v>
      </c>
      <c r="J1547" s="6">
        <v>0</v>
      </c>
      <c r="K1547" s="6">
        <v>0</v>
      </c>
      <c r="L1547" s="6">
        <v>0.99399999999999999</v>
      </c>
      <c r="M1547" s="6">
        <v>0.99399999999999999</v>
      </c>
      <c r="N1547" s="6">
        <v>0.99399999999999999</v>
      </c>
      <c r="O1547" s="6">
        <v>0.99399999999999999</v>
      </c>
      <c r="P1547" s="6">
        <v>0</v>
      </c>
      <c r="Q1547" s="4" t="s">
        <v>26</v>
      </c>
      <c r="R1547" s="4">
        <v>0</v>
      </c>
      <c r="S1547" s="4" t="s">
        <v>226</v>
      </c>
      <c r="T1547" s="4" t="s">
        <v>463</v>
      </c>
      <c r="U1547" s="4">
        <v>0</v>
      </c>
      <c r="V1547" s="4">
        <v>12</v>
      </c>
      <c r="W1547" s="4">
        <v>64</v>
      </c>
    </row>
    <row r="1548" spans="1:23" ht="11.25" customHeight="1" x14ac:dyDescent="0.25">
      <c r="A1548" s="4" t="s">
        <v>21</v>
      </c>
      <c r="B1548" s="4" t="s">
        <v>22</v>
      </c>
      <c r="C1548" s="4" t="s">
        <v>39</v>
      </c>
      <c r="D1548" s="4" t="s">
        <v>24</v>
      </c>
      <c r="E1548" s="4" t="s">
        <v>24</v>
      </c>
      <c r="F1548" s="4" t="s">
        <v>25</v>
      </c>
      <c r="G1548" s="4" t="s">
        <v>25</v>
      </c>
      <c r="H1548" s="4" t="s">
        <v>38</v>
      </c>
      <c r="I1548" s="5">
        <v>44228</v>
      </c>
      <c r="J1548" s="6">
        <v>0</v>
      </c>
      <c r="K1548" s="6">
        <v>0</v>
      </c>
      <c r="L1548" s="6">
        <v>29.236999999999998</v>
      </c>
      <c r="M1548" s="6">
        <v>29.236999999999998</v>
      </c>
      <c r="N1548" s="6">
        <v>29.236999999999998</v>
      </c>
      <c r="O1548" s="6">
        <v>29.236999999999998</v>
      </c>
      <c r="P1548" s="6">
        <v>0</v>
      </c>
      <c r="Q1548" s="4" t="s">
        <v>26</v>
      </c>
      <c r="R1548" s="4">
        <v>0</v>
      </c>
      <c r="S1548" s="4" t="s">
        <v>227</v>
      </c>
      <c r="T1548" s="4" t="s">
        <v>464</v>
      </c>
      <c r="U1548" s="4">
        <v>0</v>
      </c>
      <c r="V1548" s="4">
        <v>12</v>
      </c>
      <c r="W1548" s="4">
        <v>64</v>
      </c>
    </row>
    <row r="1549" spans="1:23" ht="11.25" customHeight="1" x14ac:dyDescent="0.25">
      <c r="A1549" s="4" t="s">
        <v>27</v>
      </c>
      <c r="B1549" s="4" t="s">
        <v>22</v>
      </c>
      <c r="C1549" s="4" t="s">
        <v>39</v>
      </c>
      <c r="D1549" s="4" t="s">
        <v>24</v>
      </c>
      <c r="E1549" s="4" t="s">
        <v>24</v>
      </c>
      <c r="F1549" s="4" t="s">
        <v>25</v>
      </c>
      <c r="G1549" s="4" t="s">
        <v>25</v>
      </c>
      <c r="H1549" s="4" t="s">
        <v>38</v>
      </c>
      <c r="I1549" s="5">
        <v>44228</v>
      </c>
      <c r="J1549" s="6">
        <v>0</v>
      </c>
      <c r="K1549" s="6">
        <v>0</v>
      </c>
      <c r="L1549" s="6">
        <v>0.13</v>
      </c>
      <c r="M1549" s="6">
        <v>0.13</v>
      </c>
      <c r="N1549" s="6">
        <v>0.13</v>
      </c>
      <c r="O1549" s="6">
        <v>0.13</v>
      </c>
      <c r="P1549" s="6">
        <v>0</v>
      </c>
      <c r="Q1549" s="4" t="s">
        <v>26</v>
      </c>
      <c r="R1549" s="4">
        <v>0</v>
      </c>
      <c r="S1549" s="4" t="s">
        <v>227</v>
      </c>
      <c r="T1549" s="4" t="s">
        <v>464</v>
      </c>
      <c r="U1549" s="4">
        <v>0</v>
      </c>
      <c r="V1549" s="4">
        <v>12</v>
      </c>
      <c r="W1549" s="4">
        <v>64</v>
      </c>
    </row>
    <row r="1550" spans="1:23" ht="11.25" customHeight="1" x14ac:dyDescent="0.25">
      <c r="A1550" s="4" t="s">
        <v>28</v>
      </c>
      <c r="B1550" s="4" t="s">
        <v>22</v>
      </c>
      <c r="C1550" s="4" t="s">
        <v>39</v>
      </c>
      <c r="D1550" s="4" t="s">
        <v>24</v>
      </c>
      <c r="E1550" s="4" t="s">
        <v>24</v>
      </c>
      <c r="F1550" s="4" t="s">
        <v>25</v>
      </c>
      <c r="G1550" s="4" t="s">
        <v>25</v>
      </c>
      <c r="H1550" s="4" t="s">
        <v>38</v>
      </c>
      <c r="I1550" s="5">
        <v>44228</v>
      </c>
      <c r="J1550" s="6">
        <v>0</v>
      </c>
      <c r="K1550" s="6">
        <v>0</v>
      </c>
      <c r="L1550" s="6">
        <v>1.208</v>
      </c>
      <c r="M1550" s="6">
        <v>1.208</v>
      </c>
      <c r="N1550" s="6">
        <v>1.208</v>
      </c>
      <c r="O1550" s="6">
        <v>1.208</v>
      </c>
      <c r="P1550" s="6">
        <v>0</v>
      </c>
      <c r="Q1550" s="4" t="s">
        <v>26</v>
      </c>
      <c r="R1550" s="4">
        <v>0</v>
      </c>
      <c r="S1550" s="4" t="s">
        <v>227</v>
      </c>
      <c r="T1550" s="4" t="s">
        <v>464</v>
      </c>
      <c r="U1550" s="4">
        <v>0</v>
      </c>
      <c r="V1550" s="4">
        <v>12</v>
      </c>
      <c r="W1550" s="4">
        <v>64</v>
      </c>
    </row>
    <row r="1551" spans="1:23" ht="11.25" customHeight="1" x14ac:dyDescent="0.25">
      <c r="A1551" s="4" t="s">
        <v>30</v>
      </c>
      <c r="B1551" s="4" t="s">
        <v>22</v>
      </c>
      <c r="C1551" s="4" t="s">
        <v>39</v>
      </c>
      <c r="D1551" s="4" t="s">
        <v>24</v>
      </c>
      <c r="E1551" s="4" t="s">
        <v>24</v>
      </c>
      <c r="F1551" s="4" t="s">
        <v>25</v>
      </c>
      <c r="G1551" s="4" t="s">
        <v>25</v>
      </c>
      <c r="H1551" s="4" t="s">
        <v>38</v>
      </c>
      <c r="I1551" s="5">
        <v>44228</v>
      </c>
      <c r="J1551" s="6">
        <v>0</v>
      </c>
      <c r="K1551" s="6">
        <v>0</v>
      </c>
      <c r="L1551" s="6">
        <v>0.879</v>
      </c>
      <c r="M1551" s="6">
        <v>0.879</v>
      </c>
      <c r="N1551" s="6">
        <v>0.879</v>
      </c>
      <c r="O1551" s="6">
        <v>0.879</v>
      </c>
      <c r="P1551" s="6">
        <v>0</v>
      </c>
      <c r="Q1551" s="4" t="s">
        <v>26</v>
      </c>
      <c r="R1551" s="4">
        <v>0</v>
      </c>
      <c r="S1551" s="4" t="s">
        <v>227</v>
      </c>
      <c r="T1551" s="4" t="s">
        <v>464</v>
      </c>
      <c r="U1551" s="4">
        <v>0</v>
      </c>
      <c r="V1551" s="4">
        <v>12</v>
      </c>
      <c r="W1551" s="4">
        <v>64</v>
      </c>
    </row>
    <row r="1552" spans="1:23" ht="11.25" customHeight="1" x14ac:dyDescent="0.25">
      <c r="A1552" s="4" t="s">
        <v>21</v>
      </c>
      <c r="B1552" s="4" t="s">
        <v>22</v>
      </c>
      <c r="C1552" s="4" t="s">
        <v>39</v>
      </c>
      <c r="D1552" s="4" t="s">
        <v>24</v>
      </c>
      <c r="E1552" s="4" t="s">
        <v>24</v>
      </c>
      <c r="F1552" s="4" t="s">
        <v>25</v>
      </c>
      <c r="G1552" s="4" t="s">
        <v>25</v>
      </c>
      <c r="H1552" s="4" t="s">
        <v>38</v>
      </c>
      <c r="I1552" s="5">
        <v>44256</v>
      </c>
      <c r="J1552" s="6">
        <v>0</v>
      </c>
      <c r="K1552" s="6">
        <v>0</v>
      </c>
      <c r="L1552" s="6">
        <v>32.027000000000001</v>
      </c>
      <c r="M1552" s="6">
        <v>32.027000000000001</v>
      </c>
      <c r="N1552" s="6">
        <v>32.027000000000001</v>
      </c>
      <c r="O1552" s="6">
        <v>32.027000000000001</v>
      </c>
      <c r="P1552" s="6">
        <v>0</v>
      </c>
      <c r="Q1552" s="4" t="s">
        <v>26</v>
      </c>
      <c r="R1552" s="4">
        <v>0</v>
      </c>
      <c r="S1552" s="4" t="s">
        <v>228</v>
      </c>
      <c r="T1552" s="4" t="s">
        <v>465</v>
      </c>
      <c r="U1552" s="4">
        <v>0</v>
      </c>
      <c r="V1552" s="4">
        <v>12</v>
      </c>
      <c r="W1552" s="4">
        <v>64</v>
      </c>
    </row>
    <row r="1553" spans="1:23" ht="11.25" customHeight="1" x14ac:dyDescent="0.25">
      <c r="A1553" s="4" t="s">
        <v>28</v>
      </c>
      <c r="B1553" s="4" t="s">
        <v>22</v>
      </c>
      <c r="C1553" s="4" t="s">
        <v>39</v>
      </c>
      <c r="D1553" s="4" t="s">
        <v>24</v>
      </c>
      <c r="E1553" s="4" t="s">
        <v>24</v>
      </c>
      <c r="F1553" s="4" t="s">
        <v>25</v>
      </c>
      <c r="G1553" s="4" t="s">
        <v>25</v>
      </c>
      <c r="H1553" s="4" t="s">
        <v>38</v>
      </c>
      <c r="I1553" s="5">
        <v>44256</v>
      </c>
      <c r="J1553" s="6">
        <v>0</v>
      </c>
      <c r="K1553" s="6">
        <v>0</v>
      </c>
      <c r="L1553" s="6">
        <v>2.6840000000000002</v>
      </c>
      <c r="M1553" s="6">
        <v>2.6840000000000002</v>
      </c>
      <c r="N1553" s="6">
        <v>2.6840000000000002</v>
      </c>
      <c r="O1553" s="6">
        <v>2.6840000000000002</v>
      </c>
      <c r="P1553" s="6">
        <v>0</v>
      </c>
      <c r="Q1553" s="4" t="s">
        <v>26</v>
      </c>
      <c r="R1553" s="4">
        <v>0</v>
      </c>
      <c r="S1553" s="4" t="s">
        <v>228</v>
      </c>
      <c r="T1553" s="4" t="s">
        <v>465</v>
      </c>
      <c r="U1553" s="4">
        <v>0</v>
      </c>
      <c r="V1553" s="4">
        <v>12</v>
      </c>
      <c r="W1553" s="4">
        <v>64</v>
      </c>
    </row>
    <row r="1554" spans="1:23" ht="11.25" customHeight="1" x14ac:dyDescent="0.25">
      <c r="A1554" s="4" t="s">
        <v>30</v>
      </c>
      <c r="B1554" s="4" t="s">
        <v>22</v>
      </c>
      <c r="C1554" s="4" t="s">
        <v>39</v>
      </c>
      <c r="D1554" s="4" t="s">
        <v>24</v>
      </c>
      <c r="E1554" s="4" t="s">
        <v>24</v>
      </c>
      <c r="F1554" s="4" t="s">
        <v>25</v>
      </c>
      <c r="G1554" s="4" t="s">
        <v>25</v>
      </c>
      <c r="H1554" s="4" t="s">
        <v>38</v>
      </c>
      <c r="I1554" s="5">
        <v>44256</v>
      </c>
      <c r="J1554" s="6">
        <v>0</v>
      </c>
      <c r="K1554" s="6">
        <v>0</v>
      </c>
      <c r="L1554" s="6">
        <v>0.872</v>
      </c>
      <c r="M1554" s="6">
        <v>0.872</v>
      </c>
      <c r="N1554" s="6">
        <v>0.872</v>
      </c>
      <c r="O1554" s="6">
        <v>0.872</v>
      </c>
      <c r="P1554" s="6">
        <v>0</v>
      </c>
      <c r="Q1554" s="4" t="s">
        <v>26</v>
      </c>
      <c r="R1554" s="4">
        <v>0</v>
      </c>
      <c r="S1554" s="4" t="s">
        <v>228</v>
      </c>
      <c r="T1554" s="4" t="s">
        <v>465</v>
      </c>
      <c r="U1554" s="4">
        <v>0</v>
      </c>
      <c r="V1554" s="4">
        <v>12</v>
      </c>
      <c r="W1554" s="4">
        <v>64</v>
      </c>
    </row>
    <row r="1555" spans="1:23" ht="11.25" customHeight="1" x14ac:dyDescent="0.25">
      <c r="A1555" s="4" t="s">
        <v>21</v>
      </c>
      <c r="B1555" s="4" t="s">
        <v>22</v>
      </c>
      <c r="C1555" s="4" t="s">
        <v>39</v>
      </c>
      <c r="D1555" s="4" t="s">
        <v>24</v>
      </c>
      <c r="E1555" s="4" t="s">
        <v>24</v>
      </c>
      <c r="F1555" s="4" t="s">
        <v>25</v>
      </c>
      <c r="G1555" s="4" t="s">
        <v>25</v>
      </c>
      <c r="H1555" s="4" t="s">
        <v>38</v>
      </c>
      <c r="I1555" s="5">
        <v>44287</v>
      </c>
      <c r="J1555" s="6">
        <v>0</v>
      </c>
      <c r="K1555" s="6">
        <v>0</v>
      </c>
      <c r="L1555" s="6">
        <v>34.536000000000001</v>
      </c>
      <c r="M1555" s="6">
        <v>34.536000000000001</v>
      </c>
      <c r="N1555" s="6">
        <v>34.536000000000001</v>
      </c>
      <c r="O1555" s="6">
        <v>34.536000000000001</v>
      </c>
      <c r="P1555" s="6">
        <v>0</v>
      </c>
      <c r="Q1555" s="4" t="s">
        <v>26</v>
      </c>
      <c r="R1555" s="4">
        <v>0</v>
      </c>
      <c r="S1555" s="4" t="s">
        <v>229</v>
      </c>
      <c r="T1555" s="4" t="s">
        <v>466</v>
      </c>
      <c r="U1555" s="4">
        <v>0</v>
      </c>
      <c r="V1555" s="4">
        <v>12</v>
      </c>
      <c r="W1555" s="4">
        <v>64</v>
      </c>
    </row>
    <row r="1556" spans="1:23" ht="11.25" customHeight="1" x14ac:dyDescent="0.25">
      <c r="A1556" s="4" t="s">
        <v>28</v>
      </c>
      <c r="B1556" s="4" t="s">
        <v>22</v>
      </c>
      <c r="C1556" s="4" t="s">
        <v>39</v>
      </c>
      <c r="D1556" s="4" t="s">
        <v>24</v>
      </c>
      <c r="E1556" s="4" t="s">
        <v>24</v>
      </c>
      <c r="F1556" s="4" t="s">
        <v>25</v>
      </c>
      <c r="G1556" s="4" t="s">
        <v>25</v>
      </c>
      <c r="H1556" s="4" t="s">
        <v>38</v>
      </c>
      <c r="I1556" s="5">
        <v>44287</v>
      </c>
      <c r="J1556" s="6">
        <v>0</v>
      </c>
      <c r="K1556" s="6">
        <v>0</v>
      </c>
      <c r="L1556" s="6">
        <v>3.343</v>
      </c>
      <c r="M1556" s="6">
        <v>3.343</v>
      </c>
      <c r="N1556" s="6">
        <v>3.343</v>
      </c>
      <c r="O1556" s="6">
        <v>3.343</v>
      </c>
      <c r="P1556" s="6">
        <v>0</v>
      </c>
      <c r="Q1556" s="4" t="s">
        <v>26</v>
      </c>
      <c r="R1556" s="4">
        <v>0</v>
      </c>
      <c r="S1556" s="4" t="s">
        <v>229</v>
      </c>
      <c r="T1556" s="4" t="s">
        <v>466</v>
      </c>
      <c r="U1556" s="4">
        <v>0</v>
      </c>
      <c r="V1556" s="4">
        <v>12</v>
      </c>
      <c r="W1556" s="4">
        <v>64</v>
      </c>
    </row>
    <row r="1557" spans="1:23" ht="11.25" customHeight="1" x14ac:dyDescent="0.25">
      <c r="A1557" s="4" t="s">
        <v>30</v>
      </c>
      <c r="B1557" s="4" t="s">
        <v>22</v>
      </c>
      <c r="C1557" s="4" t="s">
        <v>39</v>
      </c>
      <c r="D1557" s="4" t="s">
        <v>24</v>
      </c>
      <c r="E1557" s="4" t="s">
        <v>24</v>
      </c>
      <c r="F1557" s="4" t="s">
        <v>25</v>
      </c>
      <c r="G1557" s="4" t="s">
        <v>25</v>
      </c>
      <c r="H1557" s="4" t="s">
        <v>38</v>
      </c>
      <c r="I1557" s="5">
        <v>44287</v>
      </c>
      <c r="J1557" s="6">
        <v>0</v>
      </c>
      <c r="K1557" s="6">
        <v>0</v>
      </c>
      <c r="L1557" s="6">
        <v>3.0840000000000001</v>
      </c>
      <c r="M1557" s="6">
        <v>3.0840000000000001</v>
      </c>
      <c r="N1557" s="6">
        <v>3.0840000000000001</v>
      </c>
      <c r="O1557" s="6">
        <v>3.0840000000000001</v>
      </c>
      <c r="P1557" s="6">
        <v>0</v>
      </c>
      <c r="Q1557" s="4" t="s">
        <v>26</v>
      </c>
      <c r="R1557" s="4">
        <v>0</v>
      </c>
      <c r="S1557" s="4" t="s">
        <v>229</v>
      </c>
      <c r="T1557" s="4" t="s">
        <v>466</v>
      </c>
      <c r="U1557" s="4">
        <v>0</v>
      </c>
      <c r="V1557" s="4">
        <v>12</v>
      </c>
      <c r="W1557" s="4">
        <v>64</v>
      </c>
    </row>
    <row r="1558" spans="1:23" ht="11.25" customHeight="1" x14ac:dyDescent="0.25">
      <c r="A1558" s="4" t="s">
        <v>21</v>
      </c>
      <c r="B1558" s="4" t="s">
        <v>22</v>
      </c>
      <c r="C1558" s="4" t="s">
        <v>39</v>
      </c>
      <c r="D1558" s="4" t="s">
        <v>24</v>
      </c>
      <c r="E1558" s="4" t="s">
        <v>24</v>
      </c>
      <c r="F1558" s="4" t="s">
        <v>25</v>
      </c>
      <c r="G1558" s="4" t="s">
        <v>25</v>
      </c>
      <c r="H1558" s="4" t="s">
        <v>38</v>
      </c>
      <c r="I1558" s="5">
        <v>44317</v>
      </c>
      <c r="J1558" s="6">
        <v>0</v>
      </c>
      <c r="K1558" s="6">
        <v>0</v>
      </c>
      <c r="L1558" s="6">
        <v>33.136000000000003</v>
      </c>
      <c r="M1558" s="6">
        <v>33.136000000000003</v>
      </c>
      <c r="N1558" s="6">
        <v>33.136000000000003</v>
      </c>
      <c r="O1558" s="6">
        <v>33.136000000000003</v>
      </c>
      <c r="P1558" s="6">
        <v>0</v>
      </c>
      <c r="Q1558" s="4" t="s">
        <v>26</v>
      </c>
      <c r="R1558" s="4">
        <v>0</v>
      </c>
      <c r="S1558" s="4" t="s">
        <v>230</v>
      </c>
      <c r="T1558" s="4" t="s">
        <v>467</v>
      </c>
      <c r="U1558" s="4">
        <v>0</v>
      </c>
      <c r="V1558" s="4">
        <v>12</v>
      </c>
      <c r="W1558" s="4">
        <v>64</v>
      </c>
    </row>
    <row r="1559" spans="1:23" ht="11.25" customHeight="1" x14ac:dyDescent="0.25">
      <c r="A1559" s="4" t="s">
        <v>28</v>
      </c>
      <c r="B1559" s="4" t="s">
        <v>22</v>
      </c>
      <c r="C1559" s="4" t="s">
        <v>39</v>
      </c>
      <c r="D1559" s="4" t="s">
        <v>24</v>
      </c>
      <c r="E1559" s="4" t="s">
        <v>24</v>
      </c>
      <c r="F1559" s="4" t="s">
        <v>25</v>
      </c>
      <c r="G1559" s="4" t="s">
        <v>25</v>
      </c>
      <c r="H1559" s="4" t="s">
        <v>38</v>
      </c>
      <c r="I1559" s="5">
        <v>44317</v>
      </c>
      <c r="J1559" s="6">
        <v>0</v>
      </c>
      <c r="K1559" s="6">
        <v>0</v>
      </c>
      <c r="L1559" s="6">
        <v>3.1829999999999998</v>
      </c>
      <c r="M1559" s="6">
        <v>3.1829999999999998</v>
      </c>
      <c r="N1559" s="6">
        <v>3.1829999999999998</v>
      </c>
      <c r="O1559" s="6">
        <v>3.1829999999999998</v>
      </c>
      <c r="P1559" s="6">
        <v>0</v>
      </c>
      <c r="Q1559" s="4" t="s">
        <v>26</v>
      </c>
      <c r="R1559" s="4">
        <v>0</v>
      </c>
      <c r="S1559" s="4" t="s">
        <v>230</v>
      </c>
      <c r="T1559" s="4" t="s">
        <v>467</v>
      </c>
      <c r="U1559" s="4">
        <v>0</v>
      </c>
      <c r="V1559" s="4">
        <v>12</v>
      </c>
      <c r="W1559" s="4">
        <v>64</v>
      </c>
    </row>
    <row r="1560" spans="1:23" ht="11.25" customHeight="1" x14ac:dyDescent="0.25">
      <c r="A1560" s="4" t="s">
        <v>30</v>
      </c>
      <c r="B1560" s="4" t="s">
        <v>22</v>
      </c>
      <c r="C1560" s="4" t="s">
        <v>39</v>
      </c>
      <c r="D1560" s="4" t="s">
        <v>24</v>
      </c>
      <c r="E1560" s="4" t="s">
        <v>24</v>
      </c>
      <c r="F1560" s="4" t="s">
        <v>25</v>
      </c>
      <c r="G1560" s="4" t="s">
        <v>25</v>
      </c>
      <c r="H1560" s="4" t="s">
        <v>38</v>
      </c>
      <c r="I1560" s="5">
        <v>44317</v>
      </c>
      <c r="J1560" s="6">
        <v>0</v>
      </c>
      <c r="K1560" s="6">
        <v>0</v>
      </c>
      <c r="L1560" s="6">
        <v>2.859</v>
      </c>
      <c r="M1560" s="6">
        <v>2.859</v>
      </c>
      <c r="N1560" s="6">
        <v>2.859</v>
      </c>
      <c r="O1560" s="6">
        <v>2.859</v>
      </c>
      <c r="P1560" s="6">
        <v>0</v>
      </c>
      <c r="Q1560" s="4" t="s">
        <v>26</v>
      </c>
      <c r="R1560" s="4">
        <v>0</v>
      </c>
      <c r="S1560" s="4" t="s">
        <v>230</v>
      </c>
      <c r="T1560" s="4" t="s">
        <v>467</v>
      </c>
      <c r="U1560" s="4">
        <v>0</v>
      </c>
      <c r="V1560" s="4">
        <v>12</v>
      </c>
      <c r="W1560" s="4">
        <v>64</v>
      </c>
    </row>
    <row r="1561" spans="1:23" ht="11.25" customHeight="1" x14ac:dyDescent="0.25">
      <c r="A1561" s="4" t="s">
        <v>21</v>
      </c>
      <c r="B1561" s="4" t="s">
        <v>22</v>
      </c>
      <c r="C1561" s="4" t="s">
        <v>39</v>
      </c>
      <c r="D1561" s="4" t="s">
        <v>24</v>
      </c>
      <c r="E1561" s="4" t="s">
        <v>24</v>
      </c>
      <c r="F1561" s="4" t="s">
        <v>25</v>
      </c>
      <c r="G1561" s="4" t="s">
        <v>25</v>
      </c>
      <c r="H1561" s="4" t="s">
        <v>38</v>
      </c>
      <c r="I1561" s="5">
        <v>44348</v>
      </c>
      <c r="J1561" s="6">
        <v>0</v>
      </c>
      <c r="K1561" s="6">
        <v>0</v>
      </c>
      <c r="L1561" s="6">
        <v>36.936</v>
      </c>
      <c r="M1561" s="6">
        <v>36.936</v>
      </c>
      <c r="N1561" s="6">
        <v>36.936</v>
      </c>
      <c r="O1561" s="6">
        <v>36.936</v>
      </c>
      <c r="P1561" s="6">
        <v>0</v>
      </c>
      <c r="Q1561" s="4" t="s">
        <v>26</v>
      </c>
      <c r="R1561" s="4">
        <v>0</v>
      </c>
      <c r="S1561" s="4" t="s">
        <v>231</v>
      </c>
      <c r="T1561" s="4" t="s">
        <v>468</v>
      </c>
      <c r="U1561" s="4">
        <v>0</v>
      </c>
      <c r="V1561" s="4">
        <v>12</v>
      </c>
      <c r="W1561" s="4">
        <v>64</v>
      </c>
    </row>
    <row r="1562" spans="1:23" ht="11.25" customHeight="1" x14ac:dyDescent="0.25">
      <c r="A1562" s="4" t="s">
        <v>28</v>
      </c>
      <c r="B1562" s="4" t="s">
        <v>22</v>
      </c>
      <c r="C1562" s="4" t="s">
        <v>39</v>
      </c>
      <c r="D1562" s="4" t="s">
        <v>24</v>
      </c>
      <c r="E1562" s="4" t="s">
        <v>24</v>
      </c>
      <c r="F1562" s="4" t="s">
        <v>25</v>
      </c>
      <c r="G1562" s="4" t="s">
        <v>25</v>
      </c>
      <c r="H1562" s="4" t="s">
        <v>38</v>
      </c>
      <c r="I1562" s="5">
        <v>44348</v>
      </c>
      <c r="J1562" s="6">
        <v>0</v>
      </c>
      <c r="K1562" s="6">
        <v>0</v>
      </c>
      <c r="L1562" s="6">
        <v>3.5979999999999999</v>
      </c>
      <c r="M1562" s="6">
        <v>3.5979999999999999</v>
      </c>
      <c r="N1562" s="6">
        <v>3.5979999999999999</v>
      </c>
      <c r="O1562" s="6">
        <v>3.5979999999999999</v>
      </c>
      <c r="P1562" s="6">
        <v>0</v>
      </c>
      <c r="Q1562" s="4" t="s">
        <v>26</v>
      </c>
      <c r="R1562" s="4">
        <v>0</v>
      </c>
      <c r="S1562" s="4" t="s">
        <v>231</v>
      </c>
      <c r="T1562" s="4" t="s">
        <v>468</v>
      </c>
      <c r="U1562" s="4">
        <v>0</v>
      </c>
      <c r="V1562" s="4">
        <v>12</v>
      </c>
      <c r="W1562" s="4">
        <v>64</v>
      </c>
    </row>
    <row r="1563" spans="1:23" ht="11.25" customHeight="1" x14ac:dyDescent="0.25">
      <c r="A1563" s="4" t="s">
        <v>30</v>
      </c>
      <c r="B1563" s="4" t="s">
        <v>22</v>
      </c>
      <c r="C1563" s="4" t="s">
        <v>39</v>
      </c>
      <c r="D1563" s="4" t="s">
        <v>24</v>
      </c>
      <c r="E1563" s="4" t="s">
        <v>24</v>
      </c>
      <c r="F1563" s="4" t="s">
        <v>25</v>
      </c>
      <c r="G1563" s="4" t="s">
        <v>25</v>
      </c>
      <c r="H1563" s="4" t="s">
        <v>38</v>
      </c>
      <c r="I1563" s="5">
        <v>44348</v>
      </c>
      <c r="J1563" s="6">
        <v>0</v>
      </c>
      <c r="K1563" s="6">
        <v>0</v>
      </c>
      <c r="L1563" s="6">
        <v>3.532</v>
      </c>
      <c r="M1563" s="6">
        <v>3.532</v>
      </c>
      <c r="N1563" s="6">
        <v>3.532</v>
      </c>
      <c r="O1563" s="6">
        <v>3.532</v>
      </c>
      <c r="P1563" s="6">
        <v>0</v>
      </c>
      <c r="Q1563" s="4" t="s">
        <v>26</v>
      </c>
      <c r="R1563" s="4">
        <v>0</v>
      </c>
      <c r="S1563" s="4" t="s">
        <v>231</v>
      </c>
      <c r="T1563" s="4" t="s">
        <v>468</v>
      </c>
      <c r="U1563" s="4">
        <v>0</v>
      </c>
      <c r="V1563" s="4">
        <v>12</v>
      </c>
      <c r="W1563" s="4">
        <v>64</v>
      </c>
    </row>
    <row r="1564" spans="1:23" ht="11.25" customHeight="1" x14ac:dyDescent="0.25">
      <c r="A1564" s="4" t="s">
        <v>21</v>
      </c>
      <c r="B1564" s="4" t="s">
        <v>22</v>
      </c>
      <c r="C1564" s="4" t="s">
        <v>39</v>
      </c>
      <c r="D1564" s="4" t="s">
        <v>24</v>
      </c>
      <c r="E1564" s="4" t="s">
        <v>24</v>
      </c>
      <c r="F1564" s="4" t="s">
        <v>25</v>
      </c>
      <c r="G1564" s="4" t="s">
        <v>25</v>
      </c>
      <c r="H1564" s="4" t="s">
        <v>38</v>
      </c>
      <c r="I1564" s="5">
        <v>44378</v>
      </c>
      <c r="J1564" s="6">
        <v>0</v>
      </c>
      <c r="K1564" s="6">
        <v>0</v>
      </c>
      <c r="L1564" s="6">
        <v>33.942</v>
      </c>
      <c r="M1564" s="6">
        <v>33.942</v>
      </c>
      <c r="N1564" s="6">
        <v>33.942</v>
      </c>
      <c r="O1564" s="6">
        <v>33.942</v>
      </c>
      <c r="P1564" s="6">
        <v>0</v>
      </c>
      <c r="Q1564" s="4" t="s">
        <v>26</v>
      </c>
      <c r="R1564" s="4">
        <v>0</v>
      </c>
      <c r="S1564" s="4" t="s">
        <v>232</v>
      </c>
      <c r="T1564" s="4" t="s">
        <v>469</v>
      </c>
      <c r="U1564" s="4">
        <v>0</v>
      </c>
      <c r="V1564" s="4">
        <v>12</v>
      </c>
      <c r="W1564" s="4">
        <v>64</v>
      </c>
    </row>
    <row r="1565" spans="1:23" ht="11.25" customHeight="1" x14ac:dyDescent="0.25">
      <c r="A1565" s="4" t="s">
        <v>27</v>
      </c>
      <c r="B1565" s="4" t="s">
        <v>22</v>
      </c>
      <c r="C1565" s="4" t="s">
        <v>39</v>
      </c>
      <c r="D1565" s="4" t="s">
        <v>24</v>
      </c>
      <c r="E1565" s="4" t="s">
        <v>24</v>
      </c>
      <c r="F1565" s="4" t="s">
        <v>25</v>
      </c>
      <c r="G1565" s="4" t="s">
        <v>25</v>
      </c>
      <c r="H1565" s="4" t="s">
        <v>38</v>
      </c>
      <c r="I1565" s="5">
        <v>44378</v>
      </c>
      <c r="J1565" s="6">
        <v>0</v>
      </c>
      <c r="K1565" s="6">
        <v>0</v>
      </c>
      <c r="L1565" s="6">
        <v>0.79900000000000004</v>
      </c>
      <c r="M1565" s="6">
        <v>0.79900000000000004</v>
      </c>
      <c r="N1565" s="6">
        <v>0.79900000000000004</v>
      </c>
      <c r="O1565" s="6">
        <v>0.79900000000000004</v>
      </c>
      <c r="P1565" s="6">
        <v>0</v>
      </c>
      <c r="Q1565" s="4" t="s">
        <v>26</v>
      </c>
      <c r="R1565" s="4">
        <v>0</v>
      </c>
      <c r="S1565" s="4" t="s">
        <v>232</v>
      </c>
      <c r="T1565" s="4" t="s">
        <v>469</v>
      </c>
      <c r="U1565" s="4">
        <v>0</v>
      </c>
      <c r="V1565" s="4">
        <v>12</v>
      </c>
      <c r="W1565" s="4">
        <v>64</v>
      </c>
    </row>
    <row r="1566" spans="1:23" ht="11.25" customHeight="1" x14ac:dyDescent="0.25">
      <c r="A1566" s="4" t="s">
        <v>28</v>
      </c>
      <c r="B1566" s="4" t="s">
        <v>22</v>
      </c>
      <c r="C1566" s="4" t="s">
        <v>39</v>
      </c>
      <c r="D1566" s="4" t="s">
        <v>24</v>
      </c>
      <c r="E1566" s="4" t="s">
        <v>24</v>
      </c>
      <c r="F1566" s="4" t="s">
        <v>25</v>
      </c>
      <c r="G1566" s="4" t="s">
        <v>25</v>
      </c>
      <c r="H1566" s="4" t="s">
        <v>38</v>
      </c>
      <c r="I1566" s="5">
        <v>44378</v>
      </c>
      <c r="J1566" s="6">
        <v>0</v>
      </c>
      <c r="K1566" s="6">
        <v>0</v>
      </c>
      <c r="L1566" s="6">
        <v>3.6019999999999999</v>
      </c>
      <c r="M1566" s="6">
        <v>3.6019999999999999</v>
      </c>
      <c r="N1566" s="6">
        <v>3.6019999999999999</v>
      </c>
      <c r="O1566" s="6">
        <v>3.6019999999999999</v>
      </c>
      <c r="P1566" s="6">
        <v>0</v>
      </c>
      <c r="Q1566" s="4" t="s">
        <v>26</v>
      </c>
      <c r="R1566" s="4">
        <v>0</v>
      </c>
      <c r="S1566" s="4" t="s">
        <v>232</v>
      </c>
      <c r="T1566" s="4" t="s">
        <v>469</v>
      </c>
      <c r="U1566" s="4">
        <v>0</v>
      </c>
      <c r="V1566" s="4">
        <v>12</v>
      </c>
      <c r="W1566" s="4">
        <v>64</v>
      </c>
    </row>
    <row r="1567" spans="1:23" ht="11.25" customHeight="1" x14ac:dyDescent="0.25">
      <c r="A1567" s="4" t="s">
        <v>30</v>
      </c>
      <c r="B1567" s="4" t="s">
        <v>22</v>
      </c>
      <c r="C1567" s="4" t="s">
        <v>39</v>
      </c>
      <c r="D1567" s="4" t="s">
        <v>24</v>
      </c>
      <c r="E1567" s="4" t="s">
        <v>24</v>
      </c>
      <c r="F1567" s="4" t="s">
        <v>25</v>
      </c>
      <c r="G1567" s="4" t="s">
        <v>25</v>
      </c>
      <c r="H1567" s="4" t="s">
        <v>38</v>
      </c>
      <c r="I1567" s="5">
        <v>44378</v>
      </c>
      <c r="J1567" s="6">
        <v>0</v>
      </c>
      <c r="K1567" s="6">
        <v>0</v>
      </c>
      <c r="L1567" s="6">
        <v>3.41</v>
      </c>
      <c r="M1567" s="6">
        <v>3.41</v>
      </c>
      <c r="N1567" s="6">
        <v>3.41</v>
      </c>
      <c r="O1567" s="6">
        <v>3.41</v>
      </c>
      <c r="P1567" s="6">
        <v>0</v>
      </c>
      <c r="Q1567" s="4" t="s">
        <v>26</v>
      </c>
      <c r="R1567" s="4">
        <v>0</v>
      </c>
      <c r="S1567" s="4" t="s">
        <v>232</v>
      </c>
      <c r="T1567" s="4" t="s">
        <v>469</v>
      </c>
      <c r="U1567" s="4">
        <v>0</v>
      </c>
      <c r="V1567" s="4">
        <v>12</v>
      </c>
      <c r="W1567" s="4">
        <v>64</v>
      </c>
    </row>
    <row r="1568" spans="1:23" ht="11.25" customHeight="1" x14ac:dyDescent="0.25">
      <c r="A1568" s="4" t="s">
        <v>21</v>
      </c>
      <c r="B1568" s="4" t="s">
        <v>22</v>
      </c>
      <c r="C1568" s="4" t="s">
        <v>39</v>
      </c>
      <c r="D1568" s="4" t="s">
        <v>24</v>
      </c>
      <c r="E1568" s="4" t="s">
        <v>24</v>
      </c>
      <c r="F1568" s="4" t="s">
        <v>25</v>
      </c>
      <c r="G1568" s="4" t="s">
        <v>25</v>
      </c>
      <c r="H1568" s="4" t="s">
        <v>38</v>
      </c>
      <c r="I1568" s="5">
        <v>44409</v>
      </c>
      <c r="J1568" s="6">
        <v>0</v>
      </c>
      <c r="K1568" s="6">
        <v>0</v>
      </c>
      <c r="L1568" s="6">
        <v>37.944000000000003</v>
      </c>
      <c r="M1568" s="6">
        <v>37.944000000000003</v>
      </c>
      <c r="N1568" s="6">
        <v>37.944000000000003</v>
      </c>
      <c r="O1568" s="6">
        <v>37.944000000000003</v>
      </c>
      <c r="P1568" s="6">
        <v>0</v>
      </c>
      <c r="Q1568" s="4" t="s">
        <v>26</v>
      </c>
      <c r="R1568" s="4">
        <v>0</v>
      </c>
      <c r="S1568" s="4" t="s">
        <v>233</v>
      </c>
      <c r="T1568" s="4" t="s">
        <v>470</v>
      </c>
      <c r="U1568" s="4">
        <v>0</v>
      </c>
      <c r="V1568" s="4">
        <v>12</v>
      </c>
      <c r="W1568" s="4">
        <v>64</v>
      </c>
    </row>
    <row r="1569" spans="1:23" ht="11.25" customHeight="1" x14ac:dyDescent="0.25">
      <c r="A1569" s="4" t="s">
        <v>28</v>
      </c>
      <c r="B1569" s="4" t="s">
        <v>22</v>
      </c>
      <c r="C1569" s="4" t="s">
        <v>39</v>
      </c>
      <c r="D1569" s="4" t="s">
        <v>24</v>
      </c>
      <c r="E1569" s="4" t="s">
        <v>24</v>
      </c>
      <c r="F1569" s="4" t="s">
        <v>25</v>
      </c>
      <c r="G1569" s="4" t="s">
        <v>25</v>
      </c>
      <c r="H1569" s="4" t="s">
        <v>38</v>
      </c>
      <c r="I1569" s="5">
        <v>44409</v>
      </c>
      <c r="J1569" s="6">
        <v>0</v>
      </c>
      <c r="K1569" s="6">
        <v>0</v>
      </c>
      <c r="L1569" s="6">
        <v>3.5790000000000002</v>
      </c>
      <c r="M1569" s="6">
        <v>3.5790000000000002</v>
      </c>
      <c r="N1569" s="6">
        <v>3.5790000000000002</v>
      </c>
      <c r="O1569" s="6">
        <v>3.5790000000000002</v>
      </c>
      <c r="P1569" s="6">
        <v>0</v>
      </c>
      <c r="Q1569" s="4" t="s">
        <v>26</v>
      </c>
      <c r="R1569" s="4">
        <v>0</v>
      </c>
      <c r="S1569" s="4" t="s">
        <v>233</v>
      </c>
      <c r="T1569" s="4" t="s">
        <v>470</v>
      </c>
      <c r="U1569" s="4">
        <v>0</v>
      </c>
      <c r="V1569" s="4">
        <v>12</v>
      </c>
      <c r="W1569" s="4">
        <v>64</v>
      </c>
    </row>
    <row r="1570" spans="1:23" ht="11.25" customHeight="1" x14ac:dyDescent="0.25">
      <c r="A1570" s="4" t="s">
        <v>30</v>
      </c>
      <c r="B1570" s="4" t="s">
        <v>22</v>
      </c>
      <c r="C1570" s="4" t="s">
        <v>39</v>
      </c>
      <c r="D1570" s="4" t="s">
        <v>24</v>
      </c>
      <c r="E1570" s="4" t="s">
        <v>24</v>
      </c>
      <c r="F1570" s="4" t="s">
        <v>25</v>
      </c>
      <c r="G1570" s="4" t="s">
        <v>25</v>
      </c>
      <c r="H1570" s="4" t="s">
        <v>38</v>
      </c>
      <c r="I1570" s="5">
        <v>44409</v>
      </c>
      <c r="J1570" s="6">
        <v>0</v>
      </c>
      <c r="K1570" s="6">
        <v>0</v>
      </c>
      <c r="L1570" s="6">
        <v>3.5939999999999999</v>
      </c>
      <c r="M1570" s="6">
        <v>3.5939999999999999</v>
      </c>
      <c r="N1570" s="6">
        <v>3.5939999999999999</v>
      </c>
      <c r="O1570" s="6">
        <v>3.5939999999999999</v>
      </c>
      <c r="P1570" s="6">
        <v>0</v>
      </c>
      <c r="Q1570" s="4" t="s">
        <v>26</v>
      </c>
      <c r="R1570" s="4">
        <v>0</v>
      </c>
      <c r="S1570" s="4" t="s">
        <v>233</v>
      </c>
      <c r="T1570" s="4" t="s">
        <v>470</v>
      </c>
      <c r="U1570" s="4">
        <v>0</v>
      </c>
      <c r="V1570" s="4">
        <v>12</v>
      </c>
      <c r="W1570" s="4">
        <v>64</v>
      </c>
    </row>
    <row r="1571" spans="1:23" ht="11.25" customHeight="1" x14ac:dyDescent="0.25">
      <c r="A1571" s="4" t="s">
        <v>30</v>
      </c>
      <c r="B1571" s="4" t="s">
        <v>22</v>
      </c>
      <c r="C1571" s="4" t="s">
        <v>39</v>
      </c>
      <c r="D1571" s="4" t="s">
        <v>24</v>
      </c>
      <c r="E1571" s="4" t="s">
        <v>24</v>
      </c>
      <c r="F1571" s="4" t="s">
        <v>25</v>
      </c>
      <c r="G1571" s="4" t="s">
        <v>25</v>
      </c>
      <c r="H1571" s="4" t="s">
        <v>38</v>
      </c>
      <c r="I1571" s="5">
        <v>44409</v>
      </c>
      <c r="J1571" s="6">
        <v>0</v>
      </c>
      <c r="K1571" s="6">
        <v>0</v>
      </c>
      <c r="L1571" s="6">
        <v>-1.1259999999999999</v>
      </c>
      <c r="M1571" s="6">
        <v>-1.1259999999999999</v>
      </c>
      <c r="N1571" s="6">
        <v>-1.1259999999999999</v>
      </c>
      <c r="O1571" s="6">
        <v>-1.1259999999999999</v>
      </c>
      <c r="P1571" s="6">
        <v>0</v>
      </c>
      <c r="Q1571" s="4" t="s">
        <v>26</v>
      </c>
      <c r="R1571" s="4">
        <v>0</v>
      </c>
      <c r="S1571" s="4" t="s">
        <v>233</v>
      </c>
      <c r="T1571" s="4" t="s">
        <v>470</v>
      </c>
      <c r="U1571" s="4">
        <v>0</v>
      </c>
      <c r="V1571" s="4">
        <v>12</v>
      </c>
      <c r="W1571" s="4">
        <v>64</v>
      </c>
    </row>
    <row r="1572" spans="1:23" ht="11.25" customHeight="1" x14ac:dyDescent="0.25">
      <c r="A1572" s="4" t="s">
        <v>21</v>
      </c>
      <c r="B1572" s="4" t="s">
        <v>22</v>
      </c>
      <c r="C1572" s="4" t="s">
        <v>39</v>
      </c>
      <c r="D1572" s="4" t="s">
        <v>24</v>
      </c>
      <c r="E1572" s="4" t="s">
        <v>24</v>
      </c>
      <c r="F1572" s="4" t="s">
        <v>25</v>
      </c>
      <c r="G1572" s="4" t="s">
        <v>25</v>
      </c>
      <c r="H1572" s="4" t="s">
        <v>38</v>
      </c>
      <c r="I1572" s="5">
        <v>44440</v>
      </c>
      <c r="J1572" s="6">
        <v>0</v>
      </c>
      <c r="K1572" s="6">
        <v>0</v>
      </c>
      <c r="L1572" s="6">
        <v>37.554000000000002</v>
      </c>
      <c r="M1572" s="6">
        <v>37.554000000000002</v>
      </c>
      <c r="N1572" s="6">
        <v>37.554000000000002</v>
      </c>
      <c r="O1572" s="6">
        <v>37.554000000000002</v>
      </c>
      <c r="P1572" s="6">
        <v>0</v>
      </c>
      <c r="Q1572" s="4" t="s">
        <v>26</v>
      </c>
      <c r="R1572" s="4">
        <v>0</v>
      </c>
      <c r="S1572" s="4" t="s">
        <v>234</v>
      </c>
      <c r="T1572" s="4" t="s">
        <v>471</v>
      </c>
      <c r="U1572" s="4">
        <v>0</v>
      </c>
      <c r="V1572" s="4">
        <v>12</v>
      </c>
      <c r="W1572" s="4">
        <v>64</v>
      </c>
    </row>
    <row r="1573" spans="1:23" ht="11.25" customHeight="1" x14ac:dyDescent="0.25">
      <c r="A1573" s="4" t="s">
        <v>27</v>
      </c>
      <c r="B1573" s="4" t="s">
        <v>22</v>
      </c>
      <c r="C1573" s="4" t="s">
        <v>39</v>
      </c>
      <c r="D1573" s="4" t="s">
        <v>24</v>
      </c>
      <c r="E1573" s="4" t="s">
        <v>24</v>
      </c>
      <c r="F1573" s="4" t="s">
        <v>25</v>
      </c>
      <c r="G1573" s="4" t="s">
        <v>25</v>
      </c>
      <c r="H1573" s="4" t="s">
        <v>38</v>
      </c>
      <c r="I1573" s="5">
        <v>44440</v>
      </c>
      <c r="J1573" s="6">
        <v>0</v>
      </c>
      <c r="K1573" s="6">
        <v>0</v>
      </c>
      <c r="L1573" s="6">
        <v>0.36599999999999999</v>
      </c>
      <c r="M1573" s="6">
        <v>0.36599999999999999</v>
      </c>
      <c r="N1573" s="6">
        <v>0.36599999999999999</v>
      </c>
      <c r="O1573" s="6">
        <v>0.36599999999999999</v>
      </c>
      <c r="P1573" s="6">
        <v>0</v>
      </c>
      <c r="Q1573" s="4" t="s">
        <v>26</v>
      </c>
      <c r="R1573" s="4">
        <v>0</v>
      </c>
      <c r="S1573" s="4" t="s">
        <v>234</v>
      </c>
      <c r="T1573" s="4" t="s">
        <v>471</v>
      </c>
      <c r="U1573" s="4">
        <v>0</v>
      </c>
      <c r="V1573" s="4">
        <v>12</v>
      </c>
      <c r="W1573" s="4">
        <v>64</v>
      </c>
    </row>
    <row r="1574" spans="1:23" ht="11.25" customHeight="1" x14ac:dyDescent="0.25">
      <c r="A1574" s="4" t="s">
        <v>28</v>
      </c>
      <c r="B1574" s="4" t="s">
        <v>22</v>
      </c>
      <c r="C1574" s="4" t="s">
        <v>39</v>
      </c>
      <c r="D1574" s="4" t="s">
        <v>24</v>
      </c>
      <c r="E1574" s="4" t="s">
        <v>24</v>
      </c>
      <c r="F1574" s="4" t="s">
        <v>25</v>
      </c>
      <c r="G1574" s="4" t="s">
        <v>25</v>
      </c>
      <c r="H1574" s="4" t="s">
        <v>38</v>
      </c>
      <c r="I1574" s="5">
        <v>44440</v>
      </c>
      <c r="J1574" s="6">
        <v>0</v>
      </c>
      <c r="K1574" s="6">
        <v>0</v>
      </c>
      <c r="L1574" s="6">
        <v>3.7650000000000001</v>
      </c>
      <c r="M1574" s="6">
        <v>3.7650000000000001</v>
      </c>
      <c r="N1574" s="6">
        <v>3.7650000000000001</v>
      </c>
      <c r="O1574" s="6">
        <v>3.7650000000000001</v>
      </c>
      <c r="P1574" s="6">
        <v>0</v>
      </c>
      <c r="Q1574" s="4" t="s">
        <v>26</v>
      </c>
      <c r="R1574" s="4">
        <v>0</v>
      </c>
      <c r="S1574" s="4" t="s">
        <v>234</v>
      </c>
      <c r="T1574" s="4" t="s">
        <v>471</v>
      </c>
      <c r="U1574" s="4">
        <v>0</v>
      </c>
      <c r="V1574" s="4">
        <v>12</v>
      </c>
      <c r="W1574" s="4">
        <v>64</v>
      </c>
    </row>
    <row r="1575" spans="1:23" ht="11.25" customHeight="1" x14ac:dyDescent="0.25">
      <c r="A1575" s="4" t="s">
        <v>30</v>
      </c>
      <c r="B1575" s="4" t="s">
        <v>22</v>
      </c>
      <c r="C1575" s="4" t="s">
        <v>39</v>
      </c>
      <c r="D1575" s="4" t="s">
        <v>24</v>
      </c>
      <c r="E1575" s="4" t="s">
        <v>24</v>
      </c>
      <c r="F1575" s="4" t="s">
        <v>25</v>
      </c>
      <c r="G1575" s="4" t="s">
        <v>25</v>
      </c>
      <c r="H1575" s="4" t="s">
        <v>38</v>
      </c>
      <c r="I1575" s="5">
        <v>44440</v>
      </c>
      <c r="J1575" s="6">
        <v>0</v>
      </c>
      <c r="K1575" s="6">
        <v>0</v>
      </c>
      <c r="L1575" s="6">
        <v>2.1789999999999998</v>
      </c>
      <c r="M1575" s="6">
        <v>2.1789999999999998</v>
      </c>
      <c r="N1575" s="6">
        <v>2.1789999999999998</v>
      </c>
      <c r="O1575" s="6">
        <v>2.1789999999999998</v>
      </c>
      <c r="P1575" s="6">
        <v>0</v>
      </c>
      <c r="Q1575" s="4" t="s">
        <v>26</v>
      </c>
      <c r="R1575" s="4">
        <v>0</v>
      </c>
      <c r="S1575" s="4" t="s">
        <v>234</v>
      </c>
      <c r="T1575" s="4" t="s">
        <v>471</v>
      </c>
      <c r="U1575" s="4">
        <v>0</v>
      </c>
      <c r="V1575" s="4">
        <v>12</v>
      </c>
      <c r="W1575" s="4">
        <v>64</v>
      </c>
    </row>
    <row r="1576" spans="1:23" ht="11.25" customHeight="1" x14ac:dyDescent="0.25">
      <c r="A1576" s="4" t="s">
        <v>59</v>
      </c>
      <c r="B1576" s="4" t="s">
        <v>22</v>
      </c>
      <c r="C1576" s="4" t="s">
        <v>39</v>
      </c>
      <c r="D1576" s="4" t="s">
        <v>24</v>
      </c>
      <c r="E1576" s="4" t="s">
        <v>24</v>
      </c>
      <c r="F1576" s="4" t="s">
        <v>25</v>
      </c>
      <c r="G1576" s="4" t="s">
        <v>25</v>
      </c>
      <c r="H1576" s="4" t="s">
        <v>38</v>
      </c>
      <c r="I1576" s="5">
        <v>44470</v>
      </c>
      <c r="J1576" s="6">
        <v>0</v>
      </c>
      <c r="K1576" s="6">
        <v>0</v>
      </c>
      <c r="L1576" s="6">
        <v>37.554000000000002</v>
      </c>
      <c r="M1576" s="6">
        <v>37.554000000000002</v>
      </c>
      <c r="N1576" s="6">
        <v>37.554000000000002</v>
      </c>
      <c r="O1576" s="6">
        <v>37.554000000000002</v>
      </c>
      <c r="P1576" s="6">
        <v>0</v>
      </c>
      <c r="Q1576" s="4" t="s">
        <v>26</v>
      </c>
      <c r="R1576" s="4">
        <v>0</v>
      </c>
      <c r="S1576" s="4" t="s">
        <v>235</v>
      </c>
      <c r="T1576" s="4" t="s">
        <v>472</v>
      </c>
      <c r="U1576" s="4">
        <v>0</v>
      </c>
      <c r="V1576" s="4">
        <v>12</v>
      </c>
      <c r="W1576" s="4">
        <v>64</v>
      </c>
    </row>
    <row r="1577" spans="1:23" ht="11.25" customHeight="1" x14ac:dyDescent="0.25">
      <c r="A1577" s="4" t="s">
        <v>59</v>
      </c>
      <c r="B1577" s="4" t="s">
        <v>22</v>
      </c>
      <c r="C1577" s="4" t="s">
        <v>39</v>
      </c>
      <c r="D1577" s="4" t="s">
        <v>24</v>
      </c>
      <c r="E1577" s="4" t="s">
        <v>24</v>
      </c>
      <c r="F1577" s="4" t="s">
        <v>25</v>
      </c>
      <c r="G1577" s="4" t="s">
        <v>25</v>
      </c>
      <c r="H1577" s="4" t="s">
        <v>38</v>
      </c>
      <c r="I1577" s="5">
        <v>44470</v>
      </c>
      <c r="J1577" s="6">
        <v>0</v>
      </c>
      <c r="K1577" s="6">
        <v>0</v>
      </c>
      <c r="L1577" s="6">
        <v>0.36599999999999999</v>
      </c>
      <c r="M1577" s="6">
        <v>0.36599999999999999</v>
      </c>
      <c r="N1577" s="6">
        <v>0.36599999999999999</v>
      </c>
      <c r="O1577" s="6">
        <v>0.36599999999999999</v>
      </c>
      <c r="P1577" s="6">
        <v>0</v>
      </c>
      <c r="Q1577" s="4" t="s">
        <v>26</v>
      </c>
      <c r="R1577" s="4">
        <v>0</v>
      </c>
      <c r="S1577" s="4" t="s">
        <v>235</v>
      </c>
      <c r="T1577" s="4" t="s">
        <v>472</v>
      </c>
      <c r="U1577" s="4">
        <v>0</v>
      </c>
      <c r="V1577" s="4">
        <v>12</v>
      </c>
      <c r="W1577" s="4">
        <v>64</v>
      </c>
    </row>
    <row r="1578" spans="1:23" ht="11.25" customHeight="1" x14ac:dyDescent="0.25">
      <c r="A1578" s="4" t="s">
        <v>59</v>
      </c>
      <c r="B1578" s="4" t="s">
        <v>22</v>
      </c>
      <c r="C1578" s="4" t="s">
        <v>39</v>
      </c>
      <c r="D1578" s="4" t="s">
        <v>24</v>
      </c>
      <c r="E1578" s="4" t="s">
        <v>24</v>
      </c>
      <c r="F1578" s="4" t="s">
        <v>25</v>
      </c>
      <c r="G1578" s="4" t="s">
        <v>25</v>
      </c>
      <c r="H1578" s="4" t="s">
        <v>38</v>
      </c>
      <c r="I1578" s="5">
        <v>44470</v>
      </c>
      <c r="J1578" s="6">
        <v>0</v>
      </c>
      <c r="K1578" s="6">
        <v>0</v>
      </c>
      <c r="L1578" s="6">
        <v>3.7650000000000001</v>
      </c>
      <c r="M1578" s="6">
        <v>3.7650000000000001</v>
      </c>
      <c r="N1578" s="6">
        <v>3.7650000000000001</v>
      </c>
      <c r="O1578" s="6">
        <v>3.7650000000000001</v>
      </c>
      <c r="P1578" s="6">
        <v>0</v>
      </c>
      <c r="Q1578" s="4" t="s">
        <v>26</v>
      </c>
      <c r="R1578" s="4">
        <v>0</v>
      </c>
      <c r="S1578" s="4" t="s">
        <v>235</v>
      </c>
      <c r="T1578" s="4" t="s">
        <v>472</v>
      </c>
      <c r="U1578" s="4">
        <v>0</v>
      </c>
      <c r="V1578" s="4">
        <v>12</v>
      </c>
      <c r="W1578" s="4">
        <v>64</v>
      </c>
    </row>
    <row r="1579" spans="1:23" ht="11.25" customHeight="1" x14ac:dyDescent="0.25">
      <c r="A1579" s="4" t="s">
        <v>59</v>
      </c>
      <c r="B1579" s="4" t="s">
        <v>22</v>
      </c>
      <c r="C1579" s="4" t="s">
        <v>39</v>
      </c>
      <c r="D1579" s="4" t="s">
        <v>24</v>
      </c>
      <c r="E1579" s="4" t="s">
        <v>24</v>
      </c>
      <c r="F1579" s="4" t="s">
        <v>25</v>
      </c>
      <c r="G1579" s="4" t="s">
        <v>25</v>
      </c>
      <c r="H1579" s="4" t="s">
        <v>38</v>
      </c>
      <c r="I1579" s="5">
        <v>44470</v>
      </c>
      <c r="J1579" s="6">
        <v>0</v>
      </c>
      <c r="K1579" s="6">
        <v>0</v>
      </c>
      <c r="L1579" s="6">
        <v>2.1789999999999998</v>
      </c>
      <c r="M1579" s="6">
        <v>2.1789999999999998</v>
      </c>
      <c r="N1579" s="6">
        <v>2.1789999999999998</v>
      </c>
      <c r="O1579" s="6">
        <v>2.1789999999999998</v>
      </c>
      <c r="P1579" s="6">
        <v>0</v>
      </c>
      <c r="Q1579" s="4" t="s">
        <v>26</v>
      </c>
      <c r="R1579" s="4">
        <v>0</v>
      </c>
      <c r="S1579" s="4" t="s">
        <v>235</v>
      </c>
      <c r="T1579" s="4" t="s">
        <v>472</v>
      </c>
      <c r="U1579" s="4">
        <v>0</v>
      </c>
      <c r="V1579" s="4">
        <v>12</v>
      </c>
      <c r="W1579" s="4">
        <v>64</v>
      </c>
    </row>
    <row r="1580" spans="1:23" ht="11.25" customHeight="1" x14ac:dyDescent="0.25">
      <c r="A1580" s="4" t="s">
        <v>21</v>
      </c>
      <c r="B1580" s="4" t="s">
        <v>22</v>
      </c>
      <c r="C1580" s="4" t="s">
        <v>39</v>
      </c>
      <c r="D1580" s="4" t="s">
        <v>24</v>
      </c>
      <c r="E1580" s="4" t="s">
        <v>24</v>
      </c>
      <c r="F1580" s="4" t="s">
        <v>25</v>
      </c>
      <c r="G1580" s="4" t="s">
        <v>25</v>
      </c>
      <c r="H1580" s="4" t="s">
        <v>40</v>
      </c>
      <c r="I1580" s="5">
        <v>44136</v>
      </c>
      <c r="J1580" s="6">
        <v>0</v>
      </c>
      <c r="K1580" s="6">
        <v>0</v>
      </c>
      <c r="L1580" s="6">
        <v>2.117</v>
      </c>
      <c r="M1580" s="6">
        <v>2.117</v>
      </c>
      <c r="N1580" s="6">
        <v>2.117</v>
      </c>
      <c r="O1580" s="6">
        <v>2.117</v>
      </c>
      <c r="P1580" s="6">
        <v>0</v>
      </c>
      <c r="Q1580" s="4" t="s">
        <v>26</v>
      </c>
      <c r="R1580" s="4">
        <v>0</v>
      </c>
      <c r="S1580" s="4" t="s">
        <v>236</v>
      </c>
      <c r="T1580" s="4" t="s">
        <v>473</v>
      </c>
      <c r="U1580" s="4">
        <v>0</v>
      </c>
      <c r="V1580" s="4">
        <v>11</v>
      </c>
      <c r="W1580" s="4">
        <v>63</v>
      </c>
    </row>
    <row r="1581" spans="1:23" ht="11.25" customHeight="1" x14ac:dyDescent="0.25">
      <c r="A1581" s="4" t="s">
        <v>27</v>
      </c>
      <c r="B1581" s="4" t="s">
        <v>22</v>
      </c>
      <c r="C1581" s="4" t="s">
        <v>39</v>
      </c>
      <c r="D1581" s="4" t="s">
        <v>24</v>
      </c>
      <c r="E1581" s="4" t="s">
        <v>24</v>
      </c>
      <c r="F1581" s="4" t="s">
        <v>25</v>
      </c>
      <c r="G1581" s="4" t="s">
        <v>25</v>
      </c>
      <c r="H1581" s="4" t="s">
        <v>40</v>
      </c>
      <c r="I1581" s="5">
        <v>44136</v>
      </c>
      <c r="J1581" s="6">
        <v>0</v>
      </c>
      <c r="K1581" s="6">
        <v>0</v>
      </c>
      <c r="L1581" s="6">
        <v>2.8000000000000001E-2</v>
      </c>
      <c r="M1581" s="6">
        <v>2.8000000000000001E-2</v>
      </c>
      <c r="N1581" s="6">
        <v>2.8000000000000001E-2</v>
      </c>
      <c r="O1581" s="6">
        <v>2.8000000000000001E-2</v>
      </c>
      <c r="P1581" s="6">
        <v>0</v>
      </c>
      <c r="Q1581" s="4" t="s">
        <v>26</v>
      </c>
      <c r="R1581" s="4">
        <v>0</v>
      </c>
      <c r="S1581" s="4" t="s">
        <v>236</v>
      </c>
      <c r="T1581" s="4" t="s">
        <v>473</v>
      </c>
      <c r="U1581" s="4">
        <v>0</v>
      </c>
      <c r="V1581" s="4">
        <v>11</v>
      </c>
      <c r="W1581" s="4">
        <v>63</v>
      </c>
    </row>
    <row r="1582" spans="1:23" ht="11.25" customHeight="1" x14ac:dyDescent="0.25">
      <c r="A1582" s="4" t="s">
        <v>28</v>
      </c>
      <c r="B1582" s="4" t="s">
        <v>22</v>
      </c>
      <c r="C1582" s="4" t="s">
        <v>39</v>
      </c>
      <c r="D1582" s="4" t="s">
        <v>24</v>
      </c>
      <c r="E1582" s="4" t="s">
        <v>24</v>
      </c>
      <c r="F1582" s="4" t="s">
        <v>25</v>
      </c>
      <c r="G1582" s="4" t="s">
        <v>25</v>
      </c>
      <c r="H1582" s="4" t="s">
        <v>40</v>
      </c>
      <c r="I1582" s="5">
        <v>44136</v>
      </c>
      <c r="J1582" s="6">
        <v>0</v>
      </c>
      <c r="K1582" s="6">
        <v>0</v>
      </c>
      <c r="L1582" s="6">
        <v>0.128</v>
      </c>
      <c r="M1582" s="6">
        <v>0.128</v>
      </c>
      <c r="N1582" s="6">
        <v>0.128</v>
      </c>
      <c r="O1582" s="6">
        <v>0.128</v>
      </c>
      <c r="P1582" s="6">
        <v>0</v>
      </c>
      <c r="Q1582" s="4" t="s">
        <v>26</v>
      </c>
      <c r="R1582" s="4">
        <v>0</v>
      </c>
      <c r="S1582" s="4" t="s">
        <v>236</v>
      </c>
      <c r="T1582" s="4" t="s">
        <v>473</v>
      </c>
      <c r="U1582" s="4">
        <v>0</v>
      </c>
      <c r="V1582" s="4">
        <v>11</v>
      </c>
      <c r="W1582" s="4">
        <v>63</v>
      </c>
    </row>
    <row r="1583" spans="1:23" ht="11.25" customHeight="1" x14ac:dyDescent="0.25">
      <c r="A1583" s="4" t="s">
        <v>30</v>
      </c>
      <c r="B1583" s="4" t="s">
        <v>22</v>
      </c>
      <c r="C1583" s="4" t="s">
        <v>39</v>
      </c>
      <c r="D1583" s="4" t="s">
        <v>24</v>
      </c>
      <c r="E1583" s="4" t="s">
        <v>24</v>
      </c>
      <c r="F1583" s="4" t="s">
        <v>25</v>
      </c>
      <c r="G1583" s="4" t="s">
        <v>25</v>
      </c>
      <c r="H1583" s="4" t="s">
        <v>40</v>
      </c>
      <c r="I1583" s="5">
        <v>44136</v>
      </c>
      <c r="J1583" s="6">
        <v>0</v>
      </c>
      <c r="K1583" s="6">
        <v>0</v>
      </c>
      <c r="L1583" s="6">
        <v>6.2E-2</v>
      </c>
      <c r="M1583" s="6">
        <v>6.2E-2</v>
      </c>
      <c r="N1583" s="6">
        <v>6.2E-2</v>
      </c>
      <c r="O1583" s="6">
        <v>6.2E-2</v>
      </c>
      <c r="P1583" s="6">
        <v>0</v>
      </c>
      <c r="Q1583" s="4" t="s">
        <v>26</v>
      </c>
      <c r="R1583" s="4">
        <v>0</v>
      </c>
      <c r="S1583" s="4" t="s">
        <v>236</v>
      </c>
      <c r="T1583" s="4" t="s">
        <v>473</v>
      </c>
      <c r="U1583" s="4">
        <v>0</v>
      </c>
      <c r="V1583" s="4">
        <v>11</v>
      </c>
      <c r="W1583" s="4">
        <v>63</v>
      </c>
    </row>
    <row r="1584" spans="1:23" ht="11.25" customHeight="1" x14ac:dyDescent="0.25">
      <c r="A1584" s="4" t="s">
        <v>21</v>
      </c>
      <c r="B1584" s="4" t="s">
        <v>22</v>
      </c>
      <c r="C1584" s="4" t="s">
        <v>39</v>
      </c>
      <c r="D1584" s="4" t="s">
        <v>24</v>
      </c>
      <c r="E1584" s="4" t="s">
        <v>24</v>
      </c>
      <c r="F1584" s="4" t="s">
        <v>25</v>
      </c>
      <c r="G1584" s="4" t="s">
        <v>25</v>
      </c>
      <c r="H1584" s="4" t="s">
        <v>40</v>
      </c>
      <c r="I1584" s="5">
        <v>44166</v>
      </c>
      <c r="J1584" s="6">
        <v>0</v>
      </c>
      <c r="K1584" s="6">
        <v>0</v>
      </c>
      <c r="L1584" s="6">
        <v>2.1869999999999998</v>
      </c>
      <c r="M1584" s="6">
        <v>2.1869999999999998</v>
      </c>
      <c r="N1584" s="6">
        <v>2.1869999999999998</v>
      </c>
      <c r="O1584" s="6">
        <v>2.1869999999999998</v>
      </c>
      <c r="P1584" s="6">
        <v>0</v>
      </c>
      <c r="Q1584" s="4" t="s">
        <v>26</v>
      </c>
      <c r="R1584" s="4">
        <v>0</v>
      </c>
      <c r="S1584" s="4" t="s">
        <v>237</v>
      </c>
      <c r="T1584" s="4" t="s">
        <v>474</v>
      </c>
      <c r="U1584" s="4">
        <v>0</v>
      </c>
      <c r="V1584" s="4">
        <v>11</v>
      </c>
      <c r="W1584" s="4">
        <v>63</v>
      </c>
    </row>
    <row r="1585" spans="1:23" ht="11.25" customHeight="1" x14ac:dyDescent="0.25">
      <c r="A1585" s="4" t="s">
        <v>28</v>
      </c>
      <c r="B1585" s="4" t="s">
        <v>22</v>
      </c>
      <c r="C1585" s="4" t="s">
        <v>39</v>
      </c>
      <c r="D1585" s="4" t="s">
        <v>24</v>
      </c>
      <c r="E1585" s="4" t="s">
        <v>24</v>
      </c>
      <c r="F1585" s="4" t="s">
        <v>25</v>
      </c>
      <c r="G1585" s="4" t="s">
        <v>25</v>
      </c>
      <c r="H1585" s="4" t="s">
        <v>40</v>
      </c>
      <c r="I1585" s="5">
        <v>44166</v>
      </c>
      <c r="J1585" s="6">
        <v>0</v>
      </c>
      <c r="K1585" s="6">
        <v>0</v>
      </c>
      <c r="L1585" s="6">
        <v>7.5999999999999998E-2</v>
      </c>
      <c r="M1585" s="6">
        <v>7.5999999999999998E-2</v>
      </c>
      <c r="N1585" s="6">
        <v>7.5999999999999998E-2</v>
      </c>
      <c r="O1585" s="6">
        <v>7.5999999999999998E-2</v>
      </c>
      <c r="P1585" s="6">
        <v>0</v>
      </c>
      <c r="Q1585" s="4" t="s">
        <v>26</v>
      </c>
      <c r="R1585" s="4">
        <v>0</v>
      </c>
      <c r="S1585" s="4" t="s">
        <v>237</v>
      </c>
      <c r="T1585" s="4" t="s">
        <v>474</v>
      </c>
      <c r="U1585" s="4">
        <v>0</v>
      </c>
      <c r="V1585" s="4">
        <v>11</v>
      </c>
      <c r="W1585" s="4">
        <v>63</v>
      </c>
    </row>
    <row r="1586" spans="1:23" ht="11.25" customHeight="1" x14ac:dyDescent="0.25">
      <c r="A1586" s="4" t="s">
        <v>30</v>
      </c>
      <c r="B1586" s="4" t="s">
        <v>22</v>
      </c>
      <c r="C1586" s="4" t="s">
        <v>39</v>
      </c>
      <c r="D1586" s="4" t="s">
        <v>24</v>
      </c>
      <c r="E1586" s="4" t="s">
        <v>24</v>
      </c>
      <c r="F1586" s="4" t="s">
        <v>25</v>
      </c>
      <c r="G1586" s="4" t="s">
        <v>25</v>
      </c>
      <c r="H1586" s="4" t="s">
        <v>40</v>
      </c>
      <c r="I1586" s="5">
        <v>44166</v>
      </c>
      <c r="J1586" s="6">
        <v>0</v>
      </c>
      <c r="K1586" s="6">
        <v>0</v>
      </c>
      <c r="L1586" s="6">
        <v>6.9000000000000006E-2</v>
      </c>
      <c r="M1586" s="6">
        <v>6.9000000000000006E-2</v>
      </c>
      <c r="N1586" s="6">
        <v>6.9000000000000006E-2</v>
      </c>
      <c r="O1586" s="6">
        <v>6.9000000000000006E-2</v>
      </c>
      <c r="P1586" s="6">
        <v>0</v>
      </c>
      <c r="Q1586" s="4" t="s">
        <v>26</v>
      </c>
      <c r="R1586" s="4">
        <v>0</v>
      </c>
      <c r="S1586" s="4" t="s">
        <v>237</v>
      </c>
      <c r="T1586" s="4" t="s">
        <v>474</v>
      </c>
      <c r="U1586" s="4">
        <v>0</v>
      </c>
      <c r="V1586" s="4">
        <v>11</v>
      </c>
      <c r="W1586" s="4">
        <v>63</v>
      </c>
    </row>
    <row r="1587" spans="1:23" ht="11.25" customHeight="1" x14ac:dyDescent="0.25">
      <c r="A1587" s="4" t="s">
        <v>21</v>
      </c>
      <c r="B1587" s="4" t="s">
        <v>22</v>
      </c>
      <c r="C1587" s="4" t="s">
        <v>39</v>
      </c>
      <c r="D1587" s="4" t="s">
        <v>24</v>
      </c>
      <c r="E1587" s="4" t="s">
        <v>24</v>
      </c>
      <c r="F1587" s="4" t="s">
        <v>25</v>
      </c>
      <c r="G1587" s="4" t="s">
        <v>25</v>
      </c>
      <c r="H1587" s="4" t="s">
        <v>40</v>
      </c>
      <c r="I1587" s="5">
        <v>44197</v>
      </c>
      <c r="J1587" s="6">
        <v>0</v>
      </c>
      <c r="K1587" s="6">
        <v>0</v>
      </c>
      <c r="L1587" s="6">
        <v>2.1389999999999998</v>
      </c>
      <c r="M1587" s="6">
        <v>2.1389999999999998</v>
      </c>
      <c r="N1587" s="6">
        <v>2.1389999999999998</v>
      </c>
      <c r="O1587" s="6">
        <v>2.1389999999999998</v>
      </c>
      <c r="P1587" s="6">
        <v>0</v>
      </c>
      <c r="Q1587" s="4" t="s">
        <v>26</v>
      </c>
      <c r="R1587" s="4">
        <v>0</v>
      </c>
      <c r="S1587" s="4" t="s">
        <v>238</v>
      </c>
      <c r="T1587" s="4" t="s">
        <v>475</v>
      </c>
      <c r="U1587" s="4">
        <v>0</v>
      </c>
      <c r="V1587" s="4">
        <v>11</v>
      </c>
      <c r="W1587" s="4">
        <v>63</v>
      </c>
    </row>
    <row r="1588" spans="1:23" ht="11.25" customHeight="1" x14ac:dyDescent="0.25">
      <c r="A1588" s="4" t="s">
        <v>27</v>
      </c>
      <c r="B1588" s="4" t="s">
        <v>22</v>
      </c>
      <c r="C1588" s="4" t="s">
        <v>39</v>
      </c>
      <c r="D1588" s="4" t="s">
        <v>24</v>
      </c>
      <c r="E1588" s="4" t="s">
        <v>24</v>
      </c>
      <c r="F1588" s="4" t="s">
        <v>25</v>
      </c>
      <c r="G1588" s="4" t="s">
        <v>25</v>
      </c>
      <c r="H1588" s="4" t="s">
        <v>40</v>
      </c>
      <c r="I1588" s="5">
        <v>44197</v>
      </c>
      <c r="J1588" s="6">
        <v>0</v>
      </c>
      <c r="K1588" s="6">
        <v>0</v>
      </c>
      <c r="L1588" s="6">
        <v>-7.0000000000000001E-3</v>
      </c>
      <c r="M1588" s="6">
        <v>-7.0000000000000001E-3</v>
      </c>
      <c r="N1588" s="6">
        <v>-7.0000000000000001E-3</v>
      </c>
      <c r="O1588" s="6">
        <v>-7.0000000000000001E-3</v>
      </c>
      <c r="P1588" s="6">
        <v>0</v>
      </c>
      <c r="Q1588" s="4" t="s">
        <v>26</v>
      </c>
      <c r="R1588" s="4">
        <v>0</v>
      </c>
      <c r="S1588" s="4" t="s">
        <v>238</v>
      </c>
      <c r="T1588" s="4" t="s">
        <v>475</v>
      </c>
      <c r="U1588" s="4">
        <v>0</v>
      </c>
      <c r="V1588" s="4">
        <v>11</v>
      </c>
      <c r="W1588" s="4">
        <v>63</v>
      </c>
    </row>
    <row r="1589" spans="1:23" ht="11.25" customHeight="1" x14ac:dyDescent="0.25">
      <c r="A1589" s="4" t="s">
        <v>28</v>
      </c>
      <c r="B1589" s="4" t="s">
        <v>22</v>
      </c>
      <c r="C1589" s="4" t="s">
        <v>39</v>
      </c>
      <c r="D1589" s="4" t="s">
        <v>24</v>
      </c>
      <c r="E1589" s="4" t="s">
        <v>24</v>
      </c>
      <c r="F1589" s="4" t="s">
        <v>25</v>
      </c>
      <c r="G1589" s="4" t="s">
        <v>25</v>
      </c>
      <c r="H1589" s="4" t="s">
        <v>40</v>
      </c>
      <c r="I1589" s="5">
        <v>44197</v>
      </c>
      <c r="J1589" s="6">
        <v>0</v>
      </c>
      <c r="K1589" s="6">
        <v>0</v>
      </c>
      <c r="L1589" s="6">
        <v>9.6000000000000002E-2</v>
      </c>
      <c r="M1589" s="6">
        <v>9.6000000000000002E-2</v>
      </c>
      <c r="N1589" s="6">
        <v>9.6000000000000002E-2</v>
      </c>
      <c r="O1589" s="6">
        <v>9.6000000000000002E-2</v>
      </c>
      <c r="P1589" s="6">
        <v>0</v>
      </c>
      <c r="Q1589" s="4" t="s">
        <v>26</v>
      </c>
      <c r="R1589" s="4">
        <v>0</v>
      </c>
      <c r="S1589" s="4" t="s">
        <v>238</v>
      </c>
      <c r="T1589" s="4" t="s">
        <v>475</v>
      </c>
      <c r="U1589" s="4">
        <v>0</v>
      </c>
      <c r="V1589" s="4">
        <v>11</v>
      </c>
      <c r="W1589" s="4">
        <v>63</v>
      </c>
    </row>
    <row r="1590" spans="1:23" ht="11.25" customHeight="1" x14ac:dyDescent="0.25">
      <c r="A1590" s="4" t="s">
        <v>30</v>
      </c>
      <c r="B1590" s="4" t="s">
        <v>22</v>
      </c>
      <c r="C1590" s="4" t="s">
        <v>39</v>
      </c>
      <c r="D1590" s="4" t="s">
        <v>24</v>
      </c>
      <c r="E1590" s="4" t="s">
        <v>24</v>
      </c>
      <c r="F1590" s="4" t="s">
        <v>25</v>
      </c>
      <c r="G1590" s="4" t="s">
        <v>25</v>
      </c>
      <c r="H1590" s="4" t="s">
        <v>40</v>
      </c>
      <c r="I1590" s="5">
        <v>44197</v>
      </c>
      <c r="J1590" s="6">
        <v>0</v>
      </c>
      <c r="K1590" s="6">
        <v>0</v>
      </c>
      <c r="L1590" s="6">
        <v>7.5999999999999998E-2</v>
      </c>
      <c r="M1590" s="6">
        <v>7.5999999999999998E-2</v>
      </c>
      <c r="N1590" s="6">
        <v>7.5999999999999998E-2</v>
      </c>
      <c r="O1590" s="6">
        <v>7.5999999999999998E-2</v>
      </c>
      <c r="P1590" s="6">
        <v>0</v>
      </c>
      <c r="Q1590" s="4" t="s">
        <v>26</v>
      </c>
      <c r="R1590" s="4">
        <v>0</v>
      </c>
      <c r="S1590" s="4" t="s">
        <v>238</v>
      </c>
      <c r="T1590" s="4" t="s">
        <v>475</v>
      </c>
      <c r="U1590" s="4">
        <v>0</v>
      </c>
      <c r="V1590" s="4">
        <v>11</v>
      </c>
      <c r="W1590" s="4">
        <v>63</v>
      </c>
    </row>
    <row r="1591" spans="1:23" ht="11.25" customHeight="1" x14ac:dyDescent="0.25">
      <c r="A1591" s="4" t="s">
        <v>21</v>
      </c>
      <c r="B1591" s="4" t="s">
        <v>22</v>
      </c>
      <c r="C1591" s="4" t="s">
        <v>39</v>
      </c>
      <c r="D1591" s="4" t="s">
        <v>24</v>
      </c>
      <c r="E1591" s="4" t="s">
        <v>24</v>
      </c>
      <c r="F1591" s="4" t="s">
        <v>25</v>
      </c>
      <c r="G1591" s="4" t="s">
        <v>25</v>
      </c>
      <c r="H1591" s="4" t="s">
        <v>40</v>
      </c>
      <c r="I1591" s="5">
        <v>44228</v>
      </c>
      <c r="J1591" s="6">
        <v>0</v>
      </c>
      <c r="K1591" s="6">
        <v>0</v>
      </c>
      <c r="L1591" s="6">
        <v>2.1150000000000002</v>
      </c>
      <c r="M1591" s="6">
        <v>2.1150000000000002</v>
      </c>
      <c r="N1591" s="6">
        <v>2.1150000000000002</v>
      </c>
      <c r="O1591" s="6">
        <v>2.1150000000000002</v>
      </c>
      <c r="P1591" s="6">
        <v>0</v>
      </c>
      <c r="Q1591" s="4" t="s">
        <v>26</v>
      </c>
      <c r="R1591" s="4">
        <v>0</v>
      </c>
      <c r="S1591" s="4" t="s">
        <v>239</v>
      </c>
      <c r="T1591" s="4" t="s">
        <v>476</v>
      </c>
      <c r="U1591" s="4">
        <v>0</v>
      </c>
      <c r="V1591" s="4">
        <v>11</v>
      </c>
      <c r="W1591" s="4">
        <v>63</v>
      </c>
    </row>
    <row r="1592" spans="1:23" ht="11.25" customHeight="1" x14ac:dyDescent="0.25">
      <c r="A1592" s="4" t="s">
        <v>28</v>
      </c>
      <c r="B1592" s="4" t="s">
        <v>22</v>
      </c>
      <c r="C1592" s="4" t="s">
        <v>39</v>
      </c>
      <c r="D1592" s="4" t="s">
        <v>24</v>
      </c>
      <c r="E1592" s="4" t="s">
        <v>24</v>
      </c>
      <c r="F1592" s="4" t="s">
        <v>25</v>
      </c>
      <c r="G1592" s="4" t="s">
        <v>25</v>
      </c>
      <c r="H1592" s="4" t="s">
        <v>40</v>
      </c>
      <c r="I1592" s="5">
        <v>44228</v>
      </c>
      <c r="J1592" s="6">
        <v>0</v>
      </c>
      <c r="K1592" s="6">
        <v>0</v>
      </c>
      <c r="L1592" s="6">
        <v>6.6000000000000003E-2</v>
      </c>
      <c r="M1592" s="6">
        <v>6.6000000000000003E-2</v>
      </c>
      <c r="N1592" s="6">
        <v>6.6000000000000003E-2</v>
      </c>
      <c r="O1592" s="6">
        <v>6.6000000000000003E-2</v>
      </c>
      <c r="P1592" s="6">
        <v>0</v>
      </c>
      <c r="Q1592" s="4" t="s">
        <v>26</v>
      </c>
      <c r="R1592" s="4">
        <v>0</v>
      </c>
      <c r="S1592" s="4" t="s">
        <v>239</v>
      </c>
      <c r="T1592" s="4" t="s">
        <v>476</v>
      </c>
      <c r="U1592" s="4">
        <v>0</v>
      </c>
      <c r="V1592" s="4">
        <v>11</v>
      </c>
      <c r="W1592" s="4">
        <v>63</v>
      </c>
    </row>
    <row r="1593" spans="1:23" ht="11.25" customHeight="1" x14ac:dyDescent="0.25">
      <c r="A1593" s="4" t="s">
        <v>30</v>
      </c>
      <c r="B1593" s="4" t="s">
        <v>22</v>
      </c>
      <c r="C1593" s="4" t="s">
        <v>39</v>
      </c>
      <c r="D1593" s="4" t="s">
        <v>24</v>
      </c>
      <c r="E1593" s="4" t="s">
        <v>24</v>
      </c>
      <c r="F1593" s="4" t="s">
        <v>25</v>
      </c>
      <c r="G1593" s="4" t="s">
        <v>25</v>
      </c>
      <c r="H1593" s="4" t="s">
        <v>40</v>
      </c>
      <c r="I1593" s="5">
        <v>44228</v>
      </c>
      <c r="J1593" s="6">
        <v>0</v>
      </c>
      <c r="K1593" s="6">
        <v>0</v>
      </c>
      <c r="L1593" s="6">
        <v>5.8999999999999997E-2</v>
      </c>
      <c r="M1593" s="6">
        <v>5.8999999999999997E-2</v>
      </c>
      <c r="N1593" s="6">
        <v>5.8999999999999997E-2</v>
      </c>
      <c r="O1593" s="6">
        <v>5.8999999999999997E-2</v>
      </c>
      <c r="P1593" s="6">
        <v>0</v>
      </c>
      <c r="Q1593" s="4" t="s">
        <v>26</v>
      </c>
      <c r="R1593" s="4">
        <v>0</v>
      </c>
      <c r="S1593" s="4" t="s">
        <v>239</v>
      </c>
      <c r="T1593" s="4" t="s">
        <v>476</v>
      </c>
      <c r="U1593" s="4">
        <v>0</v>
      </c>
      <c r="V1593" s="4">
        <v>11</v>
      </c>
      <c r="W1593" s="4">
        <v>63</v>
      </c>
    </row>
    <row r="1594" spans="1:23" ht="11.25" customHeight="1" x14ac:dyDescent="0.25">
      <c r="A1594" s="4" t="s">
        <v>21</v>
      </c>
      <c r="B1594" s="4" t="s">
        <v>22</v>
      </c>
      <c r="C1594" s="4" t="s">
        <v>39</v>
      </c>
      <c r="D1594" s="4" t="s">
        <v>24</v>
      </c>
      <c r="E1594" s="4" t="s">
        <v>24</v>
      </c>
      <c r="F1594" s="4" t="s">
        <v>25</v>
      </c>
      <c r="G1594" s="4" t="s">
        <v>25</v>
      </c>
      <c r="H1594" s="4" t="s">
        <v>40</v>
      </c>
      <c r="I1594" s="5">
        <v>44256</v>
      </c>
      <c r="J1594" s="6">
        <v>0</v>
      </c>
      <c r="K1594" s="6">
        <v>0</v>
      </c>
      <c r="L1594" s="6">
        <v>2.206</v>
      </c>
      <c r="M1594" s="6">
        <v>2.206</v>
      </c>
      <c r="N1594" s="6">
        <v>2.206</v>
      </c>
      <c r="O1594" s="6">
        <v>2.206</v>
      </c>
      <c r="P1594" s="6">
        <v>0</v>
      </c>
      <c r="Q1594" s="4" t="s">
        <v>26</v>
      </c>
      <c r="R1594" s="4">
        <v>0</v>
      </c>
      <c r="S1594" s="4" t="s">
        <v>240</v>
      </c>
      <c r="T1594" s="4" t="s">
        <v>477</v>
      </c>
      <c r="U1594" s="4">
        <v>0</v>
      </c>
      <c r="V1594" s="4">
        <v>11</v>
      </c>
      <c r="W1594" s="4">
        <v>63</v>
      </c>
    </row>
    <row r="1595" spans="1:23" ht="11.25" customHeight="1" x14ac:dyDescent="0.25">
      <c r="A1595" s="4" t="s">
        <v>28</v>
      </c>
      <c r="B1595" s="4" t="s">
        <v>22</v>
      </c>
      <c r="C1595" s="4" t="s">
        <v>39</v>
      </c>
      <c r="D1595" s="4" t="s">
        <v>24</v>
      </c>
      <c r="E1595" s="4" t="s">
        <v>24</v>
      </c>
      <c r="F1595" s="4" t="s">
        <v>25</v>
      </c>
      <c r="G1595" s="4" t="s">
        <v>25</v>
      </c>
      <c r="H1595" s="4" t="s">
        <v>40</v>
      </c>
      <c r="I1595" s="5">
        <v>44256</v>
      </c>
      <c r="J1595" s="6">
        <v>0</v>
      </c>
      <c r="K1595" s="6">
        <v>0</v>
      </c>
      <c r="L1595" s="6">
        <v>0.125</v>
      </c>
      <c r="M1595" s="6">
        <v>0.125</v>
      </c>
      <c r="N1595" s="6">
        <v>0.125</v>
      </c>
      <c r="O1595" s="6">
        <v>0.125</v>
      </c>
      <c r="P1595" s="6">
        <v>0</v>
      </c>
      <c r="Q1595" s="4" t="s">
        <v>26</v>
      </c>
      <c r="R1595" s="4">
        <v>0</v>
      </c>
      <c r="S1595" s="4" t="s">
        <v>240</v>
      </c>
      <c r="T1595" s="4" t="s">
        <v>477</v>
      </c>
      <c r="U1595" s="4">
        <v>0</v>
      </c>
      <c r="V1595" s="4">
        <v>11</v>
      </c>
      <c r="W1595" s="4">
        <v>63</v>
      </c>
    </row>
    <row r="1596" spans="1:23" ht="11.25" customHeight="1" x14ac:dyDescent="0.25">
      <c r="A1596" s="4" t="s">
        <v>30</v>
      </c>
      <c r="B1596" s="4" t="s">
        <v>22</v>
      </c>
      <c r="C1596" s="4" t="s">
        <v>39</v>
      </c>
      <c r="D1596" s="4" t="s">
        <v>24</v>
      </c>
      <c r="E1596" s="4" t="s">
        <v>24</v>
      </c>
      <c r="F1596" s="4" t="s">
        <v>25</v>
      </c>
      <c r="G1596" s="4" t="s">
        <v>25</v>
      </c>
      <c r="H1596" s="4" t="s">
        <v>40</v>
      </c>
      <c r="I1596" s="5">
        <v>44256</v>
      </c>
      <c r="J1596" s="6">
        <v>0</v>
      </c>
      <c r="K1596" s="6">
        <v>0</v>
      </c>
      <c r="L1596" s="6">
        <v>6.7000000000000004E-2</v>
      </c>
      <c r="M1596" s="6">
        <v>6.7000000000000004E-2</v>
      </c>
      <c r="N1596" s="6">
        <v>6.7000000000000004E-2</v>
      </c>
      <c r="O1596" s="6">
        <v>6.7000000000000004E-2</v>
      </c>
      <c r="P1596" s="6">
        <v>0</v>
      </c>
      <c r="Q1596" s="4" t="s">
        <v>26</v>
      </c>
      <c r="R1596" s="4">
        <v>0</v>
      </c>
      <c r="S1596" s="4" t="s">
        <v>240</v>
      </c>
      <c r="T1596" s="4" t="s">
        <v>477</v>
      </c>
      <c r="U1596" s="4">
        <v>0</v>
      </c>
      <c r="V1596" s="4">
        <v>11</v>
      </c>
      <c r="W1596" s="4">
        <v>63</v>
      </c>
    </row>
    <row r="1597" spans="1:23" ht="11.25" customHeight="1" x14ac:dyDescent="0.25">
      <c r="A1597" s="4" t="s">
        <v>21</v>
      </c>
      <c r="B1597" s="4" t="s">
        <v>22</v>
      </c>
      <c r="C1597" s="4" t="s">
        <v>39</v>
      </c>
      <c r="D1597" s="4" t="s">
        <v>24</v>
      </c>
      <c r="E1597" s="4" t="s">
        <v>24</v>
      </c>
      <c r="F1597" s="4" t="s">
        <v>25</v>
      </c>
      <c r="G1597" s="4" t="s">
        <v>25</v>
      </c>
      <c r="H1597" s="4" t="s">
        <v>40</v>
      </c>
      <c r="I1597" s="5">
        <v>44287</v>
      </c>
      <c r="J1597" s="6">
        <v>0</v>
      </c>
      <c r="K1597" s="6">
        <v>0</v>
      </c>
      <c r="L1597" s="6">
        <v>2.8959999999999999</v>
      </c>
      <c r="M1597" s="6">
        <v>2.8959999999999999</v>
      </c>
      <c r="N1597" s="6">
        <v>2.8959999999999999</v>
      </c>
      <c r="O1597" s="6">
        <v>2.8959999999999999</v>
      </c>
      <c r="P1597" s="6">
        <v>0</v>
      </c>
      <c r="Q1597" s="4" t="s">
        <v>26</v>
      </c>
      <c r="R1597" s="4">
        <v>0</v>
      </c>
      <c r="S1597" s="4" t="s">
        <v>241</v>
      </c>
      <c r="T1597" s="4" t="s">
        <v>478</v>
      </c>
      <c r="U1597" s="4">
        <v>0</v>
      </c>
      <c r="V1597" s="4">
        <v>11</v>
      </c>
      <c r="W1597" s="4">
        <v>63</v>
      </c>
    </row>
    <row r="1598" spans="1:23" ht="11.25" customHeight="1" x14ac:dyDescent="0.25">
      <c r="A1598" s="4" t="s">
        <v>28</v>
      </c>
      <c r="B1598" s="4" t="s">
        <v>22</v>
      </c>
      <c r="C1598" s="4" t="s">
        <v>39</v>
      </c>
      <c r="D1598" s="4" t="s">
        <v>24</v>
      </c>
      <c r="E1598" s="4" t="s">
        <v>24</v>
      </c>
      <c r="F1598" s="4" t="s">
        <v>25</v>
      </c>
      <c r="G1598" s="4" t="s">
        <v>25</v>
      </c>
      <c r="H1598" s="4" t="s">
        <v>40</v>
      </c>
      <c r="I1598" s="5">
        <v>44287</v>
      </c>
      <c r="J1598" s="6">
        <v>0</v>
      </c>
      <c r="K1598" s="6">
        <v>0</v>
      </c>
      <c r="L1598" s="6">
        <v>0.13600000000000001</v>
      </c>
      <c r="M1598" s="6">
        <v>0.13600000000000001</v>
      </c>
      <c r="N1598" s="6">
        <v>0.13600000000000001</v>
      </c>
      <c r="O1598" s="6">
        <v>0.13600000000000001</v>
      </c>
      <c r="P1598" s="6">
        <v>0</v>
      </c>
      <c r="Q1598" s="4" t="s">
        <v>26</v>
      </c>
      <c r="R1598" s="4">
        <v>0</v>
      </c>
      <c r="S1598" s="4" t="s">
        <v>241</v>
      </c>
      <c r="T1598" s="4" t="s">
        <v>478</v>
      </c>
      <c r="U1598" s="4">
        <v>0</v>
      </c>
      <c r="V1598" s="4">
        <v>11</v>
      </c>
      <c r="W1598" s="4">
        <v>63</v>
      </c>
    </row>
    <row r="1599" spans="1:23" ht="11.25" customHeight="1" x14ac:dyDescent="0.25">
      <c r="A1599" s="4" t="s">
        <v>30</v>
      </c>
      <c r="B1599" s="4" t="s">
        <v>22</v>
      </c>
      <c r="C1599" s="4" t="s">
        <v>39</v>
      </c>
      <c r="D1599" s="4" t="s">
        <v>24</v>
      </c>
      <c r="E1599" s="4" t="s">
        <v>24</v>
      </c>
      <c r="F1599" s="4" t="s">
        <v>25</v>
      </c>
      <c r="G1599" s="4" t="s">
        <v>25</v>
      </c>
      <c r="H1599" s="4" t="s">
        <v>40</v>
      </c>
      <c r="I1599" s="5">
        <v>44287</v>
      </c>
      <c r="J1599" s="6">
        <v>0</v>
      </c>
      <c r="K1599" s="6">
        <v>0</v>
      </c>
      <c r="L1599" s="6">
        <v>0.11899999999999999</v>
      </c>
      <c r="M1599" s="6">
        <v>0.11899999999999999</v>
      </c>
      <c r="N1599" s="6">
        <v>0.11899999999999999</v>
      </c>
      <c r="O1599" s="6">
        <v>0.11899999999999999</v>
      </c>
      <c r="P1599" s="6">
        <v>0</v>
      </c>
      <c r="Q1599" s="4" t="s">
        <v>26</v>
      </c>
      <c r="R1599" s="4">
        <v>0</v>
      </c>
      <c r="S1599" s="4" t="s">
        <v>241</v>
      </c>
      <c r="T1599" s="4" t="s">
        <v>478</v>
      </c>
      <c r="U1599" s="4">
        <v>0</v>
      </c>
      <c r="V1599" s="4">
        <v>11</v>
      </c>
      <c r="W1599" s="4">
        <v>63</v>
      </c>
    </row>
    <row r="1600" spans="1:23" ht="11.25" customHeight="1" x14ac:dyDescent="0.25">
      <c r="A1600" s="4" t="s">
        <v>21</v>
      </c>
      <c r="B1600" s="4" t="s">
        <v>22</v>
      </c>
      <c r="C1600" s="4" t="s">
        <v>39</v>
      </c>
      <c r="D1600" s="4" t="s">
        <v>24</v>
      </c>
      <c r="E1600" s="4" t="s">
        <v>24</v>
      </c>
      <c r="F1600" s="4" t="s">
        <v>25</v>
      </c>
      <c r="G1600" s="4" t="s">
        <v>25</v>
      </c>
      <c r="H1600" s="4" t="s">
        <v>40</v>
      </c>
      <c r="I1600" s="5">
        <v>44317</v>
      </c>
      <c r="J1600" s="6">
        <v>0</v>
      </c>
      <c r="K1600" s="6">
        <v>0</v>
      </c>
      <c r="L1600" s="6">
        <v>2.0419999999999998</v>
      </c>
      <c r="M1600" s="6">
        <v>2.0419999999999998</v>
      </c>
      <c r="N1600" s="6">
        <v>2.0419999999999998</v>
      </c>
      <c r="O1600" s="6">
        <v>2.0419999999999998</v>
      </c>
      <c r="P1600" s="6">
        <v>0</v>
      </c>
      <c r="Q1600" s="4" t="s">
        <v>26</v>
      </c>
      <c r="R1600" s="4">
        <v>0</v>
      </c>
      <c r="S1600" s="4" t="s">
        <v>242</v>
      </c>
      <c r="T1600" s="4" t="s">
        <v>479</v>
      </c>
      <c r="U1600" s="4">
        <v>0</v>
      </c>
      <c r="V1600" s="4">
        <v>11</v>
      </c>
      <c r="W1600" s="4">
        <v>63</v>
      </c>
    </row>
    <row r="1601" spans="1:23" ht="11.25" customHeight="1" x14ac:dyDescent="0.25">
      <c r="A1601" s="4" t="s">
        <v>28</v>
      </c>
      <c r="B1601" s="4" t="s">
        <v>22</v>
      </c>
      <c r="C1601" s="4" t="s">
        <v>39</v>
      </c>
      <c r="D1601" s="4" t="s">
        <v>24</v>
      </c>
      <c r="E1601" s="4" t="s">
        <v>24</v>
      </c>
      <c r="F1601" s="4" t="s">
        <v>25</v>
      </c>
      <c r="G1601" s="4" t="s">
        <v>25</v>
      </c>
      <c r="H1601" s="4" t="s">
        <v>40</v>
      </c>
      <c r="I1601" s="5">
        <v>44317</v>
      </c>
      <c r="J1601" s="6">
        <v>0</v>
      </c>
      <c r="K1601" s="6">
        <v>0</v>
      </c>
      <c r="L1601" s="6">
        <v>0.12</v>
      </c>
      <c r="M1601" s="6">
        <v>0.12</v>
      </c>
      <c r="N1601" s="6">
        <v>0.12</v>
      </c>
      <c r="O1601" s="6">
        <v>0.12</v>
      </c>
      <c r="P1601" s="6">
        <v>0</v>
      </c>
      <c r="Q1601" s="4" t="s">
        <v>26</v>
      </c>
      <c r="R1601" s="4">
        <v>0</v>
      </c>
      <c r="S1601" s="4" t="s">
        <v>242</v>
      </c>
      <c r="T1601" s="4" t="s">
        <v>479</v>
      </c>
      <c r="U1601" s="4">
        <v>0</v>
      </c>
      <c r="V1601" s="4">
        <v>11</v>
      </c>
      <c r="W1601" s="4">
        <v>63</v>
      </c>
    </row>
    <row r="1602" spans="1:23" ht="11.25" customHeight="1" x14ac:dyDescent="0.25">
      <c r="A1602" s="4" t="s">
        <v>30</v>
      </c>
      <c r="B1602" s="4" t="s">
        <v>22</v>
      </c>
      <c r="C1602" s="4" t="s">
        <v>39</v>
      </c>
      <c r="D1602" s="4" t="s">
        <v>24</v>
      </c>
      <c r="E1602" s="4" t="s">
        <v>24</v>
      </c>
      <c r="F1602" s="4" t="s">
        <v>25</v>
      </c>
      <c r="G1602" s="4" t="s">
        <v>25</v>
      </c>
      <c r="H1602" s="4" t="s">
        <v>40</v>
      </c>
      <c r="I1602" s="5">
        <v>44317</v>
      </c>
      <c r="J1602" s="6">
        <v>0</v>
      </c>
      <c r="K1602" s="6">
        <v>0</v>
      </c>
      <c r="L1602" s="6">
        <v>0.17799999999999999</v>
      </c>
      <c r="M1602" s="6">
        <v>0.17799999999999999</v>
      </c>
      <c r="N1602" s="6">
        <v>0.17799999999999999</v>
      </c>
      <c r="O1602" s="6">
        <v>0.17799999999999999</v>
      </c>
      <c r="P1602" s="6">
        <v>0</v>
      </c>
      <c r="Q1602" s="4" t="s">
        <v>26</v>
      </c>
      <c r="R1602" s="4">
        <v>0</v>
      </c>
      <c r="S1602" s="4" t="s">
        <v>242</v>
      </c>
      <c r="T1602" s="4" t="s">
        <v>479</v>
      </c>
      <c r="U1602" s="4">
        <v>0</v>
      </c>
      <c r="V1602" s="4">
        <v>11</v>
      </c>
      <c r="W1602" s="4">
        <v>63</v>
      </c>
    </row>
    <row r="1603" spans="1:23" ht="11.25" customHeight="1" x14ac:dyDescent="0.25">
      <c r="A1603" s="4" t="s">
        <v>21</v>
      </c>
      <c r="B1603" s="4" t="s">
        <v>22</v>
      </c>
      <c r="C1603" s="4" t="s">
        <v>39</v>
      </c>
      <c r="D1603" s="4" t="s">
        <v>24</v>
      </c>
      <c r="E1603" s="4" t="s">
        <v>24</v>
      </c>
      <c r="F1603" s="4" t="s">
        <v>25</v>
      </c>
      <c r="G1603" s="4" t="s">
        <v>25</v>
      </c>
      <c r="H1603" s="4" t="s">
        <v>40</v>
      </c>
      <c r="I1603" s="5">
        <v>44348</v>
      </c>
      <c r="J1603" s="6">
        <v>0</v>
      </c>
      <c r="K1603" s="6">
        <v>0</v>
      </c>
      <c r="L1603" s="6">
        <v>2.5710000000000002</v>
      </c>
      <c r="M1603" s="6">
        <v>2.5710000000000002</v>
      </c>
      <c r="N1603" s="6">
        <v>2.5710000000000002</v>
      </c>
      <c r="O1603" s="6">
        <v>2.5710000000000002</v>
      </c>
      <c r="P1603" s="6">
        <v>0</v>
      </c>
      <c r="Q1603" s="4" t="s">
        <v>26</v>
      </c>
      <c r="R1603" s="4">
        <v>0</v>
      </c>
      <c r="S1603" s="4" t="s">
        <v>243</v>
      </c>
      <c r="T1603" s="4" t="s">
        <v>480</v>
      </c>
      <c r="U1603" s="4">
        <v>0</v>
      </c>
      <c r="V1603" s="4">
        <v>11</v>
      </c>
      <c r="W1603" s="4">
        <v>63</v>
      </c>
    </row>
    <row r="1604" spans="1:23" ht="11.25" customHeight="1" x14ac:dyDescent="0.25">
      <c r="A1604" s="4" t="s">
        <v>28</v>
      </c>
      <c r="B1604" s="4" t="s">
        <v>22</v>
      </c>
      <c r="C1604" s="4" t="s">
        <v>39</v>
      </c>
      <c r="D1604" s="4" t="s">
        <v>24</v>
      </c>
      <c r="E1604" s="4" t="s">
        <v>24</v>
      </c>
      <c r="F1604" s="4" t="s">
        <v>25</v>
      </c>
      <c r="G1604" s="4" t="s">
        <v>25</v>
      </c>
      <c r="H1604" s="4" t="s">
        <v>40</v>
      </c>
      <c r="I1604" s="5">
        <v>44348</v>
      </c>
      <c r="J1604" s="6">
        <v>0</v>
      </c>
      <c r="K1604" s="6">
        <v>0</v>
      </c>
      <c r="L1604" s="6">
        <v>0.17199999999999999</v>
      </c>
      <c r="M1604" s="6">
        <v>0.17199999999999999</v>
      </c>
      <c r="N1604" s="6">
        <v>0.17199999999999999</v>
      </c>
      <c r="O1604" s="6">
        <v>0.17199999999999999</v>
      </c>
      <c r="P1604" s="6">
        <v>0</v>
      </c>
      <c r="Q1604" s="4" t="s">
        <v>26</v>
      </c>
      <c r="R1604" s="4">
        <v>0</v>
      </c>
      <c r="S1604" s="4" t="s">
        <v>243</v>
      </c>
      <c r="T1604" s="4" t="s">
        <v>480</v>
      </c>
      <c r="U1604" s="4">
        <v>0</v>
      </c>
      <c r="V1604" s="4">
        <v>11</v>
      </c>
      <c r="W1604" s="4">
        <v>63</v>
      </c>
    </row>
    <row r="1605" spans="1:23" ht="11.25" customHeight="1" x14ac:dyDescent="0.25">
      <c r="A1605" s="4" t="s">
        <v>30</v>
      </c>
      <c r="B1605" s="4" t="s">
        <v>22</v>
      </c>
      <c r="C1605" s="4" t="s">
        <v>39</v>
      </c>
      <c r="D1605" s="4" t="s">
        <v>24</v>
      </c>
      <c r="E1605" s="4" t="s">
        <v>24</v>
      </c>
      <c r="F1605" s="4" t="s">
        <v>25</v>
      </c>
      <c r="G1605" s="4" t="s">
        <v>25</v>
      </c>
      <c r="H1605" s="4" t="s">
        <v>40</v>
      </c>
      <c r="I1605" s="5">
        <v>44348</v>
      </c>
      <c r="J1605" s="6">
        <v>0</v>
      </c>
      <c r="K1605" s="6">
        <v>0</v>
      </c>
      <c r="L1605" s="6">
        <v>0.161</v>
      </c>
      <c r="M1605" s="6">
        <v>0.161</v>
      </c>
      <c r="N1605" s="6">
        <v>0.161</v>
      </c>
      <c r="O1605" s="6">
        <v>0.161</v>
      </c>
      <c r="P1605" s="6">
        <v>0</v>
      </c>
      <c r="Q1605" s="4" t="s">
        <v>26</v>
      </c>
      <c r="R1605" s="4">
        <v>0</v>
      </c>
      <c r="S1605" s="4" t="s">
        <v>243</v>
      </c>
      <c r="T1605" s="4" t="s">
        <v>480</v>
      </c>
      <c r="U1605" s="4">
        <v>0</v>
      </c>
      <c r="V1605" s="4">
        <v>11</v>
      </c>
      <c r="W1605" s="4">
        <v>63</v>
      </c>
    </row>
    <row r="1606" spans="1:23" ht="11.25" customHeight="1" x14ac:dyDescent="0.25">
      <c r="A1606" s="4" t="s">
        <v>21</v>
      </c>
      <c r="B1606" s="4" t="s">
        <v>22</v>
      </c>
      <c r="C1606" s="4" t="s">
        <v>39</v>
      </c>
      <c r="D1606" s="4" t="s">
        <v>24</v>
      </c>
      <c r="E1606" s="4" t="s">
        <v>24</v>
      </c>
      <c r="F1606" s="4" t="s">
        <v>25</v>
      </c>
      <c r="G1606" s="4" t="s">
        <v>25</v>
      </c>
      <c r="H1606" s="4" t="s">
        <v>40</v>
      </c>
      <c r="I1606" s="5">
        <v>44378</v>
      </c>
      <c r="J1606" s="6">
        <v>0</v>
      </c>
      <c r="K1606" s="6">
        <v>0</v>
      </c>
      <c r="L1606" s="6">
        <v>2.371</v>
      </c>
      <c r="M1606" s="6">
        <v>2.371</v>
      </c>
      <c r="N1606" s="6">
        <v>2.371</v>
      </c>
      <c r="O1606" s="6">
        <v>2.371</v>
      </c>
      <c r="P1606" s="6">
        <v>0</v>
      </c>
      <c r="Q1606" s="4" t="s">
        <v>26</v>
      </c>
      <c r="R1606" s="4">
        <v>0</v>
      </c>
      <c r="S1606" s="4" t="s">
        <v>244</v>
      </c>
      <c r="T1606" s="4" t="s">
        <v>481</v>
      </c>
      <c r="U1606" s="4">
        <v>0</v>
      </c>
      <c r="V1606" s="4">
        <v>11</v>
      </c>
      <c r="W1606" s="4">
        <v>63</v>
      </c>
    </row>
    <row r="1607" spans="1:23" ht="11.25" customHeight="1" x14ac:dyDescent="0.25">
      <c r="A1607" s="4" t="s">
        <v>27</v>
      </c>
      <c r="B1607" s="4" t="s">
        <v>22</v>
      </c>
      <c r="C1607" s="4" t="s">
        <v>39</v>
      </c>
      <c r="D1607" s="4" t="s">
        <v>24</v>
      </c>
      <c r="E1607" s="4" t="s">
        <v>24</v>
      </c>
      <c r="F1607" s="4" t="s">
        <v>25</v>
      </c>
      <c r="G1607" s="4" t="s">
        <v>25</v>
      </c>
      <c r="H1607" s="4" t="s">
        <v>40</v>
      </c>
      <c r="I1607" s="5">
        <v>44378</v>
      </c>
      <c r="J1607" s="6">
        <v>0</v>
      </c>
      <c r="K1607" s="6">
        <v>0</v>
      </c>
      <c r="L1607" s="6">
        <v>2.7E-2</v>
      </c>
      <c r="M1607" s="6">
        <v>2.7E-2</v>
      </c>
      <c r="N1607" s="6">
        <v>2.7E-2</v>
      </c>
      <c r="O1607" s="6">
        <v>2.7E-2</v>
      </c>
      <c r="P1607" s="6">
        <v>0</v>
      </c>
      <c r="Q1607" s="4" t="s">
        <v>26</v>
      </c>
      <c r="R1607" s="4">
        <v>0</v>
      </c>
      <c r="S1607" s="4" t="s">
        <v>244</v>
      </c>
      <c r="T1607" s="4" t="s">
        <v>481</v>
      </c>
      <c r="U1607" s="4">
        <v>0</v>
      </c>
      <c r="V1607" s="4">
        <v>11</v>
      </c>
      <c r="W1607" s="4">
        <v>63</v>
      </c>
    </row>
    <row r="1608" spans="1:23" ht="11.25" customHeight="1" x14ac:dyDescent="0.25">
      <c r="A1608" s="4" t="s">
        <v>28</v>
      </c>
      <c r="B1608" s="4" t="s">
        <v>22</v>
      </c>
      <c r="C1608" s="4" t="s">
        <v>39</v>
      </c>
      <c r="D1608" s="4" t="s">
        <v>24</v>
      </c>
      <c r="E1608" s="4" t="s">
        <v>24</v>
      </c>
      <c r="F1608" s="4" t="s">
        <v>25</v>
      </c>
      <c r="G1608" s="4" t="s">
        <v>25</v>
      </c>
      <c r="H1608" s="4" t="s">
        <v>40</v>
      </c>
      <c r="I1608" s="5">
        <v>44378</v>
      </c>
      <c r="J1608" s="6">
        <v>0</v>
      </c>
      <c r="K1608" s="6">
        <v>0</v>
      </c>
      <c r="L1608" s="6">
        <v>0.16600000000000001</v>
      </c>
      <c r="M1608" s="6">
        <v>0.16600000000000001</v>
      </c>
      <c r="N1608" s="6">
        <v>0.16600000000000001</v>
      </c>
      <c r="O1608" s="6">
        <v>0.16600000000000001</v>
      </c>
      <c r="P1608" s="6">
        <v>0</v>
      </c>
      <c r="Q1608" s="4" t="s">
        <v>26</v>
      </c>
      <c r="R1608" s="4">
        <v>0</v>
      </c>
      <c r="S1608" s="4" t="s">
        <v>244</v>
      </c>
      <c r="T1608" s="4" t="s">
        <v>481</v>
      </c>
      <c r="U1608" s="4">
        <v>0</v>
      </c>
      <c r="V1608" s="4">
        <v>11</v>
      </c>
      <c r="W1608" s="4">
        <v>63</v>
      </c>
    </row>
    <row r="1609" spans="1:23" ht="11.25" customHeight="1" x14ac:dyDescent="0.25">
      <c r="A1609" s="4" t="s">
        <v>30</v>
      </c>
      <c r="B1609" s="4" t="s">
        <v>22</v>
      </c>
      <c r="C1609" s="4" t="s">
        <v>39</v>
      </c>
      <c r="D1609" s="4" t="s">
        <v>24</v>
      </c>
      <c r="E1609" s="4" t="s">
        <v>24</v>
      </c>
      <c r="F1609" s="4" t="s">
        <v>25</v>
      </c>
      <c r="G1609" s="4" t="s">
        <v>25</v>
      </c>
      <c r="H1609" s="4" t="s">
        <v>40</v>
      </c>
      <c r="I1609" s="5">
        <v>44378</v>
      </c>
      <c r="J1609" s="6">
        <v>0</v>
      </c>
      <c r="K1609" s="6">
        <v>0</v>
      </c>
      <c r="L1609" s="6">
        <v>0.13</v>
      </c>
      <c r="M1609" s="6">
        <v>0.13</v>
      </c>
      <c r="N1609" s="6">
        <v>0.13</v>
      </c>
      <c r="O1609" s="6">
        <v>0.13</v>
      </c>
      <c r="P1609" s="6">
        <v>0</v>
      </c>
      <c r="Q1609" s="4" t="s">
        <v>26</v>
      </c>
      <c r="R1609" s="4">
        <v>0</v>
      </c>
      <c r="S1609" s="4" t="s">
        <v>244</v>
      </c>
      <c r="T1609" s="4" t="s">
        <v>481</v>
      </c>
      <c r="U1609" s="4">
        <v>0</v>
      </c>
      <c r="V1609" s="4">
        <v>11</v>
      </c>
      <c r="W1609" s="4">
        <v>63</v>
      </c>
    </row>
    <row r="1610" spans="1:23" ht="11.25" customHeight="1" x14ac:dyDescent="0.25">
      <c r="A1610" s="4" t="s">
        <v>21</v>
      </c>
      <c r="B1610" s="4" t="s">
        <v>22</v>
      </c>
      <c r="C1610" s="4" t="s">
        <v>39</v>
      </c>
      <c r="D1610" s="4" t="s">
        <v>24</v>
      </c>
      <c r="E1610" s="4" t="s">
        <v>24</v>
      </c>
      <c r="F1610" s="4" t="s">
        <v>25</v>
      </c>
      <c r="G1610" s="4" t="s">
        <v>25</v>
      </c>
      <c r="H1610" s="4" t="s">
        <v>40</v>
      </c>
      <c r="I1610" s="5">
        <v>44409</v>
      </c>
      <c r="J1610" s="6">
        <v>0</v>
      </c>
      <c r="K1610" s="6">
        <v>0</v>
      </c>
      <c r="L1610" s="6">
        <v>2.4609999999999999</v>
      </c>
      <c r="M1610" s="6">
        <v>2.4609999999999999</v>
      </c>
      <c r="N1610" s="6">
        <v>2.4609999999999999</v>
      </c>
      <c r="O1610" s="6">
        <v>2.4609999999999999</v>
      </c>
      <c r="P1610" s="6">
        <v>0</v>
      </c>
      <c r="Q1610" s="4" t="s">
        <v>26</v>
      </c>
      <c r="R1610" s="4">
        <v>0</v>
      </c>
      <c r="S1610" s="4" t="s">
        <v>245</v>
      </c>
      <c r="T1610" s="4" t="s">
        <v>482</v>
      </c>
      <c r="U1610" s="4">
        <v>0</v>
      </c>
      <c r="V1610" s="4">
        <v>11</v>
      </c>
      <c r="W1610" s="4">
        <v>63</v>
      </c>
    </row>
    <row r="1611" spans="1:23" ht="11.25" customHeight="1" x14ac:dyDescent="0.25">
      <c r="A1611" s="4" t="s">
        <v>28</v>
      </c>
      <c r="B1611" s="4" t="s">
        <v>22</v>
      </c>
      <c r="C1611" s="4" t="s">
        <v>39</v>
      </c>
      <c r="D1611" s="4" t="s">
        <v>24</v>
      </c>
      <c r="E1611" s="4" t="s">
        <v>24</v>
      </c>
      <c r="F1611" s="4" t="s">
        <v>25</v>
      </c>
      <c r="G1611" s="4" t="s">
        <v>25</v>
      </c>
      <c r="H1611" s="4" t="s">
        <v>40</v>
      </c>
      <c r="I1611" s="5">
        <v>44409</v>
      </c>
      <c r="J1611" s="6">
        <v>0</v>
      </c>
      <c r="K1611" s="6">
        <v>0</v>
      </c>
      <c r="L1611" s="6">
        <v>0.188</v>
      </c>
      <c r="M1611" s="6">
        <v>0.188</v>
      </c>
      <c r="N1611" s="6">
        <v>0.188</v>
      </c>
      <c r="O1611" s="6">
        <v>0.188</v>
      </c>
      <c r="P1611" s="6">
        <v>0</v>
      </c>
      <c r="Q1611" s="4" t="s">
        <v>26</v>
      </c>
      <c r="R1611" s="4">
        <v>0</v>
      </c>
      <c r="S1611" s="4" t="s">
        <v>245</v>
      </c>
      <c r="T1611" s="4" t="s">
        <v>482</v>
      </c>
      <c r="U1611" s="4">
        <v>0</v>
      </c>
      <c r="V1611" s="4">
        <v>11</v>
      </c>
      <c r="W1611" s="4">
        <v>63</v>
      </c>
    </row>
    <row r="1612" spans="1:23" ht="11.25" customHeight="1" x14ac:dyDescent="0.25">
      <c r="A1612" s="4" t="s">
        <v>30</v>
      </c>
      <c r="B1612" s="4" t="s">
        <v>22</v>
      </c>
      <c r="C1612" s="4" t="s">
        <v>39</v>
      </c>
      <c r="D1612" s="4" t="s">
        <v>24</v>
      </c>
      <c r="E1612" s="4" t="s">
        <v>24</v>
      </c>
      <c r="F1612" s="4" t="s">
        <v>25</v>
      </c>
      <c r="G1612" s="4" t="s">
        <v>25</v>
      </c>
      <c r="H1612" s="4" t="s">
        <v>40</v>
      </c>
      <c r="I1612" s="5">
        <v>44409</v>
      </c>
      <c r="J1612" s="6">
        <v>0</v>
      </c>
      <c r="K1612" s="6">
        <v>0</v>
      </c>
      <c r="L1612" s="6">
        <v>0.161</v>
      </c>
      <c r="M1612" s="6">
        <v>0.161</v>
      </c>
      <c r="N1612" s="6">
        <v>0.161</v>
      </c>
      <c r="O1612" s="6">
        <v>0.161</v>
      </c>
      <c r="P1612" s="6">
        <v>0</v>
      </c>
      <c r="Q1612" s="4" t="s">
        <v>26</v>
      </c>
      <c r="R1612" s="4">
        <v>0</v>
      </c>
      <c r="S1612" s="4" t="s">
        <v>245</v>
      </c>
      <c r="T1612" s="4" t="s">
        <v>482</v>
      </c>
      <c r="U1612" s="4">
        <v>0</v>
      </c>
      <c r="V1612" s="4">
        <v>11</v>
      </c>
      <c r="W1612" s="4">
        <v>63</v>
      </c>
    </row>
    <row r="1613" spans="1:23" ht="11.25" customHeight="1" x14ac:dyDescent="0.25">
      <c r="A1613" s="4" t="s">
        <v>21</v>
      </c>
      <c r="B1613" s="4" t="s">
        <v>22</v>
      </c>
      <c r="C1613" s="4" t="s">
        <v>39</v>
      </c>
      <c r="D1613" s="4" t="s">
        <v>24</v>
      </c>
      <c r="E1613" s="4" t="s">
        <v>24</v>
      </c>
      <c r="F1613" s="4" t="s">
        <v>25</v>
      </c>
      <c r="G1613" s="4" t="s">
        <v>25</v>
      </c>
      <c r="H1613" s="4" t="s">
        <v>40</v>
      </c>
      <c r="I1613" s="5">
        <v>44440</v>
      </c>
      <c r="J1613" s="6">
        <v>0</v>
      </c>
      <c r="K1613" s="6">
        <v>0</v>
      </c>
      <c r="L1613" s="6">
        <v>2.448</v>
      </c>
      <c r="M1613" s="6">
        <v>2.448</v>
      </c>
      <c r="N1613" s="6">
        <v>2.448</v>
      </c>
      <c r="O1613" s="6">
        <v>2.448</v>
      </c>
      <c r="P1613" s="6">
        <v>0</v>
      </c>
      <c r="Q1613" s="4" t="s">
        <v>26</v>
      </c>
      <c r="R1613" s="4">
        <v>0</v>
      </c>
      <c r="S1613" s="4" t="s">
        <v>246</v>
      </c>
      <c r="T1613" s="4" t="s">
        <v>483</v>
      </c>
      <c r="U1613" s="4">
        <v>0</v>
      </c>
      <c r="V1613" s="4">
        <v>11</v>
      </c>
      <c r="W1613" s="4">
        <v>63</v>
      </c>
    </row>
    <row r="1614" spans="1:23" ht="11.25" customHeight="1" x14ac:dyDescent="0.25">
      <c r="A1614" s="4" t="s">
        <v>27</v>
      </c>
      <c r="B1614" s="4" t="s">
        <v>22</v>
      </c>
      <c r="C1614" s="4" t="s">
        <v>39</v>
      </c>
      <c r="D1614" s="4" t="s">
        <v>24</v>
      </c>
      <c r="E1614" s="4" t="s">
        <v>24</v>
      </c>
      <c r="F1614" s="4" t="s">
        <v>25</v>
      </c>
      <c r="G1614" s="4" t="s">
        <v>25</v>
      </c>
      <c r="H1614" s="4" t="s">
        <v>40</v>
      </c>
      <c r="I1614" s="5">
        <v>44440</v>
      </c>
      <c r="J1614" s="6">
        <v>0</v>
      </c>
      <c r="K1614" s="6">
        <v>0</v>
      </c>
      <c r="L1614" s="6">
        <v>3.1E-2</v>
      </c>
      <c r="M1614" s="6">
        <v>3.1E-2</v>
      </c>
      <c r="N1614" s="6">
        <v>3.1E-2</v>
      </c>
      <c r="O1614" s="6">
        <v>3.1E-2</v>
      </c>
      <c r="P1614" s="6">
        <v>0</v>
      </c>
      <c r="Q1614" s="4" t="s">
        <v>26</v>
      </c>
      <c r="R1614" s="4">
        <v>0</v>
      </c>
      <c r="S1614" s="4" t="s">
        <v>246</v>
      </c>
      <c r="T1614" s="4" t="s">
        <v>483</v>
      </c>
      <c r="U1614" s="4">
        <v>0</v>
      </c>
      <c r="V1614" s="4">
        <v>11</v>
      </c>
      <c r="W1614" s="4">
        <v>63</v>
      </c>
    </row>
    <row r="1615" spans="1:23" ht="11.25" customHeight="1" x14ac:dyDescent="0.25">
      <c r="A1615" s="4" t="s">
        <v>28</v>
      </c>
      <c r="B1615" s="4" t="s">
        <v>22</v>
      </c>
      <c r="C1615" s="4" t="s">
        <v>39</v>
      </c>
      <c r="D1615" s="4" t="s">
        <v>24</v>
      </c>
      <c r="E1615" s="4" t="s">
        <v>24</v>
      </c>
      <c r="F1615" s="4" t="s">
        <v>25</v>
      </c>
      <c r="G1615" s="4" t="s">
        <v>25</v>
      </c>
      <c r="H1615" s="4" t="s">
        <v>40</v>
      </c>
      <c r="I1615" s="5">
        <v>44440</v>
      </c>
      <c r="J1615" s="6">
        <v>0</v>
      </c>
      <c r="K1615" s="6">
        <v>0</v>
      </c>
      <c r="L1615" s="6">
        <v>0.18099999999999999</v>
      </c>
      <c r="M1615" s="6">
        <v>0.18099999999999999</v>
      </c>
      <c r="N1615" s="6">
        <v>0.18099999999999999</v>
      </c>
      <c r="O1615" s="6">
        <v>0.18099999999999999</v>
      </c>
      <c r="P1615" s="6">
        <v>0</v>
      </c>
      <c r="Q1615" s="4" t="s">
        <v>26</v>
      </c>
      <c r="R1615" s="4">
        <v>0</v>
      </c>
      <c r="S1615" s="4" t="s">
        <v>246</v>
      </c>
      <c r="T1615" s="4" t="s">
        <v>483</v>
      </c>
      <c r="U1615" s="4">
        <v>0</v>
      </c>
      <c r="V1615" s="4">
        <v>11</v>
      </c>
      <c r="W1615" s="4">
        <v>63</v>
      </c>
    </row>
    <row r="1616" spans="1:23" ht="11.25" customHeight="1" x14ac:dyDescent="0.25">
      <c r="A1616" s="4" t="s">
        <v>30</v>
      </c>
      <c r="B1616" s="4" t="s">
        <v>22</v>
      </c>
      <c r="C1616" s="4" t="s">
        <v>39</v>
      </c>
      <c r="D1616" s="4" t="s">
        <v>24</v>
      </c>
      <c r="E1616" s="4" t="s">
        <v>24</v>
      </c>
      <c r="F1616" s="4" t="s">
        <v>25</v>
      </c>
      <c r="G1616" s="4" t="s">
        <v>25</v>
      </c>
      <c r="H1616" s="4" t="s">
        <v>40</v>
      </c>
      <c r="I1616" s="5">
        <v>44440</v>
      </c>
      <c r="J1616" s="6">
        <v>0</v>
      </c>
      <c r="K1616" s="6">
        <v>0</v>
      </c>
      <c r="L1616" s="6">
        <v>0.14099999999999999</v>
      </c>
      <c r="M1616" s="6">
        <v>0.14099999999999999</v>
      </c>
      <c r="N1616" s="6">
        <v>0.14099999999999999</v>
      </c>
      <c r="O1616" s="6">
        <v>0.14099999999999999</v>
      </c>
      <c r="P1616" s="6">
        <v>0</v>
      </c>
      <c r="Q1616" s="4" t="s">
        <v>26</v>
      </c>
      <c r="R1616" s="4">
        <v>0</v>
      </c>
      <c r="S1616" s="4" t="s">
        <v>246</v>
      </c>
      <c r="T1616" s="4" t="s">
        <v>483</v>
      </c>
      <c r="U1616" s="4">
        <v>0</v>
      </c>
      <c r="V1616" s="4">
        <v>11</v>
      </c>
      <c r="W1616" s="4">
        <v>63</v>
      </c>
    </row>
    <row r="1617" spans="1:23" ht="11.25" customHeight="1" x14ac:dyDescent="0.25">
      <c r="A1617" s="4" t="s">
        <v>59</v>
      </c>
      <c r="B1617" s="4" t="s">
        <v>22</v>
      </c>
      <c r="C1617" s="4" t="s">
        <v>39</v>
      </c>
      <c r="D1617" s="4" t="s">
        <v>24</v>
      </c>
      <c r="E1617" s="4" t="s">
        <v>24</v>
      </c>
      <c r="F1617" s="4" t="s">
        <v>25</v>
      </c>
      <c r="G1617" s="4" t="s">
        <v>25</v>
      </c>
      <c r="H1617" s="4" t="s">
        <v>40</v>
      </c>
      <c r="I1617" s="5">
        <v>44470</v>
      </c>
      <c r="J1617" s="6">
        <v>0</v>
      </c>
      <c r="K1617" s="6">
        <v>0</v>
      </c>
      <c r="L1617" s="6">
        <v>2.448</v>
      </c>
      <c r="M1617" s="6">
        <v>2.448</v>
      </c>
      <c r="N1617" s="6">
        <v>2.448</v>
      </c>
      <c r="O1617" s="6">
        <v>2.448</v>
      </c>
      <c r="P1617" s="6">
        <v>0</v>
      </c>
      <c r="Q1617" s="4" t="s">
        <v>26</v>
      </c>
      <c r="R1617" s="4">
        <v>0</v>
      </c>
      <c r="S1617" s="4" t="s">
        <v>247</v>
      </c>
      <c r="T1617" s="4" t="s">
        <v>484</v>
      </c>
      <c r="U1617" s="4">
        <v>0</v>
      </c>
      <c r="V1617" s="4">
        <v>11</v>
      </c>
      <c r="W1617" s="4">
        <v>63</v>
      </c>
    </row>
    <row r="1618" spans="1:23" ht="11.25" customHeight="1" x14ac:dyDescent="0.25">
      <c r="A1618" s="4" t="s">
        <v>59</v>
      </c>
      <c r="B1618" s="4" t="s">
        <v>22</v>
      </c>
      <c r="C1618" s="4" t="s">
        <v>39</v>
      </c>
      <c r="D1618" s="4" t="s">
        <v>24</v>
      </c>
      <c r="E1618" s="4" t="s">
        <v>24</v>
      </c>
      <c r="F1618" s="4" t="s">
        <v>25</v>
      </c>
      <c r="G1618" s="4" t="s">
        <v>25</v>
      </c>
      <c r="H1618" s="4" t="s">
        <v>40</v>
      </c>
      <c r="I1618" s="5">
        <v>44470</v>
      </c>
      <c r="J1618" s="6">
        <v>0</v>
      </c>
      <c r="K1618" s="6">
        <v>0</v>
      </c>
      <c r="L1618" s="6">
        <v>3.1E-2</v>
      </c>
      <c r="M1618" s="6">
        <v>3.1E-2</v>
      </c>
      <c r="N1618" s="6">
        <v>3.1E-2</v>
      </c>
      <c r="O1618" s="6">
        <v>3.1E-2</v>
      </c>
      <c r="P1618" s="6">
        <v>0</v>
      </c>
      <c r="Q1618" s="4" t="s">
        <v>26</v>
      </c>
      <c r="R1618" s="4">
        <v>0</v>
      </c>
      <c r="S1618" s="4" t="s">
        <v>247</v>
      </c>
      <c r="T1618" s="4" t="s">
        <v>484</v>
      </c>
      <c r="U1618" s="4">
        <v>0</v>
      </c>
      <c r="V1618" s="4">
        <v>11</v>
      </c>
      <c r="W1618" s="4">
        <v>63</v>
      </c>
    </row>
    <row r="1619" spans="1:23" ht="11.25" customHeight="1" x14ac:dyDescent="0.25">
      <c r="A1619" s="4" t="s">
        <v>59</v>
      </c>
      <c r="B1619" s="4" t="s">
        <v>22</v>
      </c>
      <c r="C1619" s="4" t="s">
        <v>39</v>
      </c>
      <c r="D1619" s="4" t="s">
        <v>24</v>
      </c>
      <c r="E1619" s="4" t="s">
        <v>24</v>
      </c>
      <c r="F1619" s="4" t="s">
        <v>25</v>
      </c>
      <c r="G1619" s="4" t="s">
        <v>25</v>
      </c>
      <c r="H1619" s="4" t="s">
        <v>40</v>
      </c>
      <c r="I1619" s="5">
        <v>44470</v>
      </c>
      <c r="J1619" s="6">
        <v>0</v>
      </c>
      <c r="K1619" s="6">
        <v>0</v>
      </c>
      <c r="L1619" s="6">
        <v>0.18099999999999999</v>
      </c>
      <c r="M1619" s="6">
        <v>0.18099999999999999</v>
      </c>
      <c r="N1619" s="6">
        <v>0.18099999999999999</v>
      </c>
      <c r="O1619" s="6">
        <v>0.18099999999999999</v>
      </c>
      <c r="P1619" s="6">
        <v>0</v>
      </c>
      <c r="Q1619" s="4" t="s">
        <v>26</v>
      </c>
      <c r="R1619" s="4">
        <v>0</v>
      </c>
      <c r="S1619" s="4" t="s">
        <v>247</v>
      </c>
      <c r="T1619" s="4" t="s">
        <v>484</v>
      </c>
      <c r="U1619" s="4">
        <v>0</v>
      </c>
      <c r="V1619" s="4">
        <v>11</v>
      </c>
      <c r="W1619" s="4">
        <v>63</v>
      </c>
    </row>
    <row r="1620" spans="1:23" ht="11.25" customHeight="1" x14ac:dyDescent="0.25">
      <c r="A1620" s="4" t="s">
        <v>59</v>
      </c>
      <c r="B1620" s="4" t="s">
        <v>22</v>
      </c>
      <c r="C1620" s="4" t="s">
        <v>39</v>
      </c>
      <c r="D1620" s="4" t="s">
        <v>24</v>
      </c>
      <c r="E1620" s="4" t="s">
        <v>24</v>
      </c>
      <c r="F1620" s="4" t="s">
        <v>25</v>
      </c>
      <c r="G1620" s="4" t="s">
        <v>25</v>
      </c>
      <c r="H1620" s="4" t="s">
        <v>40</v>
      </c>
      <c r="I1620" s="5">
        <v>44470</v>
      </c>
      <c r="J1620" s="6">
        <v>0</v>
      </c>
      <c r="K1620" s="6">
        <v>0</v>
      </c>
      <c r="L1620" s="6">
        <v>0.14099999999999999</v>
      </c>
      <c r="M1620" s="6">
        <v>0.14099999999999999</v>
      </c>
      <c r="N1620" s="6">
        <v>0.14099999999999999</v>
      </c>
      <c r="O1620" s="6">
        <v>0.14099999999999999</v>
      </c>
      <c r="P1620" s="6">
        <v>0</v>
      </c>
      <c r="Q1620" s="4" t="s">
        <v>26</v>
      </c>
      <c r="R1620" s="4">
        <v>0</v>
      </c>
      <c r="S1620" s="4" t="s">
        <v>247</v>
      </c>
      <c r="T1620" s="4" t="s">
        <v>484</v>
      </c>
      <c r="U1620" s="4">
        <v>0</v>
      </c>
      <c r="V1620" s="4">
        <v>11</v>
      </c>
      <c r="W1620" s="4">
        <v>63</v>
      </c>
    </row>
    <row r="1621" spans="1:23" ht="11.25" customHeight="1" x14ac:dyDescent="0.25">
      <c r="A1621" s="4" t="s">
        <v>21</v>
      </c>
      <c r="B1621" s="4" t="s">
        <v>22</v>
      </c>
      <c r="C1621" s="4" t="s">
        <v>39</v>
      </c>
      <c r="D1621" s="4" t="s">
        <v>24</v>
      </c>
      <c r="E1621" s="4" t="s">
        <v>24</v>
      </c>
      <c r="F1621" s="4" t="s">
        <v>25</v>
      </c>
      <c r="G1621" s="4" t="s">
        <v>25</v>
      </c>
      <c r="H1621" s="4" t="s">
        <v>37</v>
      </c>
      <c r="I1621" s="5">
        <v>44136</v>
      </c>
      <c r="J1621" s="6">
        <v>0</v>
      </c>
      <c r="K1621" s="6">
        <v>0</v>
      </c>
      <c r="L1621" s="6">
        <v>10.135</v>
      </c>
      <c r="M1621" s="6">
        <v>10.135</v>
      </c>
      <c r="N1621" s="6">
        <v>10.135</v>
      </c>
      <c r="O1621" s="6">
        <v>10.135</v>
      </c>
      <c r="P1621" s="6">
        <v>0</v>
      </c>
      <c r="Q1621" s="4" t="s">
        <v>26</v>
      </c>
      <c r="R1621" s="4">
        <v>0</v>
      </c>
      <c r="S1621" s="4" t="s">
        <v>248</v>
      </c>
      <c r="T1621" s="4" t="s">
        <v>485</v>
      </c>
      <c r="U1621" s="4">
        <v>0</v>
      </c>
      <c r="V1621" s="4">
        <v>18</v>
      </c>
      <c r="W1621" s="4">
        <v>62</v>
      </c>
    </row>
    <row r="1622" spans="1:23" ht="11.25" customHeight="1" x14ac:dyDescent="0.25">
      <c r="A1622" s="4" t="s">
        <v>27</v>
      </c>
      <c r="B1622" s="4" t="s">
        <v>22</v>
      </c>
      <c r="C1622" s="4" t="s">
        <v>39</v>
      </c>
      <c r="D1622" s="4" t="s">
        <v>24</v>
      </c>
      <c r="E1622" s="4" t="s">
        <v>24</v>
      </c>
      <c r="F1622" s="4" t="s">
        <v>25</v>
      </c>
      <c r="G1622" s="4" t="s">
        <v>25</v>
      </c>
      <c r="H1622" s="4" t="s">
        <v>37</v>
      </c>
      <c r="I1622" s="5">
        <v>44136</v>
      </c>
      <c r="J1622" s="6">
        <v>0</v>
      </c>
      <c r="K1622" s="6">
        <v>0</v>
      </c>
      <c r="L1622" s="6">
        <v>-12.06</v>
      </c>
      <c r="M1622" s="6">
        <v>-12.06</v>
      </c>
      <c r="N1622" s="6">
        <v>-12.06</v>
      </c>
      <c r="O1622" s="6">
        <v>-12.06</v>
      </c>
      <c r="P1622" s="6">
        <v>0</v>
      </c>
      <c r="Q1622" s="4" t="s">
        <v>26</v>
      </c>
      <c r="R1622" s="4">
        <v>0</v>
      </c>
      <c r="S1622" s="4" t="s">
        <v>248</v>
      </c>
      <c r="T1622" s="4" t="s">
        <v>485</v>
      </c>
      <c r="U1622" s="4">
        <v>0</v>
      </c>
      <c r="V1622" s="4">
        <v>18</v>
      </c>
      <c r="W1622" s="4">
        <v>62</v>
      </c>
    </row>
    <row r="1623" spans="1:23" ht="11.25" customHeight="1" x14ac:dyDescent="0.25">
      <c r="A1623" s="4" t="s">
        <v>28</v>
      </c>
      <c r="B1623" s="4" t="s">
        <v>22</v>
      </c>
      <c r="C1623" s="4" t="s">
        <v>39</v>
      </c>
      <c r="D1623" s="4" t="s">
        <v>24</v>
      </c>
      <c r="E1623" s="4" t="s">
        <v>24</v>
      </c>
      <c r="F1623" s="4" t="s">
        <v>25</v>
      </c>
      <c r="G1623" s="4" t="s">
        <v>25</v>
      </c>
      <c r="H1623" s="4" t="s">
        <v>37</v>
      </c>
      <c r="I1623" s="5">
        <v>44136</v>
      </c>
      <c r="J1623" s="6">
        <v>0</v>
      </c>
      <c r="K1623" s="6">
        <v>0</v>
      </c>
      <c r="L1623" s="6">
        <v>0.188</v>
      </c>
      <c r="M1623" s="6">
        <v>0.188</v>
      </c>
      <c r="N1623" s="6">
        <v>0.188</v>
      </c>
      <c r="O1623" s="6">
        <v>0.188</v>
      </c>
      <c r="P1623" s="6">
        <v>0</v>
      </c>
      <c r="Q1623" s="4" t="s">
        <v>26</v>
      </c>
      <c r="R1623" s="4">
        <v>0</v>
      </c>
      <c r="S1623" s="4" t="s">
        <v>248</v>
      </c>
      <c r="T1623" s="4" t="s">
        <v>485</v>
      </c>
      <c r="U1623" s="4">
        <v>0</v>
      </c>
      <c r="V1623" s="4">
        <v>18</v>
      </c>
      <c r="W1623" s="4">
        <v>62</v>
      </c>
    </row>
    <row r="1624" spans="1:23" ht="11.25" customHeight="1" x14ac:dyDescent="0.25">
      <c r="A1624" s="4" t="s">
        <v>30</v>
      </c>
      <c r="B1624" s="4" t="s">
        <v>22</v>
      </c>
      <c r="C1624" s="4" t="s">
        <v>39</v>
      </c>
      <c r="D1624" s="4" t="s">
        <v>24</v>
      </c>
      <c r="E1624" s="4" t="s">
        <v>24</v>
      </c>
      <c r="F1624" s="4" t="s">
        <v>25</v>
      </c>
      <c r="G1624" s="4" t="s">
        <v>25</v>
      </c>
      <c r="H1624" s="4" t="s">
        <v>37</v>
      </c>
      <c r="I1624" s="5">
        <v>44136</v>
      </c>
      <c r="J1624" s="6">
        <v>0</v>
      </c>
      <c r="K1624" s="6">
        <v>0</v>
      </c>
      <c r="L1624" s="6">
        <v>0.08</v>
      </c>
      <c r="M1624" s="6">
        <v>0.08</v>
      </c>
      <c r="N1624" s="6">
        <v>0.08</v>
      </c>
      <c r="O1624" s="6">
        <v>0.08</v>
      </c>
      <c r="P1624" s="6">
        <v>0</v>
      </c>
      <c r="Q1624" s="4" t="s">
        <v>26</v>
      </c>
      <c r="R1624" s="4">
        <v>0</v>
      </c>
      <c r="S1624" s="4" t="s">
        <v>248</v>
      </c>
      <c r="T1624" s="4" t="s">
        <v>485</v>
      </c>
      <c r="U1624" s="4">
        <v>0</v>
      </c>
      <c r="V1624" s="4">
        <v>18</v>
      </c>
      <c r="W1624" s="4">
        <v>62</v>
      </c>
    </row>
    <row r="1625" spans="1:23" ht="11.25" customHeight="1" x14ac:dyDescent="0.25">
      <c r="A1625" s="4" t="s">
        <v>21</v>
      </c>
      <c r="B1625" s="4" t="s">
        <v>22</v>
      </c>
      <c r="C1625" s="4" t="s">
        <v>39</v>
      </c>
      <c r="D1625" s="4" t="s">
        <v>24</v>
      </c>
      <c r="E1625" s="4" t="s">
        <v>24</v>
      </c>
      <c r="F1625" s="4" t="s">
        <v>25</v>
      </c>
      <c r="G1625" s="4" t="s">
        <v>25</v>
      </c>
      <c r="H1625" s="4" t="s">
        <v>37</v>
      </c>
      <c r="I1625" s="5">
        <v>44166</v>
      </c>
      <c r="J1625" s="6">
        <v>0</v>
      </c>
      <c r="K1625" s="6">
        <v>0</v>
      </c>
      <c r="L1625" s="6">
        <v>3.294</v>
      </c>
      <c r="M1625" s="6">
        <v>3.294</v>
      </c>
      <c r="N1625" s="6">
        <v>3.294</v>
      </c>
      <c r="O1625" s="6">
        <v>3.294</v>
      </c>
      <c r="P1625" s="6">
        <v>0</v>
      </c>
      <c r="Q1625" s="4" t="s">
        <v>26</v>
      </c>
      <c r="R1625" s="4">
        <v>0</v>
      </c>
      <c r="S1625" s="4" t="s">
        <v>249</v>
      </c>
      <c r="T1625" s="4" t="s">
        <v>486</v>
      </c>
      <c r="U1625" s="4">
        <v>0</v>
      </c>
      <c r="V1625" s="4">
        <v>18</v>
      </c>
      <c r="W1625" s="4">
        <v>62</v>
      </c>
    </row>
    <row r="1626" spans="1:23" ht="11.25" customHeight="1" x14ac:dyDescent="0.25">
      <c r="A1626" s="4" t="s">
        <v>27</v>
      </c>
      <c r="B1626" s="4" t="s">
        <v>22</v>
      </c>
      <c r="C1626" s="4" t="s">
        <v>39</v>
      </c>
      <c r="D1626" s="4" t="s">
        <v>24</v>
      </c>
      <c r="E1626" s="4" t="s">
        <v>24</v>
      </c>
      <c r="F1626" s="4" t="s">
        <v>25</v>
      </c>
      <c r="G1626" s="4" t="s">
        <v>25</v>
      </c>
      <c r="H1626" s="4" t="s">
        <v>37</v>
      </c>
      <c r="I1626" s="5">
        <v>44166</v>
      </c>
      <c r="J1626" s="6">
        <v>0</v>
      </c>
      <c r="K1626" s="6">
        <v>0</v>
      </c>
      <c r="L1626" s="6">
        <v>-6.8120000000000003</v>
      </c>
      <c r="M1626" s="6">
        <v>-6.8120000000000003</v>
      </c>
      <c r="N1626" s="6">
        <v>-6.8120000000000003</v>
      </c>
      <c r="O1626" s="6">
        <v>-6.8120000000000003</v>
      </c>
      <c r="P1626" s="6">
        <v>0</v>
      </c>
      <c r="Q1626" s="4" t="s">
        <v>26</v>
      </c>
      <c r="R1626" s="4">
        <v>0</v>
      </c>
      <c r="S1626" s="4" t="s">
        <v>249</v>
      </c>
      <c r="T1626" s="4" t="s">
        <v>486</v>
      </c>
      <c r="U1626" s="4">
        <v>0</v>
      </c>
      <c r="V1626" s="4">
        <v>18</v>
      </c>
      <c r="W1626" s="4">
        <v>62</v>
      </c>
    </row>
    <row r="1627" spans="1:23" ht="11.25" customHeight="1" x14ac:dyDescent="0.25">
      <c r="A1627" s="4" t="s">
        <v>28</v>
      </c>
      <c r="B1627" s="4" t="s">
        <v>22</v>
      </c>
      <c r="C1627" s="4" t="s">
        <v>39</v>
      </c>
      <c r="D1627" s="4" t="s">
        <v>24</v>
      </c>
      <c r="E1627" s="4" t="s">
        <v>24</v>
      </c>
      <c r="F1627" s="4" t="s">
        <v>25</v>
      </c>
      <c r="G1627" s="4" t="s">
        <v>25</v>
      </c>
      <c r="H1627" s="4" t="s">
        <v>37</v>
      </c>
      <c r="I1627" s="5">
        <v>44166</v>
      </c>
      <c r="J1627" s="6">
        <v>0</v>
      </c>
      <c r="K1627" s="6">
        <v>0</v>
      </c>
      <c r="L1627" s="6">
        <v>0.126</v>
      </c>
      <c r="M1627" s="6">
        <v>0.126</v>
      </c>
      <c r="N1627" s="6">
        <v>0.126</v>
      </c>
      <c r="O1627" s="6">
        <v>0.126</v>
      </c>
      <c r="P1627" s="6">
        <v>0</v>
      </c>
      <c r="Q1627" s="4" t="s">
        <v>26</v>
      </c>
      <c r="R1627" s="4">
        <v>0</v>
      </c>
      <c r="S1627" s="4" t="s">
        <v>249</v>
      </c>
      <c r="T1627" s="4" t="s">
        <v>486</v>
      </c>
      <c r="U1627" s="4">
        <v>0</v>
      </c>
      <c r="V1627" s="4">
        <v>18</v>
      </c>
      <c r="W1627" s="4">
        <v>62</v>
      </c>
    </row>
    <row r="1628" spans="1:23" ht="11.25" customHeight="1" x14ac:dyDescent="0.25">
      <c r="A1628" s="4" t="s">
        <v>30</v>
      </c>
      <c r="B1628" s="4" t="s">
        <v>22</v>
      </c>
      <c r="C1628" s="4" t="s">
        <v>39</v>
      </c>
      <c r="D1628" s="4" t="s">
        <v>24</v>
      </c>
      <c r="E1628" s="4" t="s">
        <v>24</v>
      </c>
      <c r="F1628" s="4" t="s">
        <v>25</v>
      </c>
      <c r="G1628" s="4" t="s">
        <v>25</v>
      </c>
      <c r="H1628" s="4" t="s">
        <v>37</v>
      </c>
      <c r="I1628" s="5">
        <v>44166</v>
      </c>
      <c r="J1628" s="6">
        <v>0</v>
      </c>
      <c r="K1628" s="6">
        <v>0</v>
      </c>
      <c r="L1628" s="6">
        <v>8.5999999999999993E-2</v>
      </c>
      <c r="M1628" s="6">
        <v>8.5999999999999993E-2</v>
      </c>
      <c r="N1628" s="6">
        <v>8.5999999999999993E-2</v>
      </c>
      <c r="O1628" s="6">
        <v>8.5999999999999993E-2</v>
      </c>
      <c r="P1628" s="6">
        <v>0</v>
      </c>
      <c r="Q1628" s="4" t="s">
        <v>26</v>
      </c>
      <c r="R1628" s="4">
        <v>0</v>
      </c>
      <c r="S1628" s="4" t="s">
        <v>249</v>
      </c>
      <c r="T1628" s="4" t="s">
        <v>486</v>
      </c>
      <c r="U1628" s="4">
        <v>0</v>
      </c>
      <c r="V1628" s="4">
        <v>18</v>
      </c>
      <c r="W1628" s="4">
        <v>62</v>
      </c>
    </row>
    <row r="1629" spans="1:23" ht="11.25" customHeight="1" x14ac:dyDescent="0.25">
      <c r="A1629" s="4" t="s">
        <v>21</v>
      </c>
      <c r="B1629" s="4" t="s">
        <v>22</v>
      </c>
      <c r="C1629" s="4" t="s">
        <v>39</v>
      </c>
      <c r="D1629" s="4" t="s">
        <v>24</v>
      </c>
      <c r="E1629" s="4" t="s">
        <v>24</v>
      </c>
      <c r="F1629" s="4" t="s">
        <v>25</v>
      </c>
      <c r="G1629" s="4" t="s">
        <v>25</v>
      </c>
      <c r="H1629" s="4" t="s">
        <v>37</v>
      </c>
      <c r="I1629" s="5">
        <v>44197</v>
      </c>
      <c r="J1629" s="6">
        <v>0</v>
      </c>
      <c r="K1629" s="6">
        <v>0</v>
      </c>
      <c r="L1629" s="6">
        <v>3.4380000000000002</v>
      </c>
      <c r="M1629" s="6">
        <v>3.4380000000000002</v>
      </c>
      <c r="N1629" s="6">
        <v>3.4380000000000002</v>
      </c>
      <c r="O1629" s="6">
        <v>3.4380000000000002</v>
      </c>
      <c r="P1629" s="6">
        <v>0</v>
      </c>
      <c r="Q1629" s="4" t="s">
        <v>26</v>
      </c>
      <c r="R1629" s="4">
        <v>0</v>
      </c>
      <c r="S1629" s="4" t="s">
        <v>250</v>
      </c>
      <c r="T1629" s="4" t="s">
        <v>487</v>
      </c>
      <c r="U1629" s="4">
        <v>0</v>
      </c>
      <c r="V1629" s="4">
        <v>18</v>
      </c>
      <c r="W1629" s="4">
        <v>62</v>
      </c>
    </row>
    <row r="1630" spans="1:23" ht="11.25" customHeight="1" x14ac:dyDescent="0.25">
      <c r="A1630" s="4" t="s">
        <v>27</v>
      </c>
      <c r="B1630" s="4" t="s">
        <v>22</v>
      </c>
      <c r="C1630" s="4" t="s">
        <v>39</v>
      </c>
      <c r="D1630" s="4" t="s">
        <v>24</v>
      </c>
      <c r="E1630" s="4" t="s">
        <v>24</v>
      </c>
      <c r="F1630" s="4" t="s">
        <v>25</v>
      </c>
      <c r="G1630" s="4" t="s">
        <v>25</v>
      </c>
      <c r="H1630" s="4" t="s">
        <v>37</v>
      </c>
      <c r="I1630" s="5">
        <v>44197</v>
      </c>
      <c r="J1630" s="6">
        <v>0</v>
      </c>
      <c r="K1630" s="6">
        <v>0</v>
      </c>
      <c r="L1630" s="6">
        <v>-0.22700000000000001</v>
      </c>
      <c r="M1630" s="6">
        <v>-0.22700000000000001</v>
      </c>
      <c r="N1630" s="6">
        <v>-0.22700000000000001</v>
      </c>
      <c r="O1630" s="6">
        <v>-0.22700000000000001</v>
      </c>
      <c r="P1630" s="6">
        <v>0</v>
      </c>
      <c r="Q1630" s="4" t="s">
        <v>26</v>
      </c>
      <c r="R1630" s="4">
        <v>0</v>
      </c>
      <c r="S1630" s="4" t="s">
        <v>250</v>
      </c>
      <c r="T1630" s="4" t="s">
        <v>487</v>
      </c>
      <c r="U1630" s="4">
        <v>0</v>
      </c>
      <c r="V1630" s="4">
        <v>18</v>
      </c>
      <c r="W1630" s="4">
        <v>62</v>
      </c>
    </row>
    <row r="1631" spans="1:23" ht="11.25" customHeight="1" x14ac:dyDescent="0.25">
      <c r="A1631" s="4" t="s">
        <v>28</v>
      </c>
      <c r="B1631" s="4" t="s">
        <v>22</v>
      </c>
      <c r="C1631" s="4" t="s">
        <v>39</v>
      </c>
      <c r="D1631" s="4" t="s">
        <v>24</v>
      </c>
      <c r="E1631" s="4" t="s">
        <v>24</v>
      </c>
      <c r="F1631" s="4" t="s">
        <v>25</v>
      </c>
      <c r="G1631" s="4" t="s">
        <v>25</v>
      </c>
      <c r="H1631" s="4" t="s">
        <v>37</v>
      </c>
      <c r="I1631" s="5">
        <v>44197</v>
      </c>
      <c r="J1631" s="6">
        <v>0</v>
      </c>
      <c r="K1631" s="6">
        <v>0</v>
      </c>
      <c r="L1631" s="6">
        <v>0.14099999999999999</v>
      </c>
      <c r="M1631" s="6">
        <v>0.14099999999999999</v>
      </c>
      <c r="N1631" s="6">
        <v>0.14099999999999999</v>
      </c>
      <c r="O1631" s="6">
        <v>0.14099999999999999</v>
      </c>
      <c r="P1631" s="6">
        <v>0</v>
      </c>
      <c r="Q1631" s="4" t="s">
        <v>26</v>
      </c>
      <c r="R1631" s="4">
        <v>0</v>
      </c>
      <c r="S1631" s="4" t="s">
        <v>250</v>
      </c>
      <c r="T1631" s="4" t="s">
        <v>487</v>
      </c>
      <c r="U1631" s="4">
        <v>0</v>
      </c>
      <c r="V1631" s="4">
        <v>18</v>
      </c>
      <c r="W1631" s="4">
        <v>62</v>
      </c>
    </row>
    <row r="1632" spans="1:23" ht="11.25" customHeight="1" x14ac:dyDescent="0.25">
      <c r="A1632" s="4" t="s">
        <v>30</v>
      </c>
      <c r="B1632" s="4" t="s">
        <v>22</v>
      </c>
      <c r="C1632" s="4" t="s">
        <v>39</v>
      </c>
      <c r="D1632" s="4" t="s">
        <v>24</v>
      </c>
      <c r="E1632" s="4" t="s">
        <v>24</v>
      </c>
      <c r="F1632" s="4" t="s">
        <v>25</v>
      </c>
      <c r="G1632" s="4" t="s">
        <v>25</v>
      </c>
      <c r="H1632" s="4" t="s">
        <v>37</v>
      </c>
      <c r="I1632" s="5">
        <v>44197</v>
      </c>
      <c r="J1632" s="6">
        <v>0</v>
      </c>
      <c r="K1632" s="6">
        <v>0</v>
      </c>
      <c r="L1632" s="6">
        <v>9.7000000000000003E-2</v>
      </c>
      <c r="M1632" s="6">
        <v>9.7000000000000003E-2</v>
      </c>
      <c r="N1632" s="6">
        <v>9.7000000000000003E-2</v>
      </c>
      <c r="O1632" s="6">
        <v>9.7000000000000003E-2</v>
      </c>
      <c r="P1632" s="6">
        <v>0</v>
      </c>
      <c r="Q1632" s="4" t="s">
        <v>26</v>
      </c>
      <c r="R1632" s="4">
        <v>0</v>
      </c>
      <c r="S1632" s="4" t="s">
        <v>250</v>
      </c>
      <c r="T1632" s="4" t="s">
        <v>487</v>
      </c>
      <c r="U1632" s="4">
        <v>0</v>
      </c>
      <c r="V1632" s="4">
        <v>18</v>
      </c>
      <c r="W1632" s="4">
        <v>62</v>
      </c>
    </row>
    <row r="1633" spans="1:23" ht="11.25" customHeight="1" x14ac:dyDescent="0.25">
      <c r="A1633" s="4" t="s">
        <v>21</v>
      </c>
      <c r="B1633" s="4" t="s">
        <v>22</v>
      </c>
      <c r="C1633" s="4" t="s">
        <v>39</v>
      </c>
      <c r="D1633" s="4" t="s">
        <v>24</v>
      </c>
      <c r="E1633" s="4" t="s">
        <v>24</v>
      </c>
      <c r="F1633" s="4" t="s">
        <v>25</v>
      </c>
      <c r="G1633" s="4" t="s">
        <v>25</v>
      </c>
      <c r="H1633" s="4" t="s">
        <v>37</v>
      </c>
      <c r="I1633" s="5">
        <v>44228</v>
      </c>
      <c r="J1633" s="6">
        <v>0</v>
      </c>
      <c r="K1633" s="6">
        <v>0</v>
      </c>
      <c r="L1633" s="6">
        <v>3.2490000000000001</v>
      </c>
      <c r="M1633" s="6">
        <v>3.2490000000000001</v>
      </c>
      <c r="N1633" s="6">
        <v>3.2490000000000001</v>
      </c>
      <c r="O1633" s="6">
        <v>3.2490000000000001</v>
      </c>
      <c r="P1633" s="6">
        <v>0</v>
      </c>
      <c r="Q1633" s="4" t="s">
        <v>26</v>
      </c>
      <c r="R1633" s="4">
        <v>0</v>
      </c>
      <c r="S1633" s="4" t="s">
        <v>251</v>
      </c>
      <c r="T1633" s="4" t="s">
        <v>488</v>
      </c>
      <c r="U1633" s="4">
        <v>0</v>
      </c>
      <c r="V1633" s="4">
        <v>18</v>
      </c>
      <c r="W1633" s="4">
        <v>62</v>
      </c>
    </row>
    <row r="1634" spans="1:23" ht="11.25" customHeight="1" x14ac:dyDescent="0.25">
      <c r="A1634" s="4" t="s">
        <v>27</v>
      </c>
      <c r="B1634" s="4" t="s">
        <v>22</v>
      </c>
      <c r="C1634" s="4" t="s">
        <v>39</v>
      </c>
      <c r="D1634" s="4" t="s">
        <v>24</v>
      </c>
      <c r="E1634" s="4" t="s">
        <v>24</v>
      </c>
      <c r="F1634" s="4" t="s">
        <v>25</v>
      </c>
      <c r="G1634" s="4" t="s">
        <v>25</v>
      </c>
      <c r="H1634" s="4" t="s">
        <v>37</v>
      </c>
      <c r="I1634" s="5">
        <v>44228</v>
      </c>
      <c r="J1634" s="6">
        <v>0</v>
      </c>
      <c r="K1634" s="6">
        <v>0</v>
      </c>
      <c r="L1634" s="6">
        <v>-0.33</v>
      </c>
      <c r="M1634" s="6">
        <v>-0.33</v>
      </c>
      <c r="N1634" s="6">
        <v>-0.33</v>
      </c>
      <c r="O1634" s="6">
        <v>-0.33</v>
      </c>
      <c r="P1634" s="6">
        <v>0</v>
      </c>
      <c r="Q1634" s="4" t="s">
        <v>26</v>
      </c>
      <c r="R1634" s="4">
        <v>0</v>
      </c>
      <c r="S1634" s="4" t="s">
        <v>251</v>
      </c>
      <c r="T1634" s="4" t="s">
        <v>488</v>
      </c>
      <c r="U1634" s="4">
        <v>0</v>
      </c>
      <c r="V1634" s="4">
        <v>18</v>
      </c>
      <c r="W1634" s="4">
        <v>62</v>
      </c>
    </row>
    <row r="1635" spans="1:23" ht="11.25" customHeight="1" x14ac:dyDescent="0.25">
      <c r="A1635" s="4" t="s">
        <v>28</v>
      </c>
      <c r="B1635" s="4" t="s">
        <v>22</v>
      </c>
      <c r="C1635" s="4" t="s">
        <v>39</v>
      </c>
      <c r="D1635" s="4" t="s">
        <v>24</v>
      </c>
      <c r="E1635" s="4" t="s">
        <v>24</v>
      </c>
      <c r="F1635" s="4" t="s">
        <v>25</v>
      </c>
      <c r="G1635" s="4" t="s">
        <v>25</v>
      </c>
      <c r="H1635" s="4" t="s">
        <v>37</v>
      </c>
      <c r="I1635" s="5">
        <v>44228</v>
      </c>
      <c r="J1635" s="6">
        <v>0</v>
      </c>
      <c r="K1635" s="6">
        <v>0</v>
      </c>
      <c r="L1635" s="6">
        <v>9.8000000000000004E-2</v>
      </c>
      <c r="M1635" s="6">
        <v>9.8000000000000004E-2</v>
      </c>
      <c r="N1635" s="6">
        <v>9.8000000000000004E-2</v>
      </c>
      <c r="O1635" s="6">
        <v>9.8000000000000004E-2</v>
      </c>
      <c r="P1635" s="6">
        <v>0</v>
      </c>
      <c r="Q1635" s="4" t="s">
        <v>26</v>
      </c>
      <c r="R1635" s="4">
        <v>0</v>
      </c>
      <c r="S1635" s="4" t="s">
        <v>251</v>
      </c>
      <c r="T1635" s="4" t="s">
        <v>488</v>
      </c>
      <c r="U1635" s="4">
        <v>0</v>
      </c>
      <c r="V1635" s="4">
        <v>18</v>
      </c>
      <c r="W1635" s="4">
        <v>62</v>
      </c>
    </row>
    <row r="1636" spans="1:23" ht="11.25" customHeight="1" x14ac:dyDescent="0.25">
      <c r="A1636" s="4" t="s">
        <v>30</v>
      </c>
      <c r="B1636" s="4" t="s">
        <v>22</v>
      </c>
      <c r="C1636" s="4" t="s">
        <v>39</v>
      </c>
      <c r="D1636" s="4" t="s">
        <v>24</v>
      </c>
      <c r="E1636" s="4" t="s">
        <v>24</v>
      </c>
      <c r="F1636" s="4" t="s">
        <v>25</v>
      </c>
      <c r="G1636" s="4" t="s">
        <v>25</v>
      </c>
      <c r="H1636" s="4" t="s">
        <v>37</v>
      </c>
      <c r="I1636" s="5">
        <v>44228</v>
      </c>
      <c r="J1636" s="6">
        <v>0</v>
      </c>
      <c r="K1636" s="6">
        <v>0</v>
      </c>
      <c r="L1636" s="6">
        <v>7.5999999999999998E-2</v>
      </c>
      <c r="M1636" s="6">
        <v>7.5999999999999998E-2</v>
      </c>
      <c r="N1636" s="6">
        <v>7.5999999999999998E-2</v>
      </c>
      <c r="O1636" s="6">
        <v>7.5999999999999998E-2</v>
      </c>
      <c r="P1636" s="6">
        <v>0</v>
      </c>
      <c r="Q1636" s="4" t="s">
        <v>26</v>
      </c>
      <c r="R1636" s="4">
        <v>0</v>
      </c>
      <c r="S1636" s="4" t="s">
        <v>251</v>
      </c>
      <c r="T1636" s="4" t="s">
        <v>488</v>
      </c>
      <c r="U1636" s="4">
        <v>0</v>
      </c>
      <c r="V1636" s="4">
        <v>18</v>
      </c>
      <c r="W1636" s="4">
        <v>62</v>
      </c>
    </row>
    <row r="1637" spans="1:23" ht="11.25" customHeight="1" x14ac:dyDescent="0.25">
      <c r="A1637" s="4" t="s">
        <v>21</v>
      </c>
      <c r="B1637" s="4" t="s">
        <v>22</v>
      </c>
      <c r="C1637" s="4" t="s">
        <v>39</v>
      </c>
      <c r="D1637" s="4" t="s">
        <v>24</v>
      </c>
      <c r="E1637" s="4" t="s">
        <v>24</v>
      </c>
      <c r="F1637" s="4" t="s">
        <v>25</v>
      </c>
      <c r="G1637" s="4" t="s">
        <v>25</v>
      </c>
      <c r="H1637" s="4" t="s">
        <v>37</v>
      </c>
      <c r="I1637" s="5">
        <v>44256</v>
      </c>
      <c r="J1637" s="6">
        <v>0</v>
      </c>
      <c r="K1637" s="6">
        <v>0</v>
      </c>
      <c r="L1637" s="6">
        <v>3.2320000000000002</v>
      </c>
      <c r="M1637" s="6">
        <v>3.2320000000000002</v>
      </c>
      <c r="N1637" s="6">
        <v>3.2320000000000002</v>
      </c>
      <c r="O1637" s="6">
        <v>3.2320000000000002</v>
      </c>
      <c r="P1637" s="6">
        <v>0</v>
      </c>
      <c r="Q1637" s="4" t="s">
        <v>26</v>
      </c>
      <c r="R1637" s="4">
        <v>0</v>
      </c>
      <c r="S1637" s="4" t="s">
        <v>252</v>
      </c>
      <c r="T1637" s="4" t="s">
        <v>489</v>
      </c>
      <c r="U1637" s="4">
        <v>0</v>
      </c>
      <c r="V1637" s="4">
        <v>18</v>
      </c>
      <c r="W1637" s="4">
        <v>62</v>
      </c>
    </row>
    <row r="1638" spans="1:23" ht="11.25" customHeight="1" x14ac:dyDescent="0.25">
      <c r="A1638" s="4" t="s">
        <v>28</v>
      </c>
      <c r="B1638" s="4" t="s">
        <v>22</v>
      </c>
      <c r="C1638" s="4" t="s">
        <v>39</v>
      </c>
      <c r="D1638" s="4" t="s">
        <v>24</v>
      </c>
      <c r="E1638" s="4" t="s">
        <v>24</v>
      </c>
      <c r="F1638" s="4" t="s">
        <v>25</v>
      </c>
      <c r="G1638" s="4" t="s">
        <v>25</v>
      </c>
      <c r="H1638" s="4" t="s">
        <v>37</v>
      </c>
      <c r="I1638" s="5">
        <v>44256</v>
      </c>
      <c r="J1638" s="6">
        <v>0</v>
      </c>
      <c r="K1638" s="6">
        <v>0</v>
      </c>
      <c r="L1638" s="6">
        <v>0.185</v>
      </c>
      <c r="M1638" s="6">
        <v>0.185</v>
      </c>
      <c r="N1638" s="6">
        <v>0.185</v>
      </c>
      <c r="O1638" s="6">
        <v>0.185</v>
      </c>
      <c r="P1638" s="6">
        <v>0</v>
      </c>
      <c r="Q1638" s="4" t="s">
        <v>26</v>
      </c>
      <c r="R1638" s="4">
        <v>0</v>
      </c>
      <c r="S1638" s="4" t="s">
        <v>252</v>
      </c>
      <c r="T1638" s="4" t="s">
        <v>489</v>
      </c>
      <c r="U1638" s="4">
        <v>0</v>
      </c>
      <c r="V1638" s="4">
        <v>18</v>
      </c>
      <c r="W1638" s="4">
        <v>62</v>
      </c>
    </row>
    <row r="1639" spans="1:23" ht="11.25" customHeight="1" x14ac:dyDescent="0.25">
      <c r="A1639" s="4" t="s">
        <v>30</v>
      </c>
      <c r="B1639" s="4" t="s">
        <v>22</v>
      </c>
      <c r="C1639" s="4" t="s">
        <v>39</v>
      </c>
      <c r="D1639" s="4" t="s">
        <v>24</v>
      </c>
      <c r="E1639" s="4" t="s">
        <v>24</v>
      </c>
      <c r="F1639" s="4" t="s">
        <v>25</v>
      </c>
      <c r="G1639" s="4" t="s">
        <v>25</v>
      </c>
      <c r="H1639" s="4" t="s">
        <v>37</v>
      </c>
      <c r="I1639" s="5">
        <v>44256</v>
      </c>
      <c r="J1639" s="6">
        <v>0</v>
      </c>
      <c r="K1639" s="6">
        <v>0</v>
      </c>
      <c r="L1639" s="6">
        <v>9.2999999999999999E-2</v>
      </c>
      <c r="M1639" s="6">
        <v>9.2999999999999999E-2</v>
      </c>
      <c r="N1639" s="6">
        <v>9.2999999999999999E-2</v>
      </c>
      <c r="O1639" s="6">
        <v>9.2999999999999999E-2</v>
      </c>
      <c r="P1639" s="6">
        <v>0</v>
      </c>
      <c r="Q1639" s="4" t="s">
        <v>26</v>
      </c>
      <c r="R1639" s="4">
        <v>0</v>
      </c>
      <c r="S1639" s="4" t="s">
        <v>252</v>
      </c>
      <c r="T1639" s="4" t="s">
        <v>489</v>
      </c>
      <c r="U1639" s="4">
        <v>0</v>
      </c>
      <c r="V1639" s="4">
        <v>18</v>
      </c>
      <c r="W1639" s="4">
        <v>62</v>
      </c>
    </row>
    <row r="1640" spans="1:23" ht="11.25" customHeight="1" x14ac:dyDescent="0.25">
      <c r="A1640" s="4" t="s">
        <v>21</v>
      </c>
      <c r="B1640" s="4" t="s">
        <v>22</v>
      </c>
      <c r="C1640" s="4" t="s">
        <v>39</v>
      </c>
      <c r="D1640" s="4" t="s">
        <v>24</v>
      </c>
      <c r="E1640" s="4" t="s">
        <v>24</v>
      </c>
      <c r="F1640" s="4" t="s">
        <v>25</v>
      </c>
      <c r="G1640" s="4" t="s">
        <v>25</v>
      </c>
      <c r="H1640" s="4" t="s">
        <v>37</v>
      </c>
      <c r="I1640" s="5">
        <v>44287</v>
      </c>
      <c r="J1640" s="6">
        <v>0</v>
      </c>
      <c r="K1640" s="6">
        <v>0</v>
      </c>
      <c r="L1640" s="6">
        <v>3.5539999999999998</v>
      </c>
      <c r="M1640" s="6">
        <v>3.5539999999999998</v>
      </c>
      <c r="N1640" s="6">
        <v>3.5539999999999998</v>
      </c>
      <c r="O1640" s="6">
        <v>3.5539999999999998</v>
      </c>
      <c r="P1640" s="6">
        <v>0</v>
      </c>
      <c r="Q1640" s="4" t="s">
        <v>26</v>
      </c>
      <c r="R1640" s="4">
        <v>0</v>
      </c>
      <c r="S1640" s="4" t="s">
        <v>253</v>
      </c>
      <c r="T1640" s="4" t="s">
        <v>490</v>
      </c>
      <c r="U1640" s="4">
        <v>0</v>
      </c>
      <c r="V1640" s="4">
        <v>18</v>
      </c>
      <c r="W1640" s="4">
        <v>62</v>
      </c>
    </row>
    <row r="1641" spans="1:23" ht="11.25" customHeight="1" x14ac:dyDescent="0.25">
      <c r="A1641" s="4" t="s">
        <v>28</v>
      </c>
      <c r="B1641" s="4" t="s">
        <v>22</v>
      </c>
      <c r="C1641" s="4" t="s">
        <v>39</v>
      </c>
      <c r="D1641" s="4" t="s">
        <v>24</v>
      </c>
      <c r="E1641" s="4" t="s">
        <v>24</v>
      </c>
      <c r="F1641" s="4" t="s">
        <v>25</v>
      </c>
      <c r="G1641" s="4" t="s">
        <v>25</v>
      </c>
      <c r="H1641" s="4" t="s">
        <v>37</v>
      </c>
      <c r="I1641" s="5">
        <v>44287</v>
      </c>
      <c r="J1641" s="6">
        <v>0</v>
      </c>
      <c r="K1641" s="6">
        <v>0</v>
      </c>
      <c r="L1641" s="6">
        <v>0.192</v>
      </c>
      <c r="M1641" s="6">
        <v>0.192</v>
      </c>
      <c r="N1641" s="6">
        <v>0.192</v>
      </c>
      <c r="O1641" s="6">
        <v>0.192</v>
      </c>
      <c r="P1641" s="6">
        <v>0</v>
      </c>
      <c r="Q1641" s="4" t="s">
        <v>26</v>
      </c>
      <c r="R1641" s="4">
        <v>0</v>
      </c>
      <c r="S1641" s="4" t="s">
        <v>253</v>
      </c>
      <c r="T1641" s="4" t="s">
        <v>490</v>
      </c>
      <c r="U1641" s="4">
        <v>0</v>
      </c>
      <c r="V1641" s="4">
        <v>18</v>
      </c>
      <c r="W1641" s="4">
        <v>62</v>
      </c>
    </row>
    <row r="1642" spans="1:23" ht="11.25" customHeight="1" x14ac:dyDescent="0.25">
      <c r="A1642" s="4" t="s">
        <v>30</v>
      </c>
      <c r="B1642" s="4" t="s">
        <v>22</v>
      </c>
      <c r="C1642" s="4" t="s">
        <v>39</v>
      </c>
      <c r="D1642" s="4" t="s">
        <v>24</v>
      </c>
      <c r="E1642" s="4" t="s">
        <v>24</v>
      </c>
      <c r="F1642" s="4" t="s">
        <v>25</v>
      </c>
      <c r="G1642" s="4" t="s">
        <v>25</v>
      </c>
      <c r="H1642" s="4" t="s">
        <v>37</v>
      </c>
      <c r="I1642" s="5">
        <v>44287</v>
      </c>
      <c r="J1642" s="6">
        <v>0</v>
      </c>
      <c r="K1642" s="6">
        <v>0</v>
      </c>
      <c r="L1642" s="6">
        <v>0.16400000000000001</v>
      </c>
      <c r="M1642" s="6">
        <v>0.16400000000000001</v>
      </c>
      <c r="N1642" s="6">
        <v>0.16400000000000001</v>
      </c>
      <c r="O1642" s="6">
        <v>0.16400000000000001</v>
      </c>
      <c r="P1642" s="6">
        <v>0</v>
      </c>
      <c r="Q1642" s="4" t="s">
        <v>26</v>
      </c>
      <c r="R1642" s="4">
        <v>0</v>
      </c>
      <c r="S1642" s="4" t="s">
        <v>253</v>
      </c>
      <c r="T1642" s="4" t="s">
        <v>490</v>
      </c>
      <c r="U1642" s="4">
        <v>0</v>
      </c>
      <c r="V1642" s="4">
        <v>18</v>
      </c>
      <c r="W1642" s="4">
        <v>62</v>
      </c>
    </row>
    <row r="1643" spans="1:23" ht="11.25" customHeight="1" x14ac:dyDescent="0.25">
      <c r="A1643" s="4" t="s">
        <v>21</v>
      </c>
      <c r="B1643" s="4" t="s">
        <v>22</v>
      </c>
      <c r="C1643" s="4" t="s">
        <v>39</v>
      </c>
      <c r="D1643" s="4" t="s">
        <v>24</v>
      </c>
      <c r="E1643" s="4" t="s">
        <v>24</v>
      </c>
      <c r="F1643" s="4" t="s">
        <v>25</v>
      </c>
      <c r="G1643" s="4" t="s">
        <v>25</v>
      </c>
      <c r="H1643" s="4" t="s">
        <v>37</v>
      </c>
      <c r="I1643" s="5">
        <v>44317</v>
      </c>
      <c r="J1643" s="6">
        <v>0</v>
      </c>
      <c r="K1643" s="6">
        <v>0</v>
      </c>
      <c r="L1643" s="6">
        <v>3.2389999999999999</v>
      </c>
      <c r="M1643" s="6">
        <v>3.2389999999999999</v>
      </c>
      <c r="N1643" s="6">
        <v>3.2389999999999999</v>
      </c>
      <c r="O1643" s="6">
        <v>3.2389999999999999</v>
      </c>
      <c r="P1643" s="6">
        <v>0</v>
      </c>
      <c r="Q1643" s="4" t="s">
        <v>26</v>
      </c>
      <c r="R1643" s="4">
        <v>0</v>
      </c>
      <c r="S1643" s="4" t="s">
        <v>254</v>
      </c>
      <c r="T1643" s="4" t="s">
        <v>491</v>
      </c>
      <c r="U1643" s="4">
        <v>0</v>
      </c>
      <c r="V1643" s="4">
        <v>18</v>
      </c>
      <c r="W1643" s="4">
        <v>62</v>
      </c>
    </row>
    <row r="1644" spans="1:23" ht="11.25" customHeight="1" x14ac:dyDescent="0.25">
      <c r="A1644" s="4" t="s">
        <v>28</v>
      </c>
      <c r="B1644" s="4" t="s">
        <v>22</v>
      </c>
      <c r="C1644" s="4" t="s">
        <v>39</v>
      </c>
      <c r="D1644" s="4" t="s">
        <v>24</v>
      </c>
      <c r="E1644" s="4" t="s">
        <v>24</v>
      </c>
      <c r="F1644" s="4" t="s">
        <v>25</v>
      </c>
      <c r="G1644" s="4" t="s">
        <v>25</v>
      </c>
      <c r="H1644" s="4" t="s">
        <v>37</v>
      </c>
      <c r="I1644" s="5">
        <v>44317</v>
      </c>
      <c r="J1644" s="6">
        <v>0</v>
      </c>
      <c r="K1644" s="6">
        <v>0</v>
      </c>
      <c r="L1644" s="6">
        <v>0.16400000000000001</v>
      </c>
      <c r="M1644" s="6">
        <v>0.16400000000000001</v>
      </c>
      <c r="N1644" s="6">
        <v>0.16400000000000001</v>
      </c>
      <c r="O1644" s="6">
        <v>0.16400000000000001</v>
      </c>
      <c r="P1644" s="6">
        <v>0</v>
      </c>
      <c r="Q1644" s="4" t="s">
        <v>26</v>
      </c>
      <c r="R1644" s="4">
        <v>0</v>
      </c>
      <c r="S1644" s="4" t="s">
        <v>254</v>
      </c>
      <c r="T1644" s="4" t="s">
        <v>491</v>
      </c>
      <c r="U1644" s="4">
        <v>0</v>
      </c>
      <c r="V1644" s="4">
        <v>18</v>
      </c>
      <c r="W1644" s="4">
        <v>62</v>
      </c>
    </row>
    <row r="1645" spans="1:23" ht="11.25" customHeight="1" x14ac:dyDescent="0.25">
      <c r="A1645" s="4" t="s">
        <v>30</v>
      </c>
      <c r="B1645" s="4" t="s">
        <v>22</v>
      </c>
      <c r="C1645" s="4" t="s">
        <v>39</v>
      </c>
      <c r="D1645" s="4" t="s">
        <v>24</v>
      </c>
      <c r="E1645" s="4" t="s">
        <v>24</v>
      </c>
      <c r="F1645" s="4" t="s">
        <v>25</v>
      </c>
      <c r="G1645" s="4" t="s">
        <v>25</v>
      </c>
      <c r="H1645" s="4" t="s">
        <v>37</v>
      </c>
      <c r="I1645" s="5">
        <v>44317</v>
      </c>
      <c r="J1645" s="6">
        <v>0</v>
      </c>
      <c r="K1645" s="6">
        <v>0</v>
      </c>
      <c r="L1645" s="6">
        <v>0.253</v>
      </c>
      <c r="M1645" s="6">
        <v>0.253</v>
      </c>
      <c r="N1645" s="6">
        <v>0.253</v>
      </c>
      <c r="O1645" s="6">
        <v>0.253</v>
      </c>
      <c r="P1645" s="6">
        <v>0</v>
      </c>
      <c r="Q1645" s="4" t="s">
        <v>26</v>
      </c>
      <c r="R1645" s="4">
        <v>0</v>
      </c>
      <c r="S1645" s="4" t="s">
        <v>254</v>
      </c>
      <c r="T1645" s="4" t="s">
        <v>491</v>
      </c>
      <c r="U1645" s="4">
        <v>0</v>
      </c>
      <c r="V1645" s="4">
        <v>18</v>
      </c>
      <c r="W1645" s="4">
        <v>62</v>
      </c>
    </row>
    <row r="1646" spans="1:23" ht="11.25" customHeight="1" x14ac:dyDescent="0.25">
      <c r="A1646" s="4" t="s">
        <v>21</v>
      </c>
      <c r="B1646" s="4" t="s">
        <v>22</v>
      </c>
      <c r="C1646" s="4" t="s">
        <v>39</v>
      </c>
      <c r="D1646" s="4" t="s">
        <v>24</v>
      </c>
      <c r="E1646" s="4" t="s">
        <v>24</v>
      </c>
      <c r="F1646" s="4" t="s">
        <v>25</v>
      </c>
      <c r="G1646" s="4" t="s">
        <v>25</v>
      </c>
      <c r="H1646" s="4" t="s">
        <v>37</v>
      </c>
      <c r="I1646" s="5">
        <v>44348</v>
      </c>
      <c r="J1646" s="6">
        <v>0</v>
      </c>
      <c r="K1646" s="6">
        <v>0</v>
      </c>
      <c r="L1646" s="6">
        <v>3.7709999999999999</v>
      </c>
      <c r="M1646" s="6">
        <v>3.7709999999999999</v>
      </c>
      <c r="N1646" s="6">
        <v>3.7709999999999999</v>
      </c>
      <c r="O1646" s="6">
        <v>3.7709999999999999</v>
      </c>
      <c r="P1646" s="6">
        <v>0</v>
      </c>
      <c r="Q1646" s="4" t="s">
        <v>26</v>
      </c>
      <c r="R1646" s="4">
        <v>0</v>
      </c>
      <c r="S1646" s="4" t="s">
        <v>255</v>
      </c>
      <c r="T1646" s="4" t="s">
        <v>492</v>
      </c>
      <c r="U1646" s="4">
        <v>0</v>
      </c>
      <c r="V1646" s="4">
        <v>18</v>
      </c>
      <c r="W1646" s="4">
        <v>62</v>
      </c>
    </row>
    <row r="1647" spans="1:23" ht="11.25" customHeight="1" x14ac:dyDescent="0.25">
      <c r="A1647" s="4" t="s">
        <v>28</v>
      </c>
      <c r="B1647" s="4" t="s">
        <v>22</v>
      </c>
      <c r="C1647" s="4" t="s">
        <v>39</v>
      </c>
      <c r="D1647" s="4" t="s">
        <v>24</v>
      </c>
      <c r="E1647" s="4" t="s">
        <v>24</v>
      </c>
      <c r="F1647" s="4" t="s">
        <v>25</v>
      </c>
      <c r="G1647" s="4" t="s">
        <v>25</v>
      </c>
      <c r="H1647" s="4" t="s">
        <v>37</v>
      </c>
      <c r="I1647" s="5">
        <v>44348</v>
      </c>
      <c r="J1647" s="6">
        <v>0</v>
      </c>
      <c r="K1647" s="6">
        <v>0</v>
      </c>
      <c r="L1647" s="6">
        <v>0.24299999999999999</v>
      </c>
      <c r="M1647" s="6">
        <v>0.24299999999999999</v>
      </c>
      <c r="N1647" s="6">
        <v>0.24299999999999999</v>
      </c>
      <c r="O1647" s="6">
        <v>0.24299999999999999</v>
      </c>
      <c r="P1647" s="6">
        <v>0</v>
      </c>
      <c r="Q1647" s="4" t="s">
        <v>26</v>
      </c>
      <c r="R1647" s="4">
        <v>0</v>
      </c>
      <c r="S1647" s="4" t="s">
        <v>255</v>
      </c>
      <c r="T1647" s="4" t="s">
        <v>492</v>
      </c>
      <c r="U1647" s="4">
        <v>0</v>
      </c>
      <c r="V1647" s="4">
        <v>18</v>
      </c>
      <c r="W1647" s="4">
        <v>62</v>
      </c>
    </row>
    <row r="1648" spans="1:23" ht="11.25" customHeight="1" x14ac:dyDescent="0.25">
      <c r="A1648" s="4" t="s">
        <v>30</v>
      </c>
      <c r="B1648" s="4" t="s">
        <v>22</v>
      </c>
      <c r="C1648" s="4" t="s">
        <v>39</v>
      </c>
      <c r="D1648" s="4" t="s">
        <v>24</v>
      </c>
      <c r="E1648" s="4" t="s">
        <v>24</v>
      </c>
      <c r="F1648" s="4" t="s">
        <v>25</v>
      </c>
      <c r="G1648" s="4" t="s">
        <v>25</v>
      </c>
      <c r="H1648" s="4" t="s">
        <v>37</v>
      </c>
      <c r="I1648" s="5">
        <v>44348</v>
      </c>
      <c r="J1648" s="6">
        <v>0</v>
      </c>
      <c r="K1648" s="6">
        <v>0</v>
      </c>
      <c r="L1648" s="6">
        <v>0.20599999999999999</v>
      </c>
      <c r="M1648" s="6">
        <v>0.20599999999999999</v>
      </c>
      <c r="N1648" s="6">
        <v>0.20599999999999999</v>
      </c>
      <c r="O1648" s="6">
        <v>0.20599999999999999</v>
      </c>
      <c r="P1648" s="6">
        <v>0</v>
      </c>
      <c r="Q1648" s="4" t="s">
        <v>26</v>
      </c>
      <c r="R1648" s="4">
        <v>0</v>
      </c>
      <c r="S1648" s="4" t="s">
        <v>255</v>
      </c>
      <c r="T1648" s="4" t="s">
        <v>492</v>
      </c>
      <c r="U1648" s="4">
        <v>0</v>
      </c>
      <c r="V1648" s="4">
        <v>18</v>
      </c>
      <c r="W1648" s="4">
        <v>62</v>
      </c>
    </row>
    <row r="1649" spans="1:23" ht="11.25" customHeight="1" x14ac:dyDescent="0.25">
      <c r="A1649" s="4" t="s">
        <v>21</v>
      </c>
      <c r="B1649" s="4" t="s">
        <v>22</v>
      </c>
      <c r="C1649" s="4" t="s">
        <v>39</v>
      </c>
      <c r="D1649" s="4" t="s">
        <v>24</v>
      </c>
      <c r="E1649" s="4" t="s">
        <v>24</v>
      </c>
      <c r="F1649" s="4" t="s">
        <v>25</v>
      </c>
      <c r="G1649" s="4" t="s">
        <v>25</v>
      </c>
      <c r="H1649" s="4" t="s">
        <v>37</v>
      </c>
      <c r="I1649" s="5">
        <v>44378</v>
      </c>
      <c r="J1649" s="6">
        <v>0</v>
      </c>
      <c r="K1649" s="6">
        <v>0</v>
      </c>
      <c r="L1649" s="6">
        <v>3.38</v>
      </c>
      <c r="M1649" s="6">
        <v>3.38</v>
      </c>
      <c r="N1649" s="6">
        <v>3.38</v>
      </c>
      <c r="O1649" s="6">
        <v>3.38</v>
      </c>
      <c r="P1649" s="6">
        <v>0</v>
      </c>
      <c r="Q1649" s="4" t="s">
        <v>26</v>
      </c>
      <c r="R1649" s="4">
        <v>0</v>
      </c>
      <c r="S1649" s="4" t="s">
        <v>256</v>
      </c>
      <c r="T1649" s="4" t="s">
        <v>493</v>
      </c>
      <c r="U1649" s="4">
        <v>0</v>
      </c>
      <c r="V1649" s="4">
        <v>18</v>
      </c>
      <c r="W1649" s="4">
        <v>62</v>
      </c>
    </row>
    <row r="1650" spans="1:23" ht="11.25" customHeight="1" x14ac:dyDescent="0.25">
      <c r="A1650" s="4" t="s">
        <v>27</v>
      </c>
      <c r="B1650" s="4" t="s">
        <v>22</v>
      </c>
      <c r="C1650" s="4" t="s">
        <v>39</v>
      </c>
      <c r="D1650" s="4" t="s">
        <v>24</v>
      </c>
      <c r="E1650" s="4" t="s">
        <v>24</v>
      </c>
      <c r="F1650" s="4" t="s">
        <v>25</v>
      </c>
      <c r="G1650" s="4" t="s">
        <v>25</v>
      </c>
      <c r="H1650" s="4" t="s">
        <v>37</v>
      </c>
      <c r="I1650" s="5">
        <v>44378</v>
      </c>
      <c r="J1650" s="6">
        <v>0</v>
      </c>
      <c r="K1650" s="6">
        <v>0</v>
      </c>
      <c r="L1650" s="6">
        <v>3.1E-2</v>
      </c>
      <c r="M1650" s="6">
        <v>3.1E-2</v>
      </c>
      <c r="N1650" s="6">
        <v>3.1E-2</v>
      </c>
      <c r="O1650" s="6">
        <v>3.1E-2</v>
      </c>
      <c r="P1650" s="6">
        <v>0</v>
      </c>
      <c r="Q1650" s="4" t="s">
        <v>26</v>
      </c>
      <c r="R1650" s="4">
        <v>0</v>
      </c>
      <c r="S1650" s="4" t="s">
        <v>256</v>
      </c>
      <c r="T1650" s="4" t="s">
        <v>493</v>
      </c>
      <c r="U1650" s="4">
        <v>0</v>
      </c>
      <c r="V1650" s="4">
        <v>18</v>
      </c>
      <c r="W1650" s="4">
        <v>62</v>
      </c>
    </row>
    <row r="1651" spans="1:23" ht="11.25" customHeight="1" x14ac:dyDescent="0.25">
      <c r="A1651" s="4" t="s">
        <v>28</v>
      </c>
      <c r="B1651" s="4" t="s">
        <v>22</v>
      </c>
      <c r="C1651" s="4" t="s">
        <v>39</v>
      </c>
      <c r="D1651" s="4" t="s">
        <v>24</v>
      </c>
      <c r="E1651" s="4" t="s">
        <v>24</v>
      </c>
      <c r="F1651" s="4" t="s">
        <v>25</v>
      </c>
      <c r="G1651" s="4" t="s">
        <v>25</v>
      </c>
      <c r="H1651" s="4" t="s">
        <v>37</v>
      </c>
      <c r="I1651" s="5">
        <v>44378</v>
      </c>
      <c r="J1651" s="6">
        <v>0</v>
      </c>
      <c r="K1651" s="6">
        <v>0</v>
      </c>
      <c r="L1651" s="6">
        <v>0.24399999999999999</v>
      </c>
      <c r="M1651" s="6">
        <v>0.24399999999999999</v>
      </c>
      <c r="N1651" s="6">
        <v>0.24399999999999999</v>
      </c>
      <c r="O1651" s="6">
        <v>0.24399999999999999</v>
      </c>
      <c r="P1651" s="6">
        <v>0</v>
      </c>
      <c r="Q1651" s="4" t="s">
        <v>26</v>
      </c>
      <c r="R1651" s="4">
        <v>0</v>
      </c>
      <c r="S1651" s="4" t="s">
        <v>256</v>
      </c>
      <c r="T1651" s="4" t="s">
        <v>493</v>
      </c>
      <c r="U1651" s="4">
        <v>0</v>
      </c>
      <c r="V1651" s="4">
        <v>18</v>
      </c>
      <c r="W1651" s="4">
        <v>62</v>
      </c>
    </row>
    <row r="1652" spans="1:23" ht="11.25" customHeight="1" x14ac:dyDescent="0.25">
      <c r="A1652" s="4" t="s">
        <v>30</v>
      </c>
      <c r="B1652" s="4" t="s">
        <v>22</v>
      </c>
      <c r="C1652" s="4" t="s">
        <v>39</v>
      </c>
      <c r="D1652" s="4" t="s">
        <v>24</v>
      </c>
      <c r="E1652" s="4" t="s">
        <v>24</v>
      </c>
      <c r="F1652" s="4" t="s">
        <v>25</v>
      </c>
      <c r="G1652" s="4" t="s">
        <v>25</v>
      </c>
      <c r="H1652" s="4" t="s">
        <v>37</v>
      </c>
      <c r="I1652" s="5">
        <v>44378</v>
      </c>
      <c r="J1652" s="6">
        <v>0</v>
      </c>
      <c r="K1652" s="6">
        <v>0</v>
      </c>
      <c r="L1652" s="6">
        <v>0.17899999999999999</v>
      </c>
      <c r="M1652" s="6">
        <v>0.17899999999999999</v>
      </c>
      <c r="N1652" s="6">
        <v>0.17899999999999999</v>
      </c>
      <c r="O1652" s="6">
        <v>0.17899999999999999</v>
      </c>
      <c r="P1652" s="6">
        <v>0</v>
      </c>
      <c r="Q1652" s="4" t="s">
        <v>26</v>
      </c>
      <c r="R1652" s="4">
        <v>0</v>
      </c>
      <c r="S1652" s="4" t="s">
        <v>256</v>
      </c>
      <c r="T1652" s="4" t="s">
        <v>493</v>
      </c>
      <c r="U1652" s="4">
        <v>0</v>
      </c>
      <c r="V1652" s="4">
        <v>18</v>
      </c>
      <c r="W1652" s="4">
        <v>62</v>
      </c>
    </row>
    <row r="1653" spans="1:23" ht="11.25" customHeight="1" x14ac:dyDescent="0.25">
      <c r="A1653" s="4" t="s">
        <v>21</v>
      </c>
      <c r="B1653" s="4" t="s">
        <v>22</v>
      </c>
      <c r="C1653" s="4" t="s">
        <v>39</v>
      </c>
      <c r="D1653" s="4" t="s">
        <v>24</v>
      </c>
      <c r="E1653" s="4" t="s">
        <v>24</v>
      </c>
      <c r="F1653" s="4" t="s">
        <v>25</v>
      </c>
      <c r="G1653" s="4" t="s">
        <v>25</v>
      </c>
      <c r="H1653" s="4" t="s">
        <v>37</v>
      </c>
      <c r="I1653" s="5">
        <v>44409</v>
      </c>
      <c r="J1653" s="6">
        <v>0</v>
      </c>
      <c r="K1653" s="6">
        <v>0</v>
      </c>
      <c r="L1653" s="6">
        <v>3.605</v>
      </c>
      <c r="M1653" s="6">
        <v>3.605</v>
      </c>
      <c r="N1653" s="6">
        <v>3.605</v>
      </c>
      <c r="O1653" s="6">
        <v>3.605</v>
      </c>
      <c r="P1653" s="6">
        <v>0</v>
      </c>
      <c r="Q1653" s="4" t="s">
        <v>26</v>
      </c>
      <c r="R1653" s="4">
        <v>0</v>
      </c>
      <c r="S1653" s="4" t="s">
        <v>257</v>
      </c>
      <c r="T1653" s="4" t="s">
        <v>494</v>
      </c>
      <c r="U1653" s="4">
        <v>0</v>
      </c>
      <c r="V1653" s="4">
        <v>18</v>
      </c>
      <c r="W1653" s="4">
        <v>62</v>
      </c>
    </row>
    <row r="1654" spans="1:23" ht="11.25" customHeight="1" x14ac:dyDescent="0.25">
      <c r="A1654" s="4" t="s">
        <v>28</v>
      </c>
      <c r="B1654" s="4" t="s">
        <v>22</v>
      </c>
      <c r="C1654" s="4" t="s">
        <v>39</v>
      </c>
      <c r="D1654" s="4" t="s">
        <v>24</v>
      </c>
      <c r="E1654" s="4" t="s">
        <v>24</v>
      </c>
      <c r="F1654" s="4" t="s">
        <v>25</v>
      </c>
      <c r="G1654" s="4" t="s">
        <v>25</v>
      </c>
      <c r="H1654" s="4" t="s">
        <v>37</v>
      </c>
      <c r="I1654" s="5">
        <v>44409</v>
      </c>
      <c r="J1654" s="6">
        <v>0</v>
      </c>
      <c r="K1654" s="6">
        <v>0</v>
      </c>
      <c r="L1654" s="6">
        <v>1.2110000000000001</v>
      </c>
      <c r="M1654" s="6">
        <v>1.2110000000000001</v>
      </c>
      <c r="N1654" s="6">
        <v>1.2110000000000001</v>
      </c>
      <c r="O1654" s="6">
        <v>1.2110000000000001</v>
      </c>
      <c r="P1654" s="6">
        <v>0</v>
      </c>
      <c r="Q1654" s="4" t="s">
        <v>26</v>
      </c>
      <c r="R1654" s="4">
        <v>0</v>
      </c>
      <c r="S1654" s="4" t="s">
        <v>257</v>
      </c>
      <c r="T1654" s="4" t="s">
        <v>494</v>
      </c>
      <c r="U1654" s="4">
        <v>0</v>
      </c>
      <c r="V1654" s="4">
        <v>18</v>
      </c>
      <c r="W1654" s="4">
        <v>62</v>
      </c>
    </row>
    <row r="1655" spans="1:23" ht="11.25" customHeight="1" x14ac:dyDescent="0.25">
      <c r="A1655" s="4" t="s">
        <v>30</v>
      </c>
      <c r="B1655" s="4" t="s">
        <v>22</v>
      </c>
      <c r="C1655" s="4" t="s">
        <v>39</v>
      </c>
      <c r="D1655" s="4" t="s">
        <v>24</v>
      </c>
      <c r="E1655" s="4" t="s">
        <v>24</v>
      </c>
      <c r="F1655" s="4" t="s">
        <v>25</v>
      </c>
      <c r="G1655" s="4" t="s">
        <v>25</v>
      </c>
      <c r="H1655" s="4" t="s">
        <v>37</v>
      </c>
      <c r="I1655" s="5">
        <v>44409</v>
      </c>
      <c r="J1655" s="6">
        <v>0</v>
      </c>
      <c r="K1655" s="6">
        <v>0</v>
      </c>
      <c r="L1655" s="6">
        <v>0.19900000000000001</v>
      </c>
      <c r="M1655" s="6">
        <v>0.19900000000000001</v>
      </c>
      <c r="N1655" s="6">
        <v>0.19900000000000001</v>
      </c>
      <c r="O1655" s="6">
        <v>0.19900000000000001</v>
      </c>
      <c r="P1655" s="6">
        <v>0</v>
      </c>
      <c r="Q1655" s="4" t="s">
        <v>26</v>
      </c>
      <c r="R1655" s="4">
        <v>0</v>
      </c>
      <c r="S1655" s="4" t="s">
        <v>257</v>
      </c>
      <c r="T1655" s="4" t="s">
        <v>494</v>
      </c>
      <c r="U1655" s="4">
        <v>0</v>
      </c>
      <c r="V1655" s="4">
        <v>18</v>
      </c>
      <c r="W1655" s="4">
        <v>62</v>
      </c>
    </row>
    <row r="1656" spans="1:23" ht="11.25" customHeight="1" x14ac:dyDescent="0.25">
      <c r="A1656" s="4" t="s">
        <v>21</v>
      </c>
      <c r="B1656" s="4" t="s">
        <v>22</v>
      </c>
      <c r="C1656" s="4" t="s">
        <v>39</v>
      </c>
      <c r="D1656" s="4" t="s">
        <v>24</v>
      </c>
      <c r="E1656" s="4" t="s">
        <v>24</v>
      </c>
      <c r="F1656" s="4" t="s">
        <v>25</v>
      </c>
      <c r="G1656" s="4" t="s">
        <v>25</v>
      </c>
      <c r="H1656" s="4" t="s">
        <v>37</v>
      </c>
      <c r="I1656" s="5">
        <v>44440</v>
      </c>
      <c r="J1656" s="6">
        <v>0</v>
      </c>
      <c r="K1656" s="6">
        <v>0</v>
      </c>
      <c r="L1656" s="6">
        <v>3.4420000000000002</v>
      </c>
      <c r="M1656" s="6">
        <v>3.4420000000000002</v>
      </c>
      <c r="N1656" s="6">
        <v>3.4420000000000002</v>
      </c>
      <c r="O1656" s="6">
        <v>3.4420000000000002</v>
      </c>
      <c r="P1656" s="6">
        <v>0</v>
      </c>
      <c r="Q1656" s="4" t="s">
        <v>26</v>
      </c>
      <c r="R1656" s="4">
        <v>0</v>
      </c>
      <c r="S1656" s="4" t="s">
        <v>258</v>
      </c>
      <c r="T1656" s="4" t="s">
        <v>495</v>
      </c>
      <c r="U1656" s="4">
        <v>0</v>
      </c>
      <c r="V1656" s="4">
        <v>18</v>
      </c>
      <c r="W1656" s="4">
        <v>62</v>
      </c>
    </row>
    <row r="1657" spans="1:23" ht="11.25" customHeight="1" x14ac:dyDescent="0.25">
      <c r="A1657" s="4" t="s">
        <v>27</v>
      </c>
      <c r="B1657" s="4" t="s">
        <v>22</v>
      </c>
      <c r="C1657" s="4" t="s">
        <v>39</v>
      </c>
      <c r="D1657" s="4" t="s">
        <v>24</v>
      </c>
      <c r="E1657" s="4" t="s">
        <v>24</v>
      </c>
      <c r="F1657" s="4" t="s">
        <v>25</v>
      </c>
      <c r="G1657" s="4" t="s">
        <v>25</v>
      </c>
      <c r="H1657" s="4" t="s">
        <v>37</v>
      </c>
      <c r="I1657" s="5">
        <v>44440</v>
      </c>
      <c r="J1657" s="6">
        <v>0</v>
      </c>
      <c r="K1657" s="6">
        <v>0</v>
      </c>
      <c r="L1657" s="6">
        <v>5.5E-2</v>
      </c>
      <c r="M1657" s="6">
        <v>5.5E-2</v>
      </c>
      <c r="N1657" s="6">
        <v>5.5E-2</v>
      </c>
      <c r="O1657" s="6">
        <v>5.5E-2</v>
      </c>
      <c r="P1657" s="6">
        <v>0</v>
      </c>
      <c r="Q1657" s="4" t="s">
        <v>26</v>
      </c>
      <c r="R1657" s="4">
        <v>0</v>
      </c>
      <c r="S1657" s="4" t="s">
        <v>258</v>
      </c>
      <c r="T1657" s="4" t="s">
        <v>495</v>
      </c>
      <c r="U1657" s="4">
        <v>0</v>
      </c>
      <c r="V1657" s="4">
        <v>18</v>
      </c>
      <c r="W1657" s="4">
        <v>62</v>
      </c>
    </row>
    <row r="1658" spans="1:23" ht="11.25" customHeight="1" x14ac:dyDescent="0.25">
      <c r="A1658" s="4" t="s">
        <v>28</v>
      </c>
      <c r="B1658" s="4" t="s">
        <v>22</v>
      </c>
      <c r="C1658" s="4" t="s">
        <v>39</v>
      </c>
      <c r="D1658" s="4" t="s">
        <v>24</v>
      </c>
      <c r="E1658" s="4" t="s">
        <v>24</v>
      </c>
      <c r="F1658" s="4" t="s">
        <v>25</v>
      </c>
      <c r="G1658" s="4" t="s">
        <v>25</v>
      </c>
      <c r="H1658" s="4" t="s">
        <v>37</v>
      </c>
      <c r="I1658" s="5">
        <v>44440</v>
      </c>
      <c r="J1658" s="6">
        <v>0</v>
      </c>
      <c r="K1658" s="6">
        <v>0</v>
      </c>
      <c r="L1658" s="6">
        <v>0.26900000000000002</v>
      </c>
      <c r="M1658" s="6">
        <v>0.26900000000000002</v>
      </c>
      <c r="N1658" s="6">
        <v>0.26900000000000002</v>
      </c>
      <c r="O1658" s="6">
        <v>0.26900000000000002</v>
      </c>
      <c r="P1658" s="6">
        <v>0</v>
      </c>
      <c r="Q1658" s="4" t="s">
        <v>26</v>
      </c>
      <c r="R1658" s="4">
        <v>0</v>
      </c>
      <c r="S1658" s="4" t="s">
        <v>258</v>
      </c>
      <c r="T1658" s="4" t="s">
        <v>495</v>
      </c>
      <c r="U1658" s="4">
        <v>0</v>
      </c>
      <c r="V1658" s="4">
        <v>18</v>
      </c>
      <c r="W1658" s="4">
        <v>62</v>
      </c>
    </row>
    <row r="1659" spans="1:23" ht="11.25" customHeight="1" x14ac:dyDescent="0.25">
      <c r="A1659" s="4" t="s">
        <v>29</v>
      </c>
      <c r="B1659" s="4" t="s">
        <v>22</v>
      </c>
      <c r="C1659" s="4" t="s">
        <v>39</v>
      </c>
      <c r="D1659" s="4" t="s">
        <v>24</v>
      </c>
      <c r="E1659" s="4" t="s">
        <v>24</v>
      </c>
      <c r="F1659" s="4" t="s">
        <v>25</v>
      </c>
      <c r="G1659" s="4" t="s">
        <v>25</v>
      </c>
      <c r="H1659" s="4" t="s">
        <v>37</v>
      </c>
      <c r="I1659" s="5">
        <v>44440</v>
      </c>
      <c r="J1659" s="6">
        <v>0</v>
      </c>
      <c r="K1659" s="6">
        <v>0</v>
      </c>
      <c r="L1659" s="6">
        <v>-0.94799999999999995</v>
      </c>
      <c r="M1659" s="6">
        <v>-0.94799999999999995</v>
      </c>
      <c r="N1659" s="6">
        <v>-0.94799999999999995</v>
      </c>
      <c r="O1659" s="6">
        <v>-0.94799999999999995</v>
      </c>
      <c r="P1659" s="6">
        <v>0</v>
      </c>
      <c r="Q1659" s="4" t="s">
        <v>26</v>
      </c>
      <c r="R1659" s="4">
        <v>0</v>
      </c>
      <c r="S1659" s="4" t="s">
        <v>258</v>
      </c>
      <c r="T1659" s="4" t="s">
        <v>495</v>
      </c>
      <c r="U1659" s="4">
        <v>0</v>
      </c>
      <c r="V1659" s="4">
        <v>18</v>
      </c>
      <c r="W1659" s="4">
        <v>62</v>
      </c>
    </row>
    <row r="1660" spans="1:23" ht="11.25" customHeight="1" x14ac:dyDescent="0.25">
      <c r="A1660" s="4" t="s">
        <v>30</v>
      </c>
      <c r="B1660" s="4" t="s">
        <v>22</v>
      </c>
      <c r="C1660" s="4" t="s">
        <v>39</v>
      </c>
      <c r="D1660" s="4" t="s">
        <v>24</v>
      </c>
      <c r="E1660" s="4" t="s">
        <v>24</v>
      </c>
      <c r="F1660" s="4" t="s">
        <v>25</v>
      </c>
      <c r="G1660" s="4" t="s">
        <v>25</v>
      </c>
      <c r="H1660" s="4" t="s">
        <v>37</v>
      </c>
      <c r="I1660" s="5">
        <v>44440</v>
      </c>
      <c r="J1660" s="6">
        <v>0</v>
      </c>
      <c r="K1660" s="6">
        <v>0</v>
      </c>
      <c r="L1660" s="6">
        <v>0.18099999999999999</v>
      </c>
      <c r="M1660" s="6">
        <v>0.18099999999999999</v>
      </c>
      <c r="N1660" s="6">
        <v>0.18099999999999999</v>
      </c>
      <c r="O1660" s="6">
        <v>0.18099999999999999</v>
      </c>
      <c r="P1660" s="6">
        <v>0</v>
      </c>
      <c r="Q1660" s="4" t="s">
        <v>26</v>
      </c>
      <c r="R1660" s="4">
        <v>0</v>
      </c>
      <c r="S1660" s="4" t="s">
        <v>258</v>
      </c>
      <c r="T1660" s="4" t="s">
        <v>495</v>
      </c>
      <c r="U1660" s="4">
        <v>0</v>
      </c>
      <c r="V1660" s="4">
        <v>18</v>
      </c>
      <c r="W1660" s="4">
        <v>62</v>
      </c>
    </row>
    <row r="1661" spans="1:23" ht="11.25" customHeight="1" x14ac:dyDescent="0.25">
      <c r="A1661" s="4" t="s">
        <v>59</v>
      </c>
      <c r="B1661" s="4" t="s">
        <v>22</v>
      </c>
      <c r="C1661" s="4" t="s">
        <v>39</v>
      </c>
      <c r="D1661" s="4" t="s">
        <v>24</v>
      </c>
      <c r="E1661" s="4" t="s">
        <v>24</v>
      </c>
      <c r="F1661" s="4" t="s">
        <v>25</v>
      </c>
      <c r="G1661" s="4" t="s">
        <v>25</v>
      </c>
      <c r="H1661" s="4" t="s">
        <v>37</v>
      </c>
      <c r="I1661" s="5">
        <v>44470</v>
      </c>
      <c r="J1661" s="6">
        <v>0</v>
      </c>
      <c r="K1661" s="6">
        <v>0</v>
      </c>
      <c r="L1661" s="6">
        <v>3.4420000000000002</v>
      </c>
      <c r="M1661" s="6">
        <v>3.4420000000000002</v>
      </c>
      <c r="N1661" s="6">
        <v>3.4420000000000002</v>
      </c>
      <c r="O1661" s="6">
        <v>3.4420000000000002</v>
      </c>
      <c r="P1661" s="6">
        <v>0</v>
      </c>
      <c r="Q1661" s="4" t="s">
        <v>26</v>
      </c>
      <c r="R1661" s="4">
        <v>0</v>
      </c>
      <c r="S1661" s="4" t="s">
        <v>259</v>
      </c>
      <c r="T1661" s="4" t="s">
        <v>496</v>
      </c>
      <c r="U1661" s="4">
        <v>0</v>
      </c>
      <c r="V1661" s="4">
        <v>18</v>
      </c>
      <c r="W1661" s="4">
        <v>62</v>
      </c>
    </row>
    <row r="1662" spans="1:23" ht="11.25" customHeight="1" x14ac:dyDescent="0.25">
      <c r="A1662" s="4" t="s">
        <v>59</v>
      </c>
      <c r="B1662" s="4" t="s">
        <v>22</v>
      </c>
      <c r="C1662" s="4" t="s">
        <v>39</v>
      </c>
      <c r="D1662" s="4" t="s">
        <v>24</v>
      </c>
      <c r="E1662" s="4" t="s">
        <v>24</v>
      </c>
      <c r="F1662" s="4" t="s">
        <v>25</v>
      </c>
      <c r="G1662" s="4" t="s">
        <v>25</v>
      </c>
      <c r="H1662" s="4" t="s">
        <v>37</v>
      </c>
      <c r="I1662" s="5">
        <v>44470</v>
      </c>
      <c r="J1662" s="6">
        <v>0</v>
      </c>
      <c r="K1662" s="6">
        <v>0</v>
      </c>
      <c r="L1662" s="6">
        <v>5.5E-2</v>
      </c>
      <c r="M1662" s="6">
        <v>5.5E-2</v>
      </c>
      <c r="N1662" s="6">
        <v>5.5E-2</v>
      </c>
      <c r="O1662" s="6">
        <v>5.5E-2</v>
      </c>
      <c r="P1662" s="6">
        <v>0</v>
      </c>
      <c r="Q1662" s="4" t="s">
        <v>26</v>
      </c>
      <c r="R1662" s="4">
        <v>0</v>
      </c>
      <c r="S1662" s="4" t="s">
        <v>259</v>
      </c>
      <c r="T1662" s="4" t="s">
        <v>496</v>
      </c>
      <c r="U1662" s="4">
        <v>0</v>
      </c>
      <c r="V1662" s="4">
        <v>18</v>
      </c>
      <c r="W1662" s="4">
        <v>62</v>
      </c>
    </row>
    <row r="1663" spans="1:23" ht="11.25" customHeight="1" x14ac:dyDescent="0.25">
      <c r="A1663" s="4" t="s">
        <v>59</v>
      </c>
      <c r="B1663" s="4" t="s">
        <v>22</v>
      </c>
      <c r="C1663" s="4" t="s">
        <v>39</v>
      </c>
      <c r="D1663" s="4" t="s">
        <v>24</v>
      </c>
      <c r="E1663" s="4" t="s">
        <v>24</v>
      </c>
      <c r="F1663" s="4" t="s">
        <v>25</v>
      </c>
      <c r="G1663" s="4" t="s">
        <v>25</v>
      </c>
      <c r="H1663" s="4" t="s">
        <v>37</v>
      </c>
      <c r="I1663" s="5">
        <v>44470</v>
      </c>
      <c r="J1663" s="6">
        <v>0</v>
      </c>
      <c r="K1663" s="6">
        <v>0</v>
      </c>
      <c r="L1663" s="6">
        <v>0.26900000000000002</v>
      </c>
      <c r="M1663" s="6">
        <v>0.26900000000000002</v>
      </c>
      <c r="N1663" s="6">
        <v>0.26900000000000002</v>
      </c>
      <c r="O1663" s="6">
        <v>0.26900000000000002</v>
      </c>
      <c r="P1663" s="6">
        <v>0</v>
      </c>
      <c r="Q1663" s="4" t="s">
        <v>26</v>
      </c>
      <c r="R1663" s="4">
        <v>0</v>
      </c>
      <c r="S1663" s="4" t="s">
        <v>259</v>
      </c>
      <c r="T1663" s="4" t="s">
        <v>496</v>
      </c>
      <c r="U1663" s="4">
        <v>0</v>
      </c>
      <c r="V1663" s="4">
        <v>18</v>
      </c>
      <c r="W1663" s="4">
        <v>62</v>
      </c>
    </row>
    <row r="1664" spans="1:23" ht="11.25" customHeight="1" x14ac:dyDescent="0.25">
      <c r="A1664" s="4" t="s">
        <v>59</v>
      </c>
      <c r="B1664" s="4" t="s">
        <v>22</v>
      </c>
      <c r="C1664" s="4" t="s">
        <v>39</v>
      </c>
      <c r="D1664" s="4" t="s">
        <v>24</v>
      </c>
      <c r="E1664" s="4" t="s">
        <v>24</v>
      </c>
      <c r="F1664" s="4" t="s">
        <v>25</v>
      </c>
      <c r="G1664" s="4" t="s">
        <v>25</v>
      </c>
      <c r="H1664" s="4" t="s">
        <v>37</v>
      </c>
      <c r="I1664" s="5">
        <v>44470</v>
      </c>
      <c r="J1664" s="6">
        <v>0</v>
      </c>
      <c r="K1664" s="6">
        <v>0</v>
      </c>
      <c r="L1664" s="6">
        <v>-0.94799999999999995</v>
      </c>
      <c r="M1664" s="6">
        <v>-0.94799999999999995</v>
      </c>
      <c r="N1664" s="6">
        <v>-0.94799999999999995</v>
      </c>
      <c r="O1664" s="6">
        <v>-0.94799999999999995</v>
      </c>
      <c r="P1664" s="6">
        <v>0</v>
      </c>
      <c r="Q1664" s="4" t="s">
        <v>26</v>
      </c>
      <c r="R1664" s="4">
        <v>0</v>
      </c>
      <c r="S1664" s="4" t="s">
        <v>259</v>
      </c>
      <c r="T1664" s="4" t="s">
        <v>496</v>
      </c>
      <c r="U1664" s="4">
        <v>0</v>
      </c>
      <c r="V1664" s="4">
        <v>18</v>
      </c>
      <c r="W1664" s="4">
        <v>62</v>
      </c>
    </row>
    <row r="1665" spans="1:23" ht="11.25" customHeight="1" x14ac:dyDescent="0.25">
      <c r="A1665" s="4" t="s">
        <v>59</v>
      </c>
      <c r="B1665" s="4" t="s">
        <v>22</v>
      </c>
      <c r="C1665" s="4" t="s">
        <v>39</v>
      </c>
      <c r="D1665" s="4" t="s">
        <v>24</v>
      </c>
      <c r="E1665" s="4" t="s">
        <v>24</v>
      </c>
      <c r="F1665" s="4" t="s">
        <v>25</v>
      </c>
      <c r="G1665" s="4" t="s">
        <v>25</v>
      </c>
      <c r="H1665" s="4" t="s">
        <v>37</v>
      </c>
      <c r="I1665" s="5">
        <v>44470</v>
      </c>
      <c r="J1665" s="6">
        <v>0</v>
      </c>
      <c r="K1665" s="6">
        <v>0</v>
      </c>
      <c r="L1665" s="6">
        <v>0.18099999999999999</v>
      </c>
      <c r="M1665" s="6">
        <v>0.18099999999999999</v>
      </c>
      <c r="N1665" s="6">
        <v>0.18099999999999999</v>
      </c>
      <c r="O1665" s="6">
        <v>0.18099999999999999</v>
      </c>
      <c r="P1665" s="6">
        <v>0</v>
      </c>
      <c r="Q1665" s="4" t="s">
        <v>26</v>
      </c>
      <c r="R1665" s="4">
        <v>0</v>
      </c>
      <c r="S1665" s="4" t="s">
        <v>259</v>
      </c>
      <c r="T1665" s="4" t="s">
        <v>496</v>
      </c>
      <c r="U1665" s="4">
        <v>0</v>
      </c>
      <c r="V1665" s="4">
        <v>18</v>
      </c>
      <c r="W1665" s="4">
        <v>62</v>
      </c>
    </row>
    <row r="1666" spans="1:23" ht="11.25" customHeight="1" x14ac:dyDescent="0.25">
      <c r="A1666" s="4" t="s">
        <v>21</v>
      </c>
      <c r="B1666" s="4" t="s">
        <v>22</v>
      </c>
      <c r="C1666" s="4" t="s">
        <v>23</v>
      </c>
      <c r="D1666" s="4" t="s">
        <v>24</v>
      </c>
      <c r="E1666" s="4" t="s">
        <v>24</v>
      </c>
      <c r="F1666" s="4" t="s">
        <v>25</v>
      </c>
      <c r="G1666" s="4" t="s">
        <v>25</v>
      </c>
      <c r="H1666" s="4" t="s">
        <v>25</v>
      </c>
      <c r="I1666" s="5">
        <v>44136</v>
      </c>
      <c r="J1666" s="6">
        <v>0</v>
      </c>
      <c r="K1666" s="6">
        <v>0</v>
      </c>
      <c r="L1666" s="6">
        <v>126656.876</v>
      </c>
      <c r="M1666" s="6">
        <v>126656.876</v>
      </c>
      <c r="N1666" s="6">
        <v>126656.876</v>
      </c>
      <c r="O1666" s="6">
        <v>126656.876</v>
      </c>
      <c r="P1666" s="6">
        <v>519289</v>
      </c>
      <c r="Q1666" s="4" t="s">
        <v>26</v>
      </c>
      <c r="R1666" s="4">
        <v>0</v>
      </c>
      <c r="S1666" s="4" t="s">
        <v>260</v>
      </c>
      <c r="T1666" s="4" t="s">
        <v>497</v>
      </c>
      <c r="U1666" s="4">
        <v>0</v>
      </c>
      <c r="V1666" s="4">
        <v>13</v>
      </c>
      <c r="W1666" s="4">
        <v>58</v>
      </c>
    </row>
    <row r="1667" spans="1:23" ht="11.25" customHeight="1" x14ac:dyDescent="0.25">
      <c r="A1667" s="4" t="s">
        <v>27</v>
      </c>
      <c r="B1667" s="4" t="s">
        <v>22</v>
      </c>
      <c r="C1667" s="4" t="s">
        <v>23</v>
      </c>
      <c r="D1667" s="4" t="s">
        <v>24</v>
      </c>
      <c r="E1667" s="4" t="s">
        <v>24</v>
      </c>
      <c r="F1667" s="4" t="s">
        <v>25</v>
      </c>
      <c r="G1667" s="4" t="s">
        <v>25</v>
      </c>
      <c r="H1667" s="4" t="s">
        <v>25</v>
      </c>
      <c r="I1667" s="5">
        <v>44136</v>
      </c>
      <c r="J1667" s="6">
        <v>0</v>
      </c>
      <c r="K1667" s="6">
        <v>0</v>
      </c>
      <c r="L1667" s="6">
        <v>-3482.66</v>
      </c>
      <c r="M1667" s="6">
        <v>-3482.66</v>
      </c>
      <c r="N1667" s="6">
        <v>-3482.66</v>
      </c>
      <c r="O1667" s="6">
        <v>-3482.66</v>
      </c>
      <c r="P1667" s="6">
        <v>-808</v>
      </c>
      <c r="Q1667" s="4" t="s">
        <v>26</v>
      </c>
      <c r="R1667" s="4">
        <v>0</v>
      </c>
      <c r="S1667" s="4" t="s">
        <v>260</v>
      </c>
      <c r="T1667" s="4" t="s">
        <v>497</v>
      </c>
      <c r="U1667" s="4">
        <v>0</v>
      </c>
      <c r="V1667" s="4">
        <v>13</v>
      </c>
      <c r="W1667" s="4">
        <v>58</v>
      </c>
    </row>
    <row r="1668" spans="1:23" ht="11.25" customHeight="1" x14ac:dyDescent="0.25">
      <c r="A1668" s="4" t="s">
        <v>28</v>
      </c>
      <c r="B1668" s="4" t="s">
        <v>22</v>
      </c>
      <c r="C1668" s="4" t="s">
        <v>23</v>
      </c>
      <c r="D1668" s="4" t="s">
        <v>24</v>
      </c>
      <c r="E1668" s="4" t="s">
        <v>24</v>
      </c>
      <c r="F1668" s="4" t="s">
        <v>25</v>
      </c>
      <c r="G1668" s="4" t="s">
        <v>25</v>
      </c>
      <c r="H1668" s="4" t="s">
        <v>25</v>
      </c>
      <c r="I1668" s="5">
        <v>44136</v>
      </c>
      <c r="J1668" s="6">
        <v>0</v>
      </c>
      <c r="K1668" s="6">
        <v>0</v>
      </c>
      <c r="L1668" s="6">
        <v>35463.578000000001</v>
      </c>
      <c r="M1668" s="6">
        <v>35463.578000000001</v>
      </c>
      <c r="N1668" s="6">
        <v>35463.578000000001</v>
      </c>
      <c r="O1668" s="6">
        <v>35463.578000000001</v>
      </c>
      <c r="P1668" s="6">
        <v>192226</v>
      </c>
      <c r="Q1668" s="4" t="s">
        <v>26</v>
      </c>
      <c r="R1668" s="4">
        <v>0</v>
      </c>
      <c r="S1668" s="4" t="s">
        <v>260</v>
      </c>
      <c r="T1668" s="4" t="s">
        <v>497</v>
      </c>
      <c r="U1668" s="4">
        <v>0</v>
      </c>
      <c r="V1668" s="4">
        <v>13</v>
      </c>
      <c r="W1668" s="4">
        <v>58</v>
      </c>
    </row>
    <row r="1669" spans="1:23" ht="11.25" customHeight="1" x14ac:dyDescent="0.25">
      <c r="A1669" s="4" t="s">
        <v>29</v>
      </c>
      <c r="B1669" s="4" t="s">
        <v>22</v>
      </c>
      <c r="C1669" s="4" t="s">
        <v>23</v>
      </c>
      <c r="D1669" s="4" t="s">
        <v>24</v>
      </c>
      <c r="E1669" s="4" t="s">
        <v>24</v>
      </c>
      <c r="F1669" s="4" t="s">
        <v>25</v>
      </c>
      <c r="G1669" s="4" t="s">
        <v>25</v>
      </c>
      <c r="H1669" s="4" t="s">
        <v>25</v>
      </c>
      <c r="I1669" s="5">
        <v>44136</v>
      </c>
      <c r="J1669" s="6">
        <v>0</v>
      </c>
      <c r="K1669" s="6">
        <v>0</v>
      </c>
      <c r="L1669" s="6">
        <v>-191.04499999999999</v>
      </c>
      <c r="M1669" s="6">
        <v>-191.04499999999999</v>
      </c>
      <c r="N1669" s="6">
        <v>-191.04499999999999</v>
      </c>
      <c r="O1669" s="6">
        <v>-191.04499999999999</v>
      </c>
      <c r="P1669" s="6">
        <v>-184</v>
      </c>
      <c r="Q1669" s="4" t="s">
        <v>26</v>
      </c>
      <c r="R1669" s="4">
        <v>0</v>
      </c>
      <c r="S1669" s="4" t="s">
        <v>260</v>
      </c>
      <c r="T1669" s="4" t="s">
        <v>497</v>
      </c>
      <c r="U1669" s="4">
        <v>0</v>
      </c>
      <c r="V1669" s="4">
        <v>13</v>
      </c>
      <c r="W1669" s="4">
        <v>58</v>
      </c>
    </row>
    <row r="1670" spans="1:23" ht="11.25" customHeight="1" x14ac:dyDescent="0.25">
      <c r="A1670" s="4" t="s">
        <v>30</v>
      </c>
      <c r="B1670" s="4" t="s">
        <v>22</v>
      </c>
      <c r="C1670" s="4" t="s">
        <v>23</v>
      </c>
      <c r="D1670" s="4" t="s">
        <v>24</v>
      </c>
      <c r="E1670" s="4" t="s">
        <v>24</v>
      </c>
      <c r="F1670" s="4" t="s">
        <v>25</v>
      </c>
      <c r="G1670" s="4" t="s">
        <v>25</v>
      </c>
      <c r="H1670" s="4" t="s">
        <v>25</v>
      </c>
      <c r="I1670" s="5">
        <v>44136</v>
      </c>
      <c r="J1670" s="6">
        <v>0</v>
      </c>
      <c r="K1670" s="6">
        <v>0</v>
      </c>
      <c r="L1670" s="6">
        <v>1078.807</v>
      </c>
      <c r="M1670" s="6">
        <v>1078.807</v>
      </c>
      <c r="N1670" s="6">
        <v>1078.807</v>
      </c>
      <c r="O1670" s="6">
        <v>1078.807</v>
      </c>
      <c r="P1670" s="6">
        <v>1344</v>
      </c>
      <c r="Q1670" s="4" t="s">
        <v>26</v>
      </c>
      <c r="R1670" s="4">
        <v>0</v>
      </c>
      <c r="S1670" s="4" t="s">
        <v>260</v>
      </c>
      <c r="T1670" s="4" t="s">
        <v>497</v>
      </c>
      <c r="U1670" s="4">
        <v>0</v>
      </c>
      <c r="V1670" s="4">
        <v>13</v>
      </c>
      <c r="W1670" s="4">
        <v>58</v>
      </c>
    </row>
    <row r="1671" spans="1:23" ht="11.25" customHeight="1" x14ac:dyDescent="0.25">
      <c r="A1671" s="4" t="s">
        <v>30</v>
      </c>
      <c r="B1671" s="4" t="s">
        <v>22</v>
      </c>
      <c r="C1671" s="4" t="s">
        <v>23</v>
      </c>
      <c r="D1671" s="4" t="s">
        <v>24</v>
      </c>
      <c r="E1671" s="4" t="s">
        <v>24</v>
      </c>
      <c r="F1671" s="4" t="s">
        <v>25</v>
      </c>
      <c r="G1671" s="4" t="s">
        <v>25</v>
      </c>
      <c r="H1671" s="4" t="s">
        <v>25</v>
      </c>
      <c r="I1671" s="5">
        <v>44136</v>
      </c>
      <c r="J1671" s="6">
        <v>0</v>
      </c>
      <c r="K1671" s="6">
        <v>0</v>
      </c>
      <c r="L1671" s="6">
        <v>1.1519999999999999</v>
      </c>
      <c r="M1671" s="6">
        <v>1.1519999999999999</v>
      </c>
      <c r="N1671" s="6">
        <v>1.1519999999999999</v>
      </c>
      <c r="O1671" s="6">
        <v>1.1519999999999999</v>
      </c>
      <c r="P1671" s="6">
        <v>2</v>
      </c>
      <c r="Q1671" s="4" t="s">
        <v>26</v>
      </c>
      <c r="R1671" s="4">
        <v>0</v>
      </c>
      <c r="S1671" s="4" t="s">
        <v>260</v>
      </c>
      <c r="T1671" s="4" t="s">
        <v>497</v>
      </c>
      <c r="U1671" s="4">
        <v>0</v>
      </c>
      <c r="V1671" s="4">
        <v>13</v>
      </c>
      <c r="W1671" s="4">
        <v>58</v>
      </c>
    </row>
    <row r="1672" spans="1:23" ht="11.25" customHeight="1" x14ac:dyDescent="0.25">
      <c r="A1672" s="4" t="s">
        <v>21</v>
      </c>
      <c r="B1672" s="4" t="s">
        <v>22</v>
      </c>
      <c r="C1672" s="4" t="s">
        <v>23</v>
      </c>
      <c r="D1672" s="4" t="s">
        <v>24</v>
      </c>
      <c r="E1672" s="4" t="s">
        <v>24</v>
      </c>
      <c r="F1672" s="4" t="s">
        <v>25</v>
      </c>
      <c r="G1672" s="4" t="s">
        <v>25</v>
      </c>
      <c r="H1672" s="4" t="s">
        <v>25</v>
      </c>
      <c r="I1672" s="5">
        <v>44166</v>
      </c>
      <c r="J1672" s="6">
        <v>0</v>
      </c>
      <c r="K1672" s="6">
        <v>0</v>
      </c>
      <c r="L1672" s="6">
        <v>113730.001</v>
      </c>
      <c r="M1672" s="6">
        <v>113730.001</v>
      </c>
      <c r="N1672" s="6">
        <v>113730.001</v>
      </c>
      <c r="O1672" s="6">
        <v>113730.001</v>
      </c>
      <c r="P1672" s="6">
        <v>507085</v>
      </c>
      <c r="Q1672" s="4" t="s">
        <v>26</v>
      </c>
      <c r="R1672" s="4">
        <v>0</v>
      </c>
      <c r="S1672" s="4" t="s">
        <v>261</v>
      </c>
      <c r="T1672" s="4" t="s">
        <v>498</v>
      </c>
      <c r="U1672" s="4">
        <v>0</v>
      </c>
      <c r="V1672" s="4">
        <v>13</v>
      </c>
      <c r="W1672" s="4">
        <v>58</v>
      </c>
    </row>
    <row r="1673" spans="1:23" ht="11.25" customHeight="1" x14ac:dyDescent="0.25">
      <c r="A1673" s="4" t="s">
        <v>27</v>
      </c>
      <c r="B1673" s="4" t="s">
        <v>22</v>
      </c>
      <c r="C1673" s="4" t="s">
        <v>23</v>
      </c>
      <c r="D1673" s="4" t="s">
        <v>24</v>
      </c>
      <c r="E1673" s="4" t="s">
        <v>24</v>
      </c>
      <c r="F1673" s="4" t="s">
        <v>25</v>
      </c>
      <c r="G1673" s="4" t="s">
        <v>25</v>
      </c>
      <c r="H1673" s="4" t="s">
        <v>25</v>
      </c>
      <c r="I1673" s="5">
        <v>44166</v>
      </c>
      <c r="J1673" s="6">
        <v>0</v>
      </c>
      <c r="K1673" s="6">
        <v>0</v>
      </c>
      <c r="L1673" s="6">
        <v>-3118.55</v>
      </c>
      <c r="M1673" s="6">
        <v>-3118.55</v>
      </c>
      <c r="N1673" s="6">
        <v>-3118.55</v>
      </c>
      <c r="O1673" s="6">
        <v>-3118.55</v>
      </c>
      <c r="P1673" s="6">
        <v>0</v>
      </c>
      <c r="Q1673" s="4" t="s">
        <v>26</v>
      </c>
      <c r="R1673" s="4">
        <v>0</v>
      </c>
      <c r="S1673" s="4" t="s">
        <v>261</v>
      </c>
      <c r="T1673" s="4" t="s">
        <v>498</v>
      </c>
      <c r="U1673" s="4">
        <v>0</v>
      </c>
      <c r="V1673" s="4">
        <v>13</v>
      </c>
      <c r="W1673" s="4">
        <v>58</v>
      </c>
    </row>
    <row r="1674" spans="1:23" ht="11.25" customHeight="1" x14ac:dyDescent="0.25">
      <c r="A1674" s="4" t="s">
        <v>28</v>
      </c>
      <c r="B1674" s="4" t="s">
        <v>22</v>
      </c>
      <c r="C1674" s="4" t="s">
        <v>23</v>
      </c>
      <c r="D1674" s="4" t="s">
        <v>24</v>
      </c>
      <c r="E1674" s="4" t="s">
        <v>24</v>
      </c>
      <c r="F1674" s="4" t="s">
        <v>25</v>
      </c>
      <c r="G1674" s="4" t="s">
        <v>25</v>
      </c>
      <c r="H1674" s="4" t="s">
        <v>25</v>
      </c>
      <c r="I1674" s="5">
        <v>44166</v>
      </c>
      <c r="J1674" s="6">
        <v>0</v>
      </c>
      <c r="K1674" s="6">
        <v>0</v>
      </c>
      <c r="L1674" s="6">
        <v>33189.286999999997</v>
      </c>
      <c r="M1674" s="6">
        <v>33189.286999999997</v>
      </c>
      <c r="N1674" s="6">
        <v>33189.286999999997</v>
      </c>
      <c r="O1674" s="6">
        <v>33189.286999999997</v>
      </c>
      <c r="P1674" s="6">
        <v>184126</v>
      </c>
      <c r="Q1674" s="4" t="s">
        <v>26</v>
      </c>
      <c r="R1674" s="4">
        <v>0</v>
      </c>
      <c r="S1674" s="4" t="s">
        <v>261</v>
      </c>
      <c r="T1674" s="4" t="s">
        <v>498</v>
      </c>
      <c r="U1674" s="4">
        <v>0</v>
      </c>
      <c r="V1674" s="4">
        <v>13</v>
      </c>
      <c r="W1674" s="4">
        <v>58</v>
      </c>
    </row>
    <row r="1675" spans="1:23" ht="11.25" customHeight="1" x14ac:dyDescent="0.25">
      <c r="A1675" s="4" t="s">
        <v>29</v>
      </c>
      <c r="B1675" s="4" t="s">
        <v>22</v>
      </c>
      <c r="C1675" s="4" t="s">
        <v>23</v>
      </c>
      <c r="D1675" s="4" t="s">
        <v>24</v>
      </c>
      <c r="E1675" s="4" t="s">
        <v>24</v>
      </c>
      <c r="F1675" s="4" t="s">
        <v>25</v>
      </c>
      <c r="G1675" s="4" t="s">
        <v>25</v>
      </c>
      <c r="H1675" s="4" t="s">
        <v>25</v>
      </c>
      <c r="I1675" s="5">
        <v>44166</v>
      </c>
      <c r="J1675" s="6">
        <v>0</v>
      </c>
      <c r="K1675" s="6">
        <v>0</v>
      </c>
      <c r="L1675" s="6">
        <v>-546.63599999999997</v>
      </c>
      <c r="M1675" s="6">
        <v>-546.63599999999997</v>
      </c>
      <c r="N1675" s="6">
        <v>-546.63599999999997</v>
      </c>
      <c r="O1675" s="6">
        <v>-546.63599999999997</v>
      </c>
      <c r="P1675" s="6">
        <v>0</v>
      </c>
      <c r="Q1675" s="4" t="s">
        <v>26</v>
      </c>
      <c r="R1675" s="4">
        <v>0</v>
      </c>
      <c r="S1675" s="4" t="s">
        <v>261</v>
      </c>
      <c r="T1675" s="4" t="s">
        <v>498</v>
      </c>
      <c r="U1675" s="4">
        <v>0</v>
      </c>
      <c r="V1675" s="4">
        <v>13</v>
      </c>
      <c r="W1675" s="4">
        <v>58</v>
      </c>
    </row>
    <row r="1676" spans="1:23" ht="11.25" customHeight="1" x14ac:dyDescent="0.25">
      <c r="A1676" s="4" t="s">
        <v>30</v>
      </c>
      <c r="B1676" s="4" t="s">
        <v>22</v>
      </c>
      <c r="C1676" s="4" t="s">
        <v>23</v>
      </c>
      <c r="D1676" s="4" t="s">
        <v>24</v>
      </c>
      <c r="E1676" s="4" t="s">
        <v>24</v>
      </c>
      <c r="F1676" s="4" t="s">
        <v>25</v>
      </c>
      <c r="G1676" s="4" t="s">
        <v>25</v>
      </c>
      <c r="H1676" s="4" t="s">
        <v>25</v>
      </c>
      <c r="I1676" s="5">
        <v>44166</v>
      </c>
      <c r="J1676" s="6">
        <v>0</v>
      </c>
      <c r="K1676" s="6">
        <v>0</v>
      </c>
      <c r="L1676" s="6">
        <v>1095.4090000000001</v>
      </c>
      <c r="M1676" s="6">
        <v>1095.4090000000001</v>
      </c>
      <c r="N1676" s="6">
        <v>1095.4090000000001</v>
      </c>
      <c r="O1676" s="6">
        <v>1095.4090000000001</v>
      </c>
      <c r="P1676" s="6">
        <v>1470</v>
      </c>
      <c r="Q1676" s="4" t="s">
        <v>26</v>
      </c>
      <c r="R1676" s="4">
        <v>0</v>
      </c>
      <c r="S1676" s="4" t="s">
        <v>261</v>
      </c>
      <c r="T1676" s="4" t="s">
        <v>498</v>
      </c>
      <c r="U1676" s="4">
        <v>0</v>
      </c>
      <c r="V1676" s="4">
        <v>13</v>
      </c>
      <c r="W1676" s="4">
        <v>58</v>
      </c>
    </row>
    <row r="1677" spans="1:23" ht="11.25" customHeight="1" x14ac:dyDescent="0.25">
      <c r="A1677" s="4" t="s">
        <v>30</v>
      </c>
      <c r="B1677" s="4" t="s">
        <v>22</v>
      </c>
      <c r="C1677" s="4" t="s">
        <v>23</v>
      </c>
      <c r="D1677" s="4" t="s">
        <v>24</v>
      </c>
      <c r="E1677" s="4" t="s">
        <v>24</v>
      </c>
      <c r="F1677" s="4" t="s">
        <v>25</v>
      </c>
      <c r="G1677" s="4" t="s">
        <v>25</v>
      </c>
      <c r="H1677" s="4" t="s">
        <v>25</v>
      </c>
      <c r="I1677" s="5">
        <v>44166</v>
      </c>
      <c r="J1677" s="6">
        <v>0</v>
      </c>
      <c r="K1677" s="6">
        <v>0</v>
      </c>
      <c r="L1677" s="6">
        <v>-12.029</v>
      </c>
      <c r="M1677" s="6">
        <v>-12.029</v>
      </c>
      <c r="N1677" s="6">
        <v>-12.029</v>
      </c>
      <c r="O1677" s="6">
        <v>-12.029</v>
      </c>
      <c r="P1677" s="6">
        <v>0</v>
      </c>
      <c r="Q1677" s="4" t="s">
        <v>26</v>
      </c>
      <c r="R1677" s="4">
        <v>0</v>
      </c>
      <c r="S1677" s="4" t="s">
        <v>261</v>
      </c>
      <c r="T1677" s="4" t="s">
        <v>498</v>
      </c>
      <c r="U1677" s="4">
        <v>0</v>
      </c>
      <c r="V1677" s="4">
        <v>13</v>
      </c>
      <c r="W1677" s="4">
        <v>58</v>
      </c>
    </row>
    <row r="1678" spans="1:23" ht="11.25" customHeight="1" x14ac:dyDescent="0.25">
      <c r="A1678" s="4" t="s">
        <v>21</v>
      </c>
      <c r="B1678" s="4" t="s">
        <v>22</v>
      </c>
      <c r="C1678" s="4" t="s">
        <v>23</v>
      </c>
      <c r="D1678" s="4" t="s">
        <v>24</v>
      </c>
      <c r="E1678" s="4" t="s">
        <v>24</v>
      </c>
      <c r="F1678" s="4" t="s">
        <v>25</v>
      </c>
      <c r="G1678" s="4" t="s">
        <v>25</v>
      </c>
      <c r="H1678" s="4" t="s">
        <v>25</v>
      </c>
      <c r="I1678" s="5">
        <v>44197</v>
      </c>
      <c r="J1678" s="6">
        <v>0</v>
      </c>
      <c r="K1678" s="6">
        <v>0</v>
      </c>
      <c r="L1678" s="6">
        <v>104942.537</v>
      </c>
      <c r="M1678" s="6">
        <v>104942.537</v>
      </c>
      <c r="N1678" s="6">
        <v>104942.537</v>
      </c>
      <c r="O1678" s="6">
        <v>104942.537</v>
      </c>
      <c r="P1678" s="6">
        <v>505636</v>
      </c>
      <c r="Q1678" s="4" t="s">
        <v>26</v>
      </c>
      <c r="R1678" s="4">
        <v>0</v>
      </c>
      <c r="S1678" s="4" t="s">
        <v>262</v>
      </c>
      <c r="T1678" s="4" t="s">
        <v>499</v>
      </c>
      <c r="U1678" s="4">
        <v>0</v>
      </c>
      <c r="V1678" s="4">
        <v>13</v>
      </c>
      <c r="W1678" s="4">
        <v>58</v>
      </c>
    </row>
    <row r="1679" spans="1:23" ht="11.25" customHeight="1" x14ac:dyDescent="0.25">
      <c r="A1679" s="4" t="s">
        <v>27</v>
      </c>
      <c r="B1679" s="4" t="s">
        <v>22</v>
      </c>
      <c r="C1679" s="4" t="s">
        <v>23</v>
      </c>
      <c r="D1679" s="4" t="s">
        <v>24</v>
      </c>
      <c r="E1679" s="4" t="s">
        <v>24</v>
      </c>
      <c r="F1679" s="4" t="s">
        <v>25</v>
      </c>
      <c r="G1679" s="4" t="s">
        <v>25</v>
      </c>
      <c r="H1679" s="4" t="s">
        <v>25</v>
      </c>
      <c r="I1679" s="5">
        <v>44197</v>
      </c>
      <c r="J1679" s="6">
        <v>0</v>
      </c>
      <c r="K1679" s="6">
        <v>0</v>
      </c>
      <c r="L1679" s="6">
        <v>-2255.3240000000001</v>
      </c>
      <c r="M1679" s="6">
        <v>-2255.3240000000001</v>
      </c>
      <c r="N1679" s="6">
        <v>-2255.3240000000001</v>
      </c>
      <c r="O1679" s="6">
        <v>-2255.3240000000001</v>
      </c>
      <c r="P1679" s="6">
        <v>0</v>
      </c>
      <c r="Q1679" s="4" t="s">
        <v>26</v>
      </c>
      <c r="R1679" s="4">
        <v>0</v>
      </c>
      <c r="S1679" s="4" t="s">
        <v>262</v>
      </c>
      <c r="T1679" s="4" t="s">
        <v>499</v>
      </c>
      <c r="U1679" s="4">
        <v>0</v>
      </c>
      <c r="V1679" s="4">
        <v>13</v>
      </c>
      <c r="W1679" s="4">
        <v>58</v>
      </c>
    </row>
    <row r="1680" spans="1:23" ht="11.25" customHeight="1" x14ac:dyDescent="0.25">
      <c r="A1680" s="4" t="s">
        <v>28</v>
      </c>
      <c r="B1680" s="4" t="s">
        <v>22</v>
      </c>
      <c r="C1680" s="4" t="s">
        <v>23</v>
      </c>
      <c r="D1680" s="4" t="s">
        <v>24</v>
      </c>
      <c r="E1680" s="4" t="s">
        <v>24</v>
      </c>
      <c r="F1680" s="4" t="s">
        <v>25</v>
      </c>
      <c r="G1680" s="4" t="s">
        <v>25</v>
      </c>
      <c r="H1680" s="4" t="s">
        <v>25</v>
      </c>
      <c r="I1680" s="5">
        <v>44197</v>
      </c>
      <c r="J1680" s="6">
        <v>0</v>
      </c>
      <c r="K1680" s="6">
        <v>0</v>
      </c>
      <c r="L1680" s="6">
        <v>29979.511999999999</v>
      </c>
      <c r="M1680" s="6">
        <v>29979.511999999999</v>
      </c>
      <c r="N1680" s="6">
        <v>29979.511999999999</v>
      </c>
      <c r="O1680" s="6">
        <v>29979.511999999999</v>
      </c>
      <c r="P1680" s="6">
        <v>182826</v>
      </c>
      <c r="Q1680" s="4" t="s">
        <v>26</v>
      </c>
      <c r="R1680" s="4">
        <v>0</v>
      </c>
      <c r="S1680" s="4" t="s">
        <v>262</v>
      </c>
      <c r="T1680" s="4" t="s">
        <v>499</v>
      </c>
      <c r="U1680" s="4">
        <v>0</v>
      </c>
      <c r="V1680" s="4">
        <v>13</v>
      </c>
      <c r="W1680" s="4">
        <v>58</v>
      </c>
    </row>
    <row r="1681" spans="1:23" ht="11.25" customHeight="1" x14ac:dyDescent="0.25">
      <c r="A1681" s="4" t="s">
        <v>29</v>
      </c>
      <c r="B1681" s="4" t="s">
        <v>22</v>
      </c>
      <c r="C1681" s="4" t="s">
        <v>23</v>
      </c>
      <c r="D1681" s="4" t="s">
        <v>24</v>
      </c>
      <c r="E1681" s="4" t="s">
        <v>24</v>
      </c>
      <c r="F1681" s="4" t="s">
        <v>25</v>
      </c>
      <c r="G1681" s="4" t="s">
        <v>25</v>
      </c>
      <c r="H1681" s="4" t="s">
        <v>25</v>
      </c>
      <c r="I1681" s="5">
        <v>44197</v>
      </c>
      <c r="J1681" s="6">
        <v>0</v>
      </c>
      <c r="K1681" s="6">
        <v>0</v>
      </c>
      <c r="L1681" s="6">
        <v>-386.63200000000001</v>
      </c>
      <c r="M1681" s="6">
        <v>-386.63200000000001</v>
      </c>
      <c r="N1681" s="6">
        <v>-386.63200000000001</v>
      </c>
      <c r="O1681" s="6">
        <v>-386.63200000000001</v>
      </c>
      <c r="P1681" s="6">
        <v>0</v>
      </c>
      <c r="Q1681" s="4" t="s">
        <v>26</v>
      </c>
      <c r="R1681" s="4">
        <v>0</v>
      </c>
      <c r="S1681" s="4" t="s">
        <v>262</v>
      </c>
      <c r="T1681" s="4" t="s">
        <v>499</v>
      </c>
      <c r="U1681" s="4">
        <v>0</v>
      </c>
      <c r="V1681" s="4">
        <v>13</v>
      </c>
      <c r="W1681" s="4">
        <v>58</v>
      </c>
    </row>
    <row r="1682" spans="1:23" ht="11.25" customHeight="1" x14ac:dyDescent="0.25">
      <c r="A1682" s="4" t="s">
        <v>30</v>
      </c>
      <c r="B1682" s="4" t="s">
        <v>22</v>
      </c>
      <c r="C1682" s="4" t="s">
        <v>23</v>
      </c>
      <c r="D1682" s="4" t="s">
        <v>24</v>
      </c>
      <c r="E1682" s="4" t="s">
        <v>24</v>
      </c>
      <c r="F1682" s="4" t="s">
        <v>25</v>
      </c>
      <c r="G1682" s="4" t="s">
        <v>25</v>
      </c>
      <c r="H1682" s="4" t="s">
        <v>25</v>
      </c>
      <c r="I1682" s="5">
        <v>44197</v>
      </c>
      <c r="J1682" s="6">
        <v>0</v>
      </c>
      <c r="K1682" s="6">
        <v>0</v>
      </c>
      <c r="L1682" s="6">
        <v>1114.8</v>
      </c>
      <c r="M1682" s="6">
        <v>1114.8</v>
      </c>
      <c r="N1682" s="6">
        <v>1114.8</v>
      </c>
      <c r="O1682" s="6">
        <v>1114.8</v>
      </c>
      <c r="P1682" s="6">
        <v>1567</v>
      </c>
      <c r="Q1682" s="4" t="s">
        <v>26</v>
      </c>
      <c r="R1682" s="4">
        <v>0</v>
      </c>
      <c r="S1682" s="4" t="s">
        <v>262</v>
      </c>
      <c r="T1682" s="4" t="s">
        <v>499</v>
      </c>
      <c r="U1682" s="4">
        <v>0</v>
      </c>
      <c r="V1682" s="4">
        <v>13</v>
      </c>
      <c r="W1682" s="4">
        <v>58</v>
      </c>
    </row>
    <row r="1683" spans="1:23" ht="11.25" customHeight="1" x14ac:dyDescent="0.25">
      <c r="A1683" s="4" t="s">
        <v>30</v>
      </c>
      <c r="B1683" s="4" t="s">
        <v>22</v>
      </c>
      <c r="C1683" s="4" t="s">
        <v>23</v>
      </c>
      <c r="D1683" s="4" t="s">
        <v>24</v>
      </c>
      <c r="E1683" s="4" t="s">
        <v>24</v>
      </c>
      <c r="F1683" s="4" t="s">
        <v>25</v>
      </c>
      <c r="G1683" s="4" t="s">
        <v>25</v>
      </c>
      <c r="H1683" s="4" t="s">
        <v>25</v>
      </c>
      <c r="I1683" s="5">
        <v>44197</v>
      </c>
      <c r="J1683" s="6">
        <v>0</v>
      </c>
      <c r="K1683" s="6">
        <v>0</v>
      </c>
      <c r="L1683" s="6">
        <v>3.665</v>
      </c>
      <c r="M1683" s="6">
        <v>3.665</v>
      </c>
      <c r="N1683" s="6">
        <v>3.665</v>
      </c>
      <c r="O1683" s="6">
        <v>3.665</v>
      </c>
      <c r="P1683" s="6">
        <v>0</v>
      </c>
      <c r="Q1683" s="4" t="s">
        <v>26</v>
      </c>
      <c r="R1683" s="4">
        <v>0</v>
      </c>
      <c r="S1683" s="4" t="s">
        <v>262</v>
      </c>
      <c r="T1683" s="4" t="s">
        <v>499</v>
      </c>
      <c r="U1683" s="4">
        <v>0</v>
      </c>
      <c r="V1683" s="4">
        <v>13</v>
      </c>
      <c r="W1683" s="4">
        <v>58</v>
      </c>
    </row>
    <row r="1684" spans="1:23" ht="11.25" customHeight="1" x14ac:dyDescent="0.25">
      <c r="A1684" s="4" t="s">
        <v>21</v>
      </c>
      <c r="B1684" s="4" t="s">
        <v>22</v>
      </c>
      <c r="C1684" s="4" t="s">
        <v>23</v>
      </c>
      <c r="D1684" s="4" t="s">
        <v>24</v>
      </c>
      <c r="E1684" s="4" t="s">
        <v>24</v>
      </c>
      <c r="F1684" s="4" t="s">
        <v>25</v>
      </c>
      <c r="G1684" s="4" t="s">
        <v>25</v>
      </c>
      <c r="H1684" s="4" t="s">
        <v>25</v>
      </c>
      <c r="I1684" s="5">
        <v>44228</v>
      </c>
      <c r="J1684" s="6">
        <v>0</v>
      </c>
      <c r="K1684" s="6">
        <v>0</v>
      </c>
      <c r="L1684" s="6">
        <v>93567.762000000002</v>
      </c>
      <c r="M1684" s="6">
        <v>93567.762000000002</v>
      </c>
      <c r="N1684" s="6">
        <v>93567.762000000002</v>
      </c>
      <c r="O1684" s="6">
        <v>93567.762000000002</v>
      </c>
      <c r="P1684" s="6">
        <v>506658</v>
      </c>
      <c r="Q1684" s="4" t="s">
        <v>26</v>
      </c>
      <c r="R1684" s="4">
        <v>0</v>
      </c>
      <c r="S1684" s="4" t="s">
        <v>263</v>
      </c>
      <c r="T1684" s="4" t="s">
        <v>500</v>
      </c>
      <c r="U1684" s="4">
        <v>0</v>
      </c>
      <c r="V1684" s="4">
        <v>13</v>
      </c>
      <c r="W1684" s="4">
        <v>58</v>
      </c>
    </row>
    <row r="1685" spans="1:23" ht="11.25" customHeight="1" x14ac:dyDescent="0.25">
      <c r="A1685" s="4" t="s">
        <v>27</v>
      </c>
      <c r="B1685" s="4" t="s">
        <v>22</v>
      </c>
      <c r="C1685" s="4" t="s">
        <v>23</v>
      </c>
      <c r="D1685" s="4" t="s">
        <v>24</v>
      </c>
      <c r="E1685" s="4" t="s">
        <v>24</v>
      </c>
      <c r="F1685" s="4" t="s">
        <v>25</v>
      </c>
      <c r="G1685" s="4" t="s">
        <v>25</v>
      </c>
      <c r="H1685" s="4" t="s">
        <v>25</v>
      </c>
      <c r="I1685" s="5">
        <v>44228</v>
      </c>
      <c r="J1685" s="6">
        <v>0</v>
      </c>
      <c r="K1685" s="6">
        <v>0</v>
      </c>
      <c r="L1685" s="6">
        <v>-2871.9589999999998</v>
      </c>
      <c r="M1685" s="6">
        <v>-2871.9589999999998</v>
      </c>
      <c r="N1685" s="6">
        <v>-2871.9589999999998</v>
      </c>
      <c r="O1685" s="6">
        <v>-2871.9589999999998</v>
      </c>
      <c r="P1685" s="6">
        <v>0</v>
      </c>
      <c r="Q1685" s="4" t="s">
        <v>26</v>
      </c>
      <c r="R1685" s="4">
        <v>0</v>
      </c>
      <c r="S1685" s="4" t="s">
        <v>263</v>
      </c>
      <c r="T1685" s="4" t="s">
        <v>500</v>
      </c>
      <c r="U1685" s="4">
        <v>0</v>
      </c>
      <c r="V1685" s="4">
        <v>13</v>
      </c>
      <c r="W1685" s="4">
        <v>58</v>
      </c>
    </row>
    <row r="1686" spans="1:23" ht="11.25" customHeight="1" x14ac:dyDescent="0.25">
      <c r="A1686" s="4" t="s">
        <v>28</v>
      </c>
      <c r="B1686" s="4" t="s">
        <v>22</v>
      </c>
      <c r="C1686" s="4" t="s">
        <v>23</v>
      </c>
      <c r="D1686" s="4" t="s">
        <v>24</v>
      </c>
      <c r="E1686" s="4" t="s">
        <v>24</v>
      </c>
      <c r="F1686" s="4" t="s">
        <v>25</v>
      </c>
      <c r="G1686" s="4" t="s">
        <v>25</v>
      </c>
      <c r="H1686" s="4" t="s">
        <v>25</v>
      </c>
      <c r="I1686" s="5">
        <v>44228</v>
      </c>
      <c r="J1686" s="6">
        <v>0</v>
      </c>
      <c r="K1686" s="6">
        <v>0</v>
      </c>
      <c r="L1686" s="6">
        <v>28753.172999999999</v>
      </c>
      <c r="M1686" s="6">
        <v>28753.172999999999</v>
      </c>
      <c r="N1686" s="6">
        <v>28753.172999999999</v>
      </c>
      <c r="O1686" s="6">
        <v>28753.172999999999</v>
      </c>
      <c r="P1686" s="6">
        <v>184016</v>
      </c>
      <c r="Q1686" s="4" t="s">
        <v>26</v>
      </c>
      <c r="R1686" s="4">
        <v>0</v>
      </c>
      <c r="S1686" s="4" t="s">
        <v>263</v>
      </c>
      <c r="T1686" s="4" t="s">
        <v>500</v>
      </c>
      <c r="U1686" s="4">
        <v>0</v>
      </c>
      <c r="V1686" s="4">
        <v>13</v>
      </c>
      <c r="W1686" s="4">
        <v>58</v>
      </c>
    </row>
    <row r="1687" spans="1:23" ht="11.25" customHeight="1" x14ac:dyDescent="0.25">
      <c r="A1687" s="4" t="s">
        <v>29</v>
      </c>
      <c r="B1687" s="4" t="s">
        <v>22</v>
      </c>
      <c r="C1687" s="4" t="s">
        <v>23</v>
      </c>
      <c r="D1687" s="4" t="s">
        <v>24</v>
      </c>
      <c r="E1687" s="4" t="s">
        <v>24</v>
      </c>
      <c r="F1687" s="4" t="s">
        <v>25</v>
      </c>
      <c r="G1687" s="4" t="s">
        <v>25</v>
      </c>
      <c r="H1687" s="4" t="s">
        <v>25</v>
      </c>
      <c r="I1687" s="5">
        <v>44228</v>
      </c>
      <c r="J1687" s="6">
        <v>0</v>
      </c>
      <c r="K1687" s="6">
        <v>0</v>
      </c>
      <c r="L1687" s="6">
        <v>-322.67099999999999</v>
      </c>
      <c r="M1687" s="6">
        <v>-322.67099999999999</v>
      </c>
      <c r="N1687" s="6">
        <v>-322.67099999999999</v>
      </c>
      <c r="O1687" s="6">
        <v>-322.67099999999999</v>
      </c>
      <c r="P1687" s="6">
        <v>0</v>
      </c>
      <c r="Q1687" s="4" t="s">
        <v>26</v>
      </c>
      <c r="R1687" s="4">
        <v>0</v>
      </c>
      <c r="S1687" s="4" t="s">
        <v>263</v>
      </c>
      <c r="T1687" s="4" t="s">
        <v>500</v>
      </c>
      <c r="U1687" s="4">
        <v>0</v>
      </c>
      <c r="V1687" s="4">
        <v>13</v>
      </c>
      <c r="W1687" s="4">
        <v>58</v>
      </c>
    </row>
    <row r="1688" spans="1:23" ht="11.25" customHeight="1" x14ac:dyDescent="0.25">
      <c r="A1688" s="4" t="s">
        <v>30</v>
      </c>
      <c r="B1688" s="4" t="s">
        <v>22</v>
      </c>
      <c r="C1688" s="4" t="s">
        <v>23</v>
      </c>
      <c r="D1688" s="4" t="s">
        <v>24</v>
      </c>
      <c r="E1688" s="4" t="s">
        <v>24</v>
      </c>
      <c r="F1688" s="4" t="s">
        <v>25</v>
      </c>
      <c r="G1688" s="4" t="s">
        <v>25</v>
      </c>
      <c r="H1688" s="4" t="s">
        <v>25</v>
      </c>
      <c r="I1688" s="5">
        <v>44228</v>
      </c>
      <c r="J1688" s="6">
        <v>0</v>
      </c>
      <c r="K1688" s="6">
        <v>0</v>
      </c>
      <c r="L1688" s="6">
        <v>1019.0650000000001</v>
      </c>
      <c r="M1688" s="6">
        <v>1019.0650000000001</v>
      </c>
      <c r="N1688" s="6">
        <v>1019.0650000000001</v>
      </c>
      <c r="O1688" s="6">
        <v>1019.0650000000001</v>
      </c>
      <c r="P1688" s="6">
        <v>1645</v>
      </c>
      <c r="Q1688" s="4" t="s">
        <v>26</v>
      </c>
      <c r="R1688" s="4">
        <v>0</v>
      </c>
      <c r="S1688" s="4" t="s">
        <v>263</v>
      </c>
      <c r="T1688" s="4" t="s">
        <v>500</v>
      </c>
      <c r="U1688" s="4">
        <v>0</v>
      </c>
      <c r="V1688" s="4">
        <v>13</v>
      </c>
      <c r="W1688" s="4">
        <v>58</v>
      </c>
    </row>
    <row r="1689" spans="1:23" ht="11.25" customHeight="1" x14ac:dyDescent="0.25">
      <c r="A1689" s="4" t="s">
        <v>30</v>
      </c>
      <c r="B1689" s="4" t="s">
        <v>22</v>
      </c>
      <c r="C1689" s="4" t="s">
        <v>23</v>
      </c>
      <c r="D1689" s="4" t="s">
        <v>24</v>
      </c>
      <c r="E1689" s="4" t="s">
        <v>24</v>
      </c>
      <c r="F1689" s="4" t="s">
        <v>25</v>
      </c>
      <c r="G1689" s="4" t="s">
        <v>25</v>
      </c>
      <c r="H1689" s="4" t="s">
        <v>25</v>
      </c>
      <c r="I1689" s="5">
        <v>44228</v>
      </c>
      <c r="J1689" s="6">
        <v>0</v>
      </c>
      <c r="K1689" s="6">
        <v>0</v>
      </c>
      <c r="L1689" s="6">
        <v>-11.217000000000001</v>
      </c>
      <c r="M1689" s="6">
        <v>-11.217000000000001</v>
      </c>
      <c r="N1689" s="6">
        <v>-11.217000000000001</v>
      </c>
      <c r="O1689" s="6">
        <v>-11.217000000000001</v>
      </c>
      <c r="P1689" s="6">
        <v>0</v>
      </c>
      <c r="Q1689" s="4" t="s">
        <v>26</v>
      </c>
      <c r="R1689" s="4">
        <v>0</v>
      </c>
      <c r="S1689" s="4" t="s">
        <v>263</v>
      </c>
      <c r="T1689" s="4" t="s">
        <v>500</v>
      </c>
      <c r="U1689" s="4">
        <v>0</v>
      </c>
      <c r="V1689" s="4">
        <v>13</v>
      </c>
      <c r="W1689" s="4">
        <v>58</v>
      </c>
    </row>
    <row r="1690" spans="1:23" ht="11.25" customHeight="1" x14ac:dyDescent="0.25">
      <c r="A1690" s="4" t="s">
        <v>21</v>
      </c>
      <c r="B1690" s="4" t="s">
        <v>22</v>
      </c>
      <c r="C1690" s="4" t="s">
        <v>23</v>
      </c>
      <c r="D1690" s="4" t="s">
        <v>24</v>
      </c>
      <c r="E1690" s="4" t="s">
        <v>24</v>
      </c>
      <c r="F1690" s="4" t="s">
        <v>25</v>
      </c>
      <c r="G1690" s="4" t="s">
        <v>25</v>
      </c>
      <c r="H1690" s="4" t="s">
        <v>25</v>
      </c>
      <c r="I1690" s="5">
        <v>44256</v>
      </c>
      <c r="J1690" s="6">
        <v>0</v>
      </c>
      <c r="K1690" s="6">
        <v>0</v>
      </c>
      <c r="L1690" s="6">
        <v>99414.832999999999</v>
      </c>
      <c r="M1690" s="6">
        <v>99414.832999999999</v>
      </c>
      <c r="N1690" s="6">
        <v>99414.832999999999</v>
      </c>
      <c r="O1690" s="6">
        <v>99414.832999999999</v>
      </c>
      <c r="P1690" s="6">
        <v>505667</v>
      </c>
      <c r="Q1690" s="4" t="s">
        <v>26</v>
      </c>
      <c r="R1690" s="4">
        <v>0</v>
      </c>
      <c r="S1690" s="4" t="s">
        <v>264</v>
      </c>
      <c r="T1690" s="4" t="s">
        <v>501</v>
      </c>
      <c r="U1690" s="4">
        <v>0</v>
      </c>
      <c r="V1690" s="4">
        <v>13</v>
      </c>
      <c r="W1690" s="4">
        <v>58</v>
      </c>
    </row>
    <row r="1691" spans="1:23" ht="11.25" customHeight="1" x14ac:dyDescent="0.25">
      <c r="A1691" s="4" t="s">
        <v>27</v>
      </c>
      <c r="B1691" s="4" t="s">
        <v>22</v>
      </c>
      <c r="C1691" s="4" t="s">
        <v>23</v>
      </c>
      <c r="D1691" s="4" t="s">
        <v>24</v>
      </c>
      <c r="E1691" s="4" t="s">
        <v>24</v>
      </c>
      <c r="F1691" s="4" t="s">
        <v>25</v>
      </c>
      <c r="G1691" s="4" t="s">
        <v>25</v>
      </c>
      <c r="H1691" s="4" t="s">
        <v>25</v>
      </c>
      <c r="I1691" s="5">
        <v>44256</v>
      </c>
      <c r="J1691" s="6">
        <v>0</v>
      </c>
      <c r="K1691" s="6">
        <v>0</v>
      </c>
      <c r="L1691" s="6">
        <v>-4094.1179999999999</v>
      </c>
      <c r="M1691" s="6">
        <v>-4094.1179999999999</v>
      </c>
      <c r="N1691" s="6">
        <v>-4094.1179999999999</v>
      </c>
      <c r="O1691" s="6">
        <v>-4094.1179999999999</v>
      </c>
      <c r="P1691" s="6">
        <v>0</v>
      </c>
      <c r="Q1691" s="4" t="s">
        <v>26</v>
      </c>
      <c r="R1691" s="4">
        <v>0</v>
      </c>
      <c r="S1691" s="4" t="s">
        <v>264</v>
      </c>
      <c r="T1691" s="4" t="s">
        <v>501</v>
      </c>
      <c r="U1691" s="4">
        <v>0</v>
      </c>
      <c r="V1691" s="4">
        <v>13</v>
      </c>
      <c r="W1691" s="4">
        <v>58</v>
      </c>
    </row>
    <row r="1692" spans="1:23" ht="11.25" customHeight="1" x14ac:dyDescent="0.25">
      <c r="A1692" s="4" t="s">
        <v>28</v>
      </c>
      <c r="B1692" s="4" t="s">
        <v>22</v>
      </c>
      <c r="C1692" s="4" t="s">
        <v>23</v>
      </c>
      <c r="D1692" s="4" t="s">
        <v>24</v>
      </c>
      <c r="E1692" s="4" t="s">
        <v>24</v>
      </c>
      <c r="F1692" s="4" t="s">
        <v>25</v>
      </c>
      <c r="G1692" s="4" t="s">
        <v>25</v>
      </c>
      <c r="H1692" s="4" t="s">
        <v>25</v>
      </c>
      <c r="I1692" s="5">
        <v>44256</v>
      </c>
      <c r="J1692" s="6">
        <v>0</v>
      </c>
      <c r="K1692" s="6">
        <v>0</v>
      </c>
      <c r="L1692" s="6">
        <v>28785.991000000002</v>
      </c>
      <c r="M1692" s="6">
        <v>28785.991000000002</v>
      </c>
      <c r="N1692" s="6">
        <v>28785.991000000002</v>
      </c>
      <c r="O1692" s="6">
        <v>28785.991000000002</v>
      </c>
      <c r="P1692" s="6">
        <v>182173</v>
      </c>
      <c r="Q1692" s="4" t="s">
        <v>26</v>
      </c>
      <c r="R1692" s="4">
        <v>0</v>
      </c>
      <c r="S1692" s="4" t="s">
        <v>264</v>
      </c>
      <c r="T1692" s="4" t="s">
        <v>501</v>
      </c>
      <c r="U1692" s="4">
        <v>0</v>
      </c>
      <c r="V1692" s="4">
        <v>13</v>
      </c>
      <c r="W1692" s="4">
        <v>58</v>
      </c>
    </row>
    <row r="1693" spans="1:23" ht="11.25" customHeight="1" x14ac:dyDescent="0.25">
      <c r="A1693" s="4" t="s">
        <v>29</v>
      </c>
      <c r="B1693" s="4" t="s">
        <v>22</v>
      </c>
      <c r="C1693" s="4" t="s">
        <v>23</v>
      </c>
      <c r="D1693" s="4" t="s">
        <v>24</v>
      </c>
      <c r="E1693" s="4" t="s">
        <v>24</v>
      </c>
      <c r="F1693" s="4" t="s">
        <v>25</v>
      </c>
      <c r="G1693" s="4" t="s">
        <v>25</v>
      </c>
      <c r="H1693" s="4" t="s">
        <v>25</v>
      </c>
      <c r="I1693" s="5">
        <v>44256</v>
      </c>
      <c r="J1693" s="6">
        <v>0</v>
      </c>
      <c r="K1693" s="6">
        <v>0</v>
      </c>
      <c r="L1693" s="6">
        <v>-541.96900000000005</v>
      </c>
      <c r="M1693" s="6">
        <v>-541.96900000000005</v>
      </c>
      <c r="N1693" s="6">
        <v>-541.96900000000005</v>
      </c>
      <c r="O1693" s="6">
        <v>-541.96900000000005</v>
      </c>
      <c r="P1693" s="6">
        <v>0</v>
      </c>
      <c r="Q1693" s="4" t="s">
        <v>26</v>
      </c>
      <c r="R1693" s="4">
        <v>0</v>
      </c>
      <c r="S1693" s="4" t="s">
        <v>264</v>
      </c>
      <c r="T1693" s="4" t="s">
        <v>501</v>
      </c>
      <c r="U1693" s="4">
        <v>0</v>
      </c>
      <c r="V1693" s="4">
        <v>13</v>
      </c>
      <c r="W1693" s="4">
        <v>58</v>
      </c>
    </row>
    <row r="1694" spans="1:23" ht="11.25" customHeight="1" x14ac:dyDescent="0.25">
      <c r="A1694" s="4" t="s">
        <v>30</v>
      </c>
      <c r="B1694" s="4" t="s">
        <v>22</v>
      </c>
      <c r="C1694" s="4" t="s">
        <v>23</v>
      </c>
      <c r="D1694" s="4" t="s">
        <v>24</v>
      </c>
      <c r="E1694" s="4" t="s">
        <v>24</v>
      </c>
      <c r="F1694" s="4" t="s">
        <v>25</v>
      </c>
      <c r="G1694" s="4" t="s">
        <v>25</v>
      </c>
      <c r="H1694" s="4" t="s">
        <v>25</v>
      </c>
      <c r="I1694" s="5">
        <v>44256</v>
      </c>
      <c r="J1694" s="6">
        <v>0</v>
      </c>
      <c r="K1694" s="6">
        <v>0</v>
      </c>
      <c r="L1694" s="6">
        <v>1227.422</v>
      </c>
      <c r="M1694" s="6">
        <v>1227.422</v>
      </c>
      <c r="N1694" s="6">
        <v>1227.422</v>
      </c>
      <c r="O1694" s="6">
        <v>1227.422</v>
      </c>
      <c r="P1694" s="6">
        <v>1796</v>
      </c>
      <c r="Q1694" s="4" t="s">
        <v>26</v>
      </c>
      <c r="R1694" s="4">
        <v>0</v>
      </c>
      <c r="S1694" s="4" t="s">
        <v>264</v>
      </c>
      <c r="T1694" s="4" t="s">
        <v>501</v>
      </c>
      <c r="U1694" s="4">
        <v>0</v>
      </c>
      <c r="V1694" s="4">
        <v>13</v>
      </c>
      <c r="W1694" s="4">
        <v>58</v>
      </c>
    </row>
    <row r="1695" spans="1:23" ht="11.25" customHeight="1" x14ac:dyDescent="0.25">
      <c r="A1695" s="4" t="s">
        <v>30</v>
      </c>
      <c r="B1695" s="4" t="s">
        <v>22</v>
      </c>
      <c r="C1695" s="4" t="s">
        <v>23</v>
      </c>
      <c r="D1695" s="4" t="s">
        <v>24</v>
      </c>
      <c r="E1695" s="4" t="s">
        <v>24</v>
      </c>
      <c r="F1695" s="4" t="s">
        <v>25</v>
      </c>
      <c r="G1695" s="4" t="s">
        <v>25</v>
      </c>
      <c r="H1695" s="4" t="s">
        <v>25</v>
      </c>
      <c r="I1695" s="5">
        <v>44256</v>
      </c>
      <c r="J1695" s="6">
        <v>0</v>
      </c>
      <c r="K1695" s="6">
        <v>0</v>
      </c>
      <c r="L1695" s="6">
        <v>-14.167999999999999</v>
      </c>
      <c r="M1695" s="6">
        <v>-14.167999999999999</v>
      </c>
      <c r="N1695" s="6">
        <v>-14.167999999999999</v>
      </c>
      <c r="O1695" s="6">
        <v>-14.167999999999999</v>
      </c>
      <c r="P1695" s="6">
        <v>0</v>
      </c>
      <c r="Q1695" s="4" t="s">
        <v>26</v>
      </c>
      <c r="R1695" s="4">
        <v>0</v>
      </c>
      <c r="S1695" s="4" t="s">
        <v>264</v>
      </c>
      <c r="T1695" s="4" t="s">
        <v>501</v>
      </c>
      <c r="U1695" s="4">
        <v>0</v>
      </c>
      <c r="V1695" s="4">
        <v>13</v>
      </c>
      <c r="W1695" s="4">
        <v>58</v>
      </c>
    </row>
    <row r="1696" spans="1:23" ht="11.25" customHeight="1" x14ac:dyDescent="0.25">
      <c r="A1696" s="4" t="s">
        <v>21</v>
      </c>
      <c r="B1696" s="4" t="s">
        <v>22</v>
      </c>
      <c r="C1696" s="4" t="s">
        <v>23</v>
      </c>
      <c r="D1696" s="4" t="s">
        <v>24</v>
      </c>
      <c r="E1696" s="4" t="s">
        <v>24</v>
      </c>
      <c r="F1696" s="4" t="s">
        <v>25</v>
      </c>
      <c r="G1696" s="4" t="s">
        <v>25</v>
      </c>
      <c r="H1696" s="4" t="s">
        <v>25</v>
      </c>
      <c r="I1696" s="5">
        <v>44287</v>
      </c>
      <c r="J1696" s="6">
        <v>0</v>
      </c>
      <c r="K1696" s="6">
        <v>0</v>
      </c>
      <c r="L1696" s="6">
        <v>111375.70600000001</v>
      </c>
      <c r="M1696" s="6">
        <v>111375.70600000001</v>
      </c>
      <c r="N1696" s="6">
        <v>111375.70600000001</v>
      </c>
      <c r="O1696" s="6">
        <v>111375.70600000001</v>
      </c>
      <c r="P1696" s="6">
        <v>445462</v>
      </c>
      <c r="Q1696" s="4" t="s">
        <v>26</v>
      </c>
      <c r="R1696" s="4">
        <v>0</v>
      </c>
      <c r="S1696" s="4" t="s">
        <v>265</v>
      </c>
      <c r="T1696" s="4" t="s">
        <v>502</v>
      </c>
      <c r="U1696" s="4">
        <v>0</v>
      </c>
      <c r="V1696" s="4">
        <v>13</v>
      </c>
      <c r="W1696" s="4">
        <v>58</v>
      </c>
    </row>
    <row r="1697" spans="1:23" ht="11.25" customHeight="1" x14ac:dyDescent="0.25">
      <c r="A1697" s="4" t="s">
        <v>27</v>
      </c>
      <c r="B1697" s="4" t="s">
        <v>22</v>
      </c>
      <c r="C1697" s="4" t="s">
        <v>23</v>
      </c>
      <c r="D1697" s="4" t="s">
        <v>24</v>
      </c>
      <c r="E1697" s="4" t="s">
        <v>24</v>
      </c>
      <c r="F1697" s="4" t="s">
        <v>25</v>
      </c>
      <c r="G1697" s="4" t="s">
        <v>25</v>
      </c>
      <c r="H1697" s="4" t="s">
        <v>25</v>
      </c>
      <c r="I1697" s="5">
        <v>44287</v>
      </c>
      <c r="J1697" s="6">
        <v>0</v>
      </c>
      <c r="K1697" s="6">
        <v>0</v>
      </c>
      <c r="L1697" s="6">
        <v>-3740.7179999999998</v>
      </c>
      <c r="M1697" s="6">
        <v>-3740.7179999999998</v>
      </c>
      <c r="N1697" s="6">
        <v>-3740.7179999999998</v>
      </c>
      <c r="O1697" s="6">
        <v>-3740.7179999999998</v>
      </c>
      <c r="P1697" s="6">
        <v>0</v>
      </c>
      <c r="Q1697" s="4" t="s">
        <v>26</v>
      </c>
      <c r="R1697" s="4">
        <v>0</v>
      </c>
      <c r="S1697" s="4" t="s">
        <v>265</v>
      </c>
      <c r="T1697" s="4" t="s">
        <v>502</v>
      </c>
      <c r="U1697" s="4">
        <v>0</v>
      </c>
      <c r="V1697" s="4">
        <v>13</v>
      </c>
      <c r="W1697" s="4">
        <v>58</v>
      </c>
    </row>
    <row r="1698" spans="1:23" ht="11.25" customHeight="1" x14ac:dyDescent="0.25">
      <c r="A1698" s="4" t="s">
        <v>28</v>
      </c>
      <c r="B1698" s="4" t="s">
        <v>22</v>
      </c>
      <c r="C1698" s="4" t="s">
        <v>23</v>
      </c>
      <c r="D1698" s="4" t="s">
        <v>24</v>
      </c>
      <c r="E1698" s="4" t="s">
        <v>24</v>
      </c>
      <c r="F1698" s="4" t="s">
        <v>25</v>
      </c>
      <c r="G1698" s="4" t="s">
        <v>25</v>
      </c>
      <c r="H1698" s="4" t="s">
        <v>25</v>
      </c>
      <c r="I1698" s="5">
        <v>44287</v>
      </c>
      <c r="J1698" s="6">
        <v>0</v>
      </c>
      <c r="K1698" s="6">
        <v>0</v>
      </c>
      <c r="L1698" s="6">
        <v>31073.631000000001</v>
      </c>
      <c r="M1698" s="6">
        <v>31073.631000000001</v>
      </c>
      <c r="N1698" s="6">
        <v>31073.631000000001</v>
      </c>
      <c r="O1698" s="6">
        <v>31073.631000000001</v>
      </c>
      <c r="P1698" s="6">
        <v>174853</v>
      </c>
      <c r="Q1698" s="4" t="s">
        <v>26</v>
      </c>
      <c r="R1698" s="4">
        <v>0</v>
      </c>
      <c r="S1698" s="4" t="s">
        <v>265</v>
      </c>
      <c r="T1698" s="4" t="s">
        <v>502</v>
      </c>
      <c r="U1698" s="4">
        <v>0</v>
      </c>
      <c r="V1698" s="4">
        <v>13</v>
      </c>
      <c r="W1698" s="4">
        <v>58</v>
      </c>
    </row>
    <row r="1699" spans="1:23" ht="11.25" customHeight="1" x14ac:dyDescent="0.25">
      <c r="A1699" s="4" t="s">
        <v>29</v>
      </c>
      <c r="B1699" s="4" t="s">
        <v>22</v>
      </c>
      <c r="C1699" s="4" t="s">
        <v>23</v>
      </c>
      <c r="D1699" s="4" t="s">
        <v>24</v>
      </c>
      <c r="E1699" s="4" t="s">
        <v>24</v>
      </c>
      <c r="F1699" s="4" t="s">
        <v>25</v>
      </c>
      <c r="G1699" s="4" t="s">
        <v>25</v>
      </c>
      <c r="H1699" s="4" t="s">
        <v>25</v>
      </c>
      <c r="I1699" s="5">
        <v>44287</v>
      </c>
      <c r="J1699" s="6">
        <v>0</v>
      </c>
      <c r="K1699" s="6">
        <v>0</v>
      </c>
      <c r="L1699" s="6">
        <v>-285.50299999999999</v>
      </c>
      <c r="M1699" s="6">
        <v>-285.50299999999999</v>
      </c>
      <c r="N1699" s="6">
        <v>-285.50299999999999</v>
      </c>
      <c r="O1699" s="6">
        <v>-285.50299999999999</v>
      </c>
      <c r="P1699" s="6">
        <v>0</v>
      </c>
      <c r="Q1699" s="4" t="s">
        <v>26</v>
      </c>
      <c r="R1699" s="4">
        <v>0</v>
      </c>
      <c r="S1699" s="4" t="s">
        <v>265</v>
      </c>
      <c r="T1699" s="4" t="s">
        <v>502</v>
      </c>
      <c r="U1699" s="4">
        <v>0</v>
      </c>
      <c r="V1699" s="4">
        <v>13</v>
      </c>
      <c r="W1699" s="4">
        <v>58</v>
      </c>
    </row>
    <row r="1700" spans="1:23" ht="11.25" customHeight="1" x14ac:dyDescent="0.25">
      <c r="A1700" s="4" t="s">
        <v>30</v>
      </c>
      <c r="B1700" s="4" t="s">
        <v>22</v>
      </c>
      <c r="C1700" s="4" t="s">
        <v>23</v>
      </c>
      <c r="D1700" s="4" t="s">
        <v>24</v>
      </c>
      <c r="E1700" s="4" t="s">
        <v>24</v>
      </c>
      <c r="F1700" s="4" t="s">
        <v>25</v>
      </c>
      <c r="G1700" s="4" t="s">
        <v>25</v>
      </c>
      <c r="H1700" s="4" t="s">
        <v>25</v>
      </c>
      <c r="I1700" s="5">
        <v>44287</v>
      </c>
      <c r="J1700" s="6">
        <v>0</v>
      </c>
      <c r="K1700" s="6">
        <v>0</v>
      </c>
      <c r="L1700" s="6">
        <v>1566.3979999999999</v>
      </c>
      <c r="M1700" s="6">
        <v>1566.3979999999999</v>
      </c>
      <c r="N1700" s="6">
        <v>1566.3979999999999</v>
      </c>
      <c r="O1700" s="6">
        <v>1566.3979999999999</v>
      </c>
      <c r="P1700" s="6">
        <v>1998</v>
      </c>
      <c r="Q1700" s="4" t="s">
        <v>26</v>
      </c>
      <c r="R1700" s="4">
        <v>0</v>
      </c>
      <c r="S1700" s="4" t="s">
        <v>265</v>
      </c>
      <c r="T1700" s="4" t="s">
        <v>502</v>
      </c>
      <c r="U1700" s="4">
        <v>0</v>
      </c>
      <c r="V1700" s="4">
        <v>13</v>
      </c>
      <c r="W1700" s="4">
        <v>58</v>
      </c>
    </row>
    <row r="1701" spans="1:23" ht="11.25" customHeight="1" x14ac:dyDescent="0.25">
      <c r="A1701" s="4" t="s">
        <v>30</v>
      </c>
      <c r="B1701" s="4" t="s">
        <v>22</v>
      </c>
      <c r="C1701" s="4" t="s">
        <v>23</v>
      </c>
      <c r="D1701" s="4" t="s">
        <v>24</v>
      </c>
      <c r="E1701" s="4" t="s">
        <v>24</v>
      </c>
      <c r="F1701" s="4" t="s">
        <v>25</v>
      </c>
      <c r="G1701" s="4" t="s">
        <v>25</v>
      </c>
      <c r="H1701" s="4" t="s">
        <v>25</v>
      </c>
      <c r="I1701" s="5">
        <v>44287</v>
      </c>
      <c r="J1701" s="6">
        <v>0</v>
      </c>
      <c r="K1701" s="6">
        <v>0</v>
      </c>
      <c r="L1701" s="6">
        <v>-1.421</v>
      </c>
      <c r="M1701" s="6">
        <v>-1.421</v>
      </c>
      <c r="N1701" s="6">
        <v>-1.421</v>
      </c>
      <c r="O1701" s="6">
        <v>-1.421</v>
      </c>
      <c r="P1701" s="6">
        <v>0</v>
      </c>
      <c r="Q1701" s="4" t="s">
        <v>26</v>
      </c>
      <c r="R1701" s="4">
        <v>0</v>
      </c>
      <c r="S1701" s="4" t="s">
        <v>265</v>
      </c>
      <c r="T1701" s="4" t="s">
        <v>502</v>
      </c>
      <c r="U1701" s="4">
        <v>0</v>
      </c>
      <c r="V1701" s="4">
        <v>13</v>
      </c>
      <c r="W1701" s="4">
        <v>58</v>
      </c>
    </row>
    <row r="1702" spans="1:23" ht="11.25" customHeight="1" x14ac:dyDescent="0.25">
      <c r="A1702" s="4" t="s">
        <v>21</v>
      </c>
      <c r="B1702" s="4" t="s">
        <v>22</v>
      </c>
      <c r="C1702" s="4" t="s">
        <v>23</v>
      </c>
      <c r="D1702" s="4" t="s">
        <v>24</v>
      </c>
      <c r="E1702" s="4" t="s">
        <v>24</v>
      </c>
      <c r="F1702" s="4" t="s">
        <v>25</v>
      </c>
      <c r="G1702" s="4" t="s">
        <v>25</v>
      </c>
      <c r="H1702" s="4" t="s">
        <v>25</v>
      </c>
      <c r="I1702" s="5">
        <v>44317</v>
      </c>
      <c r="J1702" s="6">
        <v>0</v>
      </c>
      <c r="K1702" s="6">
        <v>0</v>
      </c>
      <c r="L1702" s="6">
        <v>111138.281</v>
      </c>
      <c r="M1702" s="6">
        <v>111138.281</v>
      </c>
      <c r="N1702" s="6">
        <v>111138.281</v>
      </c>
      <c r="O1702" s="6">
        <v>111138.281</v>
      </c>
      <c r="P1702" s="6">
        <v>446601</v>
      </c>
      <c r="Q1702" s="4" t="s">
        <v>26</v>
      </c>
      <c r="R1702" s="4">
        <v>0</v>
      </c>
      <c r="S1702" s="4" t="s">
        <v>266</v>
      </c>
      <c r="T1702" s="4" t="s">
        <v>503</v>
      </c>
      <c r="U1702" s="4">
        <v>0</v>
      </c>
      <c r="V1702" s="4">
        <v>13</v>
      </c>
      <c r="W1702" s="4">
        <v>58</v>
      </c>
    </row>
    <row r="1703" spans="1:23" ht="11.25" customHeight="1" x14ac:dyDescent="0.25">
      <c r="A1703" s="4" t="s">
        <v>27</v>
      </c>
      <c r="B1703" s="4" t="s">
        <v>22</v>
      </c>
      <c r="C1703" s="4" t="s">
        <v>23</v>
      </c>
      <c r="D1703" s="4" t="s">
        <v>24</v>
      </c>
      <c r="E1703" s="4" t="s">
        <v>24</v>
      </c>
      <c r="F1703" s="4" t="s">
        <v>25</v>
      </c>
      <c r="G1703" s="4" t="s">
        <v>25</v>
      </c>
      <c r="H1703" s="4" t="s">
        <v>25</v>
      </c>
      <c r="I1703" s="5">
        <v>44317</v>
      </c>
      <c r="J1703" s="6">
        <v>0</v>
      </c>
      <c r="K1703" s="6">
        <v>0</v>
      </c>
      <c r="L1703" s="6">
        <v>-3407.97</v>
      </c>
      <c r="M1703" s="6">
        <v>-3407.97</v>
      </c>
      <c r="N1703" s="6">
        <v>-3407.97</v>
      </c>
      <c r="O1703" s="6">
        <v>-3407.97</v>
      </c>
      <c r="P1703" s="6">
        <v>0</v>
      </c>
      <c r="Q1703" s="4" t="s">
        <v>26</v>
      </c>
      <c r="R1703" s="4">
        <v>0</v>
      </c>
      <c r="S1703" s="4" t="s">
        <v>266</v>
      </c>
      <c r="T1703" s="4" t="s">
        <v>503</v>
      </c>
      <c r="U1703" s="4">
        <v>0</v>
      </c>
      <c r="V1703" s="4">
        <v>13</v>
      </c>
      <c r="W1703" s="4">
        <v>58</v>
      </c>
    </row>
    <row r="1704" spans="1:23" ht="11.25" customHeight="1" x14ac:dyDescent="0.25">
      <c r="A1704" s="4" t="s">
        <v>28</v>
      </c>
      <c r="B1704" s="4" t="s">
        <v>22</v>
      </c>
      <c r="C1704" s="4" t="s">
        <v>23</v>
      </c>
      <c r="D1704" s="4" t="s">
        <v>24</v>
      </c>
      <c r="E1704" s="4" t="s">
        <v>24</v>
      </c>
      <c r="F1704" s="4" t="s">
        <v>25</v>
      </c>
      <c r="G1704" s="4" t="s">
        <v>25</v>
      </c>
      <c r="H1704" s="4" t="s">
        <v>25</v>
      </c>
      <c r="I1704" s="5">
        <v>44317</v>
      </c>
      <c r="J1704" s="6">
        <v>0</v>
      </c>
      <c r="K1704" s="6">
        <v>0</v>
      </c>
      <c r="L1704" s="6">
        <v>31084.111000000001</v>
      </c>
      <c r="M1704" s="6">
        <v>31084.111000000001</v>
      </c>
      <c r="N1704" s="6">
        <v>31084.111000000001</v>
      </c>
      <c r="O1704" s="6">
        <v>31084.111000000001</v>
      </c>
      <c r="P1704" s="6">
        <v>176492</v>
      </c>
      <c r="Q1704" s="4" t="s">
        <v>26</v>
      </c>
      <c r="R1704" s="4">
        <v>0</v>
      </c>
      <c r="S1704" s="4" t="s">
        <v>266</v>
      </c>
      <c r="T1704" s="4" t="s">
        <v>503</v>
      </c>
      <c r="U1704" s="4">
        <v>0</v>
      </c>
      <c r="V1704" s="4">
        <v>13</v>
      </c>
      <c r="W1704" s="4">
        <v>58</v>
      </c>
    </row>
    <row r="1705" spans="1:23" ht="11.25" customHeight="1" x14ac:dyDescent="0.25">
      <c r="A1705" s="4" t="s">
        <v>29</v>
      </c>
      <c r="B1705" s="4" t="s">
        <v>22</v>
      </c>
      <c r="C1705" s="4" t="s">
        <v>23</v>
      </c>
      <c r="D1705" s="4" t="s">
        <v>24</v>
      </c>
      <c r="E1705" s="4" t="s">
        <v>24</v>
      </c>
      <c r="F1705" s="4" t="s">
        <v>25</v>
      </c>
      <c r="G1705" s="4" t="s">
        <v>25</v>
      </c>
      <c r="H1705" s="4" t="s">
        <v>25</v>
      </c>
      <c r="I1705" s="5">
        <v>44317</v>
      </c>
      <c r="J1705" s="6">
        <v>0</v>
      </c>
      <c r="K1705" s="6">
        <v>0</v>
      </c>
      <c r="L1705" s="6">
        <v>-499.12</v>
      </c>
      <c r="M1705" s="6">
        <v>-499.12</v>
      </c>
      <c r="N1705" s="6">
        <v>-499.12</v>
      </c>
      <c r="O1705" s="6">
        <v>-499.12</v>
      </c>
      <c r="P1705" s="6">
        <v>0</v>
      </c>
      <c r="Q1705" s="4" t="s">
        <v>26</v>
      </c>
      <c r="R1705" s="4">
        <v>0</v>
      </c>
      <c r="S1705" s="4" t="s">
        <v>266</v>
      </c>
      <c r="T1705" s="4" t="s">
        <v>503</v>
      </c>
      <c r="U1705" s="4">
        <v>0</v>
      </c>
      <c r="V1705" s="4">
        <v>13</v>
      </c>
      <c r="W1705" s="4">
        <v>58</v>
      </c>
    </row>
    <row r="1706" spans="1:23" ht="11.25" customHeight="1" x14ac:dyDescent="0.25">
      <c r="A1706" s="4" t="s">
        <v>30</v>
      </c>
      <c r="B1706" s="4" t="s">
        <v>22</v>
      </c>
      <c r="C1706" s="4" t="s">
        <v>23</v>
      </c>
      <c r="D1706" s="4" t="s">
        <v>24</v>
      </c>
      <c r="E1706" s="4" t="s">
        <v>24</v>
      </c>
      <c r="F1706" s="4" t="s">
        <v>25</v>
      </c>
      <c r="G1706" s="4" t="s">
        <v>25</v>
      </c>
      <c r="H1706" s="4" t="s">
        <v>25</v>
      </c>
      <c r="I1706" s="5">
        <v>44317</v>
      </c>
      <c r="J1706" s="6">
        <v>0</v>
      </c>
      <c r="K1706" s="6">
        <v>0</v>
      </c>
      <c r="L1706" s="6">
        <v>1586.3230000000001</v>
      </c>
      <c r="M1706" s="6">
        <v>1586.3230000000001</v>
      </c>
      <c r="N1706" s="6">
        <v>1586.3230000000001</v>
      </c>
      <c r="O1706" s="6">
        <v>1586.3230000000001</v>
      </c>
      <c r="P1706" s="6">
        <v>2181</v>
      </c>
      <c r="Q1706" s="4" t="s">
        <v>26</v>
      </c>
      <c r="R1706" s="4">
        <v>0</v>
      </c>
      <c r="S1706" s="4" t="s">
        <v>266</v>
      </c>
      <c r="T1706" s="4" t="s">
        <v>503</v>
      </c>
      <c r="U1706" s="4">
        <v>0</v>
      </c>
      <c r="V1706" s="4">
        <v>13</v>
      </c>
      <c r="W1706" s="4">
        <v>58</v>
      </c>
    </row>
    <row r="1707" spans="1:23" ht="11.25" customHeight="1" x14ac:dyDescent="0.25">
      <c r="A1707" s="4" t="s">
        <v>30</v>
      </c>
      <c r="B1707" s="4" t="s">
        <v>22</v>
      </c>
      <c r="C1707" s="4" t="s">
        <v>23</v>
      </c>
      <c r="D1707" s="4" t="s">
        <v>24</v>
      </c>
      <c r="E1707" s="4" t="s">
        <v>24</v>
      </c>
      <c r="F1707" s="4" t="s">
        <v>25</v>
      </c>
      <c r="G1707" s="4" t="s">
        <v>25</v>
      </c>
      <c r="H1707" s="4" t="s">
        <v>25</v>
      </c>
      <c r="I1707" s="5">
        <v>44317</v>
      </c>
      <c r="J1707" s="6">
        <v>0</v>
      </c>
      <c r="K1707" s="6">
        <v>0</v>
      </c>
      <c r="L1707" s="6">
        <v>-19.84</v>
      </c>
      <c r="M1707" s="6">
        <v>-19.84</v>
      </c>
      <c r="N1707" s="6">
        <v>-19.84</v>
      </c>
      <c r="O1707" s="6">
        <v>-19.84</v>
      </c>
      <c r="P1707" s="6">
        <v>0</v>
      </c>
      <c r="Q1707" s="4" t="s">
        <v>26</v>
      </c>
      <c r="R1707" s="4">
        <v>0</v>
      </c>
      <c r="S1707" s="4" t="s">
        <v>266</v>
      </c>
      <c r="T1707" s="4" t="s">
        <v>503</v>
      </c>
      <c r="U1707" s="4">
        <v>0</v>
      </c>
      <c r="V1707" s="4">
        <v>13</v>
      </c>
      <c r="W1707" s="4">
        <v>58</v>
      </c>
    </row>
    <row r="1708" spans="1:23" ht="11.25" customHeight="1" x14ac:dyDescent="0.25">
      <c r="A1708" s="4" t="s">
        <v>21</v>
      </c>
      <c r="B1708" s="4" t="s">
        <v>22</v>
      </c>
      <c r="C1708" s="4" t="s">
        <v>23</v>
      </c>
      <c r="D1708" s="4" t="s">
        <v>24</v>
      </c>
      <c r="E1708" s="4" t="s">
        <v>24</v>
      </c>
      <c r="F1708" s="4" t="s">
        <v>25</v>
      </c>
      <c r="G1708" s="4" t="s">
        <v>25</v>
      </c>
      <c r="H1708" s="4" t="s">
        <v>25</v>
      </c>
      <c r="I1708" s="5">
        <v>44348</v>
      </c>
      <c r="J1708" s="6">
        <v>0</v>
      </c>
      <c r="K1708" s="6">
        <v>0</v>
      </c>
      <c r="L1708" s="6">
        <v>118555.575</v>
      </c>
      <c r="M1708" s="6">
        <v>118555.575</v>
      </c>
      <c r="N1708" s="6">
        <v>118555.575</v>
      </c>
      <c r="O1708" s="6">
        <v>118555.575</v>
      </c>
      <c r="P1708" s="6">
        <v>445937</v>
      </c>
      <c r="Q1708" s="4" t="s">
        <v>26</v>
      </c>
      <c r="R1708" s="4">
        <v>0</v>
      </c>
      <c r="S1708" s="4" t="s">
        <v>267</v>
      </c>
      <c r="T1708" s="4" t="s">
        <v>504</v>
      </c>
      <c r="U1708" s="4">
        <v>0</v>
      </c>
      <c r="V1708" s="4">
        <v>13</v>
      </c>
      <c r="W1708" s="4">
        <v>58</v>
      </c>
    </row>
    <row r="1709" spans="1:23" ht="11.25" customHeight="1" x14ac:dyDescent="0.25">
      <c r="A1709" s="4" t="s">
        <v>27</v>
      </c>
      <c r="B1709" s="4" t="s">
        <v>22</v>
      </c>
      <c r="C1709" s="4" t="s">
        <v>23</v>
      </c>
      <c r="D1709" s="4" t="s">
        <v>24</v>
      </c>
      <c r="E1709" s="4" t="s">
        <v>24</v>
      </c>
      <c r="F1709" s="4" t="s">
        <v>25</v>
      </c>
      <c r="G1709" s="4" t="s">
        <v>25</v>
      </c>
      <c r="H1709" s="4" t="s">
        <v>25</v>
      </c>
      <c r="I1709" s="5">
        <v>44348</v>
      </c>
      <c r="J1709" s="6">
        <v>0</v>
      </c>
      <c r="K1709" s="6">
        <v>0</v>
      </c>
      <c r="L1709" s="6">
        <v>-3964.3440000000001</v>
      </c>
      <c r="M1709" s="6">
        <v>-3964.3440000000001</v>
      </c>
      <c r="N1709" s="6">
        <v>-3964.3440000000001</v>
      </c>
      <c r="O1709" s="6">
        <v>-3964.3440000000001</v>
      </c>
      <c r="P1709" s="6">
        <v>0</v>
      </c>
      <c r="Q1709" s="4" t="s">
        <v>26</v>
      </c>
      <c r="R1709" s="4">
        <v>0</v>
      </c>
      <c r="S1709" s="4" t="s">
        <v>267</v>
      </c>
      <c r="T1709" s="4" t="s">
        <v>504</v>
      </c>
      <c r="U1709" s="4">
        <v>0</v>
      </c>
      <c r="V1709" s="4">
        <v>13</v>
      </c>
      <c r="W1709" s="4">
        <v>58</v>
      </c>
    </row>
    <row r="1710" spans="1:23" ht="11.25" customHeight="1" x14ac:dyDescent="0.25">
      <c r="A1710" s="4" t="s">
        <v>28</v>
      </c>
      <c r="B1710" s="4" t="s">
        <v>22</v>
      </c>
      <c r="C1710" s="4" t="s">
        <v>23</v>
      </c>
      <c r="D1710" s="4" t="s">
        <v>24</v>
      </c>
      <c r="E1710" s="4" t="s">
        <v>24</v>
      </c>
      <c r="F1710" s="4" t="s">
        <v>25</v>
      </c>
      <c r="G1710" s="4" t="s">
        <v>25</v>
      </c>
      <c r="H1710" s="4" t="s">
        <v>25</v>
      </c>
      <c r="I1710" s="5">
        <v>44348</v>
      </c>
      <c r="J1710" s="6">
        <v>0</v>
      </c>
      <c r="K1710" s="6">
        <v>0</v>
      </c>
      <c r="L1710" s="6">
        <v>33036.377999999997</v>
      </c>
      <c r="M1710" s="6">
        <v>33036.377999999997</v>
      </c>
      <c r="N1710" s="6">
        <v>33036.377999999997</v>
      </c>
      <c r="O1710" s="6">
        <v>33036.377999999997</v>
      </c>
      <c r="P1710" s="6">
        <v>176259</v>
      </c>
      <c r="Q1710" s="4" t="s">
        <v>26</v>
      </c>
      <c r="R1710" s="4">
        <v>0</v>
      </c>
      <c r="S1710" s="4" t="s">
        <v>267</v>
      </c>
      <c r="T1710" s="4" t="s">
        <v>504</v>
      </c>
      <c r="U1710" s="4">
        <v>0</v>
      </c>
      <c r="V1710" s="4">
        <v>13</v>
      </c>
      <c r="W1710" s="4">
        <v>58</v>
      </c>
    </row>
    <row r="1711" spans="1:23" ht="11.25" customHeight="1" x14ac:dyDescent="0.25">
      <c r="A1711" s="4" t="s">
        <v>29</v>
      </c>
      <c r="B1711" s="4" t="s">
        <v>22</v>
      </c>
      <c r="C1711" s="4" t="s">
        <v>23</v>
      </c>
      <c r="D1711" s="4" t="s">
        <v>24</v>
      </c>
      <c r="E1711" s="4" t="s">
        <v>24</v>
      </c>
      <c r="F1711" s="4" t="s">
        <v>25</v>
      </c>
      <c r="G1711" s="4" t="s">
        <v>25</v>
      </c>
      <c r="H1711" s="4" t="s">
        <v>25</v>
      </c>
      <c r="I1711" s="5">
        <v>44348</v>
      </c>
      <c r="J1711" s="6">
        <v>0</v>
      </c>
      <c r="K1711" s="6">
        <v>0</v>
      </c>
      <c r="L1711" s="6">
        <v>-620.49199999999996</v>
      </c>
      <c r="M1711" s="6">
        <v>-620.49199999999996</v>
      </c>
      <c r="N1711" s="6">
        <v>-620.49199999999996</v>
      </c>
      <c r="O1711" s="6">
        <v>-620.49199999999996</v>
      </c>
      <c r="P1711" s="6">
        <v>0</v>
      </c>
      <c r="Q1711" s="4" t="s">
        <v>26</v>
      </c>
      <c r="R1711" s="4">
        <v>0</v>
      </c>
      <c r="S1711" s="4" t="s">
        <v>267</v>
      </c>
      <c r="T1711" s="4" t="s">
        <v>504</v>
      </c>
      <c r="U1711" s="4">
        <v>0</v>
      </c>
      <c r="V1711" s="4">
        <v>13</v>
      </c>
      <c r="W1711" s="4">
        <v>58</v>
      </c>
    </row>
    <row r="1712" spans="1:23" ht="11.25" customHeight="1" x14ac:dyDescent="0.25">
      <c r="A1712" s="4" t="s">
        <v>30</v>
      </c>
      <c r="B1712" s="4" t="s">
        <v>22</v>
      </c>
      <c r="C1712" s="4" t="s">
        <v>23</v>
      </c>
      <c r="D1712" s="4" t="s">
        <v>24</v>
      </c>
      <c r="E1712" s="4" t="s">
        <v>24</v>
      </c>
      <c r="F1712" s="4" t="s">
        <v>25</v>
      </c>
      <c r="G1712" s="4" t="s">
        <v>25</v>
      </c>
      <c r="H1712" s="4" t="s">
        <v>25</v>
      </c>
      <c r="I1712" s="5">
        <v>44348</v>
      </c>
      <c r="J1712" s="6">
        <v>0</v>
      </c>
      <c r="K1712" s="6">
        <v>0</v>
      </c>
      <c r="L1712" s="6">
        <v>1824.732</v>
      </c>
      <c r="M1712" s="6">
        <v>1824.732</v>
      </c>
      <c r="N1712" s="6">
        <v>1824.732</v>
      </c>
      <c r="O1712" s="6">
        <v>1824.732</v>
      </c>
      <c r="P1712" s="6">
        <v>2299</v>
      </c>
      <c r="Q1712" s="4" t="s">
        <v>26</v>
      </c>
      <c r="R1712" s="4">
        <v>0</v>
      </c>
      <c r="S1712" s="4" t="s">
        <v>267</v>
      </c>
      <c r="T1712" s="4" t="s">
        <v>504</v>
      </c>
      <c r="U1712" s="4">
        <v>0</v>
      </c>
      <c r="V1712" s="4">
        <v>13</v>
      </c>
      <c r="W1712" s="4">
        <v>58</v>
      </c>
    </row>
    <row r="1713" spans="1:23" ht="11.25" customHeight="1" x14ac:dyDescent="0.25">
      <c r="A1713" s="4" t="s">
        <v>30</v>
      </c>
      <c r="B1713" s="4" t="s">
        <v>22</v>
      </c>
      <c r="C1713" s="4" t="s">
        <v>23</v>
      </c>
      <c r="D1713" s="4" t="s">
        <v>24</v>
      </c>
      <c r="E1713" s="4" t="s">
        <v>24</v>
      </c>
      <c r="F1713" s="4" t="s">
        <v>25</v>
      </c>
      <c r="G1713" s="4" t="s">
        <v>25</v>
      </c>
      <c r="H1713" s="4" t="s">
        <v>25</v>
      </c>
      <c r="I1713" s="5">
        <v>44348</v>
      </c>
      <c r="J1713" s="6">
        <v>0</v>
      </c>
      <c r="K1713" s="6">
        <v>0</v>
      </c>
      <c r="L1713" s="6">
        <v>-5.93</v>
      </c>
      <c r="M1713" s="6">
        <v>-5.93</v>
      </c>
      <c r="N1713" s="6">
        <v>-5.93</v>
      </c>
      <c r="O1713" s="6">
        <v>-5.93</v>
      </c>
      <c r="P1713" s="6">
        <v>0</v>
      </c>
      <c r="Q1713" s="4" t="s">
        <v>26</v>
      </c>
      <c r="R1713" s="4">
        <v>0</v>
      </c>
      <c r="S1713" s="4" t="s">
        <v>267</v>
      </c>
      <c r="T1713" s="4" t="s">
        <v>504</v>
      </c>
      <c r="U1713" s="4">
        <v>0</v>
      </c>
      <c r="V1713" s="4">
        <v>13</v>
      </c>
      <c r="W1713" s="4">
        <v>58</v>
      </c>
    </row>
    <row r="1714" spans="1:23" ht="11.25" customHeight="1" x14ac:dyDescent="0.25">
      <c r="A1714" s="4" t="s">
        <v>21</v>
      </c>
      <c r="B1714" s="4" t="s">
        <v>22</v>
      </c>
      <c r="C1714" s="4" t="s">
        <v>23</v>
      </c>
      <c r="D1714" s="4" t="s">
        <v>24</v>
      </c>
      <c r="E1714" s="4" t="s">
        <v>24</v>
      </c>
      <c r="F1714" s="4" t="s">
        <v>25</v>
      </c>
      <c r="G1714" s="4" t="s">
        <v>25</v>
      </c>
      <c r="H1714" s="4" t="s">
        <v>25</v>
      </c>
      <c r="I1714" s="5">
        <v>44378</v>
      </c>
      <c r="J1714" s="6">
        <v>0</v>
      </c>
      <c r="K1714" s="6">
        <v>0</v>
      </c>
      <c r="L1714" s="6">
        <v>111651.641</v>
      </c>
      <c r="M1714" s="6">
        <v>111651.641</v>
      </c>
      <c r="N1714" s="6">
        <v>111651.641</v>
      </c>
      <c r="O1714" s="6">
        <v>111651.641</v>
      </c>
      <c r="P1714" s="6">
        <v>447391</v>
      </c>
      <c r="Q1714" s="4" t="s">
        <v>26</v>
      </c>
      <c r="R1714" s="4">
        <v>0</v>
      </c>
      <c r="S1714" s="4" t="s">
        <v>268</v>
      </c>
      <c r="T1714" s="4" t="s">
        <v>505</v>
      </c>
      <c r="U1714" s="4">
        <v>0</v>
      </c>
      <c r="V1714" s="4">
        <v>13</v>
      </c>
      <c r="W1714" s="4">
        <v>58</v>
      </c>
    </row>
    <row r="1715" spans="1:23" ht="11.25" customHeight="1" x14ac:dyDescent="0.25">
      <c r="A1715" s="4" t="s">
        <v>27</v>
      </c>
      <c r="B1715" s="4" t="s">
        <v>22</v>
      </c>
      <c r="C1715" s="4" t="s">
        <v>23</v>
      </c>
      <c r="D1715" s="4" t="s">
        <v>24</v>
      </c>
      <c r="E1715" s="4" t="s">
        <v>24</v>
      </c>
      <c r="F1715" s="4" t="s">
        <v>25</v>
      </c>
      <c r="G1715" s="4" t="s">
        <v>25</v>
      </c>
      <c r="H1715" s="4" t="s">
        <v>25</v>
      </c>
      <c r="I1715" s="5">
        <v>44378</v>
      </c>
      <c r="J1715" s="6">
        <v>0</v>
      </c>
      <c r="K1715" s="6">
        <v>0</v>
      </c>
      <c r="L1715" s="6">
        <v>-2905.4259999999999</v>
      </c>
      <c r="M1715" s="6">
        <v>-2905.4259999999999</v>
      </c>
      <c r="N1715" s="6">
        <v>-2905.4259999999999</v>
      </c>
      <c r="O1715" s="6">
        <v>-2905.4259999999999</v>
      </c>
      <c r="P1715" s="6">
        <v>0</v>
      </c>
      <c r="Q1715" s="4" t="s">
        <v>26</v>
      </c>
      <c r="R1715" s="4">
        <v>0</v>
      </c>
      <c r="S1715" s="4" t="s">
        <v>268</v>
      </c>
      <c r="T1715" s="4" t="s">
        <v>505</v>
      </c>
      <c r="U1715" s="4">
        <v>0</v>
      </c>
      <c r="V1715" s="4">
        <v>13</v>
      </c>
      <c r="W1715" s="4">
        <v>58</v>
      </c>
    </row>
    <row r="1716" spans="1:23" ht="11.25" customHeight="1" x14ac:dyDescent="0.25">
      <c r="A1716" s="4" t="s">
        <v>28</v>
      </c>
      <c r="B1716" s="4" t="s">
        <v>22</v>
      </c>
      <c r="C1716" s="4" t="s">
        <v>23</v>
      </c>
      <c r="D1716" s="4" t="s">
        <v>24</v>
      </c>
      <c r="E1716" s="4" t="s">
        <v>24</v>
      </c>
      <c r="F1716" s="4" t="s">
        <v>25</v>
      </c>
      <c r="G1716" s="4" t="s">
        <v>25</v>
      </c>
      <c r="H1716" s="4" t="s">
        <v>25</v>
      </c>
      <c r="I1716" s="5">
        <v>44378</v>
      </c>
      <c r="J1716" s="6">
        <v>0</v>
      </c>
      <c r="K1716" s="6">
        <v>0</v>
      </c>
      <c r="L1716" s="6">
        <v>30282.387999999999</v>
      </c>
      <c r="M1716" s="6">
        <v>30282.387999999999</v>
      </c>
      <c r="N1716" s="6">
        <v>30282.387999999999</v>
      </c>
      <c r="O1716" s="6">
        <v>30282.387999999999</v>
      </c>
      <c r="P1716" s="6">
        <v>176201</v>
      </c>
      <c r="Q1716" s="4" t="s">
        <v>26</v>
      </c>
      <c r="R1716" s="4">
        <v>0</v>
      </c>
      <c r="S1716" s="4" t="s">
        <v>268</v>
      </c>
      <c r="T1716" s="4" t="s">
        <v>505</v>
      </c>
      <c r="U1716" s="4">
        <v>0</v>
      </c>
      <c r="V1716" s="4">
        <v>13</v>
      </c>
      <c r="W1716" s="4">
        <v>58</v>
      </c>
    </row>
    <row r="1717" spans="1:23" ht="11.25" customHeight="1" x14ac:dyDescent="0.25">
      <c r="A1717" s="4" t="s">
        <v>29</v>
      </c>
      <c r="B1717" s="4" t="s">
        <v>22</v>
      </c>
      <c r="C1717" s="4" t="s">
        <v>23</v>
      </c>
      <c r="D1717" s="4" t="s">
        <v>24</v>
      </c>
      <c r="E1717" s="4" t="s">
        <v>24</v>
      </c>
      <c r="F1717" s="4" t="s">
        <v>25</v>
      </c>
      <c r="G1717" s="4" t="s">
        <v>25</v>
      </c>
      <c r="H1717" s="4" t="s">
        <v>25</v>
      </c>
      <c r="I1717" s="5">
        <v>44378</v>
      </c>
      <c r="J1717" s="6">
        <v>0</v>
      </c>
      <c r="K1717" s="6">
        <v>0</v>
      </c>
      <c r="L1717" s="6">
        <v>-488.86700000000002</v>
      </c>
      <c r="M1717" s="6">
        <v>-488.86700000000002</v>
      </c>
      <c r="N1717" s="6">
        <v>-488.86700000000002</v>
      </c>
      <c r="O1717" s="6">
        <v>-488.86700000000002</v>
      </c>
      <c r="P1717" s="6">
        <v>0</v>
      </c>
      <c r="Q1717" s="4" t="s">
        <v>26</v>
      </c>
      <c r="R1717" s="4">
        <v>0</v>
      </c>
      <c r="S1717" s="4" t="s">
        <v>268</v>
      </c>
      <c r="T1717" s="4" t="s">
        <v>505</v>
      </c>
      <c r="U1717" s="4">
        <v>0</v>
      </c>
      <c r="V1717" s="4">
        <v>13</v>
      </c>
      <c r="W1717" s="4">
        <v>58</v>
      </c>
    </row>
    <row r="1718" spans="1:23" ht="11.25" customHeight="1" x14ac:dyDescent="0.25">
      <c r="A1718" s="4" t="s">
        <v>30</v>
      </c>
      <c r="B1718" s="4" t="s">
        <v>22</v>
      </c>
      <c r="C1718" s="4" t="s">
        <v>23</v>
      </c>
      <c r="D1718" s="4" t="s">
        <v>24</v>
      </c>
      <c r="E1718" s="4" t="s">
        <v>24</v>
      </c>
      <c r="F1718" s="4" t="s">
        <v>25</v>
      </c>
      <c r="G1718" s="4" t="s">
        <v>25</v>
      </c>
      <c r="H1718" s="4" t="s">
        <v>25</v>
      </c>
      <c r="I1718" s="5">
        <v>44378</v>
      </c>
      <c r="J1718" s="6">
        <v>0</v>
      </c>
      <c r="K1718" s="6">
        <v>0</v>
      </c>
      <c r="L1718" s="6">
        <v>1794.9590000000001</v>
      </c>
      <c r="M1718" s="6">
        <v>1794.9590000000001</v>
      </c>
      <c r="N1718" s="6">
        <v>1794.9590000000001</v>
      </c>
      <c r="O1718" s="6">
        <v>1794.9590000000001</v>
      </c>
      <c r="P1718" s="6">
        <v>2416</v>
      </c>
      <c r="Q1718" s="4" t="s">
        <v>26</v>
      </c>
      <c r="R1718" s="4">
        <v>0</v>
      </c>
      <c r="S1718" s="4" t="s">
        <v>268</v>
      </c>
      <c r="T1718" s="4" t="s">
        <v>505</v>
      </c>
      <c r="U1718" s="4">
        <v>0</v>
      </c>
      <c r="V1718" s="4">
        <v>13</v>
      </c>
      <c r="W1718" s="4">
        <v>58</v>
      </c>
    </row>
    <row r="1719" spans="1:23" ht="11.25" customHeight="1" x14ac:dyDescent="0.25">
      <c r="A1719" s="4" t="s">
        <v>30</v>
      </c>
      <c r="B1719" s="4" t="s">
        <v>22</v>
      </c>
      <c r="C1719" s="4" t="s">
        <v>23</v>
      </c>
      <c r="D1719" s="4" t="s">
        <v>24</v>
      </c>
      <c r="E1719" s="4" t="s">
        <v>24</v>
      </c>
      <c r="F1719" s="4" t="s">
        <v>25</v>
      </c>
      <c r="G1719" s="4" t="s">
        <v>25</v>
      </c>
      <c r="H1719" s="4" t="s">
        <v>25</v>
      </c>
      <c r="I1719" s="5">
        <v>44378</v>
      </c>
      <c r="J1719" s="6">
        <v>0</v>
      </c>
      <c r="K1719" s="6">
        <v>0</v>
      </c>
      <c r="L1719" s="6">
        <v>-0.43099999999999999</v>
      </c>
      <c r="M1719" s="6">
        <v>-0.43099999999999999</v>
      </c>
      <c r="N1719" s="6">
        <v>-0.43099999999999999</v>
      </c>
      <c r="O1719" s="6">
        <v>-0.43099999999999999</v>
      </c>
      <c r="P1719" s="6">
        <v>0</v>
      </c>
      <c r="Q1719" s="4" t="s">
        <v>26</v>
      </c>
      <c r="R1719" s="4">
        <v>0</v>
      </c>
      <c r="S1719" s="4" t="s">
        <v>268</v>
      </c>
      <c r="T1719" s="4" t="s">
        <v>505</v>
      </c>
      <c r="U1719" s="4">
        <v>0</v>
      </c>
      <c r="V1719" s="4">
        <v>13</v>
      </c>
      <c r="W1719" s="4">
        <v>58</v>
      </c>
    </row>
    <row r="1720" spans="1:23" ht="11.25" customHeight="1" x14ac:dyDescent="0.25">
      <c r="A1720" s="4" t="s">
        <v>21</v>
      </c>
      <c r="B1720" s="4" t="s">
        <v>22</v>
      </c>
      <c r="C1720" s="4" t="s">
        <v>23</v>
      </c>
      <c r="D1720" s="4" t="s">
        <v>24</v>
      </c>
      <c r="E1720" s="4" t="s">
        <v>24</v>
      </c>
      <c r="F1720" s="4" t="s">
        <v>25</v>
      </c>
      <c r="G1720" s="4" t="s">
        <v>25</v>
      </c>
      <c r="H1720" s="4" t="s">
        <v>25</v>
      </c>
      <c r="I1720" s="5">
        <v>44409</v>
      </c>
      <c r="J1720" s="6">
        <v>0</v>
      </c>
      <c r="K1720" s="6">
        <v>0</v>
      </c>
      <c r="L1720" s="6">
        <v>122773.12</v>
      </c>
      <c r="M1720" s="6">
        <v>122773.12</v>
      </c>
      <c r="N1720" s="6">
        <v>122773.12</v>
      </c>
      <c r="O1720" s="6">
        <v>122773.12</v>
      </c>
      <c r="P1720" s="6">
        <v>446597</v>
      </c>
      <c r="Q1720" s="4" t="s">
        <v>26</v>
      </c>
      <c r="R1720" s="4">
        <v>0</v>
      </c>
      <c r="S1720" s="4" t="s">
        <v>269</v>
      </c>
      <c r="T1720" s="4" t="s">
        <v>506</v>
      </c>
      <c r="U1720" s="4">
        <v>0</v>
      </c>
      <c r="V1720" s="4">
        <v>13</v>
      </c>
      <c r="W1720" s="4">
        <v>58</v>
      </c>
    </row>
    <row r="1721" spans="1:23" ht="11.25" customHeight="1" x14ac:dyDescent="0.25">
      <c r="A1721" s="4" t="s">
        <v>27</v>
      </c>
      <c r="B1721" s="4" t="s">
        <v>22</v>
      </c>
      <c r="C1721" s="4" t="s">
        <v>23</v>
      </c>
      <c r="D1721" s="4" t="s">
        <v>24</v>
      </c>
      <c r="E1721" s="4" t="s">
        <v>24</v>
      </c>
      <c r="F1721" s="4" t="s">
        <v>25</v>
      </c>
      <c r="G1721" s="4" t="s">
        <v>25</v>
      </c>
      <c r="H1721" s="4" t="s">
        <v>25</v>
      </c>
      <c r="I1721" s="5">
        <v>44409</v>
      </c>
      <c r="J1721" s="6">
        <v>0</v>
      </c>
      <c r="K1721" s="6">
        <v>0</v>
      </c>
      <c r="L1721" s="6">
        <v>-3222.1439999999998</v>
      </c>
      <c r="M1721" s="6">
        <v>-3222.1439999999998</v>
      </c>
      <c r="N1721" s="6">
        <v>-3222.1439999999998</v>
      </c>
      <c r="O1721" s="6">
        <v>-3222.1439999999998</v>
      </c>
      <c r="P1721" s="6">
        <v>0</v>
      </c>
      <c r="Q1721" s="4" t="s">
        <v>26</v>
      </c>
      <c r="R1721" s="4">
        <v>0</v>
      </c>
      <c r="S1721" s="4" t="s">
        <v>269</v>
      </c>
      <c r="T1721" s="4" t="s">
        <v>506</v>
      </c>
      <c r="U1721" s="4">
        <v>0</v>
      </c>
      <c r="V1721" s="4">
        <v>13</v>
      </c>
      <c r="W1721" s="4">
        <v>58</v>
      </c>
    </row>
    <row r="1722" spans="1:23" ht="11.25" customHeight="1" x14ac:dyDescent="0.25">
      <c r="A1722" s="4" t="s">
        <v>28</v>
      </c>
      <c r="B1722" s="4" t="s">
        <v>22</v>
      </c>
      <c r="C1722" s="4" t="s">
        <v>23</v>
      </c>
      <c r="D1722" s="4" t="s">
        <v>24</v>
      </c>
      <c r="E1722" s="4" t="s">
        <v>24</v>
      </c>
      <c r="F1722" s="4" t="s">
        <v>25</v>
      </c>
      <c r="G1722" s="4" t="s">
        <v>25</v>
      </c>
      <c r="H1722" s="4" t="s">
        <v>25</v>
      </c>
      <c r="I1722" s="5">
        <v>44409</v>
      </c>
      <c r="J1722" s="6">
        <v>0</v>
      </c>
      <c r="K1722" s="6">
        <v>0</v>
      </c>
      <c r="L1722" s="6">
        <v>32647.045999999998</v>
      </c>
      <c r="M1722" s="6">
        <v>32647.045999999998</v>
      </c>
      <c r="N1722" s="6">
        <v>32647.045999999998</v>
      </c>
      <c r="O1722" s="6">
        <v>32647.045999999998</v>
      </c>
      <c r="P1722" s="6">
        <v>175316</v>
      </c>
      <c r="Q1722" s="4" t="s">
        <v>26</v>
      </c>
      <c r="R1722" s="4">
        <v>0</v>
      </c>
      <c r="S1722" s="4" t="s">
        <v>269</v>
      </c>
      <c r="T1722" s="4" t="s">
        <v>506</v>
      </c>
      <c r="U1722" s="4">
        <v>0</v>
      </c>
      <c r="V1722" s="4">
        <v>13</v>
      </c>
      <c r="W1722" s="4">
        <v>58</v>
      </c>
    </row>
    <row r="1723" spans="1:23" ht="11.25" customHeight="1" x14ac:dyDescent="0.25">
      <c r="A1723" s="4" t="s">
        <v>29</v>
      </c>
      <c r="B1723" s="4" t="s">
        <v>22</v>
      </c>
      <c r="C1723" s="4" t="s">
        <v>23</v>
      </c>
      <c r="D1723" s="4" t="s">
        <v>24</v>
      </c>
      <c r="E1723" s="4" t="s">
        <v>24</v>
      </c>
      <c r="F1723" s="4" t="s">
        <v>25</v>
      </c>
      <c r="G1723" s="4" t="s">
        <v>25</v>
      </c>
      <c r="H1723" s="4" t="s">
        <v>25</v>
      </c>
      <c r="I1723" s="5">
        <v>44409</v>
      </c>
      <c r="J1723" s="6">
        <v>0</v>
      </c>
      <c r="K1723" s="6">
        <v>0</v>
      </c>
      <c r="L1723" s="6">
        <v>-288.92599999999999</v>
      </c>
      <c r="M1723" s="6">
        <v>-288.92599999999999</v>
      </c>
      <c r="N1723" s="6">
        <v>-288.92599999999999</v>
      </c>
      <c r="O1723" s="6">
        <v>-288.92599999999999</v>
      </c>
      <c r="P1723" s="6">
        <v>0</v>
      </c>
      <c r="Q1723" s="4" t="s">
        <v>26</v>
      </c>
      <c r="R1723" s="4">
        <v>0</v>
      </c>
      <c r="S1723" s="4" t="s">
        <v>269</v>
      </c>
      <c r="T1723" s="4" t="s">
        <v>506</v>
      </c>
      <c r="U1723" s="4">
        <v>0</v>
      </c>
      <c r="V1723" s="4">
        <v>13</v>
      </c>
      <c r="W1723" s="4">
        <v>58</v>
      </c>
    </row>
    <row r="1724" spans="1:23" ht="11.25" customHeight="1" x14ac:dyDescent="0.25">
      <c r="A1724" s="4" t="s">
        <v>30</v>
      </c>
      <c r="B1724" s="4" t="s">
        <v>22</v>
      </c>
      <c r="C1724" s="4" t="s">
        <v>23</v>
      </c>
      <c r="D1724" s="4" t="s">
        <v>24</v>
      </c>
      <c r="E1724" s="4" t="s">
        <v>24</v>
      </c>
      <c r="F1724" s="4" t="s">
        <v>25</v>
      </c>
      <c r="G1724" s="4" t="s">
        <v>25</v>
      </c>
      <c r="H1724" s="4" t="s">
        <v>25</v>
      </c>
      <c r="I1724" s="5">
        <v>44409</v>
      </c>
      <c r="J1724" s="6">
        <v>0</v>
      </c>
      <c r="K1724" s="6">
        <v>0</v>
      </c>
      <c r="L1724" s="6">
        <v>2055.5010000000002</v>
      </c>
      <c r="M1724" s="6">
        <v>2055.5010000000002</v>
      </c>
      <c r="N1724" s="6">
        <v>2055.5010000000002</v>
      </c>
      <c r="O1724" s="6">
        <v>2055.5010000000002</v>
      </c>
      <c r="P1724" s="6">
        <v>2537</v>
      </c>
      <c r="Q1724" s="4" t="s">
        <v>26</v>
      </c>
      <c r="R1724" s="4">
        <v>0</v>
      </c>
      <c r="S1724" s="4" t="s">
        <v>269</v>
      </c>
      <c r="T1724" s="4" t="s">
        <v>506</v>
      </c>
      <c r="U1724" s="4">
        <v>0</v>
      </c>
      <c r="V1724" s="4">
        <v>13</v>
      </c>
      <c r="W1724" s="4">
        <v>58</v>
      </c>
    </row>
    <row r="1725" spans="1:23" ht="11.25" customHeight="1" x14ac:dyDescent="0.25">
      <c r="A1725" s="4" t="s">
        <v>30</v>
      </c>
      <c r="B1725" s="4" t="s">
        <v>22</v>
      </c>
      <c r="C1725" s="4" t="s">
        <v>23</v>
      </c>
      <c r="D1725" s="4" t="s">
        <v>24</v>
      </c>
      <c r="E1725" s="4" t="s">
        <v>24</v>
      </c>
      <c r="F1725" s="4" t="s">
        <v>25</v>
      </c>
      <c r="G1725" s="4" t="s">
        <v>25</v>
      </c>
      <c r="H1725" s="4" t="s">
        <v>25</v>
      </c>
      <c r="I1725" s="5">
        <v>44409</v>
      </c>
      <c r="J1725" s="6">
        <v>0</v>
      </c>
      <c r="K1725" s="6">
        <v>0</v>
      </c>
      <c r="L1725" s="6">
        <v>0.18099999999999999</v>
      </c>
      <c r="M1725" s="6">
        <v>0.18099999999999999</v>
      </c>
      <c r="N1725" s="6">
        <v>0.18099999999999999</v>
      </c>
      <c r="O1725" s="6">
        <v>0.18099999999999999</v>
      </c>
      <c r="P1725" s="6">
        <v>0</v>
      </c>
      <c r="Q1725" s="4" t="s">
        <v>26</v>
      </c>
      <c r="R1725" s="4">
        <v>0</v>
      </c>
      <c r="S1725" s="4" t="s">
        <v>269</v>
      </c>
      <c r="T1725" s="4" t="s">
        <v>506</v>
      </c>
      <c r="U1725" s="4">
        <v>0</v>
      </c>
      <c r="V1725" s="4">
        <v>13</v>
      </c>
      <c r="W1725" s="4">
        <v>58</v>
      </c>
    </row>
    <row r="1726" spans="1:23" ht="11.25" customHeight="1" x14ac:dyDescent="0.25">
      <c r="A1726" s="4" t="s">
        <v>21</v>
      </c>
      <c r="B1726" s="4" t="s">
        <v>22</v>
      </c>
      <c r="C1726" s="4" t="s">
        <v>23</v>
      </c>
      <c r="D1726" s="4" t="s">
        <v>24</v>
      </c>
      <c r="E1726" s="4" t="s">
        <v>24</v>
      </c>
      <c r="F1726" s="4" t="s">
        <v>25</v>
      </c>
      <c r="G1726" s="4" t="s">
        <v>25</v>
      </c>
      <c r="H1726" s="4" t="s">
        <v>25</v>
      </c>
      <c r="I1726" s="5">
        <v>44440</v>
      </c>
      <c r="J1726" s="6">
        <v>0</v>
      </c>
      <c r="K1726" s="6">
        <v>0</v>
      </c>
      <c r="L1726" s="6">
        <v>138145.65100000001</v>
      </c>
      <c r="M1726" s="6">
        <v>138145.65100000001</v>
      </c>
      <c r="N1726" s="6">
        <v>138145.65100000001</v>
      </c>
      <c r="O1726" s="6">
        <v>138145.65100000001</v>
      </c>
      <c r="P1726" s="6">
        <v>446293</v>
      </c>
      <c r="Q1726" s="4" t="s">
        <v>26</v>
      </c>
      <c r="R1726" s="4">
        <v>0</v>
      </c>
      <c r="S1726" s="4" t="s">
        <v>270</v>
      </c>
      <c r="T1726" s="4" t="s">
        <v>507</v>
      </c>
      <c r="U1726" s="4">
        <v>0</v>
      </c>
      <c r="V1726" s="4">
        <v>13</v>
      </c>
      <c r="W1726" s="4">
        <v>58</v>
      </c>
    </row>
    <row r="1727" spans="1:23" ht="11.25" customHeight="1" x14ac:dyDescent="0.25">
      <c r="A1727" s="4" t="s">
        <v>27</v>
      </c>
      <c r="B1727" s="4" t="s">
        <v>22</v>
      </c>
      <c r="C1727" s="4" t="s">
        <v>23</v>
      </c>
      <c r="D1727" s="4" t="s">
        <v>24</v>
      </c>
      <c r="E1727" s="4" t="s">
        <v>24</v>
      </c>
      <c r="F1727" s="4" t="s">
        <v>25</v>
      </c>
      <c r="G1727" s="4" t="s">
        <v>25</v>
      </c>
      <c r="H1727" s="4" t="s">
        <v>25</v>
      </c>
      <c r="I1727" s="5">
        <v>44440</v>
      </c>
      <c r="J1727" s="6">
        <v>0</v>
      </c>
      <c r="K1727" s="6">
        <v>0</v>
      </c>
      <c r="L1727" s="6">
        <v>-4144.49</v>
      </c>
      <c r="M1727" s="6">
        <v>-4144.49</v>
      </c>
      <c r="N1727" s="6">
        <v>-4144.49</v>
      </c>
      <c r="O1727" s="6">
        <v>-4144.49</v>
      </c>
      <c r="P1727" s="6">
        <v>0</v>
      </c>
      <c r="Q1727" s="4" t="s">
        <v>26</v>
      </c>
      <c r="R1727" s="4">
        <v>0</v>
      </c>
      <c r="S1727" s="4" t="s">
        <v>270</v>
      </c>
      <c r="T1727" s="4" t="s">
        <v>507</v>
      </c>
      <c r="U1727" s="4">
        <v>0</v>
      </c>
      <c r="V1727" s="4">
        <v>13</v>
      </c>
      <c r="W1727" s="4">
        <v>58</v>
      </c>
    </row>
    <row r="1728" spans="1:23" ht="11.25" customHeight="1" x14ac:dyDescent="0.25">
      <c r="A1728" s="4" t="s">
        <v>28</v>
      </c>
      <c r="B1728" s="4" t="s">
        <v>22</v>
      </c>
      <c r="C1728" s="4" t="s">
        <v>23</v>
      </c>
      <c r="D1728" s="4" t="s">
        <v>24</v>
      </c>
      <c r="E1728" s="4" t="s">
        <v>24</v>
      </c>
      <c r="F1728" s="4" t="s">
        <v>25</v>
      </c>
      <c r="G1728" s="4" t="s">
        <v>25</v>
      </c>
      <c r="H1728" s="4" t="s">
        <v>25</v>
      </c>
      <c r="I1728" s="5">
        <v>44440</v>
      </c>
      <c r="J1728" s="6">
        <v>0</v>
      </c>
      <c r="K1728" s="6">
        <v>0</v>
      </c>
      <c r="L1728" s="6">
        <v>35412.368000000002</v>
      </c>
      <c r="M1728" s="6">
        <v>35412.368000000002</v>
      </c>
      <c r="N1728" s="6">
        <v>35412.368000000002</v>
      </c>
      <c r="O1728" s="6">
        <v>35412.368000000002</v>
      </c>
      <c r="P1728" s="6">
        <v>174725</v>
      </c>
      <c r="Q1728" s="4" t="s">
        <v>26</v>
      </c>
      <c r="R1728" s="4">
        <v>0</v>
      </c>
      <c r="S1728" s="4" t="s">
        <v>270</v>
      </c>
      <c r="T1728" s="4" t="s">
        <v>507</v>
      </c>
      <c r="U1728" s="4">
        <v>0</v>
      </c>
      <c r="V1728" s="4">
        <v>13</v>
      </c>
      <c r="W1728" s="4">
        <v>58</v>
      </c>
    </row>
    <row r="1729" spans="1:23" ht="11.25" customHeight="1" x14ac:dyDescent="0.25">
      <c r="A1729" s="4" t="s">
        <v>29</v>
      </c>
      <c r="B1729" s="4" t="s">
        <v>22</v>
      </c>
      <c r="C1729" s="4" t="s">
        <v>23</v>
      </c>
      <c r="D1729" s="4" t="s">
        <v>24</v>
      </c>
      <c r="E1729" s="4" t="s">
        <v>24</v>
      </c>
      <c r="F1729" s="4" t="s">
        <v>25</v>
      </c>
      <c r="G1729" s="4" t="s">
        <v>25</v>
      </c>
      <c r="H1729" s="4" t="s">
        <v>25</v>
      </c>
      <c r="I1729" s="5">
        <v>44440</v>
      </c>
      <c r="J1729" s="6">
        <v>0</v>
      </c>
      <c r="K1729" s="6">
        <v>0</v>
      </c>
      <c r="L1729" s="6">
        <v>-839.245</v>
      </c>
      <c r="M1729" s="6">
        <v>-839.245</v>
      </c>
      <c r="N1729" s="6">
        <v>-839.245</v>
      </c>
      <c r="O1729" s="6">
        <v>-839.245</v>
      </c>
      <c r="P1729" s="6">
        <v>0</v>
      </c>
      <c r="Q1729" s="4" t="s">
        <v>26</v>
      </c>
      <c r="R1729" s="4">
        <v>0</v>
      </c>
      <c r="S1729" s="4" t="s">
        <v>270</v>
      </c>
      <c r="T1729" s="4" t="s">
        <v>507</v>
      </c>
      <c r="U1729" s="4">
        <v>0</v>
      </c>
      <c r="V1729" s="4">
        <v>13</v>
      </c>
      <c r="W1729" s="4">
        <v>58</v>
      </c>
    </row>
    <row r="1730" spans="1:23" ht="11.25" customHeight="1" x14ac:dyDescent="0.25">
      <c r="A1730" s="4" t="s">
        <v>30</v>
      </c>
      <c r="B1730" s="4" t="s">
        <v>22</v>
      </c>
      <c r="C1730" s="4" t="s">
        <v>23</v>
      </c>
      <c r="D1730" s="4" t="s">
        <v>24</v>
      </c>
      <c r="E1730" s="4" t="s">
        <v>24</v>
      </c>
      <c r="F1730" s="4" t="s">
        <v>25</v>
      </c>
      <c r="G1730" s="4" t="s">
        <v>25</v>
      </c>
      <c r="H1730" s="4" t="s">
        <v>25</v>
      </c>
      <c r="I1730" s="5">
        <v>44440</v>
      </c>
      <c r="J1730" s="6">
        <v>0</v>
      </c>
      <c r="K1730" s="6">
        <v>0</v>
      </c>
      <c r="L1730" s="6">
        <v>2414.6350000000002</v>
      </c>
      <c r="M1730" s="6">
        <v>2414.6350000000002</v>
      </c>
      <c r="N1730" s="6">
        <v>2414.6350000000002</v>
      </c>
      <c r="O1730" s="6">
        <v>2414.6350000000002</v>
      </c>
      <c r="P1730" s="6">
        <v>2860</v>
      </c>
      <c r="Q1730" s="4" t="s">
        <v>26</v>
      </c>
      <c r="R1730" s="4">
        <v>0</v>
      </c>
      <c r="S1730" s="4" t="s">
        <v>270</v>
      </c>
      <c r="T1730" s="4" t="s">
        <v>507</v>
      </c>
      <c r="U1730" s="4">
        <v>0</v>
      </c>
      <c r="V1730" s="4">
        <v>13</v>
      </c>
      <c r="W1730" s="4">
        <v>58</v>
      </c>
    </row>
    <row r="1731" spans="1:23" ht="11.25" customHeight="1" x14ac:dyDescent="0.25">
      <c r="A1731" s="4" t="s">
        <v>30</v>
      </c>
      <c r="B1731" s="4" t="s">
        <v>22</v>
      </c>
      <c r="C1731" s="4" t="s">
        <v>23</v>
      </c>
      <c r="D1731" s="4" t="s">
        <v>24</v>
      </c>
      <c r="E1731" s="4" t="s">
        <v>24</v>
      </c>
      <c r="F1731" s="4" t="s">
        <v>25</v>
      </c>
      <c r="G1731" s="4" t="s">
        <v>25</v>
      </c>
      <c r="H1731" s="4" t="s">
        <v>25</v>
      </c>
      <c r="I1731" s="5">
        <v>44440</v>
      </c>
      <c r="J1731" s="6">
        <v>0</v>
      </c>
      <c r="K1731" s="6">
        <v>0</v>
      </c>
      <c r="L1731" s="6">
        <v>-6.0940000000000003</v>
      </c>
      <c r="M1731" s="6">
        <v>-6.0940000000000003</v>
      </c>
      <c r="N1731" s="6">
        <v>-6.0940000000000003</v>
      </c>
      <c r="O1731" s="6">
        <v>-6.0940000000000003</v>
      </c>
      <c r="P1731" s="6">
        <v>0</v>
      </c>
      <c r="Q1731" s="4" t="s">
        <v>26</v>
      </c>
      <c r="R1731" s="4">
        <v>0</v>
      </c>
      <c r="S1731" s="4" t="s">
        <v>270</v>
      </c>
      <c r="T1731" s="4" t="s">
        <v>507</v>
      </c>
      <c r="U1731" s="4">
        <v>0</v>
      </c>
      <c r="V1731" s="4">
        <v>13</v>
      </c>
      <c r="W1731" s="4">
        <v>58</v>
      </c>
    </row>
    <row r="1732" spans="1:23" ht="11.25" customHeight="1" x14ac:dyDescent="0.25">
      <c r="A1732" s="4" t="s">
        <v>59</v>
      </c>
      <c r="B1732" s="4" t="s">
        <v>22</v>
      </c>
      <c r="C1732" s="4" t="s">
        <v>23</v>
      </c>
      <c r="D1732" s="4" t="s">
        <v>24</v>
      </c>
      <c r="E1732" s="4" t="s">
        <v>24</v>
      </c>
      <c r="F1732" s="4" t="s">
        <v>25</v>
      </c>
      <c r="G1732" s="4" t="s">
        <v>25</v>
      </c>
      <c r="H1732" s="4" t="s">
        <v>25</v>
      </c>
      <c r="I1732" s="5">
        <v>44470</v>
      </c>
      <c r="J1732" s="6">
        <v>0</v>
      </c>
      <c r="K1732" s="6">
        <v>0</v>
      </c>
      <c r="L1732" s="6">
        <v>138145.65100000001</v>
      </c>
      <c r="M1732" s="6">
        <v>138145.65100000001</v>
      </c>
      <c r="N1732" s="6">
        <v>138145.65100000001</v>
      </c>
      <c r="O1732" s="6">
        <v>138145.65100000001</v>
      </c>
      <c r="P1732" s="6">
        <v>446293</v>
      </c>
      <c r="Q1732" s="4" t="s">
        <v>26</v>
      </c>
      <c r="R1732" s="4">
        <v>0</v>
      </c>
      <c r="S1732" s="4" t="s">
        <v>271</v>
      </c>
      <c r="T1732" s="4" t="s">
        <v>508</v>
      </c>
      <c r="U1732" s="4">
        <v>0</v>
      </c>
      <c r="V1732" s="4">
        <v>13</v>
      </c>
      <c r="W1732" s="4">
        <v>58</v>
      </c>
    </row>
    <row r="1733" spans="1:23" ht="11.25" customHeight="1" x14ac:dyDescent="0.25">
      <c r="A1733" s="4" t="s">
        <v>59</v>
      </c>
      <c r="B1733" s="4" t="s">
        <v>22</v>
      </c>
      <c r="C1733" s="4" t="s">
        <v>23</v>
      </c>
      <c r="D1733" s="4" t="s">
        <v>24</v>
      </c>
      <c r="E1733" s="4" t="s">
        <v>24</v>
      </c>
      <c r="F1733" s="4" t="s">
        <v>25</v>
      </c>
      <c r="G1733" s="4" t="s">
        <v>25</v>
      </c>
      <c r="H1733" s="4" t="s">
        <v>25</v>
      </c>
      <c r="I1733" s="5">
        <v>44470</v>
      </c>
      <c r="J1733" s="6">
        <v>0</v>
      </c>
      <c r="K1733" s="6">
        <v>0</v>
      </c>
      <c r="L1733" s="6">
        <v>-4144.49</v>
      </c>
      <c r="M1733" s="6">
        <v>-4144.49</v>
      </c>
      <c r="N1733" s="6">
        <v>-4144.49</v>
      </c>
      <c r="O1733" s="6">
        <v>-4144.49</v>
      </c>
      <c r="P1733" s="6">
        <v>0</v>
      </c>
      <c r="Q1733" s="4" t="s">
        <v>26</v>
      </c>
      <c r="R1733" s="4">
        <v>0</v>
      </c>
      <c r="S1733" s="4" t="s">
        <v>271</v>
      </c>
      <c r="T1733" s="4" t="s">
        <v>508</v>
      </c>
      <c r="U1733" s="4">
        <v>0</v>
      </c>
      <c r="V1733" s="4">
        <v>13</v>
      </c>
      <c r="W1733" s="4">
        <v>58</v>
      </c>
    </row>
    <row r="1734" spans="1:23" ht="11.25" customHeight="1" x14ac:dyDescent="0.25">
      <c r="A1734" s="4" t="s">
        <v>59</v>
      </c>
      <c r="B1734" s="4" t="s">
        <v>22</v>
      </c>
      <c r="C1734" s="4" t="s">
        <v>23</v>
      </c>
      <c r="D1734" s="4" t="s">
        <v>24</v>
      </c>
      <c r="E1734" s="4" t="s">
        <v>24</v>
      </c>
      <c r="F1734" s="4" t="s">
        <v>25</v>
      </c>
      <c r="G1734" s="4" t="s">
        <v>25</v>
      </c>
      <c r="H1734" s="4" t="s">
        <v>25</v>
      </c>
      <c r="I1734" s="5">
        <v>44470</v>
      </c>
      <c r="J1734" s="6">
        <v>0</v>
      </c>
      <c r="K1734" s="6">
        <v>0</v>
      </c>
      <c r="L1734" s="6">
        <v>35412.368000000002</v>
      </c>
      <c r="M1734" s="6">
        <v>35412.368000000002</v>
      </c>
      <c r="N1734" s="6">
        <v>35412.368000000002</v>
      </c>
      <c r="O1734" s="6">
        <v>35412.368000000002</v>
      </c>
      <c r="P1734" s="6">
        <v>174725</v>
      </c>
      <c r="Q1734" s="4" t="s">
        <v>26</v>
      </c>
      <c r="R1734" s="4">
        <v>0</v>
      </c>
      <c r="S1734" s="4" t="s">
        <v>271</v>
      </c>
      <c r="T1734" s="4" t="s">
        <v>508</v>
      </c>
      <c r="U1734" s="4">
        <v>0</v>
      </c>
      <c r="V1734" s="4">
        <v>13</v>
      </c>
      <c r="W1734" s="4">
        <v>58</v>
      </c>
    </row>
    <row r="1735" spans="1:23" ht="11.25" customHeight="1" x14ac:dyDescent="0.25">
      <c r="A1735" s="4" t="s">
        <v>59</v>
      </c>
      <c r="B1735" s="4" t="s">
        <v>22</v>
      </c>
      <c r="C1735" s="4" t="s">
        <v>23</v>
      </c>
      <c r="D1735" s="4" t="s">
        <v>24</v>
      </c>
      <c r="E1735" s="4" t="s">
        <v>24</v>
      </c>
      <c r="F1735" s="4" t="s">
        <v>25</v>
      </c>
      <c r="G1735" s="4" t="s">
        <v>25</v>
      </c>
      <c r="H1735" s="4" t="s">
        <v>25</v>
      </c>
      <c r="I1735" s="5">
        <v>44470</v>
      </c>
      <c r="J1735" s="6">
        <v>0</v>
      </c>
      <c r="K1735" s="6">
        <v>0</v>
      </c>
      <c r="L1735" s="6">
        <v>-839.245</v>
      </c>
      <c r="M1735" s="6">
        <v>-839.245</v>
      </c>
      <c r="N1735" s="6">
        <v>-839.245</v>
      </c>
      <c r="O1735" s="6">
        <v>-839.245</v>
      </c>
      <c r="P1735" s="6">
        <v>0</v>
      </c>
      <c r="Q1735" s="4" t="s">
        <v>26</v>
      </c>
      <c r="R1735" s="4">
        <v>0</v>
      </c>
      <c r="S1735" s="4" t="s">
        <v>271</v>
      </c>
      <c r="T1735" s="4" t="s">
        <v>508</v>
      </c>
      <c r="U1735" s="4">
        <v>0</v>
      </c>
      <c r="V1735" s="4">
        <v>13</v>
      </c>
      <c r="W1735" s="4">
        <v>58</v>
      </c>
    </row>
    <row r="1736" spans="1:23" ht="11.25" customHeight="1" x14ac:dyDescent="0.25">
      <c r="A1736" s="4" t="s">
        <v>59</v>
      </c>
      <c r="B1736" s="4" t="s">
        <v>22</v>
      </c>
      <c r="C1736" s="4" t="s">
        <v>23</v>
      </c>
      <c r="D1736" s="4" t="s">
        <v>24</v>
      </c>
      <c r="E1736" s="4" t="s">
        <v>24</v>
      </c>
      <c r="F1736" s="4" t="s">
        <v>25</v>
      </c>
      <c r="G1736" s="4" t="s">
        <v>25</v>
      </c>
      <c r="H1736" s="4" t="s">
        <v>25</v>
      </c>
      <c r="I1736" s="5">
        <v>44470</v>
      </c>
      <c r="J1736" s="6">
        <v>0</v>
      </c>
      <c r="K1736" s="6">
        <v>0</v>
      </c>
      <c r="L1736" s="6">
        <v>2414.6350000000002</v>
      </c>
      <c r="M1736" s="6">
        <v>2414.6350000000002</v>
      </c>
      <c r="N1736" s="6">
        <v>2414.6350000000002</v>
      </c>
      <c r="O1736" s="6">
        <v>2414.6350000000002</v>
      </c>
      <c r="P1736" s="6">
        <v>2860</v>
      </c>
      <c r="Q1736" s="4" t="s">
        <v>26</v>
      </c>
      <c r="R1736" s="4">
        <v>0</v>
      </c>
      <c r="S1736" s="4" t="s">
        <v>271</v>
      </c>
      <c r="T1736" s="4" t="s">
        <v>508</v>
      </c>
      <c r="U1736" s="4">
        <v>0</v>
      </c>
      <c r="V1736" s="4">
        <v>13</v>
      </c>
      <c r="W1736" s="4">
        <v>58</v>
      </c>
    </row>
    <row r="1737" spans="1:23" ht="11.25" customHeight="1" x14ac:dyDescent="0.25">
      <c r="A1737" s="4" t="s">
        <v>59</v>
      </c>
      <c r="B1737" s="4" t="s">
        <v>22</v>
      </c>
      <c r="C1737" s="4" t="s">
        <v>23</v>
      </c>
      <c r="D1737" s="4" t="s">
        <v>24</v>
      </c>
      <c r="E1737" s="4" t="s">
        <v>24</v>
      </c>
      <c r="F1737" s="4" t="s">
        <v>25</v>
      </c>
      <c r="G1737" s="4" t="s">
        <v>25</v>
      </c>
      <c r="H1737" s="4" t="s">
        <v>25</v>
      </c>
      <c r="I1737" s="5">
        <v>44470</v>
      </c>
      <c r="J1737" s="6">
        <v>0</v>
      </c>
      <c r="K1737" s="6">
        <v>0</v>
      </c>
      <c r="L1737" s="6">
        <v>-6.0940000000000003</v>
      </c>
      <c r="M1737" s="6">
        <v>-6.0940000000000003</v>
      </c>
      <c r="N1737" s="6">
        <v>-6.0940000000000003</v>
      </c>
      <c r="O1737" s="6">
        <v>-6.0940000000000003</v>
      </c>
      <c r="P1737" s="6">
        <v>0</v>
      </c>
      <c r="Q1737" s="4" t="s">
        <v>26</v>
      </c>
      <c r="R1737" s="4">
        <v>0</v>
      </c>
      <c r="S1737" s="4" t="s">
        <v>271</v>
      </c>
      <c r="T1737" s="4" t="s">
        <v>508</v>
      </c>
      <c r="U1737" s="4">
        <v>0</v>
      </c>
      <c r="V1737" s="4">
        <v>13</v>
      </c>
      <c r="W1737" s="4">
        <v>58</v>
      </c>
    </row>
    <row r="1738" spans="1:23" ht="11.25" customHeight="1" x14ac:dyDescent="0.25">
      <c r="A1738" s="4" t="s">
        <v>21</v>
      </c>
      <c r="B1738" s="4" t="s">
        <v>22</v>
      </c>
      <c r="C1738" s="4" t="s">
        <v>23</v>
      </c>
      <c r="D1738" s="4" t="s">
        <v>24</v>
      </c>
      <c r="E1738" s="4" t="s">
        <v>31</v>
      </c>
      <c r="F1738" s="4" t="s">
        <v>25</v>
      </c>
      <c r="G1738" s="4" t="s">
        <v>25</v>
      </c>
      <c r="H1738" s="4" t="s">
        <v>25</v>
      </c>
      <c r="I1738" s="5">
        <v>44136</v>
      </c>
      <c r="J1738" s="6">
        <v>0</v>
      </c>
      <c r="K1738" s="6">
        <v>0</v>
      </c>
      <c r="L1738" s="6">
        <v>2276.748</v>
      </c>
      <c r="M1738" s="6">
        <v>2276.748</v>
      </c>
      <c r="N1738" s="6">
        <v>2276.748</v>
      </c>
      <c r="O1738" s="6">
        <v>2276.748</v>
      </c>
      <c r="P1738" s="6">
        <v>18863</v>
      </c>
      <c r="Q1738" s="4" t="s">
        <v>26</v>
      </c>
      <c r="R1738" s="4">
        <v>0</v>
      </c>
      <c r="S1738" s="4" t="s">
        <v>272</v>
      </c>
      <c r="T1738" s="4" t="s">
        <v>509</v>
      </c>
      <c r="U1738" s="4">
        <v>0</v>
      </c>
      <c r="V1738" s="4">
        <v>9</v>
      </c>
      <c r="W1738" s="4">
        <v>59</v>
      </c>
    </row>
    <row r="1739" spans="1:23" ht="11.25" customHeight="1" x14ac:dyDescent="0.25">
      <c r="A1739" s="4" t="s">
        <v>27</v>
      </c>
      <c r="B1739" s="4" t="s">
        <v>22</v>
      </c>
      <c r="C1739" s="4" t="s">
        <v>23</v>
      </c>
      <c r="D1739" s="4" t="s">
        <v>24</v>
      </c>
      <c r="E1739" s="4" t="s">
        <v>31</v>
      </c>
      <c r="F1739" s="4" t="s">
        <v>25</v>
      </c>
      <c r="G1739" s="4" t="s">
        <v>25</v>
      </c>
      <c r="H1739" s="4" t="s">
        <v>25</v>
      </c>
      <c r="I1739" s="5">
        <v>44136</v>
      </c>
      <c r="J1739" s="6">
        <v>0</v>
      </c>
      <c r="K1739" s="6">
        <v>0</v>
      </c>
      <c r="L1739" s="6">
        <v>-4.38</v>
      </c>
      <c r="M1739" s="6">
        <v>-4.38</v>
      </c>
      <c r="N1739" s="6">
        <v>-4.38</v>
      </c>
      <c r="O1739" s="6">
        <v>-4.38</v>
      </c>
      <c r="P1739" s="6">
        <v>-250</v>
      </c>
      <c r="Q1739" s="4" t="s">
        <v>26</v>
      </c>
      <c r="R1739" s="4">
        <v>0</v>
      </c>
      <c r="S1739" s="4" t="s">
        <v>272</v>
      </c>
      <c r="T1739" s="4" t="s">
        <v>509</v>
      </c>
      <c r="U1739" s="4">
        <v>0</v>
      </c>
      <c r="V1739" s="4">
        <v>9</v>
      </c>
      <c r="W1739" s="4">
        <v>59</v>
      </c>
    </row>
    <row r="1740" spans="1:23" ht="11.25" customHeight="1" x14ac:dyDescent="0.25">
      <c r="A1740" s="4" t="s">
        <v>28</v>
      </c>
      <c r="B1740" s="4" t="s">
        <v>22</v>
      </c>
      <c r="C1740" s="4" t="s">
        <v>23</v>
      </c>
      <c r="D1740" s="4" t="s">
        <v>24</v>
      </c>
      <c r="E1740" s="4" t="s">
        <v>31</v>
      </c>
      <c r="F1740" s="4" t="s">
        <v>25</v>
      </c>
      <c r="G1740" s="4" t="s">
        <v>25</v>
      </c>
      <c r="H1740" s="4" t="s">
        <v>25</v>
      </c>
      <c r="I1740" s="5">
        <v>44136</v>
      </c>
      <c r="J1740" s="6">
        <v>0</v>
      </c>
      <c r="K1740" s="6">
        <v>0</v>
      </c>
      <c r="L1740" s="6">
        <v>3594.8150000000001</v>
      </c>
      <c r="M1740" s="6">
        <v>3594.8150000000001</v>
      </c>
      <c r="N1740" s="6">
        <v>3594.8150000000001</v>
      </c>
      <c r="O1740" s="6">
        <v>3594.8150000000001</v>
      </c>
      <c r="P1740" s="6">
        <v>26606</v>
      </c>
      <c r="Q1740" s="4" t="s">
        <v>26</v>
      </c>
      <c r="R1740" s="4">
        <v>0</v>
      </c>
      <c r="S1740" s="4" t="s">
        <v>272</v>
      </c>
      <c r="T1740" s="4" t="s">
        <v>509</v>
      </c>
      <c r="U1740" s="4">
        <v>0</v>
      </c>
      <c r="V1740" s="4">
        <v>9</v>
      </c>
      <c r="W1740" s="4">
        <v>59</v>
      </c>
    </row>
    <row r="1741" spans="1:23" ht="11.25" customHeight="1" x14ac:dyDescent="0.25">
      <c r="A1741" s="4" t="s">
        <v>29</v>
      </c>
      <c r="B1741" s="4" t="s">
        <v>22</v>
      </c>
      <c r="C1741" s="4" t="s">
        <v>23</v>
      </c>
      <c r="D1741" s="4" t="s">
        <v>24</v>
      </c>
      <c r="E1741" s="4" t="s">
        <v>31</v>
      </c>
      <c r="F1741" s="4" t="s">
        <v>25</v>
      </c>
      <c r="G1741" s="4" t="s">
        <v>25</v>
      </c>
      <c r="H1741" s="4" t="s">
        <v>25</v>
      </c>
      <c r="I1741" s="5">
        <v>44136</v>
      </c>
      <c r="J1741" s="6">
        <v>0</v>
      </c>
      <c r="K1741" s="6">
        <v>0</v>
      </c>
      <c r="L1741" s="6">
        <v>-2.19</v>
      </c>
      <c r="M1741" s="6">
        <v>-2.19</v>
      </c>
      <c r="N1741" s="6">
        <v>-2.19</v>
      </c>
      <c r="O1741" s="6">
        <v>-2.19</v>
      </c>
      <c r="P1741" s="6">
        <v>-60</v>
      </c>
      <c r="Q1741" s="4" t="s">
        <v>26</v>
      </c>
      <c r="R1741" s="4">
        <v>0</v>
      </c>
      <c r="S1741" s="4" t="s">
        <v>272</v>
      </c>
      <c r="T1741" s="4" t="s">
        <v>509</v>
      </c>
      <c r="U1741" s="4">
        <v>0</v>
      </c>
      <c r="V1741" s="4">
        <v>9</v>
      </c>
      <c r="W1741" s="4">
        <v>59</v>
      </c>
    </row>
    <row r="1742" spans="1:23" ht="11.25" customHeight="1" x14ac:dyDescent="0.25">
      <c r="A1742" s="4" t="s">
        <v>21</v>
      </c>
      <c r="B1742" s="4" t="s">
        <v>22</v>
      </c>
      <c r="C1742" s="4" t="s">
        <v>23</v>
      </c>
      <c r="D1742" s="4" t="s">
        <v>24</v>
      </c>
      <c r="E1742" s="4" t="s">
        <v>31</v>
      </c>
      <c r="F1742" s="4" t="s">
        <v>25</v>
      </c>
      <c r="G1742" s="4" t="s">
        <v>25</v>
      </c>
      <c r="H1742" s="4" t="s">
        <v>25</v>
      </c>
      <c r="I1742" s="5">
        <v>44166</v>
      </c>
      <c r="J1742" s="6">
        <v>0</v>
      </c>
      <c r="K1742" s="6">
        <v>0</v>
      </c>
      <c r="L1742" s="6">
        <v>2562.5459999999998</v>
      </c>
      <c r="M1742" s="6">
        <v>2562.5459999999998</v>
      </c>
      <c r="N1742" s="6">
        <v>2562.5459999999998</v>
      </c>
      <c r="O1742" s="6">
        <v>2562.5459999999998</v>
      </c>
      <c r="P1742" s="6">
        <v>20260</v>
      </c>
      <c r="Q1742" s="4" t="s">
        <v>26</v>
      </c>
      <c r="R1742" s="4">
        <v>0</v>
      </c>
      <c r="S1742" s="4" t="s">
        <v>273</v>
      </c>
      <c r="T1742" s="4" t="s">
        <v>510</v>
      </c>
      <c r="U1742" s="4">
        <v>0</v>
      </c>
      <c r="V1742" s="4">
        <v>9</v>
      </c>
      <c r="W1742" s="4">
        <v>59</v>
      </c>
    </row>
    <row r="1743" spans="1:23" ht="11.25" customHeight="1" x14ac:dyDescent="0.25">
      <c r="A1743" s="4" t="s">
        <v>27</v>
      </c>
      <c r="B1743" s="4" t="s">
        <v>22</v>
      </c>
      <c r="C1743" s="4" t="s">
        <v>23</v>
      </c>
      <c r="D1743" s="4" t="s">
        <v>24</v>
      </c>
      <c r="E1743" s="4" t="s">
        <v>31</v>
      </c>
      <c r="F1743" s="4" t="s">
        <v>25</v>
      </c>
      <c r="G1743" s="4" t="s">
        <v>25</v>
      </c>
      <c r="H1743" s="4" t="s">
        <v>25</v>
      </c>
      <c r="I1743" s="5">
        <v>44166</v>
      </c>
      <c r="J1743" s="6">
        <v>0</v>
      </c>
      <c r="K1743" s="6">
        <v>0</v>
      </c>
      <c r="L1743" s="6">
        <v>-4.28</v>
      </c>
      <c r="M1743" s="6">
        <v>-4.28</v>
      </c>
      <c r="N1743" s="6">
        <v>-4.28</v>
      </c>
      <c r="O1743" s="6">
        <v>-4.28</v>
      </c>
      <c r="P1743" s="6">
        <v>0</v>
      </c>
      <c r="Q1743" s="4" t="s">
        <v>26</v>
      </c>
      <c r="R1743" s="4">
        <v>0</v>
      </c>
      <c r="S1743" s="4" t="s">
        <v>273</v>
      </c>
      <c r="T1743" s="4" t="s">
        <v>510</v>
      </c>
      <c r="U1743" s="4">
        <v>0</v>
      </c>
      <c r="V1743" s="4">
        <v>9</v>
      </c>
      <c r="W1743" s="4">
        <v>59</v>
      </c>
    </row>
    <row r="1744" spans="1:23" ht="11.25" customHeight="1" x14ac:dyDescent="0.25">
      <c r="A1744" s="4" t="s">
        <v>28</v>
      </c>
      <c r="B1744" s="4" t="s">
        <v>22</v>
      </c>
      <c r="C1744" s="4" t="s">
        <v>23</v>
      </c>
      <c r="D1744" s="4" t="s">
        <v>24</v>
      </c>
      <c r="E1744" s="4" t="s">
        <v>31</v>
      </c>
      <c r="F1744" s="4" t="s">
        <v>25</v>
      </c>
      <c r="G1744" s="4" t="s">
        <v>25</v>
      </c>
      <c r="H1744" s="4" t="s">
        <v>25</v>
      </c>
      <c r="I1744" s="5">
        <v>44166</v>
      </c>
      <c r="J1744" s="6">
        <v>0</v>
      </c>
      <c r="K1744" s="6">
        <v>0</v>
      </c>
      <c r="L1744" s="6">
        <v>3857.759</v>
      </c>
      <c r="M1744" s="6">
        <v>3857.759</v>
      </c>
      <c r="N1744" s="6">
        <v>3857.759</v>
      </c>
      <c r="O1744" s="6">
        <v>3857.759</v>
      </c>
      <c r="P1744" s="6">
        <v>27235</v>
      </c>
      <c r="Q1744" s="4" t="s">
        <v>26</v>
      </c>
      <c r="R1744" s="4">
        <v>0</v>
      </c>
      <c r="S1744" s="4" t="s">
        <v>273</v>
      </c>
      <c r="T1744" s="4" t="s">
        <v>510</v>
      </c>
      <c r="U1744" s="4">
        <v>0</v>
      </c>
      <c r="V1744" s="4">
        <v>9</v>
      </c>
      <c r="W1744" s="4">
        <v>59</v>
      </c>
    </row>
    <row r="1745" spans="1:23" ht="11.25" customHeight="1" x14ac:dyDescent="0.25">
      <c r="A1745" s="4" t="s">
        <v>29</v>
      </c>
      <c r="B1745" s="4" t="s">
        <v>22</v>
      </c>
      <c r="C1745" s="4" t="s">
        <v>23</v>
      </c>
      <c r="D1745" s="4" t="s">
        <v>24</v>
      </c>
      <c r="E1745" s="4" t="s">
        <v>31</v>
      </c>
      <c r="F1745" s="4" t="s">
        <v>25</v>
      </c>
      <c r="G1745" s="4" t="s">
        <v>25</v>
      </c>
      <c r="H1745" s="4" t="s">
        <v>25</v>
      </c>
      <c r="I1745" s="5">
        <v>44166</v>
      </c>
      <c r="J1745" s="6">
        <v>0</v>
      </c>
      <c r="K1745" s="6">
        <v>0</v>
      </c>
      <c r="L1745" s="6">
        <v>-2.1640000000000001</v>
      </c>
      <c r="M1745" s="6">
        <v>-2.1640000000000001</v>
      </c>
      <c r="N1745" s="6">
        <v>-2.1640000000000001</v>
      </c>
      <c r="O1745" s="6">
        <v>-2.1640000000000001</v>
      </c>
      <c r="P1745" s="6">
        <v>0</v>
      </c>
      <c r="Q1745" s="4" t="s">
        <v>26</v>
      </c>
      <c r="R1745" s="4">
        <v>0</v>
      </c>
      <c r="S1745" s="4" t="s">
        <v>273</v>
      </c>
      <c r="T1745" s="4" t="s">
        <v>510</v>
      </c>
      <c r="U1745" s="4">
        <v>0</v>
      </c>
      <c r="V1745" s="4">
        <v>9</v>
      </c>
      <c r="W1745" s="4">
        <v>59</v>
      </c>
    </row>
    <row r="1746" spans="1:23" ht="11.25" customHeight="1" x14ac:dyDescent="0.25">
      <c r="A1746" s="4" t="s">
        <v>21</v>
      </c>
      <c r="B1746" s="4" t="s">
        <v>22</v>
      </c>
      <c r="C1746" s="4" t="s">
        <v>23</v>
      </c>
      <c r="D1746" s="4" t="s">
        <v>24</v>
      </c>
      <c r="E1746" s="4" t="s">
        <v>31</v>
      </c>
      <c r="F1746" s="4" t="s">
        <v>25</v>
      </c>
      <c r="G1746" s="4" t="s">
        <v>25</v>
      </c>
      <c r="H1746" s="4" t="s">
        <v>25</v>
      </c>
      <c r="I1746" s="5">
        <v>44197</v>
      </c>
      <c r="J1746" s="6">
        <v>0</v>
      </c>
      <c r="K1746" s="6">
        <v>0</v>
      </c>
      <c r="L1746" s="6">
        <v>2622.2089999999998</v>
      </c>
      <c r="M1746" s="6">
        <v>2622.2089999999998</v>
      </c>
      <c r="N1746" s="6">
        <v>2622.2089999999998</v>
      </c>
      <c r="O1746" s="6">
        <v>2622.2089999999998</v>
      </c>
      <c r="P1746" s="6">
        <v>20589</v>
      </c>
      <c r="Q1746" s="4" t="s">
        <v>26</v>
      </c>
      <c r="R1746" s="4">
        <v>0</v>
      </c>
      <c r="S1746" s="4" t="s">
        <v>274</v>
      </c>
      <c r="T1746" s="4" t="s">
        <v>511</v>
      </c>
      <c r="U1746" s="4">
        <v>0</v>
      </c>
      <c r="V1746" s="4">
        <v>9</v>
      </c>
      <c r="W1746" s="4">
        <v>59</v>
      </c>
    </row>
    <row r="1747" spans="1:23" ht="11.25" customHeight="1" x14ac:dyDescent="0.25">
      <c r="A1747" s="4" t="s">
        <v>27</v>
      </c>
      <c r="B1747" s="4" t="s">
        <v>22</v>
      </c>
      <c r="C1747" s="4" t="s">
        <v>23</v>
      </c>
      <c r="D1747" s="4" t="s">
        <v>24</v>
      </c>
      <c r="E1747" s="4" t="s">
        <v>31</v>
      </c>
      <c r="F1747" s="4" t="s">
        <v>25</v>
      </c>
      <c r="G1747" s="4" t="s">
        <v>25</v>
      </c>
      <c r="H1747" s="4" t="s">
        <v>25</v>
      </c>
      <c r="I1747" s="5">
        <v>44197</v>
      </c>
      <c r="J1747" s="6">
        <v>0</v>
      </c>
      <c r="K1747" s="6">
        <v>0</v>
      </c>
      <c r="L1747" s="6">
        <v>-4.1399999999999997</v>
      </c>
      <c r="M1747" s="6">
        <v>-4.1399999999999997</v>
      </c>
      <c r="N1747" s="6">
        <v>-4.1399999999999997</v>
      </c>
      <c r="O1747" s="6">
        <v>-4.1399999999999997</v>
      </c>
      <c r="P1747" s="6">
        <v>0</v>
      </c>
      <c r="Q1747" s="4" t="s">
        <v>26</v>
      </c>
      <c r="R1747" s="4">
        <v>0</v>
      </c>
      <c r="S1747" s="4" t="s">
        <v>274</v>
      </c>
      <c r="T1747" s="4" t="s">
        <v>511</v>
      </c>
      <c r="U1747" s="4">
        <v>0</v>
      </c>
      <c r="V1747" s="4">
        <v>9</v>
      </c>
      <c r="W1747" s="4">
        <v>59</v>
      </c>
    </row>
    <row r="1748" spans="1:23" ht="11.25" customHeight="1" x14ac:dyDescent="0.25">
      <c r="A1748" s="4" t="s">
        <v>28</v>
      </c>
      <c r="B1748" s="4" t="s">
        <v>22</v>
      </c>
      <c r="C1748" s="4" t="s">
        <v>23</v>
      </c>
      <c r="D1748" s="4" t="s">
        <v>24</v>
      </c>
      <c r="E1748" s="4" t="s">
        <v>31</v>
      </c>
      <c r="F1748" s="4" t="s">
        <v>25</v>
      </c>
      <c r="G1748" s="4" t="s">
        <v>25</v>
      </c>
      <c r="H1748" s="4" t="s">
        <v>25</v>
      </c>
      <c r="I1748" s="5">
        <v>44197</v>
      </c>
      <c r="J1748" s="6">
        <v>0</v>
      </c>
      <c r="K1748" s="6">
        <v>0</v>
      </c>
      <c r="L1748" s="6">
        <v>3924.2339999999999</v>
      </c>
      <c r="M1748" s="6">
        <v>3924.2339999999999</v>
      </c>
      <c r="N1748" s="6">
        <v>3924.2339999999999</v>
      </c>
      <c r="O1748" s="6">
        <v>3924.2339999999999</v>
      </c>
      <c r="P1748" s="6">
        <v>28895</v>
      </c>
      <c r="Q1748" s="4" t="s">
        <v>26</v>
      </c>
      <c r="R1748" s="4">
        <v>0</v>
      </c>
      <c r="S1748" s="4" t="s">
        <v>274</v>
      </c>
      <c r="T1748" s="4" t="s">
        <v>511</v>
      </c>
      <c r="U1748" s="4">
        <v>0</v>
      </c>
      <c r="V1748" s="4">
        <v>9</v>
      </c>
      <c r="W1748" s="4">
        <v>59</v>
      </c>
    </row>
    <row r="1749" spans="1:23" ht="11.25" customHeight="1" x14ac:dyDescent="0.25">
      <c r="A1749" s="4" t="s">
        <v>29</v>
      </c>
      <c r="B1749" s="4" t="s">
        <v>22</v>
      </c>
      <c r="C1749" s="4" t="s">
        <v>23</v>
      </c>
      <c r="D1749" s="4" t="s">
        <v>24</v>
      </c>
      <c r="E1749" s="4" t="s">
        <v>31</v>
      </c>
      <c r="F1749" s="4" t="s">
        <v>25</v>
      </c>
      <c r="G1749" s="4" t="s">
        <v>25</v>
      </c>
      <c r="H1749" s="4" t="s">
        <v>25</v>
      </c>
      <c r="I1749" s="5">
        <v>44197</v>
      </c>
      <c r="J1749" s="6">
        <v>0</v>
      </c>
      <c r="K1749" s="6">
        <v>0</v>
      </c>
      <c r="L1749" s="6">
        <v>-0.42</v>
      </c>
      <c r="M1749" s="6">
        <v>-0.42</v>
      </c>
      <c r="N1749" s="6">
        <v>-0.42</v>
      </c>
      <c r="O1749" s="6">
        <v>-0.42</v>
      </c>
      <c r="P1749" s="6">
        <v>0</v>
      </c>
      <c r="Q1749" s="4" t="s">
        <v>26</v>
      </c>
      <c r="R1749" s="4">
        <v>0</v>
      </c>
      <c r="S1749" s="4" t="s">
        <v>274</v>
      </c>
      <c r="T1749" s="4" t="s">
        <v>511</v>
      </c>
      <c r="U1749" s="4">
        <v>0</v>
      </c>
      <c r="V1749" s="4">
        <v>9</v>
      </c>
      <c r="W1749" s="4">
        <v>59</v>
      </c>
    </row>
    <row r="1750" spans="1:23" ht="11.25" customHeight="1" x14ac:dyDescent="0.25">
      <c r="A1750" s="4" t="s">
        <v>30</v>
      </c>
      <c r="B1750" s="4" t="s">
        <v>22</v>
      </c>
      <c r="C1750" s="4" t="s">
        <v>23</v>
      </c>
      <c r="D1750" s="4" t="s">
        <v>24</v>
      </c>
      <c r="E1750" s="4" t="s">
        <v>31</v>
      </c>
      <c r="F1750" s="4" t="s">
        <v>25</v>
      </c>
      <c r="G1750" s="4" t="s">
        <v>25</v>
      </c>
      <c r="H1750" s="4" t="s">
        <v>25</v>
      </c>
      <c r="I1750" s="5">
        <v>44197</v>
      </c>
      <c r="J1750" s="6">
        <v>0</v>
      </c>
      <c r="K1750" s="6">
        <v>0</v>
      </c>
      <c r="L1750" s="6">
        <v>0.34699999999999998</v>
      </c>
      <c r="M1750" s="6">
        <v>0.34699999999999998</v>
      </c>
      <c r="N1750" s="6">
        <v>0.34699999999999998</v>
      </c>
      <c r="O1750" s="6">
        <v>0.34699999999999998</v>
      </c>
      <c r="P1750" s="6">
        <v>0</v>
      </c>
      <c r="Q1750" s="4" t="s">
        <v>26</v>
      </c>
      <c r="R1750" s="4">
        <v>0</v>
      </c>
      <c r="S1750" s="4" t="s">
        <v>274</v>
      </c>
      <c r="T1750" s="4" t="s">
        <v>511</v>
      </c>
      <c r="U1750" s="4">
        <v>0</v>
      </c>
      <c r="V1750" s="4">
        <v>9</v>
      </c>
      <c r="W1750" s="4">
        <v>59</v>
      </c>
    </row>
    <row r="1751" spans="1:23" ht="11.25" customHeight="1" x14ac:dyDescent="0.25">
      <c r="A1751" s="4" t="s">
        <v>30</v>
      </c>
      <c r="B1751" s="4" t="s">
        <v>22</v>
      </c>
      <c r="C1751" s="4" t="s">
        <v>23</v>
      </c>
      <c r="D1751" s="4" t="s">
        <v>24</v>
      </c>
      <c r="E1751" s="4" t="s">
        <v>31</v>
      </c>
      <c r="F1751" s="4" t="s">
        <v>25</v>
      </c>
      <c r="G1751" s="4" t="s">
        <v>25</v>
      </c>
      <c r="H1751" s="4" t="s">
        <v>25</v>
      </c>
      <c r="I1751" s="5">
        <v>44197</v>
      </c>
      <c r="J1751" s="6">
        <v>0</v>
      </c>
      <c r="K1751" s="6">
        <v>0</v>
      </c>
      <c r="L1751" s="6">
        <v>5.5010000000000003</v>
      </c>
      <c r="M1751" s="6">
        <v>5.5010000000000003</v>
      </c>
      <c r="N1751" s="6">
        <v>5.5010000000000003</v>
      </c>
      <c r="O1751" s="6">
        <v>5.5010000000000003</v>
      </c>
      <c r="P1751" s="6">
        <v>0</v>
      </c>
      <c r="Q1751" s="4" t="s">
        <v>26</v>
      </c>
      <c r="R1751" s="4">
        <v>0</v>
      </c>
      <c r="S1751" s="4" t="s">
        <v>274</v>
      </c>
      <c r="T1751" s="4" t="s">
        <v>511</v>
      </c>
      <c r="U1751" s="4">
        <v>0</v>
      </c>
      <c r="V1751" s="4">
        <v>9</v>
      </c>
      <c r="W1751" s="4">
        <v>59</v>
      </c>
    </row>
    <row r="1752" spans="1:23" ht="11.25" customHeight="1" x14ac:dyDescent="0.25">
      <c r="A1752" s="4" t="s">
        <v>21</v>
      </c>
      <c r="B1752" s="4" t="s">
        <v>22</v>
      </c>
      <c r="C1752" s="4" t="s">
        <v>23</v>
      </c>
      <c r="D1752" s="4" t="s">
        <v>24</v>
      </c>
      <c r="E1752" s="4" t="s">
        <v>31</v>
      </c>
      <c r="F1752" s="4" t="s">
        <v>25</v>
      </c>
      <c r="G1752" s="4" t="s">
        <v>25</v>
      </c>
      <c r="H1752" s="4" t="s">
        <v>25</v>
      </c>
      <c r="I1752" s="5">
        <v>44228</v>
      </c>
      <c r="J1752" s="6">
        <v>0</v>
      </c>
      <c r="K1752" s="6">
        <v>0</v>
      </c>
      <c r="L1752" s="6">
        <v>2622.5770000000002</v>
      </c>
      <c r="M1752" s="6">
        <v>2622.5770000000002</v>
      </c>
      <c r="N1752" s="6">
        <v>2622.5770000000002</v>
      </c>
      <c r="O1752" s="6">
        <v>2622.5770000000002</v>
      </c>
      <c r="P1752" s="6">
        <v>22606</v>
      </c>
      <c r="Q1752" s="4" t="s">
        <v>26</v>
      </c>
      <c r="R1752" s="4">
        <v>0</v>
      </c>
      <c r="S1752" s="4" t="s">
        <v>275</v>
      </c>
      <c r="T1752" s="4" t="s">
        <v>512</v>
      </c>
      <c r="U1752" s="4">
        <v>0</v>
      </c>
      <c r="V1752" s="4">
        <v>9</v>
      </c>
      <c r="W1752" s="4">
        <v>59</v>
      </c>
    </row>
    <row r="1753" spans="1:23" ht="11.25" customHeight="1" x14ac:dyDescent="0.25">
      <c r="A1753" s="4" t="s">
        <v>27</v>
      </c>
      <c r="B1753" s="4" t="s">
        <v>22</v>
      </c>
      <c r="C1753" s="4" t="s">
        <v>23</v>
      </c>
      <c r="D1753" s="4" t="s">
        <v>24</v>
      </c>
      <c r="E1753" s="4" t="s">
        <v>31</v>
      </c>
      <c r="F1753" s="4" t="s">
        <v>25</v>
      </c>
      <c r="G1753" s="4" t="s">
        <v>25</v>
      </c>
      <c r="H1753" s="4" t="s">
        <v>25</v>
      </c>
      <c r="I1753" s="5">
        <v>44228</v>
      </c>
      <c r="J1753" s="6">
        <v>0</v>
      </c>
      <c r="K1753" s="6">
        <v>0</v>
      </c>
      <c r="L1753" s="6">
        <v>-2.1</v>
      </c>
      <c r="M1753" s="6">
        <v>-2.1</v>
      </c>
      <c r="N1753" s="6">
        <v>-2.1</v>
      </c>
      <c r="O1753" s="6">
        <v>-2.1</v>
      </c>
      <c r="P1753" s="6">
        <v>0</v>
      </c>
      <c r="Q1753" s="4" t="s">
        <v>26</v>
      </c>
      <c r="R1753" s="4">
        <v>0</v>
      </c>
      <c r="S1753" s="4" t="s">
        <v>275</v>
      </c>
      <c r="T1753" s="4" t="s">
        <v>512</v>
      </c>
      <c r="U1753" s="4">
        <v>0</v>
      </c>
      <c r="V1753" s="4">
        <v>9</v>
      </c>
      <c r="W1753" s="4">
        <v>59</v>
      </c>
    </row>
    <row r="1754" spans="1:23" ht="11.25" customHeight="1" x14ac:dyDescent="0.25">
      <c r="A1754" s="4" t="s">
        <v>28</v>
      </c>
      <c r="B1754" s="4" t="s">
        <v>22</v>
      </c>
      <c r="C1754" s="4" t="s">
        <v>23</v>
      </c>
      <c r="D1754" s="4" t="s">
        <v>24</v>
      </c>
      <c r="E1754" s="4" t="s">
        <v>31</v>
      </c>
      <c r="F1754" s="4" t="s">
        <v>25</v>
      </c>
      <c r="G1754" s="4" t="s">
        <v>25</v>
      </c>
      <c r="H1754" s="4" t="s">
        <v>25</v>
      </c>
      <c r="I1754" s="5">
        <v>44228</v>
      </c>
      <c r="J1754" s="6">
        <v>0</v>
      </c>
      <c r="K1754" s="6">
        <v>0</v>
      </c>
      <c r="L1754" s="6">
        <v>3916.0709999999999</v>
      </c>
      <c r="M1754" s="6">
        <v>3916.0709999999999</v>
      </c>
      <c r="N1754" s="6">
        <v>3916.0709999999999</v>
      </c>
      <c r="O1754" s="6">
        <v>3916.0709999999999</v>
      </c>
      <c r="P1754" s="6">
        <v>30663</v>
      </c>
      <c r="Q1754" s="4" t="s">
        <v>26</v>
      </c>
      <c r="R1754" s="4">
        <v>0</v>
      </c>
      <c r="S1754" s="4" t="s">
        <v>275</v>
      </c>
      <c r="T1754" s="4" t="s">
        <v>512</v>
      </c>
      <c r="U1754" s="4">
        <v>0</v>
      </c>
      <c r="V1754" s="4">
        <v>9</v>
      </c>
      <c r="W1754" s="4">
        <v>59</v>
      </c>
    </row>
    <row r="1755" spans="1:23" ht="11.25" customHeight="1" x14ac:dyDescent="0.25">
      <c r="A1755" s="4" t="s">
        <v>29</v>
      </c>
      <c r="B1755" s="4" t="s">
        <v>22</v>
      </c>
      <c r="C1755" s="4" t="s">
        <v>23</v>
      </c>
      <c r="D1755" s="4" t="s">
        <v>24</v>
      </c>
      <c r="E1755" s="4" t="s">
        <v>31</v>
      </c>
      <c r="F1755" s="4" t="s">
        <v>25</v>
      </c>
      <c r="G1755" s="4" t="s">
        <v>25</v>
      </c>
      <c r="H1755" s="4" t="s">
        <v>25</v>
      </c>
      <c r="I1755" s="5">
        <v>44228</v>
      </c>
      <c r="J1755" s="6">
        <v>0</v>
      </c>
      <c r="K1755" s="6">
        <v>0</v>
      </c>
      <c r="L1755" s="6">
        <v>-8.1</v>
      </c>
      <c r="M1755" s="6">
        <v>-8.1</v>
      </c>
      <c r="N1755" s="6">
        <v>-8.1</v>
      </c>
      <c r="O1755" s="6">
        <v>-8.1</v>
      </c>
      <c r="P1755" s="6">
        <v>0</v>
      </c>
      <c r="Q1755" s="4" t="s">
        <v>26</v>
      </c>
      <c r="R1755" s="4">
        <v>0</v>
      </c>
      <c r="S1755" s="4" t="s">
        <v>275</v>
      </c>
      <c r="T1755" s="4" t="s">
        <v>512</v>
      </c>
      <c r="U1755" s="4">
        <v>0</v>
      </c>
      <c r="V1755" s="4">
        <v>9</v>
      </c>
      <c r="W1755" s="4">
        <v>59</v>
      </c>
    </row>
    <row r="1756" spans="1:23" ht="11.25" customHeight="1" x14ac:dyDescent="0.25">
      <c r="A1756" s="4" t="s">
        <v>30</v>
      </c>
      <c r="B1756" s="4" t="s">
        <v>22</v>
      </c>
      <c r="C1756" s="4" t="s">
        <v>23</v>
      </c>
      <c r="D1756" s="4" t="s">
        <v>24</v>
      </c>
      <c r="E1756" s="4" t="s">
        <v>31</v>
      </c>
      <c r="F1756" s="4" t="s">
        <v>25</v>
      </c>
      <c r="G1756" s="4" t="s">
        <v>25</v>
      </c>
      <c r="H1756" s="4" t="s">
        <v>25</v>
      </c>
      <c r="I1756" s="5">
        <v>44228</v>
      </c>
      <c r="J1756" s="6">
        <v>0</v>
      </c>
      <c r="K1756" s="6">
        <v>0</v>
      </c>
      <c r="L1756" s="6">
        <v>0.90100000000000002</v>
      </c>
      <c r="M1756" s="6">
        <v>0.90100000000000002</v>
      </c>
      <c r="N1756" s="6">
        <v>0.90100000000000002</v>
      </c>
      <c r="O1756" s="6">
        <v>0.90100000000000002</v>
      </c>
      <c r="P1756" s="6">
        <v>0</v>
      </c>
      <c r="Q1756" s="4" t="s">
        <v>26</v>
      </c>
      <c r="R1756" s="4">
        <v>0</v>
      </c>
      <c r="S1756" s="4" t="s">
        <v>275</v>
      </c>
      <c r="T1756" s="4" t="s">
        <v>512</v>
      </c>
      <c r="U1756" s="4">
        <v>0</v>
      </c>
      <c r="V1756" s="4">
        <v>9</v>
      </c>
      <c r="W1756" s="4">
        <v>59</v>
      </c>
    </row>
    <row r="1757" spans="1:23" ht="11.25" customHeight="1" x14ac:dyDescent="0.25">
      <c r="A1757" s="4" t="s">
        <v>21</v>
      </c>
      <c r="B1757" s="4" t="s">
        <v>22</v>
      </c>
      <c r="C1757" s="4" t="s">
        <v>23</v>
      </c>
      <c r="D1757" s="4" t="s">
        <v>24</v>
      </c>
      <c r="E1757" s="4" t="s">
        <v>31</v>
      </c>
      <c r="F1757" s="4" t="s">
        <v>25</v>
      </c>
      <c r="G1757" s="4" t="s">
        <v>25</v>
      </c>
      <c r="H1757" s="4" t="s">
        <v>25</v>
      </c>
      <c r="I1757" s="5">
        <v>44256</v>
      </c>
      <c r="J1757" s="6">
        <v>0</v>
      </c>
      <c r="K1757" s="6">
        <v>0</v>
      </c>
      <c r="L1757" s="6">
        <v>2672.9630000000002</v>
      </c>
      <c r="M1757" s="6">
        <v>2672.9630000000002</v>
      </c>
      <c r="N1757" s="6">
        <v>2672.9630000000002</v>
      </c>
      <c r="O1757" s="6">
        <v>2672.9630000000002</v>
      </c>
      <c r="P1757" s="6">
        <v>24819</v>
      </c>
      <c r="Q1757" s="4" t="s">
        <v>26</v>
      </c>
      <c r="R1757" s="4">
        <v>0</v>
      </c>
      <c r="S1757" s="4" t="s">
        <v>276</v>
      </c>
      <c r="T1757" s="4" t="s">
        <v>513</v>
      </c>
      <c r="U1757" s="4">
        <v>0</v>
      </c>
      <c r="V1757" s="4">
        <v>9</v>
      </c>
      <c r="W1757" s="4">
        <v>59</v>
      </c>
    </row>
    <row r="1758" spans="1:23" ht="11.25" customHeight="1" x14ac:dyDescent="0.25">
      <c r="A1758" s="4" t="s">
        <v>27</v>
      </c>
      <c r="B1758" s="4" t="s">
        <v>22</v>
      </c>
      <c r="C1758" s="4" t="s">
        <v>23</v>
      </c>
      <c r="D1758" s="4" t="s">
        <v>24</v>
      </c>
      <c r="E1758" s="4" t="s">
        <v>31</v>
      </c>
      <c r="F1758" s="4" t="s">
        <v>25</v>
      </c>
      <c r="G1758" s="4" t="s">
        <v>25</v>
      </c>
      <c r="H1758" s="4" t="s">
        <v>25</v>
      </c>
      <c r="I1758" s="5">
        <v>44256</v>
      </c>
      <c r="J1758" s="6">
        <v>0</v>
      </c>
      <c r="K1758" s="6">
        <v>0</v>
      </c>
      <c r="L1758" s="6">
        <v>1.43</v>
      </c>
      <c r="M1758" s="6">
        <v>1.43</v>
      </c>
      <c r="N1758" s="6">
        <v>1.43</v>
      </c>
      <c r="O1758" s="6">
        <v>1.43</v>
      </c>
      <c r="P1758" s="6">
        <v>0</v>
      </c>
      <c r="Q1758" s="4" t="s">
        <v>26</v>
      </c>
      <c r="R1758" s="4">
        <v>0</v>
      </c>
      <c r="S1758" s="4" t="s">
        <v>276</v>
      </c>
      <c r="T1758" s="4" t="s">
        <v>513</v>
      </c>
      <c r="U1758" s="4">
        <v>0</v>
      </c>
      <c r="V1758" s="4">
        <v>9</v>
      </c>
      <c r="W1758" s="4">
        <v>59</v>
      </c>
    </row>
    <row r="1759" spans="1:23" ht="11.25" customHeight="1" x14ac:dyDescent="0.25">
      <c r="A1759" s="4" t="s">
        <v>28</v>
      </c>
      <c r="B1759" s="4" t="s">
        <v>22</v>
      </c>
      <c r="C1759" s="4" t="s">
        <v>23</v>
      </c>
      <c r="D1759" s="4" t="s">
        <v>24</v>
      </c>
      <c r="E1759" s="4" t="s">
        <v>31</v>
      </c>
      <c r="F1759" s="4" t="s">
        <v>25</v>
      </c>
      <c r="G1759" s="4" t="s">
        <v>25</v>
      </c>
      <c r="H1759" s="4" t="s">
        <v>25</v>
      </c>
      <c r="I1759" s="5">
        <v>44256</v>
      </c>
      <c r="J1759" s="6">
        <v>0</v>
      </c>
      <c r="K1759" s="6">
        <v>0</v>
      </c>
      <c r="L1759" s="6">
        <v>3993.7</v>
      </c>
      <c r="M1759" s="6">
        <v>3993.7</v>
      </c>
      <c r="N1759" s="6">
        <v>3993.7</v>
      </c>
      <c r="O1759" s="6">
        <v>3993.7</v>
      </c>
      <c r="P1759" s="6">
        <v>31154</v>
      </c>
      <c r="Q1759" s="4" t="s">
        <v>26</v>
      </c>
      <c r="R1759" s="4">
        <v>0</v>
      </c>
      <c r="S1759" s="4" t="s">
        <v>276</v>
      </c>
      <c r="T1759" s="4" t="s">
        <v>513</v>
      </c>
      <c r="U1759" s="4">
        <v>0</v>
      </c>
      <c r="V1759" s="4">
        <v>9</v>
      </c>
      <c r="W1759" s="4">
        <v>59</v>
      </c>
    </row>
    <row r="1760" spans="1:23" ht="11.25" customHeight="1" x14ac:dyDescent="0.25">
      <c r="A1760" s="4" t="s">
        <v>29</v>
      </c>
      <c r="B1760" s="4" t="s">
        <v>22</v>
      </c>
      <c r="C1760" s="4" t="s">
        <v>23</v>
      </c>
      <c r="D1760" s="4" t="s">
        <v>24</v>
      </c>
      <c r="E1760" s="4" t="s">
        <v>31</v>
      </c>
      <c r="F1760" s="4" t="s">
        <v>25</v>
      </c>
      <c r="G1760" s="4" t="s">
        <v>25</v>
      </c>
      <c r="H1760" s="4" t="s">
        <v>25</v>
      </c>
      <c r="I1760" s="5">
        <v>44256</v>
      </c>
      <c r="J1760" s="6">
        <v>0</v>
      </c>
      <c r="K1760" s="6">
        <v>0</v>
      </c>
      <c r="L1760" s="6">
        <v>-2.88</v>
      </c>
      <c r="M1760" s="6">
        <v>-2.88</v>
      </c>
      <c r="N1760" s="6">
        <v>-2.88</v>
      </c>
      <c r="O1760" s="6">
        <v>-2.88</v>
      </c>
      <c r="P1760" s="6">
        <v>0</v>
      </c>
      <c r="Q1760" s="4" t="s">
        <v>26</v>
      </c>
      <c r="R1760" s="4">
        <v>0</v>
      </c>
      <c r="S1760" s="4" t="s">
        <v>276</v>
      </c>
      <c r="T1760" s="4" t="s">
        <v>513</v>
      </c>
      <c r="U1760" s="4">
        <v>0</v>
      </c>
      <c r="V1760" s="4">
        <v>9</v>
      </c>
      <c r="W1760" s="4">
        <v>59</v>
      </c>
    </row>
    <row r="1761" spans="1:23" ht="11.25" customHeight="1" x14ac:dyDescent="0.25">
      <c r="A1761" s="4" t="s">
        <v>30</v>
      </c>
      <c r="B1761" s="4" t="s">
        <v>22</v>
      </c>
      <c r="C1761" s="4" t="s">
        <v>23</v>
      </c>
      <c r="D1761" s="4" t="s">
        <v>24</v>
      </c>
      <c r="E1761" s="4" t="s">
        <v>31</v>
      </c>
      <c r="F1761" s="4" t="s">
        <v>25</v>
      </c>
      <c r="G1761" s="4" t="s">
        <v>25</v>
      </c>
      <c r="H1761" s="4" t="s">
        <v>25</v>
      </c>
      <c r="I1761" s="5">
        <v>44256</v>
      </c>
      <c r="J1761" s="6">
        <v>0</v>
      </c>
      <c r="K1761" s="6">
        <v>0</v>
      </c>
      <c r="L1761" s="6">
        <v>2.4940000000000002</v>
      </c>
      <c r="M1761" s="6">
        <v>2.4940000000000002</v>
      </c>
      <c r="N1761" s="6">
        <v>2.4940000000000002</v>
      </c>
      <c r="O1761" s="6">
        <v>2.4940000000000002</v>
      </c>
      <c r="P1761" s="6">
        <v>0</v>
      </c>
      <c r="Q1761" s="4" t="s">
        <v>26</v>
      </c>
      <c r="R1761" s="4">
        <v>0</v>
      </c>
      <c r="S1761" s="4" t="s">
        <v>276</v>
      </c>
      <c r="T1761" s="4" t="s">
        <v>513</v>
      </c>
      <c r="U1761" s="4">
        <v>0</v>
      </c>
      <c r="V1761" s="4">
        <v>9</v>
      </c>
      <c r="W1761" s="4">
        <v>59</v>
      </c>
    </row>
    <row r="1762" spans="1:23" ht="11.25" customHeight="1" x14ac:dyDescent="0.25">
      <c r="A1762" s="4" t="s">
        <v>21</v>
      </c>
      <c r="B1762" s="4" t="s">
        <v>22</v>
      </c>
      <c r="C1762" s="4" t="s">
        <v>23</v>
      </c>
      <c r="D1762" s="4" t="s">
        <v>24</v>
      </c>
      <c r="E1762" s="4" t="s">
        <v>31</v>
      </c>
      <c r="F1762" s="4" t="s">
        <v>25</v>
      </c>
      <c r="G1762" s="4" t="s">
        <v>25</v>
      </c>
      <c r="H1762" s="4" t="s">
        <v>25</v>
      </c>
      <c r="I1762" s="5">
        <v>44287</v>
      </c>
      <c r="J1762" s="6">
        <v>0</v>
      </c>
      <c r="K1762" s="6">
        <v>0</v>
      </c>
      <c r="L1762" s="6">
        <v>2029.4870000000001</v>
      </c>
      <c r="M1762" s="6">
        <v>2029.4870000000001</v>
      </c>
      <c r="N1762" s="6">
        <v>2029.4870000000001</v>
      </c>
      <c r="O1762" s="6">
        <v>2029.4870000000001</v>
      </c>
      <c r="P1762" s="6">
        <v>9497</v>
      </c>
      <c r="Q1762" s="4" t="s">
        <v>26</v>
      </c>
      <c r="R1762" s="4">
        <v>0</v>
      </c>
      <c r="S1762" s="4" t="s">
        <v>277</v>
      </c>
      <c r="T1762" s="4" t="s">
        <v>514</v>
      </c>
      <c r="U1762" s="4">
        <v>0</v>
      </c>
      <c r="V1762" s="4">
        <v>9</v>
      </c>
      <c r="W1762" s="4">
        <v>59</v>
      </c>
    </row>
    <row r="1763" spans="1:23" ht="11.25" customHeight="1" x14ac:dyDescent="0.25">
      <c r="A1763" s="4" t="s">
        <v>27</v>
      </c>
      <c r="B1763" s="4" t="s">
        <v>22</v>
      </c>
      <c r="C1763" s="4" t="s">
        <v>23</v>
      </c>
      <c r="D1763" s="4" t="s">
        <v>24</v>
      </c>
      <c r="E1763" s="4" t="s">
        <v>31</v>
      </c>
      <c r="F1763" s="4" t="s">
        <v>25</v>
      </c>
      <c r="G1763" s="4" t="s">
        <v>25</v>
      </c>
      <c r="H1763" s="4" t="s">
        <v>25</v>
      </c>
      <c r="I1763" s="5">
        <v>44287</v>
      </c>
      <c r="J1763" s="6">
        <v>0</v>
      </c>
      <c r="K1763" s="6">
        <v>0</v>
      </c>
      <c r="L1763" s="6">
        <v>-5.43</v>
      </c>
      <c r="M1763" s="6">
        <v>-5.43</v>
      </c>
      <c r="N1763" s="6">
        <v>-5.43</v>
      </c>
      <c r="O1763" s="6">
        <v>-5.43</v>
      </c>
      <c r="P1763" s="6">
        <v>0</v>
      </c>
      <c r="Q1763" s="4" t="s">
        <v>26</v>
      </c>
      <c r="R1763" s="4">
        <v>0</v>
      </c>
      <c r="S1763" s="4" t="s">
        <v>277</v>
      </c>
      <c r="T1763" s="4" t="s">
        <v>514</v>
      </c>
      <c r="U1763" s="4">
        <v>0</v>
      </c>
      <c r="V1763" s="4">
        <v>9</v>
      </c>
      <c r="W1763" s="4">
        <v>59</v>
      </c>
    </row>
    <row r="1764" spans="1:23" ht="11.25" customHeight="1" x14ac:dyDescent="0.25">
      <c r="A1764" s="4" t="s">
        <v>28</v>
      </c>
      <c r="B1764" s="4" t="s">
        <v>22</v>
      </c>
      <c r="C1764" s="4" t="s">
        <v>23</v>
      </c>
      <c r="D1764" s="4" t="s">
        <v>24</v>
      </c>
      <c r="E1764" s="4" t="s">
        <v>31</v>
      </c>
      <c r="F1764" s="4" t="s">
        <v>25</v>
      </c>
      <c r="G1764" s="4" t="s">
        <v>25</v>
      </c>
      <c r="H1764" s="4" t="s">
        <v>25</v>
      </c>
      <c r="I1764" s="5">
        <v>44287</v>
      </c>
      <c r="J1764" s="6">
        <v>0</v>
      </c>
      <c r="K1764" s="6">
        <v>0</v>
      </c>
      <c r="L1764" s="6">
        <v>3740.915</v>
      </c>
      <c r="M1764" s="6">
        <v>3740.915</v>
      </c>
      <c r="N1764" s="6">
        <v>3740.915</v>
      </c>
      <c r="O1764" s="6">
        <v>3740.915</v>
      </c>
      <c r="P1764" s="6">
        <v>23050</v>
      </c>
      <c r="Q1764" s="4" t="s">
        <v>26</v>
      </c>
      <c r="R1764" s="4">
        <v>0</v>
      </c>
      <c r="S1764" s="4" t="s">
        <v>277</v>
      </c>
      <c r="T1764" s="4" t="s">
        <v>514</v>
      </c>
      <c r="U1764" s="4">
        <v>0</v>
      </c>
      <c r="V1764" s="4">
        <v>9</v>
      </c>
      <c r="W1764" s="4">
        <v>59</v>
      </c>
    </row>
    <row r="1765" spans="1:23" ht="11.25" customHeight="1" x14ac:dyDescent="0.25">
      <c r="A1765" s="4" t="s">
        <v>29</v>
      </c>
      <c r="B1765" s="4" t="s">
        <v>22</v>
      </c>
      <c r="C1765" s="4" t="s">
        <v>23</v>
      </c>
      <c r="D1765" s="4" t="s">
        <v>24</v>
      </c>
      <c r="E1765" s="4" t="s">
        <v>31</v>
      </c>
      <c r="F1765" s="4" t="s">
        <v>25</v>
      </c>
      <c r="G1765" s="4" t="s">
        <v>25</v>
      </c>
      <c r="H1765" s="4" t="s">
        <v>25</v>
      </c>
      <c r="I1765" s="5">
        <v>44287</v>
      </c>
      <c r="J1765" s="6">
        <v>0</v>
      </c>
      <c r="K1765" s="6">
        <v>0</v>
      </c>
      <c r="L1765" s="6">
        <v>-1.62</v>
      </c>
      <c r="M1765" s="6">
        <v>-1.62</v>
      </c>
      <c r="N1765" s="6">
        <v>-1.62</v>
      </c>
      <c r="O1765" s="6">
        <v>-1.62</v>
      </c>
      <c r="P1765" s="6">
        <v>0</v>
      </c>
      <c r="Q1765" s="4" t="s">
        <v>26</v>
      </c>
      <c r="R1765" s="4">
        <v>0</v>
      </c>
      <c r="S1765" s="4" t="s">
        <v>277</v>
      </c>
      <c r="T1765" s="4" t="s">
        <v>514</v>
      </c>
      <c r="U1765" s="4">
        <v>0</v>
      </c>
      <c r="V1765" s="4">
        <v>9</v>
      </c>
      <c r="W1765" s="4">
        <v>59</v>
      </c>
    </row>
    <row r="1766" spans="1:23" ht="11.25" customHeight="1" x14ac:dyDescent="0.25">
      <c r="A1766" s="4" t="s">
        <v>30</v>
      </c>
      <c r="B1766" s="4" t="s">
        <v>22</v>
      </c>
      <c r="C1766" s="4" t="s">
        <v>23</v>
      </c>
      <c r="D1766" s="4" t="s">
        <v>24</v>
      </c>
      <c r="E1766" s="4" t="s">
        <v>31</v>
      </c>
      <c r="F1766" s="4" t="s">
        <v>25</v>
      </c>
      <c r="G1766" s="4" t="s">
        <v>25</v>
      </c>
      <c r="H1766" s="4" t="s">
        <v>25</v>
      </c>
      <c r="I1766" s="5">
        <v>44287</v>
      </c>
      <c r="J1766" s="6">
        <v>0</v>
      </c>
      <c r="K1766" s="6">
        <v>0</v>
      </c>
      <c r="L1766" s="6">
        <v>3.1480000000000001</v>
      </c>
      <c r="M1766" s="6">
        <v>3.1480000000000001</v>
      </c>
      <c r="N1766" s="6">
        <v>3.1480000000000001</v>
      </c>
      <c r="O1766" s="6">
        <v>3.1480000000000001</v>
      </c>
      <c r="P1766" s="6">
        <v>0</v>
      </c>
      <c r="Q1766" s="4" t="s">
        <v>26</v>
      </c>
      <c r="R1766" s="4">
        <v>0</v>
      </c>
      <c r="S1766" s="4" t="s">
        <v>277</v>
      </c>
      <c r="T1766" s="4" t="s">
        <v>514</v>
      </c>
      <c r="U1766" s="4">
        <v>0</v>
      </c>
      <c r="V1766" s="4">
        <v>9</v>
      </c>
      <c r="W1766" s="4">
        <v>59</v>
      </c>
    </row>
    <row r="1767" spans="1:23" ht="11.25" customHeight="1" x14ac:dyDescent="0.25">
      <c r="A1767" s="4" t="s">
        <v>21</v>
      </c>
      <c r="B1767" s="4" t="s">
        <v>22</v>
      </c>
      <c r="C1767" s="4" t="s">
        <v>23</v>
      </c>
      <c r="D1767" s="4" t="s">
        <v>24</v>
      </c>
      <c r="E1767" s="4" t="s">
        <v>31</v>
      </c>
      <c r="F1767" s="4" t="s">
        <v>25</v>
      </c>
      <c r="G1767" s="4" t="s">
        <v>25</v>
      </c>
      <c r="H1767" s="4" t="s">
        <v>25</v>
      </c>
      <c r="I1767" s="5">
        <v>44317</v>
      </c>
      <c r="J1767" s="6">
        <v>0</v>
      </c>
      <c r="K1767" s="6">
        <v>0</v>
      </c>
      <c r="L1767" s="6">
        <v>2030.798</v>
      </c>
      <c r="M1767" s="6">
        <v>2030.798</v>
      </c>
      <c r="N1767" s="6">
        <v>2030.798</v>
      </c>
      <c r="O1767" s="6">
        <v>2030.798</v>
      </c>
      <c r="P1767" s="6">
        <v>9462</v>
      </c>
      <c r="Q1767" s="4" t="s">
        <v>26</v>
      </c>
      <c r="R1767" s="4">
        <v>0</v>
      </c>
      <c r="S1767" s="4" t="s">
        <v>278</v>
      </c>
      <c r="T1767" s="4" t="s">
        <v>515</v>
      </c>
      <c r="U1767" s="4">
        <v>0</v>
      </c>
      <c r="V1767" s="4">
        <v>9</v>
      </c>
      <c r="W1767" s="4">
        <v>59</v>
      </c>
    </row>
    <row r="1768" spans="1:23" ht="11.25" customHeight="1" x14ac:dyDescent="0.25">
      <c r="A1768" s="4" t="s">
        <v>27</v>
      </c>
      <c r="B1768" s="4" t="s">
        <v>22</v>
      </c>
      <c r="C1768" s="4" t="s">
        <v>23</v>
      </c>
      <c r="D1768" s="4" t="s">
        <v>24</v>
      </c>
      <c r="E1768" s="4" t="s">
        <v>31</v>
      </c>
      <c r="F1768" s="4" t="s">
        <v>25</v>
      </c>
      <c r="G1768" s="4" t="s">
        <v>25</v>
      </c>
      <c r="H1768" s="4" t="s">
        <v>25</v>
      </c>
      <c r="I1768" s="5">
        <v>44317</v>
      </c>
      <c r="J1768" s="6">
        <v>0</v>
      </c>
      <c r="K1768" s="6">
        <v>0</v>
      </c>
      <c r="L1768" s="6">
        <v>-1.98</v>
      </c>
      <c r="M1768" s="6">
        <v>-1.98</v>
      </c>
      <c r="N1768" s="6">
        <v>-1.98</v>
      </c>
      <c r="O1768" s="6">
        <v>-1.98</v>
      </c>
      <c r="P1768" s="6">
        <v>0</v>
      </c>
      <c r="Q1768" s="4" t="s">
        <v>26</v>
      </c>
      <c r="R1768" s="4">
        <v>0</v>
      </c>
      <c r="S1768" s="4" t="s">
        <v>278</v>
      </c>
      <c r="T1768" s="4" t="s">
        <v>515</v>
      </c>
      <c r="U1768" s="4">
        <v>0</v>
      </c>
      <c r="V1768" s="4">
        <v>9</v>
      </c>
      <c r="W1768" s="4">
        <v>59</v>
      </c>
    </row>
    <row r="1769" spans="1:23" ht="11.25" customHeight="1" x14ac:dyDescent="0.25">
      <c r="A1769" s="4" t="s">
        <v>28</v>
      </c>
      <c r="B1769" s="4" t="s">
        <v>22</v>
      </c>
      <c r="C1769" s="4" t="s">
        <v>23</v>
      </c>
      <c r="D1769" s="4" t="s">
        <v>24</v>
      </c>
      <c r="E1769" s="4" t="s">
        <v>31</v>
      </c>
      <c r="F1769" s="4" t="s">
        <v>25</v>
      </c>
      <c r="G1769" s="4" t="s">
        <v>25</v>
      </c>
      <c r="H1769" s="4" t="s">
        <v>25</v>
      </c>
      <c r="I1769" s="5">
        <v>44317</v>
      </c>
      <c r="J1769" s="6">
        <v>0</v>
      </c>
      <c r="K1769" s="6">
        <v>0</v>
      </c>
      <c r="L1769" s="6">
        <v>3735.4639999999999</v>
      </c>
      <c r="M1769" s="6">
        <v>3735.4639999999999</v>
      </c>
      <c r="N1769" s="6">
        <v>3735.4639999999999</v>
      </c>
      <c r="O1769" s="6">
        <v>3735.4639999999999</v>
      </c>
      <c r="P1769" s="6">
        <v>22748</v>
      </c>
      <c r="Q1769" s="4" t="s">
        <v>26</v>
      </c>
      <c r="R1769" s="4">
        <v>0</v>
      </c>
      <c r="S1769" s="4" t="s">
        <v>278</v>
      </c>
      <c r="T1769" s="4" t="s">
        <v>515</v>
      </c>
      <c r="U1769" s="4">
        <v>0</v>
      </c>
      <c r="V1769" s="4">
        <v>9</v>
      </c>
      <c r="W1769" s="4">
        <v>59</v>
      </c>
    </row>
    <row r="1770" spans="1:23" ht="11.25" customHeight="1" x14ac:dyDescent="0.25">
      <c r="A1770" s="4" t="s">
        <v>29</v>
      </c>
      <c r="B1770" s="4" t="s">
        <v>22</v>
      </c>
      <c r="C1770" s="4" t="s">
        <v>23</v>
      </c>
      <c r="D1770" s="4" t="s">
        <v>24</v>
      </c>
      <c r="E1770" s="4" t="s">
        <v>31</v>
      </c>
      <c r="F1770" s="4" t="s">
        <v>25</v>
      </c>
      <c r="G1770" s="4" t="s">
        <v>25</v>
      </c>
      <c r="H1770" s="4" t="s">
        <v>25</v>
      </c>
      <c r="I1770" s="5">
        <v>44317</v>
      </c>
      <c r="J1770" s="6">
        <v>0</v>
      </c>
      <c r="K1770" s="6">
        <v>0</v>
      </c>
      <c r="L1770" s="6">
        <v>-2.58</v>
      </c>
      <c r="M1770" s="6">
        <v>-2.58</v>
      </c>
      <c r="N1770" s="6">
        <v>-2.58</v>
      </c>
      <c r="O1770" s="6">
        <v>-2.58</v>
      </c>
      <c r="P1770" s="6">
        <v>0</v>
      </c>
      <c r="Q1770" s="4" t="s">
        <v>26</v>
      </c>
      <c r="R1770" s="4">
        <v>0</v>
      </c>
      <c r="S1770" s="4" t="s">
        <v>278</v>
      </c>
      <c r="T1770" s="4" t="s">
        <v>515</v>
      </c>
      <c r="U1770" s="4">
        <v>0</v>
      </c>
      <c r="V1770" s="4">
        <v>9</v>
      </c>
      <c r="W1770" s="4">
        <v>59</v>
      </c>
    </row>
    <row r="1771" spans="1:23" ht="11.25" customHeight="1" x14ac:dyDescent="0.25">
      <c r="A1771" s="4" t="s">
        <v>30</v>
      </c>
      <c r="B1771" s="4" t="s">
        <v>22</v>
      </c>
      <c r="C1771" s="4" t="s">
        <v>23</v>
      </c>
      <c r="D1771" s="4" t="s">
        <v>24</v>
      </c>
      <c r="E1771" s="4" t="s">
        <v>31</v>
      </c>
      <c r="F1771" s="4" t="s">
        <v>25</v>
      </c>
      <c r="G1771" s="4" t="s">
        <v>25</v>
      </c>
      <c r="H1771" s="4" t="s">
        <v>25</v>
      </c>
      <c r="I1771" s="5">
        <v>44317</v>
      </c>
      <c r="J1771" s="6">
        <v>0</v>
      </c>
      <c r="K1771" s="6">
        <v>0</v>
      </c>
      <c r="L1771" s="6">
        <v>2.9529999999999998</v>
      </c>
      <c r="M1771" s="6">
        <v>2.9529999999999998</v>
      </c>
      <c r="N1771" s="6">
        <v>2.9529999999999998</v>
      </c>
      <c r="O1771" s="6">
        <v>2.9529999999999998</v>
      </c>
      <c r="P1771" s="6">
        <v>0</v>
      </c>
      <c r="Q1771" s="4" t="s">
        <v>26</v>
      </c>
      <c r="R1771" s="4">
        <v>0</v>
      </c>
      <c r="S1771" s="4" t="s">
        <v>278</v>
      </c>
      <c r="T1771" s="4" t="s">
        <v>515</v>
      </c>
      <c r="U1771" s="4">
        <v>0</v>
      </c>
      <c r="V1771" s="4">
        <v>9</v>
      </c>
      <c r="W1771" s="4">
        <v>59</v>
      </c>
    </row>
    <row r="1772" spans="1:23" ht="11.25" customHeight="1" x14ac:dyDescent="0.25">
      <c r="A1772" s="4" t="s">
        <v>30</v>
      </c>
      <c r="B1772" s="4" t="s">
        <v>22</v>
      </c>
      <c r="C1772" s="4" t="s">
        <v>23</v>
      </c>
      <c r="D1772" s="4" t="s">
        <v>24</v>
      </c>
      <c r="E1772" s="4" t="s">
        <v>31</v>
      </c>
      <c r="F1772" s="4" t="s">
        <v>25</v>
      </c>
      <c r="G1772" s="4" t="s">
        <v>25</v>
      </c>
      <c r="H1772" s="4" t="s">
        <v>25</v>
      </c>
      <c r="I1772" s="5">
        <v>44317</v>
      </c>
      <c r="J1772" s="6">
        <v>0</v>
      </c>
      <c r="K1772" s="6">
        <v>0</v>
      </c>
      <c r="L1772" s="6">
        <v>0.219</v>
      </c>
      <c r="M1772" s="6">
        <v>0.219</v>
      </c>
      <c r="N1772" s="6">
        <v>0.219</v>
      </c>
      <c r="O1772" s="6">
        <v>0.219</v>
      </c>
      <c r="P1772" s="6">
        <v>0</v>
      </c>
      <c r="Q1772" s="4" t="s">
        <v>26</v>
      </c>
      <c r="R1772" s="4">
        <v>0</v>
      </c>
      <c r="S1772" s="4" t="s">
        <v>278</v>
      </c>
      <c r="T1772" s="4" t="s">
        <v>515</v>
      </c>
      <c r="U1772" s="4">
        <v>0</v>
      </c>
      <c r="V1772" s="4">
        <v>9</v>
      </c>
      <c r="W1772" s="4">
        <v>59</v>
      </c>
    </row>
    <row r="1773" spans="1:23" ht="11.25" customHeight="1" x14ac:dyDescent="0.25">
      <c r="A1773" s="4" t="s">
        <v>21</v>
      </c>
      <c r="B1773" s="4" t="s">
        <v>22</v>
      </c>
      <c r="C1773" s="4" t="s">
        <v>23</v>
      </c>
      <c r="D1773" s="4" t="s">
        <v>24</v>
      </c>
      <c r="E1773" s="4" t="s">
        <v>31</v>
      </c>
      <c r="F1773" s="4" t="s">
        <v>25</v>
      </c>
      <c r="G1773" s="4" t="s">
        <v>25</v>
      </c>
      <c r="H1773" s="4" t="s">
        <v>25</v>
      </c>
      <c r="I1773" s="5">
        <v>44348</v>
      </c>
      <c r="J1773" s="6">
        <v>0</v>
      </c>
      <c r="K1773" s="6">
        <v>0</v>
      </c>
      <c r="L1773" s="6">
        <v>2065.8119999999999</v>
      </c>
      <c r="M1773" s="6">
        <v>2065.8119999999999</v>
      </c>
      <c r="N1773" s="6">
        <v>2065.8119999999999</v>
      </c>
      <c r="O1773" s="6">
        <v>2065.8119999999999</v>
      </c>
      <c r="P1773" s="6">
        <v>9284</v>
      </c>
      <c r="Q1773" s="4" t="s">
        <v>26</v>
      </c>
      <c r="R1773" s="4">
        <v>0</v>
      </c>
      <c r="S1773" s="4" t="s">
        <v>279</v>
      </c>
      <c r="T1773" s="4" t="s">
        <v>516</v>
      </c>
      <c r="U1773" s="4">
        <v>0</v>
      </c>
      <c r="V1773" s="4">
        <v>9</v>
      </c>
      <c r="W1773" s="4">
        <v>59</v>
      </c>
    </row>
    <row r="1774" spans="1:23" ht="11.25" customHeight="1" x14ac:dyDescent="0.25">
      <c r="A1774" s="4" t="s">
        <v>27</v>
      </c>
      <c r="B1774" s="4" t="s">
        <v>22</v>
      </c>
      <c r="C1774" s="4" t="s">
        <v>23</v>
      </c>
      <c r="D1774" s="4" t="s">
        <v>24</v>
      </c>
      <c r="E1774" s="4" t="s">
        <v>31</v>
      </c>
      <c r="F1774" s="4" t="s">
        <v>25</v>
      </c>
      <c r="G1774" s="4" t="s">
        <v>25</v>
      </c>
      <c r="H1774" s="4" t="s">
        <v>25</v>
      </c>
      <c r="I1774" s="5">
        <v>44348</v>
      </c>
      <c r="J1774" s="6">
        <v>0</v>
      </c>
      <c r="K1774" s="6">
        <v>0</v>
      </c>
      <c r="L1774" s="6">
        <v>-5.28</v>
      </c>
      <c r="M1774" s="6">
        <v>-5.28</v>
      </c>
      <c r="N1774" s="6">
        <v>-5.28</v>
      </c>
      <c r="O1774" s="6">
        <v>-5.28</v>
      </c>
      <c r="P1774" s="6">
        <v>0</v>
      </c>
      <c r="Q1774" s="4" t="s">
        <v>26</v>
      </c>
      <c r="R1774" s="4">
        <v>0</v>
      </c>
      <c r="S1774" s="4" t="s">
        <v>279</v>
      </c>
      <c r="T1774" s="4" t="s">
        <v>516</v>
      </c>
      <c r="U1774" s="4">
        <v>0</v>
      </c>
      <c r="V1774" s="4">
        <v>9</v>
      </c>
      <c r="W1774" s="4">
        <v>59</v>
      </c>
    </row>
    <row r="1775" spans="1:23" ht="11.25" customHeight="1" x14ac:dyDescent="0.25">
      <c r="A1775" s="4" t="s">
        <v>28</v>
      </c>
      <c r="B1775" s="4" t="s">
        <v>22</v>
      </c>
      <c r="C1775" s="4" t="s">
        <v>23</v>
      </c>
      <c r="D1775" s="4" t="s">
        <v>24</v>
      </c>
      <c r="E1775" s="4" t="s">
        <v>31</v>
      </c>
      <c r="F1775" s="4" t="s">
        <v>25</v>
      </c>
      <c r="G1775" s="4" t="s">
        <v>25</v>
      </c>
      <c r="H1775" s="4" t="s">
        <v>25</v>
      </c>
      <c r="I1775" s="5">
        <v>44348</v>
      </c>
      <c r="J1775" s="6">
        <v>0</v>
      </c>
      <c r="K1775" s="6">
        <v>0</v>
      </c>
      <c r="L1775" s="6">
        <v>3767.37</v>
      </c>
      <c r="M1775" s="6">
        <v>3767.37</v>
      </c>
      <c r="N1775" s="6">
        <v>3767.37</v>
      </c>
      <c r="O1775" s="6">
        <v>3767.37</v>
      </c>
      <c r="P1775" s="6">
        <v>22725</v>
      </c>
      <c r="Q1775" s="4" t="s">
        <v>26</v>
      </c>
      <c r="R1775" s="4">
        <v>0</v>
      </c>
      <c r="S1775" s="4" t="s">
        <v>279</v>
      </c>
      <c r="T1775" s="4" t="s">
        <v>516</v>
      </c>
      <c r="U1775" s="4">
        <v>0</v>
      </c>
      <c r="V1775" s="4">
        <v>9</v>
      </c>
      <c r="W1775" s="4">
        <v>59</v>
      </c>
    </row>
    <row r="1776" spans="1:23" ht="11.25" customHeight="1" x14ac:dyDescent="0.25">
      <c r="A1776" s="4" t="s">
        <v>29</v>
      </c>
      <c r="B1776" s="4" t="s">
        <v>22</v>
      </c>
      <c r="C1776" s="4" t="s">
        <v>23</v>
      </c>
      <c r="D1776" s="4" t="s">
        <v>24</v>
      </c>
      <c r="E1776" s="4" t="s">
        <v>31</v>
      </c>
      <c r="F1776" s="4" t="s">
        <v>25</v>
      </c>
      <c r="G1776" s="4" t="s">
        <v>25</v>
      </c>
      <c r="H1776" s="4" t="s">
        <v>25</v>
      </c>
      <c r="I1776" s="5">
        <v>44348</v>
      </c>
      <c r="J1776" s="6">
        <v>0</v>
      </c>
      <c r="K1776" s="6">
        <v>0</v>
      </c>
      <c r="L1776" s="6">
        <v>-5.67</v>
      </c>
      <c r="M1776" s="6">
        <v>-5.67</v>
      </c>
      <c r="N1776" s="6">
        <v>-5.67</v>
      </c>
      <c r="O1776" s="6">
        <v>-5.67</v>
      </c>
      <c r="P1776" s="6">
        <v>0</v>
      </c>
      <c r="Q1776" s="4" t="s">
        <v>26</v>
      </c>
      <c r="R1776" s="4">
        <v>0</v>
      </c>
      <c r="S1776" s="4" t="s">
        <v>279</v>
      </c>
      <c r="T1776" s="4" t="s">
        <v>516</v>
      </c>
      <c r="U1776" s="4">
        <v>0</v>
      </c>
      <c r="V1776" s="4">
        <v>9</v>
      </c>
      <c r="W1776" s="4">
        <v>59</v>
      </c>
    </row>
    <row r="1777" spans="1:23" ht="11.25" customHeight="1" x14ac:dyDescent="0.25">
      <c r="A1777" s="4" t="s">
        <v>30</v>
      </c>
      <c r="B1777" s="4" t="s">
        <v>22</v>
      </c>
      <c r="C1777" s="4" t="s">
        <v>23</v>
      </c>
      <c r="D1777" s="4" t="s">
        <v>24</v>
      </c>
      <c r="E1777" s="4" t="s">
        <v>31</v>
      </c>
      <c r="F1777" s="4" t="s">
        <v>25</v>
      </c>
      <c r="G1777" s="4" t="s">
        <v>25</v>
      </c>
      <c r="H1777" s="4" t="s">
        <v>25</v>
      </c>
      <c r="I1777" s="5">
        <v>44348</v>
      </c>
      <c r="J1777" s="6">
        <v>0</v>
      </c>
      <c r="K1777" s="6">
        <v>0</v>
      </c>
      <c r="L1777" s="6">
        <v>3.6619999999999999</v>
      </c>
      <c r="M1777" s="6">
        <v>3.6619999999999999</v>
      </c>
      <c r="N1777" s="6">
        <v>3.6619999999999999</v>
      </c>
      <c r="O1777" s="6">
        <v>3.6619999999999999</v>
      </c>
      <c r="P1777" s="6">
        <v>0</v>
      </c>
      <c r="Q1777" s="4" t="s">
        <v>26</v>
      </c>
      <c r="R1777" s="4">
        <v>0</v>
      </c>
      <c r="S1777" s="4" t="s">
        <v>279</v>
      </c>
      <c r="T1777" s="4" t="s">
        <v>516</v>
      </c>
      <c r="U1777" s="4">
        <v>0</v>
      </c>
      <c r="V1777" s="4">
        <v>9</v>
      </c>
      <c r="W1777" s="4">
        <v>59</v>
      </c>
    </row>
    <row r="1778" spans="1:23" ht="11.25" customHeight="1" x14ac:dyDescent="0.25">
      <c r="A1778" s="4" t="s">
        <v>21</v>
      </c>
      <c r="B1778" s="4" t="s">
        <v>22</v>
      </c>
      <c r="C1778" s="4" t="s">
        <v>23</v>
      </c>
      <c r="D1778" s="4" t="s">
        <v>24</v>
      </c>
      <c r="E1778" s="4" t="s">
        <v>31</v>
      </c>
      <c r="F1778" s="4" t="s">
        <v>25</v>
      </c>
      <c r="G1778" s="4" t="s">
        <v>25</v>
      </c>
      <c r="H1778" s="4" t="s">
        <v>25</v>
      </c>
      <c r="I1778" s="5">
        <v>44378</v>
      </c>
      <c r="J1778" s="6">
        <v>0</v>
      </c>
      <c r="K1778" s="6">
        <v>0</v>
      </c>
      <c r="L1778" s="6">
        <v>2036.2950000000001</v>
      </c>
      <c r="M1778" s="6">
        <v>2036.2950000000001</v>
      </c>
      <c r="N1778" s="6">
        <v>2036.2950000000001</v>
      </c>
      <c r="O1778" s="6">
        <v>2036.2950000000001</v>
      </c>
      <c r="P1778" s="6">
        <v>9210</v>
      </c>
      <c r="Q1778" s="4" t="s">
        <v>26</v>
      </c>
      <c r="R1778" s="4">
        <v>0</v>
      </c>
      <c r="S1778" s="4" t="s">
        <v>280</v>
      </c>
      <c r="T1778" s="4" t="s">
        <v>517</v>
      </c>
      <c r="U1778" s="4">
        <v>0</v>
      </c>
      <c r="V1778" s="4">
        <v>9</v>
      </c>
      <c r="W1778" s="4">
        <v>59</v>
      </c>
    </row>
    <row r="1779" spans="1:23" ht="11.25" customHeight="1" x14ac:dyDescent="0.25">
      <c r="A1779" s="4" t="s">
        <v>27</v>
      </c>
      <c r="B1779" s="4" t="s">
        <v>22</v>
      </c>
      <c r="C1779" s="4" t="s">
        <v>23</v>
      </c>
      <c r="D1779" s="4" t="s">
        <v>24</v>
      </c>
      <c r="E1779" s="4" t="s">
        <v>31</v>
      </c>
      <c r="F1779" s="4" t="s">
        <v>25</v>
      </c>
      <c r="G1779" s="4" t="s">
        <v>25</v>
      </c>
      <c r="H1779" s="4" t="s">
        <v>25</v>
      </c>
      <c r="I1779" s="5">
        <v>44378</v>
      </c>
      <c r="J1779" s="6">
        <v>0</v>
      </c>
      <c r="K1779" s="6">
        <v>0</v>
      </c>
      <c r="L1779" s="6">
        <v>-3.39</v>
      </c>
      <c r="M1779" s="6">
        <v>-3.39</v>
      </c>
      <c r="N1779" s="6">
        <v>-3.39</v>
      </c>
      <c r="O1779" s="6">
        <v>-3.39</v>
      </c>
      <c r="P1779" s="6">
        <v>0</v>
      </c>
      <c r="Q1779" s="4" t="s">
        <v>26</v>
      </c>
      <c r="R1779" s="4">
        <v>0</v>
      </c>
      <c r="S1779" s="4" t="s">
        <v>280</v>
      </c>
      <c r="T1779" s="4" t="s">
        <v>517</v>
      </c>
      <c r="U1779" s="4">
        <v>0</v>
      </c>
      <c r="V1779" s="4">
        <v>9</v>
      </c>
      <c r="W1779" s="4">
        <v>59</v>
      </c>
    </row>
    <row r="1780" spans="1:23" ht="11.25" customHeight="1" x14ac:dyDescent="0.25">
      <c r="A1780" s="4" t="s">
        <v>28</v>
      </c>
      <c r="B1780" s="4" t="s">
        <v>22</v>
      </c>
      <c r="C1780" s="4" t="s">
        <v>23</v>
      </c>
      <c r="D1780" s="4" t="s">
        <v>24</v>
      </c>
      <c r="E1780" s="4" t="s">
        <v>31</v>
      </c>
      <c r="F1780" s="4" t="s">
        <v>25</v>
      </c>
      <c r="G1780" s="4" t="s">
        <v>25</v>
      </c>
      <c r="H1780" s="4" t="s">
        <v>25</v>
      </c>
      <c r="I1780" s="5">
        <v>44378</v>
      </c>
      <c r="J1780" s="6">
        <v>0</v>
      </c>
      <c r="K1780" s="6">
        <v>0</v>
      </c>
      <c r="L1780" s="6">
        <v>3764.8919999999998</v>
      </c>
      <c r="M1780" s="6">
        <v>3764.8919999999998</v>
      </c>
      <c r="N1780" s="6">
        <v>3764.8919999999998</v>
      </c>
      <c r="O1780" s="6">
        <v>3764.8919999999998</v>
      </c>
      <c r="P1780" s="6">
        <v>23385</v>
      </c>
      <c r="Q1780" s="4" t="s">
        <v>26</v>
      </c>
      <c r="R1780" s="4">
        <v>0</v>
      </c>
      <c r="S1780" s="4" t="s">
        <v>280</v>
      </c>
      <c r="T1780" s="4" t="s">
        <v>517</v>
      </c>
      <c r="U1780" s="4">
        <v>0</v>
      </c>
      <c r="V1780" s="4">
        <v>9</v>
      </c>
      <c r="W1780" s="4">
        <v>59</v>
      </c>
    </row>
    <row r="1781" spans="1:23" ht="11.25" customHeight="1" x14ac:dyDescent="0.25">
      <c r="A1781" s="4" t="s">
        <v>29</v>
      </c>
      <c r="B1781" s="4" t="s">
        <v>22</v>
      </c>
      <c r="C1781" s="4" t="s">
        <v>23</v>
      </c>
      <c r="D1781" s="4" t="s">
        <v>24</v>
      </c>
      <c r="E1781" s="4" t="s">
        <v>31</v>
      </c>
      <c r="F1781" s="4" t="s">
        <v>25</v>
      </c>
      <c r="G1781" s="4" t="s">
        <v>25</v>
      </c>
      <c r="H1781" s="4" t="s">
        <v>25</v>
      </c>
      <c r="I1781" s="5">
        <v>44378</v>
      </c>
      <c r="J1781" s="6">
        <v>0</v>
      </c>
      <c r="K1781" s="6">
        <v>0</v>
      </c>
      <c r="L1781" s="6">
        <v>-4.7699999999999996</v>
      </c>
      <c r="M1781" s="6">
        <v>-4.7699999999999996</v>
      </c>
      <c r="N1781" s="6">
        <v>-4.7699999999999996</v>
      </c>
      <c r="O1781" s="6">
        <v>-4.7699999999999996</v>
      </c>
      <c r="P1781" s="6">
        <v>0</v>
      </c>
      <c r="Q1781" s="4" t="s">
        <v>26</v>
      </c>
      <c r="R1781" s="4">
        <v>0</v>
      </c>
      <c r="S1781" s="4" t="s">
        <v>280</v>
      </c>
      <c r="T1781" s="4" t="s">
        <v>517</v>
      </c>
      <c r="U1781" s="4">
        <v>0</v>
      </c>
      <c r="V1781" s="4">
        <v>9</v>
      </c>
      <c r="W1781" s="4">
        <v>59</v>
      </c>
    </row>
    <row r="1782" spans="1:23" ht="11.25" customHeight="1" x14ac:dyDescent="0.25">
      <c r="A1782" s="4" t="s">
        <v>30</v>
      </c>
      <c r="B1782" s="4" t="s">
        <v>22</v>
      </c>
      <c r="C1782" s="4" t="s">
        <v>23</v>
      </c>
      <c r="D1782" s="4" t="s">
        <v>24</v>
      </c>
      <c r="E1782" s="4" t="s">
        <v>31</v>
      </c>
      <c r="F1782" s="4" t="s">
        <v>25</v>
      </c>
      <c r="G1782" s="4" t="s">
        <v>25</v>
      </c>
      <c r="H1782" s="4" t="s">
        <v>25</v>
      </c>
      <c r="I1782" s="5">
        <v>44378</v>
      </c>
      <c r="J1782" s="6">
        <v>0</v>
      </c>
      <c r="K1782" s="6">
        <v>0</v>
      </c>
      <c r="L1782" s="6">
        <v>4.5609999999999999</v>
      </c>
      <c r="M1782" s="6">
        <v>4.5609999999999999</v>
      </c>
      <c r="N1782" s="6">
        <v>4.5609999999999999</v>
      </c>
      <c r="O1782" s="6">
        <v>4.5609999999999999</v>
      </c>
      <c r="P1782" s="6">
        <v>0</v>
      </c>
      <c r="Q1782" s="4" t="s">
        <v>26</v>
      </c>
      <c r="R1782" s="4">
        <v>0</v>
      </c>
      <c r="S1782" s="4" t="s">
        <v>280</v>
      </c>
      <c r="T1782" s="4" t="s">
        <v>517</v>
      </c>
      <c r="U1782" s="4">
        <v>0</v>
      </c>
      <c r="V1782" s="4">
        <v>9</v>
      </c>
      <c r="W1782" s="4">
        <v>59</v>
      </c>
    </row>
    <row r="1783" spans="1:23" ht="11.25" customHeight="1" x14ac:dyDescent="0.25">
      <c r="A1783" s="4" t="s">
        <v>21</v>
      </c>
      <c r="B1783" s="4" t="s">
        <v>22</v>
      </c>
      <c r="C1783" s="4" t="s">
        <v>23</v>
      </c>
      <c r="D1783" s="4" t="s">
        <v>24</v>
      </c>
      <c r="E1783" s="4" t="s">
        <v>31</v>
      </c>
      <c r="F1783" s="4" t="s">
        <v>25</v>
      </c>
      <c r="G1783" s="4" t="s">
        <v>25</v>
      </c>
      <c r="H1783" s="4" t="s">
        <v>25</v>
      </c>
      <c r="I1783" s="5">
        <v>44409</v>
      </c>
      <c r="J1783" s="6">
        <v>0</v>
      </c>
      <c r="K1783" s="6">
        <v>0</v>
      </c>
      <c r="L1783" s="6">
        <v>2062.5630000000001</v>
      </c>
      <c r="M1783" s="6">
        <v>2062.5630000000001</v>
      </c>
      <c r="N1783" s="6">
        <v>2062.5630000000001</v>
      </c>
      <c r="O1783" s="6">
        <v>2062.5630000000001</v>
      </c>
      <c r="P1783" s="6">
        <v>9059</v>
      </c>
      <c r="Q1783" s="4" t="s">
        <v>26</v>
      </c>
      <c r="R1783" s="4">
        <v>0</v>
      </c>
      <c r="S1783" s="4" t="s">
        <v>281</v>
      </c>
      <c r="T1783" s="4" t="s">
        <v>518</v>
      </c>
      <c r="U1783" s="4">
        <v>0</v>
      </c>
      <c r="V1783" s="4">
        <v>9</v>
      </c>
      <c r="W1783" s="4">
        <v>59</v>
      </c>
    </row>
    <row r="1784" spans="1:23" ht="11.25" customHeight="1" x14ac:dyDescent="0.25">
      <c r="A1784" s="4" t="s">
        <v>27</v>
      </c>
      <c r="B1784" s="4" t="s">
        <v>22</v>
      </c>
      <c r="C1784" s="4" t="s">
        <v>23</v>
      </c>
      <c r="D1784" s="4" t="s">
        <v>24</v>
      </c>
      <c r="E1784" s="4" t="s">
        <v>31</v>
      </c>
      <c r="F1784" s="4" t="s">
        <v>25</v>
      </c>
      <c r="G1784" s="4" t="s">
        <v>25</v>
      </c>
      <c r="H1784" s="4" t="s">
        <v>25</v>
      </c>
      <c r="I1784" s="5">
        <v>44409</v>
      </c>
      <c r="J1784" s="6">
        <v>0</v>
      </c>
      <c r="K1784" s="6">
        <v>0</v>
      </c>
      <c r="L1784" s="6">
        <v>-7.1849999999999996</v>
      </c>
      <c r="M1784" s="6">
        <v>-7.1849999999999996</v>
      </c>
      <c r="N1784" s="6">
        <v>-7.1849999999999996</v>
      </c>
      <c r="O1784" s="6">
        <v>-7.1849999999999996</v>
      </c>
      <c r="P1784" s="6">
        <v>0</v>
      </c>
      <c r="Q1784" s="4" t="s">
        <v>26</v>
      </c>
      <c r="R1784" s="4">
        <v>0</v>
      </c>
      <c r="S1784" s="4" t="s">
        <v>281</v>
      </c>
      <c r="T1784" s="4" t="s">
        <v>518</v>
      </c>
      <c r="U1784" s="4">
        <v>0</v>
      </c>
      <c r="V1784" s="4">
        <v>9</v>
      </c>
      <c r="W1784" s="4">
        <v>59</v>
      </c>
    </row>
    <row r="1785" spans="1:23" ht="11.25" customHeight="1" x14ac:dyDescent="0.25">
      <c r="A1785" s="4" t="s">
        <v>28</v>
      </c>
      <c r="B1785" s="4" t="s">
        <v>22</v>
      </c>
      <c r="C1785" s="4" t="s">
        <v>23</v>
      </c>
      <c r="D1785" s="4" t="s">
        <v>24</v>
      </c>
      <c r="E1785" s="4" t="s">
        <v>31</v>
      </c>
      <c r="F1785" s="4" t="s">
        <v>25</v>
      </c>
      <c r="G1785" s="4" t="s">
        <v>25</v>
      </c>
      <c r="H1785" s="4" t="s">
        <v>25</v>
      </c>
      <c r="I1785" s="5">
        <v>44409</v>
      </c>
      <c r="J1785" s="6">
        <v>0</v>
      </c>
      <c r="K1785" s="6">
        <v>0</v>
      </c>
      <c r="L1785" s="6">
        <v>3759.9079999999999</v>
      </c>
      <c r="M1785" s="6">
        <v>3759.9079999999999</v>
      </c>
      <c r="N1785" s="6">
        <v>3759.9079999999999</v>
      </c>
      <c r="O1785" s="6">
        <v>3759.9079999999999</v>
      </c>
      <c r="P1785" s="6">
        <v>22639</v>
      </c>
      <c r="Q1785" s="4" t="s">
        <v>26</v>
      </c>
      <c r="R1785" s="4">
        <v>0</v>
      </c>
      <c r="S1785" s="4" t="s">
        <v>281</v>
      </c>
      <c r="T1785" s="4" t="s">
        <v>518</v>
      </c>
      <c r="U1785" s="4">
        <v>0</v>
      </c>
      <c r="V1785" s="4">
        <v>9</v>
      </c>
      <c r="W1785" s="4">
        <v>59</v>
      </c>
    </row>
    <row r="1786" spans="1:23" ht="11.25" customHeight="1" x14ac:dyDescent="0.25">
      <c r="A1786" s="4" t="s">
        <v>29</v>
      </c>
      <c r="B1786" s="4" t="s">
        <v>22</v>
      </c>
      <c r="C1786" s="4" t="s">
        <v>23</v>
      </c>
      <c r="D1786" s="4" t="s">
        <v>24</v>
      </c>
      <c r="E1786" s="4" t="s">
        <v>31</v>
      </c>
      <c r="F1786" s="4" t="s">
        <v>25</v>
      </c>
      <c r="G1786" s="4" t="s">
        <v>25</v>
      </c>
      <c r="H1786" s="4" t="s">
        <v>25</v>
      </c>
      <c r="I1786" s="5">
        <v>44409</v>
      </c>
      <c r="J1786" s="6">
        <v>0</v>
      </c>
      <c r="K1786" s="6">
        <v>0</v>
      </c>
      <c r="L1786" s="6">
        <v>-1.08</v>
      </c>
      <c r="M1786" s="6">
        <v>-1.08</v>
      </c>
      <c r="N1786" s="6">
        <v>-1.08</v>
      </c>
      <c r="O1786" s="6">
        <v>-1.08</v>
      </c>
      <c r="P1786" s="6">
        <v>0</v>
      </c>
      <c r="Q1786" s="4" t="s">
        <v>26</v>
      </c>
      <c r="R1786" s="4">
        <v>0</v>
      </c>
      <c r="S1786" s="4" t="s">
        <v>281</v>
      </c>
      <c r="T1786" s="4" t="s">
        <v>518</v>
      </c>
      <c r="U1786" s="4">
        <v>0</v>
      </c>
      <c r="V1786" s="4">
        <v>9</v>
      </c>
      <c r="W1786" s="4">
        <v>59</v>
      </c>
    </row>
    <row r="1787" spans="1:23" ht="11.25" customHeight="1" x14ac:dyDescent="0.25">
      <c r="A1787" s="4" t="s">
        <v>30</v>
      </c>
      <c r="B1787" s="4" t="s">
        <v>22</v>
      </c>
      <c r="C1787" s="4" t="s">
        <v>23</v>
      </c>
      <c r="D1787" s="4" t="s">
        <v>24</v>
      </c>
      <c r="E1787" s="4" t="s">
        <v>31</v>
      </c>
      <c r="F1787" s="4" t="s">
        <v>25</v>
      </c>
      <c r="G1787" s="4" t="s">
        <v>25</v>
      </c>
      <c r="H1787" s="4" t="s">
        <v>25</v>
      </c>
      <c r="I1787" s="5">
        <v>44409</v>
      </c>
      <c r="J1787" s="6">
        <v>0</v>
      </c>
      <c r="K1787" s="6">
        <v>0</v>
      </c>
      <c r="L1787" s="6">
        <v>5.7050000000000001</v>
      </c>
      <c r="M1787" s="6">
        <v>5.7050000000000001</v>
      </c>
      <c r="N1787" s="6">
        <v>5.7050000000000001</v>
      </c>
      <c r="O1787" s="6">
        <v>5.7050000000000001</v>
      </c>
      <c r="P1787" s="6">
        <v>0</v>
      </c>
      <c r="Q1787" s="4" t="s">
        <v>26</v>
      </c>
      <c r="R1787" s="4">
        <v>0</v>
      </c>
      <c r="S1787" s="4" t="s">
        <v>281</v>
      </c>
      <c r="T1787" s="4" t="s">
        <v>518</v>
      </c>
      <c r="U1787" s="4">
        <v>0</v>
      </c>
      <c r="V1787" s="4">
        <v>9</v>
      </c>
      <c r="W1787" s="4">
        <v>59</v>
      </c>
    </row>
    <row r="1788" spans="1:23" ht="11.25" customHeight="1" x14ac:dyDescent="0.25">
      <c r="A1788" s="4" t="s">
        <v>21</v>
      </c>
      <c r="B1788" s="4" t="s">
        <v>22</v>
      </c>
      <c r="C1788" s="4" t="s">
        <v>23</v>
      </c>
      <c r="D1788" s="4" t="s">
        <v>24</v>
      </c>
      <c r="E1788" s="4" t="s">
        <v>31</v>
      </c>
      <c r="F1788" s="4" t="s">
        <v>25</v>
      </c>
      <c r="G1788" s="4" t="s">
        <v>25</v>
      </c>
      <c r="H1788" s="4" t="s">
        <v>25</v>
      </c>
      <c r="I1788" s="5">
        <v>44440</v>
      </c>
      <c r="J1788" s="6">
        <v>0</v>
      </c>
      <c r="K1788" s="6">
        <v>0</v>
      </c>
      <c r="L1788" s="6">
        <v>2064.8539999999998</v>
      </c>
      <c r="M1788" s="6">
        <v>2064.8539999999998</v>
      </c>
      <c r="N1788" s="6">
        <v>2064.8539999999998</v>
      </c>
      <c r="O1788" s="6">
        <v>2064.8539999999998</v>
      </c>
      <c r="P1788" s="6">
        <v>8983</v>
      </c>
      <c r="Q1788" s="4" t="s">
        <v>26</v>
      </c>
      <c r="R1788" s="4">
        <v>0</v>
      </c>
      <c r="S1788" s="4" t="s">
        <v>282</v>
      </c>
      <c r="T1788" s="4" t="s">
        <v>519</v>
      </c>
      <c r="U1788" s="4">
        <v>0</v>
      </c>
      <c r="V1788" s="4">
        <v>9</v>
      </c>
      <c r="W1788" s="4">
        <v>59</v>
      </c>
    </row>
    <row r="1789" spans="1:23" ht="11.25" customHeight="1" x14ac:dyDescent="0.25">
      <c r="A1789" s="4" t="s">
        <v>27</v>
      </c>
      <c r="B1789" s="4" t="s">
        <v>22</v>
      </c>
      <c r="C1789" s="4" t="s">
        <v>23</v>
      </c>
      <c r="D1789" s="4" t="s">
        <v>24</v>
      </c>
      <c r="E1789" s="4" t="s">
        <v>31</v>
      </c>
      <c r="F1789" s="4" t="s">
        <v>25</v>
      </c>
      <c r="G1789" s="4" t="s">
        <v>25</v>
      </c>
      <c r="H1789" s="4" t="s">
        <v>25</v>
      </c>
      <c r="I1789" s="5">
        <v>44440</v>
      </c>
      <c r="J1789" s="6">
        <v>0</v>
      </c>
      <c r="K1789" s="6">
        <v>0</v>
      </c>
      <c r="L1789" s="6">
        <v>-11.55</v>
      </c>
      <c r="M1789" s="6">
        <v>-11.55</v>
      </c>
      <c r="N1789" s="6">
        <v>-11.55</v>
      </c>
      <c r="O1789" s="6">
        <v>-11.55</v>
      </c>
      <c r="P1789" s="6">
        <v>0</v>
      </c>
      <c r="Q1789" s="4" t="s">
        <v>26</v>
      </c>
      <c r="R1789" s="4">
        <v>0</v>
      </c>
      <c r="S1789" s="4" t="s">
        <v>282</v>
      </c>
      <c r="T1789" s="4" t="s">
        <v>519</v>
      </c>
      <c r="U1789" s="4">
        <v>0</v>
      </c>
      <c r="V1789" s="4">
        <v>9</v>
      </c>
      <c r="W1789" s="4">
        <v>59</v>
      </c>
    </row>
    <row r="1790" spans="1:23" ht="11.25" customHeight="1" x14ac:dyDescent="0.25">
      <c r="A1790" s="4" t="s">
        <v>28</v>
      </c>
      <c r="B1790" s="4" t="s">
        <v>22</v>
      </c>
      <c r="C1790" s="4" t="s">
        <v>23</v>
      </c>
      <c r="D1790" s="4" t="s">
        <v>24</v>
      </c>
      <c r="E1790" s="4" t="s">
        <v>31</v>
      </c>
      <c r="F1790" s="4" t="s">
        <v>25</v>
      </c>
      <c r="G1790" s="4" t="s">
        <v>25</v>
      </c>
      <c r="H1790" s="4" t="s">
        <v>25</v>
      </c>
      <c r="I1790" s="5">
        <v>44440</v>
      </c>
      <c r="J1790" s="6">
        <v>0</v>
      </c>
      <c r="K1790" s="6">
        <v>0</v>
      </c>
      <c r="L1790" s="6">
        <v>3774.047</v>
      </c>
      <c r="M1790" s="6">
        <v>3774.047</v>
      </c>
      <c r="N1790" s="6">
        <v>3774.047</v>
      </c>
      <c r="O1790" s="6">
        <v>3774.047</v>
      </c>
      <c r="P1790" s="6">
        <v>22362</v>
      </c>
      <c r="Q1790" s="4" t="s">
        <v>26</v>
      </c>
      <c r="R1790" s="4">
        <v>0</v>
      </c>
      <c r="S1790" s="4" t="s">
        <v>282</v>
      </c>
      <c r="T1790" s="4" t="s">
        <v>519</v>
      </c>
      <c r="U1790" s="4">
        <v>0</v>
      </c>
      <c r="V1790" s="4">
        <v>9</v>
      </c>
      <c r="W1790" s="4">
        <v>59</v>
      </c>
    </row>
    <row r="1791" spans="1:23" ht="11.25" customHeight="1" x14ac:dyDescent="0.25">
      <c r="A1791" s="4" t="s">
        <v>29</v>
      </c>
      <c r="B1791" s="4" t="s">
        <v>22</v>
      </c>
      <c r="C1791" s="4" t="s">
        <v>23</v>
      </c>
      <c r="D1791" s="4" t="s">
        <v>24</v>
      </c>
      <c r="E1791" s="4" t="s">
        <v>31</v>
      </c>
      <c r="F1791" s="4" t="s">
        <v>25</v>
      </c>
      <c r="G1791" s="4" t="s">
        <v>25</v>
      </c>
      <c r="H1791" s="4" t="s">
        <v>25</v>
      </c>
      <c r="I1791" s="5">
        <v>44440</v>
      </c>
      <c r="J1791" s="6">
        <v>0</v>
      </c>
      <c r="K1791" s="6">
        <v>0</v>
      </c>
      <c r="L1791" s="6">
        <v>-1.425</v>
      </c>
      <c r="M1791" s="6">
        <v>-1.425</v>
      </c>
      <c r="N1791" s="6">
        <v>-1.425</v>
      </c>
      <c r="O1791" s="6">
        <v>-1.425</v>
      </c>
      <c r="P1791" s="6">
        <v>0</v>
      </c>
      <c r="Q1791" s="4" t="s">
        <v>26</v>
      </c>
      <c r="R1791" s="4">
        <v>0</v>
      </c>
      <c r="S1791" s="4" t="s">
        <v>282</v>
      </c>
      <c r="T1791" s="4" t="s">
        <v>519</v>
      </c>
      <c r="U1791" s="4">
        <v>0</v>
      </c>
      <c r="V1791" s="4">
        <v>9</v>
      </c>
      <c r="W1791" s="4">
        <v>59</v>
      </c>
    </row>
    <row r="1792" spans="1:23" ht="11.25" customHeight="1" x14ac:dyDescent="0.25">
      <c r="A1792" s="4" t="s">
        <v>30</v>
      </c>
      <c r="B1792" s="4" t="s">
        <v>22</v>
      </c>
      <c r="C1792" s="4" t="s">
        <v>23</v>
      </c>
      <c r="D1792" s="4" t="s">
        <v>24</v>
      </c>
      <c r="E1792" s="4" t="s">
        <v>31</v>
      </c>
      <c r="F1792" s="4" t="s">
        <v>25</v>
      </c>
      <c r="G1792" s="4" t="s">
        <v>25</v>
      </c>
      <c r="H1792" s="4" t="s">
        <v>25</v>
      </c>
      <c r="I1792" s="5">
        <v>44440</v>
      </c>
      <c r="J1792" s="6">
        <v>0</v>
      </c>
      <c r="K1792" s="6">
        <v>0</v>
      </c>
      <c r="L1792" s="6">
        <v>5.8140000000000001</v>
      </c>
      <c r="M1792" s="6">
        <v>5.8140000000000001</v>
      </c>
      <c r="N1792" s="6">
        <v>5.8140000000000001</v>
      </c>
      <c r="O1792" s="6">
        <v>5.8140000000000001</v>
      </c>
      <c r="P1792" s="6">
        <v>0</v>
      </c>
      <c r="Q1792" s="4" t="s">
        <v>26</v>
      </c>
      <c r="R1792" s="4">
        <v>0</v>
      </c>
      <c r="S1792" s="4" t="s">
        <v>282</v>
      </c>
      <c r="T1792" s="4" t="s">
        <v>519</v>
      </c>
      <c r="U1792" s="4">
        <v>0</v>
      </c>
      <c r="V1792" s="4">
        <v>9</v>
      </c>
      <c r="W1792" s="4">
        <v>59</v>
      </c>
    </row>
    <row r="1793" spans="1:23" ht="11.25" customHeight="1" x14ac:dyDescent="0.25">
      <c r="A1793" s="4" t="s">
        <v>59</v>
      </c>
      <c r="B1793" s="4" t="s">
        <v>22</v>
      </c>
      <c r="C1793" s="4" t="s">
        <v>23</v>
      </c>
      <c r="D1793" s="4" t="s">
        <v>24</v>
      </c>
      <c r="E1793" s="4" t="s">
        <v>31</v>
      </c>
      <c r="F1793" s="4" t="s">
        <v>25</v>
      </c>
      <c r="G1793" s="4" t="s">
        <v>25</v>
      </c>
      <c r="H1793" s="4" t="s">
        <v>25</v>
      </c>
      <c r="I1793" s="5">
        <v>44470</v>
      </c>
      <c r="J1793" s="6">
        <v>0</v>
      </c>
      <c r="K1793" s="6">
        <v>0</v>
      </c>
      <c r="L1793" s="6">
        <v>2064.8539999999998</v>
      </c>
      <c r="M1793" s="6">
        <v>2064.8539999999998</v>
      </c>
      <c r="N1793" s="6">
        <v>2064.8539999999998</v>
      </c>
      <c r="O1793" s="6">
        <v>2064.8539999999998</v>
      </c>
      <c r="P1793" s="6">
        <v>8983</v>
      </c>
      <c r="Q1793" s="4" t="s">
        <v>26</v>
      </c>
      <c r="R1793" s="4">
        <v>0</v>
      </c>
      <c r="S1793" s="4" t="s">
        <v>283</v>
      </c>
      <c r="T1793" s="4" t="s">
        <v>520</v>
      </c>
      <c r="U1793" s="4">
        <v>0</v>
      </c>
      <c r="V1793" s="4">
        <v>9</v>
      </c>
      <c r="W1793" s="4">
        <v>59</v>
      </c>
    </row>
    <row r="1794" spans="1:23" ht="11.25" customHeight="1" x14ac:dyDescent="0.25">
      <c r="A1794" s="4" t="s">
        <v>59</v>
      </c>
      <c r="B1794" s="4" t="s">
        <v>22</v>
      </c>
      <c r="C1794" s="4" t="s">
        <v>23</v>
      </c>
      <c r="D1794" s="4" t="s">
        <v>24</v>
      </c>
      <c r="E1794" s="4" t="s">
        <v>31</v>
      </c>
      <c r="F1794" s="4" t="s">
        <v>25</v>
      </c>
      <c r="G1794" s="4" t="s">
        <v>25</v>
      </c>
      <c r="H1794" s="4" t="s">
        <v>25</v>
      </c>
      <c r="I1794" s="5">
        <v>44470</v>
      </c>
      <c r="J1794" s="6">
        <v>0</v>
      </c>
      <c r="K1794" s="6">
        <v>0</v>
      </c>
      <c r="L1794" s="6">
        <v>-11.55</v>
      </c>
      <c r="M1794" s="6">
        <v>-11.55</v>
      </c>
      <c r="N1794" s="6">
        <v>-11.55</v>
      </c>
      <c r="O1794" s="6">
        <v>-11.55</v>
      </c>
      <c r="P1794" s="6">
        <v>0</v>
      </c>
      <c r="Q1794" s="4" t="s">
        <v>26</v>
      </c>
      <c r="R1794" s="4">
        <v>0</v>
      </c>
      <c r="S1794" s="4" t="s">
        <v>283</v>
      </c>
      <c r="T1794" s="4" t="s">
        <v>520</v>
      </c>
      <c r="U1794" s="4">
        <v>0</v>
      </c>
      <c r="V1794" s="4">
        <v>9</v>
      </c>
      <c r="W1794" s="4">
        <v>59</v>
      </c>
    </row>
    <row r="1795" spans="1:23" ht="11.25" customHeight="1" x14ac:dyDescent="0.25">
      <c r="A1795" s="4" t="s">
        <v>59</v>
      </c>
      <c r="B1795" s="4" t="s">
        <v>22</v>
      </c>
      <c r="C1795" s="4" t="s">
        <v>23</v>
      </c>
      <c r="D1795" s="4" t="s">
        <v>24</v>
      </c>
      <c r="E1795" s="4" t="s">
        <v>31</v>
      </c>
      <c r="F1795" s="4" t="s">
        <v>25</v>
      </c>
      <c r="G1795" s="4" t="s">
        <v>25</v>
      </c>
      <c r="H1795" s="4" t="s">
        <v>25</v>
      </c>
      <c r="I1795" s="5">
        <v>44470</v>
      </c>
      <c r="J1795" s="6">
        <v>0</v>
      </c>
      <c r="K1795" s="6">
        <v>0</v>
      </c>
      <c r="L1795" s="6">
        <v>3774.047</v>
      </c>
      <c r="M1795" s="6">
        <v>3774.047</v>
      </c>
      <c r="N1795" s="6">
        <v>3774.047</v>
      </c>
      <c r="O1795" s="6">
        <v>3774.047</v>
      </c>
      <c r="P1795" s="6">
        <v>22362</v>
      </c>
      <c r="Q1795" s="4" t="s">
        <v>26</v>
      </c>
      <c r="R1795" s="4">
        <v>0</v>
      </c>
      <c r="S1795" s="4" t="s">
        <v>283</v>
      </c>
      <c r="T1795" s="4" t="s">
        <v>520</v>
      </c>
      <c r="U1795" s="4">
        <v>0</v>
      </c>
      <c r="V1795" s="4">
        <v>9</v>
      </c>
      <c r="W1795" s="4">
        <v>59</v>
      </c>
    </row>
    <row r="1796" spans="1:23" ht="11.25" customHeight="1" x14ac:dyDescent="0.25">
      <c r="A1796" s="4" t="s">
        <v>59</v>
      </c>
      <c r="B1796" s="4" t="s">
        <v>22</v>
      </c>
      <c r="C1796" s="4" t="s">
        <v>23</v>
      </c>
      <c r="D1796" s="4" t="s">
        <v>24</v>
      </c>
      <c r="E1796" s="4" t="s">
        <v>31</v>
      </c>
      <c r="F1796" s="4" t="s">
        <v>25</v>
      </c>
      <c r="G1796" s="4" t="s">
        <v>25</v>
      </c>
      <c r="H1796" s="4" t="s">
        <v>25</v>
      </c>
      <c r="I1796" s="5">
        <v>44470</v>
      </c>
      <c r="J1796" s="6">
        <v>0</v>
      </c>
      <c r="K1796" s="6">
        <v>0</v>
      </c>
      <c r="L1796" s="6">
        <v>-1.425</v>
      </c>
      <c r="M1796" s="6">
        <v>-1.425</v>
      </c>
      <c r="N1796" s="6">
        <v>-1.425</v>
      </c>
      <c r="O1796" s="6">
        <v>-1.425</v>
      </c>
      <c r="P1796" s="6">
        <v>0</v>
      </c>
      <c r="Q1796" s="4" t="s">
        <v>26</v>
      </c>
      <c r="R1796" s="4">
        <v>0</v>
      </c>
      <c r="S1796" s="4" t="s">
        <v>283</v>
      </c>
      <c r="T1796" s="4" t="s">
        <v>520</v>
      </c>
      <c r="U1796" s="4">
        <v>0</v>
      </c>
      <c r="V1796" s="4">
        <v>9</v>
      </c>
      <c r="W1796" s="4">
        <v>59</v>
      </c>
    </row>
    <row r="1797" spans="1:23" ht="11.25" customHeight="1" x14ac:dyDescent="0.25">
      <c r="A1797" s="4" t="s">
        <v>59</v>
      </c>
      <c r="B1797" s="4" t="s">
        <v>22</v>
      </c>
      <c r="C1797" s="4" t="s">
        <v>23</v>
      </c>
      <c r="D1797" s="4" t="s">
        <v>24</v>
      </c>
      <c r="E1797" s="4" t="s">
        <v>31</v>
      </c>
      <c r="F1797" s="4" t="s">
        <v>25</v>
      </c>
      <c r="G1797" s="4" t="s">
        <v>25</v>
      </c>
      <c r="H1797" s="4" t="s">
        <v>25</v>
      </c>
      <c r="I1797" s="5">
        <v>44470</v>
      </c>
      <c r="J1797" s="6">
        <v>0</v>
      </c>
      <c r="K1797" s="6">
        <v>0</v>
      </c>
      <c r="L1797" s="6">
        <v>5.8140000000000001</v>
      </c>
      <c r="M1797" s="6">
        <v>5.8140000000000001</v>
      </c>
      <c r="N1797" s="6">
        <v>5.8140000000000001</v>
      </c>
      <c r="O1797" s="6">
        <v>5.8140000000000001</v>
      </c>
      <c r="P1797" s="6">
        <v>0</v>
      </c>
      <c r="Q1797" s="4" t="s">
        <v>26</v>
      </c>
      <c r="R1797" s="4">
        <v>0</v>
      </c>
      <c r="S1797" s="4" t="s">
        <v>283</v>
      </c>
      <c r="T1797" s="4" t="s">
        <v>520</v>
      </c>
      <c r="U1797" s="4">
        <v>0</v>
      </c>
      <c r="V1797" s="4">
        <v>9</v>
      </c>
      <c r="W1797" s="4">
        <v>59</v>
      </c>
    </row>
    <row r="1798" spans="1:23" ht="11.25" customHeight="1" x14ac:dyDescent="0.25">
      <c r="A1798" s="4" t="s">
        <v>21</v>
      </c>
      <c r="B1798" s="4" t="s">
        <v>22</v>
      </c>
      <c r="C1798" s="4" t="s">
        <v>23</v>
      </c>
      <c r="D1798" s="4" t="s">
        <v>24</v>
      </c>
      <c r="E1798" s="4" t="s">
        <v>32</v>
      </c>
      <c r="F1798" s="4" t="s">
        <v>25</v>
      </c>
      <c r="G1798" s="4" t="s">
        <v>25</v>
      </c>
      <c r="H1798" s="4" t="s">
        <v>25</v>
      </c>
      <c r="I1798" s="5">
        <v>44136</v>
      </c>
      <c r="J1798" s="6">
        <v>0</v>
      </c>
      <c r="K1798" s="6">
        <v>0</v>
      </c>
      <c r="L1798" s="6">
        <v>3289.5</v>
      </c>
      <c r="M1798" s="6">
        <v>3289.5</v>
      </c>
      <c r="N1798" s="6">
        <v>3289.5</v>
      </c>
      <c r="O1798" s="6">
        <v>3289.5</v>
      </c>
      <c r="P1798" s="6">
        <v>19133</v>
      </c>
      <c r="Q1798" s="4" t="s">
        <v>26</v>
      </c>
      <c r="R1798" s="4">
        <v>0</v>
      </c>
      <c r="S1798" s="4" t="s">
        <v>284</v>
      </c>
      <c r="T1798" s="4" t="s">
        <v>521</v>
      </c>
      <c r="U1798" s="4">
        <v>0</v>
      </c>
      <c r="V1798" s="4">
        <v>10</v>
      </c>
      <c r="W1798" s="4">
        <v>60</v>
      </c>
    </row>
    <row r="1799" spans="1:23" ht="11.25" customHeight="1" x14ac:dyDescent="0.25">
      <c r="A1799" s="4" t="s">
        <v>27</v>
      </c>
      <c r="B1799" s="4" t="s">
        <v>22</v>
      </c>
      <c r="C1799" s="4" t="s">
        <v>23</v>
      </c>
      <c r="D1799" s="4" t="s">
        <v>24</v>
      </c>
      <c r="E1799" s="4" t="s">
        <v>32</v>
      </c>
      <c r="F1799" s="4" t="s">
        <v>25</v>
      </c>
      <c r="G1799" s="4" t="s">
        <v>25</v>
      </c>
      <c r="H1799" s="4" t="s">
        <v>25</v>
      </c>
      <c r="I1799" s="5">
        <v>44136</v>
      </c>
      <c r="J1799" s="6">
        <v>0</v>
      </c>
      <c r="K1799" s="6">
        <v>0</v>
      </c>
      <c r="L1799" s="6">
        <v>-4.3289999999999997</v>
      </c>
      <c r="M1799" s="6">
        <v>-4.3289999999999997</v>
      </c>
      <c r="N1799" s="6">
        <v>-4.3289999999999997</v>
      </c>
      <c r="O1799" s="6">
        <v>-4.3289999999999997</v>
      </c>
      <c r="P1799" s="6">
        <v>-41</v>
      </c>
      <c r="Q1799" s="4" t="s">
        <v>26</v>
      </c>
      <c r="R1799" s="4">
        <v>0</v>
      </c>
      <c r="S1799" s="4" t="s">
        <v>284</v>
      </c>
      <c r="T1799" s="4" t="s">
        <v>521</v>
      </c>
      <c r="U1799" s="4">
        <v>0</v>
      </c>
      <c r="V1799" s="4">
        <v>10</v>
      </c>
      <c r="W1799" s="4">
        <v>60</v>
      </c>
    </row>
    <row r="1800" spans="1:23" ht="11.25" customHeight="1" x14ac:dyDescent="0.25">
      <c r="A1800" s="4" t="s">
        <v>28</v>
      </c>
      <c r="B1800" s="4" t="s">
        <v>22</v>
      </c>
      <c r="C1800" s="4" t="s">
        <v>23</v>
      </c>
      <c r="D1800" s="4" t="s">
        <v>24</v>
      </c>
      <c r="E1800" s="4" t="s">
        <v>32</v>
      </c>
      <c r="F1800" s="4" t="s">
        <v>25</v>
      </c>
      <c r="G1800" s="4" t="s">
        <v>25</v>
      </c>
      <c r="H1800" s="4" t="s">
        <v>25</v>
      </c>
      <c r="I1800" s="5">
        <v>44136</v>
      </c>
      <c r="J1800" s="6">
        <v>0</v>
      </c>
      <c r="K1800" s="6">
        <v>0</v>
      </c>
      <c r="L1800" s="6">
        <v>5666.1090000000004</v>
      </c>
      <c r="M1800" s="6">
        <v>5666.1090000000004</v>
      </c>
      <c r="N1800" s="6">
        <v>5666.1090000000004</v>
      </c>
      <c r="O1800" s="6">
        <v>5666.1090000000004</v>
      </c>
      <c r="P1800" s="6">
        <v>27981</v>
      </c>
      <c r="Q1800" s="4" t="s">
        <v>26</v>
      </c>
      <c r="R1800" s="4">
        <v>0</v>
      </c>
      <c r="S1800" s="4" t="s">
        <v>284</v>
      </c>
      <c r="T1800" s="4" t="s">
        <v>521</v>
      </c>
      <c r="U1800" s="4">
        <v>0</v>
      </c>
      <c r="V1800" s="4">
        <v>10</v>
      </c>
      <c r="W1800" s="4">
        <v>60</v>
      </c>
    </row>
    <row r="1801" spans="1:23" ht="11.25" customHeight="1" x14ac:dyDescent="0.25">
      <c r="A1801" s="4" t="s">
        <v>29</v>
      </c>
      <c r="B1801" s="4" t="s">
        <v>22</v>
      </c>
      <c r="C1801" s="4" t="s">
        <v>23</v>
      </c>
      <c r="D1801" s="4" t="s">
        <v>24</v>
      </c>
      <c r="E1801" s="4" t="s">
        <v>32</v>
      </c>
      <c r="F1801" s="4" t="s">
        <v>25</v>
      </c>
      <c r="G1801" s="4" t="s">
        <v>25</v>
      </c>
      <c r="H1801" s="4" t="s">
        <v>25</v>
      </c>
      <c r="I1801" s="5">
        <v>44136</v>
      </c>
      <c r="J1801" s="6">
        <v>0</v>
      </c>
      <c r="K1801" s="6">
        <v>0</v>
      </c>
      <c r="L1801" s="6">
        <v>-4.7480000000000002</v>
      </c>
      <c r="M1801" s="6">
        <v>-4.7480000000000002</v>
      </c>
      <c r="N1801" s="6">
        <v>-4.7480000000000002</v>
      </c>
      <c r="O1801" s="6">
        <v>-4.7480000000000002</v>
      </c>
      <c r="P1801" s="6">
        <v>-20</v>
      </c>
      <c r="Q1801" s="4" t="s">
        <v>26</v>
      </c>
      <c r="R1801" s="4">
        <v>0</v>
      </c>
      <c r="S1801" s="4" t="s">
        <v>284</v>
      </c>
      <c r="T1801" s="4" t="s">
        <v>521</v>
      </c>
      <c r="U1801" s="4">
        <v>0</v>
      </c>
      <c r="V1801" s="4">
        <v>10</v>
      </c>
      <c r="W1801" s="4">
        <v>60</v>
      </c>
    </row>
    <row r="1802" spans="1:23" ht="11.25" customHeight="1" x14ac:dyDescent="0.25">
      <c r="A1802" s="4" t="s">
        <v>21</v>
      </c>
      <c r="B1802" s="4" t="s">
        <v>22</v>
      </c>
      <c r="C1802" s="4" t="s">
        <v>23</v>
      </c>
      <c r="D1802" s="4" t="s">
        <v>24</v>
      </c>
      <c r="E1802" s="4" t="s">
        <v>32</v>
      </c>
      <c r="F1802" s="4" t="s">
        <v>25</v>
      </c>
      <c r="G1802" s="4" t="s">
        <v>25</v>
      </c>
      <c r="H1802" s="4" t="s">
        <v>25</v>
      </c>
      <c r="I1802" s="5">
        <v>44166</v>
      </c>
      <c r="J1802" s="6">
        <v>0</v>
      </c>
      <c r="K1802" s="6">
        <v>0</v>
      </c>
      <c r="L1802" s="6">
        <v>3746.348</v>
      </c>
      <c r="M1802" s="6">
        <v>3746.348</v>
      </c>
      <c r="N1802" s="6">
        <v>3746.348</v>
      </c>
      <c r="O1802" s="6">
        <v>3746.348</v>
      </c>
      <c r="P1802" s="6">
        <v>22159</v>
      </c>
      <c r="Q1802" s="4" t="s">
        <v>26</v>
      </c>
      <c r="R1802" s="4">
        <v>0</v>
      </c>
      <c r="S1802" s="4" t="s">
        <v>285</v>
      </c>
      <c r="T1802" s="4" t="s">
        <v>522</v>
      </c>
      <c r="U1802" s="4">
        <v>0</v>
      </c>
      <c r="V1802" s="4">
        <v>10</v>
      </c>
      <c r="W1802" s="4">
        <v>60</v>
      </c>
    </row>
    <row r="1803" spans="1:23" ht="11.25" customHeight="1" x14ac:dyDescent="0.25">
      <c r="A1803" s="4" t="s">
        <v>27</v>
      </c>
      <c r="B1803" s="4" t="s">
        <v>22</v>
      </c>
      <c r="C1803" s="4" t="s">
        <v>23</v>
      </c>
      <c r="D1803" s="4" t="s">
        <v>24</v>
      </c>
      <c r="E1803" s="4" t="s">
        <v>32</v>
      </c>
      <c r="F1803" s="4" t="s">
        <v>25</v>
      </c>
      <c r="G1803" s="4" t="s">
        <v>25</v>
      </c>
      <c r="H1803" s="4" t="s">
        <v>25</v>
      </c>
      <c r="I1803" s="5">
        <v>44166</v>
      </c>
      <c r="J1803" s="6">
        <v>0</v>
      </c>
      <c r="K1803" s="6">
        <v>0</v>
      </c>
      <c r="L1803" s="6">
        <v>-6.7919999999999998</v>
      </c>
      <c r="M1803" s="6">
        <v>-6.7919999999999998</v>
      </c>
      <c r="N1803" s="6">
        <v>-6.7919999999999998</v>
      </c>
      <c r="O1803" s="6">
        <v>-6.7919999999999998</v>
      </c>
      <c r="P1803" s="6">
        <v>0</v>
      </c>
      <c r="Q1803" s="4" t="s">
        <v>26</v>
      </c>
      <c r="R1803" s="4">
        <v>0</v>
      </c>
      <c r="S1803" s="4" t="s">
        <v>285</v>
      </c>
      <c r="T1803" s="4" t="s">
        <v>522</v>
      </c>
      <c r="U1803" s="4">
        <v>0</v>
      </c>
      <c r="V1803" s="4">
        <v>10</v>
      </c>
      <c r="W1803" s="4">
        <v>60</v>
      </c>
    </row>
    <row r="1804" spans="1:23" ht="11.25" customHeight="1" x14ac:dyDescent="0.25">
      <c r="A1804" s="4" t="s">
        <v>28</v>
      </c>
      <c r="B1804" s="4" t="s">
        <v>22</v>
      </c>
      <c r="C1804" s="4" t="s">
        <v>23</v>
      </c>
      <c r="D1804" s="4" t="s">
        <v>24</v>
      </c>
      <c r="E1804" s="4" t="s">
        <v>32</v>
      </c>
      <c r="F1804" s="4" t="s">
        <v>25</v>
      </c>
      <c r="G1804" s="4" t="s">
        <v>25</v>
      </c>
      <c r="H1804" s="4" t="s">
        <v>25</v>
      </c>
      <c r="I1804" s="5">
        <v>44166</v>
      </c>
      <c r="J1804" s="6">
        <v>0</v>
      </c>
      <c r="K1804" s="6">
        <v>0</v>
      </c>
      <c r="L1804" s="6">
        <v>6120.3680000000004</v>
      </c>
      <c r="M1804" s="6">
        <v>6120.3680000000004</v>
      </c>
      <c r="N1804" s="6">
        <v>6120.3680000000004</v>
      </c>
      <c r="O1804" s="6">
        <v>6120.3680000000004</v>
      </c>
      <c r="P1804" s="6">
        <v>31615</v>
      </c>
      <c r="Q1804" s="4" t="s">
        <v>26</v>
      </c>
      <c r="R1804" s="4">
        <v>0</v>
      </c>
      <c r="S1804" s="4" t="s">
        <v>285</v>
      </c>
      <c r="T1804" s="4" t="s">
        <v>522</v>
      </c>
      <c r="U1804" s="4">
        <v>0</v>
      </c>
      <c r="V1804" s="4">
        <v>10</v>
      </c>
      <c r="W1804" s="4">
        <v>60</v>
      </c>
    </row>
    <row r="1805" spans="1:23" ht="11.25" customHeight="1" x14ac:dyDescent="0.25">
      <c r="A1805" s="4" t="s">
        <v>29</v>
      </c>
      <c r="B1805" s="4" t="s">
        <v>22</v>
      </c>
      <c r="C1805" s="4" t="s">
        <v>23</v>
      </c>
      <c r="D1805" s="4" t="s">
        <v>24</v>
      </c>
      <c r="E1805" s="4" t="s">
        <v>32</v>
      </c>
      <c r="F1805" s="4" t="s">
        <v>25</v>
      </c>
      <c r="G1805" s="4" t="s">
        <v>25</v>
      </c>
      <c r="H1805" s="4" t="s">
        <v>25</v>
      </c>
      <c r="I1805" s="5">
        <v>44166</v>
      </c>
      <c r="J1805" s="6">
        <v>0</v>
      </c>
      <c r="K1805" s="6">
        <v>0</v>
      </c>
      <c r="L1805" s="6">
        <v>-6.5750000000000002</v>
      </c>
      <c r="M1805" s="6">
        <v>-6.5750000000000002</v>
      </c>
      <c r="N1805" s="6">
        <v>-6.5750000000000002</v>
      </c>
      <c r="O1805" s="6">
        <v>-6.5750000000000002</v>
      </c>
      <c r="P1805" s="6">
        <v>0</v>
      </c>
      <c r="Q1805" s="4" t="s">
        <v>26</v>
      </c>
      <c r="R1805" s="4">
        <v>0</v>
      </c>
      <c r="S1805" s="4" t="s">
        <v>285</v>
      </c>
      <c r="T1805" s="4" t="s">
        <v>522</v>
      </c>
      <c r="U1805" s="4">
        <v>0</v>
      </c>
      <c r="V1805" s="4">
        <v>10</v>
      </c>
      <c r="W1805" s="4">
        <v>60</v>
      </c>
    </row>
    <row r="1806" spans="1:23" ht="11.25" customHeight="1" x14ac:dyDescent="0.25">
      <c r="A1806" s="4" t="s">
        <v>21</v>
      </c>
      <c r="B1806" s="4" t="s">
        <v>22</v>
      </c>
      <c r="C1806" s="4" t="s">
        <v>23</v>
      </c>
      <c r="D1806" s="4" t="s">
        <v>24</v>
      </c>
      <c r="E1806" s="4" t="s">
        <v>32</v>
      </c>
      <c r="F1806" s="4" t="s">
        <v>25</v>
      </c>
      <c r="G1806" s="4" t="s">
        <v>25</v>
      </c>
      <c r="H1806" s="4" t="s">
        <v>25</v>
      </c>
      <c r="I1806" s="5">
        <v>44197</v>
      </c>
      <c r="J1806" s="6">
        <v>0</v>
      </c>
      <c r="K1806" s="6">
        <v>0</v>
      </c>
      <c r="L1806" s="6">
        <v>3875.0279999999998</v>
      </c>
      <c r="M1806" s="6">
        <v>3875.0279999999998</v>
      </c>
      <c r="N1806" s="6">
        <v>3875.0279999999998</v>
      </c>
      <c r="O1806" s="6">
        <v>3875.0279999999998</v>
      </c>
      <c r="P1806" s="6">
        <v>21806</v>
      </c>
      <c r="Q1806" s="4" t="s">
        <v>26</v>
      </c>
      <c r="R1806" s="4">
        <v>0</v>
      </c>
      <c r="S1806" s="4" t="s">
        <v>286</v>
      </c>
      <c r="T1806" s="4" t="s">
        <v>523</v>
      </c>
      <c r="U1806" s="4">
        <v>0</v>
      </c>
      <c r="V1806" s="4">
        <v>10</v>
      </c>
      <c r="W1806" s="4">
        <v>60</v>
      </c>
    </row>
    <row r="1807" spans="1:23" ht="11.25" customHeight="1" x14ac:dyDescent="0.25">
      <c r="A1807" s="4" t="s">
        <v>27</v>
      </c>
      <c r="B1807" s="4" t="s">
        <v>22</v>
      </c>
      <c r="C1807" s="4" t="s">
        <v>23</v>
      </c>
      <c r="D1807" s="4" t="s">
        <v>24</v>
      </c>
      <c r="E1807" s="4" t="s">
        <v>32</v>
      </c>
      <c r="F1807" s="4" t="s">
        <v>25</v>
      </c>
      <c r="G1807" s="4" t="s">
        <v>25</v>
      </c>
      <c r="H1807" s="4" t="s">
        <v>25</v>
      </c>
      <c r="I1807" s="5">
        <v>44197</v>
      </c>
      <c r="J1807" s="6">
        <v>0</v>
      </c>
      <c r="K1807" s="6">
        <v>0</v>
      </c>
      <c r="L1807" s="6">
        <v>-8.5250000000000004</v>
      </c>
      <c r="M1807" s="6">
        <v>-8.5250000000000004</v>
      </c>
      <c r="N1807" s="6">
        <v>-8.5250000000000004</v>
      </c>
      <c r="O1807" s="6">
        <v>-8.5250000000000004</v>
      </c>
      <c r="P1807" s="6">
        <v>0</v>
      </c>
      <c r="Q1807" s="4" t="s">
        <v>26</v>
      </c>
      <c r="R1807" s="4">
        <v>0</v>
      </c>
      <c r="S1807" s="4" t="s">
        <v>286</v>
      </c>
      <c r="T1807" s="4" t="s">
        <v>523</v>
      </c>
      <c r="U1807" s="4">
        <v>0</v>
      </c>
      <c r="V1807" s="4">
        <v>10</v>
      </c>
      <c r="W1807" s="4">
        <v>60</v>
      </c>
    </row>
    <row r="1808" spans="1:23" ht="11.25" customHeight="1" x14ac:dyDescent="0.25">
      <c r="A1808" s="4" t="s">
        <v>28</v>
      </c>
      <c r="B1808" s="4" t="s">
        <v>22</v>
      </c>
      <c r="C1808" s="4" t="s">
        <v>23</v>
      </c>
      <c r="D1808" s="4" t="s">
        <v>24</v>
      </c>
      <c r="E1808" s="4" t="s">
        <v>32</v>
      </c>
      <c r="F1808" s="4" t="s">
        <v>25</v>
      </c>
      <c r="G1808" s="4" t="s">
        <v>25</v>
      </c>
      <c r="H1808" s="4" t="s">
        <v>25</v>
      </c>
      <c r="I1808" s="5">
        <v>44197</v>
      </c>
      <c r="J1808" s="6">
        <v>0</v>
      </c>
      <c r="K1808" s="6">
        <v>0</v>
      </c>
      <c r="L1808" s="6">
        <v>6055.92</v>
      </c>
      <c r="M1808" s="6">
        <v>6055.92</v>
      </c>
      <c r="N1808" s="6">
        <v>6055.92</v>
      </c>
      <c r="O1808" s="6">
        <v>6055.92</v>
      </c>
      <c r="P1808" s="6">
        <v>34511</v>
      </c>
      <c r="Q1808" s="4" t="s">
        <v>26</v>
      </c>
      <c r="R1808" s="4">
        <v>0</v>
      </c>
      <c r="S1808" s="4" t="s">
        <v>286</v>
      </c>
      <c r="T1808" s="4" t="s">
        <v>523</v>
      </c>
      <c r="U1808" s="4">
        <v>0</v>
      </c>
      <c r="V1808" s="4">
        <v>10</v>
      </c>
      <c r="W1808" s="4">
        <v>60</v>
      </c>
    </row>
    <row r="1809" spans="1:23" ht="11.25" customHeight="1" x14ac:dyDescent="0.25">
      <c r="A1809" s="4" t="s">
        <v>29</v>
      </c>
      <c r="B1809" s="4" t="s">
        <v>22</v>
      </c>
      <c r="C1809" s="4" t="s">
        <v>23</v>
      </c>
      <c r="D1809" s="4" t="s">
        <v>24</v>
      </c>
      <c r="E1809" s="4" t="s">
        <v>32</v>
      </c>
      <c r="F1809" s="4" t="s">
        <v>25</v>
      </c>
      <c r="G1809" s="4" t="s">
        <v>25</v>
      </c>
      <c r="H1809" s="4" t="s">
        <v>25</v>
      </c>
      <c r="I1809" s="5">
        <v>44197</v>
      </c>
      <c r="J1809" s="6">
        <v>0</v>
      </c>
      <c r="K1809" s="6">
        <v>0</v>
      </c>
      <c r="L1809" s="6">
        <v>-4.3979999999999997</v>
      </c>
      <c r="M1809" s="6">
        <v>-4.3979999999999997</v>
      </c>
      <c r="N1809" s="6">
        <v>-4.3979999999999997</v>
      </c>
      <c r="O1809" s="6">
        <v>-4.3979999999999997</v>
      </c>
      <c r="P1809" s="6">
        <v>0</v>
      </c>
      <c r="Q1809" s="4" t="s">
        <v>26</v>
      </c>
      <c r="R1809" s="4">
        <v>0</v>
      </c>
      <c r="S1809" s="4" t="s">
        <v>286</v>
      </c>
      <c r="T1809" s="4" t="s">
        <v>523</v>
      </c>
      <c r="U1809" s="4">
        <v>0</v>
      </c>
      <c r="V1809" s="4">
        <v>10</v>
      </c>
      <c r="W1809" s="4">
        <v>60</v>
      </c>
    </row>
    <row r="1810" spans="1:23" ht="11.25" customHeight="1" x14ac:dyDescent="0.25">
      <c r="A1810" s="4" t="s">
        <v>30</v>
      </c>
      <c r="B1810" s="4" t="s">
        <v>22</v>
      </c>
      <c r="C1810" s="4" t="s">
        <v>23</v>
      </c>
      <c r="D1810" s="4" t="s">
        <v>24</v>
      </c>
      <c r="E1810" s="4" t="s">
        <v>32</v>
      </c>
      <c r="F1810" s="4" t="s">
        <v>25</v>
      </c>
      <c r="G1810" s="4" t="s">
        <v>25</v>
      </c>
      <c r="H1810" s="4" t="s">
        <v>25</v>
      </c>
      <c r="I1810" s="5">
        <v>44197</v>
      </c>
      <c r="J1810" s="6">
        <v>0</v>
      </c>
      <c r="K1810" s="6">
        <v>0</v>
      </c>
      <c r="L1810" s="6">
        <v>0.02</v>
      </c>
      <c r="M1810" s="6">
        <v>0.02</v>
      </c>
      <c r="N1810" s="6">
        <v>0.02</v>
      </c>
      <c r="O1810" s="6">
        <v>0.02</v>
      </c>
      <c r="P1810" s="6">
        <v>0</v>
      </c>
      <c r="Q1810" s="4" t="s">
        <v>26</v>
      </c>
      <c r="R1810" s="4">
        <v>0</v>
      </c>
      <c r="S1810" s="4" t="s">
        <v>286</v>
      </c>
      <c r="T1810" s="4" t="s">
        <v>523</v>
      </c>
      <c r="U1810" s="4">
        <v>0</v>
      </c>
      <c r="V1810" s="4">
        <v>10</v>
      </c>
      <c r="W1810" s="4">
        <v>60</v>
      </c>
    </row>
    <row r="1811" spans="1:23" ht="11.25" customHeight="1" x14ac:dyDescent="0.25">
      <c r="A1811" s="4" t="s">
        <v>30</v>
      </c>
      <c r="B1811" s="4" t="s">
        <v>22</v>
      </c>
      <c r="C1811" s="4" t="s">
        <v>23</v>
      </c>
      <c r="D1811" s="4" t="s">
        <v>24</v>
      </c>
      <c r="E1811" s="4" t="s">
        <v>32</v>
      </c>
      <c r="F1811" s="4" t="s">
        <v>25</v>
      </c>
      <c r="G1811" s="4" t="s">
        <v>25</v>
      </c>
      <c r="H1811" s="4" t="s">
        <v>25</v>
      </c>
      <c r="I1811" s="5">
        <v>44197</v>
      </c>
      <c r="J1811" s="6">
        <v>0</v>
      </c>
      <c r="K1811" s="6">
        <v>0</v>
      </c>
      <c r="L1811" s="6">
        <v>0.32700000000000001</v>
      </c>
      <c r="M1811" s="6">
        <v>0.32700000000000001</v>
      </c>
      <c r="N1811" s="6">
        <v>0.32700000000000001</v>
      </c>
      <c r="O1811" s="6">
        <v>0.32700000000000001</v>
      </c>
      <c r="P1811" s="6">
        <v>0</v>
      </c>
      <c r="Q1811" s="4" t="s">
        <v>26</v>
      </c>
      <c r="R1811" s="4">
        <v>0</v>
      </c>
      <c r="S1811" s="4" t="s">
        <v>286</v>
      </c>
      <c r="T1811" s="4" t="s">
        <v>523</v>
      </c>
      <c r="U1811" s="4">
        <v>0</v>
      </c>
      <c r="V1811" s="4">
        <v>10</v>
      </c>
      <c r="W1811" s="4">
        <v>60</v>
      </c>
    </row>
    <row r="1812" spans="1:23" ht="11.25" customHeight="1" x14ac:dyDescent="0.25">
      <c r="A1812" s="4" t="s">
        <v>21</v>
      </c>
      <c r="B1812" s="4" t="s">
        <v>22</v>
      </c>
      <c r="C1812" s="4" t="s">
        <v>23</v>
      </c>
      <c r="D1812" s="4" t="s">
        <v>24</v>
      </c>
      <c r="E1812" s="4" t="s">
        <v>32</v>
      </c>
      <c r="F1812" s="4" t="s">
        <v>25</v>
      </c>
      <c r="G1812" s="4" t="s">
        <v>25</v>
      </c>
      <c r="H1812" s="4" t="s">
        <v>25</v>
      </c>
      <c r="I1812" s="5">
        <v>44228</v>
      </c>
      <c r="J1812" s="6">
        <v>0</v>
      </c>
      <c r="K1812" s="6">
        <v>0</v>
      </c>
      <c r="L1812" s="6">
        <v>3629.8249999999998</v>
      </c>
      <c r="M1812" s="6">
        <v>3629.8249999999998</v>
      </c>
      <c r="N1812" s="6">
        <v>3629.8249999999998</v>
      </c>
      <c r="O1812" s="6">
        <v>3629.8249999999998</v>
      </c>
      <c r="P1812" s="6">
        <v>24844</v>
      </c>
      <c r="Q1812" s="4" t="s">
        <v>26</v>
      </c>
      <c r="R1812" s="4">
        <v>0</v>
      </c>
      <c r="S1812" s="4" t="s">
        <v>287</v>
      </c>
      <c r="T1812" s="4" t="s">
        <v>524</v>
      </c>
      <c r="U1812" s="4">
        <v>0</v>
      </c>
      <c r="V1812" s="4">
        <v>10</v>
      </c>
      <c r="W1812" s="4">
        <v>60</v>
      </c>
    </row>
    <row r="1813" spans="1:23" ht="11.25" customHeight="1" x14ac:dyDescent="0.25">
      <c r="A1813" s="4" t="s">
        <v>27</v>
      </c>
      <c r="B1813" s="4" t="s">
        <v>22</v>
      </c>
      <c r="C1813" s="4" t="s">
        <v>23</v>
      </c>
      <c r="D1813" s="4" t="s">
        <v>24</v>
      </c>
      <c r="E1813" s="4" t="s">
        <v>32</v>
      </c>
      <c r="F1813" s="4" t="s">
        <v>25</v>
      </c>
      <c r="G1813" s="4" t="s">
        <v>25</v>
      </c>
      <c r="H1813" s="4" t="s">
        <v>25</v>
      </c>
      <c r="I1813" s="5">
        <v>44228</v>
      </c>
      <c r="J1813" s="6">
        <v>0</v>
      </c>
      <c r="K1813" s="6">
        <v>0</v>
      </c>
      <c r="L1813" s="6">
        <v>-5.8780000000000001</v>
      </c>
      <c r="M1813" s="6">
        <v>-5.8780000000000001</v>
      </c>
      <c r="N1813" s="6">
        <v>-5.8780000000000001</v>
      </c>
      <c r="O1813" s="6">
        <v>-5.8780000000000001</v>
      </c>
      <c r="P1813" s="6">
        <v>0</v>
      </c>
      <c r="Q1813" s="4" t="s">
        <v>26</v>
      </c>
      <c r="R1813" s="4">
        <v>0</v>
      </c>
      <c r="S1813" s="4" t="s">
        <v>287</v>
      </c>
      <c r="T1813" s="4" t="s">
        <v>524</v>
      </c>
      <c r="U1813" s="4">
        <v>0</v>
      </c>
      <c r="V1813" s="4">
        <v>10</v>
      </c>
      <c r="W1813" s="4">
        <v>60</v>
      </c>
    </row>
    <row r="1814" spans="1:23" ht="11.25" customHeight="1" x14ac:dyDescent="0.25">
      <c r="A1814" s="4" t="s">
        <v>28</v>
      </c>
      <c r="B1814" s="4" t="s">
        <v>22</v>
      </c>
      <c r="C1814" s="4" t="s">
        <v>23</v>
      </c>
      <c r="D1814" s="4" t="s">
        <v>24</v>
      </c>
      <c r="E1814" s="4" t="s">
        <v>32</v>
      </c>
      <c r="F1814" s="4" t="s">
        <v>25</v>
      </c>
      <c r="G1814" s="4" t="s">
        <v>25</v>
      </c>
      <c r="H1814" s="4" t="s">
        <v>25</v>
      </c>
      <c r="I1814" s="5">
        <v>44228</v>
      </c>
      <c r="J1814" s="6">
        <v>0</v>
      </c>
      <c r="K1814" s="6">
        <v>0</v>
      </c>
      <c r="L1814" s="6">
        <v>5884.6030000000001</v>
      </c>
      <c r="M1814" s="6">
        <v>5884.6030000000001</v>
      </c>
      <c r="N1814" s="6">
        <v>5884.6030000000001</v>
      </c>
      <c r="O1814" s="6">
        <v>5884.6030000000001</v>
      </c>
      <c r="P1814" s="6">
        <v>35599</v>
      </c>
      <c r="Q1814" s="4" t="s">
        <v>26</v>
      </c>
      <c r="R1814" s="4">
        <v>0</v>
      </c>
      <c r="S1814" s="4" t="s">
        <v>287</v>
      </c>
      <c r="T1814" s="4" t="s">
        <v>524</v>
      </c>
      <c r="U1814" s="4">
        <v>0</v>
      </c>
      <c r="V1814" s="4">
        <v>10</v>
      </c>
      <c r="W1814" s="4">
        <v>60</v>
      </c>
    </row>
    <row r="1815" spans="1:23" ht="11.25" customHeight="1" x14ac:dyDescent="0.25">
      <c r="A1815" s="4" t="s">
        <v>29</v>
      </c>
      <c r="B1815" s="4" t="s">
        <v>22</v>
      </c>
      <c r="C1815" s="4" t="s">
        <v>23</v>
      </c>
      <c r="D1815" s="4" t="s">
        <v>24</v>
      </c>
      <c r="E1815" s="4" t="s">
        <v>32</v>
      </c>
      <c r="F1815" s="4" t="s">
        <v>25</v>
      </c>
      <c r="G1815" s="4" t="s">
        <v>25</v>
      </c>
      <c r="H1815" s="4" t="s">
        <v>25</v>
      </c>
      <c r="I1815" s="5">
        <v>44228</v>
      </c>
      <c r="J1815" s="6">
        <v>0</v>
      </c>
      <c r="K1815" s="6">
        <v>0</v>
      </c>
      <c r="L1815" s="6">
        <v>-15.532999999999999</v>
      </c>
      <c r="M1815" s="6">
        <v>-15.532999999999999</v>
      </c>
      <c r="N1815" s="6">
        <v>-15.532999999999999</v>
      </c>
      <c r="O1815" s="6">
        <v>-15.532999999999999</v>
      </c>
      <c r="P1815" s="6">
        <v>0</v>
      </c>
      <c r="Q1815" s="4" t="s">
        <v>26</v>
      </c>
      <c r="R1815" s="4">
        <v>0</v>
      </c>
      <c r="S1815" s="4" t="s">
        <v>287</v>
      </c>
      <c r="T1815" s="4" t="s">
        <v>524</v>
      </c>
      <c r="U1815" s="4">
        <v>0</v>
      </c>
      <c r="V1815" s="4">
        <v>10</v>
      </c>
      <c r="W1815" s="4">
        <v>60</v>
      </c>
    </row>
    <row r="1816" spans="1:23" ht="11.25" customHeight="1" x14ac:dyDescent="0.25">
      <c r="A1816" s="4" t="s">
        <v>30</v>
      </c>
      <c r="B1816" s="4" t="s">
        <v>22</v>
      </c>
      <c r="C1816" s="4" t="s">
        <v>23</v>
      </c>
      <c r="D1816" s="4" t="s">
        <v>24</v>
      </c>
      <c r="E1816" s="4" t="s">
        <v>32</v>
      </c>
      <c r="F1816" s="4" t="s">
        <v>25</v>
      </c>
      <c r="G1816" s="4" t="s">
        <v>25</v>
      </c>
      <c r="H1816" s="4" t="s">
        <v>25</v>
      </c>
      <c r="I1816" s="5">
        <v>44228</v>
      </c>
      <c r="J1816" s="6">
        <v>0</v>
      </c>
      <c r="K1816" s="6">
        <v>0</v>
      </c>
      <c r="L1816" s="6">
        <v>0.11</v>
      </c>
      <c r="M1816" s="6">
        <v>0.11</v>
      </c>
      <c r="N1816" s="6">
        <v>0.11</v>
      </c>
      <c r="O1816" s="6">
        <v>0.11</v>
      </c>
      <c r="P1816" s="6">
        <v>0</v>
      </c>
      <c r="Q1816" s="4" t="s">
        <v>26</v>
      </c>
      <c r="R1816" s="4">
        <v>0</v>
      </c>
      <c r="S1816" s="4" t="s">
        <v>287</v>
      </c>
      <c r="T1816" s="4" t="s">
        <v>524</v>
      </c>
      <c r="U1816" s="4">
        <v>0</v>
      </c>
      <c r="V1816" s="4">
        <v>10</v>
      </c>
      <c r="W1816" s="4">
        <v>60</v>
      </c>
    </row>
    <row r="1817" spans="1:23" ht="11.25" customHeight="1" x14ac:dyDescent="0.25">
      <c r="A1817" s="4" t="s">
        <v>21</v>
      </c>
      <c r="B1817" s="4" t="s">
        <v>22</v>
      </c>
      <c r="C1817" s="4" t="s">
        <v>23</v>
      </c>
      <c r="D1817" s="4" t="s">
        <v>24</v>
      </c>
      <c r="E1817" s="4" t="s">
        <v>32</v>
      </c>
      <c r="F1817" s="4" t="s">
        <v>25</v>
      </c>
      <c r="G1817" s="4" t="s">
        <v>25</v>
      </c>
      <c r="H1817" s="4" t="s">
        <v>25</v>
      </c>
      <c r="I1817" s="5">
        <v>44256</v>
      </c>
      <c r="J1817" s="6">
        <v>0</v>
      </c>
      <c r="K1817" s="6">
        <v>0</v>
      </c>
      <c r="L1817" s="6">
        <v>3651.268</v>
      </c>
      <c r="M1817" s="6">
        <v>3651.268</v>
      </c>
      <c r="N1817" s="6">
        <v>3651.268</v>
      </c>
      <c r="O1817" s="6">
        <v>3651.268</v>
      </c>
      <c r="P1817" s="6">
        <v>23187</v>
      </c>
      <c r="Q1817" s="4" t="s">
        <v>26</v>
      </c>
      <c r="R1817" s="4">
        <v>0</v>
      </c>
      <c r="S1817" s="4" t="s">
        <v>288</v>
      </c>
      <c r="T1817" s="4" t="s">
        <v>525</v>
      </c>
      <c r="U1817" s="4">
        <v>0</v>
      </c>
      <c r="V1817" s="4">
        <v>10</v>
      </c>
      <c r="W1817" s="4">
        <v>60</v>
      </c>
    </row>
    <row r="1818" spans="1:23" ht="11.25" customHeight="1" x14ac:dyDescent="0.25">
      <c r="A1818" s="4" t="s">
        <v>27</v>
      </c>
      <c r="B1818" s="4" t="s">
        <v>22</v>
      </c>
      <c r="C1818" s="4" t="s">
        <v>23</v>
      </c>
      <c r="D1818" s="4" t="s">
        <v>24</v>
      </c>
      <c r="E1818" s="4" t="s">
        <v>32</v>
      </c>
      <c r="F1818" s="4" t="s">
        <v>25</v>
      </c>
      <c r="G1818" s="4" t="s">
        <v>25</v>
      </c>
      <c r="H1818" s="4" t="s">
        <v>25</v>
      </c>
      <c r="I1818" s="5">
        <v>44256</v>
      </c>
      <c r="J1818" s="6">
        <v>0</v>
      </c>
      <c r="K1818" s="6">
        <v>0</v>
      </c>
      <c r="L1818" s="6">
        <v>-28.635999999999999</v>
      </c>
      <c r="M1818" s="6">
        <v>-28.635999999999999</v>
      </c>
      <c r="N1818" s="6">
        <v>-28.635999999999999</v>
      </c>
      <c r="O1818" s="6">
        <v>-28.635999999999999</v>
      </c>
      <c r="P1818" s="6">
        <v>0</v>
      </c>
      <c r="Q1818" s="4" t="s">
        <v>26</v>
      </c>
      <c r="R1818" s="4">
        <v>0</v>
      </c>
      <c r="S1818" s="4" t="s">
        <v>288</v>
      </c>
      <c r="T1818" s="4" t="s">
        <v>525</v>
      </c>
      <c r="U1818" s="4">
        <v>0</v>
      </c>
      <c r="V1818" s="4">
        <v>10</v>
      </c>
      <c r="W1818" s="4">
        <v>60</v>
      </c>
    </row>
    <row r="1819" spans="1:23" ht="11.25" customHeight="1" x14ac:dyDescent="0.25">
      <c r="A1819" s="4" t="s">
        <v>28</v>
      </c>
      <c r="B1819" s="4" t="s">
        <v>22</v>
      </c>
      <c r="C1819" s="4" t="s">
        <v>23</v>
      </c>
      <c r="D1819" s="4" t="s">
        <v>24</v>
      </c>
      <c r="E1819" s="4" t="s">
        <v>32</v>
      </c>
      <c r="F1819" s="4" t="s">
        <v>25</v>
      </c>
      <c r="G1819" s="4" t="s">
        <v>25</v>
      </c>
      <c r="H1819" s="4" t="s">
        <v>25</v>
      </c>
      <c r="I1819" s="5">
        <v>44256</v>
      </c>
      <c r="J1819" s="6">
        <v>0</v>
      </c>
      <c r="K1819" s="6">
        <v>0</v>
      </c>
      <c r="L1819" s="6">
        <v>6013.1149999999998</v>
      </c>
      <c r="M1819" s="6">
        <v>6013.1149999999998</v>
      </c>
      <c r="N1819" s="6">
        <v>6013.1149999999998</v>
      </c>
      <c r="O1819" s="6">
        <v>6013.1149999999998</v>
      </c>
      <c r="P1819" s="6">
        <v>36178</v>
      </c>
      <c r="Q1819" s="4" t="s">
        <v>26</v>
      </c>
      <c r="R1819" s="4">
        <v>0</v>
      </c>
      <c r="S1819" s="4" t="s">
        <v>288</v>
      </c>
      <c r="T1819" s="4" t="s">
        <v>525</v>
      </c>
      <c r="U1819" s="4">
        <v>0</v>
      </c>
      <c r="V1819" s="4">
        <v>10</v>
      </c>
      <c r="W1819" s="4">
        <v>60</v>
      </c>
    </row>
    <row r="1820" spans="1:23" ht="11.25" customHeight="1" x14ac:dyDescent="0.25">
      <c r="A1820" s="4" t="s">
        <v>29</v>
      </c>
      <c r="B1820" s="4" t="s">
        <v>22</v>
      </c>
      <c r="C1820" s="4" t="s">
        <v>23</v>
      </c>
      <c r="D1820" s="4" t="s">
        <v>24</v>
      </c>
      <c r="E1820" s="4" t="s">
        <v>32</v>
      </c>
      <c r="F1820" s="4" t="s">
        <v>25</v>
      </c>
      <c r="G1820" s="4" t="s">
        <v>25</v>
      </c>
      <c r="H1820" s="4" t="s">
        <v>25</v>
      </c>
      <c r="I1820" s="5">
        <v>44256</v>
      </c>
      <c r="J1820" s="6">
        <v>0</v>
      </c>
      <c r="K1820" s="6">
        <v>0</v>
      </c>
      <c r="L1820" s="6">
        <v>-10.236000000000001</v>
      </c>
      <c r="M1820" s="6">
        <v>-10.236000000000001</v>
      </c>
      <c r="N1820" s="6">
        <v>-10.236000000000001</v>
      </c>
      <c r="O1820" s="6">
        <v>-10.236000000000001</v>
      </c>
      <c r="P1820" s="6">
        <v>0</v>
      </c>
      <c r="Q1820" s="4" t="s">
        <v>26</v>
      </c>
      <c r="R1820" s="4">
        <v>0</v>
      </c>
      <c r="S1820" s="4" t="s">
        <v>288</v>
      </c>
      <c r="T1820" s="4" t="s">
        <v>525</v>
      </c>
      <c r="U1820" s="4">
        <v>0</v>
      </c>
      <c r="V1820" s="4">
        <v>10</v>
      </c>
      <c r="W1820" s="4">
        <v>60</v>
      </c>
    </row>
    <row r="1821" spans="1:23" ht="11.25" customHeight="1" x14ac:dyDescent="0.25">
      <c r="A1821" s="4" t="s">
        <v>30</v>
      </c>
      <c r="B1821" s="4" t="s">
        <v>22</v>
      </c>
      <c r="C1821" s="4" t="s">
        <v>23</v>
      </c>
      <c r="D1821" s="4" t="s">
        <v>24</v>
      </c>
      <c r="E1821" s="4" t="s">
        <v>32</v>
      </c>
      <c r="F1821" s="4" t="s">
        <v>25</v>
      </c>
      <c r="G1821" s="4" t="s">
        <v>25</v>
      </c>
      <c r="H1821" s="4" t="s">
        <v>25</v>
      </c>
      <c r="I1821" s="5">
        <v>44256</v>
      </c>
      <c r="J1821" s="6">
        <v>0</v>
      </c>
      <c r="K1821" s="6">
        <v>0</v>
      </c>
      <c r="L1821" s="6">
        <v>0.31</v>
      </c>
      <c r="M1821" s="6">
        <v>0.31</v>
      </c>
      <c r="N1821" s="6">
        <v>0.31</v>
      </c>
      <c r="O1821" s="6">
        <v>0.31</v>
      </c>
      <c r="P1821" s="6">
        <v>0</v>
      </c>
      <c r="Q1821" s="4" t="s">
        <v>26</v>
      </c>
      <c r="R1821" s="4">
        <v>0</v>
      </c>
      <c r="S1821" s="4" t="s">
        <v>288</v>
      </c>
      <c r="T1821" s="4" t="s">
        <v>525</v>
      </c>
      <c r="U1821" s="4">
        <v>0</v>
      </c>
      <c r="V1821" s="4">
        <v>10</v>
      </c>
      <c r="W1821" s="4">
        <v>60</v>
      </c>
    </row>
    <row r="1822" spans="1:23" ht="11.25" customHeight="1" x14ac:dyDescent="0.25">
      <c r="A1822" s="4" t="s">
        <v>21</v>
      </c>
      <c r="B1822" s="4" t="s">
        <v>22</v>
      </c>
      <c r="C1822" s="4" t="s">
        <v>23</v>
      </c>
      <c r="D1822" s="4" t="s">
        <v>24</v>
      </c>
      <c r="E1822" s="4" t="s">
        <v>32</v>
      </c>
      <c r="F1822" s="4" t="s">
        <v>25</v>
      </c>
      <c r="G1822" s="4" t="s">
        <v>25</v>
      </c>
      <c r="H1822" s="4" t="s">
        <v>25</v>
      </c>
      <c r="I1822" s="5">
        <v>44287</v>
      </c>
      <c r="J1822" s="6">
        <v>0</v>
      </c>
      <c r="K1822" s="6">
        <v>0</v>
      </c>
      <c r="L1822" s="6">
        <v>3515.0920000000001</v>
      </c>
      <c r="M1822" s="6">
        <v>3515.0920000000001</v>
      </c>
      <c r="N1822" s="6">
        <v>3515.0920000000001</v>
      </c>
      <c r="O1822" s="6">
        <v>3515.0920000000001</v>
      </c>
      <c r="P1822" s="6">
        <v>16611</v>
      </c>
      <c r="Q1822" s="4" t="s">
        <v>26</v>
      </c>
      <c r="R1822" s="4">
        <v>0</v>
      </c>
      <c r="S1822" s="4" t="s">
        <v>289</v>
      </c>
      <c r="T1822" s="4" t="s">
        <v>526</v>
      </c>
      <c r="U1822" s="4">
        <v>0</v>
      </c>
      <c r="V1822" s="4">
        <v>10</v>
      </c>
      <c r="W1822" s="4">
        <v>60</v>
      </c>
    </row>
    <row r="1823" spans="1:23" ht="11.25" customHeight="1" x14ac:dyDescent="0.25">
      <c r="A1823" s="4" t="s">
        <v>27</v>
      </c>
      <c r="B1823" s="4" t="s">
        <v>22</v>
      </c>
      <c r="C1823" s="4" t="s">
        <v>23</v>
      </c>
      <c r="D1823" s="4" t="s">
        <v>24</v>
      </c>
      <c r="E1823" s="4" t="s">
        <v>32</v>
      </c>
      <c r="F1823" s="4" t="s">
        <v>25</v>
      </c>
      <c r="G1823" s="4" t="s">
        <v>25</v>
      </c>
      <c r="H1823" s="4" t="s">
        <v>25</v>
      </c>
      <c r="I1823" s="5">
        <v>44287</v>
      </c>
      <c r="J1823" s="6">
        <v>0</v>
      </c>
      <c r="K1823" s="6">
        <v>0</v>
      </c>
      <c r="L1823" s="6">
        <v>-6.1360000000000001</v>
      </c>
      <c r="M1823" s="6">
        <v>-6.1360000000000001</v>
      </c>
      <c r="N1823" s="6">
        <v>-6.1360000000000001</v>
      </c>
      <c r="O1823" s="6">
        <v>-6.1360000000000001</v>
      </c>
      <c r="P1823" s="6">
        <v>0</v>
      </c>
      <c r="Q1823" s="4" t="s">
        <v>26</v>
      </c>
      <c r="R1823" s="4">
        <v>0</v>
      </c>
      <c r="S1823" s="4" t="s">
        <v>289</v>
      </c>
      <c r="T1823" s="4" t="s">
        <v>526</v>
      </c>
      <c r="U1823" s="4">
        <v>0</v>
      </c>
      <c r="V1823" s="4">
        <v>10</v>
      </c>
      <c r="W1823" s="4">
        <v>60</v>
      </c>
    </row>
    <row r="1824" spans="1:23" ht="11.25" customHeight="1" x14ac:dyDescent="0.25">
      <c r="A1824" s="4" t="s">
        <v>28</v>
      </c>
      <c r="B1824" s="4" t="s">
        <v>22</v>
      </c>
      <c r="C1824" s="4" t="s">
        <v>23</v>
      </c>
      <c r="D1824" s="4" t="s">
        <v>24</v>
      </c>
      <c r="E1824" s="4" t="s">
        <v>32</v>
      </c>
      <c r="F1824" s="4" t="s">
        <v>25</v>
      </c>
      <c r="G1824" s="4" t="s">
        <v>25</v>
      </c>
      <c r="H1824" s="4" t="s">
        <v>25</v>
      </c>
      <c r="I1824" s="5">
        <v>44287</v>
      </c>
      <c r="J1824" s="6">
        <v>0</v>
      </c>
      <c r="K1824" s="6">
        <v>0</v>
      </c>
      <c r="L1824" s="6">
        <v>6156.6170000000002</v>
      </c>
      <c r="M1824" s="6">
        <v>6156.6170000000002</v>
      </c>
      <c r="N1824" s="6">
        <v>6156.6170000000002</v>
      </c>
      <c r="O1824" s="6">
        <v>6156.6170000000002</v>
      </c>
      <c r="P1824" s="6">
        <v>31457</v>
      </c>
      <c r="Q1824" s="4" t="s">
        <v>26</v>
      </c>
      <c r="R1824" s="4">
        <v>0</v>
      </c>
      <c r="S1824" s="4" t="s">
        <v>289</v>
      </c>
      <c r="T1824" s="4" t="s">
        <v>526</v>
      </c>
      <c r="U1824" s="4">
        <v>0</v>
      </c>
      <c r="V1824" s="4">
        <v>10</v>
      </c>
      <c r="W1824" s="4">
        <v>60</v>
      </c>
    </row>
    <row r="1825" spans="1:23" ht="11.25" customHeight="1" x14ac:dyDescent="0.25">
      <c r="A1825" s="4" t="s">
        <v>29</v>
      </c>
      <c r="B1825" s="4" t="s">
        <v>22</v>
      </c>
      <c r="C1825" s="4" t="s">
        <v>23</v>
      </c>
      <c r="D1825" s="4" t="s">
        <v>24</v>
      </c>
      <c r="E1825" s="4" t="s">
        <v>32</v>
      </c>
      <c r="F1825" s="4" t="s">
        <v>25</v>
      </c>
      <c r="G1825" s="4" t="s">
        <v>25</v>
      </c>
      <c r="H1825" s="4" t="s">
        <v>25</v>
      </c>
      <c r="I1825" s="5">
        <v>44287</v>
      </c>
      <c r="J1825" s="6">
        <v>0</v>
      </c>
      <c r="K1825" s="6">
        <v>0</v>
      </c>
      <c r="L1825" s="6">
        <v>-17.922000000000001</v>
      </c>
      <c r="M1825" s="6">
        <v>-17.922000000000001</v>
      </c>
      <c r="N1825" s="6">
        <v>-17.922000000000001</v>
      </c>
      <c r="O1825" s="6">
        <v>-17.922000000000001</v>
      </c>
      <c r="P1825" s="6">
        <v>0</v>
      </c>
      <c r="Q1825" s="4" t="s">
        <v>26</v>
      </c>
      <c r="R1825" s="4">
        <v>0</v>
      </c>
      <c r="S1825" s="4" t="s">
        <v>289</v>
      </c>
      <c r="T1825" s="4" t="s">
        <v>526</v>
      </c>
      <c r="U1825" s="4">
        <v>0</v>
      </c>
      <c r="V1825" s="4">
        <v>10</v>
      </c>
      <c r="W1825" s="4">
        <v>60</v>
      </c>
    </row>
    <row r="1826" spans="1:23" ht="11.25" customHeight="1" x14ac:dyDescent="0.25">
      <c r="A1826" s="4" t="s">
        <v>30</v>
      </c>
      <c r="B1826" s="4" t="s">
        <v>22</v>
      </c>
      <c r="C1826" s="4" t="s">
        <v>23</v>
      </c>
      <c r="D1826" s="4" t="s">
        <v>24</v>
      </c>
      <c r="E1826" s="4" t="s">
        <v>32</v>
      </c>
      <c r="F1826" s="4" t="s">
        <v>25</v>
      </c>
      <c r="G1826" s="4" t="s">
        <v>25</v>
      </c>
      <c r="H1826" s="4" t="s">
        <v>25</v>
      </c>
      <c r="I1826" s="5">
        <v>44287</v>
      </c>
      <c r="J1826" s="6">
        <v>0</v>
      </c>
      <c r="K1826" s="6">
        <v>0</v>
      </c>
      <c r="L1826" s="6">
        <v>0.31</v>
      </c>
      <c r="M1826" s="6">
        <v>0.31</v>
      </c>
      <c r="N1826" s="6">
        <v>0.31</v>
      </c>
      <c r="O1826" s="6">
        <v>0.31</v>
      </c>
      <c r="P1826" s="6">
        <v>0</v>
      </c>
      <c r="Q1826" s="4" t="s">
        <v>26</v>
      </c>
      <c r="R1826" s="4">
        <v>0</v>
      </c>
      <c r="S1826" s="4" t="s">
        <v>289</v>
      </c>
      <c r="T1826" s="4" t="s">
        <v>526</v>
      </c>
      <c r="U1826" s="4">
        <v>0</v>
      </c>
      <c r="V1826" s="4">
        <v>10</v>
      </c>
      <c r="W1826" s="4">
        <v>60</v>
      </c>
    </row>
    <row r="1827" spans="1:23" ht="11.25" customHeight="1" x14ac:dyDescent="0.25">
      <c r="A1827" s="4" t="s">
        <v>21</v>
      </c>
      <c r="B1827" s="4" t="s">
        <v>22</v>
      </c>
      <c r="C1827" s="4" t="s">
        <v>23</v>
      </c>
      <c r="D1827" s="4" t="s">
        <v>24</v>
      </c>
      <c r="E1827" s="4" t="s">
        <v>32</v>
      </c>
      <c r="F1827" s="4" t="s">
        <v>25</v>
      </c>
      <c r="G1827" s="4" t="s">
        <v>25</v>
      </c>
      <c r="H1827" s="4" t="s">
        <v>25</v>
      </c>
      <c r="I1827" s="5">
        <v>44317</v>
      </c>
      <c r="J1827" s="6">
        <v>0</v>
      </c>
      <c r="K1827" s="6">
        <v>0</v>
      </c>
      <c r="L1827" s="6">
        <v>3522.761</v>
      </c>
      <c r="M1827" s="6">
        <v>3522.761</v>
      </c>
      <c r="N1827" s="6">
        <v>3522.761</v>
      </c>
      <c r="O1827" s="6">
        <v>3522.761</v>
      </c>
      <c r="P1827" s="6">
        <v>16814</v>
      </c>
      <c r="Q1827" s="4" t="s">
        <v>26</v>
      </c>
      <c r="R1827" s="4">
        <v>0</v>
      </c>
      <c r="S1827" s="4" t="s">
        <v>290</v>
      </c>
      <c r="T1827" s="4" t="s">
        <v>527</v>
      </c>
      <c r="U1827" s="4">
        <v>0</v>
      </c>
      <c r="V1827" s="4">
        <v>10</v>
      </c>
      <c r="W1827" s="4">
        <v>60</v>
      </c>
    </row>
    <row r="1828" spans="1:23" ht="11.25" customHeight="1" x14ac:dyDescent="0.25">
      <c r="A1828" s="4" t="s">
        <v>27</v>
      </c>
      <c r="B1828" s="4" t="s">
        <v>22</v>
      </c>
      <c r="C1828" s="4" t="s">
        <v>23</v>
      </c>
      <c r="D1828" s="4" t="s">
        <v>24</v>
      </c>
      <c r="E1828" s="4" t="s">
        <v>32</v>
      </c>
      <c r="F1828" s="4" t="s">
        <v>25</v>
      </c>
      <c r="G1828" s="4" t="s">
        <v>25</v>
      </c>
      <c r="H1828" s="4" t="s">
        <v>25</v>
      </c>
      <c r="I1828" s="5">
        <v>44317</v>
      </c>
      <c r="J1828" s="6">
        <v>0</v>
      </c>
      <c r="K1828" s="6">
        <v>0</v>
      </c>
      <c r="L1828" s="6">
        <v>-5.5149999999999997</v>
      </c>
      <c r="M1828" s="6">
        <v>-5.5149999999999997</v>
      </c>
      <c r="N1828" s="6">
        <v>-5.5149999999999997</v>
      </c>
      <c r="O1828" s="6">
        <v>-5.5149999999999997</v>
      </c>
      <c r="P1828" s="6">
        <v>0</v>
      </c>
      <c r="Q1828" s="4" t="s">
        <v>26</v>
      </c>
      <c r="R1828" s="4">
        <v>0</v>
      </c>
      <c r="S1828" s="4" t="s">
        <v>290</v>
      </c>
      <c r="T1828" s="4" t="s">
        <v>527</v>
      </c>
      <c r="U1828" s="4">
        <v>0</v>
      </c>
      <c r="V1828" s="4">
        <v>10</v>
      </c>
      <c r="W1828" s="4">
        <v>60</v>
      </c>
    </row>
    <row r="1829" spans="1:23" ht="11.25" customHeight="1" x14ac:dyDescent="0.25">
      <c r="A1829" s="4" t="s">
        <v>28</v>
      </c>
      <c r="B1829" s="4" t="s">
        <v>22</v>
      </c>
      <c r="C1829" s="4" t="s">
        <v>23</v>
      </c>
      <c r="D1829" s="4" t="s">
        <v>24</v>
      </c>
      <c r="E1829" s="4" t="s">
        <v>32</v>
      </c>
      <c r="F1829" s="4" t="s">
        <v>25</v>
      </c>
      <c r="G1829" s="4" t="s">
        <v>25</v>
      </c>
      <c r="H1829" s="4" t="s">
        <v>25</v>
      </c>
      <c r="I1829" s="5">
        <v>44317</v>
      </c>
      <c r="J1829" s="6">
        <v>0</v>
      </c>
      <c r="K1829" s="6">
        <v>0</v>
      </c>
      <c r="L1829" s="6">
        <v>6155.3789999999999</v>
      </c>
      <c r="M1829" s="6">
        <v>6155.3789999999999</v>
      </c>
      <c r="N1829" s="6">
        <v>6155.3789999999999</v>
      </c>
      <c r="O1829" s="6">
        <v>6155.3789999999999</v>
      </c>
      <c r="P1829" s="6">
        <v>31727</v>
      </c>
      <c r="Q1829" s="4" t="s">
        <v>26</v>
      </c>
      <c r="R1829" s="4">
        <v>0</v>
      </c>
      <c r="S1829" s="4" t="s">
        <v>290</v>
      </c>
      <c r="T1829" s="4" t="s">
        <v>527</v>
      </c>
      <c r="U1829" s="4">
        <v>0</v>
      </c>
      <c r="V1829" s="4">
        <v>10</v>
      </c>
      <c r="W1829" s="4">
        <v>60</v>
      </c>
    </row>
    <row r="1830" spans="1:23" ht="11.25" customHeight="1" x14ac:dyDescent="0.25">
      <c r="A1830" s="4" t="s">
        <v>29</v>
      </c>
      <c r="B1830" s="4" t="s">
        <v>22</v>
      </c>
      <c r="C1830" s="4" t="s">
        <v>23</v>
      </c>
      <c r="D1830" s="4" t="s">
        <v>24</v>
      </c>
      <c r="E1830" s="4" t="s">
        <v>32</v>
      </c>
      <c r="F1830" s="4" t="s">
        <v>25</v>
      </c>
      <c r="G1830" s="4" t="s">
        <v>25</v>
      </c>
      <c r="H1830" s="4" t="s">
        <v>25</v>
      </c>
      <c r="I1830" s="5">
        <v>44317</v>
      </c>
      <c r="J1830" s="6">
        <v>0</v>
      </c>
      <c r="K1830" s="6">
        <v>0</v>
      </c>
      <c r="L1830" s="6">
        <v>-14.021000000000001</v>
      </c>
      <c r="M1830" s="6">
        <v>-14.021000000000001</v>
      </c>
      <c r="N1830" s="6">
        <v>-14.021000000000001</v>
      </c>
      <c r="O1830" s="6">
        <v>-14.021000000000001</v>
      </c>
      <c r="P1830" s="6">
        <v>0</v>
      </c>
      <c r="Q1830" s="4" t="s">
        <v>26</v>
      </c>
      <c r="R1830" s="4">
        <v>0</v>
      </c>
      <c r="S1830" s="4" t="s">
        <v>290</v>
      </c>
      <c r="T1830" s="4" t="s">
        <v>527</v>
      </c>
      <c r="U1830" s="4">
        <v>0</v>
      </c>
      <c r="V1830" s="4">
        <v>10</v>
      </c>
      <c r="W1830" s="4">
        <v>60</v>
      </c>
    </row>
    <row r="1831" spans="1:23" ht="11.25" customHeight="1" x14ac:dyDescent="0.25">
      <c r="A1831" s="4" t="s">
        <v>30</v>
      </c>
      <c r="B1831" s="4" t="s">
        <v>22</v>
      </c>
      <c r="C1831" s="4" t="s">
        <v>23</v>
      </c>
      <c r="D1831" s="4" t="s">
        <v>24</v>
      </c>
      <c r="E1831" s="4" t="s">
        <v>32</v>
      </c>
      <c r="F1831" s="4" t="s">
        <v>25</v>
      </c>
      <c r="G1831" s="4" t="s">
        <v>25</v>
      </c>
      <c r="H1831" s="4" t="s">
        <v>25</v>
      </c>
      <c r="I1831" s="5">
        <v>44317</v>
      </c>
      <c r="J1831" s="6">
        <v>0</v>
      </c>
      <c r="K1831" s="6">
        <v>0</v>
      </c>
      <c r="L1831" s="6">
        <v>0.31</v>
      </c>
      <c r="M1831" s="6">
        <v>0.31</v>
      </c>
      <c r="N1831" s="6">
        <v>0.31</v>
      </c>
      <c r="O1831" s="6">
        <v>0.31</v>
      </c>
      <c r="P1831" s="6">
        <v>0</v>
      </c>
      <c r="Q1831" s="4" t="s">
        <v>26</v>
      </c>
      <c r="R1831" s="4">
        <v>0</v>
      </c>
      <c r="S1831" s="4" t="s">
        <v>290</v>
      </c>
      <c r="T1831" s="4" t="s">
        <v>527</v>
      </c>
      <c r="U1831" s="4">
        <v>0</v>
      </c>
      <c r="V1831" s="4">
        <v>10</v>
      </c>
      <c r="W1831" s="4">
        <v>60</v>
      </c>
    </row>
    <row r="1832" spans="1:23" ht="11.25" customHeight="1" x14ac:dyDescent="0.25">
      <c r="A1832" s="4" t="s">
        <v>30</v>
      </c>
      <c r="B1832" s="4" t="s">
        <v>22</v>
      </c>
      <c r="C1832" s="4" t="s">
        <v>23</v>
      </c>
      <c r="D1832" s="4" t="s">
        <v>24</v>
      </c>
      <c r="E1832" s="4" t="s">
        <v>32</v>
      </c>
      <c r="F1832" s="4" t="s">
        <v>25</v>
      </c>
      <c r="G1832" s="4" t="s">
        <v>25</v>
      </c>
      <c r="H1832" s="4" t="s">
        <v>25</v>
      </c>
      <c r="I1832" s="5">
        <v>44317</v>
      </c>
      <c r="J1832" s="6">
        <v>0</v>
      </c>
      <c r="K1832" s="6">
        <v>0</v>
      </c>
      <c r="L1832" s="6">
        <v>-0.05</v>
      </c>
      <c r="M1832" s="6">
        <v>-0.05</v>
      </c>
      <c r="N1832" s="6">
        <v>-0.05</v>
      </c>
      <c r="O1832" s="6">
        <v>-0.05</v>
      </c>
      <c r="P1832" s="6">
        <v>0</v>
      </c>
      <c r="Q1832" s="4" t="s">
        <v>26</v>
      </c>
      <c r="R1832" s="4">
        <v>0</v>
      </c>
      <c r="S1832" s="4" t="s">
        <v>290</v>
      </c>
      <c r="T1832" s="4" t="s">
        <v>527</v>
      </c>
      <c r="U1832" s="4">
        <v>0</v>
      </c>
      <c r="V1832" s="4">
        <v>10</v>
      </c>
      <c r="W1832" s="4">
        <v>60</v>
      </c>
    </row>
    <row r="1833" spans="1:23" ht="11.25" customHeight="1" x14ac:dyDescent="0.25">
      <c r="A1833" s="4" t="s">
        <v>21</v>
      </c>
      <c r="B1833" s="4" t="s">
        <v>22</v>
      </c>
      <c r="C1833" s="4" t="s">
        <v>23</v>
      </c>
      <c r="D1833" s="4" t="s">
        <v>24</v>
      </c>
      <c r="E1833" s="4" t="s">
        <v>32</v>
      </c>
      <c r="F1833" s="4" t="s">
        <v>25</v>
      </c>
      <c r="G1833" s="4" t="s">
        <v>25</v>
      </c>
      <c r="H1833" s="4" t="s">
        <v>25</v>
      </c>
      <c r="I1833" s="5">
        <v>44348</v>
      </c>
      <c r="J1833" s="6">
        <v>0</v>
      </c>
      <c r="K1833" s="6">
        <v>0</v>
      </c>
      <c r="L1833" s="6">
        <v>3645.2350000000001</v>
      </c>
      <c r="M1833" s="6">
        <v>3645.2350000000001</v>
      </c>
      <c r="N1833" s="6">
        <v>3645.2350000000001</v>
      </c>
      <c r="O1833" s="6">
        <v>3645.2350000000001</v>
      </c>
      <c r="P1833" s="6">
        <v>15683</v>
      </c>
      <c r="Q1833" s="4" t="s">
        <v>26</v>
      </c>
      <c r="R1833" s="4">
        <v>0</v>
      </c>
      <c r="S1833" s="4" t="s">
        <v>291</v>
      </c>
      <c r="T1833" s="4" t="s">
        <v>528</v>
      </c>
      <c r="U1833" s="4">
        <v>0</v>
      </c>
      <c r="V1833" s="4">
        <v>10</v>
      </c>
      <c r="W1833" s="4">
        <v>60</v>
      </c>
    </row>
    <row r="1834" spans="1:23" ht="11.25" customHeight="1" x14ac:dyDescent="0.25">
      <c r="A1834" s="4" t="s">
        <v>27</v>
      </c>
      <c r="B1834" s="4" t="s">
        <v>22</v>
      </c>
      <c r="C1834" s="4" t="s">
        <v>23</v>
      </c>
      <c r="D1834" s="4" t="s">
        <v>24</v>
      </c>
      <c r="E1834" s="4" t="s">
        <v>32</v>
      </c>
      <c r="F1834" s="4" t="s">
        <v>25</v>
      </c>
      <c r="G1834" s="4" t="s">
        <v>25</v>
      </c>
      <c r="H1834" s="4" t="s">
        <v>25</v>
      </c>
      <c r="I1834" s="5">
        <v>44348</v>
      </c>
      <c r="J1834" s="6">
        <v>0</v>
      </c>
      <c r="K1834" s="6">
        <v>0</v>
      </c>
      <c r="L1834" s="6">
        <v>-7.3449999999999998</v>
      </c>
      <c r="M1834" s="6">
        <v>-7.3449999999999998</v>
      </c>
      <c r="N1834" s="6">
        <v>-7.3449999999999998</v>
      </c>
      <c r="O1834" s="6">
        <v>-7.3449999999999998</v>
      </c>
      <c r="P1834" s="6">
        <v>0</v>
      </c>
      <c r="Q1834" s="4" t="s">
        <v>26</v>
      </c>
      <c r="R1834" s="4">
        <v>0</v>
      </c>
      <c r="S1834" s="4" t="s">
        <v>291</v>
      </c>
      <c r="T1834" s="4" t="s">
        <v>528</v>
      </c>
      <c r="U1834" s="4">
        <v>0</v>
      </c>
      <c r="V1834" s="4">
        <v>10</v>
      </c>
      <c r="W1834" s="4">
        <v>60</v>
      </c>
    </row>
    <row r="1835" spans="1:23" ht="11.25" customHeight="1" x14ac:dyDescent="0.25">
      <c r="A1835" s="4" t="s">
        <v>28</v>
      </c>
      <c r="B1835" s="4" t="s">
        <v>22</v>
      </c>
      <c r="C1835" s="4" t="s">
        <v>23</v>
      </c>
      <c r="D1835" s="4" t="s">
        <v>24</v>
      </c>
      <c r="E1835" s="4" t="s">
        <v>32</v>
      </c>
      <c r="F1835" s="4" t="s">
        <v>25</v>
      </c>
      <c r="G1835" s="4" t="s">
        <v>25</v>
      </c>
      <c r="H1835" s="4" t="s">
        <v>25</v>
      </c>
      <c r="I1835" s="5">
        <v>44348</v>
      </c>
      <c r="J1835" s="6">
        <v>0</v>
      </c>
      <c r="K1835" s="6">
        <v>0</v>
      </c>
      <c r="L1835" s="6">
        <v>6281.2030000000004</v>
      </c>
      <c r="M1835" s="6">
        <v>6281.2030000000004</v>
      </c>
      <c r="N1835" s="6">
        <v>6281.2030000000004</v>
      </c>
      <c r="O1835" s="6">
        <v>6281.2030000000004</v>
      </c>
      <c r="P1835" s="6">
        <v>30400</v>
      </c>
      <c r="Q1835" s="4" t="s">
        <v>26</v>
      </c>
      <c r="R1835" s="4">
        <v>0</v>
      </c>
      <c r="S1835" s="4" t="s">
        <v>291</v>
      </c>
      <c r="T1835" s="4" t="s">
        <v>528</v>
      </c>
      <c r="U1835" s="4">
        <v>0</v>
      </c>
      <c r="V1835" s="4">
        <v>10</v>
      </c>
      <c r="W1835" s="4">
        <v>60</v>
      </c>
    </row>
    <row r="1836" spans="1:23" ht="11.25" customHeight="1" x14ac:dyDescent="0.25">
      <c r="A1836" s="4" t="s">
        <v>29</v>
      </c>
      <c r="B1836" s="4" t="s">
        <v>22</v>
      </c>
      <c r="C1836" s="4" t="s">
        <v>23</v>
      </c>
      <c r="D1836" s="4" t="s">
        <v>24</v>
      </c>
      <c r="E1836" s="4" t="s">
        <v>32</v>
      </c>
      <c r="F1836" s="4" t="s">
        <v>25</v>
      </c>
      <c r="G1836" s="4" t="s">
        <v>25</v>
      </c>
      <c r="H1836" s="4" t="s">
        <v>25</v>
      </c>
      <c r="I1836" s="5">
        <v>44348</v>
      </c>
      <c r="J1836" s="6">
        <v>0</v>
      </c>
      <c r="K1836" s="6">
        <v>0</v>
      </c>
      <c r="L1836" s="6">
        <v>-10.89</v>
      </c>
      <c r="M1836" s="6">
        <v>-10.89</v>
      </c>
      <c r="N1836" s="6">
        <v>-10.89</v>
      </c>
      <c r="O1836" s="6">
        <v>-10.89</v>
      </c>
      <c r="P1836" s="6">
        <v>0</v>
      </c>
      <c r="Q1836" s="4" t="s">
        <v>26</v>
      </c>
      <c r="R1836" s="4">
        <v>0</v>
      </c>
      <c r="S1836" s="4" t="s">
        <v>291</v>
      </c>
      <c r="T1836" s="4" t="s">
        <v>528</v>
      </c>
      <c r="U1836" s="4">
        <v>0</v>
      </c>
      <c r="V1836" s="4">
        <v>10</v>
      </c>
      <c r="W1836" s="4">
        <v>60</v>
      </c>
    </row>
    <row r="1837" spans="1:23" ht="11.25" customHeight="1" x14ac:dyDescent="0.25">
      <c r="A1837" s="4" t="s">
        <v>30</v>
      </c>
      <c r="B1837" s="4" t="s">
        <v>22</v>
      </c>
      <c r="C1837" s="4" t="s">
        <v>23</v>
      </c>
      <c r="D1837" s="4" t="s">
        <v>24</v>
      </c>
      <c r="E1837" s="4" t="s">
        <v>32</v>
      </c>
      <c r="F1837" s="4" t="s">
        <v>25</v>
      </c>
      <c r="G1837" s="4" t="s">
        <v>25</v>
      </c>
      <c r="H1837" s="4" t="s">
        <v>25</v>
      </c>
      <c r="I1837" s="5">
        <v>44348</v>
      </c>
      <c r="J1837" s="6">
        <v>0</v>
      </c>
      <c r="K1837" s="6">
        <v>0</v>
      </c>
      <c r="L1837" s="6">
        <v>0.4</v>
      </c>
      <c r="M1837" s="6">
        <v>0.4</v>
      </c>
      <c r="N1837" s="6">
        <v>0.4</v>
      </c>
      <c r="O1837" s="6">
        <v>0.4</v>
      </c>
      <c r="P1837" s="6">
        <v>0</v>
      </c>
      <c r="Q1837" s="4" t="s">
        <v>26</v>
      </c>
      <c r="R1837" s="4">
        <v>0</v>
      </c>
      <c r="S1837" s="4" t="s">
        <v>291</v>
      </c>
      <c r="T1837" s="4" t="s">
        <v>528</v>
      </c>
      <c r="U1837" s="4">
        <v>0</v>
      </c>
      <c r="V1837" s="4">
        <v>10</v>
      </c>
      <c r="W1837" s="4">
        <v>60</v>
      </c>
    </row>
    <row r="1838" spans="1:23" ht="11.25" customHeight="1" x14ac:dyDescent="0.25">
      <c r="A1838" s="4" t="s">
        <v>21</v>
      </c>
      <c r="B1838" s="4" t="s">
        <v>22</v>
      </c>
      <c r="C1838" s="4" t="s">
        <v>23</v>
      </c>
      <c r="D1838" s="4" t="s">
        <v>24</v>
      </c>
      <c r="E1838" s="4" t="s">
        <v>32</v>
      </c>
      <c r="F1838" s="4" t="s">
        <v>25</v>
      </c>
      <c r="G1838" s="4" t="s">
        <v>25</v>
      </c>
      <c r="H1838" s="4" t="s">
        <v>25</v>
      </c>
      <c r="I1838" s="5">
        <v>44378</v>
      </c>
      <c r="J1838" s="6">
        <v>0</v>
      </c>
      <c r="K1838" s="6">
        <v>0</v>
      </c>
      <c r="L1838" s="6">
        <v>3557.2159999999999</v>
      </c>
      <c r="M1838" s="6">
        <v>3557.2159999999999</v>
      </c>
      <c r="N1838" s="6">
        <v>3557.2159999999999</v>
      </c>
      <c r="O1838" s="6">
        <v>3557.2159999999999</v>
      </c>
      <c r="P1838" s="6">
        <v>16501</v>
      </c>
      <c r="Q1838" s="4" t="s">
        <v>26</v>
      </c>
      <c r="R1838" s="4">
        <v>0</v>
      </c>
      <c r="S1838" s="4" t="s">
        <v>292</v>
      </c>
      <c r="T1838" s="4" t="s">
        <v>529</v>
      </c>
      <c r="U1838" s="4">
        <v>0</v>
      </c>
      <c r="V1838" s="4">
        <v>10</v>
      </c>
      <c r="W1838" s="4">
        <v>60</v>
      </c>
    </row>
    <row r="1839" spans="1:23" ht="11.25" customHeight="1" x14ac:dyDescent="0.25">
      <c r="A1839" s="4" t="s">
        <v>27</v>
      </c>
      <c r="B1839" s="4" t="s">
        <v>22</v>
      </c>
      <c r="C1839" s="4" t="s">
        <v>23</v>
      </c>
      <c r="D1839" s="4" t="s">
        <v>24</v>
      </c>
      <c r="E1839" s="4" t="s">
        <v>32</v>
      </c>
      <c r="F1839" s="4" t="s">
        <v>25</v>
      </c>
      <c r="G1839" s="4" t="s">
        <v>25</v>
      </c>
      <c r="H1839" s="4" t="s">
        <v>25</v>
      </c>
      <c r="I1839" s="5">
        <v>44378</v>
      </c>
      <c r="J1839" s="6">
        <v>0</v>
      </c>
      <c r="K1839" s="6">
        <v>0</v>
      </c>
      <c r="L1839" s="6">
        <v>-14.151</v>
      </c>
      <c r="M1839" s="6">
        <v>-14.151</v>
      </c>
      <c r="N1839" s="6">
        <v>-14.151</v>
      </c>
      <c r="O1839" s="6">
        <v>-14.151</v>
      </c>
      <c r="P1839" s="6">
        <v>0</v>
      </c>
      <c r="Q1839" s="4" t="s">
        <v>26</v>
      </c>
      <c r="R1839" s="4">
        <v>0</v>
      </c>
      <c r="S1839" s="4" t="s">
        <v>292</v>
      </c>
      <c r="T1839" s="4" t="s">
        <v>529</v>
      </c>
      <c r="U1839" s="4">
        <v>0</v>
      </c>
      <c r="V1839" s="4">
        <v>10</v>
      </c>
      <c r="W1839" s="4">
        <v>60</v>
      </c>
    </row>
    <row r="1840" spans="1:23" ht="11.25" customHeight="1" x14ac:dyDescent="0.25">
      <c r="A1840" s="4" t="s">
        <v>28</v>
      </c>
      <c r="B1840" s="4" t="s">
        <v>22</v>
      </c>
      <c r="C1840" s="4" t="s">
        <v>23</v>
      </c>
      <c r="D1840" s="4" t="s">
        <v>24</v>
      </c>
      <c r="E1840" s="4" t="s">
        <v>32</v>
      </c>
      <c r="F1840" s="4" t="s">
        <v>25</v>
      </c>
      <c r="G1840" s="4" t="s">
        <v>25</v>
      </c>
      <c r="H1840" s="4" t="s">
        <v>25</v>
      </c>
      <c r="I1840" s="5">
        <v>44378</v>
      </c>
      <c r="J1840" s="6">
        <v>0</v>
      </c>
      <c r="K1840" s="6">
        <v>0</v>
      </c>
      <c r="L1840" s="6">
        <v>6103.1670000000004</v>
      </c>
      <c r="M1840" s="6">
        <v>6103.1670000000004</v>
      </c>
      <c r="N1840" s="6">
        <v>6103.1670000000004</v>
      </c>
      <c r="O1840" s="6">
        <v>6103.1670000000004</v>
      </c>
      <c r="P1840" s="6">
        <v>34108</v>
      </c>
      <c r="Q1840" s="4" t="s">
        <v>26</v>
      </c>
      <c r="R1840" s="4">
        <v>0</v>
      </c>
      <c r="S1840" s="4" t="s">
        <v>292</v>
      </c>
      <c r="T1840" s="4" t="s">
        <v>529</v>
      </c>
      <c r="U1840" s="4">
        <v>0</v>
      </c>
      <c r="V1840" s="4">
        <v>10</v>
      </c>
      <c r="W1840" s="4">
        <v>60</v>
      </c>
    </row>
    <row r="1841" spans="1:23" ht="11.25" customHeight="1" x14ac:dyDescent="0.25">
      <c r="A1841" s="4" t="s">
        <v>29</v>
      </c>
      <c r="B1841" s="4" t="s">
        <v>22</v>
      </c>
      <c r="C1841" s="4" t="s">
        <v>23</v>
      </c>
      <c r="D1841" s="4" t="s">
        <v>24</v>
      </c>
      <c r="E1841" s="4" t="s">
        <v>32</v>
      </c>
      <c r="F1841" s="4" t="s">
        <v>25</v>
      </c>
      <c r="G1841" s="4" t="s">
        <v>25</v>
      </c>
      <c r="H1841" s="4" t="s">
        <v>25</v>
      </c>
      <c r="I1841" s="5">
        <v>44378</v>
      </c>
      <c r="J1841" s="6">
        <v>0</v>
      </c>
      <c r="K1841" s="6">
        <v>0</v>
      </c>
      <c r="L1841" s="6">
        <v>-12.086</v>
      </c>
      <c r="M1841" s="6">
        <v>-12.086</v>
      </c>
      <c r="N1841" s="6">
        <v>-12.086</v>
      </c>
      <c r="O1841" s="6">
        <v>-12.086</v>
      </c>
      <c r="P1841" s="6">
        <v>0</v>
      </c>
      <c r="Q1841" s="4" t="s">
        <v>26</v>
      </c>
      <c r="R1841" s="4">
        <v>0</v>
      </c>
      <c r="S1841" s="4" t="s">
        <v>292</v>
      </c>
      <c r="T1841" s="4" t="s">
        <v>529</v>
      </c>
      <c r="U1841" s="4">
        <v>0</v>
      </c>
      <c r="V1841" s="4">
        <v>10</v>
      </c>
      <c r="W1841" s="4">
        <v>60</v>
      </c>
    </row>
    <row r="1842" spans="1:23" ht="11.25" customHeight="1" x14ac:dyDescent="0.25">
      <c r="A1842" s="4" t="s">
        <v>30</v>
      </c>
      <c r="B1842" s="4" t="s">
        <v>22</v>
      </c>
      <c r="C1842" s="4" t="s">
        <v>23</v>
      </c>
      <c r="D1842" s="4" t="s">
        <v>24</v>
      </c>
      <c r="E1842" s="4" t="s">
        <v>32</v>
      </c>
      <c r="F1842" s="4" t="s">
        <v>25</v>
      </c>
      <c r="G1842" s="4" t="s">
        <v>25</v>
      </c>
      <c r="H1842" s="4" t="s">
        <v>25</v>
      </c>
      <c r="I1842" s="5">
        <v>44378</v>
      </c>
      <c r="J1842" s="6">
        <v>0</v>
      </c>
      <c r="K1842" s="6">
        <v>0</v>
      </c>
      <c r="L1842" s="6">
        <v>0.47</v>
      </c>
      <c r="M1842" s="6">
        <v>0.47</v>
      </c>
      <c r="N1842" s="6">
        <v>0.47</v>
      </c>
      <c r="O1842" s="6">
        <v>0.47</v>
      </c>
      <c r="P1842" s="6">
        <v>0</v>
      </c>
      <c r="Q1842" s="4" t="s">
        <v>26</v>
      </c>
      <c r="R1842" s="4">
        <v>0</v>
      </c>
      <c r="S1842" s="4" t="s">
        <v>292</v>
      </c>
      <c r="T1842" s="4" t="s">
        <v>529</v>
      </c>
      <c r="U1842" s="4">
        <v>0</v>
      </c>
      <c r="V1842" s="4">
        <v>10</v>
      </c>
      <c r="W1842" s="4">
        <v>60</v>
      </c>
    </row>
    <row r="1843" spans="1:23" ht="11.25" customHeight="1" x14ac:dyDescent="0.25">
      <c r="A1843" s="4" t="s">
        <v>21</v>
      </c>
      <c r="B1843" s="4" t="s">
        <v>22</v>
      </c>
      <c r="C1843" s="4" t="s">
        <v>23</v>
      </c>
      <c r="D1843" s="4" t="s">
        <v>24</v>
      </c>
      <c r="E1843" s="4" t="s">
        <v>32</v>
      </c>
      <c r="F1843" s="4" t="s">
        <v>25</v>
      </c>
      <c r="G1843" s="4" t="s">
        <v>25</v>
      </c>
      <c r="H1843" s="4" t="s">
        <v>25</v>
      </c>
      <c r="I1843" s="5">
        <v>44409</v>
      </c>
      <c r="J1843" s="6">
        <v>0</v>
      </c>
      <c r="K1843" s="6">
        <v>0</v>
      </c>
      <c r="L1843" s="6">
        <v>3662.4870000000001</v>
      </c>
      <c r="M1843" s="6">
        <v>3662.4870000000001</v>
      </c>
      <c r="N1843" s="6">
        <v>3662.4870000000001</v>
      </c>
      <c r="O1843" s="6">
        <v>3662.4870000000001</v>
      </c>
      <c r="P1843" s="6">
        <v>15334</v>
      </c>
      <c r="Q1843" s="4" t="s">
        <v>26</v>
      </c>
      <c r="R1843" s="4">
        <v>0</v>
      </c>
      <c r="S1843" s="4" t="s">
        <v>293</v>
      </c>
      <c r="T1843" s="4" t="s">
        <v>530</v>
      </c>
      <c r="U1843" s="4">
        <v>0</v>
      </c>
      <c r="V1843" s="4">
        <v>10</v>
      </c>
      <c r="W1843" s="4">
        <v>60</v>
      </c>
    </row>
    <row r="1844" spans="1:23" ht="11.25" customHeight="1" x14ac:dyDescent="0.25">
      <c r="A1844" s="4" t="s">
        <v>27</v>
      </c>
      <c r="B1844" s="4" t="s">
        <v>22</v>
      </c>
      <c r="C1844" s="4" t="s">
        <v>23</v>
      </c>
      <c r="D1844" s="4" t="s">
        <v>24</v>
      </c>
      <c r="E1844" s="4" t="s">
        <v>32</v>
      </c>
      <c r="F1844" s="4" t="s">
        <v>25</v>
      </c>
      <c r="G1844" s="4" t="s">
        <v>25</v>
      </c>
      <c r="H1844" s="4" t="s">
        <v>25</v>
      </c>
      <c r="I1844" s="5">
        <v>44409</v>
      </c>
      <c r="J1844" s="6">
        <v>0</v>
      </c>
      <c r="K1844" s="6">
        <v>0</v>
      </c>
      <c r="L1844" s="6">
        <v>-13.510999999999999</v>
      </c>
      <c r="M1844" s="6">
        <v>-13.510999999999999</v>
      </c>
      <c r="N1844" s="6">
        <v>-13.510999999999999</v>
      </c>
      <c r="O1844" s="6">
        <v>-13.510999999999999</v>
      </c>
      <c r="P1844" s="6">
        <v>0</v>
      </c>
      <c r="Q1844" s="4" t="s">
        <v>26</v>
      </c>
      <c r="R1844" s="4">
        <v>0</v>
      </c>
      <c r="S1844" s="4" t="s">
        <v>293</v>
      </c>
      <c r="T1844" s="4" t="s">
        <v>530</v>
      </c>
      <c r="U1844" s="4">
        <v>0</v>
      </c>
      <c r="V1844" s="4">
        <v>10</v>
      </c>
      <c r="W1844" s="4">
        <v>60</v>
      </c>
    </row>
    <row r="1845" spans="1:23" ht="11.25" customHeight="1" x14ac:dyDescent="0.25">
      <c r="A1845" s="4" t="s">
        <v>28</v>
      </c>
      <c r="B1845" s="4" t="s">
        <v>22</v>
      </c>
      <c r="C1845" s="4" t="s">
        <v>23</v>
      </c>
      <c r="D1845" s="4" t="s">
        <v>24</v>
      </c>
      <c r="E1845" s="4" t="s">
        <v>32</v>
      </c>
      <c r="F1845" s="4" t="s">
        <v>25</v>
      </c>
      <c r="G1845" s="4" t="s">
        <v>25</v>
      </c>
      <c r="H1845" s="4" t="s">
        <v>25</v>
      </c>
      <c r="I1845" s="5">
        <v>44409</v>
      </c>
      <c r="J1845" s="6">
        <v>0</v>
      </c>
      <c r="K1845" s="6">
        <v>0</v>
      </c>
      <c r="L1845" s="6">
        <v>6236.8689999999997</v>
      </c>
      <c r="M1845" s="6">
        <v>6236.8689999999997</v>
      </c>
      <c r="N1845" s="6">
        <v>6236.8689999999997</v>
      </c>
      <c r="O1845" s="6">
        <v>6236.8689999999997</v>
      </c>
      <c r="P1845" s="6">
        <v>31415</v>
      </c>
      <c r="Q1845" s="4" t="s">
        <v>26</v>
      </c>
      <c r="R1845" s="4">
        <v>0</v>
      </c>
      <c r="S1845" s="4" t="s">
        <v>293</v>
      </c>
      <c r="T1845" s="4" t="s">
        <v>530</v>
      </c>
      <c r="U1845" s="4">
        <v>0</v>
      </c>
      <c r="V1845" s="4">
        <v>10</v>
      </c>
      <c r="W1845" s="4">
        <v>60</v>
      </c>
    </row>
    <row r="1846" spans="1:23" ht="11.25" customHeight="1" x14ac:dyDescent="0.25">
      <c r="A1846" s="4" t="s">
        <v>29</v>
      </c>
      <c r="B1846" s="4" t="s">
        <v>22</v>
      </c>
      <c r="C1846" s="4" t="s">
        <v>23</v>
      </c>
      <c r="D1846" s="4" t="s">
        <v>24</v>
      </c>
      <c r="E1846" s="4" t="s">
        <v>32</v>
      </c>
      <c r="F1846" s="4" t="s">
        <v>25</v>
      </c>
      <c r="G1846" s="4" t="s">
        <v>25</v>
      </c>
      <c r="H1846" s="4" t="s">
        <v>25</v>
      </c>
      <c r="I1846" s="5">
        <v>44409</v>
      </c>
      <c r="J1846" s="6">
        <v>0</v>
      </c>
      <c r="K1846" s="6">
        <v>0</v>
      </c>
      <c r="L1846" s="6">
        <v>-12.356</v>
      </c>
      <c r="M1846" s="6">
        <v>-12.356</v>
      </c>
      <c r="N1846" s="6">
        <v>-12.356</v>
      </c>
      <c r="O1846" s="6">
        <v>-12.356</v>
      </c>
      <c r="P1846" s="6">
        <v>0</v>
      </c>
      <c r="Q1846" s="4" t="s">
        <v>26</v>
      </c>
      <c r="R1846" s="4">
        <v>0</v>
      </c>
      <c r="S1846" s="4" t="s">
        <v>293</v>
      </c>
      <c r="T1846" s="4" t="s">
        <v>530</v>
      </c>
      <c r="U1846" s="4">
        <v>0</v>
      </c>
      <c r="V1846" s="4">
        <v>10</v>
      </c>
      <c r="W1846" s="4">
        <v>60</v>
      </c>
    </row>
    <row r="1847" spans="1:23" ht="11.25" customHeight="1" x14ac:dyDescent="0.25">
      <c r="A1847" s="4" t="s">
        <v>30</v>
      </c>
      <c r="B1847" s="4" t="s">
        <v>22</v>
      </c>
      <c r="C1847" s="4" t="s">
        <v>23</v>
      </c>
      <c r="D1847" s="4" t="s">
        <v>24</v>
      </c>
      <c r="E1847" s="4" t="s">
        <v>32</v>
      </c>
      <c r="F1847" s="4" t="s">
        <v>25</v>
      </c>
      <c r="G1847" s="4" t="s">
        <v>25</v>
      </c>
      <c r="H1847" s="4" t="s">
        <v>25</v>
      </c>
      <c r="I1847" s="5">
        <v>44409</v>
      </c>
      <c r="J1847" s="6">
        <v>0</v>
      </c>
      <c r="K1847" s="6">
        <v>0</v>
      </c>
      <c r="L1847" s="6">
        <v>0.59</v>
      </c>
      <c r="M1847" s="6">
        <v>0.59</v>
      </c>
      <c r="N1847" s="6">
        <v>0.59</v>
      </c>
      <c r="O1847" s="6">
        <v>0.59</v>
      </c>
      <c r="P1847" s="6">
        <v>0</v>
      </c>
      <c r="Q1847" s="4" t="s">
        <v>26</v>
      </c>
      <c r="R1847" s="4">
        <v>0</v>
      </c>
      <c r="S1847" s="4" t="s">
        <v>293</v>
      </c>
      <c r="T1847" s="4" t="s">
        <v>530</v>
      </c>
      <c r="U1847" s="4">
        <v>0</v>
      </c>
      <c r="V1847" s="4">
        <v>10</v>
      </c>
      <c r="W1847" s="4">
        <v>60</v>
      </c>
    </row>
    <row r="1848" spans="1:23" ht="11.25" customHeight="1" x14ac:dyDescent="0.25">
      <c r="A1848" s="4" t="s">
        <v>21</v>
      </c>
      <c r="B1848" s="4" t="s">
        <v>22</v>
      </c>
      <c r="C1848" s="4" t="s">
        <v>23</v>
      </c>
      <c r="D1848" s="4" t="s">
        <v>24</v>
      </c>
      <c r="E1848" s="4" t="s">
        <v>32</v>
      </c>
      <c r="F1848" s="4" t="s">
        <v>25</v>
      </c>
      <c r="G1848" s="4" t="s">
        <v>25</v>
      </c>
      <c r="H1848" s="4" t="s">
        <v>25</v>
      </c>
      <c r="I1848" s="5">
        <v>44440</v>
      </c>
      <c r="J1848" s="6">
        <v>0</v>
      </c>
      <c r="K1848" s="6">
        <v>0</v>
      </c>
      <c r="L1848" s="6">
        <v>3683.6120000000001</v>
      </c>
      <c r="M1848" s="6">
        <v>3683.6120000000001</v>
      </c>
      <c r="N1848" s="6">
        <v>3683.6120000000001</v>
      </c>
      <c r="O1848" s="6">
        <v>3683.6120000000001</v>
      </c>
      <c r="P1848" s="6">
        <v>15119</v>
      </c>
      <c r="Q1848" s="4" t="s">
        <v>26</v>
      </c>
      <c r="R1848" s="4">
        <v>0</v>
      </c>
      <c r="S1848" s="4" t="s">
        <v>294</v>
      </c>
      <c r="T1848" s="4" t="s">
        <v>531</v>
      </c>
      <c r="U1848" s="4">
        <v>0</v>
      </c>
      <c r="V1848" s="4">
        <v>10</v>
      </c>
      <c r="W1848" s="4">
        <v>60</v>
      </c>
    </row>
    <row r="1849" spans="1:23" ht="11.25" customHeight="1" x14ac:dyDescent="0.25">
      <c r="A1849" s="4" t="s">
        <v>27</v>
      </c>
      <c r="B1849" s="4" t="s">
        <v>22</v>
      </c>
      <c r="C1849" s="4" t="s">
        <v>23</v>
      </c>
      <c r="D1849" s="4" t="s">
        <v>24</v>
      </c>
      <c r="E1849" s="4" t="s">
        <v>32</v>
      </c>
      <c r="F1849" s="4" t="s">
        <v>25</v>
      </c>
      <c r="G1849" s="4" t="s">
        <v>25</v>
      </c>
      <c r="H1849" s="4" t="s">
        <v>25</v>
      </c>
      <c r="I1849" s="5">
        <v>44440</v>
      </c>
      <c r="J1849" s="6">
        <v>0</v>
      </c>
      <c r="K1849" s="6">
        <v>0</v>
      </c>
      <c r="L1849" s="6">
        <v>-8.1210000000000004</v>
      </c>
      <c r="M1849" s="6">
        <v>-8.1210000000000004</v>
      </c>
      <c r="N1849" s="6">
        <v>-8.1210000000000004</v>
      </c>
      <c r="O1849" s="6">
        <v>-8.1210000000000004</v>
      </c>
      <c r="P1849" s="6">
        <v>0</v>
      </c>
      <c r="Q1849" s="4" t="s">
        <v>26</v>
      </c>
      <c r="R1849" s="4">
        <v>0</v>
      </c>
      <c r="S1849" s="4" t="s">
        <v>294</v>
      </c>
      <c r="T1849" s="4" t="s">
        <v>531</v>
      </c>
      <c r="U1849" s="4">
        <v>0</v>
      </c>
      <c r="V1849" s="4">
        <v>10</v>
      </c>
      <c r="W1849" s="4">
        <v>60</v>
      </c>
    </row>
    <row r="1850" spans="1:23" ht="11.25" customHeight="1" x14ac:dyDescent="0.25">
      <c r="A1850" s="4" t="s">
        <v>28</v>
      </c>
      <c r="B1850" s="4" t="s">
        <v>22</v>
      </c>
      <c r="C1850" s="4" t="s">
        <v>23</v>
      </c>
      <c r="D1850" s="4" t="s">
        <v>24</v>
      </c>
      <c r="E1850" s="4" t="s">
        <v>32</v>
      </c>
      <c r="F1850" s="4" t="s">
        <v>25</v>
      </c>
      <c r="G1850" s="4" t="s">
        <v>25</v>
      </c>
      <c r="H1850" s="4" t="s">
        <v>25</v>
      </c>
      <c r="I1850" s="5">
        <v>44440</v>
      </c>
      <c r="J1850" s="6">
        <v>0</v>
      </c>
      <c r="K1850" s="6">
        <v>0</v>
      </c>
      <c r="L1850" s="6">
        <v>6345.0460000000003</v>
      </c>
      <c r="M1850" s="6">
        <v>6345.0460000000003</v>
      </c>
      <c r="N1850" s="6">
        <v>6345.0460000000003</v>
      </c>
      <c r="O1850" s="6">
        <v>6345.0460000000003</v>
      </c>
      <c r="P1850" s="6">
        <v>29571</v>
      </c>
      <c r="Q1850" s="4" t="s">
        <v>26</v>
      </c>
      <c r="R1850" s="4">
        <v>0</v>
      </c>
      <c r="S1850" s="4" t="s">
        <v>294</v>
      </c>
      <c r="T1850" s="4" t="s">
        <v>531</v>
      </c>
      <c r="U1850" s="4">
        <v>0</v>
      </c>
      <c r="V1850" s="4">
        <v>10</v>
      </c>
      <c r="W1850" s="4">
        <v>60</v>
      </c>
    </row>
    <row r="1851" spans="1:23" ht="11.25" customHeight="1" x14ac:dyDescent="0.25">
      <c r="A1851" s="4" t="s">
        <v>29</v>
      </c>
      <c r="B1851" s="4" t="s">
        <v>22</v>
      </c>
      <c r="C1851" s="4" t="s">
        <v>23</v>
      </c>
      <c r="D1851" s="4" t="s">
        <v>24</v>
      </c>
      <c r="E1851" s="4" t="s">
        <v>32</v>
      </c>
      <c r="F1851" s="4" t="s">
        <v>25</v>
      </c>
      <c r="G1851" s="4" t="s">
        <v>25</v>
      </c>
      <c r="H1851" s="4" t="s">
        <v>25</v>
      </c>
      <c r="I1851" s="5">
        <v>44440</v>
      </c>
      <c r="J1851" s="6">
        <v>0</v>
      </c>
      <c r="K1851" s="6">
        <v>0</v>
      </c>
      <c r="L1851" s="6">
        <v>-8.2929999999999993</v>
      </c>
      <c r="M1851" s="6">
        <v>-8.2929999999999993</v>
      </c>
      <c r="N1851" s="6">
        <v>-8.2929999999999993</v>
      </c>
      <c r="O1851" s="6">
        <v>-8.2929999999999993</v>
      </c>
      <c r="P1851" s="6">
        <v>0</v>
      </c>
      <c r="Q1851" s="4" t="s">
        <v>26</v>
      </c>
      <c r="R1851" s="4">
        <v>0</v>
      </c>
      <c r="S1851" s="4" t="s">
        <v>294</v>
      </c>
      <c r="T1851" s="4" t="s">
        <v>531</v>
      </c>
      <c r="U1851" s="4">
        <v>0</v>
      </c>
      <c r="V1851" s="4">
        <v>10</v>
      </c>
      <c r="W1851" s="4">
        <v>60</v>
      </c>
    </row>
    <row r="1852" spans="1:23" ht="11.25" customHeight="1" x14ac:dyDescent="0.25">
      <c r="A1852" s="4" t="s">
        <v>30</v>
      </c>
      <c r="B1852" s="4" t="s">
        <v>22</v>
      </c>
      <c r="C1852" s="4" t="s">
        <v>23</v>
      </c>
      <c r="D1852" s="4" t="s">
        <v>24</v>
      </c>
      <c r="E1852" s="4" t="s">
        <v>32</v>
      </c>
      <c r="F1852" s="4" t="s">
        <v>25</v>
      </c>
      <c r="G1852" s="4" t="s">
        <v>25</v>
      </c>
      <c r="H1852" s="4" t="s">
        <v>25</v>
      </c>
      <c r="I1852" s="5">
        <v>44440</v>
      </c>
      <c r="J1852" s="6">
        <v>0</v>
      </c>
      <c r="K1852" s="6">
        <v>0</v>
      </c>
      <c r="L1852" s="6">
        <v>0.64100000000000001</v>
      </c>
      <c r="M1852" s="6">
        <v>0.64100000000000001</v>
      </c>
      <c r="N1852" s="6">
        <v>0.64100000000000001</v>
      </c>
      <c r="O1852" s="6">
        <v>0.64100000000000001</v>
      </c>
      <c r="P1852" s="6">
        <v>0</v>
      </c>
      <c r="Q1852" s="4" t="s">
        <v>26</v>
      </c>
      <c r="R1852" s="4">
        <v>0</v>
      </c>
      <c r="S1852" s="4" t="s">
        <v>294</v>
      </c>
      <c r="T1852" s="4" t="s">
        <v>531</v>
      </c>
      <c r="U1852" s="4">
        <v>0</v>
      </c>
      <c r="V1852" s="4">
        <v>10</v>
      </c>
      <c r="W1852" s="4">
        <v>60</v>
      </c>
    </row>
    <row r="1853" spans="1:23" ht="11.25" customHeight="1" x14ac:dyDescent="0.25">
      <c r="A1853" s="4" t="s">
        <v>59</v>
      </c>
      <c r="B1853" s="4" t="s">
        <v>22</v>
      </c>
      <c r="C1853" s="4" t="s">
        <v>23</v>
      </c>
      <c r="D1853" s="4" t="s">
        <v>24</v>
      </c>
      <c r="E1853" s="4" t="s">
        <v>32</v>
      </c>
      <c r="F1853" s="4" t="s">
        <v>25</v>
      </c>
      <c r="G1853" s="4" t="s">
        <v>25</v>
      </c>
      <c r="H1853" s="4" t="s">
        <v>25</v>
      </c>
      <c r="I1853" s="5">
        <v>44470</v>
      </c>
      <c r="J1853" s="6">
        <v>0</v>
      </c>
      <c r="K1853" s="6">
        <v>0</v>
      </c>
      <c r="L1853" s="6">
        <v>3683.6120000000001</v>
      </c>
      <c r="M1853" s="6">
        <v>3683.6120000000001</v>
      </c>
      <c r="N1853" s="6">
        <v>3683.6120000000001</v>
      </c>
      <c r="O1853" s="6">
        <v>3683.6120000000001</v>
      </c>
      <c r="P1853" s="6">
        <v>15119</v>
      </c>
      <c r="Q1853" s="4" t="s">
        <v>26</v>
      </c>
      <c r="R1853" s="4">
        <v>0</v>
      </c>
      <c r="S1853" s="4" t="s">
        <v>295</v>
      </c>
      <c r="T1853" s="4" t="s">
        <v>532</v>
      </c>
      <c r="U1853" s="4">
        <v>0</v>
      </c>
      <c r="V1853" s="4">
        <v>10</v>
      </c>
      <c r="W1853" s="4">
        <v>60</v>
      </c>
    </row>
    <row r="1854" spans="1:23" ht="11.25" customHeight="1" x14ac:dyDescent="0.25">
      <c r="A1854" s="4" t="s">
        <v>59</v>
      </c>
      <c r="B1854" s="4" t="s">
        <v>22</v>
      </c>
      <c r="C1854" s="4" t="s">
        <v>23</v>
      </c>
      <c r="D1854" s="4" t="s">
        <v>24</v>
      </c>
      <c r="E1854" s="4" t="s">
        <v>32</v>
      </c>
      <c r="F1854" s="4" t="s">
        <v>25</v>
      </c>
      <c r="G1854" s="4" t="s">
        <v>25</v>
      </c>
      <c r="H1854" s="4" t="s">
        <v>25</v>
      </c>
      <c r="I1854" s="5">
        <v>44470</v>
      </c>
      <c r="J1854" s="6">
        <v>0</v>
      </c>
      <c r="K1854" s="6">
        <v>0</v>
      </c>
      <c r="L1854" s="6">
        <v>-8.1210000000000004</v>
      </c>
      <c r="M1854" s="6">
        <v>-8.1210000000000004</v>
      </c>
      <c r="N1854" s="6">
        <v>-8.1210000000000004</v>
      </c>
      <c r="O1854" s="6">
        <v>-8.1210000000000004</v>
      </c>
      <c r="P1854" s="6">
        <v>0</v>
      </c>
      <c r="Q1854" s="4" t="s">
        <v>26</v>
      </c>
      <c r="R1854" s="4">
        <v>0</v>
      </c>
      <c r="S1854" s="4" t="s">
        <v>295</v>
      </c>
      <c r="T1854" s="4" t="s">
        <v>532</v>
      </c>
      <c r="U1854" s="4">
        <v>0</v>
      </c>
      <c r="V1854" s="4">
        <v>10</v>
      </c>
      <c r="W1854" s="4">
        <v>60</v>
      </c>
    </row>
    <row r="1855" spans="1:23" ht="11.25" customHeight="1" x14ac:dyDescent="0.25">
      <c r="A1855" s="4" t="s">
        <v>59</v>
      </c>
      <c r="B1855" s="4" t="s">
        <v>22</v>
      </c>
      <c r="C1855" s="4" t="s">
        <v>23</v>
      </c>
      <c r="D1855" s="4" t="s">
        <v>24</v>
      </c>
      <c r="E1855" s="4" t="s">
        <v>32</v>
      </c>
      <c r="F1855" s="4" t="s">
        <v>25</v>
      </c>
      <c r="G1855" s="4" t="s">
        <v>25</v>
      </c>
      <c r="H1855" s="4" t="s">
        <v>25</v>
      </c>
      <c r="I1855" s="5">
        <v>44470</v>
      </c>
      <c r="J1855" s="6">
        <v>0</v>
      </c>
      <c r="K1855" s="6">
        <v>0</v>
      </c>
      <c r="L1855" s="6">
        <v>6345.0460000000003</v>
      </c>
      <c r="M1855" s="6">
        <v>6345.0460000000003</v>
      </c>
      <c r="N1855" s="6">
        <v>6345.0460000000003</v>
      </c>
      <c r="O1855" s="6">
        <v>6345.0460000000003</v>
      </c>
      <c r="P1855" s="6">
        <v>29571</v>
      </c>
      <c r="Q1855" s="4" t="s">
        <v>26</v>
      </c>
      <c r="R1855" s="4">
        <v>0</v>
      </c>
      <c r="S1855" s="4" t="s">
        <v>295</v>
      </c>
      <c r="T1855" s="4" t="s">
        <v>532</v>
      </c>
      <c r="U1855" s="4">
        <v>0</v>
      </c>
      <c r="V1855" s="4">
        <v>10</v>
      </c>
      <c r="W1855" s="4">
        <v>60</v>
      </c>
    </row>
    <row r="1856" spans="1:23" ht="11.25" customHeight="1" x14ac:dyDescent="0.25">
      <c r="A1856" s="4" t="s">
        <v>59</v>
      </c>
      <c r="B1856" s="4" t="s">
        <v>22</v>
      </c>
      <c r="C1856" s="4" t="s">
        <v>23</v>
      </c>
      <c r="D1856" s="4" t="s">
        <v>24</v>
      </c>
      <c r="E1856" s="4" t="s">
        <v>32</v>
      </c>
      <c r="F1856" s="4" t="s">
        <v>25</v>
      </c>
      <c r="G1856" s="4" t="s">
        <v>25</v>
      </c>
      <c r="H1856" s="4" t="s">
        <v>25</v>
      </c>
      <c r="I1856" s="5">
        <v>44470</v>
      </c>
      <c r="J1856" s="6">
        <v>0</v>
      </c>
      <c r="K1856" s="6">
        <v>0</v>
      </c>
      <c r="L1856" s="6">
        <v>-8.2929999999999993</v>
      </c>
      <c r="M1856" s="6">
        <v>-8.2929999999999993</v>
      </c>
      <c r="N1856" s="6">
        <v>-8.2929999999999993</v>
      </c>
      <c r="O1856" s="6">
        <v>-8.2929999999999993</v>
      </c>
      <c r="P1856" s="6">
        <v>0</v>
      </c>
      <c r="Q1856" s="4" t="s">
        <v>26</v>
      </c>
      <c r="R1856" s="4">
        <v>0</v>
      </c>
      <c r="S1856" s="4" t="s">
        <v>295</v>
      </c>
      <c r="T1856" s="4" t="s">
        <v>532</v>
      </c>
      <c r="U1856" s="4">
        <v>0</v>
      </c>
      <c r="V1856" s="4">
        <v>10</v>
      </c>
      <c r="W1856" s="4">
        <v>60</v>
      </c>
    </row>
    <row r="1857" spans="1:23" ht="11.25" customHeight="1" x14ac:dyDescent="0.25">
      <c r="A1857" s="4" t="s">
        <v>59</v>
      </c>
      <c r="B1857" s="4" t="s">
        <v>22</v>
      </c>
      <c r="C1857" s="4" t="s">
        <v>23</v>
      </c>
      <c r="D1857" s="4" t="s">
        <v>24</v>
      </c>
      <c r="E1857" s="4" t="s">
        <v>32</v>
      </c>
      <c r="F1857" s="4" t="s">
        <v>25</v>
      </c>
      <c r="G1857" s="4" t="s">
        <v>25</v>
      </c>
      <c r="H1857" s="4" t="s">
        <v>25</v>
      </c>
      <c r="I1857" s="5">
        <v>44470</v>
      </c>
      <c r="J1857" s="6">
        <v>0</v>
      </c>
      <c r="K1857" s="6">
        <v>0</v>
      </c>
      <c r="L1857" s="6">
        <v>0.64100000000000001</v>
      </c>
      <c r="M1857" s="6">
        <v>0.64100000000000001</v>
      </c>
      <c r="N1857" s="6">
        <v>0.64100000000000001</v>
      </c>
      <c r="O1857" s="6">
        <v>0.64100000000000001</v>
      </c>
      <c r="P1857" s="6">
        <v>0</v>
      </c>
      <c r="Q1857" s="4" t="s">
        <v>26</v>
      </c>
      <c r="R1857" s="4">
        <v>0</v>
      </c>
      <c r="S1857" s="4" t="s">
        <v>295</v>
      </c>
      <c r="T1857" s="4" t="s">
        <v>532</v>
      </c>
      <c r="U1857" s="4">
        <v>0</v>
      </c>
      <c r="V1857" s="4">
        <v>10</v>
      </c>
      <c r="W1857" s="4">
        <v>60</v>
      </c>
    </row>
    <row r="1858" spans="1:23" ht="11.25" customHeight="1" x14ac:dyDescent="0.25">
      <c r="A1858" s="4" t="s">
        <v>21</v>
      </c>
      <c r="B1858" s="4" t="s">
        <v>22</v>
      </c>
      <c r="C1858" s="4" t="s">
        <v>23</v>
      </c>
      <c r="D1858" s="4" t="s">
        <v>24</v>
      </c>
      <c r="E1858" s="4" t="s">
        <v>33</v>
      </c>
      <c r="F1858" s="4" t="s">
        <v>25</v>
      </c>
      <c r="G1858" s="4" t="s">
        <v>25</v>
      </c>
      <c r="H1858" s="4" t="s">
        <v>25</v>
      </c>
      <c r="I1858" s="5">
        <v>44136</v>
      </c>
      <c r="J1858" s="6">
        <v>0</v>
      </c>
      <c r="K1858" s="6">
        <v>0</v>
      </c>
      <c r="L1858" s="6">
        <v>3165.4250000000002</v>
      </c>
      <c r="M1858" s="6">
        <v>3165.4250000000002</v>
      </c>
      <c r="N1858" s="6">
        <v>3165.4250000000002</v>
      </c>
      <c r="O1858" s="6">
        <v>3165.4250000000002</v>
      </c>
      <c r="P1858" s="6">
        <v>21718</v>
      </c>
      <c r="Q1858" s="4" t="s">
        <v>26</v>
      </c>
      <c r="R1858" s="4">
        <v>0</v>
      </c>
      <c r="S1858" s="4" t="s">
        <v>296</v>
      </c>
      <c r="T1858" s="4" t="s">
        <v>533</v>
      </c>
      <c r="U1858" s="4">
        <v>0</v>
      </c>
      <c r="V1858" s="4">
        <v>6</v>
      </c>
      <c r="W1858" s="4">
        <v>52</v>
      </c>
    </row>
    <row r="1859" spans="1:23" ht="11.25" customHeight="1" x14ac:dyDescent="0.25">
      <c r="A1859" s="4" t="s">
        <v>27</v>
      </c>
      <c r="B1859" s="4" t="s">
        <v>22</v>
      </c>
      <c r="C1859" s="4" t="s">
        <v>23</v>
      </c>
      <c r="D1859" s="4" t="s">
        <v>24</v>
      </c>
      <c r="E1859" s="4" t="s">
        <v>33</v>
      </c>
      <c r="F1859" s="4" t="s">
        <v>25</v>
      </c>
      <c r="G1859" s="4" t="s">
        <v>25</v>
      </c>
      <c r="H1859" s="4" t="s">
        <v>25</v>
      </c>
      <c r="I1859" s="5">
        <v>44136</v>
      </c>
      <c r="J1859" s="6">
        <v>0</v>
      </c>
      <c r="K1859" s="6">
        <v>0</v>
      </c>
      <c r="L1859" s="6">
        <v>-7.7649999999999997</v>
      </c>
      <c r="M1859" s="6">
        <v>-7.7649999999999997</v>
      </c>
      <c r="N1859" s="6">
        <v>-7.7649999999999997</v>
      </c>
      <c r="O1859" s="6">
        <v>-7.7649999999999997</v>
      </c>
      <c r="P1859" s="6">
        <v>-33</v>
      </c>
      <c r="Q1859" s="4" t="s">
        <v>26</v>
      </c>
      <c r="R1859" s="4">
        <v>0</v>
      </c>
      <c r="S1859" s="4" t="s">
        <v>296</v>
      </c>
      <c r="T1859" s="4" t="s">
        <v>533</v>
      </c>
      <c r="U1859" s="4">
        <v>0</v>
      </c>
      <c r="V1859" s="4">
        <v>6</v>
      </c>
      <c r="W1859" s="4">
        <v>52</v>
      </c>
    </row>
    <row r="1860" spans="1:23" ht="11.25" customHeight="1" x14ac:dyDescent="0.25">
      <c r="A1860" s="4" t="s">
        <v>28</v>
      </c>
      <c r="B1860" s="4" t="s">
        <v>22</v>
      </c>
      <c r="C1860" s="4" t="s">
        <v>23</v>
      </c>
      <c r="D1860" s="4" t="s">
        <v>24</v>
      </c>
      <c r="E1860" s="4" t="s">
        <v>33</v>
      </c>
      <c r="F1860" s="4" t="s">
        <v>25</v>
      </c>
      <c r="G1860" s="4" t="s">
        <v>25</v>
      </c>
      <c r="H1860" s="4" t="s">
        <v>25</v>
      </c>
      <c r="I1860" s="5">
        <v>44136</v>
      </c>
      <c r="J1860" s="6">
        <v>0</v>
      </c>
      <c r="K1860" s="6">
        <v>0</v>
      </c>
      <c r="L1860" s="6">
        <v>4861.6059999999998</v>
      </c>
      <c r="M1860" s="6">
        <v>4861.6059999999998</v>
      </c>
      <c r="N1860" s="6">
        <v>4861.6059999999998</v>
      </c>
      <c r="O1860" s="6">
        <v>4861.6059999999998</v>
      </c>
      <c r="P1860" s="6">
        <v>43068</v>
      </c>
      <c r="Q1860" s="4" t="s">
        <v>26</v>
      </c>
      <c r="R1860" s="4">
        <v>0</v>
      </c>
      <c r="S1860" s="4" t="s">
        <v>296</v>
      </c>
      <c r="T1860" s="4" t="s">
        <v>533</v>
      </c>
      <c r="U1860" s="4">
        <v>0</v>
      </c>
      <c r="V1860" s="4">
        <v>6</v>
      </c>
      <c r="W1860" s="4">
        <v>52</v>
      </c>
    </row>
    <row r="1861" spans="1:23" ht="11.25" customHeight="1" x14ac:dyDescent="0.25">
      <c r="A1861" s="4" t="s">
        <v>29</v>
      </c>
      <c r="B1861" s="4" t="s">
        <v>22</v>
      </c>
      <c r="C1861" s="4" t="s">
        <v>23</v>
      </c>
      <c r="D1861" s="4" t="s">
        <v>24</v>
      </c>
      <c r="E1861" s="4" t="s">
        <v>33</v>
      </c>
      <c r="F1861" s="4" t="s">
        <v>25</v>
      </c>
      <c r="G1861" s="4" t="s">
        <v>25</v>
      </c>
      <c r="H1861" s="4" t="s">
        <v>25</v>
      </c>
      <c r="I1861" s="5">
        <v>44136</v>
      </c>
      <c r="J1861" s="6">
        <v>0</v>
      </c>
      <c r="K1861" s="6">
        <v>0</v>
      </c>
      <c r="L1861" s="6">
        <v>-7.7370000000000001</v>
      </c>
      <c r="M1861" s="6">
        <v>-7.7370000000000001</v>
      </c>
      <c r="N1861" s="6">
        <v>-7.7370000000000001</v>
      </c>
      <c r="O1861" s="6">
        <v>-7.7370000000000001</v>
      </c>
      <c r="P1861" s="6">
        <v>-50</v>
      </c>
      <c r="Q1861" s="4" t="s">
        <v>26</v>
      </c>
      <c r="R1861" s="4">
        <v>0</v>
      </c>
      <c r="S1861" s="4" t="s">
        <v>296</v>
      </c>
      <c r="T1861" s="4" t="s">
        <v>533</v>
      </c>
      <c r="U1861" s="4">
        <v>0</v>
      </c>
      <c r="V1861" s="4">
        <v>6</v>
      </c>
      <c r="W1861" s="4">
        <v>52</v>
      </c>
    </row>
    <row r="1862" spans="1:23" ht="11.25" customHeight="1" x14ac:dyDescent="0.25">
      <c r="A1862" s="4" t="s">
        <v>21</v>
      </c>
      <c r="B1862" s="4" t="s">
        <v>22</v>
      </c>
      <c r="C1862" s="4" t="s">
        <v>23</v>
      </c>
      <c r="D1862" s="4" t="s">
        <v>24</v>
      </c>
      <c r="E1862" s="4" t="s">
        <v>33</v>
      </c>
      <c r="F1862" s="4" t="s">
        <v>25</v>
      </c>
      <c r="G1862" s="4" t="s">
        <v>25</v>
      </c>
      <c r="H1862" s="4" t="s">
        <v>25</v>
      </c>
      <c r="I1862" s="5">
        <v>44166</v>
      </c>
      <c r="J1862" s="6">
        <v>0</v>
      </c>
      <c r="K1862" s="6">
        <v>0</v>
      </c>
      <c r="L1862" s="6">
        <v>3554.72</v>
      </c>
      <c r="M1862" s="6">
        <v>3554.72</v>
      </c>
      <c r="N1862" s="6">
        <v>3554.72</v>
      </c>
      <c r="O1862" s="6">
        <v>3554.72</v>
      </c>
      <c r="P1862" s="6">
        <v>25021</v>
      </c>
      <c r="Q1862" s="4" t="s">
        <v>26</v>
      </c>
      <c r="R1862" s="4">
        <v>0</v>
      </c>
      <c r="S1862" s="4" t="s">
        <v>297</v>
      </c>
      <c r="T1862" s="4" t="s">
        <v>534</v>
      </c>
      <c r="U1862" s="4">
        <v>0</v>
      </c>
      <c r="V1862" s="4">
        <v>6</v>
      </c>
      <c r="W1862" s="4">
        <v>52</v>
      </c>
    </row>
    <row r="1863" spans="1:23" ht="11.25" customHeight="1" x14ac:dyDescent="0.25">
      <c r="A1863" s="4" t="s">
        <v>27</v>
      </c>
      <c r="B1863" s="4" t="s">
        <v>22</v>
      </c>
      <c r="C1863" s="4" t="s">
        <v>23</v>
      </c>
      <c r="D1863" s="4" t="s">
        <v>24</v>
      </c>
      <c r="E1863" s="4" t="s">
        <v>33</v>
      </c>
      <c r="F1863" s="4" t="s">
        <v>25</v>
      </c>
      <c r="G1863" s="4" t="s">
        <v>25</v>
      </c>
      <c r="H1863" s="4" t="s">
        <v>25</v>
      </c>
      <c r="I1863" s="5">
        <v>44166</v>
      </c>
      <c r="J1863" s="6">
        <v>0</v>
      </c>
      <c r="K1863" s="6">
        <v>0</v>
      </c>
      <c r="L1863" s="6">
        <v>-10.01</v>
      </c>
      <c r="M1863" s="6">
        <v>-10.01</v>
      </c>
      <c r="N1863" s="6">
        <v>-10.01</v>
      </c>
      <c r="O1863" s="6">
        <v>-10.01</v>
      </c>
      <c r="P1863" s="6">
        <v>0</v>
      </c>
      <c r="Q1863" s="4" t="s">
        <v>26</v>
      </c>
      <c r="R1863" s="4">
        <v>0</v>
      </c>
      <c r="S1863" s="4" t="s">
        <v>297</v>
      </c>
      <c r="T1863" s="4" t="s">
        <v>534</v>
      </c>
      <c r="U1863" s="4">
        <v>0</v>
      </c>
      <c r="V1863" s="4">
        <v>6</v>
      </c>
      <c r="W1863" s="4">
        <v>52</v>
      </c>
    </row>
    <row r="1864" spans="1:23" ht="11.25" customHeight="1" x14ac:dyDescent="0.25">
      <c r="A1864" s="4" t="s">
        <v>28</v>
      </c>
      <c r="B1864" s="4" t="s">
        <v>22</v>
      </c>
      <c r="C1864" s="4" t="s">
        <v>23</v>
      </c>
      <c r="D1864" s="4" t="s">
        <v>24</v>
      </c>
      <c r="E1864" s="4" t="s">
        <v>33</v>
      </c>
      <c r="F1864" s="4" t="s">
        <v>25</v>
      </c>
      <c r="G1864" s="4" t="s">
        <v>25</v>
      </c>
      <c r="H1864" s="4" t="s">
        <v>25</v>
      </c>
      <c r="I1864" s="5">
        <v>44166</v>
      </c>
      <c r="J1864" s="6">
        <v>0</v>
      </c>
      <c r="K1864" s="6">
        <v>0</v>
      </c>
      <c r="L1864" s="6">
        <v>5089.3940000000002</v>
      </c>
      <c r="M1864" s="6">
        <v>5089.3940000000002</v>
      </c>
      <c r="N1864" s="6">
        <v>5089.3940000000002</v>
      </c>
      <c r="O1864" s="6">
        <v>5089.3940000000002</v>
      </c>
      <c r="P1864" s="6">
        <v>47104</v>
      </c>
      <c r="Q1864" s="4" t="s">
        <v>26</v>
      </c>
      <c r="R1864" s="4">
        <v>0</v>
      </c>
      <c r="S1864" s="4" t="s">
        <v>297</v>
      </c>
      <c r="T1864" s="4" t="s">
        <v>534</v>
      </c>
      <c r="U1864" s="4">
        <v>0</v>
      </c>
      <c r="V1864" s="4">
        <v>6</v>
      </c>
      <c r="W1864" s="4">
        <v>52</v>
      </c>
    </row>
    <row r="1865" spans="1:23" ht="11.25" customHeight="1" x14ac:dyDescent="0.25">
      <c r="A1865" s="4" t="s">
        <v>29</v>
      </c>
      <c r="B1865" s="4" t="s">
        <v>22</v>
      </c>
      <c r="C1865" s="4" t="s">
        <v>23</v>
      </c>
      <c r="D1865" s="4" t="s">
        <v>24</v>
      </c>
      <c r="E1865" s="4" t="s">
        <v>33</v>
      </c>
      <c r="F1865" s="4" t="s">
        <v>25</v>
      </c>
      <c r="G1865" s="4" t="s">
        <v>25</v>
      </c>
      <c r="H1865" s="4" t="s">
        <v>25</v>
      </c>
      <c r="I1865" s="5">
        <v>44166</v>
      </c>
      <c r="J1865" s="6">
        <v>0</v>
      </c>
      <c r="K1865" s="6">
        <v>0</v>
      </c>
      <c r="L1865" s="6">
        <v>-10.057</v>
      </c>
      <c r="M1865" s="6">
        <v>-10.057</v>
      </c>
      <c r="N1865" s="6">
        <v>-10.057</v>
      </c>
      <c r="O1865" s="6">
        <v>-10.057</v>
      </c>
      <c r="P1865" s="6">
        <v>0</v>
      </c>
      <c r="Q1865" s="4" t="s">
        <v>26</v>
      </c>
      <c r="R1865" s="4">
        <v>0</v>
      </c>
      <c r="S1865" s="4" t="s">
        <v>297</v>
      </c>
      <c r="T1865" s="4" t="s">
        <v>534</v>
      </c>
      <c r="U1865" s="4">
        <v>0</v>
      </c>
      <c r="V1865" s="4">
        <v>6</v>
      </c>
      <c r="W1865" s="4">
        <v>52</v>
      </c>
    </row>
    <row r="1866" spans="1:23" ht="11.25" customHeight="1" x14ac:dyDescent="0.25">
      <c r="A1866" s="4" t="s">
        <v>21</v>
      </c>
      <c r="B1866" s="4" t="s">
        <v>22</v>
      </c>
      <c r="C1866" s="4" t="s">
        <v>23</v>
      </c>
      <c r="D1866" s="4" t="s">
        <v>24</v>
      </c>
      <c r="E1866" s="4" t="s">
        <v>33</v>
      </c>
      <c r="F1866" s="4" t="s">
        <v>25</v>
      </c>
      <c r="G1866" s="4" t="s">
        <v>25</v>
      </c>
      <c r="H1866" s="4" t="s">
        <v>25</v>
      </c>
      <c r="I1866" s="5">
        <v>44197</v>
      </c>
      <c r="J1866" s="6">
        <v>0</v>
      </c>
      <c r="K1866" s="6">
        <v>0</v>
      </c>
      <c r="L1866" s="6">
        <v>3776.9380000000001</v>
      </c>
      <c r="M1866" s="6">
        <v>3776.9380000000001</v>
      </c>
      <c r="N1866" s="6">
        <v>3776.9380000000001</v>
      </c>
      <c r="O1866" s="6">
        <v>3776.9380000000001</v>
      </c>
      <c r="P1866" s="6">
        <v>25546</v>
      </c>
      <c r="Q1866" s="4" t="s">
        <v>26</v>
      </c>
      <c r="R1866" s="4">
        <v>0</v>
      </c>
      <c r="S1866" s="4" t="s">
        <v>298</v>
      </c>
      <c r="T1866" s="4" t="s">
        <v>535</v>
      </c>
      <c r="U1866" s="4">
        <v>0</v>
      </c>
      <c r="V1866" s="4">
        <v>6</v>
      </c>
      <c r="W1866" s="4">
        <v>52</v>
      </c>
    </row>
    <row r="1867" spans="1:23" ht="11.25" customHeight="1" x14ac:dyDescent="0.25">
      <c r="A1867" s="4" t="s">
        <v>27</v>
      </c>
      <c r="B1867" s="4" t="s">
        <v>22</v>
      </c>
      <c r="C1867" s="4" t="s">
        <v>23</v>
      </c>
      <c r="D1867" s="4" t="s">
        <v>24</v>
      </c>
      <c r="E1867" s="4" t="s">
        <v>33</v>
      </c>
      <c r="F1867" s="4" t="s">
        <v>25</v>
      </c>
      <c r="G1867" s="4" t="s">
        <v>25</v>
      </c>
      <c r="H1867" s="4" t="s">
        <v>25</v>
      </c>
      <c r="I1867" s="5">
        <v>44197</v>
      </c>
      <c r="J1867" s="6">
        <v>0</v>
      </c>
      <c r="K1867" s="6">
        <v>0</v>
      </c>
      <c r="L1867" s="6">
        <v>-14.41</v>
      </c>
      <c r="M1867" s="6">
        <v>-14.41</v>
      </c>
      <c r="N1867" s="6">
        <v>-14.41</v>
      </c>
      <c r="O1867" s="6">
        <v>-14.41</v>
      </c>
      <c r="P1867" s="6">
        <v>0</v>
      </c>
      <c r="Q1867" s="4" t="s">
        <v>26</v>
      </c>
      <c r="R1867" s="4">
        <v>0</v>
      </c>
      <c r="S1867" s="4" t="s">
        <v>298</v>
      </c>
      <c r="T1867" s="4" t="s">
        <v>535</v>
      </c>
      <c r="U1867" s="4">
        <v>0</v>
      </c>
      <c r="V1867" s="4">
        <v>6</v>
      </c>
      <c r="W1867" s="4">
        <v>52</v>
      </c>
    </row>
    <row r="1868" spans="1:23" ht="11.25" customHeight="1" x14ac:dyDescent="0.25">
      <c r="A1868" s="4" t="s">
        <v>28</v>
      </c>
      <c r="B1868" s="4" t="s">
        <v>22</v>
      </c>
      <c r="C1868" s="4" t="s">
        <v>23</v>
      </c>
      <c r="D1868" s="4" t="s">
        <v>24</v>
      </c>
      <c r="E1868" s="4" t="s">
        <v>33</v>
      </c>
      <c r="F1868" s="4" t="s">
        <v>25</v>
      </c>
      <c r="G1868" s="4" t="s">
        <v>25</v>
      </c>
      <c r="H1868" s="4" t="s">
        <v>25</v>
      </c>
      <c r="I1868" s="5">
        <v>44197</v>
      </c>
      <c r="J1868" s="6">
        <v>0</v>
      </c>
      <c r="K1868" s="6">
        <v>0</v>
      </c>
      <c r="L1868" s="6">
        <v>4809.9409999999998</v>
      </c>
      <c r="M1868" s="6">
        <v>4809.9409999999998</v>
      </c>
      <c r="N1868" s="6">
        <v>4809.9409999999998</v>
      </c>
      <c r="O1868" s="6">
        <v>4809.9409999999998</v>
      </c>
      <c r="P1868" s="6">
        <v>46604</v>
      </c>
      <c r="Q1868" s="4" t="s">
        <v>26</v>
      </c>
      <c r="R1868" s="4">
        <v>0</v>
      </c>
      <c r="S1868" s="4" t="s">
        <v>298</v>
      </c>
      <c r="T1868" s="4" t="s">
        <v>535</v>
      </c>
      <c r="U1868" s="4">
        <v>0</v>
      </c>
      <c r="V1868" s="4">
        <v>6</v>
      </c>
      <c r="W1868" s="4">
        <v>52</v>
      </c>
    </row>
    <row r="1869" spans="1:23" ht="11.25" customHeight="1" x14ac:dyDescent="0.25">
      <c r="A1869" s="4" t="s">
        <v>29</v>
      </c>
      <c r="B1869" s="4" t="s">
        <v>22</v>
      </c>
      <c r="C1869" s="4" t="s">
        <v>23</v>
      </c>
      <c r="D1869" s="4" t="s">
        <v>24</v>
      </c>
      <c r="E1869" s="4" t="s">
        <v>33</v>
      </c>
      <c r="F1869" s="4" t="s">
        <v>25</v>
      </c>
      <c r="G1869" s="4" t="s">
        <v>25</v>
      </c>
      <c r="H1869" s="4" t="s">
        <v>25</v>
      </c>
      <c r="I1869" s="5">
        <v>44197</v>
      </c>
      <c r="J1869" s="6">
        <v>0</v>
      </c>
      <c r="K1869" s="6">
        <v>0</v>
      </c>
      <c r="L1869" s="6">
        <v>-6.6639999999999997</v>
      </c>
      <c r="M1869" s="6">
        <v>-6.6639999999999997</v>
      </c>
      <c r="N1869" s="6">
        <v>-6.6639999999999997</v>
      </c>
      <c r="O1869" s="6">
        <v>-6.6639999999999997</v>
      </c>
      <c r="P1869" s="6">
        <v>0</v>
      </c>
      <c r="Q1869" s="4" t="s">
        <v>26</v>
      </c>
      <c r="R1869" s="4">
        <v>0</v>
      </c>
      <c r="S1869" s="4" t="s">
        <v>298</v>
      </c>
      <c r="T1869" s="4" t="s">
        <v>535</v>
      </c>
      <c r="U1869" s="4">
        <v>0</v>
      </c>
      <c r="V1869" s="4">
        <v>6</v>
      </c>
      <c r="W1869" s="4">
        <v>52</v>
      </c>
    </row>
    <row r="1870" spans="1:23" ht="11.25" customHeight="1" x14ac:dyDescent="0.25">
      <c r="A1870" s="4" t="s">
        <v>21</v>
      </c>
      <c r="B1870" s="4" t="s">
        <v>22</v>
      </c>
      <c r="C1870" s="4" t="s">
        <v>23</v>
      </c>
      <c r="D1870" s="4" t="s">
        <v>24</v>
      </c>
      <c r="E1870" s="4" t="s">
        <v>33</v>
      </c>
      <c r="F1870" s="4" t="s">
        <v>25</v>
      </c>
      <c r="G1870" s="4" t="s">
        <v>25</v>
      </c>
      <c r="H1870" s="4" t="s">
        <v>25</v>
      </c>
      <c r="I1870" s="5">
        <v>44228</v>
      </c>
      <c r="J1870" s="6">
        <v>0</v>
      </c>
      <c r="K1870" s="6">
        <v>0</v>
      </c>
      <c r="L1870" s="6">
        <v>3147.1849999999999</v>
      </c>
      <c r="M1870" s="6">
        <v>3147.1849999999999</v>
      </c>
      <c r="N1870" s="6">
        <v>3147.1849999999999</v>
      </c>
      <c r="O1870" s="6">
        <v>3147.1849999999999</v>
      </c>
      <c r="P1870" s="6">
        <v>24803</v>
      </c>
      <c r="Q1870" s="4" t="s">
        <v>26</v>
      </c>
      <c r="R1870" s="4">
        <v>0</v>
      </c>
      <c r="S1870" s="4" t="s">
        <v>299</v>
      </c>
      <c r="T1870" s="4" t="s">
        <v>536</v>
      </c>
      <c r="U1870" s="4">
        <v>0</v>
      </c>
      <c r="V1870" s="4">
        <v>6</v>
      </c>
      <c r="W1870" s="4">
        <v>52</v>
      </c>
    </row>
    <row r="1871" spans="1:23" ht="11.25" customHeight="1" x14ac:dyDescent="0.25">
      <c r="A1871" s="4" t="s">
        <v>27</v>
      </c>
      <c r="B1871" s="4" t="s">
        <v>22</v>
      </c>
      <c r="C1871" s="4" t="s">
        <v>23</v>
      </c>
      <c r="D1871" s="4" t="s">
        <v>24</v>
      </c>
      <c r="E1871" s="4" t="s">
        <v>33</v>
      </c>
      <c r="F1871" s="4" t="s">
        <v>25</v>
      </c>
      <c r="G1871" s="4" t="s">
        <v>25</v>
      </c>
      <c r="H1871" s="4" t="s">
        <v>25</v>
      </c>
      <c r="I1871" s="5">
        <v>44228</v>
      </c>
      <c r="J1871" s="6">
        <v>0</v>
      </c>
      <c r="K1871" s="6">
        <v>0</v>
      </c>
      <c r="L1871" s="6">
        <v>-11.196</v>
      </c>
      <c r="M1871" s="6">
        <v>-11.196</v>
      </c>
      <c r="N1871" s="6">
        <v>-11.196</v>
      </c>
      <c r="O1871" s="6">
        <v>-11.196</v>
      </c>
      <c r="P1871" s="6">
        <v>0</v>
      </c>
      <c r="Q1871" s="4" t="s">
        <v>26</v>
      </c>
      <c r="R1871" s="4">
        <v>0</v>
      </c>
      <c r="S1871" s="4" t="s">
        <v>299</v>
      </c>
      <c r="T1871" s="4" t="s">
        <v>536</v>
      </c>
      <c r="U1871" s="4">
        <v>0</v>
      </c>
      <c r="V1871" s="4">
        <v>6</v>
      </c>
      <c r="W1871" s="4">
        <v>52</v>
      </c>
    </row>
    <row r="1872" spans="1:23" ht="11.25" customHeight="1" x14ac:dyDescent="0.25">
      <c r="A1872" s="4" t="s">
        <v>28</v>
      </c>
      <c r="B1872" s="4" t="s">
        <v>22</v>
      </c>
      <c r="C1872" s="4" t="s">
        <v>23</v>
      </c>
      <c r="D1872" s="4" t="s">
        <v>24</v>
      </c>
      <c r="E1872" s="4" t="s">
        <v>33</v>
      </c>
      <c r="F1872" s="4" t="s">
        <v>25</v>
      </c>
      <c r="G1872" s="4" t="s">
        <v>25</v>
      </c>
      <c r="H1872" s="4" t="s">
        <v>25</v>
      </c>
      <c r="I1872" s="5">
        <v>44228</v>
      </c>
      <c r="J1872" s="6">
        <v>0</v>
      </c>
      <c r="K1872" s="6">
        <v>0</v>
      </c>
      <c r="L1872" s="6">
        <v>4478.4930000000004</v>
      </c>
      <c r="M1872" s="6">
        <v>4478.4930000000004</v>
      </c>
      <c r="N1872" s="6">
        <v>4478.4930000000004</v>
      </c>
      <c r="O1872" s="6">
        <v>4478.4930000000004</v>
      </c>
      <c r="P1872" s="6">
        <v>45450</v>
      </c>
      <c r="Q1872" s="4" t="s">
        <v>26</v>
      </c>
      <c r="R1872" s="4">
        <v>0</v>
      </c>
      <c r="S1872" s="4" t="s">
        <v>299</v>
      </c>
      <c r="T1872" s="4" t="s">
        <v>536</v>
      </c>
      <c r="U1872" s="4">
        <v>0</v>
      </c>
      <c r="V1872" s="4">
        <v>6</v>
      </c>
      <c r="W1872" s="4">
        <v>52</v>
      </c>
    </row>
    <row r="1873" spans="1:23" ht="11.25" customHeight="1" x14ac:dyDescent="0.25">
      <c r="A1873" s="4" t="s">
        <v>29</v>
      </c>
      <c r="B1873" s="4" t="s">
        <v>22</v>
      </c>
      <c r="C1873" s="4" t="s">
        <v>23</v>
      </c>
      <c r="D1873" s="4" t="s">
        <v>24</v>
      </c>
      <c r="E1873" s="4" t="s">
        <v>33</v>
      </c>
      <c r="F1873" s="4" t="s">
        <v>25</v>
      </c>
      <c r="G1873" s="4" t="s">
        <v>25</v>
      </c>
      <c r="H1873" s="4" t="s">
        <v>25</v>
      </c>
      <c r="I1873" s="5">
        <v>44228</v>
      </c>
      <c r="J1873" s="6">
        <v>0</v>
      </c>
      <c r="K1873" s="6">
        <v>0</v>
      </c>
      <c r="L1873" s="6">
        <v>-14.226000000000001</v>
      </c>
      <c r="M1873" s="6">
        <v>-14.226000000000001</v>
      </c>
      <c r="N1873" s="6">
        <v>-14.226000000000001</v>
      </c>
      <c r="O1873" s="6">
        <v>-14.226000000000001</v>
      </c>
      <c r="P1873" s="6">
        <v>0</v>
      </c>
      <c r="Q1873" s="4" t="s">
        <v>26</v>
      </c>
      <c r="R1873" s="4">
        <v>0</v>
      </c>
      <c r="S1873" s="4" t="s">
        <v>299</v>
      </c>
      <c r="T1873" s="4" t="s">
        <v>536</v>
      </c>
      <c r="U1873" s="4">
        <v>0</v>
      </c>
      <c r="V1873" s="4">
        <v>6</v>
      </c>
      <c r="W1873" s="4">
        <v>52</v>
      </c>
    </row>
    <row r="1874" spans="1:23" ht="11.25" customHeight="1" x14ac:dyDescent="0.25">
      <c r="A1874" s="4" t="s">
        <v>21</v>
      </c>
      <c r="B1874" s="4" t="s">
        <v>22</v>
      </c>
      <c r="C1874" s="4" t="s">
        <v>23</v>
      </c>
      <c r="D1874" s="4" t="s">
        <v>24</v>
      </c>
      <c r="E1874" s="4" t="s">
        <v>33</v>
      </c>
      <c r="F1874" s="4" t="s">
        <v>25</v>
      </c>
      <c r="G1874" s="4" t="s">
        <v>25</v>
      </c>
      <c r="H1874" s="4" t="s">
        <v>25</v>
      </c>
      <c r="I1874" s="5">
        <v>44256</v>
      </c>
      <c r="J1874" s="6">
        <v>0</v>
      </c>
      <c r="K1874" s="6">
        <v>0</v>
      </c>
      <c r="L1874" s="6">
        <v>3351.1550000000002</v>
      </c>
      <c r="M1874" s="6">
        <v>3351.1550000000002</v>
      </c>
      <c r="N1874" s="6">
        <v>3351.1550000000002</v>
      </c>
      <c r="O1874" s="6">
        <v>3351.1550000000002</v>
      </c>
      <c r="P1874" s="6">
        <v>23749</v>
      </c>
      <c r="Q1874" s="4" t="s">
        <v>26</v>
      </c>
      <c r="R1874" s="4">
        <v>0</v>
      </c>
      <c r="S1874" s="4" t="s">
        <v>300</v>
      </c>
      <c r="T1874" s="4" t="s">
        <v>537</v>
      </c>
      <c r="U1874" s="4">
        <v>0</v>
      </c>
      <c r="V1874" s="4">
        <v>6</v>
      </c>
      <c r="W1874" s="4">
        <v>52</v>
      </c>
    </row>
    <row r="1875" spans="1:23" ht="11.25" customHeight="1" x14ac:dyDescent="0.25">
      <c r="A1875" s="4" t="s">
        <v>27</v>
      </c>
      <c r="B1875" s="4" t="s">
        <v>22</v>
      </c>
      <c r="C1875" s="4" t="s">
        <v>23</v>
      </c>
      <c r="D1875" s="4" t="s">
        <v>24</v>
      </c>
      <c r="E1875" s="4" t="s">
        <v>33</v>
      </c>
      <c r="F1875" s="4" t="s">
        <v>25</v>
      </c>
      <c r="G1875" s="4" t="s">
        <v>25</v>
      </c>
      <c r="H1875" s="4" t="s">
        <v>25</v>
      </c>
      <c r="I1875" s="5">
        <v>44256</v>
      </c>
      <c r="J1875" s="6">
        <v>0</v>
      </c>
      <c r="K1875" s="6">
        <v>0</v>
      </c>
      <c r="L1875" s="6">
        <v>-46.134999999999998</v>
      </c>
      <c r="M1875" s="6">
        <v>-46.134999999999998</v>
      </c>
      <c r="N1875" s="6">
        <v>-46.134999999999998</v>
      </c>
      <c r="O1875" s="6">
        <v>-46.134999999999998</v>
      </c>
      <c r="P1875" s="6">
        <v>0</v>
      </c>
      <c r="Q1875" s="4" t="s">
        <v>26</v>
      </c>
      <c r="R1875" s="4">
        <v>0</v>
      </c>
      <c r="S1875" s="4" t="s">
        <v>300</v>
      </c>
      <c r="T1875" s="4" t="s">
        <v>537</v>
      </c>
      <c r="U1875" s="4">
        <v>0</v>
      </c>
      <c r="V1875" s="4">
        <v>6</v>
      </c>
      <c r="W1875" s="4">
        <v>52</v>
      </c>
    </row>
    <row r="1876" spans="1:23" ht="11.25" customHeight="1" x14ac:dyDescent="0.25">
      <c r="A1876" s="4" t="s">
        <v>28</v>
      </c>
      <c r="B1876" s="4" t="s">
        <v>22</v>
      </c>
      <c r="C1876" s="4" t="s">
        <v>23</v>
      </c>
      <c r="D1876" s="4" t="s">
        <v>24</v>
      </c>
      <c r="E1876" s="4" t="s">
        <v>33</v>
      </c>
      <c r="F1876" s="4" t="s">
        <v>25</v>
      </c>
      <c r="G1876" s="4" t="s">
        <v>25</v>
      </c>
      <c r="H1876" s="4" t="s">
        <v>25</v>
      </c>
      <c r="I1876" s="5">
        <v>44256</v>
      </c>
      <c r="J1876" s="6">
        <v>0</v>
      </c>
      <c r="K1876" s="6">
        <v>0</v>
      </c>
      <c r="L1876" s="6">
        <v>4585.1030000000001</v>
      </c>
      <c r="M1876" s="6">
        <v>4585.1030000000001</v>
      </c>
      <c r="N1876" s="6">
        <v>4585.1030000000001</v>
      </c>
      <c r="O1876" s="6">
        <v>4585.1030000000001</v>
      </c>
      <c r="P1876" s="6">
        <v>46464</v>
      </c>
      <c r="Q1876" s="4" t="s">
        <v>26</v>
      </c>
      <c r="R1876" s="4">
        <v>0</v>
      </c>
      <c r="S1876" s="4" t="s">
        <v>300</v>
      </c>
      <c r="T1876" s="4" t="s">
        <v>537</v>
      </c>
      <c r="U1876" s="4">
        <v>0</v>
      </c>
      <c r="V1876" s="4">
        <v>6</v>
      </c>
      <c r="W1876" s="4">
        <v>52</v>
      </c>
    </row>
    <row r="1877" spans="1:23" ht="11.25" customHeight="1" x14ac:dyDescent="0.25">
      <c r="A1877" s="4" t="s">
        <v>29</v>
      </c>
      <c r="B1877" s="4" t="s">
        <v>22</v>
      </c>
      <c r="C1877" s="4" t="s">
        <v>23</v>
      </c>
      <c r="D1877" s="4" t="s">
        <v>24</v>
      </c>
      <c r="E1877" s="4" t="s">
        <v>33</v>
      </c>
      <c r="F1877" s="4" t="s">
        <v>25</v>
      </c>
      <c r="G1877" s="4" t="s">
        <v>25</v>
      </c>
      <c r="H1877" s="4" t="s">
        <v>25</v>
      </c>
      <c r="I1877" s="5">
        <v>44256</v>
      </c>
      <c r="J1877" s="6">
        <v>0</v>
      </c>
      <c r="K1877" s="6">
        <v>0</v>
      </c>
      <c r="L1877" s="6">
        <v>-13.526</v>
      </c>
      <c r="M1877" s="6">
        <v>-13.526</v>
      </c>
      <c r="N1877" s="6">
        <v>-13.526</v>
      </c>
      <c r="O1877" s="6">
        <v>-13.526</v>
      </c>
      <c r="P1877" s="6">
        <v>0</v>
      </c>
      <c r="Q1877" s="4" t="s">
        <v>26</v>
      </c>
      <c r="R1877" s="4">
        <v>0</v>
      </c>
      <c r="S1877" s="4" t="s">
        <v>300</v>
      </c>
      <c r="T1877" s="4" t="s">
        <v>537</v>
      </c>
      <c r="U1877" s="4">
        <v>0</v>
      </c>
      <c r="V1877" s="4">
        <v>6</v>
      </c>
      <c r="W1877" s="4">
        <v>52</v>
      </c>
    </row>
    <row r="1878" spans="1:23" ht="11.25" customHeight="1" x14ac:dyDescent="0.25">
      <c r="A1878" s="4" t="s">
        <v>30</v>
      </c>
      <c r="B1878" s="4" t="s">
        <v>22</v>
      </c>
      <c r="C1878" s="4" t="s">
        <v>23</v>
      </c>
      <c r="D1878" s="4" t="s">
        <v>24</v>
      </c>
      <c r="E1878" s="4" t="s">
        <v>33</v>
      </c>
      <c r="F1878" s="4" t="s">
        <v>25</v>
      </c>
      <c r="G1878" s="4" t="s">
        <v>25</v>
      </c>
      <c r="H1878" s="4" t="s">
        <v>25</v>
      </c>
      <c r="I1878" s="5">
        <v>44256</v>
      </c>
      <c r="J1878" s="6">
        <v>0</v>
      </c>
      <c r="K1878" s="6">
        <v>0</v>
      </c>
      <c r="L1878" s="6">
        <v>0.12</v>
      </c>
      <c r="M1878" s="6">
        <v>0.12</v>
      </c>
      <c r="N1878" s="6">
        <v>0.12</v>
      </c>
      <c r="O1878" s="6">
        <v>0.12</v>
      </c>
      <c r="P1878" s="6">
        <v>0</v>
      </c>
      <c r="Q1878" s="4" t="s">
        <v>26</v>
      </c>
      <c r="R1878" s="4">
        <v>0</v>
      </c>
      <c r="S1878" s="4" t="s">
        <v>300</v>
      </c>
      <c r="T1878" s="4" t="s">
        <v>537</v>
      </c>
      <c r="U1878" s="4">
        <v>0</v>
      </c>
      <c r="V1878" s="4">
        <v>6</v>
      </c>
      <c r="W1878" s="4">
        <v>52</v>
      </c>
    </row>
    <row r="1879" spans="1:23" ht="11.25" customHeight="1" x14ac:dyDescent="0.25">
      <c r="A1879" s="4" t="s">
        <v>21</v>
      </c>
      <c r="B1879" s="4" t="s">
        <v>22</v>
      </c>
      <c r="C1879" s="4" t="s">
        <v>23</v>
      </c>
      <c r="D1879" s="4" t="s">
        <v>24</v>
      </c>
      <c r="E1879" s="4" t="s">
        <v>33</v>
      </c>
      <c r="F1879" s="4" t="s">
        <v>25</v>
      </c>
      <c r="G1879" s="4" t="s">
        <v>25</v>
      </c>
      <c r="H1879" s="4" t="s">
        <v>25</v>
      </c>
      <c r="I1879" s="5">
        <v>44287</v>
      </c>
      <c r="J1879" s="6">
        <v>0</v>
      </c>
      <c r="K1879" s="6">
        <v>0</v>
      </c>
      <c r="L1879" s="6">
        <v>3475.22</v>
      </c>
      <c r="M1879" s="6">
        <v>3475.22</v>
      </c>
      <c r="N1879" s="6">
        <v>3475.22</v>
      </c>
      <c r="O1879" s="6">
        <v>3475.22</v>
      </c>
      <c r="P1879" s="6">
        <v>23023</v>
      </c>
      <c r="Q1879" s="4" t="s">
        <v>26</v>
      </c>
      <c r="R1879" s="4">
        <v>0</v>
      </c>
      <c r="S1879" s="4" t="s">
        <v>301</v>
      </c>
      <c r="T1879" s="4" t="s">
        <v>538</v>
      </c>
      <c r="U1879" s="4">
        <v>0</v>
      </c>
      <c r="V1879" s="4">
        <v>6</v>
      </c>
      <c r="W1879" s="4">
        <v>52</v>
      </c>
    </row>
    <row r="1880" spans="1:23" ht="11.25" customHeight="1" x14ac:dyDescent="0.25">
      <c r="A1880" s="4" t="s">
        <v>27</v>
      </c>
      <c r="B1880" s="4" t="s">
        <v>22</v>
      </c>
      <c r="C1880" s="4" t="s">
        <v>23</v>
      </c>
      <c r="D1880" s="4" t="s">
        <v>24</v>
      </c>
      <c r="E1880" s="4" t="s">
        <v>33</v>
      </c>
      <c r="F1880" s="4" t="s">
        <v>25</v>
      </c>
      <c r="G1880" s="4" t="s">
        <v>25</v>
      </c>
      <c r="H1880" s="4" t="s">
        <v>25</v>
      </c>
      <c r="I1880" s="5">
        <v>44287</v>
      </c>
      <c r="J1880" s="6">
        <v>0</v>
      </c>
      <c r="K1880" s="6">
        <v>0</v>
      </c>
      <c r="L1880" s="6">
        <v>-12.143000000000001</v>
      </c>
      <c r="M1880" s="6">
        <v>-12.143000000000001</v>
      </c>
      <c r="N1880" s="6">
        <v>-12.143000000000001</v>
      </c>
      <c r="O1880" s="6">
        <v>-12.143000000000001</v>
      </c>
      <c r="P1880" s="6">
        <v>0</v>
      </c>
      <c r="Q1880" s="4" t="s">
        <v>26</v>
      </c>
      <c r="R1880" s="4">
        <v>0</v>
      </c>
      <c r="S1880" s="4" t="s">
        <v>301</v>
      </c>
      <c r="T1880" s="4" t="s">
        <v>538</v>
      </c>
      <c r="U1880" s="4">
        <v>0</v>
      </c>
      <c r="V1880" s="4">
        <v>6</v>
      </c>
      <c r="W1880" s="4">
        <v>52</v>
      </c>
    </row>
    <row r="1881" spans="1:23" ht="11.25" customHeight="1" x14ac:dyDescent="0.25">
      <c r="A1881" s="4" t="s">
        <v>28</v>
      </c>
      <c r="B1881" s="4" t="s">
        <v>22</v>
      </c>
      <c r="C1881" s="4" t="s">
        <v>23</v>
      </c>
      <c r="D1881" s="4" t="s">
        <v>24</v>
      </c>
      <c r="E1881" s="4" t="s">
        <v>33</v>
      </c>
      <c r="F1881" s="4" t="s">
        <v>25</v>
      </c>
      <c r="G1881" s="4" t="s">
        <v>25</v>
      </c>
      <c r="H1881" s="4" t="s">
        <v>25</v>
      </c>
      <c r="I1881" s="5">
        <v>44287</v>
      </c>
      <c r="J1881" s="6">
        <v>0</v>
      </c>
      <c r="K1881" s="6">
        <v>0</v>
      </c>
      <c r="L1881" s="6">
        <v>5132.4709999999995</v>
      </c>
      <c r="M1881" s="6">
        <v>5132.4709999999995</v>
      </c>
      <c r="N1881" s="6">
        <v>5132.4709999999995</v>
      </c>
      <c r="O1881" s="6">
        <v>5132.4709999999995</v>
      </c>
      <c r="P1881" s="6">
        <v>47391</v>
      </c>
      <c r="Q1881" s="4" t="s">
        <v>26</v>
      </c>
      <c r="R1881" s="4">
        <v>0</v>
      </c>
      <c r="S1881" s="4" t="s">
        <v>301</v>
      </c>
      <c r="T1881" s="4" t="s">
        <v>538</v>
      </c>
      <c r="U1881" s="4">
        <v>0</v>
      </c>
      <c r="V1881" s="4">
        <v>6</v>
      </c>
      <c r="W1881" s="4">
        <v>52</v>
      </c>
    </row>
    <row r="1882" spans="1:23" ht="11.25" customHeight="1" x14ac:dyDescent="0.25">
      <c r="A1882" s="4" t="s">
        <v>29</v>
      </c>
      <c r="B1882" s="4" t="s">
        <v>22</v>
      </c>
      <c r="C1882" s="4" t="s">
        <v>23</v>
      </c>
      <c r="D1882" s="4" t="s">
        <v>24</v>
      </c>
      <c r="E1882" s="4" t="s">
        <v>33</v>
      </c>
      <c r="F1882" s="4" t="s">
        <v>25</v>
      </c>
      <c r="G1882" s="4" t="s">
        <v>25</v>
      </c>
      <c r="H1882" s="4" t="s">
        <v>25</v>
      </c>
      <c r="I1882" s="5">
        <v>44287</v>
      </c>
      <c r="J1882" s="6">
        <v>0</v>
      </c>
      <c r="K1882" s="6">
        <v>0</v>
      </c>
      <c r="L1882" s="6">
        <v>-19.844000000000001</v>
      </c>
      <c r="M1882" s="6">
        <v>-19.844000000000001</v>
      </c>
      <c r="N1882" s="6">
        <v>-19.844000000000001</v>
      </c>
      <c r="O1882" s="6">
        <v>-19.844000000000001</v>
      </c>
      <c r="P1882" s="6">
        <v>0</v>
      </c>
      <c r="Q1882" s="4" t="s">
        <v>26</v>
      </c>
      <c r="R1882" s="4">
        <v>0</v>
      </c>
      <c r="S1882" s="4" t="s">
        <v>301</v>
      </c>
      <c r="T1882" s="4" t="s">
        <v>538</v>
      </c>
      <c r="U1882" s="4">
        <v>0</v>
      </c>
      <c r="V1882" s="4">
        <v>6</v>
      </c>
      <c r="W1882" s="4">
        <v>52</v>
      </c>
    </row>
    <row r="1883" spans="1:23" ht="11.25" customHeight="1" x14ac:dyDescent="0.25">
      <c r="A1883" s="4" t="s">
        <v>30</v>
      </c>
      <c r="B1883" s="4" t="s">
        <v>22</v>
      </c>
      <c r="C1883" s="4" t="s">
        <v>23</v>
      </c>
      <c r="D1883" s="4" t="s">
        <v>24</v>
      </c>
      <c r="E1883" s="4" t="s">
        <v>33</v>
      </c>
      <c r="F1883" s="4" t="s">
        <v>25</v>
      </c>
      <c r="G1883" s="4" t="s">
        <v>25</v>
      </c>
      <c r="H1883" s="4" t="s">
        <v>25</v>
      </c>
      <c r="I1883" s="5">
        <v>44287</v>
      </c>
      <c r="J1883" s="6">
        <v>0</v>
      </c>
      <c r="K1883" s="6">
        <v>0</v>
      </c>
      <c r="L1883" s="6">
        <v>0.20200000000000001</v>
      </c>
      <c r="M1883" s="6">
        <v>0.20200000000000001</v>
      </c>
      <c r="N1883" s="6">
        <v>0.20200000000000001</v>
      </c>
      <c r="O1883" s="6">
        <v>0.20200000000000001</v>
      </c>
      <c r="P1883" s="6">
        <v>0</v>
      </c>
      <c r="Q1883" s="4" t="s">
        <v>26</v>
      </c>
      <c r="R1883" s="4">
        <v>0</v>
      </c>
      <c r="S1883" s="4" t="s">
        <v>301</v>
      </c>
      <c r="T1883" s="4" t="s">
        <v>538</v>
      </c>
      <c r="U1883" s="4">
        <v>0</v>
      </c>
      <c r="V1883" s="4">
        <v>6</v>
      </c>
      <c r="W1883" s="4">
        <v>52</v>
      </c>
    </row>
    <row r="1884" spans="1:23" ht="11.25" customHeight="1" x14ac:dyDescent="0.25">
      <c r="A1884" s="4" t="s">
        <v>21</v>
      </c>
      <c r="B1884" s="4" t="s">
        <v>22</v>
      </c>
      <c r="C1884" s="4" t="s">
        <v>23</v>
      </c>
      <c r="D1884" s="4" t="s">
        <v>24</v>
      </c>
      <c r="E1884" s="4" t="s">
        <v>33</v>
      </c>
      <c r="F1884" s="4" t="s">
        <v>25</v>
      </c>
      <c r="G1884" s="4" t="s">
        <v>25</v>
      </c>
      <c r="H1884" s="4" t="s">
        <v>25</v>
      </c>
      <c r="I1884" s="5">
        <v>44317</v>
      </c>
      <c r="J1884" s="6">
        <v>0</v>
      </c>
      <c r="K1884" s="6">
        <v>0</v>
      </c>
      <c r="L1884" s="6">
        <v>3425.6179999999999</v>
      </c>
      <c r="M1884" s="6">
        <v>3425.6179999999999</v>
      </c>
      <c r="N1884" s="6">
        <v>3425.6179999999999</v>
      </c>
      <c r="O1884" s="6">
        <v>3425.6179999999999</v>
      </c>
      <c r="P1884" s="6">
        <v>23518</v>
      </c>
      <c r="Q1884" s="4" t="s">
        <v>26</v>
      </c>
      <c r="R1884" s="4">
        <v>0</v>
      </c>
      <c r="S1884" s="4" t="s">
        <v>302</v>
      </c>
      <c r="T1884" s="4" t="s">
        <v>539</v>
      </c>
      <c r="U1884" s="4">
        <v>0</v>
      </c>
      <c r="V1884" s="4">
        <v>6</v>
      </c>
      <c r="W1884" s="4">
        <v>52</v>
      </c>
    </row>
    <row r="1885" spans="1:23" ht="11.25" customHeight="1" x14ac:dyDescent="0.25">
      <c r="A1885" s="4" t="s">
        <v>27</v>
      </c>
      <c r="B1885" s="4" t="s">
        <v>22</v>
      </c>
      <c r="C1885" s="4" t="s">
        <v>23</v>
      </c>
      <c r="D1885" s="4" t="s">
        <v>24</v>
      </c>
      <c r="E1885" s="4" t="s">
        <v>33</v>
      </c>
      <c r="F1885" s="4" t="s">
        <v>25</v>
      </c>
      <c r="G1885" s="4" t="s">
        <v>25</v>
      </c>
      <c r="H1885" s="4" t="s">
        <v>25</v>
      </c>
      <c r="I1885" s="5">
        <v>44317</v>
      </c>
      <c r="J1885" s="6">
        <v>0</v>
      </c>
      <c r="K1885" s="6">
        <v>0</v>
      </c>
      <c r="L1885" s="6">
        <v>-7.1070000000000002</v>
      </c>
      <c r="M1885" s="6">
        <v>-7.1070000000000002</v>
      </c>
      <c r="N1885" s="6">
        <v>-7.1070000000000002</v>
      </c>
      <c r="O1885" s="6">
        <v>-7.1070000000000002</v>
      </c>
      <c r="P1885" s="6">
        <v>0</v>
      </c>
      <c r="Q1885" s="4" t="s">
        <v>26</v>
      </c>
      <c r="R1885" s="4">
        <v>0</v>
      </c>
      <c r="S1885" s="4" t="s">
        <v>302</v>
      </c>
      <c r="T1885" s="4" t="s">
        <v>539</v>
      </c>
      <c r="U1885" s="4">
        <v>0</v>
      </c>
      <c r="V1885" s="4">
        <v>6</v>
      </c>
      <c r="W1885" s="4">
        <v>52</v>
      </c>
    </row>
    <row r="1886" spans="1:23" ht="11.25" customHeight="1" x14ac:dyDescent="0.25">
      <c r="A1886" s="4" t="s">
        <v>28</v>
      </c>
      <c r="B1886" s="4" t="s">
        <v>22</v>
      </c>
      <c r="C1886" s="4" t="s">
        <v>23</v>
      </c>
      <c r="D1886" s="4" t="s">
        <v>24</v>
      </c>
      <c r="E1886" s="4" t="s">
        <v>33</v>
      </c>
      <c r="F1886" s="4" t="s">
        <v>25</v>
      </c>
      <c r="G1886" s="4" t="s">
        <v>25</v>
      </c>
      <c r="H1886" s="4" t="s">
        <v>25</v>
      </c>
      <c r="I1886" s="5">
        <v>44317</v>
      </c>
      <c r="J1886" s="6">
        <v>0</v>
      </c>
      <c r="K1886" s="6">
        <v>0</v>
      </c>
      <c r="L1886" s="6">
        <v>5090.8789999999999</v>
      </c>
      <c r="M1886" s="6">
        <v>5090.8789999999999</v>
      </c>
      <c r="N1886" s="6">
        <v>5090.8789999999999</v>
      </c>
      <c r="O1886" s="6">
        <v>5090.8789999999999</v>
      </c>
      <c r="P1886" s="6">
        <v>47544</v>
      </c>
      <c r="Q1886" s="4" t="s">
        <v>26</v>
      </c>
      <c r="R1886" s="4">
        <v>0</v>
      </c>
      <c r="S1886" s="4" t="s">
        <v>302</v>
      </c>
      <c r="T1886" s="4" t="s">
        <v>539</v>
      </c>
      <c r="U1886" s="4">
        <v>0</v>
      </c>
      <c r="V1886" s="4">
        <v>6</v>
      </c>
      <c r="W1886" s="4">
        <v>52</v>
      </c>
    </row>
    <row r="1887" spans="1:23" ht="11.25" customHeight="1" x14ac:dyDescent="0.25">
      <c r="A1887" s="4" t="s">
        <v>29</v>
      </c>
      <c r="B1887" s="4" t="s">
        <v>22</v>
      </c>
      <c r="C1887" s="4" t="s">
        <v>23</v>
      </c>
      <c r="D1887" s="4" t="s">
        <v>24</v>
      </c>
      <c r="E1887" s="4" t="s">
        <v>33</v>
      </c>
      <c r="F1887" s="4" t="s">
        <v>25</v>
      </c>
      <c r="G1887" s="4" t="s">
        <v>25</v>
      </c>
      <c r="H1887" s="4" t="s">
        <v>25</v>
      </c>
      <c r="I1887" s="5">
        <v>44317</v>
      </c>
      <c r="J1887" s="6">
        <v>0</v>
      </c>
      <c r="K1887" s="6">
        <v>0</v>
      </c>
      <c r="L1887" s="6">
        <v>-18.498000000000001</v>
      </c>
      <c r="M1887" s="6">
        <v>-18.498000000000001</v>
      </c>
      <c r="N1887" s="6">
        <v>-18.498000000000001</v>
      </c>
      <c r="O1887" s="6">
        <v>-18.498000000000001</v>
      </c>
      <c r="P1887" s="6">
        <v>0</v>
      </c>
      <c r="Q1887" s="4" t="s">
        <v>26</v>
      </c>
      <c r="R1887" s="4">
        <v>0</v>
      </c>
      <c r="S1887" s="4" t="s">
        <v>302</v>
      </c>
      <c r="T1887" s="4" t="s">
        <v>539</v>
      </c>
      <c r="U1887" s="4">
        <v>0</v>
      </c>
      <c r="V1887" s="4">
        <v>6</v>
      </c>
      <c r="W1887" s="4">
        <v>52</v>
      </c>
    </row>
    <row r="1888" spans="1:23" ht="11.25" customHeight="1" x14ac:dyDescent="0.25">
      <c r="A1888" s="4" t="s">
        <v>30</v>
      </c>
      <c r="B1888" s="4" t="s">
        <v>22</v>
      </c>
      <c r="C1888" s="4" t="s">
        <v>23</v>
      </c>
      <c r="D1888" s="4" t="s">
        <v>24</v>
      </c>
      <c r="E1888" s="4" t="s">
        <v>33</v>
      </c>
      <c r="F1888" s="4" t="s">
        <v>25</v>
      </c>
      <c r="G1888" s="4" t="s">
        <v>25</v>
      </c>
      <c r="H1888" s="4" t="s">
        <v>25</v>
      </c>
      <c r="I1888" s="5">
        <v>44317</v>
      </c>
      <c r="J1888" s="6">
        <v>0</v>
      </c>
      <c r="K1888" s="6">
        <v>0</v>
      </c>
      <c r="L1888" s="6">
        <v>0.36</v>
      </c>
      <c r="M1888" s="6">
        <v>0.36</v>
      </c>
      <c r="N1888" s="6">
        <v>0.36</v>
      </c>
      <c r="O1888" s="6">
        <v>0.36</v>
      </c>
      <c r="P1888" s="6">
        <v>0</v>
      </c>
      <c r="Q1888" s="4" t="s">
        <v>26</v>
      </c>
      <c r="R1888" s="4">
        <v>0</v>
      </c>
      <c r="S1888" s="4" t="s">
        <v>302</v>
      </c>
      <c r="T1888" s="4" t="s">
        <v>539</v>
      </c>
      <c r="U1888" s="4">
        <v>0</v>
      </c>
      <c r="V1888" s="4">
        <v>6</v>
      </c>
      <c r="W1888" s="4">
        <v>52</v>
      </c>
    </row>
    <row r="1889" spans="1:23" ht="11.25" customHeight="1" x14ac:dyDescent="0.25">
      <c r="A1889" s="4" t="s">
        <v>30</v>
      </c>
      <c r="B1889" s="4" t="s">
        <v>22</v>
      </c>
      <c r="C1889" s="4" t="s">
        <v>23</v>
      </c>
      <c r="D1889" s="4" t="s">
        <v>24</v>
      </c>
      <c r="E1889" s="4" t="s">
        <v>33</v>
      </c>
      <c r="F1889" s="4" t="s">
        <v>25</v>
      </c>
      <c r="G1889" s="4" t="s">
        <v>25</v>
      </c>
      <c r="H1889" s="4" t="s">
        <v>25</v>
      </c>
      <c r="I1889" s="5">
        <v>44317</v>
      </c>
      <c r="J1889" s="6">
        <v>0</v>
      </c>
      <c r="K1889" s="6">
        <v>0</v>
      </c>
      <c r="L1889" s="6">
        <v>-8.2000000000000003E-2</v>
      </c>
      <c r="M1889" s="6">
        <v>-8.2000000000000003E-2</v>
      </c>
      <c r="N1889" s="6">
        <v>-8.2000000000000003E-2</v>
      </c>
      <c r="O1889" s="6">
        <v>-8.2000000000000003E-2</v>
      </c>
      <c r="P1889" s="6">
        <v>0</v>
      </c>
      <c r="Q1889" s="4" t="s">
        <v>26</v>
      </c>
      <c r="R1889" s="4">
        <v>0</v>
      </c>
      <c r="S1889" s="4" t="s">
        <v>302</v>
      </c>
      <c r="T1889" s="4" t="s">
        <v>539</v>
      </c>
      <c r="U1889" s="4">
        <v>0</v>
      </c>
      <c r="V1889" s="4">
        <v>6</v>
      </c>
      <c r="W1889" s="4">
        <v>52</v>
      </c>
    </row>
    <row r="1890" spans="1:23" ht="11.25" customHeight="1" x14ac:dyDescent="0.25">
      <c r="A1890" s="4" t="s">
        <v>21</v>
      </c>
      <c r="B1890" s="4" t="s">
        <v>22</v>
      </c>
      <c r="C1890" s="4" t="s">
        <v>23</v>
      </c>
      <c r="D1890" s="4" t="s">
        <v>24</v>
      </c>
      <c r="E1890" s="4" t="s">
        <v>33</v>
      </c>
      <c r="F1890" s="4" t="s">
        <v>25</v>
      </c>
      <c r="G1890" s="4" t="s">
        <v>25</v>
      </c>
      <c r="H1890" s="4" t="s">
        <v>25</v>
      </c>
      <c r="I1890" s="5">
        <v>44348</v>
      </c>
      <c r="J1890" s="6">
        <v>0</v>
      </c>
      <c r="K1890" s="6">
        <v>0</v>
      </c>
      <c r="L1890" s="6">
        <v>3776.489</v>
      </c>
      <c r="M1890" s="6">
        <v>3776.489</v>
      </c>
      <c r="N1890" s="6">
        <v>3776.489</v>
      </c>
      <c r="O1890" s="6">
        <v>3776.489</v>
      </c>
      <c r="P1890" s="6">
        <v>22898</v>
      </c>
      <c r="Q1890" s="4" t="s">
        <v>26</v>
      </c>
      <c r="R1890" s="4">
        <v>0</v>
      </c>
      <c r="S1890" s="4" t="s">
        <v>303</v>
      </c>
      <c r="T1890" s="4" t="s">
        <v>540</v>
      </c>
      <c r="U1890" s="4">
        <v>0</v>
      </c>
      <c r="V1890" s="4">
        <v>6</v>
      </c>
      <c r="W1890" s="4">
        <v>52</v>
      </c>
    </row>
    <row r="1891" spans="1:23" ht="11.25" customHeight="1" x14ac:dyDescent="0.25">
      <c r="A1891" s="4" t="s">
        <v>27</v>
      </c>
      <c r="B1891" s="4" t="s">
        <v>22</v>
      </c>
      <c r="C1891" s="4" t="s">
        <v>23</v>
      </c>
      <c r="D1891" s="4" t="s">
        <v>24</v>
      </c>
      <c r="E1891" s="4" t="s">
        <v>33</v>
      </c>
      <c r="F1891" s="4" t="s">
        <v>25</v>
      </c>
      <c r="G1891" s="4" t="s">
        <v>25</v>
      </c>
      <c r="H1891" s="4" t="s">
        <v>25</v>
      </c>
      <c r="I1891" s="5">
        <v>44348</v>
      </c>
      <c r="J1891" s="6">
        <v>0</v>
      </c>
      <c r="K1891" s="6">
        <v>0</v>
      </c>
      <c r="L1891" s="6">
        <v>-10.093</v>
      </c>
      <c r="M1891" s="6">
        <v>-10.093</v>
      </c>
      <c r="N1891" s="6">
        <v>-10.093</v>
      </c>
      <c r="O1891" s="6">
        <v>-10.093</v>
      </c>
      <c r="P1891" s="6">
        <v>0</v>
      </c>
      <c r="Q1891" s="4" t="s">
        <v>26</v>
      </c>
      <c r="R1891" s="4">
        <v>0</v>
      </c>
      <c r="S1891" s="4" t="s">
        <v>303</v>
      </c>
      <c r="T1891" s="4" t="s">
        <v>540</v>
      </c>
      <c r="U1891" s="4">
        <v>0</v>
      </c>
      <c r="V1891" s="4">
        <v>6</v>
      </c>
      <c r="W1891" s="4">
        <v>52</v>
      </c>
    </row>
    <row r="1892" spans="1:23" ht="11.25" customHeight="1" x14ac:dyDescent="0.25">
      <c r="A1892" s="4" t="s">
        <v>28</v>
      </c>
      <c r="B1892" s="4" t="s">
        <v>22</v>
      </c>
      <c r="C1892" s="4" t="s">
        <v>23</v>
      </c>
      <c r="D1892" s="4" t="s">
        <v>24</v>
      </c>
      <c r="E1892" s="4" t="s">
        <v>33</v>
      </c>
      <c r="F1892" s="4" t="s">
        <v>25</v>
      </c>
      <c r="G1892" s="4" t="s">
        <v>25</v>
      </c>
      <c r="H1892" s="4" t="s">
        <v>25</v>
      </c>
      <c r="I1892" s="5">
        <v>44348</v>
      </c>
      <c r="J1892" s="6">
        <v>0</v>
      </c>
      <c r="K1892" s="6">
        <v>0</v>
      </c>
      <c r="L1892" s="6">
        <v>5385.8019999999997</v>
      </c>
      <c r="M1892" s="6">
        <v>5385.8019999999997</v>
      </c>
      <c r="N1892" s="6">
        <v>5385.8019999999997</v>
      </c>
      <c r="O1892" s="6">
        <v>5385.8019999999997</v>
      </c>
      <c r="P1892" s="6">
        <v>47978</v>
      </c>
      <c r="Q1892" s="4" t="s">
        <v>26</v>
      </c>
      <c r="R1892" s="4">
        <v>0</v>
      </c>
      <c r="S1892" s="4" t="s">
        <v>303</v>
      </c>
      <c r="T1892" s="4" t="s">
        <v>540</v>
      </c>
      <c r="U1892" s="4">
        <v>0</v>
      </c>
      <c r="V1892" s="4">
        <v>6</v>
      </c>
      <c r="W1892" s="4">
        <v>52</v>
      </c>
    </row>
    <row r="1893" spans="1:23" ht="11.25" customHeight="1" x14ac:dyDescent="0.25">
      <c r="A1893" s="4" t="s">
        <v>29</v>
      </c>
      <c r="B1893" s="4" t="s">
        <v>22</v>
      </c>
      <c r="C1893" s="4" t="s">
        <v>23</v>
      </c>
      <c r="D1893" s="4" t="s">
        <v>24</v>
      </c>
      <c r="E1893" s="4" t="s">
        <v>33</v>
      </c>
      <c r="F1893" s="4" t="s">
        <v>25</v>
      </c>
      <c r="G1893" s="4" t="s">
        <v>25</v>
      </c>
      <c r="H1893" s="4" t="s">
        <v>25</v>
      </c>
      <c r="I1893" s="5">
        <v>44348</v>
      </c>
      <c r="J1893" s="6">
        <v>0</v>
      </c>
      <c r="K1893" s="6">
        <v>0</v>
      </c>
      <c r="L1893" s="6">
        <v>-13.67</v>
      </c>
      <c r="M1893" s="6">
        <v>-13.67</v>
      </c>
      <c r="N1893" s="6">
        <v>-13.67</v>
      </c>
      <c r="O1893" s="6">
        <v>-13.67</v>
      </c>
      <c r="P1893" s="6">
        <v>0</v>
      </c>
      <c r="Q1893" s="4" t="s">
        <v>26</v>
      </c>
      <c r="R1893" s="4">
        <v>0</v>
      </c>
      <c r="S1893" s="4" t="s">
        <v>303</v>
      </c>
      <c r="T1893" s="4" t="s">
        <v>540</v>
      </c>
      <c r="U1893" s="4">
        <v>0</v>
      </c>
      <c r="V1893" s="4">
        <v>6</v>
      </c>
      <c r="W1893" s="4">
        <v>52</v>
      </c>
    </row>
    <row r="1894" spans="1:23" ht="11.25" customHeight="1" x14ac:dyDescent="0.25">
      <c r="A1894" s="4" t="s">
        <v>30</v>
      </c>
      <c r="B1894" s="4" t="s">
        <v>22</v>
      </c>
      <c r="C1894" s="4" t="s">
        <v>23</v>
      </c>
      <c r="D1894" s="4" t="s">
        <v>24</v>
      </c>
      <c r="E1894" s="4" t="s">
        <v>33</v>
      </c>
      <c r="F1894" s="4" t="s">
        <v>25</v>
      </c>
      <c r="G1894" s="4" t="s">
        <v>25</v>
      </c>
      <c r="H1894" s="4" t="s">
        <v>25</v>
      </c>
      <c r="I1894" s="5">
        <v>44348</v>
      </c>
      <c r="J1894" s="6">
        <v>0</v>
      </c>
      <c r="K1894" s="6">
        <v>0</v>
      </c>
      <c r="L1894" s="6">
        <v>0.48</v>
      </c>
      <c r="M1894" s="6">
        <v>0.48</v>
      </c>
      <c r="N1894" s="6">
        <v>0.48</v>
      </c>
      <c r="O1894" s="6">
        <v>0.48</v>
      </c>
      <c r="P1894" s="6">
        <v>0</v>
      </c>
      <c r="Q1894" s="4" t="s">
        <v>26</v>
      </c>
      <c r="R1894" s="4">
        <v>0</v>
      </c>
      <c r="S1894" s="4" t="s">
        <v>303</v>
      </c>
      <c r="T1894" s="4" t="s">
        <v>540</v>
      </c>
      <c r="U1894" s="4">
        <v>0</v>
      </c>
      <c r="V1894" s="4">
        <v>6</v>
      </c>
      <c r="W1894" s="4">
        <v>52</v>
      </c>
    </row>
    <row r="1895" spans="1:23" ht="11.25" customHeight="1" x14ac:dyDescent="0.25">
      <c r="A1895" s="4" t="s">
        <v>21</v>
      </c>
      <c r="B1895" s="4" t="s">
        <v>22</v>
      </c>
      <c r="C1895" s="4" t="s">
        <v>23</v>
      </c>
      <c r="D1895" s="4" t="s">
        <v>24</v>
      </c>
      <c r="E1895" s="4" t="s">
        <v>33</v>
      </c>
      <c r="F1895" s="4" t="s">
        <v>25</v>
      </c>
      <c r="G1895" s="4" t="s">
        <v>25</v>
      </c>
      <c r="H1895" s="4" t="s">
        <v>25</v>
      </c>
      <c r="I1895" s="5">
        <v>44378</v>
      </c>
      <c r="J1895" s="6">
        <v>0</v>
      </c>
      <c r="K1895" s="6">
        <v>0</v>
      </c>
      <c r="L1895" s="6">
        <v>3521.1669999999999</v>
      </c>
      <c r="M1895" s="6">
        <v>3521.1669999999999</v>
      </c>
      <c r="N1895" s="6">
        <v>3521.1669999999999</v>
      </c>
      <c r="O1895" s="6">
        <v>3521.1669999999999</v>
      </c>
      <c r="P1895" s="6">
        <v>23479</v>
      </c>
      <c r="Q1895" s="4" t="s">
        <v>26</v>
      </c>
      <c r="R1895" s="4">
        <v>0</v>
      </c>
      <c r="S1895" s="4" t="s">
        <v>304</v>
      </c>
      <c r="T1895" s="4" t="s">
        <v>541</v>
      </c>
      <c r="U1895" s="4">
        <v>0</v>
      </c>
      <c r="V1895" s="4">
        <v>6</v>
      </c>
      <c r="W1895" s="4">
        <v>52</v>
      </c>
    </row>
    <row r="1896" spans="1:23" ht="11.25" customHeight="1" x14ac:dyDescent="0.25">
      <c r="A1896" s="4" t="s">
        <v>27</v>
      </c>
      <c r="B1896" s="4" t="s">
        <v>22</v>
      </c>
      <c r="C1896" s="4" t="s">
        <v>23</v>
      </c>
      <c r="D1896" s="4" t="s">
        <v>24</v>
      </c>
      <c r="E1896" s="4" t="s">
        <v>33</v>
      </c>
      <c r="F1896" s="4" t="s">
        <v>25</v>
      </c>
      <c r="G1896" s="4" t="s">
        <v>25</v>
      </c>
      <c r="H1896" s="4" t="s">
        <v>25</v>
      </c>
      <c r="I1896" s="5">
        <v>44378</v>
      </c>
      <c r="J1896" s="6">
        <v>0</v>
      </c>
      <c r="K1896" s="6">
        <v>0</v>
      </c>
      <c r="L1896" s="6">
        <v>-21.87</v>
      </c>
      <c r="M1896" s="6">
        <v>-21.87</v>
      </c>
      <c r="N1896" s="6">
        <v>-21.87</v>
      </c>
      <c r="O1896" s="6">
        <v>-21.87</v>
      </c>
      <c r="P1896" s="6">
        <v>0</v>
      </c>
      <c r="Q1896" s="4" t="s">
        <v>26</v>
      </c>
      <c r="R1896" s="4">
        <v>0</v>
      </c>
      <c r="S1896" s="4" t="s">
        <v>304</v>
      </c>
      <c r="T1896" s="4" t="s">
        <v>541</v>
      </c>
      <c r="U1896" s="4">
        <v>0</v>
      </c>
      <c r="V1896" s="4">
        <v>6</v>
      </c>
      <c r="W1896" s="4">
        <v>52</v>
      </c>
    </row>
    <row r="1897" spans="1:23" ht="11.25" customHeight="1" x14ac:dyDescent="0.25">
      <c r="A1897" s="4" t="s">
        <v>28</v>
      </c>
      <c r="B1897" s="4" t="s">
        <v>22</v>
      </c>
      <c r="C1897" s="4" t="s">
        <v>23</v>
      </c>
      <c r="D1897" s="4" t="s">
        <v>24</v>
      </c>
      <c r="E1897" s="4" t="s">
        <v>33</v>
      </c>
      <c r="F1897" s="4" t="s">
        <v>25</v>
      </c>
      <c r="G1897" s="4" t="s">
        <v>25</v>
      </c>
      <c r="H1897" s="4" t="s">
        <v>25</v>
      </c>
      <c r="I1897" s="5">
        <v>44378</v>
      </c>
      <c r="J1897" s="6">
        <v>0</v>
      </c>
      <c r="K1897" s="6">
        <v>0</v>
      </c>
      <c r="L1897" s="6">
        <v>4833.4799999999996</v>
      </c>
      <c r="M1897" s="6">
        <v>4833.4799999999996</v>
      </c>
      <c r="N1897" s="6">
        <v>4833.4799999999996</v>
      </c>
      <c r="O1897" s="6">
        <v>4833.4799999999996</v>
      </c>
      <c r="P1897" s="6">
        <v>47063</v>
      </c>
      <c r="Q1897" s="4" t="s">
        <v>26</v>
      </c>
      <c r="R1897" s="4">
        <v>0</v>
      </c>
      <c r="S1897" s="4" t="s">
        <v>304</v>
      </c>
      <c r="T1897" s="4" t="s">
        <v>541</v>
      </c>
      <c r="U1897" s="4">
        <v>0</v>
      </c>
      <c r="V1897" s="4">
        <v>6</v>
      </c>
      <c r="W1897" s="4">
        <v>52</v>
      </c>
    </row>
    <row r="1898" spans="1:23" ht="11.25" customHeight="1" x14ac:dyDescent="0.25">
      <c r="A1898" s="4" t="s">
        <v>29</v>
      </c>
      <c r="B1898" s="4" t="s">
        <v>22</v>
      </c>
      <c r="C1898" s="4" t="s">
        <v>23</v>
      </c>
      <c r="D1898" s="4" t="s">
        <v>24</v>
      </c>
      <c r="E1898" s="4" t="s">
        <v>33</v>
      </c>
      <c r="F1898" s="4" t="s">
        <v>25</v>
      </c>
      <c r="G1898" s="4" t="s">
        <v>25</v>
      </c>
      <c r="H1898" s="4" t="s">
        <v>25</v>
      </c>
      <c r="I1898" s="5">
        <v>44378</v>
      </c>
      <c r="J1898" s="6">
        <v>0</v>
      </c>
      <c r="K1898" s="6">
        <v>0</v>
      </c>
      <c r="L1898" s="6">
        <v>-14.898</v>
      </c>
      <c r="M1898" s="6">
        <v>-14.898</v>
      </c>
      <c r="N1898" s="6">
        <v>-14.898</v>
      </c>
      <c r="O1898" s="6">
        <v>-14.898</v>
      </c>
      <c r="P1898" s="6">
        <v>0</v>
      </c>
      <c r="Q1898" s="4" t="s">
        <v>26</v>
      </c>
      <c r="R1898" s="4">
        <v>0</v>
      </c>
      <c r="S1898" s="4" t="s">
        <v>304</v>
      </c>
      <c r="T1898" s="4" t="s">
        <v>541</v>
      </c>
      <c r="U1898" s="4">
        <v>0</v>
      </c>
      <c r="V1898" s="4">
        <v>6</v>
      </c>
      <c r="W1898" s="4">
        <v>52</v>
      </c>
    </row>
    <row r="1899" spans="1:23" ht="11.25" customHeight="1" x14ac:dyDescent="0.25">
      <c r="A1899" s="4" t="s">
        <v>30</v>
      </c>
      <c r="B1899" s="4" t="s">
        <v>22</v>
      </c>
      <c r="C1899" s="4" t="s">
        <v>23</v>
      </c>
      <c r="D1899" s="4" t="s">
        <v>24</v>
      </c>
      <c r="E1899" s="4" t="s">
        <v>33</v>
      </c>
      <c r="F1899" s="4" t="s">
        <v>25</v>
      </c>
      <c r="G1899" s="4" t="s">
        <v>25</v>
      </c>
      <c r="H1899" s="4" t="s">
        <v>25</v>
      </c>
      <c r="I1899" s="5">
        <v>44378</v>
      </c>
      <c r="J1899" s="6">
        <v>0</v>
      </c>
      <c r="K1899" s="6">
        <v>0</v>
      </c>
      <c r="L1899" s="6">
        <v>0.44900000000000001</v>
      </c>
      <c r="M1899" s="6">
        <v>0.44900000000000001</v>
      </c>
      <c r="N1899" s="6">
        <v>0.44900000000000001</v>
      </c>
      <c r="O1899" s="6">
        <v>0.44900000000000001</v>
      </c>
      <c r="P1899" s="6">
        <v>0</v>
      </c>
      <c r="Q1899" s="4" t="s">
        <v>26</v>
      </c>
      <c r="R1899" s="4">
        <v>0</v>
      </c>
      <c r="S1899" s="4" t="s">
        <v>304</v>
      </c>
      <c r="T1899" s="4" t="s">
        <v>541</v>
      </c>
      <c r="U1899" s="4">
        <v>0</v>
      </c>
      <c r="V1899" s="4">
        <v>6</v>
      </c>
      <c r="W1899" s="4">
        <v>52</v>
      </c>
    </row>
    <row r="1900" spans="1:23" ht="11.25" customHeight="1" x14ac:dyDescent="0.25">
      <c r="A1900" s="4" t="s">
        <v>21</v>
      </c>
      <c r="B1900" s="4" t="s">
        <v>22</v>
      </c>
      <c r="C1900" s="4" t="s">
        <v>23</v>
      </c>
      <c r="D1900" s="4" t="s">
        <v>24</v>
      </c>
      <c r="E1900" s="4" t="s">
        <v>33</v>
      </c>
      <c r="F1900" s="4" t="s">
        <v>25</v>
      </c>
      <c r="G1900" s="4" t="s">
        <v>25</v>
      </c>
      <c r="H1900" s="4" t="s">
        <v>25</v>
      </c>
      <c r="I1900" s="5">
        <v>44409</v>
      </c>
      <c r="J1900" s="6">
        <v>0</v>
      </c>
      <c r="K1900" s="6">
        <v>0</v>
      </c>
      <c r="L1900" s="6">
        <v>3850.3139999999999</v>
      </c>
      <c r="M1900" s="6">
        <v>3850.3139999999999</v>
      </c>
      <c r="N1900" s="6">
        <v>3850.3139999999999</v>
      </c>
      <c r="O1900" s="6">
        <v>3850.3139999999999</v>
      </c>
      <c r="P1900" s="6">
        <v>22755</v>
      </c>
      <c r="Q1900" s="4" t="s">
        <v>26</v>
      </c>
      <c r="R1900" s="4">
        <v>0</v>
      </c>
      <c r="S1900" s="4" t="s">
        <v>305</v>
      </c>
      <c r="T1900" s="4" t="s">
        <v>542</v>
      </c>
      <c r="U1900" s="4">
        <v>0</v>
      </c>
      <c r="V1900" s="4">
        <v>6</v>
      </c>
      <c r="W1900" s="4">
        <v>52</v>
      </c>
    </row>
    <row r="1901" spans="1:23" ht="11.25" customHeight="1" x14ac:dyDescent="0.25">
      <c r="A1901" s="4" t="s">
        <v>27</v>
      </c>
      <c r="B1901" s="4" t="s">
        <v>22</v>
      </c>
      <c r="C1901" s="4" t="s">
        <v>23</v>
      </c>
      <c r="D1901" s="4" t="s">
        <v>24</v>
      </c>
      <c r="E1901" s="4" t="s">
        <v>33</v>
      </c>
      <c r="F1901" s="4" t="s">
        <v>25</v>
      </c>
      <c r="G1901" s="4" t="s">
        <v>25</v>
      </c>
      <c r="H1901" s="4" t="s">
        <v>25</v>
      </c>
      <c r="I1901" s="5">
        <v>44409</v>
      </c>
      <c r="J1901" s="6">
        <v>0</v>
      </c>
      <c r="K1901" s="6">
        <v>0</v>
      </c>
      <c r="L1901" s="6">
        <v>-22.31</v>
      </c>
      <c r="M1901" s="6">
        <v>-22.31</v>
      </c>
      <c r="N1901" s="6">
        <v>-22.31</v>
      </c>
      <c r="O1901" s="6">
        <v>-22.31</v>
      </c>
      <c r="P1901" s="6">
        <v>0</v>
      </c>
      <c r="Q1901" s="4" t="s">
        <v>26</v>
      </c>
      <c r="R1901" s="4">
        <v>0</v>
      </c>
      <c r="S1901" s="4" t="s">
        <v>305</v>
      </c>
      <c r="T1901" s="4" t="s">
        <v>542</v>
      </c>
      <c r="U1901" s="4">
        <v>0</v>
      </c>
      <c r="V1901" s="4">
        <v>6</v>
      </c>
      <c r="W1901" s="4">
        <v>52</v>
      </c>
    </row>
    <row r="1902" spans="1:23" ht="11.25" customHeight="1" x14ac:dyDescent="0.25">
      <c r="A1902" s="4" t="s">
        <v>28</v>
      </c>
      <c r="B1902" s="4" t="s">
        <v>22</v>
      </c>
      <c r="C1902" s="4" t="s">
        <v>23</v>
      </c>
      <c r="D1902" s="4" t="s">
        <v>24</v>
      </c>
      <c r="E1902" s="4" t="s">
        <v>33</v>
      </c>
      <c r="F1902" s="4" t="s">
        <v>25</v>
      </c>
      <c r="G1902" s="4" t="s">
        <v>25</v>
      </c>
      <c r="H1902" s="4" t="s">
        <v>25</v>
      </c>
      <c r="I1902" s="5">
        <v>44409</v>
      </c>
      <c r="J1902" s="6">
        <v>0</v>
      </c>
      <c r="K1902" s="6">
        <v>0</v>
      </c>
      <c r="L1902" s="6">
        <v>5247.9040000000005</v>
      </c>
      <c r="M1902" s="6">
        <v>5247.9040000000005</v>
      </c>
      <c r="N1902" s="6">
        <v>5247.9040000000005</v>
      </c>
      <c r="O1902" s="6">
        <v>5247.9040000000005</v>
      </c>
      <c r="P1902" s="6">
        <v>47418</v>
      </c>
      <c r="Q1902" s="4" t="s">
        <v>26</v>
      </c>
      <c r="R1902" s="4">
        <v>0</v>
      </c>
      <c r="S1902" s="4" t="s">
        <v>305</v>
      </c>
      <c r="T1902" s="4" t="s">
        <v>542</v>
      </c>
      <c r="U1902" s="4">
        <v>0</v>
      </c>
      <c r="V1902" s="4">
        <v>6</v>
      </c>
      <c r="W1902" s="4">
        <v>52</v>
      </c>
    </row>
    <row r="1903" spans="1:23" ht="11.25" customHeight="1" x14ac:dyDescent="0.25">
      <c r="A1903" s="4" t="s">
        <v>29</v>
      </c>
      <c r="B1903" s="4" t="s">
        <v>22</v>
      </c>
      <c r="C1903" s="4" t="s">
        <v>23</v>
      </c>
      <c r="D1903" s="4" t="s">
        <v>24</v>
      </c>
      <c r="E1903" s="4" t="s">
        <v>33</v>
      </c>
      <c r="F1903" s="4" t="s">
        <v>25</v>
      </c>
      <c r="G1903" s="4" t="s">
        <v>25</v>
      </c>
      <c r="H1903" s="4" t="s">
        <v>25</v>
      </c>
      <c r="I1903" s="5">
        <v>44409</v>
      </c>
      <c r="J1903" s="6">
        <v>0</v>
      </c>
      <c r="K1903" s="6">
        <v>0</v>
      </c>
      <c r="L1903" s="6">
        <v>-13.375</v>
      </c>
      <c r="M1903" s="6">
        <v>-13.375</v>
      </c>
      <c r="N1903" s="6">
        <v>-13.375</v>
      </c>
      <c r="O1903" s="6">
        <v>-13.375</v>
      </c>
      <c r="P1903" s="6">
        <v>0</v>
      </c>
      <c r="Q1903" s="4" t="s">
        <v>26</v>
      </c>
      <c r="R1903" s="4">
        <v>0</v>
      </c>
      <c r="S1903" s="4" t="s">
        <v>305</v>
      </c>
      <c r="T1903" s="4" t="s">
        <v>542</v>
      </c>
      <c r="U1903" s="4">
        <v>0</v>
      </c>
      <c r="V1903" s="4">
        <v>6</v>
      </c>
      <c r="W1903" s="4">
        <v>52</v>
      </c>
    </row>
    <row r="1904" spans="1:23" ht="11.25" customHeight="1" x14ac:dyDescent="0.25">
      <c r="A1904" s="4" t="s">
        <v>30</v>
      </c>
      <c r="B1904" s="4" t="s">
        <v>22</v>
      </c>
      <c r="C1904" s="4" t="s">
        <v>23</v>
      </c>
      <c r="D1904" s="4" t="s">
        <v>24</v>
      </c>
      <c r="E1904" s="4" t="s">
        <v>33</v>
      </c>
      <c r="F1904" s="4" t="s">
        <v>25</v>
      </c>
      <c r="G1904" s="4" t="s">
        <v>25</v>
      </c>
      <c r="H1904" s="4" t="s">
        <v>25</v>
      </c>
      <c r="I1904" s="5">
        <v>44409</v>
      </c>
      <c r="J1904" s="6">
        <v>0</v>
      </c>
      <c r="K1904" s="6">
        <v>0</v>
      </c>
      <c r="L1904" s="6">
        <v>0.52200000000000002</v>
      </c>
      <c r="M1904" s="6">
        <v>0.52200000000000002</v>
      </c>
      <c r="N1904" s="6">
        <v>0.52200000000000002</v>
      </c>
      <c r="O1904" s="6">
        <v>0.52200000000000002</v>
      </c>
      <c r="P1904" s="6">
        <v>0</v>
      </c>
      <c r="Q1904" s="4" t="s">
        <v>26</v>
      </c>
      <c r="R1904" s="4">
        <v>0</v>
      </c>
      <c r="S1904" s="4" t="s">
        <v>305</v>
      </c>
      <c r="T1904" s="4" t="s">
        <v>542</v>
      </c>
      <c r="U1904" s="4">
        <v>0</v>
      </c>
      <c r="V1904" s="4">
        <v>6</v>
      </c>
      <c r="W1904" s="4">
        <v>52</v>
      </c>
    </row>
    <row r="1905" spans="1:23" ht="11.25" customHeight="1" x14ac:dyDescent="0.25">
      <c r="A1905" s="4" t="s">
        <v>21</v>
      </c>
      <c r="B1905" s="4" t="s">
        <v>22</v>
      </c>
      <c r="C1905" s="4" t="s">
        <v>23</v>
      </c>
      <c r="D1905" s="4" t="s">
        <v>24</v>
      </c>
      <c r="E1905" s="4" t="s">
        <v>33</v>
      </c>
      <c r="F1905" s="4" t="s">
        <v>25</v>
      </c>
      <c r="G1905" s="4" t="s">
        <v>25</v>
      </c>
      <c r="H1905" s="4" t="s">
        <v>25</v>
      </c>
      <c r="I1905" s="5">
        <v>44440</v>
      </c>
      <c r="J1905" s="6">
        <v>0</v>
      </c>
      <c r="K1905" s="6">
        <v>0</v>
      </c>
      <c r="L1905" s="6">
        <v>3905.8760000000002</v>
      </c>
      <c r="M1905" s="6">
        <v>3905.8760000000002</v>
      </c>
      <c r="N1905" s="6">
        <v>3905.8760000000002</v>
      </c>
      <c r="O1905" s="6">
        <v>3905.8760000000002</v>
      </c>
      <c r="P1905" s="6">
        <v>22717</v>
      </c>
      <c r="Q1905" s="4" t="s">
        <v>26</v>
      </c>
      <c r="R1905" s="4">
        <v>0</v>
      </c>
      <c r="S1905" s="4" t="s">
        <v>306</v>
      </c>
      <c r="T1905" s="4" t="s">
        <v>543</v>
      </c>
      <c r="U1905" s="4">
        <v>0</v>
      </c>
      <c r="V1905" s="4">
        <v>6</v>
      </c>
      <c r="W1905" s="4">
        <v>52</v>
      </c>
    </row>
    <row r="1906" spans="1:23" ht="11.25" customHeight="1" x14ac:dyDescent="0.25">
      <c r="A1906" s="4" t="s">
        <v>27</v>
      </c>
      <c r="B1906" s="4" t="s">
        <v>22</v>
      </c>
      <c r="C1906" s="4" t="s">
        <v>23</v>
      </c>
      <c r="D1906" s="4" t="s">
        <v>24</v>
      </c>
      <c r="E1906" s="4" t="s">
        <v>33</v>
      </c>
      <c r="F1906" s="4" t="s">
        <v>25</v>
      </c>
      <c r="G1906" s="4" t="s">
        <v>25</v>
      </c>
      <c r="H1906" s="4" t="s">
        <v>25</v>
      </c>
      <c r="I1906" s="5">
        <v>44440</v>
      </c>
      <c r="J1906" s="6">
        <v>0</v>
      </c>
      <c r="K1906" s="6">
        <v>0</v>
      </c>
      <c r="L1906" s="6">
        <v>-6.4509999999999996</v>
      </c>
      <c r="M1906" s="6">
        <v>-6.4509999999999996</v>
      </c>
      <c r="N1906" s="6">
        <v>-6.4509999999999996</v>
      </c>
      <c r="O1906" s="6">
        <v>-6.4509999999999996</v>
      </c>
      <c r="P1906" s="6">
        <v>0</v>
      </c>
      <c r="Q1906" s="4" t="s">
        <v>26</v>
      </c>
      <c r="R1906" s="4">
        <v>0</v>
      </c>
      <c r="S1906" s="4" t="s">
        <v>306</v>
      </c>
      <c r="T1906" s="4" t="s">
        <v>543</v>
      </c>
      <c r="U1906" s="4">
        <v>0</v>
      </c>
      <c r="V1906" s="4">
        <v>6</v>
      </c>
      <c r="W1906" s="4">
        <v>52</v>
      </c>
    </row>
    <row r="1907" spans="1:23" ht="11.25" customHeight="1" x14ac:dyDescent="0.25">
      <c r="A1907" s="4" t="s">
        <v>28</v>
      </c>
      <c r="B1907" s="4" t="s">
        <v>22</v>
      </c>
      <c r="C1907" s="4" t="s">
        <v>23</v>
      </c>
      <c r="D1907" s="4" t="s">
        <v>24</v>
      </c>
      <c r="E1907" s="4" t="s">
        <v>33</v>
      </c>
      <c r="F1907" s="4" t="s">
        <v>25</v>
      </c>
      <c r="G1907" s="4" t="s">
        <v>25</v>
      </c>
      <c r="H1907" s="4" t="s">
        <v>25</v>
      </c>
      <c r="I1907" s="5">
        <v>44440</v>
      </c>
      <c r="J1907" s="6">
        <v>0</v>
      </c>
      <c r="K1907" s="6">
        <v>0</v>
      </c>
      <c r="L1907" s="6">
        <v>5581.9650000000001</v>
      </c>
      <c r="M1907" s="6">
        <v>5581.9650000000001</v>
      </c>
      <c r="N1907" s="6">
        <v>5581.9650000000001</v>
      </c>
      <c r="O1907" s="6">
        <v>5581.9650000000001</v>
      </c>
      <c r="P1907" s="6">
        <v>47692</v>
      </c>
      <c r="Q1907" s="4" t="s">
        <v>26</v>
      </c>
      <c r="R1907" s="4">
        <v>0</v>
      </c>
      <c r="S1907" s="4" t="s">
        <v>306</v>
      </c>
      <c r="T1907" s="4" t="s">
        <v>543</v>
      </c>
      <c r="U1907" s="4">
        <v>0</v>
      </c>
      <c r="V1907" s="4">
        <v>6</v>
      </c>
      <c r="W1907" s="4">
        <v>52</v>
      </c>
    </row>
    <row r="1908" spans="1:23" ht="11.25" customHeight="1" x14ac:dyDescent="0.25">
      <c r="A1908" s="4" t="s">
        <v>29</v>
      </c>
      <c r="B1908" s="4" t="s">
        <v>22</v>
      </c>
      <c r="C1908" s="4" t="s">
        <v>23</v>
      </c>
      <c r="D1908" s="4" t="s">
        <v>24</v>
      </c>
      <c r="E1908" s="4" t="s">
        <v>33</v>
      </c>
      <c r="F1908" s="4" t="s">
        <v>25</v>
      </c>
      <c r="G1908" s="4" t="s">
        <v>25</v>
      </c>
      <c r="H1908" s="4" t="s">
        <v>25</v>
      </c>
      <c r="I1908" s="5">
        <v>44440</v>
      </c>
      <c r="J1908" s="6">
        <v>0</v>
      </c>
      <c r="K1908" s="6">
        <v>0</v>
      </c>
      <c r="L1908" s="6">
        <v>-10.782999999999999</v>
      </c>
      <c r="M1908" s="6">
        <v>-10.782999999999999</v>
      </c>
      <c r="N1908" s="6">
        <v>-10.782999999999999</v>
      </c>
      <c r="O1908" s="6">
        <v>-10.782999999999999</v>
      </c>
      <c r="P1908" s="6">
        <v>0</v>
      </c>
      <c r="Q1908" s="4" t="s">
        <v>26</v>
      </c>
      <c r="R1908" s="4">
        <v>0</v>
      </c>
      <c r="S1908" s="4" t="s">
        <v>306</v>
      </c>
      <c r="T1908" s="4" t="s">
        <v>543</v>
      </c>
      <c r="U1908" s="4">
        <v>0</v>
      </c>
      <c r="V1908" s="4">
        <v>6</v>
      </c>
      <c r="W1908" s="4">
        <v>52</v>
      </c>
    </row>
    <row r="1909" spans="1:23" ht="11.25" customHeight="1" x14ac:dyDescent="0.25">
      <c r="A1909" s="4" t="s">
        <v>30</v>
      </c>
      <c r="B1909" s="4" t="s">
        <v>22</v>
      </c>
      <c r="C1909" s="4" t="s">
        <v>23</v>
      </c>
      <c r="D1909" s="4" t="s">
        <v>24</v>
      </c>
      <c r="E1909" s="4" t="s">
        <v>33</v>
      </c>
      <c r="F1909" s="4" t="s">
        <v>25</v>
      </c>
      <c r="G1909" s="4" t="s">
        <v>25</v>
      </c>
      <c r="H1909" s="4" t="s">
        <v>25</v>
      </c>
      <c r="I1909" s="5">
        <v>44440</v>
      </c>
      <c r="J1909" s="6">
        <v>0</v>
      </c>
      <c r="K1909" s="6">
        <v>0</v>
      </c>
      <c r="L1909" s="6">
        <v>0.72</v>
      </c>
      <c r="M1909" s="6">
        <v>0.72</v>
      </c>
      <c r="N1909" s="6">
        <v>0.72</v>
      </c>
      <c r="O1909" s="6">
        <v>0.72</v>
      </c>
      <c r="P1909" s="6">
        <v>0</v>
      </c>
      <c r="Q1909" s="4" t="s">
        <v>26</v>
      </c>
      <c r="R1909" s="4">
        <v>0</v>
      </c>
      <c r="S1909" s="4" t="s">
        <v>306</v>
      </c>
      <c r="T1909" s="4" t="s">
        <v>543</v>
      </c>
      <c r="U1909" s="4">
        <v>0</v>
      </c>
      <c r="V1909" s="4">
        <v>6</v>
      </c>
      <c r="W1909" s="4">
        <v>52</v>
      </c>
    </row>
    <row r="1910" spans="1:23" ht="11.25" customHeight="1" x14ac:dyDescent="0.25">
      <c r="A1910" s="4" t="s">
        <v>59</v>
      </c>
      <c r="B1910" s="4" t="s">
        <v>22</v>
      </c>
      <c r="C1910" s="4" t="s">
        <v>23</v>
      </c>
      <c r="D1910" s="4" t="s">
        <v>24</v>
      </c>
      <c r="E1910" s="4" t="s">
        <v>33</v>
      </c>
      <c r="F1910" s="4" t="s">
        <v>25</v>
      </c>
      <c r="G1910" s="4" t="s">
        <v>25</v>
      </c>
      <c r="H1910" s="4" t="s">
        <v>25</v>
      </c>
      <c r="I1910" s="5">
        <v>44470</v>
      </c>
      <c r="J1910" s="6">
        <v>0</v>
      </c>
      <c r="K1910" s="6">
        <v>0</v>
      </c>
      <c r="L1910" s="6">
        <v>3905.8760000000002</v>
      </c>
      <c r="M1910" s="6">
        <v>3905.8760000000002</v>
      </c>
      <c r="N1910" s="6">
        <v>3905.8760000000002</v>
      </c>
      <c r="O1910" s="6">
        <v>3905.8760000000002</v>
      </c>
      <c r="P1910" s="6">
        <v>22717</v>
      </c>
      <c r="Q1910" s="4" t="s">
        <v>26</v>
      </c>
      <c r="R1910" s="4">
        <v>0</v>
      </c>
      <c r="S1910" s="4" t="s">
        <v>307</v>
      </c>
      <c r="T1910" s="4" t="s">
        <v>544</v>
      </c>
      <c r="U1910" s="4">
        <v>0</v>
      </c>
      <c r="V1910" s="4">
        <v>6</v>
      </c>
      <c r="W1910" s="4">
        <v>52</v>
      </c>
    </row>
    <row r="1911" spans="1:23" ht="11.25" customHeight="1" x14ac:dyDescent="0.25">
      <c r="A1911" s="4" t="s">
        <v>59</v>
      </c>
      <c r="B1911" s="4" t="s">
        <v>22</v>
      </c>
      <c r="C1911" s="4" t="s">
        <v>23</v>
      </c>
      <c r="D1911" s="4" t="s">
        <v>24</v>
      </c>
      <c r="E1911" s="4" t="s">
        <v>33</v>
      </c>
      <c r="F1911" s="4" t="s">
        <v>25</v>
      </c>
      <c r="G1911" s="4" t="s">
        <v>25</v>
      </c>
      <c r="H1911" s="4" t="s">
        <v>25</v>
      </c>
      <c r="I1911" s="5">
        <v>44470</v>
      </c>
      <c r="J1911" s="6">
        <v>0</v>
      </c>
      <c r="K1911" s="6">
        <v>0</v>
      </c>
      <c r="L1911" s="6">
        <v>-6.4509999999999996</v>
      </c>
      <c r="M1911" s="6">
        <v>-6.4509999999999996</v>
      </c>
      <c r="N1911" s="6">
        <v>-6.4509999999999996</v>
      </c>
      <c r="O1911" s="6">
        <v>-6.4509999999999996</v>
      </c>
      <c r="P1911" s="6">
        <v>0</v>
      </c>
      <c r="Q1911" s="4" t="s">
        <v>26</v>
      </c>
      <c r="R1911" s="4">
        <v>0</v>
      </c>
      <c r="S1911" s="4" t="s">
        <v>307</v>
      </c>
      <c r="T1911" s="4" t="s">
        <v>544</v>
      </c>
      <c r="U1911" s="4">
        <v>0</v>
      </c>
      <c r="V1911" s="4">
        <v>6</v>
      </c>
      <c r="W1911" s="4">
        <v>52</v>
      </c>
    </row>
    <row r="1912" spans="1:23" ht="11.25" customHeight="1" x14ac:dyDescent="0.25">
      <c r="A1912" s="4" t="s">
        <v>59</v>
      </c>
      <c r="B1912" s="4" t="s">
        <v>22</v>
      </c>
      <c r="C1912" s="4" t="s">
        <v>23</v>
      </c>
      <c r="D1912" s="4" t="s">
        <v>24</v>
      </c>
      <c r="E1912" s="4" t="s">
        <v>33</v>
      </c>
      <c r="F1912" s="4" t="s">
        <v>25</v>
      </c>
      <c r="G1912" s="4" t="s">
        <v>25</v>
      </c>
      <c r="H1912" s="4" t="s">
        <v>25</v>
      </c>
      <c r="I1912" s="5">
        <v>44470</v>
      </c>
      <c r="J1912" s="6">
        <v>0</v>
      </c>
      <c r="K1912" s="6">
        <v>0</v>
      </c>
      <c r="L1912" s="6">
        <v>5581.9650000000001</v>
      </c>
      <c r="M1912" s="6">
        <v>5581.9650000000001</v>
      </c>
      <c r="N1912" s="6">
        <v>5581.9650000000001</v>
      </c>
      <c r="O1912" s="6">
        <v>5581.9650000000001</v>
      </c>
      <c r="P1912" s="6">
        <v>47692</v>
      </c>
      <c r="Q1912" s="4" t="s">
        <v>26</v>
      </c>
      <c r="R1912" s="4">
        <v>0</v>
      </c>
      <c r="S1912" s="4" t="s">
        <v>307</v>
      </c>
      <c r="T1912" s="4" t="s">
        <v>544</v>
      </c>
      <c r="U1912" s="4">
        <v>0</v>
      </c>
      <c r="V1912" s="4">
        <v>6</v>
      </c>
      <c r="W1912" s="4">
        <v>52</v>
      </c>
    </row>
    <row r="1913" spans="1:23" ht="11.25" customHeight="1" x14ac:dyDescent="0.25">
      <c r="A1913" s="4" t="s">
        <v>59</v>
      </c>
      <c r="B1913" s="4" t="s">
        <v>22</v>
      </c>
      <c r="C1913" s="4" t="s">
        <v>23</v>
      </c>
      <c r="D1913" s="4" t="s">
        <v>24</v>
      </c>
      <c r="E1913" s="4" t="s">
        <v>33</v>
      </c>
      <c r="F1913" s="4" t="s">
        <v>25</v>
      </c>
      <c r="G1913" s="4" t="s">
        <v>25</v>
      </c>
      <c r="H1913" s="4" t="s">
        <v>25</v>
      </c>
      <c r="I1913" s="5">
        <v>44470</v>
      </c>
      <c r="J1913" s="6">
        <v>0</v>
      </c>
      <c r="K1913" s="6">
        <v>0</v>
      </c>
      <c r="L1913" s="6">
        <v>-10.782999999999999</v>
      </c>
      <c r="M1913" s="6">
        <v>-10.782999999999999</v>
      </c>
      <c r="N1913" s="6">
        <v>-10.782999999999999</v>
      </c>
      <c r="O1913" s="6">
        <v>-10.782999999999999</v>
      </c>
      <c r="P1913" s="6">
        <v>0</v>
      </c>
      <c r="Q1913" s="4" t="s">
        <v>26</v>
      </c>
      <c r="R1913" s="4">
        <v>0</v>
      </c>
      <c r="S1913" s="4" t="s">
        <v>307</v>
      </c>
      <c r="T1913" s="4" t="s">
        <v>544</v>
      </c>
      <c r="U1913" s="4">
        <v>0</v>
      </c>
      <c r="V1913" s="4">
        <v>6</v>
      </c>
      <c r="W1913" s="4">
        <v>52</v>
      </c>
    </row>
    <row r="1914" spans="1:23" ht="11.25" customHeight="1" x14ac:dyDescent="0.25">
      <c r="A1914" s="4" t="s">
        <v>59</v>
      </c>
      <c r="B1914" s="4" t="s">
        <v>22</v>
      </c>
      <c r="C1914" s="4" t="s">
        <v>23</v>
      </c>
      <c r="D1914" s="4" t="s">
        <v>24</v>
      </c>
      <c r="E1914" s="4" t="s">
        <v>33</v>
      </c>
      <c r="F1914" s="4" t="s">
        <v>25</v>
      </c>
      <c r="G1914" s="4" t="s">
        <v>25</v>
      </c>
      <c r="H1914" s="4" t="s">
        <v>25</v>
      </c>
      <c r="I1914" s="5">
        <v>44470</v>
      </c>
      <c r="J1914" s="6">
        <v>0</v>
      </c>
      <c r="K1914" s="6">
        <v>0</v>
      </c>
      <c r="L1914" s="6">
        <v>0.72</v>
      </c>
      <c r="M1914" s="6">
        <v>0.72</v>
      </c>
      <c r="N1914" s="6">
        <v>0.72</v>
      </c>
      <c r="O1914" s="6">
        <v>0.72</v>
      </c>
      <c r="P1914" s="6">
        <v>0</v>
      </c>
      <c r="Q1914" s="4" t="s">
        <v>26</v>
      </c>
      <c r="R1914" s="4">
        <v>0</v>
      </c>
      <c r="S1914" s="4" t="s">
        <v>307</v>
      </c>
      <c r="T1914" s="4" t="s">
        <v>544</v>
      </c>
      <c r="U1914" s="4">
        <v>0</v>
      </c>
      <c r="V1914" s="4">
        <v>6</v>
      </c>
      <c r="W1914" s="4">
        <v>52</v>
      </c>
    </row>
    <row r="1915" spans="1:23" ht="11.25" customHeight="1" x14ac:dyDescent="0.25">
      <c r="A1915" s="4" t="s">
        <v>21</v>
      </c>
      <c r="B1915" s="4" t="s">
        <v>22</v>
      </c>
      <c r="C1915" s="4" t="s">
        <v>23</v>
      </c>
      <c r="D1915" s="4" t="s">
        <v>24</v>
      </c>
      <c r="E1915" s="4" t="s">
        <v>34</v>
      </c>
      <c r="F1915" s="4" t="s">
        <v>25</v>
      </c>
      <c r="G1915" s="4" t="s">
        <v>25</v>
      </c>
      <c r="H1915" s="4" t="s">
        <v>25</v>
      </c>
      <c r="I1915" s="5">
        <v>44136</v>
      </c>
      <c r="J1915" s="6">
        <v>0</v>
      </c>
      <c r="K1915" s="6">
        <v>0</v>
      </c>
      <c r="L1915" s="6">
        <v>3173.7080000000001</v>
      </c>
      <c r="M1915" s="6">
        <v>3173.7080000000001</v>
      </c>
      <c r="N1915" s="6">
        <v>3173.7080000000001</v>
      </c>
      <c r="O1915" s="6">
        <v>3173.7080000000001</v>
      </c>
      <c r="P1915" s="6">
        <v>16181</v>
      </c>
      <c r="Q1915" s="4" t="s">
        <v>26</v>
      </c>
      <c r="R1915" s="4">
        <v>0</v>
      </c>
      <c r="S1915" s="4" t="s">
        <v>308</v>
      </c>
      <c r="T1915" s="4" t="s">
        <v>545</v>
      </c>
      <c r="U1915" s="4">
        <v>0</v>
      </c>
      <c r="V1915" s="4">
        <v>7</v>
      </c>
      <c r="W1915" s="4">
        <v>53</v>
      </c>
    </row>
    <row r="1916" spans="1:23" ht="11.25" customHeight="1" x14ac:dyDescent="0.25">
      <c r="A1916" s="4" t="s">
        <v>27</v>
      </c>
      <c r="B1916" s="4" t="s">
        <v>22</v>
      </c>
      <c r="C1916" s="4" t="s">
        <v>23</v>
      </c>
      <c r="D1916" s="4" t="s">
        <v>24</v>
      </c>
      <c r="E1916" s="4" t="s">
        <v>34</v>
      </c>
      <c r="F1916" s="4" t="s">
        <v>25</v>
      </c>
      <c r="G1916" s="4" t="s">
        <v>25</v>
      </c>
      <c r="H1916" s="4" t="s">
        <v>25</v>
      </c>
      <c r="I1916" s="5">
        <v>44136</v>
      </c>
      <c r="J1916" s="6">
        <v>0</v>
      </c>
      <c r="K1916" s="6">
        <v>0</v>
      </c>
      <c r="L1916" s="6">
        <v>-58.045999999999999</v>
      </c>
      <c r="M1916" s="6">
        <v>-58.045999999999999</v>
      </c>
      <c r="N1916" s="6">
        <v>-58.045999999999999</v>
      </c>
      <c r="O1916" s="6">
        <v>-58.045999999999999</v>
      </c>
      <c r="P1916" s="6">
        <v>-102</v>
      </c>
      <c r="Q1916" s="4" t="s">
        <v>26</v>
      </c>
      <c r="R1916" s="4">
        <v>0</v>
      </c>
      <c r="S1916" s="4" t="s">
        <v>308</v>
      </c>
      <c r="T1916" s="4" t="s">
        <v>545</v>
      </c>
      <c r="U1916" s="4">
        <v>0</v>
      </c>
      <c r="V1916" s="4">
        <v>7</v>
      </c>
      <c r="W1916" s="4">
        <v>53</v>
      </c>
    </row>
    <row r="1917" spans="1:23" ht="11.25" customHeight="1" x14ac:dyDescent="0.25">
      <c r="A1917" s="4" t="s">
        <v>28</v>
      </c>
      <c r="B1917" s="4" t="s">
        <v>22</v>
      </c>
      <c r="C1917" s="4" t="s">
        <v>23</v>
      </c>
      <c r="D1917" s="4" t="s">
        <v>24</v>
      </c>
      <c r="E1917" s="4" t="s">
        <v>34</v>
      </c>
      <c r="F1917" s="4" t="s">
        <v>25</v>
      </c>
      <c r="G1917" s="4" t="s">
        <v>25</v>
      </c>
      <c r="H1917" s="4" t="s">
        <v>25</v>
      </c>
      <c r="I1917" s="5">
        <v>44136</v>
      </c>
      <c r="J1917" s="6">
        <v>0</v>
      </c>
      <c r="K1917" s="6">
        <v>0</v>
      </c>
      <c r="L1917" s="6">
        <v>3090.0459999999998</v>
      </c>
      <c r="M1917" s="6">
        <v>3090.0459999999998</v>
      </c>
      <c r="N1917" s="6">
        <v>3090.0459999999998</v>
      </c>
      <c r="O1917" s="6">
        <v>3090.0459999999998</v>
      </c>
      <c r="P1917" s="6">
        <v>22179</v>
      </c>
      <c r="Q1917" s="4" t="s">
        <v>26</v>
      </c>
      <c r="R1917" s="4">
        <v>0</v>
      </c>
      <c r="S1917" s="4" t="s">
        <v>308</v>
      </c>
      <c r="T1917" s="4" t="s">
        <v>545</v>
      </c>
      <c r="U1917" s="4">
        <v>0</v>
      </c>
      <c r="V1917" s="4">
        <v>7</v>
      </c>
      <c r="W1917" s="4">
        <v>53</v>
      </c>
    </row>
    <row r="1918" spans="1:23" ht="11.25" customHeight="1" x14ac:dyDescent="0.25">
      <c r="A1918" s="4" t="s">
        <v>29</v>
      </c>
      <c r="B1918" s="4" t="s">
        <v>22</v>
      </c>
      <c r="C1918" s="4" t="s">
        <v>23</v>
      </c>
      <c r="D1918" s="4" t="s">
        <v>24</v>
      </c>
      <c r="E1918" s="4" t="s">
        <v>34</v>
      </c>
      <c r="F1918" s="4" t="s">
        <v>25</v>
      </c>
      <c r="G1918" s="4" t="s">
        <v>25</v>
      </c>
      <c r="H1918" s="4" t="s">
        <v>25</v>
      </c>
      <c r="I1918" s="5">
        <v>44136</v>
      </c>
      <c r="J1918" s="6">
        <v>0</v>
      </c>
      <c r="K1918" s="6">
        <v>0</v>
      </c>
      <c r="L1918" s="6">
        <v>-26.347999999999999</v>
      </c>
      <c r="M1918" s="6">
        <v>-26.347999999999999</v>
      </c>
      <c r="N1918" s="6">
        <v>-26.347999999999999</v>
      </c>
      <c r="O1918" s="6">
        <v>-26.347999999999999</v>
      </c>
      <c r="P1918" s="6">
        <v>-89</v>
      </c>
      <c r="Q1918" s="4" t="s">
        <v>26</v>
      </c>
      <c r="R1918" s="4">
        <v>0</v>
      </c>
      <c r="S1918" s="4" t="s">
        <v>308</v>
      </c>
      <c r="T1918" s="4" t="s">
        <v>545</v>
      </c>
      <c r="U1918" s="4">
        <v>0</v>
      </c>
      <c r="V1918" s="4">
        <v>7</v>
      </c>
      <c r="W1918" s="4">
        <v>53</v>
      </c>
    </row>
    <row r="1919" spans="1:23" ht="11.25" customHeight="1" x14ac:dyDescent="0.25">
      <c r="A1919" s="4" t="s">
        <v>21</v>
      </c>
      <c r="B1919" s="4" t="s">
        <v>22</v>
      </c>
      <c r="C1919" s="4" t="s">
        <v>23</v>
      </c>
      <c r="D1919" s="4" t="s">
        <v>24</v>
      </c>
      <c r="E1919" s="4" t="s">
        <v>34</v>
      </c>
      <c r="F1919" s="4" t="s">
        <v>25</v>
      </c>
      <c r="G1919" s="4" t="s">
        <v>25</v>
      </c>
      <c r="H1919" s="4" t="s">
        <v>25</v>
      </c>
      <c r="I1919" s="5">
        <v>44166</v>
      </c>
      <c r="J1919" s="6">
        <v>0</v>
      </c>
      <c r="K1919" s="6">
        <v>0</v>
      </c>
      <c r="L1919" s="6">
        <v>3304.6930000000002</v>
      </c>
      <c r="M1919" s="6">
        <v>3304.6930000000002</v>
      </c>
      <c r="N1919" s="6">
        <v>3304.6930000000002</v>
      </c>
      <c r="O1919" s="6">
        <v>3304.6930000000002</v>
      </c>
      <c r="P1919" s="6">
        <v>17972</v>
      </c>
      <c r="Q1919" s="4" t="s">
        <v>26</v>
      </c>
      <c r="R1919" s="4">
        <v>0</v>
      </c>
      <c r="S1919" s="4" t="s">
        <v>309</v>
      </c>
      <c r="T1919" s="4" t="s">
        <v>546</v>
      </c>
      <c r="U1919" s="4">
        <v>0</v>
      </c>
      <c r="V1919" s="4">
        <v>7</v>
      </c>
      <c r="W1919" s="4">
        <v>53</v>
      </c>
    </row>
    <row r="1920" spans="1:23" ht="11.25" customHeight="1" x14ac:dyDescent="0.25">
      <c r="A1920" s="4" t="s">
        <v>27</v>
      </c>
      <c r="B1920" s="4" t="s">
        <v>22</v>
      </c>
      <c r="C1920" s="4" t="s">
        <v>23</v>
      </c>
      <c r="D1920" s="4" t="s">
        <v>24</v>
      </c>
      <c r="E1920" s="4" t="s">
        <v>34</v>
      </c>
      <c r="F1920" s="4" t="s">
        <v>25</v>
      </c>
      <c r="G1920" s="4" t="s">
        <v>25</v>
      </c>
      <c r="H1920" s="4" t="s">
        <v>25</v>
      </c>
      <c r="I1920" s="5">
        <v>44166</v>
      </c>
      <c r="J1920" s="6">
        <v>0</v>
      </c>
      <c r="K1920" s="6">
        <v>0</v>
      </c>
      <c r="L1920" s="6">
        <v>-39.036999999999999</v>
      </c>
      <c r="M1920" s="6">
        <v>-39.036999999999999</v>
      </c>
      <c r="N1920" s="6">
        <v>-39.036999999999999</v>
      </c>
      <c r="O1920" s="6">
        <v>-39.036999999999999</v>
      </c>
      <c r="P1920" s="6">
        <v>0</v>
      </c>
      <c r="Q1920" s="4" t="s">
        <v>26</v>
      </c>
      <c r="R1920" s="4">
        <v>0</v>
      </c>
      <c r="S1920" s="4" t="s">
        <v>309</v>
      </c>
      <c r="T1920" s="4" t="s">
        <v>546</v>
      </c>
      <c r="U1920" s="4">
        <v>0</v>
      </c>
      <c r="V1920" s="4">
        <v>7</v>
      </c>
      <c r="W1920" s="4">
        <v>53</v>
      </c>
    </row>
    <row r="1921" spans="1:23" ht="11.25" customHeight="1" x14ac:dyDescent="0.25">
      <c r="A1921" s="4" t="s">
        <v>28</v>
      </c>
      <c r="B1921" s="4" t="s">
        <v>22</v>
      </c>
      <c r="C1921" s="4" t="s">
        <v>23</v>
      </c>
      <c r="D1921" s="4" t="s">
        <v>24</v>
      </c>
      <c r="E1921" s="4" t="s">
        <v>34</v>
      </c>
      <c r="F1921" s="4" t="s">
        <v>25</v>
      </c>
      <c r="G1921" s="4" t="s">
        <v>25</v>
      </c>
      <c r="H1921" s="4" t="s">
        <v>25</v>
      </c>
      <c r="I1921" s="5">
        <v>44166</v>
      </c>
      <c r="J1921" s="6">
        <v>0</v>
      </c>
      <c r="K1921" s="6">
        <v>0</v>
      </c>
      <c r="L1921" s="6">
        <v>2920.3449999999998</v>
      </c>
      <c r="M1921" s="6">
        <v>2920.3449999999998</v>
      </c>
      <c r="N1921" s="6">
        <v>2920.3449999999998</v>
      </c>
      <c r="O1921" s="6">
        <v>2920.3449999999998</v>
      </c>
      <c r="P1921" s="6">
        <v>22588</v>
      </c>
      <c r="Q1921" s="4" t="s">
        <v>26</v>
      </c>
      <c r="R1921" s="4">
        <v>0</v>
      </c>
      <c r="S1921" s="4" t="s">
        <v>309</v>
      </c>
      <c r="T1921" s="4" t="s">
        <v>546</v>
      </c>
      <c r="U1921" s="4">
        <v>0</v>
      </c>
      <c r="V1921" s="4">
        <v>7</v>
      </c>
      <c r="W1921" s="4">
        <v>53</v>
      </c>
    </row>
    <row r="1922" spans="1:23" ht="11.25" customHeight="1" x14ac:dyDescent="0.25">
      <c r="A1922" s="4" t="s">
        <v>29</v>
      </c>
      <c r="B1922" s="4" t="s">
        <v>22</v>
      </c>
      <c r="C1922" s="4" t="s">
        <v>23</v>
      </c>
      <c r="D1922" s="4" t="s">
        <v>24</v>
      </c>
      <c r="E1922" s="4" t="s">
        <v>34</v>
      </c>
      <c r="F1922" s="4" t="s">
        <v>25</v>
      </c>
      <c r="G1922" s="4" t="s">
        <v>25</v>
      </c>
      <c r="H1922" s="4" t="s">
        <v>25</v>
      </c>
      <c r="I1922" s="5">
        <v>44166</v>
      </c>
      <c r="J1922" s="6">
        <v>0</v>
      </c>
      <c r="K1922" s="6">
        <v>0</v>
      </c>
      <c r="L1922" s="6">
        <v>-37.067</v>
      </c>
      <c r="M1922" s="6">
        <v>-37.067</v>
      </c>
      <c r="N1922" s="6">
        <v>-37.067</v>
      </c>
      <c r="O1922" s="6">
        <v>-37.067</v>
      </c>
      <c r="P1922" s="6">
        <v>0</v>
      </c>
      <c r="Q1922" s="4" t="s">
        <v>26</v>
      </c>
      <c r="R1922" s="4">
        <v>0</v>
      </c>
      <c r="S1922" s="4" t="s">
        <v>309</v>
      </c>
      <c r="T1922" s="4" t="s">
        <v>546</v>
      </c>
      <c r="U1922" s="4">
        <v>0</v>
      </c>
      <c r="V1922" s="4">
        <v>7</v>
      </c>
      <c r="W1922" s="4">
        <v>53</v>
      </c>
    </row>
    <row r="1923" spans="1:23" ht="11.25" customHeight="1" x14ac:dyDescent="0.25">
      <c r="A1923" s="4" t="s">
        <v>21</v>
      </c>
      <c r="B1923" s="4" t="s">
        <v>22</v>
      </c>
      <c r="C1923" s="4" t="s">
        <v>23</v>
      </c>
      <c r="D1923" s="4" t="s">
        <v>24</v>
      </c>
      <c r="E1923" s="4" t="s">
        <v>34</v>
      </c>
      <c r="F1923" s="4" t="s">
        <v>25</v>
      </c>
      <c r="G1923" s="4" t="s">
        <v>25</v>
      </c>
      <c r="H1923" s="4" t="s">
        <v>25</v>
      </c>
      <c r="I1923" s="5">
        <v>44197</v>
      </c>
      <c r="J1923" s="6">
        <v>0</v>
      </c>
      <c r="K1923" s="6">
        <v>0</v>
      </c>
      <c r="L1923" s="6">
        <v>3638.5790000000002</v>
      </c>
      <c r="M1923" s="6">
        <v>3638.5790000000002</v>
      </c>
      <c r="N1923" s="6">
        <v>3638.5790000000002</v>
      </c>
      <c r="O1923" s="6">
        <v>3638.5790000000002</v>
      </c>
      <c r="P1923" s="6">
        <v>19455</v>
      </c>
      <c r="Q1923" s="4" t="s">
        <v>26</v>
      </c>
      <c r="R1923" s="4">
        <v>0</v>
      </c>
      <c r="S1923" s="4" t="s">
        <v>310</v>
      </c>
      <c r="T1923" s="4" t="s">
        <v>547</v>
      </c>
      <c r="U1923" s="4">
        <v>0</v>
      </c>
      <c r="V1923" s="4">
        <v>7</v>
      </c>
      <c r="W1923" s="4">
        <v>53</v>
      </c>
    </row>
    <row r="1924" spans="1:23" ht="11.25" customHeight="1" x14ac:dyDescent="0.25">
      <c r="A1924" s="4" t="s">
        <v>27</v>
      </c>
      <c r="B1924" s="4" t="s">
        <v>22</v>
      </c>
      <c r="C1924" s="4" t="s">
        <v>23</v>
      </c>
      <c r="D1924" s="4" t="s">
        <v>24</v>
      </c>
      <c r="E1924" s="4" t="s">
        <v>34</v>
      </c>
      <c r="F1924" s="4" t="s">
        <v>25</v>
      </c>
      <c r="G1924" s="4" t="s">
        <v>25</v>
      </c>
      <c r="H1924" s="4" t="s">
        <v>25</v>
      </c>
      <c r="I1924" s="5">
        <v>44197</v>
      </c>
      <c r="J1924" s="6">
        <v>0</v>
      </c>
      <c r="K1924" s="6">
        <v>0</v>
      </c>
      <c r="L1924" s="6">
        <v>-45.874000000000002</v>
      </c>
      <c r="M1924" s="6">
        <v>-45.874000000000002</v>
      </c>
      <c r="N1924" s="6">
        <v>-45.874000000000002</v>
      </c>
      <c r="O1924" s="6">
        <v>-45.874000000000002</v>
      </c>
      <c r="P1924" s="6">
        <v>0</v>
      </c>
      <c r="Q1924" s="4" t="s">
        <v>26</v>
      </c>
      <c r="R1924" s="4">
        <v>0</v>
      </c>
      <c r="S1924" s="4" t="s">
        <v>310</v>
      </c>
      <c r="T1924" s="4" t="s">
        <v>547</v>
      </c>
      <c r="U1924" s="4">
        <v>0</v>
      </c>
      <c r="V1924" s="4">
        <v>7</v>
      </c>
      <c r="W1924" s="4">
        <v>53</v>
      </c>
    </row>
    <row r="1925" spans="1:23" ht="11.25" customHeight="1" x14ac:dyDescent="0.25">
      <c r="A1925" s="4" t="s">
        <v>28</v>
      </c>
      <c r="B1925" s="4" t="s">
        <v>22</v>
      </c>
      <c r="C1925" s="4" t="s">
        <v>23</v>
      </c>
      <c r="D1925" s="4" t="s">
        <v>24</v>
      </c>
      <c r="E1925" s="4" t="s">
        <v>34</v>
      </c>
      <c r="F1925" s="4" t="s">
        <v>25</v>
      </c>
      <c r="G1925" s="4" t="s">
        <v>25</v>
      </c>
      <c r="H1925" s="4" t="s">
        <v>25</v>
      </c>
      <c r="I1925" s="5">
        <v>44197</v>
      </c>
      <c r="J1925" s="6">
        <v>0</v>
      </c>
      <c r="K1925" s="6">
        <v>0</v>
      </c>
      <c r="L1925" s="6">
        <v>2588.674</v>
      </c>
      <c r="M1925" s="6">
        <v>2588.674</v>
      </c>
      <c r="N1925" s="6">
        <v>2588.674</v>
      </c>
      <c r="O1925" s="6">
        <v>2588.674</v>
      </c>
      <c r="P1925" s="6">
        <v>20751</v>
      </c>
      <c r="Q1925" s="4" t="s">
        <v>26</v>
      </c>
      <c r="R1925" s="4">
        <v>0</v>
      </c>
      <c r="S1925" s="4" t="s">
        <v>310</v>
      </c>
      <c r="T1925" s="4" t="s">
        <v>547</v>
      </c>
      <c r="U1925" s="4">
        <v>0</v>
      </c>
      <c r="V1925" s="4">
        <v>7</v>
      </c>
      <c r="W1925" s="4">
        <v>53</v>
      </c>
    </row>
    <row r="1926" spans="1:23" ht="11.25" customHeight="1" x14ac:dyDescent="0.25">
      <c r="A1926" s="4" t="s">
        <v>29</v>
      </c>
      <c r="B1926" s="4" t="s">
        <v>22</v>
      </c>
      <c r="C1926" s="4" t="s">
        <v>23</v>
      </c>
      <c r="D1926" s="4" t="s">
        <v>24</v>
      </c>
      <c r="E1926" s="4" t="s">
        <v>34</v>
      </c>
      <c r="F1926" s="4" t="s">
        <v>25</v>
      </c>
      <c r="G1926" s="4" t="s">
        <v>25</v>
      </c>
      <c r="H1926" s="4" t="s">
        <v>25</v>
      </c>
      <c r="I1926" s="5">
        <v>44197</v>
      </c>
      <c r="J1926" s="6">
        <v>0</v>
      </c>
      <c r="K1926" s="6">
        <v>0</v>
      </c>
      <c r="L1926" s="6">
        <v>-37.098999999999997</v>
      </c>
      <c r="M1926" s="6">
        <v>-37.098999999999997</v>
      </c>
      <c r="N1926" s="6">
        <v>-37.098999999999997</v>
      </c>
      <c r="O1926" s="6">
        <v>-37.098999999999997</v>
      </c>
      <c r="P1926" s="6">
        <v>0</v>
      </c>
      <c r="Q1926" s="4" t="s">
        <v>26</v>
      </c>
      <c r="R1926" s="4">
        <v>0</v>
      </c>
      <c r="S1926" s="4" t="s">
        <v>310</v>
      </c>
      <c r="T1926" s="4" t="s">
        <v>547</v>
      </c>
      <c r="U1926" s="4">
        <v>0</v>
      </c>
      <c r="V1926" s="4">
        <v>7</v>
      </c>
      <c r="W1926" s="4">
        <v>53</v>
      </c>
    </row>
    <row r="1927" spans="1:23" ht="11.25" customHeight="1" x14ac:dyDescent="0.25">
      <c r="A1927" s="4" t="s">
        <v>21</v>
      </c>
      <c r="B1927" s="4" t="s">
        <v>22</v>
      </c>
      <c r="C1927" s="4" t="s">
        <v>23</v>
      </c>
      <c r="D1927" s="4" t="s">
        <v>24</v>
      </c>
      <c r="E1927" s="4" t="s">
        <v>34</v>
      </c>
      <c r="F1927" s="4" t="s">
        <v>25</v>
      </c>
      <c r="G1927" s="4" t="s">
        <v>25</v>
      </c>
      <c r="H1927" s="4" t="s">
        <v>25</v>
      </c>
      <c r="I1927" s="5">
        <v>44228</v>
      </c>
      <c r="J1927" s="6">
        <v>0</v>
      </c>
      <c r="K1927" s="6">
        <v>0</v>
      </c>
      <c r="L1927" s="6">
        <v>2583.326</v>
      </c>
      <c r="M1927" s="6">
        <v>2583.326</v>
      </c>
      <c r="N1927" s="6">
        <v>2583.326</v>
      </c>
      <c r="O1927" s="6">
        <v>2583.326</v>
      </c>
      <c r="P1927" s="6">
        <v>15165</v>
      </c>
      <c r="Q1927" s="4" t="s">
        <v>26</v>
      </c>
      <c r="R1927" s="4">
        <v>0</v>
      </c>
      <c r="S1927" s="4" t="s">
        <v>311</v>
      </c>
      <c r="T1927" s="4" t="s">
        <v>548</v>
      </c>
      <c r="U1927" s="4">
        <v>0</v>
      </c>
      <c r="V1927" s="4">
        <v>7</v>
      </c>
      <c r="W1927" s="4">
        <v>53</v>
      </c>
    </row>
    <row r="1928" spans="1:23" ht="11.25" customHeight="1" x14ac:dyDescent="0.25">
      <c r="A1928" s="4" t="s">
        <v>27</v>
      </c>
      <c r="B1928" s="4" t="s">
        <v>22</v>
      </c>
      <c r="C1928" s="4" t="s">
        <v>23</v>
      </c>
      <c r="D1928" s="4" t="s">
        <v>24</v>
      </c>
      <c r="E1928" s="4" t="s">
        <v>34</v>
      </c>
      <c r="F1928" s="4" t="s">
        <v>25</v>
      </c>
      <c r="G1928" s="4" t="s">
        <v>25</v>
      </c>
      <c r="H1928" s="4" t="s">
        <v>25</v>
      </c>
      <c r="I1928" s="5">
        <v>44228</v>
      </c>
      <c r="J1928" s="6">
        <v>0</v>
      </c>
      <c r="K1928" s="6">
        <v>0</v>
      </c>
      <c r="L1928" s="6">
        <v>-123.56699999999999</v>
      </c>
      <c r="M1928" s="6">
        <v>-123.56699999999999</v>
      </c>
      <c r="N1928" s="6">
        <v>-123.56699999999999</v>
      </c>
      <c r="O1928" s="6">
        <v>-123.56699999999999</v>
      </c>
      <c r="P1928" s="6">
        <v>0</v>
      </c>
      <c r="Q1928" s="4" t="s">
        <v>26</v>
      </c>
      <c r="R1928" s="4">
        <v>0</v>
      </c>
      <c r="S1928" s="4" t="s">
        <v>311</v>
      </c>
      <c r="T1928" s="4" t="s">
        <v>548</v>
      </c>
      <c r="U1928" s="4">
        <v>0</v>
      </c>
      <c r="V1928" s="4">
        <v>7</v>
      </c>
      <c r="W1928" s="4">
        <v>53</v>
      </c>
    </row>
    <row r="1929" spans="1:23" ht="11.25" customHeight="1" x14ac:dyDescent="0.25">
      <c r="A1929" s="4" t="s">
        <v>28</v>
      </c>
      <c r="B1929" s="4" t="s">
        <v>22</v>
      </c>
      <c r="C1929" s="4" t="s">
        <v>23</v>
      </c>
      <c r="D1929" s="4" t="s">
        <v>24</v>
      </c>
      <c r="E1929" s="4" t="s">
        <v>34</v>
      </c>
      <c r="F1929" s="4" t="s">
        <v>25</v>
      </c>
      <c r="G1929" s="4" t="s">
        <v>25</v>
      </c>
      <c r="H1929" s="4" t="s">
        <v>25</v>
      </c>
      <c r="I1929" s="5">
        <v>44228</v>
      </c>
      <c r="J1929" s="6">
        <v>0</v>
      </c>
      <c r="K1929" s="6">
        <v>0</v>
      </c>
      <c r="L1929" s="6">
        <v>2367.0630000000001</v>
      </c>
      <c r="M1929" s="6">
        <v>2367.0630000000001</v>
      </c>
      <c r="N1929" s="6">
        <v>2367.0630000000001</v>
      </c>
      <c r="O1929" s="6">
        <v>2367.0630000000001</v>
      </c>
      <c r="P1929" s="6">
        <v>18784</v>
      </c>
      <c r="Q1929" s="4" t="s">
        <v>26</v>
      </c>
      <c r="R1929" s="4">
        <v>0</v>
      </c>
      <c r="S1929" s="4" t="s">
        <v>311</v>
      </c>
      <c r="T1929" s="4" t="s">
        <v>548</v>
      </c>
      <c r="U1929" s="4">
        <v>0</v>
      </c>
      <c r="V1929" s="4">
        <v>7</v>
      </c>
      <c r="W1929" s="4">
        <v>53</v>
      </c>
    </row>
    <row r="1930" spans="1:23" ht="11.25" customHeight="1" x14ac:dyDescent="0.25">
      <c r="A1930" s="4" t="s">
        <v>29</v>
      </c>
      <c r="B1930" s="4" t="s">
        <v>22</v>
      </c>
      <c r="C1930" s="4" t="s">
        <v>23</v>
      </c>
      <c r="D1930" s="4" t="s">
        <v>24</v>
      </c>
      <c r="E1930" s="4" t="s">
        <v>34</v>
      </c>
      <c r="F1930" s="4" t="s">
        <v>25</v>
      </c>
      <c r="G1930" s="4" t="s">
        <v>25</v>
      </c>
      <c r="H1930" s="4" t="s">
        <v>25</v>
      </c>
      <c r="I1930" s="5">
        <v>44228</v>
      </c>
      <c r="J1930" s="6">
        <v>0</v>
      </c>
      <c r="K1930" s="6">
        <v>0</v>
      </c>
      <c r="L1930" s="6">
        <v>-46.963000000000001</v>
      </c>
      <c r="M1930" s="6">
        <v>-46.963000000000001</v>
      </c>
      <c r="N1930" s="6">
        <v>-46.963000000000001</v>
      </c>
      <c r="O1930" s="6">
        <v>-46.963000000000001</v>
      </c>
      <c r="P1930" s="6">
        <v>0</v>
      </c>
      <c r="Q1930" s="4" t="s">
        <v>26</v>
      </c>
      <c r="R1930" s="4">
        <v>0</v>
      </c>
      <c r="S1930" s="4" t="s">
        <v>311</v>
      </c>
      <c r="T1930" s="4" t="s">
        <v>548</v>
      </c>
      <c r="U1930" s="4">
        <v>0</v>
      </c>
      <c r="V1930" s="4">
        <v>7</v>
      </c>
      <c r="W1930" s="4">
        <v>53</v>
      </c>
    </row>
    <row r="1931" spans="1:23" ht="11.25" customHeight="1" x14ac:dyDescent="0.25">
      <c r="A1931" s="4" t="s">
        <v>21</v>
      </c>
      <c r="B1931" s="4" t="s">
        <v>22</v>
      </c>
      <c r="C1931" s="4" t="s">
        <v>23</v>
      </c>
      <c r="D1931" s="4" t="s">
        <v>24</v>
      </c>
      <c r="E1931" s="4" t="s">
        <v>34</v>
      </c>
      <c r="F1931" s="4" t="s">
        <v>25</v>
      </c>
      <c r="G1931" s="4" t="s">
        <v>25</v>
      </c>
      <c r="H1931" s="4" t="s">
        <v>25</v>
      </c>
      <c r="I1931" s="5">
        <v>44256</v>
      </c>
      <c r="J1931" s="6">
        <v>0</v>
      </c>
      <c r="K1931" s="6">
        <v>0</v>
      </c>
      <c r="L1931" s="6">
        <v>3072.7719999999999</v>
      </c>
      <c r="M1931" s="6">
        <v>3072.7719999999999</v>
      </c>
      <c r="N1931" s="6">
        <v>3072.7719999999999</v>
      </c>
      <c r="O1931" s="6">
        <v>3072.7719999999999</v>
      </c>
      <c r="P1931" s="6">
        <v>17326</v>
      </c>
      <c r="Q1931" s="4" t="s">
        <v>26</v>
      </c>
      <c r="R1931" s="4">
        <v>0</v>
      </c>
      <c r="S1931" s="4" t="s">
        <v>312</v>
      </c>
      <c r="T1931" s="4" t="s">
        <v>549</v>
      </c>
      <c r="U1931" s="4">
        <v>0</v>
      </c>
      <c r="V1931" s="4">
        <v>7</v>
      </c>
      <c r="W1931" s="4">
        <v>53</v>
      </c>
    </row>
    <row r="1932" spans="1:23" ht="11.25" customHeight="1" x14ac:dyDescent="0.25">
      <c r="A1932" s="4" t="s">
        <v>27</v>
      </c>
      <c r="B1932" s="4" t="s">
        <v>22</v>
      </c>
      <c r="C1932" s="4" t="s">
        <v>23</v>
      </c>
      <c r="D1932" s="4" t="s">
        <v>24</v>
      </c>
      <c r="E1932" s="4" t="s">
        <v>34</v>
      </c>
      <c r="F1932" s="4" t="s">
        <v>25</v>
      </c>
      <c r="G1932" s="4" t="s">
        <v>25</v>
      </c>
      <c r="H1932" s="4" t="s">
        <v>25</v>
      </c>
      <c r="I1932" s="5">
        <v>44256</v>
      </c>
      <c r="J1932" s="6">
        <v>0</v>
      </c>
      <c r="K1932" s="6">
        <v>0</v>
      </c>
      <c r="L1932" s="6">
        <v>-92.253</v>
      </c>
      <c r="M1932" s="6">
        <v>-92.253</v>
      </c>
      <c r="N1932" s="6">
        <v>-92.253</v>
      </c>
      <c r="O1932" s="6">
        <v>-92.253</v>
      </c>
      <c r="P1932" s="6">
        <v>0</v>
      </c>
      <c r="Q1932" s="4" t="s">
        <v>26</v>
      </c>
      <c r="R1932" s="4">
        <v>0</v>
      </c>
      <c r="S1932" s="4" t="s">
        <v>312</v>
      </c>
      <c r="T1932" s="4" t="s">
        <v>549</v>
      </c>
      <c r="U1932" s="4">
        <v>0</v>
      </c>
      <c r="V1932" s="4">
        <v>7</v>
      </c>
      <c r="W1932" s="4">
        <v>53</v>
      </c>
    </row>
    <row r="1933" spans="1:23" ht="11.25" customHeight="1" x14ac:dyDescent="0.25">
      <c r="A1933" s="4" t="s">
        <v>28</v>
      </c>
      <c r="B1933" s="4" t="s">
        <v>22</v>
      </c>
      <c r="C1933" s="4" t="s">
        <v>23</v>
      </c>
      <c r="D1933" s="4" t="s">
        <v>24</v>
      </c>
      <c r="E1933" s="4" t="s">
        <v>34</v>
      </c>
      <c r="F1933" s="4" t="s">
        <v>25</v>
      </c>
      <c r="G1933" s="4" t="s">
        <v>25</v>
      </c>
      <c r="H1933" s="4" t="s">
        <v>25</v>
      </c>
      <c r="I1933" s="5">
        <v>44256</v>
      </c>
      <c r="J1933" s="6">
        <v>0</v>
      </c>
      <c r="K1933" s="6">
        <v>0</v>
      </c>
      <c r="L1933" s="6">
        <v>2521.5030000000002</v>
      </c>
      <c r="M1933" s="6">
        <v>2521.5030000000002</v>
      </c>
      <c r="N1933" s="6">
        <v>2521.5030000000002</v>
      </c>
      <c r="O1933" s="6">
        <v>2521.5030000000002</v>
      </c>
      <c r="P1933" s="6">
        <v>19247</v>
      </c>
      <c r="Q1933" s="4" t="s">
        <v>26</v>
      </c>
      <c r="R1933" s="4">
        <v>0</v>
      </c>
      <c r="S1933" s="4" t="s">
        <v>312</v>
      </c>
      <c r="T1933" s="4" t="s">
        <v>549</v>
      </c>
      <c r="U1933" s="4">
        <v>0</v>
      </c>
      <c r="V1933" s="4">
        <v>7</v>
      </c>
      <c r="W1933" s="4">
        <v>53</v>
      </c>
    </row>
    <row r="1934" spans="1:23" ht="11.25" customHeight="1" x14ac:dyDescent="0.25">
      <c r="A1934" s="4" t="s">
        <v>29</v>
      </c>
      <c r="B1934" s="4" t="s">
        <v>22</v>
      </c>
      <c r="C1934" s="4" t="s">
        <v>23</v>
      </c>
      <c r="D1934" s="4" t="s">
        <v>24</v>
      </c>
      <c r="E1934" s="4" t="s">
        <v>34</v>
      </c>
      <c r="F1934" s="4" t="s">
        <v>25</v>
      </c>
      <c r="G1934" s="4" t="s">
        <v>25</v>
      </c>
      <c r="H1934" s="4" t="s">
        <v>25</v>
      </c>
      <c r="I1934" s="5">
        <v>44256</v>
      </c>
      <c r="J1934" s="6">
        <v>0</v>
      </c>
      <c r="K1934" s="6">
        <v>0</v>
      </c>
      <c r="L1934" s="6">
        <v>-31.957000000000001</v>
      </c>
      <c r="M1934" s="6">
        <v>-31.957000000000001</v>
      </c>
      <c r="N1934" s="6">
        <v>-31.957000000000001</v>
      </c>
      <c r="O1934" s="6">
        <v>-31.957000000000001</v>
      </c>
      <c r="P1934" s="6">
        <v>0</v>
      </c>
      <c r="Q1934" s="4" t="s">
        <v>26</v>
      </c>
      <c r="R1934" s="4">
        <v>0</v>
      </c>
      <c r="S1934" s="4" t="s">
        <v>312</v>
      </c>
      <c r="T1934" s="4" t="s">
        <v>549</v>
      </c>
      <c r="U1934" s="4">
        <v>0</v>
      </c>
      <c r="V1934" s="4">
        <v>7</v>
      </c>
      <c r="W1934" s="4">
        <v>53</v>
      </c>
    </row>
    <row r="1935" spans="1:23" ht="11.25" customHeight="1" x14ac:dyDescent="0.25">
      <c r="A1935" s="4" t="s">
        <v>30</v>
      </c>
      <c r="B1935" s="4" t="s">
        <v>22</v>
      </c>
      <c r="C1935" s="4" t="s">
        <v>23</v>
      </c>
      <c r="D1935" s="4" t="s">
        <v>24</v>
      </c>
      <c r="E1935" s="4" t="s">
        <v>34</v>
      </c>
      <c r="F1935" s="4" t="s">
        <v>25</v>
      </c>
      <c r="G1935" s="4" t="s">
        <v>25</v>
      </c>
      <c r="H1935" s="4" t="s">
        <v>25</v>
      </c>
      <c r="I1935" s="5">
        <v>44256</v>
      </c>
      <c r="J1935" s="6">
        <v>0</v>
      </c>
      <c r="K1935" s="6">
        <v>0</v>
      </c>
      <c r="L1935" s="6">
        <v>9.9000000000000005E-2</v>
      </c>
      <c r="M1935" s="6">
        <v>9.9000000000000005E-2</v>
      </c>
      <c r="N1935" s="6">
        <v>9.9000000000000005E-2</v>
      </c>
      <c r="O1935" s="6">
        <v>9.9000000000000005E-2</v>
      </c>
      <c r="P1935" s="6">
        <v>2</v>
      </c>
      <c r="Q1935" s="4" t="s">
        <v>26</v>
      </c>
      <c r="R1935" s="4">
        <v>0</v>
      </c>
      <c r="S1935" s="4" t="s">
        <v>312</v>
      </c>
      <c r="T1935" s="4" t="s">
        <v>549</v>
      </c>
      <c r="U1935" s="4">
        <v>0</v>
      </c>
      <c r="V1935" s="4">
        <v>7</v>
      </c>
      <c r="W1935" s="4">
        <v>53</v>
      </c>
    </row>
    <row r="1936" spans="1:23" ht="11.25" customHeight="1" x14ac:dyDescent="0.25">
      <c r="A1936" s="4" t="s">
        <v>21</v>
      </c>
      <c r="B1936" s="4" t="s">
        <v>22</v>
      </c>
      <c r="C1936" s="4" t="s">
        <v>23</v>
      </c>
      <c r="D1936" s="4" t="s">
        <v>24</v>
      </c>
      <c r="E1936" s="4" t="s">
        <v>34</v>
      </c>
      <c r="F1936" s="4" t="s">
        <v>25</v>
      </c>
      <c r="G1936" s="4" t="s">
        <v>25</v>
      </c>
      <c r="H1936" s="4" t="s">
        <v>25</v>
      </c>
      <c r="I1936" s="5">
        <v>44287</v>
      </c>
      <c r="J1936" s="6">
        <v>0</v>
      </c>
      <c r="K1936" s="6">
        <v>0</v>
      </c>
      <c r="L1936" s="6">
        <v>3414.5819999999999</v>
      </c>
      <c r="M1936" s="6">
        <v>3414.5819999999999</v>
      </c>
      <c r="N1936" s="6">
        <v>3414.5819999999999</v>
      </c>
      <c r="O1936" s="6">
        <v>3414.5819999999999</v>
      </c>
      <c r="P1936" s="6">
        <v>18530</v>
      </c>
      <c r="Q1936" s="4" t="s">
        <v>26</v>
      </c>
      <c r="R1936" s="4">
        <v>0</v>
      </c>
      <c r="S1936" s="4" t="s">
        <v>313</v>
      </c>
      <c r="T1936" s="4" t="s">
        <v>550</v>
      </c>
      <c r="U1936" s="4">
        <v>0</v>
      </c>
      <c r="V1936" s="4">
        <v>7</v>
      </c>
      <c r="W1936" s="4">
        <v>53</v>
      </c>
    </row>
    <row r="1937" spans="1:23" ht="11.25" customHeight="1" x14ac:dyDescent="0.25">
      <c r="A1937" s="4" t="s">
        <v>27</v>
      </c>
      <c r="B1937" s="4" t="s">
        <v>22</v>
      </c>
      <c r="C1937" s="4" t="s">
        <v>23</v>
      </c>
      <c r="D1937" s="4" t="s">
        <v>24</v>
      </c>
      <c r="E1937" s="4" t="s">
        <v>34</v>
      </c>
      <c r="F1937" s="4" t="s">
        <v>25</v>
      </c>
      <c r="G1937" s="4" t="s">
        <v>25</v>
      </c>
      <c r="H1937" s="4" t="s">
        <v>25</v>
      </c>
      <c r="I1937" s="5">
        <v>44287</v>
      </c>
      <c r="J1937" s="6">
        <v>0</v>
      </c>
      <c r="K1937" s="6">
        <v>0</v>
      </c>
      <c r="L1937" s="6">
        <v>-47.475999999999999</v>
      </c>
      <c r="M1937" s="6">
        <v>-47.475999999999999</v>
      </c>
      <c r="N1937" s="6">
        <v>-47.475999999999999</v>
      </c>
      <c r="O1937" s="6">
        <v>-47.475999999999999</v>
      </c>
      <c r="P1937" s="6">
        <v>0</v>
      </c>
      <c r="Q1937" s="4" t="s">
        <v>26</v>
      </c>
      <c r="R1937" s="4">
        <v>0</v>
      </c>
      <c r="S1937" s="4" t="s">
        <v>313</v>
      </c>
      <c r="T1937" s="4" t="s">
        <v>550</v>
      </c>
      <c r="U1937" s="4">
        <v>0</v>
      </c>
      <c r="V1937" s="4">
        <v>7</v>
      </c>
      <c r="W1937" s="4">
        <v>53</v>
      </c>
    </row>
    <row r="1938" spans="1:23" ht="11.25" customHeight="1" x14ac:dyDescent="0.25">
      <c r="A1938" s="4" t="s">
        <v>28</v>
      </c>
      <c r="B1938" s="4" t="s">
        <v>22</v>
      </c>
      <c r="C1938" s="4" t="s">
        <v>23</v>
      </c>
      <c r="D1938" s="4" t="s">
        <v>24</v>
      </c>
      <c r="E1938" s="4" t="s">
        <v>34</v>
      </c>
      <c r="F1938" s="4" t="s">
        <v>25</v>
      </c>
      <c r="G1938" s="4" t="s">
        <v>25</v>
      </c>
      <c r="H1938" s="4" t="s">
        <v>25</v>
      </c>
      <c r="I1938" s="5">
        <v>44287</v>
      </c>
      <c r="J1938" s="6">
        <v>0</v>
      </c>
      <c r="K1938" s="6">
        <v>0</v>
      </c>
      <c r="L1938" s="6">
        <v>2899.3980000000001</v>
      </c>
      <c r="M1938" s="6">
        <v>2899.3980000000001</v>
      </c>
      <c r="N1938" s="6">
        <v>2899.3980000000001</v>
      </c>
      <c r="O1938" s="6">
        <v>2899.3980000000001</v>
      </c>
      <c r="P1938" s="6">
        <v>22749</v>
      </c>
      <c r="Q1938" s="4" t="s">
        <v>26</v>
      </c>
      <c r="R1938" s="4">
        <v>0</v>
      </c>
      <c r="S1938" s="4" t="s">
        <v>313</v>
      </c>
      <c r="T1938" s="4" t="s">
        <v>550</v>
      </c>
      <c r="U1938" s="4">
        <v>0</v>
      </c>
      <c r="V1938" s="4">
        <v>7</v>
      </c>
      <c r="W1938" s="4">
        <v>53</v>
      </c>
    </row>
    <row r="1939" spans="1:23" ht="11.25" customHeight="1" x14ac:dyDescent="0.25">
      <c r="A1939" s="4" t="s">
        <v>29</v>
      </c>
      <c r="B1939" s="4" t="s">
        <v>22</v>
      </c>
      <c r="C1939" s="4" t="s">
        <v>23</v>
      </c>
      <c r="D1939" s="4" t="s">
        <v>24</v>
      </c>
      <c r="E1939" s="4" t="s">
        <v>34</v>
      </c>
      <c r="F1939" s="4" t="s">
        <v>25</v>
      </c>
      <c r="G1939" s="4" t="s">
        <v>25</v>
      </c>
      <c r="H1939" s="4" t="s">
        <v>25</v>
      </c>
      <c r="I1939" s="5">
        <v>44287</v>
      </c>
      <c r="J1939" s="6">
        <v>0</v>
      </c>
      <c r="K1939" s="6">
        <v>0</v>
      </c>
      <c r="L1939" s="6">
        <v>-47.3</v>
      </c>
      <c r="M1939" s="6">
        <v>-47.3</v>
      </c>
      <c r="N1939" s="6">
        <v>-47.3</v>
      </c>
      <c r="O1939" s="6">
        <v>-47.3</v>
      </c>
      <c r="P1939" s="6">
        <v>0</v>
      </c>
      <c r="Q1939" s="4" t="s">
        <v>26</v>
      </c>
      <c r="R1939" s="4">
        <v>0</v>
      </c>
      <c r="S1939" s="4" t="s">
        <v>313</v>
      </c>
      <c r="T1939" s="4" t="s">
        <v>550</v>
      </c>
      <c r="U1939" s="4">
        <v>0</v>
      </c>
      <c r="V1939" s="4">
        <v>7</v>
      </c>
      <c r="W1939" s="4">
        <v>53</v>
      </c>
    </row>
    <row r="1940" spans="1:23" ht="11.25" customHeight="1" x14ac:dyDescent="0.25">
      <c r="A1940" s="4" t="s">
        <v>30</v>
      </c>
      <c r="B1940" s="4" t="s">
        <v>22</v>
      </c>
      <c r="C1940" s="4" t="s">
        <v>23</v>
      </c>
      <c r="D1940" s="4" t="s">
        <v>24</v>
      </c>
      <c r="E1940" s="4" t="s">
        <v>34</v>
      </c>
      <c r="F1940" s="4" t="s">
        <v>25</v>
      </c>
      <c r="G1940" s="4" t="s">
        <v>25</v>
      </c>
      <c r="H1940" s="4" t="s">
        <v>25</v>
      </c>
      <c r="I1940" s="5">
        <v>44287</v>
      </c>
      <c r="J1940" s="6">
        <v>0</v>
      </c>
      <c r="K1940" s="6">
        <v>0</v>
      </c>
      <c r="L1940" s="6">
        <v>5.8000000000000003E-2</v>
      </c>
      <c r="M1940" s="6">
        <v>5.8000000000000003E-2</v>
      </c>
      <c r="N1940" s="6">
        <v>5.8000000000000003E-2</v>
      </c>
      <c r="O1940" s="6">
        <v>5.8000000000000003E-2</v>
      </c>
      <c r="P1940" s="6">
        <v>1</v>
      </c>
      <c r="Q1940" s="4" t="s">
        <v>26</v>
      </c>
      <c r="R1940" s="4">
        <v>0</v>
      </c>
      <c r="S1940" s="4" t="s">
        <v>313</v>
      </c>
      <c r="T1940" s="4" t="s">
        <v>550</v>
      </c>
      <c r="U1940" s="4">
        <v>0</v>
      </c>
      <c r="V1940" s="4">
        <v>7</v>
      </c>
      <c r="W1940" s="4">
        <v>53</v>
      </c>
    </row>
    <row r="1941" spans="1:23" ht="11.25" customHeight="1" x14ac:dyDescent="0.25">
      <c r="A1941" s="4" t="s">
        <v>21</v>
      </c>
      <c r="B1941" s="4" t="s">
        <v>22</v>
      </c>
      <c r="C1941" s="4" t="s">
        <v>23</v>
      </c>
      <c r="D1941" s="4" t="s">
        <v>24</v>
      </c>
      <c r="E1941" s="4" t="s">
        <v>34</v>
      </c>
      <c r="F1941" s="4" t="s">
        <v>25</v>
      </c>
      <c r="G1941" s="4" t="s">
        <v>25</v>
      </c>
      <c r="H1941" s="4" t="s">
        <v>25</v>
      </c>
      <c r="I1941" s="5">
        <v>44317</v>
      </c>
      <c r="J1941" s="6">
        <v>0</v>
      </c>
      <c r="K1941" s="6">
        <v>0</v>
      </c>
      <c r="L1941" s="6">
        <v>3291.07</v>
      </c>
      <c r="M1941" s="6">
        <v>3291.07</v>
      </c>
      <c r="N1941" s="6">
        <v>3291.07</v>
      </c>
      <c r="O1941" s="6">
        <v>3291.07</v>
      </c>
      <c r="P1941" s="6">
        <v>17987</v>
      </c>
      <c r="Q1941" s="4" t="s">
        <v>26</v>
      </c>
      <c r="R1941" s="4">
        <v>0</v>
      </c>
      <c r="S1941" s="4" t="s">
        <v>314</v>
      </c>
      <c r="T1941" s="4" t="s">
        <v>551</v>
      </c>
      <c r="U1941" s="4">
        <v>0</v>
      </c>
      <c r="V1941" s="4">
        <v>7</v>
      </c>
      <c r="W1941" s="4">
        <v>53</v>
      </c>
    </row>
    <row r="1942" spans="1:23" ht="11.25" customHeight="1" x14ac:dyDescent="0.25">
      <c r="A1942" s="4" t="s">
        <v>27</v>
      </c>
      <c r="B1942" s="4" t="s">
        <v>22</v>
      </c>
      <c r="C1942" s="4" t="s">
        <v>23</v>
      </c>
      <c r="D1942" s="4" t="s">
        <v>24</v>
      </c>
      <c r="E1942" s="4" t="s">
        <v>34</v>
      </c>
      <c r="F1942" s="4" t="s">
        <v>25</v>
      </c>
      <c r="G1942" s="4" t="s">
        <v>25</v>
      </c>
      <c r="H1942" s="4" t="s">
        <v>25</v>
      </c>
      <c r="I1942" s="5">
        <v>44317</v>
      </c>
      <c r="J1942" s="6">
        <v>0</v>
      </c>
      <c r="K1942" s="6">
        <v>0</v>
      </c>
      <c r="L1942" s="6">
        <v>-118.84</v>
      </c>
      <c r="M1942" s="6">
        <v>-118.84</v>
      </c>
      <c r="N1942" s="6">
        <v>-118.84</v>
      </c>
      <c r="O1942" s="6">
        <v>-118.84</v>
      </c>
      <c r="P1942" s="6">
        <v>0</v>
      </c>
      <c r="Q1942" s="4" t="s">
        <v>26</v>
      </c>
      <c r="R1942" s="4">
        <v>0</v>
      </c>
      <c r="S1942" s="4" t="s">
        <v>314</v>
      </c>
      <c r="T1942" s="4" t="s">
        <v>551</v>
      </c>
      <c r="U1942" s="4">
        <v>0</v>
      </c>
      <c r="V1942" s="4">
        <v>7</v>
      </c>
      <c r="W1942" s="4">
        <v>53</v>
      </c>
    </row>
    <row r="1943" spans="1:23" ht="11.25" customHeight="1" x14ac:dyDescent="0.25">
      <c r="A1943" s="4" t="s">
        <v>28</v>
      </c>
      <c r="B1943" s="4" t="s">
        <v>22</v>
      </c>
      <c r="C1943" s="4" t="s">
        <v>23</v>
      </c>
      <c r="D1943" s="4" t="s">
        <v>24</v>
      </c>
      <c r="E1943" s="4" t="s">
        <v>34</v>
      </c>
      <c r="F1943" s="4" t="s">
        <v>25</v>
      </c>
      <c r="G1943" s="4" t="s">
        <v>25</v>
      </c>
      <c r="H1943" s="4" t="s">
        <v>25</v>
      </c>
      <c r="I1943" s="5">
        <v>44317</v>
      </c>
      <c r="J1943" s="6">
        <v>0</v>
      </c>
      <c r="K1943" s="6">
        <v>0</v>
      </c>
      <c r="L1943" s="6">
        <v>2903.1790000000001</v>
      </c>
      <c r="M1943" s="6">
        <v>2903.1790000000001</v>
      </c>
      <c r="N1943" s="6">
        <v>2903.1790000000001</v>
      </c>
      <c r="O1943" s="6">
        <v>2903.1790000000001</v>
      </c>
      <c r="P1943" s="6">
        <v>22432</v>
      </c>
      <c r="Q1943" s="4" t="s">
        <v>26</v>
      </c>
      <c r="R1943" s="4">
        <v>0</v>
      </c>
      <c r="S1943" s="4" t="s">
        <v>314</v>
      </c>
      <c r="T1943" s="4" t="s">
        <v>551</v>
      </c>
      <c r="U1943" s="4">
        <v>0</v>
      </c>
      <c r="V1943" s="4">
        <v>7</v>
      </c>
      <c r="W1943" s="4">
        <v>53</v>
      </c>
    </row>
    <row r="1944" spans="1:23" ht="11.25" customHeight="1" x14ac:dyDescent="0.25">
      <c r="A1944" s="4" t="s">
        <v>29</v>
      </c>
      <c r="B1944" s="4" t="s">
        <v>22</v>
      </c>
      <c r="C1944" s="4" t="s">
        <v>23</v>
      </c>
      <c r="D1944" s="4" t="s">
        <v>24</v>
      </c>
      <c r="E1944" s="4" t="s">
        <v>34</v>
      </c>
      <c r="F1944" s="4" t="s">
        <v>25</v>
      </c>
      <c r="G1944" s="4" t="s">
        <v>25</v>
      </c>
      <c r="H1944" s="4" t="s">
        <v>25</v>
      </c>
      <c r="I1944" s="5">
        <v>44317</v>
      </c>
      <c r="J1944" s="6">
        <v>0</v>
      </c>
      <c r="K1944" s="6">
        <v>0</v>
      </c>
      <c r="L1944" s="6">
        <v>-126.295</v>
      </c>
      <c r="M1944" s="6">
        <v>-126.295</v>
      </c>
      <c r="N1944" s="6">
        <v>-126.295</v>
      </c>
      <c r="O1944" s="6">
        <v>-126.295</v>
      </c>
      <c r="P1944" s="6">
        <v>0</v>
      </c>
      <c r="Q1944" s="4" t="s">
        <v>26</v>
      </c>
      <c r="R1944" s="4">
        <v>0</v>
      </c>
      <c r="S1944" s="4" t="s">
        <v>314</v>
      </c>
      <c r="T1944" s="4" t="s">
        <v>551</v>
      </c>
      <c r="U1944" s="4">
        <v>0</v>
      </c>
      <c r="V1944" s="4">
        <v>7</v>
      </c>
      <c r="W1944" s="4">
        <v>53</v>
      </c>
    </row>
    <row r="1945" spans="1:23" ht="11.25" customHeight="1" x14ac:dyDescent="0.25">
      <c r="A1945" s="4" t="s">
        <v>30</v>
      </c>
      <c r="B1945" s="4" t="s">
        <v>22</v>
      </c>
      <c r="C1945" s="4" t="s">
        <v>23</v>
      </c>
      <c r="D1945" s="4" t="s">
        <v>24</v>
      </c>
      <c r="E1945" s="4" t="s">
        <v>34</v>
      </c>
      <c r="F1945" s="4" t="s">
        <v>25</v>
      </c>
      <c r="G1945" s="4" t="s">
        <v>25</v>
      </c>
      <c r="H1945" s="4" t="s">
        <v>25</v>
      </c>
      <c r="I1945" s="5">
        <v>44317</v>
      </c>
      <c r="J1945" s="6">
        <v>0</v>
      </c>
      <c r="K1945" s="6">
        <v>0</v>
      </c>
      <c r="L1945" s="6">
        <v>0.69199999999999995</v>
      </c>
      <c r="M1945" s="6">
        <v>0.69199999999999995</v>
      </c>
      <c r="N1945" s="6">
        <v>0.69199999999999995</v>
      </c>
      <c r="O1945" s="6">
        <v>0.69199999999999995</v>
      </c>
      <c r="P1945" s="6">
        <v>3</v>
      </c>
      <c r="Q1945" s="4" t="s">
        <v>26</v>
      </c>
      <c r="R1945" s="4">
        <v>0</v>
      </c>
      <c r="S1945" s="4" t="s">
        <v>314</v>
      </c>
      <c r="T1945" s="4" t="s">
        <v>551</v>
      </c>
      <c r="U1945" s="4">
        <v>0</v>
      </c>
      <c r="V1945" s="4">
        <v>7</v>
      </c>
      <c r="W1945" s="4">
        <v>53</v>
      </c>
    </row>
    <row r="1946" spans="1:23" ht="11.25" customHeight="1" x14ac:dyDescent="0.25">
      <c r="A1946" s="4" t="s">
        <v>21</v>
      </c>
      <c r="B1946" s="4" t="s">
        <v>22</v>
      </c>
      <c r="C1946" s="4" t="s">
        <v>23</v>
      </c>
      <c r="D1946" s="4" t="s">
        <v>24</v>
      </c>
      <c r="E1946" s="4" t="s">
        <v>34</v>
      </c>
      <c r="F1946" s="4" t="s">
        <v>25</v>
      </c>
      <c r="G1946" s="4" t="s">
        <v>25</v>
      </c>
      <c r="H1946" s="4" t="s">
        <v>25</v>
      </c>
      <c r="I1946" s="5">
        <v>44348</v>
      </c>
      <c r="J1946" s="6">
        <v>0</v>
      </c>
      <c r="K1946" s="6">
        <v>0</v>
      </c>
      <c r="L1946" s="6">
        <v>4129.3940000000002</v>
      </c>
      <c r="M1946" s="6">
        <v>4129.3940000000002</v>
      </c>
      <c r="N1946" s="6">
        <v>4129.3940000000002</v>
      </c>
      <c r="O1946" s="6">
        <v>4129.3940000000002</v>
      </c>
      <c r="P1946" s="6">
        <v>20977</v>
      </c>
      <c r="Q1946" s="4" t="s">
        <v>26</v>
      </c>
      <c r="R1946" s="4">
        <v>0</v>
      </c>
      <c r="S1946" s="4" t="s">
        <v>315</v>
      </c>
      <c r="T1946" s="4" t="s">
        <v>552</v>
      </c>
      <c r="U1946" s="4">
        <v>0</v>
      </c>
      <c r="V1946" s="4">
        <v>7</v>
      </c>
      <c r="W1946" s="4">
        <v>53</v>
      </c>
    </row>
    <row r="1947" spans="1:23" ht="11.25" customHeight="1" x14ac:dyDescent="0.25">
      <c r="A1947" s="4" t="s">
        <v>27</v>
      </c>
      <c r="B1947" s="4" t="s">
        <v>22</v>
      </c>
      <c r="C1947" s="4" t="s">
        <v>23</v>
      </c>
      <c r="D1947" s="4" t="s">
        <v>24</v>
      </c>
      <c r="E1947" s="4" t="s">
        <v>34</v>
      </c>
      <c r="F1947" s="4" t="s">
        <v>25</v>
      </c>
      <c r="G1947" s="4" t="s">
        <v>25</v>
      </c>
      <c r="H1947" s="4" t="s">
        <v>25</v>
      </c>
      <c r="I1947" s="5">
        <v>44348</v>
      </c>
      <c r="J1947" s="6">
        <v>0</v>
      </c>
      <c r="K1947" s="6">
        <v>0</v>
      </c>
      <c r="L1947" s="6">
        <v>-31.288</v>
      </c>
      <c r="M1947" s="6">
        <v>-31.288</v>
      </c>
      <c r="N1947" s="6">
        <v>-31.288</v>
      </c>
      <c r="O1947" s="6">
        <v>-31.288</v>
      </c>
      <c r="P1947" s="6">
        <v>0</v>
      </c>
      <c r="Q1947" s="4" t="s">
        <v>26</v>
      </c>
      <c r="R1947" s="4">
        <v>0</v>
      </c>
      <c r="S1947" s="4" t="s">
        <v>315</v>
      </c>
      <c r="T1947" s="4" t="s">
        <v>552</v>
      </c>
      <c r="U1947" s="4">
        <v>0</v>
      </c>
      <c r="V1947" s="4">
        <v>7</v>
      </c>
      <c r="W1947" s="4">
        <v>53</v>
      </c>
    </row>
    <row r="1948" spans="1:23" ht="11.25" customHeight="1" x14ac:dyDescent="0.25">
      <c r="A1948" s="4" t="s">
        <v>28</v>
      </c>
      <c r="B1948" s="4" t="s">
        <v>22</v>
      </c>
      <c r="C1948" s="4" t="s">
        <v>23</v>
      </c>
      <c r="D1948" s="4" t="s">
        <v>24</v>
      </c>
      <c r="E1948" s="4" t="s">
        <v>34</v>
      </c>
      <c r="F1948" s="4" t="s">
        <v>25</v>
      </c>
      <c r="G1948" s="4" t="s">
        <v>25</v>
      </c>
      <c r="H1948" s="4" t="s">
        <v>25</v>
      </c>
      <c r="I1948" s="5">
        <v>44348</v>
      </c>
      <c r="J1948" s="6">
        <v>0</v>
      </c>
      <c r="K1948" s="6">
        <v>0</v>
      </c>
      <c r="L1948" s="6">
        <v>3316.9760000000001</v>
      </c>
      <c r="M1948" s="6">
        <v>3316.9760000000001</v>
      </c>
      <c r="N1948" s="6">
        <v>3316.9760000000001</v>
      </c>
      <c r="O1948" s="6">
        <v>3316.9760000000001</v>
      </c>
      <c r="P1948" s="6">
        <v>24413</v>
      </c>
      <c r="Q1948" s="4" t="s">
        <v>26</v>
      </c>
      <c r="R1948" s="4">
        <v>0</v>
      </c>
      <c r="S1948" s="4" t="s">
        <v>315</v>
      </c>
      <c r="T1948" s="4" t="s">
        <v>552</v>
      </c>
      <c r="U1948" s="4">
        <v>0</v>
      </c>
      <c r="V1948" s="4">
        <v>7</v>
      </c>
      <c r="W1948" s="4">
        <v>53</v>
      </c>
    </row>
    <row r="1949" spans="1:23" ht="11.25" customHeight="1" x14ac:dyDescent="0.25">
      <c r="A1949" s="4" t="s">
        <v>29</v>
      </c>
      <c r="B1949" s="4" t="s">
        <v>22</v>
      </c>
      <c r="C1949" s="4" t="s">
        <v>23</v>
      </c>
      <c r="D1949" s="4" t="s">
        <v>24</v>
      </c>
      <c r="E1949" s="4" t="s">
        <v>34</v>
      </c>
      <c r="F1949" s="4" t="s">
        <v>25</v>
      </c>
      <c r="G1949" s="4" t="s">
        <v>25</v>
      </c>
      <c r="H1949" s="4" t="s">
        <v>25</v>
      </c>
      <c r="I1949" s="5">
        <v>44348</v>
      </c>
      <c r="J1949" s="6">
        <v>0</v>
      </c>
      <c r="K1949" s="6">
        <v>0</v>
      </c>
      <c r="L1949" s="6">
        <v>-146.59200000000001</v>
      </c>
      <c r="M1949" s="6">
        <v>-146.59200000000001</v>
      </c>
      <c r="N1949" s="6">
        <v>-146.59200000000001</v>
      </c>
      <c r="O1949" s="6">
        <v>-146.59200000000001</v>
      </c>
      <c r="P1949" s="6">
        <v>0</v>
      </c>
      <c r="Q1949" s="4" t="s">
        <v>26</v>
      </c>
      <c r="R1949" s="4">
        <v>0</v>
      </c>
      <c r="S1949" s="4" t="s">
        <v>315</v>
      </c>
      <c r="T1949" s="4" t="s">
        <v>552</v>
      </c>
      <c r="U1949" s="4">
        <v>0</v>
      </c>
      <c r="V1949" s="4">
        <v>7</v>
      </c>
      <c r="W1949" s="4">
        <v>53</v>
      </c>
    </row>
    <row r="1950" spans="1:23" ht="11.25" customHeight="1" x14ac:dyDescent="0.25">
      <c r="A1950" s="4" t="s">
        <v>30</v>
      </c>
      <c r="B1950" s="4" t="s">
        <v>22</v>
      </c>
      <c r="C1950" s="4" t="s">
        <v>23</v>
      </c>
      <c r="D1950" s="4" t="s">
        <v>24</v>
      </c>
      <c r="E1950" s="4" t="s">
        <v>34</v>
      </c>
      <c r="F1950" s="4" t="s">
        <v>25</v>
      </c>
      <c r="G1950" s="4" t="s">
        <v>25</v>
      </c>
      <c r="H1950" s="4" t="s">
        <v>25</v>
      </c>
      <c r="I1950" s="5">
        <v>44348</v>
      </c>
      <c r="J1950" s="6">
        <v>0</v>
      </c>
      <c r="K1950" s="6">
        <v>0</v>
      </c>
      <c r="L1950" s="6">
        <v>0.91200000000000003</v>
      </c>
      <c r="M1950" s="6">
        <v>0.91200000000000003</v>
      </c>
      <c r="N1950" s="6">
        <v>0.91200000000000003</v>
      </c>
      <c r="O1950" s="6">
        <v>0.91200000000000003</v>
      </c>
      <c r="P1950" s="6">
        <v>4</v>
      </c>
      <c r="Q1950" s="4" t="s">
        <v>26</v>
      </c>
      <c r="R1950" s="4">
        <v>0</v>
      </c>
      <c r="S1950" s="4" t="s">
        <v>315</v>
      </c>
      <c r="T1950" s="4" t="s">
        <v>552</v>
      </c>
      <c r="U1950" s="4">
        <v>0</v>
      </c>
      <c r="V1950" s="4">
        <v>7</v>
      </c>
      <c r="W1950" s="4">
        <v>53</v>
      </c>
    </row>
    <row r="1951" spans="1:23" ht="11.25" customHeight="1" x14ac:dyDescent="0.25">
      <c r="A1951" s="4" t="s">
        <v>21</v>
      </c>
      <c r="B1951" s="4" t="s">
        <v>22</v>
      </c>
      <c r="C1951" s="4" t="s">
        <v>23</v>
      </c>
      <c r="D1951" s="4" t="s">
        <v>24</v>
      </c>
      <c r="E1951" s="4" t="s">
        <v>34</v>
      </c>
      <c r="F1951" s="4" t="s">
        <v>25</v>
      </c>
      <c r="G1951" s="4" t="s">
        <v>25</v>
      </c>
      <c r="H1951" s="4" t="s">
        <v>25</v>
      </c>
      <c r="I1951" s="5">
        <v>44378</v>
      </c>
      <c r="J1951" s="6">
        <v>0</v>
      </c>
      <c r="K1951" s="6">
        <v>0</v>
      </c>
      <c r="L1951" s="6">
        <v>3495.712</v>
      </c>
      <c r="M1951" s="6">
        <v>3495.712</v>
      </c>
      <c r="N1951" s="6">
        <v>3495.712</v>
      </c>
      <c r="O1951" s="6">
        <v>3495.712</v>
      </c>
      <c r="P1951" s="6">
        <v>18661</v>
      </c>
      <c r="Q1951" s="4" t="s">
        <v>26</v>
      </c>
      <c r="R1951" s="4">
        <v>0</v>
      </c>
      <c r="S1951" s="4" t="s">
        <v>316</v>
      </c>
      <c r="T1951" s="4" t="s">
        <v>553</v>
      </c>
      <c r="U1951" s="4">
        <v>0</v>
      </c>
      <c r="V1951" s="4">
        <v>7</v>
      </c>
      <c r="W1951" s="4">
        <v>53</v>
      </c>
    </row>
    <row r="1952" spans="1:23" ht="11.25" customHeight="1" x14ac:dyDescent="0.25">
      <c r="A1952" s="4" t="s">
        <v>27</v>
      </c>
      <c r="B1952" s="4" t="s">
        <v>22</v>
      </c>
      <c r="C1952" s="4" t="s">
        <v>23</v>
      </c>
      <c r="D1952" s="4" t="s">
        <v>24</v>
      </c>
      <c r="E1952" s="4" t="s">
        <v>34</v>
      </c>
      <c r="F1952" s="4" t="s">
        <v>25</v>
      </c>
      <c r="G1952" s="4" t="s">
        <v>25</v>
      </c>
      <c r="H1952" s="4" t="s">
        <v>25</v>
      </c>
      <c r="I1952" s="5">
        <v>44378</v>
      </c>
      <c r="J1952" s="6">
        <v>0</v>
      </c>
      <c r="K1952" s="6">
        <v>0</v>
      </c>
      <c r="L1952" s="6">
        <v>-309.69200000000001</v>
      </c>
      <c r="M1952" s="6">
        <v>-309.69200000000001</v>
      </c>
      <c r="N1952" s="6">
        <v>-309.69200000000001</v>
      </c>
      <c r="O1952" s="6">
        <v>-309.69200000000001</v>
      </c>
      <c r="P1952" s="6">
        <v>0</v>
      </c>
      <c r="Q1952" s="4" t="s">
        <v>26</v>
      </c>
      <c r="R1952" s="4">
        <v>0</v>
      </c>
      <c r="S1952" s="4" t="s">
        <v>316</v>
      </c>
      <c r="T1952" s="4" t="s">
        <v>553</v>
      </c>
      <c r="U1952" s="4">
        <v>0</v>
      </c>
      <c r="V1952" s="4">
        <v>7</v>
      </c>
      <c r="W1952" s="4">
        <v>53</v>
      </c>
    </row>
    <row r="1953" spans="1:23" ht="11.25" customHeight="1" x14ac:dyDescent="0.25">
      <c r="A1953" s="4" t="s">
        <v>28</v>
      </c>
      <c r="B1953" s="4" t="s">
        <v>22</v>
      </c>
      <c r="C1953" s="4" t="s">
        <v>23</v>
      </c>
      <c r="D1953" s="4" t="s">
        <v>24</v>
      </c>
      <c r="E1953" s="4" t="s">
        <v>34</v>
      </c>
      <c r="F1953" s="4" t="s">
        <v>25</v>
      </c>
      <c r="G1953" s="4" t="s">
        <v>25</v>
      </c>
      <c r="H1953" s="4" t="s">
        <v>25</v>
      </c>
      <c r="I1953" s="5">
        <v>44378</v>
      </c>
      <c r="J1953" s="6">
        <v>0</v>
      </c>
      <c r="K1953" s="6">
        <v>0</v>
      </c>
      <c r="L1953" s="6">
        <v>2618.8760000000002</v>
      </c>
      <c r="M1953" s="6">
        <v>2618.8760000000002</v>
      </c>
      <c r="N1953" s="6">
        <v>2618.8760000000002</v>
      </c>
      <c r="O1953" s="6">
        <v>2618.8760000000002</v>
      </c>
      <c r="P1953" s="6">
        <v>20881</v>
      </c>
      <c r="Q1953" s="4" t="s">
        <v>26</v>
      </c>
      <c r="R1953" s="4">
        <v>0</v>
      </c>
      <c r="S1953" s="4" t="s">
        <v>316</v>
      </c>
      <c r="T1953" s="4" t="s">
        <v>553</v>
      </c>
      <c r="U1953" s="4">
        <v>0</v>
      </c>
      <c r="V1953" s="4">
        <v>7</v>
      </c>
      <c r="W1953" s="4">
        <v>53</v>
      </c>
    </row>
    <row r="1954" spans="1:23" ht="11.25" customHeight="1" x14ac:dyDescent="0.25">
      <c r="A1954" s="4" t="s">
        <v>29</v>
      </c>
      <c r="B1954" s="4" t="s">
        <v>22</v>
      </c>
      <c r="C1954" s="4" t="s">
        <v>23</v>
      </c>
      <c r="D1954" s="4" t="s">
        <v>24</v>
      </c>
      <c r="E1954" s="4" t="s">
        <v>34</v>
      </c>
      <c r="F1954" s="4" t="s">
        <v>25</v>
      </c>
      <c r="G1954" s="4" t="s">
        <v>25</v>
      </c>
      <c r="H1954" s="4" t="s">
        <v>25</v>
      </c>
      <c r="I1954" s="5">
        <v>44378</v>
      </c>
      <c r="J1954" s="6">
        <v>0</v>
      </c>
      <c r="K1954" s="6">
        <v>0</v>
      </c>
      <c r="L1954" s="6">
        <v>-38.697000000000003</v>
      </c>
      <c r="M1954" s="6">
        <v>-38.697000000000003</v>
      </c>
      <c r="N1954" s="6">
        <v>-38.697000000000003</v>
      </c>
      <c r="O1954" s="6">
        <v>-38.697000000000003</v>
      </c>
      <c r="P1954" s="6">
        <v>0</v>
      </c>
      <c r="Q1954" s="4" t="s">
        <v>26</v>
      </c>
      <c r="R1954" s="4">
        <v>0</v>
      </c>
      <c r="S1954" s="4" t="s">
        <v>316</v>
      </c>
      <c r="T1954" s="4" t="s">
        <v>553</v>
      </c>
      <c r="U1954" s="4">
        <v>0</v>
      </c>
      <c r="V1954" s="4">
        <v>7</v>
      </c>
      <c r="W1954" s="4">
        <v>53</v>
      </c>
    </row>
    <row r="1955" spans="1:23" ht="11.25" customHeight="1" x14ac:dyDescent="0.25">
      <c r="A1955" s="4" t="s">
        <v>30</v>
      </c>
      <c r="B1955" s="4" t="s">
        <v>22</v>
      </c>
      <c r="C1955" s="4" t="s">
        <v>23</v>
      </c>
      <c r="D1955" s="4" t="s">
        <v>24</v>
      </c>
      <c r="E1955" s="4" t="s">
        <v>34</v>
      </c>
      <c r="F1955" s="4" t="s">
        <v>25</v>
      </c>
      <c r="G1955" s="4" t="s">
        <v>25</v>
      </c>
      <c r="H1955" s="4" t="s">
        <v>25</v>
      </c>
      <c r="I1955" s="5">
        <v>44378</v>
      </c>
      <c r="J1955" s="6">
        <v>0</v>
      </c>
      <c r="K1955" s="6">
        <v>0</v>
      </c>
      <c r="L1955" s="6">
        <v>0.69499999999999995</v>
      </c>
      <c r="M1955" s="6">
        <v>0.69499999999999995</v>
      </c>
      <c r="N1955" s="6">
        <v>0.69499999999999995</v>
      </c>
      <c r="O1955" s="6">
        <v>0.69499999999999995</v>
      </c>
      <c r="P1955" s="6">
        <v>3</v>
      </c>
      <c r="Q1955" s="4" t="s">
        <v>26</v>
      </c>
      <c r="R1955" s="4">
        <v>0</v>
      </c>
      <c r="S1955" s="4" t="s">
        <v>316</v>
      </c>
      <c r="T1955" s="4" t="s">
        <v>553</v>
      </c>
      <c r="U1955" s="4">
        <v>0</v>
      </c>
      <c r="V1955" s="4">
        <v>7</v>
      </c>
      <c r="W1955" s="4">
        <v>53</v>
      </c>
    </row>
    <row r="1956" spans="1:23" ht="11.25" customHeight="1" x14ac:dyDescent="0.25">
      <c r="A1956" s="4" t="s">
        <v>21</v>
      </c>
      <c r="B1956" s="4" t="s">
        <v>22</v>
      </c>
      <c r="C1956" s="4" t="s">
        <v>23</v>
      </c>
      <c r="D1956" s="4" t="s">
        <v>24</v>
      </c>
      <c r="E1956" s="4" t="s">
        <v>34</v>
      </c>
      <c r="F1956" s="4" t="s">
        <v>25</v>
      </c>
      <c r="G1956" s="4" t="s">
        <v>25</v>
      </c>
      <c r="H1956" s="4" t="s">
        <v>25</v>
      </c>
      <c r="I1956" s="5">
        <v>44409</v>
      </c>
      <c r="J1956" s="6">
        <v>0</v>
      </c>
      <c r="K1956" s="6">
        <v>0</v>
      </c>
      <c r="L1956" s="6">
        <v>4341.5770000000002</v>
      </c>
      <c r="M1956" s="6">
        <v>4341.5770000000002</v>
      </c>
      <c r="N1956" s="6">
        <v>4341.5770000000002</v>
      </c>
      <c r="O1956" s="6">
        <v>4341.5770000000002</v>
      </c>
      <c r="P1956" s="6">
        <v>21562</v>
      </c>
      <c r="Q1956" s="4" t="s">
        <v>26</v>
      </c>
      <c r="R1956" s="4">
        <v>0</v>
      </c>
      <c r="S1956" s="4" t="s">
        <v>317</v>
      </c>
      <c r="T1956" s="4" t="s">
        <v>554</v>
      </c>
      <c r="U1956" s="4">
        <v>0</v>
      </c>
      <c r="V1956" s="4">
        <v>7</v>
      </c>
      <c r="W1956" s="4">
        <v>53</v>
      </c>
    </row>
    <row r="1957" spans="1:23" ht="11.25" customHeight="1" x14ac:dyDescent="0.25">
      <c r="A1957" s="4" t="s">
        <v>27</v>
      </c>
      <c r="B1957" s="4" t="s">
        <v>22</v>
      </c>
      <c r="C1957" s="4" t="s">
        <v>23</v>
      </c>
      <c r="D1957" s="4" t="s">
        <v>24</v>
      </c>
      <c r="E1957" s="4" t="s">
        <v>34</v>
      </c>
      <c r="F1957" s="4" t="s">
        <v>25</v>
      </c>
      <c r="G1957" s="4" t="s">
        <v>25</v>
      </c>
      <c r="H1957" s="4" t="s">
        <v>25</v>
      </c>
      <c r="I1957" s="5">
        <v>44409</v>
      </c>
      <c r="J1957" s="6">
        <v>0</v>
      </c>
      <c r="K1957" s="6">
        <v>0</v>
      </c>
      <c r="L1957" s="6">
        <v>-76.388000000000005</v>
      </c>
      <c r="M1957" s="6">
        <v>-76.388000000000005</v>
      </c>
      <c r="N1957" s="6">
        <v>-76.388000000000005</v>
      </c>
      <c r="O1957" s="6">
        <v>-76.388000000000005</v>
      </c>
      <c r="P1957" s="6">
        <v>0</v>
      </c>
      <c r="Q1957" s="4" t="s">
        <v>26</v>
      </c>
      <c r="R1957" s="4">
        <v>0</v>
      </c>
      <c r="S1957" s="4" t="s">
        <v>317</v>
      </c>
      <c r="T1957" s="4" t="s">
        <v>554</v>
      </c>
      <c r="U1957" s="4">
        <v>0</v>
      </c>
      <c r="V1957" s="4">
        <v>7</v>
      </c>
      <c r="W1957" s="4">
        <v>53</v>
      </c>
    </row>
    <row r="1958" spans="1:23" ht="11.25" customHeight="1" x14ac:dyDescent="0.25">
      <c r="A1958" s="4" t="s">
        <v>28</v>
      </c>
      <c r="B1958" s="4" t="s">
        <v>22</v>
      </c>
      <c r="C1958" s="4" t="s">
        <v>23</v>
      </c>
      <c r="D1958" s="4" t="s">
        <v>24</v>
      </c>
      <c r="E1958" s="4" t="s">
        <v>34</v>
      </c>
      <c r="F1958" s="4" t="s">
        <v>25</v>
      </c>
      <c r="G1958" s="4" t="s">
        <v>25</v>
      </c>
      <c r="H1958" s="4" t="s">
        <v>25</v>
      </c>
      <c r="I1958" s="5">
        <v>44409</v>
      </c>
      <c r="J1958" s="6">
        <v>0</v>
      </c>
      <c r="K1958" s="6">
        <v>0</v>
      </c>
      <c r="L1958" s="6">
        <v>3354.346</v>
      </c>
      <c r="M1958" s="6">
        <v>3354.346</v>
      </c>
      <c r="N1958" s="6">
        <v>3354.346</v>
      </c>
      <c r="O1958" s="6">
        <v>3354.346</v>
      </c>
      <c r="P1958" s="6">
        <v>23800</v>
      </c>
      <c r="Q1958" s="4" t="s">
        <v>26</v>
      </c>
      <c r="R1958" s="4">
        <v>0</v>
      </c>
      <c r="S1958" s="4" t="s">
        <v>317</v>
      </c>
      <c r="T1958" s="4" t="s">
        <v>554</v>
      </c>
      <c r="U1958" s="4">
        <v>0</v>
      </c>
      <c r="V1958" s="4">
        <v>7</v>
      </c>
      <c r="W1958" s="4">
        <v>53</v>
      </c>
    </row>
    <row r="1959" spans="1:23" ht="11.25" customHeight="1" x14ac:dyDescent="0.25">
      <c r="A1959" s="4" t="s">
        <v>29</v>
      </c>
      <c r="B1959" s="4" t="s">
        <v>22</v>
      </c>
      <c r="C1959" s="4" t="s">
        <v>23</v>
      </c>
      <c r="D1959" s="4" t="s">
        <v>24</v>
      </c>
      <c r="E1959" s="4" t="s">
        <v>34</v>
      </c>
      <c r="F1959" s="4" t="s">
        <v>25</v>
      </c>
      <c r="G1959" s="4" t="s">
        <v>25</v>
      </c>
      <c r="H1959" s="4" t="s">
        <v>25</v>
      </c>
      <c r="I1959" s="5">
        <v>44409</v>
      </c>
      <c r="J1959" s="6">
        <v>0</v>
      </c>
      <c r="K1959" s="6">
        <v>0</v>
      </c>
      <c r="L1959" s="6">
        <v>-18.576000000000001</v>
      </c>
      <c r="M1959" s="6">
        <v>-18.576000000000001</v>
      </c>
      <c r="N1959" s="6">
        <v>-18.576000000000001</v>
      </c>
      <c r="O1959" s="6">
        <v>-18.576000000000001</v>
      </c>
      <c r="P1959" s="6">
        <v>0</v>
      </c>
      <c r="Q1959" s="4" t="s">
        <v>26</v>
      </c>
      <c r="R1959" s="4">
        <v>0</v>
      </c>
      <c r="S1959" s="4" t="s">
        <v>317</v>
      </c>
      <c r="T1959" s="4" t="s">
        <v>554</v>
      </c>
      <c r="U1959" s="4">
        <v>0</v>
      </c>
      <c r="V1959" s="4">
        <v>7</v>
      </c>
      <c r="W1959" s="4">
        <v>53</v>
      </c>
    </row>
    <row r="1960" spans="1:23" ht="11.25" customHeight="1" x14ac:dyDescent="0.25">
      <c r="A1960" s="4" t="s">
        <v>30</v>
      </c>
      <c r="B1960" s="4" t="s">
        <v>22</v>
      </c>
      <c r="C1960" s="4" t="s">
        <v>23</v>
      </c>
      <c r="D1960" s="4" t="s">
        <v>24</v>
      </c>
      <c r="E1960" s="4" t="s">
        <v>34</v>
      </c>
      <c r="F1960" s="4" t="s">
        <v>25</v>
      </c>
      <c r="G1960" s="4" t="s">
        <v>25</v>
      </c>
      <c r="H1960" s="4" t="s">
        <v>25</v>
      </c>
      <c r="I1960" s="5">
        <v>44409</v>
      </c>
      <c r="J1960" s="6">
        <v>0</v>
      </c>
      <c r="K1960" s="6">
        <v>0</v>
      </c>
      <c r="L1960" s="6">
        <v>0.57399999999999995</v>
      </c>
      <c r="M1960" s="6">
        <v>0.57399999999999995</v>
      </c>
      <c r="N1960" s="6">
        <v>0.57399999999999995</v>
      </c>
      <c r="O1960" s="6">
        <v>0.57399999999999995</v>
      </c>
      <c r="P1960" s="6">
        <v>3</v>
      </c>
      <c r="Q1960" s="4" t="s">
        <v>26</v>
      </c>
      <c r="R1960" s="4">
        <v>0</v>
      </c>
      <c r="S1960" s="4" t="s">
        <v>317</v>
      </c>
      <c r="T1960" s="4" t="s">
        <v>554</v>
      </c>
      <c r="U1960" s="4">
        <v>0</v>
      </c>
      <c r="V1960" s="4">
        <v>7</v>
      </c>
      <c r="W1960" s="4">
        <v>53</v>
      </c>
    </row>
    <row r="1961" spans="1:23" ht="11.25" customHeight="1" x14ac:dyDescent="0.25">
      <c r="A1961" s="4" t="s">
        <v>21</v>
      </c>
      <c r="B1961" s="4" t="s">
        <v>22</v>
      </c>
      <c r="C1961" s="4" t="s">
        <v>23</v>
      </c>
      <c r="D1961" s="4" t="s">
        <v>24</v>
      </c>
      <c r="E1961" s="4" t="s">
        <v>34</v>
      </c>
      <c r="F1961" s="4" t="s">
        <v>25</v>
      </c>
      <c r="G1961" s="4" t="s">
        <v>25</v>
      </c>
      <c r="H1961" s="4" t="s">
        <v>25</v>
      </c>
      <c r="I1961" s="5">
        <v>44440</v>
      </c>
      <c r="J1961" s="6">
        <v>0</v>
      </c>
      <c r="K1961" s="6">
        <v>0</v>
      </c>
      <c r="L1961" s="6">
        <v>4587.0259999999998</v>
      </c>
      <c r="M1961" s="6">
        <v>4587.0259999999998</v>
      </c>
      <c r="N1961" s="6">
        <v>4587.0259999999998</v>
      </c>
      <c r="O1961" s="6">
        <v>4587.0259999999998</v>
      </c>
      <c r="P1961" s="6">
        <v>21988</v>
      </c>
      <c r="Q1961" s="4" t="s">
        <v>26</v>
      </c>
      <c r="R1961" s="4">
        <v>0</v>
      </c>
      <c r="S1961" s="4" t="s">
        <v>318</v>
      </c>
      <c r="T1961" s="4" t="s">
        <v>555</v>
      </c>
      <c r="U1961" s="4">
        <v>0</v>
      </c>
      <c r="V1961" s="4">
        <v>7</v>
      </c>
      <c r="W1961" s="4">
        <v>53</v>
      </c>
    </row>
    <row r="1962" spans="1:23" ht="11.25" customHeight="1" x14ac:dyDescent="0.25">
      <c r="A1962" s="4" t="s">
        <v>27</v>
      </c>
      <c r="B1962" s="4" t="s">
        <v>22</v>
      </c>
      <c r="C1962" s="4" t="s">
        <v>23</v>
      </c>
      <c r="D1962" s="4" t="s">
        <v>24</v>
      </c>
      <c r="E1962" s="4" t="s">
        <v>34</v>
      </c>
      <c r="F1962" s="4" t="s">
        <v>25</v>
      </c>
      <c r="G1962" s="4" t="s">
        <v>25</v>
      </c>
      <c r="H1962" s="4" t="s">
        <v>25</v>
      </c>
      <c r="I1962" s="5">
        <v>44440</v>
      </c>
      <c r="J1962" s="6">
        <v>0</v>
      </c>
      <c r="K1962" s="6">
        <v>0</v>
      </c>
      <c r="L1962" s="6">
        <v>-52.066000000000003</v>
      </c>
      <c r="M1962" s="6">
        <v>-52.066000000000003</v>
      </c>
      <c r="N1962" s="6">
        <v>-52.066000000000003</v>
      </c>
      <c r="O1962" s="6">
        <v>-52.066000000000003</v>
      </c>
      <c r="P1962" s="6">
        <v>0</v>
      </c>
      <c r="Q1962" s="4" t="s">
        <v>26</v>
      </c>
      <c r="R1962" s="4">
        <v>0</v>
      </c>
      <c r="S1962" s="4" t="s">
        <v>318</v>
      </c>
      <c r="T1962" s="4" t="s">
        <v>555</v>
      </c>
      <c r="U1962" s="4">
        <v>0</v>
      </c>
      <c r="V1962" s="4">
        <v>7</v>
      </c>
      <c r="W1962" s="4">
        <v>53</v>
      </c>
    </row>
    <row r="1963" spans="1:23" ht="11.25" customHeight="1" x14ac:dyDescent="0.25">
      <c r="A1963" s="4" t="s">
        <v>28</v>
      </c>
      <c r="B1963" s="4" t="s">
        <v>22</v>
      </c>
      <c r="C1963" s="4" t="s">
        <v>23</v>
      </c>
      <c r="D1963" s="4" t="s">
        <v>24</v>
      </c>
      <c r="E1963" s="4" t="s">
        <v>34</v>
      </c>
      <c r="F1963" s="4" t="s">
        <v>25</v>
      </c>
      <c r="G1963" s="4" t="s">
        <v>25</v>
      </c>
      <c r="H1963" s="4" t="s">
        <v>25</v>
      </c>
      <c r="I1963" s="5">
        <v>44440</v>
      </c>
      <c r="J1963" s="6">
        <v>0</v>
      </c>
      <c r="K1963" s="6">
        <v>0</v>
      </c>
      <c r="L1963" s="6">
        <v>3676.605</v>
      </c>
      <c r="M1963" s="6">
        <v>3676.605</v>
      </c>
      <c r="N1963" s="6">
        <v>3676.605</v>
      </c>
      <c r="O1963" s="6">
        <v>3676.605</v>
      </c>
      <c r="P1963" s="6">
        <v>26093</v>
      </c>
      <c r="Q1963" s="4" t="s">
        <v>26</v>
      </c>
      <c r="R1963" s="4">
        <v>0</v>
      </c>
      <c r="S1963" s="4" t="s">
        <v>318</v>
      </c>
      <c r="T1963" s="4" t="s">
        <v>555</v>
      </c>
      <c r="U1963" s="4">
        <v>0</v>
      </c>
      <c r="V1963" s="4">
        <v>7</v>
      </c>
      <c r="W1963" s="4">
        <v>53</v>
      </c>
    </row>
    <row r="1964" spans="1:23" ht="11.25" customHeight="1" x14ac:dyDescent="0.25">
      <c r="A1964" s="4" t="s">
        <v>29</v>
      </c>
      <c r="B1964" s="4" t="s">
        <v>22</v>
      </c>
      <c r="C1964" s="4" t="s">
        <v>23</v>
      </c>
      <c r="D1964" s="4" t="s">
        <v>24</v>
      </c>
      <c r="E1964" s="4" t="s">
        <v>34</v>
      </c>
      <c r="F1964" s="4" t="s">
        <v>25</v>
      </c>
      <c r="G1964" s="4" t="s">
        <v>25</v>
      </c>
      <c r="H1964" s="4" t="s">
        <v>25</v>
      </c>
      <c r="I1964" s="5">
        <v>44440</v>
      </c>
      <c r="J1964" s="6">
        <v>0</v>
      </c>
      <c r="K1964" s="6">
        <v>0</v>
      </c>
      <c r="L1964" s="6">
        <v>-231.81899999999999</v>
      </c>
      <c r="M1964" s="6">
        <v>-231.81899999999999</v>
      </c>
      <c r="N1964" s="6">
        <v>-231.81899999999999</v>
      </c>
      <c r="O1964" s="6">
        <v>-231.81899999999999</v>
      </c>
      <c r="P1964" s="6">
        <v>0</v>
      </c>
      <c r="Q1964" s="4" t="s">
        <v>26</v>
      </c>
      <c r="R1964" s="4">
        <v>0</v>
      </c>
      <c r="S1964" s="4" t="s">
        <v>318</v>
      </c>
      <c r="T1964" s="4" t="s">
        <v>555</v>
      </c>
      <c r="U1964" s="4">
        <v>0</v>
      </c>
      <c r="V1964" s="4">
        <v>7</v>
      </c>
      <c r="W1964" s="4">
        <v>53</v>
      </c>
    </row>
    <row r="1965" spans="1:23" ht="11.25" customHeight="1" x14ac:dyDescent="0.25">
      <c r="A1965" s="4" t="s">
        <v>30</v>
      </c>
      <c r="B1965" s="4" t="s">
        <v>22</v>
      </c>
      <c r="C1965" s="4" t="s">
        <v>23</v>
      </c>
      <c r="D1965" s="4" t="s">
        <v>24</v>
      </c>
      <c r="E1965" s="4" t="s">
        <v>34</v>
      </c>
      <c r="F1965" s="4" t="s">
        <v>25</v>
      </c>
      <c r="G1965" s="4" t="s">
        <v>25</v>
      </c>
      <c r="H1965" s="4" t="s">
        <v>25</v>
      </c>
      <c r="I1965" s="5">
        <v>44440</v>
      </c>
      <c r="J1965" s="6">
        <v>0</v>
      </c>
      <c r="K1965" s="6">
        <v>0</v>
      </c>
      <c r="L1965" s="6">
        <v>0.90400000000000003</v>
      </c>
      <c r="M1965" s="6">
        <v>0.90400000000000003</v>
      </c>
      <c r="N1965" s="6">
        <v>0.90400000000000003</v>
      </c>
      <c r="O1965" s="6">
        <v>0.90400000000000003</v>
      </c>
      <c r="P1965" s="6">
        <v>6</v>
      </c>
      <c r="Q1965" s="4" t="s">
        <v>26</v>
      </c>
      <c r="R1965" s="4">
        <v>0</v>
      </c>
      <c r="S1965" s="4" t="s">
        <v>318</v>
      </c>
      <c r="T1965" s="4" t="s">
        <v>555</v>
      </c>
      <c r="U1965" s="4">
        <v>0</v>
      </c>
      <c r="V1965" s="4">
        <v>7</v>
      </c>
      <c r="W1965" s="4">
        <v>53</v>
      </c>
    </row>
    <row r="1966" spans="1:23" ht="11.25" customHeight="1" x14ac:dyDescent="0.25">
      <c r="A1966" s="4" t="s">
        <v>59</v>
      </c>
      <c r="B1966" s="4" t="s">
        <v>22</v>
      </c>
      <c r="C1966" s="4" t="s">
        <v>23</v>
      </c>
      <c r="D1966" s="4" t="s">
        <v>24</v>
      </c>
      <c r="E1966" s="4" t="s">
        <v>34</v>
      </c>
      <c r="F1966" s="4" t="s">
        <v>25</v>
      </c>
      <c r="G1966" s="4" t="s">
        <v>25</v>
      </c>
      <c r="H1966" s="4" t="s">
        <v>25</v>
      </c>
      <c r="I1966" s="5">
        <v>44470</v>
      </c>
      <c r="J1966" s="6">
        <v>0</v>
      </c>
      <c r="K1966" s="6">
        <v>0</v>
      </c>
      <c r="L1966" s="6">
        <v>4587.0259999999998</v>
      </c>
      <c r="M1966" s="6">
        <v>4587.0259999999998</v>
      </c>
      <c r="N1966" s="6">
        <v>4587.0259999999998</v>
      </c>
      <c r="O1966" s="6">
        <v>4587.0259999999998</v>
      </c>
      <c r="P1966" s="6">
        <v>21988</v>
      </c>
      <c r="Q1966" s="4" t="s">
        <v>26</v>
      </c>
      <c r="R1966" s="4">
        <v>0</v>
      </c>
      <c r="S1966" s="4" t="s">
        <v>319</v>
      </c>
      <c r="T1966" s="4" t="s">
        <v>556</v>
      </c>
      <c r="U1966" s="4">
        <v>0</v>
      </c>
      <c r="V1966" s="4">
        <v>7</v>
      </c>
      <c r="W1966" s="4">
        <v>53</v>
      </c>
    </row>
    <row r="1967" spans="1:23" ht="11.25" customHeight="1" x14ac:dyDescent="0.25">
      <c r="A1967" s="4" t="s">
        <v>59</v>
      </c>
      <c r="B1967" s="4" t="s">
        <v>22</v>
      </c>
      <c r="C1967" s="4" t="s">
        <v>23</v>
      </c>
      <c r="D1967" s="4" t="s">
        <v>24</v>
      </c>
      <c r="E1967" s="4" t="s">
        <v>34</v>
      </c>
      <c r="F1967" s="4" t="s">
        <v>25</v>
      </c>
      <c r="G1967" s="4" t="s">
        <v>25</v>
      </c>
      <c r="H1967" s="4" t="s">
        <v>25</v>
      </c>
      <c r="I1967" s="5">
        <v>44470</v>
      </c>
      <c r="J1967" s="6">
        <v>0</v>
      </c>
      <c r="K1967" s="6">
        <v>0</v>
      </c>
      <c r="L1967" s="6">
        <v>-52.066000000000003</v>
      </c>
      <c r="M1967" s="6">
        <v>-52.066000000000003</v>
      </c>
      <c r="N1967" s="6">
        <v>-52.066000000000003</v>
      </c>
      <c r="O1967" s="6">
        <v>-52.066000000000003</v>
      </c>
      <c r="P1967" s="6">
        <v>0</v>
      </c>
      <c r="Q1967" s="4" t="s">
        <v>26</v>
      </c>
      <c r="R1967" s="4">
        <v>0</v>
      </c>
      <c r="S1967" s="4" t="s">
        <v>319</v>
      </c>
      <c r="T1967" s="4" t="s">
        <v>556</v>
      </c>
      <c r="U1967" s="4">
        <v>0</v>
      </c>
      <c r="V1967" s="4">
        <v>7</v>
      </c>
      <c r="W1967" s="4">
        <v>53</v>
      </c>
    </row>
    <row r="1968" spans="1:23" ht="11.25" customHeight="1" x14ac:dyDescent="0.25">
      <c r="A1968" s="4" t="s">
        <v>59</v>
      </c>
      <c r="B1968" s="4" t="s">
        <v>22</v>
      </c>
      <c r="C1968" s="4" t="s">
        <v>23</v>
      </c>
      <c r="D1968" s="4" t="s">
        <v>24</v>
      </c>
      <c r="E1968" s="4" t="s">
        <v>34</v>
      </c>
      <c r="F1968" s="4" t="s">
        <v>25</v>
      </c>
      <c r="G1968" s="4" t="s">
        <v>25</v>
      </c>
      <c r="H1968" s="4" t="s">
        <v>25</v>
      </c>
      <c r="I1968" s="5">
        <v>44470</v>
      </c>
      <c r="J1968" s="6">
        <v>0</v>
      </c>
      <c r="K1968" s="6">
        <v>0</v>
      </c>
      <c r="L1968" s="6">
        <v>3676.605</v>
      </c>
      <c r="M1968" s="6">
        <v>3676.605</v>
      </c>
      <c r="N1968" s="6">
        <v>3676.605</v>
      </c>
      <c r="O1968" s="6">
        <v>3676.605</v>
      </c>
      <c r="P1968" s="6">
        <v>26093</v>
      </c>
      <c r="Q1968" s="4" t="s">
        <v>26</v>
      </c>
      <c r="R1968" s="4">
        <v>0</v>
      </c>
      <c r="S1968" s="4" t="s">
        <v>319</v>
      </c>
      <c r="T1968" s="4" t="s">
        <v>556</v>
      </c>
      <c r="U1968" s="4">
        <v>0</v>
      </c>
      <c r="V1968" s="4">
        <v>7</v>
      </c>
      <c r="W1968" s="4">
        <v>53</v>
      </c>
    </row>
    <row r="1969" spans="1:23" ht="11.25" customHeight="1" x14ac:dyDescent="0.25">
      <c r="A1969" s="4" t="s">
        <v>59</v>
      </c>
      <c r="B1969" s="4" t="s">
        <v>22</v>
      </c>
      <c r="C1969" s="4" t="s">
        <v>23</v>
      </c>
      <c r="D1969" s="4" t="s">
        <v>24</v>
      </c>
      <c r="E1969" s="4" t="s">
        <v>34</v>
      </c>
      <c r="F1969" s="4" t="s">
        <v>25</v>
      </c>
      <c r="G1969" s="4" t="s">
        <v>25</v>
      </c>
      <c r="H1969" s="4" t="s">
        <v>25</v>
      </c>
      <c r="I1969" s="5">
        <v>44470</v>
      </c>
      <c r="J1969" s="6">
        <v>0</v>
      </c>
      <c r="K1969" s="6">
        <v>0</v>
      </c>
      <c r="L1969" s="6">
        <v>-231.81899999999999</v>
      </c>
      <c r="M1969" s="6">
        <v>-231.81899999999999</v>
      </c>
      <c r="N1969" s="6">
        <v>-231.81899999999999</v>
      </c>
      <c r="O1969" s="6">
        <v>-231.81899999999999</v>
      </c>
      <c r="P1969" s="6">
        <v>0</v>
      </c>
      <c r="Q1969" s="4" t="s">
        <v>26</v>
      </c>
      <c r="R1969" s="4">
        <v>0</v>
      </c>
      <c r="S1969" s="4" t="s">
        <v>319</v>
      </c>
      <c r="T1969" s="4" t="s">
        <v>556</v>
      </c>
      <c r="U1969" s="4">
        <v>0</v>
      </c>
      <c r="V1969" s="4">
        <v>7</v>
      </c>
      <c r="W1969" s="4">
        <v>53</v>
      </c>
    </row>
    <row r="1970" spans="1:23" ht="11.25" customHeight="1" x14ac:dyDescent="0.25">
      <c r="A1970" s="4" t="s">
        <v>59</v>
      </c>
      <c r="B1970" s="4" t="s">
        <v>22</v>
      </c>
      <c r="C1970" s="4" t="s">
        <v>23</v>
      </c>
      <c r="D1970" s="4" t="s">
        <v>24</v>
      </c>
      <c r="E1970" s="4" t="s">
        <v>34</v>
      </c>
      <c r="F1970" s="4" t="s">
        <v>25</v>
      </c>
      <c r="G1970" s="4" t="s">
        <v>25</v>
      </c>
      <c r="H1970" s="4" t="s">
        <v>25</v>
      </c>
      <c r="I1970" s="5">
        <v>44470</v>
      </c>
      <c r="J1970" s="6">
        <v>0</v>
      </c>
      <c r="K1970" s="6">
        <v>0</v>
      </c>
      <c r="L1970" s="6">
        <v>0.90400000000000003</v>
      </c>
      <c r="M1970" s="6">
        <v>0.90400000000000003</v>
      </c>
      <c r="N1970" s="6">
        <v>0.90400000000000003</v>
      </c>
      <c r="O1970" s="6">
        <v>0.90400000000000003</v>
      </c>
      <c r="P1970" s="6">
        <v>6</v>
      </c>
      <c r="Q1970" s="4" t="s">
        <v>26</v>
      </c>
      <c r="R1970" s="4">
        <v>0</v>
      </c>
      <c r="S1970" s="4" t="s">
        <v>319</v>
      </c>
      <c r="T1970" s="4" t="s">
        <v>556</v>
      </c>
      <c r="U1970" s="4">
        <v>0</v>
      </c>
      <c r="V1970" s="4">
        <v>7</v>
      </c>
      <c r="W1970" s="4">
        <v>53</v>
      </c>
    </row>
    <row r="1971" spans="1:23" ht="11.25" customHeight="1" x14ac:dyDescent="0.25">
      <c r="A1971" s="4" t="s">
        <v>21</v>
      </c>
      <c r="B1971" s="4" t="s">
        <v>46</v>
      </c>
      <c r="C1971" s="4" t="s">
        <v>39</v>
      </c>
      <c r="D1971" s="4" t="s">
        <v>47</v>
      </c>
      <c r="E1971" s="4" t="s">
        <v>25</v>
      </c>
      <c r="F1971" s="4" t="s">
        <v>25</v>
      </c>
      <c r="G1971" s="4" t="s">
        <v>25</v>
      </c>
      <c r="H1971" s="4" t="s">
        <v>38</v>
      </c>
      <c r="I1971" s="5">
        <v>44136</v>
      </c>
      <c r="J1971" s="6">
        <v>0</v>
      </c>
      <c r="K1971" s="6">
        <v>0</v>
      </c>
      <c r="L1971" s="6">
        <v>9.8000000000000004E-2</v>
      </c>
      <c r="M1971" s="6">
        <v>9.8000000000000004E-2</v>
      </c>
      <c r="N1971" s="6">
        <v>9.8000000000000004E-2</v>
      </c>
      <c r="O1971" s="6">
        <v>9.8000000000000004E-2</v>
      </c>
      <c r="P1971" s="6">
        <v>0</v>
      </c>
      <c r="Q1971" s="4" t="s">
        <v>26</v>
      </c>
      <c r="R1971" s="4">
        <v>0</v>
      </c>
      <c r="S1971" s="4" t="s">
        <v>320</v>
      </c>
      <c r="T1971" s="4" t="s">
        <v>557</v>
      </c>
      <c r="U1971" s="4">
        <v>0</v>
      </c>
      <c r="V1971" s="4">
        <v>38</v>
      </c>
      <c r="W1971" s="4">
        <v>57</v>
      </c>
    </row>
    <row r="1972" spans="1:23" ht="11.25" customHeight="1" x14ac:dyDescent="0.25">
      <c r="A1972" s="4" t="s">
        <v>21</v>
      </c>
      <c r="B1972" s="4" t="s">
        <v>46</v>
      </c>
      <c r="C1972" s="4" t="s">
        <v>39</v>
      </c>
      <c r="D1972" s="4" t="s">
        <v>47</v>
      </c>
      <c r="E1972" s="4" t="s">
        <v>25</v>
      </c>
      <c r="F1972" s="4" t="s">
        <v>25</v>
      </c>
      <c r="G1972" s="4" t="s">
        <v>25</v>
      </c>
      <c r="H1972" s="4" t="s">
        <v>38</v>
      </c>
      <c r="I1972" s="5">
        <v>44166</v>
      </c>
      <c r="J1972" s="6">
        <v>0</v>
      </c>
      <c r="K1972" s="6">
        <v>0</v>
      </c>
      <c r="L1972" s="6">
        <v>5.7000000000000002E-2</v>
      </c>
      <c r="M1972" s="6">
        <v>5.7000000000000002E-2</v>
      </c>
      <c r="N1972" s="6">
        <v>5.7000000000000002E-2</v>
      </c>
      <c r="O1972" s="6">
        <v>5.7000000000000002E-2</v>
      </c>
      <c r="P1972" s="6">
        <v>0</v>
      </c>
      <c r="Q1972" s="4" t="s">
        <v>26</v>
      </c>
      <c r="R1972" s="4">
        <v>0</v>
      </c>
      <c r="S1972" s="4" t="s">
        <v>321</v>
      </c>
      <c r="T1972" s="4" t="s">
        <v>558</v>
      </c>
      <c r="U1972" s="4">
        <v>0</v>
      </c>
      <c r="V1972" s="4">
        <v>38</v>
      </c>
      <c r="W1972" s="4">
        <v>57</v>
      </c>
    </row>
    <row r="1973" spans="1:23" ht="11.25" customHeight="1" x14ac:dyDescent="0.25">
      <c r="A1973" s="4" t="s">
        <v>21</v>
      </c>
      <c r="B1973" s="4" t="s">
        <v>46</v>
      </c>
      <c r="C1973" s="4" t="s">
        <v>39</v>
      </c>
      <c r="D1973" s="4" t="s">
        <v>47</v>
      </c>
      <c r="E1973" s="4" t="s">
        <v>25</v>
      </c>
      <c r="F1973" s="4" t="s">
        <v>25</v>
      </c>
      <c r="G1973" s="4" t="s">
        <v>25</v>
      </c>
      <c r="H1973" s="4" t="s">
        <v>38</v>
      </c>
      <c r="I1973" s="5">
        <v>44197</v>
      </c>
      <c r="J1973" s="6">
        <v>0</v>
      </c>
      <c r="K1973" s="6">
        <v>0</v>
      </c>
      <c r="L1973" s="6">
        <v>6.9000000000000006E-2</v>
      </c>
      <c r="M1973" s="6">
        <v>6.9000000000000006E-2</v>
      </c>
      <c r="N1973" s="6">
        <v>6.9000000000000006E-2</v>
      </c>
      <c r="O1973" s="6">
        <v>6.9000000000000006E-2</v>
      </c>
      <c r="P1973" s="6">
        <v>0</v>
      </c>
      <c r="Q1973" s="4" t="s">
        <v>26</v>
      </c>
      <c r="R1973" s="4">
        <v>0</v>
      </c>
      <c r="S1973" s="4" t="s">
        <v>322</v>
      </c>
      <c r="T1973" s="4" t="s">
        <v>559</v>
      </c>
      <c r="U1973" s="4">
        <v>0</v>
      </c>
      <c r="V1973" s="4">
        <v>38</v>
      </c>
      <c r="W1973" s="4">
        <v>57</v>
      </c>
    </row>
    <row r="1974" spans="1:23" ht="11.25" customHeight="1" x14ac:dyDescent="0.25">
      <c r="A1974" s="4" t="s">
        <v>21</v>
      </c>
      <c r="B1974" s="4" t="s">
        <v>46</v>
      </c>
      <c r="C1974" s="4" t="s">
        <v>39</v>
      </c>
      <c r="D1974" s="4" t="s">
        <v>47</v>
      </c>
      <c r="E1974" s="4" t="s">
        <v>25</v>
      </c>
      <c r="F1974" s="4" t="s">
        <v>25</v>
      </c>
      <c r="G1974" s="4" t="s">
        <v>25</v>
      </c>
      <c r="H1974" s="4" t="s">
        <v>38</v>
      </c>
      <c r="I1974" s="5">
        <v>44228</v>
      </c>
      <c r="J1974" s="6">
        <v>0</v>
      </c>
      <c r="K1974" s="6">
        <v>0</v>
      </c>
      <c r="L1974" s="6">
        <v>0.04</v>
      </c>
      <c r="M1974" s="6">
        <v>0.04</v>
      </c>
      <c r="N1974" s="6">
        <v>0.04</v>
      </c>
      <c r="O1974" s="6">
        <v>0.04</v>
      </c>
      <c r="P1974" s="6">
        <v>0</v>
      </c>
      <c r="Q1974" s="4" t="s">
        <v>26</v>
      </c>
      <c r="R1974" s="4">
        <v>0</v>
      </c>
      <c r="S1974" s="4" t="s">
        <v>323</v>
      </c>
      <c r="T1974" s="4" t="s">
        <v>560</v>
      </c>
      <c r="U1974" s="4">
        <v>0</v>
      </c>
      <c r="V1974" s="4">
        <v>38</v>
      </c>
      <c r="W1974" s="4">
        <v>57</v>
      </c>
    </row>
    <row r="1975" spans="1:23" ht="11.25" customHeight="1" x14ac:dyDescent="0.25">
      <c r="A1975" s="4" t="s">
        <v>21</v>
      </c>
      <c r="B1975" s="4" t="s">
        <v>46</v>
      </c>
      <c r="C1975" s="4" t="s">
        <v>39</v>
      </c>
      <c r="D1975" s="4" t="s">
        <v>47</v>
      </c>
      <c r="E1975" s="4" t="s">
        <v>25</v>
      </c>
      <c r="F1975" s="4" t="s">
        <v>25</v>
      </c>
      <c r="G1975" s="4" t="s">
        <v>25</v>
      </c>
      <c r="H1975" s="4" t="s">
        <v>38</v>
      </c>
      <c r="I1975" s="5">
        <v>44256</v>
      </c>
      <c r="J1975" s="6">
        <v>0</v>
      </c>
      <c r="K1975" s="6">
        <v>0</v>
      </c>
      <c r="L1975" s="6">
        <v>0.03</v>
      </c>
      <c r="M1975" s="6">
        <v>0.03</v>
      </c>
      <c r="N1975" s="6">
        <v>0.03</v>
      </c>
      <c r="O1975" s="6">
        <v>0.03</v>
      </c>
      <c r="P1975" s="6">
        <v>0</v>
      </c>
      <c r="Q1975" s="4" t="s">
        <v>26</v>
      </c>
      <c r="R1975" s="4">
        <v>0</v>
      </c>
      <c r="S1975" s="4" t="s">
        <v>324</v>
      </c>
      <c r="T1975" s="4" t="s">
        <v>561</v>
      </c>
      <c r="U1975" s="4">
        <v>0</v>
      </c>
      <c r="V1975" s="4">
        <v>38</v>
      </c>
      <c r="W1975" s="4">
        <v>57</v>
      </c>
    </row>
    <row r="1976" spans="1:23" ht="11.25" customHeight="1" x14ac:dyDescent="0.25">
      <c r="A1976" s="4" t="s">
        <v>21</v>
      </c>
      <c r="B1976" s="4" t="s">
        <v>46</v>
      </c>
      <c r="C1976" s="4" t="s">
        <v>39</v>
      </c>
      <c r="D1976" s="4" t="s">
        <v>47</v>
      </c>
      <c r="E1976" s="4" t="s">
        <v>25</v>
      </c>
      <c r="F1976" s="4" t="s">
        <v>25</v>
      </c>
      <c r="G1976" s="4" t="s">
        <v>25</v>
      </c>
      <c r="H1976" s="4" t="s">
        <v>38</v>
      </c>
      <c r="I1976" s="5">
        <v>44287</v>
      </c>
      <c r="J1976" s="6">
        <v>0</v>
      </c>
      <c r="K1976" s="6">
        <v>0</v>
      </c>
      <c r="L1976" s="6">
        <v>3.6999999999999998E-2</v>
      </c>
      <c r="M1976" s="6">
        <v>3.6999999999999998E-2</v>
      </c>
      <c r="N1976" s="6">
        <v>3.6999999999999998E-2</v>
      </c>
      <c r="O1976" s="6">
        <v>3.6999999999999998E-2</v>
      </c>
      <c r="P1976" s="6">
        <v>0</v>
      </c>
      <c r="Q1976" s="4" t="s">
        <v>26</v>
      </c>
      <c r="R1976" s="4">
        <v>0</v>
      </c>
      <c r="S1976" s="4" t="s">
        <v>325</v>
      </c>
      <c r="T1976" s="4" t="s">
        <v>562</v>
      </c>
      <c r="U1976" s="4">
        <v>0</v>
      </c>
      <c r="V1976" s="4">
        <v>38</v>
      </c>
      <c r="W1976" s="4">
        <v>57</v>
      </c>
    </row>
    <row r="1977" spans="1:23" ht="11.25" customHeight="1" x14ac:dyDescent="0.25">
      <c r="A1977" s="4" t="s">
        <v>21</v>
      </c>
      <c r="B1977" s="4" t="s">
        <v>46</v>
      </c>
      <c r="C1977" s="4" t="s">
        <v>39</v>
      </c>
      <c r="D1977" s="4" t="s">
        <v>47</v>
      </c>
      <c r="E1977" s="4" t="s">
        <v>25</v>
      </c>
      <c r="F1977" s="4" t="s">
        <v>25</v>
      </c>
      <c r="G1977" s="4" t="s">
        <v>25</v>
      </c>
      <c r="H1977" s="4" t="s">
        <v>38</v>
      </c>
      <c r="I1977" s="5">
        <v>44317</v>
      </c>
      <c r="J1977" s="6">
        <v>0</v>
      </c>
      <c r="K1977" s="6">
        <v>0</v>
      </c>
      <c r="L1977" s="6">
        <v>0.03</v>
      </c>
      <c r="M1977" s="6">
        <v>0.03</v>
      </c>
      <c r="N1977" s="6">
        <v>0.03</v>
      </c>
      <c r="O1977" s="6">
        <v>0.03</v>
      </c>
      <c r="P1977" s="6">
        <v>0</v>
      </c>
      <c r="Q1977" s="4" t="s">
        <v>26</v>
      </c>
      <c r="R1977" s="4">
        <v>0</v>
      </c>
      <c r="S1977" s="4" t="s">
        <v>326</v>
      </c>
      <c r="T1977" s="4" t="s">
        <v>563</v>
      </c>
      <c r="U1977" s="4">
        <v>0</v>
      </c>
      <c r="V1977" s="4">
        <v>38</v>
      </c>
      <c r="W1977" s="4">
        <v>57</v>
      </c>
    </row>
    <row r="1978" spans="1:23" ht="11.25" customHeight="1" x14ac:dyDescent="0.25">
      <c r="A1978" s="4" t="s">
        <v>21</v>
      </c>
      <c r="B1978" s="4" t="s">
        <v>46</v>
      </c>
      <c r="C1978" s="4" t="s">
        <v>39</v>
      </c>
      <c r="D1978" s="4" t="s">
        <v>47</v>
      </c>
      <c r="E1978" s="4" t="s">
        <v>25</v>
      </c>
      <c r="F1978" s="4" t="s">
        <v>25</v>
      </c>
      <c r="G1978" s="4" t="s">
        <v>25</v>
      </c>
      <c r="H1978" s="4" t="s">
        <v>38</v>
      </c>
      <c r="I1978" s="5">
        <v>44348</v>
      </c>
      <c r="J1978" s="6">
        <v>0</v>
      </c>
      <c r="K1978" s="6">
        <v>0</v>
      </c>
      <c r="L1978" s="6">
        <v>6.5000000000000002E-2</v>
      </c>
      <c r="M1978" s="6">
        <v>6.5000000000000002E-2</v>
      </c>
      <c r="N1978" s="6">
        <v>6.5000000000000002E-2</v>
      </c>
      <c r="O1978" s="6">
        <v>6.5000000000000002E-2</v>
      </c>
      <c r="P1978" s="6">
        <v>0</v>
      </c>
      <c r="Q1978" s="4" t="s">
        <v>26</v>
      </c>
      <c r="R1978" s="4">
        <v>0</v>
      </c>
      <c r="S1978" s="4" t="s">
        <v>327</v>
      </c>
      <c r="T1978" s="4" t="s">
        <v>564</v>
      </c>
      <c r="U1978" s="4">
        <v>0</v>
      </c>
      <c r="V1978" s="4">
        <v>38</v>
      </c>
      <c r="W1978" s="4">
        <v>57</v>
      </c>
    </row>
    <row r="1979" spans="1:23" ht="11.25" customHeight="1" x14ac:dyDescent="0.25">
      <c r="A1979" s="4" t="s">
        <v>21</v>
      </c>
      <c r="B1979" s="4" t="s">
        <v>46</v>
      </c>
      <c r="C1979" s="4" t="s">
        <v>39</v>
      </c>
      <c r="D1979" s="4" t="s">
        <v>47</v>
      </c>
      <c r="E1979" s="4" t="s">
        <v>25</v>
      </c>
      <c r="F1979" s="4" t="s">
        <v>25</v>
      </c>
      <c r="G1979" s="4" t="s">
        <v>25</v>
      </c>
      <c r="H1979" s="4" t="s">
        <v>38</v>
      </c>
      <c r="I1979" s="5">
        <v>44378</v>
      </c>
      <c r="J1979" s="6">
        <v>0</v>
      </c>
      <c r="K1979" s="6">
        <v>0</v>
      </c>
      <c r="L1979" s="6">
        <v>0.03</v>
      </c>
      <c r="M1979" s="6">
        <v>0.03</v>
      </c>
      <c r="N1979" s="6">
        <v>0.03</v>
      </c>
      <c r="O1979" s="6">
        <v>0.03</v>
      </c>
      <c r="P1979" s="6">
        <v>0</v>
      </c>
      <c r="Q1979" s="4" t="s">
        <v>26</v>
      </c>
      <c r="R1979" s="4">
        <v>0</v>
      </c>
      <c r="S1979" s="4" t="s">
        <v>328</v>
      </c>
      <c r="T1979" s="4" t="s">
        <v>565</v>
      </c>
      <c r="U1979" s="4">
        <v>0</v>
      </c>
      <c r="V1979" s="4">
        <v>38</v>
      </c>
      <c r="W1979" s="4">
        <v>57</v>
      </c>
    </row>
    <row r="1980" spans="1:23" ht="11.25" customHeight="1" x14ac:dyDescent="0.25">
      <c r="A1980" s="4" t="s">
        <v>21</v>
      </c>
      <c r="B1980" s="4" t="s">
        <v>46</v>
      </c>
      <c r="C1980" s="4" t="s">
        <v>39</v>
      </c>
      <c r="D1980" s="4" t="s">
        <v>47</v>
      </c>
      <c r="E1980" s="4" t="s">
        <v>25</v>
      </c>
      <c r="F1980" s="4" t="s">
        <v>25</v>
      </c>
      <c r="G1980" s="4" t="s">
        <v>25</v>
      </c>
      <c r="H1980" s="4" t="s">
        <v>38</v>
      </c>
      <c r="I1980" s="5">
        <v>44409</v>
      </c>
      <c r="J1980" s="6">
        <v>0</v>
      </c>
      <c r="K1980" s="6">
        <v>0</v>
      </c>
      <c r="L1980" s="6">
        <v>0.03</v>
      </c>
      <c r="M1980" s="6">
        <v>0.03</v>
      </c>
      <c r="N1980" s="6">
        <v>0.03</v>
      </c>
      <c r="O1980" s="6">
        <v>0.03</v>
      </c>
      <c r="P1980" s="6">
        <v>0</v>
      </c>
      <c r="Q1980" s="4" t="s">
        <v>26</v>
      </c>
      <c r="R1980" s="4">
        <v>0</v>
      </c>
      <c r="S1980" s="4" t="s">
        <v>329</v>
      </c>
      <c r="T1980" s="4" t="s">
        <v>566</v>
      </c>
      <c r="U1980" s="4">
        <v>0</v>
      </c>
      <c r="V1980" s="4">
        <v>38</v>
      </c>
      <c r="W1980" s="4">
        <v>57</v>
      </c>
    </row>
    <row r="1981" spans="1:23" ht="11.25" customHeight="1" x14ac:dyDescent="0.25">
      <c r="A1981" s="4" t="s">
        <v>21</v>
      </c>
      <c r="B1981" s="4" t="s">
        <v>46</v>
      </c>
      <c r="C1981" s="4" t="s">
        <v>39</v>
      </c>
      <c r="D1981" s="4" t="s">
        <v>47</v>
      </c>
      <c r="E1981" s="4" t="s">
        <v>25</v>
      </c>
      <c r="F1981" s="4" t="s">
        <v>25</v>
      </c>
      <c r="G1981" s="4" t="s">
        <v>25</v>
      </c>
      <c r="H1981" s="4" t="s">
        <v>38</v>
      </c>
      <c r="I1981" s="5">
        <v>44440</v>
      </c>
      <c r="J1981" s="6">
        <v>0</v>
      </c>
      <c r="K1981" s="6">
        <v>0</v>
      </c>
      <c r="L1981" s="6">
        <v>0.03</v>
      </c>
      <c r="M1981" s="6">
        <v>0.03</v>
      </c>
      <c r="N1981" s="6">
        <v>0.03</v>
      </c>
      <c r="O1981" s="6">
        <v>0.03</v>
      </c>
      <c r="P1981" s="6">
        <v>0</v>
      </c>
      <c r="Q1981" s="4" t="s">
        <v>26</v>
      </c>
      <c r="R1981" s="4">
        <v>0</v>
      </c>
      <c r="S1981" s="4" t="s">
        <v>330</v>
      </c>
      <c r="T1981" s="4" t="s">
        <v>567</v>
      </c>
      <c r="U1981" s="4">
        <v>0</v>
      </c>
      <c r="V1981" s="4">
        <v>38</v>
      </c>
      <c r="W1981" s="4">
        <v>57</v>
      </c>
    </row>
    <row r="1982" spans="1:23" ht="11.25" customHeight="1" x14ac:dyDescent="0.25">
      <c r="A1982" s="4" t="s">
        <v>59</v>
      </c>
      <c r="B1982" s="4" t="s">
        <v>46</v>
      </c>
      <c r="C1982" s="4" t="s">
        <v>39</v>
      </c>
      <c r="D1982" s="4" t="s">
        <v>47</v>
      </c>
      <c r="E1982" s="4" t="s">
        <v>25</v>
      </c>
      <c r="F1982" s="4" t="s">
        <v>25</v>
      </c>
      <c r="G1982" s="4" t="s">
        <v>25</v>
      </c>
      <c r="H1982" s="4" t="s">
        <v>38</v>
      </c>
      <c r="I1982" s="5">
        <v>44470</v>
      </c>
      <c r="J1982" s="6">
        <v>0</v>
      </c>
      <c r="K1982" s="6">
        <v>0</v>
      </c>
      <c r="L1982" s="6">
        <v>0.03</v>
      </c>
      <c r="M1982" s="6">
        <v>0.03</v>
      </c>
      <c r="N1982" s="6">
        <v>0.03</v>
      </c>
      <c r="O1982" s="6">
        <v>0.03</v>
      </c>
      <c r="P1982" s="6">
        <v>0</v>
      </c>
      <c r="Q1982" s="4" t="s">
        <v>26</v>
      </c>
      <c r="R1982" s="4">
        <v>0</v>
      </c>
      <c r="S1982" s="4" t="s">
        <v>331</v>
      </c>
      <c r="T1982" s="4" t="s">
        <v>568</v>
      </c>
      <c r="U1982" s="4">
        <v>0</v>
      </c>
      <c r="V1982" s="4">
        <v>38</v>
      </c>
      <c r="W1982" s="4">
        <v>57</v>
      </c>
    </row>
    <row r="1983" spans="1:23" ht="11.25" customHeight="1" x14ac:dyDescent="0.25">
      <c r="A1983" s="4" t="s">
        <v>21</v>
      </c>
      <c r="B1983" s="4" t="s">
        <v>46</v>
      </c>
      <c r="C1983" s="4" t="s">
        <v>39</v>
      </c>
      <c r="D1983" s="4" t="s">
        <v>47</v>
      </c>
      <c r="E1983" s="4" t="s">
        <v>25</v>
      </c>
      <c r="F1983" s="4" t="s">
        <v>25</v>
      </c>
      <c r="G1983" s="4" t="s">
        <v>25</v>
      </c>
      <c r="H1983" s="4" t="s">
        <v>40</v>
      </c>
      <c r="I1983" s="5">
        <v>44166</v>
      </c>
      <c r="J1983" s="6">
        <v>0</v>
      </c>
      <c r="K1983" s="6">
        <v>0</v>
      </c>
      <c r="L1983" s="6">
        <v>3.0000000000000001E-3</v>
      </c>
      <c r="M1983" s="6">
        <v>3.0000000000000001E-3</v>
      </c>
      <c r="N1983" s="6">
        <v>3.0000000000000001E-3</v>
      </c>
      <c r="O1983" s="6">
        <v>3.0000000000000001E-3</v>
      </c>
      <c r="P1983" s="6">
        <v>0</v>
      </c>
      <c r="Q1983" s="4" t="s">
        <v>26</v>
      </c>
      <c r="R1983" s="4">
        <v>0</v>
      </c>
      <c r="S1983" s="4" t="s">
        <v>332</v>
      </c>
      <c r="T1983" s="4" t="s">
        <v>569</v>
      </c>
      <c r="U1983" s="4">
        <v>0</v>
      </c>
      <c r="V1983" s="4">
        <v>37</v>
      </c>
      <c r="W1983" s="4">
        <v>56</v>
      </c>
    </row>
    <row r="1984" spans="1:23" ht="11.25" customHeight="1" x14ac:dyDescent="0.25">
      <c r="A1984" s="4" t="s">
        <v>21</v>
      </c>
      <c r="B1984" s="4" t="s">
        <v>46</v>
      </c>
      <c r="C1984" s="4" t="s">
        <v>39</v>
      </c>
      <c r="D1984" s="4" t="s">
        <v>47</v>
      </c>
      <c r="E1984" s="4" t="s">
        <v>25</v>
      </c>
      <c r="F1984" s="4" t="s">
        <v>25</v>
      </c>
      <c r="G1984" s="4" t="s">
        <v>25</v>
      </c>
      <c r="H1984" s="4" t="s">
        <v>40</v>
      </c>
      <c r="I1984" s="5">
        <v>44197</v>
      </c>
      <c r="J1984" s="6">
        <v>0</v>
      </c>
      <c r="K1984" s="6">
        <v>0</v>
      </c>
      <c r="L1984" s="6">
        <v>1E-3</v>
      </c>
      <c r="M1984" s="6">
        <v>1E-3</v>
      </c>
      <c r="N1984" s="6">
        <v>1E-3</v>
      </c>
      <c r="O1984" s="6">
        <v>1E-3</v>
      </c>
      <c r="P1984" s="6">
        <v>0</v>
      </c>
      <c r="Q1984" s="4" t="s">
        <v>26</v>
      </c>
      <c r="R1984" s="4">
        <v>0</v>
      </c>
      <c r="S1984" s="4" t="s">
        <v>333</v>
      </c>
      <c r="T1984" s="4" t="s">
        <v>570</v>
      </c>
      <c r="U1984" s="4">
        <v>0</v>
      </c>
      <c r="V1984" s="4">
        <v>37</v>
      </c>
      <c r="W1984" s="4">
        <v>56</v>
      </c>
    </row>
    <row r="1985" spans="1:23" ht="11.25" customHeight="1" x14ac:dyDescent="0.25">
      <c r="A1985" s="4" t="s">
        <v>21</v>
      </c>
      <c r="B1985" s="4" t="s">
        <v>46</v>
      </c>
      <c r="C1985" s="4" t="s">
        <v>39</v>
      </c>
      <c r="D1985" s="4" t="s">
        <v>47</v>
      </c>
      <c r="E1985" s="4" t="s">
        <v>25</v>
      </c>
      <c r="F1985" s="4" t="s">
        <v>25</v>
      </c>
      <c r="G1985" s="4" t="s">
        <v>25</v>
      </c>
      <c r="H1985" s="4" t="s">
        <v>40</v>
      </c>
      <c r="I1985" s="5">
        <v>44287</v>
      </c>
      <c r="J1985" s="6">
        <v>0</v>
      </c>
      <c r="K1985" s="6">
        <v>0</v>
      </c>
      <c r="L1985" s="6">
        <v>1E-3</v>
      </c>
      <c r="M1985" s="6">
        <v>1E-3</v>
      </c>
      <c r="N1985" s="6">
        <v>1E-3</v>
      </c>
      <c r="O1985" s="6">
        <v>1E-3</v>
      </c>
      <c r="P1985" s="6">
        <v>0</v>
      </c>
      <c r="Q1985" s="4" t="s">
        <v>26</v>
      </c>
      <c r="R1985" s="4">
        <v>0</v>
      </c>
      <c r="S1985" s="4" t="s">
        <v>334</v>
      </c>
      <c r="T1985" s="4" t="s">
        <v>571</v>
      </c>
      <c r="U1985" s="4">
        <v>0</v>
      </c>
      <c r="V1985" s="4">
        <v>37</v>
      </c>
      <c r="W1985" s="4">
        <v>56</v>
      </c>
    </row>
    <row r="1986" spans="1:23" ht="11.25" customHeight="1" x14ac:dyDescent="0.25">
      <c r="A1986" s="4" t="s">
        <v>21</v>
      </c>
      <c r="B1986" s="4" t="s">
        <v>46</v>
      </c>
      <c r="C1986" s="4" t="s">
        <v>23</v>
      </c>
      <c r="D1986" s="4" t="s">
        <v>47</v>
      </c>
      <c r="E1986" s="4" t="s">
        <v>58</v>
      </c>
      <c r="F1986" s="4" t="s">
        <v>56</v>
      </c>
      <c r="G1986" s="4" t="s">
        <v>25</v>
      </c>
      <c r="H1986" s="4" t="s">
        <v>25</v>
      </c>
      <c r="I1986" s="5">
        <v>44317</v>
      </c>
      <c r="J1986" s="6">
        <v>0</v>
      </c>
      <c r="K1986" s="6">
        <v>0</v>
      </c>
      <c r="L1986" s="6">
        <v>11.287000000000001</v>
      </c>
      <c r="M1986" s="6">
        <v>11.287000000000001</v>
      </c>
      <c r="N1986" s="6">
        <v>11.287000000000001</v>
      </c>
      <c r="O1986" s="6">
        <v>11.287000000000001</v>
      </c>
      <c r="P1986" s="6">
        <v>0</v>
      </c>
      <c r="Q1986" s="4" t="s">
        <v>26</v>
      </c>
      <c r="R1986" s="4">
        <v>0</v>
      </c>
      <c r="S1986" s="4" t="s">
        <v>335</v>
      </c>
      <c r="T1986" s="4" t="s">
        <v>572</v>
      </c>
      <c r="U1986" s="4">
        <v>0</v>
      </c>
      <c r="V1986" s="4">
        <v>39</v>
      </c>
      <c r="W1986" s="4">
        <v>85</v>
      </c>
    </row>
    <row r="1987" spans="1:23" ht="11.25" customHeight="1" x14ac:dyDescent="0.25">
      <c r="A1987" s="4" t="s">
        <v>27</v>
      </c>
      <c r="B1987" s="4" t="s">
        <v>46</v>
      </c>
      <c r="C1987" s="4" t="s">
        <v>23</v>
      </c>
      <c r="D1987" s="4" t="s">
        <v>47</v>
      </c>
      <c r="E1987" s="4" t="s">
        <v>58</v>
      </c>
      <c r="F1987" s="4" t="s">
        <v>56</v>
      </c>
      <c r="G1987" s="4" t="s">
        <v>25</v>
      </c>
      <c r="H1987" s="4" t="s">
        <v>25</v>
      </c>
      <c r="I1987" s="5">
        <v>44317</v>
      </c>
      <c r="J1987" s="6">
        <v>0</v>
      </c>
      <c r="K1987" s="6">
        <v>0</v>
      </c>
      <c r="L1987" s="6">
        <v>-4.157</v>
      </c>
      <c r="M1987" s="6">
        <v>-4.157</v>
      </c>
      <c r="N1987" s="6">
        <v>-4.157</v>
      </c>
      <c r="O1987" s="6">
        <v>-4.157</v>
      </c>
      <c r="P1987" s="6">
        <v>0</v>
      </c>
      <c r="Q1987" s="4" t="s">
        <v>26</v>
      </c>
      <c r="R1987" s="4">
        <v>0</v>
      </c>
      <c r="S1987" s="4" t="s">
        <v>335</v>
      </c>
      <c r="T1987" s="4" t="s">
        <v>572</v>
      </c>
      <c r="U1987" s="4">
        <v>0</v>
      </c>
      <c r="V1987" s="4">
        <v>39</v>
      </c>
      <c r="W1987" s="4">
        <v>85</v>
      </c>
    </row>
    <row r="1988" spans="1:23" ht="11.25" customHeight="1" x14ac:dyDescent="0.25">
      <c r="A1988" s="4" t="s">
        <v>28</v>
      </c>
      <c r="B1988" s="4" t="s">
        <v>46</v>
      </c>
      <c r="C1988" s="4" t="s">
        <v>23</v>
      </c>
      <c r="D1988" s="4" t="s">
        <v>47</v>
      </c>
      <c r="E1988" s="4" t="s">
        <v>58</v>
      </c>
      <c r="F1988" s="4" t="s">
        <v>56</v>
      </c>
      <c r="G1988" s="4" t="s">
        <v>25</v>
      </c>
      <c r="H1988" s="4" t="s">
        <v>25</v>
      </c>
      <c r="I1988" s="5">
        <v>44317</v>
      </c>
      <c r="J1988" s="6">
        <v>0</v>
      </c>
      <c r="K1988" s="6">
        <v>0</v>
      </c>
      <c r="L1988" s="6">
        <v>18.858000000000001</v>
      </c>
      <c r="M1988" s="6">
        <v>18.858000000000001</v>
      </c>
      <c r="N1988" s="6">
        <v>18.858000000000001</v>
      </c>
      <c r="O1988" s="6">
        <v>18.858000000000001</v>
      </c>
      <c r="P1988" s="6">
        <v>0</v>
      </c>
      <c r="Q1988" s="4" t="s">
        <v>26</v>
      </c>
      <c r="R1988" s="4">
        <v>0</v>
      </c>
      <c r="S1988" s="4" t="s">
        <v>335</v>
      </c>
      <c r="T1988" s="4" t="s">
        <v>572</v>
      </c>
      <c r="U1988" s="4">
        <v>0</v>
      </c>
      <c r="V1988" s="4">
        <v>39</v>
      </c>
      <c r="W1988" s="4">
        <v>85</v>
      </c>
    </row>
    <row r="1989" spans="1:23" ht="11.25" customHeight="1" x14ac:dyDescent="0.25">
      <c r="A1989" s="4" t="s">
        <v>29</v>
      </c>
      <c r="B1989" s="4" t="s">
        <v>46</v>
      </c>
      <c r="C1989" s="4" t="s">
        <v>23</v>
      </c>
      <c r="D1989" s="4" t="s">
        <v>47</v>
      </c>
      <c r="E1989" s="4" t="s">
        <v>58</v>
      </c>
      <c r="F1989" s="4" t="s">
        <v>56</v>
      </c>
      <c r="G1989" s="4" t="s">
        <v>25</v>
      </c>
      <c r="H1989" s="4" t="s">
        <v>25</v>
      </c>
      <c r="I1989" s="5">
        <v>44317</v>
      </c>
      <c r="J1989" s="6">
        <v>0</v>
      </c>
      <c r="K1989" s="6">
        <v>0</v>
      </c>
      <c r="L1989" s="6">
        <v>-0.443</v>
      </c>
      <c r="M1989" s="6">
        <v>-0.443</v>
      </c>
      <c r="N1989" s="6">
        <v>-0.443</v>
      </c>
      <c r="O1989" s="6">
        <v>-0.443</v>
      </c>
      <c r="P1989" s="6">
        <v>0</v>
      </c>
      <c r="Q1989" s="4" t="s">
        <v>26</v>
      </c>
      <c r="R1989" s="4">
        <v>0</v>
      </c>
      <c r="S1989" s="4" t="s">
        <v>335</v>
      </c>
      <c r="T1989" s="4" t="s">
        <v>572</v>
      </c>
      <c r="U1989" s="4">
        <v>0</v>
      </c>
      <c r="V1989" s="4">
        <v>39</v>
      </c>
      <c r="W1989" s="4">
        <v>85</v>
      </c>
    </row>
    <row r="1990" spans="1:23" ht="11.25" customHeight="1" x14ac:dyDescent="0.25">
      <c r="A1990" s="4" t="s">
        <v>21</v>
      </c>
      <c r="B1990" s="4" t="s">
        <v>46</v>
      </c>
      <c r="C1990" s="4" t="s">
        <v>23</v>
      </c>
      <c r="D1990" s="4" t="s">
        <v>47</v>
      </c>
      <c r="E1990" s="4" t="s">
        <v>58</v>
      </c>
      <c r="F1990" s="4" t="s">
        <v>56</v>
      </c>
      <c r="G1990" s="4" t="s">
        <v>25</v>
      </c>
      <c r="H1990" s="4" t="s">
        <v>25</v>
      </c>
      <c r="I1990" s="5">
        <v>44348</v>
      </c>
      <c r="J1990" s="6">
        <v>0</v>
      </c>
      <c r="K1990" s="6">
        <v>0</v>
      </c>
      <c r="L1990" s="6">
        <v>9.6080000000000005</v>
      </c>
      <c r="M1990" s="6">
        <v>9.6080000000000005</v>
      </c>
      <c r="N1990" s="6">
        <v>9.6080000000000005</v>
      </c>
      <c r="O1990" s="6">
        <v>9.6080000000000005</v>
      </c>
      <c r="P1990" s="6">
        <v>0</v>
      </c>
      <c r="Q1990" s="4" t="s">
        <v>26</v>
      </c>
      <c r="R1990" s="4">
        <v>0</v>
      </c>
      <c r="S1990" s="4" t="s">
        <v>336</v>
      </c>
      <c r="T1990" s="4" t="s">
        <v>573</v>
      </c>
      <c r="U1990" s="4">
        <v>0</v>
      </c>
      <c r="V1990" s="4">
        <v>39</v>
      </c>
      <c r="W1990" s="4">
        <v>85</v>
      </c>
    </row>
    <row r="1991" spans="1:23" ht="11.25" customHeight="1" x14ac:dyDescent="0.25">
      <c r="A1991" s="4" t="s">
        <v>27</v>
      </c>
      <c r="B1991" s="4" t="s">
        <v>46</v>
      </c>
      <c r="C1991" s="4" t="s">
        <v>23</v>
      </c>
      <c r="D1991" s="4" t="s">
        <v>47</v>
      </c>
      <c r="E1991" s="4" t="s">
        <v>58</v>
      </c>
      <c r="F1991" s="4" t="s">
        <v>56</v>
      </c>
      <c r="G1991" s="4" t="s">
        <v>25</v>
      </c>
      <c r="H1991" s="4" t="s">
        <v>25</v>
      </c>
      <c r="I1991" s="5">
        <v>44348</v>
      </c>
      <c r="J1991" s="6">
        <v>0</v>
      </c>
      <c r="K1991" s="6">
        <v>0</v>
      </c>
      <c r="L1991" s="6">
        <v>-1.0509999999999999</v>
      </c>
      <c r="M1991" s="6">
        <v>-1.0509999999999999</v>
      </c>
      <c r="N1991" s="6">
        <v>-1.0509999999999999</v>
      </c>
      <c r="O1991" s="6">
        <v>-1.0509999999999999</v>
      </c>
      <c r="P1991" s="6">
        <v>0</v>
      </c>
      <c r="Q1991" s="4" t="s">
        <v>26</v>
      </c>
      <c r="R1991" s="4">
        <v>0</v>
      </c>
      <c r="S1991" s="4" t="s">
        <v>336</v>
      </c>
      <c r="T1991" s="4" t="s">
        <v>573</v>
      </c>
      <c r="U1991" s="4">
        <v>0</v>
      </c>
      <c r="V1991" s="4">
        <v>39</v>
      </c>
      <c r="W1991" s="4">
        <v>85</v>
      </c>
    </row>
    <row r="1992" spans="1:23" ht="11.25" customHeight="1" x14ac:dyDescent="0.25">
      <c r="A1992" s="4" t="s">
        <v>28</v>
      </c>
      <c r="B1992" s="4" t="s">
        <v>46</v>
      </c>
      <c r="C1992" s="4" t="s">
        <v>23</v>
      </c>
      <c r="D1992" s="4" t="s">
        <v>47</v>
      </c>
      <c r="E1992" s="4" t="s">
        <v>58</v>
      </c>
      <c r="F1992" s="4" t="s">
        <v>56</v>
      </c>
      <c r="G1992" s="4" t="s">
        <v>25</v>
      </c>
      <c r="H1992" s="4" t="s">
        <v>25</v>
      </c>
      <c r="I1992" s="5">
        <v>44348</v>
      </c>
      <c r="J1992" s="6">
        <v>0</v>
      </c>
      <c r="K1992" s="6">
        <v>0</v>
      </c>
      <c r="L1992" s="6">
        <v>23.059000000000001</v>
      </c>
      <c r="M1992" s="6">
        <v>23.059000000000001</v>
      </c>
      <c r="N1992" s="6">
        <v>23.059000000000001</v>
      </c>
      <c r="O1992" s="6">
        <v>23.059000000000001</v>
      </c>
      <c r="P1992" s="6">
        <v>0</v>
      </c>
      <c r="Q1992" s="4" t="s">
        <v>26</v>
      </c>
      <c r="R1992" s="4">
        <v>0</v>
      </c>
      <c r="S1992" s="4" t="s">
        <v>336</v>
      </c>
      <c r="T1992" s="4" t="s">
        <v>573</v>
      </c>
      <c r="U1992" s="4">
        <v>0</v>
      </c>
      <c r="V1992" s="4">
        <v>39</v>
      </c>
      <c r="W1992" s="4">
        <v>85</v>
      </c>
    </row>
    <row r="1993" spans="1:23" ht="11.25" customHeight="1" x14ac:dyDescent="0.25">
      <c r="A1993" s="4" t="s">
        <v>21</v>
      </c>
      <c r="B1993" s="4" t="s">
        <v>46</v>
      </c>
      <c r="C1993" s="4" t="s">
        <v>23</v>
      </c>
      <c r="D1993" s="4" t="s">
        <v>47</v>
      </c>
      <c r="E1993" s="4" t="s">
        <v>58</v>
      </c>
      <c r="F1993" s="4" t="s">
        <v>56</v>
      </c>
      <c r="G1993" s="4" t="s">
        <v>25</v>
      </c>
      <c r="H1993" s="4" t="s">
        <v>25</v>
      </c>
      <c r="I1993" s="5">
        <v>44378</v>
      </c>
      <c r="J1993" s="6">
        <v>0</v>
      </c>
      <c r="K1993" s="6">
        <v>0</v>
      </c>
      <c r="L1993" s="6">
        <v>10.369</v>
      </c>
      <c r="M1993" s="6">
        <v>10.369</v>
      </c>
      <c r="N1993" s="6">
        <v>10.369</v>
      </c>
      <c r="O1993" s="6">
        <v>10.369</v>
      </c>
      <c r="P1993" s="6">
        <v>0</v>
      </c>
      <c r="Q1993" s="4" t="s">
        <v>26</v>
      </c>
      <c r="R1993" s="4">
        <v>0</v>
      </c>
      <c r="S1993" s="4" t="s">
        <v>337</v>
      </c>
      <c r="T1993" s="4" t="s">
        <v>574</v>
      </c>
      <c r="U1993" s="4">
        <v>0</v>
      </c>
      <c r="V1993" s="4">
        <v>39</v>
      </c>
      <c r="W1993" s="4">
        <v>85</v>
      </c>
    </row>
    <row r="1994" spans="1:23" ht="11.25" customHeight="1" x14ac:dyDescent="0.25">
      <c r="A1994" s="4" t="s">
        <v>27</v>
      </c>
      <c r="B1994" s="4" t="s">
        <v>46</v>
      </c>
      <c r="C1994" s="4" t="s">
        <v>23</v>
      </c>
      <c r="D1994" s="4" t="s">
        <v>47</v>
      </c>
      <c r="E1994" s="4" t="s">
        <v>58</v>
      </c>
      <c r="F1994" s="4" t="s">
        <v>56</v>
      </c>
      <c r="G1994" s="4" t="s">
        <v>25</v>
      </c>
      <c r="H1994" s="4" t="s">
        <v>25</v>
      </c>
      <c r="I1994" s="5">
        <v>44378</v>
      </c>
      <c r="J1994" s="6">
        <v>0</v>
      </c>
      <c r="K1994" s="6">
        <v>0</v>
      </c>
      <c r="L1994" s="6">
        <v>-1.597</v>
      </c>
      <c r="M1994" s="6">
        <v>-1.597</v>
      </c>
      <c r="N1994" s="6">
        <v>-1.597</v>
      </c>
      <c r="O1994" s="6">
        <v>-1.597</v>
      </c>
      <c r="P1994" s="6">
        <v>0</v>
      </c>
      <c r="Q1994" s="4" t="s">
        <v>26</v>
      </c>
      <c r="R1994" s="4">
        <v>0</v>
      </c>
      <c r="S1994" s="4" t="s">
        <v>337</v>
      </c>
      <c r="T1994" s="4" t="s">
        <v>574</v>
      </c>
      <c r="U1994" s="4">
        <v>0</v>
      </c>
      <c r="V1994" s="4">
        <v>39</v>
      </c>
      <c r="W1994" s="4">
        <v>85</v>
      </c>
    </row>
    <row r="1995" spans="1:23" ht="11.25" customHeight="1" x14ac:dyDescent="0.25">
      <c r="A1995" s="4" t="s">
        <v>28</v>
      </c>
      <c r="B1995" s="4" t="s">
        <v>46</v>
      </c>
      <c r="C1995" s="4" t="s">
        <v>23</v>
      </c>
      <c r="D1995" s="4" t="s">
        <v>47</v>
      </c>
      <c r="E1995" s="4" t="s">
        <v>58</v>
      </c>
      <c r="F1995" s="4" t="s">
        <v>56</v>
      </c>
      <c r="G1995" s="4" t="s">
        <v>25</v>
      </c>
      <c r="H1995" s="4" t="s">
        <v>25</v>
      </c>
      <c r="I1995" s="5">
        <v>44378</v>
      </c>
      <c r="J1995" s="6">
        <v>0</v>
      </c>
      <c r="K1995" s="6">
        <v>0</v>
      </c>
      <c r="L1995" s="6">
        <v>24.103000000000002</v>
      </c>
      <c r="M1995" s="6">
        <v>24.103000000000002</v>
      </c>
      <c r="N1995" s="6">
        <v>24.103000000000002</v>
      </c>
      <c r="O1995" s="6">
        <v>24.103000000000002</v>
      </c>
      <c r="P1995" s="6">
        <v>0</v>
      </c>
      <c r="Q1995" s="4" t="s">
        <v>26</v>
      </c>
      <c r="R1995" s="4">
        <v>0</v>
      </c>
      <c r="S1995" s="4" t="s">
        <v>337</v>
      </c>
      <c r="T1995" s="4" t="s">
        <v>574</v>
      </c>
      <c r="U1995" s="4">
        <v>0</v>
      </c>
      <c r="V1995" s="4">
        <v>39</v>
      </c>
      <c r="W1995" s="4">
        <v>85</v>
      </c>
    </row>
    <row r="1996" spans="1:23" ht="11.25" customHeight="1" x14ac:dyDescent="0.25">
      <c r="A1996" s="4" t="s">
        <v>21</v>
      </c>
      <c r="B1996" s="4" t="s">
        <v>46</v>
      </c>
      <c r="C1996" s="4" t="s">
        <v>23</v>
      </c>
      <c r="D1996" s="4" t="s">
        <v>47</v>
      </c>
      <c r="E1996" s="4" t="s">
        <v>58</v>
      </c>
      <c r="F1996" s="4" t="s">
        <v>56</v>
      </c>
      <c r="G1996" s="4" t="s">
        <v>25</v>
      </c>
      <c r="H1996" s="4" t="s">
        <v>25</v>
      </c>
      <c r="I1996" s="5">
        <v>44409</v>
      </c>
      <c r="J1996" s="6">
        <v>0</v>
      </c>
      <c r="K1996" s="6">
        <v>0</v>
      </c>
      <c r="L1996" s="6">
        <v>26.681999999999999</v>
      </c>
      <c r="M1996" s="6">
        <v>26.681999999999999</v>
      </c>
      <c r="N1996" s="6">
        <v>26.681999999999999</v>
      </c>
      <c r="O1996" s="6">
        <v>26.681999999999999</v>
      </c>
      <c r="P1996" s="6">
        <v>0</v>
      </c>
      <c r="Q1996" s="4" t="s">
        <v>26</v>
      </c>
      <c r="R1996" s="4">
        <v>0</v>
      </c>
      <c r="S1996" s="4" t="s">
        <v>338</v>
      </c>
      <c r="T1996" s="4" t="s">
        <v>575</v>
      </c>
      <c r="U1996" s="4">
        <v>0</v>
      </c>
      <c r="V1996" s="4">
        <v>39</v>
      </c>
      <c r="W1996" s="4">
        <v>85</v>
      </c>
    </row>
    <row r="1997" spans="1:23" ht="11.25" customHeight="1" x14ac:dyDescent="0.25">
      <c r="A1997" s="4" t="s">
        <v>28</v>
      </c>
      <c r="B1997" s="4" t="s">
        <v>46</v>
      </c>
      <c r="C1997" s="4" t="s">
        <v>23</v>
      </c>
      <c r="D1997" s="4" t="s">
        <v>47</v>
      </c>
      <c r="E1997" s="4" t="s">
        <v>58</v>
      </c>
      <c r="F1997" s="4" t="s">
        <v>56</v>
      </c>
      <c r="G1997" s="4" t="s">
        <v>25</v>
      </c>
      <c r="H1997" s="4" t="s">
        <v>25</v>
      </c>
      <c r="I1997" s="5">
        <v>44409</v>
      </c>
      <c r="J1997" s="6">
        <v>0</v>
      </c>
      <c r="K1997" s="6">
        <v>0</v>
      </c>
      <c r="L1997" s="6">
        <v>35.304000000000002</v>
      </c>
      <c r="M1997" s="6">
        <v>35.304000000000002</v>
      </c>
      <c r="N1997" s="6">
        <v>35.304000000000002</v>
      </c>
      <c r="O1997" s="6">
        <v>35.304000000000002</v>
      </c>
      <c r="P1997" s="6">
        <v>0</v>
      </c>
      <c r="Q1997" s="4" t="s">
        <v>26</v>
      </c>
      <c r="R1997" s="4">
        <v>0</v>
      </c>
      <c r="S1997" s="4" t="s">
        <v>338</v>
      </c>
      <c r="T1997" s="4" t="s">
        <v>575</v>
      </c>
      <c r="U1997" s="4">
        <v>0</v>
      </c>
      <c r="V1997" s="4">
        <v>39</v>
      </c>
      <c r="W1997" s="4">
        <v>85</v>
      </c>
    </row>
    <row r="1998" spans="1:23" ht="11.25" customHeight="1" x14ac:dyDescent="0.25">
      <c r="A1998" s="4" t="s">
        <v>29</v>
      </c>
      <c r="B1998" s="4" t="s">
        <v>46</v>
      </c>
      <c r="C1998" s="4" t="s">
        <v>23</v>
      </c>
      <c r="D1998" s="4" t="s">
        <v>47</v>
      </c>
      <c r="E1998" s="4" t="s">
        <v>58</v>
      </c>
      <c r="F1998" s="4" t="s">
        <v>56</v>
      </c>
      <c r="G1998" s="4" t="s">
        <v>25</v>
      </c>
      <c r="H1998" s="4" t="s">
        <v>25</v>
      </c>
      <c r="I1998" s="5">
        <v>44409</v>
      </c>
      <c r="J1998" s="6">
        <v>0</v>
      </c>
      <c r="K1998" s="6">
        <v>0</v>
      </c>
      <c r="L1998" s="6">
        <v>-1.0780000000000001</v>
      </c>
      <c r="M1998" s="6">
        <v>-1.0780000000000001</v>
      </c>
      <c r="N1998" s="6">
        <v>-1.0780000000000001</v>
      </c>
      <c r="O1998" s="6">
        <v>-1.0780000000000001</v>
      </c>
      <c r="P1998" s="6">
        <v>0</v>
      </c>
      <c r="Q1998" s="4" t="s">
        <v>26</v>
      </c>
      <c r="R1998" s="4">
        <v>0</v>
      </c>
      <c r="S1998" s="4" t="s">
        <v>338</v>
      </c>
      <c r="T1998" s="4" t="s">
        <v>575</v>
      </c>
      <c r="U1998" s="4">
        <v>0</v>
      </c>
      <c r="V1998" s="4">
        <v>39</v>
      </c>
      <c r="W1998" s="4">
        <v>85</v>
      </c>
    </row>
    <row r="1999" spans="1:23" ht="11.25" customHeight="1" x14ac:dyDescent="0.25">
      <c r="A1999" s="4" t="s">
        <v>21</v>
      </c>
      <c r="B1999" s="4" t="s">
        <v>46</v>
      </c>
      <c r="C1999" s="4" t="s">
        <v>23</v>
      </c>
      <c r="D1999" s="4" t="s">
        <v>47</v>
      </c>
      <c r="E1999" s="4" t="s">
        <v>58</v>
      </c>
      <c r="F1999" s="4" t="s">
        <v>56</v>
      </c>
      <c r="G1999" s="4" t="s">
        <v>25</v>
      </c>
      <c r="H1999" s="4" t="s">
        <v>25</v>
      </c>
      <c r="I1999" s="5">
        <v>44440</v>
      </c>
      <c r="J1999" s="6">
        <v>0</v>
      </c>
      <c r="K1999" s="6">
        <v>0</v>
      </c>
      <c r="L1999" s="6">
        <v>18.504999999999999</v>
      </c>
      <c r="M1999" s="6">
        <v>18.504999999999999</v>
      </c>
      <c r="N1999" s="6">
        <v>18.504999999999999</v>
      </c>
      <c r="O1999" s="6">
        <v>18.504999999999999</v>
      </c>
      <c r="P1999" s="6">
        <v>0</v>
      </c>
      <c r="Q1999" s="4" t="s">
        <v>26</v>
      </c>
      <c r="R1999" s="4">
        <v>0</v>
      </c>
      <c r="S1999" s="4" t="s">
        <v>339</v>
      </c>
      <c r="T1999" s="4" t="s">
        <v>576</v>
      </c>
      <c r="U1999" s="4">
        <v>0</v>
      </c>
      <c r="V1999" s="4">
        <v>39</v>
      </c>
      <c r="W1999" s="4">
        <v>85</v>
      </c>
    </row>
    <row r="2000" spans="1:23" ht="11.25" customHeight="1" x14ac:dyDescent="0.25">
      <c r="A2000" s="4" t="s">
        <v>27</v>
      </c>
      <c r="B2000" s="4" t="s">
        <v>46</v>
      </c>
      <c r="C2000" s="4" t="s">
        <v>23</v>
      </c>
      <c r="D2000" s="4" t="s">
        <v>47</v>
      </c>
      <c r="E2000" s="4" t="s">
        <v>58</v>
      </c>
      <c r="F2000" s="4" t="s">
        <v>56</v>
      </c>
      <c r="G2000" s="4" t="s">
        <v>25</v>
      </c>
      <c r="H2000" s="4" t="s">
        <v>25</v>
      </c>
      <c r="I2000" s="5">
        <v>44440</v>
      </c>
      <c r="J2000" s="6">
        <v>0</v>
      </c>
      <c r="K2000" s="6">
        <v>0</v>
      </c>
      <c r="L2000" s="6">
        <v>-1.9710000000000001</v>
      </c>
      <c r="M2000" s="6">
        <v>-1.9710000000000001</v>
      </c>
      <c r="N2000" s="6">
        <v>-1.9710000000000001</v>
      </c>
      <c r="O2000" s="6">
        <v>-1.9710000000000001</v>
      </c>
      <c r="P2000" s="6">
        <v>0</v>
      </c>
      <c r="Q2000" s="4" t="s">
        <v>26</v>
      </c>
      <c r="R2000" s="4">
        <v>0</v>
      </c>
      <c r="S2000" s="4" t="s">
        <v>339</v>
      </c>
      <c r="T2000" s="4" t="s">
        <v>576</v>
      </c>
      <c r="U2000" s="4">
        <v>0</v>
      </c>
      <c r="V2000" s="4">
        <v>39</v>
      </c>
      <c r="W2000" s="4">
        <v>85</v>
      </c>
    </row>
    <row r="2001" spans="1:23" ht="11.25" customHeight="1" x14ac:dyDescent="0.25">
      <c r="A2001" s="4" t="s">
        <v>28</v>
      </c>
      <c r="B2001" s="4" t="s">
        <v>46</v>
      </c>
      <c r="C2001" s="4" t="s">
        <v>23</v>
      </c>
      <c r="D2001" s="4" t="s">
        <v>47</v>
      </c>
      <c r="E2001" s="4" t="s">
        <v>58</v>
      </c>
      <c r="F2001" s="4" t="s">
        <v>56</v>
      </c>
      <c r="G2001" s="4" t="s">
        <v>25</v>
      </c>
      <c r="H2001" s="4" t="s">
        <v>25</v>
      </c>
      <c r="I2001" s="5">
        <v>44440</v>
      </c>
      <c r="J2001" s="6">
        <v>0</v>
      </c>
      <c r="K2001" s="6">
        <v>0</v>
      </c>
      <c r="L2001" s="6">
        <v>26.731999999999999</v>
      </c>
      <c r="M2001" s="6">
        <v>26.731999999999999</v>
      </c>
      <c r="N2001" s="6">
        <v>26.731999999999999</v>
      </c>
      <c r="O2001" s="6">
        <v>26.731999999999999</v>
      </c>
      <c r="P2001" s="6">
        <v>0</v>
      </c>
      <c r="Q2001" s="4" t="s">
        <v>26</v>
      </c>
      <c r="R2001" s="4">
        <v>0</v>
      </c>
      <c r="S2001" s="4" t="s">
        <v>339</v>
      </c>
      <c r="T2001" s="4" t="s">
        <v>576</v>
      </c>
      <c r="U2001" s="4">
        <v>0</v>
      </c>
      <c r="V2001" s="4">
        <v>39</v>
      </c>
      <c r="W2001" s="4">
        <v>85</v>
      </c>
    </row>
    <row r="2002" spans="1:23" ht="11.25" customHeight="1" x14ac:dyDescent="0.25">
      <c r="A2002" s="4" t="s">
        <v>59</v>
      </c>
      <c r="B2002" s="4" t="s">
        <v>46</v>
      </c>
      <c r="C2002" s="4" t="s">
        <v>23</v>
      </c>
      <c r="D2002" s="4" t="s">
        <v>47</v>
      </c>
      <c r="E2002" s="4" t="s">
        <v>58</v>
      </c>
      <c r="F2002" s="4" t="s">
        <v>56</v>
      </c>
      <c r="G2002" s="4" t="s">
        <v>25</v>
      </c>
      <c r="H2002" s="4" t="s">
        <v>25</v>
      </c>
      <c r="I2002" s="5">
        <v>44470</v>
      </c>
      <c r="J2002" s="6">
        <v>0</v>
      </c>
      <c r="K2002" s="6">
        <v>0</v>
      </c>
      <c r="L2002" s="6">
        <v>18.504999999999999</v>
      </c>
      <c r="M2002" s="6">
        <v>18.504999999999999</v>
      </c>
      <c r="N2002" s="6">
        <v>18.504999999999999</v>
      </c>
      <c r="O2002" s="6">
        <v>18.504999999999999</v>
      </c>
      <c r="P2002" s="6">
        <v>0</v>
      </c>
      <c r="Q2002" s="4" t="s">
        <v>26</v>
      </c>
      <c r="R2002" s="4">
        <v>0</v>
      </c>
      <c r="S2002" s="4" t="s">
        <v>340</v>
      </c>
      <c r="T2002" s="4" t="s">
        <v>577</v>
      </c>
      <c r="U2002" s="4">
        <v>0</v>
      </c>
      <c r="V2002" s="4">
        <v>39</v>
      </c>
      <c r="W2002" s="4">
        <v>85</v>
      </c>
    </row>
    <row r="2003" spans="1:23" ht="11.25" customHeight="1" x14ac:dyDescent="0.25">
      <c r="A2003" s="4" t="s">
        <v>59</v>
      </c>
      <c r="B2003" s="4" t="s">
        <v>46</v>
      </c>
      <c r="C2003" s="4" t="s">
        <v>23</v>
      </c>
      <c r="D2003" s="4" t="s">
        <v>47</v>
      </c>
      <c r="E2003" s="4" t="s">
        <v>58</v>
      </c>
      <c r="F2003" s="4" t="s">
        <v>56</v>
      </c>
      <c r="G2003" s="4" t="s">
        <v>25</v>
      </c>
      <c r="H2003" s="4" t="s">
        <v>25</v>
      </c>
      <c r="I2003" s="5">
        <v>44470</v>
      </c>
      <c r="J2003" s="6">
        <v>0</v>
      </c>
      <c r="K2003" s="6">
        <v>0</v>
      </c>
      <c r="L2003" s="6">
        <v>-1.9710000000000001</v>
      </c>
      <c r="M2003" s="6">
        <v>-1.9710000000000001</v>
      </c>
      <c r="N2003" s="6">
        <v>-1.9710000000000001</v>
      </c>
      <c r="O2003" s="6">
        <v>-1.9710000000000001</v>
      </c>
      <c r="P2003" s="6">
        <v>0</v>
      </c>
      <c r="Q2003" s="4" t="s">
        <v>26</v>
      </c>
      <c r="R2003" s="4">
        <v>0</v>
      </c>
      <c r="S2003" s="4" t="s">
        <v>340</v>
      </c>
      <c r="T2003" s="4" t="s">
        <v>577</v>
      </c>
      <c r="U2003" s="4">
        <v>0</v>
      </c>
      <c r="V2003" s="4">
        <v>39</v>
      </c>
      <c r="W2003" s="4">
        <v>85</v>
      </c>
    </row>
    <row r="2004" spans="1:23" ht="11.25" customHeight="1" x14ac:dyDescent="0.25">
      <c r="A2004" s="4" t="s">
        <v>59</v>
      </c>
      <c r="B2004" s="4" t="s">
        <v>46</v>
      </c>
      <c r="C2004" s="4" t="s">
        <v>23</v>
      </c>
      <c r="D2004" s="4" t="s">
        <v>47</v>
      </c>
      <c r="E2004" s="4" t="s">
        <v>58</v>
      </c>
      <c r="F2004" s="4" t="s">
        <v>56</v>
      </c>
      <c r="G2004" s="4" t="s">
        <v>25</v>
      </c>
      <c r="H2004" s="4" t="s">
        <v>25</v>
      </c>
      <c r="I2004" s="5">
        <v>44470</v>
      </c>
      <c r="J2004" s="6">
        <v>0</v>
      </c>
      <c r="K2004" s="6">
        <v>0</v>
      </c>
      <c r="L2004" s="6">
        <v>26.731999999999999</v>
      </c>
      <c r="M2004" s="6">
        <v>26.731999999999999</v>
      </c>
      <c r="N2004" s="6">
        <v>26.731999999999999</v>
      </c>
      <c r="O2004" s="6">
        <v>26.731999999999999</v>
      </c>
      <c r="P2004" s="6">
        <v>0</v>
      </c>
      <c r="Q2004" s="4" t="s">
        <v>26</v>
      </c>
      <c r="R2004" s="4">
        <v>0</v>
      </c>
      <c r="S2004" s="4" t="s">
        <v>340</v>
      </c>
      <c r="T2004" s="4" t="s">
        <v>577</v>
      </c>
      <c r="U2004" s="4">
        <v>0</v>
      </c>
      <c r="V2004" s="4">
        <v>39</v>
      </c>
      <c r="W2004" s="4">
        <v>85</v>
      </c>
    </row>
    <row r="2005" spans="1:23" ht="11.25" customHeight="1" x14ac:dyDescent="0.25">
      <c r="A2005" s="4" t="s">
        <v>21</v>
      </c>
      <c r="B2005" s="4" t="s">
        <v>46</v>
      </c>
      <c r="C2005" s="4" t="s">
        <v>23</v>
      </c>
      <c r="D2005" s="4" t="s">
        <v>47</v>
      </c>
      <c r="E2005" s="4" t="s">
        <v>58</v>
      </c>
      <c r="F2005" s="4" t="s">
        <v>57</v>
      </c>
      <c r="G2005" s="4" t="s">
        <v>25</v>
      </c>
      <c r="H2005" s="4" t="s">
        <v>25</v>
      </c>
      <c r="I2005" s="5">
        <v>44317</v>
      </c>
      <c r="J2005" s="6">
        <v>0</v>
      </c>
      <c r="K2005" s="6">
        <v>0</v>
      </c>
      <c r="L2005" s="6">
        <v>3.2349999999999999</v>
      </c>
      <c r="M2005" s="6">
        <v>1.06755</v>
      </c>
      <c r="N2005" s="6">
        <v>3.2349999999999999</v>
      </c>
      <c r="O2005" s="6">
        <v>1.06755</v>
      </c>
      <c r="P2005" s="6">
        <v>0</v>
      </c>
      <c r="Q2005" s="4" t="s">
        <v>26</v>
      </c>
      <c r="R2005" s="4">
        <v>0</v>
      </c>
      <c r="S2005" s="4" t="s">
        <v>335</v>
      </c>
      <c r="T2005" s="4" t="s">
        <v>572</v>
      </c>
      <c r="U2005" s="4">
        <v>0</v>
      </c>
      <c r="V2005" s="4">
        <v>39</v>
      </c>
      <c r="W2005" s="4">
        <v>85</v>
      </c>
    </row>
    <row r="2006" spans="1:23" ht="11.25" customHeight="1" x14ac:dyDescent="0.25">
      <c r="A2006" s="4" t="s">
        <v>27</v>
      </c>
      <c r="B2006" s="4" t="s">
        <v>46</v>
      </c>
      <c r="C2006" s="4" t="s">
        <v>23</v>
      </c>
      <c r="D2006" s="4" t="s">
        <v>47</v>
      </c>
      <c r="E2006" s="4" t="s">
        <v>58</v>
      </c>
      <c r="F2006" s="4" t="s">
        <v>57</v>
      </c>
      <c r="G2006" s="4" t="s">
        <v>25</v>
      </c>
      <c r="H2006" s="4" t="s">
        <v>25</v>
      </c>
      <c r="I2006" s="5">
        <v>44317</v>
      </c>
      <c r="J2006" s="6">
        <v>0</v>
      </c>
      <c r="K2006" s="6">
        <v>0</v>
      </c>
      <c r="L2006" s="6">
        <v>1.028</v>
      </c>
      <c r="M2006" s="6">
        <v>0.33923999999999999</v>
      </c>
      <c r="N2006" s="6">
        <v>1.028</v>
      </c>
      <c r="O2006" s="6">
        <v>0.33923999999999999</v>
      </c>
      <c r="P2006" s="6">
        <v>0</v>
      </c>
      <c r="Q2006" s="4" t="s">
        <v>26</v>
      </c>
      <c r="R2006" s="4">
        <v>0</v>
      </c>
      <c r="S2006" s="4" t="s">
        <v>335</v>
      </c>
      <c r="T2006" s="4" t="s">
        <v>572</v>
      </c>
      <c r="U2006" s="4">
        <v>0</v>
      </c>
      <c r="V2006" s="4">
        <v>39</v>
      </c>
      <c r="W2006" s="4">
        <v>85</v>
      </c>
    </row>
    <row r="2007" spans="1:23" ht="11.25" customHeight="1" x14ac:dyDescent="0.25">
      <c r="A2007" s="4" t="s">
        <v>28</v>
      </c>
      <c r="B2007" s="4" t="s">
        <v>46</v>
      </c>
      <c r="C2007" s="4" t="s">
        <v>23</v>
      </c>
      <c r="D2007" s="4" t="s">
        <v>47</v>
      </c>
      <c r="E2007" s="4" t="s">
        <v>58</v>
      </c>
      <c r="F2007" s="4" t="s">
        <v>57</v>
      </c>
      <c r="G2007" s="4" t="s">
        <v>25</v>
      </c>
      <c r="H2007" s="4" t="s">
        <v>25</v>
      </c>
      <c r="I2007" s="5">
        <v>44317</v>
      </c>
      <c r="J2007" s="6">
        <v>0</v>
      </c>
      <c r="K2007" s="6">
        <v>0</v>
      </c>
      <c r="L2007" s="6">
        <v>13.019</v>
      </c>
      <c r="M2007" s="6">
        <v>4.2962699999999998</v>
      </c>
      <c r="N2007" s="6">
        <v>13.019</v>
      </c>
      <c r="O2007" s="6">
        <v>4.2962699999999998</v>
      </c>
      <c r="P2007" s="6">
        <v>0</v>
      </c>
      <c r="Q2007" s="4" t="s">
        <v>26</v>
      </c>
      <c r="R2007" s="4">
        <v>0</v>
      </c>
      <c r="S2007" s="4" t="s">
        <v>335</v>
      </c>
      <c r="T2007" s="4" t="s">
        <v>572</v>
      </c>
      <c r="U2007" s="4">
        <v>0</v>
      </c>
      <c r="V2007" s="4">
        <v>39</v>
      </c>
      <c r="W2007" s="4">
        <v>85</v>
      </c>
    </row>
    <row r="2008" spans="1:23" ht="11.25" customHeight="1" x14ac:dyDescent="0.25">
      <c r="A2008" s="4" t="s">
        <v>29</v>
      </c>
      <c r="B2008" s="4" t="s">
        <v>46</v>
      </c>
      <c r="C2008" s="4" t="s">
        <v>23</v>
      </c>
      <c r="D2008" s="4" t="s">
        <v>47</v>
      </c>
      <c r="E2008" s="4" t="s">
        <v>58</v>
      </c>
      <c r="F2008" s="4" t="s">
        <v>57</v>
      </c>
      <c r="G2008" s="4" t="s">
        <v>25</v>
      </c>
      <c r="H2008" s="4" t="s">
        <v>25</v>
      </c>
      <c r="I2008" s="5">
        <v>44317</v>
      </c>
      <c r="J2008" s="6">
        <v>0</v>
      </c>
      <c r="K2008" s="6">
        <v>0</v>
      </c>
      <c r="L2008" s="6">
        <v>0.442</v>
      </c>
      <c r="M2008" s="6">
        <v>0.14585999999999999</v>
      </c>
      <c r="N2008" s="6">
        <v>0.442</v>
      </c>
      <c r="O2008" s="6">
        <v>0.14585999999999999</v>
      </c>
      <c r="P2008" s="6">
        <v>0</v>
      </c>
      <c r="Q2008" s="4" t="s">
        <v>26</v>
      </c>
      <c r="R2008" s="4">
        <v>0</v>
      </c>
      <c r="S2008" s="4" t="s">
        <v>335</v>
      </c>
      <c r="T2008" s="4" t="s">
        <v>572</v>
      </c>
      <c r="U2008" s="4">
        <v>0</v>
      </c>
      <c r="V2008" s="4">
        <v>39</v>
      </c>
      <c r="W2008" s="4">
        <v>85</v>
      </c>
    </row>
    <row r="2009" spans="1:23" ht="11.25" customHeight="1" x14ac:dyDescent="0.25">
      <c r="A2009" s="4" t="s">
        <v>21</v>
      </c>
      <c r="B2009" s="4" t="s">
        <v>46</v>
      </c>
      <c r="C2009" s="4" t="s">
        <v>23</v>
      </c>
      <c r="D2009" s="4" t="s">
        <v>47</v>
      </c>
      <c r="E2009" s="4" t="s">
        <v>58</v>
      </c>
      <c r="F2009" s="4" t="s">
        <v>57</v>
      </c>
      <c r="G2009" s="4" t="s">
        <v>25</v>
      </c>
      <c r="H2009" s="4" t="s">
        <v>25</v>
      </c>
      <c r="I2009" s="5">
        <v>44348</v>
      </c>
      <c r="J2009" s="6">
        <v>0</v>
      </c>
      <c r="K2009" s="6">
        <v>0</v>
      </c>
      <c r="L2009" s="6">
        <v>6.3869999999999996</v>
      </c>
      <c r="M2009" s="6">
        <v>2.10771</v>
      </c>
      <c r="N2009" s="6">
        <v>6.3869999999999996</v>
      </c>
      <c r="O2009" s="6">
        <v>2.10771</v>
      </c>
      <c r="P2009" s="6">
        <v>0</v>
      </c>
      <c r="Q2009" s="4" t="s">
        <v>26</v>
      </c>
      <c r="R2009" s="4">
        <v>0</v>
      </c>
      <c r="S2009" s="4" t="s">
        <v>336</v>
      </c>
      <c r="T2009" s="4" t="s">
        <v>573</v>
      </c>
      <c r="U2009" s="4">
        <v>0</v>
      </c>
      <c r="V2009" s="4">
        <v>39</v>
      </c>
      <c r="W2009" s="4">
        <v>85</v>
      </c>
    </row>
    <row r="2010" spans="1:23" ht="11.25" customHeight="1" x14ac:dyDescent="0.25">
      <c r="A2010" s="4" t="s">
        <v>27</v>
      </c>
      <c r="B2010" s="4" t="s">
        <v>46</v>
      </c>
      <c r="C2010" s="4" t="s">
        <v>23</v>
      </c>
      <c r="D2010" s="4" t="s">
        <v>47</v>
      </c>
      <c r="E2010" s="4" t="s">
        <v>58</v>
      </c>
      <c r="F2010" s="4" t="s">
        <v>57</v>
      </c>
      <c r="G2010" s="4" t="s">
        <v>25</v>
      </c>
      <c r="H2010" s="4" t="s">
        <v>25</v>
      </c>
      <c r="I2010" s="5">
        <v>44348</v>
      </c>
      <c r="J2010" s="6">
        <v>0</v>
      </c>
      <c r="K2010" s="6">
        <v>0</v>
      </c>
      <c r="L2010" s="6">
        <v>3.7189999999999999</v>
      </c>
      <c r="M2010" s="6">
        <v>1.2272700000000001</v>
      </c>
      <c r="N2010" s="6">
        <v>3.7189999999999999</v>
      </c>
      <c r="O2010" s="6">
        <v>1.2272700000000001</v>
      </c>
      <c r="P2010" s="6">
        <v>0</v>
      </c>
      <c r="Q2010" s="4" t="s">
        <v>26</v>
      </c>
      <c r="R2010" s="4">
        <v>0</v>
      </c>
      <c r="S2010" s="4" t="s">
        <v>336</v>
      </c>
      <c r="T2010" s="4" t="s">
        <v>573</v>
      </c>
      <c r="U2010" s="4">
        <v>0</v>
      </c>
      <c r="V2010" s="4">
        <v>39</v>
      </c>
      <c r="W2010" s="4">
        <v>85</v>
      </c>
    </row>
    <row r="2011" spans="1:23" ht="11.25" customHeight="1" x14ac:dyDescent="0.25">
      <c r="A2011" s="4" t="s">
        <v>28</v>
      </c>
      <c r="B2011" s="4" t="s">
        <v>46</v>
      </c>
      <c r="C2011" s="4" t="s">
        <v>23</v>
      </c>
      <c r="D2011" s="4" t="s">
        <v>47</v>
      </c>
      <c r="E2011" s="4" t="s">
        <v>58</v>
      </c>
      <c r="F2011" s="4" t="s">
        <v>57</v>
      </c>
      <c r="G2011" s="4" t="s">
        <v>25</v>
      </c>
      <c r="H2011" s="4" t="s">
        <v>25</v>
      </c>
      <c r="I2011" s="5">
        <v>44348</v>
      </c>
      <c r="J2011" s="6">
        <v>0</v>
      </c>
      <c r="K2011" s="6">
        <v>0</v>
      </c>
      <c r="L2011" s="6">
        <v>18.571999999999999</v>
      </c>
      <c r="M2011" s="6">
        <v>18.571999999999999</v>
      </c>
      <c r="N2011" s="6">
        <v>18.571999999999999</v>
      </c>
      <c r="O2011" s="6">
        <v>18.571999999999999</v>
      </c>
      <c r="P2011" s="6">
        <v>0</v>
      </c>
      <c r="Q2011" s="4" t="s">
        <v>26</v>
      </c>
      <c r="R2011" s="4">
        <v>0</v>
      </c>
      <c r="S2011" s="4" t="s">
        <v>336</v>
      </c>
      <c r="T2011" s="4" t="s">
        <v>573</v>
      </c>
      <c r="U2011" s="4">
        <v>0</v>
      </c>
      <c r="V2011" s="4">
        <v>39</v>
      </c>
      <c r="W2011" s="4">
        <v>85</v>
      </c>
    </row>
    <row r="2012" spans="1:23" ht="11.25" customHeight="1" x14ac:dyDescent="0.25">
      <c r="A2012" s="4" t="s">
        <v>21</v>
      </c>
      <c r="B2012" s="4" t="s">
        <v>46</v>
      </c>
      <c r="C2012" s="4" t="s">
        <v>23</v>
      </c>
      <c r="D2012" s="4" t="s">
        <v>47</v>
      </c>
      <c r="E2012" s="4" t="s">
        <v>58</v>
      </c>
      <c r="F2012" s="4" t="s">
        <v>57</v>
      </c>
      <c r="G2012" s="4" t="s">
        <v>25</v>
      </c>
      <c r="H2012" s="4" t="s">
        <v>25</v>
      </c>
      <c r="I2012" s="5">
        <v>44378</v>
      </c>
      <c r="J2012" s="6">
        <v>0</v>
      </c>
      <c r="K2012" s="6">
        <v>0</v>
      </c>
      <c r="L2012" s="6">
        <v>9.3330000000000002</v>
      </c>
      <c r="M2012" s="6">
        <v>3.0798899999999998</v>
      </c>
      <c r="N2012" s="6">
        <v>9.3330000000000002</v>
      </c>
      <c r="O2012" s="6">
        <v>3.0798899999999998</v>
      </c>
      <c r="P2012" s="6">
        <v>0</v>
      </c>
      <c r="Q2012" s="4" t="s">
        <v>26</v>
      </c>
      <c r="R2012" s="4">
        <v>0</v>
      </c>
      <c r="S2012" s="4" t="s">
        <v>337</v>
      </c>
      <c r="T2012" s="4" t="s">
        <v>574</v>
      </c>
      <c r="U2012" s="4">
        <v>0</v>
      </c>
      <c r="V2012" s="4">
        <v>39</v>
      </c>
      <c r="W2012" s="4">
        <v>85</v>
      </c>
    </row>
    <row r="2013" spans="1:23" ht="11.25" customHeight="1" x14ac:dyDescent="0.25">
      <c r="A2013" s="4" t="s">
        <v>27</v>
      </c>
      <c r="B2013" s="4" t="s">
        <v>46</v>
      </c>
      <c r="C2013" s="4" t="s">
        <v>23</v>
      </c>
      <c r="D2013" s="4" t="s">
        <v>47</v>
      </c>
      <c r="E2013" s="4" t="s">
        <v>58</v>
      </c>
      <c r="F2013" s="4" t="s">
        <v>57</v>
      </c>
      <c r="G2013" s="4" t="s">
        <v>25</v>
      </c>
      <c r="H2013" s="4" t="s">
        <v>25</v>
      </c>
      <c r="I2013" s="5">
        <v>44378</v>
      </c>
      <c r="J2013" s="6">
        <v>0</v>
      </c>
      <c r="K2013" s="6">
        <v>0</v>
      </c>
      <c r="L2013" s="6">
        <v>-0.57599999999999996</v>
      </c>
      <c r="M2013" s="6">
        <v>-0.19008</v>
      </c>
      <c r="N2013" s="6">
        <v>-0.57599999999999996</v>
      </c>
      <c r="O2013" s="6">
        <v>-0.19008</v>
      </c>
      <c r="P2013" s="6">
        <v>0</v>
      </c>
      <c r="Q2013" s="4" t="s">
        <v>26</v>
      </c>
      <c r="R2013" s="4">
        <v>0</v>
      </c>
      <c r="S2013" s="4" t="s">
        <v>337</v>
      </c>
      <c r="T2013" s="4" t="s">
        <v>574</v>
      </c>
      <c r="U2013" s="4">
        <v>0</v>
      </c>
      <c r="V2013" s="4">
        <v>39</v>
      </c>
      <c r="W2013" s="4">
        <v>85</v>
      </c>
    </row>
    <row r="2014" spans="1:23" ht="11.25" customHeight="1" x14ac:dyDescent="0.25">
      <c r="A2014" s="4" t="s">
        <v>28</v>
      </c>
      <c r="B2014" s="4" t="s">
        <v>46</v>
      </c>
      <c r="C2014" s="4" t="s">
        <v>23</v>
      </c>
      <c r="D2014" s="4" t="s">
        <v>47</v>
      </c>
      <c r="E2014" s="4" t="s">
        <v>58</v>
      </c>
      <c r="F2014" s="4" t="s">
        <v>57</v>
      </c>
      <c r="G2014" s="4" t="s">
        <v>25</v>
      </c>
      <c r="H2014" s="4" t="s">
        <v>25</v>
      </c>
      <c r="I2014" s="5">
        <v>44378</v>
      </c>
      <c r="J2014" s="6">
        <v>0</v>
      </c>
      <c r="K2014" s="6">
        <v>0</v>
      </c>
      <c r="L2014" s="6">
        <v>17.431999999999999</v>
      </c>
      <c r="M2014" s="6">
        <v>5.7525599999999999</v>
      </c>
      <c r="N2014" s="6">
        <v>17.431999999999999</v>
      </c>
      <c r="O2014" s="6">
        <v>5.7525599999999999</v>
      </c>
      <c r="P2014" s="6">
        <v>0</v>
      </c>
      <c r="Q2014" s="4" t="s">
        <v>26</v>
      </c>
      <c r="R2014" s="4">
        <v>0</v>
      </c>
      <c r="S2014" s="4" t="s">
        <v>337</v>
      </c>
      <c r="T2014" s="4" t="s">
        <v>574</v>
      </c>
      <c r="U2014" s="4">
        <v>0</v>
      </c>
      <c r="V2014" s="4">
        <v>39</v>
      </c>
      <c r="W2014" s="4">
        <v>85</v>
      </c>
    </row>
    <row r="2015" spans="1:23" ht="11.25" customHeight="1" x14ac:dyDescent="0.25">
      <c r="A2015" s="4" t="s">
        <v>21</v>
      </c>
      <c r="B2015" s="4" t="s">
        <v>46</v>
      </c>
      <c r="C2015" s="4" t="s">
        <v>23</v>
      </c>
      <c r="D2015" s="4" t="s">
        <v>47</v>
      </c>
      <c r="E2015" s="4" t="s">
        <v>58</v>
      </c>
      <c r="F2015" s="4" t="s">
        <v>57</v>
      </c>
      <c r="G2015" s="4" t="s">
        <v>25</v>
      </c>
      <c r="H2015" s="4" t="s">
        <v>25</v>
      </c>
      <c r="I2015" s="5">
        <v>44409</v>
      </c>
      <c r="J2015" s="6">
        <v>0</v>
      </c>
      <c r="K2015" s="6">
        <v>0</v>
      </c>
      <c r="L2015" s="6">
        <v>15.872</v>
      </c>
      <c r="M2015" s="6">
        <v>5.2377599999999997</v>
      </c>
      <c r="N2015" s="6">
        <v>15.872</v>
      </c>
      <c r="O2015" s="6">
        <v>5.2377599999999997</v>
      </c>
      <c r="P2015" s="6">
        <v>0</v>
      </c>
      <c r="Q2015" s="4" t="s">
        <v>26</v>
      </c>
      <c r="R2015" s="4">
        <v>0</v>
      </c>
      <c r="S2015" s="4" t="s">
        <v>338</v>
      </c>
      <c r="T2015" s="4" t="s">
        <v>575</v>
      </c>
      <c r="U2015" s="4">
        <v>0</v>
      </c>
      <c r="V2015" s="4">
        <v>39</v>
      </c>
      <c r="W2015" s="4">
        <v>85</v>
      </c>
    </row>
    <row r="2016" spans="1:23" ht="11.25" customHeight="1" x14ac:dyDescent="0.25">
      <c r="A2016" s="4" t="s">
        <v>28</v>
      </c>
      <c r="B2016" s="4" t="s">
        <v>46</v>
      </c>
      <c r="C2016" s="4" t="s">
        <v>23</v>
      </c>
      <c r="D2016" s="4" t="s">
        <v>47</v>
      </c>
      <c r="E2016" s="4" t="s">
        <v>58</v>
      </c>
      <c r="F2016" s="4" t="s">
        <v>57</v>
      </c>
      <c r="G2016" s="4" t="s">
        <v>25</v>
      </c>
      <c r="H2016" s="4" t="s">
        <v>25</v>
      </c>
      <c r="I2016" s="5">
        <v>44409</v>
      </c>
      <c r="J2016" s="6">
        <v>0</v>
      </c>
      <c r="K2016" s="6">
        <v>0</v>
      </c>
      <c r="L2016" s="6">
        <v>16.562999999999999</v>
      </c>
      <c r="M2016" s="6">
        <v>5.4657900000000001</v>
      </c>
      <c r="N2016" s="6">
        <v>16.562999999999999</v>
      </c>
      <c r="O2016" s="6">
        <v>5.4657900000000001</v>
      </c>
      <c r="P2016" s="6">
        <v>0</v>
      </c>
      <c r="Q2016" s="4" t="s">
        <v>26</v>
      </c>
      <c r="R2016" s="4">
        <v>0</v>
      </c>
      <c r="S2016" s="4" t="s">
        <v>338</v>
      </c>
      <c r="T2016" s="4" t="s">
        <v>575</v>
      </c>
      <c r="U2016" s="4">
        <v>0</v>
      </c>
      <c r="V2016" s="4">
        <v>39</v>
      </c>
      <c r="W2016" s="4">
        <v>85</v>
      </c>
    </row>
    <row r="2017" spans="1:23" ht="11.25" customHeight="1" x14ac:dyDescent="0.25">
      <c r="A2017" s="4" t="s">
        <v>29</v>
      </c>
      <c r="B2017" s="4" t="s">
        <v>46</v>
      </c>
      <c r="C2017" s="4" t="s">
        <v>23</v>
      </c>
      <c r="D2017" s="4" t="s">
        <v>47</v>
      </c>
      <c r="E2017" s="4" t="s">
        <v>58</v>
      </c>
      <c r="F2017" s="4" t="s">
        <v>57</v>
      </c>
      <c r="G2017" s="4" t="s">
        <v>25</v>
      </c>
      <c r="H2017" s="4" t="s">
        <v>25</v>
      </c>
      <c r="I2017" s="5">
        <v>44409</v>
      </c>
      <c r="J2017" s="6">
        <v>0</v>
      </c>
      <c r="K2017" s="6">
        <v>0</v>
      </c>
      <c r="L2017" s="6">
        <v>0.182</v>
      </c>
      <c r="M2017" s="6">
        <v>6.0060000000000002E-2</v>
      </c>
      <c r="N2017" s="6">
        <v>0.182</v>
      </c>
      <c r="O2017" s="6">
        <v>6.0060000000000002E-2</v>
      </c>
      <c r="P2017" s="6">
        <v>0</v>
      </c>
      <c r="Q2017" s="4" t="s">
        <v>26</v>
      </c>
      <c r="R2017" s="4">
        <v>0</v>
      </c>
      <c r="S2017" s="4" t="s">
        <v>338</v>
      </c>
      <c r="T2017" s="4" t="s">
        <v>575</v>
      </c>
      <c r="U2017" s="4">
        <v>0</v>
      </c>
      <c r="V2017" s="4">
        <v>39</v>
      </c>
      <c r="W2017" s="4">
        <v>85</v>
      </c>
    </row>
    <row r="2018" spans="1:23" ht="11.25" customHeight="1" x14ac:dyDescent="0.25">
      <c r="A2018" s="4" t="s">
        <v>21</v>
      </c>
      <c r="B2018" s="4" t="s">
        <v>46</v>
      </c>
      <c r="C2018" s="4" t="s">
        <v>23</v>
      </c>
      <c r="D2018" s="4" t="s">
        <v>47</v>
      </c>
      <c r="E2018" s="4" t="s">
        <v>58</v>
      </c>
      <c r="F2018" s="4" t="s">
        <v>57</v>
      </c>
      <c r="G2018" s="4" t="s">
        <v>25</v>
      </c>
      <c r="H2018" s="4" t="s">
        <v>25</v>
      </c>
      <c r="I2018" s="5">
        <v>44440</v>
      </c>
      <c r="J2018" s="6">
        <v>0</v>
      </c>
      <c r="K2018" s="6">
        <v>0</v>
      </c>
      <c r="L2018" s="6">
        <v>6.3520000000000003</v>
      </c>
      <c r="M2018" s="6">
        <v>2.0961599999999998</v>
      </c>
      <c r="N2018" s="6">
        <v>6.3520000000000003</v>
      </c>
      <c r="O2018" s="6">
        <v>2.0961599999999998</v>
      </c>
      <c r="P2018" s="6">
        <v>0</v>
      </c>
      <c r="Q2018" s="4" t="s">
        <v>26</v>
      </c>
      <c r="R2018" s="4">
        <v>0</v>
      </c>
      <c r="S2018" s="4" t="s">
        <v>339</v>
      </c>
      <c r="T2018" s="4" t="s">
        <v>576</v>
      </c>
      <c r="U2018" s="4">
        <v>0</v>
      </c>
      <c r="V2018" s="4">
        <v>39</v>
      </c>
      <c r="W2018" s="4">
        <v>85</v>
      </c>
    </row>
    <row r="2019" spans="1:23" ht="11.25" customHeight="1" x14ac:dyDescent="0.25">
      <c r="A2019" s="4" t="s">
        <v>28</v>
      </c>
      <c r="B2019" s="4" t="s">
        <v>46</v>
      </c>
      <c r="C2019" s="4" t="s">
        <v>23</v>
      </c>
      <c r="D2019" s="4" t="s">
        <v>47</v>
      </c>
      <c r="E2019" s="4" t="s">
        <v>58</v>
      </c>
      <c r="F2019" s="4" t="s">
        <v>57</v>
      </c>
      <c r="G2019" s="4" t="s">
        <v>25</v>
      </c>
      <c r="H2019" s="4" t="s">
        <v>25</v>
      </c>
      <c r="I2019" s="5">
        <v>44440</v>
      </c>
      <c r="J2019" s="6">
        <v>0</v>
      </c>
      <c r="K2019" s="6">
        <v>0</v>
      </c>
      <c r="L2019" s="6">
        <v>18.033999999999999</v>
      </c>
      <c r="M2019" s="6">
        <v>5.9512200000000002</v>
      </c>
      <c r="N2019" s="6">
        <v>18.033999999999999</v>
      </c>
      <c r="O2019" s="6">
        <v>5.9512200000000002</v>
      </c>
      <c r="P2019" s="6">
        <v>0</v>
      </c>
      <c r="Q2019" s="4" t="s">
        <v>26</v>
      </c>
      <c r="R2019" s="4">
        <v>0</v>
      </c>
      <c r="S2019" s="4" t="s">
        <v>339</v>
      </c>
      <c r="T2019" s="4" t="s">
        <v>576</v>
      </c>
      <c r="U2019" s="4">
        <v>0</v>
      </c>
      <c r="V2019" s="4">
        <v>39</v>
      </c>
      <c r="W2019" s="4">
        <v>85</v>
      </c>
    </row>
    <row r="2020" spans="1:23" ht="11.25" customHeight="1" x14ac:dyDescent="0.25">
      <c r="A2020" s="4" t="s">
        <v>59</v>
      </c>
      <c r="B2020" s="4" t="s">
        <v>46</v>
      </c>
      <c r="C2020" s="4" t="s">
        <v>23</v>
      </c>
      <c r="D2020" s="4" t="s">
        <v>47</v>
      </c>
      <c r="E2020" s="4" t="s">
        <v>58</v>
      </c>
      <c r="F2020" s="4" t="s">
        <v>57</v>
      </c>
      <c r="G2020" s="4" t="s">
        <v>25</v>
      </c>
      <c r="H2020" s="4" t="s">
        <v>25</v>
      </c>
      <c r="I2020" s="5">
        <v>44470</v>
      </c>
      <c r="J2020" s="6">
        <v>0</v>
      </c>
      <c r="K2020" s="6">
        <v>0</v>
      </c>
      <c r="L2020" s="6">
        <v>6.3520000000000003</v>
      </c>
      <c r="M2020" s="6">
        <v>2.0961599999999998</v>
      </c>
      <c r="N2020" s="6">
        <v>6.3520000000000003</v>
      </c>
      <c r="O2020" s="6">
        <v>2.0961599999999998</v>
      </c>
      <c r="P2020" s="6">
        <v>0</v>
      </c>
      <c r="Q2020" s="4" t="s">
        <v>26</v>
      </c>
      <c r="R2020" s="4">
        <v>0</v>
      </c>
      <c r="S2020" s="4" t="s">
        <v>340</v>
      </c>
      <c r="T2020" s="4" t="s">
        <v>577</v>
      </c>
      <c r="U2020" s="4">
        <v>0</v>
      </c>
      <c r="V2020" s="4">
        <v>39</v>
      </c>
      <c r="W2020" s="4">
        <v>85</v>
      </c>
    </row>
    <row r="2021" spans="1:23" ht="11.25" customHeight="1" x14ac:dyDescent="0.25">
      <c r="A2021" s="4" t="s">
        <v>59</v>
      </c>
      <c r="B2021" s="4" t="s">
        <v>46</v>
      </c>
      <c r="C2021" s="4" t="s">
        <v>23</v>
      </c>
      <c r="D2021" s="4" t="s">
        <v>47</v>
      </c>
      <c r="E2021" s="4" t="s">
        <v>58</v>
      </c>
      <c r="F2021" s="4" t="s">
        <v>57</v>
      </c>
      <c r="G2021" s="4" t="s">
        <v>25</v>
      </c>
      <c r="H2021" s="4" t="s">
        <v>25</v>
      </c>
      <c r="I2021" s="5">
        <v>44470</v>
      </c>
      <c r="J2021" s="6">
        <v>0</v>
      </c>
      <c r="K2021" s="6">
        <v>0</v>
      </c>
      <c r="L2021" s="6">
        <v>18.033999999999999</v>
      </c>
      <c r="M2021" s="6">
        <v>5.9512200000000002</v>
      </c>
      <c r="N2021" s="6">
        <v>18.033999999999999</v>
      </c>
      <c r="O2021" s="6">
        <v>5.9512200000000002</v>
      </c>
      <c r="P2021" s="6">
        <v>0</v>
      </c>
      <c r="Q2021" s="4" t="s">
        <v>26</v>
      </c>
      <c r="R2021" s="4">
        <v>0</v>
      </c>
      <c r="S2021" s="4" t="s">
        <v>340</v>
      </c>
      <c r="T2021" s="4" t="s">
        <v>577</v>
      </c>
      <c r="U2021" s="4">
        <v>0</v>
      </c>
      <c r="V2021" s="4">
        <v>39</v>
      </c>
      <c r="W2021" s="4">
        <v>85</v>
      </c>
    </row>
    <row r="2022" spans="1:23" ht="11.25" customHeight="1" x14ac:dyDescent="0.25">
      <c r="A2022" s="4" t="s">
        <v>21</v>
      </c>
      <c r="B2022" s="4" t="s">
        <v>46</v>
      </c>
      <c r="C2022" s="4" t="s">
        <v>23</v>
      </c>
      <c r="D2022" s="4" t="s">
        <v>47</v>
      </c>
      <c r="E2022" s="4" t="s">
        <v>25</v>
      </c>
      <c r="F2022" s="4" t="s">
        <v>25</v>
      </c>
      <c r="G2022" s="4" t="s">
        <v>25</v>
      </c>
      <c r="H2022" s="4" t="s">
        <v>25</v>
      </c>
      <c r="I2022" s="5">
        <v>44136</v>
      </c>
      <c r="J2022" s="6">
        <v>0</v>
      </c>
      <c r="K2022" s="6">
        <v>0</v>
      </c>
      <c r="L2022" s="6">
        <v>1608.518</v>
      </c>
      <c r="M2022" s="6">
        <v>1608.518</v>
      </c>
      <c r="N2022" s="6">
        <v>1608.518</v>
      </c>
      <c r="O2022" s="6">
        <v>1608.518</v>
      </c>
      <c r="P2022" s="6">
        <v>8018</v>
      </c>
      <c r="Q2022" s="4" t="s">
        <v>26</v>
      </c>
      <c r="R2022" s="4">
        <v>0</v>
      </c>
      <c r="S2022" s="4" t="s">
        <v>341</v>
      </c>
      <c r="T2022" s="4" t="s">
        <v>578</v>
      </c>
      <c r="U2022" s="4">
        <v>0</v>
      </c>
      <c r="V2022" s="4">
        <v>39</v>
      </c>
      <c r="W2022" s="4">
        <v>85</v>
      </c>
    </row>
    <row r="2023" spans="1:23" ht="11.25" customHeight="1" x14ac:dyDescent="0.25">
      <c r="A2023" s="4" t="s">
        <v>27</v>
      </c>
      <c r="B2023" s="4" t="s">
        <v>46</v>
      </c>
      <c r="C2023" s="4" t="s">
        <v>23</v>
      </c>
      <c r="D2023" s="4" t="s">
        <v>47</v>
      </c>
      <c r="E2023" s="4" t="s">
        <v>25</v>
      </c>
      <c r="F2023" s="4" t="s">
        <v>25</v>
      </c>
      <c r="G2023" s="4" t="s">
        <v>25</v>
      </c>
      <c r="H2023" s="4" t="s">
        <v>25</v>
      </c>
      <c r="I2023" s="5">
        <v>44136</v>
      </c>
      <c r="J2023" s="6">
        <v>0</v>
      </c>
      <c r="K2023" s="6">
        <v>0</v>
      </c>
      <c r="L2023" s="6">
        <v>-17.347999999999999</v>
      </c>
      <c r="M2023" s="6">
        <v>-17.347999999999999</v>
      </c>
      <c r="N2023" s="6">
        <v>-17.347999999999999</v>
      </c>
      <c r="O2023" s="6">
        <v>-17.347999999999999</v>
      </c>
      <c r="P2023" s="6">
        <v>-31</v>
      </c>
      <c r="Q2023" s="4" t="s">
        <v>26</v>
      </c>
      <c r="R2023" s="4">
        <v>0</v>
      </c>
      <c r="S2023" s="4" t="s">
        <v>341</v>
      </c>
      <c r="T2023" s="4" t="s">
        <v>578</v>
      </c>
      <c r="U2023" s="4">
        <v>0</v>
      </c>
      <c r="V2023" s="4">
        <v>39</v>
      </c>
      <c r="W2023" s="4">
        <v>85</v>
      </c>
    </row>
    <row r="2024" spans="1:23" ht="11.25" customHeight="1" x14ac:dyDescent="0.25">
      <c r="A2024" s="4" t="s">
        <v>28</v>
      </c>
      <c r="B2024" s="4" t="s">
        <v>46</v>
      </c>
      <c r="C2024" s="4" t="s">
        <v>23</v>
      </c>
      <c r="D2024" s="4" t="s">
        <v>47</v>
      </c>
      <c r="E2024" s="4" t="s">
        <v>25</v>
      </c>
      <c r="F2024" s="4" t="s">
        <v>25</v>
      </c>
      <c r="G2024" s="4" t="s">
        <v>25</v>
      </c>
      <c r="H2024" s="4" t="s">
        <v>25</v>
      </c>
      <c r="I2024" s="5">
        <v>44136</v>
      </c>
      <c r="J2024" s="6">
        <v>0</v>
      </c>
      <c r="K2024" s="6">
        <v>0</v>
      </c>
      <c r="L2024" s="6">
        <v>4186.5320000000002</v>
      </c>
      <c r="M2024" s="6">
        <v>4186.5320000000002</v>
      </c>
      <c r="N2024" s="6">
        <v>4186.5320000000002</v>
      </c>
      <c r="O2024" s="6">
        <v>4186.5320000000002</v>
      </c>
      <c r="P2024" s="6">
        <v>36019</v>
      </c>
      <c r="Q2024" s="4" t="s">
        <v>26</v>
      </c>
      <c r="R2024" s="4">
        <v>0</v>
      </c>
      <c r="S2024" s="4" t="s">
        <v>341</v>
      </c>
      <c r="T2024" s="4" t="s">
        <v>578</v>
      </c>
      <c r="U2024" s="4">
        <v>0</v>
      </c>
      <c r="V2024" s="4">
        <v>39</v>
      </c>
      <c r="W2024" s="4">
        <v>85</v>
      </c>
    </row>
    <row r="2025" spans="1:23" ht="11.25" customHeight="1" x14ac:dyDescent="0.25">
      <c r="A2025" s="4" t="s">
        <v>29</v>
      </c>
      <c r="B2025" s="4" t="s">
        <v>46</v>
      </c>
      <c r="C2025" s="4" t="s">
        <v>23</v>
      </c>
      <c r="D2025" s="4" t="s">
        <v>47</v>
      </c>
      <c r="E2025" s="4" t="s">
        <v>25</v>
      </c>
      <c r="F2025" s="4" t="s">
        <v>25</v>
      </c>
      <c r="G2025" s="4" t="s">
        <v>25</v>
      </c>
      <c r="H2025" s="4" t="s">
        <v>25</v>
      </c>
      <c r="I2025" s="5">
        <v>44136</v>
      </c>
      <c r="J2025" s="6">
        <v>0</v>
      </c>
      <c r="K2025" s="6">
        <v>0</v>
      </c>
      <c r="L2025" s="6">
        <v>-61.634</v>
      </c>
      <c r="M2025" s="6">
        <v>-61.634</v>
      </c>
      <c r="N2025" s="6">
        <v>-61.634</v>
      </c>
      <c r="O2025" s="6">
        <v>-61.634</v>
      </c>
      <c r="P2025" s="6">
        <v>-41</v>
      </c>
      <c r="Q2025" s="4" t="s">
        <v>26</v>
      </c>
      <c r="R2025" s="4">
        <v>0</v>
      </c>
      <c r="S2025" s="4" t="s">
        <v>341</v>
      </c>
      <c r="T2025" s="4" t="s">
        <v>578</v>
      </c>
      <c r="U2025" s="4">
        <v>0</v>
      </c>
      <c r="V2025" s="4">
        <v>39</v>
      </c>
      <c r="W2025" s="4">
        <v>85</v>
      </c>
    </row>
    <row r="2026" spans="1:23" ht="11.25" customHeight="1" x14ac:dyDescent="0.25">
      <c r="A2026" s="4" t="s">
        <v>30</v>
      </c>
      <c r="B2026" s="4" t="s">
        <v>46</v>
      </c>
      <c r="C2026" s="4" t="s">
        <v>23</v>
      </c>
      <c r="D2026" s="4" t="s">
        <v>47</v>
      </c>
      <c r="E2026" s="4" t="s">
        <v>25</v>
      </c>
      <c r="F2026" s="4" t="s">
        <v>25</v>
      </c>
      <c r="G2026" s="4" t="s">
        <v>25</v>
      </c>
      <c r="H2026" s="4" t="s">
        <v>25</v>
      </c>
      <c r="I2026" s="5">
        <v>44136</v>
      </c>
      <c r="J2026" s="6">
        <v>0</v>
      </c>
      <c r="K2026" s="6">
        <v>0</v>
      </c>
      <c r="L2026" s="6">
        <v>7.718</v>
      </c>
      <c r="M2026" s="6">
        <v>7.718</v>
      </c>
      <c r="N2026" s="6">
        <v>7.718</v>
      </c>
      <c r="O2026" s="6">
        <v>7.718</v>
      </c>
      <c r="P2026" s="6">
        <v>11</v>
      </c>
      <c r="Q2026" s="4" t="s">
        <v>26</v>
      </c>
      <c r="R2026" s="4">
        <v>0</v>
      </c>
      <c r="S2026" s="4" t="s">
        <v>341</v>
      </c>
      <c r="T2026" s="4" t="s">
        <v>578</v>
      </c>
      <c r="U2026" s="4">
        <v>0</v>
      </c>
      <c r="V2026" s="4">
        <v>39</v>
      </c>
      <c r="W2026" s="4">
        <v>85</v>
      </c>
    </row>
    <row r="2027" spans="1:23" ht="11.25" customHeight="1" x14ac:dyDescent="0.25">
      <c r="A2027" s="4" t="s">
        <v>30</v>
      </c>
      <c r="B2027" s="4" t="s">
        <v>46</v>
      </c>
      <c r="C2027" s="4" t="s">
        <v>23</v>
      </c>
      <c r="D2027" s="4" t="s">
        <v>47</v>
      </c>
      <c r="E2027" s="4" t="s">
        <v>25</v>
      </c>
      <c r="F2027" s="4" t="s">
        <v>25</v>
      </c>
      <c r="G2027" s="4" t="s">
        <v>25</v>
      </c>
      <c r="H2027" s="4" t="s">
        <v>25</v>
      </c>
      <c r="I2027" s="5">
        <v>44136</v>
      </c>
      <c r="J2027" s="6">
        <v>0</v>
      </c>
      <c r="K2027" s="6">
        <v>0</v>
      </c>
      <c r="L2027" s="6">
        <v>6.8440000000000003</v>
      </c>
      <c r="M2027" s="6">
        <v>6.8440000000000003</v>
      </c>
      <c r="N2027" s="6">
        <v>6.8440000000000003</v>
      </c>
      <c r="O2027" s="6">
        <v>6.8440000000000003</v>
      </c>
      <c r="P2027" s="6">
        <v>1</v>
      </c>
      <c r="Q2027" s="4" t="s">
        <v>26</v>
      </c>
      <c r="R2027" s="4">
        <v>0</v>
      </c>
      <c r="S2027" s="4" t="s">
        <v>341</v>
      </c>
      <c r="T2027" s="4" t="s">
        <v>578</v>
      </c>
      <c r="U2027" s="4">
        <v>0</v>
      </c>
      <c r="V2027" s="4">
        <v>39</v>
      </c>
      <c r="W2027" s="4">
        <v>85</v>
      </c>
    </row>
    <row r="2028" spans="1:23" ht="11.25" customHeight="1" x14ac:dyDescent="0.25">
      <c r="A2028" s="4" t="s">
        <v>21</v>
      </c>
      <c r="B2028" s="4" t="s">
        <v>46</v>
      </c>
      <c r="C2028" s="4" t="s">
        <v>23</v>
      </c>
      <c r="D2028" s="4" t="s">
        <v>47</v>
      </c>
      <c r="E2028" s="4" t="s">
        <v>25</v>
      </c>
      <c r="F2028" s="4" t="s">
        <v>25</v>
      </c>
      <c r="G2028" s="4" t="s">
        <v>25</v>
      </c>
      <c r="H2028" s="4" t="s">
        <v>25</v>
      </c>
      <c r="I2028" s="5">
        <v>44166</v>
      </c>
      <c r="J2028" s="6">
        <v>0</v>
      </c>
      <c r="K2028" s="6">
        <v>0</v>
      </c>
      <c r="L2028" s="6">
        <v>1598.566</v>
      </c>
      <c r="M2028" s="6">
        <v>1598.566</v>
      </c>
      <c r="N2028" s="6">
        <v>1598.566</v>
      </c>
      <c r="O2028" s="6">
        <v>1598.566</v>
      </c>
      <c r="P2028" s="6">
        <v>8021</v>
      </c>
      <c r="Q2028" s="4" t="s">
        <v>26</v>
      </c>
      <c r="R2028" s="4">
        <v>0</v>
      </c>
      <c r="S2028" s="4" t="s">
        <v>342</v>
      </c>
      <c r="T2028" s="4" t="s">
        <v>579</v>
      </c>
      <c r="U2028" s="4">
        <v>0</v>
      </c>
      <c r="V2028" s="4">
        <v>39</v>
      </c>
      <c r="W2028" s="4">
        <v>85</v>
      </c>
    </row>
    <row r="2029" spans="1:23" ht="11.25" customHeight="1" x14ac:dyDescent="0.25">
      <c r="A2029" s="4" t="s">
        <v>27</v>
      </c>
      <c r="B2029" s="4" t="s">
        <v>46</v>
      </c>
      <c r="C2029" s="4" t="s">
        <v>23</v>
      </c>
      <c r="D2029" s="4" t="s">
        <v>47</v>
      </c>
      <c r="E2029" s="4" t="s">
        <v>25</v>
      </c>
      <c r="F2029" s="4" t="s">
        <v>25</v>
      </c>
      <c r="G2029" s="4" t="s">
        <v>25</v>
      </c>
      <c r="H2029" s="4" t="s">
        <v>25</v>
      </c>
      <c r="I2029" s="5">
        <v>44166</v>
      </c>
      <c r="J2029" s="6">
        <v>0</v>
      </c>
      <c r="K2029" s="6">
        <v>0</v>
      </c>
      <c r="L2029" s="6">
        <v>-76.828000000000003</v>
      </c>
      <c r="M2029" s="6">
        <v>-76.828000000000003</v>
      </c>
      <c r="N2029" s="6">
        <v>-76.828000000000003</v>
      </c>
      <c r="O2029" s="6">
        <v>-76.828000000000003</v>
      </c>
      <c r="P2029" s="6">
        <v>0</v>
      </c>
      <c r="Q2029" s="4" t="s">
        <v>26</v>
      </c>
      <c r="R2029" s="4">
        <v>0</v>
      </c>
      <c r="S2029" s="4" t="s">
        <v>342</v>
      </c>
      <c r="T2029" s="4" t="s">
        <v>579</v>
      </c>
      <c r="U2029" s="4">
        <v>0</v>
      </c>
      <c r="V2029" s="4">
        <v>39</v>
      </c>
      <c r="W2029" s="4">
        <v>85</v>
      </c>
    </row>
    <row r="2030" spans="1:23" ht="11.25" customHeight="1" x14ac:dyDescent="0.25">
      <c r="A2030" s="4" t="s">
        <v>28</v>
      </c>
      <c r="B2030" s="4" t="s">
        <v>46</v>
      </c>
      <c r="C2030" s="4" t="s">
        <v>23</v>
      </c>
      <c r="D2030" s="4" t="s">
        <v>47</v>
      </c>
      <c r="E2030" s="4" t="s">
        <v>25</v>
      </c>
      <c r="F2030" s="4" t="s">
        <v>25</v>
      </c>
      <c r="G2030" s="4" t="s">
        <v>25</v>
      </c>
      <c r="H2030" s="4" t="s">
        <v>25</v>
      </c>
      <c r="I2030" s="5">
        <v>44166</v>
      </c>
      <c r="J2030" s="6">
        <v>0</v>
      </c>
      <c r="K2030" s="6">
        <v>0</v>
      </c>
      <c r="L2030" s="6">
        <v>4236.6030000000001</v>
      </c>
      <c r="M2030" s="6">
        <v>4236.6030000000001</v>
      </c>
      <c r="N2030" s="6">
        <v>4236.6030000000001</v>
      </c>
      <c r="O2030" s="6">
        <v>4236.6030000000001</v>
      </c>
      <c r="P2030" s="6">
        <v>36013</v>
      </c>
      <c r="Q2030" s="4" t="s">
        <v>26</v>
      </c>
      <c r="R2030" s="4">
        <v>0</v>
      </c>
      <c r="S2030" s="4" t="s">
        <v>342</v>
      </c>
      <c r="T2030" s="4" t="s">
        <v>579</v>
      </c>
      <c r="U2030" s="4">
        <v>0</v>
      </c>
      <c r="V2030" s="4">
        <v>39</v>
      </c>
      <c r="W2030" s="4">
        <v>85</v>
      </c>
    </row>
    <row r="2031" spans="1:23" ht="11.25" customHeight="1" x14ac:dyDescent="0.25">
      <c r="A2031" s="4" t="s">
        <v>29</v>
      </c>
      <c r="B2031" s="4" t="s">
        <v>46</v>
      </c>
      <c r="C2031" s="4" t="s">
        <v>23</v>
      </c>
      <c r="D2031" s="4" t="s">
        <v>47</v>
      </c>
      <c r="E2031" s="4" t="s">
        <v>25</v>
      </c>
      <c r="F2031" s="4" t="s">
        <v>25</v>
      </c>
      <c r="G2031" s="4" t="s">
        <v>25</v>
      </c>
      <c r="H2031" s="4" t="s">
        <v>25</v>
      </c>
      <c r="I2031" s="5">
        <v>44166</v>
      </c>
      <c r="J2031" s="6">
        <v>0</v>
      </c>
      <c r="K2031" s="6">
        <v>0</v>
      </c>
      <c r="L2031" s="6">
        <v>-10.084</v>
      </c>
      <c r="M2031" s="6">
        <v>-10.084</v>
      </c>
      <c r="N2031" s="6">
        <v>-10.084</v>
      </c>
      <c r="O2031" s="6">
        <v>-10.084</v>
      </c>
      <c r="P2031" s="6">
        <v>0</v>
      </c>
      <c r="Q2031" s="4" t="s">
        <v>26</v>
      </c>
      <c r="R2031" s="4">
        <v>0</v>
      </c>
      <c r="S2031" s="4" t="s">
        <v>342</v>
      </c>
      <c r="T2031" s="4" t="s">
        <v>579</v>
      </c>
      <c r="U2031" s="4">
        <v>0</v>
      </c>
      <c r="V2031" s="4">
        <v>39</v>
      </c>
      <c r="W2031" s="4">
        <v>85</v>
      </c>
    </row>
    <row r="2032" spans="1:23" ht="11.25" customHeight="1" x14ac:dyDescent="0.25">
      <c r="A2032" s="4" t="s">
        <v>30</v>
      </c>
      <c r="B2032" s="4" t="s">
        <v>46</v>
      </c>
      <c r="C2032" s="4" t="s">
        <v>23</v>
      </c>
      <c r="D2032" s="4" t="s">
        <v>47</v>
      </c>
      <c r="E2032" s="4" t="s">
        <v>25</v>
      </c>
      <c r="F2032" s="4" t="s">
        <v>25</v>
      </c>
      <c r="G2032" s="4" t="s">
        <v>25</v>
      </c>
      <c r="H2032" s="4" t="s">
        <v>25</v>
      </c>
      <c r="I2032" s="5">
        <v>44166</v>
      </c>
      <c r="J2032" s="6">
        <v>0</v>
      </c>
      <c r="K2032" s="6">
        <v>0</v>
      </c>
      <c r="L2032" s="6">
        <v>7.3019999999999996</v>
      </c>
      <c r="M2032" s="6">
        <v>7.3019999999999996</v>
      </c>
      <c r="N2032" s="6">
        <v>7.3019999999999996</v>
      </c>
      <c r="O2032" s="6">
        <v>7.3019999999999996</v>
      </c>
      <c r="P2032" s="6">
        <v>11</v>
      </c>
      <c r="Q2032" s="4" t="s">
        <v>26</v>
      </c>
      <c r="R2032" s="4">
        <v>0</v>
      </c>
      <c r="S2032" s="4" t="s">
        <v>342</v>
      </c>
      <c r="T2032" s="4" t="s">
        <v>579</v>
      </c>
      <c r="U2032" s="4">
        <v>0</v>
      </c>
      <c r="V2032" s="4">
        <v>39</v>
      </c>
      <c r="W2032" s="4">
        <v>85</v>
      </c>
    </row>
    <row r="2033" spans="1:23" ht="11.25" customHeight="1" x14ac:dyDescent="0.25">
      <c r="A2033" s="4" t="s">
        <v>21</v>
      </c>
      <c r="B2033" s="4" t="s">
        <v>46</v>
      </c>
      <c r="C2033" s="4" t="s">
        <v>23</v>
      </c>
      <c r="D2033" s="4" t="s">
        <v>47</v>
      </c>
      <c r="E2033" s="4" t="s">
        <v>25</v>
      </c>
      <c r="F2033" s="4" t="s">
        <v>25</v>
      </c>
      <c r="G2033" s="4" t="s">
        <v>25</v>
      </c>
      <c r="H2033" s="4" t="s">
        <v>25</v>
      </c>
      <c r="I2033" s="5">
        <v>44197</v>
      </c>
      <c r="J2033" s="6">
        <v>0</v>
      </c>
      <c r="K2033" s="6">
        <v>0</v>
      </c>
      <c r="L2033" s="6">
        <v>1548.175</v>
      </c>
      <c r="M2033" s="6">
        <v>1548.175</v>
      </c>
      <c r="N2033" s="6">
        <v>1548.175</v>
      </c>
      <c r="O2033" s="6">
        <v>1548.175</v>
      </c>
      <c r="P2033" s="6">
        <v>8006</v>
      </c>
      <c r="Q2033" s="4" t="s">
        <v>26</v>
      </c>
      <c r="R2033" s="4">
        <v>0</v>
      </c>
      <c r="S2033" s="4" t="s">
        <v>343</v>
      </c>
      <c r="T2033" s="4" t="s">
        <v>580</v>
      </c>
      <c r="U2033" s="4">
        <v>0</v>
      </c>
      <c r="V2033" s="4">
        <v>39</v>
      </c>
      <c r="W2033" s="4">
        <v>85</v>
      </c>
    </row>
    <row r="2034" spans="1:23" ht="11.25" customHeight="1" x14ac:dyDescent="0.25">
      <c r="A2034" s="4" t="s">
        <v>27</v>
      </c>
      <c r="B2034" s="4" t="s">
        <v>46</v>
      </c>
      <c r="C2034" s="4" t="s">
        <v>23</v>
      </c>
      <c r="D2034" s="4" t="s">
        <v>47</v>
      </c>
      <c r="E2034" s="4" t="s">
        <v>25</v>
      </c>
      <c r="F2034" s="4" t="s">
        <v>25</v>
      </c>
      <c r="G2034" s="4" t="s">
        <v>25</v>
      </c>
      <c r="H2034" s="4" t="s">
        <v>25</v>
      </c>
      <c r="I2034" s="5">
        <v>44197</v>
      </c>
      <c r="J2034" s="6">
        <v>0</v>
      </c>
      <c r="K2034" s="6">
        <v>0</v>
      </c>
      <c r="L2034" s="6">
        <v>-125.527</v>
      </c>
      <c r="M2034" s="6">
        <v>-125.527</v>
      </c>
      <c r="N2034" s="6">
        <v>-125.527</v>
      </c>
      <c r="O2034" s="6">
        <v>-125.527</v>
      </c>
      <c r="P2034" s="6">
        <v>0</v>
      </c>
      <c r="Q2034" s="4" t="s">
        <v>26</v>
      </c>
      <c r="R2034" s="4">
        <v>0</v>
      </c>
      <c r="S2034" s="4" t="s">
        <v>343</v>
      </c>
      <c r="T2034" s="4" t="s">
        <v>580</v>
      </c>
      <c r="U2034" s="4">
        <v>0</v>
      </c>
      <c r="V2034" s="4">
        <v>39</v>
      </c>
      <c r="W2034" s="4">
        <v>85</v>
      </c>
    </row>
    <row r="2035" spans="1:23" ht="11.25" customHeight="1" x14ac:dyDescent="0.25">
      <c r="A2035" s="4" t="s">
        <v>28</v>
      </c>
      <c r="B2035" s="4" t="s">
        <v>46</v>
      </c>
      <c r="C2035" s="4" t="s">
        <v>23</v>
      </c>
      <c r="D2035" s="4" t="s">
        <v>47</v>
      </c>
      <c r="E2035" s="4" t="s">
        <v>25</v>
      </c>
      <c r="F2035" s="4" t="s">
        <v>25</v>
      </c>
      <c r="G2035" s="4" t="s">
        <v>25</v>
      </c>
      <c r="H2035" s="4" t="s">
        <v>25</v>
      </c>
      <c r="I2035" s="5">
        <v>44197</v>
      </c>
      <c r="J2035" s="6">
        <v>0</v>
      </c>
      <c r="K2035" s="6">
        <v>0</v>
      </c>
      <c r="L2035" s="6">
        <v>3906.348</v>
      </c>
      <c r="M2035" s="6">
        <v>3906.348</v>
      </c>
      <c r="N2035" s="6">
        <v>3906.348</v>
      </c>
      <c r="O2035" s="6">
        <v>3906.348</v>
      </c>
      <c r="P2035" s="6">
        <v>35938</v>
      </c>
      <c r="Q2035" s="4" t="s">
        <v>26</v>
      </c>
      <c r="R2035" s="4">
        <v>0</v>
      </c>
      <c r="S2035" s="4" t="s">
        <v>343</v>
      </c>
      <c r="T2035" s="4" t="s">
        <v>580</v>
      </c>
      <c r="U2035" s="4">
        <v>0</v>
      </c>
      <c r="V2035" s="4">
        <v>39</v>
      </c>
      <c r="W2035" s="4">
        <v>85</v>
      </c>
    </row>
    <row r="2036" spans="1:23" ht="11.25" customHeight="1" x14ac:dyDescent="0.25">
      <c r="A2036" s="4" t="s">
        <v>29</v>
      </c>
      <c r="B2036" s="4" t="s">
        <v>46</v>
      </c>
      <c r="C2036" s="4" t="s">
        <v>23</v>
      </c>
      <c r="D2036" s="4" t="s">
        <v>47</v>
      </c>
      <c r="E2036" s="4" t="s">
        <v>25</v>
      </c>
      <c r="F2036" s="4" t="s">
        <v>25</v>
      </c>
      <c r="G2036" s="4" t="s">
        <v>25</v>
      </c>
      <c r="H2036" s="4" t="s">
        <v>25</v>
      </c>
      <c r="I2036" s="5">
        <v>44197</v>
      </c>
      <c r="J2036" s="6">
        <v>0</v>
      </c>
      <c r="K2036" s="6">
        <v>0</v>
      </c>
      <c r="L2036" s="6">
        <v>-152.096</v>
      </c>
      <c r="M2036" s="6">
        <v>-152.096</v>
      </c>
      <c r="N2036" s="6">
        <v>-152.096</v>
      </c>
      <c r="O2036" s="6">
        <v>-152.096</v>
      </c>
      <c r="P2036" s="6">
        <v>0</v>
      </c>
      <c r="Q2036" s="4" t="s">
        <v>26</v>
      </c>
      <c r="R2036" s="4">
        <v>0</v>
      </c>
      <c r="S2036" s="4" t="s">
        <v>343</v>
      </c>
      <c r="T2036" s="4" t="s">
        <v>580</v>
      </c>
      <c r="U2036" s="4">
        <v>0</v>
      </c>
      <c r="V2036" s="4">
        <v>39</v>
      </c>
      <c r="W2036" s="4">
        <v>85</v>
      </c>
    </row>
    <row r="2037" spans="1:23" ht="11.25" customHeight="1" x14ac:dyDescent="0.25">
      <c r="A2037" s="4" t="s">
        <v>30</v>
      </c>
      <c r="B2037" s="4" t="s">
        <v>46</v>
      </c>
      <c r="C2037" s="4" t="s">
        <v>23</v>
      </c>
      <c r="D2037" s="4" t="s">
        <v>47</v>
      </c>
      <c r="E2037" s="4" t="s">
        <v>25</v>
      </c>
      <c r="F2037" s="4" t="s">
        <v>25</v>
      </c>
      <c r="G2037" s="4" t="s">
        <v>25</v>
      </c>
      <c r="H2037" s="4" t="s">
        <v>25</v>
      </c>
      <c r="I2037" s="5">
        <v>44197</v>
      </c>
      <c r="J2037" s="6">
        <v>0</v>
      </c>
      <c r="K2037" s="6">
        <v>0</v>
      </c>
      <c r="L2037" s="6">
        <v>7.7320000000000002</v>
      </c>
      <c r="M2037" s="6">
        <v>7.7320000000000002</v>
      </c>
      <c r="N2037" s="6">
        <v>7.7320000000000002</v>
      </c>
      <c r="O2037" s="6">
        <v>7.7320000000000002</v>
      </c>
      <c r="P2037" s="6">
        <v>11</v>
      </c>
      <c r="Q2037" s="4" t="s">
        <v>26</v>
      </c>
      <c r="R2037" s="4">
        <v>0</v>
      </c>
      <c r="S2037" s="4" t="s">
        <v>343</v>
      </c>
      <c r="T2037" s="4" t="s">
        <v>580</v>
      </c>
      <c r="U2037" s="4">
        <v>0</v>
      </c>
      <c r="V2037" s="4">
        <v>39</v>
      </c>
      <c r="W2037" s="4">
        <v>85</v>
      </c>
    </row>
    <row r="2038" spans="1:23" ht="11.25" customHeight="1" x14ac:dyDescent="0.25">
      <c r="A2038" s="4" t="s">
        <v>21</v>
      </c>
      <c r="B2038" s="4" t="s">
        <v>46</v>
      </c>
      <c r="C2038" s="4" t="s">
        <v>23</v>
      </c>
      <c r="D2038" s="4" t="s">
        <v>47</v>
      </c>
      <c r="E2038" s="4" t="s">
        <v>25</v>
      </c>
      <c r="F2038" s="4" t="s">
        <v>25</v>
      </c>
      <c r="G2038" s="4" t="s">
        <v>25</v>
      </c>
      <c r="H2038" s="4" t="s">
        <v>25</v>
      </c>
      <c r="I2038" s="5">
        <v>44228</v>
      </c>
      <c r="J2038" s="6">
        <v>0</v>
      </c>
      <c r="K2038" s="6">
        <v>0</v>
      </c>
      <c r="L2038" s="6">
        <v>1381.0920000000001</v>
      </c>
      <c r="M2038" s="6">
        <v>1381.0920000000001</v>
      </c>
      <c r="N2038" s="6">
        <v>1381.0920000000001</v>
      </c>
      <c r="O2038" s="6">
        <v>1381.0920000000001</v>
      </c>
      <c r="P2038" s="6">
        <v>7999</v>
      </c>
      <c r="Q2038" s="4" t="s">
        <v>26</v>
      </c>
      <c r="R2038" s="4">
        <v>0</v>
      </c>
      <c r="S2038" s="4" t="s">
        <v>344</v>
      </c>
      <c r="T2038" s="4" t="s">
        <v>581</v>
      </c>
      <c r="U2038" s="4">
        <v>0</v>
      </c>
      <c r="V2038" s="4">
        <v>39</v>
      </c>
      <c r="W2038" s="4">
        <v>85</v>
      </c>
    </row>
    <row r="2039" spans="1:23" ht="11.25" customHeight="1" x14ac:dyDescent="0.25">
      <c r="A2039" s="4" t="s">
        <v>27</v>
      </c>
      <c r="B2039" s="4" t="s">
        <v>46</v>
      </c>
      <c r="C2039" s="4" t="s">
        <v>23</v>
      </c>
      <c r="D2039" s="4" t="s">
        <v>47</v>
      </c>
      <c r="E2039" s="4" t="s">
        <v>25</v>
      </c>
      <c r="F2039" s="4" t="s">
        <v>25</v>
      </c>
      <c r="G2039" s="4" t="s">
        <v>25</v>
      </c>
      <c r="H2039" s="4" t="s">
        <v>25</v>
      </c>
      <c r="I2039" s="5">
        <v>44228</v>
      </c>
      <c r="J2039" s="6">
        <v>0</v>
      </c>
      <c r="K2039" s="6">
        <v>0</v>
      </c>
      <c r="L2039" s="6">
        <v>-117.90900000000001</v>
      </c>
      <c r="M2039" s="6">
        <v>-117.90900000000001</v>
      </c>
      <c r="N2039" s="6">
        <v>-117.90900000000001</v>
      </c>
      <c r="O2039" s="6">
        <v>-117.90900000000001</v>
      </c>
      <c r="P2039" s="6">
        <v>0</v>
      </c>
      <c r="Q2039" s="4" t="s">
        <v>26</v>
      </c>
      <c r="R2039" s="4">
        <v>0</v>
      </c>
      <c r="S2039" s="4" t="s">
        <v>344</v>
      </c>
      <c r="T2039" s="4" t="s">
        <v>581</v>
      </c>
      <c r="U2039" s="4">
        <v>0</v>
      </c>
      <c r="V2039" s="4">
        <v>39</v>
      </c>
      <c r="W2039" s="4">
        <v>85</v>
      </c>
    </row>
    <row r="2040" spans="1:23" ht="11.25" customHeight="1" x14ac:dyDescent="0.25">
      <c r="A2040" s="4" t="s">
        <v>28</v>
      </c>
      <c r="B2040" s="4" t="s">
        <v>46</v>
      </c>
      <c r="C2040" s="4" t="s">
        <v>23</v>
      </c>
      <c r="D2040" s="4" t="s">
        <v>47</v>
      </c>
      <c r="E2040" s="4" t="s">
        <v>25</v>
      </c>
      <c r="F2040" s="4" t="s">
        <v>25</v>
      </c>
      <c r="G2040" s="4" t="s">
        <v>25</v>
      </c>
      <c r="H2040" s="4" t="s">
        <v>25</v>
      </c>
      <c r="I2040" s="5">
        <v>44228</v>
      </c>
      <c r="J2040" s="6">
        <v>0</v>
      </c>
      <c r="K2040" s="6">
        <v>0</v>
      </c>
      <c r="L2040" s="6">
        <v>3737.5740000000001</v>
      </c>
      <c r="M2040" s="6">
        <v>3737.5740000000001</v>
      </c>
      <c r="N2040" s="6">
        <v>3737.5740000000001</v>
      </c>
      <c r="O2040" s="6">
        <v>3737.5740000000001</v>
      </c>
      <c r="P2040" s="6">
        <v>35935</v>
      </c>
      <c r="Q2040" s="4" t="s">
        <v>26</v>
      </c>
      <c r="R2040" s="4">
        <v>0</v>
      </c>
      <c r="S2040" s="4" t="s">
        <v>344</v>
      </c>
      <c r="T2040" s="4" t="s">
        <v>581</v>
      </c>
      <c r="U2040" s="4">
        <v>0</v>
      </c>
      <c r="V2040" s="4">
        <v>39</v>
      </c>
      <c r="W2040" s="4">
        <v>85</v>
      </c>
    </row>
    <row r="2041" spans="1:23" ht="11.25" customHeight="1" x14ac:dyDescent="0.25">
      <c r="A2041" s="4" t="s">
        <v>29</v>
      </c>
      <c r="B2041" s="4" t="s">
        <v>46</v>
      </c>
      <c r="C2041" s="4" t="s">
        <v>23</v>
      </c>
      <c r="D2041" s="4" t="s">
        <v>47</v>
      </c>
      <c r="E2041" s="4" t="s">
        <v>25</v>
      </c>
      <c r="F2041" s="4" t="s">
        <v>25</v>
      </c>
      <c r="G2041" s="4" t="s">
        <v>25</v>
      </c>
      <c r="H2041" s="4" t="s">
        <v>25</v>
      </c>
      <c r="I2041" s="5">
        <v>44228</v>
      </c>
      <c r="J2041" s="6">
        <v>0</v>
      </c>
      <c r="K2041" s="6">
        <v>0</v>
      </c>
      <c r="L2041" s="6">
        <v>-14.449</v>
      </c>
      <c r="M2041" s="6">
        <v>-14.449</v>
      </c>
      <c r="N2041" s="6">
        <v>-14.449</v>
      </c>
      <c r="O2041" s="6">
        <v>-14.449</v>
      </c>
      <c r="P2041" s="6">
        <v>0</v>
      </c>
      <c r="Q2041" s="4" t="s">
        <v>26</v>
      </c>
      <c r="R2041" s="4">
        <v>0</v>
      </c>
      <c r="S2041" s="4" t="s">
        <v>344</v>
      </c>
      <c r="T2041" s="4" t="s">
        <v>581</v>
      </c>
      <c r="U2041" s="4">
        <v>0</v>
      </c>
      <c r="V2041" s="4">
        <v>39</v>
      </c>
      <c r="W2041" s="4">
        <v>85</v>
      </c>
    </row>
    <row r="2042" spans="1:23" ht="11.25" customHeight="1" x14ac:dyDescent="0.25">
      <c r="A2042" s="4" t="s">
        <v>30</v>
      </c>
      <c r="B2042" s="4" t="s">
        <v>46</v>
      </c>
      <c r="C2042" s="4" t="s">
        <v>23</v>
      </c>
      <c r="D2042" s="4" t="s">
        <v>47</v>
      </c>
      <c r="E2042" s="4" t="s">
        <v>25</v>
      </c>
      <c r="F2042" s="4" t="s">
        <v>25</v>
      </c>
      <c r="G2042" s="4" t="s">
        <v>25</v>
      </c>
      <c r="H2042" s="4" t="s">
        <v>25</v>
      </c>
      <c r="I2042" s="5">
        <v>44228</v>
      </c>
      <c r="J2042" s="6">
        <v>0</v>
      </c>
      <c r="K2042" s="6">
        <v>0</v>
      </c>
      <c r="L2042" s="6">
        <v>7.5449999999999999</v>
      </c>
      <c r="M2042" s="6">
        <v>7.5449999999999999</v>
      </c>
      <c r="N2042" s="6">
        <v>7.5449999999999999</v>
      </c>
      <c r="O2042" s="6">
        <v>7.5449999999999999</v>
      </c>
      <c r="P2042" s="6">
        <v>12</v>
      </c>
      <c r="Q2042" s="4" t="s">
        <v>26</v>
      </c>
      <c r="R2042" s="4">
        <v>0</v>
      </c>
      <c r="S2042" s="4" t="s">
        <v>344</v>
      </c>
      <c r="T2042" s="4" t="s">
        <v>581</v>
      </c>
      <c r="U2042" s="4">
        <v>0</v>
      </c>
      <c r="V2042" s="4">
        <v>39</v>
      </c>
      <c r="W2042" s="4">
        <v>85</v>
      </c>
    </row>
    <row r="2043" spans="1:23" ht="11.25" customHeight="1" x14ac:dyDescent="0.25">
      <c r="A2043" s="4" t="s">
        <v>21</v>
      </c>
      <c r="B2043" s="4" t="s">
        <v>46</v>
      </c>
      <c r="C2043" s="4" t="s">
        <v>23</v>
      </c>
      <c r="D2043" s="4" t="s">
        <v>47</v>
      </c>
      <c r="E2043" s="4" t="s">
        <v>25</v>
      </c>
      <c r="F2043" s="4" t="s">
        <v>25</v>
      </c>
      <c r="G2043" s="4" t="s">
        <v>25</v>
      </c>
      <c r="H2043" s="4" t="s">
        <v>25</v>
      </c>
      <c r="I2043" s="5">
        <v>44256</v>
      </c>
      <c r="J2043" s="6">
        <v>0</v>
      </c>
      <c r="K2043" s="6">
        <v>0</v>
      </c>
      <c r="L2043" s="6">
        <v>1397.4190000000001</v>
      </c>
      <c r="M2043" s="6">
        <v>1397.4190000000001</v>
      </c>
      <c r="N2043" s="6">
        <v>1397.4190000000001</v>
      </c>
      <c r="O2043" s="6">
        <v>1397.4190000000001</v>
      </c>
      <c r="P2043" s="6">
        <v>8002</v>
      </c>
      <c r="Q2043" s="4" t="s">
        <v>26</v>
      </c>
      <c r="R2043" s="4">
        <v>0</v>
      </c>
      <c r="S2043" s="4" t="s">
        <v>345</v>
      </c>
      <c r="T2043" s="4" t="s">
        <v>582</v>
      </c>
      <c r="U2043" s="4">
        <v>0</v>
      </c>
      <c r="V2043" s="4">
        <v>39</v>
      </c>
      <c r="W2043" s="4">
        <v>85</v>
      </c>
    </row>
    <row r="2044" spans="1:23" ht="11.25" customHeight="1" x14ac:dyDescent="0.25">
      <c r="A2044" s="4" t="s">
        <v>27</v>
      </c>
      <c r="B2044" s="4" t="s">
        <v>46</v>
      </c>
      <c r="C2044" s="4" t="s">
        <v>23</v>
      </c>
      <c r="D2044" s="4" t="s">
        <v>47</v>
      </c>
      <c r="E2044" s="4" t="s">
        <v>25</v>
      </c>
      <c r="F2044" s="4" t="s">
        <v>25</v>
      </c>
      <c r="G2044" s="4" t="s">
        <v>25</v>
      </c>
      <c r="H2044" s="4" t="s">
        <v>25</v>
      </c>
      <c r="I2044" s="5">
        <v>44256</v>
      </c>
      <c r="J2044" s="6">
        <v>0</v>
      </c>
      <c r="K2044" s="6">
        <v>0</v>
      </c>
      <c r="L2044" s="6">
        <v>-66.885000000000005</v>
      </c>
      <c r="M2044" s="6">
        <v>-66.885000000000005</v>
      </c>
      <c r="N2044" s="6">
        <v>-66.885000000000005</v>
      </c>
      <c r="O2044" s="6">
        <v>-66.885000000000005</v>
      </c>
      <c r="P2044" s="6">
        <v>0</v>
      </c>
      <c r="Q2044" s="4" t="s">
        <v>26</v>
      </c>
      <c r="R2044" s="4">
        <v>0</v>
      </c>
      <c r="S2044" s="4" t="s">
        <v>345</v>
      </c>
      <c r="T2044" s="4" t="s">
        <v>582</v>
      </c>
      <c r="U2044" s="4">
        <v>0</v>
      </c>
      <c r="V2044" s="4">
        <v>39</v>
      </c>
      <c r="W2044" s="4">
        <v>85</v>
      </c>
    </row>
    <row r="2045" spans="1:23" ht="11.25" customHeight="1" x14ac:dyDescent="0.25">
      <c r="A2045" s="4" t="s">
        <v>28</v>
      </c>
      <c r="B2045" s="4" t="s">
        <v>46</v>
      </c>
      <c r="C2045" s="4" t="s">
        <v>23</v>
      </c>
      <c r="D2045" s="4" t="s">
        <v>47</v>
      </c>
      <c r="E2045" s="4" t="s">
        <v>25</v>
      </c>
      <c r="F2045" s="4" t="s">
        <v>25</v>
      </c>
      <c r="G2045" s="4" t="s">
        <v>25</v>
      </c>
      <c r="H2045" s="4" t="s">
        <v>25</v>
      </c>
      <c r="I2045" s="5">
        <v>44256</v>
      </c>
      <c r="J2045" s="6">
        <v>0</v>
      </c>
      <c r="K2045" s="6">
        <v>0</v>
      </c>
      <c r="L2045" s="6">
        <v>3903.018</v>
      </c>
      <c r="M2045" s="6">
        <v>3903.018</v>
      </c>
      <c r="N2045" s="6">
        <v>3903.018</v>
      </c>
      <c r="O2045" s="6">
        <v>3903.018</v>
      </c>
      <c r="P2045" s="6">
        <v>35896</v>
      </c>
      <c r="Q2045" s="4" t="s">
        <v>26</v>
      </c>
      <c r="R2045" s="4">
        <v>0</v>
      </c>
      <c r="S2045" s="4" t="s">
        <v>345</v>
      </c>
      <c r="T2045" s="4" t="s">
        <v>582</v>
      </c>
      <c r="U2045" s="4">
        <v>0</v>
      </c>
      <c r="V2045" s="4">
        <v>39</v>
      </c>
      <c r="W2045" s="4">
        <v>85</v>
      </c>
    </row>
    <row r="2046" spans="1:23" ht="11.25" customHeight="1" x14ac:dyDescent="0.25">
      <c r="A2046" s="4" t="s">
        <v>29</v>
      </c>
      <c r="B2046" s="4" t="s">
        <v>46</v>
      </c>
      <c r="C2046" s="4" t="s">
        <v>23</v>
      </c>
      <c r="D2046" s="4" t="s">
        <v>47</v>
      </c>
      <c r="E2046" s="4" t="s">
        <v>25</v>
      </c>
      <c r="F2046" s="4" t="s">
        <v>25</v>
      </c>
      <c r="G2046" s="4" t="s">
        <v>25</v>
      </c>
      <c r="H2046" s="4" t="s">
        <v>25</v>
      </c>
      <c r="I2046" s="5">
        <v>44256</v>
      </c>
      <c r="J2046" s="6">
        <v>0</v>
      </c>
      <c r="K2046" s="6">
        <v>0</v>
      </c>
      <c r="L2046" s="6">
        <v>-40.159999999999997</v>
      </c>
      <c r="M2046" s="6">
        <v>-40.159999999999997</v>
      </c>
      <c r="N2046" s="6">
        <v>-40.159999999999997</v>
      </c>
      <c r="O2046" s="6">
        <v>-40.159999999999997</v>
      </c>
      <c r="P2046" s="6">
        <v>0</v>
      </c>
      <c r="Q2046" s="4" t="s">
        <v>26</v>
      </c>
      <c r="R2046" s="4">
        <v>0</v>
      </c>
      <c r="S2046" s="4" t="s">
        <v>345</v>
      </c>
      <c r="T2046" s="4" t="s">
        <v>582</v>
      </c>
      <c r="U2046" s="4">
        <v>0</v>
      </c>
      <c r="V2046" s="4">
        <v>39</v>
      </c>
      <c r="W2046" s="4">
        <v>85</v>
      </c>
    </row>
    <row r="2047" spans="1:23" ht="11.25" customHeight="1" x14ac:dyDescent="0.25">
      <c r="A2047" s="4" t="s">
        <v>30</v>
      </c>
      <c r="B2047" s="4" t="s">
        <v>46</v>
      </c>
      <c r="C2047" s="4" t="s">
        <v>23</v>
      </c>
      <c r="D2047" s="4" t="s">
        <v>47</v>
      </c>
      <c r="E2047" s="4" t="s">
        <v>25</v>
      </c>
      <c r="F2047" s="4" t="s">
        <v>25</v>
      </c>
      <c r="G2047" s="4" t="s">
        <v>25</v>
      </c>
      <c r="H2047" s="4" t="s">
        <v>25</v>
      </c>
      <c r="I2047" s="5">
        <v>44256</v>
      </c>
      <c r="J2047" s="6">
        <v>0</v>
      </c>
      <c r="K2047" s="6">
        <v>0</v>
      </c>
      <c r="L2047" s="6">
        <v>7.9669999999999996</v>
      </c>
      <c r="M2047" s="6">
        <v>7.9669999999999996</v>
      </c>
      <c r="N2047" s="6">
        <v>7.9669999999999996</v>
      </c>
      <c r="O2047" s="6">
        <v>7.9669999999999996</v>
      </c>
      <c r="P2047" s="6">
        <v>13</v>
      </c>
      <c r="Q2047" s="4" t="s">
        <v>26</v>
      </c>
      <c r="R2047" s="4">
        <v>0</v>
      </c>
      <c r="S2047" s="4" t="s">
        <v>345</v>
      </c>
      <c r="T2047" s="4" t="s">
        <v>582</v>
      </c>
      <c r="U2047" s="4">
        <v>0</v>
      </c>
      <c r="V2047" s="4">
        <v>39</v>
      </c>
      <c r="W2047" s="4">
        <v>85</v>
      </c>
    </row>
    <row r="2048" spans="1:23" ht="11.25" customHeight="1" x14ac:dyDescent="0.25">
      <c r="A2048" s="4" t="s">
        <v>30</v>
      </c>
      <c r="B2048" s="4" t="s">
        <v>46</v>
      </c>
      <c r="C2048" s="4" t="s">
        <v>23</v>
      </c>
      <c r="D2048" s="4" t="s">
        <v>47</v>
      </c>
      <c r="E2048" s="4" t="s">
        <v>25</v>
      </c>
      <c r="F2048" s="4" t="s">
        <v>25</v>
      </c>
      <c r="G2048" s="4" t="s">
        <v>25</v>
      </c>
      <c r="H2048" s="4" t="s">
        <v>25</v>
      </c>
      <c r="I2048" s="5">
        <v>44256</v>
      </c>
      <c r="J2048" s="6">
        <v>0</v>
      </c>
      <c r="K2048" s="6">
        <v>0</v>
      </c>
      <c r="L2048" s="6">
        <v>1.361</v>
      </c>
      <c r="M2048" s="6">
        <v>1.361</v>
      </c>
      <c r="N2048" s="6">
        <v>1.361</v>
      </c>
      <c r="O2048" s="6">
        <v>1.361</v>
      </c>
      <c r="P2048" s="6">
        <v>0</v>
      </c>
      <c r="Q2048" s="4" t="s">
        <v>26</v>
      </c>
      <c r="R2048" s="4">
        <v>0</v>
      </c>
      <c r="S2048" s="4" t="s">
        <v>345</v>
      </c>
      <c r="T2048" s="4" t="s">
        <v>582</v>
      </c>
      <c r="U2048" s="4">
        <v>0</v>
      </c>
      <c r="V2048" s="4">
        <v>39</v>
      </c>
      <c r="W2048" s="4">
        <v>85</v>
      </c>
    </row>
    <row r="2049" spans="1:23" ht="11.25" customHeight="1" x14ac:dyDescent="0.25">
      <c r="A2049" s="4" t="s">
        <v>21</v>
      </c>
      <c r="B2049" s="4" t="s">
        <v>46</v>
      </c>
      <c r="C2049" s="4" t="s">
        <v>23</v>
      </c>
      <c r="D2049" s="4" t="s">
        <v>47</v>
      </c>
      <c r="E2049" s="4" t="s">
        <v>25</v>
      </c>
      <c r="F2049" s="4" t="s">
        <v>25</v>
      </c>
      <c r="G2049" s="4" t="s">
        <v>25</v>
      </c>
      <c r="H2049" s="4" t="s">
        <v>25</v>
      </c>
      <c r="I2049" s="5">
        <v>44287</v>
      </c>
      <c r="J2049" s="6">
        <v>0</v>
      </c>
      <c r="K2049" s="6">
        <v>0</v>
      </c>
      <c r="L2049" s="6">
        <v>1546.347</v>
      </c>
      <c r="M2049" s="6">
        <v>1546.347</v>
      </c>
      <c r="N2049" s="6">
        <v>1546.347</v>
      </c>
      <c r="O2049" s="6">
        <v>1546.347</v>
      </c>
      <c r="P2049" s="6">
        <v>7514</v>
      </c>
      <c r="Q2049" s="4" t="s">
        <v>26</v>
      </c>
      <c r="R2049" s="4">
        <v>0</v>
      </c>
      <c r="S2049" s="4" t="s">
        <v>346</v>
      </c>
      <c r="T2049" s="4" t="s">
        <v>583</v>
      </c>
      <c r="U2049" s="4">
        <v>0</v>
      </c>
      <c r="V2049" s="4">
        <v>39</v>
      </c>
      <c r="W2049" s="4">
        <v>85</v>
      </c>
    </row>
    <row r="2050" spans="1:23" ht="11.25" customHeight="1" x14ac:dyDescent="0.25">
      <c r="A2050" s="4" t="s">
        <v>27</v>
      </c>
      <c r="B2050" s="4" t="s">
        <v>46</v>
      </c>
      <c r="C2050" s="4" t="s">
        <v>23</v>
      </c>
      <c r="D2050" s="4" t="s">
        <v>47</v>
      </c>
      <c r="E2050" s="4" t="s">
        <v>25</v>
      </c>
      <c r="F2050" s="4" t="s">
        <v>25</v>
      </c>
      <c r="G2050" s="4" t="s">
        <v>25</v>
      </c>
      <c r="H2050" s="4" t="s">
        <v>25</v>
      </c>
      <c r="I2050" s="5">
        <v>44287</v>
      </c>
      <c r="J2050" s="6">
        <v>0</v>
      </c>
      <c r="K2050" s="6">
        <v>0</v>
      </c>
      <c r="L2050" s="6">
        <v>-35.676000000000002</v>
      </c>
      <c r="M2050" s="6">
        <v>-35.676000000000002</v>
      </c>
      <c r="N2050" s="6">
        <v>-35.676000000000002</v>
      </c>
      <c r="O2050" s="6">
        <v>-35.676000000000002</v>
      </c>
      <c r="P2050" s="6">
        <v>0</v>
      </c>
      <c r="Q2050" s="4" t="s">
        <v>26</v>
      </c>
      <c r="R2050" s="4">
        <v>0</v>
      </c>
      <c r="S2050" s="4" t="s">
        <v>346</v>
      </c>
      <c r="T2050" s="4" t="s">
        <v>583</v>
      </c>
      <c r="U2050" s="4">
        <v>0</v>
      </c>
      <c r="V2050" s="4">
        <v>39</v>
      </c>
      <c r="W2050" s="4">
        <v>85</v>
      </c>
    </row>
    <row r="2051" spans="1:23" ht="11.25" customHeight="1" x14ac:dyDescent="0.25">
      <c r="A2051" s="4" t="s">
        <v>28</v>
      </c>
      <c r="B2051" s="4" t="s">
        <v>46</v>
      </c>
      <c r="C2051" s="4" t="s">
        <v>23</v>
      </c>
      <c r="D2051" s="4" t="s">
        <v>47</v>
      </c>
      <c r="E2051" s="4" t="s">
        <v>25</v>
      </c>
      <c r="F2051" s="4" t="s">
        <v>25</v>
      </c>
      <c r="G2051" s="4" t="s">
        <v>25</v>
      </c>
      <c r="H2051" s="4" t="s">
        <v>25</v>
      </c>
      <c r="I2051" s="5">
        <v>44287</v>
      </c>
      <c r="J2051" s="6">
        <v>0</v>
      </c>
      <c r="K2051" s="6">
        <v>0</v>
      </c>
      <c r="L2051" s="6">
        <v>3852.3090000000002</v>
      </c>
      <c r="M2051" s="6">
        <v>3852.3090000000002</v>
      </c>
      <c r="N2051" s="6">
        <v>3852.3090000000002</v>
      </c>
      <c r="O2051" s="6">
        <v>3852.3090000000002</v>
      </c>
      <c r="P2051" s="6">
        <v>33900</v>
      </c>
      <c r="Q2051" s="4" t="s">
        <v>26</v>
      </c>
      <c r="R2051" s="4">
        <v>0</v>
      </c>
      <c r="S2051" s="4" t="s">
        <v>346</v>
      </c>
      <c r="T2051" s="4" t="s">
        <v>583</v>
      </c>
      <c r="U2051" s="4">
        <v>0</v>
      </c>
      <c r="V2051" s="4">
        <v>39</v>
      </c>
      <c r="W2051" s="4">
        <v>85</v>
      </c>
    </row>
    <row r="2052" spans="1:23" ht="11.25" customHeight="1" x14ac:dyDescent="0.25">
      <c r="A2052" s="4" t="s">
        <v>29</v>
      </c>
      <c r="B2052" s="4" t="s">
        <v>46</v>
      </c>
      <c r="C2052" s="4" t="s">
        <v>23</v>
      </c>
      <c r="D2052" s="4" t="s">
        <v>47</v>
      </c>
      <c r="E2052" s="4" t="s">
        <v>25</v>
      </c>
      <c r="F2052" s="4" t="s">
        <v>25</v>
      </c>
      <c r="G2052" s="4" t="s">
        <v>25</v>
      </c>
      <c r="H2052" s="4" t="s">
        <v>25</v>
      </c>
      <c r="I2052" s="5">
        <v>44287</v>
      </c>
      <c r="J2052" s="6">
        <v>0</v>
      </c>
      <c r="K2052" s="6">
        <v>0</v>
      </c>
      <c r="L2052" s="6">
        <v>-38.832000000000001</v>
      </c>
      <c r="M2052" s="6">
        <v>-38.832000000000001</v>
      </c>
      <c r="N2052" s="6">
        <v>-38.832000000000001</v>
      </c>
      <c r="O2052" s="6">
        <v>-38.832000000000001</v>
      </c>
      <c r="P2052" s="6">
        <v>0</v>
      </c>
      <c r="Q2052" s="4" t="s">
        <v>26</v>
      </c>
      <c r="R2052" s="4">
        <v>0</v>
      </c>
      <c r="S2052" s="4" t="s">
        <v>346</v>
      </c>
      <c r="T2052" s="4" t="s">
        <v>583</v>
      </c>
      <c r="U2052" s="4">
        <v>0</v>
      </c>
      <c r="V2052" s="4">
        <v>39</v>
      </c>
      <c r="W2052" s="4">
        <v>85</v>
      </c>
    </row>
    <row r="2053" spans="1:23" ht="11.25" customHeight="1" x14ac:dyDescent="0.25">
      <c r="A2053" s="4" t="s">
        <v>30</v>
      </c>
      <c r="B2053" s="4" t="s">
        <v>46</v>
      </c>
      <c r="C2053" s="4" t="s">
        <v>23</v>
      </c>
      <c r="D2053" s="4" t="s">
        <v>47</v>
      </c>
      <c r="E2053" s="4" t="s">
        <v>25</v>
      </c>
      <c r="F2053" s="4" t="s">
        <v>25</v>
      </c>
      <c r="G2053" s="4" t="s">
        <v>25</v>
      </c>
      <c r="H2053" s="4" t="s">
        <v>25</v>
      </c>
      <c r="I2053" s="5">
        <v>44287</v>
      </c>
      <c r="J2053" s="6">
        <v>0</v>
      </c>
      <c r="K2053" s="6">
        <v>0</v>
      </c>
      <c r="L2053" s="6">
        <v>10.926</v>
      </c>
      <c r="M2053" s="6">
        <v>10.926</v>
      </c>
      <c r="N2053" s="6">
        <v>10.926</v>
      </c>
      <c r="O2053" s="6">
        <v>10.926</v>
      </c>
      <c r="P2053" s="6">
        <v>15</v>
      </c>
      <c r="Q2053" s="4" t="s">
        <v>26</v>
      </c>
      <c r="R2053" s="4">
        <v>0</v>
      </c>
      <c r="S2053" s="4" t="s">
        <v>346</v>
      </c>
      <c r="T2053" s="4" t="s">
        <v>583</v>
      </c>
      <c r="U2053" s="4">
        <v>0</v>
      </c>
      <c r="V2053" s="4">
        <v>39</v>
      </c>
      <c r="W2053" s="4">
        <v>85</v>
      </c>
    </row>
    <row r="2054" spans="1:23" ht="11.25" customHeight="1" x14ac:dyDescent="0.25">
      <c r="A2054" s="4" t="s">
        <v>21</v>
      </c>
      <c r="B2054" s="4" t="s">
        <v>46</v>
      </c>
      <c r="C2054" s="4" t="s">
        <v>23</v>
      </c>
      <c r="D2054" s="4" t="s">
        <v>47</v>
      </c>
      <c r="E2054" s="4" t="s">
        <v>25</v>
      </c>
      <c r="F2054" s="4" t="s">
        <v>25</v>
      </c>
      <c r="G2054" s="4" t="s">
        <v>25</v>
      </c>
      <c r="H2054" s="4" t="s">
        <v>25</v>
      </c>
      <c r="I2054" s="5">
        <v>44317</v>
      </c>
      <c r="J2054" s="6">
        <v>0</v>
      </c>
      <c r="K2054" s="6">
        <v>0</v>
      </c>
      <c r="L2054" s="6">
        <v>1470.9860000000001</v>
      </c>
      <c r="M2054" s="6">
        <v>1470.9860000000001</v>
      </c>
      <c r="N2054" s="6">
        <v>1470.9860000000001</v>
      </c>
      <c r="O2054" s="6">
        <v>1470.9860000000001</v>
      </c>
      <c r="P2054" s="6">
        <v>7507</v>
      </c>
      <c r="Q2054" s="4" t="s">
        <v>26</v>
      </c>
      <c r="R2054" s="4">
        <v>0</v>
      </c>
      <c r="S2054" s="4" t="s">
        <v>335</v>
      </c>
      <c r="T2054" s="4" t="s">
        <v>572</v>
      </c>
      <c r="U2054" s="4">
        <v>0</v>
      </c>
      <c r="V2054" s="4">
        <v>39</v>
      </c>
      <c r="W2054" s="4">
        <v>85</v>
      </c>
    </row>
    <row r="2055" spans="1:23" ht="11.25" customHeight="1" x14ac:dyDescent="0.25">
      <c r="A2055" s="4" t="s">
        <v>27</v>
      </c>
      <c r="B2055" s="4" t="s">
        <v>46</v>
      </c>
      <c r="C2055" s="4" t="s">
        <v>23</v>
      </c>
      <c r="D2055" s="4" t="s">
        <v>47</v>
      </c>
      <c r="E2055" s="4" t="s">
        <v>25</v>
      </c>
      <c r="F2055" s="4" t="s">
        <v>25</v>
      </c>
      <c r="G2055" s="4" t="s">
        <v>25</v>
      </c>
      <c r="H2055" s="4" t="s">
        <v>25</v>
      </c>
      <c r="I2055" s="5">
        <v>44317</v>
      </c>
      <c r="J2055" s="6">
        <v>0</v>
      </c>
      <c r="K2055" s="6">
        <v>0</v>
      </c>
      <c r="L2055" s="6">
        <v>-12.042999999999999</v>
      </c>
      <c r="M2055" s="6">
        <v>-12.042999999999999</v>
      </c>
      <c r="N2055" s="6">
        <v>-12.042999999999999</v>
      </c>
      <c r="O2055" s="6">
        <v>-12.042999999999999</v>
      </c>
      <c r="P2055" s="6">
        <v>0</v>
      </c>
      <c r="Q2055" s="4" t="s">
        <v>26</v>
      </c>
      <c r="R2055" s="4">
        <v>0</v>
      </c>
      <c r="S2055" s="4" t="s">
        <v>335</v>
      </c>
      <c r="T2055" s="4" t="s">
        <v>572</v>
      </c>
      <c r="U2055" s="4">
        <v>0</v>
      </c>
      <c r="V2055" s="4">
        <v>39</v>
      </c>
      <c r="W2055" s="4">
        <v>85</v>
      </c>
    </row>
    <row r="2056" spans="1:23" ht="11.25" customHeight="1" x14ac:dyDescent="0.25">
      <c r="A2056" s="4" t="s">
        <v>28</v>
      </c>
      <c r="B2056" s="4" t="s">
        <v>46</v>
      </c>
      <c r="C2056" s="4" t="s">
        <v>23</v>
      </c>
      <c r="D2056" s="4" t="s">
        <v>47</v>
      </c>
      <c r="E2056" s="4" t="s">
        <v>25</v>
      </c>
      <c r="F2056" s="4" t="s">
        <v>25</v>
      </c>
      <c r="G2056" s="4" t="s">
        <v>25</v>
      </c>
      <c r="H2056" s="4" t="s">
        <v>25</v>
      </c>
      <c r="I2056" s="5">
        <v>44317</v>
      </c>
      <c r="J2056" s="6">
        <v>0</v>
      </c>
      <c r="K2056" s="6">
        <v>0</v>
      </c>
      <c r="L2056" s="6">
        <v>3894.768</v>
      </c>
      <c r="M2056" s="6">
        <v>3894.768</v>
      </c>
      <c r="N2056" s="6">
        <v>3894.768</v>
      </c>
      <c r="O2056" s="6">
        <v>3894.768</v>
      </c>
      <c r="P2056" s="6">
        <v>33900</v>
      </c>
      <c r="Q2056" s="4" t="s">
        <v>26</v>
      </c>
      <c r="R2056" s="4">
        <v>0</v>
      </c>
      <c r="S2056" s="4" t="s">
        <v>335</v>
      </c>
      <c r="T2056" s="4" t="s">
        <v>572</v>
      </c>
      <c r="U2056" s="4">
        <v>0</v>
      </c>
      <c r="V2056" s="4">
        <v>39</v>
      </c>
      <c r="W2056" s="4">
        <v>85</v>
      </c>
    </row>
    <row r="2057" spans="1:23" ht="11.25" customHeight="1" x14ac:dyDescent="0.25">
      <c r="A2057" s="4" t="s">
        <v>29</v>
      </c>
      <c r="B2057" s="4" t="s">
        <v>46</v>
      </c>
      <c r="C2057" s="4" t="s">
        <v>23</v>
      </c>
      <c r="D2057" s="4" t="s">
        <v>47</v>
      </c>
      <c r="E2057" s="4" t="s">
        <v>25</v>
      </c>
      <c r="F2057" s="4" t="s">
        <v>25</v>
      </c>
      <c r="G2057" s="4" t="s">
        <v>25</v>
      </c>
      <c r="H2057" s="4" t="s">
        <v>25</v>
      </c>
      <c r="I2057" s="5">
        <v>44317</v>
      </c>
      <c r="J2057" s="6">
        <v>0</v>
      </c>
      <c r="K2057" s="6">
        <v>0</v>
      </c>
      <c r="L2057" s="6">
        <v>-32.683</v>
      </c>
      <c r="M2057" s="6">
        <v>-32.683</v>
      </c>
      <c r="N2057" s="6">
        <v>-32.683</v>
      </c>
      <c r="O2057" s="6">
        <v>-32.683</v>
      </c>
      <c r="P2057" s="6">
        <v>0</v>
      </c>
      <c r="Q2057" s="4" t="s">
        <v>26</v>
      </c>
      <c r="R2057" s="4">
        <v>0</v>
      </c>
      <c r="S2057" s="4" t="s">
        <v>335</v>
      </c>
      <c r="T2057" s="4" t="s">
        <v>572</v>
      </c>
      <c r="U2057" s="4">
        <v>0</v>
      </c>
      <c r="V2057" s="4">
        <v>39</v>
      </c>
      <c r="W2057" s="4">
        <v>85</v>
      </c>
    </row>
    <row r="2058" spans="1:23" ht="11.25" customHeight="1" x14ac:dyDescent="0.25">
      <c r="A2058" s="4" t="s">
        <v>30</v>
      </c>
      <c r="B2058" s="4" t="s">
        <v>46</v>
      </c>
      <c r="C2058" s="4" t="s">
        <v>23</v>
      </c>
      <c r="D2058" s="4" t="s">
        <v>47</v>
      </c>
      <c r="E2058" s="4" t="s">
        <v>25</v>
      </c>
      <c r="F2058" s="4" t="s">
        <v>25</v>
      </c>
      <c r="G2058" s="4" t="s">
        <v>25</v>
      </c>
      <c r="H2058" s="4" t="s">
        <v>25</v>
      </c>
      <c r="I2058" s="5">
        <v>44317</v>
      </c>
      <c r="J2058" s="6">
        <v>0</v>
      </c>
      <c r="K2058" s="6">
        <v>0</v>
      </c>
      <c r="L2058" s="6">
        <v>16.609000000000002</v>
      </c>
      <c r="M2058" s="6">
        <v>16.609000000000002</v>
      </c>
      <c r="N2058" s="6">
        <v>16.609000000000002</v>
      </c>
      <c r="O2058" s="6">
        <v>16.609000000000002</v>
      </c>
      <c r="P2058" s="6">
        <v>18</v>
      </c>
      <c r="Q2058" s="4" t="s">
        <v>26</v>
      </c>
      <c r="R2058" s="4">
        <v>0</v>
      </c>
      <c r="S2058" s="4" t="s">
        <v>335</v>
      </c>
      <c r="T2058" s="4" t="s">
        <v>572</v>
      </c>
      <c r="U2058" s="4">
        <v>0</v>
      </c>
      <c r="V2058" s="4">
        <v>39</v>
      </c>
      <c r="W2058" s="4">
        <v>85</v>
      </c>
    </row>
    <row r="2059" spans="1:23" ht="11.25" customHeight="1" x14ac:dyDescent="0.25">
      <c r="A2059" s="4" t="s">
        <v>21</v>
      </c>
      <c r="B2059" s="4" t="s">
        <v>46</v>
      </c>
      <c r="C2059" s="4" t="s">
        <v>23</v>
      </c>
      <c r="D2059" s="4" t="s">
        <v>47</v>
      </c>
      <c r="E2059" s="4" t="s">
        <v>25</v>
      </c>
      <c r="F2059" s="4" t="s">
        <v>25</v>
      </c>
      <c r="G2059" s="4" t="s">
        <v>25</v>
      </c>
      <c r="H2059" s="4" t="s">
        <v>25</v>
      </c>
      <c r="I2059" s="5">
        <v>44348</v>
      </c>
      <c r="J2059" s="6">
        <v>0</v>
      </c>
      <c r="K2059" s="6">
        <v>0</v>
      </c>
      <c r="L2059" s="6">
        <v>1583.41</v>
      </c>
      <c r="M2059" s="6">
        <v>1583.41</v>
      </c>
      <c r="N2059" s="6">
        <v>1583.41</v>
      </c>
      <c r="O2059" s="6">
        <v>1583.41</v>
      </c>
      <c r="P2059" s="6">
        <v>7462</v>
      </c>
      <c r="Q2059" s="4" t="s">
        <v>26</v>
      </c>
      <c r="R2059" s="4">
        <v>0</v>
      </c>
      <c r="S2059" s="4" t="s">
        <v>336</v>
      </c>
      <c r="T2059" s="4" t="s">
        <v>573</v>
      </c>
      <c r="U2059" s="4">
        <v>0</v>
      </c>
      <c r="V2059" s="4">
        <v>39</v>
      </c>
      <c r="W2059" s="4">
        <v>85</v>
      </c>
    </row>
    <row r="2060" spans="1:23" ht="11.25" customHeight="1" x14ac:dyDescent="0.25">
      <c r="A2060" s="4" t="s">
        <v>27</v>
      </c>
      <c r="B2060" s="4" t="s">
        <v>46</v>
      </c>
      <c r="C2060" s="4" t="s">
        <v>23</v>
      </c>
      <c r="D2060" s="4" t="s">
        <v>47</v>
      </c>
      <c r="E2060" s="4" t="s">
        <v>25</v>
      </c>
      <c r="F2060" s="4" t="s">
        <v>25</v>
      </c>
      <c r="G2060" s="4" t="s">
        <v>25</v>
      </c>
      <c r="H2060" s="4" t="s">
        <v>25</v>
      </c>
      <c r="I2060" s="5">
        <v>44348</v>
      </c>
      <c r="J2060" s="6">
        <v>0</v>
      </c>
      <c r="K2060" s="6">
        <v>0</v>
      </c>
      <c r="L2060" s="6">
        <v>-26.966999999999999</v>
      </c>
      <c r="M2060" s="6">
        <v>-26.966999999999999</v>
      </c>
      <c r="N2060" s="6">
        <v>-26.966999999999999</v>
      </c>
      <c r="O2060" s="6">
        <v>-26.966999999999999</v>
      </c>
      <c r="P2060" s="6">
        <v>0</v>
      </c>
      <c r="Q2060" s="4" t="s">
        <v>26</v>
      </c>
      <c r="R2060" s="4">
        <v>0</v>
      </c>
      <c r="S2060" s="4" t="s">
        <v>336</v>
      </c>
      <c r="T2060" s="4" t="s">
        <v>573</v>
      </c>
      <c r="U2060" s="4">
        <v>0</v>
      </c>
      <c r="V2060" s="4">
        <v>39</v>
      </c>
      <c r="W2060" s="4">
        <v>85</v>
      </c>
    </row>
    <row r="2061" spans="1:23" ht="11.25" customHeight="1" x14ac:dyDescent="0.25">
      <c r="A2061" s="4" t="s">
        <v>28</v>
      </c>
      <c r="B2061" s="4" t="s">
        <v>46</v>
      </c>
      <c r="C2061" s="4" t="s">
        <v>23</v>
      </c>
      <c r="D2061" s="4" t="s">
        <v>47</v>
      </c>
      <c r="E2061" s="4" t="s">
        <v>25</v>
      </c>
      <c r="F2061" s="4" t="s">
        <v>25</v>
      </c>
      <c r="G2061" s="4" t="s">
        <v>25</v>
      </c>
      <c r="H2061" s="4" t="s">
        <v>25</v>
      </c>
      <c r="I2061" s="5">
        <v>44348</v>
      </c>
      <c r="J2061" s="6">
        <v>0</v>
      </c>
      <c r="K2061" s="6">
        <v>0</v>
      </c>
      <c r="L2061" s="6">
        <v>3971.7350000000001</v>
      </c>
      <c r="M2061" s="6">
        <v>3971.7350000000001</v>
      </c>
      <c r="N2061" s="6">
        <v>3971.7350000000001</v>
      </c>
      <c r="O2061" s="6">
        <v>3971.7350000000001</v>
      </c>
      <c r="P2061" s="6">
        <v>33865</v>
      </c>
      <c r="Q2061" s="4" t="s">
        <v>26</v>
      </c>
      <c r="R2061" s="4">
        <v>0</v>
      </c>
      <c r="S2061" s="4" t="s">
        <v>336</v>
      </c>
      <c r="T2061" s="4" t="s">
        <v>573</v>
      </c>
      <c r="U2061" s="4">
        <v>0</v>
      </c>
      <c r="V2061" s="4">
        <v>39</v>
      </c>
      <c r="W2061" s="4">
        <v>85</v>
      </c>
    </row>
    <row r="2062" spans="1:23" ht="11.25" customHeight="1" x14ac:dyDescent="0.25">
      <c r="A2062" s="4" t="s">
        <v>29</v>
      </c>
      <c r="B2062" s="4" t="s">
        <v>46</v>
      </c>
      <c r="C2062" s="4" t="s">
        <v>23</v>
      </c>
      <c r="D2062" s="4" t="s">
        <v>47</v>
      </c>
      <c r="E2062" s="4" t="s">
        <v>25</v>
      </c>
      <c r="F2062" s="4" t="s">
        <v>25</v>
      </c>
      <c r="G2062" s="4" t="s">
        <v>25</v>
      </c>
      <c r="H2062" s="4" t="s">
        <v>25</v>
      </c>
      <c r="I2062" s="5">
        <v>44348</v>
      </c>
      <c r="J2062" s="6">
        <v>0</v>
      </c>
      <c r="K2062" s="6">
        <v>0</v>
      </c>
      <c r="L2062" s="6">
        <v>-151.79400000000001</v>
      </c>
      <c r="M2062" s="6">
        <v>-151.79400000000001</v>
      </c>
      <c r="N2062" s="6">
        <v>-151.79400000000001</v>
      </c>
      <c r="O2062" s="6">
        <v>-151.79400000000001</v>
      </c>
      <c r="P2062" s="6">
        <v>0</v>
      </c>
      <c r="Q2062" s="4" t="s">
        <v>26</v>
      </c>
      <c r="R2062" s="4">
        <v>0</v>
      </c>
      <c r="S2062" s="4" t="s">
        <v>336</v>
      </c>
      <c r="T2062" s="4" t="s">
        <v>573</v>
      </c>
      <c r="U2062" s="4">
        <v>0</v>
      </c>
      <c r="V2062" s="4">
        <v>39</v>
      </c>
      <c r="W2062" s="4">
        <v>85</v>
      </c>
    </row>
    <row r="2063" spans="1:23" ht="11.25" customHeight="1" x14ac:dyDescent="0.25">
      <c r="A2063" s="4" t="s">
        <v>30</v>
      </c>
      <c r="B2063" s="4" t="s">
        <v>46</v>
      </c>
      <c r="C2063" s="4" t="s">
        <v>23</v>
      </c>
      <c r="D2063" s="4" t="s">
        <v>47</v>
      </c>
      <c r="E2063" s="4" t="s">
        <v>25</v>
      </c>
      <c r="F2063" s="4" t="s">
        <v>25</v>
      </c>
      <c r="G2063" s="4" t="s">
        <v>25</v>
      </c>
      <c r="H2063" s="4" t="s">
        <v>25</v>
      </c>
      <c r="I2063" s="5">
        <v>44348</v>
      </c>
      <c r="J2063" s="6">
        <v>0</v>
      </c>
      <c r="K2063" s="6">
        <v>0</v>
      </c>
      <c r="L2063" s="6">
        <v>16.03</v>
      </c>
      <c r="M2063" s="6">
        <v>16.03</v>
      </c>
      <c r="N2063" s="6">
        <v>16.03</v>
      </c>
      <c r="O2063" s="6">
        <v>16.03</v>
      </c>
      <c r="P2063" s="6">
        <v>21</v>
      </c>
      <c r="Q2063" s="4" t="s">
        <v>26</v>
      </c>
      <c r="R2063" s="4">
        <v>0</v>
      </c>
      <c r="S2063" s="4" t="s">
        <v>336</v>
      </c>
      <c r="T2063" s="4" t="s">
        <v>573</v>
      </c>
      <c r="U2063" s="4">
        <v>0</v>
      </c>
      <c r="V2063" s="4">
        <v>39</v>
      </c>
      <c r="W2063" s="4">
        <v>85</v>
      </c>
    </row>
    <row r="2064" spans="1:23" ht="11.25" customHeight="1" x14ac:dyDescent="0.25">
      <c r="A2064" s="4" t="s">
        <v>21</v>
      </c>
      <c r="B2064" s="4" t="s">
        <v>46</v>
      </c>
      <c r="C2064" s="4" t="s">
        <v>23</v>
      </c>
      <c r="D2064" s="4" t="s">
        <v>47</v>
      </c>
      <c r="E2064" s="4" t="s">
        <v>25</v>
      </c>
      <c r="F2064" s="4" t="s">
        <v>25</v>
      </c>
      <c r="G2064" s="4" t="s">
        <v>25</v>
      </c>
      <c r="H2064" s="4" t="s">
        <v>25</v>
      </c>
      <c r="I2064" s="5">
        <v>44378</v>
      </c>
      <c r="J2064" s="6">
        <v>0</v>
      </c>
      <c r="K2064" s="6">
        <v>0</v>
      </c>
      <c r="L2064" s="6">
        <v>1449.144</v>
      </c>
      <c r="M2064" s="6">
        <v>1449.144</v>
      </c>
      <c r="N2064" s="6">
        <v>1449.144</v>
      </c>
      <c r="O2064" s="6">
        <v>1449.144</v>
      </c>
      <c r="P2064" s="6">
        <v>7443</v>
      </c>
      <c r="Q2064" s="4" t="s">
        <v>26</v>
      </c>
      <c r="R2064" s="4">
        <v>0</v>
      </c>
      <c r="S2064" s="4" t="s">
        <v>337</v>
      </c>
      <c r="T2064" s="4" t="s">
        <v>574</v>
      </c>
      <c r="U2064" s="4">
        <v>0</v>
      </c>
      <c r="V2064" s="4">
        <v>39</v>
      </c>
      <c r="W2064" s="4">
        <v>85</v>
      </c>
    </row>
    <row r="2065" spans="1:23" ht="11.25" customHeight="1" x14ac:dyDescent="0.25">
      <c r="A2065" s="4" t="s">
        <v>27</v>
      </c>
      <c r="B2065" s="4" t="s">
        <v>46</v>
      </c>
      <c r="C2065" s="4" t="s">
        <v>23</v>
      </c>
      <c r="D2065" s="4" t="s">
        <v>47</v>
      </c>
      <c r="E2065" s="4" t="s">
        <v>25</v>
      </c>
      <c r="F2065" s="4" t="s">
        <v>25</v>
      </c>
      <c r="G2065" s="4" t="s">
        <v>25</v>
      </c>
      <c r="H2065" s="4" t="s">
        <v>25</v>
      </c>
      <c r="I2065" s="5">
        <v>44378</v>
      </c>
      <c r="J2065" s="6">
        <v>0</v>
      </c>
      <c r="K2065" s="6">
        <v>0</v>
      </c>
      <c r="L2065" s="6">
        <v>-9.2910000000000004</v>
      </c>
      <c r="M2065" s="6">
        <v>-9.2910000000000004</v>
      </c>
      <c r="N2065" s="6">
        <v>-9.2910000000000004</v>
      </c>
      <c r="O2065" s="6">
        <v>-9.2910000000000004</v>
      </c>
      <c r="P2065" s="6">
        <v>0</v>
      </c>
      <c r="Q2065" s="4" t="s">
        <v>26</v>
      </c>
      <c r="R2065" s="4">
        <v>0</v>
      </c>
      <c r="S2065" s="4" t="s">
        <v>337</v>
      </c>
      <c r="T2065" s="4" t="s">
        <v>574</v>
      </c>
      <c r="U2065" s="4">
        <v>0</v>
      </c>
      <c r="V2065" s="4">
        <v>39</v>
      </c>
      <c r="W2065" s="4">
        <v>85</v>
      </c>
    </row>
    <row r="2066" spans="1:23" ht="11.25" customHeight="1" x14ac:dyDescent="0.25">
      <c r="A2066" s="4" t="s">
        <v>28</v>
      </c>
      <c r="B2066" s="4" t="s">
        <v>46</v>
      </c>
      <c r="C2066" s="4" t="s">
        <v>23</v>
      </c>
      <c r="D2066" s="4" t="s">
        <v>47</v>
      </c>
      <c r="E2066" s="4" t="s">
        <v>25</v>
      </c>
      <c r="F2066" s="4" t="s">
        <v>25</v>
      </c>
      <c r="G2066" s="4" t="s">
        <v>25</v>
      </c>
      <c r="H2066" s="4" t="s">
        <v>25</v>
      </c>
      <c r="I2066" s="5">
        <v>44378</v>
      </c>
      <c r="J2066" s="6">
        <v>0</v>
      </c>
      <c r="K2066" s="6">
        <v>0</v>
      </c>
      <c r="L2066" s="6">
        <v>3776.7109999999998</v>
      </c>
      <c r="M2066" s="6">
        <v>3776.7109999999998</v>
      </c>
      <c r="N2066" s="6">
        <v>3776.7109999999998</v>
      </c>
      <c r="O2066" s="6">
        <v>3776.7109999999998</v>
      </c>
      <c r="P2066" s="6">
        <v>34038</v>
      </c>
      <c r="Q2066" s="4" t="s">
        <v>26</v>
      </c>
      <c r="R2066" s="4">
        <v>0</v>
      </c>
      <c r="S2066" s="4" t="s">
        <v>337</v>
      </c>
      <c r="T2066" s="4" t="s">
        <v>574</v>
      </c>
      <c r="U2066" s="4">
        <v>0</v>
      </c>
      <c r="V2066" s="4">
        <v>39</v>
      </c>
      <c r="W2066" s="4">
        <v>85</v>
      </c>
    </row>
    <row r="2067" spans="1:23" ht="11.25" customHeight="1" x14ac:dyDescent="0.25">
      <c r="A2067" s="4" t="s">
        <v>29</v>
      </c>
      <c r="B2067" s="4" t="s">
        <v>46</v>
      </c>
      <c r="C2067" s="4" t="s">
        <v>23</v>
      </c>
      <c r="D2067" s="4" t="s">
        <v>47</v>
      </c>
      <c r="E2067" s="4" t="s">
        <v>25</v>
      </c>
      <c r="F2067" s="4" t="s">
        <v>25</v>
      </c>
      <c r="G2067" s="4" t="s">
        <v>25</v>
      </c>
      <c r="H2067" s="4" t="s">
        <v>25</v>
      </c>
      <c r="I2067" s="5">
        <v>44378</v>
      </c>
      <c r="J2067" s="6">
        <v>0</v>
      </c>
      <c r="K2067" s="6">
        <v>0</v>
      </c>
      <c r="L2067" s="6">
        <v>-79.911000000000001</v>
      </c>
      <c r="M2067" s="6">
        <v>-79.911000000000001</v>
      </c>
      <c r="N2067" s="6">
        <v>-79.911000000000001</v>
      </c>
      <c r="O2067" s="6">
        <v>-79.911000000000001</v>
      </c>
      <c r="P2067" s="6">
        <v>0</v>
      </c>
      <c r="Q2067" s="4" t="s">
        <v>26</v>
      </c>
      <c r="R2067" s="4">
        <v>0</v>
      </c>
      <c r="S2067" s="4" t="s">
        <v>337</v>
      </c>
      <c r="T2067" s="4" t="s">
        <v>574</v>
      </c>
      <c r="U2067" s="4">
        <v>0</v>
      </c>
      <c r="V2067" s="4">
        <v>39</v>
      </c>
      <c r="W2067" s="4">
        <v>85</v>
      </c>
    </row>
    <row r="2068" spans="1:23" ht="11.25" customHeight="1" x14ac:dyDescent="0.25">
      <c r="A2068" s="4" t="s">
        <v>30</v>
      </c>
      <c r="B2068" s="4" t="s">
        <v>46</v>
      </c>
      <c r="C2068" s="4" t="s">
        <v>23</v>
      </c>
      <c r="D2068" s="4" t="s">
        <v>47</v>
      </c>
      <c r="E2068" s="4" t="s">
        <v>25</v>
      </c>
      <c r="F2068" s="4" t="s">
        <v>25</v>
      </c>
      <c r="G2068" s="4" t="s">
        <v>25</v>
      </c>
      <c r="H2068" s="4" t="s">
        <v>25</v>
      </c>
      <c r="I2068" s="5">
        <v>44378</v>
      </c>
      <c r="J2068" s="6">
        <v>0</v>
      </c>
      <c r="K2068" s="6">
        <v>0</v>
      </c>
      <c r="L2068" s="6">
        <v>16.318000000000001</v>
      </c>
      <c r="M2068" s="6">
        <v>16.318000000000001</v>
      </c>
      <c r="N2068" s="6">
        <v>16.318000000000001</v>
      </c>
      <c r="O2068" s="6">
        <v>16.318000000000001</v>
      </c>
      <c r="P2068" s="6">
        <v>22</v>
      </c>
      <c r="Q2068" s="4" t="s">
        <v>26</v>
      </c>
      <c r="R2068" s="4">
        <v>0</v>
      </c>
      <c r="S2068" s="4" t="s">
        <v>337</v>
      </c>
      <c r="T2068" s="4" t="s">
        <v>574</v>
      </c>
      <c r="U2068" s="4">
        <v>0</v>
      </c>
      <c r="V2068" s="4">
        <v>39</v>
      </c>
      <c r="W2068" s="4">
        <v>85</v>
      </c>
    </row>
    <row r="2069" spans="1:23" ht="11.25" customHeight="1" x14ac:dyDescent="0.25">
      <c r="A2069" s="4" t="s">
        <v>21</v>
      </c>
      <c r="B2069" s="4" t="s">
        <v>46</v>
      </c>
      <c r="C2069" s="4" t="s">
        <v>23</v>
      </c>
      <c r="D2069" s="4" t="s">
        <v>47</v>
      </c>
      <c r="E2069" s="4" t="s">
        <v>25</v>
      </c>
      <c r="F2069" s="4" t="s">
        <v>25</v>
      </c>
      <c r="G2069" s="4" t="s">
        <v>25</v>
      </c>
      <c r="H2069" s="4" t="s">
        <v>25</v>
      </c>
      <c r="I2069" s="5">
        <v>44409</v>
      </c>
      <c r="J2069" s="6">
        <v>0</v>
      </c>
      <c r="K2069" s="6">
        <v>0</v>
      </c>
      <c r="L2069" s="6">
        <v>1553.607</v>
      </c>
      <c r="M2069" s="6">
        <v>1553.607</v>
      </c>
      <c r="N2069" s="6">
        <v>1553.607</v>
      </c>
      <c r="O2069" s="6">
        <v>1553.607</v>
      </c>
      <c r="P2069" s="6">
        <v>7413</v>
      </c>
      <c r="Q2069" s="4" t="s">
        <v>26</v>
      </c>
      <c r="R2069" s="4">
        <v>0</v>
      </c>
      <c r="S2069" s="4" t="s">
        <v>338</v>
      </c>
      <c r="T2069" s="4" t="s">
        <v>575</v>
      </c>
      <c r="U2069" s="4">
        <v>0</v>
      </c>
      <c r="V2069" s="4">
        <v>39</v>
      </c>
      <c r="W2069" s="4">
        <v>85</v>
      </c>
    </row>
    <row r="2070" spans="1:23" ht="11.25" customHeight="1" x14ac:dyDescent="0.25">
      <c r="A2070" s="4" t="s">
        <v>27</v>
      </c>
      <c r="B2070" s="4" t="s">
        <v>46</v>
      </c>
      <c r="C2070" s="4" t="s">
        <v>23</v>
      </c>
      <c r="D2070" s="4" t="s">
        <v>47</v>
      </c>
      <c r="E2070" s="4" t="s">
        <v>25</v>
      </c>
      <c r="F2070" s="4" t="s">
        <v>25</v>
      </c>
      <c r="G2070" s="4" t="s">
        <v>25</v>
      </c>
      <c r="H2070" s="4" t="s">
        <v>25</v>
      </c>
      <c r="I2070" s="5">
        <v>44409</v>
      </c>
      <c r="J2070" s="6">
        <v>0</v>
      </c>
      <c r="K2070" s="6">
        <v>0</v>
      </c>
      <c r="L2070" s="6">
        <v>-55.225999999999999</v>
      </c>
      <c r="M2070" s="6">
        <v>-55.225999999999999</v>
      </c>
      <c r="N2070" s="6">
        <v>-55.225999999999999</v>
      </c>
      <c r="O2070" s="6">
        <v>-55.225999999999999</v>
      </c>
      <c r="P2070" s="6">
        <v>0</v>
      </c>
      <c r="Q2070" s="4" t="s">
        <v>26</v>
      </c>
      <c r="R2070" s="4">
        <v>0</v>
      </c>
      <c r="S2070" s="4" t="s">
        <v>338</v>
      </c>
      <c r="T2070" s="4" t="s">
        <v>575</v>
      </c>
      <c r="U2070" s="4">
        <v>0</v>
      </c>
      <c r="V2070" s="4">
        <v>39</v>
      </c>
      <c r="W2070" s="4">
        <v>85</v>
      </c>
    </row>
    <row r="2071" spans="1:23" ht="11.25" customHeight="1" x14ac:dyDescent="0.25">
      <c r="A2071" s="4" t="s">
        <v>28</v>
      </c>
      <c r="B2071" s="4" t="s">
        <v>46</v>
      </c>
      <c r="C2071" s="4" t="s">
        <v>23</v>
      </c>
      <c r="D2071" s="4" t="s">
        <v>47</v>
      </c>
      <c r="E2071" s="4" t="s">
        <v>25</v>
      </c>
      <c r="F2071" s="4" t="s">
        <v>25</v>
      </c>
      <c r="G2071" s="4" t="s">
        <v>25</v>
      </c>
      <c r="H2071" s="4" t="s">
        <v>25</v>
      </c>
      <c r="I2071" s="5">
        <v>44409</v>
      </c>
      <c r="J2071" s="6">
        <v>0</v>
      </c>
      <c r="K2071" s="6">
        <v>0</v>
      </c>
      <c r="L2071" s="6">
        <v>3936.41</v>
      </c>
      <c r="M2071" s="6">
        <v>3936.41</v>
      </c>
      <c r="N2071" s="6">
        <v>3936.41</v>
      </c>
      <c r="O2071" s="6">
        <v>3936.41</v>
      </c>
      <c r="P2071" s="6">
        <v>33946</v>
      </c>
      <c r="Q2071" s="4" t="s">
        <v>26</v>
      </c>
      <c r="R2071" s="4">
        <v>0</v>
      </c>
      <c r="S2071" s="4" t="s">
        <v>338</v>
      </c>
      <c r="T2071" s="4" t="s">
        <v>575</v>
      </c>
      <c r="U2071" s="4">
        <v>0</v>
      </c>
      <c r="V2071" s="4">
        <v>39</v>
      </c>
      <c r="W2071" s="4">
        <v>85</v>
      </c>
    </row>
    <row r="2072" spans="1:23" ht="11.25" customHeight="1" x14ac:dyDescent="0.25">
      <c r="A2072" s="4" t="s">
        <v>29</v>
      </c>
      <c r="B2072" s="4" t="s">
        <v>46</v>
      </c>
      <c r="C2072" s="4" t="s">
        <v>23</v>
      </c>
      <c r="D2072" s="4" t="s">
        <v>47</v>
      </c>
      <c r="E2072" s="4" t="s">
        <v>25</v>
      </c>
      <c r="F2072" s="4" t="s">
        <v>25</v>
      </c>
      <c r="G2072" s="4" t="s">
        <v>25</v>
      </c>
      <c r="H2072" s="4" t="s">
        <v>25</v>
      </c>
      <c r="I2072" s="5">
        <v>44409</v>
      </c>
      <c r="J2072" s="6">
        <v>0</v>
      </c>
      <c r="K2072" s="6">
        <v>0</v>
      </c>
      <c r="L2072" s="6">
        <v>-82.900999999999996</v>
      </c>
      <c r="M2072" s="6">
        <v>-82.900999999999996</v>
      </c>
      <c r="N2072" s="6">
        <v>-82.900999999999996</v>
      </c>
      <c r="O2072" s="6">
        <v>-82.900999999999996</v>
      </c>
      <c r="P2072" s="6">
        <v>0</v>
      </c>
      <c r="Q2072" s="4" t="s">
        <v>26</v>
      </c>
      <c r="R2072" s="4">
        <v>0</v>
      </c>
      <c r="S2072" s="4" t="s">
        <v>338</v>
      </c>
      <c r="T2072" s="4" t="s">
        <v>575</v>
      </c>
      <c r="U2072" s="4">
        <v>0</v>
      </c>
      <c r="V2072" s="4">
        <v>39</v>
      </c>
      <c r="W2072" s="4">
        <v>85</v>
      </c>
    </row>
    <row r="2073" spans="1:23" ht="11.25" customHeight="1" x14ac:dyDescent="0.25">
      <c r="A2073" s="4" t="s">
        <v>30</v>
      </c>
      <c r="B2073" s="4" t="s">
        <v>46</v>
      </c>
      <c r="C2073" s="4" t="s">
        <v>23</v>
      </c>
      <c r="D2073" s="4" t="s">
        <v>47</v>
      </c>
      <c r="E2073" s="4" t="s">
        <v>25</v>
      </c>
      <c r="F2073" s="4" t="s">
        <v>25</v>
      </c>
      <c r="G2073" s="4" t="s">
        <v>25</v>
      </c>
      <c r="H2073" s="4" t="s">
        <v>25</v>
      </c>
      <c r="I2073" s="5">
        <v>44409</v>
      </c>
      <c r="J2073" s="6">
        <v>0</v>
      </c>
      <c r="K2073" s="6">
        <v>0</v>
      </c>
      <c r="L2073" s="6">
        <v>26.995000000000001</v>
      </c>
      <c r="M2073" s="6">
        <v>26.995000000000001</v>
      </c>
      <c r="N2073" s="6">
        <v>26.995000000000001</v>
      </c>
      <c r="O2073" s="6">
        <v>26.995000000000001</v>
      </c>
      <c r="P2073" s="6">
        <v>21</v>
      </c>
      <c r="Q2073" s="4" t="s">
        <v>26</v>
      </c>
      <c r="R2073" s="4">
        <v>0</v>
      </c>
      <c r="S2073" s="4" t="s">
        <v>338</v>
      </c>
      <c r="T2073" s="4" t="s">
        <v>575</v>
      </c>
      <c r="U2073" s="4">
        <v>0</v>
      </c>
      <c r="V2073" s="4">
        <v>39</v>
      </c>
      <c r="W2073" s="4">
        <v>85</v>
      </c>
    </row>
    <row r="2074" spans="1:23" ht="11.25" customHeight="1" x14ac:dyDescent="0.25">
      <c r="A2074" s="4" t="s">
        <v>21</v>
      </c>
      <c r="B2074" s="4" t="s">
        <v>46</v>
      </c>
      <c r="C2074" s="4" t="s">
        <v>23</v>
      </c>
      <c r="D2074" s="4" t="s">
        <v>47</v>
      </c>
      <c r="E2074" s="4" t="s">
        <v>25</v>
      </c>
      <c r="F2074" s="4" t="s">
        <v>25</v>
      </c>
      <c r="G2074" s="4" t="s">
        <v>25</v>
      </c>
      <c r="H2074" s="4" t="s">
        <v>25</v>
      </c>
      <c r="I2074" s="5">
        <v>44440</v>
      </c>
      <c r="J2074" s="6">
        <v>0</v>
      </c>
      <c r="K2074" s="6">
        <v>0</v>
      </c>
      <c r="L2074" s="6">
        <v>1541.1030000000001</v>
      </c>
      <c r="M2074" s="6">
        <v>1541.1030000000001</v>
      </c>
      <c r="N2074" s="6">
        <v>1541.1030000000001</v>
      </c>
      <c r="O2074" s="6">
        <v>1541.1030000000001</v>
      </c>
      <c r="P2074" s="6">
        <v>7366</v>
      </c>
      <c r="Q2074" s="4" t="s">
        <v>26</v>
      </c>
      <c r="R2074" s="4">
        <v>0</v>
      </c>
      <c r="S2074" s="4" t="s">
        <v>339</v>
      </c>
      <c r="T2074" s="4" t="s">
        <v>576</v>
      </c>
      <c r="U2074" s="4">
        <v>0</v>
      </c>
      <c r="V2074" s="4">
        <v>39</v>
      </c>
      <c r="W2074" s="4">
        <v>85</v>
      </c>
    </row>
    <row r="2075" spans="1:23" ht="11.25" customHeight="1" x14ac:dyDescent="0.25">
      <c r="A2075" s="4" t="s">
        <v>27</v>
      </c>
      <c r="B2075" s="4" t="s">
        <v>46</v>
      </c>
      <c r="C2075" s="4" t="s">
        <v>23</v>
      </c>
      <c r="D2075" s="4" t="s">
        <v>47</v>
      </c>
      <c r="E2075" s="4" t="s">
        <v>25</v>
      </c>
      <c r="F2075" s="4" t="s">
        <v>25</v>
      </c>
      <c r="G2075" s="4" t="s">
        <v>25</v>
      </c>
      <c r="H2075" s="4" t="s">
        <v>25</v>
      </c>
      <c r="I2075" s="5">
        <v>44440</v>
      </c>
      <c r="J2075" s="6">
        <v>0</v>
      </c>
      <c r="K2075" s="6">
        <v>0</v>
      </c>
      <c r="L2075" s="6">
        <v>-4.3579999999999997</v>
      </c>
      <c r="M2075" s="6">
        <v>-4.3579999999999997</v>
      </c>
      <c r="N2075" s="6">
        <v>-4.3579999999999997</v>
      </c>
      <c r="O2075" s="6">
        <v>-4.3579999999999997</v>
      </c>
      <c r="P2075" s="6">
        <v>0</v>
      </c>
      <c r="Q2075" s="4" t="s">
        <v>26</v>
      </c>
      <c r="R2075" s="4">
        <v>0</v>
      </c>
      <c r="S2075" s="4" t="s">
        <v>339</v>
      </c>
      <c r="T2075" s="4" t="s">
        <v>576</v>
      </c>
      <c r="U2075" s="4">
        <v>0</v>
      </c>
      <c r="V2075" s="4">
        <v>39</v>
      </c>
      <c r="W2075" s="4">
        <v>85</v>
      </c>
    </row>
    <row r="2076" spans="1:23" ht="11.25" customHeight="1" x14ac:dyDescent="0.25">
      <c r="A2076" s="4" t="s">
        <v>28</v>
      </c>
      <c r="B2076" s="4" t="s">
        <v>46</v>
      </c>
      <c r="C2076" s="4" t="s">
        <v>23</v>
      </c>
      <c r="D2076" s="4" t="s">
        <v>47</v>
      </c>
      <c r="E2076" s="4" t="s">
        <v>25</v>
      </c>
      <c r="F2076" s="4" t="s">
        <v>25</v>
      </c>
      <c r="G2076" s="4" t="s">
        <v>25</v>
      </c>
      <c r="H2076" s="4" t="s">
        <v>25</v>
      </c>
      <c r="I2076" s="5">
        <v>44440</v>
      </c>
      <c r="J2076" s="6">
        <v>0</v>
      </c>
      <c r="K2076" s="6">
        <v>0</v>
      </c>
      <c r="L2076" s="6">
        <v>3986.1239999999998</v>
      </c>
      <c r="M2076" s="6">
        <v>3986.1239999999998</v>
      </c>
      <c r="N2076" s="6">
        <v>3986.1239999999998</v>
      </c>
      <c r="O2076" s="6">
        <v>3986.1239999999998</v>
      </c>
      <c r="P2076" s="6">
        <v>33609</v>
      </c>
      <c r="Q2076" s="4" t="s">
        <v>26</v>
      </c>
      <c r="R2076" s="4">
        <v>0</v>
      </c>
      <c r="S2076" s="4" t="s">
        <v>339</v>
      </c>
      <c r="T2076" s="4" t="s">
        <v>576</v>
      </c>
      <c r="U2076" s="4">
        <v>0</v>
      </c>
      <c r="V2076" s="4">
        <v>39</v>
      </c>
      <c r="W2076" s="4">
        <v>85</v>
      </c>
    </row>
    <row r="2077" spans="1:23" ht="11.25" customHeight="1" x14ac:dyDescent="0.25">
      <c r="A2077" s="4" t="s">
        <v>29</v>
      </c>
      <c r="B2077" s="4" t="s">
        <v>46</v>
      </c>
      <c r="C2077" s="4" t="s">
        <v>23</v>
      </c>
      <c r="D2077" s="4" t="s">
        <v>47</v>
      </c>
      <c r="E2077" s="4" t="s">
        <v>25</v>
      </c>
      <c r="F2077" s="4" t="s">
        <v>25</v>
      </c>
      <c r="G2077" s="4" t="s">
        <v>25</v>
      </c>
      <c r="H2077" s="4" t="s">
        <v>25</v>
      </c>
      <c r="I2077" s="5">
        <v>44440</v>
      </c>
      <c r="J2077" s="6">
        <v>0</v>
      </c>
      <c r="K2077" s="6">
        <v>0</v>
      </c>
      <c r="L2077" s="6">
        <v>-267.721</v>
      </c>
      <c r="M2077" s="6">
        <v>-267.721</v>
      </c>
      <c r="N2077" s="6">
        <v>-267.721</v>
      </c>
      <c r="O2077" s="6">
        <v>-267.721</v>
      </c>
      <c r="P2077" s="6">
        <v>0</v>
      </c>
      <c r="Q2077" s="4" t="s">
        <v>26</v>
      </c>
      <c r="R2077" s="4">
        <v>0</v>
      </c>
      <c r="S2077" s="4" t="s">
        <v>339</v>
      </c>
      <c r="T2077" s="4" t="s">
        <v>576</v>
      </c>
      <c r="U2077" s="4">
        <v>0</v>
      </c>
      <c r="V2077" s="4">
        <v>39</v>
      </c>
      <c r="W2077" s="4">
        <v>85</v>
      </c>
    </row>
    <row r="2078" spans="1:23" ht="11.25" customHeight="1" x14ac:dyDescent="0.25">
      <c r="A2078" s="4" t="s">
        <v>30</v>
      </c>
      <c r="B2078" s="4" t="s">
        <v>46</v>
      </c>
      <c r="C2078" s="4" t="s">
        <v>23</v>
      </c>
      <c r="D2078" s="4" t="s">
        <v>47</v>
      </c>
      <c r="E2078" s="4" t="s">
        <v>25</v>
      </c>
      <c r="F2078" s="4" t="s">
        <v>25</v>
      </c>
      <c r="G2078" s="4" t="s">
        <v>25</v>
      </c>
      <c r="H2078" s="4" t="s">
        <v>25</v>
      </c>
      <c r="I2078" s="5">
        <v>44440</v>
      </c>
      <c r="J2078" s="6">
        <v>0</v>
      </c>
      <c r="K2078" s="6">
        <v>0</v>
      </c>
      <c r="L2078" s="6">
        <v>26.422000000000001</v>
      </c>
      <c r="M2078" s="6">
        <v>26.422000000000001</v>
      </c>
      <c r="N2078" s="6">
        <v>26.422000000000001</v>
      </c>
      <c r="O2078" s="6">
        <v>26.422000000000001</v>
      </c>
      <c r="P2078" s="6">
        <v>22</v>
      </c>
      <c r="Q2078" s="4" t="s">
        <v>26</v>
      </c>
      <c r="R2078" s="4">
        <v>0</v>
      </c>
      <c r="S2078" s="4" t="s">
        <v>339</v>
      </c>
      <c r="T2078" s="4" t="s">
        <v>576</v>
      </c>
      <c r="U2078" s="4">
        <v>0</v>
      </c>
      <c r="V2078" s="4">
        <v>39</v>
      </c>
      <c r="W2078" s="4">
        <v>85</v>
      </c>
    </row>
    <row r="2079" spans="1:23" ht="11.25" customHeight="1" x14ac:dyDescent="0.25">
      <c r="A2079" s="4" t="s">
        <v>59</v>
      </c>
      <c r="B2079" s="4" t="s">
        <v>46</v>
      </c>
      <c r="C2079" s="4" t="s">
        <v>23</v>
      </c>
      <c r="D2079" s="4" t="s">
        <v>47</v>
      </c>
      <c r="E2079" s="4" t="s">
        <v>25</v>
      </c>
      <c r="F2079" s="4" t="s">
        <v>25</v>
      </c>
      <c r="G2079" s="4" t="s">
        <v>25</v>
      </c>
      <c r="H2079" s="4" t="s">
        <v>25</v>
      </c>
      <c r="I2079" s="5">
        <v>44470</v>
      </c>
      <c r="J2079" s="6">
        <v>0</v>
      </c>
      <c r="K2079" s="6">
        <v>0</v>
      </c>
      <c r="L2079" s="6">
        <v>1541.1030000000001</v>
      </c>
      <c r="M2079" s="6">
        <v>1541.1030000000001</v>
      </c>
      <c r="N2079" s="6">
        <v>1541.1030000000001</v>
      </c>
      <c r="O2079" s="6">
        <v>1541.1030000000001</v>
      </c>
      <c r="P2079" s="6">
        <v>7366</v>
      </c>
      <c r="Q2079" s="4" t="s">
        <v>26</v>
      </c>
      <c r="R2079" s="4">
        <v>0</v>
      </c>
      <c r="S2079" s="4" t="s">
        <v>340</v>
      </c>
      <c r="T2079" s="4" t="s">
        <v>577</v>
      </c>
      <c r="U2079" s="4">
        <v>0</v>
      </c>
      <c r="V2079" s="4">
        <v>39</v>
      </c>
      <c r="W2079" s="4">
        <v>85</v>
      </c>
    </row>
    <row r="2080" spans="1:23" ht="11.25" customHeight="1" x14ac:dyDescent="0.25">
      <c r="A2080" s="4" t="s">
        <v>59</v>
      </c>
      <c r="B2080" s="4" t="s">
        <v>46</v>
      </c>
      <c r="C2080" s="4" t="s">
        <v>23</v>
      </c>
      <c r="D2080" s="4" t="s">
        <v>47</v>
      </c>
      <c r="E2080" s="4" t="s">
        <v>25</v>
      </c>
      <c r="F2080" s="4" t="s">
        <v>25</v>
      </c>
      <c r="G2080" s="4" t="s">
        <v>25</v>
      </c>
      <c r="H2080" s="4" t="s">
        <v>25</v>
      </c>
      <c r="I2080" s="5">
        <v>44470</v>
      </c>
      <c r="J2080" s="6">
        <v>0</v>
      </c>
      <c r="K2080" s="6">
        <v>0</v>
      </c>
      <c r="L2080" s="6">
        <v>-4.3579999999999997</v>
      </c>
      <c r="M2080" s="6">
        <v>-4.3579999999999997</v>
      </c>
      <c r="N2080" s="6">
        <v>-4.3579999999999997</v>
      </c>
      <c r="O2080" s="6">
        <v>-4.3579999999999997</v>
      </c>
      <c r="P2080" s="6">
        <v>0</v>
      </c>
      <c r="Q2080" s="4" t="s">
        <v>26</v>
      </c>
      <c r="R2080" s="4">
        <v>0</v>
      </c>
      <c r="S2080" s="4" t="s">
        <v>340</v>
      </c>
      <c r="T2080" s="4" t="s">
        <v>577</v>
      </c>
      <c r="U2080" s="4">
        <v>0</v>
      </c>
      <c r="V2080" s="4">
        <v>39</v>
      </c>
      <c r="W2080" s="4">
        <v>85</v>
      </c>
    </row>
    <row r="2081" spans="1:23" ht="11.25" customHeight="1" x14ac:dyDescent="0.25">
      <c r="A2081" s="4" t="s">
        <v>59</v>
      </c>
      <c r="B2081" s="4" t="s">
        <v>46</v>
      </c>
      <c r="C2081" s="4" t="s">
        <v>23</v>
      </c>
      <c r="D2081" s="4" t="s">
        <v>47</v>
      </c>
      <c r="E2081" s="4" t="s">
        <v>25</v>
      </c>
      <c r="F2081" s="4" t="s">
        <v>25</v>
      </c>
      <c r="G2081" s="4" t="s">
        <v>25</v>
      </c>
      <c r="H2081" s="4" t="s">
        <v>25</v>
      </c>
      <c r="I2081" s="5">
        <v>44470</v>
      </c>
      <c r="J2081" s="6">
        <v>0</v>
      </c>
      <c r="K2081" s="6">
        <v>0</v>
      </c>
      <c r="L2081" s="6">
        <v>3986.1239999999998</v>
      </c>
      <c r="M2081" s="6">
        <v>3986.1239999999998</v>
      </c>
      <c r="N2081" s="6">
        <v>3986.1239999999998</v>
      </c>
      <c r="O2081" s="6">
        <v>3986.1239999999998</v>
      </c>
      <c r="P2081" s="6">
        <v>33609</v>
      </c>
      <c r="Q2081" s="4" t="s">
        <v>26</v>
      </c>
      <c r="R2081" s="4">
        <v>0</v>
      </c>
      <c r="S2081" s="4" t="s">
        <v>340</v>
      </c>
      <c r="T2081" s="4" t="s">
        <v>577</v>
      </c>
      <c r="U2081" s="4">
        <v>0</v>
      </c>
      <c r="V2081" s="4">
        <v>39</v>
      </c>
      <c r="W2081" s="4">
        <v>85</v>
      </c>
    </row>
    <row r="2082" spans="1:23" ht="11.25" customHeight="1" x14ac:dyDescent="0.25">
      <c r="A2082" s="4" t="s">
        <v>59</v>
      </c>
      <c r="B2082" s="4" t="s">
        <v>46</v>
      </c>
      <c r="C2082" s="4" t="s">
        <v>23</v>
      </c>
      <c r="D2082" s="4" t="s">
        <v>47</v>
      </c>
      <c r="E2082" s="4" t="s">
        <v>25</v>
      </c>
      <c r="F2082" s="4" t="s">
        <v>25</v>
      </c>
      <c r="G2082" s="4" t="s">
        <v>25</v>
      </c>
      <c r="H2082" s="4" t="s">
        <v>25</v>
      </c>
      <c r="I2082" s="5">
        <v>44470</v>
      </c>
      <c r="J2082" s="6">
        <v>0</v>
      </c>
      <c r="K2082" s="6">
        <v>0</v>
      </c>
      <c r="L2082" s="6">
        <v>-267.721</v>
      </c>
      <c r="M2082" s="6">
        <v>-267.721</v>
      </c>
      <c r="N2082" s="6">
        <v>-267.721</v>
      </c>
      <c r="O2082" s="6">
        <v>-267.721</v>
      </c>
      <c r="P2082" s="6">
        <v>0</v>
      </c>
      <c r="Q2082" s="4" t="s">
        <v>26</v>
      </c>
      <c r="R2082" s="4">
        <v>0</v>
      </c>
      <c r="S2082" s="4" t="s">
        <v>340</v>
      </c>
      <c r="T2082" s="4" t="s">
        <v>577</v>
      </c>
      <c r="U2082" s="4">
        <v>0</v>
      </c>
      <c r="V2082" s="4">
        <v>39</v>
      </c>
      <c r="W2082" s="4">
        <v>85</v>
      </c>
    </row>
    <row r="2083" spans="1:23" ht="11.25" customHeight="1" x14ac:dyDescent="0.25">
      <c r="A2083" s="4" t="s">
        <v>59</v>
      </c>
      <c r="B2083" s="4" t="s">
        <v>46</v>
      </c>
      <c r="C2083" s="4" t="s">
        <v>23</v>
      </c>
      <c r="D2083" s="4" t="s">
        <v>47</v>
      </c>
      <c r="E2083" s="4" t="s">
        <v>25</v>
      </c>
      <c r="F2083" s="4" t="s">
        <v>25</v>
      </c>
      <c r="G2083" s="4" t="s">
        <v>25</v>
      </c>
      <c r="H2083" s="4" t="s">
        <v>25</v>
      </c>
      <c r="I2083" s="5">
        <v>44470</v>
      </c>
      <c r="J2083" s="6">
        <v>0</v>
      </c>
      <c r="K2083" s="6">
        <v>0</v>
      </c>
      <c r="L2083" s="6">
        <v>26.422000000000001</v>
      </c>
      <c r="M2083" s="6">
        <v>26.422000000000001</v>
      </c>
      <c r="N2083" s="6">
        <v>26.422000000000001</v>
      </c>
      <c r="O2083" s="6">
        <v>26.422000000000001</v>
      </c>
      <c r="P2083" s="6">
        <v>22</v>
      </c>
      <c r="Q2083" s="4" t="s">
        <v>26</v>
      </c>
      <c r="R2083" s="4">
        <v>0</v>
      </c>
      <c r="S2083" s="4" t="s">
        <v>340</v>
      </c>
      <c r="T2083" s="4" t="s">
        <v>577</v>
      </c>
      <c r="U2083" s="4">
        <v>0</v>
      </c>
      <c r="V2083" s="4">
        <v>39</v>
      </c>
      <c r="W2083" s="4">
        <v>85</v>
      </c>
    </row>
    <row r="2084" spans="1:23" ht="11.25" customHeight="1" x14ac:dyDescent="0.25">
      <c r="A2084" s="4" t="s">
        <v>21</v>
      </c>
      <c r="B2084" s="4" t="s">
        <v>46</v>
      </c>
      <c r="C2084" s="4" t="s">
        <v>23</v>
      </c>
      <c r="D2084" s="4" t="s">
        <v>47</v>
      </c>
      <c r="E2084" s="4" t="s">
        <v>55</v>
      </c>
      <c r="F2084" s="4" t="s">
        <v>56</v>
      </c>
      <c r="G2084" s="4" t="s">
        <v>25</v>
      </c>
      <c r="H2084" s="4" t="s">
        <v>25</v>
      </c>
      <c r="I2084" s="5">
        <v>44287</v>
      </c>
      <c r="J2084" s="6">
        <v>0</v>
      </c>
      <c r="K2084" s="6">
        <v>0</v>
      </c>
      <c r="L2084" s="6">
        <v>14.785</v>
      </c>
      <c r="M2084" s="6">
        <v>14.785</v>
      </c>
      <c r="N2084" s="6">
        <v>14.785</v>
      </c>
      <c r="O2084" s="6">
        <v>14.785</v>
      </c>
      <c r="P2084" s="6">
        <v>0</v>
      </c>
      <c r="Q2084" s="4" t="s">
        <v>26</v>
      </c>
      <c r="R2084" s="4">
        <v>0</v>
      </c>
      <c r="S2084" s="4" t="s">
        <v>347</v>
      </c>
      <c r="T2084" s="4" t="s">
        <v>584</v>
      </c>
      <c r="U2084" s="4">
        <v>0</v>
      </c>
      <c r="V2084" s="4">
        <v>44</v>
      </c>
      <c r="W2084" s="4">
        <v>90</v>
      </c>
    </row>
    <row r="2085" spans="1:23" ht="11.25" customHeight="1" x14ac:dyDescent="0.25">
      <c r="A2085" s="4" t="s">
        <v>27</v>
      </c>
      <c r="B2085" s="4" t="s">
        <v>46</v>
      </c>
      <c r="C2085" s="4" t="s">
        <v>23</v>
      </c>
      <c r="D2085" s="4" t="s">
        <v>47</v>
      </c>
      <c r="E2085" s="4" t="s">
        <v>55</v>
      </c>
      <c r="F2085" s="4" t="s">
        <v>56</v>
      </c>
      <c r="G2085" s="4" t="s">
        <v>25</v>
      </c>
      <c r="H2085" s="4" t="s">
        <v>25</v>
      </c>
      <c r="I2085" s="5">
        <v>44287</v>
      </c>
      <c r="J2085" s="6">
        <v>0</v>
      </c>
      <c r="K2085" s="6">
        <v>0</v>
      </c>
      <c r="L2085" s="6">
        <v>-0.315</v>
      </c>
      <c r="M2085" s="6">
        <v>-0.315</v>
      </c>
      <c r="N2085" s="6">
        <v>-0.315</v>
      </c>
      <c r="O2085" s="6">
        <v>-0.315</v>
      </c>
      <c r="P2085" s="6">
        <v>0</v>
      </c>
      <c r="Q2085" s="4" t="s">
        <v>26</v>
      </c>
      <c r="R2085" s="4">
        <v>0</v>
      </c>
      <c r="S2085" s="4" t="s">
        <v>347</v>
      </c>
      <c r="T2085" s="4" t="s">
        <v>584</v>
      </c>
      <c r="U2085" s="4">
        <v>0</v>
      </c>
      <c r="V2085" s="4">
        <v>44</v>
      </c>
      <c r="W2085" s="4">
        <v>90</v>
      </c>
    </row>
    <row r="2086" spans="1:23" ht="11.25" customHeight="1" x14ac:dyDescent="0.25">
      <c r="A2086" s="4" t="s">
        <v>21</v>
      </c>
      <c r="B2086" s="4" t="s">
        <v>46</v>
      </c>
      <c r="C2086" s="4" t="s">
        <v>23</v>
      </c>
      <c r="D2086" s="4" t="s">
        <v>47</v>
      </c>
      <c r="E2086" s="4" t="s">
        <v>55</v>
      </c>
      <c r="F2086" s="4" t="s">
        <v>57</v>
      </c>
      <c r="G2086" s="4" t="s">
        <v>25</v>
      </c>
      <c r="H2086" s="4" t="s">
        <v>25</v>
      </c>
      <c r="I2086" s="5">
        <v>44287</v>
      </c>
      <c r="J2086" s="6">
        <v>0</v>
      </c>
      <c r="K2086" s="6">
        <v>0</v>
      </c>
      <c r="L2086" s="6">
        <v>6.5570000000000004</v>
      </c>
      <c r="M2086" s="6">
        <v>1.7703899999999999</v>
      </c>
      <c r="N2086" s="6">
        <v>6.5570000000000004</v>
      </c>
      <c r="O2086" s="6">
        <v>1.7703899999999999</v>
      </c>
      <c r="P2086" s="6">
        <v>0</v>
      </c>
      <c r="Q2086" s="4" t="s">
        <v>26</v>
      </c>
      <c r="R2086" s="4">
        <v>0</v>
      </c>
      <c r="S2086" s="4" t="s">
        <v>347</v>
      </c>
      <c r="T2086" s="4" t="s">
        <v>584</v>
      </c>
      <c r="U2086" s="4">
        <v>0</v>
      </c>
      <c r="V2086" s="4">
        <v>44</v>
      </c>
      <c r="W2086" s="4">
        <v>90</v>
      </c>
    </row>
    <row r="2087" spans="1:23" ht="11.25" customHeight="1" x14ac:dyDescent="0.25">
      <c r="A2087" s="4" t="s">
        <v>27</v>
      </c>
      <c r="B2087" s="4" t="s">
        <v>46</v>
      </c>
      <c r="C2087" s="4" t="s">
        <v>23</v>
      </c>
      <c r="D2087" s="4" t="s">
        <v>47</v>
      </c>
      <c r="E2087" s="4" t="s">
        <v>55</v>
      </c>
      <c r="F2087" s="4" t="s">
        <v>57</v>
      </c>
      <c r="G2087" s="4" t="s">
        <v>25</v>
      </c>
      <c r="H2087" s="4" t="s">
        <v>25</v>
      </c>
      <c r="I2087" s="5">
        <v>44287</v>
      </c>
      <c r="J2087" s="6">
        <v>0</v>
      </c>
      <c r="K2087" s="6">
        <v>0</v>
      </c>
      <c r="L2087" s="6">
        <v>5.4850000000000003</v>
      </c>
      <c r="M2087" s="6">
        <v>1.48095</v>
      </c>
      <c r="N2087" s="6">
        <v>5.4850000000000003</v>
      </c>
      <c r="O2087" s="6">
        <v>1.48095</v>
      </c>
      <c r="P2087" s="6">
        <v>0</v>
      </c>
      <c r="Q2087" s="4" t="s">
        <v>26</v>
      </c>
      <c r="R2087" s="4">
        <v>0</v>
      </c>
      <c r="S2087" s="4" t="s">
        <v>347</v>
      </c>
      <c r="T2087" s="4" t="s">
        <v>584</v>
      </c>
      <c r="U2087" s="4">
        <v>0</v>
      </c>
      <c r="V2087" s="4">
        <v>44</v>
      </c>
      <c r="W2087" s="4">
        <v>90</v>
      </c>
    </row>
    <row r="2088" spans="1:23" ht="11.25" customHeight="1" x14ac:dyDescent="0.25">
      <c r="A2088" s="4" t="s">
        <v>21</v>
      </c>
      <c r="B2088" s="4" t="s">
        <v>41</v>
      </c>
      <c r="C2088" s="4" t="s">
        <v>39</v>
      </c>
      <c r="D2088" s="4" t="s">
        <v>45</v>
      </c>
      <c r="E2088" s="4" t="s">
        <v>25</v>
      </c>
      <c r="F2088" s="4" t="s">
        <v>25</v>
      </c>
      <c r="G2088" s="4" t="s">
        <v>25</v>
      </c>
      <c r="H2088" s="4" t="s">
        <v>38</v>
      </c>
      <c r="I2088" s="5">
        <v>44136</v>
      </c>
      <c r="J2088" s="6">
        <v>0</v>
      </c>
      <c r="K2088" s="6">
        <v>0</v>
      </c>
      <c r="L2088" s="6">
        <v>107.41800000000001</v>
      </c>
      <c r="M2088" s="6">
        <v>107.41800000000001</v>
      </c>
      <c r="N2088" s="6">
        <v>107.41800000000001</v>
      </c>
      <c r="O2088" s="6">
        <v>107.41800000000001</v>
      </c>
      <c r="P2088" s="6">
        <v>0</v>
      </c>
      <c r="Q2088" s="4" t="s">
        <v>26</v>
      </c>
      <c r="R2088" s="4">
        <v>0</v>
      </c>
      <c r="S2088" s="4" t="s">
        <v>348</v>
      </c>
      <c r="T2088" s="4" t="s">
        <v>585</v>
      </c>
      <c r="U2088" s="4">
        <v>0</v>
      </c>
      <c r="V2088" s="4">
        <v>71</v>
      </c>
      <c r="W2088" s="4">
        <v>77</v>
      </c>
    </row>
    <row r="2089" spans="1:23" ht="11.25" customHeight="1" x14ac:dyDescent="0.25">
      <c r="A2089" s="4" t="s">
        <v>27</v>
      </c>
      <c r="B2089" s="4" t="s">
        <v>41</v>
      </c>
      <c r="C2089" s="4" t="s">
        <v>39</v>
      </c>
      <c r="D2089" s="4" t="s">
        <v>45</v>
      </c>
      <c r="E2089" s="4" t="s">
        <v>25</v>
      </c>
      <c r="F2089" s="4" t="s">
        <v>25</v>
      </c>
      <c r="G2089" s="4" t="s">
        <v>25</v>
      </c>
      <c r="H2089" s="4" t="s">
        <v>38</v>
      </c>
      <c r="I2089" s="5">
        <v>44136</v>
      </c>
      <c r="J2089" s="6">
        <v>0</v>
      </c>
      <c r="K2089" s="6">
        <v>0</v>
      </c>
      <c r="L2089" s="6">
        <v>-0.77400000000000002</v>
      </c>
      <c r="M2089" s="6">
        <v>-0.77400000000000002</v>
      </c>
      <c r="N2089" s="6">
        <v>-0.77400000000000002</v>
      </c>
      <c r="O2089" s="6">
        <v>-0.77400000000000002</v>
      </c>
      <c r="P2089" s="6">
        <v>0</v>
      </c>
      <c r="Q2089" s="4" t="s">
        <v>26</v>
      </c>
      <c r="R2089" s="4">
        <v>0</v>
      </c>
      <c r="S2089" s="4" t="s">
        <v>348</v>
      </c>
      <c r="T2089" s="4" t="s">
        <v>585</v>
      </c>
      <c r="U2089" s="4">
        <v>0</v>
      </c>
      <c r="V2089" s="4">
        <v>71</v>
      </c>
      <c r="W2089" s="4">
        <v>77</v>
      </c>
    </row>
    <row r="2090" spans="1:23" ht="11.25" customHeight="1" x14ac:dyDescent="0.25">
      <c r="A2090" s="4" t="s">
        <v>28</v>
      </c>
      <c r="B2090" s="4" t="s">
        <v>41</v>
      </c>
      <c r="C2090" s="4" t="s">
        <v>39</v>
      </c>
      <c r="D2090" s="4" t="s">
        <v>45</v>
      </c>
      <c r="E2090" s="4" t="s">
        <v>25</v>
      </c>
      <c r="F2090" s="4" t="s">
        <v>25</v>
      </c>
      <c r="G2090" s="4" t="s">
        <v>25</v>
      </c>
      <c r="H2090" s="4" t="s">
        <v>38</v>
      </c>
      <c r="I2090" s="5">
        <v>44136</v>
      </c>
      <c r="J2090" s="6">
        <v>0</v>
      </c>
      <c r="K2090" s="6">
        <v>0</v>
      </c>
      <c r="L2090" s="6">
        <v>57.055999999999997</v>
      </c>
      <c r="M2090" s="6">
        <v>57.055999999999997</v>
      </c>
      <c r="N2090" s="6">
        <v>57.055999999999997</v>
      </c>
      <c r="O2090" s="6">
        <v>57.055999999999997</v>
      </c>
      <c r="P2090" s="6">
        <v>0</v>
      </c>
      <c r="Q2090" s="4" t="s">
        <v>26</v>
      </c>
      <c r="R2090" s="4">
        <v>0</v>
      </c>
      <c r="S2090" s="4" t="s">
        <v>348</v>
      </c>
      <c r="T2090" s="4" t="s">
        <v>585</v>
      </c>
      <c r="U2090" s="4">
        <v>0</v>
      </c>
      <c r="V2090" s="4">
        <v>71</v>
      </c>
      <c r="W2090" s="4">
        <v>77</v>
      </c>
    </row>
    <row r="2091" spans="1:23" ht="11.25" customHeight="1" x14ac:dyDescent="0.25">
      <c r="A2091" s="4" t="s">
        <v>21</v>
      </c>
      <c r="B2091" s="4" t="s">
        <v>41</v>
      </c>
      <c r="C2091" s="4" t="s">
        <v>39</v>
      </c>
      <c r="D2091" s="4" t="s">
        <v>45</v>
      </c>
      <c r="E2091" s="4" t="s">
        <v>25</v>
      </c>
      <c r="F2091" s="4" t="s">
        <v>25</v>
      </c>
      <c r="G2091" s="4" t="s">
        <v>25</v>
      </c>
      <c r="H2091" s="4" t="s">
        <v>38</v>
      </c>
      <c r="I2091" s="5">
        <v>44166</v>
      </c>
      <c r="J2091" s="6">
        <v>0</v>
      </c>
      <c r="K2091" s="6">
        <v>0</v>
      </c>
      <c r="L2091" s="6">
        <v>103.849</v>
      </c>
      <c r="M2091" s="6">
        <v>103.849</v>
      </c>
      <c r="N2091" s="6">
        <v>103.849</v>
      </c>
      <c r="O2091" s="6">
        <v>103.849</v>
      </c>
      <c r="P2091" s="6">
        <v>0</v>
      </c>
      <c r="Q2091" s="4" t="s">
        <v>26</v>
      </c>
      <c r="R2091" s="4">
        <v>0</v>
      </c>
      <c r="S2091" s="4" t="s">
        <v>349</v>
      </c>
      <c r="T2091" s="4" t="s">
        <v>586</v>
      </c>
      <c r="U2091" s="4">
        <v>0</v>
      </c>
      <c r="V2091" s="4">
        <v>71</v>
      </c>
      <c r="W2091" s="4">
        <v>77</v>
      </c>
    </row>
    <row r="2092" spans="1:23" ht="11.25" customHeight="1" x14ac:dyDescent="0.25">
      <c r="A2092" s="4" t="s">
        <v>28</v>
      </c>
      <c r="B2092" s="4" t="s">
        <v>41</v>
      </c>
      <c r="C2092" s="4" t="s">
        <v>39</v>
      </c>
      <c r="D2092" s="4" t="s">
        <v>45</v>
      </c>
      <c r="E2092" s="4" t="s">
        <v>25</v>
      </c>
      <c r="F2092" s="4" t="s">
        <v>25</v>
      </c>
      <c r="G2092" s="4" t="s">
        <v>25</v>
      </c>
      <c r="H2092" s="4" t="s">
        <v>38</v>
      </c>
      <c r="I2092" s="5">
        <v>44166</v>
      </c>
      <c r="J2092" s="6">
        <v>0</v>
      </c>
      <c r="K2092" s="6">
        <v>0</v>
      </c>
      <c r="L2092" s="6">
        <v>58.122</v>
      </c>
      <c r="M2092" s="6">
        <v>58.122</v>
      </c>
      <c r="N2092" s="6">
        <v>58.122</v>
      </c>
      <c r="O2092" s="6">
        <v>58.122</v>
      </c>
      <c r="P2092" s="6">
        <v>0</v>
      </c>
      <c r="Q2092" s="4" t="s">
        <v>26</v>
      </c>
      <c r="R2092" s="4">
        <v>0</v>
      </c>
      <c r="S2092" s="4" t="s">
        <v>349</v>
      </c>
      <c r="T2092" s="4" t="s">
        <v>586</v>
      </c>
      <c r="U2092" s="4">
        <v>0</v>
      </c>
      <c r="V2092" s="4">
        <v>71</v>
      </c>
      <c r="W2092" s="4">
        <v>77</v>
      </c>
    </row>
    <row r="2093" spans="1:23" ht="11.25" customHeight="1" x14ac:dyDescent="0.25">
      <c r="A2093" s="4" t="s">
        <v>21</v>
      </c>
      <c r="B2093" s="4" t="s">
        <v>41</v>
      </c>
      <c r="C2093" s="4" t="s">
        <v>39</v>
      </c>
      <c r="D2093" s="4" t="s">
        <v>45</v>
      </c>
      <c r="E2093" s="4" t="s">
        <v>25</v>
      </c>
      <c r="F2093" s="4" t="s">
        <v>25</v>
      </c>
      <c r="G2093" s="4" t="s">
        <v>25</v>
      </c>
      <c r="H2093" s="4" t="s">
        <v>38</v>
      </c>
      <c r="I2093" s="5">
        <v>44197</v>
      </c>
      <c r="J2093" s="6">
        <v>0</v>
      </c>
      <c r="K2093" s="6">
        <v>0</v>
      </c>
      <c r="L2093" s="6">
        <v>91.421000000000006</v>
      </c>
      <c r="M2093" s="6">
        <v>91.421000000000006</v>
      </c>
      <c r="N2093" s="6">
        <v>91.421000000000006</v>
      </c>
      <c r="O2093" s="6">
        <v>91.421000000000006</v>
      </c>
      <c r="P2093" s="6">
        <v>0</v>
      </c>
      <c r="Q2093" s="4" t="s">
        <v>26</v>
      </c>
      <c r="R2093" s="4">
        <v>0</v>
      </c>
      <c r="S2093" s="4" t="s">
        <v>350</v>
      </c>
      <c r="T2093" s="4" t="s">
        <v>587</v>
      </c>
      <c r="U2093" s="4">
        <v>0</v>
      </c>
      <c r="V2093" s="4">
        <v>71</v>
      </c>
      <c r="W2093" s="4">
        <v>77</v>
      </c>
    </row>
    <row r="2094" spans="1:23" ht="11.25" customHeight="1" x14ac:dyDescent="0.25">
      <c r="A2094" s="4" t="s">
        <v>27</v>
      </c>
      <c r="B2094" s="4" t="s">
        <v>41</v>
      </c>
      <c r="C2094" s="4" t="s">
        <v>39</v>
      </c>
      <c r="D2094" s="4" t="s">
        <v>45</v>
      </c>
      <c r="E2094" s="4" t="s">
        <v>25</v>
      </c>
      <c r="F2094" s="4" t="s">
        <v>25</v>
      </c>
      <c r="G2094" s="4" t="s">
        <v>25</v>
      </c>
      <c r="H2094" s="4" t="s">
        <v>38</v>
      </c>
      <c r="I2094" s="5">
        <v>44197</v>
      </c>
      <c r="J2094" s="6">
        <v>0</v>
      </c>
      <c r="K2094" s="6">
        <v>0</v>
      </c>
      <c r="L2094" s="6">
        <v>1.151</v>
      </c>
      <c r="M2094" s="6">
        <v>1.151</v>
      </c>
      <c r="N2094" s="6">
        <v>1.151</v>
      </c>
      <c r="O2094" s="6">
        <v>1.151</v>
      </c>
      <c r="P2094" s="6">
        <v>0</v>
      </c>
      <c r="Q2094" s="4" t="s">
        <v>26</v>
      </c>
      <c r="R2094" s="4">
        <v>0</v>
      </c>
      <c r="S2094" s="4" t="s">
        <v>350</v>
      </c>
      <c r="T2094" s="4" t="s">
        <v>587</v>
      </c>
      <c r="U2094" s="4">
        <v>0</v>
      </c>
      <c r="V2094" s="4">
        <v>71</v>
      </c>
      <c r="W2094" s="4">
        <v>77</v>
      </c>
    </row>
    <row r="2095" spans="1:23" ht="11.25" customHeight="1" x14ac:dyDescent="0.25">
      <c r="A2095" s="4" t="s">
        <v>28</v>
      </c>
      <c r="B2095" s="4" t="s">
        <v>41</v>
      </c>
      <c r="C2095" s="4" t="s">
        <v>39</v>
      </c>
      <c r="D2095" s="4" t="s">
        <v>45</v>
      </c>
      <c r="E2095" s="4" t="s">
        <v>25</v>
      </c>
      <c r="F2095" s="4" t="s">
        <v>25</v>
      </c>
      <c r="G2095" s="4" t="s">
        <v>25</v>
      </c>
      <c r="H2095" s="4" t="s">
        <v>38</v>
      </c>
      <c r="I2095" s="5">
        <v>44197</v>
      </c>
      <c r="J2095" s="6">
        <v>0</v>
      </c>
      <c r="K2095" s="6">
        <v>0</v>
      </c>
      <c r="L2095" s="6">
        <v>50.509</v>
      </c>
      <c r="M2095" s="6">
        <v>50.509</v>
      </c>
      <c r="N2095" s="6">
        <v>50.509</v>
      </c>
      <c r="O2095" s="6">
        <v>50.509</v>
      </c>
      <c r="P2095" s="6">
        <v>0</v>
      </c>
      <c r="Q2095" s="4" t="s">
        <v>26</v>
      </c>
      <c r="R2095" s="4">
        <v>0</v>
      </c>
      <c r="S2095" s="4" t="s">
        <v>350</v>
      </c>
      <c r="T2095" s="4" t="s">
        <v>587</v>
      </c>
      <c r="U2095" s="4">
        <v>0</v>
      </c>
      <c r="V2095" s="4">
        <v>71</v>
      </c>
      <c r="W2095" s="4">
        <v>77</v>
      </c>
    </row>
    <row r="2096" spans="1:23" ht="11.25" customHeight="1" x14ac:dyDescent="0.25">
      <c r="A2096" s="4" t="s">
        <v>21</v>
      </c>
      <c r="B2096" s="4" t="s">
        <v>41</v>
      </c>
      <c r="C2096" s="4" t="s">
        <v>39</v>
      </c>
      <c r="D2096" s="4" t="s">
        <v>45</v>
      </c>
      <c r="E2096" s="4" t="s">
        <v>25</v>
      </c>
      <c r="F2096" s="4" t="s">
        <v>25</v>
      </c>
      <c r="G2096" s="4" t="s">
        <v>25</v>
      </c>
      <c r="H2096" s="4" t="s">
        <v>38</v>
      </c>
      <c r="I2096" s="5">
        <v>44228</v>
      </c>
      <c r="J2096" s="6">
        <v>0</v>
      </c>
      <c r="K2096" s="6">
        <v>0</v>
      </c>
      <c r="L2096" s="6">
        <v>83.385999999999996</v>
      </c>
      <c r="M2096" s="6">
        <v>83.385999999999996</v>
      </c>
      <c r="N2096" s="6">
        <v>83.385999999999996</v>
      </c>
      <c r="O2096" s="6">
        <v>83.385999999999996</v>
      </c>
      <c r="P2096" s="6">
        <v>0</v>
      </c>
      <c r="Q2096" s="4" t="s">
        <v>26</v>
      </c>
      <c r="R2096" s="4">
        <v>0</v>
      </c>
      <c r="S2096" s="4" t="s">
        <v>351</v>
      </c>
      <c r="T2096" s="4" t="s">
        <v>588</v>
      </c>
      <c r="U2096" s="4">
        <v>0</v>
      </c>
      <c r="V2096" s="4">
        <v>71</v>
      </c>
      <c r="W2096" s="4">
        <v>77</v>
      </c>
    </row>
    <row r="2097" spans="1:23" ht="11.25" customHeight="1" x14ac:dyDescent="0.25">
      <c r="A2097" s="4" t="s">
        <v>27</v>
      </c>
      <c r="B2097" s="4" t="s">
        <v>41</v>
      </c>
      <c r="C2097" s="4" t="s">
        <v>39</v>
      </c>
      <c r="D2097" s="4" t="s">
        <v>45</v>
      </c>
      <c r="E2097" s="4" t="s">
        <v>25</v>
      </c>
      <c r="F2097" s="4" t="s">
        <v>25</v>
      </c>
      <c r="G2097" s="4" t="s">
        <v>25</v>
      </c>
      <c r="H2097" s="4" t="s">
        <v>38</v>
      </c>
      <c r="I2097" s="5">
        <v>44228</v>
      </c>
      <c r="J2097" s="6">
        <v>0</v>
      </c>
      <c r="K2097" s="6">
        <v>0</v>
      </c>
      <c r="L2097" s="6">
        <v>3.8540000000000001</v>
      </c>
      <c r="M2097" s="6">
        <v>3.8540000000000001</v>
      </c>
      <c r="N2097" s="6">
        <v>3.8540000000000001</v>
      </c>
      <c r="O2097" s="6">
        <v>3.8540000000000001</v>
      </c>
      <c r="P2097" s="6">
        <v>0</v>
      </c>
      <c r="Q2097" s="4" t="s">
        <v>26</v>
      </c>
      <c r="R2097" s="4">
        <v>0</v>
      </c>
      <c r="S2097" s="4" t="s">
        <v>351</v>
      </c>
      <c r="T2097" s="4" t="s">
        <v>588</v>
      </c>
      <c r="U2097" s="4">
        <v>0</v>
      </c>
      <c r="V2097" s="4">
        <v>71</v>
      </c>
      <c r="W2097" s="4">
        <v>77</v>
      </c>
    </row>
    <row r="2098" spans="1:23" ht="11.25" customHeight="1" x14ac:dyDescent="0.25">
      <c r="A2098" s="4" t="s">
        <v>28</v>
      </c>
      <c r="B2098" s="4" t="s">
        <v>41</v>
      </c>
      <c r="C2098" s="4" t="s">
        <v>39</v>
      </c>
      <c r="D2098" s="4" t="s">
        <v>45</v>
      </c>
      <c r="E2098" s="4" t="s">
        <v>25</v>
      </c>
      <c r="F2098" s="4" t="s">
        <v>25</v>
      </c>
      <c r="G2098" s="4" t="s">
        <v>25</v>
      </c>
      <c r="H2098" s="4" t="s">
        <v>38</v>
      </c>
      <c r="I2098" s="5">
        <v>44228</v>
      </c>
      <c r="J2098" s="6">
        <v>0</v>
      </c>
      <c r="K2098" s="6">
        <v>0</v>
      </c>
      <c r="L2098" s="6">
        <v>52.39</v>
      </c>
      <c r="M2098" s="6">
        <v>52.39</v>
      </c>
      <c r="N2098" s="6">
        <v>52.39</v>
      </c>
      <c r="O2098" s="6">
        <v>52.39</v>
      </c>
      <c r="P2098" s="6">
        <v>0</v>
      </c>
      <c r="Q2098" s="4" t="s">
        <v>26</v>
      </c>
      <c r="R2098" s="4">
        <v>0</v>
      </c>
      <c r="S2098" s="4" t="s">
        <v>351</v>
      </c>
      <c r="T2098" s="4" t="s">
        <v>588</v>
      </c>
      <c r="U2098" s="4">
        <v>0</v>
      </c>
      <c r="V2098" s="4">
        <v>71</v>
      </c>
      <c r="W2098" s="4">
        <v>77</v>
      </c>
    </row>
    <row r="2099" spans="1:23" ht="11.25" customHeight="1" x14ac:dyDescent="0.25">
      <c r="A2099" s="4" t="s">
        <v>21</v>
      </c>
      <c r="B2099" s="4" t="s">
        <v>41</v>
      </c>
      <c r="C2099" s="4" t="s">
        <v>39</v>
      </c>
      <c r="D2099" s="4" t="s">
        <v>45</v>
      </c>
      <c r="E2099" s="4" t="s">
        <v>25</v>
      </c>
      <c r="F2099" s="4" t="s">
        <v>25</v>
      </c>
      <c r="G2099" s="4" t="s">
        <v>25</v>
      </c>
      <c r="H2099" s="4" t="s">
        <v>38</v>
      </c>
      <c r="I2099" s="5">
        <v>44256</v>
      </c>
      <c r="J2099" s="6">
        <v>0</v>
      </c>
      <c r="K2099" s="6">
        <v>0</v>
      </c>
      <c r="L2099" s="6">
        <v>104.04</v>
      </c>
      <c r="M2099" s="6">
        <v>104.04</v>
      </c>
      <c r="N2099" s="6">
        <v>104.04</v>
      </c>
      <c r="O2099" s="6">
        <v>104.04</v>
      </c>
      <c r="P2099" s="6">
        <v>0</v>
      </c>
      <c r="Q2099" s="4" t="s">
        <v>26</v>
      </c>
      <c r="R2099" s="4">
        <v>0</v>
      </c>
      <c r="S2099" s="4" t="s">
        <v>352</v>
      </c>
      <c r="T2099" s="4" t="s">
        <v>589</v>
      </c>
      <c r="U2099" s="4">
        <v>0</v>
      </c>
      <c r="V2099" s="4">
        <v>71</v>
      </c>
      <c r="W2099" s="4">
        <v>77</v>
      </c>
    </row>
    <row r="2100" spans="1:23" ht="11.25" customHeight="1" x14ac:dyDescent="0.25">
      <c r="A2100" s="4" t="s">
        <v>27</v>
      </c>
      <c r="B2100" s="4" t="s">
        <v>41</v>
      </c>
      <c r="C2100" s="4" t="s">
        <v>39</v>
      </c>
      <c r="D2100" s="4" t="s">
        <v>45</v>
      </c>
      <c r="E2100" s="4" t="s">
        <v>25</v>
      </c>
      <c r="F2100" s="4" t="s">
        <v>25</v>
      </c>
      <c r="G2100" s="4" t="s">
        <v>25</v>
      </c>
      <c r="H2100" s="4" t="s">
        <v>38</v>
      </c>
      <c r="I2100" s="5">
        <v>44256</v>
      </c>
      <c r="J2100" s="6">
        <v>0</v>
      </c>
      <c r="K2100" s="6">
        <v>0</v>
      </c>
      <c r="L2100" s="6">
        <v>-0.41099999999999998</v>
      </c>
      <c r="M2100" s="6">
        <v>-0.41099999999999998</v>
      </c>
      <c r="N2100" s="6">
        <v>-0.41099999999999998</v>
      </c>
      <c r="O2100" s="6">
        <v>-0.41099999999999998</v>
      </c>
      <c r="P2100" s="6">
        <v>0</v>
      </c>
      <c r="Q2100" s="4" t="s">
        <v>26</v>
      </c>
      <c r="R2100" s="4">
        <v>0</v>
      </c>
      <c r="S2100" s="4" t="s">
        <v>352</v>
      </c>
      <c r="T2100" s="4" t="s">
        <v>589</v>
      </c>
      <c r="U2100" s="4">
        <v>0</v>
      </c>
      <c r="V2100" s="4">
        <v>71</v>
      </c>
      <c r="W2100" s="4">
        <v>77</v>
      </c>
    </row>
    <row r="2101" spans="1:23" ht="11.25" customHeight="1" x14ac:dyDescent="0.25">
      <c r="A2101" s="4" t="s">
        <v>28</v>
      </c>
      <c r="B2101" s="4" t="s">
        <v>41</v>
      </c>
      <c r="C2101" s="4" t="s">
        <v>39</v>
      </c>
      <c r="D2101" s="4" t="s">
        <v>45</v>
      </c>
      <c r="E2101" s="4" t="s">
        <v>25</v>
      </c>
      <c r="F2101" s="4" t="s">
        <v>25</v>
      </c>
      <c r="G2101" s="4" t="s">
        <v>25</v>
      </c>
      <c r="H2101" s="4" t="s">
        <v>38</v>
      </c>
      <c r="I2101" s="5">
        <v>44256</v>
      </c>
      <c r="J2101" s="6">
        <v>0</v>
      </c>
      <c r="K2101" s="6">
        <v>0</v>
      </c>
      <c r="L2101" s="6">
        <v>51.725999999999999</v>
      </c>
      <c r="M2101" s="6">
        <v>51.725999999999999</v>
      </c>
      <c r="N2101" s="6">
        <v>51.725999999999999</v>
      </c>
      <c r="O2101" s="6">
        <v>51.725999999999999</v>
      </c>
      <c r="P2101" s="6">
        <v>0</v>
      </c>
      <c r="Q2101" s="4" t="s">
        <v>26</v>
      </c>
      <c r="R2101" s="4">
        <v>0</v>
      </c>
      <c r="S2101" s="4" t="s">
        <v>352</v>
      </c>
      <c r="T2101" s="4" t="s">
        <v>589</v>
      </c>
      <c r="U2101" s="4">
        <v>0</v>
      </c>
      <c r="V2101" s="4">
        <v>71</v>
      </c>
      <c r="W2101" s="4">
        <v>77</v>
      </c>
    </row>
    <row r="2102" spans="1:23" ht="11.25" customHeight="1" x14ac:dyDescent="0.25">
      <c r="A2102" s="4" t="s">
        <v>29</v>
      </c>
      <c r="B2102" s="4" t="s">
        <v>41</v>
      </c>
      <c r="C2102" s="4" t="s">
        <v>39</v>
      </c>
      <c r="D2102" s="4" t="s">
        <v>45</v>
      </c>
      <c r="E2102" s="4" t="s">
        <v>25</v>
      </c>
      <c r="F2102" s="4" t="s">
        <v>25</v>
      </c>
      <c r="G2102" s="4" t="s">
        <v>25</v>
      </c>
      <c r="H2102" s="4" t="s">
        <v>38</v>
      </c>
      <c r="I2102" s="5">
        <v>44256</v>
      </c>
      <c r="J2102" s="6">
        <v>0</v>
      </c>
      <c r="K2102" s="6">
        <v>0</v>
      </c>
      <c r="L2102" s="6">
        <v>-3.3220000000000001</v>
      </c>
      <c r="M2102" s="6">
        <v>-3.3220000000000001</v>
      </c>
      <c r="N2102" s="6">
        <v>-3.3220000000000001</v>
      </c>
      <c r="O2102" s="6">
        <v>-3.3220000000000001</v>
      </c>
      <c r="P2102" s="6">
        <v>0</v>
      </c>
      <c r="Q2102" s="4" t="s">
        <v>26</v>
      </c>
      <c r="R2102" s="4">
        <v>0</v>
      </c>
      <c r="S2102" s="4" t="s">
        <v>352</v>
      </c>
      <c r="T2102" s="4" t="s">
        <v>589</v>
      </c>
      <c r="U2102" s="4">
        <v>0</v>
      </c>
      <c r="V2102" s="4">
        <v>71</v>
      </c>
      <c r="W2102" s="4">
        <v>77</v>
      </c>
    </row>
    <row r="2103" spans="1:23" ht="11.25" customHeight="1" x14ac:dyDescent="0.25">
      <c r="A2103" s="4" t="s">
        <v>21</v>
      </c>
      <c r="B2103" s="4" t="s">
        <v>41</v>
      </c>
      <c r="C2103" s="4" t="s">
        <v>39</v>
      </c>
      <c r="D2103" s="4" t="s">
        <v>45</v>
      </c>
      <c r="E2103" s="4" t="s">
        <v>25</v>
      </c>
      <c r="F2103" s="4" t="s">
        <v>25</v>
      </c>
      <c r="G2103" s="4" t="s">
        <v>25</v>
      </c>
      <c r="H2103" s="4" t="s">
        <v>38</v>
      </c>
      <c r="I2103" s="5">
        <v>44287</v>
      </c>
      <c r="J2103" s="6">
        <v>0</v>
      </c>
      <c r="K2103" s="6">
        <v>0</v>
      </c>
      <c r="L2103" s="6">
        <v>100.50700000000001</v>
      </c>
      <c r="M2103" s="6">
        <v>100.50700000000001</v>
      </c>
      <c r="N2103" s="6">
        <v>100.50700000000001</v>
      </c>
      <c r="O2103" s="6">
        <v>100.50700000000001</v>
      </c>
      <c r="P2103" s="6">
        <v>0</v>
      </c>
      <c r="Q2103" s="4" t="s">
        <v>26</v>
      </c>
      <c r="R2103" s="4">
        <v>0</v>
      </c>
      <c r="S2103" s="4" t="s">
        <v>353</v>
      </c>
      <c r="T2103" s="4" t="s">
        <v>590</v>
      </c>
      <c r="U2103" s="4">
        <v>0</v>
      </c>
      <c r="V2103" s="4">
        <v>71</v>
      </c>
      <c r="W2103" s="4">
        <v>77</v>
      </c>
    </row>
    <row r="2104" spans="1:23" ht="11.25" customHeight="1" x14ac:dyDescent="0.25">
      <c r="A2104" s="4" t="s">
        <v>28</v>
      </c>
      <c r="B2104" s="4" t="s">
        <v>41</v>
      </c>
      <c r="C2104" s="4" t="s">
        <v>39</v>
      </c>
      <c r="D2104" s="4" t="s">
        <v>45</v>
      </c>
      <c r="E2104" s="4" t="s">
        <v>25</v>
      </c>
      <c r="F2104" s="4" t="s">
        <v>25</v>
      </c>
      <c r="G2104" s="4" t="s">
        <v>25</v>
      </c>
      <c r="H2104" s="4" t="s">
        <v>38</v>
      </c>
      <c r="I2104" s="5">
        <v>44287</v>
      </c>
      <c r="J2104" s="6">
        <v>0</v>
      </c>
      <c r="K2104" s="6">
        <v>0</v>
      </c>
      <c r="L2104" s="6">
        <v>57.088000000000001</v>
      </c>
      <c r="M2104" s="6">
        <v>57.088000000000001</v>
      </c>
      <c r="N2104" s="6">
        <v>57.088000000000001</v>
      </c>
      <c r="O2104" s="6">
        <v>57.088000000000001</v>
      </c>
      <c r="P2104" s="6">
        <v>0</v>
      </c>
      <c r="Q2104" s="4" t="s">
        <v>26</v>
      </c>
      <c r="R2104" s="4">
        <v>0</v>
      </c>
      <c r="S2104" s="4" t="s">
        <v>353</v>
      </c>
      <c r="T2104" s="4" t="s">
        <v>590</v>
      </c>
      <c r="U2104" s="4">
        <v>0</v>
      </c>
      <c r="V2104" s="4">
        <v>71</v>
      </c>
      <c r="W2104" s="4">
        <v>77</v>
      </c>
    </row>
    <row r="2105" spans="1:23" ht="11.25" customHeight="1" x14ac:dyDescent="0.25">
      <c r="A2105" s="4" t="s">
        <v>21</v>
      </c>
      <c r="B2105" s="4" t="s">
        <v>41</v>
      </c>
      <c r="C2105" s="4" t="s">
        <v>39</v>
      </c>
      <c r="D2105" s="4" t="s">
        <v>45</v>
      </c>
      <c r="E2105" s="4" t="s">
        <v>25</v>
      </c>
      <c r="F2105" s="4" t="s">
        <v>25</v>
      </c>
      <c r="G2105" s="4" t="s">
        <v>25</v>
      </c>
      <c r="H2105" s="4" t="s">
        <v>38</v>
      </c>
      <c r="I2105" s="5">
        <v>44317</v>
      </c>
      <c r="J2105" s="6">
        <v>0</v>
      </c>
      <c r="K2105" s="6">
        <v>0</v>
      </c>
      <c r="L2105" s="6">
        <v>106.884</v>
      </c>
      <c r="M2105" s="6">
        <v>106.884</v>
      </c>
      <c r="N2105" s="6">
        <v>106.884</v>
      </c>
      <c r="O2105" s="6">
        <v>106.884</v>
      </c>
      <c r="P2105" s="6">
        <v>0</v>
      </c>
      <c r="Q2105" s="4" t="s">
        <v>26</v>
      </c>
      <c r="R2105" s="4">
        <v>0</v>
      </c>
      <c r="S2105" s="4" t="s">
        <v>354</v>
      </c>
      <c r="T2105" s="4" t="s">
        <v>591</v>
      </c>
      <c r="U2105" s="4">
        <v>0</v>
      </c>
      <c r="V2105" s="4">
        <v>71</v>
      </c>
      <c r="W2105" s="4">
        <v>77</v>
      </c>
    </row>
    <row r="2106" spans="1:23" ht="11.25" customHeight="1" x14ac:dyDescent="0.25">
      <c r="A2106" s="4" t="s">
        <v>28</v>
      </c>
      <c r="B2106" s="4" t="s">
        <v>41</v>
      </c>
      <c r="C2106" s="4" t="s">
        <v>39</v>
      </c>
      <c r="D2106" s="4" t="s">
        <v>45</v>
      </c>
      <c r="E2106" s="4" t="s">
        <v>25</v>
      </c>
      <c r="F2106" s="4" t="s">
        <v>25</v>
      </c>
      <c r="G2106" s="4" t="s">
        <v>25</v>
      </c>
      <c r="H2106" s="4" t="s">
        <v>38</v>
      </c>
      <c r="I2106" s="5">
        <v>44317</v>
      </c>
      <c r="J2106" s="6">
        <v>0</v>
      </c>
      <c r="K2106" s="6">
        <v>0</v>
      </c>
      <c r="L2106" s="6">
        <v>57.277000000000001</v>
      </c>
      <c r="M2106" s="6">
        <v>57.277000000000001</v>
      </c>
      <c r="N2106" s="6">
        <v>57.277000000000001</v>
      </c>
      <c r="O2106" s="6">
        <v>57.277000000000001</v>
      </c>
      <c r="P2106" s="6">
        <v>0</v>
      </c>
      <c r="Q2106" s="4" t="s">
        <v>26</v>
      </c>
      <c r="R2106" s="4">
        <v>0</v>
      </c>
      <c r="S2106" s="4" t="s">
        <v>354</v>
      </c>
      <c r="T2106" s="4" t="s">
        <v>591</v>
      </c>
      <c r="U2106" s="4">
        <v>0</v>
      </c>
      <c r="V2106" s="4">
        <v>71</v>
      </c>
      <c r="W2106" s="4">
        <v>77</v>
      </c>
    </row>
    <row r="2107" spans="1:23" ht="11.25" customHeight="1" x14ac:dyDescent="0.25">
      <c r="A2107" s="4" t="s">
        <v>21</v>
      </c>
      <c r="B2107" s="4" t="s">
        <v>41</v>
      </c>
      <c r="C2107" s="4" t="s">
        <v>39</v>
      </c>
      <c r="D2107" s="4" t="s">
        <v>45</v>
      </c>
      <c r="E2107" s="4" t="s">
        <v>25</v>
      </c>
      <c r="F2107" s="4" t="s">
        <v>25</v>
      </c>
      <c r="G2107" s="4" t="s">
        <v>25</v>
      </c>
      <c r="H2107" s="4" t="s">
        <v>38</v>
      </c>
      <c r="I2107" s="5">
        <v>44348</v>
      </c>
      <c r="J2107" s="6">
        <v>0</v>
      </c>
      <c r="K2107" s="6">
        <v>0</v>
      </c>
      <c r="L2107" s="6">
        <v>108.539</v>
      </c>
      <c r="M2107" s="6">
        <v>108.539</v>
      </c>
      <c r="N2107" s="6">
        <v>108.539</v>
      </c>
      <c r="O2107" s="6">
        <v>108.539</v>
      </c>
      <c r="P2107" s="6">
        <v>0</v>
      </c>
      <c r="Q2107" s="4" t="s">
        <v>26</v>
      </c>
      <c r="R2107" s="4">
        <v>0</v>
      </c>
      <c r="S2107" s="4" t="s">
        <v>355</v>
      </c>
      <c r="T2107" s="4" t="s">
        <v>592</v>
      </c>
      <c r="U2107" s="4">
        <v>0</v>
      </c>
      <c r="V2107" s="4">
        <v>71</v>
      </c>
      <c r="W2107" s="4">
        <v>77</v>
      </c>
    </row>
    <row r="2108" spans="1:23" ht="11.25" customHeight="1" x14ac:dyDescent="0.25">
      <c r="A2108" s="4" t="s">
        <v>28</v>
      </c>
      <c r="B2108" s="4" t="s">
        <v>41</v>
      </c>
      <c r="C2108" s="4" t="s">
        <v>39</v>
      </c>
      <c r="D2108" s="4" t="s">
        <v>45</v>
      </c>
      <c r="E2108" s="4" t="s">
        <v>25</v>
      </c>
      <c r="F2108" s="4" t="s">
        <v>25</v>
      </c>
      <c r="G2108" s="4" t="s">
        <v>25</v>
      </c>
      <c r="H2108" s="4" t="s">
        <v>38</v>
      </c>
      <c r="I2108" s="5">
        <v>44348</v>
      </c>
      <c r="J2108" s="6">
        <v>0</v>
      </c>
      <c r="K2108" s="6">
        <v>0</v>
      </c>
      <c r="L2108" s="6">
        <v>61.137999999999998</v>
      </c>
      <c r="M2108" s="6">
        <v>61.137999999999998</v>
      </c>
      <c r="N2108" s="6">
        <v>61.137999999999998</v>
      </c>
      <c r="O2108" s="6">
        <v>61.137999999999998</v>
      </c>
      <c r="P2108" s="6">
        <v>0</v>
      </c>
      <c r="Q2108" s="4" t="s">
        <v>26</v>
      </c>
      <c r="R2108" s="4">
        <v>0</v>
      </c>
      <c r="S2108" s="4" t="s">
        <v>355</v>
      </c>
      <c r="T2108" s="4" t="s">
        <v>592</v>
      </c>
      <c r="U2108" s="4">
        <v>0</v>
      </c>
      <c r="V2108" s="4">
        <v>71</v>
      </c>
      <c r="W2108" s="4">
        <v>77</v>
      </c>
    </row>
    <row r="2109" spans="1:23" ht="11.25" customHeight="1" x14ac:dyDescent="0.25">
      <c r="A2109" s="4" t="s">
        <v>21</v>
      </c>
      <c r="B2109" s="4" t="s">
        <v>41</v>
      </c>
      <c r="C2109" s="4" t="s">
        <v>39</v>
      </c>
      <c r="D2109" s="4" t="s">
        <v>45</v>
      </c>
      <c r="E2109" s="4" t="s">
        <v>25</v>
      </c>
      <c r="F2109" s="4" t="s">
        <v>25</v>
      </c>
      <c r="G2109" s="4" t="s">
        <v>25</v>
      </c>
      <c r="H2109" s="4" t="s">
        <v>38</v>
      </c>
      <c r="I2109" s="5">
        <v>44378</v>
      </c>
      <c r="J2109" s="6">
        <v>0</v>
      </c>
      <c r="K2109" s="6">
        <v>0</v>
      </c>
      <c r="L2109" s="6">
        <v>107.358</v>
      </c>
      <c r="M2109" s="6">
        <v>107.358</v>
      </c>
      <c r="N2109" s="6">
        <v>107.358</v>
      </c>
      <c r="O2109" s="6">
        <v>107.358</v>
      </c>
      <c r="P2109" s="6">
        <v>0</v>
      </c>
      <c r="Q2109" s="4" t="s">
        <v>26</v>
      </c>
      <c r="R2109" s="4">
        <v>0</v>
      </c>
      <c r="S2109" s="4" t="s">
        <v>356</v>
      </c>
      <c r="T2109" s="4" t="s">
        <v>593</v>
      </c>
      <c r="U2109" s="4">
        <v>0</v>
      </c>
      <c r="V2109" s="4">
        <v>71</v>
      </c>
      <c r="W2109" s="4">
        <v>77</v>
      </c>
    </row>
    <row r="2110" spans="1:23" ht="11.25" customHeight="1" x14ac:dyDescent="0.25">
      <c r="A2110" s="4" t="s">
        <v>28</v>
      </c>
      <c r="B2110" s="4" t="s">
        <v>41</v>
      </c>
      <c r="C2110" s="4" t="s">
        <v>39</v>
      </c>
      <c r="D2110" s="4" t="s">
        <v>45</v>
      </c>
      <c r="E2110" s="4" t="s">
        <v>25</v>
      </c>
      <c r="F2110" s="4" t="s">
        <v>25</v>
      </c>
      <c r="G2110" s="4" t="s">
        <v>25</v>
      </c>
      <c r="H2110" s="4" t="s">
        <v>38</v>
      </c>
      <c r="I2110" s="5">
        <v>44378</v>
      </c>
      <c r="J2110" s="6">
        <v>0</v>
      </c>
      <c r="K2110" s="6">
        <v>0</v>
      </c>
      <c r="L2110" s="6">
        <v>52.697000000000003</v>
      </c>
      <c r="M2110" s="6">
        <v>52.697000000000003</v>
      </c>
      <c r="N2110" s="6">
        <v>52.697000000000003</v>
      </c>
      <c r="O2110" s="6">
        <v>52.697000000000003</v>
      </c>
      <c r="P2110" s="6">
        <v>0</v>
      </c>
      <c r="Q2110" s="4" t="s">
        <v>26</v>
      </c>
      <c r="R2110" s="4">
        <v>0</v>
      </c>
      <c r="S2110" s="4" t="s">
        <v>356</v>
      </c>
      <c r="T2110" s="4" t="s">
        <v>593</v>
      </c>
      <c r="U2110" s="4">
        <v>0</v>
      </c>
      <c r="V2110" s="4">
        <v>71</v>
      </c>
      <c r="W2110" s="4">
        <v>77</v>
      </c>
    </row>
    <row r="2111" spans="1:23" ht="11.25" customHeight="1" x14ac:dyDescent="0.25">
      <c r="A2111" s="4" t="s">
        <v>21</v>
      </c>
      <c r="B2111" s="4" t="s">
        <v>41</v>
      </c>
      <c r="C2111" s="4" t="s">
        <v>39</v>
      </c>
      <c r="D2111" s="4" t="s">
        <v>45</v>
      </c>
      <c r="E2111" s="4" t="s">
        <v>25</v>
      </c>
      <c r="F2111" s="4" t="s">
        <v>25</v>
      </c>
      <c r="G2111" s="4" t="s">
        <v>25</v>
      </c>
      <c r="H2111" s="4" t="s">
        <v>38</v>
      </c>
      <c r="I2111" s="5">
        <v>44409</v>
      </c>
      <c r="J2111" s="6">
        <v>0</v>
      </c>
      <c r="K2111" s="6">
        <v>0</v>
      </c>
      <c r="L2111" s="6">
        <v>139.96600000000001</v>
      </c>
      <c r="M2111" s="6">
        <v>139.96600000000001</v>
      </c>
      <c r="N2111" s="6">
        <v>139.96600000000001</v>
      </c>
      <c r="O2111" s="6">
        <v>139.96600000000001</v>
      </c>
      <c r="P2111" s="6">
        <v>0</v>
      </c>
      <c r="Q2111" s="4" t="s">
        <v>26</v>
      </c>
      <c r="R2111" s="4">
        <v>0</v>
      </c>
      <c r="S2111" s="4" t="s">
        <v>357</v>
      </c>
      <c r="T2111" s="4" t="s">
        <v>594</v>
      </c>
      <c r="U2111" s="4">
        <v>0</v>
      </c>
      <c r="V2111" s="4">
        <v>71</v>
      </c>
      <c r="W2111" s="4">
        <v>77</v>
      </c>
    </row>
    <row r="2112" spans="1:23" ht="11.25" customHeight="1" x14ac:dyDescent="0.25">
      <c r="A2112" s="4" t="s">
        <v>28</v>
      </c>
      <c r="B2112" s="4" t="s">
        <v>41</v>
      </c>
      <c r="C2112" s="4" t="s">
        <v>39</v>
      </c>
      <c r="D2112" s="4" t="s">
        <v>45</v>
      </c>
      <c r="E2112" s="4" t="s">
        <v>25</v>
      </c>
      <c r="F2112" s="4" t="s">
        <v>25</v>
      </c>
      <c r="G2112" s="4" t="s">
        <v>25</v>
      </c>
      <c r="H2112" s="4" t="s">
        <v>38</v>
      </c>
      <c r="I2112" s="5">
        <v>44409</v>
      </c>
      <c r="J2112" s="6">
        <v>0</v>
      </c>
      <c r="K2112" s="6">
        <v>0</v>
      </c>
      <c r="L2112" s="6">
        <v>56.792999999999999</v>
      </c>
      <c r="M2112" s="6">
        <v>56.792999999999999</v>
      </c>
      <c r="N2112" s="6">
        <v>56.792999999999999</v>
      </c>
      <c r="O2112" s="6">
        <v>56.792999999999999</v>
      </c>
      <c r="P2112" s="6">
        <v>0</v>
      </c>
      <c r="Q2112" s="4" t="s">
        <v>26</v>
      </c>
      <c r="R2112" s="4">
        <v>0</v>
      </c>
      <c r="S2112" s="4" t="s">
        <v>357</v>
      </c>
      <c r="T2112" s="4" t="s">
        <v>594</v>
      </c>
      <c r="U2112" s="4">
        <v>0</v>
      </c>
      <c r="V2112" s="4">
        <v>71</v>
      </c>
      <c r="W2112" s="4">
        <v>77</v>
      </c>
    </row>
    <row r="2113" spans="1:23" ht="11.25" customHeight="1" x14ac:dyDescent="0.25">
      <c r="A2113" s="4" t="s">
        <v>21</v>
      </c>
      <c r="B2113" s="4" t="s">
        <v>41</v>
      </c>
      <c r="C2113" s="4" t="s">
        <v>39</v>
      </c>
      <c r="D2113" s="4" t="s">
        <v>45</v>
      </c>
      <c r="E2113" s="4" t="s">
        <v>25</v>
      </c>
      <c r="F2113" s="4" t="s">
        <v>25</v>
      </c>
      <c r="G2113" s="4" t="s">
        <v>25</v>
      </c>
      <c r="H2113" s="4" t="s">
        <v>38</v>
      </c>
      <c r="I2113" s="5">
        <v>44440</v>
      </c>
      <c r="J2113" s="6">
        <v>0</v>
      </c>
      <c r="K2113" s="6">
        <v>0</v>
      </c>
      <c r="L2113" s="6">
        <v>113.455</v>
      </c>
      <c r="M2113" s="6">
        <v>113.455</v>
      </c>
      <c r="N2113" s="6">
        <v>113.455</v>
      </c>
      <c r="O2113" s="6">
        <v>113.455</v>
      </c>
      <c r="P2113" s="6">
        <v>0</v>
      </c>
      <c r="Q2113" s="4" t="s">
        <v>26</v>
      </c>
      <c r="R2113" s="4">
        <v>0</v>
      </c>
      <c r="S2113" s="4" t="s">
        <v>358</v>
      </c>
      <c r="T2113" s="4" t="s">
        <v>595</v>
      </c>
      <c r="U2113" s="4">
        <v>0</v>
      </c>
      <c r="V2113" s="4">
        <v>71</v>
      </c>
      <c r="W2113" s="4">
        <v>77</v>
      </c>
    </row>
    <row r="2114" spans="1:23" ht="11.25" customHeight="1" x14ac:dyDescent="0.25">
      <c r="A2114" s="4" t="s">
        <v>28</v>
      </c>
      <c r="B2114" s="4" t="s">
        <v>41</v>
      </c>
      <c r="C2114" s="4" t="s">
        <v>39</v>
      </c>
      <c r="D2114" s="4" t="s">
        <v>45</v>
      </c>
      <c r="E2114" s="4" t="s">
        <v>25</v>
      </c>
      <c r="F2114" s="4" t="s">
        <v>25</v>
      </c>
      <c r="G2114" s="4" t="s">
        <v>25</v>
      </c>
      <c r="H2114" s="4" t="s">
        <v>38</v>
      </c>
      <c r="I2114" s="5">
        <v>44440</v>
      </c>
      <c r="J2114" s="6">
        <v>0</v>
      </c>
      <c r="K2114" s="6">
        <v>0</v>
      </c>
      <c r="L2114" s="6">
        <v>62.017000000000003</v>
      </c>
      <c r="M2114" s="6">
        <v>62.017000000000003</v>
      </c>
      <c r="N2114" s="6">
        <v>62.017000000000003</v>
      </c>
      <c r="O2114" s="6">
        <v>62.017000000000003</v>
      </c>
      <c r="P2114" s="6">
        <v>0</v>
      </c>
      <c r="Q2114" s="4" t="s">
        <v>26</v>
      </c>
      <c r="R2114" s="4">
        <v>0</v>
      </c>
      <c r="S2114" s="4" t="s">
        <v>358</v>
      </c>
      <c r="T2114" s="4" t="s">
        <v>595</v>
      </c>
      <c r="U2114" s="4">
        <v>0</v>
      </c>
      <c r="V2114" s="4">
        <v>71</v>
      </c>
      <c r="W2114" s="4">
        <v>77</v>
      </c>
    </row>
    <row r="2115" spans="1:23" ht="11.25" customHeight="1" x14ac:dyDescent="0.25">
      <c r="A2115" s="4" t="s">
        <v>30</v>
      </c>
      <c r="B2115" s="4" t="s">
        <v>41</v>
      </c>
      <c r="C2115" s="4" t="s">
        <v>39</v>
      </c>
      <c r="D2115" s="4" t="s">
        <v>45</v>
      </c>
      <c r="E2115" s="4" t="s">
        <v>25</v>
      </c>
      <c r="F2115" s="4" t="s">
        <v>25</v>
      </c>
      <c r="G2115" s="4" t="s">
        <v>25</v>
      </c>
      <c r="H2115" s="4" t="s">
        <v>38</v>
      </c>
      <c r="I2115" s="5">
        <v>44440</v>
      </c>
      <c r="J2115" s="6">
        <v>0</v>
      </c>
      <c r="K2115" s="6">
        <v>0</v>
      </c>
      <c r="L2115" s="6">
        <v>7.7130000000000001</v>
      </c>
      <c r="M2115" s="6">
        <v>7.7130000000000001</v>
      </c>
      <c r="N2115" s="6">
        <v>7.7130000000000001</v>
      </c>
      <c r="O2115" s="6">
        <v>7.7130000000000001</v>
      </c>
      <c r="P2115" s="6">
        <v>0</v>
      </c>
      <c r="Q2115" s="4" t="s">
        <v>26</v>
      </c>
      <c r="R2115" s="4">
        <v>0</v>
      </c>
      <c r="S2115" s="4" t="s">
        <v>358</v>
      </c>
      <c r="T2115" s="4" t="s">
        <v>595</v>
      </c>
      <c r="U2115" s="4">
        <v>0</v>
      </c>
      <c r="V2115" s="4">
        <v>71</v>
      </c>
      <c r="W2115" s="4">
        <v>77</v>
      </c>
    </row>
    <row r="2116" spans="1:23" ht="11.25" customHeight="1" x14ac:dyDescent="0.25">
      <c r="A2116" s="4" t="s">
        <v>59</v>
      </c>
      <c r="B2116" s="4" t="s">
        <v>41</v>
      </c>
      <c r="C2116" s="4" t="s">
        <v>39</v>
      </c>
      <c r="D2116" s="4" t="s">
        <v>45</v>
      </c>
      <c r="E2116" s="4" t="s">
        <v>25</v>
      </c>
      <c r="F2116" s="4" t="s">
        <v>25</v>
      </c>
      <c r="G2116" s="4" t="s">
        <v>25</v>
      </c>
      <c r="H2116" s="4" t="s">
        <v>38</v>
      </c>
      <c r="I2116" s="5">
        <v>44470</v>
      </c>
      <c r="J2116" s="6">
        <v>0</v>
      </c>
      <c r="K2116" s="6">
        <v>0</v>
      </c>
      <c r="L2116" s="6">
        <v>113.455</v>
      </c>
      <c r="M2116" s="6">
        <v>113.455</v>
      </c>
      <c r="N2116" s="6">
        <v>113.455</v>
      </c>
      <c r="O2116" s="6">
        <v>113.455</v>
      </c>
      <c r="P2116" s="6">
        <v>0</v>
      </c>
      <c r="Q2116" s="4" t="s">
        <v>26</v>
      </c>
      <c r="R2116" s="4">
        <v>0</v>
      </c>
      <c r="S2116" s="4" t="s">
        <v>359</v>
      </c>
      <c r="T2116" s="4" t="s">
        <v>596</v>
      </c>
      <c r="U2116" s="4">
        <v>0</v>
      </c>
      <c r="V2116" s="4">
        <v>71</v>
      </c>
      <c r="W2116" s="4">
        <v>77</v>
      </c>
    </row>
    <row r="2117" spans="1:23" ht="11.25" customHeight="1" x14ac:dyDescent="0.25">
      <c r="A2117" s="4" t="s">
        <v>59</v>
      </c>
      <c r="B2117" s="4" t="s">
        <v>41</v>
      </c>
      <c r="C2117" s="4" t="s">
        <v>39</v>
      </c>
      <c r="D2117" s="4" t="s">
        <v>45</v>
      </c>
      <c r="E2117" s="4" t="s">
        <v>25</v>
      </c>
      <c r="F2117" s="4" t="s">
        <v>25</v>
      </c>
      <c r="G2117" s="4" t="s">
        <v>25</v>
      </c>
      <c r="H2117" s="4" t="s">
        <v>38</v>
      </c>
      <c r="I2117" s="5">
        <v>44470</v>
      </c>
      <c r="J2117" s="6">
        <v>0</v>
      </c>
      <c r="K2117" s="6">
        <v>0</v>
      </c>
      <c r="L2117" s="6">
        <v>62.017000000000003</v>
      </c>
      <c r="M2117" s="6">
        <v>62.017000000000003</v>
      </c>
      <c r="N2117" s="6">
        <v>62.017000000000003</v>
      </c>
      <c r="O2117" s="6">
        <v>62.017000000000003</v>
      </c>
      <c r="P2117" s="6">
        <v>0</v>
      </c>
      <c r="Q2117" s="4" t="s">
        <v>26</v>
      </c>
      <c r="R2117" s="4">
        <v>0</v>
      </c>
      <c r="S2117" s="4" t="s">
        <v>359</v>
      </c>
      <c r="T2117" s="4" t="s">
        <v>596</v>
      </c>
      <c r="U2117" s="4">
        <v>0</v>
      </c>
      <c r="V2117" s="4">
        <v>71</v>
      </c>
      <c r="W2117" s="4">
        <v>77</v>
      </c>
    </row>
    <row r="2118" spans="1:23" ht="11.25" customHeight="1" x14ac:dyDescent="0.25">
      <c r="A2118" s="4" t="s">
        <v>59</v>
      </c>
      <c r="B2118" s="4" t="s">
        <v>41</v>
      </c>
      <c r="C2118" s="4" t="s">
        <v>39</v>
      </c>
      <c r="D2118" s="4" t="s">
        <v>45</v>
      </c>
      <c r="E2118" s="4" t="s">
        <v>25</v>
      </c>
      <c r="F2118" s="4" t="s">
        <v>25</v>
      </c>
      <c r="G2118" s="4" t="s">
        <v>25</v>
      </c>
      <c r="H2118" s="4" t="s">
        <v>38</v>
      </c>
      <c r="I2118" s="5">
        <v>44470</v>
      </c>
      <c r="J2118" s="6">
        <v>0</v>
      </c>
      <c r="K2118" s="6">
        <v>0</v>
      </c>
      <c r="L2118" s="6">
        <v>7.7130000000000001</v>
      </c>
      <c r="M2118" s="6">
        <v>7.7130000000000001</v>
      </c>
      <c r="N2118" s="6">
        <v>7.7130000000000001</v>
      </c>
      <c r="O2118" s="6">
        <v>7.7130000000000001</v>
      </c>
      <c r="P2118" s="6">
        <v>0</v>
      </c>
      <c r="Q2118" s="4" t="s">
        <v>26</v>
      </c>
      <c r="R2118" s="4">
        <v>0</v>
      </c>
      <c r="S2118" s="4" t="s">
        <v>359</v>
      </c>
      <c r="T2118" s="4" t="s">
        <v>596</v>
      </c>
      <c r="U2118" s="4">
        <v>0</v>
      </c>
      <c r="V2118" s="4">
        <v>71</v>
      </c>
      <c r="W2118" s="4">
        <v>77</v>
      </c>
    </row>
    <row r="2119" spans="1:23" ht="11.25" customHeight="1" x14ac:dyDescent="0.25">
      <c r="A2119" s="4" t="s">
        <v>21</v>
      </c>
      <c r="B2119" s="4" t="s">
        <v>41</v>
      </c>
      <c r="C2119" s="4" t="s">
        <v>39</v>
      </c>
      <c r="D2119" s="4" t="s">
        <v>45</v>
      </c>
      <c r="E2119" s="4" t="s">
        <v>25</v>
      </c>
      <c r="F2119" s="4" t="s">
        <v>25</v>
      </c>
      <c r="G2119" s="4" t="s">
        <v>25</v>
      </c>
      <c r="H2119" s="4" t="s">
        <v>40</v>
      </c>
      <c r="I2119" s="5">
        <v>44136</v>
      </c>
      <c r="J2119" s="6">
        <v>0</v>
      </c>
      <c r="K2119" s="6">
        <v>0</v>
      </c>
      <c r="L2119" s="6">
        <v>2.3319999999999999</v>
      </c>
      <c r="M2119" s="6">
        <v>2.3319999999999999</v>
      </c>
      <c r="N2119" s="6">
        <v>2.3319999999999999</v>
      </c>
      <c r="O2119" s="6">
        <v>2.3319999999999999</v>
      </c>
      <c r="P2119" s="6">
        <v>0</v>
      </c>
      <c r="Q2119" s="4" t="s">
        <v>26</v>
      </c>
      <c r="R2119" s="4">
        <v>0</v>
      </c>
      <c r="S2119" s="4" t="s">
        <v>360</v>
      </c>
      <c r="T2119" s="4" t="s">
        <v>597</v>
      </c>
      <c r="U2119" s="4">
        <v>0</v>
      </c>
      <c r="V2119" s="4">
        <v>75</v>
      </c>
      <c r="W2119" s="4">
        <v>76</v>
      </c>
    </row>
    <row r="2120" spans="1:23" ht="11.25" customHeight="1" x14ac:dyDescent="0.25">
      <c r="A2120" s="4" t="s">
        <v>28</v>
      </c>
      <c r="B2120" s="4" t="s">
        <v>41</v>
      </c>
      <c r="C2120" s="4" t="s">
        <v>39</v>
      </c>
      <c r="D2120" s="4" t="s">
        <v>45</v>
      </c>
      <c r="E2120" s="4" t="s">
        <v>25</v>
      </c>
      <c r="F2120" s="4" t="s">
        <v>25</v>
      </c>
      <c r="G2120" s="4" t="s">
        <v>25</v>
      </c>
      <c r="H2120" s="4" t="s">
        <v>40</v>
      </c>
      <c r="I2120" s="5">
        <v>44136</v>
      </c>
      <c r="J2120" s="6">
        <v>0</v>
      </c>
      <c r="K2120" s="6">
        <v>0</v>
      </c>
      <c r="L2120" s="6">
        <v>7.9320000000000004</v>
      </c>
      <c r="M2120" s="6">
        <v>7.9320000000000004</v>
      </c>
      <c r="N2120" s="6">
        <v>7.9320000000000004</v>
      </c>
      <c r="O2120" s="6">
        <v>7.9320000000000004</v>
      </c>
      <c r="P2120" s="6">
        <v>0</v>
      </c>
      <c r="Q2120" s="4" t="s">
        <v>26</v>
      </c>
      <c r="R2120" s="4">
        <v>0</v>
      </c>
      <c r="S2120" s="4" t="s">
        <v>360</v>
      </c>
      <c r="T2120" s="4" t="s">
        <v>597</v>
      </c>
      <c r="U2120" s="4">
        <v>0</v>
      </c>
      <c r="V2120" s="4">
        <v>75</v>
      </c>
      <c r="W2120" s="4">
        <v>76</v>
      </c>
    </row>
    <row r="2121" spans="1:23" ht="11.25" customHeight="1" x14ac:dyDescent="0.25">
      <c r="A2121" s="4" t="s">
        <v>21</v>
      </c>
      <c r="B2121" s="4" t="s">
        <v>41</v>
      </c>
      <c r="C2121" s="4" t="s">
        <v>39</v>
      </c>
      <c r="D2121" s="4" t="s">
        <v>45</v>
      </c>
      <c r="E2121" s="4" t="s">
        <v>25</v>
      </c>
      <c r="F2121" s="4" t="s">
        <v>25</v>
      </c>
      <c r="G2121" s="4" t="s">
        <v>25</v>
      </c>
      <c r="H2121" s="4" t="s">
        <v>40</v>
      </c>
      <c r="I2121" s="5">
        <v>44166</v>
      </c>
      <c r="J2121" s="6">
        <v>0</v>
      </c>
      <c r="K2121" s="6">
        <v>0</v>
      </c>
      <c r="L2121" s="6">
        <v>2.5499999999999998</v>
      </c>
      <c r="M2121" s="6">
        <v>2.5499999999999998</v>
      </c>
      <c r="N2121" s="6">
        <v>2.5499999999999998</v>
      </c>
      <c r="O2121" s="6">
        <v>2.5499999999999998</v>
      </c>
      <c r="P2121" s="6">
        <v>0</v>
      </c>
      <c r="Q2121" s="4" t="s">
        <v>26</v>
      </c>
      <c r="R2121" s="4">
        <v>0</v>
      </c>
      <c r="S2121" s="4" t="s">
        <v>361</v>
      </c>
      <c r="T2121" s="4" t="s">
        <v>598</v>
      </c>
      <c r="U2121" s="4">
        <v>0</v>
      </c>
      <c r="V2121" s="4">
        <v>75</v>
      </c>
      <c r="W2121" s="4">
        <v>76</v>
      </c>
    </row>
    <row r="2122" spans="1:23" ht="11.25" customHeight="1" x14ac:dyDescent="0.25">
      <c r="A2122" s="4" t="s">
        <v>28</v>
      </c>
      <c r="B2122" s="4" t="s">
        <v>41</v>
      </c>
      <c r="C2122" s="4" t="s">
        <v>39</v>
      </c>
      <c r="D2122" s="4" t="s">
        <v>45</v>
      </c>
      <c r="E2122" s="4" t="s">
        <v>25</v>
      </c>
      <c r="F2122" s="4" t="s">
        <v>25</v>
      </c>
      <c r="G2122" s="4" t="s">
        <v>25</v>
      </c>
      <c r="H2122" s="4" t="s">
        <v>40</v>
      </c>
      <c r="I2122" s="5">
        <v>44166</v>
      </c>
      <c r="J2122" s="6">
        <v>0</v>
      </c>
      <c r="K2122" s="6">
        <v>0</v>
      </c>
      <c r="L2122" s="6">
        <v>5.2060000000000004</v>
      </c>
      <c r="M2122" s="6">
        <v>5.2060000000000004</v>
      </c>
      <c r="N2122" s="6">
        <v>5.2060000000000004</v>
      </c>
      <c r="O2122" s="6">
        <v>5.2060000000000004</v>
      </c>
      <c r="P2122" s="6">
        <v>0</v>
      </c>
      <c r="Q2122" s="4" t="s">
        <v>26</v>
      </c>
      <c r="R2122" s="4">
        <v>0</v>
      </c>
      <c r="S2122" s="4" t="s">
        <v>361</v>
      </c>
      <c r="T2122" s="4" t="s">
        <v>598</v>
      </c>
      <c r="U2122" s="4">
        <v>0</v>
      </c>
      <c r="V2122" s="4">
        <v>75</v>
      </c>
      <c r="W2122" s="4">
        <v>76</v>
      </c>
    </row>
    <row r="2123" spans="1:23" ht="11.25" customHeight="1" x14ac:dyDescent="0.25">
      <c r="A2123" s="4" t="s">
        <v>21</v>
      </c>
      <c r="B2123" s="4" t="s">
        <v>41</v>
      </c>
      <c r="C2123" s="4" t="s">
        <v>39</v>
      </c>
      <c r="D2123" s="4" t="s">
        <v>45</v>
      </c>
      <c r="E2123" s="4" t="s">
        <v>25</v>
      </c>
      <c r="F2123" s="4" t="s">
        <v>25</v>
      </c>
      <c r="G2123" s="4" t="s">
        <v>25</v>
      </c>
      <c r="H2123" s="4" t="s">
        <v>40</v>
      </c>
      <c r="I2123" s="5">
        <v>44197</v>
      </c>
      <c r="J2123" s="6">
        <v>0</v>
      </c>
      <c r="K2123" s="6">
        <v>0</v>
      </c>
      <c r="L2123" s="6">
        <v>2.5529999999999999</v>
      </c>
      <c r="M2123" s="6">
        <v>2.5529999999999999</v>
      </c>
      <c r="N2123" s="6">
        <v>2.5529999999999999</v>
      </c>
      <c r="O2123" s="6">
        <v>2.5529999999999999</v>
      </c>
      <c r="P2123" s="6">
        <v>0</v>
      </c>
      <c r="Q2123" s="4" t="s">
        <v>26</v>
      </c>
      <c r="R2123" s="4">
        <v>0</v>
      </c>
      <c r="S2123" s="4" t="s">
        <v>362</v>
      </c>
      <c r="T2123" s="4" t="s">
        <v>599</v>
      </c>
      <c r="U2123" s="4">
        <v>0</v>
      </c>
      <c r="V2123" s="4">
        <v>75</v>
      </c>
      <c r="W2123" s="4">
        <v>76</v>
      </c>
    </row>
    <row r="2124" spans="1:23" ht="11.25" customHeight="1" x14ac:dyDescent="0.25">
      <c r="A2124" s="4" t="s">
        <v>27</v>
      </c>
      <c r="B2124" s="4" t="s">
        <v>41</v>
      </c>
      <c r="C2124" s="4" t="s">
        <v>39</v>
      </c>
      <c r="D2124" s="4" t="s">
        <v>45</v>
      </c>
      <c r="E2124" s="4" t="s">
        <v>25</v>
      </c>
      <c r="F2124" s="4" t="s">
        <v>25</v>
      </c>
      <c r="G2124" s="4" t="s">
        <v>25</v>
      </c>
      <c r="H2124" s="4" t="s">
        <v>40</v>
      </c>
      <c r="I2124" s="5">
        <v>44197</v>
      </c>
      <c r="J2124" s="6">
        <v>0</v>
      </c>
      <c r="K2124" s="6">
        <v>0</v>
      </c>
      <c r="L2124" s="6">
        <v>-1E-3</v>
      </c>
      <c r="M2124" s="6">
        <v>-1E-3</v>
      </c>
      <c r="N2124" s="6">
        <v>-1E-3</v>
      </c>
      <c r="O2124" s="6">
        <v>-1E-3</v>
      </c>
      <c r="P2124" s="6">
        <v>0</v>
      </c>
      <c r="Q2124" s="4" t="s">
        <v>26</v>
      </c>
      <c r="R2124" s="4">
        <v>0</v>
      </c>
      <c r="S2124" s="4" t="s">
        <v>362</v>
      </c>
      <c r="T2124" s="4" t="s">
        <v>599</v>
      </c>
      <c r="U2124" s="4">
        <v>0</v>
      </c>
      <c r="V2124" s="4">
        <v>75</v>
      </c>
      <c r="W2124" s="4">
        <v>76</v>
      </c>
    </row>
    <row r="2125" spans="1:23" ht="11.25" customHeight="1" x14ac:dyDescent="0.25">
      <c r="A2125" s="4" t="s">
        <v>28</v>
      </c>
      <c r="B2125" s="4" t="s">
        <v>41</v>
      </c>
      <c r="C2125" s="4" t="s">
        <v>39</v>
      </c>
      <c r="D2125" s="4" t="s">
        <v>45</v>
      </c>
      <c r="E2125" s="4" t="s">
        <v>25</v>
      </c>
      <c r="F2125" s="4" t="s">
        <v>25</v>
      </c>
      <c r="G2125" s="4" t="s">
        <v>25</v>
      </c>
      <c r="H2125" s="4" t="s">
        <v>40</v>
      </c>
      <c r="I2125" s="5">
        <v>44197</v>
      </c>
      <c r="J2125" s="6">
        <v>0</v>
      </c>
      <c r="K2125" s="6">
        <v>0</v>
      </c>
      <c r="L2125" s="6">
        <v>3.629</v>
      </c>
      <c r="M2125" s="6">
        <v>3.629</v>
      </c>
      <c r="N2125" s="6">
        <v>3.629</v>
      </c>
      <c r="O2125" s="6">
        <v>3.629</v>
      </c>
      <c r="P2125" s="6">
        <v>0</v>
      </c>
      <c r="Q2125" s="4" t="s">
        <v>26</v>
      </c>
      <c r="R2125" s="4">
        <v>0</v>
      </c>
      <c r="S2125" s="4" t="s">
        <v>362</v>
      </c>
      <c r="T2125" s="4" t="s">
        <v>599</v>
      </c>
      <c r="U2125" s="4">
        <v>0</v>
      </c>
      <c r="V2125" s="4">
        <v>75</v>
      </c>
      <c r="W2125" s="4">
        <v>76</v>
      </c>
    </row>
    <row r="2126" spans="1:23" ht="11.25" customHeight="1" x14ac:dyDescent="0.25">
      <c r="A2126" s="4" t="s">
        <v>21</v>
      </c>
      <c r="B2126" s="4" t="s">
        <v>41</v>
      </c>
      <c r="C2126" s="4" t="s">
        <v>39</v>
      </c>
      <c r="D2126" s="4" t="s">
        <v>45</v>
      </c>
      <c r="E2126" s="4" t="s">
        <v>25</v>
      </c>
      <c r="F2126" s="4" t="s">
        <v>25</v>
      </c>
      <c r="G2126" s="4" t="s">
        <v>25</v>
      </c>
      <c r="H2126" s="4" t="s">
        <v>40</v>
      </c>
      <c r="I2126" s="5">
        <v>44228</v>
      </c>
      <c r="J2126" s="6">
        <v>0</v>
      </c>
      <c r="K2126" s="6">
        <v>0</v>
      </c>
      <c r="L2126" s="6">
        <v>2.4649999999999999</v>
      </c>
      <c r="M2126" s="6">
        <v>2.4649999999999999</v>
      </c>
      <c r="N2126" s="6">
        <v>2.4649999999999999</v>
      </c>
      <c r="O2126" s="6">
        <v>2.4649999999999999</v>
      </c>
      <c r="P2126" s="6">
        <v>0</v>
      </c>
      <c r="Q2126" s="4" t="s">
        <v>26</v>
      </c>
      <c r="R2126" s="4">
        <v>0</v>
      </c>
      <c r="S2126" s="4" t="s">
        <v>363</v>
      </c>
      <c r="T2126" s="4" t="s">
        <v>600</v>
      </c>
      <c r="U2126" s="4">
        <v>0</v>
      </c>
      <c r="V2126" s="4">
        <v>75</v>
      </c>
      <c r="W2126" s="4">
        <v>76</v>
      </c>
    </row>
    <row r="2127" spans="1:23" ht="11.25" customHeight="1" x14ac:dyDescent="0.25">
      <c r="A2127" s="4" t="s">
        <v>28</v>
      </c>
      <c r="B2127" s="4" t="s">
        <v>41</v>
      </c>
      <c r="C2127" s="4" t="s">
        <v>39</v>
      </c>
      <c r="D2127" s="4" t="s">
        <v>45</v>
      </c>
      <c r="E2127" s="4" t="s">
        <v>25</v>
      </c>
      <c r="F2127" s="4" t="s">
        <v>25</v>
      </c>
      <c r="G2127" s="4" t="s">
        <v>25</v>
      </c>
      <c r="H2127" s="4" t="s">
        <v>40</v>
      </c>
      <c r="I2127" s="5">
        <v>44228</v>
      </c>
      <c r="J2127" s="6">
        <v>0</v>
      </c>
      <c r="K2127" s="6">
        <v>0</v>
      </c>
      <c r="L2127" s="6">
        <v>4.907</v>
      </c>
      <c r="M2127" s="6">
        <v>4.907</v>
      </c>
      <c r="N2127" s="6">
        <v>4.907</v>
      </c>
      <c r="O2127" s="6">
        <v>4.907</v>
      </c>
      <c r="P2127" s="6">
        <v>0</v>
      </c>
      <c r="Q2127" s="4" t="s">
        <v>26</v>
      </c>
      <c r="R2127" s="4">
        <v>0</v>
      </c>
      <c r="S2127" s="4" t="s">
        <v>363</v>
      </c>
      <c r="T2127" s="4" t="s">
        <v>600</v>
      </c>
      <c r="U2127" s="4">
        <v>0</v>
      </c>
      <c r="V2127" s="4">
        <v>75</v>
      </c>
      <c r="W2127" s="4">
        <v>76</v>
      </c>
    </row>
    <row r="2128" spans="1:23" ht="11.25" customHeight="1" x14ac:dyDescent="0.25">
      <c r="A2128" s="4" t="s">
        <v>21</v>
      </c>
      <c r="B2128" s="4" t="s">
        <v>41</v>
      </c>
      <c r="C2128" s="4" t="s">
        <v>39</v>
      </c>
      <c r="D2128" s="4" t="s">
        <v>45</v>
      </c>
      <c r="E2128" s="4" t="s">
        <v>25</v>
      </c>
      <c r="F2128" s="4" t="s">
        <v>25</v>
      </c>
      <c r="G2128" s="4" t="s">
        <v>25</v>
      </c>
      <c r="H2128" s="4" t="s">
        <v>40</v>
      </c>
      <c r="I2128" s="5">
        <v>44256</v>
      </c>
      <c r="J2128" s="6">
        <v>0</v>
      </c>
      <c r="K2128" s="6">
        <v>0</v>
      </c>
      <c r="L2128" s="6">
        <v>2.2559999999999998</v>
      </c>
      <c r="M2128" s="6">
        <v>2.2559999999999998</v>
      </c>
      <c r="N2128" s="6">
        <v>2.2559999999999998</v>
      </c>
      <c r="O2128" s="6">
        <v>2.2559999999999998</v>
      </c>
      <c r="P2128" s="6">
        <v>0</v>
      </c>
      <c r="Q2128" s="4" t="s">
        <v>26</v>
      </c>
      <c r="R2128" s="4">
        <v>0</v>
      </c>
      <c r="S2128" s="4" t="s">
        <v>364</v>
      </c>
      <c r="T2128" s="4" t="s">
        <v>601</v>
      </c>
      <c r="U2128" s="4">
        <v>0</v>
      </c>
      <c r="V2128" s="4">
        <v>75</v>
      </c>
      <c r="W2128" s="4">
        <v>76</v>
      </c>
    </row>
    <row r="2129" spans="1:23" ht="11.25" customHeight="1" x14ac:dyDescent="0.25">
      <c r="A2129" s="4" t="s">
        <v>28</v>
      </c>
      <c r="B2129" s="4" t="s">
        <v>41</v>
      </c>
      <c r="C2129" s="4" t="s">
        <v>39</v>
      </c>
      <c r="D2129" s="4" t="s">
        <v>45</v>
      </c>
      <c r="E2129" s="4" t="s">
        <v>25</v>
      </c>
      <c r="F2129" s="4" t="s">
        <v>25</v>
      </c>
      <c r="G2129" s="4" t="s">
        <v>25</v>
      </c>
      <c r="H2129" s="4" t="s">
        <v>40</v>
      </c>
      <c r="I2129" s="5">
        <v>44256</v>
      </c>
      <c r="J2129" s="6">
        <v>0</v>
      </c>
      <c r="K2129" s="6">
        <v>0</v>
      </c>
      <c r="L2129" s="6">
        <v>5.4749999999999996</v>
      </c>
      <c r="M2129" s="6">
        <v>5.4749999999999996</v>
      </c>
      <c r="N2129" s="6">
        <v>5.4749999999999996</v>
      </c>
      <c r="O2129" s="6">
        <v>5.4749999999999996</v>
      </c>
      <c r="P2129" s="6">
        <v>0</v>
      </c>
      <c r="Q2129" s="4" t="s">
        <v>26</v>
      </c>
      <c r="R2129" s="4">
        <v>0</v>
      </c>
      <c r="S2129" s="4" t="s">
        <v>364</v>
      </c>
      <c r="T2129" s="4" t="s">
        <v>601</v>
      </c>
      <c r="U2129" s="4">
        <v>0</v>
      </c>
      <c r="V2129" s="4">
        <v>75</v>
      </c>
      <c r="W2129" s="4">
        <v>76</v>
      </c>
    </row>
    <row r="2130" spans="1:23" ht="11.25" customHeight="1" x14ac:dyDescent="0.25">
      <c r="A2130" s="4" t="s">
        <v>21</v>
      </c>
      <c r="B2130" s="4" t="s">
        <v>41</v>
      </c>
      <c r="C2130" s="4" t="s">
        <v>39</v>
      </c>
      <c r="D2130" s="4" t="s">
        <v>45</v>
      </c>
      <c r="E2130" s="4" t="s">
        <v>25</v>
      </c>
      <c r="F2130" s="4" t="s">
        <v>25</v>
      </c>
      <c r="G2130" s="4" t="s">
        <v>25</v>
      </c>
      <c r="H2130" s="4" t="s">
        <v>40</v>
      </c>
      <c r="I2130" s="5">
        <v>44287</v>
      </c>
      <c r="J2130" s="6">
        <v>0</v>
      </c>
      <c r="K2130" s="6">
        <v>0</v>
      </c>
      <c r="L2130" s="6">
        <v>2.875</v>
      </c>
      <c r="M2130" s="6">
        <v>2.875</v>
      </c>
      <c r="N2130" s="6">
        <v>2.875</v>
      </c>
      <c r="O2130" s="6">
        <v>2.875</v>
      </c>
      <c r="P2130" s="6">
        <v>0</v>
      </c>
      <c r="Q2130" s="4" t="s">
        <v>26</v>
      </c>
      <c r="R2130" s="4">
        <v>0</v>
      </c>
      <c r="S2130" s="4" t="s">
        <v>365</v>
      </c>
      <c r="T2130" s="4" t="s">
        <v>602</v>
      </c>
      <c r="U2130" s="4">
        <v>0</v>
      </c>
      <c r="V2130" s="4">
        <v>75</v>
      </c>
      <c r="W2130" s="4">
        <v>76</v>
      </c>
    </row>
    <row r="2131" spans="1:23" ht="11.25" customHeight="1" x14ac:dyDescent="0.25">
      <c r="A2131" s="4" t="s">
        <v>28</v>
      </c>
      <c r="B2131" s="4" t="s">
        <v>41</v>
      </c>
      <c r="C2131" s="4" t="s">
        <v>39</v>
      </c>
      <c r="D2131" s="4" t="s">
        <v>45</v>
      </c>
      <c r="E2131" s="4" t="s">
        <v>25</v>
      </c>
      <c r="F2131" s="4" t="s">
        <v>25</v>
      </c>
      <c r="G2131" s="4" t="s">
        <v>25</v>
      </c>
      <c r="H2131" s="4" t="s">
        <v>40</v>
      </c>
      <c r="I2131" s="5">
        <v>44287</v>
      </c>
      <c r="J2131" s="6">
        <v>0</v>
      </c>
      <c r="K2131" s="6">
        <v>0</v>
      </c>
      <c r="L2131" s="6">
        <v>5.2869999999999999</v>
      </c>
      <c r="M2131" s="6">
        <v>5.2869999999999999</v>
      </c>
      <c r="N2131" s="6">
        <v>5.2869999999999999</v>
      </c>
      <c r="O2131" s="6">
        <v>5.2869999999999999</v>
      </c>
      <c r="P2131" s="6">
        <v>0</v>
      </c>
      <c r="Q2131" s="4" t="s">
        <v>26</v>
      </c>
      <c r="R2131" s="4">
        <v>0</v>
      </c>
      <c r="S2131" s="4" t="s">
        <v>365</v>
      </c>
      <c r="T2131" s="4" t="s">
        <v>602</v>
      </c>
      <c r="U2131" s="4">
        <v>0</v>
      </c>
      <c r="V2131" s="4">
        <v>75</v>
      </c>
      <c r="W2131" s="4">
        <v>76</v>
      </c>
    </row>
    <row r="2132" spans="1:23" ht="11.25" customHeight="1" x14ac:dyDescent="0.25">
      <c r="A2132" s="4" t="s">
        <v>21</v>
      </c>
      <c r="B2132" s="4" t="s">
        <v>41</v>
      </c>
      <c r="C2132" s="4" t="s">
        <v>39</v>
      </c>
      <c r="D2132" s="4" t="s">
        <v>45</v>
      </c>
      <c r="E2132" s="4" t="s">
        <v>25</v>
      </c>
      <c r="F2132" s="4" t="s">
        <v>25</v>
      </c>
      <c r="G2132" s="4" t="s">
        <v>25</v>
      </c>
      <c r="H2132" s="4" t="s">
        <v>40</v>
      </c>
      <c r="I2132" s="5">
        <v>44317</v>
      </c>
      <c r="J2132" s="6">
        <v>0</v>
      </c>
      <c r="K2132" s="6">
        <v>0</v>
      </c>
      <c r="L2132" s="6">
        <v>2.6680000000000001</v>
      </c>
      <c r="M2132" s="6">
        <v>2.6680000000000001</v>
      </c>
      <c r="N2132" s="6">
        <v>2.6680000000000001</v>
      </c>
      <c r="O2132" s="6">
        <v>2.6680000000000001</v>
      </c>
      <c r="P2132" s="6">
        <v>0</v>
      </c>
      <c r="Q2132" s="4" t="s">
        <v>26</v>
      </c>
      <c r="R2132" s="4">
        <v>0</v>
      </c>
      <c r="S2132" s="4" t="s">
        <v>366</v>
      </c>
      <c r="T2132" s="4" t="s">
        <v>603</v>
      </c>
      <c r="U2132" s="4">
        <v>0</v>
      </c>
      <c r="V2132" s="4">
        <v>75</v>
      </c>
      <c r="W2132" s="4">
        <v>76</v>
      </c>
    </row>
    <row r="2133" spans="1:23" ht="11.25" customHeight="1" x14ac:dyDescent="0.25">
      <c r="A2133" s="4" t="s">
        <v>28</v>
      </c>
      <c r="B2133" s="4" t="s">
        <v>41</v>
      </c>
      <c r="C2133" s="4" t="s">
        <v>39</v>
      </c>
      <c r="D2133" s="4" t="s">
        <v>45</v>
      </c>
      <c r="E2133" s="4" t="s">
        <v>25</v>
      </c>
      <c r="F2133" s="4" t="s">
        <v>25</v>
      </c>
      <c r="G2133" s="4" t="s">
        <v>25</v>
      </c>
      <c r="H2133" s="4" t="s">
        <v>40</v>
      </c>
      <c r="I2133" s="5">
        <v>44317</v>
      </c>
      <c r="J2133" s="6">
        <v>0</v>
      </c>
      <c r="K2133" s="6">
        <v>0</v>
      </c>
      <c r="L2133" s="6">
        <v>2.242</v>
      </c>
      <c r="M2133" s="6">
        <v>2.242</v>
      </c>
      <c r="N2133" s="6">
        <v>2.242</v>
      </c>
      <c r="O2133" s="6">
        <v>2.242</v>
      </c>
      <c r="P2133" s="6">
        <v>0</v>
      </c>
      <c r="Q2133" s="4" t="s">
        <v>26</v>
      </c>
      <c r="R2133" s="4">
        <v>0</v>
      </c>
      <c r="S2133" s="4" t="s">
        <v>366</v>
      </c>
      <c r="T2133" s="4" t="s">
        <v>603</v>
      </c>
      <c r="U2133" s="4">
        <v>0</v>
      </c>
      <c r="V2133" s="4">
        <v>75</v>
      </c>
      <c r="W2133" s="4">
        <v>76</v>
      </c>
    </row>
    <row r="2134" spans="1:23" ht="11.25" customHeight="1" x14ac:dyDescent="0.25">
      <c r="A2134" s="4" t="s">
        <v>21</v>
      </c>
      <c r="B2134" s="4" t="s">
        <v>41</v>
      </c>
      <c r="C2134" s="4" t="s">
        <v>39</v>
      </c>
      <c r="D2134" s="4" t="s">
        <v>45</v>
      </c>
      <c r="E2134" s="4" t="s">
        <v>25</v>
      </c>
      <c r="F2134" s="4" t="s">
        <v>25</v>
      </c>
      <c r="G2134" s="4" t="s">
        <v>25</v>
      </c>
      <c r="H2134" s="4" t="s">
        <v>40</v>
      </c>
      <c r="I2134" s="5">
        <v>44348</v>
      </c>
      <c r="J2134" s="6">
        <v>0</v>
      </c>
      <c r="K2134" s="6">
        <v>0</v>
      </c>
      <c r="L2134" s="6">
        <v>2.5419999999999998</v>
      </c>
      <c r="M2134" s="6">
        <v>2.5419999999999998</v>
      </c>
      <c r="N2134" s="6">
        <v>2.5419999999999998</v>
      </c>
      <c r="O2134" s="6">
        <v>2.5419999999999998</v>
      </c>
      <c r="P2134" s="6">
        <v>0</v>
      </c>
      <c r="Q2134" s="4" t="s">
        <v>26</v>
      </c>
      <c r="R2134" s="4">
        <v>0</v>
      </c>
      <c r="S2134" s="4" t="s">
        <v>367</v>
      </c>
      <c r="T2134" s="4" t="s">
        <v>604</v>
      </c>
      <c r="U2134" s="4">
        <v>0</v>
      </c>
      <c r="V2134" s="4">
        <v>75</v>
      </c>
      <c r="W2134" s="4">
        <v>76</v>
      </c>
    </row>
    <row r="2135" spans="1:23" ht="11.25" customHeight="1" x14ac:dyDescent="0.25">
      <c r="A2135" s="4" t="s">
        <v>28</v>
      </c>
      <c r="B2135" s="4" t="s">
        <v>41</v>
      </c>
      <c r="C2135" s="4" t="s">
        <v>39</v>
      </c>
      <c r="D2135" s="4" t="s">
        <v>45</v>
      </c>
      <c r="E2135" s="4" t="s">
        <v>25</v>
      </c>
      <c r="F2135" s="4" t="s">
        <v>25</v>
      </c>
      <c r="G2135" s="4" t="s">
        <v>25</v>
      </c>
      <c r="H2135" s="4" t="s">
        <v>40</v>
      </c>
      <c r="I2135" s="5">
        <v>44348</v>
      </c>
      <c r="J2135" s="6">
        <v>0</v>
      </c>
      <c r="K2135" s="6">
        <v>0</v>
      </c>
      <c r="L2135" s="6">
        <v>2.6019999999999999</v>
      </c>
      <c r="M2135" s="6">
        <v>2.6019999999999999</v>
      </c>
      <c r="N2135" s="6">
        <v>2.6019999999999999</v>
      </c>
      <c r="O2135" s="6">
        <v>2.6019999999999999</v>
      </c>
      <c r="P2135" s="6">
        <v>0</v>
      </c>
      <c r="Q2135" s="4" t="s">
        <v>26</v>
      </c>
      <c r="R2135" s="4">
        <v>0</v>
      </c>
      <c r="S2135" s="4" t="s">
        <v>367</v>
      </c>
      <c r="T2135" s="4" t="s">
        <v>604</v>
      </c>
      <c r="U2135" s="4">
        <v>0</v>
      </c>
      <c r="V2135" s="4">
        <v>75</v>
      </c>
      <c r="W2135" s="4">
        <v>76</v>
      </c>
    </row>
    <row r="2136" spans="1:23" ht="11.25" customHeight="1" x14ac:dyDescent="0.25">
      <c r="A2136" s="4" t="s">
        <v>21</v>
      </c>
      <c r="B2136" s="4" t="s">
        <v>41</v>
      </c>
      <c r="C2136" s="4" t="s">
        <v>39</v>
      </c>
      <c r="D2136" s="4" t="s">
        <v>45</v>
      </c>
      <c r="E2136" s="4" t="s">
        <v>25</v>
      </c>
      <c r="F2136" s="4" t="s">
        <v>25</v>
      </c>
      <c r="G2136" s="4" t="s">
        <v>25</v>
      </c>
      <c r="H2136" s="4" t="s">
        <v>40</v>
      </c>
      <c r="I2136" s="5">
        <v>44378</v>
      </c>
      <c r="J2136" s="6">
        <v>0</v>
      </c>
      <c r="K2136" s="6">
        <v>0</v>
      </c>
      <c r="L2136" s="6">
        <v>2.6880000000000002</v>
      </c>
      <c r="M2136" s="6">
        <v>2.6880000000000002</v>
      </c>
      <c r="N2136" s="6">
        <v>2.6880000000000002</v>
      </c>
      <c r="O2136" s="6">
        <v>2.6880000000000002</v>
      </c>
      <c r="P2136" s="6">
        <v>0</v>
      </c>
      <c r="Q2136" s="4" t="s">
        <v>26</v>
      </c>
      <c r="R2136" s="4">
        <v>0</v>
      </c>
      <c r="S2136" s="4" t="s">
        <v>368</v>
      </c>
      <c r="T2136" s="4" t="s">
        <v>605</v>
      </c>
      <c r="U2136" s="4">
        <v>0</v>
      </c>
      <c r="V2136" s="4">
        <v>75</v>
      </c>
      <c r="W2136" s="4">
        <v>76</v>
      </c>
    </row>
    <row r="2137" spans="1:23" ht="11.25" customHeight="1" x14ac:dyDescent="0.25">
      <c r="A2137" s="4" t="s">
        <v>28</v>
      </c>
      <c r="B2137" s="4" t="s">
        <v>41</v>
      </c>
      <c r="C2137" s="4" t="s">
        <v>39</v>
      </c>
      <c r="D2137" s="4" t="s">
        <v>45</v>
      </c>
      <c r="E2137" s="4" t="s">
        <v>25</v>
      </c>
      <c r="F2137" s="4" t="s">
        <v>25</v>
      </c>
      <c r="G2137" s="4" t="s">
        <v>25</v>
      </c>
      <c r="H2137" s="4" t="s">
        <v>40</v>
      </c>
      <c r="I2137" s="5">
        <v>44378</v>
      </c>
      <c r="J2137" s="6">
        <v>0</v>
      </c>
      <c r="K2137" s="6">
        <v>0</v>
      </c>
      <c r="L2137" s="6">
        <v>2.0569999999999999</v>
      </c>
      <c r="M2137" s="6">
        <v>2.0569999999999999</v>
      </c>
      <c r="N2137" s="6">
        <v>2.0569999999999999</v>
      </c>
      <c r="O2137" s="6">
        <v>2.0569999999999999</v>
      </c>
      <c r="P2137" s="6">
        <v>0</v>
      </c>
      <c r="Q2137" s="4" t="s">
        <v>26</v>
      </c>
      <c r="R2137" s="4">
        <v>0</v>
      </c>
      <c r="S2137" s="4" t="s">
        <v>368</v>
      </c>
      <c r="T2137" s="4" t="s">
        <v>605</v>
      </c>
      <c r="U2137" s="4">
        <v>0</v>
      </c>
      <c r="V2137" s="4">
        <v>75</v>
      </c>
      <c r="W2137" s="4">
        <v>76</v>
      </c>
    </row>
    <row r="2138" spans="1:23" ht="11.25" customHeight="1" x14ac:dyDescent="0.25">
      <c r="A2138" s="4" t="s">
        <v>21</v>
      </c>
      <c r="B2138" s="4" t="s">
        <v>41</v>
      </c>
      <c r="C2138" s="4" t="s">
        <v>39</v>
      </c>
      <c r="D2138" s="4" t="s">
        <v>45</v>
      </c>
      <c r="E2138" s="4" t="s">
        <v>25</v>
      </c>
      <c r="F2138" s="4" t="s">
        <v>25</v>
      </c>
      <c r="G2138" s="4" t="s">
        <v>25</v>
      </c>
      <c r="H2138" s="4" t="s">
        <v>40</v>
      </c>
      <c r="I2138" s="5">
        <v>44409</v>
      </c>
      <c r="J2138" s="6">
        <v>0</v>
      </c>
      <c r="K2138" s="6">
        <v>0</v>
      </c>
      <c r="L2138" s="6">
        <v>3.2440000000000002</v>
      </c>
      <c r="M2138" s="6">
        <v>3.2440000000000002</v>
      </c>
      <c r="N2138" s="6">
        <v>3.2440000000000002</v>
      </c>
      <c r="O2138" s="6">
        <v>3.2440000000000002</v>
      </c>
      <c r="P2138" s="6">
        <v>0</v>
      </c>
      <c r="Q2138" s="4" t="s">
        <v>26</v>
      </c>
      <c r="R2138" s="4">
        <v>0</v>
      </c>
      <c r="S2138" s="4" t="s">
        <v>369</v>
      </c>
      <c r="T2138" s="4" t="s">
        <v>606</v>
      </c>
      <c r="U2138" s="4">
        <v>0</v>
      </c>
      <c r="V2138" s="4">
        <v>75</v>
      </c>
      <c r="W2138" s="4">
        <v>76</v>
      </c>
    </row>
    <row r="2139" spans="1:23" ht="11.25" customHeight="1" x14ac:dyDescent="0.25">
      <c r="A2139" s="4" t="s">
        <v>28</v>
      </c>
      <c r="B2139" s="4" t="s">
        <v>41</v>
      </c>
      <c r="C2139" s="4" t="s">
        <v>39</v>
      </c>
      <c r="D2139" s="4" t="s">
        <v>45</v>
      </c>
      <c r="E2139" s="4" t="s">
        <v>25</v>
      </c>
      <c r="F2139" s="4" t="s">
        <v>25</v>
      </c>
      <c r="G2139" s="4" t="s">
        <v>25</v>
      </c>
      <c r="H2139" s="4" t="s">
        <v>40</v>
      </c>
      <c r="I2139" s="5">
        <v>44409</v>
      </c>
      <c r="J2139" s="6">
        <v>0</v>
      </c>
      <c r="K2139" s="6">
        <v>0</v>
      </c>
      <c r="L2139" s="6">
        <v>2.097</v>
      </c>
      <c r="M2139" s="6">
        <v>2.097</v>
      </c>
      <c r="N2139" s="6">
        <v>2.097</v>
      </c>
      <c r="O2139" s="6">
        <v>2.097</v>
      </c>
      <c r="P2139" s="6">
        <v>0</v>
      </c>
      <c r="Q2139" s="4" t="s">
        <v>26</v>
      </c>
      <c r="R2139" s="4">
        <v>0</v>
      </c>
      <c r="S2139" s="4" t="s">
        <v>369</v>
      </c>
      <c r="T2139" s="4" t="s">
        <v>606</v>
      </c>
      <c r="U2139" s="4">
        <v>0</v>
      </c>
      <c r="V2139" s="4">
        <v>75</v>
      </c>
      <c r="W2139" s="4">
        <v>76</v>
      </c>
    </row>
    <row r="2140" spans="1:23" ht="11.25" customHeight="1" x14ac:dyDescent="0.25">
      <c r="A2140" s="4" t="s">
        <v>21</v>
      </c>
      <c r="B2140" s="4" t="s">
        <v>41</v>
      </c>
      <c r="C2140" s="4" t="s">
        <v>39</v>
      </c>
      <c r="D2140" s="4" t="s">
        <v>45</v>
      </c>
      <c r="E2140" s="4" t="s">
        <v>25</v>
      </c>
      <c r="F2140" s="4" t="s">
        <v>25</v>
      </c>
      <c r="G2140" s="4" t="s">
        <v>25</v>
      </c>
      <c r="H2140" s="4" t="s">
        <v>40</v>
      </c>
      <c r="I2140" s="5">
        <v>44440</v>
      </c>
      <c r="J2140" s="6">
        <v>0</v>
      </c>
      <c r="K2140" s="6">
        <v>0</v>
      </c>
      <c r="L2140" s="6">
        <v>2.6070000000000002</v>
      </c>
      <c r="M2140" s="6">
        <v>2.6070000000000002</v>
      </c>
      <c r="N2140" s="6">
        <v>2.6070000000000002</v>
      </c>
      <c r="O2140" s="6">
        <v>2.6070000000000002</v>
      </c>
      <c r="P2140" s="6">
        <v>0</v>
      </c>
      <c r="Q2140" s="4" t="s">
        <v>26</v>
      </c>
      <c r="R2140" s="4">
        <v>0</v>
      </c>
      <c r="S2140" s="4" t="s">
        <v>370</v>
      </c>
      <c r="T2140" s="4" t="s">
        <v>607</v>
      </c>
      <c r="U2140" s="4">
        <v>0</v>
      </c>
      <c r="V2140" s="4">
        <v>75</v>
      </c>
      <c r="W2140" s="4">
        <v>76</v>
      </c>
    </row>
    <row r="2141" spans="1:23" ht="11.25" customHeight="1" x14ac:dyDescent="0.25">
      <c r="A2141" s="4" t="s">
        <v>28</v>
      </c>
      <c r="B2141" s="4" t="s">
        <v>41</v>
      </c>
      <c r="C2141" s="4" t="s">
        <v>39</v>
      </c>
      <c r="D2141" s="4" t="s">
        <v>45</v>
      </c>
      <c r="E2141" s="4" t="s">
        <v>25</v>
      </c>
      <c r="F2141" s="4" t="s">
        <v>25</v>
      </c>
      <c r="G2141" s="4" t="s">
        <v>25</v>
      </c>
      <c r="H2141" s="4" t="s">
        <v>40</v>
      </c>
      <c r="I2141" s="5">
        <v>44440</v>
      </c>
      <c r="J2141" s="6">
        <v>0</v>
      </c>
      <c r="K2141" s="6">
        <v>0</v>
      </c>
      <c r="L2141" s="6">
        <v>2.3130000000000002</v>
      </c>
      <c r="M2141" s="6">
        <v>2.3130000000000002</v>
      </c>
      <c r="N2141" s="6">
        <v>2.3130000000000002</v>
      </c>
      <c r="O2141" s="6">
        <v>2.3130000000000002</v>
      </c>
      <c r="P2141" s="6">
        <v>0</v>
      </c>
      <c r="Q2141" s="4" t="s">
        <v>26</v>
      </c>
      <c r="R2141" s="4">
        <v>0</v>
      </c>
      <c r="S2141" s="4" t="s">
        <v>370</v>
      </c>
      <c r="T2141" s="4" t="s">
        <v>607</v>
      </c>
      <c r="U2141" s="4">
        <v>0</v>
      </c>
      <c r="V2141" s="4">
        <v>75</v>
      </c>
      <c r="W2141" s="4">
        <v>76</v>
      </c>
    </row>
    <row r="2142" spans="1:23" ht="11.25" customHeight="1" x14ac:dyDescent="0.25">
      <c r="A2142" s="4" t="s">
        <v>30</v>
      </c>
      <c r="B2142" s="4" t="s">
        <v>41</v>
      </c>
      <c r="C2142" s="4" t="s">
        <v>39</v>
      </c>
      <c r="D2142" s="4" t="s">
        <v>45</v>
      </c>
      <c r="E2142" s="4" t="s">
        <v>25</v>
      </c>
      <c r="F2142" s="4" t="s">
        <v>25</v>
      </c>
      <c r="G2142" s="4" t="s">
        <v>25</v>
      </c>
      <c r="H2142" s="4" t="s">
        <v>40</v>
      </c>
      <c r="I2142" s="5">
        <v>44440</v>
      </c>
      <c r="J2142" s="6">
        <v>0</v>
      </c>
      <c r="K2142" s="6">
        <v>0</v>
      </c>
      <c r="L2142" s="6">
        <v>1.2E-2</v>
      </c>
      <c r="M2142" s="6">
        <v>1.2E-2</v>
      </c>
      <c r="N2142" s="6">
        <v>1.2E-2</v>
      </c>
      <c r="O2142" s="6">
        <v>1.2E-2</v>
      </c>
      <c r="P2142" s="6">
        <v>0</v>
      </c>
      <c r="Q2142" s="4" t="s">
        <v>26</v>
      </c>
      <c r="R2142" s="4">
        <v>0</v>
      </c>
      <c r="S2142" s="4" t="s">
        <v>370</v>
      </c>
      <c r="T2142" s="4" t="s">
        <v>607</v>
      </c>
      <c r="U2142" s="4">
        <v>0</v>
      </c>
      <c r="V2142" s="4">
        <v>75</v>
      </c>
      <c r="W2142" s="4">
        <v>76</v>
      </c>
    </row>
    <row r="2143" spans="1:23" ht="11.25" customHeight="1" x14ac:dyDescent="0.25">
      <c r="A2143" s="4" t="s">
        <v>59</v>
      </c>
      <c r="B2143" s="4" t="s">
        <v>41</v>
      </c>
      <c r="C2143" s="4" t="s">
        <v>39</v>
      </c>
      <c r="D2143" s="4" t="s">
        <v>45</v>
      </c>
      <c r="E2143" s="4" t="s">
        <v>25</v>
      </c>
      <c r="F2143" s="4" t="s">
        <v>25</v>
      </c>
      <c r="G2143" s="4" t="s">
        <v>25</v>
      </c>
      <c r="H2143" s="4" t="s">
        <v>40</v>
      </c>
      <c r="I2143" s="5">
        <v>44470</v>
      </c>
      <c r="J2143" s="6">
        <v>0</v>
      </c>
      <c r="K2143" s="6">
        <v>0</v>
      </c>
      <c r="L2143" s="6">
        <v>2.6070000000000002</v>
      </c>
      <c r="M2143" s="6">
        <v>2.6070000000000002</v>
      </c>
      <c r="N2143" s="6">
        <v>2.6070000000000002</v>
      </c>
      <c r="O2143" s="6">
        <v>2.6070000000000002</v>
      </c>
      <c r="P2143" s="6">
        <v>0</v>
      </c>
      <c r="Q2143" s="4" t="s">
        <v>26</v>
      </c>
      <c r="R2143" s="4">
        <v>0</v>
      </c>
      <c r="S2143" s="4" t="s">
        <v>371</v>
      </c>
      <c r="T2143" s="4" t="s">
        <v>608</v>
      </c>
      <c r="U2143" s="4">
        <v>0</v>
      </c>
      <c r="V2143" s="4">
        <v>75</v>
      </c>
      <c r="W2143" s="4">
        <v>76</v>
      </c>
    </row>
    <row r="2144" spans="1:23" ht="11.25" customHeight="1" x14ac:dyDescent="0.25">
      <c r="A2144" s="4" t="s">
        <v>59</v>
      </c>
      <c r="B2144" s="4" t="s">
        <v>41</v>
      </c>
      <c r="C2144" s="4" t="s">
        <v>39</v>
      </c>
      <c r="D2144" s="4" t="s">
        <v>45</v>
      </c>
      <c r="E2144" s="4" t="s">
        <v>25</v>
      </c>
      <c r="F2144" s="4" t="s">
        <v>25</v>
      </c>
      <c r="G2144" s="4" t="s">
        <v>25</v>
      </c>
      <c r="H2144" s="4" t="s">
        <v>40</v>
      </c>
      <c r="I2144" s="5">
        <v>44470</v>
      </c>
      <c r="J2144" s="6">
        <v>0</v>
      </c>
      <c r="K2144" s="6">
        <v>0</v>
      </c>
      <c r="L2144" s="6">
        <v>2.3130000000000002</v>
      </c>
      <c r="M2144" s="6">
        <v>2.3130000000000002</v>
      </c>
      <c r="N2144" s="6">
        <v>2.3130000000000002</v>
      </c>
      <c r="O2144" s="6">
        <v>2.3130000000000002</v>
      </c>
      <c r="P2144" s="6">
        <v>0</v>
      </c>
      <c r="Q2144" s="4" t="s">
        <v>26</v>
      </c>
      <c r="R2144" s="4">
        <v>0</v>
      </c>
      <c r="S2144" s="4" t="s">
        <v>371</v>
      </c>
      <c r="T2144" s="4" t="s">
        <v>608</v>
      </c>
      <c r="U2144" s="4">
        <v>0</v>
      </c>
      <c r="V2144" s="4">
        <v>75</v>
      </c>
      <c r="W2144" s="4">
        <v>76</v>
      </c>
    </row>
    <row r="2145" spans="1:23" ht="11.25" customHeight="1" x14ac:dyDescent="0.25">
      <c r="A2145" s="4" t="s">
        <v>59</v>
      </c>
      <c r="B2145" s="4" t="s">
        <v>41</v>
      </c>
      <c r="C2145" s="4" t="s">
        <v>39</v>
      </c>
      <c r="D2145" s="4" t="s">
        <v>45</v>
      </c>
      <c r="E2145" s="4" t="s">
        <v>25</v>
      </c>
      <c r="F2145" s="4" t="s">
        <v>25</v>
      </c>
      <c r="G2145" s="4" t="s">
        <v>25</v>
      </c>
      <c r="H2145" s="4" t="s">
        <v>40</v>
      </c>
      <c r="I2145" s="5">
        <v>44470</v>
      </c>
      <c r="J2145" s="6">
        <v>0</v>
      </c>
      <c r="K2145" s="6">
        <v>0</v>
      </c>
      <c r="L2145" s="6">
        <v>1.2E-2</v>
      </c>
      <c r="M2145" s="6">
        <v>1.2E-2</v>
      </c>
      <c r="N2145" s="6">
        <v>1.2E-2</v>
      </c>
      <c r="O2145" s="6">
        <v>1.2E-2</v>
      </c>
      <c r="P2145" s="6">
        <v>0</v>
      </c>
      <c r="Q2145" s="4" t="s">
        <v>26</v>
      </c>
      <c r="R2145" s="4">
        <v>0</v>
      </c>
      <c r="S2145" s="4" t="s">
        <v>371</v>
      </c>
      <c r="T2145" s="4" t="s">
        <v>608</v>
      </c>
      <c r="U2145" s="4">
        <v>0</v>
      </c>
      <c r="V2145" s="4">
        <v>75</v>
      </c>
      <c r="W2145" s="4">
        <v>76</v>
      </c>
    </row>
    <row r="2146" spans="1:23" ht="11.25" customHeight="1" x14ac:dyDescent="0.25">
      <c r="A2146" s="4" t="s">
        <v>21</v>
      </c>
      <c r="B2146" s="4" t="s">
        <v>41</v>
      </c>
      <c r="C2146" s="4" t="s">
        <v>39</v>
      </c>
      <c r="D2146" s="4" t="s">
        <v>45</v>
      </c>
      <c r="E2146" s="4" t="s">
        <v>25</v>
      </c>
      <c r="F2146" s="4" t="s">
        <v>25</v>
      </c>
      <c r="G2146" s="4" t="s">
        <v>25</v>
      </c>
      <c r="H2146" s="4" t="s">
        <v>37</v>
      </c>
      <c r="I2146" s="5">
        <v>44136</v>
      </c>
      <c r="J2146" s="6">
        <v>0</v>
      </c>
      <c r="K2146" s="6">
        <v>0</v>
      </c>
      <c r="L2146" s="6">
        <v>35.692</v>
      </c>
      <c r="M2146" s="6">
        <v>35.692</v>
      </c>
      <c r="N2146" s="6">
        <v>35.692</v>
      </c>
      <c r="O2146" s="6">
        <v>35.692</v>
      </c>
      <c r="P2146" s="6">
        <v>0</v>
      </c>
      <c r="Q2146" s="4" t="s">
        <v>26</v>
      </c>
      <c r="R2146" s="4">
        <v>0</v>
      </c>
      <c r="S2146" s="4" t="s">
        <v>372</v>
      </c>
      <c r="T2146" s="4" t="s">
        <v>609</v>
      </c>
      <c r="U2146" s="4">
        <v>0</v>
      </c>
      <c r="V2146" s="4">
        <v>74</v>
      </c>
      <c r="W2146" s="4">
        <v>82</v>
      </c>
    </row>
    <row r="2147" spans="1:23" ht="11.25" customHeight="1" x14ac:dyDescent="0.25">
      <c r="A2147" s="4" t="s">
        <v>27</v>
      </c>
      <c r="B2147" s="4" t="s">
        <v>41</v>
      </c>
      <c r="C2147" s="4" t="s">
        <v>39</v>
      </c>
      <c r="D2147" s="4" t="s">
        <v>45</v>
      </c>
      <c r="E2147" s="4" t="s">
        <v>25</v>
      </c>
      <c r="F2147" s="4" t="s">
        <v>25</v>
      </c>
      <c r="G2147" s="4" t="s">
        <v>25</v>
      </c>
      <c r="H2147" s="4" t="s">
        <v>37</v>
      </c>
      <c r="I2147" s="5">
        <v>44136</v>
      </c>
      <c r="J2147" s="6">
        <v>0</v>
      </c>
      <c r="K2147" s="6">
        <v>0</v>
      </c>
      <c r="L2147" s="6">
        <v>-2.38</v>
      </c>
      <c r="M2147" s="6">
        <v>-2.38</v>
      </c>
      <c r="N2147" s="6">
        <v>-2.38</v>
      </c>
      <c r="O2147" s="6">
        <v>-2.38</v>
      </c>
      <c r="P2147" s="6">
        <v>0</v>
      </c>
      <c r="Q2147" s="4" t="s">
        <v>26</v>
      </c>
      <c r="R2147" s="4">
        <v>0</v>
      </c>
      <c r="S2147" s="4" t="s">
        <v>372</v>
      </c>
      <c r="T2147" s="4" t="s">
        <v>609</v>
      </c>
      <c r="U2147" s="4">
        <v>0</v>
      </c>
      <c r="V2147" s="4">
        <v>74</v>
      </c>
      <c r="W2147" s="4">
        <v>82</v>
      </c>
    </row>
    <row r="2148" spans="1:23" ht="11.25" customHeight="1" x14ac:dyDescent="0.25">
      <c r="A2148" s="4" t="s">
        <v>28</v>
      </c>
      <c r="B2148" s="4" t="s">
        <v>41</v>
      </c>
      <c r="C2148" s="4" t="s">
        <v>39</v>
      </c>
      <c r="D2148" s="4" t="s">
        <v>45</v>
      </c>
      <c r="E2148" s="4" t="s">
        <v>25</v>
      </c>
      <c r="F2148" s="4" t="s">
        <v>25</v>
      </c>
      <c r="G2148" s="4" t="s">
        <v>25</v>
      </c>
      <c r="H2148" s="4" t="s">
        <v>37</v>
      </c>
      <c r="I2148" s="5">
        <v>44136</v>
      </c>
      <c r="J2148" s="6">
        <v>0</v>
      </c>
      <c r="K2148" s="6">
        <v>0</v>
      </c>
      <c r="L2148" s="6">
        <v>5.8289999999999997</v>
      </c>
      <c r="M2148" s="6">
        <v>5.8289999999999997</v>
      </c>
      <c r="N2148" s="6">
        <v>5.8289999999999997</v>
      </c>
      <c r="O2148" s="6">
        <v>5.8289999999999997</v>
      </c>
      <c r="P2148" s="6">
        <v>0</v>
      </c>
      <c r="Q2148" s="4" t="s">
        <v>26</v>
      </c>
      <c r="R2148" s="4">
        <v>0</v>
      </c>
      <c r="S2148" s="4" t="s">
        <v>372</v>
      </c>
      <c r="T2148" s="4" t="s">
        <v>609</v>
      </c>
      <c r="U2148" s="4">
        <v>0</v>
      </c>
      <c r="V2148" s="4">
        <v>74</v>
      </c>
      <c r="W2148" s="4">
        <v>82</v>
      </c>
    </row>
    <row r="2149" spans="1:23" ht="11.25" customHeight="1" x14ac:dyDescent="0.25">
      <c r="A2149" s="4" t="s">
        <v>21</v>
      </c>
      <c r="B2149" s="4" t="s">
        <v>41</v>
      </c>
      <c r="C2149" s="4" t="s">
        <v>39</v>
      </c>
      <c r="D2149" s="4" t="s">
        <v>45</v>
      </c>
      <c r="E2149" s="4" t="s">
        <v>25</v>
      </c>
      <c r="F2149" s="4" t="s">
        <v>25</v>
      </c>
      <c r="G2149" s="4" t="s">
        <v>25</v>
      </c>
      <c r="H2149" s="4" t="s">
        <v>37</v>
      </c>
      <c r="I2149" s="5">
        <v>44166</v>
      </c>
      <c r="J2149" s="6">
        <v>0</v>
      </c>
      <c r="K2149" s="6">
        <v>0</v>
      </c>
      <c r="L2149" s="6">
        <v>10.847</v>
      </c>
      <c r="M2149" s="6">
        <v>10.847</v>
      </c>
      <c r="N2149" s="6">
        <v>10.847</v>
      </c>
      <c r="O2149" s="6">
        <v>10.847</v>
      </c>
      <c r="P2149" s="6">
        <v>0</v>
      </c>
      <c r="Q2149" s="4" t="s">
        <v>26</v>
      </c>
      <c r="R2149" s="4">
        <v>0</v>
      </c>
      <c r="S2149" s="4" t="s">
        <v>373</v>
      </c>
      <c r="T2149" s="4" t="s">
        <v>610</v>
      </c>
      <c r="U2149" s="4">
        <v>0</v>
      </c>
      <c r="V2149" s="4">
        <v>74</v>
      </c>
      <c r="W2149" s="4">
        <v>82</v>
      </c>
    </row>
    <row r="2150" spans="1:23" ht="11.25" customHeight="1" x14ac:dyDescent="0.25">
      <c r="A2150" s="4" t="s">
        <v>28</v>
      </c>
      <c r="B2150" s="4" t="s">
        <v>41</v>
      </c>
      <c r="C2150" s="4" t="s">
        <v>39</v>
      </c>
      <c r="D2150" s="4" t="s">
        <v>45</v>
      </c>
      <c r="E2150" s="4" t="s">
        <v>25</v>
      </c>
      <c r="F2150" s="4" t="s">
        <v>25</v>
      </c>
      <c r="G2150" s="4" t="s">
        <v>25</v>
      </c>
      <c r="H2150" s="4" t="s">
        <v>37</v>
      </c>
      <c r="I2150" s="5">
        <v>44166</v>
      </c>
      <c r="J2150" s="6">
        <v>0</v>
      </c>
      <c r="K2150" s="6">
        <v>0</v>
      </c>
      <c r="L2150" s="6">
        <v>6.3739999999999997</v>
      </c>
      <c r="M2150" s="6">
        <v>6.3739999999999997</v>
      </c>
      <c r="N2150" s="6">
        <v>6.3739999999999997</v>
      </c>
      <c r="O2150" s="6">
        <v>6.3739999999999997</v>
      </c>
      <c r="P2150" s="6">
        <v>0</v>
      </c>
      <c r="Q2150" s="4" t="s">
        <v>26</v>
      </c>
      <c r="R2150" s="4">
        <v>0</v>
      </c>
      <c r="S2150" s="4" t="s">
        <v>373</v>
      </c>
      <c r="T2150" s="4" t="s">
        <v>610</v>
      </c>
      <c r="U2150" s="4">
        <v>0</v>
      </c>
      <c r="V2150" s="4">
        <v>74</v>
      </c>
      <c r="W2150" s="4">
        <v>82</v>
      </c>
    </row>
    <row r="2151" spans="1:23" ht="11.25" customHeight="1" x14ac:dyDescent="0.25">
      <c r="A2151" s="4" t="s">
        <v>21</v>
      </c>
      <c r="B2151" s="4" t="s">
        <v>41</v>
      </c>
      <c r="C2151" s="4" t="s">
        <v>39</v>
      </c>
      <c r="D2151" s="4" t="s">
        <v>45</v>
      </c>
      <c r="E2151" s="4" t="s">
        <v>25</v>
      </c>
      <c r="F2151" s="4" t="s">
        <v>25</v>
      </c>
      <c r="G2151" s="4" t="s">
        <v>25</v>
      </c>
      <c r="H2151" s="4" t="s">
        <v>37</v>
      </c>
      <c r="I2151" s="5">
        <v>44197</v>
      </c>
      <c r="J2151" s="6">
        <v>0</v>
      </c>
      <c r="K2151" s="6">
        <v>0</v>
      </c>
      <c r="L2151" s="6">
        <v>7.8710000000000004</v>
      </c>
      <c r="M2151" s="6">
        <v>7.8710000000000004</v>
      </c>
      <c r="N2151" s="6">
        <v>7.8710000000000004</v>
      </c>
      <c r="O2151" s="6">
        <v>7.8710000000000004</v>
      </c>
      <c r="P2151" s="6">
        <v>0</v>
      </c>
      <c r="Q2151" s="4" t="s">
        <v>26</v>
      </c>
      <c r="R2151" s="4">
        <v>0</v>
      </c>
      <c r="S2151" s="4" t="s">
        <v>374</v>
      </c>
      <c r="T2151" s="4" t="s">
        <v>611</v>
      </c>
      <c r="U2151" s="4">
        <v>0</v>
      </c>
      <c r="V2151" s="4">
        <v>74</v>
      </c>
      <c r="W2151" s="4">
        <v>82</v>
      </c>
    </row>
    <row r="2152" spans="1:23" ht="11.25" customHeight="1" x14ac:dyDescent="0.25">
      <c r="A2152" s="4" t="s">
        <v>27</v>
      </c>
      <c r="B2152" s="4" t="s">
        <v>41</v>
      </c>
      <c r="C2152" s="4" t="s">
        <v>39</v>
      </c>
      <c r="D2152" s="4" t="s">
        <v>45</v>
      </c>
      <c r="E2152" s="4" t="s">
        <v>25</v>
      </c>
      <c r="F2152" s="4" t="s">
        <v>25</v>
      </c>
      <c r="G2152" s="4" t="s">
        <v>25</v>
      </c>
      <c r="H2152" s="4" t="s">
        <v>37</v>
      </c>
      <c r="I2152" s="5">
        <v>44197</v>
      </c>
      <c r="J2152" s="6">
        <v>0</v>
      </c>
      <c r="K2152" s="6">
        <v>0</v>
      </c>
      <c r="L2152" s="6">
        <v>-1.8660000000000001</v>
      </c>
      <c r="M2152" s="6">
        <v>-1.8660000000000001</v>
      </c>
      <c r="N2152" s="6">
        <v>-1.8660000000000001</v>
      </c>
      <c r="O2152" s="6">
        <v>-1.8660000000000001</v>
      </c>
      <c r="P2152" s="6">
        <v>0</v>
      </c>
      <c r="Q2152" s="4" t="s">
        <v>26</v>
      </c>
      <c r="R2152" s="4">
        <v>0</v>
      </c>
      <c r="S2152" s="4" t="s">
        <v>374</v>
      </c>
      <c r="T2152" s="4" t="s">
        <v>611</v>
      </c>
      <c r="U2152" s="4">
        <v>0</v>
      </c>
      <c r="V2152" s="4">
        <v>74</v>
      </c>
      <c r="W2152" s="4">
        <v>82</v>
      </c>
    </row>
    <row r="2153" spans="1:23" ht="11.25" customHeight="1" x14ac:dyDescent="0.25">
      <c r="A2153" s="4" t="s">
        <v>28</v>
      </c>
      <c r="B2153" s="4" t="s">
        <v>41</v>
      </c>
      <c r="C2153" s="4" t="s">
        <v>39</v>
      </c>
      <c r="D2153" s="4" t="s">
        <v>45</v>
      </c>
      <c r="E2153" s="4" t="s">
        <v>25</v>
      </c>
      <c r="F2153" s="4" t="s">
        <v>25</v>
      </c>
      <c r="G2153" s="4" t="s">
        <v>25</v>
      </c>
      <c r="H2153" s="4" t="s">
        <v>37</v>
      </c>
      <c r="I2153" s="5">
        <v>44197</v>
      </c>
      <c r="J2153" s="6">
        <v>0</v>
      </c>
      <c r="K2153" s="6">
        <v>0</v>
      </c>
      <c r="L2153" s="6">
        <v>6.2210000000000001</v>
      </c>
      <c r="M2153" s="6">
        <v>6.2210000000000001</v>
      </c>
      <c r="N2153" s="6">
        <v>6.2210000000000001</v>
      </c>
      <c r="O2153" s="6">
        <v>6.2210000000000001</v>
      </c>
      <c r="P2153" s="6">
        <v>0</v>
      </c>
      <c r="Q2153" s="4" t="s">
        <v>26</v>
      </c>
      <c r="R2153" s="4">
        <v>0</v>
      </c>
      <c r="S2153" s="4" t="s">
        <v>374</v>
      </c>
      <c r="T2153" s="4" t="s">
        <v>611</v>
      </c>
      <c r="U2153" s="4">
        <v>0</v>
      </c>
      <c r="V2153" s="4">
        <v>74</v>
      </c>
      <c r="W2153" s="4">
        <v>82</v>
      </c>
    </row>
    <row r="2154" spans="1:23" ht="11.25" customHeight="1" x14ac:dyDescent="0.25">
      <c r="A2154" s="4" t="s">
        <v>21</v>
      </c>
      <c r="B2154" s="4" t="s">
        <v>41</v>
      </c>
      <c r="C2154" s="4" t="s">
        <v>39</v>
      </c>
      <c r="D2154" s="4" t="s">
        <v>45</v>
      </c>
      <c r="E2154" s="4" t="s">
        <v>25</v>
      </c>
      <c r="F2154" s="4" t="s">
        <v>25</v>
      </c>
      <c r="G2154" s="4" t="s">
        <v>25</v>
      </c>
      <c r="H2154" s="4" t="s">
        <v>37</v>
      </c>
      <c r="I2154" s="5">
        <v>44228</v>
      </c>
      <c r="J2154" s="6">
        <v>0</v>
      </c>
      <c r="K2154" s="6">
        <v>0</v>
      </c>
      <c r="L2154" s="6">
        <v>5.0780000000000003</v>
      </c>
      <c r="M2154" s="6">
        <v>5.0780000000000003</v>
      </c>
      <c r="N2154" s="6">
        <v>5.0780000000000003</v>
      </c>
      <c r="O2154" s="6">
        <v>5.0780000000000003</v>
      </c>
      <c r="P2154" s="6">
        <v>0</v>
      </c>
      <c r="Q2154" s="4" t="s">
        <v>26</v>
      </c>
      <c r="R2154" s="4">
        <v>0</v>
      </c>
      <c r="S2154" s="4" t="s">
        <v>375</v>
      </c>
      <c r="T2154" s="4" t="s">
        <v>612</v>
      </c>
      <c r="U2154" s="4">
        <v>0</v>
      </c>
      <c r="V2154" s="4">
        <v>74</v>
      </c>
      <c r="W2154" s="4">
        <v>82</v>
      </c>
    </row>
    <row r="2155" spans="1:23" ht="11.25" customHeight="1" x14ac:dyDescent="0.25">
      <c r="A2155" s="4" t="s">
        <v>27</v>
      </c>
      <c r="B2155" s="4" t="s">
        <v>41</v>
      </c>
      <c r="C2155" s="4" t="s">
        <v>39</v>
      </c>
      <c r="D2155" s="4" t="s">
        <v>45</v>
      </c>
      <c r="E2155" s="4" t="s">
        <v>25</v>
      </c>
      <c r="F2155" s="4" t="s">
        <v>25</v>
      </c>
      <c r="G2155" s="4" t="s">
        <v>25</v>
      </c>
      <c r="H2155" s="4" t="s">
        <v>37</v>
      </c>
      <c r="I2155" s="5">
        <v>44228</v>
      </c>
      <c r="J2155" s="6">
        <v>0</v>
      </c>
      <c r="K2155" s="6">
        <v>0</v>
      </c>
      <c r="L2155" s="6">
        <v>-3.7789999999999999</v>
      </c>
      <c r="M2155" s="6">
        <v>-3.7789999999999999</v>
      </c>
      <c r="N2155" s="6">
        <v>-3.7789999999999999</v>
      </c>
      <c r="O2155" s="6">
        <v>-3.7789999999999999</v>
      </c>
      <c r="P2155" s="6">
        <v>0</v>
      </c>
      <c r="Q2155" s="4" t="s">
        <v>26</v>
      </c>
      <c r="R2155" s="4">
        <v>0</v>
      </c>
      <c r="S2155" s="4" t="s">
        <v>375</v>
      </c>
      <c r="T2155" s="4" t="s">
        <v>612</v>
      </c>
      <c r="U2155" s="4">
        <v>0</v>
      </c>
      <c r="V2155" s="4">
        <v>74</v>
      </c>
      <c r="W2155" s="4">
        <v>82</v>
      </c>
    </row>
    <row r="2156" spans="1:23" ht="11.25" customHeight="1" x14ac:dyDescent="0.25">
      <c r="A2156" s="4" t="s">
        <v>28</v>
      </c>
      <c r="B2156" s="4" t="s">
        <v>41</v>
      </c>
      <c r="C2156" s="4" t="s">
        <v>39</v>
      </c>
      <c r="D2156" s="4" t="s">
        <v>45</v>
      </c>
      <c r="E2156" s="4" t="s">
        <v>25</v>
      </c>
      <c r="F2156" s="4" t="s">
        <v>25</v>
      </c>
      <c r="G2156" s="4" t="s">
        <v>25</v>
      </c>
      <c r="H2156" s="4" t="s">
        <v>37</v>
      </c>
      <c r="I2156" s="5">
        <v>44228</v>
      </c>
      <c r="J2156" s="6">
        <v>0</v>
      </c>
      <c r="K2156" s="6">
        <v>0</v>
      </c>
      <c r="L2156" s="6">
        <v>6.6580000000000004</v>
      </c>
      <c r="M2156" s="6">
        <v>6.6580000000000004</v>
      </c>
      <c r="N2156" s="6">
        <v>6.6580000000000004</v>
      </c>
      <c r="O2156" s="6">
        <v>6.6580000000000004</v>
      </c>
      <c r="P2156" s="6">
        <v>0</v>
      </c>
      <c r="Q2156" s="4" t="s">
        <v>26</v>
      </c>
      <c r="R2156" s="4">
        <v>0</v>
      </c>
      <c r="S2156" s="4" t="s">
        <v>375</v>
      </c>
      <c r="T2156" s="4" t="s">
        <v>612</v>
      </c>
      <c r="U2156" s="4">
        <v>0</v>
      </c>
      <c r="V2156" s="4">
        <v>74</v>
      </c>
      <c r="W2156" s="4">
        <v>82</v>
      </c>
    </row>
    <row r="2157" spans="1:23" ht="11.25" customHeight="1" x14ac:dyDescent="0.25">
      <c r="A2157" s="4" t="s">
        <v>21</v>
      </c>
      <c r="B2157" s="4" t="s">
        <v>41</v>
      </c>
      <c r="C2157" s="4" t="s">
        <v>39</v>
      </c>
      <c r="D2157" s="4" t="s">
        <v>45</v>
      </c>
      <c r="E2157" s="4" t="s">
        <v>25</v>
      </c>
      <c r="F2157" s="4" t="s">
        <v>25</v>
      </c>
      <c r="G2157" s="4" t="s">
        <v>25</v>
      </c>
      <c r="H2157" s="4" t="s">
        <v>37</v>
      </c>
      <c r="I2157" s="5">
        <v>44256</v>
      </c>
      <c r="J2157" s="6">
        <v>0</v>
      </c>
      <c r="K2157" s="6">
        <v>0</v>
      </c>
      <c r="L2157" s="6">
        <v>3.1930000000000001</v>
      </c>
      <c r="M2157" s="6">
        <v>3.1930000000000001</v>
      </c>
      <c r="N2157" s="6">
        <v>3.1930000000000001</v>
      </c>
      <c r="O2157" s="6">
        <v>3.1930000000000001</v>
      </c>
      <c r="P2157" s="6">
        <v>0</v>
      </c>
      <c r="Q2157" s="4" t="s">
        <v>26</v>
      </c>
      <c r="R2157" s="4">
        <v>0</v>
      </c>
      <c r="S2157" s="4" t="s">
        <v>376</v>
      </c>
      <c r="T2157" s="4" t="s">
        <v>613</v>
      </c>
      <c r="U2157" s="4">
        <v>0</v>
      </c>
      <c r="V2157" s="4">
        <v>74</v>
      </c>
      <c r="W2157" s="4">
        <v>82</v>
      </c>
    </row>
    <row r="2158" spans="1:23" ht="11.25" customHeight="1" x14ac:dyDescent="0.25">
      <c r="A2158" s="4" t="s">
        <v>27</v>
      </c>
      <c r="B2158" s="4" t="s">
        <v>41</v>
      </c>
      <c r="C2158" s="4" t="s">
        <v>39</v>
      </c>
      <c r="D2158" s="4" t="s">
        <v>45</v>
      </c>
      <c r="E2158" s="4" t="s">
        <v>25</v>
      </c>
      <c r="F2158" s="4" t="s">
        <v>25</v>
      </c>
      <c r="G2158" s="4" t="s">
        <v>25</v>
      </c>
      <c r="H2158" s="4" t="s">
        <v>37</v>
      </c>
      <c r="I2158" s="5">
        <v>44256</v>
      </c>
      <c r="J2158" s="6">
        <v>0</v>
      </c>
      <c r="K2158" s="6">
        <v>0</v>
      </c>
      <c r="L2158" s="6">
        <v>-4.8579999999999997</v>
      </c>
      <c r="M2158" s="6">
        <v>-4.8579999999999997</v>
      </c>
      <c r="N2158" s="6">
        <v>-4.8579999999999997</v>
      </c>
      <c r="O2158" s="6">
        <v>-4.8579999999999997</v>
      </c>
      <c r="P2158" s="6">
        <v>0</v>
      </c>
      <c r="Q2158" s="4" t="s">
        <v>26</v>
      </c>
      <c r="R2158" s="4">
        <v>0</v>
      </c>
      <c r="S2158" s="4" t="s">
        <v>376</v>
      </c>
      <c r="T2158" s="4" t="s">
        <v>613</v>
      </c>
      <c r="U2158" s="4">
        <v>0</v>
      </c>
      <c r="V2158" s="4">
        <v>74</v>
      </c>
      <c r="W2158" s="4">
        <v>82</v>
      </c>
    </row>
    <row r="2159" spans="1:23" ht="11.25" customHeight="1" x14ac:dyDescent="0.25">
      <c r="A2159" s="4" t="s">
        <v>28</v>
      </c>
      <c r="B2159" s="4" t="s">
        <v>41</v>
      </c>
      <c r="C2159" s="4" t="s">
        <v>39</v>
      </c>
      <c r="D2159" s="4" t="s">
        <v>45</v>
      </c>
      <c r="E2159" s="4" t="s">
        <v>25</v>
      </c>
      <c r="F2159" s="4" t="s">
        <v>25</v>
      </c>
      <c r="G2159" s="4" t="s">
        <v>25</v>
      </c>
      <c r="H2159" s="4" t="s">
        <v>37</v>
      </c>
      <c r="I2159" s="5">
        <v>44256</v>
      </c>
      <c r="J2159" s="6">
        <v>0</v>
      </c>
      <c r="K2159" s="6">
        <v>0</v>
      </c>
      <c r="L2159" s="6">
        <v>5.5049999999999999</v>
      </c>
      <c r="M2159" s="6">
        <v>5.5049999999999999</v>
      </c>
      <c r="N2159" s="6">
        <v>5.5049999999999999</v>
      </c>
      <c r="O2159" s="6">
        <v>5.5049999999999999</v>
      </c>
      <c r="P2159" s="6">
        <v>0</v>
      </c>
      <c r="Q2159" s="4" t="s">
        <v>26</v>
      </c>
      <c r="R2159" s="4">
        <v>0</v>
      </c>
      <c r="S2159" s="4" t="s">
        <v>376</v>
      </c>
      <c r="T2159" s="4" t="s">
        <v>613</v>
      </c>
      <c r="U2159" s="4">
        <v>0</v>
      </c>
      <c r="V2159" s="4">
        <v>74</v>
      </c>
      <c r="W2159" s="4">
        <v>82</v>
      </c>
    </row>
    <row r="2160" spans="1:23" ht="11.25" customHeight="1" x14ac:dyDescent="0.25">
      <c r="A2160" s="4" t="s">
        <v>29</v>
      </c>
      <c r="B2160" s="4" t="s">
        <v>41</v>
      </c>
      <c r="C2160" s="4" t="s">
        <v>39</v>
      </c>
      <c r="D2160" s="4" t="s">
        <v>45</v>
      </c>
      <c r="E2160" s="4" t="s">
        <v>25</v>
      </c>
      <c r="F2160" s="4" t="s">
        <v>25</v>
      </c>
      <c r="G2160" s="4" t="s">
        <v>25</v>
      </c>
      <c r="H2160" s="4" t="s">
        <v>37</v>
      </c>
      <c r="I2160" s="5">
        <v>44256</v>
      </c>
      <c r="J2160" s="6">
        <v>0</v>
      </c>
      <c r="K2160" s="6">
        <v>0</v>
      </c>
      <c r="L2160" s="6">
        <v>-1.01</v>
      </c>
      <c r="M2160" s="6">
        <v>-1.01</v>
      </c>
      <c r="N2160" s="6">
        <v>-1.01</v>
      </c>
      <c r="O2160" s="6">
        <v>-1.01</v>
      </c>
      <c r="P2160" s="6">
        <v>0</v>
      </c>
      <c r="Q2160" s="4" t="s">
        <v>26</v>
      </c>
      <c r="R2160" s="4">
        <v>0</v>
      </c>
      <c r="S2160" s="4" t="s">
        <v>376</v>
      </c>
      <c r="T2160" s="4" t="s">
        <v>613</v>
      </c>
      <c r="U2160" s="4">
        <v>0</v>
      </c>
      <c r="V2160" s="4">
        <v>74</v>
      </c>
      <c r="W2160" s="4">
        <v>82</v>
      </c>
    </row>
    <row r="2161" spans="1:23" ht="11.25" customHeight="1" x14ac:dyDescent="0.25">
      <c r="A2161" s="4" t="s">
        <v>21</v>
      </c>
      <c r="B2161" s="4" t="s">
        <v>41</v>
      </c>
      <c r="C2161" s="4" t="s">
        <v>39</v>
      </c>
      <c r="D2161" s="4" t="s">
        <v>45</v>
      </c>
      <c r="E2161" s="4" t="s">
        <v>25</v>
      </c>
      <c r="F2161" s="4" t="s">
        <v>25</v>
      </c>
      <c r="G2161" s="4" t="s">
        <v>25</v>
      </c>
      <c r="H2161" s="4" t="s">
        <v>37</v>
      </c>
      <c r="I2161" s="5">
        <v>44287</v>
      </c>
      <c r="J2161" s="6">
        <v>0</v>
      </c>
      <c r="K2161" s="6">
        <v>0</v>
      </c>
      <c r="L2161" s="6">
        <v>3.4769999999999999</v>
      </c>
      <c r="M2161" s="6">
        <v>3.4769999999999999</v>
      </c>
      <c r="N2161" s="6">
        <v>3.4769999999999999</v>
      </c>
      <c r="O2161" s="6">
        <v>3.4769999999999999</v>
      </c>
      <c r="P2161" s="6">
        <v>0</v>
      </c>
      <c r="Q2161" s="4" t="s">
        <v>26</v>
      </c>
      <c r="R2161" s="4">
        <v>0</v>
      </c>
      <c r="S2161" s="4" t="s">
        <v>377</v>
      </c>
      <c r="T2161" s="4" t="s">
        <v>614</v>
      </c>
      <c r="U2161" s="4">
        <v>0</v>
      </c>
      <c r="V2161" s="4">
        <v>74</v>
      </c>
      <c r="W2161" s="4">
        <v>82</v>
      </c>
    </row>
    <row r="2162" spans="1:23" ht="11.25" customHeight="1" x14ac:dyDescent="0.25">
      <c r="A2162" s="4" t="s">
        <v>28</v>
      </c>
      <c r="B2162" s="4" t="s">
        <v>41</v>
      </c>
      <c r="C2162" s="4" t="s">
        <v>39</v>
      </c>
      <c r="D2162" s="4" t="s">
        <v>45</v>
      </c>
      <c r="E2162" s="4" t="s">
        <v>25</v>
      </c>
      <c r="F2162" s="4" t="s">
        <v>25</v>
      </c>
      <c r="G2162" s="4" t="s">
        <v>25</v>
      </c>
      <c r="H2162" s="4" t="s">
        <v>37</v>
      </c>
      <c r="I2162" s="5">
        <v>44287</v>
      </c>
      <c r="J2162" s="6">
        <v>0</v>
      </c>
      <c r="K2162" s="6">
        <v>0</v>
      </c>
      <c r="L2162" s="6">
        <v>5.3170000000000002</v>
      </c>
      <c r="M2162" s="6">
        <v>5.3170000000000002</v>
      </c>
      <c r="N2162" s="6">
        <v>5.3170000000000002</v>
      </c>
      <c r="O2162" s="6">
        <v>5.3170000000000002</v>
      </c>
      <c r="P2162" s="6">
        <v>0</v>
      </c>
      <c r="Q2162" s="4" t="s">
        <v>26</v>
      </c>
      <c r="R2162" s="4">
        <v>0</v>
      </c>
      <c r="S2162" s="4" t="s">
        <v>377</v>
      </c>
      <c r="T2162" s="4" t="s">
        <v>614</v>
      </c>
      <c r="U2162" s="4">
        <v>0</v>
      </c>
      <c r="V2162" s="4">
        <v>74</v>
      </c>
      <c r="W2162" s="4">
        <v>82</v>
      </c>
    </row>
    <row r="2163" spans="1:23" ht="11.25" customHeight="1" x14ac:dyDescent="0.25">
      <c r="A2163" s="4" t="s">
        <v>21</v>
      </c>
      <c r="B2163" s="4" t="s">
        <v>41</v>
      </c>
      <c r="C2163" s="4" t="s">
        <v>39</v>
      </c>
      <c r="D2163" s="4" t="s">
        <v>45</v>
      </c>
      <c r="E2163" s="4" t="s">
        <v>25</v>
      </c>
      <c r="F2163" s="4" t="s">
        <v>25</v>
      </c>
      <c r="G2163" s="4" t="s">
        <v>25</v>
      </c>
      <c r="H2163" s="4" t="s">
        <v>37</v>
      </c>
      <c r="I2163" s="5">
        <v>44317</v>
      </c>
      <c r="J2163" s="6">
        <v>0</v>
      </c>
      <c r="K2163" s="6">
        <v>0</v>
      </c>
      <c r="L2163" s="6">
        <v>3.4590000000000001</v>
      </c>
      <c r="M2163" s="6">
        <v>3.4590000000000001</v>
      </c>
      <c r="N2163" s="6">
        <v>3.4590000000000001</v>
      </c>
      <c r="O2163" s="6">
        <v>3.4590000000000001</v>
      </c>
      <c r="P2163" s="6">
        <v>0</v>
      </c>
      <c r="Q2163" s="4" t="s">
        <v>26</v>
      </c>
      <c r="R2163" s="4">
        <v>0</v>
      </c>
      <c r="S2163" s="4" t="s">
        <v>378</v>
      </c>
      <c r="T2163" s="4" t="s">
        <v>615</v>
      </c>
      <c r="U2163" s="4">
        <v>0</v>
      </c>
      <c r="V2163" s="4">
        <v>74</v>
      </c>
      <c r="W2163" s="4">
        <v>82</v>
      </c>
    </row>
    <row r="2164" spans="1:23" ht="11.25" customHeight="1" x14ac:dyDescent="0.25">
      <c r="A2164" s="4" t="s">
        <v>28</v>
      </c>
      <c r="B2164" s="4" t="s">
        <v>41</v>
      </c>
      <c r="C2164" s="4" t="s">
        <v>39</v>
      </c>
      <c r="D2164" s="4" t="s">
        <v>45</v>
      </c>
      <c r="E2164" s="4" t="s">
        <v>25</v>
      </c>
      <c r="F2164" s="4" t="s">
        <v>25</v>
      </c>
      <c r="G2164" s="4" t="s">
        <v>25</v>
      </c>
      <c r="H2164" s="4" t="s">
        <v>37</v>
      </c>
      <c r="I2164" s="5">
        <v>44317</v>
      </c>
      <c r="J2164" s="6">
        <v>0</v>
      </c>
      <c r="K2164" s="6">
        <v>0</v>
      </c>
      <c r="L2164" s="6">
        <v>6.9539999999999997</v>
      </c>
      <c r="M2164" s="6">
        <v>6.9539999999999997</v>
      </c>
      <c r="N2164" s="6">
        <v>6.9539999999999997</v>
      </c>
      <c r="O2164" s="6">
        <v>6.9539999999999997</v>
      </c>
      <c r="P2164" s="6">
        <v>0</v>
      </c>
      <c r="Q2164" s="4" t="s">
        <v>26</v>
      </c>
      <c r="R2164" s="4">
        <v>0</v>
      </c>
      <c r="S2164" s="4" t="s">
        <v>378</v>
      </c>
      <c r="T2164" s="4" t="s">
        <v>615</v>
      </c>
      <c r="U2164" s="4">
        <v>0</v>
      </c>
      <c r="V2164" s="4">
        <v>74</v>
      </c>
      <c r="W2164" s="4">
        <v>82</v>
      </c>
    </row>
    <row r="2165" spans="1:23" ht="11.25" customHeight="1" x14ac:dyDescent="0.25">
      <c r="A2165" s="4" t="s">
        <v>21</v>
      </c>
      <c r="B2165" s="4" t="s">
        <v>41</v>
      </c>
      <c r="C2165" s="4" t="s">
        <v>39</v>
      </c>
      <c r="D2165" s="4" t="s">
        <v>45</v>
      </c>
      <c r="E2165" s="4" t="s">
        <v>25</v>
      </c>
      <c r="F2165" s="4" t="s">
        <v>25</v>
      </c>
      <c r="G2165" s="4" t="s">
        <v>25</v>
      </c>
      <c r="H2165" s="4" t="s">
        <v>37</v>
      </c>
      <c r="I2165" s="5">
        <v>44348</v>
      </c>
      <c r="J2165" s="6">
        <v>0</v>
      </c>
      <c r="K2165" s="6">
        <v>0</v>
      </c>
      <c r="L2165" s="6">
        <v>4.2679999999999998</v>
      </c>
      <c r="M2165" s="6">
        <v>4.2679999999999998</v>
      </c>
      <c r="N2165" s="6">
        <v>4.2679999999999998</v>
      </c>
      <c r="O2165" s="6">
        <v>4.2679999999999998</v>
      </c>
      <c r="P2165" s="6">
        <v>0</v>
      </c>
      <c r="Q2165" s="4" t="s">
        <v>26</v>
      </c>
      <c r="R2165" s="4">
        <v>0</v>
      </c>
      <c r="S2165" s="4" t="s">
        <v>379</v>
      </c>
      <c r="T2165" s="4" t="s">
        <v>616</v>
      </c>
      <c r="U2165" s="4">
        <v>0</v>
      </c>
      <c r="V2165" s="4">
        <v>74</v>
      </c>
      <c r="W2165" s="4">
        <v>82</v>
      </c>
    </row>
    <row r="2166" spans="1:23" ht="11.25" customHeight="1" x14ac:dyDescent="0.25">
      <c r="A2166" s="4" t="s">
        <v>28</v>
      </c>
      <c r="B2166" s="4" t="s">
        <v>41</v>
      </c>
      <c r="C2166" s="4" t="s">
        <v>39</v>
      </c>
      <c r="D2166" s="4" t="s">
        <v>45</v>
      </c>
      <c r="E2166" s="4" t="s">
        <v>25</v>
      </c>
      <c r="F2166" s="4" t="s">
        <v>25</v>
      </c>
      <c r="G2166" s="4" t="s">
        <v>25</v>
      </c>
      <c r="H2166" s="4" t="s">
        <v>37</v>
      </c>
      <c r="I2166" s="5">
        <v>44348</v>
      </c>
      <c r="J2166" s="6">
        <v>0</v>
      </c>
      <c r="K2166" s="6">
        <v>0</v>
      </c>
      <c r="L2166" s="6">
        <v>6.9249999999999998</v>
      </c>
      <c r="M2166" s="6">
        <v>6.9249999999999998</v>
      </c>
      <c r="N2166" s="6">
        <v>6.9249999999999998</v>
      </c>
      <c r="O2166" s="6">
        <v>6.9249999999999998</v>
      </c>
      <c r="P2166" s="6">
        <v>0</v>
      </c>
      <c r="Q2166" s="4" t="s">
        <v>26</v>
      </c>
      <c r="R2166" s="4">
        <v>0</v>
      </c>
      <c r="S2166" s="4" t="s">
        <v>379</v>
      </c>
      <c r="T2166" s="4" t="s">
        <v>616</v>
      </c>
      <c r="U2166" s="4">
        <v>0</v>
      </c>
      <c r="V2166" s="4">
        <v>74</v>
      </c>
      <c r="W2166" s="4">
        <v>82</v>
      </c>
    </row>
    <row r="2167" spans="1:23" ht="11.25" customHeight="1" x14ac:dyDescent="0.25">
      <c r="A2167" s="4" t="s">
        <v>21</v>
      </c>
      <c r="B2167" s="4" t="s">
        <v>41</v>
      </c>
      <c r="C2167" s="4" t="s">
        <v>39</v>
      </c>
      <c r="D2167" s="4" t="s">
        <v>45</v>
      </c>
      <c r="E2167" s="4" t="s">
        <v>25</v>
      </c>
      <c r="F2167" s="4" t="s">
        <v>25</v>
      </c>
      <c r="G2167" s="4" t="s">
        <v>25</v>
      </c>
      <c r="H2167" s="4" t="s">
        <v>37</v>
      </c>
      <c r="I2167" s="5">
        <v>44378</v>
      </c>
      <c r="J2167" s="6">
        <v>0</v>
      </c>
      <c r="K2167" s="6">
        <v>0</v>
      </c>
      <c r="L2167" s="6">
        <v>4.992</v>
      </c>
      <c r="M2167" s="6">
        <v>4.992</v>
      </c>
      <c r="N2167" s="6">
        <v>4.992</v>
      </c>
      <c r="O2167" s="6">
        <v>4.992</v>
      </c>
      <c r="P2167" s="6">
        <v>0</v>
      </c>
      <c r="Q2167" s="4" t="s">
        <v>26</v>
      </c>
      <c r="R2167" s="4">
        <v>0</v>
      </c>
      <c r="S2167" s="4" t="s">
        <v>380</v>
      </c>
      <c r="T2167" s="4" t="s">
        <v>617</v>
      </c>
      <c r="U2167" s="4">
        <v>0</v>
      </c>
      <c r="V2167" s="4">
        <v>74</v>
      </c>
      <c r="W2167" s="4">
        <v>82</v>
      </c>
    </row>
    <row r="2168" spans="1:23" ht="11.25" customHeight="1" x14ac:dyDescent="0.25">
      <c r="A2168" s="4" t="s">
        <v>28</v>
      </c>
      <c r="B2168" s="4" t="s">
        <v>41</v>
      </c>
      <c r="C2168" s="4" t="s">
        <v>39</v>
      </c>
      <c r="D2168" s="4" t="s">
        <v>45</v>
      </c>
      <c r="E2168" s="4" t="s">
        <v>25</v>
      </c>
      <c r="F2168" s="4" t="s">
        <v>25</v>
      </c>
      <c r="G2168" s="4" t="s">
        <v>25</v>
      </c>
      <c r="H2168" s="4" t="s">
        <v>37</v>
      </c>
      <c r="I2168" s="5">
        <v>44378</v>
      </c>
      <c r="J2168" s="6">
        <v>0</v>
      </c>
      <c r="K2168" s="6">
        <v>0</v>
      </c>
      <c r="L2168" s="6">
        <v>4.8440000000000003</v>
      </c>
      <c r="M2168" s="6">
        <v>4.8440000000000003</v>
      </c>
      <c r="N2168" s="6">
        <v>4.8440000000000003</v>
      </c>
      <c r="O2168" s="6">
        <v>4.8440000000000003</v>
      </c>
      <c r="P2168" s="6">
        <v>0</v>
      </c>
      <c r="Q2168" s="4" t="s">
        <v>26</v>
      </c>
      <c r="R2168" s="4">
        <v>0</v>
      </c>
      <c r="S2168" s="4" t="s">
        <v>380</v>
      </c>
      <c r="T2168" s="4" t="s">
        <v>617</v>
      </c>
      <c r="U2168" s="4">
        <v>0</v>
      </c>
      <c r="V2168" s="4">
        <v>74</v>
      </c>
      <c r="W2168" s="4">
        <v>82</v>
      </c>
    </row>
    <row r="2169" spans="1:23" ht="11.25" customHeight="1" x14ac:dyDescent="0.25">
      <c r="A2169" s="4" t="s">
        <v>21</v>
      </c>
      <c r="B2169" s="4" t="s">
        <v>41</v>
      </c>
      <c r="C2169" s="4" t="s">
        <v>39</v>
      </c>
      <c r="D2169" s="4" t="s">
        <v>45</v>
      </c>
      <c r="E2169" s="4" t="s">
        <v>25</v>
      </c>
      <c r="F2169" s="4" t="s">
        <v>25</v>
      </c>
      <c r="G2169" s="4" t="s">
        <v>25</v>
      </c>
      <c r="H2169" s="4" t="s">
        <v>37</v>
      </c>
      <c r="I2169" s="5">
        <v>44409</v>
      </c>
      <c r="J2169" s="6">
        <v>0</v>
      </c>
      <c r="K2169" s="6">
        <v>0</v>
      </c>
      <c r="L2169" s="6">
        <v>14.436999999999999</v>
      </c>
      <c r="M2169" s="6">
        <v>14.436999999999999</v>
      </c>
      <c r="N2169" s="6">
        <v>14.436999999999999</v>
      </c>
      <c r="O2169" s="6">
        <v>14.436999999999999</v>
      </c>
      <c r="P2169" s="6">
        <v>0</v>
      </c>
      <c r="Q2169" s="4" t="s">
        <v>26</v>
      </c>
      <c r="R2169" s="4">
        <v>0</v>
      </c>
      <c r="S2169" s="4" t="s">
        <v>381</v>
      </c>
      <c r="T2169" s="4" t="s">
        <v>618</v>
      </c>
      <c r="U2169" s="4">
        <v>0</v>
      </c>
      <c r="V2169" s="4">
        <v>74</v>
      </c>
      <c r="W2169" s="4">
        <v>82</v>
      </c>
    </row>
    <row r="2170" spans="1:23" ht="11.25" customHeight="1" x14ac:dyDescent="0.25">
      <c r="A2170" s="4" t="s">
        <v>28</v>
      </c>
      <c r="B2170" s="4" t="s">
        <v>41</v>
      </c>
      <c r="C2170" s="4" t="s">
        <v>39</v>
      </c>
      <c r="D2170" s="4" t="s">
        <v>45</v>
      </c>
      <c r="E2170" s="4" t="s">
        <v>25</v>
      </c>
      <c r="F2170" s="4" t="s">
        <v>25</v>
      </c>
      <c r="G2170" s="4" t="s">
        <v>25</v>
      </c>
      <c r="H2170" s="4" t="s">
        <v>37</v>
      </c>
      <c r="I2170" s="5">
        <v>44409</v>
      </c>
      <c r="J2170" s="6">
        <v>0</v>
      </c>
      <c r="K2170" s="6">
        <v>0</v>
      </c>
      <c r="L2170" s="6">
        <v>5.141</v>
      </c>
      <c r="M2170" s="6">
        <v>5.141</v>
      </c>
      <c r="N2170" s="6">
        <v>5.141</v>
      </c>
      <c r="O2170" s="6">
        <v>5.141</v>
      </c>
      <c r="P2170" s="6">
        <v>0</v>
      </c>
      <c r="Q2170" s="4" t="s">
        <v>26</v>
      </c>
      <c r="R2170" s="4">
        <v>0</v>
      </c>
      <c r="S2170" s="4" t="s">
        <v>381</v>
      </c>
      <c r="T2170" s="4" t="s">
        <v>618</v>
      </c>
      <c r="U2170" s="4">
        <v>0</v>
      </c>
      <c r="V2170" s="4">
        <v>74</v>
      </c>
      <c r="W2170" s="4">
        <v>82</v>
      </c>
    </row>
    <row r="2171" spans="1:23" ht="11.25" customHeight="1" x14ac:dyDescent="0.25">
      <c r="A2171" s="4" t="s">
        <v>21</v>
      </c>
      <c r="B2171" s="4" t="s">
        <v>41</v>
      </c>
      <c r="C2171" s="4" t="s">
        <v>39</v>
      </c>
      <c r="D2171" s="4" t="s">
        <v>45</v>
      </c>
      <c r="E2171" s="4" t="s">
        <v>25</v>
      </c>
      <c r="F2171" s="4" t="s">
        <v>25</v>
      </c>
      <c r="G2171" s="4" t="s">
        <v>25</v>
      </c>
      <c r="H2171" s="4" t="s">
        <v>37</v>
      </c>
      <c r="I2171" s="5">
        <v>44440</v>
      </c>
      <c r="J2171" s="6">
        <v>0</v>
      </c>
      <c r="K2171" s="6">
        <v>0</v>
      </c>
      <c r="L2171" s="6">
        <v>3.7080000000000002</v>
      </c>
      <c r="M2171" s="6">
        <v>3.7080000000000002</v>
      </c>
      <c r="N2171" s="6">
        <v>3.7080000000000002</v>
      </c>
      <c r="O2171" s="6">
        <v>3.7080000000000002</v>
      </c>
      <c r="P2171" s="6">
        <v>0</v>
      </c>
      <c r="Q2171" s="4" t="s">
        <v>26</v>
      </c>
      <c r="R2171" s="4">
        <v>0</v>
      </c>
      <c r="S2171" s="4" t="s">
        <v>382</v>
      </c>
      <c r="T2171" s="4" t="s">
        <v>619</v>
      </c>
      <c r="U2171" s="4">
        <v>0</v>
      </c>
      <c r="V2171" s="4">
        <v>74</v>
      </c>
      <c r="W2171" s="4">
        <v>82</v>
      </c>
    </row>
    <row r="2172" spans="1:23" ht="11.25" customHeight="1" x14ac:dyDescent="0.25">
      <c r="A2172" s="4" t="s">
        <v>27</v>
      </c>
      <c r="B2172" s="4" t="s">
        <v>41</v>
      </c>
      <c r="C2172" s="4" t="s">
        <v>39</v>
      </c>
      <c r="D2172" s="4" t="s">
        <v>45</v>
      </c>
      <c r="E2172" s="4" t="s">
        <v>25</v>
      </c>
      <c r="F2172" s="4" t="s">
        <v>25</v>
      </c>
      <c r="G2172" s="4" t="s">
        <v>25</v>
      </c>
      <c r="H2172" s="4" t="s">
        <v>37</v>
      </c>
      <c r="I2172" s="5">
        <v>44440</v>
      </c>
      <c r="J2172" s="6">
        <v>0</v>
      </c>
      <c r="K2172" s="6">
        <v>0</v>
      </c>
      <c r="L2172" s="6">
        <v>-0.30399999999999999</v>
      </c>
      <c r="M2172" s="6">
        <v>-0.30399999999999999</v>
      </c>
      <c r="N2172" s="6">
        <v>-0.30399999999999999</v>
      </c>
      <c r="O2172" s="6">
        <v>-0.30399999999999999</v>
      </c>
      <c r="P2172" s="6">
        <v>0</v>
      </c>
      <c r="Q2172" s="4" t="s">
        <v>26</v>
      </c>
      <c r="R2172" s="4">
        <v>0</v>
      </c>
      <c r="S2172" s="4" t="s">
        <v>382</v>
      </c>
      <c r="T2172" s="4" t="s">
        <v>619</v>
      </c>
      <c r="U2172" s="4">
        <v>0</v>
      </c>
      <c r="V2172" s="4">
        <v>74</v>
      </c>
      <c r="W2172" s="4">
        <v>82</v>
      </c>
    </row>
    <row r="2173" spans="1:23" ht="11.25" customHeight="1" x14ac:dyDescent="0.25">
      <c r="A2173" s="4" t="s">
        <v>28</v>
      </c>
      <c r="B2173" s="4" t="s">
        <v>41</v>
      </c>
      <c r="C2173" s="4" t="s">
        <v>39</v>
      </c>
      <c r="D2173" s="4" t="s">
        <v>45</v>
      </c>
      <c r="E2173" s="4" t="s">
        <v>25</v>
      </c>
      <c r="F2173" s="4" t="s">
        <v>25</v>
      </c>
      <c r="G2173" s="4" t="s">
        <v>25</v>
      </c>
      <c r="H2173" s="4" t="s">
        <v>37</v>
      </c>
      <c r="I2173" s="5">
        <v>44440</v>
      </c>
      <c r="J2173" s="6">
        <v>0</v>
      </c>
      <c r="K2173" s="6">
        <v>0</v>
      </c>
      <c r="L2173" s="6">
        <v>10.976000000000001</v>
      </c>
      <c r="M2173" s="6">
        <v>10.976000000000001</v>
      </c>
      <c r="N2173" s="6">
        <v>10.976000000000001</v>
      </c>
      <c r="O2173" s="6">
        <v>10.976000000000001</v>
      </c>
      <c r="P2173" s="6">
        <v>0</v>
      </c>
      <c r="Q2173" s="4" t="s">
        <v>26</v>
      </c>
      <c r="R2173" s="4">
        <v>0</v>
      </c>
      <c r="S2173" s="4" t="s">
        <v>382</v>
      </c>
      <c r="T2173" s="4" t="s">
        <v>619</v>
      </c>
      <c r="U2173" s="4">
        <v>0</v>
      </c>
      <c r="V2173" s="4">
        <v>74</v>
      </c>
      <c r="W2173" s="4">
        <v>82</v>
      </c>
    </row>
    <row r="2174" spans="1:23" ht="11.25" customHeight="1" x14ac:dyDescent="0.25">
      <c r="A2174" s="4" t="s">
        <v>30</v>
      </c>
      <c r="B2174" s="4" t="s">
        <v>41</v>
      </c>
      <c r="C2174" s="4" t="s">
        <v>39</v>
      </c>
      <c r="D2174" s="4" t="s">
        <v>45</v>
      </c>
      <c r="E2174" s="4" t="s">
        <v>25</v>
      </c>
      <c r="F2174" s="4" t="s">
        <v>25</v>
      </c>
      <c r="G2174" s="4" t="s">
        <v>25</v>
      </c>
      <c r="H2174" s="4" t="s">
        <v>37</v>
      </c>
      <c r="I2174" s="5">
        <v>44440</v>
      </c>
      <c r="J2174" s="6">
        <v>0</v>
      </c>
      <c r="K2174" s="6">
        <v>0</v>
      </c>
      <c r="L2174" s="6">
        <v>0.59199999999999997</v>
      </c>
      <c r="M2174" s="6">
        <v>0.59199999999999997</v>
      </c>
      <c r="N2174" s="6">
        <v>0.59199999999999997</v>
      </c>
      <c r="O2174" s="6">
        <v>0.59199999999999997</v>
      </c>
      <c r="P2174" s="6">
        <v>0</v>
      </c>
      <c r="Q2174" s="4" t="s">
        <v>26</v>
      </c>
      <c r="R2174" s="4">
        <v>0</v>
      </c>
      <c r="S2174" s="4" t="s">
        <v>382</v>
      </c>
      <c r="T2174" s="4" t="s">
        <v>619</v>
      </c>
      <c r="U2174" s="4">
        <v>0</v>
      </c>
      <c r="V2174" s="4">
        <v>74</v>
      </c>
      <c r="W2174" s="4">
        <v>82</v>
      </c>
    </row>
    <row r="2175" spans="1:23" ht="11.25" customHeight="1" x14ac:dyDescent="0.25">
      <c r="A2175" s="4" t="s">
        <v>59</v>
      </c>
      <c r="B2175" s="4" t="s">
        <v>41</v>
      </c>
      <c r="C2175" s="4" t="s">
        <v>39</v>
      </c>
      <c r="D2175" s="4" t="s">
        <v>45</v>
      </c>
      <c r="E2175" s="4" t="s">
        <v>25</v>
      </c>
      <c r="F2175" s="4" t="s">
        <v>25</v>
      </c>
      <c r="G2175" s="4" t="s">
        <v>25</v>
      </c>
      <c r="H2175" s="4" t="s">
        <v>37</v>
      </c>
      <c r="I2175" s="5">
        <v>44470</v>
      </c>
      <c r="J2175" s="6">
        <v>0</v>
      </c>
      <c r="K2175" s="6">
        <v>0</v>
      </c>
      <c r="L2175" s="6">
        <v>3.7080000000000002</v>
      </c>
      <c r="M2175" s="6">
        <v>3.7080000000000002</v>
      </c>
      <c r="N2175" s="6">
        <v>3.7080000000000002</v>
      </c>
      <c r="O2175" s="6">
        <v>3.7080000000000002</v>
      </c>
      <c r="P2175" s="6">
        <v>0</v>
      </c>
      <c r="Q2175" s="4" t="s">
        <v>26</v>
      </c>
      <c r="R2175" s="4">
        <v>0</v>
      </c>
      <c r="S2175" s="4" t="s">
        <v>383</v>
      </c>
      <c r="T2175" s="4" t="s">
        <v>620</v>
      </c>
      <c r="U2175" s="4">
        <v>0</v>
      </c>
      <c r="V2175" s="4">
        <v>74</v>
      </c>
      <c r="W2175" s="4">
        <v>82</v>
      </c>
    </row>
    <row r="2176" spans="1:23" ht="11.25" customHeight="1" x14ac:dyDescent="0.25">
      <c r="A2176" s="4" t="s">
        <v>59</v>
      </c>
      <c r="B2176" s="4" t="s">
        <v>41</v>
      </c>
      <c r="C2176" s="4" t="s">
        <v>39</v>
      </c>
      <c r="D2176" s="4" t="s">
        <v>45</v>
      </c>
      <c r="E2176" s="4" t="s">
        <v>25</v>
      </c>
      <c r="F2176" s="4" t="s">
        <v>25</v>
      </c>
      <c r="G2176" s="4" t="s">
        <v>25</v>
      </c>
      <c r="H2176" s="4" t="s">
        <v>37</v>
      </c>
      <c r="I2176" s="5">
        <v>44470</v>
      </c>
      <c r="J2176" s="6">
        <v>0</v>
      </c>
      <c r="K2176" s="6">
        <v>0</v>
      </c>
      <c r="L2176" s="6">
        <v>-0.30399999999999999</v>
      </c>
      <c r="M2176" s="6">
        <v>-0.30399999999999999</v>
      </c>
      <c r="N2176" s="6">
        <v>-0.30399999999999999</v>
      </c>
      <c r="O2176" s="6">
        <v>-0.30399999999999999</v>
      </c>
      <c r="P2176" s="6">
        <v>0</v>
      </c>
      <c r="Q2176" s="4" t="s">
        <v>26</v>
      </c>
      <c r="R2176" s="4">
        <v>0</v>
      </c>
      <c r="S2176" s="4" t="s">
        <v>383</v>
      </c>
      <c r="T2176" s="4" t="s">
        <v>620</v>
      </c>
      <c r="U2176" s="4">
        <v>0</v>
      </c>
      <c r="V2176" s="4">
        <v>74</v>
      </c>
      <c r="W2176" s="4">
        <v>82</v>
      </c>
    </row>
    <row r="2177" spans="1:23" ht="11.25" customHeight="1" x14ac:dyDescent="0.25">
      <c r="A2177" s="4" t="s">
        <v>59</v>
      </c>
      <c r="B2177" s="4" t="s">
        <v>41</v>
      </c>
      <c r="C2177" s="4" t="s">
        <v>39</v>
      </c>
      <c r="D2177" s="4" t="s">
        <v>45</v>
      </c>
      <c r="E2177" s="4" t="s">
        <v>25</v>
      </c>
      <c r="F2177" s="4" t="s">
        <v>25</v>
      </c>
      <c r="G2177" s="4" t="s">
        <v>25</v>
      </c>
      <c r="H2177" s="4" t="s">
        <v>37</v>
      </c>
      <c r="I2177" s="5">
        <v>44470</v>
      </c>
      <c r="J2177" s="6">
        <v>0</v>
      </c>
      <c r="K2177" s="6">
        <v>0</v>
      </c>
      <c r="L2177" s="6">
        <v>10.976000000000001</v>
      </c>
      <c r="M2177" s="6">
        <v>10.976000000000001</v>
      </c>
      <c r="N2177" s="6">
        <v>10.976000000000001</v>
      </c>
      <c r="O2177" s="6">
        <v>10.976000000000001</v>
      </c>
      <c r="P2177" s="6">
        <v>0</v>
      </c>
      <c r="Q2177" s="4" t="s">
        <v>26</v>
      </c>
      <c r="R2177" s="4">
        <v>0</v>
      </c>
      <c r="S2177" s="4" t="s">
        <v>383</v>
      </c>
      <c r="T2177" s="4" t="s">
        <v>620</v>
      </c>
      <c r="U2177" s="4">
        <v>0</v>
      </c>
      <c r="V2177" s="4">
        <v>74</v>
      </c>
      <c r="W2177" s="4">
        <v>82</v>
      </c>
    </row>
    <row r="2178" spans="1:23" ht="11.25" customHeight="1" x14ac:dyDescent="0.25">
      <c r="A2178" s="4" t="s">
        <v>59</v>
      </c>
      <c r="B2178" s="4" t="s">
        <v>41</v>
      </c>
      <c r="C2178" s="4" t="s">
        <v>39</v>
      </c>
      <c r="D2178" s="4" t="s">
        <v>45</v>
      </c>
      <c r="E2178" s="4" t="s">
        <v>25</v>
      </c>
      <c r="F2178" s="4" t="s">
        <v>25</v>
      </c>
      <c r="G2178" s="4" t="s">
        <v>25</v>
      </c>
      <c r="H2178" s="4" t="s">
        <v>37</v>
      </c>
      <c r="I2178" s="5">
        <v>44470</v>
      </c>
      <c r="J2178" s="6">
        <v>0</v>
      </c>
      <c r="K2178" s="6">
        <v>0</v>
      </c>
      <c r="L2178" s="6">
        <v>0.59199999999999997</v>
      </c>
      <c r="M2178" s="6">
        <v>0.59199999999999997</v>
      </c>
      <c r="N2178" s="6">
        <v>0.59199999999999997</v>
      </c>
      <c r="O2178" s="6">
        <v>0.59199999999999997</v>
      </c>
      <c r="P2178" s="6">
        <v>0</v>
      </c>
      <c r="Q2178" s="4" t="s">
        <v>26</v>
      </c>
      <c r="R2178" s="4">
        <v>0</v>
      </c>
      <c r="S2178" s="4" t="s">
        <v>383</v>
      </c>
      <c r="T2178" s="4" t="s">
        <v>620</v>
      </c>
      <c r="U2178" s="4">
        <v>0</v>
      </c>
      <c r="V2178" s="4">
        <v>74</v>
      </c>
      <c r="W2178" s="4">
        <v>82</v>
      </c>
    </row>
    <row r="2179" spans="1:23" ht="11.25" customHeight="1" x14ac:dyDescent="0.25">
      <c r="A2179" s="4" t="s">
        <v>21</v>
      </c>
      <c r="B2179" s="4" t="s">
        <v>41</v>
      </c>
      <c r="C2179" s="4" t="s">
        <v>39</v>
      </c>
      <c r="D2179" s="4" t="s">
        <v>42</v>
      </c>
      <c r="E2179" s="4" t="s">
        <v>25</v>
      </c>
      <c r="F2179" s="4" t="s">
        <v>25</v>
      </c>
      <c r="G2179" s="4" t="s">
        <v>25</v>
      </c>
      <c r="H2179" s="4" t="s">
        <v>38</v>
      </c>
      <c r="I2179" s="5">
        <v>44136</v>
      </c>
      <c r="J2179" s="6">
        <v>0</v>
      </c>
      <c r="K2179" s="6">
        <v>0</v>
      </c>
      <c r="L2179" s="6">
        <v>7.0819999999999999</v>
      </c>
      <c r="M2179" s="6">
        <v>7.0819999999999999</v>
      </c>
      <c r="N2179" s="6">
        <v>7.0819999999999999</v>
      </c>
      <c r="O2179" s="6">
        <v>7.0819999999999999</v>
      </c>
      <c r="P2179" s="6">
        <v>0</v>
      </c>
      <c r="Q2179" s="4" t="s">
        <v>26</v>
      </c>
      <c r="R2179" s="4">
        <v>0</v>
      </c>
      <c r="S2179" s="4" t="s">
        <v>348</v>
      </c>
      <c r="T2179" s="4" t="s">
        <v>585</v>
      </c>
      <c r="U2179" s="4">
        <v>0</v>
      </c>
      <c r="V2179" s="4">
        <v>71</v>
      </c>
      <c r="W2179" s="4">
        <v>77</v>
      </c>
    </row>
    <row r="2180" spans="1:23" ht="11.25" customHeight="1" x14ac:dyDescent="0.25">
      <c r="A2180" s="4" t="s">
        <v>21</v>
      </c>
      <c r="B2180" s="4" t="s">
        <v>41</v>
      </c>
      <c r="C2180" s="4" t="s">
        <v>39</v>
      </c>
      <c r="D2180" s="4" t="s">
        <v>42</v>
      </c>
      <c r="E2180" s="4" t="s">
        <v>25</v>
      </c>
      <c r="F2180" s="4" t="s">
        <v>25</v>
      </c>
      <c r="G2180" s="4" t="s">
        <v>25</v>
      </c>
      <c r="H2180" s="4" t="s">
        <v>38</v>
      </c>
      <c r="I2180" s="5">
        <v>44166</v>
      </c>
      <c r="J2180" s="6">
        <v>0</v>
      </c>
      <c r="K2180" s="6">
        <v>0</v>
      </c>
      <c r="L2180" s="6">
        <v>7.3650000000000002</v>
      </c>
      <c r="M2180" s="6">
        <v>7.3650000000000002</v>
      </c>
      <c r="N2180" s="6">
        <v>7.3650000000000002</v>
      </c>
      <c r="O2180" s="6">
        <v>7.3650000000000002</v>
      </c>
      <c r="P2180" s="6">
        <v>0</v>
      </c>
      <c r="Q2180" s="4" t="s">
        <v>26</v>
      </c>
      <c r="R2180" s="4">
        <v>0</v>
      </c>
      <c r="S2180" s="4" t="s">
        <v>349</v>
      </c>
      <c r="T2180" s="4" t="s">
        <v>586</v>
      </c>
      <c r="U2180" s="4">
        <v>0</v>
      </c>
      <c r="V2180" s="4">
        <v>71</v>
      </c>
      <c r="W2180" s="4">
        <v>77</v>
      </c>
    </row>
    <row r="2181" spans="1:23" ht="11.25" customHeight="1" x14ac:dyDescent="0.25">
      <c r="A2181" s="4" t="s">
        <v>21</v>
      </c>
      <c r="B2181" s="4" t="s">
        <v>41</v>
      </c>
      <c r="C2181" s="4" t="s">
        <v>39</v>
      </c>
      <c r="D2181" s="4" t="s">
        <v>42</v>
      </c>
      <c r="E2181" s="4" t="s">
        <v>25</v>
      </c>
      <c r="F2181" s="4" t="s">
        <v>25</v>
      </c>
      <c r="G2181" s="4" t="s">
        <v>25</v>
      </c>
      <c r="H2181" s="4" t="s">
        <v>38</v>
      </c>
      <c r="I2181" s="5">
        <v>44197</v>
      </c>
      <c r="J2181" s="6">
        <v>0</v>
      </c>
      <c r="K2181" s="6">
        <v>0</v>
      </c>
      <c r="L2181" s="6">
        <v>9.9220000000000006</v>
      </c>
      <c r="M2181" s="6">
        <v>9.9220000000000006</v>
      </c>
      <c r="N2181" s="6">
        <v>9.9220000000000006</v>
      </c>
      <c r="O2181" s="6">
        <v>9.9220000000000006</v>
      </c>
      <c r="P2181" s="6">
        <v>0</v>
      </c>
      <c r="Q2181" s="4" t="s">
        <v>26</v>
      </c>
      <c r="R2181" s="4">
        <v>0</v>
      </c>
      <c r="S2181" s="4" t="s">
        <v>350</v>
      </c>
      <c r="T2181" s="4" t="s">
        <v>587</v>
      </c>
      <c r="U2181" s="4">
        <v>0</v>
      </c>
      <c r="V2181" s="4">
        <v>71</v>
      </c>
      <c r="W2181" s="4">
        <v>77</v>
      </c>
    </row>
    <row r="2182" spans="1:23" ht="11.25" customHeight="1" x14ac:dyDescent="0.25">
      <c r="A2182" s="4" t="s">
        <v>21</v>
      </c>
      <c r="B2182" s="4" t="s">
        <v>41</v>
      </c>
      <c r="C2182" s="4" t="s">
        <v>39</v>
      </c>
      <c r="D2182" s="4" t="s">
        <v>42</v>
      </c>
      <c r="E2182" s="4" t="s">
        <v>25</v>
      </c>
      <c r="F2182" s="4" t="s">
        <v>25</v>
      </c>
      <c r="G2182" s="4" t="s">
        <v>25</v>
      </c>
      <c r="H2182" s="4" t="s">
        <v>38</v>
      </c>
      <c r="I2182" s="5">
        <v>44228</v>
      </c>
      <c r="J2182" s="6">
        <v>0</v>
      </c>
      <c r="K2182" s="6">
        <v>0</v>
      </c>
      <c r="L2182" s="6">
        <v>6.9560000000000004</v>
      </c>
      <c r="M2182" s="6">
        <v>6.9560000000000004</v>
      </c>
      <c r="N2182" s="6">
        <v>6.9560000000000004</v>
      </c>
      <c r="O2182" s="6">
        <v>6.9560000000000004</v>
      </c>
      <c r="P2182" s="6">
        <v>0</v>
      </c>
      <c r="Q2182" s="4" t="s">
        <v>26</v>
      </c>
      <c r="R2182" s="4">
        <v>0</v>
      </c>
      <c r="S2182" s="4" t="s">
        <v>351</v>
      </c>
      <c r="T2182" s="4" t="s">
        <v>588</v>
      </c>
      <c r="U2182" s="4">
        <v>0</v>
      </c>
      <c r="V2182" s="4">
        <v>71</v>
      </c>
      <c r="W2182" s="4">
        <v>77</v>
      </c>
    </row>
    <row r="2183" spans="1:23" ht="11.25" customHeight="1" x14ac:dyDescent="0.25">
      <c r="A2183" s="4" t="s">
        <v>21</v>
      </c>
      <c r="B2183" s="4" t="s">
        <v>41</v>
      </c>
      <c r="C2183" s="4" t="s">
        <v>39</v>
      </c>
      <c r="D2183" s="4" t="s">
        <v>42</v>
      </c>
      <c r="E2183" s="4" t="s">
        <v>25</v>
      </c>
      <c r="F2183" s="4" t="s">
        <v>25</v>
      </c>
      <c r="G2183" s="4" t="s">
        <v>25</v>
      </c>
      <c r="H2183" s="4" t="s">
        <v>38</v>
      </c>
      <c r="I2183" s="5">
        <v>44256</v>
      </c>
      <c r="J2183" s="6">
        <v>0</v>
      </c>
      <c r="K2183" s="6">
        <v>0</v>
      </c>
      <c r="L2183" s="6">
        <v>8.6050000000000004</v>
      </c>
      <c r="M2183" s="6">
        <v>8.6050000000000004</v>
      </c>
      <c r="N2183" s="6">
        <v>8.6050000000000004</v>
      </c>
      <c r="O2183" s="6">
        <v>8.6050000000000004</v>
      </c>
      <c r="P2183" s="6">
        <v>0</v>
      </c>
      <c r="Q2183" s="4" t="s">
        <v>26</v>
      </c>
      <c r="R2183" s="4">
        <v>0</v>
      </c>
      <c r="S2183" s="4" t="s">
        <v>352</v>
      </c>
      <c r="T2183" s="4" t="s">
        <v>589</v>
      </c>
      <c r="U2183" s="4">
        <v>0</v>
      </c>
      <c r="V2183" s="4">
        <v>71</v>
      </c>
      <c r="W2183" s="4">
        <v>77</v>
      </c>
    </row>
    <row r="2184" spans="1:23" ht="11.25" customHeight="1" x14ac:dyDescent="0.25">
      <c r="A2184" s="4" t="s">
        <v>21</v>
      </c>
      <c r="B2184" s="4" t="s">
        <v>41</v>
      </c>
      <c r="C2184" s="4" t="s">
        <v>39</v>
      </c>
      <c r="D2184" s="4" t="s">
        <v>42</v>
      </c>
      <c r="E2184" s="4" t="s">
        <v>25</v>
      </c>
      <c r="F2184" s="4" t="s">
        <v>25</v>
      </c>
      <c r="G2184" s="4" t="s">
        <v>25</v>
      </c>
      <c r="H2184" s="4" t="s">
        <v>38</v>
      </c>
      <c r="I2184" s="5">
        <v>44287</v>
      </c>
      <c r="J2184" s="6">
        <v>0</v>
      </c>
      <c r="K2184" s="6">
        <v>0</v>
      </c>
      <c r="L2184" s="6">
        <v>9.3559999999999999</v>
      </c>
      <c r="M2184" s="6">
        <v>9.3559999999999999</v>
      </c>
      <c r="N2184" s="6">
        <v>9.3559999999999999</v>
      </c>
      <c r="O2184" s="6">
        <v>9.3559999999999999</v>
      </c>
      <c r="P2184" s="6">
        <v>0</v>
      </c>
      <c r="Q2184" s="4" t="s">
        <v>26</v>
      </c>
      <c r="R2184" s="4">
        <v>0</v>
      </c>
      <c r="S2184" s="4" t="s">
        <v>353</v>
      </c>
      <c r="T2184" s="4" t="s">
        <v>590</v>
      </c>
      <c r="U2184" s="4">
        <v>0</v>
      </c>
      <c r="V2184" s="4">
        <v>71</v>
      </c>
      <c r="W2184" s="4">
        <v>77</v>
      </c>
    </row>
    <row r="2185" spans="1:23" ht="11.25" customHeight="1" x14ac:dyDescent="0.25">
      <c r="A2185" s="4" t="s">
        <v>21</v>
      </c>
      <c r="B2185" s="4" t="s">
        <v>41</v>
      </c>
      <c r="C2185" s="4" t="s">
        <v>39</v>
      </c>
      <c r="D2185" s="4" t="s">
        <v>42</v>
      </c>
      <c r="E2185" s="4" t="s">
        <v>25</v>
      </c>
      <c r="F2185" s="4" t="s">
        <v>25</v>
      </c>
      <c r="G2185" s="4" t="s">
        <v>25</v>
      </c>
      <c r="H2185" s="4" t="s">
        <v>38</v>
      </c>
      <c r="I2185" s="5">
        <v>44317</v>
      </c>
      <c r="J2185" s="6">
        <v>0</v>
      </c>
      <c r="K2185" s="6">
        <v>0</v>
      </c>
      <c r="L2185" s="6">
        <v>9.4480000000000004</v>
      </c>
      <c r="M2185" s="6">
        <v>9.4480000000000004</v>
      </c>
      <c r="N2185" s="6">
        <v>9.4480000000000004</v>
      </c>
      <c r="O2185" s="6">
        <v>9.4480000000000004</v>
      </c>
      <c r="P2185" s="6">
        <v>0</v>
      </c>
      <c r="Q2185" s="4" t="s">
        <v>26</v>
      </c>
      <c r="R2185" s="4">
        <v>0</v>
      </c>
      <c r="S2185" s="4" t="s">
        <v>354</v>
      </c>
      <c r="T2185" s="4" t="s">
        <v>591</v>
      </c>
      <c r="U2185" s="4">
        <v>0</v>
      </c>
      <c r="V2185" s="4">
        <v>71</v>
      </c>
      <c r="W2185" s="4">
        <v>77</v>
      </c>
    </row>
    <row r="2186" spans="1:23" ht="11.25" customHeight="1" x14ac:dyDescent="0.25">
      <c r="A2186" s="4" t="s">
        <v>21</v>
      </c>
      <c r="B2186" s="4" t="s">
        <v>41</v>
      </c>
      <c r="C2186" s="4" t="s">
        <v>39</v>
      </c>
      <c r="D2186" s="4" t="s">
        <v>42</v>
      </c>
      <c r="E2186" s="4" t="s">
        <v>25</v>
      </c>
      <c r="F2186" s="4" t="s">
        <v>25</v>
      </c>
      <c r="G2186" s="4" t="s">
        <v>25</v>
      </c>
      <c r="H2186" s="4" t="s">
        <v>38</v>
      </c>
      <c r="I2186" s="5">
        <v>44348</v>
      </c>
      <c r="J2186" s="6">
        <v>0</v>
      </c>
      <c r="K2186" s="6">
        <v>0</v>
      </c>
      <c r="L2186" s="6">
        <v>12.682</v>
      </c>
      <c r="M2186" s="6">
        <v>12.682</v>
      </c>
      <c r="N2186" s="6">
        <v>12.682</v>
      </c>
      <c r="O2186" s="6">
        <v>12.682</v>
      </c>
      <c r="P2186" s="6">
        <v>0</v>
      </c>
      <c r="Q2186" s="4" t="s">
        <v>26</v>
      </c>
      <c r="R2186" s="4">
        <v>0</v>
      </c>
      <c r="S2186" s="4" t="s">
        <v>355</v>
      </c>
      <c r="T2186" s="4" t="s">
        <v>592</v>
      </c>
      <c r="U2186" s="4">
        <v>0</v>
      </c>
      <c r="V2186" s="4">
        <v>71</v>
      </c>
      <c r="W2186" s="4">
        <v>77</v>
      </c>
    </row>
    <row r="2187" spans="1:23" ht="11.25" customHeight="1" x14ac:dyDescent="0.25">
      <c r="A2187" s="4" t="s">
        <v>21</v>
      </c>
      <c r="B2187" s="4" t="s">
        <v>41</v>
      </c>
      <c r="C2187" s="4" t="s">
        <v>39</v>
      </c>
      <c r="D2187" s="4" t="s">
        <v>42</v>
      </c>
      <c r="E2187" s="4" t="s">
        <v>25</v>
      </c>
      <c r="F2187" s="4" t="s">
        <v>25</v>
      </c>
      <c r="G2187" s="4" t="s">
        <v>25</v>
      </c>
      <c r="H2187" s="4" t="s">
        <v>38</v>
      </c>
      <c r="I2187" s="5">
        <v>44378</v>
      </c>
      <c r="J2187" s="6">
        <v>0</v>
      </c>
      <c r="K2187" s="6">
        <v>0</v>
      </c>
      <c r="L2187" s="6">
        <v>7.3280000000000003</v>
      </c>
      <c r="M2187" s="6">
        <v>7.3280000000000003</v>
      </c>
      <c r="N2187" s="6">
        <v>7.3280000000000003</v>
      </c>
      <c r="O2187" s="6">
        <v>7.3280000000000003</v>
      </c>
      <c r="P2187" s="6">
        <v>0</v>
      </c>
      <c r="Q2187" s="4" t="s">
        <v>26</v>
      </c>
      <c r="R2187" s="4">
        <v>0</v>
      </c>
      <c r="S2187" s="4" t="s">
        <v>356</v>
      </c>
      <c r="T2187" s="4" t="s">
        <v>593</v>
      </c>
      <c r="U2187" s="4">
        <v>0</v>
      </c>
      <c r="V2187" s="4">
        <v>71</v>
      </c>
      <c r="W2187" s="4">
        <v>77</v>
      </c>
    </row>
    <row r="2188" spans="1:23" ht="11.25" customHeight="1" x14ac:dyDescent="0.25">
      <c r="A2188" s="4" t="s">
        <v>21</v>
      </c>
      <c r="B2188" s="4" t="s">
        <v>41</v>
      </c>
      <c r="C2188" s="4" t="s">
        <v>39</v>
      </c>
      <c r="D2188" s="4" t="s">
        <v>42</v>
      </c>
      <c r="E2188" s="4" t="s">
        <v>25</v>
      </c>
      <c r="F2188" s="4" t="s">
        <v>25</v>
      </c>
      <c r="G2188" s="4" t="s">
        <v>25</v>
      </c>
      <c r="H2188" s="4" t="s">
        <v>38</v>
      </c>
      <c r="I2188" s="5">
        <v>44409</v>
      </c>
      <c r="J2188" s="6">
        <v>0</v>
      </c>
      <c r="K2188" s="6">
        <v>0</v>
      </c>
      <c r="L2188" s="6">
        <v>8.6489999999999991</v>
      </c>
      <c r="M2188" s="6">
        <v>8.6489999999999991</v>
      </c>
      <c r="N2188" s="6">
        <v>8.6489999999999991</v>
      </c>
      <c r="O2188" s="6">
        <v>8.6489999999999991</v>
      </c>
      <c r="P2188" s="6">
        <v>0</v>
      </c>
      <c r="Q2188" s="4" t="s">
        <v>26</v>
      </c>
      <c r="R2188" s="4">
        <v>0</v>
      </c>
      <c r="S2188" s="4" t="s">
        <v>357</v>
      </c>
      <c r="T2188" s="4" t="s">
        <v>594</v>
      </c>
      <c r="U2188" s="4">
        <v>0</v>
      </c>
      <c r="V2188" s="4">
        <v>71</v>
      </c>
      <c r="W2188" s="4">
        <v>77</v>
      </c>
    </row>
    <row r="2189" spans="1:23" ht="11.25" customHeight="1" x14ac:dyDescent="0.25">
      <c r="A2189" s="4" t="s">
        <v>21</v>
      </c>
      <c r="B2189" s="4" t="s">
        <v>41</v>
      </c>
      <c r="C2189" s="4" t="s">
        <v>39</v>
      </c>
      <c r="D2189" s="4" t="s">
        <v>42</v>
      </c>
      <c r="E2189" s="4" t="s">
        <v>25</v>
      </c>
      <c r="F2189" s="4" t="s">
        <v>25</v>
      </c>
      <c r="G2189" s="4" t="s">
        <v>25</v>
      </c>
      <c r="H2189" s="4" t="s">
        <v>38</v>
      </c>
      <c r="I2189" s="5">
        <v>44440</v>
      </c>
      <c r="J2189" s="6">
        <v>0</v>
      </c>
      <c r="K2189" s="6">
        <v>0</v>
      </c>
      <c r="L2189" s="6">
        <v>9.9730000000000008</v>
      </c>
      <c r="M2189" s="6">
        <v>9.9730000000000008</v>
      </c>
      <c r="N2189" s="6">
        <v>9.9730000000000008</v>
      </c>
      <c r="O2189" s="6">
        <v>9.9730000000000008</v>
      </c>
      <c r="P2189" s="6">
        <v>0</v>
      </c>
      <c r="Q2189" s="4" t="s">
        <v>26</v>
      </c>
      <c r="R2189" s="4">
        <v>0</v>
      </c>
      <c r="S2189" s="4" t="s">
        <v>358</v>
      </c>
      <c r="T2189" s="4" t="s">
        <v>595</v>
      </c>
      <c r="U2189" s="4">
        <v>0</v>
      </c>
      <c r="V2189" s="4">
        <v>71</v>
      </c>
      <c r="W2189" s="4">
        <v>77</v>
      </c>
    </row>
    <row r="2190" spans="1:23" ht="11.25" customHeight="1" x14ac:dyDescent="0.25">
      <c r="A2190" s="4" t="s">
        <v>59</v>
      </c>
      <c r="B2190" s="4" t="s">
        <v>41</v>
      </c>
      <c r="C2190" s="4" t="s">
        <v>39</v>
      </c>
      <c r="D2190" s="4" t="s">
        <v>42</v>
      </c>
      <c r="E2190" s="4" t="s">
        <v>25</v>
      </c>
      <c r="F2190" s="4" t="s">
        <v>25</v>
      </c>
      <c r="G2190" s="4" t="s">
        <v>25</v>
      </c>
      <c r="H2190" s="4" t="s">
        <v>38</v>
      </c>
      <c r="I2190" s="5">
        <v>44470</v>
      </c>
      <c r="J2190" s="6">
        <v>0</v>
      </c>
      <c r="K2190" s="6">
        <v>0</v>
      </c>
      <c r="L2190" s="6">
        <v>9.9730000000000008</v>
      </c>
      <c r="M2190" s="6">
        <v>9.9730000000000008</v>
      </c>
      <c r="N2190" s="6">
        <v>9.9730000000000008</v>
      </c>
      <c r="O2190" s="6">
        <v>9.9730000000000008</v>
      </c>
      <c r="P2190" s="6">
        <v>0</v>
      </c>
      <c r="Q2190" s="4" t="s">
        <v>26</v>
      </c>
      <c r="R2190" s="4">
        <v>0</v>
      </c>
      <c r="S2190" s="4" t="s">
        <v>359</v>
      </c>
      <c r="T2190" s="4" t="s">
        <v>596</v>
      </c>
      <c r="U2190" s="4">
        <v>0</v>
      </c>
      <c r="V2190" s="4">
        <v>71</v>
      </c>
      <c r="W2190" s="4">
        <v>77</v>
      </c>
    </row>
    <row r="2191" spans="1:23" ht="11.25" customHeight="1" x14ac:dyDescent="0.25">
      <c r="A2191" s="4" t="s">
        <v>21</v>
      </c>
      <c r="B2191" s="4" t="s">
        <v>41</v>
      </c>
      <c r="C2191" s="4" t="s">
        <v>39</v>
      </c>
      <c r="D2191" s="4" t="s">
        <v>42</v>
      </c>
      <c r="E2191" s="4" t="s">
        <v>25</v>
      </c>
      <c r="F2191" s="4" t="s">
        <v>25</v>
      </c>
      <c r="G2191" s="4" t="s">
        <v>25</v>
      </c>
      <c r="H2191" s="4" t="s">
        <v>40</v>
      </c>
      <c r="I2191" s="5">
        <v>44136</v>
      </c>
      <c r="J2191" s="6">
        <v>0</v>
      </c>
      <c r="K2191" s="6">
        <v>0</v>
      </c>
      <c r="L2191" s="6">
        <v>2.4E-2</v>
      </c>
      <c r="M2191" s="6">
        <v>2.4E-2</v>
      </c>
      <c r="N2191" s="6">
        <v>2.4E-2</v>
      </c>
      <c r="O2191" s="6">
        <v>2.4E-2</v>
      </c>
      <c r="P2191" s="6">
        <v>0</v>
      </c>
      <c r="Q2191" s="4" t="s">
        <v>26</v>
      </c>
      <c r="R2191" s="4">
        <v>0</v>
      </c>
      <c r="S2191" s="4" t="s">
        <v>360</v>
      </c>
      <c r="T2191" s="4" t="s">
        <v>597</v>
      </c>
      <c r="U2191" s="4">
        <v>0</v>
      </c>
      <c r="V2191" s="4">
        <v>75</v>
      </c>
      <c r="W2191" s="4">
        <v>76</v>
      </c>
    </row>
    <row r="2192" spans="1:23" ht="11.25" customHeight="1" x14ac:dyDescent="0.25">
      <c r="A2192" s="4" t="s">
        <v>21</v>
      </c>
      <c r="B2192" s="4" t="s">
        <v>41</v>
      </c>
      <c r="C2192" s="4" t="s">
        <v>39</v>
      </c>
      <c r="D2192" s="4" t="s">
        <v>42</v>
      </c>
      <c r="E2192" s="4" t="s">
        <v>25</v>
      </c>
      <c r="F2192" s="4" t="s">
        <v>25</v>
      </c>
      <c r="G2192" s="4" t="s">
        <v>25</v>
      </c>
      <c r="H2192" s="4" t="s">
        <v>40</v>
      </c>
      <c r="I2192" s="5">
        <v>44166</v>
      </c>
      <c r="J2192" s="6">
        <v>0</v>
      </c>
      <c r="K2192" s="6">
        <v>0</v>
      </c>
      <c r="L2192" s="6">
        <v>1.821</v>
      </c>
      <c r="M2192" s="6">
        <v>1.821</v>
      </c>
      <c r="N2192" s="6">
        <v>1.821</v>
      </c>
      <c r="O2192" s="6">
        <v>1.821</v>
      </c>
      <c r="P2192" s="6">
        <v>0</v>
      </c>
      <c r="Q2192" s="4" t="s">
        <v>26</v>
      </c>
      <c r="R2192" s="4">
        <v>0</v>
      </c>
      <c r="S2192" s="4" t="s">
        <v>361</v>
      </c>
      <c r="T2192" s="4" t="s">
        <v>598</v>
      </c>
      <c r="U2192" s="4">
        <v>0</v>
      </c>
      <c r="V2192" s="4">
        <v>75</v>
      </c>
      <c r="W2192" s="4">
        <v>76</v>
      </c>
    </row>
    <row r="2193" spans="1:23" ht="11.25" customHeight="1" x14ac:dyDescent="0.25">
      <c r="A2193" s="4" t="s">
        <v>21</v>
      </c>
      <c r="B2193" s="4" t="s">
        <v>41</v>
      </c>
      <c r="C2193" s="4" t="s">
        <v>39</v>
      </c>
      <c r="D2193" s="4" t="s">
        <v>42</v>
      </c>
      <c r="E2193" s="4" t="s">
        <v>25</v>
      </c>
      <c r="F2193" s="4" t="s">
        <v>25</v>
      </c>
      <c r="G2193" s="4" t="s">
        <v>25</v>
      </c>
      <c r="H2193" s="4" t="s">
        <v>40</v>
      </c>
      <c r="I2193" s="5">
        <v>44197</v>
      </c>
      <c r="J2193" s="6">
        <v>0</v>
      </c>
      <c r="K2193" s="6">
        <v>0</v>
      </c>
      <c r="L2193" s="6">
        <v>0.15</v>
      </c>
      <c r="M2193" s="6">
        <v>0.15</v>
      </c>
      <c r="N2193" s="6">
        <v>0.15</v>
      </c>
      <c r="O2193" s="6">
        <v>0.15</v>
      </c>
      <c r="P2193" s="6">
        <v>0</v>
      </c>
      <c r="Q2193" s="4" t="s">
        <v>26</v>
      </c>
      <c r="R2193" s="4">
        <v>0</v>
      </c>
      <c r="S2193" s="4" t="s">
        <v>362</v>
      </c>
      <c r="T2193" s="4" t="s">
        <v>599</v>
      </c>
      <c r="U2193" s="4">
        <v>0</v>
      </c>
      <c r="V2193" s="4">
        <v>75</v>
      </c>
      <c r="W2193" s="4">
        <v>76</v>
      </c>
    </row>
    <row r="2194" spans="1:23" ht="11.25" customHeight="1" x14ac:dyDescent="0.25">
      <c r="A2194" s="4" t="s">
        <v>21</v>
      </c>
      <c r="B2194" s="4" t="s">
        <v>41</v>
      </c>
      <c r="C2194" s="4" t="s">
        <v>39</v>
      </c>
      <c r="D2194" s="4" t="s">
        <v>42</v>
      </c>
      <c r="E2194" s="4" t="s">
        <v>25</v>
      </c>
      <c r="F2194" s="4" t="s">
        <v>25</v>
      </c>
      <c r="G2194" s="4" t="s">
        <v>25</v>
      </c>
      <c r="H2194" s="4" t="s">
        <v>40</v>
      </c>
      <c r="I2194" s="5">
        <v>44228</v>
      </c>
      <c r="J2194" s="6">
        <v>0</v>
      </c>
      <c r="K2194" s="6">
        <v>0</v>
      </c>
      <c r="L2194" s="6">
        <v>0.11899999999999999</v>
      </c>
      <c r="M2194" s="6">
        <v>0.11899999999999999</v>
      </c>
      <c r="N2194" s="6">
        <v>0.11899999999999999</v>
      </c>
      <c r="O2194" s="6">
        <v>0.11899999999999999</v>
      </c>
      <c r="P2194" s="6">
        <v>0</v>
      </c>
      <c r="Q2194" s="4" t="s">
        <v>26</v>
      </c>
      <c r="R2194" s="4">
        <v>0</v>
      </c>
      <c r="S2194" s="4" t="s">
        <v>363</v>
      </c>
      <c r="T2194" s="4" t="s">
        <v>600</v>
      </c>
      <c r="U2194" s="4">
        <v>0</v>
      </c>
      <c r="V2194" s="4">
        <v>75</v>
      </c>
      <c r="W2194" s="4">
        <v>76</v>
      </c>
    </row>
    <row r="2195" spans="1:23" ht="11.25" customHeight="1" x14ac:dyDescent="0.25">
      <c r="A2195" s="4" t="s">
        <v>21</v>
      </c>
      <c r="B2195" s="4" t="s">
        <v>41</v>
      </c>
      <c r="C2195" s="4" t="s">
        <v>39</v>
      </c>
      <c r="D2195" s="4" t="s">
        <v>42</v>
      </c>
      <c r="E2195" s="4" t="s">
        <v>25</v>
      </c>
      <c r="F2195" s="4" t="s">
        <v>25</v>
      </c>
      <c r="G2195" s="4" t="s">
        <v>25</v>
      </c>
      <c r="H2195" s="4" t="s">
        <v>40</v>
      </c>
      <c r="I2195" s="5">
        <v>44256</v>
      </c>
      <c r="J2195" s="6">
        <v>0</v>
      </c>
      <c r="K2195" s="6">
        <v>0</v>
      </c>
      <c r="L2195" s="6">
        <v>0.14699999999999999</v>
      </c>
      <c r="M2195" s="6">
        <v>0.14699999999999999</v>
      </c>
      <c r="N2195" s="6">
        <v>0.14699999999999999</v>
      </c>
      <c r="O2195" s="6">
        <v>0.14699999999999999</v>
      </c>
      <c r="P2195" s="6">
        <v>0</v>
      </c>
      <c r="Q2195" s="4" t="s">
        <v>26</v>
      </c>
      <c r="R2195" s="4">
        <v>0</v>
      </c>
      <c r="S2195" s="4" t="s">
        <v>364</v>
      </c>
      <c r="T2195" s="4" t="s">
        <v>601</v>
      </c>
      <c r="U2195" s="4">
        <v>0</v>
      </c>
      <c r="V2195" s="4">
        <v>75</v>
      </c>
      <c r="W2195" s="4">
        <v>76</v>
      </c>
    </row>
    <row r="2196" spans="1:23" ht="11.25" customHeight="1" x14ac:dyDescent="0.25">
      <c r="A2196" s="4" t="s">
        <v>21</v>
      </c>
      <c r="B2196" s="4" t="s">
        <v>41</v>
      </c>
      <c r="C2196" s="4" t="s">
        <v>39</v>
      </c>
      <c r="D2196" s="4" t="s">
        <v>42</v>
      </c>
      <c r="E2196" s="4" t="s">
        <v>25</v>
      </c>
      <c r="F2196" s="4" t="s">
        <v>25</v>
      </c>
      <c r="G2196" s="4" t="s">
        <v>25</v>
      </c>
      <c r="H2196" s="4" t="s">
        <v>40</v>
      </c>
      <c r="I2196" s="5">
        <v>44287</v>
      </c>
      <c r="J2196" s="6">
        <v>0</v>
      </c>
      <c r="K2196" s="6">
        <v>0</v>
      </c>
      <c r="L2196" s="6">
        <v>0.14399999999999999</v>
      </c>
      <c r="M2196" s="6">
        <v>0.14399999999999999</v>
      </c>
      <c r="N2196" s="6">
        <v>0.14399999999999999</v>
      </c>
      <c r="O2196" s="6">
        <v>0.14399999999999999</v>
      </c>
      <c r="P2196" s="6">
        <v>0</v>
      </c>
      <c r="Q2196" s="4" t="s">
        <v>26</v>
      </c>
      <c r="R2196" s="4">
        <v>0</v>
      </c>
      <c r="S2196" s="4" t="s">
        <v>365</v>
      </c>
      <c r="T2196" s="4" t="s">
        <v>602</v>
      </c>
      <c r="U2196" s="4">
        <v>0</v>
      </c>
      <c r="V2196" s="4">
        <v>75</v>
      </c>
      <c r="W2196" s="4">
        <v>76</v>
      </c>
    </row>
    <row r="2197" spans="1:23" ht="11.25" customHeight="1" x14ac:dyDescent="0.25">
      <c r="A2197" s="4" t="s">
        <v>21</v>
      </c>
      <c r="B2197" s="4" t="s">
        <v>41</v>
      </c>
      <c r="C2197" s="4" t="s">
        <v>39</v>
      </c>
      <c r="D2197" s="4" t="s">
        <v>42</v>
      </c>
      <c r="E2197" s="4" t="s">
        <v>25</v>
      </c>
      <c r="F2197" s="4" t="s">
        <v>25</v>
      </c>
      <c r="G2197" s="4" t="s">
        <v>25</v>
      </c>
      <c r="H2197" s="4" t="s">
        <v>40</v>
      </c>
      <c r="I2197" s="5">
        <v>44317</v>
      </c>
      <c r="J2197" s="6">
        <v>0</v>
      </c>
      <c r="K2197" s="6">
        <v>0</v>
      </c>
      <c r="L2197" s="6">
        <v>0.14899999999999999</v>
      </c>
      <c r="M2197" s="6">
        <v>0.14899999999999999</v>
      </c>
      <c r="N2197" s="6">
        <v>0.14899999999999999</v>
      </c>
      <c r="O2197" s="6">
        <v>0.14899999999999999</v>
      </c>
      <c r="P2197" s="6">
        <v>0</v>
      </c>
      <c r="Q2197" s="4" t="s">
        <v>26</v>
      </c>
      <c r="R2197" s="4">
        <v>0</v>
      </c>
      <c r="S2197" s="4" t="s">
        <v>366</v>
      </c>
      <c r="T2197" s="4" t="s">
        <v>603</v>
      </c>
      <c r="U2197" s="4">
        <v>0</v>
      </c>
      <c r="V2197" s="4">
        <v>75</v>
      </c>
      <c r="W2197" s="4">
        <v>76</v>
      </c>
    </row>
    <row r="2198" spans="1:23" ht="11.25" customHeight="1" x14ac:dyDescent="0.25">
      <c r="A2198" s="4" t="s">
        <v>21</v>
      </c>
      <c r="B2198" s="4" t="s">
        <v>41</v>
      </c>
      <c r="C2198" s="4" t="s">
        <v>39</v>
      </c>
      <c r="D2198" s="4" t="s">
        <v>42</v>
      </c>
      <c r="E2198" s="4" t="s">
        <v>25</v>
      </c>
      <c r="F2198" s="4" t="s">
        <v>25</v>
      </c>
      <c r="G2198" s="4" t="s">
        <v>25</v>
      </c>
      <c r="H2198" s="4" t="s">
        <v>40</v>
      </c>
      <c r="I2198" s="5">
        <v>44348</v>
      </c>
      <c r="J2198" s="6">
        <v>0</v>
      </c>
      <c r="K2198" s="6">
        <v>0</v>
      </c>
      <c r="L2198" s="6">
        <v>0.16800000000000001</v>
      </c>
      <c r="M2198" s="6">
        <v>0.16800000000000001</v>
      </c>
      <c r="N2198" s="6">
        <v>0.16800000000000001</v>
      </c>
      <c r="O2198" s="6">
        <v>0.16800000000000001</v>
      </c>
      <c r="P2198" s="6">
        <v>0</v>
      </c>
      <c r="Q2198" s="4" t="s">
        <v>26</v>
      </c>
      <c r="R2198" s="4">
        <v>0</v>
      </c>
      <c r="S2198" s="4" t="s">
        <v>367</v>
      </c>
      <c r="T2198" s="4" t="s">
        <v>604</v>
      </c>
      <c r="U2198" s="4">
        <v>0</v>
      </c>
      <c r="V2198" s="4">
        <v>75</v>
      </c>
      <c r="W2198" s="4">
        <v>76</v>
      </c>
    </row>
    <row r="2199" spans="1:23" ht="11.25" customHeight="1" x14ac:dyDescent="0.25">
      <c r="A2199" s="4" t="s">
        <v>21</v>
      </c>
      <c r="B2199" s="4" t="s">
        <v>41</v>
      </c>
      <c r="C2199" s="4" t="s">
        <v>39</v>
      </c>
      <c r="D2199" s="4" t="s">
        <v>42</v>
      </c>
      <c r="E2199" s="4" t="s">
        <v>25</v>
      </c>
      <c r="F2199" s="4" t="s">
        <v>25</v>
      </c>
      <c r="G2199" s="4" t="s">
        <v>25</v>
      </c>
      <c r="H2199" s="4" t="s">
        <v>40</v>
      </c>
      <c r="I2199" s="5">
        <v>44378</v>
      </c>
      <c r="J2199" s="6">
        <v>0</v>
      </c>
      <c r="K2199" s="6">
        <v>0</v>
      </c>
      <c r="L2199" s="6">
        <v>0.09</v>
      </c>
      <c r="M2199" s="6">
        <v>0.09</v>
      </c>
      <c r="N2199" s="6">
        <v>0.09</v>
      </c>
      <c r="O2199" s="6">
        <v>0.09</v>
      </c>
      <c r="P2199" s="6">
        <v>0</v>
      </c>
      <c r="Q2199" s="4" t="s">
        <v>26</v>
      </c>
      <c r="R2199" s="4">
        <v>0</v>
      </c>
      <c r="S2199" s="4" t="s">
        <v>368</v>
      </c>
      <c r="T2199" s="4" t="s">
        <v>605</v>
      </c>
      <c r="U2199" s="4">
        <v>0</v>
      </c>
      <c r="V2199" s="4">
        <v>75</v>
      </c>
      <c r="W2199" s="4">
        <v>76</v>
      </c>
    </row>
    <row r="2200" spans="1:23" ht="11.25" customHeight="1" x14ac:dyDescent="0.25">
      <c r="A2200" s="4" t="s">
        <v>21</v>
      </c>
      <c r="B2200" s="4" t="s">
        <v>41</v>
      </c>
      <c r="C2200" s="4" t="s">
        <v>39</v>
      </c>
      <c r="D2200" s="4" t="s">
        <v>42</v>
      </c>
      <c r="E2200" s="4" t="s">
        <v>25</v>
      </c>
      <c r="F2200" s="4" t="s">
        <v>25</v>
      </c>
      <c r="G2200" s="4" t="s">
        <v>25</v>
      </c>
      <c r="H2200" s="4" t="s">
        <v>40</v>
      </c>
      <c r="I2200" s="5">
        <v>44409</v>
      </c>
      <c r="J2200" s="6">
        <v>0</v>
      </c>
      <c r="K2200" s="6">
        <v>0</v>
      </c>
      <c r="L2200" s="6">
        <v>0.11700000000000001</v>
      </c>
      <c r="M2200" s="6">
        <v>0.11700000000000001</v>
      </c>
      <c r="N2200" s="6">
        <v>0.11700000000000001</v>
      </c>
      <c r="O2200" s="6">
        <v>0.11700000000000001</v>
      </c>
      <c r="P2200" s="6">
        <v>0</v>
      </c>
      <c r="Q2200" s="4" t="s">
        <v>26</v>
      </c>
      <c r="R2200" s="4">
        <v>0</v>
      </c>
      <c r="S2200" s="4" t="s">
        <v>369</v>
      </c>
      <c r="T2200" s="4" t="s">
        <v>606</v>
      </c>
      <c r="U2200" s="4">
        <v>0</v>
      </c>
      <c r="V2200" s="4">
        <v>75</v>
      </c>
      <c r="W2200" s="4">
        <v>76</v>
      </c>
    </row>
    <row r="2201" spans="1:23" ht="11.25" customHeight="1" x14ac:dyDescent="0.25">
      <c r="A2201" s="4" t="s">
        <v>21</v>
      </c>
      <c r="B2201" s="4" t="s">
        <v>41</v>
      </c>
      <c r="C2201" s="4" t="s">
        <v>39</v>
      </c>
      <c r="D2201" s="4" t="s">
        <v>42</v>
      </c>
      <c r="E2201" s="4" t="s">
        <v>25</v>
      </c>
      <c r="F2201" s="4" t="s">
        <v>25</v>
      </c>
      <c r="G2201" s="4" t="s">
        <v>25</v>
      </c>
      <c r="H2201" s="4" t="s">
        <v>40</v>
      </c>
      <c r="I2201" s="5">
        <v>44440</v>
      </c>
      <c r="J2201" s="6">
        <v>0</v>
      </c>
      <c r="K2201" s="6">
        <v>0</v>
      </c>
      <c r="L2201" s="6">
        <v>0.20300000000000001</v>
      </c>
      <c r="M2201" s="6">
        <v>0.20300000000000001</v>
      </c>
      <c r="N2201" s="6">
        <v>0.20300000000000001</v>
      </c>
      <c r="O2201" s="6">
        <v>0.20300000000000001</v>
      </c>
      <c r="P2201" s="6">
        <v>0</v>
      </c>
      <c r="Q2201" s="4" t="s">
        <v>26</v>
      </c>
      <c r="R2201" s="4">
        <v>0</v>
      </c>
      <c r="S2201" s="4" t="s">
        <v>370</v>
      </c>
      <c r="T2201" s="4" t="s">
        <v>607</v>
      </c>
      <c r="U2201" s="4">
        <v>0</v>
      </c>
      <c r="V2201" s="4">
        <v>75</v>
      </c>
      <c r="W2201" s="4">
        <v>76</v>
      </c>
    </row>
    <row r="2202" spans="1:23" ht="11.25" customHeight="1" x14ac:dyDescent="0.25">
      <c r="A2202" s="4" t="s">
        <v>59</v>
      </c>
      <c r="B2202" s="4" t="s">
        <v>41</v>
      </c>
      <c r="C2202" s="4" t="s">
        <v>39</v>
      </c>
      <c r="D2202" s="4" t="s">
        <v>42</v>
      </c>
      <c r="E2202" s="4" t="s">
        <v>25</v>
      </c>
      <c r="F2202" s="4" t="s">
        <v>25</v>
      </c>
      <c r="G2202" s="4" t="s">
        <v>25</v>
      </c>
      <c r="H2202" s="4" t="s">
        <v>40</v>
      </c>
      <c r="I2202" s="5">
        <v>44470</v>
      </c>
      <c r="J2202" s="6">
        <v>0</v>
      </c>
      <c r="K2202" s="6">
        <v>0</v>
      </c>
      <c r="L2202" s="6">
        <v>0.20300000000000001</v>
      </c>
      <c r="M2202" s="6">
        <v>0.20300000000000001</v>
      </c>
      <c r="N2202" s="6">
        <v>0.20300000000000001</v>
      </c>
      <c r="O2202" s="6">
        <v>0.20300000000000001</v>
      </c>
      <c r="P2202" s="6">
        <v>0</v>
      </c>
      <c r="Q2202" s="4" t="s">
        <v>26</v>
      </c>
      <c r="R2202" s="4">
        <v>0</v>
      </c>
      <c r="S2202" s="4" t="s">
        <v>371</v>
      </c>
      <c r="T2202" s="4" t="s">
        <v>608</v>
      </c>
      <c r="U2202" s="4">
        <v>0</v>
      </c>
      <c r="V2202" s="4">
        <v>75</v>
      </c>
      <c r="W2202" s="4">
        <v>76</v>
      </c>
    </row>
    <row r="2203" spans="1:23" ht="11.25" customHeight="1" x14ac:dyDescent="0.25">
      <c r="A2203" s="4" t="s">
        <v>21</v>
      </c>
      <c r="B2203" s="4" t="s">
        <v>41</v>
      </c>
      <c r="C2203" s="4" t="s">
        <v>39</v>
      </c>
      <c r="D2203" s="4" t="s">
        <v>42</v>
      </c>
      <c r="E2203" s="4" t="s">
        <v>25</v>
      </c>
      <c r="F2203" s="4" t="s">
        <v>25</v>
      </c>
      <c r="G2203" s="4" t="s">
        <v>25</v>
      </c>
      <c r="H2203" s="4" t="s">
        <v>37</v>
      </c>
      <c r="I2203" s="5">
        <v>44136</v>
      </c>
      <c r="J2203" s="6">
        <v>0</v>
      </c>
      <c r="K2203" s="6">
        <v>0</v>
      </c>
      <c r="L2203" s="6">
        <v>0.08</v>
      </c>
      <c r="M2203" s="6">
        <v>0.08</v>
      </c>
      <c r="N2203" s="6">
        <v>0.08</v>
      </c>
      <c r="O2203" s="6">
        <v>0.08</v>
      </c>
      <c r="P2203" s="6">
        <v>0</v>
      </c>
      <c r="Q2203" s="4" t="s">
        <v>26</v>
      </c>
      <c r="R2203" s="4">
        <v>0</v>
      </c>
      <c r="S2203" s="4" t="s">
        <v>372</v>
      </c>
      <c r="T2203" s="4" t="s">
        <v>609</v>
      </c>
      <c r="U2203" s="4">
        <v>0</v>
      </c>
      <c r="V2203" s="4">
        <v>74</v>
      </c>
      <c r="W2203" s="4">
        <v>82</v>
      </c>
    </row>
    <row r="2204" spans="1:23" ht="11.25" customHeight="1" x14ac:dyDescent="0.25">
      <c r="A2204" s="4" t="s">
        <v>21</v>
      </c>
      <c r="B2204" s="4" t="s">
        <v>41</v>
      </c>
      <c r="C2204" s="4" t="s">
        <v>39</v>
      </c>
      <c r="D2204" s="4" t="s">
        <v>42</v>
      </c>
      <c r="E2204" s="4" t="s">
        <v>25</v>
      </c>
      <c r="F2204" s="4" t="s">
        <v>25</v>
      </c>
      <c r="G2204" s="4" t="s">
        <v>25</v>
      </c>
      <c r="H2204" s="4" t="s">
        <v>37</v>
      </c>
      <c r="I2204" s="5">
        <v>44166</v>
      </c>
      <c r="J2204" s="6">
        <v>0</v>
      </c>
      <c r="K2204" s="6">
        <v>0</v>
      </c>
      <c r="L2204" s="6">
        <v>2.472</v>
      </c>
      <c r="M2204" s="6">
        <v>2.472</v>
      </c>
      <c r="N2204" s="6">
        <v>2.472</v>
      </c>
      <c r="O2204" s="6">
        <v>2.472</v>
      </c>
      <c r="P2204" s="6">
        <v>0</v>
      </c>
      <c r="Q2204" s="4" t="s">
        <v>26</v>
      </c>
      <c r="R2204" s="4">
        <v>0</v>
      </c>
      <c r="S2204" s="4" t="s">
        <v>373</v>
      </c>
      <c r="T2204" s="4" t="s">
        <v>610</v>
      </c>
      <c r="U2204" s="4">
        <v>0</v>
      </c>
      <c r="V2204" s="4">
        <v>74</v>
      </c>
      <c r="W2204" s="4">
        <v>82</v>
      </c>
    </row>
    <row r="2205" spans="1:23" ht="11.25" customHeight="1" x14ac:dyDescent="0.25">
      <c r="A2205" s="4" t="s">
        <v>21</v>
      </c>
      <c r="B2205" s="4" t="s">
        <v>41</v>
      </c>
      <c r="C2205" s="4" t="s">
        <v>39</v>
      </c>
      <c r="D2205" s="4" t="s">
        <v>42</v>
      </c>
      <c r="E2205" s="4" t="s">
        <v>25</v>
      </c>
      <c r="F2205" s="4" t="s">
        <v>25</v>
      </c>
      <c r="G2205" s="4" t="s">
        <v>25</v>
      </c>
      <c r="H2205" s="4" t="s">
        <v>37</v>
      </c>
      <c r="I2205" s="5">
        <v>44197</v>
      </c>
      <c r="J2205" s="6">
        <v>0</v>
      </c>
      <c r="K2205" s="6">
        <v>0</v>
      </c>
      <c r="L2205" s="6">
        <v>0.22800000000000001</v>
      </c>
      <c r="M2205" s="6">
        <v>0.22800000000000001</v>
      </c>
      <c r="N2205" s="6">
        <v>0.22800000000000001</v>
      </c>
      <c r="O2205" s="6">
        <v>0.22800000000000001</v>
      </c>
      <c r="P2205" s="6">
        <v>0</v>
      </c>
      <c r="Q2205" s="4" t="s">
        <v>26</v>
      </c>
      <c r="R2205" s="4">
        <v>0</v>
      </c>
      <c r="S2205" s="4" t="s">
        <v>374</v>
      </c>
      <c r="T2205" s="4" t="s">
        <v>611</v>
      </c>
      <c r="U2205" s="4">
        <v>0</v>
      </c>
      <c r="V2205" s="4">
        <v>74</v>
      </c>
      <c r="W2205" s="4">
        <v>82</v>
      </c>
    </row>
    <row r="2206" spans="1:23" ht="11.25" customHeight="1" x14ac:dyDescent="0.25">
      <c r="A2206" s="4" t="s">
        <v>21</v>
      </c>
      <c r="B2206" s="4" t="s">
        <v>41</v>
      </c>
      <c r="C2206" s="4" t="s">
        <v>39</v>
      </c>
      <c r="D2206" s="4" t="s">
        <v>42</v>
      </c>
      <c r="E2206" s="4" t="s">
        <v>25</v>
      </c>
      <c r="F2206" s="4" t="s">
        <v>25</v>
      </c>
      <c r="G2206" s="4" t="s">
        <v>25</v>
      </c>
      <c r="H2206" s="4" t="s">
        <v>37</v>
      </c>
      <c r="I2206" s="5">
        <v>44228</v>
      </c>
      <c r="J2206" s="6">
        <v>0</v>
      </c>
      <c r="K2206" s="6">
        <v>0</v>
      </c>
      <c r="L2206" s="6">
        <v>0.19400000000000001</v>
      </c>
      <c r="M2206" s="6">
        <v>0.19400000000000001</v>
      </c>
      <c r="N2206" s="6">
        <v>0.19400000000000001</v>
      </c>
      <c r="O2206" s="6">
        <v>0.19400000000000001</v>
      </c>
      <c r="P2206" s="6">
        <v>0</v>
      </c>
      <c r="Q2206" s="4" t="s">
        <v>26</v>
      </c>
      <c r="R2206" s="4">
        <v>0</v>
      </c>
      <c r="S2206" s="4" t="s">
        <v>375</v>
      </c>
      <c r="T2206" s="4" t="s">
        <v>612</v>
      </c>
      <c r="U2206" s="4">
        <v>0</v>
      </c>
      <c r="V2206" s="4">
        <v>74</v>
      </c>
      <c r="W2206" s="4">
        <v>82</v>
      </c>
    </row>
    <row r="2207" spans="1:23" ht="11.25" customHeight="1" x14ac:dyDescent="0.25">
      <c r="A2207" s="4" t="s">
        <v>21</v>
      </c>
      <c r="B2207" s="4" t="s">
        <v>41</v>
      </c>
      <c r="C2207" s="4" t="s">
        <v>39</v>
      </c>
      <c r="D2207" s="4" t="s">
        <v>42</v>
      </c>
      <c r="E2207" s="4" t="s">
        <v>25</v>
      </c>
      <c r="F2207" s="4" t="s">
        <v>25</v>
      </c>
      <c r="G2207" s="4" t="s">
        <v>25</v>
      </c>
      <c r="H2207" s="4" t="s">
        <v>37</v>
      </c>
      <c r="I2207" s="5">
        <v>44256</v>
      </c>
      <c r="J2207" s="6">
        <v>0</v>
      </c>
      <c r="K2207" s="6">
        <v>0</v>
      </c>
      <c r="L2207" s="6">
        <v>0.23300000000000001</v>
      </c>
      <c r="M2207" s="6">
        <v>0.23300000000000001</v>
      </c>
      <c r="N2207" s="6">
        <v>0.23300000000000001</v>
      </c>
      <c r="O2207" s="6">
        <v>0.23300000000000001</v>
      </c>
      <c r="P2207" s="6">
        <v>0</v>
      </c>
      <c r="Q2207" s="4" t="s">
        <v>26</v>
      </c>
      <c r="R2207" s="4">
        <v>0</v>
      </c>
      <c r="S2207" s="4" t="s">
        <v>376</v>
      </c>
      <c r="T2207" s="4" t="s">
        <v>613</v>
      </c>
      <c r="U2207" s="4">
        <v>0</v>
      </c>
      <c r="V2207" s="4">
        <v>74</v>
      </c>
      <c r="W2207" s="4">
        <v>82</v>
      </c>
    </row>
    <row r="2208" spans="1:23" ht="11.25" customHeight="1" x14ac:dyDescent="0.25">
      <c r="A2208" s="4" t="s">
        <v>21</v>
      </c>
      <c r="B2208" s="4" t="s">
        <v>41</v>
      </c>
      <c r="C2208" s="4" t="s">
        <v>39</v>
      </c>
      <c r="D2208" s="4" t="s">
        <v>42</v>
      </c>
      <c r="E2208" s="4" t="s">
        <v>25</v>
      </c>
      <c r="F2208" s="4" t="s">
        <v>25</v>
      </c>
      <c r="G2208" s="4" t="s">
        <v>25</v>
      </c>
      <c r="H2208" s="4" t="s">
        <v>37</v>
      </c>
      <c r="I2208" s="5">
        <v>44287</v>
      </c>
      <c r="J2208" s="6">
        <v>0</v>
      </c>
      <c r="K2208" s="6">
        <v>0</v>
      </c>
      <c r="L2208" s="6">
        <v>0.216</v>
      </c>
      <c r="M2208" s="6">
        <v>0.216</v>
      </c>
      <c r="N2208" s="6">
        <v>0.216</v>
      </c>
      <c r="O2208" s="6">
        <v>0.216</v>
      </c>
      <c r="P2208" s="6">
        <v>0</v>
      </c>
      <c r="Q2208" s="4" t="s">
        <v>26</v>
      </c>
      <c r="R2208" s="4">
        <v>0</v>
      </c>
      <c r="S2208" s="4" t="s">
        <v>377</v>
      </c>
      <c r="T2208" s="4" t="s">
        <v>614</v>
      </c>
      <c r="U2208" s="4">
        <v>0</v>
      </c>
      <c r="V2208" s="4">
        <v>74</v>
      </c>
      <c r="W2208" s="4">
        <v>82</v>
      </c>
    </row>
    <row r="2209" spans="1:23" ht="11.25" customHeight="1" x14ac:dyDescent="0.25">
      <c r="A2209" s="4" t="s">
        <v>21</v>
      </c>
      <c r="B2209" s="4" t="s">
        <v>41</v>
      </c>
      <c r="C2209" s="4" t="s">
        <v>39</v>
      </c>
      <c r="D2209" s="4" t="s">
        <v>42</v>
      </c>
      <c r="E2209" s="4" t="s">
        <v>25</v>
      </c>
      <c r="F2209" s="4" t="s">
        <v>25</v>
      </c>
      <c r="G2209" s="4" t="s">
        <v>25</v>
      </c>
      <c r="H2209" s="4" t="s">
        <v>37</v>
      </c>
      <c r="I2209" s="5">
        <v>44317</v>
      </c>
      <c r="J2209" s="6">
        <v>0</v>
      </c>
      <c r="K2209" s="6">
        <v>0</v>
      </c>
      <c r="L2209" s="6">
        <v>0.23300000000000001</v>
      </c>
      <c r="M2209" s="6">
        <v>0.23300000000000001</v>
      </c>
      <c r="N2209" s="6">
        <v>0.23300000000000001</v>
      </c>
      <c r="O2209" s="6">
        <v>0.23300000000000001</v>
      </c>
      <c r="P2209" s="6">
        <v>0</v>
      </c>
      <c r="Q2209" s="4" t="s">
        <v>26</v>
      </c>
      <c r="R2209" s="4">
        <v>0</v>
      </c>
      <c r="S2209" s="4" t="s">
        <v>378</v>
      </c>
      <c r="T2209" s="4" t="s">
        <v>615</v>
      </c>
      <c r="U2209" s="4">
        <v>0</v>
      </c>
      <c r="V2209" s="4">
        <v>74</v>
      </c>
      <c r="W2209" s="4">
        <v>82</v>
      </c>
    </row>
    <row r="2210" spans="1:23" ht="11.25" customHeight="1" x14ac:dyDescent="0.25">
      <c r="A2210" s="4" t="s">
        <v>21</v>
      </c>
      <c r="B2210" s="4" t="s">
        <v>41</v>
      </c>
      <c r="C2210" s="4" t="s">
        <v>39</v>
      </c>
      <c r="D2210" s="4" t="s">
        <v>42</v>
      </c>
      <c r="E2210" s="4" t="s">
        <v>25</v>
      </c>
      <c r="F2210" s="4" t="s">
        <v>25</v>
      </c>
      <c r="G2210" s="4" t="s">
        <v>25</v>
      </c>
      <c r="H2210" s="4" t="s">
        <v>37</v>
      </c>
      <c r="I2210" s="5">
        <v>44348</v>
      </c>
      <c r="J2210" s="6">
        <v>0</v>
      </c>
      <c r="K2210" s="6">
        <v>0</v>
      </c>
      <c r="L2210" s="6">
        <v>0.25900000000000001</v>
      </c>
      <c r="M2210" s="6">
        <v>0.25900000000000001</v>
      </c>
      <c r="N2210" s="6">
        <v>0.25900000000000001</v>
      </c>
      <c r="O2210" s="6">
        <v>0.25900000000000001</v>
      </c>
      <c r="P2210" s="6">
        <v>0</v>
      </c>
      <c r="Q2210" s="4" t="s">
        <v>26</v>
      </c>
      <c r="R2210" s="4">
        <v>0</v>
      </c>
      <c r="S2210" s="4" t="s">
        <v>379</v>
      </c>
      <c r="T2210" s="4" t="s">
        <v>616</v>
      </c>
      <c r="U2210" s="4">
        <v>0</v>
      </c>
      <c r="V2210" s="4">
        <v>74</v>
      </c>
      <c r="W2210" s="4">
        <v>82</v>
      </c>
    </row>
    <row r="2211" spans="1:23" ht="11.25" customHeight="1" x14ac:dyDescent="0.25">
      <c r="A2211" s="4" t="s">
        <v>21</v>
      </c>
      <c r="B2211" s="4" t="s">
        <v>41</v>
      </c>
      <c r="C2211" s="4" t="s">
        <v>39</v>
      </c>
      <c r="D2211" s="4" t="s">
        <v>42</v>
      </c>
      <c r="E2211" s="4" t="s">
        <v>25</v>
      </c>
      <c r="F2211" s="4" t="s">
        <v>25</v>
      </c>
      <c r="G2211" s="4" t="s">
        <v>25</v>
      </c>
      <c r="H2211" s="4" t="s">
        <v>37</v>
      </c>
      <c r="I2211" s="5">
        <v>44378</v>
      </c>
      <c r="J2211" s="6">
        <v>0</v>
      </c>
      <c r="K2211" s="6">
        <v>0</v>
      </c>
      <c r="L2211" s="6">
        <v>0.13800000000000001</v>
      </c>
      <c r="M2211" s="6">
        <v>0.13800000000000001</v>
      </c>
      <c r="N2211" s="6">
        <v>0.13800000000000001</v>
      </c>
      <c r="O2211" s="6">
        <v>0.13800000000000001</v>
      </c>
      <c r="P2211" s="6">
        <v>0</v>
      </c>
      <c r="Q2211" s="4" t="s">
        <v>26</v>
      </c>
      <c r="R2211" s="4">
        <v>0</v>
      </c>
      <c r="S2211" s="4" t="s">
        <v>380</v>
      </c>
      <c r="T2211" s="4" t="s">
        <v>617</v>
      </c>
      <c r="U2211" s="4">
        <v>0</v>
      </c>
      <c r="V2211" s="4">
        <v>74</v>
      </c>
      <c r="W2211" s="4">
        <v>82</v>
      </c>
    </row>
    <row r="2212" spans="1:23" ht="11.25" customHeight="1" x14ac:dyDescent="0.25">
      <c r="A2212" s="4" t="s">
        <v>21</v>
      </c>
      <c r="B2212" s="4" t="s">
        <v>41</v>
      </c>
      <c r="C2212" s="4" t="s">
        <v>39</v>
      </c>
      <c r="D2212" s="4" t="s">
        <v>42</v>
      </c>
      <c r="E2212" s="4" t="s">
        <v>25</v>
      </c>
      <c r="F2212" s="4" t="s">
        <v>25</v>
      </c>
      <c r="G2212" s="4" t="s">
        <v>25</v>
      </c>
      <c r="H2212" s="4" t="s">
        <v>37</v>
      </c>
      <c r="I2212" s="5">
        <v>44409</v>
      </c>
      <c r="J2212" s="6">
        <v>0</v>
      </c>
      <c r="K2212" s="6">
        <v>0</v>
      </c>
      <c r="L2212" s="6">
        <v>0.19700000000000001</v>
      </c>
      <c r="M2212" s="6">
        <v>0.19700000000000001</v>
      </c>
      <c r="N2212" s="6">
        <v>0.19700000000000001</v>
      </c>
      <c r="O2212" s="6">
        <v>0.19700000000000001</v>
      </c>
      <c r="P2212" s="6">
        <v>0</v>
      </c>
      <c r="Q2212" s="4" t="s">
        <v>26</v>
      </c>
      <c r="R2212" s="4">
        <v>0</v>
      </c>
      <c r="S2212" s="4" t="s">
        <v>381</v>
      </c>
      <c r="T2212" s="4" t="s">
        <v>618</v>
      </c>
      <c r="U2212" s="4">
        <v>0</v>
      </c>
      <c r="V2212" s="4">
        <v>74</v>
      </c>
      <c r="W2212" s="4">
        <v>82</v>
      </c>
    </row>
    <row r="2213" spans="1:23" ht="11.25" customHeight="1" x14ac:dyDescent="0.25">
      <c r="A2213" s="4" t="s">
        <v>21</v>
      </c>
      <c r="B2213" s="4" t="s">
        <v>41</v>
      </c>
      <c r="C2213" s="4" t="s">
        <v>39</v>
      </c>
      <c r="D2213" s="4" t="s">
        <v>42</v>
      </c>
      <c r="E2213" s="4" t="s">
        <v>25</v>
      </c>
      <c r="F2213" s="4" t="s">
        <v>25</v>
      </c>
      <c r="G2213" s="4" t="s">
        <v>25</v>
      </c>
      <c r="H2213" s="4" t="s">
        <v>37</v>
      </c>
      <c r="I2213" s="5">
        <v>44440</v>
      </c>
      <c r="J2213" s="6">
        <v>0</v>
      </c>
      <c r="K2213" s="6">
        <v>0</v>
      </c>
      <c r="L2213" s="6">
        <v>0.3</v>
      </c>
      <c r="M2213" s="6">
        <v>0.3</v>
      </c>
      <c r="N2213" s="6">
        <v>0.3</v>
      </c>
      <c r="O2213" s="6">
        <v>0.3</v>
      </c>
      <c r="P2213" s="6">
        <v>0</v>
      </c>
      <c r="Q2213" s="4" t="s">
        <v>26</v>
      </c>
      <c r="R2213" s="4">
        <v>0</v>
      </c>
      <c r="S2213" s="4" t="s">
        <v>382</v>
      </c>
      <c r="T2213" s="4" t="s">
        <v>619</v>
      </c>
      <c r="U2213" s="4">
        <v>0</v>
      </c>
      <c r="V2213" s="4">
        <v>74</v>
      </c>
      <c r="W2213" s="4">
        <v>82</v>
      </c>
    </row>
    <row r="2214" spans="1:23" ht="11.25" customHeight="1" x14ac:dyDescent="0.25">
      <c r="A2214" s="4" t="s">
        <v>59</v>
      </c>
      <c r="B2214" s="4" t="s">
        <v>41</v>
      </c>
      <c r="C2214" s="4" t="s">
        <v>39</v>
      </c>
      <c r="D2214" s="4" t="s">
        <v>42</v>
      </c>
      <c r="E2214" s="4" t="s">
        <v>25</v>
      </c>
      <c r="F2214" s="4" t="s">
        <v>25</v>
      </c>
      <c r="G2214" s="4" t="s">
        <v>25</v>
      </c>
      <c r="H2214" s="4" t="s">
        <v>37</v>
      </c>
      <c r="I2214" s="5">
        <v>44470</v>
      </c>
      <c r="J2214" s="6">
        <v>0</v>
      </c>
      <c r="K2214" s="6">
        <v>0</v>
      </c>
      <c r="L2214" s="6">
        <v>0.3</v>
      </c>
      <c r="M2214" s="6">
        <v>0.3</v>
      </c>
      <c r="N2214" s="6">
        <v>0.3</v>
      </c>
      <c r="O2214" s="6">
        <v>0.3</v>
      </c>
      <c r="P2214" s="6">
        <v>0</v>
      </c>
      <c r="Q2214" s="4" t="s">
        <v>26</v>
      </c>
      <c r="R2214" s="4">
        <v>0</v>
      </c>
      <c r="S2214" s="4" t="s">
        <v>383</v>
      </c>
      <c r="T2214" s="4" t="s">
        <v>620</v>
      </c>
      <c r="U2214" s="4">
        <v>0</v>
      </c>
      <c r="V2214" s="4">
        <v>74</v>
      </c>
      <c r="W2214" s="4">
        <v>82</v>
      </c>
    </row>
    <row r="2215" spans="1:23" ht="11.25" customHeight="1" x14ac:dyDescent="0.25">
      <c r="A2215" s="4" t="s">
        <v>21</v>
      </c>
      <c r="B2215" s="4" t="s">
        <v>41</v>
      </c>
      <c r="C2215" s="4" t="s">
        <v>39</v>
      </c>
      <c r="D2215" s="4" t="s">
        <v>48</v>
      </c>
      <c r="E2215" s="4" t="s">
        <v>25</v>
      </c>
      <c r="F2215" s="4" t="s">
        <v>25</v>
      </c>
      <c r="G2215" s="4" t="s">
        <v>25</v>
      </c>
      <c r="H2215" s="4" t="s">
        <v>38</v>
      </c>
      <c r="I2215" s="5">
        <v>44136</v>
      </c>
      <c r="J2215" s="6">
        <v>0</v>
      </c>
      <c r="K2215" s="6">
        <v>0</v>
      </c>
      <c r="L2215" s="6">
        <v>46.802999999999997</v>
      </c>
      <c r="M2215" s="6">
        <v>46.802999999999997</v>
      </c>
      <c r="N2215" s="6">
        <v>46.802999999999997</v>
      </c>
      <c r="O2215" s="6">
        <v>46.802999999999997</v>
      </c>
      <c r="P2215" s="6">
        <v>0</v>
      </c>
      <c r="Q2215" s="4" t="s">
        <v>26</v>
      </c>
      <c r="R2215" s="4">
        <v>0</v>
      </c>
      <c r="S2215" s="4" t="s">
        <v>348</v>
      </c>
      <c r="T2215" s="4" t="s">
        <v>585</v>
      </c>
      <c r="U2215" s="4">
        <v>0</v>
      </c>
      <c r="V2215" s="4">
        <v>71</v>
      </c>
      <c r="W2215" s="4">
        <v>77</v>
      </c>
    </row>
    <row r="2216" spans="1:23" ht="11.25" customHeight="1" x14ac:dyDescent="0.25">
      <c r="A2216" s="4" t="s">
        <v>27</v>
      </c>
      <c r="B2216" s="4" t="s">
        <v>41</v>
      </c>
      <c r="C2216" s="4" t="s">
        <v>39</v>
      </c>
      <c r="D2216" s="4" t="s">
        <v>48</v>
      </c>
      <c r="E2216" s="4" t="s">
        <v>25</v>
      </c>
      <c r="F2216" s="4" t="s">
        <v>25</v>
      </c>
      <c r="G2216" s="4" t="s">
        <v>25</v>
      </c>
      <c r="H2216" s="4" t="s">
        <v>38</v>
      </c>
      <c r="I2216" s="5">
        <v>44136</v>
      </c>
      <c r="J2216" s="6">
        <v>0</v>
      </c>
      <c r="K2216" s="6">
        <v>0</v>
      </c>
      <c r="L2216" s="6">
        <v>-0.2</v>
      </c>
      <c r="M2216" s="6">
        <v>-0.2</v>
      </c>
      <c r="N2216" s="6">
        <v>-0.2</v>
      </c>
      <c r="O2216" s="6">
        <v>-0.2</v>
      </c>
      <c r="P2216" s="6">
        <v>0</v>
      </c>
      <c r="Q2216" s="4" t="s">
        <v>26</v>
      </c>
      <c r="R2216" s="4">
        <v>0</v>
      </c>
      <c r="S2216" s="4" t="s">
        <v>348</v>
      </c>
      <c r="T2216" s="4" t="s">
        <v>585</v>
      </c>
      <c r="U2216" s="4">
        <v>0</v>
      </c>
      <c r="V2216" s="4">
        <v>71</v>
      </c>
      <c r="W2216" s="4">
        <v>77</v>
      </c>
    </row>
    <row r="2217" spans="1:23" ht="11.25" customHeight="1" x14ac:dyDescent="0.25">
      <c r="A2217" s="4" t="s">
        <v>21</v>
      </c>
      <c r="B2217" s="4" t="s">
        <v>41</v>
      </c>
      <c r="C2217" s="4" t="s">
        <v>39</v>
      </c>
      <c r="D2217" s="4" t="s">
        <v>48</v>
      </c>
      <c r="E2217" s="4" t="s">
        <v>25</v>
      </c>
      <c r="F2217" s="4" t="s">
        <v>25</v>
      </c>
      <c r="G2217" s="4" t="s">
        <v>25</v>
      </c>
      <c r="H2217" s="4" t="s">
        <v>38</v>
      </c>
      <c r="I2217" s="5">
        <v>44166</v>
      </c>
      <c r="J2217" s="6">
        <v>0</v>
      </c>
      <c r="K2217" s="6">
        <v>0</v>
      </c>
      <c r="L2217" s="6">
        <v>47.774999999999999</v>
      </c>
      <c r="M2217" s="6">
        <v>47.774999999999999</v>
      </c>
      <c r="N2217" s="6">
        <v>47.774999999999999</v>
      </c>
      <c r="O2217" s="6">
        <v>47.774999999999999</v>
      </c>
      <c r="P2217" s="6">
        <v>0</v>
      </c>
      <c r="Q2217" s="4" t="s">
        <v>26</v>
      </c>
      <c r="R2217" s="4">
        <v>0</v>
      </c>
      <c r="S2217" s="4" t="s">
        <v>349</v>
      </c>
      <c r="T2217" s="4" t="s">
        <v>586</v>
      </c>
      <c r="U2217" s="4">
        <v>0</v>
      </c>
      <c r="V2217" s="4">
        <v>71</v>
      </c>
      <c r="W2217" s="4">
        <v>77</v>
      </c>
    </row>
    <row r="2218" spans="1:23" ht="11.25" customHeight="1" x14ac:dyDescent="0.25">
      <c r="A2218" s="4" t="s">
        <v>21</v>
      </c>
      <c r="B2218" s="4" t="s">
        <v>41</v>
      </c>
      <c r="C2218" s="4" t="s">
        <v>39</v>
      </c>
      <c r="D2218" s="4" t="s">
        <v>48</v>
      </c>
      <c r="E2218" s="4" t="s">
        <v>25</v>
      </c>
      <c r="F2218" s="4" t="s">
        <v>25</v>
      </c>
      <c r="G2218" s="4" t="s">
        <v>25</v>
      </c>
      <c r="H2218" s="4" t="s">
        <v>38</v>
      </c>
      <c r="I2218" s="5">
        <v>44197</v>
      </c>
      <c r="J2218" s="6">
        <v>0</v>
      </c>
      <c r="K2218" s="6">
        <v>0</v>
      </c>
      <c r="L2218" s="6">
        <v>35.942999999999998</v>
      </c>
      <c r="M2218" s="6">
        <v>35.942999999999998</v>
      </c>
      <c r="N2218" s="6">
        <v>35.942999999999998</v>
      </c>
      <c r="O2218" s="6">
        <v>35.942999999999998</v>
      </c>
      <c r="P2218" s="6">
        <v>0</v>
      </c>
      <c r="Q2218" s="4" t="s">
        <v>26</v>
      </c>
      <c r="R2218" s="4">
        <v>0</v>
      </c>
      <c r="S2218" s="4" t="s">
        <v>350</v>
      </c>
      <c r="T2218" s="4" t="s">
        <v>587</v>
      </c>
      <c r="U2218" s="4">
        <v>0</v>
      </c>
      <c r="V2218" s="4">
        <v>71</v>
      </c>
      <c r="W2218" s="4">
        <v>77</v>
      </c>
    </row>
    <row r="2219" spans="1:23" ht="11.25" customHeight="1" x14ac:dyDescent="0.25">
      <c r="A2219" s="4" t="s">
        <v>27</v>
      </c>
      <c r="B2219" s="4" t="s">
        <v>41</v>
      </c>
      <c r="C2219" s="4" t="s">
        <v>39</v>
      </c>
      <c r="D2219" s="4" t="s">
        <v>48</v>
      </c>
      <c r="E2219" s="4" t="s">
        <v>25</v>
      </c>
      <c r="F2219" s="4" t="s">
        <v>25</v>
      </c>
      <c r="G2219" s="4" t="s">
        <v>25</v>
      </c>
      <c r="H2219" s="4" t="s">
        <v>38</v>
      </c>
      <c r="I2219" s="5">
        <v>44197</v>
      </c>
      <c r="J2219" s="6">
        <v>0</v>
      </c>
      <c r="K2219" s="6">
        <v>0</v>
      </c>
      <c r="L2219" s="6">
        <v>-8.9130000000000003</v>
      </c>
      <c r="M2219" s="6">
        <v>-8.9130000000000003</v>
      </c>
      <c r="N2219" s="6">
        <v>-8.9130000000000003</v>
      </c>
      <c r="O2219" s="6">
        <v>-8.9130000000000003</v>
      </c>
      <c r="P2219" s="6">
        <v>0</v>
      </c>
      <c r="Q2219" s="4" t="s">
        <v>26</v>
      </c>
      <c r="R2219" s="4">
        <v>0</v>
      </c>
      <c r="S2219" s="4" t="s">
        <v>350</v>
      </c>
      <c r="T2219" s="4" t="s">
        <v>587</v>
      </c>
      <c r="U2219" s="4">
        <v>0</v>
      </c>
      <c r="V2219" s="4">
        <v>71</v>
      </c>
      <c r="W2219" s="4">
        <v>77</v>
      </c>
    </row>
    <row r="2220" spans="1:23" ht="11.25" customHeight="1" x14ac:dyDescent="0.25">
      <c r="A2220" s="4" t="s">
        <v>21</v>
      </c>
      <c r="B2220" s="4" t="s">
        <v>41</v>
      </c>
      <c r="C2220" s="4" t="s">
        <v>39</v>
      </c>
      <c r="D2220" s="4" t="s">
        <v>48</v>
      </c>
      <c r="E2220" s="4" t="s">
        <v>25</v>
      </c>
      <c r="F2220" s="4" t="s">
        <v>25</v>
      </c>
      <c r="G2220" s="4" t="s">
        <v>25</v>
      </c>
      <c r="H2220" s="4" t="s">
        <v>38</v>
      </c>
      <c r="I2220" s="5">
        <v>44228</v>
      </c>
      <c r="J2220" s="6">
        <v>0</v>
      </c>
      <c r="K2220" s="6">
        <v>0</v>
      </c>
      <c r="L2220" s="6">
        <v>26.614999999999998</v>
      </c>
      <c r="M2220" s="6">
        <v>26.614999999999998</v>
      </c>
      <c r="N2220" s="6">
        <v>26.614999999999998</v>
      </c>
      <c r="O2220" s="6">
        <v>26.614999999999998</v>
      </c>
      <c r="P2220" s="6">
        <v>0</v>
      </c>
      <c r="Q2220" s="4" t="s">
        <v>26</v>
      </c>
      <c r="R2220" s="4">
        <v>0</v>
      </c>
      <c r="S2220" s="4" t="s">
        <v>351</v>
      </c>
      <c r="T2220" s="4" t="s">
        <v>588</v>
      </c>
      <c r="U2220" s="4">
        <v>0</v>
      </c>
      <c r="V2220" s="4">
        <v>71</v>
      </c>
      <c r="W2220" s="4">
        <v>77</v>
      </c>
    </row>
    <row r="2221" spans="1:23" ht="11.25" customHeight="1" x14ac:dyDescent="0.25">
      <c r="A2221" s="4" t="s">
        <v>28</v>
      </c>
      <c r="B2221" s="4" t="s">
        <v>41</v>
      </c>
      <c r="C2221" s="4" t="s">
        <v>39</v>
      </c>
      <c r="D2221" s="4" t="s">
        <v>48</v>
      </c>
      <c r="E2221" s="4" t="s">
        <v>25</v>
      </c>
      <c r="F2221" s="4" t="s">
        <v>25</v>
      </c>
      <c r="G2221" s="4" t="s">
        <v>25</v>
      </c>
      <c r="H2221" s="4" t="s">
        <v>38</v>
      </c>
      <c r="I2221" s="5">
        <v>44228</v>
      </c>
      <c r="J2221" s="6">
        <v>0</v>
      </c>
      <c r="K2221" s="6">
        <v>0</v>
      </c>
      <c r="L2221" s="6">
        <v>0.32700000000000001</v>
      </c>
      <c r="M2221" s="6">
        <v>0.32700000000000001</v>
      </c>
      <c r="N2221" s="6">
        <v>0.32700000000000001</v>
      </c>
      <c r="O2221" s="6">
        <v>0.32700000000000001</v>
      </c>
      <c r="P2221" s="6">
        <v>0</v>
      </c>
      <c r="Q2221" s="4" t="s">
        <v>26</v>
      </c>
      <c r="R2221" s="4">
        <v>0</v>
      </c>
      <c r="S2221" s="4" t="s">
        <v>351</v>
      </c>
      <c r="T2221" s="4" t="s">
        <v>588</v>
      </c>
      <c r="U2221" s="4">
        <v>0</v>
      </c>
      <c r="V2221" s="4">
        <v>71</v>
      </c>
      <c r="W2221" s="4">
        <v>77</v>
      </c>
    </row>
    <row r="2222" spans="1:23" ht="11.25" customHeight="1" x14ac:dyDescent="0.25">
      <c r="A2222" s="4" t="s">
        <v>21</v>
      </c>
      <c r="B2222" s="4" t="s">
        <v>41</v>
      </c>
      <c r="C2222" s="4" t="s">
        <v>39</v>
      </c>
      <c r="D2222" s="4" t="s">
        <v>48</v>
      </c>
      <c r="E2222" s="4" t="s">
        <v>25</v>
      </c>
      <c r="F2222" s="4" t="s">
        <v>25</v>
      </c>
      <c r="G2222" s="4" t="s">
        <v>25</v>
      </c>
      <c r="H2222" s="4" t="s">
        <v>38</v>
      </c>
      <c r="I2222" s="5">
        <v>44256</v>
      </c>
      <c r="J2222" s="6">
        <v>0</v>
      </c>
      <c r="K2222" s="6">
        <v>0</v>
      </c>
      <c r="L2222" s="6">
        <v>34.084000000000003</v>
      </c>
      <c r="M2222" s="6">
        <v>34.084000000000003</v>
      </c>
      <c r="N2222" s="6">
        <v>34.084000000000003</v>
      </c>
      <c r="O2222" s="6">
        <v>34.084000000000003</v>
      </c>
      <c r="P2222" s="6">
        <v>0</v>
      </c>
      <c r="Q2222" s="4" t="s">
        <v>26</v>
      </c>
      <c r="R2222" s="4">
        <v>0</v>
      </c>
      <c r="S2222" s="4" t="s">
        <v>352</v>
      </c>
      <c r="T2222" s="4" t="s">
        <v>589</v>
      </c>
      <c r="U2222" s="4">
        <v>0</v>
      </c>
      <c r="V2222" s="4">
        <v>71</v>
      </c>
      <c r="W2222" s="4">
        <v>77</v>
      </c>
    </row>
    <row r="2223" spans="1:23" ht="11.25" customHeight="1" x14ac:dyDescent="0.25">
      <c r="A2223" s="4" t="s">
        <v>28</v>
      </c>
      <c r="B2223" s="4" t="s">
        <v>41</v>
      </c>
      <c r="C2223" s="4" t="s">
        <v>39</v>
      </c>
      <c r="D2223" s="4" t="s">
        <v>48</v>
      </c>
      <c r="E2223" s="4" t="s">
        <v>25</v>
      </c>
      <c r="F2223" s="4" t="s">
        <v>25</v>
      </c>
      <c r="G2223" s="4" t="s">
        <v>25</v>
      </c>
      <c r="H2223" s="4" t="s">
        <v>38</v>
      </c>
      <c r="I2223" s="5">
        <v>44256</v>
      </c>
      <c r="J2223" s="6">
        <v>0</v>
      </c>
      <c r="K2223" s="6">
        <v>0</v>
      </c>
      <c r="L2223" s="6">
        <v>3.67</v>
      </c>
      <c r="M2223" s="6">
        <v>3.67</v>
      </c>
      <c r="N2223" s="6">
        <v>3.67</v>
      </c>
      <c r="O2223" s="6">
        <v>3.67</v>
      </c>
      <c r="P2223" s="6">
        <v>0</v>
      </c>
      <c r="Q2223" s="4" t="s">
        <v>26</v>
      </c>
      <c r="R2223" s="4">
        <v>0</v>
      </c>
      <c r="S2223" s="4" t="s">
        <v>352</v>
      </c>
      <c r="T2223" s="4" t="s">
        <v>589</v>
      </c>
      <c r="U2223" s="4">
        <v>0</v>
      </c>
      <c r="V2223" s="4">
        <v>71</v>
      </c>
      <c r="W2223" s="4">
        <v>77</v>
      </c>
    </row>
    <row r="2224" spans="1:23" ht="11.25" customHeight="1" x14ac:dyDescent="0.25">
      <c r="A2224" s="4" t="s">
        <v>21</v>
      </c>
      <c r="B2224" s="4" t="s">
        <v>41</v>
      </c>
      <c r="C2224" s="4" t="s">
        <v>39</v>
      </c>
      <c r="D2224" s="4" t="s">
        <v>48</v>
      </c>
      <c r="E2224" s="4" t="s">
        <v>25</v>
      </c>
      <c r="F2224" s="4" t="s">
        <v>25</v>
      </c>
      <c r="G2224" s="4" t="s">
        <v>25</v>
      </c>
      <c r="H2224" s="4" t="s">
        <v>38</v>
      </c>
      <c r="I2224" s="5">
        <v>44287</v>
      </c>
      <c r="J2224" s="6">
        <v>0</v>
      </c>
      <c r="K2224" s="6">
        <v>0</v>
      </c>
      <c r="L2224" s="6">
        <v>31.145</v>
      </c>
      <c r="M2224" s="6">
        <v>31.145</v>
      </c>
      <c r="N2224" s="6">
        <v>31.145</v>
      </c>
      <c r="O2224" s="6">
        <v>31.145</v>
      </c>
      <c r="P2224" s="6">
        <v>0</v>
      </c>
      <c r="Q2224" s="4" t="s">
        <v>26</v>
      </c>
      <c r="R2224" s="4">
        <v>0</v>
      </c>
      <c r="S2224" s="4" t="s">
        <v>353</v>
      </c>
      <c r="T2224" s="4" t="s">
        <v>590</v>
      </c>
      <c r="U2224" s="4">
        <v>0</v>
      </c>
      <c r="V2224" s="4">
        <v>71</v>
      </c>
      <c r="W2224" s="4">
        <v>77</v>
      </c>
    </row>
    <row r="2225" spans="1:23" ht="11.25" customHeight="1" x14ac:dyDescent="0.25">
      <c r="A2225" s="4" t="s">
        <v>28</v>
      </c>
      <c r="B2225" s="4" t="s">
        <v>41</v>
      </c>
      <c r="C2225" s="4" t="s">
        <v>39</v>
      </c>
      <c r="D2225" s="4" t="s">
        <v>48</v>
      </c>
      <c r="E2225" s="4" t="s">
        <v>25</v>
      </c>
      <c r="F2225" s="4" t="s">
        <v>25</v>
      </c>
      <c r="G2225" s="4" t="s">
        <v>25</v>
      </c>
      <c r="H2225" s="4" t="s">
        <v>38</v>
      </c>
      <c r="I2225" s="5">
        <v>44287</v>
      </c>
      <c r="J2225" s="6">
        <v>0</v>
      </c>
      <c r="K2225" s="6">
        <v>0</v>
      </c>
      <c r="L2225" s="6">
        <v>5.798</v>
      </c>
      <c r="M2225" s="6">
        <v>5.798</v>
      </c>
      <c r="N2225" s="6">
        <v>5.798</v>
      </c>
      <c r="O2225" s="6">
        <v>5.798</v>
      </c>
      <c r="P2225" s="6">
        <v>0</v>
      </c>
      <c r="Q2225" s="4" t="s">
        <v>26</v>
      </c>
      <c r="R2225" s="4">
        <v>0</v>
      </c>
      <c r="S2225" s="4" t="s">
        <v>353</v>
      </c>
      <c r="T2225" s="4" t="s">
        <v>590</v>
      </c>
      <c r="U2225" s="4">
        <v>0</v>
      </c>
      <c r="V2225" s="4">
        <v>71</v>
      </c>
      <c r="W2225" s="4">
        <v>77</v>
      </c>
    </row>
    <row r="2226" spans="1:23" ht="11.25" customHeight="1" x14ac:dyDescent="0.25">
      <c r="A2226" s="4" t="s">
        <v>21</v>
      </c>
      <c r="B2226" s="4" t="s">
        <v>41</v>
      </c>
      <c r="C2226" s="4" t="s">
        <v>39</v>
      </c>
      <c r="D2226" s="4" t="s">
        <v>48</v>
      </c>
      <c r="E2226" s="4" t="s">
        <v>25</v>
      </c>
      <c r="F2226" s="4" t="s">
        <v>25</v>
      </c>
      <c r="G2226" s="4" t="s">
        <v>25</v>
      </c>
      <c r="H2226" s="4" t="s">
        <v>38</v>
      </c>
      <c r="I2226" s="5">
        <v>44317</v>
      </c>
      <c r="J2226" s="6">
        <v>0</v>
      </c>
      <c r="K2226" s="6">
        <v>0</v>
      </c>
      <c r="L2226" s="6">
        <v>16.847999999999999</v>
      </c>
      <c r="M2226" s="6">
        <v>16.847999999999999</v>
      </c>
      <c r="N2226" s="6">
        <v>16.847999999999999</v>
      </c>
      <c r="O2226" s="6">
        <v>16.847999999999999</v>
      </c>
      <c r="P2226" s="6">
        <v>0</v>
      </c>
      <c r="Q2226" s="4" t="s">
        <v>26</v>
      </c>
      <c r="R2226" s="4">
        <v>0</v>
      </c>
      <c r="S2226" s="4" t="s">
        <v>354</v>
      </c>
      <c r="T2226" s="4" t="s">
        <v>591</v>
      </c>
      <c r="U2226" s="4">
        <v>0</v>
      </c>
      <c r="V2226" s="4">
        <v>71</v>
      </c>
      <c r="W2226" s="4">
        <v>77</v>
      </c>
    </row>
    <row r="2227" spans="1:23" ht="11.25" customHeight="1" x14ac:dyDescent="0.25">
      <c r="A2227" s="4" t="s">
        <v>28</v>
      </c>
      <c r="B2227" s="4" t="s">
        <v>41</v>
      </c>
      <c r="C2227" s="4" t="s">
        <v>39</v>
      </c>
      <c r="D2227" s="4" t="s">
        <v>48</v>
      </c>
      <c r="E2227" s="4" t="s">
        <v>25</v>
      </c>
      <c r="F2227" s="4" t="s">
        <v>25</v>
      </c>
      <c r="G2227" s="4" t="s">
        <v>25</v>
      </c>
      <c r="H2227" s="4" t="s">
        <v>38</v>
      </c>
      <c r="I2227" s="5">
        <v>44317</v>
      </c>
      <c r="J2227" s="6">
        <v>0</v>
      </c>
      <c r="K2227" s="6">
        <v>0</v>
      </c>
      <c r="L2227" s="6">
        <v>13.352</v>
      </c>
      <c r="M2227" s="6">
        <v>13.352</v>
      </c>
      <c r="N2227" s="6">
        <v>13.352</v>
      </c>
      <c r="O2227" s="6">
        <v>13.352</v>
      </c>
      <c r="P2227" s="6">
        <v>0</v>
      </c>
      <c r="Q2227" s="4" t="s">
        <v>26</v>
      </c>
      <c r="R2227" s="4">
        <v>0</v>
      </c>
      <c r="S2227" s="4" t="s">
        <v>354</v>
      </c>
      <c r="T2227" s="4" t="s">
        <v>591</v>
      </c>
      <c r="U2227" s="4">
        <v>0</v>
      </c>
      <c r="V2227" s="4">
        <v>71</v>
      </c>
      <c r="W2227" s="4">
        <v>77</v>
      </c>
    </row>
    <row r="2228" spans="1:23" ht="11.25" customHeight="1" x14ac:dyDescent="0.25">
      <c r="A2228" s="4" t="s">
        <v>21</v>
      </c>
      <c r="B2228" s="4" t="s">
        <v>41</v>
      </c>
      <c r="C2228" s="4" t="s">
        <v>39</v>
      </c>
      <c r="D2228" s="4" t="s">
        <v>48</v>
      </c>
      <c r="E2228" s="4" t="s">
        <v>25</v>
      </c>
      <c r="F2228" s="4" t="s">
        <v>25</v>
      </c>
      <c r="G2228" s="4" t="s">
        <v>25</v>
      </c>
      <c r="H2228" s="4" t="s">
        <v>38</v>
      </c>
      <c r="I2228" s="5">
        <v>44348</v>
      </c>
      <c r="J2228" s="6">
        <v>0</v>
      </c>
      <c r="K2228" s="6">
        <v>0</v>
      </c>
      <c r="L2228" s="6">
        <v>18.137</v>
      </c>
      <c r="M2228" s="6">
        <v>18.137</v>
      </c>
      <c r="N2228" s="6">
        <v>18.137</v>
      </c>
      <c r="O2228" s="6">
        <v>18.137</v>
      </c>
      <c r="P2228" s="6">
        <v>0</v>
      </c>
      <c r="Q2228" s="4" t="s">
        <v>26</v>
      </c>
      <c r="R2228" s="4">
        <v>0</v>
      </c>
      <c r="S2228" s="4" t="s">
        <v>355</v>
      </c>
      <c r="T2228" s="4" t="s">
        <v>592</v>
      </c>
      <c r="U2228" s="4">
        <v>0</v>
      </c>
      <c r="V2228" s="4">
        <v>71</v>
      </c>
      <c r="W2228" s="4">
        <v>77</v>
      </c>
    </row>
    <row r="2229" spans="1:23" ht="11.25" customHeight="1" x14ac:dyDescent="0.25">
      <c r="A2229" s="4" t="s">
        <v>28</v>
      </c>
      <c r="B2229" s="4" t="s">
        <v>41</v>
      </c>
      <c r="C2229" s="4" t="s">
        <v>39</v>
      </c>
      <c r="D2229" s="4" t="s">
        <v>48</v>
      </c>
      <c r="E2229" s="4" t="s">
        <v>25</v>
      </c>
      <c r="F2229" s="4" t="s">
        <v>25</v>
      </c>
      <c r="G2229" s="4" t="s">
        <v>25</v>
      </c>
      <c r="H2229" s="4" t="s">
        <v>38</v>
      </c>
      <c r="I2229" s="5">
        <v>44348</v>
      </c>
      <c r="J2229" s="6">
        <v>0</v>
      </c>
      <c r="K2229" s="6">
        <v>0</v>
      </c>
      <c r="L2229" s="6">
        <v>14.135999999999999</v>
      </c>
      <c r="M2229" s="6">
        <v>14.135999999999999</v>
      </c>
      <c r="N2229" s="6">
        <v>14.135999999999999</v>
      </c>
      <c r="O2229" s="6">
        <v>14.135999999999999</v>
      </c>
      <c r="P2229" s="6">
        <v>0</v>
      </c>
      <c r="Q2229" s="4" t="s">
        <v>26</v>
      </c>
      <c r="R2229" s="4">
        <v>0</v>
      </c>
      <c r="S2229" s="4" t="s">
        <v>355</v>
      </c>
      <c r="T2229" s="4" t="s">
        <v>592</v>
      </c>
      <c r="U2229" s="4">
        <v>0</v>
      </c>
      <c r="V2229" s="4">
        <v>71</v>
      </c>
      <c r="W2229" s="4">
        <v>77</v>
      </c>
    </row>
    <row r="2230" spans="1:23" ht="11.25" customHeight="1" x14ac:dyDescent="0.25">
      <c r="A2230" s="4" t="s">
        <v>21</v>
      </c>
      <c r="B2230" s="4" t="s">
        <v>41</v>
      </c>
      <c r="C2230" s="4" t="s">
        <v>39</v>
      </c>
      <c r="D2230" s="4" t="s">
        <v>48</v>
      </c>
      <c r="E2230" s="4" t="s">
        <v>25</v>
      </c>
      <c r="F2230" s="4" t="s">
        <v>25</v>
      </c>
      <c r="G2230" s="4" t="s">
        <v>25</v>
      </c>
      <c r="H2230" s="4" t="s">
        <v>38</v>
      </c>
      <c r="I2230" s="5">
        <v>44378</v>
      </c>
      <c r="J2230" s="6">
        <v>0</v>
      </c>
      <c r="K2230" s="6">
        <v>0</v>
      </c>
      <c r="L2230" s="6">
        <v>17.913</v>
      </c>
      <c r="M2230" s="6">
        <v>17.913</v>
      </c>
      <c r="N2230" s="6">
        <v>17.913</v>
      </c>
      <c r="O2230" s="6">
        <v>17.913</v>
      </c>
      <c r="P2230" s="6">
        <v>0</v>
      </c>
      <c r="Q2230" s="4" t="s">
        <v>26</v>
      </c>
      <c r="R2230" s="4">
        <v>0</v>
      </c>
      <c r="S2230" s="4" t="s">
        <v>356</v>
      </c>
      <c r="T2230" s="4" t="s">
        <v>593</v>
      </c>
      <c r="U2230" s="4">
        <v>0</v>
      </c>
      <c r="V2230" s="4">
        <v>71</v>
      </c>
      <c r="W2230" s="4">
        <v>77</v>
      </c>
    </row>
    <row r="2231" spans="1:23" ht="11.25" customHeight="1" x14ac:dyDescent="0.25">
      <c r="A2231" s="4" t="s">
        <v>28</v>
      </c>
      <c r="B2231" s="4" t="s">
        <v>41</v>
      </c>
      <c r="C2231" s="4" t="s">
        <v>39</v>
      </c>
      <c r="D2231" s="4" t="s">
        <v>48</v>
      </c>
      <c r="E2231" s="4" t="s">
        <v>25</v>
      </c>
      <c r="F2231" s="4" t="s">
        <v>25</v>
      </c>
      <c r="G2231" s="4" t="s">
        <v>25</v>
      </c>
      <c r="H2231" s="4" t="s">
        <v>38</v>
      </c>
      <c r="I2231" s="5">
        <v>44378</v>
      </c>
      <c r="J2231" s="6">
        <v>0</v>
      </c>
      <c r="K2231" s="6">
        <v>0</v>
      </c>
      <c r="L2231" s="6">
        <v>12.96</v>
      </c>
      <c r="M2231" s="6">
        <v>12.96</v>
      </c>
      <c r="N2231" s="6">
        <v>12.96</v>
      </c>
      <c r="O2231" s="6">
        <v>12.96</v>
      </c>
      <c r="P2231" s="6">
        <v>0</v>
      </c>
      <c r="Q2231" s="4" t="s">
        <v>26</v>
      </c>
      <c r="R2231" s="4">
        <v>0</v>
      </c>
      <c r="S2231" s="4" t="s">
        <v>356</v>
      </c>
      <c r="T2231" s="4" t="s">
        <v>593</v>
      </c>
      <c r="U2231" s="4">
        <v>0</v>
      </c>
      <c r="V2231" s="4">
        <v>71</v>
      </c>
      <c r="W2231" s="4">
        <v>77</v>
      </c>
    </row>
    <row r="2232" spans="1:23" ht="11.25" customHeight="1" x14ac:dyDescent="0.25">
      <c r="A2232" s="4" t="s">
        <v>21</v>
      </c>
      <c r="B2232" s="4" t="s">
        <v>41</v>
      </c>
      <c r="C2232" s="4" t="s">
        <v>39</v>
      </c>
      <c r="D2232" s="4" t="s">
        <v>48</v>
      </c>
      <c r="E2232" s="4" t="s">
        <v>25</v>
      </c>
      <c r="F2232" s="4" t="s">
        <v>25</v>
      </c>
      <c r="G2232" s="4" t="s">
        <v>25</v>
      </c>
      <c r="H2232" s="4" t="s">
        <v>38</v>
      </c>
      <c r="I2232" s="5">
        <v>44409</v>
      </c>
      <c r="J2232" s="6">
        <v>0</v>
      </c>
      <c r="K2232" s="6">
        <v>0</v>
      </c>
      <c r="L2232" s="6">
        <v>21.78</v>
      </c>
      <c r="M2232" s="6">
        <v>21.78</v>
      </c>
      <c r="N2232" s="6">
        <v>21.78</v>
      </c>
      <c r="O2232" s="6">
        <v>21.78</v>
      </c>
      <c r="P2232" s="6">
        <v>0</v>
      </c>
      <c r="Q2232" s="4" t="s">
        <v>26</v>
      </c>
      <c r="R2232" s="4">
        <v>0</v>
      </c>
      <c r="S2232" s="4" t="s">
        <v>357</v>
      </c>
      <c r="T2232" s="4" t="s">
        <v>594</v>
      </c>
      <c r="U2232" s="4">
        <v>0</v>
      </c>
      <c r="V2232" s="4">
        <v>71</v>
      </c>
      <c r="W2232" s="4">
        <v>77</v>
      </c>
    </row>
    <row r="2233" spans="1:23" ht="11.25" customHeight="1" x14ac:dyDescent="0.25">
      <c r="A2233" s="4" t="s">
        <v>28</v>
      </c>
      <c r="B2233" s="4" t="s">
        <v>41</v>
      </c>
      <c r="C2233" s="4" t="s">
        <v>39</v>
      </c>
      <c r="D2233" s="4" t="s">
        <v>48</v>
      </c>
      <c r="E2233" s="4" t="s">
        <v>25</v>
      </c>
      <c r="F2233" s="4" t="s">
        <v>25</v>
      </c>
      <c r="G2233" s="4" t="s">
        <v>25</v>
      </c>
      <c r="H2233" s="4" t="s">
        <v>38</v>
      </c>
      <c r="I2233" s="5">
        <v>44409</v>
      </c>
      <c r="J2233" s="6">
        <v>0</v>
      </c>
      <c r="K2233" s="6">
        <v>0</v>
      </c>
      <c r="L2233" s="6">
        <v>16.693999999999999</v>
      </c>
      <c r="M2233" s="6">
        <v>16.693999999999999</v>
      </c>
      <c r="N2233" s="6">
        <v>16.693999999999999</v>
      </c>
      <c r="O2233" s="6">
        <v>16.693999999999999</v>
      </c>
      <c r="P2233" s="6">
        <v>0</v>
      </c>
      <c r="Q2233" s="4" t="s">
        <v>26</v>
      </c>
      <c r="R2233" s="4">
        <v>0</v>
      </c>
      <c r="S2233" s="4" t="s">
        <v>357</v>
      </c>
      <c r="T2233" s="4" t="s">
        <v>594</v>
      </c>
      <c r="U2233" s="4">
        <v>0</v>
      </c>
      <c r="V2233" s="4">
        <v>71</v>
      </c>
      <c r="W2233" s="4">
        <v>77</v>
      </c>
    </row>
    <row r="2234" spans="1:23" ht="11.25" customHeight="1" x14ac:dyDescent="0.25">
      <c r="A2234" s="4" t="s">
        <v>21</v>
      </c>
      <c r="B2234" s="4" t="s">
        <v>41</v>
      </c>
      <c r="C2234" s="4" t="s">
        <v>39</v>
      </c>
      <c r="D2234" s="4" t="s">
        <v>48</v>
      </c>
      <c r="E2234" s="4" t="s">
        <v>25</v>
      </c>
      <c r="F2234" s="4" t="s">
        <v>25</v>
      </c>
      <c r="G2234" s="4" t="s">
        <v>25</v>
      </c>
      <c r="H2234" s="4" t="s">
        <v>38</v>
      </c>
      <c r="I2234" s="5">
        <v>44440</v>
      </c>
      <c r="J2234" s="6">
        <v>0</v>
      </c>
      <c r="K2234" s="6">
        <v>0</v>
      </c>
      <c r="L2234" s="6">
        <v>19.422999999999998</v>
      </c>
      <c r="M2234" s="6">
        <v>19.422999999999998</v>
      </c>
      <c r="N2234" s="6">
        <v>19.422999999999998</v>
      </c>
      <c r="O2234" s="6">
        <v>19.422999999999998</v>
      </c>
      <c r="P2234" s="6">
        <v>0</v>
      </c>
      <c r="Q2234" s="4" t="s">
        <v>26</v>
      </c>
      <c r="R2234" s="4">
        <v>0</v>
      </c>
      <c r="S2234" s="4" t="s">
        <v>358</v>
      </c>
      <c r="T2234" s="4" t="s">
        <v>595</v>
      </c>
      <c r="U2234" s="4">
        <v>0</v>
      </c>
      <c r="V2234" s="4">
        <v>71</v>
      </c>
      <c r="W2234" s="4">
        <v>77</v>
      </c>
    </row>
    <row r="2235" spans="1:23" ht="11.25" customHeight="1" x14ac:dyDescent="0.25">
      <c r="A2235" s="4" t="s">
        <v>28</v>
      </c>
      <c r="B2235" s="4" t="s">
        <v>41</v>
      </c>
      <c r="C2235" s="4" t="s">
        <v>39</v>
      </c>
      <c r="D2235" s="4" t="s">
        <v>48</v>
      </c>
      <c r="E2235" s="4" t="s">
        <v>25</v>
      </c>
      <c r="F2235" s="4" t="s">
        <v>25</v>
      </c>
      <c r="G2235" s="4" t="s">
        <v>25</v>
      </c>
      <c r="H2235" s="4" t="s">
        <v>38</v>
      </c>
      <c r="I2235" s="5">
        <v>44440</v>
      </c>
      <c r="J2235" s="6">
        <v>0</v>
      </c>
      <c r="K2235" s="6">
        <v>0</v>
      </c>
      <c r="L2235" s="6">
        <v>15.843999999999999</v>
      </c>
      <c r="M2235" s="6">
        <v>15.843999999999999</v>
      </c>
      <c r="N2235" s="6">
        <v>15.843999999999999</v>
      </c>
      <c r="O2235" s="6">
        <v>15.843999999999999</v>
      </c>
      <c r="P2235" s="6">
        <v>0</v>
      </c>
      <c r="Q2235" s="4" t="s">
        <v>26</v>
      </c>
      <c r="R2235" s="4">
        <v>0</v>
      </c>
      <c r="S2235" s="4" t="s">
        <v>358</v>
      </c>
      <c r="T2235" s="4" t="s">
        <v>595</v>
      </c>
      <c r="U2235" s="4">
        <v>0</v>
      </c>
      <c r="V2235" s="4">
        <v>71</v>
      </c>
      <c r="W2235" s="4">
        <v>77</v>
      </c>
    </row>
    <row r="2236" spans="1:23" ht="11.25" customHeight="1" x14ac:dyDescent="0.25">
      <c r="A2236" s="4" t="s">
        <v>59</v>
      </c>
      <c r="B2236" s="4" t="s">
        <v>41</v>
      </c>
      <c r="C2236" s="4" t="s">
        <v>39</v>
      </c>
      <c r="D2236" s="4" t="s">
        <v>48</v>
      </c>
      <c r="E2236" s="4" t="s">
        <v>25</v>
      </c>
      <c r="F2236" s="4" t="s">
        <v>25</v>
      </c>
      <c r="G2236" s="4" t="s">
        <v>25</v>
      </c>
      <c r="H2236" s="4" t="s">
        <v>38</v>
      </c>
      <c r="I2236" s="5">
        <v>44470</v>
      </c>
      <c r="J2236" s="6">
        <v>0</v>
      </c>
      <c r="K2236" s="6">
        <v>0</v>
      </c>
      <c r="L2236" s="6">
        <v>19.422999999999998</v>
      </c>
      <c r="M2236" s="6">
        <v>19.422999999999998</v>
      </c>
      <c r="N2236" s="6">
        <v>19.422999999999998</v>
      </c>
      <c r="O2236" s="6">
        <v>19.422999999999998</v>
      </c>
      <c r="P2236" s="6">
        <v>0</v>
      </c>
      <c r="Q2236" s="4" t="s">
        <v>26</v>
      </c>
      <c r="R2236" s="4">
        <v>0</v>
      </c>
      <c r="S2236" s="4" t="s">
        <v>359</v>
      </c>
      <c r="T2236" s="4" t="s">
        <v>596</v>
      </c>
      <c r="U2236" s="4">
        <v>0</v>
      </c>
      <c r="V2236" s="4">
        <v>71</v>
      </c>
      <c r="W2236" s="4">
        <v>77</v>
      </c>
    </row>
    <row r="2237" spans="1:23" ht="11.25" customHeight="1" x14ac:dyDescent="0.25">
      <c r="A2237" s="4" t="s">
        <v>59</v>
      </c>
      <c r="B2237" s="4" t="s">
        <v>41</v>
      </c>
      <c r="C2237" s="4" t="s">
        <v>39</v>
      </c>
      <c r="D2237" s="4" t="s">
        <v>48</v>
      </c>
      <c r="E2237" s="4" t="s">
        <v>25</v>
      </c>
      <c r="F2237" s="4" t="s">
        <v>25</v>
      </c>
      <c r="G2237" s="4" t="s">
        <v>25</v>
      </c>
      <c r="H2237" s="4" t="s">
        <v>38</v>
      </c>
      <c r="I2237" s="5">
        <v>44470</v>
      </c>
      <c r="J2237" s="6">
        <v>0</v>
      </c>
      <c r="K2237" s="6">
        <v>0</v>
      </c>
      <c r="L2237" s="6">
        <v>15.843999999999999</v>
      </c>
      <c r="M2237" s="6">
        <v>15.843999999999999</v>
      </c>
      <c r="N2237" s="6">
        <v>15.843999999999999</v>
      </c>
      <c r="O2237" s="6">
        <v>15.843999999999999</v>
      </c>
      <c r="P2237" s="6">
        <v>0</v>
      </c>
      <c r="Q2237" s="4" t="s">
        <v>26</v>
      </c>
      <c r="R2237" s="4">
        <v>0</v>
      </c>
      <c r="S2237" s="4" t="s">
        <v>359</v>
      </c>
      <c r="T2237" s="4" t="s">
        <v>596</v>
      </c>
      <c r="U2237" s="4">
        <v>0</v>
      </c>
      <c r="V2237" s="4">
        <v>71</v>
      </c>
      <c r="W2237" s="4">
        <v>77</v>
      </c>
    </row>
    <row r="2238" spans="1:23" ht="11.25" customHeight="1" x14ac:dyDescent="0.25">
      <c r="A2238" s="4" t="s">
        <v>21</v>
      </c>
      <c r="B2238" s="4" t="s">
        <v>41</v>
      </c>
      <c r="C2238" s="4" t="s">
        <v>39</v>
      </c>
      <c r="D2238" s="4" t="s">
        <v>48</v>
      </c>
      <c r="E2238" s="4" t="s">
        <v>25</v>
      </c>
      <c r="F2238" s="4" t="s">
        <v>25</v>
      </c>
      <c r="G2238" s="4" t="s">
        <v>25</v>
      </c>
      <c r="H2238" s="4" t="s">
        <v>40</v>
      </c>
      <c r="I2238" s="5">
        <v>44136</v>
      </c>
      <c r="J2238" s="6">
        <v>0</v>
      </c>
      <c r="K2238" s="6">
        <v>0</v>
      </c>
      <c r="L2238" s="6">
        <v>1.306</v>
      </c>
      <c r="M2238" s="6">
        <v>1.306</v>
      </c>
      <c r="N2238" s="6">
        <v>1.306</v>
      </c>
      <c r="O2238" s="6">
        <v>1.306</v>
      </c>
      <c r="P2238" s="6">
        <v>0</v>
      </c>
      <c r="Q2238" s="4" t="s">
        <v>26</v>
      </c>
      <c r="R2238" s="4">
        <v>0</v>
      </c>
      <c r="S2238" s="4" t="s">
        <v>360</v>
      </c>
      <c r="T2238" s="4" t="s">
        <v>597</v>
      </c>
      <c r="U2238" s="4">
        <v>0</v>
      </c>
      <c r="V2238" s="4">
        <v>75</v>
      </c>
      <c r="W2238" s="4">
        <v>76</v>
      </c>
    </row>
    <row r="2239" spans="1:23" ht="11.25" customHeight="1" x14ac:dyDescent="0.25">
      <c r="A2239" s="4" t="s">
        <v>21</v>
      </c>
      <c r="B2239" s="4" t="s">
        <v>41</v>
      </c>
      <c r="C2239" s="4" t="s">
        <v>39</v>
      </c>
      <c r="D2239" s="4" t="s">
        <v>48</v>
      </c>
      <c r="E2239" s="4" t="s">
        <v>25</v>
      </c>
      <c r="F2239" s="4" t="s">
        <v>25</v>
      </c>
      <c r="G2239" s="4" t="s">
        <v>25</v>
      </c>
      <c r="H2239" s="4" t="s">
        <v>40</v>
      </c>
      <c r="I2239" s="5">
        <v>44166</v>
      </c>
      <c r="J2239" s="6">
        <v>0</v>
      </c>
      <c r="K2239" s="6">
        <v>0</v>
      </c>
      <c r="L2239" s="6">
        <v>1.536</v>
      </c>
      <c r="M2239" s="6">
        <v>1.536</v>
      </c>
      <c r="N2239" s="6">
        <v>1.536</v>
      </c>
      <c r="O2239" s="6">
        <v>1.536</v>
      </c>
      <c r="P2239" s="6">
        <v>0</v>
      </c>
      <c r="Q2239" s="4" t="s">
        <v>26</v>
      </c>
      <c r="R2239" s="4">
        <v>0</v>
      </c>
      <c r="S2239" s="4" t="s">
        <v>361</v>
      </c>
      <c r="T2239" s="4" t="s">
        <v>598</v>
      </c>
      <c r="U2239" s="4">
        <v>0</v>
      </c>
      <c r="V2239" s="4">
        <v>75</v>
      </c>
      <c r="W2239" s="4">
        <v>76</v>
      </c>
    </row>
    <row r="2240" spans="1:23" ht="11.25" customHeight="1" x14ac:dyDescent="0.25">
      <c r="A2240" s="4" t="s">
        <v>21</v>
      </c>
      <c r="B2240" s="4" t="s">
        <v>41</v>
      </c>
      <c r="C2240" s="4" t="s">
        <v>39</v>
      </c>
      <c r="D2240" s="4" t="s">
        <v>48</v>
      </c>
      <c r="E2240" s="4" t="s">
        <v>25</v>
      </c>
      <c r="F2240" s="4" t="s">
        <v>25</v>
      </c>
      <c r="G2240" s="4" t="s">
        <v>25</v>
      </c>
      <c r="H2240" s="4" t="s">
        <v>40</v>
      </c>
      <c r="I2240" s="5">
        <v>44197</v>
      </c>
      <c r="J2240" s="6">
        <v>0</v>
      </c>
      <c r="K2240" s="6">
        <v>0</v>
      </c>
      <c r="L2240" s="6">
        <v>1.1679999999999999</v>
      </c>
      <c r="M2240" s="6">
        <v>1.1679999999999999</v>
      </c>
      <c r="N2240" s="6">
        <v>1.1679999999999999</v>
      </c>
      <c r="O2240" s="6">
        <v>1.1679999999999999</v>
      </c>
      <c r="P2240" s="6">
        <v>0</v>
      </c>
      <c r="Q2240" s="4" t="s">
        <v>26</v>
      </c>
      <c r="R2240" s="4">
        <v>0</v>
      </c>
      <c r="S2240" s="4" t="s">
        <v>362</v>
      </c>
      <c r="T2240" s="4" t="s">
        <v>599</v>
      </c>
      <c r="U2240" s="4">
        <v>0</v>
      </c>
      <c r="V2240" s="4">
        <v>75</v>
      </c>
      <c r="W2240" s="4">
        <v>76</v>
      </c>
    </row>
    <row r="2241" spans="1:23" ht="11.25" customHeight="1" x14ac:dyDescent="0.25">
      <c r="A2241" s="4" t="s">
        <v>27</v>
      </c>
      <c r="B2241" s="4" t="s">
        <v>41</v>
      </c>
      <c r="C2241" s="4" t="s">
        <v>39</v>
      </c>
      <c r="D2241" s="4" t="s">
        <v>48</v>
      </c>
      <c r="E2241" s="4" t="s">
        <v>25</v>
      </c>
      <c r="F2241" s="4" t="s">
        <v>25</v>
      </c>
      <c r="G2241" s="4" t="s">
        <v>25</v>
      </c>
      <c r="H2241" s="4" t="s">
        <v>40</v>
      </c>
      <c r="I2241" s="5">
        <v>44197</v>
      </c>
      <c r="J2241" s="6">
        <v>0</v>
      </c>
      <c r="K2241" s="6">
        <v>0</v>
      </c>
      <c r="L2241" s="6">
        <v>-1.7000000000000001E-2</v>
      </c>
      <c r="M2241" s="6">
        <v>-1.7000000000000001E-2</v>
      </c>
      <c r="N2241" s="6">
        <v>-1.7000000000000001E-2</v>
      </c>
      <c r="O2241" s="6">
        <v>-1.7000000000000001E-2</v>
      </c>
      <c r="P2241" s="6">
        <v>0</v>
      </c>
      <c r="Q2241" s="4" t="s">
        <v>26</v>
      </c>
      <c r="R2241" s="4">
        <v>0</v>
      </c>
      <c r="S2241" s="4" t="s">
        <v>362</v>
      </c>
      <c r="T2241" s="4" t="s">
        <v>599</v>
      </c>
      <c r="U2241" s="4">
        <v>0</v>
      </c>
      <c r="V2241" s="4">
        <v>75</v>
      </c>
      <c r="W2241" s="4">
        <v>76</v>
      </c>
    </row>
    <row r="2242" spans="1:23" ht="11.25" customHeight="1" x14ac:dyDescent="0.25">
      <c r="A2242" s="4" t="s">
        <v>21</v>
      </c>
      <c r="B2242" s="4" t="s">
        <v>41</v>
      </c>
      <c r="C2242" s="4" t="s">
        <v>39</v>
      </c>
      <c r="D2242" s="4" t="s">
        <v>48</v>
      </c>
      <c r="E2242" s="4" t="s">
        <v>25</v>
      </c>
      <c r="F2242" s="4" t="s">
        <v>25</v>
      </c>
      <c r="G2242" s="4" t="s">
        <v>25</v>
      </c>
      <c r="H2242" s="4" t="s">
        <v>40</v>
      </c>
      <c r="I2242" s="5">
        <v>44228</v>
      </c>
      <c r="J2242" s="6">
        <v>0</v>
      </c>
      <c r="K2242" s="6">
        <v>0</v>
      </c>
      <c r="L2242" s="6">
        <v>0.97299999999999998</v>
      </c>
      <c r="M2242" s="6">
        <v>0.97299999999999998</v>
      </c>
      <c r="N2242" s="6">
        <v>0.97299999999999998</v>
      </c>
      <c r="O2242" s="6">
        <v>0.97299999999999998</v>
      </c>
      <c r="P2242" s="6">
        <v>0</v>
      </c>
      <c r="Q2242" s="4" t="s">
        <v>26</v>
      </c>
      <c r="R2242" s="4">
        <v>0</v>
      </c>
      <c r="S2242" s="4" t="s">
        <v>363</v>
      </c>
      <c r="T2242" s="4" t="s">
        <v>600</v>
      </c>
      <c r="U2242" s="4">
        <v>0</v>
      </c>
      <c r="V2242" s="4">
        <v>75</v>
      </c>
      <c r="W2242" s="4">
        <v>76</v>
      </c>
    </row>
    <row r="2243" spans="1:23" ht="11.25" customHeight="1" x14ac:dyDescent="0.25">
      <c r="A2243" s="4" t="s">
        <v>28</v>
      </c>
      <c r="B2243" s="4" t="s">
        <v>41</v>
      </c>
      <c r="C2243" s="4" t="s">
        <v>39</v>
      </c>
      <c r="D2243" s="4" t="s">
        <v>48</v>
      </c>
      <c r="E2243" s="4" t="s">
        <v>25</v>
      </c>
      <c r="F2243" s="4" t="s">
        <v>25</v>
      </c>
      <c r="G2243" s="4" t="s">
        <v>25</v>
      </c>
      <c r="H2243" s="4" t="s">
        <v>40</v>
      </c>
      <c r="I2243" s="5">
        <v>44228</v>
      </c>
      <c r="J2243" s="6">
        <v>0</v>
      </c>
      <c r="K2243" s="6">
        <v>0</v>
      </c>
      <c r="L2243" s="6">
        <v>5.0000000000000001E-3</v>
      </c>
      <c r="M2243" s="6">
        <v>5.0000000000000001E-3</v>
      </c>
      <c r="N2243" s="6">
        <v>5.0000000000000001E-3</v>
      </c>
      <c r="O2243" s="6">
        <v>5.0000000000000001E-3</v>
      </c>
      <c r="P2243" s="6">
        <v>0</v>
      </c>
      <c r="Q2243" s="4" t="s">
        <v>26</v>
      </c>
      <c r="R2243" s="4">
        <v>0</v>
      </c>
      <c r="S2243" s="4" t="s">
        <v>363</v>
      </c>
      <c r="T2243" s="4" t="s">
        <v>600</v>
      </c>
      <c r="U2243" s="4">
        <v>0</v>
      </c>
      <c r="V2243" s="4">
        <v>75</v>
      </c>
      <c r="W2243" s="4">
        <v>76</v>
      </c>
    </row>
    <row r="2244" spans="1:23" ht="11.25" customHeight="1" x14ac:dyDescent="0.25">
      <c r="A2244" s="4" t="s">
        <v>21</v>
      </c>
      <c r="B2244" s="4" t="s">
        <v>41</v>
      </c>
      <c r="C2244" s="4" t="s">
        <v>39</v>
      </c>
      <c r="D2244" s="4" t="s">
        <v>48</v>
      </c>
      <c r="E2244" s="4" t="s">
        <v>25</v>
      </c>
      <c r="F2244" s="4" t="s">
        <v>25</v>
      </c>
      <c r="G2244" s="4" t="s">
        <v>25</v>
      </c>
      <c r="H2244" s="4" t="s">
        <v>40</v>
      </c>
      <c r="I2244" s="5">
        <v>44256</v>
      </c>
      <c r="J2244" s="6">
        <v>0</v>
      </c>
      <c r="K2244" s="6">
        <v>0</v>
      </c>
      <c r="L2244" s="6">
        <v>1.2549999999999999</v>
      </c>
      <c r="M2244" s="6">
        <v>1.2549999999999999</v>
      </c>
      <c r="N2244" s="6">
        <v>1.2549999999999999</v>
      </c>
      <c r="O2244" s="6">
        <v>1.2549999999999999</v>
      </c>
      <c r="P2244" s="6">
        <v>0</v>
      </c>
      <c r="Q2244" s="4" t="s">
        <v>26</v>
      </c>
      <c r="R2244" s="4">
        <v>0</v>
      </c>
      <c r="S2244" s="4" t="s">
        <v>364</v>
      </c>
      <c r="T2244" s="4" t="s">
        <v>601</v>
      </c>
      <c r="U2244" s="4">
        <v>0</v>
      </c>
      <c r="V2244" s="4">
        <v>75</v>
      </c>
      <c r="W2244" s="4">
        <v>76</v>
      </c>
    </row>
    <row r="2245" spans="1:23" ht="11.25" customHeight="1" x14ac:dyDescent="0.25">
      <c r="A2245" s="4" t="s">
        <v>28</v>
      </c>
      <c r="B2245" s="4" t="s">
        <v>41</v>
      </c>
      <c r="C2245" s="4" t="s">
        <v>39</v>
      </c>
      <c r="D2245" s="4" t="s">
        <v>48</v>
      </c>
      <c r="E2245" s="4" t="s">
        <v>25</v>
      </c>
      <c r="F2245" s="4" t="s">
        <v>25</v>
      </c>
      <c r="G2245" s="4" t="s">
        <v>25</v>
      </c>
      <c r="H2245" s="4" t="s">
        <v>40</v>
      </c>
      <c r="I2245" s="5">
        <v>44256</v>
      </c>
      <c r="J2245" s="6">
        <v>0</v>
      </c>
      <c r="K2245" s="6">
        <v>0</v>
      </c>
      <c r="L2245" s="6">
        <v>7.6999999999999999E-2</v>
      </c>
      <c r="M2245" s="6">
        <v>7.6999999999999999E-2</v>
      </c>
      <c r="N2245" s="6">
        <v>7.6999999999999999E-2</v>
      </c>
      <c r="O2245" s="6">
        <v>7.6999999999999999E-2</v>
      </c>
      <c r="P2245" s="6">
        <v>0</v>
      </c>
      <c r="Q2245" s="4" t="s">
        <v>26</v>
      </c>
      <c r="R2245" s="4">
        <v>0</v>
      </c>
      <c r="S2245" s="4" t="s">
        <v>364</v>
      </c>
      <c r="T2245" s="4" t="s">
        <v>601</v>
      </c>
      <c r="U2245" s="4">
        <v>0</v>
      </c>
      <c r="V2245" s="4">
        <v>75</v>
      </c>
      <c r="W2245" s="4">
        <v>76</v>
      </c>
    </row>
    <row r="2246" spans="1:23" ht="11.25" customHeight="1" x14ac:dyDescent="0.25">
      <c r="A2246" s="4" t="s">
        <v>21</v>
      </c>
      <c r="B2246" s="4" t="s">
        <v>41</v>
      </c>
      <c r="C2246" s="4" t="s">
        <v>39</v>
      </c>
      <c r="D2246" s="4" t="s">
        <v>48</v>
      </c>
      <c r="E2246" s="4" t="s">
        <v>25</v>
      </c>
      <c r="F2246" s="4" t="s">
        <v>25</v>
      </c>
      <c r="G2246" s="4" t="s">
        <v>25</v>
      </c>
      <c r="H2246" s="4" t="s">
        <v>40</v>
      </c>
      <c r="I2246" s="5">
        <v>44287</v>
      </c>
      <c r="J2246" s="6">
        <v>0</v>
      </c>
      <c r="K2246" s="6">
        <v>0</v>
      </c>
      <c r="L2246" s="6">
        <v>0.63800000000000001</v>
      </c>
      <c r="M2246" s="6">
        <v>0.63800000000000001</v>
      </c>
      <c r="N2246" s="6">
        <v>0.63800000000000001</v>
      </c>
      <c r="O2246" s="6">
        <v>0.63800000000000001</v>
      </c>
      <c r="P2246" s="6">
        <v>0</v>
      </c>
      <c r="Q2246" s="4" t="s">
        <v>26</v>
      </c>
      <c r="R2246" s="4">
        <v>0</v>
      </c>
      <c r="S2246" s="4" t="s">
        <v>365</v>
      </c>
      <c r="T2246" s="4" t="s">
        <v>602</v>
      </c>
      <c r="U2246" s="4">
        <v>0</v>
      </c>
      <c r="V2246" s="4">
        <v>75</v>
      </c>
      <c r="W2246" s="4">
        <v>76</v>
      </c>
    </row>
    <row r="2247" spans="1:23" ht="11.25" customHeight="1" x14ac:dyDescent="0.25">
      <c r="A2247" s="4" t="s">
        <v>28</v>
      </c>
      <c r="B2247" s="4" t="s">
        <v>41</v>
      </c>
      <c r="C2247" s="4" t="s">
        <v>39</v>
      </c>
      <c r="D2247" s="4" t="s">
        <v>48</v>
      </c>
      <c r="E2247" s="4" t="s">
        <v>25</v>
      </c>
      <c r="F2247" s="4" t="s">
        <v>25</v>
      </c>
      <c r="G2247" s="4" t="s">
        <v>25</v>
      </c>
      <c r="H2247" s="4" t="s">
        <v>40</v>
      </c>
      <c r="I2247" s="5">
        <v>44287</v>
      </c>
      <c r="J2247" s="6">
        <v>0</v>
      </c>
      <c r="K2247" s="6">
        <v>0</v>
      </c>
      <c r="L2247" s="6">
        <v>9.1999999999999998E-2</v>
      </c>
      <c r="M2247" s="6">
        <v>9.1999999999999998E-2</v>
      </c>
      <c r="N2247" s="6">
        <v>9.1999999999999998E-2</v>
      </c>
      <c r="O2247" s="6">
        <v>9.1999999999999998E-2</v>
      </c>
      <c r="P2247" s="6">
        <v>0</v>
      </c>
      <c r="Q2247" s="4" t="s">
        <v>26</v>
      </c>
      <c r="R2247" s="4">
        <v>0</v>
      </c>
      <c r="S2247" s="4" t="s">
        <v>365</v>
      </c>
      <c r="T2247" s="4" t="s">
        <v>602</v>
      </c>
      <c r="U2247" s="4">
        <v>0</v>
      </c>
      <c r="V2247" s="4">
        <v>75</v>
      </c>
      <c r="W2247" s="4">
        <v>76</v>
      </c>
    </row>
    <row r="2248" spans="1:23" ht="11.25" customHeight="1" x14ac:dyDescent="0.25">
      <c r="A2248" s="4" t="s">
        <v>21</v>
      </c>
      <c r="B2248" s="4" t="s">
        <v>41</v>
      </c>
      <c r="C2248" s="4" t="s">
        <v>39</v>
      </c>
      <c r="D2248" s="4" t="s">
        <v>48</v>
      </c>
      <c r="E2248" s="4" t="s">
        <v>25</v>
      </c>
      <c r="F2248" s="4" t="s">
        <v>25</v>
      </c>
      <c r="G2248" s="4" t="s">
        <v>25</v>
      </c>
      <c r="H2248" s="4" t="s">
        <v>40</v>
      </c>
      <c r="I2248" s="5">
        <v>44317</v>
      </c>
      <c r="J2248" s="6">
        <v>0</v>
      </c>
      <c r="K2248" s="6">
        <v>0</v>
      </c>
      <c r="L2248" s="6">
        <v>0.14099999999999999</v>
      </c>
      <c r="M2248" s="6">
        <v>0.14099999999999999</v>
      </c>
      <c r="N2248" s="6">
        <v>0.14099999999999999</v>
      </c>
      <c r="O2248" s="6">
        <v>0.14099999999999999</v>
      </c>
      <c r="P2248" s="6">
        <v>0</v>
      </c>
      <c r="Q2248" s="4" t="s">
        <v>26</v>
      </c>
      <c r="R2248" s="4">
        <v>0</v>
      </c>
      <c r="S2248" s="4" t="s">
        <v>366</v>
      </c>
      <c r="T2248" s="4" t="s">
        <v>603</v>
      </c>
      <c r="U2248" s="4">
        <v>0</v>
      </c>
      <c r="V2248" s="4">
        <v>75</v>
      </c>
      <c r="W2248" s="4">
        <v>76</v>
      </c>
    </row>
    <row r="2249" spans="1:23" ht="11.25" customHeight="1" x14ac:dyDescent="0.25">
      <c r="A2249" s="4" t="s">
        <v>28</v>
      </c>
      <c r="B2249" s="4" t="s">
        <v>41</v>
      </c>
      <c r="C2249" s="4" t="s">
        <v>39</v>
      </c>
      <c r="D2249" s="4" t="s">
        <v>48</v>
      </c>
      <c r="E2249" s="4" t="s">
        <v>25</v>
      </c>
      <c r="F2249" s="4" t="s">
        <v>25</v>
      </c>
      <c r="G2249" s="4" t="s">
        <v>25</v>
      </c>
      <c r="H2249" s="4" t="s">
        <v>40</v>
      </c>
      <c r="I2249" s="5">
        <v>44317</v>
      </c>
      <c r="J2249" s="6">
        <v>0</v>
      </c>
      <c r="K2249" s="6">
        <v>0</v>
      </c>
      <c r="L2249" s="6">
        <v>0.17100000000000001</v>
      </c>
      <c r="M2249" s="6">
        <v>0.17100000000000001</v>
      </c>
      <c r="N2249" s="6">
        <v>0.17100000000000001</v>
      </c>
      <c r="O2249" s="6">
        <v>0.17100000000000001</v>
      </c>
      <c r="P2249" s="6">
        <v>0</v>
      </c>
      <c r="Q2249" s="4" t="s">
        <v>26</v>
      </c>
      <c r="R2249" s="4">
        <v>0</v>
      </c>
      <c r="S2249" s="4" t="s">
        <v>366</v>
      </c>
      <c r="T2249" s="4" t="s">
        <v>603</v>
      </c>
      <c r="U2249" s="4">
        <v>0</v>
      </c>
      <c r="V2249" s="4">
        <v>75</v>
      </c>
      <c r="W2249" s="4">
        <v>76</v>
      </c>
    </row>
    <row r="2250" spans="1:23" ht="11.25" customHeight="1" x14ac:dyDescent="0.25">
      <c r="A2250" s="4" t="s">
        <v>21</v>
      </c>
      <c r="B2250" s="4" t="s">
        <v>41</v>
      </c>
      <c r="C2250" s="4" t="s">
        <v>39</v>
      </c>
      <c r="D2250" s="4" t="s">
        <v>48</v>
      </c>
      <c r="E2250" s="4" t="s">
        <v>25</v>
      </c>
      <c r="F2250" s="4" t="s">
        <v>25</v>
      </c>
      <c r="G2250" s="4" t="s">
        <v>25</v>
      </c>
      <c r="H2250" s="4" t="s">
        <v>40</v>
      </c>
      <c r="I2250" s="5">
        <v>44348</v>
      </c>
      <c r="J2250" s="6">
        <v>0</v>
      </c>
      <c r="K2250" s="6">
        <v>0</v>
      </c>
      <c r="L2250" s="6">
        <v>0.14499999999999999</v>
      </c>
      <c r="M2250" s="6">
        <v>0.14499999999999999</v>
      </c>
      <c r="N2250" s="6">
        <v>0.14499999999999999</v>
      </c>
      <c r="O2250" s="6">
        <v>0.14499999999999999</v>
      </c>
      <c r="P2250" s="6">
        <v>0</v>
      </c>
      <c r="Q2250" s="4" t="s">
        <v>26</v>
      </c>
      <c r="R2250" s="4">
        <v>0</v>
      </c>
      <c r="S2250" s="4" t="s">
        <v>367</v>
      </c>
      <c r="T2250" s="4" t="s">
        <v>604</v>
      </c>
      <c r="U2250" s="4">
        <v>0</v>
      </c>
      <c r="V2250" s="4">
        <v>75</v>
      </c>
      <c r="W2250" s="4">
        <v>76</v>
      </c>
    </row>
    <row r="2251" spans="1:23" ht="11.25" customHeight="1" x14ac:dyDescent="0.25">
      <c r="A2251" s="4" t="s">
        <v>28</v>
      </c>
      <c r="B2251" s="4" t="s">
        <v>41</v>
      </c>
      <c r="C2251" s="4" t="s">
        <v>39</v>
      </c>
      <c r="D2251" s="4" t="s">
        <v>48</v>
      </c>
      <c r="E2251" s="4" t="s">
        <v>25</v>
      </c>
      <c r="F2251" s="4" t="s">
        <v>25</v>
      </c>
      <c r="G2251" s="4" t="s">
        <v>25</v>
      </c>
      <c r="H2251" s="4" t="s">
        <v>40</v>
      </c>
      <c r="I2251" s="5">
        <v>44348</v>
      </c>
      <c r="J2251" s="6">
        <v>0</v>
      </c>
      <c r="K2251" s="6">
        <v>0</v>
      </c>
      <c r="L2251" s="6">
        <v>0.16600000000000001</v>
      </c>
      <c r="M2251" s="6">
        <v>0.16600000000000001</v>
      </c>
      <c r="N2251" s="6">
        <v>0.16600000000000001</v>
      </c>
      <c r="O2251" s="6">
        <v>0.16600000000000001</v>
      </c>
      <c r="P2251" s="6">
        <v>0</v>
      </c>
      <c r="Q2251" s="4" t="s">
        <v>26</v>
      </c>
      <c r="R2251" s="4">
        <v>0</v>
      </c>
      <c r="S2251" s="4" t="s">
        <v>367</v>
      </c>
      <c r="T2251" s="4" t="s">
        <v>604</v>
      </c>
      <c r="U2251" s="4">
        <v>0</v>
      </c>
      <c r="V2251" s="4">
        <v>75</v>
      </c>
      <c r="W2251" s="4">
        <v>76</v>
      </c>
    </row>
    <row r="2252" spans="1:23" ht="11.25" customHeight="1" x14ac:dyDescent="0.25">
      <c r="A2252" s="4" t="s">
        <v>21</v>
      </c>
      <c r="B2252" s="4" t="s">
        <v>41</v>
      </c>
      <c r="C2252" s="4" t="s">
        <v>39</v>
      </c>
      <c r="D2252" s="4" t="s">
        <v>48</v>
      </c>
      <c r="E2252" s="4" t="s">
        <v>25</v>
      </c>
      <c r="F2252" s="4" t="s">
        <v>25</v>
      </c>
      <c r="G2252" s="4" t="s">
        <v>25</v>
      </c>
      <c r="H2252" s="4" t="s">
        <v>40</v>
      </c>
      <c r="I2252" s="5">
        <v>44378</v>
      </c>
      <c r="J2252" s="6">
        <v>0</v>
      </c>
      <c r="K2252" s="6">
        <v>0</v>
      </c>
      <c r="L2252" s="6">
        <v>0.16</v>
      </c>
      <c r="M2252" s="6">
        <v>0.16</v>
      </c>
      <c r="N2252" s="6">
        <v>0.16</v>
      </c>
      <c r="O2252" s="6">
        <v>0.16</v>
      </c>
      <c r="P2252" s="6">
        <v>0</v>
      </c>
      <c r="Q2252" s="4" t="s">
        <v>26</v>
      </c>
      <c r="R2252" s="4">
        <v>0</v>
      </c>
      <c r="S2252" s="4" t="s">
        <v>368</v>
      </c>
      <c r="T2252" s="4" t="s">
        <v>605</v>
      </c>
      <c r="U2252" s="4">
        <v>0</v>
      </c>
      <c r="V2252" s="4">
        <v>75</v>
      </c>
      <c r="W2252" s="4">
        <v>76</v>
      </c>
    </row>
    <row r="2253" spans="1:23" ht="11.25" customHeight="1" x14ac:dyDescent="0.25">
      <c r="A2253" s="4" t="s">
        <v>28</v>
      </c>
      <c r="B2253" s="4" t="s">
        <v>41</v>
      </c>
      <c r="C2253" s="4" t="s">
        <v>39</v>
      </c>
      <c r="D2253" s="4" t="s">
        <v>48</v>
      </c>
      <c r="E2253" s="4" t="s">
        <v>25</v>
      </c>
      <c r="F2253" s="4" t="s">
        <v>25</v>
      </c>
      <c r="G2253" s="4" t="s">
        <v>25</v>
      </c>
      <c r="H2253" s="4" t="s">
        <v>40</v>
      </c>
      <c r="I2253" s="5">
        <v>44378</v>
      </c>
      <c r="J2253" s="6">
        <v>0</v>
      </c>
      <c r="K2253" s="6">
        <v>0</v>
      </c>
      <c r="L2253" s="6">
        <v>0.19</v>
      </c>
      <c r="M2253" s="6">
        <v>0.19</v>
      </c>
      <c r="N2253" s="6">
        <v>0.19</v>
      </c>
      <c r="O2253" s="6">
        <v>0.19</v>
      </c>
      <c r="P2253" s="6">
        <v>0</v>
      </c>
      <c r="Q2253" s="4" t="s">
        <v>26</v>
      </c>
      <c r="R2253" s="4">
        <v>0</v>
      </c>
      <c r="S2253" s="4" t="s">
        <v>368</v>
      </c>
      <c r="T2253" s="4" t="s">
        <v>605</v>
      </c>
      <c r="U2253" s="4">
        <v>0</v>
      </c>
      <c r="V2253" s="4">
        <v>75</v>
      </c>
      <c r="W2253" s="4">
        <v>76</v>
      </c>
    </row>
    <row r="2254" spans="1:23" ht="11.25" customHeight="1" x14ac:dyDescent="0.25">
      <c r="A2254" s="4" t="s">
        <v>21</v>
      </c>
      <c r="B2254" s="4" t="s">
        <v>41</v>
      </c>
      <c r="C2254" s="4" t="s">
        <v>39</v>
      </c>
      <c r="D2254" s="4" t="s">
        <v>48</v>
      </c>
      <c r="E2254" s="4" t="s">
        <v>25</v>
      </c>
      <c r="F2254" s="4" t="s">
        <v>25</v>
      </c>
      <c r="G2254" s="4" t="s">
        <v>25</v>
      </c>
      <c r="H2254" s="4" t="s">
        <v>40</v>
      </c>
      <c r="I2254" s="5">
        <v>44409</v>
      </c>
      <c r="J2254" s="6">
        <v>0</v>
      </c>
      <c r="K2254" s="6">
        <v>0</v>
      </c>
      <c r="L2254" s="6">
        <v>0.159</v>
      </c>
      <c r="M2254" s="6">
        <v>0.159</v>
      </c>
      <c r="N2254" s="6">
        <v>0.159</v>
      </c>
      <c r="O2254" s="6">
        <v>0.159</v>
      </c>
      <c r="P2254" s="6">
        <v>0</v>
      </c>
      <c r="Q2254" s="4" t="s">
        <v>26</v>
      </c>
      <c r="R2254" s="4">
        <v>0</v>
      </c>
      <c r="S2254" s="4" t="s">
        <v>369</v>
      </c>
      <c r="T2254" s="4" t="s">
        <v>606</v>
      </c>
      <c r="U2254" s="4">
        <v>0</v>
      </c>
      <c r="V2254" s="4">
        <v>75</v>
      </c>
      <c r="W2254" s="4">
        <v>76</v>
      </c>
    </row>
    <row r="2255" spans="1:23" ht="11.25" customHeight="1" x14ac:dyDescent="0.25">
      <c r="A2255" s="4" t="s">
        <v>28</v>
      </c>
      <c r="B2255" s="4" t="s">
        <v>41</v>
      </c>
      <c r="C2255" s="4" t="s">
        <v>39</v>
      </c>
      <c r="D2255" s="4" t="s">
        <v>48</v>
      </c>
      <c r="E2255" s="4" t="s">
        <v>25</v>
      </c>
      <c r="F2255" s="4" t="s">
        <v>25</v>
      </c>
      <c r="G2255" s="4" t="s">
        <v>25</v>
      </c>
      <c r="H2255" s="4" t="s">
        <v>40</v>
      </c>
      <c r="I2255" s="5">
        <v>44409</v>
      </c>
      <c r="J2255" s="6">
        <v>0</v>
      </c>
      <c r="K2255" s="6">
        <v>0</v>
      </c>
      <c r="L2255" s="6">
        <v>0.182</v>
      </c>
      <c r="M2255" s="6">
        <v>0.182</v>
      </c>
      <c r="N2255" s="6">
        <v>0.182</v>
      </c>
      <c r="O2255" s="6">
        <v>0.182</v>
      </c>
      <c r="P2255" s="6">
        <v>0</v>
      </c>
      <c r="Q2255" s="4" t="s">
        <v>26</v>
      </c>
      <c r="R2255" s="4">
        <v>0</v>
      </c>
      <c r="S2255" s="4" t="s">
        <v>369</v>
      </c>
      <c r="T2255" s="4" t="s">
        <v>606</v>
      </c>
      <c r="U2255" s="4">
        <v>0</v>
      </c>
      <c r="V2255" s="4">
        <v>75</v>
      </c>
      <c r="W2255" s="4">
        <v>76</v>
      </c>
    </row>
    <row r="2256" spans="1:23" ht="11.25" customHeight="1" x14ac:dyDescent="0.25">
      <c r="A2256" s="4" t="s">
        <v>21</v>
      </c>
      <c r="B2256" s="4" t="s">
        <v>41</v>
      </c>
      <c r="C2256" s="4" t="s">
        <v>39</v>
      </c>
      <c r="D2256" s="4" t="s">
        <v>48</v>
      </c>
      <c r="E2256" s="4" t="s">
        <v>25</v>
      </c>
      <c r="F2256" s="4" t="s">
        <v>25</v>
      </c>
      <c r="G2256" s="4" t="s">
        <v>25</v>
      </c>
      <c r="H2256" s="4" t="s">
        <v>40</v>
      </c>
      <c r="I2256" s="5">
        <v>44440</v>
      </c>
      <c r="J2256" s="6">
        <v>0</v>
      </c>
      <c r="K2256" s="6">
        <v>0</v>
      </c>
      <c r="L2256" s="6">
        <v>0.16</v>
      </c>
      <c r="M2256" s="6">
        <v>0.16</v>
      </c>
      <c r="N2256" s="6">
        <v>0.16</v>
      </c>
      <c r="O2256" s="6">
        <v>0.16</v>
      </c>
      <c r="P2256" s="6">
        <v>0</v>
      </c>
      <c r="Q2256" s="4" t="s">
        <v>26</v>
      </c>
      <c r="R2256" s="4">
        <v>0</v>
      </c>
      <c r="S2256" s="4" t="s">
        <v>370</v>
      </c>
      <c r="T2256" s="4" t="s">
        <v>607</v>
      </c>
      <c r="U2256" s="4">
        <v>0</v>
      </c>
      <c r="V2256" s="4">
        <v>75</v>
      </c>
      <c r="W2256" s="4">
        <v>76</v>
      </c>
    </row>
    <row r="2257" spans="1:23" ht="11.25" customHeight="1" x14ac:dyDescent="0.25">
      <c r="A2257" s="4" t="s">
        <v>28</v>
      </c>
      <c r="B2257" s="4" t="s">
        <v>41</v>
      </c>
      <c r="C2257" s="4" t="s">
        <v>39</v>
      </c>
      <c r="D2257" s="4" t="s">
        <v>48</v>
      </c>
      <c r="E2257" s="4" t="s">
        <v>25</v>
      </c>
      <c r="F2257" s="4" t="s">
        <v>25</v>
      </c>
      <c r="G2257" s="4" t="s">
        <v>25</v>
      </c>
      <c r="H2257" s="4" t="s">
        <v>40</v>
      </c>
      <c r="I2257" s="5">
        <v>44440</v>
      </c>
      <c r="J2257" s="6">
        <v>0</v>
      </c>
      <c r="K2257" s="6">
        <v>0</v>
      </c>
      <c r="L2257" s="6">
        <v>0.16500000000000001</v>
      </c>
      <c r="M2257" s="6">
        <v>0.16500000000000001</v>
      </c>
      <c r="N2257" s="6">
        <v>0.16500000000000001</v>
      </c>
      <c r="O2257" s="6">
        <v>0.16500000000000001</v>
      </c>
      <c r="P2257" s="6">
        <v>0</v>
      </c>
      <c r="Q2257" s="4" t="s">
        <v>26</v>
      </c>
      <c r="R2257" s="4">
        <v>0</v>
      </c>
      <c r="S2257" s="4" t="s">
        <v>370</v>
      </c>
      <c r="T2257" s="4" t="s">
        <v>607</v>
      </c>
      <c r="U2257" s="4">
        <v>0</v>
      </c>
      <c r="V2257" s="4">
        <v>75</v>
      </c>
      <c r="W2257" s="4">
        <v>76</v>
      </c>
    </row>
    <row r="2258" spans="1:23" ht="11.25" customHeight="1" x14ac:dyDescent="0.25">
      <c r="A2258" s="4" t="s">
        <v>59</v>
      </c>
      <c r="B2258" s="4" t="s">
        <v>41</v>
      </c>
      <c r="C2258" s="4" t="s">
        <v>39</v>
      </c>
      <c r="D2258" s="4" t="s">
        <v>48</v>
      </c>
      <c r="E2258" s="4" t="s">
        <v>25</v>
      </c>
      <c r="F2258" s="4" t="s">
        <v>25</v>
      </c>
      <c r="G2258" s="4" t="s">
        <v>25</v>
      </c>
      <c r="H2258" s="4" t="s">
        <v>40</v>
      </c>
      <c r="I2258" s="5">
        <v>44470</v>
      </c>
      <c r="J2258" s="6">
        <v>0</v>
      </c>
      <c r="K2258" s="6">
        <v>0</v>
      </c>
      <c r="L2258" s="6">
        <v>0.16</v>
      </c>
      <c r="M2258" s="6">
        <v>0.16</v>
      </c>
      <c r="N2258" s="6">
        <v>0.16</v>
      </c>
      <c r="O2258" s="6">
        <v>0.16</v>
      </c>
      <c r="P2258" s="6">
        <v>0</v>
      </c>
      <c r="Q2258" s="4" t="s">
        <v>26</v>
      </c>
      <c r="R2258" s="4">
        <v>0</v>
      </c>
      <c r="S2258" s="4" t="s">
        <v>371</v>
      </c>
      <c r="T2258" s="4" t="s">
        <v>608</v>
      </c>
      <c r="U2258" s="4">
        <v>0</v>
      </c>
      <c r="V2258" s="4">
        <v>75</v>
      </c>
      <c r="W2258" s="4">
        <v>76</v>
      </c>
    </row>
    <row r="2259" spans="1:23" ht="11.25" customHeight="1" x14ac:dyDescent="0.25">
      <c r="A2259" s="4" t="s">
        <v>59</v>
      </c>
      <c r="B2259" s="4" t="s">
        <v>41</v>
      </c>
      <c r="C2259" s="4" t="s">
        <v>39</v>
      </c>
      <c r="D2259" s="4" t="s">
        <v>48</v>
      </c>
      <c r="E2259" s="4" t="s">
        <v>25</v>
      </c>
      <c r="F2259" s="4" t="s">
        <v>25</v>
      </c>
      <c r="G2259" s="4" t="s">
        <v>25</v>
      </c>
      <c r="H2259" s="4" t="s">
        <v>40</v>
      </c>
      <c r="I2259" s="5">
        <v>44470</v>
      </c>
      <c r="J2259" s="6">
        <v>0</v>
      </c>
      <c r="K2259" s="6">
        <v>0</v>
      </c>
      <c r="L2259" s="6">
        <v>0.16500000000000001</v>
      </c>
      <c r="M2259" s="6">
        <v>0.16500000000000001</v>
      </c>
      <c r="N2259" s="6">
        <v>0.16500000000000001</v>
      </c>
      <c r="O2259" s="6">
        <v>0.16500000000000001</v>
      </c>
      <c r="P2259" s="6">
        <v>0</v>
      </c>
      <c r="Q2259" s="4" t="s">
        <v>26</v>
      </c>
      <c r="R2259" s="4">
        <v>0</v>
      </c>
      <c r="S2259" s="4" t="s">
        <v>371</v>
      </c>
      <c r="T2259" s="4" t="s">
        <v>608</v>
      </c>
      <c r="U2259" s="4">
        <v>0</v>
      </c>
      <c r="V2259" s="4">
        <v>75</v>
      </c>
      <c r="W2259" s="4">
        <v>76</v>
      </c>
    </row>
    <row r="2260" spans="1:23" ht="11.25" customHeight="1" x14ac:dyDescent="0.25">
      <c r="A2260" s="4" t="s">
        <v>21</v>
      </c>
      <c r="B2260" s="4" t="s">
        <v>41</v>
      </c>
      <c r="C2260" s="4" t="s">
        <v>39</v>
      </c>
      <c r="D2260" s="4" t="s">
        <v>48</v>
      </c>
      <c r="E2260" s="4" t="s">
        <v>25</v>
      </c>
      <c r="F2260" s="4" t="s">
        <v>25</v>
      </c>
      <c r="G2260" s="4" t="s">
        <v>25</v>
      </c>
      <c r="H2260" s="4" t="s">
        <v>37</v>
      </c>
      <c r="I2260" s="5">
        <v>44136</v>
      </c>
      <c r="J2260" s="6">
        <v>0</v>
      </c>
      <c r="K2260" s="6">
        <v>0</v>
      </c>
      <c r="L2260" s="6">
        <v>53.497999999999998</v>
      </c>
      <c r="M2260" s="6">
        <v>53.497999999999998</v>
      </c>
      <c r="N2260" s="6">
        <v>53.497999999999998</v>
      </c>
      <c r="O2260" s="6">
        <v>53.497999999999998</v>
      </c>
      <c r="P2260" s="6">
        <v>0</v>
      </c>
      <c r="Q2260" s="4" t="s">
        <v>26</v>
      </c>
      <c r="R2260" s="4">
        <v>0</v>
      </c>
      <c r="S2260" s="4" t="s">
        <v>372</v>
      </c>
      <c r="T2260" s="4" t="s">
        <v>609</v>
      </c>
      <c r="U2260" s="4">
        <v>0</v>
      </c>
      <c r="V2260" s="4">
        <v>74</v>
      </c>
      <c r="W2260" s="4">
        <v>82</v>
      </c>
    </row>
    <row r="2261" spans="1:23" ht="11.25" customHeight="1" x14ac:dyDescent="0.25">
      <c r="A2261" s="4" t="s">
        <v>27</v>
      </c>
      <c r="B2261" s="4" t="s">
        <v>41</v>
      </c>
      <c r="C2261" s="4" t="s">
        <v>39</v>
      </c>
      <c r="D2261" s="4" t="s">
        <v>48</v>
      </c>
      <c r="E2261" s="4" t="s">
        <v>25</v>
      </c>
      <c r="F2261" s="4" t="s">
        <v>25</v>
      </c>
      <c r="G2261" s="4" t="s">
        <v>25</v>
      </c>
      <c r="H2261" s="4" t="s">
        <v>37</v>
      </c>
      <c r="I2261" s="5">
        <v>44136</v>
      </c>
      <c r="J2261" s="6">
        <v>0</v>
      </c>
      <c r="K2261" s="6">
        <v>0</v>
      </c>
      <c r="L2261" s="6">
        <v>-41.277000000000001</v>
      </c>
      <c r="M2261" s="6">
        <v>-41.277000000000001</v>
      </c>
      <c r="N2261" s="6">
        <v>-41.277000000000001</v>
      </c>
      <c r="O2261" s="6">
        <v>-41.277000000000001</v>
      </c>
      <c r="P2261" s="6">
        <v>0</v>
      </c>
      <c r="Q2261" s="4" t="s">
        <v>26</v>
      </c>
      <c r="R2261" s="4">
        <v>0</v>
      </c>
      <c r="S2261" s="4" t="s">
        <v>372</v>
      </c>
      <c r="T2261" s="4" t="s">
        <v>609</v>
      </c>
      <c r="U2261" s="4">
        <v>0</v>
      </c>
      <c r="V2261" s="4">
        <v>74</v>
      </c>
      <c r="W2261" s="4">
        <v>82</v>
      </c>
    </row>
    <row r="2262" spans="1:23" ht="11.25" customHeight="1" x14ac:dyDescent="0.25">
      <c r="A2262" s="4" t="s">
        <v>21</v>
      </c>
      <c r="B2262" s="4" t="s">
        <v>41</v>
      </c>
      <c r="C2262" s="4" t="s">
        <v>39</v>
      </c>
      <c r="D2262" s="4" t="s">
        <v>48</v>
      </c>
      <c r="E2262" s="4" t="s">
        <v>25</v>
      </c>
      <c r="F2262" s="4" t="s">
        <v>25</v>
      </c>
      <c r="G2262" s="4" t="s">
        <v>25</v>
      </c>
      <c r="H2262" s="4" t="s">
        <v>37</v>
      </c>
      <c r="I2262" s="5">
        <v>44166</v>
      </c>
      <c r="J2262" s="6">
        <v>0</v>
      </c>
      <c r="K2262" s="6">
        <v>0</v>
      </c>
      <c r="L2262" s="6">
        <v>1.9350000000000001</v>
      </c>
      <c r="M2262" s="6">
        <v>1.9350000000000001</v>
      </c>
      <c r="N2262" s="6">
        <v>1.9350000000000001</v>
      </c>
      <c r="O2262" s="6">
        <v>1.9350000000000001</v>
      </c>
      <c r="P2262" s="6">
        <v>0</v>
      </c>
      <c r="Q2262" s="4" t="s">
        <v>26</v>
      </c>
      <c r="R2262" s="4">
        <v>0</v>
      </c>
      <c r="S2262" s="4" t="s">
        <v>373</v>
      </c>
      <c r="T2262" s="4" t="s">
        <v>610</v>
      </c>
      <c r="U2262" s="4">
        <v>0</v>
      </c>
      <c r="V2262" s="4">
        <v>74</v>
      </c>
      <c r="W2262" s="4">
        <v>82</v>
      </c>
    </row>
    <row r="2263" spans="1:23" ht="11.25" customHeight="1" x14ac:dyDescent="0.25">
      <c r="A2263" s="4" t="s">
        <v>27</v>
      </c>
      <c r="B2263" s="4" t="s">
        <v>41</v>
      </c>
      <c r="C2263" s="4" t="s">
        <v>39</v>
      </c>
      <c r="D2263" s="4" t="s">
        <v>48</v>
      </c>
      <c r="E2263" s="4" t="s">
        <v>25</v>
      </c>
      <c r="F2263" s="4" t="s">
        <v>25</v>
      </c>
      <c r="G2263" s="4" t="s">
        <v>25</v>
      </c>
      <c r="H2263" s="4" t="s">
        <v>37</v>
      </c>
      <c r="I2263" s="5">
        <v>44166</v>
      </c>
      <c r="J2263" s="6">
        <v>0</v>
      </c>
      <c r="K2263" s="6">
        <v>0</v>
      </c>
      <c r="L2263" s="6">
        <v>-51.057000000000002</v>
      </c>
      <c r="M2263" s="6">
        <v>-51.057000000000002</v>
      </c>
      <c r="N2263" s="6">
        <v>-51.057000000000002</v>
      </c>
      <c r="O2263" s="6">
        <v>-51.057000000000002</v>
      </c>
      <c r="P2263" s="6">
        <v>0</v>
      </c>
      <c r="Q2263" s="4" t="s">
        <v>26</v>
      </c>
      <c r="R2263" s="4">
        <v>0</v>
      </c>
      <c r="S2263" s="4" t="s">
        <v>373</v>
      </c>
      <c r="T2263" s="4" t="s">
        <v>610</v>
      </c>
      <c r="U2263" s="4">
        <v>0</v>
      </c>
      <c r="V2263" s="4">
        <v>74</v>
      </c>
      <c r="W2263" s="4">
        <v>82</v>
      </c>
    </row>
    <row r="2264" spans="1:23" ht="11.25" customHeight="1" x14ac:dyDescent="0.25">
      <c r="A2264" s="4" t="s">
        <v>21</v>
      </c>
      <c r="B2264" s="4" t="s">
        <v>41</v>
      </c>
      <c r="C2264" s="4" t="s">
        <v>39</v>
      </c>
      <c r="D2264" s="4" t="s">
        <v>48</v>
      </c>
      <c r="E2264" s="4" t="s">
        <v>25</v>
      </c>
      <c r="F2264" s="4" t="s">
        <v>25</v>
      </c>
      <c r="G2264" s="4" t="s">
        <v>25</v>
      </c>
      <c r="H2264" s="4" t="s">
        <v>37</v>
      </c>
      <c r="I2264" s="5">
        <v>44197</v>
      </c>
      <c r="J2264" s="6">
        <v>0</v>
      </c>
      <c r="K2264" s="6">
        <v>0</v>
      </c>
      <c r="L2264" s="6">
        <v>1.819</v>
      </c>
      <c r="M2264" s="6">
        <v>1.819</v>
      </c>
      <c r="N2264" s="6">
        <v>1.819</v>
      </c>
      <c r="O2264" s="6">
        <v>1.819</v>
      </c>
      <c r="P2264" s="6">
        <v>0</v>
      </c>
      <c r="Q2264" s="4" t="s">
        <v>26</v>
      </c>
      <c r="R2264" s="4">
        <v>0</v>
      </c>
      <c r="S2264" s="4" t="s">
        <v>374</v>
      </c>
      <c r="T2264" s="4" t="s">
        <v>611</v>
      </c>
      <c r="U2264" s="4">
        <v>0</v>
      </c>
      <c r="V2264" s="4">
        <v>74</v>
      </c>
      <c r="W2264" s="4">
        <v>82</v>
      </c>
    </row>
    <row r="2265" spans="1:23" ht="11.25" customHeight="1" x14ac:dyDescent="0.25">
      <c r="A2265" s="4" t="s">
        <v>27</v>
      </c>
      <c r="B2265" s="4" t="s">
        <v>41</v>
      </c>
      <c r="C2265" s="4" t="s">
        <v>39</v>
      </c>
      <c r="D2265" s="4" t="s">
        <v>48</v>
      </c>
      <c r="E2265" s="4" t="s">
        <v>25</v>
      </c>
      <c r="F2265" s="4" t="s">
        <v>25</v>
      </c>
      <c r="G2265" s="4" t="s">
        <v>25</v>
      </c>
      <c r="H2265" s="4" t="s">
        <v>37</v>
      </c>
      <c r="I2265" s="5">
        <v>44197</v>
      </c>
      <c r="J2265" s="6">
        <v>0</v>
      </c>
      <c r="K2265" s="6">
        <v>0</v>
      </c>
      <c r="L2265" s="6">
        <v>-2.4E-2</v>
      </c>
      <c r="M2265" s="6">
        <v>-2.4E-2</v>
      </c>
      <c r="N2265" s="6">
        <v>-2.4E-2</v>
      </c>
      <c r="O2265" s="6">
        <v>-2.4E-2</v>
      </c>
      <c r="P2265" s="6">
        <v>0</v>
      </c>
      <c r="Q2265" s="4" t="s">
        <v>26</v>
      </c>
      <c r="R2265" s="4">
        <v>0</v>
      </c>
      <c r="S2265" s="4" t="s">
        <v>374</v>
      </c>
      <c r="T2265" s="4" t="s">
        <v>611</v>
      </c>
      <c r="U2265" s="4">
        <v>0</v>
      </c>
      <c r="V2265" s="4">
        <v>74</v>
      </c>
      <c r="W2265" s="4">
        <v>82</v>
      </c>
    </row>
    <row r="2266" spans="1:23" ht="11.25" customHeight="1" x14ac:dyDescent="0.25">
      <c r="A2266" s="4" t="s">
        <v>21</v>
      </c>
      <c r="B2266" s="4" t="s">
        <v>41</v>
      </c>
      <c r="C2266" s="4" t="s">
        <v>39</v>
      </c>
      <c r="D2266" s="4" t="s">
        <v>48</v>
      </c>
      <c r="E2266" s="4" t="s">
        <v>25</v>
      </c>
      <c r="F2266" s="4" t="s">
        <v>25</v>
      </c>
      <c r="G2266" s="4" t="s">
        <v>25</v>
      </c>
      <c r="H2266" s="4" t="s">
        <v>37</v>
      </c>
      <c r="I2266" s="5">
        <v>44228</v>
      </c>
      <c r="J2266" s="6">
        <v>0</v>
      </c>
      <c r="K2266" s="6">
        <v>0</v>
      </c>
      <c r="L2266" s="6">
        <v>2.992</v>
      </c>
      <c r="M2266" s="6">
        <v>2.992</v>
      </c>
      <c r="N2266" s="6">
        <v>2.992</v>
      </c>
      <c r="O2266" s="6">
        <v>2.992</v>
      </c>
      <c r="P2266" s="6">
        <v>0</v>
      </c>
      <c r="Q2266" s="4" t="s">
        <v>26</v>
      </c>
      <c r="R2266" s="4">
        <v>0</v>
      </c>
      <c r="S2266" s="4" t="s">
        <v>375</v>
      </c>
      <c r="T2266" s="4" t="s">
        <v>612</v>
      </c>
      <c r="U2266" s="4">
        <v>0</v>
      </c>
      <c r="V2266" s="4">
        <v>74</v>
      </c>
      <c r="W2266" s="4">
        <v>82</v>
      </c>
    </row>
    <row r="2267" spans="1:23" ht="11.25" customHeight="1" x14ac:dyDescent="0.25">
      <c r="A2267" s="4" t="s">
        <v>28</v>
      </c>
      <c r="B2267" s="4" t="s">
        <v>41</v>
      </c>
      <c r="C2267" s="4" t="s">
        <v>39</v>
      </c>
      <c r="D2267" s="4" t="s">
        <v>48</v>
      </c>
      <c r="E2267" s="4" t="s">
        <v>25</v>
      </c>
      <c r="F2267" s="4" t="s">
        <v>25</v>
      </c>
      <c r="G2267" s="4" t="s">
        <v>25</v>
      </c>
      <c r="H2267" s="4" t="s">
        <v>37</v>
      </c>
      <c r="I2267" s="5">
        <v>44228</v>
      </c>
      <c r="J2267" s="6">
        <v>0</v>
      </c>
      <c r="K2267" s="6">
        <v>0</v>
      </c>
      <c r="L2267" s="6">
        <v>2.581</v>
      </c>
      <c r="M2267" s="6">
        <v>2.581</v>
      </c>
      <c r="N2267" s="6">
        <v>2.581</v>
      </c>
      <c r="O2267" s="6">
        <v>2.581</v>
      </c>
      <c r="P2267" s="6">
        <v>0</v>
      </c>
      <c r="Q2267" s="4" t="s">
        <v>26</v>
      </c>
      <c r="R2267" s="4">
        <v>0</v>
      </c>
      <c r="S2267" s="4" t="s">
        <v>375</v>
      </c>
      <c r="T2267" s="4" t="s">
        <v>612</v>
      </c>
      <c r="U2267" s="4">
        <v>0</v>
      </c>
      <c r="V2267" s="4">
        <v>74</v>
      </c>
      <c r="W2267" s="4">
        <v>82</v>
      </c>
    </row>
    <row r="2268" spans="1:23" ht="11.25" customHeight="1" x14ac:dyDescent="0.25">
      <c r="A2268" s="4" t="s">
        <v>21</v>
      </c>
      <c r="B2268" s="4" t="s">
        <v>41</v>
      </c>
      <c r="C2268" s="4" t="s">
        <v>39</v>
      </c>
      <c r="D2268" s="4" t="s">
        <v>48</v>
      </c>
      <c r="E2268" s="4" t="s">
        <v>25</v>
      </c>
      <c r="F2268" s="4" t="s">
        <v>25</v>
      </c>
      <c r="G2268" s="4" t="s">
        <v>25</v>
      </c>
      <c r="H2268" s="4" t="s">
        <v>37</v>
      </c>
      <c r="I2268" s="5">
        <v>44256</v>
      </c>
      <c r="J2268" s="6">
        <v>0</v>
      </c>
      <c r="K2268" s="6">
        <v>0</v>
      </c>
      <c r="L2268" s="6">
        <v>2.004</v>
      </c>
      <c r="M2268" s="6">
        <v>2.004</v>
      </c>
      <c r="N2268" s="6">
        <v>2.004</v>
      </c>
      <c r="O2268" s="6">
        <v>2.004</v>
      </c>
      <c r="P2268" s="6">
        <v>0</v>
      </c>
      <c r="Q2268" s="4" t="s">
        <v>26</v>
      </c>
      <c r="R2268" s="4">
        <v>0</v>
      </c>
      <c r="S2268" s="4" t="s">
        <v>376</v>
      </c>
      <c r="T2268" s="4" t="s">
        <v>613</v>
      </c>
      <c r="U2268" s="4">
        <v>0</v>
      </c>
      <c r="V2268" s="4">
        <v>74</v>
      </c>
      <c r="W2268" s="4">
        <v>82</v>
      </c>
    </row>
    <row r="2269" spans="1:23" ht="11.25" customHeight="1" x14ac:dyDescent="0.25">
      <c r="A2269" s="4" t="s">
        <v>28</v>
      </c>
      <c r="B2269" s="4" t="s">
        <v>41</v>
      </c>
      <c r="C2269" s="4" t="s">
        <v>39</v>
      </c>
      <c r="D2269" s="4" t="s">
        <v>48</v>
      </c>
      <c r="E2269" s="4" t="s">
        <v>25</v>
      </c>
      <c r="F2269" s="4" t="s">
        <v>25</v>
      </c>
      <c r="G2269" s="4" t="s">
        <v>25</v>
      </c>
      <c r="H2269" s="4" t="s">
        <v>37</v>
      </c>
      <c r="I2269" s="5">
        <v>44256</v>
      </c>
      <c r="J2269" s="6">
        <v>0</v>
      </c>
      <c r="K2269" s="6">
        <v>0</v>
      </c>
      <c r="L2269" s="6">
        <v>1.353</v>
      </c>
      <c r="M2269" s="6">
        <v>1.353</v>
      </c>
      <c r="N2269" s="6">
        <v>1.353</v>
      </c>
      <c r="O2269" s="6">
        <v>1.353</v>
      </c>
      <c r="P2269" s="6">
        <v>0</v>
      </c>
      <c r="Q2269" s="4" t="s">
        <v>26</v>
      </c>
      <c r="R2269" s="4">
        <v>0</v>
      </c>
      <c r="S2269" s="4" t="s">
        <v>376</v>
      </c>
      <c r="T2269" s="4" t="s">
        <v>613</v>
      </c>
      <c r="U2269" s="4">
        <v>0</v>
      </c>
      <c r="V2269" s="4">
        <v>74</v>
      </c>
      <c r="W2269" s="4">
        <v>82</v>
      </c>
    </row>
    <row r="2270" spans="1:23" ht="11.25" customHeight="1" x14ac:dyDescent="0.25">
      <c r="A2270" s="4" t="s">
        <v>21</v>
      </c>
      <c r="B2270" s="4" t="s">
        <v>41</v>
      </c>
      <c r="C2270" s="4" t="s">
        <v>39</v>
      </c>
      <c r="D2270" s="4" t="s">
        <v>48</v>
      </c>
      <c r="E2270" s="4" t="s">
        <v>25</v>
      </c>
      <c r="F2270" s="4" t="s">
        <v>25</v>
      </c>
      <c r="G2270" s="4" t="s">
        <v>25</v>
      </c>
      <c r="H2270" s="4" t="s">
        <v>37</v>
      </c>
      <c r="I2270" s="5">
        <v>44287</v>
      </c>
      <c r="J2270" s="6">
        <v>0</v>
      </c>
      <c r="K2270" s="6">
        <v>0</v>
      </c>
      <c r="L2270" s="6">
        <v>0.81899999999999995</v>
      </c>
      <c r="M2270" s="6">
        <v>0.81899999999999995</v>
      </c>
      <c r="N2270" s="6">
        <v>0.81899999999999995</v>
      </c>
      <c r="O2270" s="6">
        <v>0.81899999999999995</v>
      </c>
      <c r="P2270" s="6">
        <v>0</v>
      </c>
      <c r="Q2270" s="4" t="s">
        <v>26</v>
      </c>
      <c r="R2270" s="4">
        <v>0</v>
      </c>
      <c r="S2270" s="4" t="s">
        <v>377</v>
      </c>
      <c r="T2270" s="4" t="s">
        <v>614</v>
      </c>
      <c r="U2270" s="4">
        <v>0</v>
      </c>
      <c r="V2270" s="4">
        <v>74</v>
      </c>
      <c r="W2270" s="4">
        <v>82</v>
      </c>
    </row>
    <row r="2271" spans="1:23" ht="11.25" customHeight="1" x14ac:dyDescent="0.25">
      <c r="A2271" s="4" t="s">
        <v>28</v>
      </c>
      <c r="B2271" s="4" t="s">
        <v>41</v>
      </c>
      <c r="C2271" s="4" t="s">
        <v>39</v>
      </c>
      <c r="D2271" s="4" t="s">
        <v>48</v>
      </c>
      <c r="E2271" s="4" t="s">
        <v>25</v>
      </c>
      <c r="F2271" s="4" t="s">
        <v>25</v>
      </c>
      <c r="G2271" s="4" t="s">
        <v>25</v>
      </c>
      <c r="H2271" s="4" t="s">
        <v>37</v>
      </c>
      <c r="I2271" s="5">
        <v>44287</v>
      </c>
      <c r="J2271" s="6">
        <v>0</v>
      </c>
      <c r="K2271" s="6">
        <v>0</v>
      </c>
      <c r="L2271" s="6">
        <v>2.9209999999999998</v>
      </c>
      <c r="M2271" s="6">
        <v>2.9209999999999998</v>
      </c>
      <c r="N2271" s="6">
        <v>2.9209999999999998</v>
      </c>
      <c r="O2271" s="6">
        <v>2.9209999999999998</v>
      </c>
      <c r="P2271" s="6">
        <v>0</v>
      </c>
      <c r="Q2271" s="4" t="s">
        <v>26</v>
      </c>
      <c r="R2271" s="4">
        <v>0</v>
      </c>
      <c r="S2271" s="4" t="s">
        <v>377</v>
      </c>
      <c r="T2271" s="4" t="s">
        <v>614</v>
      </c>
      <c r="U2271" s="4">
        <v>0</v>
      </c>
      <c r="V2271" s="4">
        <v>74</v>
      </c>
      <c r="W2271" s="4">
        <v>82</v>
      </c>
    </row>
    <row r="2272" spans="1:23" ht="11.25" customHeight="1" x14ac:dyDescent="0.25">
      <c r="A2272" s="4" t="s">
        <v>21</v>
      </c>
      <c r="B2272" s="4" t="s">
        <v>41</v>
      </c>
      <c r="C2272" s="4" t="s">
        <v>39</v>
      </c>
      <c r="D2272" s="4" t="s">
        <v>48</v>
      </c>
      <c r="E2272" s="4" t="s">
        <v>25</v>
      </c>
      <c r="F2272" s="4" t="s">
        <v>25</v>
      </c>
      <c r="G2272" s="4" t="s">
        <v>25</v>
      </c>
      <c r="H2272" s="4" t="s">
        <v>37</v>
      </c>
      <c r="I2272" s="5">
        <v>44317</v>
      </c>
      <c r="J2272" s="6">
        <v>0</v>
      </c>
      <c r="K2272" s="6">
        <v>0</v>
      </c>
      <c r="L2272" s="6">
        <v>0.23699999999999999</v>
      </c>
      <c r="M2272" s="6">
        <v>0.23699999999999999</v>
      </c>
      <c r="N2272" s="6">
        <v>0.23699999999999999</v>
      </c>
      <c r="O2272" s="6">
        <v>0.23699999999999999</v>
      </c>
      <c r="P2272" s="6">
        <v>0</v>
      </c>
      <c r="Q2272" s="4" t="s">
        <v>26</v>
      </c>
      <c r="R2272" s="4">
        <v>0</v>
      </c>
      <c r="S2272" s="4" t="s">
        <v>378</v>
      </c>
      <c r="T2272" s="4" t="s">
        <v>615</v>
      </c>
      <c r="U2272" s="4">
        <v>0</v>
      </c>
      <c r="V2272" s="4">
        <v>74</v>
      </c>
      <c r="W2272" s="4">
        <v>82</v>
      </c>
    </row>
    <row r="2273" spans="1:23" ht="11.25" customHeight="1" x14ac:dyDescent="0.25">
      <c r="A2273" s="4" t="s">
        <v>28</v>
      </c>
      <c r="B2273" s="4" t="s">
        <v>41</v>
      </c>
      <c r="C2273" s="4" t="s">
        <v>39</v>
      </c>
      <c r="D2273" s="4" t="s">
        <v>48</v>
      </c>
      <c r="E2273" s="4" t="s">
        <v>25</v>
      </c>
      <c r="F2273" s="4" t="s">
        <v>25</v>
      </c>
      <c r="G2273" s="4" t="s">
        <v>25</v>
      </c>
      <c r="H2273" s="4" t="s">
        <v>37</v>
      </c>
      <c r="I2273" s="5">
        <v>44317</v>
      </c>
      <c r="J2273" s="6">
        <v>0</v>
      </c>
      <c r="K2273" s="6">
        <v>0</v>
      </c>
      <c r="L2273" s="6">
        <v>0.23300000000000001</v>
      </c>
      <c r="M2273" s="6">
        <v>0.23300000000000001</v>
      </c>
      <c r="N2273" s="6">
        <v>0.23300000000000001</v>
      </c>
      <c r="O2273" s="6">
        <v>0.23300000000000001</v>
      </c>
      <c r="P2273" s="6">
        <v>0</v>
      </c>
      <c r="Q2273" s="4" t="s">
        <v>26</v>
      </c>
      <c r="R2273" s="4">
        <v>0</v>
      </c>
      <c r="S2273" s="4" t="s">
        <v>378</v>
      </c>
      <c r="T2273" s="4" t="s">
        <v>615</v>
      </c>
      <c r="U2273" s="4">
        <v>0</v>
      </c>
      <c r="V2273" s="4">
        <v>74</v>
      </c>
      <c r="W2273" s="4">
        <v>82</v>
      </c>
    </row>
    <row r="2274" spans="1:23" ht="11.25" customHeight="1" x14ac:dyDescent="0.25">
      <c r="A2274" s="4" t="s">
        <v>21</v>
      </c>
      <c r="B2274" s="4" t="s">
        <v>41</v>
      </c>
      <c r="C2274" s="4" t="s">
        <v>39</v>
      </c>
      <c r="D2274" s="4" t="s">
        <v>48</v>
      </c>
      <c r="E2274" s="4" t="s">
        <v>25</v>
      </c>
      <c r="F2274" s="4" t="s">
        <v>25</v>
      </c>
      <c r="G2274" s="4" t="s">
        <v>25</v>
      </c>
      <c r="H2274" s="4" t="s">
        <v>37</v>
      </c>
      <c r="I2274" s="5">
        <v>44348</v>
      </c>
      <c r="J2274" s="6">
        <v>0</v>
      </c>
      <c r="K2274" s="6">
        <v>0</v>
      </c>
      <c r="L2274" s="6">
        <v>0.20699999999999999</v>
      </c>
      <c r="M2274" s="6">
        <v>0.20699999999999999</v>
      </c>
      <c r="N2274" s="6">
        <v>0.20699999999999999</v>
      </c>
      <c r="O2274" s="6">
        <v>0.20699999999999999</v>
      </c>
      <c r="P2274" s="6">
        <v>0</v>
      </c>
      <c r="Q2274" s="4" t="s">
        <v>26</v>
      </c>
      <c r="R2274" s="4">
        <v>0</v>
      </c>
      <c r="S2274" s="4" t="s">
        <v>379</v>
      </c>
      <c r="T2274" s="4" t="s">
        <v>616</v>
      </c>
      <c r="U2274" s="4">
        <v>0</v>
      </c>
      <c r="V2274" s="4">
        <v>74</v>
      </c>
      <c r="W2274" s="4">
        <v>82</v>
      </c>
    </row>
    <row r="2275" spans="1:23" ht="11.25" customHeight="1" x14ac:dyDescent="0.25">
      <c r="A2275" s="4" t="s">
        <v>28</v>
      </c>
      <c r="B2275" s="4" t="s">
        <v>41</v>
      </c>
      <c r="C2275" s="4" t="s">
        <v>39</v>
      </c>
      <c r="D2275" s="4" t="s">
        <v>48</v>
      </c>
      <c r="E2275" s="4" t="s">
        <v>25</v>
      </c>
      <c r="F2275" s="4" t="s">
        <v>25</v>
      </c>
      <c r="G2275" s="4" t="s">
        <v>25</v>
      </c>
      <c r="H2275" s="4" t="s">
        <v>37</v>
      </c>
      <c r="I2275" s="5">
        <v>44348</v>
      </c>
      <c r="J2275" s="6">
        <v>0</v>
      </c>
      <c r="K2275" s="6">
        <v>0</v>
      </c>
      <c r="L2275" s="6">
        <v>3.0270000000000001</v>
      </c>
      <c r="M2275" s="6">
        <v>3.0270000000000001</v>
      </c>
      <c r="N2275" s="6">
        <v>3.0270000000000001</v>
      </c>
      <c r="O2275" s="6">
        <v>3.0270000000000001</v>
      </c>
      <c r="P2275" s="6">
        <v>0</v>
      </c>
      <c r="Q2275" s="4" t="s">
        <v>26</v>
      </c>
      <c r="R2275" s="4">
        <v>0</v>
      </c>
      <c r="S2275" s="4" t="s">
        <v>379</v>
      </c>
      <c r="T2275" s="4" t="s">
        <v>616</v>
      </c>
      <c r="U2275" s="4">
        <v>0</v>
      </c>
      <c r="V2275" s="4">
        <v>74</v>
      </c>
      <c r="W2275" s="4">
        <v>82</v>
      </c>
    </row>
    <row r="2276" spans="1:23" ht="11.25" customHeight="1" x14ac:dyDescent="0.25">
      <c r="A2276" s="4" t="s">
        <v>21</v>
      </c>
      <c r="B2276" s="4" t="s">
        <v>41</v>
      </c>
      <c r="C2276" s="4" t="s">
        <v>39</v>
      </c>
      <c r="D2276" s="4" t="s">
        <v>48</v>
      </c>
      <c r="E2276" s="4" t="s">
        <v>25</v>
      </c>
      <c r="F2276" s="4" t="s">
        <v>25</v>
      </c>
      <c r="G2276" s="4" t="s">
        <v>25</v>
      </c>
      <c r="H2276" s="4" t="s">
        <v>37</v>
      </c>
      <c r="I2276" s="5">
        <v>44378</v>
      </c>
      <c r="J2276" s="6">
        <v>0</v>
      </c>
      <c r="K2276" s="6">
        <v>0</v>
      </c>
      <c r="L2276" s="6">
        <v>0.23200000000000001</v>
      </c>
      <c r="M2276" s="6">
        <v>0.23200000000000001</v>
      </c>
      <c r="N2276" s="6">
        <v>0.23200000000000001</v>
      </c>
      <c r="O2276" s="6">
        <v>0.23200000000000001</v>
      </c>
      <c r="P2276" s="6">
        <v>0</v>
      </c>
      <c r="Q2276" s="4" t="s">
        <v>26</v>
      </c>
      <c r="R2276" s="4">
        <v>0</v>
      </c>
      <c r="S2276" s="4" t="s">
        <v>380</v>
      </c>
      <c r="T2276" s="4" t="s">
        <v>617</v>
      </c>
      <c r="U2276" s="4">
        <v>0</v>
      </c>
      <c r="V2276" s="4">
        <v>74</v>
      </c>
      <c r="W2276" s="4">
        <v>82</v>
      </c>
    </row>
    <row r="2277" spans="1:23" ht="11.25" customHeight="1" x14ac:dyDescent="0.25">
      <c r="A2277" s="4" t="s">
        <v>28</v>
      </c>
      <c r="B2277" s="4" t="s">
        <v>41</v>
      </c>
      <c r="C2277" s="4" t="s">
        <v>39</v>
      </c>
      <c r="D2277" s="4" t="s">
        <v>48</v>
      </c>
      <c r="E2277" s="4" t="s">
        <v>25</v>
      </c>
      <c r="F2277" s="4" t="s">
        <v>25</v>
      </c>
      <c r="G2277" s="4" t="s">
        <v>25</v>
      </c>
      <c r="H2277" s="4" t="s">
        <v>37</v>
      </c>
      <c r="I2277" s="5">
        <v>44378</v>
      </c>
      <c r="J2277" s="6">
        <v>0</v>
      </c>
      <c r="K2277" s="6">
        <v>0</v>
      </c>
      <c r="L2277" s="6">
        <v>0.18099999999999999</v>
      </c>
      <c r="M2277" s="6">
        <v>0.18099999999999999</v>
      </c>
      <c r="N2277" s="6">
        <v>0.18099999999999999</v>
      </c>
      <c r="O2277" s="6">
        <v>0.18099999999999999</v>
      </c>
      <c r="P2277" s="6">
        <v>0</v>
      </c>
      <c r="Q2277" s="4" t="s">
        <v>26</v>
      </c>
      <c r="R2277" s="4">
        <v>0</v>
      </c>
      <c r="S2277" s="4" t="s">
        <v>380</v>
      </c>
      <c r="T2277" s="4" t="s">
        <v>617</v>
      </c>
      <c r="U2277" s="4">
        <v>0</v>
      </c>
      <c r="V2277" s="4">
        <v>74</v>
      </c>
      <c r="W2277" s="4">
        <v>82</v>
      </c>
    </row>
    <row r="2278" spans="1:23" ht="11.25" customHeight="1" x14ac:dyDescent="0.25">
      <c r="A2278" s="4" t="s">
        <v>21</v>
      </c>
      <c r="B2278" s="4" t="s">
        <v>41</v>
      </c>
      <c r="C2278" s="4" t="s">
        <v>39</v>
      </c>
      <c r="D2278" s="4" t="s">
        <v>48</v>
      </c>
      <c r="E2278" s="4" t="s">
        <v>25</v>
      </c>
      <c r="F2278" s="4" t="s">
        <v>25</v>
      </c>
      <c r="G2278" s="4" t="s">
        <v>25</v>
      </c>
      <c r="H2278" s="4" t="s">
        <v>37</v>
      </c>
      <c r="I2278" s="5">
        <v>44409</v>
      </c>
      <c r="J2278" s="6">
        <v>0</v>
      </c>
      <c r="K2278" s="6">
        <v>0</v>
      </c>
      <c r="L2278" s="6">
        <v>0.254</v>
      </c>
      <c r="M2278" s="6">
        <v>0.254</v>
      </c>
      <c r="N2278" s="6">
        <v>0.254</v>
      </c>
      <c r="O2278" s="6">
        <v>0.254</v>
      </c>
      <c r="P2278" s="6">
        <v>0</v>
      </c>
      <c r="Q2278" s="4" t="s">
        <v>26</v>
      </c>
      <c r="R2278" s="4">
        <v>0</v>
      </c>
      <c r="S2278" s="4" t="s">
        <v>381</v>
      </c>
      <c r="T2278" s="4" t="s">
        <v>618</v>
      </c>
      <c r="U2278" s="4">
        <v>0</v>
      </c>
      <c r="V2278" s="4">
        <v>74</v>
      </c>
      <c r="W2278" s="4">
        <v>82</v>
      </c>
    </row>
    <row r="2279" spans="1:23" ht="11.25" customHeight="1" x14ac:dyDescent="0.25">
      <c r="A2279" s="4" t="s">
        <v>28</v>
      </c>
      <c r="B2279" s="4" t="s">
        <v>41</v>
      </c>
      <c r="C2279" s="4" t="s">
        <v>39</v>
      </c>
      <c r="D2279" s="4" t="s">
        <v>48</v>
      </c>
      <c r="E2279" s="4" t="s">
        <v>25</v>
      </c>
      <c r="F2279" s="4" t="s">
        <v>25</v>
      </c>
      <c r="G2279" s="4" t="s">
        <v>25</v>
      </c>
      <c r="H2279" s="4" t="s">
        <v>37</v>
      </c>
      <c r="I2279" s="5">
        <v>44409</v>
      </c>
      <c r="J2279" s="6">
        <v>0</v>
      </c>
      <c r="K2279" s="6">
        <v>0</v>
      </c>
      <c r="L2279" s="6">
        <v>0.24399999999999999</v>
      </c>
      <c r="M2279" s="6">
        <v>0.24399999999999999</v>
      </c>
      <c r="N2279" s="6">
        <v>0.24399999999999999</v>
      </c>
      <c r="O2279" s="6">
        <v>0.24399999999999999</v>
      </c>
      <c r="P2279" s="6">
        <v>0</v>
      </c>
      <c r="Q2279" s="4" t="s">
        <v>26</v>
      </c>
      <c r="R2279" s="4">
        <v>0</v>
      </c>
      <c r="S2279" s="4" t="s">
        <v>381</v>
      </c>
      <c r="T2279" s="4" t="s">
        <v>618</v>
      </c>
      <c r="U2279" s="4">
        <v>0</v>
      </c>
      <c r="V2279" s="4">
        <v>74</v>
      </c>
      <c r="W2279" s="4">
        <v>82</v>
      </c>
    </row>
    <row r="2280" spans="1:23" ht="11.25" customHeight="1" x14ac:dyDescent="0.25">
      <c r="A2280" s="4" t="s">
        <v>21</v>
      </c>
      <c r="B2280" s="4" t="s">
        <v>41</v>
      </c>
      <c r="C2280" s="4" t="s">
        <v>39</v>
      </c>
      <c r="D2280" s="4" t="s">
        <v>48</v>
      </c>
      <c r="E2280" s="4" t="s">
        <v>25</v>
      </c>
      <c r="F2280" s="4" t="s">
        <v>25</v>
      </c>
      <c r="G2280" s="4" t="s">
        <v>25</v>
      </c>
      <c r="H2280" s="4" t="s">
        <v>37</v>
      </c>
      <c r="I2280" s="5">
        <v>44440</v>
      </c>
      <c r="J2280" s="6">
        <v>0</v>
      </c>
      <c r="K2280" s="6">
        <v>0</v>
      </c>
      <c r="L2280" s="6">
        <v>0.23</v>
      </c>
      <c r="M2280" s="6">
        <v>0.23</v>
      </c>
      <c r="N2280" s="6">
        <v>0.23</v>
      </c>
      <c r="O2280" s="6">
        <v>0.23</v>
      </c>
      <c r="P2280" s="6">
        <v>0</v>
      </c>
      <c r="Q2280" s="4" t="s">
        <v>26</v>
      </c>
      <c r="R2280" s="4">
        <v>0</v>
      </c>
      <c r="S2280" s="4" t="s">
        <v>382</v>
      </c>
      <c r="T2280" s="4" t="s">
        <v>619</v>
      </c>
      <c r="U2280" s="4">
        <v>0</v>
      </c>
      <c r="V2280" s="4">
        <v>74</v>
      </c>
      <c r="W2280" s="4">
        <v>82</v>
      </c>
    </row>
    <row r="2281" spans="1:23" ht="11.25" customHeight="1" x14ac:dyDescent="0.25">
      <c r="A2281" s="4" t="s">
        <v>28</v>
      </c>
      <c r="B2281" s="4" t="s">
        <v>41</v>
      </c>
      <c r="C2281" s="4" t="s">
        <v>39</v>
      </c>
      <c r="D2281" s="4" t="s">
        <v>48</v>
      </c>
      <c r="E2281" s="4" t="s">
        <v>25</v>
      </c>
      <c r="F2281" s="4" t="s">
        <v>25</v>
      </c>
      <c r="G2281" s="4" t="s">
        <v>25</v>
      </c>
      <c r="H2281" s="4" t="s">
        <v>37</v>
      </c>
      <c r="I2281" s="5">
        <v>44440</v>
      </c>
      <c r="J2281" s="6">
        <v>0</v>
      </c>
      <c r="K2281" s="6">
        <v>0</v>
      </c>
      <c r="L2281" s="6">
        <v>1.44</v>
      </c>
      <c r="M2281" s="6">
        <v>1.44</v>
      </c>
      <c r="N2281" s="6">
        <v>1.44</v>
      </c>
      <c r="O2281" s="6">
        <v>1.44</v>
      </c>
      <c r="P2281" s="6">
        <v>0</v>
      </c>
      <c r="Q2281" s="4" t="s">
        <v>26</v>
      </c>
      <c r="R2281" s="4">
        <v>0</v>
      </c>
      <c r="S2281" s="4" t="s">
        <v>382</v>
      </c>
      <c r="T2281" s="4" t="s">
        <v>619</v>
      </c>
      <c r="U2281" s="4">
        <v>0</v>
      </c>
      <c r="V2281" s="4">
        <v>74</v>
      </c>
      <c r="W2281" s="4">
        <v>82</v>
      </c>
    </row>
    <row r="2282" spans="1:23" ht="11.25" customHeight="1" x14ac:dyDescent="0.25">
      <c r="A2282" s="4" t="s">
        <v>59</v>
      </c>
      <c r="B2282" s="4" t="s">
        <v>41</v>
      </c>
      <c r="C2282" s="4" t="s">
        <v>39</v>
      </c>
      <c r="D2282" s="4" t="s">
        <v>48</v>
      </c>
      <c r="E2282" s="4" t="s">
        <v>25</v>
      </c>
      <c r="F2282" s="4" t="s">
        <v>25</v>
      </c>
      <c r="G2282" s="4" t="s">
        <v>25</v>
      </c>
      <c r="H2282" s="4" t="s">
        <v>37</v>
      </c>
      <c r="I2282" s="5">
        <v>44470</v>
      </c>
      <c r="J2282" s="6">
        <v>0</v>
      </c>
      <c r="K2282" s="6">
        <v>0</v>
      </c>
      <c r="L2282" s="6">
        <v>0.23</v>
      </c>
      <c r="M2282" s="6">
        <v>0.23</v>
      </c>
      <c r="N2282" s="6">
        <v>0.23</v>
      </c>
      <c r="O2282" s="6">
        <v>0.23</v>
      </c>
      <c r="P2282" s="6">
        <v>0</v>
      </c>
      <c r="Q2282" s="4" t="s">
        <v>26</v>
      </c>
      <c r="R2282" s="4">
        <v>0</v>
      </c>
      <c r="S2282" s="4" t="s">
        <v>383</v>
      </c>
      <c r="T2282" s="4" t="s">
        <v>620</v>
      </c>
      <c r="U2282" s="4">
        <v>0</v>
      </c>
      <c r="V2282" s="4">
        <v>74</v>
      </c>
      <c r="W2282" s="4">
        <v>82</v>
      </c>
    </row>
    <row r="2283" spans="1:23" ht="11.25" customHeight="1" x14ac:dyDescent="0.25">
      <c r="A2283" s="4" t="s">
        <v>59</v>
      </c>
      <c r="B2283" s="4" t="s">
        <v>41</v>
      </c>
      <c r="C2283" s="4" t="s">
        <v>39</v>
      </c>
      <c r="D2283" s="4" t="s">
        <v>48</v>
      </c>
      <c r="E2283" s="4" t="s">
        <v>25</v>
      </c>
      <c r="F2283" s="4" t="s">
        <v>25</v>
      </c>
      <c r="G2283" s="4" t="s">
        <v>25</v>
      </c>
      <c r="H2283" s="4" t="s">
        <v>37</v>
      </c>
      <c r="I2283" s="5">
        <v>44470</v>
      </c>
      <c r="J2283" s="6">
        <v>0</v>
      </c>
      <c r="K2283" s="6">
        <v>0</v>
      </c>
      <c r="L2283" s="6">
        <v>1.44</v>
      </c>
      <c r="M2283" s="6">
        <v>1.44</v>
      </c>
      <c r="N2283" s="6">
        <v>1.44</v>
      </c>
      <c r="O2283" s="6">
        <v>1.44</v>
      </c>
      <c r="P2283" s="6">
        <v>0</v>
      </c>
      <c r="Q2283" s="4" t="s">
        <v>26</v>
      </c>
      <c r="R2283" s="4">
        <v>0</v>
      </c>
      <c r="S2283" s="4" t="s">
        <v>383</v>
      </c>
      <c r="T2283" s="4" t="s">
        <v>620</v>
      </c>
      <c r="U2283" s="4">
        <v>0</v>
      </c>
      <c r="V2283" s="4">
        <v>74</v>
      </c>
      <c r="W2283" s="4">
        <v>82</v>
      </c>
    </row>
    <row r="2284" spans="1:23" ht="11.25" customHeight="1" x14ac:dyDescent="0.25">
      <c r="A2284" s="4" t="s">
        <v>21</v>
      </c>
      <c r="B2284" s="4" t="s">
        <v>41</v>
      </c>
      <c r="C2284" s="4" t="s">
        <v>23</v>
      </c>
      <c r="D2284" s="4" t="s">
        <v>45</v>
      </c>
      <c r="E2284" s="4" t="s">
        <v>25</v>
      </c>
      <c r="F2284" s="4" t="s">
        <v>25</v>
      </c>
      <c r="G2284" s="4" t="s">
        <v>25</v>
      </c>
      <c r="H2284" s="4" t="s">
        <v>25</v>
      </c>
      <c r="I2284" s="5">
        <v>44136</v>
      </c>
      <c r="J2284" s="6">
        <v>0</v>
      </c>
      <c r="K2284" s="6">
        <v>0</v>
      </c>
      <c r="L2284" s="6">
        <v>41387.96</v>
      </c>
      <c r="M2284" s="6">
        <v>41387.96</v>
      </c>
      <c r="N2284" s="6">
        <v>41387.96</v>
      </c>
      <c r="O2284" s="6">
        <v>41387.96</v>
      </c>
      <c r="P2284" s="6">
        <v>54246</v>
      </c>
      <c r="Q2284" s="4" t="s">
        <v>26</v>
      </c>
      <c r="R2284" s="4">
        <v>0</v>
      </c>
      <c r="S2284" s="4" t="s">
        <v>384</v>
      </c>
      <c r="T2284" s="4" t="s">
        <v>621</v>
      </c>
      <c r="U2284" s="4">
        <v>0</v>
      </c>
      <c r="V2284" s="4">
        <v>72</v>
      </c>
      <c r="W2284" s="4">
        <v>78</v>
      </c>
    </row>
    <row r="2285" spans="1:23" ht="11.25" customHeight="1" x14ac:dyDescent="0.25">
      <c r="A2285" s="4" t="s">
        <v>27</v>
      </c>
      <c r="B2285" s="4" t="s">
        <v>41</v>
      </c>
      <c r="C2285" s="4" t="s">
        <v>23</v>
      </c>
      <c r="D2285" s="4" t="s">
        <v>45</v>
      </c>
      <c r="E2285" s="4" t="s">
        <v>25</v>
      </c>
      <c r="F2285" s="4" t="s">
        <v>25</v>
      </c>
      <c r="G2285" s="4" t="s">
        <v>25</v>
      </c>
      <c r="H2285" s="4" t="s">
        <v>25</v>
      </c>
      <c r="I2285" s="5">
        <v>44136</v>
      </c>
      <c r="J2285" s="6">
        <v>0</v>
      </c>
      <c r="K2285" s="6">
        <v>0</v>
      </c>
      <c r="L2285" s="6">
        <v>-1782.422</v>
      </c>
      <c r="M2285" s="6">
        <v>-1782.422</v>
      </c>
      <c r="N2285" s="6">
        <v>-1782.422</v>
      </c>
      <c r="O2285" s="6">
        <v>-1782.422</v>
      </c>
      <c r="P2285" s="6">
        <v>43</v>
      </c>
      <c r="Q2285" s="4" t="s">
        <v>26</v>
      </c>
      <c r="R2285" s="4">
        <v>0</v>
      </c>
      <c r="S2285" s="4" t="s">
        <v>384</v>
      </c>
      <c r="T2285" s="4" t="s">
        <v>621</v>
      </c>
      <c r="U2285" s="4">
        <v>0</v>
      </c>
      <c r="V2285" s="4">
        <v>72</v>
      </c>
      <c r="W2285" s="4">
        <v>78</v>
      </c>
    </row>
    <row r="2286" spans="1:23" ht="11.25" customHeight="1" x14ac:dyDescent="0.25">
      <c r="A2286" s="4" t="s">
        <v>28</v>
      </c>
      <c r="B2286" s="4" t="s">
        <v>41</v>
      </c>
      <c r="C2286" s="4" t="s">
        <v>23</v>
      </c>
      <c r="D2286" s="4" t="s">
        <v>45</v>
      </c>
      <c r="E2286" s="4" t="s">
        <v>25</v>
      </c>
      <c r="F2286" s="4" t="s">
        <v>25</v>
      </c>
      <c r="G2286" s="4" t="s">
        <v>25</v>
      </c>
      <c r="H2286" s="4" t="s">
        <v>25</v>
      </c>
      <c r="I2286" s="5">
        <v>44136</v>
      </c>
      <c r="J2286" s="6">
        <v>0</v>
      </c>
      <c r="K2286" s="6">
        <v>0</v>
      </c>
      <c r="L2286" s="6">
        <v>12652.328</v>
      </c>
      <c r="M2286" s="6">
        <v>12652.328</v>
      </c>
      <c r="N2286" s="6">
        <v>12652.328</v>
      </c>
      <c r="O2286" s="6">
        <v>12652.328</v>
      </c>
      <c r="P2286" s="6">
        <v>25054</v>
      </c>
      <c r="Q2286" s="4" t="s">
        <v>26</v>
      </c>
      <c r="R2286" s="4">
        <v>0</v>
      </c>
      <c r="S2286" s="4" t="s">
        <v>384</v>
      </c>
      <c r="T2286" s="4" t="s">
        <v>621</v>
      </c>
      <c r="U2286" s="4">
        <v>0</v>
      </c>
      <c r="V2286" s="4">
        <v>72</v>
      </c>
      <c r="W2286" s="4">
        <v>78</v>
      </c>
    </row>
    <row r="2287" spans="1:23" ht="11.25" customHeight="1" x14ac:dyDescent="0.25">
      <c r="A2287" s="4" t="s">
        <v>29</v>
      </c>
      <c r="B2287" s="4" t="s">
        <v>41</v>
      </c>
      <c r="C2287" s="4" t="s">
        <v>23</v>
      </c>
      <c r="D2287" s="4" t="s">
        <v>45</v>
      </c>
      <c r="E2287" s="4" t="s">
        <v>25</v>
      </c>
      <c r="F2287" s="4" t="s">
        <v>25</v>
      </c>
      <c r="G2287" s="4" t="s">
        <v>25</v>
      </c>
      <c r="H2287" s="4" t="s">
        <v>25</v>
      </c>
      <c r="I2287" s="5">
        <v>44136</v>
      </c>
      <c r="J2287" s="6">
        <v>0</v>
      </c>
      <c r="K2287" s="6">
        <v>0</v>
      </c>
      <c r="L2287" s="6">
        <v>-28.741</v>
      </c>
      <c r="M2287" s="6">
        <v>-28.741</v>
      </c>
      <c r="N2287" s="6">
        <v>-28.741</v>
      </c>
      <c r="O2287" s="6">
        <v>-28.741</v>
      </c>
      <c r="P2287" s="6">
        <v>-9</v>
      </c>
      <c r="Q2287" s="4" t="s">
        <v>26</v>
      </c>
      <c r="R2287" s="4">
        <v>0</v>
      </c>
      <c r="S2287" s="4" t="s">
        <v>384</v>
      </c>
      <c r="T2287" s="4" t="s">
        <v>621</v>
      </c>
      <c r="U2287" s="4">
        <v>0</v>
      </c>
      <c r="V2287" s="4">
        <v>72</v>
      </c>
      <c r="W2287" s="4">
        <v>78</v>
      </c>
    </row>
    <row r="2288" spans="1:23" ht="11.25" customHeight="1" x14ac:dyDescent="0.25">
      <c r="A2288" s="4" t="s">
        <v>30</v>
      </c>
      <c r="B2288" s="4" t="s">
        <v>41</v>
      </c>
      <c r="C2288" s="4" t="s">
        <v>23</v>
      </c>
      <c r="D2288" s="4" t="s">
        <v>45</v>
      </c>
      <c r="E2288" s="4" t="s">
        <v>25</v>
      </c>
      <c r="F2288" s="4" t="s">
        <v>25</v>
      </c>
      <c r="G2288" s="4" t="s">
        <v>25</v>
      </c>
      <c r="H2288" s="4" t="s">
        <v>25</v>
      </c>
      <c r="I2288" s="5">
        <v>44136</v>
      </c>
      <c r="J2288" s="6">
        <v>0</v>
      </c>
      <c r="K2288" s="6">
        <v>0</v>
      </c>
      <c r="L2288" s="6">
        <v>683.14400000000001</v>
      </c>
      <c r="M2288" s="6">
        <v>683.14400000000001</v>
      </c>
      <c r="N2288" s="6">
        <v>683.14400000000001</v>
      </c>
      <c r="O2288" s="6">
        <v>683.14400000000001</v>
      </c>
      <c r="P2288" s="6">
        <v>248</v>
      </c>
      <c r="Q2288" s="4" t="s">
        <v>26</v>
      </c>
      <c r="R2288" s="4">
        <v>0</v>
      </c>
      <c r="S2288" s="4" t="s">
        <v>384</v>
      </c>
      <c r="T2288" s="4" t="s">
        <v>621</v>
      </c>
      <c r="U2288" s="4">
        <v>0</v>
      </c>
      <c r="V2288" s="4">
        <v>72</v>
      </c>
      <c r="W2288" s="4">
        <v>78</v>
      </c>
    </row>
    <row r="2289" spans="1:23" ht="11.25" customHeight="1" x14ac:dyDescent="0.25">
      <c r="A2289" s="4" t="s">
        <v>30</v>
      </c>
      <c r="B2289" s="4" t="s">
        <v>41</v>
      </c>
      <c r="C2289" s="4" t="s">
        <v>23</v>
      </c>
      <c r="D2289" s="4" t="s">
        <v>45</v>
      </c>
      <c r="E2289" s="4" t="s">
        <v>25</v>
      </c>
      <c r="F2289" s="4" t="s">
        <v>25</v>
      </c>
      <c r="G2289" s="4" t="s">
        <v>25</v>
      </c>
      <c r="H2289" s="4" t="s">
        <v>25</v>
      </c>
      <c r="I2289" s="5">
        <v>44136</v>
      </c>
      <c r="J2289" s="6">
        <v>0</v>
      </c>
      <c r="K2289" s="6">
        <v>0</v>
      </c>
      <c r="L2289" s="6">
        <v>-5.0730000000000004</v>
      </c>
      <c r="M2289" s="6">
        <v>-5.0730000000000004</v>
      </c>
      <c r="N2289" s="6">
        <v>-5.0730000000000004</v>
      </c>
      <c r="O2289" s="6">
        <v>-5.0730000000000004</v>
      </c>
      <c r="P2289" s="6">
        <v>-2</v>
      </c>
      <c r="Q2289" s="4" t="s">
        <v>26</v>
      </c>
      <c r="R2289" s="4">
        <v>0</v>
      </c>
      <c r="S2289" s="4" t="s">
        <v>384</v>
      </c>
      <c r="T2289" s="4" t="s">
        <v>621</v>
      </c>
      <c r="U2289" s="4">
        <v>0</v>
      </c>
      <c r="V2289" s="4">
        <v>72</v>
      </c>
      <c r="W2289" s="4">
        <v>78</v>
      </c>
    </row>
    <row r="2290" spans="1:23" ht="11.25" customHeight="1" x14ac:dyDescent="0.25">
      <c r="A2290" s="4" t="s">
        <v>21</v>
      </c>
      <c r="B2290" s="4" t="s">
        <v>41</v>
      </c>
      <c r="C2290" s="4" t="s">
        <v>23</v>
      </c>
      <c r="D2290" s="4" t="s">
        <v>45</v>
      </c>
      <c r="E2290" s="4" t="s">
        <v>25</v>
      </c>
      <c r="F2290" s="4" t="s">
        <v>25</v>
      </c>
      <c r="G2290" s="4" t="s">
        <v>25</v>
      </c>
      <c r="H2290" s="4" t="s">
        <v>25</v>
      </c>
      <c r="I2290" s="5">
        <v>44166</v>
      </c>
      <c r="J2290" s="6">
        <v>0</v>
      </c>
      <c r="K2290" s="6">
        <v>0</v>
      </c>
      <c r="L2290" s="6">
        <v>38834.023000000001</v>
      </c>
      <c r="M2290" s="6">
        <v>38834.023000000001</v>
      </c>
      <c r="N2290" s="6">
        <v>38834.023000000001</v>
      </c>
      <c r="O2290" s="6">
        <v>38834.023000000001</v>
      </c>
      <c r="P2290" s="6">
        <v>53952</v>
      </c>
      <c r="Q2290" s="4" t="s">
        <v>26</v>
      </c>
      <c r="R2290" s="4">
        <v>0</v>
      </c>
      <c r="S2290" s="4" t="s">
        <v>385</v>
      </c>
      <c r="T2290" s="4" t="s">
        <v>622</v>
      </c>
      <c r="U2290" s="4">
        <v>0</v>
      </c>
      <c r="V2290" s="4">
        <v>72</v>
      </c>
      <c r="W2290" s="4">
        <v>78</v>
      </c>
    </row>
    <row r="2291" spans="1:23" ht="11.25" customHeight="1" x14ac:dyDescent="0.25">
      <c r="A2291" s="4" t="s">
        <v>27</v>
      </c>
      <c r="B2291" s="4" t="s">
        <v>41</v>
      </c>
      <c r="C2291" s="4" t="s">
        <v>23</v>
      </c>
      <c r="D2291" s="4" t="s">
        <v>45</v>
      </c>
      <c r="E2291" s="4" t="s">
        <v>25</v>
      </c>
      <c r="F2291" s="4" t="s">
        <v>25</v>
      </c>
      <c r="G2291" s="4" t="s">
        <v>25</v>
      </c>
      <c r="H2291" s="4" t="s">
        <v>25</v>
      </c>
      <c r="I2291" s="5">
        <v>44166</v>
      </c>
      <c r="J2291" s="6">
        <v>0</v>
      </c>
      <c r="K2291" s="6">
        <v>0</v>
      </c>
      <c r="L2291" s="6">
        <v>-1802.249</v>
      </c>
      <c r="M2291" s="6">
        <v>-1802.249</v>
      </c>
      <c r="N2291" s="6">
        <v>-1802.249</v>
      </c>
      <c r="O2291" s="6">
        <v>-1802.249</v>
      </c>
      <c r="P2291" s="6">
        <v>0</v>
      </c>
      <c r="Q2291" s="4" t="s">
        <v>26</v>
      </c>
      <c r="R2291" s="4">
        <v>0</v>
      </c>
      <c r="S2291" s="4" t="s">
        <v>385</v>
      </c>
      <c r="T2291" s="4" t="s">
        <v>622</v>
      </c>
      <c r="U2291" s="4">
        <v>0</v>
      </c>
      <c r="V2291" s="4">
        <v>72</v>
      </c>
      <c r="W2291" s="4">
        <v>78</v>
      </c>
    </row>
    <row r="2292" spans="1:23" ht="11.25" customHeight="1" x14ac:dyDescent="0.25">
      <c r="A2292" s="4" t="s">
        <v>28</v>
      </c>
      <c r="B2292" s="4" t="s">
        <v>41</v>
      </c>
      <c r="C2292" s="4" t="s">
        <v>23</v>
      </c>
      <c r="D2292" s="4" t="s">
        <v>45</v>
      </c>
      <c r="E2292" s="4" t="s">
        <v>25</v>
      </c>
      <c r="F2292" s="4" t="s">
        <v>25</v>
      </c>
      <c r="G2292" s="4" t="s">
        <v>25</v>
      </c>
      <c r="H2292" s="4" t="s">
        <v>25</v>
      </c>
      <c r="I2292" s="5">
        <v>44166</v>
      </c>
      <c r="J2292" s="6">
        <v>0</v>
      </c>
      <c r="K2292" s="6">
        <v>0</v>
      </c>
      <c r="L2292" s="6">
        <v>12286.813</v>
      </c>
      <c r="M2292" s="6">
        <v>12286.813</v>
      </c>
      <c r="N2292" s="6">
        <v>12286.813</v>
      </c>
      <c r="O2292" s="6">
        <v>12286.813</v>
      </c>
      <c r="P2292" s="6">
        <v>24925</v>
      </c>
      <c r="Q2292" s="4" t="s">
        <v>26</v>
      </c>
      <c r="R2292" s="4">
        <v>0</v>
      </c>
      <c r="S2292" s="4" t="s">
        <v>385</v>
      </c>
      <c r="T2292" s="4" t="s">
        <v>622</v>
      </c>
      <c r="U2292" s="4">
        <v>0</v>
      </c>
      <c r="V2292" s="4">
        <v>72</v>
      </c>
      <c r="W2292" s="4">
        <v>78</v>
      </c>
    </row>
    <row r="2293" spans="1:23" ht="11.25" customHeight="1" x14ac:dyDescent="0.25">
      <c r="A2293" s="4" t="s">
        <v>29</v>
      </c>
      <c r="B2293" s="4" t="s">
        <v>41</v>
      </c>
      <c r="C2293" s="4" t="s">
        <v>23</v>
      </c>
      <c r="D2293" s="4" t="s">
        <v>45</v>
      </c>
      <c r="E2293" s="4" t="s">
        <v>25</v>
      </c>
      <c r="F2293" s="4" t="s">
        <v>25</v>
      </c>
      <c r="G2293" s="4" t="s">
        <v>25</v>
      </c>
      <c r="H2293" s="4" t="s">
        <v>25</v>
      </c>
      <c r="I2293" s="5">
        <v>44166</v>
      </c>
      <c r="J2293" s="6">
        <v>0</v>
      </c>
      <c r="K2293" s="6">
        <v>0</v>
      </c>
      <c r="L2293" s="6">
        <v>-123.036</v>
      </c>
      <c r="M2293" s="6">
        <v>-123.036</v>
      </c>
      <c r="N2293" s="6">
        <v>-123.036</v>
      </c>
      <c r="O2293" s="6">
        <v>-123.036</v>
      </c>
      <c r="P2293" s="6">
        <v>0</v>
      </c>
      <c r="Q2293" s="4" t="s">
        <v>26</v>
      </c>
      <c r="R2293" s="4">
        <v>0</v>
      </c>
      <c r="S2293" s="4" t="s">
        <v>385</v>
      </c>
      <c r="T2293" s="4" t="s">
        <v>622</v>
      </c>
      <c r="U2293" s="4">
        <v>0</v>
      </c>
      <c r="V2293" s="4">
        <v>72</v>
      </c>
      <c r="W2293" s="4">
        <v>78</v>
      </c>
    </row>
    <row r="2294" spans="1:23" ht="11.25" customHeight="1" x14ac:dyDescent="0.25">
      <c r="A2294" s="4" t="s">
        <v>30</v>
      </c>
      <c r="B2294" s="4" t="s">
        <v>41</v>
      </c>
      <c r="C2294" s="4" t="s">
        <v>23</v>
      </c>
      <c r="D2294" s="4" t="s">
        <v>45</v>
      </c>
      <c r="E2294" s="4" t="s">
        <v>25</v>
      </c>
      <c r="F2294" s="4" t="s">
        <v>25</v>
      </c>
      <c r="G2294" s="4" t="s">
        <v>25</v>
      </c>
      <c r="H2294" s="4" t="s">
        <v>25</v>
      </c>
      <c r="I2294" s="5">
        <v>44166</v>
      </c>
      <c r="J2294" s="6">
        <v>0</v>
      </c>
      <c r="K2294" s="6">
        <v>0</v>
      </c>
      <c r="L2294" s="6">
        <v>756.95600000000002</v>
      </c>
      <c r="M2294" s="6">
        <v>756.95600000000002</v>
      </c>
      <c r="N2294" s="6">
        <v>756.95600000000002</v>
      </c>
      <c r="O2294" s="6">
        <v>756.95600000000002</v>
      </c>
      <c r="P2294" s="6">
        <v>282</v>
      </c>
      <c r="Q2294" s="4" t="s">
        <v>26</v>
      </c>
      <c r="R2294" s="4">
        <v>0</v>
      </c>
      <c r="S2294" s="4" t="s">
        <v>385</v>
      </c>
      <c r="T2294" s="4" t="s">
        <v>622</v>
      </c>
      <c r="U2294" s="4">
        <v>0</v>
      </c>
      <c r="V2294" s="4">
        <v>72</v>
      </c>
      <c r="W2294" s="4">
        <v>78</v>
      </c>
    </row>
    <row r="2295" spans="1:23" ht="11.25" customHeight="1" x14ac:dyDescent="0.25">
      <c r="A2295" s="4" t="s">
        <v>30</v>
      </c>
      <c r="B2295" s="4" t="s">
        <v>41</v>
      </c>
      <c r="C2295" s="4" t="s">
        <v>23</v>
      </c>
      <c r="D2295" s="4" t="s">
        <v>45</v>
      </c>
      <c r="E2295" s="4" t="s">
        <v>25</v>
      </c>
      <c r="F2295" s="4" t="s">
        <v>25</v>
      </c>
      <c r="G2295" s="4" t="s">
        <v>25</v>
      </c>
      <c r="H2295" s="4" t="s">
        <v>25</v>
      </c>
      <c r="I2295" s="5">
        <v>44166</v>
      </c>
      <c r="J2295" s="6">
        <v>0</v>
      </c>
      <c r="K2295" s="6">
        <v>0</v>
      </c>
      <c r="L2295" s="6">
        <v>1.9990000000000001</v>
      </c>
      <c r="M2295" s="6">
        <v>1.9990000000000001</v>
      </c>
      <c r="N2295" s="6">
        <v>1.9990000000000001</v>
      </c>
      <c r="O2295" s="6">
        <v>1.9990000000000001</v>
      </c>
      <c r="P2295" s="6">
        <v>0</v>
      </c>
      <c r="Q2295" s="4" t="s">
        <v>26</v>
      </c>
      <c r="R2295" s="4">
        <v>0</v>
      </c>
      <c r="S2295" s="4" t="s">
        <v>385</v>
      </c>
      <c r="T2295" s="4" t="s">
        <v>622</v>
      </c>
      <c r="U2295" s="4">
        <v>0</v>
      </c>
      <c r="V2295" s="4">
        <v>72</v>
      </c>
      <c r="W2295" s="4">
        <v>78</v>
      </c>
    </row>
    <row r="2296" spans="1:23" ht="11.25" customHeight="1" x14ac:dyDescent="0.25">
      <c r="A2296" s="4" t="s">
        <v>21</v>
      </c>
      <c r="B2296" s="4" t="s">
        <v>41</v>
      </c>
      <c r="C2296" s="4" t="s">
        <v>23</v>
      </c>
      <c r="D2296" s="4" t="s">
        <v>45</v>
      </c>
      <c r="E2296" s="4" t="s">
        <v>25</v>
      </c>
      <c r="F2296" s="4" t="s">
        <v>25</v>
      </c>
      <c r="G2296" s="4" t="s">
        <v>25</v>
      </c>
      <c r="H2296" s="4" t="s">
        <v>25</v>
      </c>
      <c r="I2296" s="5">
        <v>44197</v>
      </c>
      <c r="J2296" s="6">
        <v>0</v>
      </c>
      <c r="K2296" s="6">
        <v>0</v>
      </c>
      <c r="L2296" s="6">
        <v>33735.730000000003</v>
      </c>
      <c r="M2296" s="6">
        <v>33735.730000000003</v>
      </c>
      <c r="N2296" s="6">
        <v>33735.730000000003</v>
      </c>
      <c r="O2296" s="6">
        <v>33735.730000000003</v>
      </c>
      <c r="P2296" s="6">
        <v>53970</v>
      </c>
      <c r="Q2296" s="4" t="s">
        <v>26</v>
      </c>
      <c r="R2296" s="4">
        <v>0</v>
      </c>
      <c r="S2296" s="4" t="s">
        <v>386</v>
      </c>
      <c r="T2296" s="4" t="s">
        <v>623</v>
      </c>
      <c r="U2296" s="4">
        <v>0</v>
      </c>
      <c r="V2296" s="4">
        <v>72</v>
      </c>
      <c r="W2296" s="4">
        <v>78</v>
      </c>
    </row>
    <row r="2297" spans="1:23" ht="11.25" customHeight="1" x14ac:dyDescent="0.25">
      <c r="A2297" s="4" t="s">
        <v>27</v>
      </c>
      <c r="B2297" s="4" t="s">
        <v>41</v>
      </c>
      <c r="C2297" s="4" t="s">
        <v>23</v>
      </c>
      <c r="D2297" s="4" t="s">
        <v>45</v>
      </c>
      <c r="E2297" s="4" t="s">
        <v>25</v>
      </c>
      <c r="F2297" s="4" t="s">
        <v>25</v>
      </c>
      <c r="G2297" s="4" t="s">
        <v>25</v>
      </c>
      <c r="H2297" s="4" t="s">
        <v>25</v>
      </c>
      <c r="I2297" s="5">
        <v>44197</v>
      </c>
      <c r="J2297" s="6">
        <v>0</v>
      </c>
      <c r="K2297" s="6">
        <v>0</v>
      </c>
      <c r="L2297" s="6">
        <v>-1044.953</v>
      </c>
      <c r="M2297" s="6">
        <v>-1044.953</v>
      </c>
      <c r="N2297" s="6">
        <v>-1044.953</v>
      </c>
      <c r="O2297" s="6">
        <v>-1044.953</v>
      </c>
      <c r="P2297" s="6">
        <v>0</v>
      </c>
      <c r="Q2297" s="4" t="s">
        <v>26</v>
      </c>
      <c r="R2297" s="4">
        <v>0</v>
      </c>
      <c r="S2297" s="4" t="s">
        <v>386</v>
      </c>
      <c r="T2297" s="4" t="s">
        <v>623</v>
      </c>
      <c r="U2297" s="4">
        <v>0</v>
      </c>
      <c r="V2297" s="4">
        <v>72</v>
      </c>
      <c r="W2297" s="4">
        <v>78</v>
      </c>
    </row>
    <row r="2298" spans="1:23" ht="11.25" customHeight="1" x14ac:dyDescent="0.25">
      <c r="A2298" s="4" t="s">
        <v>28</v>
      </c>
      <c r="B2298" s="4" t="s">
        <v>41</v>
      </c>
      <c r="C2298" s="4" t="s">
        <v>23</v>
      </c>
      <c r="D2298" s="4" t="s">
        <v>45</v>
      </c>
      <c r="E2298" s="4" t="s">
        <v>25</v>
      </c>
      <c r="F2298" s="4" t="s">
        <v>25</v>
      </c>
      <c r="G2298" s="4" t="s">
        <v>25</v>
      </c>
      <c r="H2298" s="4" t="s">
        <v>25</v>
      </c>
      <c r="I2298" s="5">
        <v>44197</v>
      </c>
      <c r="J2298" s="6">
        <v>0</v>
      </c>
      <c r="K2298" s="6">
        <v>0</v>
      </c>
      <c r="L2298" s="6">
        <v>11031.147999999999</v>
      </c>
      <c r="M2298" s="6">
        <v>11031.147999999999</v>
      </c>
      <c r="N2298" s="6">
        <v>11031.147999999999</v>
      </c>
      <c r="O2298" s="6">
        <v>11031.147999999999</v>
      </c>
      <c r="P2298" s="6">
        <v>24981</v>
      </c>
      <c r="Q2298" s="4" t="s">
        <v>26</v>
      </c>
      <c r="R2298" s="4">
        <v>0</v>
      </c>
      <c r="S2298" s="4" t="s">
        <v>386</v>
      </c>
      <c r="T2298" s="4" t="s">
        <v>623</v>
      </c>
      <c r="U2298" s="4">
        <v>0</v>
      </c>
      <c r="V2298" s="4">
        <v>72</v>
      </c>
      <c r="W2298" s="4">
        <v>78</v>
      </c>
    </row>
    <row r="2299" spans="1:23" ht="11.25" customHeight="1" x14ac:dyDescent="0.25">
      <c r="A2299" s="4" t="s">
        <v>29</v>
      </c>
      <c r="B2299" s="4" t="s">
        <v>41</v>
      </c>
      <c r="C2299" s="4" t="s">
        <v>23</v>
      </c>
      <c r="D2299" s="4" t="s">
        <v>45</v>
      </c>
      <c r="E2299" s="4" t="s">
        <v>25</v>
      </c>
      <c r="F2299" s="4" t="s">
        <v>25</v>
      </c>
      <c r="G2299" s="4" t="s">
        <v>25</v>
      </c>
      <c r="H2299" s="4" t="s">
        <v>25</v>
      </c>
      <c r="I2299" s="5">
        <v>44197</v>
      </c>
      <c r="J2299" s="6">
        <v>0</v>
      </c>
      <c r="K2299" s="6">
        <v>0</v>
      </c>
      <c r="L2299" s="6">
        <v>-70.558999999999997</v>
      </c>
      <c r="M2299" s="6">
        <v>-70.558999999999997</v>
      </c>
      <c r="N2299" s="6">
        <v>-70.558999999999997</v>
      </c>
      <c r="O2299" s="6">
        <v>-70.558999999999997</v>
      </c>
      <c r="P2299" s="6">
        <v>0</v>
      </c>
      <c r="Q2299" s="4" t="s">
        <v>26</v>
      </c>
      <c r="R2299" s="4">
        <v>0</v>
      </c>
      <c r="S2299" s="4" t="s">
        <v>386</v>
      </c>
      <c r="T2299" s="4" t="s">
        <v>623</v>
      </c>
      <c r="U2299" s="4">
        <v>0</v>
      </c>
      <c r="V2299" s="4">
        <v>72</v>
      </c>
      <c r="W2299" s="4">
        <v>78</v>
      </c>
    </row>
    <row r="2300" spans="1:23" ht="11.25" customHeight="1" x14ac:dyDescent="0.25">
      <c r="A2300" s="4" t="s">
        <v>30</v>
      </c>
      <c r="B2300" s="4" t="s">
        <v>41</v>
      </c>
      <c r="C2300" s="4" t="s">
        <v>23</v>
      </c>
      <c r="D2300" s="4" t="s">
        <v>45</v>
      </c>
      <c r="E2300" s="4" t="s">
        <v>25</v>
      </c>
      <c r="F2300" s="4" t="s">
        <v>25</v>
      </c>
      <c r="G2300" s="4" t="s">
        <v>25</v>
      </c>
      <c r="H2300" s="4" t="s">
        <v>25</v>
      </c>
      <c r="I2300" s="5">
        <v>44197</v>
      </c>
      <c r="J2300" s="6">
        <v>0</v>
      </c>
      <c r="K2300" s="6">
        <v>0</v>
      </c>
      <c r="L2300" s="6">
        <v>694.69200000000001</v>
      </c>
      <c r="M2300" s="6">
        <v>694.69200000000001</v>
      </c>
      <c r="N2300" s="6">
        <v>694.69200000000001</v>
      </c>
      <c r="O2300" s="6">
        <v>694.69200000000001</v>
      </c>
      <c r="P2300" s="6">
        <v>302</v>
      </c>
      <c r="Q2300" s="4" t="s">
        <v>26</v>
      </c>
      <c r="R2300" s="4">
        <v>0</v>
      </c>
      <c r="S2300" s="4" t="s">
        <v>386</v>
      </c>
      <c r="T2300" s="4" t="s">
        <v>623</v>
      </c>
      <c r="U2300" s="4">
        <v>0</v>
      </c>
      <c r="V2300" s="4">
        <v>72</v>
      </c>
      <c r="W2300" s="4">
        <v>78</v>
      </c>
    </row>
    <row r="2301" spans="1:23" ht="11.25" customHeight="1" x14ac:dyDescent="0.25">
      <c r="A2301" s="4" t="s">
        <v>30</v>
      </c>
      <c r="B2301" s="4" t="s">
        <v>41</v>
      </c>
      <c r="C2301" s="4" t="s">
        <v>23</v>
      </c>
      <c r="D2301" s="4" t="s">
        <v>45</v>
      </c>
      <c r="E2301" s="4" t="s">
        <v>25</v>
      </c>
      <c r="F2301" s="4" t="s">
        <v>25</v>
      </c>
      <c r="G2301" s="4" t="s">
        <v>25</v>
      </c>
      <c r="H2301" s="4" t="s">
        <v>25</v>
      </c>
      <c r="I2301" s="5">
        <v>44197</v>
      </c>
      <c r="J2301" s="6">
        <v>0</v>
      </c>
      <c r="K2301" s="6">
        <v>0</v>
      </c>
      <c r="L2301" s="6">
        <v>-1.6970000000000001</v>
      </c>
      <c r="M2301" s="6">
        <v>-1.6970000000000001</v>
      </c>
      <c r="N2301" s="6">
        <v>-1.6970000000000001</v>
      </c>
      <c r="O2301" s="6">
        <v>-1.6970000000000001</v>
      </c>
      <c r="P2301" s="6">
        <v>0</v>
      </c>
      <c r="Q2301" s="4" t="s">
        <v>26</v>
      </c>
      <c r="R2301" s="4">
        <v>0</v>
      </c>
      <c r="S2301" s="4" t="s">
        <v>386</v>
      </c>
      <c r="T2301" s="4" t="s">
        <v>623</v>
      </c>
      <c r="U2301" s="4">
        <v>0</v>
      </c>
      <c r="V2301" s="4">
        <v>72</v>
      </c>
      <c r="W2301" s="4">
        <v>78</v>
      </c>
    </row>
    <row r="2302" spans="1:23" ht="11.25" customHeight="1" x14ac:dyDescent="0.25">
      <c r="A2302" s="4" t="s">
        <v>21</v>
      </c>
      <c r="B2302" s="4" t="s">
        <v>41</v>
      </c>
      <c r="C2302" s="4" t="s">
        <v>23</v>
      </c>
      <c r="D2302" s="4" t="s">
        <v>45</v>
      </c>
      <c r="E2302" s="4" t="s">
        <v>25</v>
      </c>
      <c r="F2302" s="4" t="s">
        <v>25</v>
      </c>
      <c r="G2302" s="4" t="s">
        <v>25</v>
      </c>
      <c r="H2302" s="4" t="s">
        <v>25</v>
      </c>
      <c r="I2302" s="5">
        <v>44228</v>
      </c>
      <c r="J2302" s="6">
        <v>0</v>
      </c>
      <c r="K2302" s="6">
        <v>0</v>
      </c>
      <c r="L2302" s="6">
        <v>27326.363000000001</v>
      </c>
      <c r="M2302" s="6">
        <v>27326.363000000001</v>
      </c>
      <c r="N2302" s="6">
        <v>27326.363000000001</v>
      </c>
      <c r="O2302" s="6">
        <v>27326.363000000001</v>
      </c>
      <c r="P2302" s="6">
        <v>53924</v>
      </c>
      <c r="Q2302" s="4" t="s">
        <v>26</v>
      </c>
      <c r="R2302" s="4">
        <v>0</v>
      </c>
      <c r="S2302" s="4" t="s">
        <v>387</v>
      </c>
      <c r="T2302" s="4" t="s">
        <v>624</v>
      </c>
      <c r="U2302" s="4">
        <v>0</v>
      </c>
      <c r="V2302" s="4">
        <v>72</v>
      </c>
      <c r="W2302" s="4">
        <v>78</v>
      </c>
    </row>
    <row r="2303" spans="1:23" ht="11.25" customHeight="1" x14ac:dyDescent="0.25">
      <c r="A2303" s="4" t="s">
        <v>27</v>
      </c>
      <c r="B2303" s="4" t="s">
        <v>41</v>
      </c>
      <c r="C2303" s="4" t="s">
        <v>23</v>
      </c>
      <c r="D2303" s="4" t="s">
        <v>45</v>
      </c>
      <c r="E2303" s="4" t="s">
        <v>25</v>
      </c>
      <c r="F2303" s="4" t="s">
        <v>25</v>
      </c>
      <c r="G2303" s="4" t="s">
        <v>25</v>
      </c>
      <c r="H2303" s="4" t="s">
        <v>25</v>
      </c>
      <c r="I2303" s="5">
        <v>44228</v>
      </c>
      <c r="J2303" s="6">
        <v>0</v>
      </c>
      <c r="K2303" s="6">
        <v>0</v>
      </c>
      <c r="L2303" s="6">
        <v>-1482.4949999999999</v>
      </c>
      <c r="M2303" s="6">
        <v>-1482.4949999999999</v>
      </c>
      <c r="N2303" s="6">
        <v>-1482.4949999999999</v>
      </c>
      <c r="O2303" s="6">
        <v>-1482.4949999999999</v>
      </c>
      <c r="P2303" s="6">
        <v>0</v>
      </c>
      <c r="Q2303" s="4" t="s">
        <v>26</v>
      </c>
      <c r="R2303" s="4">
        <v>0</v>
      </c>
      <c r="S2303" s="4" t="s">
        <v>387</v>
      </c>
      <c r="T2303" s="4" t="s">
        <v>624</v>
      </c>
      <c r="U2303" s="4">
        <v>0</v>
      </c>
      <c r="V2303" s="4">
        <v>72</v>
      </c>
      <c r="W2303" s="4">
        <v>78</v>
      </c>
    </row>
    <row r="2304" spans="1:23" ht="11.25" customHeight="1" x14ac:dyDescent="0.25">
      <c r="A2304" s="4" t="s">
        <v>28</v>
      </c>
      <c r="B2304" s="4" t="s">
        <v>41</v>
      </c>
      <c r="C2304" s="4" t="s">
        <v>23</v>
      </c>
      <c r="D2304" s="4" t="s">
        <v>45</v>
      </c>
      <c r="E2304" s="4" t="s">
        <v>25</v>
      </c>
      <c r="F2304" s="4" t="s">
        <v>25</v>
      </c>
      <c r="G2304" s="4" t="s">
        <v>25</v>
      </c>
      <c r="H2304" s="4" t="s">
        <v>25</v>
      </c>
      <c r="I2304" s="5">
        <v>44228</v>
      </c>
      <c r="J2304" s="6">
        <v>0</v>
      </c>
      <c r="K2304" s="6">
        <v>0</v>
      </c>
      <c r="L2304" s="6">
        <v>10048.507</v>
      </c>
      <c r="M2304" s="6">
        <v>10048.507</v>
      </c>
      <c r="N2304" s="6">
        <v>10048.507</v>
      </c>
      <c r="O2304" s="6">
        <v>10048.507</v>
      </c>
      <c r="P2304" s="6">
        <v>24980</v>
      </c>
      <c r="Q2304" s="4" t="s">
        <v>26</v>
      </c>
      <c r="R2304" s="4">
        <v>0</v>
      </c>
      <c r="S2304" s="4" t="s">
        <v>387</v>
      </c>
      <c r="T2304" s="4" t="s">
        <v>624</v>
      </c>
      <c r="U2304" s="4">
        <v>0</v>
      </c>
      <c r="V2304" s="4">
        <v>72</v>
      </c>
      <c r="W2304" s="4">
        <v>78</v>
      </c>
    </row>
    <row r="2305" spans="1:23" ht="11.25" customHeight="1" x14ac:dyDescent="0.25">
      <c r="A2305" s="4" t="s">
        <v>29</v>
      </c>
      <c r="B2305" s="4" t="s">
        <v>41</v>
      </c>
      <c r="C2305" s="4" t="s">
        <v>23</v>
      </c>
      <c r="D2305" s="4" t="s">
        <v>45</v>
      </c>
      <c r="E2305" s="4" t="s">
        <v>25</v>
      </c>
      <c r="F2305" s="4" t="s">
        <v>25</v>
      </c>
      <c r="G2305" s="4" t="s">
        <v>25</v>
      </c>
      <c r="H2305" s="4" t="s">
        <v>25</v>
      </c>
      <c r="I2305" s="5">
        <v>44228</v>
      </c>
      <c r="J2305" s="6">
        <v>0</v>
      </c>
      <c r="K2305" s="6">
        <v>0</v>
      </c>
      <c r="L2305" s="6">
        <v>-192.215</v>
      </c>
      <c r="M2305" s="6">
        <v>-192.215</v>
      </c>
      <c r="N2305" s="6">
        <v>-192.215</v>
      </c>
      <c r="O2305" s="6">
        <v>-192.215</v>
      </c>
      <c r="P2305" s="6">
        <v>0</v>
      </c>
      <c r="Q2305" s="4" t="s">
        <v>26</v>
      </c>
      <c r="R2305" s="4">
        <v>0</v>
      </c>
      <c r="S2305" s="4" t="s">
        <v>387</v>
      </c>
      <c r="T2305" s="4" t="s">
        <v>624</v>
      </c>
      <c r="U2305" s="4">
        <v>0</v>
      </c>
      <c r="V2305" s="4">
        <v>72</v>
      </c>
      <c r="W2305" s="4">
        <v>78</v>
      </c>
    </row>
    <row r="2306" spans="1:23" ht="11.25" customHeight="1" x14ac:dyDescent="0.25">
      <c r="A2306" s="4" t="s">
        <v>30</v>
      </c>
      <c r="B2306" s="4" t="s">
        <v>41</v>
      </c>
      <c r="C2306" s="4" t="s">
        <v>23</v>
      </c>
      <c r="D2306" s="4" t="s">
        <v>45</v>
      </c>
      <c r="E2306" s="4" t="s">
        <v>25</v>
      </c>
      <c r="F2306" s="4" t="s">
        <v>25</v>
      </c>
      <c r="G2306" s="4" t="s">
        <v>25</v>
      </c>
      <c r="H2306" s="4" t="s">
        <v>25</v>
      </c>
      <c r="I2306" s="5">
        <v>44228</v>
      </c>
      <c r="J2306" s="6">
        <v>0</v>
      </c>
      <c r="K2306" s="6">
        <v>0</v>
      </c>
      <c r="L2306" s="6">
        <v>624.18100000000004</v>
      </c>
      <c r="M2306" s="6">
        <v>624.18100000000004</v>
      </c>
      <c r="N2306" s="6">
        <v>624.18100000000004</v>
      </c>
      <c r="O2306" s="6">
        <v>624.18100000000004</v>
      </c>
      <c r="P2306" s="6">
        <v>321</v>
      </c>
      <c r="Q2306" s="4" t="s">
        <v>26</v>
      </c>
      <c r="R2306" s="4">
        <v>0</v>
      </c>
      <c r="S2306" s="4" t="s">
        <v>387</v>
      </c>
      <c r="T2306" s="4" t="s">
        <v>624</v>
      </c>
      <c r="U2306" s="4">
        <v>0</v>
      </c>
      <c r="V2306" s="4">
        <v>72</v>
      </c>
      <c r="W2306" s="4">
        <v>78</v>
      </c>
    </row>
    <row r="2307" spans="1:23" ht="11.25" customHeight="1" x14ac:dyDescent="0.25">
      <c r="A2307" s="4" t="s">
        <v>21</v>
      </c>
      <c r="B2307" s="4" t="s">
        <v>41</v>
      </c>
      <c r="C2307" s="4" t="s">
        <v>23</v>
      </c>
      <c r="D2307" s="4" t="s">
        <v>45</v>
      </c>
      <c r="E2307" s="4" t="s">
        <v>25</v>
      </c>
      <c r="F2307" s="4" t="s">
        <v>25</v>
      </c>
      <c r="G2307" s="4" t="s">
        <v>25</v>
      </c>
      <c r="H2307" s="4" t="s">
        <v>25</v>
      </c>
      <c r="I2307" s="5">
        <v>44256</v>
      </c>
      <c r="J2307" s="6">
        <v>0</v>
      </c>
      <c r="K2307" s="6">
        <v>0</v>
      </c>
      <c r="L2307" s="6">
        <v>34194.228999999999</v>
      </c>
      <c r="M2307" s="6">
        <v>34194.228999999999</v>
      </c>
      <c r="N2307" s="6">
        <v>34194.228999999999</v>
      </c>
      <c r="O2307" s="6">
        <v>34194.228999999999</v>
      </c>
      <c r="P2307" s="6">
        <v>53891</v>
      </c>
      <c r="Q2307" s="4" t="s">
        <v>26</v>
      </c>
      <c r="R2307" s="4">
        <v>0</v>
      </c>
      <c r="S2307" s="4" t="s">
        <v>388</v>
      </c>
      <c r="T2307" s="4" t="s">
        <v>625</v>
      </c>
      <c r="U2307" s="4">
        <v>0</v>
      </c>
      <c r="V2307" s="4">
        <v>72</v>
      </c>
      <c r="W2307" s="4">
        <v>78</v>
      </c>
    </row>
    <row r="2308" spans="1:23" ht="11.25" customHeight="1" x14ac:dyDescent="0.25">
      <c r="A2308" s="4" t="s">
        <v>27</v>
      </c>
      <c r="B2308" s="4" t="s">
        <v>41</v>
      </c>
      <c r="C2308" s="4" t="s">
        <v>23</v>
      </c>
      <c r="D2308" s="4" t="s">
        <v>45</v>
      </c>
      <c r="E2308" s="4" t="s">
        <v>25</v>
      </c>
      <c r="F2308" s="4" t="s">
        <v>25</v>
      </c>
      <c r="G2308" s="4" t="s">
        <v>25</v>
      </c>
      <c r="H2308" s="4" t="s">
        <v>25</v>
      </c>
      <c r="I2308" s="5">
        <v>44256</v>
      </c>
      <c r="J2308" s="6">
        <v>0</v>
      </c>
      <c r="K2308" s="6">
        <v>0</v>
      </c>
      <c r="L2308" s="6">
        <v>-2095.9349999999999</v>
      </c>
      <c r="M2308" s="6">
        <v>-2095.9349999999999</v>
      </c>
      <c r="N2308" s="6">
        <v>-2095.9349999999999</v>
      </c>
      <c r="O2308" s="6">
        <v>-2095.9349999999999</v>
      </c>
      <c r="P2308" s="6">
        <v>0</v>
      </c>
      <c r="Q2308" s="4" t="s">
        <v>26</v>
      </c>
      <c r="R2308" s="4">
        <v>0</v>
      </c>
      <c r="S2308" s="4" t="s">
        <v>388</v>
      </c>
      <c r="T2308" s="4" t="s">
        <v>625</v>
      </c>
      <c r="U2308" s="4">
        <v>0</v>
      </c>
      <c r="V2308" s="4">
        <v>72</v>
      </c>
      <c r="W2308" s="4">
        <v>78</v>
      </c>
    </row>
    <row r="2309" spans="1:23" ht="11.25" customHeight="1" x14ac:dyDescent="0.25">
      <c r="A2309" s="4" t="s">
        <v>28</v>
      </c>
      <c r="B2309" s="4" t="s">
        <v>41</v>
      </c>
      <c r="C2309" s="4" t="s">
        <v>23</v>
      </c>
      <c r="D2309" s="4" t="s">
        <v>45</v>
      </c>
      <c r="E2309" s="4" t="s">
        <v>25</v>
      </c>
      <c r="F2309" s="4" t="s">
        <v>25</v>
      </c>
      <c r="G2309" s="4" t="s">
        <v>25</v>
      </c>
      <c r="H2309" s="4" t="s">
        <v>25</v>
      </c>
      <c r="I2309" s="5">
        <v>44256</v>
      </c>
      <c r="J2309" s="6">
        <v>0</v>
      </c>
      <c r="K2309" s="6">
        <v>0</v>
      </c>
      <c r="L2309" s="6">
        <v>10352.092000000001</v>
      </c>
      <c r="M2309" s="6">
        <v>10352.092000000001</v>
      </c>
      <c r="N2309" s="6">
        <v>10352.092000000001</v>
      </c>
      <c r="O2309" s="6">
        <v>10352.092000000001</v>
      </c>
      <c r="P2309" s="6">
        <v>24939</v>
      </c>
      <c r="Q2309" s="4" t="s">
        <v>26</v>
      </c>
      <c r="R2309" s="4">
        <v>0</v>
      </c>
      <c r="S2309" s="4" t="s">
        <v>388</v>
      </c>
      <c r="T2309" s="4" t="s">
        <v>625</v>
      </c>
      <c r="U2309" s="4">
        <v>0</v>
      </c>
      <c r="V2309" s="4">
        <v>72</v>
      </c>
      <c r="W2309" s="4">
        <v>78</v>
      </c>
    </row>
    <row r="2310" spans="1:23" ht="11.25" customHeight="1" x14ac:dyDescent="0.25">
      <c r="A2310" s="4" t="s">
        <v>29</v>
      </c>
      <c r="B2310" s="4" t="s">
        <v>41</v>
      </c>
      <c r="C2310" s="4" t="s">
        <v>23</v>
      </c>
      <c r="D2310" s="4" t="s">
        <v>45</v>
      </c>
      <c r="E2310" s="4" t="s">
        <v>25</v>
      </c>
      <c r="F2310" s="4" t="s">
        <v>25</v>
      </c>
      <c r="G2310" s="4" t="s">
        <v>25</v>
      </c>
      <c r="H2310" s="4" t="s">
        <v>25</v>
      </c>
      <c r="I2310" s="5">
        <v>44256</v>
      </c>
      <c r="J2310" s="6">
        <v>0</v>
      </c>
      <c r="K2310" s="6">
        <v>0</v>
      </c>
      <c r="L2310" s="6">
        <v>-697.44500000000005</v>
      </c>
      <c r="M2310" s="6">
        <v>-697.44500000000005</v>
      </c>
      <c r="N2310" s="6">
        <v>-697.44500000000005</v>
      </c>
      <c r="O2310" s="6">
        <v>-697.44500000000005</v>
      </c>
      <c r="P2310" s="6">
        <v>0</v>
      </c>
      <c r="Q2310" s="4" t="s">
        <v>26</v>
      </c>
      <c r="R2310" s="4">
        <v>0</v>
      </c>
      <c r="S2310" s="4" t="s">
        <v>388</v>
      </c>
      <c r="T2310" s="4" t="s">
        <v>625</v>
      </c>
      <c r="U2310" s="4">
        <v>0</v>
      </c>
      <c r="V2310" s="4">
        <v>72</v>
      </c>
      <c r="W2310" s="4">
        <v>78</v>
      </c>
    </row>
    <row r="2311" spans="1:23" ht="11.25" customHeight="1" x14ac:dyDescent="0.25">
      <c r="A2311" s="4" t="s">
        <v>30</v>
      </c>
      <c r="B2311" s="4" t="s">
        <v>41</v>
      </c>
      <c r="C2311" s="4" t="s">
        <v>23</v>
      </c>
      <c r="D2311" s="4" t="s">
        <v>45</v>
      </c>
      <c r="E2311" s="4" t="s">
        <v>25</v>
      </c>
      <c r="F2311" s="4" t="s">
        <v>25</v>
      </c>
      <c r="G2311" s="4" t="s">
        <v>25</v>
      </c>
      <c r="H2311" s="4" t="s">
        <v>25</v>
      </c>
      <c r="I2311" s="5">
        <v>44256</v>
      </c>
      <c r="J2311" s="6">
        <v>0</v>
      </c>
      <c r="K2311" s="6">
        <v>0</v>
      </c>
      <c r="L2311" s="6">
        <v>779.75199999999995</v>
      </c>
      <c r="M2311" s="6">
        <v>779.75199999999995</v>
      </c>
      <c r="N2311" s="6">
        <v>779.75199999999995</v>
      </c>
      <c r="O2311" s="6">
        <v>779.75199999999995</v>
      </c>
      <c r="P2311" s="6">
        <v>340</v>
      </c>
      <c r="Q2311" s="4" t="s">
        <v>26</v>
      </c>
      <c r="R2311" s="4">
        <v>0</v>
      </c>
      <c r="S2311" s="4" t="s">
        <v>388</v>
      </c>
      <c r="T2311" s="4" t="s">
        <v>625</v>
      </c>
      <c r="U2311" s="4">
        <v>0</v>
      </c>
      <c r="V2311" s="4">
        <v>72</v>
      </c>
      <c r="W2311" s="4">
        <v>78</v>
      </c>
    </row>
    <row r="2312" spans="1:23" ht="11.25" customHeight="1" x14ac:dyDescent="0.25">
      <c r="A2312" s="4" t="s">
        <v>30</v>
      </c>
      <c r="B2312" s="4" t="s">
        <v>41</v>
      </c>
      <c r="C2312" s="4" t="s">
        <v>23</v>
      </c>
      <c r="D2312" s="4" t="s">
        <v>45</v>
      </c>
      <c r="E2312" s="4" t="s">
        <v>25</v>
      </c>
      <c r="F2312" s="4" t="s">
        <v>25</v>
      </c>
      <c r="G2312" s="4" t="s">
        <v>25</v>
      </c>
      <c r="H2312" s="4" t="s">
        <v>25</v>
      </c>
      <c r="I2312" s="5">
        <v>44256</v>
      </c>
      <c r="J2312" s="6">
        <v>0</v>
      </c>
      <c r="K2312" s="6">
        <v>0</v>
      </c>
      <c r="L2312" s="6">
        <v>-1.0109999999999999</v>
      </c>
      <c r="M2312" s="6">
        <v>-1.0109999999999999</v>
      </c>
      <c r="N2312" s="6">
        <v>-1.0109999999999999</v>
      </c>
      <c r="O2312" s="6">
        <v>-1.0109999999999999</v>
      </c>
      <c r="P2312" s="6">
        <v>0</v>
      </c>
      <c r="Q2312" s="4" t="s">
        <v>26</v>
      </c>
      <c r="R2312" s="4">
        <v>0</v>
      </c>
      <c r="S2312" s="4" t="s">
        <v>388</v>
      </c>
      <c r="T2312" s="4" t="s">
        <v>625</v>
      </c>
      <c r="U2312" s="4">
        <v>0</v>
      </c>
      <c r="V2312" s="4">
        <v>72</v>
      </c>
      <c r="W2312" s="4">
        <v>78</v>
      </c>
    </row>
    <row r="2313" spans="1:23" ht="11.25" customHeight="1" x14ac:dyDescent="0.25">
      <c r="A2313" s="4" t="s">
        <v>21</v>
      </c>
      <c r="B2313" s="4" t="s">
        <v>41</v>
      </c>
      <c r="C2313" s="4" t="s">
        <v>23</v>
      </c>
      <c r="D2313" s="4" t="s">
        <v>45</v>
      </c>
      <c r="E2313" s="4" t="s">
        <v>25</v>
      </c>
      <c r="F2313" s="4" t="s">
        <v>25</v>
      </c>
      <c r="G2313" s="4" t="s">
        <v>25</v>
      </c>
      <c r="H2313" s="4" t="s">
        <v>25</v>
      </c>
      <c r="I2313" s="5">
        <v>44287</v>
      </c>
      <c r="J2313" s="6">
        <v>0</v>
      </c>
      <c r="K2313" s="6">
        <v>0</v>
      </c>
      <c r="L2313" s="6">
        <v>38872.491000000002</v>
      </c>
      <c r="M2313" s="6">
        <v>38872.491000000002</v>
      </c>
      <c r="N2313" s="6">
        <v>38872.491000000002</v>
      </c>
      <c r="O2313" s="6">
        <v>38872.491000000002</v>
      </c>
      <c r="P2313" s="6">
        <v>47474</v>
      </c>
      <c r="Q2313" s="4" t="s">
        <v>26</v>
      </c>
      <c r="R2313" s="4">
        <v>0</v>
      </c>
      <c r="S2313" s="4" t="s">
        <v>389</v>
      </c>
      <c r="T2313" s="4" t="s">
        <v>626</v>
      </c>
      <c r="U2313" s="4">
        <v>0</v>
      </c>
      <c r="V2313" s="4">
        <v>72</v>
      </c>
      <c r="W2313" s="4">
        <v>78</v>
      </c>
    </row>
    <row r="2314" spans="1:23" ht="11.25" customHeight="1" x14ac:dyDescent="0.25">
      <c r="A2314" s="4" t="s">
        <v>27</v>
      </c>
      <c r="B2314" s="4" t="s">
        <v>41</v>
      </c>
      <c r="C2314" s="4" t="s">
        <v>23</v>
      </c>
      <c r="D2314" s="4" t="s">
        <v>45</v>
      </c>
      <c r="E2314" s="4" t="s">
        <v>25</v>
      </c>
      <c r="F2314" s="4" t="s">
        <v>25</v>
      </c>
      <c r="G2314" s="4" t="s">
        <v>25</v>
      </c>
      <c r="H2314" s="4" t="s">
        <v>25</v>
      </c>
      <c r="I2314" s="5">
        <v>44287</v>
      </c>
      <c r="J2314" s="6">
        <v>0</v>
      </c>
      <c r="K2314" s="6">
        <v>0</v>
      </c>
      <c r="L2314" s="6">
        <v>-1902.2840000000001</v>
      </c>
      <c r="M2314" s="6">
        <v>-1902.2840000000001</v>
      </c>
      <c r="N2314" s="6">
        <v>-1902.2840000000001</v>
      </c>
      <c r="O2314" s="6">
        <v>-1902.2840000000001</v>
      </c>
      <c r="P2314" s="6">
        <v>0</v>
      </c>
      <c r="Q2314" s="4" t="s">
        <v>26</v>
      </c>
      <c r="R2314" s="4">
        <v>0</v>
      </c>
      <c r="S2314" s="4" t="s">
        <v>389</v>
      </c>
      <c r="T2314" s="4" t="s">
        <v>626</v>
      </c>
      <c r="U2314" s="4">
        <v>0</v>
      </c>
      <c r="V2314" s="4">
        <v>72</v>
      </c>
      <c r="W2314" s="4">
        <v>78</v>
      </c>
    </row>
    <row r="2315" spans="1:23" ht="11.25" customHeight="1" x14ac:dyDescent="0.25">
      <c r="A2315" s="4" t="s">
        <v>28</v>
      </c>
      <c r="B2315" s="4" t="s">
        <v>41</v>
      </c>
      <c r="C2315" s="4" t="s">
        <v>23</v>
      </c>
      <c r="D2315" s="4" t="s">
        <v>45</v>
      </c>
      <c r="E2315" s="4" t="s">
        <v>25</v>
      </c>
      <c r="F2315" s="4" t="s">
        <v>25</v>
      </c>
      <c r="G2315" s="4" t="s">
        <v>25</v>
      </c>
      <c r="H2315" s="4" t="s">
        <v>25</v>
      </c>
      <c r="I2315" s="5">
        <v>44287</v>
      </c>
      <c r="J2315" s="6">
        <v>0</v>
      </c>
      <c r="K2315" s="6">
        <v>0</v>
      </c>
      <c r="L2315" s="6">
        <v>11344.995000000001</v>
      </c>
      <c r="M2315" s="6">
        <v>11344.995000000001</v>
      </c>
      <c r="N2315" s="6">
        <v>11344.995000000001</v>
      </c>
      <c r="O2315" s="6">
        <v>11344.995000000001</v>
      </c>
      <c r="P2315" s="6">
        <v>23887</v>
      </c>
      <c r="Q2315" s="4" t="s">
        <v>26</v>
      </c>
      <c r="R2315" s="4">
        <v>0</v>
      </c>
      <c r="S2315" s="4" t="s">
        <v>389</v>
      </c>
      <c r="T2315" s="4" t="s">
        <v>626</v>
      </c>
      <c r="U2315" s="4">
        <v>0</v>
      </c>
      <c r="V2315" s="4">
        <v>72</v>
      </c>
      <c r="W2315" s="4">
        <v>78</v>
      </c>
    </row>
    <row r="2316" spans="1:23" ht="11.25" customHeight="1" x14ac:dyDescent="0.25">
      <c r="A2316" s="4" t="s">
        <v>29</v>
      </c>
      <c r="B2316" s="4" t="s">
        <v>41</v>
      </c>
      <c r="C2316" s="4" t="s">
        <v>23</v>
      </c>
      <c r="D2316" s="4" t="s">
        <v>45</v>
      </c>
      <c r="E2316" s="4" t="s">
        <v>25</v>
      </c>
      <c r="F2316" s="4" t="s">
        <v>25</v>
      </c>
      <c r="G2316" s="4" t="s">
        <v>25</v>
      </c>
      <c r="H2316" s="4" t="s">
        <v>25</v>
      </c>
      <c r="I2316" s="5">
        <v>44287</v>
      </c>
      <c r="J2316" s="6">
        <v>0</v>
      </c>
      <c r="K2316" s="6">
        <v>0</v>
      </c>
      <c r="L2316" s="6">
        <v>-247.63399999999999</v>
      </c>
      <c r="M2316" s="6">
        <v>-247.63399999999999</v>
      </c>
      <c r="N2316" s="6">
        <v>-247.63399999999999</v>
      </c>
      <c r="O2316" s="6">
        <v>-247.63399999999999</v>
      </c>
      <c r="P2316" s="6">
        <v>0</v>
      </c>
      <c r="Q2316" s="4" t="s">
        <v>26</v>
      </c>
      <c r="R2316" s="4">
        <v>0</v>
      </c>
      <c r="S2316" s="4" t="s">
        <v>389</v>
      </c>
      <c r="T2316" s="4" t="s">
        <v>626</v>
      </c>
      <c r="U2316" s="4">
        <v>0</v>
      </c>
      <c r="V2316" s="4">
        <v>72</v>
      </c>
      <c r="W2316" s="4">
        <v>78</v>
      </c>
    </row>
    <row r="2317" spans="1:23" ht="11.25" customHeight="1" x14ac:dyDescent="0.25">
      <c r="A2317" s="4" t="s">
        <v>30</v>
      </c>
      <c r="B2317" s="4" t="s">
        <v>41</v>
      </c>
      <c r="C2317" s="4" t="s">
        <v>23</v>
      </c>
      <c r="D2317" s="4" t="s">
        <v>45</v>
      </c>
      <c r="E2317" s="4" t="s">
        <v>25</v>
      </c>
      <c r="F2317" s="4" t="s">
        <v>25</v>
      </c>
      <c r="G2317" s="4" t="s">
        <v>25</v>
      </c>
      <c r="H2317" s="4" t="s">
        <v>25</v>
      </c>
      <c r="I2317" s="5">
        <v>44287</v>
      </c>
      <c r="J2317" s="6">
        <v>0</v>
      </c>
      <c r="K2317" s="6">
        <v>0</v>
      </c>
      <c r="L2317" s="6">
        <v>870.24800000000005</v>
      </c>
      <c r="M2317" s="6">
        <v>870.24800000000005</v>
      </c>
      <c r="N2317" s="6">
        <v>870.24800000000005</v>
      </c>
      <c r="O2317" s="6">
        <v>870.24800000000005</v>
      </c>
      <c r="P2317" s="6">
        <v>362</v>
      </c>
      <c r="Q2317" s="4" t="s">
        <v>26</v>
      </c>
      <c r="R2317" s="4">
        <v>0</v>
      </c>
      <c r="S2317" s="4" t="s">
        <v>389</v>
      </c>
      <c r="T2317" s="4" t="s">
        <v>626</v>
      </c>
      <c r="U2317" s="4">
        <v>0</v>
      </c>
      <c r="V2317" s="4">
        <v>72</v>
      </c>
      <c r="W2317" s="4">
        <v>78</v>
      </c>
    </row>
    <row r="2318" spans="1:23" ht="11.25" customHeight="1" x14ac:dyDescent="0.25">
      <c r="A2318" s="4" t="s">
        <v>30</v>
      </c>
      <c r="B2318" s="4" t="s">
        <v>41</v>
      </c>
      <c r="C2318" s="4" t="s">
        <v>23</v>
      </c>
      <c r="D2318" s="4" t="s">
        <v>45</v>
      </c>
      <c r="E2318" s="4" t="s">
        <v>25</v>
      </c>
      <c r="F2318" s="4" t="s">
        <v>25</v>
      </c>
      <c r="G2318" s="4" t="s">
        <v>25</v>
      </c>
      <c r="H2318" s="4" t="s">
        <v>25</v>
      </c>
      <c r="I2318" s="5">
        <v>44287</v>
      </c>
      <c r="J2318" s="6">
        <v>0</v>
      </c>
      <c r="K2318" s="6">
        <v>0</v>
      </c>
      <c r="L2318" s="6">
        <v>-1.647</v>
      </c>
      <c r="M2318" s="6">
        <v>-1.647</v>
      </c>
      <c r="N2318" s="6">
        <v>-1.647</v>
      </c>
      <c r="O2318" s="6">
        <v>-1.647</v>
      </c>
      <c r="P2318" s="6">
        <v>0</v>
      </c>
      <c r="Q2318" s="4" t="s">
        <v>26</v>
      </c>
      <c r="R2318" s="4">
        <v>0</v>
      </c>
      <c r="S2318" s="4" t="s">
        <v>389</v>
      </c>
      <c r="T2318" s="4" t="s">
        <v>626</v>
      </c>
      <c r="U2318" s="4">
        <v>0</v>
      </c>
      <c r="V2318" s="4">
        <v>72</v>
      </c>
      <c r="W2318" s="4">
        <v>78</v>
      </c>
    </row>
    <row r="2319" spans="1:23" ht="11.25" customHeight="1" x14ac:dyDescent="0.25">
      <c r="A2319" s="4" t="s">
        <v>21</v>
      </c>
      <c r="B2319" s="4" t="s">
        <v>41</v>
      </c>
      <c r="C2319" s="4" t="s">
        <v>23</v>
      </c>
      <c r="D2319" s="4" t="s">
        <v>45</v>
      </c>
      <c r="E2319" s="4" t="s">
        <v>25</v>
      </c>
      <c r="F2319" s="4" t="s">
        <v>25</v>
      </c>
      <c r="G2319" s="4" t="s">
        <v>25</v>
      </c>
      <c r="H2319" s="4" t="s">
        <v>25</v>
      </c>
      <c r="I2319" s="5">
        <v>44317</v>
      </c>
      <c r="J2319" s="6">
        <v>0</v>
      </c>
      <c r="K2319" s="6">
        <v>0</v>
      </c>
      <c r="L2319" s="6">
        <v>39987.773999999998</v>
      </c>
      <c r="M2319" s="6">
        <v>39987.773999999998</v>
      </c>
      <c r="N2319" s="6">
        <v>39987.773999999998</v>
      </c>
      <c r="O2319" s="6">
        <v>39987.773999999998</v>
      </c>
      <c r="P2319" s="6">
        <v>47751</v>
      </c>
      <c r="Q2319" s="4" t="s">
        <v>26</v>
      </c>
      <c r="R2319" s="4">
        <v>0</v>
      </c>
      <c r="S2319" s="4" t="s">
        <v>390</v>
      </c>
      <c r="T2319" s="4" t="s">
        <v>627</v>
      </c>
      <c r="U2319" s="4">
        <v>0</v>
      </c>
      <c r="V2319" s="4">
        <v>72</v>
      </c>
      <c r="W2319" s="4">
        <v>78</v>
      </c>
    </row>
    <row r="2320" spans="1:23" ht="11.25" customHeight="1" x14ac:dyDescent="0.25">
      <c r="A2320" s="4" t="s">
        <v>27</v>
      </c>
      <c r="B2320" s="4" t="s">
        <v>41</v>
      </c>
      <c r="C2320" s="4" t="s">
        <v>23</v>
      </c>
      <c r="D2320" s="4" t="s">
        <v>45</v>
      </c>
      <c r="E2320" s="4" t="s">
        <v>25</v>
      </c>
      <c r="F2320" s="4" t="s">
        <v>25</v>
      </c>
      <c r="G2320" s="4" t="s">
        <v>25</v>
      </c>
      <c r="H2320" s="4" t="s">
        <v>25</v>
      </c>
      <c r="I2320" s="5">
        <v>44317</v>
      </c>
      <c r="J2320" s="6">
        <v>0</v>
      </c>
      <c r="K2320" s="6">
        <v>0</v>
      </c>
      <c r="L2320" s="6">
        <v>-1918.0930000000001</v>
      </c>
      <c r="M2320" s="6">
        <v>-1918.0930000000001</v>
      </c>
      <c r="N2320" s="6">
        <v>-1918.0930000000001</v>
      </c>
      <c r="O2320" s="6">
        <v>-1918.0930000000001</v>
      </c>
      <c r="P2320" s="6">
        <v>0</v>
      </c>
      <c r="Q2320" s="4" t="s">
        <v>26</v>
      </c>
      <c r="R2320" s="4">
        <v>0</v>
      </c>
      <c r="S2320" s="4" t="s">
        <v>390</v>
      </c>
      <c r="T2320" s="4" t="s">
        <v>627</v>
      </c>
      <c r="U2320" s="4">
        <v>0</v>
      </c>
      <c r="V2320" s="4">
        <v>72</v>
      </c>
      <c r="W2320" s="4">
        <v>78</v>
      </c>
    </row>
    <row r="2321" spans="1:23" ht="11.25" customHeight="1" x14ac:dyDescent="0.25">
      <c r="A2321" s="4" t="s">
        <v>28</v>
      </c>
      <c r="B2321" s="4" t="s">
        <v>41</v>
      </c>
      <c r="C2321" s="4" t="s">
        <v>23</v>
      </c>
      <c r="D2321" s="4" t="s">
        <v>45</v>
      </c>
      <c r="E2321" s="4" t="s">
        <v>25</v>
      </c>
      <c r="F2321" s="4" t="s">
        <v>25</v>
      </c>
      <c r="G2321" s="4" t="s">
        <v>25</v>
      </c>
      <c r="H2321" s="4" t="s">
        <v>25</v>
      </c>
      <c r="I2321" s="5">
        <v>44317</v>
      </c>
      <c r="J2321" s="6">
        <v>0</v>
      </c>
      <c r="K2321" s="6">
        <v>0</v>
      </c>
      <c r="L2321" s="6">
        <v>12087.911</v>
      </c>
      <c r="M2321" s="6">
        <v>12087.911</v>
      </c>
      <c r="N2321" s="6">
        <v>12087.911</v>
      </c>
      <c r="O2321" s="6">
        <v>12087.911</v>
      </c>
      <c r="P2321" s="6">
        <v>23963</v>
      </c>
      <c r="Q2321" s="4" t="s">
        <v>26</v>
      </c>
      <c r="R2321" s="4">
        <v>0</v>
      </c>
      <c r="S2321" s="4" t="s">
        <v>390</v>
      </c>
      <c r="T2321" s="4" t="s">
        <v>627</v>
      </c>
      <c r="U2321" s="4">
        <v>0</v>
      </c>
      <c r="V2321" s="4">
        <v>72</v>
      </c>
      <c r="W2321" s="4">
        <v>78</v>
      </c>
    </row>
    <row r="2322" spans="1:23" ht="11.25" customHeight="1" x14ac:dyDescent="0.25">
      <c r="A2322" s="4" t="s">
        <v>29</v>
      </c>
      <c r="B2322" s="4" t="s">
        <v>41</v>
      </c>
      <c r="C2322" s="4" t="s">
        <v>23</v>
      </c>
      <c r="D2322" s="4" t="s">
        <v>45</v>
      </c>
      <c r="E2322" s="4" t="s">
        <v>25</v>
      </c>
      <c r="F2322" s="4" t="s">
        <v>25</v>
      </c>
      <c r="G2322" s="4" t="s">
        <v>25</v>
      </c>
      <c r="H2322" s="4" t="s">
        <v>25</v>
      </c>
      <c r="I2322" s="5">
        <v>44317</v>
      </c>
      <c r="J2322" s="6">
        <v>0</v>
      </c>
      <c r="K2322" s="6">
        <v>0</v>
      </c>
      <c r="L2322" s="6">
        <v>-144.208</v>
      </c>
      <c r="M2322" s="6">
        <v>-144.208</v>
      </c>
      <c r="N2322" s="6">
        <v>-144.208</v>
      </c>
      <c r="O2322" s="6">
        <v>-144.208</v>
      </c>
      <c r="P2322" s="6">
        <v>0</v>
      </c>
      <c r="Q2322" s="4" t="s">
        <v>26</v>
      </c>
      <c r="R2322" s="4">
        <v>0</v>
      </c>
      <c r="S2322" s="4" t="s">
        <v>390</v>
      </c>
      <c r="T2322" s="4" t="s">
        <v>627</v>
      </c>
      <c r="U2322" s="4">
        <v>0</v>
      </c>
      <c r="V2322" s="4">
        <v>72</v>
      </c>
      <c r="W2322" s="4">
        <v>78</v>
      </c>
    </row>
    <row r="2323" spans="1:23" ht="11.25" customHeight="1" x14ac:dyDescent="0.25">
      <c r="A2323" s="4" t="s">
        <v>30</v>
      </c>
      <c r="B2323" s="4" t="s">
        <v>41</v>
      </c>
      <c r="C2323" s="4" t="s">
        <v>23</v>
      </c>
      <c r="D2323" s="4" t="s">
        <v>45</v>
      </c>
      <c r="E2323" s="4" t="s">
        <v>25</v>
      </c>
      <c r="F2323" s="4" t="s">
        <v>25</v>
      </c>
      <c r="G2323" s="4" t="s">
        <v>25</v>
      </c>
      <c r="H2323" s="4" t="s">
        <v>25</v>
      </c>
      <c r="I2323" s="5">
        <v>44317</v>
      </c>
      <c r="J2323" s="6">
        <v>0</v>
      </c>
      <c r="K2323" s="6">
        <v>0</v>
      </c>
      <c r="L2323" s="6">
        <v>1020.754</v>
      </c>
      <c r="M2323" s="6">
        <v>1020.754</v>
      </c>
      <c r="N2323" s="6">
        <v>1020.754</v>
      </c>
      <c r="O2323" s="6">
        <v>1020.754</v>
      </c>
      <c r="P2323" s="6">
        <v>389</v>
      </c>
      <c r="Q2323" s="4" t="s">
        <v>26</v>
      </c>
      <c r="R2323" s="4">
        <v>0</v>
      </c>
      <c r="S2323" s="4" t="s">
        <v>390</v>
      </c>
      <c r="T2323" s="4" t="s">
        <v>627</v>
      </c>
      <c r="U2323" s="4">
        <v>0</v>
      </c>
      <c r="V2323" s="4">
        <v>72</v>
      </c>
      <c r="W2323" s="4">
        <v>78</v>
      </c>
    </row>
    <row r="2324" spans="1:23" ht="11.25" customHeight="1" x14ac:dyDescent="0.25">
      <c r="A2324" s="4" t="s">
        <v>30</v>
      </c>
      <c r="B2324" s="4" t="s">
        <v>41</v>
      </c>
      <c r="C2324" s="4" t="s">
        <v>23</v>
      </c>
      <c r="D2324" s="4" t="s">
        <v>45</v>
      </c>
      <c r="E2324" s="4" t="s">
        <v>25</v>
      </c>
      <c r="F2324" s="4" t="s">
        <v>25</v>
      </c>
      <c r="G2324" s="4" t="s">
        <v>25</v>
      </c>
      <c r="H2324" s="4" t="s">
        <v>25</v>
      </c>
      <c r="I2324" s="5">
        <v>44317</v>
      </c>
      <c r="J2324" s="6">
        <v>0</v>
      </c>
      <c r="K2324" s="6">
        <v>0</v>
      </c>
      <c r="L2324" s="6">
        <v>-5.5629999999999997</v>
      </c>
      <c r="M2324" s="6">
        <v>-5.5629999999999997</v>
      </c>
      <c r="N2324" s="6">
        <v>-5.5629999999999997</v>
      </c>
      <c r="O2324" s="6">
        <v>-5.5629999999999997</v>
      </c>
      <c r="P2324" s="6">
        <v>0</v>
      </c>
      <c r="Q2324" s="4" t="s">
        <v>26</v>
      </c>
      <c r="R2324" s="4">
        <v>0</v>
      </c>
      <c r="S2324" s="4" t="s">
        <v>390</v>
      </c>
      <c r="T2324" s="4" t="s">
        <v>627</v>
      </c>
      <c r="U2324" s="4">
        <v>0</v>
      </c>
      <c r="V2324" s="4">
        <v>72</v>
      </c>
      <c r="W2324" s="4">
        <v>78</v>
      </c>
    </row>
    <row r="2325" spans="1:23" ht="11.25" customHeight="1" x14ac:dyDescent="0.25">
      <c r="A2325" s="4" t="s">
        <v>21</v>
      </c>
      <c r="B2325" s="4" t="s">
        <v>41</v>
      </c>
      <c r="C2325" s="4" t="s">
        <v>23</v>
      </c>
      <c r="D2325" s="4" t="s">
        <v>45</v>
      </c>
      <c r="E2325" s="4" t="s">
        <v>25</v>
      </c>
      <c r="F2325" s="4" t="s">
        <v>25</v>
      </c>
      <c r="G2325" s="4" t="s">
        <v>25</v>
      </c>
      <c r="H2325" s="4" t="s">
        <v>25</v>
      </c>
      <c r="I2325" s="5">
        <v>44348</v>
      </c>
      <c r="J2325" s="6">
        <v>0</v>
      </c>
      <c r="K2325" s="6">
        <v>0</v>
      </c>
      <c r="L2325" s="6">
        <v>44464.385999999999</v>
      </c>
      <c r="M2325" s="6">
        <v>44464.385999999999</v>
      </c>
      <c r="N2325" s="6">
        <v>44464.385999999999</v>
      </c>
      <c r="O2325" s="6">
        <v>44464.385999999999</v>
      </c>
      <c r="P2325" s="6">
        <v>48305</v>
      </c>
      <c r="Q2325" s="4" t="s">
        <v>26</v>
      </c>
      <c r="R2325" s="4">
        <v>0</v>
      </c>
      <c r="S2325" s="4" t="s">
        <v>391</v>
      </c>
      <c r="T2325" s="4" t="s">
        <v>628</v>
      </c>
      <c r="U2325" s="4">
        <v>0</v>
      </c>
      <c r="V2325" s="4">
        <v>72</v>
      </c>
      <c r="W2325" s="4">
        <v>78</v>
      </c>
    </row>
    <row r="2326" spans="1:23" ht="11.25" customHeight="1" x14ac:dyDescent="0.25">
      <c r="A2326" s="4" t="s">
        <v>27</v>
      </c>
      <c r="B2326" s="4" t="s">
        <v>41</v>
      </c>
      <c r="C2326" s="4" t="s">
        <v>23</v>
      </c>
      <c r="D2326" s="4" t="s">
        <v>45</v>
      </c>
      <c r="E2326" s="4" t="s">
        <v>25</v>
      </c>
      <c r="F2326" s="4" t="s">
        <v>25</v>
      </c>
      <c r="G2326" s="4" t="s">
        <v>25</v>
      </c>
      <c r="H2326" s="4" t="s">
        <v>25</v>
      </c>
      <c r="I2326" s="5">
        <v>44348</v>
      </c>
      <c r="J2326" s="6">
        <v>0</v>
      </c>
      <c r="K2326" s="6">
        <v>0</v>
      </c>
      <c r="L2326" s="6">
        <v>-2346.9409999999998</v>
      </c>
      <c r="M2326" s="6">
        <v>-2346.9409999999998</v>
      </c>
      <c r="N2326" s="6">
        <v>-2346.9409999999998</v>
      </c>
      <c r="O2326" s="6">
        <v>-2346.9409999999998</v>
      </c>
      <c r="P2326" s="6">
        <v>0</v>
      </c>
      <c r="Q2326" s="4" t="s">
        <v>26</v>
      </c>
      <c r="R2326" s="4">
        <v>0</v>
      </c>
      <c r="S2326" s="4" t="s">
        <v>391</v>
      </c>
      <c r="T2326" s="4" t="s">
        <v>628</v>
      </c>
      <c r="U2326" s="4">
        <v>0</v>
      </c>
      <c r="V2326" s="4">
        <v>72</v>
      </c>
      <c r="W2326" s="4">
        <v>78</v>
      </c>
    </row>
    <row r="2327" spans="1:23" ht="11.25" customHeight="1" x14ac:dyDescent="0.25">
      <c r="A2327" s="4" t="s">
        <v>28</v>
      </c>
      <c r="B2327" s="4" t="s">
        <v>41</v>
      </c>
      <c r="C2327" s="4" t="s">
        <v>23</v>
      </c>
      <c r="D2327" s="4" t="s">
        <v>45</v>
      </c>
      <c r="E2327" s="4" t="s">
        <v>25</v>
      </c>
      <c r="F2327" s="4" t="s">
        <v>25</v>
      </c>
      <c r="G2327" s="4" t="s">
        <v>25</v>
      </c>
      <c r="H2327" s="4" t="s">
        <v>25</v>
      </c>
      <c r="I2327" s="5">
        <v>44348</v>
      </c>
      <c r="J2327" s="6">
        <v>0</v>
      </c>
      <c r="K2327" s="6">
        <v>0</v>
      </c>
      <c r="L2327" s="6">
        <v>13332.038</v>
      </c>
      <c r="M2327" s="6">
        <v>13332.038</v>
      </c>
      <c r="N2327" s="6">
        <v>13332.038</v>
      </c>
      <c r="O2327" s="6">
        <v>13332.038</v>
      </c>
      <c r="P2327" s="6">
        <v>24072</v>
      </c>
      <c r="Q2327" s="4" t="s">
        <v>26</v>
      </c>
      <c r="R2327" s="4">
        <v>0</v>
      </c>
      <c r="S2327" s="4" t="s">
        <v>391</v>
      </c>
      <c r="T2327" s="4" t="s">
        <v>628</v>
      </c>
      <c r="U2327" s="4">
        <v>0</v>
      </c>
      <c r="V2327" s="4">
        <v>72</v>
      </c>
      <c r="W2327" s="4">
        <v>78</v>
      </c>
    </row>
    <row r="2328" spans="1:23" ht="11.25" customHeight="1" x14ac:dyDescent="0.25">
      <c r="A2328" s="4" t="s">
        <v>29</v>
      </c>
      <c r="B2328" s="4" t="s">
        <v>41</v>
      </c>
      <c r="C2328" s="4" t="s">
        <v>23</v>
      </c>
      <c r="D2328" s="4" t="s">
        <v>45</v>
      </c>
      <c r="E2328" s="4" t="s">
        <v>25</v>
      </c>
      <c r="F2328" s="4" t="s">
        <v>25</v>
      </c>
      <c r="G2328" s="4" t="s">
        <v>25</v>
      </c>
      <c r="H2328" s="4" t="s">
        <v>25</v>
      </c>
      <c r="I2328" s="5">
        <v>44348</v>
      </c>
      <c r="J2328" s="6">
        <v>0</v>
      </c>
      <c r="K2328" s="6">
        <v>0</v>
      </c>
      <c r="L2328" s="6">
        <v>-590.11300000000006</v>
      </c>
      <c r="M2328" s="6">
        <v>-590.11300000000006</v>
      </c>
      <c r="N2328" s="6">
        <v>-590.11300000000006</v>
      </c>
      <c r="O2328" s="6">
        <v>-590.11300000000006</v>
      </c>
      <c r="P2328" s="6">
        <v>0</v>
      </c>
      <c r="Q2328" s="4" t="s">
        <v>26</v>
      </c>
      <c r="R2328" s="4">
        <v>0</v>
      </c>
      <c r="S2328" s="4" t="s">
        <v>391</v>
      </c>
      <c r="T2328" s="4" t="s">
        <v>628</v>
      </c>
      <c r="U2328" s="4">
        <v>0</v>
      </c>
      <c r="V2328" s="4">
        <v>72</v>
      </c>
      <c r="W2328" s="4">
        <v>78</v>
      </c>
    </row>
    <row r="2329" spans="1:23" ht="11.25" customHeight="1" x14ac:dyDescent="0.25">
      <c r="A2329" s="4" t="s">
        <v>30</v>
      </c>
      <c r="B2329" s="4" t="s">
        <v>41</v>
      </c>
      <c r="C2329" s="4" t="s">
        <v>23</v>
      </c>
      <c r="D2329" s="4" t="s">
        <v>45</v>
      </c>
      <c r="E2329" s="4" t="s">
        <v>25</v>
      </c>
      <c r="F2329" s="4" t="s">
        <v>25</v>
      </c>
      <c r="G2329" s="4" t="s">
        <v>25</v>
      </c>
      <c r="H2329" s="4" t="s">
        <v>25</v>
      </c>
      <c r="I2329" s="5">
        <v>44348</v>
      </c>
      <c r="J2329" s="6">
        <v>0</v>
      </c>
      <c r="K2329" s="6">
        <v>0</v>
      </c>
      <c r="L2329" s="6">
        <v>1171.069</v>
      </c>
      <c r="M2329" s="6">
        <v>1171.069</v>
      </c>
      <c r="N2329" s="6">
        <v>1171.069</v>
      </c>
      <c r="O2329" s="6">
        <v>1171.069</v>
      </c>
      <c r="P2329" s="6">
        <v>434</v>
      </c>
      <c r="Q2329" s="4" t="s">
        <v>26</v>
      </c>
      <c r="R2329" s="4">
        <v>0</v>
      </c>
      <c r="S2329" s="4" t="s">
        <v>391</v>
      </c>
      <c r="T2329" s="4" t="s">
        <v>628</v>
      </c>
      <c r="U2329" s="4">
        <v>0</v>
      </c>
      <c r="V2329" s="4">
        <v>72</v>
      </c>
      <c r="W2329" s="4">
        <v>78</v>
      </c>
    </row>
    <row r="2330" spans="1:23" ht="11.25" customHeight="1" x14ac:dyDescent="0.25">
      <c r="A2330" s="4" t="s">
        <v>30</v>
      </c>
      <c r="B2330" s="4" t="s">
        <v>41</v>
      </c>
      <c r="C2330" s="4" t="s">
        <v>23</v>
      </c>
      <c r="D2330" s="4" t="s">
        <v>45</v>
      </c>
      <c r="E2330" s="4" t="s">
        <v>25</v>
      </c>
      <c r="F2330" s="4" t="s">
        <v>25</v>
      </c>
      <c r="G2330" s="4" t="s">
        <v>25</v>
      </c>
      <c r="H2330" s="4" t="s">
        <v>25</v>
      </c>
      <c r="I2330" s="5">
        <v>44348</v>
      </c>
      <c r="J2330" s="6">
        <v>0</v>
      </c>
      <c r="K2330" s="6">
        <v>0</v>
      </c>
      <c r="L2330" s="6">
        <v>-2.9119999999999999</v>
      </c>
      <c r="M2330" s="6">
        <v>-2.9119999999999999</v>
      </c>
      <c r="N2330" s="6">
        <v>-2.9119999999999999</v>
      </c>
      <c r="O2330" s="6">
        <v>-2.9119999999999999</v>
      </c>
      <c r="P2330" s="6">
        <v>0</v>
      </c>
      <c r="Q2330" s="4" t="s">
        <v>26</v>
      </c>
      <c r="R2330" s="4">
        <v>0</v>
      </c>
      <c r="S2330" s="4" t="s">
        <v>391</v>
      </c>
      <c r="T2330" s="4" t="s">
        <v>628</v>
      </c>
      <c r="U2330" s="4">
        <v>0</v>
      </c>
      <c r="V2330" s="4">
        <v>72</v>
      </c>
      <c r="W2330" s="4">
        <v>78</v>
      </c>
    </row>
    <row r="2331" spans="1:23" ht="11.25" customHeight="1" x14ac:dyDescent="0.25">
      <c r="A2331" s="4" t="s">
        <v>21</v>
      </c>
      <c r="B2331" s="4" t="s">
        <v>41</v>
      </c>
      <c r="C2331" s="4" t="s">
        <v>23</v>
      </c>
      <c r="D2331" s="4" t="s">
        <v>45</v>
      </c>
      <c r="E2331" s="4" t="s">
        <v>25</v>
      </c>
      <c r="F2331" s="4" t="s">
        <v>25</v>
      </c>
      <c r="G2331" s="4" t="s">
        <v>25</v>
      </c>
      <c r="H2331" s="4" t="s">
        <v>25</v>
      </c>
      <c r="I2331" s="5">
        <v>44378</v>
      </c>
      <c r="J2331" s="6">
        <v>0</v>
      </c>
      <c r="K2331" s="6">
        <v>0</v>
      </c>
      <c r="L2331" s="6">
        <v>47190.413999999997</v>
      </c>
      <c r="M2331" s="6">
        <v>47190.413999999997</v>
      </c>
      <c r="N2331" s="6">
        <v>47190.413999999997</v>
      </c>
      <c r="O2331" s="6">
        <v>47190.413999999997</v>
      </c>
      <c r="P2331" s="6">
        <v>48805</v>
      </c>
      <c r="Q2331" s="4" t="s">
        <v>26</v>
      </c>
      <c r="R2331" s="4">
        <v>0</v>
      </c>
      <c r="S2331" s="4" t="s">
        <v>392</v>
      </c>
      <c r="T2331" s="4" t="s">
        <v>629</v>
      </c>
      <c r="U2331" s="4">
        <v>0</v>
      </c>
      <c r="V2331" s="4">
        <v>72</v>
      </c>
      <c r="W2331" s="4">
        <v>78</v>
      </c>
    </row>
    <row r="2332" spans="1:23" ht="11.25" customHeight="1" x14ac:dyDescent="0.25">
      <c r="A2332" s="4" t="s">
        <v>27</v>
      </c>
      <c r="B2332" s="4" t="s">
        <v>41</v>
      </c>
      <c r="C2332" s="4" t="s">
        <v>23</v>
      </c>
      <c r="D2332" s="4" t="s">
        <v>45</v>
      </c>
      <c r="E2332" s="4" t="s">
        <v>25</v>
      </c>
      <c r="F2332" s="4" t="s">
        <v>25</v>
      </c>
      <c r="G2332" s="4" t="s">
        <v>25</v>
      </c>
      <c r="H2332" s="4" t="s">
        <v>25</v>
      </c>
      <c r="I2332" s="5">
        <v>44378</v>
      </c>
      <c r="J2332" s="6">
        <v>0</v>
      </c>
      <c r="K2332" s="6">
        <v>0</v>
      </c>
      <c r="L2332" s="6">
        <v>-1382.42</v>
      </c>
      <c r="M2332" s="6">
        <v>-1382.42</v>
      </c>
      <c r="N2332" s="6">
        <v>-1382.42</v>
      </c>
      <c r="O2332" s="6">
        <v>-1382.42</v>
      </c>
      <c r="P2332" s="6">
        <v>0</v>
      </c>
      <c r="Q2332" s="4" t="s">
        <v>26</v>
      </c>
      <c r="R2332" s="4">
        <v>0</v>
      </c>
      <c r="S2332" s="4" t="s">
        <v>392</v>
      </c>
      <c r="T2332" s="4" t="s">
        <v>629</v>
      </c>
      <c r="U2332" s="4">
        <v>0</v>
      </c>
      <c r="V2332" s="4">
        <v>72</v>
      </c>
      <c r="W2332" s="4">
        <v>78</v>
      </c>
    </row>
    <row r="2333" spans="1:23" ht="11.25" customHeight="1" x14ac:dyDescent="0.25">
      <c r="A2333" s="4" t="s">
        <v>28</v>
      </c>
      <c r="B2333" s="4" t="s">
        <v>41</v>
      </c>
      <c r="C2333" s="4" t="s">
        <v>23</v>
      </c>
      <c r="D2333" s="4" t="s">
        <v>45</v>
      </c>
      <c r="E2333" s="4" t="s">
        <v>25</v>
      </c>
      <c r="F2333" s="4" t="s">
        <v>25</v>
      </c>
      <c r="G2333" s="4" t="s">
        <v>25</v>
      </c>
      <c r="H2333" s="4" t="s">
        <v>25</v>
      </c>
      <c r="I2333" s="5">
        <v>44378</v>
      </c>
      <c r="J2333" s="6">
        <v>0</v>
      </c>
      <c r="K2333" s="6">
        <v>0</v>
      </c>
      <c r="L2333" s="6">
        <v>12342.057000000001</v>
      </c>
      <c r="M2333" s="6">
        <v>12342.057000000001</v>
      </c>
      <c r="N2333" s="6">
        <v>12342.057000000001</v>
      </c>
      <c r="O2333" s="6">
        <v>12342.057000000001</v>
      </c>
      <c r="P2333" s="6">
        <v>23993</v>
      </c>
      <c r="Q2333" s="4" t="s">
        <v>26</v>
      </c>
      <c r="R2333" s="4">
        <v>0</v>
      </c>
      <c r="S2333" s="4" t="s">
        <v>392</v>
      </c>
      <c r="T2333" s="4" t="s">
        <v>629</v>
      </c>
      <c r="U2333" s="4">
        <v>0</v>
      </c>
      <c r="V2333" s="4">
        <v>72</v>
      </c>
      <c r="W2333" s="4">
        <v>78</v>
      </c>
    </row>
    <row r="2334" spans="1:23" ht="11.25" customHeight="1" x14ac:dyDescent="0.25">
      <c r="A2334" s="4" t="s">
        <v>29</v>
      </c>
      <c r="B2334" s="4" t="s">
        <v>41</v>
      </c>
      <c r="C2334" s="4" t="s">
        <v>23</v>
      </c>
      <c r="D2334" s="4" t="s">
        <v>45</v>
      </c>
      <c r="E2334" s="4" t="s">
        <v>25</v>
      </c>
      <c r="F2334" s="4" t="s">
        <v>25</v>
      </c>
      <c r="G2334" s="4" t="s">
        <v>25</v>
      </c>
      <c r="H2334" s="4" t="s">
        <v>25</v>
      </c>
      <c r="I2334" s="5">
        <v>44378</v>
      </c>
      <c r="J2334" s="6">
        <v>0</v>
      </c>
      <c r="K2334" s="6">
        <v>0</v>
      </c>
      <c r="L2334" s="6">
        <v>-154.84100000000001</v>
      </c>
      <c r="M2334" s="6">
        <v>-154.84100000000001</v>
      </c>
      <c r="N2334" s="6">
        <v>-154.84100000000001</v>
      </c>
      <c r="O2334" s="6">
        <v>-154.84100000000001</v>
      </c>
      <c r="P2334" s="6">
        <v>0</v>
      </c>
      <c r="Q2334" s="4" t="s">
        <v>26</v>
      </c>
      <c r="R2334" s="4">
        <v>0</v>
      </c>
      <c r="S2334" s="4" t="s">
        <v>392</v>
      </c>
      <c r="T2334" s="4" t="s">
        <v>629</v>
      </c>
      <c r="U2334" s="4">
        <v>0</v>
      </c>
      <c r="V2334" s="4">
        <v>72</v>
      </c>
      <c r="W2334" s="4">
        <v>78</v>
      </c>
    </row>
    <row r="2335" spans="1:23" ht="11.25" customHeight="1" x14ac:dyDescent="0.25">
      <c r="A2335" s="4" t="s">
        <v>30</v>
      </c>
      <c r="B2335" s="4" t="s">
        <v>41</v>
      </c>
      <c r="C2335" s="4" t="s">
        <v>23</v>
      </c>
      <c r="D2335" s="4" t="s">
        <v>45</v>
      </c>
      <c r="E2335" s="4" t="s">
        <v>25</v>
      </c>
      <c r="F2335" s="4" t="s">
        <v>25</v>
      </c>
      <c r="G2335" s="4" t="s">
        <v>25</v>
      </c>
      <c r="H2335" s="4" t="s">
        <v>25</v>
      </c>
      <c r="I2335" s="5">
        <v>44378</v>
      </c>
      <c r="J2335" s="6">
        <v>0</v>
      </c>
      <c r="K2335" s="6">
        <v>0</v>
      </c>
      <c r="L2335" s="6">
        <v>1233.58</v>
      </c>
      <c r="M2335" s="6">
        <v>1233.58</v>
      </c>
      <c r="N2335" s="6">
        <v>1233.58</v>
      </c>
      <c r="O2335" s="6">
        <v>1233.58</v>
      </c>
      <c r="P2335" s="6">
        <v>472</v>
      </c>
      <c r="Q2335" s="4" t="s">
        <v>26</v>
      </c>
      <c r="R2335" s="4">
        <v>0</v>
      </c>
      <c r="S2335" s="4" t="s">
        <v>392</v>
      </c>
      <c r="T2335" s="4" t="s">
        <v>629</v>
      </c>
      <c r="U2335" s="4">
        <v>0</v>
      </c>
      <c r="V2335" s="4">
        <v>72</v>
      </c>
      <c r="W2335" s="4">
        <v>78</v>
      </c>
    </row>
    <row r="2336" spans="1:23" ht="11.25" customHeight="1" x14ac:dyDescent="0.25">
      <c r="A2336" s="4" t="s">
        <v>30</v>
      </c>
      <c r="B2336" s="4" t="s">
        <v>41</v>
      </c>
      <c r="C2336" s="4" t="s">
        <v>23</v>
      </c>
      <c r="D2336" s="4" t="s">
        <v>45</v>
      </c>
      <c r="E2336" s="4" t="s">
        <v>25</v>
      </c>
      <c r="F2336" s="4" t="s">
        <v>25</v>
      </c>
      <c r="G2336" s="4" t="s">
        <v>25</v>
      </c>
      <c r="H2336" s="4" t="s">
        <v>25</v>
      </c>
      <c r="I2336" s="5">
        <v>44378</v>
      </c>
      <c r="J2336" s="6">
        <v>0</v>
      </c>
      <c r="K2336" s="6">
        <v>0</v>
      </c>
      <c r="L2336" s="6">
        <v>39.472999999999999</v>
      </c>
      <c r="M2336" s="6">
        <v>39.472999999999999</v>
      </c>
      <c r="N2336" s="6">
        <v>39.472999999999999</v>
      </c>
      <c r="O2336" s="6">
        <v>39.472999999999999</v>
      </c>
      <c r="P2336" s="6">
        <v>0</v>
      </c>
      <c r="Q2336" s="4" t="s">
        <v>26</v>
      </c>
      <c r="R2336" s="4">
        <v>0</v>
      </c>
      <c r="S2336" s="4" t="s">
        <v>392</v>
      </c>
      <c r="T2336" s="4" t="s">
        <v>629</v>
      </c>
      <c r="U2336" s="4">
        <v>0</v>
      </c>
      <c r="V2336" s="4">
        <v>72</v>
      </c>
      <c r="W2336" s="4">
        <v>78</v>
      </c>
    </row>
    <row r="2337" spans="1:23" ht="11.25" customHeight="1" x14ac:dyDescent="0.25">
      <c r="A2337" s="4" t="s">
        <v>21</v>
      </c>
      <c r="B2337" s="4" t="s">
        <v>41</v>
      </c>
      <c r="C2337" s="4" t="s">
        <v>23</v>
      </c>
      <c r="D2337" s="4" t="s">
        <v>45</v>
      </c>
      <c r="E2337" s="4" t="s">
        <v>25</v>
      </c>
      <c r="F2337" s="4" t="s">
        <v>25</v>
      </c>
      <c r="G2337" s="4" t="s">
        <v>25</v>
      </c>
      <c r="H2337" s="4" t="s">
        <v>25</v>
      </c>
      <c r="I2337" s="5">
        <v>44409</v>
      </c>
      <c r="J2337" s="6">
        <v>0</v>
      </c>
      <c r="K2337" s="6">
        <v>0</v>
      </c>
      <c r="L2337" s="6">
        <v>53728.724000000002</v>
      </c>
      <c r="M2337" s="6">
        <v>53728.724000000002</v>
      </c>
      <c r="N2337" s="6">
        <v>53728.724000000002</v>
      </c>
      <c r="O2337" s="6">
        <v>53728.724000000002</v>
      </c>
      <c r="P2337" s="6">
        <v>49287</v>
      </c>
      <c r="Q2337" s="4" t="s">
        <v>26</v>
      </c>
      <c r="R2337" s="4">
        <v>0</v>
      </c>
      <c r="S2337" s="4" t="s">
        <v>393</v>
      </c>
      <c r="T2337" s="4" t="s">
        <v>630</v>
      </c>
      <c r="U2337" s="4">
        <v>0</v>
      </c>
      <c r="V2337" s="4">
        <v>72</v>
      </c>
      <c r="W2337" s="4">
        <v>78</v>
      </c>
    </row>
    <row r="2338" spans="1:23" ht="11.25" customHeight="1" x14ac:dyDescent="0.25">
      <c r="A2338" s="4" t="s">
        <v>27</v>
      </c>
      <c r="B2338" s="4" t="s">
        <v>41</v>
      </c>
      <c r="C2338" s="4" t="s">
        <v>23</v>
      </c>
      <c r="D2338" s="4" t="s">
        <v>45</v>
      </c>
      <c r="E2338" s="4" t="s">
        <v>25</v>
      </c>
      <c r="F2338" s="4" t="s">
        <v>25</v>
      </c>
      <c r="G2338" s="4" t="s">
        <v>25</v>
      </c>
      <c r="H2338" s="4" t="s">
        <v>25</v>
      </c>
      <c r="I2338" s="5">
        <v>44409</v>
      </c>
      <c r="J2338" s="6">
        <v>0</v>
      </c>
      <c r="K2338" s="6">
        <v>0</v>
      </c>
      <c r="L2338" s="6">
        <v>-1435.499</v>
      </c>
      <c r="M2338" s="6">
        <v>-1435.499</v>
      </c>
      <c r="N2338" s="6">
        <v>-1435.499</v>
      </c>
      <c r="O2338" s="6">
        <v>-1435.499</v>
      </c>
      <c r="P2338" s="6">
        <v>0</v>
      </c>
      <c r="Q2338" s="4" t="s">
        <v>26</v>
      </c>
      <c r="R2338" s="4">
        <v>0</v>
      </c>
      <c r="S2338" s="4" t="s">
        <v>393</v>
      </c>
      <c r="T2338" s="4" t="s">
        <v>630</v>
      </c>
      <c r="U2338" s="4">
        <v>0</v>
      </c>
      <c r="V2338" s="4">
        <v>72</v>
      </c>
      <c r="W2338" s="4">
        <v>78</v>
      </c>
    </row>
    <row r="2339" spans="1:23" ht="11.25" customHeight="1" x14ac:dyDescent="0.25">
      <c r="A2339" s="4" t="s">
        <v>28</v>
      </c>
      <c r="B2339" s="4" t="s">
        <v>41</v>
      </c>
      <c r="C2339" s="4" t="s">
        <v>23</v>
      </c>
      <c r="D2339" s="4" t="s">
        <v>45</v>
      </c>
      <c r="E2339" s="4" t="s">
        <v>25</v>
      </c>
      <c r="F2339" s="4" t="s">
        <v>25</v>
      </c>
      <c r="G2339" s="4" t="s">
        <v>25</v>
      </c>
      <c r="H2339" s="4" t="s">
        <v>25</v>
      </c>
      <c r="I2339" s="5">
        <v>44409</v>
      </c>
      <c r="J2339" s="6">
        <v>0</v>
      </c>
      <c r="K2339" s="6">
        <v>0</v>
      </c>
      <c r="L2339" s="6">
        <v>13270.448</v>
      </c>
      <c r="M2339" s="6">
        <v>13270.448</v>
      </c>
      <c r="N2339" s="6">
        <v>13270.448</v>
      </c>
      <c r="O2339" s="6">
        <v>13270.448</v>
      </c>
      <c r="P2339" s="6">
        <v>23966</v>
      </c>
      <c r="Q2339" s="4" t="s">
        <v>26</v>
      </c>
      <c r="R2339" s="4">
        <v>0</v>
      </c>
      <c r="S2339" s="4" t="s">
        <v>393</v>
      </c>
      <c r="T2339" s="4" t="s">
        <v>630</v>
      </c>
      <c r="U2339" s="4">
        <v>0</v>
      </c>
      <c r="V2339" s="4">
        <v>72</v>
      </c>
      <c r="W2339" s="4">
        <v>78</v>
      </c>
    </row>
    <row r="2340" spans="1:23" ht="11.25" customHeight="1" x14ac:dyDescent="0.25">
      <c r="A2340" s="4" t="s">
        <v>29</v>
      </c>
      <c r="B2340" s="4" t="s">
        <v>41</v>
      </c>
      <c r="C2340" s="4" t="s">
        <v>23</v>
      </c>
      <c r="D2340" s="4" t="s">
        <v>45</v>
      </c>
      <c r="E2340" s="4" t="s">
        <v>25</v>
      </c>
      <c r="F2340" s="4" t="s">
        <v>25</v>
      </c>
      <c r="G2340" s="4" t="s">
        <v>25</v>
      </c>
      <c r="H2340" s="4" t="s">
        <v>25</v>
      </c>
      <c r="I2340" s="5">
        <v>44409</v>
      </c>
      <c r="J2340" s="6">
        <v>0</v>
      </c>
      <c r="K2340" s="6">
        <v>0</v>
      </c>
      <c r="L2340" s="6">
        <v>-130.62</v>
      </c>
      <c r="M2340" s="6">
        <v>-130.62</v>
      </c>
      <c r="N2340" s="6">
        <v>-130.62</v>
      </c>
      <c r="O2340" s="6">
        <v>-130.62</v>
      </c>
      <c r="P2340" s="6">
        <v>0</v>
      </c>
      <c r="Q2340" s="4" t="s">
        <v>26</v>
      </c>
      <c r="R2340" s="4">
        <v>0</v>
      </c>
      <c r="S2340" s="4" t="s">
        <v>393</v>
      </c>
      <c r="T2340" s="4" t="s">
        <v>630</v>
      </c>
      <c r="U2340" s="4">
        <v>0</v>
      </c>
      <c r="V2340" s="4">
        <v>72</v>
      </c>
      <c r="W2340" s="4">
        <v>78</v>
      </c>
    </row>
    <row r="2341" spans="1:23" ht="11.25" customHeight="1" x14ac:dyDescent="0.25">
      <c r="A2341" s="4" t="s">
        <v>30</v>
      </c>
      <c r="B2341" s="4" t="s">
        <v>41</v>
      </c>
      <c r="C2341" s="4" t="s">
        <v>23</v>
      </c>
      <c r="D2341" s="4" t="s">
        <v>45</v>
      </c>
      <c r="E2341" s="4" t="s">
        <v>25</v>
      </c>
      <c r="F2341" s="4" t="s">
        <v>25</v>
      </c>
      <c r="G2341" s="4" t="s">
        <v>25</v>
      </c>
      <c r="H2341" s="4" t="s">
        <v>25</v>
      </c>
      <c r="I2341" s="5">
        <v>44409</v>
      </c>
      <c r="J2341" s="6">
        <v>0</v>
      </c>
      <c r="K2341" s="6">
        <v>0</v>
      </c>
      <c r="L2341" s="6">
        <v>1363.7249999999999</v>
      </c>
      <c r="M2341" s="6">
        <v>1363.7249999999999</v>
      </c>
      <c r="N2341" s="6">
        <v>1363.7249999999999</v>
      </c>
      <c r="O2341" s="6">
        <v>1363.7249999999999</v>
      </c>
      <c r="P2341" s="6">
        <v>511</v>
      </c>
      <c r="Q2341" s="4" t="s">
        <v>26</v>
      </c>
      <c r="R2341" s="4">
        <v>0</v>
      </c>
      <c r="S2341" s="4" t="s">
        <v>393</v>
      </c>
      <c r="T2341" s="4" t="s">
        <v>630</v>
      </c>
      <c r="U2341" s="4">
        <v>0</v>
      </c>
      <c r="V2341" s="4">
        <v>72</v>
      </c>
      <c r="W2341" s="4">
        <v>78</v>
      </c>
    </row>
    <row r="2342" spans="1:23" ht="11.25" customHeight="1" x14ac:dyDescent="0.25">
      <c r="A2342" s="4" t="s">
        <v>30</v>
      </c>
      <c r="B2342" s="4" t="s">
        <v>41</v>
      </c>
      <c r="C2342" s="4" t="s">
        <v>23</v>
      </c>
      <c r="D2342" s="4" t="s">
        <v>45</v>
      </c>
      <c r="E2342" s="4" t="s">
        <v>25</v>
      </c>
      <c r="F2342" s="4" t="s">
        <v>25</v>
      </c>
      <c r="G2342" s="4" t="s">
        <v>25</v>
      </c>
      <c r="H2342" s="4" t="s">
        <v>25</v>
      </c>
      <c r="I2342" s="5">
        <v>44409</v>
      </c>
      <c r="J2342" s="6">
        <v>0</v>
      </c>
      <c r="K2342" s="6">
        <v>0</v>
      </c>
      <c r="L2342" s="6">
        <v>-7.8319999999999999</v>
      </c>
      <c r="M2342" s="6">
        <v>-7.8319999999999999</v>
      </c>
      <c r="N2342" s="6">
        <v>-7.8319999999999999</v>
      </c>
      <c r="O2342" s="6">
        <v>-7.8319999999999999</v>
      </c>
      <c r="P2342" s="6">
        <v>0</v>
      </c>
      <c r="Q2342" s="4" t="s">
        <v>26</v>
      </c>
      <c r="R2342" s="4">
        <v>0</v>
      </c>
      <c r="S2342" s="4" t="s">
        <v>393</v>
      </c>
      <c r="T2342" s="4" t="s">
        <v>630</v>
      </c>
      <c r="U2342" s="4">
        <v>0</v>
      </c>
      <c r="V2342" s="4">
        <v>72</v>
      </c>
      <c r="W2342" s="4">
        <v>78</v>
      </c>
    </row>
    <row r="2343" spans="1:23" ht="11.25" customHeight="1" x14ac:dyDescent="0.25">
      <c r="A2343" s="4" t="s">
        <v>21</v>
      </c>
      <c r="B2343" s="4" t="s">
        <v>41</v>
      </c>
      <c r="C2343" s="4" t="s">
        <v>23</v>
      </c>
      <c r="D2343" s="4" t="s">
        <v>45</v>
      </c>
      <c r="E2343" s="4" t="s">
        <v>25</v>
      </c>
      <c r="F2343" s="4" t="s">
        <v>25</v>
      </c>
      <c r="G2343" s="4" t="s">
        <v>25</v>
      </c>
      <c r="H2343" s="4" t="s">
        <v>25</v>
      </c>
      <c r="I2343" s="5">
        <v>44440</v>
      </c>
      <c r="J2343" s="6">
        <v>0</v>
      </c>
      <c r="K2343" s="6">
        <v>0</v>
      </c>
      <c r="L2343" s="6">
        <v>50433.957000000002</v>
      </c>
      <c r="M2343" s="6">
        <v>50433.957000000002</v>
      </c>
      <c r="N2343" s="6">
        <v>50433.957000000002</v>
      </c>
      <c r="O2343" s="6">
        <v>50433.957000000002</v>
      </c>
      <c r="P2343" s="6">
        <v>49608</v>
      </c>
      <c r="Q2343" s="4" t="s">
        <v>26</v>
      </c>
      <c r="R2343" s="4">
        <v>0</v>
      </c>
      <c r="S2343" s="4" t="s">
        <v>394</v>
      </c>
      <c r="T2343" s="4" t="s">
        <v>631</v>
      </c>
      <c r="U2343" s="4">
        <v>0</v>
      </c>
      <c r="V2343" s="4">
        <v>72</v>
      </c>
      <c r="W2343" s="4">
        <v>78</v>
      </c>
    </row>
    <row r="2344" spans="1:23" ht="11.25" customHeight="1" x14ac:dyDescent="0.25">
      <c r="A2344" s="4" t="s">
        <v>27</v>
      </c>
      <c r="B2344" s="4" t="s">
        <v>41</v>
      </c>
      <c r="C2344" s="4" t="s">
        <v>23</v>
      </c>
      <c r="D2344" s="4" t="s">
        <v>45</v>
      </c>
      <c r="E2344" s="4" t="s">
        <v>25</v>
      </c>
      <c r="F2344" s="4" t="s">
        <v>25</v>
      </c>
      <c r="G2344" s="4" t="s">
        <v>25</v>
      </c>
      <c r="H2344" s="4" t="s">
        <v>25</v>
      </c>
      <c r="I2344" s="5">
        <v>44440</v>
      </c>
      <c r="J2344" s="6">
        <v>0</v>
      </c>
      <c r="K2344" s="6">
        <v>0</v>
      </c>
      <c r="L2344" s="6">
        <v>-2977.6590000000001</v>
      </c>
      <c r="M2344" s="6">
        <v>-2977.6590000000001</v>
      </c>
      <c r="N2344" s="6">
        <v>-2977.6590000000001</v>
      </c>
      <c r="O2344" s="6">
        <v>-2977.6590000000001</v>
      </c>
      <c r="P2344" s="6">
        <v>0</v>
      </c>
      <c r="Q2344" s="4" t="s">
        <v>26</v>
      </c>
      <c r="R2344" s="4">
        <v>0</v>
      </c>
      <c r="S2344" s="4" t="s">
        <v>394</v>
      </c>
      <c r="T2344" s="4" t="s">
        <v>631</v>
      </c>
      <c r="U2344" s="4">
        <v>0</v>
      </c>
      <c r="V2344" s="4">
        <v>72</v>
      </c>
      <c r="W2344" s="4">
        <v>78</v>
      </c>
    </row>
    <row r="2345" spans="1:23" ht="11.25" customHeight="1" x14ac:dyDescent="0.25">
      <c r="A2345" s="4" t="s">
        <v>28</v>
      </c>
      <c r="B2345" s="4" t="s">
        <v>41</v>
      </c>
      <c r="C2345" s="4" t="s">
        <v>23</v>
      </c>
      <c r="D2345" s="4" t="s">
        <v>45</v>
      </c>
      <c r="E2345" s="4" t="s">
        <v>25</v>
      </c>
      <c r="F2345" s="4" t="s">
        <v>25</v>
      </c>
      <c r="G2345" s="4" t="s">
        <v>25</v>
      </c>
      <c r="H2345" s="4" t="s">
        <v>25</v>
      </c>
      <c r="I2345" s="5">
        <v>44440</v>
      </c>
      <c r="J2345" s="6">
        <v>0</v>
      </c>
      <c r="K2345" s="6">
        <v>0</v>
      </c>
      <c r="L2345" s="6">
        <v>14906.736000000001</v>
      </c>
      <c r="M2345" s="6">
        <v>14906.736000000001</v>
      </c>
      <c r="N2345" s="6">
        <v>14906.736000000001</v>
      </c>
      <c r="O2345" s="6">
        <v>14906.736000000001</v>
      </c>
      <c r="P2345" s="6">
        <v>24200</v>
      </c>
      <c r="Q2345" s="4" t="s">
        <v>26</v>
      </c>
      <c r="R2345" s="4">
        <v>0</v>
      </c>
      <c r="S2345" s="4" t="s">
        <v>394</v>
      </c>
      <c r="T2345" s="4" t="s">
        <v>631</v>
      </c>
      <c r="U2345" s="4">
        <v>0</v>
      </c>
      <c r="V2345" s="4">
        <v>72</v>
      </c>
      <c r="W2345" s="4">
        <v>78</v>
      </c>
    </row>
    <row r="2346" spans="1:23" ht="11.25" customHeight="1" x14ac:dyDescent="0.25">
      <c r="A2346" s="4" t="s">
        <v>29</v>
      </c>
      <c r="B2346" s="4" t="s">
        <v>41</v>
      </c>
      <c r="C2346" s="4" t="s">
        <v>23</v>
      </c>
      <c r="D2346" s="4" t="s">
        <v>45</v>
      </c>
      <c r="E2346" s="4" t="s">
        <v>25</v>
      </c>
      <c r="F2346" s="4" t="s">
        <v>25</v>
      </c>
      <c r="G2346" s="4" t="s">
        <v>25</v>
      </c>
      <c r="H2346" s="4" t="s">
        <v>25</v>
      </c>
      <c r="I2346" s="5">
        <v>44440</v>
      </c>
      <c r="J2346" s="6">
        <v>0</v>
      </c>
      <c r="K2346" s="6">
        <v>0</v>
      </c>
      <c r="L2346" s="6">
        <v>-122.572</v>
      </c>
      <c r="M2346" s="6">
        <v>-122.572</v>
      </c>
      <c r="N2346" s="6">
        <v>-122.572</v>
      </c>
      <c r="O2346" s="6">
        <v>-122.572</v>
      </c>
      <c r="P2346" s="6">
        <v>0</v>
      </c>
      <c r="Q2346" s="4" t="s">
        <v>26</v>
      </c>
      <c r="R2346" s="4">
        <v>0</v>
      </c>
      <c r="S2346" s="4" t="s">
        <v>394</v>
      </c>
      <c r="T2346" s="4" t="s">
        <v>631</v>
      </c>
      <c r="U2346" s="4">
        <v>0</v>
      </c>
      <c r="V2346" s="4">
        <v>72</v>
      </c>
      <c r="W2346" s="4">
        <v>78</v>
      </c>
    </row>
    <row r="2347" spans="1:23" ht="11.25" customHeight="1" x14ac:dyDescent="0.25">
      <c r="A2347" s="4" t="s">
        <v>30</v>
      </c>
      <c r="B2347" s="4" t="s">
        <v>41</v>
      </c>
      <c r="C2347" s="4" t="s">
        <v>23</v>
      </c>
      <c r="D2347" s="4" t="s">
        <v>45</v>
      </c>
      <c r="E2347" s="4" t="s">
        <v>25</v>
      </c>
      <c r="F2347" s="4" t="s">
        <v>25</v>
      </c>
      <c r="G2347" s="4" t="s">
        <v>25</v>
      </c>
      <c r="H2347" s="4" t="s">
        <v>25</v>
      </c>
      <c r="I2347" s="5">
        <v>44440</v>
      </c>
      <c r="J2347" s="6">
        <v>0</v>
      </c>
      <c r="K2347" s="6">
        <v>0</v>
      </c>
      <c r="L2347" s="6">
        <v>1501.827</v>
      </c>
      <c r="M2347" s="6">
        <v>1501.827</v>
      </c>
      <c r="N2347" s="6">
        <v>1501.827</v>
      </c>
      <c r="O2347" s="6">
        <v>1501.827</v>
      </c>
      <c r="P2347" s="6">
        <v>562</v>
      </c>
      <c r="Q2347" s="4" t="s">
        <v>26</v>
      </c>
      <c r="R2347" s="4">
        <v>0</v>
      </c>
      <c r="S2347" s="4" t="s">
        <v>394</v>
      </c>
      <c r="T2347" s="4" t="s">
        <v>631</v>
      </c>
      <c r="U2347" s="4">
        <v>0</v>
      </c>
      <c r="V2347" s="4">
        <v>72</v>
      </c>
      <c r="W2347" s="4">
        <v>78</v>
      </c>
    </row>
    <row r="2348" spans="1:23" ht="11.25" customHeight="1" x14ac:dyDescent="0.25">
      <c r="A2348" s="4" t="s">
        <v>30</v>
      </c>
      <c r="B2348" s="4" t="s">
        <v>41</v>
      </c>
      <c r="C2348" s="4" t="s">
        <v>23</v>
      </c>
      <c r="D2348" s="4" t="s">
        <v>45</v>
      </c>
      <c r="E2348" s="4" t="s">
        <v>25</v>
      </c>
      <c r="F2348" s="4" t="s">
        <v>25</v>
      </c>
      <c r="G2348" s="4" t="s">
        <v>25</v>
      </c>
      <c r="H2348" s="4" t="s">
        <v>25</v>
      </c>
      <c r="I2348" s="5">
        <v>44440</v>
      </c>
      <c r="J2348" s="6">
        <v>0</v>
      </c>
      <c r="K2348" s="6">
        <v>0</v>
      </c>
      <c r="L2348" s="6">
        <v>-1.734</v>
      </c>
      <c r="M2348" s="6">
        <v>-1.734</v>
      </c>
      <c r="N2348" s="6">
        <v>-1.734</v>
      </c>
      <c r="O2348" s="6">
        <v>-1.734</v>
      </c>
      <c r="P2348" s="6">
        <v>0</v>
      </c>
      <c r="Q2348" s="4" t="s">
        <v>26</v>
      </c>
      <c r="R2348" s="4">
        <v>0</v>
      </c>
      <c r="S2348" s="4" t="s">
        <v>394</v>
      </c>
      <c r="T2348" s="4" t="s">
        <v>631</v>
      </c>
      <c r="U2348" s="4">
        <v>0</v>
      </c>
      <c r="V2348" s="4">
        <v>72</v>
      </c>
      <c r="W2348" s="4">
        <v>78</v>
      </c>
    </row>
    <row r="2349" spans="1:23" ht="11.25" customHeight="1" x14ac:dyDescent="0.25">
      <c r="A2349" s="4" t="s">
        <v>59</v>
      </c>
      <c r="B2349" s="4" t="s">
        <v>41</v>
      </c>
      <c r="C2349" s="4" t="s">
        <v>23</v>
      </c>
      <c r="D2349" s="4" t="s">
        <v>45</v>
      </c>
      <c r="E2349" s="4" t="s">
        <v>25</v>
      </c>
      <c r="F2349" s="4" t="s">
        <v>25</v>
      </c>
      <c r="G2349" s="4" t="s">
        <v>25</v>
      </c>
      <c r="H2349" s="4" t="s">
        <v>25</v>
      </c>
      <c r="I2349" s="5">
        <v>44470</v>
      </c>
      <c r="J2349" s="6">
        <v>0</v>
      </c>
      <c r="K2349" s="6">
        <v>0</v>
      </c>
      <c r="L2349" s="6">
        <v>50433.957000000002</v>
      </c>
      <c r="M2349" s="6">
        <v>50433.957000000002</v>
      </c>
      <c r="N2349" s="6">
        <v>50433.957000000002</v>
      </c>
      <c r="O2349" s="6">
        <v>50433.957000000002</v>
      </c>
      <c r="P2349" s="6">
        <v>49608</v>
      </c>
      <c r="Q2349" s="4" t="s">
        <v>26</v>
      </c>
      <c r="R2349" s="4">
        <v>0</v>
      </c>
      <c r="S2349" s="4" t="s">
        <v>395</v>
      </c>
      <c r="T2349" s="4" t="s">
        <v>632</v>
      </c>
      <c r="U2349" s="4">
        <v>0</v>
      </c>
      <c r="V2349" s="4">
        <v>72</v>
      </c>
      <c r="W2349" s="4">
        <v>78</v>
      </c>
    </row>
    <row r="2350" spans="1:23" ht="11.25" customHeight="1" x14ac:dyDescent="0.25">
      <c r="A2350" s="4" t="s">
        <v>59</v>
      </c>
      <c r="B2350" s="4" t="s">
        <v>41</v>
      </c>
      <c r="C2350" s="4" t="s">
        <v>23</v>
      </c>
      <c r="D2350" s="4" t="s">
        <v>45</v>
      </c>
      <c r="E2350" s="4" t="s">
        <v>25</v>
      </c>
      <c r="F2350" s="4" t="s">
        <v>25</v>
      </c>
      <c r="G2350" s="4" t="s">
        <v>25</v>
      </c>
      <c r="H2350" s="4" t="s">
        <v>25</v>
      </c>
      <c r="I2350" s="5">
        <v>44470</v>
      </c>
      <c r="J2350" s="6">
        <v>0</v>
      </c>
      <c r="K2350" s="6">
        <v>0</v>
      </c>
      <c r="L2350" s="6">
        <v>-2977.6590000000001</v>
      </c>
      <c r="M2350" s="6">
        <v>-2977.6590000000001</v>
      </c>
      <c r="N2350" s="6">
        <v>-2977.6590000000001</v>
      </c>
      <c r="O2350" s="6">
        <v>-2977.6590000000001</v>
      </c>
      <c r="P2350" s="6">
        <v>0</v>
      </c>
      <c r="Q2350" s="4" t="s">
        <v>26</v>
      </c>
      <c r="R2350" s="4">
        <v>0</v>
      </c>
      <c r="S2350" s="4" t="s">
        <v>395</v>
      </c>
      <c r="T2350" s="4" t="s">
        <v>632</v>
      </c>
      <c r="U2350" s="4">
        <v>0</v>
      </c>
      <c r="V2350" s="4">
        <v>72</v>
      </c>
      <c r="W2350" s="4">
        <v>78</v>
      </c>
    </row>
    <row r="2351" spans="1:23" ht="11.25" customHeight="1" x14ac:dyDescent="0.25">
      <c r="A2351" s="4" t="s">
        <v>59</v>
      </c>
      <c r="B2351" s="4" t="s">
        <v>41</v>
      </c>
      <c r="C2351" s="4" t="s">
        <v>23</v>
      </c>
      <c r="D2351" s="4" t="s">
        <v>45</v>
      </c>
      <c r="E2351" s="4" t="s">
        <v>25</v>
      </c>
      <c r="F2351" s="4" t="s">
        <v>25</v>
      </c>
      <c r="G2351" s="4" t="s">
        <v>25</v>
      </c>
      <c r="H2351" s="4" t="s">
        <v>25</v>
      </c>
      <c r="I2351" s="5">
        <v>44470</v>
      </c>
      <c r="J2351" s="6">
        <v>0</v>
      </c>
      <c r="K2351" s="6">
        <v>0</v>
      </c>
      <c r="L2351" s="6">
        <v>14906.736000000001</v>
      </c>
      <c r="M2351" s="6">
        <v>14906.736000000001</v>
      </c>
      <c r="N2351" s="6">
        <v>14906.736000000001</v>
      </c>
      <c r="O2351" s="6">
        <v>14906.736000000001</v>
      </c>
      <c r="P2351" s="6">
        <v>24200</v>
      </c>
      <c r="Q2351" s="4" t="s">
        <v>26</v>
      </c>
      <c r="R2351" s="4">
        <v>0</v>
      </c>
      <c r="S2351" s="4" t="s">
        <v>395</v>
      </c>
      <c r="T2351" s="4" t="s">
        <v>632</v>
      </c>
      <c r="U2351" s="4">
        <v>0</v>
      </c>
      <c r="V2351" s="4">
        <v>72</v>
      </c>
      <c r="W2351" s="4">
        <v>78</v>
      </c>
    </row>
    <row r="2352" spans="1:23" ht="11.25" customHeight="1" x14ac:dyDescent="0.25">
      <c r="A2352" s="4" t="s">
        <v>59</v>
      </c>
      <c r="B2352" s="4" t="s">
        <v>41</v>
      </c>
      <c r="C2352" s="4" t="s">
        <v>23</v>
      </c>
      <c r="D2352" s="4" t="s">
        <v>45</v>
      </c>
      <c r="E2352" s="4" t="s">
        <v>25</v>
      </c>
      <c r="F2352" s="4" t="s">
        <v>25</v>
      </c>
      <c r="G2352" s="4" t="s">
        <v>25</v>
      </c>
      <c r="H2352" s="4" t="s">
        <v>25</v>
      </c>
      <c r="I2352" s="5">
        <v>44470</v>
      </c>
      <c r="J2352" s="6">
        <v>0</v>
      </c>
      <c r="K2352" s="6">
        <v>0</v>
      </c>
      <c r="L2352" s="6">
        <v>-122.572</v>
      </c>
      <c r="M2352" s="6">
        <v>-122.572</v>
      </c>
      <c r="N2352" s="6">
        <v>-122.572</v>
      </c>
      <c r="O2352" s="6">
        <v>-122.572</v>
      </c>
      <c r="P2352" s="6">
        <v>0</v>
      </c>
      <c r="Q2352" s="4" t="s">
        <v>26</v>
      </c>
      <c r="R2352" s="4">
        <v>0</v>
      </c>
      <c r="S2352" s="4" t="s">
        <v>395</v>
      </c>
      <c r="T2352" s="4" t="s">
        <v>632</v>
      </c>
      <c r="U2352" s="4">
        <v>0</v>
      </c>
      <c r="V2352" s="4">
        <v>72</v>
      </c>
      <c r="W2352" s="4">
        <v>78</v>
      </c>
    </row>
    <row r="2353" spans="1:23" ht="11.25" customHeight="1" x14ac:dyDescent="0.25">
      <c r="A2353" s="4" t="s">
        <v>59</v>
      </c>
      <c r="B2353" s="4" t="s">
        <v>41</v>
      </c>
      <c r="C2353" s="4" t="s">
        <v>23</v>
      </c>
      <c r="D2353" s="4" t="s">
        <v>45</v>
      </c>
      <c r="E2353" s="4" t="s">
        <v>25</v>
      </c>
      <c r="F2353" s="4" t="s">
        <v>25</v>
      </c>
      <c r="G2353" s="4" t="s">
        <v>25</v>
      </c>
      <c r="H2353" s="4" t="s">
        <v>25</v>
      </c>
      <c r="I2353" s="5">
        <v>44470</v>
      </c>
      <c r="J2353" s="6">
        <v>0</v>
      </c>
      <c r="K2353" s="6">
        <v>0</v>
      </c>
      <c r="L2353" s="6">
        <v>1501.827</v>
      </c>
      <c r="M2353" s="6">
        <v>1501.827</v>
      </c>
      <c r="N2353" s="6">
        <v>1501.827</v>
      </c>
      <c r="O2353" s="6">
        <v>1501.827</v>
      </c>
      <c r="P2353" s="6">
        <v>562</v>
      </c>
      <c r="Q2353" s="4" t="s">
        <v>26</v>
      </c>
      <c r="R2353" s="4">
        <v>0</v>
      </c>
      <c r="S2353" s="4" t="s">
        <v>395</v>
      </c>
      <c r="T2353" s="4" t="s">
        <v>632</v>
      </c>
      <c r="U2353" s="4">
        <v>0</v>
      </c>
      <c r="V2353" s="4">
        <v>72</v>
      </c>
      <c r="W2353" s="4">
        <v>78</v>
      </c>
    </row>
    <row r="2354" spans="1:23" ht="11.25" customHeight="1" x14ac:dyDescent="0.25">
      <c r="A2354" s="4" t="s">
        <v>59</v>
      </c>
      <c r="B2354" s="4" t="s">
        <v>41</v>
      </c>
      <c r="C2354" s="4" t="s">
        <v>23</v>
      </c>
      <c r="D2354" s="4" t="s">
        <v>45</v>
      </c>
      <c r="E2354" s="4" t="s">
        <v>25</v>
      </c>
      <c r="F2354" s="4" t="s">
        <v>25</v>
      </c>
      <c r="G2354" s="4" t="s">
        <v>25</v>
      </c>
      <c r="H2354" s="4" t="s">
        <v>25</v>
      </c>
      <c r="I2354" s="5">
        <v>44470</v>
      </c>
      <c r="J2354" s="6">
        <v>0</v>
      </c>
      <c r="K2354" s="6">
        <v>0</v>
      </c>
      <c r="L2354" s="6">
        <v>-1.734</v>
      </c>
      <c r="M2354" s="6">
        <v>-1.734</v>
      </c>
      <c r="N2354" s="6">
        <v>-1.734</v>
      </c>
      <c r="O2354" s="6">
        <v>-1.734</v>
      </c>
      <c r="P2354" s="6">
        <v>0</v>
      </c>
      <c r="Q2354" s="4" t="s">
        <v>26</v>
      </c>
      <c r="R2354" s="4">
        <v>0</v>
      </c>
      <c r="S2354" s="4" t="s">
        <v>395</v>
      </c>
      <c r="T2354" s="4" t="s">
        <v>632</v>
      </c>
      <c r="U2354" s="4">
        <v>0</v>
      </c>
      <c r="V2354" s="4">
        <v>72</v>
      </c>
      <c r="W2354" s="4">
        <v>78</v>
      </c>
    </row>
    <row r="2355" spans="1:23" ht="11.25" customHeight="1" x14ac:dyDescent="0.25">
      <c r="A2355" s="4" t="s">
        <v>21</v>
      </c>
      <c r="B2355" s="4" t="s">
        <v>41</v>
      </c>
      <c r="C2355" s="4" t="s">
        <v>23</v>
      </c>
      <c r="D2355" s="4" t="s">
        <v>54</v>
      </c>
      <c r="E2355" s="4" t="s">
        <v>25</v>
      </c>
      <c r="F2355" s="4" t="s">
        <v>25</v>
      </c>
      <c r="G2355" s="4" t="s">
        <v>25</v>
      </c>
      <c r="H2355" s="4" t="s">
        <v>25</v>
      </c>
      <c r="I2355" s="5">
        <v>44136</v>
      </c>
      <c r="J2355" s="6">
        <v>0</v>
      </c>
      <c r="K2355" s="6">
        <v>0</v>
      </c>
      <c r="L2355" s="6">
        <v>561.19799999999998</v>
      </c>
      <c r="M2355" s="6">
        <v>561.19799999999998</v>
      </c>
      <c r="N2355" s="6">
        <v>561.19799999999998</v>
      </c>
      <c r="O2355" s="6">
        <v>561.19799999999998</v>
      </c>
      <c r="P2355" s="6">
        <v>56</v>
      </c>
      <c r="Q2355" s="4" t="s">
        <v>26</v>
      </c>
      <c r="R2355" s="4">
        <v>0</v>
      </c>
      <c r="S2355" s="4" t="s">
        <v>384</v>
      </c>
      <c r="T2355" s="4" t="s">
        <v>621</v>
      </c>
      <c r="U2355" s="4">
        <v>0</v>
      </c>
      <c r="V2355" s="4">
        <v>72</v>
      </c>
      <c r="W2355" s="4">
        <v>78</v>
      </c>
    </row>
    <row r="2356" spans="1:23" ht="11.25" customHeight="1" x14ac:dyDescent="0.25">
      <c r="A2356" s="4" t="s">
        <v>28</v>
      </c>
      <c r="B2356" s="4" t="s">
        <v>41</v>
      </c>
      <c r="C2356" s="4" t="s">
        <v>23</v>
      </c>
      <c r="D2356" s="4" t="s">
        <v>54</v>
      </c>
      <c r="E2356" s="4" t="s">
        <v>25</v>
      </c>
      <c r="F2356" s="4" t="s">
        <v>25</v>
      </c>
      <c r="G2356" s="4" t="s">
        <v>25</v>
      </c>
      <c r="H2356" s="4" t="s">
        <v>25</v>
      </c>
      <c r="I2356" s="5">
        <v>44136</v>
      </c>
      <c r="J2356" s="6">
        <v>0</v>
      </c>
      <c r="K2356" s="6">
        <v>0</v>
      </c>
      <c r="L2356" s="6">
        <v>269.08999999999997</v>
      </c>
      <c r="M2356" s="6">
        <v>269.08999999999997</v>
      </c>
      <c r="N2356" s="6">
        <v>269.08999999999997</v>
      </c>
      <c r="O2356" s="6">
        <v>269.08999999999997</v>
      </c>
      <c r="P2356" s="6">
        <v>191</v>
      </c>
      <c r="Q2356" s="4" t="s">
        <v>26</v>
      </c>
      <c r="R2356" s="4">
        <v>0</v>
      </c>
      <c r="S2356" s="4" t="s">
        <v>384</v>
      </c>
      <c r="T2356" s="4" t="s">
        <v>621</v>
      </c>
      <c r="U2356" s="4">
        <v>0</v>
      </c>
      <c r="V2356" s="4">
        <v>72</v>
      </c>
      <c r="W2356" s="4">
        <v>78</v>
      </c>
    </row>
    <row r="2357" spans="1:23" ht="11.25" customHeight="1" x14ac:dyDescent="0.25">
      <c r="A2357" s="4" t="s">
        <v>21</v>
      </c>
      <c r="B2357" s="4" t="s">
        <v>41</v>
      </c>
      <c r="C2357" s="4" t="s">
        <v>23</v>
      </c>
      <c r="D2357" s="4" t="s">
        <v>54</v>
      </c>
      <c r="E2357" s="4" t="s">
        <v>25</v>
      </c>
      <c r="F2357" s="4" t="s">
        <v>25</v>
      </c>
      <c r="G2357" s="4" t="s">
        <v>25</v>
      </c>
      <c r="H2357" s="4" t="s">
        <v>25</v>
      </c>
      <c r="I2357" s="5">
        <v>44166</v>
      </c>
      <c r="J2357" s="6">
        <v>0</v>
      </c>
      <c r="K2357" s="6">
        <v>0</v>
      </c>
      <c r="L2357" s="6">
        <v>569.69299999999998</v>
      </c>
      <c r="M2357" s="6">
        <v>569.69299999999998</v>
      </c>
      <c r="N2357" s="6">
        <v>569.69299999999998</v>
      </c>
      <c r="O2357" s="6">
        <v>569.69299999999998</v>
      </c>
      <c r="P2357" s="6">
        <v>56</v>
      </c>
      <c r="Q2357" s="4" t="s">
        <v>26</v>
      </c>
      <c r="R2357" s="4">
        <v>0</v>
      </c>
      <c r="S2357" s="4" t="s">
        <v>385</v>
      </c>
      <c r="T2357" s="4" t="s">
        <v>622</v>
      </c>
      <c r="U2357" s="4">
        <v>0</v>
      </c>
      <c r="V2357" s="4">
        <v>72</v>
      </c>
      <c r="W2357" s="4">
        <v>78</v>
      </c>
    </row>
    <row r="2358" spans="1:23" ht="11.25" customHeight="1" x14ac:dyDescent="0.25">
      <c r="A2358" s="4" t="s">
        <v>28</v>
      </c>
      <c r="B2358" s="4" t="s">
        <v>41</v>
      </c>
      <c r="C2358" s="4" t="s">
        <v>23</v>
      </c>
      <c r="D2358" s="4" t="s">
        <v>54</v>
      </c>
      <c r="E2358" s="4" t="s">
        <v>25</v>
      </c>
      <c r="F2358" s="4" t="s">
        <v>25</v>
      </c>
      <c r="G2358" s="4" t="s">
        <v>25</v>
      </c>
      <c r="H2358" s="4" t="s">
        <v>25</v>
      </c>
      <c r="I2358" s="5">
        <v>44166</v>
      </c>
      <c r="J2358" s="6">
        <v>0</v>
      </c>
      <c r="K2358" s="6">
        <v>0</v>
      </c>
      <c r="L2358" s="6">
        <v>254.846</v>
      </c>
      <c r="M2358" s="6">
        <v>254.846</v>
      </c>
      <c r="N2358" s="6">
        <v>254.846</v>
      </c>
      <c r="O2358" s="6">
        <v>254.846</v>
      </c>
      <c r="P2358" s="6">
        <v>192</v>
      </c>
      <c r="Q2358" s="4" t="s">
        <v>26</v>
      </c>
      <c r="R2358" s="4">
        <v>0</v>
      </c>
      <c r="S2358" s="4" t="s">
        <v>385</v>
      </c>
      <c r="T2358" s="4" t="s">
        <v>622</v>
      </c>
      <c r="U2358" s="4">
        <v>0</v>
      </c>
      <c r="V2358" s="4">
        <v>72</v>
      </c>
      <c r="W2358" s="4">
        <v>78</v>
      </c>
    </row>
    <row r="2359" spans="1:23" ht="11.25" customHeight="1" x14ac:dyDescent="0.25">
      <c r="A2359" s="4" t="s">
        <v>21</v>
      </c>
      <c r="B2359" s="4" t="s">
        <v>41</v>
      </c>
      <c r="C2359" s="4" t="s">
        <v>23</v>
      </c>
      <c r="D2359" s="4" t="s">
        <v>54</v>
      </c>
      <c r="E2359" s="4" t="s">
        <v>25</v>
      </c>
      <c r="F2359" s="4" t="s">
        <v>25</v>
      </c>
      <c r="G2359" s="4" t="s">
        <v>25</v>
      </c>
      <c r="H2359" s="4" t="s">
        <v>25</v>
      </c>
      <c r="I2359" s="5">
        <v>44197</v>
      </c>
      <c r="J2359" s="6">
        <v>0</v>
      </c>
      <c r="K2359" s="6">
        <v>0</v>
      </c>
      <c r="L2359" s="6">
        <v>510.62400000000002</v>
      </c>
      <c r="M2359" s="6">
        <v>510.62400000000002</v>
      </c>
      <c r="N2359" s="6">
        <v>510.62400000000002</v>
      </c>
      <c r="O2359" s="6">
        <v>510.62400000000002</v>
      </c>
      <c r="P2359" s="6">
        <v>56</v>
      </c>
      <c r="Q2359" s="4" t="s">
        <v>26</v>
      </c>
      <c r="R2359" s="4">
        <v>0</v>
      </c>
      <c r="S2359" s="4" t="s">
        <v>386</v>
      </c>
      <c r="T2359" s="4" t="s">
        <v>623</v>
      </c>
      <c r="U2359" s="4">
        <v>0</v>
      </c>
      <c r="V2359" s="4">
        <v>72</v>
      </c>
      <c r="W2359" s="4">
        <v>78</v>
      </c>
    </row>
    <row r="2360" spans="1:23" ht="11.25" customHeight="1" x14ac:dyDescent="0.25">
      <c r="A2360" s="4" t="s">
        <v>28</v>
      </c>
      <c r="B2360" s="4" t="s">
        <v>41</v>
      </c>
      <c r="C2360" s="4" t="s">
        <v>23</v>
      </c>
      <c r="D2360" s="4" t="s">
        <v>54</v>
      </c>
      <c r="E2360" s="4" t="s">
        <v>25</v>
      </c>
      <c r="F2360" s="4" t="s">
        <v>25</v>
      </c>
      <c r="G2360" s="4" t="s">
        <v>25</v>
      </c>
      <c r="H2360" s="4" t="s">
        <v>25</v>
      </c>
      <c r="I2360" s="5">
        <v>44197</v>
      </c>
      <c r="J2360" s="6">
        <v>0</v>
      </c>
      <c r="K2360" s="6">
        <v>0</v>
      </c>
      <c r="L2360" s="6">
        <v>213.67500000000001</v>
      </c>
      <c r="M2360" s="6">
        <v>213.67500000000001</v>
      </c>
      <c r="N2360" s="6">
        <v>213.67500000000001</v>
      </c>
      <c r="O2360" s="6">
        <v>213.67500000000001</v>
      </c>
      <c r="P2360" s="6">
        <v>190</v>
      </c>
      <c r="Q2360" s="4" t="s">
        <v>26</v>
      </c>
      <c r="R2360" s="4">
        <v>0</v>
      </c>
      <c r="S2360" s="4" t="s">
        <v>386</v>
      </c>
      <c r="T2360" s="4" t="s">
        <v>623</v>
      </c>
      <c r="U2360" s="4">
        <v>0</v>
      </c>
      <c r="V2360" s="4">
        <v>72</v>
      </c>
      <c r="W2360" s="4">
        <v>78</v>
      </c>
    </row>
    <row r="2361" spans="1:23" ht="11.25" customHeight="1" x14ac:dyDescent="0.25">
      <c r="A2361" s="4" t="s">
        <v>21</v>
      </c>
      <c r="B2361" s="4" t="s">
        <v>41</v>
      </c>
      <c r="C2361" s="4" t="s">
        <v>23</v>
      </c>
      <c r="D2361" s="4" t="s">
        <v>54</v>
      </c>
      <c r="E2361" s="4" t="s">
        <v>25</v>
      </c>
      <c r="F2361" s="4" t="s">
        <v>25</v>
      </c>
      <c r="G2361" s="4" t="s">
        <v>25</v>
      </c>
      <c r="H2361" s="4" t="s">
        <v>25</v>
      </c>
      <c r="I2361" s="5">
        <v>44228</v>
      </c>
      <c r="J2361" s="6">
        <v>0</v>
      </c>
      <c r="K2361" s="6">
        <v>0</v>
      </c>
      <c r="L2361" s="6">
        <v>471.78500000000003</v>
      </c>
      <c r="M2361" s="6">
        <v>471.78500000000003</v>
      </c>
      <c r="N2361" s="6">
        <v>471.78500000000003</v>
      </c>
      <c r="O2361" s="6">
        <v>471.78500000000003</v>
      </c>
      <c r="P2361" s="6">
        <v>56</v>
      </c>
      <c r="Q2361" s="4" t="s">
        <v>26</v>
      </c>
      <c r="R2361" s="4">
        <v>0</v>
      </c>
      <c r="S2361" s="4" t="s">
        <v>387</v>
      </c>
      <c r="T2361" s="4" t="s">
        <v>624</v>
      </c>
      <c r="U2361" s="4">
        <v>0</v>
      </c>
      <c r="V2361" s="4">
        <v>72</v>
      </c>
      <c r="W2361" s="4">
        <v>78</v>
      </c>
    </row>
    <row r="2362" spans="1:23" ht="11.25" customHeight="1" x14ac:dyDescent="0.25">
      <c r="A2362" s="4" t="s">
        <v>28</v>
      </c>
      <c r="B2362" s="4" t="s">
        <v>41</v>
      </c>
      <c r="C2362" s="4" t="s">
        <v>23</v>
      </c>
      <c r="D2362" s="4" t="s">
        <v>54</v>
      </c>
      <c r="E2362" s="4" t="s">
        <v>25</v>
      </c>
      <c r="F2362" s="4" t="s">
        <v>25</v>
      </c>
      <c r="G2362" s="4" t="s">
        <v>25</v>
      </c>
      <c r="H2362" s="4" t="s">
        <v>25</v>
      </c>
      <c r="I2362" s="5">
        <v>44228</v>
      </c>
      <c r="J2362" s="6">
        <v>0</v>
      </c>
      <c r="K2362" s="6">
        <v>0</v>
      </c>
      <c r="L2362" s="6">
        <v>215.227</v>
      </c>
      <c r="M2362" s="6">
        <v>215.227</v>
      </c>
      <c r="N2362" s="6">
        <v>215.227</v>
      </c>
      <c r="O2362" s="6">
        <v>215.227</v>
      </c>
      <c r="P2362" s="6">
        <v>191</v>
      </c>
      <c r="Q2362" s="4" t="s">
        <v>26</v>
      </c>
      <c r="R2362" s="4">
        <v>0</v>
      </c>
      <c r="S2362" s="4" t="s">
        <v>387</v>
      </c>
      <c r="T2362" s="4" t="s">
        <v>624</v>
      </c>
      <c r="U2362" s="4">
        <v>0</v>
      </c>
      <c r="V2362" s="4">
        <v>72</v>
      </c>
      <c r="W2362" s="4">
        <v>78</v>
      </c>
    </row>
    <row r="2363" spans="1:23" ht="11.25" customHeight="1" x14ac:dyDescent="0.25">
      <c r="A2363" s="4" t="s">
        <v>29</v>
      </c>
      <c r="B2363" s="4" t="s">
        <v>41</v>
      </c>
      <c r="C2363" s="4" t="s">
        <v>23</v>
      </c>
      <c r="D2363" s="4" t="s">
        <v>54</v>
      </c>
      <c r="E2363" s="4" t="s">
        <v>25</v>
      </c>
      <c r="F2363" s="4" t="s">
        <v>25</v>
      </c>
      <c r="G2363" s="4" t="s">
        <v>25</v>
      </c>
      <c r="H2363" s="4" t="s">
        <v>25</v>
      </c>
      <c r="I2363" s="5">
        <v>44228</v>
      </c>
      <c r="J2363" s="6">
        <v>0</v>
      </c>
      <c r="K2363" s="6">
        <v>0</v>
      </c>
      <c r="L2363" s="6">
        <v>-5.7629999999999999</v>
      </c>
      <c r="M2363" s="6">
        <v>-5.7629999999999999</v>
      </c>
      <c r="N2363" s="6">
        <v>-5.7629999999999999</v>
      </c>
      <c r="O2363" s="6">
        <v>-5.7629999999999999</v>
      </c>
      <c r="P2363" s="6">
        <v>0</v>
      </c>
      <c r="Q2363" s="4" t="s">
        <v>26</v>
      </c>
      <c r="R2363" s="4">
        <v>0</v>
      </c>
      <c r="S2363" s="4" t="s">
        <v>387</v>
      </c>
      <c r="T2363" s="4" t="s">
        <v>624</v>
      </c>
      <c r="U2363" s="4">
        <v>0</v>
      </c>
      <c r="V2363" s="4">
        <v>72</v>
      </c>
      <c r="W2363" s="4">
        <v>78</v>
      </c>
    </row>
    <row r="2364" spans="1:23" ht="11.25" customHeight="1" x14ac:dyDescent="0.25">
      <c r="A2364" s="4" t="s">
        <v>21</v>
      </c>
      <c r="B2364" s="4" t="s">
        <v>41</v>
      </c>
      <c r="C2364" s="4" t="s">
        <v>23</v>
      </c>
      <c r="D2364" s="4" t="s">
        <v>54</v>
      </c>
      <c r="E2364" s="4" t="s">
        <v>25</v>
      </c>
      <c r="F2364" s="4" t="s">
        <v>25</v>
      </c>
      <c r="G2364" s="4" t="s">
        <v>25</v>
      </c>
      <c r="H2364" s="4" t="s">
        <v>25</v>
      </c>
      <c r="I2364" s="5">
        <v>44256</v>
      </c>
      <c r="J2364" s="6">
        <v>0</v>
      </c>
      <c r="K2364" s="6">
        <v>0</v>
      </c>
      <c r="L2364" s="6">
        <v>495.88499999999999</v>
      </c>
      <c r="M2364" s="6">
        <v>495.88499999999999</v>
      </c>
      <c r="N2364" s="6">
        <v>495.88499999999999</v>
      </c>
      <c r="O2364" s="6">
        <v>495.88499999999999</v>
      </c>
      <c r="P2364" s="6">
        <v>58</v>
      </c>
      <c r="Q2364" s="4" t="s">
        <v>26</v>
      </c>
      <c r="R2364" s="4">
        <v>0</v>
      </c>
      <c r="S2364" s="4" t="s">
        <v>388</v>
      </c>
      <c r="T2364" s="4" t="s">
        <v>625</v>
      </c>
      <c r="U2364" s="4">
        <v>0</v>
      </c>
      <c r="V2364" s="4">
        <v>72</v>
      </c>
      <c r="W2364" s="4">
        <v>78</v>
      </c>
    </row>
    <row r="2365" spans="1:23" ht="11.25" customHeight="1" x14ac:dyDescent="0.25">
      <c r="A2365" s="4" t="s">
        <v>28</v>
      </c>
      <c r="B2365" s="4" t="s">
        <v>41</v>
      </c>
      <c r="C2365" s="4" t="s">
        <v>23</v>
      </c>
      <c r="D2365" s="4" t="s">
        <v>54</v>
      </c>
      <c r="E2365" s="4" t="s">
        <v>25</v>
      </c>
      <c r="F2365" s="4" t="s">
        <v>25</v>
      </c>
      <c r="G2365" s="4" t="s">
        <v>25</v>
      </c>
      <c r="H2365" s="4" t="s">
        <v>25</v>
      </c>
      <c r="I2365" s="5">
        <v>44256</v>
      </c>
      <c r="J2365" s="6">
        <v>0</v>
      </c>
      <c r="K2365" s="6">
        <v>0</v>
      </c>
      <c r="L2365" s="6">
        <v>204.517</v>
      </c>
      <c r="M2365" s="6">
        <v>204.517</v>
      </c>
      <c r="N2365" s="6">
        <v>204.517</v>
      </c>
      <c r="O2365" s="6">
        <v>204.517</v>
      </c>
      <c r="P2365" s="6">
        <v>190</v>
      </c>
      <c r="Q2365" s="4" t="s">
        <v>26</v>
      </c>
      <c r="R2365" s="4">
        <v>0</v>
      </c>
      <c r="S2365" s="4" t="s">
        <v>388</v>
      </c>
      <c r="T2365" s="4" t="s">
        <v>625</v>
      </c>
      <c r="U2365" s="4">
        <v>0</v>
      </c>
      <c r="V2365" s="4">
        <v>72</v>
      </c>
      <c r="W2365" s="4">
        <v>78</v>
      </c>
    </row>
    <row r="2366" spans="1:23" ht="11.25" customHeight="1" x14ac:dyDescent="0.25">
      <c r="A2366" s="4" t="s">
        <v>21</v>
      </c>
      <c r="B2366" s="4" t="s">
        <v>41</v>
      </c>
      <c r="C2366" s="4" t="s">
        <v>23</v>
      </c>
      <c r="D2366" s="4" t="s">
        <v>54</v>
      </c>
      <c r="E2366" s="4" t="s">
        <v>25</v>
      </c>
      <c r="F2366" s="4" t="s">
        <v>25</v>
      </c>
      <c r="G2366" s="4" t="s">
        <v>25</v>
      </c>
      <c r="H2366" s="4" t="s">
        <v>25</v>
      </c>
      <c r="I2366" s="5">
        <v>44287</v>
      </c>
      <c r="J2366" s="6">
        <v>0</v>
      </c>
      <c r="K2366" s="6">
        <v>0</v>
      </c>
      <c r="L2366" s="6">
        <v>512.63699999999994</v>
      </c>
      <c r="M2366" s="6">
        <v>512.63699999999994</v>
      </c>
      <c r="N2366" s="6">
        <v>512.63699999999994</v>
      </c>
      <c r="O2366" s="6">
        <v>512.63699999999994</v>
      </c>
      <c r="P2366" s="6">
        <v>57</v>
      </c>
      <c r="Q2366" s="4" t="s">
        <v>26</v>
      </c>
      <c r="R2366" s="4">
        <v>0</v>
      </c>
      <c r="S2366" s="4" t="s">
        <v>389</v>
      </c>
      <c r="T2366" s="4" t="s">
        <v>626</v>
      </c>
      <c r="U2366" s="4">
        <v>0</v>
      </c>
      <c r="V2366" s="4">
        <v>72</v>
      </c>
      <c r="W2366" s="4">
        <v>78</v>
      </c>
    </row>
    <row r="2367" spans="1:23" ht="11.25" customHeight="1" x14ac:dyDescent="0.25">
      <c r="A2367" s="4" t="s">
        <v>28</v>
      </c>
      <c r="B2367" s="4" t="s">
        <v>41</v>
      </c>
      <c r="C2367" s="4" t="s">
        <v>23</v>
      </c>
      <c r="D2367" s="4" t="s">
        <v>54</v>
      </c>
      <c r="E2367" s="4" t="s">
        <v>25</v>
      </c>
      <c r="F2367" s="4" t="s">
        <v>25</v>
      </c>
      <c r="G2367" s="4" t="s">
        <v>25</v>
      </c>
      <c r="H2367" s="4" t="s">
        <v>25</v>
      </c>
      <c r="I2367" s="5">
        <v>44287</v>
      </c>
      <c r="J2367" s="6">
        <v>0</v>
      </c>
      <c r="K2367" s="6">
        <v>0</v>
      </c>
      <c r="L2367" s="6">
        <v>222.268</v>
      </c>
      <c r="M2367" s="6">
        <v>222.268</v>
      </c>
      <c r="N2367" s="6">
        <v>222.268</v>
      </c>
      <c r="O2367" s="6">
        <v>222.268</v>
      </c>
      <c r="P2367" s="6">
        <v>190</v>
      </c>
      <c r="Q2367" s="4" t="s">
        <v>26</v>
      </c>
      <c r="R2367" s="4">
        <v>0</v>
      </c>
      <c r="S2367" s="4" t="s">
        <v>389</v>
      </c>
      <c r="T2367" s="4" t="s">
        <v>626</v>
      </c>
      <c r="U2367" s="4">
        <v>0</v>
      </c>
      <c r="V2367" s="4">
        <v>72</v>
      </c>
      <c r="W2367" s="4">
        <v>78</v>
      </c>
    </row>
    <row r="2368" spans="1:23" ht="11.25" customHeight="1" x14ac:dyDescent="0.25">
      <c r="A2368" s="4" t="s">
        <v>21</v>
      </c>
      <c r="B2368" s="4" t="s">
        <v>41</v>
      </c>
      <c r="C2368" s="4" t="s">
        <v>23</v>
      </c>
      <c r="D2368" s="4" t="s">
        <v>54</v>
      </c>
      <c r="E2368" s="4" t="s">
        <v>25</v>
      </c>
      <c r="F2368" s="4" t="s">
        <v>25</v>
      </c>
      <c r="G2368" s="4" t="s">
        <v>25</v>
      </c>
      <c r="H2368" s="4" t="s">
        <v>25</v>
      </c>
      <c r="I2368" s="5">
        <v>44317</v>
      </c>
      <c r="J2368" s="6">
        <v>0</v>
      </c>
      <c r="K2368" s="6">
        <v>0</v>
      </c>
      <c r="L2368" s="6">
        <v>507.54899999999998</v>
      </c>
      <c r="M2368" s="6">
        <v>507.54899999999998</v>
      </c>
      <c r="N2368" s="6">
        <v>507.54899999999998</v>
      </c>
      <c r="O2368" s="6">
        <v>507.54899999999998</v>
      </c>
      <c r="P2368" s="6">
        <v>57</v>
      </c>
      <c r="Q2368" s="4" t="s">
        <v>26</v>
      </c>
      <c r="R2368" s="4">
        <v>0</v>
      </c>
      <c r="S2368" s="4" t="s">
        <v>390</v>
      </c>
      <c r="T2368" s="4" t="s">
        <v>627</v>
      </c>
      <c r="U2368" s="4">
        <v>0</v>
      </c>
      <c r="V2368" s="4">
        <v>72</v>
      </c>
      <c r="W2368" s="4">
        <v>78</v>
      </c>
    </row>
    <row r="2369" spans="1:23" ht="11.25" customHeight="1" x14ac:dyDescent="0.25">
      <c r="A2369" s="4" t="s">
        <v>27</v>
      </c>
      <c r="B2369" s="4" t="s">
        <v>41</v>
      </c>
      <c r="C2369" s="4" t="s">
        <v>23</v>
      </c>
      <c r="D2369" s="4" t="s">
        <v>54</v>
      </c>
      <c r="E2369" s="4" t="s">
        <v>25</v>
      </c>
      <c r="F2369" s="4" t="s">
        <v>25</v>
      </c>
      <c r="G2369" s="4" t="s">
        <v>25</v>
      </c>
      <c r="H2369" s="4" t="s">
        <v>25</v>
      </c>
      <c r="I2369" s="5">
        <v>44317</v>
      </c>
      <c r="J2369" s="6">
        <v>0</v>
      </c>
      <c r="K2369" s="6">
        <v>0</v>
      </c>
      <c r="L2369" s="6">
        <v>1.833</v>
      </c>
      <c r="M2369" s="6">
        <v>1.833</v>
      </c>
      <c r="N2369" s="6">
        <v>1.833</v>
      </c>
      <c r="O2369" s="6">
        <v>1.833</v>
      </c>
      <c r="P2369" s="6">
        <v>0</v>
      </c>
      <c r="Q2369" s="4" t="s">
        <v>26</v>
      </c>
      <c r="R2369" s="4">
        <v>0</v>
      </c>
      <c r="S2369" s="4" t="s">
        <v>390</v>
      </c>
      <c r="T2369" s="4" t="s">
        <v>627</v>
      </c>
      <c r="U2369" s="4">
        <v>0</v>
      </c>
      <c r="V2369" s="4">
        <v>72</v>
      </c>
      <c r="W2369" s="4">
        <v>78</v>
      </c>
    </row>
    <row r="2370" spans="1:23" ht="11.25" customHeight="1" x14ac:dyDescent="0.25">
      <c r="A2370" s="4" t="s">
        <v>28</v>
      </c>
      <c r="B2370" s="4" t="s">
        <v>41</v>
      </c>
      <c r="C2370" s="4" t="s">
        <v>23</v>
      </c>
      <c r="D2370" s="4" t="s">
        <v>54</v>
      </c>
      <c r="E2370" s="4" t="s">
        <v>25</v>
      </c>
      <c r="F2370" s="4" t="s">
        <v>25</v>
      </c>
      <c r="G2370" s="4" t="s">
        <v>25</v>
      </c>
      <c r="H2370" s="4" t="s">
        <v>25</v>
      </c>
      <c r="I2370" s="5">
        <v>44317</v>
      </c>
      <c r="J2370" s="6">
        <v>0</v>
      </c>
      <c r="K2370" s="6">
        <v>0</v>
      </c>
      <c r="L2370" s="6">
        <v>222.87799999999999</v>
      </c>
      <c r="M2370" s="6">
        <v>222.87799999999999</v>
      </c>
      <c r="N2370" s="6">
        <v>222.87799999999999</v>
      </c>
      <c r="O2370" s="6">
        <v>222.87799999999999</v>
      </c>
      <c r="P2370" s="6">
        <v>190</v>
      </c>
      <c r="Q2370" s="4" t="s">
        <v>26</v>
      </c>
      <c r="R2370" s="4">
        <v>0</v>
      </c>
      <c r="S2370" s="4" t="s">
        <v>390</v>
      </c>
      <c r="T2370" s="4" t="s">
        <v>627</v>
      </c>
      <c r="U2370" s="4">
        <v>0</v>
      </c>
      <c r="V2370" s="4">
        <v>72</v>
      </c>
      <c r="W2370" s="4">
        <v>78</v>
      </c>
    </row>
    <row r="2371" spans="1:23" ht="11.25" customHeight="1" x14ac:dyDescent="0.25">
      <c r="A2371" s="4" t="s">
        <v>21</v>
      </c>
      <c r="B2371" s="4" t="s">
        <v>41</v>
      </c>
      <c r="C2371" s="4" t="s">
        <v>23</v>
      </c>
      <c r="D2371" s="4" t="s">
        <v>54</v>
      </c>
      <c r="E2371" s="4" t="s">
        <v>25</v>
      </c>
      <c r="F2371" s="4" t="s">
        <v>25</v>
      </c>
      <c r="G2371" s="4" t="s">
        <v>25</v>
      </c>
      <c r="H2371" s="4" t="s">
        <v>25</v>
      </c>
      <c r="I2371" s="5">
        <v>44348</v>
      </c>
      <c r="J2371" s="6">
        <v>0</v>
      </c>
      <c r="K2371" s="6">
        <v>0</v>
      </c>
      <c r="L2371" s="6">
        <v>512.31100000000004</v>
      </c>
      <c r="M2371" s="6">
        <v>512.31100000000004</v>
      </c>
      <c r="N2371" s="6">
        <v>512.31100000000004</v>
      </c>
      <c r="O2371" s="6">
        <v>512.31100000000004</v>
      </c>
      <c r="P2371" s="6">
        <v>58</v>
      </c>
      <c r="Q2371" s="4" t="s">
        <v>26</v>
      </c>
      <c r="R2371" s="4">
        <v>0</v>
      </c>
      <c r="S2371" s="4" t="s">
        <v>391</v>
      </c>
      <c r="T2371" s="4" t="s">
        <v>628</v>
      </c>
      <c r="U2371" s="4">
        <v>0</v>
      </c>
      <c r="V2371" s="4">
        <v>72</v>
      </c>
      <c r="W2371" s="4">
        <v>78</v>
      </c>
    </row>
    <row r="2372" spans="1:23" ht="11.25" customHeight="1" x14ac:dyDescent="0.25">
      <c r="A2372" s="4" t="s">
        <v>28</v>
      </c>
      <c r="B2372" s="4" t="s">
        <v>41</v>
      </c>
      <c r="C2372" s="4" t="s">
        <v>23</v>
      </c>
      <c r="D2372" s="4" t="s">
        <v>54</v>
      </c>
      <c r="E2372" s="4" t="s">
        <v>25</v>
      </c>
      <c r="F2372" s="4" t="s">
        <v>25</v>
      </c>
      <c r="G2372" s="4" t="s">
        <v>25</v>
      </c>
      <c r="H2372" s="4" t="s">
        <v>25</v>
      </c>
      <c r="I2372" s="5">
        <v>44348</v>
      </c>
      <c r="J2372" s="6">
        <v>0</v>
      </c>
      <c r="K2372" s="6">
        <v>0</v>
      </c>
      <c r="L2372" s="6">
        <v>226.05199999999999</v>
      </c>
      <c r="M2372" s="6">
        <v>226.05199999999999</v>
      </c>
      <c r="N2372" s="6">
        <v>226.05199999999999</v>
      </c>
      <c r="O2372" s="6">
        <v>226.05199999999999</v>
      </c>
      <c r="P2372" s="6">
        <v>188</v>
      </c>
      <c r="Q2372" s="4" t="s">
        <v>26</v>
      </c>
      <c r="R2372" s="4">
        <v>0</v>
      </c>
      <c r="S2372" s="4" t="s">
        <v>391</v>
      </c>
      <c r="T2372" s="4" t="s">
        <v>628</v>
      </c>
      <c r="U2372" s="4">
        <v>0</v>
      </c>
      <c r="V2372" s="4">
        <v>72</v>
      </c>
      <c r="W2372" s="4">
        <v>78</v>
      </c>
    </row>
    <row r="2373" spans="1:23" ht="11.25" customHeight="1" x14ac:dyDescent="0.25">
      <c r="A2373" s="4" t="s">
        <v>21</v>
      </c>
      <c r="B2373" s="4" t="s">
        <v>41</v>
      </c>
      <c r="C2373" s="4" t="s">
        <v>23</v>
      </c>
      <c r="D2373" s="4" t="s">
        <v>54</v>
      </c>
      <c r="E2373" s="4" t="s">
        <v>25</v>
      </c>
      <c r="F2373" s="4" t="s">
        <v>25</v>
      </c>
      <c r="G2373" s="4" t="s">
        <v>25</v>
      </c>
      <c r="H2373" s="4" t="s">
        <v>25</v>
      </c>
      <c r="I2373" s="5">
        <v>44378</v>
      </c>
      <c r="J2373" s="6">
        <v>0</v>
      </c>
      <c r="K2373" s="6">
        <v>0</v>
      </c>
      <c r="L2373" s="6">
        <v>544.17600000000004</v>
      </c>
      <c r="M2373" s="6">
        <v>544.17600000000004</v>
      </c>
      <c r="N2373" s="6">
        <v>544.17600000000004</v>
      </c>
      <c r="O2373" s="6">
        <v>544.17600000000004</v>
      </c>
      <c r="P2373" s="6">
        <v>59</v>
      </c>
      <c r="Q2373" s="4" t="s">
        <v>26</v>
      </c>
      <c r="R2373" s="4">
        <v>0</v>
      </c>
      <c r="S2373" s="4" t="s">
        <v>392</v>
      </c>
      <c r="T2373" s="4" t="s">
        <v>629</v>
      </c>
      <c r="U2373" s="4">
        <v>0</v>
      </c>
      <c r="V2373" s="4">
        <v>72</v>
      </c>
      <c r="W2373" s="4">
        <v>78</v>
      </c>
    </row>
    <row r="2374" spans="1:23" ht="11.25" customHeight="1" x14ac:dyDescent="0.25">
      <c r="A2374" s="4" t="s">
        <v>27</v>
      </c>
      <c r="B2374" s="4" t="s">
        <v>41</v>
      </c>
      <c r="C2374" s="4" t="s">
        <v>23</v>
      </c>
      <c r="D2374" s="4" t="s">
        <v>54</v>
      </c>
      <c r="E2374" s="4" t="s">
        <v>25</v>
      </c>
      <c r="F2374" s="4" t="s">
        <v>25</v>
      </c>
      <c r="G2374" s="4" t="s">
        <v>25</v>
      </c>
      <c r="H2374" s="4" t="s">
        <v>25</v>
      </c>
      <c r="I2374" s="5">
        <v>44378</v>
      </c>
      <c r="J2374" s="6">
        <v>0</v>
      </c>
      <c r="K2374" s="6">
        <v>0</v>
      </c>
      <c r="L2374" s="6">
        <v>3.992</v>
      </c>
      <c r="M2374" s="6">
        <v>3.992</v>
      </c>
      <c r="N2374" s="6">
        <v>3.992</v>
      </c>
      <c r="O2374" s="6">
        <v>3.992</v>
      </c>
      <c r="P2374" s="6">
        <v>0</v>
      </c>
      <c r="Q2374" s="4" t="s">
        <v>26</v>
      </c>
      <c r="R2374" s="4">
        <v>0</v>
      </c>
      <c r="S2374" s="4" t="s">
        <v>392</v>
      </c>
      <c r="T2374" s="4" t="s">
        <v>629</v>
      </c>
      <c r="U2374" s="4">
        <v>0</v>
      </c>
      <c r="V2374" s="4">
        <v>72</v>
      </c>
      <c r="W2374" s="4">
        <v>78</v>
      </c>
    </row>
    <row r="2375" spans="1:23" ht="11.25" customHeight="1" x14ac:dyDescent="0.25">
      <c r="A2375" s="4" t="s">
        <v>28</v>
      </c>
      <c r="B2375" s="4" t="s">
        <v>41</v>
      </c>
      <c r="C2375" s="4" t="s">
        <v>23</v>
      </c>
      <c r="D2375" s="4" t="s">
        <v>54</v>
      </c>
      <c r="E2375" s="4" t="s">
        <v>25</v>
      </c>
      <c r="F2375" s="4" t="s">
        <v>25</v>
      </c>
      <c r="G2375" s="4" t="s">
        <v>25</v>
      </c>
      <c r="H2375" s="4" t="s">
        <v>25</v>
      </c>
      <c r="I2375" s="5">
        <v>44378</v>
      </c>
      <c r="J2375" s="6">
        <v>0</v>
      </c>
      <c r="K2375" s="6">
        <v>0</v>
      </c>
      <c r="L2375" s="6">
        <v>229.4</v>
      </c>
      <c r="M2375" s="6">
        <v>229.4</v>
      </c>
      <c r="N2375" s="6">
        <v>229.4</v>
      </c>
      <c r="O2375" s="6">
        <v>229.4</v>
      </c>
      <c r="P2375" s="6">
        <v>189</v>
      </c>
      <c r="Q2375" s="4" t="s">
        <v>26</v>
      </c>
      <c r="R2375" s="4">
        <v>0</v>
      </c>
      <c r="S2375" s="4" t="s">
        <v>392</v>
      </c>
      <c r="T2375" s="4" t="s">
        <v>629</v>
      </c>
      <c r="U2375" s="4">
        <v>0</v>
      </c>
      <c r="V2375" s="4">
        <v>72</v>
      </c>
      <c r="W2375" s="4">
        <v>78</v>
      </c>
    </row>
    <row r="2376" spans="1:23" ht="11.25" customHeight="1" x14ac:dyDescent="0.25">
      <c r="A2376" s="4" t="s">
        <v>21</v>
      </c>
      <c r="B2376" s="4" t="s">
        <v>41</v>
      </c>
      <c r="C2376" s="4" t="s">
        <v>23</v>
      </c>
      <c r="D2376" s="4" t="s">
        <v>54</v>
      </c>
      <c r="E2376" s="4" t="s">
        <v>25</v>
      </c>
      <c r="F2376" s="4" t="s">
        <v>25</v>
      </c>
      <c r="G2376" s="4" t="s">
        <v>25</v>
      </c>
      <c r="H2376" s="4" t="s">
        <v>25</v>
      </c>
      <c r="I2376" s="5">
        <v>44409</v>
      </c>
      <c r="J2376" s="6">
        <v>0</v>
      </c>
      <c r="K2376" s="6">
        <v>0</v>
      </c>
      <c r="L2376" s="6">
        <v>548.96100000000001</v>
      </c>
      <c r="M2376" s="6">
        <v>548.96100000000001</v>
      </c>
      <c r="N2376" s="6">
        <v>548.96100000000001</v>
      </c>
      <c r="O2376" s="6">
        <v>548.96100000000001</v>
      </c>
      <c r="P2376" s="6">
        <v>59</v>
      </c>
      <c r="Q2376" s="4" t="s">
        <v>26</v>
      </c>
      <c r="R2376" s="4">
        <v>0</v>
      </c>
      <c r="S2376" s="4" t="s">
        <v>393</v>
      </c>
      <c r="T2376" s="4" t="s">
        <v>630</v>
      </c>
      <c r="U2376" s="4">
        <v>0</v>
      </c>
      <c r="V2376" s="4">
        <v>72</v>
      </c>
      <c r="W2376" s="4">
        <v>78</v>
      </c>
    </row>
    <row r="2377" spans="1:23" ht="11.25" customHeight="1" x14ac:dyDescent="0.25">
      <c r="A2377" s="4" t="s">
        <v>28</v>
      </c>
      <c r="B2377" s="4" t="s">
        <v>41</v>
      </c>
      <c r="C2377" s="4" t="s">
        <v>23</v>
      </c>
      <c r="D2377" s="4" t="s">
        <v>54</v>
      </c>
      <c r="E2377" s="4" t="s">
        <v>25</v>
      </c>
      <c r="F2377" s="4" t="s">
        <v>25</v>
      </c>
      <c r="G2377" s="4" t="s">
        <v>25</v>
      </c>
      <c r="H2377" s="4" t="s">
        <v>25</v>
      </c>
      <c r="I2377" s="5">
        <v>44409</v>
      </c>
      <c r="J2377" s="6">
        <v>0</v>
      </c>
      <c r="K2377" s="6">
        <v>0</v>
      </c>
      <c r="L2377" s="6">
        <v>236.05799999999999</v>
      </c>
      <c r="M2377" s="6">
        <v>236.05799999999999</v>
      </c>
      <c r="N2377" s="6">
        <v>236.05799999999999</v>
      </c>
      <c r="O2377" s="6">
        <v>236.05799999999999</v>
      </c>
      <c r="P2377" s="6">
        <v>186</v>
      </c>
      <c r="Q2377" s="4" t="s">
        <v>26</v>
      </c>
      <c r="R2377" s="4">
        <v>0</v>
      </c>
      <c r="S2377" s="4" t="s">
        <v>393</v>
      </c>
      <c r="T2377" s="4" t="s">
        <v>630</v>
      </c>
      <c r="U2377" s="4">
        <v>0</v>
      </c>
      <c r="V2377" s="4">
        <v>72</v>
      </c>
      <c r="W2377" s="4">
        <v>78</v>
      </c>
    </row>
    <row r="2378" spans="1:23" ht="11.25" customHeight="1" x14ac:dyDescent="0.25">
      <c r="A2378" s="4" t="s">
        <v>21</v>
      </c>
      <c r="B2378" s="4" t="s">
        <v>41</v>
      </c>
      <c r="C2378" s="4" t="s">
        <v>23</v>
      </c>
      <c r="D2378" s="4" t="s">
        <v>54</v>
      </c>
      <c r="E2378" s="4" t="s">
        <v>25</v>
      </c>
      <c r="F2378" s="4" t="s">
        <v>25</v>
      </c>
      <c r="G2378" s="4" t="s">
        <v>25</v>
      </c>
      <c r="H2378" s="4" t="s">
        <v>25</v>
      </c>
      <c r="I2378" s="5">
        <v>44440</v>
      </c>
      <c r="J2378" s="6">
        <v>0</v>
      </c>
      <c r="K2378" s="6">
        <v>0</v>
      </c>
      <c r="L2378" s="6">
        <v>521.72500000000002</v>
      </c>
      <c r="M2378" s="6">
        <v>521.72500000000002</v>
      </c>
      <c r="N2378" s="6">
        <v>521.72500000000002</v>
      </c>
      <c r="O2378" s="6">
        <v>521.72500000000002</v>
      </c>
      <c r="P2378" s="6">
        <v>59</v>
      </c>
      <c r="Q2378" s="4" t="s">
        <v>26</v>
      </c>
      <c r="R2378" s="4">
        <v>0</v>
      </c>
      <c r="S2378" s="4" t="s">
        <v>394</v>
      </c>
      <c r="T2378" s="4" t="s">
        <v>631</v>
      </c>
      <c r="U2378" s="4">
        <v>0</v>
      </c>
      <c r="V2378" s="4">
        <v>72</v>
      </c>
      <c r="W2378" s="4">
        <v>78</v>
      </c>
    </row>
    <row r="2379" spans="1:23" ht="11.25" customHeight="1" x14ac:dyDescent="0.25">
      <c r="A2379" s="4" t="s">
        <v>28</v>
      </c>
      <c r="B2379" s="4" t="s">
        <v>41</v>
      </c>
      <c r="C2379" s="4" t="s">
        <v>23</v>
      </c>
      <c r="D2379" s="4" t="s">
        <v>54</v>
      </c>
      <c r="E2379" s="4" t="s">
        <v>25</v>
      </c>
      <c r="F2379" s="4" t="s">
        <v>25</v>
      </c>
      <c r="G2379" s="4" t="s">
        <v>25</v>
      </c>
      <c r="H2379" s="4" t="s">
        <v>25</v>
      </c>
      <c r="I2379" s="5">
        <v>44440</v>
      </c>
      <c r="J2379" s="6">
        <v>0</v>
      </c>
      <c r="K2379" s="6">
        <v>0</v>
      </c>
      <c r="L2379" s="6">
        <v>237.00899999999999</v>
      </c>
      <c r="M2379" s="6">
        <v>237.00899999999999</v>
      </c>
      <c r="N2379" s="6">
        <v>237.00899999999999</v>
      </c>
      <c r="O2379" s="6">
        <v>237.00899999999999</v>
      </c>
      <c r="P2379" s="6">
        <v>185</v>
      </c>
      <c r="Q2379" s="4" t="s">
        <v>26</v>
      </c>
      <c r="R2379" s="4">
        <v>0</v>
      </c>
      <c r="S2379" s="4" t="s">
        <v>394</v>
      </c>
      <c r="T2379" s="4" t="s">
        <v>631</v>
      </c>
      <c r="U2379" s="4">
        <v>0</v>
      </c>
      <c r="V2379" s="4">
        <v>72</v>
      </c>
      <c r="W2379" s="4">
        <v>78</v>
      </c>
    </row>
    <row r="2380" spans="1:23" ht="11.25" customHeight="1" x14ac:dyDescent="0.25">
      <c r="A2380" s="4" t="s">
        <v>59</v>
      </c>
      <c r="B2380" s="4" t="s">
        <v>41</v>
      </c>
      <c r="C2380" s="4" t="s">
        <v>23</v>
      </c>
      <c r="D2380" s="4" t="s">
        <v>54</v>
      </c>
      <c r="E2380" s="4" t="s">
        <v>25</v>
      </c>
      <c r="F2380" s="4" t="s">
        <v>25</v>
      </c>
      <c r="G2380" s="4" t="s">
        <v>25</v>
      </c>
      <c r="H2380" s="4" t="s">
        <v>25</v>
      </c>
      <c r="I2380" s="5">
        <v>44470</v>
      </c>
      <c r="J2380" s="6">
        <v>0</v>
      </c>
      <c r="K2380" s="6">
        <v>0</v>
      </c>
      <c r="L2380" s="6">
        <v>521.72500000000002</v>
      </c>
      <c r="M2380" s="6">
        <v>521.72500000000002</v>
      </c>
      <c r="N2380" s="6">
        <v>521.72500000000002</v>
      </c>
      <c r="O2380" s="6">
        <v>521.72500000000002</v>
      </c>
      <c r="P2380" s="6">
        <v>59</v>
      </c>
      <c r="Q2380" s="4" t="s">
        <v>26</v>
      </c>
      <c r="R2380" s="4">
        <v>0</v>
      </c>
      <c r="S2380" s="4" t="s">
        <v>395</v>
      </c>
      <c r="T2380" s="4" t="s">
        <v>632</v>
      </c>
      <c r="U2380" s="4">
        <v>0</v>
      </c>
      <c r="V2380" s="4">
        <v>72</v>
      </c>
      <c r="W2380" s="4">
        <v>78</v>
      </c>
    </row>
    <row r="2381" spans="1:23" ht="11.25" customHeight="1" x14ac:dyDescent="0.25">
      <c r="A2381" s="4" t="s">
        <v>59</v>
      </c>
      <c r="B2381" s="4" t="s">
        <v>41</v>
      </c>
      <c r="C2381" s="4" t="s">
        <v>23</v>
      </c>
      <c r="D2381" s="4" t="s">
        <v>54</v>
      </c>
      <c r="E2381" s="4" t="s">
        <v>25</v>
      </c>
      <c r="F2381" s="4" t="s">
        <v>25</v>
      </c>
      <c r="G2381" s="4" t="s">
        <v>25</v>
      </c>
      <c r="H2381" s="4" t="s">
        <v>25</v>
      </c>
      <c r="I2381" s="5">
        <v>44470</v>
      </c>
      <c r="J2381" s="6">
        <v>0</v>
      </c>
      <c r="K2381" s="6">
        <v>0</v>
      </c>
      <c r="L2381" s="6">
        <v>237.00899999999999</v>
      </c>
      <c r="M2381" s="6">
        <v>237.00899999999999</v>
      </c>
      <c r="N2381" s="6">
        <v>237.00899999999999</v>
      </c>
      <c r="O2381" s="6">
        <v>237.00899999999999</v>
      </c>
      <c r="P2381" s="6">
        <v>185</v>
      </c>
      <c r="Q2381" s="4" t="s">
        <v>26</v>
      </c>
      <c r="R2381" s="4">
        <v>0</v>
      </c>
      <c r="S2381" s="4" t="s">
        <v>395</v>
      </c>
      <c r="T2381" s="4" t="s">
        <v>632</v>
      </c>
      <c r="U2381" s="4">
        <v>0</v>
      </c>
      <c r="V2381" s="4">
        <v>72</v>
      </c>
      <c r="W2381" s="4">
        <v>78</v>
      </c>
    </row>
    <row r="2382" spans="1:23" ht="11.25" customHeight="1" x14ac:dyDescent="0.25">
      <c r="A2382" s="4" t="s">
        <v>21</v>
      </c>
      <c r="B2382" s="4" t="s">
        <v>41</v>
      </c>
      <c r="C2382" s="4" t="s">
        <v>23</v>
      </c>
      <c r="D2382" s="4" t="s">
        <v>42</v>
      </c>
      <c r="E2382" s="4" t="s">
        <v>25</v>
      </c>
      <c r="F2382" s="4" t="s">
        <v>25</v>
      </c>
      <c r="G2382" s="4" t="s">
        <v>25</v>
      </c>
      <c r="H2382" s="4" t="s">
        <v>25</v>
      </c>
      <c r="I2382" s="5">
        <v>44136</v>
      </c>
      <c r="J2382" s="6">
        <v>0</v>
      </c>
      <c r="K2382" s="6">
        <v>0</v>
      </c>
      <c r="L2382" s="6">
        <v>2160.0749999999998</v>
      </c>
      <c r="M2382" s="6">
        <v>2160.0749999999998</v>
      </c>
      <c r="N2382" s="6">
        <v>2160.0749999999998</v>
      </c>
      <c r="O2382" s="6">
        <v>2160.0749999999998</v>
      </c>
      <c r="P2382" s="6">
        <v>1312</v>
      </c>
      <c r="Q2382" s="4" t="s">
        <v>26</v>
      </c>
      <c r="R2382" s="4">
        <v>0</v>
      </c>
      <c r="S2382" s="4" t="s">
        <v>384</v>
      </c>
      <c r="T2382" s="4" t="s">
        <v>621</v>
      </c>
      <c r="U2382" s="4">
        <v>0</v>
      </c>
      <c r="V2382" s="4">
        <v>72</v>
      </c>
      <c r="W2382" s="4">
        <v>78</v>
      </c>
    </row>
    <row r="2383" spans="1:23" ht="11.25" customHeight="1" x14ac:dyDescent="0.25">
      <c r="A2383" s="4" t="s">
        <v>27</v>
      </c>
      <c r="B2383" s="4" t="s">
        <v>41</v>
      </c>
      <c r="C2383" s="4" t="s">
        <v>23</v>
      </c>
      <c r="D2383" s="4" t="s">
        <v>42</v>
      </c>
      <c r="E2383" s="4" t="s">
        <v>25</v>
      </c>
      <c r="F2383" s="4" t="s">
        <v>25</v>
      </c>
      <c r="G2383" s="4" t="s">
        <v>25</v>
      </c>
      <c r="H2383" s="4" t="s">
        <v>25</v>
      </c>
      <c r="I2383" s="5">
        <v>44136</v>
      </c>
      <c r="J2383" s="6">
        <v>0</v>
      </c>
      <c r="K2383" s="6">
        <v>0</v>
      </c>
      <c r="L2383" s="6">
        <v>-133.995</v>
      </c>
      <c r="M2383" s="6">
        <v>-133.995</v>
      </c>
      <c r="N2383" s="6">
        <v>-133.995</v>
      </c>
      <c r="O2383" s="6">
        <v>-133.995</v>
      </c>
      <c r="P2383" s="6">
        <v>-69</v>
      </c>
      <c r="Q2383" s="4" t="s">
        <v>26</v>
      </c>
      <c r="R2383" s="4">
        <v>0</v>
      </c>
      <c r="S2383" s="4" t="s">
        <v>384</v>
      </c>
      <c r="T2383" s="4" t="s">
        <v>621</v>
      </c>
      <c r="U2383" s="4">
        <v>0</v>
      </c>
      <c r="V2383" s="4">
        <v>72</v>
      </c>
      <c r="W2383" s="4">
        <v>78</v>
      </c>
    </row>
    <row r="2384" spans="1:23" ht="11.25" customHeight="1" x14ac:dyDescent="0.25">
      <c r="A2384" s="4" t="s">
        <v>28</v>
      </c>
      <c r="B2384" s="4" t="s">
        <v>41</v>
      </c>
      <c r="C2384" s="4" t="s">
        <v>23</v>
      </c>
      <c r="D2384" s="4" t="s">
        <v>42</v>
      </c>
      <c r="E2384" s="4" t="s">
        <v>25</v>
      </c>
      <c r="F2384" s="4" t="s">
        <v>25</v>
      </c>
      <c r="G2384" s="4" t="s">
        <v>25</v>
      </c>
      <c r="H2384" s="4" t="s">
        <v>25</v>
      </c>
      <c r="I2384" s="5">
        <v>44136</v>
      </c>
      <c r="J2384" s="6">
        <v>0</v>
      </c>
      <c r="K2384" s="6">
        <v>0</v>
      </c>
      <c r="L2384" s="6">
        <v>1057.557</v>
      </c>
      <c r="M2384" s="6">
        <v>1057.557</v>
      </c>
      <c r="N2384" s="6">
        <v>1057.557</v>
      </c>
      <c r="O2384" s="6">
        <v>1057.557</v>
      </c>
      <c r="P2384" s="6">
        <v>759</v>
      </c>
      <c r="Q2384" s="4" t="s">
        <v>26</v>
      </c>
      <c r="R2384" s="4">
        <v>0</v>
      </c>
      <c r="S2384" s="4" t="s">
        <v>384</v>
      </c>
      <c r="T2384" s="4" t="s">
        <v>621</v>
      </c>
      <c r="U2384" s="4">
        <v>0</v>
      </c>
      <c r="V2384" s="4">
        <v>72</v>
      </c>
      <c r="W2384" s="4">
        <v>78</v>
      </c>
    </row>
    <row r="2385" spans="1:23" ht="11.25" customHeight="1" x14ac:dyDescent="0.25">
      <c r="A2385" s="4" t="s">
        <v>29</v>
      </c>
      <c r="B2385" s="4" t="s">
        <v>41</v>
      </c>
      <c r="C2385" s="4" t="s">
        <v>23</v>
      </c>
      <c r="D2385" s="4" t="s">
        <v>42</v>
      </c>
      <c r="E2385" s="4" t="s">
        <v>25</v>
      </c>
      <c r="F2385" s="4" t="s">
        <v>25</v>
      </c>
      <c r="G2385" s="4" t="s">
        <v>25</v>
      </c>
      <c r="H2385" s="4" t="s">
        <v>25</v>
      </c>
      <c r="I2385" s="5">
        <v>44136</v>
      </c>
      <c r="J2385" s="6">
        <v>0</v>
      </c>
      <c r="K2385" s="6">
        <v>0</v>
      </c>
      <c r="L2385" s="6">
        <v>-3.4039999999999999</v>
      </c>
      <c r="M2385" s="6">
        <v>-3.4039999999999999</v>
      </c>
      <c r="N2385" s="6">
        <v>-3.4039999999999999</v>
      </c>
      <c r="O2385" s="6">
        <v>-3.4039999999999999</v>
      </c>
      <c r="P2385" s="6">
        <v>0</v>
      </c>
      <c r="Q2385" s="4" t="s">
        <v>26</v>
      </c>
      <c r="R2385" s="4">
        <v>0</v>
      </c>
      <c r="S2385" s="4" t="s">
        <v>384</v>
      </c>
      <c r="T2385" s="4" t="s">
        <v>621</v>
      </c>
      <c r="U2385" s="4">
        <v>0</v>
      </c>
      <c r="V2385" s="4">
        <v>72</v>
      </c>
      <c r="W2385" s="4">
        <v>78</v>
      </c>
    </row>
    <row r="2386" spans="1:23" ht="11.25" customHeight="1" x14ac:dyDescent="0.25">
      <c r="A2386" s="4" t="s">
        <v>30</v>
      </c>
      <c r="B2386" s="4" t="s">
        <v>41</v>
      </c>
      <c r="C2386" s="4" t="s">
        <v>23</v>
      </c>
      <c r="D2386" s="4" t="s">
        <v>42</v>
      </c>
      <c r="E2386" s="4" t="s">
        <v>25</v>
      </c>
      <c r="F2386" s="4" t="s">
        <v>25</v>
      </c>
      <c r="G2386" s="4" t="s">
        <v>25</v>
      </c>
      <c r="H2386" s="4" t="s">
        <v>25</v>
      </c>
      <c r="I2386" s="5">
        <v>44136</v>
      </c>
      <c r="J2386" s="6">
        <v>0</v>
      </c>
      <c r="K2386" s="6">
        <v>0</v>
      </c>
      <c r="L2386" s="6">
        <v>43.497999999999998</v>
      </c>
      <c r="M2386" s="6">
        <v>43.497999999999998</v>
      </c>
      <c r="N2386" s="6">
        <v>43.497999999999998</v>
      </c>
      <c r="O2386" s="6">
        <v>43.497999999999998</v>
      </c>
      <c r="P2386" s="6">
        <v>12</v>
      </c>
      <c r="Q2386" s="4" t="s">
        <v>26</v>
      </c>
      <c r="R2386" s="4">
        <v>0</v>
      </c>
      <c r="S2386" s="4" t="s">
        <v>384</v>
      </c>
      <c r="T2386" s="4" t="s">
        <v>621</v>
      </c>
      <c r="U2386" s="4">
        <v>0</v>
      </c>
      <c r="V2386" s="4">
        <v>72</v>
      </c>
      <c r="W2386" s="4">
        <v>78</v>
      </c>
    </row>
    <row r="2387" spans="1:23" ht="11.25" customHeight="1" x14ac:dyDescent="0.25">
      <c r="A2387" s="4" t="s">
        <v>21</v>
      </c>
      <c r="B2387" s="4" t="s">
        <v>41</v>
      </c>
      <c r="C2387" s="4" t="s">
        <v>23</v>
      </c>
      <c r="D2387" s="4" t="s">
        <v>42</v>
      </c>
      <c r="E2387" s="4" t="s">
        <v>25</v>
      </c>
      <c r="F2387" s="4" t="s">
        <v>25</v>
      </c>
      <c r="G2387" s="4" t="s">
        <v>25</v>
      </c>
      <c r="H2387" s="4" t="s">
        <v>25</v>
      </c>
      <c r="I2387" s="5">
        <v>44166</v>
      </c>
      <c r="J2387" s="6">
        <v>0</v>
      </c>
      <c r="K2387" s="6">
        <v>0</v>
      </c>
      <c r="L2387" s="6">
        <v>2095.4360000000001</v>
      </c>
      <c r="M2387" s="6">
        <v>2095.4360000000001</v>
      </c>
      <c r="N2387" s="6">
        <v>2095.4360000000001</v>
      </c>
      <c r="O2387" s="6">
        <v>2095.4360000000001</v>
      </c>
      <c r="P2387" s="6">
        <v>1299</v>
      </c>
      <c r="Q2387" s="4" t="s">
        <v>26</v>
      </c>
      <c r="R2387" s="4">
        <v>0</v>
      </c>
      <c r="S2387" s="4" t="s">
        <v>385</v>
      </c>
      <c r="T2387" s="4" t="s">
        <v>622</v>
      </c>
      <c r="U2387" s="4">
        <v>0</v>
      </c>
      <c r="V2387" s="4">
        <v>72</v>
      </c>
      <c r="W2387" s="4">
        <v>78</v>
      </c>
    </row>
    <row r="2388" spans="1:23" ht="11.25" customHeight="1" x14ac:dyDescent="0.25">
      <c r="A2388" s="4" t="s">
        <v>27</v>
      </c>
      <c r="B2388" s="4" t="s">
        <v>41</v>
      </c>
      <c r="C2388" s="4" t="s">
        <v>23</v>
      </c>
      <c r="D2388" s="4" t="s">
        <v>42</v>
      </c>
      <c r="E2388" s="4" t="s">
        <v>25</v>
      </c>
      <c r="F2388" s="4" t="s">
        <v>25</v>
      </c>
      <c r="G2388" s="4" t="s">
        <v>25</v>
      </c>
      <c r="H2388" s="4" t="s">
        <v>25</v>
      </c>
      <c r="I2388" s="5">
        <v>44166</v>
      </c>
      <c r="J2388" s="6">
        <v>0</v>
      </c>
      <c r="K2388" s="6">
        <v>0</v>
      </c>
      <c r="L2388" s="6">
        <v>-358.95800000000003</v>
      </c>
      <c r="M2388" s="6">
        <v>-358.95800000000003</v>
      </c>
      <c r="N2388" s="6">
        <v>-358.95800000000003</v>
      </c>
      <c r="O2388" s="6">
        <v>-358.95800000000003</v>
      </c>
      <c r="P2388" s="6">
        <v>0</v>
      </c>
      <c r="Q2388" s="4" t="s">
        <v>26</v>
      </c>
      <c r="R2388" s="4">
        <v>0</v>
      </c>
      <c r="S2388" s="4" t="s">
        <v>385</v>
      </c>
      <c r="T2388" s="4" t="s">
        <v>622</v>
      </c>
      <c r="U2388" s="4">
        <v>0</v>
      </c>
      <c r="V2388" s="4">
        <v>72</v>
      </c>
      <c r="W2388" s="4">
        <v>78</v>
      </c>
    </row>
    <row r="2389" spans="1:23" ht="11.25" customHeight="1" x14ac:dyDescent="0.25">
      <c r="A2389" s="4" t="s">
        <v>28</v>
      </c>
      <c r="B2389" s="4" t="s">
        <v>41</v>
      </c>
      <c r="C2389" s="4" t="s">
        <v>23</v>
      </c>
      <c r="D2389" s="4" t="s">
        <v>42</v>
      </c>
      <c r="E2389" s="4" t="s">
        <v>25</v>
      </c>
      <c r="F2389" s="4" t="s">
        <v>25</v>
      </c>
      <c r="G2389" s="4" t="s">
        <v>25</v>
      </c>
      <c r="H2389" s="4" t="s">
        <v>25</v>
      </c>
      <c r="I2389" s="5">
        <v>44166</v>
      </c>
      <c r="J2389" s="6">
        <v>0</v>
      </c>
      <c r="K2389" s="6">
        <v>0</v>
      </c>
      <c r="L2389" s="6">
        <v>1019.987</v>
      </c>
      <c r="M2389" s="6">
        <v>1019.987</v>
      </c>
      <c r="N2389" s="6">
        <v>1019.987</v>
      </c>
      <c r="O2389" s="6">
        <v>1019.987</v>
      </c>
      <c r="P2389" s="6">
        <v>756</v>
      </c>
      <c r="Q2389" s="4" t="s">
        <v>26</v>
      </c>
      <c r="R2389" s="4">
        <v>0</v>
      </c>
      <c r="S2389" s="4" t="s">
        <v>385</v>
      </c>
      <c r="T2389" s="4" t="s">
        <v>622</v>
      </c>
      <c r="U2389" s="4">
        <v>0</v>
      </c>
      <c r="V2389" s="4">
        <v>72</v>
      </c>
      <c r="W2389" s="4">
        <v>78</v>
      </c>
    </row>
    <row r="2390" spans="1:23" ht="11.25" customHeight="1" x14ac:dyDescent="0.25">
      <c r="A2390" s="4" t="s">
        <v>29</v>
      </c>
      <c r="B2390" s="4" t="s">
        <v>41</v>
      </c>
      <c r="C2390" s="4" t="s">
        <v>23</v>
      </c>
      <c r="D2390" s="4" t="s">
        <v>42</v>
      </c>
      <c r="E2390" s="4" t="s">
        <v>25</v>
      </c>
      <c r="F2390" s="4" t="s">
        <v>25</v>
      </c>
      <c r="G2390" s="4" t="s">
        <v>25</v>
      </c>
      <c r="H2390" s="4" t="s">
        <v>25</v>
      </c>
      <c r="I2390" s="5">
        <v>44166</v>
      </c>
      <c r="J2390" s="6">
        <v>0</v>
      </c>
      <c r="K2390" s="6">
        <v>0</v>
      </c>
      <c r="L2390" s="6">
        <v>-15.401</v>
      </c>
      <c r="M2390" s="6">
        <v>-15.401</v>
      </c>
      <c r="N2390" s="6">
        <v>-15.401</v>
      </c>
      <c r="O2390" s="6">
        <v>-15.401</v>
      </c>
      <c r="P2390" s="6">
        <v>0</v>
      </c>
      <c r="Q2390" s="4" t="s">
        <v>26</v>
      </c>
      <c r="R2390" s="4">
        <v>0</v>
      </c>
      <c r="S2390" s="4" t="s">
        <v>385</v>
      </c>
      <c r="T2390" s="4" t="s">
        <v>622</v>
      </c>
      <c r="U2390" s="4">
        <v>0</v>
      </c>
      <c r="V2390" s="4">
        <v>72</v>
      </c>
      <c r="W2390" s="4">
        <v>78</v>
      </c>
    </row>
    <row r="2391" spans="1:23" ht="11.25" customHeight="1" x14ac:dyDescent="0.25">
      <c r="A2391" s="4" t="s">
        <v>30</v>
      </c>
      <c r="B2391" s="4" t="s">
        <v>41</v>
      </c>
      <c r="C2391" s="4" t="s">
        <v>23</v>
      </c>
      <c r="D2391" s="4" t="s">
        <v>42</v>
      </c>
      <c r="E2391" s="4" t="s">
        <v>25</v>
      </c>
      <c r="F2391" s="4" t="s">
        <v>25</v>
      </c>
      <c r="G2391" s="4" t="s">
        <v>25</v>
      </c>
      <c r="H2391" s="4" t="s">
        <v>25</v>
      </c>
      <c r="I2391" s="5">
        <v>44166</v>
      </c>
      <c r="J2391" s="6">
        <v>0</v>
      </c>
      <c r="K2391" s="6">
        <v>0</v>
      </c>
      <c r="L2391" s="6">
        <v>38.951000000000001</v>
      </c>
      <c r="M2391" s="6">
        <v>38.951000000000001</v>
      </c>
      <c r="N2391" s="6">
        <v>38.951000000000001</v>
      </c>
      <c r="O2391" s="6">
        <v>38.951000000000001</v>
      </c>
      <c r="P2391" s="6">
        <v>12</v>
      </c>
      <c r="Q2391" s="4" t="s">
        <v>26</v>
      </c>
      <c r="R2391" s="4">
        <v>0</v>
      </c>
      <c r="S2391" s="4" t="s">
        <v>385</v>
      </c>
      <c r="T2391" s="4" t="s">
        <v>622</v>
      </c>
      <c r="U2391" s="4">
        <v>0</v>
      </c>
      <c r="V2391" s="4">
        <v>72</v>
      </c>
      <c r="W2391" s="4">
        <v>78</v>
      </c>
    </row>
    <row r="2392" spans="1:23" ht="11.25" customHeight="1" x14ac:dyDescent="0.25">
      <c r="A2392" s="4" t="s">
        <v>21</v>
      </c>
      <c r="B2392" s="4" t="s">
        <v>41</v>
      </c>
      <c r="C2392" s="4" t="s">
        <v>23</v>
      </c>
      <c r="D2392" s="4" t="s">
        <v>42</v>
      </c>
      <c r="E2392" s="4" t="s">
        <v>25</v>
      </c>
      <c r="F2392" s="4" t="s">
        <v>25</v>
      </c>
      <c r="G2392" s="4" t="s">
        <v>25</v>
      </c>
      <c r="H2392" s="4" t="s">
        <v>25</v>
      </c>
      <c r="I2392" s="5">
        <v>44197</v>
      </c>
      <c r="J2392" s="6">
        <v>0</v>
      </c>
      <c r="K2392" s="6">
        <v>0</v>
      </c>
      <c r="L2392" s="6">
        <v>1786.2080000000001</v>
      </c>
      <c r="M2392" s="6">
        <v>1786.2080000000001</v>
      </c>
      <c r="N2392" s="6">
        <v>1786.2080000000001</v>
      </c>
      <c r="O2392" s="6">
        <v>1786.2080000000001</v>
      </c>
      <c r="P2392" s="6">
        <v>1294</v>
      </c>
      <c r="Q2392" s="4" t="s">
        <v>26</v>
      </c>
      <c r="R2392" s="4">
        <v>0</v>
      </c>
      <c r="S2392" s="4" t="s">
        <v>386</v>
      </c>
      <c r="T2392" s="4" t="s">
        <v>623</v>
      </c>
      <c r="U2392" s="4">
        <v>0</v>
      </c>
      <c r="V2392" s="4">
        <v>72</v>
      </c>
      <c r="W2392" s="4">
        <v>78</v>
      </c>
    </row>
    <row r="2393" spans="1:23" ht="11.25" customHeight="1" x14ac:dyDescent="0.25">
      <c r="A2393" s="4" t="s">
        <v>27</v>
      </c>
      <c r="B2393" s="4" t="s">
        <v>41</v>
      </c>
      <c r="C2393" s="4" t="s">
        <v>23</v>
      </c>
      <c r="D2393" s="4" t="s">
        <v>42</v>
      </c>
      <c r="E2393" s="4" t="s">
        <v>25</v>
      </c>
      <c r="F2393" s="4" t="s">
        <v>25</v>
      </c>
      <c r="G2393" s="4" t="s">
        <v>25</v>
      </c>
      <c r="H2393" s="4" t="s">
        <v>25</v>
      </c>
      <c r="I2393" s="5">
        <v>44197</v>
      </c>
      <c r="J2393" s="6">
        <v>0</v>
      </c>
      <c r="K2393" s="6">
        <v>0</v>
      </c>
      <c r="L2393" s="6">
        <v>-53.73</v>
      </c>
      <c r="M2393" s="6">
        <v>-53.73</v>
      </c>
      <c r="N2393" s="6">
        <v>-53.73</v>
      </c>
      <c r="O2393" s="6">
        <v>-53.73</v>
      </c>
      <c r="P2393" s="6">
        <v>0</v>
      </c>
      <c r="Q2393" s="4" t="s">
        <v>26</v>
      </c>
      <c r="R2393" s="4">
        <v>0</v>
      </c>
      <c r="S2393" s="4" t="s">
        <v>386</v>
      </c>
      <c r="T2393" s="4" t="s">
        <v>623</v>
      </c>
      <c r="U2393" s="4">
        <v>0</v>
      </c>
      <c r="V2393" s="4">
        <v>72</v>
      </c>
      <c r="W2393" s="4">
        <v>78</v>
      </c>
    </row>
    <row r="2394" spans="1:23" ht="11.25" customHeight="1" x14ac:dyDescent="0.25">
      <c r="A2394" s="4" t="s">
        <v>28</v>
      </c>
      <c r="B2394" s="4" t="s">
        <v>41</v>
      </c>
      <c r="C2394" s="4" t="s">
        <v>23</v>
      </c>
      <c r="D2394" s="4" t="s">
        <v>42</v>
      </c>
      <c r="E2394" s="4" t="s">
        <v>25</v>
      </c>
      <c r="F2394" s="4" t="s">
        <v>25</v>
      </c>
      <c r="G2394" s="4" t="s">
        <v>25</v>
      </c>
      <c r="H2394" s="4" t="s">
        <v>25</v>
      </c>
      <c r="I2394" s="5">
        <v>44197</v>
      </c>
      <c r="J2394" s="6">
        <v>0</v>
      </c>
      <c r="K2394" s="6">
        <v>0</v>
      </c>
      <c r="L2394" s="6">
        <v>899.77099999999996</v>
      </c>
      <c r="M2394" s="6">
        <v>899.77099999999996</v>
      </c>
      <c r="N2394" s="6">
        <v>899.77099999999996</v>
      </c>
      <c r="O2394" s="6">
        <v>899.77099999999996</v>
      </c>
      <c r="P2394" s="6">
        <v>756</v>
      </c>
      <c r="Q2394" s="4" t="s">
        <v>26</v>
      </c>
      <c r="R2394" s="4">
        <v>0</v>
      </c>
      <c r="S2394" s="4" t="s">
        <v>386</v>
      </c>
      <c r="T2394" s="4" t="s">
        <v>623</v>
      </c>
      <c r="U2394" s="4">
        <v>0</v>
      </c>
      <c r="V2394" s="4">
        <v>72</v>
      </c>
      <c r="W2394" s="4">
        <v>78</v>
      </c>
    </row>
    <row r="2395" spans="1:23" ht="11.25" customHeight="1" x14ac:dyDescent="0.25">
      <c r="A2395" s="4" t="s">
        <v>29</v>
      </c>
      <c r="B2395" s="4" t="s">
        <v>41</v>
      </c>
      <c r="C2395" s="4" t="s">
        <v>23</v>
      </c>
      <c r="D2395" s="4" t="s">
        <v>42</v>
      </c>
      <c r="E2395" s="4" t="s">
        <v>25</v>
      </c>
      <c r="F2395" s="4" t="s">
        <v>25</v>
      </c>
      <c r="G2395" s="4" t="s">
        <v>25</v>
      </c>
      <c r="H2395" s="4" t="s">
        <v>25</v>
      </c>
      <c r="I2395" s="5">
        <v>44197</v>
      </c>
      <c r="J2395" s="6">
        <v>0</v>
      </c>
      <c r="K2395" s="6">
        <v>0</v>
      </c>
      <c r="L2395" s="6">
        <v>-35.488</v>
      </c>
      <c r="M2395" s="6">
        <v>-35.488</v>
      </c>
      <c r="N2395" s="6">
        <v>-35.488</v>
      </c>
      <c r="O2395" s="6">
        <v>-35.488</v>
      </c>
      <c r="P2395" s="6">
        <v>0</v>
      </c>
      <c r="Q2395" s="4" t="s">
        <v>26</v>
      </c>
      <c r="R2395" s="4">
        <v>0</v>
      </c>
      <c r="S2395" s="4" t="s">
        <v>386</v>
      </c>
      <c r="T2395" s="4" t="s">
        <v>623</v>
      </c>
      <c r="U2395" s="4">
        <v>0</v>
      </c>
      <c r="V2395" s="4">
        <v>72</v>
      </c>
      <c r="W2395" s="4">
        <v>78</v>
      </c>
    </row>
    <row r="2396" spans="1:23" ht="11.25" customHeight="1" x14ac:dyDescent="0.25">
      <c r="A2396" s="4" t="s">
        <v>30</v>
      </c>
      <c r="B2396" s="4" t="s">
        <v>41</v>
      </c>
      <c r="C2396" s="4" t="s">
        <v>23</v>
      </c>
      <c r="D2396" s="4" t="s">
        <v>42</v>
      </c>
      <c r="E2396" s="4" t="s">
        <v>25</v>
      </c>
      <c r="F2396" s="4" t="s">
        <v>25</v>
      </c>
      <c r="G2396" s="4" t="s">
        <v>25</v>
      </c>
      <c r="H2396" s="4" t="s">
        <v>25</v>
      </c>
      <c r="I2396" s="5">
        <v>44197</v>
      </c>
      <c r="J2396" s="6">
        <v>0</v>
      </c>
      <c r="K2396" s="6">
        <v>0</v>
      </c>
      <c r="L2396" s="6">
        <v>38.348999999999997</v>
      </c>
      <c r="M2396" s="6">
        <v>38.348999999999997</v>
      </c>
      <c r="N2396" s="6">
        <v>38.348999999999997</v>
      </c>
      <c r="O2396" s="6">
        <v>38.348999999999997</v>
      </c>
      <c r="P2396" s="6">
        <v>12</v>
      </c>
      <c r="Q2396" s="4" t="s">
        <v>26</v>
      </c>
      <c r="R2396" s="4">
        <v>0</v>
      </c>
      <c r="S2396" s="4" t="s">
        <v>386</v>
      </c>
      <c r="T2396" s="4" t="s">
        <v>623</v>
      </c>
      <c r="U2396" s="4">
        <v>0</v>
      </c>
      <c r="V2396" s="4">
        <v>72</v>
      </c>
      <c r="W2396" s="4">
        <v>78</v>
      </c>
    </row>
    <row r="2397" spans="1:23" ht="11.25" customHeight="1" x14ac:dyDescent="0.25">
      <c r="A2397" s="4" t="s">
        <v>21</v>
      </c>
      <c r="B2397" s="4" t="s">
        <v>41</v>
      </c>
      <c r="C2397" s="4" t="s">
        <v>23</v>
      </c>
      <c r="D2397" s="4" t="s">
        <v>42</v>
      </c>
      <c r="E2397" s="4" t="s">
        <v>25</v>
      </c>
      <c r="F2397" s="4" t="s">
        <v>25</v>
      </c>
      <c r="G2397" s="4" t="s">
        <v>25</v>
      </c>
      <c r="H2397" s="4" t="s">
        <v>25</v>
      </c>
      <c r="I2397" s="5">
        <v>44228</v>
      </c>
      <c r="J2397" s="6">
        <v>0</v>
      </c>
      <c r="K2397" s="6">
        <v>0</v>
      </c>
      <c r="L2397" s="6">
        <v>1647.1030000000001</v>
      </c>
      <c r="M2397" s="6">
        <v>1647.1030000000001</v>
      </c>
      <c r="N2397" s="6">
        <v>1647.1030000000001</v>
      </c>
      <c r="O2397" s="6">
        <v>1647.1030000000001</v>
      </c>
      <c r="P2397" s="6">
        <v>1284</v>
      </c>
      <c r="Q2397" s="4" t="s">
        <v>26</v>
      </c>
      <c r="R2397" s="4">
        <v>0</v>
      </c>
      <c r="S2397" s="4" t="s">
        <v>387</v>
      </c>
      <c r="T2397" s="4" t="s">
        <v>624</v>
      </c>
      <c r="U2397" s="4">
        <v>0</v>
      </c>
      <c r="V2397" s="4">
        <v>72</v>
      </c>
      <c r="W2397" s="4">
        <v>78</v>
      </c>
    </row>
    <row r="2398" spans="1:23" ht="11.25" customHeight="1" x14ac:dyDescent="0.25">
      <c r="A2398" s="4" t="s">
        <v>27</v>
      </c>
      <c r="B2398" s="4" t="s">
        <v>41</v>
      </c>
      <c r="C2398" s="4" t="s">
        <v>23</v>
      </c>
      <c r="D2398" s="4" t="s">
        <v>42</v>
      </c>
      <c r="E2398" s="4" t="s">
        <v>25</v>
      </c>
      <c r="F2398" s="4" t="s">
        <v>25</v>
      </c>
      <c r="G2398" s="4" t="s">
        <v>25</v>
      </c>
      <c r="H2398" s="4" t="s">
        <v>25</v>
      </c>
      <c r="I2398" s="5">
        <v>44228</v>
      </c>
      <c r="J2398" s="6">
        <v>0</v>
      </c>
      <c r="K2398" s="6">
        <v>0</v>
      </c>
      <c r="L2398" s="6">
        <v>-174.26400000000001</v>
      </c>
      <c r="M2398" s="6">
        <v>-174.26400000000001</v>
      </c>
      <c r="N2398" s="6">
        <v>-174.26400000000001</v>
      </c>
      <c r="O2398" s="6">
        <v>-174.26400000000001</v>
      </c>
      <c r="P2398" s="6">
        <v>0</v>
      </c>
      <c r="Q2398" s="4" t="s">
        <v>26</v>
      </c>
      <c r="R2398" s="4">
        <v>0</v>
      </c>
      <c r="S2398" s="4" t="s">
        <v>387</v>
      </c>
      <c r="T2398" s="4" t="s">
        <v>624</v>
      </c>
      <c r="U2398" s="4">
        <v>0</v>
      </c>
      <c r="V2398" s="4">
        <v>72</v>
      </c>
      <c r="W2398" s="4">
        <v>78</v>
      </c>
    </row>
    <row r="2399" spans="1:23" ht="11.25" customHeight="1" x14ac:dyDescent="0.25">
      <c r="A2399" s="4" t="s">
        <v>28</v>
      </c>
      <c r="B2399" s="4" t="s">
        <v>41</v>
      </c>
      <c r="C2399" s="4" t="s">
        <v>23</v>
      </c>
      <c r="D2399" s="4" t="s">
        <v>42</v>
      </c>
      <c r="E2399" s="4" t="s">
        <v>25</v>
      </c>
      <c r="F2399" s="4" t="s">
        <v>25</v>
      </c>
      <c r="G2399" s="4" t="s">
        <v>25</v>
      </c>
      <c r="H2399" s="4" t="s">
        <v>25</v>
      </c>
      <c r="I2399" s="5">
        <v>44228</v>
      </c>
      <c r="J2399" s="6">
        <v>0</v>
      </c>
      <c r="K2399" s="6">
        <v>0</v>
      </c>
      <c r="L2399" s="6">
        <v>883.22799999999995</v>
      </c>
      <c r="M2399" s="6">
        <v>883.22799999999995</v>
      </c>
      <c r="N2399" s="6">
        <v>883.22799999999995</v>
      </c>
      <c r="O2399" s="6">
        <v>883.22799999999995</v>
      </c>
      <c r="P2399" s="6">
        <v>749</v>
      </c>
      <c r="Q2399" s="4" t="s">
        <v>26</v>
      </c>
      <c r="R2399" s="4">
        <v>0</v>
      </c>
      <c r="S2399" s="4" t="s">
        <v>387</v>
      </c>
      <c r="T2399" s="4" t="s">
        <v>624</v>
      </c>
      <c r="U2399" s="4">
        <v>0</v>
      </c>
      <c r="V2399" s="4">
        <v>72</v>
      </c>
      <c r="W2399" s="4">
        <v>78</v>
      </c>
    </row>
    <row r="2400" spans="1:23" ht="11.25" customHeight="1" x14ac:dyDescent="0.25">
      <c r="A2400" s="4" t="s">
        <v>29</v>
      </c>
      <c r="B2400" s="4" t="s">
        <v>41</v>
      </c>
      <c r="C2400" s="4" t="s">
        <v>23</v>
      </c>
      <c r="D2400" s="4" t="s">
        <v>42</v>
      </c>
      <c r="E2400" s="4" t="s">
        <v>25</v>
      </c>
      <c r="F2400" s="4" t="s">
        <v>25</v>
      </c>
      <c r="G2400" s="4" t="s">
        <v>25</v>
      </c>
      <c r="H2400" s="4" t="s">
        <v>25</v>
      </c>
      <c r="I2400" s="5">
        <v>44228</v>
      </c>
      <c r="J2400" s="6">
        <v>0</v>
      </c>
      <c r="K2400" s="6">
        <v>0</v>
      </c>
      <c r="L2400" s="6">
        <v>-104.58199999999999</v>
      </c>
      <c r="M2400" s="6">
        <v>-104.58199999999999</v>
      </c>
      <c r="N2400" s="6">
        <v>-104.58199999999999</v>
      </c>
      <c r="O2400" s="6">
        <v>-104.58199999999999</v>
      </c>
      <c r="P2400" s="6">
        <v>0</v>
      </c>
      <c r="Q2400" s="4" t="s">
        <v>26</v>
      </c>
      <c r="R2400" s="4">
        <v>0</v>
      </c>
      <c r="S2400" s="4" t="s">
        <v>387</v>
      </c>
      <c r="T2400" s="4" t="s">
        <v>624</v>
      </c>
      <c r="U2400" s="4">
        <v>0</v>
      </c>
      <c r="V2400" s="4">
        <v>72</v>
      </c>
      <c r="W2400" s="4">
        <v>78</v>
      </c>
    </row>
    <row r="2401" spans="1:23" ht="11.25" customHeight="1" x14ac:dyDescent="0.25">
      <c r="A2401" s="4" t="s">
        <v>30</v>
      </c>
      <c r="B2401" s="4" t="s">
        <v>41</v>
      </c>
      <c r="C2401" s="4" t="s">
        <v>23</v>
      </c>
      <c r="D2401" s="4" t="s">
        <v>42</v>
      </c>
      <c r="E2401" s="4" t="s">
        <v>25</v>
      </c>
      <c r="F2401" s="4" t="s">
        <v>25</v>
      </c>
      <c r="G2401" s="4" t="s">
        <v>25</v>
      </c>
      <c r="H2401" s="4" t="s">
        <v>25</v>
      </c>
      <c r="I2401" s="5">
        <v>44228</v>
      </c>
      <c r="J2401" s="6">
        <v>0</v>
      </c>
      <c r="K2401" s="6">
        <v>0</v>
      </c>
      <c r="L2401" s="6">
        <v>34.405999999999999</v>
      </c>
      <c r="M2401" s="6">
        <v>34.405999999999999</v>
      </c>
      <c r="N2401" s="6">
        <v>34.405999999999999</v>
      </c>
      <c r="O2401" s="6">
        <v>34.405999999999999</v>
      </c>
      <c r="P2401" s="6">
        <v>13</v>
      </c>
      <c r="Q2401" s="4" t="s">
        <v>26</v>
      </c>
      <c r="R2401" s="4">
        <v>0</v>
      </c>
      <c r="S2401" s="4" t="s">
        <v>387</v>
      </c>
      <c r="T2401" s="4" t="s">
        <v>624</v>
      </c>
      <c r="U2401" s="4">
        <v>0</v>
      </c>
      <c r="V2401" s="4">
        <v>72</v>
      </c>
      <c r="W2401" s="4">
        <v>78</v>
      </c>
    </row>
    <row r="2402" spans="1:23" ht="11.25" customHeight="1" x14ac:dyDescent="0.25">
      <c r="A2402" s="4" t="s">
        <v>21</v>
      </c>
      <c r="B2402" s="4" t="s">
        <v>41</v>
      </c>
      <c r="C2402" s="4" t="s">
        <v>23</v>
      </c>
      <c r="D2402" s="4" t="s">
        <v>42</v>
      </c>
      <c r="E2402" s="4" t="s">
        <v>25</v>
      </c>
      <c r="F2402" s="4" t="s">
        <v>25</v>
      </c>
      <c r="G2402" s="4" t="s">
        <v>25</v>
      </c>
      <c r="H2402" s="4" t="s">
        <v>25</v>
      </c>
      <c r="I2402" s="5">
        <v>44256</v>
      </c>
      <c r="J2402" s="6">
        <v>0</v>
      </c>
      <c r="K2402" s="6">
        <v>0</v>
      </c>
      <c r="L2402" s="6">
        <v>2264.518</v>
      </c>
      <c r="M2402" s="6">
        <v>2264.518</v>
      </c>
      <c r="N2402" s="6">
        <v>2264.518</v>
      </c>
      <c r="O2402" s="6">
        <v>2264.518</v>
      </c>
      <c r="P2402" s="6">
        <v>1285</v>
      </c>
      <c r="Q2402" s="4" t="s">
        <v>26</v>
      </c>
      <c r="R2402" s="4">
        <v>0</v>
      </c>
      <c r="S2402" s="4" t="s">
        <v>388</v>
      </c>
      <c r="T2402" s="4" t="s">
        <v>625</v>
      </c>
      <c r="U2402" s="4">
        <v>0</v>
      </c>
      <c r="V2402" s="4">
        <v>72</v>
      </c>
      <c r="W2402" s="4">
        <v>78</v>
      </c>
    </row>
    <row r="2403" spans="1:23" ht="11.25" customHeight="1" x14ac:dyDescent="0.25">
      <c r="A2403" s="4" t="s">
        <v>27</v>
      </c>
      <c r="B2403" s="4" t="s">
        <v>41</v>
      </c>
      <c r="C2403" s="4" t="s">
        <v>23</v>
      </c>
      <c r="D2403" s="4" t="s">
        <v>42</v>
      </c>
      <c r="E2403" s="4" t="s">
        <v>25</v>
      </c>
      <c r="F2403" s="4" t="s">
        <v>25</v>
      </c>
      <c r="G2403" s="4" t="s">
        <v>25</v>
      </c>
      <c r="H2403" s="4" t="s">
        <v>25</v>
      </c>
      <c r="I2403" s="5">
        <v>44256</v>
      </c>
      <c r="J2403" s="6">
        <v>0</v>
      </c>
      <c r="K2403" s="6">
        <v>0</v>
      </c>
      <c r="L2403" s="6">
        <v>-262.37099999999998</v>
      </c>
      <c r="M2403" s="6">
        <v>-262.37099999999998</v>
      </c>
      <c r="N2403" s="6">
        <v>-262.37099999999998</v>
      </c>
      <c r="O2403" s="6">
        <v>-262.37099999999998</v>
      </c>
      <c r="P2403" s="6">
        <v>0</v>
      </c>
      <c r="Q2403" s="4" t="s">
        <v>26</v>
      </c>
      <c r="R2403" s="4">
        <v>0</v>
      </c>
      <c r="S2403" s="4" t="s">
        <v>388</v>
      </c>
      <c r="T2403" s="4" t="s">
        <v>625</v>
      </c>
      <c r="U2403" s="4">
        <v>0</v>
      </c>
      <c r="V2403" s="4">
        <v>72</v>
      </c>
      <c r="W2403" s="4">
        <v>78</v>
      </c>
    </row>
    <row r="2404" spans="1:23" ht="11.25" customHeight="1" x14ac:dyDescent="0.25">
      <c r="A2404" s="4" t="s">
        <v>28</v>
      </c>
      <c r="B2404" s="4" t="s">
        <v>41</v>
      </c>
      <c r="C2404" s="4" t="s">
        <v>23</v>
      </c>
      <c r="D2404" s="4" t="s">
        <v>42</v>
      </c>
      <c r="E2404" s="4" t="s">
        <v>25</v>
      </c>
      <c r="F2404" s="4" t="s">
        <v>25</v>
      </c>
      <c r="G2404" s="4" t="s">
        <v>25</v>
      </c>
      <c r="H2404" s="4" t="s">
        <v>25</v>
      </c>
      <c r="I2404" s="5">
        <v>44256</v>
      </c>
      <c r="J2404" s="6">
        <v>0</v>
      </c>
      <c r="K2404" s="6">
        <v>0</v>
      </c>
      <c r="L2404" s="6">
        <v>1055.066</v>
      </c>
      <c r="M2404" s="6">
        <v>1055.066</v>
      </c>
      <c r="N2404" s="6">
        <v>1055.066</v>
      </c>
      <c r="O2404" s="6">
        <v>1055.066</v>
      </c>
      <c r="P2404" s="6">
        <v>744</v>
      </c>
      <c r="Q2404" s="4" t="s">
        <v>26</v>
      </c>
      <c r="R2404" s="4">
        <v>0</v>
      </c>
      <c r="S2404" s="4" t="s">
        <v>388</v>
      </c>
      <c r="T2404" s="4" t="s">
        <v>625</v>
      </c>
      <c r="U2404" s="4">
        <v>0</v>
      </c>
      <c r="V2404" s="4">
        <v>72</v>
      </c>
      <c r="W2404" s="4">
        <v>78</v>
      </c>
    </row>
    <row r="2405" spans="1:23" ht="11.25" customHeight="1" x14ac:dyDescent="0.25">
      <c r="A2405" s="4" t="s">
        <v>29</v>
      </c>
      <c r="B2405" s="4" t="s">
        <v>41</v>
      </c>
      <c r="C2405" s="4" t="s">
        <v>23</v>
      </c>
      <c r="D2405" s="4" t="s">
        <v>42</v>
      </c>
      <c r="E2405" s="4" t="s">
        <v>25</v>
      </c>
      <c r="F2405" s="4" t="s">
        <v>25</v>
      </c>
      <c r="G2405" s="4" t="s">
        <v>25</v>
      </c>
      <c r="H2405" s="4" t="s">
        <v>25</v>
      </c>
      <c r="I2405" s="5">
        <v>44256</v>
      </c>
      <c r="J2405" s="6">
        <v>0</v>
      </c>
      <c r="K2405" s="6">
        <v>0</v>
      </c>
      <c r="L2405" s="6">
        <v>-1.3089999999999999</v>
      </c>
      <c r="M2405" s="6">
        <v>-1.3089999999999999</v>
      </c>
      <c r="N2405" s="6">
        <v>-1.3089999999999999</v>
      </c>
      <c r="O2405" s="6">
        <v>-1.3089999999999999</v>
      </c>
      <c r="P2405" s="6">
        <v>0</v>
      </c>
      <c r="Q2405" s="4" t="s">
        <v>26</v>
      </c>
      <c r="R2405" s="4">
        <v>0</v>
      </c>
      <c r="S2405" s="4" t="s">
        <v>388</v>
      </c>
      <c r="T2405" s="4" t="s">
        <v>625</v>
      </c>
      <c r="U2405" s="4">
        <v>0</v>
      </c>
      <c r="V2405" s="4">
        <v>72</v>
      </c>
      <c r="W2405" s="4">
        <v>78</v>
      </c>
    </row>
    <row r="2406" spans="1:23" ht="11.25" customHeight="1" x14ac:dyDescent="0.25">
      <c r="A2406" s="4" t="s">
        <v>30</v>
      </c>
      <c r="B2406" s="4" t="s">
        <v>41</v>
      </c>
      <c r="C2406" s="4" t="s">
        <v>23</v>
      </c>
      <c r="D2406" s="4" t="s">
        <v>42</v>
      </c>
      <c r="E2406" s="4" t="s">
        <v>25</v>
      </c>
      <c r="F2406" s="4" t="s">
        <v>25</v>
      </c>
      <c r="G2406" s="4" t="s">
        <v>25</v>
      </c>
      <c r="H2406" s="4" t="s">
        <v>25</v>
      </c>
      <c r="I2406" s="5">
        <v>44256</v>
      </c>
      <c r="J2406" s="6">
        <v>0</v>
      </c>
      <c r="K2406" s="6">
        <v>0</v>
      </c>
      <c r="L2406" s="6">
        <v>42.841999999999999</v>
      </c>
      <c r="M2406" s="6">
        <v>42.841999999999999</v>
      </c>
      <c r="N2406" s="6">
        <v>42.841999999999999</v>
      </c>
      <c r="O2406" s="6">
        <v>42.841999999999999</v>
      </c>
      <c r="P2406" s="6">
        <v>13</v>
      </c>
      <c r="Q2406" s="4" t="s">
        <v>26</v>
      </c>
      <c r="R2406" s="4">
        <v>0</v>
      </c>
      <c r="S2406" s="4" t="s">
        <v>388</v>
      </c>
      <c r="T2406" s="4" t="s">
        <v>625</v>
      </c>
      <c r="U2406" s="4">
        <v>0</v>
      </c>
      <c r="V2406" s="4">
        <v>72</v>
      </c>
      <c r="W2406" s="4">
        <v>78</v>
      </c>
    </row>
    <row r="2407" spans="1:23" ht="11.25" customHeight="1" x14ac:dyDescent="0.25">
      <c r="A2407" s="4" t="s">
        <v>21</v>
      </c>
      <c r="B2407" s="4" t="s">
        <v>41</v>
      </c>
      <c r="C2407" s="4" t="s">
        <v>23</v>
      </c>
      <c r="D2407" s="4" t="s">
        <v>42</v>
      </c>
      <c r="E2407" s="4" t="s">
        <v>25</v>
      </c>
      <c r="F2407" s="4" t="s">
        <v>25</v>
      </c>
      <c r="G2407" s="4" t="s">
        <v>25</v>
      </c>
      <c r="H2407" s="4" t="s">
        <v>25</v>
      </c>
      <c r="I2407" s="5">
        <v>44287</v>
      </c>
      <c r="J2407" s="6">
        <v>0</v>
      </c>
      <c r="K2407" s="6">
        <v>0</v>
      </c>
      <c r="L2407" s="6">
        <v>2432.0189999999998</v>
      </c>
      <c r="M2407" s="6">
        <v>2432.0189999999998</v>
      </c>
      <c r="N2407" s="6">
        <v>2432.0189999999998</v>
      </c>
      <c r="O2407" s="6">
        <v>2432.0189999999998</v>
      </c>
      <c r="P2407" s="6">
        <v>1067</v>
      </c>
      <c r="Q2407" s="4" t="s">
        <v>26</v>
      </c>
      <c r="R2407" s="4">
        <v>0</v>
      </c>
      <c r="S2407" s="4" t="s">
        <v>389</v>
      </c>
      <c r="T2407" s="4" t="s">
        <v>626</v>
      </c>
      <c r="U2407" s="4">
        <v>0</v>
      </c>
      <c r="V2407" s="4">
        <v>72</v>
      </c>
      <c r="W2407" s="4">
        <v>78</v>
      </c>
    </row>
    <row r="2408" spans="1:23" ht="11.25" customHeight="1" x14ac:dyDescent="0.25">
      <c r="A2408" s="4" t="s">
        <v>27</v>
      </c>
      <c r="B2408" s="4" t="s">
        <v>41</v>
      </c>
      <c r="C2408" s="4" t="s">
        <v>23</v>
      </c>
      <c r="D2408" s="4" t="s">
        <v>42</v>
      </c>
      <c r="E2408" s="4" t="s">
        <v>25</v>
      </c>
      <c r="F2408" s="4" t="s">
        <v>25</v>
      </c>
      <c r="G2408" s="4" t="s">
        <v>25</v>
      </c>
      <c r="H2408" s="4" t="s">
        <v>25</v>
      </c>
      <c r="I2408" s="5">
        <v>44287</v>
      </c>
      <c r="J2408" s="6">
        <v>0</v>
      </c>
      <c r="K2408" s="6">
        <v>0</v>
      </c>
      <c r="L2408" s="6">
        <v>-646.37699999999995</v>
      </c>
      <c r="M2408" s="6">
        <v>-646.37699999999995</v>
      </c>
      <c r="N2408" s="6">
        <v>-646.37699999999995</v>
      </c>
      <c r="O2408" s="6">
        <v>-646.37699999999995</v>
      </c>
      <c r="P2408" s="6">
        <v>0</v>
      </c>
      <c r="Q2408" s="4" t="s">
        <v>26</v>
      </c>
      <c r="R2408" s="4">
        <v>0</v>
      </c>
      <c r="S2408" s="4" t="s">
        <v>389</v>
      </c>
      <c r="T2408" s="4" t="s">
        <v>626</v>
      </c>
      <c r="U2408" s="4">
        <v>0</v>
      </c>
      <c r="V2408" s="4">
        <v>72</v>
      </c>
      <c r="W2408" s="4">
        <v>78</v>
      </c>
    </row>
    <row r="2409" spans="1:23" ht="11.25" customHeight="1" x14ac:dyDescent="0.25">
      <c r="A2409" s="4" t="s">
        <v>28</v>
      </c>
      <c r="B2409" s="4" t="s">
        <v>41</v>
      </c>
      <c r="C2409" s="4" t="s">
        <v>23</v>
      </c>
      <c r="D2409" s="4" t="s">
        <v>42</v>
      </c>
      <c r="E2409" s="4" t="s">
        <v>25</v>
      </c>
      <c r="F2409" s="4" t="s">
        <v>25</v>
      </c>
      <c r="G2409" s="4" t="s">
        <v>25</v>
      </c>
      <c r="H2409" s="4" t="s">
        <v>25</v>
      </c>
      <c r="I2409" s="5">
        <v>44287</v>
      </c>
      <c r="J2409" s="6">
        <v>0</v>
      </c>
      <c r="K2409" s="6">
        <v>0</v>
      </c>
      <c r="L2409" s="6">
        <v>1097.6010000000001</v>
      </c>
      <c r="M2409" s="6">
        <v>1097.6010000000001</v>
      </c>
      <c r="N2409" s="6">
        <v>1097.6010000000001</v>
      </c>
      <c r="O2409" s="6">
        <v>1097.6010000000001</v>
      </c>
      <c r="P2409" s="6">
        <v>704</v>
      </c>
      <c r="Q2409" s="4" t="s">
        <v>26</v>
      </c>
      <c r="R2409" s="4">
        <v>0</v>
      </c>
      <c r="S2409" s="4" t="s">
        <v>389</v>
      </c>
      <c r="T2409" s="4" t="s">
        <v>626</v>
      </c>
      <c r="U2409" s="4">
        <v>0</v>
      </c>
      <c r="V2409" s="4">
        <v>72</v>
      </c>
      <c r="W2409" s="4">
        <v>78</v>
      </c>
    </row>
    <row r="2410" spans="1:23" ht="11.25" customHeight="1" x14ac:dyDescent="0.25">
      <c r="A2410" s="4" t="s">
        <v>29</v>
      </c>
      <c r="B2410" s="4" t="s">
        <v>41</v>
      </c>
      <c r="C2410" s="4" t="s">
        <v>23</v>
      </c>
      <c r="D2410" s="4" t="s">
        <v>42</v>
      </c>
      <c r="E2410" s="4" t="s">
        <v>25</v>
      </c>
      <c r="F2410" s="4" t="s">
        <v>25</v>
      </c>
      <c r="G2410" s="4" t="s">
        <v>25</v>
      </c>
      <c r="H2410" s="4" t="s">
        <v>25</v>
      </c>
      <c r="I2410" s="5">
        <v>44287</v>
      </c>
      <c r="J2410" s="6">
        <v>0</v>
      </c>
      <c r="K2410" s="6">
        <v>0</v>
      </c>
      <c r="L2410" s="6">
        <v>-13.717000000000001</v>
      </c>
      <c r="M2410" s="6">
        <v>-13.717000000000001</v>
      </c>
      <c r="N2410" s="6">
        <v>-13.717000000000001</v>
      </c>
      <c r="O2410" s="6">
        <v>-13.717000000000001</v>
      </c>
      <c r="P2410" s="6">
        <v>0</v>
      </c>
      <c r="Q2410" s="4" t="s">
        <v>26</v>
      </c>
      <c r="R2410" s="4">
        <v>0</v>
      </c>
      <c r="S2410" s="4" t="s">
        <v>389</v>
      </c>
      <c r="T2410" s="4" t="s">
        <v>626</v>
      </c>
      <c r="U2410" s="4">
        <v>0</v>
      </c>
      <c r="V2410" s="4">
        <v>72</v>
      </c>
      <c r="W2410" s="4">
        <v>78</v>
      </c>
    </row>
    <row r="2411" spans="1:23" ht="11.25" customHeight="1" x14ac:dyDescent="0.25">
      <c r="A2411" s="4" t="s">
        <v>30</v>
      </c>
      <c r="B2411" s="4" t="s">
        <v>41</v>
      </c>
      <c r="C2411" s="4" t="s">
        <v>23</v>
      </c>
      <c r="D2411" s="4" t="s">
        <v>42</v>
      </c>
      <c r="E2411" s="4" t="s">
        <v>25</v>
      </c>
      <c r="F2411" s="4" t="s">
        <v>25</v>
      </c>
      <c r="G2411" s="4" t="s">
        <v>25</v>
      </c>
      <c r="H2411" s="4" t="s">
        <v>25</v>
      </c>
      <c r="I2411" s="5">
        <v>44287</v>
      </c>
      <c r="J2411" s="6">
        <v>0</v>
      </c>
      <c r="K2411" s="6">
        <v>0</v>
      </c>
      <c r="L2411" s="6">
        <v>44.2</v>
      </c>
      <c r="M2411" s="6">
        <v>44.2</v>
      </c>
      <c r="N2411" s="6">
        <v>44.2</v>
      </c>
      <c r="O2411" s="6">
        <v>44.2</v>
      </c>
      <c r="P2411" s="6">
        <v>14</v>
      </c>
      <c r="Q2411" s="4" t="s">
        <v>26</v>
      </c>
      <c r="R2411" s="4">
        <v>0</v>
      </c>
      <c r="S2411" s="4" t="s">
        <v>389</v>
      </c>
      <c r="T2411" s="4" t="s">
        <v>626</v>
      </c>
      <c r="U2411" s="4">
        <v>0</v>
      </c>
      <c r="V2411" s="4">
        <v>72</v>
      </c>
      <c r="W2411" s="4">
        <v>78</v>
      </c>
    </row>
    <row r="2412" spans="1:23" ht="11.25" customHeight="1" x14ac:dyDescent="0.25">
      <c r="A2412" s="4" t="s">
        <v>21</v>
      </c>
      <c r="B2412" s="4" t="s">
        <v>41</v>
      </c>
      <c r="C2412" s="4" t="s">
        <v>23</v>
      </c>
      <c r="D2412" s="4" t="s">
        <v>42</v>
      </c>
      <c r="E2412" s="4" t="s">
        <v>25</v>
      </c>
      <c r="F2412" s="4" t="s">
        <v>25</v>
      </c>
      <c r="G2412" s="4" t="s">
        <v>25</v>
      </c>
      <c r="H2412" s="4" t="s">
        <v>25</v>
      </c>
      <c r="I2412" s="5">
        <v>44317</v>
      </c>
      <c r="J2412" s="6">
        <v>0</v>
      </c>
      <c r="K2412" s="6">
        <v>0</v>
      </c>
      <c r="L2412" s="6">
        <v>2445.741</v>
      </c>
      <c r="M2412" s="6">
        <v>2445.741</v>
      </c>
      <c r="N2412" s="6">
        <v>2445.741</v>
      </c>
      <c r="O2412" s="6">
        <v>2445.741</v>
      </c>
      <c r="P2412" s="6">
        <v>1057</v>
      </c>
      <c r="Q2412" s="4" t="s">
        <v>26</v>
      </c>
      <c r="R2412" s="4">
        <v>0</v>
      </c>
      <c r="S2412" s="4" t="s">
        <v>390</v>
      </c>
      <c r="T2412" s="4" t="s">
        <v>627</v>
      </c>
      <c r="U2412" s="4">
        <v>0</v>
      </c>
      <c r="V2412" s="4">
        <v>72</v>
      </c>
      <c r="W2412" s="4">
        <v>78</v>
      </c>
    </row>
    <row r="2413" spans="1:23" ht="11.25" customHeight="1" x14ac:dyDescent="0.25">
      <c r="A2413" s="4" t="s">
        <v>27</v>
      </c>
      <c r="B2413" s="4" t="s">
        <v>41</v>
      </c>
      <c r="C2413" s="4" t="s">
        <v>23</v>
      </c>
      <c r="D2413" s="4" t="s">
        <v>42</v>
      </c>
      <c r="E2413" s="4" t="s">
        <v>25</v>
      </c>
      <c r="F2413" s="4" t="s">
        <v>25</v>
      </c>
      <c r="G2413" s="4" t="s">
        <v>25</v>
      </c>
      <c r="H2413" s="4" t="s">
        <v>25</v>
      </c>
      <c r="I2413" s="5">
        <v>44317</v>
      </c>
      <c r="J2413" s="6">
        <v>0</v>
      </c>
      <c r="K2413" s="6">
        <v>0</v>
      </c>
      <c r="L2413" s="6">
        <v>-99.188999999999993</v>
      </c>
      <c r="M2413" s="6">
        <v>-99.188999999999993</v>
      </c>
      <c r="N2413" s="6">
        <v>-99.188999999999993</v>
      </c>
      <c r="O2413" s="6">
        <v>-99.188999999999993</v>
      </c>
      <c r="P2413" s="6">
        <v>0</v>
      </c>
      <c r="Q2413" s="4" t="s">
        <v>26</v>
      </c>
      <c r="R2413" s="4">
        <v>0</v>
      </c>
      <c r="S2413" s="4" t="s">
        <v>390</v>
      </c>
      <c r="T2413" s="4" t="s">
        <v>627</v>
      </c>
      <c r="U2413" s="4">
        <v>0</v>
      </c>
      <c r="V2413" s="4">
        <v>72</v>
      </c>
      <c r="W2413" s="4">
        <v>78</v>
      </c>
    </row>
    <row r="2414" spans="1:23" ht="11.25" customHeight="1" x14ac:dyDescent="0.25">
      <c r="A2414" s="4" t="s">
        <v>28</v>
      </c>
      <c r="B2414" s="4" t="s">
        <v>41</v>
      </c>
      <c r="C2414" s="4" t="s">
        <v>23</v>
      </c>
      <c r="D2414" s="4" t="s">
        <v>42</v>
      </c>
      <c r="E2414" s="4" t="s">
        <v>25</v>
      </c>
      <c r="F2414" s="4" t="s">
        <v>25</v>
      </c>
      <c r="G2414" s="4" t="s">
        <v>25</v>
      </c>
      <c r="H2414" s="4" t="s">
        <v>25</v>
      </c>
      <c r="I2414" s="5">
        <v>44317</v>
      </c>
      <c r="J2414" s="6">
        <v>0</v>
      </c>
      <c r="K2414" s="6">
        <v>0</v>
      </c>
      <c r="L2414" s="6">
        <v>998.69100000000003</v>
      </c>
      <c r="M2414" s="6">
        <v>998.69100000000003</v>
      </c>
      <c r="N2414" s="6">
        <v>998.69100000000003</v>
      </c>
      <c r="O2414" s="6">
        <v>998.69100000000003</v>
      </c>
      <c r="P2414" s="6">
        <v>701</v>
      </c>
      <c r="Q2414" s="4" t="s">
        <v>26</v>
      </c>
      <c r="R2414" s="4">
        <v>0</v>
      </c>
      <c r="S2414" s="4" t="s">
        <v>390</v>
      </c>
      <c r="T2414" s="4" t="s">
        <v>627</v>
      </c>
      <c r="U2414" s="4">
        <v>0</v>
      </c>
      <c r="V2414" s="4">
        <v>72</v>
      </c>
      <c r="W2414" s="4">
        <v>78</v>
      </c>
    </row>
    <row r="2415" spans="1:23" ht="11.25" customHeight="1" x14ac:dyDescent="0.25">
      <c r="A2415" s="4" t="s">
        <v>29</v>
      </c>
      <c r="B2415" s="4" t="s">
        <v>41</v>
      </c>
      <c r="C2415" s="4" t="s">
        <v>23</v>
      </c>
      <c r="D2415" s="4" t="s">
        <v>42</v>
      </c>
      <c r="E2415" s="4" t="s">
        <v>25</v>
      </c>
      <c r="F2415" s="4" t="s">
        <v>25</v>
      </c>
      <c r="G2415" s="4" t="s">
        <v>25</v>
      </c>
      <c r="H2415" s="4" t="s">
        <v>25</v>
      </c>
      <c r="I2415" s="5">
        <v>44317</v>
      </c>
      <c r="J2415" s="6">
        <v>0</v>
      </c>
      <c r="K2415" s="6">
        <v>0</v>
      </c>
      <c r="L2415" s="6">
        <v>-0.14099999999999999</v>
      </c>
      <c r="M2415" s="6">
        <v>-0.14099999999999999</v>
      </c>
      <c r="N2415" s="6">
        <v>-0.14099999999999999</v>
      </c>
      <c r="O2415" s="6">
        <v>-0.14099999999999999</v>
      </c>
      <c r="P2415" s="6">
        <v>0</v>
      </c>
      <c r="Q2415" s="4" t="s">
        <v>26</v>
      </c>
      <c r="R2415" s="4">
        <v>0</v>
      </c>
      <c r="S2415" s="4" t="s">
        <v>390</v>
      </c>
      <c r="T2415" s="4" t="s">
        <v>627</v>
      </c>
      <c r="U2415" s="4">
        <v>0</v>
      </c>
      <c r="V2415" s="4">
        <v>72</v>
      </c>
      <c r="W2415" s="4">
        <v>78</v>
      </c>
    </row>
    <row r="2416" spans="1:23" ht="11.25" customHeight="1" x14ac:dyDescent="0.25">
      <c r="A2416" s="4" t="s">
        <v>30</v>
      </c>
      <c r="B2416" s="4" t="s">
        <v>41</v>
      </c>
      <c r="C2416" s="4" t="s">
        <v>23</v>
      </c>
      <c r="D2416" s="4" t="s">
        <v>42</v>
      </c>
      <c r="E2416" s="4" t="s">
        <v>25</v>
      </c>
      <c r="F2416" s="4" t="s">
        <v>25</v>
      </c>
      <c r="G2416" s="4" t="s">
        <v>25</v>
      </c>
      <c r="H2416" s="4" t="s">
        <v>25</v>
      </c>
      <c r="I2416" s="5">
        <v>44317</v>
      </c>
      <c r="J2416" s="6">
        <v>0</v>
      </c>
      <c r="K2416" s="6">
        <v>0</v>
      </c>
      <c r="L2416" s="6">
        <v>39.142000000000003</v>
      </c>
      <c r="M2416" s="6">
        <v>39.142000000000003</v>
      </c>
      <c r="N2416" s="6">
        <v>39.142000000000003</v>
      </c>
      <c r="O2416" s="6">
        <v>39.142000000000003</v>
      </c>
      <c r="P2416" s="6">
        <v>16</v>
      </c>
      <c r="Q2416" s="4" t="s">
        <v>26</v>
      </c>
      <c r="R2416" s="4">
        <v>0</v>
      </c>
      <c r="S2416" s="4" t="s">
        <v>390</v>
      </c>
      <c r="T2416" s="4" t="s">
        <v>627</v>
      </c>
      <c r="U2416" s="4">
        <v>0</v>
      </c>
      <c r="V2416" s="4">
        <v>72</v>
      </c>
      <c r="W2416" s="4">
        <v>78</v>
      </c>
    </row>
    <row r="2417" spans="1:23" ht="11.25" customHeight="1" x14ac:dyDescent="0.25">
      <c r="A2417" s="4" t="s">
        <v>21</v>
      </c>
      <c r="B2417" s="4" t="s">
        <v>41</v>
      </c>
      <c r="C2417" s="4" t="s">
        <v>23</v>
      </c>
      <c r="D2417" s="4" t="s">
        <v>42</v>
      </c>
      <c r="E2417" s="4" t="s">
        <v>25</v>
      </c>
      <c r="F2417" s="4" t="s">
        <v>25</v>
      </c>
      <c r="G2417" s="4" t="s">
        <v>25</v>
      </c>
      <c r="H2417" s="4" t="s">
        <v>25</v>
      </c>
      <c r="I2417" s="5">
        <v>44348</v>
      </c>
      <c r="J2417" s="6">
        <v>0</v>
      </c>
      <c r="K2417" s="6">
        <v>0</v>
      </c>
      <c r="L2417" s="6">
        <v>2396.7190000000001</v>
      </c>
      <c r="M2417" s="6">
        <v>2396.7190000000001</v>
      </c>
      <c r="N2417" s="6">
        <v>2396.7190000000001</v>
      </c>
      <c r="O2417" s="6">
        <v>2396.7190000000001</v>
      </c>
      <c r="P2417" s="6">
        <v>1050</v>
      </c>
      <c r="Q2417" s="4" t="s">
        <v>26</v>
      </c>
      <c r="R2417" s="4">
        <v>0</v>
      </c>
      <c r="S2417" s="4" t="s">
        <v>391</v>
      </c>
      <c r="T2417" s="4" t="s">
        <v>628</v>
      </c>
      <c r="U2417" s="4">
        <v>0</v>
      </c>
      <c r="V2417" s="4">
        <v>72</v>
      </c>
      <c r="W2417" s="4">
        <v>78</v>
      </c>
    </row>
    <row r="2418" spans="1:23" ht="11.25" customHeight="1" x14ac:dyDescent="0.25">
      <c r="A2418" s="4" t="s">
        <v>28</v>
      </c>
      <c r="B2418" s="4" t="s">
        <v>41</v>
      </c>
      <c r="C2418" s="4" t="s">
        <v>23</v>
      </c>
      <c r="D2418" s="4" t="s">
        <v>42</v>
      </c>
      <c r="E2418" s="4" t="s">
        <v>25</v>
      </c>
      <c r="F2418" s="4" t="s">
        <v>25</v>
      </c>
      <c r="G2418" s="4" t="s">
        <v>25</v>
      </c>
      <c r="H2418" s="4" t="s">
        <v>25</v>
      </c>
      <c r="I2418" s="5">
        <v>44348</v>
      </c>
      <c r="J2418" s="6">
        <v>0</v>
      </c>
      <c r="K2418" s="6">
        <v>0</v>
      </c>
      <c r="L2418" s="6">
        <v>906.35799999999995</v>
      </c>
      <c r="M2418" s="6">
        <v>906.35799999999995</v>
      </c>
      <c r="N2418" s="6">
        <v>906.35799999999995</v>
      </c>
      <c r="O2418" s="6">
        <v>906.35799999999995</v>
      </c>
      <c r="P2418" s="6">
        <v>697</v>
      </c>
      <c r="Q2418" s="4" t="s">
        <v>26</v>
      </c>
      <c r="R2418" s="4">
        <v>0</v>
      </c>
      <c r="S2418" s="4" t="s">
        <v>391</v>
      </c>
      <c r="T2418" s="4" t="s">
        <v>628</v>
      </c>
      <c r="U2418" s="4">
        <v>0</v>
      </c>
      <c r="V2418" s="4">
        <v>72</v>
      </c>
      <c r="W2418" s="4">
        <v>78</v>
      </c>
    </row>
    <row r="2419" spans="1:23" ht="11.25" customHeight="1" x14ac:dyDescent="0.25">
      <c r="A2419" s="4" t="s">
        <v>29</v>
      </c>
      <c r="B2419" s="4" t="s">
        <v>41</v>
      </c>
      <c r="C2419" s="4" t="s">
        <v>23</v>
      </c>
      <c r="D2419" s="4" t="s">
        <v>42</v>
      </c>
      <c r="E2419" s="4" t="s">
        <v>25</v>
      </c>
      <c r="F2419" s="4" t="s">
        <v>25</v>
      </c>
      <c r="G2419" s="4" t="s">
        <v>25</v>
      </c>
      <c r="H2419" s="4" t="s">
        <v>25</v>
      </c>
      <c r="I2419" s="5">
        <v>44348</v>
      </c>
      <c r="J2419" s="6">
        <v>0</v>
      </c>
      <c r="K2419" s="6">
        <v>0</v>
      </c>
      <c r="L2419" s="6">
        <v>-43.301000000000002</v>
      </c>
      <c r="M2419" s="6">
        <v>-43.301000000000002</v>
      </c>
      <c r="N2419" s="6">
        <v>-43.301000000000002</v>
      </c>
      <c r="O2419" s="6">
        <v>-43.301000000000002</v>
      </c>
      <c r="P2419" s="6">
        <v>0</v>
      </c>
      <c r="Q2419" s="4" t="s">
        <v>26</v>
      </c>
      <c r="R2419" s="4">
        <v>0</v>
      </c>
      <c r="S2419" s="4" t="s">
        <v>391</v>
      </c>
      <c r="T2419" s="4" t="s">
        <v>628</v>
      </c>
      <c r="U2419" s="4">
        <v>0</v>
      </c>
      <c r="V2419" s="4">
        <v>72</v>
      </c>
      <c r="W2419" s="4">
        <v>78</v>
      </c>
    </row>
    <row r="2420" spans="1:23" ht="11.25" customHeight="1" x14ac:dyDescent="0.25">
      <c r="A2420" s="4" t="s">
        <v>30</v>
      </c>
      <c r="B2420" s="4" t="s">
        <v>41</v>
      </c>
      <c r="C2420" s="4" t="s">
        <v>23</v>
      </c>
      <c r="D2420" s="4" t="s">
        <v>42</v>
      </c>
      <c r="E2420" s="4" t="s">
        <v>25</v>
      </c>
      <c r="F2420" s="4" t="s">
        <v>25</v>
      </c>
      <c r="G2420" s="4" t="s">
        <v>25</v>
      </c>
      <c r="H2420" s="4" t="s">
        <v>25</v>
      </c>
      <c r="I2420" s="5">
        <v>44348</v>
      </c>
      <c r="J2420" s="6">
        <v>0</v>
      </c>
      <c r="K2420" s="6">
        <v>0</v>
      </c>
      <c r="L2420" s="6">
        <v>59.628999999999998</v>
      </c>
      <c r="M2420" s="6">
        <v>59.628999999999998</v>
      </c>
      <c r="N2420" s="6">
        <v>59.628999999999998</v>
      </c>
      <c r="O2420" s="6">
        <v>59.628999999999998</v>
      </c>
      <c r="P2420" s="6">
        <v>19</v>
      </c>
      <c r="Q2420" s="4" t="s">
        <v>26</v>
      </c>
      <c r="R2420" s="4">
        <v>0</v>
      </c>
      <c r="S2420" s="4" t="s">
        <v>391</v>
      </c>
      <c r="T2420" s="4" t="s">
        <v>628</v>
      </c>
      <c r="U2420" s="4">
        <v>0</v>
      </c>
      <c r="V2420" s="4">
        <v>72</v>
      </c>
      <c r="W2420" s="4">
        <v>78</v>
      </c>
    </row>
    <row r="2421" spans="1:23" ht="11.25" customHeight="1" x14ac:dyDescent="0.25">
      <c r="A2421" s="4" t="s">
        <v>21</v>
      </c>
      <c r="B2421" s="4" t="s">
        <v>41</v>
      </c>
      <c r="C2421" s="4" t="s">
        <v>23</v>
      </c>
      <c r="D2421" s="4" t="s">
        <v>42</v>
      </c>
      <c r="E2421" s="4" t="s">
        <v>25</v>
      </c>
      <c r="F2421" s="4" t="s">
        <v>25</v>
      </c>
      <c r="G2421" s="4" t="s">
        <v>25</v>
      </c>
      <c r="H2421" s="4" t="s">
        <v>25</v>
      </c>
      <c r="I2421" s="5">
        <v>44378</v>
      </c>
      <c r="J2421" s="6">
        <v>0</v>
      </c>
      <c r="K2421" s="6">
        <v>0</v>
      </c>
      <c r="L2421" s="6">
        <v>2408.8809999999999</v>
      </c>
      <c r="M2421" s="6">
        <v>2408.8809999999999</v>
      </c>
      <c r="N2421" s="6">
        <v>2408.8809999999999</v>
      </c>
      <c r="O2421" s="6">
        <v>2408.8809999999999</v>
      </c>
      <c r="P2421" s="6">
        <v>1036</v>
      </c>
      <c r="Q2421" s="4" t="s">
        <v>26</v>
      </c>
      <c r="R2421" s="4">
        <v>0</v>
      </c>
      <c r="S2421" s="4" t="s">
        <v>392</v>
      </c>
      <c r="T2421" s="4" t="s">
        <v>629</v>
      </c>
      <c r="U2421" s="4">
        <v>0</v>
      </c>
      <c r="V2421" s="4">
        <v>72</v>
      </c>
      <c r="W2421" s="4">
        <v>78</v>
      </c>
    </row>
    <row r="2422" spans="1:23" ht="11.25" customHeight="1" x14ac:dyDescent="0.25">
      <c r="A2422" s="4" t="s">
        <v>27</v>
      </c>
      <c r="B2422" s="4" t="s">
        <v>41</v>
      </c>
      <c r="C2422" s="4" t="s">
        <v>23</v>
      </c>
      <c r="D2422" s="4" t="s">
        <v>42</v>
      </c>
      <c r="E2422" s="4" t="s">
        <v>25</v>
      </c>
      <c r="F2422" s="4" t="s">
        <v>25</v>
      </c>
      <c r="G2422" s="4" t="s">
        <v>25</v>
      </c>
      <c r="H2422" s="4" t="s">
        <v>25</v>
      </c>
      <c r="I2422" s="5">
        <v>44378</v>
      </c>
      <c r="J2422" s="6">
        <v>0</v>
      </c>
      <c r="K2422" s="6">
        <v>0</v>
      </c>
      <c r="L2422" s="6">
        <v>-22.704000000000001</v>
      </c>
      <c r="M2422" s="6">
        <v>-22.704000000000001</v>
      </c>
      <c r="N2422" s="6">
        <v>-22.704000000000001</v>
      </c>
      <c r="O2422" s="6">
        <v>-22.704000000000001</v>
      </c>
      <c r="P2422" s="6">
        <v>0</v>
      </c>
      <c r="Q2422" s="4" t="s">
        <v>26</v>
      </c>
      <c r="R2422" s="4">
        <v>0</v>
      </c>
      <c r="S2422" s="4" t="s">
        <v>392</v>
      </c>
      <c r="T2422" s="4" t="s">
        <v>629</v>
      </c>
      <c r="U2422" s="4">
        <v>0</v>
      </c>
      <c r="V2422" s="4">
        <v>72</v>
      </c>
      <c r="W2422" s="4">
        <v>78</v>
      </c>
    </row>
    <row r="2423" spans="1:23" ht="11.25" customHeight="1" x14ac:dyDescent="0.25">
      <c r="A2423" s="4" t="s">
        <v>28</v>
      </c>
      <c r="B2423" s="4" t="s">
        <v>41</v>
      </c>
      <c r="C2423" s="4" t="s">
        <v>23</v>
      </c>
      <c r="D2423" s="4" t="s">
        <v>42</v>
      </c>
      <c r="E2423" s="4" t="s">
        <v>25</v>
      </c>
      <c r="F2423" s="4" t="s">
        <v>25</v>
      </c>
      <c r="G2423" s="4" t="s">
        <v>25</v>
      </c>
      <c r="H2423" s="4" t="s">
        <v>25</v>
      </c>
      <c r="I2423" s="5">
        <v>44378</v>
      </c>
      <c r="J2423" s="6">
        <v>0</v>
      </c>
      <c r="K2423" s="6">
        <v>0</v>
      </c>
      <c r="L2423" s="6">
        <v>1148.9929999999999</v>
      </c>
      <c r="M2423" s="6">
        <v>1148.9929999999999</v>
      </c>
      <c r="N2423" s="6">
        <v>1148.9929999999999</v>
      </c>
      <c r="O2423" s="6">
        <v>1148.9929999999999</v>
      </c>
      <c r="P2423" s="6">
        <v>696</v>
      </c>
      <c r="Q2423" s="4" t="s">
        <v>26</v>
      </c>
      <c r="R2423" s="4">
        <v>0</v>
      </c>
      <c r="S2423" s="4" t="s">
        <v>392</v>
      </c>
      <c r="T2423" s="4" t="s">
        <v>629</v>
      </c>
      <c r="U2423" s="4">
        <v>0</v>
      </c>
      <c r="V2423" s="4">
        <v>72</v>
      </c>
      <c r="W2423" s="4">
        <v>78</v>
      </c>
    </row>
    <row r="2424" spans="1:23" ht="11.25" customHeight="1" x14ac:dyDescent="0.25">
      <c r="A2424" s="4" t="s">
        <v>29</v>
      </c>
      <c r="B2424" s="4" t="s">
        <v>41</v>
      </c>
      <c r="C2424" s="4" t="s">
        <v>23</v>
      </c>
      <c r="D2424" s="4" t="s">
        <v>42</v>
      </c>
      <c r="E2424" s="4" t="s">
        <v>25</v>
      </c>
      <c r="F2424" s="4" t="s">
        <v>25</v>
      </c>
      <c r="G2424" s="4" t="s">
        <v>25</v>
      </c>
      <c r="H2424" s="4" t="s">
        <v>25</v>
      </c>
      <c r="I2424" s="5">
        <v>44378</v>
      </c>
      <c r="J2424" s="6">
        <v>0</v>
      </c>
      <c r="K2424" s="6">
        <v>0</v>
      </c>
      <c r="L2424" s="6">
        <v>-2.968</v>
      </c>
      <c r="M2424" s="6">
        <v>-2.968</v>
      </c>
      <c r="N2424" s="6">
        <v>-2.968</v>
      </c>
      <c r="O2424" s="6">
        <v>-2.968</v>
      </c>
      <c r="P2424" s="6">
        <v>0</v>
      </c>
      <c r="Q2424" s="4" t="s">
        <v>26</v>
      </c>
      <c r="R2424" s="4">
        <v>0</v>
      </c>
      <c r="S2424" s="4" t="s">
        <v>392</v>
      </c>
      <c r="T2424" s="4" t="s">
        <v>629</v>
      </c>
      <c r="U2424" s="4">
        <v>0</v>
      </c>
      <c r="V2424" s="4">
        <v>72</v>
      </c>
      <c r="W2424" s="4">
        <v>78</v>
      </c>
    </row>
    <row r="2425" spans="1:23" ht="11.25" customHeight="1" x14ac:dyDescent="0.25">
      <c r="A2425" s="4" t="s">
        <v>30</v>
      </c>
      <c r="B2425" s="4" t="s">
        <v>41</v>
      </c>
      <c r="C2425" s="4" t="s">
        <v>23</v>
      </c>
      <c r="D2425" s="4" t="s">
        <v>42</v>
      </c>
      <c r="E2425" s="4" t="s">
        <v>25</v>
      </c>
      <c r="F2425" s="4" t="s">
        <v>25</v>
      </c>
      <c r="G2425" s="4" t="s">
        <v>25</v>
      </c>
      <c r="H2425" s="4" t="s">
        <v>25</v>
      </c>
      <c r="I2425" s="5">
        <v>44378</v>
      </c>
      <c r="J2425" s="6">
        <v>0</v>
      </c>
      <c r="K2425" s="6">
        <v>0</v>
      </c>
      <c r="L2425" s="6">
        <v>51.043999999999997</v>
      </c>
      <c r="M2425" s="6">
        <v>51.043999999999997</v>
      </c>
      <c r="N2425" s="6">
        <v>51.043999999999997</v>
      </c>
      <c r="O2425" s="6">
        <v>51.043999999999997</v>
      </c>
      <c r="P2425" s="6">
        <v>19</v>
      </c>
      <c r="Q2425" s="4" t="s">
        <v>26</v>
      </c>
      <c r="R2425" s="4">
        <v>0</v>
      </c>
      <c r="S2425" s="4" t="s">
        <v>392</v>
      </c>
      <c r="T2425" s="4" t="s">
        <v>629</v>
      </c>
      <c r="U2425" s="4">
        <v>0</v>
      </c>
      <c r="V2425" s="4">
        <v>72</v>
      </c>
      <c r="W2425" s="4">
        <v>78</v>
      </c>
    </row>
    <row r="2426" spans="1:23" ht="11.25" customHeight="1" x14ac:dyDescent="0.25">
      <c r="A2426" s="4" t="s">
        <v>30</v>
      </c>
      <c r="B2426" s="4" t="s">
        <v>41</v>
      </c>
      <c r="C2426" s="4" t="s">
        <v>23</v>
      </c>
      <c r="D2426" s="4" t="s">
        <v>42</v>
      </c>
      <c r="E2426" s="4" t="s">
        <v>25</v>
      </c>
      <c r="F2426" s="4" t="s">
        <v>25</v>
      </c>
      <c r="G2426" s="4" t="s">
        <v>25</v>
      </c>
      <c r="H2426" s="4" t="s">
        <v>25</v>
      </c>
      <c r="I2426" s="5">
        <v>44378</v>
      </c>
      <c r="J2426" s="6">
        <v>0</v>
      </c>
      <c r="K2426" s="6">
        <v>0</v>
      </c>
      <c r="L2426" s="6">
        <v>-2.125</v>
      </c>
      <c r="M2426" s="6">
        <v>-2.125</v>
      </c>
      <c r="N2426" s="6">
        <v>-2.125</v>
      </c>
      <c r="O2426" s="6">
        <v>-2.125</v>
      </c>
      <c r="P2426" s="6">
        <v>0</v>
      </c>
      <c r="Q2426" s="4" t="s">
        <v>26</v>
      </c>
      <c r="R2426" s="4">
        <v>0</v>
      </c>
      <c r="S2426" s="4" t="s">
        <v>392</v>
      </c>
      <c r="T2426" s="4" t="s">
        <v>629</v>
      </c>
      <c r="U2426" s="4">
        <v>0</v>
      </c>
      <c r="V2426" s="4">
        <v>72</v>
      </c>
      <c r="W2426" s="4">
        <v>78</v>
      </c>
    </row>
    <row r="2427" spans="1:23" ht="11.25" customHeight="1" x14ac:dyDescent="0.25">
      <c r="A2427" s="4" t="s">
        <v>21</v>
      </c>
      <c r="B2427" s="4" t="s">
        <v>41</v>
      </c>
      <c r="C2427" s="4" t="s">
        <v>23</v>
      </c>
      <c r="D2427" s="4" t="s">
        <v>42</v>
      </c>
      <c r="E2427" s="4" t="s">
        <v>25</v>
      </c>
      <c r="F2427" s="4" t="s">
        <v>25</v>
      </c>
      <c r="G2427" s="4" t="s">
        <v>25</v>
      </c>
      <c r="H2427" s="4" t="s">
        <v>25</v>
      </c>
      <c r="I2427" s="5">
        <v>44409</v>
      </c>
      <c r="J2427" s="6">
        <v>0</v>
      </c>
      <c r="K2427" s="6">
        <v>0</v>
      </c>
      <c r="L2427" s="6">
        <v>2718.8209999999999</v>
      </c>
      <c r="M2427" s="6">
        <v>2718.8209999999999</v>
      </c>
      <c r="N2427" s="6">
        <v>2718.8209999999999</v>
      </c>
      <c r="O2427" s="6">
        <v>2718.8209999999999</v>
      </c>
      <c r="P2427" s="6">
        <v>1037</v>
      </c>
      <c r="Q2427" s="4" t="s">
        <v>26</v>
      </c>
      <c r="R2427" s="4">
        <v>0</v>
      </c>
      <c r="S2427" s="4" t="s">
        <v>393</v>
      </c>
      <c r="T2427" s="4" t="s">
        <v>630</v>
      </c>
      <c r="U2427" s="4">
        <v>0</v>
      </c>
      <c r="V2427" s="4">
        <v>72</v>
      </c>
      <c r="W2427" s="4">
        <v>78</v>
      </c>
    </row>
    <row r="2428" spans="1:23" ht="11.25" customHeight="1" x14ac:dyDescent="0.25">
      <c r="A2428" s="4" t="s">
        <v>27</v>
      </c>
      <c r="B2428" s="4" t="s">
        <v>41</v>
      </c>
      <c r="C2428" s="4" t="s">
        <v>23</v>
      </c>
      <c r="D2428" s="4" t="s">
        <v>42</v>
      </c>
      <c r="E2428" s="4" t="s">
        <v>25</v>
      </c>
      <c r="F2428" s="4" t="s">
        <v>25</v>
      </c>
      <c r="G2428" s="4" t="s">
        <v>25</v>
      </c>
      <c r="H2428" s="4" t="s">
        <v>25</v>
      </c>
      <c r="I2428" s="5">
        <v>44409</v>
      </c>
      <c r="J2428" s="6">
        <v>0</v>
      </c>
      <c r="K2428" s="6">
        <v>0</v>
      </c>
      <c r="L2428" s="6">
        <v>-69.606999999999999</v>
      </c>
      <c r="M2428" s="6">
        <v>-69.606999999999999</v>
      </c>
      <c r="N2428" s="6">
        <v>-69.606999999999999</v>
      </c>
      <c r="O2428" s="6">
        <v>-69.606999999999999</v>
      </c>
      <c r="P2428" s="6">
        <v>0</v>
      </c>
      <c r="Q2428" s="4" t="s">
        <v>26</v>
      </c>
      <c r="R2428" s="4">
        <v>0</v>
      </c>
      <c r="S2428" s="4" t="s">
        <v>393</v>
      </c>
      <c r="T2428" s="4" t="s">
        <v>630</v>
      </c>
      <c r="U2428" s="4">
        <v>0</v>
      </c>
      <c r="V2428" s="4">
        <v>72</v>
      </c>
      <c r="W2428" s="4">
        <v>78</v>
      </c>
    </row>
    <row r="2429" spans="1:23" ht="11.25" customHeight="1" x14ac:dyDescent="0.25">
      <c r="A2429" s="4" t="s">
        <v>28</v>
      </c>
      <c r="B2429" s="4" t="s">
        <v>41</v>
      </c>
      <c r="C2429" s="4" t="s">
        <v>23</v>
      </c>
      <c r="D2429" s="4" t="s">
        <v>42</v>
      </c>
      <c r="E2429" s="4" t="s">
        <v>25</v>
      </c>
      <c r="F2429" s="4" t="s">
        <v>25</v>
      </c>
      <c r="G2429" s="4" t="s">
        <v>25</v>
      </c>
      <c r="H2429" s="4" t="s">
        <v>25</v>
      </c>
      <c r="I2429" s="5">
        <v>44409</v>
      </c>
      <c r="J2429" s="6">
        <v>0</v>
      </c>
      <c r="K2429" s="6">
        <v>0</v>
      </c>
      <c r="L2429" s="6">
        <v>1051.758</v>
      </c>
      <c r="M2429" s="6">
        <v>1051.758</v>
      </c>
      <c r="N2429" s="6">
        <v>1051.758</v>
      </c>
      <c r="O2429" s="6">
        <v>1051.758</v>
      </c>
      <c r="P2429" s="6">
        <v>694</v>
      </c>
      <c r="Q2429" s="4" t="s">
        <v>26</v>
      </c>
      <c r="R2429" s="4">
        <v>0</v>
      </c>
      <c r="S2429" s="4" t="s">
        <v>393</v>
      </c>
      <c r="T2429" s="4" t="s">
        <v>630</v>
      </c>
      <c r="U2429" s="4">
        <v>0</v>
      </c>
      <c r="V2429" s="4">
        <v>72</v>
      </c>
      <c r="W2429" s="4">
        <v>78</v>
      </c>
    </row>
    <row r="2430" spans="1:23" ht="11.25" customHeight="1" x14ac:dyDescent="0.25">
      <c r="A2430" s="4" t="s">
        <v>29</v>
      </c>
      <c r="B2430" s="4" t="s">
        <v>41</v>
      </c>
      <c r="C2430" s="4" t="s">
        <v>23</v>
      </c>
      <c r="D2430" s="4" t="s">
        <v>42</v>
      </c>
      <c r="E2430" s="4" t="s">
        <v>25</v>
      </c>
      <c r="F2430" s="4" t="s">
        <v>25</v>
      </c>
      <c r="G2430" s="4" t="s">
        <v>25</v>
      </c>
      <c r="H2430" s="4" t="s">
        <v>25</v>
      </c>
      <c r="I2430" s="5">
        <v>44409</v>
      </c>
      <c r="J2430" s="6">
        <v>0</v>
      </c>
      <c r="K2430" s="6">
        <v>0</v>
      </c>
      <c r="L2430" s="6">
        <v>4</v>
      </c>
      <c r="M2430" s="6">
        <v>4</v>
      </c>
      <c r="N2430" s="6">
        <v>4</v>
      </c>
      <c r="O2430" s="6">
        <v>4</v>
      </c>
      <c r="P2430" s="6">
        <v>0</v>
      </c>
      <c r="Q2430" s="4" t="s">
        <v>26</v>
      </c>
      <c r="R2430" s="4">
        <v>0</v>
      </c>
      <c r="S2430" s="4" t="s">
        <v>393</v>
      </c>
      <c r="T2430" s="4" t="s">
        <v>630</v>
      </c>
      <c r="U2430" s="4">
        <v>0</v>
      </c>
      <c r="V2430" s="4">
        <v>72</v>
      </c>
      <c r="W2430" s="4">
        <v>78</v>
      </c>
    </row>
    <row r="2431" spans="1:23" ht="11.25" customHeight="1" x14ac:dyDescent="0.25">
      <c r="A2431" s="4" t="s">
        <v>30</v>
      </c>
      <c r="B2431" s="4" t="s">
        <v>41</v>
      </c>
      <c r="C2431" s="4" t="s">
        <v>23</v>
      </c>
      <c r="D2431" s="4" t="s">
        <v>42</v>
      </c>
      <c r="E2431" s="4" t="s">
        <v>25</v>
      </c>
      <c r="F2431" s="4" t="s">
        <v>25</v>
      </c>
      <c r="G2431" s="4" t="s">
        <v>25</v>
      </c>
      <c r="H2431" s="4" t="s">
        <v>25</v>
      </c>
      <c r="I2431" s="5">
        <v>44409</v>
      </c>
      <c r="J2431" s="6">
        <v>0</v>
      </c>
      <c r="K2431" s="6">
        <v>0</v>
      </c>
      <c r="L2431" s="6">
        <v>50.966999999999999</v>
      </c>
      <c r="M2431" s="6">
        <v>50.966999999999999</v>
      </c>
      <c r="N2431" s="6">
        <v>50.966999999999999</v>
      </c>
      <c r="O2431" s="6">
        <v>50.966999999999999</v>
      </c>
      <c r="P2431" s="6">
        <v>20</v>
      </c>
      <c r="Q2431" s="4" t="s">
        <v>26</v>
      </c>
      <c r="R2431" s="4">
        <v>0</v>
      </c>
      <c r="S2431" s="4" t="s">
        <v>393</v>
      </c>
      <c r="T2431" s="4" t="s">
        <v>630</v>
      </c>
      <c r="U2431" s="4">
        <v>0</v>
      </c>
      <c r="V2431" s="4">
        <v>72</v>
      </c>
      <c r="W2431" s="4">
        <v>78</v>
      </c>
    </row>
    <row r="2432" spans="1:23" ht="11.25" customHeight="1" x14ac:dyDescent="0.25">
      <c r="A2432" s="4" t="s">
        <v>21</v>
      </c>
      <c r="B2432" s="4" t="s">
        <v>41</v>
      </c>
      <c r="C2432" s="4" t="s">
        <v>23</v>
      </c>
      <c r="D2432" s="4" t="s">
        <v>42</v>
      </c>
      <c r="E2432" s="4" t="s">
        <v>25</v>
      </c>
      <c r="F2432" s="4" t="s">
        <v>25</v>
      </c>
      <c r="G2432" s="4" t="s">
        <v>25</v>
      </c>
      <c r="H2432" s="4" t="s">
        <v>25</v>
      </c>
      <c r="I2432" s="5">
        <v>44440</v>
      </c>
      <c r="J2432" s="6">
        <v>0</v>
      </c>
      <c r="K2432" s="6">
        <v>0</v>
      </c>
      <c r="L2432" s="6">
        <v>2325.569</v>
      </c>
      <c r="M2432" s="6">
        <v>2325.569</v>
      </c>
      <c r="N2432" s="6">
        <v>2325.569</v>
      </c>
      <c r="O2432" s="6">
        <v>2325.569</v>
      </c>
      <c r="P2432" s="6">
        <v>1018</v>
      </c>
      <c r="Q2432" s="4" t="s">
        <v>26</v>
      </c>
      <c r="R2432" s="4">
        <v>0</v>
      </c>
      <c r="S2432" s="4" t="s">
        <v>394</v>
      </c>
      <c r="T2432" s="4" t="s">
        <v>631</v>
      </c>
      <c r="U2432" s="4">
        <v>0</v>
      </c>
      <c r="V2432" s="4">
        <v>72</v>
      </c>
      <c r="W2432" s="4">
        <v>78</v>
      </c>
    </row>
    <row r="2433" spans="1:23" ht="11.25" customHeight="1" x14ac:dyDescent="0.25">
      <c r="A2433" s="4" t="s">
        <v>27</v>
      </c>
      <c r="B2433" s="4" t="s">
        <v>41</v>
      </c>
      <c r="C2433" s="4" t="s">
        <v>23</v>
      </c>
      <c r="D2433" s="4" t="s">
        <v>42</v>
      </c>
      <c r="E2433" s="4" t="s">
        <v>25</v>
      </c>
      <c r="F2433" s="4" t="s">
        <v>25</v>
      </c>
      <c r="G2433" s="4" t="s">
        <v>25</v>
      </c>
      <c r="H2433" s="4" t="s">
        <v>25</v>
      </c>
      <c r="I2433" s="5">
        <v>44440</v>
      </c>
      <c r="J2433" s="6">
        <v>0</v>
      </c>
      <c r="K2433" s="6">
        <v>0</v>
      </c>
      <c r="L2433" s="6">
        <v>-176.99700000000001</v>
      </c>
      <c r="M2433" s="6">
        <v>-176.99700000000001</v>
      </c>
      <c r="N2433" s="6">
        <v>-176.99700000000001</v>
      </c>
      <c r="O2433" s="6">
        <v>-176.99700000000001</v>
      </c>
      <c r="P2433" s="6">
        <v>0</v>
      </c>
      <c r="Q2433" s="4" t="s">
        <v>26</v>
      </c>
      <c r="R2433" s="4">
        <v>0</v>
      </c>
      <c r="S2433" s="4" t="s">
        <v>394</v>
      </c>
      <c r="T2433" s="4" t="s">
        <v>631</v>
      </c>
      <c r="U2433" s="4">
        <v>0</v>
      </c>
      <c r="V2433" s="4">
        <v>72</v>
      </c>
      <c r="W2433" s="4">
        <v>78</v>
      </c>
    </row>
    <row r="2434" spans="1:23" ht="11.25" customHeight="1" x14ac:dyDescent="0.25">
      <c r="A2434" s="4" t="s">
        <v>28</v>
      </c>
      <c r="B2434" s="4" t="s">
        <v>41</v>
      </c>
      <c r="C2434" s="4" t="s">
        <v>23</v>
      </c>
      <c r="D2434" s="4" t="s">
        <v>42</v>
      </c>
      <c r="E2434" s="4" t="s">
        <v>25</v>
      </c>
      <c r="F2434" s="4" t="s">
        <v>25</v>
      </c>
      <c r="G2434" s="4" t="s">
        <v>25</v>
      </c>
      <c r="H2434" s="4" t="s">
        <v>25</v>
      </c>
      <c r="I2434" s="5">
        <v>44440</v>
      </c>
      <c r="J2434" s="6">
        <v>0</v>
      </c>
      <c r="K2434" s="6">
        <v>0</v>
      </c>
      <c r="L2434" s="6">
        <v>1043.4449999999999</v>
      </c>
      <c r="M2434" s="6">
        <v>1043.4449999999999</v>
      </c>
      <c r="N2434" s="6">
        <v>1043.4449999999999</v>
      </c>
      <c r="O2434" s="6">
        <v>1043.4449999999999</v>
      </c>
      <c r="P2434" s="6">
        <v>689</v>
      </c>
      <c r="Q2434" s="4" t="s">
        <v>26</v>
      </c>
      <c r="R2434" s="4">
        <v>0</v>
      </c>
      <c r="S2434" s="4" t="s">
        <v>394</v>
      </c>
      <c r="T2434" s="4" t="s">
        <v>631</v>
      </c>
      <c r="U2434" s="4">
        <v>0</v>
      </c>
      <c r="V2434" s="4">
        <v>72</v>
      </c>
      <c r="W2434" s="4">
        <v>78</v>
      </c>
    </row>
    <row r="2435" spans="1:23" ht="11.25" customHeight="1" x14ac:dyDescent="0.25">
      <c r="A2435" s="4" t="s">
        <v>29</v>
      </c>
      <c r="B2435" s="4" t="s">
        <v>41</v>
      </c>
      <c r="C2435" s="4" t="s">
        <v>23</v>
      </c>
      <c r="D2435" s="4" t="s">
        <v>42</v>
      </c>
      <c r="E2435" s="4" t="s">
        <v>25</v>
      </c>
      <c r="F2435" s="4" t="s">
        <v>25</v>
      </c>
      <c r="G2435" s="4" t="s">
        <v>25</v>
      </c>
      <c r="H2435" s="4" t="s">
        <v>25</v>
      </c>
      <c r="I2435" s="5">
        <v>44440</v>
      </c>
      <c r="J2435" s="6">
        <v>0</v>
      </c>
      <c r="K2435" s="6">
        <v>0</v>
      </c>
      <c r="L2435" s="6">
        <v>-1.5129999999999999</v>
      </c>
      <c r="M2435" s="6">
        <v>-1.5129999999999999</v>
      </c>
      <c r="N2435" s="6">
        <v>-1.5129999999999999</v>
      </c>
      <c r="O2435" s="6">
        <v>-1.5129999999999999</v>
      </c>
      <c r="P2435" s="6">
        <v>0</v>
      </c>
      <c r="Q2435" s="4" t="s">
        <v>26</v>
      </c>
      <c r="R2435" s="4">
        <v>0</v>
      </c>
      <c r="S2435" s="4" t="s">
        <v>394</v>
      </c>
      <c r="T2435" s="4" t="s">
        <v>631</v>
      </c>
      <c r="U2435" s="4">
        <v>0</v>
      </c>
      <c r="V2435" s="4">
        <v>72</v>
      </c>
      <c r="W2435" s="4">
        <v>78</v>
      </c>
    </row>
    <row r="2436" spans="1:23" ht="11.25" customHeight="1" x14ac:dyDescent="0.25">
      <c r="A2436" s="4" t="s">
        <v>30</v>
      </c>
      <c r="B2436" s="4" t="s">
        <v>41</v>
      </c>
      <c r="C2436" s="4" t="s">
        <v>23</v>
      </c>
      <c r="D2436" s="4" t="s">
        <v>42</v>
      </c>
      <c r="E2436" s="4" t="s">
        <v>25</v>
      </c>
      <c r="F2436" s="4" t="s">
        <v>25</v>
      </c>
      <c r="G2436" s="4" t="s">
        <v>25</v>
      </c>
      <c r="H2436" s="4" t="s">
        <v>25</v>
      </c>
      <c r="I2436" s="5">
        <v>44440</v>
      </c>
      <c r="J2436" s="6">
        <v>0</v>
      </c>
      <c r="K2436" s="6">
        <v>0</v>
      </c>
      <c r="L2436" s="6">
        <v>67.442999999999998</v>
      </c>
      <c r="M2436" s="6">
        <v>67.442999999999998</v>
      </c>
      <c r="N2436" s="6">
        <v>67.442999999999998</v>
      </c>
      <c r="O2436" s="6">
        <v>67.442999999999998</v>
      </c>
      <c r="P2436" s="6">
        <v>22</v>
      </c>
      <c r="Q2436" s="4" t="s">
        <v>26</v>
      </c>
      <c r="R2436" s="4">
        <v>0</v>
      </c>
      <c r="S2436" s="4" t="s">
        <v>394</v>
      </c>
      <c r="T2436" s="4" t="s">
        <v>631</v>
      </c>
      <c r="U2436" s="4">
        <v>0</v>
      </c>
      <c r="V2436" s="4">
        <v>72</v>
      </c>
      <c r="W2436" s="4">
        <v>78</v>
      </c>
    </row>
    <row r="2437" spans="1:23" ht="11.25" customHeight="1" x14ac:dyDescent="0.25">
      <c r="A2437" s="4" t="s">
        <v>30</v>
      </c>
      <c r="B2437" s="4" t="s">
        <v>41</v>
      </c>
      <c r="C2437" s="4" t="s">
        <v>23</v>
      </c>
      <c r="D2437" s="4" t="s">
        <v>42</v>
      </c>
      <c r="E2437" s="4" t="s">
        <v>25</v>
      </c>
      <c r="F2437" s="4" t="s">
        <v>25</v>
      </c>
      <c r="G2437" s="4" t="s">
        <v>25</v>
      </c>
      <c r="H2437" s="4" t="s">
        <v>25</v>
      </c>
      <c r="I2437" s="5">
        <v>44440</v>
      </c>
      <c r="J2437" s="6">
        <v>0</v>
      </c>
      <c r="K2437" s="6">
        <v>0</v>
      </c>
      <c r="L2437" s="6">
        <v>-1.542</v>
      </c>
      <c r="M2437" s="6">
        <v>-1.542</v>
      </c>
      <c r="N2437" s="6">
        <v>-1.542</v>
      </c>
      <c r="O2437" s="6">
        <v>-1.542</v>
      </c>
      <c r="P2437" s="6">
        <v>0</v>
      </c>
      <c r="Q2437" s="4" t="s">
        <v>26</v>
      </c>
      <c r="R2437" s="4">
        <v>0</v>
      </c>
      <c r="S2437" s="4" t="s">
        <v>394</v>
      </c>
      <c r="T2437" s="4" t="s">
        <v>631</v>
      </c>
      <c r="U2437" s="4">
        <v>0</v>
      </c>
      <c r="V2437" s="4">
        <v>72</v>
      </c>
      <c r="W2437" s="4">
        <v>78</v>
      </c>
    </row>
    <row r="2438" spans="1:23" ht="11.25" customHeight="1" x14ac:dyDescent="0.25">
      <c r="A2438" s="4" t="s">
        <v>59</v>
      </c>
      <c r="B2438" s="4" t="s">
        <v>41</v>
      </c>
      <c r="C2438" s="4" t="s">
        <v>23</v>
      </c>
      <c r="D2438" s="4" t="s">
        <v>42</v>
      </c>
      <c r="E2438" s="4" t="s">
        <v>25</v>
      </c>
      <c r="F2438" s="4" t="s">
        <v>25</v>
      </c>
      <c r="G2438" s="4" t="s">
        <v>25</v>
      </c>
      <c r="H2438" s="4" t="s">
        <v>25</v>
      </c>
      <c r="I2438" s="5">
        <v>44470</v>
      </c>
      <c r="J2438" s="6">
        <v>0</v>
      </c>
      <c r="K2438" s="6">
        <v>0</v>
      </c>
      <c r="L2438" s="6">
        <v>2325.569</v>
      </c>
      <c r="M2438" s="6">
        <v>2325.569</v>
      </c>
      <c r="N2438" s="6">
        <v>2325.569</v>
      </c>
      <c r="O2438" s="6">
        <v>2325.569</v>
      </c>
      <c r="P2438" s="6">
        <v>1018</v>
      </c>
      <c r="Q2438" s="4" t="s">
        <v>26</v>
      </c>
      <c r="R2438" s="4">
        <v>0</v>
      </c>
      <c r="S2438" s="4" t="s">
        <v>395</v>
      </c>
      <c r="T2438" s="4" t="s">
        <v>632</v>
      </c>
      <c r="U2438" s="4">
        <v>0</v>
      </c>
      <c r="V2438" s="4">
        <v>72</v>
      </c>
      <c r="W2438" s="4">
        <v>78</v>
      </c>
    </row>
    <row r="2439" spans="1:23" ht="11.25" customHeight="1" x14ac:dyDescent="0.25">
      <c r="A2439" s="4" t="s">
        <v>59</v>
      </c>
      <c r="B2439" s="4" t="s">
        <v>41</v>
      </c>
      <c r="C2439" s="4" t="s">
        <v>23</v>
      </c>
      <c r="D2439" s="4" t="s">
        <v>42</v>
      </c>
      <c r="E2439" s="4" t="s">
        <v>25</v>
      </c>
      <c r="F2439" s="4" t="s">
        <v>25</v>
      </c>
      <c r="G2439" s="4" t="s">
        <v>25</v>
      </c>
      <c r="H2439" s="4" t="s">
        <v>25</v>
      </c>
      <c r="I2439" s="5">
        <v>44470</v>
      </c>
      <c r="J2439" s="6">
        <v>0</v>
      </c>
      <c r="K2439" s="6">
        <v>0</v>
      </c>
      <c r="L2439" s="6">
        <v>-176.99700000000001</v>
      </c>
      <c r="M2439" s="6">
        <v>-176.99700000000001</v>
      </c>
      <c r="N2439" s="6">
        <v>-176.99700000000001</v>
      </c>
      <c r="O2439" s="6">
        <v>-176.99700000000001</v>
      </c>
      <c r="P2439" s="6">
        <v>0</v>
      </c>
      <c r="Q2439" s="4" t="s">
        <v>26</v>
      </c>
      <c r="R2439" s="4">
        <v>0</v>
      </c>
      <c r="S2439" s="4" t="s">
        <v>395</v>
      </c>
      <c r="T2439" s="4" t="s">
        <v>632</v>
      </c>
      <c r="U2439" s="4">
        <v>0</v>
      </c>
      <c r="V2439" s="4">
        <v>72</v>
      </c>
      <c r="W2439" s="4">
        <v>78</v>
      </c>
    </row>
    <row r="2440" spans="1:23" ht="11.25" customHeight="1" x14ac:dyDescent="0.25">
      <c r="A2440" s="4" t="s">
        <v>59</v>
      </c>
      <c r="B2440" s="4" t="s">
        <v>41</v>
      </c>
      <c r="C2440" s="4" t="s">
        <v>23</v>
      </c>
      <c r="D2440" s="4" t="s">
        <v>42</v>
      </c>
      <c r="E2440" s="4" t="s">
        <v>25</v>
      </c>
      <c r="F2440" s="4" t="s">
        <v>25</v>
      </c>
      <c r="G2440" s="4" t="s">
        <v>25</v>
      </c>
      <c r="H2440" s="4" t="s">
        <v>25</v>
      </c>
      <c r="I2440" s="5">
        <v>44470</v>
      </c>
      <c r="J2440" s="6">
        <v>0</v>
      </c>
      <c r="K2440" s="6">
        <v>0</v>
      </c>
      <c r="L2440" s="6">
        <v>1043.4449999999999</v>
      </c>
      <c r="M2440" s="6">
        <v>1043.4449999999999</v>
      </c>
      <c r="N2440" s="6">
        <v>1043.4449999999999</v>
      </c>
      <c r="O2440" s="6">
        <v>1043.4449999999999</v>
      </c>
      <c r="P2440" s="6">
        <v>689</v>
      </c>
      <c r="Q2440" s="4" t="s">
        <v>26</v>
      </c>
      <c r="R2440" s="4">
        <v>0</v>
      </c>
      <c r="S2440" s="4" t="s">
        <v>395</v>
      </c>
      <c r="T2440" s="4" t="s">
        <v>632</v>
      </c>
      <c r="U2440" s="4">
        <v>0</v>
      </c>
      <c r="V2440" s="4">
        <v>72</v>
      </c>
      <c r="W2440" s="4">
        <v>78</v>
      </c>
    </row>
    <row r="2441" spans="1:23" ht="11.25" customHeight="1" x14ac:dyDescent="0.25">
      <c r="A2441" s="4" t="s">
        <v>59</v>
      </c>
      <c r="B2441" s="4" t="s">
        <v>41</v>
      </c>
      <c r="C2441" s="4" t="s">
        <v>23</v>
      </c>
      <c r="D2441" s="4" t="s">
        <v>42</v>
      </c>
      <c r="E2441" s="4" t="s">
        <v>25</v>
      </c>
      <c r="F2441" s="4" t="s">
        <v>25</v>
      </c>
      <c r="G2441" s="4" t="s">
        <v>25</v>
      </c>
      <c r="H2441" s="4" t="s">
        <v>25</v>
      </c>
      <c r="I2441" s="5">
        <v>44470</v>
      </c>
      <c r="J2441" s="6">
        <v>0</v>
      </c>
      <c r="K2441" s="6">
        <v>0</v>
      </c>
      <c r="L2441" s="6">
        <v>-1.5129999999999999</v>
      </c>
      <c r="M2441" s="6">
        <v>-1.5129999999999999</v>
      </c>
      <c r="N2441" s="6">
        <v>-1.5129999999999999</v>
      </c>
      <c r="O2441" s="6">
        <v>-1.5129999999999999</v>
      </c>
      <c r="P2441" s="6">
        <v>0</v>
      </c>
      <c r="Q2441" s="4" t="s">
        <v>26</v>
      </c>
      <c r="R2441" s="4">
        <v>0</v>
      </c>
      <c r="S2441" s="4" t="s">
        <v>395</v>
      </c>
      <c r="T2441" s="4" t="s">
        <v>632</v>
      </c>
      <c r="U2441" s="4">
        <v>0</v>
      </c>
      <c r="V2441" s="4">
        <v>72</v>
      </c>
      <c r="W2441" s="4">
        <v>78</v>
      </c>
    </row>
    <row r="2442" spans="1:23" ht="11.25" customHeight="1" x14ac:dyDescent="0.25">
      <c r="A2442" s="4" t="s">
        <v>59</v>
      </c>
      <c r="B2442" s="4" t="s">
        <v>41</v>
      </c>
      <c r="C2442" s="4" t="s">
        <v>23</v>
      </c>
      <c r="D2442" s="4" t="s">
        <v>42</v>
      </c>
      <c r="E2442" s="4" t="s">
        <v>25</v>
      </c>
      <c r="F2442" s="4" t="s">
        <v>25</v>
      </c>
      <c r="G2442" s="4" t="s">
        <v>25</v>
      </c>
      <c r="H2442" s="4" t="s">
        <v>25</v>
      </c>
      <c r="I2442" s="5">
        <v>44470</v>
      </c>
      <c r="J2442" s="6">
        <v>0</v>
      </c>
      <c r="K2442" s="6">
        <v>0</v>
      </c>
      <c r="L2442" s="6">
        <v>67.442999999999998</v>
      </c>
      <c r="M2442" s="6">
        <v>67.442999999999998</v>
      </c>
      <c r="N2442" s="6">
        <v>67.442999999999998</v>
      </c>
      <c r="O2442" s="6">
        <v>67.442999999999998</v>
      </c>
      <c r="P2442" s="6">
        <v>22</v>
      </c>
      <c r="Q2442" s="4" t="s">
        <v>26</v>
      </c>
      <c r="R2442" s="4">
        <v>0</v>
      </c>
      <c r="S2442" s="4" t="s">
        <v>395</v>
      </c>
      <c r="T2442" s="4" t="s">
        <v>632</v>
      </c>
      <c r="U2442" s="4">
        <v>0</v>
      </c>
      <c r="V2442" s="4">
        <v>72</v>
      </c>
      <c r="W2442" s="4">
        <v>78</v>
      </c>
    </row>
    <row r="2443" spans="1:23" ht="11.25" customHeight="1" x14ac:dyDescent="0.25">
      <c r="A2443" s="4" t="s">
        <v>59</v>
      </c>
      <c r="B2443" s="4" t="s">
        <v>41</v>
      </c>
      <c r="C2443" s="4" t="s">
        <v>23</v>
      </c>
      <c r="D2443" s="4" t="s">
        <v>42</v>
      </c>
      <c r="E2443" s="4" t="s">
        <v>25</v>
      </c>
      <c r="F2443" s="4" t="s">
        <v>25</v>
      </c>
      <c r="G2443" s="4" t="s">
        <v>25</v>
      </c>
      <c r="H2443" s="4" t="s">
        <v>25</v>
      </c>
      <c r="I2443" s="5">
        <v>44470</v>
      </c>
      <c r="J2443" s="6">
        <v>0</v>
      </c>
      <c r="K2443" s="6">
        <v>0</v>
      </c>
      <c r="L2443" s="6">
        <v>-1.542</v>
      </c>
      <c r="M2443" s="6">
        <v>-1.542</v>
      </c>
      <c r="N2443" s="6">
        <v>-1.542</v>
      </c>
      <c r="O2443" s="6">
        <v>-1.542</v>
      </c>
      <c r="P2443" s="6">
        <v>0</v>
      </c>
      <c r="Q2443" s="4" t="s">
        <v>26</v>
      </c>
      <c r="R2443" s="4">
        <v>0</v>
      </c>
      <c r="S2443" s="4" t="s">
        <v>395</v>
      </c>
      <c r="T2443" s="4" t="s">
        <v>632</v>
      </c>
      <c r="U2443" s="4">
        <v>0</v>
      </c>
      <c r="V2443" s="4">
        <v>72</v>
      </c>
      <c r="W2443" s="4">
        <v>78</v>
      </c>
    </row>
    <row r="2444" spans="1:23" ht="11.25" customHeight="1" x14ac:dyDescent="0.25">
      <c r="A2444" s="4" t="s">
        <v>21</v>
      </c>
      <c r="B2444" s="4" t="s">
        <v>41</v>
      </c>
      <c r="C2444" s="4" t="s">
        <v>23</v>
      </c>
      <c r="D2444" s="4" t="s">
        <v>48</v>
      </c>
      <c r="E2444" s="4" t="s">
        <v>25</v>
      </c>
      <c r="F2444" s="4" t="s">
        <v>25</v>
      </c>
      <c r="G2444" s="4" t="s">
        <v>25</v>
      </c>
      <c r="H2444" s="4" t="s">
        <v>25</v>
      </c>
      <c r="I2444" s="5">
        <v>44136</v>
      </c>
      <c r="J2444" s="6">
        <v>0</v>
      </c>
      <c r="K2444" s="6">
        <v>0</v>
      </c>
      <c r="L2444" s="6">
        <v>4135.0119999999997</v>
      </c>
      <c r="M2444" s="6">
        <v>4135.0119999999997</v>
      </c>
      <c r="N2444" s="6">
        <v>4135.0119999999997</v>
      </c>
      <c r="O2444" s="6">
        <v>4135.0119999999997</v>
      </c>
      <c r="P2444" s="6">
        <v>2094</v>
      </c>
      <c r="Q2444" s="4" t="s">
        <v>26</v>
      </c>
      <c r="R2444" s="4">
        <v>0</v>
      </c>
      <c r="S2444" s="4" t="s">
        <v>384</v>
      </c>
      <c r="T2444" s="4" t="s">
        <v>621</v>
      </c>
      <c r="U2444" s="4">
        <v>0</v>
      </c>
      <c r="V2444" s="4">
        <v>72</v>
      </c>
      <c r="W2444" s="4">
        <v>78</v>
      </c>
    </row>
    <row r="2445" spans="1:23" ht="11.25" customHeight="1" x14ac:dyDescent="0.25">
      <c r="A2445" s="4" t="s">
        <v>27</v>
      </c>
      <c r="B2445" s="4" t="s">
        <v>41</v>
      </c>
      <c r="C2445" s="4" t="s">
        <v>23</v>
      </c>
      <c r="D2445" s="4" t="s">
        <v>48</v>
      </c>
      <c r="E2445" s="4" t="s">
        <v>25</v>
      </c>
      <c r="F2445" s="4" t="s">
        <v>25</v>
      </c>
      <c r="G2445" s="4" t="s">
        <v>25</v>
      </c>
      <c r="H2445" s="4" t="s">
        <v>25</v>
      </c>
      <c r="I2445" s="5">
        <v>44136</v>
      </c>
      <c r="J2445" s="6">
        <v>0</v>
      </c>
      <c r="K2445" s="6">
        <v>0</v>
      </c>
      <c r="L2445" s="6">
        <v>12.967000000000001</v>
      </c>
      <c r="M2445" s="6">
        <v>12.967000000000001</v>
      </c>
      <c r="N2445" s="6">
        <v>12.967000000000001</v>
      </c>
      <c r="O2445" s="6">
        <v>12.967000000000001</v>
      </c>
      <c r="P2445" s="6">
        <v>-11</v>
      </c>
      <c r="Q2445" s="4" t="s">
        <v>26</v>
      </c>
      <c r="R2445" s="4">
        <v>0</v>
      </c>
      <c r="S2445" s="4" t="s">
        <v>384</v>
      </c>
      <c r="T2445" s="4" t="s">
        <v>621</v>
      </c>
      <c r="U2445" s="4">
        <v>0</v>
      </c>
      <c r="V2445" s="4">
        <v>72</v>
      </c>
      <c r="W2445" s="4">
        <v>78</v>
      </c>
    </row>
    <row r="2446" spans="1:23" ht="11.25" customHeight="1" x14ac:dyDescent="0.25">
      <c r="A2446" s="4" t="s">
        <v>28</v>
      </c>
      <c r="B2446" s="4" t="s">
        <v>41</v>
      </c>
      <c r="C2446" s="4" t="s">
        <v>23</v>
      </c>
      <c r="D2446" s="4" t="s">
        <v>48</v>
      </c>
      <c r="E2446" s="4" t="s">
        <v>25</v>
      </c>
      <c r="F2446" s="4" t="s">
        <v>25</v>
      </c>
      <c r="G2446" s="4" t="s">
        <v>25</v>
      </c>
      <c r="H2446" s="4" t="s">
        <v>25</v>
      </c>
      <c r="I2446" s="5">
        <v>44136</v>
      </c>
      <c r="J2446" s="6">
        <v>0</v>
      </c>
      <c r="K2446" s="6">
        <v>0</v>
      </c>
      <c r="L2446" s="6">
        <v>6593.9489999999996</v>
      </c>
      <c r="M2446" s="6">
        <v>6593.9489999999996</v>
      </c>
      <c r="N2446" s="6">
        <v>6593.9489999999996</v>
      </c>
      <c r="O2446" s="6">
        <v>6593.9489999999996</v>
      </c>
      <c r="P2446" s="6">
        <v>6611</v>
      </c>
      <c r="Q2446" s="4" t="s">
        <v>26</v>
      </c>
      <c r="R2446" s="4">
        <v>0</v>
      </c>
      <c r="S2446" s="4" t="s">
        <v>384</v>
      </c>
      <c r="T2446" s="4" t="s">
        <v>621</v>
      </c>
      <c r="U2446" s="4">
        <v>0</v>
      </c>
      <c r="V2446" s="4">
        <v>72</v>
      </c>
      <c r="W2446" s="4">
        <v>78</v>
      </c>
    </row>
    <row r="2447" spans="1:23" ht="11.25" customHeight="1" x14ac:dyDescent="0.25">
      <c r="A2447" s="4" t="s">
        <v>29</v>
      </c>
      <c r="B2447" s="4" t="s">
        <v>41</v>
      </c>
      <c r="C2447" s="4" t="s">
        <v>23</v>
      </c>
      <c r="D2447" s="4" t="s">
        <v>48</v>
      </c>
      <c r="E2447" s="4" t="s">
        <v>25</v>
      </c>
      <c r="F2447" s="4" t="s">
        <v>25</v>
      </c>
      <c r="G2447" s="4" t="s">
        <v>25</v>
      </c>
      <c r="H2447" s="4" t="s">
        <v>25</v>
      </c>
      <c r="I2447" s="5">
        <v>44136</v>
      </c>
      <c r="J2447" s="6">
        <v>0</v>
      </c>
      <c r="K2447" s="6">
        <v>0</v>
      </c>
      <c r="L2447" s="6">
        <v>-7.9560000000000004</v>
      </c>
      <c r="M2447" s="6">
        <v>-7.9560000000000004</v>
      </c>
      <c r="N2447" s="6">
        <v>-7.9560000000000004</v>
      </c>
      <c r="O2447" s="6">
        <v>-7.9560000000000004</v>
      </c>
      <c r="P2447" s="6">
        <v>0</v>
      </c>
      <c r="Q2447" s="4" t="s">
        <v>26</v>
      </c>
      <c r="R2447" s="4">
        <v>0</v>
      </c>
      <c r="S2447" s="4" t="s">
        <v>384</v>
      </c>
      <c r="T2447" s="4" t="s">
        <v>621</v>
      </c>
      <c r="U2447" s="4">
        <v>0</v>
      </c>
      <c r="V2447" s="4">
        <v>72</v>
      </c>
      <c r="W2447" s="4">
        <v>78</v>
      </c>
    </row>
    <row r="2448" spans="1:23" ht="11.25" customHeight="1" x14ac:dyDescent="0.25">
      <c r="A2448" s="4" t="s">
        <v>30</v>
      </c>
      <c r="B2448" s="4" t="s">
        <v>41</v>
      </c>
      <c r="C2448" s="4" t="s">
        <v>23</v>
      </c>
      <c r="D2448" s="4" t="s">
        <v>48</v>
      </c>
      <c r="E2448" s="4" t="s">
        <v>25</v>
      </c>
      <c r="F2448" s="4" t="s">
        <v>25</v>
      </c>
      <c r="G2448" s="4" t="s">
        <v>25</v>
      </c>
      <c r="H2448" s="4" t="s">
        <v>25</v>
      </c>
      <c r="I2448" s="5">
        <v>44136</v>
      </c>
      <c r="J2448" s="6">
        <v>0</v>
      </c>
      <c r="K2448" s="6">
        <v>0</v>
      </c>
      <c r="L2448" s="6">
        <v>7.6890000000000001</v>
      </c>
      <c r="M2448" s="6">
        <v>7.6890000000000001</v>
      </c>
      <c r="N2448" s="6">
        <v>7.6890000000000001</v>
      </c>
      <c r="O2448" s="6">
        <v>7.6890000000000001</v>
      </c>
      <c r="P2448" s="6">
        <v>2</v>
      </c>
      <c r="Q2448" s="4" t="s">
        <v>26</v>
      </c>
      <c r="R2448" s="4">
        <v>0</v>
      </c>
      <c r="S2448" s="4" t="s">
        <v>384</v>
      </c>
      <c r="T2448" s="4" t="s">
        <v>621</v>
      </c>
      <c r="U2448" s="4">
        <v>0</v>
      </c>
      <c r="V2448" s="4">
        <v>72</v>
      </c>
      <c r="W2448" s="4">
        <v>78</v>
      </c>
    </row>
    <row r="2449" spans="1:23" ht="11.25" customHeight="1" x14ac:dyDescent="0.25">
      <c r="A2449" s="4" t="s">
        <v>21</v>
      </c>
      <c r="B2449" s="4" t="s">
        <v>41</v>
      </c>
      <c r="C2449" s="4" t="s">
        <v>23</v>
      </c>
      <c r="D2449" s="4" t="s">
        <v>48</v>
      </c>
      <c r="E2449" s="4" t="s">
        <v>25</v>
      </c>
      <c r="F2449" s="4" t="s">
        <v>25</v>
      </c>
      <c r="G2449" s="4" t="s">
        <v>25</v>
      </c>
      <c r="H2449" s="4" t="s">
        <v>25</v>
      </c>
      <c r="I2449" s="5">
        <v>44166</v>
      </c>
      <c r="J2449" s="6">
        <v>0</v>
      </c>
      <c r="K2449" s="6">
        <v>0</v>
      </c>
      <c r="L2449" s="6">
        <v>3859.7179999999998</v>
      </c>
      <c r="M2449" s="6">
        <v>3859.7179999999998</v>
      </c>
      <c r="N2449" s="6">
        <v>3859.7179999999998</v>
      </c>
      <c r="O2449" s="6">
        <v>3859.7179999999998</v>
      </c>
      <c r="P2449" s="6">
        <v>2055</v>
      </c>
      <c r="Q2449" s="4" t="s">
        <v>26</v>
      </c>
      <c r="R2449" s="4">
        <v>0</v>
      </c>
      <c r="S2449" s="4" t="s">
        <v>385</v>
      </c>
      <c r="T2449" s="4" t="s">
        <v>622</v>
      </c>
      <c r="U2449" s="4">
        <v>0</v>
      </c>
      <c r="V2449" s="4">
        <v>72</v>
      </c>
      <c r="W2449" s="4">
        <v>78</v>
      </c>
    </row>
    <row r="2450" spans="1:23" ht="11.25" customHeight="1" x14ac:dyDescent="0.25">
      <c r="A2450" s="4" t="s">
        <v>27</v>
      </c>
      <c r="B2450" s="4" t="s">
        <v>41</v>
      </c>
      <c r="C2450" s="4" t="s">
        <v>23</v>
      </c>
      <c r="D2450" s="4" t="s">
        <v>48</v>
      </c>
      <c r="E2450" s="4" t="s">
        <v>25</v>
      </c>
      <c r="F2450" s="4" t="s">
        <v>25</v>
      </c>
      <c r="G2450" s="4" t="s">
        <v>25</v>
      </c>
      <c r="H2450" s="4" t="s">
        <v>25</v>
      </c>
      <c r="I2450" s="5">
        <v>44166</v>
      </c>
      <c r="J2450" s="6">
        <v>0</v>
      </c>
      <c r="K2450" s="6">
        <v>0</v>
      </c>
      <c r="L2450" s="6">
        <v>-7.1890000000000001</v>
      </c>
      <c r="M2450" s="6">
        <v>-7.1890000000000001</v>
      </c>
      <c r="N2450" s="6">
        <v>-7.1890000000000001</v>
      </c>
      <c r="O2450" s="6">
        <v>-7.1890000000000001</v>
      </c>
      <c r="P2450" s="6">
        <v>0</v>
      </c>
      <c r="Q2450" s="4" t="s">
        <v>26</v>
      </c>
      <c r="R2450" s="4">
        <v>0</v>
      </c>
      <c r="S2450" s="4" t="s">
        <v>385</v>
      </c>
      <c r="T2450" s="4" t="s">
        <v>622</v>
      </c>
      <c r="U2450" s="4">
        <v>0</v>
      </c>
      <c r="V2450" s="4">
        <v>72</v>
      </c>
      <c r="W2450" s="4">
        <v>78</v>
      </c>
    </row>
    <row r="2451" spans="1:23" ht="11.25" customHeight="1" x14ac:dyDescent="0.25">
      <c r="A2451" s="4" t="s">
        <v>28</v>
      </c>
      <c r="B2451" s="4" t="s">
        <v>41</v>
      </c>
      <c r="C2451" s="4" t="s">
        <v>23</v>
      </c>
      <c r="D2451" s="4" t="s">
        <v>48</v>
      </c>
      <c r="E2451" s="4" t="s">
        <v>25</v>
      </c>
      <c r="F2451" s="4" t="s">
        <v>25</v>
      </c>
      <c r="G2451" s="4" t="s">
        <v>25</v>
      </c>
      <c r="H2451" s="4" t="s">
        <v>25</v>
      </c>
      <c r="I2451" s="5">
        <v>44166</v>
      </c>
      <c r="J2451" s="6">
        <v>0</v>
      </c>
      <c r="K2451" s="6">
        <v>0</v>
      </c>
      <c r="L2451" s="6">
        <v>6221.8379999999997</v>
      </c>
      <c r="M2451" s="6">
        <v>6221.8379999999997</v>
      </c>
      <c r="N2451" s="6">
        <v>6221.8379999999997</v>
      </c>
      <c r="O2451" s="6">
        <v>6221.8379999999997</v>
      </c>
      <c r="P2451" s="6">
        <v>6526</v>
      </c>
      <c r="Q2451" s="4" t="s">
        <v>26</v>
      </c>
      <c r="R2451" s="4">
        <v>0</v>
      </c>
      <c r="S2451" s="4" t="s">
        <v>385</v>
      </c>
      <c r="T2451" s="4" t="s">
        <v>622</v>
      </c>
      <c r="U2451" s="4">
        <v>0</v>
      </c>
      <c r="V2451" s="4">
        <v>72</v>
      </c>
      <c r="W2451" s="4">
        <v>78</v>
      </c>
    </row>
    <row r="2452" spans="1:23" ht="11.25" customHeight="1" x14ac:dyDescent="0.25">
      <c r="A2452" s="4" t="s">
        <v>29</v>
      </c>
      <c r="B2452" s="4" t="s">
        <v>41</v>
      </c>
      <c r="C2452" s="4" t="s">
        <v>23</v>
      </c>
      <c r="D2452" s="4" t="s">
        <v>48</v>
      </c>
      <c r="E2452" s="4" t="s">
        <v>25</v>
      </c>
      <c r="F2452" s="4" t="s">
        <v>25</v>
      </c>
      <c r="G2452" s="4" t="s">
        <v>25</v>
      </c>
      <c r="H2452" s="4" t="s">
        <v>25</v>
      </c>
      <c r="I2452" s="5">
        <v>44166</v>
      </c>
      <c r="J2452" s="6">
        <v>0</v>
      </c>
      <c r="K2452" s="6">
        <v>0</v>
      </c>
      <c r="L2452" s="6">
        <v>-26.065000000000001</v>
      </c>
      <c r="M2452" s="6">
        <v>-26.065000000000001</v>
      </c>
      <c r="N2452" s="6">
        <v>-26.065000000000001</v>
      </c>
      <c r="O2452" s="6">
        <v>-26.065000000000001</v>
      </c>
      <c r="P2452" s="6">
        <v>0</v>
      </c>
      <c r="Q2452" s="4" t="s">
        <v>26</v>
      </c>
      <c r="R2452" s="4">
        <v>0</v>
      </c>
      <c r="S2452" s="4" t="s">
        <v>385</v>
      </c>
      <c r="T2452" s="4" t="s">
        <v>622</v>
      </c>
      <c r="U2452" s="4">
        <v>0</v>
      </c>
      <c r="V2452" s="4">
        <v>72</v>
      </c>
      <c r="W2452" s="4">
        <v>78</v>
      </c>
    </row>
    <row r="2453" spans="1:23" ht="11.25" customHeight="1" x14ac:dyDescent="0.25">
      <c r="A2453" s="4" t="s">
        <v>30</v>
      </c>
      <c r="B2453" s="4" t="s">
        <v>41</v>
      </c>
      <c r="C2453" s="4" t="s">
        <v>23</v>
      </c>
      <c r="D2453" s="4" t="s">
        <v>48</v>
      </c>
      <c r="E2453" s="4" t="s">
        <v>25</v>
      </c>
      <c r="F2453" s="4" t="s">
        <v>25</v>
      </c>
      <c r="G2453" s="4" t="s">
        <v>25</v>
      </c>
      <c r="H2453" s="4" t="s">
        <v>25</v>
      </c>
      <c r="I2453" s="5">
        <v>44166</v>
      </c>
      <c r="J2453" s="6">
        <v>0</v>
      </c>
      <c r="K2453" s="6">
        <v>0</v>
      </c>
      <c r="L2453" s="6">
        <v>6.3739999999999997</v>
      </c>
      <c r="M2453" s="6">
        <v>6.3739999999999997</v>
      </c>
      <c r="N2453" s="6">
        <v>6.3739999999999997</v>
      </c>
      <c r="O2453" s="6">
        <v>6.3739999999999997</v>
      </c>
      <c r="P2453" s="6">
        <v>3</v>
      </c>
      <c r="Q2453" s="4" t="s">
        <v>26</v>
      </c>
      <c r="R2453" s="4">
        <v>0</v>
      </c>
      <c r="S2453" s="4" t="s">
        <v>385</v>
      </c>
      <c r="T2453" s="4" t="s">
        <v>622</v>
      </c>
      <c r="U2453" s="4">
        <v>0</v>
      </c>
      <c r="V2453" s="4">
        <v>72</v>
      </c>
      <c r="W2453" s="4">
        <v>78</v>
      </c>
    </row>
    <row r="2454" spans="1:23" ht="11.25" customHeight="1" x14ac:dyDescent="0.25">
      <c r="A2454" s="4" t="s">
        <v>21</v>
      </c>
      <c r="B2454" s="4" t="s">
        <v>41</v>
      </c>
      <c r="C2454" s="4" t="s">
        <v>23</v>
      </c>
      <c r="D2454" s="4" t="s">
        <v>48</v>
      </c>
      <c r="E2454" s="4" t="s">
        <v>25</v>
      </c>
      <c r="F2454" s="4" t="s">
        <v>25</v>
      </c>
      <c r="G2454" s="4" t="s">
        <v>25</v>
      </c>
      <c r="H2454" s="4" t="s">
        <v>25</v>
      </c>
      <c r="I2454" s="5">
        <v>44197</v>
      </c>
      <c r="J2454" s="6">
        <v>0</v>
      </c>
      <c r="K2454" s="6">
        <v>0</v>
      </c>
      <c r="L2454" s="6">
        <v>3141.83</v>
      </c>
      <c r="M2454" s="6">
        <v>3141.83</v>
      </c>
      <c r="N2454" s="6">
        <v>3141.83</v>
      </c>
      <c r="O2454" s="6">
        <v>3141.83</v>
      </c>
      <c r="P2454" s="6">
        <v>2082</v>
      </c>
      <c r="Q2454" s="4" t="s">
        <v>26</v>
      </c>
      <c r="R2454" s="4">
        <v>0</v>
      </c>
      <c r="S2454" s="4" t="s">
        <v>386</v>
      </c>
      <c r="T2454" s="4" t="s">
        <v>623</v>
      </c>
      <c r="U2454" s="4">
        <v>0</v>
      </c>
      <c r="V2454" s="4">
        <v>72</v>
      </c>
      <c r="W2454" s="4">
        <v>78</v>
      </c>
    </row>
    <row r="2455" spans="1:23" ht="11.25" customHeight="1" x14ac:dyDescent="0.25">
      <c r="A2455" s="4" t="s">
        <v>27</v>
      </c>
      <c r="B2455" s="4" t="s">
        <v>41</v>
      </c>
      <c r="C2455" s="4" t="s">
        <v>23</v>
      </c>
      <c r="D2455" s="4" t="s">
        <v>48</v>
      </c>
      <c r="E2455" s="4" t="s">
        <v>25</v>
      </c>
      <c r="F2455" s="4" t="s">
        <v>25</v>
      </c>
      <c r="G2455" s="4" t="s">
        <v>25</v>
      </c>
      <c r="H2455" s="4" t="s">
        <v>25</v>
      </c>
      <c r="I2455" s="5">
        <v>44197</v>
      </c>
      <c r="J2455" s="6">
        <v>0</v>
      </c>
      <c r="K2455" s="6">
        <v>0</v>
      </c>
      <c r="L2455" s="6">
        <v>-5.3959999999999999</v>
      </c>
      <c r="M2455" s="6">
        <v>-5.3959999999999999</v>
      </c>
      <c r="N2455" s="6">
        <v>-5.3959999999999999</v>
      </c>
      <c r="O2455" s="6">
        <v>-5.3959999999999999</v>
      </c>
      <c r="P2455" s="6">
        <v>0</v>
      </c>
      <c r="Q2455" s="4" t="s">
        <v>26</v>
      </c>
      <c r="R2455" s="4">
        <v>0</v>
      </c>
      <c r="S2455" s="4" t="s">
        <v>386</v>
      </c>
      <c r="T2455" s="4" t="s">
        <v>623</v>
      </c>
      <c r="U2455" s="4">
        <v>0</v>
      </c>
      <c r="V2455" s="4">
        <v>72</v>
      </c>
      <c r="W2455" s="4">
        <v>78</v>
      </c>
    </row>
    <row r="2456" spans="1:23" ht="11.25" customHeight="1" x14ac:dyDescent="0.25">
      <c r="A2456" s="4" t="s">
        <v>28</v>
      </c>
      <c r="B2456" s="4" t="s">
        <v>41</v>
      </c>
      <c r="C2456" s="4" t="s">
        <v>23</v>
      </c>
      <c r="D2456" s="4" t="s">
        <v>48</v>
      </c>
      <c r="E2456" s="4" t="s">
        <v>25</v>
      </c>
      <c r="F2456" s="4" t="s">
        <v>25</v>
      </c>
      <c r="G2456" s="4" t="s">
        <v>25</v>
      </c>
      <c r="H2456" s="4" t="s">
        <v>25</v>
      </c>
      <c r="I2456" s="5">
        <v>44197</v>
      </c>
      <c r="J2456" s="6">
        <v>0</v>
      </c>
      <c r="K2456" s="6">
        <v>0</v>
      </c>
      <c r="L2456" s="6">
        <v>5590.9669999999996</v>
      </c>
      <c r="M2456" s="6">
        <v>5590.9669999999996</v>
      </c>
      <c r="N2456" s="6">
        <v>5590.9669999999996</v>
      </c>
      <c r="O2456" s="6">
        <v>5590.9669999999996</v>
      </c>
      <c r="P2456" s="6">
        <v>6578</v>
      </c>
      <c r="Q2456" s="4" t="s">
        <v>26</v>
      </c>
      <c r="R2456" s="4">
        <v>0</v>
      </c>
      <c r="S2456" s="4" t="s">
        <v>386</v>
      </c>
      <c r="T2456" s="4" t="s">
        <v>623</v>
      </c>
      <c r="U2456" s="4">
        <v>0</v>
      </c>
      <c r="V2456" s="4">
        <v>72</v>
      </c>
      <c r="W2456" s="4">
        <v>78</v>
      </c>
    </row>
    <row r="2457" spans="1:23" ht="11.25" customHeight="1" x14ac:dyDescent="0.25">
      <c r="A2457" s="4" t="s">
        <v>29</v>
      </c>
      <c r="B2457" s="4" t="s">
        <v>41</v>
      </c>
      <c r="C2457" s="4" t="s">
        <v>23</v>
      </c>
      <c r="D2457" s="4" t="s">
        <v>48</v>
      </c>
      <c r="E2457" s="4" t="s">
        <v>25</v>
      </c>
      <c r="F2457" s="4" t="s">
        <v>25</v>
      </c>
      <c r="G2457" s="4" t="s">
        <v>25</v>
      </c>
      <c r="H2457" s="4" t="s">
        <v>25</v>
      </c>
      <c r="I2457" s="5">
        <v>44197</v>
      </c>
      <c r="J2457" s="6">
        <v>0</v>
      </c>
      <c r="K2457" s="6">
        <v>0</v>
      </c>
      <c r="L2457" s="6">
        <v>37.682000000000002</v>
      </c>
      <c r="M2457" s="6">
        <v>37.682000000000002</v>
      </c>
      <c r="N2457" s="6">
        <v>37.682000000000002</v>
      </c>
      <c r="O2457" s="6">
        <v>37.682000000000002</v>
      </c>
      <c r="P2457" s="6">
        <v>0</v>
      </c>
      <c r="Q2457" s="4" t="s">
        <v>26</v>
      </c>
      <c r="R2457" s="4">
        <v>0</v>
      </c>
      <c r="S2457" s="4" t="s">
        <v>386</v>
      </c>
      <c r="T2457" s="4" t="s">
        <v>623</v>
      </c>
      <c r="U2457" s="4">
        <v>0</v>
      </c>
      <c r="V2457" s="4">
        <v>72</v>
      </c>
      <c r="W2457" s="4">
        <v>78</v>
      </c>
    </row>
    <row r="2458" spans="1:23" ht="11.25" customHeight="1" x14ac:dyDescent="0.25">
      <c r="A2458" s="4" t="s">
        <v>30</v>
      </c>
      <c r="B2458" s="4" t="s">
        <v>41</v>
      </c>
      <c r="C2458" s="4" t="s">
        <v>23</v>
      </c>
      <c r="D2458" s="4" t="s">
        <v>48</v>
      </c>
      <c r="E2458" s="4" t="s">
        <v>25</v>
      </c>
      <c r="F2458" s="4" t="s">
        <v>25</v>
      </c>
      <c r="G2458" s="4" t="s">
        <v>25</v>
      </c>
      <c r="H2458" s="4" t="s">
        <v>25</v>
      </c>
      <c r="I2458" s="5">
        <v>44197</v>
      </c>
      <c r="J2458" s="6">
        <v>0</v>
      </c>
      <c r="K2458" s="6">
        <v>0</v>
      </c>
      <c r="L2458" s="6">
        <v>5.7489999999999997</v>
      </c>
      <c r="M2458" s="6">
        <v>5.7489999999999997</v>
      </c>
      <c r="N2458" s="6">
        <v>5.7489999999999997</v>
      </c>
      <c r="O2458" s="6">
        <v>5.7489999999999997</v>
      </c>
      <c r="P2458" s="6">
        <v>3</v>
      </c>
      <c r="Q2458" s="4" t="s">
        <v>26</v>
      </c>
      <c r="R2458" s="4">
        <v>0</v>
      </c>
      <c r="S2458" s="4" t="s">
        <v>386</v>
      </c>
      <c r="T2458" s="4" t="s">
        <v>623</v>
      </c>
      <c r="U2458" s="4">
        <v>0</v>
      </c>
      <c r="V2458" s="4">
        <v>72</v>
      </c>
      <c r="W2458" s="4">
        <v>78</v>
      </c>
    </row>
    <row r="2459" spans="1:23" ht="11.25" customHeight="1" x14ac:dyDescent="0.25">
      <c r="A2459" s="4" t="s">
        <v>21</v>
      </c>
      <c r="B2459" s="4" t="s">
        <v>41</v>
      </c>
      <c r="C2459" s="4" t="s">
        <v>23</v>
      </c>
      <c r="D2459" s="4" t="s">
        <v>48</v>
      </c>
      <c r="E2459" s="4" t="s">
        <v>25</v>
      </c>
      <c r="F2459" s="4" t="s">
        <v>25</v>
      </c>
      <c r="G2459" s="4" t="s">
        <v>25</v>
      </c>
      <c r="H2459" s="4" t="s">
        <v>25</v>
      </c>
      <c r="I2459" s="5">
        <v>44228</v>
      </c>
      <c r="J2459" s="6">
        <v>0</v>
      </c>
      <c r="K2459" s="6">
        <v>0</v>
      </c>
      <c r="L2459" s="6">
        <v>2931.6689999999999</v>
      </c>
      <c r="M2459" s="6">
        <v>2931.6689999999999</v>
      </c>
      <c r="N2459" s="6">
        <v>2931.6689999999999</v>
      </c>
      <c r="O2459" s="6">
        <v>2931.6689999999999</v>
      </c>
      <c r="P2459" s="6">
        <v>2078</v>
      </c>
      <c r="Q2459" s="4" t="s">
        <v>26</v>
      </c>
      <c r="R2459" s="4">
        <v>0</v>
      </c>
      <c r="S2459" s="4" t="s">
        <v>387</v>
      </c>
      <c r="T2459" s="4" t="s">
        <v>624</v>
      </c>
      <c r="U2459" s="4">
        <v>0</v>
      </c>
      <c r="V2459" s="4">
        <v>72</v>
      </c>
      <c r="W2459" s="4">
        <v>78</v>
      </c>
    </row>
    <row r="2460" spans="1:23" ht="11.25" customHeight="1" x14ac:dyDescent="0.25">
      <c r="A2460" s="4" t="s">
        <v>27</v>
      </c>
      <c r="B2460" s="4" t="s">
        <v>41</v>
      </c>
      <c r="C2460" s="4" t="s">
        <v>23</v>
      </c>
      <c r="D2460" s="4" t="s">
        <v>48</v>
      </c>
      <c r="E2460" s="4" t="s">
        <v>25</v>
      </c>
      <c r="F2460" s="4" t="s">
        <v>25</v>
      </c>
      <c r="G2460" s="4" t="s">
        <v>25</v>
      </c>
      <c r="H2460" s="4" t="s">
        <v>25</v>
      </c>
      <c r="I2460" s="5">
        <v>44228</v>
      </c>
      <c r="J2460" s="6">
        <v>0</v>
      </c>
      <c r="K2460" s="6">
        <v>0</v>
      </c>
      <c r="L2460" s="6">
        <v>-9.3529999999999998</v>
      </c>
      <c r="M2460" s="6">
        <v>-9.3529999999999998</v>
      </c>
      <c r="N2460" s="6">
        <v>-9.3529999999999998</v>
      </c>
      <c r="O2460" s="6">
        <v>-9.3529999999999998</v>
      </c>
      <c r="P2460" s="6">
        <v>0</v>
      </c>
      <c r="Q2460" s="4" t="s">
        <v>26</v>
      </c>
      <c r="R2460" s="4">
        <v>0</v>
      </c>
      <c r="S2460" s="4" t="s">
        <v>387</v>
      </c>
      <c r="T2460" s="4" t="s">
        <v>624</v>
      </c>
      <c r="U2460" s="4">
        <v>0</v>
      </c>
      <c r="V2460" s="4">
        <v>72</v>
      </c>
      <c r="W2460" s="4">
        <v>78</v>
      </c>
    </row>
    <row r="2461" spans="1:23" ht="11.25" customHeight="1" x14ac:dyDescent="0.25">
      <c r="A2461" s="4" t="s">
        <v>28</v>
      </c>
      <c r="B2461" s="4" t="s">
        <v>41</v>
      </c>
      <c r="C2461" s="4" t="s">
        <v>23</v>
      </c>
      <c r="D2461" s="4" t="s">
        <v>48</v>
      </c>
      <c r="E2461" s="4" t="s">
        <v>25</v>
      </c>
      <c r="F2461" s="4" t="s">
        <v>25</v>
      </c>
      <c r="G2461" s="4" t="s">
        <v>25</v>
      </c>
      <c r="H2461" s="4" t="s">
        <v>25</v>
      </c>
      <c r="I2461" s="5">
        <v>44228</v>
      </c>
      <c r="J2461" s="6">
        <v>0</v>
      </c>
      <c r="K2461" s="6">
        <v>0</v>
      </c>
      <c r="L2461" s="6">
        <v>5498.6490000000003</v>
      </c>
      <c r="M2461" s="6">
        <v>5498.6490000000003</v>
      </c>
      <c r="N2461" s="6">
        <v>5498.6490000000003</v>
      </c>
      <c r="O2461" s="6">
        <v>5498.6490000000003</v>
      </c>
      <c r="P2461" s="6">
        <v>6575</v>
      </c>
      <c r="Q2461" s="4" t="s">
        <v>26</v>
      </c>
      <c r="R2461" s="4">
        <v>0</v>
      </c>
      <c r="S2461" s="4" t="s">
        <v>387</v>
      </c>
      <c r="T2461" s="4" t="s">
        <v>624</v>
      </c>
      <c r="U2461" s="4">
        <v>0</v>
      </c>
      <c r="V2461" s="4">
        <v>72</v>
      </c>
      <c r="W2461" s="4">
        <v>78</v>
      </c>
    </row>
    <row r="2462" spans="1:23" ht="11.25" customHeight="1" x14ac:dyDescent="0.25">
      <c r="A2462" s="4" t="s">
        <v>29</v>
      </c>
      <c r="B2462" s="4" t="s">
        <v>41</v>
      </c>
      <c r="C2462" s="4" t="s">
        <v>23</v>
      </c>
      <c r="D2462" s="4" t="s">
        <v>48</v>
      </c>
      <c r="E2462" s="4" t="s">
        <v>25</v>
      </c>
      <c r="F2462" s="4" t="s">
        <v>25</v>
      </c>
      <c r="G2462" s="4" t="s">
        <v>25</v>
      </c>
      <c r="H2462" s="4" t="s">
        <v>25</v>
      </c>
      <c r="I2462" s="5">
        <v>44228</v>
      </c>
      <c r="J2462" s="6">
        <v>0</v>
      </c>
      <c r="K2462" s="6">
        <v>0</v>
      </c>
      <c r="L2462" s="6">
        <v>-12.305</v>
      </c>
      <c r="M2462" s="6">
        <v>-12.305</v>
      </c>
      <c r="N2462" s="6">
        <v>-12.305</v>
      </c>
      <c r="O2462" s="6">
        <v>-12.305</v>
      </c>
      <c r="P2462" s="6">
        <v>0</v>
      </c>
      <c r="Q2462" s="4" t="s">
        <v>26</v>
      </c>
      <c r="R2462" s="4">
        <v>0</v>
      </c>
      <c r="S2462" s="4" t="s">
        <v>387</v>
      </c>
      <c r="T2462" s="4" t="s">
        <v>624</v>
      </c>
      <c r="U2462" s="4">
        <v>0</v>
      </c>
      <c r="V2462" s="4">
        <v>72</v>
      </c>
      <c r="W2462" s="4">
        <v>78</v>
      </c>
    </row>
    <row r="2463" spans="1:23" ht="11.25" customHeight="1" x14ac:dyDescent="0.25">
      <c r="A2463" s="4" t="s">
        <v>30</v>
      </c>
      <c r="B2463" s="4" t="s">
        <v>41</v>
      </c>
      <c r="C2463" s="4" t="s">
        <v>23</v>
      </c>
      <c r="D2463" s="4" t="s">
        <v>48</v>
      </c>
      <c r="E2463" s="4" t="s">
        <v>25</v>
      </c>
      <c r="F2463" s="4" t="s">
        <v>25</v>
      </c>
      <c r="G2463" s="4" t="s">
        <v>25</v>
      </c>
      <c r="H2463" s="4" t="s">
        <v>25</v>
      </c>
      <c r="I2463" s="5">
        <v>44228</v>
      </c>
      <c r="J2463" s="6">
        <v>0</v>
      </c>
      <c r="K2463" s="6">
        <v>0</v>
      </c>
      <c r="L2463" s="6">
        <v>4.9429999999999996</v>
      </c>
      <c r="M2463" s="6">
        <v>4.9429999999999996</v>
      </c>
      <c r="N2463" s="6">
        <v>4.9429999999999996</v>
      </c>
      <c r="O2463" s="6">
        <v>4.9429999999999996</v>
      </c>
      <c r="P2463" s="6">
        <v>3</v>
      </c>
      <c r="Q2463" s="4" t="s">
        <v>26</v>
      </c>
      <c r="R2463" s="4">
        <v>0</v>
      </c>
      <c r="S2463" s="4" t="s">
        <v>387</v>
      </c>
      <c r="T2463" s="4" t="s">
        <v>624</v>
      </c>
      <c r="U2463" s="4">
        <v>0</v>
      </c>
      <c r="V2463" s="4">
        <v>72</v>
      </c>
      <c r="W2463" s="4">
        <v>78</v>
      </c>
    </row>
    <row r="2464" spans="1:23" ht="11.25" customHeight="1" x14ac:dyDescent="0.25">
      <c r="A2464" s="4" t="s">
        <v>21</v>
      </c>
      <c r="B2464" s="4" t="s">
        <v>41</v>
      </c>
      <c r="C2464" s="4" t="s">
        <v>23</v>
      </c>
      <c r="D2464" s="4" t="s">
        <v>48</v>
      </c>
      <c r="E2464" s="4" t="s">
        <v>25</v>
      </c>
      <c r="F2464" s="4" t="s">
        <v>25</v>
      </c>
      <c r="G2464" s="4" t="s">
        <v>25</v>
      </c>
      <c r="H2464" s="4" t="s">
        <v>25</v>
      </c>
      <c r="I2464" s="5">
        <v>44256</v>
      </c>
      <c r="J2464" s="6">
        <v>0</v>
      </c>
      <c r="K2464" s="6">
        <v>0</v>
      </c>
      <c r="L2464" s="6">
        <v>3216.8150000000001</v>
      </c>
      <c r="M2464" s="6">
        <v>3216.8150000000001</v>
      </c>
      <c r="N2464" s="6">
        <v>3216.8150000000001</v>
      </c>
      <c r="O2464" s="6">
        <v>3216.8150000000001</v>
      </c>
      <c r="P2464" s="6">
        <v>2077</v>
      </c>
      <c r="Q2464" s="4" t="s">
        <v>26</v>
      </c>
      <c r="R2464" s="4">
        <v>0</v>
      </c>
      <c r="S2464" s="4" t="s">
        <v>388</v>
      </c>
      <c r="T2464" s="4" t="s">
        <v>625</v>
      </c>
      <c r="U2464" s="4">
        <v>0</v>
      </c>
      <c r="V2464" s="4">
        <v>72</v>
      </c>
      <c r="W2464" s="4">
        <v>78</v>
      </c>
    </row>
    <row r="2465" spans="1:23" ht="11.25" customHeight="1" x14ac:dyDescent="0.25">
      <c r="A2465" s="4" t="s">
        <v>27</v>
      </c>
      <c r="B2465" s="4" t="s">
        <v>41</v>
      </c>
      <c r="C2465" s="4" t="s">
        <v>23</v>
      </c>
      <c r="D2465" s="4" t="s">
        <v>48</v>
      </c>
      <c r="E2465" s="4" t="s">
        <v>25</v>
      </c>
      <c r="F2465" s="4" t="s">
        <v>25</v>
      </c>
      <c r="G2465" s="4" t="s">
        <v>25</v>
      </c>
      <c r="H2465" s="4" t="s">
        <v>25</v>
      </c>
      <c r="I2465" s="5">
        <v>44256</v>
      </c>
      <c r="J2465" s="6">
        <v>0</v>
      </c>
      <c r="K2465" s="6">
        <v>0</v>
      </c>
      <c r="L2465" s="6">
        <v>-41.341999999999999</v>
      </c>
      <c r="M2465" s="6">
        <v>-41.341999999999999</v>
      </c>
      <c r="N2465" s="6">
        <v>-41.341999999999999</v>
      </c>
      <c r="O2465" s="6">
        <v>-41.341999999999999</v>
      </c>
      <c r="P2465" s="6">
        <v>0</v>
      </c>
      <c r="Q2465" s="4" t="s">
        <v>26</v>
      </c>
      <c r="R2465" s="4">
        <v>0</v>
      </c>
      <c r="S2465" s="4" t="s">
        <v>388</v>
      </c>
      <c r="T2465" s="4" t="s">
        <v>625</v>
      </c>
      <c r="U2465" s="4">
        <v>0</v>
      </c>
      <c r="V2465" s="4">
        <v>72</v>
      </c>
      <c r="W2465" s="4">
        <v>78</v>
      </c>
    </row>
    <row r="2466" spans="1:23" ht="11.25" customHeight="1" x14ac:dyDescent="0.25">
      <c r="A2466" s="4" t="s">
        <v>28</v>
      </c>
      <c r="B2466" s="4" t="s">
        <v>41</v>
      </c>
      <c r="C2466" s="4" t="s">
        <v>23</v>
      </c>
      <c r="D2466" s="4" t="s">
        <v>48</v>
      </c>
      <c r="E2466" s="4" t="s">
        <v>25</v>
      </c>
      <c r="F2466" s="4" t="s">
        <v>25</v>
      </c>
      <c r="G2466" s="4" t="s">
        <v>25</v>
      </c>
      <c r="H2466" s="4" t="s">
        <v>25</v>
      </c>
      <c r="I2466" s="5">
        <v>44256</v>
      </c>
      <c r="J2466" s="6">
        <v>0</v>
      </c>
      <c r="K2466" s="6">
        <v>0</v>
      </c>
      <c r="L2466" s="6">
        <v>5903.4809999999998</v>
      </c>
      <c r="M2466" s="6">
        <v>5903.4809999999998</v>
      </c>
      <c r="N2466" s="6">
        <v>5903.4809999999998</v>
      </c>
      <c r="O2466" s="6">
        <v>5903.4809999999998</v>
      </c>
      <c r="P2466" s="6">
        <v>6562</v>
      </c>
      <c r="Q2466" s="4" t="s">
        <v>26</v>
      </c>
      <c r="R2466" s="4">
        <v>0</v>
      </c>
      <c r="S2466" s="4" t="s">
        <v>388</v>
      </c>
      <c r="T2466" s="4" t="s">
        <v>625</v>
      </c>
      <c r="U2466" s="4">
        <v>0</v>
      </c>
      <c r="V2466" s="4">
        <v>72</v>
      </c>
      <c r="W2466" s="4">
        <v>78</v>
      </c>
    </row>
    <row r="2467" spans="1:23" ht="11.25" customHeight="1" x14ac:dyDescent="0.25">
      <c r="A2467" s="4" t="s">
        <v>29</v>
      </c>
      <c r="B2467" s="4" t="s">
        <v>41</v>
      </c>
      <c r="C2467" s="4" t="s">
        <v>23</v>
      </c>
      <c r="D2467" s="4" t="s">
        <v>48</v>
      </c>
      <c r="E2467" s="4" t="s">
        <v>25</v>
      </c>
      <c r="F2467" s="4" t="s">
        <v>25</v>
      </c>
      <c r="G2467" s="4" t="s">
        <v>25</v>
      </c>
      <c r="H2467" s="4" t="s">
        <v>25</v>
      </c>
      <c r="I2467" s="5">
        <v>44256</v>
      </c>
      <c r="J2467" s="6">
        <v>0</v>
      </c>
      <c r="K2467" s="6">
        <v>0</v>
      </c>
      <c r="L2467" s="6">
        <v>-76.259</v>
      </c>
      <c r="M2467" s="6">
        <v>-76.259</v>
      </c>
      <c r="N2467" s="6">
        <v>-76.259</v>
      </c>
      <c r="O2467" s="6">
        <v>-76.259</v>
      </c>
      <c r="P2467" s="6">
        <v>0</v>
      </c>
      <c r="Q2467" s="4" t="s">
        <v>26</v>
      </c>
      <c r="R2467" s="4">
        <v>0</v>
      </c>
      <c r="S2467" s="4" t="s">
        <v>388</v>
      </c>
      <c r="T2467" s="4" t="s">
        <v>625</v>
      </c>
      <c r="U2467" s="4">
        <v>0</v>
      </c>
      <c r="V2467" s="4">
        <v>72</v>
      </c>
      <c r="W2467" s="4">
        <v>78</v>
      </c>
    </row>
    <row r="2468" spans="1:23" ht="11.25" customHeight="1" x14ac:dyDescent="0.25">
      <c r="A2468" s="4" t="s">
        <v>30</v>
      </c>
      <c r="B2468" s="4" t="s">
        <v>41</v>
      </c>
      <c r="C2468" s="4" t="s">
        <v>23</v>
      </c>
      <c r="D2468" s="4" t="s">
        <v>48</v>
      </c>
      <c r="E2468" s="4" t="s">
        <v>25</v>
      </c>
      <c r="F2468" s="4" t="s">
        <v>25</v>
      </c>
      <c r="G2468" s="4" t="s">
        <v>25</v>
      </c>
      <c r="H2468" s="4" t="s">
        <v>25</v>
      </c>
      <c r="I2468" s="5">
        <v>44256</v>
      </c>
      <c r="J2468" s="6">
        <v>0</v>
      </c>
      <c r="K2468" s="6">
        <v>0</v>
      </c>
      <c r="L2468" s="6">
        <v>5.9450000000000003</v>
      </c>
      <c r="M2468" s="6">
        <v>5.9450000000000003</v>
      </c>
      <c r="N2468" s="6">
        <v>5.9450000000000003</v>
      </c>
      <c r="O2468" s="6">
        <v>5.9450000000000003</v>
      </c>
      <c r="P2468" s="6">
        <v>3</v>
      </c>
      <c r="Q2468" s="4" t="s">
        <v>26</v>
      </c>
      <c r="R2468" s="4">
        <v>0</v>
      </c>
      <c r="S2468" s="4" t="s">
        <v>388</v>
      </c>
      <c r="T2468" s="4" t="s">
        <v>625</v>
      </c>
      <c r="U2468" s="4">
        <v>0</v>
      </c>
      <c r="V2468" s="4">
        <v>72</v>
      </c>
      <c r="W2468" s="4">
        <v>78</v>
      </c>
    </row>
    <row r="2469" spans="1:23" ht="11.25" customHeight="1" x14ac:dyDescent="0.25">
      <c r="A2469" s="4" t="s">
        <v>21</v>
      </c>
      <c r="B2469" s="4" t="s">
        <v>41</v>
      </c>
      <c r="C2469" s="4" t="s">
        <v>23</v>
      </c>
      <c r="D2469" s="4" t="s">
        <v>48</v>
      </c>
      <c r="E2469" s="4" t="s">
        <v>25</v>
      </c>
      <c r="F2469" s="4" t="s">
        <v>25</v>
      </c>
      <c r="G2469" s="4" t="s">
        <v>25</v>
      </c>
      <c r="H2469" s="4" t="s">
        <v>25</v>
      </c>
      <c r="I2469" s="5">
        <v>44287</v>
      </c>
      <c r="J2469" s="6">
        <v>0</v>
      </c>
      <c r="K2469" s="6">
        <v>0</v>
      </c>
      <c r="L2469" s="6">
        <v>3520.5279999999998</v>
      </c>
      <c r="M2469" s="6">
        <v>3520.5279999999998</v>
      </c>
      <c r="N2469" s="6">
        <v>3520.5279999999998</v>
      </c>
      <c r="O2469" s="6">
        <v>3520.5279999999998</v>
      </c>
      <c r="P2469" s="6">
        <v>2028</v>
      </c>
      <c r="Q2469" s="4" t="s">
        <v>26</v>
      </c>
      <c r="R2469" s="4">
        <v>0</v>
      </c>
      <c r="S2469" s="4" t="s">
        <v>389</v>
      </c>
      <c r="T2469" s="4" t="s">
        <v>626</v>
      </c>
      <c r="U2469" s="4">
        <v>0</v>
      </c>
      <c r="V2469" s="4">
        <v>72</v>
      </c>
      <c r="W2469" s="4">
        <v>78</v>
      </c>
    </row>
    <row r="2470" spans="1:23" ht="11.25" customHeight="1" x14ac:dyDescent="0.25">
      <c r="A2470" s="4" t="s">
        <v>27</v>
      </c>
      <c r="B2470" s="4" t="s">
        <v>41</v>
      </c>
      <c r="C2470" s="4" t="s">
        <v>23</v>
      </c>
      <c r="D2470" s="4" t="s">
        <v>48</v>
      </c>
      <c r="E2470" s="4" t="s">
        <v>25</v>
      </c>
      <c r="F2470" s="4" t="s">
        <v>25</v>
      </c>
      <c r="G2470" s="4" t="s">
        <v>25</v>
      </c>
      <c r="H2470" s="4" t="s">
        <v>25</v>
      </c>
      <c r="I2470" s="5">
        <v>44287</v>
      </c>
      <c r="J2470" s="6">
        <v>0</v>
      </c>
      <c r="K2470" s="6">
        <v>0</v>
      </c>
      <c r="L2470" s="6">
        <v>-8.0719999999999992</v>
      </c>
      <c r="M2470" s="6">
        <v>-8.0719999999999992</v>
      </c>
      <c r="N2470" s="6">
        <v>-8.0719999999999992</v>
      </c>
      <c r="O2470" s="6">
        <v>-8.0719999999999992</v>
      </c>
      <c r="P2470" s="6">
        <v>0</v>
      </c>
      <c r="Q2470" s="4" t="s">
        <v>26</v>
      </c>
      <c r="R2470" s="4">
        <v>0</v>
      </c>
      <c r="S2470" s="4" t="s">
        <v>389</v>
      </c>
      <c r="T2470" s="4" t="s">
        <v>626</v>
      </c>
      <c r="U2470" s="4">
        <v>0</v>
      </c>
      <c r="V2470" s="4">
        <v>72</v>
      </c>
      <c r="W2470" s="4">
        <v>78</v>
      </c>
    </row>
    <row r="2471" spans="1:23" ht="11.25" customHeight="1" x14ac:dyDescent="0.25">
      <c r="A2471" s="4" t="s">
        <v>28</v>
      </c>
      <c r="B2471" s="4" t="s">
        <v>41</v>
      </c>
      <c r="C2471" s="4" t="s">
        <v>23</v>
      </c>
      <c r="D2471" s="4" t="s">
        <v>48</v>
      </c>
      <c r="E2471" s="4" t="s">
        <v>25</v>
      </c>
      <c r="F2471" s="4" t="s">
        <v>25</v>
      </c>
      <c r="G2471" s="4" t="s">
        <v>25</v>
      </c>
      <c r="H2471" s="4" t="s">
        <v>25</v>
      </c>
      <c r="I2471" s="5">
        <v>44287</v>
      </c>
      <c r="J2471" s="6">
        <v>0</v>
      </c>
      <c r="K2471" s="6">
        <v>0</v>
      </c>
      <c r="L2471" s="6">
        <v>5704.3509999999997</v>
      </c>
      <c r="M2471" s="6">
        <v>5704.3509999999997</v>
      </c>
      <c r="N2471" s="6">
        <v>5704.3509999999997</v>
      </c>
      <c r="O2471" s="6">
        <v>5704.3509999999997</v>
      </c>
      <c r="P2471" s="6">
        <v>6177</v>
      </c>
      <c r="Q2471" s="4" t="s">
        <v>26</v>
      </c>
      <c r="R2471" s="4">
        <v>0</v>
      </c>
      <c r="S2471" s="4" t="s">
        <v>389</v>
      </c>
      <c r="T2471" s="4" t="s">
        <v>626</v>
      </c>
      <c r="U2471" s="4">
        <v>0</v>
      </c>
      <c r="V2471" s="4">
        <v>72</v>
      </c>
      <c r="W2471" s="4">
        <v>78</v>
      </c>
    </row>
    <row r="2472" spans="1:23" ht="11.25" customHeight="1" x14ac:dyDescent="0.25">
      <c r="A2472" s="4" t="s">
        <v>29</v>
      </c>
      <c r="B2472" s="4" t="s">
        <v>41</v>
      </c>
      <c r="C2472" s="4" t="s">
        <v>23</v>
      </c>
      <c r="D2472" s="4" t="s">
        <v>48</v>
      </c>
      <c r="E2472" s="4" t="s">
        <v>25</v>
      </c>
      <c r="F2472" s="4" t="s">
        <v>25</v>
      </c>
      <c r="G2472" s="4" t="s">
        <v>25</v>
      </c>
      <c r="H2472" s="4" t="s">
        <v>25</v>
      </c>
      <c r="I2472" s="5">
        <v>44287</v>
      </c>
      <c r="J2472" s="6">
        <v>0</v>
      </c>
      <c r="K2472" s="6">
        <v>0</v>
      </c>
      <c r="L2472" s="6">
        <v>-122.529</v>
      </c>
      <c r="M2472" s="6">
        <v>-122.529</v>
      </c>
      <c r="N2472" s="6">
        <v>-122.529</v>
      </c>
      <c r="O2472" s="6">
        <v>-122.529</v>
      </c>
      <c r="P2472" s="6">
        <v>0</v>
      </c>
      <c r="Q2472" s="4" t="s">
        <v>26</v>
      </c>
      <c r="R2472" s="4">
        <v>0</v>
      </c>
      <c r="S2472" s="4" t="s">
        <v>389</v>
      </c>
      <c r="T2472" s="4" t="s">
        <v>626</v>
      </c>
      <c r="U2472" s="4">
        <v>0</v>
      </c>
      <c r="V2472" s="4">
        <v>72</v>
      </c>
      <c r="W2472" s="4">
        <v>78</v>
      </c>
    </row>
    <row r="2473" spans="1:23" ht="11.25" customHeight="1" x14ac:dyDescent="0.25">
      <c r="A2473" s="4" t="s">
        <v>30</v>
      </c>
      <c r="B2473" s="4" t="s">
        <v>41</v>
      </c>
      <c r="C2473" s="4" t="s">
        <v>23</v>
      </c>
      <c r="D2473" s="4" t="s">
        <v>48</v>
      </c>
      <c r="E2473" s="4" t="s">
        <v>25</v>
      </c>
      <c r="F2473" s="4" t="s">
        <v>25</v>
      </c>
      <c r="G2473" s="4" t="s">
        <v>25</v>
      </c>
      <c r="H2473" s="4" t="s">
        <v>25</v>
      </c>
      <c r="I2473" s="5">
        <v>44287</v>
      </c>
      <c r="J2473" s="6">
        <v>0</v>
      </c>
      <c r="K2473" s="6">
        <v>0</v>
      </c>
      <c r="L2473" s="6">
        <v>4.7350000000000003</v>
      </c>
      <c r="M2473" s="6">
        <v>4.7350000000000003</v>
      </c>
      <c r="N2473" s="6">
        <v>4.7350000000000003</v>
      </c>
      <c r="O2473" s="6">
        <v>4.7350000000000003</v>
      </c>
      <c r="P2473" s="6">
        <v>3</v>
      </c>
      <c r="Q2473" s="4" t="s">
        <v>26</v>
      </c>
      <c r="R2473" s="4">
        <v>0</v>
      </c>
      <c r="S2473" s="4" t="s">
        <v>389</v>
      </c>
      <c r="T2473" s="4" t="s">
        <v>626</v>
      </c>
      <c r="U2473" s="4">
        <v>0</v>
      </c>
      <c r="V2473" s="4">
        <v>72</v>
      </c>
      <c r="W2473" s="4">
        <v>78</v>
      </c>
    </row>
    <row r="2474" spans="1:23" ht="11.25" customHeight="1" x14ac:dyDescent="0.25">
      <c r="A2474" s="4" t="s">
        <v>21</v>
      </c>
      <c r="B2474" s="4" t="s">
        <v>41</v>
      </c>
      <c r="C2474" s="4" t="s">
        <v>23</v>
      </c>
      <c r="D2474" s="4" t="s">
        <v>48</v>
      </c>
      <c r="E2474" s="4" t="s">
        <v>25</v>
      </c>
      <c r="F2474" s="4" t="s">
        <v>25</v>
      </c>
      <c r="G2474" s="4" t="s">
        <v>25</v>
      </c>
      <c r="H2474" s="4" t="s">
        <v>25</v>
      </c>
      <c r="I2474" s="5">
        <v>44317</v>
      </c>
      <c r="J2474" s="6">
        <v>0</v>
      </c>
      <c r="K2474" s="6">
        <v>0</v>
      </c>
      <c r="L2474" s="6">
        <v>3794.1480000000001</v>
      </c>
      <c r="M2474" s="6">
        <v>3794.1480000000001</v>
      </c>
      <c r="N2474" s="6">
        <v>3794.1480000000001</v>
      </c>
      <c r="O2474" s="6">
        <v>3794.1480000000001</v>
      </c>
      <c r="P2474" s="6">
        <v>2048</v>
      </c>
      <c r="Q2474" s="4" t="s">
        <v>26</v>
      </c>
      <c r="R2474" s="4">
        <v>0</v>
      </c>
      <c r="S2474" s="4" t="s">
        <v>390</v>
      </c>
      <c r="T2474" s="4" t="s">
        <v>627</v>
      </c>
      <c r="U2474" s="4">
        <v>0</v>
      </c>
      <c r="V2474" s="4">
        <v>72</v>
      </c>
      <c r="W2474" s="4">
        <v>78</v>
      </c>
    </row>
    <row r="2475" spans="1:23" ht="11.25" customHeight="1" x14ac:dyDescent="0.25">
      <c r="A2475" s="4" t="s">
        <v>27</v>
      </c>
      <c r="B2475" s="4" t="s">
        <v>41</v>
      </c>
      <c r="C2475" s="4" t="s">
        <v>23</v>
      </c>
      <c r="D2475" s="4" t="s">
        <v>48</v>
      </c>
      <c r="E2475" s="4" t="s">
        <v>25</v>
      </c>
      <c r="F2475" s="4" t="s">
        <v>25</v>
      </c>
      <c r="G2475" s="4" t="s">
        <v>25</v>
      </c>
      <c r="H2475" s="4" t="s">
        <v>25</v>
      </c>
      <c r="I2475" s="5">
        <v>44317</v>
      </c>
      <c r="J2475" s="6">
        <v>0</v>
      </c>
      <c r="K2475" s="6">
        <v>0</v>
      </c>
      <c r="L2475" s="6">
        <v>-7.2850000000000001</v>
      </c>
      <c r="M2475" s="6">
        <v>-7.2850000000000001</v>
      </c>
      <c r="N2475" s="6">
        <v>-7.2850000000000001</v>
      </c>
      <c r="O2475" s="6">
        <v>-7.2850000000000001</v>
      </c>
      <c r="P2475" s="6">
        <v>0</v>
      </c>
      <c r="Q2475" s="4" t="s">
        <v>26</v>
      </c>
      <c r="R2475" s="4">
        <v>0</v>
      </c>
      <c r="S2475" s="4" t="s">
        <v>390</v>
      </c>
      <c r="T2475" s="4" t="s">
        <v>627</v>
      </c>
      <c r="U2475" s="4">
        <v>0</v>
      </c>
      <c r="V2475" s="4">
        <v>72</v>
      </c>
      <c r="W2475" s="4">
        <v>78</v>
      </c>
    </row>
    <row r="2476" spans="1:23" ht="11.25" customHeight="1" x14ac:dyDescent="0.25">
      <c r="A2476" s="4" t="s">
        <v>28</v>
      </c>
      <c r="B2476" s="4" t="s">
        <v>41</v>
      </c>
      <c r="C2476" s="4" t="s">
        <v>23</v>
      </c>
      <c r="D2476" s="4" t="s">
        <v>48</v>
      </c>
      <c r="E2476" s="4" t="s">
        <v>25</v>
      </c>
      <c r="F2476" s="4" t="s">
        <v>25</v>
      </c>
      <c r="G2476" s="4" t="s">
        <v>25</v>
      </c>
      <c r="H2476" s="4" t="s">
        <v>25</v>
      </c>
      <c r="I2476" s="5">
        <v>44317</v>
      </c>
      <c r="J2476" s="6">
        <v>0</v>
      </c>
      <c r="K2476" s="6">
        <v>0</v>
      </c>
      <c r="L2476" s="6">
        <v>5438.2860000000001</v>
      </c>
      <c r="M2476" s="6">
        <v>5438.2860000000001</v>
      </c>
      <c r="N2476" s="6">
        <v>5438.2860000000001</v>
      </c>
      <c r="O2476" s="6">
        <v>5438.2860000000001</v>
      </c>
      <c r="P2476" s="6">
        <v>5841</v>
      </c>
      <c r="Q2476" s="4" t="s">
        <v>26</v>
      </c>
      <c r="R2476" s="4">
        <v>0</v>
      </c>
      <c r="S2476" s="4" t="s">
        <v>390</v>
      </c>
      <c r="T2476" s="4" t="s">
        <v>627</v>
      </c>
      <c r="U2476" s="4">
        <v>0</v>
      </c>
      <c r="V2476" s="4">
        <v>72</v>
      </c>
      <c r="W2476" s="4">
        <v>78</v>
      </c>
    </row>
    <row r="2477" spans="1:23" ht="11.25" customHeight="1" x14ac:dyDescent="0.25">
      <c r="A2477" s="4" t="s">
        <v>29</v>
      </c>
      <c r="B2477" s="4" t="s">
        <v>41</v>
      </c>
      <c r="C2477" s="4" t="s">
        <v>23</v>
      </c>
      <c r="D2477" s="4" t="s">
        <v>48</v>
      </c>
      <c r="E2477" s="4" t="s">
        <v>25</v>
      </c>
      <c r="F2477" s="4" t="s">
        <v>25</v>
      </c>
      <c r="G2477" s="4" t="s">
        <v>25</v>
      </c>
      <c r="H2477" s="4" t="s">
        <v>25</v>
      </c>
      <c r="I2477" s="5">
        <v>44317</v>
      </c>
      <c r="J2477" s="6">
        <v>0</v>
      </c>
      <c r="K2477" s="6">
        <v>0</v>
      </c>
      <c r="L2477" s="6">
        <v>-59.942999999999998</v>
      </c>
      <c r="M2477" s="6">
        <v>-59.942999999999998</v>
      </c>
      <c r="N2477" s="6">
        <v>-59.942999999999998</v>
      </c>
      <c r="O2477" s="6">
        <v>-59.942999999999998</v>
      </c>
      <c r="P2477" s="6">
        <v>0</v>
      </c>
      <c r="Q2477" s="4" t="s">
        <v>26</v>
      </c>
      <c r="R2477" s="4">
        <v>0</v>
      </c>
      <c r="S2477" s="4" t="s">
        <v>390</v>
      </c>
      <c r="T2477" s="4" t="s">
        <v>627</v>
      </c>
      <c r="U2477" s="4">
        <v>0</v>
      </c>
      <c r="V2477" s="4">
        <v>72</v>
      </c>
      <c r="W2477" s="4">
        <v>78</v>
      </c>
    </row>
    <row r="2478" spans="1:23" ht="11.25" customHeight="1" x14ac:dyDescent="0.25">
      <c r="A2478" s="4" t="s">
        <v>30</v>
      </c>
      <c r="B2478" s="4" t="s">
        <v>41</v>
      </c>
      <c r="C2478" s="4" t="s">
        <v>23</v>
      </c>
      <c r="D2478" s="4" t="s">
        <v>48</v>
      </c>
      <c r="E2478" s="4" t="s">
        <v>25</v>
      </c>
      <c r="F2478" s="4" t="s">
        <v>25</v>
      </c>
      <c r="G2478" s="4" t="s">
        <v>25</v>
      </c>
      <c r="H2478" s="4" t="s">
        <v>25</v>
      </c>
      <c r="I2478" s="5">
        <v>44317</v>
      </c>
      <c r="J2478" s="6">
        <v>0</v>
      </c>
      <c r="K2478" s="6">
        <v>0</v>
      </c>
      <c r="L2478" s="6">
        <v>5.6479999999999997</v>
      </c>
      <c r="M2478" s="6">
        <v>5.6479999999999997</v>
      </c>
      <c r="N2478" s="6">
        <v>5.6479999999999997</v>
      </c>
      <c r="O2478" s="6">
        <v>5.6479999999999997</v>
      </c>
      <c r="P2478" s="6">
        <v>3</v>
      </c>
      <c r="Q2478" s="4" t="s">
        <v>26</v>
      </c>
      <c r="R2478" s="4">
        <v>0</v>
      </c>
      <c r="S2478" s="4" t="s">
        <v>390</v>
      </c>
      <c r="T2478" s="4" t="s">
        <v>627</v>
      </c>
      <c r="U2478" s="4">
        <v>0</v>
      </c>
      <c r="V2478" s="4">
        <v>72</v>
      </c>
      <c r="W2478" s="4">
        <v>78</v>
      </c>
    </row>
    <row r="2479" spans="1:23" ht="11.25" customHeight="1" x14ac:dyDescent="0.25">
      <c r="A2479" s="4" t="s">
        <v>21</v>
      </c>
      <c r="B2479" s="4" t="s">
        <v>41</v>
      </c>
      <c r="C2479" s="4" t="s">
        <v>23</v>
      </c>
      <c r="D2479" s="4" t="s">
        <v>48</v>
      </c>
      <c r="E2479" s="4" t="s">
        <v>25</v>
      </c>
      <c r="F2479" s="4" t="s">
        <v>25</v>
      </c>
      <c r="G2479" s="4" t="s">
        <v>25</v>
      </c>
      <c r="H2479" s="4" t="s">
        <v>25</v>
      </c>
      <c r="I2479" s="5">
        <v>44348</v>
      </c>
      <c r="J2479" s="6">
        <v>0</v>
      </c>
      <c r="K2479" s="6">
        <v>0</v>
      </c>
      <c r="L2479" s="6">
        <v>4464.9049999999997</v>
      </c>
      <c r="M2479" s="6">
        <v>4464.9049999999997</v>
      </c>
      <c r="N2479" s="6">
        <v>4464.9049999999997</v>
      </c>
      <c r="O2479" s="6">
        <v>4464.9049999999997</v>
      </c>
      <c r="P2479" s="6">
        <v>2045</v>
      </c>
      <c r="Q2479" s="4" t="s">
        <v>26</v>
      </c>
      <c r="R2479" s="4">
        <v>0</v>
      </c>
      <c r="S2479" s="4" t="s">
        <v>391</v>
      </c>
      <c r="T2479" s="4" t="s">
        <v>628</v>
      </c>
      <c r="U2479" s="4">
        <v>0</v>
      </c>
      <c r="V2479" s="4">
        <v>72</v>
      </c>
      <c r="W2479" s="4">
        <v>78</v>
      </c>
    </row>
    <row r="2480" spans="1:23" ht="11.25" customHeight="1" x14ac:dyDescent="0.25">
      <c r="A2480" s="4" t="s">
        <v>27</v>
      </c>
      <c r="B2480" s="4" t="s">
        <v>41</v>
      </c>
      <c r="C2480" s="4" t="s">
        <v>23</v>
      </c>
      <c r="D2480" s="4" t="s">
        <v>48</v>
      </c>
      <c r="E2480" s="4" t="s">
        <v>25</v>
      </c>
      <c r="F2480" s="4" t="s">
        <v>25</v>
      </c>
      <c r="G2480" s="4" t="s">
        <v>25</v>
      </c>
      <c r="H2480" s="4" t="s">
        <v>25</v>
      </c>
      <c r="I2480" s="5">
        <v>44348</v>
      </c>
      <c r="J2480" s="6">
        <v>0</v>
      </c>
      <c r="K2480" s="6">
        <v>0</v>
      </c>
      <c r="L2480" s="6">
        <v>9.9789999999999992</v>
      </c>
      <c r="M2480" s="6">
        <v>9.9789999999999992</v>
      </c>
      <c r="N2480" s="6">
        <v>9.9789999999999992</v>
      </c>
      <c r="O2480" s="6">
        <v>9.9789999999999992</v>
      </c>
      <c r="P2480" s="6">
        <v>0</v>
      </c>
      <c r="Q2480" s="4" t="s">
        <v>26</v>
      </c>
      <c r="R2480" s="4">
        <v>0</v>
      </c>
      <c r="S2480" s="4" t="s">
        <v>391</v>
      </c>
      <c r="T2480" s="4" t="s">
        <v>628</v>
      </c>
      <c r="U2480" s="4">
        <v>0</v>
      </c>
      <c r="V2480" s="4">
        <v>72</v>
      </c>
      <c r="W2480" s="4">
        <v>78</v>
      </c>
    </row>
    <row r="2481" spans="1:23" ht="11.25" customHeight="1" x14ac:dyDescent="0.25">
      <c r="A2481" s="4" t="s">
        <v>28</v>
      </c>
      <c r="B2481" s="4" t="s">
        <v>41</v>
      </c>
      <c r="C2481" s="4" t="s">
        <v>23</v>
      </c>
      <c r="D2481" s="4" t="s">
        <v>48</v>
      </c>
      <c r="E2481" s="4" t="s">
        <v>25</v>
      </c>
      <c r="F2481" s="4" t="s">
        <v>25</v>
      </c>
      <c r="G2481" s="4" t="s">
        <v>25</v>
      </c>
      <c r="H2481" s="4" t="s">
        <v>25</v>
      </c>
      <c r="I2481" s="5">
        <v>44348</v>
      </c>
      <c r="J2481" s="6">
        <v>0</v>
      </c>
      <c r="K2481" s="6">
        <v>0</v>
      </c>
      <c r="L2481" s="6">
        <v>5860.5889999999999</v>
      </c>
      <c r="M2481" s="6">
        <v>5860.5889999999999</v>
      </c>
      <c r="N2481" s="6">
        <v>5860.5889999999999</v>
      </c>
      <c r="O2481" s="6">
        <v>5860.5889999999999</v>
      </c>
      <c r="P2481" s="6">
        <v>5868</v>
      </c>
      <c r="Q2481" s="4" t="s">
        <v>26</v>
      </c>
      <c r="R2481" s="4">
        <v>0</v>
      </c>
      <c r="S2481" s="4" t="s">
        <v>391</v>
      </c>
      <c r="T2481" s="4" t="s">
        <v>628</v>
      </c>
      <c r="U2481" s="4">
        <v>0</v>
      </c>
      <c r="V2481" s="4">
        <v>72</v>
      </c>
      <c r="W2481" s="4">
        <v>78</v>
      </c>
    </row>
    <row r="2482" spans="1:23" ht="11.25" customHeight="1" x14ac:dyDescent="0.25">
      <c r="A2482" s="4" t="s">
        <v>29</v>
      </c>
      <c r="B2482" s="4" t="s">
        <v>41</v>
      </c>
      <c r="C2482" s="4" t="s">
        <v>23</v>
      </c>
      <c r="D2482" s="4" t="s">
        <v>48</v>
      </c>
      <c r="E2482" s="4" t="s">
        <v>25</v>
      </c>
      <c r="F2482" s="4" t="s">
        <v>25</v>
      </c>
      <c r="G2482" s="4" t="s">
        <v>25</v>
      </c>
      <c r="H2482" s="4" t="s">
        <v>25</v>
      </c>
      <c r="I2482" s="5">
        <v>44348</v>
      </c>
      <c r="J2482" s="6">
        <v>0</v>
      </c>
      <c r="K2482" s="6">
        <v>0</v>
      </c>
      <c r="L2482" s="6">
        <v>-41.241</v>
      </c>
      <c r="M2482" s="6">
        <v>-41.241</v>
      </c>
      <c r="N2482" s="6">
        <v>-41.241</v>
      </c>
      <c r="O2482" s="6">
        <v>-41.241</v>
      </c>
      <c r="P2482" s="6">
        <v>0</v>
      </c>
      <c r="Q2482" s="4" t="s">
        <v>26</v>
      </c>
      <c r="R2482" s="4">
        <v>0</v>
      </c>
      <c r="S2482" s="4" t="s">
        <v>391</v>
      </c>
      <c r="T2482" s="4" t="s">
        <v>628</v>
      </c>
      <c r="U2482" s="4">
        <v>0</v>
      </c>
      <c r="V2482" s="4">
        <v>72</v>
      </c>
      <c r="W2482" s="4">
        <v>78</v>
      </c>
    </row>
    <row r="2483" spans="1:23" ht="11.25" customHeight="1" x14ac:dyDescent="0.25">
      <c r="A2483" s="4" t="s">
        <v>30</v>
      </c>
      <c r="B2483" s="4" t="s">
        <v>41</v>
      </c>
      <c r="C2483" s="4" t="s">
        <v>23</v>
      </c>
      <c r="D2483" s="4" t="s">
        <v>48</v>
      </c>
      <c r="E2483" s="4" t="s">
        <v>25</v>
      </c>
      <c r="F2483" s="4" t="s">
        <v>25</v>
      </c>
      <c r="G2483" s="4" t="s">
        <v>25</v>
      </c>
      <c r="H2483" s="4" t="s">
        <v>25</v>
      </c>
      <c r="I2483" s="5">
        <v>44348</v>
      </c>
      <c r="J2483" s="6">
        <v>0</v>
      </c>
      <c r="K2483" s="6">
        <v>0</v>
      </c>
      <c r="L2483" s="6">
        <v>7.1139999999999999</v>
      </c>
      <c r="M2483" s="6">
        <v>7.1139999999999999</v>
      </c>
      <c r="N2483" s="6">
        <v>7.1139999999999999</v>
      </c>
      <c r="O2483" s="6">
        <v>7.1139999999999999</v>
      </c>
      <c r="P2483" s="6">
        <v>3</v>
      </c>
      <c r="Q2483" s="4" t="s">
        <v>26</v>
      </c>
      <c r="R2483" s="4">
        <v>0</v>
      </c>
      <c r="S2483" s="4" t="s">
        <v>391</v>
      </c>
      <c r="T2483" s="4" t="s">
        <v>628</v>
      </c>
      <c r="U2483" s="4">
        <v>0</v>
      </c>
      <c r="V2483" s="4">
        <v>72</v>
      </c>
      <c r="W2483" s="4">
        <v>78</v>
      </c>
    </row>
    <row r="2484" spans="1:23" ht="11.25" customHeight="1" x14ac:dyDescent="0.25">
      <c r="A2484" s="4" t="s">
        <v>21</v>
      </c>
      <c r="B2484" s="4" t="s">
        <v>41</v>
      </c>
      <c r="C2484" s="4" t="s">
        <v>23</v>
      </c>
      <c r="D2484" s="4" t="s">
        <v>48</v>
      </c>
      <c r="E2484" s="4" t="s">
        <v>25</v>
      </c>
      <c r="F2484" s="4" t="s">
        <v>25</v>
      </c>
      <c r="G2484" s="4" t="s">
        <v>25</v>
      </c>
      <c r="H2484" s="4" t="s">
        <v>25</v>
      </c>
      <c r="I2484" s="5">
        <v>44378</v>
      </c>
      <c r="J2484" s="6">
        <v>0</v>
      </c>
      <c r="K2484" s="6">
        <v>0</v>
      </c>
      <c r="L2484" s="6">
        <v>4892.8339999999998</v>
      </c>
      <c r="M2484" s="6">
        <v>4892.8339999999998</v>
      </c>
      <c r="N2484" s="6">
        <v>4892.8339999999998</v>
      </c>
      <c r="O2484" s="6">
        <v>4892.8339999999998</v>
      </c>
      <c r="P2484" s="6">
        <v>2020</v>
      </c>
      <c r="Q2484" s="4" t="s">
        <v>26</v>
      </c>
      <c r="R2484" s="4">
        <v>0</v>
      </c>
      <c r="S2484" s="4" t="s">
        <v>392</v>
      </c>
      <c r="T2484" s="4" t="s">
        <v>629</v>
      </c>
      <c r="U2484" s="4">
        <v>0</v>
      </c>
      <c r="V2484" s="4">
        <v>72</v>
      </c>
      <c r="W2484" s="4">
        <v>78</v>
      </c>
    </row>
    <row r="2485" spans="1:23" ht="11.25" customHeight="1" x14ac:dyDescent="0.25">
      <c r="A2485" s="4" t="s">
        <v>27</v>
      </c>
      <c r="B2485" s="4" t="s">
        <v>41</v>
      </c>
      <c r="C2485" s="4" t="s">
        <v>23</v>
      </c>
      <c r="D2485" s="4" t="s">
        <v>48</v>
      </c>
      <c r="E2485" s="4" t="s">
        <v>25</v>
      </c>
      <c r="F2485" s="4" t="s">
        <v>25</v>
      </c>
      <c r="G2485" s="4" t="s">
        <v>25</v>
      </c>
      <c r="H2485" s="4" t="s">
        <v>25</v>
      </c>
      <c r="I2485" s="5">
        <v>44378</v>
      </c>
      <c r="J2485" s="6">
        <v>0</v>
      </c>
      <c r="K2485" s="6">
        <v>0</v>
      </c>
      <c r="L2485" s="6">
        <v>41.883000000000003</v>
      </c>
      <c r="M2485" s="6">
        <v>41.883000000000003</v>
      </c>
      <c r="N2485" s="6">
        <v>41.883000000000003</v>
      </c>
      <c r="O2485" s="6">
        <v>41.883000000000003</v>
      </c>
      <c r="P2485" s="6">
        <v>0</v>
      </c>
      <c r="Q2485" s="4" t="s">
        <v>26</v>
      </c>
      <c r="R2485" s="4">
        <v>0</v>
      </c>
      <c r="S2485" s="4" t="s">
        <v>392</v>
      </c>
      <c r="T2485" s="4" t="s">
        <v>629</v>
      </c>
      <c r="U2485" s="4">
        <v>0</v>
      </c>
      <c r="V2485" s="4">
        <v>72</v>
      </c>
      <c r="W2485" s="4">
        <v>78</v>
      </c>
    </row>
    <row r="2486" spans="1:23" ht="11.25" customHeight="1" x14ac:dyDescent="0.25">
      <c r="A2486" s="4" t="s">
        <v>28</v>
      </c>
      <c r="B2486" s="4" t="s">
        <v>41</v>
      </c>
      <c r="C2486" s="4" t="s">
        <v>23</v>
      </c>
      <c r="D2486" s="4" t="s">
        <v>48</v>
      </c>
      <c r="E2486" s="4" t="s">
        <v>25</v>
      </c>
      <c r="F2486" s="4" t="s">
        <v>25</v>
      </c>
      <c r="G2486" s="4" t="s">
        <v>25</v>
      </c>
      <c r="H2486" s="4" t="s">
        <v>25</v>
      </c>
      <c r="I2486" s="5">
        <v>44378</v>
      </c>
      <c r="J2486" s="6">
        <v>0</v>
      </c>
      <c r="K2486" s="6">
        <v>0</v>
      </c>
      <c r="L2486" s="6">
        <v>5574.9920000000002</v>
      </c>
      <c r="M2486" s="6">
        <v>5574.9920000000002</v>
      </c>
      <c r="N2486" s="6">
        <v>5574.9920000000002</v>
      </c>
      <c r="O2486" s="6">
        <v>5574.9920000000002</v>
      </c>
      <c r="P2486" s="6">
        <v>5879</v>
      </c>
      <c r="Q2486" s="4" t="s">
        <v>26</v>
      </c>
      <c r="R2486" s="4">
        <v>0</v>
      </c>
      <c r="S2486" s="4" t="s">
        <v>392</v>
      </c>
      <c r="T2486" s="4" t="s">
        <v>629</v>
      </c>
      <c r="U2486" s="4">
        <v>0</v>
      </c>
      <c r="V2486" s="4">
        <v>72</v>
      </c>
      <c r="W2486" s="4">
        <v>78</v>
      </c>
    </row>
    <row r="2487" spans="1:23" ht="11.25" customHeight="1" x14ac:dyDescent="0.25">
      <c r="A2487" s="4" t="s">
        <v>29</v>
      </c>
      <c r="B2487" s="4" t="s">
        <v>41</v>
      </c>
      <c r="C2487" s="4" t="s">
        <v>23</v>
      </c>
      <c r="D2487" s="4" t="s">
        <v>48</v>
      </c>
      <c r="E2487" s="4" t="s">
        <v>25</v>
      </c>
      <c r="F2487" s="4" t="s">
        <v>25</v>
      </c>
      <c r="G2487" s="4" t="s">
        <v>25</v>
      </c>
      <c r="H2487" s="4" t="s">
        <v>25</v>
      </c>
      <c r="I2487" s="5">
        <v>44378</v>
      </c>
      <c r="J2487" s="6">
        <v>0</v>
      </c>
      <c r="K2487" s="6">
        <v>0</v>
      </c>
      <c r="L2487" s="6">
        <v>2.3820000000000001</v>
      </c>
      <c r="M2487" s="6">
        <v>2.3820000000000001</v>
      </c>
      <c r="N2487" s="6">
        <v>2.3820000000000001</v>
      </c>
      <c r="O2487" s="6">
        <v>2.3820000000000001</v>
      </c>
      <c r="P2487" s="6">
        <v>0</v>
      </c>
      <c r="Q2487" s="4" t="s">
        <v>26</v>
      </c>
      <c r="R2487" s="4">
        <v>0</v>
      </c>
      <c r="S2487" s="4" t="s">
        <v>392</v>
      </c>
      <c r="T2487" s="4" t="s">
        <v>629</v>
      </c>
      <c r="U2487" s="4">
        <v>0</v>
      </c>
      <c r="V2487" s="4">
        <v>72</v>
      </c>
      <c r="W2487" s="4">
        <v>78</v>
      </c>
    </row>
    <row r="2488" spans="1:23" ht="11.25" customHeight="1" x14ac:dyDescent="0.25">
      <c r="A2488" s="4" t="s">
        <v>30</v>
      </c>
      <c r="B2488" s="4" t="s">
        <v>41</v>
      </c>
      <c r="C2488" s="4" t="s">
        <v>23</v>
      </c>
      <c r="D2488" s="4" t="s">
        <v>48</v>
      </c>
      <c r="E2488" s="4" t="s">
        <v>25</v>
      </c>
      <c r="F2488" s="4" t="s">
        <v>25</v>
      </c>
      <c r="G2488" s="4" t="s">
        <v>25</v>
      </c>
      <c r="H2488" s="4" t="s">
        <v>25</v>
      </c>
      <c r="I2488" s="5">
        <v>44378</v>
      </c>
      <c r="J2488" s="6">
        <v>0</v>
      </c>
      <c r="K2488" s="6">
        <v>0</v>
      </c>
      <c r="L2488" s="6">
        <v>7.4189999999999996</v>
      </c>
      <c r="M2488" s="6">
        <v>7.4189999999999996</v>
      </c>
      <c r="N2488" s="6">
        <v>7.4189999999999996</v>
      </c>
      <c r="O2488" s="6">
        <v>7.4189999999999996</v>
      </c>
      <c r="P2488" s="6">
        <v>3</v>
      </c>
      <c r="Q2488" s="4" t="s">
        <v>26</v>
      </c>
      <c r="R2488" s="4">
        <v>0</v>
      </c>
      <c r="S2488" s="4" t="s">
        <v>392</v>
      </c>
      <c r="T2488" s="4" t="s">
        <v>629</v>
      </c>
      <c r="U2488" s="4">
        <v>0</v>
      </c>
      <c r="V2488" s="4">
        <v>72</v>
      </c>
      <c r="W2488" s="4">
        <v>78</v>
      </c>
    </row>
    <row r="2489" spans="1:23" ht="11.25" customHeight="1" x14ac:dyDescent="0.25">
      <c r="A2489" s="4" t="s">
        <v>21</v>
      </c>
      <c r="B2489" s="4" t="s">
        <v>41</v>
      </c>
      <c r="C2489" s="4" t="s">
        <v>23</v>
      </c>
      <c r="D2489" s="4" t="s">
        <v>48</v>
      </c>
      <c r="E2489" s="4" t="s">
        <v>25</v>
      </c>
      <c r="F2489" s="4" t="s">
        <v>25</v>
      </c>
      <c r="G2489" s="4" t="s">
        <v>25</v>
      </c>
      <c r="H2489" s="4" t="s">
        <v>25</v>
      </c>
      <c r="I2489" s="5">
        <v>44409</v>
      </c>
      <c r="J2489" s="6">
        <v>0</v>
      </c>
      <c r="K2489" s="6">
        <v>0</v>
      </c>
      <c r="L2489" s="6">
        <v>6359.41</v>
      </c>
      <c r="M2489" s="6">
        <v>6359.41</v>
      </c>
      <c r="N2489" s="6">
        <v>6359.41</v>
      </c>
      <c r="O2489" s="6">
        <v>6359.41</v>
      </c>
      <c r="P2489" s="6">
        <v>2065</v>
      </c>
      <c r="Q2489" s="4" t="s">
        <v>26</v>
      </c>
      <c r="R2489" s="4">
        <v>0</v>
      </c>
      <c r="S2489" s="4" t="s">
        <v>393</v>
      </c>
      <c r="T2489" s="4" t="s">
        <v>630</v>
      </c>
      <c r="U2489" s="4">
        <v>0</v>
      </c>
      <c r="V2489" s="4">
        <v>72</v>
      </c>
      <c r="W2489" s="4">
        <v>78</v>
      </c>
    </row>
    <row r="2490" spans="1:23" ht="11.25" customHeight="1" x14ac:dyDescent="0.25">
      <c r="A2490" s="4" t="s">
        <v>27</v>
      </c>
      <c r="B2490" s="4" t="s">
        <v>41</v>
      </c>
      <c r="C2490" s="4" t="s">
        <v>23</v>
      </c>
      <c r="D2490" s="4" t="s">
        <v>48</v>
      </c>
      <c r="E2490" s="4" t="s">
        <v>25</v>
      </c>
      <c r="F2490" s="4" t="s">
        <v>25</v>
      </c>
      <c r="G2490" s="4" t="s">
        <v>25</v>
      </c>
      <c r="H2490" s="4" t="s">
        <v>25</v>
      </c>
      <c r="I2490" s="5">
        <v>44409</v>
      </c>
      <c r="J2490" s="6">
        <v>0</v>
      </c>
      <c r="K2490" s="6">
        <v>0</v>
      </c>
      <c r="L2490" s="6">
        <v>27.46</v>
      </c>
      <c r="M2490" s="6">
        <v>27.46</v>
      </c>
      <c r="N2490" s="6">
        <v>27.46</v>
      </c>
      <c r="O2490" s="6">
        <v>27.46</v>
      </c>
      <c r="P2490" s="6">
        <v>0</v>
      </c>
      <c r="Q2490" s="4" t="s">
        <v>26</v>
      </c>
      <c r="R2490" s="4">
        <v>0</v>
      </c>
      <c r="S2490" s="4" t="s">
        <v>393</v>
      </c>
      <c r="T2490" s="4" t="s">
        <v>630</v>
      </c>
      <c r="U2490" s="4">
        <v>0</v>
      </c>
      <c r="V2490" s="4">
        <v>72</v>
      </c>
      <c r="W2490" s="4">
        <v>78</v>
      </c>
    </row>
    <row r="2491" spans="1:23" ht="11.25" customHeight="1" x14ac:dyDescent="0.25">
      <c r="A2491" s="4" t="s">
        <v>28</v>
      </c>
      <c r="B2491" s="4" t="s">
        <v>41</v>
      </c>
      <c r="C2491" s="4" t="s">
        <v>23</v>
      </c>
      <c r="D2491" s="4" t="s">
        <v>48</v>
      </c>
      <c r="E2491" s="4" t="s">
        <v>25</v>
      </c>
      <c r="F2491" s="4" t="s">
        <v>25</v>
      </c>
      <c r="G2491" s="4" t="s">
        <v>25</v>
      </c>
      <c r="H2491" s="4" t="s">
        <v>25</v>
      </c>
      <c r="I2491" s="5">
        <v>44409</v>
      </c>
      <c r="J2491" s="6">
        <v>0</v>
      </c>
      <c r="K2491" s="6">
        <v>0</v>
      </c>
      <c r="L2491" s="6">
        <v>7367.24</v>
      </c>
      <c r="M2491" s="6">
        <v>7367.24</v>
      </c>
      <c r="N2491" s="6">
        <v>7367.24</v>
      </c>
      <c r="O2491" s="6">
        <v>7367.24</v>
      </c>
      <c r="P2491" s="6">
        <v>5979</v>
      </c>
      <c r="Q2491" s="4" t="s">
        <v>26</v>
      </c>
      <c r="R2491" s="4">
        <v>0</v>
      </c>
      <c r="S2491" s="4" t="s">
        <v>393</v>
      </c>
      <c r="T2491" s="4" t="s">
        <v>630</v>
      </c>
      <c r="U2491" s="4">
        <v>0</v>
      </c>
      <c r="V2491" s="4">
        <v>72</v>
      </c>
      <c r="W2491" s="4">
        <v>78</v>
      </c>
    </row>
    <row r="2492" spans="1:23" ht="11.25" customHeight="1" x14ac:dyDescent="0.25">
      <c r="A2492" s="4" t="s">
        <v>29</v>
      </c>
      <c r="B2492" s="4" t="s">
        <v>41</v>
      </c>
      <c r="C2492" s="4" t="s">
        <v>23</v>
      </c>
      <c r="D2492" s="4" t="s">
        <v>48</v>
      </c>
      <c r="E2492" s="4" t="s">
        <v>25</v>
      </c>
      <c r="F2492" s="4" t="s">
        <v>25</v>
      </c>
      <c r="G2492" s="4" t="s">
        <v>25</v>
      </c>
      <c r="H2492" s="4" t="s">
        <v>25</v>
      </c>
      <c r="I2492" s="5">
        <v>44409</v>
      </c>
      <c r="J2492" s="6">
        <v>0</v>
      </c>
      <c r="K2492" s="6">
        <v>0</v>
      </c>
      <c r="L2492" s="6">
        <v>-239.89</v>
      </c>
      <c r="M2492" s="6">
        <v>-239.89</v>
      </c>
      <c r="N2492" s="6">
        <v>-239.89</v>
      </c>
      <c r="O2492" s="6">
        <v>-239.89</v>
      </c>
      <c r="P2492" s="6">
        <v>0</v>
      </c>
      <c r="Q2492" s="4" t="s">
        <v>26</v>
      </c>
      <c r="R2492" s="4">
        <v>0</v>
      </c>
      <c r="S2492" s="4" t="s">
        <v>393</v>
      </c>
      <c r="T2492" s="4" t="s">
        <v>630</v>
      </c>
      <c r="U2492" s="4">
        <v>0</v>
      </c>
      <c r="V2492" s="4">
        <v>72</v>
      </c>
      <c r="W2492" s="4">
        <v>78</v>
      </c>
    </row>
    <row r="2493" spans="1:23" ht="11.25" customHeight="1" x14ac:dyDescent="0.25">
      <c r="A2493" s="4" t="s">
        <v>30</v>
      </c>
      <c r="B2493" s="4" t="s">
        <v>41</v>
      </c>
      <c r="C2493" s="4" t="s">
        <v>23</v>
      </c>
      <c r="D2493" s="4" t="s">
        <v>48</v>
      </c>
      <c r="E2493" s="4" t="s">
        <v>25</v>
      </c>
      <c r="F2493" s="4" t="s">
        <v>25</v>
      </c>
      <c r="G2493" s="4" t="s">
        <v>25</v>
      </c>
      <c r="H2493" s="4" t="s">
        <v>25</v>
      </c>
      <c r="I2493" s="5">
        <v>44409</v>
      </c>
      <c r="J2493" s="6">
        <v>0</v>
      </c>
      <c r="K2493" s="6">
        <v>0</v>
      </c>
      <c r="L2493" s="6">
        <v>27.321000000000002</v>
      </c>
      <c r="M2493" s="6">
        <v>27.321000000000002</v>
      </c>
      <c r="N2493" s="6">
        <v>27.321000000000002</v>
      </c>
      <c r="O2493" s="6">
        <v>27.321000000000002</v>
      </c>
      <c r="P2493" s="6">
        <v>3</v>
      </c>
      <c r="Q2493" s="4" t="s">
        <v>26</v>
      </c>
      <c r="R2493" s="4">
        <v>0</v>
      </c>
      <c r="S2493" s="4" t="s">
        <v>393</v>
      </c>
      <c r="T2493" s="4" t="s">
        <v>630</v>
      </c>
      <c r="U2493" s="4">
        <v>0</v>
      </c>
      <c r="V2493" s="4">
        <v>72</v>
      </c>
      <c r="W2493" s="4">
        <v>78</v>
      </c>
    </row>
    <row r="2494" spans="1:23" ht="11.25" customHeight="1" x14ac:dyDescent="0.25">
      <c r="A2494" s="4" t="s">
        <v>21</v>
      </c>
      <c r="B2494" s="4" t="s">
        <v>41</v>
      </c>
      <c r="C2494" s="4" t="s">
        <v>23</v>
      </c>
      <c r="D2494" s="4" t="s">
        <v>48</v>
      </c>
      <c r="E2494" s="4" t="s">
        <v>25</v>
      </c>
      <c r="F2494" s="4" t="s">
        <v>25</v>
      </c>
      <c r="G2494" s="4" t="s">
        <v>25</v>
      </c>
      <c r="H2494" s="4" t="s">
        <v>25</v>
      </c>
      <c r="I2494" s="5">
        <v>44440</v>
      </c>
      <c r="J2494" s="6">
        <v>0</v>
      </c>
      <c r="K2494" s="6">
        <v>0</v>
      </c>
      <c r="L2494" s="6">
        <v>6327.5519999999997</v>
      </c>
      <c r="M2494" s="6">
        <v>6327.5519999999997</v>
      </c>
      <c r="N2494" s="6">
        <v>6327.5519999999997</v>
      </c>
      <c r="O2494" s="6">
        <v>6327.5519999999997</v>
      </c>
      <c r="P2494" s="6">
        <v>2041</v>
      </c>
      <c r="Q2494" s="4" t="s">
        <v>26</v>
      </c>
      <c r="R2494" s="4">
        <v>0</v>
      </c>
      <c r="S2494" s="4" t="s">
        <v>394</v>
      </c>
      <c r="T2494" s="4" t="s">
        <v>631</v>
      </c>
      <c r="U2494" s="4">
        <v>0</v>
      </c>
      <c r="V2494" s="4">
        <v>72</v>
      </c>
      <c r="W2494" s="4">
        <v>78</v>
      </c>
    </row>
    <row r="2495" spans="1:23" ht="11.25" customHeight="1" x14ac:dyDescent="0.25">
      <c r="A2495" s="4" t="s">
        <v>27</v>
      </c>
      <c r="B2495" s="4" t="s">
        <v>41</v>
      </c>
      <c r="C2495" s="4" t="s">
        <v>23</v>
      </c>
      <c r="D2495" s="4" t="s">
        <v>48</v>
      </c>
      <c r="E2495" s="4" t="s">
        <v>25</v>
      </c>
      <c r="F2495" s="4" t="s">
        <v>25</v>
      </c>
      <c r="G2495" s="4" t="s">
        <v>25</v>
      </c>
      <c r="H2495" s="4" t="s">
        <v>25</v>
      </c>
      <c r="I2495" s="5">
        <v>44440</v>
      </c>
      <c r="J2495" s="6">
        <v>0</v>
      </c>
      <c r="K2495" s="6">
        <v>0</v>
      </c>
      <c r="L2495" s="6">
        <v>-44.237000000000002</v>
      </c>
      <c r="M2495" s="6">
        <v>-44.237000000000002</v>
      </c>
      <c r="N2495" s="6">
        <v>-44.237000000000002</v>
      </c>
      <c r="O2495" s="6">
        <v>-44.237000000000002</v>
      </c>
      <c r="P2495" s="6">
        <v>0</v>
      </c>
      <c r="Q2495" s="4" t="s">
        <v>26</v>
      </c>
      <c r="R2495" s="4">
        <v>0</v>
      </c>
      <c r="S2495" s="4" t="s">
        <v>394</v>
      </c>
      <c r="T2495" s="4" t="s">
        <v>631</v>
      </c>
      <c r="U2495" s="4">
        <v>0</v>
      </c>
      <c r="V2495" s="4">
        <v>72</v>
      </c>
      <c r="W2495" s="4">
        <v>78</v>
      </c>
    </row>
    <row r="2496" spans="1:23" ht="11.25" customHeight="1" x14ac:dyDescent="0.25">
      <c r="A2496" s="4" t="s">
        <v>28</v>
      </c>
      <c r="B2496" s="4" t="s">
        <v>41</v>
      </c>
      <c r="C2496" s="4" t="s">
        <v>23</v>
      </c>
      <c r="D2496" s="4" t="s">
        <v>48</v>
      </c>
      <c r="E2496" s="4" t="s">
        <v>25</v>
      </c>
      <c r="F2496" s="4" t="s">
        <v>25</v>
      </c>
      <c r="G2496" s="4" t="s">
        <v>25</v>
      </c>
      <c r="H2496" s="4" t="s">
        <v>25</v>
      </c>
      <c r="I2496" s="5">
        <v>44440</v>
      </c>
      <c r="J2496" s="6">
        <v>0</v>
      </c>
      <c r="K2496" s="6">
        <v>0</v>
      </c>
      <c r="L2496" s="6">
        <v>7807.22</v>
      </c>
      <c r="M2496" s="6">
        <v>7807.22</v>
      </c>
      <c r="N2496" s="6">
        <v>7807.22</v>
      </c>
      <c r="O2496" s="6">
        <v>7807.22</v>
      </c>
      <c r="P2496" s="6">
        <v>5989</v>
      </c>
      <c r="Q2496" s="4" t="s">
        <v>26</v>
      </c>
      <c r="R2496" s="4">
        <v>0</v>
      </c>
      <c r="S2496" s="4" t="s">
        <v>394</v>
      </c>
      <c r="T2496" s="4" t="s">
        <v>631</v>
      </c>
      <c r="U2496" s="4">
        <v>0</v>
      </c>
      <c r="V2496" s="4">
        <v>72</v>
      </c>
      <c r="W2496" s="4">
        <v>78</v>
      </c>
    </row>
    <row r="2497" spans="1:23" ht="11.25" customHeight="1" x14ac:dyDescent="0.25">
      <c r="A2497" s="4" t="s">
        <v>29</v>
      </c>
      <c r="B2497" s="4" t="s">
        <v>41</v>
      </c>
      <c r="C2497" s="4" t="s">
        <v>23</v>
      </c>
      <c r="D2497" s="4" t="s">
        <v>48</v>
      </c>
      <c r="E2497" s="4" t="s">
        <v>25</v>
      </c>
      <c r="F2497" s="4" t="s">
        <v>25</v>
      </c>
      <c r="G2497" s="4" t="s">
        <v>25</v>
      </c>
      <c r="H2497" s="4" t="s">
        <v>25</v>
      </c>
      <c r="I2497" s="5">
        <v>44440</v>
      </c>
      <c r="J2497" s="6">
        <v>0</v>
      </c>
      <c r="K2497" s="6">
        <v>0</v>
      </c>
      <c r="L2497" s="6">
        <v>-151.976</v>
      </c>
      <c r="M2497" s="6">
        <v>-151.976</v>
      </c>
      <c r="N2497" s="6">
        <v>-151.976</v>
      </c>
      <c r="O2497" s="6">
        <v>-151.976</v>
      </c>
      <c r="P2497" s="6">
        <v>0</v>
      </c>
      <c r="Q2497" s="4" t="s">
        <v>26</v>
      </c>
      <c r="R2497" s="4">
        <v>0</v>
      </c>
      <c r="S2497" s="4" t="s">
        <v>394</v>
      </c>
      <c r="T2497" s="4" t="s">
        <v>631</v>
      </c>
      <c r="U2497" s="4">
        <v>0</v>
      </c>
      <c r="V2497" s="4">
        <v>72</v>
      </c>
      <c r="W2497" s="4">
        <v>78</v>
      </c>
    </row>
    <row r="2498" spans="1:23" ht="11.25" customHeight="1" x14ac:dyDescent="0.25">
      <c r="A2498" s="4" t="s">
        <v>30</v>
      </c>
      <c r="B2498" s="4" t="s">
        <v>41</v>
      </c>
      <c r="C2498" s="4" t="s">
        <v>23</v>
      </c>
      <c r="D2498" s="4" t="s">
        <v>48</v>
      </c>
      <c r="E2498" s="4" t="s">
        <v>25</v>
      </c>
      <c r="F2498" s="4" t="s">
        <v>25</v>
      </c>
      <c r="G2498" s="4" t="s">
        <v>25</v>
      </c>
      <c r="H2498" s="4" t="s">
        <v>25</v>
      </c>
      <c r="I2498" s="5">
        <v>44440</v>
      </c>
      <c r="J2498" s="6">
        <v>0</v>
      </c>
      <c r="K2498" s="6">
        <v>0</v>
      </c>
      <c r="L2498" s="6">
        <v>8.2569999999999997</v>
      </c>
      <c r="M2498" s="6">
        <v>8.2569999999999997</v>
      </c>
      <c r="N2498" s="6">
        <v>8.2569999999999997</v>
      </c>
      <c r="O2498" s="6">
        <v>8.2569999999999997</v>
      </c>
      <c r="P2498" s="6">
        <v>3</v>
      </c>
      <c r="Q2498" s="4" t="s">
        <v>26</v>
      </c>
      <c r="R2498" s="4">
        <v>0</v>
      </c>
      <c r="S2498" s="4" t="s">
        <v>394</v>
      </c>
      <c r="T2498" s="4" t="s">
        <v>631</v>
      </c>
      <c r="U2498" s="4">
        <v>0</v>
      </c>
      <c r="V2498" s="4">
        <v>72</v>
      </c>
      <c r="W2498" s="4">
        <v>78</v>
      </c>
    </row>
    <row r="2499" spans="1:23" ht="11.25" customHeight="1" x14ac:dyDescent="0.25">
      <c r="A2499" s="4" t="s">
        <v>30</v>
      </c>
      <c r="B2499" s="4" t="s">
        <v>41</v>
      </c>
      <c r="C2499" s="4" t="s">
        <v>23</v>
      </c>
      <c r="D2499" s="4" t="s">
        <v>48</v>
      </c>
      <c r="E2499" s="4" t="s">
        <v>25</v>
      </c>
      <c r="F2499" s="4" t="s">
        <v>25</v>
      </c>
      <c r="G2499" s="4" t="s">
        <v>25</v>
      </c>
      <c r="H2499" s="4" t="s">
        <v>25</v>
      </c>
      <c r="I2499" s="5">
        <v>44440</v>
      </c>
      <c r="J2499" s="6">
        <v>0</v>
      </c>
      <c r="K2499" s="6">
        <v>0</v>
      </c>
      <c r="L2499" s="6">
        <v>-19.922000000000001</v>
      </c>
      <c r="M2499" s="6">
        <v>-19.922000000000001</v>
      </c>
      <c r="N2499" s="6">
        <v>-19.922000000000001</v>
      </c>
      <c r="O2499" s="6">
        <v>-19.922000000000001</v>
      </c>
      <c r="P2499" s="6">
        <v>0</v>
      </c>
      <c r="Q2499" s="4" t="s">
        <v>26</v>
      </c>
      <c r="R2499" s="4">
        <v>0</v>
      </c>
      <c r="S2499" s="4" t="s">
        <v>394</v>
      </c>
      <c r="T2499" s="4" t="s">
        <v>631</v>
      </c>
      <c r="U2499" s="4">
        <v>0</v>
      </c>
      <c r="V2499" s="4">
        <v>72</v>
      </c>
      <c r="W2499" s="4">
        <v>78</v>
      </c>
    </row>
    <row r="2500" spans="1:23" ht="11.25" customHeight="1" x14ac:dyDescent="0.25">
      <c r="A2500" s="4" t="s">
        <v>59</v>
      </c>
      <c r="B2500" s="4" t="s">
        <v>41</v>
      </c>
      <c r="C2500" s="4" t="s">
        <v>23</v>
      </c>
      <c r="D2500" s="4" t="s">
        <v>48</v>
      </c>
      <c r="E2500" s="4" t="s">
        <v>25</v>
      </c>
      <c r="F2500" s="4" t="s">
        <v>25</v>
      </c>
      <c r="G2500" s="4" t="s">
        <v>25</v>
      </c>
      <c r="H2500" s="4" t="s">
        <v>25</v>
      </c>
      <c r="I2500" s="5">
        <v>44470</v>
      </c>
      <c r="J2500" s="6">
        <v>0</v>
      </c>
      <c r="K2500" s="6">
        <v>0</v>
      </c>
      <c r="L2500" s="6">
        <v>6327.5519999999997</v>
      </c>
      <c r="M2500" s="6">
        <v>6327.5519999999997</v>
      </c>
      <c r="N2500" s="6">
        <v>6327.5519999999997</v>
      </c>
      <c r="O2500" s="6">
        <v>6327.5519999999997</v>
      </c>
      <c r="P2500" s="6">
        <v>2041</v>
      </c>
      <c r="Q2500" s="4" t="s">
        <v>26</v>
      </c>
      <c r="R2500" s="4">
        <v>0</v>
      </c>
      <c r="S2500" s="4" t="s">
        <v>395</v>
      </c>
      <c r="T2500" s="4" t="s">
        <v>632</v>
      </c>
      <c r="U2500" s="4">
        <v>0</v>
      </c>
      <c r="V2500" s="4">
        <v>72</v>
      </c>
      <c r="W2500" s="4">
        <v>78</v>
      </c>
    </row>
    <row r="2501" spans="1:23" ht="11.25" customHeight="1" x14ac:dyDescent="0.25">
      <c r="A2501" s="4" t="s">
        <v>59</v>
      </c>
      <c r="B2501" s="4" t="s">
        <v>41</v>
      </c>
      <c r="C2501" s="4" t="s">
        <v>23</v>
      </c>
      <c r="D2501" s="4" t="s">
        <v>48</v>
      </c>
      <c r="E2501" s="4" t="s">
        <v>25</v>
      </c>
      <c r="F2501" s="4" t="s">
        <v>25</v>
      </c>
      <c r="G2501" s="4" t="s">
        <v>25</v>
      </c>
      <c r="H2501" s="4" t="s">
        <v>25</v>
      </c>
      <c r="I2501" s="5">
        <v>44470</v>
      </c>
      <c r="J2501" s="6">
        <v>0</v>
      </c>
      <c r="K2501" s="6">
        <v>0</v>
      </c>
      <c r="L2501" s="6">
        <v>-44.237000000000002</v>
      </c>
      <c r="M2501" s="6">
        <v>-44.237000000000002</v>
      </c>
      <c r="N2501" s="6">
        <v>-44.237000000000002</v>
      </c>
      <c r="O2501" s="6">
        <v>-44.237000000000002</v>
      </c>
      <c r="P2501" s="6">
        <v>0</v>
      </c>
      <c r="Q2501" s="4" t="s">
        <v>26</v>
      </c>
      <c r="R2501" s="4">
        <v>0</v>
      </c>
      <c r="S2501" s="4" t="s">
        <v>395</v>
      </c>
      <c r="T2501" s="4" t="s">
        <v>632</v>
      </c>
      <c r="U2501" s="4">
        <v>0</v>
      </c>
      <c r="V2501" s="4">
        <v>72</v>
      </c>
      <c r="W2501" s="4">
        <v>78</v>
      </c>
    </row>
    <row r="2502" spans="1:23" ht="11.25" customHeight="1" x14ac:dyDescent="0.25">
      <c r="A2502" s="4" t="s">
        <v>59</v>
      </c>
      <c r="B2502" s="4" t="s">
        <v>41</v>
      </c>
      <c r="C2502" s="4" t="s">
        <v>23</v>
      </c>
      <c r="D2502" s="4" t="s">
        <v>48</v>
      </c>
      <c r="E2502" s="4" t="s">
        <v>25</v>
      </c>
      <c r="F2502" s="4" t="s">
        <v>25</v>
      </c>
      <c r="G2502" s="4" t="s">
        <v>25</v>
      </c>
      <c r="H2502" s="4" t="s">
        <v>25</v>
      </c>
      <c r="I2502" s="5">
        <v>44470</v>
      </c>
      <c r="J2502" s="6">
        <v>0</v>
      </c>
      <c r="K2502" s="6">
        <v>0</v>
      </c>
      <c r="L2502" s="6">
        <v>7807.22</v>
      </c>
      <c r="M2502" s="6">
        <v>7807.22</v>
      </c>
      <c r="N2502" s="6">
        <v>7807.22</v>
      </c>
      <c r="O2502" s="6">
        <v>7807.22</v>
      </c>
      <c r="P2502" s="6">
        <v>5989</v>
      </c>
      <c r="Q2502" s="4" t="s">
        <v>26</v>
      </c>
      <c r="R2502" s="4">
        <v>0</v>
      </c>
      <c r="S2502" s="4" t="s">
        <v>395</v>
      </c>
      <c r="T2502" s="4" t="s">
        <v>632</v>
      </c>
      <c r="U2502" s="4">
        <v>0</v>
      </c>
      <c r="V2502" s="4">
        <v>72</v>
      </c>
      <c r="W2502" s="4">
        <v>78</v>
      </c>
    </row>
    <row r="2503" spans="1:23" ht="11.25" customHeight="1" x14ac:dyDescent="0.25">
      <c r="A2503" s="4" t="s">
        <v>59</v>
      </c>
      <c r="B2503" s="4" t="s">
        <v>41</v>
      </c>
      <c r="C2503" s="4" t="s">
        <v>23</v>
      </c>
      <c r="D2503" s="4" t="s">
        <v>48</v>
      </c>
      <c r="E2503" s="4" t="s">
        <v>25</v>
      </c>
      <c r="F2503" s="4" t="s">
        <v>25</v>
      </c>
      <c r="G2503" s="4" t="s">
        <v>25</v>
      </c>
      <c r="H2503" s="4" t="s">
        <v>25</v>
      </c>
      <c r="I2503" s="5">
        <v>44470</v>
      </c>
      <c r="J2503" s="6">
        <v>0</v>
      </c>
      <c r="K2503" s="6">
        <v>0</v>
      </c>
      <c r="L2503" s="6">
        <v>-151.976</v>
      </c>
      <c r="M2503" s="6">
        <v>-151.976</v>
      </c>
      <c r="N2503" s="6">
        <v>-151.976</v>
      </c>
      <c r="O2503" s="6">
        <v>-151.976</v>
      </c>
      <c r="P2503" s="6">
        <v>0</v>
      </c>
      <c r="Q2503" s="4" t="s">
        <v>26</v>
      </c>
      <c r="R2503" s="4">
        <v>0</v>
      </c>
      <c r="S2503" s="4" t="s">
        <v>395</v>
      </c>
      <c r="T2503" s="4" t="s">
        <v>632</v>
      </c>
      <c r="U2503" s="4">
        <v>0</v>
      </c>
      <c r="V2503" s="4">
        <v>72</v>
      </c>
      <c r="W2503" s="4">
        <v>78</v>
      </c>
    </row>
    <row r="2504" spans="1:23" ht="11.25" customHeight="1" x14ac:dyDescent="0.25">
      <c r="A2504" s="4" t="s">
        <v>59</v>
      </c>
      <c r="B2504" s="4" t="s">
        <v>41</v>
      </c>
      <c r="C2504" s="4" t="s">
        <v>23</v>
      </c>
      <c r="D2504" s="4" t="s">
        <v>48</v>
      </c>
      <c r="E2504" s="4" t="s">
        <v>25</v>
      </c>
      <c r="F2504" s="4" t="s">
        <v>25</v>
      </c>
      <c r="G2504" s="4" t="s">
        <v>25</v>
      </c>
      <c r="H2504" s="4" t="s">
        <v>25</v>
      </c>
      <c r="I2504" s="5">
        <v>44470</v>
      </c>
      <c r="J2504" s="6">
        <v>0</v>
      </c>
      <c r="K2504" s="6">
        <v>0</v>
      </c>
      <c r="L2504" s="6">
        <v>8.2569999999999997</v>
      </c>
      <c r="M2504" s="6">
        <v>8.2569999999999997</v>
      </c>
      <c r="N2504" s="6">
        <v>8.2569999999999997</v>
      </c>
      <c r="O2504" s="6">
        <v>8.2569999999999997</v>
      </c>
      <c r="P2504" s="6">
        <v>3</v>
      </c>
      <c r="Q2504" s="4" t="s">
        <v>26</v>
      </c>
      <c r="R2504" s="4">
        <v>0</v>
      </c>
      <c r="S2504" s="4" t="s">
        <v>395</v>
      </c>
      <c r="T2504" s="4" t="s">
        <v>632</v>
      </c>
      <c r="U2504" s="4">
        <v>0</v>
      </c>
      <c r="V2504" s="4">
        <v>72</v>
      </c>
      <c r="W2504" s="4">
        <v>78</v>
      </c>
    </row>
    <row r="2505" spans="1:23" ht="11.25" customHeight="1" x14ac:dyDescent="0.25">
      <c r="A2505" s="4" t="s">
        <v>59</v>
      </c>
      <c r="B2505" s="4" t="s">
        <v>41</v>
      </c>
      <c r="C2505" s="4" t="s">
        <v>23</v>
      </c>
      <c r="D2505" s="4" t="s">
        <v>48</v>
      </c>
      <c r="E2505" s="4" t="s">
        <v>25</v>
      </c>
      <c r="F2505" s="4" t="s">
        <v>25</v>
      </c>
      <c r="G2505" s="4" t="s">
        <v>25</v>
      </c>
      <c r="H2505" s="4" t="s">
        <v>25</v>
      </c>
      <c r="I2505" s="5">
        <v>44470</v>
      </c>
      <c r="J2505" s="6">
        <v>0</v>
      </c>
      <c r="K2505" s="6">
        <v>0</v>
      </c>
      <c r="L2505" s="6">
        <v>-19.922000000000001</v>
      </c>
      <c r="M2505" s="6">
        <v>-19.922000000000001</v>
      </c>
      <c r="N2505" s="6">
        <v>-19.922000000000001</v>
      </c>
      <c r="O2505" s="6">
        <v>-19.922000000000001</v>
      </c>
      <c r="P2505" s="6">
        <v>0</v>
      </c>
      <c r="Q2505" s="4" t="s">
        <v>26</v>
      </c>
      <c r="R2505" s="4">
        <v>0</v>
      </c>
      <c r="S2505" s="4" t="s">
        <v>395</v>
      </c>
      <c r="T2505" s="4" t="s">
        <v>632</v>
      </c>
      <c r="U2505" s="4">
        <v>0</v>
      </c>
      <c r="V2505" s="4">
        <v>72</v>
      </c>
      <c r="W2505" s="4">
        <v>78</v>
      </c>
    </row>
    <row r="2506" spans="1:23" ht="11.25" customHeight="1" x14ac:dyDescent="0.25">
      <c r="A2506" s="4" t="s">
        <v>21</v>
      </c>
      <c r="B2506" s="4" t="s">
        <v>41</v>
      </c>
      <c r="C2506" s="4" t="s">
        <v>23</v>
      </c>
      <c r="D2506" s="4" t="s">
        <v>52</v>
      </c>
      <c r="E2506" s="4" t="s">
        <v>53</v>
      </c>
      <c r="F2506" s="4" t="s">
        <v>25</v>
      </c>
      <c r="G2506" s="4" t="s">
        <v>25</v>
      </c>
      <c r="H2506" s="4" t="s">
        <v>25</v>
      </c>
      <c r="I2506" s="5">
        <v>44136</v>
      </c>
      <c r="J2506" s="6">
        <v>0</v>
      </c>
      <c r="K2506" s="6">
        <v>0</v>
      </c>
      <c r="L2506" s="6">
        <v>795.45899999999995</v>
      </c>
      <c r="M2506" s="6">
        <v>723.86768999999993</v>
      </c>
      <c r="N2506" s="6">
        <v>795.45899999999995</v>
      </c>
      <c r="O2506" s="6">
        <v>723.86768999999993</v>
      </c>
      <c r="P2506" s="6">
        <v>208</v>
      </c>
      <c r="Q2506" s="4" t="s">
        <v>26</v>
      </c>
      <c r="R2506" s="4">
        <v>0</v>
      </c>
      <c r="S2506" s="4" t="s">
        <v>384</v>
      </c>
      <c r="T2506" s="4" t="s">
        <v>621</v>
      </c>
      <c r="U2506" s="4">
        <v>0</v>
      </c>
      <c r="V2506" s="4">
        <v>72</v>
      </c>
      <c r="W2506" s="4">
        <v>78</v>
      </c>
    </row>
    <row r="2507" spans="1:23" ht="11.25" customHeight="1" x14ac:dyDescent="0.25">
      <c r="A2507" s="4" t="s">
        <v>27</v>
      </c>
      <c r="B2507" s="4" t="s">
        <v>41</v>
      </c>
      <c r="C2507" s="4" t="s">
        <v>23</v>
      </c>
      <c r="D2507" s="4" t="s">
        <v>52</v>
      </c>
      <c r="E2507" s="4" t="s">
        <v>53</v>
      </c>
      <c r="F2507" s="4" t="s">
        <v>25</v>
      </c>
      <c r="G2507" s="4" t="s">
        <v>25</v>
      </c>
      <c r="H2507" s="4" t="s">
        <v>25</v>
      </c>
      <c r="I2507" s="5">
        <v>44136</v>
      </c>
      <c r="J2507" s="6">
        <v>0</v>
      </c>
      <c r="K2507" s="6">
        <v>0</v>
      </c>
      <c r="L2507" s="6">
        <v>1.8360000000000001</v>
      </c>
      <c r="M2507" s="6">
        <v>1.67076</v>
      </c>
      <c r="N2507" s="6">
        <v>1.8360000000000001</v>
      </c>
      <c r="O2507" s="6">
        <v>1.67076</v>
      </c>
      <c r="P2507" s="6">
        <v>0</v>
      </c>
      <c r="Q2507" s="4" t="s">
        <v>26</v>
      </c>
      <c r="R2507" s="4">
        <v>0</v>
      </c>
      <c r="S2507" s="4" t="s">
        <v>384</v>
      </c>
      <c r="T2507" s="4" t="s">
        <v>621</v>
      </c>
      <c r="U2507" s="4">
        <v>0</v>
      </c>
      <c r="V2507" s="4">
        <v>72</v>
      </c>
      <c r="W2507" s="4">
        <v>78</v>
      </c>
    </row>
    <row r="2508" spans="1:23" ht="11.25" customHeight="1" x14ac:dyDescent="0.25">
      <c r="A2508" s="4" t="s">
        <v>28</v>
      </c>
      <c r="B2508" s="4" t="s">
        <v>41</v>
      </c>
      <c r="C2508" s="4" t="s">
        <v>23</v>
      </c>
      <c r="D2508" s="4" t="s">
        <v>52</v>
      </c>
      <c r="E2508" s="4" t="s">
        <v>53</v>
      </c>
      <c r="F2508" s="4" t="s">
        <v>25</v>
      </c>
      <c r="G2508" s="4" t="s">
        <v>25</v>
      </c>
      <c r="H2508" s="4" t="s">
        <v>25</v>
      </c>
      <c r="I2508" s="5">
        <v>44136</v>
      </c>
      <c r="J2508" s="6">
        <v>0</v>
      </c>
      <c r="K2508" s="6">
        <v>0</v>
      </c>
      <c r="L2508" s="6">
        <v>2055.0189999999998</v>
      </c>
      <c r="M2508" s="6">
        <v>1870.06729</v>
      </c>
      <c r="N2508" s="6">
        <v>2055.0189999999998</v>
      </c>
      <c r="O2508" s="6">
        <v>1870.06729</v>
      </c>
      <c r="P2508" s="6">
        <v>641</v>
      </c>
      <c r="Q2508" s="4" t="s">
        <v>26</v>
      </c>
      <c r="R2508" s="4">
        <v>0</v>
      </c>
      <c r="S2508" s="4" t="s">
        <v>384</v>
      </c>
      <c r="T2508" s="4" t="s">
        <v>621</v>
      </c>
      <c r="U2508" s="4">
        <v>0</v>
      </c>
      <c r="V2508" s="4">
        <v>72</v>
      </c>
      <c r="W2508" s="4">
        <v>78</v>
      </c>
    </row>
    <row r="2509" spans="1:23" ht="11.25" customHeight="1" x14ac:dyDescent="0.25">
      <c r="A2509" s="4" t="s">
        <v>29</v>
      </c>
      <c r="B2509" s="4" t="s">
        <v>41</v>
      </c>
      <c r="C2509" s="4" t="s">
        <v>23</v>
      </c>
      <c r="D2509" s="4" t="s">
        <v>52</v>
      </c>
      <c r="E2509" s="4" t="s">
        <v>53</v>
      </c>
      <c r="F2509" s="4" t="s">
        <v>25</v>
      </c>
      <c r="G2509" s="4" t="s">
        <v>25</v>
      </c>
      <c r="H2509" s="4" t="s">
        <v>25</v>
      </c>
      <c r="I2509" s="5">
        <v>44136</v>
      </c>
      <c r="J2509" s="6">
        <v>0</v>
      </c>
      <c r="K2509" s="6">
        <v>0</v>
      </c>
      <c r="L2509" s="6">
        <v>-2.7309999999999999</v>
      </c>
      <c r="M2509" s="6">
        <v>-2.4852099999999999</v>
      </c>
      <c r="N2509" s="6">
        <v>-2.7309999999999999</v>
      </c>
      <c r="O2509" s="6">
        <v>-2.4852099999999999</v>
      </c>
      <c r="P2509" s="6">
        <v>0</v>
      </c>
      <c r="Q2509" s="4" t="s">
        <v>26</v>
      </c>
      <c r="R2509" s="4">
        <v>0</v>
      </c>
      <c r="S2509" s="4" t="s">
        <v>384</v>
      </c>
      <c r="T2509" s="4" t="s">
        <v>621</v>
      </c>
      <c r="U2509" s="4">
        <v>0</v>
      </c>
      <c r="V2509" s="4">
        <v>72</v>
      </c>
      <c r="W2509" s="4">
        <v>78</v>
      </c>
    </row>
    <row r="2510" spans="1:23" ht="11.25" customHeight="1" x14ac:dyDescent="0.25">
      <c r="A2510" s="4" t="s">
        <v>21</v>
      </c>
      <c r="B2510" s="4" t="s">
        <v>41</v>
      </c>
      <c r="C2510" s="4" t="s">
        <v>23</v>
      </c>
      <c r="D2510" s="4" t="s">
        <v>52</v>
      </c>
      <c r="E2510" s="4" t="s">
        <v>53</v>
      </c>
      <c r="F2510" s="4" t="s">
        <v>25</v>
      </c>
      <c r="G2510" s="4" t="s">
        <v>25</v>
      </c>
      <c r="H2510" s="4" t="s">
        <v>25</v>
      </c>
      <c r="I2510" s="5">
        <v>44166</v>
      </c>
      <c r="J2510" s="6">
        <v>0</v>
      </c>
      <c r="K2510" s="6">
        <v>0</v>
      </c>
      <c r="L2510" s="6">
        <v>788.59500000000003</v>
      </c>
      <c r="M2510" s="6">
        <v>717.6214500000001</v>
      </c>
      <c r="N2510" s="6">
        <v>788.59500000000003</v>
      </c>
      <c r="O2510" s="6">
        <v>717.6214500000001</v>
      </c>
      <c r="P2510" s="6">
        <v>206</v>
      </c>
      <c r="Q2510" s="4" t="s">
        <v>26</v>
      </c>
      <c r="R2510" s="4">
        <v>0</v>
      </c>
      <c r="S2510" s="4" t="s">
        <v>385</v>
      </c>
      <c r="T2510" s="4" t="s">
        <v>622</v>
      </c>
      <c r="U2510" s="4">
        <v>0</v>
      </c>
      <c r="V2510" s="4">
        <v>72</v>
      </c>
      <c r="W2510" s="4">
        <v>78</v>
      </c>
    </row>
    <row r="2511" spans="1:23" ht="11.25" customHeight="1" x14ac:dyDescent="0.25">
      <c r="A2511" s="4" t="s">
        <v>27</v>
      </c>
      <c r="B2511" s="4" t="s">
        <v>41</v>
      </c>
      <c r="C2511" s="4" t="s">
        <v>23</v>
      </c>
      <c r="D2511" s="4" t="s">
        <v>52</v>
      </c>
      <c r="E2511" s="4" t="s">
        <v>53</v>
      </c>
      <c r="F2511" s="4" t="s">
        <v>25</v>
      </c>
      <c r="G2511" s="4" t="s">
        <v>25</v>
      </c>
      <c r="H2511" s="4" t="s">
        <v>25</v>
      </c>
      <c r="I2511" s="5">
        <v>44166</v>
      </c>
      <c r="J2511" s="6">
        <v>0</v>
      </c>
      <c r="K2511" s="6">
        <v>0</v>
      </c>
      <c r="L2511" s="6">
        <v>-8.2550000000000008</v>
      </c>
      <c r="M2511" s="6">
        <v>-7.5120500000000012</v>
      </c>
      <c r="N2511" s="6">
        <v>-8.2550000000000008</v>
      </c>
      <c r="O2511" s="6">
        <v>-7.5120500000000012</v>
      </c>
      <c r="P2511" s="6">
        <v>0</v>
      </c>
      <c r="Q2511" s="4" t="s">
        <v>26</v>
      </c>
      <c r="R2511" s="4">
        <v>0</v>
      </c>
      <c r="S2511" s="4" t="s">
        <v>385</v>
      </c>
      <c r="T2511" s="4" t="s">
        <v>622</v>
      </c>
      <c r="U2511" s="4">
        <v>0</v>
      </c>
      <c r="V2511" s="4">
        <v>72</v>
      </c>
      <c r="W2511" s="4">
        <v>78</v>
      </c>
    </row>
    <row r="2512" spans="1:23" ht="11.25" customHeight="1" x14ac:dyDescent="0.25">
      <c r="A2512" s="4" t="s">
        <v>28</v>
      </c>
      <c r="B2512" s="4" t="s">
        <v>41</v>
      </c>
      <c r="C2512" s="4" t="s">
        <v>23</v>
      </c>
      <c r="D2512" s="4" t="s">
        <v>52</v>
      </c>
      <c r="E2512" s="4" t="s">
        <v>53</v>
      </c>
      <c r="F2512" s="4" t="s">
        <v>25</v>
      </c>
      <c r="G2512" s="4" t="s">
        <v>25</v>
      </c>
      <c r="H2512" s="4" t="s">
        <v>25</v>
      </c>
      <c r="I2512" s="5">
        <v>44166</v>
      </c>
      <c r="J2512" s="6">
        <v>0</v>
      </c>
      <c r="K2512" s="6">
        <v>0</v>
      </c>
      <c r="L2512" s="6">
        <v>2063.1239999999998</v>
      </c>
      <c r="M2512" s="6">
        <v>1877.4428399999999</v>
      </c>
      <c r="N2512" s="6">
        <v>2063.1239999999998</v>
      </c>
      <c r="O2512" s="6">
        <v>1877.4428399999999</v>
      </c>
      <c r="P2512" s="6">
        <v>639</v>
      </c>
      <c r="Q2512" s="4" t="s">
        <v>26</v>
      </c>
      <c r="R2512" s="4">
        <v>0</v>
      </c>
      <c r="S2512" s="4" t="s">
        <v>385</v>
      </c>
      <c r="T2512" s="4" t="s">
        <v>622</v>
      </c>
      <c r="U2512" s="4">
        <v>0</v>
      </c>
      <c r="V2512" s="4">
        <v>72</v>
      </c>
      <c r="W2512" s="4">
        <v>78</v>
      </c>
    </row>
    <row r="2513" spans="1:23" ht="11.25" customHeight="1" x14ac:dyDescent="0.25">
      <c r="A2513" s="4" t="s">
        <v>29</v>
      </c>
      <c r="B2513" s="4" t="s">
        <v>41</v>
      </c>
      <c r="C2513" s="4" t="s">
        <v>23</v>
      </c>
      <c r="D2513" s="4" t="s">
        <v>52</v>
      </c>
      <c r="E2513" s="4" t="s">
        <v>53</v>
      </c>
      <c r="F2513" s="4" t="s">
        <v>25</v>
      </c>
      <c r="G2513" s="4" t="s">
        <v>25</v>
      </c>
      <c r="H2513" s="4" t="s">
        <v>25</v>
      </c>
      <c r="I2513" s="5">
        <v>44166</v>
      </c>
      <c r="J2513" s="6">
        <v>0</v>
      </c>
      <c r="K2513" s="6">
        <v>0</v>
      </c>
      <c r="L2513" s="6">
        <v>-36.978999999999999</v>
      </c>
      <c r="M2513" s="6">
        <v>-33.650890000000004</v>
      </c>
      <c r="N2513" s="6">
        <v>-36.978999999999999</v>
      </c>
      <c r="O2513" s="6">
        <v>-33.650890000000004</v>
      </c>
      <c r="P2513" s="6">
        <v>0</v>
      </c>
      <c r="Q2513" s="4" t="s">
        <v>26</v>
      </c>
      <c r="R2513" s="4">
        <v>0</v>
      </c>
      <c r="S2513" s="4" t="s">
        <v>385</v>
      </c>
      <c r="T2513" s="4" t="s">
        <v>622</v>
      </c>
      <c r="U2513" s="4">
        <v>0</v>
      </c>
      <c r="V2513" s="4">
        <v>72</v>
      </c>
      <c r="W2513" s="4">
        <v>78</v>
      </c>
    </row>
    <row r="2514" spans="1:23" ht="11.25" customHeight="1" x14ac:dyDescent="0.25">
      <c r="A2514" s="4" t="s">
        <v>21</v>
      </c>
      <c r="B2514" s="4" t="s">
        <v>41</v>
      </c>
      <c r="C2514" s="4" t="s">
        <v>23</v>
      </c>
      <c r="D2514" s="4" t="s">
        <v>52</v>
      </c>
      <c r="E2514" s="4" t="s">
        <v>53</v>
      </c>
      <c r="F2514" s="4" t="s">
        <v>25</v>
      </c>
      <c r="G2514" s="4" t="s">
        <v>25</v>
      </c>
      <c r="H2514" s="4" t="s">
        <v>25</v>
      </c>
      <c r="I2514" s="5">
        <v>44197</v>
      </c>
      <c r="J2514" s="6">
        <v>0</v>
      </c>
      <c r="K2514" s="6">
        <v>0</v>
      </c>
      <c r="L2514" s="6">
        <v>852.98800000000006</v>
      </c>
      <c r="M2514" s="6">
        <v>776.21908000000008</v>
      </c>
      <c r="N2514" s="6">
        <v>852.98800000000006</v>
      </c>
      <c r="O2514" s="6">
        <v>776.21908000000008</v>
      </c>
      <c r="P2514" s="6">
        <v>207</v>
      </c>
      <c r="Q2514" s="4" t="s">
        <v>26</v>
      </c>
      <c r="R2514" s="4">
        <v>0</v>
      </c>
      <c r="S2514" s="4" t="s">
        <v>386</v>
      </c>
      <c r="T2514" s="4" t="s">
        <v>623</v>
      </c>
      <c r="U2514" s="4">
        <v>0</v>
      </c>
      <c r="V2514" s="4">
        <v>72</v>
      </c>
      <c r="W2514" s="4">
        <v>78</v>
      </c>
    </row>
    <row r="2515" spans="1:23" ht="11.25" customHeight="1" x14ac:dyDescent="0.25">
      <c r="A2515" s="4" t="s">
        <v>27</v>
      </c>
      <c r="B2515" s="4" t="s">
        <v>41</v>
      </c>
      <c r="C2515" s="4" t="s">
        <v>23</v>
      </c>
      <c r="D2515" s="4" t="s">
        <v>52</v>
      </c>
      <c r="E2515" s="4" t="s">
        <v>53</v>
      </c>
      <c r="F2515" s="4" t="s">
        <v>25</v>
      </c>
      <c r="G2515" s="4" t="s">
        <v>25</v>
      </c>
      <c r="H2515" s="4" t="s">
        <v>25</v>
      </c>
      <c r="I2515" s="5">
        <v>44197</v>
      </c>
      <c r="J2515" s="6">
        <v>0</v>
      </c>
      <c r="K2515" s="6">
        <v>0</v>
      </c>
      <c r="L2515" s="6">
        <v>-0.17799999999999999</v>
      </c>
      <c r="M2515" s="6">
        <v>-0.16197999999999999</v>
      </c>
      <c r="N2515" s="6">
        <v>-0.17799999999999999</v>
      </c>
      <c r="O2515" s="6">
        <v>-0.16197999999999999</v>
      </c>
      <c r="P2515" s="6">
        <v>0</v>
      </c>
      <c r="Q2515" s="4" t="s">
        <v>26</v>
      </c>
      <c r="R2515" s="4">
        <v>0</v>
      </c>
      <c r="S2515" s="4" t="s">
        <v>386</v>
      </c>
      <c r="T2515" s="4" t="s">
        <v>623</v>
      </c>
      <c r="U2515" s="4">
        <v>0</v>
      </c>
      <c r="V2515" s="4">
        <v>72</v>
      </c>
      <c r="W2515" s="4">
        <v>78</v>
      </c>
    </row>
    <row r="2516" spans="1:23" ht="11.25" customHeight="1" x14ac:dyDescent="0.25">
      <c r="A2516" s="4" t="s">
        <v>28</v>
      </c>
      <c r="B2516" s="4" t="s">
        <v>41</v>
      </c>
      <c r="C2516" s="4" t="s">
        <v>23</v>
      </c>
      <c r="D2516" s="4" t="s">
        <v>52</v>
      </c>
      <c r="E2516" s="4" t="s">
        <v>53</v>
      </c>
      <c r="F2516" s="4" t="s">
        <v>25</v>
      </c>
      <c r="G2516" s="4" t="s">
        <v>25</v>
      </c>
      <c r="H2516" s="4" t="s">
        <v>25</v>
      </c>
      <c r="I2516" s="5">
        <v>44197</v>
      </c>
      <c r="J2516" s="6">
        <v>0</v>
      </c>
      <c r="K2516" s="6">
        <v>0</v>
      </c>
      <c r="L2516" s="6">
        <v>2048.2930000000001</v>
      </c>
      <c r="M2516" s="6">
        <v>1863.9466300000001</v>
      </c>
      <c r="N2516" s="6">
        <v>2048.2930000000001</v>
      </c>
      <c r="O2516" s="6">
        <v>1863.9466300000001</v>
      </c>
      <c r="P2516" s="6">
        <v>637</v>
      </c>
      <c r="Q2516" s="4" t="s">
        <v>26</v>
      </c>
      <c r="R2516" s="4">
        <v>0</v>
      </c>
      <c r="S2516" s="4" t="s">
        <v>386</v>
      </c>
      <c r="T2516" s="4" t="s">
        <v>623</v>
      </c>
      <c r="U2516" s="4">
        <v>0</v>
      </c>
      <c r="V2516" s="4">
        <v>72</v>
      </c>
      <c r="W2516" s="4">
        <v>78</v>
      </c>
    </row>
    <row r="2517" spans="1:23" ht="11.25" customHeight="1" x14ac:dyDescent="0.25">
      <c r="A2517" s="4" t="s">
        <v>21</v>
      </c>
      <c r="B2517" s="4" t="s">
        <v>41</v>
      </c>
      <c r="C2517" s="4" t="s">
        <v>23</v>
      </c>
      <c r="D2517" s="4" t="s">
        <v>52</v>
      </c>
      <c r="E2517" s="4" t="s">
        <v>53</v>
      </c>
      <c r="F2517" s="4" t="s">
        <v>25</v>
      </c>
      <c r="G2517" s="4" t="s">
        <v>25</v>
      </c>
      <c r="H2517" s="4" t="s">
        <v>25</v>
      </c>
      <c r="I2517" s="5">
        <v>44228</v>
      </c>
      <c r="J2517" s="6">
        <v>0</v>
      </c>
      <c r="K2517" s="6">
        <v>0</v>
      </c>
      <c r="L2517" s="6">
        <v>820.86500000000001</v>
      </c>
      <c r="M2517" s="6">
        <v>746.98715000000004</v>
      </c>
      <c r="N2517" s="6">
        <v>820.86500000000001</v>
      </c>
      <c r="O2517" s="6">
        <v>746.98715000000004</v>
      </c>
      <c r="P2517" s="6">
        <v>208</v>
      </c>
      <c r="Q2517" s="4" t="s">
        <v>26</v>
      </c>
      <c r="R2517" s="4">
        <v>0</v>
      </c>
      <c r="S2517" s="4" t="s">
        <v>387</v>
      </c>
      <c r="T2517" s="4" t="s">
        <v>624</v>
      </c>
      <c r="U2517" s="4">
        <v>0</v>
      </c>
      <c r="V2517" s="4">
        <v>72</v>
      </c>
      <c r="W2517" s="4">
        <v>78</v>
      </c>
    </row>
    <row r="2518" spans="1:23" ht="11.25" customHeight="1" x14ac:dyDescent="0.25">
      <c r="A2518" s="4" t="s">
        <v>27</v>
      </c>
      <c r="B2518" s="4" t="s">
        <v>41</v>
      </c>
      <c r="C2518" s="4" t="s">
        <v>23</v>
      </c>
      <c r="D2518" s="4" t="s">
        <v>52</v>
      </c>
      <c r="E2518" s="4" t="s">
        <v>53</v>
      </c>
      <c r="F2518" s="4" t="s">
        <v>25</v>
      </c>
      <c r="G2518" s="4" t="s">
        <v>25</v>
      </c>
      <c r="H2518" s="4" t="s">
        <v>25</v>
      </c>
      <c r="I2518" s="5">
        <v>44228</v>
      </c>
      <c r="J2518" s="6">
        <v>0</v>
      </c>
      <c r="K2518" s="6">
        <v>0</v>
      </c>
      <c r="L2518" s="6">
        <v>0.25800000000000001</v>
      </c>
      <c r="M2518" s="6">
        <v>0.23478000000000002</v>
      </c>
      <c r="N2518" s="6">
        <v>0.25800000000000001</v>
      </c>
      <c r="O2518" s="6">
        <v>0.23478000000000002</v>
      </c>
      <c r="P2518" s="6">
        <v>0</v>
      </c>
      <c r="Q2518" s="4" t="s">
        <v>26</v>
      </c>
      <c r="R2518" s="4">
        <v>0</v>
      </c>
      <c r="S2518" s="4" t="s">
        <v>387</v>
      </c>
      <c r="T2518" s="4" t="s">
        <v>624</v>
      </c>
      <c r="U2518" s="4">
        <v>0</v>
      </c>
      <c r="V2518" s="4">
        <v>72</v>
      </c>
      <c r="W2518" s="4">
        <v>78</v>
      </c>
    </row>
    <row r="2519" spans="1:23" ht="11.25" customHeight="1" x14ac:dyDescent="0.25">
      <c r="A2519" s="4" t="s">
        <v>28</v>
      </c>
      <c r="B2519" s="4" t="s">
        <v>41</v>
      </c>
      <c r="C2519" s="4" t="s">
        <v>23</v>
      </c>
      <c r="D2519" s="4" t="s">
        <v>52</v>
      </c>
      <c r="E2519" s="4" t="s">
        <v>53</v>
      </c>
      <c r="F2519" s="4" t="s">
        <v>25</v>
      </c>
      <c r="G2519" s="4" t="s">
        <v>25</v>
      </c>
      <c r="H2519" s="4" t="s">
        <v>25</v>
      </c>
      <c r="I2519" s="5">
        <v>44228</v>
      </c>
      <c r="J2519" s="6">
        <v>0</v>
      </c>
      <c r="K2519" s="6">
        <v>0</v>
      </c>
      <c r="L2519" s="6">
        <v>1974.415</v>
      </c>
      <c r="M2519" s="6">
        <v>1796.71765</v>
      </c>
      <c r="N2519" s="6">
        <v>1974.415</v>
      </c>
      <c r="O2519" s="6">
        <v>1796.71765</v>
      </c>
      <c r="P2519" s="6">
        <v>638</v>
      </c>
      <c r="Q2519" s="4" t="s">
        <v>26</v>
      </c>
      <c r="R2519" s="4">
        <v>0</v>
      </c>
      <c r="S2519" s="4" t="s">
        <v>387</v>
      </c>
      <c r="T2519" s="4" t="s">
        <v>624</v>
      </c>
      <c r="U2519" s="4">
        <v>0</v>
      </c>
      <c r="V2519" s="4">
        <v>72</v>
      </c>
      <c r="W2519" s="4">
        <v>78</v>
      </c>
    </row>
    <row r="2520" spans="1:23" ht="11.25" customHeight="1" x14ac:dyDescent="0.25">
      <c r="A2520" s="4" t="s">
        <v>29</v>
      </c>
      <c r="B2520" s="4" t="s">
        <v>41</v>
      </c>
      <c r="C2520" s="4" t="s">
        <v>23</v>
      </c>
      <c r="D2520" s="4" t="s">
        <v>52</v>
      </c>
      <c r="E2520" s="4" t="s">
        <v>53</v>
      </c>
      <c r="F2520" s="4" t="s">
        <v>25</v>
      </c>
      <c r="G2520" s="4" t="s">
        <v>25</v>
      </c>
      <c r="H2520" s="4" t="s">
        <v>25</v>
      </c>
      <c r="I2520" s="5">
        <v>44228</v>
      </c>
      <c r="J2520" s="6">
        <v>0</v>
      </c>
      <c r="K2520" s="6">
        <v>0</v>
      </c>
      <c r="L2520" s="6">
        <v>-19.899999999999999</v>
      </c>
      <c r="M2520" s="6">
        <v>-18.108999999999998</v>
      </c>
      <c r="N2520" s="6">
        <v>-19.899999999999999</v>
      </c>
      <c r="O2520" s="6">
        <v>-18.108999999999998</v>
      </c>
      <c r="P2520" s="6">
        <v>0</v>
      </c>
      <c r="Q2520" s="4" t="s">
        <v>26</v>
      </c>
      <c r="R2520" s="4">
        <v>0</v>
      </c>
      <c r="S2520" s="4" t="s">
        <v>387</v>
      </c>
      <c r="T2520" s="4" t="s">
        <v>624</v>
      </c>
      <c r="U2520" s="4">
        <v>0</v>
      </c>
      <c r="V2520" s="4">
        <v>72</v>
      </c>
      <c r="W2520" s="4">
        <v>78</v>
      </c>
    </row>
    <row r="2521" spans="1:23" ht="11.25" customHeight="1" x14ac:dyDescent="0.25">
      <c r="A2521" s="4" t="s">
        <v>21</v>
      </c>
      <c r="B2521" s="4" t="s">
        <v>41</v>
      </c>
      <c r="C2521" s="4" t="s">
        <v>23</v>
      </c>
      <c r="D2521" s="4" t="s">
        <v>52</v>
      </c>
      <c r="E2521" s="4" t="s">
        <v>53</v>
      </c>
      <c r="F2521" s="4" t="s">
        <v>25</v>
      </c>
      <c r="G2521" s="4" t="s">
        <v>25</v>
      </c>
      <c r="H2521" s="4" t="s">
        <v>25</v>
      </c>
      <c r="I2521" s="5">
        <v>44256</v>
      </c>
      <c r="J2521" s="6">
        <v>0</v>
      </c>
      <c r="K2521" s="6">
        <v>0</v>
      </c>
      <c r="L2521" s="6">
        <v>816.702</v>
      </c>
      <c r="M2521" s="6">
        <v>743.19882000000007</v>
      </c>
      <c r="N2521" s="6">
        <v>816.702</v>
      </c>
      <c r="O2521" s="6">
        <v>743.19882000000007</v>
      </c>
      <c r="P2521" s="6">
        <v>213</v>
      </c>
      <c r="Q2521" s="4" t="s">
        <v>26</v>
      </c>
      <c r="R2521" s="4">
        <v>0</v>
      </c>
      <c r="S2521" s="4" t="s">
        <v>388</v>
      </c>
      <c r="T2521" s="4" t="s">
        <v>625</v>
      </c>
      <c r="U2521" s="4">
        <v>0</v>
      </c>
      <c r="V2521" s="4">
        <v>72</v>
      </c>
      <c r="W2521" s="4">
        <v>78</v>
      </c>
    </row>
    <row r="2522" spans="1:23" ht="11.25" customHeight="1" x14ac:dyDescent="0.25">
      <c r="A2522" s="4" t="s">
        <v>28</v>
      </c>
      <c r="B2522" s="4" t="s">
        <v>41</v>
      </c>
      <c r="C2522" s="4" t="s">
        <v>23</v>
      </c>
      <c r="D2522" s="4" t="s">
        <v>52</v>
      </c>
      <c r="E2522" s="4" t="s">
        <v>53</v>
      </c>
      <c r="F2522" s="4" t="s">
        <v>25</v>
      </c>
      <c r="G2522" s="4" t="s">
        <v>25</v>
      </c>
      <c r="H2522" s="4" t="s">
        <v>25</v>
      </c>
      <c r="I2522" s="5">
        <v>44256</v>
      </c>
      <c r="J2522" s="6">
        <v>0</v>
      </c>
      <c r="K2522" s="6">
        <v>0</v>
      </c>
      <c r="L2522" s="6">
        <v>2085.8470000000002</v>
      </c>
      <c r="M2522" s="6">
        <v>1898.1207700000002</v>
      </c>
      <c r="N2522" s="6">
        <v>2085.8470000000002</v>
      </c>
      <c r="O2522" s="6">
        <v>1898.1207700000002</v>
      </c>
      <c r="P2522" s="6">
        <v>639</v>
      </c>
      <c r="Q2522" s="4" t="s">
        <v>26</v>
      </c>
      <c r="R2522" s="4">
        <v>0</v>
      </c>
      <c r="S2522" s="4" t="s">
        <v>388</v>
      </c>
      <c r="T2522" s="4" t="s">
        <v>625</v>
      </c>
      <c r="U2522" s="4">
        <v>0</v>
      </c>
      <c r="V2522" s="4">
        <v>72</v>
      </c>
      <c r="W2522" s="4">
        <v>78</v>
      </c>
    </row>
    <row r="2523" spans="1:23" ht="11.25" customHeight="1" x14ac:dyDescent="0.25">
      <c r="A2523" s="4" t="s">
        <v>29</v>
      </c>
      <c r="B2523" s="4" t="s">
        <v>41</v>
      </c>
      <c r="C2523" s="4" t="s">
        <v>23</v>
      </c>
      <c r="D2523" s="4" t="s">
        <v>52</v>
      </c>
      <c r="E2523" s="4" t="s">
        <v>53</v>
      </c>
      <c r="F2523" s="4" t="s">
        <v>25</v>
      </c>
      <c r="G2523" s="4" t="s">
        <v>25</v>
      </c>
      <c r="H2523" s="4" t="s">
        <v>25</v>
      </c>
      <c r="I2523" s="5">
        <v>44256</v>
      </c>
      <c r="J2523" s="6">
        <v>0</v>
      </c>
      <c r="K2523" s="6">
        <v>0</v>
      </c>
      <c r="L2523" s="6">
        <v>-36.567999999999998</v>
      </c>
      <c r="M2523" s="6">
        <v>-33.276879999999998</v>
      </c>
      <c r="N2523" s="6">
        <v>-36.567999999999998</v>
      </c>
      <c r="O2523" s="6">
        <v>-33.276879999999998</v>
      </c>
      <c r="P2523" s="6">
        <v>0</v>
      </c>
      <c r="Q2523" s="4" t="s">
        <v>26</v>
      </c>
      <c r="R2523" s="4">
        <v>0</v>
      </c>
      <c r="S2523" s="4" t="s">
        <v>388</v>
      </c>
      <c r="T2523" s="4" t="s">
        <v>625</v>
      </c>
      <c r="U2523" s="4">
        <v>0</v>
      </c>
      <c r="V2523" s="4">
        <v>72</v>
      </c>
      <c r="W2523" s="4">
        <v>78</v>
      </c>
    </row>
    <row r="2524" spans="1:23" ht="11.25" customHeight="1" x14ac:dyDescent="0.25">
      <c r="A2524" s="4" t="s">
        <v>21</v>
      </c>
      <c r="B2524" s="4" t="s">
        <v>41</v>
      </c>
      <c r="C2524" s="4" t="s">
        <v>23</v>
      </c>
      <c r="D2524" s="4" t="s">
        <v>52</v>
      </c>
      <c r="E2524" s="4" t="s">
        <v>53</v>
      </c>
      <c r="F2524" s="4" t="s">
        <v>25</v>
      </c>
      <c r="G2524" s="4" t="s">
        <v>25</v>
      </c>
      <c r="H2524" s="4" t="s">
        <v>25</v>
      </c>
      <c r="I2524" s="5">
        <v>44287</v>
      </c>
      <c r="J2524" s="6">
        <v>0</v>
      </c>
      <c r="K2524" s="6">
        <v>0</v>
      </c>
      <c r="L2524" s="6">
        <v>862.18600000000004</v>
      </c>
      <c r="M2524" s="6">
        <v>784.58926000000008</v>
      </c>
      <c r="N2524" s="6">
        <v>862.18600000000004</v>
      </c>
      <c r="O2524" s="6">
        <v>784.58926000000008</v>
      </c>
      <c r="P2524" s="6">
        <v>226</v>
      </c>
      <c r="Q2524" s="4" t="s">
        <v>26</v>
      </c>
      <c r="R2524" s="4">
        <v>0</v>
      </c>
      <c r="S2524" s="4" t="s">
        <v>389</v>
      </c>
      <c r="T2524" s="4" t="s">
        <v>626</v>
      </c>
      <c r="U2524" s="4">
        <v>0</v>
      </c>
      <c r="V2524" s="4">
        <v>72</v>
      </c>
      <c r="W2524" s="4">
        <v>78</v>
      </c>
    </row>
    <row r="2525" spans="1:23" ht="11.25" customHeight="1" x14ac:dyDescent="0.25">
      <c r="A2525" s="4" t="s">
        <v>27</v>
      </c>
      <c r="B2525" s="4" t="s">
        <v>41</v>
      </c>
      <c r="C2525" s="4" t="s">
        <v>23</v>
      </c>
      <c r="D2525" s="4" t="s">
        <v>52</v>
      </c>
      <c r="E2525" s="4" t="s">
        <v>53</v>
      </c>
      <c r="F2525" s="4" t="s">
        <v>25</v>
      </c>
      <c r="G2525" s="4" t="s">
        <v>25</v>
      </c>
      <c r="H2525" s="4" t="s">
        <v>25</v>
      </c>
      <c r="I2525" s="5">
        <v>44287</v>
      </c>
      <c r="J2525" s="6">
        <v>0</v>
      </c>
      <c r="K2525" s="6">
        <v>0</v>
      </c>
      <c r="L2525" s="6">
        <v>-0.1</v>
      </c>
      <c r="M2525" s="6">
        <v>-9.1000000000000011E-2</v>
      </c>
      <c r="N2525" s="6">
        <v>-0.1</v>
      </c>
      <c r="O2525" s="6">
        <v>-9.1000000000000011E-2</v>
      </c>
      <c r="P2525" s="6">
        <v>0</v>
      </c>
      <c r="Q2525" s="4" t="s">
        <v>26</v>
      </c>
      <c r="R2525" s="4">
        <v>0</v>
      </c>
      <c r="S2525" s="4" t="s">
        <v>389</v>
      </c>
      <c r="T2525" s="4" t="s">
        <v>626</v>
      </c>
      <c r="U2525" s="4">
        <v>0</v>
      </c>
      <c r="V2525" s="4">
        <v>72</v>
      </c>
      <c r="W2525" s="4">
        <v>78</v>
      </c>
    </row>
    <row r="2526" spans="1:23" ht="11.25" customHeight="1" x14ac:dyDescent="0.25">
      <c r="A2526" s="4" t="s">
        <v>28</v>
      </c>
      <c r="B2526" s="4" t="s">
        <v>41</v>
      </c>
      <c r="C2526" s="4" t="s">
        <v>23</v>
      </c>
      <c r="D2526" s="4" t="s">
        <v>52</v>
      </c>
      <c r="E2526" s="4" t="s">
        <v>53</v>
      </c>
      <c r="F2526" s="4" t="s">
        <v>25</v>
      </c>
      <c r="G2526" s="4" t="s">
        <v>25</v>
      </c>
      <c r="H2526" s="4" t="s">
        <v>25</v>
      </c>
      <c r="I2526" s="5">
        <v>44287</v>
      </c>
      <c r="J2526" s="6">
        <v>0</v>
      </c>
      <c r="K2526" s="6">
        <v>0</v>
      </c>
      <c r="L2526" s="6">
        <v>2482.41</v>
      </c>
      <c r="M2526" s="6">
        <v>2258.9931000000001</v>
      </c>
      <c r="N2526" s="6">
        <v>2482.41</v>
      </c>
      <c r="O2526" s="6">
        <v>2258.9931000000001</v>
      </c>
      <c r="P2526" s="6">
        <v>955</v>
      </c>
      <c r="Q2526" s="4" t="s">
        <v>26</v>
      </c>
      <c r="R2526" s="4">
        <v>0</v>
      </c>
      <c r="S2526" s="4" t="s">
        <v>389</v>
      </c>
      <c r="T2526" s="4" t="s">
        <v>626</v>
      </c>
      <c r="U2526" s="4">
        <v>0</v>
      </c>
      <c r="V2526" s="4">
        <v>72</v>
      </c>
      <c r="W2526" s="4">
        <v>78</v>
      </c>
    </row>
    <row r="2527" spans="1:23" ht="11.25" customHeight="1" x14ac:dyDescent="0.25">
      <c r="A2527" s="4" t="s">
        <v>29</v>
      </c>
      <c r="B2527" s="4" t="s">
        <v>41</v>
      </c>
      <c r="C2527" s="4" t="s">
        <v>23</v>
      </c>
      <c r="D2527" s="4" t="s">
        <v>52</v>
      </c>
      <c r="E2527" s="4" t="s">
        <v>53</v>
      </c>
      <c r="F2527" s="4" t="s">
        <v>25</v>
      </c>
      <c r="G2527" s="4" t="s">
        <v>25</v>
      </c>
      <c r="H2527" s="4" t="s">
        <v>25</v>
      </c>
      <c r="I2527" s="5">
        <v>44287</v>
      </c>
      <c r="J2527" s="6">
        <v>0</v>
      </c>
      <c r="K2527" s="6">
        <v>0</v>
      </c>
      <c r="L2527" s="6">
        <v>-20.713000000000001</v>
      </c>
      <c r="M2527" s="6">
        <v>-18.848830000000003</v>
      </c>
      <c r="N2527" s="6">
        <v>-20.713000000000001</v>
      </c>
      <c r="O2527" s="6">
        <v>-18.848830000000003</v>
      </c>
      <c r="P2527" s="6">
        <v>0</v>
      </c>
      <c r="Q2527" s="4" t="s">
        <v>26</v>
      </c>
      <c r="R2527" s="4">
        <v>0</v>
      </c>
      <c r="S2527" s="4" t="s">
        <v>389</v>
      </c>
      <c r="T2527" s="4" t="s">
        <v>626</v>
      </c>
      <c r="U2527" s="4">
        <v>0</v>
      </c>
      <c r="V2527" s="4">
        <v>72</v>
      </c>
      <c r="W2527" s="4">
        <v>78</v>
      </c>
    </row>
    <row r="2528" spans="1:23" ht="11.25" customHeight="1" x14ac:dyDescent="0.25">
      <c r="A2528" s="4" t="s">
        <v>21</v>
      </c>
      <c r="B2528" s="4" t="s">
        <v>41</v>
      </c>
      <c r="C2528" s="4" t="s">
        <v>23</v>
      </c>
      <c r="D2528" s="4" t="s">
        <v>52</v>
      </c>
      <c r="E2528" s="4" t="s">
        <v>53</v>
      </c>
      <c r="F2528" s="4" t="s">
        <v>25</v>
      </c>
      <c r="G2528" s="4" t="s">
        <v>25</v>
      </c>
      <c r="H2528" s="4" t="s">
        <v>25</v>
      </c>
      <c r="I2528" s="5">
        <v>44317</v>
      </c>
      <c r="J2528" s="6">
        <v>0</v>
      </c>
      <c r="K2528" s="6">
        <v>0</v>
      </c>
      <c r="L2528" s="6">
        <v>886.2</v>
      </c>
      <c r="M2528" s="6">
        <v>806.44200000000001</v>
      </c>
      <c r="N2528" s="6">
        <v>886.2</v>
      </c>
      <c r="O2528" s="6">
        <v>806.44200000000001</v>
      </c>
      <c r="P2528" s="6">
        <v>235</v>
      </c>
      <c r="Q2528" s="4" t="s">
        <v>26</v>
      </c>
      <c r="R2528" s="4">
        <v>0</v>
      </c>
      <c r="S2528" s="4" t="s">
        <v>390</v>
      </c>
      <c r="T2528" s="4" t="s">
        <v>627</v>
      </c>
      <c r="U2528" s="4">
        <v>0</v>
      </c>
      <c r="V2528" s="4">
        <v>72</v>
      </c>
      <c r="W2528" s="4">
        <v>78</v>
      </c>
    </row>
    <row r="2529" spans="1:23" ht="11.25" customHeight="1" x14ac:dyDescent="0.25">
      <c r="A2529" s="4" t="s">
        <v>28</v>
      </c>
      <c r="B2529" s="4" t="s">
        <v>41</v>
      </c>
      <c r="C2529" s="4" t="s">
        <v>23</v>
      </c>
      <c r="D2529" s="4" t="s">
        <v>52</v>
      </c>
      <c r="E2529" s="4" t="s">
        <v>53</v>
      </c>
      <c r="F2529" s="4" t="s">
        <v>25</v>
      </c>
      <c r="G2529" s="4" t="s">
        <v>25</v>
      </c>
      <c r="H2529" s="4" t="s">
        <v>25</v>
      </c>
      <c r="I2529" s="5">
        <v>44317</v>
      </c>
      <c r="J2529" s="6">
        <v>0</v>
      </c>
      <c r="K2529" s="6">
        <v>0</v>
      </c>
      <c r="L2529" s="6">
        <v>2832.8850000000002</v>
      </c>
      <c r="M2529" s="6">
        <v>2577.92535</v>
      </c>
      <c r="N2529" s="6">
        <v>2832.8850000000002</v>
      </c>
      <c r="O2529" s="6">
        <v>2577.92535</v>
      </c>
      <c r="P2529" s="6">
        <v>1296</v>
      </c>
      <c r="Q2529" s="4" t="s">
        <v>26</v>
      </c>
      <c r="R2529" s="4">
        <v>0</v>
      </c>
      <c r="S2529" s="4" t="s">
        <v>390</v>
      </c>
      <c r="T2529" s="4" t="s">
        <v>627</v>
      </c>
      <c r="U2529" s="4">
        <v>0</v>
      </c>
      <c r="V2529" s="4">
        <v>72</v>
      </c>
      <c r="W2529" s="4">
        <v>78</v>
      </c>
    </row>
    <row r="2530" spans="1:23" ht="11.25" customHeight="1" x14ac:dyDescent="0.25">
      <c r="A2530" s="4" t="s">
        <v>29</v>
      </c>
      <c r="B2530" s="4" t="s">
        <v>41</v>
      </c>
      <c r="C2530" s="4" t="s">
        <v>23</v>
      </c>
      <c r="D2530" s="4" t="s">
        <v>52</v>
      </c>
      <c r="E2530" s="4" t="s">
        <v>53</v>
      </c>
      <c r="F2530" s="4" t="s">
        <v>25</v>
      </c>
      <c r="G2530" s="4" t="s">
        <v>25</v>
      </c>
      <c r="H2530" s="4" t="s">
        <v>25</v>
      </c>
      <c r="I2530" s="5">
        <v>44317</v>
      </c>
      <c r="J2530" s="6">
        <v>0</v>
      </c>
      <c r="K2530" s="6">
        <v>0</v>
      </c>
      <c r="L2530" s="6">
        <v>36.384</v>
      </c>
      <c r="M2530" s="6">
        <v>33.109439999999999</v>
      </c>
      <c r="N2530" s="6">
        <v>36.384</v>
      </c>
      <c r="O2530" s="6">
        <v>33.109439999999999</v>
      </c>
      <c r="P2530" s="6">
        <v>0</v>
      </c>
      <c r="Q2530" s="4" t="s">
        <v>26</v>
      </c>
      <c r="R2530" s="4">
        <v>0</v>
      </c>
      <c r="S2530" s="4" t="s">
        <v>390</v>
      </c>
      <c r="T2530" s="4" t="s">
        <v>627</v>
      </c>
      <c r="U2530" s="4">
        <v>0</v>
      </c>
      <c r="V2530" s="4">
        <v>72</v>
      </c>
      <c r="W2530" s="4">
        <v>78</v>
      </c>
    </row>
    <row r="2531" spans="1:23" ht="11.25" customHeight="1" x14ac:dyDescent="0.25">
      <c r="A2531" s="4" t="s">
        <v>21</v>
      </c>
      <c r="B2531" s="4" t="s">
        <v>41</v>
      </c>
      <c r="C2531" s="4" t="s">
        <v>23</v>
      </c>
      <c r="D2531" s="4" t="s">
        <v>52</v>
      </c>
      <c r="E2531" s="4" t="s">
        <v>53</v>
      </c>
      <c r="F2531" s="4" t="s">
        <v>25</v>
      </c>
      <c r="G2531" s="4" t="s">
        <v>25</v>
      </c>
      <c r="H2531" s="4" t="s">
        <v>25</v>
      </c>
      <c r="I2531" s="5">
        <v>44348</v>
      </c>
      <c r="J2531" s="6">
        <v>0</v>
      </c>
      <c r="K2531" s="6">
        <v>0</v>
      </c>
      <c r="L2531" s="6">
        <v>983.73</v>
      </c>
      <c r="M2531" s="6">
        <v>895.1943</v>
      </c>
      <c r="N2531" s="6">
        <v>983.73</v>
      </c>
      <c r="O2531" s="6">
        <v>895.1943</v>
      </c>
      <c r="P2531" s="6">
        <v>238</v>
      </c>
      <c r="Q2531" s="4" t="s">
        <v>26</v>
      </c>
      <c r="R2531" s="4">
        <v>0</v>
      </c>
      <c r="S2531" s="4" t="s">
        <v>391</v>
      </c>
      <c r="T2531" s="4" t="s">
        <v>628</v>
      </c>
      <c r="U2531" s="4">
        <v>0</v>
      </c>
      <c r="V2531" s="4">
        <v>72</v>
      </c>
      <c r="W2531" s="4">
        <v>78</v>
      </c>
    </row>
    <row r="2532" spans="1:23" ht="11.25" customHeight="1" x14ac:dyDescent="0.25">
      <c r="A2532" s="4" t="s">
        <v>28</v>
      </c>
      <c r="B2532" s="4" t="s">
        <v>41</v>
      </c>
      <c r="C2532" s="4" t="s">
        <v>23</v>
      </c>
      <c r="D2532" s="4" t="s">
        <v>52</v>
      </c>
      <c r="E2532" s="4" t="s">
        <v>53</v>
      </c>
      <c r="F2532" s="4" t="s">
        <v>25</v>
      </c>
      <c r="G2532" s="4" t="s">
        <v>25</v>
      </c>
      <c r="H2532" s="4" t="s">
        <v>25</v>
      </c>
      <c r="I2532" s="5">
        <v>44348</v>
      </c>
      <c r="J2532" s="6">
        <v>0</v>
      </c>
      <c r="K2532" s="6">
        <v>0</v>
      </c>
      <c r="L2532" s="6">
        <v>3058.877</v>
      </c>
      <c r="M2532" s="6">
        <v>2783.57807</v>
      </c>
      <c r="N2532" s="6">
        <v>3058.877</v>
      </c>
      <c r="O2532" s="6">
        <v>2783.57807</v>
      </c>
      <c r="P2532" s="6">
        <v>1313</v>
      </c>
      <c r="Q2532" s="4" t="s">
        <v>26</v>
      </c>
      <c r="R2532" s="4">
        <v>0</v>
      </c>
      <c r="S2532" s="4" t="s">
        <v>391</v>
      </c>
      <c r="T2532" s="4" t="s">
        <v>628</v>
      </c>
      <c r="U2532" s="4">
        <v>0</v>
      </c>
      <c r="V2532" s="4">
        <v>72</v>
      </c>
      <c r="W2532" s="4">
        <v>78</v>
      </c>
    </row>
    <row r="2533" spans="1:23" ht="11.25" customHeight="1" x14ac:dyDescent="0.25">
      <c r="A2533" s="4" t="s">
        <v>29</v>
      </c>
      <c r="B2533" s="4" t="s">
        <v>41</v>
      </c>
      <c r="C2533" s="4" t="s">
        <v>23</v>
      </c>
      <c r="D2533" s="4" t="s">
        <v>52</v>
      </c>
      <c r="E2533" s="4" t="s">
        <v>53</v>
      </c>
      <c r="F2533" s="4" t="s">
        <v>25</v>
      </c>
      <c r="G2533" s="4" t="s">
        <v>25</v>
      </c>
      <c r="H2533" s="4" t="s">
        <v>25</v>
      </c>
      <c r="I2533" s="5">
        <v>44348</v>
      </c>
      <c r="J2533" s="6">
        <v>0</v>
      </c>
      <c r="K2533" s="6">
        <v>0</v>
      </c>
      <c r="L2533" s="6">
        <v>29.552</v>
      </c>
      <c r="M2533" s="6">
        <v>26.892320000000002</v>
      </c>
      <c r="N2533" s="6">
        <v>29.552</v>
      </c>
      <c r="O2533" s="6">
        <v>26.892320000000002</v>
      </c>
      <c r="P2533" s="6">
        <v>0</v>
      </c>
      <c r="Q2533" s="4" t="s">
        <v>26</v>
      </c>
      <c r="R2533" s="4">
        <v>0</v>
      </c>
      <c r="S2533" s="4" t="s">
        <v>391</v>
      </c>
      <c r="T2533" s="4" t="s">
        <v>628</v>
      </c>
      <c r="U2533" s="4">
        <v>0</v>
      </c>
      <c r="V2533" s="4">
        <v>72</v>
      </c>
      <c r="W2533" s="4">
        <v>78</v>
      </c>
    </row>
    <row r="2534" spans="1:23" ht="11.25" customHeight="1" x14ac:dyDescent="0.25">
      <c r="A2534" s="4" t="s">
        <v>21</v>
      </c>
      <c r="B2534" s="4" t="s">
        <v>41</v>
      </c>
      <c r="C2534" s="4" t="s">
        <v>23</v>
      </c>
      <c r="D2534" s="4" t="s">
        <v>52</v>
      </c>
      <c r="E2534" s="4" t="s">
        <v>53</v>
      </c>
      <c r="F2534" s="4" t="s">
        <v>25</v>
      </c>
      <c r="G2534" s="4" t="s">
        <v>25</v>
      </c>
      <c r="H2534" s="4" t="s">
        <v>25</v>
      </c>
      <c r="I2534" s="5">
        <v>44378</v>
      </c>
      <c r="J2534" s="6">
        <v>0</v>
      </c>
      <c r="K2534" s="6">
        <v>0</v>
      </c>
      <c r="L2534" s="6">
        <v>924.31700000000001</v>
      </c>
      <c r="M2534" s="6">
        <v>841.12846999999999</v>
      </c>
      <c r="N2534" s="6">
        <v>924.31700000000001</v>
      </c>
      <c r="O2534" s="6">
        <v>841.12846999999999</v>
      </c>
      <c r="P2534" s="6">
        <v>238</v>
      </c>
      <c r="Q2534" s="4" t="s">
        <v>26</v>
      </c>
      <c r="R2534" s="4">
        <v>0</v>
      </c>
      <c r="S2534" s="4" t="s">
        <v>392</v>
      </c>
      <c r="T2534" s="4" t="s">
        <v>629</v>
      </c>
      <c r="U2534" s="4">
        <v>0</v>
      </c>
      <c r="V2534" s="4">
        <v>72</v>
      </c>
      <c r="W2534" s="4">
        <v>78</v>
      </c>
    </row>
    <row r="2535" spans="1:23" ht="11.25" customHeight="1" x14ac:dyDescent="0.25">
      <c r="A2535" s="4" t="s">
        <v>28</v>
      </c>
      <c r="B2535" s="4" t="s">
        <v>41</v>
      </c>
      <c r="C2535" s="4" t="s">
        <v>23</v>
      </c>
      <c r="D2535" s="4" t="s">
        <v>52</v>
      </c>
      <c r="E2535" s="4" t="s">
        <v>53</v>
      </c>
      <c r="F2535" s="4" t="s">
        <v>25</v>
      </c>
      <c r="G2535" s="4" t="s">
        <v>25</v>
      </c>
      <c r="H2535" s="4" t="s">
        <v>25</v>
      </c>
      <c r="I2535" s="5">
        <v>44378</v>
      </c>
      <c r="J2535" s="6">
        <v>0</v>
      </c>
      <c r="K2535" s="6">
        <v>0</v>
      </c>
      <c r="L2535" s="6">
        <v>3026.7339999999999</v>
      </c>
      <c r="M2535" s="6">
        <v>2754.3279400000001</v>
      </c>
      <c r="N2535" s="6">
        <v>3026.7339999999999</v>
      </c>
      <c r="O2535" s="6">
        <v>2754.3279400000001</v>
      </c>
      <c r="P2535" s="6">
        <v>1326</v>
      </c>
      <c r="Q2535" s="4" t="s">
        <v>26</v>
      </c>
      <c r="R2535" s="4">
        <v>0</v>
      </c>
      <c r="S2535" s="4" t="s">
        <v>392</v>
      </c>
      <c r="T2535" s="4" t="s">
        <v>629</v>
      </c>
      <c r="U2535" s="4">
        <v>0</v>
      </c>
      <c r="V2535" s="4">
        <v>72</v>
      </c>
      <c r="W2535" s="4">
        <v>78</v>
      </c>
    </row>
    <row r="2536" spans="1:23" ht="11.25" customHeight="1" x14ac:dyDescent="0.25">
      <c r="A2536" s="4" t="s">
        <v>29</v>
      </c>
      <c r="B2536" s="4" t="s">
        <v>41</v>
      </c>
      <c r="C2536" s="4" t="s">
        <v>23</v>
      </c>
      <c r="D2536" s="4" t="s">
        <v>52</v>
      </c>
      <c r="E2536" s="4" t="s">
        <v>53</v>
      </c>
      <c r="F2536" s="4" t="s">
        <v>25</v>
      </c>
      <c r="G2536" s="4" t="s">
        <v>25</v>
      </c>
      <c r="H2536" s="4" t="s">
        <v>25</v>
      </c>
      <c r="I2536" s="5">
        <v>44378</v>
      </c>
      <c r="J2536" s="6">
        <v>0</v>
      </c>
      <c r="K2536" s="6">
        <v>0</v>
      </c>
      <c r="L2536" s="6">
        <v>-5.4509999999999996</v>
      </c>
      <c r="M2536" s="6">
        <v>-4.9604100000000004</v>
      </c>
      <c r="N2536" s="6">
        <v>-5.4509999999999996</v>
      </c>
      <c r="O2536" s="6">
        <v>-4.9604100000000004</v>
      </c>
      <c r="P2536" s="6">
        <v>0</v>
      </c>
      <c r="Q2536" s="4" t="s">
        <v>26</v>
      </c>
      <c r="R2536" s="4">
        <v>0</v>
      </c>
      <c r="S2536" s="4" t="s">
        <v>392</v>
      </c>
      <c r="T2536" s="4" t="s">
        <v>629</v>
      </c>
      <c r="U2536" s="4">
        <v>0</v>
      </c>
      <c r="V2536" s="4">
        <v>72</v>
      </c>
      <c r="W2536" s="4">
        <v>78</v>
      </c>
    </row>
    <row r="2537" spans="1:23" ht="11.25" customHeight="1" x14ac:dyDescent="0.25">
      <c r="A2537" s="4" t="s">
        <v>21</v>
      </c>
      <c r="B2537" s="4" t="s">
        <v>41</v>
      </c>
      <c r="C2537" s="4" t="s">
        <v>23</v>
      </c>
      <c r="D2537" s="4" t="s">
        <v>52</v>
      </c>
      <c r="E2537" s="4" t="s">
        <v>53</v>
      </c>
      <c r="F2537" s="4" t="s">
        <v>25</v>
      </c>
      <c r="G2537" s="4" t="s">
        <v>25</v>
      </c>
      <c r="H2537" s="4" t="s">
        <v>25</v>
      </c>
      <c r="I2537" s="5">
        <v>44409</v>
      </c>
      <c r="J2537" s="6">
        <v>0</v>
      </c>
      <c r="K2537" s="6">
        <v>0</v>
      </c>
      <c r="L2537" s="6">
        <v>972.60799999999995</v>
      </c>
      <c r="M2537" s="6">
        <v>885.07327999999995</v>
      </c>
      <c r="N2537" s="6">
        <v>972.60799999999995</v>
      </c>
      <c r="O2537" s="6">
        <v>885.07327999999995</v>
      </c>
      <c r="P2537" s="6">
        <v>245</v>
      </c>
      <c r="Q2537" s="4" t="s">
        <v>26</v>
      </c>
      <c r="R2537" s="4">
        <v>0</v>
      </c>
      <c r="S2537" s="4" t="s">
        <v>393</v>
      </c>
      <c r="T2537" s="4" t="s">
        <v>630</v>
      </c>
      <c r="U2537" s="4">
        <v>0</v>
      </c>
      <c r="V2537" s="4">
        <v>72</v>
      </c>
      <c r="W2537" s="4">
        <v>78</v>
      </c>
    </row>
    <row r="2538" spans="1:23" ht="11.25" customHeight="1" x14ac:dyDescent="0.25">
      <c r="A2538" s="4" t="s">
        <v>27</v>
      </c>
      <c r="B2538" s="4" t="s">
        <v>41</v>
      </c>
      <c r="C2538" s="4" t="s">
        <v>23</v>
      </c>
      <c r="D2538" s="4" t="s">
        <v>52</v>
      </c>
      <c r="E2538" s="4" t="s">
        <v>53</v>
      </c>
      <c r="F2538" s="4" t="s">
        <v>25</v>
      </c>
      <c r="G2538" s="4" t="s">
        <v>25</v>
      </c>
      <c r="H2538" s="4" t="s">
        <v>25</v>
      </c>
      <c r="I2538" s="5">
        <v>44409</v>
      </c>
      <c r="J2538" s="6">
        <v>0</v>
      </c>
      <c r="K2538" s="6">
        <v>0</v>
      </c>
      <c r="L2538" s="6">
        <v>13.105</v>
      </c>
      <c r="M2538" s="6">
        <v>11.925549999999999</v>
      </c>
      <c r="N2538" s="6">
        <v>13.105</v>
      </c>
      <c r="O2538" s="6">
        <v>11.925549999999999</v>
      </c>
      <c r="P2538" s="6">
        <v>0</v>
      </c>
      <c r="Q2538" s="4" t="s">
        <v>26</v>
      </c>
      <c r="R2538" s="4">
        <v>0</v>
      </c>
      <c r="S2538" s="4" t="s">
        <v>393</v>
      </c>
      <c r="T2538" s="4" t="s">
        <v>630</v>
      </c>
      <c r="U2538" s="4">
        <v>0</v>
      </c>
      <c r="V2538" s="4">
        <v>72</v>
      </c>
      <c r="W2538" s="4">
        <v>78</v>
      </c>
    </row>
    <row r="2539" spans="1:23" ht="11.25" customHeight="1" x14ac:dyDescent="0.25">
      <c r="A2539" s="4" t="s">
        <v>28</v>
      </c>
      <c r="B2539" s="4" t="s">
        <v>41</v>
      </c>
      <c r="C2539" s="4" t="s">
        <v>23</v>
      </c>
      <c r="D2539" s="4" t="s">
        <v>52</v>
      </c>
      <c r="E2539" s="4" t="s">
        <v>53</v>
      </c>
      <c r="F2539" s="4" t="s">
        <v>25</v>
      </c>
      <c r="G2539" s="4" t="s">
        <v>25</v>
      </c>
      <c r="H2539" s="4" t="s">
        <v>25</v>
      </c>
      <c r="I2539" s="5">
        <v>44409</v>
      </c>
      <c r="J2539" s="6">
        <v>0</v>
      </c>
      <c r="K2539" s="6">
        <v>0</v>
      </c>
      <c r="L2539" s="6">
        <v>3053.116</v>
      </c>
      <c r="M2539" s="6">
        <v>2778.33556</v>
      </c>
      <c r="N2539" s="6">
        <v>3053.116</v>
      </c>
      <c r="O2539" s="6">
        <v>2778.33556</v>
      </c>
      <c r="P2539" s="6">
        <v>1327</v>
      </c>
      <c r="Q2539" s="4" t="s">
        <v>26</v>
      </c>
      <c r="R2539" s="4">
        <v>0</v>
      </c>
      <c r="S2539" s="4" t="s">
        <v>393</v>
      </c>
      <c r="T2539" s="4" t="s">
        <v>630</v>
      </c>
      <c r="U2539" s="4">
        <v>0</v>
      </c>
      <c r="V2539" s="4">
        <v>72</v>
      </c>
      <c r="W2539" s="4">
        <v>78</v>
      </c>
    </row>
    <row r="2540" spans="1:23" ht="11.25" customHeight="1" x14ac:dyDescent="0.25">
      <c r="A2540" s="4" t="s">
        <v>29</v>
      </c>
      <c r="B2540" s="4" t="s">
        <v>41</v>
      </c>
      <c r="C2540" s="4" t="s">
        <v>23</v>
      </c>
      <c r="D2540" s="4" t="s">
        <v>52</v>
      </c>
      <c r="E2540" s="4" t="s">
        <v>53</v>
      </c>
      <c r="F2540" s="4" t="s">
        <v>25</v>
      </c>
      <c r="G2540" s="4" t="s">
        <v>25</v>
      </c>
      <c r="H2540" s="4" t="s">
        <v>25</v>
      </c>
      <c r="I2540" s="5">
        <v>44409</v>
      </c>
      <c r="J2540" s="6">
        <v>0</v>
      </c>
      <c r="K2540" s="6">
        <v>0</v>
      </c>
      <c r="L2540" s="6">
        <v>22.221</v>
      </c>
      <c r="M2540" s="6">
        <v>20.221109999999999</v>
      </c>
      <c r="N2540" s="6">
        <v>22.221</v>
      </c>
      <c r="O2540" s="6">
        <v>20.221109999999999</v>
      </c>
      <c r="P2540" s="6">
        <v>0</v>
      </c>
      <c r="Q2540" s="4" t="s">
        <v>26</v>
      </c>
      <c r="R2540" s="4">
        <v>0</v>
      </c>
      <c r="S2540" s="4" t="s">
        <v>393</v>
      </c>
      <c r="T2540" s="4" t="s">
        <v>630</v>
      </c>
      <c r="U2540" s="4">
        <v>0</v>
      </c>
      <c r="V2540" s="4">
        <v>72</v>
      </c>
      <c r="W2540" s="4">
        <v>78</v>
      </c>
    </row>
    <row r="2541" spans="1:23" ht="11.25" customHeight="1" x14ac:dyDescent="0.25">
      <c r="A2541" s="4" t="s">
        <v>21</v>
      </c>
      <c r="B2541" s="4" t="s">
        <v>41</v>
      </c>
      <c r="C2541" s="4" t="s">
        <v>23</v>
      </c>
      <c r="D2541" s="4" t="s">
        <v>52</v>
      </c>
      <c r="E2541" s="4" t="s">
        <v>53</v>
      </c>
      <c r="F2541" s="4" t="s">
        <v>25</v>
      </c>
      <c r="G2541" s="4" t="s">
        <v>25</v>
      </c>
      <c r="H2541" s="4" t="s">
        <v>25</v>
      </c>
      <c r="I2541" s="5">
        <v>44440</v>
      </c>
      <c r="J2541" s="6">
        <v>0</v>
      </c>
      <c r="K2541" s="6">
        <v>0</v>
      </c>
      <c r="L2541" s="6">
        <v>886.77099999999996</v>
      </c>
      <c r="M2541" s="6">
        <v>806.96160999999995</v>
      </c>
      <c r="N2541" s="6">
        <v>886.77099999999996</v>
      </c>
      <c r="O2541" s="6">
        <v>806.96160999999995</v>
      </c>
      <c r="P2541" s="6">
        <v>241</v>
      </c>
      <c r="Q2541" s="4" t="s">
        <v>26</v>
      </c>
      <c r="R2541" s="4">
        <v>0</v>
      </c>
      <c r="S2541" s="4" t="s">
        <v>394</v>
      </c>
      <c r="T2541" s="4" t="s">
        <v>631</v>
      </c>
      <c r="U2541" s="4">
        <v>0</v>
      </c>
      <c r="V2541" s="4">
        <v>72</v>
      </c>
      <c r="W2541" s="4">
        <v>78</v>
      </c>
    </row>
    <row r="2542" spans="1:23" ht="11.25" customHeight="1" x14ac:dyDescent="0.25">
      <c r="A2542" s="4" t="s">
        <v>27</v>
      </c>
      <c r="B2542" s="4" t="s">
        <v>41</v>
      </c>
      <c r="C2542" s="4" t="s">
        <v>23</v>
      </c>
      <c r="D2542" s="4" t="s">
        <v>52</v>
      </c>
      <c r="E2542" s="4" t="s">
        <v>53</v>
      </c>
      <c r="F2542" s="4" t="s">
        <v>25</v>
      </c>
      <c r="G2542" s="4" t="s">
        <v>25</v>
      </c>
      <c r="H2542" s="4" t="s">
        <v>25</v>
      </c>
      <c r="I2542" s="5">
        <v>44440</v>
      </c>
      <c r="J2542" s="6">
        <v>0</v>
      </c>
      <c r="K2542" s="6">
        <v>0</v>
      </c>
      <c r="L2542" s="6">
        <v>-768.45</v>
      </c>
      <c r="M2542" s="6">
        <v>-699.28949999999998</v>
      </c>
      <c r="N2542" s="6">
        <v>-768.45</v>
      </c>
      <c r="O2542" s="6">
        <v>-699.28949999999998</v>
      </c>
      <c r="P2542" s="6">
        <v>0</v>
      </c>
      <c r="Q2542" s="4" t="s">
        <v>26</v>
      </c>
      <c r="R2542" s="4">
        <v>0</v>
      </c>
      <c r="S2542" s="4" t="s">
        <v>394</v>
      </c>
      <c r="T2542" s="4" t="s">
        <v>631</v>
      </c>
      <c r="U2542" s="4">
        <v>0</v>
      </c>
      <c r="V2542" s="4">
        <v>72</v>
      </c>
      <c r="W2542" s="4">
        <v>78</v>
      </c>
    </row>
    <row r="2543" spans="1:23" ht="11.25" customHeight="1" x14ac:dyDescent="0.25">
      <c r="A2543" s="4" t="s">
        <v>28</v>
      </c>
      <c r="B2543" s="4" t="s">
        <v>41</v>
      </c>
      <c r="C2543" s="4" t="s">
        <v>23</v>
      </c>
      <c r="D2543" s="4" t="s">
        <v>52</v>
      </c>
      <c r="E2543" s="4" t="s">
        <v>53</v>
      </c>
      <c r="F2543" s="4" t="s">
        <v>25</v>
      </c>
      <c r="G2543" s="4" t="s">
        <v>25</v>
      </c>
      <c r="H2543" s="4" t="s">
        <v>25</v>
      </c>
      <c r="I2543" s="5">
        <v>44440</v>
      </c>
      <c r="J2543" s="6">
        <v>0</v>
      </c>
      <c r="K2543" s="6">
        <v>0</v>
      </c>
      <c r="L2543" s="6">
        <v>3230.107</v>
      </c>
      <c r="M2543" s="6">
        <v>2939.3973700000001</v>
      </c>
      <c r="N2543" s="6">
        <v>3230.107</v>
      </c>
      <c r="O2543" s="6">
        <v>2939.3973700000001</v>
      </c>
      <c r="P2543" s="6">
        <v>1331</v>
      </c>
      <c r="Q2543" s="4" t="s">
        <v>26</v>
      </c>
      <c r="R2543" s="4">
        <v>0</v>
      </c>
      <c r="S2543" s="4" t="s">
        <v>394</v>
      </c>
      <c r="T2543" s="4" t="s">
        <v>631</v>
      </c>
      <c r="U2543" s="4">
        <v>0</v>
      </c>
      <c r="V2543" s="4">
        <v>72</v>
      </c>
      <c r="W2543" s="4">
        <v>78</v>
      </c>
    </row>
    <row r="2544" spans="1:23" ht="11.25" customHeight="1" x14ac:dyDescent="0.25">
      <c r="A2544" s="4" t="s">
        <v>29</v>
      </c>
      <c r="B2544" s="4" t="s">
        <v>41</v>
      </c>
      <c r="C2544" s="4" t="s">
        <v>23</v>
      </c>
      <c r="D2544" s="4" t="s">
        <v>52</v>
      </c>
      <c r="E2544" s="4" t="s">
        <v>53</v>
      </c>
      <c r="F2544" s="4" t="s">
        <v>25</v>
      </c>
      <c r="G2544" s="4" t="s">
        <v>25</v>
      </c>
      <c r="H2544" s="4" t="s">
        <v>25</v>
      </c>
      <c r="I2544" s="5">
        <v>44440</v>
      </c>
      <c r="J2544" s="6">
        <v>0</v>
      </c>
      <c r="K2544" s="6">
        <v>0</v>
      </c>
      <c r="L2544" s="6">
        <v>30.367999999999999</v>
      </c>
      <c r="M2544" s="6">
        <v>27.634879999999999</v>
      </c>
      <c r="N2544" s="6">
        <v>30.367999999999999</v>
      </c>
      <c r="O2544" s="6">
        <v>27.634879999999999</v>
      </c>
      <c r="P2544" s="6">
        <v>0</v>
      </c>
      <c r="Q2544" s="4" t="s">
        <v>26</v>
      </c>
      <c r="R2544" s="4">
        <v>0</v>
      </c>
      <c r="S2544" s="4" t="s">
        <v>394</v>
      </c>
      <c r="T2544" s="4" t="s">
        <v>631</v>
      </c>
      <c r="U2544" s="4">
        <v>0</v>
      </c>
      <c r="V2544" s="4">
        <v>72</v>
      </c>
      <c r="W2544" s="4">
        <v>78</v>
      </c>
    </row>
    <row r="2545" spans="1:23" ht="11.25" customHeight="1" x14ac:dyDescent="0.25">
      <c r="A2545" s="4" t="s">
        <v>59</v>
      </c>
      <c r="B2545" s="4" t="s">
        <v>41</v>
      </c>
      <c r="C2545" s="4" t="s">
        <v>23</v>
      </c>
      <c r="D2545" s="4" t="s">
        <v>52</v>
      </c>
      <c r="E2545" s="4" t="s">
        <v>53</v>
      </c>
      <c r="F2545" s="4" t="s">
        <v>25</v>
      </c>
      <c r="G2545" s="4" t="s">
        <v>25</v>
      </c>
      <c r="H2545" s="4" t="s">
        <v>25</v>
      </c>
      <c r="I2545" s="5">
        <v>44470</v>
      </c>
      <c r="J2545" s="6">
        <v>0</v>
      </c>
      <c r="K2545" s="6">
        <v>0</v>
      </c>
      <c r="L2545" s="6">
        <v>886.77099999999996</v>
      </c>
      <c r="M2545" s="6">
        <v>806.96160999999995</v>
      </c>
      <c r="N2545" s="6">
        <v>886.77099999999996</v>
      </c>
      <c r="O2545" s="6">
        <v>806.96160999999995</v>
      </c>
      <c r="P2545" s="6">
        <v>241</v>
      </c>
      <c r="Q2545" s="4" t="s">
        <v>26</v>
      </c>
      <c r="R2545" s="4">
        <v>0</v>
      </c>
      <c r="S2545" s="4" t="s">
        <v>395</v>
      </c>
      <c r="T2545" s="4" t="s">
        <v>632</v>
      </c>
      <c r="U2545" s="4">
        <v>0</v>
      </c>
      <c r="V2545" s="4">
        <v>72</v>
      </c>
      <c r="W2545" s="4">
        <v>78</v>
      </c>
    </row>
    <row r="2546" spans="1:23" ht="11.25" customHeight="1" x14ac:dyDescent="0.25">
      <c r="A2546" s="4" t="s">
        <v>59</v>
      </c>
      <c r="B2546" s="4" t="s">
        <v>41</v>
      </c>
      <c r="C2546" s="4" t="s">
        <v>23</v>
      </c>
      <c r="D2546" s="4" t="s">
        <v>52</v>
      </c>
      <c r="E2546" s="4" t="s">
        <v>53</v>
      </c>
      <c r="F2546" s="4" t="s">
        <v>25</v>
      </c>
      <c r="G2546" s="4" t="s">
        <v>25</v>
      </c>
      <c r="H2546" s="4" t="s">
        <v>25</v>
      </c>
      <c r="I2546" s="5">
        <v>44470</v>
      </c>
      <c r="J2546" s="6">
        <v>0</v>
      </c>
      <c r="K2546" s="6">
        <v>0</v>
      </c>
      <c r="L2546" s="6">
        <v>-768.45</v>
      </c>
      <c r="M2546" s="6">
        <v>-699.28949999999998</v>
      </c>
      <c r="N2546" s="6">
        <v>-768.45</v>
      </c>
      <c r="O2546" s="6">
        <v>-699.28949999999998</v>
      </c>
      <c r="P2546" s="6">
        <v>0</v>
      </c>
      <c r="Q2546" s="4" t="s">
        <v>26</v>
      </c>
      <c r="R2546" s="4">
        <v>0</v>
      </c>
      <c r="S2546" s="4" t="s">
        <v>395</v>
      </c>
      <c r="T2546" s="4" t="s">
        <v>632</v>
      </c>
      <c r="U2546" s="4">
        <v>0</v>
      </c>
      <c r="V2546" s="4">
        <v>72</v>
      </c>
      <c r="W2546" s="4">
        <v>78</v>
      </c>
    </row>
    <row r="2547" spans="1:23" ht="11.25" customHeight="1" x14ac:dyDescent="0.25">
      <c r="A2547" s="4" t="s">
        <v>59</v>
      </c>
      <c r="B2547" s="4" t="s">
        <v>41</v>
      </c>
      <c r="C2547" s="4" t="s">
        <v>23</v>
      </c>
      <c r="D2547" s="4" t="s">
        <v>52</v>
      </c>
      <c r="E2547" s="4" t="s">
        <v>53</v>
      </c>
      <c r="F2547" s="4" t="s">
        <v>25</v>
      </c>
      <c r="G2547" s="4" t="s">
        <v>25</v>
      </c>
      <c r="H2547" s="4" t="s">
        <v>25</v>
      </c>
      <c r="I2547" s="5">
        <v>44470</v>
      </c>
      <c r="J2547" s="6">
        <v>0</v>
      </c>
      <c r="K2547" s="6">
        <v>0</v>
      </c>
      <c r="L2547" s="6">
        <v>3230.107</v>
      </c>
      <c r="M2547" s="6">
        <v>2939.3973700000001</v>
      </c>
      <c r="N2547" s="6">
        <v>3230.107</v>
      </c>
      <c r="O2547" s="6">
        <v>2939.3973700000001</v>
      </c>
      <c r="P2547" s="6">
        <v>1331</v>
      </c>
      <c r="Q2547" s="4" t="s">
        <v>26</v>
      </c>
      <c r="R2547" s="4">
        <v>0</v>
      </c>
      <c r="S2547" s="4" t="s">
        <v>395</v>
      </c>
      <c r="T2547" s="4" t="s">
        <v>632</v>
      </c>
      <c r="U2547" s="4">
        <v>0</v>
      </c>
      <c r="V2547" s="4">
        <v>72</v>
      </c>
      <c r="W2547" s="4">
        <v>78</v>
      </c>
    </row>
    <row r="2548" spans="1:23" ht="11.25" customHeight="1" x14ac:dyDescent="0.25">
      <c r="A2548" s="4" t="s">
        <v>59</v>
      </c>
      <c r="B2548" s="4" t="s">
        <v>41</v>
      </c>
      <c r="C2548" s="4" t="s">
        <v>23</v>
      </c>
      <c r="D2548" s="4" t="s">
        <v>52</v>
      </c>
      <c r="E2548" s="4" t="s">
        <v>53</v>
      </c>
      <c r="F2548" s="4" t="s">
        <v>25</v>
      </c>
      <c r="G2548" s="4" t="s">
        <v>25</v>
      </c>
      <c r="H2548" s="4" t="s">
        <v>25</v>
      </c>
      <c r="I2548" s="5">
        <v>44470</v>
      </c>
      <c r="J2548" s="6">
        <v>0</v>
      </c>
      <c r="K2548" s="6">
        <v>0</v>
      </c>
      <c r="L2548" s="6">
        <v>30.367999999999999</v>
      </c>
      <c r="M2548" s="6">
        <v>27.634879999999999</v>
      </c>
      <c r="N2548" s="6">
        <v>30.367999999999999</v>
      </c>
      <c r="O2548" s="6">
        <v>27.634879999999999</v>
      </c>
      <c r="P2548" s="6">
        <v>0</v>
      </c>
      <c r="Q2548" s="4" t="s">
        <v>26</v>
      </c>
      <c r="R2548" s="4">
        <v>0</v>
      </c>
      <c r="S2548" s="4" t="s">
        <v>395</v>
      </c>
      <c r="T2548" s="4" t="s">
        <v>632</v>
      </c>
      <c r="U2548" s="4">
        <v>0</v>
      </c>
      <c r="V2548" s="4">
        <v>72</v>
      </c>
      <c r="W2548" s="4">
        <v>78</v>
      </c>
    </row>
    <row r="2549" spans="1:23" ht="11.25" customHeight="1" x14ac:dyDescent="0.25">
      <c r="A2549" s="4" t="s">
        <v>21</v>
      </c>
      <c r="B2549" s="4" t="s">
        <v>49</v>
      </c>
      <c r="C2549" s="4" t="s">
        <v>23</v>
      </c>
      <c r="D2549" s="4" t="s">
        <v>50</v>
      </c>
      <c r="E2549" s="4" t="s">
        <v>51</v>
      </c>
      <c r="F2549" s="4" t="s">
        <v>25</v>
      </c>
      <c r="G2549" s="4" t="s">
        <v>25</v>
      </c>
      <c r="H2549" s="4" t="s">
        <v>25</v>
      </c>
      <c r="I2549" s="5">
        <v>44136</v>
      </c>
      <c r="J2549" s="6">
        <v>0</v>
      </c>
      <c r="K2549" s="6">
        <v>0</v>
      </c>
      <c r="L2549" s="6">
        <v>12271.55</v>
      </c>
      <c r="M2549" s="6">
        <v>12271.55</v>
      </c>
      <c r="N2549" s="6">
        <v>12271.55</v>
      </c>
      <c r="O2549" s="6">
        <v>12271.55</v>
      </c>
      <c r="P2549" s="6">
        <v>423</v>
      </c>
      <c r="Q2549" s="4" t="s">
        <v>26</v>
      </c>
      <c r="R2549" s="4">
        <v>0</v>
      </c>
      <c r="S2549" s="4" t="s">
        <v>396</v>
      </c>
      <c r="T2549" s="4" t="s">
        <v>633</v>
      </c>
      <c r="U2549" s="4">
        <v>0</v>
      </c>
      <c r="V2549" s="4">
        <v>68</v>
      </c>
      <c r="W2549" s="4">
        <v>83</v>
      </c>
    </row>
    <row r="2550" spans="1:23" ht="11.25" customHeight="1" x14ac:dyDescent="0.25">
      <c r="A2550" s="4" t="s">
        <v>28</v>
      </c>
      <c r="B2550" s="4" t="s">
        <v>49</v>
      </c>
      <c r="C2550" s="4" t="s">
        <v>23</v>
      </c>
      <c r="D2550" s="4" t="s">
        <v>50</v>
      </c>
      <c r="E2550" s="4" t="s">
        <v>51</v>
      </c>
      <c r="F2550" s="4" t="s">
        <v>25</v>
      </c>
      <c r="G2550" s="4" t="s">
        <v>25</v>
      </c>
      <c r="H2550" s="4" t="s">
        <v>25</v>
      </c>
      <c r="I2550" s="5">
        <v>44136</v>
      </c>
      <c r="J2550" s="6">
        <v>0</v>
      </c>
      <c r="K2550" s="6">
        <v>0</v>
      </c>
      <c r="L2550" s="6">
        <v>5717.28</v>
      </c>
      <c r="M2550" s="6">
        <v>5717.28</v>
      </c>
      <c r="N2550" s="6">
        <v>5717.28</v>
      </c>
      <c r="O2550" s="6">
        <v>5717.28</v>
      </c>
      <c r="P2550" s="6">
        <v>242</v>
      </c>
      <c r="Q2550" s="4" t="s">
        <v>26</v>
      </c>
      <c r="R2550" s="4">
        <v>0</v>
      </c>
      <c r="S2550" s="4" t="s">
        <v>396</v>
      </c>
      <c r="T2550" s="4" t="s">
        <v>633</v>
      </c>
      <c r="U2550" s="4">
        <v>0</v>
      </c>
      <c r="V2550" s="4">
        <v>68</v>
      </c>
      <c r="W2550" s="4">
        <v>83</v>
      </c>
    </row>
    <row r="2551" spans="1:23" ht="11.25" customHeight="1" x14ac:dyDescent="0.25">
      <c r="A2551" s="4" t="s">
        <v>21</v>
      </c>
      <c r="B2551" s="4" t="s">
        <v>49</v>
      </c>
      <c r="C2551" s="4" t="s">
        <v>23</v>
      </c>
      <c r="D2551" s="4" t="s">
        <v>50</v>
      </c>
      <c r="E2551" s="4" t="s">
        <v>51</v>
      </c>
      <c r="F2551" s="4" t="s">
        <v>25</v>
      </c>
      <c r="G2551" s="4" t="s">
        <v>25</v>
      </c>
      <c r="H2551" s="4" t="s">
        <v>25</v>
      </c>
      <c r="I2551" s="5">
        <v>44166</v>
      </c>
      <c r="J2551" s="6">
        <v>0</v>
      </c>
      <c r="K2551" s="6">
        <v>0</v>
      </c>
      <c r="L2551" s="6">
        <v>12659.062</v>
      </c>
      <c r="M2551" s="6">
        <v>12659.062</v>
      </c>
      <c r="N2551" s="6">
        <v>12659.062</v>
      </c>
      <c r="O2551" s="6">
        <v>12659.062</v>
      </c>
      <c r="P2551" s="6">
        <v>423</v>
      </c>
      <c r="Q2551" s="4" t="s">
        <v>26</v>
      </c>
      <c r="R2551" s="4">
        <v>0</v>
      </c>
      <c r="S2551" s="4" t="s">
        <v>397</v>
      </c>
      <c r="T2551" s="4" t="s">
        <v>634</v>
      </c>
      <c r="U2551" s="4">
        <v>0</v>
      </c>
      <c r="V2551" s="4">
        <v>68</v>
      </c>
      <c r="W2551" s="4">
        <v>83</v>
      </c>
    </row>
    <row r="2552" spans="1:23" ht="11.25" customHeight="1" x14ac:dyDescent="0.25">
      <c r="A2552" s="4" t="s">
        <v>28</v>
      </c>
      <c r="B2552" s="4" t="s">
        <v>49</v>
      </c>
      <c r="C2552" s="4" t="s">
        <v>23</v>
      </c>
      <c r="D2552" s="4" t="s">
        <v>50</v>
      </c>
      <c r="E2552" s="4" t="s">
        <v>51</v>
      </c>
      <c r="F2552" s="4" t="s">
        <v>25</v>
      </c>
      <c r="G2552" s="4" t="s">
        <v>25</v>
      </c>
      <c r="H2552" s="4" t="s">
        <v>25</v>
      </c>
      <c r="I2552" s="5">
        <v>44166</v>
      </c>
      <c r="J2552" s="6">
        <v>0</v>
      </c>
      <c r="K2552" s="6">
        <v>0</v>
      </c>
      <c r="L2552" s="6">
        <v>5920.5249999999996</v>
      </c>
      <c r="M2552" s="6">
        <v>5920.5249999999996</v>
      </c>
      <c r="N2552" s="6">
        <v>5920.5249999999996</v>
      </c>
      <c r="O2552" s="6">
        <v>5920.5249999999996</v>
      </c>
      <c r="P2552" s="6">
        <v>243</v>
      </c>
      <c r="Q2552" s="4" t="s">
        <v>26</v>
      </c>
      <c r="R2552" s="4">
        <v>0</v>
      </c>
      <c r="S2552" s="4" t="s">
        <v>397</v>
      </c>
      <c r="T2552" s="4" t="s">
        <v>634</v>
      </c>
      <c r="U2552" s="4">
        <v>0</v>
      </c>
      <c r="V2552" s="4">
        <v>68</v>
      </c>
      <c r="W2552" s="4">
        <v>83</v>
      </c>
    </row>
    <row r="2553" spans="1:23" ht="11.25" customHeight="1" x14ac:dyDescent="0.25">
      <c r="A2553" s="4" t="s">
        <v>21</v>
      </c>
      <c r="B2553" s="4" t="s">
        <v>49</v>
      </c>
      <c r="C2553" s="4" t="s">
        <v>23</v>
      </c>
      <c r="D2553" s="4" t="s">
        <v>50</v>
      </c>
      <c r="E2553" s="4" t="s">
        <v>51</v>
      </c>
      <c r="F2553" s="4" t="s">
        <v>25</v>
      </c>
      <c r="G2553" s="4" t="s">
        <v>25</v>
      </c>
      <c r="H2553" s="4" t="s">
        <v>25</v>
      </c>
      <c r="I2553" s="5">
        <v>44197</v>
      </c>
      <c r="J2553" s="6">
        <v>0</v>
      </c>
      <c r="K2553" s="6">
        <v>0</v>
      </c>
      <c r="L2553" s="6">
        <v>12697.362999999999</v>
      </c>
      <c r="M2553" s="6">
        <v>12697.362999999999</v>
      </c>
      <c r="N2553" s="6">
        <v>12697.362999999999</v>
      </c>
      <c r="O2553" s="6">
        <v>12697.362999999999</v>
      </c>
      <c r="P2553" s="6">
        <v>423</v>
      </c>
      <c r="Q2553" s="4" t="s">
        <v>26</v>
      </c>
      <c r="R2553" s="4">
        <v>0</v>
      </c>
      <c r="S2553" s="4" t="s">
        <v>398</v>
      </c>
      <c r="T2553" s="4" t="s">
        <v>635</v>
      </c>
      <c r="U2553" s="4">
        <v>0</v>
      </c>
      <c r="V2553" s="4">
        <v>68</v>
      </c>
      <c r="W2553" s="4">
        <v>83</v>
      </c>
    </row>
    <row r="2554" spans="1:23" ht="11.25" customHeight="1" x14ac:dyDescent="0.25">
      <c r="A2554" s="4" t="s">
        <v>28</v>
      </c>
      <c r="B2554" s="4" t="s">
        <v>49</v>
      </c>
      <c r="C2554" s="4" t="s">
        <v>23</v>
      </c>
      <c r="D2554" s="4" t="s">
        <v>50</v>
      </c>
      <c r="E2554" s="4" t="s">
        <v>51</v>
      </c>
      <c r="F2554" s="4" t="s">
        <v>25</v>
      </c>
      <c r="G2554" s="4" t="s">
        <v>25</v>
      </c>
      <c r="H2554" s="4" t="s">
        <v>25</v>
      </c>
      <c r="I2554" s="5">
        <v>44197</v>
      </c>
      <c r="J2554" s="6">
        <v>0</v>
      </c>
      <c r="K2554" s="6">
        <v>0</v>
      </c>
      <c r="L2554" s="6">
        <v>5923.8029999999999</v>
      </c>
      <c r="M2554" s="6">
        <v>5923.8029999999999</v>
      </c>
      <c r="N2554" s="6">
        <v>5923.8029999999999</v>
      </c>
      <c r="O2554" s="6">
        <v>5923.8029999999999</v>
      </c>
      <c r="P2554" s="6">
        <v>243</v>
      </c>
      <c r="Q2554" s="4" t="s">
        <v>26</v>
      </c>
      <c r="R2554" s="4">
        <v>0</v>
      </c>
      <c r="S2554" s="4" t="s">
        <v>398</v>
      </c>
      <c r="T2554" s="4" t="s">
        <v>635</v>
      </c>
      <c r="U2554" s="4">
        <v>0</v>
      </c>
      <c r="V2554" s="4">
        <v>68</v>
      </c>
      <c r="W2554" s="4">
        <v>83</v>
      </c>
    </row>
    <row r="2555" spans="1:23" ht="11.25" customHeight="1" x14ac:dyDescent="0.25">
      <c r="A2555" s="4" t="s">
        <v>21</v>
      </c>
      <c r="B2555" s="4" t="s">
        <v>49</v>
      </c>
      <c r="C2555" s="4" t="s">
        <v>23</v>
      </c>
      <c r="D2555" s="4" t="s">
        <v>50</v>
      </c>
      <c r="E2555" s="4" t="s">
        <v>51</v>
      </c>
      <c r="F2555" s="4" t="s">
        <v>25</v>
      </c>
      <c r="G2555" s="4" t="s">
        <v>25</v>
      </c>
      <c r="H2555" s="4" t="s">
        <v>25</v>
      </c>
      <c r="I2555" s="5">
        <v>44228</v>
      </c>
      <c r="J2555" s="6">
        <v>0</v>
      </c>
      <c r="K2555" s="6">
        <v>0</v>
      </c>
      <c r="L2555" s="6">
        <v>11438.359</v>
      </c>
      <c r="M2555" s="6">
        <v>11438.359</v>
      </c>
      <c r="N2555" s="6">
        <v>11438.359</v>
      </c>
      <c r="O2555" s="6">
        <v>11438.359</v>
      </c>
      <c r="P2555" s="6">
        <v>423</v>
      </c>
      <c r="Q2555" s="4" t="s">
        <v>26</v>
      </c>
      <c r="R2555" s="4">
        <v>0</v>
      </c>
      <c r="S2555" s="4" t="s">
        <v>399</v>
      </c>
      <c r="T2555" s="4" t="s">
        <v>636</v>
      </c>
      <c r="U2555" s="4">
        <v>0</v>
      </c>
      <c r="V2555" s="4">
        <v>68</v>
      </c>
      <c r="W2555" s="4">
        <v>83</v>
      </c>
    </row>
    <row r="2556" spans="1:23" ht="11.25" customHeight="1" x14ac:dyDescent="0.25">
      <c r="A2556" s="4" t="s">
        <v>28</v>
      </c>
      <c r="B2556" s="4" t="s">
        <v>49</v>
      </c>
      <c r="C2556" s="4" t="s">
        <v>23</v>
      </c>
      <c r="D2556" s="4" t="s">
        <v>50</v>
      </c>
      <c r="E2556" s="4" t="s">
        <v>51</v>
      </c>
      <c r="F2556" s="4" t="s">
        <v>25</v>
      </c>
      <c r="G2556" s="4" t="s">
        <v>25</v>
      </c>
      <c r="H2556" s="4" t="s">
        <v>25</v>
      </c>
      <c r="I2556" s="5">
        <v>44228</v>
      </c>
      <c r="J2556" s="6">
        <v>0</v>
      </c>
      <c r="K2556" s="6">
        <v>0</v>
      </c>
      <c r="L2556" s="6">
        <v>5358.1279999999997</v>
      </c>
      <c r="M2556" s="6">
        <v>5358.1279999999997</v>
      </c>
      <c r="N2556" s="6">
        <v>5358.1279999999997</v>
      </c>
      <c r="O2556" s="6">
        <v>5358.1279999999997</v>
      </c>
      <c r="P2556" s="6">
        <v>243</v>
      </c>
      <c r="Q2556" s="4" t="s">
        <v>26</v>
      </c>
      <c r="R2556" s="4">
        <v>0</v>
      </c>
      <c r="S2556" s="4" t="s">
        <v>399</v>
      </c>
      <c r="T2556" s="4" t="s">
        <v>636</v>
      </c>
      <c r="U2556" s="4">
        <v>0</v>
      </c>
      <c r="V2556" s="4">
        <v>68</v>
      </c>
      <c r="W2556" s="4">
        <v>83</v>
      </c>
    </row>
    <row r="2557" spans="1:23" ht="11.25" customHeight="1" x14ac:dyDescent="0.25">
      <c r="A2557" s="4" t="s">
        <v>21</v>
      </c>
      <c r="B2557" s="4" t="s">
        <v>49</v>
      </c>
      <c r="C2557" s="4" t="s">
        <v>23</v>
      </c>
      <c r="D2557" s="4" t="s">
        <v>50</v>
      </c>
      <c r="E2557" s="4" t="s">
        <v>51</v>
      </c>
      <c r="F2557" s="4" t="s">
        <v>25</v>
      </c>
      <c r="G2557" s="4" t="s">
        <v>25</v>
      </c>
      <c r="H2557" s="4" t="s">
        <v>25</v>
      </c>
      <c r="I2557" s="5">
        <v>44256</v>
      </c>
      <c r="J2557" s="6">
        <v>0</v>
      </c>
      <c r="K2557" s="6">
        <v>0</v>
      </c>
      <c r="L2557" s="6">
        <v>10497.264999999999</v>
      </c>
      <c r="M2557" s="6">
        <v>10497.264999999999</v>
      </c>
      <c r="N2557" s="6">
        <v>10497.264999999999</v>
      </c>
      <c r="O2557" s="6">
        <v>10497.264999999999</v>
      </c>
      <c r="P2557" s="6">
        <v>422</v>
      </c>
      <c r="Q2557" s="4" t="s">
        <v>26</v>
      </c>
      <c r="R2557" s="4">
        <v>0</v>
      </c>
      <c r="S2557" s="4" t="s">
        <v>400</v>
      </c>
      <c r="T2557" s="4" t="s">
        <v>637</v>
      </c>
      <c r="U2557" s="4">
        <v>0</v>
      </c>
      <c r="V2557" s="4">
        <v>68</v>
      </c>
      <c r="W2557" s="4">
        <v>83</v>
      </c>
    </row>
    <row r="2558" spans="1:23" ht="11.25" customHeight="1" x14ac:dyDescent="0.25">
      <c r="A2558" s="4" t="s">
        <v>27</v>
      </c>
      <c r="B2558" s="4" t="s">
        <v>49</v>
      </c>
      <c r="C2558" s="4" t="s">
        <v>23</v>
      </c>
      <c r="D2558" s="4" t="s">
        <v>50</v>
      </c>
      <c r="E2558" s="4" t="s">
        <v>51</v>
      </c>
      <c r="F2558" s="4" t="s">
        <v>25</v>
      </c>
      <c r="G2558" s="4" t="s">
        <v>25</v>
      </c>
      <c r="H2558" s="4" t="s">
        <v>25</v>
      </c>
      <c r="I2558" s="5">
        <v>44256</v>
      </c>
      <c r="J2558" s="6">
        <v>0</v>
      </c>
      <c r="K2558" s="6">
        <v>0</v>
      </c>
      <c r="L2558" s="6">
        <v>-1195.78</v>
      </c>
      <c r="M2558" s="6">
        <v>-1195.78</v>
      </c>
      <c r="N2558" s="6">
        <v>-1195.78</v>
      </c>
      <c r="O2558" s="6">
        <v>-1195.78</v>
      </c>
      <c r="P2558" s="6">
        <v>0</v>
      </c>
      <c r="Q2558" s="4" t="s">
        <v>26</v>
      </c>
      <c r="R2558" s="4">
        <v>0</v>
      </c>
      <c r="S2558" s="4" t="s">
        <v>400</v>
      </c>
      <c r="T2558" s="4" t="s">
        <v>637</v>
      </c>
      <c r="U2558" s="4">
        <v>0</v>
      </c>
      <c r="V2558" s="4">
        <v>68</v>
      </c>
      <c r="W2558" s="4">
        <v>83</v>
      </c>
    </row>
    <row r="2559" spans="1:23" ht="11.25" customHeight="1" x14ac:dyDescent="0.25">
      <c r="A2559" s="4" t="s">
        <v>28</v>
      </c>
      <c r="B2559" s="4" t="s">
        <v>49</v>
      </c>
      <c r="C2559" s="4" t="s">
        <v>23</v>
      </c>
      <c r="D2559" s="4" t="s">
        <v>50</v>
      </c>
      <c r="E2559" s="4" t="s">
        <v>51</v>
      </c>
      <c r="F2559" s="4" t="s">
        <v>25</v>
      </c>
      <c r="G2559" s="4" t="s">
        <v>25</v>
      </c>
      <c r="H2559" s="4" t="s">
        <v>25</v>
      </c>
      <c r="I2559" s="5">
        <v>44256</v>
      </c>
      <c r="J2559" s="6">
        <v>0</v>
      </c>
      <c r="K2559" s="6">
        <v>0</v>
      </c>
      <c r="L2559" s="6">
        <v>5956.5889999999999</v>
      </c>
      <c r="M2559" s="6">
        <v>5956.5889999999999</v>
      </c>
      <c r="N2559" s="6">
        <v>5956.5889999999999</v>
      </c>
      <c r="O2559" s="6">
        <v>5956.5889999999999</v>
      </c>
      <c r="P2559" s="6">
        <v>248</v>
      </c>
      <c r="Q2559" s="4" t="s">
        <v>26</v>
      </c>
      <c r="R2559" s="4">
        <v>0</v>
      </c>
      <c r="S2559" s="4" t="s">
        <v>400</v>
      </c>
      <c r="T2559" s="4" t="s">
        <v>637</v>
      </c>
      <c r="U2559" s="4">
        <v>0</v>
      </c>
      <c r="V2559" s="4">
        <v>68</v>
      </c>
      <c r="W2559" s="4">
        <v>83</v>
      </c>
    </row>
    <row r="2560" spans="1:23" ht="11.25" customHeight="1" x14ac:dyDescent="0.25">
      <c r="A2560" s="4" t="s">
        <v>21</v>
      </c>
      <c r="B2560" s="4" t="s">
        <v>49</v>
      </c>
      <c r="C2560" s="4" t="s">
        <v>23</v>
      </c>
      <c r="D2560" s="4" t="s">
        <v>50</v>
      </c>
      <c r="E2560" s="4" t="s">
        <v>51</v>
      </c>
      <c r="F2560" s="4" t="s">
        <v>25</v>
      </c>
      <c r="G2560" s="4" t="s">
        <v>25</v>
      </c>
      <c r="H2560" s="4" t="s">
        <v>25</v>
      </c>
      <c r="I2560" s="5">
        <v>44287</v>
      </c>
      <c r="J2560" s="6">
        <v>0</v>
      </c>
      <c r="K2560" s="6">
        <v>0</v>
      </c>
      <c r="L2560" s="6">
        <v>10336.496999999999</v>
      </c>
      <c r="M2560" s="6">
        <v>10336.496999999999</v>
      </c>
      <c r="N2560" s="6">
        <v>10336.496999999999</v>
      </c>
      <c r="O2560" s="6">
        <v>10336.496999999999</v>
      </c>
      <c r="P2560" s="6">
        <v>427</v>
      </c>
      <c r="Q2560" s="4" t="s">
        <v>26</v>
      </c>
      <c r="R2560" s="4">
        <v>0</v>
      </c>
      <c r="S2560" s="4" t="s">
        <v>401</v>
      </c>
      <c r="T2560" s="4" t="s">
        <v>638</v>
      </c>
      <c r="U2560" s="4">
        <v>0</v>
      </c>
      <c r="V2560" s="4">
        <v>68</v>
      </c>
      <c r="W2560" s="4">
        <v>83</v>
      </c>
    </row>
    <row r="2561" spans="1:23" ht="11.25" customHeight="1" x14ac:dyDescent="0.25">
      <c r="A2561" s="4" t="s">
        <v>27</v>
      </c>
      <c r="B2561" s="4" t="s">
        <v>49</v>
      </c>
      <c r="C2561" s="4" t="s">
        <v>23</v>
      </c>
      <c r="D2561" s="4" t="s">
        <v>50</v>
      </c>
      <c r="E2561" s="4" t="s">
        <v>51</v>
      </c>
      <c r="F2561" s="4" t="s">
        <v>25</v>
      </c>
      <c r="G2561" s="4" t="s">
        <v>25</v>
      </c>
      <c r="H2561" s="4" t="s">
        <v>25</v>
      </c>
      <c r="I2561" s="5">
        <v>44287</v>
      </c>
      <c r="J2561" s="6">
        <v>0</v>
      </c>
      <c r="K2561" s="6">
        <v>0</v>
      </c>
      <c r="L2561" s="6">
        <v>-0.63600000000000001</v>
      </c>
      <c r="M2561" s="6">
        <v>-0.63600000000000001</v>
      </c>
      <c r="N2561" s="6">
        <v>-0.63600000000000001</v>
      </c>
      <c r="O2561" s="6">
        <v>-0.63600000000000001</v>
      </c>
      <c r="P2561" s="6">
        <v>0</v>
      </c>
      <c r="Q2561" s="4" t="s">
        <v>26</v>
      </c>
      <c r="R2561" s="4">
        <v>0</v>
      </c>
      <c r="S2561" s="4" t="s">
        <v>401</v>
      </c>
      <c r="T2561" s="4" t="s">
        <v>638</v>
      </c>
      <c r="U2561" s="4">
        <v>0</v>
      </c>
      <c r="V2561" s="4">
        <v>68</v>
      </c>
      <c r="W2561" s="4">
        <v>83</v>
      </c>
    </row>
    <row r="2562" spans="1:23" ht="11.25" customHeight="1" x14ac:dyDescent="0.25">
      <c r="A2562" s="4" t="s">
        <v>28</v>
      </c>
      <c r="B2562" s="4" t="s">
        <v>49</v>
      </c>
      <c r="C2562" s="4" t="s">
        <v>23</v>
      </c>
      <c r="D2562" s="4" t="s">
        <v>50</v>
      </c>
      <c r="E2562" s="4" t="s">
        <v>51</v>
      </c>
      <c r="F2562" s="4" t="s">
        <v>25</v>
      </c>
      <c r="G2562" s="4" t="s">
        <v>25</v>
      </c>
      <c r="H2562" s="4" t="s">
        <v>25</v>
      </c>
      <c r="I2562" s="5">
        <v>44287</v>
      </c>
      <c r="J2562" s="6">
        <v>0</v>
      </c>
      <c r="K2562" s="6">
        <v>0</v>
      </c>
      <c r="L2562" s="6">
        <v>5780.54</v>
      </c>
      <c r="M2562" s="6">
        <v>5780.54</v>
      </c>
      <c r="N2562" s="6">
        <v>5780.54</v>
      </c>
      <c r="O2562" s="6">
        <v>5780.54</v>
      </c>
      <c r="P2562" s="6">
        <v>269</v>
      </c>
      <c r="Q2562" s="4" t="s">
        <v>26</v>
      </c>
      <c r="R2562" s="4">
        <v>0</v>
      </c>
      <c r="S2562" s="4" t="s">
        <v>401</v>
      </c>
      <c r="T2562" s="4" t="s">
        <v>638</v>
      </c>
      <c r="U2562" s="4">
        <v>0</v>
      </c>
      <c r="V2562" s="4">
        <v>68</v>
      </c>
      <c r="W2562" s="4">
        <v>83</v>
      </c>
    </row>
    <row r="2563" spans="1:23" ht="11.25" customHeight="1" x14ac:dyDescent="0.25">
      <c r="A2563" s="4" t="s">
        <v>21</v>
      </c>
      <c r="B2563" s="4" t="s">
        <v>49</v>
      </c>
      <c r="C2563" s="4" t="s">
        <v>23</v>
      </c>
      <c r="D2563" s="4" t="s">
        <v>50</v>
      </c>
      <c r="E2563" s="4" t="s">
        <v>51</v>
      </c>
      <c r="F2563" s="4" t="s">
        <v>25</v>
      </c>
      <c r="G2563" s="4" t="s">
        <v>25</v>
      </c>
      <c r="H2563" s="4" t="s">
        <v>25</v>
      </c>
      <c r="I2563" s="5">
        <v>44317</v>
      </c>
      <c r="J2563" s="6">
        <v>0</v>
      </c>
      <c r="K2563" s="6">
        <v>0</v>
      </c>
      <c r="L2563" s="6">
        <v>10680.907999999999</v>
      </c>
      <c r="M2563" s="6">
        <v>10680.907999999999</v>
      </c>
      <c r="N2563" s="6">
        <v>10680.907999999999</v>
      </c>
      <c r="O2563" s="6">
        <v>10680.907999999999</v>
      </c>
      <c r="P2563" s="6">
        <v>427</v>
      </c>
      <c r="Q2563" s="4" t="s">
        <v>26</v>
      </c>
      <c r="R2563" s="4">
        <v>0</v>
      </c>
      <c r="S2563" s="4" t="s">
        <v>402</v>
      </c>
      <c r="T2563" s="4" t="s">
        <v>639</v>
      </c>
      <c r="U2563" s="4">
        <v>0</v>
      </c>
      <c r="V2563" s="4">
        <v>68</v>
      </c>
      <c r="W2563" s="4">
        <v>83</v>
      </c>
    </row>
    <row r="2564" spans="1:23" ht="11.25" customHeight="1" x14ac:dyDescent="0.25">
      <c r="A2564" s="4" t="s">
        <v>28</v>
      </c>
      <c r="B2564" s="4" t="s">
        <v>49</v>
      </c>
      <c r="C2564" s="4" t="s">
        <v>23</v>
      </c>
      <c r="D2564" s="4" t="s">
        <v>50</v>
      </c>
      <c r="E2564" s="4" t="s">
        <v>51</v>
      </c>
      <c r="F2564" s="4" t="s">
        <v>25</v>
      </c>
      <c r="G2564" s="4" t="s">
        <v>25</v>
      </c>
      <c r="H2564" s="4" t="s">
        <v>25</v>
      </c>
      <c r="I2564" s="5">
        <v>44317</v>
      </c>
      <c r="J2564" s="6">
        <v>0</v>
      </c>
      <c r="K2564" s="6">
        <v>0</v>
      </c>
      <c r="L2564" s="6">
        <v>6233.6149999999998</v>
      </c>
      <c r="M2564" s="6">
        <v>6233.6149999999998</v>
      </c>
      <c r="N2564" s="6">
        <v>6233.6149999999998</v>
      </c>
      <c r="O2564" s="6">
        <v>6233.6149999999998</v>
      </c>
      <c r="P2564" s="6">
        <v>287</v>
      </c>
      <c r="Q2564" s="4" t="s">
        <v>26</v>
      </c>
      <c r="R2564" s="4">
        <v>0</v>
      </c>
      <c r="S2564" s="4" t="s">
        <v>402</v>
      </c>
      <c r="T2564" s="4" t="s">
        <v>639</v>
      </c>
      <c r="U2564" s="4">
        <v>0</v>
      </c>
      <c r="V2564" s="4">
        <v>68</v>
      </c>
      <c r="W2564" s="4">
        <v>83</v>
      </c>
    </row>
    <row r="2565" spans="1:23" ht="11.25" customHeight="1" x14ac:dyDescent="0.25">
      <c r="A2565" s="4" t="s">
        <v>29</v>
      </c>
      <c r="B2565" s="4" t="s">
        <v>49</v>
      </c>
      <c r="C2565" s="4" t="s">
        <v>23</v>
      </c>
      <c r="D2565" s="4" t="s">
        <v>50</v>
      </c>
      <c r="E2565" s="4" t="s">
        <v>51</v>
      </c>
      <c r="F2565" s="4" t="s">
        <v>25</v>
      </c>
      <c r="G2565" s="4" t="s">
        <v>25</v>
      </c>
      <c r="H2565" s="4" t="s">
        <v>25</v>
      </c>
      <c r="I2565" s="5">
        <v>44317</v>
      </c>
      <c r="J2565" s="6">
        <v>0</v>
      </c>
      <c r="K2565" s="6">
        <v>0</v>
      </c>
      <c r="L2565" s="6">
        <v>18.949000000000002</v>
      </c>
      <c r="M2565" s="6">
        <v>18.949000000000002</v>
      </c>
      <c r="N2565" s="6">
        <v>18.949000000000002</v>
      </c>
      <c r="O2565" s="6">
        <v>18.949000000000002</v>
      </c>
      <c r="P2565" s="6">
        <v>0</v>
      </c>
      <c r="Q2565" s="4" t="s">
        <v>26</v>
      </c>
      <c r="R2565" s="4">
        <v>0</v>
      </c>
      <c r="S2565" s="4" t="s">
        <v>402</v>
      </c>
      <c r="T2565" s="4" t="s">
        <v>639</v>
      </c>
      <c r="U2565" s="4">
        <v>0</v>
      </c>
      <c r="V2565" s="4">
        <v>68</v>
      </c>
      <c r="W2565" s="4">
        <v>83</v>
      </c>
    </row>
    <row r="2566" spans="1:23" ht="11.25" customHeight="1" x14ac:dyDescent="0.25">
      <c r="A2566" s="4" t="s">
        <v>21</v>
      </c>
      <c r="B2566" s="4" t="s">
        <v>49</v>
      </c>
      <c r="C2566" s="4" t="s">
        <v>23</v>
      </c>
      <c r="D2566" s="4" t="s">
        <v>50</v>
      </c>
      <c r="E2566" s="4" t="s">
        <v>51</v>
      </c>
      <c r="F2566" s="4" t="s">
        <v>25</v>
      </c>
      <c r="G2566" s="4" t="s">
        <v>25</v>
      </c>
      <c r="H2566" s="4" t="s">
        <v>25</v>
      </c>
      <c r="I2566" s="5">
        <v>44348</v>
      </c>
      <c r="J2566" s="6">
        <v>0</v>
      </c>
      <c r="K2566" s="6">
        <v>0</v>
      </c>
      <c r="L2566" s="6">
        <v>10286.813</v>
      </c>
      <c r="M2566" s="6">
        <v>10286.813</v>
      </c>
      <c r="N2566" s="6">
        <v>10286.813</v>
      </c>
      <c r="O2566" s="6">
        <v>10286.813</v>
      </c>
      <c r="P2566" s="6">
        <v>426</v>
      </c>
      <c r="Q2566" s="4" t="s">
        <v>26</v>
      </c>
      <c r="R2566" s="4">
        <v>0</v>
      </c>
      <c r="S2566" s="4" t="s">
        <v>403</v>
      </c>
      <c r="T2566" s="4" t="s">
        <v>640</v>
      </c>
      <c r="U2566" s="4">
        <v>0</v>
      </c>
      <c r="V2566" s="4">
        <v>68</v>
      </c>
      <c r="W2566" s="4">
        <v>83</v>
      </c>
    </row>
    <row r="2567" spans="1:23" ht="11.25" customHeight="1" x14ac:dyDescent="0.25">
      <c r="A2567" s="4" t="s">
        <v>28</v>
      </c>
      <c r="B2567" s="4" t="s">
        <v>49</v>
      </c>
      <c r="C2567" s="4" t="s">
        <v>23</v>
      </c>
      <c r="D2567" s="4" t="s">
        <v>50</v>
      </c>
      <c r="E2567" s="4" t="s">
        <v>51</v>
      </c>
      <c r="F2567" s="4" t="s">
        <v>25</v>
      </c>
      <c r="G2567" s="4" t="s">
        <v>25</v>
      </c>
      <c r="H2567" s="4" t="s">
        <v>25</v>
      </c>
      <c r="I2567" s="5">
        <v>44348</v>
      </c>
      <c r="J2567" s="6">
        <v>0</v>
      </c>
      <c r="K2567" s="6">
        <v>0</v>
      </c>
      <c r="L2567" s="6">
        <v>6110.7489999999998</v>
      </c>
      <c r="M2567" s="6">
        <v>6110.7489999999998</v>
      </c>
      <c r="N2567" s="6">
        <v>6110.7489999999998</v>
      </c>
      <c r="O2567" s="6">
        <v>6110.7489999999998</v>
      </c>
      <c r="P2567" s="6">
        <v>286</v>
      </c>
      <c r="Q2567" s="4" t="s">
        <v>26</v>
      </c>
      <c r="R2567" s="4">
        <v>0</v>
      </c>
      <c r="S2567" s="4" t="s">
        <v>403</v>
      </c>
      <c r="T2567" s="4" t="s">
        <v>640</v>
      </c>
      <c r="U2567" s="4">
        <v>0</v>
      </c>
      <c r="V2567" s="4">
        <v>68</v>
      </c>
      <c r="W2567" s="4">
        <v>83</v>
      </c>
    </row>
    <row r="2568" spans="1:23" ht="11.25" customHeight="1" x14ac:dyDescent="0.25">
      <c r="A2568" s="4" t="s">
        <v>21</v>
      </c>
      <c r="B2568" s="4" t="s">
        <v>49</v>
      </c>
      <c r="C2568" s="4" t="s">
        <v>23</v>
      </c>
      <c r="D2568" s="4" t="s">
        <v>50</v>
      </c>
      <c r="E2568" s="4" t="s">
        <v>51</v>
      </c>
      <c r="F2568" s="4" t="s">
        <v>25</v>
      </c>
      <c r="G2568" s="4" t="s">
        <v>25</v>
      </c>
      <c r="H2568" s="4" t="s">
        <v>25</v>
      </c>
      <c r="I2568" s="5">
        <v>44378</v>
      </c>
      <c r="J2568" s="6">
        <v>0</v>
      </c>
      <c r="K2568" s="6">
        <v>0</v>
      </c>
      <c r="L2568" s="6">
        <v>10799.734</v>
      </c>
      <c r="M2568" s="6">
        <v>10799.734</v>
      </c>
      <c r="N2568" s="6">
        <v>10799.734</v>
      </c>
      <c r="O2568" s="6">
        <v>10799.734</v>
      </c>
      <c r="P2568" s="6">
        <v>427</v>
      </c>
      <c r="Q2568" s="4" t="s">
        <v>26</v>
      </c>
      <c r="R2568" s="4">
        <v>0</v>
      </c>
      <c r="S2568" s="4" t="s">
        <v>404</v>
      </c>
      <c r="T2568" s="4" t="s">
        <v>641</v>
      </c>
      <c r="U2568" s="4">
        <v>0</v>
      </c>
      <c r="V2568" s="4">
        <v>68</v>
      </c>
      <c r="W2568" s="4">
        <v>83</v>
      </c>
    </row>
    <row r="2569" spans="1:23" ht="11.25" customHeight="1" x14ac:dyDescent="0.25">
      <c r="A2569" s="4" t="s">
        <v>28</v>
      </c>
      <c r="B2569" s="4" t="s">
        <v>49</v>
      </c>
      <c r="C2569" s="4" t="s">
        <v>23</v>
      </c>
      <c r="D2569" s="4" t="s">
        <v>50</v>
      </c>
      <c r="E2569" s="4" t="s">
        <v>51</v>
      </c>
      <c r="F2569" s="4" t="s">
        <v>25</v>
      </c>
      <c r="G2569" s="4" t="s">
        <v>25</v>
      </c>
      <c r="H2569" s="4" t="s">
        <v>25</v>
      </c>
      <c r="I2569" s="5">
        <v>44378</v>
      </c>
      <c r="J2569" s="6">
        <v>0</v>
      </c>
      <c r="K2569" s="6">
        <v>0</v>
      </c>
      <c r="L2569" s="6">
        <v>6332.259</v>
      </c>
      <c r="M2569" s="6">
        <v>6332.259</v>
      </c>
      <c r="N2569" s="6">
        <v>6332.259</v>
      </c>
      <c r="O2569" s="6">
        <v>6332.259</v>
      </c>
      <c r="P2569" s="6">
        <v>286</v>
      </c>
      <c r="Q2569" s="4" t="s">
        <v>26</v>
      </c>
      <c r="R2569" s="4">
        <v>0</v>
      </c>
      <c r="S2569" s="4" t="s">
        <v>404</v>
      </c>
      <c r="T2569" s="4" t="s">
        <v>641</v>
      </c>
      <c r="U2569" s="4">
        <v>0</v>
      </c>
      <c r="V2569" s="4">
        <v>68</v>
      </c>
      <c r="W2569" s="4">
        <v>83</v>
      </c>
    </row>
    <row r="2570" spans="1:23" ht="11.25" customHeight="1" x14ac:dyDescent="0.25">
      <c r="A2570" s="4" t="s">
        <v>21</v>
      </c>
      <c r="B2570" s="4" t="s">
        <v>49</v>
      </c>
      <c r="C2570" s="4" t="s">
        <v>23</v>
      </c>
      <c r="D2570" s="4" t="s">
        <v>50</v>
      </c>
      <c r="E2570" s="4" t="s">
        <v>51</v>
      </c>
      <c r="F2570" s="4" t="s">
        <v>25</v>
      </c>
      <c r="G2570" s="4" t="s">
        <v>25</v>
      </c>
      <c r="H2570" s="4" t="s">
        <v>25</v>
      </c>
      <c r="I2570" s="5">
        <v>44409</v>
      </c>
      <c r="J2570" s="6">
        <v>0</v>
      </c>
      <c r="K2570" s="6">
        <v>0</v>
      </c>
      <c r="L2570" s="6">
        <v>10453.691999999999</v>
      </c>
      <c r="M2570" s="6">
        <v>10453.691999999999</v>
      </c>
      <c r="N2570" s="6">
        <v>10453.691999999999</v>
      </c>
      <c r="O2570" s="6">
        <v>10453.691999999999</v>
      </c>
      <c r="P2570" s="6">
        <v>426</v>
      </c>
      <c r="Q2570" s="4" t="s">
        <v>26</v>
      </c>
      <c r="R2570" s="4">
        <v>0</v>
      </c>
      <c r="S2570" s="4" t="s">
        <v>405</v>
      </c>
      <c r="T2570" s="4" t="s">
        <v>642</v>
      </c>
      <c r="U2570" s="4">
        <v>0</v>
      </c>
      <c r="V2570" s="4">
        <v>68</v>
      </c>
      <c r="W2570" s="4">
        <v>83</v>
      </c>
    </row>
    <row r="2571" spans="1:23" ht="11.25" customHeight="1" x14ac:dyDescent="0.25">
      <c r="A2571" s="4" t="s">
        <v>28</v>
      </c>
      <c r="B2571" s="4" t="s">
        <v>49</v>
      </c>
      <c r="C2571" s="4" t="s">
        <v>23</v>
      </c>
      <c r="D2571" s="4" t="s">
        <v>50</v>
      </c>
      <c r="E2571" s="4" t="s">
        <v>51</v>
      </c>
      <c r="F2571" s="4" t="s">
        <v>25</v>
      </c>
      <c r="G2571" s="4" t="s">
        <v>25</v>
      </c>
      <c r="H2571" s="4" t="s">
        <v>25</v>
      </c>
      <c r="I2571" s="5">
        <v>44409</v>
      </c>
      <c r="J2571" s="6">
        <v>0</v>
      </c>
      <c r="K2571" s="6">
        <v>0</v>
      </c>
      <c r="L2571" s="6">
        <v>6326.9110000000001</v>
      </c>
      <c r="M2571" s="6">
        <v>6326.9110000000001</v>
      </c>
      <c r="N2571" s="6">
        <v>6326.9110000000001</v>
      </c>
      <c r="O2571" s="6">
        <v>6326.9110000000001</v>
      </c>
      <c r="P2571" s="6">
        <v>286</v>
      </c>
      <c r="Q2571" s="4" t="s">
        <v>26</v>
      </c>
      <c r="R2571" s="4">
        <v>0</v>
      </c>
      <c r="S2571" s="4" t="s">
        <v>405</v>
      </c>
      <c r="T2571" s="4" t="s">
        <v>642</v>
      </c>
      <c r="U2571" s="4">
        <v>0</v>
      </c>
      <c r="V2571" s="4">
        <v>68</v>
      </c>
      <c r="W2571" s="4">
        <v>83</v>
      </c>
    </row>
    <row r="2572" spans="1:23" ht="11.25" customHeight="1" x14ac:dyDescent="0.25">
      <c r="A2572" s="4" t="s">
        <v>29</v>
      </c>
      <c r="B2572" s="4" t="s">
        <v>49</v>
      </c>
      <c r="C2572" s="4" t="s">
        <v>23</v>
      </c>
      <c r="D2572" s="4" t="s">
        <v>50</v>
      </c>
      <c r="E2572" s="4" t="s">
        <v>51</v>
      </c>
      <c r="F2572" s="4" t="s">
        <v>25</v>
      </c>
      <c r="G2572" s="4" t="s">
        <v>25</v>
      </c>
      <c r="H2572" s="4" t="s">
        <v>25</v>
      </c>
      <c r="I2572" s="5">
        <v>44409</v>
      </c>
      <c r="J2572" s="6">
        <v>0</v>
      </c>
      <c r="K2572" s="6">
        <v>0</v>
      </c>
      <c r="L2572" s="6">
        <v>-0.313</v>
      </c>
      <c r="M2572" s="6">
        <v>-0.313</v>
      </c>
      <c r="N2572" s="6">
        <v>-0.313</v>
      </c>
      <c r="O2572" s="6">
        <v>-0.313</v>
      </c>
      <c r="P2572" s="6">
        <v>0</v>
      </c>
      <c r="Q2572" s="4" t="s">
        <v>26</v>
      </c>
      <c r="R2572" s="4">
        <v>0</v>
      </c>
      <c r="S2572" s="4" t="s">
        <v>405</v>
      </c>
      <c r="T2572" s="4" t="s">
        <v>642</v>
      </c>
      <c r="U2572" s="4">
        <v>0</v>
      </c>
      <c r="V2572" s="4">
        <v>68</v>
      </c>
      <c r="W2572" s="4">
        <v>83</v>
      </c>
    </row>
    <row r="2573" spans="1:23" ht="11.25" customHeight="1" x14ac:dyDescent="0.25">
      <c r="A2573" s="4" t="s">
        <v>21</v>
      </c>
      <c r="B2573" s="4" t="s">
        <v>49</v>
      </c>
      <c r="C2573" s="4" t="s">
        <v>23</v>
      </c>
      <c r="D2573" s="4" t="s">
        <v>50</v>
      </c>
      <c r="E2573" s="4" t="s">
        <v>51</v>
      </c>
      <c r="F2573" s="4" t="s">
        <v>25</v>
      </c>
      <c r="G2573" s="4" t="s">
        <v>25</v>
      </c>
      <c r="H2573" s="4" t="s">
        <v>25</v>
      </c>
      <c r="I2573" s="5">
        <v>44440</v>
      </c>
      <c r="J2573" s="6">
        <v>0</v>
      </c>
      <c r="K2573" s="6">
        <v>0</v>
      </c>
      <c r="L2573" s="6">
        <v>8696.3729999999996</v>
      </c>
      <c r="M2573" s="6">
        <v>8696.3729999999996</v>
      </c>
      <c r="N2573" s="6">
        <v>8696.3729999999996</v>
      </c>
      <c r="O2573" s="6">
        <v>8696.3729999999996</v>
      </c>
      <c r="P2573" s="6">
        <v>427</v>
      </c>
      <c r="Q2573" s="4" t="s">
        <v>26</v>
      </c>
      <c r="R2573" s="4">
        <v>0</v>
      </c>
      <c r="S2573" s="4" t="s">
        <v>406</v>
      </c>
      <c r="T2573" s="4" t="s">
        <v>643</v>
      </c>
      <c r="U2573" s="4">
        <v>0</v>
      </c>
      <c r="V2573" s="4">
        <v>68</v>
      </c>
      <c r="W2573" s="4">
        <v>83</v>
      </c>
    </row>
    <row r="2574" spans="1:23" ht="11.25" customHeight="1" x14ac:dyDescent="0.25">
      <c r="A2574" s="4" t="s">
        <v>27</v>
      </c>
      <c r="B2574" s="4" t="s">
        <v>49</v>
      </c>
      <c r="C2574" s="4" t="s">
        <v>23</v>
      </c>
      <c r="D2574" s="4" t="s">
        <v>50</v>
      </c>
      <c r="E2574" s="4" t="s">
        <v>51</v>
      </c>
      <c r="F2574" s="4" t="s">
        <v>25</v>
      </c>
      <c r="G2574" s="4" t="s">
        <v>25</v>
      </c>
      <c r="H2574" s="4" t="s">
        <v>25</v>
      </c>
      <c r="I2574" s="5">
        <v>44440</v>
      </c>
      <c r="J2574" s="6">
        <v>0</v>
      </c>
      <c r="K2574" s="6">
        <v>0</v>
      </c>
      <c r="L2574" s="6">
        <v>-12.782</v>
      </c>
      <c r="M2574" s="6">
        <v>-12.782</v>
      </c>
      <c r="N2574" s="6">
        <v>-12.782</v>
      </c>
      <c r="O2574" s="6">
        <v>-12.782</v>
      </c>
      <c r="P2574" s="6">
        <v>0</v>
      </c>
      <c r="Q2574" s="4" t="s">
        <v>26</v>
      </c>
      <c r="R2574" s="4">
        <v>0</v>
      </c>
      <c r="S2574" s="4" t="s">
        <v>406</v>
      </c>
      <c r="T2574" s="4" t="s">
        <v>643</v>
      </c>
      <c r="U2574" s="4">
        <v>0</v>
      </c>
      <c r="V2574" s="4">
        <v>68</v>
      </c>
      <c r="W2574" s="4">
        <v>83</v>
      </c>
    </row>
    <row r="2575" spans="1:23" ht="11.25" customHeight="1" x14ac:dyDescent="0.25">
      <c r="A2575" s="4" t="s">
        <v>28</v>
      </c>
      <c r="B2575" s="4" t="s">
        <v>49</v>
      </c>
      <c r="C2575" s="4" t="s">
        <v>23</v>
      </c>
      <c r="D2575" s="4" t="s">
        <v>50</v>
      </c>
      <c r="E2575" s="4" t="s">
        <v>51</v>
      </c>
      <c r="F2575" s="4" t="s">
        <v>25</v>
      </c>
      <c r="G2575" s="4" t="s">
        <v>25</v>
      </c>
      <c r="H2575" s="4" t="s">
        <v>25</v>
      </c>
      <c r="I2575" s="5">
        <v>44440</v>
      </c>
      <c r="J2575" s="6">
        <v>0</v>
      </c>
      <c r="K2575" s="6">
        <v>0</v>
      </c>
      <c r="L2575" s="6">
        <v>6105.53</v>
      </c>
      <c r="M2575" s="6">
        <v>6105.53</v>
      </c>
      <c r="N2575" s="6">
        <v>6105.53</v>
      </c>
      <c r="O2575" s="6">
        <v>6105.53</v>
      </c>
      <c r="P2575" s="6">
        <v>286</v>
      </c>
      <c r="Q2575" s="4" t="s">
        <v>26</v>
      </c>
      <c r="R2575" s="4">
        <v>0</v>
      </c>
      <c r="S2575" s="4" t="s">
        <v>406</v>
      </c>
      <c r="T2575" s="4" t="s">
        <v>643</v>
      </c>
      <c r="U2575" s="4">
        <v>0</v>
      </c>
      <c r="V2575" s="4">
        <v>68</v>
      </c>
      <c r="W2575" s="4">
        <v>83</v>
      </c>
    </row>
    <row r="2576" spans="1:23" ht="11.25" customHeight="1" x14ac:dyDescent="0.25">
      <c r="A2576" s="4" t="s">
        <v>59</v>
      </c>
      <c r="B2576" s="4" t="s">
        <v>49</v>
      </c>
      <c r="C2576" s="4" t="s">
        <v>23</v>
      </c>
      <c r="D2576" s="4" t="s">
        <v>50</v>
      </c>
      <c r="E2576" s="4" t="s">
        <v>51</v>
      </c>
      <c r="F2576" s="4" t="s">
        <v>25</v>
      </c>
      <c r="G2576" s="4" t="s">
        <v>25</v>
      </c>
      <c r="H2576" s="4" t="s">
        <v>25</v>
      </c>
      <c r="I2576" s="5">
        <v>44470</v>
      </c>
      <c r="J2576" s="6">
        <v>0</v>
      </c>
      <c r="K2576" s="6">
        <v>0</v>
      </c>
      <c r="L2576" s="6">
        <v>8696.3729999999996</v>
      </c>
      <c r="M2576" s="6">
        <v>8696.3729999999996</v>
      </c>
      <c r="N2576" s="6">
        <v>8696.3729999999996</v>
      </c>
      <c r="O2576" s="6">
        <v>8696.3729999999996</v>
      </c>
      <c r="P2576" s="6">
        <v>427</v>
      </c>
      <c r="Q2576" s="4" t="s">
        <v>26</v>
      </c>
      <c r="R2576" s="4">
        <v>0</v>
      </c>
      <c r="S2576" s="4" t="s">
        <v>407</v>
      </c>
      <c r="T2576" s="4" t="s">
        <v>644</v>
      </c>
      <c r="U2576" s="4">
        <v>0</v>
      </c>
      <c r="V2576" s="4">
        <v>68</v>
      </c>
      <c r="W2576" s="4">
        <v>83</v>
      </c>
    </row>
    <row r="2577" spans="1:23" ht="11.25" customHeight="1" x14ac:dyDescent="0.25">
      <c r="A2577" s="4" t="s">
        <v>59</v>
      </c>
      <c r="B2577" s="4" t="s">
        <v>49</v>
      </c>
      <c r="C2577" s="4" t="s">
        <v>23</v>
      </c>
      <c r="D2577" s="4" t="s">
        <v>50</v>
      </c>
      <c r="E2577" s="4" t="s">
        <v>51</v>
      </c>
      <c r="F2577" s="4" t="s">
        <v>25</v>
      </c>
      <c r="G2577" s="4" t="s">
        <v>25</v>
      </c>
      <c r="H2577" s="4" t="s">
        <v>25</v>
      </c>
      <c r="I2577" s="5">
        <v>44470</v>
      </c>
      <c r="J2577" s="6">
        <v>0</v>
      </c>
      <c r="K2577" s="6">
        <v>0</v>
      </c>
      <c r="L2577" s="6">
        <v>-12.782</v>
      </c>
      <c r="M2577" s="6">
        <v>-12.782</v>
      </c>
      <c r="N2577" s="6">
        <v>-12.782</v>
      </c>
      <c r="O2577" s="6">
        <v>-12.782</v>
      </c>
      <c r="P2577" s="6">
        <v>0</v>
      </c>
      <c r="Q2577" s="4" t="s">
        <v>26</v>
      </c>
      <c r="R2577" s="4">
        <v>0</v>
      </c>
      <c r="S2577" s="4" t="s">
        <v>407</v>
      </c>
      <c r="T2577" s="4" t="s">
        <v>644</v>
      </c>
      <c r="U2577" s="4">
        <v>0</v>
      </c>
      <c r="V2577" s="4">
        <v>68</v>
      </c>
      <c r="W2577" s="4">
        <v>83</v>
      </c>
    </row>
    <row r="2578" spans="1:23" ht="11.25" customHeight="1" x14ac:dyDescent="0.25">
      <c r="A2578" s="4" t="s">
        <v>59</v>
      </c>
      <c r="B2578" s="4" t="s">
        <v>49</v>
      </c>
      <c r="C2578" s="4" t="s">
        <v>23</v>
      </c>
      <c r="D2578" s="4" t="s">
        <v>50</v>
      </c>
      <c r="E2578" s="4" t="s">
        <v>51</v>
      </c>
      <c r="F2578" s="4" t="s">
        <v>25</v>
      </c>
      <c r="G2578" s="4" t="s">
        <v>25</v>
      </c>
      <c r="H2578" s="4" t="s">
        <v>25</v>
      </c>
      <c r="I2578" s="5">
        <v>44470</v>
      </c>
      <c r="J2578" s="6">
        <v>0</v>
      </c>
      <c r="K2578" s="6">
        <v>0</v>
      </c>
      <c r="L2578" s="6">
        <v>6105.53</v>
      </c>
      <c r="M2578" s="6">
        <v>6105.53</v>
      </c>
      <c r="N2578" s="6">
        <v>6105.53</v>
      </c>
      <c r="O2578" s="6">
        <v>6105.53</v>
      </c>
      <c r="P2578" s="6">
        <v>286</v>
      </c>
      <c r="Q2578" s="4" t="s">
        <v>26</v>
      </c>
      <c r="R2578" s="4">
        <v>0</v>
      </c>
      <c r="S2578" s="4" t="s">
        <v>407</v>
      </c>
      <c r="T2578" s="4" t="s">
        <v>644</v>
      </c>
      <c r="U2578" s="4">
        <v>0</v>
      </c>
      <c r="V2578" s="4">
        <v>68</v>
      </c>
      <c r="W2578" s="4">
        <v>83</v>
      </c>
    </row>
  </sheetData>
  <sortState xmlns:xlrd2="http://schemas.microsoft.com/office/spreadsheetml/2017/richdata2" ref="A2:W2578">
    <sortCondition ref="B2:B2578"/>
    <sortCondition ref="C2:C2578"/>
    <sortCondition ref="D2:D2578"/>
    <sortCondition ref="E2:E2578"/>
    <sortCondition ref="F2:F2578"/>
    <sortCondition ref="H2:H2578"/>
  </sortState>
  <pageMargins left="0.511811024" right="0.511811024" top="0.78740157499999996" bottom="0.78740157499999996" header="0.31496062000000002" footer="0.31496062000000002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B1584-BFFE-45F7-8C4E-52D97F22D43D}">
  <dimension ref="A1:H255"/>
  <sheetViews>
    <sheetView showGridLines="0" workbookViewId="0">
      <selection activeCell="H1" sqref="H1"/>
    </sheetView>
  </sheetViews>
  <sheetFormatPr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70</v>
      </c>
      <c r="B1" s="7" t="s">
        <v>71</v>
      </c>
      <c r="C1" s="7" t="s">
        <v>72</v>
      </c>
      <c r="D1" s="7" t="s">
        <v>73</v>
      </c>
      <c r="E1" s="7" t="s">
        <v>74</v>
      </c>
      <c r="G1" s="7" t="s">
        <v>75</v>
      </c>
      <c r="H1" s="7">
        <f>COUNTA(A:A)</f>
        <v>255</v>
      </c>
    </row>
    <row r="2" spans="1:8" ht="11.25" customHeight="1" x14ac:dyDescent="0.25">
      <c r="A2" s="8" t="s">
        <v>457</v>
      </c>
      <c r="B2" s="8" t="s">
        <v>458</v>
      </c>
      <c r="C2" s="8" t="s">
        <v>459</v>
      </c>
      <c r="D2" s="8">
        <v>769</v>
      </c>
      <c r="E2" s="8" t="s">
        <v>460</v>
      </c>
    </row>
    <row r="3" spans="1:8" ht="11.25" customHeight="1" x14ac:dyDescent="0.25">
      <c r="A3" s="8" t="s">
        <v>457</v>
      </c>
      <c r="B3" s="8" t="s">
        <v>458</v>
      </c>
      <c r="C3" s="8" t="s">
        <v>459</v>
      </c>
      <c r="D3" s="8">
        <v>770</v>
      </c>
      <c r="E3" s="8" t="s">
        <v>460</v>
      </c>
    </row>
    <row r="4" spans="1:8" ht="11.25" customHeight="1" x14ac:dyDescent="0.25">
      <c r="A4" s="8" t="s">
        <v>457</v>
      </c>
      <c r="B4" s="8" t="s">
        <v>458</v>
      </c>
      <c r="C4" s="8" t="s">
        <v>459</v>
      </c>
      <c r="D4" s="8">
        <v>771</v>
      </c>
      <c r="E4" s="8" t="s">
        <v>460</v>
      </c>
    </row>
    <row r="5" spans="1:8" ht="11.25" customHeight="1" x14ac:dyDescent="0.25">
      <c r="A5" s="8" t="s">
        <v>457</v>
      </c>
      <c r="B5" s="8" t="s">
        <v>458</v>
      </c>
      <c r="C5" s="8" t="s">
        <v>459</v>
      </c>
      <c r="D5" s="8">
        <v>772</v>
      </c>
      <c r="E5" s="8" t="s">
        <v>460</v>
      </c>
    </row>
    <row r="6" spans="1:8" ht="11.25" customHeight="1" x14ac:dyDescent="0.25">
      <c r="A6" s="8" t="s">
        <v>457</v>
      </c>
      <c r="B6" s="8" t="s">
        <v>458</v>
      </c>
      <c r="C6" s="8" t="s">
        <v>459</v>
      </c>
      <c r="D6" s="8">
        <v>774</v>
      </c>
      <c r="E6" s="8" t="s">
        <v>460</v>
      </c>
    </row>
    <row r="7" spans="1:8" ht="11.25" customHeight="1" x14ac:dyDescent="0.25">
      <c r="A7" s="8" t="s">
        <v>457</v>
      </c>
      <c r="B7" s="8" t="s">
        <v>458</v>
      </c>
      <c r="C7" s="8" t="s">
        <v>459</v>
      </c>
      <c r="D7" s="8">
        <v>775</v>
      </c>
      <c r="E7" s="8" t="s">
        <v>460</v>
      </c>
    </row>
    <row r="8" spans="1:8" ht="11.25" customHeight="1" x14ac:dyDescent="0.25">
      <c r="A8" s="8" t="s">
        <v>457</v>
      </c>
      <c r="B8" s="8" t="s">
        <v>458</v>
      </c>
      <c r="C8" s="8" t="s">
        <v>459</v>
      </c>
      <c r="D8" s="8">
        <v>776</v>
      </c>
      <c r="E8" s="8" t="s">
        <v>460</v>
      </c>
    </row>
    <row r="9" spans="1:8" ht="11.25" customHeight="1" x14ac:dyDescent="0.25">
      <c r="A9" s="8" t="s">
        <v>457</v>
      </c>
      <c r="B9" s="8" t="s">
        <v>458</v>
      </c>
      <c r="C9" s="8" t="s">
        <v>459</v>
      </c>
      <c r="D9" s="8">
        <v>777</v>
      </c>
      <c r="E9" s="8" t="s">
        <v>460</v>
      </c>
    </row>
    <row r="10" spans="1:8" ht="11.25" customHeight="1" x14ac:dyDescent="0.25">
      <c r="A10" s="8" t="s">
        <v>457</v>
      </c>
      <c r="B10" s="8" t="s">
        <v>458</v>
      </c>
      <c r="C10" s="8" t="s">
        <v>459</v>
      </c>
      <c r="D10" s="8">
        <v>779</v>
      </c>
      <c r="E10" s="8" t="s">
        <v>460</v>
      </c>
    </row>
    <row r="11" spans="1:8" ht="11.25" customHeight="1" x14ac:dyDescent="0.25">
      <c r="A11" s="8" t="s">
        <v>457</v>
      </c>
      <c r="B11" s="8" t="s">
        <v>458</v>
      </c>
      <c r="C11" s="8" t="s">
        <v>459</v>
      </c>
      <c r="D11" s="8">
        <v>780</v>
      </c>
      <c r="E11" s="8" t="s">
        <v>460</v>
      </c>
    </row>
    <row r="12" spans="1:8" ht="11.25" customHeight="1" x14ac:dyDescent="0.25">
      <c r="A12" s="8" t="s">
        <v>457</v>
      </c>
      <c r="B12" s="8" t="s">
        <v>458</v>
      </c>
      <c r="C12" s="8" t="s">
        <v>459</v>
      </c>
      <c r="D12" s="8">
        <v>781</v>
      </c>
      <c r="E12" s="8" t="s">
        <v>460</v>
      </c>
    </row>
    <row r="13" spans="1:8" ht="11.25" customHeight="1" x14ac:dyDescent="0.25">
      <c r="A13" s="8" t="s">
        <v>457</v>
      </c>
      <c r="B13" s="8" t="s">
        <v>458</v>
      </c>
      <c r="C13" s="8" t="s">
        <v>459</v>
      </c>
      <c r="D13" s="8">
        <v>782</v>
      </c>
      <c r="E13" s="8" t="s">
        <v>460</v>
      </c>
    </row>
    <row r="14" spans="1:8" ht="11.25" customHeight="1" x14ac:dyDescent="0.25">
      <c r="A14" s="8" t="s">
        <v>457</v>
      </c>
      <c r="B14" s="8" t="s">
        <v>458</v>
      </c>
      <c r="C14" s="8" t="s">
        <v>459</v>
      </c>
      <c r="D14" s="8">
        <v>783</v>
      </c>
      <c r="E14" s="8" t="s">
        <v>460</v>
      </c>
    </row>
    <row r="15" spans="1:8" ht="11.25" customHeight="1" x14ac:dyDescent="0.25">
      <c r="A15" s="8" t="s">
        <v>457</v>
      </c>
      <c r="B15" s="8" t="s">
        <v>458</v>
      </c>
      <c r="C15" s="8" t="s">
        <v>459</v>
      </c>
      <c r="D15" s="8">
        <v>785</v>
      </c>
      <c r="E15" s="8" t="s">
        <v>460</v>
      </c>
    </row>
    <row r="16" spans="1:8" ht="11.25" customHeight="1" x14ac:dyDescent="0.25">
      <c r="A16" s="8" t="s">
        <v>457</v>
      </c>
      <c r="B16" s="8" t="s">
        <v>458</v>
      </c>
      <c r="C16" s="8" t="s">
        <v>459</v>
      </c>
      <c r="D16" s="8">
        <v>786</v>
      </c>
      <c r="E16" s="8" t="s">
        <v>460</v>
      </c>
    </row>
    <row r="17" spans="1:5" ht="11.25" customHeight="1" x14ac:dyDescent="0.25">
      <c r="A17" s="8" t="s">
        <v>457</v>
      </c>
      <c r="B17" s="8" t="s">
        <v>458</v>
      </c>
      <c r="C17" s="8" t="s">
        <v>459</v>
      </c>
      <c r="D17" s="8">
        <v>787</v>
      </c>
      <c r="E17" s="8" t="s">
        <v>460</v>
      </c>
    </row>
    <row r="18" spans="1:5" ht="11.25" customHeight="1" x14ac:dyDescent="0.25">
      <c r="A18" s="8" t="s">
        <v>457</v>
      </c>
      <c r="B18" s="8" t="s">
        <v>458</v>
      </c>
      <c r="C18" s="8" t="s">
        <v>459</v>
      </c>
      <c r="D18" s="8">
        <v>788</v>
      </c>
      <c r="E18" s="8" t="s">
        <v>460</v>
      </c>
    </row>
    <row r="19" spans="1:5" ht="11.25" customHeight="1" x14ac:dyDescent="0.25">
      <c r="A19" s="8" t="s">
        <v>457</v>
      </c>
      <c r="B19" s="8" t="s">
        <v>458</v>
      </c>
      <c r="C19" s="8" t="s">
        <v>459</v>
      </c>
      <c r="D19" s="8">
        <v>789</v>
      </c>
      <c r="E19" s="8" t="s">
        <v>460</v>
      </c>
    </row>
    <row r="20" spans="1:5" ht="11.25" customHeight="1" x14ac:dyDescent="0.25">
      <c r="A20" s="8" t="s">
        <v>457</v>
      </c>
      <c r="B20" s="8" t="s">
        <v>458</v>
      </c>
      <c r="C20" s="8" t="s">
        <v>459</v>
      </c>
      <c r="D20" s="8">
        <v>791</v>
      </c>
      <c r="E20" s="8" t="s">
        <v>460</v>
      </c>
    </row>
    <row r="21" spans="1:5" ht="11.25" customHeight="1" x14ac:dyDescent="0.25">
      <c r="A21" s="8" t="s">
        <v>457</v>
      </c>
      <c r="B21" s="8" t="s">
        <v>458</v>
      </c>
      <c r="C21" s="8" t="s">
        <v>459</v>
      </c>
      <c r="D21" s="8">
        <v>792</v>
      </c>
      <c r="E21" s="8" t="s">
        <v>460</v>
      </c>
    </row>
    <row r="22" spans="1:5" ht="11.25" customHeight="1" x14ac:dyDescent="0.25">
      <c r="A22" s="8" t="s">
        <v>457</v>
      </c>
      <c r="B22" s="8" t="s">
        <v>458</v>
      </c>
      <c r="C22" s="8" t="s">
        <v>459</v>
      </c>
      <c r="D22" s="8">
        <v>793</v>
      </c>
      <c r="E22" s="8" t="s">
        <v>460</v>
      </c>
    </row>
    <row r="23" spans="1:5" ht="11.25" customHeight="1" x14ac:dyDescent="0.25">
      <c r="A23" s="8" t="s">
        <v>457</v>
      </c>
      <c r="B23" s="8" t="s">
        <v>458</v>
      </c>
      <c r="C23" s="8" t="s">
        <v>459</v>
      </c>
      <c r="D23" s="8">
        <v>794</v>
      </c>
      <c r="E23" s="8" t="s">
        <v>460</v>
      </c>
    </row>
    <row r="24" spans="1:5" ht="11.25" customHeight="1" x14ac:dyDescent="0.25">
      <c r="A24" s="8" t="s">
        <v>457</v>
      </c>
      <c r="B24" s="8" t="s">
        <v>458</v>
      </c>
      <c r="C24" s="8" t="s">
        <v>459</v>
      </c>
      <c r="D24" s="8">
        <v>796</v>
      </c>
      <c r="E24" s="8" t="s">
        <v>460</v>
      </c>
    </row>
    <row r="25" spans="1:5" ht="11.25" customHeight="1" x14ac:dyDescent="0.25">
      <c r="A25" s="8" t="s">
        <v>457</v>
      </c>
      <c r="B25" s="8" t="s">
        <v>458</v>
      </c>
      <c r="C25" s="8" t="s">
        <v>459</v>
      </c>
      <c r="D25" s="8">
        <v>797</v>
      </c>
      <c r="E25" s="8" t="s">
        <v>460</v>
      </c>
    </row>
    <row r="26" spans="1:5" ht="11.25" customHeight="1" x14ac:dyDescent="0.25">
      <c r="A26" s="8" t="s">
        <v>457</v>
      </c>
      <c r="B26" s="8" t="s">
        <v>458</v>
      </c>
      <c r="C26" s="8" t="s">
        <v>459</v>
      </c>
      <c r="D26" s="8">
        <v>798</v>
      </c>
      <c r="E26" s="8" t="s">
        <v>460</v>
      </c>
    </row>
    <row r="27" spans="1:5" ht="11.25" customHeight="1" x14ac:dyDescent="0.25">
      <c r="A27" s="8" t="s">
        <v>457</v>
      </c>
      <c r="B27" s="8" t="s">
        <v>458</v>
      </c>
      <c r="C27" s="8" t="s">
        <v>459</v>
      </c>
      <c r="D27" s="8">
        <v>799</v>
      </c>
      <c r="E27" s="8" t="s">
        <v>460</v>
      </c>
    </row>
    <row r="28" spans="1:5" ht="11.25" customHeight="1" x14ac:dyDescent="0.25">
      <c r="A28" s="8" t="s">
        <v>457</v>
      </c>
      <c r="B28" s="8" t="s">
        <v>458</v>
      </c>
      <c r="C28" s="8" t="s">
        <v>459</v>
      </c>
      <c r="D28" s="8">
        <v>801</v>
      </c>
      <c r="E28" s="8" t="s">
        <v>460</v>
      </c>
    </row>
    <row r="29" spans="1:5" ht="11.25" customHeight="1" x14ac:dyDescent="0.25">
      <c r="A29" s="8" t="s">
        <v>457</v>
      </c>
      <c r="B29" s="8" t="s">
        <v>458</v>
      </c>
      <c r="C29" s="8" t="s">
        <v>459</v>
      </c>
      <c r="D29" s="8">
        <v>802</v>
      </c>
      <c r="E29" s="8" t="s">
        <v>460</v>
      </c>
    </row>
    <row r="30" spans="1:5" ht="11.25" customHeight="1" x14ac:dyDescent="0.25">
      <c r="A30" s="8" t="s">
        <v>457</v>
      </c>
      <c r="B30" s="8" t="s">
        <v>458</v>
      </c>
      <c r="C30" s="8" t="s">
        <v>459</v>
      </c>
      <c r="D30" s="8">
        <v>803</v>
      </c>
      <c r="E30" s="8" t="s">
        <v>460</v>
      </c>
    </row>
    <row r="31" spans="1:5" ht="11.25" customHeight="1" x14ac:dyDescent="0.25">
      <c r="A31" s="8" t="s">
        <v>457</v>
      </c>
      <c r="B31" s="8" t="s">
        <v>458</v>
      </c>
      <c r="C31" s="8" t="s">
        <v>459</v>
      </c>
      <c r="D31" s="8">
        <v>804</v>
      </c>
      <c r="E31" s="8" t="s">
        <v>460</v>
      </c>
    </row>
    <row r="32" spans="1:5" ht="11.25" customHeight="1" x14ac:dyDescent="0.25">
      <c r="A32" s="8" t="s">
        <v>457</v>
      </c>
      <c r="B32" s="8" t="s">
        <v>458</v>
      </c>
      <c r="C32" s="8" t="s">
        <v>459</v>
      </c>
      <c r="D32" s="8">
        <v>806</v>
      </c>
      <c r="E32" s="8" t="s">
        <v>460</v>
      </c>
    </row>
    <row r="33" spans="1:5" ht="11.25" customHeight="1" x14ac:dyDescent="0.25">
      <c r="A33" s="8" t="s">
        <v>457</v>
      </c>
      <c r="B33" s="8" t="s">
        <v>458</v>
      </c>
      <c r="C33" s="8" t="s">
        <v>459</v>
      </c>
      <c r="D33" s="8">
        <v>807</v>
      </c>
      <c r="E33" s="8" t="s">
        <v>460</v>
      </c>
    </row>
    <row r="34" spans="1:5" ht="11.25" customHeight="1" x14ac:dyDescent="0.25">
      <c r="A34" s="8" t="s">
        <v>457</v>
      </c>
      <c r="B34" s="8" t="s">
        <v>458</v>
      </c>
      <c r="C34" s="8" t="s">
        <v>459</v>
      </c>
      <c r="D34" s="8">
        <v>808</v>
      </c>
      <c r="E34" s="8" t="s">
        <v>460</v>
      </c>
    </row>
    <row r="35" spans="1:5" ht="11.25" customHeight="1" x14ac:dyDescent="0.25">
      <c r="A35" s="8" t="s">
        <v>457</v>
      </c>
      <c r="B35" s="8" t="s">
        <v>458</v>
      </c>
      <c r="C35" s="8" t="s">
        <v>459</v>
      </c>
      <c r="D35" s="8">
        <v>809</v>
      </c>
      <c r="E35" s="8" t="s">
        <v>460</v>
      </c>
    </row>
    <row r="36" spans="1:5" ht="11.25" customHeight="1" x14ac:dyDescent="0.25">
      <c r="A36" s="8" t="s">
        <v>457</v>
      </c>
      <c r="B36" s="8" t="s">
        <v>458</v>
      </c>
      <c r="C36" s="8" t="s">
        <v>459</v>
      </c>
      <c r="D36" s="8">
        <v>810</v>
      </c>
      <c r="E36" s="8" t="s">
        <v>460</v>
      </c>
    </row>
    <row r="37" spans="1:5" ht="11.25" customHeight="1" x14ac:dyDescent="0.25">
      <c r="A37" s="8" t="s">
        <v>457</v>
      </c>
      <c r="B37" s="8" t="s">
        <v>458</v>
      </c>
      <c r="C37" s="8" t="s">
        <v>459</v>
      </c>
      <c r="D37" s="8">
        <v>812</v>
      </c>
      <c r="E37" s="8" t="s">
        <v>460</v>
      </c>
    </row>
    <row r="38" spans="1:5" ht="11.25" customHeight="1" x14ac:dyDescent="0.25">
      <c r="A38" s="8" t="s">
        <v>457</v>
      </c>
      <c r="B38" s="8" t="s">
        <v>458</v>
      </c>
      <c r="C38" s="8" t="s">
        <v>459</v>
      </c>
      <c r="D38" s="8">
        <v>813</v>
      </c>
      <c r="E38" s="8" t="s">
        <v>460</v>
      </c>
    </row>
    <row r="39" spans="1:5" ht="11.25" customHeight="1" x14ac:dyDescent="0.25">
      <c r="A39" s="8" t="s">
        <v>457</v>
      </c>
      <c r="B39" s="8" t="s">
        <v>458</v>
      </c>
      <c r="C39" s="8" t="s">
        <v>459</v>
      </c>
      <c r="D39" s="8">
        <v>814</v>
      </c>
      <c r="E39" s="8" t="s">
        <v>460</v>
      </c>
    </row>
    <row r="40" spans="1:5" ht="11.25" customHeight="1" x14ac:dyDescent="0.25">
      <c r="A40" s="8" t="s">
        <v>457</v>
      </c>
      <c r="B40" s="8" t="s">
        <v>458</v>
      </c>
      <c r="C40" s="8" t="s">
        <v>459</v>
      </c>
      <c r="D40" s="8">
        <v>815</v>
      </c>
      <c r="E40" s="8" t="s">
        <v>460</v>
      </c>
    </row>
    <row r="41" spans="1:5" ht="11.25" customHeight="1" x14ac:dyDescent="0.25">
      <c r="A41" s="8" t="s">
        <v>457</v>
      </c>
      <c r="B41" s="8" t="s">
        <v>458</v>
      </c>
      <c r="C41" s="8" t="s">
        <v>459</v>
      </c>
      <c r="D41" s="8">
        <v>816</v>
      </c>
      <c r="E41" s="8" t="s">
        <v>460</v>
      </c>
    </row>
    <row r="42" spans="1:5" ht="11.25" customHeight="1" x14ac:dyDescent="0.25">
      <c r="A42" s="8" t="s">
        <v>457</v>
      </c>
      <c r="B42" s="8" t="s">
        <v>458</v>
      </c>
      <c r="C42" s="8" t="s">
        <v>459</v>
      </c>
      <c r="D42" s="8">
        <v>817</v>
      </c>
      <c r="E42" s="8" t="s">
        <v>460</v>
      </c>
    </row>
    <row r="43" spans="1:5" ht="11.25" customHeight="1" x14ac:dyDescent="0.25">
      <c r="A43" s="8" t="s">
        <v>457</v>
      </c>
      <c r="B43" s="8" t="s">
        <v>458</v>
      </c>
      <c r="C43" s="8" t="s">
        <v>459</v>
      </c>
      <c r="D43" s="8">
        <v>819</v>
      </c>
      <c r="E43" s="8" t="s">
        <v>460</v>
      </c>
    </row>
    <row r="44" spans="1:5" ht="11.25" customHeight="1" x14ac:dyDescent="0.25">
      <c r="A44" s="8" t="s">
        <v>457</v>
      </c>
      <c r="B44" s="8" t="s">
        <v>458</v>
      </c>
      <c r="C44" s="8" t="s">
        <v>459</v>
      </c>
      <c r="D44" s="8">
        <v>820</v>
      </c>
      <c r="E44" s="8" t="s">
        <v>460</v>
      </c>
    </row>
    <row r="45" spans="1:5" ht="11.25" customHeight="1" x14ac:dyDescent="0.25">
      <c r="A45" s="8" t="s">
        <v>457</v>
      </c>
      <c r="B45" s="8" t="s">
        <v>458</v>
      </c>
      <c r="C45" s="8" t="s">
        <v>459</v>
      </c>
      <c r="D45" s="8">
        <v>821</v>
      </c>
      <c r="E45" s="8" t="s">
        <v>460</v>
      </c>
    </row>
    <row r="46" spans="1:5" ht="11.25" customHeight="1" x14ac:dyDescent="0.25">
      <c r="A46" s="8" t="s">
        <v>457</v>
      </c>
      <c r="B46" s="8" t="s">
        <v>458</v>
      </c>
      <c r="C46" s="8" t="s">
        <v>459</v>
      </c>
      <c r="D46" s="8">
        <v>822</v>
      </c>
      <c r="E46" s="8" t="s">
        <v>460</v>
      </c>
    </row>
    <row r="47" spans="1:5" ht="11.25" customHeight="1" x14ac:dyDescent="0.25">
      <c r="A47" s="8" t="s">
        <v>457</v>
      </c>
      <c r="B47" s="8" t="s">
        <v>458</v>
      </c>
      <c r="C47" s="8" t="s">
        <v>459</v>
      </c>
      <c r="D47" s="8">
        <v>823</v>
      </c>
      <c r="E47" s="8" t="s">
        <v>460</v>
      </c>
    </row>
    <row r="48" spans="1:5" ht="11.25" customHeight="1" x14ac:dyDescent="0.25">
      <c r="A48" s="8" t="s">
        <v>457</v>
      </c>
      <c r="B48" s="8" t="s">
        <v>458</v>
      </c>
      <c r="C48" s="8" t="s">
        <v>459</v>
      </c>
      <c r="D48" s="8">
        <v>825</v>
      </c>
      <c r="E48" s="8" t="s">
        <v>460</v>
      </c>
    </row>
    <row r="49" spans="1:5" ht="11.25" customHeight="1" x14ac:dyDescent="0.25">
      <c r="A49" s="8" t="s">
        <v>457</v>
      </c>
      <c r="B49" s="8" t="s">
        <v>458</v>
      </c>
      <c r="C49" s="8" t="s">
        <v>459</v>
      </c>
      <c r="D49" s="8">
        <v>826</v>
      </c>
      <c r="E49" s="8" t="s">
        <v>460</v>
      </c>
    </row>
    <row r="50" spans="1:5" ht="11.25" customHeight="1" x14ac:dyDescent="0.25">
      <c r="A50" s="8" t="s">
        <v>457</v>
      </c>
      <c r="B50" s="8" t="s">
        <v>458</v>
      </c>
      <c r="C50" s="8" t="s">
        <v>459</v>
      </c>
      <c r="D50" s="8">
        <v>827</v>
      </c>
      <c r="E50" s="8" t="s">
        <v>460</v>
      </c>
    </row>
    <row r="51" spans="1:5" ht="11.25" customHeight="1" x14ac:dyDescent="0.25">
      <c r="A51" s="8" t="s">
        <v>457</v>
      </c>
      <c r="B51" s="8" t="s">
        <v>458</v>
      </c>
      <c r="C51" s="8" t="s">
        <v>459</v>
      </c>
      <c r="D51" s="8">
        <v>828</v>
      </c>
      <c r="E51" s="8" t="s">
        <v>460</v>
      </c>
    </row>
    <row r="52" spans="1:5" ht="11.25" customHeight="1" x14ac:dyDescent="0.25">
      <c r="A52" s="8" t="s">
        <v>457</v>
      </c>
      <c r="B52" s="8" t="s">
        <v>458</v>
      </c>
      <c r="C52" s="8" t="s">
        <v>459</v>
      </c>
      <c r="D52" s="8">
        <v>830</v>
      </c>
      <c r="E52" s="8" t="s">
        <v>460</v>
      </c>
    </row>
    <row r="53" spans="1:5" ht="11.25" customHeight="1" x14ac:dyDescent="0.25">
      <c r="A53" s="8" t="s">
        <v>457</v>
      </c>
      <c r="B53" s="8" t="s">
        <v>458</v>
      </c>
      <c r="C53" s="8" t="s">
        <v>459</v>
      </c>
      <c r="D53" s="8">
        <v>831</v>
      </c>
      <c r="E53" s="8" t="s">
        <v>460</v>
      </c>
    </row>
    <row r="54" spans="1:5" ht="11.25" customHeight="1" x14ac:dyDescent="0.25">
      <c r="A54" s="8" t="s">
        <v>457</v>
      </c>
      <c r="B54" s="8" t="s">
        <v>458</v>
      </c>
      <c r="C54" s="8" t="s">
        <v>459</v>
      </c>
      <c r="D54" s="8">
        <v>832</v>
      </c>
      <c r="E54" s="8" t="s">
        <v>460</v>
      </c>
    </row>
    <row r="55" spans="1:5" ht="11.25" customHeight="1" x14ac:dyDescent="0.25">
      <c r="A55" s="8" t="s">
        <v>457</v>
      </c>
      <c r="B55" s="8" t="s">
        <v>458</v>
      </c>
      <c r="C55" s="8" t="s">
        <v>459</v>
      </c>
      <c r="D55" s="8">
        <v>833</v>
      </c>
      <c r="E55" s="8" t="s">
        <v>460</v>
      </c>
    </row>
    <row r="56" spans="1:5" ht="11.25" customHeight="1" x14ac:dyDescent="0.25">
      <c r="A56" s="8" t="s">
        <v>457</v>
      </c>
      <c r="B56" s="8" t="s">
        <v>458</v>
      </c>
      <c r="C56" s="8" t="s">
        <v>459</v>
      </c>
      <c r="D56" s="8">
        <v>913</v>
      </c>
      <c r="E56" s="8" t="s">
        <v>460</v>
      </c>
    </row>
    <row r="57" spans="1:5" ht="11.25" customHeight="1" x14ac:dyDescent="0.25">
      <c r="A57" s="8" t="s">
        <v>457</v>
      </c>
      <c r="B57" s="8" t="s">
        <v>458</v>
      </c>
      <c r="C57" s="8" t="s">
        <v>459</v>
      </c>
      <c r="D57" s="8">
        <v>914</v>
      </c>
      <c r="E57" s="8" t="s">
        <v>460</v>
      </c>
    </row>
    <row r="58" spans="1:5" ht="11.25" customHeight="1" x14ac:dyDescent="0.25">
      <c r="A58" s="8" t="s">
        <v>457</v>
      </c>
      <c r="B58" s="8" t="s">
        <v>458</v>
      </c>
      <c r="C58" s="8" t="s">
        <v>459</v>
      </c>
      <c r="D58" s="8">
        <v>915</v>
      </c>
      <c r="E58" s="8" t="s">
        <v>460</v>
      </c>
    </row>
    <row r="59" spans="1:5" ht="11.25" customHeight="1" x14ac:dyDescent="0.25">
      <c r="A59" s="8" t="s">
        <v>457</v>
      </c>
      <c r="B59" s="8" t="s">
        <v>458</v>
      </c>
      <c r="C59" s="8" t="s">
        <v>459</v>
      </c>
      <c r="D59" s="8">
        <v>916</v>
      </c>
      <c r="E59" s="8" t="s">
        <v>460</v>
      </c>
    </row>
    <row r="60" spans="1:5" ht="11.25" customHeight="1" x14ac:dyDescent="0.25">
      <c r="A60" s="8" t="s">
        <v>457</v>
      </c>
      <c r="B60" s="8" t="s">
        <v>458</v>
      </c>
      <c r="C60" s="8" t="s">
        <v>459</v>
      </c>
      <c r="D60" s="8">
        <v>917</v>
      </c>
      <c r="E60" s="8" t="s">
        <v>460</v>
      </c>
    </row>
    <row r="61" spans="1:5" ht="11.25" customHeight="1" x14ac:dyDescent="0.25">
      <c r="A61" s="8" t="s">
        <v>457</v>
      </c>
      <c r="B61" s="8" t="s">
        <v>458</v>
      </c>
      <c r="C61" s="8" t="s">
        <v>459</v>
      </c>
      <c r="D61" s="8">
        <v>918</v>
      </c>
      <c r="E61" s="8" t="s">
        <v>460</v>
      </c>
    </row>
    <row r="62" spans="1:5" ht="11.25" customHeight="1" x14ac:dyDescent="0.25">
      <c r="A62" s="8" t="s">
        <v>457</v>
      </c>
      <c r="B62" s="8" t="s">
        <v>458</v>
      </c>
      <c r="C62" s="8" t="s">
        <v>459</v>
      </c>
      <c r="D62" s="8">
        <v>919</v>
      </c>
      <c r="E62" s="8" t="s">
        <v>460</v>
      </c>
    </row>
    <row r="63" spans="1:5" ht="11.25" customHeight="1" x14ac:dyDescent="0.25">
      <c r="A63" s="8" t="s">
        <v>457</v>
      </c>
      <c r="B63" s="8" t="s">
        <v>458</v>
      </c>
      <c r="C63" s="8" t="s">
        <v>459</v>
      </c>
      <c r="D63" s="8">
        <v>920</v>
      </c>
      <c r="E63" s="8" t="s">
        <v>460</v>
      </c>
    </row>
    <row r="64" spans="1:5" ht="11.25" customHeight="1" x14ac:dyDescent="0.25">
      <c r="A64" s="8" t="s">
        <v>457</v>
      </c>
      <c r="B64" s="8" t="s">
        <v>458</v>
      </c>
      <c r="C64" s="8" t="s">
        <v>459</v>
      </c>
      <c r="D64" s="8">
        <v>921</v>
      </c>
      <c r="E64" s="8" t="s">
        <v>460</v>
      </c>
    </row>
    <row r="65" spans="1:5" ht="11.25" customHeight="1" x14ac:dyDescent="0.25">
      <c r="A65" s="8" t="s">
        <v>457</v>
      </c>
      <c r="B65" s="8" t="s">
        <v>458</v>
      </c>
      <c r="C65" s="8" t="s">
        <v>459</v>
      </c>
      <c r="D65" s="8">
        <v>922</v>
      </c>
      <c r="E65" s="8" t="s">
        <v>460</v>
      </c>
    </row>
    <row r="66" spans="1:5" ht="11.25" customHeight="1" x14ac:dyDescent="0.25">
      <c r="A66" s="8" t="s">
        <v>457</v>
      </c>
      <c r="B66" s="8" t="s">
        <v>458</v>
      </c>
      <c r="C66" s="8" t="s">
        <v>459</v>
      </c>
      <c r="D66" s="8">
        <v>923</v>
      </c>
      <c r="E66" s="8" t="s">
        <v>460</v>
      </c>
    </row>
    <row r="67" spans="1:5" ht="11.25" customHeight="1" x14ac:dyDescent="0.25">
      <c r="A67" s="8" t="s">
        <v>457</v>
      </c>
      <c r="B67" s="8" t="s">
        <v>458</v>
      </c>
      <c r="C67" s="8" t="s">
        <v>459</v>
      </c>
      <c r="D67" s="8">
        <v>924</v>
      </c>
      <c r="E67" s="8" t="s">
        <v>460</v>
      </c>
    </row>
    <row r="68" spans="1:5" ht="11.25" customHeight="1" x14ac:dyDescent="0.25">
      <c r="A68" s="8" t="s">
        <v>457</v>
      </c>
      <c r="B68" s="8" t="s">
        <v>458</v>
      </c>
      <c r="C68" s="8" t="s">
        <v>459</v>
      </c>
      <c r="D68" s="8">
        <v>1029</v>
      </c>
      <c r="E68" s="8" t="s">
        <v>460</v>
      </c>
    </row>
    <row r="69" spans="1:5" ht="11.25" customHeight="1" x14ac:dyDescent="0.25">
      <c r="A69" s="8" t="s">
        <v>457</v>
      </c>
      <c r="B69" s="8" t="s">
        <v>458</v>
      </c>
      <c r="C69" s="8" t="s">
        <v>459</v>
      </c>
      <c r="D69" s="8">
        <v>1030</v>
      </c>
      <c r="E69" s="8" t="s">
        <v>460</v>
      </c>
    </row>
    <row r="70" spans="1:5" ht="11.25" customHeight="1" x14ac:dyDescent="0.25">
      <c r="A70" s="8" t="s">
        <v>457</v>
      </c>
      <c r="B70" s="8" t="s">
        <v>458</v>
      </c>
      <c r="C70" s="8" t="s">
        <v>459</v>
      </c>
      <c r="D70" s="8">
        <v>1031</v>
      </c>
      <c r="E70" s="8" t="s">
        <v>460</v>
      </c>
    </row>
    <row r="71" spans="1:5" ht="11.25" customHeight="1" x14ac:dyDescent="0.25">
      <c r="A71" s="8" t="s">
        <v>457</v>
      </c>
      <c r="B71" s="8" t="s">
        <v>458</v>
      </c>
      <c r="C71" s="8" t="s">
        <v>459</v>
      </c>
      <c r="D71" s="8">
        <v>1032</v>
      </c>
      <c r="E71" s="8" t="s">
        <v>460</v>
      </c>
    </row>
    <row r="72" spans="1:5" ht="11.25" customHeight="1" x14ac:dyDescent="0.25">
      <c r="A72" s="8" t="s">
        <v>457</v>
      </c>
      <c r="B72" s="8" t="s">
        <v>458</v>
      </c>
      <c r="C72" s="8" t="s">
        <v>459</v>
      </c>
      <c r="D72" s="8">
        <v>1033</v>
      </c>
      <c r="E72" s="8" t="s">
        <v>460</v>
      </c>
    </row>
    <row r="73" spans="1:5" ht="11.25" customHeight="1" x14ac:dyDescent="0.25">
      <c r="A73" s="8" t="s">
        <v>457</v>
      </c>
      <c r="B73" s="8" t="s">
        <v>458</v>
      </c>
      <c r="C73" s="8" t="s">
        <v>459</v>
      </c>
      <c r="D73" s="8">
        <v>1034</v>
      </c>
      <c r="E73" s="8" t="s">
        <v>460</v>
      </c>
    </row>
    <row r="74" spans="1:5" ht="11.25" customHeight="1" x14ac:dyDescent="0.25">
      <c r="A74" s="8" t="s">
        <v>457</v>
      </c>
      <c r="B74" s="8" t="s">
        <v>458</v>
      </c>
      <c r="C74" s="8" t="s">
        <v>459</v>
      </c>
      <c r="D74" s="8">
        <v>1035</v>
      </c>
      <c r="E74" s="8" t="s">
        <v>460</v>
      </c>
    </row>
    <row r="75" spans="1:5" ht="11.25" customHeight="1" x14ac:dyDescent="0.25">
      <c r="A75" s="8" t="s">
        <v>457</v>
      </c>
      <c r="B75" s="8" t="s">
        <v>458</v>
      </c>
      <c r="C75" s="8" t="s">
        <v>459</v>
      </c>
      <c r="D75" s="8">
        <v>1036</v>
      </c>
      <c r="E75" s="8" t="s">
        <v>460</v>
      </c>
    </row>
    <row r="76" spans="1:5" ht="11.25" customHeight="1" x14ac:dyDescent="0.25">
      <c r="A76" s="8" t="s">
        <v>457</v>
      </c>
      <c r="B76" s="8" t="s">
        <v>458</v>
      </c>
      <c r="C76" s="8" t="s">
        <v>459</v>
      </c>
      <c r="D76" s="8">
        <v>1037</v>
      </c>
      <c r="E76" s="8" t="s">
        <v>460</v>
      </c>
    </row>
    <row r="77" spans="1:5" ht="11.25" customHeight="1" x14ac:dyDescent="0.25">
      <c r="A77" s="8" t="s">
        <v>457</v>
      </c>
      <c r="B77" s="8" t="s">
        <v>458</v>
      </c>
      <c r="C77" s="8" t="s">
        <v>459</v>
      </c>
      <c r="D77" s="8">
        <v>1038</v>
      </c>
      <c r="E77" s="8" t="s">
        <v>460</v>
      </c>
    </row>
    <row r="78" spans="1:5" ht="11.25" customHeight="1" x14ac:dyDescent="0.25">
      <c r="A78" s="8" t="s">
        <v>457</v>
      </c>
      <c r="B78" s="8" t="s">
        <v>458</v>
      </c>
      <c r="C78" s="8" t="s">
        <v>459</v>
      </c>
      <c r="D78" s="8">
        <v>1039</v>
      </c>
      <c r="E78" s="8" t="s">
        <v>460</v>
      </c>
    </row>
    <row r="79" spans="1:5" ht="11.25" customHeight="1" x14ac:dyDescent="0.25">
      <c r="A79" s="8" t="s">
        <v>457</v>
      </c>
      <c r="B79" s="8" t="s">
        <v>458</v>
      </c>
      <c r="C79" s="8" t="s">
        <v>459</v>
      </c>
      <c r="D79" s="8">
        <v>1040</v>
      </c>
      <c r="E79" s="8" t="s">
        <v>460</v>
      </c>
    </row>
    <row r="80" spans="1:5" ht="11.25" customHeight="1" x14ac:dyDescent="0.25">
      <c r="A80" s="8" t="s">
        <v>457</v>
      </c>
      <c r="B80" s="8" t="s">
        <v>458</v>
      </c>
      <c r="C80" s="8" t="s">
        <v>459</v>
      </c>
      <c r="D80" s="8">
        <v>1041</v>
      </c>
      <c r="E80" s="8" t="s">
        <v>460</v>
      </c>
    </row>
    <row r="81" spans="1:5" ht="11.25" customHeight="1" x14ac:dyDescent="0.25">
      <c r="A81" s="8" t="s">
        <v>457</v>
      </c>
      <c r="B81" s="8" t="s">
        <v>458</v>
      </c>
      <c r="C81" s="8" t="s">
        <v>459</v>
      </c>
      <c r="D81" s="8">
        <v>1042</v>
      </c>
      <c r="E81" s="8" t="s">
        <v>460</v>
      </c>
    </row>
    <row r="82" spans="1:5" ht="11.25" customHeight="1" x14ac:dyDescent="0.25">
      <c r="A82" s="8" t="s">
        <v>457</v>
      </c>
      <c r="B82" s="8" t="s">
        <v>458</v>
      </c>
      <c r="C82" s="8" t="s">
        <v>459</v>
      </c>
      <c r="D82" s="8">
        <v>1043</v>
      </c>
      <c r="E82" s="8" t="s">
        <v>460</v>
      </c>
    </row>
    <row r="83" spans="1:5" ht="11.25" customHeight="1" x14ac:dyDescent="0.25">
      <c r="A83" s="8" t="s">
        <v>457</v>
      </c>
      <c r="B83" s="8" t="s">
        <v>458</v>
      </c>
      <c r="C83" s="8" t="s">
        <v>459</v>
      </c>
      <c r="D83" s="8">
        <v>1044</v>
      </c>
      <c r="E83" s="8" t="s">
        <v>460</v>
      </c>
    </row>
    <row r="84" spans="1:5" ht="11.25" customHeight="1" x14ac:dyDescent="0.25">
      <c r="A84" s="8" t="s">
        <v>457</v>
      </c>
      <c r="B84" s="8" t="s">
        <v>458</v>
      </c>
      <c r="C84" s="8" t="s">
        <v>459</v>
      </c>
      <c r="D84" s="8">
        <v>1045</v>
      </c>
      <c r="E84" s="8" t="s">
        <v>460</v>
      </c>
    </row>
    <row r="85" spans="1:5" ht="11.25" customHeight="1" x14ac:dyDescent="0.25">
      <c r="A85" s="8" t="s">
        <v>457</v>
      </c>
      <c r="B85" s="8" t="s">
        <v>458</v>
      </c>
      <c r="C85" s="8" t="s">
        <v>459</v>
      </c>
      <c r="D85" s="8">
        <v>1046</v>
      </c>
      <c r="E85" s="8" t="s">
        <v>460</v>
      </c>
    </row>
    <row r="86" spans="1:5" ht="11.25" customHeight="1" x14ac:dyDescent="0.25">
      <c r="A86" s="8" t="s">
        <v>457</v>
      </c>
      <c r="B86" s="8" t="s">
        <v>458</v>
      </c>
      <c r="C86" s="8" t="s">
        <v>459</v>
      </c>
      <c r="D86" s="8">
        <v>1047</v>
      </c>
      <c r="E86" s="8" t="s">
        <v>460</v>
      </c>
    </row>
    <row r="87" spans="1:5" ht="11.25" customHeight="1" x14ac:dyDescent="0.25">
      <c r="A87" s="8" t="s">
        <v>457</v>
      </c>
      <c r="B87" s="8" t="s">
        <v>458</v>
      </c>
      <c r="C87" s="8" t="s">
        <v>459</v>
      </c>
      <c r="D87" s="8">
        <v>1048</v>
      </c>
      <c r="E87" s="8" t="s">
        <v>460</v>
      </c>
    </row>
    <row r="88" spans="1:5" ht="11.25" customHeight="1" x14ac:dyDescent="0.25">
      <c r="A88" s="8" t="s">
        <v>457</v>
      </c>
      <c r="B88" s="8" t="s">
        <v>458</v>
      </c>
      <c r="C88" s="8" t="s">
        <v>459</v>
      </c>
      <c r="D88" s="8">
        <v>1049</v>
      </c>
      <c r="E88" s="8" t="s">
        <v>460</v>
      </c>
    </row>
    <row r="89" spans="1:5" ht="11.25" customHeight="1" x14ac:dyDescent="0.25">
      <c r="A89" s="8" t="s">
        <v>457</v>
      </c>
      <c r="B89" s="8" t="s">
        <v>458</v>
      </c>
      <c r="C89" s="8" t="s">
        <v>459</v>
      </c>
      <c r="D89" s="8">
        <v>1050</v>
      </c>
      <c r="E89" s="8" t="s">
        <v>460</v>
      </c>
    </row>
    <row r="90" spans="1:5" ht="11.25" customHeight="1" x14ac:dyDescent="0.25">
      <c r="A90" s="8" t="s">
        <v>457</v>
      </c>
      <c r="B90" s="8" t="s">
        <v>458</v>
      </c>
      <c r="C90" s="8" t="s">
        <v>459</v>
      </c>
      <c r="D90" s="8">
        <v>1051</v>
      </c>
      <c r="E90" s="8" t="s">
        <v>460</v>
      </c>
    </row>
    <row r="91" spans="1:5" ht="11.25" customHeight="1" x14ac:dyDescent="0.25">
      <c r="A91" s="8" t="s">
        <v>457</v>
      </c>
      <c r="B91" s="8" t="s">
        <v>458</v>
      </c>
      <c r="C91" s="8" t="s">
        <v>459</v>
      </c>
      <c r="D91" s="8">
        <v>1052</v>
      </c>
      <c r="E91" s="8" t="s">
        <v>460</v>
      </c>
    </row>
    <row r="92" spans="1:5" ht="11.25" customHeight="1" x14ac:dyDescent="0.25">
      <c r="A92" s="8" t="s">
        <v>457</v>
      </c>
      <c r="B92" s="8" t="s">
        <v>458</v>
      </c>
      <c r="C92" s="8" t="s">
        <v>459</v>
      </c>
      <c r="D92" s="8">
        <v>1053</v>
      </c>
      <c r="E92" s="8" t="s">
        <v>460</v>
      </c>
    </row>
    <row r="93" spans="1:5" ht="11.25" customHeight="1" x14ac:dyDescent="0.25">
      <c r="A93" s="8" t="s">
        <v>457</v>
      </c>
      <c r="B93" s="8" t="s">
        <v>458</v>
      </c>
      <c r="C93" s="8" t="s">
        <v>459</v>
      </c>
      <c r="D93" s="8">
        <v>1054</v>
      </c>
      <c r="E93" s="8" t="s">
        <v>460</v>
      </c>
    </row>
    <row r="94" spans="1:5" ht="11.25" customHeight="1" x14ac:dyDescent="0.25">
      <c r="A94" s="8" t="s">
        <v>457</v>
      </c>
      <c r="B94" s="8" t="s">
        <v>458</v>
      </c>
      <c r="C94" s="8" t="s">
        <v>459</v>
      </c>
      <c r="D94" s="8">
        <v>1055</v>
      </c>
      <c r="E94" s="8" t="s">
        <v>460</v>
      </c>
    </row>
    <row r="95" spans="1:5" ht="11.25" customHeight="1" x14ac:dyDescent="0.25">
      <c r="A95" s="8" t="s">
        <v>457</v>
      </c>
      <c r="B95" s="8" t="s">
        <v>458</v>
      </c>
      <c r="C95" s="8" t="s">
        <v>459</v>
      </c>
      <c r="D95" s="8">
        <v>1056</v>
      </c>
      <c r="E95" s="8" t="s">
        <v>460</v>
      </c>
    </row>
    <row r="96" spans="1:5" ht="11.25" customHeight="1" x14ac:dyDescent="0.25">
      <c r="A96" s="8" t="s">
        <v>457</v>
      </c>
      <c r="B96" s="8" t="s">
        <v>458</v>
      </c>
      <c r="C96" s="8" t="s">
        <v>459</v>
      </c>
      <c r="D96" s="8">
        <v>1057</v>
      </c>
      <c r="E96" s="8" t="s">
        <v>460</v>
      </c>
    </row>
    <row r="97" spans="1:5" ht="11.25" customHeight="1" x14ac:dyDescent="0.25">
      <c r="A97" s="8" t="s">
        <v>457</v>
      </c>
      <c r="B97" s="8" t="s">
        <v>458</v>
      </c>
      <c r="C97" s="8" t="s">
        <v>459</v>
      </c>
      <c r="D97" s="8">
        <v>1058</v>
      </c>
      <c r="E97" s="8" t="s">
        <v>460</v>
      </c>
    </row>
    <row r="98" spans="1:5" ht="11.25" customHeight="1" x14ac:dyDescent="0.25">
      <c r="A98" s="8" t="s">
        <v>457</v>
      </c>
      <c r="B98" s="8" t="s">
        <v>458</v>
      </c>
      <c r="C98" s="8" t="s">
        <v>459</v>
      </c>
      <c r="D98" s="8">
        <v>1059</v>
      </c>
      <c r="E98" s="8" t="s">
        <v>460</v>
      </c>
    </row>
    <row r="99" spans="1:5" ht="11.25" customHeight="1" x14ac:dyDescent="0.25">
      <c r="A99" s="8" t="s">
        <v>457</v>
      </c>
      <c r="B99" s="8" t="s">
        <v>458</v>
      </c>
      <c r="C99" s="8" t="s">
        <v>459</v>
      </c>
      <c r="D99" s="8">
        <v>1060</v>
      </c>
      <c r="E99" s="8" t="s">
        <v>460</v>
      </c>
    </row>
    <row r="100" spans="1:5" ht="11.25" customHeight="1" x14ac:dyDescent="0.25">
      <c r="A100" s="8" t="s">
        <v>457</v>
      </c>
      <c r="B100" s="8" t="s">
        <v>458</v>
      </c>
      <c r="C100" s="8" t="s">
        <v>459</v>
      </c>
      <c r="D100" s="8">
        <v>1061</v>
      </c>
      <c r="E100" s="8" t="s">
        <v>460</v>
      </c>
    </row>
    <row r="101" spans="1:5" ht="11.25" customHeight="1" x14ac:dyDescent="0.25">
      <c r="A101" s="8" t="s">
        <v>457</v>
      </c>
      <c r="B101" s="8" t="s">
        <v>458</v>
      </c>
      <c r="C101" s="8" t="s">
        <v>459</v>
      </c>
      <c r="D101" s="8">
        <v>1063</v>
      </c>
      <c r="E101" s="8" t="s">
        <v>460</v>
      </c>
    </row>
    <row r="102" spans="1:5" ht="11.25" customHeight="1" x14ac:dyDescent="0.25">
      <c r="A102" s="8" t="s">
        <v>457</v>
      </c>
      <c r="B102" s="8" t="s">
        <v>458</v>
      </c>
      <c r="C102" s="8" t="s">
        <v>459</v>
      </c>
      <c r="D102" s="8">
        <v>1064</v>
      </c>
      <c r="E102" s="8" t="s">
        <v>460</v>
      </c>
    </row>
    <row r="103" spans="1:5" ht="11.25" customHeight="1" x14ac:dyDescent="0.25">
      <c r="A103" s="8" t="s">
        <v>457</v>
      </c>
      <c r="B103" s="8" t="s">
        <v>458</v>
      </c>
      <c r="C103" s="8" t="s">
        <v>459</v>
      </c>
      <c r="D103" s="8">
        <v>1065</v>
      </c>
      <c r="E103" s="8" t="s">
        <v>460</v>
      </c>
    </row>
    <row r="104" spans="1:5" ht="11.25" customHeight="1" x14ac:dyDescent="0.25">
      <c r="A104" s="8" t="s">
        <v>457</v>
      </c>
      <c r="B104" s="8" t="s">
        <v>458</v>
      </c>
      <c r="C104" s="8" t="s">
        <v>459</v>
      </c>
      <c r="D104" s="8">
        <v>1066</v>
      </c>
      <c r="E104" s="8" t="s">
        <v>460</v>
      </c>
    </row>
    <row r="105" spans="1:5" ht="11.25" customHeight="1" x14ac:dyDescent="0.25">
      <c r="A105" s="8" t="s">
        <v>457</v>
      </c>
      <c r="B105" s="8" t="s">
        <v>458</v>
      </c>
      <c r="C105" s="8" t="s">
        <v>459</v>
      </c>
      <c r="D105" s="8">
        <v>1067</v>
      </c>
      <c r="E105" s="8" t="s">
        <v>460</v>
      </c>
    </row>
    <row r="106" spans="1:5" ht="11.25" customHeight="1" x14ac:dyDescent="0.25">
      <c r="A106" s="8" t="s">
        <v>457</v>
      </c>
      <c r="B106" s="8" t="s">
        <v>458</v>
      </c>
      <c r="C106" s="8" t="s">
        <v>459</v>
      </c>
      <c r="D106" s="8">
        <v>1068</v>
      </c>
      <c r="E106" s="8" t="s">
        <v>460</v>
      </c>
    </row>
    <row r="107" spans="1:5" ht="11.25" customHeight="1" x14ac:dyDescent="0.25">
      <c r="A107" s="8" t="s">
        <v>457</v>
      </c>
      <c r="B107" s="8" t="s">
        <v>458</v>
      </c>
      <c r="C107" s="8" t="s">
        <v>459</v>
      </c>
      <c r="D107" s="8">
        <v>1069</v>
      </c>
      <c r="E107" s="8" t="s">
        <v>460</v>
      </c>
    </row>
    <row r="108" spans="1:5" ht="11.25" customHeight="1" x14ac:dyDescent="0.25">
      <c r="A108" s="8" t="s">
        <v>457</v>
      </c>
      <c r="B108" s="8" t="s">
        <v>458</v>
      </c>
      <c r="C108" s="8" t="s">
        <v>459</v>
      </c>
      <c r="D108" s="8">
        <v>1070</v>
      </c>
      <c r="E108" s="8" t="s">
        <v>460</v>
      </c>
    </row>
    <row r="109" spans="1:5" ht="11.25" customHeight="1" x14ac:dyDescent="0.25">
      <c r="A109" s="8" t="s">
        <v>457</v>
      </c>
      <c r="B109" s="8" t="s">
        <v>458</v>
      </c>
      <c r="C109" s="8" t="s">
        <v>459</v>
      </c>
      <c r="D109" s="8">
        <v>1071</v>
      </c>
      <c r="E109" s="8" t="s">
        <v>460</v>
      </c>
    </row>
    <row r="110" spans="1:5" ht="11.25" customHeight="1" x14ac:dyDescent="0.25">
      <c r="A110" s="8" t="s">
        <v>457</v>
      </c>
      <c r="B110" s="8" t="s">
        <v>458</v>
      </c>
      <c r="C110" s="8" t="s">
        <v>459</v>
      </c>
      <c r="D110" s="8">
        <v>1073</v>
      </c>
      <c r="E110" s="8" t="s">
        <v>460</v>
      </c>
    </row>
    <row r="111" spans="1:5" ht="11.25" customHeight="1" x14ac:dyDescent="0.25">
      <c r="A111" s="8" t="s">
        <v>457</v>
      </c>
      <c r="B111" s="8" t="s">
        <v>458</v>
      </c>
      <c r="C111" s="8" t="s">
        <v>459</v>
      </c>
      <c r="D111" s="8">
        <v>1074</v>
      </c>
      <c r="E111" s="8" t="s">
        <v>460</v>
      </c>
    </row>
    <row r="112" spans="1:5" ht="11.25" customHeight="1" x14ac:dyDescent="0.25">
      <c r="A112" s="8" t="s">
        <v>457</v>
      </c>
      <c r="B112" s="8" t="s">
        <v>458</v>
      </c>
      <c r="C112" s="8" t="s">
        <v>459</v>
      </c>
      <c r="D112" s="8">
        <v>1075</v>
      </c>
      <c r="E112" s="8" t="s">
        <v>460</v>
      </c>
    </row>
    <row r="113" spans="1:5" ht="11.25" customHeight="1" x14ac:dyDescent="0.25">
      <c r="A113" s="8" t="s">
        <v>457</v>
      </c>
      <c r="B113" s="8" t="s">
        <v>458</v>
      </c>
      <c r="C113" s="8" t="s">
        <v>459</v>
      </c>
      <c r="D113" s="8">
        <v>1076</v>
      </c>
      <c r="E113" s="8" t="s">
        <v>460</v>
      </c>
    </row>
    <row r="114" spans="1:5" ht="11.25" customHeight="1" x14ac:dyDescent="0.25">
      <c r="A114" s="8" t="s">
        <v>457</v>
      </c>
      <c r="B114" s="8" t="s">
        <v>458</v>
      </c>
      <c r="C114" s="8" t="s">
        <v>459</v>
      </c>
      <c r="D114" s="8">
        <v>1078</v>
      </c>
      <c r="E114" s="8" t="s">
        <v>460</v>
      </c>
    </row>
    <row r="115" spans="1:5" ht="11.25" customHeight="1" x14ac:dyDescent="0.25">
      <c r="A115" s="8" t="s">
        <v>457</v>
      </c>
      <c r="B115" s="8" t="s">
        <v>458</v>
      </c>
      <c r="C115" s="8" t="s">
        <v>459</v>
      </c>
      <c r="D115" s="8">
        <v>1079</v>
      </c>
      <c r="E115" s="8" t="s">
        <v>460</v>
      </c>
    </row>
    <row r="116" spans="1:5" ht="11.25" customHeight="1" x14ac:dyDescent="0.25">
      <c r="A116" s="8" t="s">
        <v>457</v>
      </c>
      <c r="B116" s="8" t="s">
        <v>458</v>
      </c>
      <c r="C116" s="8" t="s">
        <v>459</v>
      </c>
      <c r="D116" s="8">
        <v>1080</v>
      </c>
      <c r="E116" s="8" t="s">
        <v>460</v>
      </c>
    </row>
    <row r="117" spans="1:5" ht="11.25" customHeight="1" x14ac:dyDescent="0.25">
      <c r="A117" s="8" t="s">
        <v>457</v>
      </c>
      <c r="B117" s="8" t="s">
        <v>458</v>
      </c>
      <c r="C117" s="8" t="s">
        <v>459</v>
      </c>
      <c r="D117" s="8">
        <v>1081</v>
      </c>
      <c r="E117" s="8" t="s">
        <v>460</v>
      </c>
    </row>
    <row r="118" spans="1:5" ht="11.25" customHeight="1" x14ac:dyDescent="0.25">
      <c r="A118" s="8" t="s">
        <v>457</v>
      </c>
      <c r="B118" s="8" t="s">
        <v>458</v>
      </c>
      <c r="C118" s="8" t="s">
        <v>459</v>
      </c>
      <c r="D118" s="8">
        <v>1082</v>
      </c>
      <c r="E118" s="8" t="s">
        <v>460</v>
      </c>
    </row>
    <row r="119" spans="1:5" ht="11.25" customHeight="1" x14ac:dyDescent="0.25">
      <c r="A119" s="8" t="s">
        <v>457</v>
      </c>
      <c r="B119" s="8" t="s">
        <v>458</v>
      </c>
      <c r="C119" s="8" t="s">
        <v>459</v>
      </c>
      <c r="D119" s="8">
        <v>1084</v>
      </c>
      <c r="E119" s="8" t="s">
        <v>460</v>
      </c>
    </row>
    <row r="120" spans="1:5" ht="11.25" customHeight="1" x14ac:dyDescent="0.25">
      <c r="A120" s="8" t="s">
        <v>457</v>
      </c>
      <c r="B120" s="8" t="s">
        <v>458</v>
      </c>
      <c r="C120" s="8" t="s">
        <v>459</v>
      </c>
      <c r="D120" s="8">
        <v>1085</v>
      </c>
      <c r="E120" s="8" t="s">
        <v>460</v>
      </c>
    </row>
    <row r="121" spans="1:5" ht="11.25" customHeight="1" x14ac:dyDescent="0.25">
      <c r="A121" s="8" t="s">
        <v>457</v>
      </c>
      <c r="B121" s="8" t="s">
        <v>458</v>
      </c>
      <c r="C121" s="8" t="s">
        <v>459</v>
      </c>
      <c r="D121" s="8">
        <v>1086</v>
      </c>
      <c r="E121" s="8" t="s">
        <v>460</v>
      </c>
    </row>
    <row r="122" spans="1:5" ht="11.25" customHeight="1" x14ac:dyDescent="0.25">
      <c r="A122" s="8" t="s">
        <v>457</v>
      </c>
      <c r="B122" s="8" t="s">
        <v>458</v>
      </c>
      <c r="C122" s="8" t="s">
        <v>459</v>
      </c>
      <c r="D122" s="8">
        <v>1087</v>
      </c>
      <c r="E122" s="8" t="s">
        <v>460</v>
      </c>
    </row>
    <row r="123" spans="1:5" ht="11.25" customHeight="1" x14ac:dyDescent="0.25">
      <c r="A123" s="8" t="s">
        <v>457</v>
      </c>
      <c r="B123" s="8" t="s">
        <v>458</v>
      </c>
      <c r="C123" s="8" t="s">
        <v>459</v>
      </c>
      <c r="D123" s="8">
        <v>1088</v>
      </c>
      <c r="E123" s="8" t="s">
        <v>460</v>
      </c>
    </row>
    <row r="124" spans="1:5" ht="11.25" customHeight="1" x14ac:dyDescent="0.25">
      <c r="A124" s="8" t="s">
        <v>457</v>
      </c>
      <c r="B124" s="8" t="s">
        <v>458</v>
      </c>
      <c r="C124" s="8" t="s">
        <v>459</v>
      </c>
      <c r="D124" s="8">
        <v>1195</v>
      </c>
      <c r="E124" s="8" t="s">
        <v>460</v>
      </c>
    </row>
    <row r="125" spans="1:5" ht="11.25" customHeight="1" x14ac:dyDescent="0.25">
      <c r="A125" s="8" t="s">
        <v>457</v>
      </c>
      <c r="B125" s="8" t="s">
        <v>458</v>
      </c>
      <c r="C125" s="8" t="s">
        <v>459</v>
      </c>
      <c r="D125" s="8">
        <v>1196</v>
      </c>
      <c r="E125" s="8" t="s">
        <v>460</v>
      </c>
    </row>
    <row r="126" spans="1:5" ht="11.25" customHeight="1" x14ac:dyDescent="0.25">
      <c r="A126" s="8" t="s">
        <v>457</v>
      </c>
      <c r="B126" s="8" t="s">
        <v>458</v>
      </c>
      <c r="C126" s="8" t="s">
        <v>459</v>
      </c>
      <c r="D126" s="8">
        <v>1197</v>
      </c>
      <c r="E126" s="8" t="s">
        <v>460</v>
      </c>
    </row>
    <row r="127" spans="1:5" ht="11.25" customHeight="1" x14ac:dyDescent="0.25">
      <c r="A127" s="8" t="s">
        <v>457</v>
      </c>
      <c r="B127" s="8" t="s">
        <v>458</v>
      </c>
      <c r="C127" s="8" t="s">
        <v>459</v>
      </c>
      <c r="D127" s="8">
        <v>1198</v>
      </c>
      <c r="E127" s="8" t="s">
        <v>460</v>
      </c>
    </row>
    <row r="128" spans="1:5" ht="11.25" customHeight="1" x14ac:dyDescent="0.25">
      <c r="A128" s="8" t="s">
        <v>457</v>
      </c>
      <c r="B128" s="8" t="s">
        <v>458</v>
      </c>
      <c r="C128" s="8" t="s">
        <v>459</v>
      </c>
      <c r="D128" s="8">
        <v>1199</v>
      </c>
      <c r="E128" s="8" t="s">
        <v>460</v>
      </c>
    </row>
    <row r="129" spans="1:5" ht="11.25" customHeight="1" x14ac:dyDescent="0.25">
      <c r="A129" s="8" t="s">
        <v>457</v>
      </c>
      <c r="B129" s="8" t="s">
        <v>458</v>
      </c>
      <c r="C129" s="8" t="s">
        <v>459</v>
      </c>
      <c r="D129" s="8">
        <v>1200</v>
      </c>
      <c r="E129" s="8" t="s">
        <v>460</v>
      </c>
    </row>
    <row r="130" spans="1:5" ht="11.25" customHeight="1" x14ac:dyDescent="0.25">
      <c r="A130" s="8" t="s">
        <v>457</v>
      </c>
      <c r="B130" s="8" t="s">
        <v>458</v>
      </c>
      <c r="C130" s="8" t="s">
        <v>459</v>
      </c>
      <c r="D130" s="8">
        <v>1201</v>
      </c>
      <c r="E130" s="8" t="s">
        <v>460</v>
      </c>
    </row>
    <row r="131" spans="1:5" ht="11.25" customHeight="1" x14ac:dyDescent="0.25">
      <c r="A131" s="8" t="s">
        <v>457</v>
      </c>
      <c r="B131" s="8" t="s">
        <v>458</v>
      </c>
      <c r="C131" s="8" t="s">
        <v>459</v>
      </c>
      <c r="D131" s="8">
        <v>1202</v>
      </c>
      <c r="E131" s="8" t="s">
        <v>460</v>
      </c>
    </row>
    <row r="132" spans="1:5" ht="11.25" customHeight="1" x14ac:dyDescent="0.25">
      <c r="A132" s="8" t="s">
        <v>457</v>
      </c>
      <c r="B132" s="8" t="s">
        <v>458</v>
      </c>
      <c r="C132" s="8" t="s">
        <v>459</v>
      </c>
      <c r="D132" s="8">
        <v>1203</v>
      </c>
      <c r="E132" s="8" t="s">
        <v>460</v>
      </c>
    </row>
    <row r="133" spans="1:5" ht="11.25" customHeight="1" x14ac:dyDescent="0.25">
      <c r="A133" s="8" t="s">
        <v>457</v>
      </c>
      <c r="B133" s="8" t="s">
        <v>458</v>
      </c>
      <c r="C133" s="8" t="s">
        <v>459</v>
      </c>
      <c r="D133" s="8">
        <v>1204</v>
      </c>
      <c r="E133" s="8" t="s">
        <v>460</v>
      </c>
    </row>
    <row r="134" spans="1:5" ht="11.25" customHeight="1" x14ac:dyDescent="0.25">
      <c r="A134" s="8" t="s">
        <v>457</v>
      </c>
      <c r="B134" s="8" t="s">
        <v>458</v>
      </c>
      <c r="C134" s="8" t="s">
        <v>459</v>
      </c>
      <c r="D134" s="8">
        <v>1205</v>
      </c>
      <c r="E134" s="8" t="s">
        <v>460</v>
      </c>
    </row>
    <row r="135" spans="1:5" ht="11.25" customHeight="1" x14ac:dyDescent="0.25">
      <c r="A135" s="8" t="s">
        <v>457</v>
      </c>
      <c r="B135" s="8" t="s">
        <v>458</v>
      </c>
      <c r="C135" s="8" t="s">
        <v>459</v>
      </c>
      <c r="D135" s="8">
        <v>1206</v>
      </c>
      <c r="E135" s="8" t="s">
        <v>460</v>
      </c>
    </row>
    <row r="136" spans="1:5" ht="11.25" customHeight="1" x14ac:dyDescent="0.25">
      <c r="A136" s="8" t="s">
        <v>457</v>
      </c>
      <c r="B136" s="8" t="s">
        <v>458</v>
      </c>
      <c r="C136" s="8" t="s">
        <v>459</v>
      </c>
      <c r="D136" s="8">
        <v>1207</v>
      </c>
      <c r="E136" s="8" t="s">
        <v>460</v>
      </c>
    </row>
    <row r="137" spans="1:5" ht="11.25" customHeight="1" x14ac:dyDescent="0.25">
      <c r="A137" s="8" t="s">
        <v>457</v>
      </c>
      <c r="B137" s="8" t="s">
        <v>458</v>
      </c>
      <c r="C137" s="8" t="s">
        <v>459</v>
      </c>
      <c r="D137" s="8">
        <v>1208</v>
      </c>
      <c r="E137" s="8" t="s">
        <v>460</v>
      </c>
    </row>
    <row r="138" spans="1:5" ht="11.25" customHeight="1" x14ac:dyDescent="0.25">
      <c r="A138" s="8" t="s">
        <v>457</v>
      </c>
      <c r="B138" s="8" t="s">
        <v>458</v>
      </c>
      <c r="C138" s="8" t="s">
        <v>459</v>
      </c>
      <c r="D138" s="8">
        <v>1209</v>
      </c>
      <c r="E138" s="8" t="s">
        <v>460</v>
      </c>
    </row>
    <row r="139" spans="1:5" ht="11.25" customHeight="1" x14ac:dyDescent="0.25">
      <c r="A139" s="8" t="s">
        <v>457</v>
      </c>
      <c r="B139" s="8" t="s">
        <v>458</v>
      </c>
      <c r="C139" s="8" t="s">
        <v>459</v>
      </c>
      <c r="D139" s="8">
        <v>1210</v>
      </c>
      <c r="E139" s="8" t="s">
        <v>460</v>
      </c>
    </row>
    <row r="140" spans="1:5" ht="11.25" customHeight="1" x14ac:dyDescent="0.25">
      <c r="A140" s="8" t="s">
        <v>457</v>
      </c>
      <c r="B140" s="8" t="s">
        <v>458</v>
      </c>
      <c r="C140" s="8" t="s">
        <v>459</v>
      </c>
      <c r="D140" s="8">
        <v>1211</v>
      </c>
      <c r="E140" s="8" t="s">
        <v>460</v>
      </c>
    </row>
    <row r="141" spans="1:5" ht="11.25" customHeight="1" x14ac:dyDescent="0.25">
      <c r="A141" s="8" t="s">
        <v>457</v>
      </c>
      <c r="B141" s="8" t="s">
        <v>458</v>
      </c>
      <c r="C141" s="8" t="s">
        <v>459</v>
      </c>
      <c r="D141" s="8">
        <v>1212</v>
      </c>
      <c r="E141" s="8" t="s">
        <v>460</v>
      </c>
    </row>
    <row r="142" spans="1:5" ht="11.25" customHeight="1" x14ac:dyDescent="0.25">
      <c r="A142" s="8" t="s">
        <v>457</v>
      </c>
      <c r="B142" s="8" t="s">
        <v>458</v>
      </c>
      <c r="C142" s="8" t="s">
        <v>459</v>
      </c>
      <c r="D142" s="8">
        <v>1213</v>
      </c>
      <c r="E142" s="8" t="s">
        <v>460</v>
      </c>
    </row>
    <row r="143" spans="1:5" ht="11.25" customHeight="1" x14ac:dyDescent="0.25">
      <c r="A143" s="8" t="s">
        <v>457</v>
      </c>
      <c r="B143" s="8" t="s">
        <v>458</v>
      </c>
      <c r="C143" s="8" t="s">
        <v>459</v>
      </c>
      <c r="D143" s="8">
        <v>1214</v>
      </c>
      <c r="E143" s="8" t="s">
        <v>460</v>
      </c>
    </row>
    <row r="144" spans="1:5" ht="11.25" customHeight="1" x14ac:dyDescent="0.25">
      <c r="A144" s="8" t="s">
        <v>457</v>
      </c>
      <c r="B144" s="8" t="s">
        <v>458</v>
      </c>
      <c r="C144" s="8" t="s">
        <v>459</v>
      </c>
      <c r="D144" s="8">
        <v>1215</v>
      </c>
      <c r="E144" s="8" t="s">
        <v>460</v>
      </c>
    </row>
    <row r="145" spans="1:5" ht="11.25" customHeight="1" x14ac:dyDescent="0.25">
      <c r="A145" s="8" t="s">
        <v>457</v>
      </c>
      <c r="B145" s="8" t="s">
        <v>458</v>
      </c>
      <c r="C145" s="8" t="s">
        <v>459</v>
      </c>
      <c r="D145" s="8">
        <v>1216</v>
      </c>
      <c r="E145" s="8" t="s">
        <v>460</v>
      </c>
    </row>
    <row r="146" spans="1:5" ht="11.25" customHeight="1" x14ac:dyDescent="0.25">
      <c r="A146" s="8" t="s">
        <v>457</v>
      </c>
      <c r="B146" s="8" t="s">
        <v>458</v>
      </c>
      <c r="C146" s="8" t="s">
        <v>459</v>
      </c>
      <c r="D146" s="8">
        <v>1217</v>
      </c>
      <c r="E146" s="8" t="s">
        <v>460</v>
      </c>
    </row>
    <row r="147" spans="1:5" ht="11.25" customHeight="1" x14ac:dyDescent="0.25">
      <c r="A147" s="8" t="s">
        <v>457</v>
      </c>
      <c r="B147" s="8" t="s">
        <v>458</v>
      </c>
      <c r="C147" s="8" t="s">
        <v>459</v>
      </c>
      <c r="D147" s="8">
        <v>1218</v>
      </c>
      <c r="E147" s="8" t="s">
        <v>460</v>
      </c>
    </row>
    <row r="148" spans="1:5" ht="11.25" customHeight="1" x14ac:dyDescent="0.25">
      <c r="A148" s="8" t="s">
        <v>457</v>
      </c>
      <c r="B148" s="8" t="s">
        <v>458</v>
      </c>
      <c r="C148" s="8" t="s">
        <v>459</v>
      </c>
      <c r="D148" s="8">
        <v>1219</v>
      </c>
      <c r="E148" s="8" t="s">
        <v>460</v>
      </c>
    </row>
    <row r="149" spans="1:5" ht="11.25" customHeight="1" x14ac:dyDescent="0.25">
      <c r="A149" s="8" t="s">
        <v>457</v>
      </c>
      <c r="B149" s="8" t="s">
        <v>458</v>
      </c>
      <c r="C149" s="8" t="s">
        <v>459</v>
      </c>
      <c r="D149" s="8">
        <v>1220</v>
      </c>
      <c r="E149" s="8" t="s">
        <v>460</v>
      </c>
    </row>
    <row r="150" spans="1:5" ht="11.25" customHeight="1" x14ac:dyDescent="0.25">
      <c r="A150" s="8" t="s">
        <v>457</v>
      </c>
      <c r="B150" s="8" t="s">
        <v>458</v>
      </c>
      <c r="C150" s="8" t="s">
        <v>459</v>
      </c>
      <c r="D150" s="8">
        <v>1221</v>
      </c>
      <c r="E150" s="8" t="s">
        <v>460</v>
      </c>
    </row>
    <row r="151" spans="1:5" ht="11.25" customHeight="1" x14ac:dyDescent="0.25">
      <c r="A151" s="8" t="s">
        <v>457</v>
      </c>
      <c r="B151" s="8" t="s">
        <v>458</v>
      </c>
      <c r="C151" s="8" t="s">
        <v>459</v>
      </c>
      <c r="D151" s="8">
        <v>1222</v>
      </c>
      <c r="E151" s="8" t="s">
        <v>460</v>
      </c>
    </row>
    <row r="152" spans="1:5" ht="11.25" customHeight="1" x14ac:dyDescent="0.25">
      <c r="A152" s="8" t="s">
        <v>457</v>
      </c>
      <c r="B152" s="8" t="s">
        <v>458</v>
      </c>
      <c r="C152" s="8" t="s">
        <v>459</v>
      </c>
      <c r="D152" s="8">
        <v>1223</v>
      </c>
      <c r="E152" s="8" t="s">
        <v>460</v>
      </c>
    </row>
    <row r="153" spans="1:5" ht="11.25" customHeight="1" x14ac:dyDescent="0.25">
      <c r="A153" s="8" t="s">
        <v>457</v>
      </c>
      <c r="B153" s="8" t="s">
        <v>458</v>
      </c>
      <c r="C153" s="8" t="s">
        <v>459</v>
      </c>
      <c r="D153" s="8">
        <v>1224</v>
      </c>
      <c r="E153" s="8" t="s">
        <v>460</v>
      </c>
    </row>
    <row r="154" spans="1:5" ht="11.25" customHeight="1" x14ac:dyDescent="0.25">
      <c r="A154" s="8" t="s">
        <v>457</v>
      </c>
      <c r="B154" s="8" t="s">
        <v>458</v>
      </c>
      <c r="C154" s="8" t="s">
        <v>459</v>
      </c>
      <c r="D154" s="8">
        <v>1225</v>
      </c>
      <c r="E154" s="8" t="s">
        <v>460</v>
      </c>
    </row>
    <row r="155" spans="1:5" ht="11.25" customHeight="1" x14ac:dyDescent="0.25">
      <c r="A155" s="8" t="s">
        <v>457</v>
      </c>
      <c r="B155" s="8" t="s">
        <v>458</v>
      </c>
      <c r="C155" s="8" t="s">
        <v>459</v>
      </c>
      <c r="D155" s="8">
        <v>1226</v>
      </c>
      <c r="E155" s="8" t="s">
        <v>460</v>
      </c>
    </row>
    <row r="156" spans="1:5" ht="11.25" customHeight="1" x14ac:dyDescent="0.25">
      <c r="A156" s="8" t="s">
        <v>457</v>
      </c>
      <c r="B156" s="8" t="s">
        <v>458</v>
      </c>
      <c r="C156" s="8" t="s">
        <v>459</v>
      </c>
      <c r="D156" s="8">
        <v>1227</v>
      </c>
      <c r="E156" s="8" t="s">
        <v>460</v>
      </c>
    </row>
    <row r="157" spans="1:5" ht="11.25" customHeight="1" x14ac:dyDescent="0.25">
      <c r="A157" s="8" t="s">
        <v>457</v>
      </c>
      <c r="B157" s="8" t="s">
        <v>458</v>
      </c>
      <c r="C157" s="8" t="s">
        <v>459</v>
      </c>
      <c r="D157" s="8">
        <v>1228</v>
      </c>
      <c r="E157" s="8" t="s">
        <v>460</v>
      </c>
    </row>
    <row r="158" spans="1:5" ht="11.25" customHeight="1" x14ac:dyDescent="0.25">
      <c r="A158" s="8" t="s">
        <v>457</v>
      </c>
      <c r="B158" s="8" t="s">
        <v>458</v>
      </c>
      <c r="C158" s="8" t="s">
        <v>459</v>
      </c>
      <c r="D158" s="8">
        <v>1229</v>
      </c>
      <c r="E158" s="8" t="s">
        <v>460</v>
      </c>
    </row>
    <row r="159" spans="1:5" ht="11.25" customHeight="1" x14ac:dyDescent="0.25">
      <c r="A159" s="8" t="s">
        <v>457</v>
      </c>
      <c r="B159" s="8" t="s">
        <v>458</v>
      </c>
      <c r="C159" s="8" t="s">
        <v>459</v>
      </c>
      <c r="D159" s="8">
        <v>1230</v>
      </c>
      <c r="E159" s="8" t="s">
        <v>460</v>
      </c>
    </row>
    <row r="160" spans="1:5" ht="11.25" customHeight="1" x14ac:dyDescent="0.25">
      <c r="A160" s="8" t="s">
        <v>457</v>
      </c>
      <c r="B160" s="8" t="s">
        <v>458</v>
      </c>
      <c r="C160" s="8" t="s">
        <v>459</v>
      </c>
      <c r="D160" s="8">
        <v>1231</v>
      </c>
      <c r="E160" s="8" t="s">
        <v>460</v>
      </c>
    </row>
    <row r="161" spans="1:5" ht="11.25" customHeight="1" x14ac:dyDescent="0.25">
      <c r="A161" s="8" t="s">
        <v>457</v>
      </c>
      <c r="B161" s="8" t="s">
        <v>458</v>
      </c>
      <c r="C161" s="8" t="s">
        <v>459</v>
      </c>
      <c r="D161" s="8">
        <v>1232</v>
      </c>
      <c r="E161" s="8" t="s">
        <v>460</v>
      </c>
    </row>
    <row r="162" spans="1:5" ht="11.25" customHeight="1" x14ac:dyDescent="0.25">
      <c r="A162" s="8" t="s">
        <v>457</v>
      </c>
      <c r="B162" s="8" t="s">
        <v>458</v>
      </c>
      <c r="C162" s="8" t="s">
        <v>459</v>
      </c>
      <c r="D162" s="8">
        <v>1233</v>
      </c>
      <c r="E162" s="8" t="s">
        <v>460</v>
      </c>
    </row>
    <row r="163" spans="1:5" ht="11.25" customHeight="1" x14ac:dyDescent="0.25">
      <c r="A163" s="8" t="s">
        <v>457</v>
      </c>
      <c r="B163" s="8" t="s">
        <v>458</v>
      </c>
      <c r="C163" s="8" t="s">
        <v>459</v>
      </c>
      <c r="D163" s="8">
        <v>1234</v>
      </c>
      <c r="E163" s="8" t="s">
        <v>460</v>
      </c>
    </row>
    <row r="164" spans="1:5" ht="11.25" customHeight="1" x14ac:dyDescent="0.25">
      <c r="A164" s="8" t="s">
        <v>457</v>
      </c>
      <c r="B164" s="8" t="s">
        <v>458</v>
      </c>
      <c r="C164" s="8" t="s">
        <v>459</v>
      </c>
      <c r="D164" s="8">
        <v>1235</v>
      </c>
      <c r="E164" s="8" t="s">
        <v>460</v>
      </c>
    </row>
    <row r="165" spans="1:5" ht="11.25" customHeight="1" x14ac:dyDescent="0.25">
      <c r="A165" s="8" t="s">
        <v>457</v>
      </c>
      <c r="B165" s="8" t="s">
        <v>458</v>
      </c>
      <c r="C165" s="8" t="s">
        <v>459</v>
      </c>
      <c r="D165" s="8">
        <v>1236</v>
      </c>
      <c r="E165" s="8" t="s">
        <v>460</v>
      </c>
    </row>
    <row r="166" spans="1:5" ht="11.25" customHeight="1" x14ac:dyDescent="0.25">
      <c r="A166" s="8" t="s">
        <v>457</v>
      </c>
      <c r="B166" s="8" t="s">
        <v>458</v>
      </c>
      <c r="C166" s="8" t="s">
        <v>459</v>
      </c>
      <c r="D166" s="8">
        <v>1237</v>
      </c>
      <c r="E166" s="8" t="s">
        <v>460</v>
      </c>
    </row>
    <row r="167" spans="1:5" ht="11.25" customHeight="1" x14ac:dyDescent="0.25">
      <c r="A167" s="8" t="s">
        <v>457</v>
      </c>
      <c r="B167" s="8" t="s">
        <v>458</v>
      </c>
      <c r="C167" s="8" t="s">
        <v>459</v>
      </c>
      <c r="D167" s="8">
        <v>1238</v>
      </c>
      <c r="E167" s="8" t="s">
        <v>460</v>
      </c>
    </row>
    <row r="168" spans="1:5" ht="11.25" customHeight="1" x14ac:dyDescent="0.25">
      <c r="A168" s="8" t="s">
        <v>457</v>
      </c>
      <c r="B168" s="8" t="s">
        <v>458</v>
      </c>
      <c r="C168" s="8" t="s">
        <v>459</v>
      </c>
      <c r="D168" s="8">
        <v>1239</v>
      </c>
      <c r="E168" s="8" t="s">
        <v>460</v>
      </c>
    </row>
    <row r="169" spans="1:5" ht="11.25" customHeight="1" x14ac:dyDescent="0.25">
      <c r="A169" s="8" t="s">
        <v>457</v>
      </c>
      <c r="B169" s="8" t="s">
        <v>458</v>
      </c>
      <c r="C169" s="8" t="s">
        <v>459</v>
      </c>
      <c r="D169" s="8">
        <v>1240</v>
      </c>
      <c r="E169" s="8" t="s">
        <v>460</v>
      </c>
    </row>
    <row r="170" spans="1:5" ht="11.25" customHeight="1" x14ac:dyDescent="0.25">
      <c r="A170" s="8" t="s">
        <v>457</v>
      </c>
      <c r="B170" s="8" t="s">
        <v>458</v>
      </c>
      <c r="C170" s="8" t="s">
        <v>459</v>
      </c>
      <c r="D170" s="8">
        <v>1241</v>
      </c>
      <c r="E170" s="8" t="s">
        <v>460</v>
      </c>
    </row>
    <row r="171" spans="1:5" ht="11.25" customHeight="1" x14ac:dyDescent="0.25">
      <c r="A171" s="8" t="s">
        <v>457</v>
      </c>
      <c r="B171" s="8" t="s">
        <v>458</v>
      </c>
      <c r="C171" s="8" t="s">
        <v>459</v>
      </c>
      <c r="D171" s="8">
        <v>1242</v>
      </c>
      <c r="E171" s="8" t="s">
        <v>460</v>
      </c>
    </row>
    <row r="172" spans="1:5" ht="11.25" customHeight="1" x14ac:dyDescent="0.25">
      <c r="A172" s="8" t="s">
        <v>457</v>
      </c>
      <c r="B172" s="8" t="s">
        <v>458</v>
      </c>
      <c r="C172" s="8" t="s">
        <v>459</v>
      </c>
      <c r="D172" s="8">
        <v>1243</v>
      </c>
      <c r="E172" s="8" t="s">
        <v>460</v>
      </c>
    </row>
    <row r="173" spans="1:5" ht="11.25" customHeight="1" x14ac:dyDescent="0.25">
      <c r="A173" s="8" t="s">
        <v>457</v>
      </c>
      <c r="B173" s="8" t="s">
        <v>458</v>
      </c>
      <c r="C173" s="8" t="s">
        <v>459</v>
      </c>
      <c r="D173" s="8">
        <v>1244</v>
      </c>
      <c r="E173" s="8" t="s">
        <v>460</v>
      </c>
    </row>
    <row r="174" spans="1:5" ht="11.25" customHeight="1" x14ac:dyDescent="0.25">
      <c r="A174" s="8" t="s">
        <v>457</v>
      </c>
      <c r="B174" s="8" t="s">
        <v>458</v>
      </c>
      <c r="C174" s="8" t="s">
        <v>459</v>
      </c>
      <c r="D174" s="8">
        <v>1245</v>
      </c>
      <c r="E174" s="8" t="s">
        <v>460</v>
      </c>
    </row>
    <row r="175" spans="1:5" ht="11.25" customHeight="1" x14ac:dyDescent="0.25">
      <c r="A175" s="8" t="s">
        <v>457</v>
      </c>
      <c r="B175" s="8" t="s">
        <v>458</v>
      </c>
      <c r="C175" s="8" t="s">
        <v>459</v>
      </c>
      <c r="D175" s="8">
        <v>1246</v>
      </c>
      <c r="E175" s="8" t="s">
        <v>460</v>
      </c>
    </row>
    <row r="176" spans="1:5" ht="11.25" customHeight="1" x14ac:dyDescent="0.25">
      <c r="A176" s="8" t="s">
        <v>457</v>
      </c>
      <c r="B176" s="8" t="s">
        <v>458</v>
      </c>
      <c r="C176" s="8" t="s">
        <v>459</v>
      </c>
      <c r="D176" s="8">
        <v>1247</v>
      </c>
      <c r="E176" s="8" t="s">
        <v>460</v>
      </c>
    </row>
    <row r="177" spans="1:5" ht="11.25" customHeight="1" x14ac:dyDescent="0.25">
      <c r="A177" s="8" t="s">
        <v>457</v>
      </c>
      <c r="B177" s="8" t="s">
        <v>458</v>
      </c>
      <c r="C177" s="8" t="s">
        <v>459</v>
      </c>
      <c r="D177" s="8">
        <v>1318</v>
      </c>
      <c r="E177" s="8" t="s">
        <v>460</v>
      </c>
    </row>
    <row r="178" spans="1:5" ht="11.25" customHeight="1" x14ac:dyDescent="0.25">
      <c r="A178" s="8" t="s">
        <v>457</v>
      </c>
      <c r="B178" s="8" t="s">
        <v>458</v>
      </c>
      <c r="C178" s="8" t="s">
        <v>459</v>
      </c>
      <c r="D178" s="8">
        <v>1319</v>
      </c>
      <c r="E178" s="8" t="s">
        <v>460</v>
      </c>
    </row>
    <row r="179" spans="1:5" ht="11.25" customHeight="1" x14ac:dyDescent="0.25">
      <c r="A179" s="8" t="s">
        <v>457</v>
      </c>
      <c r="B179" s="8" t="s">
        <v>458</v>
      </c>
      <c r="C179" s="8" t="s">
        <v>459</v>
      </c>
      <c r="D179" s="8">
        <v>1320</v>
      </c>
      <c r="E179" s="8" t="s">
        <v>460</v>
      </c>
    </row>
    <row r="180" spans="1:5" ht="11.25" customHeight="1" x14ac:dyDescent="0.25">
      <c r="A180" s="8" t="s">
        <v>457</v>
      </c>
      <c r="B180" s="8" t="s">
        <v>458</v>
      </c>
      <c r="C180" s="8" t="s">
        <v>459</v>
      </c>
      <c r="D180" s="8">
        <v>1321</v>
      </c>
      <c r="E180" s="8" t="s">
        <v>460</v>
      </c>
    </row>
    <row r="181" spans="1:5" ht="11.25" customHeight="1" x14ac:dyDescent="0.25">
      <c r="A181" s="8" t="s">
        <v>457</v>
      </c>
      <c r="B181" s="8" t="s">
        <v>458</v>
      </c>
      <c r="C181" s="8" t="s">
        <v>459</v>
      </c>
      <c r="D181" s="8">
        <v>1322</v>
      </c>
      <c r="E181" s="8" t="s">
        <v>460</v>
      </c>
    </row>
    <row r="182" spans="1:5" ht="11.25" customHeight="1" x14ac:dyDescent="0.25">
      <c r="A182" s="8" t="s">
        <v>457</v>
      </c>
      <c r="B182" s="8" t="s">
        <v>458</v>
      </c>
      <c r="C182" s="8" t="s">
        <v>459</v>
      </c>
      <c r="D182" s="8">
        <v>1323</v>
      </c>
      <c r="E182" s="8" t="s">
        <v>460</v>
      </c>
    </row>
    <row r="183" spans="1:5" ht="11.25" customHeight="1" x14ac:dyDescent="0.25">
      <c r="A183" s="8" t="s">
        <v>457</v>
      </c>
      <c r="B183" s="8" t="s">
        <v>458</v>
      </c>
      <c r="C183" s="8" t="s">
        <v>459</v>
      </c>
      <c r="D183" s="8">
        <v>1324</v>
      </c>
      <c r="E183" s="8" t="s">
        <v>460</v>
      </c>
    </row>
    <row r="184" spans="1:5" ht="11.25" customHeight="1" x14ac:dyDescent="0.25">
      <c r="A184" s="8" t="s">
        <v>457</v>
      </c>
      <c r="B184" s="8" t="s">
        <v>458</v>
      </c>
      <c r="C184" s="8" t="s">
        <v>459</v>
      </c>
      <c r="D184" s="8">
        <v>1325</v>
      </c>
      <c r="E184" s="8" t="s">
        <v>460</v>
      </c>
    </row>
    <row r="185" spans="1:5" ht="11.25" customHeight="1" x14ac:dyDescent="0.25">
      <c r="A185" s="8" t="s">
        <v>457</v>
      </c>
      <c r="B185" s="8" t="s">
        <v>458</v>
      </c>
      <c r="C185" s="8" t="s">
        <v>459</v>
      </c>
      <c r="D185" s="8">
        <v>1326</v>
      </c>
      <c r="E185" s="8" t="s">
        <v>460</v>
      </c>
    </row>
    <row r="186" spans="1:5" ht="11.25" customHeight="1" x14ac:dyDescent="0.25">
      <c r="A186" s="8" t="s">
        <v>457</v>
      </c>
      <c r="B186" s="8" t="s">
        <v>458</v>
      </c>
      <c r="C186" s="8" t="s">
        <v>459</v>
      </c>
      <c r="D186" s="8">
        <v>1327</v>
      </c>
      <c r="E186" s="8" t="s">
        <v>460</v>
      </c>
    </row>
    <row r="187" spans="1:5" ht="11.25" customHeight="1" x14ac:dyDescent="0.25">
      <c r="A187" s="8" t="s">
        <v>457</v>
      </c>
      <c r="B187" s="8" t="s">
        <v>458</v>
      </c>
      <c r="C187" s="8" t="s">
        <v>459</v>
      </c>
      <c r="D187" s="8">
        <v>1328</v>
      </c>
      <c r="E187" s="8" t="s">
        <v>460</v>
      </c>
    </row>
    <row r="188" spans="1:5" ht="11.25" customHeight="1" x14ac:dyDescent="0.25">
      <c r="A188" s="8" t="s">
        <v>457</v>
      </c>
      <c r="B188" s="8" t="s">
        <v>458</v>
      </c>
      <c r="C188" s="8" t="s">
        <v>459</v>
      </c>
      <c r="D188" s="8">
        <v>1329</v>
      </c>
      <c r="E188" s="8" t="s">
        <v>460</v>
      </c>
    </row>
    <row r="189" spans="1:5" ht="11.25" customHeight="1" x14ac:dyDescent="0.25">
      <c r="A189" s="8" t="s">
        <v>457</v>
      </c>
      <c r="B189" s="8" t="s">
        <v>458</v>
      </c>
      <c r="C189" s="8" t="s">
        <v>459</v>
      </c>
      <c r="D189" s="8">
        <v>1330</v>
      </c>
      <c r="E189" s="8" t="s">
        <v>460</v>
      </c>
    </row>
    <row r="190" spans="1:5" ht="11.25" customHeight="1" x14ac:dyDescent="0.25">
      <c r="A190" s="8" t="s">
        <v>457</v>
      </c>
      <c r="B190" s="8" t="s">
        <v>458</v>
      </c>
      <c r="C190" s="8" t="s">
        <v>459</v>
      </c>
      <c r="D190" s="8">
        <v>1331</v>
      </c>
      <c r="E190" s="8" t="s">
        <v>460</v>
      </c>
    </row>
    <row r="191" spans="1:5" ht="11.25" customHeight="1" x14ac:dyDescent="0.25">
      <c r="A191" s="8" t="s">
        <v>457</v>
      </c>
      <c r="B191" s="8" t="s">
        <v>458</v>
      </c>
      <c r="C191" s="8" t="s">
        <v>459</v>
      </c>
      <c r="D191" s="8">
        <v>1332</v>
      </c>
      <c r="E191" s="8" t="s">
        <v>460</v>
      </c>
    </row>
    <row r="192" spans="1:5" ht="11.25" customHeight="1" x14ac:dyDescent="0.25">
      <c r="A192" s="8" t="s">
        <v>457</v>
      </c>
      <c r="B192" s="8" t="s">
        <v>458</v>
      </c>
      <c r="C192" s="8" t="s">
        <v>459</v>
      </c>
      <c r="D192" s="8">
        <v>1333</v>
      </c>
      <c r="E192" s="8" t="s">
        <v>460</v>
      </c>
    </row>
    <row r="193" spans="1:5" ht="11.25" customHeight="1" x14ac:dyDescent="0.25">
      <c r="A193" s="8" t="s">
        <v>457</v>
      </c>
      <c r="B193" s="8" t="s">
        <v>458</v>
      </c>
      <c r="C193" s="8" t="s">
        <v>459</v>
      </c>
      <c r="D193" s="8">
        <v>1334</v>
      </c>
      <c r="E193" s="8" t="s">
        <v>460</v>
      </c>
    </row>
    <row r="194" spans="1:5" ht="11.25" customHeight="1" x14ac:dyDescent="0.25">
      <c r="A194" s="8" t="s">
        <v>457</v>
      </c>
      <c r="B194" s="8" t="s">
        <v>458</v>
      </c>
      <c r="C194" s="8" t="s">
        <v>459</v>
      </c>
      <c r="D194" s="8">
        <v>1335</v>
      </c>
      <c r="E194" s="8" t="s">
        <v>460</v>
      </c>
    </row>
    <row r="195" spans="1:5" ht="11.25" customHeight="1" x14ac:dyDescent="0.25">
      <c r="A195" s="8" t="s">
        <v>457</v>
      </c>
      <c r="B195" s="8" t="s">
        <v>458</v>
      </c>
      <c r="C195" s="8" t="s">
        <v>459</v>
      </c>
      <c r="D195" s="8">
        <v>1336</v>
      </c>
      <c r="E195" s="8" t="s">
        <v>460</v>
      </c>
    </row>
    <row r="196" spans="1:5" ht="11.25" customHeight="1" x14ac:dyDescent="0.25">
      <c r="A196" s="8" t="s">
        <v>457</v>
      </c>
      <c r="B196" s="8" t="s">
        <v>458</v>
      </c>
      <c r="C196" s="8" t="s">
        <v>459</v>
      </c>
      <c r="D196" s="8">
        <v>1370</v>
      </c>
      <c r="E196" s="8" t="s">
        <v>460</v>
      </c>
    </row>
    <row r="197" spans="1:5" ht="11.25" customHeight="1" x14ac:dyDescent="0.25">
      <c r="A197" s="8" t="s">
        <v>457</v>
      </c>
      <c r="B197" s="8" t="s">
        <v>458</v>
      </c>
      <c r="C197" s="8" t="s">
        <v>459</v>
      </c>
      <c r="D197" s="8">
        <v>1371</v>
      </c>
      <c r="E197" s="8" t="s">
        <v>460</v>
      </c>
    </row>
    <row r="198" spans="1:5" ht="11.25" customHeight="1" x14ac:dyDescent="0.25">
      <c r="A198" s="8" t="s">
        <v>457</v>
      </c>
      <c r="B198" s="8" t="s">
        <v>458</v>
      </c>
      <c r="C198" s="8" t="s">
        <v>459</v>
      </c>
      <c r="D198" s="8">
        <v>1372</v>
      </c>
      <c r="E198" s="8" t="s">
        <v>460</v>
      </c>
    </row>
    <row r="199" spans="1:5" ht="11.25" customHeight="1" x14ac:dyDescent="0.25">
      <c r="A199" s="8" t="s">
        <v>457</v>
      </c>
      <c r="B199" s="8" t="s">
        <v>458</v>
      </c>
      <c r="C199" s="8" t="s">
        <v>459</v>
      </c>
      <c r="D199" s="8">
        <v>1373</v>
      </c>
      <c r="E199" s="8" t="s">
        <v>460</v>
      </c>
    </row>
    <row r="200" spans="1:5" ht="11.25" customHeight="1" x14ac:dyDescent="0.25">
      <c r="A200" s="8" t="s">
        <v>457</v>
      </c>
      <c r="B200" s="8" t="s">
        <v>458</v>
      </c>
      <c r="C200" s="8" t="s">
        <v>459</v>
      </c>
      <c r="D200" s="8">
        <v>1403</v>
      </c>
      <c r="E200" s="8" t="s">
        <v>460</v>
      </c>
    </row>
    <row r="201" spans="1:5" ht="11.25" customHeight="1" x14ac:dyDescent="0.25">
      <c r="A201" s="8" t="s">
        <v>457</v>
      </c>
      <c r="B201" s="8" t="s">
        <v>458</v>
      </c>
      <c r="C201" s="8" t="s">
        <v>459</v>
      </c>
      <c r="D201" s="8">
        <v>1404</v>
      </c>
      <c r="E201" s="8" t="s">
        <v>460</v>
      </c>
    </row>
    <row r="202" spans="1:5" ht="11.25" customHeight="1" x14ac:dyDescent="0.25">
      <c r="A202" s="8" t="s">
        <v>457</v>
      </c>
      <c r="B202" s="8" t="s">
        <v>458</v>
      </c>
      <c r="C202" s="8" t="s">
        <v>459</v>
      </c>
      <c r="D202" s="8">
        <v>1405</v>
      </c>
      <c r="E202" s="8" t="s">
        <v>460</v>
      </c>
    </row>
    <row r="203" spans="1:5" ht="11.25" customHeight="1" x14ac:dyDescent="0.25">
      <c r="A203" s="8" t="s">
        <v>457</v>
      </c>
      <c r="B203" s="8" t="s">
        <v>458</v>
      </c>
      <c r="C203" s="8" t="s">
        <v>459</v>
      </c>
      <c r="D203" s="8">
        <v>1406</v>
      </c>
      <c r="E203" s="8" t="s">
        <v>460</v>
      </c>
    </row>
    <row r="204" spans="1:5" ht="11.25" customHeight="1" x14ac:dyDescent="0.25">
      <c r="A204" s="8" t="s">
        <v>457</v>
      </c>
      <c r="B204" s="8" t="s">
        <v>458</v>
      </c>
      <c r="C204" s="8" t="s">
        <v>459</v>
      </c>
      <c r="D204" s="8">
        <v>1407</v>
      </c>
      <c r="E204" s="8" t="s">
        <v>460</v>
      </c>
    </row>
    <row r="205" spans="1:5" ht="11.25" customHeight="1" x14ac:dyDescent="0.25">
      <c r="A205" s="8" t="s">
        <v>457</v>
      </c>
      <c r="B205" s="8" t="s">
        <v>458</v>
      </c>
      <c r="C205" s="8" t="s">
        <v>459</v>
      </c>
      <c r="D205" s="8">
        <v>1408</v>
      </c>
      <c r="E205" s="8" t="s">
        <v>460</v>
      </c>
    </row>
    <row r="206" spans="1:5" ht="11.25" customHeight="1" x14ac:dyDescent="0.25">
      <c r="A206" s="8" t="s">
        <v>457</v>
      </c>
      <c r="B206" s="8" t="s">
        <v>458</v>
      </c>
      <c r="C206" s="8" t="s">
        <v>459</v>
      </c>
      <c r="D206" s="8">
        <v>1409</v>
      </c>
      <c r="E206" s="8" t="s">
        <v>460</v>
      </c>
    </row>
    <row r="207" spans="1:5" ht="11.25" customHeight="1" x14ac:dyDescent="0.25">
      <c r="A207" s="8" t="s">
        <v>457</v>
      </c>
      <c r="B207" s="8" t="s">
        <v>458</v>
      </c>
      <c r="C207" s="8" t="s">
        <v>459</v>
      </c>
      <c r="D207" s="8">
        <v>1410</v>
      </c>
      <c r="E207" s="8" t="s">
        <v>460</v>
      </c>
    </row>
    <row r="208" spans="1:5" ht="11.25" customHeight="1" x14ac:dyDescent="0.25">
      <c r="A208" s="8" t="s">
        <v>457</v>
      </c>
      <c r="B208" s="8" t="s">
        <v>458</v>
      </c>
      <c r="C208" s="8" t="s">
        <v>459</v>
      </c>
      <c r="D208" s="8">
        <v>1411</v>
      </c>
      <c r="E208" s="8" t="s">
        <v>460</v>
      </c>
    </row>
    <row r="209" spans="1:5" ht="11.25" customHeight="1" x14ac:dyDescent="0.25">
      <c r="A209" s="8" t="s">
        <v>457</v>
      </c>
      <c r="B209" s="8" t="s">
        <v>458</v>
      </c>
      <c r="C209" s="8" t="s">
        <v>459</v>
      </c>
      <c r="D209" s="8">
        <v>1412</v>
      </c>
      <c r="E209" s="8" t="s">
        <v>460</v>
      </c>
    </row>
    <row r="210" spans="1:5" ht="11.25" customHeight="1" x14ac:dyDescent="0.25">
      <c r="A210" s="8" t="s">
        <v>457</v>
      </c>
      <c r="B210" s="8" t="s">
        <v>458</v>
      </c>
      <c r="C210" s="8" t="s">
        <v>459</v>
      </c>
      <c r="D210" s="8">
        <v>1413</v>
      </c>
      <c r="E210" s="8" t="s">
        <v>460</v>
      </c>
    </row>
    <row r="211" spans="1:5" ht="11.25" customHeight="1" x14ac:dyDescent="0.25">
      <c r="A211" s="8" t="s">
        <v>457</v>
      </c>
      <c r="B211" s="8" t="s">
        <v>458</v>
      </c>
      <c r="C211" s="8" t="s">
        <v>459</v>
      </c>
      <c r="D211" s="8">
        <v>1414</v>
      </c>
      <c r="E211" s="8" t="s">
        <v>460</v>
      </c>
    </row>
    <row r="212" spans="1:5" ht="11.25" customHeight="1" x14ac:dyDescent="0.25">
      <c r="A212" s="8" t="s">
        <v>457</v>
      </c>
      <c r="B212" s="8" t="s">
        <v>458</v>
      </c>
      <c r="C212" s="8" t="s">
        <v>459</v>
      </c>
      <c r="D212" s="8">
        <v>1415</v>
      </c>
      <c r="E212" s="8" t="s">
        <v>460</v>
      </c>
    </row>
    <row r="213" spans="1:5" ht="11.25" customHeight="1" x14ac:dyDescent="0.25">
      <c r="A213" s="8" t="s">
        <v>457</v>
      </c>
      <c r="B213" s="8" t="s">
        <v>458</v>
      </c>
      <c r="C213" s="8" t="s">
        <v>459</v>
      </c>
      <c r="D213" s="8">
        <v>1416</v>
      </c>
      <c r="E213" s="8" t="s">
        <v>460</v>
      </c>
    </row>
    <row r="214" spans="1:5" ht="11.25" customHeight="1" x14ac:dyDescent="0.25">
      <c r="A214" s="8" t="s">
        <v>457</v>
      </c>
      <c r="B214" s="8" t="s">
        <v>458</v>
      </c>
      <c r="C214" s="8" t="s">
        <v>459</v>
      </c>
      <c r="D214" s="8">
        <v>1417</v>
      </c>
      <c r="E214" s="8" t="s">
        <v>460</v>
      </c>
    </row>
    <row r="215" spans="1:5" ht="11.25" customHeight="1" x14ac:dyDescent="0.25">
      <c r="A215" s="8" t="s">
        <v>457</v>
      </c>
      <c r="B215" s="8" t="s">
        <v>458</v>
      </c>
      <c r="C215" s="8" t="s">
        <v>459</v>
      </c>
      <c r="D215" s="8">
        <v>1418</v>
      </c>
      <c r="E215" s="8" t="s">
        <v>460</v>
      </c>
    </row>
    <row r="216" spans="1:5" ht="11.25" customHeight="1" x14ac:dyDescent="0.25">
      <c r="A216" s="8" t="s">
        <v>457</v>
      </c>
      <c r="B216" s="8" t="s">
        <v>458</v>
      </c>
      <c r="C216" s="8" t="s">
        <v>459</v>
      </c>
      <c r="D216" s="8">
        <v>1419</v>
      </c>
      <c r="E216" s="8" t="s">
        <v>460</v>
      </c>
    </row>
    <row r="217" spans="1:5" ht="11.25" customHeight="1" x14ac:dyDescent="0.25">
      <c r="A217" s="8" t="s">
        <v>457</v>
      </c>
      <c r="B217" s="8" t="s">
        <v>458</v>
      </c>
      <c r="C217" s="8" t="s">
        <v>459</v>
      </c>
      <c r="D217" s="8">
        <v>1420</v>
      </c>
      <c r="E217" s="8" t="s">
        <v>460</v>
      </c>
    </row>
    <row r="218" spans="1:5" ht="11.25" customHeight="1" x14ac:dyDescent="0.25">
      <c r="A218" s="8" t="s">
        <v>457</v>
      </c>
      <c r="B218" s="8" t="s">
        <v>458</v>
      </c>
      <c r="C218" s="8" t="s">
        <v>459</v>
      </c>
      <c r="D218" s="8">
        <v>1421</v>
      </c>
      <c r="E218" s="8" t="s">
        <v>460</v>
      </c>
    </row>
    <row r="219" spans="1:5" ht="11.25" customHeight="1" x14ac:dyDescent="0.25">
      <c r="A219" s="8" t="s">
        <v>457</v>
      </c>
      <c r="B219" s="8" t="s">
        <v>458</v>
      </c>
      <c r="C219" s="8" t="s">
        <v>459</v>
      </c>
      <c r="D219" s="8">
        <v>1422</v>
      </c>
      <c r="E219" s="8" t="s">
        <v>460</v>
      </c>
    </row>
    <row r="220" spans="1:5" ht="11.25" customHeight="1" x14ac:dyDescent="0.25">
      <c r="A220" s="8" t="s">
        <v>457</v>
      </c>
      <c r="B220" s="8" t="s">
        <v>458</v>
      </c>
      <c r="C220" s="8" t="s">
        <v>459</v>
      </c>
      <c r="D220" s="8">
        <v>1423</v>
      </c>
      <c r="E220" s="8" t="s">
        <v>460</v>
      </c>
    </row>
    <row r="221" spans="1:5" ht="11.25" customHeight="1" x14ac:dyDescent="0.25">
      <c r="A221" s="8" t="s">
        <v>457</v>
      </c>
      <c r="B221" s="8" t="s">
        <v>458</v>
      </c>
      <c r="C221" s="8" t="s">
        <v>459</v>
      </c>
      <c r="D221" s="8">
        <v>1424</v>
      </c>
      <c r="E221" s="8" t="s">
        <v>460</v>
      </c>
    </row>
    <row r="222" spans="1:5" ht="11.25" customHeight="1" x14ac:dyDescent="0.25">
      <c r="A222" s="8" t="s">
        <v>457</v>
      </c>
      <c r="B222" s="8" t="s">
        <v>458</v>
      </c>
      <c r="C222" s="8" t="s">
        <v>459</v>
      </c>
      <c r="D222" s="8">
        <v>1425</v>
      </c>
      <c r="E222" s="8" t="s">
        <v>460</v>
      </c>
    </row>
    <row r="223" spans="1:5" ht="11.25" customHeight="1" x14ac:dyDescent="0.25">
      <c r="A223" s="8" t="s">
        <v>457</v>
      </c>
      <c r="B223" s="8" t="s">
        <v>458</v>
      </c>
      <c r="C223" s="8" t="s">
        <v>459</v>
      </c>
      <c r="D223" s="8">
        <v>1426</v>
      </c>
      <c r="E223" s="8" t="s">
        <v>460</v>
      </c>
    </row>
    <row r="224" spans="1:5" ht="11.25" customHeight="1" x14ac:dyDescent="0.25">
      <c r="A224" s="8" t="s">
        <v>457</v>
      </c>
      <c r="B224" s="8" t="s">
        <v>458</v>
      </c>
      <c r="C224" s="8" t="s">
        <v>459</v>
      </c>
      <c r="D224" s="8">
        <v>1427</v>
      </c>
      <c r="E224" s="8" t="s">
        <v>460</v>
      </c>
    </row>
    <row r="225" spans="1:5" ht="11.25" customHeight="1" x14ac:dyDescent="0.25">
      <c r="A225" s="8" t="s">
        <v>457</v>
      </c>
      <c r="B225" s="8" t="s">
        <v>458</v>
      </c>
      <c r="C225" s="8" t="s">
        <v>459</v>
      </c>
      <c r="D225" s="8">
        <v>1428</v>
      </c>
      <c r="E225" s="8" t="s">
        <v>460</v>
      </c>
    </row>
    <row r="226" spans="1:5" ht="11.25" customHeight="1" x14ac:dyDescent="0.25">
      <c r="A226" s="8" t="s">
        <v>457</v>
      </c>
      <c r="B226" s="8" t="s">
        <v>458</v>
      </c>
      <c r="C226" s="8" t="s">
        <v>459</v>
      </c>
      <c r="D226" s="8">
        <v>1429</v>
      </c>
      <c r="E226" s="8" t="s">
        <v>460</v>
      </c>
    </row>
    <row r="227" spans="1:5" ht="11.25" customHeight="1" x14ac:dyDescent="0.25">
      <c r="A227" s="8" t="s">
        <v>457</v>
      </c>
      <c r="B227" s="8" t="s">
        <v>458</v>
      </c>
      <c r="C227" s="8" t="s">
        <v>459</v>
      </c>
      <c r="D227" s="8">
        <v>1430</v>
      </c>
      <c r="E227" s="8" t="s">
        <v>460</v>
      </c>
    </row>
    <row r="228" spans="1:5" ht="11.25" customHeight="1" x14ac:dyDescent="0.25">
      <c r="A228" s="8" t="s">
        <v>457</v>
      </c>
      <c r="B228" s="8" t="s">
        <v>458</v>
      </c>
      <c r="C228" s="8" t="s">
        <v>459</v>
      </c>
      <c r="D228" s="8">
        <v>1431</v>
      </c>
      <c r="E228" s="8" t="s">
        <v>460</v>
      </c>
    </row>
    <row r="229" spans="1:5" ht="11.25" customHeight="1" x14ac:dyDescent="0.25">
      <c r="A229" s="8" t="s">
        <v>457</v>
      </c>
      <c r="B229" s="8" t="s">
        <v>458</v>
      </c>
      <c r="C229" s="8" t="s">
        <v>459</v>
      </c>
      <c r="D229" s="8">
        <v>1485</v>
      </c>
      <c r="E229" s="8" t="s">
        <v>460</v>
      </c>
    </row>
    <row r="230" spans="1:5" ht="11.25" customHeight="1" x14ac:dyDescent="0.25">
      <c r="A230" s="8" t="s">
        <v>457</v>
      </c>
      <c r="B230" s="8" t="s">
        <v>458</v>
      </c>
      <c r="C230" s="8" t="s">
        <v>459</v>
      </c>
      <c r="D230" s="8">
        <v>1486</v>
      </c>
      <c r="E230" s="8" t="s">
        <v>460</v>
      </c>
    </row>
    <row r="231" spans="1:5" ht="11.25" customHeight="1" x14ac:dyDescent="0.25">
      <c r="A231" s="8" t="s">
        <v>457</v>
      </c>
      <c r="B231" s="8" t="s">
        <v>458</v>
      </c>
      <c r="C231" s="8" t="s">
        <v>459</v>
      </c>
      <c r="D231" s="8">
        <v>1487</v>
      </c>
      <c r="E231" s="8" t="s">
        <v>460</v>
      </c>
    </row>
    <row r="232" spans="1:5" ht="11.25" customHeight="1" x14ac:dyDescent="0.25">
      <c r="A232" s="8" t="s">
        <v>457</v>
      </c>
      <c r="B232" s="8" t="s">
        <v>458</v>
      </c>
      <c r="C232" s="8" t="s">
        <v>459</v>
      </c>
      <c r="D232" s="8">
        <v>1488</v>
      </c>
      <c r="E232" s="8" t="s">
        <v>460</v>
      </c>
    </row>
    <row r="233" spans="1:5" ht="11.25" customHeight="1" x14ac:dyDescent="0.25">
      <c r="A233" s="8" t="s">
        <v>457</v>
      </c>
      <c r="B233" s="8" t="s">
        <v>458</v>
      </c>
      <c r="C233" s="8" t="s">
        <v>459</v>
      </c>
      <c r="D233" s="8">
        <v>1489</v>
      </c>
      <c r="E233" s="8" t="s">
        <v>460</v>
      </c>
    </row>
    <row r="234" spans="1:5" ht="11.25" customHeight="1" x14ac:dyDescent="0.25">
      <c r="A234" s="8" t="s">
        <v>457</v>
      </c>
      <c r="B234" s="8" t="s">
        <v>458</v>
      </c>
      <c r="C234" s="8" t="s">
        <v>459</v>
      </c>
      <c r="D234" s="8">
        <v>1490</v>
      </c>
      <c r="E234" s="8" t="s">
        <v>460</v>
      </c>
    </row>
    <row r="235" spans="1:5" ht="11.25" customHeight="1" x14ac:dyDescent="0.25">
      <c r="A235" s="8" t="s">
        <v>457</v>
      </c>
      <c r="B235" s="8" t="s">
        <v>458</v>
      </c>
      <c r="C235" s="8" t="s">
        <v>459</v>
      </c>
      <c r="D235" s="8">
        <v>1491</v>
      </c>
      <c r="E235" s="8" t="s">
        <v>460</v>
      </c>
    </row>
    <row r="236" spans="1:5" ht="11.25" customHeight="1" x14ac:dyDescent="0.25">
      <c r="A236" s="8" t="s">
        <v>457</v>
      </c>
      <c r="B236" s="8" t="s">
        <v>458</v>
      </c>
      <c r="C236" s="8" t="s">
        <v>459</v>
      </c>
      <c r="D236" s="8">
        <v>1492</v>
      </c>
      <c r="E236" s="8" t="s">
        <v>460</v>
      </c>
    </row>
    <row r="237" spans="1:5" ht="11.25" customHeight="1" x14ac:dyDescent="0.25">
      <c r="A237" s="8" t="s">
        <v>457</v>
      </c>
      <c r="B237" s="8" t="s">
        <v>458</v>
      </c>
      <c r="C237" s="8" t="s">
        <v>459</v>
      </c>
      <c r="D237" s="8">
        <v>1493</v>
      </c>
      <c r="E237" s="8" t="s">
        <v>460</v>
      </c>
    </row>
    <row r="238" spans="1:5" ht="11.25" customHeight="1" x14ac:dyDescent="0.25">
      <c r="A238" s="8" t="s">
        <v>457</v>
      </c>
      <c r="B238" s="8" t="s">
        <v>458</v>
      </c>
      <c r="C238" s="8" t="s">
        <v>459</v>
      </c>
      <c r="D238" s="8">
        <v>1494</v>
      </c>
      <c r="E238" s="8" t="s">
        <v>460</v>
      </c>
    </row>
    <row r="239" spans="1:5" ht="11.25" customHeight="1" x14ac:dyDescent="0.25">
      <c r="A239" s="8" t="s">
        <v>457</v>
      </c>
      <c r="B239" s="8" t="s">
        <v>458</v>
      </c>
      <c r="C239" s="8" t="s">
        <v>459</v>
      </c>
      <c r="D239" s="8">
        <v>1495</v>
      </c>
      <c r="E239" s="8" t="s">
        <v>460</v>
      </c>
    </row>
    <row r="240" spans="1:5" ht="11.25" customHeight="1" x14ac:dyDescent="0.25">
      <c r="A240" s="8" t="s">
        <v>457</v>
      </c>
      <c r="B240" s="8" t="s">
        <v>458</v>
      </c>
      <c r="C240" s="8" t="s">
        <v>459</v>
      </c>
      <c r="D240" s="8">
        <v>1496</v>
      </c>
      <c r="E240" s="8" t="s">
        <v>460</v>
      </c>
    </row>
    <row r="241" spans="1:5" ht="11.25" customHeight="1" x14ac:dyDescent="0.25">
      <c r="A241" s="8" t="s">
        <v>457</v>
      </c>
      <c r="B241" s="8" t="s">
        <v>458</v>
      </c>
      <c r="C241" s="8" t="s">
        <v>459</v>
      </c>
      <c r="D241" s="8">
        <v>1497</v>
      </c>
      <c r="E241" s="8" t="s">
        <v>460</v>
      </c>
    </row>
    <row r="242" spans="1:5" ht="11.25" customHeight="1" x14ac:dyDescent="0.25">
      <c r="A242" s="8" t="s">
        <v>457</v>
      </c>
      <c r="B242" s="8" t="s">
        <v>458</v>
      </c>
      <c r="C242" s="8" t="s">
        <v>459</v>
      </c>
      <c r="D242" s="8">
        <v>1498</v>
      </c>
      <c r="E242" s="8" t="s">
        <v>460</v>
      </c>
    </row>
    <row r="243" spans="1:5" ht="11.25" customHeight="1" x14ac:dyDescent="0.25">
      <c r="A243" s="8" t="s">
        <v>457</v>
      </c>
      <c r="B243" s="8" t="s">
        <v>458</v>
      </c>
      <c r="C243" s="8" t="s">
        <v>459</v>
      </c>
      <c r="D243" s="8">
        <v>1499</v>
      </c>
      <c r="E243" s="8" t="s">
        <v>460</v>
      </c>
    </row>
    <row r="244" spans="1:5" ht="11.25" customHeight="1" x14ac:dyDescent="0.25">
      <c r="A244" s="8" t="s">
        <v>457</v>
      </c>
      <c r="B244" s="8" t="s">
        <v>458</v>
      </c>
      <c r="C244" s="8" t="s">
        <v>459</v>
      </c>
      <c r="D244" s="8">
        <v>1500</v>
      </c>
      <c r="E244" s="8" t="s">
        <v>460</v>
      </c>
    </row>
    <row r="245" spans="1:5" ht="11.25" customHeight="1" x14ac:dyDescent="0.25">
      <c r="A245" s="8" t="s">
        <v>457</v>
      </c>
      <c r="B245" s="8" t="s">
        <v>458</v>
      </c>
      <c r="C245" s="8" t="s">
        <v>459</v>
      </c>
      <c r="D245" s="8">
        <v>1501</v>
      </c>
      <c r="E245" s="8" t="s">
        <v>460</v>
      </c>
    </row>
    <row r="246" spans="1:5" ht="11.25" customHeight="1" x14ac:dyDescent="0.25">
      <c r="A246" s="8" t="s">
        <v>457</v>
      </c>
      <c r="B246" s="8" t="s">
        <v>458</v>
      </c>
      <c r="C246" s="8" t="s">
        <v>459</v>
      </c>
      <c r="D246" s="8">
        <v>1502</v>
      </c>
      <c r="E246" s="8" t="s">
        <v>460</v>
      </c>
    </row>
    <row r="247" spans="1:5" ht="11.25" customHeight="1" x14ac:dyDescent="0.25">
      <c r="A247" s="8" t="s">
        <v>457</v>
      </c>
      <c r="B247" s="8" t="s">
        <v>458</v>
      </c>
      <c r="C247" s="8" t="s">
        <v>459</v>
      </c>
      <c r="D247" s="8">
        <v>1503</v>
      </c>
      <c r="E247" s="8" t="s">
        <v>460</v>
      </c>
    </row>
    <row r="248" spans="1:5" ht="11.25" customHeight="1" x14ac:dyDescent="0.25">
      <c r="A248" s="8" t="s">
        <v>457</v>
      </c>
      <c r="B248" s="8" t="s">
        <v>458</v>
      </c>
      <c r="C248" s="8" t="s">
        <v>459</v>
      </c>
      <c r="D248" s="8">
        <v>1504</v>
      </c>
      <c r="E248" s="8" t="s">
        <v>460</v>
      </c>
    </row>
    <row r="249" spans="1:5" ht="11.25" customHeight="1" x14ac:dyDescent="0.25">
      <c r="A249" s="8" t="s">
        <v>457</v>
      </c>
      <c r="B249" s="8" t="s">
        <v>458</v>
      </c>
      <c r="C249" s="8" t="s">
        <v>459</v>
      </c>
      <c r="D249" s="8">
        <v>1505</v>
      </c>
      <c r="E249" s="8" t="s">
        <v>460</v>
      </c>
    </row>
    <row r="250" spans="1:5" ht="11.25" customHeight="1" x14ac:dyDescent="0.25">
      <c r="A250" s="8" t="s">
        <v>457</v>
      </c>
      <c r="B250" s="8" t="s">
        <v>458</v>
      </c>
      <c r="C250" s="8" t="s">
        <v>459</v>
      </c>
      <c r="D250" s="8">
        <v>1506</v>
      </c>
      <c r="E250" s="8" t="s">
        <v>460</v>
      </c>
    </row>
    <row r="251" spans="1:5" ht="11.25" customHeight="1" x14ac:dyDescent="0.25">
      <c r="A251" s="8" t="s">
        <v>457</v>
      </c>
      <c r="B251" s="8" t="s">
        <v>458</v>
      </c>
      <c r="C251" s="8" t="s">
        <v>459</v>
      </c>
      <c r="D251" s="8">
        <v>1507</v>
      </c>
      <c r="E251" s="8" t="s">
        <v>460</v>
      </c>
    </row>
    <row r="252" spans="1:5" ht="11.25" customHeight="1" x14ac:dyDescent="0.25">
      <c r="A252" s="8" t="s">
        <v>457</v>
      </c>
      <c r="B252" s="8" t="s">
        <v>458</v>
      </c>
      <c r="C252" s="8" t="s">
        <v>459</v>
      </c>
      <c r="D252" s="8">
        <v>1508</v>
      </c>
      <c r="E252" s="8" t="s">
        <v>460</v>
      </c>
    </row>
    <row r="253" spans="1:5" ht="11.25" customHeight="1" x14ac:dyDescent="0.25">
      <c r="A253" s="8" t="s">
        <v>457</v>
      </c>
      <c r="B253" s="8" t="s">
        <v>458</v>
      </c>
      <c r="C253" s="8" t="s">
        <v>459</v>
      </c>
      <c r="D253" s="8">
        <v>1509</v>
      </c>
      <c r="E253" s="8" t="s">
        <v>460</v>
      </c>
    </row>
    <row r="254" spans="1:5" ht="11.25" customHeight="1" x14ac:dyDescent="0.25">
      <c r="A254" s="8" t="s">
        <v>457</v>
      </c>
      <c r="B254" s="8" t="s">
        <v>458</v>
      </c>
      <c r="C254" s="8" t="s">
        <v>459</v>
      </c>
      <c r="D254" s="8">
        <v>1510</v>
      </c>
      <c r="E254" s="8" t="s">
        <v>460</v>
      </c>
    </row>
    <row r="255" spans="1:5" ht="11.25" customHeight="1" x14ac:dyDescent="0.25">
      <c r="A255" s="8" t="s">
        <v>457</v>
      </c>
      <c r="C255" s="8" t="s">
        <v>733</v>
      </c>
      <c r="D255" s="8">
        <v>39</v>
      </c>
      <c r="E255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72701-4DCE-4609-9CC2-5CFF2D3E0816}">
  <dimension ref="A1:AV95"/>
  <sheetViews>
    <sheetView showGridLines="0" workbookViewId="0"/>
  </sheetViews>
  <sheetFormatPr defaultRowHeight="11.25" x14ac:dyDescent="0.25"/>
  <cols>
    <col min="1" max="1" width="4.7109375" style="75" bestFit="1" customWidth="1"/>
    <col min="2" max="2" width="8.85546875" style="75" bestFit="1" customWidth="1"/>
    <col min="3" max="3" width="8.7109375" style="75" bestFit="1" customWidth="1"/>
    <col min="4" max="4" width="27.140625" style="75" bestFit="1" customWidth="1"/>
    <col min="5" max="5" width="13.5703125" style="75" bestFit="1" customWidth="1"/>
    <col min="6" max="6" width="25.140625" style="75" bestFit="1" customWidth="1"/>
    <col min="7" max="9" width="10.28515625" style="75" bestFit="1" customWidth="1"/>
    <col min="10" max="10" width="6.85546875" style="75" bestFit="1" customWidth="1"/>
    <col min="11" max="11" width="4.5703125" style="75" bestFit="1" customWidth="1"/>
    <col min="12" max="12" width="4.42578125" style="75" bestFit="1" customWidth="1"/>
    <col min="13" max="13" width="6.7109375" style="75" bestFit="1" customWidth="1"/>
    <col min="14" max="14" width="6.28515625" style="75" bestFit="1" customWidth="1"/>
    <col min="15" max="15" width="11.140625" style="75" bestFit="1" customWidth="1"/>
    <col min="16" max="16" width="10.42578125" style="75" bestFit="1" customWidth="1"/>
    <col min="17" max="16384" width="9.140625" style="75"/>
  </cols>
  <sheetData>
    <row r="1" spans="1:48" ht="11.25" customHeight="1" x14ac:dyDescent="0.25">
      <c r="A1" s="76" t="s">
        <v>792</v>
      </c>
      <c r="B1" s="76" t="s">
        <v>783</v>
      </c>
      <c r="C1" s="76" t="s">
        <v>1</v>
      </c>
      <c r="D1" s="76" t="s">
        <v>2</v>
      </c>
      <c r="E1" s="76" t="s">
        <v>3</v>
      </c>
      <c r="F1" s="76" t="s">
        <v>4</v>
      </c>
      <c r="G1" s="76" t="s">
        <v>5</v>
      </c>
      <c r="H1" s="76" t="s">
        <v>6</v>
      </c>
      <c r="I1" s="76" t="s">
        <v>7</v>
      </c>
      <c r="J1" s="76" t="s">
        <v>784</v>
      </c>
      <c r="K1" s="76" t="s">
        <v>785</v>
      </c>
      <c r="L1" s="76" t="s">
        <v>786</v>
      </c>
      <c r="M1" s="76" t="s">
        <v>787</v>
      </c>
      <c r="N1" s="76" t="s">
        <v>788</v>
      </c>
      <c r="O1" s="76" t="s">
        <v>666</v>
      </c>
      <c r="P1" s="76" t="s">
        <v>652</v>
      </c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</row>
    <row r="2" spans="1:48" ht="11.25" customHeight="1" x14ac:dyDescent="0.25">
      <c r="A2" s="53">
        <v>1</v>
      </c>
      <c r="B2" s="53" t="s">
        <v>646</v>
      </c>
      <c r="C2" s="53" t="s">
        <v>43</v>
      </c>
      <c r="D2" s="53" t="s">
        <v>44</v>
      </c>
      <c r="E2" s="53" t="s">
        <v>25</v>
      </c>
      <c r="F2" s="53" t="s">
        <v>25</v>
      </c>
      <c r="G2" s="53" t="s">
        <v>25</v>
      </c>
      <c r="H2" s="53" t="s">
        <v>25</v>
      </c>
      <c r="I2" s="53" t="s">
        <v>37</v>
      </c>
      <c r="J2" s="53" t="s">
        <v>789</v>
      </c>
      <c r="K2" s="53" t="s">
        <v>790</v>
      </c>
      <c r="L2" s="53" t="s">
        <v>89</v>
      </c>
      <c r="M2" s="53">
        <v>2020</v>
      </c>
      <c r="N2" s="53">
        <v>0</v>
      </c>
      <c r="O2" s="53">
        <v>7.24</v>
      </c>
      <c r="P2" s="53">
        <v>0</v>
      </c>
    </row>
    <row r="3" spans="1:48" ht="11.25" customHeight="1" x14ac:dyDescent="0.25">
      <c r="A3" s="53">
        <v>2</v>
      </c>
      <c r="B3" s="53" t="s">
        <v>646</v>
      </c>
      <c r="C3" s="53" t="s">
        <v>43</v>
      </c>
      <c r="D3" s="53" t="s">
        <v>44</v>
      </c>
      <c r="E3" s="53" t="s">
        <v>25</v>
      </c>
      <c r="F3" s="53" t="s">
        <v>25</v>
      </c>
      <c r="G3" s="53" t="s">
        <v>25</v>
      </c>
      <c r="H3" s="53" t="s">
        <v>25</v>
      </c>
      <c r="I3" s="53" t="s">
        <v>38</v>
      </c>
      <c r="J3" s="53" t="s">
        <v>789</v>
      </c>
      <c r="K3" s="53" t="s">
        <v>790</v>
      </c>
      <c r="L3" s="53" t="s">
        <v>89</v>
      </c>
      <c r="M3" s="53">
        <v>2020</v>
      </c>
      <c r="N3" s="53">
        <v>0</v>
      </c>
      <c r="O3" s="53">
        <v>5.9</v>
      </c>
      <c r="P3" s="53">
        <v>0</v>
      </c>
    </row>
    <row r="4" spans="1:48" ht="11.25" customHeight="1" x14ac:dyDescent="0.25">
      <c r="A4" s="53">
        <v>3</v>
      </c>
      <c r="B4" s="53" t="s">
        <v>646</v>
      </c>
      <c r="C4" s="53" t="s">
        <v>22</v>
      </c>
      <c r="D4" s="53" t="s">
        <v>100</v>
      </c>
      <c r="E4" s="53" t="s">
        <v>24</v>
      </c>
      <c r="F4" s="53" t="s">
        <v>31</v>
      </c>
      <c r="G4" s="53" t="s">
        <v>25</v>
      </c>
      <c r="H4" s="53" t="s">
        <v>25</v>
      </c>
      <c r="I4" s="53" t="s">
        <v>25</v>
      </c>
      <c r="J4" s="53" t="s">
        <v>791</v>
      </c>
      <c r="K4" s="53" t="s">
        <v>790</v>
      </c>
      <c r="L4" s="53" t="s">
        <v>86</v>
      </c>
      <c r="M4" s="53">
        <v>2020</v>
      </c>
      <c r="N4" s="53">
        <v>0</v>
      </c>
      <c r="O4" s="53">
        <v>147.13999999999999</v>
      </c>
      <c r="P4" s="53">
        <v>0</v>
      </c>
    </row>
    <row r="5" spans="1:48" ht="11.25" customHeight="1" x14ac:dyDescent="0.25">
      <c r="A5" s="53">
        <v>4</v>
      </c>
      <c r="B5" s="53" t="s">
        <v>646</v>
      </c>
      <c r="C5" s="53" t="s">
        <v>22</v>
      </c>
      <c r="D5" s="53" t="s">
        <v>100</v>
      </c>
      <c r="E5" s="53" t="s">
        <v>24</v>
      </c>
      <c r="F5" s="53" t="s">
        <v>32</v>
      </c>
      <c r="G5" s="53" t="s">
        <v>25</v>
      </c>
      <c r="H5" s="53" t="s">
        <v>25</v>
      </c>
      <c r="I5" s="53" t="s">
        <v>25</v>
      </c>
      <c r="J5" s="53" t="s">
        <v>791</v>
      </c>
      <c r="K5" s="53" t="s">
        <v>790</v>
      </c>
      <c r="L5" s="53" t="s">
        <v>86</v>
      </c>
      <c r="M5" s="53">
        <v>2020</v>
      </c>
      <c r="N5" s="53">
        <v>0</v>
      </c>
      <c r="O5" s="53">
        <v>252.24</v>
      </c>
      <c r="P5" s="53">
        <v>0</v>
      </c>
    </row>
    <row r="6" spans="1:48" ht="11.25" customHeight="1" x14ac:dyDescent="0.25">
      <c r="A6" s="53">
        <v>5</v>
      </c>
      <c r="B6" s="53" t="s">
        <v>646</v>
      </c>
      <c r="C6" s="53" t="s">
        <v>22</v>
      </c>
      <c r="D6" s="53" t="s">
        <v>100</v>
      </c>
      <c r="E6" s="53" t="s">
        <v>24</v>
      </c>
      <c r="F6" s="53" t="s">
        <v>33</v>
      </c>
      <c r="G6" s="53" t="s">
        <v>25</v>
      </c>
      <c r="H6" s="53" t="s">
        <v>25</v>
      </c>
      <c r="I6" s="53" t="s">
        <v>25</v>
      </c>
      <c r="J6" s="53" t="s">
        <v>791</v>
      </c>
      <c r="K6" s="53" t="s">
        <v>790</v>
      </c>
      <c r="L6" s="53" t="s">
        <v>86</v>
      </c>
      <c r="M6" s="53">
        <v>2020</v>
      </c>
      <c r="N6" s="53">
        <v>0</v>
      </c>
      <c r="O6" s="53">
        <v>378.36</v>
      </c>
      <c r="P6" s="53">
        <v>0</v>
      </c>
    </row>
    <row r="7" spans="1:48" ht="11.25" customHeight="1" x14ac:dyDescent="0.25">
      <c r="A7" s="53">
        <v>6</v>
      </c>
      <c r="B7" s="53" t="s">
        <v>646</v>
      </c>
      <c r="C7" s="53" t="s">
        <v>22</v>
      </c>
      <c r="D7" s="53" t="s">
        <v>23</v>
      </c>
      <c r="E7" s="53" t="s">
        <v>24</v>
      </c>
      <c r="F7" s="53" t="s">
        <v>33</v>
      </c>
      <c r="G7" s="53" t="s">
        <v>25</v>
      </c>
      <c r="H7" s="53" t="s">
        <v>25</v>
      </c>
      <c r="I7" s="53" t="s">
        <v>25</v>
      </c>
      <c r="J7" s="53" t="s">
        <v>791</v>
      </c>
      <c r="K7" s="53" t="s">
        <v>790</v>
      </c>
      <c r="L7" s="53" t="s">
        <v>86</v>
      </c>
      <c r="M7" s="53">
        <v>2020</v>
      </c>
      <c r="N7" s="53">
        <v>0</v>
      </c>
      <c r="O7" s="53">
        <v>378.36</v>
      </c>
      <c r="P7" s="53">
        <v>0</v>
      </c>
    </row>
    <row r="8" spans="1:48" ht="11.25" customHeight="1" x14ac:dyDescent="0.25">
      <c r="A8" s="53">
        <v>7</v>
      </c>
      <c r="B8" s="53" t="s">
        <v>646</v>
      </c>
      <c r="C8" s="53" t="s">
        <v>22</v>
      </c>
      <c r="D8" s="53" t="s">
        <v>23</v>
      </c>
      <c r="E8" s="53" t="s">
        <v>24</v>
      </c>
      <c r="F8" s="53" t="s">
        <v>34</v>
      </c>
      <c r="G8" s="53" t="s">
        <v>25</v>
      </c>
      <c r="H8" s="53" t="s">
        <v>25</v>
      </c>
      <c r="I8" s="53" t="s">
        <v>25</v>
      </c>
      <c r="J8" s="53" t="s">
        <v>791</v>
      </c>
      <c r="K8" s="53" t="s">
        <v>790</v>
      </c>
      <c r="L8" s="53" t="s">
        <v>86</v>
      </c>
      <c r="M8" s="53">
        <v>2020</v>
      </c>
      <c r="N8" s="53">
        <v>0</v>
      </c>
      <c r="O8" s="53">
        <v>420.39</v>
      </c>
      <c r="P8" s="53">
        <v>0</v>
      </c>
    </row>
    <row r="9" spans="1:48" ht="11.25" customHeight="1" x14ac:dyDescent="0.25">
      <c r="A9" s="53">
        <v>8</v>
      </c>
      <c r="B9" s="53" t="s">
        <v>646</v>
      </c>
      <c r="C9" s="53" t="s">
        <v>22</v>
      </c>
      <c r="D9" s="53" t="s">
        <v>100</v>
      </c>
      <c r="E9" s="53" t="s">
        <v>24</v>
      </c>
      <c r="F9" s="53" t="s">
        <v>24</v>
      </c>
      <c r="G9" s="53" t="s">
        <v>25</v>
      </c>
      <c r="H9" s="53" t="s">
        <v>25</v>
      </c>
      <c r="I9" s="53" t="s">
        <v>25</v>
      </c>
      <c r="J9" s="53" t="s">
        <v>791</v>
      </c>
      <c r="K9" s="53" t="s">
        <v>790</v>
      </c>
      <c r="L9" s="53" t="s">
        <v>86</v>
      </c>
      <c r="M9" s="53">
        <v>2020</v>
      </c>
      <c r="N9" s="53">
        <v>0</v>
      </c>
      <c r="O9" s="53">
        <v>450.19</v>
      </c>
      <c r="P9" s="53">
        <v>22.237206444064</v>
      </c>
    </row>
    <row r="10" spans="1:48" ht="11.25" customHeight="1" x14ac:dyDescent="0.25">
      <c r="A10" s="53">
        <v>9</v>
      </c>
      <c r="B10" s="53" t="s">
        <v>646</v>
      </c>
      <c r="C10" s="53" t="s">
        <v>22</v>
      </c>
      <c r="D10" s="53" t="s">
        <v>23</v>
      </c>
      <c r="E10" s="53" t="s">
        <v>24</v>
      </c>
      <c r="F10" s="53" t="s">
        <v>31</v>
      </c>
      <c r="G10" s="53" t="s">
        <v>25</v>
      </c>
      <c r="H10" s="53" t="s">
        <v>25</v>
      </c>
      <c r="I10" s="53" t="s">
        <v>25</v>
      </c>
      <c r="J10" s="53" t="s">
        <v>791</v>
      </c>
      <c r="K10" s="53" t="s">
        <v>790</v>
      </c>
      <c r="L10" s="53" t="s">
        <v>86</v>
      </c>
      <c r="M10" s="53">
        <v>2020</v>
      </c>
      <c r="N10" s="53">
        <v>0</v>
      </c>
      <c r="O10" s="53">
        <v>147.13999999999999</v>
      </c>
      <c r="P10" s="53">
        <v>0</v>
      </c>
    </row>
    <row r="11" spans="1:48" ht="11.25" customHeight="1" x14ac:dyDescent="0.25">
      <c r="A11" s="53">
        <v>10</v>
      </c>
      <c r="B11" s="53" t="s">
        <v>646</v>
      </c>
      <c r="C11" s="53" t="s">
        <v>22</v>
      </c>
      <c r="D11" s="53" t="s">
        <v>23</v>
      </c>
      <c r="E11" s="53" t="s">
        <v>24</v>
      </c>
      <c r="F11" s="53" t="s">
        <v>32</v>
      </c>
      <c r="G11" s="53" t="s">
        <v>25</v>
      </c>
      <c r="H11" s="53" t="s">
        <v>25</v>
      </c>
      <c r="I11" s="53" t="s">
        <v>25</v>
      </c>
      <c r="J11" s="53" t="s">
        <v>791</v>
      </c>
      <c r="K11" s="53" t="s">
        <v>790</v>
      </c>
      <c r="L11" s="53" t="s">
        <v>86</v>
      </c>
      <c r="M11" s="53">
        <v>2020</v>
      </c>
      <c r="N11" s="53">
        <v>0</v>
      </c>
      <c r="O11" s="53">
        <v>252.24</v>
      </c>
      <c r="P11" s="53">
        <v>0</v>
      </c>
    </row>
    <row r="12" spans="1:48" ht="11.25" customHeight="1" x14ac:dyDescent="0.25">
      <c r="A12" s="53">
        <v>11</v>
      </c>
      <c r="B12" s="53" t="s">
        <v>646</v>
      </c>
      <c r="C12" s="53" t="s">
        <v>22</v>
      </c>
      <c r="D12" s="53" t="s">
        <v>39</v>
      </c>
      <c r="E12" s="53" t="s">
        <v>24</v>
      </c>
      <c r="F12" s="53" t="s">
        <v>24</v>
      </c>
      <c r="G12" s="53" t="s">
        <v>25</v>
      </c>
      <c r="H12" s="53" t="s">
        <v>25</v>
      </c>
      <c r="I12" s="53" t="s">
        <v>40</v>
      </c>
      <c r="J12" s="53" t="s">
        <v>791</v>
      </c>
      <c r="K12" s="53" t="s">
        <v>790</v>
      </c>
      <c r="L12" s="53" t="s">
        <v>86</v>
      </c>
      <c r="M12" s="53">
        <v>2020</v>
      </c>
      <c r="N12" s="53">
        <v>0</v>
      </c>
      <c r="O12" s="53">
        <v>661.68</v>
      </c>
      <c r="P12" s="53">
        <v>22.237206444064</v>
      </c>
    </row>
    <row r="13" spans="1:48" ht="11.25" customHeight="1" x14ac:dyDescent="0.25">
      <c r="A13" s="53">
        <v>12</v>
      </c>
      <c r="B13" s="53" t="s">
        <v>646</v>
      </c>
      <c r="C13" s="53" t="s">
        <v>22</v>
      </c>
      <c r="D13" s="53" t="s">
        <v>39</v>
      </c>
      <c r="E13" s="53" t="s">
        <v>24</v>
      </c>
      <c r="F13" s="53" t="s">
        <v>24</v>
      </c>
      <c r="G13" s="53" t="s">
        <v>25</v>
      </c>
      <c r="H13" s="53" t="s">
        <v>25</v>
      </c>
      <c r="I13" s="53" t="s">
        <v>38</v>
      </c>
      <c r="J13" s="53" t="s">
        <v>791</v>
      </c>
      <c r="K13" s="53" t="s">
        <v>790</v>
      </c>
      <c r="L13" s="53" t="s">
        <v>86</v>
      </c>
      <c r="M13" s="53">
        <v>2020</v>
      </c>
      <c r="N13" s="53">
        <v>0</v>
      </c>
      <c r="O13" s="53">
        <v>356.74</v>
      </c>
      <c r="P13" s="53">
        <v>22.237206444064</v>
      </c>
    </row>
    <row r="14" spans="1:48" ht="11.25" customHeight="1" x14ac:dyDescent="0.25">
      <c r="A14" s="53">
        <v>13</v>
      </c>
      <c r="B14" s="53" t="s">
        <v>646</v>
      </c>
      <c r="C14" s="53" t="s">
        <v>22</v>
      </c>
      <c r="D14" s="53" t="s">
        <v>23</v>
      </c>
      <c r="E14" s="53" t="s">
        <v>24</v>
      </c>
      <c r="F14" s="53" t="s">
        <v>24</v>
      </c>
      <c r="G14" s="53" t="s">
        <v>25</v>
      </c>
      <c r="H14" s="53" t="s">
        <v>25</v>
      </c>
      <c r="I14" s="53" t="s">
        <v>25</v>
      </c>
      <c r="J14" s="53" t="s">
        <v>791</v>
      </c>
      <c r="K14" s="53" t="s">
        <v>790</v>
      </c>
      <c r="L14" s="53" t="s">
        <v>86</v>
      </c>
      <c r="M14" s="53">
        <v>2020</v>
      </c>
      <c r="N14" s="53">
        <v>0</v>
      </c>
      <c r="O14" s="53">
        <v>450.19</v>
      </c>
      <c r="P14" s="53">
        <v>22.237206444064</v>
      </c>
    </row>
    <row r="15" spans="1:48" ht="11.25" customHeight="1" x14ac:dyDescent="0.25">
      <c r="A15" s="53">
        <v>14</v>
      </c>
      <c r="B15" s="53" t="s">
        <v>646</v>
      </c>
      <c r="C15" s="53" t="s">
        <v>35</v>
      </c>
      <c r="D15" s="53" t="s">
        <v>23</v>
      </c>
      <c r="E15" s="53" t="s">
        <v>25</v>
      </c>
      <c r="F15" s="53" t="s">
        <v>25</v>
      </c>
      <c r="G15" s="53" t="s">
        <v>25</v>
      </c>
      <c r="H15" s="53" t="s">
        <v>25</v>
      </c>
      <c r="I15" s="53" t="s">
        <v>25</v>
      </c>
      <c r="J15" s="53" t="s">
        <v>789</v>
      </c>
      <c r="K15" s="53" t="s">
        <v>790</v>
      </c>
      <c r="L15" s="53" t="s">
        <v>89</v>
      </c>
      <c r="M15" s="53">
        <v>2020</v>
      </c>
      <c r="N15" s="53">
        <v>0</v>
      </c>
      <c r="O15" s="53">
        <v>66.72</v>
      </c>
      <c r="P15" s="53">
        <v>0</v>
      </c>
    </row>
    <row r="16" spans="1:48" ht="11.25" customHeight="1" x14ac:dyDescent="0.25">
      <c r="A16" s="53">
        <v>15</v>
      </c>
      <c r="B16" s="53" t="s">
        <v>646</v>
      </c>
      <c r="C16" s="53" t="s">
        <v>35</v>
      </c>
      <c r="D16" s="53" t="s">
        <v>23</v>
      </c>
      <c r="E16" s="53" t="s">
        <v>25</v>
      </c>
      <c r="F16" s="53" t="s">
        <v>25</v>
      </c>
      <c r="G16" s="53" t="s">
        <v>25</v>
      </c>
      <c r="H16" s="53" t="s">
        <v>25</v>
      </c>
      <c r="I16" s="53" t="s">
        <v>25</v>
      </c>
      <c r="J16" s="53" t="s">
        <v>791</v>
      </c>
      <c r="K16" s="53" t="s">
        <v>790</v>
      </c>
      <c r="L16" s="53" t="s">
        <v>86</v>
      </c>
      <c r="M16" s="53">
        <v>2020</v>
      </c>
      <c r="N16" s="53">
        <v>0</v>
      </c>
      <c r="O16" s="53">
        <v>149.63</v>
      </c>
      <c r="P16" s="53">
        <v>19.7911137352169</v>
      </c>
    </row>
    <row r="17" spans="1:16" ht="11.25" customHeight="1" x14ac:dyDescent="0.25">
      <c r="A17" s="53">
        <v>16</v>
      </c>
      <c r="B17" s="53" t="s">
        <v>646</v>
      </c>
      <c r="C17" s="53" t="s">
        <v>95</v>
      </c>
      <c r="D17" s="53" t="s">
        <v>63</v>
      </c>
      <c r="E17" s="53" t="s">
        <v>25</v>
      </c>
      <c r="F17" s="53" t="s">
        <v>25</v>
      </c>
      <c r="G17" s="53" t="s">
        <v>96</v>
      </c>
      <c r="H17" s="53" t="s">
        <v>25</v>
      </c>
      <c r="I17" s="53" t="s">
        <v>25</v>
      </c>
      <c r="J17" s="53" t="s">
        <v>789</v>
      </c>
      <c r="K17" s="53" t="s">
        <v>790</v>
      </c>
      <c r="L17" s="53" t="s">
        <v>89</v>
      </c>
      <c r="M17" s="53">
        <v>2020</v>
      </c>
      <c r="N17" s="53">
        <v>0</v>
      </c>
      <c r="O17" s="53">
        <v>2.11</v>
      </c>
      <c r="P17" s="53">
        <v>0</v>
      </c>
    </row>
    <row r="18" spans="1:16" ht="11.25" customHeight="1" x14ac:dyDescent="0.25">
      <c r="A18" s="53">
        <v>17</v>
      </c>
      <c r="B18" s="53" t="s">
        <v>646</v>
      </c>
      <c r="C18" s="53" t="s">
        <v>95</v>
      </c>
      <c r="D18" s="53" t="s">
        <v>63</v>
      </c>
      <c r="E18" s="53" t="s">
        <v>25</v>
      </c>
      <c r="F18" s="53" t="s">
        <v>25</v>
      </c>
      <c r="G18" s="53" t="s">
        <v>97</v>
      </c>
      <c r="H18" s="53" t="s">
        <v>25</v>
      </c>
      <c r="I18" s="53" t="s">
        <v>25</v>
      </c>
      <c r="J18" s="53" t="s">
        <v>789</v>
      </c>
      <c r="K18" s="53" t="s">
        <v>790</v>
      </c>
      <c r="L18" s="53" t="s">
        <v>89</v>
      </c>
      <c r="M18" s="53">
        <v>2020</v>
      </c>
      <c r="N18" s="53">
        <v>0</v>
      </c>
      <c r="O18" s="53">
        <v>17.37</v>
      </c>
      <c r="P18" s="53">
        <v>0</v>
      </c>
    </row>
    <row r="19" spans="1:16" ht="11.25" customHeight="1" x14ac:dyDescent="0.25">
      <c r="A19" s="53">
        <v>18</v>
      </c>
      <c r="B19" s="53" t="s">
        <v>646</v>
      </c>
      <c r="C19" s="53" t="s">
        <v>22</v>
      </c>
      <c r="D19" s="53" t="s">
        <v>39</v>
      </c>
      <c r="E19" s="53" t="s">
        <v>24</v>
      </c>
      <c r="F19" s="53" t="s">
        <v>24</v>
      </c>
      <c r="G19" s="53" t="s">
        <v>25</v>
      </c>
      <c r="H19" s="53" t="s">
        <v>25</v>
      </c>
      <c r="I19" s="53" t="s">
        <v>37</v>
      </c>
      <c r="J19" s="53" t="s">
        <v>791</v>
      </c>
      <c r="K19" s="53" t="s">
        <v>790</v>
      </c>
      <c r="L19" s="53" t="s">
        <v>86</v>
      </c>
      <c r="M19" s="53">
        <v>2020</v>
      </c>
      <c r="N19" s="53">
        <v>0</v>
      </c>
      <c r="O19" s="53">
        <v>966.62</v>
      </c>
      <c r="P19" s="53">
        <v>22.237206444064</v>
      </c>
    </row>
    <row r="20" spans="1:16" ht="11.25" customHeight="1" x14ac:dyDescent="0.25">
      <c r="A20" s="53">
        <v>19</v>
      </c>
      <c r="B20" s="53" t="s">
        <v>646</v>
      </c>
      <c r="C20" s="53" t="s">
        <v>35</v>
      </c>
      <c r="D20" s="53" t="s">
        <v>36</v>
      </c>
      <c r="E20" s="53" t="s">
        <v>25</v>
      </c>
      <c r="F20" s="53" t="s">
        <v>25</v>
      </c>
      <c r="G20" s="53" t="s">
        <v>25</v>
      </c>
      <c r="H20" s="53" t="s">
        <v>25</v>
      </c>
      <c r="I20" s="53" t="s">
        <v>38</v>
      </c>
      <c r="J20" s="53" t="s">
        <v>791</v>
      </c>
      <c r="K20" s="53" t="s">
        <v>790</v>
      </c>
      <c r="L20" s="53" t="s">
        <v>86</v>
      </c>
      <c r="M20" s="53">
        <v>2020</v>
      </c>
      <c r="N20" s="53">
        <v>0</v>
      </c>
      <c r="O20" s="53">
        <v>149.63</v>
      </c>
      <c r="P20" s="53">
        <v>19.7911137352169</v>
      </c>
    </row>
    <row r="21" spans="1:16" ht="11.25" customHeight="1" x14ac:dyDescent="0.25">
      <c r="A21" s="53">
        <v>20</v>
      </c>
      <c r="B21" s="53" t="s">
        <v>646</v>
      </c>
      <c r="C21" s="53" t="s">
        <v>35</v>
      </c>
      <c r="D21" s="53" t="s">
        <v>36</v>
      </c>
      <c r="E21" s="53" t="s">
        <v>25</v>
      </c>
      <c r="F21" s="53" t="s">
        <v>25</v>
      </c>
      <c r="G21" s="53" t="s">
        <v>93</v>
      </c>
      <c r="H21" s="53" t="s">
        <v>25</v>
      </c>
      <c r="I21" s="53" t="s">
        <v>37</v>
      </c>
      <c r="J21" s="53" t="s">
        <v>791</v>
      </c>
      <c r="K21" s="53" t="s">
        <v>790</v>
      </c>
      <c r="L21" s="53" t="s">
        <v>86</v>
      </c>
      <c r="M21" s="53">
        <v>2020</v>
      </c>
      <c r="N21" s="53">
        <v>0</v>
      </c>
      <c r="O21" s="53">
        <v>1407.44</v>
      </c>
      <c r="P21" s="53">
        <v>0</v>
      </c>
    </row>
    <row r="22" spans="1:16" ht="11.25" customHeight="1" x14ac:dyDescent="0.25">
      <c r="A22" s="53">
        <v>21</v>
      </c>
      <c r="B22" s="53" t="s">
        <v>646</v>
      </c>
      <c r="C22" s="53" t="s">
        <v>35</v>
      </c>
      <c r="D22" s="53" t="s">
        <v>36</v>
      </c>
      <c r="E22" s="53" t="s">
        <v>25</v>
      </c>
      <c r="F22" s="53" t="s">
        <v>25</v>
      </c>
      <c r="G22" s="53" t="s">
        <v>93</v>
      </c>
      <c r="H22" s="53" t="s">
        <v>25</v>
      </c>
      <c r="I22" s="53" t="s">
        <v>38</v>
      </c>
      <c r="J22" s="53" t="s">
        <v>791</v>
      </c>
      <c r="K22" s="53" t="s">
        <v>790</v>
      </c>
      <c r="L22" s="53" t="s">
        <v>86</v>
      </c>
      <c r="M22" s="53">
        <v>2020</v>
      </c>
      <c r="N22" s="53">
        <v>0</v>
      </c>
      <c r="O22" s="53">
        <v>122.28</v>
      </c>
      <c r="P22" s="53">
        <v>0</v>
      </c>
    </row>
    <row r="23" spans="1:16" ht="11.25" customHeight="1" x14ac:dyDescent="0.25">
      <c r="A23" s="53">
        <v>22</v>
      </c>
      <c r="B23" s="53" t="s">
        <v>646</v>
      </c>
      <c r="C23" s="53" t="s">
        <v>35</v>
      </c>
      <c r="D23" s="53" t="s">
        <v>63</v>
      </c>
      <c r="E23" s="53" t="s">
        <v>25</v>
      </c>
      <c r="F23" s="53" t="s">
        <v>25</v>
      </c>
      <c r="G23" s="53" t="s">
        <v>25</v>
      </c>
      <c r="H23" s="53" t="s">
        <v>25</v>
      </c>
      <c r="I23" s="53" t="s">
        <v>25</v>
      </c>
      <c r="J23" s="53" t="s">
        <v>789</v>
      </c>
      <c r="K23" s="53" t="s">
        <v>790</v>
      </c>
      <c r="L23" s="53" t="s">
        <v>89</v>
      </c>
      <c r="M23" s="53">
        <v>2020</v>
      </c>
      <c r="N23" s="53">
        <v>0</v>
      </c>
      <c r="O23" s="53">
        <v>20.239999999999998</v>
      </c>
      <c r="P23" s="53">
        <v>0</v>
      </c>
    </row>
    <row r="24" spans="1:16" ht="11.25" customHeight="1" x14ac:dyDescent="0.25">
      <c r="A24" s="53">
        <v>23</v>
      </c>
      <c r="B24" s="53" t="s">
        <v>646</v>
      </c>
      <c r="C24" s="53" t="s">
        <v>35</v>
      </c>
      <c r="D24" s="53" t="s">
        <v>36</v>
      </c>
      <c r="E24" s="53" t="s">
        <v>25</v>
      </c>
      <c r="F24" s="53" t="s">
        <v>25</v>
      </c>
      <c r="G24" s="53" t="s">
        <v>25</v>
      </c>
      <c r="H24" s="53" t="s">
        <v>25</v>
      </c>
      <c r="I24" s="53" t="s">
        <v>25</v>
      </c>
      <c r="J24" s="53" t="s">
        <v>789</v>
      </c>
      <c r="K24" s="53" t="s">
        <v>790</v>
      </c>
      <c r="L24" s="53" t="s">
        <v>89</v>
      </c>
      <c r="M24" s="53">
        <v>2020</v>
      </c>
      <c r="N24" s="53">
        <v>0</v>
      </c>
      <c r="O24" s="53">
        <v>28.57</v>
      </c>
      <c r="P24" s="53">
        <v>0</v>
      </c>
    </row>
    <row r="25" spans="1:16" ht="11.25" customHeight="1" x14ac:dyDescent="0.25">
      <c r="A25" s="53">
        <v>24</v>
      </c>
      <c r="B25" s="53" t="s">
        <v>646</v>
      </c>
      <c r="C25" s="53" t="s">
        <v>35</v>
      </c>
      <c r="D25" s="53" t="s">
        <v>36</v>
      </c>
      <c r="E25" s="53" t="s">
        <v>25</v>
      </c>
      <c r="F25" s="53" t="s">
        <v>25</v>
      </c>
      <c r="G25" s="53" t="s">
        <v>25</v>
      </c>
      <c r="H25" s="53" t="s">
        <v>25</v>
      </c>
      <c r="I25" s="53" t="s">
        <v>37</v>
      </c>
      <c r="J25" s="53" t="s">
        <v>791</v>
      </c>
      <c r="K25" s="53" t="s">
        <v>790</v>
      </c>
      <c r="L25" s="53" t="s">
        <v>86</v>
      </c>
      <c r="M25" s="53">
        <v>2020</v>
      </c>
      <c r="N25" s="53">
        <v>0</v>
      </c>
      <c r="O25" s="53">
        <v>1434.79</v>
      </c>
      <c r="P25" s="53">
        <v>19.7911137352169</v>
      </c>
    </row>
    <row r="26" spans="1:16" ht="11.25" customHeight="1" x14ac:dyDescent="0.25">
      <c r="A26" s="53">
        <v>25</v>
      </c>
      <c r="B26" s="53" t="s">
        <v>646</v>
      </c>
      <c r="C26" s="53" t="s">
        <v>43</v>
      </c>
      <c r="D26" s="53" t="s">
        <v>44</v>
      </c>
      <c r="E26" s="53" t="s">
        <v>25</v>
      </c>
      <c r="F26" s="53" t="s">
        <v>25</v>
      </c>
      <c r="G26" s="53" t="s">
        <v>25</v>
      </c>
      <c r="H26" s="53" t="s">
        <v>25</v>
      </c>
      <c r="I26" s="53" t="s">
        <v>25</v>
      </c>
      <c r="J26" s="53" t="s">
        <v>791</v>
      </c>
      <c r="K26" s="53" t="s">
        <v>790</v>
      </c>
      <c r="L26" s="53" t="s">
        <v>86</v>
      </c>
      <c r="M26" s="53">
        <v>2020</v>
      </c>
      <c r="N26" s="53">
        <v>0</v>
      </c>
      <c r="O26" s="53">
        <v>52.77</v>
      </c>
      <c r="P26" s="53">
        <v>16.2331607041667</v>
      </c>
    </row>
    <row r="27" spans="1:16" ht="11.25" customHeight="1" x14ac:dyDescent="0.25">
      <c r="A27" s="53">
        <v>26</v>
      </c>
      <c r="B27" s="53" t="s">
        <v>646</v>
      </c>
      <c r="C27" s="53" t="s">
        <v>43</v>
      </c>
      <c r="D27" s="53" t="s">
        <v>44</v>
      </c>
      <c r="E27" s="53" t="s">
        <v>25</v>
      </c>
      <c r="F27" s="53" t="s">
        <v>25</v>
      </c>
      <c r="G27" s="53" t="s">
        <v>93</v>
      </c>
      <c r="H27" s="53" t="s">
        <v>25</v>
      </c>
      <c r="I27" s="53" t="s">
        <v>25</v>
      </c>
      <c r="J27" s="53" t="s">
        <v>791</v>
      </c>
      <c r="K27" s="53" t="s">
        <v>790</v>
      </c>
      <c r="L27" s="53" t="s">
        <v>86</v>
      </c>
      <c r="M27" s="53">
        <v>2020</v>
      </c>
      <c r="N27" s="53">
        <v>0</v>
      </c>
      <c r="O27" s="53">
        <v>28.98</v>
      </c>
      <c r="P27" s="53">
        <v>0</v>
      </c>
    </row>
    <row r="28" spans="1:16" ht="11.25" customHeight="1" x14ac:dyDescent="0.25">
      <c r="A28" s="53">
        <v>27</v>
      </c>
      <c r="B28" s="53" t="s">
        <v>646</v>
      </c>
      <c r="C28" s="53" t="s">
        <v>43</v>
      </c>
      <c r="D28" s="53" t="s">
        <v>63</v>
      </c>
      <c r="E28" s="53" t="s">
        <v>25</v>
      </c>
      <c r="F28" s="53" t="s">
        <v>25</v>
      </c>
      <c r="G28" s="53" t="s">
        <v>25</v>
      </c>
      <c r="H28" s="53" t="s">
        <v>25</v>
      </c>
      <c r="I28" s="53" t="s">
        <v>25</v>
      </c>
      <c r="J28" s="53" t="s">
        <v>789</v>
      </c>
      <c r="K28" s="53" t="s">
        <v>790</v>
      </c>
      <c r="L28" s="53" t="s">
        <v>89</v>
      </c>
      <c r="M28" s="53">
        <v>2020</v>
      </c>
      <c r="N28" s="53">
        <v>0</v>
      </c>
      <c r="O28" s="53">
        <v>7.58</v>
      </c>
      <c r="P28" s="53">
        <v>0</v>
      </c>
    </row>
    <row r="29" spans="1:16" ht="11.25" customHeight="1" x14ac:dyDescent="0.25">
      <c r="A29" s="53">
        <v>28</v>
      </c>
      <c r="B29" s="53" t="s">
        <v>646</v>
      </c>
      <c r="C29" s="53" t="s">
        <v>35</v>
      </c>
      <c r="D29" s="53" t="s">
        <v>44</v>
      </c>
      <c r="E29" s="53" t="s">
        <v>25</v>
      </c>
      <c r="F29" s="53" t="s">
        <v>25</v>
      </c>
      <c r="G29" s="53" t="s">
        <v>25</v>
      </c>
      <c r="H29" s="53" t="s">
        <v>25</v>
      </c>
      <c r="I29" s="53" t="s">
        <v>37</v>
      </c>
      <c r="J29" s="53" t="s">
        <v>789</v>
      </c>
      <c r="K29" s="53" t="s">
        <v>790</v>
      </c>
      <c r="L29" s="53" t="s">
        <v>89</v>
      </c>
      <c r="M29" s="53">
        <v>2020</v>
      </c>
      <c r="N29" s="53">
        <v>0</v>
      </c>
      <c r="O29" s="53">
        <v>52.99</v>
      </c>
      <c r="P29" s="53">
        <v>0</v>
      </c>
    </row>
    <row r="30" spans="1:16" ht="11.25" customHeight="1" x14ac:dyDescent="0.25">
      <c r="A30" s="53">
        <v>29</v>
      </c>
      <c r="B30" s="53" t="s">
        <v>646</v>
      </c>
      <c r="C30" s="53" t="s">
        <v>35</v>
      </c>
      <c r="D30" s="53" t="s">
        <v>44</v>
      </c>
      <c r="E30" s="53" t="s">
        <v>25</v>
      </c>
      <c r="F30" s="53" t="s">
        <v>25</v>
      </c>
      <c r="G30" s="53" t="s">
        <v>25</v>
      </c>
      <c r="H30" s="53" t="s">
        <v>25</v>
      </c>
      <c r="I30" s="53" t="s">
        <v>38</v>
      </c>
      <c r="J30" s="53" t="s">
        <v>789</v>
      </c>
      <c r="K30" s="53" t="s">
        <v>790</v>
      </c>
      <c r="L30" s="53" t="s">
        <v>89</v>
      </c>
      <c r="M30" s="53">
        <v>2020</v>
      </c>
      <c r="N30" s="53">
        <v>0</v>
      </c>
      <c r="O30" s="53">
        <v>28.57</v>
      </c>
      <c r="P30" s="53">
        <v>0</v>
      </c>
    </row>
    <row r="31" spans="1:16" ht="11.25" customHeight="1" x14ac:dyDescent="0.25">
      <c r="A31" s="53">
        <v>30</v>
      </c>
      <c r="B31" s="53" t="s">
        <v>646</v>
      </c>
      <c r="C31" s="53" t="s">
        <v>35</v>
      </c>
      <c r="D31" s="53" t="s">
        <v>44</v>
      </c>
      <c r="E31" s="53" t="s">
        <v>25</v>
      </c>
      <c r="F31" s="53" t="s">
        <v>25</v>
      </c>
      <c r="G31" s="53" t="s">
        <v>25</v>
      </c>
      <c r="H31" s="53" t="s">
        <v>25</v>
      </c>
      <c r="I31" s="53" t="s">
        <v>25</v>
      </c>
      <c r="J31" s="53" t="s">
        <v>791</v>
      </c>
      <c r="K31" s="53" t="s">
        <v>790</v>
      </c>
      <c r="L31" s="53" t="s">
        <v>86</v>
      </c>
      <c r="M31" s="53">
        <v>2020</v>
      </c>
      <c r="N31" s="53">
        <v>0</v>
      </c>
      <c r="O31" s="53">
        <v>149.63</v>
      </c>
      <c r="P31" s="53">
        <v>19.7911137352169</v>
      </c>
    </row>
    <row r="32" spans="1:16" ht="11.25" customHeight="1" x14ac:dyDescent="0.25">
      <c r="A32" s="53">
        <v>31</v>
      </c>
      <c r="B32" s="53" t="s">
        <v>646</v>
      </c>
      <c r="C32" s="53" t="s">
        <v>35</v>
      </c>
      <c r="D32" s="53" t="s">
        <v>44</v>
      </c>
      <c r="E32" s="53" t="s">
        <v>25</v>
      </c>
      <c r="F32" s="53" t="s">
        <v>25</v>
      </c>
      <c r="G32" s="53" t="s">
        <v>93</v>
      </c>
      <c r="H32" s="53" t="s">
        <v>25</v>
      </c>
      <c r="I32" s="53" t="s">
        <v>25</v>
      </c>
      <c r="J32" s="53" t="s">
        <v>791</v>
      </c>
      <c r="K32" s="53" t="s">
        <v>790</v>
      </c>
      <c r="L32" s="53" t="s">
        <v>86</v>
      </c>
      <c r="M32" s="53">
        <v>2020</v>
      </c>
      <c r="N32" s="53">
        <v>0</v>
      </c>
      <c r="O32" s="53">
        <v>122.28</v>
      </c>
      <c r="P32" s="53">
        <v>0</v>
      </c>
    </row>
    <row r="33" spans="1:16" ht="11.25" customHeight="1" x14ac:dyDescent="0.25">
      <c r="A33" s="53">
        <v>32</v>
      </c>
      <c r="B33" s="53" t="s">
        <v>646</v>
      </c>
      <c r="C33" s="53" t="s">
        <v>46</v>
      </c>
      <c r="D33" s="53" t="s">
        <v>39</v>
      </c>
      <c r="E33" s="53" t="s">
        <v>47</v>
      </c>
      <c r="F33" s="53" t="s">
        <v>101</v>
      </c>
      <c r="G33" s="53" t="s">
        <v>25</v>
      </c>
      <c r="H33" s="53" t="s">
        <v>25</v>
      </c>
      <c r="I33" s="53" t="s">
        <v>37</v>
      </c>
      <c r="J33" s="53" t="s">
        <v>791</v>
      </c>
      <c r="K33" s="53" t="s">
        <v>790</v>
      </c>
      <c r="L33" s="53" t="s">
        <v>86</v>
      </c>
      <c r="M33" s="53">
        <v>2020</v>
      </c>
      <c r="N33" s="53">
        <v>0</v>
      </c>
      <c r="O33" s="53">
        <v>812.79</v>
      </c>
      <c r="P33" s="53">
        <v>18.2345092841325</v>
      </c>
    </row>
    <row r="34" spans="1:16" ht="11.25" customHeight="1" x14ac:dyDescent="0.25">
      <c r="A34" s="53">
        <v>33</v>
      </c>
      <c r="B34" s="53" t="s">
        <v>646</v>
      </c>
      <c r="C34" s="53" t="s">
        <v>46</v>
      </c>
      <c r="D34" s="53" t="s">
        <v>39</v>
      </c>
      <c r="E34" s="53" t="s">
        <v>47</v>
      </c>
      <c r="F34" s="53" t="s">
        <v>101</v>
      </c>
      <c r="G34" s="53" t="s">
        <v>25</v>
      </c>
      <c r="H34" s="53" t="s">
        <v>25</v>
      </c>
      <c r="I34" s="53" t="s">
        <v>40</v>
      </c>
      <c r="J34" s="53" t="s">
        <v>791</v>
      </c>
      <c r="K34" s="53" t="s">
        <v>790</v>
      </c>
      <c r="L34" s="53" t="s">
        <v>86</v>
      </c>
      <c r="M34" s="53">
        <v>2020</v>
      </c>
      <c r="N34" s="53">
        <v>0</v>
      </c>
      <c r="O34" s="53">
        <v>554.67999999999995</v>
      </c>
      <c r="P34" s="53">
        <v>18.2345092841325</v>
      </c>
    </row>
    <row r="35" spans="1:16" ht="11.25" customHeight="1" x14ac:dyDescent="0.25">
      <c r="A35" s="53">
        <v>34</v>
      </c>
      <c r="B35" s="53" t="s">
        <v>646</v>
      </c>
      <c r="C35" s="53" t="s">
        <v>46</v>
      </c>
      <c r="D35" s="53" t="s">
        <v>39</v>
      </c>
      <c r="E35" s="53" t="s">
        <v>47</v>
      </c>
      <c r="F35" s="53" t="s">
        <v>101</v>
      </c>
      <c r="G35" s="53" t="s">
        <v>25</v>
      </c>
      <c r="H35" s="53" t="s">
        <v>25</v>
      </c>
      <c r="I35" s="53" t="s">
        <v>38</v>
      </c>
      <c r="J35" s="53" t="s">
        <v>791</v>
      </c>
      <c r="K35" s="53" t="s">
        <v>790</v>
      </c>
      <c r="L35" s="53" t="s">
        <v>86</v>
      </c>
      <c r="M35" s="53">
        <v>2020</v>
      </c>
      <c r="N35" s="53">
        <v>0</v>
      </c>
      <c r="O35" s="53">
        <v>296.56</v>
      </c>
      <c r="P35" s="53">
        <v>18.2345092841325</v>
      </c>
    </row>
    <row r="36" spans="1:16" ht="11.25" customHeight="1" x14ac:dyDescent="0.25">
      <c r="A36" s="53">
        <v>35</v>
      </c>
      <c r="B36" s="53" t="s">
        <v>646</v>
      </c>
      <c r="C36" s="53" t="s">
        <v>22</v>
      </c>
      <c r="D36" s="53" t="s">
        <v>100</v>
      </c>
      <c r="E36" s="53" t="s">
        <v>24</v>
      </c>
      <c r="F36" s="53" t="s">
        <v>34</v>
      </c>
      <c r="G36" s="53" t="s">
        <v>25</v>
      </c>
      <c r="H36" s="53" t="s">
        <v>25</v>
      </c>
      <c r="I36" s="53" t="s">
        <v>25</v>
      </c>
      <c r="J36" s="53" t="s">
        <v>791</v>
      </c>
      <c r="K36" s="53" t="s">
        <v>790</v>
      </c>
      <c r="L36" s="53" t="s">
        <v>86</v>
      </c>
      <c r="M36" s="53">
        <v>2020</v>
      </c>
      <c r="N36" s="53">
        <v>0</v>
      </c>
      <c r="O36" s="53">
        <v>420.39</v>
      </c>
      <c r="P36" s="53">
        <v>0</v>
      </c>
    </row>
    <row r="37" spans="1:16" ht="11.25" customHeight="1" x14ac:dyDescent="0.25">
      <c r="A37" s="53">
        <v>36</v>
      </c>
      <c r="B37" s="53" t="s">
        <v>646</v>
      </c>
      <c r="C37" s="53" t="s">
        <v>46</v>
      </c>
      <c r="D37" s="53" t="s">
        <v>39</v>
      </c>
      <c r="E37" s="53" t="s">
        <v>47</v>
      </c>
      <c r="F37" s="53" t="s">
        <v>25</v>
      </c>
      <c r="G37" s="53" t="s">
        <v>25</v>
      </c>
      <c r="H37" s="53" t="s">
        <v>25</v>
      </c>
      <c r="I37" s="53" t="s">
        <v>37</v>
      </c>
      <c r="J37" s="53" t="s">
        <v>791</v>
      </c>
      <c r="K37" s="53" t="s">
        <v>790</v>
      </c>
      <c r="L37" s="53" t="s">
        <v>86</v>
      </c>
      <c r="M37" s="53">
        <v>2020</v>
      </c>
      <c r="N37" s="53">
        <v>0</v>
      </c>
      <c r="O37" s="53">
        <v>812.79</v>
      </c>
      <c r="P37" s="53">
        <v>18.2345092841325</v>
      </c>
    </row>
    <row r="38" spans="1:16" ht="11.25" customHeight="1" x14ac:dyDescent="0.25">
      <c r="A38" s="53">
        <v>37</v>
      </c>
      <c r="B38" s="53" t="s">
        <v>646</v>
      </c>
      <c r="C38" s="53" t="s">
        <v>46</v>
      </c>
      <c r="D38" s="53" t="s">
        <v>39</v>
      </c>
      <c r="E38" s="53" t="s">
        <v>47</v>
      </c>
      <c r="F38" s="53" t="s">
        <v>25</v>
      </c>
      <c r="G38" s="53" t="s">
        <v>25</v>
      </c>
      <c r="H38" s="53" t="s">
        <v>25</v>
      </c>
      <c r="I38" s="53" t="s">
        <v>40</v>
      </c>
      <c r="J38" s="53" t="s">
        <v>791</v>
      </c>
      <c r="K38" s="53" t="s">
        <v>790</v>
      </c>
      <c r="L38" s="53" t="s">
        <v>86</v>
      </c>
      <c r="M38" s="53">
        <v>2020</v>
      </c>
      <c r="N38" s="53">
        <v>0</v>
      </c>
      <c r="O38" s="53">
        <v>554.67999999999995</v>
      </c>
      <c r="P38" s="53">
        <v>18.2345092841325</v>
      </c>
    </row>
    <row r="39" spans="1:16" ht="11.25" customHeight="1" x14ac:dyDescent="0.25">
      <c r="A39" s="53">
        <v>38</v>
      </c>
      <c r="B39" s="53" t="s">
        <v>646</v>
      </c>
      <c r="C39" s="53" t="s">
        <v>46</v>
      </c>
      <c r="D39" s="53" t="s">
        <v>39</v>
      </c>
      <c r="E39" s="53" t="s">
        <v>47</v>
      </c>
      <c r="F39" s="53" t="s">
        <v>25</v>
      </c>
      <c r="G39" s="53" t="s">
        <v>25</v>
      </c>
      <c r="H39" s="53" t="s">
        <v>25</v>
      </c>
      <c r="I39" s="53" t="s">
        <v>38</v>
      </c>
      <c r="J39" s="53" t="s">
        <v>791</v>
      </c>
      <c r="K39" s="53" t="s">
        <v>790</v>
      </c>
      <c r="L39" s="53" t="s">
        <v>86</v>
      </c>
      <c r="M39" s="53">
        <v>2020</v>
      </c>
      <c r="N39" s="53">
        <v>0</v>
      </c>
      <c r="O39" s="53">
        <v>296.56</v>
      </c>
      <c r="P39" s="53">
        <v>18.2345092841325</v>
      </c>
    </row>
    <row r="40" spans="1:16" ht="11.25" customHeight="1" x14ac:dyDescent="0.25">
      <c r="A40" s="53">
        <v>39</v>
      </c>
      <c r="B40" s="53" t="s">
        <v>646</v>
      </c>
      <c r="C40" s="53" t="s">
        <v>46</v>
      </c>
      <c r="D40" s="53" t="s">
        <v>23</v>
      </c>
      <c r="E40" s="53" t="s">
        <v>47</v>
      </c>
      <c r="F40" s="53" t="s">
        <v>25</v>
      </c>
      <c r="G40" s="53" t="s">
        <v>25</v>
      </c>
      <c r="H40" s="53" t="s">
        <v>25</v>
      </c>
      <c r="I40" s="53" t="s">
        <v>25</v>
      </c>
      <c r="J40" s="53" t="s">
        <v>791</v>
      </c>
      <c r="K40" s="53" t="s">
        <v>790</v>
      </c>
      <c r="L40" s="53" t="s">
        <v>86</v>
      </c>
      <c r="M40" s="53">
        <v>2020</v>
      </c>
      <c r="N40" s="53">
        <v>0</v>
      </c>
      <c r="O40" s="53">
        <v>369.16</v>
      </c>
      <c r="P40" s="53">
        <v>18.2345092841325</v>
      </c>
    </row>
    <row r="41" spans="1:16" ht="11.25" customHeight="1" x14ac:dyDescent="0.25">
      <c r="A41" s="53">
        <v>40</v>
      </c>
      <c r="B41" s="53" t="s">
        <v>646</v>
      </c>
      <c r="C41" s="53" t="s">
        <v>46</v>
      </c>
      <c r="D41" s="53" t="s">
        <v>23</v>
      </c>
      <c r="E41" s="53" t="s">
        <v>47</v>
      </c>
      <c r="F41" s="53" t="s">
        <v>101</v>
      </c>
      <c r="G41" s="53" t="s">
        <v>25</v>
      </c>
      <c r="H41" s="53" t="s">
        <v>25</v>
      </c>
      <c r="I41" s="53" t="s">
        <v>25</v>
      </c>
      <c r="J41" s="53" t="s">
        <v>791</v>
      </c>
      <c r="K41" s="53" t="s">
        <v>790</v>
      </c>
      <c r="L41" s="53" t="s">
        <v>86</v>
      </c>
      <c r="M41" s="53">
        <v>2020</v>
      </c>
      <c r="N41" s="53">
        <v>0</v>
      </c>
      <c r="O41" s="53">
        <v>369.16</v>
      </c>
      <c r="P41" s="53">
        <v>18.2345092841325</v>
      </c>
    </row>
    <row r="42" spans="1:16" ht="11.25" customHeight="1" x14ac:dyDescent="0.25">
      <c r="A42" s="53">
        <v>41</v>
      </c>
      <c r="B42" s="53" t="s">
        <v>646</v>
      </c>
      <c r="C42" s="53" t="s">
        <v>46</v>
      </c>
      <c r="D42" s="53" t="s">
        <v>39</v>
      </c>
      <c r="E42" s="53" t="s">
        <v>47</v>
      </c>
      <c r="F42" s="53" t="s">
        <v>55</v>
      </c>
      <c r="G42" s="53" t="s">
        <v>25</v>
      </c>
      <c r="H42" s="53" t="s">
        <v>25</v>
      </c>
      <c r="I42" s="53" t="s">
        <v>37</v>
      </c>
      <c r="J42" s="53" t="s">
        <v>791</v>
      </c>
      <c r="K42" s="53" t="s">
        <v>790</v>
      </c>
      <c r="L42" s="53" t="s">
        <v>86</v>
      </c>
      <c r="M42" s="53">
        <v>2020</v>
      </c>
      <c r="N42" s="53">
        <v>0</v>
      </c>
      <c r="O42" s="53">
        <v>753.32</v>
      </c>
      <c r="P42" s="53">
        <v>16.900276897488599</v>
      </c>
    </row>
    <row r="43" spans="1:16" ht="11.25" customHeight="1" x14ac:dyDescent="0.25">
      <c r="A43" s="53">
        <v>42</v>
      </c>
      <c r="B43" s="53" t="s">
        <v>646</v>
      </c>
      <c r="C43" s="53" t="s">
        <v>46</v>
      </c>
      <c r="D43" s="53" t="s">
        <v>39</v>
      </c>
      <c r="E43" s="53" t="s">
        <v>47</v>
      </c>
      <c r="F43" s="53" t="s">
        <v>55</v>
      </c>
      <c r="G43" s="53" t="s">
        <v>25</v>
      </c>
      <c r="H43" s="53" t="s">
        <v>25</v>
      </c>
      <c r="I43" s="53" t="s">
        <v>40</v>
      </c>
      <c r="J43" s="53" t="s">
        <v>791</v>
      </c>
      <c r="K43" s="53" t="s">
        <v>790</v>
      </c>
      <c r="L43" s="53" t="s">
        <v>86</v>
      </c>
      <c r="M43" s="53">
        <v>2020</v>
      </c>
      <c r="N43" s="53">
        <v>0</v>
      </c>
      <c r="O43" s="53">
        <v>514.09</v>
      </c>
      <c r="P43" s="53">
        <v>16.900276897488599</v>
      </c>
    </row>
    <row r="44" spans="1:16" ht="11.25" customHeight="1" x14ac:dyDescent="0.25">
      <c r="A44" s="53">
        <v>43</v>
      </c>
      <c r="B44" s="53" t="s">
        <v>646</v>
      </c>
      <c r="C44" s="53" t="s">
        <v>46</v>
      </c>
      <c r="D44" s="53" t="s">
        <v>39</v>
      </c>
      <c r="E44" s="53" t="s">
        <v>47</v>
      </c>
      <c r="F44" s="53" t="s">
        <v>55</v>
      </c>
      <c r="G44" s="53" t="s">
        <v>25</v>
      </c>
      <c r="H44" s="53" t="s">
        <v>25</v>
      </c>
      <c r="I44" s="53" t="s">
        <v>38</v>
      </c>
      <c r="J44" s="53" t="s">
        <v>791</v>
      </c>
      <c r="K44" s="53" t="s">
        <v>790</v>
      </c>
      <c r="L44" s="53" t="s">
        <v>86</v>
      </c>
      <c r="M44" s="53">
        <v>2020</v>
      </c>
      <c r="N44" s="53">
        <v>0</v>
      </c>
      <c r="O44" s="53">
        <v>274.86</v>
      </c>
      <c r="P44" s="53">
        <v>16.900276897488599</v>
      </c>
    </row>
    <row r="45" spans="1:16" ht="11.25" customHeight="1" x14ac:dyDescent="0.25">
      <c r="A45" s="53">
        <v>44</v>
      </c>
      <c r="B45" s="53" t="s">
        <v>646</v>
      </c>
      <c r="C45" s="53" t="s">
        <v>46</v>
      </c>
      <c r="D45" s="53" t="s">
        <v>23</v>
      </c>
      <c r="E45" s="53" t="s">
        <v>47</v>
      </c>
      <c r="F45" s="53" t="s">
        <v>55</v>
      </c>
      <c r="G45" s="53" t="s">
        <v>25</v>
      </c>
      <c r="H45" s="53" t="s">
        <v>25</v>
      </c>
      <c r="I45" s="53" t="s">
        <v>25</v>
      </c>
      <c r="J45" s="53" t="s">
        <v>791</v>
      </c>
      <c r="K45" s="53" t="s">
        <v>790</v>
      </c>
      <c r="L45" s="53" t="s">
        <v>86</v>
      </c>
      <c r="M45" s="53">
        <v>2020</v>
      </c>
      <c r="N45" s="53">
        <v>0</v>
      </c>
      <c r="O45" s="53">
        <v>342.15</v>
      </c>
      <c r="P45" s="53">
        <v>16.900276897488599</v>
      </c>
    </row>
    <row r="46" spans="1:16" ht="11.25" customHeight="1" x14ac:dyDescent="0.25">
      <c r="A46" s="53">
        <v>45</v>
      </c>
      <c r="B46" s="53" t="s">
        <v>646</v>
      </c>
      <c r="C46" s="53" t="s">
        <v>46</v>
      </c>
      <c r="D46" s="53" t="s">
        <v>100</v>
      </c>
      <c r="E46" s="53" t="s">
        <v>47</v>
      </c>
      <c r="F46" s="53" t="s">
        <v>25</v>
      </c>
      <c r="G46" s="53" t="s">
        <v>25</v>
      </c>
      <c r="H46" s="53" t="s">
        <v>25</v>
      </c>
      <c r="I46" s="53" t="s">
        <v>25</v>
      </c>
      <c r="J46" s="53" t="s">
        <v>791</v>
      </c>
      <c r="K46" s="53" t="s">
        <v>790</v>
      </c>
      <c r="L46" s="53" t="s">
        <v>86</v>
      </c>
      <c r="M46" s="53">
        <v>2020</v>
      </c>
      <c r="N46" s="53">
        <v>0</v>
      </c>
      <c r="O46" s="53">
        <v>369.16</v>
      </c>
      <c r="P46" s="53">
        <v>18.2345092841325</v>
      </c>
    </row>
    <row r="47" spans="1:16" ht="11.25" customHeight="1" x14ac:dyDescent="0.25">
      <c r="A47" s="53">
        <v>46</v>
      </c>
      <c r="B47" s="53" t="s">
        <v>646</v>
      </c>
      <c r="C47" s="53" t="s">
        <v>46</v>
      </c>
      <c r="D47" s="53" t="s">
        <v>100</v>
      </c>
      <c r="E47" s="53" t="s">
        <v>47</v>
      </c>
      <c r="F47" s="53" t="s">
        <v>101</v>
      </c>
      <c r="G47" s="53" t="s">
        <v>25</v>
      </c>
      <c r="H47" s="53" t="s">
        <v>25</v>
      </c>
      <c r="I47" s="53" t="s">
        <v>25</v>
      </c>
      <c r="J47" s="53" t="s">
        <v>791</v>
      </c>
      <c r="K47" s="53" t="s">
        <v>790</v>
      </c>
      <c r="L47" s="53" t="s">
        <v>86</v>
      </c>
      <c r="M47" s="53">
        <v>2020</v>
      </c>
      <c r="N47" s="53">
        <v>0</v>
      </c>
      <c r="O47" s="53">
        <v>369.16</v>
      </c>
      <c r="P47" s="53">
        <v>18.2345092841325</v>
      </c>
    </row>
    <row r="48" spans="1:16" ht="11.25" customHeight="1" x14ac:dyDescent="0.25">
      <c r="A48" s="53">
        <v>47</v>
      </c>
      <c r="B48" s="53" t="s">
        <v>646</v>
      </c>
      <c r="C48" s="53" t="s">
        <v>46</v>
      </c>
      <c r="D48" s="53" t="s">
        <v>100</v>
      </c>
      <c r="E48" s="53" t="s">
        <v>47</v>
      </c>
      <c r="F48" s="53" t="s">
        <v>55</v>
      </c>
      <c r="G48" s="53" t="s">
        <v>25</v>
      </c>
      <c r="H48" s="53" t="s">
        <v>25</v>
      </c>
      <c r="I48" s="53" t="s">
        <v>25</v>
      </c>
      <c r="J48" s="53" t="s">
        <v>791</v>
      </c>
      <c r="K48" s="53" t="s">
        <v>790</v>
      </c>
      <c r="L48" s="53" t="s">
        <v>86</v>
      </c>
      <c r="M48" s="53">
        <v>2020</v>
      </c>
      <c r="N48" s="53">
        <v>0</v>
      </c>
      <c r="O48" s="53">
        <v>342.15</v>
      </c>
      <c r="P48" s="53">
        <v>16.900276897488599</v>
      </c>
    </row>
    <row r="49" spans="1:16" ht="11.25" customHeight="1" x14ac:dyDescent="0.25">
      <c r="A49" s="53">
        <v>48</v>
      </c>
      <c r="B49" s="53" t="s">
        <v>674</v>
      </c>
      <c r="C49" s="53" t="s">
        <v>22</v>
      </c>
      <c r="D49" s="53" t="s">
        <v>99</v>
      </c>
      <c r="E49" s="53" t="s">
        <v>24</v>
      </c>
      <c r="F49" s="53" t="s">
        <v>31</v>
      </c>
      <c r="G49" s="53" t="s">
        <v>25</v>
      </c>
      <c r="H49" s="53" t="s">
        <v>25</v>
      </c>
      <c r="I49" s="53" t="s">
        <v>25</v>
      </c>
      <c r="J49" s="53" t="s">
        <v>791</v>
      </c>
      <c r="K49" s="53" t="s">
        <v>790</v>
      </c>
      <c r="L49" s="53" t="s">
        <v>86</v>
      </c>
      <c r="M49" s="53">
        <v>2020</v>
      </c>
      <c r="N49" s="53">
        <v>0</v>
      </c>
      <c r="O49" s="53">
        <v>85.16</v>
      </c>
      <c r="P49" s="53"/>
    </row>
    <row r="50" spans="1:16" ht="11.25" customHeight="1" x14ac:dyDescent="0.25">
      <c r="A50" s="53">
        <v>49</v>
      </c>
      <c r="B50" s="53" t="s">
        <v>674</v>
      </c>
      <c r="C50" s="53" t="s">
        <v>22</v>
      </c>
      <c r="D50" s="53" t="s">
        <v>99</v>
      </c>
      <c r="E50" s="53" t="s">
        <v>24</v>
      </c>
      <c r="F50" s="53" t="s">
        <v>32</v>
      </c>
      <c r="G50" s="53" t="s">
        <v>25</v>
      </c>
      <c r="H50" s="53" t="s">
        <v>25</v>
      </c>
      <c r="I50" s="53" t="s">
        <v>25</v>
      </c>
      <c r="J50" s="53" t="s">
        <v>791</v>
      </c>
      <c r="K50" s="53" t="s">
        <v>790</v>
      </c>
      <c r="L50" s="53" t="s">
        <v>86</v>
      </c>
      <c r="M50" s="53">
        <v>2020</v>
      </c>
      <c r="N50" s="53">
        <v>0</v>
      </c>
      <c r="O50" s="53">
        <v>145.97999999999999</v>
      </c>
      <c r="P50" s="53"/>
    </row>
    <row r="51" spans="1:16" ht="11.25" customHeight="1" x14ac:dyDescent="0.25">
      <c r="A51" s="53">
        <v>50</v>
      </c>
      <c r="B51" s="53" t="s">
        <v>674</v>
      </c>
      <c r="C51" s="53" t="s">
        <v>22</v>
      </c>
      <c r="D51" s="53" t="s">
        <v>99</v>
      </c>
      <c r="E51" s="53" t="s">
        <v>24</v>
      </c>
      <c r="F51" s="53" t="s">
        <v>33</v>
      </c>
      <c r="G51" s="53" t="s">
        <v>25</v>
      </c>
      <c r="H51" s="53" t="s">
        <v>25</v>
      </c>
      <c r="I51" s="53" t="s">
        <v>25</v>
      </c>
      <c r="J51" s="53" t="s">
        <v>791</v>
      </c>
      <c r="K51" s="53" t="s">
        <v>790</v>
      </c>
      <c r="L51" s="53" t="s">
        <v>86</v>
      </c>
      <c r="M51" s="53">
        <v>2020</v>
      </c>
      <c r="N51" s="53">
        <v>0</v>
      </c>
      <c r="O51" s="53">
        <v>218.97</v>
      </c>
      <c r="P51" s="53"/>
    </row>
    <row r="52" spans="1:16" ht="11.25" customHeight="1" x14ac:dyDescent="0.25">
      <c r="A52" s="53">
        <v>51</v>
      </c>
      <c r="B52" s="53" t="s">
        <v>674</v>
      </c>
      <c r="C52" s="53" t="s">
        <v>22</v>
      </c>
      <c r="D52" s="53" t="s">
        <v>99</v>
      </c>
      <c r="E52" s="53" t="s">
        <v>24</v>
      </c>
      <c r="F52" s="53" t="s">
        <v>34</v>
      </c>
      <c r="G52" s="53" t="s">
        <v>25</v>
      </c>
      <c r="H52" s="53" t="s">
        <v>25</v>
      </c>
      <c r="I52" s="53" t="s">
        <v>25</v>
      </c>
      <c r="J52" s="53" t="s">
        <v>791</v>
      </c>
      <c r="K52" s="53" t="s">
        <v>790</v>
      </c>
      <c r="L52" s="53" t="s">
        <v>86</v>
      </c>
      <c r="M52" s="53">
        <v>2020</v>
      </c>
      <c r="N52" s="53">
        <v>0</v>
      </c>
      <c r="O52" s="53">
        <v>243.3</v>
      </c>
      <c r="P52" s="53"/>
    </row>
    <row r="53" spans="1:16" ht="11.25" customHeight="1" x14ac:dyDescent="0.25">
      <c r="A53" s="53">
        <v>52</v>
      </c>
      <c r="B53" s="53" t="s">
        <v>674</v>
      </c>
      <c r="C53" s="53" t="s">
        <v>22</v>
      </c>
      <c r="D53" s="53" t="s">
        <v>94</v>
      </c>
      <c r="E53" s="53" t="s">
        <v>24</v>
      </c>
      <c r="F53" s="53" t="s">
        <v>33</v>
      </c>
      <c r="G53" s="53" t="s">
        <v>25</v>
      </c>
      <c r="H53" s="53" t="s">
        <v>25</v>
      </c>
      <c r="I53" s="53" t="s">
        <v>25</v>
      </c>
      <c r="J53" s="53" t="s">
        <v>791</v>
      </c>
      <c r="K53" s="53" t="s">
        <v>790</v>
      </c>
      <c r="L53" s="53" t="s">
        <v>86</v>
      </c>
      <c r="M53" s="53">
        <v>2020</v>
      </c>
      <c r="N53" s="53">
        <v>0</v>
      </c>
      <c r="O53" s="53">
        <v>218.97</v>
      </c>
      <c r="P53" s="53"/>
    </row>
    <row r="54" spans="1:16" ht="11.25" customHeight="1" x14ac:dyDescent="0.25">
      <c r="A54" s="53">
        <v>53</v>
      </c>
      <c r="B54" s="53" t="s">
        <v>674</v>
      </c>
      <c r="C54" s="53" t="s">
        <v>22</v>
      </c>
      <c r="D54" s="53" t="s">
        <v>94</v>
      </c>
      <c r="E54" s="53" t="s">
        <v>24</v>
      </c>
      <c r="F54" s="53" t="s">
        <v>34</v>
      </c>
      <c r="G54" s="53" t="s">
        <v>25</v>
      </c>
      <c r="H54" s="53" t="s">
        <v>25</v>
      </c>
      <c r="I54" s="53" t="s">
        <v>25</v>
      </c>
      <c r="J54" s="53" t="s">
        <v>791</v>
      </c>
      <c r="K54" s="53" t="s">
        <v>790</v>
      </c>
      <c r="L54" s="53" t="s">
        <v>86</v>
      </c>
      <c r="M54" s="53">
        <v>2020</v>
      </c>
      <c r="N54" s="53">
        <v>0</v>
      </c>
      <c r="O54" s="53">
        <v>243.3</v>
      </c>
      <c r="P54" s="53"/>
    </row>
    <row r="55" spans="1:16" ht="11.25" customHeight="1" x14ac:dyDescent="0.25">
      <c r="A55" s="53">
        <v>54</v>
      </c>
      <c r="B55" s="53" t="s">
        <v>674</v>
      </c>
      <c r="C55" s="53" t="s">
        <v>22</v>
      </c>
      <c r="D55" s="53" t="s">
        <v>99</v>
      </c>
      <c r="E55" s="53" t="s">
        <v>24</v>
      </c>
      <c r="F55" s="53" t="s">
        <v>24</v>
      </c>
      <c r="G55" s="53" t="s">
        <v>25</v>
      </c>
      <c r="H55" s="53" t="s">
        <v>25</v>
      </c>
      <c r="I55" s="53" t="s">
        <v>25</v>
      </c>
      <c r="J55" s="53" t="s">
        <v>791</v>
      </c>
      <c r="K55" s="53" t="s">
        <v>790</v>
      </c>
      <c r="L55" s="53" t="s">
        <v>86</v>
      </c>
      <c r="M55" s="53">
        <v>2020</v>
      </c>
      <c r="N55" s="53">
        <v>0</v>
      </c>
      <c r="O55" s="53">
        <v>243.3</v>
      </c>
      <c r="P55" s="53"/>
    </row>
    <row r="56" spans="1:16" ht="11.25" customHeight="1" x14ac:dyDescent="0.25">
      <c r="A56" s="53">
        <v>55</v>
      </c>
      <c r="B56" s="53" t="s">
        <v>674</v>
      </c>
      <c r="C56" s="53" t="s">
        <v>46</v>
      </c>
      <c r="D56" s="53" t="s">
        <v>85</v>
      </c>
      <c r="E56" s="53" t="s">
        <v>47</v>
      </c>
      <c r="F56" s="53" t="s">
        <v>25</v>
      </c>
      <c r="G56" s="53" t="s">
        <v>25</v>
      </c>
      <c r="H56" s="53" t="s">
        <v>25</v>
      </c>
      <c r="I56" s="53" t="s">
        <v>37</v>
      </c>
      <c r="J56" s="53" t="s">
        <v>791</v>
      </c>
      <c r="K56" s="53" t="s">
        <v>790</v>
      </c>
      <c r="L56" s="53" t="s">
        <v>86</v>
      </c>
      <c r="M56" s="53">
        <v>2020</v>
      </c>
      <c r="N56" s="53">
        <v>0</v>
      </c>
      <c r="O56" s="53">
        <v>319.20999999999998</v>
      </c>
      <c r="P56" s="53"/>
    </row>
    <row r="57" spans="1:16" ht="11.25" customHeight="1" x14ac:dyDescent="0.25">
      <c r="A57" s="53">
        <v>56</v>
      </c>
      <c r="B57" s="53" t="s">
        <v>674</v>
      </c>
      <c r="C57" s="53" t="s">
        <v>46</v>
      </c>
      <c r="D57" s="53" t="s">
        <v>85</v>
      </c>
      <c r="E57" s="53" t="s">
        <v>47</v>
      </c>
      <c r="F57" s="53" t="s">
        <v>25</v>
      </c>
      <c r="G57" s="53" t="s">
        <v>25</v>
      </c>
      <c r="H57" s="53" t="s">
        <v>25</v>
      </c>
      <c r="I57" s="53" t="s">
        <v>40</v>
      </c>
      <c r="J57" s="53" t="s">
        <v>791</v>
      </c>
      <c r="K57" s="53" t="s">
        <v>790</v>
      </c>
      <c r="L57" s="53" t="s">
        <v>86</v>
      </c>
      <c r="M57" s="53">
        <v>2020</v>
      </c>
      <c r="N57" s="53">
        <v>0</v>
      </c>
      <c r="O57" s="53">
        <v>188.63</v>
      </c>
      <c r="P57" s="53"/>
    </row>
    <row r="58" spans="1:16" ht="11.25" customHeight="1" x14ac:dyDescent="0.25">
      <c r="A58" s="53">
        <v>57</v>
      </c>
      <c r="B58" s="53" t="s">
        <v>674</v>
      </c>
      <c r="C58" s="53" t="s">
        <v>46</v>
      </c>
      <c r="D58" s="53" t="s">
        <v>85</v>
      </c>
      <c r="E58" s="53" t="s">
        <v>47</v>
      </c>
      <c r="F58" s="53" t="s">
        <v>25</v>
      </c>
      <c r="G58" s="53" t="s">
        <v>25</v>
      </c>
      <c r="H58" s="53" t="s">
        <v>25</v>
      </c>
      <c r="I58" s="53" t="s">
        <v>38</v>
      </c>
      <c r="J58" s="53" t="s">
        <v>791</v>
      </c>
      <c r="K58" s="53" t="s">
        <v>790</v>
      </c>
      <c r="L58" s="53" t="s">
        <v>86</v>
      </c>
      <c r="M58" s="53">
        <v>2020</v>
      </c>
      <c r="N58" s="53">
        <v>0</v>
      </c>
      <c r="O58" s="53">
        <v>188.63</v>
      </c>
      <c r="P58" s="53"/>
    </row>
    <row r="59" spans="1:16" ht="11.25" customHeight="1" x14ac:dyDescent="0.25">
      <c r="A59" s="53">
        <v>58</v>
      </c>
      <c r="B59" s="53" t="s">
        <v>674</v>
      </c>
      <c r="C59" s="53" t="s">
        <v>22</v>
      </c>
      <c r="D59" s="53" t="s">
        <v>94</v>
      </c>
      <c r="E59" s="53" t="s">
        <v>24</v>
      </c>
      <c r="F59" s="53" t="s">
        <v>24</v>
      </c>
      <c r="G59" s="53" t="s">
        <v>25</v>
      </c>
      <c r="H59" s="53" t="s">
        <v>25</v>
      </c>
      <c r="I59" s="53" t="s">
        <v>25</v>
      </c>
      <c r="J59" s="53" t="s">
        <v>791</v>
      </c>
      <c r="K59" s="53" t="s">
        <v>790</v>
      </c>
      <c r="L59" s="53" t="s">
        <v>86</v>
      </c>
      <c r="M59" s="53">
        <v>2020</v>
      </c>
      <c r="N59" s="53">
        <v>0</v>
      </c>
      <c r="O59" s="53">
        <v>243.3</v>
      </c>
      <c r="P59" s="53"/>
    </row>
    <row r="60" spans="1:16" ht="11.25" customHeight="1" x14ac:dyDescent="0.25">
      <c r="A60" s="53">
        <v>59</v>
      </c>
      <c r="B60" s="53" t="s">
        <v>674</v>
      </c>
      <c r="C60" s="53" t="s">
        <v>22</v>
      </c>
      <c r="D60" s="53" t="s">
        <v>94</v>
      </c>
      <c r="E60" s="53" t="s">
        <v>24</v>
      </c>
      <c r="F60" s="53" t="s">
        <v>31</v>
      </c>
      <c r="G60" s="53" t="s">
        <v>25</v>
      </c>
      <c r="H60" s="53" t="s">
        <v>25</v>
      </c>
      <c r="I60" s="53" t="s">
        <v>25</v>
      </c>
      <c r="J60" s="53" t="s">
        <v>791</v>
      </c>
      <c r="K60" s="53" t="s">
        <v>790</v>
      </c>
      <c r="L60" s="53" t="s">
        <v>86</v>
      </c>
      <c r="M60" s="53">
        <v>2020</v>
      </c>
      <c r="N60" s="53">
        <v>0</v>
      </c>
      <c r="O60" s="53">
        <v>85.16</v>
      </c>
      <c r="P60" s="53"/>
    </row>
    <row r="61" spans="1:16" ht="11.25" customHeight="1" x14ac:dyDescent="0.25">
      <c r="A61" s="53">
        <v>60</v>
      </c>
      <c r="B61" s="53" t="s">
        <v>674</v>
      </c>
      <c r="C61" s="53" t="s">
        <v>22</v>
      </c>
      <c r="D61" s="53" t="s">
        <v>94</v>
      </c>
      <c r="E61" s="53" t="s">
        <v>24</v>
      </c>
      <c r="F61" s="53" t="s">
        <v>32</v>
      </c>
      <c r="G61" s="53" t="s">
        <v>25</v>
      </c>
      <c r="H61" s="53" t="s">
        <v>25</v>
      </c>
      <c r="I61" s="53" t="s">
        <v>25</v>
      </c>
      <c r="J61" s="53" t="s">
        <v>791</v>
      </c>
      <c r="K61" s="53" t="s">
        <v>790</v>
      </c>
      <c r="L61" s="53" t="s">
        <v>86</v>
      </c>
      <c r="M61" s="53">
        <v>2020</v>
      </c>
      <c r="N61" s="53">
        <v>0</v>
      </c>
      <c r="O61" s="53">
        <v>145.97999999999999</v>
      </c>
      <c r="P61" s="53"/>
    </row>
    <row r="62" spans="1:16" ht="11.25" customHeight="1" x14ac:dyDescent="0.25">
      <c r="A62" s="53">
        <v>61</v>
      </c>
      <c r="B62" s="53" t="s">
        <v>674</v>
      </c>
      <c r="C62" s="53" t="s">
        <v>35</v>
      </c>
      <c r="D62" s="53" t="s">
        <v>94</v>
      </c>
      <c r="E62" s="53" t="s">
        <v>25</v>
      </c>
      <c r="F62" s="53" t="s">
        <v>25</v>
      </c>
      <c r="G62" s="53" t="s">
        <v>25</v>
      </c>
      <c r="H62" s="53" t="s">
        <v>25</v>
      </c>
      <c r="I62" s="53" t="s">
        <v>25</v>
      </c>
      <c r="J62" s="53" t="s">
        <v>791</v>
      </c>
      <c r="K62" s="53" t="s">
        <v>790</v>
      </c>
      <c r="L62" s="53" t="s">
        <v>86</v>
      </c>
      <c r="M62" s="53">
        <v>2020</v>
      </c>
      <c r="N62" s="53">
        <v>0</v>
      </c>
      <c r="O62" s="53">
        <v>243.3</v>
      </c>
      <c r="P62" s="53"/>
    </row>
    <row r="63" spans="1:16" ht="11.25" customHeight="1" x14ac:dyDescent="0.25">
      <c r="A63" s="53">
        <v>62</v>
      </c>
      <c r="B63" s="53" t="s">
        <v>674</v>
      </c>
      <c r="C63" s="53" t="s">
        <v>22</v>
      </c>
      <c r="D63" s="53" t="s">
        <v>85</v>
      </c>
      <c r="E63" s="53" t="s">
        <v>24</v>
      </c>
      <c r="F63" s="53" t="s">
        <v>24</v>
      </c>
      <c r="G63" s="53" t="s">
        <v>25</v>
      </c>
      <c r="H63" s="53" t="s">
        <v>25</v>
      </c>
      <c r="I63" s="53" t="s">
        <v>37</v>
      </c>
      <c r="J63" s="53" t="s">
        <v>791</v>
      </c>
      <c r="K63" s="53" t="s">
        <v>790</v>
      </c>
      <c r="L63" s="53" t="s">
        <v>86</v>
      </c>
      <c r="M63" s="53">
        <v>2020</v>
      </c>
      <c r="N63" s="53">
        <v>0</v>
      </c>
      <c r="O63" s="53">
        <v>389.28</v>
      </c>
      <c r="P63" s="53"/>
    </row>
    <row r="64" spans="1:16" ht="11.25" customHeight="1" x14ac:dyDescent="0.25">
      <c r="A64" s="53">
        <v>63</v>
      </c>
      <c r="B64" s="53" t="s">
        <v>674</v>
      </c>
      <c r="C64" s="53" t="s">
        <v>22</v>
      </c>
      <c r="D64" s="53" t="s">
        <v>85</v>
      </c>
      <c r="E64" s="53" t="s">
        <v>24</v>
      </c>
      <c r="F64" s="53" t="s">
        <v>24</v>
      </c>
      <c r="G64" s="53" t="s">
        <v>25</v>
      </c>
      <c r="H64" s="53" t="s">
        <v>25</v>
      </c>
      <c r="I64" s="53" t="s">
        <v>40</v>
      </c>
      <c r="J64" s="53" t="s">
        <v>791</v>
      </c>
      <c r="K64" s="53" t="s">
        <v>790</v>
      </c>
      <c r="L64" s="53" t="s">
        <v>86</v>
      </c>
      <c r="M64" s="53">
        <v>2020</v>
      </c>
      <c r="N64" s="53">
        <v>0</v>
      </c>
      <c r="O64" s="53">
        <v>230.03</v>
      </c>
      <c r="P64" s="53"/>
    </row>
    <row r="65" spans="1:16" ht="11.25" customHeight="1" x14ac:dyDescent="0.25">
      <c r="A65" s="53">
        <v>64</v>
      </c>
      <c r="B65" s="53" t="s">
        <v>674</v>
      </c>
      <c r="C65" s="53" t="s">
        <v>22</v>
      </c>
      <c r="D65" s="53" t="s">
        <v>85</v>
      </c>
      <c r="E65" s="53" t="s">
        <v>24</v>
      </c>
      <c r="F65" s="53" t="s">
        <v>24</v>
      </c>
      <c r="G65" s="53" t="s">
        <v>25</v>
      </c>
      <c r="H65" s="53" t="s">
        <v>25</v>
      </c>
      <c r="I65" s="53" t="s">
        <v>38</v>
      </c>
      <c r="J65" s="53" t="s">
        <v>791</v>
      </c>
      <c r="K65" s="53" t="s">
        <v>790</v>
      </c>
      <c r="L65" s="53" t="s">
        <v>86</v>
      </c>
      <c r="M65" s="53">
        <v>2020</v>
      </c>
      <c r="N65" s="53">
        <v>0</v>
      </c>
      <c r="O65" s="53">
        <v>230.03</v>
      </c>
      <c r="P65" s="53"/>
    </row>
    <row r="66" spans="1:16" ht="11.25" customHeight="1" x14ac:dyDescent="0.25">
      <c r="A66" s="53">
        <v>65</v>
      </c>
      <c r="B66" s="53" t="s">
        <v>674</v>
      </c>
      <c r="C66" s="53" t="s">
        <v>43</v>
      </c>
      <c r="D66" s="53" t="s">
        <v>85</v>
      </c>
      <c r="E66" s="53" t="s">
        <v>25</v>
      </c>
      <c r="F66" s="53" t="s">
        <v>25</v>
      </c>
      <c r="G66" s="53" t="s">
        <v>25</v>
      </c>
      <c r="H66" s="53" t="s">
        <v>25</v>
      </c>
      <c r="I66" s="53" t="s">
        <v>38</v>
      </c>
      <c r="J66" s="53" t="s">
        <v>791</v>
      </c>
      <c r="K66" s="53" t="s">
        <v>790</v>
      </c>
      <c r="L66" s="53" t="s">
        <v>86</v>
      </c>
      <c r="M66" s="53">
        <v>2020</v>
      </c>
      <c r="N66" s="53">
        <v>0</v>
      </c>
      <c r="O66" s="53">
        <v>230.03</v>
      </c>
      <c r="P66" s="53"/>
    </row>
    <row r="67" spans="1:16" ht="11.25" customHeight="1" x14ac:dyDescent="0.25">
      <c r="A67" s="53">
        <v>66</v>
      </c>
      <c r="B67" s="53" t="s">
        <v>674</v>
      </c>
      <c r="C67" s="53" t="s">
        <v>35</v>
      </c>
      <c r="D67" s="53" t="s">
        <v>85</v>
      </c>
      <c r="E67" s="53" t="s">
        <v>25</v>
      </c>
      <c r="F67" s="53" t="s">
        <v>25</v>
      </c>
      <c r="G67" s="53" t="s">
        <v>25</v>
      </c>
      <c r="H67" s="53" t="s">
        <v>25</v>
      </c>
      <c r="I67" s="53" t="s">
        <v>37</v>
      </c>
      <c r="J67" s="53" t="s">
        <v>791</v>
      </c>
      <c r="K67" s="53" t="s">
        <v>790</v>
      </c>
      <c r="L67" s="53" t="s">
        <v>86</v>
      </c>
      <c r="M67" s="53">
        <v>2020</v>
      </c>
      <c r="N67" s="53">
        <v>0</v>
      </c>
      <c r="O67" s="53">
        <v>389.28</v>
      </c>
      <c r="P67" s="53"/>
    </row>
    <row r="68" spans="1:16" ht="11.25" customHeight="1" x14ac:dyDescent="0.25">
      <c r="A68" s="53">
        <v>67</v>
      </c>
      <c r="B68" s="53" t="s">
        <v>674</v>
      </c>
      <c r="C68" s="53" t="s">
        <v>35</v>
      </c>
      <c r="D68" s="53" t="s">
        <v>85</v>
      </c>
      <c r="E68" s="53" t="s">
        <v>25</v>
      </c>
      <c r="F68" s="53" t="s">
        <v>25</v>
      </c>
      <c r="G68" s="53" t="s">
        <v>25</v>
      </c>
      <c r="H68" s="53" t="s">
        <v>25</v>
      </c>
      <c r="I68" s="53" t="s">
        <v>38</v>
      </c>
      <c r="J68" s="53" t="s">
        <v>791</v>
      </c>
      <c r="K68" s="53" t="s">
        <v>790</v>
      </c>
      <c r="L68" s="53" t="s">
        <v>86</v>
      </c>
      <c r="M68" s="53">
        <v>2020</v>
      </c>
      <c r="N68" s="53">
        <v>0</v>
      </c>
      <c r="O68" s="53">
        <v>230.03</v>
      </c>
      <c r="P68" s="53"/>
    </row>
    <row r="69" spans="1:16" ht="11.25" customHeight="1" x14ac:dyDescent="0.25">
      <c r="A69" s="53">
        <v>68</v>
      </c>
      <c r="B69" s="53" t="s">
        <v>646</v>
      </c>
      <c r="C69" s="53" t="s">
        <v>49</v>
      </c>
      <c r="D69" s="53" t="s">
        <v>23</v>
      </c>
      <c r="E69" s="53" t="s">
        <v>50</v>
      </c>
      <c r="F69" s="53" t="s">
        <v>51</v>
      </c>
      <c r="G69" s="53" t="s">
        <v>25</v>
      </c>
      <c r="H69" s="53" t="s">
        <v>25</v>
      </c>
      <c r="I69" s="53" t="s">
        <v>25</v>
      </c>
      <c r="J69" s="53" t="s">
        <v>791</v>
      </c>
      <c r="K69" s="53" t="s">
        <v>790</v>
      </c>
      <c r="L69" s="53" t="s">
        <v>86</v>
      </c>
      <c r="M69" s="53">
        <v>2020</v>
      </c>
      <c r="N69" s="53">
        <v>0</v>
      </c>
      <c r="O69" s="53">
        <v>247.61</v>
      </c>
      <c r="P69" s="53">
        <v>12.230463544235199</v>
      </c>
    </row>
    <row r="70" spans="1:16" ht="11.25" customHeight="1" x14ac:dyDescent="0.25">
      <c r="A70" s="53">
        <v>69</v>
      </c>
      <c r="B70" s="53" t="s">
        <v>646</v>
      </c>
      <c r="C70" s="53" t="s">
        <v>49</v>
      </c>
      <c r="D70" s="53" t="s">
        <v>23</v>
      </c>
      <c r="E70" s="53" t="s">
        <v>50</v>
      </c>
      <c r="F70" s="53" t="s">
        <v>102</v>
      </c>
      <c r="G70" s="53" t="s">
        <v>25</v>
      </c>
      <c r="H70" s="53" t="s">
        <v>25</v>
      </c>
      <c r="I70" s="53" t="s">
        <v>25</v>
      </c>
      <c r="J70" s="53" t="s">
        <v>791</v>
      </c>
      <c r="K70" s="53" t="s">
        <v>790</v>
      </c>
      <c r="L70" s="53" t="s">
        <v>86</v>
      </c>
      <c r="M70" s="53">
        <v>2020</v>
      </c>
      <c r="N70" s="53">
        <v>0</v>
      </c>
      <c r="O70" s="53">
        <v>270.12</v>
      </c>
      <c r="P70" s="53">
        <v>13.342323866438401</v>
      </c>
    </row>
    <row r="71" spans="1:16" ht="11.25" customHeight="1" x14ac:dyDescent="0.25">
      <c r="A71" s="53">
        <v>70</v>
      </c>
      <c r="B71" s="53" t="s">
        <v>674</v>
      </c>
      <c r="C71" s="53" t="s">
        <v>43</v>
      </c>
      <c r="D71" s="53" t="s">
        <v>85</v>
      </c>
      <c r="E71" s="53" t="s">
        <v>25</v>
      </c>
      <c r="F71" s="53" t="s">
        <v>25</v>
      </c>
      <c r="G71" s="53" t="s">
        <v>25</v>
      </c>
      <c r="H71" s="53" t="s">
        <v>25</v>
      </c>
      <c r="I71" s="53" t="s">
        <v>37</v>
      </c>
      <c r="J71" s="53" t="s">
        <v>791</v>
      </c>
      <c r="K71" s="53" t="s">
        <v>790</v>
      </c>
      <c r="L71" s="53" t="s">
        <v>86</v>
      </c>
      <c r="M71" s="53">
        <v>2020</v>
      </c>
      <c r="N71" s="53">
        <v>0</v>
      </c>
      <c r="O71" s="53">
        <v>389.28</v>
      </c>
      <c r="P71" s="53"/>
    </row>
    <row r="72" spans="1:16" ht="11.25" customHeight="1" x14ac:dyDescent="0.25">
      <c r="A72" s="53">
        <v>71</v>
      </c>
      <c r="B72" s="53" t="s">
        <v>646</v>
      </c>
      <c r="C72" s="53" t="s">
        <v>41</v>
      </c>
      <c r="D72" s="53" t="s">
        <v>39</v>
      </c>
      <c r="E72" s="53" t="s">
        <v>25</v>
      </c>
      <c r="F72" s="53" t="s">
        <v>25</v>
      </c>
      <c r="G72" s="53" t="s">
        <v>25</v>
      </c>
      <c r="H72" s="53" t="s">
        <v>25</v>
      </c>
      <c r="I72" s="53" t="s">
        <v>38</v>
      </c>
      <c r="J72" s="53" t="s">
        <v>791</v>
      </c>
      <c r="K72" s="53" t="s">
        <v>790</v>
      </c>
      <c r="L72" s="53" t="s">
        <v>86</v>
      </c>
      <c r="M72" s="53">
        <v>2020</v>
      </c>
      <c r="N72" s="53">
        <v>0</v>
      </c>
      <c r="O72" s="53">
        <v>381.34</v>
      </c>
      <c r="P72" s="53">
        <v>22.237206444064</v>
      </c>
    </row>
    <row r="73" spans="1:16" ht="11.25" customHeight="1" x14ac:dyDescent="0.25">
      <c r="A73" s="53">
        <v>72</v>
      </c>
      <c r="B73" s="53" t="s">
        <v>646</v>
      </c>
      <c r="C73" s="53" t="s">
        <v>41</v>
      </c>
      <c r="D73" s="53" t="s">
        <v>23</v>
      </c>
      <c r="E73" s="53" t="s">
        <v>25</v>
      </c>
      <c r="F73" s="53" t="s">
        <v>25</v>
      </c>
      <c r="G73" s="53" t="s">
        <v>25</v>
      </c>
      <c r="H73" s="53" t="s">
        <v>25</v>
      </c>
      <c r="I73" s="53" t="s">
        <v>25</v>
      </c>
      <c r="J73" s="53" t="s">
        <v>791</v>
      </c>
      <c r="K73" s="53" t="s">
        <v>790</v>
      </c>
      <c r="L73" s="53" t="s">
        <v>86</v>
      </c>
      <c r="M73" s="53">
        <v>2020</v>
      </c>
      <c r="N73" s="53">
        <v>0</v>
      </c>
      <c r="O73" s="53">
        <v>450.19</v>
      </c>
      <c r="P73" s="53">
        <v>22.237206444064</v>
      </c>
    </row>
    <row r="74" spans="1:16" ht="11.25" customHeight="1" x14ac:dyDescent="0.25">
      <c r="A74" s="53">
        <v>73</v>
      </c>
      <c r="B74" s="53" t="s">
        <v>646</v>
      </c>
      <c r="C74" s="53" t="s">
        <v>41</v>
      </c>
      <c r="D74" s="53" t="s">
        <v>100</v>
      </c>
      <c r="E74" s="53" t="s">
        <v>25</v>
      </c>
      <c r="F74" s="53" t="s">
        <v>25</v>
      </c>
      <c r="G74" s="53" t="s">
        <v>25</v>
      </c>
      <c r="H74" s="53" t="s">
        <v>25</v>
      </c>
      <c r="I74" s="53" t="s">
        <v>25</v>
      </c>
      <c r="J74" s="53" t="s">
        <v>791</v>
      </c>
      <c r="K74" s="53" t="s">
        <v>790</v>
      </c>
      <c r="L74" s="53" t="s">
        <v>86</v>
      </c>
      <c r="M74" s="53">
        <v>2020</v>
      </c>
      <c r="N74" s="53">
        <v>0</v>
      </c>
      <c r="O74" s="53">
        <v>450.19</v>
      </c>
      <c r="P74" s="53">
        <v>22.237206444064</v>
      </c>
    </row>
    <row r="75" spans="1:16" ht="11.25" customHeight="1" x14ac:dyDescent="0.25">
      <c r="A75" s="53">
        <v>74</v>
      </c>
      <c r="B75" s="53" t="s">
        <v>646</v>
      </c>
      <c r="C75" s="53" t="s">
        <v>41</v>
      </c>
      <c r="D75" s="53" t="s">
        <v>39</v>
      </c>
      <c r="E75" s="53" t="s">
        <v>25</v>
      </c>
      <c r="F75" s="53" t="s">
        <v>25</v>
      </c>
      <c r="G75" s="53" t="s">
        <v>25</v>
      </c>
      <c r="H75" s="53" t="s">
        <v>25</v>
      </c>
      <c r="I75" s="53" t="s">
        <v>37</v>
      </c>
      <c r="J75" s="53" t="s">
        <v>791</v>
      </c>
      <c r="K75" s="53" t="s">
        <v>790</v>
      </c>
      <c r="L75" s="53" t="s">
        <v>86</v>
      </c>
      <c r="M75" s="53">
        <v>2020</v>
      </c>
      <c r="N75" s="53">
        <v>0</v>
      </c>
      <c r="O75" s="53">
        <v>1089.57</v>
      </c>
      <c r="P75" s="53">
        <v>22.237206444064</v>
      </c>
    </row>
    <row r="76" spans="1:16" ht="11.25" customHeight="1" x14ac:dyDescent="0.25">
      <c r="A76" s="53">
        <v>75</v>
      </c>
      <c r="B76" s="53" t="s">
        <v>646</v>
      </c>
      <c r="C76" s="53" t="s">
        <v>41</v>
      </c>
      <c r="D76" s="53" t="s">
        <v>39</v>
      </c>
      <c r="E76" s="53" t="s">
        <v>25</v>
      </c>
      <c r="F76" s="53" t="s">
        <v>25</v>
      </c>
      <c r="G76" s="53" t="s">
        <v>25</v>
      </c>
      <c r="H76" s="53" t="s">
        <v>25</v>
      </c>
      <c r="I76" s="53" t="s">
        <v>40</v>
      </c>
      <c r="J76" s="53" t="s">
        <v>791</v>
      </c>
      <c r="K76" s="53" t="s">
        <v>790</v>
      </c>
      <c r="L76" s="53" t="s">
        <v>86</v>
      </c>
      <c r="M76" s="53">
        <v>2020</v>
      </c>
      <c r="N76" s="53">
        <v>0</v>
      </c>
      <c r="O76" s="53">
        <v>735.45</v>
      </c>
      <c r="P76" s="53">
        <v>22.237206444064</v>
      </c>
    </row>
    <row r="77" spans="1:16" ht="11.25" customHeight="1" x14ac:dyDescent="0.25">
      <c r="A77" s="53">
        <v>76</v>
      </c>
      <c r="B77" s="53" t="s">
        <v>674</v>
      </c>
      <c r="C77" s="53" t="s">
        <v>41</v>
      </c>
      <c r="D77" s="53" t="s">
        <v>85</v>
      </c>
      <c r="E77" s="53" t="s">
        <v>25</v>
      </c>
      <c r="F77" s="53" t="s">
        <v>25</v>
      </c>
      <c r="G77" s="53" t="s">
        <v>25</v>
      </c>
      <c r="H77" s="53" t="s">
        <v>25</v>
      </c>
      <c r="I77" s="53" t="s">
        <v>40</v>
      </c>
      <c r="J77" s="53" t="s">
        <v>791</v>
      </c>
      <c r="K77" s="53" t="s">
        <v>790</v>
      </c>
      <c r="L77" s="53" t="s">
        <v>86</v>
      </c>
      <c r="M77" s="53">
        <v>2020</v>
      </c>
      <c r="N77" s="53">
        <v>0</v>
      </c>
      <c r="O77" s="53">
        <v>230.03</v>
      </c>
      <c r="P77" s="53"/>
    </row>
    <row r="78" spans="1:16" ht="11.25" customHeight="1" x14ac:dyDescent="0.25">
      <c r="A78" s="53">
        <v>77</v>
      </c>
      <c r="B78" s="53" t="s">
        <v>674</v>
      </c>
      <c r="C78" s="53" t="s">
        <v>41</v>
      </c>
      <c r="D78" s="53" t="s">
        <v>85</v>
      </c>
      <c r="E78" s="53" t="s">
        <v>25</v>
      </c>
      <c r="F78" s="53" t="s">
        <v>25</v>
      </c>
      <c r="G78" s="53" t="s">
        <v>25</v>
      </c>
      <c r="H78" s="53" t="s">
        <v>25</v>
      </c>
      <c r="I78" s="53" t="s">
        <v>38</v>
      </c>
      <c r="J78" s="53" t="s">
        <v>791</v>
      </c>
      <c r="K78" s="53" t="s">
        <v>790</v>
      </c>
      <c r="L78" s="53" t="s">
        <v>86</v>
      </c>
      <c r="M78" s="53">
        <v>2020</v>
      </c>
      <c r="N78" s="53">
        <v>0</v>
      </c>
      <c r="O78" s="53">
        <v>230.03</v>
      </c>
      <c r="P78" s="53"/>
    </row>
    <row r="79" spans="1:16" ht="11.25" customHeight="1" x14ac:dyDescent="0.25">
      <c r="A79" s="53">
        <v>78</v>
      </c>
      <c r="B79" s="53" t="s">
        <v>674</v>
      </c>
      <c r="C79" s="53" t="s">
        <v>41</v>
      </c>
      <c r="D79" s="53" t="s">
        <v>94</v>
      </c>
      <c r="E79" s="53" t="s">
        <v>25</v>
      </c>
      <c r="F79" s="53" t="s">
        <v>25</v>
      </c>
      <c r="G79" s="53" t="s">
        <v>25</v>
      </c>
      <c r="H79" s="53" t="s">
        <v>25</v>
      </c>
      <c r="I79" s="53" t="s">
        <v>25</v>
      </c>
      <c r="J79" s="53" t="s">
        <v>791</v>
      </c>
      <c r="K79" s="53" t="s">
        <v>790</v>
      </c>
      <c r="L79" s="53" t="s">
        <v>86</v>
      </c>
      <c r="M79" s="53">
        <v>2020</v>
      </c>
      <c r="N79" s="53">
        <v>0</v>
      </c>
      <c r="O79" s="53">
        <v>243.3</v>
      </c>
      <c r="P79" s="53"/>
    </row>
    <row r="80" spans="1:16" ht="11.25" customHeight="1" x14ac:dyDescent="0.25">
      <c r="A80" s="53">
        <v>79</v>
      </c>
      <c r="B80" s="53" t="s">
        <v>674</v>
      </c>
      <c r="C80" s="53" t="s">
        <v>41</v>
      </c>
      <c r="D80" s="53" t="s">
        <v>99</v>
      </c>
      <c r="E80" s="53" t="s">
        <v>25</v>
      </c>
      <c r="F80" s="53" t="s">
        <v>25</v>
      </c>
      <c r="G80" s="53" t="s">
        <v>25</v>
      </c>
      <c r="H80" s="53" t="s">
        <v>25</v>
      </c>
      <c r="I80" s="53" t="s">
        <v>25</v>
      </c>
      <c r="J80" s="53" t="s">
        <v>791</v>
      </c>
      <c r="K80" s="53" t="s">
        <v>790</v>
      </c>
      <c r="L80" s="53" t="s">
        <v>86</v>
      </c>
      <c r="M80" s="53">
        <v>2020</v>
      </c>
      <c r="N80" s="53">
        <v>0</v>
      </c>
      <c r="O80" s="53">
        <v>243.3</v>
      </c>
      <c r="P80" s="53"/>
    </row>
    <row r="81" spans="1:16" ht="11.25" customHeight="1" x14ac:dyDescent="0.25">
      <c r="A81" s="53">
        <v>80</v>
      </c>
      <c r="B81" s="53" t="s">
        <v>674</v>
      </c>
      <c r="C81" s="53" t="s">
        <v>46</v>
      </c>
      <c r="D81" s="53" t="s">
        <v>99</v>
      </c>
      <c r="E81" s="53" t="s">
        <v>47</v>
      </c>
      <c r="F81" s="53" t="s">
        <v>101</v>
      </c>
      <c r="G81" s="53" t="s">
        <v>25</v>
      </c>
      <c r="H81" s="53" t="s">
        <v>25</v>
      </c>
      <c r="I81" s="53" t="s">
        <v>25</v>
      </c>
      <c r="J81" s="53" t="s">
        <v>791</v>
      </c>
      <c r="K81" s="53" t="s">
        <v>790</v>
      </c>
      <c r="L81" s="53" t="s">
        <v>86</v>
      </c>
      <c r="M81" s="53">
        <v>2020</v>
      </c>
      <c r="N81" s="53">
        <v>0</v>
      </c>
      <c r="O81" s="53">
        <v>199.51</v>
      </c>
      <c r="P81" s="53"/>
    </row>
    <row r="82" spans="1:16" ht="11.25" customHeight="1" x14ac:dyDescent="0.25">
      <c r="A82" s="53">
        <v>81</v>
      </c>
      <c r="B82" s="53" t="s">
        <v>674</v>
      </c>
      <c r="C82" s="53" t="s">
        <v>46</v>
      </c>
      <c r="D82" s="53" t="s">
        <v>99</v>
      </c>
      <c r="E82" s="53" t="s">
        <v>47</v>
      </c>
      <c r="F82" s="53" t="s">
        <v>55</v>
      </c>
      <c r="G82" s="53" t="s">
        <v>25</v>
      </c>
      <c r="H82" s="53" t="s">
        <v>25</v>
      </c>
      <c r="I82" s="53" t="s">
        <v>25</v>
      </c>
      <c r="J82" s="53" t="s">
        <v>791</v>
      </c>
      <c r="K82" s="53" t="s">
        <v>790</v>
      </c>
      <c r="L82" s="53" t="s">
        <v>86</v>
      </c>
      <c r="M82" s="53">
        <v>2020</v>
      </c>
      <c r="N82" s="53">
        <v>0</v>
      </c>
      <c r="O82" s="53">
        <v>184.91</v>
      </c>
      <c r="P82" s="53"/>
    </row>
    <row r="83" spans="1:16" ht="11.25" customHeight="1" x14ac:dyDescent="0.25">
      <c r="A83" s="53">
        <v>82</v>
      </c>
      <c r="B83" s="53" t="s">
        <v>674</v>
      </c>
      <c r="C83" s="53" t="s">
        <v>41</v>
      </c>
      <c r="D83" s="53" t="s">
        <v>85</v>
      </c>
      <c r="E83" s="53" t="s">
        <v>25</v>
      </c>
      <c r="F83" s="53" t="s">
        <v>25</v>
      </c>
      <c r="G83" s="53" t="s">
        <v>25</v>
      </c>
      <c r="H83" s="53" t="s">
        <v>25</v>
      </c>
      <c r="I83" s="53" t="s">
        <v>37</v>
      </c>
      <c r="J83" s="53" t="s">
        <v>791</v>
      </c>
      <c r="K83" s="53" t="s">
        <v>790</v>
      </c>
      <c r="L83" s="53" t="s">
        <v>86</v>
      </c>
      <c r="M83" s="53">
        <v>2020</v>
      </c>
      <c r="N83" s="53">
        <v>0</v>
      </c>
      <c r="O83" s="53">
        <v>389.28</v>
      </c>
      <c r="P83" s="53"/>
    </row>
    <row r="84" spans="1:16" ht="11.25" customHeight="1" x14ac:dyDescent="0.25">
      <c r="A84" s="53">
        <v>83</v>
      </c>
      <c r="B84" s="53" t="s">
        <v>674</v>
      </c>
      <c r="C84" s="53" t="s">
        <v>49</v>
      </c>
      <c r="D84" s="53" t="s">
        <v>94</v>
      </c>
      <c r="E84" s="53" t="s">
        <v>50</v>
      </c>
      <c r="F84" s="53" t="s">
        <v>51</v>
      </c>
      <c r="G84" s="53" t="s">
        <v>25</v>
      </c>
      <c r="H84" s="53" t="s">
        <v>25</v>
      </c>
      <c r="I84" s="53" t="s">
        <v>25</v>
      </c>
      <c r="J84" s="53" t="s">
        <v>791</v>
      </c>
      <c r="K84" s="53" t="s">
        <v>790</v>
      </c>
      <c r="L84" s="53" t="s">
        <v>86</v>
      </c>
      <c r="M84" s="53">
        <v>2020</v>
      </c>
      <c r="N84" s="53">
        <v>0</v>
      </c>
      <c r="O84" s="53">
        <v>133.82</v>
      </c>
      <c r="P84" s="53"/>
    </row>
    <row r="85" spans="1:16" ht="11.25" customHeight="1" x14ac:dyDescent="0.25">
      <c r="A85" s="53">
        <v>84</v>
      </c>
      <c r="B85" s="53" t="s">
        <v>674</v>
      </c>
      <c r="C85" s="53" t="s">
        <v>49</v>
      </c>
      <c r="D85" s="53" t="s">
        <v>94</v>
      </c>
      <c r="E85" s="53" t="s">
        <v>50</v>
      </c>
      <c r="F85" s="53" t="s">
        <v>102</v>
      </c>
      <c r="G85" s="53" t="s">
        <v>25</v>
      </c>
      <c r="H85" s="53" t="s">
        <v>25</v>
      </c>
      <c r="I85" s="53" t="s">
        <v>25</v>
      </c>
      <c r="J85" s="53" t="s">
        <v>791</v>
      </c>
      <c r="K85" s="53" t="s">
        <v>790</v>
      </c>
      <c r="L85" s="53" t="s">
        <v>86</v>
      </c>
      <c r="M85" s="53">
        <v>2020</v>
      </c>
      <c r="N85" s="53">
        <v>0</v>
      </c>
      <c r="O85" s="53">
        <v>145.97999999999999</v>
      </c>
      <c r="P85" s="53"/>
    </row>
    <row r="86" spans="1:16" ht="11.25" customHeight="1" x14ac:dyDescent="0.25">
      <c r="A86" s="53">
        <v>85</v>
      </c>
      <c r="B86" s="53" t="s">
        <v>674</v>
      </c>
      <c r="C86" s="53" t="s">
        <v>46</v>
      </c>
      <c r="D86" s="53" t="s">
        <v>94</v>
      </c>
      <c r="E86" s="53" t="s">
        <v>47</v>
      </c>
      <c r="F86" s="53" t="s">
        <v>25</v>
      </c>
      <c r="G86" s="53" t="s">
        <v>25</v>
      </c>
      <c r="H86" s="53" t="s">
        <v>25</v>
      </c>
      <c r="I86" s="53" t="s">
        <v>25</v>
      </c>
      <c r="J86" s="53" t="s">
        <v>791</v>
      </c>
      <c r="K86" s="53" t="s">
        <v>790</v>
      </c>
      <c r="L86" s="53" t="s">
        <v>86</v>
      </c>
      <c r="M86" s="53">
        <v>2020</v>
      </c>
      <c r="N86" s="53">
        <v>0</v>
      </c>
      <c r="O86" s="53">
        <v>199.51</v>
      </c>
      <c r="P86" s="53"/>
    </row>
    <row r="87" spans="1:16" ht="11.25" customHeight="1" x14ac:dyDescent="0.25">
      <c r="A87" s="53">
        <v>86</v>
      </c>
      <c r="B87" s="53" t="s">
        <v>674</v>
      </c>
      <c r="C87" s="53" t="s">
        <v>46</v>
      </c>
      <c r="D87" s="53" t="s">
        <v>85</v>
      </c>
      <c r="E87" s="53" t="s">
        <v>47</v>
      </c>
      <c r="F87" s="53" t="s">
        <v>101</v>
      </c>
      <c r="G87" s="53" t="s">
        <v>25</v>
      </c>
      <c r="H87" s="53" t="s">
        <v>25</v>
      </c>
      <c r="I87" s="53" t="s">
        <v>37</v>
      </c>
      <c r="J87" s="53" t="s">
        <v>791</v>
      </c>
      <c r="K87" s="53" t="s">
        <v>790</v>
      </c>
      <c r="L87" s="53" t="s">
        <v>86</v>
      </c>
      <c r="M87" s="53">
        <v>2020</v>
      </c>
      <c r="N87" s="53">
        <v>0</v>
      </c>
      <c r="O87" s="53">
        <v>319.20999999999998</v>
      </c>
      <c r="P87" s="53"/>
    </row>
    <row r="88" spans="1:16" ht="11.25" customHeight="1" x14ac:dyDescent="0.25">
      <c r="A88" s="53">
        <v>87</v>
      </c>
      <c r="B88" s="53" t="s">
        <v>674</v>
      </c>
      <c r="C88" s="53" t="s">
        <v>46</v>
      </c>
      <c r="D88" s="53" t="s">
        <v>85</v>
      </c>
      <c r="E88" s="53" t="s">
        <v>47</v>
      </c>
      <c r="F88" s="53" t="s">
        <v>101</v>
      </c>
      <c r="G88" s="53" t="s">
        <v>25</v>
      </c>
      <c r="H88" s="53" t="s">
        <v>25</v>
      </c>
      <c r="I88" s="53" t="s">
        <v>40</v>
      </c>
      <c r="J88" s="53" t="s">
        <v>791</v>
      </c>
      <c r="K88" s="53" t="s">
        <v>790</v>
      </c>
      <c r="L88" s="53" t="s">
        <v>86</v>
      </c>
      <c r="M88" s="53">
        <v>2020</v>
      </c>
      <c r="N88" s="53">
        <v>0</v>
      </c>
      <c r="O88" s="53">
        <v>188.63</v>
      </c>
      <c r="P88" s="53"/>
    </row>
    <row r="89" spans="1:16" ht="11.25" customHeight="1" x14ac:dyDescent="0.25">
      <c r="A89" s="53">
        <v>88</v>
      </c>
      <c r="B89" s="53" t="s">
        <v>674</v>
      </c>
      <c r="C89" s="53" t="s">
        <v>46</v>
      </c>
      <c r="D89" s="53" t="s">
        <v>85</v>
      </c>
      <c r="E89" s="53" t="s">
        <v>47</v>
      </c>
      <c r="F89" s="53" t="s">
        <v>101</v>
      </c>
      <c r="G89" s="53" t="s">
        <v>25</v>
      </c>
      <c r="H89" s="53" t="s">
        <v>25</v>
      </c>
      <c r="I89" s="53" t="s">
        <v>38</v>
      </c>
      <c r="J89" s="53" t="s">
        <v>791</v>
      </c>
      <c r="K89" s="53" t="s">
        <v>790</v>
      </c>
      <c r="L89" s="53" t="s">
        <v>86</v>
      </c>
      <c r="M89" s="53">
        <v>2020</v>
      </c>
      <c r="N89" s="53">
        <v>0</v>
      </c>
      <c r="O89" s="53">
        <v>188.63</v>
      </c>
      <c r="P89" s="53"/>
    </row>
    <row r="90" spans="1:16" ht="11.25" customHeight="1" x14ac:dyDescent="0.25">
      <c r="A90" s="53">
        <v>89</v>
      </c>
      <c r="B90" s="53" t="s">
        <v>674</v>
      </c>
      <c r="C90" s="53" t="s">
        <v>46</v>
      </c>
      <c r="D90" s="53" t="s">
        <v>85</v>
      </c>
      <c r="E90" s="53" t="s">
        <v>47</v>
      </c>
      <c r="F90" s="53" t="s">
        <v>55</v>
      </c>
      <c r="G90" s="53" t="s">
        <v>25</v>
      </c>
      <c r="H90" s="53" t="s">
        <v>25</v>
      </c>
      <c r="I90" s="53" t="s">
        <v>38</v>
      </c>
      <c r="J90" s="53" t="s">
        <v>791</v>
      </c>
      <c r="K90" s="53" t="s">
        <v>790</v>
      </c>
      <c r="L90" s="53" t="s">
        <v>86</v>
      </c>
      <c r="M90" s="53">
        <v>2020</v>
      </c>
      <c r="N90" s="53">
        <v>0</v>
      </c>
      <c r="O90" s="53">
        <v>174.82</v>
      </c>
      <c r="P90" s="53"/>
    </row>
    <row r="91" spans="1:16" ht="11.25" customHeight="1" x14ac:dyDescent="0.25">
      <c r="A91" s="53">
        <v>90</v>
      </c>
      <c r="B91" s="53" t="s">
        <v>674</v>
      </c>
      <c r="C91" s="53" t="s">
        <v>46</v>
      </c>
      <c r="D91" s="53" t="s">
        <v>94</v>
      </c>
      <c r="E91" s="53" t="s">
        <v>47</v>
      </c>
      <c r="F91" s="53" t="s">
        <v>55</v>
      </c>
      <c r="G91" s="53" t="s">
        <v>25</v>
      </c>
      <c r="H91" s="53" t="s">
        <v>25</v>
      </c>
      <c r="I91" s="53" t="s">
        <v>25</v>
      </c>
      <c r="J91" s="53" t="s">
        <v>791</v>
      </c>
      <c r="K91" s="53" t="s">
        <v>790</v>
      </c>
      <c r="L91" s="53" t="s">
        <v>86</v>
      </c>
      <c r="M91" s="53">
        <v>2020</v>
      </c>
      <c r="N91" s="53">
        <v>0</v>
      </c>
      <c r="O91" s="53">
        <v>184.91</v>
      </c>
      <c r="P91" s="53"/>
    </row>
    <row r="92" spans="1:16" ht="11.25" customHeight="1" x14ac:dyDescent="0.25">
      <c r="A92" s="53">
        <v>91</v>
      </c>
      <c r="B92" s="53" t="s">
        <v>674</v>
      </c>
      <c r="C92" s="53" t="s">
        <v>46</v>
      </c>
      <c r="D92" s="53" t="s">
        <v>99</v>
      </c>
      <c r="E92" s="53" t="s">
        <v>47</v>
      </c>
      <c r="F92" s="53" t="s">
        <v>25</v>
      </c>
      <c r="G92" s="53" t="s">
        <v>25</v>
      </c>
      <c r="H92" s="53" t="s">
        <v>25</v>
      </c>
      <c r="I92" s="53" t="s">
        <v>25</v>
      </c>
      <c r="J92" s="53" t="s">
        <v>791</v>
      </c>
      <c r="K92" s="53" t="s">
        <v>790</v>
      </c>
      <c r="L92" s="53" t="s">
        <v>86</v>
      </c>
      <c r="M92" s="53">
        <v>2020</v>
      </c>
      <c r="N92" s="53">
        <v>0</v>
      </c>
      <c r="O92" s="53">
        <v>199.51</v>
      </c>
      <c r="P92" s="53"/>
    </row>
    <row r="93" spans="1:16" ht="11.25" customHeight="1" x14ac:dyDescent="0.25">
      <c r="A93" s="53">
        <v>92</v>
      </c>
      <c r="B93" s="53" t="s">
        <v>674</v>
      </c>
      <c r="C93" s="53" t="s">
        <v>46</v>
      </c>
      <c r="D93" s="53" t="s">
        <v>94</v>
      </c>
      <c r="E93" s="53" t="s">
        <v>47</v>
      </c>
      <c r="F93" s="53" t="s">
        <v>101</v>
      </c>
      <c r="G93" s="53" t="s">
        <v>25</v>
      </c>
      <c r="H93" s="53" t="s">
        <v>25</v>
      </c>
      <c r="I93" s="53" t="s">
        <v>25</v>
      </c>
      <c r="J93" s="53" t="s">
        <v>791</v>
      </c>
      <c r="K93" s="53" t="s">
        <v>790</v>
      </c>
      <c r="L93" s="53" t="s">
        <v>86</v>
      </c>
      <c r="M93" s="53">
        <v>2020</v>
      </c>
      <c r="N93" s="53">
        <v>0</v>
      </c>
      <c r="O93" s="53">
        <v>199.51</v>
      </c>
      <c r="P93" s="53"/>
    </row>
    <row r="94" spans="1:16" ht="11.25" customHeight="1" x14ac:dyDescent="0.25">
      <c r="A94" s="53">
        <v>93</v>
      </c>
      <c r="B94" s="53" t="s">
        <v>674</v>
      </c>
      <c r="C94" s="53" t="s">
        <v>46</v>
      </c>
      <c r="D94" s="53" t="s">
        <v>85</v>
      </c>
      <c r="E94" s="53" t="s">
        <v>47</v>
      </c>
      <c r="F94" s="53" t="s">
        <v>55</v>
      </c>
      <c r="G94" s="53" t="s">
        <v>25</v>
      </c>
      <c r="H94" s="53" t="s">
        <v>25</v>
      </c>
      <c r="I94" s="53" t="s">
        <v>37</v>
      </c>
      <c r="J94" s="53" t="s">
        <v>791</v>
      </c>
      <c r="K94" s="53" t="s">
        <v>790</v>
      </c>
      <c r="L94" s="53" t="s">
        <v>86</v>
      </c>
      <c r="M94" s="53">
        <v>2020</v>
      </c>
      <c r="N94" s="53">
        <v>0</v>
      </c>
      <c r="O94" s="53">
        <v>295.85000000000002</v>
      </c>
      <c r="P94" s="53"/>
    </row>
    <row r="95" spans="1:16" ht="11.25" customHeight="1" x14ac:dyDescent="0.25">
      <c r="A95" s="53">
        <v>94</v>
      </c>
      <c r="B95" s="53" t="s">
        <v>674</v>
      </c>
      <c r="C95" s="53" t="s">
        <v>46</v>
      </c>
      <c r="D95" s="53" t="s">
        <v>85</v>
      </c>
      <c r="E95" s="53" t="s">
        <v>47</v>
      </c>
      <c r="F95" s="53" t="s">
        <v>55</v>
      </c>
      <c r="G95" s="53" t="s">
        <v>25</v>
      </c>
      <c r="H95" s="53" t="s">
        <v>25</v>
      </c>
      <c r="I95" s="53" t="s">
        <v>40</v>
      </c>
      <c r="J95" s="53" t="s">
        <v>791</v>
      </c>
      <c r="K95" s="53" t="s">
        <v>790</v>
      </c>
      <c r="L95" s="53" t="s">
        <v>86</v>
      </c>
      <c r="M95" s="53">
        <v>2020</v>
      </c>
      <c r="N95" s="53">
        <v>0</v>
      </c>
      <c r="O95" s="53">
        <v>174.82</v>
      </c>
      <c r="P95" s="53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E9779-6B93-4684-9CF0-721644A7A274}">
  <dimension ref="A1:AD54"/>
  <sheetViews>
    <sheetView showGridLines="0" workbookViewId="0">
      <selection sqref="A1:W54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8.71093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76</v>
      </c>
      <c r="B1" s="10" t="s">
        <v>77</v>
      </c>
      <c r="C1" s="10" t="s">
        <v>78</v>
      </c>
      <c r="D1" s="10" t="s">
        <v>79</v>
      </c>
      <c r="E1" s="10" t="s">
        <v>80</v>
      </c>
      <c r="F1" s="10" t="s">
        <v>81</v>
      </c>
      <c r="G1" s="10" t="s">
        <v>82</v>
      </c>
      <c r="H1" s="10" t="s">
        <v>83</v>
      </c>
      <c r="I1" s="11">
        <v>44136</v>
      </c>
      <c r="J1" s="11">
        <v>44166</v>
      </c>
      <c r="K1" s="11">
        <v>44197</v>
      </c>
      <c r="L1" s="11">
        <v>44228</v>
      </c>
      <c r="M1" s="11">
        <v>44256</v>
      </c>
      <c r="N1" s="11">
        <v>44287</v>
      </c>
      <c r="O1" s="11">
        <v>44317</v>
      </c>
      <c r="P1" s="11">
        <v>44348</v>
      </c>
      <c r="Q1" s="11">
        <v>44378</v>
      </c>
      <c r="R1" s="11">
        <v>44409</v>
      </c>
      <c r="S1" s="11">
        <v>44440</v>
      </c>
      <c r="T1" s="11">
        <v>44470</v>
      </c>
      <c r="U1" s="10" t="s">
        <v>84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09" t="s">
        <v>43</v>
      </c>
      <c r="B2" s="109" t="s">
        <v>44</v>
      </c>
      <c r="C2" s="109" t="s">
        <v>25</v>
      </c>
      <c r="D2" s="109" t="s">
        <v>25</v>
      </c>
      <c r="E2" s="109" t="s">
        <v>25</v>
      </c>
      <c r="F2" s="109" t="s">
        <v>25</v>
      </c>
      <c r="G2" s="12" t="s">
        <v>90</v>
      </c>
      <c r="H2" s="12" t="s">
        <v>89</v>
      </c>
      <c r="I2" s="12">
        <f>SUMIF(Mercado_Receita!$S$2:$S$2578,"44136A3AzulNão se aplicaNão se aplicaNão se aplicaNão se aplicaPonta",Mercado_Receita!$J$2:$J$2578)+SUMIF(Mercado_Receita!$S$2:$S$2578,"44136A3AzulNão se aplicaNão se aplicaAPENão se aplicaPonta",Mercado_Receita!$J$2:$J$2578)+SUMIF(Mercado_Receita!$S$2:$S$2578,"44136A3ConvencionalNão se aplicaNão se aplicaNão se aplicaNão se aplicaNão se aplica",Mercado_Receita!$J$2:$J$2578)*0.72</f>
        <v>202622</v>
      </c>
      <c r="J2" s="12">
        <f>SUMIF(Mercado_Receita!$S$2:$S$2578,"44166A3AzulNão se aplicaNão se aplicaNão se aplicaNão se aplicaPonta",Mercado_Receita!$J$2:$J$2578)+SUMIF(Mercado_Receita!$S$2:$S$2578,"44166A3AzulNão se aplicaNão se aplicaAPENão se aplicaPonta",Mercado_Receita!$J$2:$J$2578)+SUMIF(Mercado_Receita!$S$2:$S$2578,"44166A3ConvencionalNão se aplicaNão se aplicaNão se aplicaNão se aplicaNão se aplica",Mercado_Receita!$J$2:$J$2578)*0.72</f>
        <v>203051</v>
      </c>
      <c r="K2" s="12">
        <f>SUMIF(Mercado_Receita!$S$2:$S$2578,"44197A3AzulNão se aplicaNão se aplicaNão se aplicaNão se aplicaPonta",Mercado_Receita!$J$2:$J$2578)+SUMIF(Mercado_Receita!$S$2:$S$2578,"44197A3AzulNão se aplicaNão se aplicaAPENão se aplicaPonta",Mercado_Receita!$J$2:$J$2578)+SUMIF(Mercado_Receita!$S$2:$S$2578,"44197A3ConvencionalNão se aplicaNão se aplicaNão se aplicaNão se aplicaNão se aplica",Mercado_Receita!$J$2:$J$2578)*0.72</f>
        <v>197029</v>
      </c>
      <c r="L2" s="12">
        <f>SUMIF(Mercado_Receita!$S$2:$S$2578,"44228A3AzulNão se aplicaNão se aplicaNão se aplicaNão se aplicaPonta",Mercado_Receita!$J$2:$J$2578)+SUMIF(Mercado_Receita!$S$2:$S$2578,"44228A3AzulNão se aplicaNão se aplicaAPENão se aplicaPonta",Mercado_Receita!$J$2:$J$2578)+SUMIF(Mercado_Receita!$S$2:$S$2578,"44228A3ConvencionalNão se aplicaNão se aplicaNão se aplicaNão se aplicaNão se aplica",Mercado_Receita!$J$2:$J$2578)*0.72</f>
        <v>197786</v>
      </c>
      <c r="M2" s="12">
        <f>SUMIF(Mercado_Receita!$S$2:$S$2578,"44256A3AzulNão se aplicaNão se aplicaNão se aplicaNão se aplicaPonta",Mercado_Receita!$J$2:$J$2578)+SUMIF(Mercado_Receita!$S$2:$S$2578,"44256A3AzulNão se aplicaNão se aplicaAPENão se aplicaPonta",Mercado_Receita!$J$2:$J$2578)+SUMIF(Mercado_Receita!$S$2:$S$2578,"44256A3ConvencionalNão se aplicaNão se aplicaNão se aplicaNão se aplicaNão se aplica",Mercado_Receita!$J$2:$J$2578)*0.72</f>
        <v>197995</v>
      </c>
      <c r="N2" s="12">
        <f>SUMIF(Mercado_Receita!$S$2:$S$2578,"44287A3AzulNão se aplicaNão se aplicaNão se aplicaNão se aplicaPonta",Mercado_Receita!$J$2:$J$2578)+SUMIF(Mercado_Receita!$S$2:$S$2578,"44287A3AzulNão se aplicaNão se aplicaAPENão se aplicaPonta",Mercado_Receita!$J$2:$J$2578)+SUMIF(Mercado_Receita!$S$2:$S$2578,"44287A3ConvencionalNão se aplicaNão se aplicaNão se aplicaNão se aplicaNão se aplica",Mercado_Receita!$J$2:$J$2578)*0.72</f>
        <v>201244</v>
      </c>
      <c r="O2" s="12">
        <f>SUMIF(Mercado_Receita!$S$2:$S$2578,"44317A3AzulNão se aplicaNão se aplicaNão se aplicaNão se aplicaPonta",Mercado_Receita!$J$2:$J$2578)+SUMIF(Mercado_Receita!$S$2:$S$2578,"44317A3AzulNão se aplicaNão se aplicaAPENão se aplicaPonta",Mercado_Receita!$J$2:$J$2578)+SUMIF(Mercado_Receita!$S$2:$S$2578,"44317A3ConvencionalNão se aplicaNão se aplicaNão se aplicaNão se aplicaNão se aplica",Mercado_Receita!$J$2:$J$2578)*0.72</f>
        <v>201478</v>
      </c>
      <c r="P2" s="12">
        <f>SUMIF(Mercado_Receita!$S$2:$S$2578,"44348A3AzulNão se aplicaNão se aplicaNão se aplicaNão se aplicaPonta",Mercado_Receita!$J$2:$J$2578)+SUMIF(Mercado_Receita!$S$2:$S$2578,"44348A3AzulNão se aplicaNão se aplicaAPENão se aplicaPonta",Mercado_Receita!$J$2:$J$2578)+SUMIF(Mercado_Receita!$S$2:$S$2578,"44348A3ConvencionalNão se aplicaNão se aplicaNão se aplicaNão se aplicaNão se aplica",Mercado_Receita!$J$2:$J$2578)*0.72</f>
        <v>192695</v>
      </c>
      <c r="Q2" s="12">
        <f>SUMIF(Mercado_Receita!$S$2:$S$2578,"44378A3AzulNão se aplicaNão se aplicaNão se aplicaNão se aplicaPonta",Mercado_Receita!$J$2:$J$2578)+SUMIF(Mercado_Receita!$S$2:$S$2578,"44378A3AzulNão se aplicaNão se aplicaAPENão se aplicaPonta",Mercado_Receita!$J$2:$J$2578)+SUMIF(Mercado_Receita!$S$2:$S$2578,"44378A3ConvencionalNão se aplicaNão se aplicaNão se aplicaNão se aplicaNão se aplica",Mercado_Receita!$J$2:$J$2578)*0.72</f>
        <v>201275</v>
      </c>
      <c r="R2" s="12">
        <f>SUMIF(Mercado_Receita!$S$2:$S$2578,"44409A3AzulNão se aplicaNão se aplicaNão se aplicaNão se aplicaPonta",Mercado_Receita!$J$2:$J$2578)+SUMIF(Mercado_Receita!$S$2:$S$2578,"44409A3AzulNão se aplicaNão se aplicaAPENão se aplicaPonta",Mercado_Receita!$J$2:$J$2578)+SUMIF(Mercado_Receita!$S$2:$S$2578,"44409A3ConvencionalNão se aplicaNão se aplicaNão se aplicaNão se aplicaNão se aplica",Mercado_Receita!$J$2:$J$2578)*0.72</f>
        <v>209839</v>
      </c>
      <c r="S2" s="12">
        <f>SUMIF(Mercado_Receita!$S$2:$S$2578,"44440A3AzulNão se aplicaNão se aplicaNão se aplicaNão se aplicaPonta",Mercado_Receita!$J$2:$J$2578)+SUMIF(Mercado_Receita!$S$2:$S$2578,"44440A3AzulNão se aplicaNão se aplicaAPENão se aplicaPonta",Mercado_Receita!$J$2:$J$2578)+SUMIF(Mercado_Receita!$S$2:$S$2578,"44440A3ConvencionalNão se aplicaNão se aplicaNão se aplicaNão se aplicaNão se aplica",Mercado_Receita!$J$2:$J$2578)*0.72</f>
        <v>213744</v>
      </c>
      <c r="T2" s="12">
        <f>SUMIF(Mercado_Receita!$S$2:$S$2578,"44470A3AzulNão se aplicaNão se aplicaNão se aplicaNão se aplicaPonta",Mercado_Receita!$J$2:$J$2578)+SUMIF(Mercado_Receita!$S$2:$S$2578,"44470A3AzulNão se aplicaNão se aplicaAPENão se aplicaPonta",Mercado_Receita!$J$2:$J$2578)+SUMIF(Mercado_Receita!$S$2:$S$2578,"44470A3ConvencionalNão se aplicaNão se aplicaNão se aplicaNão se aplicaNão se aplica",Mercado_Receita!$J$2:$J$2578)*0.72</f>
        <v>213744</v>
      </c>
      <c r="U2" s="12">
        <f t="shared" ref="U2:U33" si="0">SUM(I2:T2)</f>
        <v>2432502</v>
      </c>
      <c r="V2" s="12"/>
      <c r="W2" s="12"/>
    </row>
    <row r="3" spans="1:30" ht="11.25" customHeight="1" x14ac:dyDescent="0.25">
      <c r="A3" s="110"/>
      <c r="B3" s="110"/>
      <c r="C3" s="110"/>
      <c r="D3" s="110"/>
      <c r="E3" s="110"/>
      <c r="F3" s="110"/>
      <c r="G3" s="12" t="s">
        <v>91</v>
      </c>
      <c r="H3" s="12" t="s">
        <v>89</v>
      </c>
      <c r="I3" s="12">
        <f>SUMIF(Mercado_Receita!$S$2:$S$2578,"44136A3AzulNão se aplicaNão se aplicaNão se aplicaNão se aplicaFora ponta",Mercado_Receita!$J$2:$J$2578)+SUMIF(Mercado_Receita!$S$2:$S$2578,"44136A3AzulNão se aplicaNão se aplicaAPENão se aplicaFora ponta",Mercado_Receita!$J$2:$J$2578)+SUMIF(Mercado_Receita!$S$2:$S$2578,"44136A3ConvencionalNão se aplicaNão se aplicaNão se aplicaNão se aplicaNão se aplica",Mercado_Receita!$J$2:$J$2578)*1</f>
        <v>224071</v>
      </c>
      <c r="J3" s="12">
        <f>SUMIF(Mercado_Receita!$S$2:$S$2578,"44166A3AzulNão se aplicaNão se aplicaNão se aplicaNão se aplicaFora ponta",Mercado_Receita!$J$2:$J$2578)+SUMIF(Mercado_Receita!$S$2:$S$2578,"44166A3AzulNão se aplicaNão se aplicaAPENão se aplicaFora ponta",Mercado_Receita!$J$2:$J$2578)+SUMIF(Mercado_Receita!$S$2:$S$2578,"44166A3ConvencionalNão se aplicaNão se aplicaNão se aplicaNão se aplicaNão se aplica",Mercado_Receita!$J$2:$J$2578)*1</f>
        <v>225126</v>
      </c>
      <c r="K3" s="12">
        <f>SUMIF(Mercado_Receita!$S$2:$S$2578,"44197A3AzulNão se aplicaNão se aplicaNão se aplicaNão se aplicaFora ponta",Mercado_Receita!$J$2:$J$2578)+SUMIF(Mercado_Receita!$S$2:$S$2578,"44197A3AzulNão se aplicaNão se aplicaAPENão se aplicaFora ponta",Mercado_Receita!$J$2:$J$2578)+SUMIF(Mercado_Receita!$S$2:$S$2578,"44197A3ConvencionalNão se aplicaNão se aplicaNão se aplicaNão se aplicaNão se aplica",Mercado_Receita!$J$2:$J$2578)*1</f>
        <v>223395</v>
      </c>
      <c r="L3" s="12">
        <f>SUMIF(Mercado_Receita!$S$2:$S$2578,"44228A3AzulNão se aplicaNão se aplicaNão se aplicaNão se aplicaFora ponta",Mercado_Receita!$J$2:$J$2578)+SUMIF(Mercado_Receita!$S$2:$S$2578,"44228A3AzulNão se aplicaNão se aplicaAPENão se aplicaFora ponta",Mercado_Receita!$J$2:$J$2578)+SUMIF(Mercado_Receita!$S$2:$S$2578,"44228A3ConvencionalNão se aplicaNão se aplicaNão se aplicaNão se aplicaNão se aplica",Mercado_Receita!$J$2:$J$2578)*1</f>
        <v>223703</v>
      </c>
      <c r="M3" s="12">
        <f>SUMIF(Mercado_Receita!$S$2:$S$2578,"44256A3AzulNão se aplicaNão se aplicaNão se aplicaNão se aplicaFora ponta",Mercado_Receita!$J$2:$J$2578)+SUMIF(Mercado_Receita!$S$2:$S$2578,"44256A3AzulNão se aplicaNão se aplicaAPENão se aplicaFora ponta",Mercado_Receita!$J$2:$J$2578)+SUMIF(Mercado_Receita!$S$2:$S$2578,"44256A3ConvencionalNão se aplicaNão se aplicaNão se aplicaNão se aplicaNão se aplica",Mercado_Receita!$J$2:$J$2578)*1</f>
        <v>223527</v>
      </c>
      <c r="N3" s="12">
        <f>SUMIF(Mercado_Receita!$S$2:$S$2578,"44287A3AzulNão se aplicaNão se aplicaNão se aplicaNão se aplicaFora ponta",Mercado_Receita!$J$2:$J$2578)+SUMIF(Mercado_Receita!$S$2:$S$2578,"44287A3AzulNão se aplicaNão se aplicaAPENão se aplicaFora ponta",Mercado_Receita!$J$2:$J$2578)+SUMIF(Mercado_Receita!$S$2:$S$2578,"44287A3ConvencionalNão se aplicaNão se aplicaNão se aplicaNão se aplicaNão se aplica",Mercado_Receita!$J$2:$J$2578)*1</f>
        <v>226679</v>
      </c>
      <c r="O3" s="12">
        <f>SUMIF(Mercado_Receita!$S$2:$S$2578,"44317A3AzulNão se aplicaNão se aplicaNão se aplicaNão se aplicaFora ponta",Mercado_Receita!$J$2:$J$2578)+SUMIF(Mercado_Receita!$S$2:$S$2578,"44317A3AzulNão se aplicaNão se aplicaAPENão se aplicaFora ponta",Mercado_Receita!$J$2:$J$2578)+SUMIF(Mercado_Receita!$S$2:$S$2578,"44317A3ConvencionalNão se aplicaNão se aplicaNão se aplicaNão se aplicaNão se aplica",Mercado_Receita!$J$2:$J$2578)*1</f>
        <v>226232</v>
      </c>
      <c r="P3" s="12">
        <f>SUMIF(Mercado_Receita!$S$2:$S$2578,"44348A3AzulNão se aplicaNão se aplicaNão se aplicaNão se aplicaFora ponta",Mercado_Receita!$J$2:$J$2578)+SUMIF(Mercado_Receita!$S$2:$S$2578,"44348A3AzulNão se aplicaNão se aplicaAPENão se aplicaFora ponta",Mercado_Receita!$J$2:$J$2578)+SUMIF(Mercado_Receita!$S$2:$S$2578,"44348A3ConvencionalNão se aplicaNão se aplicaNão se aplicaNão se aplicaNão se aplica",Mercado_Receita!$J$2:$J$2578)*1</f>
        <v>218893</v>
      </c>
      <c r="Q3" s="12">
        <f>SUMIF(Mercado_Receita!$S$2:$S$2578,"44378A3AzulNão se aplicaNão se aplicaNão se aplicaNão se aplicaFora ponta",Mercado_Receita!$J$2:$J$2578)+SUMIF(Mercado_Receita!$S$2:$S$2578,"44378A3AzulNão se aplicaNão se aplicaAPENão se aplicaFora ponta",Mercado_Receita!$J$2:$J$2578)+SUMIF(Mercado_Receita!$S$2:$S$2578,"44378A3ConvencionalNão se aplicaNão se aplicaNão se aplicaNão se aplicaNão se aplica",Mercado_Receita!$J$2:$J$2578)*1</f>
        <v>226395</v>
      </c>
      <c r="R3" s="12">
        <f>SUMIF(Mercado_Receita!$S$2:$S$2578,"44409A3AzulNão se aplicaNão se aplicaNão se aplicaNão se aplicaFora ponta",Mercado_Receita!$J$2:$J$2578)+SUMIF(Mercado_Receita!$S$2:$S$2578,"44409A3AzulNão se aplicaNão se aplicaAPENão se aplicaFora ponta",Mercado_Receita!$J$2:$J$2578)+SUMIF(Mercado_Receita!$S$2:$S$2578,"44409A3ConvencionalNão se aplicaNão se aplicaNão se aplicaNão se aplicaNão se aplica",Mercado_Receita!$J$2:$J$2578)*1</f>
        <v>234153</v>
      </c>
      <c r="S3" s="12">
        <f>SUMIF(Mercado_Receita!$S$2:$S$2578,"44440A3AzulNão se aplicaNão se aplicaNão se aplicaNão se aplicaFora ponta",Mercado_Receita!$J$2:$J$2578)+SUMIF(Mercado_Receita!$S$2:$S$2578,"44440A3AzulNão se aplicaNão se aplicaAPENão se aplicaFora ponta",Mercado_Receita!$J$2:$J$2578)+SUMIF(Mercado_Receita!$S$2:$S$2578,"44440A3ConvencionalNão se aplicaNão se aplicaNão se aplicaNão se aplicaNão se aplica",Mercado_Receita!$J$2:$J$2578)*1</f>
        <v>233840</v>
      </c>
      <c r="T3" s="12">
        <f>SUMIF(Mercado_Receita!$S$2:$S$2578,"44470A3AzulNão se aplicaNão se aplicaNão se aplicaNão se aplicaFora ponta",Mercado_Receita!$J$2:$J$2578)+SUMIF(Mercado_Receita!$S$2:$S$2578,"44470A3AzulNão se aplicaNão se aplicaAPENão se aplicaFora ponta",Mercado_Receita!$J$2:$J$2578)+SUMIF(Mercado_Receita!$S$2:$S$2578,"44470A3ConvencionalNão se aplicaNão se aplicaNão se aplicaNão se aplicaNão se aplica",Mercado_Receita!$J$2:$J$2578)*1</f>
        <v>233840</v>
      </c>
      <c r="U3" s="12">
        <f t="shared" si="0"/>
        <v>2719854</v>
      </c>
      <c r="V3" s="12"/>
      <c r="W3" s="12"/>
    </row>
    <row r="4" spans="1:30" ht="11.25" customHeight="1" x14ac:dyDescent="0.25">
      <c r="A4" s="110"/>
      <c r="B4" s="110"/>
      <c r="C4" s="110"/>
      <c r="D4" s="110"/>
      <c r="E4" s="110"/>
      <c r="F4" s="110"/>
      <c r="G4" s="12" t="s">
        <v>92</v>
      </c>
      <c r="H4" s="12" t="s">
        <v>86</v>
      </c>
      <c r="I4" s="12">
        <f>SUMIF(Mercado_Receita!$S$2:$S$2578,"44136A3AzulNão se aplicaNão se aplicaNão se aplicaNão se aplicaPonta",Mercado_Receita!$L$2:$L$2578)+SUMIF(Mercado_Receita!$S$2:$S$2578,"44136A3AzulNão se aplicaNão se aplicaNão se aplicaNão se aplicaFora ponta",Mercado_Receita!$L$2:$L$2578)+SUMIF(Mercado_Receita!$S$2:$S$2578,"44136A3AzulNão se aplicaNão se aplicaNão se aplicaNão se aplicaIntermediário",Mercado_Receita!$L$2:$L$2578)+SUMIF(Mercado_Receita!$S$2:$S$2578,"44136A3AzulNão se aplicaNão se aplicaNão se aplicaNão se aplicaNão se aplica",Mercado_Receita!$L$2:$L$2578)+SUMIF(Mercado_Receita!$S$2:$S$2578,"44136A3ConvencionalNão se aplicaNão se aplicaNão se aplicaNão se aplicaNão se aplica",Mercado_Receita!$L$2:$L$2578)</f>
        <v>100021.81300000001</v>
      </c>
      <c r="J4" s="12">
        <f>SUMIF(Mercado_Receita!$S$2:$S$2578,"44166A3AzulNão se aplicaNão se aplicaNão se aplicaNão se aplicaPonta",Mercado_Receita!$L$2:$L$2578)+SUMIF(Mercado_Receita!$S$2:$S$2578,"44166A3AzulNão se aplicaNão se aplicaNão se aplicaNão se aplicaFora ponta",Mercado_Receita!$L$2:$L$2578)+SUMIF(Mercado_Receita!$S$2:$S$2578,"44166A3AzulNão se aplicaNão se aplicaNão se aplicaNão se aplicaIntermediário",Mercado_Receita!$L$2:$L$2578)+SUMIF(Mercado_Receita!$S$2:$S$2578,"44166A3AzulNão se aplicaNão se aplicaNão se aplicaNão se aplicaNão se aplica",Mercado_Receita!$L$2:$L$2578)+SUMIF(Mercado_Receita!$S$2:$S$2578,"44166A3ConvencionalNão se aplicaNão se aplicaNão se aplicaNão se aplicaNão se aplica",Mercado_Receita!$L$2:$L$2578)</f>
        <v>93309.967999999993</v>
      </c>
      <c r="K4" s="12">
        <f>SUMIF(Mercado_Receita!$S$2:$S$2578,"44197A3AzulNão se aplicaNão se aplicaNão se aplicaNão se aplicaPonta",Mercado_Receita!$L$2:$L$2578)+SUMIF(Mercado_Receita!$S$2:$S$2578,"44197A3AzulNão se aplicaNão se aplicaNão se aplicaNão se aplicaFora ponta",Mercado_Receita!$L$2:$L$2578)+SUMIF(Mercado_Receita!$S$2:$S$2578,"44197A3AzulNão se aplicaNão se aplicaNão se aplicaNão se aplicaIntermediário",Mercado_Receita!$L$2:$L$2578)+SUMIF(Mercado_Receita!$S$2:$S$2578,"44197A3AzulNão se aplicaNão se aplicaNão se aplicaNão se aplicaNão se aplica",Mercado_Receita!$L$2:$L$2578)+SUMIF(Mercado_Receita!$S$2:$S$2578,"44197A3ConvencionalNão se aplicaNão se aplicaNão se aplicaNão se aplicaNão se aplica",Mercado_Receita!$L$2:$L$2578)</f>
        <v>84554.010999999999</v>
      </c>
      <c r="L4" s="12">
        <f>SUMIF(Mercado_Receita!$S$2:$S$2578,"44228A3AzulNão se aplicaNão se aplicaNão se aplicaNão se aplicaPonta",Mercado_Receita!$L$2:$L$2578)+SUMIF(Mercado_Receita!$S$2:$S$2578,"44228A3AzulNão se aplicaNão se aplicaNão se aplicaNão se aplicaFora ponta",Mercado_Receita!$L$2:$L$2578)+SUMIF(Mercado_Receita!$S$2:$S$2578,"44228A3AzulNão se aplicaNão se aplicaNão se aplicaNão se aplicaIntermediário",Mercado_Receita!$L$2:$L$2578)+SUMIF(Mercado_Receita!$S$2:$S$2578,"44228A3AzulNão se aplicaNão se aplicaNão se aplicaNão se aplicaNão se aplica",Mercado_Receita!$L$2:$L$2578)+SUMIF(Mercado_Receita!$S$2:$S$2578,"44228A3ConvencionalNão se aplicaNão se aplicaNão se aplicaNão se aplicaNão se aplica",Mercado_Receita!$L$2:$L$2578)</f>
        <v>82536.856999999989</v>
      </c>
      <c r="M4" s="12">
        <f>SUMIF(Mercado_Receita!$S$2:$S$2578,"44256A3AzulNão se aplicaNão se aplicaNão se aplicaNão se aplicaPonta",Mercado_Receita!$L$2:$L$2578)+SUMIF(Mercado_Receita!$S$2:$S$2578,"44256A3AzulNão se aplicaNão se aplicaNão se aplicaNão se aplicaFora ponta",Mercado_Receita!$L$2:$L$2578)+SUMIF(Mercado_Receita!$S$2:$S$2578,"44256A3AzulNão se aplicaNão se aplicaNão se aplicaNão se aplicaIntermediário",Mercado_Receita!$L$2:$L$2578)+SUMIF(Mercado_Receita!$S$2:$S$2578,"44256A3AzulNão se aplicaNão se aplicaNão se aplicaNão se aplicaNão se aplica",Mercado_Receita!$L$2:$L$2578)+SUMIF(Mercado_Receita!$S$2:$S$2578,"44256A3ConvencionalNão se aplicaNão se aplicaNão se aplicaNão se aplicaNão se aplica",Mercado_Receita!$L$2:$L$2578)</f>
        <v>97996.243000000002</v>
      </c>
      <c r="N4" s="12">
        <f>SUMIF(Mercado_Receita!$S$2:$S$2578,"44287A3AzulNão se aplicaNão se aplicaNão se aplicaNão se aplicaPonta",Mercado_Receita!$L$2:$L$2578)+SUMIF(Mercado_Receita!$S$2:$S$2578,"44287A3AzulNão se aplicaNão se aplicaNão se aplicaNão se aplicaFora ponta",Mercado_Receita!$L$2:$L$2578)+SUMIF(Mercado_Receita!$S$2:$S$2578,"44287A3AzulNão se aplicaNão se aplicaNão se aplicaNão se aplicaIntermediário",Mercado_Receita!$L$2:$L$2578)+SUMIF(Mercado_Receita!$S$2:$S$2578,"44287A3AzulNão se aplicaNão se aplicaNão se aplicaNão se aplicaNão se aplica",Mercado_Receita!$L$2:$L$2578)+SUMIF(Mercado_Receita!$S$2:$S$2578,"44287A3ConvencionalNão se aplicaNão se aplicaNão se aplicaNão se aplicaNão se aplica",Mercado_Receita!$L$2:$L$2578)</f>
        <v>97670.740999999995</v>
      </c>
      <c r="O4" s="12">
        <f>SUMIF(Mercado_Receita!$S$2:$S$2578,"44317A3AzulNão se aplicaNão se aplicaNão se aplicaNão se aplicaPonta",Mercado_Receita!$L$2:$L$2578)+SUMIF(Mercado_Receita!$S$2:$S$2578,"44317A3AzulNão se aplicaNão se aplicaNão se aplicaNão se aplicaFora ponta",Mercado_Receita!$L$2:$L$2578)+SUMIF(Mercado_Receita!$S$2:$S$2578,"44317A3AzulNão se aplicaNão se aplicaNão se aplicaNão se aplicaIntermediário",Mercado_Receita!$L$2:$L$2578)+SUMIF(Mercado_Receita!$S$2:$S$2578,"44317A3AzulNão se aplicaNão se aplicaNão se aplicaNão se aplicaNão se aplica",Mercado_Receita!$L$2:$L$2578)+SUMIF(Mercado_Receita!$S$2:$S$2578,"44317A3ConvencionalNão se aplicaNão se aplicaNão se aplicaNão se aplicaNão se aplica",Mercado_Receita!$L$2:$L$2578)</f>
        <v>101576.86900000002</v>
      </c>
      <c r="P4" s="12">
        <f>SUMIF(Mercado_Receita!$S$2:$S$2578,"44348A3AzulNão se aplicaNão se aplicaNão se aplicaNão se aplicaPonta",Mercado_Receita!$L$2:$L$2578)+SUMIF(Mercado_Receita!$S$2:$S$2578,"44348A3AzulNão se aplicaNão se aplicaNão se aplicaNão se aplicaFora ponta",Mercado_Receita!$L$2:$L$2578)+SUMIF(Mercado_Receita!$S$2:$S$2578,"44348A3AzulNão se aplicaNão se aplicaNão se aplicaNão se aplicaIntermediário",Mercado_Receita!$L$2:$L$2578)+SUMIF(Mercado_Receita!$S$2:$S$2578,"44348A3AzulNão se aplicaNão se aplicaNão se aplicaNão se aplicaNão se aplica",Mercado_Receita!$L$2:$L$2578)+SUMIF(Mercado_Receita!$S$2:$S$2578,"44348A3ConvencionalNão se aplicaNão se aplicaNão se aplicaNão se aplicaNão se aplica",Mercado_Receita!$L$2:$L$2578)</f>
        <v>81651.209000000003</v>
      </c>
      <c r="Q4" s="12">
        <f>SUMIF(Mercado_Receita!$S$2:$S$2578,"44378A3AzulNão se aplicaNão se aplicaNão se aplicaNão se aplicaPonta",Mercado_Receita!$L$2:$L$2578)+SUMIF(Mercado_Receita!$S$2:$S$2578,"44378A3AzulNão se aplicaNão se aplicaNão se aplicaNão se aplicaFora ponta",Mercado_Receita!$L$2:$L$2578)+SUMIF(Mercado_Receita!$S$2:$S$2578,"44378A3AzulNão se aplicaNão se aplicaNão se aplicaNão se aplicaIntermediário",Mercado_Receita!$L$2:$L$2578)+SUMIF(Mercado_Receita!$S$2:$S$2578,"44378A3AzulNão se aplicaNão se aplicaNão se aplicaNão se aplicaNão se aplica",Mercado_Receita!$L$2:$L$2578)+SUMIF(Mercado_Receita!$S$2:$S$2578,"44378A3ConvencionalNão se aplicaNão se aplicaNão se aplicaNão se aplicaNão se aplica",Mercado_Receita!$L$2:$L$2578)</f>
        <v>98909.804000000018</v>
      </c>
      <c r="R4" s="12">
        <f>SUMIF(Mercado_Receita!$S$2:$S$2578,"44409A3AzulNão se aplicaNão se aplicaNão se aplicaNão se aplicaPonta",Mercado_Receita!$L$2:$L$2578)+SUMIF(Mercado_Receita!$S$2:$S$2578,"44409A3AzulNão se aplicaNão se aplicaNão se aplicaNão se aplicaFora ponta",Mercado_Receita!$L$2:$L$2578)+SUMIF(Mercado_Receita!$S$2:$S$2578,"44409A3AzulNão se aplicaNão se aplicaNão se aplicaNão se aplicaIntermediário",Mercado_Receita!$L$2:$L$2578)+SUMIF(Mercado_Receita!$S$2:$S$2578,"44409A3AzulNão se aplicaNão se aplicaNão se aplicaNão se aplicaNão se aplica",Mercado_Receita!$L$2:$L$2578)+SUMIF(Mercado_Receita!$S$2:$S$2578,"44409A3ConvencionalNão se aplicaNão se aplicaNão se aplicaNão se aplicaNão se aplica",Mercado_Receita!$L$2:$L$2578)</f>
        <v>108103.58</v>
      </c>
      <c r="S4" s="12">
        <f>SUMIF(Mercado_Receita!$S$2:$S$2578,"44440A3AzulNão se aplicaNão se aplicaNão se aplicaNão se aplicaPonta",Mercado_Receita!$L$2:$L$2578)+SUMIF(Mercado_Receita!$S$2:$S$2578,"44440A3AzulNão se aplicaNão se aplicaNão se aplicaNão se aplicaFora ponta",Mercado_Receita!$L$2:$L$2578)+SUMIF(Mercado_Receita!$S$2:$S$2578,"44440A3AzulNão se aplicaNão se aplicaNão se aplicaNão se aplicaIntermediário",Mercado_Receita!$L$2:$L$2578)+SUMIF(Mercado_Receita!$S$2:$S$2578,"44440A3AzulNão se aplicaNão se aplicaNão se aplicaNão se aplicaNão se aplica",Mercado_Receita!$L$2:$L$2578)+SUMIF(Mercado_Receita!$S$2:$S$2578,"44440A3ConvencionalNão se aplicaNão se aplicaNão se aplicaNão se aplicaNão se aplica",Mercado_Receita!$L$2:$L$2578)</f>
        <v>104602.789</v>
      </c>
      <c r="T4" s="12">
        <f>SUMIF(Mercado_Receita!$S$2:$S$2578,"44470A3AzulNão se aplicaNão se aplicaNão se aplicaNão se aplicaPonta",Mercado_Receita!$L$2:$L$2578)+SUMIF(Mercado_Receita!$S$2:$S$2578,"44470A3AzulNão se aplicaNão se aplicaNão se aplicaNão se aplicaFora ponta",Mercado_Receita!$L$2:$L$2578)+SUMIF(Mercado_Receita!$S$2:$S$2578,"44470A3AzulNão se aplicaNão se aplicaNão se aplicaNão se aplicaIntermediário",Mercado_Receita!$L$2:$L$2578)+SUMIF(Mercado_Receita!$S$2:$S$2578,"44470A3AzulNão se aplicaNão se aplicaNão se aplicaNão se aplicaNão se aplica",Mercado_Receita!$L$2:$L$2578)+SUMIF(Mercado_Receita!$S$2:$S$2578,"44470A3ConvencionalNão se aplicaNão se aplicaNão se aplicaNão se aplicaNão se aplica",Mercado_Receita!$L$2:$L$2578)</f>
        <v>104602.789</v>
      </c>
      <c r="U4" s="12">
        <f t="shared" si="0"/>
        <v>1155536.6730000002</v>
      </c>
      <c r="V4" s="12"/>
      <c r="W4" s="12"/>
    </row>
    <row r="5" spans="1:30" ht="11.25" customHeight="1" x14ac:dyDescent="0.25">
      <c r="A5" s="110"/>
      <c r="B5" s="110"/>
      <c r="C5" s="110"/>
      <c r="D5" s="110"/>
      <c r="E5" s="13" t="s">
        <v>93</v>
      </c>
      <c r="F5" s="13" t="s">
        <v>25</v>
      </c>
      <c r="G5" s="12" t="s">
        <v>92</v>
      </c>
      <c r="H5" s="12" t="s">
        <v>86</v>
      </c>
      <c r="I5" s="12">
        <f>SUMIF(Mercado_Receita!$S$2:$S$2578,"44136A3AzulNão se aplicaNão se aplicaAPENão se aplicaPonta",Mercado_Receita!$L$2:$L$2578)+SUMIF(Mercado_Receita!$S$2:$S$2578,"44136A3AzulNão se aplicaNão se aplicaAPENão se aplicaFora ponta",Mercado_Receita!$L$2:$L$2578)+SUMIF(Mercado_Receita!$S$2:$S$2578,"44136A3AzulNão se aplicaNão se aplicaAPENão se aplicaIntermediário",Mercado_Receita!$L$2:$L$2578)+SUMIF(Mercado_Receita!$S$2:$S$2578,"44136A3AzulNão se aplicaNão se aplicaAPENão se aplicaNão se aplica",Mercado_Receita!$L$2:$L$2578)+SUMIF(Mercado_Receita!$S$2:$S$2578,"44136A3ConvencionalNão se aplicaNão se aplicaAPENão se aplicaNão se aplica",Mercado_Receita!$L$2:$L$2578)</f>
        <v>0</v>
      </c>
      <c r="J5" s="12">
        <f>SUMIF(Mercado_Receita!$S$2:$S$2578,"44166A3AzulNão se aplicaNão se aplicaAPENão se aplicaPonta",Mercado_Receita!$L$2:$L$2578)+SUMIF(Mercado_Receita!$S$2:$S$2578,"44166A3AzulNão se aplicaNão se aplicaAPENão se aplicaFora ponta",Mercado_Receita!$L$2:$L$2578)+SUMIF(Mercado_Receita!$S$2:$S$2578,"44166A3AzulNão se aplicaNão se aplicaAPENão se aplicaIntermediário",Mercado_Receita!$L$2:$L$2578)+SUMIF(Mercado_Receita!$S$2:$S$2578,"44166A3AzulNão se aplicaNão se aplicaAPENão se aplicaNão se aplica",Mercado_Receita!$L$2:$L$2578)+SUMIF(Mercado_Receita!$S$2:$S$2578,"44166A3ConvencionalNão se aplicaNão se aplicaAPENão se aplicaNão se aplica",Mercado_Receita!$L$2:$L$2578)</f>
        <v>0</v>
      </c>
      <c r="K5" s="12">
        <f>SUMIF(Mercado_Receita!$S$2:$S$2578,"44197A3AzulNão se aplicaNão se aplicaAPENão se aplicaPonta",Mercado_Receita!$L$2:$L$2578)+SUMIF(Mercado_Receita!$S$2:$S$2578,"44197A3AzulNão se aplicaNão se aplicaAPENão se aplicaFora ponta",Mercado_Receita!$L$2:$L$2578)+SUMIF(Mercado_Receita!$S$2:$S$2578,"44197A3AzulNão se aplicaNão se aplicaAPENão se aplicaIntermediário",Mercado_Receita!$L$2:$L$2578)+SUMIF(Mercado_Receita!$S$2:$S$2578,"44197A3AzulNão se aplicaNão se aplicaAPENão se aplicaNão se aplica",Mercado_Receita!$L$2:$L$2578)+SUMIF(Mercado_Receita!$S$2:$S$2578,"44197A3ConvencionalNão se aplicaNão se aplicaAPENão se aplicaNão se aplica",Mercado_Receita!$L$2:$L$2578)</f>
        <v>0</v>
      </c>
      <c r="L5" s="12">
        <f>SUMIF(Mercado_Receita!$S$2:$S$2578,"44228A3AzulNão se aplicaNão se aplicaAPENão se aplicaPonta",Mercado_Receita!$L$2:$L$2578)+SUMIF(Mercado_Receita!$S$2:$S$2578,"44228A3AzulNão se aplicaNão se aplicaAPENão se aplicaFora ponta",Mercado_Receita!$L$2:$L$2578)+SUMIF(Mercado_Receita!$S$2:$S$2578,"44228A3AzulNão se aplicaNão se aplicaAPENão se aplicaIntermediário",Mercado_Receita!$L$2:$L$2578)+SUMIF(Mercado_Receita!$S$2:$S$2578,"44228A3AzulNão se aplicaNão se aplicaAPENão se aplicaNão se aplica",Mercado_Receita!$L$2:$L$2578)+SUMIF(Mercado_Receita!$S$2:$S$2578,"44228A3ConvencionalNão se aplicaNão se aplicaAPENão se aplicaNão se aplica",Mercado_Receita!$L$2:$L$2578)</f>
        <v>0</v>
      </c>
      <c r="M5" s="12">
        <f>SUMIF(Mercado_Receita!$S$2:$S$2578,"44256A3AzulNão se aplicaNão se aplicaAPENão se aplicaPonta",Mercado_Receita!$L$2:$L$2578)+SUMIF(Mercado_Receita!$S$2:$S$2578,"44256A3AzulNão se aplicaNão se aplicaAPENão se aplicaFora ponta",Mercado_Receita!$L$2:$L$2578)+SUMIF(Mercado_Receita!$S$2:$S$2578,"44256A3AzulNão se aplicaNão se aplicaAPENão se aplicaIntermediário",Mercado_Receita!$L$2:$L$2578)+SUMIF(Mercado_Receita!$S$2:$S$2578,"44256A3AzulNão se aplicaNão se aplicaAPENão se aplicaNão se aplica",Mercado_Receita!$L$2:$L$2578)+SUMIF(Mercado_Receita!$S$2:$S$2578,"44256A3ConvencionalNão se aplicaNão se aplicaAPENão se aplicaNão se aplica",Mercado_Receita!$L$2:$L$2578)</f>
        <v>0</v>
      </c>
      <c r="N5" s="12">
        <f>SUMIF(Mercado_Receita!$S$2:$S$2578,"44287A3AzulNão se aplicaNão se aplicaAPENão se aplicaPonta",Mercado_Receita!$L$2:$L$2578)+SUMIF(Mercado_Receita!$S$2:$S$2578,"44287A3AzulNão se aplicaNão se aplicaAPENão se aplicaFora ponta",Mercado_Receita!$L$2:$L$2578)+SUMIF(Mercado_Receita!$S$2:$S$2578,"44287A3AzulNão se aplicaNão se aplicaAPENão se aplicaIntermediário",Mercado_Receita!$L$2:$L$2578)+SUMIF(Mercado_Receita!$S$2:$S$2578,"44287A3AzulNão se aplicaNão se aplicaAPENão se aplicaNão se aplica",Mercado_Receita!$L$2:$L$2578)+SUMIF(Mercado_Receita!$S$2:$S$2578,"44287A3ConvencionalNão se aplicaNão se aplicaAPENão se aplicaNão se aplica",Mercado_Receita!$L$2:$L$2578)</f>
        <v>0</v>
      </c>
      <c r="O5" s="12">
        <f>SUMIF(Mercado_Receita!$S$2:$S$2578,"44317A3AzulNão se aplicaNão se aplicaAPENão se aplicaPonta",Mercado_Receita!$L$2:$L$2578)+SUMIF(Mercado_Receita!$S$2:$S$2578,"44317A3AzulNão se aplicaNão se aplicaAPENão se aplicaFora ponta",Mercado_Receita!$L$2:$L$2578)+SUMIF(Mercado_Receita!$S$2:$S$2578,"44317A3AzulNão se aplicaNão se aplicaAPENão se aplicaIntermediário",Mercado_Receita!$L$2:$L$2578)+SUMIF(Mercado_Receita!$S$2:$S$2578,"44317A3AzulNão se aplicaNão se aplicaAPENão se aplicaNão se aplica",Mercado_Receita!$L$2:$L$2578)+SUMIF(Mercado_Receita!$S$2:$S$2578,"44317A3ConvencionalNão se aplicaNão se aplicaAPENão se aplicaNão se aplica",Mercado_Receita!$L$2:$L$2578)</f>
        <v>0</v>
      </c>
      <c r="P5" s="12">
        <f>SUMIF(Mercado_Receita!$S$2:$S$2578,"44348A3AzulNão se aplicaNão se aplicaAPENão se aplicaPonta",Mercado_Receita!$L$2:$L$2578)+SUMIF(Mercado_Receita!$S$2:$S$2578,"44348A3AzulNão se aplicaNão se aplicaAPENão se aplicaFora ponta",Mercado_Receita!$L$2:$L$2578)+SUMIF(Mercado_Receita!$S$2:$S$2578,"44348A3AzulNão se aplicaNão se aplicaAPENão se aplicaIntermediário",Mercado_Receita!$L$2:$L$2578)+SUMIF(Mercado_Receita!$S$2:$S$2578,"44348A3AzulNão se aplicaNão se aplicaAPENão se aplicaNão se aplica",Mercado_Receita!$L$2:$L$2578)+SUMIF(Mercado_Receita!$S$2:$S$2578,"44348A3ConvencionalNão se aplicaNão se aplicaAPENão se aplicaNão se aplica",Mercado_Receita!$L$2:$L$2578)</f>
        <v>0</v>
      </c>
      <c r="Q5" s="12">
        <f>SUMIF(Mercado_Receita!$S$2:$S$2578,"44378A3AzulNão se aplicaNão se aplicaAPENão se aplicaPonta",Mercado_Receita!$L$2:$L$2578)+SUMIF(Mercado_Receita!$S$2:$S$2578,"44378A3AzulNão se aplicaNão se aplicaAPENão se aplicaFora ponta",Mercado_Receita!$L$2:$L$2578)+SUMIF(Mercado_Receita!$S$2:$S$2578,"44378A3AzulNão se aplicaNão se aplicaAPENão se aplicaIntermediário",Mercado_Receita!$L$2:$L$2578)+SUMIF(Mercado_Receita!$S$2:$S$2578,"44378A3AzulNão se aplicaNão se aplicaAPENão se aplicaNão se aplica",Mercado_Receita!$L$2:$L$2578)+SUMIF(Mercado_Receita!$S$2:$S$2578,"44378A3ConvencionalNão se aplicaNão se aplicaAPENão se aplicaNão se aplica",Mercado_Receita!$L$2:$L$2578)</f>
        <v>0</v>
      </c>
      <c r="R5" s="12">
        <f>SUMIF(Mercado_Receita!$S$2:$S$2578,"44409A3AzulNão se aplicaNão se aplicaAPENão se aplicaPonta",Mercado_Receita!$L$2:$L$2578)+SUMIF(Mercado_Receita!$S$2:$S$2578,"44409A3AzulNão se aplicaNão se aplicaAPENão se aplicaFora ponta",Mercado_Receita!$L$2:$L$2578)+SUMIF(Mercado_Receita!$S$2:$S$2578,"44409A3AzulNão se aplicaNão se aplicaAPENão se aplicaIntermediário",Mercado_Receita!$L$2:$L$2578)+SUMIF(Mercado_Receita!$S$2:$S$2578,"44409A3AzulNão se aplicaNão se aplicaAPENão se aplicaNão se aplica",Mercado_Receita!$L$2:$L$2578)+SUMIF(Mercado_Receita!$S$2:$S$2578,"44409A3ConvencionalNão se aplicaNão se aplicaAPENão se aplicaNão se aplica",Mercado_Receita!$L$2:$L$2578)</f>
        <v>0</v>
      </c>
      <c r="S5" s="12">
        <f>SUMIF(Mercado_Receita!$S$2:$S$2578,"44440A3AzulNão se aplicaNão se aplicaAPENão se aplicaPonta",Mercado_Receita!$L$2:$L$2578)+SUMIF(Mercado_Receita!$S$2:$S$2578,"44440A3AzulNão se aplicaNão se aplicaAPENão se aplicaFora ponta",Mercado_Receita!$L$2:$L$2578)+SUMIF(Mercado_Receita!$S$2:$S$2578,"44440A3AzulNão se aplicaNão se aplicaAPENão se aplicaIntermediário",Mercado_Receita!$L$2:$L$2578)+SUMIF(Mercado_Receita!$S$2:$S$2578,"44440A3AzulNão se aplicaNão se aplicaAPENão se aplicaNão se aplica",Mercado_Receita!$L$2:$L$2578)+SUMIF(Mercado_Receita!$S$2:$S$2578,"44440A3ConvencionalNão se aplicaNão se aplicaAPENão se aplicaNão se aplica",Mercado_Receita!$L$2:$L$2578)</f>
        <v>0</v>
      </c>
      <c r="T5" s="12">
        <f>SUMIF(Mercado_Receita!$S$2:$S$2578,"44470A3AzulNão se aplicaNão se aplicaAPENão se aplicaPonta",Mercado_Receita!$L$2:$L$2578)+SUMIF(Mercado_Receita!$S$2:$S$2578,"44470A3AzulNão se aplicaNão se aplicaAPENão se aplicaFora ponta",Mercado_Receita!$L$2:$L$2578)+SUMIF(Mercado_Receita!$S$2:$S$2578,"44470A3AzulNão se aplicaNão se aplicaAPENão se aplicaIntermediário",Mercado_Receita!$L$2:$L$2578)+SUMIF(Mercado_Receita!$S$2:$S$2578,"44470A3AzulNão se aplicaNão se aplicaAPENão se aplicaNão se aplica",Mercado_Receita!$L$2:$L$2578)+SUMIF(Mercado_Receita!$S$2:$S$2578,"44470A3ConvencionalNão se aplicaNão se aplicaAPENão se aplicaNão se aplica",Mercado_Receita!$L$2:$L$2578)</f>
        <v>0</v>
      </c>
      <c r="U5" s="12">
        <f t="shared" si="0"/>
        <v>0</v>
      </c>
      <c r="V5" s="12"/>
      <c r="W5" s="12"/>
    </row>
    <row r="6" spans="1:30" ht="11.25" customHeight="1" x14ac:dyDescent="0.25">
      <c r="A6" s="110"/>
      <c r="B6" s="13" t="s">
        <v>63</v>
      </c>
      <c r="C6" s="13" t="s">
        <v>25</v>
      </c>
      <c r="D6" s="13" t="s">
        <v>25</v>
      </c>
      <c r="E6" s="13" t="s">
        <v>25</v>
      </c>
      <c r="F6" s="13" t="s">
        <v>25</v>
      </c>
      <c r="G6" s="12" t="s">
        <v>9</v>
      </c>
      <c r="H6" s="12" t="s">
        <v>89</v>
      </c>
      <c r="I6" s="12">
        <f>SUMIF(Mercado_Receita!$S$2:$S$2578,"44136A3GeraçãoNão se aplicaNão se aplicaNão se aplicaNão se aplicaNão se aplica",Mercado_Receita!$J$2:$J$2578)+SUMIF(Mercado_Receita!$S$2:$S$2578,"44136A3GeraçãoNão se aplicaNão se aplicaAPENão se aplicaNão se aplica",Mercado_Receita!$J$2:$J$2578)</f>
        <v>400500</v>
      </c>
      <c r="J6" s="12">
        <f>SUMIF(Mercado_Receita!$S$2:$S$2578,"44166A3GeraçãoNão se aplicaNão se aplicaNão se aplicaNão se aplicaNão se aplica",Mercado_Receita!$J$2:$J$2578)+SUMIF(Mercado_Receita!$S$2:$S$2578,"44166A3GeraçãoNão se aplicaNão se aplicaAPENão se aplicaNão se aplica",Mercado_Receita!$J$2:$J$2578)</f>
        <v>400500</v>
      </c>
      <c r="K6" s="12">
        <f>SUMIF(Mercado_Receita!$S$2:$S$2578,"44197A3GeraçãoNão se aplicaNão se aplicaNão se aplicaNão se aplicaNão se aplica",Mercado_Receita!$J$2:$J$2578)+SUMIF(Mercado_Receita!$S$2:$S$2578,"44197A3GeraçãoNão se aplicaNão se aplicaAPENão se aplicaNão se aplica",Mercado_Receita!$J$2:$J$2578)</f>
        <v>400500</v>
      </c>
      <c r="L6" s="12">
        <f>SUMIF(Mercado_Receita!$S$2:$S$2578,"44228A3GeraçãoNão se aplicaNão se aplicaNão se aplicaNão se aplicaNão se aplica",Mercado_Receita!$J$2:$J$2578)+SUMIF(Mercado_Receita!$S$2:$S$2578,"44228A3GeraçãoNão se aplicaNão se aplicaAPENão se aplicaNão se aplica",Mercado_Receita!$J$2:$J$2578)</f>
        <v>400500</v>
      </c>
      <c r="M6" s="12">
        <f>SUMIF(Mercado_Receita!$S$2:$S$2578,"44256A3GeraçãoNão se aplicaNão se aplicaNão se aplicaNão se aplicaNão se aplica",Mercado_Receita!$J$2:$J$2578)+SUMIF(Mercado_Receita!$S$2:$S$2578,"44256A3GeraçãoNão se aplicaNão se aplicaAPENão se aplicaNão se aplica",Mercado_Receita!$J$2:$J$2578)</f>
        <v>400500</v>
      </c>
      <c r="N6" s="12">
        <f>SUMIF(Mercado_Receita!$S$2:$S$2578,"44287A3GeraçãoNão se aplicaNão se aplicaNão se aplicaNão se aplicaNão se aplica",Mercado_Receita!$J$2:$J$2578)+SUMIF(Mercado_Receita!$S$2:$S$2578,"44287A3GeraçãoNão se aplicaNão se aplicaAPENão se aplicaNão se aplica",Mercado_Receita!$J$2:$J$2578)</f>
        <v>400500</v>
      </c>
      <c r="O6" s="12">
        <f>SUMIF(Mercado_Receita!$S$2:$S$2578,"44317A3GeraçãoNão se aplicaNão se aplicaNão se aplicaNão se aplicaNão se aplica",Mercado_Receita!$J$2:$J$2578)+SUMIF(Mercado_Receita!$S$2:$S$2578,"44317A3GeraçãoNão se aplicaNão se aplicaAPENão se aplicaNão se aplica",Mercado_Receita!$J$2:$J$2578)</f>
        <v>400500</v>
      </c>
      <c r="P6" s="12">
        <f>SUMIF(Mercado_Receita!$S$2:$S$2578,"44348A3GeraçãoNão se aplicaNão se aplicaNão se aplicaNão se aplicaNão se aplica",Mercado_Receita!$J$2:$J$2578)+SUMIF(Mercado_Receita!$S$2:$S$2578,"44348A3GeraçãoNão se aplicaNão se aplicaAPENão se aplicaNão se aplica",Mercado_Receita!$J$2:$J$2578)</f>
        <v>400500</v>
      </c>
      <c r="Q6" s="12">
        <f>SUMIF(Mercado_Receita!$S$2:$S$2578,"44378A3GeraçãoNão se aplicaNão se aplicaNão se aplicaNão se aplicaNão se aplica",Mercado_Receita!$J$2:$J$2578)+SUMIF(Mercado_Receita!$S$2:$S$2578,"44378A3GeraçãoNão se aplicaNão se aplicaAPENão se aplicaNão se aplica",Mercado_Receita!$J$2:$J$2578)</f>
        <v>400934</v>
      </c>
      <c r="R6" s="12">
        <f>SUMIF(Mercado_Receita!$S$2:$S$2578,"44409A3GeraçãoNão se aplicaNão se aplicaNão se aplicaNão se aplicaNão se aplica",Mercado_Receita!$J$2:$J$2578)+SUMIF(Mercado_Receita!$S$2:$S$2578,"44409A3GeraçãoNão se aplicaNão se aplicaAPENão se aplicaNão se aplica",Mercado_Receita!$J$2:$J$2578)</f>
        <v>400934</v>
      </c>
      <c r="S6" s="12">
        <f>SUMIF(Mercado_Receita!$S$2:$S$2578,"44440A3GeraçãoNão se aplicaNão se aplicaNão se aplicaNão se aplicaNão se aplica",Mercado_Receita!$J$2:$J$2578)+SUMIF(Mercado_Receita!$S$2:$S$2578,"44440A3GeraçãoNão se aplicaNão se aplicaAPENão se aplicaNão se aplica",Mercado_Receita!$J$2:$J$2578)</f>
        <v>400934</v>
      </c>
      <c r="T6" s="12">
        <f>SUMIF(Mercado_Receita!$S$2:$S$2578,"44470A3GeraçãoNão se aplicaNão se aplicaNão se aplicaNão se aplicaNão se aplica",Mercado_Receita!$J$2:$J$2578)+SUMIF(Mercado_Receita!$S$2:$S$2578,"44470A3GeraçãoNão se aplicaNão se aplicaAPENão se aplicaNão se aplica",Mercado_Receita!$J$2:$J$2578)</f>
        <v>400934</v>
      </c>
      <c r="U6" s="12">
        <f t="shared" si="0"/>
        <v>4807736</v>
      </c>
      <c r="V6" s="12"/>
      <c r="W6" s="12"/>
    </row>
    <row r="7" spans="1:30" ht="11.25" customHeight="1" x14ac:dyDescent="0.25">
      <c r="A7" s="109" t="s">
        <v>35</v>
      </c>
      <c r="B7" s="109" t="s">
        <v>44</v>
      </c>
      <c r="C7" s="109" t="s">
        <v>25</v>
      </c>
      <c r="D7" s="109" t="s">
        <v>25</v>
      </c>
      <c r="E7" s="109" t="s">
        <v>25</v>
      </c>
      <c r="F7" s="109" t="s">
        <v>25</v>
      </c>
      <c r="G7" s="12" t="s">
        <v>90</v>
      </c>
      <c r="H7" s="12" t="s">
        <v>89</v>
      </c>
      <c r="I7" s="12">
        <f>SUMIF(Mercado_Receita!$S$2:$S$2578,"44136A4AzulNão se aplicaNão se aplicaNão se aplicaNão se aplicaPonta",Mercado_Receita!$J$2:$J$2578)+SUMIF(Mercado_Receita!$S$2:$S$2578,"44136A4AzulNão se aplicaNão se aplicaAPENão se aplicaPonta",Mercado_Receita!$J$2:$J$2578)</f>
        <v>109689</v>
      </c>
      <c r="J7" s="12">
        <f>SUMIF(Mercado_Receita!$S$2:$S$2578,"44166A4AzulNão se aplicaNão se aplicaNão se aplicaNão se aplicaPonta",Mercado_Receita!$J$2:$J$2578)+SUMIF(Mercado_Receita!$S$2:$S$2578,"44166A4AzulNão se aplicaNão se aplicaAPENão se aplicaPonta",Mercado_Receita!$J$2:$J$2578)</f>
        <v>112800</v>
      </c>
      <c r="K7" s="12">
        <f>SUMIF(Mercado_Receita!$S$2:$S$2578,"44197A4AzulNão se aplicaNão se aplicaNão se aplicaNão se aplicaPonta",Mercado_Receita!$J$2:$J$2578)+SUMIF(Mercado_Receita!$S$2:$S$2578,"44197A4AzulNão se aplicaNão se aplicaAPENão se aplicaPonta",Mercado_Receita!$J$2:$J$2578)</f>
        <v>109757</v>
      </c>
      <c r="L7" s="12">
        <f>SUMIF(Mercado_Receita!$S$2:$S$2578,"44228A4AzulNão se aplicaNão se aplicaNão se aplicaNão se aplicaPonta",Mercado_Receita!$J$2:$J$2578)+SUMIF(Mercado_Receita!$S$2:$S$2578,"44228A4AzulNão se aplicaNão se aplicaAPENão se aplicaPonta",Mercado_Receita!$J$2:$J$2578)</f>
        <v>115085</v>
      </c>
      <c r="M7" s="12">
        <f>SUMIF(Mercado_Receita!$S$2:$S$2578,"44256A4AzulNão se aplicaNão se aplicaNão se aplicaNão se aplicaPonta",Mercado_Receita!$J$2:$J$2578)+SUMIF(Mercado_Receita!$S$2:$S$2578,"44256A4AzulNão se aplicaNão se aplicaAPENão se aplicaPonta",Mercado_Receita!$J$2:$J$2578)</f>
        <v>114752</v>
      </c>
      <c r="N7" s="12">
        <f>SUMIF(Mercado_Receita!$S$2:$S$2578,"44287A4AzulNão se aplicaNão se aplicaNão se aplicaNão se aplicaPonta",Mercado_Receita!$J$2:$J$2578)+SUMIF(Mercado_Receita!$S$2:$S$2578,"44287A4AzulNão se aplicaNão se aplicaAPENão se aplicaPonta",Mercado_Receita!$J$2:$J$2578)</f>
        <v>114621</v>
      </c>
      <c r="O7" s="12">
        <f>SUMIF(Mercado_Receita!$S$2:$S$2578,"44317A4AzulNão se aplicaNão se aplicaNão se aplicaNão se aplicaPonta",Mercado_Receita!$J$2:$J$2578)+SUMIF(Mercado_Receita!$S$2:$S$2578,"44317A4AzulNão se aplicaNão se aplicaAPENão se aplicaPonta",Mercado_Receita!$J$2:$J$2578)</f>
        <v>108238</v>
      </c>
      <c r="P7" s="12">
        <f>SUMIF(Mercado_Receita!$S$2:$S$2578,"44348A4AzulNão se aplicaNão se aplicaNão se aplicaNão se aplicaPonta",Mercado_Receita!$J$2:$J$2578)+SUMIF(Mercado_Receita!$S$2:$S$2578,"44348A4AzulNão se aplicaNão se aplicaAPENão se aplicaPonta",Mercado_Receita!$J$2:$J$2578)</f>
        <v>98842</v>
      </c>
      <c r="Q7" s="12">
        <f>SUMIF(Mercado_Receita!$S$2:$S$2578,"44378A4AzulNão se aplicaNão se aplicaNão se aplicaNão se aplicaPonta",Mercado_Receita!$J$2:$J$2578)+SUMIF(Mercado_Receita!$S$2:$S$2578,"44378A4AzulNão se aplicaNão se aplicaAPENão se aplicaPonta",Mercado_Receita!$J$2:$J$2578)</f>
        <v>108320</v>
      </c>
      <c r="R7" s="12">
        <f>SUMIF(Mercado_Receita!$S$2:$S$2578,"44409A4AzulNão se aplicaNão se aplicaNão se aplicaNão se aplicaPonta",Mercado_Receita!$J$2:$J$2578)+SUMIF(Mercado_Receita!$S$2:$S$2578,"44409A4AzulNão se aplicaNão se aplicaAPENão se aplicaPonta",Mercado_Receita!$J$2:$J$2578)</f>
        <v>118255</v>
      </c>
      <c r="S7" s="12">
        <f>SUMIF(Mercado_Receita!$S$2:$S$2578,"44440A4AzulNão se aplicaNão se aplicaNão se aplicaNão se aplicaPonta",Mercado_Receita!$J$2:$J$2578)+SUMIF(Mercado_Receita!$S$2:$S$2578,"44440A4AzulNão se aplicaNão se aplicaAPENão se aplicaPonta",Mercado_Receita!$J$2:$J$2578)</f>
        <v>121239</v>
      </c>
      <c r="T7" s="12">
        <f>SUMIF(Mercado_Receita!$S$2:$S$2578,"44470A4AzulNão se aplicaNão se aplicaNão se aplicaNão se aplicaPonta",Mercado_Receita!$J$2:$J$2578)+SUMIF(Mercado_Receita!$S$2:$S$2578,"44470A4AzulNão se aplicaNão se aplicaAPENão se aplicaPonta",Mercado_Receita!$J$2:$J$2578)</f>
        <v>121239</v>
      </c>
      <c r="U7" s="12">
        <f t="shared" si="0"/>
        <v>1352837</v>
      </c>
      <c r="V7" s="12"/>
      <c r="W7" s="12"/>
    </row>
    <row r="8" spans="1:30" ht="11.25" customHeight="1" x14ac:dyDescent="0.25">
      <c r="A8" s="110"/>
      <c r="B8" s="110"/>
      <c r="C8" s="110"/>
      <c r="D8" s="110"/>
      <c r="E8" s="110"/>
      <c r="F8" s="110"/>
      <c r="G8" s="12" t="s">
        <v>91</v>
      </c>
      <c r="H8" s="12" t="s">
        <v>89</v>
      </c>
      <c r="I8" s="12">
        <f>SUMIF(Mercado_Receita!$S$2:$S$2578,"44136A4AzulNão se aplicaNão se aplicaNão se aplicaNão se aplicaFora ponta",Mercado_Receita!$J$2:$J$2578)+SUMIF(Mercado_Receita!$S$2:$S$2578,"44136A4AzulNão se aplicaNão se aplicaAPENão se aplicaFora ponta",Mercado_Receita!$J$2:$J$2578)</f>
        <v>124916</v>
      </c>
      <c r="J8" s="12">
        <f>SUMIF(Mercado_Receita!$S$2:$S$2578,"44166A4AzulNão se aplicaNão se aplicaNão se aplicaNão se aplicaFora ponta",Mercado_Receita!$J$2:$J$2578)+SUMIF(Mercado_Receita!$S$2:$S$2578,"44166A4AzulNão se aplicaNão se aplicaAPENão se aplicaFora ponta",Mercado_Receita!$J$2:$J$2578)</f>
        <v>132204</v>
      </c>
      <c r="K8" s="12">
        <f>SUMIF(Mercado_Receita!$S$2:$S$2578,"44197A4AzulNão se aplicaNão se aplicaNão se aplicaNão se aplicaFora ponta",Mercado_Receita!$J$2:$J$2578)+SUMIF(Mercado_Receita!$S$2:$S$2578,"44197A4AzulNão se aplicaNão se aplicaAPENão se aplicaFora ponta",Mercado_Receita!$J$2:$J$2578)</f>
        <v>132472</v>
      </c>
      <c r="L8" s="12">
        <f>SUMIF(Mercado_Receita!$S$2:$S$2578,"44228A4AzulNão se aplicaNão se aplicaNão se aplicaNão se aplicaFora ponta",Mercado_Receita!$J$2:$J$2578)+SUMIF(Mercado_Receita!$S$2:$S$2578,"44228A4AzulNão se aplicaNão se aplicaAPENão se aplicaFora ponta",Mercado_Receita!$J$2:$J$2578)</f>
        <v>135789</v>
      </c>
      <c r="M8" s="12">
        <f>SUMIF(Mercado_Receita!$S$2:$S$2578,"44256A4AzulNão se aplicaNão se aplicaNão se aplicaNão se aplicaFora ponta",Mercado_Receita!$J$2:$J$2578)+SUMIF(Mercado_Receita!$S$2:$S$2578,"44256A4AzulNão se aplicaNão se aplicaAPENão se aplicaFora ponta",Mercado_Receita!$J$2:$J$2578)</f>
        <v>136613</v>
      </c>
      <c r="N8" s="12">
        <f>SUMIF(Mercado_Receita!$S$2:$S$2578,"44287A4AzulNão se aplicaNão se aplicaNão se aplicaNão se aplicaFora ponta",Mercado_Receita!$J$2:$J$2578)+SUMIF(Mercado_Receita!$S$2:$S$2578,"44287A4AzulNão se aplicaNão se aplicaAPENão se aplicaFora ponta",Mercado_Receita!$J$2:$J$2578)</f>
        <v>134516</v>
      </c>
      <c r="O8" s="12">
        <f>SUMIF(Mercado_Receita!$S$2:$S$2578,"44317A4AzulNão se aplicaNão se aplicaNão se aplicaNão se aplicaFora ponta",Mercado_Receita!$J$2:$J$2578)+SUMIF(Mercado_Receita!$S$2:$S$2578,"44317A4AzulNão se aplicaNão se aplicaAPENão se aplicaFora ponta",Mercado_Receita!$J$2:$J$2578)</f>
        <v>128413</v>
      </c>
      <c r="P8" s="12">
        <f>SUMIF(Mercado_Receita!$S$2:$S$2578,"44348A4AzulNão se aplicaNão se aplicaNão se aplicaNão se aplicaFora ponta",Mercado_Receita!$J$2:$J$2578)+SUMIF(Mercado_Receita!$S$2:$S$2578,"44348A4AzulNão se aplicaNão se aplicaAPENão se aplicaFora ponta",Mercado_Receita!$J$2:$J$2578)</f>
        <v>117252</v>
      </c>
      <c r="Q8" s="12">
        <f>SUMIF(Mercado_Receita!$S$2:$S$2578,"44378A4AzulNão se aplicaNão se aplicaNão se aplicaNão se aplicaFora ponta",Mercado_Receita!$J$2:$J$2578)+SUMIF(Mercado_Receita!$S$2:$S$2578,"44378A4AzulNão se aplicaNão se aplicaAPENão se aplicaFora ponta",Mercado_Receita!$J$2:$J$2578)</f>
        <v>126785</v>
      </c>
      <c r="R8" s="12">
        <f>SUMIF(Mercado_Receita!$S$2:$S$2578,"44409A4AzulNão se aplicaNão se aplicaNão se aplicaNão se aplicaFora ponta",Mercado_Receita!$J$2:$J$2578)+SUMIF(Mercado_Receita!$S$2:$S$2578,"44409A4AzulNão se aplicaNão se aplicaAPENão se aplicaFora ponta",Mercado_Receita!$J$2:$J$2578)</f>
        <v>133306</v>
      </c>
      <c r="S8" s="12">
        <f>SUMIF(Mercado_Receita!$S$2:$S$2578,"44440A4AzulNão se aplicaNão se aplicaNão se aplicaNão se aplicaFora ponta",Mercado_Receita!$J$2:$J$2578)+SUMIF(Mercado_Receita!$S$2:$S$2578,"44440A4AzulNão se aplicaNão se aplicaAPENão se aplicaFora ponta",Mercado_Receita!$J$2:$J$2578)</f>
        <v>135763</v>
      </c>
      <c r="T8" s="12">
        <f>SUMIF(Mercado_Receita!$S$2:$S$2578,"44470A4AzulNão se aplicaNão se aplicaNão se aplicaNão se aplicaFora ponta",Mercado_Receita!$J$2:$J$2578)+SUMIF(Mercado_Receita!$S$2:$S$2578,"44470A4AzulNão se aplicaNão se aplicaAPENão se aplicaFora ponta",Mercado_Receita!$J$2:$J$2578)</f>
        <v>135763</v>
      </c>
      <c r="U8" s="12">
        <f t="shared" si="0"/>
        <v>1573792</v>
      </c>
      <c r="V8" s="12"/>
      <c r="W8" s="12"/>
    </row>
    <row r="9" spans="1:30" ht="11.25" customHeight="1" x14ac:dyDescent="0.25">
      <c r="A9" s="110"/>
      <c r="B9" s="110"/>
      <c r="C9" s="110"/>
      <c r="D9" s="110"/>
      <c r="E9" s="110"/>
      <c r="F9" s="110"/>
      <c r="G9" s="12" t="s">
        <v>92</v>
      </c>
      <c r="H9" s="12" t="s">
        <v>86</v>
      </c>
      <c r="I9" s="12">
        <f>SUMIF(Mercado_Receita!$S$2:$S$2578,"44136A4AzulNão se aplicaNão se aplicaNão se aplicaNão se aplicaPonta",Mercado_Receita!$L$2:$L$2578)+SUMIF(Mercado_Receita!$S$2:$S$2578,"44136A4AzulNão se aplicaNão se aplicaNão se aplicaNão se aplicaFora ponta",Mercado_Receita!$L$2:$L$2578)+SUMIF(Mercado_Receita!$S$2:$S$2578,"44136A4AzulNão se aplicaNão se aplicaNão se aplicaNão se aplicaIntermediário",Mercado_Receita!$L$2:$L$2578)+SUMIF(Mercado_Receita!$S$2:$S$2578,"44136A4AzulNão se aplicaNão se aplicaNão se aplicaNão se aplicaNão se aplica",Mercado_Receita!$L$2:$L$2578)</f>
        <v>49054.514999999999</v>
      </c>
      <c r="J9" s="12">
        <f>SUMIF(Mercado_Receita!$S$2:$S$2578,"44166A4AzulNão se aplicaNão se aplicaNão se aplicaNão se aplicaPonta",Mercado_Receita!$L$2:$L$2578)+SUMIF(Mercado_Receita!$S$2:$S$2578,"44166A4AzulNão se aplicaNão se aplicaNão se aplicaNão se aplicaFora ponta",Mercado_Receita!$L$2:$L$2578)+SUMIF(Mercado_Receita!$S$2:$S$2578,"44166A4AzulNão se aplicaNão se aplicaNão se aplicaNão se aplicaIntermediário",Mercado_Receita!$L$2:$L$2578)+SUMIF(Mercado_Receita!$S$2:$S$2578,"44166A4AzulNão se aplicaNão se aplicaNão se aplicaNão se aplicaNão se aplica",Mercado_Receita!$L$2:$L$2578)</f>
        <v>47914.402000000002</v>
      </c>
      <c r="K9" s="12">
        <f>SUMIF(Mercado_Receita!$S$2:$S$2578,"44197A4AzulNão se aplicaNão se aplicaNão se aplicaNão se aplicaPonta",Mercado_Receita!$L$2:$L$2578)+SUMIF(Mercado_Receita!$S$2:$S$2578,"44197A4AzulNão se aplicaNão se aplicaNão se aplicaNão se aplicaFora ponta",Mercado_Receita!$L$2:$L$2578)+SUMIF(Mercado_Receita!$S$2:$S$2578,"44197A4AzulNão se aplicaNão se aplicaNão se aplicaNão se aplicaIntermediário",Mercado_Receita!$L$2:$L$2578)+SUMIF(Mercado_Receita!$S$2:$S$2578,"44197A4AzulNão se aplicaNão se aplicaNão se aplicaNão se aplicaNão se aplica",Mercado_Receita!$L$2:$L$2578)</f>
        <v>43920.131999999998</v>
      </c>
      <c r="L9" s="12">
        <f>SUMIF(Mercado_Receita!$S$2:$S$2578,"44228A4AzulNão se aplicaNão se aplicaNão se aplicaNão se aplicaPonta",Mercado_Receita!$L$2:$L$2578)+SUMIF(Mercado_Receita!$S$2:$S$2578,"44228A4AzulNão se aplicaNão se aplicaNão se aplicaNão se aplicaFora ponta",Mercado_Receita!$L$2:$L$2578)+SUMIF(Mercado_Receita!$S$2:$S$2578,"44228A4AzulNão se aplicaNão se aplicaNão se aplicaNão se aplicaIntermediário",Mercado_Receita!$L$2:$L$2578)+SUMIF(Mercado_Receita!$S$2:$S$2578,"44228A4AzulNão se aplicaNão se aplicaNão se aplicaNão se aplicaNão se aplica",Mercado_Receita!$L$2:$L$2578)</f>
        <v>43035.532999999996</v>
      </c>
      <c r="M9" s="12">
        <f>SUMIF(Mercado_Receita!$S$2:$S$2578,"44256A4AzulNão se aplicaNão se aplicaNão se aplicaNão se aplicaPonta",Mercado_Receita!$L$2:$L$2578)+SUMIF(Mercado_Receita!$S$2:$S$2578,"44256A4AzulNão se aplicaNão se aplicaNão se aplicaNão se aplicaFora ponta",Mercado_Receita!$L$2:$L$2578)+SUMIF(Mercado_Receita!$S$2:$S$2578,"44256A4AzulNão se aplicaNão se aplicaNão se aplicaNão se aplicaIntermediário",Mercado_Receita!$L$2:$L$2578)+SUMIF(Mercado_Receita!$S$2:$S$2578,"44256A4AzulNão se aplicaNão se aplicaNão se aplicaNão se aplicaNão se aplica",Mercado_Receita!$L$2:$L$2578)</f>
        <v>49269.277000000002</v>
      </c>
      <c r="N9" s="12">
        <f>SUMIF(Mercado_Receita!$S$2:$S$2578,"44287A4AzulNão se aplicaNão se aplicaNão se aplicaNão se aplicaPonta",Mercado_Receita!$L$2:$L$2578)+SUMIF(Mercado_Receita!$S$2:$S$2578,"44287A4AzulNão se aplicaNão se aplicaNão se aplicaNão se aplicaFora ponta",Mercado_Receita!$L$2:$L$2578)+SUMIF(Mercado_Receita!$S$2:$S$2578,"44287A4AzulNão se aplicaNão se aplicaNão se aplicaNão se aplicaIntermediário",Mercado_Receita!$L$2:$L$2578)+SUMIF(Mercado_Receita!$S$2:$S$2578,"44287A4AzulNão se aplicaNão se aplicaNão se aplicaNão se aplicaNão se aplica",Mercado_Receita!$L$2:$L$2578)</f>
        <v>47463.676999999996</v>
      </c>
      <c r="O9" s="12">
        <f>SUMIF(Mercado_Receita!$S$2:$S$2578,"44317A4AzulNão se aplicaNão se aplicaNão se aplicaNão se aplicaPonta",Mercado_Receita!$L$2:$L$2578)+SUMIF(Mercado_Receita!$S$2:$S$2578,"44317A4AzulNão se aplicaNão se aplicaNão se aplicaNão se aplicaFora ponta",Mercado_Receita!$L$2:$L$2578)+SUMIF(Mercado_Receita!$S$2:$S$2578,"44317A4AzulNão se aplicaNão se aplicaNão se aplicaNão se aplicaIntermediário",Mercado_Receita!$L$2:$L$2578)+SUMIF(Mercado_Receita!$S$2:$S$2578,"44317A4AzulNão se aplicaNão se aplicaNão se aplicaNão se aplicaNão se aplica",Mercado_Receita!$L$2:$L$2578)</f>
        <v>48959.850000000006</v>
      </c>
      <c r="P9" s="12">
        <f>SUMIF(Mercado_Receita!$S$2:$S$2578,"44348A4AzulNão se aplicaNão se aplicaNão se aplicaNão se aplicaPonta",Mercado_Receita!$L$2:$L$2578)+SUMIF(Mercado_Receita!$S$2:$S$2578,"44348A4AzulNão se aplicaNão se aplicaNão se aplicaNão se aplicaFora ponta",Mercado_Receita!$L$2:$L$2578)+SUMIF(Mercado_Receita!$S$2:$S$2578,"44348A4AzulNão se aplicaNão se aplicaNão se aplicaNão se aplicaIntermediário",Mercado_Receita!$L$2:$L$2578)+SUMIF(Mercado_Receita!$S$2:$S$2578,"44348A4AzulNão se aplicaNão se aplicaNão se aplicaNão se aplicaNão se aplica",Mercado_Receita!$L$2:$L$2578)</f>
        <v>43011.357000000004</v>
      </c>
      <c r="Q9" s="12">
        <f>SUMIF(Mercado_Receita!$S$2:$S$2578,"44378A4AzulNão se aplicaNão se aplicaNão se aplicaNão se aplicaPonta",Mercado_Receita!$L$2:$L$2578)+SUMIF(Mercado_Receita!$S$2:$S$2578,"44378A4AzulNão se aplicaNão se aplicaNão se aplicaNão se aplicaFora ponta",Mercado_Receita!$L$2:$L$2578)+SUMIF(Mercado_Receita!$S$2:$S$2578,"44378A4AzulNão se aplicaNão se aplicaNão se aplicaNão se aplicaIntermediário",Mercado_Receita!$L$2:$L$2578)+SUMIF(Mercado_Receita!$S$2:$S$2578,"44378A4AzulNão se aplicaNão se aplicaNão se aplicaNão se aplicaNão se aplica",Mercado_Receita!$L$2:$L$2578)</f>
        <v>48061.928</v>
      </c>
      <c r="R9" s="12">
        <f>SUMIF(Mercado_Receita!$S$2:$S$2578,"44409A4AzulNão se aplicaNão se aplicaNão se aplicaNão se aplicaPonta",Mercado_Receita!$L$2:$L$2578)+SUMIF(Mercado_Receita!$S$2:$S$2578,"44409A4AzulNão se aplicaNão se aplicaNão se aplicaNão se aplicaFora ponta",Mercado_Receita!$L$2:$L$2578)+SUMIF(Mercado_Receita!$S$2:$S$2578,"44409A4AzulNão se aplicaNão se aplicaNão se aplicaNão se aplicaIntermediário",Mercado_Receita!$L$2:$L$2578)+SUMIF(Mercado_Receita!$S$2:$S$2578,"44409A4AzulNão se aplicaNão se aplicaNão se aplicaNão se aplicaNão se aplica",Mercado_Receita!$L$2:$L$2578)</f>
        <v>50381.560999999994</v>
      </c>
      <c r="S9" s="12">
        <f>SUMIF(Mercado_Receita!$S$2:$S$2578,"44440A4AzulNão se aplicaNão se aplicaNão se aplicaNão se aplicaPonta",Mercado_Receita!$L$2:$L$2578)+SUMIF(Mercado_Receita!$S$2:$S$2578,"44440A4AzulNão se aplicaNão se aplicaNão se aplicaNão se aplicaFora ponta",Mercado_Receita!$L$2:$L$2578)+SUMIF(Mercado_Receita!$S$2:$S$2578,"44440A4AzulNão se aplicaNão se aplicaNão se aplicaNão se aplicaIntermediário",Mercado_Receita!$L$2:$L$2578)+SUMIF(Mercado_Receita!$S$2:$S$2578,"44440A4AzulNão se aplicaNão se aplicaNão se aplicaNão se aplicaNão se aplica",Mercado_Receita!$L$2:$L$2578)</f>
        <v>50245.467000000004</v>
      </c>
      <c r="T9" s="12">
        <f>SUMIF(Mercado_Receita!$S$2:$S$2578,"44470A4AzulNão se aplicaNão se aplicaNão se aplicaNão se aplicaPonta",Mercado_Receita!$L$2:$L$2578)+SUMIF(Mercado_Receita!$S$2:$S$2578,"44470A4AzulNão se aplicaNão se aplicaNão se aplicaNão se aplicaFora ponta",Mercado_Receita!$L$2:$L$2578)+SUMIF(Mercado_Receita!$S$2:$S$2578,"44470A4AzulNão se aplicaNão se aplicaNão se aplicaNão se aplicaIntermediário",Mercado_Receita!$L$2:$L$2578)+SUMIF(Mercado_Receita!$S$2:$S$2578,"44470A4AzulNão se aplicaNão se aplicaNão se aplicaNão se aplicaNão se aplica",Mercado_Receita!$L$2:$L$2578)</f>
        <v>50245.467000000004</v>
      </c>
      <c r="U9" s="12">
        <f t="shared" si="0"/>
        <v>571563.16599999997</v>
      </c>
      <c r="V9" s="12"/>
      <c r="W9" s="12"/>
    </row>
    <row r="10" spans="1:30" ht="11.25" customHeight="1" x14ac:dyDescent="0.25">
      <c r="A10" s="110"/>
      <c r="B10" s="110"/>
      <c r="C10" s="110"/>
      <c r="D10" s="110"/>
      <c r="E10" s="13" t="s">
        <v>93</v>
      </c>
      <c r="F10" s="13" t="s">
        <v>25</v>
      </c>
      <c r="G10" s="12" t="s">
        <v>92</v>
      </c>
      <c r="H10" s="12" t="s">
        <v>86</v>
      </c>
      <c r="I10" s="12">
        <f>SUMIF(Mercado_Receita!$S$2:$S$2578,"44136A4AzulNão se aplicaNão se aplicaAPENão se aplicaPonta",Mercado_Receita!$L$2:$L$2578)+SUMIF(Mercado_Receita!$S$2:$S$2578,"44136A4AzulNão se aplicaNão se aplicaAPENão se aplicaFora ponta",Mercado_Receita!$L$2:$L$2578)+SUMIF(Mercado_Receita!$S$2:$S$2578,"44136A4AzulNão se aplicaNão se aplicaAPENão se aplicaIntermediário",Mercado_Receita!$L$2:$L$2578)+SUMIF(Mercado_Receita!$S$2:$S$2578,"44136A4AzulNão se aplicaNão se aplicaAPENão se aplicaNão se aplica",Mercado_Receita!$L$2:$L$2578)</f>
        <v>0</v>
      </c>
      <c r="J10" s="12">
        <f>SUMIF(Mercado_Receita!$S$2:$S$2578,"44166A4AzulNão se aplicaNão se aplicaAPENão se aplicaPonta",Mercado_Receita!$L$2:$L$2578)+SUMIF(Mercado_Receita!$S$2:$S$2578,"44166A4AzulNão se aplicaNão se aplicaAPENão se aplicaFora ponta",Mercado_Receita!$L$2:$L$2578)+SUMIF(Mercado_Receita!$S$2:$S$2578,"44166A4AzulNão se aplicaNão se aplicaAPENão se aplicaIntermediário",Mercado_Receita!$L$2:$L$2578)+SUMIF(Mercado_Receita!$S$2:$S$2578,"44166A4AzulNão se aplicaNão se aplicaAPENão se aplicaNão se aplica",Mercado_Receita!$L$2:$L$2578)</f>
        <v>0</v>
      </c>
      <c r="K10" s="12">
        <f>SUMIF(Mercado_Receita!$S$2:$S$2578,"44197A4AzulNão se aplicaNão se aplicaAPENão se aplicaPonta",Mercado_Receita!$L$2:$L$2578)+SUMIF(Mercado_Receita!$S$2:$S$2578,"44197A4AzulNão se aplicaNão se aplicaAPENão se aplicaFora ponta",Mercado_Receita!$L$2:$L$2578)+SUMIF(Mercado_Receita!$S$2:$S$2578,"44197A4AzulNão se aplicaNão se aplicaAPENão se aplicaIntermediário",Mercado_Receita!$L$2:$L$2578)+SUMIF(Mercado_Receita!$S$2:$S$2578,"44197A4AzulNão se aplicaNão se aplicaAPENão se aplicaNão se aplica",Mercado_Receita!$L$2:$L$2578)</f>
        <v>0</v>
      </c>
      <c r="L10" s="12">
        <f>SUMIF(Mercado_Receita!$S$2:$S$2578,"44228A4AzulNão se aplicaNão se aplicaAPENão se aplicaPonta",Mercado_Receita!$L$2:$L$2578)+SUMIF(Mercado_Receita!$S$2:$S$2578,"44228A4AzulNão se aplicaNão se aplicaAPENão se aplicaFora ponta",Mercado_Receita!$L$2:$L$2578)+SUMIF(Mercado_Receita!$S$2:$S$2578,"44228A4AzulNão se aplicaNão se aplicaAPENão se aplicaIntermediário",Mercado_Receita!$L$2:$L$2578)+SUMIF(Mercado_Receita!$S$2:$S$2578,"44228A4AzulNão se aplicaNão se aplicaAPENão se aplicaNão se aplica",Mercado_Receita!$L$2:$L$2578)</f>
        <v>0</v>
      </c>
      <c r="M10" s="12">
        <f>SUMIF(Mercado_Receita!$S$2:$S$2578,"44256A4AzulNão se aplicaNão se aplicaAPENão se aplicaPonta",Mercado_Receita!$L$2:$L$2578)+SUMIF(Mercado_Receita!$S$2:$S$2578,"44256A4AzulNão se aplicaNão se aplicaAPENão se aplicaFora ponta",Mercado_Receita!$L$2:$L$2578)+SUMIF(Mercado_Receita!$S$2:$S$2578,"44256A4AzulNão se aplicaNão se aplicaAPENão se aplicaIntermediário",Mercado_Receita!$L$2:$L$2578)+SUMIF(Mercado_Receita!$S$2:$S$2578,"44256A4AzulNão se aplicaNão se aplicaAPENão se aplicaNão se aplica",Mercado_Receita!$L$2:$L$2578)</f>
        <v>0</v>
      </c>
      <c r="N10" s="12">
        <f>SUMIF(Mercado_Receita!$S$2:$S$2578,"44287A4AzulNão se aplicaNão se aplicaAPENão se aplicaPonta",Mercado_Receita!$L$2:$L$2578)+SUMIF(Mercado_Receita!$S$2:$S$2578,"44287A4AzulNão se aplicaNão se aplicaAPENão se aplicaFora ponta",Mercado_Receita!$L$2:$L$2578)+SUMIF(Mercado_Receita!$S$2:$S$2578,"44287A4AzulNão se aplicaNão se aplicaAPENão se aplicaIntermediário",Mercado_Receita!$L$2:$L$2578)+SUMIF(Mercado_Receita!$S$2:$S$2578,"44287A4AzulNão se aplicaNão se aplicaAPENão se aplicaNão se aplica",Mercado_Receita!$L$2:$L$2578)</f>
        <v>0</v>
      </c>
      <c r="O10" s="12">
        <f>SUMIF(Mercado_Receita!$S$2:$S$2578,"44317A4AzulNão se aplicaNão se aplicaAPENão se aplicaPonta",Mercado_Receita!$L$2:$L$2578)+SUMIF(Mercado_Receita!$S$2:$S$2578,"44317A4AzulNão se aplicaNão se aplicaAPENão se aplicaFora ponta",Mercado_Receita!$L$2:$L$2578)+SUMIF(Mercado_Receita!$S$2:$S$2578,"44317A4AzulNão se aplicaNão se aplicaAPENão se aplicaIntermediário",Mercado_Receita!$L$2:$L$2578)+SUMIF(Mercado_Receita!$S$2:$S$2578,"44317A4AzulNão se aplicaNão se aplicaAPENão se aplicaNão se aplica",Mercado_Receita!$L$2:$L$2578)</f>
        <v>0</v>
      </c>
      <c r="P10" s="12">
        <f>SUMIF(Mercado_Receita!$S$2:$S$2578,"44348A4AzulNão se aplicaNão se aplicaAPENão se aplicaPonta",Mercado_Receita!$L$2:$L$2578)+SUMIF(Mercado_Receita!$S$2:$S$2578,"44348A4AzulNão se aplicaNão se aplicaAPENão se aplicaFora ponta",Mercado_Receita!$L$2:$L$2578)+SUMIF(Mercado_Receita!$S$2:$S$2578,"44348A4AzulNão se aplicaNão se aplicaAPENão se aplicaIntermediário",Mercado_Receita!$L$2:$L$2578)+SUMIF(Mercado_Receita!$S$2:$S$2578,"44348A4AzulNão se aplicaNão se aplicaAPENão se aplicaNão se aplica",Mercado_Receita!$L$2:$L$2578)</f>
        <v>0</v>
      </c>
      <c r="Q10" s="12">
        <f>SUMIF(Mercado_Receita!$S$2:$S$2578,"44378A4AzulNão se aplicaNão se aplicaAPENão se aplicaPonta",Mercado_Receita!$L$2:$L$2578)+SUMIF(Mercado_Receita!$S$2:$S$2578,"44378A4AzulNão se aplicaNão se aplicaAPENão se aplicaFora ponta",Mercado_Receita!$L$2:$L$2578)+SUMIF(Mercado_Receita!$S$2:$S$2578,"44378A4AzulNão se aplicaNão se aplicaAPENão se aplicaIntermediário",Mercado_Receita!$L$2:$L$2578)+SUMIF(Mercado_Receita!$S$2:$S$2578,"44378A4AzulNão se aplicaNão se aplicaAPENão se aplicaNão se aplica",Mercado_Receita!$L$2:$L$2578)</f>
        <v>0</v>
      </c>
      <c r="R10" s="12">
        <f>SUMIF(Mercado_Receita!$S$2:$S$2578,"44409A4AzulNão se aplicaNão se aplicaAPENão se aplicaPonta",Mercado_Receita!$L$2:$L$2578)+SUMIF(Mercado_Receita!$S$2:$S$2578,"44409A4AzulNão se aplicaNão se aplicaAPENão se aplicaFora ponta",Mercado_Receita!$L$2:$L$2578)+SUMIF(Mercado_Receita!$S$2:$S$2578,"44409A4AzulNão se aplicaNão se aplicaAPENão se aplicaIntermediário",Mercado_Receita!$L$2:$L$2578)+SUMIF(Mercado_Receita!$S$2:$S$2578,"44409A4AzulNão se aplicaNão se aplicaAPENão se aplicaNão se aplica",Mercado_Receita!$L$2:$L$2578)</f>
        <v>0</v>
      </c>
      <c r="S10" s="12">
        <f>SUMIF(Mercado_Receita!$S$2:$S$2578,"44440A4AzulNão se aplicaNão se aplicaAPENão se aplicaPonta",Mercado_Receita!$L$2:$L$2578)+SUMIF(Mercado_Receita!$S$2:$S$2578,"44440A4AzulNão se aplicaNão se aplicaAPENão se aplicaFora ponta",Mercado_Receita!$L$2:$L$2578)+SUMIF(Mercado_Receita!$S$2:$S$2578,"44440A4AzulNão se aplicaNão se aplicaAPENão se aplicaIntermediário",Mercado_Receita!$L$2:$L$2578)+SUMIF(Mercado_Receita!$S$2:$S$2578,"44440A4AzulNão se aplicaNão se aplicaAPENão se aplicaNão se aplica",Mercado_Receita!$L$2:$L$2578)</f>
        <v>0</v>
      </c>
      <c r="T10" s="12">
        <f>SUMIF(Mercado_Receita!$S$2:$S$2578,"44470A4AzulNão se aplicaNão se aplicaAPENão se aplicaPonta",Mercado_Receita!$L$2:$L$2578)+SUMIF(Mercado_Receita!$S$2:$S$2578,"44470A4AzulNão se aplicaNão se aplicaAPENão se aplicaFora ponta",Mercado_Receita!$L$2:$L$2578)+SUMIF(Mercado_Receita!$S$2:$S$2578,"44470A4AzulNão se aplicaNão se aplicaAPENão se aplicaIntermediário",Mercado_Receita!$L$2:$L$2578)+SUMIF(Mercado_Receita!$S$2:$S$2578,"44470A4AzulNão se aplicaNão se aplicaAPENão se aplicaNão se aplica",Mercado_Receita!$L$2:$L$2578)</f>
        <v>0</v>
      </c>
      <c r="U10" s="12">
        <f t="shared" si="0"/>
        <v>0</v>
      </c>
      <c r="V10" s="12"/>
      <c r="W10" s="12"/>
    </row>
    <row r="11" spans="1:30" ht="11.25" customHeight="1" x14ac:dyDescent="0.25">
      <c r="A11" s="110"/>
      <c r="B11" s="13" t="s">
        <v>63</v>
      </c>
      <c r="C11" s="13" t="s">
        <v>25</v>
      </c>
      <c r="D11" s="13" t="s">
        <v>25</v>
      </c>
      <c r="E11" s="13" t="s">
        <v>25</v>
      </c>
      <c r="F11" s="13" t="s">
        <v>25</v>
      </c>
      <c r="G11" s="12" t="s">
        <v>9</v>
      </c>
      <c r="H11" s="12" t="s">
        <v>89</v>
      </c>
      <c r="I11" s="12">
        <f>SUMIF(Mercado_Receita!$S$2:$S$2578,"44136A4GeraçãoNão se aplicaNão se aplicaNão se aplicaNão se aplicaNão se aplica",Mercado_Receita!$J$2:$J$2578)+SUMIF(Mercado_Receita!$S$2:$S$2578,"44136A4GeraçãoNão se aplicaNão se aplicaAPENão se aplicaNão se aplica",Mercado_Receita!$J$2:$J$2578)</f>
        <v>0</v>
      </c>
      <c r="J11" s="12">
        <f>SUMIF(Mercado_Receita!$S$2:$S$2578,"44166A4GeraçãoNão se aplicaNão se aplicaNão se aplicaNão se aplicaNão se aplica",Mercado_Receita!$J$2:$J$2578)+SUMIF(Mercado_Receita!$S$2:$S$2578,"44166A4GeraçãoNão se aplicaNão se aplicaAPENão se aplicaNão se aplica",Mercado_Receita!$J$2:$J$2578)</f>
        <v>0</v>
      </c>
      <c r="K11" s="12">
        <f>SUMIF(Mercado_Receita!$S$2:$S$2578,"44197A4GeraçãoNão se aplicaNão se aplicaNão se aplicaNão se aplicaNão se aplica",Mercado_Receita!$J$2:$J$2578)+SUMIF(Mercado_Receita!$S$2:$S$2578,"44197A4GeraçãoNão se aplicaNão se aplicaAPENão se aplicaNão se aplica",Mercado_Receita!$J$2:$J$2578)</f>
        <v>0</v>
      </c>
      <c r="L11" s="12">
        <f>SUMIF(Mercado_Receita!$S$2:$S$2578,"44228A4GeraçãoNão se aplicaNão se aplicaNão se aplicaNão se aplicaNão se aplica",Mercado_Receita!$J$2:$J$2578)+SUMIF(Mercado_Receita!$S$2:$S$2578,"44228A4GeraçãoNão se aplicaNão se aplicaAPENão se aplicaNão se aplica",Mercado_Receita!$J$2:$J$2578)</f>
        <v>0</v>
      </c>
      <c r="M11" s="12">
        <f>SUMIF(Mercado_Receita!$S$2:$S$2578,"44256A4GeraçãoNão se aplicaNão se aplicaNão se aplicaNão se aplicaNão se aplica",Mercado_Receita!$J$2:$J$2578)+SUMIF(Mercado_Receita!$S$2:$S$2578,"44256A4GeraçãoNão se aplicaNão se aplicaAPENão se aplicaNão se aplica",Mercado_Receita!$J$2:$J$2578)</f>
        <v>0</v>
      </c>
      <c r="N11" s="12">
        <f>SUMIF(Mercado_Receita!$S$2:$S$2578,"44287A4GeraçãoNão se aplicaNão se aplicaNão se aplicaNão se aplicaNão se aplica",Mercado_Receita!$J$2:$J$2578)+SUMIF(Mercado_Receita!$S$2:$S$2578,"44287A4GeraçãoNão se aplicaNão se aplicaAPENão se aplicaNão se aplica",Mercado_Receita!$J$2:$J$2578)</f>
        <v>0</v>
      </c>
      <c r="O11" s="12">
        <f>SUMIF(Mercado_Receita!$S$2:$S$2578,"44317A4GeraçãoNão se aplicaNão se aplicaNão se aplicaNão se aplicaNão se aplica",Mercado_Receita!$J$2:$J$2578)+SUMIF(Mercado_Receita!$S$2:$S$2578,"44317A4GeraçãoNão se aplicaNão se aplicaAPENão se aplicaNão se aplica",Mercado_Receita!$J$2:$J$2578)</f>
        <v>0</v>
      </c>
      <c r="P11" s="12">
        <f>SUMIF(Mercado_Receita!$S$2:$S$2578,"44348A4GeraçãoNão se aplicaNão se aplicaNão se aplicaNão se aplicaNão se aplica",Mercado_Receita!$J$2:$J$2578)+SUMIF(Mercado_Receita!$S$2:$S$2578,"44348A4GeraçãoNão se aplicaNão se aplicaAPENão se aplicaNão se aplica",Mercado_Receita!$J$2:$J$2578)</f>
        <v>0</v>
      </c>
      <c r="Q11" s="12">
        <f>SUMIF(Mercado_Receita!$S$2:$S$2578,"44378A4GeraçãoNão se aplicaNão se aplicaNão se aplicaNão se aplicaNão se aplica",Mercado_Receita!$J$2:$J$2578)+SUMIF(Mercado_Receita!$S$2:$S$2578,"44378A4GeraçãoNão se aplicaNão se aplicaAPENão se aplicaNão se aplica",Mercado_Receita!$J$2:$J$2578)</f>
        <v>0</v>
      </c>
      <c r="R11" s="12">
        <f>SUMIF(Mercado_Receita!$S$2:$S$2578,"44409A4GeraçãoNão se aplicaNão se aplicaNão se aplicaNão se aplicaNão se aplica",Mercado_Receita!$J$2:$J$2578)+SUMIF(Mercado_Receita!$S$2:$S$2578,"44409A4GeraçãoNão se aplicaNão se aplicaAPENão se aplicaNão se aplica",Mercado_Receita!$J$2:$J$2578)</f>
        <v>0</v>
      </c>
      <c r="S11" s="12">
        <f>SUMIF(Mercado_Receita!$S$2:$S$2578,"44440A4GeraçãoNão se aplicaNão se aplicaNão se aplicaNão se aplicaNão se aplica",Mercado_Receita!$J$2:$J$2578)+SUMIF(Mercado_Receita!$S$2:$S$2578,"44440A4GeraçãoNão se aplicaNão se aplicaAPENão se aplicaNão se aplica",Mercado_Receita!$J$2:$J$2578)</f>
        <v>0</v>
      </c>
      <c r="T11" s="12">
        <f>SUMIF(Mercado_Receita!$S$2:$S$2578,"44470A4GeraçãoNão se aplicaNão se aplicaNão se aplicaNão se aplicaNão se aplica",Mercado_Receita!$J$2:$J$2578)+SUMIF(Mercado_Receita!$S$2:$S$2578,"44470A4GeraçãoNão se aplicaNão se aplicaAPENão se aplicaNão se aplica",Mercado_Receita!$J$2:$J$2578)</f>
        <v>0</v>
      </c>
      <c r="U11" s="12">
        <f t="shared" si="0"/>
        <v>0</v>
      </c>
      <c r="V11" s="12"/>
      <c r="W11" s="12"/>
    </row>
    <row r="12" spans="1:30" ht="11.25" customHeight="1" x14ac:dyDescent="0.25">
      <c r="A12" s="110"/>
      <c r="B12" s="109" t="s">
        <v>36</v>
      </c>
      <c r="C12" s="109" t="s">
        <v>25</v>
      </c>
      <c r="D12" s="109" t="s">
        <v>25</v>
      </c>
      <c r="E12" s="109" t="s">
        <v>25</v>
      </c>
      <c r="F12" s="109" t="s">
        <v>25</v>
      </c>
      <c r="G12" s="12" t="s">
        <v>9</v>
      </c>
      <c r="H12" s="12" t="s">
        <v>89</v>
      </c>
      <c r="I12" s="12">
        <f>SUMIF(Mercado_Receita!$S$2:$S$2578,"44136A4VerdeNão se aplicaNão se aplicaNão se aplicaNão se aplicaNão se aplica",Mercado_Receita!$J$2:$J$2578)+SUMIF(Mercado_Receita!$S$2:$S$2578,"44136A4VerdeNão se aplicaNão se aplicaAPENão se aplicaNão se aplica",Mercado_Receita!$J$2:$J$2578)</f>
        <v>525836</v>
      </c>
      <c r="J12" s="12">
        <f>SUMIF(Mercado_Receita!$S$2:$S$2578,"44166A4VerdeNão se aplicaNão se aplicaNão se aplicaNão se aplicaNão se aplica",Mercado_Receita!$J$2:$J$2578)+SUMIF(Mercado_Receita!$S$2:$S$2578,"44166A4VerdeNão se aplicaNão se aplicaAPENão se aplicaNão se aplica",Mercado_Receita!$J$2:$J$2578)</f>
        <v>519402</v>
      </c>
      <c r="K12" s="12">
        <f>SUMIF(Mercado_Receita!$S$2:$S$2578,"44197A4VerdeNão se aplicaNão se aplicaNão se aplicaNão se aplicaNão se aplica",Mercado_Receita!$J$2:$J$2578)+SUMIF(Mercado_Receita!$S$2:$S$2578,"44197A4VerdeNão se aplicaNão se aplicaAPENão se aplicaNão se aplica",Mercado_Receita!$J$2:$J$2578)</f>
        <v>505346</v>
      </c>
      <c r="L12" s="12">
        <f>SUMIF(Mercado_Receita!$S$2:$S$2578,"44228A4VerdeNão se aplicaNão se aplicaNão se aplicaNão se aplicaNão se aplica",Mercado_Receita!$J$2:$J$2578)+SUMIF(Mercado_Receita!$S$2:$S$2578,"44228A4VerdeNão se aplicaNão se aplicaAPENão se aplicaNão se aplica",Mercado_Receita!$J$2:$J$2578)</f>
        <v>506004</v>
      </c>
      <c r="M12" s="12">
        <f>SUMIF(Mercado_Receita!$S$2:$S$2578,"44256A4VerdeNão se aplicaNão se aplicaNão se aplicaNão se aplicaNão se aplica",Mercado_Receita!$J$2:$J$2578)+SUMIF(Mercado_Receita!$S$2:$S$2578,"44256A4VerdeNão se aplicaNão se aplicaAPENão se aplicaNão se aplica",Mercado_Receita!$J$2:$J$2578)</f>
        <v>483614</v>
      </c>
      <c r="N12" s="12">
        <f>SUMIF(Mercado_Receita!$S$2:$S$2578,"44287A4VerdeNão se aplicaNão se aplicaNão se aplicaNão se aplicaNão se aplica",Mercado_Receita!$J$2:$J$2578)+SUMIF(Mercado_Receita!$S$2:$S$2578,"44287A4VerdeNão se aplicaNão se aplicaAPENão se aplicaNão se aplica",Mercado_Receita!$J$2:$J$2578)</f>
        <v>490086</v>
      </c>
      <c r="O12" s="12">
        <f>SUMIF(Mercado_Receita!$S$2:$S$2578,"44317A4VerdeNão se aplicaNão se aplicaNão se aplicaNão se aplicaNão se aplica",Mercado_Receita!$J$2:$J$2578)+SUMIF(Mercado_Receita!$S$2:$S$2578,"44317A4VerdeNão se aplicaNão se aplicaAPENão se aplicaNão se aplica",Mercado_Receita!$J$2:$J$2578)</f>
        <v>512409</v>
      </c>
      <c r="P12" s="12">
        <f>SUMIF(Mercado_Receita!$S$2:$S$2578,"44348A4VerdeNão se aplicaNão se aplicaNão se aplicaNão se aplicaNão se aplica",Mercado_Receita!$J$2:$J$2578)+SUMIF(Mercado_Receita!$S$2:$S$2578,"44348A4VerdeNão se aplicaNão se aplicaAPENão se aplicaNão se aplica",Mercado_Receita!$J$2:$J$2578)</f>
        <v>508657</v>
      </c>
      <c r="Q12" s="12">
        <f>SUMIF(Mercado_Receita!$S$2:$S$2578,"44378A4VerdeNão se aplicaNão se aplicaNão se aplicaNão se aplicaNão se aplica",Mercado_Receita!$J$2:$J$2578)+SUMIF(Mercado_Receita!$S$2:$S$2578,"44378A4VerdeNão se aplicaNão se aplicaAPENão se aplicaNão se aplica",Mercado_Receita!$J$2:$J$2578)</f>
        <v>524549</v>
      </c>
      <c r="R12" s="12">
        <f>SUMIF(Mercado_Receita!$S$2:$S$2578,"44409A4VerdeNão se aplicaNão se aplicaNão se aplicaNão se aplicaNão se aplica",Mercado_Receita!$J$2:$J$2578)+SUMIF(Mercado_Receita!$S$2:$S$2578,"44409A4VerdeNão se aplicaNão se aplicaAPENão se aplicaNão se aplica",Mercado_Receita!$J$2:$J$2578)</f>
        <v>517928</v>
      </c>
      <c r="S12" s="12">
        <f>SUMIF(Mercado_Receita!$S$2:$S$2578,"44440A4VerdeNão se aplicaNão se aplicaNão se aplicaNão se aplicaNão se aplica",Mercado_Receita!$J$2:$J$2578)+SUMIF(Mercado_Receita!$S$2:$S$2578,"44440A4VerdeNão se aplicaNão se aplicaAPENão se aplicaNão se aplica",Mercado_Receita!$J$2:$J$2578)</f>
        <v>517063</v>
      </c>
      <c r="T12" s="12">
        <f>SUMIF(Mercado_Receita!$S$2:$S$2578,"44470A4VerdeNão se aplicaNão se aplicaNão se aplicaNão se aplicaNão se aplica",Mercado_Receita!$J$2:$J$2578)+SUMIF(Mercado_Receita!$S$2:$S$2578,"44470A4VerdeNão se aplicaNão se aplicaAPENão se aplicaNão se aplica",Mercado_Receita!$J$2:$J$2578)</f>
        <v>517063</v>
      </c>
      <c r="U12" s="12">
        <f t="shared" si="0"/>
        <v>6127957</v>
      </c>
      <c r="V12" s="12"/>
      <c r="W12" s="12"/>
    </row>
    <row r="13" spans="1:30" ht="11.25" customHeight="1" x14ac:dyDescent="0.25">
      <c r="A13" s="110"/>
      <c r="B13" s="110"/>
      <c r="C13" s="110"/>
      <c r="D13" s="110"/>
      <c r="E13" s="110"/>
      <c r="F13" s="110"/>
      <c r="G13" s="12" t="s">
        <v>87</v>
      </c>
      <c r="H13" s="12" t="s">
        <v>86</v>
      </c>
      <c r="I13" s="12">
        <f>SUMIF(Mercado_Receita!$S$2:$S$2578,"44136A4VerdeNão se aplicaNão se aplicaNão se aplicaNão se aplicaPonta",Mercado_Receita!$L$2:$L$2578)</f>
        <v>8076.4920000000002</v>
      </c>
      <c r="J13" s="12">
        <f>SUMIF(Mercado_Receita!$S$2:$S$2578,"44166A4VerdeNão se aplicaNão se aplicaNão se aplicaNão se aplicaPonta",Mercado_Receita!$L$2:$L$2578)</f>
        <v>7957.8440000000001</v>
      </c>
      <c r="K13" s="12">
        <f>SUMIF(Mercado_Receita!$S$2:$S$2578,"44197A4VerdeNão se aplicaNão se aplicaNão se aplicaNão se aplicaPonta",Mercado_Receita!$L$2:$L$2578)</f>
        <v>5781.5290000000023</v>
      </c>
      <c r="L13" s="12">
        <f>SUMIF(Mercado_Receita!$S$2:$S$2578,"44228A4VerdeNão se aplicaNão se aplicaNão se aplicaNão se aplicaPonta",Mercado_Receita!$L$2:$L$2578)</f>
        <v>5658.7150000000001</v>
      </c>
      <c r="M13" s="12">
        <f>SUMIF(Mercado_Receita!$S$2:$S$2578,"44256A4VerdeNão se aplicaNão se aplicaNão se aplicaNão se aplicaPonta",Mercado_Receita!$L$2:$L$2578)</f>
        <v>7753.3560000000016</v>
      </c>
      <c r="N13" s="12">
        <f>SUMIF(Mercado_Receita!$S$2:$S$2578,"44287A4VerdeNão se aplicaNão se aplicaNão se aplicaNão se aplicaPonta",Mercado_Receita!$L$2:$L$2578)</f>
        <v>7229.1310000000012</v>
      </c>
      <c r="O13" s="12">
        <f>SUMIF(Mercado_Receita!$S$2:$S$2578,"44317A4VerdeNão se aplicaNão se aplicaNão se aplicaNão se aplicaPonta",Mercado_Receita!$L$2:$L$2578)</f>
        <v>7903.0789999999988</v>
      </c>
      <c r="P13" s="12">
        <f>SUMIF(Mercado_Receita!$S$2:$S$2578,"44348A4VerdeNão se aplicaNão se aplicaNão se aplicaNão se aplicaPonta",Mercado_Receita!$L$2:$L$2578)</f>
        <v>6676.9990000000007</v>
      </c>
      <c r="Q13" s="12">
        <f>SUMIF(Mercado_Receita!$S$2:$S$2578,"44378A4VerdeNão se aplicaNão se aplicaNão se aplicaNão se aplicaPonta",Mercado_Receita!$L$2:$L$2578)</f>
        <v>8591.5840000000007</v>
      </c>
      <c r="R13" s="12">
        <f>SUMIF(Mercado_Receita!$S$2:$S$2578,"44409A4VerdeNão se aplicaNão se aplicaNão se aplicaNão se aplicaPonta",Mercado_Receita!$L$2:$L$2578)</f>
        <v>8880.3240000000005</v>
      </c>
      <c r="S13" s="12">
        <f>SUMIF(Mercado_Receita!$S$2:$S$2578,"44440A4VerdeNão se aplicaNão se aplicaNão se aplicaNão se aplicaPonta",Mercado_Receita!$L$2:$L$2578)</f>
        <v>8408.5000000000018</v>
      </c>
      <c r="T13" s="12">
        <f>SUMIF(Mercado_Receita!$S$2:$S$2578,"44470A4VerdeNão se aplicaNão se aplicaNão se aplicaNão se aplicaPonta",Mercado_Receita!$L$2:$L$2578)</f>
        <v>8408.5000000000018</v>
      </c>
      <c r="U13" s="12">
        <f t="shared" si="0"/>
        <v>91326.053000000014</v>
      </c>
      <c r="V13" s="12"/>
      <c r="W13" s="12"/>
    </row>
    <row r="14" spans="1:30" ht="11.25" customHeight="1" x14ac:dyDescent="0.25">
      <c r="A14" s="110"/>
      <c r="B14" s="110"/>
      <c r="C14" s="110"/>
      <c r="D14" s="110"/>
      <c r="E14" s="110"/>
      <c r="F14" s="110"/>
      <c r="G14" s="12" t="s">
        <v>88</v>
      </c>
      <c r="H14" s="12" t="s">
        <v>86</v>
      </c>
      <c r="I14" s="12">
        <f>SUMIF(Mercado_Receita!$S$2:$S$2578,"44136A4VerdeNão se aplicaNão se aplicaNão se aplicaNão se aplicaFora ponta",Mercado_Receita!$L$2:$L$2578)</f>
        <v>97682.771000000022</v>
      </c>
      <c r="J14" s="12">
        <f>SUMIF(Mercado_Receita!$S$2:$S$2578,"44166A4VerdeNão se aplicaNão se aplicaNão se aplicaNão se aplicaFora ponta",Mercado_Receita!$L$2:$L$2578)</f>
        <v>93452.698999999979</v>
      </c>
      <c r="K14" s="12">
        <f>SUMIF(Mercado_Receita!$S$2:$S$2578,"44197A4VerdeNão se aplicaNão se aplicaNão se aplicaNão se aplicaFora ponta",Mercado_Receita!$L$2:$L$2578)</f>
        <v>78173.145000000019</v>
      </c>
      <c r="L14" s="12">
        <f>SUMIF(Mercado_Receita!$S$2:$S$2578,"44228A4VerdeNão se aplicaNão se aplicaNão se aplicaNão se aplicaFora ponta",Mercado_Receita!$L$2:$L$2578)</f>
        <v>77050.030999999988</v>
      </c>
      <c r="M14" s="12">
        <f>SUMIF(Mercado_Receita!$S$2:$S$2578,"44256A4VerdeNão se aplicaNão se aplicaNão se aplicaNão se aplicaFora ponta",Mercado_Receita!$L$2:$L$2578)</f>
        <v>92499.47699999997</v>
      </c>
      <c r="N14" s="12">
        <f>SUMIF(Mercado_Receita!$S$2:$S$2578,"44287A4VerdeNão se aplicaNão se aplicaNão se aplicaNão se aplicaFora ponta",Mercado_Receita!$L$2:$L$2578)</f>
        <v>91816.1</v>
      </c>
      <c r="O14" s="12">
        <f>SUMIF(Mercado_Receita!$S$2:$S$2578,"44317A4VerdeNão se aplicaNão se aplicaNão se aplicaNão se aplicaFora ponta",Mercado_Receita!$L$2:$L$2578)</f>
        <v>97613.430999999982</v>
      </c>
      <c r="P14" s="12">
        <f>SUMIF(Mercado_Receita!$S$2:$S$2578,"44348A4VerdeNão se aplicaNão se aplicaNão se aplicaNão se aplicaFora ponta",Mercado_Receita!$L$2:$L$2578)</f>
        <v>89810.725999999995</v>
      </c>
      <c r="Q14" s="12">
        <f>SUMIF(Mercado_Receita!$S$2:$S$2578,"44378A4VerdeNão se aplicaNão se aplicaNão se aplicaNão se aplicaFora ponta",Mercado_Receita!$L$2:$L$2578)</f>
        <v>104686.22199999998</v>
      </c>
      <c r="R14" s="12">
        <f>SUMIF(Mercado_Receita!$S$2:$S$2578,"44409A4VerdeNão se aplicaNão se aplicaNão se aplicaNão se aplicaFora ponta",Mercado_Receita!$L$2:$L$2578)</f>
        <v>108517.47999999998</v>
      </c>
      <c r="S14" s="12">
        <f>SUMIF(Mercado_Receita!$S$2:$S$2578,"44440A4VerdeNão se aplicaNão se aplicaNão se aplicaNão se aplicaFora ponta",Mercado_Receita!$L$2:$L$2578)</f>
        <v>105603.13200000003</v>
      </c>
      <c r="T14" s="12">
        <f>SUMIF(Mercado_Receita!$S$2:$S$2578,"44470A4VerdeNão se aplicaNão se aplicaNão se aplicaNão se aplicaFora ponta",Mercado_Receita!$L$2:$L$2578)</f>
        <v>105603.13200000003</v>
      </c>
      <c r="U14" s="12">
        <f t="shared" si="0"/>
        <v>1142508.3459999999</v>
      </c>
      <c r="V14" s="12"/>
      <c r="W14" s="12"/>
    </row>
    <row r="15" spans="1:30" ht="11.25" customHeight="1" x14ac:dyDescent="0.25">
      <c r="A15" s="110"/>
      <c r="B15" s="110"/>
      <c r="C15" s="110"/>
      <c r="D15" s="110"/>
      <c r="E15" s="109" t="s">
        <v>93</v>
      </c>
      <c r="F15" s="109" t="s">
        <v>25</v>
      </c>
      <c r="G15" s="12" t="s">
        <v>87</v>
      </c>
      <c r="H15" s="12" t="s">
        <v>86</v>
      </c>
      <c r="I15" s="12">
        <f>SUMIF(Mercado_Receita!$S$2:$S$2578,"44136A4VerdeNão se aplicaNão se aplicaAPENão se aplicaPonta",Mercado_Receita!$L$2:$L$2578)</f>
        <v>0</v>
      </c>
      <c r="J15" s="12">
        <f>SUMIF(Mercado_Receita!$S$2:$S$2578,"44166A4VerdeNão se aplicaNão se aplicaAPENão se aplicaPonta",Mercado_Receita!$L$2:$L$2578)</f>
        <v>0</v>
      </c>
      <c r="K15" s="12">
        <f>SUMIF(Mercado_Receita!$S$2:$S$2578,"44197A4VerdeNão se aplicaNão se aplicaAPENão se aplicaPonta",Mercado_Receita!$L$2:$L$2578)</f>
        <v>0</v>
      </c>
      <c r="L15" s="12">
        <f>SUMIF(Mercado_Receita!$S$2:$S$2578,"44228A4VerdeNão se aplicaNão se aplicaAPENão se aplicaPonta",Mercado_Receita!$L$2:$L$2578)</f>
        <v>0</v>
      </c>
      <c r="M15" s="12">
        <f>SUMIF(Mercado_Receita!$S$2:$S$2578,"44256A4VerdeNão se aplicaNão se aplicaAPENão se aplicaPonta",Mercado_Receita!$L$2:$L$2578)</f>
        <v>0</v>
      </c>
      <c r="N15" s="12">
        <f>SUMIF(Mercado_Receita!$S$2:$S$2578,"44287A4VerdeNão se aplicaNão se aplicaAPENão se aplicaPonta",Mercado_Receita!$L$2:$L$2578)</f>
        <v>0</v>
      </c>
      <c r="O15" s="12">
        <f>SUMIF(Mercado_Receita!$S$2:$S$2578,"44317A4VerdeNão se aplicaNão se aplicaAPENão se aplicaPonta",Mercado_Receita!$L$2:$L$2578)</f>
        <v>0</v>
      </c>
      <c r="P15" s="12">
        <f>SUMIF(Mercado_Receita!$S$2:$S$2578,"44348A4VerdeNão se aplicaNão se aplicaAPENão se aplicaPonta",Mercado_Receita!$L$2:$L$2578)</f>
        <v>0</v>
      </c>
      <c r="Q15" s="12">
        <f>SUMIF(Mercado_Receita!$S$2:$S$2578,"44378A4VerdeNão se aplicaNão se aplicaAPENão se aplicaPonta",Mercado_Receita!$L$2:$L$2578)</f>
        <v>0</v>
      </c>
      <c r="R15" s="12">
        <f>SUMIF(Mercado_Receita!$S$2:$S$2578,"44409A4VerdeNão se aplicaNão se aplicaAPENão se aplicaPonta",Mercado_Receita!$L$2:$L$2578)</f>
        <v>0</v>
      </c>
      <c r="S15" s="12">
        <f>SUMIF(Mercado_Receita!$S$2:$S$2578,"44440A4VerdeNão se aplicaNão se aplicaAPENão se aplicaPonta",Mercado_Receita!$L$2:$L$2578)</f>
        <v>0</v>
      </c>
      <c r="T15" s="12">
        <f>SUMIF(Mercado_Receita!$S$2:$S$2578,"44470A4VerdeNão se aplicaNão se aplicaAPENão se aplicaPonta",Mercado_Receita!$L$2:$L$2578)</f>
        <v>0</v>
      </c>
      <c r="U15" s="12">
        <f t="shared" si="0"/>
        <v>0</v>
      </c>
      <c r="V15" s="12"/>
      <c r="W15" s="12"/>
    </row>
    <row r="16" spans="1:30" ht="11.25" customHeight="1" x14ac:dyDescent="0.25">
      <c r="A16" s="110"/>
      <c r="B16" s="110"/>
      <c r="C16" s="110"/>
      <c r="D16" s="110"/>
      <c r="E16" s="110"/>
      <c r="F16" s="110"/>
      <c r="G16" s="12" t="s">
        <v>88</v>
      </c>
      <c r="H16" s="12" t="s">
        <v>86</v>
      </c>
      <c r="I16" s="12">
        <f>SUMIF(Mercado_Receita!$S$2:$S$2578,"44136A4VerdeNão se aplicaNão se aplicaAPENão se aplicaFora ponta",Mercado_Receita!$L$2:$L$2578)</f>
        <v>0</v>
      </c>
      <c r="J16" s="12">
        <f>SUMIF(Mercado_Receita!$S$2:$S$2578,"44166A4VerdeNão se aplicaNão se aplicaAPENão se aplicaFora ponta",Mercado_Receita!$L$2:$L$2578)</f>
        <v>0</v>
      </c>
      <c r="K16" s="12">
        <f>SUMIF(Mercado_Receita!$S$2:$S$2578,"44197A4VerdeNão se aplicaNão se aplicaAPENão se aplicaFora ponta",Mercado_Receita!$L$2:$L$2578)</f>
        <v>0</v>
      </c>
      <c r="L16" s="12">
        <f>SUMIF(Mercado_Receita!$S$2:$S$2578,"44228A4VerdeNão se aplicaNão se aplicaAPENão se aplicaFora ponta",Mercado_Receita!$L$2:$L$2578)</f>
        <v>0</v>
      </c>
      <c r="M16" s="12">
        <f>SUMIF(Mercado_Receita!$S$2:$S$2578,"44256A4VerdeNão se aplicaNão se aplicaAPENão se aplicaFora ponta",Mercado_Receita!$L$2:$L$2578)</f>
        <v>0</v>
      </c>
      <c r="N16" s="12">
        <f>SUMIF(Mercado_Receita!$S$2:$S$2578,"44287A4VerdeNão se aplicaNão se aplicaAPENão se aplicaFora ponta",Mercado_Receita!$L$2:$L$2578)</f>
        <v>0</v>
      </c>
      <c r="O16" s="12">
        <f>SUMIF(Mercado_Receita!$S$2:$S$2578,"44317A4VerdeNão se aplicaNão se aplicaAPENão se aplicaFora ponta",Mercado_Receita!$L$2:$L$2578)</f>
        <v>0</v>
      </c>
      <c r="P16" s="12">
        <f>SUMIF(Mercado_Receita!$S$2:$S$2578,"44348A4VerdeNão se aplicaNão se aplicaAPENão se aplicaFora ponta",Mercado_Receita!$L$2:$L$2578)</f>
        <v>0</v>
      </c>
      <c r="Q16" s="12">
        <f>SUMIF(Mercado_Receita!$S$2:$S$2578,"44378A4VerdeNão se aplicaNão se aplicaAPENão se aplicaFora ponta",Mercado_Receita!$L$2:$L$2578)</f>
        <v>0</v>
      </c>
      <c r="R16" s="12">
        <f>SUMIF(Mercado_Receita!$S$2:$S$2578,"44409A4VerdeNão se aplicaNão se aplicaAPENão se aplicaFora ponta",Mercado_Receita!$L$2:$L$2578)</f>
        <v>0</v>
      </c>
      <c r="S16" s="12">
        <f>SUMIF(Mercado_Receita!$S$2:$S$2578,"44440A4VerdeNão se aplicaNão se aplicaAPENão se aplicaFora ponta",Mercado_Receita!$L$2:$L$2578)</f>
        <v>0</v>
      </c>
      <c r="T16" s="12">
        <f>SUMIF(Mercado_Receita!$S$2:$S$2578,"44470A4VerdeNão se aplicaNão se aplicaAPENão se aplicaFora ponta",Mercado_Receita!$L$2:$L$2578)</f>
        <v>0</v>
      </c>
      <c r="U16" s="12">
        <f t="shared" si="0"/>
        <v>0</v>
      </c>
      <c r="V16" s="12"/>
      <c r="W16" s="12"/>
    </row>
    <row r="17" spans="1:23" ht="11.25" customHeight="1" x14ac:dyDescent="0.25">
      <c r="A17" s="109" t="s">
        <v>95</v>
      </c>
      <c r="B17" s="109" t="s">
        <v>63</v>
      </c>
      <c r="C17" s="109" t="s">
        <v>25</v>
      </c>
      <c r="D17" s="109" t="s">
        <v>25</v>
      </c>
      <c r="E17" s="13" t="s">
        <v>96</v>
      </c>
      <c r="F17" s="13" t="s">
        <v>25</v>
      </c>
      <c r="G17" s="12" t="s">
        <v>9</v>
      </c>
      <c r="H17" s="12" t="s">
        <v>89</v>
      </c>
      <c r="I17" s="12">
        <f>SUMIF(Mercado_Receita!$S$2:$S$2578,"44136BGeraçãoNão se aplicaNão se aplicaTIPO 01Não se aplicaNão se aplica",Mercado_Receita!$J$2:$J$2578)+SUMIF(Mercado_Receita!$S$2:$S$2578,"44136BGeraçãoNão se aplicaNão se aplicaAPENão se aplicaNão se aplica",Mercado_Receita!$J$2:$J$2578)</f>
        <v>0</v>
      </c>
      <c r="J17" s="12">
        <f>SUMIF(Mercado_Receita!$S$2:$S$2578,"44166BGeraçãoNão se aplicaNão se aplicaTIPO 01Não se aplicaNão se aplica",Mercado_Receita!$J$2:$J$2578)+SUMIF(Mercado_Receita!$S$2:$S$2578,"44166BGeraçãoNão se aplicaNão se aplicaAPENão se aplicaNão se aplica",Mercado_Receita!$J$2:$J$2578)</f>
        <v>0</v>
      </c>
      <c r="K17" s="12">
        <f>SUMIF(Mercado_Receita!$S$2:$S$2578,"44197BGeraçãoNão se aplicaNão se aplicaTIPO 01Não se aplicaNão se aplica",Mercado_Receita!$J$2:$J$2578)+SUMIF(Mercado_Receita!$S$2:$S$2578,"44197BGeraçãoNão se aplicaNão se aplicaAPENão se aplicaNão se aplica",Mercado_Receita!$J$2:$J$2578)</f>
        <v>0</v>
      </c>
      <c r="L17" s="12">
        <f>SUMIF(Mercado_Receita!$S$2:$S$2578,"44228BGeraçãoNão se aplicaNão se aplicaTIPO 01Não se aplicaNão se aplica",Mercado_Receita!$J$2:$J$2578)+SUMIF(Mercado_Receita!$S$2:$S$2578,"44228BGeraçãoNão se aplicaNão se aplicaAPENão se aplicaNão se aplica",Mercado_Receita!$J$2:$J$2578)</f>
        <v>0</v>
      </c>
      <c r="M17" s="12">
        <f>SUMIF(Mercado_Receita!$S$2:$S$2578,"44256BGeraçãoNão se aplicaNão se aplicaTIPO 01Não se aplicaNão se aplica",Mercado_Receita!$J$2:$J$2578)+SUMIF(Mercado_Receita!$S$2:$S$2578,"44256BGeraçãoNão se aplicaNão se aplicaAPENão se aplicaNão se aplica",Mercado_Receita!$J$2:$J$2578)</f>
        <v>0</v>
      </c>
      <c r="N17" s="12">
        <f>SUMIF(Mercado_Receita!$S$2:$S$2578,"44287BGeraçãoNão se aplicaNão se aplicaTIPO 01Não se aplicaNão se aplica",Mercado_Receita!$J$2:$J$2578)+SUMIF(Mercado_Receita!$S$2:$S$2578,"44287BGeraçãoNão se aplicaNão se aplicaAPENão se aplicaNão se aplica",Mercado_Receita!$J$2:$J$2578)</f>
        <v>0</v>
      </c>
      <c r="O17" s="12">
        <f>SUMIF(Mercado_Receita!$S$2:$S$2578,"44317BGeraçãoNão se aplicaNão se aplicaTIPO 01Não se aplicaNão se aplica",Mercado_Receita!$J$2:$J$2578)+SUMIF(Mercado_Receita!$S$2:$S$2578,"44317BGeraçãoNão se aplicaNão se aplicaAPENão se aplicaNão se aplica",Mercado_Receita!$J$2:$J$2578)</f>
        <v>0</v>
      </c>
      <c r="P17" s="12">
        <f>SUMIF(Mercado_Receita!$S$2:$S$2578,"44348BGeraçãoNão se aplicaNão se aplicaTIPO 01Não se aplicaNão se aplica",Mercado_Receita!$J$2:$J$2578)+SUMIF(Mercado_Receita!$S$2:$S$2578,"44348BGeraçãoNão se aplicaNão se aplicaAPENão se aplicaNão se aplica",Mercado_Receita!$J$2:$J$2578)</f>
        <v>0</v>
      </c>
      <c r="Q17" s="12">
        <f>SUMIF(Mercado_Receita!$S$2:$S$2578,"44378BGeraçãoNão se aplicaNão se aplicaTIPO 01Não se aplicaNão se aplica",Mercado_Receita!$J$2:$J$2578)+SUMIF(Mercado_Receita!$S$2:$S$2578,"44378BGeraçãoNão se aplicaNão se aplicaAPENão se aplicaNão se aplica",Mercado_Receita!$J$2:$J$2578)</f>
        <v>0</v>
      </c>
      <c r="R17" s="12">
        <f>SUMIF(Mercado_Receita!$S$2:$S$2578,"44409BGeraçãoNão se aplicaNão se aplicaTIPO 01Não se aplicaNão se aplica",Mercado_Receita!$J$2:$J$2578)+SUMIF(Mercado_Receita!$S$2:$S$2578,"44409BGeraçãoNão se aplicaNão se aplicaAPENão se aplicaNão se aplica",Mercado_Receita!$J$2:$J$2578)</f>
        <v>0</v>
      </c>
      <c r="S17" s="12">
        <f>SUMIF(Mercado_Receita!$S$2:$S$2578,"44440BGeraçãoNão se aplicaNão se aplicaTIPO 01Não se aplicaNão se aplica",Mercado_Receita!$J$2:$J$2578)+SUMIF(Mercado_Receita!$S$2:$S$2578,"44440BGeraçãoNão se aplicaNão se aplicaAPENão se aplicaNão se aplica",Mercado_Receita!$J$2:$J$2578)</f>
        <v>0</v>
      </c>
      <c r="T17" s="12">
        <f>SUMIF(Mercado_Receita!$S$2:$S$2578,"44470BGeraçãoNão se aplicaNão se aplicaTIPO 01Não se aplicaNão se aplica",Mercado_Receita!$J$2:$J$2578)+SUMIF(Mercado_Receita!$S$2:$S$2578,"44470BGeraçãoNão se aplicaNão se aplicaAPENão se aplicaNão se aplica",Mercado_Receita!$J$2:$J$2578)</f>
        <v>0</v>
      </c>
      <c r="U17" s="12">
        <f t="shared" si="0"/>
        <v>0</v>
      </c>
      <c r="V17" s="12"/>
      <c r="W17" s="12"/>
    </row>
    <row r="18" spans="1:23" ht="11.25" customHeight="1" x14ac:dyDescent="0.25">
      <c r="A18" s="110"/>
      <c r="B18" s="110"/>
      <c r="C18" s="110"/>
      <c r="D18" s="110"/>
      <c r="E18" s="13" t="s">
        <v>97</v>
      </c>
      <c r="F18" s="13" t="s">
        <v>25</v>
      </c>
      <c r="G18" s="12" t="s">
        <v>9</v>
      </c>
      <c r="H18" s="12" t="s">
        <v>89</v>
      </c>
      <c r="I18" s="12">
        <f>SUMIF(Mercado_Receita!$S$2:$S$2578,"44136BGeraçãoNão se aplicaNão se aplicaTIPO 02Não se aplicaNão se aplica",Mercado_Receita!$J$2:$J$2578)+SUMIF(Mercado_Receita!$S$2:$S$2578,"44136BGeraçãoNão se aplicaNão se aplicaAPENão se aplicaNão se aplica",Mercado_Receita!$J$2:$J$2578)</f>
        <v>0</v>
      </c>
      <c r="J18" s="12">
        <f>SUMIF(Mercado_Receita!$S$2:$S$2578,"44166BGeraçãoNão se aplicaNão se aplicaTIPO 02Não se aplicaNão se aplica",Mercado_Receita!$J$2:$J$2578)+SUMIF(Mercado_Receita!$S$2:$S$2578,"44166BGeraçãoNão se aplicaNão se aplicaAPENão se aplicaNão se aplica",Mercado_Receita!$J$2:$J$2578)</f>
        <v>0</v>
      </c>
      <c r="K18" s="12">
        <f>SUMIF(Mercado_Receita!$S$2:$S$2578,"44197BGeraçãoNão se aplicaNão se aplicaTIPO 02Não se aplicaNão se aplica",Mercado_Receita!$J$2:$J$2578)+SUMIF(Mercado_Receita!$S$2:$S$2578,"44197BGeraçãoNão se aplicaNão se aplicaAPENão se aplicaNão se aplica",Mercado_Receita!$J$2:$J$2578)</f>
        <v>0</v>
      </c>
      <c r="L18" s="12">
        <f>SUMIF(Mercado_Receita!$S$2:$S$2578,"44228BGeraçãoNão se aplicaNão se aplicaTIPO 02Não se aplicaNão se aplica",Mercado_Receita!$J$2:$J$2578)+SUMIF(Mercado_Receita!$S$2:$S$2578,"44228BGeraçãoNão se aplicaNão se aplicaAPENão se aplicaNão se aplica",Mercado_Receita!$J$2:$J$2578)</f>
        <v>0</v>
      </c>
      <c r="M18" s="12">
        <f>SUMIF(Mercado_Receita!$S$2:$S$2578,"44256BGeraçãoNão se aplicaNão se aplicaTIPO 02Não se aplicaNão se aplica",Mercado_Receita!$J$2:$J$2578)+SUMIF(Mercado_Receita!$S$2:$S$2578,"44256BGeraçãoNão se aplicaNão se aplicaAPENão se aplicaNão se aplica",Mercado_Receita!$J$2:$J$2578)</f>
        <v>0</v>
      </c>
      <c r="N18" s="12">
        <f>SUMIF(Mercado_Receita!$S$2:$S$2578,"44287BGeraçãoNão se aplicaNão se aplicaTIPO 02Não se aplicaNão se aplica",Mercado_Receita!$J$2:$J$2578)+SUMIF(Mercado_Receita!$S$2:$S$2578,"44287BGeraçãoNão se aplicaNão se aplicaAPENão se aplicaNão se aplica",Mercado_Receita!$J$2:$J$2578)</f>
        <v>0</v>
      </c>
      <c r="O18" s="12">
        <f>SUMIF(Mercado_Receita!$S$2:$S$2578,"44317BGeraçãoNão se aplicaNão se aplicaTIPO 02Não se aplicaNão se aplica",Mercado_Receita!$J$2:$J$2578)+SUMIF(Mercado_Receita!$S$2:$S$2578,"44317BGeraçãoNão se aplicaNão se aplicaAPENão se aplicaNão se aplica",Mercado_Receita!$J$2:$J$2578)</f>
        <v>0</v>
      </c>
      <c r="P18" s="12">
        <f>SUMIF(Mercado_Receita!$S$2:$S$2578,"44348BGeraçãoNão se aplicaNão se aplicaTIPO 02Não se aplicaNão se aplica",Mercado_Receita!$J$2:$J$2578)+SUMIF(Mercado_Receita!$S$2:$S$2578,"44348BGeraçãoNão se aplicaNão se aplicaAPENão se aplicaNão se aplica",Mercado_Receita!$J$2:$J$2578)</f>
        <v>0</v>
      </c>
      <c r="Q18" s="12">
        <f>SUMIF(Mercado_Receita!$S$2:$S$2578,"44378BGeraçãoNão se aplicaNão se aplicaTIPO 02Não se aplicaNão se aplica",Mercado_Receita!$J$2:$J$2578)+SUMIF(Mercado_Receita!$S$2:$S$2578,"44378BGeraçãoNão se aplicaNão se aplicaAPENão se aplicaNão se aplica",Mercado_Receita!$J$2:$J$2578)</f>
        <v>0</v>
      </c>
      <c r="R18" s="12">
        <f>SUMIF(Mercado_Receita!$S$2:$S$2578,"44409BGeraçãoNão se aplicaNão se aplicaTIPO 02Não se aplicaNão se aplica",Mercado_Receita!$J$2:$J$2578)+SUMIF(Mercado_Receita!$S$2:$S$2578,"44409BGeraçãoNão se aplicaNão se aplicaAPENão se aplicaNão se aplica",Mercado_Receita!$J$2:$J$2578)</f>
        <v>0</v>
      </c>
      <c r="S18" s="12">
        <f>SUMIF(Mercado_Receita!$S$2:$S$2578,"44440BGeraçãoNão se aplicaNão se aplicaTIPO 02Não se aplicaNão se aplica",Mercado_Receita!$J$2:$J$2578)+SUMIF(Mercado_Receita!$S$2:$S$2578,"44440BGeraçãoNão se aplicaNão se aplicaAPENão se aplicaNão se aplica",Mercado_Receita!$J$2:$J$2578)</f>
        <v>0</v>
      </c>
      <c r="T18" s="12">
        <f>SUMIF(Mercado_Receita!$S$2:$S$2578,"44470BGeraçãoNão se aplicaNão se aplicaTIPO 02Não se aplicaNão se aplica",Mercado_Receita!$J$2:$J$2578)+SUMIF(Mercado_Receita!$S$2:$S$2578,"44470BGeraçãoNão se aplicaNão se aplicaAPENão se aplicaNão se aplica",Mercado_Receita!$J$2:$J$2578)</f>
        <v>0</v>
      </c>
      <c r="U18" s="12">
        <f t="shared" si="0"/>
        <v>0</v>
      </c>
      <c r="V18" s="12"/>
      <c r="W18" s="12"/>
    </row>
    <row r="19" spans="1:23" ht="11.25" customHeight="1" x14ac:dyDescent="0.25">
      <c r="A19" s="109" t="s">
        <v>22</v>
      </c>
      <c r="B19" s="109" t="s">
        <v>39</v>
      </c>
      <c r="C19" s="109" t="s">
        <v>24</v>
      </c>
      <c r="D19" s="109" t="s">
        <v>24</v>
      </c>
      <c r="E19" s="109" t="s">
        <v>25</v>
      </c>
      <c r="F19" s="109" t="s">
        <v>25</v>
      </c>
      <c r="G19" s="12" t="s">
        <v>87</v>
      </c>
      <c r="H19" s="12" t="s">
        <v>86</v>
      </c>
      <c r="I19" s="12">
        <f>SUMIF(Mercado_Receita!$S$2:$S$2578,"44136B1BrancaResidencialResidencialNão se aplicaNão se aplicaPonta",Mercado_Receita!$L$2:$L$2578)</f>
        <v>-1.6570000000000007</v>
      </c>
      <c r="J19" s="12">
        <f>SUMIF(Mercado_Receita!$S$2:$S$2578,"44166B1BrancaResidencialResidencialNão se aplicaNão se aplicaPonta",Mercado_Receita!$L$2:$L$2578)</f>
        <v>-3.3060000000000005</v>
      </c>
      <c r="K19" s="12">
        <f>SUMIF(Mercado_Receita!$S$2:$S$2578,"44197B1BrancaResidencialResidencialNão se aplicaNão se aplicaPonta",Mercado_Receita!$L$2:$L$2578)</f>
        <v>3.4490000000000003</v>
      </c>
      <c r="L19" s="12">
        <f>SUMIF(Mercado_Receita!$S$2:$S$2578,"44228B1BrancaResidencialResidencialNão se aplicaNão se aplicaPonta",Mercado_Receita!$L$2:$L$2578)</f>
        <v>3.093</v>
      </c>
      <c r="M19" s="12">
        <f>SUMIF(Mercado_Receita!$S$2:$S$2578,"44256B1BrancaResidencialResidencialNão se aplicaNão se aplicaPonta",Mercado_Receita!$L$2:$L$2578)</f>
        <v>3.5100000000000002</v>
      </c>
      <c r="N19" s="12">
        <f>SUMIF(Mercado_Receita!$S$2:$S$2578,"44287B1BrancaResidencialResidencialNão se aplicaNão se aplicaPonta",Mercado_Receita!$L$2:$L$2578)</f>
        <v>3.91</v>
      </c>
      <c r="O19" s="12">
        <f>SUMIF(Mercado_Receita!$S$2:$S$2578,"44317B1BrancaResidencialResidencialNão se aplicaNão se aplicaPonta",Mercado_Receita!$L$2:$L$2578)</f>
        <v>3.6560000000000001</v>
      </c>
      <c r="P19" s="12">
        <f>SUMIF(Mercado_Receita!$S$2:$S$2578,"44348B1BrancaResidencialResidencialNão se aplicaNão se aplicaPonta",Mercado_Receita!$L$2:$L$2578)</f>
        <v>4.2200000000000006</v>
      </c>
      <c r="Q19" s="12">
        <f>SUMIF(Mercado_Receita!$S$2:$S$2578,"44378B1BrancaResidencialResidencialNão se aplicaNão se aplicaPonta",Mercado_Receita!$L$2:$L$2578)</f>
        <v>3.8340000000000001</v>
      </c>
      <c r="R19" s="12">
        <f>SUMIF(Mercado_Receita!$S$2:$S$2578,"44409B1BrancaResidencialResidencialNão se aplicaNão se aplicaPonta",Mercado_Receita!$L$2:$L$2578)</f>
        <v>5.0149999999999997</v>
      </c>
      <c r="S19" s="12">
        <f>SUMIF(Mercado_Receita!$S$2:$S$2578,"44440B1BrancaResidencialResidencialNão se aplicaNão se aplicaPonta",Mercado_Receita!$L$2:$L$2578)</f>
        <v>2.9990000000000006</v>
      </c>
      <c r="T19" s="12">
        <f>SUMIF(Mercado_Receita!$S$2:$S$2578,"44470B1BrancaResidencialResidencialNão se aplicaNão se aplicaPonta",Mercado_Receita!$L$2:$L$2578)</f>
        <v>2.9990000000000006</v>
      </c>
      <c r="U19" s="12">
        <f t="shared" si="0"/>
        <v>31.722000000000001</v>
      </c>
      <c r="V19" s="12"/>
      <c r="W19" s="12"/>
    </row>
    <row r="20" spans="1:23" ht="11.25" customHeight="1" x14ac:dyDescent="0.25">
      <c r="A20" s="110"/>
      <c r="B20" s="110"/>
      <c r="C20" s="110"/>
      <c r="D20" s="110"/>
      <c r="E20" s="110"/>
      <c r="F20" s="110"/>
      <c r="G20" s="12" t="s">
        <v>98</v>
      </c>
      <c r="H20" s="12" t="s">
        <v>86</v>
      </c>
      <c r="I20" s="12">
        <f>SUMIF(Mercado_Receita!$S$2:$S$2578,"44136B1BrancaResidencialResidencialNão se aplicaNão se aplicaIntermediário",Mercado_Receita!$L$2:$L$2578)</f>
        <v>2.335</v>
      </c>
      <c r="J20" s="12">
        <f>SUMIF(Mercado_Receita!$S$2:$S$2578,"44166B1BrancaResidencialResidencialNão se aplicaNão se aplicaIntermediário",Mercado_Receita!$L$2:$L$2578)</f>
        <v>2.3319999999999999</v>
      </c>
      <c r="K20" s="12">
        <f>SUMIF(Mercado_Receita!$S$2:$S$2578,"44197B1BrancaResidencialResidencialNão se aplicaNão se aplicaIntermediário",Mercado_Receita!$L$2:$L$2578)</f>
        <v>2.3039999999999998</v>
      </c>
      <c r="L20" s="12">
        <f>SUMIF(Mercado_Receita!$S$2:$S$2578,"44228B1BrancaResidencialResidencialNão se aplicaNão se aplicaIntermediário",Mercado_Receita!$L$2:$L$2578)</f>
        <v>2.2400000000000002</v>
      </c>
      <c r="M20" s="12">
        <f>SUMIF(Mercado_Receita!$S$2:$S$2578,"44256B1BrancaResidencialResidencialNão se aplicaNão se aplicaIntermediário",Mercado_Receita!$L$2:$L$2578)</f>
        <v>2.3980000000000001</v>
      </c>
      <c r="N20" s="12">
        <f>SUMIF(Mercado_Receita!$S$2:$S$2578,"44287B1BrancaResidencialResidencialNão se aplicaNão se aplicaIntermediário",Mercado_Receita!$L$2:$L$2578)</f>
        <v>3.1509999999999998</v>
      </c>
      <c r="O20" s="12">
        <f>SUMIF(Mercado_Receita!$S$2:$S$2578,"44317B1BrancaResidencialResidencialNão se aplicaNão se aplicaIntermediário",Mercado_Receita!$L$2:$L$2578)</f>
        <v>2.34</v>
      </c>
      <c r="P20" s="12">
        <f>SUMIF(Mercado_Receita!$S$2:$S$2578,"44348B1BrancaResidencialResidencialNão se aplicaNão se aplicaIntermediário",Mercado_Receita!$L$2:$L$2578)</f>
        <v>2.9040000000000004</v>
      </c>
      <c r="Q20" s="12">
        <f>SUMIF(Mercado_Receita!$S$2:$S$2578,"44378B1BrancaResidencialResidencialNão se aplicaNão se aplicaIntermediário",Mercado_Receita!$L$2:$L$2578)</f>
        <v>2.694</v>
      </c>
      <c r="R20" s="12">
        <f>SUMIF(Mercado_Receita!$S$2:$S$2578,"44409B1BrancaResidencialResidencialNão se aplicaNão se aplicaIntermediário",Mercado_Receita!$L$2:$L$2578)</f>
        <v>2.81</v>
      </c>
      <c r="S20" s="12">
        <f>SUMIF(Mercado_Receita!$S$2:$S$2578,"44440B1BrancaResidencialResidencialNão se aplicaNão se aplicaIntermediário",Mercado_Receita!$L$2:$L$2578)</f>
        <v>2.8010000000000002</v>
      </c>
      <c r="T20" s="12">
        <f>SUMIF(Mercado_Receita!$S$2:$S$2578,"44470B1BrancaResidencialResidencialNão se aplicaNão se aplicaIntermediário",Mercado_Receita!$L$2:$L$2578)</f>
        <v>2.8010000000000002</v>
      </c>
      <c r="U20" s="12">
        <f t="shared" si="0"/>
        <v>31.11</v>
      </c>
      <c r="V20" s="12"/>
      <c r="W20" s="12"/>
    </row>
    <row r="21" spans="1:23" ht="11.25" customHeight="1" x14ac:dyDescent="0.25">
      <c r="A21" s="110"/>
      <c r="B21" s="110"/>
      <c r="C21" s="110"/>
      <c r="D21" s="110"/>
      <c r="E21" s="110"/>
      <c r="F21" s="110"/>
      <c r="G21" s="12" t="s">
        <v>88</v>
      </c>
      <c r="H21" s="12" t="s">
        <v>86</v>
      </c>
      <c r="I21" s="12">
        <f>SUMIF(Mercado_Receita!$S$2:$S$2578,"44136B1BrancaResidencialResidencialNão se aplicaNão se aplicaFora ponta",Mercado_Receita!$L$2:$L$2578)</f>
        <v>32.582000000000001</v>
      </c>
      <c r="J21" s="12">
        <f>SUMIF(Mercado_Receita!$S$2:$S$2578,"44166B1BrancaResidencialResidencialNão se aplicaNão se aplicaFora ponta",Mercado_Receita!$L$2:$L$2578)</f>
        <v>39.43</v>
      </c>
      <c r="K21" s="12">
        <f>SUMIF(Mercado_Receita!$S$2:$S$2578,"44197B1BrancaResidencialResidencialNão se aplicaNão se aplicaFora ponta",Mercado_Receita!$L$2:$L$2578)</f>
        <v>35.302000000000007</v>
      </c>
      <c r="L21" s="12">
        <f>SUMIF(Mercado_Receita!$S$2:$S$2578,"44228B1BrancaResidencialResidencialNão se aplicaNão se aplicaFora ponta",Mercado_Receita!$L$2:$L$2578)</f>
        <v>31.453999999999997</v>
      </c>
      <c r="M21" s="12">
        <f>SUMIF(Mercado_Receita!$S$2:$S$2578,"44256B1BrancaResidencialResidencialNão se aplicaNão se aplicaFora ponta",Mercado_Receita!$L$2:$L$2578)</f>
        <v>35.582999999999998</v>
      </c>
      <c r="N21" s="12">
        <f>SUMIF(Mercado_Receita!$S$2:$S$2578,"44287B1BrancaResidencialResidencialNão se aplicaNão se aplicaFora ponta",Mercado_Receita!$L$2:$L$2578)</f>
        <v>40.963000000000008</v>
      </c>
      <c r="O21" s="12">
        <f>SUMIF(Mercado_Receita!$S$2:$S$2578,"44317B1BrancaResidencialResidencialNão se aplicaNão se aplicaFora ponta",Mercado_Receita!$L$2:$L$2578)</f>
        <v>39.178000000000004</v>
      </c>
      <c r="P21" s="12">
        <f>SUMIF(Mercado_Receita!$S$2:$S$2578,"44348B1BrancaResidencialResidencialNão se aplicaNão se aplicaFora ponta",Mercado_Receita!$L$2:$L$2578)</f>
        <v>44.066000000000003</v>
      </c>
      <c r="Q21" s="12">
        <f>SUMIF(Mercado_Receita!$S$2:$S$2578,"44378B1BrancaResidencialResidencialNão se aplicaNão se aplicaFora ponta",Mercado_Receita!$L$2:$L$2578)</f>
        <v>41.753</v>
      </c>
      <c r="R21" s="12">
        <f>SUMIF(Mercado_Receita!$S$2:$S$2578,"44409B1BrancaResidencialResidencialNão se aplicaNão se aplicaFora ponta",Mercado_Receita!$L$2:$L$2578)</f>
        <v>43.991000000000007</v>
      </c>
      <c r="S21" s="12">
        <f>SUMIF(Mercado_Receita!$S$2:$S$2578,"44440B1BrancaResidencialResidencialNão se aplicaNão se aplicaFora ponta",Mercado_Receita!$L$2:$L$2578)</f>
        <v>43.864000000000004</v>
      </c>
      <c r="T21" s="12">
        <f>SUMIF(Mercado_Receita!$S$2:$S$2578,"44470B1BrancaResidencialResidencialNão se aplicaNão se aplicaFora ponta",Mercado_Receita!$L$2:$L$2578)</f>
        <v>43.864000000000004</v>
      </c>
      <c r="U21" s="12">
        <f t="shared" si="0"/>
        <v>472.03</v>
      </c>
      <c r="V21" s="12"/>
      <c r="W21" s="12"/>
    </row>
    <row r="22" spans="1:23" ht="11.25" customHeight="1" x14ac:dyDescent="0.25">
      <c r="A22" s="110"/>
      <c r="B22" s="109" t="s">
        <v>23</v>
      </c>
      <c r="C22" s="109" t="s">
        <v>24</v>
      </c>
      <c r="D22" s="13" t="s">
        <v>24</v>
      </c>
      <c r="E22" s="13" t="s">
        <v>25</v>
      </c>
      <c r="F22" s="13" t="s">
        <v>25</v>
      </c>
      <c r="G22" s="12" t="s">
        <v>92</v>
      </c>
      <c r="H22" s="12" t="s">
        <v>86</v>
      </c>
      <c r="I22" s="12">
        <f>SUMIF(Mercado_Receita!$S$2:$S$2578,"44136B1ConvencionalResidencialResidencialNão se aplicaNão se aplicaPonta",Mercado_Receita!$L$2:$L$2578)+SUMIF(Mercado_Receita!$S$2:$S$2578,"44136B1ConvencionalResidencialResidencialNão se aplicaNão se aplicaFora ponta",Mercado_Receita!$L$2:$L$2578)+SUMIF(Mercado_Receita!$S$2:$S$2578,"44136B1ConvencionalResidencialResidencialNão se aplicaNão se aplicaIntermediário",Mercado_Receita!$L$2:$L$2578)+SUMIF(Mercado_Receita!$S$2:$S$2578,"44136B1ConvencionalResidencialResidencialNão se aplicaNão se aplicaNão se aplica",Mercado_Receita!$L$2:$L$2578)</f>
        <v>159526.70799999998</v>
      </c>
      <c r="J22" s="12">
        <f>SUMIF(Mercado_Receita!$S$2:$S$2578,"44166B1ConvencionalResidencialResidencialNão se aplicaNão se aplicaPonta",Mercado_Receita!$L$2:$L$2578)+SUMIF(Mercado_Receita!$S$2:$S$2578,"44166B1ConvencionalResidencialResidencialNão se aplicaNão se aplicaFora ponta",Mercado_Receita!$L$2:$L$2578)+SUMIF(Mercado_Receita!$S$2:$S$2578,"44166B1ConvencionalResidencialResidencialNão se aplicaNão se aplicaIntermediário",Mercado_Receita!$L$2:$L$2578)+SUMIF(Mercado_Receita!$S$2:$S$2578,"44166B1ConvencionalResidencialResidencialNão se aplicaNão se aplicaNão se aplica",Mercado_Receita!$L$2:$L$2578)</f>
        <v>144337.48200000002</v>
      </c>
      <c r="K22" s="12">
        <f>SUMIF(Mercado_Receita!$S$2:$S$2578,"44197B1ConvencionalResidencialResidencialNão se aplicaNão se aplicaPonta",Mercado_Receita!$L$2:$L$2578)+SUMIF(Mercado_Receita!$S$2:$S$2578,"44197B1ConvencionalResidencialResidencialNão se aplicaNão se aplicaFora ponta",Mercado_Receita!$L$2:$L$2578)+SUMIF(Mercado_Receita!$S$2:$S$2578,"44197B1ConvencionalResidencialResidencialNão se aplicaNão se aplicaIntermediário",Mercado_Receita!$L$2:$L$2578)+SUMIF(Mercado_Receita!$S$2:$S$2578,"44197B1ConvencionalResidencialResidencialNão se aplicaNão se aplicaNão se aplica",Mercado_Receita!$L$2:$L$2578)</f>
        <v>133398.55799999999</v>
      </c>
      <c r="L22" s="12">
        <f>SUMIF(Mercado_Receita!$S$2:$S$2578,"44228B1ConvencionalResidencialResidencialNão se aplicaNão se aplicaPonta",Mercado_Receita!$L$2:$L$2578)+SUMIF(Mercado_Receita!$S$2:$S$2578,"44228B1ConvencionalResidencialResidencialNão se aplicaNão se aplicaFora ponta",Mercado_Receita!$L$2:$L$2578)+SUMIF(Mercado_Receita!$S$2:$S$2578,"44228B1ConvencionalResidencialResidencialNão se aplicaNão se aplicaIntermediário",Mercado_Receita!$L$2:$L$2578)+SUMIF(Mercado_Receita!$S$2:$S$2578,"44228B1ConvencionalResidencialResidencialNão se aplicaNão se aplicaNão se aplica",Mercado_Receita!$L$2:$L$2578)</f>
        <v>120134.15299999999</v>
      </c>
      <c r="M22" s="12">
        <f>SUMIF(Mercado_Receita!$S$2:$S$2578,"44256B1ConvencionalResidencialResidencialNão se aplicaNão se aplicaPonta",Mercado_Receita!$L$2:$L$2578)+SUMIF(Mercado_Receita!$S$2:$S$2578,"44256B1ConvencionalResidencialResidencialNão se aplicaNão se aplicaFora ponta",Mercado_Receita!$L$2:$L$2578)+SUMIF(Mercado_Receita!$S$2:$S$2578,"44256B1ConvencionalResidencialResidencialNão se aplicaNão se aplicaIntermediário",Mercado_Receita!$L$2:$L$2578)+SUMIF(Mercado_Receita!$S$2:$S$2578,"44256B1ConvencionalResidencialResidencialNão se aplicaNão se aplicaNão se aplica",Mercado_Receita!$L$2:$L$2578)</f>
        <v>124777.99100000001</v>
      </c>
      <c r="N22" s="12">
        <f>SUMIF(Mercado_Receita!$S$2:$S$2578,"44287B1ConvencionalResidencialResidencialNão se aplicaNão se aplicaPonta",Mercado_Receita!$L$2:$L$2578)+SUMIF(Mercado_Receita!$S$2:$S$2578,"44287B1ConvencionalResidencialResidencialNão se aplicaNão se aplicaFora ponta",Mercado_Receita!$L$2:$L$2578)+SUMIF(Mercado_Receita!$S$2:$S$2578,"44287B1ConvencionalResidencialResidencialNão se aplicaNão se aplicaIntermediário",Mercado_Receita!$L$2:$L$2578)+SUMIF(Mercado_Receita!$S$2:$S$2578,"44287B1ConvencionalResidencialResidencialNão se aplicaNão se aplicaNão se aplica",Mercado_Receita!$L$2:$L$2578)</f>
        <v>139988.09299999999</v>
      </c>
      <c r="O22" s="12">
        <f>SUMIF(Mercado_Receita!$S$2:$S$2578,"44317B1ConvencionalResidencialResidencialNão se aplicaNão se aplicaPonta",Mercado_Receita!$L$2:$L$2578)+SUMIF(Mercado_Receita!$S$2:$S$2578,"44317B1ConvencionalResidencialResidencialNão se aplicaNão se aplicaFora ponta",Mercado_Receita!$L$2:$L$2578)+SUMIF(Mercado_Receita!$S$2:$S$2578,"44317B1ConvencionalResidencialResidencialNão se aplicaNão se aplicaIntermediário",Mercado_Receita!$L$2:$L$2578)+SUMIF(Mercado_Receita!$S$2:$S$2578,"44317B1ConvencionalResidencialResidencialNão se aplicaNão se aplicaNão se aplica",Mercado_Receita!$L$2:$L$2578)</f>
        <v>139881.785</v>
      </c>
      <c r="P22" s="12">
        <f>SUMIF(Mercado_Receita!$S$2:$S$2578,"44348B1ConvencionalResidencialResidencialNão se aplicaNão se aplicaPonta",Mercado_Receita!$L$2:$L$2578)+SUMIF(Mercado_Receita!$S$2:$S$2578,"44348B1ConvencionalResidencialResidencialNão se aplicaNão se aplicaFora ponta",Mercado_Receita!$L$2:$L$2578)+SUMIF(Mercado_Receita!$S$2:$S$2578,"44348B1ConvencionalResidencialResidencialNão se aplicaNão se aplicaIntermediário",Mercado_Receita!$L$2:$L$2578)+SUMIF(Mercado_Receita!$S$2:$S$2578,"44348B1ConvencionalResidencialResidencialNão se aplicaNão se aplicaNão se aplica",Mercado_Receita!$L$2:$L$2578)</f>
        <v>148825.91899999999</v>
      </c>
      <c r="Q22" s="12">
        <f>SUMIF(Mercado_Receita!$S$2:$S$2578,"44378B1ConvencionalResidencialResidencialNão se aplicaNão se aplicaPonta",Mercado_Receita!$L$2:$L$2578)+SUMIF(Mercado_Receita!$S$2:$S$2578,"44378B1ConvencionalResidencialResidencialNão se aplicaNão se aplicaFora ponta",Mercado_Receita!$L$2:$L$2578)+SUMIF(Mercado_Receita!$S$2:$S$2578,"44378B1ConvencionalResidencialResidencialNão se aplicaNão se aplicaIntermediário",Mercado_Receita!$L$2:$L$2578)+SUMIF(Mercado_Receita!$S$2:$S$2578,"44378B1ConvencionalResidencialResidencialNão se aplicaNão se aplicaNão se aplica",Mercado_Receita!$L$2:$L$2578)</f>
        <v>140334.264</v>
      </c>
      <c r="R22" s="12">
        <f>SUMIF(Mercado_Receita!$S$2:$S$2578,"44409B1ConvencionalResidencialResidencialNão se aplicaNão se aplicaPonta",Mercado_Receita!$L$2:$L$2578)+SUMIF(Mercado_Receita!$S$2:$S$2578,"44409B1ConvencionalResidencialResidencialNão se aplicaNão se aplicaFora ponta",Mercado_Receita!$L$2:$L$2578)+SUMIF(Mercado_Receita!$S$2:$S$2578,"44409B1ConvencionalResidencialResidencialNão se aplicaNão se aplicaIntermediário",Mercado_Receita!$L$2:$L$2578)+SUMIF(Mercado_Receita!$S$2:$S$2578,"44409B1ConvencionalResidencialResidencialNão se aplicaNão se aplicaNão se aplica",Mercado_Receita!$L$2:$L$2578)</f>
        <v>153964.77799999999</v>
      </c>
      <c r="S22" s="12">
        <f>SUMIF(Mercado_Receita!$S$2:$S$2578,"44440B1ConvencionalResidencialResidencialNão se aplicaNão se aplicaPonta",Mercado_Receita!$L$2:$L$2578)+SUMIF(Mercado_Receita!$S$2:$S$2578,"44440B1ConvencionalResidencialResidencialNão se aplicaNão se aplicaFora ponta",Mercado_Receita!$L$2:$L$2578)+SUMIF(Mercado_Receita!$S$2:$S$2578,"44440B1ConvencionalResidencialResidencialNão se aplicaNão se aplicaIntermediário",Mercado_Receita!$L$2:$L$2578)+SUMIF(Mercado_Receita!$S$2:$S$2578,"44440B1ConvencionalResidencialResidencialNão se aplicaNão se aplicaNão se aplica",Mercado_Receita!$L$2:$L$2578)</f>
        <v>170982.82500000004</v>
      </c>
      <c r="T22" s="12">
        <f>SUMIF(Mercado_Receita!$S$2:$S$2578,"44470B1ConvencionalResidencialResidencialNão se aplicaNão se aplicaPonta",Mercado_Receita!$L$2:$L$2578)+SUMIF(Mercado_Receita!$S$2:$S$2578,"44470B1ConvencionalResidencialResidencialNão se aplicaNão se aplicaFora ponta",Mercado_Receita!$L$2:$L$2578)+SUMIF(Mercado_Receita!$S$2:$S$2578,"44470B1ConvencionalResidencialResidencialNão se aplicaNão se aplicaIntermediário",Mercado_Receita!$L$2:$L$2578)+SUMIF(Mercado_Receita!$S$2:$S$2578,"44470B1ConvencionalResidencialResidencialNão se aplicaNão se aplicaNão se aplica",Mercado_Receita!$L$2:$L$2578)</f>
        <v>170982.82500000004</v>
      </c>
      <c r="U22" s="12">
        <f t="shared" si="0"/>
        <v>1747135.3810000001</v>
      </c>
      <c r="V22" s="12"/>
      <c r="W22" s="12"/>
    </row>
    <row r="23" spans="1:23" ht="11.25" customHeight="1" x14ac:dyDescent="0.25">
      <c r="A23" s="110"/>
      <c r="B23" s="110"/>
      <c r="C23" s="110"/>
      <c r="D23" s="13" t="s">
        <v>31</v>
      </c>
      <c r="E23" s="13" t="s">
        <v>25</v>
      </c>
      <c r="F23" s="13" t="s">
        <v>25</v>
      </c>
      <c r="G23" s="12" t="s">
        <v>92</v>
      </c>
      <c r="H23" s="12" t="s">
        <v>86</v>
      </c>
      <c r="I23" s="12">
        <f>SUMIF(Mercado_Receita!$S$2:$S$2578,"44136B1ConvencionalResidencialResidencial baixa renda – faixa 01Não se aplicaNão se aplicaPonta",Mercado_Receita!$L$2:$L$2578)+SUMIF(Mercado_Receita!$S$2:$S$2578,"44136B1ConvencionalResidencialResidencial baixa renda – faixa 01Não se aplicaNão se aplicaFora ponta",Mercado_Receita!$L$2:$L$2578)+SUMIF(Mercado_Receita!$S$2:$S$2578,"44136B1ConvencionalResidencialResidencial baixa renda – faixa 01Não se aplicaNão se aplicaIntermediário",Mercado_Receita!$L$2:$L$2578)+SUMIF(Mercado_Receita!$S$2:$S$2578,"44136B1ConvencionalResidencialResidencial baixa renda – faixa 01Não se aplicaNão se aplicaNão se aplica",Mercado_Receita!$L$2:$L$2578)</f>
        <v>5864.9930000000004</v>
      </c>
      <c r="J23" s="12">
        <f>SUMIF(Mercado_Receita!$S$2:$S$2578,"44166B1ConvencionalResidencialResidencial baixa renda – faixa 01Não se aplicaNão se aplicaPonta",Mercado_Receita!$L$2:$L$2578)+SUMIF(Mercado_Receita!$S$2:$S$2578,"44166B1ConvencionalResidencialResidencial baixa renda – faixa 01Não se aplicaNão se aplicaFora ponta",Mercado_Receita!$L$2:$L$2578)+SUMIF(Mercado_Receita!$S$2:$S$2578,"44166B1ConvencionalResidencialResidencial baixa renda – faixa 01Não se aplicaNão se aplicaIntermediário",Mercado_Receita!$L$2:$L$2578)+SUMIF(Mercado_Receita!$S$2:$S$2578,"44166B1ConvencionalResidencialResidencial baixa renda – faixa 01Não se aplicaNão se aplicaNão se aplica",Mercado_Receita!$L$2:$L$2578)</f>
        <v>6413.8609999999999</v>
      </c>
      <c r="K23" s="12">
        <f>SUMIF(Mercado_Receita!$S$2:$S$2578,"44197B1ConvencionalResidencialResidencial baixa renda – faixa 01Não se aplicaNão se aplicaPonta",Mercado_Receita!$L$2:$L$2578)+SUMIF(Mercado_Receita!$S$2:$S$2578,"44197B1ConvencionalResidencialResidencial baixa renda – faixa 01Não se aplicaNão se aplicaFora ponta",Mercado_Receita!$L$2:$L$2578)+SUMIF(Mercado_Receita!$S$2:$S$2578,"44197B1ConvencionalResidencialResidencial baixa renda – faixa 01Não se aplicaNão se aplicaIntermediário",Mercado_Receita!$L$2:$L$2578)+SUMIF(Mercado_Receita!$S$2:$S$2578,"44197B1ConvencionalResidencialResidencial baixa renda – faixa 01Não se aplicaNão se aplicaNão se aplica",Mercado_Receita!$L$2:$L$2578)</f>
        <v>6547.7309999999998</v>
      </c>
      <c r="L23" s="12">
        <f>SUMIF(Mercado_Receita!$S$2:$S$2578,"44228B1ConvencionalResidencialResidencial baixa renda – faixa 01Não se aplicaNão se aplicaPonta",Mercado_Receita!$L$2:$L$2578)+SUMIF(Mercado_Receita!$S$2:$S$2578,"44228B1ConvencionalResidencialResidencial baixa renda – faixa 01Não se aplicaNão se aplicaFora ponta",Mercado_Receita!$L$2:$L$2578)+SUMIF(Mercado_Receita!$S$2:$S$2578,"44228B1ConvencionalResidencialResidencial baixa renda – faixa 01Não se aplicaNão se aplicaIntermediário",Mercado_Receita!$L$2:$L$2578)+SUMIF(Mercado_Receita!$S$2:$S$2578,"44228B1ConvencionalResidencialResidencial baixa renda – faixa 01Não se aplicaNão se aplicaNão se aplica",Mercado_Receita!$L$2:$L$2578)</f>
        <v>6529.3490000000002</v>
      </c>
      <c r="M23" s="12">
        <f>SUMIF(Mercado_Receita!$S$2:$S$2578,"44256B1ConvencionalResidencialResidencial baixa renda – faixa 01Não se aplicaNão se aplicaPonta",Mercado_Receita!$L$2:$L$2578)+SUMIF(Mercado_Receita!$S$2:$S$2578,"44256B1ConvencionalResidencialResidencial baixa renda – faixa 01Não se aplicaNão se aplicaFora ponta",Mercado_Receita!$L$2:$L$2578)+SUMIF(Mercado_Receita!$S$2:$S$2578,"44256B1ConvencionalResidencialResidencial baixa renda – faixa 01Não se aplicaNão se aplicaIntermediário",Mercado_Receita!$L$2:$L$2578)+SUMIF(Mercado_Receita!$S$2:$S$2578,"44256B1ConvencionalResidencialResidencial baixa renda – faixa 01Não se aplicaNão se aplicaNão se aplica",Mercado_Receita!$L$2:$L$2578)</f>
        <v>6667.7069999999994</v>
      </c>
      <c r="N23" s="12">
        <f>SUMIF(Mercado_Receita!$S$2:$S$2578,"44287B1ConvencionalResidencialResidencial baixa renda – faixa 01Não se aplicaNão se aplicaPonta",Mercado_Receita!$L$2:$L$2578)+SUMIF(Mercado_Receita!$S$2:$S$2578,"44287B1ConvencionalResidencialResidencial baixa renda – faixa 01Não se aplicaNão se aplicaFora ponta",Mercado_Receita!$L$2:$L$2578)+SUMIF(Mercado_Receita!$S$2:$S$2578,"44287B1ConvencionalResidencialResidencial baixa renda – faixa 01Não se aplicaNão se aplicaIntermediário",Mercado_Receita!$L$2:$L$2578)+SUMIF(Mercado_Receita!$S$2:$S$2578,"44287B1ConvencionalResidencialResidencial baixa renda – faixa 01Não se aplicaNão se aplicaNão se aplica",Mercado_Receita!$L$2:$L$2578)</f>
        <v>5766.5</v>
      </c>
      <c r="O23" s="12">
        <f>SUMIF(Mercado_Receita!$S$2:$S$2578,"44317B1ConvencionalResidencialResidencial baixa renda – faixa 01Não se aplicaNão se aplicaPonta",Mercado_Receita!$L$2:$L$2578)+SUMIF(Mercado_Receita!$S$2:$S$2578,"44317B1ConvencionalResidencialResidencial baixa renda – faixa 01Não se aplicaNão se aplicaFora ponta",Mercado_Receita!$L$2:$L$2578)+SUMIF(Mercado_Receita!$S$2:$S$2578,"44317B1ConvencionalResidencialResidencial baixa renda – faixa 01Não se aplicaNão se aplicaIntermediário",Mercado_Receita!$L$2:$L$2578)+SUMIF(Mercado_Receita!$S$2:$S$2578,"44317B1ConvencionalResidencialResidencial baixa renda – faixa 01Não se aplicaNão se aplicaNão se aplica",Mercado_Receita!$L$2:$L$2578)</f>
        <v>5764.8740000000007</v>
      </c>
      <c r="P23" s="12">
        <f>SUMIF(Mercado_Receita!$S$2:$S$2578,"44348B1ConvencionalResidencialResidencial baixa renda – faixa 01Não se aplicaNão se aplicaPonta",Mercado_Receita!$L$2:$L$2578)+SUMIF(Mercado_Receita!$S$2:$S$2578,"44348B1ConvencionalResidencialResidencial baixa renda – faixa 01Não se aplicaNão se aplicaFora ponta",Mercado_Receita!$L$2:$L$2578)+SUMIF(Mercado_Receita!$S$2:$S$2578,"44348B1ConvencionalResidencialResidencial baixa renda – faixa 01Não se aplicaNão se aplicaIntermediário",Mercado_Receita!$L$2:$L$2578)+SUMIF(Mercado_Receita!$S$2:$S$2578,"44348B1ConvencionalResidencialResidencial baixa renda – faixa 01Não se aplicaNão se aplicaNão se aplica",Mercado_Receita!$L$2:$L$2578)</f>
        <v>5825.8940000000002</v>
      </c>
      <c r="Q23" s="12">
        <f>SUMIF(Mercado_Receita!$S$2:$S$2578,"44378B1ConvencionalResidencialResidencial baixa renda – faixa 01Não se aplicaNão se aplicaPonta",Mercado_Receita!$L$2:$L$2578)+SUMIF(Mercado_Receita!$S$2:$S$2578,"44378B1ConvencionalResidencialResidencial baixa renda – faixa 01Não se aplicaNão se aplicaFora ponta",Mercado_Receita!$L$2:$L$2578)+SUMIF(Mercado_Receita!$S$2:$S$2578,"44378B1ConvencionalResidencialResidencial baixa renda – faixa 01Não se aplicaNão se aplicaIntermediário",Mercado_Receita!$L$2:$L$2578)+SUMIF(Mercado_Receita!$S$2:$S$2578,"44378B1ConvencionalResidencialResidencial baixa renda – faixa 01Não se aplicaNão se aplicaNão se aplica",Mercado_Receita!$L$2:$L$2578)</f>
        <v>5797.5879999999988</v>
      </c>
      <c r="R23" s="12">
        <f>SUMIF(Mercado_Receita!$S$2:$S$2578,"44409B1ConvencionalResidencialResidencial baixa renda – faixa 01Não se aplicaNão se aplicaPonta",Mercado_Receita!$L$2:$L$2578)+SUMIF(Mercado_Receita!$S$2:$S$2578,"44409B1ConvencionalResidencialResidencial baixa renda – faixa 01Não se aplicaNão se aplicaFora ponta",Mercado_Receita!$L$2:$L$2578)+SUMIF(Mercado_Receita!$S$2:$S$2578,"44409B1ConvencionalResidencialResidencial baixa renda – faixa 01Não se aplicaNão se aplicaIntermediário",Mercado_Receita!$L$2:$L$2578)+SUMIF(Mercado_Receita!$S$2:$S$2578,"44409B1ConvencionalResidencialResidencial baixa renda – faixa 01Não se aplicaNão se aplicaNão se aplica",Mercado_Receita!$L$2:$L$2578)</f>
        <v>5819.9110000000001</v>
      </c>
      <c r="S23" s="12">
        <f>SUMIF(Mercado_Receita!$S$2:$S$2578,"44440B1ConvencionalResidencialResidencial baixa renda – faixa 01Não se aplicaNão se aplicaPonta",Mercado_Receita!$L$2:$L$2578)+SUMIF(Mercado_Receita!$S$2:$S$2578,"44440B1ConvencionalResidencialResidencial baixa renda – faixa 01Não se aplicaNão se aplicaFora ponta",Mercado_Receita!$L$2:$L$2578)+SUMIF(Mercado_Receita!$S$2:$S$2578,"44440B1ConvencionalResidencialResidencial baixa renda – faixa 01Não se aplicaNão se aplicaIntermediário",Mercado_Receita!$L$2:$L$2578)+SUMIF(Mercado_Receita!$S$2:$S$2578,"44440B1ConvencionalResidencialResidencial baixa renda – faixa 01Não se aplicaNão se aplicaNão se aplica",Mercado_Receita!$L$2:$L$2578)</f>
        <v>5831.74</v>
      </c>
      <c r="T23" s="12">
        <f>SUMIF(Mercado_Receita!$S$2:$S$2578,"44470B1ConvencionalResidencialResidencial baixa renda – faixa 01Não se aplicaNão se aplicaPonta",Mercado_Receita!$L$2:$L$2578)+SUMIF(Mercado_Receita!$S$2:$S$2578,"44470B1ConvencionalResidencialResidencial baixa renda – faixa 01Não se aplicaNão se aplicaFora ponta",Mercado_Receita!$L$2:$L$2578)+SUMIF(Mercado_Receita!$S$2:$S$2578,"44470B1ConvencionalResidencialResidencial baixa renda – faixa 01Não se aplicaNão se aplicaIntermediário",Mercado_Receita!$L$2:$L$2578)+SUMIF(Mercado_Receita!$S$2:$S$2578,"44470B1ConvencionalResidencialResidencial baixa renda – faixa 01Não se aplicaNão se aplicaNão se aplica",Mercado_Receita!$L$2:$L$2578)</f>
        <v>5831.74</v>
      </c>
      <c r="U23" s="12">
        <f t="shared" si="0"/>
        <v>72661.888000000006</v>
      </c>
      <c r="V23" s="12"/>
      <c r="W23" s="12"/>
    </row>
    <row r="24" spans="1:23" ht="11.25" customHeight="1" x14ac:dyDescent="0.25">
      <c r="A24" s="110"/>
      <c r="B24" s="110"/>
      <c r="C24" s="110"/>
      <c r="D24" s="13" t="s">
        <v>32</v>
      </c>
      <c r="E24" s="13" t="s">
        <v>25</v>
      </c>
      <c r="F24" s="13" t="s">
        <v>25</v>
      </c>
      <c r="G24" s="12" t="s">
        <v>92</v>
      </c>
      <c r="H24" s="12" t="s">
        <v>86</v>
      </c>
      <c r="I24" s="12">
        <f>SUMIF(Mercado_Receita!$S$2:$S$2578,"44136B1ConvencionalResidencialResidencial baixa renda – faixa 02Não se aplicaNão se aplicaPonta",Mercado_Receita!$L$2:$L$2578)+SUMIF(Mercado_Receita!$S$2:$S$2578,"44136B1ConvencionalResidencialResidencial baixa renda – faixa 02Não se aplicaNão se aplicaFora ponta",Mercado_Receita!$L$2:$L$2578)+SUMIF(Mercado_Receita!$S$2:$S$2578,"44136B1ConvencionalResidencialResidencial baixa renda – faixa 02Não se aplicaNão se aplicaIntermediário",Mercado_Receita!$L$2:$L$2578)+SUMIF(Mercado_Receita!$S$2:$S$2578,"44136B1ConvencionalResidencialResidencial baixa renda – faixa 02Não se aplicaNão se aplicaNão se aplica",Mercado_Receita!$L$2:$L$2578)</f>
        <v>8946.5320000000011</v>
      </c>
      <c r="J24" s="12">
        <f>SUMIF(Mercado_Receita!$S$2:$S$2578,"44166B1ConvencionalResidencialResidencial baixa renda – faixa 02Não se aplicaNão se aplicaPonta",Mercado_Receita!$L$2:$L$2578)+SUMIF(Mercado_Receita!$S$2:$S$2578,"44166B1ConvencionalResidencialResidencial baixa renda – faixa 02Não se aplicaNão se aplicaFora ponta",Mercado_Receita!$L$2:$L$2578)+SUMIF(Mercado_Receita!$S$2:$S$2578,"44166B1ConvencionalResidencialResidencial baixa renda – faixa 02Não se aplicaNão se aplicaIntermediário",Mercado_Receita!$L$2:$L$2578)+SUMIF(Mercado_Receita!$S$2:$S$2578,"44166B1ConvencionalResidencialResidencial baixa renda – faixa 02Não se aplicaNão se aplicaNão se aplica",Mercado_Receita!$L$2:$L$2578)</f>
        <v>9853.3490000000002</v>
      </c>
      <c r="K24" s="12">
        <f>SUMIF(Mercado_Receita!$S$2:$S$2578,"44197B1ConvencionalResidencialResidencial baixa renda – faixa 02Não se aplicaNão se aplicaPonta",Mercado_Receita!$L$2:$L$2578)+SUMIF(Mercado_Receita!$S$2:$S$2578,"44197B1ConvencionalResidencialResidencial baixa renda – faixa 02Não se aplicaNão se aplicaFora ponta",Mercado_Receita!$L$2:$L$2578)+SUMIF(Mercado_Receita!$S$2:$S$2578,"44197B1ConvencionalResidencialResidencial baixa renda – faixa 02Não se aplicaNão se aplicaIntermediário",Mercado_Receita!$L$2:$L$2578)+SUMIF(Mercado_Receita!$S$2:$S$2578,"44197B1ConvencionalResidencialResidencial baixa renda – faixa 02Não se aplicaNão se aplicaNão se aplica",Mercado_Receita!$L$2:$L$2578)</f>
        <v>9918.3719999999994</v>
      </c>
      <c r="L24" s="12">
        <f>SUMIF(Mercado_Receita!$S$2:$S$2578,"44228B1ConvencionalResidencialResidencial baixa renda – faixa 02Não se aplicaNão se aplicaPonta",Mercado_Receita!$L$2:$L$2578)+SUMIF(Mercado_Receita!$S$2:$S$2578,"44228B1ConvencionalResidencialResidencial baixa renda – faixa 02Não se aplicaNão se aplicaFora ponta",Mercado_Receita!$L$2:$L$2578)+SUMIF(Mercado_Receita!$S$2:$S$2578,"44228B1ConvencionalResidencialResidencial baixa renda – faixa 02Não se aplicaNão se aplicaIntermediário",Mercado_Receita!$L$2:$L$2578)+SUMIF(Mercado_Receita!$S$2:$S$2578,"44228B1ConvencionalResidencialResidencial baixa renda – faixa 02Não se aplicaNão se aplicaNão se aplica",Mercado_Receita!$L$2:$L$2578)</f>
        <v>9493.1270000000004</v>
      </c>
      <c r="M24" s="12">
        <f>SUMIF(Mercado_Receita!$S$2:$S$2578,"44256B1ConvencionalResidencialResidencial baixa renda – faixa 02Não se aplicaNão se aplicaPonta",Mercado_Receita!$L$2:$L$2578)+SUMIF(Mercado_Receita!$S$2:$S$2578,"44256B1ConvencionalResidencialResidencial baixa renda – faixa 02Não se aplicaNão se aplicaFora ponta",Mercado_Receita!$L$2:$L$2578)+SUMIF(Mercado_Receita!$S$2:$S$2578,"44256B1ConvencionalResidencialResidencial baixa renda – faixa 02Não se aplicaNão se aplicaIntermediário",Mercado_Receita!$L$2:$L$2578)+SUMIF(Mercado_Receita!$S$2:$S$2578,"44256B1ConvencionalResidencialResidencial baixa renda – faixa 02Não se aplicaNão se aplicaNão se aplica",Mercado_Receita!$L$2:$L$2578)</f>
        <v>9625.8209999999981</v>
      </c>
      <c r="N24" s="12">
        <f>SUMIF(Mercado_Receita!$S$2:$S$2578,"44287B1ConvencionalResidencialResidencial baixa renda – faixa 02Não se aplicaNão se aplicaPonta",Mercado_Receita!$L$2:$L$2578)+SUMIF(Mercado_Receita!$S$2:$S$2578,"44287B1ConvencionalResidencialResidencial baixa renda – faixa 02Não se aplicaNão se aplicaFora ponta",Mercado_Receita!$L$2:$L$2578)+SUMIF(Mercado_Receita!$S$2:$S$2578,"44287B1ConvencionalResidencialResidencial baixa renda – faixa 02Não se aplicaNão se aplicaIntermediário",Mercado_Receita!$L$2:$L$2578)+SUMIF(Mercado_Receita!$S$2:$S$2578,"44287B1ConvencionalResidencialResidencial baixa renda – faixa 02Não se aplicaNão se aplicaNão se aplica",Mercado_Receita!$L$2:$L$2578)</f>
        <v>9647.9609999999993</v>
      </c>
      <c r="O24" s="12">
        <f>SUMIF(Mercado_Receita!$S$2:$S$2578,"44317B1ConvencionalResidencialResidencial baixa renda – faixa 02Não se aplicaNão se aplicaPonta",Mercado_Receita!$L$2:$L$2578)+SUMIF(Mercado_Receita!$S$2:$S$2578,"44317B1ConvencionalResidencialResidencial baixa renda – faixa 02Não se aplicaNão se aplicaFora ponta",Mercado_Receita!$L$2:$L$2578)+SUMIF(Mercado_Receita!$S$2:$S$2578,"44317B1ConvencionalResidencialResidencial baixa renda – faixa 02Não se aplicaNão se aplicaIntermediário",Mercado_Receita!$L$2:$L$2578)+SUMIF(Mercado_Receita!$S$2:$S$2578,"44317B1ConvencionalResidencialResidencial baixa renda – faixa 02Não se aplicaNão se aplicaNão se aplica",Mercado_Receita!$L$2:$L$2578)</f>
        <v>9658.8639999999996</v>
      </c>
      <c r="P24" s="12">
        <f>SUMIF(Mercado_Receita!$S$2:$S$2578,"44348B1ConvencionalResidencialResidencial baixa renda – faixa 02Não se aplicaNão se aplicaPonta",Mercado_Receita!$L$2:$L$2578)+SUMIF(Mercado_Receita!$S$2:$S$2578,"44348B1ConvencionalResidencialResidencial baixa renda – faixa 02Não se aplicaNão se aplicaFora ponta",Mercado_Receita!$L$2:$L$2578)+SUMIF(Mercado_Receita!$S$2:$S$2578,"44348B1ConvencionalResidencialResidencial baixa renda – faixa 02Não se aplicaNão se aplicaIntermediário",Mercado_Receita!$L$2:$L$2578)+SUMIF(Mercado_Receita!$S$2:$S$2578,"44348B1ConvencionalResidencialResidencial baixa renda – faixa 02Não se aplicaNão se aplicaNão se aplica",Mercado_Receita!$L$2:$L$2578)</f>
        <v>9908.603000000001</v>
      </c>
      <c r="Q24" s="12">
        <f>SUMIF(Mercado_Receita!$S$2:$S$2578,"44378B1ConvencionalResidencialResidencial baixa renda – faixa 02Não se aplicaNão se aplicaPonta",Mercado_Receita!$L$2:$L$2578)+SUMIF(Mercado_Receita!$S$2:$S$2578,"44378B1ConvencionalResidencialResidencial baixa renda – faixa 02Não se aplicaNão se aplicaFora ponta",Mercado_Receita!$L$2:$L$2578)+SUMIF(Mercado_Receita!$S$2:$S$2578,"44378B1ConvencionalResidencialResidencial baixa renda – faixa 02Não se aplicaNão se aplicaIntermediário",Mercado_Receita!$L$2:$L$2578)+SUMIF(Mercado_Receita!$S$2:$S$2578,"44378B1ConvencionalResidencialResidencial baixa renda – faixa 02Não se aplicaNão se aplicaNão se aplica",Mercado_Receita!$L$2:$L$2578)</f>
        <v>9634.616</v>
      </c>
      <c r="R24" s="12">
        <f>SUMIF(Mercado_Receita!$S$2:$S$2578,"44409B1ConvencionalResidencialResidencial baixa renda – faixa 02Não se aplicaNão se aplicaPonta",Mercado_Receita!$L$2:$L$2578)+SUMIF(Mercado_Receita!$S$2:$S$2578,"44409B1ConvencionalResidencialResidencial baixa renda – faixa 02Não se aplicaNão se aplicaFora ponta",Mercado_Receita!$L$2:$L$2578)+SUMIF(Mercado_Receita!$S$2:$S$2578,"44409B1ConvencionalResidencialResidencial baixa renda – faixa 02Não se aplicaNão se aplicaIntermediário",Mercado_Receita!$L$2:$L$2578)+SUMIF(Mercado_Receita!$S$2:$S$2578,"44409B1ConvencionalResidencialResidencial baixa renda – faixa 02Não se aplicaNão se aplicaNão se aplica",Mercado_Receita!$L$2:$L$2578)</f>
        <v>9874.0789999999997</v>
      </c>
      <c r="S24" s="12">
        <f>SUMIF(Mercado_Receita!$S$2:$S$2578,"44440B1ConvencionalResidencialResidencial baixa renda – faixa 02Não se aplicaNão se aplicaPonta",Mercado_Receita!$L$2:$L$2578)+SUMIF(Mercado_Receita!$S$2:$S$2578,"44440B1ConvencionalResidencialResidencial baixa renda – faixa 02Não se aplicaNão se aplicaFora ponta",Mercado_Receita!$L$2:$L$2578)+SUMIF(Mercado_Receita!$S$2:$S$2578,"44440B1ConvencionalResidencialResidencial baixa renda – faixa 02Não se aplicaNão se aplicaIntermediário",Mercado_Receita!$L$2:$L$2578)+SUMIF(Mercado_Receita!$S$2:$S$2578,"44440B1ConvencionalResidencialResidencial baixa renda – faixa 02Não se aplicaNão se aplicaNão se aplica",Mercado_Receita!$L$2:$L$2578)</f>
        <v>10012.885</v>
      </c>
      <c r="T24" s="12">
        <f>SUMIF(Mercado_Receita!$S$2:$S$2578,"44470B1ConvencionalResidencialResidencial baixa renda – faixa 02Não se aplicaNão se aplicaPonta",Mercado_Receita!$L$2:$L$2578)+SUMIF(Mercado_Receita!$S$2:$S$2578,"44470B1ConvencionalResidencialResidencial baixa renda – faixa 02Não se aplicaNão se aplicaFora ponta",Mercado_Receita!$L$2:$L$2578)+SUMIF(Mercado_Receita!$S$2:$S$2578,"44470B1ConvencionalResidencialResidencial baixa renda – faixa 02Não se aplicaNão se aplicaIntermediário",Mercado_Receita!$L$2:$L$2578)+SUMIF(Mercado_Receita!$S$2:$S$2578,"44470B1ConvencionalResidencialResidencial baixa renda – faixa 02Não se aplicaNão se aplicaNão se aplica",Mercado_Receita!$L$2:$L$2578)</f>
        <v>10012.885</v>
      </c>
      <c r="U24" s="12">
        <f t="shared" si="0"/>
        <v>116587.09399999998</v>
      </c>
      <c r="V24" s="12"/>
      <c r="W24" s="12"/>
    </row>
    <row r="25" spans="1:23" ht="11.25" customHeight="1" x14ac:dyDescent="0.25">
      <c r="A25" s="110"/>
      <c r="B25" s="110"/>
      <c r="C25" s="110"/>
      <c r="D25" s="13" t="s">
        <v>33</v>
      </c>
      <c r="E25" s="13" t="s">
        <v>25</v>
      </c>
      <c r="F25" s="13" t="s">
        <v>25</v>
      </c>
      <c r="G25" s="12" t="s">
        <v>92</v>
      </c>
      <c r="H25" s="12" t="s">
        <v>86</v>
      </c>
      <c r="I25" s="12">
        <f>SUMIF(Mercado_Receita!$S$2:$S$2578,"44136B1ConvencionalResidencialResidencial baixa renda – faixa 03Não se aplicaNão se aplicaPonta",Mercado_Receita!$L$2:$L$2578)+SUMIF(Mercado_Receita!$S$2:$S$2578,"44136B1ConvencionalResidencialResidencial baixa renda – faixa 03Não se aplicaNão se aplicaFora ponta",Mercado_Receita!$L$2:$L$2578)+SUMIF(Mercado_Receita!$S$2:$S$2578,"44136B1ConvencionalResidencialResidencial baixa renda – faixa 03Não se aplicaNão se aplicaIntermediário",Mercado_Receita!$L$2:$L$2578)+SUMIF(Mercado_Receita!$S$2:$S$2578,"44136B1ConvencionalResidencialResidencial baixa renda – faixa 03Não se aplicaNão se aplicaNão se aplica",Mercado_Receita!$L$2:$L$2578)</f>
        <v>8011.5289999999995</v>
      </c>
      <c r="J25" s="12">
        <f>SUMIF(Mercado_Receita!$S$2:$S$2578,"44166B1ConvencionalResidencialResidencial baixa renda – faixa 03Não se aplicaNão se aplicaPonta",Mercado_Receita!$L$2:$L$2578)+SUMIF(Mercado_Receita!$S$2:$S$2578,"44166B1ConvencionalResidencialResidencial baixa renda – faixa 03Não se aplicaNão se aplicaFora ponta",Mercado_Receita!$L$2:$L$2578)+SUMIF(Mercado_Receita!$S$2:$S$2578,"44166B1ConvencionalResidencialResidencial baixa renda – faixa 03Não se aplicaNão se aplicaIntermediário",Mercado_Receita!$L$2:$L$2578)+SUMIF(Mercado_Receita!$S$2:$S$2578,"44166B1ConvencionalResidencialResidencial baixa renda – faixa 03Não se aplicaNão se aplicaNão se aplica",Mercado_Receita!$L$2:$L$2578)</f>
        <v>8624.0469999999987</v>
      </c>
      <c r="K25" s="12">
        <f>SUMIF(Mercado_Receita!$S$2:$S$2578,"44197B1ConvencionalResidencialResidencial baixa renda – faixa 03Não se aplicaNão se aplicaPonta",Mercado_Receita!$L$2:$L$2578)+SUMIF(Mercado_Receita!$S$2:$S$2578,"44197B1ConvencionalResidencialResidencial baixa renda – faixa 03Não se aplicaNão se aplicaFora ponta",Mercado_Receita!$L$2:$L$2578)+SUMIF(Mercado_Receita!$S$2:$S$2578,"44197B1ConvencionalResidencialResidencial baixa renda – faixa 03Não se aplicaNão se aplicaIntermediário",Mercado_Receita!$L$2:$L$2578)+SUMIF(Mercado_Receita!$S$2:$S$2578,"44197B1ConvencionalResidencialResidencial baixa renda – faixa 03Não se aplicaNão se aplicaNão se aplica",Mercado_Receita!$L$2:$L$2578)</f>
        <v>8565.8050000000003</v>
      </c>
      <c r="L25" s="12">
        <f>SUMIF(Mercado_Receita!$S$2:$S$2578,"44228B1ConvencionalResidencialResidencial baixa renda – faixa 03Não se aplicaNão se aplicaPonta",Mercado_Receita!$L$2:$L$2578)+SUMIF(Mercado_Receita!$S$2:$S$2578,"44228B1ConvencionalResidencialResidencial baixa renda – faixa 03Não se aplicaNão se aplicaFora ponta",Mercado_Receita!$L$2:$L$2578)+SUMIF(Mercado_Receita!$S$2:$S$2578,"44228B1ConvencionalResidencialResidencial baixa renda – faixa 03Não se aplicaNão se aplicaIntermediário",Mercado_Receita!$L$2:$L$2578)+SUMIF(Mercado_Receita!$S$2:$S$2578,"44228B1ConvencionalResidencialResidencial baixa renda – faixa 03Não se aplicaNão se aplicaNão se aplica",Mercado_Receita!$L$2:$L$2578)</f>
        <v>7600.2560000000003</v>
      </c>
      <c r="M25" s="12">
        <f>SUMIF(Mercado_Receita!$S$2:$S$2578,"44256B1ConvencionalResidencialResidencial baixa renda – faixa 03Não se aplicaNão se aplicaPonta",Mercado_Receita!$L$2:$L$2578)+SUMIF(Mercado_Receita!$S$2:$S$2578,"44256B1ConvencionalResidencialResidencial baixa renda – faixa 03Não se aplicaNão se aplicaFora ponta",Mercado_Receita!$L$2:$L$2578)+SUMIF(Mercado_Receita!$S$2:$S$2578,"44256B1ConvencionalResidencialResidencial baixa renda – faixa 03Não se aplicaNão se aplicaIntermediário",Mercado_Receita!$L$2:$L$2578)+SUMIF(Mercado_Receita!$S$2:$S$2578,"44256B1ConvencionalResidencialResidencial baixa renda – faixa 03Não se aplicaNão se aplicaNão se aplica",Mercado_Receita!$L$2:$L$2578)</f>
        <v>7876.7169999999996</v>
      </c>
      <c r="N25" s="12">
        <f>SUMIF(Mercado_Receita!$S$2:$S$2578,"44287B1ConvencionalResidencialResidencial baixa renda – faixa 03Não se aplicaNão se aplicaPonta",Mercado_Receita!$L$2:$L$2578)+SUMIF(Mercado_Receita!$S$2:$S$2578,"44287B1ConvencionalResidencialResidencial baixa renda – faixa 03Não se aplicaNão se aplicaFora ponta",Mercado_Receita!$L$2:$L$2578)+SUMIF(Mercado_Receita!$S$2:$S$2578,"44287B1ConvencionalResidencialResidencial baixa renda – faixa 03Não se aplicaNão se aplicaIntermediário",Mercado_Receita!$L$2:$L$2578)+SUMIF(Mercado_Receita!$S$2:$S$2578,"44287B1ConvencionalResidencialResidencial baixa renda – faixa 03Não se aplicaNão se aplicaNão se aplica",Mercado_Receita!$L$2:$L$2578)</f>
        <v>8575.905999999999</v>
      </c>
      <c r="O25" s="12">
        <f>SUMIF(Mercado_Receita!$S$2:$S$2578,"44317B1ConvencionalResidencialResidencial baixa renda – faixa 03Não se aplicaNão se aplicaPonta",Mercado_Receita!$L$2:$L$2578)+SUMIF(Mercado_Receita!$S$2:$S$2578,"44317B1ConvencionalResidencialResidencial baixa renda – faixa 03Não se aplicaNão se aplicaFora ponta",Mercado_Receita!$L$2:$L$2578)+SUMIF(Mercado_Receita!$S$2:$S$2578,"44317B1ConvencionalResidencialResidencial baixa renda – faixa 03Não se aplicaNão se aplicaIntermediário",Mercado_Receita!$L$2:$L$2578)+SUMIF(Mercado_Receita!$S$2:$S$2578,"44317B1ConvencionalResidencialResidencial baixa renda – faixa 03Não se aplicaNão se aplicaNão se aplica",Mercado_Receita!$L$2:$L$2578)</f>
        <v>8491.17</v>
      </c>
      <c r="P25" s="12">
        <f>SUMIF(Mercado_Receita!$S$2:$S$2578,"44348B1ConvencionalResidencialResidencial baixa renda – faixa 03Não se aplicaNão se aplicaPonta",Mercado_Receita!$L$2:$L$2578)+SUMIF(Mercado_Receita!$S$2:$S$2578,"44348B1ConvencionalResidencialResidencial baixa renda – faixa 03Não se aplicaNão se aplicaFora ponta",Mercado_Receita!$L$2:$L$2578)+SUMIF(Mercado_Receita!$S$2:$S$2578,"44348B1ConvencionalResidencialResidencial baixa renda – faixa 03Não se aplicaNão se aplicaIntermediário",Mercado_Receita!$L$2:$L$2578)+SUMIF(Mercado_Receita!$S$2:$S$2578,"44348B1ConvencionalResidencialResidencial baixa renda – faixa 03Não se aplicaNão se aplicaNão se aplica",Mercado_Receita!$L$2:$L$2578)</f>
        <v>9139.0079999999998</v>
      </c>
      <c r="Q25" s="12">
        <f>SUMIF(Mercado_Receita!$S$2:$S$2578,"44378B1ConvencionalResidencialResidencial baixa renda – faixa 03Não se aplicaNão se aplicaPonta",Mercado_Receita!$L$2:$L$2578)+SUMIF(Mercado_Receita!$S$2:$S$2578,"44378B1ConvencionalResidencialResidencial baixa renda – faixa 03Não se aplicaNão se aplicaFora ponta",Mercado_Receita!$L$2:$L$2578)+SUMIF(Mercado_Receita!$S$2:$S$2578,"44378B1ConvencionalResidencialResidencial baixa renda – faixa 03Não se aplicaNão se aplicaIntermediário",Mercado_Receita!$L$2:$L$2578)+SUMIF(Mercado_Receita!$S$2:$S$2578,"44378B1ConvencionalResidencialResidencial baixa renda – faixa 03Não se aplicaNão se aplicaNão se aplica",Mercado_Receita!$L$2:$L$2578)</f>
        <v>8318.3280000000013</v>
      </c>
      <c r="R25" s="12">
        <f>SUMIF(Mercado_Receita!$S$2:$S$2578,"44409B1ConvencionalResidencialResidencial baixa renda – faixa 03Não se aplicaNão se aplicaPonta",Mercado_Receita!$L$2:$L$2578)+SUMIF(Mercado_Receita!$S$2:$S$2578,"44409B1ConvencionalResidencialResidencial baixa renda – faixa 03Não se aplicaNão se aplicaFora ponta",Mercado_Receita!$L$2:$L$2578)+SUMIF(Mercado_Receita!$S$2:$S$2578,"44409B1ConvencionalResidencialResidencial baixa renda – faixa 03Não se aplicaNão se aplicaIntermediário",Mercado_Receita!$L$2:$L$2578)+SUMIF(Mercado_Receita!$S$2:$S$2578,"44409B1ConvencionalResidencialResidencial baixa renda – faixa 03Não se aplicaNão se aplicaNão se aplica",Mercado_Receita!$L$2:$L$2578)</f>
        <v>9063.0550000000003</v>
      </c>
      <c r="S25" s="12">
        <f>SUMIF(Mercado_Receita!$S$2:$S$2578,"44440B1ConvencionalResidencialResidencial baixa renda – faixa 03Não se aplicaNão se aplicaPonta",Mercado_Receita!$L$2:$L$2578)+SUMIF(Mercado_Receita!$S$2:$S$2578,"44440B1ConvencionalResidencialResidencial baixa renda – faixa 03Não se aplicaNão se aplicaFora ponta",Mercado_Receita!$L$2:$L$2578)+SUMIF(Mercado_Receita!$S$2:$S$2578,"44440B1ConvencionalResidencialResidencial baixa renda – faixa 03Não se aplicaNão se aplicaIntermediário",Mercado_Receita!$L$2:$L$2578)+SUMIF(Mercado_Receita!$S$2:$S$2578,"44440B1ConvencionalResidencialResidencial baixa renda – faixa 03Não se aplicaNão se aplicaNão se aplica",Mercado_Receita!$L$2:$L$2578)</f>
        <v>9471.3269999999993</v>
      </c>
      <c r="T25" s="12">
        <f>SUMIF(Mercado_Receita!$S$2:$S$2578,"44470B1ConvencionalResidencialResidencial baixa renda – faixa 03Não se aplicaNão se aplicaPonta",Mercado_Receita!$L$2:$L$2578)+SUMIF(Mercado_Receita!$S$2:$S$2578,"44470B1ConvencionalResidencialResidencial baixa renda – faixa 03Não se aplicaNão se aplicaFora ponta",Mercado_Receita!$L$2:$L$2578)+SUMIF(Mercado_Receita!$S$2:$S$2578,"44470B1ConvencionalResidencialResidencial baixa renda – faixa 03Não se aplicaNão se aplicaIntermediário",Mercado_Receita!$L$2:$L$2578)+SUMIF(Mercado_Receita!$S$2:$S$2578,"44470B1ConvencionalResidencialResidencial baixa renda – faixa 03Não se aplicaNão se aplicaNão se aplica",Mercado_Receita!$L$2:$L$2578)</f>
        <v>9471.3269999999993</v>
      </c>
      <c r="U25" s="12">
        <f t="shared" si="0"/>
        <v>103208.47500000001</v>
      </c>
      <c r="V25" s="12"/>
      <c r="W25" s="12"/>
    </row>
    <row r="26" spans="1:23" ht="11.25" customHeight="1" x14ac:dyDescent="0.25">
      <c r="A26" s="110"/>
      <c r="B26" s="110"/>
      <c r="C26" s="110"/>
      <c r="D26" s="13" t="s">
        <v>34</v>
      </c>
      <c r="E26" s="13" t="s">
        <v>25</v>
      </c>
      <c r="F26" s="13" t="s">
        <v>25</v>
      </c>
      <c r="G26" s="12" t="s">
        <v>92</v>
      </c>
      <c r="H26" s="12" t="s">
        <v>86</v>
      </c>
      <c r="I26" s="12">
        <f>SUMIF(Mercado_Receita!$S$2:$S$2578,"44136B1ConvencionalResidencialResidencial baixa renda – faixa 04Não se aplicaNão se aplicaPonta",Mercado_Receita!$L$2:$L$2578)+SUMIF(Mercado_Receita!$S$2:$S$2578,"44136B1ConvencionalResidencialResidencial baixa renda – faixa 04Não se aplicaNão se aplicaFora ponta",Mercado_Receita!$L$2:$L$2578)+SUMIF(Mercado_Receita!$S$2:$S$2578,"44136B1ConvencionalResidencialResidencial baixa renda – faixa 04Não se aplicaNão se aplicaIntermediário",Mercado_Receita!$L$2:$L$2578)+SUMIF(Mercado_Receita!$S$2:$S$2578,"44136B1ConvencionalResidencialResidencial baixa renda – faixa 04Não se aplicaNão se aplicaNão se aplica",Mercado_Receita!$L$2:$L$2578)</f>
        <v>6179.3600000000006</v>
      </c>
      <c r="J26" s="12">
        <f>SUMIF(Mercado_Receita!$S$2:$S$2578,"44166B1ConvencionalResidencialResidencial baixa renda – faixa 04Não se aplicaNão se aplicaPonta",Mercado_Receita!$L$2:$L$2578)+SUMIF(Mercado_Receita!$S$2:$S$2578,"44166B1ConvencionalResidencialResidencial baixa renda – faixa 04Não se aplicaNão se aplicaFora ponta",Mercado_Receita!$L$2:$L$2578)+SUMIF(Mercado_Receita!$S$2:$S$2578,"44166B1ConvencionalResidencialResidencial baixa renda – faixa 04Não se aplicaNão se aplicaIntermediário",Mercado_Receita!$L$2:$L$2578)+SUMIF(Mercado_Receita!$S$2:$S$2578,"44166B1ConvencionalResidencialResidencial baixa renda – faixa 04Não se aplicaNão se aplicaNão se aplica",Mercado_Receita!$L$2:$L$2578)</f>
        <v>6148.9340000000002</v>
      </c>
      <c r="K26" s="12">
        <f>SUMIF(Mercado_Receita!$S$2:$S$2578,"44197B1ConvencionalResidencialResidencial baixa renda – faixa 04Não se aplicaNão se aplicaPonta",Mercado_Receita!$L$2:$L$2578)+SUMIF(Mercado_Receita!$S$2:$S$2578,"44197B1ConvencionalResidencialResidencial baixa renda – faixa 04Não se aplicaNão se aplicaFora ponta",Mercado_Receita!$L$2:$L$2578)+SUMIF(Mercado_Receita!$S$2:$S$2578,"44197B1ConvencionalResidencialResidencial baixa renda – faixa 04Não se aplicaNão se aplicaIntermediário",Mercado_Receita!$L$2:$L$2578)+SUMIF(Mercado_Receita!$S$2:$S$2578,"44197B1ConvencionalResidencialResidencial baixa renda – faixa 04Não se aplicaNão se aplicaNão se aplica",Mercado_Receita!$L$2:$L$2578)</f>
        <v>6144.2800000000007</v>
      </c>
      <c r="L26" s="12">
        <f>SUMIF(Mercado_Receita!$S$2:$S$2578,"44228B1ConvencionalResidencialResidencial baixa renda – faixa 04Não se aplicaNão se aplicaPonta",Mercado_Receita!$L$2:$L$2578)+SUMIF(Mercado_Receita!$S$2:$S$2578,"44228B1ConvencionalResidencialResidencial baixa renda – faixa 04Não se aplicaNão se aplicaFora ponta",Mercado_Receita!$L$2:$L$2578)+SUMIF(Mercado_Receita!$S$2:$S$2578,"44228B1ConvencionalResidencialResidencial baixa renda – faixa 04Não se aplicaNão se aplicaIntermediário",Mercado_Receita!$L$2:$L$2578)+SUMIF(Mercado_Receita!$S$2:$S$2578,"44228B1ConvencionalResidencialResidencial baixa renda – faixa 04Não se aplicaNão se aplicaNão se aplica",Mercado_Receita!$L$2:$L$2578)</f>
        <v>4779.8590000000004</v>
      </c>
      <c r="M26" s="12">
        <f>SUMIF(Mercado_Receita!$S$2:$S$2578,"44256B1ConvencionalResidencialResidencial baixa renda – faixa 04Não se aplicaNão se aplicaPonta",Mercado_Receita!$L$2:$L$2578)+SUMIF(Mercado_Receita!$S$2:$S$2578,"44256B1ConvencionalResidencialResidencial baixa renda – faixa 04Não se aplicaNão se aplicaFora ponta",Mercado_Receita!$L$2:$L$2578)+SUMIF(Mercado_Receita!$S$2:$S$2578,"44256B1ConvencionalResidencialResidencial baixa renda – faixa 04Não se aplicaNão se aplicaIntermediário",Mercado_Receita!$L$2:$L$2578)+SUMIF(Mercado_Receita!$S$2:$S$2578,"44256B1ConvencionalResidencialResidencial baixa renda – faixa 04Não se aplicaNão se aplicaNão se aplica",Mercado_Receita!$L$2:$L$2578)</f>
        <v>5470.1639999999998</v>
      </c>
      <c r="N26" s="12">
        <f>SUMIF(Mercado_Receita!$S$2:$S$2578,"44287B1ConvencionalResidencialResidencial baixa renda – faixa 04Não se aplicaNão se aplicaPonta",Mercado_Receita!$L$2:$L$2578)+SUMIF(Mercado_Receita!$S$2:$S$2578,"44287B1ConvencionalResidencialResidencial baixa renda – faixa 04Não se aplicaNão se aplicaFora ponta",Mercado_Receita!$L$2:$L$2578)+SUMIF(Mercado_Receita!$S$2:$S$2578,"44287B1ConvencionalResidencialResidencial baixa renda – faixa 04Não se aplicaNão se aplicaIntermediário",Mercado_Receita!$L$2:$L$2578)+SUMIF(Mercado_Receita!$S$2:$S$2578,"44287B1ConvencionalResidencialResidencial baixa renda – faixa 04Não se aplicaNão se aplicaNão se aplica",Mercado_Receita!$L$2:$L$2578)</f>
        <v>6219.2619999999997</v>
      </c>
      <c r="O26" s="12">
        <f>SUMIF(Mercado_Receita!$S$2:$S$2578,"44317B1ConvencionalResidencialResidencial baixa renda – faixa 04Não se aplicaNão se aplicaPonta",Mercado_Receita!$L$2:$L$2578)+SUMIF(Mercado_Receita!$S$2:$S$2578,"44317B1ConvencionalResidencialResidencial baixa renda – faixa 04Não se aplicaNão se aplicaFora ponta",Mercado_Receita!$L$2:$L$2578)+SUMIF(Mercado_Receita!$S$2:$S$2578,"44317B1ConvencionalResidencialResidencial baixa renda – faixa 04Não se aplicaNão se aplicaIntermediário",Mercado_Receita!$L$2:$L$2578)+SUMIF(Mercado_Receita!$S$2:$S$2578,"44317B1ConvencionalResidencialResidencial baixa renda – faixa 04Não se aplicaNão se aplicaNão se aplica",Mercado_Receita!$L$2:$L$2578)</f>
        <v>5949.8059999999996</v>
      </c>
      <c r="P26" s="12">
        <f>SUMIF(Mercado_Receita!$S$2:$S$2578,"44348B1ConvencionalResidencialResidencial baixa renda – faixa 04Não se aplicaNão se aplicaPonta",Mercado_Receita!$L$2:$L$2578)+SUMIF(Mercado_Receita!$S$2:$S$2578,"44348B1ConvencionalResidencialResidencial baixa renda – faixa 04Não se aplicaNão se aplicaFora ponta",Mercado_Receita!$L$2:$L$2578)+SUMIF(Mercado_Receita!$S$2:$S$2578,"44348B1ConvencionalResidencialResidencial baixa renda – faixa 04Não se aplicaNão se aplicaIntermediário",Mercado_Receita!$L$2:$L$2578)+SUMIF(Mercado_Receita!$S$2:$S$2578,"44348B1ConvencionalResidencialResidencial baixa renda – faixa 04Não se aplicaNão se aplicaNão se aplica",Mercado_Receita!$L$2:$L$2578)</f>
        <v>7269.402000000001</v>
      </c>
      <c r="Q26" s="12">
        <f>SUMIF(Mercado_Receita!$S$2:$S$2578,"44378B1ConvencionalResidencialResidencial baixa renda – faixa 04Não se aplicaNão se aplicaPonta",Mercado_Receita!$L$2:$L$2578)+SUMIF(Mercado_Receita!$S$2:$S$2578,"44378B1ConvencionalResidencialResidencial baixa renda – faixa 04Não se aplicaNão se aplicaFora ponta",Mercado_Receita!$L$2:$L$2578)+SUMIF(Mercado_Receita!$S$2:$S$2578,"44378B1ConvencionalResidencialResidencial baixa renda – faixa 04Não se aplicaNão se aplicaIntermediário",Mercado_Receita!$L$2:$L$2578)+SUMIF(Mercado_Receita!$S$2:$S$2578,"44378B1ConvencionalResidencialResidencial baixa renda – faixa 04Não se aplicaNão se aplicaNão se aplica",Mercado_Receita!$L$2:$L$2578)</f>
        <v>5766.8940000000002</v>
      </c>
      <c r="R26" s="12">
        <f>SUMIF(Mercado_Receita!$S$2:$S$2578,"44409B1ConvencionalResidencialResidencial baixa renda – faixa 04Não se aplicaNão se aplicaPonta",Mercado_Receita!$L$2:$L$2578)+SUMIF(Mercado_Receita!$S$2:$S$2578,"44409B1ConvencionalResidencialResidencial baixa renda – faixa 04Não se aplicaNão se aplicaFora ponta",Mercado_Receita!$L$2:$L$2578)+SUMIF(Mercado_Receita!$S$2:$S$2578,"44409B1ConvencionalResidencialResidencial baixa renda – faixa 04Não se aplicaNão se aplicaIntermediário",Mercado_Receita!$L$2:$L$2578)+SUMIF(Mercado_Receita!$S$2:$S$2578,"44409B1ConvencionalResidencialResidencial baixa renda – faixa 04Não se aplicaNão se aplicaNão se aplica",Mercado_Receita!$L$2:$L$2578)</f>
        <v>7601.5329999999994</v>
      </c>
      <c r="S26" s="12">
        <f>SUMIF(Mercado_Receita!$S$2:$S$2578,"44440B1ConvencionalResidencialResidencial baixa renda – faixa 04Não se aplicaNão se aplicaPonta",Mercado_Receita!$L$2:$L$2578)+SUMIF(Mercado_Receita!$S$2:$S$2578,"44440B1ConvencionalResidencialResidencial baixa renda – faixa 04Não se aplicaNão se aplicaFora ponta",Mercado_Receita!$L$2:$L$2578)+SUMIF(Mercado_Receita!$S$2:$S$2578,"44440B1ConvencionalResidencialResidencial baixa renda – faixa 04Não se aplicaNão se aplicaIntermediário",Mercado_Receita!$L$2:$L$2578)+SUMIF(Mercado_Receita!$S$2:$S$2578,"44440B1ConvencionalResidencialResidencial baixa renda – faixa 04Não se aplicaNão se aplicaNão se aplica",Mercado_Receita!$L$2:$L$2578)</f>
        <v>7980.6500000000005</v>
      </c>
      <c r="T26" s="12">
        <f>SUMIF(Mercado_Receita!$S$2:$S$2578,"44470B1ConvencionalResidencialResidencial baixa renda – faixa 04Não se aplicaNão se aplicaPonta",Mercado_Receita!$L$2:$L$2578)+SUMIF(Mercado_Receita!$S$2:$S$2578,"44470B1ConvencionalResidencialResidencial baixa renda – faixa 04Não se aplicaNão se aplicaFora ponta",Mercado_Receita!$L$2:$L$2578)+SUMIF(Mercado_Receita!$S$2:$S$2578,"44470B1ConvencionalResidencialResidencial baixa renda – faixa 04Não se aplicaNão se aplicaIntermediário",Mercado_Receita!$L$2:$L$2578)+SUMIF(Mercado_Receita!$S$2:$S$2578,"44470B1ConvencionalResidencialResidencial baixa renda – faixa 04Não se aplicaNão se aplicaNão se aplica",Mercado_Receita!$L$2:$L$2578)</f>
        <v>7980.6500000000005</v>
      </c>
      <c r="U26" s="12">
        <f t="shared" si="0"/>
        <v>77490.793999999994</v>
      </c>
      <c r="V26" s="12"/>
      <c r="W26" s="12"/>
    </row>
    <row r="27" spans="1:23" ht="11.25" customHeight="1" x14ac:dyDescent="0.25">
      <c r="A27" s="110"/>
      <c r="B27" s="109" t="s">
        <v>100</v>
      </c>
      <c r="C27" s="109" t="s">
        <v>24</v>
      </c>
      <c r="D27" s="13" t="s">
        <v>24</v>
      </c>
      <c r="E27" s="13" t="s">
        <v>25</v>
      </c>
      <c r="F27" s="13" t="s">
        <v>25</v>
      </c>
      <c r="G27" s="12" t="s">
        <v>92</v>
      </c>
      <c r="H27" s="12" t="s">
        <v>86</v>
      </c>
      <c r="I27" s="12">
        <f>SUMIF(Mercado_Receita!$S$2:$S$2578,"44136B1Convencional pré-pagamentoResidencialResidencialNão se aplicaNão se aplicaPonta",Mercado_Receita!$L$2:$L$2578)+SUMIF(Mercado_Receita!$S$2:$S$2578,"44136B1Convencional pré-pagamentoResidencialResidencialNão se aplicaNão se aplicaFora ponta",Mercado_Receita!$L$2:$L$2578)+SUMIF(Mercado_Receita!$S$2:$S$2578,"44136B1Convencional pré-pagamentoResidencialResidencialNão se aplicaNão se aplicaIntermediário",Mercado_Receita!$L$2:$L$2578)+SUMIF(Mercado_Receita!$S$2:$S$2578,"44136B1Convencional pré-pagamentoResidencialResidencialNão se aplicaNão se aplicaNão se aplica",Mercado_Receita!$L$2:$L$2578)</f>
        <v>0</v>
      </c>
      <c r="J27" s="12">
        <f>SUMIF(Mercado_Receita!$S$2:$S$2578,"44166B1Convencional pré-pagamentoResidencialResidencialNão se aplicaNão se aplicaPonta",Mercado_Receita!$L$2:$L$2578)+SUMIF(Mercado_Receita!$S$2:$S$2578,"44166B1Convencional pré-pagamentoResidencialResidencialNão se aplicaNão se aplicaFora ponta",Mercado_Receita!$L$2:$L$2578)+SUMIF(Mercado_Receita!$S$2:$S$2578,"44166B1Convencional pré-pagamentoResidencialResidencialNão se aplicaNão se aplicaIntermediário",Mercado_Receita!$L$2:$L$2578)+SUMIF(Mercado_Receita!$S$2:$S$2578,"44166B1Convencional pré-pagamentoResidencialResidencialNão se aplicaNão se aplicaNão se aplica",Mercado_Receita!$L$2:$L$2578)</f>
        <v>0</v>
      </c>
      <c r="K27" s="12">
        <f>SUMIF(Mercado_Receita!$S$2:$S$2578,"44197B1Convencional pré-pagamentoResidencialResidencialNão se aplicaNão se aplicaPonta",Mercado_Receita!$L$2:$L$2578)+SUMIF(Mercado_Receita!$S$2:$S$2578,"44197B1Convencional pré-pagamentoResidencialResidencialNão se aplicaNão se aplicaFora ponta",Mercado_Receita!$L$2:$L$2578)+SUMIF(Mercado_Receita!$S$2:$S$2578,"44197B1Convencional pré-pagamentoResidencialResidencialNão se aplicaNão se aplicaIntermediário",Mercado_Receita!$L$2:$L$2578)+SUMIF(Mercado_Receita!$S$2:$S$2578,"44197B1Convencional pré-pagamentoResidencialResidencialNão se aplicaNão se aplicaNão se aplica",Mercado_Receita!$L$2:$L$2578)</f>
        <v>0</v>
      </c>
      <c r="L27" s="12">
        <f>SUMIF(Mercado_Receita!$S$2:$S$2578,"44228B1Convencional pré-pagamentoResidencialResidencialNão se aplicaNão se aplicaPonta",Mercado_Receita!$L$2:$L$2578)+SUMIF(Mercado_Receita!$S$2:$S$2578,"44228B1Convencional pré-pagamentoResidencialResidencialNão se aplicaNão se aplicaFora ponta",Mercado_Receita!$L$2:$L$2578)+SUMIF(Mercado_Receita!$S$2:$S$2578,"44228B1Convencional pré-pagamentoResidencialResidencialNão se aplicaNão se aplicaIntermediário",Mercado_Receita!$L$2:$L$2578)+SUMIF(Mercado_Receita!$S$2:$S$2578,"44228B1Convencional pré-pagamentoResidencialResidencialNão se aplicaNão se aplicaNão se aplica",Mercado_Receita!$L$2:$L$2578)</f>
        <v>0</v>
      </c>
      <c r="M27" s="12">
        <f>SUMIF(Mercado_Receita!$S$2:$S$2578,"44256B1Convencional pré-pagamentoResidencialResidencialNão se aplicaNão se aplicaPonta",Mercado_Receita!$L$2:$L$2578)+SUMIF(Mercado_Receita!$S$2:$S$2578,"44256B1Convencional pré-pagamentoResidencialResidencialNão se aplicaNão se aplicaFora ponta",Mercado_Receita!$L$2:$L$2578)+SUMIF(Mercado_Receita!$S$2:$S$2578,"44256B1Convencional pré-pagamentoResidencialResidencialNão se aplicaNão se aplicaIntermediário",Mercado_Receita!$L$2:$L$2578)+SUMIF(Mercado_Receita!$S$2:$S$2578,"44256B1Convencional pré-pagamentoResidencialResidencialNão se aplicaNão se aplicaNão se aplica",Mercado_Receita!$L$2:$L$2578)</f>
        <v>0</v>
      </c>
      <c r="N27" s="12">
        <f>SUMIF(Mercado_Receita!$S$2:$S$2578,"44287B1Convencional pré-pagamentoResidencialResidencialNão se aplicaNão se aplicaPonta",Mercado_Receita!$L$2:$L$2578)+SUMIF(Mercado_Receita!$S$2:$S$2578,"44287B1Convencional pré-pagamentoResidencialResidencialNão se aplicaNão se aplicaFora ponta",Mercado_Receita!$L$2:$L$2578)+SUMIF(Mercado_Receita!$S$2:$S$2578,"44287B1Convencional pré-pagamentoResidencialResidencialNão se aplicaNão se aplicaIntermediário",Mercado_Receita!$L$2:$L$2578)+SUMIF(Mercado_Receita!$S$2:$S$2578,"44287B1Convencional pré-pagamentoResidencialResidencialNão se aplicaNão se aplicaNão se aplica",Mercado_Receita!$L$2:$L$2578)</f>
        <v>0</v>
      </c>
      <c r="O27" s="12">
        <f>SUMIF(Mercado_Receita!$S$2:$S$2578,"44317B1Convencional pré-pagamentoResidencialResidencialNão se aplicaNão se aplicaPonta",Mercado_Receita!$L$2:$L$2578)+SUMIF(Mercado_Receita!$S$2:$S$2578,"44317B1Convencional pré-pagamentoResidencialResidencialNão se aplicaNão se aplicaFora ponta",Mercado_Receita!$L$2:$L$2578)+SUMIF(Mercado_Receita!$S$2:$S$2578,"44317B1Convencional pré-pagamentoResidencialResidencialNão se aplicaNão se aplicaIntermediário",Mercado_Receita!$L$2:$L$2578)+SUMIF(Mercado_Receita!$S$2:$S$2578,"44317B1Convencional pré-pagamentoResidencialResidencialNão se aplicaNão se aplicaNão se aplica",Mercado_Receita!$L$2:$L$2578)</f>
        <v>0</v>
      </c>
      <c r="P27" s="12">
        <f>SUMIF(Mercado_Receita!$S$2:$S$2578,"44348B1Convencional pré-pagamentoResidencialResidencialNão se aplicaNão se aplicaPonta",Mercado_Receita!$L$2:$L$2578)+SUMIF(Mercado_Receita!$S$2:$S$2578,"44348B1Convencional pré-pagamentoResidencialResidencialNão se aplicaNão se aplicaFora ponta",Mercado_Receita!$L$2:$L$2578)+SUMIF(Mercado_Receita!$S$2:$S$2578,"44348B1Convencional pré-pagamentoResidencialResidencialNão se aplicaNão se aplicaIntermediário",Mercado_Receita!$L$2:$L$2578)+SUMIF(Mercado_Receita!$S$2:$S$2578,"44348B1Convencional pré-pagamentoResidencialResidencialNão se aplicaNão se aplicaNão se aplica",Mercado_Receita!$L$2:$L$2578)</f>
        <v>0</v>
      </c>
      <c r="Q27" s="12">
        <f>SUMIF(Mercado_Receita!$S$2:$S$2578,"44378B1Convencional pré-pagamentoResidencialResidencialNão se aplicaNão se aplicaPonta",Mercado_Receita!$L$2:$L$2578)+SUMIF(Mercado_Receita!$S$2:$S$2578,"44378B1Convencional pré-pagamentoResidencialResidencialNão se aplicaNão se aplicaFora ponta",Mercado_Receita!$L$2:$L$2578)+SUMIF(Mercado_Receita!$S$2:$S$2578,"44378B1Convencional pré-pagamentoResidencialResidencialNão se aplicaNão se aplicaIntermediário",Mercado_Receita!$L$2:$L$2578)+SUMIF(Mercado_Receita!$S$2:$S$2578,"44378B1Convencional pré-pagamentoResidencialResidencialNão se aplicaNão se aplicaNão se aplica",Mercado_Receita!$L$2:$L$2578)</f>
        <v>0</v>
      </c>
      <c r="R27" s="12">
        <f>SUMIF(Mercado_Receita!$S$2:$S$2578,"44409B1Convencional pré-pagamentoResidencialResidencialNão se aplicaNão se aplicaPonta",Mercado_Receita!$L$2:$L$2578)+SUMIF(Mercado_Receita!$S$2:$S$2578,"44409B1Convencional pré-pagamentoResidencialResidencialNão se aplicaNão se aplicaFora ponta",Mercado_Receita!$L$2:$L$2578)+SUMIF(Mercado_Receita!$S$2:$S$2578,"44409B1Convencional pré-pagamentoResidencialResidencialNão se aplicaNão se aplicaIntermediário",Mercado_Receita!$L$2:$L$2578)+SUMIF(Mercado_Receita!$S$2:$S$2578,"44409B1Convencional pré-pagamentoResidencialResidencialNão se aplicaNão se aplicaNão se aplica",Mercado_Receita!$L$2:$L$2578)</f>
        <v>0</v>
      </c>
      <c r="S27" s="12">
        <f>SUMIF(Mercado_Receita!$S$2:$S$2578,"44440B1Convencional pré-pagamentoResidencialResidencialNão se aplicaNão se aplicaPonta",Mercado_Receita!$L$2:$L$2578)+SUMIF(Mercado_Receita!$S$2:$S$2578,"44440B1Convencional pré-pagamentoResidencialResidencialNão se aplicaNão se aplicaFora ponta",Mercado_Receita!$L$2:$L$2578)+SUMIF(Mercado_Receita!$S$2:$S$2578,"44440B1Convencional pré-pagamentoResidencialResidencialNão se aplicaNão se aplicaIntermediário",Mercado_Receita!$L$2:$L$2578)+SUMIF(Mercado_Receita!$S$2:$S$2578,"44440B1Convencional pré-pagamentoResidencialResidencialNão se aplicaNão se aplicaNão se aplica",Mercado_Receita!$L$2:$L$2578)</f>
        <v>0</v>
      </c>
      <c r="T27" s="12">
        <f>SUMIF(Mercado_Receita!$S$2:$S$2578,"44470B1Convencional pré-pagamentoResidencialResidencialNão se aplicaNão se aplicaPonta",Mercado_Receita!$L$2:$L$2578)+SUMIF(Mercado_Receita!$S$2:$S$2578,"44470B1Convencional pré-pagamentoResidencialResidencialNão se aplicaNão se aplicaFora ponta",Mercado_Receita!$L$2:$L$2578)+SUMIF(Mercado_Receita!$S$2:$S$2578,"44470B1Convencional pré-pagamentoResidencialResidencialNão se aplicaNão se aplicaIntermediário",Mercado_Receita!$L$2:$L$2578)+SUMIF(Mercado_Receita!$S$2:$S$2578,"44470B1Convencional pré-pagamentoResidencialResidencialNão se aplicaNão se aplicaNão se aplica",Mercado_Receita!$L$2:$L$2578)</f>
        <v>0</v>
      </c>
      <c r="U27" s="12">
        <f t="shared" si="0"/>
        <v>0</v>
      </c>
      <c r="V27" s="12"/>
      <c r="W27" s="12"/>
    </row>
    <row r="28" spans="1:23" ht="11.25" customHeight="1" x14ac:dyDescent="0.25">
      <c r="A28" s="110"/>
      <c r="B28" s="110"/>
      <c r="C28" s="110"/>
      <c r="D28" s="13" t="s">
        <v>31</v>
      </c>
      <c r="E28" s="13" t="s">
        <v>25</v>
      </c>
      <c r="F28" s="13" t="s">
        <v>25</v>
      </c>
      <c r="G28" s="12" t="s">
        <v>92</v>
      </c>
      <c r="H28" s="12" t="s">
        <v>86</v>
      </c>
      <c r="I28" s="12">
        <f>SUMIF(Mercado_Receita!$S$2:$S$2578,"44136B1Convencional pré-pagamentoResidencialResidencial baixa renda – faixa 01Não se aplicaNão se aplicaPonta",Mercado_Receita!$L$2:$L$2578)+SUMIF(Mercado_Receita!$S$2:$S$2578,"44136B1Convencional pré-pagamentoResidencialResidencial baixa renda – faixa 01Não se aplicaNão se aplicaFora ponta",Mercado_Receita!$L$2:$L$2578)+SUMIF(Mercado_Receita!$S$2:$S$2578,"44136B1Convencional pré-pagamentoResidencialResidencial baixa renda – faixa 01Não se aplicaNão se aplicaIntermediário",Mercado_Receita!$L$2:$L$2578)+SUMIF(Mercado_Receita!$S$2:$S$2578,"44136B1Convencional pré-pagamentoResidencialResidencial baixa renda – faixa 01Não se aplicaNão se aplicaNão se aplica",Mercado_Receita!$L$2:$L$2578)</f>
        <v>0</v>
      </c>
      <c r="J28" s="12">
        <f>SUMIF(Mercado_Receita!$S$2:$S$2578,"44166B1Convencional pré-pagamentoResidencialResidencial baixa renda – faixa 01Não se aplicaNão se aplicaPonta",Mercado_Receita!$L$2:$L$2578)+SUMIF(Mercado_Receita!$S$2:$S$2578,"44166B1Convencional pré-pagamentoResidencialResidencial baixa renda – faixa 01Não se aplicaNão se aplicaFora ponta",Mercado_Receita!$L$2:$L$2578)+SUMIF(Mercado_Receita!$S$2:$S$2578,"44166B1Convencional pré-pagamentoResidencialResidencial baixa renda – faixa 01Não se aplicaNão se aplicaIntermediário",Mercado_Receita!$L$2:$L$2578)+SUMIF(Mercado_Receita!$S$2:$S$2578,"44166B1Convencional pré-pagamentoResidencialResidencial baixa renda – faixa 01Não se aplicaNão se aplicaNão se aplica",Mercado_Receita!$L$2:$L$2578)</f>
        <v>0</v>
      </c>
      <c r="K28" s="12">
        <f>SUMIF(Mercado_Receita!$S$2:$S$2578,"44197B1Convencional pré-pagamentoResidencialResidencial baixa renda – faixa 01Não se aplicaNão se aplicaPonta",Mercado_Receita!$L$2:$L$2578)+SUMIF(Mercado_Receita!$S$2:$S$2578,"44197B1Convencional pré-pagamentoResidencialResidencial baixa renda – faixa 01Não se aplicaNão se aplicaFora ponta",Mercado_Receita!$L$2:$L$2578)+SUMIF(Mercado_Receita!$S$2:$S$2578,"44197B1Convencional pré-pagamentoResidencialResidencial baixa renda – faixa 01Não se aplicaNão se aplicaIntermediário",Mercado_Receita!$L$2:$L$2578)+SUMIF(Mercado_Receita!$S$2:$S$2578,"44197B1Convencional pré-pagamentoResidencialResidencial baixa renda – faixa 01Não se aplicaNão se aplicaNão se aplica",Mercado_Receita!$L$2:$L$2578)</f>
        <v>0</v>
      </c>
      <c r="L28" s="12">
        <f>SUMIF(Mercado_Receita!$S$2:$S$2578,"44228B1Convencional pré-pagamentoResidencialResidencial baixa renda – faixa 01Não se aplicaNão se aplicaPonta",Mercado_Receita!$L$2:$L$2578)+SUMIF(Mercado_Receita!$S$2:$S$2578,"44228B1Convencional pré-pagamentoResidencialResidencial baixa renda – faixa 01Não se aplicaNão se aplicaFora ponta",Mercado_Receita!$L$2:$L$2578)+SUMIF(Mercado_Receita!$S$2:$S$2578,"44228B1Convencional pré-pagamentoResidencialResidencial baixa renda – faixa 01Não se aplicaNão se aplicaIntermediário",Mercado_Receita!$L$2:$L$2578)+SUMIF(Mercado_Receita!$S$2:$S$2578,"44228B1Convencional pré-pagamentoResidencialResidencial baixa renda – faixa 01Não se aplicaNão se aplicaNão se aplica",Mercado_Receita!$L$2:$L$2578)</f>
        <v>0</v>
      </c>
      <c r="M28" s="12">
        <f>SUMIF(Mercado_Receita!$S$2:$S$2578,"44256B1Convencional pré-pagamentoResidencialResidencial baixa renda – faixa 01Não se aplicaNão se aplicaPonta",Mercado_Receita!$L$2:$L$2578)+SUMIF(Mercado_Receita!$S$2:$S$2578,"44256B1Convencional pré-pagamentoResidencialResidencial baixa renda – faixa 01Não se aplicaNão se aplicaFora ponta",Mercado_Receita!$L$2:$L$2578)+SUMIF(Mercado_Receita!$S$2:$S$2578,"44256B1Convencional pré-pagamentoResidencialResidencial baixa renda – faixa 01Não se aplicaNão se aplicaIntermediário",Mercado_Receita!$L$2:$L$2578)+SUMIF(Mercado_Receita!$S$2:$S$2578,"44256B1Convencional pré-pagamentoResidencialResidencial baixa renda – faixa 01Não se aplicaNão se aplicaNão se aplica",Mercado_Receita!$L$2:$L$2578)</f>
        <v>0</v>
      </c>
      <c r="N28" s="12">
        <f>SUMIF(Mercado_Receita!$S$2:$S$2578,"44287B1Convencional pré-pagamentoResidencialResidencial baixa renda – faixa 01Não se aplicaNão se aplicaPonta",Mercado_Receita!$L$2:$L$2578)+SUMIF(Mercado_Receita!$S$2:$S$2578,"44287B1Convencional pré-pagamentoResidencialResidencial baixa renda – faixa 01Não se aplicaNão se aplicaFora ponta",Mercado_Receita!$L$2:$L$2578)+SUMIF(Mercado_Receita!$S$2:$S$2578,"44287B1Convencional pré-pagamentoResidencialResidencial baixa renda – faixa 01Não se aplicaNão se aplicaIntermediário",Mercado_Receita!$L$2:$L$2578)+SUMIF(Mercado_Receita!$S$2:$S$2578,"44287B1Convencional pré-pagamentoResidencialResidencial baixa renda – faixa 01Não se aplicaNão se aplicaNão se aplica",Mercado_Receita!$L$2:$L$2578)</f>
        <v>0</v>
      </c>
      <c r="O28" s="12">
        <f>SUMIF(Mercado_Receita!$S$2:$S$2578,"44317B1Convencional pré-pagamentoResidencialResidencial baixa renda – faixa 01Não se aplicaNão se aplicaPonta",Mercado_Receita!$L$2:$L$2578)+SUMIF(Mercado_Receita!$S$2:$S$2578,"44317B1Convencional pré-pagamentoResidencialResidencial baixa renda – faixa 01Não se aplicaNão se aplicaFora ponta",Mercado_Receita!$L$2:$L$2578)+SUMIF(Mercado_Receita!$S$2:$S$2578,"44317B1Convencional pré-pagamentoResidencialResidencial baixa renda – faixa 01Não se aplicaNão se aplicaIntermediário",Mercado_Receita!$L$2:$L$2578)+SUMIF(Mercado_Receita!$S$2:$S$2578,"44317B1Convencional pré-pagamentoResidencialResidencial baixa renda – faixa 01Não se aplicaNão se aplicaNão se aplica",Mercado_Receita!$L$2:$L$2578)</f>
        <v>0</v>
      </c>
      <c r="P28" s="12">
        <f>SUMIF(Mercado_Receita!$S$2:$S$2578,"44348B1Convencional pré-pagamentoResidencialResidencial baixa renda – faixa 01Não se aplicaNão se aplicaPonta",Mercado_Receita!$L$2:$L$2578)+SUMIF(Mercado_Receita!$S$2:$S$2578,"44348B1Convencional pré-pagamentoResidencialResidencial baixa renda – faixa 01Não se aplicaNão se aplicaFora ponta",Mercado_Receita!$L$2:$L$2578)+SUMIF(Mercado_Receita!$S$2:$S$2578,"44348B1Convencional pré-pagamentoResidencialResidencial baixa renda – faixa 01Não se aplicaNão se aplicaIntermediário",Mercado_Receita!$L$2:$L$2578)+SUMIF(Mercado_Receita!$S$2:$S$2578,"44348B1Convencional pré-pagamentoResidencialResidencial baixa renda – faixa 01Não se aplicaNão se aplicaNão se aplica",Mercado_Receita!$L$2:$L$2578)</f>
        <v>0</v>
      </c>
      <c r="Q28" s="12">
        <f>SUMIF(Mercado_Receita!$S$2:$S$2578,"44378B1Convencional pré-pagamentoResidencialResidencial baixa renda – faixa 01Não se aplicaNão se aplicaPonta",Mercado_Receita!$L$2:$L$2578)+SUMIF(Mercado_Receita!$S$2:$S$2578,"44378B1Convencional pré-pagamentoResidencialResidencial baixa renda – faixa 01Não se aplicaNão se aplicaFora ponta",Mercado_Receita!$L$2:$L$2578)+SUMIF(Mercado_Receita!$S$2:$S$2578,"44378B1Convencional pré-pagamentoResidencialResidencial baixa renda – faixa 01Não se aplicaNão se aplicaIntermediário",Mercado_Receita!$L$2:$L$2578)+SUMIF(Mercado_Receita!$S$2:$S$2578,"44378B1Convencional pré-pagamentoResidencialResidencial baixa renda – faixa 01Não se aplicaNão se aplicaNão se aplica",Mercado_Receita!$L$2:$L$2578)</f>
        <v>0</v>
      </c>
      <c r="R28" s="12">
        <f>SUMIF(Mercado_Receita!$S$2:$S$2578,"44409B1Convencional pré-pagamentoResidencialResidencial baixa renda – faixa 01Não se aplicaNão se aplicaPonta",Mercado_Receita!$L$2:$L$2578)+SUMIF(Mercado_Receita!$S$2:$S$2578,"44409B1Convencional pré-pagamentoResidencialResidencial baixa renda – faixa 01Não se aplicaNão se aplicaFora ponta",Mercado_Receita!$L$2:$L$2578)+SUMIF(Mercado_Receita!$S$2:$S$2578,"44409B1Convencional pré-pagamentoResidencialResidencial baixa renda – faixa 01Não se aplicaNão se aplicaIntermediário",Mercado_Receita!$L$2:$L$2578)+SUMIF(Mercado_Receita!$S$2:$S$2578,"44409B1Convencional pré-pagamentoResidencialResidencial baixa renda – faixa 01Não se aplicaNão se aplicaNão se aplica",Mercado_Receita!$L$2:$L$2578)</f>
        <v>0</v>
      </c>
      <c r="S28" s="12">
        <f>SUMIF(Mercado_Receita!$S$2:$S$2578,"44440B1Convencional pré-pagamentoResidencialResidencial baixa renda – faixa 01Não se aplicaNão se aplicaPonta",Mercado_Receita!$L$2:$L$2578)+SUMIF(Mercado_Receita!$S$2:$S$2578,"44440B1Convencional pré-pagamentoResidencialResidencial baixa renda – faixa 01Não se aplicaNão se aplicaFora ponta",Mercado_Receita!$L$2:$L$2578)+SUMIF(Mercado_Receita!$S$2:$S$2578,"44440B1Convencional pré-pagamentoResidencialResidencial baixa renda – faixa 01Não se aplicaNão se aplicaIntermediário",Mercado_Receita!$L$2:$L$2578)+SUMIF(Mercado_Receita!$S$2:$S$2578,"44440B1Convencional pré-pagamentoResidencialResidencial baixa renda – faixa 01Não se aplicaNão se aplicaNão se aplica",Mercado_Receita!$L$2:$L$2578)</f>
        <v>0</v>
      </c>
      <c r="T28" s="12">
        <f>SUMIF(Mercado_Receita!$S$2:$S$2578,"44470B1Convencional pré-pagamentoResidencialResidencial baixa renda – faixa 01Não se aplicaNão se aplicaPonta",Mercado_Receita!$L$2:$L$2578)+SUMIF(Mercado_Receita!$S$2:$S$2578,"44470B1Convencional pré-pagamentoResidencialResidencial baixa renda – faixa 01Não se aplicaNão se aplicaFora ponta",Mercado_Receita!$L$2:$L$2578)+SUMIF(Mercado_Receita!$S$2:$S$2578,"44470B1Convencional pré-pagamentoResidencialResidencial baixa renda – faixa 01Não se aplicaNão se aplicaIntermediário",Mercado_Receita!$L$2:$L$2578)+SUMIF(Mercado_Receita!$S$2:$S$2578,"44470B1Convencional pré-pagamentoResidencialResidencial baixa renda – faixa 01Não se aplicaNão se aplicaNão se aplica",Mercado_Receita!$L$2:$L$2578)</f>
        <v>0</v>
      </c>
      <c r="U28" s="12">
        <f t="shared" si="0"/>
        <v>0</v>
      </c>
      <c r="V28" s="12"/>
      <c r="W28" s="12"/>
    </row>
    <row r="29" spans="1:23" ht="11.25" customHeight="1" x14ac:dyDescent="0.25">
      <c r="A29" s="110"/>
      <c r="B29" s="110"/>
      <c r="C29" s="110"/>
      <c r="D29" s="13" t="s">
        <v>32</v>
      </c>
      <c r="E29" s="13" t="s">
        <v>25</v>
      </c>
      <c r="F29" s="13" t="s">
        <v>25</v>
      </c>
      <c r="G29" s="12" t="s">
        <v>92</v>
      </c>
      <c r="H29" s="12" t="s">
        <v>86</v>
      </c>
      <c r="I29" s="12">
        <f>SUMIF(Mercado_Receita!$S$2:$S$2578,"44136B1Convencional pré-pagamentoResidencialResidencial baixa renda – faixa 02Não se aplicaNão se aplicaPonta",Mercado_Receita!$L$2:$L$2578)+SUMIF(Mercado_Receita!$S$2:$S$2578,"44136B1Convencional pré-pagamentoResidencialResidencial baixa renda – faixa 02Não se aplicaNão se aplicaFora ponta",Mercado_Receita!$L$2:$L$2578)+SUMIF(Mercado_Receita!$S$2:$S$2578,"44136B1Convencional pré-pagamentoResidencialResidencial baixa renda – faixa 02Não se aplicaNão se aplicaIntermediário",Mercado_Receita!$L$2:$L$2578)+SUMIF(Mercado_Receita!$S$2:$S$2578,"44136B1Convencional pré-pagamentoResidencialResidencial baixa renda – faixa 02Não se aplicaNão se aplicaNão se aplica",Mercado_Receita!$L$2:$L$2578)</f>
        <v>0</v>
      </c>
      <c r="J29" s="12">
        <f>SUMIF(Mercado_Receita!$S$2:$S$2578,"44166B1Convencional pré-pagamentoResidencialResidencial baixa renda – faixa 02Não se aplicaNão se aplicaPonta",Mercado_Receita!$L$2:$L$2578)+SUMIF(Mercado_Receita!$S$2:$S$2578,"44166B1Convencional pré-pagamentoResidencialResidencial baixa renda – faixa 02Não se aplicaNão se aplicaFora ponta",Mercado_Receita!$L$2:$L$2578)+SUMIF(Mercado_Receita!$S$2:$S$2578,"44166B1Convencional pré-pagamentoResidencialResidencial baixa renda – faixa 02Não se aplicaNão se aplicaIntermediário",Mercado_Receita!$L$2:$L$2578)+SUMIF(Mercado_Receita!$S$2:$S$2578,"44166B1Convencional pré-pagamentoResidencialResidencial baixa renda – faixa 02Não se aplicaNão se aplicaNão se aplica",Mercado_Receita!$L$2:$L$2578)</f>
        <v>0</v>
      </c>
      <c r="K29" s="12">
        <f>SUMIF(Mercado_Receita!$S$2:$S$2578,"44197B1Convencional pré-pagamentoResidencialResidencial baixa renda – faixa 02Não se aplicaNão se aplicaPonta",Mercado_Receita!$L$2:$L$2578)+SUMIF(Mercado_Receita!$S$2:$S$2578,"44197B1Convencional pré-pagamentoResidencialResidencial baixa renda – faixa 02Não se aplicaNão se aplicaFora ponta",Mercado_Receita!$L$2:$L$2578)+SUMIF(Mercado_Receita!$S$2:$S$2578,"44197B1Convencional pré-pagamentoResidencialResidencial baixa renda – faixa 02Não se aplicaNão se aplicaIntermediário",Mercado_Receita!$L$2:$L$2578)+SUMIF(Mercado_Receita!$S$2:$S$2578,"44197B1Convencional pré-pagamentoResidencialResidencial baixa renda – faixa 02Não se aplicaNão se aplicaNão se aplica",Mercado_Receita!$L$2:$L$2578)</f>
        <v>0</v>
      </c>
      <c r="L29" s="12">
        <f>SUMIF(Mercado_Receita!$S$2:$S$2578,"44228B1Convencional pré-pagamentoResidencialResidencial baixa renda – faixa 02Não se aplicaNão se aplicaPonta",Mercado_Receita!$L$2:$L$2578)+SUMIF(Mercado_Receita!$S$2:$S$2578,"44228B1Convencional pré-pagamentoResidencialResidencial baixa renda – faixa 02Não se aplicaNão se aplicaFora ponta",Mercado_Receita!$L$2:$L$2578)+SUMIF(Mercado_Receita!$S$2:$S$2578,"44228B1Convencional pré-pagamentoResidencialResidencial baixa renda – faixa 02Não se aplicaNão se aplicaIntermediário",Mercado_Receita!$L$2:$L$2578)+SUMIF(Mercado_Receita!$S$2:$S$2578,"44228B1Convencional pré-pagamentoResidencialResidencial baixa renda – faixa 02Não se aplicaNão se aplicaNão se aplica",Mercado_Receita!$L$2:$L$2578)</f>
        <v>0</v>
      </c>
      <c r="M29" s="12">
        <f>SUMIF(Mercado_Receita!$S$2:$S$2578,"44256B1Convencional pré-pagamentoResidencialResidencial baixa renda – faixa 02Não se aplicaNão se aplicaPonta",Mercado_Receita!$L$2:$L$2578)+SUMIF(Mercado_Receita!$S$2:$S$2578,"44256B1Convencional pré-pagamentoResidencialResidencial baixa renda – faixa 02Não se aplicaNão se aplicaFora ponta",Mercado_Receita!$L$2:$L$2578)+SUMIF(Mercado_Receita!$S$2:$S$2578,"44256B1Convencional pré-pagamentoResidencialResidencial baixa renda – faixa 02Não se aplicaNão se aplicaIntermediário",Mercado_Receita!$L$2:$L$2578)+SUMIF(Mercado_Receita!$S$2:$S$2578,"44256B1Convencional pré-pagamentoResidencialResidencial baixa renda – faixa 02Não se aplicaNão se aplicaNão se aplica",Mercado_Receita!$L$2:$L$2578)</f>
        <v>0</v>
      </c>
      <c r="N29" s="12">
        <f>SUMIF(Mercado_Receita!$S$2:$S$2578,"44287B1Convencional pré-pagamentoResidencialResidencial baixa renda – faixa 02Não se aplicaNão se aplicaPonta",Mercado_Receita!$L$2:$L$2578)+SUMIF(Mercado_Receita!$S$2:$S$2578,"44287B1Convencional pré-pagamentoResidencialResidencial baixa renda – faixa 02Não se aplicaNão se aplicaFora ponta",Mercado_Receita!$L$2:$L$2578)+SUMIF(Mercado_Receita!$S$2:$S$2578,"44287B1Convencional pré-pagamentoResidencialResidencial baixa renda – faixa 02Não se aplicaNão se aplicaIntermediário",Mercado_Receita!$L$2:$L$2578)+SUMIF(Mercado_Receita!$S$2:$S$2578,"44287B1Convencional pré-pagamentoResidencialResidencial baixa renda – faixa 02Não se aplicaNão se aplicaNão se aplica",Mercado_Receita!$L$2:$L$2578)</f>
        <v>0</v>
      </c>
      <c r="O29" s="12">
        <f>SUMIF(Mercado_Receita!$S$2:$S$2578,"44317B1Convencional pré-pagamentoResidencialResidencial baixa renda – faixa 02Não se aplicaNão se aplicaPonta",Mercado_Receita!$L$2:$L$2578)+SUMIF(Mercado_Receita!$S$2:$S$2578,"44317B1Convencional pré-pagamentoResidencialResidencial baixa renda – faixa 02Não se aplicaNão se aplicaFora ponta",Mercado_Receita!$L$2:$L$2578)+SUMIF(Mercado_Receita!$S$2:$S$2578,"44317B1Convencional pré-pagamentoResidencialResidencial baixa renda – faixa 02Não se aplicaNão se aplicaIntermediário",Mercado_Receita!$L$2:$L$2578)+SUMIF(Mercado_Receita!$S$2:$S$2578,"44317B1Convencional pré-pagamentoResidencialResidencial baixa renda – faixa 02Não se aplicaNão se aplicaNão se aplica",Mercado_Receita!$L$2:$L$2578)</f>
        <v>0</v>
      </c>
      <c r="P29" s="12">
        <f>SUMIF(Mercado_Receita!$S$2:$S$2578,"44348B1Convencional pré-pagamentoResidencialResidencial baixa renda – faixa 02Não se aplicaNão se aplicaPonta",Mercado_Receita!$L$2:$L$2578)+SUMIF(Mercado_Receita!$S$2:$S$2578,"44348B1Convencional pré-pagamentoResidencialResidencial baixa renda – faixa 02Não se aplicaNão se aplicaFora ponta",Mercado_Receita!$L$2:$L$2578)+SUMIF(Mercado_Receita!$S$2:$S$2578,"44348B1Convencional pré-pagamentoResidencialResidencial baixa renda – faixa 02Não se aplicaNão se aplicaIntermediário",Mercado_Receita!$L$2:$L$2578)+SUMIF(Mercado_Receita!$S$2:$S$2578,"44348B1Convencional pré-pagamentoResidencialResidencial baixa renda – faixa 02Não se aplicaNão se aplicaNão se aplica",Mercado_Receita!$L$2:$L$2578)</f>
        <v>0</v>
      </c>
      <c r="Q29" s="12">
        <f>SUMIF(Mercado_Receita!$S$2:$S$2578,"44378B1Convencional pré-pagamentoResidencialResidencial baixa renda – faixa 02Não se aplicaNão se aplicaPonta",Mercado_Receita!$L$2:$L$2578)+SUMIF(Mercado_Receita!$S$2:$S$2578,"44378B1Convencional pré-pagamentoResidencialResidencial baixa renda – faixa 02Não se aplicaNão se aplicaFora ponta",Mercado_Receita!$L$2:$L$2578)+SUMIF(Mercado_Receita!$S$2:$S$2578,"44378B1Convencional pré-pagamentoResidencialResidencial baixa renda – faixa 02Não se aplicaNão se aplicaIntermediário",Mercado_Receita!$L$2:$L$2578)+SUMIF(Mercado_Receita!$S$2:$S$2578,"44378B1Convencional pré-pagamentoResidencialResidencial baixa renda – faixa 02Não se aplicaNão se aplicaNão se aplica",Mercado_Receita!$L$2:$L$2578)</f>
        <v>0</v>
      </c>
      <c r="R29" s="12">
        <f>SUMIF(Mercado_Receita!$S$2:$S$2578,"44409B1Convencional pré-pagamentoResidencialResidencial baixa renda – faixa 02Não se aplicaNão se aplicaPonta",Mercado_Receita!$L$2:$L$2578)+SUMIF(Mercado_Receita!$S$2:$S$2578,"44409B1Convencional pré-pagamentoResidencialResidencial baixa renda – faixa 02Não se aplicaNão se aplicaFora ponta",Mercado_Receita!$L$2:$L$2578)+SUMIF(Mercado_Receita!$S$2:$S$2578,"44409B1Convencional pré-pagamentoResidencialResidencial baixa renda – faixa 02Não se aplicaNão se aplicaIntermediário",Mercado_Receita!$L$2:$L$2578)+SUMIF(Mercado_Receita!$S$2:$S$2578,"44409B1Convencional pré-pagamentoResidencialResidencial baixa renda – faixa 02Não se aplicaNão se aplicaNão se aplica",Mercado_Receita!$L$2:$L$2578)</f>
        <v>0</v>
      </c>
      <c r="S29" s="12">
        <f>SUMIF(Mercado_Receita!$S$2:$S$2578,"44440B1Convencional pré-pagamentoResidencialResidencial baixa renda – faixa 02Não se aplicaNão se aplicaPonta",Mercado_Receita!$L$2:$L$2578)+SUMIF(Mercado_Receita!$S$2:$S$2578,"44440B1Convencional pré-pagamentoResidencialResidencial baixa renda – faixa 02Não se aplicaNão se aplicaFora ponta",Mercado_Receita!$L$2:$L$2578)+SUMIF(Mercado_Receita!$S$2:$S$2578,"44440B1Convencional pré-pagamentoResidencialResidencial baixa renda – faixa 02Não se aplicaNão se aplicaIntermediário",Mercado_Receita!$L$2:$L$2578)+SUMIF(Mercado_Receita!$S$2:$S$2578,"44440B1Convencional pré-pagamentoResidencialResidencial baixa renda – faixa 02Não se aplicaNão se aplicaNão se aplica",Mercado_Receita!$L$2:$L$2578)</f>
        <v>0</v>
      </c>
      <c r="T29" s="12">
        <f>SUMIF(Mercado_Receita!$S$2:$S$2578,"44470B1Convencional pré-pagamentoResidencialResidencial baixa renda – faixa 02Não se aplicaNão se aplicaPonta",Mercado_Receita!$L$2:$L$2578)+SUMIF(Mercado_Receita!$S$2:$S$2578,"44470B1Convencional pré-pagamentoResidencialResidencial baixa renda – faixa 02Não se aplicaNão se aplicaFora ponta",Mercado_Receita!$L$2:$L$2578)+SUMIF(Mercado_Receita!$S$2:$S$2578,"44470B1Convencional pré-pagamentoResidencialResidencial baixa renda – faixa 02Não se aplicaNão se aplicaIntermediário",Mercado_Receita!$L$2:$L$2578)+SUMIF(Mercado_Receita!$S$2:$S$2578,"44470B1Convencional pré-pagamentoResidencialResidencial baixa renda – faixa 02Não se aplicaNão se aplicaNão se aplica",Mercado_Receita!$L$2:$L$2578)</f>
        <v>0</v>
      </c>
      <c r="U29" s="12">
        <f t="shared" si="0"/>
        <v>0</v>
      </c>
      <c r="V29" s="12"/>
      <c r="W29" s="12"/>
    </row>
    <row r="30" spans="1:23" ht="11.25" customHeight="1" x14ac:dyDescent="0.25">
      <c r="A30" s="110"/>
      <c r="B30" s="110"/>
      <c r="C30" s="110"/>
      <c r="D30" s="13" t="s">
        <v>33</v>
      </c>
      <c r="E30" s="13" t="s">
        <v>25</v>
      </c>
      <c r="F30" s="13" t="s">
        <v>25</v>
      </c>
      <c r="G30" s="12" t="s">
        <v>92</v>
      </c>
      <c r="H30" s="12" t="s">
        <v>86</v>
      </c>
      <c r="I30" s="12">
        <f>SUMIF(Mercado_Receita!$S$2:$S$2578,"44136B1Convencional pré-pagamentoResidencialResidencial baixa renda – faixa 03Não se aplicaNão se aplicaPonta",Mercado_Receita!$L$2:$L$2578)+SUMIF(Mercado_Receita!$S$2:$S$2578,"44136B1Convencional pré-pagamentoResidencialResidencial baixa renda – faixa 03Não se aplicaNão se aplicaFora ponta",Mercado_Receita!$L$2:$L$2578)+SUMIF(Mercado_Receita!$S$2:$S$2578,"44136B1Convencional pré-pagamentoResidencialResidencial baixa renda – faixa 03Não se aplicaNão se aplicaIntermediário",Mercado_Receita!$L$2:$L$2578)+SUMIF(Mercado_Receita!$S$2:$S$2578,"44136B1Convencional pré-pagamentoResidencialResidencial baixa renda – faixa 03Não se aplicaNão se aplicaNão se aplica",Mercado_Receita!$L$2:$L$2578)</f>
        <v>0</v>
      </c>
      <c r="J30" s="12">
        <f>SUMIF(Mercado_Receita!$S$2:$S$2578,"44166B1Convencional pré-pagamentoResidencialResidencial baixa renda – faixa 03Não se aplicaNão se aplicaPonta",Mercado_Receita!$L$2:$L$2578)+SUMIF(Mercado_Receita!$S$2:$S$2578,"44166B1Convencional pré-pagamentoResidencialResidencial baixa renda – faixa 03Não se aplicaNão se aplicaFora ponta",Mercado_Receita!$L$2:$L$2578)+SUMIF(Mercado_Receita!$S$2:$S$2578,"44166B1Convencional pré-pagamentoResidencialResidencial baixa renda – faixa 03Não se aplicaNão se aplicaIntermediário",Mercado_Receita!$L$2:$L$2578)+SUMIF(Mercado_Receita!$S$2:$S$2578,"44166B1Convencional pré-pagamentoResidencialResidencial baixa renda – faixa 03Não se aplicaNão se aplicaNão se aplica",Mercado_Receita!$L$2:$L$2578)</f>
        <v>0</v>
      </c>
      <c r="K30" s="12">
        <f>SUMIF(Mercado_Receita!$S$2:$S$2578,"44197B1Convencional pré-pagamentoResidencialResidencial baixa renda – faixa 03Não se aplicaNão se aplicaPonta",Mercado_Receita!$L$2:$L$2578)+SUMIF(Mercado_Receita!$S$2:$S$2578,"44197B1Convencional pré-pagamentoResidencialResidencial baixa renda – faixa 03Não se aplicaNão se aplicaFora ponta",Mercado_Receita!$L$2:$L$2578)+SUMIF(Mercado_Receita!$S$2:$S$2578,"44197B1Convencional pré-pagamentoResidencialResidencial baixa renda – faixa 03Não se aplicaNão se aplicaIntermediário",Mercado_Receita!$L$2:$L$2578)+SUMIF(Mercado_Receita!$S$2:$S$2578,"44197B1Convencional pré-pagamentoResidencialResidencial baixa renda – faixa 03Não se aplicaNão se aplicaNão se aplica",Mercado_Receita!$L$2:$L$2578)</f>
        <v>0</v>
      </c>
      <c r="L30" s="12">
        <f>SUMIF(Mercado_Receita!$S$2:$S$2578,"44228B1Convencional pré-pagamentoResidencialResidencial baixa renda – faixa 03Não se aplicaNão se aplicaPonta",Mercado_Receita!$L$2:$L$2578)+SUMIF(Mercado_Receita!$S$2:$S$2578,"44228B1Convencional pré-pagamentoResidencialResidencial baixa renda – faixa 03Não se aplicaNão se aplicaFora ponta",Mercado_Receita!$L$2:$L$2578)+SUMIF(Mercado_Receita!$S$2:$S$2578,"44228B1Convencional pré-pagamentoResidencialResidencial baixa renda – faixa 03Não se aplicaNão se aplicaIntermediário",Mercado_Receita!$L$2:$L$2578)+SUMIF(Mercado_Receita!$S$2:$S$2578,"44228B1Convencional pré-pagamentoResidencialResidencial baixa renda – faixa 03Não se aplicaNão se aplicaNão se aplica",Mercado_Receita!$L$2:$L$2578)</f>
        <v>0</v>
      </c>
      <c r="M30" s="12">
        <f>SUMIF(Mercado_Receita!$S$2:$S$2578,"44256B1Convencional pré-pagamentoResidencialResidencial baixa renda – faixa 03Não se aplicaNão se aplicaPonta",Mercado_Receita!$L$2:$L$2578)+SUMIF(Mercado_Receita!$S$2:$S$2578,"44256B1Convencional pré-pagamentoResidencialResidencial baixa renda – faixa 03Não se aplicaNão se aplicaFora ponta",Mercado_Receita!$L$2:$L$2578)+SUMIF(Mercado_Receita!$S$2:$S$2578,"44256B1Convencional pré-pagamentoResidencialResidencial baixa renda – faixa 03Não se aplicaNão se aplicaIntermediário",Mercado_Receita!$L$2:$L$2578)+SUMIF(Mercado_Receita!$S$2:$S$2578,"44256B1Convencional pré-pagamentoResidencialResidencial baixa renda – faixa 03Não se aplicaNão se aplicaNão se aplica",Mercado_Receita!$L$2:$L$2578)</f>
        <v>0</v>
      </c>
      <c r="N30" s="12">
        <f>SUMIF(Mercado_Receita!$S$2:$S$2578,"44287B1Convencional pré-pagamentoResidencialResidencial baixa renda – faixa 03Não se aplicaNão se aplicaPonta",Mercado_Receita!$L$2:$L$2578)+SUMIF(Mercado_Receita!$S$2:$S$2578,"44287B1Convencional pré-pagamentoResidencialResidencial baixa renda – faixa 03Não se aplicaNão se aplicaFora ponta",Mercado_Receita!$L$2:$L$2578)+SUMIF(Mercado_Receita!$S$2:$S$2578,"44287B1Convencional pré-pagamentoResidencialResidencial baixa renda – faixa 03Não se aplicaNão se aplicaIntermediário",Mercado_Receita!$L$2:$L$2578)+SUMIF(Mercado_Receita!$S$2:$S$2578,"44287B1Convencional pré-pagamentoResidencialResidencial baixa renda – faixa 03Não se aplicaNão se aplicaNão se aplica",Mercado_Receita!$L$2:$L$2578)</f>
        <v>0</v>
      </c>
      <c r="O30" s="12">
        <f>SUMIF(Mercado_Receita!$S$2:$S$2578,"44317B1Convencional pré-pagamentoResidencialResidencial baixa renda – faixa 03Não se aplicaNão se aplicaPonta",Mercado_Receita!$L$2:$L$2578)+SUMIF(Mercado_Receita!$S$2:$S$2578,"44317B1Convencional pré-pagamentoResidencialResidencial baixa renda – faixa 03Não se aplicaNão se aplicaFora ponta",Mercado_Receita!$L$2:$L$2578)+SUMIF(Mercado_Receita!$S$2:$S$2578,"44317B1Convencional pré-pagamentoResidencialResidencial baixa renda – faixa 03Não se aplicaNão se aplicaIntermediário",Mercado_Receita!$L$2:$L$2578)+SUMIF(Mercado_Receita!$S$2:$S$2578,"44317B1Convencional pré-pagamentoResidencialResidencial baixa renda – faixa 03Não se aplicaNão se aplicaNão se aplica",Mercado_Receita!$L$2:$L$2578)</f>
        <v>0</v>
      </c>
      <c r="P30" s="12">
        <f>SUMIF(Mercado_Receita!$S$2:$S$2578,"44348B1Convencional pré-pagamentoResidencialResidencial baixa renda – faixa 03Não se aplicaNão se aplicaPonta",Mercado_Receita!$L$2:$L$2578)+SUMIF(Mercado_Receita!$S$2:$S$2578,"44348B1Convencional pré-pagamentoResidencialResidencial baixa renda – faixa 03Não se aplicaNão se aplicaFora ponta",Mercado_Receita!$L$2:$L$2578)+SUMIF(Mercado_Receita!$S$2:$S$2578,"44348B1Convencional pré-pagamentoResidencialResidencial baixa renda – faixa 03Não se aplicaNão se aplicaIntermediário",Mercado_Receita!$L$2:$L$2578)+SUMIF(Mercado_Receita!$S$2:$S$2578,"44348B1Convencional pré-pagamentoResidencialResidencial baixa renda – faixa 03Não se aplicaNão se aplicaNão se aplica",Mercado_Receita!$L$2:$L$2578)</f>
        <v>0</v>
      </c>
      <c r="Q30" s="12">
        <f>SUMIF(Mercado_Receita!$S$2:$S$2578,"44378B1Convencional pré-pagamentoResidencialResidencial baixa renda – faixa 03Não se aplicaNão se aplicaPonta",Mercado_Receita!$L$2:$L$2578)+SUMIF(Mercado_Receita!$S$2:$S$2578,"44378B1Convencional pré-pagamentoResidencialResidencial baixa renda – faixa 03Não se aplicaNão se aplicaFora ponta",Mercado_Receita!$L$2:$L$2578)+SUMIF(Mercado_Receita!$S$2:$S$2578,"44378B1Convencional pré-pagamentoResidencialResidencial baixa renda – faixa 03Não se aplicaNão se aplicaIntermediário",Mercado_Receita!$L$2:$L$2578)+SUMIF(Mercado_Receita!$S$2:$S$2578,"44378B1Convencional pré-pagamentoResidencialResidencial baixa renda – faixa 03Não se aplicaNão se aplicaNão se aplica",Mercado_Receita!$L$2:$L$2578)</f>
        <v>0</v>
      </c>
      <c r="R30" s="12">
        <f>SUMIF(Mercado_Receita!$S$2:$S$2578,"44409B1Convencional pré-pagamentoResidencialResidencial baixa renda – faixa 03Não se aplicaNão se aplicaPonta",Mercado_Receita!$L$2:$L$2578)+SUMIF(Mercado_Receita!$S$2:$S$2578,"44409B1Convencional pré-pagamentoResidencialResidencial baixa renda – faixa 03Não se aplicaNão se aplicaFora ponta",Mercado_Receita!$L$2:$L$2578)+SUMIF(Mercado_Receita!$S$2:$S$2578,"44409B1Convencional pré-pagamentoResidencialResidencial baixa renda – faixa 03Não se aplicaNão se aplicaIntermediário",Mercado_Receita!$L$2:$L$2578)+SUMIF(Mercado_Receita!$S$2:$S$2578,"44409B1Convencional pré-pagamentoResidencialResidencial baixa renda – faixa 03Não se aplicaNão se aplicaNão se aplica",Mercado_Receita!$L$2:$L$2578)</f>
        <v>0</v>
      </c>
      <c r="S30" s="12">
        <f>SUMIF(Mercado_Receita!$S$2:$S$2578,"44440B1Convencional pré-pagamentoResidencialResidencial baixa renda – faixa 03Não se aplicaNão se aplicaPonta",Mercado_Receita!$L$2:$L$2578)+SUMIF(Mercado_Receita!$S$2:$S$2578,"44440B1Convencional pré-pagamentoResidencialResidencial baixa renda – faixa 03Não se aplicaNão se aplicaFora ponta",Mercado_Receita!$L$2:$L$2578)+SUMIF(Mercado_Receita!$S$2:$S$2578,"44440B1Convencional pré-pagamentoResidencialResidencial baixa renda – faixa 03Não se aplicaNão se aplicaIntermediário",Mercado_Receita!$L$2:$L$2578)+SUMIF(Mercado_Receita!$S$2:$S$2578,"44440B1Convencional pré-pagamentoResidencialResidencial baixa renda – faixa 03Não se aplicaNão se aplicaNão se aplica",Mercado_Receita!$L$2:$L$2578)</f>
        <v>0</v>
      </c>
      <c r="T30" s="12">
        <f>SUMIF(Mercado_Receita!$S$2:$S$2578,"44470B1Convencional pré-pagamentoResidencialResidencial baixa renda – faixa 03Não se aplicaNão se aplicaPonta",Mercado_Receita!$L$2:$L$2578)+SUMIF(Mercado_Receita!$S$2:$S$2578,"44470B1Convencional pré-pagamentoResidencialResidencial baixa renda – faixa 03Não se aplicaNão se aplicaFora ponta",Mercado_Receita!$L$2:$L$2578)+SUMIF(Mercado_Receita!$S$2:$S$2578,"44470B1Convencional pré-pagamentoResidencialResidencial baixa renda – faixa 03Não se aplicaNão se aplicaIntermediário",Mercado_Receita!$L$2:$L$2578)+SUMIF(Mercado_Receita!$S$2:$S$2578,"44470B1Convencional pré-pagamentoResidencialResidencial baixa renda – faixa 03Não se aplicaNão se aplicaNão se aplica",Mercado_Receita!$L$2:$L$2578)</f>
        <v>0</v>
      </c>
      <c r="U30" s="12">
        <f t="shared" si="0"/>
        <v>0</v>
      </c>
      <c r="V30" s="12"/>
      <c r="W30" s="12"/>
    </row>
    <row r="31" spans="1:23" ht="11.25" customHeight="1" x14ac:dyDescent="0.25">
      <c r="A31" s="110"/>
      <c r="B31" s="110"/>
      <c r="C31" s="110"/>
      <c r="D31" s="13" t="s">
        <v>34</v>
      </c>
      <c r="E31" s="13" t="s">
        <v>25</v>
      </c>
      <c r="F31" s="13" t="s">
        <v>25</v>
      </c>
      <c r="G31" s="12" t="s">
        <v>92</v>
      </c>
      <c r="H31" s="12" t="s">
        <v>86</v>
      </c>
      <c r="I31" s="12">
        <f>SUMIF(Mercado_Receita!$S$2:$S$2578,"44136B1Convencional pré-pagamentoResidencialResidencial baixa renda – faixa 04Não se aplicaNão se aplicaPonta",Mercado_Receita!$L$2:$L$2578)+SUMIF(Mercado_Receita!$S$2:$S$2578,"44136B1Convencional pré-pagamentoResidencialResidencial baixa renda – faixa 04Não se aplicaNão se aplicaFora ponta",Mercado_Receita!$L$2:$L$2578)+SUMIF(Mercado_Receita!$S$2:$S$2578,"44136B1Convencional pré-pagamentoResidencialResidencial baixa renda – faixa 04Não se aplicaNão se aplicaIntermediário",Mercado_Receita!$L$2:$L$2578)+SUMIF(Mercado_Receita!$S$2:$S$2578,"44136B1Convencional pré-pagamentoResidencialResidencial baixa renda – faixa 04Não se aplicaNão se aplicaNão se aplica",Mercado_Receita!$L$2:$L$2578)</f>
        <v>0</v>
      </c>
      <c r="J31" s="12">
        <f>SUMIF(Mercado_Receita!$S$2:$S$2578,"44166B1Convencional pré-pagamentoResidencialResidencial baixa renda – faixa 04Não se aplicaNão se aplicaPonta",Mercado_Receita!$L$2:$L$2578)+SUMIF(Mercado_Receita!$S$2:$S$2578,"44166B1Convencional pré-pagamentoResidencialResidencial baixa renda – faixa 04Não se aplicaNão se aplicaFora ponta",Mercado_Receita!$L$2:$L$2578)+SUMIF(Mercado_Receita!$S$2:$S$2578,"44166B1Convencional pré-pagamentoResidencialResidencial baixa renda – faixa 04Não se aplicaNão se aplicaIntermediário",Mercado_Receita!$L$2:$L$2578)+SUMIF(Mercado_Receita!$S$2:$S$2578,"44166B1Convencional pré-pagamentoResidencialResidencial baixa renda – faixa 04Não se aplicaNão se aplicaNão se aplica",Mercado_Receita!$L$2:$L$2578)</f>
        <v>0</v>
      </c>
      <c r="K31" s="12">
        <f>SUMIF(Mercado_Receita!$S$2:$S$2578,"44197B1Convencional pré-pagamentoResidencialResidencial baixa renda – faixa 04Não se aplicaNão se aplicaPonta",Mercado_Receita!$L$2:$L$2578)+SUMIF(Mercado_Receita!$S$2:$S$2578,"44197B1Convencional pré-pagamentoResidencialResidencial baixa renda – faixa 04Não se aplicaNão se aplicaFora ponta",Mercado_Receita!$L$2:$L$2578)+SUMIF(Mercado_Receita!$S$2:$S$2578,"44197B1Convencional pré-pagamentoResidencialResidencial baixa renda – faixa 04Não se aplicaNão se aplicaIntermediário",Mercado_Receita!$L$2:$L$2578)+SUMIF(Mercado_Receita!$S$2:$S$2578,"44197B1Convencional pré-pagamentoResidencialResidencial baixa renda – faixa 04Não se aplicaNão se aplicaNão se aplica",Mercado_Receita!$L$2:$L$2578)</f>
        <v>0</v>
      </c>
      <c r="L31" s="12">
        <f>SUMIF(Mercado_Receita!$S$2:$S$2578,"44228B1Convencional pré-pagamentoResidencialResidencial baixa renda – faixa 04Não se aplicaNão se aplicaPonta",Mercado_Receita!$L$2:$L$2578)+SUMIF(Mercado_Receita!$S$2:$S$2578,"44228B1Convencional pré-pagamentoResidencialResidencial baixa renda – faixa 04Não se aplicaNão se aplicaFora ponta",Mercado_Receita!$L$2:$L$2578)+SUMIF(Mercado_Receita!$S$2:$S$2578,"44228B1Convencional pré-pagamentoResidencialResidencial baixa renda – faixa 04Não se aplicaNão se aplicaIntermediário",Mercado_Receita!$L$2:$L$2578)+SUMIF(Mercado_Receita!$S$2:$S$2578,"44228B1Convencional pré-pagamentoResidencialResidencial baixa renda – faixa 04Não se aplicaNão se aplicaNão se aplica",Mercado_Receita!$L$2:$L$2578)</f>
        <v>0</v>
      </c>
      <c r="M31" s="12">
        <f>SUMIF(Mercado_Receita!$S$2:$S$2578,"44256B1Convencional pré-pagamentoResidencialResidencial baixa renda – faixa 04Não se aplicaNão se aplicaPonta",Mercado_Receita!$L$2:$L$2578)+SUMIF(Mercado_Receita!$S$2:$S$2578,"44256B1Convencional pré-pagamentoResidencialResidencial baixa renda – faixa 04Não se aplicaNão se aplicaFora ponta",Mercado_Receita!$L$2:$L$2578)+SUMIF(Mercado_Receita!$S$2:$S$2578,"44256B1Convencional pré-pagamentoResidencialResidencial baixa renda – faixa 04Não se aplicaNão se aplicaIntermediário",Mercado_Receita!$L$2:$L$2578)+SUMIF(Mercado_Receita!$S$2:$S$2578,"44256B1Convencional pré-pagamentoResidencialResidencial baixa renda – faixa 04Não se aplicaNão se aplicaNão se aplica",Mercado_Receita!$L$2:$L$2578)</f>
        <v>0</v>
      </c>
      <c r="N31" s="12">
        <f>SUMIF(Mercado_Receita!$S$2:$S$2578,"44287B1Convencional pré-pagamentoResidencialResidencial baixa renda – faixa 04Não se aplicaNão se aplicaPonta",Mercado_Receita!$L$2:$L$2578)+SUMIF(Mercado_Receita!$S$2:$S$2578,"44287B1Convencional pré-pagamentoResidencialResidencial baixa renda – faixa 04Não se aplicaNão se aplicaFora ponta",Mercado_Receita!$L$2:$L$2578)+SUMIF(Mercado_Receita!$S$2:$S$2578,"44287B1Convencional pré-pagamentoResidencialResidencial baixa renda – faixa 04Não se aplicaNão se aplicaIntermediário",Mercado_Receita!$L$2:$L$2578)+SUMIF(Mercado_Receita!$S$2:$S$2578,"44287B1Convencional pré-pagamentoResidencialResidencial baixa renda – faixa 04Não se aplicaNão se aplicaNão se aplica",Mercado_Receita!$L$2:$L$2578)</f>
        <v>0</v>
      </c>
      <c r="O31" s="12">
        <f>SUMIF(Mercado_Receita!$S$2:$S$2578,"44317B1Convencional pré-pagamentoResidencialResidencial baixa renda – faixa 04Não se aplicaNão se aplicaPonta",Mercado_Receita!$L$2:$L$2578)+SUMIF(Mercado_Receita!$S$2:$S$2578,"44317B1Convencional pré-pagamentoResidencialResidencial baixa renda – faixa 04Não se aplicaNão se aplicaFora ponta",Mercado_Receita!$L$2:$L$2578)+SUMIF(Mercado_Receita!$S$2:$S$2578,"44317B1Convencional pré-pagamentoResidencialResidencial baixa renda – faixa 04Não se aplicaNão se aplicaIntermediário",Mercado_Receita!$L$2:$L$2578)+SUMIF(Mercado_Receita!$S$2:$S$2578,"44317B1Convencional pré-pagamentoResidencialResidencial baixa renda – faixa 04Não se aplicaNão se aplicaNão se aplica",Mercado_Receita!$L$2:$L$2578)</f>
        <v>0</v>
      </c>
      <c r="P31" s="12">
        <f>SUMIF(Mercado_Receita!$S$2:$S$2578,"44348B1Convencional pré-pagamentoResidencialResidencial baixa renda – faixa 04Não se aplicaNão se aplicaPonta",Mercado_Receita!$L$2:$L$2578)+SUMIF(Mercado_Receita!$S$2:$S$2578,"44348B1Convencional pré-pagamentoResidencialResidencial baixa renda – faixa 04Não se aplicaNão se aplicaFora ponta",Mercado_Receita!$L$2:$L$2578)+SUMIF(Mercado_Receita!$S$2:$S$2578,"44348B1Convencional pré-pagamentoResidencialResidencial baixa renda – faixa 04Não se aplicaNão se aplicaIntermediário",Mercado_Receita!$L$2:$L$2578)+SUMIF(Mercado_Receita!$S$2:$S$2578,"44348B1Convencional pré-pagamentoResidencialResidencial baixa renda – faixa 04Não se aplicaNão se aplicaNão se aplica",Mercado_Receita!$L$2:$L$2578)</f>
        <v>0</v>
      </c>
      <c r="Q31" s="12">
        <f>SUMIF(Mercado_Receita!$S$2:$S$2578,"44378B1Convencional pré-pagamentoResidencialResidencial baixa renda – faixa 04Não se aplicaNão se aplicaPonta",Mercado_Receita!$L$2:$L$2578)+SUMIF(Mercado_Receita!$S$2:$S$2578,"44378B1Convencional pré-pagamentoResidencialResidencial baixa renda – faixa 04Não se aplicaNão se aplicaFora ponta",Mercado_Receita!$L$2:$L$2578)+SUMIF(Mercado_Receita!$S$2:$S$2578,"44378B1Convencional pré-pagamentoResidencialResidencial baixa renda – faixa 04Não se aplicaNão se aplicaIntermediário",Mercado_Receita!$L$2:$L$2578)+SUMIF(Mercado_Receita!$S$2:$S$2578,"44378B1Convencional pré-pagamentoResidencialResidencial baixa renda – faixa 04Não se aplicaNão se aplicaNão se aplica",Mercado_Receita!$L$2:$L$2578)</f>
        <v>0</v>
      </c>
      <c r="R31" s="12">
        <f>SUMIF(Mercado_Receita!$S$2:$S$2578,"44409B1Convencional pré-pagamentoResidencialResidencial baixa renda – faixa 04Não se aplicaNão se aplicaPonta",Mercado_Receita!$L$2:$L$2578)+SUMIF(Mercado_Receita!$S$2:$S$2578,"44409B1Convencional pré-pagamentoResidencialResidencial baixa renda – faixa 04Não se aplicaNão se aplicaFora ponta",Mercado_Receita!$L$2:$L$2578)+SUMIF(Mercado_Receita!$S$2:$S$2578,"44409B1Convencional pré-pagamentoResidencialResidencial baixa renda – faixa 04Não se aplicaNão se aplicaIntermediário",Mercado_Receita!$L$2:$L$2578)+SUMIF(Mercado_Receita!$S$2:$S$2578,"44409B1Convencional pré-pagamentoResidencialResidencial baixa renda – faixa 04Não se aplicaNão se aplicaNão se aplica",Mercado_Receita!$L$2:$L$2578)</f>
        <v>0</v>
      </c>
      <c r="S31" s="12">
        <f>SUMIF(Mercado_Receita!$S$2:$S$2578,"44440B1Convencional pré-pagamentoResidencialResidencial baixa renda – faixa 04Não se aplicaNão se aplicaPonta",Mercado_Receita!$L$2:$L$2578)+SUMIF(Mercado_Receita!$S$2:$S$2578,"44440B1Convencional pré-pagamentoResidencialResidencial baixa renda – faixa 04Não se aplicaNão se aplicaFora ponta",Mercado_Receita!$L$2:$L$2578)+SUMIF(Mercado_Receita!$S$2:$S$2578,"44440B1Convencional pré-pagamentoResidencialResidencial baixa renda – faixa 04Não se aplicaNão se aplicaIntermediário",Mercado_Receita!$L$2:$L$2578)+SUMIF(Mercado_Receita!$S$2:$S$2578,"44440B1Convencional pré-pagamentoResidencialResidencial baixa renda – faixa 04Não se aplicaNão se aplicaNão se aplica",Mercado_Receita!$L$2:$L$2578)</f>
        <v>0</v>
      </c>
      <c r="T31" s="12">
        <f>SUMIF(Mercado_Receita!$S$2:$S$2578,"44470B1Convencional pré-pagamentoResidencialResidencial baixa renda – faixa 04Não se aplicaNão se aplicaPonta",Mercado_Receita!$L$2:$L$2578)+SUMIF(Mercado_Receita!$S$2:$S$2578,"44470B1Convencional pré-pagamentoResidencialResidencial baixa renda – faixa 04Não se aplicaNão se aplicaFora ponta",Mercado_Receita!$L$2:$L$2578)+SUMIF(Mercado_Receita!$S$2:$S$2578,"44470B1Convencional pré-pagamentoResidencialResidencial baixa renda – faixa 04Não se aplicaNão se aplicaIntermediário",Mercado_Receita!$L$2:$L$2578)+SUMIF(Mercado_Receita!$S$2:$S$2578,"44470B1Convencional pré-pagamentoResidencialResidencial baixa renda – faixa 04Não se aplicaNão se aplicaNão se aplica",Mercado_Receita!$L$2:$L$2578)</f>
        <v>0</v>
      </c>
      <c r="U31" s="12">
        <f t="shared" si="0"/>
        <v>0</v>
      </c>
      <c r="V31" s="12"/>
      <c r="W31" s="12"/>
    </row>
    <row r="32" spans="1:23" ht="11.25" customHeight="1" x14ac:dyDescent="0.25">
      <c r="A32" s="109" t="s">
        <v>46</v>
      </c>
      <c r="B32" s="109" t="s">
        <v>39</v>
      </c>
      <c r="C32" s="109" t="s">
        <v>47</v>
      </c>
      <c r="D32" s="109" t="s">
        <v>25</v>
      </c>
      <c r="E32" s="109" t="s">
        <v>25</v>
      </c>
      <c r="F32" s="109" t="s">
        <v>25</v>
      </c>
      <c r="G32" s="12" t="s">
        <v>87</v>
      </c>
      <c r="H32" s="12" t="s">
        <v>86</v>
      </c>
      <c r="I32" s="12">
        <f>SUMIF(Mercado_Receita!$S$2:$S$2578,"44136B2BrancaRuralNão se aplicaNão se aplicaNão se aplicaPonta",Mercado_Receita!$L$2:$L$2578)</f>
        <v>0</v>
      </c>
      <c r="J32" s="12">
        <f>SUMIF(Mercado_Receita!$S$2:$S$2578,"44166B2BrancaRuralNão se aplicaNão se aplicaNão se aplicaPonta",Mercado_Receita!$L$2:$L$2578)</f>
        <v>0</v>
      </c>
      <c r="K32" s="12">
        <f>SUMIF(Mercado_Receita!$S$2:$S$2578,"44197B2BrancaRuralNão se aplicaNão se aplicaNão se aplicaPonta",Mercado_Receita!$L$2:$L$2578)</f>
        <v>0</v>
      </c>
      <c r="L32" s="12">
        <f>SUMIF(Mercado_Receita!$S$2:$S$2578,"44228B2BrancaRuralNão se aplicaNão se aplicaNão se aplicaPonta",Mercado_Receita!$L$2:$L$2578)</f>
        <v>0</v>
      </c>
      <c r="M32" s="12">
        <f>SUMIF(Mercado_Receita!$S$2:$S$2578,"44256B2BrancaRuralNão se aplicaNão se aplicaNão se aplicaPonta",Mercado_Receita!$L$2:$L$2578)</f>
        <v>0</v>
      </c>
      <c r="N32" s="12">
        <f>SUMIF(Mercado_Receita!$S$2:$S$2578,"44287B2BrancaRuralNão se aplicaNão se aplicaNão se aplicaPonta",Mercado_Receita!$L$2:$L$2578)</f>
        <v>0</v>
      </c>
      <c r="O32" s="12">
        <f>SUMIF(Mercado_Receita!$S$2:$S$2578,"44317B2BrancaRuralNão se aplicaNão se aplicaNão se aplicaPonta",Mercado_Receita!$L$2:$L$2578)</f>
        <v>0</v>
      </c>
      <c r="P32" s="12">
        <f>SUMIF(Mercado_Receita!$S$2:$S$2578,"44348B2BrancaRuralNão se aplicaNão se aplicaNão se aplicaPonta",Mercado_Receita!$L$2:$L$2578)</f>
        <v>0</v>
      </c>
      <c r="Q32" s="12">
        <f>SUMIF(Mercado_Receita!$S$2:$S$2578,"44378B2BrancaRuralNão se aplicaNão se aplicaNão se aplicaPonta",Mercado_Receita!$L$2:$L$2578)</f>
        <v>0</v>
      </c>
      <c r="R32" s="12">
        <f>SUMIF(Mercado_Receita!$S$2:$S$2578,"44409B2BrancaRuralNão se aplicaNão se aplicaNão se aplicaPonta",Mercado_Receita!$L$2:$L$2578)</f>
        <v>0</v>
      </c>
      <c r="S32" s="12">
        <f>SUMIF(Mercado_Receita!$S$2:$S$2578,"44440B2BrancaRuralNão se aplicaNão se aplicaNão se aplicaPonta",Mercado_Receita!$L$2:$L$2578)</f>
        <v>0</v>
      </c>
      <c r="T32" s="12">
        <f>SUMIF(Mercado_Receita!$S$2:$S$2578,"44470B2BrancaRuralNão se aplicaNão se aplicaNão se aplicaPonta",Mercado_Receita!$L$2:$L$2578)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110"/>
      <c r="B33" s="110"/>
      <c r="C33" s="110"/>
      <c r="D33" s="110"/>
      <c r="E33" s="110"/>
      <c r="F33" s="110"/>
      <c r="G33" s="12" t="s">
        <v>98</v>
      </c>
      <c r="H33" s="12" t="s">
        <v>86</v>
      </c>
      <c r="I33" s="12">
        <f>SUMIF(Mercado_Receita!$S$2:$S$2578,"44136B2BrancaRuralNão se aplicaNão se aplicaNão se aplicaIntermediário",Mercado_Receita!$L$2:$L$2578)</f>
        <v>0</v>
      </c>
      <c r="J33" s="12">
        <f>SUMIF(Mercado_Receita!$S$2:$S$2578,"44166B2BrancaRuralNão se aplicaNão se aplicaNão se aplicaIntermediário",Mercado_Receita!$L$2:$L$2578)</f>
        <v>3.0000000000000001E-3</v>
      </c>
      <c r="K33" s="12">
        <f>SUMIF(Mercado_Receita!$S$2:$S$2578,"44197B2BrancaRuralNão se aplicaNão se aplicaNão se aplicaIntermediário",Mercado_Receita!$L$2:$L$2578)</f>
        <v>1E-3</v>
      </c>
      <c r="L33" s="12">
        <f>SUMIF(Mercado_Receita!$S$2:$S$2578,"44228B2BrancaRuralNão se aplicaNão se aplicaNão se aplicaIntermediário",Mercado_Receita!$L$2:$L$2578)</f>
        <v>0</v>
      </c>
      <c r="M33" s="12">
        <f>SUMIF(Mercado_Receita!$S$2:$S$2578,"44256B2BrancaRuralNão se aplicaNão se aplicaNão se aplicaIntermediário",Mercado_Receita!$L$2:$L$2578)</f>
        <v>0</v>
      </c>
      <c r="N33" s="12">
        <f>SUMIF(Mercado_Receita!$S$2:$S$2578,"44287B2BrancaRuralNão se aplicaNão se aplicaNão se aplicaIntermediário",Mercado_Receita!$L$2:$L$2578)</f>
        <v>1E-3</v>
      </c>
      <c r="O33" s="12">
        <f>SUMIF(Mercado_Receita!$S$2:$S$2578,"44317B2BrancaRuralNão se aplicaNão se aplicaNão se aplicaIntermediário",Mercado_Receita!$L$2:$L$2578)</f>
        <v>0</v>
      </c>
      <c r="P33" s="12">
        <f>SUMIF(Mercado_Receita!$S$2:$S$2578,"44348B2BrancaRuralNão se aplicaNão se aplicaNão se aplicaIntermediário",Mercado_Receita!$L$2:$L$2578)</f>
        <v>0</v>
      </c>
      <c r="Q33" s="12">
        <f>SUMIF(Mercado_Receita!$S$2:$S$2578,"44378B2BrancaRuralNão se aplicaNão se aplicaNão se aplicaIntermediário",Mercado_Receita!$L$2:$L$2578)</f>
        <v>0</v>
      </c>
      <c r="R33" s="12">
        <f>SUMIF(Mercado_Receita!$S$2:$S$2578,"44409B2BrancaRuralNão se aplicaNão se aplicaNão se aplicaIntermediário",Mercado_Receita!$L$2:$L$2578)</f>
        <v>0</v>
      </c>
      <c r="S33" s="12">
        <f>SUMIF(Mercado_Receita!$S$2:$S$2578,"44440B2BrancaRuralNão se aplicaNão se aplicaNão se aplicaIntermediário",Mercado_Receita!$L$2:$L$2578)</f>
        <v>0</v>
      </c>
      <c r="T33" s="12">
        <f>SUMIF(Mercado_Receita!$S$2:$S$2578,"44470B2BrancaRuralNão se aplicaNão se aplicaNão se aplicaIntermediário",Mercado_Receita!$L$2:$L$2578)</f>
        <v>0</v>
      </c>
      <c r="U33" s="12">
        <f t="shared" si="0"/>
        <v>5.0000000000000001E-3</v>
      </c>
      <c r="V33" s="12"/>
      <c r="W33" s="12"/>
    </row>
    <row r="34" spans="1:23" ht="11.25" customHeight="1" x14ac:dyDescent="0.25">
      <c r="A34" s="110"/>
      <c r="B34" s="110"/>
      <c r="C34" s="110"/>
      <c r="D34" s="110"/>
      <c r="E34" s="110"/>
      <c r="F34" s="110"/>
      <c r="G34" s="12" t="s">
        <v>88</v>
      </c>
      <c r="H34" s="12" t="s">
        <v>86</v>
      </c>
      <c r="I34" s="12">
        <f>SUMIF(Mercado_Receita!$S$2:$S$2578,"44136B2BrancaRuralNão se aplicaNão se aplicaNão se aplicaFora ponta",Mercado_Receita!$L$2:$L$2578)</f>
        <v>9.8000000000000004E-2</v>
      </c>
      <c r="J34" s="12">
        <f>SUMIF(Mercado_Receita!$S$2:$S$2578,"44166B2BrancaRuralNão se aplicaNão se aplicaNão se aplicaFora ponta",Mercado_Receita!$L$2:$L$2578)</f>
        <v>5.7000000000000002E-2</v>
      </c>
      <c r="K34" s="12">
        <f>SUMIF(Mercado_Receita!$S$2:$S$2578,"44197B2BrancaRuralNão se aplicaNão se aplicaNão se aplicaFora ponta",Mercado_Receita!$L$2:$L$2578)</f>
        <v>6.9000000000000006E-2</v>
      </c>
      <c r="L34" s="12">
        <f>SUMIF(Mercado_Receita!$S$2:$S$2578,"44228B2BrancaRuralNão se aplicaNão se aplicaNão se aplicaFora ponta",Mercado_Receita!$L$2:$L$2578)</f>
        <v>0.04</v>
      </c>
      <c r="M34" s="12">
        <f>SUMIF(Mercado_Receita!$S$2:$S$2578,"44256B2BrancaRuralNão se aplicaNão se aplicaNão se aplicaFora ponta",Mercado_Receita!$L$2:$L$2578)</f>
        <v>0.03</v>
      </c>
      <c r="N34" s="12">
        <f>SUMIF(Mercado_Receita!$S$2:$S$2578,"44287B2BrancaRuralNão se aplicaNão se aplicaNão se aplicaFora ponta",Mercado_Receita!$L$2:$L$2578)</f>
        <v>3.6999999999999998E-2</v>
      </c>
      <c r="O34" s="12">
        <f>SUMIF(Mercado_Receita!$S$2:$S$2578,"44317B2BrancaRuralNão se aplicaNão se aplicaNão se aplicaFora ponta",Mercado_Receita!$L$2:$L$2578)</f>
        <v>0.03</v>
      </c>
      <c r="P34" s="12">
        <f>SUMIF(Mercado_Receita!$S$2:$S$2578,"44348B2BrancaRuralNão se aplicaNão se aplicaNão se aplicaFora ponta",Mercado_Receita!$L$2:$L$2578)</f>
        <v>6.5000000000000002E-2</v>
      </c>
      <c r="Q34" s="12">
        <f>SUMIF(Mercado_Receita!$S$2:$S$2578,"44378B2BrancaRuralNão se aplicaNão se aplicaNão se aplicaFora ponta",Mercado_Receita!$L$2:$L$2578)</f>
        <v>0.03</v>
      </c>
      <c r="R34" s="12">
        <f>SUMIF(Mercado_Receita!$S$2:$S$2578,"44409B2BrancaRuralNão se aplicaNão se aplicaNão se aplicaFora ponta",Mercado_Receita!$L$2:$L$2578)</f>
        <v>0.03</v>
      </c>
      <c r="S34" s="12">
        <f>SUMIF(Mercado_Receita!$S$2:$S$2578,"44440B2BrancaRuralNão se aplicaNão se aplicaNão se aplicaFora ponta",Mercado_Receita!$L$2:$L$2578)</f>
        <v>0.03</v>
      </c>
      <c r="T34" s="12">
        <f>SUMIF(Mercado_Receita!$S$2:$S$2578,"44470B2BrancaRuralNão se aplicaNão se aplicaNão se aplicaFora ponta",Mercado_Receita!$L$2:$L$2578)</f>
        <v>0.03</v>
      </c>
      <c r="U34" s="12">
        <f t="shared" ref="U34:U53" si="1">SUM(I34:T34)</f>
        <v>0.54600000000000004</v>
      </c>
      <c r="V34" s="12"/>
      <c r="W34" s="12"/>
    </row>
    <row r="35" spans="1:23" ht="11.25" customHeight="1" x14ac:dyDescent="0.25">
      <c r="A35" s="110"/>
      <c r="B35" s="13" t="s">
        <v>23</v>
      </c>
      <c r="C35" s="13" t="s">
        <v>47</v>
      </c>
      <c r="D35" s="13" t="s">
        <v>25</v>
      </c>
      <c r="E35" s="13" t="s">
        <v>25</v>
      </c>
      <c r="F35" s="13" t="s">
        <v>25</v>
      </c>
      <c r="G35" s="12" t="s">
        <v>92</v>
      </c>
      <c r="H35" s="12" t="s">
        <v>86</v>
      </c>
      <c r="I35" s="12">
        <f>SUMIF(Mercado_Receita!$S$2:$S$2578,"44136B2ConvencionalRuralNão se aplicaNão se aplicaNão se aplicaPonta",Mercado_Receita!$L$2:$L$2578)+SUMIF(Mercado_Receita!$S$2:$S$2578,"44136B2ConvencionalRuralNão se aplicaNão se aplicaNão se aplicaFora ponta",Mercado_Receita!$L$2:$L$2578)+SUMIF(Mercado_Receita!$S$2:$S$2578,"44136B2ConvencionalRuralNão se aplicaNão se aplicaNão se aplicaIntermediário",Mercado_Receita!$L$2:$L$2578)+SUMIF(Mercado_Receita!$S$2:$S$2578,"44136B2ConvencionalRuralNão se aplicaNão se aplicaNão se aplicaNão se aplica",Mercado_Receita!$L$2:$L$2578)</f>
        <v>5730.63</v>
      </c>
      <c r="J35" s="12">
        <f>SUMIF(Mercado_Receita!$S$2:$S$2578,"44166B2ConvencionalRuralNão se aplicaNão se aplicaNão se aplicaPonta",Mercado_Receita!$L$2:$L$2578)+SUMIF(Mercado_Receita!$S$2:$S$2578,"44166B2ConvencionalRuralNão se aplicaNão se aplicaNão se aplicaFora ponta",Mercado_Receita!$L$2:$L$2578)+SUMIF(Mercado_Receita!$S$2:$S$2578,"44166B2ConvencionalRuralNão se aplicaNão se aplicaNão se aplicaIntermediário",Mercado_Receita!$L$2:$L$2578)+SUMIF(Mercado_Receita!$S$2:$S$2578,"44166B2ConvencionalRuralNão se aplicaNão se aplicaNão se aplicaNão se aplica",Mercado_Receita!$L$2:$L$2578)</f>
        <v>5755.5590000000002</v>
      </c>
      <c r="K35" s="12">
        <f>SUMIF(Mercado_Receita!$S$2:$S$2578,"44197B2ConvencionalRuralNão se aplicaNão se aplicaNão se aplicaPonta",Mercado_Receita!$L$2:$L$2578)+SUMIF(Mercado_Receita!$S$2:$S$2578,"44197B2ConvencionalRuralNão se aplicaNão se aplicaNão se aplicaFora ponta",Mercado_Receita!$L$2:$L$2578)+SUMIF(Mercado_Receita!$S$2:$S$2578,"44197B2ConvencionalRuralNão se aplicaNão se aplicaNão se aplicaIntermediário",Mercado_Receita!$L$2:$L$2578)+SUMIF(Mercado_Receita!$S$2:$S$2578,"44197B2ConvencionalRuralNão se aplicaNão se aplicaNão se aplicaNão se aplica",Mercado_Receita!$L$2:$L$2578)</f>
        <v>5184.6319999999996</v>
      </c>
      <c r="L35" s="12">
        <f>SUMIF(Mercado_Receita!$S$2:$S$2578,"44228B2ConvencionalRuralNão se aplicaNão se aplicaNão se aplicaPonta",Mercado_Receita!$L$2:$L$2578)+SUMIF(Mercado_Receita!$S$2:$S$2578,"44228B2ConvencionalRuralNão se aplicaNão se aplicaNão se aplicaFora ponta",Mercado_Receita!$L$2:$L$2578)+SUMIF(Mercado_Receita!$S$2:$S$2578,"44228B2ConvencionalRuralNão se aplicaNão se aplicaNão se aplicaIntermediário",Mercado_Receita!$L$2:$L$2578)+SUMIF(Mercado_Receita!$S$2:$S$2578,"44228B2ConvencionalRuralNão se aplicaNão se aplicaNão se aplicaNão se aplica",Mercado_Receita!$L$2:$L$2578)</f>
        <v>4993.8530000000001</v>
      </c>
      <c r="M35" s="12">
        <f>SUMIF(Mercado_Receita!$S$2:$S$2578,"44256B2ConvencionalRuralNão se aplicaNão se aplicaNão se aplicaPonta",Mercado_Receita!$L$2:$L$2578)+SUMIF(Mercado_Receita!$S$2:$S$2578,"44256B2ConvencionalRuralNão se aplicaNão se aplicaNão se aplicaFora ponta",Mercado_Receita!$L$2:$L$2578)+SUMIF(Mercado_Receita!$S$2:$S$2578,"44256B2ConvencionalRuralNão se aplicaNão se aplicaNão se aplicaIntermediário",Mercado_Receita!$L$2:$L$2578)+SUMIF(Mercado_Receita!$S$2:$S$2578,"44256B2ConvencionalRuralNão se aplicaNão se aplicaNão se aplicaNão se aplica",Mercado_Receita!$L$2:$L$2578)</f>
        <v>5202.7199999999993</v>
      </c>
      <c r="N35" s="12">
        <f>SUMIF(Mercado_Receita!$S$2:$S$2578,"44287B2ConvencionalRuralNão se aplicaNão se aplicaNão se aplicaPonta",Mercado_Receita!$L$2:$L$2578)+SUMIF(Mercado_Receita!$S$2:$S$2578,"44287B2ConvencionalRuralNão se aplicaNão se aplicaNão se aplicaFora ponta",Mercado_Receita!$L$2:$L$2578)+SUMIF(Mercado_Receita!$S$2:$S$2578,"44287B2ConvencionalRuralNão se aplicaNão se aplicaNão se aplicaIntermediário",Mercado_Receita!$L$2:$L$2578)+SUMIF(Mercado_Receita!$S$2:$S$2578,"44287B2ConvencionalRuralNão se aplicaNão se aplicaNão se aplicaNão se aplica",Mercado_Receita!$L$2:$L$2578)</f>
        <v>5335.0740000000005</v>
      </c>
      <c r="O35" s="12">
        <f>SUMIF(Mercado_Receita!$S$2:$S$2578,"44317B2ConvencionalRuralNão se aplicaNão se aplicaNão se aplicaPonta",Mercado_Receita!$L$2:$L$2578)+SUMIF(Mercado_Receita!$S$2:$S$2578,"44317B2ConvencionalRuralNão se aplicaNão se aplicaNão se aplicaFora ponta",Mercado_Receita!$L$2:$L$2578)+SUMIF(Mercado_Receita!$S$2:$S$2578,"44317B2ConvencionalRuralNão se aplicaNão se aplicaNão se aplicaIntermediário",Mercado_Receita!$L$2:$L$2578)+SUMIF(Mercado_Receita!$S$2:$S$2578,"44317B2ConvencionalRuralNão se aplicaNão se aplicaNão se aplicaNão se aplica",Mercado_Receita!$L$2:$L$2578)</f>
        <v>5380.9060000000009</v>
      </c>
      <c r="P35" s="12">
        <f>SUMIF(Mercado_Receita!$S$2:$S$2578,"44348B2ConvencionalRuralNão se aplicaNão se aplicaNão se aplicaPonta",Mercado_Receita!$L$2:$L$2578)+SUMIF(Mercado_Receita!$S$2:$S$2578,"44348B2ConvencionalRuralNão se aplicaNão se aplicaNão se aplicaFora ponta",Mercado_Receita!$L$2:$L$2578)+SUMIF(Mercado_Receita!$S$2:$S$2578,"44348B2ConvencionalRuralNão se aplicaNão se aplicaNão se aplicaIntermediário",Mercado_Receita!$L$2:$L$2578)+SUMIF(Mercado_Receita!$S$2:$S$2578,"44348B2ConvencionalRuralNão se aplicaNão se aplicaNão se aplicaNão se aplica",Mercado_Receita!$L$2:$L$2578)</f>
        <v>5452.7079999999996</v>
      </c>
      <c r="Q35" s="12">
        <f>SUMIF(Mercado_Receita!$S$2:$S$2578,"44378B2ConvencionalRuralNão se aplicaNão se aplicaNão se aplicaPonta",Mercado_Receita!$L$2:$L$2578)+SUMIF(Mercado_Receita!$S$2:$S$2578,"44378B2ConvencionalRuralNão se aplicaNão se aplicaNão se aplicaFora ponta",Mercado_Receita!$L$2:$L$2578)+SUMIF(Mercado_Receita!$S$2:$S$2578,"44378B2ConvencionalRuralNão se aplicaNão se aplicaNão se aplicaIntermediário",Mercado_Receita!$L$2:$L$2578)+SUMIF(Mercado_Receita!$S$2:$S$2578,"44378B2ConvencionalRuralNão se aplicaNão se aplicaNão se aplicaNão se aplica",Mercado_Receita!$L$2:$L$2578)</f>
        <v>5212.0349999999999</v>
      </c>
      <c r="R35" s="12">
        <f>SUMIF(Mercado_Receita!$S$2:$S$2578,"44409B2ConvencionalRuralNão se aplicaNão se aplicaNão se aplicaPonta",Mercado_Receita!$L$2:$L$2578)+SUMIF(Mercado_Receita!$S$2:$S$2578,"44409B2ConvencionalRuralNão se aplicaNão se aplicaNão se aplicaFora ponta",Mercado_Receita!$L$2:$L$2578)+SUMIF(Mercado_Receita!$S$2:$S$2578,"44409B2ConvencionalRuralNão se aplicaNão se aplicaNão se aplicaIntermediário",Mercado_Receita!$L$2:$L$2578)+SUMIF(Mercado_Receita!$S$2:$S$2578,"44409B2ConvencionalRuralNão se aplicaNão se aplicaNão se aplicaNão se aplica",Mercado_Receita!$L$2:$L$2578)</f>
        <v>5472.41</v>
      </c>
      <c r="S35" s="12">
        <f>SUMIF(Mercado_Receita!$S$2:$S$2578,"44440B2ConvencionalRuralNão se aplicaNão se aplicaNão se aplicaPonta",Mercado_Receita!$L$2:$L$2578)+SUMIF(Mercado_Receita!$S$2:$S$2578,"44440B2ConvencionalRuralNão se aplicaNão se aplicaNão se aplicaFora ponta",Mercado_Receita!$L$2:$L$2578)+SUMIF(Mercado_Receita!$S$2:$S$2578,"44440B2ConvencionalRuralNão se aplicaNão se aplicaNão se aplicaIntermediário",Mercado_Receita!$L$2:$L$2578)+SUMIF(Mercado_Receita!$S$2:$S$2578,"44440B2ConvencionalRuralNão se aplicaNão se aplicaNão se aplicaNão se aplica",Mercado_Receita!$L$2:$L$2578)</f>
        <v>5349.2219999999988</v>
      </c>
      <c r="T35" s="12">
        <f>SUMIF(Mercado_Receita!$S$2:$S$2578,"44470B2ConvencionalRuralNão se aplicaNão se aplicaNão se aplicaPonta",Mercado_Receita!$L$2:$L$2578)+SUMIF(Mercado_Receita!$S$2:$S$2578,"44470B2ConvencionalRuralNão se aplicaNão se aplicaNão se aplicaFora ponta",Mercado_Receita!$L$2:$L$2578)+SUMIF(Mercado_Receita!$S$2:$S$2578,"44470B2ConvencionalRuralNão se aplicaNão se aplicaNão se aplicaIntermediário",Mercado_Receita!$L$2:$L$2578)+SUMIF(Mercado_Receita!$S$2:$S$2578,"44470B2ConvencionalRuralNão se aplicaNão se aplicaNão se aplicaNão se aplica",Mercado_Receita!$L$2:$L$2578)</f>
        <v>5349.2219999999988</v>
      </c>
      <c r="U35" s="12">
        <f t="shared" si="1"/>
        <v>64418.971000000005</v>
      </c>
      <c r="V35" s="12"/>
      <c r="W35" s="12"/>
    </row>
    <row r="36" spans="1:23" ht="11.25" customHeight="1" x14ac:dyDescent="0.25">
      <c r="A36" s="110"/>
      <c r="B36" s="109" t="s">
        <v>39</v>
      </c>
      <c r="C36" s="109" t="s">
        <v>47</v>
      </c>
      <c r="D36" s="109" t="s">
        <v>101</v>
      </c>
      <c r="E36" s="109" t="s">
        <v>25</v>
      </c>
      <c r="F36" s="109" t="s">
        <v>25</v>
      </c>
      <c r="G36" s="12" t="s">
        <v>87</v>
      </c>
      <c r="H36" s="12" t="s">
        <v>86</v>
      </c>
      <c r="I36" s="12">
        <f>SUMIF(Mercado_Receita!$S$2:$S$2578,"44136B2BrancaRuralCooperativa de eletrificação ruralNão se aplicaNão se aplicaPonta",Mercado_Receita!$L$2:$L$2578)</f>
        <v>0</v>
      </c>
      <c r="J36" s="12">
        <f>SUMIF(Mercado_Receita!$S$2:$S$2578,"44166B2BrancaRuralCooperativa de eletrificação ruralNão se aplicaNão se aplicaPonta",Mercado_Receita!$L$2:$L$2578)</f>
        <v>0</v>
      </c>
      <c r="K36" s="12">
        <f>SUMIF(Mercado_Receita!$S$2:$S$2578,"44197B2BrancaRuralCooperativa de eletrificação ruralNão se aplicaNão se aplicaPonta",Mercado_Receita!$L$2:$L$2578)</f>
        <v>0</v>
      </c>
      <c r="L36" s="12">
        <f>SUMIF(Mercado_Receita!$S$2:$S$2578,"44228B2BrancaRuralCooperativa de eletrificação ruralNão se aplicaNão se aplicaPonta",Mercado_Receita!$L$2:$L$2578)</f>
        <v>0</v>
      </c>
      <c r="M36" s="12">
        <f>SUMIF(Mercado_Receita!$S$2:$S$2578,"44256B2BrancaRuralCooperativa de eletrificação ruralNão se aplicaNão se aplicaPonta",Mercado_Receita!$L$2:$L$2578)</f>
        <v>0</v>
      </c>
      <c r="N36" s="12">
        <f>SUMIF(Mercado_Receita!$S$2:$S$2578,"44287B2BrancaRuralCooperativa de eletrificação ruralNão se aplicaNão se aplicaPonta",Mercado_Receita!$L$2:$L$2578)</f>
        <v>0</v>
      </c>
      <c r="O36" s="12">
        <f>SUMIF(Mercado_Receita!$S$2:$S$2578,"44317B2BrancaRuralCooperativa de eletrificação ruralNão se aplicaNão se aplicaPonta",Mercado_Receita!$L$2:$L$2578)</f>
        <v>0</v>
      </c>
      <c r="P36" s="12">
        <f>SUMIF(Mercado_Receita!$S$2:$S$2578,"44348B2BrancaRuralCooperativa de eletrificação ruralNão se aplicaNão se aplicaPonta",Mercado_Receita!$L$2:$L$2578)</f>
        <v>0</v>
      </c>
      <c r="Q36" s="12">
        <f>SUMIF(Mercado_Receita!$S$2:$S$2578,"44378B2BrancaRuralCooperativa de eletrificação ruralNão se aplicaNão se aplicaPonta",Mercado_Receita!$L$2:$L$2578)</f>
        <v>0</v>
      </c>
      <c r="R36" s="12">
        <f>SUMIF(Mercado_Receita!$S$2:$S$2578,"44409B2BrancaRuralCooperativa de eletrificação ruralNão se aplicaNão se aplicaPonta",Mercado_Receita!$L$2:$L$2578)</f>
        <v>0</v>
      </c>
      <c r="S36" s="12">
        <f>SUMIF(Mercado_Receita!$S$2:$S$2578,"44440B2BrancaRuralCooperativa de eletrificação ruralNão se aplicaNão se aplicaPonta",Mercado_Receita!$L$2:$L$2578)</f>
        <v>0</v>
      </c>
      <c r="T36" s="12">
        <f>SUMIF(Mercado_Receita!$S$2:$S$2578,"44470B2BrancaRuralCooperativa de eletrificação ruralNão se aplicaNão se aplicaPonta",Mercado_Receita!$L$2:$L$2578)</f>
        <v>0</v>
      </c>
      <c r="U36" s="12">
        <f t="shared" si="1"/>
        <v>0</v>
      </c>
      <c r="V36" s="12"/>
      <c r="W36" s="12"/>
    </row>
    <row r="37" spans="1:23" ht="11.25" customHeight="1" x14ac:dyDescent="0.25">
      <c r="A37" s="110"/>
      <c r="B37" s="110"/>
      <c r="C37" s="110"/>
      <c r="D37" s="110"/>
      <c r="E37" s="110"/>
      <c r="F37" s="110"/>
      <c r="G37" s="12" t="s">
        <v>98</v>
      </c>
      <c r="H37" s="12" t="s">
        <v>86</v>
      </c>
      <c r="I37" s="12">
        <f>SUMIF(Mercado_Receita!$S$2:$S$2578,"44136B2BrancaRuralCooperativa de eletrificação ruralNão se aplicaNão se aplicaIntermediário",Mercado_Receita!$L$2:$L$2578)</f>
        <v>0</v>
      </c>
      <c r="J37" s="12">
        <f>SUMIF(Mercado_Receita!$S$2:$S$2578,"44166B2BrancaRuralCooperativa de eletrificação ruralNão se aplicaNão se aplicaIntermediário",Mercado_Receita!$L$2:$L$2578)</f>
        <v>0</v>
      </c>
      <c r="K37" s="12">
        <f>SUMIF(Mercado_Receita!$S$2:$S$2578,"44197B2BrancaRuralCooperativa de eletrificação ruralNão se aplicaNão se aplicaIntermediário",Mercado_Receita!$L$2:$L$2578)</f>
        <v>0</v>
      </c>
      <c r="L37" s="12">
        <f>SUMIF(Mercado_Receita!$S$2:$S$2578,"44228B2BrancaRuralCooperativa de eletrificação ruralNão se aplicaNão se aplicaIntermediário",Mercado_Receita!$L$2:$L$2578)</f>
        <v>0</v>
      </c>
      <c r="M37" s="12">
        <f>SUMIF(Mercado_Receita!$S$2:$S$2578,"44256B2BrancaRuralCooperativa de eletrificação ruralNão se aplicaNão se aplicaIntermediário",Mercado_Receita!$L$2:$L$2578)</f>
        <v>0</v>
      </c>
      <c r="N37" s="12">
        <f>SUMIF(Mercado_Receita!$S$2:$S$2578,"44287B2BrancaRuralCooperativa de eletrificação ruralNão se aplicaNão se aplicaIntermediário",Mercado_Receita!$L$2:$L$2578)</f>
        <v>0</v>
      </c>
      <c r="O37" s="12">
        <f>SUMIF(Mercado_Receita!$S$2:$S$2578,"44317B2BrancaRuralCooperativa de eletrificação ruralNão se aplicaNão se aplicaIntermediário",Mercado_Receita!$L$2:$L$2578)</f>
        <v>0</v>
      </c>
      <c r="P37" s="12">
        <f>SUMIF(Mercado_Receita!$S$2:$S$2578,"44348B2BrancaRuralCooperativa de eletrificação ruralNão se aplicaNão se aplicaIntermediário",Mercado_Receita!$L$2:$L$2578)</f>
        <v>0</v>
      </c>
      <c r="Q37" s="12">
        <f>SUMIF(Mercado_Receita!$S$2:$S$2578,"44378B2BrancaRuralCooperativa de eletrificação ruralNão se aplicaNão se aplicaIntermediário",Mercado_Receita!$L$2:$L$2578)</f>
        <v>0</v>
      </c>
      <c r="R37" s="12">
        <f>SUMIF(Mercado_Receita!$S$2:$S$2578,"44409B2BrancaRuralCooperativa de eletrificação ruralNão se aplicaNão se aplicaIntermediário",Mercado_Receita!$L$2:$L$2578)</f>
        <v>0</v>
      </c>
      <c r="S37" s="12">
        <f>SUMIF(Mercado_Receita!$S$2:$S$2578,"44440B2BrancaRuralCooperativa de eletrificação ruralNão se aplicaNão se aplicaIntermediário",Mercado_Receita!$L$2:$L$2578)</f>
        <v>0</v>
      </c>
      <c r="T37" s="12">
        <f>SUMIF(Mercado_Receita!$S$2:$S$2578,"44470B2BrancaRuralCooperativa de eletrificação ruralNão se aplicaNão se aplicaIntermediário",Mercado_Receita!$L$2:$L$2578)</f>
        <v>0</v>
      </c>
      <c r="U37" s="12">
        <f t="shared" si="1"/>
        <v>0</v>
      </c>
      <c r="V37" s="12"/>
      <c r="W37" s="12"/>
    </row>
    <row r="38" spans="1:23" ht="11.25" customHeight="1" x14ac:dyDescent="0.25">
      <c r="A38" s="110"/>
      <c r="B38" s="110"/>
      <c r="C38" s="110"/>
      <c r="D38" s="110"/>
      <c r="E38" s="110"/>
      <c r="F38" s="110"/>
      <c r="G38" s="12" t="s">
        <v>88</v>
      </c>
      <c r="H38" s="12" t="s">
        <v>86</v>
      </c>
      <c r="I38" s="12">
        <f>SUMIF(Mercado_Receita!$S$2:$S$2578,"44136B2BrancaRuralCooperativa de eletrificação ruralNão se aplicaNão se aplicaFora ponta",Mercado_Receita!$L$2:$L$2578)</f>
        <v>0</v>
      </c>
      <c r="J38" s="12">
        <f>SUMIF(Mercado_Receita!$S$2:$S$2578,"44166B2BrancaRuralCooperativa de eletrificação ruralNão se aplicaNão se aplicaFora ponta",Mercado_Receita!$L$2:$L$2578)</f>
        <v>0</v>
      </c>
      <c r="K38" s="12">
        <f>SUMIF(Mercado_Receita!$S$2:$S$2578,"44197B2BrancaRuralCooperativa de eletrificação ruralNão se aplicaNão se aplicaFora ponta",Mercado_Receita!$L$2:$L$2578)</f>
        <v>0</v>
      </c>
      <c r="L38" s="12">
        <f>SUMIF(Mercado_Receita!$S$2:$S$2578,"44228B2BrancaRuralCooperativa de eletrificação ruralNão se aplicaNão se aplicaFora ponta",Mercado_Receita!$L$2:$L$2578)</f>
        <v>0</v>
      </c>
      <c r="M38" s="12">
        <f>SUMIF(Mercado_Receita!$S$2:$S$2578,"44256B2BrancaRuralCooperativa de eletrificação ruralNão se aplicaNão se aplicaFora ponta",Mercado_Receita!$L$2:$L$2578)</f>
        <v>0</v>
      </c>
      <c r="N38" s="12">
        <f>SUMIF(Mercado_Receita!$S$2:$S$2578,"44287B2BrancaRuralCooperativa de eletrificação ruralNão se aplicaNão se aplicaFora ponta",Mercado_Receita!$L$2:$L$2578)</f>
        <v>0</v>
      </c>
      <c r="O38" s="12">
        <f>SUMIF(Mercado_Receita!$S$2:$S$2578,"44317B2BrancaRuralCooperativa de eletrificação ruralNão se aplicaNão se aplicaFora ponta",Mercado_Receita!$L$2:$L$2578)</f>
        <v>0</v>
      </c>
      <c r="P38" s="12">
        <f>SUMIF(Mercado_Receita!$S$2:$S$2578,"44348B2BrancaRuralCooperativa de eletrificação ruralNão se aplicaNão se aplicaFora ponta",Mercado_Receita!$L$2:$L$2578)</f>
        <v>0</v>
      </c>
      <c r="Q38" s="12">
        <f>SUMIF(Mercado_Receita!$S$2:$S$2578,"44378B2BrancaRuralCooperativa de eletrificação ruralNão se aplicaNão se aplicaFora ponta",Mercado_Receita!$L$2:$L$2578)</f>
        <v>0</v>
      </c>
      <c r="R38" s="12">
        <f>SUMIF(Mercado_Receita!$S$2:$S$2578,"44409B2BrancaRuralCooperativa de eletrificação ruralNão se aplicaNão se aplicaFora ponta",Mercado_Receita!$L$2:$L$2578)</f>
        <v>0</v>
      </c>
      <c r="S38" s="12">
        <f>SUMIF(Mercado_Receita!$S$2:$S$2578,"44440B2BrancaRuralCooperativa de eletrificação ruralNão se aplicaNão se aplicaFora ponta",Mercado_Receita!$L$2:$L$2578)</f>
        <v>0</v>
      </c>
      <c r="T38" s="12">
        <f>SUMIF(Mercado_Receita!$S$2:$S$2578,"44470B2BrancaRuralCooperativa de eletrificação ruralNão se aplicaNão se aplicaFora ponta",Mercado_Receita!$L$2:$L$2578)</f>
        <v>0</v>
      </c>
      <c r="U38" s="12">
        <f t="shared" si="1"/>
        <v>0</v>
      </c>
      <c r="V38" s="12"/>
      <c r="W38" s="12"/>
    </row>
    <row r="39" spans="1:23" ht="11.25" customHeight="1" x14ac:dyDescent="0.25">
      <c r="A39" s="110"/>
      <c r="B39" s="13" t="s">
        <v>23</v>
      </c>
      <c r="C39" s="13" t="s">
        <v>47</v>
      </c>
      <c r="D39" s="13" t="s">
        <v>101</v>
      </c>
      <c r="E39" s="13" t="s">
        <v>25</v>
      </c>
      <c r="F39" s="13" t="s">
        <v>25</v>
      </c>
      <c r="G39" s="12" t="s">
        <v>92</v>
      </c>
      <c r="H39" s="12" t="s">
        <v>86</v>
      </c>
      <c r="I39" s="12">
        <f>SUMIF(Mercado_Receita!$S$2:$S$2578,"44136B2ConvencionalRuralCooperativa de eletrificação ruralNão se aplicaNão se aplicaPonta",Mercado_Receita!$L$2:$L$2578)+SUMIF(Mercado_Receita!$S$2:$S$2578,"44136B2ConvencionalRuralCooperativa de eletrificação ruralNão se aplicaNão se aplicaFora ponta",Mercado_Receita!$L$2:$L$2578)+SUMIF(Mercado_Receita!$S$2:$S$2578,"44136B2ConvencionalRuralCooperativa de eletrificação ruralNão se aplicaNão se aplicaIntermediário",Mercado_Receita!$L$2:$L$2578)+SUMIF(Mercado_Receita!$S$2:$S$2578,"44136B2ConvencionalRuralCooperativa de eletrificação ruralNão se aplicaNão se aplicaNão se aplica",Mercado_Receita!$L$2:$L$2578)</f>
        <v>0</v>
      </c>
      <c r="J39" s="12">
        <f>SUMIF(Mercado_Receita!$S$2:$S$2578,"44166B2ConvencionalRuralCooperativa de eletrificação ruralNão se aplicaNão se aplicaPonta",Mercado_Receita!$L$2:$L$2578)+SUMIF(Mercado_Receita!$S$2:$S$2578,"44166B2ConvencionalRuralCooperativa de eletrificação ruralNão se aplicaNão se aplicaFora ponta",Mercado_Receita!$L$2:$L$2578)+SUMIF(Mercado_Receita!$S$2:$S$2578,"44166B2ConvencionalRuralCooperativa de eletrificação ruralNão se aplicaNão se aplicaIntermediário",Mercado_Receita!$L$2:$L$2578)+SUMIF(Mercado_Receita!$S$2:$S$2578,"44166B2ConvencionalRuralCooperativa de eletrificação ruralNão se aplicaNão se aplicaNão se aplica",Mercado_Receita!$L$2:$L$2578)</f>
        <v>0</v>
      </c>
      <c r="K39" s="12">
        <f>SUMIF(Mercado_Receita!$S$2:$S$2578,"44197B2ConvencionalRuralCooperativa de eletrificação ruralNão se aplicaNão se aplicaPonta",Mercado_Receita!$L$2:$L$2578)+SUMIF(Mercado_Receita!$S$2:$S$2578,"44197B2ConvencionalRuralCooperativa de eletrificação ruralNão se aplicaNão se aplicaFora ponta",Mercado_Receita!$L$2:$L$2578)+SUMIF(Mercado_Receita!$S$2:$S$2578,"44197B2ConvencionalRuralCooperativa de eletrificação ruralNão se aplicaNão se aplicaIntermediário",Mercado_Receita!$L$2:$L$2578)+SUMIF(Mercado_Receita!$S$2:$S$2578,"44197B2ConvencionalRuralCooperativa de eletrificação ruralNão se aplicaNão se aplicaNão se aplica",Mercado_Receita!$L$2:$L$2578)</f>
        <v>0</v>
      </c>
      <c r="L39" s="12">
        <f>SUMIF(Mercado_Receita!$S$2:$S$2578,"44228B2ConvencionalRuralCooperativa de eletrificação ruralNão se aplicaNão se aplicaPonta",Mercado_Receita!$L$2:$L$2578)+SUMIF(Mercado_Receita!$S$2:$S$2578,"44228B2ConvencionalRuralCooperativa de eletrificação ruralNão se aplicaNão se aplicaFora ponta",Mercado_Receita!$L$2:$L$2578)+SUMIF(Mercado_Receita!$S$2:$S$2578,"44228B2ConvencionalRuralCooperativa de eletrificação ruralNão se aplicaNão se aplicaIntermediário",Mercado_Receita!$L$2:$L$2578)+SUMIF(Mercado_Receita!$S$2:$S$2578,"44228B2ConvencionalRuralCooperativa de eletrificação ruralNão se aplicaNão se aplicaNão se aplica",Mercado_Receita!$L$2:$L$2578)</f>
        <v>0</v>
      </c>
      <c r="M39" s="12">
        <f>SUMIF(Mercado_Receita!$S$2:$S$2578,"44256B2ConvencionalRuralCooperativa de eletrificação ruralNão se aplicaNão se aplicaPonta",Mercado_Receita!$L$2:$L$2578)+SUMIF(Mercado_Receita!$S$2:$S$2578,"44256B2ConvencionalRuralCooperativa de eletrificação ruralNão se aplicaNão se aplicaFora ponta",Mercado_Receita!$L$2:$L$2578)+SUMIF(Mercado_Receita!$S$2:$S$2578,"44256B2ConvencionalRuralCooperativa de eletrificação ruralNão se aplicaNão se aplicaIntermediário",Mercado_Receita!$L$2:$L$2578)+SUMIF(Mercado_Receita!$S$2:$S$2578,"44256B2ConvencionalRuralCooperativa de eletrificação ruralNão se aplicaNão se aplicaNão se aplica",Mercado_Receita!$L$2:$L$2578)</f>
        <v>0</v>
      </c>
      <c r="N39" s="12">
        <f>SUMIF(Mercado_Receita!$S$2:$S$2578,"44287B2ConvencionalRuralCooperativa de eletrificação ruralNão se aplicaNão se aplicaPonta",Mercado_Receita!$L$2:$L$2578)+SUMIF(Mercado_Receita!$S$2:$S$2578,"44287B2ConvencionalRuralCooperativa de eletrificação ruralNão se aplicaNão se aplicaFora ponta",Mercado_Receita!$L$2:$L$2578)+SUMIF(Mercado_Receita!$S$2:$S$2578,"44287B2ConvencionalRuralCooperativa de eletrificação ruralNão se aplicaNão se aplicaIntermediário",Mercado_Receita!$L$2:$L$2578)+SUMIF(Mercado_Receita!$S$2:$S$2578,"44287B2ConvencionalRuralCooperativa de eletrificação ruralNão se aplicaNão se aplicaNão se aplica",Mercado_Receita!$L$2:$L$2578)</f>
        <v>0</v>
      </c>
      <c r="O39" s="12">
        <f>SUMIF(Mercado_Receita!$S$2:$S$2578,"44317B2ConvencionalRuralCooperativa de eletrificação ruralNão se aplicaNão se aplicaPonta",Mercado_Receita!$L$2:$L$2578)+SUMIF(Mercado_Receita!$S$2:$S$2578,"44317B2ConvencionalRuralCooperativa de eletrificação ruralNão se aplicaNão se aplicaFora ponta",Mercado_Receita!$L$2:$L$2578)+SUMIF(Mercado_Receita!$S$2:$S$2578,"44317B2ConvencionalRuralCooperativa de eletrificação ruralNão se aplicaNão se aplicaIntermediário",Mercado_Receita!$L$2:$L$2578)+SUMIF(Mercado_Receita!$S$2:$S$2578,"44317B2ConvencionalRuralCooperativa de eletrificação ruralNão se aplicaNão se aplicaNão se aplica",Mercado_Receita!$L$2:$L$2578)</f>
        <v>0</v>
      </c>
      <c r="P39" s="12">
        <f>SUMIF(Mercado_Receita!$S$2:$S$2578,"44348B2ConvencionalRuralCooperativa de eletrificação ruralNão se aplicaNão se aplicaPonta",Mercado_Receita!$L$2:$L$2578)+SUMIF(Mercado_Receita!$S$2:$S$2578,"44348B2ConvencionalRuralCooperativa de eletrificação ruralNão se aplicaNão se aplicaFora ponta",Mercado_Receita!$L$2:$L$2578)+SUMIF(Mercado_Receita!$S$2:$S$2578,"44348B2ConvencionalRuralCooperativa de eletrificação ruralNão se aplicaNão se aplicaIntermediário",Mercado_Receita!$L$2:$L$2578)+SUMIF(Mercado_Receita!$S$2:$S$2578,"44348B2ConvencionalRuralCooperativa de eletrificação ruralNão se aplicaNão se aplicaNão se aplica",Mercado_Receita!$L$2:$L$2578)</f>
        <v>0</v>
      </c>
      <c r="Q39" s="12">
        <f>SUMIF(Mercado_Receita!$S$2:$S$2578,"44378B2ConvencionalRuralCooperativa de eletrificação ruralNão se aplicaNão se aplicaPonta",Mercado_Receita!$L$2:$L$2578)+SUMIF(Mercado_Receita!$S$2:$S$2578,"44378B2ConvencionalRuralCooperativa de eletrificação ruralNão se aplicaNão se aplicaFora ponta",Mercado_Receita!$L$2:$L$2578)+SUMIF(Mercado_Receita!$S$2:$S$2578,"44378B2ConvencionalRuralCooperativa de eletrificação ruralNão se aplicaNão se aplicaIntermediário",Mercado_Receita!$L$2:$L$2578)+SUMIF(Mercado_Receita!$S$2:$S$2578,"44378B2ConvencionalRuralCooperativa de eletrificação ruralNão se aplicaNão se aplicaNão se aplica",Mercado_Receita!$L$2:$L$2578)</f>
        <v>0</v>
      </c>
      <c r="R39" s="12">
        <f>SUMIF(Mercado_Receita!$S$2:$S$2578,"44409B2ConvencionalRuralCooperativa de eletrificação ruralNão se aplicaNão se aplicaPonta",Mercado_Receita!$L$2:$L$2578)+SUMIF(Mercado_Receita!$S$2:$S$2578,"44409B2ConvencionalRuralCooperativa de eletrificação ruralNão se aplicaNão se aplicaFora ponta",Mercado_Receita!$L$2:$L$2578)+SUMIF(Mercado_Receita!$S$2:$S$2578,"44409B2ConvencionalRuralCooperativa de eletrificação ruralNão se aplicaNão se aplicaIntermediário",Mercado_Receita!$L$2:$L$2578)+SUMIF(Mercado_Receita!$S$2:$S$2578,"44409B2ConvencionalRuralCooperativa de eletrificação ruralNão se aplicaNão se aplicaNão se aplica",Mercado_Receita!$L$2:$L$2578)</f>
        <v>0</v>
      </c>
      <c r="S39" s="12">
        <f>SUMIF(Mercado_Receita!$S$2:$S$2578,"44440B2ConvencionalRuralCooperativa de eletrificação ruralNão se aplicaNão se aplicaPonta",Mercado_Receita!$L$2:$L$2578)+SUMIF(Mercado_Receita!$S$2:$S$2578,"44440B2ConvencionalRuralCooperativa de eletrificação ruralNão se aplicaNão se aplicaFora ponta",Mercado_Receita!$L$2:$L$2578)+SUMIF(Mercado_Receita!$S$2:$S$2578,"44440B2ConvencionalRuralCooperativa de eletrificação ruralNão se aplicaNão se aplicaIntermediário",Mercado_Receita!$L$2:$L$2578)+SUMIF(Mercado_Receita!$S$2:$S$2578,"44440B2ConvencionalRuralCooperativa de eletrificação ruralNão se aplicaNão se aplicaNão se aplica",Mercado_Receita!$L$2:$L$2578)</f>
        <v>0</v>
      </c>
      <c r="T39" s="12">
        <f>SUMIF(Mercado_Receita!$S$2:$S$2578,"44470B2ConvencionalRuralCooperativa de eletrificação ruralNão se aplicaNão se aplicaPonta",Mercado_Receita!$L$2:$L$2578)+SUMIF(Mercado_Receita!$S$2:$S$2578,"44470B2ConvencionalRuralCooperativa de eletrificação ruralNão se aplicaNão se aplicaFora ponta",Mercado_Receita!$L$2:$L$2578)+SUMIF(Mercado_Receita!$S$2:$S$2578,"44470B2ConvencionalRuralCooperativa de eletrificação ruralNão se aplicaNão se aplicaIntermediário",Mercado_Receita!$L$2:$L$2578)+SUMIF(Mercado_Receita!$S$2:$S$2578,"44470B2ConvencionalRuralCooperativa de eletrificação ruralNão se aplicaNão se aplicaNão se aplica",Mercado_Receita!$L$2:$L$2578)</f>
        <v>0</v>
      </c>
      <c r="U39" s="12">
        <f t="shared" si="1"/>
        <v>0</v>
      </c>
      <c r="V39" s="12"/>
      <c r="W39" s="12"/>
    </row>
    <row r="40" spans="1:23" ht="11.25" customHeight="1" x14ac:dyDescent="0.25">
      <c r="A40" s="110"/>
      <c r="B40" s="109" t="s">
        <v>39</v>
      </c>
      <c r="C40" s="109" t="s">
        <v>47</v>
      </c>
      <c r="D40" s="109" t="s">
        <v>55</v>
      </c>
      <c r="E40" s="109" t="s">
        <v>25</v>
      </c>
      <c r="F40" s="109" t="s">
        <v>25</v>
      </c>
      <c r="G40" s="12" t="s">
        <v>87</v>
      </c>
      <c r="H40" s="12" t="s">
        <v>86</v>
      </c>
      <c r="I40" s="12">
        <f>SUMIF(Mercado_Receita!$S$2:$S$2578,"44136B2BrancaRuralServiço público de irrigação ruralNão se aplicaNão se aplicaPonta",Mercado_Receita!$L$2:$L$2578)</f>
        <v>0</v>
      </c>
      <c r="J40" s="12">
        <f>SUMIF(Mercado_Receita!$S$2:$S$2578,"44166B2BrancaRuralServiço público de irrigação ruralNão se aplicaNão se aplicaPonta",Mercado_Receita!$L$2:$L$2578)</f>
        <v>0</v>
      </c>
      <c r="K40" s="12">
        <f>SUMIF(Mercado_Receita!$S$2:$S$2578,"44197B2BrancaRuralServiço público de irrigação ruralNão se aplicaNão se aplicaPonta",Mercado_Receita!$L$2:$L$2578)</f>
        <v>0</v>
      </c>
      <c r="L40" s="12">
        <f>SUMIF(Mercado_Receita!$S$2:$S$2578,"44228B2BrancaRuralServiço público de irrigação ruralNão se aplicaNão se aplicaPonta",Mercado_Receita!$L$2:$L$2578)</f>
        <v>0</v>
      </c>
      <c r="M40" s="12">
        <f>SUMIF(Mercado_Receita!$S$2:$S$2578,"44256B2BrancaRuralServiço público de irrigação ruralNão se aplicaNão se aplicaPonta",Mercado_Receita!$L$2:$L$2578)</f>
        <v>0</v>
      </c>
      <c r="N40" s="12">
        <f>SUMIF(Mercado_Receita!$S$2:$S$2578,"44287B2BrancaRuralServiço público de irrigação ruralNão se aplicaNão se aplicaPonta",Mercado_Receita!$L$2:$L$2578)</f>
        <v>0</v>
      </c>
      <c r="O40" s="12">
        <f>SUMIF(Mercado_Receita!$S$2:$S$2578,"44317B2BrancaRuralServiço público de irrigação ruralNão se aplicaNão se aplicaPonta",Mercado_Receita!$L$2:$L$2578)</f>
        <v>0</v>
      </c>
      <c r="P40" s="12">
        <f>SUMIF(Mercado_Receita!$S$2:$S$2578,"44348B2BrancaRuralServiço público de irrigação ruralNão se aplicaNão se aplicaPonta",Mercado_Receita!$L$2:$L$2578)</f>
        <v>0</v>
      </c>
      <c r="Q40" s="12">
        <f>SUMIF(Mercado_Receita!$S$2:$S$2578,"44378B2BrancaRuralServiço público de irrigação ruralNão se aplicaNão se aplicaPonta",Mercado_Receita!$L$2:$L$2578)</f>
        <v>0</v>
      </c>
      <c r="R40" s="12">
        <f>SUMIF(Mercado_Receita!$S$2:$S$2578,"44409B2BrancaRuralServiço público de irrigação ruralNão se aplicaNão se aplicaPonta",Mercado_Receita!$L$2:$L$2578)</f>
        <v>0</v>
      </c>
      <c r="S40" s="12">
        <f>SUMIF(Mercado_Receita!$S$2:$S$2578,"44440B2BrancaRuralServiço público de irrigação ruralNão se aplicaNão se aplicaPonta",Mercado_Receita!$L$2:$L$2578)</f>
        <v>0</v>
      </c>
      <c r="T40" s="12">
        <f>SUMIF(Mercado_Receita!$S$2:$S$2578,"44470B2BrancaRuralServiço público de irrigação ruralNão se aplicaNão se aplicaPonta",Mercado_Receita!$L$2:$L$2578)</f>
        <v>0</v>
      </c>
      <c r="U40" s="12">
        <f t="shared" si="1"/>
        <v>0</v>
      </c>
      <c r="V40" s="12"/>
      <c r="W40" s="12"/>
    </row>
    <row r="41" spans="1:23" ht="11.25" customHeight="1" x14ac:dyDescent="0.25">
      <c r="A41" s="110"/>
      <c r="B41" s="110"/>
      <c r="C41" s="110"/>
      <c r="D41" s="110"/>
      <c r="E41" s="110"/>
      <c r="F41" s="110"/>
      <c r="G41" s="12" t="s">
        <v>98</v>
      </c>
      <c r="H41" s="12" t="s">
        <v>86</v>
      </c>
      <c r="I41" s="12">
        <f>SUMIF(Mercado_Receita!$S$2:$S$2578,"44136B2BrancaRuralServiço público de irrigação ruralNão se aplicaNão se aplicaIntermediário",Mercado_Receita!$L$2:$L$2578)</f>
        <v>0</v>
      </c>
      <c r="J41" s="12">
        <f>SUMIF(Mercado_Receita!$S$2:$S$2578,"44166B2BrancaRuralServiço público de irrigação ruralNão se aplicaNão se aplicaIntermediário",Mercado_Receita!$L$2:$L$2578)</f>
        <v>0</v>
      </c>
      <c r="K41" s="12">
        <f>SUMIF(Mercado_Receita!$S$2:$S$2578,"44197B2BrancaRuralServiço público de irrigação ruralNão se aplicaNão se aplicaIntermediário",Mercado_Receita!$L$2:$L$2578)</f>
        <v>0</v>
      </c>
      <c r="L41" s="12">
        <f>SUMIF(Mercado_Receita!$S$2:$S$2578,"44228B2BrancaRuralServiço público de irrigação ruralNão se aplicaNão se aplicaIntermediário",Mercado_Receita!$L$2:$L$2578)</f>
        <v>0</v>
      </c>
      <c r="M41" s="12">
        <f>SUMIF(Mercado_Receita!$S$2:$S$2578,"44256B2BrancaRuralServiço público de irrigação ruralNão se aplicaNão se aplicaIntermediário",Mercado_Receita!$L$2:$L$2578)</f>
        <v>0</v>
      </c>
      <c r="N41" s="12">
        <f>SUMIF(Mercado_Receita!$S$2:$S$2578,"44287B2BrancaRuralServiço público de irrigação ruralNão se aplicaNão se aplicaIntermediário",Mercado_Receita!$L$2:$L$2578)</f>
        <v>0</v>
      </c>
      <c r="O41" s="12">
        <f>SUMIF(Mercado_Receita!$S$2:$S$2578,"44317B2BrancaRuralServiço público de irrigação ruralNão se aplicaNão se aplicaIntermediário",Mercado_Receita!$L$2:$L$2578)</f>
        <v>0</v>
      </c>
      <c r="P41" s="12">
        <f>SUMIF(Mercado_Receita!$S$2:$S$2578,"44348B2BrancaRuralServiço público de irrigação ruralNão se aplicaNão se aplicaIntermediário",Mercado_Receita!$L$2:$L$2578)</f>
        <v>0</v>
      </c>
      <c r="Q41" s="12">
        <f>SUMIF(Mercado_Receita!$S$2:$S$2578,"44378B2BrancaRuralServiço público de irrigação ruralNão se aplicaNão se aplicaIntermediário",Mercado_Receita!$L$2:$L$2578)</f>
        <v>0</v>
      </c>
      <c r="R41" s="12">
        <f>SUMIF(Mercado_Receita!$S$2:$S$2578,"44409B2BrancaRuralServiço público de irrigação ruralNão se aplicaNão se aplicaIntermediário",Mercado_Receita!$L$2:$L$2578)</f>
        <v>0</v>
      </c>
      <c r="S41" s="12">
        <f>SUMIF(Mercado_Receita!$S$2:$S$2578,"44440B2BrancaRuralServiço público de irrigação ruralNão se aplicaNão se aplicaIntermediário",Mercado_Receita!$L$2:$L$2578)</f>
        <v>0</v>
      </c>
      <c r="T41" s="12">
        <f>SUMIF(Mercado_Receita!$S$2:$S$2578,"44470B2BrancaRuralServiço público de irrigação ruralNão se aplicaNão se aplicaIntermediário",Mercado_Receita!$L$2:$L$2578)</f>
        <v>0</v>
      </c>
      <c r="U41" s="12">
        <f t="shared" si="1"/>
        <v>0</v>
      </c>
      <c r="V41" s="12"/>
      <c r="W41" s="12"/>
    </row>
    <row r="42" spans="1:23" ht="11.25" customHeight="1" x14ac:dyDescent="0.25">
      <c r="A42" s="110"/>
      <c r="B42" s="110"/>
      <c r="C42" s="110"/>
      <c r="D42" s="110"/>
      <c r="E42" s="110"/>
      <c r="F42" s="110"/>
      <c r="G42" s="12" t="s">
        <v>88</v>
      </c>
      <c r="H42" s="12" t="s">
        <v>86</v>
      </c>
      <c r="I42" s="12">
        <f>SUMIF(Mercado_Receita!$S$2:$S$2578,"44136B2BrancaRuralServiço público de irrigação ruralNão se aplicaNão se aplicaFora ponta",Mercado_Receita!$L$2:$L$2578)</f>
        <v>0</v>
      </c>
      <c r="J42" s="12">
        <f>SUMIF(Mercado_Receita!$S$2:$S$2578,"44166B2BrancaRuralServiço público de irrigação ruralNão se aplicaNão se aplicaFora ponta",Mercado_Receita!$L$2:$L$2578)</f>
        <v>0</v>
      </c>
      <c r="K42" s="12">
        <f>SUMIF(Mercado_Receita!$S$2:$S$2578,"44197B2BrancaRuralServiço público de irrigação ruralNão se aplicaNão se aplicaFora ponta",Mercado_Receita!$L$2:$L$2578)</f>
        <v>0</v>
      </c>
      <c r="L42" s="12">
        <f>SUMIF(Mercado_Receita!$S$2:$S$2578,"44228B2BrancaRuralServiço público de irrigação ruralNão se aplicaNão se aplicaFora ponta",Mercado_Receita!$L$2:$L$2578)</f>
        <v>0</v>
      </c>
      <c r="M42" s="12">
        <f>SUMIF(Mercado_Receita!$S$2:$S$2578,"44256B2BrancaRuralServiço público de irrigação ruralNão se aplicaNão se aplicaFora ponta",Mercado_Receita!$L$2:$L$2578)</f>
        <v>0</v>
      </c>
      <c r="N42" s="12">
        <f>SUMIF(Mercado_Receita!$S$2:$S$2578,"44287B2BrancaRuralServiço público de irrigação ruralNão se aplicaNão se aplicaFora ponta",Mercado_Receita!$L$2:$L$2578)</f>
        <v>0</v>
      </c>
      <c r="O42" s="12">
        <f>SUMIF(Mercado_Receita!$S$2:$S$2578,"44317B2BrancaRuralServiço público de irrigação ruralNão se aplicaNão se aplicaFora ponta",Mercado_Receita!$L$2:$L$2578)</f>
        <v>0</v>
      </c>
      <c r="P42" s="12">
        <f>SUMIF(Mercado_Receita!$S$2:$S$2578,"44348B2BrancaRuralServiço público de irrigação ruralNão se aplicaNão se aplicaFora ponta",Mercado_Receita!$L$2:$L$2578)</f>
        <v>0</v>
      </c>
      <c r="Q42" s="12">
        <f>SUMIF(Mercado_Receita!$S$2:$S$2578,"44378B2BrancaRuralServiço público de irrigação ruralNão se aplicaNão se aplicaFora ponta",Mercado_Receita!$L$2:$L$2578)</f>
        <v>0</v>
      </c>
      <c r="R42" s="12">
        <f>SUMIF(Mercado_Receita!$S$2:$S$2578,"44409B2BrancaRuralServiço público de irrigação ruralNão se aplicaNão se aplicaFora ponta",Mercado_Receita!$L$2:$L$2578)</f>
        <v>0</v>
      </c>
      <c r="S42" s="12">
        <f>SUMIF(Mercado_Receita!$S$2:$S$2578,"44440B2BrancaRuralServiço público de irrigação ruralNão se aplicaNão se aplicaFora ponta",Mercado_Receita!$L$2:$L$2578)</f>
        <v>0</v>
      </c>
      <c r="T42" s="12">
        <f>SUMIF(Mercado_Receita!$S$2:$S$2578,"44470B2BrancaRuralServiço público de irrigação ruralNão se aplicaNão se aplicaFora ponta",Mercado_Receita!$L$2:$L$2578)</f>
        <v>0</v>
      </c>
      <c r="U42" s="12">
        <f t="shared" si="1"/>
        <v>0</v>
      </c>
      <c r="V42" s="12"/>
      <c r="W42" s="12"/>
    </row>
    <row r="43" spans="1:23" ht="11.25" customHeight="1" x14ac:dyDescent="0.25">
      <c r="A43" s="110"/>
      <c r="B43" s="13" t="s">
        <v>23</v>
      </c>
      <c r="C43" s="13" t="s">
        <v>47</v>
      </c>
      <c r="D43" s="13" t="s">
        <v>55</v>
      </c>
      <c r="E43" s="13" t="s">
        <v>25</v>
      </c>
      <c r="F43" s="13" t="s">
        <v>25</v>
      </c>
      <c r="G43" s="12" t="s">
        <v>92</v>
      </c>
      <c r="H43" s="12" t="s">
        <v>86</v>
      </c>
      <c r="I43" s="12">
        <f>SUMIF(Mercado_Receita!$S$2:$S$2578,"44136B2ConvencionalRuralServiço público de irrigação ruralNão se aplicaNão se aplicaPonta",Mercado_Receita!$L$2:$L$2578)+SUMIF(Mercado_Receita!$S$2:$S$2578,"44136B2ConvencionalRuralServiço público de irrigação ruralNão se aplicaNão se aplicaFora ponta",Mercado_Receita!$L$2:$L$2578)+SUMIF(Mercado_Receita!$S$2:$S$2578,"44136B2ConvencionalRuralServiço público de irrigação ruralNão se aplicaNão se aplicaIntermediário",Mercado_Receita!$L$2:$L$2578)+SUMIF(Mercado_Receita!$S$2:$S$2578,"44136B2ConvencionalRuralServiço público de irrigação ruralNão se aplicaNão se aplicaNão se aplica",Mercado_Receita!$L$2:$L$2578)</f>
        <v>0</v>
      </c>
      <c r="J43" s="12">
        <f>SUMIF(Mercado_Receita!$S$2:$S$2578,"44166B2ConvencionalRuralServiço público de irrigação ruralNão se aplicaNão se aplicaPonta",Mercado_Receita!$L$2:$L$2578)+SUMIF(Mercado_Receita!$S$2:$S$2578,"44166B2ConvencionalRuralServiço público de irrigação ruralNão se aplicaNão se aplicaFora ponta",Mercado_Receita!$L$2:$L$2578)+SUMIF(Mercado_Receita!$S$2:$S$2578,"44166B2ConvencionalRuralServiço público de irrigação ruralNão se aplicaNão se aplicaIntermediário",Mercado_Receita!$L$2:$L$2578)+SUMIF(Mercado_Receita!$S$2:$S$2578,"44166B2ConvencionalRuralServiço público de irrigação ruralNão se aplicaNão se aplicaNão se aplica",Mercado_Receita!$L$2:$L$2578)</f>
        <v>0</v>
      </c>
      <c r="K43" s="12">
        <f>SUMIF(Mercado_Receita!$S$2:$S$2578,"44197B2ConvencionalRuralServiço público de irrigação ruralNão se aplicaNão se aplicaPonta",Mercado_Receita!$L$2:$L$2578)+SUMIF(Mercado_Receita!$S$2:$S$2578,"44197B2ConvencionalRuralServiço público de irrigação ruralNão se aplicaNão se aplicaFora ponta",Mercado_Receita!$L$2:$L$2578)+SUMIF(Mercado_Receita!$S$2:$S$2578,"44197B2ConvencionalRuralServiço público de irrigação ruralNão se aplicaNão se aplicaIntermediário",Mercado_Receita!$L$2:$L$2578)+SUMIF(Mercado_Receita!$S$2:$S$2578,"44197B2ConvencionalRuralServiço público de irrigação ruralNão se aplicaNão se aplicaNão se aplica",Mercado_Receita!$L$2:$L$2578)</f>
        <v>0</v>
      </c>
      <c r="L43" s="12">
        <f>SUMIF(Mercado_Receita!$S$2:$S$2578,"44228B2ConvencionalRuralServiço público de irrigação ruralNão se aplicaNão se aplicaPonta",Mercado_Receita!$L$2:$L$2578)+SUMIF(Mercado_Receita!$S$2:$S$2578,"44228B2ConvencionalRuralServiço público de irrigação ruralNão se aplicaNão se aplicaFora ponta",Mercado_Receita!$L$2:$L$2578)+SUMIF(Mercado_Receita!$S$2:$S$2578,"44228B2ConvencionalRuralServiço público de irrigação ruralNão se aplicaNão se aplicaIntermediário",Mercado_Receita!$L$2:$L$2578)+SUMIF(Mercado_Receita!$S$2:$S$2578,"44228B2ConvencionalRuralServiço público de irrigação ruralNão se aplicaNão se aplicaNão se aplica",Mercado_Receita!$L$2:$L$2578)</f>
        <v>0</v>
      </c>
      <c r="M43" s="12">
        <f>SUMIF(Mercado_Receita!$S$2:$S$2578,"44256B2ConvencionalRuralServiço público de irrigação ruralNão se aplicaNão se aplicaPonta",Mercado_Receita!$L$2:$L$2578)+SUMIF(Mercado_Receita!$S$2:$S$2578,"44256B2ConvencionalRuralServiço público de irrigação ruralNão se aplicaNão se aplicaFora ponta",Mercado_Receita!$L$2:$L$2578)+SUMIF(Mercado_Receita!$S$2:$S$2578,"44256B2ConvencionalRuralServiço público de irrigação ruralNão se aplicaNão se aplicaIntermediário",Mercado_Receita!$L$2:$L$2578)+SUMIF(Mercado_Receita!$S$2:$S$2578,"44256B2ConvencionalRuralServiço público de irrigação ruralNão se aplicaNão se aplicaNão se aplica",Mercado_Receita!$L$2:$L$2578)</f>
        <v>0</v>
      </c>
      <c r="N43" s="12">
        <f>SUMIF(Mercado_Receita!$S$2:$S$2578,"44287B2ConvencionalRuralServiço público de irrigação ruralNão se aplicaNão se aplicaPonta",Mercado_Receita!$L$2:$L$2578)+SUMIF(Mercado_Receita!$S$2:$S$2578,"44287B2ConvencionalRuralServiço público de irrigação ruralNão se aplicaNão se aplicaFora ponta",Mercado_Receita!$L$2:$L$2578)+SUMIF(Mercado_Receita!$S$2:$S$2578,"44287B2ConvencionalRuralServiço público de irrigação ruralNão se aplicaNão se aplicaIntermediário",Mercado_Receita!$L$2:$L$2578)+SUMIF(Mercado_Receita!$S$2:$S$2578,"44287B2ConvencionalRuralServiço público de irrigação ruralNão se aplicaNão se aplicaNão se aplica",Mercado_Receita!$L$2:$L$2578)</f>
        <v>26.512</v>
      </c>
      <c r="O43" s="12">
        <f>SUMIF(Mercado_Receita!$S$2:$S$2578,"44317B2ConvencionalRuralServiço público de irrigação ruralNão se aplicaNão se aplicaPonta",Mercado_Receita!$L$2:$L$2578)+SUMIF(Mercado_Receita!$S$2:$S$2578,"44317B2ConvencionalRuralServiço público de irrigação ruralNão se aplicaNão se aplicaFora ponta",Mercado_Receita!$L$2:$L$2578)+SUMIF(Mercado_Receita!$S$2:$S$2578,"44317B2ConvencionalRuralServiço público de irrigação ruralNão se aplicaNão se aplicaIntermediário",Mercado_Receita!$L$2:$L$2578)+SUMIF(Mercado_Receita!$S$2:$S$2578,"44317B2ConvencionalRuralServiço público de irrigação ruralNão se aplicaNão se aplicaNão se aplica",Mercado_Receita!$L$2:$L$2578)</f>
        <v>0</v>
      </c>
      <c r="P43" s="12">
        <f>SUMIF(Mercado_Receita!$S$2:$S$2578,"44348B2ConvencionalRuralServiço público de irrigação ruralNão se aplicaNão se aplicaPonta",Mercado_Receita!$L$2:$L$2578)+SUMIF(Mercado_Receita!$S$2:$S$2578,"44348B2ConvencionalRuralServiço público de irrigação ruralNão se aplicaNão se aplicaFora ponta",Mercado_Receita!$L$2:$L$2578)+SUMIF(Mercado_Receita!$S$2:$S$2578,"44348B2ConvencionalRuralServiço público de irrigação ruralNão se aplicaNão se aplicaIntermediário",Mercado_Receita!$L$2:$L$2578)+SUMIF(Mercado_Receita!$S$2:$S$2578,"44348B2ConvencionalRuralServiço público de irrigação ruralNão se aplicaNão se aplicaNão se aplica",Mercado_Receita!$L$2:$L$2578)</f>
        <v>0</v>
      </c>
      <c r="Q43" s="12">
        <f>SUMIF(Mercado_Receita!$S$2:$S$2578,"44378B2ConvencionalRuralServiço público de irrigação ruralNão se aplicaNão se aplicaPonta",Mercado_Receita!$L$2:$L$2578)+SUMIF(Mercado_Receita!$S$2:$S$2578,"44378B2ConvencionalRuralServiço público de irrigação ruralNão se aplicaNão se aplicaFora ponta",Mercado_Receita!$L$2:$L$2578)+SUMIF(Mercado_Receita!$S$2:$S$2578,"44378B2ConvencionalRuralServiço público de irrigação ruralNão se aplicaNão se aplicaIntermediário",Mercado_Receita!$L$2:$L$2578)+SUMIF(Mercado_Receita!$S$2:$S$2578,"44378B2ConvencionalRuralServiço público de irrigação ruralNão se aplicaNão se aplicaNão se aplica",Mercado_Receita!$L$2:$L$2578)</f>
        <v>0</v>
      </c>
      <c r="R43" s="12">
        <f>SUMIF(Mercado_Receita!$S$2:$S$2578,"44409B2ConvencionalRuralServiço público de irrigação ruralNão se aplicaNão se aplicaPonta",Mercado_Receita!$L$2:$L$2578)+SUMIF(Mercado_Receita!$S$2:$S$2578,"44409B2ConvencionalRuralServiço público de irrigação ruralNão se aplicaNão se aplicaFora ponta",Mercado_Receita!$L$2:$L$2578)+SUMIF(Mercado_Receita!$S$2:$S$2578,"44409B2ConvencionalRuralServiço público de irrigação ruralNão se aplicaNão se aplicaIntermediário",Mercado_Receita!$L$2:$L$2578)+SUMIF(Mercado_Receita!$S$2:$S$2578,"44409B2ConvencionalRuralServiço público de irrigação ruralNão se aplicaNão se aplicaNão se aplica",Mercado_Receita!$L$2:$L$2578)</f>
        <v>0</v>
      </c>
      <c r="S43" s="12">
        <f>SUMIF(Mercado_Receita!$S$2:$S$2578,"44440B2ConvencionalRuralServiço público de irrigação ruralNão se aplicaNão se aplicaPonta",Mercado_Receita!$L$2:$L$2578)+SUMIF(Mercado_Receita!$S$2:$S$2578,"44440B2ConvencionalRuralServiço público de irrigação ruralNão se aplicaNão se aplicaFora ponta",Mercado_Receita!$L$2:$L$2578)+SUMIF(Mercado_Receita!$S$2:$S$2578,"44440B2ConvencionalRuralServiço público de irrigação ruralNão se aplicaNão se aplicaIntermediário",Mercado_Receita!$L$2:$L$2578)+SUMIF(Mercado_Receita!$S$2:$S$2578,"44440B2ConvencionalRuralServiço público de irrigação ruralNão se aplicaNão se aplicaNão se aplica",Mercado_Receita!$L$2:$L$2578)</f>
        <v>0</v>
      </c>
      <c r="T43" s="12">
        <f>SUMIF(Mercado_Receita!$S$2:$S$2578,"44470B2ConvencionalRuralServiço público de irrigação ruralNão se aplicaNão se aplicaPonta",Mercado_Receita!$L$2:$L$2578)+SUMIF(Mercado_Receita!$S$2:$S$2578,"44470B2ConvencionalRuralServiço público de irrigação ruralNão se aplicaNão se aplicaFora ponta",Mercado_Receita!$L$2:$L$2578)+SUMIF(Mercado_Receita!$S$2:$S$2578,"44470B2ConvencionalRuralServiço público de irrigação ruralNão se aplicaNão se aplicaIntermediário",Mercado_Receita!$L$2:$L$2578)+SUMIF(Mercado_Receita!$S$2:$S$2578,"44470B2ConvencionalRuralServiço público de irrigação ruralNão se aplicaNão se aplicaNão se aplica",Mercado_Receita!$L$2:$L$2578)</f>
        <v>0</v>
      </c>
      <c r="U43" s="12">
        <f t="shared" si="1"/>
        <v>26.512</v>
      </c>
      <c r="V43" s="12"/>
      <c r="W43" s="12"/>
    </row>
    <row r="44" spans="1:23" ht="11.25" customHeight="1" x14ac:dyDescent="0.25">
      <c r="A44" s="110"/>
      <c r="B44" s="109" t="s">
        <v>100</v>
      </c>
      <c r="C44" s="109" t="s">
        <v>47</v>
      </c>
      <c r="D44" s="13" t="s">
        <v>25</v>
      </c>
      <c r="E44" s="13" t="s">
        <v>25</v>
      </c>
      <c r="F44" s="13" t="s">
        <v>25</v>
      </c>
      <c r="G44" s="12" t="s">
        <v>92</v>
      </c>
      <c r="H44" s="12" t="s">
        <v>86</v>
      </c>
      <c r="I44" s="12">
        <f>SUMIF(Mercado_Receita!$S$2:$S$2578,"44136B2Convencional pré-pagamentoRuralNão se aplicaNão se aplicaNão se aplicaPonta",Mercado_Receita!$L$2:$L$2578)+SUMIF(Mercado_Receita!$S$2:$S$2578,"44136B2Convencional pré-pagamentoRuralNão se aplicaNão se aplicaNão se aplicaFora ponta",Mercado_Receita!$L$2:$L$2578)+SUMIF(Mercado_Receita!$S$2:$S$2578,"44136B2Convencional pré-pagamentoRuralNão se aplicaNão se aplicaNão se aplicaIntermediário",Mercado_Receita!$L$2:$L$2578)+SUMIF(Mercado_Receita!$S$2:$S$2578,"44136B2Convencional pré-pagamentoRuralNão se aplicaNão se aplicaNão se aplicaNão se aplica",Mercado_Receita!$L$2:$L$2578)</f>
        <v>0</v>
      </c>
      <c r="J44" s="12">
        <f>SUMIF(Mercado_Receita!$S$2:$S$2578,"44166B2Convencional pré-pagamentoRuralNão se aplicaNão se aplicaNão se aplicaPonta",Mercado_Receita!$L$2:$L$2578)+SUMIF(Mercado_Receita!$S$2:$S$2578,"44166B2Convencional pré-pagamentoRuralNão se aplicaNão se aplicaNão se aplicaFora ponta",Mercado_Receita!$L$2:$L$2578)+SUMIF(Mercado_Receita!$S$2:$S$2578,"44166B2Convencional pré-pagamentoRuralNão se aplicaNão se aplicaNão se aplicaIntermediário",Mercado_Receita!$L$2:$L$2578)+SUMIF(Mercado_Receita!$S$2:$S$2578,"44166B2Convencional pré-pagamentoRuralNão se aplicaNão se aplicaNão se aplicaNão se aplica",Mercado_Receita!$L$2:$L$2578)</f>
        <v>0</v>
      </c>
      <c r="K44" s="12">
        <f>SUMIF(Mercado_Receita!$S$2:$S$2578,"44197B2Convencional pré-pagamentoRuralNão se aplicaNão se aplicaNão se aplicaPonta",Mercado_Receita!$L$2:$L$2578)+SUMIF(Mercado_Receita!$S$2:$S$2578,"44197B2Convencional pré-pagamentoRuralNão se aplicaNão se aplicaNão se aplicaFora ponta",Mercado_Receita!$L$2:$L$2578)+SUMIF(Mercado_Receita!$S$2:$S$2578,"44197B2Convencional pré-pagamentoRuralNão se aplicaNão se aplicaNão se aplicaIntermediário",Mercado_Receita!$L$2:$L$2578)+SUMIF(Mercado_Receita!$S$2:$S$2578,"44197B2Convencional pré-pagamentoRuralNão se aplicaNão se aplicaNão se aplicaNão se aplica",Mercado_Receita!$L$2:$L$2578)</f>
        <v>0</v>
      </c>
      <c r="L44" s="12">
        <f>SUMIF(Mercado_Receita!$S$2:$S$2578,"44228B2Convencional pré-pagamentoRuralNão se aplicaNão se aplicaNão se aplicaPonta",Mercado_Receita!$L$2:$L$2578)+SUMIF(Mercado_Receita!$S$2:$S$2578,"44228B2Convencional pré-pagamentoRuralNão se aplicaNão se aplicaNão se aplicaFora ponta",Mercado_Receita!$L$2:$L$2578)+SUMIF(Mercado_Receita!$S$2:$S$2578,"44228B2Convencional pré-pagamentoRuralNão se aplicaNão se aplicaNão se aplicaIntermediário",Mercado_Receita!$L$2:$L$2578)+SUMIF(Mercado_Receita!$S$2:$S$2578,"44228B2Convencional pré-pagamentoRuralNão se aplicaNão se aplicaNão se aplicaNão se aplica",Mercado_Receita!$L$2:$L$2578)</f>
        <v>0</v>
      </c>
      <c r="M44" s="12">
        <f>SUMIF(Mercado_Receita!$S$2:$S$2578,"44256B2Convencional pré-pagamentoRuralNão se aplicaNão se aplicaNão se aplicaPonta",Mercado_Receita!$L$2:$L$2578)+SUMIF(Mercado_Receita!$S$2:$S$2578,"44256B2Convencional pré-pagamentoRuralNão se aplicaNão se aplicaNão se aplicaFora ponta",Mercado_Receita!$L$2:$L$2578)+SUMIF(Mercado_Receita!$S$2:$S$2578,"44256B2Convencional pré-pagamentoRuralNão se aplicaNão se aplicaNão se aplicaIntermediário",Mercado_Receita!$L$2:$L$2578)+SUMIF(Mercado_Receita!$S$2:$S$2578,"44256B2Convencional pré-pagamentoRuralNão se aplicaNão se aplicaNão se aplicaNão se aplica",Mercado_Receita!$L$2:$L$2578)</f>
        <v>0</v>
      </c>
      <c r="N44" s="12">
        <f>SUMIF(Mercado_Receita!$S$2:$S$2578,"44287B2Convencional pré-pagamentoRuralNão se aplicaNão se aplicaNão se aplicaPonta",Mercado_Receita!$L$2:$L$2578)+SUMIF(Mercado_Receita!$S$2:$S$2578,"44287B2Convencional pré-pagamentoRuralNão se aplicaNão se aplicaNão se aplicaFora ponta",Mercado_Receita!$L$2:$L$2578)+SUMIF(Mercado_Receita!$S$2:$S$2578,"44287B2Convencional pré-pagamentoRuralNão se aplicaNão se aplicaNão se aplicaIntermediário",Mercado_Receita!$L$2:$L$2578)+SUMIF(Mercado_Receita!$S$2:$S$2578,"44287B2Convencional pré-pagamentoRuralNão se aplicaNão se aplicaNão se aplicaNão se aplica",Mercado_Receita!$L$2:$L$2578)</f>
        <v>0</v>
      </c>
      <c r="O44" s="12">
        <f>SUMIF(Mercado_Receita!$S$2:$S$2578,"44317B2Convencional pré-pagamentoRuralNão se aplicaNão se aplicaNão se aplicaPonta",Mercado_Receita!$L$2:$L$2578)+SUMIF(Mercado_Receita!$S$2:$S$2578,"44317B2Convencional pré-pagamentoRuralNão se aplicaNão se aplicaNão se aplicaFora ponta",Mercado_Receita!$L$2:$L$2578)+SUMIF(Mercado_Receita!$S$2:$S$2578,"44317B2Convencional pré-pagamentoRuralNão se aplicaNão se aplicaNão se aplicaIntermediário",Mercado_Receita!$L$2:$L$2578)+SUMIF(Mercado_Receita!$S$2:$S$2578,"44317B2Convencional pré-pagamentoRuralNão se aplicaNão se aplicaNão se aplicaNão se aplica",Mercado_Receita!$L$2:$L$2578)</f>
        <v>0</v>
      </c>
      <c r="P44" s="12">
        <f>SUMIF(Mercado_Receita!$S$2:$S$2578,"44348B2Convencional pré-pagamentoRuralNão se aplicaNão se aplicaNão se aplicaPonta",Mercado_Receita!$L$2:$L$2578)+SUMIF(Mercado_Receita!$S$2:$S$2578,"44348B2Convencional pré-pagamentoRuralNão se aplicaNão se aplicaNão se aplicaFora ponta",Mercado_Receita!$L$2:$L$2578)+SUMIF(Mercado_Receita!$S$2:$S$2578,"44348B2Convencional pré-pagamentoRuralNão se aplicaNão se aplicaNão se aplicaIntermediário",Mercado_Receita!$L$2:$L$2578)+SUMIF(Mercado_Receita!$S$2:$S$2578,"44348B2Convencional pré-pagamentoRuralNão se aplicaNão se aplicaNão se aplicaNão se aplica",Mercado_Receita!$L$2:$L$2578)</f>
        <v>0</v>
      </c>
      <c r="Q44" s="12">
        <f>SUMIF(Mercado_Receita!$S$2:$S$2578,"44378B2Convencional pré-pagamentoRuralNão se aplicaNão se aplicaNão se aplicaPonta",Mercado_Receita!$L$2:$L$2578)+SUMIF(Mercado_Receita!$S$2:$S$2578,"44378B2Convencional pré-pagamentoRuralNão se aplicaNão se aplicaNão se aplicaFora ponta",Mercado_Receita!$L$2:$L$2578)+SUMIF(Mercado_Receita!$S$2:$S$2578,"44378B2Convencional pré-pagamentoRuralNão se aplicaNão se aplicaNão se aplicaIntermediário",Mercado_Receita!$L$2:$L$2578)+SUMIF(Mercado_Receita!$S$2:$S$2578,"44378B2Convencional pré-pagamentoRuralNão se aplicaNão se aplicaNão se aplicaNão se aplica",Mercado_Receita!$L$2:$L$2578)</f>
        <v>0</v>
      </c>
      <c r="R44" s="12">
        <f>SUMIF(Mercado_Receita!$S$2:$S$2578,"44409B2Convencional pré-pagamentoRuralNão se aplicaNão se aplicaNão se aplicaPonta",Mercado_Receita!$L$2:$L$2578)+SUMIF(Mercado_Receita!$S$2:$S$2578,"44409B2Convencional pré-pagamentoRuralNão se aplicaNão se aplicaNão se aplicaFora ponta",Mercado_Receita!$L$2:$L$2578)+SUMIF(Mercado_Receita!$S$2:$S$2578,"44409B2Convencional pré-pagamentoRuralNão se aplicaNão se aplicaNão se aplicaIntermediário",Mercado_Receita!$L$2:$L$2578)+SUMIF(Mercado_Receita!$S$2:$S$2578,"44409B2Convencional pré-pagamentoRuralNão se aplicaNão se aplicaNão se aplicaNão se aplica",Mercado_Receita!$L$2:$L$2578)</f>
        <v>0</v>
      </c>
      <c r="S44" s="12">
        <f>SUMIF(Mercado_Receita!$S$2:$S$2578,"44440B2Convencional pré-pagamentoRuralNão se aplicaNão se aplicaNão se aplicaPonta",Mercado_Receita!$L$2:$L$2578)+SUMIF(Mercado_Receita!$S$2:$S$2578,"44440B2Convencional pré-pagamentoRuralNão se aplicaNão se aplicaNão se aplicaFora ponta",Mercado_Receita!$L$2:$L$2578)+SUMIF(Mercado_Receita!$S$2:$S$2578,"44440B2Convencional pré-pagamentoRuralNão se aplicaNão se aplicaNão se aplicaIntermediário",Mercado_Receita!$L$2:$L$2578)+SUMIF(Mercado_Receita!$S$2:$S$2578,"44440B2Convencional pré-pagamentoRuralNão se aplicaNão se aplicaNão se aplicaNão se aplica",Mercado_Receita!$L$2:$L$2578)</f>
        <v>0</v>
      </c>
      <c r="T44" s="12">
        <f>SUMIF(Mercado_Receita!$S$2:$S$2578,"44470B2Convencional pré-pagamentoRuralNão se aplicaNão se aplicaNão se aplicaPonta",Mercado_Receita!$L$2:$L$2578)+SUMIF(Mercado_Receita!$S$2:$S$2578,"44470B2Convencional pré-pagamentoRuralNão se aplicaNão se aplicaNão se aplicaFora ponta",Mercado_Receita!$L$2:$L$2578)+SUMIF(Mercado_Receita!$S$2:$S$2578,"44470B2Convencional pré-pagamentoRuralNão se aplicaNão se aplicaNão se aplicaIntermediário",Mercado_Receita!$L$2:$L$2578)+SUMIF(Mercado_Receita!$S$2:$S$2578,"44470B2Convencional pré-pagamentoRuralNão se aplicaNão se aplicaNão se aplicaNão se aplica",Mercado_Receita!$L$2:$L$2578)</f>
        <v>0</v>
      </c>
      <c r="U44" s="12">
        <f t="shared" si="1"/>
        <v>0</v>
      </c>
      <c r="V44" s="12"/>
      <c r="W44" s="12"/>
    </row>
    <row r="45" spans="1:23" ht="11.25" customHeight="1" x14ac:dyDescent="0.25">
      <c r="A45" s="110"/>
      <c r="B45" s="110"/>
      <c r="C45" s="110"/>
      <c r="D45" s="13" t="s">
        <v>101</v>
      </c>
      <c r="E45" s="13" t="s">
        <v>25</v>
      </c>
      <c r="F45" s="13" t="s">
        <v>25</v>
      </c>
      <c r="G45" s="12" t="s">
        <v>92</v>
      </c>
      <c r="H45" s="12" t="s">
        <v>86</v>
      </c>
      <c r="I45" s="12">
        <f>SUMIF(Mercado_Receita!$S$2:$S$2578,"44136B2Convencional pré-pagamentoRuralCooperativa de eletrificação ruralNão se aplicaNão se aplicaPonta",Mercado_Receita!$L$2:$L$2578)+SUMIF(Mercado_Receita!$S$2:$S$2578,"44136B2Convencional pré-pagamentoRuralCooperativa de eletrificação ruralNão se aplicaNão se aplicaFora ponta",Mercado_Receita!$L$2:$L$2578)+SUMIF(Mercado_Receita!$S$2:$S$2578,"44136B2Convencional pré-pagamentoRuralCooperativa de eletrificação ruralNão se aplicaNão se aplicaIntermediário",Mercado_Receita!$L$2:$L$2578)+SUMIF(Mercado_Receita!$S$2:$S$2578,"44136B2Convencional pré-pagamentoRuralCooperativa de eletrificação ruralNão se aplicaNão se aplicaNão se aplica",Mercado_Receita!$L$2:$L$2578)</f>
        <v>0</v>
      </c>
      <c r="J45" s="12">
        <f>SUMIF(Mercado_Receita!$S$2:$S$2578,"44166B2Convencional pré-pagamentoRuralCooperativa de eletrificação ruralNão se aplicaNão se aplicaPonta",Mercado_Receita!$L$2:$L$2578)+SUMIF(Mercado_Receita!$S$2:$S$2578,"44166B2Convencional pré-pagamentoRuralCooperativa de eletrificação ruralNão se aplicaNão se aplicaFora ponta",Mercado_Receita!$L$2:$L$2578)+SUMIF(Mercado_Receita!$S$2:$S$2578,"44166B2Convencional pré-pagamentoRuralCooperativa de eletrificação ruralNão se aplicaNão se aplicaIntermediário",Mercado_Receita!$L$2:$L$2578)+SUMIF(Mercado_Receita!$S$2:$S$2578,"44166B2Convencional pré-pagamentoRuralCooperativa de eletrificação ruralNão se aplicaNão se aplicaNão se aplica",Mercado_Receita!$L$2:$L$2578)</f>
        <v>0</v>
      </c>
      <c r="K45" s="12">
        <f>SUMIF(Mercado_Receita!$S$2:$S$2578,"44197B2Convencional pré-pagamentoRuralCooperativa de eletrificação ruralNão se aplicaNão se aplicaPonta",Mercado_Receita!$L$2:$L$2578)+SUMIF(Mercado_Receita!$S$2:$S$2578,"44197B2Convencional pré-pagamentoRuralCooperativa de eletrificação ruralNão se aplicaNão se aplicaFora ponta",Mercado_Receita!$L$2:$L$2578)+SUMIF(Mercado_Receita!$S$2:$S$2578,"44197B2Convencional pré-pagamentoRuralCooperativa de eletrificação ruralNão se aplicaNão se aplicaIntermediário",Mercado_Receita!$L$2:$L$2578)+SUMIF(Mercado_Receita!$S$2:$S$2578,"44197B2Convencional pré-pagamentoRuralCooperativa de eletrificação ruralNão se aplicaNão se aplicaNão se aplica",Mercado_Receita!$L$2:$L$2578)</f>
        <v>0</v>
      </c>
      <c r="L45" s="12">
        <f>SUMIF(Mercado_Receita!$S$2:$S$2578,"44228B2Convencional pré-pagamentoRuralCooperativa de eletrificação ruralNão se aplicaNão se aplicaPonta",Mercado_Receita!$L$2:$L$2578)+SUMIF(Mercado_Receita!$S$2:$S$2578,"44228B2Convencional pré-pagamentoRuralCooperativa de eletrificação ruralNão se aplicaNão se aplicaFora ponta",Mercado_Receita!$L$2:$L$2578)+SUMIF(Mercado_Receita!$S$2:$S$2578,"44228B2Convencional pré-pagamentoRuralCooperativa de eletrificação ruralNão se aplicaNão se aplicaIntermediário",Mercado_Receita!$L$2:$L$2578)+SUMIF(Mercado_Receita!$S$2:$S$2578,"44228B2Convencional pré-pagamentoRuralCooperativa de eletrificação ruralNão se aplicaNão se aplicaNão se aplica",Mercado_Receita!$L$2:$L$2578)</f>
        <v>0</v>
      </c>
      <c r="M45" s="12">
        <f>SUMIF(Mercado_Receita!$S$2:$S$2578,"44256B2Convencional pré-pagamentoRuralCooperativa de eletrificação ruralNão se aplicaNão se aplicaPonta",Mercado_Receita!$L$2:$L$2578)+SUMIF(Mercado_Receita!$S$2:$S$2578,"44256B2Convencional pré-pagamentoRuralCooperativa de eletrificação ruralNão se aplicaNão se aplicaFora ponta",Mercado_Receita!$L$2:$L$2578)+SUMIF(Mercado_Receita!$S$2:$S$2578,"44256B2Convencional pré-pagamentoRuralCooperativa de eletrificação ruralNão se aplicaNão se aplicaIntermediário",Mercado_Receita!$L$2:$L$2578)+SUMIF(Mercado_Receita!$S$2:$S$2578,"44256B2Convencional pré-pagamentoRuralCooperativa de eletrificação ruralNão se aplicaNão se aplicaNão se aplica",Mercado_Receita!$L$2:$L$2578)</f>
        <v>0</v>
      </c>
      <c r="N45" s="12">
        <f>SUMIF(Mercado_Receita!$S$2:$S$2578,"44287B2Convencional pré-pagamentoRuralCooperativa de eletrificação ruralNão se aplicaNão se aplicaPonta",Mercado_Receita!$L$2:$L$2578)+SUMIF(Mercado_Receita!$S$2:$S$2578,"44287B2Convencional pré-pagamentoRuralCooperativa de eletrificação ruralNão se aplicaNão se aplicaFora ponta",Mercado_Receita!$L$2:$L$2578)+SUMIF(Mercado_Receita!$S$2:$S$2578,"44287B2Convencional pré-pagamentoRuralCooperativa de eletrificação ruralNão se aplicaNão se aplicaIntermediário",Mercado_Receita!$L$2:$L$2578)+SUMIF(Mercado_Receita!$S$2:$S$2578,"44287B2Convencional pré-pagamentoRuralCooperativa de eletrificação ruralNão se aplicaNão se aplicaNão se aplica",Mercado_Receita!$L$2:$L$2578)</f>
        <v>0</v>
      </c>
      <c r="O45" s="12">
        <f>SUMIF(Mercado_Receita!$S$2:$S$2578,"44317B2Convencional pré-pagamentoRuralCooperativa de eletrificação ruralNão se aplicaNão se aplicaPonta",Mercado_Receita!$L$2:$L$2578)+SUMIF(Mercado_Receita!$S$2:$S$2578,"44317B2Convencional pré-pagamentoRuralCooperativa de eletrificação ruralNão se aplicaNão se aplicaFora ponta",Mercado_Receita!$L$2:$L$2578)+SUMIF(Mercado_Receita!$S$2:$S$2578,"44317B2Convencional pré-pagamentoRuralCooperativa de eletrificação ruralNão se aplicaNão se aplicaIntermediário",Mercado_Receita!$L$2:$L$2578)+SUMIF(Mercado_Receita!$S$2:$S$2578,"44317B2Convencional pré-pagamentoRuralCooperativa de eletrificação ruralNão se aplicaNão se aplicaNão se aplica",Mercado_Receita!$L$2:$L$2578)</f>
        <v>0</v>
      </c>
      <c r="P45" s="12">
        <f>SUMIF(Mercado_Receita!$S$2:$S$2578,"44348B2Convencional pré-pagamentoRuralCooperativa de eletrificação ruralNão se aplicaNão se aplicaPonta",Mercado_Receita!$L$2:$L$2578)+SUMIF(Mercado_Receita!$S$2:$S$2578,"44348B2Convencional pré-pagamentoRuralCooperativa de eletrificação ruralNão se aplicaNão se aplicaFora ponta",Mercado_Receita!$L$2:$L$2578)+SUMIF(Mercado_Receita!$S$2:$S$2578,"44348B2Convencional pré-pagamentoRuralCooperativa de eletrificação ruralNão se aplicaNão se aplicaIntermediário",Mercado_Receita!$L$2:$L$2578)+SUMIF(Mercado_Receita!$S$2:$S$2578,"44348B2Convencional pré-pagamentoRuralCooperativa de eletrificação ruralNão se aplicaNão se aplicaNão se aplica",Mercado_Receita!$L$2:$L$2578)</f>
        <v>0</v>
      </c>
      <c r="Q45" s="12">
        <f>SUMIF(Mercado_Receita!$S$2:$S$2578,"44378B2Convencional pré-pagamentoRuralCooperativa de eletrificação ruralNão se aplicaNão se aplicaPonta",Mercado_Receita!$L$2:$L$2578)+SUMIF(Mercado_Receita!$S$2:$S$2578,"44378B2Convencional pré-pagamentoRuralCooperativa de eletrificação ruralNão se aplicaNão se aplicaFora ponta",Mercado_Receita!$L$2:$L$2578)+SUMIF(Mercado_Receita!$S$2:$S$2578,"44378B2Convencional pré-pagamentoRuralCooperativa de eletrificação ruralNão se aplicaNão se aplicaIntermediário",Mercado_Receita!$L$2:$L$2578)+SUMIF(Mercado_Receita!$S$2:$S$2578,"44378B2Convencional pré-pagamentoRuralCooperativa de eletrificação ruralNão se aplicaNão se aplicaNão se aplica",Mercado_Receita!$L$2:$L$2578)</f>
        <v>0</v>
      </c>
      <c r="R45" s="12">
        <f>SUMIF(Mercado_Receita!$S$2:$S$2578,"44409B2Convencional pré-pagamentoRuralCooperativa de eletrificação ruralNão se aplicaNão se aplicaPonta",Mercado_Receita!$L$2:$L$2578)+SUMIF(Mercado_Receita!$S$2:$S$2578,"44409B2Convencional pré-pagamentoRuralCooperativa de eletrificação ruralNão se aplicaNão se aplicaFora ponta",Mercado_Receita!$L$2:$L$2578)+SUMIF(Mercado_Receita!$S$2:$S$2578,"44409B2Convencional pré-pagamentoRuralCooperativa de eletrificação ruralNão se aplicaNão se aplicaIntermediário",Mercado_Receita!$L$2:$L$2578)+SUMIF(Mercado_Receita!$S$2:$S$2578,"44409B2Convencional pré-pagamentoRuralCooperativa de eletrificação ruralNão se aplicaNão se aplicaNão se aplica",Mercado_Receita!$L$2:$L$2578)</f>
        <v>0</v>
      </c>
      <c r="S45" s="12">
        <f>SUMIF(Mercado_Receita!$S$2:$S$2578,"44440B2Convencional pré-pagamentoRuralCooperativa de eletrificação ruralNão se aplicaNão se aplicaPonta",Mercado_Receita!$L$2:$L$2578)+SUMIF(Mercado_Receita!$S$2:$S$2578,"44440B2Convencional pré-pagamentoRuralCooperativa de eletrificação ruralNão se aplicaNão se aplicaFora ponta",Mercado_Receita!$L$2:$L$2578)+SUMIF(Mercado_Receita!$S$2:$S$2578,"44440B2Convencional pré-pagamentoRuralCooperativa de eletrificação ruralNão se aplicaNão se aplicaIntermediário",Mercado_Receita!$L$2:$L$2578)+SUMIF(Mercado_Receita!$S$2:$S$2578,"44440B2Convencional pré-pagamentoRuralCooperativa de eletrificação ruralNão se aplicaNão se aplicaNão se aplica",Mercado_Receita!$L$2:$L$2578)</f>
        <v>0</v>
      </c>
      <c r="T45" s="12">
        <f>SUMIF(Mercado_Receita!$S$2:$S$2578,"44470B2Convencional pré-pagamentoRuralCooperativa de eletrificação ruralNão se aplicaNão se aplicaPonta",Mercado_Receita!$L$2:$L$2578)+SUMIF(Mercado_Receita!$S$2:$S$2578,"44470B2Convencional pré-pagamentoRuralCooperativa de eletrificação ruralNão se aplicaNão se aplicaFora ponta",Mercado_Receita!$L$2:$L$2578)+SUMIF(Mercado_Receita!$S$2:$S$2578,"44470B2Convencional pré-pagamentoRuralCooperativa de eletrificação ruralNão se aplicaNão se aplicaIntermediário",Mercado_Receita!$L$2:$L$2578)+SUMIF(Mercado_Receita!$S$2:$S$2578,"44470B2Convencional pré-pagamentoRuralCooperativa de eletrificação ruralNão se aplicaNão se aplicaNão se aplica",Mercado_Receita!$L$2:$L$2578)</f>
        <v>0</v>
      </c>
      <c r="U45" s="12">
        <f t="shared" si="1"/>
        <v>0</v>
      </c>
      <c r="V45" s="12"/>
      <c r="W45" s="12"/>
    </row>
    <row r="46" spans="1:23" ht="11.25" customHeight="1" x14ac:dyDescent="0.25">
      <c r="A46" s="110"/>
      <c r="B46" s="110"/>
      <c r="C46" s="110"/>
      <c r="D46" s="13" t="s">
        <v>55</v>
      </c>
      <c r="E46" s="13" t="s">
        <v>25</v>
      </c>
      <c r="F46" s="13" t="s">
        <v>25</v>
      </c>
      <c r="G46" s="12" t="s">
        <v>92</v>
      </c>
      <c r="H46" s="12" t="s">
        <v>86</v>
      </c>
      <c r="I46" s="12">
        <f>SUMIF(Mercado_Receita!$S$2:$S$2578,"44136B2Convencional pré-pagamentoRuralServiço público de irrigação ruralNão se aplicaNão se aplicaPonta",Mercado_Receita!$L$2:$L$2578)+SUMIF(Mercado_Receita!$S$2:$S$2578,"44136B2Convencional pré-pagamentoRuralServiço público de irrigação ruralNão se aplicaNão se aplicaFora ponta",Mercado_Receita!$L$2:$L$2578)+SUMIF(Mercado_Receita!$S$2:$S$2578,"44136B2Convencional pré-pagamentoRuralServiço público de irrigação ruralNão se aplicaNão se aplicaIntermediário",Mercado_Receita!$L$2:$L$2578)+SUMIF(Mercado_Receita!$S$2:$S$2578,"44136B2Convencional pré-pagamentoRuralServiço público de irrigação ruralNão se aplicaNão se aplicaNão se aplica",Mercado_Receita!$L$2:$L$2578)</f>
        <v>0</v>
      </c>
      <c r="J46" s="12">
        <f>SUMIF(Mercado_Receita!$S$2:$S$2578,"44166B2Convencional pré-pagamentoRuralServiço público de irrigação ruralNão se aplicaNão se aplicaPonta",Mercado_Receita!$L$2:$L$2578)+SUMIF(Mercado_Receita!$S$2:$S$2578,"44166B2Convencional pré-pagamentoRuralServiço público de irrigação ruralNão se aplicaNão se aplicaFora ponta",Mercado_Receita!$L$2:$L$2578)+SUMIF(Mercado_Receita!$S$2:$S$2578,"44166B2Convencional pré-pagamentoRuralServiço público de irrigação ruralNão se aplicaNão se aplicaIntermediário",Mercado_Receita!$L$2:$L$2578)+SUMIF(Mercado_Receita!$S$2:$S$2578,"44166B2Convencional pré-pagamentoRuralServiço público de irrigação ruralNão se aplicaNão se aplicaNão se aplica",Mercado_Receita!$L$2:$L$2578)</f>
        <v>0</v>
      </c>
      <c r="K46" s="12">
        <f>SUMIF(Mercado_Receita!$S$2:$S$2578,"44197B2Convencional pré-pagamentoRuralServiço público de irrigação ruralNão se aplicaNão se aplicaPonta",Mercado_Receita!$L$2:$L$2578)+SUMIF(Mercado_Receita!$S$2:$S$2578,"44197B2Convencional pré-pagamentoRuralServiço público de irrigação ruralNão se aplicaNão se aplicaFora ponta",Mercado_Receita!$L$2:$L$2578)+SUMIF(Mercado_Receita!$S$2:$S$2578,"44197B2Convencional pré-pagamentoRuralServiço público de irrigação ruralNão se aplicaNão se aplicaIntermediário",Mercado_Receita!$L$2:$L$2578)+SUMIF(Mercado_Receita!$S$2:$S$2578,"44197B2Convencional pré-pagamentoRuralServiço público de irrigação ruralNão se aplicaNão se aplicaNão se aplica",Mercado_Receita!$L$2:$L$2578)</f>
        <v>0</v>
      </c>
      <c r="L46" s="12">
        <f>SUMIF(Mercado_Receita!$S$2:$S$2578,"44228B2Convencional pré-pagamentoRuralServiço público de irrigação ruralNão se aplicaNão se aplicaPonta",Mercado_Receita!$L$2:$L$2578)+SUMIF(Mercado_Receita!$S$2:$S$2578,"44228B2Convencional pré-pagamentoRuralServiço público de irrigação ruralNão se aplicaNão se aplicaFora ponta",Mercado_Receita!$L$2:$L$2578)+SUMIF(Mercado_Receita!$S$2:$S$2578,"44228B2Convencional pré-pagamentoRuralServiço público de irrigação ruralNão se aplicaNão se aplicaIntermediário",Mercado_Receita!$L$2:$L$2578)+SUMIF(Mercado_Receita!$S$2:$S$2578,"44228B2Convencional pré-pagamentoRuralServiço público de irrigação ruralNão se aplicaNão se aplicaNão se aplica",Mercado_Receita!$L$2:$L$2578)</f>
        <v>0</v>
      </c>
      <c r="M46" s="12">
        <f>SUMIF(Mercado_Receita!$S$2:$S$2578,"44256B2Convencional pré-pagamentoRuralServiço público de irrigação ruralNão se aplicaNão se aplicaPonta",Mercado_Receita!$L$2:$L$2578)+SUMIF(Mercado_Receita!$S$2:$S$2578,"44256B2Convencional pré-pagamentoRuralServiço público de irrigação ruralNão se aplicaNão se aplicaFora ponta",Mercado_Receita!$L$2:$L$2578)+SUMIF(Mercado_Receita!$S$2:$S$2578,"44256B2Convencional pré-pagamentoRuralServiço público de irrigação ruralNão se aplicaNão se aplicaIntermediário",Mercado_Receita!$L$2:$L$2578)+SUMIF(Mercado_Receita!$S$2:$S$2578,"44256B2Convencional pré-pagamentoRuralServiço público de irrigação ruralNão se aplicaNão se aplicaNão se aplica",Mercado_Receita!$L$2:$L$2578)</f>
        <v>0</v>
      </c>
      <c r="N46" s="12">
        <f>SUMIF(Mercado_Receita!$S$2:$S$2578,"44287B2Convencional pré-pagamentoRuralServiço público de irrigação ruralNão se aplicaNão se aplicaPonta",Mercado_Receita!$L$2:$L$2578)+SUMIF(Mercado_Receita!$S$2:$S$2578,"44287B2Convencional pré-pagamentoRuralServiço público de irrigação ruralNão se aplicaNão se aplicaFora ponta",Mercado_Receita!$L$2:$L$2578)+SUMIF(Mercado_Receita!$S$2:$S$2578,"44287B2Convencional pré-pagamentoRuralServiço público de irrigação ruralNão se aplicaNão se aplicaIntermediário",Mercado_Receita!$L$2:$L$2578)+SUMIF(Mercado_Receita!$S$2:$S$2578,"44287B2Convencional pré-pagamentoRuralServiço público de irrigação ruralNão se aplicaNão se aplicaNão se aplica",Mercado_Receita!$L$2:$L$2578)</f>
        <v>0</v>
      </c>
      <c r="O46" s="12">
        <f>SUMIF(Mercado_Receita!$S$2:$S$2578,"44317B2Convencional pré-pagamentoRuralServiço público de irrigação ruralNão se aplicaNão se aplicaPonta",Mercado_Receita!$L$2:$L$2578)+SUMIF(Mercado_Receita!$S$2:$S$2578,"44317B2Convencional pré-pagamentoRuralServiço público de irrigação ruralNão se aplicaNão se aplicaFora ponta",Mercado_Receita!$L$2:$L$2578)+SUMIF(Mercado_Receita!$S$2:$S$2578,"44317B2Convencional pré-pagamentoRuralServiço público de irrigação ruralNão se aplicaNão se aplicaIntermediário",Mercado_Receita!$L$2:$L$2578)+SUMIF(Mercado_Receita!$S$2:$S$2578,"44317B2Convencional pré-pagamentoRuralServiço público de irrigação ruralNão se aplicaNão se aplicaNão se aplica",Mercado_Receita!$L$2:$L$2578)</f>
        <v>0</v>
      </c>
      <c r="P46" s="12">
        <f>SUMIF(Mercado_Receita!$S$2:$S$2578,"44348B2Convencional pré-pagamentoRuralServiço público de irrigação ruralNão se aplicaNão se aplicaPonta",Mercado_Receita!$L$2:$L$2578)+SUMIF(Mercado_Receita!$S$2:$S$2578,"44348B2Convencional pré-pagamentoRuralServiço público de irrigação ruralNão se aplicaNão se aplicaFora ponta",Mercado_Receita!$L$2:$L$2578)+SUMIF(Mercado_Receita!$S$2:$S$2578,"44348B2Convencional pré-pagamentoRuralServiço público de irrigação ruralNão se aplicaNão se aplicaIntermediário",Mercado_Receita!$L$2:$L$2578)+SUMIF(Mercado_Receita!$S$2:$S$2578,"44348B2Convencional pré-pagamentoRuralServiço público de irrigação ruralNão se aplicaNão se aplicaNão se aplica",Mercado_Receita!$L$2:$L$2578)</f>
        <v>0</v>
      </c>
      <c r="Q46" s="12">
        <f>SUMIF(Mercado_Receita!$S$2:$S$2578,"44378B2Convencional pré-pagamentoRuralServiço público de irrigação ruralNão se aplicaNão se aplicaPonta",Mercado_Receita!$L$2:$L$2578)+SUMIF(Mercado_Receita!$S$2:$S$2578,"44378B2Convencional pré-pagamentoRuralServiço público de irrigação ruralNão se aplicaNão se aplicaFora ponta",Mercado_Receita!$L$2:$L$2578)+SUMIF(Mercado_Receita!$S$2:$S$2578,"44378B2Convencional pré-pagamentoRuralServiço público de irrigação ruralNão se aplicaNão se aplicaIntermediário",Mercado_Receita!$L$2:$L$2578)+SUMIF(Mercado_Receita!$S$2:$S$2578,"44378B2Convencional pré-pagamentoRuralServiço público de irrigação ruralNão se aplicaNão se aplicaNão se aplica",Mercado_Receita!$L$2:$L$2578)</f>
        <v>0</v>
      </c>
      <c r="R46" s="12">
        <f>SUMIF(Mercado_Receita!$S$2:$S$2578,"44409B2Convencional pré-pagamentoRuralServiço público de irrigação ruralNão se aplicaNão se aplicaPonta",Mercado_Receita!$L$2:$L$2578)+SUMIF(Mercado_Receita!$S$2:$S$2578,"44409B2Convencional pré-pagamentoRuralServiço público de irrigação ruralNão se aplicaNão se aplicaFora ponta",Mercado_Receita!$L$2:$L$2578)+SUMIF(Mercado_Receita!$S$2:$S$2578,"44409B2Convencional pré-pagamentoRuralServiço público de irrigação ruralNão se aplicaNão se aplicaIntermediário",Mercado_Receita!$L$2:$L$2578)+SUMIF(Mercado_Receita!$S$2:$S$2578,"44409B2Convencional pré-pagamentoRuralServiço público de irrigação ruralNão se aplicaNão se aplicaNão se aplica",Mercado_Receita!$L$2:$L$2578)</f>
        <v>0</v>
      </c>
      <c r="S46" s="12">
        <f>SUMIF(Mercado_Receita!$S$2:$S$2578,"44440B2Convencional pré-pagamentoRuralServiço público de irrigação ruralNão se aplicaNão se aplicaPonta",Mercado_Receita!$L$2:$L$2578)+SUMIF(Mercado_Receita!$S$2:$S$2578,"44440B2Convencional pré-pagamentoRuralServiço público de irrigação ruralNão se aplicaNão se aplicaFora ponta",Mercado_Receita!$L$2:$L$2578)+SUMIF(Mercado_Receita!$S$2:$S$2578,"44440B2Convencional pré-pagamentoRuralServiço público de irrigação ruralNão se aplicaNão se aplicaIntermediário",Mercado_Receita!$L$2:$L$2578)+SUMIF(Mercado_Receita!$S$2:$S$2578,"44440B2Convencional pré-pagamentoRuralServiço público de irrigação ruralNão se aplicaNão se aplicaNão se aplica",Mercado_Receita!$L$2:$L$2578)</f>
        <v>0</v>
      </c>
      <c r="T46" s="12">
        <f>SUMIF(Mercado_Receita!$S$2:$S$2578,"44470B2Convencional pré-pagamentoRuralServiço público de irrigação ruralNão se aplicaNão se aplicaPonta",Mercado_Receita!$L$2:$L$2578)+SUMIF(Mercado_Receita!$S$2:$S$2578,"44470B2Convencional pré-pagamentoRuralServiço público de irrigação ruralNão se aplicaNão se aplicaFora ponta",Mercado_Receita!$L$2:$L$2578)+SUMIF(Mercado_Receita!$S$2:$S$2578,"44470B2Convencional pré-pagamentoRuralServiço público de irrigação ruralNão se aplicaNão se aplicaIntermediário",Mercado_Receita!$L$2:$L$2578)+SUMIF(Mercado_Receita!$S$2:$S$2578,"44470B2Convencional pré-pagamentoRuralServiço público de irrigação ruralNão se aplicaNão se aplicaNão se aplica",Mercado_Receita!$L$2:$L$2578)</f>
        <v>0</v>
      </c>
      <c r="U46" s="12">
        <f t="shared" si="1"/>
        <v>0</v>
      </c>
      <c r="V46" s="12"/>
      <c r="W46" s="12"/>
    </row>
    <row r="47" spans="1:23" ht="11.25" customHeight="1" x14ac:dyDescent="0.25">
      <c r="A47" s="109" t="s">
        <v>41</v>
      </c>
      <c r="B47" s="109" t="s">
        <v>39</v>
      </c>
      <c r="C47" s="109" t="s">
        <v>25</v>
      </c>
      <c r="D47" s="109" t="s">
        <v>25</v>
      </c>
      <c r="E47" s="109" t="s">
        <v>25</v>
      </c>
      <c r="F47" s="109" t="s">
        <v>25</v>
      </c>
      <c r="G47" s="12" t="s">
        <v>87</v>
      </c>
      <c r="H47" s="12" t="s">
        <v>86</v>
      </c>
      <c r="I47" s="12">
        <f>SUMIF(Mercado_Receita!$S$2:$S$2578,"44136B3BrancaNão se aplicaNão se aplicaNão se aplicaNão se aplicaPonta",Mercado_Receita!$L$2:$L$2578)</f>
        <v>51.441999999999993</v>
      </c>
      <c r="J47" s="12">
        <f>SUMIF(Mercado_Receita!$S$2:$S$2578,"44166B3BrancaNão se aplicaNão se aplicaNão se aplicaNão se aplicaPonta",Mercado_Receita!$L$2:$L$2578)</f>
        <v>-29.429000000000002</v>
      </c>
      <c r="K47" s="12">
        <f>SUMIF(Mercado_Receita!$S$2:$S$2578,"44197B3BrancaNão se aplicaNão se aplicaNão se aplicaNão se aplicaPonta",Mercado_Receita!$L$2:$L$2578)</f>
        <v>14.249000000000001</v>
      </c>
      <c r="L47" s="12">
        <f>SUMIF(Mercado_Receita!$S$2:$S$2578,"44228B3BrancaNão se aplicaNão se aplicaNão se aplicaNão se aplicaPonta",Mercado_Receita!$L$2:$L$2578)</f>
        <v>13.724</v>
      </c>
      <c r="M47" s="12">
        <f>SUMIF(Mercado_Receita!$S$2:$S$2578,"44256B3BrancaNão se aplicaNão se aplicaNão se aplicaNão se aplicaPonta",Mercado_Receita!$L$2:$L$2578)</f>
        <v>6.42</v>
      </c>
      <c r="N47" s="12">
        <f>SUMIF(Mercado_Receita!$S$2:$S$2578,"44287B3BrancaNão se aplicaNão se aplicaNão se aplicaNão se aplicaPonta",Mercado_Receita!$L$2:$L$2578)</f>
        <v>12.75</v>
      </c>
      <c r="O47" s="12">
        <f>SUMIF(Mercado_Receita!$S$2:$S$2578,"44317B3BrancaNão se aplicaNão se aplicaNão se aplicaNão se aplicaPonta",Mercado_Receita!$L$2:$L$2578)</f>
        <v>11.116000000000001</v>
      </c>
      <c r="P47" s="12">
        <f>SUMIF(Mercado_Receita!$S$2:$S$2578,"44348B3BrancaNão se aplicaNão se aplicaNão se aplicaNão se aplicaPonta",Mercado_Receita!$L$2:$L$2578)</f>
        <v>14.686</v>
      </c>
      <c r="Q47" s="12">
        <f>SUMIF(Mercado_Receita!$S$2:$S$2578,"44378B3BrancaNão se aplicaNão se aplicaNão se aplicaNão se aplicaPonta",Mercado_Receita!$L$2:$L$2578)</f>
        <v>10.386999999999999</v>
      </c>
      <c r="R47" s="12">
        <f>SUMIF(Mercado_Receita!$S$2:$S$2578,"44409B3BrancaNão se aplicaNão se aplicaNão se aplicaNão se aplicaPonta",Mercado_Receita!$L$2:$L$2578)</f>
        <v>20.273</v>
      </c>
      <c r="S47" s="12">
        <f>SUMIF(Mercado_Receita!$S$2:$S$2578,"44440B3BrancaNão se aplicaNão se aplicaNão se aplicaNão se aplicaPonta",Mercado_Receita!$L$2:$L$2578)</f>
        <v>16.942000000000004</v>
      </c>
      <c r="T47" s="12">
        <f>SUMIF(Mercado_Receita!$S$2:$S$2578,"44470B3BrancaNão se aplicaNão se aplicaNão se aplicaNão se aplicaPonta",Mercado_Receita!$L$2:$L$2578)</f>
        <v>16.942000000000004</v>
      </c>
      <c r="U47" s="12">
        <f t="shared" si="1"/>
        <v>159.50200000000001</v>
      </c>
      <c r="V47" s="12"/>
      <c r="W47" s="12"/>
    </row>
    <row r="48" spans="1:23" ht="11.25" customHeight="1" x14ac:dyDescent="0.25">
      <c r="A48" s="110"/>
      <c r="B48" s="110"/>
      <c r="C48" s="110"/>
      <c r="D48" s="110"/>
      <c r="E48" s="110"/>
      <c r="F48" s="110"/>
      <c r="G48" s="12" t="s">
        <v>98</v>
      </c>
      <c r="H48" s="12" t="s">
        <v>86</v>
      </c>
      <c r="I48" s="12">
        <f>SUMIF(Mercado_Receita!$S$2:$S$2578,"44136B3BrancaNão se aplicaNão se aplicaNão se aplicaNão se aplicaIntermediário",Mercado_Receita!$L$2:$L$2578)</f>
        <v>11.593999999999998</v>
      </c>
      <c r="J48" s="12">
        <f>SUMIF(Mercado_Receita!$S$2:$S$2578,"44166B3BrancaNão se aplicaNão se aplicaNão se aplicaNão se aplicaIntermediário",Mercado_Receita!$L$2:$L$2578)</f>
        <v>11.113</v>
      </c>
      <c r="K48" s="12">
        <f>SUMIF(Mercado_Receita!$S$2:$S$2578,"44197B3BrancaNão se aplicaNão se aplicaNão se aplicaNão se aplicaIntermediário",Mercado_Receita!$L$2:$L$2578)</f>
        <v>7.4820000000000002</v>
      </c>
      <c r="L48" s="12">
        <f>SUMIF(Mercado_Receita!$S$2:$S$2578,"44228B3BrancaNão se aplicaNão se aplicaNão se aplicaNão se aplicaIntermediário",Mercado_Receita!$L$2:$L$2578)</f>
        <v>8.4690000000000012</v>
      </c>
      <c r="M48" s="12">
        <f>SUMIF(Mercado_Receita!$S$2:$S$2578,"44256B3BrancaNão se aplicaNão se aplicaNão se aplicaNão se aplicaIntermediário",Mercado_Receita!$L$2:$L$2578)</f>
        <v>9.2099999999999991</v>
      </c>
      <c r="N48" s="12">
        <f>SUMIF(Mercado_Receita!$S$2:$S$2578,"44287B3BrancaNão se aplicaNão se aplicaNão se aplicaNão se aplicaIntermediário",Mercado_Receita!$L$2:$L$2578)</f>
        <v>9.0359999999999996</v>
      </c>
      <c r="O48" s="12">
        <f>SUMIF(Mercado_Receita!$S$2:$S$2578,"44317B3BrancaNão se aplicaNão se aplicaNão se aplicaNão se aplicaIntermediário",Mercado_Receita!$L$2:$L$2578)</f>
        <v>5.3710000000000004</v>
      </c>
      <c r="P48" s="12">
        <f>SUMIF(Mercado_Receita!$S$2:$S$2578,"44348B3BrancaNão se aplicaNão se aplicaNão se aplicaNão se aplicaIntermediário",Mercado_Receita!$L$2:$L$2578)</f>
        <v>5.6230000000000002</v>
      </c>
      <c r="Q48" s="12">
        <f>SUMIF(Mercado_Receita!$S$2:$S$2578,"44378B3BrancaNão se aplicaNão se aplicaNão se aplicaNão se aplicaIntermediário",Mercado_Receita!$L$2:$L$2578)</f>
        <v>5.1850000000000005</v>
      </c>
      <c r="R48" s="12">
        <f>SUMIF(Mercado_Receita!$S$2:$S$2578,"44409B3BrancaNão se aplicaNão se aplicaNão se aplicaNão se aplicaIntermediário",Mercado_Receita!$L$2:$L$2578)</f>
        <v>5.7990000000000004</v>
      </c>
      <c r="S48" s="12">
        <f>SUMIF(Mercado_Receita!$S$2:$S$2578,"44440B3BrancaNão se aplicaNão se aplicaNão se aplicaNão se aplicaIntermediário",Mercado_Receita!$L$2:$L$2578)</f>
        <v>5.46</v>
      </c>
      <c r="T48" s="12">
        <f>SUMIF(Mercado_Receita!$S$2:$S$2578,"44470B3BrancaNão se aplicaNão se aplicaNão se aplicaNão se aplicaIntermediário",Mercado_Receita!$L$2:$L$2578)</f>
        <v>5.46</v>
      </c>
      <c r="U48" s="12">
        <f t="shared" si="1"/>
        <v>89.802000000000007</v>
      </c>
      <c r="V48" s="12"/>
      <c r="W48" s="12"/>
    </row>
    <row r="49" spans="1:23" ht="11.25" customHeight="1" x14ac:dyDescent="0.25">
      <c r="A49" s="110"/>
      <c r="B49" s="110"/>
      <c r="C49" s="110"/>
      <c r="D49" s="110"/>
      <c r="E49" s="110"/>
      <c r="F49" s="110"/>
      <c r="G49" s="12" t="s">
        <v>88</v>
      </c>
      <c r="H49" s="12" t="s">
        <v>86</v>
      </c>
      <c r="I49" s="12">
        <f>SUMIF(Mercado_Receita!$S$2:$S$2578,"44136B3BrancaNão se aplicaNão se aplicaNão se aplicaNão se aplicaFora ponta",Mercado_Receita!$L$2:$L$2578)</f>
        <v>217.38499999999999</v>
      </c>
      <c r="J49" s="12">
        <f>SUMIF(Mercado_Receita!$S$2:$S$2578,"44166B3BrancaNão se aplicaNão se aplicaNão se aplicaNão se aplicaFora ponta",Mercado_Receita!$L$2:$L$2578)</f>
        <v>217.11100000000002</v>
      </c>
      <c r="K49" s="12">
        <f>SUMIF(Mercado_Receita!$S$2:$S$2578,"44197B3BrancaNão se aplicaNão se aplicaNão se aplicaNão se aplicaFora ponta",Mercado_Receita!$L$2:$L$2578)</f>
        <v>180.03300000000002</v>
      </c>
      <c r="L49" s="12">
        <f>SUMIF(Mercado_Receita!$S$2:$S$2578,"44228B3BrancaNão se aplicaNão se aplicaNão se aplicaNão se aplicaFora ponta",Mercado_Receita!$L$2:$L$2578)</f>
        <v>173.52799999999999</v>
      </c>
      <c r="M49" s="12">
        <f>SUMIF(Mercado_Receita!$S$2:$S$2578,"44256B3BrancaNão se aplicaNão se aplicaNão se aplicaNão se aplicaFora ponta",Mercado_Receita!$L$2:$L$2578)</f>
        <v>198.392</v>
      </c>
      <c r="N49" s="12">
        <f>SUMIF(Mercado_Receita!$S$2:$S$2578,"44287B3BrancaNão se aplicaNão se aplicaNão se aplicaNão se aplicaFora ponta",Mercado_Receita!$L$2:$L$2578)</f>
        <v>203.89400000000001</v>
      </c>
      <c r="O49" s="12">
        <f>SUMIF(Mercado_Receita!$S$2:$S$2578,"44317B3BrancaNão se aplicaNão se aplicaNão se aplicaNão se aplicaFora ponta",Mercado_Receita!$L$2:$L$2578)</f>
        <v>203.809</v>
      </c>
      <c r="P49" s="12">
        <f>SUMIF(Mercado_Receita!$S$2:$S$2578,"44348B3BrancaNão se aplicaNão se aplicaNão se aplicaNão se aplicaFora ponta",Mercado_Receita!$L$2:$L$2578)</f>
        <v>214.63199999999998</v>
      </c>
      <c r="Q49" s="12">
        <f>SUMIF(Mercado_Receita!$S$2:$S$2578,"44378B3BrancaNão se aplicaNão se aplicaNão se aplicaNão se aplicaFora ponta",Mercado_Receita!$L$2:$L$2578)</f>
        <v>198.25600000000003</v>
      </c>
      <c r="R49" s="12">
        <f>SUMIF(Mercado_Receita!$S$2:$S$2578,"44409B3BrancaNão se aplicaNão se aplicaNão se aplicaNão se aplicaFora ponta",Mercado_Receita!$L$2:$L$2578)</f>
        <v>243.88200000000001</v>
      </c>
      <c r="S49" s="12">
        <f>SUMIF(Mercado_Receita!$S$2:$S$2578,"44440B3BrancaNão se aplicaNão se aplicaNão se aplicaNão se aplicaFora ponta",Mercado_Receita!$L$2:$L$2578)</f>
        <v>228.42500000000001</v>
      </c>
      <c r="T49" s="12">
        <f>SUMIF(Mercado_Receita!$S$2:$S$2578,"44470B3BrancaNão se aplicaNão se aplicaNão se aplicaNão se aplicaFora ponta",Mercado_Receita!$L$2:$L$2578)</f>
        <v>228.42500000000001</v>
      </c>
      <c r="U49" s="12">
        <f t="shared" si="1"/>
        <v>2507.7720000000004</v>
      </c>
      <c r="V49" s="12"/>
      <c r="W49" s="12"/>
    </row>
    <row r="50" spans="1:23" ht="11.25" customHeight="1" x14ac:dyDescent="0.25">
      <c r="A50" s="110"/>
      <c r="B50" s="13" t="s">
        <v>23</v>
      </c>
      <c r="C50" s="13" t="s">
        <v>25</v>
      </c>
      <c r="D50" s="13" t="s">
        <v>25</v>
      </c>
      <c r="E50" s="13" t="s">
        <v>25</v>
      </c>
      <c r="F50" s="13" t="s">
        <v>25</v>
      </c>
      <c r="G50" s="12" t="s">
        <v>92</v>
      </c>
      <c r="H50" s="12" t="s">
        <v>86</v>
      </c>
      <c r="I50" s="12">
        <f>SUMIF(Mercado_Receita!$S$2:$S$2578,"44136B3ConvencionalNão se aplicaNão se aplicaNão se aplicaNão se aplicaPonta",Mercado_Receita!$L$2:$L$2578)+SUMIF(Mercado_Receita!$S$2:$S$2578,"44136B3ConvencionalNão se aplicaNão se aplicaNão se aplicaNão se aplicaFora ponta",Mercado_Receita!$L$2:$L$2578)+SUMIF(Mercado_Receita!$S$2:$S$2578,"44136B3ConvencionalNão se aplicaNão se aplicaNão se aplicaNão se aplicaIntermediário",Mercado_Receita!$L$2:$L$2578)+SUMIF(Mercado_Receita!$S$2:$S$2578,"44136B3ConvencionalNão se aplicaNão se aplicaNão se aplicaNão se aplicaNão se aplica",Mercado_Receita!$L$2:$L$2578)</f>
        <v>70452.458999999973</v>
      </c>
      <c r="J50" s="12">
        <f>SUMIF(Mercado_Receita!$S$2:$S$2578,"44166B3ConvencionalNão se aplicaNão se aplicaNão se aplicaNão se aplicaPonta",Mercado_Receita!$L$2:$L$2578)+SUMIF(Mercado_Receita!$S$2:$S$2578,"44166B3ConvencionalNão se aplicaNão se aplicaNão se aplicaNão se aplicaFora ponta",Mercado_Receita!$L$2:$L$2578)+SUMIF(Mercado_Receita!$S$2:$S$2578,"44166B3ConvencionalNão se aplicaNão se aplicaNão se aplicaNão se aplicaIntermediário",Mercado_Receita!$L$2:$L$2578)+SUMIF(Mercado_Receita!$S$2:$S$2578,"44166B3ConvencionalNão se aplicaNão se aplicaNão se aplicaNão se aplicaNão se aplica",Mercado_Receita!$L$2:$L$2578)</f>
        <v>66420.221000000005</v>
      </c>
      <c r="K50" s="12">
        <f>SUMIF(Mercado_Receita!$S$2:$S$2578,"44197B3ConvencionalNão se aplicaNão se aplicaNão se aplicaNão se aplicaPonta",Mercado_Receita!$L$2:$L$2578)+SUMIF(Mercado_Receita!$S$2:$S$2578,"44197B3ConvencionalNão se aplicaNão se aplicaNão se aplicaNão se aplicaFora ponta",Mercado_Receita!$L$2:$L$2578)+SUMIF(Mercado_Receita!$S$2:$S$2578,"44197B3ConvencionalNão se aplicaNão se aplicaNão se aplicaNão se aplicaIntermediário",Mercado_Receita!$L$2:$L$2578)+SUMIF(Mercado_Receita!$S$2:$S$2578,"44197B3ConvencionalNão se aplicaNão se aplicaNão se aplicaNão se aplicaNão se aplica",Mercado_Receita!$L$2:$L$2578)</f>
        <v>59375.705000000009</v>
      </c>
      <c r="L50" s="12">
        <f>SUMIF(Mercado_Receita!$S$2:$S$2578,"44228B3ConvencionalNão se aplicaNão se aplicaNão se aplicaNão se aplicaPonta",Mercado_Receita!$L$2:$L$2578)+SUMIF(Mercado_Receita!$S$2:$S$2578,"44228B3ConvencionalNão se aplicaNão se aplicaNão se aplicaNão se aplicaFora ponta",Mercado_Receita!$L$2:$L$2578)+SUMIF(Mercado_Receita!$S$2:$S$2578,"44228B3ConvencionalNão se aplicaNão se aplicaNão se aplicaNão se aplicaIntermediário",Mercado_Receita!$L$2:$L$2578)+SUMIF(Mercado_Receita!$S$2:$S$2578,"44228B3ConvencionalNão se aplicaNão se aplicaNão se aplicaNão se aplicaNão se aplica",Mercado_Receita!$L$2:$L$2578)</f>
        <v>50480.722000000002</v>
      </c>
      <c r="M50" s="12">
        <f>SUMIF(Mercado_Receita!$S$2:$S$2578,"44256B3ConvencionalNão se aplicaNão se aplicaNão se aplicaNão se aplicaPonta",Mercado_Receita!$L$2:$L$2578)+SUMIF(Mercado_Receita!$S$2:$S$2578,"44256B3ConvencionalNão se aplicaNão se aplicaNão se aplicaNão se aplicaFora ponta",Mercado_Receita!$L$2:$L$2578)+SUMIF(Mercado_Receita!$S$2:$S$2578,"44256B3ConvencionalNão se aplicaNão se aplicaNão se aplicaNão se aplicaIntermediário",Mercado_Receita!$L$2:$L$2578)+SUMIF(Mercado_Receita!$S$2:$S$2578,"44256B3ConvencionalNão se aplicaNão se aplicaNão se aplicaNão se aplicaNão se aplica",Mercado_Receita!$L$2:$L$2578)</f>
        <v>58205.451000000001</v>
      </c>
      <c r="N50" s="12">
        <f>SUMIF(Mercado_Receita!$S$2:$S$2578,"44287B3ConvencionalNão se aplicaNão se aplicaNão se aplicaNão se aplicaPonta",Mercado_Receita!$L$2:$L$2578)+SUMIF(Mercado_Receita!$S$2:$S$2578,"44287B3ConvencionalNão se aplicaNão se aplicaNão se aplicaNão se aplicaFora ponta",Mercado_Receita!$L$2:$L$2578)+SUMIF(Mercado_Receita!$S$2:$S$2578,"44287B3ConvencionalNão se aplicaNão se aplicaNão se aplicaNão se aplicaIntermediário",Mercado_Receita!$L$2:$L$2578)+SUMIF(Mercado_Receita!$S$2:$S$2578,"44287B3ConvencionalNão se aplicaNão se aplicaNão se aplicaNão se aplicaNão se aplica",Mercado_Receita!$L$2:$L$2578)</f>
        <v>65007.596000000005</v>
      </c>
      <c r="O50" s="12">
        <f>SUMIF(Mercado_Receita!$S$2:$S$2578,"44317B3ConvencionalNão se aplicaNão se aplicaNão se aplicaNão se aplicaPonta",Mercado_Receita!$L$2:$L$2578)+SUMIF(Mercado_Receita!$S$2:$S$2578,"44317B3ConvencionalNão se aplicaNão se aplicaNão se aplicaNão se aplicaFora ponta",Mercado_Receita!$L$2:$L$2578)+SUMIF(Mercado_Receita!$S$2:$S$2578,"44317B3ConvencionalNão se aplicaNão se aplicaNão se aplicaNão se aplicaIntermediário",Mercado_Receita!$L$2:$L$2578)+SUMIF(Mercado_Receita!$S$2:$S$2578,"44317B3ConvencionalNão se aplicaNão se aplicaNão se aplicaNão se aplicaNão se aplica",Mercado_Receita!$L$2:$L$2578)</f>
        <v>68071.401999999987</v>
      </c>
      <c r="P50" s="12">
        <f>SUMIF(Mercado_Receita!$S$2:$S$2578,"44348B3ConvencionalNão se aplicaNão se aplicaNão se aplicaNão se aplicaPonta",Mercado_Receita!$L$2:$L$2578)+SUMIF(Mercado_Receita!$S$2:$S$2578,"44348B3ConvencionalNão se aplicaNão se aplicaNão se aplicaNão se aplicaFora ponta",Mercado_Receita!$L$2:$L$2578)+SUMIF(Mercado_Receita!$S$2:$S$2578,"44348B3ConvencionalNão se aplicaNão se aplicaNão se aplicaNão se aplicaIntermediário",Mercado_Receita!$L$2:$L$2578)+SUMIF(Mercado_Receita!$S$2:$S$2578,"44348B3ConvencionalNão se aplicaNão se aplicaNão se aplicaNão se aplicaNão se aplica",Mercado_Receita!$L$2:$L$2578)</f>
        <v>74458.8</v>
      </c>
      <c r="Q50" s="12">
        <f>SUMIF(Mercado_Receita!$S$2:$S$2578,"44378B3ConvencionalNão se aplicaNão se aplicaNão se aplicaNão se aplicaPonta",Mercado_Receita!$L$2:$L$2578)+SUMIF(Mercado_Receita!$S$2:$S$2578,"44378B3ConvencionalNão se aplicaNão se aplicaNão se aplicaNão se aplicaFora ponta",Mercado_Receita!$L$2:$L$2578)+SUMIF(Mercado_Receita!$S$2:$S$2578,"44378B3ConvencionalNão se aplicaNão se aplicaNão se aplicaNão se aplicaIntermediário",Mercado_Receita!$L$2:$L$2578)+SUMIF(Mercado_Receita!$S$2:$S$2578,"44378B3ConvencionalNão se aplicaNão se aplicaNão se aplicaNão se aplicaNão se aplica",Mercado_Receita!$L$2:$L$2578)</f>
        <v>78092.061999999991</v>
      </c>
      <c r="R50" s="12">
        <f>SUMIF(Mercado_Receita!$S$2:$S$2578,"44409B3ConvencionalNão se aplicaNão se aplicaNão se aplicaNão se aplicaPonta",Mercado_Receita!$L$2:$L$2578)+SUMIF(Mercado_Receita!$S$2:$S$2578,"44409B3ConvencionalNão se aplicaNão se aplicaNão se aplicaNão se aplicaFora ponta",Mercado_Receita!$L$2:$L$2578)+SUMIF(Mercado_Receita!$S$2:$S$2578,"44409B3ConvencionalNão se aplicaNão se aplicaNão se aplicaNão se aplicaIntermediário",Mercado_Receita!$L$2:$L$2578)+SUMIF(Mercado_Receita!$S$2:$S$2578,"44409B3ConvencionalNão se aplicaNão se aplicaNão se aplicaNão se aplicaNão se aplica",Mercado_Receita!$L$2:$L$2578)</f>
        <v>88932.494999999995</v>
      </c>
      <c r="S50" s="12">
        <f>SUMIF(Mercado_Receita!$S$2:$S$2578,"44440B3ConvencionalNão se aplicaNão se aplicaNão se aplicaNão se aplicaPonta",Mercado_Receita!$L$2:$L$2578)+SUMIF(Mercado_Receita!$S$2:$S$2578,"44440B3ConvencionalNão se aplicaNão se aplicaNão se aplicaNão se aplicaFora ponta",Mercado_Receita!$L$2:$L$2578)+SUMIF(Mercado_Receita!$S$2:$S$2578,"44440B3ConvencionalNão se aplicaNão se aplicaNão se aplicaNão se aplicaIntermediário",Mercado_Receita!$L$2:$L$2578)+SUMIF(Mercado_Receita!$S$2:$S$2578,"44440B3ConvencionalNão se aplicaNão se aplicaNão se aplicaNão se aplicaNão se aplica",Mercado_Receita!$L$2:$L$2578)</f>
        <v>85061.383999999991</v>
      </c>
      <c r="T50" s="12">
        <f>SUMIF(Mercado_Receita!$S$2:$S$2578,"44470B3ConvencionalNão se aplicaNão se aplicaNão se aplicaNão se aplicaPonta",Mercado_Receita!$L$2:$L$2578)+SUMIF(Mercado_Receita!$S$2:$S$2578,"44470B3ConvencionalNão se aplicaNão se aplicaNão se aplicaNão se aplicaFora ponta",Mercado_Receita!$L$2:$L$2578)+SUMIF(Mercado_Receita!$S$2:$S$2578,"44470B3ConvencionalNão se aplicaNão se aplicaNão se aplicaNão se aplicaIntermediário",Mercado_Receita!$L$2:$L$2578)+SUMIF(Mercado_Receita!$S$2:$S$2578,"44470B3ConvencionalNão se aplicaNão se aplicaNão se aplicaNão se aplicaNão se aplica",Mercado_Receita!$L$2:$L$2578)</f>
        <v>85061.383999999991</v>
      </c>
      <c r="U50" s="12">
        <f t="shared" si="1"/>
        <v>849619.68099999998</v>
      </c>
      <c r="V50" s="12"/>
      <c r="W50" s="12"/>
    </row>
    <row r="51" spans="1:23" ht="11.25" customHeight="1" x14ac:dyDescent="0.25">
      <c r="A51" s="110"/>
      <c r="B51" s="13" t="s">
        <v>100</v>
      </c>
      <c r="C51" s="13" t="s">
        <v>25</v>
      </c>
      <c r="D51" s="13" t="s">
        <v>25</v>
      </c>
      <c r="E51" s="13" t="s">
        <v>25</v>
      </c>
      <c r="F51" s="13" t="s">
        <v>25</v>
      </c>
      <c r="G51" s="12" t="s">
        <v>92</v>
      </c>
      <c r="H51" s="12" t="s">
        <v>86</v>
      </c>
      <c r="I51" s="12">
        <f>SUMIF(Mercado_Receita!$S$2:$S$2578,"44136B3Convencional pré-pagamentoNão se aplicaNão se aplicaNão se aplicaNão se aplicaPonta",Mercado_Receita!$L$2:$L$2578)+SUMIF(Mercado_Receita!$S$2:$S$2578,"44136B3Convencional pré-pagamentoNão se aplicaNão se aplicaNão se aplicaNão se aplicaFora ponta",Mercado_Receita!$L$2:$L$2578)+SUMIF(Mercado_Receita!$S$2:$S$2578,"44136B3Convencional pré-pagamentoNão se aplicaNão se aplicaNão se aplicaNão se aplicaIntermediário",Mercado_Receita!$L$2:$L$2578)+SUMIF(Mercado_Receita!$S$2:$S$2578,"44136B3Convencional pré-pagamentoNão se aplicaNão se aplicaNão se aplicaNão se aplicaNão se aplica",Mercado_Receita!$L$2:$L$2578)</f>
        <v>0</v>
      </c>
      <c r="J51" s="12">
        <f>SUMIF(Mercado_Receita!$S$2:$S$2578,"44166B3Convencional pré-pagamentoNão se aplicaNão se aplicaNão se aplicaNão se aplicaPonta",Mercado_Receita!$L$2:$L$2578)+SUMIF(Mercado_Receita!$S$2:$S$2578,"44166B3Convencional pré-pagamentoNão se aplicaNão se aplicaNão se aplicaNão se aplicaFora ponta",Mercado_Receita!$L$2:$L$2578)+SUMIF(Mercado_Receita!$S$2:$S$2578,"44166B3Convencional pré-pagamentoNão se aplicaNão se aplicaNão se aplicaNão se aplicaIntermediário",Mercado_Receita!$L$2:$L$2578)+SUMIF(Mercado_Receita!$S$2:$S$2578,"44166B3Convencional pré-pagamentoNão se aplicaNão se aplicaNão se aplicaNão se aplicaNão se aplica",Mercado_Receita!$L$2:$L$2578)</f>
        <v>0</v>
      </c>
      <c r="K51" s="12">
        <f>SUMIF(Mercado_Receita!$S$2:$S$2578,"44197B3Convencional pré-pagamentoNão se aplicaNão se aplicaNão se aplicaNão se aplicaPonta",Mercado_Receita!$L$2:$L$2578)+SUMIF(Mercado_Receita!$S$2:$S$2578,"44197B3Convencional pré-pagamentoNão se aplicaNão se aplicaNão se aplicaNão se aplicaFora ponta",Mercado_Receita!$L$2:$L$2578)+SUMIF(Mercado_Receita!$S$2:$S$2578,"44197B3Convencional pré-pagamentoNão se aplicaNão se aplicaNão se aplicaNão se aplicaIntermediário",Mercado_Receita!$L$2:$L$2578)+SUMIF(Mercado_Receita!$S$2:$S$2578,"44197B3Convencional pré-pagamentoNão se aplicaNão se aplicaNão se aplicaNão se aplicaNão se aplica",Mercado_Receita!$L$2:$L$2578)</f>
        <v>0</v>
      </c>
      <c r="L51" s="12">
        <f>SUMIF(Mercado_Receita!$S$2:$S$2578,"44228B3Convencional pré-pagamentoNão se aplicaNão se aplicaNão se aplicaNão se aplicaPonta",Mercado_Receita!$L$2:$L$2578)+SUMIF(Mercado_Receita!$S$2:$S$2578,"44228B3Convencional pré-pagamentoNão se aplicaNão se aplicaNão se aplicaNão se aplicaFora ponta",Mercado_Receita!$L$2:$L$2578)+SUMIF(Mercado_Receita!$S$2:$S$2578,"44228B3Convencional pré-pagamentoNão se aplicaNão se aplicaNão se aplicaNão se aplicaIntermediário",Mercado_Receita!$L$2:$L$2578)+SUMIF(Mercado_Receita!$S$2:$S$2578,"44228B3Convencional pré-pagamentoNão se aplicaNão se aplicaNão se aplicaNão se aplicaNão se aplica",Mercado_Receita!$L$2:$L$2578)</f>
        <v>0</v>
      </c>
      <c r="M51" s="12">
        <f>SUMIF(Mercado_Receita!$S$2:$S$2578,"44256B3Convencional pré-pagamentoNão se aplicaNão se aplicaNão se aplicaNão se aplicaPonta",Mercado_Receita!$L$2:$L$2578)+SUMIF(Mercado_Receita!$S$2:$S$2578,"44256B3Convencional pré-pagamentoNão se aplicaNão se aplicaNão se aplicaNão se aplicaFora ponta",Mercado_Receita!$L$2:$L$2578)+SUMIF(Mercado_Receita!$S$2:$S$2578,"44256B3Convencional pré-pagamentoNão se aplicaNão se aplicaNão se aplicaNão se aplicaIntermediário",Mercado_Receita!$L$2:$L$2578)+SUMIF(Mercado_Receita!$S$2:$S$2578,"44256B3Convencional pré-pagamentoNão se aplicaNão se aplicaNão se aplicaNão se aplicaNão se aplica",Mercado_Receita!$L$2:$L$2578)</f>
        <v>0</v>
      </c>
      <c r="N51" s="12">
        <f>SUMIF(Mercado_Receita!$S$2:$S$2578,"44287B3Convencional pré-pagamentoNão se aplicaNão se aplicaNão se aplicaNão se aplicaPonta",Mercado_Receita!$L$2:$L$2578)+SUMIF(Mercado_Receita!$S$2:$S$2578,"44287B3Convencional pré-pagamentoNão se aplicaNão se aplicaNão se aplicaNão se aplicaFora ponta",Mercado_Receita!$L$2:$L$2578)+SUMIF(Mercado_Receita!$S$2:$S$2578,"44287B3Convencional pré-pagamentoNão se aplicaNão se aplicaNão se aplicaNão se aplicaIntermediário",Mercado_Receita!$L$2:$L$2578)+SUMIF(Mercado_Receita!$S$2:$S$2578,"44287B3Convencional pré-pagamentoNão se aplicaNão se aplicaNão se aplicaNão se aplicaNão se aplica",Mercado_Receita!$L$2:$L$2578)</f>
        <v>0</v>
      </c>
      <c r="O51" s="12">
        <f>SUMIF(Mercado_Receita!$S$2:$S$2578,"44317B3Convencional pré-pagamentoNão se aplicaNão se aplicaNão se aplicaNão se aplicaPonta",Mercado_Receita!$L$2:$L$2578)+SUMIF(Mercado_Receita!$S$2:$S$2578,"44317B3Convencional pré-pagamentoNão se aplicaNão se aplicaNão se aplicaNão se aplicaFora ponta",Mercado_Receita!$L$2:$L$2578)+SUMIF(Mercado_Receita!$S$2:$S$2578,"44317B3Convencional pré-pagamentoNão se aplicaNão se aplicaNão se aplicaNão se aplicaIntermediário",Mercado_Receita!$L$2:$L$2578)+SUMIF(Mercado_Receita!$S$2:$S$2578,"44317B3Convencional pré-pagamentoNão se aplicaNão se aplicaNão se aplicaNão se aplicaNão se aplica",Mercado_Receita!$L$2:$L$2578)</f>
        <v>0</v>
      </c>
      <c r="P51" s="12">
        <f>SUMIF(Mercado_Receita!$S$2:$S$2578,"44348B3Convencional pré-pagamentoNão se aplicaNão se aplicaNão se aplicaNão se aplicaPonta",Mercado_Receita!$L$2:$L$2578)+SUMIF(Mercado_Receita!$S$2:$S$2578,"44348B3Convencional pré-pagamentoNão se aplicaNão se aplicaNão se aplicaNão se aplicaFora ponta",Mercado_Receita!$L$2:$L$2578)+SUMIF(Mercado_Receita!$S$2:$S$2578,"44348B3Convencional pré-pagamentoNão se aplicaNão se aplicaNão se aplicaNão se aplicaIntermediário",Mercado_Receita!$L$2:$L$2578)+SUMIF(Mercado_Receita!$S$2:$S$2578,"44348B3Convencional pré-pagamentoNão se aplicaNão se aplicaNão se aplicaNão se aplicaNão se aplica",Mercado_Receita!$L$2:$L$2578)</f>
        <v>0</v>
      </c>
      <c r="Q51" s="12">
        <f>SUMIF(Mercado_Receita!$S$2:$S$2578,"44378B3Convencional pré-pagamentoNão se aplicaNão se aplicaNão se aplicaNão se aplicaPonta",Mercado_Receita!$L$2:$L$2578)+SUMIF(Mercado_Receita!$S$2:$S$2578,"44378B3Convencional pré-pagamentoNão se aplicaNão se aplicaNão se aplicaNão se aplicaFora ponta",Mercado_Receita!$L$2:$L$2578)+SUMIF(Mercado_Receita!$S$2:$S$2578,"44378B3Convencional pré-pagamentoNão se aplicaNão se aplicaNão se aplicaNão se aplicaIntermediário",Mercado_Receita!$L$2:$L$2578)+SUMIF(Mercado_Receita!$S$2:$S$2578,"44378B3Convencional pré-pagamentoNão se aplicaNão se aplicaNão se aplicaNão se aplicaNão se aplica",Mercado_Receita!$L$2:$L$2578)</f>
        <v>0</v>
      </c>
      <c r="R51" s="12">
        <f>SUMIF(Mercado_Receita!$S$2:$S$2578,"44409B3Convencional pré-pagamentoNão se aplicaNão se aplicaNão se aplicaNão se aplicaPonta",Mercado_Receita!$L$2:$L$2578)+SUMIF(Mercado_Receita!$S$2:$S$2578,"44409B3Convencional pré-pagamentoNão se aplicaNão se aplicaNão se aplicaNão se aplicaFora ponta",Mercado_Receita!$L$2:$L$2578)+SUMIF(Mercado_Receita!$S$2:$S$2578,"44409B3Convencional pré-pagamentoNão se aplicaNão se aplicaNão se aplicaNão se aplicaIntermediário",Mercado_Receita!$L$2:$L$2578)+SUMIF(Mercado_Receita!$S$2:$S$2578,"44409B3Convencional pré-pagamentoNão se aplicaNão se aplicaNão se aplicaNão se aplicaNão se aplica",Mercado_Receita!$L$2:$L$2578)</f>
        <v>0</v>
      </c>
      <c r="S51" s="12">
        <f>SUMIF(Mercado_Receita!$S$2:$S$2578,"44440B3Convencional pré-pagamentoNão se aplicaNão se aplicaNão se aplicaNão se aplicaPonta",Mercado_Receita!$L$2:$L$2578)+SUMIF(Mercado_Receita!$S$2:$S$2578,"44440B3Convencional pré-pagamentoNão se aplicaNão se aplicaNão se aplicaNão se aplicaFora ponta",Mercado_Receita!$L$2:$L$2578)+SUMIF(Mercado_Receita!$S$2:$S$2578,"44440B3Convencional pré-pagamentoNão se aplicaNão se aplicaNão se aplicaNão se aplicaIntermediário",Mercado_Receita!$L$2:$L$2578)+SUMIF(Mercado_Receita!$S$2:$S$2578,"44440B3Convencional pré-pagamentoNão se aplicaNão se aplicaNão se aplicaNão se aplicaNão se aplica",Mercado_Receita!$L$2:$L$2578)</f>
        <v>0</v>
      </c>
      <c r="T51" s="12">
        <f>SUMIF(Mercado_Receita!$S$2:$S$2578,"44470B3Convencional pré-pagamentoNão se aplicaNão se aplicaNão se aplicaNão se aplicaPonta",Mercado_Receita!$L$2:$L$2578)+SUMIF(Mercado_Receita!$S$2:$S$2578,"44470B3Convencional pré-pagamentoNão se aplicaNão se aplicaNão se aplicaNão se aplicaFora ponta",Mercado_Receita!$L$2:$L$2578)+SUMIF(Mercado_Receita!$S$2:$S$2578,"44470B3Convencional pré-pagamentoNão se aplicaNão se aplicaNão se aplicaNão se aplicaIntermediário",Mercado_Receita!$L$2:$L$2578)+SUMIF(Mercado_Receita!$S$2:$S$2578,"44470B3Convencional pré-pagamentoNão se aplicaNão se aplicaNão se aplicaNão se aplicaNão se aplica",Mercado_Receita!$L$2:$L$2578)</f>
        <v>0</v>
      </c>
      <c r="U51" s="12">
        <f t="shared" si="1"/>
        <v>0</v>
      </c>
      <c r="V51" s="12"/>
      <c r="W51" s="12"/>
    </row>
    <row r="52" spans="1:23" ht="11.25" customHeight="1" x14ac:dyDescent="0.25">
      <c r="A52" s="109" t="s">
        <v>49</v>
      </c>
      <c r="B52" s="109" t="s">
        <v>23</v>
      </c>
      <c r="C52" s="109" t="s">
        <v>50</v>
      </c>
      <c r="D52" s="13" t="s">
        <v>51</v>
      </c>
      <c r="E52" s="13" t="s">
        <v>25</v>
      </c>
      <c r="F52" s="13" t="s">
        <v>25</v>
      </c>
      <c r="G52" s="12" t="s">
        <v>92</v>
      </c>
      <c r="H52" s="12" t="s">
        <v>86</v>
      </c>
      <c r="I52" s="12">
        <f>SUMIF(Mercado_Receita!$S$2:$S$2578,"44136B4ConvencionalIluminação públicaIluminação pública – B4aNão se aplicaNão se aplicaPonta",Mercado_Receita!$L$2:$L$2578)+SUMIF(Mercado_Receita!$S$2:$S$2578,"44136B4ConvencionalIluminação públicaIluminação pública – B4aNão se aplicaNão se aplicaFora ponta",Mercado_Receita!$L$2:$L$2578)+SUMIF(Mercado_Receita!$S$2:$S$2578,"44136B4ConvencionalIluminação públicaIluminação pública – B4aNão se aplicaNão se aplicaIntermediário",Mercado_Receita!$L$2:$L$2578)+SUMIF(Mercado_Receita!$S$2:$S$2578,"44136B4ConvencionalIluminação públicaIluminação pública – B4aNão se aplicaNão se aplicaNão se aplica",Mercado_Receita!$L$2:$L$2578)</f>
        <v>17988.829999999998</v>
      </c>
      <c r="J52" s="12">
        <f>SUMIF(Mercado_Receita!$S$2:$S$2578,"44166B4ConvencionalIluminação públicaIluminação pública – B4aNão se aplicaNão se aplicaPonta",Mercado_Receita!$L$2:$L$2578)+SUMIF(Mercado_Receita!$S$2:$S$2578,"44166B4ConvencionalIluminação públicaIluminação pública – B4aNão se aplicaNão se aplicaFora ponta",Mercado_Receita!$L$2:$L$2578)+SUMIF(Mercado_Receita!$S$2:$S$2578,"44166B4ConvencionalIluminação públicaIluminação pública – B4aNão se aplicaNão se aplicaIntermediário",Mercado_Receita!$L$2:$L$2578)+SUMIF(Mercado_Receita!$S$2:$S$2578,"44166B4ConvencionalIluminação públicaIluminação pública – B4aNão se aplicaNão se aplicaNão se aplica",Mercado_Receita!$L$2:$L$2578)</f>
        <v>18579.587</v>
      </c>
      <c r="K52" s="12">
        <f>SUMIF(Mercado_Receita!$S$2:$S$2578,"44197B4ConvencionalIluminação públicaIluminação pública – B4aNão se aplicaNão se aplicaPonta",Mercado_Receita!$L$2:$L$2578)+SUMIF(Mercado_Receita!$S$2:$S$2578,"44197B4ConvencionalIluminação públicaIluminação pública – B4aNão se aplicaNão se aplicaFora ponta",Mercado_Receita!$L$2:$L$2578)+SUMIF(Mercado_Receita!$S$2:$S$2578,"44197B4ConvencionalIluminação públicaIluminação pública – B4aNão se aplicaNão se aplicaIntermediário",Mercado_Receita!$L$2:$L$2578)+SUMIF(Mercado_Receita!$S$2:$S$2578,"44197B4ConvencionalIluminação públicaIluminação pública – B4aNão se aplicaNão se aplicaNão se aplica",Mercado_Receita!$L$2:$L$2578)</f>
        <v>18621.165999999997</v>
      </c>
      <c r="L52" s="12">
        <f>SUMIF(Mercado_Receita!$S$2:$S$2578,"44228B4ConvencionalIluminação públicaIluminação pública – B4aNão se aplicaNão se aplicaPonta",Mercado_Receita!$L$2:$L$2578)+SUMIF(Mercado_Receita!$S$2:$S$2578,"44228B4ConvencionalIluminação públicaIluminação pública – B4aNão se aplicaNão se aplicaFora ponta",Mercado_Receita!$L$2:$L$2578)+SUMIF(Mercado_Receita!$S$2:$S$2578,"44228B4ConvencionalIluminação públicaIluminação pública – B4aNão se aplicaNão se aplicaIntermediário",Mercado_Receita!$L$2:$L$2578)+SUMIF(Mercado_Receita!$S$2:$S$2578,"44228B4ConvencionalIluminação públicaIluminação pública – B4aNão se aplicaNão se aplicaNão se aplica",Mercado_Receita!$L$2:$L$2578)</f>
        <v>16796.487000000001</v>
      </c>
      <c r="M52" s="12">
        <f>SUMIF(Mercado_Receita!$S$2:$S$2578,"44256B4ConvencionalIluminação públicaIluminação pública – B4aNão se aplicaNão se aplicaPonta",Mercado_Receita!$L$2:$L$2578)+SUMIF(Mercado_Receita!$S$2:$S$2578,"44256B4ConvencionalIluminação públicaIluminação pública – B4aNão se aplicaNão se aplicaFora ponta",Mercado_Receita!$L$2:$L$2578)+SUMIF(Mercado_Receita!$S$2:$S$2578,"44256B4ConvencionalIluminação públicaIluminação pública – B4aNão se aplicaNão se aplicaIntermediário",Mercado_Receita!$L$2:$L$2578)+SUMIF(Mercado_Receita!$S$2:$S$2578,"44256B4ConvencionalIluminação públicaIluminação pública – B4aNão se aplicaNão se aplicaNão se aplica",Mercado_Receita!$L$2:$L$2578)</f>
        <v>15258.073999999999</v>
      </c>
      <c r="N52" s="12">
        <f>SUMIF(Mercado_Receita!$S$2:$S$2578,"44287B4ConvencionalIluminação públicaIluminação pública – B4aNão se aplicaNão se aplicaPonta",Mercado_Receita!$L$2:$L$2578)+SUMIF(Mercado_Receita!$S$2:$S$2578,"44287B4ConvencionalIluminação públicaIluminação pública – B4aNão se aplicaNão se aplicaFora ponta",Mercado_Receita!$L$2:$L$2578)+SUMIF(Mercado_Receita!$S$2:$S$2578,"44287B4ConvencionalIluminação públicaIluminação pública – B4aNão se aplicaNão se aplicaIntermediário",Mercado_Receita!$L$2:$L$2578)+SUMIF(Mercado_Receita!$S$2:$S$2578,"44287B4ConvencionalIluminação públicaIluminação pública – B4aNão se aplicaNão se aplicaNão se aplica",Mercado_Receita!$L$2:$L$2578)</f>
        <v>16116.400999999998</v>
      </c>
      <c r="O52" s="12">
        <f>SUMIF(Mercado_Receita!$S$2:$S$2578,"44317B4ConvencionalIluminação públicaIluminação pública – B4aNão se aplicaNão se aplicaPonta",Mercado_Receita!$L$2:$L$2578)+SUMIF(Mercado_Receita!$S$2:$S$2578,"44317B4ConvencionalIluminação públicaIluminação pública – B4aNão se aplicaNão se aplicaFora ponta",Mercado_Receita!$L$2:$L$2578)+SUMIF(Mercado_Receita!$S$2:$S$2578,"44317B4ConvencionalIluminação públicaIluminação pública – B4aNão se aplicaNão se aplicaIntermediário",Mercado_Receita!$L$2:$L$2578)+SUMIF(Mercado_Receita!$S$2:$S$2578,"44317B4ConvencionalIluminação públicaIluminação pública – B4aNão se aplicaNão se aplicaNão se aplica",Mercado_Receita!$L$2:$L$2578)</f>
        <v>16933.472000000002</v>
      </c>
      <c r="P52" s="12">
        <f>SUMIF(Mercado_Receita!$S$2:$S$2578,"44348B4ConvencionalIluminação públicaIluminação pública – B4aNão se aplicaNão se aplicaPonta",Mercado_Receita!$L$2:$L$2578)+SUMIF(Mercado_Receita!$S$2:$S$2578,"44348B4ConvencionalIluminação públicaIluminação pública – B4aNão se aplicaNão se aplicaFora ponta",Mercado_Receita!$L$2:$L$2578)+SUMIF(Mercado_Receita!$S$2:$S$2578,"44348B4ConvencionalIluminação públicaIluminação pública – B4aNão se aplicaNão se aplicaIntermediário",Mercado_Receita!$L$2:$L$2578)+SUMIF(Mercado_Receita!$S$2:$S$2578,"44348B4ConvencionalIluminação públicaIluminação pública – B4aNão se aplicaNão se aplicaNão se aplica",Mercado_Receita!$L$2:$L$2578)</f>
        <v>16397.561999999998</v>
      </c>
      <c r="Q52" s="12">
        <f>SUMIF(Mercado_Receita!$S$2:$S$2578,"44378B4ConvencionalIluminação públicaIluminação pública – B4aNão se aplicaNão se aplicaPonta",Mercado_Receita!$L$2:$L$2578)+SUMIF(Mercado_Receita!$S$2:$S$2578,"44378B4ConvencionalIluminação públicaIluminação pública – B4aNão se aplicaNão se aplicaFora ponta",Mercado_Receita!$L$2:$L$2578)+SUMIF(Mercado_Receita!$S$2:$S$2578,"44378B4ConvencionalIluminação públicaIluminação pública – B4aNão se aplicaNão se aplicaIntermediário",Mercado_Receita!$L$2:$L$2578)+SUMIF(Mercado_Receita!$S$2:$S$2578,"44378B4ConvencionalIluminação públicaIluminação pública – B4aNão se aplicaNão se aplicaNão se aplica",Mercado_Receita!$L$2:$L$2578)</f>
        <v>17131.993000000002</v>
      </c>
      <c r="R52" s="12">
        <f>SUMIF(Mercado_Receita!$S$2:$S$2578,"44409B4ConvencionalIluminação públicaIluminação pública – B4aNão se aplicaNão se aplicaPonta",Mercado_Receita!$L$2:$L$2578)+SUMIF(Mercado_Receita!$S$2:$S$2578,"44409B4ConvencionalIluminação públicaIluminação pública – B4aNão se aplicaNão se aplicaFora ponta",Mercado_Receita!$L$2:$L$2578)+SUMIF(Mercado_Receita!$S$2:$S$2578,"44409B4ConvencionalIluminação públicaIluminação pública – B4aNão se aplicaNão se aplicaIntermediário",Mercado_Receita!$L$2:$L$2578)+SUMIF(Mercado_Receita!$S$2:$S$2578,"44409B4ConvencionalIluminação públicaIluminação pública – B4aNão se aplicaNão se aplicaNão se aplica",Mercado_Receita!$L$2:$L$2578)</f>
        <v>16780.29</v>
      </c>
      <c r="S52" s="12">
        <f>SUMIF(Mercado_Receita!$S$2:$S$2578,"44440B4ConvencionalIluminação públicaIluminação pública – B4aNão se aplicaNão se aplicaPonta",Mercado_Receita!$L$2:$L$2578)+SUMIF(Mercado_Receita!$S$2:$S$2578,"44440B4ConvencionalIluminação públicaIluminação pública – B4aNão se aplicaNão se aplicaFora ponta",Mercado_Receita!$L$2:$L$2578)+SUMIF(Mercado_Receita!$S$2:$S$2578,"44440B4ConvencionalIluminação públicaIluminação pública – B4aNão se aplicaNão se aplicaIntermediário",Mercado_Receita!$L$2:$L$2578)+SUMIF(Mercado_Receita!$S$2:$S$2578,"44440B4ConvencionalIluminação públicaIluminação pública – B4aNão se aplicaNão se aplicaNão se aplica",Mercado_Receita!$L$2:$L$2578)</f>
        <v>14789.120999999999</v>
      </c>
      <c r="T52" s="12">
        <f>SUMIF(Mercado_Receita!$S$2:$S$2578,"44470B4ConvencionalIluminação públicaIluminação pública – B4aNão se aplicaNão se aplicaPonta",Mercado_Receita!$L$2:$L$2578)+SUMIF(Mercado_Receita!$S$2:$S$2578,"44470B4ConvencionalIluminação públicaIluminação pública – B4aNão se aplicaNão se aplicaFora ponta",Mercado_Receita!$L$2:$L$2578)+SUMIF(Mercado_Receita!$S$2:$S$2578,"44470B4ConvencionalIluminação públicaIluminação pública – B4aNão se aplicaNão se aplicaIntermediário",Mercado_Receita!$L$2:$L$2578)+SUMIF(Mercado_Receita!$S$2:$S$2578,"44470B4ConvencionalIluminação públicaIluminação pública – B4aNão se aplicaNão se aplicaNão se aplica",Mercado_Receita!$L$2:$L$2578)</f>
        <v>14789.120999999999</v>
      </c>
      <c r="U52" s="12">
        <f t="shared" si="1"/>
        <v>200182.10399999999</v>
      </c>
      <c r="V52" s="12"/>
      <c r="W52" s="12"/>
    </row>
    <row r="53" spans="1:23" ht="11.25" customHeight="1" x14ac:dyDescent="0.25">
      <c r="A53" s="110"/>
      <c r="B53" s="110"/>
      <c r="C53" s="110"/>
      <c r="D53" s="12" t="s">
        <v>102</v>
      </c>
      <c r="E53" s="12" t="s">
        <v>25</v>
      </c>
      <c r="F53" s="12" t="s">
        <v>25</v>
      </c>
      <c r="G53" s="12" t="s">
        <v>92</v>
      </c>
      <c r="H53" s="12" t="s">
        <v>86</v>
      </c>
      <c r="I53" s="12">
        <f>SUMIF(Mercado_Receita!$S$2:$S$2578,"44136B4ConvencionalIluminação públicaIluminação pública – B4bNão se aplicaNão se aplicaPonta",Mercado_Receita!$L$2:$L$2578)+SUMIF(Mercado_Receita!$S$2:$S$2578,"44136B4ConvencionalIluminação públicaIluminação pública – B4bNão se aplicaNão se aplicaFora ponta",Mercado_Receita!$L$2:$L$2578)+SUMIF(Mercado_Receita!$S$2:$S$2578,"44136B4ConvencionalIluminação públicaIluminação pública – B4bNão se aplicaNão se aplicaIntermediário",Mercado_Receita!$L$2:$L$2578)+SUMIF(Mercado_Receita!$S$2:$S$2578,"44136B4ConvencionalIluminação públicaIluminação pública – B4bNão se aplicaNão se aplicaNão se aplica",Mercado_Receita!$L$2:$L$2578)</f>
        <v>0</v>
      </c>
      <c r="J53" s="12">
        <f>SUMIF(Mercado_Receita!$S$2:$S$2578,"44166B4ConvencionalIluminação públicaIluminação pública – B4bNão se aplicaNão se aplicaPonta",Mercado_Receita!$L$2:$L$2578)+SUMIF(Mercado_Receita!$S$2:$S$2578,"44166B4ConvencionalIluminação públicaIluminação pública – B4bNão se aplicaNão se aplicaFora ponta",Mercado_Receita!$L$2:$L$2578)+SUMIF(Mercado_Receita!$S$2:$S$2578,"44166B4ConvencionalIluminação públicaIluminação pública – B4bNão se aplicaNão se aplicaIntermediário",Mercado_Receita!$L$2:$L$2578)+SUMIF(Mercado_Receita!$S$2:$S$2578,"44166B4ConvencionalIluminação públicaIluminação pública – B4bNão se aplicaNão se aplicaNão se aplica",Mercado_Receita!$L$2:$L$2578)</f>
        <v>0</v>
      </c>
      <c r="K53" s="12">
        <f>SUMIF(Mercado_Receita!$S$2:$S$2578,"44197B4ConvencionalIluminação públicaIluminação pública – B4bNão se aplicaNão se aplicaPonta",Mercado_Receita!$L$2:$L$2578)+SUMIF(Mercado_Receita!$S$2:$S$2578,"44197B4ConvencionalIluminação públicaIluminação pública – B4bNão se aplicaNão se aplicaFora ponta",Mercado_Receita!$L$2:$L$2578)+SUMIF(Mercado_Receita!$S$2:$S$2578,"44197B4ConvencionalIluminação públicaIluminação pública – B4bNão se aplicaNão se aplicaIntermediário",Mercado_Receita!$L$2:$L$2578)+SUMIF(Mercado_Receita!$S$2:$S$2578,"44197B4ConvencionalIluminação públicaIluminação pública – B4bNão se aplicaNão se aplicaNão se aplica",Mercado_Receita!$L$2:$L$2578)</f>
        <v>0</v>
      </c>
      <c r="L53" s="12">
        <f>SUMIF(Mercado_Receita!$S$2:$S$2578,"44228B4ConvencionalIluminação públicaIluminação pública – B4bNão se aplicaNão se aplicaPonta",Mercado_Receita!$L$2:$L$2578)+SUMIF(Mercado_Receita!$S$2:$S$2578,"44228B4ConvencionalIluminação públicaIluminação pública – B4bNão se aplicaNão se aplicaFora ponta",Mercado_Receita!$L$2:$L$2578)+SUMIF(Mercado_Receita!$S$2:$S$2578,"44228B4ConvencionalIluminação públicaIluminação pública – B4bNão se aplicaNão se aplicaIntermediário",Mercado_Receita!$L$2:$L$2578)+SUMIF(Mercado_Receita!$S$2:$S$2578,"44228B4ConvencionalIluminação públicaIluminação pública – B4bNão se aplicaNão se aplicaNão se aplica",Mercado_Receita!$L$2:$L$2578)</f>
        <v>0</v>
      </c>
      <c r="M53" s="12">
        <f>SUMIF(Mercado_Receita!$S$2:$S$2578,"44256B4ConvencionalIluminação públicaIluminação pública – B4bNão se aplicaNão se aplicaPonta",Mercado_Receita!$L$2:$L$2578)+SUMIF(Mercado_Receita!$S$2:$S$2578,"44256B4ConvencionalIluminação públicaIluminação pública – B4bNão se aplicaNão se aplicaFora ponta",Mercado_Receita!$L$2:$L$2578)+SUMIF(Mercado_Receita!$S$2:$S$2578,"44256B4ConvencionalIluminação públicaIluminação pública – B4bNão se aplicaNão se aplicaIntermediário",Mercado_Receita!$L$2:$L$2578)+SUMIF(Mercado_Receita!$S$2:$S$2578,"44256B4ConvencionalIluminação públicaIluminação pública – B4bNão se aplicaNão se aplicaNão se aplica",Mercado_Receita!$L$2:$L$2578)</f>
        <v>0</v>
      </c>
      <c r="N53" s="12">
        <f>SUMIF(Mercado_Receita!$S$2:$S$2578,"44287B4ConvencionalIluminação públicaIluminação pública – B4bNão se aplicaNão se aplicaPonta",Mercado_Receita!$L$2:$L$2578)+SUMIF(Mercado_Receita!$S$2:$S$2578,"44287B4ConvencionalIluminação públicaIluminação pública – B4bNão se aplicaNão se aplicaFora ponta",Mercado_Receita!$L$2:$L$2578)+SUMIF(Mercado_Receita!$S$2:$S$2578,"44287B4ConvencionalIluminação públicaIluminação pública – B4bNão se aplicaNão se aplicaIntermediário",Mercado_Receita!$L$2:$L$2578)+SUMIF(Mercado_Receita!$S$2:$S$2578,"44287B4ConvencionalIluminação públicaIluminação pública – B4bNão se aplicaNão se aplicaNão se aplica",Mercado_Receita!$L$2:$L$2578)</f>
        <v>0</v>
      </c>
      <c r="O53" s="12">
        <f>SUMIF(Mercado_Receita!$S$2:$S$2578,"44317B4ConvencionalIluminação públicaIluminação pública – B4bNão se aplicaNão se aplicaPonta",Mercado_Receita!$L$2:$L$2578)+SUMIF(Mercado_Receita!$S$2:$S$2578,"44317B4ConvencionalIluminação públicaIluminação pública – B4bNão se aplicaNão se aplicaFora ponta",Mercado_Receita!$L$2:$L$2578)+SUMIF(Mercado_Receita!$S$2:$S$2578,"44317B4ConvencionalIluminação públicaIluminação pública – B4bNão se aplicaNão se aplicaIntermediário",Mercado_Receita!$L$2:$L$2578)+SUMIF(Mercado_Receita!$S$2:$S$2578,"44317B4ConvencionalIluminação públicaIluminação pública – B4bNão se aplicaNão se aplicaNão se aplica",Mercado_Receita!$L$2:$L$2578)</f>
        <v>0</v>
      </c>
      <c r="P53" s="12">
        <f>SUMIF(Mercado_Receita!$S$2:$S$2578,"44348B4ConvencionalIluminação públicaIluminação pública – B4bNão se aplicaNão se aplicaPonta",Mercado_Receita!$L$2:$L$2578)+SUMIF(Mercado_Receita!$S$2:$S$2578,"44348B4ConvencionalIluminação públicaIluminação pública – B4bNão se aplicaNão se aplicaFora ponta",Mercado_Receita!$L$2:$L$2578)+SUMIF(Mercado_Receita!$S$2:$S$2578,"44348B4ConvencionalIluminação públicaIluminação pública – B4bNão se aplicaNão se aplicaIntermediário",Mercado_Receita!$L$2:$L$2578)+SUMIF(Mercado_Receita!$S$2:$S$2578,"44348B4ConvencionalIluminação públicaIluminação pública – B4bNão se aplicaNão se aplicaNão se aplica",Mercado_Receita!$L$2:$L$2578)</f>
        <v>0</v>
      </c>
      <c r="Q53" s="12">
        <f>SUMIF(Mercado_Receita!$S$2:$S$2578,"44378B4ConvencionalIluminação públicaIluminação pública – B4bNão se aplicaNão se aplicaPonta",Mercado_Receita!$L$2:$L$2578)+SUMIF(Mercado_Receita!$S$2:$S$2578,"44378B4ConvencionalIluminação públicaIluminação pública – B4bNão se aplicaNão se aplicaFora ponta",Mercado_Receita!$L$2:$L$2578)+SUMIF(Mercado_Receita!$S$2:$S$2578,"44378B4ConvencionalIluminação públicaIluminação pública – B4bNão se aplicaNão se aplicaIntermediário",Mercado_Receita!$L$2:$L$2578)+SUMIF(Mercado_Receita!$S$2:$S$2578,"44378B4ConvencionalIluminação públicaIluminação pública – B4bNão se aplicaNão se aplicaNão se aplica",Mercado_Receita!$L$2:$L$2578)</f>
        <v>0</v>
      </c>
      <c r="R53" s="12">
        <f>SUMIF(Mercado_Receita!$S$2:$S$2578,"44409B4ConvencionalIluminação públicaIluminação pública – B4bNão se aplicaNão se aplicaPonta",Mercado_Receita!$L$2:$L$2578)+SUMIF(Mercado_Receita!$S$2:$S$2578,"44409B4ConvencionalIluminação públicaIluminação pública – B4bNão se aplicaNão se aplicaFora ponta",Mercado_Receita!$L$2:$L$2578)+SUMIF(Mercado_Receita!$S$2:$S$2578,"44409B4ConvencionalIluminação públicaIluminação pública – B4bNão se aplicaNão se aplicaIntermediário",Mercado_Receita!$L$2:$L$2578)+SUMIF(Mercado_Receita!$S$2:$S$2578,"44409B4ConvencionalIluminação públicaIluminação pública – B4bNão se aplicaNão se aplicaNão se aplica",Mercado_Receita!$L$2:$L$2578)</f>
        <v>0</v>
      </c>
      <c r="S53" s="12">
        <f>SUMIF(Mercado_Receita!$S$2:$S$2578,"44440B4ConvencionalIluminação públicaIluminação pública – B4bNão se aplicaNão se aplicaPonta",Mercado_Receita!$L$2:$L$2578)+SUMIF(Mercado_Receita!$S$2:$S$2578,"44440B4ConvencionalIluminação públicaIluminação pública – B4bNão se aplicaNão se aplicaFora ponta",Mercado_Receita!$L$2:$L$2578)+SUMIF(Mercado_Receita!$S$2:$S$2578,"44440B4ConvencionalIluminação públicaIluminação pública – B4bNão se aplicaNão se aplicaIntermediário",Mercado_Receita!$L$2:$L$2578)+SUMIF(Mercado_Receita!$S$2:$S$2578,"44440B4ConvencionalIluminação públicaIluminação pública – B4bNão se aplicaNão se aplicaNão se aplica",Mercado_Receita!$L$2:$L$2578)</f>
        <v>0</v>
      </c>
      <c r="T53" s="12">
        <f>SUMIF(Mercado_Receita!$S$2:$S$2578,"44470B4ConvencionalIluminação públicaIluminação pública – B4bNão se aplicaNão se aplicaPonta",Mercado_Receita!$L$2:$L$2578)+SUMIF(Mercado_Receita!$S$2:$S$2578,"44470B4ConvencionalIluminação públicaIluminação pública – B4bNão se aplicaNão se aplicaFora ponta",Mercado_Receita!$L$2:$L$2578)+SUMIF(Mercado_Receita!$S$2:$S$2578,"44470B4ConvencionalIluminação públicaIluminação pública – B4bNão se aplicaNão se aplicaIntermediário",Mercado_Receita!$L$2:$L$2578)+SUMIF(Mercado_Receita!$S$2:$S$2578,"44470B4ConvencionalIluminação públicaIluminação pública – B4bNão se aplicaNão se aplicaNão se aplica",Mercado_Receita!$L$2:$L$2578)</f>
        <v>0</v>
      </c>
      <c r="U53" s="12">
        <f t="shared" si="1"/>
        <v>0</v>
      </c>
      <c r="V53" s="12"/>
      <c r="W53" s="12"/>
    </row>
    <row r="54" spans="1:23" ht="11.25" customHeight="1" x14ac:dyDescent="0.25">
      <c r="A54" s="111" t="s">
        <v>645</v>
      </c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2"/>
      <c r="W54" s="12"/>
    </row>
  </sheetData>
  <mergeCells count="61">
    <mergeCell ref="A52:A53"/>
    <mergeCell ref="B52:B53"/>
    <mergeCell ref="C52:C53"/>
    <mergeCell ref="A54:U54"/>
    <mergeCell ref="C44:C46"/>
    <mergeCell ref="B44:B46"/>
    <mergeCell ref="A32:A46"/>
    <mergeCell ref="F47:F49"/>
    <mergeCell ref="E47:E49"/>
    <mergeCell ref="D47:D49"/>
    <mergeCell ref="C47:C49"/>
    <mergeCell ref="B47:B49"/>
    <mergeCell ref="A47:A51"/>
    <mergeCell ref="F36:F38"/>
    <mergeCell ref="E36:E38"/>
    <mergeCell ref="D36:D38"/>
    <mergeCell ref="C36:C38"/>
    <mergeCell ref="B36:B38"/>
    <mergeCell ref="F40:F42"/>
    <mergeCell ref="E40:E42"/>
    <mergeCell ref="D40:D42"/>
    <mergeCell ref="C40:C42"/>
    <mergeCell ref="B40:B42"/>
    <mergeCell ref="C22:C26"/>
    <mergeCell ref="B22:B26"/>
    <mergeCell ref="C27:C31"/>
    <mergeCell ref="B27:B31"/>
    <mergeCell ref="A19:A31"/>
    <mergeCell ref="F32:F34"/>
    <mergeCell ref="E32:E34"/>
    <mergeCell ref="D32:D34"/>
    <mergeCell ref="C32:C34"/>
    <mergeCell ref="B32:B34"/>
    <mergeCell ref="D17:D18"/>
    <mergeCell ref="C17:C18"/>
    <mergeCell ref="B17:B18"/>
    <mergeCell ref="A17:A18"/>
    <mergeCell ref="F19:F21"/>
    <mergeCell ref="E19:E21"/>
    <mergeCell ref="D19:D21"/>
    <mergeCell ref="C19:C21"/>
    <mergeCell ref="B19:B21"/>
    <mergeCell ref="A7:A16"/>
    <mergeCell ref="F7:F9"/>
    <mergeCell ref="E7:E9"/>
    <mergeCell ref="D7:D10"/>
    <mergeCell ref="C7:C10"/>
    <mergeCell ref="B7:B10"/>
    <mergeCell ref="F12:F14"/>
    <mergeCell ref="E12:E14"/>
    <mergeCell ref="F15:F16"/>
    <mergeCell ref="E15:E16"/>
    <mergeCell ref="D12:D16"/>
    <mergeCell ref="C12:C16"/>
    <mergeCell ref="B12:B16"/>
    <mergeCell ref="A2:A6"/>
    <mergeCell ref="F2:F4"/>
    <mergeCell ref="E2:E4"/>
    <mergeCell ref="D2:D5"/>
    <mergeCell ref="C2:C5"/>
    <mergeCell ref="B2:B5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B2403-362B-47EB-B748-408DD722B071}">
  <dimension ref="A1:AD42"/>
  <sheetViews>
    <sheetView showGridLines="0" workbookViewId="0">
      <selection sqref="A1:W42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8.71093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76</v>
      </c>
      <c r="B1" s="10" t="s">
        <v>77</v>
      </c>
      <c r="C1" s="10" t="s">
        <v>78</v>
      </c>
      <c r="D1" s="10" t="s">
        <v>79</v>
      </c>
      <c r="E1" s="10" t="s">
        <v>80</v>
      </c>
      <c r="F1" s="10" t="s">
        <v>81</v>
      </c>
      <c r="G1" s="10" t="s">
        <v>82</v>
      </c>
      <c r="H1" s="10" t="s">
        <v>83</v>
      </c>
      <c r="I1" s="11">
        <v>44136</v>
      </c>
      <c r="J1" s="11">
        <v>44166</v>
      </c>
      <c r="K1" s="11">
        <v>44197</v>
      </c>
      <c r="L1" s="11">
        <v>44228</v>
      </c>
      <c r="M1" s="11">
        <v>44256</v>
      </c>
      <c r="N1" s="11">
        <v>44287</v>
      </c>
      <c r="O1" s="11">
        <v>44317</v>
      </c>
      <c r="P1" s="11">
        <v>44348</v>
      </c>
      <c r="Q1" s="11">
        <v>44378</v>
      </c>
      <c r="R1" s="11">
        <v>44409</v>
      </c>
      <c r="S1" s="11">
        <v>44440</v>
      </c>
      <c r="T1" s="11">
        <v>44470</v>
      </c>
      <c r="U1" s="10" t="s">
        <v>84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09" t="s">
        <v>43</v>
      </c>
      <c r="B2" s="109" t="s">
        <v>85</v>
      </c>
      <c r="C2" s="109" t="s">
        <v>25</v>
      </c>
      <c r="D2" s="109" t="s">
        <v>25</v>
      </c>
      <c r="E2" s="109" t="s">
        <v>25</v>
      </c>
      <c r="F2" s="109" t="s">
        <v>25</v>
      </c>
      <c r="G2" s="14" t="s">
        <v>87</v>
      </c>
      <c r="H2" s="14" t="s">
        <v>86</v>
      </c>
      <c r="I2" s="14">
        <f>SUMIF(Mercado_Receita!$T$2:$T$2578,"44136A3Energia horáriaNão se aplicaNão se aplicaNão se aplicaNão se aplicaPonta",Mercado_Receita!$N$2:$N$2578)</f>
        <v>446.44200000000001</v>
      </c>
      <c r="J2" s="14">
        <f>SUMIF(Mercado_Receita!$T$2:$T$2578,"44166A3Energia horáriaNão se aplicaNão se aplicaNão se aplicaNão se aplicaPonta",Mercado_Receita!$N$2:$N$2578)</f>
        <v>493.57600000000002</v>
      </c>
      <c r="K2" s="14">
        <f>SUMIF(Mercado_Receita!$T$2:$T$2578,"44197A3Energia horáriaNão se aplicaNão se aplicaNão se aplicaNão se aplicaPonta",Mercado_Receita!$N$2:$N$2578)</f>
        <v>435.78399999999999</v>
      </c>
      <c r="L2" s="14">
        <f>SUMIF(Mercado_Receita!$T$2:$T$2578,"44228A3Energia horáriaNão se aplicaNão se aplicaNão se aplicaNão se aplicaPonta",Mercado_Receita!$N$2:$N$2578)</f>
        <v>436.06600000000003</v>
      </c>
      <c r="M2" s="14">
        <f>SUMIF(Mercado_Receita!$T$2:$T$2578,"44256A3Energia horáriaNão se aplicaNão se aplicaNão se aplicaNão se aplicaPonta",Mercado_Receita!$N$2:$N$2578)</f>
        <v>511.70600000000002</v>
      </c>
      <c r="N2" s="14">
        <f>SUMIF(Mercado_Receita!$T$2:$T$2578,"44287A3Energia horáriaNão se aplicaNão se aplicaNão se aplicaNão se aplicaPonta",Mercado_Receita!$N$2:$N$2578)</f>
        <v>448.45800000000003</v>
      </c>
      <c r="O2" s="14">
        <f>SUMIF(Mercado_Receita!$T$2:$T$2578,"44317A3Energia horáriaNão se aplicaNão se aplicaNão se aplicaNão se aplicaPonta",Mercado_Receita!$N$2:$N$2578)</f>
        <v>465.93400000000003</v>
      </c>
      <c r="P2" s="14">
        <f>SUMIF(Mercado_Receita!$T$2:$T$2578,"44348A3Energia horáriaNão se aplicaNão se aplicaNão se aplicaNão se aplicaPonta",Mercado_Receita!$N$2:$N$2578)</f>
        <v>207.29599999999999</v>
      </c>
      <c r="Q2" s="14">
        <f>SUMIF(Mercado_Receita!$T$2:$T$2578,"44378A3Energia horáriaNão se aplicaNão se aplicaNão se aplicaNão se aplicaPonta",Mercado_Receita!$N$2:$N$2578)</f>
        <v>377.41899999999998</v>
      </c>
      <c r="R2" s="14">
        <f>SUMIF(Mercado_Receita!$T$2:$T$2578,"44409A3Energia horáriaNão se aplicaNão se aplicaNão se aplicaNão se aplicaPonta",Mercado_Receita!$N$2:$N$2578)</f>
        <v>427.23900000000003</v>
      </c>
      <c r="S2" s="14">
        <f>SUMIF(Mercado_Receita!$T$2:$T$2578,"44440A3Energia horáriaNão se aplicaNão se aplicaNão se aplicaNão se aplicaPonta",Mercado_Receita!$N$2:$N$2578)</f>
        <v>375.666</v>
      </c>
      <c r="T2" s="14">
        <f>SUMIF(Mercado_Receita!$T$2:$T$2578,"44470A3Energia horáriaNão se aplicaNão se aplicaNão se aplicaNão se aplicaPonta",Mercado_Receita!$N$2:$N$2578)</f>
        <v>375.666</v>
      </c>
      <c r="U2" s="14">
        <f t="shared" ref="U2:U41" si="0">SUM(I2:T2)</f>
        <v>5001.2520000000004</v>
      </c>
      <c r="V2" s="14"/>
      <c r="W2" s="14"/>
    </row>
    <row r="3" spans="1:30" ht="11.25" customHeight="1" x14ac:dyDescent="0.25">
      <c r="A3" s="110"/>
      <c r="B3" s="110"/>
      <c r="C3" s="110"/>
      <c r="D3" s="110"/>
      <c r="E3" s="110"/>
      <c r="F3" s="110"/>
      <c r="G3" s="14" t="s">
        <v>88</v>
      </c>
      <c r="H3" s="14" t="s">
        <v>86</v>
      </c>
      <c r="I3" s="14">
        <f>SUMIF(Mercado_Receita!$T$2:$T$2578,"44136A3Energia horáriaNão se aplicaNão se aplicaNão se aplicaNão se aplicaFora ponta",Mercado_Receita!$N$2:$N$2578)</f>
        <v>5004.0919999999996</v>
      </c>
      <c r="J3" s="14">
        <f>SUMIF(Mercado_Receita!$T$2:$T$2578,"44166A3Energia horáriaNão se aplicaNão se aplicaNão se aplicaNão se aplicaFora ponta",Mercado_Receita!$N$2:$N$2578)</f>
        <v>5177.1379999999999</v>
      </c>
      <c r="K3" s="14">
        <f>SUMIF(Mercado_Receita!$T$2:$T$2578,"44197A3Energia horáriaNão se aplicaNão se aplicaNão se aplicaNão se aplicaFora ponta",Mercado_Receita!$N$2:$N$2578)</f>
        <v>4990.7479999999996</v>
      </c>
      <c r="L3" s="14">
        <f>SUMIF(Mercado_Receita!$T$2:$T$2578,"44228A3Energia horáriaNão se aplicaNão se aplicaNão se aplicaNão se aplicaFora ponta",Mercado_Receita!$N$2:$N$2578)</f>
        <v>4612.8040000000001</v>
      </c>
      <c r="M3" s="14">
        <f>SUMIF(Mercado_Receita!$T$2:$T$2578,"44256A3Energia horáriaNão se aplicaNão se aplicaNão se aplicaNão se aplicaFora ponta",Mercado_Receita!$N$2:$N$2578)</f>
        <v>5117.4220000000005</v>
      </c>
      <c r="N3" s="14">
        <f>SUMIF(Mercado_Receita!$T$2:$T$2578,"44287A3Energia horáriaNão se aplicaNão se aplicaNão se aplicaNão se aplicaFora ponta",Mercado_Receita!$N$2:$N$2578)</f>
        <v>4869.4380000000001</v>
      </c>
      <c r="O3" s="14">
        <f>SUMIF(Mercado_Receita!$T$2:$T$2578,"44317A3Energia horáriaNão se aplicaNão se aplicaNão se aplicaNão se aplicaFora ponta",Mercado_Receita!$N$2:$N$2578)</f>
        <v>5051.17</v>
      </c>
      <c r="P3" s="14">
        <f>SUMIF(Mercado_Receita!$T$2:$T$2578,"44348A3Energia horáriaNão se aplicaNão se aplicaNão se aplicaNão se aplicaFora ponta",Mercado_Receita!$N$2:$N$2578)</f>
        <v>2316.4340000000002</v>
      </c>
      <c r="Q3" s="14">
        <f>SUMIF(Mercado_Receita!$T$2:$T$2578,"44378A3Energia horáriaNão se aplicaNão se aplicaNão se aplicaNão se aplicaFora ponta",Mercado_Receita!$N$2:$N$2578)</f>
        <v>3869.9839999999999</v>
      </c>
      <c r="R3" s="14">
        <f>SUMIF(Mercado_Receita!$T$2:$T$2578,"44409A3Energia horáriaNão se aplicaNão se aplicaNão se aplicaNão se aplicaFora ponta",Mercado_Receita!$N$2:$N$2578)</f>
        <v>4200.3410000000003</v>
      </c>
      <c r="S3" s="14">
        <f>SUMIF(Mercado_Receita!$T$2:$T$2578,"44440A3Energia horáriaNão se aplicaNão se aplicaNão se aplicaNão se aplicaFora ponta",Mercado_Receita!$N$2:$N$2578)</f>
        <v>4072.36</v>
      </c>
      <c r="T3" s="14">
        <f>SUMIF(Mercado_Receita!$T$2:$T$2578,"44470A3Energia horáriaNão se aplicaNão se aplicaNão se aplicaNão se aplicaFora ponta",Mercado_Receita!$N$2:$N$2578)</f>
        <v>4072.36</v>
      </c>
      <c r="U3" s="14">
        <f t="shared" si="0"/>
        <v>53354.290999999997</v>
      </c>
      <c r="V3" s="14"/>
      <c r="W3" s="14"/>
    </row>
    <row r="4" spans="1:30" ht="11.25" customHeight="1" x14ac:dyDescent="0.25">
      <c r="A4" s="109" t="s">
        <v>35</v>
      </c>
      <c r="B4" s="109" t="s">
        <v>85</v>
      </c>
      <c r="C4" s="109" t="s">
        <v>25</v>
      </c>
      <c r="D4" s="109" t="s">
        <v>25</v>
      </c>
      <c r="E4" s="109" t="s">
        <v>25</v>
      </c>
      <c r="F4" s="109" t="s">
        <v>25</v>
      </c>
      <c r="G4" s="14" t="s">
        <v>87</v>
      </c>
      <c r="H4" s="14" t="s">
        <v>86</v>
      </c>
      <c r="I4" s="14">
        <f>SUMIF(Mercado_Receita!$T$2:$T$2578,"44136A4Energia horáriaNão se aplicaNão se aplicaNão se aplicaNão se aplicaPonta",Mercado_Receita!$N$2:$N$2578)</f>
        <v>7274.9520000000002</v>
      </c>
      <c r="J4" s="14">
        <f>SUMIF(Mercado_Receita!$T$2:$T$2578,"44166A4Energia horáriaNão se aplicaNão se aplicaNão se aplicaNão se aplicaPonta",Mercado_Receita!$N$2:$N$2578)</f>
        <v>7249.3649999999998</v>
      </c>
      <c r="K4" s="14">
        <f>SUMIF(Mercado_Receita!$T$2:$T$2578,"44197A4Energia horáriaNão se aplicaNão se aplicaNão se aplicaNão se aplicaPonta",Mercado_Receita!$N$2:$N$2578)</f>
        <v>5710.7630000000026</v>
      </c>
      <c r="L4" s="14">
        <f>SUMIF(Mercado_Receita!$T$2:$T$2578,"44228A4Energia horáriaNão se aplicaNão se aplicaNão se aplicaNão se aplicaPonta",Mercado_Receita!$N$2:$N$2578)</f>
        <v>5511.3250000000007</v>
      </c>
      <c r="M4" s="14">
        <f>SUMIF(Mercado_Receita!$T$2:$T$2578,"44256A4Energia horáriaNão se aplicaNão se aplicaNão se aplicaNão se aplicaPonta",Mercado_Receita!$N$2:$N$2578)</f>
        <v>7046.0600000000013</v>
      </c>
      <c r="N4" s="14">
        <f>SUMIF(Mercado_Receita!$T$2:$T$2578,"44287A4Energia horáriaNão se aplicaNão se aplicaNão se aplicaNão se aplicaPonta",Mercado_Receita!$N$2:$N$2578)</f>
        <v>6303.6680000000006</v>
      </c>
      <c r="O4" s="14">
        <f>SUMIF(Mercado_Receita!$T$2:$T$2578,"44317A4Energia horáriaNão se aplicaNão se aplicaNão se aplicaNão se aplicaPonta",Mercado_Receita!$N$2:$N$2578)</f>
        <v>6708.4539999999988</v>
      </c>
      <c r="P4" s="14">
        <f>SUMIF(Mercado_Receita!$T$2:$T$2578,"44348A4Energia horáriaNão se aplicaNão se aplicaNão se aplicaNão se aplicaPonta",Mercado_Receita!$N$2:$N$2578)</f>
        <v>6710.8310000000001</v>
      </c>
      <c r="Q4" s="14">
        <f>SUMIF(Mercado_Receita!$T$2:$T$2578,"44378A4Energia horáriaNão se aplicaNão se aplicaNão se aplicaNão se aplicaPonta",Mercado_Receita!$N$2:$N$2578)</f>
        <v>7068.393</v>
      </c>
      <c r="R4" s="14">
        <f>SUMIF(Mercado_Receita!$T$2:$T$2578,"44409A4Energia horáriaNão se aplicaNão se aplicaNão se aplicaNão se aplicaPonta",Mercado_Receita!$N$2:$N$2578)</f>
        <v>7460.5609999999997</v>
      </c>
      <c r="S4" s="14">
        <f>SUMIF(Mercado_Receita!$T$2:$T$2578,"44440A4Energia horáriaNão se aplicaNão se aplicaNão se aplicaNão se aplicaPonta",Mercado_Receita!$N$2:$N$2578)</f>
        <v>7041.1720000000014</v>
      </c>
      <c r="T4" s="14">
        <f>SUMIF(Mercado_Receita!$T$2:$T$2578,"44470A4Energia horáriaNão se aplicaNão se aplicaNão se aplicaNão se aplicaPonta",Mercado_Receita!$N$2:$N$2578)</f>
        <v>7041.1720000000014</v>
      </c>
      <c r="U4" s="14">
        <f t="shared" si="0"/>
        <v>81126.716000000015</v>
      </c>
      <c r="V4" s="14"/>
      <c r="W4" s="14"/>
    </row>
    <row r="5" spans="1:30" ht="11.25" customHeight="1" x14ac:dyDescent="0.25">
      <c r="A5" s="110"/>
      <c r="B5" s="110"/>
      <c r="C5" s="110"/>
      <c r="D5" s="110"/>
      <c r="E5" s="110"/>
      <c r="F5" s="110"/>
      <c r="G5" s="14" t="s">
        <v>88</v>
      </c>
      <c r="H5" s="14" t="s">
        <v>86</v>
      </c>
      <c r="I5" s="14">
        <f>SUMIF(Mercado_Receita!$T$2:$T$2578,"44136A4Energia horáriaNão se aplicaNão se aplicaNão se aplicaNão se aplicaFora ponta",Mercado_Receita!$N$2:$N$2578)</f>
        <v>91319.956000000035</v>
      </c>
      <c r="J5" s="14">
        <f>SUMIF(Mercado_Receita!$T$2:$T$2578,"44166A4Energia horáriaNão se aplicaNão se aplicaNão se aplicaNão se aplicaFora ponta",Mercado_Receita!$N$2:$N$2578)</f>
        <v>87326.172999999981</v>
      </c>
      <c r="K5" s="14">
        <f>SUMIF(Mercado_Receita!$T$2:$T$2578,"44197A4Energia horáriaNão se aplicaNão se aplicaNão se aplicaNão se aplicaFora ponta",Mercado_Receita!$N$2:$N$2578)</f>
        <v>75546.794000000009</v>
      </c>
      <c r="L5" s="14">
        <f>SUMIF(Mercado_Receita!$T$2:$T$2578,"44228A4Energia horáriaNão se aplicaNão se aplicaNão se aplicaNão se aplicaFora ponta",Mercado_Receita!$N$2:$N$2578)</f>
        <v>73230.225999999981</v>
      </c>
      <c r="M5" s="14">
        <f>SUMIF(Mercado_Receita!$T$2:$T$2578,"44256A4Energia horáriaNão se aplicaNão se aplicaNão se aplicaNão se aplicaFora ponta",Mercado_Receita!$N$2:$N$2578)</f>
        <v>84058.926999999981</v>
      </c>
      <c r="N5" s="14">
        <f>SUMIF(Mercado_Receita!$T$2:$T$2578,"44287A4Energia horáriaNão se aplicaNão se aplicaNão se aplicaNão se aplicaFora ponta",Mercado_Receita!$N$2:$N$2578)</f>
        <v>82079.894000000015</v>
      </c>
      <c r="O5" s="14">
        <f>SUMIF(Mercado_Receita!$T$2:$T$2578,"44317A4Energia horáriaNão se aplicaNão se aplicaNão se aplicaNão se aplicaFora ponta",Mercado_Receita!$N$2:$N$2578)</f>
        <v>86522.356999999989</v>
      </c>
      <c r="P5" s="14">
        <f>SUMIF(Mercado_Receita!$T$2:$T$2578,"44348A4Energia horáriaNão se aplicaNão se aplicaNão se aplicaNão se aplicaFora ponta",Mercado_Receita!$N$2:$N$2578)</f>
        <v>86171.001999999993</v>
      </c>
      <c r="Q5" s="14">
        <f>SUMIF(Mercado_Receita!$T$2:$T$2578,"44378A4Energia horáriaNão se aplicaNão se aplicaNão se aplicaNão se aplicaFora ponta",Mercado_Receita!$N$2:$N$2578)</f>
        <v>90578.476999999984</v>
      </c>
      <c r="R5" s="14">
        <f>SUMIF(Mercado_Receita!$T$2:$T$2578,"44409A4Energia horáriaNão se aplicaNão se aplicaNão se aplicaNão se aplicaFora ponta",Mercado_Receita!$N$2:$N$2578)</f>
        <v>96263.600999999981</v>
      </c>
      <c r="S5" s="14">
        <f>SUMIF(Mercado_Receita!$T$2:$T$2578,"44440A4Energia horáriaNão se aplicaNão se aplicaNão se aplicaNão se aplicaFora ponta",Mercado_Receita!$N$2:$N$2578)</f>
        <v>92842.926000000036</v>
      </c>
      <c r="T5" s="14">
        <f>SUMIF(Mercado_Receita!$T$2:$T$2578,"44470A4Energia horáriaNão se aplicaNão se aplicaNão se aplicaNão se aplicaFora ponta",Mercado_Receita!$N$2:$N$2578)</f>
        <v>92842.926000000036</v>
      </c>
      <c r="U5" s="14">
        <f t="shared" si="0"/>
        <v>1038783.2589999998</v>
      </c>
      <c r="V5" s="14"/>
      <c r="W5" s="14"/>
    </row>
    <row r="6" spans="1:30" ht="11.25" customHeight="1" x14ac:dyDescent="0.25">
      <c r="A6" s="110"/>
      <c r="B6" s="13" t="s">
        <v>94</v>
      </c>
      <c r="C6" s="13" t="s">
        <v>25</v>
      </c>
      <c r="D6" s="13" t="s">
        <v>25</v>
      </c>
      <c r="E6" s="13" t="s">
        <v>25</v>
      </c>
      <c r="F6" s="13" t="s">
        <v>25</v>
      </c>
      <c r="G6" s="14" t="s">
        <v>92</v>
      </c>
      <c r="H6" s="14" t="s">
        <v>86</v>
      </c>
      <c r="I6" s="14">
        <f>SUMIF(Mercado_Receita!$T$2:$T$2578,"44136A4Energia convencionalNão se aplicaNão se aplicaNão se aplicaNão se aplicaNão se aplica",Mercado_Receita!$N$2:$N$2578)</f>
        <v>0</v>
      </c>
      <c r="J6" s="14">
        <f>SUMIF(Mercado_Receita!$T$2:$T$2578,"44166A4Energia convencionalNão se aplicaNão se aplicaNão se aplicaNão se aplicaNão se aplica",Mercado_Receita!$N$2:$N$2578)</f>
        <v>0</v>
      </c>
      <c r="K6" s="14">
        <f>SUMIF(Mercado_Receita!$T$2:$T$2578,"44197A4Energia convencionalNão se aplicaNão se aplicaNão se aplicaNão se aplicaNão se aplica",Mercado_Receita!$N$2:$N$2578)</f>
        <v>0</v>
      </c>
      <c r="L6" s="14">
        <f>SUMIF(Mercado_Receita!$T$2:$T$2578,"44228A4Energia convencionalNão se aplicaNão se aplicaNão se aplicaNão se aplicaNão se aplica",Mercado_Receita!$N$2:$N$2578)</f>
        <v>0</v>
      </c>
      <c r="M6" s="14">
        <f>SUMIF(Mercado_Receita!$T$2:$T$2578,"44256A4Energia convencionalNão se aplicaNão se aplicaNão se aplicaNão se aplicaNão se aplica",Mercado_Receita!$N$2:$N$2578)</f>
        <v>0</v>
      </c>
      <c r="N6" s="14">
        <f>SUMIF(Mercado_Receita!$T$2:$T$2578,"44287A4Energia convencionalNão se aplicaNão se aplicaNão se aplicaNão se aplicaNão se aplica",Mercado_Receita!$N$2:$N$2578)</f>
        <v>0</v>
      </c>
      <c r="O6" s="14">
        <f>SUMIF(Mercado_Receita!$T$2:$T$2578,"44317A4Energia convencionalNão se aplicaNão se aplicaNão se aplicaNão se aplicaNão se aplica",Mercado_Receita!$N$2:$N$2578)</f>
        <v>0</v>
      </c>
      <c r="P6" s="14">
        <f>SUMIF(Mercado_Receita!$T$2:$T$2578,"44348A4Energia convencionalNão se aplicaNão se aplicaNão se aplicaNão se aplicaNão se aplica",Mercado_Receita!$N$2:$N$2578)</f>
        <v>0</v>
      </c>
      <c r="Q6" s="14">
        <f>SUMIF(Mercado_Receita!$T$2:$T$2578,"44378A4Energia convencionalNão se aplicaNão se aplicaNão se aplicaNão se aplicaNão se aplica",Mercado_Receita!$N$2:$N$2578)</f>
        <v>0</v>
      </c>
      <c r="R6" s="14">
        <f>SUMIF(Mercado_Receita!$T$2:$T$2578,"44409A4Energia convencionalNão se aplicaNão se aplicaNão se aplicaNão se aplicaNão se aplica",Mercado_Receita!$N$2:$N$2578)</f>
        <v>0</v>
      </c>
      <c r="S6" s="14">
        <f>SUMIF(Mercado_Receita!$T$2:$T$2578,"44440A4Energia convencionalNão se aplicaNão se aplicaNão se aplicaNão se aplicaNão se aplica",Mercado_Receita!$N$2:$N$2578)</f>
        <v>0</v>
      </c>
      <c r="T6" s="14">
        <f>SUMIF(Mercado_Receita!$T$2:$T$2578,"44470A4Energia convencionalNão se aplicaNão se aplicaNão se aplicaNão se aplicaNão se aplica",Mercado_Receita!$N$2:$N$2578)</f>
        <v>0</v>
      </c>
      <c r="U6" s="14">
        <f t="shared" si="0"/>
        <v>0</v>
      </c>
      <c r="V6" s="14"/>
      <c r="W6" s="14"/>
    </row>
    <row r="7" spans="1:30" ht="11.25" customHeight="1" x14ac:dyDescent="0.25">
      <c r="A7" s="109" t="s">
        <v>22</v>
      </c>
      <c r="B7" s="109" t="s">
        <v>85</v>
      </c>
      <c r="C7" s="109" t="s">
        <v>24</v>
      </c>
      <c r="D7" s="109" t="s">
        <v>24</v>
      </c>
      <c r="E7" s="109" t="s">
        <v>25</v>
      </c>
      <c r="F7" s="109" t="s">
        <v>25</v>
      </c>
      <c r="G7" s="14" t="s">
        <v>87</v>
      </c>
      <c r="H7" s="14" t="s">
        <v>86</v>
      </c>
      <c r="I7" s="14">
        <f>SUMIF(Mercado_Receita!$T$2:$T$2578,"44136B1Energia horáriaResidencialResidencialNão se aplicaNão se aplicaPonta",Mercado_Receita!$N$2:$N$2578)</f>
        <v>-1.6570000000000007</v>
      </c>
      <c r="J7" s="14">
        <f>SUMIF(Mercado_Receita!$T$2:$T$2578,"44166B1Energia horáriaResidencialResidencialNão se aplicaNão se aplicaPonta",Mercado_Receita!$N$2:$N$2578)</f>
        <v>-3.3060000000000005</v>
      </c>
      <c r="K7" s="14">
        <f>SUMIF(Mercado_Receita!$T$2:$T$2578,"44197B1Energia horáriaResidencialResidencialNão se aplicaNão se aplicaPonta",Mercado_Receita!$N$2:$N$2578)</f>
        <v>3.4490000000000003</v>
      </c>
      <c r="L7" s="14">
        <f>SUMIF(Mercado_Receita!$T$2:$T$2578,"44228B1Energia horáriaResidencialResidencialNão se aplicaNão se aplicaPonta",Mercado_Receita!$N$2:$N$2578)</f>
        <v>3.093</v>
      </c>
      <c r="M7" s="14">
        <f>SUMIF(Mercado_Receita!$T$2:$T$2578,"44256B1Energia horáriaResidencialResidencialNão se aplicaNão se aplicaPonta",Mercado_Receita!$N$2:$N$2578)</f>
        <v>3.5100000000000002</v>
      </c>
      <c r="N7" s="14">
        <f>SUMIF(Mercado_Receita!$T$2:$T$2578,"44287B1Energia horáriaResidencialResidencialNão se aplicaNão se aplicaPonta",Mercado_Receita!$N$2:$N$2578)</f>
        <v>3.91</v>
      </c>
      <c r="O7" s="14">
        <f>SUMIF(Mercado_Receita!$T$2:$T$2578,"44317B1Energia horáriaResidencialResidencialNão se aplicaNão se aplicaPonta",Mercado_Receita!$N$2:$N$2578)</f>
        <v>3.6560000000000001</v>
      </c>
      <c r="P7" s="14">
        <f>SUMIF(Mercado_Receita!$T$2:$T$2578,"44348B1Energia horáriaResidencialResidencialNão se aplicaNão se aplicaPonta",Mercado_Receita!$N$2:$N$2578)</f>
        <v>4.2200000000000006</v>
      </c>
      <c r="Q7" s="14">
        <f>SUMIF(Mercado_Receita!$T$2:$T$2578,"44378B1Energia horáriaResidencialResidencialNão se aplicaNão se aplicaPonta",Mercado_Receita!$N$2:$N$2578)</f>
        <v>3.8340000000000001</v>
      </c>
      <c r="R7" s="14">
        <f>SUMIF(Mercado_Receita!$T$2:$T$2578,"44409B1Energia horáriaResidencialResidencialNão se aplicaNão se aplicaPonta",Mercado_Receita!$N$2:$N$2578)</f>
        <v>5.0149999999999997</v>
      </c>
      <c r="S7" s="14">
        <f>SUMIF(Mercado_Receita!$T$2:$T$2578,"44440B1Energia horáriaResidencialResidencialNão se aplicaNão se aplicaPonta",Mercado_Receita!$N$2:$N$2578)</f>
        <v>2.9990000000000006</v>
      </c>
      <c r="T7" s="14">
        <f>SUMIF(Mercado_Receita!$T$2:$T$2578,"44470B1Energia horáriaResidencialResidencialNão se aplicaNão se aplicaPonta",Mercado_Receita!$N$2:$N$2578)</f>
        <v>2.9990000000000006</v>
      </c>
      <c r="U7" s="14">
        <f t="shared" si="0"/>
        <v>31.722000000000001</v>
      </c>
      <c r="V7" s="14"/>
      <c r="W7" s="14"/>
    </row>
    <row r="8" spans="1:30" ht="11.25" customHeight="1" x14ac:dyDescent="0.25">
      <c r="A8" s="110"/>
      <c r="B8" s="110"/>
      <c r="C8" s="110"/>
      <c r="D8" s="110"/>
      <c r="E8" s="110"/>
      <c r="F8" s="110"/>
      <c r="G8" s="14" t="s">
        <v>98</v>
      </c>
      <c r="H8" s="14" t="s">
        <v>86</v>
      </c>
      <c r="I8" s="14">
        <f>SUMIF(Mercado_Receita!$T$2:$T$2578,"44136B1Energia horáriaResidencialResidencialNão se aplicaNão se aplicaIntermediário",Mercado_Receita!$N$2:$N$2578)</f>
        <v>2.335</v>
      </c>
      <c r="J8" s="14">
        <f>SUMIF(Mercado_Receita!$T$2:$T$2578,"44166B1Energia horáriaResidencialResidencialNão se aplicaNão se aplicaIntermediário",Mercado_Receita!$N$2:$N$2578)</f>
        <v>2.3319999999999999</v>
      </c>
      <c r="K8" s="14">
        <f>SUMIF(Mercado_Receita!$T$2:$T$2578,"44197B1Energia horáriaResidencialResidencialNão se aplicaNão se aplicaIntermediário",Mercado_Receita!$N$2:$N$2578)</f>
        <v>2.3039999999999998</v>
      </c>
      <c r="L8" s="14">
        <f>SUMIF(Mercado_Receita!$T$2:$T$2578,"44228B1Energia horáriaResidencialResidencialNão se aplicaNão se aplicaIntermediário",Mercado_Receita!$N$2:$N$2578)</f>
        <v>2.2400000000000002</v>
      </c>
      <c r="M8" s="14">
        <f>SUMIF(Mercado_Receita!$T$2:$T$2578,"44256B1Energia horáriaResidencialResidencialNão se aplicaNão se aplicaIntermediário",Mercado_Receita!$N$2:$N$2578)</f>
        <v>2.3980000000000001</v>
      </c>
      <c r="N8" s="14">
        <f>SUMIF(Mercado_Receita!$T$2:$T$2578,"44287B1Energia horáriaResidencialResidencialNão se aplicaNão se aplicaIntermediário",Mercado_Receita!$N$2:$N$2578)</f>
        <v>3.1509999999999998</v>
      </c>
      <c r="O8" s="14">
        <f>SUMIF(Mercado_Receita!$T$2:$T$2578,"44317B1Energia horáriaResidencialResidencialNão se aplicaNão se aplicaIntermediário",Mercado_Receita!$N$2:$N$2578)</f>
        <v>2.34</v>
      </c>
      <c r="P8" s="14">
        <f>SUMIF(Mercado_Receita!$T$2:$T$2578,"44348B1Energia horáriaResidencialResidencialNão se aplicaNão se aplicaIntermediário",Mercado_Receita!$N$2:$N$2578)</f>
        <v>2.9040000000000004</v>
      </c>
      <c r="Q8" s="14">
        <f>SUMIF(Mercado_Receita!$T$2:$T$2578,"44378B1Energia horáriaResidencialResidencialNão se aplicaNão se aplicaIntermediário",Mercado_Receita!$N$2:$N$2578)</f>
        <v>2.694</v>
      </c>
      <c r="R8" s="14">
        <f>SUMIF(Mercado_Receita!$T$2:$T$2578,"44409B1Energia horáriaResidencialResidencialNão se aplicaNão se aplicaIntermediário",Mercado_Receita!$N$2:$N$2578)</f>
        <v>2.81</v>
      </c>
      <c r="S8" s="14">
        <f>SUMIF(Mercado_Receita!$T$2:$T$2578,"44440B1Energia horáriaResidencialResidencialNão se aplicaNão se aplicaIntermediário",Mercado_Receita!$N$2:$N$2578)</f>
        <v>2.8010000000000002</v>
      </c>
      <c r="T8" s="14">
        <f>SUMIF(Mercado_Receita!$T$2:$T$2578,"44470B1Energia horáriaResidencialResidencialNão se aplicaNão se aplicaIntermediário",Mercado_Receita!$N$2:$N$2578)</f>
        <v>2.8010000000000002</v>
      </c>
      <c r="U8" s="14">
        <f t="shared" si="0"/>
        <v>31.11</v>
      </c>
      <c r="V8" s="14"/>
      <c r="W8" s="14"/>
    </row>
    <row r="9" spans="1:30" ht="11.25" customHeight="1" x14ac:dyDescent="0.25">
      <c r="A9" s="110"/>
      <c r="B9" s="110"/>
      <c r="C9" s="110"/>
      <c r="D9" s="110"/>
      <c r="E9" s="110"/>
      <c r="F9" s="110"/>
      <c r="G9" s="14" t="s">
        <v>88</v>
      </c>
      <c r="H9" s="14" t="s">
        <v>86</v>
      </c>
      <c r="I9" s="14">
        <f>SUMIF(Mercado_Receita!$T$2:$T$2578,"44136B1Energia horáriaResidencialResidencialNão se aplicaNão se aplicaFora ponta",Mercado_Receita!$N$2:$N$2578)</f>
        <v>32.582000000000001</v>
      </c>
      <c r="J9" s="14">
        <f>SUMIF(Mercado_Receita!$T$2:$T$2578,"44166B1Energia horáriaResidencialResidencialNão se aplicaNão se aplicaFora ponta",Mercado_Receita!$N$2:$N$2578)</f>
        <v>39.43</v>
      </c>
      <c r="K9" s="14">
        <f>SUMIF(Mercado_Receita!$T$2:$T$2578,"44197B1Energia horáriaResidencialResidencialNão se aplicaNão se aplicaFora ponta",Mercado_Receita!$N$2:$N$2578)</f>
        <v>35.302000000000007</v>
      </c>
      <c r="L9" s="14">
        <f>SUMIF(Mercado_Receita!$T$2:$T$2578,"44228B1Energia horáriaResidencialResidencialNão se aplicaNão se aplicaFora ponta",Mercado_Receita!$N$2:$N$2578)</f>
        <v>31.453999999999997</v>
      </c>
      <c r="M9" s="14">
        <f>SUMIF(Mercado_Receita!$T$2:$T$2578,"44256B1Energia horáriaResidencialResidencialNão se aplicaNão se aplicaFora ponta",Mercado_Receita!$N$2:$N$2578)</f>
        <v>35.582999999999998</v>
      </c>
      <c r="N9" s="14">
        <f>SUMIF(Mercado_Receita!$T$2:$T$2578,"44287B1Energia horáriaResidencialResidencialNão se aplicaNão se aplicaFora ponta",Mercado_Receita!$N$2:$N$2578)</f>
        <v>40.963000000000008</v>
      </c>
      <c r="O9" s="14">
        <f>SUMIF(Mercado_Receita!$T$2:$T$2578,"44317B1Energia horáriaResidencialResidencialNão se aplicaNão se aplicaFora ponta",Mercado_Receita!$N$2:$N$2578)</f>
        <v>39.178000000000004</v>
      </c>
      <c r="P9" s="14">
        <f>SUMIF(Mercado_Receita!$T$2:$T$2578,"44348B1Energia horáriaResidencialResidencialNão se aplicaNão se aplicaFora ponta",Mercado_Receita!$N$2:$N$2578)</f>
        <v>44.066000000000003</v>
      </c>
      <c r="Q9" s="14">
        <f>SUMIF(Mercado_Receita!$T$2:$T$2578,"44378B1Energia horáriaResidencialResidencialNão se aplicaNão se aplicaFora ponta",Mercado_Receita!$N$2:$N$2578)</f>
        <v>41.753</v>
      </c>
      <c r="R9" s="14">
        <f>SUMIF(Mercado_Receita!$T$2:$T$2578,"44409B1Energia horáriaResidencialResidencialNão se aplicaNão se aplicaFora ponta",Mercado_Receita!$N$2:$N$2578)</f>
        <v>43.991000000000007</v>
      </c>
      <c r="S9" s="14">
        <f>SUMIF(Mercado_Receita!$T$2:$T$2578,"44440B1Energia horáriaResidencialResidencialNão se aplicaNão se aplicaFora ponta",Mercado_Receita!$N$2:$N$2578)</f>
        <v>43.864000000000004</v>
      </c>
      <c r="T9" s="14">
        <f>SUMIF(Mercado_Receita!$T$2:$T$2578,"44470B1Energia horáriaResidencialResidencialNão se aplicaNão se aplicaFora ponta",Mercado_Receita!$N$2:$N$2578)</f>
        <v>43.864000000000004</v>
      </c>
      <c r="U9" s="14">
        <f t="shared" si="0"/>
        <v>472.03</v>
      </c>
      <c r="V9" s="14"/>
      <c r="W9" s="14"/>
    </row>
    <row r="10" spans="1:30" ht="11.25" customHeight="1" x14ac:dyDescent="0.25">
      <c r="A10" s="110"/>
      <c r="B10" s="109" t="s">
        <v>94</v>
      </c>
      <c r="C10" s="109" t="s">
        <v>24</v>
      </c>
      <c r="D10" s="13" t="s">
        <v>24</v>
      </c>
      <c r="E10" s="13" t="s">
        <v>25</v>
      </c>
      <c r="F10" s="13" t="s">
        <v>25</v>
      </c>
      <c r="G10" s="14" t="s">
        <v>92</v>
      </c>
      <c r="H10" s="14" t="s">
        <v>86</v>
      </c>
      <c r="I10" s="14">
        <f>SUMIF(Mercado_Receita!$T$2:$T$2578,"44136B1Energia convencionalResidencialResidencialNão se aplicaNão se aplicaNão se aplica",Mercado_Receita!$N$2:$N$2578)</f>
        <v>159526.70799999998</v>
      </c>
      <c r="J10" s="14">
        <f>SUMIF(Mercado_Receita!$T$2:$T$2578,"44166B1Energia convencionalResidencialResidencialNão se aplicaNão se aplicaNão se aplica",Mercado_Receita!$N$2:$N$2578)</f>
        <v>144337.48200000002</v>
      </c>
      <c r="K10" s="14">
        <f>SUMIF(Mercado_Receita!$T$2:$T$2578,"44197B1Energia convencionalResidencialResidencialNão se aplicaNão se aplicaNão se aplica",Mercado_Receita!$N$2:$N$2578)</f>
        <v>133398.55799999999</v>
      </c>
      <c r="L10" s="14">
        <f>SUMIF(Mercado_Receita!$T$2:$T$2578,"44228B1Energia convencionalResidencialResidencialNão se aplicaNão se aplicaNão se aplica",Mercado_Receita!$N$2:$N$2578)</f>
        <v>120134.15299999999</v>
      </c>
      <c r="M10" s="14">
        <f>SUMIF(Mercado_Receita!$T$2:$T$2578,"44256B1Energia convencionalResidencialResidencialNão se aplicaNão se aplicaNão se aplica",Mercado_Receita!$N$2:$N$2578)</f>
        <v>124777.99100000001</v>
      </c>
      <c r="N10" s="14">
        <f>SUMIF(Mercado_Receita!$T$2:$T$2578,"44287B1Energia convencionalResidencialResidencialNão se aplicaNão se aplicaNão se aplica",Mercado_Receita!$N$2:$N$2578)</f>
        <v>139988.09299999999</v>
      </c>
      <c r="O10" s="14">
        <f>SUMIF(Mercado_Receita!$T$2:$T$2578,"44317B1Energia convencionalResidencialResidencialNão se aplicaNão se aplicaNão se aplica",Mercado_Receita!$N$2:$N$2578)</f>
        <v>139881.785</v>
      </c>
      <c r="P10" s="14">
        <f>SUMIF(Mercado_Receita!$T$2:$T$2578,"44348B1Energia convencionalResidencialResidencialNão se aplicaNão se aplicaNão se aplica",Mercado_Receita!$N$2:$N$2578)</f>
        <v>148825.91899999999</v>
      </c>
      <c r="Q10" s="14">
        <f>SUMIF(Mercado_Receita!$T$2:$T$2578,"44378B1Energia convencionalResidencialResidencialNão se aplicaNão se aplicaNão se aplica",Mercado_Receita!$N$2:$N$2578)</f>
        <v>140334.264</v>
      </c>
      <c r="R10" s="14">
        <f>SUMIF(Mercado_Receita!$T$2:$T$2578,"44409B1Energia convencionalResidencialResidencialNão se aplicaNão se aplicaNão se aplica",Mercado_Receita!$N$2:$N$2578)</f>
        <v>153964.77799999999</v>
      </c>
      <c r="S10" s="14">
        <f>SUMIF(Mercado_Receita!$T$2:$T$2578,"44440B1Energia convencionalResidencialResidencialNão se aplicaNão se aplicaNão se aplica",Mercado_Receita!$N$2:$N$2578)</f>
        <v>170982.82500000004</v>
      </c>
      <c r="T10" s="14">
        <f>SUMIF(Mercado_Receita!$T$2:$T$2578,"44470B1Energia convencionalResidencialResidencialNão se aplicaNão se aplicaNão se aplica",Mercado_Receita!$N$2:$N$2578)</f>
        <v>170982.82500000004</v>
      </c>
      <c r="U10" s="14">
        <f t="shared" si="0"/>
        <v>1747135.3810000001</v>
      </c>
      <c r="V10" s="14"/>
      <c r="W10" s="14"/>
    </row>
    <row r="11" spans="1:30" ht="11.25" customHeight="1" x14ac:dyDescent="0.25">
      <c r="A11" s="110"/>
      <c r="B11" s="110"/>
      <c r="C11" s="110"/>
      <c r="D11" s="13" t="s">
        <v>31</v>
      </c>
      <c r="E11" s="13" t="s">
        <v>25</v>
      </c>
      <c r="F11" s="13" t="s">
        <v>25</v>
      </c>
      <c r="G11" s="14" t="s">
        <v>92</v>
      </c>
      <c r="H11" s="14" t="s">
        <v>86</v>
      </c>
      <c r="I11" s="14">
        <f>SUMIF(Mercado_Receita!$T$2:$T$2578,"44136B1Energia convencionalResidencialResidencial baixa renda – faixa 01Não se aplicaNão se aplicaNão se aplica",Mercado_Receita!$N$2:$N$2578)</f>
        <v>5864.9930000000004</v>
      </c>
      <c r="J11" s="14">
        <f>SUMIF(Mercado_Receita!$T$2:$T$2578,"44166B1Energia convencionalResidencialResidencial baixa renda – faixa 01Não se aplicaNão se aplicaNão se aplica",Mercado_Receita!$N$2:$N$2578)</f>
        <v>6413.8609999999999</v>
      </c>
      <c r="K11" s="14">
        <f>SUMIF(Mercado_Receita!$T$2:$T$2578,"44197B1Energia convencionalResidencialResidencial baixa renda – faixa 01Não se aplicaNão se aplicaNão se aplica",Mercado_Receita!$N$2:$N$2578)</f>
        <v>6547.7309999999998</v>
      </c>
      <c r="L11" s="14">
        <f>SUMIF(Mercado_Receita!$T$2:$T$2578,"44228B1Energia convencionalResidencialResidencial baixa renda – faixa 01Não se aplicaNão se aplicaNão se aplica",Mercado_Receita!$N$2:$N$2578)</f>
        <v>6529.3490000000002</v>
      </c>
      <c r="M11" s="14">
        <f>SUMIF(Mercado_Receita!$T$2:$T$2578,"44256B1Energia convencionalResidencialResidencial baixa renda – faixa 01Não se aplicaNão se aplicaNão se aplica",Mercado_Receita!$N$2:$N$2578)</f>
        <v>6667.7069999999994</v>
      </c>
      <c r="N11" s="14">
        <f>SUMIF(Mercado_Receita!$T$2:$T$2578,"44287B1Energia convencionalResidencialResidencial baixa renda – faixa 01Não se aplicaNão se aplicaNão se aplica",Mercado_Receita!$N$2:$N$2578)</f>
        <v>5766.5</v>
      </c>
      <c r="O11" s="14">
        <f>SUMIF(Mercado_Receita!$T$2:$T$2578,"44317B1Energia convencionalResidencialResidencial baixa renda – faixa 01Não se aplicaNão se aplicaNão se aplica",Mercado_Receita!$N$2:$N$2578)</f>
        <v>5764.8740000000007</v>
      </c>
      <c r="P11" s="14">
        <f>SUMIF(Mercado_Receita!$T$2:$T$2578,"44348B1Energia convencionalResidencialResidencial baixa renda – faixa 01Não se aplicaNão se aplicaNão se aplica",Mercado_Receita!$N$2:$N$2578)</f>
        <v>5825.8940000000002</v>
      </c>
      <c r="Q11" s="14">
        <f>SUMIF(Mercado_Receita!$T$2:$T$2578,"44378B1Energia convencionalResidencialResidencial baixa renda – faixa 01Não se aplicaNão se aplicaNão se aplica",Mercado_Receita!$N$2:$N$2578)</f>
        <v>5797.5879999999988</v>
      </c>
      <c r="R11" s="14">
        <f>SUMIF(Mercado_Receita!$T$2:$T$2578,"44409B1Energia convencionalResidencialResidencial baixa renda – faixa 01Não se aplicaNão se aplicaNão se aplica",Mercado_Receita!$N$2:$N$2578)</f>
        <v>5819.9110000000001</v>
      </c>
      <c r="S11" s="14">
        <f>SUMIF(Mercado_Receita!$T$2:$T$2578,"44440B1Energia convencionalResidencialResidencial baixa renda – faixa 01Não se aplicaNão se aplicaNão se aplica",Mercado_Receita!$N$2:$N$2578)</f>
        <v>5831.74</v>
      </c>
      <c r="T11" s="14">
        <f>SUMIF(Mercado_Receita!$T$2:$T$2578,"44470B1Energia convencionalResidencialResidencial baixa renda – faixa 01Não se aplicaNão se aplicaNão se aplica",Mercado_Receita!$N$2:$N$2578)</f>
        <v>5831.74</v>
      </c>
      <c r="U11" s="14">
        <f t="shared" si="0"/>
        <v>72661.888000000006</v>
      </c>
      <c r="V11" s="14"/>
      <c r="W11" s="14"/>
    </row>
    <row r="12" spans="1:30" ht="11.25" customHeight="1" x14ac:dyDescent="0.25">
      <c r="A12" s="110"/>
      <c r="B12" s="110"/>
      <c r="C12" s="110"/>
      <c r="D12" s="13" t="s">
        <v>32</v>
      </c>
      <c r="E12" s="13" t="s">
        <v>25</v>
      </c>
      <c r="F12" s="13" t="s">
        <v>25</v>
      </c>
      <c r="G12" s="14" t="s">
        <v>92</v>
      </c>
      <c r="H12" s="14" t="s">
        <v>86</v>
      </c>
      <c r="I12" s="14">
        <f>SUMIF(Mercado_Receita!$T$2:$T$2578,"44136B1Energia convencionalResidencialResidencial baixa renda – faixa 02Não se aplicaNão se aplicaNão se aplica",Mercado_Receita!$N$2:$N$2578)</f>
        <v>8946.5320000000011</v>
      </c>
      <c r="J12" s="14">
        <f>SUMIF(Mercado_Receita!$T$2:$T$2578,"44166B1Energia convencionalResidencialResidencial baixa renda – faixa 02Não se aplicaNão se aplicaNão se aplica",Mercado_Receita!$N$2:$N$2578)</f>
        <v>9853.3490000000002</v>
      </c>
      <c r="K12" s="14">
        <f>SUMIF(Mercado_Receita!$T$2:$T$2578,"44197B1Energia convencionalResidencialResidencial baixa renda – faixa 02Não se aplicaNão se aplicaNão se aplica",Mercado_Receita!$N$2:$N$2578)</f>
        <v>9918.3719999999994</v>
      </c>
      <c r="L12" s="14">
        <f>SUMIF(Mercado_Receita!$T$2:$T$2578,"44228B1Energia convencionalResidencialResidencial baixa renda – faixa 02Não se aplicaNão se aplicaNão se aplica",Mercado_Receita!$N$2:$N$2578)</f>
        <v>9493.1270000000004</v>
      </c>
      <c r="M12" s="14">
        <f>SUMIF(Mercado_Receita!$T$2:$T$2578,"44256B1Energia convencionalResidencialResidencial baixa renda – faixa 02Não se aplicaNão se aplicaNão se aplica",Mercado_Receita!$N$2:$N$2578)</f>
        <v>9625.8209999999981</v>
      </c>
      <c r="N12" s="14">
        <f>SUMIF(Mercado_Receita!$T$2:$T$2578,"44287B1Energia convencionalResidencialResidencial baixa renda – faixa 02Não se aplicaNão se aplicaNão se aplica",Mercado_Receita!$N$2:$N$2578)</f>
        <v>9647.9609999999993</v>
      </c>
      <c r="O12" s="14">
        <f>SUMIF(Mercado_Receita!$T$2:$T$2578,"44317B1Energia convencionalResidencialResidencial baixa renda – faixa 02Não se aplicaNão se aplicaNão se aplica",Mercado_Receita!$N$2:$N$2578)</f>
        <v>9658.8639999999996</v>
      </c>
      <c r="P12" s="14">
        <f>SUMIF(Mercado_Receita!$T$2:$T$2578,"44348B1Energia convencionalResidencialResidencial baixa renda – faixa 02Não se aplicaNão se aplicaNão se aplica",Mercado_Receita!$N$2:$N$2578)</f>
        <v>9908.603000000001</v>
      </c>
      <c r="Q12" s="14">
        <f>SUMIF(Mercado_Receita!$T$2:$T$2578,"44378B1Energia convencionalResidencialResidencial baixa renda – faixa 02Não se aplicaNão se aplicaNão se aplica",Mercado_Receita!$N$2:$N$2578)</f>
        <v>9634.616</v>
      </c>
      <c r="R12" s="14">
        <f>SUMIF(Mercado_Receita!$T$2:$T$2578,"44409B1Energia convencionalResidencialResidencial baixa renda – faixa 02Não se aplicaNão se aplicaNão se aplica",Mercado_Receita!$N$2:$N$2578)</f>
        <v>9874.0789999999997</v>
      </c>
      <c r="S12" s="14">
        <f>SUMIF(Mercado_Receita!$T$2:$T$2578,"44440B1Energia convencionalResidencialResidencial baixa renda – faixa 02Não se aplicaNão se aplicaNão se aplica",Mercado_Receita!$N$2:$N$2578)</f>
        <v>10012.885</v>
      </c>
      <c r="T12" s="14">
        <f>SUMIF(Mercado_Receita!$T$2:$T$2578,"44470B1Energia convencionalResidencialResidencial baixa renda – faixa 02Não se aplicaNão se aplicaNão se aplica",Mercado_Receita!$N$2:$N$2578)</f>
        <v>10012.885</v>
      </c>
      <c r="U12" s="14">
        <f t="shared" si="0"/>
        <v>116587.09399999998</v>
      </c>
      <c r="V12" s="14"/>
      <c r="W12" s="14"/>
    </row>
    <row r="13" spans="1:30" ht="11.25" customHeight="1" x14ac:dyDescent="0.25">
      <c r="A13" s="110"/>
      <c r="B13" s="110"/>
      <c r="C13" s="110"/>
      <c r="D13" s="13" t="s">
        <v>33</v>
      </c>
      <c r="E13" s="13" t="s">
        <v>25</v>
      </c>
      <c r="F13" s="13" t="s">
        <v>25</v>
      </c>
      <c r="G13" s="14" t="s">
        <v>92</v>
      </c>
      <c r="H13" s="14" t="s">
        <v>86</v>
      </c>
      <c r="I13" s="14">
        <f>SUMIF(Mercado_Receita!$T$2:$T$2578,"44136B1Energia convencionalResidencialResidencial baixa renda – faixa 03Não se aplicaNão se aplicaNão se aplica",Mercado_Receita!$N$2:$N$2578)</f>
        <v>8011.5289999999995</v>
      </c>
      <c r="J13" s="14">
        <f>SUMIF(Mercado_Receita!$T$2:$T$2578,"44166B1Energia convencionalResidencialResidencial baixa renda – faixa 03Não se aplicaNão se aplicaNão se aplica",Mercado_Receita!$N$2:$N$2578)</f>
        <v>8624.0469999999987</v>
      </c>
      <c r="K13" s="14">
        <f>SUMIF(Mercado_Receita!$T$2:$T$2578,"44197B1Energia convencionalResidencialResidencial baixa renda – faixa 03Não se aplicaNão se aplicaNão se aplica",Mercado_Receita!$N$2:$N$2578)</f>
        <v>8565.8050000000003</v>
      </c>
      <c r="L13" s="14">
        <f>SUMIF(Mercado_Receita!$T$2:$T$2578,"44228B1Energia convencionalResidencialResidencial baixa renda – faixa 03Não se aplicaNão se aplicaNão se aplica",Mercado_Receita!$N$2:$N$2578)</f>
        <v>7600.2560000000003</v>
      </c>
      <c r="M13" s="14">
        <f>SUMIF(Mercado_Receita!$T$2:$T$2578,"44256B1Energia convencionalResidencialResidencial baixa renda – faixa 03Não se aplicaNão se aplicaNão se aplica",Mercado_Receita!$N$2:$N$2578)</f>
        <v>7876.7169999999996</v>
      </c>
      <c r="N13" s="14">
        <f>SUMIF(Mercado_Receita!$T$2:$T$2578,"44287B1Energia convencionalResidencialResidencial baixa renda – faixa 03Não se aplicaNão se aplicaNão se aplica",Mercado_Receita!$N$2:$N$2578)</f>
        <v>8575.905999999999</v>
      </c>
      <c r="O13" s="14">
        <f>SUMIF(Mercado_Receita!$T$2:$T$2578,"44317B1Energia convencionalResidencialResidencial baixa renda – faixa 03Não se aplicaNão se aplicaNão se aplica",Mercado_Receita!$N$2:$N$2578)</f>
        <v>8491.17</v>
      </c>
      <c r="P13" s="14">
        <f>SUMIF(Mercado_Receita!$T$2:$T$2578,"44348B1Energia convencionalResidencialResidencial baixa renda – faixa 03Não se aplicaNão se aplicaNão se aplica",Mercado_Receita!$N$2:$N$2578)</f>
        <v>9139.0079999999998</v>
      </c>
      <c r="Q13" s="14">
        <f>SUMIF(Mercado_Receita!$T$2:$T$2578,"44378B1Energia convencionalResidencialResidencial baixa renda – faixa 03Não se aplicaNão se aplicaNão se aplica",Mercado_Receita!$N$2:$N$2578)</f>
        <v>8318.3280000000013</v>
      </c>
      <c r="R13" s="14">
        <f>SUMIF(Mercado_Receita!$T$2:$T$2578,"44409B1Energia convencionalResidencialResidencial baixa renda – faixa 03Não se aplicaNão se aplicaNão se aplica",Mercado_Receita!$N$2:$N$2578)</f>
        <v>9063.0550000000003</v>
      </c>
      <c r="S13" s="14">
        <f>SUMIF(Mercado_Receita!$T$2:$T$2578,"44440B1Energia convencionalResidencialResidencial baixa renda – faixa 03Não se aplicaNão se aplicaNão se aplica",Mercado_Receita!$N$2:$N$2578)</f>
        <v>9471.3269999999993</v>
      </c>
      <c r="T13" s="14">
        <f>SUMIF(Mercado_Receita!$T$2:$T$2578,"44470B1Energia convencionalResidencialResidencial baixa renda – faixa 03Não se aplicaNão se aplicaNão se aplica",Mercado_Receita!$N$2:$N$2578)</f>
        <v>9471.3269999999993</v>
      </c>
      <c r="U13" s="14">
        <f t="shared" si="0"/>
        <v>103208.47500000001</v>
      </c>
      <c r="V13" s="14"/>
      <c r="W13" s="14"/>
    </row>
    <row r="14" spans="1:30" ht="11.25" customHeight="1" x14ac:dyDescent="0.25">
      <c r="A14" s="110"/>
      <c r="B14" s="110"/>
      <c r="C14" s="110"/>
      <c r="D14" s="13" t="s">
        <v>34</v>
      </c>
      <c r="E14" s="13" t="s">
        <v>25</v>
      </c>
      <c r="F14" s="13" t="s">
        <v>25</v>
      </c>
      <c r="G14" s="14" t="s">
        <v>92</v>
      </c>
      <c r="H14" s="14" t="s">
        <v>86</v>
      </c>
      <c r="I14" s="14">
        <f>SUMIF(Mercado_Receita!$T$2:$T$2578,"44136B1Energia convencionalResidencialResidencial baixa renda – faixa 04Não se aplicaNão se aplicaNão se aplica",Mercado_Receita!$N$2:$N$2578)</f>
        <v>6179.3600000000006</v>
      </c>
      <c r="J14" s="14">
        <f>SUMIF(Mercado_Receita!$T$2:$T$2578,"44166B1Energia convencionalResidencialResidencial baixa renda – faixa 04Não se aplicaNão se aplicaNão se aplica",Mercado_Receita!$N$2:$N$2578)</f>
        <v>6148.9340000000002</v>
      </c>
      <c r="K14" s="14">
        <f>SUMIF(Mercado_Receita!$T$2:$T$2578,"44197B1Energia convencionalResidencialResidencial baixa renda – faixa 04Não se aplicaNão se aplicaNão se aplica",Mercado_Receita!$N$2:$N$2578)</f>
        <v>6144.2800000000007</v>
      </c>
      <c r="L14" s="14">
        <f>SUMIF(Mercado_Receita!$T$2:$T$2578,"44228B1Energia convencionalResidencialResidencial baixa renda – faixa 04Não se aplicaNão se aplicaNão se aplica",Mercado_Receita!$N$2:$N$2578)</f>
        <v>4779.8590000000004</v>
      </c>
      <c r="M14" s="14">
        <f>SUMIF(Mercado_Receita!$T$2:$T$2578,"44256B1Energia convencionalResidencialResidencial baixa renda – faixa 04Não se aplicaNão se aplicaNão se aplica",Mercado_Receita!$N$2:$N$2578)</f>
        <v>5470.1639999999998</v>
      </c>
      <c r="N14" s="14">
        <f>SUMIF(Mercado_Receita!$T$2:$T$2578,"44287B1Energia convencionalResidencialResidencial baixa renda – faixa 04Não se aplicaNão se aplicaNão se aplica",Mercado_Receita!$N$2:$N$2578)</f>
        <v>6219.2619999999997</v>
      </c>
      <c r="O14" s="14">
        <f>SUMIF(Mercado_Receita!$T$2:$T$2578,"44317B1Energia convencionalResidencialResidencial baixa renda – faixa 04Não se aplicaNão se aplicaNão se aplica",Mercado_Receita!$N$2:$N$2578)</f>
        <v>5949.8059999999996</v>
      </c>
      <c r="P14" s="14">
        <f>SUMIF(Mercado_Receita!$T$2:$T$2578,"44348B1Energia convencionalResidencialResidencial baixa renda – faixa 04Não se aplicaNão se aplicaNão se aplica",Mercado_Receita!$N$2:$N$2578)</f>
        <v>7269.402000000001</v>
      </c>
      <c r="Q14" s="14">
        <f>SUMIF(Mercado_Receita!$T$2:$T$2578,"44378B1Energia convencionalResidencialResidencial baixa renda – faixa 04Não se aplicaNão se aplicaNão se aplica",Mercado_Receita!$N$2:$N$2578)</f>
        <v>5766.8940000000002</v>
      </c>
      <c r="R14" s="14">
        <f>SUMIF(Mercado_Receita!$T$2:$T$2578,"44409B1Energia convencionalResidencialResidencial baixa renda – faixa 04Não se aplicaNão se aplicaNão se aplica",Mercado_Receita!$N$2:$N$2578)</f>
        <v>7601.5329999999994</v>
      </c>
      <c r="S14" s="14">
        <f>SUMIF(Mercado_Receita!$T$2:$T$2578,"44440B1Energia convencionalResidencialResidencial baixa renda – faixa 04Não se aplicaNão se aplicaNão se aplica",Mercado_Receita!$N$2:$N$2578)</f>
        <v>7980.6500000000005</v>
      </c>
      <c r="T14" s="14">
        <f>SUMIF(Mercado_Receita!$T$2:$T$2578,"44470B1Energia convencionalResidencialResidencial baixa renda – faixa 04Não se aplicaNão se aplicaNão se aplica",Mercado_Receita!$N$2:$N$2578)</f>
        <v>7980.6500000000005</v>
      </c>
      <c r="U14" s="14">
        <f t="shared" si="0"/>
        <v>77490.793999999994</v>
      </c>
      <c r="V14" s="14"/>
      <c r="W14" s="14"/>
    </row>
    <row r="15" spans="1:30" ht="11.25" customHeight="1" x14ac:dyDescent="0.25">
      <c r="A15" s="110"/>
      <c r="B15" s="109" t="s">
        <v>99</v>
      </c>
      <c r="C15" s="109" t="s">
        <v>24</v>
      </c>
      <c r="D15" s="13" t="s">
        <v>24</v>
      </c>
      <c r="E15" s="13" t="s">
        <v>25</v>
      </c>
      <c r="F15" s="13" t="s">
        <v>25</v>
      </c>
      <c r="G15" s="14" t="s">
        <v>92</v>
      </c>
      <c r="H15" s="14" t="s">
        <v>86</v>
      </c>
      <c r="I15" s="14">
        <f>SUMIF(Mercado_Receita!$T$2:$T$2578,"44136B1Energia convencional pré-pagamentoResidencialResidencialNão se aplicaNão se aplicaNão se aplica",Mercado_Receita!$N$2:$N$2578)</f>
        <v>0</v>
      </c>
      <c r="J15" s="14">
        <f>SUMIF(Mercado_Receita!$T$2:$T$2578,"44166B1Energia convencional pré-pagamentoResidencialResidencialNão se aplicaNão se aplicaNão se aplica",Mercado_Receita!$N$2:$N$2578)</f>
        <v>0</v>
      </c>
      <c r="K15" s="14">
        <f>SUMIF(Mercado_Receita!$T$2:$T$2578,"44197B1Energia convencional pré-pagamentoResidencialResidencialNão se aplicaNão se aplicaNão se aplica",Mercado_Receita!$N$2:$N$2578)</f>
        <v>0</v>
      </c>
      <c r="L15" s="14">
        <f>SUMIF(Mercado_Receita!$T$2:$T$2578,"44228B1Energia convencional pré-pagamentoResidencialResidencialNão se aplicaNão se aplicaNão se aplica",Mercado_Receita!$N$2:$N$2578)</f>
        <v>0</v>
      </c>
      <c r="M15" s="14">
        <f>SUMIF(Mercado_Receita!$T$2:$T$2578,"44256B1Energia convencional pré-pagamentoResidencialResidencialNão se aplicaNão se aplicaNão se aplica",Mercado_Receita!$N$2:$N$2578)</f>
        <v>0</v>
      </c>
      <c r="N15" s="14">
        <f>SUMIF(Mercado_Receita!$T$2:$T$2578,"44287B1Energia convencional pré-pagamentoResidencialResidencialNão se aplicaNão se aplicaNão se aplica",Mercado_Receita!$N$2:$N$2578)</f>
        <v>0</v>
      </c>
      <c r="O15" s="14">
        <f>SUMIF(Mercado_Receita!$T$2:$T$2578,"44317B1Energia convencional pré-pagamentoResidencialResidencialNão se aplicaNão se aplicaNão se aplica",Mercado_Receita!$N$2:$N$2578)</f>
        <v>0</v>
      </c>
      <c r="P15" s="14">
        <f>SUMIF(Mercado_Receita!$T$2:$T$2578,"44348B1Energia convencional pré-pagamentoResidencialResidencialNão se aplicaNão se aplicaNão se aplica",Mercado_Receita!$N$2:$N$2578)</f>
        <v>0</v>
      </c>
      <c r="Q15" s="14">
        <f>SUMIF(Mercado_Receita!$T$2:$T$2578,"44378B1Energia convencional pré-pagamentoResidencialResidencialNão se aplicaNão se aplicaNão se aplica",Mercado_Receita!$N$2:$N$2578)</f>
        <v>0</v>
      </c>
      <c r="R15" s="14">
        <f>SUMIF(Mercado_Receita!$T$2:$T$2578,"44409B1Energia convencional pré-pagamentoResidencialResidencialNão se aplicaNão se aplicaNão se aplica",Mercado_Receita!$N$2:$N$2578)</f>
        <v>0</v>
      </c>
      <c r="S15" s="14">
        <f>SUMIF(Mercado_Receita!$T$2:$T$2578,"44440B1Energia convencional pré-pagamentoResidencialResidencialNão se aplicaNão se aplicaNão se aplica",Mercado_Receita!$N$2:$N$2578)</f>
        <v>0</v>
      </c>
      <c r="T15" s="14">
        <f>SUMIF(Mercado_Receita!$T$2:$T$2578,"44470B1Energia convencional pré-pagamentoResidencialResidencialNão se aplicaNão se aplicaNão se aplica",Mercado_Receita!$N$2:$N$2578)</f>
        <v>0</v>
      </c>
      <c r="U15" s="14">
        <f t="shared" si="0"/>
        <v>0</v>
      </c>
      <c r="V15" s="14"/>
      <c r="W15" s="14"/>
    </row>
    <row r="16" spans="1:30" ht="11.25" customHeight="1" x14ac:dyDescent="0.25">
      <c r="A16" s="110"/>
      <c r="B16" s="110"/>
      <c r="C16" s="110"/>
      <c r="D16" s="13" t="s">
        <v>31</v>
      </c>
      <c r="E16" s="13" t="s">
        <v>25</v>
      </c>
      <c r="F16" s="13" t="s">
        <v>25</v>
      </c>
      <c r="G16" s="14" t="s">
        <v>92</v>
      </c>
      <c r="H16" s="14" t="s">
        <v>86</v>
      </c>
      <c r="I16" s="14">
        <f>SUMIF(Mercado_Receita!$T$2:$T$2578,"44136B1Energia convencional pré-pagamentoResidencialResidencial baixa renda – faixa 01Não se aplicaNão se aplicaNão se aplica",Mercado_Receita!$N$2:$N$2578)</f>
        <v>0</v>
      </c>
      <c r="J16" s="14">
        <f>SUMIF(Mercado_Receita!$T$2:$T$2578,"44166B1Energia convencional pré-pagamentoResidencialResidencial baixa renda – faixa 01Não se aplicaNão se aplicaNão se aplica",Mercado_Receita!$N$2:$N$2578)</f>
        <v>0</v>
      </c>
      <c r="K16" s="14">
        <f>SUMIF(Mercado_Receita!$T$2:$T$2578,"44197B1Energia convencional pré-pagamentoResidencialResidencial baixa renda – faixa 01Não se aplicaNão se aplicaNão se aplica",Mercado_Receita!$N$2:$N$2578)</f>
        <v>0</v>
      </c>
      <c r="L16" s="14">
        <f>SUMIF(Mercado_Receita!$T$2:$T$2578,"44228B1Energia convencional pré-pagamentoResidencialResidencial baixa renda – faixa 01Não se aplicaNão se aplicaNão se aplica",Mercado_Receita!$N$2:$N$2578)</f>
        <v>0</v>
      </c>
      <c r="M16" s="14">
        <f>SUMIF(Mercado_Receita!$T$2:$T$2578,"44256B1Energia convencional pré-pagamentoResidencialResidencial baixa renda – faixa 01Não se aplicaNão se aplicaNão se aplica",Mercado_Receita!$N$2:$N$2578)</f>
        <v>0</v>
      </c>
      <c r="N16" s="14">
        <f>SUMIF(Mercado_Receita!$T$2:$T$2578,"44287B1Energia convencional pré-pagamentoResidencialResidencial baixa renda – faixa 01Não se aplicaNão se aplicaNão se aplica",Mercado_Receita!$N$2:$N$2578)</f>
        <v>0</v>
      </c>
      <c r="O16" s="14">
        <f>SUMIF(Mercado_Receita!$T$2:$T$2578,"44317B1Energia convencional pré-pagamentoResidencialResidencial baixa renda – faixa 01Não se aplicaNão se aplicaNão se aplica",Mercado_Receita!$N$2:$N$2578)</f>
        <v>0</v>
      </c>
      <c r="P16" s="14">
        <f>SUMIF(Mercado_Receita!$T$2:$T$2578,"44348B1Energia convencional pré-pagamentoResidencialResidencial baixa renda – faixa 01Não se aplicaNão se aplicaNão se aplica",Mercado_Receita!$N$2:$N$2578)</f>
        <v>0</v>
      </c>
      <c r="Q16" s="14">
        <f>SUMIF(Mercado_Receita!$T$2:$T$2578,"44378B1Energia convencional pré-pagamentoResidencialResidencial baixa renda – faixa 01Não se aplicaNão se aplicaNão se aplica",Mercado_Receita!$N$2:$N$2578)</f>
        <v>0</v>
      </c>
      <c r="R16" s="14">
        <f>SUMIF(Mercado_Receita!$T$2:$T$2578,"44409B1Energia convencional pré-pagamentoResidencialResidencial baixa renda – faixa 01Não se aplicaNão se aplicaNão se aplica",Mercado_Receita!$N$2:$N$2578)</f>
        <v>0</v>
      </c>
      <c r="S16" s="14">
        <f>SUMIF(Mercado_Receita!$T$2:$T$2578,"44440B1Energia convencional pré-pagamentoResidencialResidencial baixa renda – faixa 01Não se aplicaNão se aplicaNão se aplica",Mercado_Receita!$N$2:$N$2578)</f>
        <v>0</v>
      </c>
      <c r="T16" s="14">
        <f>SUMIF(Mercado_Receita!$T$2:$T$2578,"44470B1Energia convencional pré-pagamentoResidencialResidencial baixa renda – faixa 01Não se aplicaNão se aplicaNão se aplica",Mercado_Receita!$N$2:$N$2578)</f>
        <v>0</v>
      </c>
      <c r="U16" s="14">
        <f t="shared" si="0"/>
        <v>0</v>
      </c>
      <c r="V16" s="14"/>
      <c r="W16" s="14"/>
    </row>
    <row r="17" spans="1:23" ht="11.25" customHeight="1" x14ac:dyDescent="0.25">
      <c r="A17" s="110"/>
      <c r="B17" s="110"/>
      <c r="C17" s="110"/>
      <c r="D17" s="13" t="s">
        <v>32</v>
      </c>
      <c r="E17" s="13" t="s">
        <v>25</v>
      </c>
      <c r="F17" s="13" t="s">
        <v>25</v>
      </c>
      <c r="G17" s="14" t="s">
        <v>92</v>
      </c>
      <c r="H17" s="14" t="s">
        <v>86</v>
      </c>
      <c r="I17" s="14">
        <f>SUMIF(Mercado_Receita!$T$2:$T$2578,"44136B1Energia convencional pré-pagamentoResidencialResidencial baixa renda – faixa 02Não se aplicaNão se aplicaNão se aplica",Mercado_Receita!$N$2:$N$2578)</f>
        <v>0</v>
      </c>
      <c r="J17" s="14">
        <f>SUMIF(Mercado_Receita!$T$2:$T$2578,"44166B1Energia convencional pré-pagamentoResidencialResidencial baixa renda – faixa 02Não se aplicaNão se aplicaNão se aplica",Mercado_Receita!$N$2:$N$2578)</f>
        <v>0</v>
      </c>
      <c r="K17" s="14">
        <f>SUMIF(Mercado_Receita!$T$2:$T$2578,"44197B1Energia convencional pré-pagamentoResidencialResidencial baixa renda – faixa 02Não se aplicaNão se aplicaNão se aplica",Mercado_Receita!$N$2:$N$2578)</f>
        <v>0</v>
      </c>
      <c r="L17" s="14">
        <f>SUMIF(Mercado_Receita!$T$2:$T$2578,"44228B1Energia convencional pré-pagamentoResidencialResidencial baixa renda – faixa 02Não se aplicaNão se aplicaNão se aplica",Mercado_Receita!$N$2:$N$2578)</f>
        <v>0</v>
      </c>
      <c r="M17" s="14">
        <f>SUMIF(Mercado_Receita!$T$2:$T$2578,"44256B1Energia convencional pré-pagamentoResidencialResidencial baixa renda – faixa 02Não se aplicaNão se aplicaNão se aplica",Mercado_Receita!$N$2:$N$2578)</f>
        <v>0</v>
      </c>
      <c r="N17" s="14">
        <f>SUMIF(Mercado_Receita!$T$2:$T$2578,"44287B1Energia convencional pré-pagamentoResidencialResidencial baixa renda – faixa 02Não se aplicaNão se aplicaNão se aplica",Mercado_Receita!$N$2:$N$2578)</f>
        <v>0</v>
      </c>
      <c r="O17" s="14">
        <f>SUMIF(Mercado_Receita!$T$2:$T$2578,"44317B1Energia convencional pré-pagamentoResidencialResidencial baixa renda – faixa 02Não se aplicaNão se aplicaNão se aplica",Mercado_Receita!$N$2:$N$2578)</f>
        <v>0</v>
      </c>
      <c r="P17" s="14">
        <f>SUMIF(Mercado_Receita!$T$2:$T$2578,"44348B1Energia convencional pré-pagamentoResidencialResidencial baixa renda – faixa 02Não se aplicaNão se aplicaNão se aplica",Mercado_Receita!$N$2:$N$2578)</f>
        <v>0</v>
      </c>
      <c r="Q17" s="14">
        <f>SUMIF(Mercado_Receita!$T$2:$T$2578,"44378B1Energia convencional pré-pagamentoResidencialResidencial baixa renda – faixa 02Não se aplicaNão se aplicaNão se aplica",Mercado_Receita!$N$2:$N$2578)</f>
        <v>0</v>
      </c>
      <c r="R17" s="14">
        <f>SUMIF(Mercado_Receita!$T$2:$T$2578,"44409B1Energia convencional pré-pagamentoResidencialResidencial baixa renda – faixa 02Não se aplicaNão se aplicaNão se aplica",Mercado_Receita!$N$2:$N$2578)</f>
        <v>0</v>
      </c>
      <c r="S17" s="14">
        <f>SUMIF(Mercado_Receita!$T$2:$T$2578,"44440B1Energia convencional pré-pagamentoResidencialResidencial baixa renda – faixa 02Não se aplicaNão se aplicaNão se aplica",Mercado_Receita!$N$2:$N$2578)</f>
        <v>0</v>
      </c>
      <c r="T17" s="14">
        <f>SUMIF(Mercado_Receita!$T$2:$T$2578,"44470B1Energia convencional pré-pagamentoResidencialResidencial baixa renda – faixa 02Não se aplicaNão se aplicaNão se aplica",Mercado_Receita!$N$2:$N$2578)</f>
        <v>0</v>
      </c>
      <c r="U17" s="14">
        <f t="shared" si="0"/>
        <v>0</v>
      </c>
      <c r="V17" s="14"/>
      <c r="W17" s="14"/>
    </row>
    <row r="18" spans="1:23" ht="11.25" customHeight="1" x14ac:dyDescent="0.25">
      <c r="A18" s="110"/>
      <c r="B18" s="110"/>
      <c r="C18" s="110"/>
      <c r="D18" s="13" t="s">
        <v>33</v>
      </c>
      <c r="E18" s="13" t="s">
        <v>25</v>
      </c>
      <c r="F18" s="13" t="s">
        <v>25</v>
      </c>
      <c r="G18" s="14" t="s">
        <v>92</v>
      </c>
      <c r="H18" s="14" t="s">
        <v>86</v>
      </c>
      <c r="I18" s="14">
        <f>SUMIF(Mercado_Receita!$T$2:$T$2578,"44136B1Energia convencional pré-pagamentoResidencialResidencial baixa renda – faixa 03Não se aplicaNão se aplicaNão se aplica",Mercado_Receita!$N$2:$N$2578)</f>
        <v>0</v>
      </c>
      <c r="J18" s="14">
        <f>SUMIF(Mercado_Receita!$T$2:$T$2578,"44166B1Energia convencional pré-pagamentoResidencialResidencial baixa renda – faixa 03Não se aplicaNão se aplicaNão se aplica",Mercado_Receita!$N$2:$N$2578)</f>
        <v>0</v>
      </c>
      <c r="K18" s="14">
        <f>SUMIF(Mercado_Receita!$T$2:$T$2578,"44197B1Energia convencional pré-pagamentoResidencialResidencial baixa renda – faixa 03Não se aplicaNão se aplicaNão se aplica",Mercado_Receita!$N$2:$N$2578)</f>
        <v>0</v>
      </c>
      <c r="L18" s="14">
        <f>SUMIF(Mercado_Receita!$T$2:$T$2578,"44228B1Energia convencional pré-pagamentoResidencialResidencial baixa renda – faixa 03Não se aplicaNão se aplicaNão se aplica",Mercado_Receita!$N$2:$N$2578)</f>
        <v>0</v>
      </c>
      <c r="M18" s="14">
        <f>SUMIF(Mercado_Receita!$T$2:$T$2578,"44256B1Energia convencional pré-pagamentoResidencialResidencial baixa renda – faixa 03Não se aplicaNão se aplicaNão se aplica",Mercado_Receita!$N$2:$N$2578)</f>
        <v>0</v>
      </c>
      <c r="N18" s="14">
        <f>SUMIF(Mercado_Receita!$T$2:$T$2578,"44287B1Energia convencional pré-pagamentoResidencialResidencial baixa renda – faixa 03Não se aplicaNão se aplicaNão se aplica",Mercado_Receita!$N$2:$N$2578)</f>
        <v>0</v>
      </c>
      <c r="O18" s="14">
        <f>SUMIF(Mercado_Receita!$T$2:$T$2578,"44317B1Energia convencional pré-pagamentoResidencialResidencial baixa renda – faixa 03Não se aplicaNão se aplicaNão se aplica",Mercado_Receita!$N$2:$N$2578)</f>
        <v>0</v>
      </c>
      <c r="P18" s="14">
        <f>SUMIF(Mercado_Receita!$T$2:$T$2578,"44348B1Energia convencional pré-pagamentoResidencialResidencial baixa renda – faixa 03Não se aplicaNão se aplicaNão se aplica",Mercado_Receita!$N$2:$N$2578)</f>
        <v>0</v>
      </c>
      <c r="Q18" s="14">
        <f>SUMIF(Mercado_Receita!$T$2:$T$2578,"44378B1Energia convencional pré-pagamentoResidencialResidencial baixa renda – faixa 03Não se aplicaNão se aplicaNão se aplica",Mercado_Receita!$N$2:$N$2578)</f>
        <v>0</v>
      </c>
      <c r="R18" s="14">
        <f>SUMIF(Mercado_Receita!$T$2:$T$2578,"44409B1Energia convencional pré-pagamentoResidencialResidencial baixa renda – faixa 03Não se aplicaNão se aplicaNão se aplica",Mercado_Receita!$N$2:$N$2578)</f>
        <v>0</v>
      </c>
      <c r="S18" s="14">
        <f>SUMIF(Mercado_Receita!$T$2:$T$2578,"44440B1Energia convencional pré-pagamentoResidencialResidencial baixa renda – faixa 03Não se aplicaNão se aplicaNão se aplica",Mercado_Receita!$N$2:$N$2578)</f>
        <v>0</v>
      </c>
      <c r="T18" s="14">
        <f>SUMIF(Mercado_Receita!$T$2:$T$2578,"44470B1Energia convencional pré-pagamentoResidencialResidencial baixa renda – faixa 03Não se aplicaNão se aplicaNão se aplica",Mercado_Receita!$N$2:$N$2578)</f>
        <v>0</v>
      </c>
      <c r="U18" s="14">
        <f t="shared" si="0"/>
        <v>0</v>
      </c>
      <c r="V18" s="14"/>
      <c r="W18" s="14"/>
    </row>
    <row r="19" spans="1:23" ht="11.25" customHeight="1" x14ac:dyDescent="0.25">
      <c r="A19" s="110"/>
      <c r="B19" s="110"/>
      <c r="C19" s="110"/>
      <c r="D19" s="13" t="s">
        <v>34</v>
      </c>
      <c r="E19" s="13" t="s">
        <v>25</v>
      </c>
      <c r="F19" s="13" t="s">
        <v>25</v>
      </c>
      <c r="G19" s="14" t="s">
        <v>92</v>
      </c>
      <c r="H19" s="14" t="s">
        <v>86</v>
      </c>
      <c r="I19" s="14">
        <f>SUMIF(Mercado_Receita!$T$2:$T$2578,"44136B1Energia convencional pré-pagamentoResidencialResidencial baixa renda – faixa 04Não se aplicaNão se aplicaNão se aplica",Mercado_Receita!$N$2:$N$2578)</f>
        <v>0</v>
      </c>
      <c r="J19" s="14">
        <f>SUMIF(Mercado_Receita!$T$2:$T$2578,"44166B1Energia convencional pré-pagamentoResidencialResidencial baixa renda – faixa 04Não se aplicaNão se aplicaNão se aplica",Mercado_Receita!$N$2:$N$2578)</f>
        <v>0</v>
      </c>
      <c r="K19" s="14">
        <f>SUMIF(Mercado_Receita!$T$2:$T$2578,"44197B1Energia convencional pré-pagamentoResidencialResidencial baixa renda – faixa 04Não se aplicaNão se aplicaNão se aplica",Mercado_Receita!$N$2:$N$2578)</f>
        <v>0</v>
      </c>
      <c r="L19" s="14">
        <f>SUMIF(Mercado_Receita!$T$2:$T$2578,"44228B1Energia convencional pré-pagamentoResidencialResidencial baixa renda – faixa 04Não se aplicaNão se aplicaNão se aplica",Mercado_Receita!$N$2:$N$2578)</f>
        <v>0</v>
      </c>
      <c r="M19" s="14">
        <f>SUMIF(Mercado_Receita!$T$2:$T$2578,"44256B1Energia convencional pré-pagamentoResidencialResidencial baixa renda – faixa 04Não se aplicaNão se aplicaNão se aplica",Mercado_Receita!$N$2:$N$2578)</f>
        <v>0</v>
      </c>
      <c r="N19" s="14">
        <f>SUMIF(Mercado_Receita!$T$2:$T$2578,"44287B1Energia convencional pré-pagamentoResidencialResidencial baixa renda – faixa 04Não se aplicaNão se aplicaNão se aplica",Mercado_Receita!$N$2:$N$2578)</f>
        <v>0</v>
      </c>
      <c r="O19" s="14">
        <f>SUMIF(Mercado_Receita!$T$2:$T$2578,"44317B1Energia convencional pré-pagamentoResidencialResidencial baixa renda – faixa 04Não se aplicaNão se aplicaNão se aplica",Mercado_Receita!$N$2:$N$2578)</f>
        <v>0</v>
      </c>
      <c r="P19" s="14">
        <f>SUMIF(Mercado_Receita!$T$2:$T$2578,"44348B1Energia convencional pré-pagamentoResidencialResidencial baixa renda – faixa 04Não se aplicaNão se aplicaNão se aplica",Mercado_Receita!$N$2:$N$2578)</f>
        <v>0</v>
      </c>
      <c r="Q19" s="14">
        <f>SUMIF(Mercado_Receita!$T$2:$T$2578,"44378B1Energia convencional pré-pagamentoResidencialResidencial baixa renda – faixa 04Não se aplicaNão se aplicaNão se aplica",Mercado_Receita!$N$2:$N$2578)</f>
        <v>0</v>
      </c>
      <c r="R19" s="14">
        <f>SUMIF(Mercado_Receita!$T$2:$T$2578,"44409B1Energia convencional pré-pagamentoResidencialResidencial baixa renda – faixa 04Não se aplicaNão se aplicaNão se aplica",Mercado_Receita!$N$2:$N$2578)</f>
        <v>0</v>
      </c>
      <c r="S19" s="14">
        <f>SUMIF(Mercado_Receita!$T$2:$T$2578,"44440B1Energia convencional pré-pagamentoResidencialResidencial baixa renda – faixa 04Não se aplicaNão se aplicaNão se aplica",Mercado_Receita!$N$2:$N$2578)</f>
        <v>0</v>
      </c>
      <c r="T19" s="14">
        <f>SUMIF(Mercado_Receita!$T$2:$T$2578,"44470B1Energia convencional pré-pagamentoResidencialResidencial baixa renda – faixa 04Não se aplicaNão se aplicaNão se aplica",Mercado_Receita!$N$2:$N$2578)</f>
        <v>0</v>
      </c>
      <c r="U19" s="14">
        <f t="shared" si="0"/>
        <v>0</v>
      </c>
      <c r="V19" s="14"/>
      <c r="W19" s="14"/>
    </row>
    <row r="20" spans="1:23" ht="11.25" customHeight="1" x14ac:dyDescent="0.25">
      <c r="A20" s="109" t="s">
        <v>46</v>
      </c>
      <c r="B20" s="109" t="s">
        <v>85</v>
      </c>
      <c r="C20" s="109" t="s">
        <v>47</v>
      </c>
      <c r="D20" s="109" t="s">
        <v>25</v>
      </c>
      <c r="E20" s="109" t="s">
        <v>25</v>
      </c>
      <c r="F20" s="109" t="s">
        <v>25</v>
      </c>
      <c r="G20" s="14" t="s">
        <v>87</v>
      </c>
      <c r="H20" s="14" t="s">
        <v>86</v>
      </c>
      <c r="I20" s="14">
        <f>SUMIF(Mercado_Receita!$T$2:$T$2578,"44136B2Energia horáriaRuralNão se aplicaNão se aplicaNão se aplicaPonta",Mercado_Receita!$N$2:$N$2578)</f>
        <v>0</v>
      </c>
      <c r="J20" s="14">
        <f>SUMIF(Mercado_Receita!$T$2:$T$2578,"44166B2Energia horáriaRuralNão se aplicaNão se aplicaNão se aplicaPonta",Mercado_Receita!$N$2:$N$2578)</f>
        <v>0</v>
      </c>
      <c r="K20" s="14">
        <f>SUMIF(Mercado_Receita!$T$2:$T$2578,"44197B2Energia horáriaRuralNão se aplicaNão se aplicaNão se aplicaPonta",Mercado_Receita!$N$2:$N$2578)</f>
        <v>0</v>
      </c>
      <c r="L20" s="14">
        <f>SUMIF(Mercado_Receita!$T$2:$T$2578,"44228B2Energia horáriaRuralNão se aplicaNão se aplicaNão se aplicaPonta",Mercado_Receita!$N$2:$N$2578)</f>
        <v>0</v>
      </c>
      <c r="M20" s="14">
        <f>SUMIF(Mercado_Receita!$T$2:$T$2578,"44256B2Energia horáriaRuralNão se aplicaNão se aplicaNão se aplicaPonta",Mercado_Receita!$N$2:$N$2578)</f>
        <v>0</v>
      </c>
      <c r="N20" s="14">
        <f>SUMIF(Mercado_Receita!$T$2:$T$2578,"44287B2Energia horáriaRuralNão se aplicaNão se aplicaNão se aplicaPonta",Mercado_Receita!$N$2:$N$2578)</f>
        <v>0</v>
      </c>
      <c r="O20" s="14">
        <f>SUMIF(Mercado_Receita!$T$2:$T$2578,"44317B2Energia horáriaRuralNão se aplicaNão se aplicaNão se aplicaPonta",Mercado_Receita!$N$2:$N$2578)</f>
        <v>0</v>
      </c>
      <c r="P20" s="14">
        <f>SUMIF(Mercado_Receita!$T$2:$T$2578,"44348B2Energia horáriaRuralNão se aplicaNão se aplicaNão se aplicaPonta",Mercado_Receita!$N$2:$N$2578)</f>
        <v>0</v>
      </c>
      <c r="Q20" s="14">
        <f>SUMIF(Mercado_Receita!$T$2:$T$2578,"44378B2Energia horáriaRuralNão se aplicaNão se aplicaNão se aplicaPonta",Mercado_Receita!$N$2:$N$2578)</f>
        <v>0</v>
      </c>
      <c r="R20" s="14">
        <f>SUMIF(Mercado_Receita!$T$2:$T$2578,"44409B2Energia horáriaRuralNão se aplicaNão se aplicaNão se aplicaPonta",Mercado_Receita!$N$2:$N$2578)</f>
        <v>0</v>
      </c>
      <c r="S20" s="14">
        <f>SUMIF(Mercado_Receita!$T$2:$T$2578,"44440B2Energia horáriaRuralNão se aplicaNão se aplicaNão se aplicaPonta",Mercado_Receita!$N$2:$N$2578)</f>
        <v>0</v>
      </c>
      <c r="T20" s="14">
        <f>SUMIF(Mercado_Receita!$T$2:$T$2578,"44470B2Energia horáriaRuralNão se aplicaNão se aplicaNão se aplicaPonta",Mercado_Receita!$N$2:$N$2578)</f>
        <v>0</v>
      </c>
      <c r="U20" s="14">
        <f t="shared" si="0"/>
        <v>0</v>
      </c>
      <c r="V20" s="14"/>
      <c r="W20" s="14"/>
    </row>
    <row r="21" spans="1:23" ht="11.25" customHeight="1" x14ac:dyDescent="0.25">
      <c r="A21" s="110"/>
      <c r="B21" s="110"/>
      <c r="C21" s="110"/>
      <c r="D21" s="110"/>
      <c r="E21" s="110"/>
      <c r="F21" s="110"/>
      <c r="G21" s="14" t="s">
        <v>98</v>
      </c>
      <c r="H21" s="14" t="s">
        <v>86</v>
      </c>
      <c r="I21" s="14">
        <f>SUMIF(Mercado_Receita!$T$2:$T$2578,"44136B2Energia horáriaRuralNão se aplicaNão se aplicaNão se aplicaIntermediário",Mercado_Receita!$N$2:$N$2578)</f>
        <v>0</v>
      </c>
      <c r="J21" s="14">
        <f>SUMIF(Mercado_Receita!$T$2:$T$2578,"44166B2Energia horáriaRuralNão se aplicaNão se aplicaNão se aplicaIntermediário",Mercado_Receita!$N$2:$N$2578)</f>
        <v>3.0000000000000001E-3</v>
      </c>
      <c r="K21" s="14">
        <f>SUMIF(Mercado_Receita!$T$2:$T$2578,"44197B2Energia horáriaRuralNão se aplicaNão se aplicaNão se aplicaIntermediário",Mercado_Receita!$N$2:$N$2578)</f>
        <v>1E-3</v>
      </c>
      <c r="L21" s="14">
        <f>SUMIF(Mercado_Receita!$T$2:$T$2578,"44228B2Energia horáriaRuralNão se aplicaNão se aplicaNão se aplicaIntermediário",Mercado_Receita!$N$2:$N$2578)</f>
        <v>0</v>
      </c>
      <c r="M21" s="14">
        <f>SUMIF(Mercado_Receita!$T$2:$T$2578,"44256B2Energia horáriaRuralNão se aplicaNão se aplicaNão se aplicaIntermediário",Mercado_Receita!$N$2:$N$2578)</f>
        <v>0</v>
      </c>
      <c r="N21" s="14">
        <f>SUMIF(Mercado_Receita!$T$2:$T$2578,"44287B2Energia horáriaRuralNão se aplicaNão se aplicaNão se aplicaIntermediário",Mercado_Receita!$N$2:$N$2578)</f>
        <v>1E-3</v>
      </c>
      <c r="O21" s="14">
        <f>SUMIF(Mercado_Receita!$T$2:$T$2578,"44317B2Energia horáriaRuralNão se aplicaNão se aplicaNão se aplicaIntermediário",Mercado_Receita!$N$2:$N$2578)</f>
        <v>0</v>
      </c>
      <c r="P21" s="14">
        <f>SUMIF(Mercado_Receita!$T$2:$T$2578,"44348B2Energia horáriaRuralNão se aplicaNão se aplicaNão se aplicaIntermediário",Mercado_Receita!$N$2:$N$2578)</f>
        <v>0</v>
      </c>
      <c r="Q21" s="14">
        <f>SUMIF(Mercado_Receita!$T$2:$T$2578,"44378B2Energia horáriaRuralNão se aplicaNão se aplicaNão se aplicaIntermediário",Mercado_Receita!$N$2:$N$2578)</f>
        <v>0</v>
      </c>
      <c r="R21" s="14">
        <f>SUMIF(Mercado_Receita!$T$2:$T$2578,"44409B2Energia horáriaRuralNão se aplicaNão se aplicaNão se aplicaIntermediário",Mercado_Receita!$N$2:$N$2578)</f>
        <v>0</v>
      </c>
      <c r="S21" s="14">
        <f>SUMIF(Mercado_Receita!$T$2:$T$2578,"44440B2Energia horáriaRuralNão se aplicaNão se aplicaNão se aplicaIntermediário",Mercado_Receita!$N$2:$N$2578)</f>
        <v>0</v>
      </c>
      <c r="T21" s="14">
        <f>SUMIF(Mercado_Receita!$T$2:$T$2578,"44470B2Energia horáriaRuralNão se aplicaNão se aplicaNão se aplicaIntermediário",Mercado_Receita!$N$2:$N$2578)</f>
        <v>0</v>
      </c>
      <c r="U21" s="14">
        <f t="shared" si="0"/>
        <v>5.0000000000000001E-3</v>
      </c>
      <c r="V21" s="14"/>
      <c r="W21" s="14"/>
    </row>
    <row r="22" spans="1:23" ht="11.25" customHeight="1" x14ac:dyDescent="0.25">
      <c r="A22" s="110"/>
      <c r="B22" s="110"/>
      <c r="C22" s="110"/>
      <c r="D22" s="110"/>
      <c r="E22" s="110"/>
      <c r="F22" s="110"/>
      <c r="G22" s="14" t="s">
        <v>88</v>
      </c>
      <c r="H22" s="14" t="s">
        <v>86</v>
      </c>
      <c r="I22" s="14">
        <f>SUMIF(Mercado_Receita!$T$2:$T$2578,"44136B2Energia horáriaRuralNão se aplicaNão se aplicaNão se aplicaFora ponta",Mercado_Receita!$N$2:$N$2578)</f>
        <v>9.8000000000000004E-2</v>
      </c>
      <c r="J22" s="14">
        <f>SUMIF(Mercado_Receita!$T$2:$T$2578,"44166B2Energia horáriaRuralNão se aplicaNão se aplicaNão se aplicaFora ponta",Mercado_Receita!$N$2:$N$2578)</f>
        <v>5.7000000000000002E-2</v>
      </c>
      <c r="K22" s="14">
        <f>SUMIF(Mercado_Receita!$T$2:$T$2578,"44197B2Energia horáriaRuralNão se aplicaNão se aplicaNão se aplicaFora ponta",Mercado_Receita!$N$2:$N$2578)</f>
        <v>6.9000000000000006E-2</v>
      </c>
      <c r="L22" s="14">
        <f>SUMIF(Mercado_Receita!$T$2:$T$2578,"44228B2Energia horáriaRuralNão se aplicaNão se aplicaNão se aplicaFora ponta",Mercado_Receita!$N$2:$N$2578)</f>
        <v>0.04</v>
      </c>
      <c r="M22" s="14">
        <f>SUMIF(Mercado_Receita!$T$2:$T$2578,"44256B2Energia horáriaRuralNão se aplicaNão se aplicaNão se aplicaFora ponta",Mercado_Receita!$N$2:$N$2578)</f>
        <v>0.03</v>
      </c>
      <c r="N22" s="14">
        <f>SUMIF(Mercado_Receita!$T$2:$T$2578,"44287B2Energia horáriaRuralNão se aplicaNão se aplicaNão se aplicaFora ponta",Mercado_Receita!$N$2:$N$2578)</f>
        <v>3.6999999999999998E-2</v>
      </c>
      <c r="O22" s="14">
        <f>SUMIF(Mercado_Receita!$T$2:$T$2578,"44317B2Energia horáriaRuralNão se aplicaNão se aplicaNão se aplicaFora ponta",Mercado_Receita!$N$2:$N$2578)</f>
        <v>0.03</v>
      </c>
      <c r="P22" s="14">
        <f>SUMIF(Mercado_Receita!$T$2:$T$2578,"44348B2Energia horáriaRuralNão se aplicaNão se aplicaNão se aplicaFora ponta",Mercado_Receita!$N$2:$N$2578)</f>
        <v>6.5000000000000002E-2</v>
      </c>
      <c r="Q22" s="14">
        <f>SUMIF(Mercado_Receita!$T$2:$T$2578,"44378B2Energia horáriaRuralNão se aplicaNão se aplicaNão se aplicaFora ponta",Mercado_Receita!$N$2:$N$2578)</f>
        <v>0.03</v>
      </c>
      <c r="R22" s="14">
        <f>SUMIF(Mercado_Receita!$T$2:$T$2578,"44409B2Energia horáriaRuralNão se aplicaNão se aplicaNão se aplicaFora ponta",Mercado_Receita!$N$2:$N$2578)</f>
        <v>0.03</v>
      </c>
      <c r="S22" s="14">
        <f>SUMIF(Mercado_Receita!$T$2:$T$2578,"44440B2Energia horáriaRuralNão se aplicaNão se aplicaNão se aplicaFora ponta",Mercado_Receita!$N$2:$N$2578)</f>
        <v>0.03</v>
      </c>
      <c r="T22" s="14">
        <f>SUMIF(Mercado_Receita!$T$2:$T$2578,"44470B2Energia horáriaRuralNão se aplicaNão se aplicaNão se aplicaFora ponta",Mercado_Receita!$N$2:$N$2578)</f>
        <v>0.03</v>
      </c>
      <c r="U22" s="14">
        <f t="shared" si="0"/>
        <v>0.54600000000000004</v>
      </c>
      <c r="V22" s="14"/>
      <c r="W22" s="14"/>
    </row>
    <row r="23" spans="1:23" ht="11.25" customHeight="1" x14ac:dyDescent="0.25">
      <c r="A23" s="110"/>
      <c r="B23" s="13" t="s">
        <v>94</v>
      </c>
      <c r="C23" s="13" t="s">
        <v>47</v>
      </c>
      <c r="D23" s="13" t="s">
        <v>25</v>
      </c>
      <c r="E23" s="13" t="s">
        <v>25</v>
      </c>
      <c r="F23" s="13" t="s">
        <v>25</v>
      </c>
      <c r="G23" s="14" t="s">
        <v>92</v>
      </c>
      <c r="H23" s="14" t="s">
        <v>86</v>
      </c>
      <c r="I23" s="14">
        <f>SUMIF(Mercado_Receita!$T$2:$T$2578,"44136B2Energia convencionalRuralNão se aplicaNão se aplicaNão se aplicaNão se aplica",Mercado_Receita!$N$2:$N$2578)</f>
        <v>5730.63</v>
      </c>
      <c r="J23" s="14">
        <f>SUMIF(Mercado_Receita!$T$2:$T$2578,"44166B2Energia convencionalRuralNão se aplicaNão se aplicaNão se aplicaNão se aplica",Mercado_Receita!$N$2:$N$2578)</f>
        <v>5755.5590000000002</v>
      </c>
      <c r="K23" s="14">
        <f>SUMIF(Mercado_Receita!$T$2:$T$2578,"44197B2Energia convencionalRuralNão se aplicaNão se aplicaNão se aplicaNão se aplica",Mercado_Receita!$N$2:$N$2578)</f>
        <v>5184.6319999999996</v>
      </c>
      <c r="L23" s="14">
        <f>SUMIF(Mercado_Receita!$T$2:$T$2578,"44228B2Energia convencionalRuralNão se aplicaNão se aplicaNão se aplicaNão se aplica",Mercado_Receita!$N$2:$N$2578)</f>
        <v>4993.8530000000001</v>
      </c>
      <c r="M23" s="14">
        <f>SUMIF(Mercado_Receita!$T$2:$T$2578,"44256B2Energia convencionalRuralNão se aplicaNão se aplicaNão se aplicaNão se aplica",Mercado_Receita!$N$2:$N$2578)</f>
        <v>5202.7199999999993</v>
      </c>
      <c r="N23" s="14">
        <f>SUMIF(Mercado_Receita!$T$2:$T$2578,"44287B2Energia convencionalRuralNão se aplicaNão se aplicaNão se aplicaNão se aplica",Mercado_Receita!$N$2:$N$2578)</f>
        <v>5335.0740000000005</v>
      </c>
      <c r="O23" s="14">
        <f>SUMIF(Mercado_Receita!$T$2:$T$2578,"44317B2Energia convencionalRuralNão se aplicaNão se aplicaNão se aplicaNão se aplica",Mercado_Receita!$N$2:$N$2578)</f>
        <v>5380.9060000000009</v>
      </c>
      <c r="P23" s="14">
        <f>SUMIF(Mercado_Receita!$T$2:$T$2578,"44348B2Energia convencionalRuralNão se aplicaNão se aplicaNão se aplicaNão se aplica",Mercado_Receita!$N$2:$N$2578)</f>
        <v>5452.7079999999996</v>
      </c>
      <c r="Q23" s="14">
        <f>SUMIF(Mercado_Receita!$T$2:$T$2578,"44378B2Energia convencionalRuralNão se aplicaNão se aplicaNão se aplicaNão se aplica",Mercado_Receita!$N$2:$N$2578)</f>
        <v>5212.0349999999999</v>
      </c>
      <c r="R23" s="14">
        <f>SUMIF(Mercado_Receita!$T$2:$T$2578,"44409B2Energia convencionalRuralNão se aplicaNão se aplicaNão se aplicaNão se aplica",Mercado_Receita!$N$2:$N$2578)</f>
        <v>5472.41</v>
      </c>
      <c r="S23" s="14">
        <f>SUMIF(Mercado_Receita!$T$2:$T$2578,"44440B2Energia convencionalRuralNão se aplicaNão se aplicaNão se aplicaNão se aplica",Mercado_Receita!$N$2:$N$2578)</f>
        <v>5349.2219999999988</v>
      </c>
      <c r="T23" s="14">
        <f>SUMIF(Mercado_Receita!$T$2:$T$2578,"44470B2Energia convencionalRuralNão se aplicaNão se aplicaNão se aplicaNão se aplica",Mercado_Receita!$N$2:$N$2578)</f>
        <v>5349.2219999999988</v>
      </c>
      <c r="U23" s="14">
        <f t="shared" si="0"/>
        <v>64418.971000000005</v>
      </c>
      <c r="V23" s="14"/>
      <c r="W23" s="14"/>
    </row>
    <row r="24" spans="1:23" ht="11.25" customHeight="1" x14ac:dyDescent="0.25">
      <c r="A24" s="110"/>
      <c r="B24" s="109" t="s">
        <v>85</v>
      </c>
      <c r="C24" s="109" t="s">
        <v>47</v>
      </c>
      <c r="D24" s="109" t="s">
        <v>101</v>
      </c>
      <c r="E24" s="109" t="s">
        <v>25</v>
      </c>
      <c r="F24" s="109" t="s">
        <v>25</v>
      </c>
      <c r="G24" s="14" t="s">
        <v>87</v>
      </c>
      <c r="H24" s="14" t="s">
        <v>86</v>
      </c>
      <c r="I24" s="14">
        <f>SUMIF(Mercado_Receita!$T$2:$T$2578,"44136B2Energia horáriaRuralCooperativa de eletrificação ruralNão se aplicaNão se aplicaPonta",Mercado_Receita!$N$2:$N$2578)</f>
        <v>0</v>
      </c>
      <c r="J24" s="14">
        <f>SUMIF(Mercado_Receita!$T$2:$T$2578,"44166B2Energia horáriaRuralCooperativa de eletrificação ruralNão se aplicaNão se aplicaPonta",Mercado_Receita!$N$2:$N$2578)</f>
        <v>0</v>
      </c>
      <c r="K24" s="14">
        <f>SUMIF(Mercado_Receita!$T$2:$T$2578,"44197B2Energia horáriaRuralCooperativa de eletrificação ruralNão se aplicaNão se aplicaPonta",Mercado_Receita!$N$2:$N$2578)</f>
        <v>0</v>
      </c>
      <c r="L24" s="14">
        <f>SUMIF(Mercado_Receita!$T$2:$T$2578,"44228B2Energia horáriaRuralCooperativa de eletrificação ruralNão se aplicaNão se aplicaPonta",Mercado_Receita!$N$2:$N$2578)</f>
        <v>0</v>
      </c>
      <c r="M24" s="14">
        <f>SUMIF(Mercado_Receita!$T$2:$T$2578,"44256B2Energia horáriaRuralCooperativa de eletrificação ruralNão se aplicaNão se aplicaPonta",Mercado_Receita!$N$2:$N$2578)</f>
        <v>0</v>
      </c>
      <c r="N24" s="14">
        <f>SUMIF(Mercado_Receita!$T$2:$T$2578,"44287B2Energia horáriaRuralCooperativa de eletrificação ruralNão se aplicaNão se aplicaPonta",Mercado_Receita!$N$2:$N$2578)</f>
        <v>0</v>
      </c>
      <c r="O24" s="14">
        <f>SUMIF(Mercado_Receita!$T$2:$T$2578,"44317B2Energia horáriaRuralCooperativa de eletrificação ruralNão se aplicaNão se aplicaPonta",Mercado_Receita!$N$2:$N$2578)</f>
        <v>0</v>
      </c>
      <c r="P24" s="14">
        <f>SUMIF(Mercado_Receita!$T$2:$T$2578,"44348B2Energia horáriaRuralCooperativa de eletrificação ruralNão se aplicaNão se aplicaPonta",Mercado_Receita!$N$2:$N$2578)</f>
        <v>0</v>
      </c>
      <c r="Q24" s="14">
        <f>SUMIF(Mercado_Receita!$T$2:$T$2578,"44378B2Energia horáriaRuralCooperativa de eletrificação ruralNão se aplicaNão se aplicaPonta",Mercado_Receita!$N$2:$N$2578)</f>
        <v>0</v>
      </c>
      <c r="R24" s="14">
        <f>SUMIF(Mercado_Receita!$T$2:$T$2578,"44409B2Energia horáriaRuralCooperativa de eletrificação ruralNão se aplicaNão se aplicaPonta",Mercado_Receita!$N$2:$N$2578)</f>
        <v>0</v>
      </c>
      <c r="S24" s="14">
        <f>SUMIF(Mercado_Receita!$T$2:$T$2578,"44440B2Energia horáriaRuralCooperativa de eletrificação ruralNão se aplicaNão se aplicaPonta",Mercado_Receita!$N$2:$N$2578)</f>
        <v>0</v>
      </c>
      <c r="T24" s="14">
        <f>SUMIF(Mercado_Receita!$T$2:$T$2578,"44470B2Energia horáriaRuralCooperativa de eletrificação ruralNão se aplicaNão se aplicaPonta",Mercado_Receita!$N$2:$N$2578)</f>
        <v>0</v>
      </c>
      <c r="U24" s="14">
        <f t="shared" si="0"/>
        <v>0</v>
      </c>
      <c r="V24" s="14"/>
      <c r="W24" s="14"/>
    </row>
    <row r="25" spans="1:23" ht="11.25" customHeight="1" x14ac:dyDescent="0.25">
      <c r="A25" s="110"/>
      <c r="B25" s="110"/>
      <c r="C25" s="110"/>
      <c r="D25" s="110"/>
      <c r="E25" s="110"/>
      <c r="F25" s="110"/>
      <c r="G25" s="14" t="s">
        <v>98</v>
      </c>
      <c r="H25" s="14" t="s">
        <v>86</v>
      </c>
      <c r="I25" s="14">
        <f>SUMIF(Mercado_Receita!$T$2:$T$2578,"44136B2Energia horáriaRuralCooperativa de eletrificação ruralNão se aplicaNão se aplicaIntermediário",Mercado_Receita!$N$2:$N$2578)</f>
        <v>0</v>
      </c>
      <c r="J25" s="14">
        <f>SUMIF(Mercado_Receita!$T$2:$T$2578,"44166B2Energia horáriaRuralCooperativa de eletrificação ruralNão se aplicaNão se aplicaIntermediário",Mercado_Receita!$N$2:$N$2578)</f>
        <v>0</v>
      </c>
      <c r="K25" s="14">
        <f>SUMIF(Mercado_Receita!$T$2:$T$2578,"44197B2Energia horáriaRuralCooperativa de eletrificação ruralNão se aplicaNão se aplicaIntermediário",Mercado_Receita!$N$2:$N$2578)</f>
        <v>0</v>
      </c>
      <c r="L25" s="14">
        <f>SUMIF(Mercado_Receita!$T$2:$T$2578,"44228B2Energia horáriaRuralCooperativa de eletrificação ruralNão se aplicaNão se aplicaIntermediário",Mercado_Receita!$N$2:$N$2578)</f>
        <v>0</v>
      </c>
      <c r="M25" s="14">
        <f>SUMIF(Mercado_Receita!$T$2:$T$2578,"44256B2Energia horáriaRuralCooperativa de eletrificação ruralNão se aplicaNão se aplicaIntermediário",Mercado_Receita!$N$2:$N$2578)</f>
        <v>0</v>
      </c>
      <c r="N25" s="14">
        <f>SUMIF(Mercado_Receita!$T$2:$T$2578,"44287B2Energia horáriaRuralCooperativa de eletrificação ruralNão se aplicaNão se aplicaIntermediário",Mercado_Receita!$N$2:$N$2578)</f>
        <v>0</v>
      </c>
      <c r="O25" s="14">
        <f>SUMIF(Mercado_Receita!$T$2:$T$2578,"44317B2Energia horáriaRuralCooperativa de eletrificação ruralNão se aplicaNão se aplicaIntermediário",Mercado_Receita!$N$2:$N$2578)</f>
        <v>0</v>
      </c>
      <c r="P25" s="14">
        <f>SUMIF(Mercado_Receita!$T$2:$T$2578,"44348B2Energia horáriaRuralCooperativa de eletrificação ruralNão se aplicaNão se aplicaIntermediário",Mercado_Receita!$N$2:$N$2578)</f>
        <v>0</v>
      </c>
      <c r="Q25" s="14">
        <f>SUMIF(Mercado_Receita!$T$2:$T$2578,"44378B2Energia horáriaRuralCooperativa de eletrificação ruralNão se aplicaNão se aplicaIntermediário",Mercado_Receita!$N$2:$N$2578)</f>
        <v>0</v>
      </c>
      <c r="R25" s="14">
        <f>SUMIF(Mercado_Receita!$T$2:$T$2578,"44409B2Energia horáriaRuralCooperativa de eletrificação ruralNão se aplicaNão se aplicaIntermediário",Mercado_Receita!$N$2:$N$2578)</f>
        <v>0</v>
      </c>
      <c r="S25" s="14">
        <f>SUMIF(Mercado_Receita!$T$2:$T$2578,"44440B2Energia horáriaRuralCooperativa de eletrificação ruralNão se aplicaNão se aplicaIntermediário",Mercado_Receita!$N$2:$N$2578)</f>
        <v>0</v>
      </c>
      <c r="T25" s="14">
        <f>SUMIF(Mercado_Receita!$T$2:$T$2578,"44470B2Energia horáriaRuralCooperativa de eletrificação ruralNão se aplicaNão se aplicaIntermediário",Mercado_Receita!$N$2:$N$2578)</f>
        <v>0</v>
      </c>
      <c r="U25" s="14">
        <f t="shared" si="0"/>
        <v>0</v>
      </c>
      <c r="V25" s="14"/>
      <c r="W25" s="14"/>
    </row>
    <row r="26" spans="1:23" ht="11.25" customHeight="1" x14ac:dyDescent="0.25">
      <c r="A26" s="110"/>
      <c r="B26" s="110"/>
      <c r="C26" s="110"/>
      <c r="D26" s="110"/>
      <c r="E26" s="110"/>
      <c r="F26" s="110"/>
      <c r="G26" s="14" t="s">
        <v>88</v>
      </c>
      <c r="H26" s="14" t="s">
        <v>86</v>
      </c>
      <c r="I26" s="14">
        <f>SUMIF(Mercado_Receita!$T$2:$T$2578,"44136B2Energia horáriaRuralCooperativa de eletrificação ruralNão se aplicaNão se aplicaFora ponta",Mercado_Receita!$N$2:$N$2578)</f>
        <v>0</v>
      </c>
      <c r="J26" s="14">
        <f>SUMIF(Mercado_Receita!$T$2:$T$2578,"44166B2Energia horáriaRuralCooperativa de eletrificação ruralNão se aplicaNão se aplicaFora ponta",Mercado_Receita!$N$2:$N$2578)</f>
        <v>0</v>
      </c>
      <c r="K26" s="14">
        <f>SUMIF(Mercado_Receita!$T$2:$T$2578,"44197B2Energia horáriaRuralCooperativa de eletrificação ruralNão se aplicaNão se aplicaFora ponta",Mercado_Receita!$N$2:$N$2578)</f>
        <v>0</v>
      </c>
      <c r="L26" s="14">
        <f>SUMIF(Mercado_Receita!$T$2:$T$2578,"44228B2Energia horáriaRuralCooperativa de eletrificação ruralNão se aplicaNão se aplicaFora ponta",Mercado_Receita!$N$2:$N$2578)</f>
        <v>0</v>
      </c>
      <c r="M26" s="14">
        <f>SUMIF(Mercado_Receita!$T$2:$T$2578,"44256B2Energia horáriaRuralCooperativa de eletrificação ruralNão se aplicaNão se aplicaFora ponta",Mercado_Receita!$N$2:$N$2578)</f>
        <v>0</v>
      </c>
      <c r="N26" s="14">
        <f>SUMIF(Mercado_Receita!$T$2:$T$2578,"44287B2Energia horáriaRuralCooperativa de eletrificação ruralNão se aplicaNão se aplicaFora ponta",Mercado_Receita!$N$2:$N$2578)</f>
        <v>0</v>
      </c>
      <c r="O26" s="14">
        <f>SUMIF(Mercado_Receita!$T$2:$T$2578,"44317B2Energia horáriaRuralCooperativa de eletrificação ruralNão se aplicaNão se aplicaFora ponta",Mercado_Receita!$N$2:$N$2578)</f>
        <v>0</v>
      </c>
      <c r="P26" s="14">
        <f>SUMIF(Mercado_Receita!$T$2:$T$2578,"44348B2Energia horáriaRuralCooperativa de eletrificação ruralNão se aplicaNão se aplicaFora ponta",Mercado_Receita!$N$2:$N$2578)</f>
        <v>0</v>
      </c>
      <c r="Q26" s="14">
        <f>SUMIF(Mercado_Receita!$T$2:$T$2578,"44378B2Energia horáriaRuralCooperativa de eletrificação ruralNão se aplicaNão se aplicaFora ponta",Mercado_Receita!$N$2:$N$2578)</f>
        <v>0</v>
      </c>
      <c r="R26" s="14">
        <f>SUMIF(Mercado_Receita!$T$2:$T$2578,"44409B2Energia horáriaRuralCooperativa de eletrificação ruralNão se aplicaNão se aplicaFora ponta",Mercado_Receita!$N$2:$N$2578)</f>
        <v>0</v>
      </c>
      <c r="S26" s="14">
        <f>SUMIF(Mercado_Receita!$T$2:$T$2578,"44440B2Energia horáriaRuralCooperativa de eletrificação ruralNão se aplicaNão se aplicaFora ponta",Mercado_Receita!$N$2:$N$2578)</f>
        <v>0</v>
      </c>
      <c r="T26" s="14">
        <f>SUMIF(Mercado_Receita!$T$2:$T$2578,"44470B2Energia horáriaRuralCooperativa de eletrificação ruralNão se aplicaNão se aplicaFora ponta",Mercado_Receita!$N$2:$N$2578)</f>
        <v>0</v>
      </c>
      <c r="U26" s="14">
        <f t="shared" si="0"/>
        <v>0</v>
      </c>
      <c r="V26" s="14"/>
      <c r="W26" s="14"/>
    </row>
    <row r="27" spans="1:23" ht="11.25" customHeight="1" x14ac:dyDescent="0.25">
      <c r="A27" s="110"/>
      <c r="B27" s="13" t="s">
        <v>94</v>
      </c>
      <c r="C27" s="13" t="s">
        <v>47</v>
      </c>
      <c r="D27" s="13" t="s">
        <v>101</v>
      </c>
      <c r="E27" s="13" t="s">
        <v>25</v>
      </c>
      <c r="F27" s="13" t="s">
        <v>25</v>
      </c>
      <c r="G27" s="14" t="s">
        <v>92</v>
      </c>
      <c r="H27" s="14" t="s">
        <v>86</v>
      </c>
      <c r="I27" s="14">
        <f>SUMIF(Mercado_Receita!$T$2:$T$2578,"44136B2Energia convencionalRuralCooperativa de eletrificação ruralNão se aplicaNão se aplicaNão se aplica",Mercado_Receita!$N$2:$N$2578)</f>
        <v>0</v>
      </c>
      <c r="J27" s="14">
        <f>SUMIF(Mercado_Receita!$T$2:$T$2578,"44166B2Energia convencionalRuralCooperativa de eletrificação ruralNão se aplicaNão se aplicaNão se aplica",Mercado_Receita!$N$2:$N$2578)</f>
        <v>0</v>
      </c>
      <c r="K27" s="14">
        <f>SUMIF(Mercado_Receita!$T$2:$T$2578,"44197B2Energia convencionalRuralCooperativa de eletrificação ruralNão se aplicaNão se aplicaNão se aplica",Mercado_Receita!$N$2:$N$2578)</f>
        <v>0</v>
      </c>
      <c r="L27" s="14">
        <f>SUMIF(Mercado_Receita!$T$2:$T$2578,"44228B2Energia convencionalRuralCooperativa de eletrificação ruralNão se aplicaNão se aplicaNão se aplica",Mercado_Receita!$N$2:$N$2578)</f>
        <v>0</v>
      </c>
      <c r="M27" s="14">
        <f>SUMIF(Mercado_Receita!$T$2:$T$2578,"44256B2Energia convencionalRuralCooperativa de eletrificação ruralNão se aplicaNão se aplicaNão se aplica",Mercado_Receita!$N$2:$N$2578)</f>
        <v>0</v>
      </c>
      <c r="N27" s="14">
        <f>SUMIF(Mercado_Receita!$T$2:$T$2578,"44287B2Energia convencionalRuralCooperativa de eletrificação ruralNão se aplicaNão se aplicaNão se aplica",Mercado_Receita!$N$2:$N$2578)</f>
        <v>0</v>
      </c>
      <c r="O27" s="14">
        <f>SUMIF(Mercado_Receita!$T$2:$T$2578,"44317B2Energia convencionalRuralCooperativa de eletrificação ruralNão se aplicaNão se aplicaNão se aplica",Mercado_Receita!$N$2:$N$2578)</f>
        <v>0</v>
      </c>
      <c r="P27" s="14">
        <f>SUMIF(Mercado_Receita!$T$2:$T$2578,"44348B2Energia convencionalRuralCooperativa de eletrificação ruralNão se aplicaNão se aplicaNão se aplica",Mercado_Receita!$N$2:$N$2578)</f>
        <v>0</v>
      </c>
      <c r="Q27" s="14">
        <f>SUMIF(Mercado_Receita!$T$2:$T$2578,"44378B2Energia convencionalRuralCooperativa de eletrificação ruralNão se aplicaNão se aplicaNão se aplica",Mercado_Receita!$N$2:$N$2578)</f>
        <v>0</v>
      </c>
      <c r="R27" s="14">
        <f>SUMIF(Mercado_Receita!$T$2:$T$2578,"44409B2Energia convencionalRuralCooperativa de eletrificação ruralNão se aplicaNão se aplicaNão se aplica",Mercado_Receita!$N$2:$N$2578)</f>
        <v>0</v>
      </c>
      <c r="S27" s="14">
        <f>SUMIF(Mercado_Receita!$T$2:$T$2578,"44440B2Energia convencionalRuralCooperativa de eletrificação ruralNão se aplicaNão se aplicaNão se aplica",Mercado_Receita!$N$2:$N$2578)</f>
        <v>0</v>
      </c>
      <c r="T27" s="14">
        <f>SUMIF(Mercado_Receita!$T$2:$T$2578,"44470B2Energia convencionalRuralCooperativa de eletrificação ruralNão se aplicaNão se aplicaNão se aplica",Mercado_Receita!$N$2:$N$2578)</f>
        <v>0</v>
      </c>
      <c r="U27" s="14">
        <f t="shared" si="0"/>
        <v>0</v>
      </c>
      <c r="V27" s="14"/>
      <c r="W27" s="14"/>
    </row>
    <row r="28" spans="1:23" ht="11.25" customHeight="1" x14ac:dyDescent="0.25">
      <c r="A28" s="110"/>
      <c r="B28" s="109" t="s">
        <v>85</v>
      </c>
      <c r="C28" s="109" t="s">
        <v>47</v>
      </c>
      <c r="D28" s="109" t="s">
        <v>55</v>
      </c>
      <c r="E28" s="109" t="s">
        <v>25</v>
      </c>
      <c r="F28" s="109" t="s">
        <v>25</v>
      </c>
      <c r="G28" s="14" t="s">
        <v>87</v>
      </c>
      <c r="H28" s="14" t="s">
        <v>86</v>
      </c>
      <c r="I28" s="14">
        <f>SUMIF(Mercado_Receita!$T$2:$T$2578,"44136B2Energia horáriaRuralServiço público de irrigação ruralNão se aplicaNão se aplicaPonta",Mercado_Receita!$N$2:$N$2578)</f>
        <v>0</v>
      </c>
      <c r="J28" s="14">
        <f>SUMIF(Mercado_Receita!$T$2:$T$2578,"44166B2Energia horáriaRuralServiço público de irrigação ruralNão se aplicaNão se aplicaPonta",Mercado_Receita!$N$2:$N$2578)</f>
        <v>0</v>
      </c>
      <c r="K28" s="14">
        <f>SUMIF(Mercado_Receita!$T$2:$T$2578,"44197B2Energia horáriaRuralServiço público de irrigação ruralNão se aplicaNão se aplicaPonta",Mercado_Receita!$N$2:$N$2578)</f>
        <v>0</v>
      </c>
      <c r="L28" s="14">
        <f>SUMIF(Mercado_Receita!$T$2:$T$2578,"44228B2Energia horáriaRuralServiço público de irrigação ruralNão se aplicaNão se aplicaPonta",Mercado_Receita!$N$2:$N$2578)</f>
        <v>0</v>
      </c>
      <c r="M28" s="14">
        <f>SUMIF(Mercado_Receita!$T$2:$T$2578,"44256B2Energia horáriaRuralServiço público de irrigação ruralNão se aplicaNão se aplicaPonta",Mercado_Receita!$N$2:$N$2578)</f>
        <v>0</v>
      </c>
      <c r="N28" s="14">
        <f>SUMIF(Mercado_Receita!$T$2:$T$2578,"44287B2Energia horáriaRuralServiço público de irrigação ruralNão se aplicaNão se aplicaPonta",Mercado_Receita!$N$2:$N$2578)</f>
        <v>0</v>
      </c>
      <c r="O28" s="14">
        <f>SUMIF(Mercado_Receita!$T$2:$T$2578,"44317B2Energia horáriaRuralServiço público de irrigação ruralNão se aplicaNão se aplicaPonta",Mercado_Receita!$N$2:$N$2578)</f>
        <v>0</v>
      </c>
      <c r="P28" s="14">
        <f>SUMIF(Mercado_Receita!$T$2:$T$2578,"44348B2Energia horáriaRuralServiço público de irrigação ruralNão se aplicaNão se aplicaPonta",Mercado_Receita!$N$2:$N$2578)</f>
        <v>0</v>
      </c>
      <c r="Q28" s="14">
        <f>SUMIF(Mercado_Receita!$T$2:$T$2578,"44378B2Energia horáriaRuralServiço público de irrigação ruralNão se aplicaNão se aplicaPonta",Mercado_Receita!$N$2:$N$2578)</f>
        <v>0</v>
      </c>
      <c r="R28" s="14">
        <f>SUMIF(Mercado_Receita!$T$2:$T$2578,"44409B2Energia horáriaRuralServiço público de irrigação ruralNão se aplicaNão se aplicaPonta",Mercado_Receita!$N$2:$N$2578)</f>
        <v>0</v>
      </c>
      <c r="S28" s="14">
        <f>SUMIF(Mercado_Receita!$T$2:$T$2578,"44440B2Energia horáriaRuralServiço público de irrigação ruralNão se aplicaNão se aplicaPonta",Mercado_Receita!$N$2:$N$2578)</f>
        <v>0</v>
      </c>
      <c r="T28" s="14">
        <f>SUMIF(Mercado_Receita!$T$2:$T$2578,"44470B2Energia horáriaRuralServiço público de irrigação ruralNão se aplicaNão se aplicaPonta",Mercado_Receita!$N$2:$N$2578)</f>
        <v>0</v>
      </c>
      <c r="U28" s="14">
        <f t="shared" si="0"/>
        <v>0</v>
      </c>
      <c r="V28" s="14"/>
      <c r="W28" s="14"/>
    </row>
    <row r="29" spans="1:23" ht="11.25" customHeight="1" x14ac:dyDescent="0.25">
      <c r="A29" s="110"/>
      <c r="B29" s="110"/>
      <c r="C29" s="110"/>
      <c r="D29" s="110"/>
      <c r="E29" s="110"/>
      <c r="F29" s="110"/>
      <c r="G29" s="14" t="s">
        <v>98</v>
      </c>
      <c r="H29" s="14" t="s">
        <v>86</v>
      </c>
      <c r="I29" s="14">
        <f>SUMIF(Mercado_Receita!$T$2:$T$2578,"44136B2Energia horáriaRuralServiço público de irrigação ruralNão se aplicaNão se aplicaIntermediário",Mercado_Receita!$N$2:$N$2578)</f>
        <v>0</v>
      </c>
      <c r="J29" s="14">
        <f>SUMIF(Mercado_Receita!$T$2:$T$2578,"44166B2Energia horáriaRuralServiço público de irrigação ruralNão se aplicaNão se aplicaIntermediário",Mercado_Receita!$N$2:$N$2578)</f>
        <v>0</v>
      </c>
      <c r="K29" s="14">
        <f>SUMIF(Mercado_Receita!$T$2:$T$2578,"44197B2Energia horáriaRuralServiço público de irrigação ruralNão se aplicaNão se aplicaIntermediário",Mercado_Receita!$N$2:$N$2578)</f>
        <v>0</v>
      </c>
      <c r="L29" s="14">
        <f>SUMIF(Mercado_Receita!$T$2:$T$2578,"44228B2Energia horáriaRuralServiço público de irrigação ruralNão se aplicaNão se aplicaIntermediário",Mercado_Receita!$N$2:$N$2578)</f>
        <v>0</v>
      </c>
      <c r="M29" s="14">
        <f>SUMIF(Mercado_Receita!$T$2:$T$2578,"44256B2Energia horáriaRuralServiço público de irrigação ruralNão se aplicaNão se aplicaIntermediário",Mercado_Receita!$N$2:$N$2578)</f>
        <v>0</v>
      </c>
      <c r="N29" s="14">
        <f>SUMIF(Mercado_Receita!$T$2:$T$2578,"44287B2Energia horáriaRuralServiço público de irrigação ruralNão se aplicaNão se aplicaIntermediário",Mercado_Receita!$N$2:$N$2578)</f>
        <v>0</v>
      </c>
      <c r="O29" s="14">
        <f>SUMIF(Mercado_Receita!$T$2:$T$2578,"44317B2Energia horáriaRuralServiço público de irrigação ruralNão se aplicaNão se aplicaIntermediário",Mercado_Receita!$N$2:$N$2578)</f>
        <v>0</v>
      </c>
      <c r="P29" s="14">
        <f>SUMIF(Mercado_Receita!$T$2:$T$2578,"44348B2Energia horáriaRuralServiço público de irrigação ruralNão se aplicaNão se aplicaIntermediário",Mercado_Receita!$N$2:$N$2578)</f>
        <v>0</v>
      </c>
      <c r="Q29" s="14">
        <f>SUMIF(Mercado_Receita!$T$2:$T$2578,"44378B2Energia horáriaRuralServiço público de irrigação ruralNão se aplicaNão se aplicaIntermediário",Mercado_Receita!$N$2:$N$2578)</f>
        <v>0</v>
      </c>
      <c r="R29" s="14">
        <f>SUMIF(Mercado_Receita!$T$2:$T$2578,"44409B2Energia horáriaRuralServiço público de irrigação ruralNão se aplicaNão se aplicaIntermediário",Mercado_Receita!$N$2:$N$2578)</f>
        <v>0</v>
      </c>
      <c r="S29" s="14">
        <f>SUMIF(Mercado_Receita!$T$2:$T$2578,"44440B2Energia horáriaRuralServiço público de irrigação ruralNão se aplicaNão se aplicaIntermediário",Mercado_Receita!$N$2:$N$2578)</f>
        <v>0</v>
      </c>
      <c r="T29" s="14">
        <f>SUMIF(Mercado_Receita!$T$2:$T$2578,"44470B2Energia horáriaRuralServiço público de irrigação ruralNão se aplicaNão se aplicaIntermediário",Mercado_Receita!$N$2:$N$2578)</f>
        <v>0</v>
      </c>
      <c r="U29" s="14">
        <f t="shared" si="0"/>
        <v>0</v>
      </c>
      <c r="V29" s="14"/>
      <c r="W29" s="14"/>
    </row>
    <row r="30" spans="1:23" ht="11.25" customHeight="1" x14ac:dyDescent="0.25">
      <c r="A30" s="110"/>
      <c r="B30" s="110"/>
      <c r="C30" s="110"/>
      <c r="D30" s="110"/>
      <c r="E30" s="110"/>
      <c r="F30" s="110"/>
      <c r="G30" s="14" t="s">
        <v>88</v>
      </c>
      <c r="H30" s="14" t="s">
        <v>86</v>
      </c>
      <c r="I30" s="14">
        <f>SUMIF(Mercado_Receita!$T$2:$T$2578,"44136B2Energia horáriaRuralServiço público de irrigação ruralNão se aplicaNão se aplicaFora ponta",Mercado_Receita!$N$2:$N$2578)</f>
        <v>0</v>
      </c>
      <c r="J30" s="14">
        <f>SUMIF(Mercado_Receita!$T$2:$T$2578,"44166B2Energia horáriaRuralServiço público de irrigação ruralNão se aplicaNão se aplicaFora ponta",Mercado_Receita!$N$2:$N$2578)</f>
        <v>0</v>
      </c>
      <c r="K30" s="14">
        <f>SUMIF(Mercado_Receita!$T$2:$T$2578,"44197B2Energia horáriaRuralServiço público de irrigação ruralNão se aplicaNão se aplicaFora ponta",Mercado_Receita!$N$2:$N$2578)</f>
        <v>0</v>
      </c>
      <c r="L30" s="14">
        <f>SUMIF(Mercado_Receita!$T$2:$T$2578,"44228B2Energia horáriaRuralServiço público de irrigação ruralNão se aplicaNão se aplicaFora ponta",Mercado_Receita!$N$2:$N$2578)</f>
        <v>0</v>
      </c>
      <c r="M30" s="14">
        <f>SUMIF(Mercado_Receita!$T$2:$T$2578,"44256B2Energia horáriaRuralServiço público de irrigação ruralNão se aplicaNão se aplicaFora ponta",Mercado_Receita!$N$2:$N$2578)</f>
        <v>0</v>
      </c>
      <c r="N30" s="14">
        <f>SUMIF(Mercado_Receita!$T$2:$T$2578,"44287B2Energia horáriaRuralServiço público de irrigação ruralNão se aplicaNão se aplicaFora ponta",Mercado_Receita!$N$2:$N$2578)</f>
        <v>0</v>
      </c>
      <c r="O30" s="14">
        <f>SUMIF(Mercado_Receita!$T$2:$T$2578,"44317B2Energia horáriaRuralServiço público de irrigação ruralNão se aplicaNão se aplicaFora ponta",Mercado_Receita!$N$2:$N$2578)</f>
        <v>0</v>
      </c>
      <c r="P30" s="14">
        <f>SUMIF(Mercado_Receita!$T$2:$T$2578,"44348B2Energia horáriaRuralServiço público de irrigação ruralNão se aplicaNão se aplicaFora ponta",Mercado_Receita!$N$2:$N$2578)</f>
        <v>0</v>
      </c>
      <c r="Q30" s="14">
        <f>SUMIF(Mercado_Receita!$T$2:$T$2578,"44378B2Energia horáriaRuralServiço público de irrigação ruralNão se aplicaNão se aplicaFora ponta",Mercado_Receita!$N$2:$N$2578)</f>
        <v>0</v>
      </c>
      <c r="R30" s="14">
        <f>SUMIF(Mercado_Receita!$T$2:$T$2578,"44409B2Energia horáriaRuralServiço público de irrigação ruralNão se aplicaNão se aplicaFora ponta",Mercado_Receita!$N$2:$N$2578)</f>
        <v>0</v>
      </c>
      <c r="S30" s="14">
        <f>SUMIF(Mercado_Receita!$T$2:$T$2578,"44440B2Energia horáriaRuralServiço público de irrigação ruralNão se aplicaNão se aplicaFora ponta",Mercado_Receita!$N$2:$N$2578)</f>
        <v>0</v>
      </c>
      <c r="T30" s="14">
        <f>SUMIF(Mercado_Receita!$T$2:$T$2578,"44470B2Energia horáriaRuralServiço público de irrigação ruralNão se aplicaNão se aplicaFora ponta",Mercado_Receita!$N$2:$N$2578)</f>
        <v>0</v>
      </c>
      <c r="U30" s="14">
        <f t="shared" si="0"/>
        <v>0</v>
      </c>
      <c r="V30" s="14"/>
      <c r="W30" s="14"/>
    </row>
    <row r="31" spans="1:23" ht="11.25" customHeight="1" x14ac:dyDescent="0.25">
      <c r="A31" s="110"/>
      <c r="B31" s="13" t="s">
        <v>94</v>
      </c>
      <c r="C31" s="13" t="s">
        <v>47</v>
      </c>
      <c r="D31" s="13" t="s">
        <v>55</v>
      </c>
      <c r="E31" s="13" t="s">
        <v>25</v>
      </c>
      <c r="F31" s="13" t="s">
        <v>25</v>
      </c>
      <c r="G31" s="14" t="s">
        <v>92</v>
      </c>
      <c r="H31" s="14" t="s">
        <v>86</v>
      </c>
      <c r="I31" s="14">
        <f>SUMIF(Mercado_Receita!$T$2:$T$2578,"44136B2Energia convencionalRuralServiço público de irrigação ruralNão se aplicaNão se aplicaNão se aplica",Mercado_Receita!$N$2:$N$2578)</f>
        <v>0</v>
      </c>
      <c r="J31" s="14">
        <f>SUMIF(Mercado_Receita!$T$2:$T$2578,"44166B2Energia convencionalRuralServiço público de irrigação ruralNão se aplicaNão se aplicaNão se aplica",Mercado_Receita!$N$2:$N$2578)</f>
        <v>0</v>
      </c>
      <c r="K31" s="14">
        <f>SUMIF(Mercado_Receita!$T$2:$T$2578,"44197B2Energia convencionalRuralServiço público de irrigação ruralNão se aplicaNão se aplicaNão se aplica",Mercado_Receita!$N$2:$N$2578)</f>
        <v>0</v>
      </c>
      <c r="L31" s="14">
        <f>SUMIF(Mercado_Receita!$T$2:$T$2578,"44228B2Energia convencionalRuralServiço público de irrigação ruralNão se aplicaNão se aplicaNão se aplica",Mercado_Receita!$N$2:$N$2578)</f>
        <v>0</v>
      </c>
      <c r="M31" s="14">
        <f>SUMIF(Mercado_Receita!$T$2:$T$2578,"44256B2Energia convencionalRuralServiço público de irrigação ruralNão se aplicaNão se aplicaNão se aplica",Mercado_Receita!$N$2:$N$2578)</f>
        <v>0</v>
      </c>
      <c r="N31" s="14">
        <f>SUMIF(Mercado_Receita!$T$2:$T$2578,"44287B2Energia convencionalRuralServiço público de irrigação ruralNão se aplicaNão se aplicaNão se aplica",Mercado_Receita!$N$2:$N$2578)</f>
        <v>26.512</v>
      </c>
      <c r="O31" s="14">
        <f>SUMIF(Mercado_Receita!$T$2:$T$2578,"44317B2Energia convencionalRuralServiço público de irrigação ruralNão se aplicaNão se aplicaNão se aplica",Mercado_Receita!$N$2:$N$2578)</f>
        <v>0</v>
      </c>
      <c r="P31" s="14">
        <f>SUMIF(Mercado_Receita!$T$2:$T$2578,"44348B2Energia convencionalRuralServiço público de irrigação ruralNão se aplicaNão se aplicaNão se aplica",Mercado_Receita!$N$2:$N$2578)</f>
        <v>0</v>
      </c>
      <c r="Q31" s="14">
        <f>SUMIF(Mercado_Receita!$T$2:$T$2578,"44378B2Energia convencionalRuralServiço público de irrigação ruralNão se aplicaNão se aplicaNão se aplica",Mercado_Receita!$N$2:$N$2578)</f>
        <v>0</v>
      </c>
      <c r="R31" s="14">
        <f>SUMIF(Mercado_Receita!$T$2:$T$2578,"44409B2Energia convencionalRuralServiço público de irrigação ruralNão se aplicaNão se aplicaNão se aplica",Mercado_Receita!$N$2:$N$2578)</f>
        <v>0</v>
      </c>
      <c r="S31" s="14">
        <f>SUMIF(Mercado_Receita!$T$2:$T$2578,"44440B2Energia convencionalRuralServiço público de irrigação ruralNão se aplicaNão se aplicaNão se aplica",Mercado_Receita!$N$2:$N$2578)</f>
        <v>0</v>
      </c>
      <c r="T31" s="14">
        <f>SUMIF(Mercado_Receita!$T$2:$T$2578,"44470B2Energia convencionalRuralServiço público de irrigação ruralNão se aplicaNão se aplicaNão se aplica",Mercado_Receita!$N$2:$N$2578)</f>
        <v>0</v>
      </c>
      <c r="U31" s="14">
        <f t="shared" si="0"/>
        <v>26.512</v>
      </c>
      <c r="V31" s="14"/>
      <c r="W31" s="14"/>
    </row>
    <row r="32" spans="1:23" ht="11.25" customHeight="1" x14ac:dyDescent="0.25">
      <c r="A32" s="110"/>
      <c r="B32" s="109" t="s">
        <v>99</v>
      </c>
      <c r="C32" s="109" t="s">
        <v>47</v>
      </c>
      <c r="D32" s="13" t="s">
        <v>25</v>
      </c>
      <c r="E32" s="13" t="s">
        <v>25</v>
      </c>
      <c r="F32" s="13" t="s">
        <v>25</v>
      </c>
      <c r="G32" s="14" t="s">
        <v>92</v>
      </c>
      <c r="H32" s="14" t="s">
        <v>86</v>
      </c>
      <c r="I32" s="14">
        <f>SUMIF(Mercado_Receita!$T$2:$T$2578,"44136B2Energia convencional pré-pagamentoRuralNão se aplicaNão se aplicaNão se aplicaNão se aplica",Mercado_Receita!$N$2:$N$2578)</f>
        <v>0</v>
      </c>
      <c r="J32" s="14">
        <f>SUMIF(Mercado_Receita!$T$2:$T$2578,"44166B2Energia convencional pré-pagamentoRuralNão se aplicaNão se aplicaNão se aplicaNão se aplica",Mercado_Receita!$N$2:$N$2578)</f>
        <v>0</v>
      </c>
      <c r="K32" s="14">
        <f>SUMIF(Mercado_Receita!$T$2:$T$2578,"44197B2Energia convencional pré-pagamentoRuralNão se aplicaNão se aplicaNão se aplicaNão se aplica",Mercado_Receita!$N$2:$N$2578)</f>
        <v>0</v>
      </c>
      <c r="L32" s="14">
        <f>SUMIF(Mercado_Receita!$T$2:$T$2578,"44228B2Energia convencional pré-pagamentoRuralNão se aplicaNão se aplicaNão se aplicaNão se aplica",Mercado_Receita!$N$2:$N$2578)</f>
        <v>0</v>
      </c>
      <c r="M32" s="14">
        <f>SUMIF(Mercado_Receita!$T$2:$T$2578,"44256B2Energia convencional pré-pagamentoRuralNão se aplicaNão se aplicaNão se aplicaNão se aplica",Mercado_Receita!$N$2:$N$2578)</f>
        <v>0</v>
      </c>
      <c r="N32" s="14">
        <f>SUMIF(Mercado_Receita!$T$2:$T$2578,"44287B2Energia convencional pré-pagamentoRuralNão se aplicaNão se aplicaNão se aplicaNão se aplica",Mercado_Receita!$N$2:$N$2578)</f>
        <v>0</v>
      </c>
      <c r="O32" s="14">
        <f>SUMIF(Mercado_Receita!$T$2:$T$2578,"44317B2Energia convencional pré-pagamentoRuralNão se aplicaNão se aplicaNão se aplicaNão se aplica",Mercado_Receita!$N$2:$N$2578)</f>
        <v>0</v>
      </c>
      <c r="P32" s="14">
        <f>SUMIF(Mercado_Receita!$T$2:$T$2578,"44348B2Energia convencional pré-pagamentoRuralNão se aplicaNão se aplicaNão se aplicaNão se aplica",Mercado_Receita!$N$2:$N$2578)</f>
        <v>0</v>
      </c>
      <c r="Q32" s="14">
        <f>SUMIF(Mercado_Receita!$T$2:$T$2578,"44378B2Energia convencional pré-pagamentoRuralNão se aplicaNão se aplicaNão se aplicaNão se aplica",Mercado_Receita!$N$2:$N$2578)</f>
        <v>0</v>
      </c>
      <c r="R32" s="14">
        <f>SUMIF(Mercado_Receita!$T$2:$T$2578,"44409B2Energia convencional pré-pagamentoRuralNão se aplicaNão se aplicaNão se aplicaNão se aplica",Mercado_Receita!$N$2:$N$2578)</f>
        <v>0</v>
      </c>
      <c r="S32" s="14">
        <f>SUMIF(Mercado_Receita!$T$2:$T$2578,"44440B2Energia convencional pré-pagamentoRuralNão se aplicaNão se aplicaNão se aplicaNão se aplica",Mercado_Receita!$N$2:$N$2578)</f>
        <v>0</v>
      </c>
      <c r="T32" s="14">
        <f>SUMIF(Mercado_Receita!$T$2:$T$2578,"44470B2Energia convencional pré-pagamentoRuralNão se aplicaNão se aplicaNão se aplicaNão se aplica",Mercado_Receita!$N$2:$N$2578)</f>
        <v>0</v>
      </c>
      <c r="U32" s="14">
        <f t="shared" si="0"/>
        <v>0</v>
      </c>
      <c r="V32" s="14"/>
      <c r="W32" s="14"/>
    </row>
    <row r="33" spans="1:23" ht="11.25" customHeight="1" x14ac:dyDescent="0.25">
      <c r="A33" s="110"/>
      <c r="B33" s="110"/>
      <c r="C33" s="110"/>
      <c r="D33" s="13" t="s">
        <v>101</v>
      </c>
      <c r="E33" s="13" t="s">
        <v>25</v>
      </c>
      <c r="F33" s="13" t="s">
        <v>25</v>
      </c>
      <c r="G33" s="14" t="s">
        <v>92</v>
      </c>
      <c r="H33" s="14" t="s">
        <v>86</v>
      </c>
      <c r="I33" s="14">
        <f>SUMIF(Mercado_Receita!$T$2:$T$2578,"44136B2Energia convencional pré-pagamentoRuralCooperativa de eletrificação ruralNão se aplicaNão se aplicaNão se aplica",Mercado_Receita!$N$2:$N$2578)</f>
        <v>0</v>
      </c>
      <c r="J33" s="14">
        <f>SUMIF(Mercado_Receita!$T$2:$T$2578,"44166B2Energia convencional pré-pagamentoRuralCooperativa de eletrificação ruralNão se aplicaNão se aplicaNão se aplica",Mercado_Receita!$N$2:$N$2578)</f>
        <v>0</v>
      </c>
      <c r="K33" s="14">
        <f>SUMIF(Mercado_Receita!$T$2:$T$2578,"44197B2Energia convencional pré-pagamentoRuralCooperativa de eletrificação ruralNão se aplicaNão se aplicaNão se aplica",Mercado_Receita!$N$2:$N$2578)</f>
        <v>0</v>
      </c>
      <c r="L33" s="14">
        <f>SUMIF(Mercado_Receita!$T$2:$T$2578,"44228B2Energia convencional pré-pagamentoRuralCooperativa de eletrificação ruralNão se aplicaNão se aplicaNão se aplica",Mercado_Receita!$N$2:$N$2578)</f>
        <v>0</v>
      </c>
      <c r="M33" s="14">
        <f>SUMIF(Mercado_Receita!$T$2:$T$2578,"44256B2Energia convencional pré-pagamentoRuralCooperativa de eletrificação ruralNão se aplicaNão se aplicaNão se aplica",Mercado_Receita!$N$2:$N$2578)</f>
        <v>0</v>
      </c>
      <c r="N33" s="14">
        <f>SUMIF(Mercado_Receita!$T$2:$T$2578,"44287B2Energia convencional pré-pagamentoRuralCooperativa de eletrificação ruralNão se aplicaNão se aplicaNão se aplica",Mercado_Receita!$N$2:$N$2578)</f>
        <v>0</v>
      </c>
      <c r="O33" s="14">
        <f>SUMIF(Mercado_Receita!$T$2:$T$2578,"44317B2Energia convencional pré-pagamentoRuralCooperativa de eletrificação ruralNão se aplicaNão se aplicaNão se aplica",Mercado_Receita!$N$2:$N$2578)</f>
        <v>0</v>
      </c>
      <c r="P33" s="14">
        <f>SUMIF(Mercado_Receita!$T$2:$T$2578,"44348B2Energia convencional pré-pagamentoRuralCooperativa de eletrificação ruralNão se aplicaNão se aplicaNão se aplica",Mercado_Receita!$N$2:$N$2578)</f>
        <v>0</v>
      </c>
      <c r="Q33" s="14">
        <f>SUMIF(Mercado_Receita!$T$2:$T$2578,"44378B2Energia convencional pré-pagamentoRuralCooperativa de eletrificação ruralNão se aplicaNão se aplicaNão se aplica",Mercado_Receita!$N$2:$N$2578)</f>
        <v>0</v>
      </c>
      <c r="R33" s="14">
        <f>SUMIF(Mercado_Receita!$T$2:$T$2578,"44409B2Energia convencional pré-pagamentoRuralCooperativa de eletrificação ruralNão se aplicaNão se aplicaNão se aplica",Mercado_Receita!$N$2:$N$2578)</f>
        <v>0</v>
      </c>
      <c r="S33" s="14">
        <f>SUMIF(Mercado_Receita!$T$2:$T$2578,"44440B2Energia convencional pré-pagamentoRuralCooperativa de eletrificação ruralNão se aplicaNão se aplicaNão se aplica",Mercado_Receita!$N$2:$N$2578)</f>
        <v>0</v>
      </c>
      <c r="T33" s="14">
        <f>SUMIF(Mercado_Receita!$T$2:$T$2578,"44470B2Energia convencional pré-pagamentoRuralCooperativa de eletrificação ruralNão se aplicaNão se aplicaNão se aplica",Mercado_Receita!$N$2:$N$2578)</f>
        <v>0</v>
      </c>
      <c r="U33" s="14">
        <f t="shared" si="0"/>
        <v>0</v>
      </c>
      <c r="V33" s="14"/>
      <c r="W33" s="14"/>
    </row>
    <row r="34" spans="1:23" ht="11.25" customHeight="1" x14ac:dyDescent="0.25">
      <c r="A34" s="110"/>
      <c r="B34" s="110"/>
      <c r="C34" s="110"/>
      <c r="D34" s="13" t="s">
        <v>55</v>
      </c>
      <c r="E34" s="13" t="s">
        <v>25</v>
      </c>
      <c r="F34" s="13" t="s">
        <v>25</v>
      </c>
      <c r="G34" s="14" t="s">
        <v>92</v>
      </c>
      <c r="H34" s="14" t="s">
        <v>86</v>
      </c>
      <c r="I34" s="14">
        <f>SUMIF(Mercado_Receita!$T$2:$T$2578,"44136B2Energia convencional pré-pagamentoRuralServiço público de irrigação ruralNão se aplicaNão se aplicaNão se aplica",Mercado_Receita!$N$2:$N$2578)</f>
        <v>0</v>
      </c>
      <c r="J34" s="14">
        <f>SUMIF(Mercado_Receita!$T$2:$T$2578,"44166B2Energia convencional pré-pagamentoRuralServiço público de irrigação ruralNão se aplicaNão se aplicaNão se aplica",Mercado_Receita!$N$2:$N$2578)</f>
        <v>0</v>
      </c>
      <c r="K34" s="14">
        <f>SUMIF(Mercado_Receita!$T$2:$T$2578,"44197B2Energia convencional pré-pagamentoRuralServiço público de irrigação ruralNão se aplicaNão se aplicaNão se aplica",Mercado_Receita!$N$2:$N$2578)</f>
        <v>0</v>
      </c>
      <c r="L34" s="14">
        <f>SUMIF(Mercado_Receita!$T$2:$T$2578,"44228B2Energia convencional pré-pagamentoRuralServiço público de irrigação ruralNão se aplicaNão se aplicaNão se aplica",Mercado_Receita!$N$2:$N$2578)</f>
        <v>0</v>
      </c>
      <c r="M34" s="14">
        <f>SUMIF(Mercado_Receita!$T$2:$T$2578,"44256B2Energia convencional pré-pagamentoRuralServiço público de irrigação ruralNão se aplicaNão se aplicaNão se aplica",Mercado_Receita!$N$2:$N$2578)</f>
        <v>0</v>
      </c>
      <c r="N34" s="14">
        <f>SUMIF(Mercado_Receita!$T$2:$T$2578,"44287B2Energia convencional pré-pagamentoRuralServiço público de irrigação ruralNão se aplicaNão se aplicaNão se aplica",Mercado_Receita!$N$2:$N$2578)</f>
        <v>0</v>
      </c>
      <c r="O34" s="14">
        <f>SUMIF(Mercado_Receita!$T$2:$T$2578,"44317B2Energia convencional pré-pagamentoRuralServiço público de irrigação ruralNão se aplicaNão se aplicaNão se aplica",Mercado_Receita!$N$2:$N$2578)</f>
        <v>0</v>
      </c>
      <c r="P34" s="14">
        <f>SUMIF(Mercado_Receita!$T$2:$T$2578,"44348B2Energia convencional pré-pagamentoRuralServiço público de irrigação ruralNão se aplicaNão se aplicaNão se aplica",Mercado_Receita!$N$2:$N$2578)</f>
        <v>0</v>
      </c>
      <c r="Q34" s="14">
        <f>SUMIF(Mercado_Receita!$T$2:$T$2578,"44378B2Energia convencional pré-pagamentoRuralServiço público de irrigação ruralNão se aplicaNão se aplicaNão se aplica",Mercado_Receita!$N$2:$N$2578)</f>
        <v>0</v>
      </c>
      <c r="R34" s="14">
        <f>SUMIF(Mercado_Receita!$T$2:$T$2578,"44409B2Energia convencional pré-pagamentoRuralServiço público de irrigação ruralNão se aplicaNão se aplicaNão se aplica",Mercado_Receita!$N$2:$N$2578)</f>
        <v>0</v>
      </c>
      <c r="S34" s="14">
        <f>SUMIF(Mercado_Receita!$T$2:$T$2578,"44440B2Energia convencional pré-pagamentoRuralServiço público de irrigação ruralNão se aplicaNão se aplicaNão se aplica",Mercado_Receita!$N$2:$N$2578)</f>
        <v>0</v>
      </c>
      <c r="T34" s="14">
        <f>SUMIF(Mercado_Receita!$T$2:$T$2578,"44470B2Energia convencional pré-pagamentoRuralServiço público de irrigação ruralNão se aplicaNão se aplicaNão se aplica",Mercado_Receita!$N$2:$N$2578)</f>
        <v>0</v>
      </c>
      <c r="U34" s="14">
        <f t="shared" si="0"/>
        <v>0</v>
      </c>
      <c r="V34" s="14"/>
      <c r="W34" s="14"/>
    </row>
    <row r="35" spans="1:23" ht="11.25" customHeight="1" x14ac:dyDescent="0.25">
      <c r="A35" s="109" t="s">
        <v>41</v>
      </c>
      <c r="B35" s="109" t="s">
        <v>85</v>
      </c>
      <c r="C35" s="109" t="s">
        <v>25</v>
      </c>
      <c r="D35" s="109" t="s">
        <v>25</v>
      </c>
      <c r="E35" s="109" t="s">
        <v>25</v>
      </c>
      <c r="F35" s="109" t="s">
        <v>25</v>
      </c>
      <c r="G35" s="14" t="s">
        <v>87</v>
      </c>
      <c r="H35" s="14" t="s">
        <v>86</v>
      </c>
      <c r="I35" s="14">
        <f>SUMIF(Mercado_Receita!$T$2:$T$2578,"44136B3Energia horáriaNão se aplicaNão se aplicaNão se aplicaNão se aplicaPonta",Mercado_Receita!$N$2:$N$2578)</f>
        <v>51.441999999999993</v>
      </c>
      <c r="J35" s="14">
        <f>SUMIF(Mercado_Receita!$T$2:$T$2578,"44166B3Energia horáriaNão se aplicaNão se aplicaNão se aplicaNão se aplicaPonta",Mercado_Receita!$N$2:$N$2578)</f>
        <v>-29.429000000000002</v>
      </c>
      <c r="K35" s="14">
        <f>SUMIF(Mercado_Receita!$T$2:$T$2578,"44197B3Energia horáriaNão se aplicaNão se aplicaNão se aplicaNão se aplicaPonta",Mercado_Receita!$N$2:$N$2578)</f>
        <v>14.249000000000001</v>
      </c>
      <c r="L35" s="14">
        <f>SUMIF(Mercado_Receita!$T$2:$T$2578,"44228B3Energia horáriaNão se aplicaNão se aplicaNão se aplicaNão se aplicaPonta",Mercado_Receita!$N$2:$N$2578)</f>
        <v>13.724</v>
      </c>
      <c r="M35" s="14">
        <f>SUMIF(Mercado_Receita!$T$2:$T$2578,"44256B3Energia horáriaNão se aplicaNão se aplicaNão se aplicaNão se aplicaPonta",Mercado_Receita!$N$2:$N$2578)</f>
        <v>6.42</v>
      </c>
      <c r="N35" s="14">
        <f>SUMIF(Mercado_Receita!$T$2:$T$2578,"44287B3Energia horáriaNão se aplicaNão se aplicaNão se aplicaNão se aplicaPonta",Mercado_Receita!$N$2:$N$2578)</f>
        <v>12.75</v>
      </c>
      <c r="O35" s="14">
        <f>SUMIF(Mercado_Receita!$T$2:$T$2578,"44317B3Energia horáriaNão se aplicaNão se aplicaNão se aplicaNão se aplicaPonta",Mercado_Receita!$N$2:$N$2578)</f>
        <v>11.116000000000001</v>
      </c>
      <c r="P35" s="14">
        <f>SUMIF(Mercado_Receita!$T$2:$T$2578,"44348B3Energia horáriaNão se aplicaNão se aplicaNão se aplicaNão se aplicaPonta",Mercado_Receita!$N$2:$N$2578)</f>
        <v>14.686</v>
      </c>
      <c r="Q35" s="14">
        <f>SUMIF(Mercado_Receita!$T$2:$T$2578,"44378B3Energia horáriaNão se aplicaNão se aplicaNão se aplicaNão se aplicaPonta",Mercado_Receita!$N$2:$N$2578)</f>
        <v>10.386999999999999</v>
      </c>
      <c r="R35" s="14">
        <f>SUMIF(Mercado_Receita!$T$2:$T$2578,"44409B3Energia horáriaNão se aplicaNão se aplicaNão se aplicaNão se aplicaPonta",Mercado_Receita!$N$2:$N$2578)</f>
        <v>20.273</v>
      </c>
      <c r="S35" s="14">
        <f>SUMIF(Mercado_Receita!$T$2:$T$2578,"44440B3Energia horáriaNão se aplicaNão se aplicaNão se aplicaNão se aplicaPonta",Mercado_Receita!$N$2:$N$2578)</f>
        <v>16.942000000000004</v>
      </c>
      <c r="T35" s="14">
        <f>SUMIF(Mercado_Receita!$T$2:$T$2578,"44470B3Energia horáriaNão se aplicaNão se aplicaNão se aplicaNão se aplicaPonta",Mercado_Receita!$N$2:$N$2578)</f>
        <v>16.942000000000004</v>
      </c>
      <c r="U35" s="14">
        <f t="shared" si="0"/>
        <v>159.50200000000001</v>
      </c>
      <c r="V35" s="14"/>
      <c r="W35" s="14"/>
    </row>
    <row r="36" spans="1:23" ht="11.25" customHeight="1" x14ac:dyDescent="0.25">
      <c r="A36" s="110"/>
      <c r="B36" s="110"/>
      <c r="C36" s="110"/>
      <c r="D36" s="110"/>
      <c r="E36" s="110"/>
      <c r="F36" s="110"/>
      <c r="G36" s="14" t="s">
        <v>98</v>
      </c>
      <c r="H36" s="14" t="s">
        <v>86</v>
      </c>
      <c r="I36" s="14">
        <f>SUMIF(Mercado_Receita!$T$2:$T$2578,"44136B3Energia horáriaNão se aplicaNão se aplicaNão se aplicaNão se aplicaIntermediário",Mercado_Receita!$N$2:$N$2578)</f>
        <v>11.593999999999998</v>
      </c>
      <c r="J36" s="14">
        <f>SUMIF(Mercado_Receita!$T$2:$T$2578,"44166B3Energia horáriaNão se aplicaNão se aplicaNão se aplicaNão se aplicaIntermediário",Mercado_Receita!$N$2:$N$2578)</f>
        <v>11.113</v>
      </c>
      <c r="K36" s="14">
        <f>SUMIF(Mercado_Receita!$T$2:$T$2578,"44197B3Energia horáriaNão se aplicaNão se aplicaNão se aplicaNão se aplicaIntermediário",Mercado_Receita!$N$2:$N$2578)</f>
        <v>7.4820000000000002</v>
      </c>
      <c r="L36" s="14">
        <f>SUMIF(Mercado_Receita!$T$2:$T$2578,"44228B3Energia horáriaNão se aplicaNão se aplicaNão se aplicaNão se aplicaIntermediário",Mercado_Receita!$N$2:$N$2578)</f>
        <v>8.4690000000000012</v>
      </c>
      <c r="M36" s="14">
        <f>SUMIF(Mercado_Receita!$T$2:$T$2578,"44256B3Energia horáriaNão se aplicaNão se aplicaNão se aplicaNão se aplicaIntermediário",Mercado_Receita!$N$2:$N$2578)</f>
        <v>9.2099999999999991</v>
      </c>
      <c r="N36" s="14">
        <f>SUMIF(Mercado_Receita!$T$2:$T$2578,"44287B3Energia horáriaNão se aplicaNão se aplicaNão se aplicaNão se aplicaIntermediário",Mercado_Receita!$N$2:$N$2578)</f>
        <v>9.0359999999999996</v>
      </c>
      <c r="O36" s="14">
        <f>SUMIF(Mercado_Receita!$T$2:$T$2578,"44317B3Energia horáriaNão se aplicaNão se aplicaNão se aplicaNão se aplicaIntermediário",Mercado_Receita!$N$2:$N$2578)</f>
        <v>5.3710000000000004</v>
      </c>
      <c r="P36" s="14">
        <f>SUMIF(Mercado_Receita!$T$2:$T$2578,"44348B3Energia horáriaNão se aplicaNão se aplicaNão se aplicaNão se aplicaIntermediário",Mercado_Receita!$N$2:$N$2578)</f>
        <v>5.6230000000000002</v>
      </c>
      <c r="Q36" s="14">
        <f>SUMIF(Mercado_Receita!$T$2:$T$2578,"44378B3Energia horáriaNão se aplicaNão se aplicaNão se aplicaNão se aplicaIntermediário",Mercado_Receita!$N$2:$N$2578)</f>
        <v>5.1850000000000005</v>
      </c>
      <c r="R36" s="14">
        <f>SUMIF(Mercado_Receita!$T$2:$T$2578,"44409B3Energia horáriaNão se aplicaNão se aplicaNão se aplicaNão se aplicaIntermediário",Mercado_Receita!$N$2:$N$2578)</f>
        <v>5.7990000000000004</v>
      </c>
      <c r="S36" s="14">
        <f>SUMIF(Mercado_Receita!$T$2:$T$2578,"44440B3Energia horáriaNão se aplicaNão se aplicaNão se aplicaNão se aplicaIntermediário",Mercado_Receita!$N$2:$N$2578)</f>
        <v>5.46</v>
      </c>
      <c r="T36" s="14">
        <f>SUMIF(Mercado_Receita!$T$2:$T$2578,"44470B3Energia horáriaNão se aplicaNão se aplicaNão se aplicaNão se aplicaIntermediário",Mercado_Receita!$N$2:$N$2578)</f>
        <v>5.46</v>
      </c>
      <c r="U36" s="14">
        <f t="shared" si="0"/>
        <v>89.802000000000007</v>
      </c>
      <c r="V36" s="14"/>
      <c r="W36" s="14"/>
    </row>
    <row r="37" spans="1:23" ht="11.25" customHeight="1" x14ac:dyDescent="0.25">
      <c r="A37" s="110"/>
      <c r="B37" s="110"/>
      <c r="C37" s="110"/>
      <c r="D37" s="110"/>
      <c r="E37" s="110"/>
      <c r="F37" s="110"/>
      <c r="G37" s="14" t="s">
        <v>88</v>
      </c>
      <c r="H37" s="14" t="s">
        <v>86</v>
      </c>
      <c r="I37" s="14">
        <f>SUMIF(Mercado_Receita!$T$2:$T$2578,"44136B3Energia horáriaNão se aplicaNão se aplicaNão se aplicaNão se aplicaFora ponta",Mercado_Receita!$N$2:$N$2578)</f>
        <v>217.38499999999999</v>
      </c>
      <c r="J37" s="14">
        <f>SUMIF(Mercado_Receita!$T$2:$T$2578,"44166B3Energia horáriaNão se aplicaNão se aplicaNão se aplicaNão se aplicaFora ponta",Mercado_Receita!$N$2:$N$2578)</f>
        <v>217.11100000000002</v>
      </c>
      <c r="K37" s="14">
        <f>SUMIF(Mercado_Receita!$T$2:$T$2578,"44197B3Energia horáriaNão se aplicaNão se aplicaNão se aplicaNão se aplicaFora ponta",Mercado_Receita!$N$2:$N$2578)</f>
        <v>180.03300000000002</v>
      </c>
      <c r="L37" s="14">
        <f>SUMIF(Mercado_Receita!$T$2:$T$2578,"44228B3Energia horáriaNão se aplicaNão se aplicaNão se aplicaNão se aplicaFora ponta",Mercado_Receita!$N$2:$N$2578)</f>
        <v>173.52799999999999</v>
      </c>
      <c r="M37" s="14">
        <f>SUMIF(Mercado_Receita!$T$2:$T$2578,"44256B3Energia horáriaNão se aplicaNão se aplicaNão se aplicaNão se aplicaFora ponta",Mercado_Receita!$N$2:$N$2578)</f>
        <v>198.392</v>
      </c>
      <c r="N37" s="14">
        <f>SUMIF(Mercado_Receita!$T$2:$T$2578,"44287B3Energia horáriaNão se aplicaNão se aplicaNão se aplicaNão se aplicaFora ponta",Mercado_Receita!$N$2:$N$2578)</f>
        <v>203.89400000000001</v>
      </c>
      <c r="O37" s="14">
        <f>SUMIF(Mercado_Receita!$T$2:$T$2578,"44317B3Energia horáriaNão se aplicaNão se aplicaNão se aplicaNão se aplicaFora ponta",Mercado_Receita!$N$2:$N$2578)</f>
        <v>203.809</v>
      </c>
      <c r="P37" s="14">
        <f>SUMIF(Mercado_Receita!$T$2:$T$2578,"44348B3Energia horáriaNão se aplicaNão se aplicaNão se aplicaNão se aplicaFora ponta",Mercado_Receita!$N$2:$N$2578)</f>
        <v>214.63199999999998</v>
      </c>
      <c r="Q37" s="14">
        <f>SUMIF(Mercado_Receita!$T$2:$T$2578,"44378B3Energia horáriaNão se aplicaNão se aplicaNão se aplicaNão se aplicaFora ponta",Mercado_Receita!$N$2:$N$2578)</f>
        <v>198.25600000000003</v>
      </c>
      <c r="R37" s="14">
        <f>SUMIF(Mercado_Receita!$T$2:$T$2578,"44409B3Energia horáriaNão se aplicaNão se aplicaNão se aplicaNão se aplicaFora ponta",Mercado_Receita!$N$2:$N$2578)</f>
        <v>243.88200000000001</v>
      </c>
      <c r="S37" s="14">
        <f>SUMIF(Mercado_Receita!$T$2:$T$2578,"44440B3Energia horáriaNão se aplicaNão se aplicaNão se aplicaNão se aplicaFora ponta",Mercado_Receita!$N$2:$N$2578)</f>
        <v>228.42500000000001</v>
      </c>
      <c r="T37" s="14">
        <f>SUMIF(Mercado_Receita!$T$2:$T$2578,"44470B3Energia horáriaNão se aplicaNão se aplicaNão se aplicaNão se aplicaFora ponta",Mercado_Receita!$N$2:$N$2578)</f>
        <v>228.42500000000001</v>
      </c>
      <c r="U37" s="14">
        <f t="shared" si="0"/>
        <v>2507.7720000000004</v>
      </c>
      <c r="V37" s="14"/>
      <c r="W37" s="14"/>
    </row>
    <row r="38" spans="1:23" ht="11.25" customHeight="1" x14ac:dyDescent="0.25">
      <c r="A38" s="110"/>
      <c r="B38" s="13" t="s">
        <v>94</v>
      </c>
      <c r="C38" s="13" t="s">
        <v>25</v>
      </c>
      <c r="D38" s="13" t="s">
        <v>25</v>
      </c>
      <c r="E38" s="13" t="s">
        <v>25</v>
      </c>
      <c r="F38" s="13" t="s">
        <v>25</v>
      </c>
      <c r="G38" s="14" t="s">
        <v>92</v>
      </c>
      <c r="H38" s="14" t="s">
        <v>86</v>
      </c>
      <c r="I38" s="14">
        <f>SUMIF(Mercado_Receita!$T$2:$T$2578,"44136B3Energia convencionalNão se aplicaNão se aplicaNão se aplicaNão se aplicaNão se aplica",Mercado_Receita!$N$2:$N$2578)</f>
        <v>70452.458999999973</v>
      </c>
      <c r="J38" s="14">
        <f>SUMIF(Mercado_Receita!$T$2:$T$2578,"44166B3Energia convencionalNão se aplicaNão se aplicaNão se aplicaNão se aplicaNão se aplica",Mercado_Receita!$N$2:$N$2578)</f>
        <v>66420.221000000005</v>
      </c>
      <c r="K38" s="14">
        <f>SUMIF(Mercado_Receita!$T$2:$T$2578,"44197B3Energia convencionalNão se aplicaNão se aplicaNão se aplicaNão se aplicaNão se aplica",Mercado_Receita!$N$2:$N$2578)</f>
        <v>59375.705000000009</v>
      </c>
      <c r="L38" s="14">
        <f>SUMIF(Mercado_Receita!$T$2:$T$2578,"44228B3Energia convencionalNão se aplicaNão se aplicaNão se aplicaNão se aplicaNão se aplica",Mercado_Receita!$N$2:$N$2578)</f>
        <v>50480.722000000002</v>
      </c>
      <c r="M38" s="14">
        <f>SUMIF(Mercado_Receita!$T$2:$T$2578,"44256B3Energia convencionalNão se aplicaNão se aplicaNão se aplicaNão se aplicaNão se aplica",Mercado_Receita!$N$2:$N$2578)</f>
        <v>58205.451000000001</v>
      </c>
      <c r="N38" s="14">
        <f>SUMIF(Mercado_Receita!$T$2:$T$2578,"44287B3Energia convencionalNão se aplicaNão se aplicaNão se aplicaNão se aplicaNão se aplica",Mercado_Receita!$N$2:$N$2578)</f>
        <v>65007.596000000005</v>
      </c>
      <c r="O38" s="14">
        <f>SUMIF(Mercado_Receita!$T$2:$T$2578,"44317B3Energia convencionalNão se aplicaNão se aplicaNão se aplicaNão se aplicaNão se aplica",Mercado_Receita!$N$2:$N$2578)</f>
        <v>68071.401999999987</v>
      </c>
      <c r="P38" s="14">
        <f>SUMIF(Mercado_Receita!$T$2:$T$2578,"44348B3Energia convencionalNão se aplicaNão se aplicaNão se aplicaNão se aplicaNão se aplica",Mercado_Receita!$N$2:$N$2578)</f>
        <v>74458.8</v>
      </c>
      <c r="Q38" s="14">
        <f>SUMIF(Mercado_Receita!$T$2:$T$2578,"44378B3Energia convencionalNão se aplicaNão se aplicaNão se aplicaNão se aplicaNão se aplica",Mercado_Receita!$N$2:$N$2578)</f>
        <v>78092.061999999991</v>
      </c>
      <c r="R38" s="14">
        <f>SUMIF(Mercado_Receita!$T$2:$T$2578,"44409B3Energia convencionalNão se aplicaNão se aplicaNão se aplicaNão se aplicaNão se aplica",Mercado_Receita!$N$2:$N$2578)</f>
        <v>88932.494999999995</v>
      </c>
      <c r="S38" s="14">
        <f>SUMIF(Mercado_Receita!$T$2:$T$2578,"44440B3Energia convencionalNão se aplicaNão se aplicaNão se aplicaNão se aplicaNão se aplica",Mercado_Receita!$N$2:$N$2578)</f>
        <v>85061.383999999991</v>
      </c>
      <c r="T38" s="14">
        <f>SUMIF(Mercado_Receita!$T$2:$T$2578,"44470B3Energia convencionalNão se aplicaNão se aplicaNão se aplicaNão se aplicaNão se aplica",Mercado_Receita!$N$2:$N$2578)</f>
        <v>85061.383999999991</v>
      </c>
      <c r="U38" s="14">
        <f t="shared" si="0"/>
        <v>849619.68099999998</v>
      </c>
      <c r="V38" s="14"/>
      <c r="W38" s="14"/>
    </row>
    <row r="39" spans="1:23" ht="11.25" customHeight="1" x14ac:dyDescent="0.25">
      <c r="A39" s="110"/>
      <c r="B39" s="13" t="s">
        <v>99</v>
      </c>
      <c r="C39" s="13" t="s">
        <v>25</v>
      </c>
      <c r="D39" s="13" t="s">
        <v>25</v>
      </c>
      <c r="E39" s="13" t="s">
        <v>25</v>
      </c>
      <c r="F39" s="13" t="s">
        <v>25</v>
      </c>
      <c r="G39" s="14" t="s">
        <v>92</v>
      </c>
      <c r="H39" s="14" t="s">
        <v>86</v>
      </c>
      <c r="I39" s="14">
        <f>SUMIF(Mercado_Receita!$T$2:$T$2578,"44136B3Energia convencional pré-pagamentoNão se aplicaNão se aplicaNão se aplicaNão se aplicaNão se aplica",Mercado_Receita!$N$2:$N$2578)</f>
        <v>0</v>
      </c>
      <c r="J39" s="14">
        <f>SUMIF(Mercado_Receita!$T$2:$T$2578,"44166B3Energia convencional pré-pagamentoNão se aplicaNão se aplicaNão se aplicaNão se aplicaNão se aplica",Mercado_Receita!$N$2:$N$2578)</f>
        <v>0</v>
      </c>
      <c r="K39" s="14">
        <f>SUMIF(Mercado_Receita!$T$2:$T$2578,"44197B3Energia convencional pré-pagamentoNão se aplicaNão se aplicaNão se aplicaNão se aplicaNão se aplica",Mercado_Receita!$N$2:$N$2578)</f>
        <v>0</v>
      </c>
      <c r="L39" s="14">
        <f>SUMIF(Mercado_Receita!$T$2:$T$2578,"44228B3Energia convencional pré-pagamentoNão se aplicaNão se aplicaNão se aplicaNão se aplicaNão se aplica",Mercado_Receita!$N$2:$N$2578)</f>
        <v>0</v>
      </c>
      <c r="M39" s="14">
        <f>SUMIF(Mercado_Receita!$T$2:$T$2578,"44256B3Energia convencional pré-pagamentoNão se aplicaNão se aplicaNão se aplicaNão se aplicaNão se aplica",Mercado_Receita!$N$2:$N$2578)</f>
        <v>0</v>
      </c>
      <c r="N39" s="14">
        <f>SUMIF(Mercado_Receita!$T$2:$T$2578,"44287B3Energia convencional pré-pagamentoNão se aplicaNão se aplicaNão se aplicaNão se aplicaNão se aplica",Mercado_Receita!$N$2:$N$2578)</f>
        <v>0</v>
      </c>
      <c r="O39" s="14">
        <f>SUMIF(Mercado_Receita!$T$2:$T$2578,"44317B3Energia convencional pré-pagamentoNão se aplicaNão se aplicaNão se aplicaNão se aplicaNão se aplica",Mercado_Receita!$N$2:$N$2578)</f>
        <v>0</v>
      </c>
      <c r="P39" s="14">
        <f>SUMIF(Mercado_Receita!$T$2:$T$2578,"44348B3Energia convencional pré-pagamentoNão se aplicaNão se aplicaNão se aplicaNão se aplicaNão se aplica",Mercado_Receita!$N$2:$N$2578)</f>
        <v>0</v>
      </c>
      <c r="Q39" s="14">
        <f>SUMIF(Mercado_Receita!$T$2:$T$2578,"44378B3Energia convencional pré-pagamentoNão se aplicaNão se aplicaNão se aplicaNão se aplicaNão se aplica",Mercado_Receita!$N$2:$N$2578)</f>
        <v>0</v>
      </c>
      <c r="R39" s="14">
        <f>SUMIF(Mercado_Receita!$T$2:$T$2578,"44409B3Energia convencional pré-pagamentoNão se aplicaNão se aplicaNão se aplicaNão se aplicaNão se aplica",Mercado_Receita!$N$2:$N$2578)</f>
        <v>0</v>
      </c>
      <c r="S39" s="14">
        <f>SUMIF(Mercado_Receita!$T$2:$T$2578,"44440B3Energia convencional pré-pagamentoNão se aplicaNão se aplicaNão se aplicaNão se aplicaNão se aplica",Mercado_Receita!$N$2:$N$2578)</f>
        <v>0</v>
      </c>
      <c r="T39" s="14">
        <f>SUMIF(Mercado_Receita!$T$2:$T$2578,"44470B3Energia convencional pré-pagamentoNão se aplicaNão se aplicaNão se aplicaNão se aplicaNão se aplica",Mercado_Receita!$N$2:$N$2578)</f>
        <v>0</v>
      </c>
      <c r="U39" s="14">
        <f t="shared" si="0"/>
        <v>0</v>
      </c>
      <c r="V39" s="14"/>
      <c r="W39" s="14"/>
    </row>
    <row r="40" spans="1:23" ht="11.25" customHeight="1" x14ac:dyDescent="0.25">
      <c r="A40" s="109" t="s">
        <v>49</v>
      </c>
      <c r="B40" s="109" t="s">
        <v>94</v>
      </c>
      <c r="C40" s="109" t="s">
        <v>50</v>
      </c>
      <c r="D40" s="13" t="s">
        <v>51</v>
      </c>
      <c r="E40" s="13" t="s">
        <v>25</v>
      </c>
      <c r="F40" s="13" t="s">
        <v>25</v>
      </c>
      <c r="G40" s="14" t="s">
        <v>92</v>
      </c>
      <c r="H40" s="14" t="s">
        <v>86</v>
      </c>
      <c r="I40" s="14">
        <f>SUMIF(Mercado_Receita!$T$2:$T$2578,"44136B4Energia convencionalIluminação públicaIluminação pública – B4aNão se aplicaNão se aplicaNão se aplica",Mercado_Receita!$N$2:$N$2578)</f>
        <v>17988.829999999998</v>
      </c>
      <c r="J40" s="14">
        <f>SUMIF(Mercado_Receita!$T$2:$T$2578,"44166B4Energia convencionalIluminação públicaIluminação pública – B4aNão se aplicaNão se aplicaNão se aplica",Mercado_Receita!$N$2:$N$2578)</f>
        <v>18579.587</v>
      </c>
      <c r="K40" s="14">
        <f>SUMIF(Mercado_Receita!$T$2:$T$2578,"44197B4Energia convencionalIluminação públicaIluminação pública – B4aNão se aplicaNão se aplicaNão se aplica",Mercado_Receita!$N$2:$N$2578)</f>
        <v>18621.165999999997</v>
      </c>
      <c r="L40" s="14">
        <f>SUMIF(Mercado_Receita!$T$2:$T$2578,"44228B4Energia convencionalIluminação públicaIluminação pública – B4aNão se aplicaNão se aplicaNão se aplica",Mercado_Receita!$N$2:$N$2578)</f>
        <v>16796.487000000001</v>
      </c>
      <c r="M40" s="14">
        <f>SUMIF(Mercado_Receita!$T$2:$T$2578,"44256B4Energia convencionalIluminação públicaIluminação pública – B4aNão se aplicaNão se aplicaNão se aplica",Mercado_Receita!$N$2:$N$2578)</f>
        <v>15258.073999999999</v>
      </c>
      <c r="N40" s="14">
        <f>SUMIF(Mercado_Receita!$T$2:$T$2578,"44287B4Energia convencionalIluminação públicaIluminação pública – B4aNão se aplicaNão se aplicaNão se aplica",Mercado_Receita!$N$2:$N$2578)</f>
        <v>16116.400999999998</v>
      </c>
      <c r="O40" s="14">
        <f>SUMIF(Mercado_Receita!$T$2:$T$2578,"44317B4Energia convencionalIluminação públicaIluminação pública – B4aNão se aplicaNão se aplicaNão se aplica",Mercado_Receita!$N$2:$N$2578)</f>
        <v>16933.472000000002</v>
      </c>
      <c r="P40" s="14">
        <f>SUMIF(Mercado_Receita!$T$2:$T$2578,"44348B4Energia convencionalIluminação públicaIluminação pública – B4aNão se aplicaNão se aplicaNão se aplica",Mercado_Receita!$N$2:$N$2578)</f>
        <v>16397.561999999998</v>
      </c>
      <c r="Q40" s="14">
        <f>SUMIF(Mercado_Receita!$T$2:$T$2578,"44378B4Energia convencionalIluminação públicaIluminação pública – B4aNão se aplicaNão se aplicaNão se aplica",Mercado_Receita!$N$2:$N$2578)</f>
        <v>17131.993000000002</v>
      </c>
      <c r="R40" s="14">
        <f>SUMIF(Mercado_Receita!$T$2:$T$2578,"44409B4Energia convencionalIluminação públicaIluminação pública – B4aNão se aplicaNão se aplicaNão se aplica",Mercado_Receita!$N$2:$N$2578)</f>
        <v>16780.29</v>
      </c>
      <c r="S40" s="14">
        <f>SUMIF(Mercado_Receita!$T$2:$T$2578,"44440B4Energia convencionalIluminação públicaIluminação pública – B4aNão se aplicaNão se aplicaNão se aplica",Mercado_Receita!$N$2:$N$2578)</f>
        <v>14789.120999999999</v>
      </c>
      <c r="T40" s="14">
        <f>SUMIF(Mercado_Receita!$T$2:$T$2578,"44470B4Energia convencionalIluminação públicaIluminação pública – B4aNão se aplicaNão se aplicaNão se aplica",Mercado_Receita!$N$2:$N$2578)</f>
        <v>14789.120999999999</v>
      </c>
      <c r="U40" s="14">
        <f t="shared" si="0"/>
        <v>200182.10399999999</v>
      </c>
      <c r="V40" s="14"/>
      <c r="W40" s="14"/>
    </row>
    <row r="41" spans="1:23" ht="11.25" customHeight="1" x14ac:dyDescent="0.25">
      <c r="A41" s="110"/>
      <c r="B41" s="110"/>
      <c r="C41" s="110"/>
      <c r="D41" s="14" t="s">
        <v>102</v>
      </c>
      <c r="E41" s="14" t="s">
        <v>25</v>
      </c>
      <c r="F41" s="14" t="s">
        <v>25</v>
      </c>
      <c r="G41" s="14" t="s">
        <v>92</v>
      </c>
      <c r="H41" s="14" t="s">
        <v>86</v>
      </c>
      <c r="I41" s="14">
        <f>SUMIF(Mercado_Receita!$T$2:$T$2578,"44136B4Energia convencionalIluminação públicaIluminação pública – B4bNão se aplicaNão se aplicaNão se aplica",Mercado_Receita!$N$2:$N$2578)</f>
        <v>0</v>
      </c>
      <c r="J41" s="14">
        <f>SUMIF(Mercado_Receita!$T$2:$T$2578,"44166B4Energia convencionalIluminação públicaIluminação pública – B4bNão se aplicaNão se aplicaNão se aplica",Mercado_Receita!$N$2:$N$2578)</f>
        <v>0</v>
      </c>
      <c r="K41" s="14">
        <f>SUMIF(Mercado_Receita!$T$2:$T$2578,"44197B4Energia convencionalIluminação públicaIluminação pública – B4bNão se aplicaNão se aplicaNão se aplica",Mercado_Receita!$N$2:$N$2578)</f>
        <v>0</v>
      </c>
      <c r="L41" s="14">
        <f>SUMIF(Mercado_Receita!$T$2:$T$2578,"44228B4Energia convencionalIluminação públicaIluminação pública – B4bNão se aplicaNão se aplicaNão se aplica",Mercado_Receita!$N$2:$N$2578)</f>
        <v>0</v>
      </c>
      <c r="M41" s="14">
        <f>SUMIF(Mercado_Receita!$T$2:$T$2578,"44256B4Energia convencionalIluminação públicaIluminação pública – B4bNão se aplicaNão se aplicaNão se aplica",Mercado_Receita!$N$2:$N$2578)</f>
        <v>0</v>
      </c>
      <c r="N41" s="14">
        <f>SUMIF(Mercado_Receita!$T$2:$T$2578,"44287B4Energia convencionalIluminação públicaIluminação pública – B4bNão se aplicaNão se aplicaNão se aplica",Mercado_Receita!$N$2:$N$2578)</f>
        <v>0</v>
      </c>
      <c r="O41" s="14">
        <f>SUMIF(Mercado_Receita!$T$2:$T$2578,"44317B4Energia convencionalIluminação públicaIluminação pública – B4bNão se aplicaNão se aplicaNão se aplica",Mercado_Receita!$N$2:$N$2578)</f>
        <v>0</v>
      </c>
      <c r="P41" s="14">
        <f>SUMIF(Mercado_Receita!$T$2:$T$2578,"44348B4Energia convencionalIluminação públicaIluminação pública – B4bNão se aplicaNão se aplicaNão se aplica",Mercado_Receita!$N$2:$N$2578)</f>
        <v>0</v>
      </c>
      <c r="Q41" s="14">
        <f>SUMIF(Mercado_Receita!$T$2:$T$2578,"44378B4Energia convencionalIluminação públicaIluminação pública – B4bNão se aplicaNão se aplicaNão se aplica",Mercado_Receita!$N$2:$N$2578)</f>
        <v>0</v>
      </c>
      <c r="R41" s="14">
        <f>SUMIF(Mercado_Receita!$T$2:$T$2578,"44409B4Energia convencionalIluminação públicaIluminação pública – B4bNão se aplicaNão se aplicaNão se aplica",Mercado_Receita!$N$2:$N$2578)</f>
        <v>0</v>
      </c>
      <c r="S41" s="14">
        <f>SUMIF(Mercado_Receita!$T$2:$T$2578,"44440B4Energia convencionalIluminação públicaIluminação pública – B4bNão se aplicaNão se aplicaNão se aplica",Mercado_Receita!$N$2:$N$2578)</f>
        <v>0</v>
      </c>
      <c r="T41" s="14">
        <f>SUMIF(Mercado_Receita!$T$2:$T$2578,"44470B4Energia convencionalIluminação públicaIluminação pública – B4bNão se aplicaNão se aplicaNão se aplica",Mercado_Receita!$N$2:$N$2578)</f>
        <v>0</v>
      </c>
      <c r="U41" s="14">
        <f t="shared" si="0"/>
        <v>0</v>
      </c>
      <c r="V41" s="14"/>
      <c r="W41" s="14"/>
    </row>
    <row r="42" spans="1:23" ht="11.25" customHeight="1" x14ac:dyDescent="0.25">
      <c r="A42" s="111" t="s">
        <v>645</v>
      </c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4"/>
      <c r="W42" s="14"/>
    </row>
  </sheetData>
  <mergeCells count="50">
    <mergeCell ref="A4:A6"/>
    <mergeCell ref="F2:F3"/>
    <mergeCell ref="E2:E3"/>
    <mergeCell ref="D2:D3"/>
    <mergeCell ref="C2:C3"/>
    <mergeCell ref="B2:B3"/>
    <mergeCell ref="A2:A3"/>
    <mergeCell ref="F4:F5"/>
    <mergeCell ref="E4:E5"/>
    <mergeCell ref="D4:D5"/>
    <mergeCell ref="C4:C5"/>
    <mergeCell ref="B4:B5"/>
    <mergeCell ref="C15:C19"/>
    <mergeCell ref="B15:B19"/>
    <mergeCell ref="A7:A19"/>
    <mergeCell ref="F20:F22"/>
    <mergeCell ref="E20:E22"/>
    <mergeCell ref="D20:D22"/>
    <mergeCell ref="C20:C22"/>
    <mergeCell ref="B20:B22"/>
    <mergeCell ref="F7:F9"/>
    <mergeCell ref="E7:E9"/>
    <mergeCell ref="D7:D9"/>
    <mergeCell ref="C7:C9"/>
    <mergeCell ref="B7:B9"/>
    <mergeCell ref="C10:C14"/>
    <mergeCell ref="B10:B14"/>
    <mergeCell ref="C24:C26"/>
    <mergeCell ref="B24:B26"/>
    <mergeCell ref="F28:F30"/>
    <mergeCell ref="E28:E30"/>
    <mergeCell ref="D28:D30"/>
    <mergeCell ref="C28:C30"/>
    <mergeCell ref="B28:B30"/>
    <mergeCell ref="A40:A41"/>
    <mergeCell ref="B40:B41"/>
    <mergeCell ref="C40:C41"/>
    <mergeCell ref="A42:U42"/>
    <mergeCell ref="C32:C34"/>
    <mergeCell ref="B32:B34"/>
    <mergeCell ref="A20:A34"/>
    <mergeCell ref="F35:F37"/>
    <mergeCell ref="E35:E37"/>
    <mergeCell ref="D35:D37"/>
    <mergeCell ref="C35:C37"/>
    <mergeCell ref="B35:B37"/>
    <mergeCell ref="A35:A39"/>
    <mergeCell ref="F24:F26"/>
    <mergeCell ref="E24:E26"/>
    <mergeCell ref="D24:D26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981A4-FDD3-4EFD-A16C-9CF415AFAEC2}">
  <dimension ref="A1:AD200"/>
  <sheetViews>
    <sheetView showGridLines="0" topLeftCell="A37" workbookViewId="0">
      <selection activeCell="D56" sqref="D56"/>
    </sheetView>
  </sheetViews>
  <sheetFormatPr defaultRowHeight="12" customHeight="1" x14ac:dyDescent="0.2"/>
  <cols>
    <col min="1" max="1" width="10.5703125" style="17" bestFit="1" customWidth="1"/>
    <col min="2" max="2" width="14.42578125" style="17" bestFit="1" customWidth="1"/>
    <col min="3" max="3" width="18.42578125" style="17" bestFit="1" customWidth="1"/>
    <col min="4" max="4" width="15" style="17" bestFit="1" customWidth="1"/>
    <col min="5" max="5" width="14.5703125" style="17" bestFit="1" customWidth="1"/>
    <col min="6" max="6" width="11.7109375" style="17" bestFit="1" customWidth="1"/>
    <col min="7" max="11" width="9.140625" style="17"/>
    <col min="12" max="12" width="34.140625" style="17" bestFit="1" customWidth="1"/>
    <col min="13" max="13" width="13.140625" style="17" bestFit="1" customWidth="1"/>
    <col min="14" max="14" width="9.140625" style="17"/>
    <col min="15" max="15" width="30.7109375" style="17" customWidth="1"/>
    <col min="16" max="16" width="10.28515625" style="17" customWidth="1"/>
    <col min="17" max="16384" width="9.140625" style="17"/>
  </cols>
  <sheetData>
    <row r="1" spans="1:30" ht="12" customHeight="1" x14ac:dyDescent="0.2">
      <c r="A1" s="10" t="s">
        <v>684</v>
      </c>
      <c r="B1" s="10" t="s">
        <v>685</v>
      </c>
      <c r="C1" s="10" t="s">
        <v>686</v>
      </c>
      <c r="D1" s="10" t="s">
        <v>687</v>
      </c>
      <c r="E1" s="10" t="s">
        <v>688</v>
      </c>
      <c r="F1" s="10" t="s">
        <v>689</v>
      </c>
      <c r="G1" s="7"/>
      <c r="H1" s="7"/>
      <c r="I1" s="7"/>
      <c r="J1" s="7"/>
      <c r="K1" s="7"/>
      <c r="L1" s="113" t="s">
        <v>690</v>
      </c>
      <c r="M1" s="120"/>
      <c r="N1" s="7"/>
      <c r="O1" s="113" t="s">
        <v>777</v>
      </c>
      <c r="P1" s="114"/>
      <c r="Q1" s="114"/>
      <c r="R1" s="114"/>
      <c r="S1" s="114"/>
      <c r="T1" s="114"/>
      <c r="U1" s="114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21" t="s">
        <v>646</v>
      </c>
      <c r="B2" s="121" t="s">
        <v>647</v>
      </c>
      <c r="C2" s="19" t="s">
        <v>731</v>
      </c>
      <c r="D2" s="15">
        <v>72181534.130150154</v>
      </c>
      <c r="E2" s="15">
        <v>0</v>
      </c>
      <c r="F2" s="15">
        <v>0</v>
      </c>
      <c r="G2" s="18"/>
      <c r="H2" s="18"/>
      <c r="I2" s="18"/>
      <c r="J2" s="18"/>
      <c r="K2" s="18"/>
      <c r="L2" s="15" t="s">
        <v>691</v>
      </c>
      <c r="M2" s="20">
        <v>9.594425034363141E-2</v>
      </c>
      <c r="N2" s="18"/>
      <c r="O2" s="51" t="s">
        <v>778</v>
      </c>
      <c r="P2" s="51" t="s">
        <v>43</v>
      </c>
      <c r="Q2" s="51" t="s">
        <v>779</v>
      </c>
      <c r="R2" s="51" t="s">
        <v>35</v>
      </c>
      <c r="S2" s="51" t="s">
        <v>780</v>
      </c>
      <c r="T2" s="51" t="s">
        <v>95</v>
      </c>
      <c r="U2" s="51"/>
      <c r="V2" s="18"/>
      <c r="W2" s="18"/>
      <c r="X2" s="16" t="s">
        <v>744</v>
      </c>
      <c r="Y2" s="18"/>
      <c r="Z2" s="18"/>
      <c r="AA2" s="18" t="s">
        <v>788</v>
      </c>
      <c r="AB2" s="18"/>
      <c r="AC2" s="18"/>
      <c r="AD2" s="18"/>
    </row>
    <row r="3" spans="1:30" ht="12" customHeight="1" x14ac:dyDescent="0.2">
      <c r="A3" s="122"/>
      <c r="B3" s="122"/>
      <c r="C3" s="19" t="s">
        <v>648</v>
      </c>
      <c r="D3" s="15">
        <v>4179133.5218580877</v>
      </c>
      <c r="E3" s="15">
        <v>61601.634509554628</v>
      </c>
      <c r="F3" s="15">
        <v>0</v>
      </c>
      <c r="G3" s="18"/>
      <c r="H3" s="18"/>
      <c r="I3" s="18"/>
      <c r="J3" s="18"/>
      <c r="K3" s="18"/>
      <c r="L3" s="15" t="s">
        <v>692</v>
      </c>
      <c r="M3" s="20"/>
      <c r="N3" s="18"/>
      <c r="O3" s="52">
        <v>1</v>
      </c>
      <c r="P3" s="52">
        <v>1</v>
      </c>
      <c r="Q3" s="52">
        <v>1</v>
      </c>
      <c r="R3" s="52">
        <v>1</v>
      </c>
      <c r="S3" s="52">
        <v>1</v>
      </c>
      <c r="T3" s="52">
        <v>1</v>
      </c>
      <c r="U3" s="52" t="s">
        <v>781</v>
      </c>
      <c r="V3" s="18"/>
      <c r="W3" s="18"/>
      <c r="X3" s="16" t="s">
        <v>745</v>
      </c>
      <c r="Y3" s="18"/>
      <c r="Z3" s="18"/>
      <c r="AA3" s="18">
        <v>0</v>
      </c>
      <c r="AB3" s="18"/>
      <c r="AC3" s="18"/>
      <c r="AD3" s="18"/>
    </row>
    <row r="4" spans="1:30" ht="12" customHeight="1" x14ac:dyDescent="0.2">
      <c r="A4" s="122"/>
      <c r="B4" s="122"/>
      <c r="C4" s="19" t="s">
        <v>649</v>
      </c>
      <c r="D4" s="15">
        <f>$M$22-D$30</f>
        <v>22575633.620101996</v>
      </c>
      <c r="E4" s="15">
        <f>IF((D4+D$30)&lt;&gt;0,$M$20*D4/(D4+D$30),0)</f>
        <v>-88.313053589204415</v>
      </c>
      <c r="F4" s="15">
        <f>IF((D4+D$30)&lt;&gt;0,$M$21*D4/(D4+D$30),0)</f>
        <v>0</v>
      </c>
      <c r="G4" s="18"/>
      <c r="H4" s="18"/>
      <c r="I4" s="18"/>
      <c r="J4" s="18"/>
      <c r="K4" s="18"/>
      <c r="L4" s="15" t="s">
        <v>693</v>
      </c>
      <c r="M4" s="20">
        <v>0.21165898688797036</v>
      </c>
      <c r="N4" s="18"/>
      <c r="O4" s="52">
        <v>1</v>
      </c>
      <c r="P4" s="52">
        <v>1</v>
      </c>
      <c r="Q4" s="52">
        <v>1</v>
      </c>
      <c r="R4" s="52">
        <v>1</v>
      </c>
      <c r="S4" s="52">
        <v>1</v>
      </c>
      <c r="T4" s="52">
        <v>1</v>
      </c>
      <c r="U4" s="52" t="s">
        <v>63</v>
      </c>
      <c r="V4" s="18"/>
      <c r="W4" s="18"/>
      <c r="X4" s="18"/>
      <c r="Y4" s="18"/>
      <c r="Z4" s="18"/>
      <c r="AA4" s="18"/>
      <c r="AB4" s="18"/>
      <c r="AC4" s="18"/>
      <c r="AD4" s="18"/>
    </row>
    <row r="5" spans="1:30" ht="12" customHeight="1" x14ac:dyDescent="0.2">
      <c r="A5" s="122"/>
      <c r="B5" s="122"/>
      <c r="C5" s="19" t="s">
        <v>650</v>
      </c>
      <c r="D5" s="15">
        <v>0</v>
      </c>
      <c r="E5" s="15">
        <v>0</v>
      </c>
      <c r="F5" s="15">
        <v>0</v>
      </c>
      <c r="G5" s="18"/>
      <c r="H5" s="18"/>
      <c r="I5" s="18"/>
      <c r="J5" s="18"/>
      <c r="K5" s="18"/>
      <c r="L5" s="15" t="s">
        <v>694</v>
      </c>
      <c r="M5" s="20">
        <v>0.01</v>
      </c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</row>
    <row r="6" spans="1:30" ht="12" customHeight="1" x14ac:dyDescent="0.2">
      <c r="A6" s="122"/>
      <c r="B6" s="122"/>
      <c r="C6" s="19" t="s">
        <v>651</v>
      </c>
      <c r="D6" s="15">
        <v>0</v>
      </c>
      <c r="E6" s="15">
        <v>0</v>
      </c>
      <c r="F6" s="15">
        <v>0</v>
      </c>
      <c r="G6" s="18"/>
      <c r="H6" s="18"/>
      <c r="I6" s="18"/>
      <c r="J6" s="18"/>
      <c r="K6" s="18"/>
      <c r="L6" s="15" t="s">
        <v>695</v>
      </c>
      <c r="M6" s="20">
        <v>0</v>
      </c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</row>
    <row r="7" spans="1:30" ht="12" customHeight="1" x14ac:dyDescent="0.2">
      <c r="A7" s="122"/>
      <c r="B7" s="122"/>
      <c r="C7" s="19" t="s">
        <v>652</v>
      </c>
      <c r="D7" s="15">
        <v>120915355.983422</v>
      </c>
      <c r="E7" s="15">
        <v>-2902317.5432966761</v>
      </c>
      <c r="F7" s="15">
        <v>-6633262.1203369778</v>
      </c>
      <c r="G7" s="18"/>
      <c r="H7" s="18"/>
      <c r="I7" s="18"/>
      <c r="J7" s="18"/>
      <c r="K7" s="18"/>
      <c r="L7" s="15" t="s">
        <v>696</v>
      </c>
      <c r="M7" s="15">
        <f>M8+M9+M10+M11</f>
        <v>3107329.9206560561</v>
      </c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</row>
    <row r="8" spans="1:30" ht="12" customHeight="1" x14ac:dyDescent="0.2">
      <c r="A8" s="122"/>
      <c r="B8" s="122"/>
      <c r="C8" s="19" t="s">
        <v>653</v>
      </c>
      <c r="D8" s="15">
        <v>54813707.898093797</v>
      </c>
      <c r="E8" s="15">
        <v>1776312.7715905691</v>
      </c>
      <c r="F8" s="15">
        <v>4298926.9364788132</v>
      </c>
      <c r="G8" s="18"/>
      <c r="H8" s="18"/>
      <c r="I8" s="18"/>
      <c r="J8" s="18"/>
      <c r="K8" s="18"/>
      <c r="L8" s="21" t="s">
        <v>697</v>
      </c>
      <c r="M8" s="15">
        <v>713329.77696135582</v>
      </c>
      <c r="N8" s="18"/>
      <c r="O8" s="16" t="s">
        <v>730</v>
      </c>
      <c r="P8" s="26">
        <v>0</v>
      </c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</row>
    <row r="9" spans="1:30" ht="12" customHeight="1" x14ac:dyDescent="0.2">
      <c r="A9" s="122"/>
      <c r="B9" s="122"/>
      <c r="C9" s="19" t="s">
        <v>654</v>
      </c>
      <c r="D9" s="15"/>
      <c r="E9" s="15"/>
      <c r="F9" s="15"/>
      <c r="G9" s="18"/>
      <c r="H9" s="18"/>
      <c r="I9" s="18"/>
      <c r="J9" s="18"/>
      <c r="K9" s="18"/>
      <c r="L9" s="22" t="s">
        <v>698</v>
      </c>
      <c r="M9" s="15">
        <v>2271676.0060947002</v>
      </c>
      <c r="N9" s="18"/>
      <c r="O9" s="16" t="s">
        <v>735</v>
      </c>
      <c r="P9" s="26">
        <f>SUM(Mercado_Receita!$J$2:$J$2578)</f>
        <v>19014678</v>
      </c>
      <c r="Q9" s="26">
        <v>19014678</v>
      </c>
      <c r="R9" s="91" t="str">
        <f>IF(ABS(P9-Q9)&gt;1,"ERRO BADNET","OK BADNET")</f>
        <v>OK BADNET</v>
      </c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</row>
    <row r="10" spans="1:30" ht="12" customHeight="1" x14ac:dyDescent="0.2">
      <c r="A10" s="122"/>
      <c r="B10" s="123"/>
      <c r="C10" s="19" t="s">
        <v>655</v>
      </c>
      <c r="D10" s="15">
        <f>SUM(D$2:D9)</f>
        <v>274665365.15362602</v>
      </c>
      <c r="E10" s="15">
        <f>SUM(E$2:E9)</f>
        <v>-1064491.4502501418</v>
      </c>
      <c r="F10" s="15">
        <f>SUM(F$2:F9)</f>
        <v>-2334335.1838581646</v>
      </c>
      <c r="G10" s="18"/>
      <c r="H10" s="18"/>
      <c r="I10" s="18"/>
      <c r="J10" s="18"/>
      <c r="K10" s="18"/>
      <c r="L10" s="21" t="s">
        <v>699</v>
      </c>
      <c r="M10" s="15">
        <v>49357.050004259785</v>
      </c>
      <c r="N10" s="18"/>
      <c r="O10" s="16" t="s">
        <v>736</v>
      </c>
      <c r="P10" s="26">
        <f>SUM(Mercado_Receita!$L$2:$L$2578)</f>
        <v>6195557.6269999975</v>
      </c>
      <c r="Q10" s="26">
        <v>6195557.6270000096</v>
      </c>
      <c r="R10" s="91" t="str">
        <f>IF(ABS(P10-Q10)&gt;1,"ERRO BADNET","OK BADNET")</f>
        <v>OK BADNET</v>
      </c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</row>
    <row r="11" spans="1:30" ht="12" customHeight="1" x14ac:dyDescent="0.2">
      <c r="A11" s="122"/>
      <c r="B11" s="121" t="s">
        <v>656</v>
      </c>
      <c r="C11" s="19" t="s">
        <v>657</v>
      </c>
      <c r="D11" s="15">
        <v>194083962</v>
      </c>
      <c r="E11" s="15">
        <v>8035653.6614109576</v>
      </c>
      <c r="F11" s="15">
        <f>IF((+$D$11+$D$12+$D$16+$D$17+$D$38)&lt;&gt;0,$M$19*$D$11/(+$D$11+$D$12+$D$16+$D$17+$D$38),0)</f>
        <v>26311802.053537685</v>
      </c>
      <c r="G11" s="18"/>
      <c r="H11" s="18"/>
      <c r="I11" s="18"/>
      <c r="J11" s="18"/>
      <c r="K11" s="18"/>
      <c r="L11" s="21" t="s">
        <v>700</v>
      </c>
      <c r="M11" s="15">
        <v>72967.087595740217</v>
      </c>
      <c r="N11" s="18"/>
      <c r="O11" s="16" t="s">
        <v>737</v>
      </c>
      <c r="P11" s="26">
        <f>SUM(Mercado_Receita!$N$2:$N$2578)</f>
        <v>4412888.907000008</v>
      </c>
      <c r="Q11" s="26">
        <v>4412888.9069999997</v>
      </c>
      <c r="R11" s="91" t="str">
        <f>IF(ABS(P11-Q11)&gt;1,"ERRO BADNET","OK BADNET")</f>
        <v>OK BADNET</v>
      </c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</row>
    <row r="12" spans="1:30" ht="12" customHeight="1" x14ac:dyDescent="0.2">
      <c r="A12" s="122"/>
      <c r="B12" s="122"/>
      <c r="C12" s="19" t="s">
        <v>658</v>
      </c>
      <c r="D12" s="15">
        <v>610134</v>
      </c>
      <c r="E12" s="15">
        <v>2210177.0457875426</v>
      </c>
      <c r="F12" s="15">
        <f>IF((+$D$11+$D$12+$D$16+$D$17+$D$38)&lt;&gt;0,$M$19*$D$12/(+$D$11+$D$12+$D$16+$D$17+$D$38),0)</f>
        <v>82715.361273040995</v>
      </c>
      <c r="G12" s="18"/>
      <c r="H12" s="18"/>
      <c r="I12" s="18"/>
      <c r="J12" s="18"/>
      <c r="K12" s="18"/>
      <c r="L12" s="15" t="s">
        <v>701</v>
      </c>
      <c r="M12" s="15">
        <v>7520218.8276560577</v>
      </c>
      <c r="N12" s="18"/>
      <c r="O12" s="16" t="s">
        <v>738</v>
      </c>
      <c r="P12" s="26">
        <f>SUMIF('MERCADO TUSD'!$H$2:$H$53,"kW",'MERCADO TUSD'!$U$2:$U$53)</f>
        <v>19014678</v>
      </c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</row>
    <row r="13" spans="1:30" ht="12" customHeight="1" x14ac:dyDescent="0.2">
      <c r="A13" s="122"/>
      <c r="B13" s="122"/>
      <c r="C13" s="19" t="s">
        <v>659</v>
      </c>
      <c r="D13" s="15">
        <f>-$M$51+389243.486431049</f>
        <v>389243.48643104901</v>
      </c>
      <c r="E13" s="15">
        <v>-57466.450171266639</v>
      </c>
      <c r="F13" s="15">
        <v>0</v>
      </c>
      <c r="G13" s="18"/>
      <c r="H13" s="18"/>
      <c r="I13" s="18"/>
      <c r="J13" s="18"/>
      <c r="K13" s="18"/>
      <c r="L13" s="15" t="s">
        <v>702</v>
      </c>
      <c r="M13" s="15">
        <v>114597.69735995423</v>
      </c>
      <c r="N13" s="18"/>
      <c r="O13" s="16" t="s">
        <v>739</v>
      </c>
      <c r="P13" s="26">
        <f>SUMIF('MERCADO TUSD'!$H$2:$H$53,"MWh",'MERCADO TUSD'!$U$2:$U$53)</f>
        <v>6195557.6269999994</v>
      </c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</row>
    <row r="14" spans="1:30" ht="12" customHeight="1" x14ac:dyDescent="0.2">
      <c r="A14" s="122"/>
      <c r="B14" s="122"/>
      <c r="C14" s="19" t="s">
        <v>660</v>
      </c>
      <c r="D14" s="15">
        <v>0</v>
      </c>
      <c r="E14" s="15">
        <v>0</v>
      </c>
      <c r="F14" s="15">
        <v>0</v>
      </c>
      <c r="G14" s="18"/>
      <c r="H14" s="18"/>
      <c r="I14" s="18"/>
      <c r="J14" s="18"/>
      <c r="K14" s="18"/>
      <c r="L14" s="15" t="s">
        <v>703</v>
      </c>
      <c r="M14" s="15">
        <v>246.71170899282245</v>
      </c>
      <c r="N14" s="18"/>
      <c r="O14" s="16" t="s">
        <v>740</v>
      </c>
      <c r="P14" s="26">
        <f>SUMIF('MERCADO TE'!$H$2:$H$41,"MWh",'MERCADO TE'!$U$2:$U$41)</f>
        <v>4412888.9070000006</v>
      </c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</row>
    <row r="15" spans="1:30" ht="12" customHeight="1" x14ac:dyDescent="0.2">
      <c r="A15" s="122"/>
      <c r="B15" s="122"/>
      <c r="C15" s="19" t="s">
        <v>661</v>
      </c>
      <c r="D15" s="15">
        <v>386771.25215000001</v>
      </c>
      <c r="E15" s="15">
        <v>-395173.30076672439</v>
      </c>
      <c r="F15" s="15">
        <v>0</v>
      </c>
      <c r="G15" s="18"/>
      <c r="H15" s="18"/>
      <c r="I15" s="18"/>
      <c r="J15" s="18"/>
      <c r="K15" s="18"/>
      <c r="L15" s="15" t="s">
        <v>704</v>
      </c>
      <c r="M15" s="15">
        <f>M14*M12</f>
        <v>1855326038.9710257</v>
      </c>
      <c r="N15" s="18"/>
      <c r="O15" s="16" t="s">
        <v>741</v>
      </c>
      <c r="P15" s="91" t="str">
        <f>IF(ABS(P9-P12)&gt;1,"ERRO","OK")</f>
        <v>OK</v>
      </c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</row>
    <row r="16" spans="1:30" ht="12" customHeight="1" x14ac:dyDescent="0.2">
      <c r="A16" s="122"/>
      <c r="B16" s="122"/>
      <c r="C16" s="19" t="s">
        <v>662</v>
      </c>
      <c r="D16" s="15">
        <v>0</v>
      </c>
      <c r="E16" s="15">
        <v>0</v>
      </c>
      <c r="F16" s="15">
        <f>IF((+$D$11+$D$12+$D$16+$D$17+$D$38)&lt;&gt;0,$M$19*$D$16/(+$D$11+$D$12+$D$16+$D$17+$D$38),0)</f>
        <v>0</v>
      </c>
      <c r="G16" s="18"/>
      <c r="H16" s="18"/>
      <c r="I16" s="18"/>
      <c r="J16" s="18"/>
      <c r="K16" s="18"/>
      <c r="L16" s="15" t="s">
        <v>705</v>
      </c>
      <c r="M16" s="15">
        <v>-169102455.39426741</v>
      </c>
      <c r="N16" s="18"/>
      <c r="O16" s="16" t="s">
        <v>742</v>
      </c>
      <c r="P16" s="91" t="str">
        <f>IF(ABS(P10-P13)&gt;1,"ERRO","OK")</f>
        <v>OK</v>
      </c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</row>
    <row r="17" spans="1:30" ht="12" customHeight="1" x14ac:dyDescent="0.2">
      <c r="A17" s="122"/>
      <c r="B17" s="122"/>
      <c r="C17" s="19" t="s">
        <v>663</v>
      </c>
      <c r="D17" s="15">
        <v>0</v>
      </c>
      <c r="E17" s="15">
        <v>0</v>
      </c>
      <c r="F17" s="15">
        <f>IF((+$D$11+$D$12+$D$16+$D$17+$D$38)&lt;&gt;0,$M$19*$D$17/(+$D$11+$D$12+$D$16+$D$17+$D$38),0)</f>
        <v>0</v>
      </c>
      <c r="G17" s="18"/>
      <c r="H17" s="18"/>
      <c r="I17" s="18"/>
      <c r="J17" s="18"/>
      <c r="K17" s="18"/>
      <c r="L17" s="15" t="s">
        <v>706</v>
      </c>
      <c r="M17" s="15">
        <v>169256517.88069874</v>
      </c>
      <c r="N17" s="18"/>
      <c r="O17" s="16" t="s">
        <v>743</v>
      </c>
      <c r="P17" s="91" t="str">
        <f>IF(ABS(P11-P14)&gt;1,"ERRO","OK")</f>
        <v>OK</v>
      </c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</row>
    <row r="18" spans="1:30" ht="12" customHeight="1" x14ac:dyDescent="0.2">
      <c r="A18" s="122"/>
      <c r="B18" s="123"/>
      <c r="C18" s="19" t="s">
        <v>655</v>
      </c>
      <c r="D18" s="15">
        <f>SUM(D$11:D17)</f>
        <v>195470110.73858106</v>
      </c>
      <c r="E18" s="15">
        <f>SUM(E$11:E17)</f>
        <v>9793190.9562605098</v>
      </c>
      <c r="F18" s="15">
        <f>SUM(F$11:F17)</f>
        <v>26394517.414810725</v>
      </c>
      <c r="G18" s="18"/>
      <c r="H18" s="18"/>
      <c r="I18" s="18"/>
      <c r="J18" s="18"/>
      <c r="K18" s="18"/>
      <c r="L18" s="15" t="s">
        <v>707</v>
      </c>
      <c r="M18" s="15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</row>
    <row r="19" spans="1:30" ht="12" customHeight="1" x14ac:dyDescent="0.2">
      <c r="A19" s="122"/>
      <c r="B19" s="121" t="s">
        <v>664</v>
      </c>
      <c r="C19" s="19" t="s">
        <v>665</v>
      </c>
      <c r="D19" s="15">
        <v>1160069789.4960818</v>
      </c>
      <c r="E19" s="15">
        <v>-3594572.5300000003</v>
      </c>
      <c r="F19" s="15">
        <v>0</v>
      </c>
      <c r="G19" s="18"/>
      <c r="H19" s="18"/>
      <c r="I19" s="18"/>
      <c r="J19" s="18"/>
      <c r="K19" s="18"/>
      <c r="L19" s="15" t="s">
        <v>708</v>
      </c>
      <c r="M19" s="15">
        <v>26394517.414810725</v>
      </c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</row>
    <row r="20" spans="1:30" ht="12" customHeight="1" x14ac:dyDescent="0.2">
      <c r="A20" s="122"/>
      <c r="B20" s="123"/>
      <c r="C20" s="19" t="s">
        <v>655</v>
      </c>
      <c r="D20" s="15">
        <f>SUM(D$19:D19)</f>
        <v>1160069789.4960818</v>
      </c>
      <c r="E20" s="15">
        <f>SUM(E$19:E19)</f>
        <v>-3594572.5300000003</v>
      </c>
      <c r="F20" s="15">
        <f>SUM(F$19:F19)</f>
        <v>0</v>
      </c>
      <c r="G20" s="18"/>
      <c r="H20" s="18"/>
      <c r="I20" s="18"/>
      <c r="J20" s="18"/>
      <c r="K20" s="18"/>
      <c r="L20" s="15" t="s">
        <v>709</v>
      </c>
      <c r="M20" s="15">
        <v>-137.26208105760543</v>
      </c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</row>
    <row r="21" spans="1:30" ht="12" customHeight="1" x14ac:dyDescent="0.2">
      <c r="A21" s="122"/>
      <c r="B21" s="121" t="s">
        <v>666</v>
      </c>
      <c r="C21" s="19" t="s">
        <v>667</v>
      </c>
      <c r="D21" s="15"/>
      <c r="E21" s="15">
        <f>IF($D$46&lt;&gt;0,(1-$D$45/$D$46)*0,0)+0</f>
        <v>0</v>
      </c>
      <c r="F21" s="15"/>
      <c r="G21" s="18"/>
      <c r="H21" s="18"/>
      <c r="I21" s="18"/>
      <c r="J21" s="18"/>
      <c r="K21" s="18"/>
      <c r="L21" s="15" t="s">
        <v>710</v>
      </c>
      <c r="M21" s="15">
        <v>0</v>
      </c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</row>
    <row r="22" spans="1:30" ht="12" customHeight="1" x14ac:dyDescent="0.2">
      <c r="A22" s="122"/>
      <c r="B22" s="122"/>
      <c r="C22" s="19" t="s">
        <v>668</v>
      </c>
      <c r="D22" s="15"/>
      <c r="E22" s="15"/>
      <c r="F22" s="15"/>
      <c r="G22" s="18"/>
      <c r="H22" s="18"/>
      <c r="I22" s="18"/>
      <c r="J22" s="18"/>
      <c r="K22" s="18"/>
      <c r="L22" s="15" t="s">
        <v>732</v>
      </c>
      <c r="M22" s="15">
        <v>35088566.479690202</v>
      </c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</row>
    <row r="23" spans="1:30" ht="12" customHeight="1" x14ac:dyDescent="0.2">
      <c r="A23" s="122"/>
      <c r="B23" s="123"/>
      <c r="C23" s="19" t="s">
        <v>655</v>
      </c>
      <c r="D23" s="15">
        <f>SUM(D$21:D22)</f>
        <v>0</v>
      </c>
      <c r="E23" s="15">
        <f>SUM(E$21:E22)</f>
        <v>0</v>
      </c>
      <c r="F23" s="15">
        <f>SUM(F$21:F22)</f>
        <v>0</v>
      </c>
      <c r="G23" s="18"/>
      <c r="H23" s="18"/>
      <c r="I23" s="18"/>
      <c r="J23" s="18"/>
      <c r="K23" s="18"/>
      <c r="L23" s="15" t="s">
        <v>711</v>
      </c>
      <c r="M23" s="15">
        <v>14</v>
      </c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</row>
    <row r="24" spans="1:30" ht="12" customHeight="1" x14ac:dyDescent="0.2">
      <c r="A24" s="122"/>
      <c r="B24" s="121" t="s">
        <v>669</v>
      </c>
      <c r="C24" s="19" t="s">
        <v>670</v>
      </c>
      <c r="D24" s="15">
        <f>$M$14*$M$8</f>
        <v>175986808.34960496</v>
      </c>
      <c r="E24" s="15">
        <f>$M$16*$M$8/$M$12</f>
        <v>-16040200.365766177</v>
      </c>
      <c r="F24" s="15">
        <f>$M$17*$M$8/$M$12</f>
        <v>16054813.951035799</v>
      </c>
      <c r="G24" s="18"/>
      <c r="H24" s="18"/>
      <c r="I24" s="18"/>
      <c r="J24" s="18"/>
      <c r="K24" s="18"/>
      <c r="L24" s="15" t="s">
        <v>712</v>
      </c>
      <c r="M24" s="15">
        <v>0</v>
      </c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</row>
    <row r="25" spans="1:30" ht="12" customHeight="1" x14ac:dyDescent="0.2">
      <c r="A25" s="122"/>
      <c r="B25" s="122"/>
      <c r="C25" s="19" t="s">
        <v>671</v>
      </c>
      <c r="D25" s="15">
        <f>$M$14*$M$10</f>
        <v>12176962.157395126</v>
      </c>
      <c r="E25" s="15">
        <f>$M$16*$M$10/$M$12</f>
        <v>-1109861.1008556804</v>
      </c>
      <c r="F25" s="15">
        <f>$M$17*$M$10/$M$12</f>
        <v>1110872.2509326711</v>
      </c>
      <c r="G25" s="18"/>
      <c r="H25" s="18"/>
      <c r="I25" s="18"/>
      <c r="J25" s="18"/>
      <c r="K25" s="18"/>
      <c r="L25" s="15" t="s">
        <v>713</v>
      </c>
      <c r="M25" s="15">
        <v>0</v>
      </c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</row>
    <row r="26" spans="1:30" ht="12" customHeight="1" x14ac:dyDescent="0.2">
      <c r="A26" s="122"/>
      <c r="B26" s="122"/>
      <c r="C26" s="19" t="s">
        <v>672</v>
      </c>
      <c r="D26" s="15">
        <f>$M$14*$M$9</f>
        <v>560449069.74161279</v>
      </c>
      <c r="E26" s="15">
        <f>$M$16*$M$9/$M$12</f>
        <v>-51081756.966717049</v>
      </c>
      <c r="F26" s="15">
        <f>$M$17*$M$9/$M$12</f>
        <v>51128295.513252199</v>
      </c>
      <c r="G26" s="18"/>
      <c r="H26" s="18"/>
      <c r="I26" s="18"/>
      <c r="J26" s="18"/>
      <c r="K26" s="18"/>
      <c r="L26" s="15" t="s">
        <v>714</v>
      </c>
      <c r="M26" s="15">
        <v>0</v>
      </c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</row>
    <row r="27" spans="1:30" ht="12" customHeight="1" x14ac:dyDescent="0.2">
      <c r="A27" s="122"/>
      <c r="B27" s="122"/>
      <c r="C27" s="19" t="s">
        <v>673</v>
      </c>
      <c r="D27" s="15">
        <v>63195161.620588377</v>
      </c>
      <c r="E27" s="15">
        <v>23540744.810586918</v>
      </c>
      <c r="F27" s="15">
        <v>0</v>
      </c>
      <c r="G27" s="18"/>
      <c r="H27" s="18"/>
      <c r="I27" s="18"/>
      <c r="J27" s="18"/>
      <c r="K27" s="18"/>
      <c r="L27" s="15" t="s">
        <v>715</v>
      </c>
      <c r="M27" s="15">
        <v>0</v>
      </c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</row>
    <row r="28" spans="1:30" ht="12" customHeight="1" x14ac:dyDescent="0.2">
      <c r="A28" s="122"/>
      <c r="B28" s="123"/>
      <c r="C28" s="19" t="s">
        <v>655</v>
      </c>
      <c r="D28" s="15">
        <f>SUM(D$24:D27)</f>
        <v>811808001.8692013</v>
      </c>
      <c r="E28" s="15">
        <f>SUM(E$24:E27)</f>
        <v>-44691073.622751996</v>
      </c>
      <c r="F28" s="15">
        <f>SUM(F$24:F27)</f>
        <v>68293981.71522066</v>
      </c>
      <c r="G28" s="18"/>
      <c r="H28" s="18"/>
      <c r="I28" s="18"/>
      <c r="J28" s="18"/>
      <c r="K28" s="18"/>
      <c r="L28" s="15" t="s">
        <v>716</v>
      </c>
      <c r="M28" s="15">
        <v>0</v>
      </c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</row>
    <row r="29" spans="1:30" ht="12" customHeight="1" x14ac:dyDescent="0.2">
      <c r="A29" s="123"/>
      <c r="B29" s="117" t="s">
        <v>655</v>
      </c>
      <c r="C29" s="119"/>
      <c r="D29" s="15">
        <f>SUMIF(C$2:C28,"SUBTOTAL",D$2:D28)</f>
        <v>2442013267.2574902</v>
      </c>
      <c r="E29" s="15">
        <f>SUMIF(C$2:C28,"SUBTOTAL",E$2:E28)</f>
        <v>-39556946.646741629</v>
      </c>
      <c r="F29" s="15">
        <f>SUMIF(C$2:C28,"SUBTOTAL",F$2:F28)</f>
        <v>92354163.946173221</v>
      </c>
      <c r="G29" s="18"/>
      <c r="H29" s="18"/>
      <c r="I29" s="18"/>
      <c r="J29" s="18"/>
      <c r="K29" s="18"/>
      <c r="L29" s="15" t="s">
        <v>717</v>
      </c>
      <c r="M29" s="15">
        <v>0</v>
      </c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</row>
    <row r="30" spans="1:30" ht="12" customHeight="1" x14ac:dyDescent="0.2">
      <c r="A30" s="121" t="s">
        <v>674</v>
      </c>
      <c r="B30" s="121" t="s">
        <v>647</v>
      </c>
      <c r="C30" s="19" t="s">
        <v>649</v>
      </c>
      <c r="D30" s="15">
        <f>IFERROR($M$5*(+D$31+D$32+D$33+D$35+D$37+D$38+D$39+D$43)+($M$5^2)*(+D$31+D$32+D$33+D$35+D$37+D$38+D$39+D$43)/$M$22*(+$E$2+$F$2+$E$3+$F$3+$E$8+$F$8+$E$9+$F$9+$E$11+$F$11+$E$12+$F$12+$E$13+$F$13+$E$14+$F$14+$E$15+$F$15+$E$16+$F$16+$E$17+$F$17+$E$19+$F$19+$E$22+$F$22+$E$24+$F$24+$E$25+$F$25+$E$26+$F$26+$E$27+$F$27+$E$31+$F$31+$E$32+$F$32+$E$33+$F$33+$E$35+$F$35+$E$37+$F$37+$E$38+$F$38+$E$39+$F$39+$E$43+$F$43),0)</f>
        <v>12512932.859588204</v>
      </c>
      <c r="E30" s="15">
        <f>IF((D30+D$4)&lt;&gt;0,$M$20*D30/(D30+D$4),0)</f>
        <v>-48.949027468401006</v>
      </c>
      <c r="F30" s="15">
        <f>IF((D30+D$4)&lt;&gt;0,$M$21*D30/(D30+D$4),0)</f>
        <v>0</v>
      </c>
      <c r="G30" s="18"/>
      <c r="H30" s="18"/>
      <c r="I30" s="18"/>
      <c r="J30" s="18"/>
      <c r="K30" s="18"/>
      <c r="L30" s="15" t="s">
        <v>718</v>
      </c>
      <c r="M30" s="15">
        <v>0</v>
      </c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</row>
    <row r="31" spans="1:30" ht="12" customHeight="1" x14ac:dyDescent="0.2">
      <c r="A31" s="122"/>
      <c r="B31" s="122"/>
      <c r="C31" s="19" t="s">
        <v>675</v>
      </c>
      <c r="D31" s="15">
        <v>47694181.119319111</v>
      </c>
      <c r="E31" s="15">
        <v>-56055797.563964814</v>
      </c>
      <c r="F31" s="15">
        <v>121739537.68676871</v>
      </c>
      <c r="G31" s="18"/>
      <c r="H31" s="18"/>
      <c r="I31" s="18"/>
      <c r="J31" s="18"/>
      <c r="K31" s="18"/>
      <c r="L31" s="15" t="s">
        <v>719</v>
      </c>
      <c r="M31" s="15">
        <v>0</v>
      </c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</row>
    <row r="32" spans="1:30" ht="12" customHeight="1" x14ac:dyDescent="0.2">
      <c r="A32" s="122"/>
      <c r="B32" s="122"/>
      <c r="C32" s="19" t="s">
        <v>676</v>
      </c>
      <c r="D32" s="15">
        <v>0</v>
      </c>
      <c r="E32" s="15">
        <v>0</v>
      </c>
      <c r="F32" s="15">
        <v>0</v>
      </c>
      <c r="G32" s="18"/>
      <c r="H32" s="18"/>
      <c r="I32" s="18"/>
      <c r="J32" s="18"/>
      <c r="K32" s="18"/>
      <c r="L32" s="15" t="s">
        <v>720</v>
      </c>
      <c r="M32" s="15">
        <v>0.45</v>
      </c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</row>
    <row r="33" spans="1:30" ht="12" customHeight="1" x14ac:dyDescent="0.2">
      <c r="A33" s="122"/>
      <c r="B33" s="122"/>
      <c r="C33" s="19" t="s">
        <v>734</v>
      </c>
      <c r="D33" s="15">
        <v>54225064.56883698</v>
      </c>
      <c r="E33" s="15">
        <v>-1621231.8059110977</v>
      </c>
      <c r="F33" s="15">
        <v>-2635928.2517941808</v>
      </c>
      <c r="G33" s="18"/>
      <c r="H33" s="18"/>
      <c r="I33" s="18"/>
      <c r="J33" s="18"/>
      <c r="K33" s="18"/>
      <c r="L33" s="15" t="s">
        <v>721</v>
      </c>
      <c r="M33" s="15">
        <v>0.4</v>
      </c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</row>
    <row r="34" spans="1:30" ht="12" customHeight="1" x14ac:dyDescent="0.2">
      <c r="A34" s="122"/>
      <c r="B34" s="123"/>
      <c r="C34" s="19" t="s">
        <v>655</v>
      </c>
      <c r="D34" s="15">
        <f>SUM(D$30:D33)</f>
        <v>114432178.5477443</v>
      </c>
      <c r="E34" s="15">
        <f>SUM(E$30:E33)</f>
        <v>-57677078.318903387</v>
      </c>
      <c r="F34" s="15">
        <f>SUM(F$30:F33)</f>
        <v>119103609.43497454</v>
      </c>
      <c r="G34" s="18"/>
      <c r="H34" s="18"/>
      <c r="I34" s="18"/>
      <c r="J34" s="18"/>
      <c r="K34" s="18"/>
      <c r="L34" s="15" t="s">
        <v>722</v>
      </c>
      <c r="M34" s="15">
        <v>0.65</v>
      </c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</row>
    <row r="35" spans="1:30" ht="12" customHeight="1" x14ac:dyDescent="0.2">
      <c r="A35" s="122"/>
      <c r="B35" s="121" t="s">
        <v>677</v>
      </c>
      <c r="C35" s="19" t="s">
        <v>678</v>
      </c>
      <c r="D35" s="15">
        <f>$M$14*($M$12-$M$7)</f>
        <v>1088711363.8414388</v>
      </c>
      <c r="E35" s="15">
        <f>$M$16*($M$12-$M$7)/$M$12</f>
        <v>-99229871.717498198</v>
      </c>
      <c r="F35" s="15">
        <f>$M$17*($M$12-$M$7)/$M$12</f>
        <v>99320276.086431906</v>
      </c>
      <c r="G35" s="18"/>
      <c r="H35" s="18"/>
      <c r="I35" s="18"/>
      <c r="J35" s="18"/>
      <c r="K35" s="18"/>
      <c r="L35" s="15" t="s">
        <v>723</v>
      </c>
      <c r="M35" s="15">
        <v>0.4</v>
      </c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</row>
    <row r="36" spans="1:30" ht="12" customHeight="1" x14ac:dyDescent="0.2">
      <c r="A36" s="122"/>
      <c r="B36" s="123"/>
      <c r="C36" s="19" t="s">
        <v>655</v>
      </c>
      <c r="D36" s="15">
        <f>SUM(D$35:D35)</f>
        <v>1088711363.8414388</v>
      </c>
      <c r="E36" s="15">
        <f>SUM(E$35:E35)</f>
        <v>-99229871.717498198</v>
      </c>
      <c r="F36" s="15">
        <f>SUM(F$35:F35)</f>
        <v>99320276.086431906</v>
      </c>
      <c r="G36" s="18"/>
      <c r="H36" s="18"/>
      <c r="I36" s="18"/>
      <c r="J36" s="18"/>
      <c r="K36" s="18"/>
      <c r="L36" s="15" t="s">
        <v>724</v>
      </c>
      <c r="M36" s="15">
        <v>0.1</v>
      </c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</row>
    <row r="37" spans="1:30" ht="12" customHeight="1" x14ac:dyDescent="0.2">
      <c r="A37" s="122"/>
      <c r="B37" s="121" t="s">
        <v>656</v>
      </c>
      <c r="C37" s="19" t="s">
        <v>679</v>
      </c>
      <c r="D37" s="15">
        <v>0</v>
      </c>
      <c r="E37" s="15">
        <v>0</v>
      </c>
      <c r="F37" s="15">
        <v>0</v>
      </c>
      <c r="G37" s="18"/>
      <c r="H37" s="18"/>
      <c r="I37" s="18"/>
      <c r="J37" s="18"/>
      <c r="K37" s="18"/>
      <c r="L37" s="15" t="s">
        <v>725</v>
      </c>
      <c r="M37" s="15">
        <v>0</v>
      </c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</row>
    <row r="38" spans="1:30" ht="12" customHeight="1" x14ac:dyDescent="0.2">
      <c r="A38" s="122"/>
      <c r="B38" s="122"/>
      <c r="C38" s="19" t="s">
        <v>680</v>
      </c>
      <c r="D38" s="15">
        <v>0</v>
      </c>
      <c r="E38" s="15">
        <v>0</v>
      </c>
      <c r="F38" s="15">
        <f>IF((+$D$11+$D$12+$D$16+$D$17+$D$38)&lt;&gt;0,$M$19*$D$38/(+$D$11+$D$12+$D$16+$D$17+$D$38),0)</f>
        <v>0</v>
      </c>
      <c r="G38" s="18"/>
      <c r="H38" s="18"/>
      <c r="I38" s="18"/>
      <c r="J38" s="18"/>
      <c r="K38" s="18"/>
      <c r="L38" s="15" t="s">
        <v>726</v>
      </c>
      <c r="M38" s="15">
        <f>IFERROR(VLOOKUP("Convencional1RuralNão se aplicaRURALB2",Descontos!B1:U88,VLOOKUP("Convencional1RuralNão se aplicaRURALB2",Descontos!B1:U88,20,FALSE)+12,FALSE),100)</f>
        <v>0.12</v>
      </c>
      <c r="N38" s="18" t="s">
        <v>782</v>
      </c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</row>
    <row r="39" spans="1:30" ht="12" customHeight="1" x14ac:dyDescent="0.2">
      <c r="A39" s="122"/>
      <c r="B39" s="122"/>
      <c r="C39" s="19" t="s">
        <v>681</v>
      </c>
      <c r="D39" s="15"/>
      <c r="E39" s="15">
        <v>0</v>
      </c>
      <c r="F39" s="15">
        <v>0</v>
      </c>
      <c r="G39" s="18"/>
      <c r="H39" s="18"/>
      <c r="I39" s="18"/>
      <c r="J39" s="18"/>
      <c r="K39" s="18"/>
      <c r="L39" s="15" t="s">
        <v>727</v>
      </c>
      <c r="M39" s="15">
        <f>IFERROR(VLOOKUP("Convencional1RuralCooperativa de eletrificação ruralPlanilha CUSTOB2",Descontos!B1:U88,VLOOKUP("Convencional1RuralCooperativa de eletrificação ruralPlanilha CUSTOB2",Descontos!B1:U88,20,FALSE)+12,FALSE),100)</f>
        <v>0.12</v>
      </c>
      <c r="N39" s="18">
        <v>0.3</v>
      </c>
      <c r="O39" s="18" t="s">
        <v>799</v>
      </c>
      <c r="P39" s="18" t="s">
        <v>800</v>
      </c>
      <c r="Q39" s="18" t="s">
        <v>801</v>
      </c>
      <c r="R39" s="18" t="s">
        <v>802</v>
      </c>
      <c r="S39" s="18" t="s">
        <v>1</v>
      </c>
      <c r="T39" s="18" t="s">
        <v>803</v>
      </c>
      <c r="U39" s="18"/>
      <c r="V39" s="18"/>
      <c r="W39" s="18"/>
      <c r="X39" s="18"/>
      <c r="Y39" s="18"/>
      <c r="Z39" s="18"/>
      <c r="AA39" s="18"/>
      <c r="AB39" s="18"/>
      <c r="AC39" s="18"/>
      <c r="AD39" s="18"/>
    </row>
    <row r="40" spans="1:30" ht="12" customHeight="1" x14ac:dyDescent="0.25">
      <c r="A40" s="122"/>
      <c r="B40" s="123"/>
      <c r="C40" s="19" t="s">
        <v>655</v>
      </c>
      <c r="D40" s="15">
        <f>SUM(D$37:D39)</f>
        <v>0</v>
      </c>
      <c r="E40" s="15">
        <f>SUM(E$37:E39)</f>
        <v>0</v>
      </c>
      <c r="F40" s="15">
        <f>SUM(F$37:F39)</f>
        <v>0</v>
      </c>
      <c r="G40" s="18"/>
      <c r="H40" s="18"/>
      <c r="I40" s="18"/>
      <c r="J40" s="18"/>
      <c r="K40" s="18"/>
      <c r="L40" s="15" t="s">
        <v>728</v>
      </c>
      <c r="M40" s="15">
        <f>IFERROR(VLOOKUP("Convencional1RuralServiço público de irrigação ruralPlanilha CUSTOB2",Descontos!B1:U88,VLOOKUP("Convencional1RuralServiço público de irrigação ruralPlanilha CUSTOB2",Descontos!B1:U88,20,FALSE)+12,FALSE),100)</f>
        <v>0.16</v>
      </c>
      <c r="N40" s="18">
        <v>0.4</v>
      </c>
      <c r="O40" s="55"/>
      <c r="P40" s="55"/>
      <c r="Q40" s="55"/>
      <c r="R40" s="55"/>
      <c r="S40" s="55"/>
      <c r="T40" s="55"/>
      <c r="U40" s="18"/>
      <c r="V40" s="18"/>
      <c r="W40" s="18"/>
      <c r="X40" s="18"/>
      <c r="Y40" s="18"/>
      <c r="Z40" s="18"/>
      <c r="AA40" s="18"/>
      <c r="AB40" s="18"/>
      <c r="AC40" s="18"/>
      <c r="AD40" s="18"/>
    </row>
    <row r="41" spans="1:30" ht="12" customHeight="1" x14ac:dyDescent="0.25">
      <c r="A41" s="122"/>
      <c r="B41" s="121" t="s">
        <v>666</v>
      </c>
      <c r="C41" s="19" t="s">
        <v>667</v>
      </c>
      <c r="D41" s="15"/>
      <c r="E41" s="15">
        <f>IF($D$46&lt;&gt;0,($D$45/$D$46)* 0,0)+0</f>
        <v>0</v>
      </c>
      <c r="F41" s="15"/>
      <c r="G41" s="18"/>
      <c r="H41" s="18"/>
      <c r="I41" s="18"/>
      <c r="J41" s="18"/>
      <c r="K41" s="18"/>
      <c r="L41" s="18"/>
      <c r="M41" s="18"/>
      <c r="N41" s="18"/>
      <c r="O41" s="55"/>
      <c r="P41" s="55"/>
      <c r="Q41" s="55"/>
      <c r="R41" s="55"/>
      <c r="S41" s="55"/>
      <c r="T41" s="55"/>
      <c r="U41" s="18"/>
      <c r="V41" s="18"/>
      <c r="W41" s="18"/>
      <c r="X41" s="18"/>
      <c r="Y41" s="18"/>
      <c r="Z41" s="18"/>
      <c r="AA41" s="18"/>
      <c r="AB41" s="18"/>
      <c r="AC41" s="18"/>
      <c r="AD41" s="18"/>
    </row>
    <row r="42" spans="1:30" ht="12" customHeight="1" x14ac:dyDescent="0.25">
      <c r="A42" s="122"/>
      <c r="B42" s="123"/>
      <c r="C42" s="19" t="s">
        <v>655</v>
      </c>
      <c r="D42" s="15">
        <f>SUM(D$41:D41)</f>
        <v>0</v>
      </c>
      <c r="E42" s="15">
        <f>SUM(E$41:E41)</f>
        <v>0</v>
      </c>
      <c r="F42" s="15">
        <f>SUM(F$41:F41)</f>
        <v>0</v>
      </c>
      <c r="G42" s="18"/>
      <c r="H42" s="18"/>
      <c r="I42" s="18"/>
      <c r="J42" s="18"/>
      <c r="K42" s="18"/>
      <c r="L42" s="18"/>
      <c r="M42" s="18"/>
      <c r="N42" s="18"/>
      <c r="O42" s="55"/>
      <c r="P42" s="55"/>
      <c r="Q42" s="55"/>
      <c r="R42" s="55"/>
      <c r="S42" s="55"/>
      <c r="T42" s="55"/>
      <c r="U42" s="18"/>
      <c r="V42" s="18"/>
      <c r="W42" s="18"/>
      <c r="X42" s="18"/>
      <c r="Y42" s="18"/>
      <c r="Z42" s="18"/>
      <c r="AA42" s="18"/>
      <c r="AB42" s="18"/>
      <c r="AC42" s="18"/>
      <c r="AD42" s="18"/>
    </row>
    <row r="43" spans="1:30" ht="12" customHeight="1" x14ac:dyDescent="0.25">
      <c r="A43" s="122"/>
      <c r="B43" s="121" t="s">
        <v>669</v>
      </c>
      <c r="C43" s="19" t="s">
        <v>682</v>
      </c>
      <c r="D43" s="15">
        <f>$M$14*$M$11</f>
        <v>18001834.880974047</v>
      </c>
      <c r="E43" s="15">
        <f>$M$16*$M$11/$M$12</f>
        <v>-1640765.2434303062</v>
      </c>
      <c r="F43" s="15">
        <f>$M$17*$M$11/$M$12</f>
        <v>1642260.0790461677</v>
      </c>
      <c r="G43" s="18"/>
      <c r="H43" s="18"/>
      <c r="I43" s="18"/>
      <c r="J43" s="18"/>
      <c r="K43" s="18"/>
      <c r="L43" s="18"/>
      <c r="M43" s="18"/>
      <c r="N43" s="18"/>
      <c r="O43" s="55"/>
      <c r="P43" s="55"/>
      <c r="Q43" s="55"/>
      <c r="R43" s="55"/>
      <c r="S43" s="55"/>
      <c r="T43" s="55"/>
      <c r="U43" s="18"/>
      <c r="V43" s="18"/>
      <c r="W43" s="18"/>
      <c r="X43" s="18"/>
      <c r="Y43" s="18"/>
      <c r="Z43" s="18"/>
      <c r="AA43" s="18"/>
      <c r="AB43" s="18"/>
      <c r="AC43" s="18"/>
      <c r="AD43" s="18"/>
    </row>
    <row r="44" spans="1:30" ht="12" customHeight="1" x14ac:dyDescent="0.25">
      <c r="A44" s="122"/>
      <c r="B44" s="123"/>
      <c r="C44" s="19" t="s">
        <v>655</v>
      </c>
      <c r="D44" s="15">
        <f>SUM(D$43:D43)</f>
        <v>18001834.880974047</v>
      </c>
      <c r="E44" s="15">
        <f>SUM(E$43:E43)</f>
        <v>-1640765.2434303062</v>
      </c>
      <c r="F44" s="15">
        <f>SUM(F$43:F43)</f>
        <v>1642260.0790461677</v>
      </c>
      <c r="G44" s="18"/>
      <c r="H44" s="18"/>
      <c r="I44" s="18"/>
      <c r="J44" s="18"/>
      <c r="K44" s="18"/>
      <c r="L44" s="18"/>
      <c r="M44" s="18"/>
      <c r="N44" s="18"/>
      <c r="O44" s="55"/>
      <c r="P44" s="55"/>
      <c r="Q44" s="55"/>
      <c r="R44" s="55"/>
      <c r="S44" s="55"/>
      <c r="T44" s="55"/>
      <c r="U44" s="18"/>
      <c r="V44" s="18"/>
      <c r="W44" s="18"/>
      <c r="X44" s="18"/>
      <c r="Y44" s="18"/>
      <c r="Z44" s="18"/>
      <c r="AA44" s="18"/>
      <c r="AB44" s="18"/>
      <c r="AC44" s="18"/>
      <c r="AD44" s="18"/>
    </row>
    <row r="45" spans="1:30" ht="12" customHeight="1" x14ac:dyDescent="0.25">
      <c r="A45" s="123"/>
      <c r="B45" s="117" t="s">
        <v>655</v>
      </c>
      <c r="C45" s="119"/>
      <c r="D45" s="15">
        <f>SUMIF(C$30:C44,"SUBTOTAL",D$30:D44)</f>
        <v>1221145377.2701571</v>
      </c>
      <c r="E45" s="15">
        <f>SUMIF(C$30:C44,"SUBTOTAL",E$30:E44)</f>
        <v>-158547715.27983189</v>
      </c>
      <c r="F45" s="15">
        <f>SUMIF(C$30:C44,"SUBTOTAL",F$30:F44)</f>
        <v>220066145.6004526</v>
      </c>
      <c r="G45" s="18"/>
      <c r="H45" s="18"/>
      <c r="I45" s="18"/>
      <c r="J45" s="18"/>
      <c r="K45" s="18"/>
      <c r="L45" s="18"/>
      <c r="M45" s="18"/>
      <c r="N45" s="18"/>
      <c r="O45" s="55"/>
      <c r="P45" s="55"/>
      <c r="Q45" s="55"/>
      <c r="R45" s="55"/>
      <c r="S45" s="55"/>
      <c r="T45" s="55"/>
      <c r="U45" s="18"/>
      <c r="V45" s="18"/>
      <c r="W45" s="18"/>
      <c r="X45" s="18"/>
      <c r="Y45" s="18"/>
      <c r="Z45" s="18"/>
      <c r="AA45" s="18"/>
      <c r="AB45" s="18"/>
      <c r="AC45" s="18"/>
      <c r="AD45" s="18"/>
    </row>
    <row r="46" spans="1:30" ht="12" customHeight="1" x14ac:dyDescent="0.25">
      <c r="A46" s="117" t="s">
        <v>683</v>
      </c>
      <c r="B46" s="118"/>
      <c r="C46" s="119"/>
      <c r="D46" s="15">
        <f>SUMIF(C$2:C45,"SUBTOTAL",D$2:D45)</f>
        <v>3663158644.527647</v>
      </c>
      <c r="E46" s="15">
        <f>SUMIF(C$2:C45,"SUBTOTAL",E$2:E45)</f>
        <v>-198104661.92657351</v>
      </c>
      <c r="F46" s="15">
        <f>SUMIF(C$2:C45,"SUBTOTAL",F$2:F45)</f>
        <v>312420309.54662585</v>
      </c>
      <c r="G46" s="18"/>
      <c r="H46" s="18"/>
      <c r="I46" s="18"/>
      <c r="J46" s="18"/>
      <c r="K46" s="18"/>
      <c r="L46" s="18"/>
      <c r="M46" s="18"/>
      <c r="N46" s="18"/>
      <c r="O46" s="55"/>
      <c r="P46" s="55"/>
      <c r="Q46" s="55"/>
      <c r="R46" s="55"/>
      <c r="S46" s="55"/>
      <c r="T46" s="55"/>
      <c r="U46" s="18"/>
      <c r="V46" s="18"/>
      <c r="W46" s="18"/>
      <c r="X46" s="18"/>
      <c r="Y46" s="18"/>
      <c r="Z46" s="18"/>
      <c r="AA46" s="18"/>
      <c r="AB46" s="18"/>
      <c r="AC46" s="18"/>
      <c r="AD46" s="18"/>
    </row>
    <row r="47" spans="1:30" ht="12" customHeight="1" x14ac:dyDescent="0.25">
      <c r="A47" s="115" t="s">
        <v>775</v>
      </c>
      <c r="B47" s="116"/>
      <c r="C47" s="116"/>
      <c r="D47" s="49">
        <f ca="1">'TUSD BE'!$AM$58+'TUSD BE'!$AM$62+'TE BE'!$AA$46</f>
        <v>3663158644.527647</v>
      </c>
      <c r="E47" s="49">
        <f ca="1">'TUSD BF'!$AM$58+'TE BF'!$AA$46</f>
        <v>-198104661.92657349</v>
      </c>
      <c r="F47" s="49">
        <f ca="1">'TUSD CVA'!$AM$58+'TE CVA'!$AA$46</f>
        <v>312420309.54662585</v>
      </c>
      <c r="L47" s="9"/>
      <c r="M47" s="18"/>
      <c r="O47" s="55"/>
      <c r="P47" s="55"/>
      <c r="Q47" s="55"/>
      <c r="R47" s="55"/>
      <c r="S47" s="55"/>
      <c r="T47" s="55"/>
    </row>
    <row r="48" spans="1:30" ht="12" customHeight="1" x14ac:dyDescent="0.25">
      <c r="A48" s="115" t="s">
        <v>776</v>
      </c>
      <c r="B48" s="116"/>
      <c r="C48" s="116"/>
      <c r="D48" s="50" t="str">
        <f ca="1">IF(ABS(D47-D46)&gt;1,"ERRO","OK")</f>
        <v>OK</v>
      </c>
      <c r="E48" s="50" t="str">
        <f ca="1">IF(ABS(E47-E46)&gt;1,"ERRO","OK")</f>
        <v>OK</v>
      </c>
      <c r="F48" s="50" t="str">
        <f ca="1">IF(ABS(F47-F46)&gt;1,"ERRO","OK")</f>
        <v>OK</v>
      </c>
      <c r="L48" s="19"/>
      <c r="M48" s="15"/>
      <c r="O48" s="55"/>
      <c r="P48" s="55"/>
      <c r="Q48" s="55"/>
      <c r="R48" s="55"/>
      <c r="S48" s="55"/>
      <c r="T48" s="55"/>
    </row>
    <row r="49" spans="3:20" ht="12" customHeight="1" x14ac:dyDescent="0.25">
      <c r="L49" s="19"/>
      <c r="M49" s="15"/>
      <c r="O49" s="55"/>
      <c r="P49" s="55"/>
      <c r="Q49" s="55"/>
      <c r="R49" s="55"/>
      <c r="S49" s="55"/>
      <c r="T49" s="55"/>
    </row>
    <row r="50" spans="3:20" ht="12" customHeight="1" x14ac:dyDescent="0.25">
      <c r="C50" s="17" t="s">
        <v>1299</v>
      </c>
      <c r="D50" s="93">
        <f>D46</f>
        <v>3663158644.527647</v>
      </c>
      <c r="L50" s="19"/>
      <c r="M50" s="15"/>
      <c r="O50" s="55"/>
      <c r="P50" s="55"/>
      <c r="Q50" s="55"/>
      <c r="R50" s="55"/>
      <c r="S50" s="55"/>
      <c r="T50" s="55"/>
    </row>
    <row r="51" spans="3:20" ht="12" customHeight="1" x14ac:dyDescent="0.25">
      <c r="C51" s="17" t="s">
        <v>1298</v>
      </c>
      <c r="D51" s="93">
        <v>3663158644.5276475</v>
      </c>
      <c r="L51" s="23" t="s">
        <v>729</v>
      </c>
      <c r="M51" s="24">
        <v>0</v>
      </c>
      <c r="O51" s="55"/>
      <c r="P51" s="55"/>
      <c r="Q51" s="55"/>
      <c r="R51" s="55"/>
      <c r="S51" s="55"/>
      <c r="T51" s="55"/>
    </row>
    <row r="52" spans="3:20" ht="12" customHeight="1" x14ac:dyDescent="0.25">
      <c r="D52" s="93">
        <f>D50-D51</f>
        <v>0</v>
      </c>
      <c r="O52" s="55"/>
      <c r="P52" s="55"/>
      <c r="Q52" s="55"/>
      <c r="R52" s="55"/>
      <c r="S52" s="55"/>
      <c r="T52" s="55"/>
    </row>
    <row r="53" spans="3:20" ht="12" customHeight="1" x14ac:dyDescent="0.25">
      <c r="C53" s="17" t="s">
        <v>1300</v>
      </c>
      <c r="D53" s="93">
        <f>D46+E46+F46</f>
        <v>3777474292.1476994</v>
      </c>
      <c r="O53" s="55"/>
      <c r="P53" s="55"/>
      <c r="Q53" s="55"/>
      <c r="R53" s="55"/>
      <c r="S53" s="55"/>
      <c r="T53" s="55"/>
    </row>
    <row r="54" spans="3:20" ht="12" customHeight="1" x14ac:dyDescent="0.25">
      <c r="D54" s="93">
        <f ca="1">EFEITO!AU10+SUM(SUBSIDIO!AJ2:AJ9)</f>
        <v>3777474292.1476979</v>
      </c>
      <c r="O54" s="55"/>
      <c r="P54" s="55"/>
      <c r="Q54" s="55"/>
      <c r="R54" s="55"/>
      <c r="S54" s="55"/>
      <c r="T54" s="55"/>
    </row>
    <row r="55" spans="3:20" ht="12" customHeight="1" x14ac:dyDescent="0.25">
      <c r="D55" s="93">
        <f ca="1">D53-D54</f>
        <v>0</v>
      </c>
      <c r="O55" s="55"/>
      <c r="P55" s="55"/>
      <c r="Q55" s="55"/>
      <c r="R55" s="55"/>
      <c r="S55" s="55"/>
      <c r="T55" s="55"/>
    </row>
    <row r="56" spans="3:20" ht="12" customHeight="1" x14ac:dyDescent="0.25">
      <c r="O56" s="55"/>
      <c r="P56" s="55"/>
      <c r="Q56" s="55"/>
      <c r="R56" s="55"/>
      <c r="S56" s="55"/>
      <c r="T56" s="55"/>
    </row>
    <row r="57" spans="3:20" ht="12" customHeight="1" x14ac:dyDescent="0.25">
      <c r="O57" s="55"/>
      <c r="P57" s="55"/>
      <c r="Q57" s="55"/>
      <c r="R57" s="55"/>
      <c r="S57" s="55"/>
      <c r="T57" s="55"/>
    </row>
    <row r="58" spans="3:20" ht="12" customHeight="1" x14ac:dyDescent="0.25">
      <c r="O58" s="55"/>
      <c r="P58" s="55"/>
      <c r="Q58" s="55"/>
      <c r="R58" s="55"/>
      <c r="S58" s="55"/>
      <c r="T58" s="55"/>
    </row>
    <row r="59" spans="3:20" ht="12" customHeight="1" x14ac:dyDescent="0.25">
      <c r="O59" s="55"/>
      <c r="P59" s="55"/>
      <c r="Q59" s="55"/>
      <c r="R59" s="55"/>
      <c r="S59" s="55"/>
      <c r="T59" s="55"/>
    </row>
    <row r="60" spans="3:20" ht="12" customHeight="1" x14ac:dyDescent="0.25">
      <c r="O60" s="55"/>
      <c r="P60" s="55"/>
      <c r="Q60" s="55"/>
      <c r="R60" s="55"/>
      <c r="S60" s="55"/>
      <c r="T60" s="55"/>
    </row>
    <row r="61" spans="3:20" ht="12" customHeight="1" x14ac:dyDescent="0.25">
      <c r="O61" s="55"/>
      <c r="P61" s="55"/>
      <c r="Q61" s="55"/>
      <c r="R61" s="55"/>
      <c r="S61" s="55"/>
      <c r="T61" s="55"/>
    </row>
    <row r="62" spans="3:20" ht="12" customHeight="1" x14ac:dyDescent="0.25">
      <c r="O62" s="55"/>
      <c r="P62" s="55"/>
      <c r="Q62" s="55"/>
      <c r="R62" s="55"/>
      <c r="S62" s="55"/>
      <c r="T62" s="55"/>
    </row>
    <row r="63" spans="3:20" ht="12" customHeight="1" x14ac:dyDescent="0.25">
      <c r="O63" s="55"/>
      <c r="P63" s="55"/>
      <c r="Q63" s="55"/>
      <c r="R63" s="55"/>
      <c r="S63" s="55"/>
      <c r="T63" s="55"/>
    </row>
    <row r="64" spans="3:20" ht="12" customHeight="1" x14ac:dyDescent="0.25">
      <c r="O64" s="55"/>
      <c r="P64" s="55"/>
      <c r="Q64" s="55"/>
      <c r="R64" s="55"/>
      <c r="S64" s="55"/>
      <c r="T64" s="55"/>
    </row>
    <row r="65" spans="15:20" ht="12" customHeight="1" x14ac:dyDescent="0.25">
      <c r="O65" s="55"/>
      <c r="P65" s="55"/>
      <c r="Q65" s="55"/>
      <c r="R65" s="55"/>
      <c r="S65" s="55"/>
      <c r="T65" s="55"/>
    </row>
    <row r="66" spans="15:20" ht="12" customHeight="1" x14ac:dyDescent="0.25">
      <c r="O66" s="55"/>
      <c r="P66" s="55"/>
      <c r="Q66" s="55"/>
      <c r="R66" s="55"/>
      <c r="S66" s="55"/>
      <c r="T66" s="55"/>
    </row>
    <row r="67" spans="15:20" ht="12" customHeight="1" x14ac:dyDescent="0.25">
      <c r="O67" s="55"/>
      <c r="P67" s="55"/>
      <c r="Q67" s="55"/>
      <c r="R67" s="55"/>
      <c r="S67" s="55"/>
      <c r="T67" s="55"/>
    </row>
    <row r="68" spans="15:20" ht="12" customHeight="1" x14ac:dyDescent="0.25">
      <c r="O68" s="55"/>
      <c r="P68" s="55"/>
      <c r="Q68" s="55"/>
      <c r="R68" s="55"/>
      <c r="S68" s="55"/>
      <c r="T68" s="55"/>
    </row>
    <row r="69" spans="15:20" ht="12" customHeight="1" x14ac:dyDescent="0.25">
      <c r="O69" s="55"/>
      <c r="P69" s="55"/>
      <c r="Q69" s="55"/>
      <c r="R69" s="55"/>
      <c r="S69" s="55"/>
      <c r="T69" s="55"/>
    </row>
    <row r="70" spans="15:20" ht="12" customHeight="1" x14ac:dyDescent="0.25">
      <c r="O70" s="55"/>
      <c r="P70" s="55"/>
      <c r="Q70" s="55"/>
      <c r="R70" s="55"/>
      <c r="S70" s="55"/>
      <c r="T70" s="55"/>
    </row>
    <row r="71" spans="15:20" ht="12" customHeight="1" x14ac:dyDescent="0.25">
      <c r="O71" s="55"/>
      <c r="P71" s="55"/>
      <c r="Q71" s="55"/>
      <c r="R71" s="55"/>
      <c r="S71" s="55"/>
      <c r="T71" s="55"/>
    </row>
    <row r="72" spans="15:20" ht="12" customHeight="1" x14ac:dyDescent="0.25">
      <c r="O72" s="55"/>
      <c r="P72" s="55"/>
      <c r="Q72" s="55"/>
      <c r="R72" s="55"/>
      <c r="S72" s="55"/>
      <c r="T72" s="55"/>
    </row>
    <row r="73" spans="15:20" ht="12" customHeight="1" x14ac:dyDescent="0.25">
      <c r="O73" s="55"/>
      <c r="P73" s="55"/>
      <c r="Q73" s="55"/>
      <c r="R73" s="55"/>
      <c r="S73" s="55"/>
      <c r="T73" s="55"/>
    </row>
    <row r="74" spans="15:20" ht="12" customHeight="1" x14ac:dyDescent="0.25">
      <c r="O74" s="55"/>
      <c r="P74" s="55"/>
      <c r="Q74" s="55"/>
      <c r="R74" s="55"/>
      <c r="S74" s="55"/>
      <c r="T74" s="55"/>
    </row>
    <row r="75" spans="15:20" ht="12" customHeight="1" x14ac:dyDescent="0.25">
      <c r="O75" s="55"/>
      <c r="P75" s="55"/>
      <c r="Q75" s="55"/>
      <c r="R75" s="55"/>
      <c r="S75" s="55"/>
      <c r="T75" s="55"/>
    </row>
    <row r="76" spans="15:20" ht="12" customHeight="1" x14ac:dyDescent="0.25">
      <c r="O76" s="55"/>
      <c r="P76" s="55"/>
      <c r="Q76" s="55"/>
      <c r="R76" s="55"/>
      <c r="S76" s="55"/>
      <c r="T76" s="55"/>
    </row>
    <row r="77" spans="15:20" ht="12" customHeight="1" x14ac:dyDescent="0.25">
      <c r="O77" s="55"/>
      <c r="P77" s="55"/>
      <c r="Q77" s="55"/>
      <c r="R77" s="55"/>
      <c r="S77" s="55"/>
      <c r="T77" s="55"/>
    </row>
    <row r="78" spans="15:20" ht="12" customHeight="1" x14ac:dyDescent="0.25">
      <c r="O78" s="55"/>
      <c r="P78" s="55"/>
      <c r="Q78" s="55"/>
      <c r="R78" s="55"/>
      <c r="S78" s="55"/>
      <c r="T78" s="55"/>
    </row>
    <row r="79" spans="15:20" ht="12" customHeight="1" x14ac:dyDescent="0.25">
      <c r="O79" s="55"/>
      <c r="P79" s="55"/>
      <c r="Q79" s="55"/>
      <c r="R79" s="55"/>
      <c r="S79" s="55"/>
      <c r="T79" s="55"/>
    </row>
    <row r="80" spans="15:20" ht="12" customHeight="1" x14ac:dyDescent="0.25">
      <c r="O80" s="55"/>
      <c r="P80" s="55"/>
      <c r="Q80" s="55"/>
      <c r="R80" s="55"/>
      <c r="S80" s="55"/>
      <c r="T80" s="55"/>
    </row>
    <row r="81" spans="15:20" ht="12" customHeight="1" x14ac:dyDescent="0.25">
      <c r="O81" s="55"/>
      <c r="P81" s="55"/>
      <c r="Q81" s="55"/>
      <c r="R81" s="55"/>
      <c r="S81" s="55"/>
      <c r="T81" s="55"/>
    </row>
    <row r="82" spans="15:20" ht="12" customHeight="1" x14ac:dyDescent="0.25">
      <c r="O82" s="55"/>
      <c r="P82" s="55"/>
      <c r="Q82" s="55"/>
      <c r="R82" s="55"/>
      <c r="S82" s="55"/>
      <c r="T82" s="55"/>
    </row>
    <row r="83" spans="15:20" ht="12" customHeight="1" x14ac:dyDescent="0.25">
      <c r="O83" s="55"/>
      <c r="P83" s="55"/>
      <c r="Q83" s="55"/>
      <c r="R83" s="55"/>
      <c r="S83" s="55"/>
      <c r="T83" s="55"/>
    </row>
    <row r="84" spans="15:20" ht="12" customHeight="1" x14ac:dyDescent="0.25">
      <c r="O84" s="55"/>
      <c r="P84" s="55"/>
      <c r="Q84" s="55"/>
      <c r="R84" s="55"/>
      <c r="S84" s="55"/>
      <c r="T84" s="55"/>
    </row>
    <row r="85" spans="15:20" ht="12" customHeight="1" x14ac:dyDescent="0.25">
      <c r="O85" s="55"/>
      <c r="P85" s="55"/>
      <c r="Q85" s="55"/>
      <c r="R85" s="55"/>
      <c r="S85" s="55"/>
      <c r="T85" s="55"/>
    </row>
    <row r="86" spans="15:20" ht="12" customHeight="1" x14ac:dyDescent="0.25">
      <c r="O86" s="55"/>
      <c r="P86" s="55"/>
      <c r="Q86" s="55"/>
      <c r="R86" s="55"/>
      <c r="S86" s="55"/>
      <c r="T86" s="55"/>
    </row>
    <row r="87" spans="15:20" ht="12" customHeight="1" x14ac:dyDescent="0.25">
      <c r="O87" s="55"/>
      <c r="P87" s="55"/>
      <c r="Q87" s="55"/>
      <c r="R87" s="55"/>
      <c r="S87" s="55"/>
      <c r="T87" s="55"/>
    </row>
    <row r="88" spans="15:20" ht="12" customHeight="1" x14ac:dyDescent="0.25">
      <c r="O88" s="55"/>
      <c r="P88" s="55"/>
      <c r="Q88" s="55"/>
      <c r="R88" s="55"/>
      <c r="S88" s="55"/>
      <c r="T88" s="55"/>
    </row>
    <row r="89" spans="15:20" ht="12" customHeight="1" x14ac:dyDescent="0.25">
      <c r="O89" s="55"/>
      <c r="P89" s="55"/>
      <c r="Q89" s="55"/>
      <c r="R89" s="55"/>
      <c r="S89" s="55"/>
      <c r="T89" s="55"/>
    </row>
    <row r="90" spans="15:20" ht="12" customHeight="1" x14ac:dyDescent="0.25">
      <c r="O90" s="55"/>
      <c r="P90" s="55"/>
      <c r="Q90" s="55"/>
      <c r="R90" s="55"/>
      <c r="S90" s="55"/>
      <c r="T90" s="55"/>
    </row>
    <row r="91" spans="15:20" ht="12" customHeight="1" x14ac:dyDescent="0.25">
      <c r="O91" s="55"/>
      <c r="P91" s="55"/>
      <c r="Q91" s="55"/>
      <c r="R91" s="55"/>
      <c r="S91" s="55"/>
      <c r="T91" s="55"/>
    </row>
    <row r="92" spans="15:20" ht="12" customHeight="1" x14ac:dyDescent="0.25">
      <c r="O92" s="55"/>
      <c r="P92" s="55"/>
      <c r="Q92" s="55"/>
      <c r="R92" s="55"/>
      <c r="S92" s="55"/>
      <c r="T92" s="55"/>
    </row>
    <row r="93" spans="15:20" ht="12" customHeight="1" x14ac:dyDescent="0.25">
      <c r="O93" s="55"/>
      <c r="P93" s="55"/>
      <c r="Q93" s="55"/>
      <c r="R93" s="55"/>
      <c r="S93" s="55"/>
      <c r="T93" s="55"/>
    </row>
    <row r="94" spans="15:20" ht="12" customHeight="1" x14ac:dyDescent="0.25">
      <c r="O94" s="55"/>
      <c r="P94" s="55"/>
      <c r="Q94" s="55"/>
      <c r="R94" s="55"/>
      <c r="S94" s="55"/>
      <c r="T94" s="55"/>
    </row>
    <row r="95" spans="15:20" ht="12" customHeight="1" x14ac:dyDescent="0.25">
      <c r="O95" s="55"/>
      <c r="P95" s="55"/>
      <c r="Q95" s="55"/>
      <c r="R95" s="55"/>
      <c r="S95" s="55"/>
      <c r="T95" s="55"/>
    </row>
    <row r="96" spans="15:20" ht="12" customHeight="1" x14ac:dyDescent="0.25">
      <c r="O96" s="55"/>
      <c r="P96" s="55"/>
      <c r="Q96" s="55"/>
      <c r="R96" s="55"/>
      <c r="S96" s="55"/>
      <c r="T96" s="55"/>
    </row>
    <row r="97" spans="15:30" ht="12" customHeight="1" x14ac:dyDescent="0.25">
      <c r="O97" s="55"/>
      <c r="P97" s="55"/>
      <c r="Q97" s="55"/>
      <c r="R97" s="55"/>
      <c r="S97" s="55"/>
      <c r="T97" s="55"/>
    </row>
    <row r="98" spans="15:30" ht="12" customHeight="1" x14ac:dyDescent="0.25">
      <c r="O98" s="55"/>
      <c r="P98" s="55"/>
      <c r="Q98" s="55"/>
      <c r="R98" s="55"/>
      <c r="S98" s="55"/>
      <c r="T98" s="55"/>
    </row>
    <row r="99" spans="15:30" ht="12" customHeight="1" x14ac:dyDescent="0.25">
      <c r="O99" s="54"/>
      <c r="P99" s="54"/>
      <c r="Q99" s="54"/>
      <c r="R99" s="54"/>
      <c r="S99" s="54"/>
      <c r="T99" s="54"/>
    </row>
    <row r="100" spans="15:30" ht="12" customHeight="1" x14ac:dyDescent="0.25"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</row>
    <row r="101" spans="15:30" ht="12" customHeight="1" x14ac:dyDescent="0.25">
      <c r="O101" s="55" t="s">
        <v>799</v>
      </c>
      <c r="P101" s="55" t="s">
        <v>804</v>
      </c>
      <c r="Q101" s="55" t="s">
        <v>805</v>
      </c>
      <c r="R101" s="55" t="s">
        <v>806</v>
      </c>
      <c r="S101" s="55" t="s">
        <v>807</v>
      </c>
      <c r="T101" s="55" t="s">
        <v>808</v>
      </c>
      <c r="U101" s="55" t="s">
        <v>809</v>
      </c>
      <c r="V101" s="55" t="s">
        <v>810</v>
      </c>
      <c r="W101" s="55"/>
      <c r="X101" s="55"/>
      <c r="Y101" s="55"/>
      <c r="Z101" s="55"/>
      <c r="AA101" s="55"/>
      <c r="AB101" s="55"/>
      <c r="AC101" s="55"/>
      <c r="AD101" s="55"/>
    </row>
    <row r="102" spans="15:30" ht="12" customHeight="1" x14ac:dyDescent="0.25">
      <c r="O102" s="55" t="s">
        <v>42</v>
      </c>
      <c r="P102" s="55" t="s">
        <v>23</v>
      </c>
      <c r="Q102" s="55" t="s">
        <v>46</v>
      </c>
      <c r="R102" s="55" t="s">
        <v>47</v>
      </c>
      <c r="S102" s="55" t="s">
        <v>25</v>
      </c>
      <c r="T102" s="55" t="s">
        <v>47</v>
      </c>
      <c r="U102" s="55">
        <v>3</v>
      </c>
      <c r="V102" s="55">
        <v>0.3</v>
      </c>
      <c r="W102" s="55">
        <v>0.24</v>
      </c>
      <c r="X102" s="55">
        <v>0.18</v>
      </c>
      <c r="Y102" s="55">
        <v>0.12</v>
      </c>
      <c r="Z102" s="55">
        <v>0.06</v>
      </c>
      <c r="AA102" s="55">
        <v>0</v>
      </c>
      <c r="AB102" s="55"/>
      <c r="AC102" s="55"/>
      <c r="AD102" s="55"/>
    </row>
    <row r="103" spans="15:30" ht="12" customHeight="1" x14ac:dyDescent="0.25"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</row>
    <row r="104" spans="15:30" ht="12" customHeight="1" x14ac:dyDescent="0.25"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</row>
    <row r="105" spans="15:30" ht="12" customHeight="1" x14ac:dyDescent="0.25"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</row>
    <row r="106" spans="15:30" ht="12" customHeight="1" x14ac:dyDescent="0.25"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</row>
    <row r="107" spans="15:30" ht="12" customHeight="1" x14ac:dyDescent="0.25"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</row>
    <row r="108" spans="15:30" ht="12" customHeight="1" x14ac:dyDescent="0.25"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</row>
    <row r="109" spans="15:30" ht="12" customHeight="1" x14ac:dyDescent="0.25"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</row>
    <row r="110" spans="15:30" ht="12" customHeight="1" x14ac:dyDescent="0.25"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</row>
    <row r="111" spans="15:30" ht="12" customHeight="1" x14ac:dyDescent="0.25"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</row>
    <row r="112" spans="15:30" ht="12" customHeight="1" x14ac:dyDescent="0.25"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</row>
    <row r="113" spans="15:30" ht="12" customHeight="1" x14ac:dyDescent="0.25"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</row>
    <row r="114" spans="15:30" ht="12" customHeight="1" x14ac:dyDescent="0.25"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</row>
    <row r="115" spans="15:30" ht="12" customHeight="1" x14ac:dyDescent="0.25"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</row>
    <row r="116" spans="15:30" ht="12" customHeight="1" x14ac:dyDescent="0.25"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</row>
    <row r="117" spans="15:30" ht="12" customHeight="1" x14ac:dyDescent="0.25"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</row>
    <row r="118" spans="15:30" ht="12" customHeight="1" x14ac:dyDescent="0.25"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</row>
    <row r="119" spans="15:30" ht="12" customHeight="1" x14ac:dyDescent="0.25"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</row>
    <row r="120" spans="15:30" ht="12" customHeight="1" x14ac:dyDescent="0.25"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</row>
    <row r="121" spans="15:30" ht="12" customHeight="1" x14ac:dyDescent="0.25"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</row>
    <row r="122" spans="15:30" ht="12" customHeight="1" x14ac:dyDescent="0.25"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</row>
    <row r="123" spans="15:30" ht="12" customHeight="1" x14ac:dyDescent="0.25"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</row>
    <row r="124" spans="15:30" ht="12" customHeight="1" x14ac:dyDescent="0.25"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</row>
    <row r="125" spans="15:30" ht="12" customHeight="1" x14ac:dyDescent="0.25"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</row>
    <row r="126" spans="15:30" ht="12" customHeight="1" x14ac:dyDescent="0.25"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</row>
    <row r="127" spans="15:30" ht="12" customHeight="1" x14ac:dyDescent="0.25"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</row>
    <row r="128" spans="15:30" ht="12" customHeight="1" x14ac:dyDescent="0.25"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</row>
    <row r="129" spans="15:30" ht="12" customHeight="1" x14ac:dyDescent="0.25"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</row>
    <row r="130" spans="15:30" ht="12" customHeight="1" x14ac:dyDescent="0.25"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</row>
    <row r="131" spans="15:30" ht="12" customHeight="1" x14ac:dyDescent="0.25"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</row>
    <row r="132" spans="15:30" ht="12" customHeight="1" x14ac:dyDescent="0.25"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</row>
    <row r="133" spans="15:30" ht="12" customHeight="1" x14ac:dyDescent="0.25"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</row>
    <row r="134" spans="15:30" ht="12" customHeight="1" x14ac:dyDescent="0.25"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</row>
    <row r="135" spans="15:30" ht="12" customHeight="1" x14ac:dyDescent="0.25"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</row>
    <row r="136" spans="15:30" ht="12" customHeight="1" x14ac:dyDescent="0.25"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</row>
    <row r="137" spans="15:30" ht="12" customHeight="1" x14ac:dyDescent="0.25"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</row>
    <row r="138" spans="15:30" ht="12" customHeight="1" x14ac:dyDescent="0.25"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</row>
    <row r="139" spans="15:30" ht="12" customHeight="1" x14ac:dyDescent="0.25"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</row>
    <row r="140" spans="15:30" ht="12" customHeight="1" x14ac:dyDescent="0.25"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</row>
    <row r="141" spans="15:30" ht="12" customHeight="1" x14ac:dyDescent="0.25"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</row>
    <row r="142" spans="15:30" ht="12" customHeight="1" x14ac:dyDescent="0.25"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</row>
    <row r="143" spans="15:30" ht="12" customHeight="1" x14ac:dyDescent="0.25"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</row>
    <row r="144" spans="15:30" ht="12" customHeight="1" x14ac:dyDescent="0.25"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</row>
    <row r="145" spans="15:30" ht="12" customHeight="1" x14ac:dyDescent="0.25"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</row>
    <row r="146" spans="15:30" ht="12" customHeight="1" x14ac:dyDescent="0.25"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</row>
    <row r="147" spans="15:30" ht="12" customHeight="1" x14ac:dyDescent="0.25"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</row>
    <row r="148" spans="15:30" ht="12" customHeight="1" x14ac:dyDescent="0.25"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</row>
    <row r="149" spans="15:30" ht="12" customHeight="1" x14ac:dyDescent="0.25"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</row>
    <row r="150" spans="15:30" ht="12" customHeight="1" x14ac:dyDescent="0.25"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</row>
    <row r="151" spans="15:30" ht="12" customHeight="1" x14ac:dyDescent="0.25"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</row>
    <row r="152" spans="15:30" ht="12" customHeight="1" x14ac:dyDescent="0.25"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</row>
    <row r="153" spans="15:30" ht="12" customHeight="1" x14ac:dyDescent="0.25"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</row>
    <row r="154" spans="15:30" ht="12" customHeight="1" x14ac:dyDescent="0.25"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</row>
    <row r="155" spans="15:30" ht="12" customHeight="1" x14ac:dyDescent="0.25"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</row>
    <row r="156" spans="15:30" ht="12" customHeight="1" x14ac:dyDescent="0.25"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</row>
    <row r="157" spans="15:30" ht="12" customHeight="1" x14ac:dyDescent="0.25"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</row>
    <row r="158" spans="15:30" ht="12" customHeight="1" x14ac:dyDescent="0.25"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</row>
    <row r="159" spans="15:30" ht="12" customHeight="1" x14ac:dyDescent="0.25"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</row>
    <row r="160" spans="15:30" ht="12" customHeight="1" x14ac:dyDescent="0.25"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</row>
    <row r="161" spans="15:30" ht="12" customHeight="1" x14ac:dyDescent="0.25"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</row>
    <row r="162" spans="15:30" ht="12" customHeight="1" x14ac:dyDescent="0.25"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</row>
    <row r="163" spans="15:30" ht="12" customHeight="1" x14ac:dyDescent="0.25"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</row>
    <row r="164" spans="15:30" ht="12" customHeight="1" x14ac:dyDescent="0.25"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</row>
    <row r="165" spans="15:30" ht="12" customHeight="1" x14ac:dyDescent="0.25"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</row>
    <row r="166" spans="15:30" ht="12" customHeight="1" x14ac:dyDescent="0.25"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</row>
    <row r="167" spans="15:30" ht="12" customHeight="1" x14ac:dyDescent="0.25"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</row>
    <row r="168" spans="15:30" ht="12" customHeight="1" x14ac:dyDescent="0.25"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</row>
    <row r="169" spans="15:30" ht="12" customHeight="1" x14ac:dyDescent="0.25"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</row>
    <row r="170" spans="15:30" ht="12" customHeight="1" x14ac:dyDescent="0.25"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</row>
    <row r="171" spans="15:30" ht="12" customHeight="1" x14ac:dyDescent="0.25"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</row>
    <row r="172" spans="15:30" ht="12" customHeight="1" x14ac:dyDescent="0.25"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</row>
    <row r="173" spans="15:30" ht="12" customHeight="1" x14ac:dyDescent="0.25"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</row>
    <row r="174" spans="15:30" ht="12" customHeight="1" x14ac:dyDescent="0.25"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</row>
    <row r="175" spans="15:30" ht="12" customHeight="1" x14ac:dyDescent="0.25"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</row>
    <row r="176" spans="15:30" ht="12" customHeight="1" x14ac:dyDescent="0.25"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</row>
    <row r="177" spans="15:30" ht="12" customHeight="1" x14ac:dyDescent="0.25"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</row>
    <row r="178" spans="15:30" ht="12" customHeight="1" x14ac:dyDescent="0.25"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</row>
    <row r="179" spans="15:30" ht="12" customHeight="1" x14ac:dyDescent="0.25"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</row>
    <row r="180" spans="15:30" ht="12" customHeight="1" x14ac:dyDescent="0.25"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</row>
    <row r="181" spans="15:30" ht="12" customHeight="1" x14ac:dyDescent="0.25"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</row>
    <row r="182" spans="15:30" ht="12" customHeight="1" x14ac:dyDescent="0.25"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</row>
    <row r="183" spans="15:30" ht="12" customHeight="1" x14ac:dyDescent="0.25"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</row>
    <row r="184" spans="15:30" ht="12" customHeight="1" x14ac:dyDescent="0.25"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</row>
    <row r="185" spans="15:30" ht="12" customHeight="1" x14ac:dyDescent="0.25"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</row>
    <row r="186" spans="15:30" ht="12" customHeight="1" x14ac:dyDescent="0.25"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</row>
    <row r="187" spans="15:30" ht="12" customHeight="1" x14ac:dyDescent="0.25"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</row>
    <row r="188" spans="15:30" ht="12" customHeight="1" x14ac:dyDescent="0.25"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</row>
    <row r="189" spans="15:30" ht="12" customHeight="1" x14ac:dyDescent="0.25"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</row>
    <row r="190" spans="15:30" ht="12" customHeight="1" x14ac:dyDescent="0.25"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</row>
    <row r="191" spans="15:30" ht="12" customHeight="1" x14ac:dyDescent="0.25"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</row>
    <row r="192" spans="15:30" ht="12" customHeight="1" x14ac:dyDescent="0.25"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</row>
    <row r="193" spans="15:30" ht="12" customHeight="1" x14ac:dyDescent="0.25"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</row>
    <row r="194" spans="15:30" ht="12" customHeight="1" x14ac:dyDescent="0.25"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</row>
    <row r="195" spans="15:30" ht="12" customHeight="1" x14ac:dyDescent="0.25"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</row>
    <row r="196" spans="15:30" ht="12" customHeight="1" x14ac:dyDescent="0.25"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</row>
    <row r="197" spans="15:30" ht="12" customHeight="1" x14ac:dyDescent="0.25"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</row>
    <row r="198" spans="15:30" ht="12" customHeight="1" x14ac:dyDescent="0.25"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</row>
    <row r="199" spans="15:30" ht="12" customHeight="1" x14ac:dyDescent="0.25"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</row>
    <row r="200" spans="15:30" ht="12" customHeight="1" x14ac:dyDescent="0.25"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</row>
  </sheetData>
  <mergeCells count="19">
    <mergeCell ref="B41:B42"/>
    <mergeCell ref="B43:B44"/>
    <mergeCell ref="B45:C45"/>
    <mergeCell ref="O1:U1"/>
    <mergeCell ref="A47:C47"/>
    <mergeCell ref="A48:C48"/>
    <mergeCell ref="A46:C46"/>
    <mergeCell ref="L1:M1"/>
    <mergeCell ref="A2:A29"/>
    <mergeCell ref="A30:A45"/>
    <mergeCell ref="B2:B10"/>
    <mergeCell ref="B11:B18"/>
    <mergeCell ref="B19:B20"/>
    <mergeCell ref="B21:B23"/>
    <mergeCell ref="B24:B28"/>
    <mergeCell ref="B29:C29"/>
    <mergeCell ref="B30:B34"/>
    <mergeCell ref="B35:B36"/>
    <mergeCell ref="B37:B40"/>
  </mergeCells>
  <pageMargins left="0.511811024" right="0.511811024" top="0.78740157499999996" bottom="0.78740157499999996" header="0.31496062000000002" footer="0.31496062000000002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1BDB6-F4CB-4BA3-9C71-0E295E373978}">
  <dimension ref="A1:AP56"/>
  <sheetViews>
    <sheetView showGridLines="0" topLeftCell="D45" workbookViewId="0">
      <selection activeCell="K67" sqref="K67:P67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10" style="9" bestFit="1" customWidth="1"/>
    <col min="17" max="17" width="11.7109375" style="9" bestFit="1" customWidth="1"/>
    <col min="18" max="18" width="10.85546875" style="9" bestFit="1" customWidth="1"/>
    <col min="19" max="19" width="10" style="9" bestFit="1" customWidth="1"/>
    <col min="20" max="21" width="11.7109375" style="9" bestFit="1" customWidth="1"/>
    <col min="22" max="22" width="10.85546875" style="9" bestFit="1" customWidth="1"/>
    <col min="23" max="23" width="10.5703125" style="9" bestFit="1" customWidth="1"/>
    <col min="24" max="24" width="9.85546875" style="9" bestFit="1" customWidth="1"/>
    <col min="25" max="25" width="9.28515625" style="9" bestFit="1" customWidth="1"/>
    <col min="26" max="26" width="7.7109375" style="9" bestFit="1" customWidth="1"/>
    <col min="27" max="27" width="9.85546875" style="9" bestFit="1" customWidth="1"/>
    <col min="28" max="28" width="11.7109375" style="9" bestFit="1" customWidth="1"/>
    <col min="29" max="30" width="13.1406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.85546875" style="9" bestFit="1" customWidth="1"/>
    <col min="38" max="38" width="11.7109375" style="9" bestFit="1" customWidth="1"/>
    <col min="39" max="39" width="13.1406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27" t="s">
        <v>76</v>
      </c>
      <c r="B1" s="127" t="s">
        <v>77</v>
      </c>
      <c r="C1" s="127" t="s">
        <v>78</v>
      </c>
      <c r="D1" s="127" t="s">
        <v>79</v>
      </c>
      <c r="E1" s="127" t="s">
        <v>80</v>
      </c>
      <c r="F1" s="127" t="s">
        <v>15</v>
      </c>
      <c r="G1" s="127" t="s">
        <v>82</v>
      </c>
      <c r="H1" s="127" t="s">
        <v>83</v>
      </c>
      <c r="I1" s="127" t="s">
        <v>746</v>
      </c>
      <c r="J1" s="113"/>
      <c r="L1" s="125" t="s">
        <v>747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P1" s="125" t="s">
        <v>748</v>
      </c>
    </row>
    <row r="2" spans="1:42" ht="11.25" customHeight="1" x14ac:dyDescent="0.25">
      <c r="A2" s="127"/>
      <c r="B2" s="127"/>
      <c r="C2" s="127"/>
      <c r="D2" s="127"/>
      <c r="E2" s="127"/>
      <c r="F2" s="127"/>
      <c r="G2" s="127"/>
      <c r="H2" s="127"/>
      <c r="I2" s="127"/>
      <c r="J2" s="113"/>
      <c r="L2" s="125" t="s">
        <v>646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P2" s="128"/>
    </row>
    <row r="3" spans="1:42" ht="11.25" customHeight="1" x14ac:dyDescent="0.25">
      <c r="A3" s="127"/>
      <c r="B3" s="127"/>
      <c r="C3" s="127"/>
      <c r="D3" s="127"/>
      <c r="E3" s="127"/>
      <c r="F3" s="127"/>
      <c r="G3" s="127"/>
      <c r="H3" s="127"/>
      <c r="I3" s="127"/>
      <c r="J3" s="113"/>
      <c r="L3" s="125" t="s">
        <v>647</v>
      </c>
      <c r="M3" s="125"/>
      <c r="N3" s="125"/>
      <c r="O3" s="125"/>
      <c r="P3" s="125"/>
      <c r="Q3" s="125"/>
      <c r="R3" s="125"/>
      <c r="S3" s="125"/>
      <c r="T3" s="125"/>
      <c r="U3" s="125" t="s">
        <v>656</v>
      </c>
      <c r="V3" s="125"/>
      <c r="W3" s="125"/>
      <c r="X3" s="125"/>
      <c r="Y3" s="125"/>
      <c r="Z3" s="125"/>
      <c r="AA3" s="125"/>
      <c r="AB3" s="125"/>
      <c r="AC3" s="125" t="s">
        <v>664</v>
      </c>
      <c r="AD3" s="125"/>
      <c r="AE3" s="125" t="s">
        <v>666</v>
      </c>
      <c r="AF3" s="125"/>
      <c r="AG3" s="125"/>
      <c r="AH3" s="125" t="s">
        <v>669</v>
      </c>
      <c r="AI3" s="125"/>
      <c r="AJ3" s="125"/>
      <c r="AK3" s="125"/>
      <c r="AL3" s="125"/>
      <c r="AM3" s="125" t="s">
        <v>655</v>
      </c>
      <c r="AP3" s="128"/>
    </row>
    <row r="4" spans="1:42" ht="11.25" customHeight="1" x14ac:dyDescent="0.25">
      <c r="A4" s="127"/>
      <c r="B4" s="127"/>
      <c r="C4" s="127"/>
      <c r="D4" s="127"/>
      <c r="E4" s="127"/>
      <c r="F4" s="127"/>
      <c r="G4" s="127"/>
      <c r="H4" s="127"/>
      <c r="I4" s="127"/>
      <c r="J4" s="113"/>
      <c r="L4" s="48" t="s">
        <v>731</v>
      </c>
      <c r="M4" s="48" t="s">
        <v>648</v>
      </c>
      <c r="N4" s="48" t="s">
        <v>649</v>
      </c>
      <c r="O4" s="48" t="s">
        <v>650</v>
      </c>
      <c r="P4" s="48" t="s">
        <v>651</v>
      </c>
      <c r="Q4" s="48" t="s">
        <v>652</v>
      </c>
      <c r="R4" s="48" t="s">
        <v>653</v>
      </c>
      <c r="S4" s="48" t="s">
        <v>654</v>
      </c>
      <c r="T4" s="48" t="s">
        <v>655</v>
      </c>
      <c r="U4" s="48" t="s">
        <v>657</v>
      </c>
      <c r="V4" s="48" t="s">
        <v>658</v>
      </c>
      <c r="W4" s="48" t="s">
        <v>659</v>
      </c>
      <c r="X4" s="48" t="s">
        <v>660</v>
      </c>
      <c r="Y4" s="48" t="s">
        <v>661</v>
      </c>
      <c r="Z4" s="48" t="s">
        <v>662</v>
      </c>
      <c r="AA4" s="48" t="s">
        <v>663</v>
      </c>
      <c r="AB4" s="48" t="s">
        <v>655</v>
      </c>
      <c r="AC4" s="48" t="s">
        <v>665</v>
      </c>
      <c r="AD4" s="48" t="s">
        <v>655</v>
      </c>
      <c r="AE4" s="48" t="s">
        <v>667</v>
      </c>
      <c r="AF4" s="48" t="s">
        <v>668</v>
      </c>
      <c r="AG4" s="48" t="s">
        <v>655</v>
      </c>
      <c r="AH4" s="48" t="s">
        <v>670</v>
      </c>
      <c r="AI4" s="48" t="s">
        <v>671</v>
      </c>
      <c r="AJ4" s="48" t="s">
        <v>672</v>
      </c>
      <c r="AK4" s="48" t="s">
        <v>673</v>
      </c>
      <c r="AL4" s="48" t="s">
        <v>655</v>
      </c>
      <c r="AM4" s="126"/>
      <c r="AP4" s="128"/>
    </row>
    <row r="5" spans="1:42" ht="11.25" customHeight="1" x14ac:dyDescent="0.25">
      <c r="A5" s="124" t="s">
        <v>43</v>
      </c>
      <c r="B5" s="124" t="s">
        <v>44</v>
      </c>
      <c r="C5" s="124" t="s">
        <v>25</v>
      </c>
      <c r="D5" s="124" t="s">
        <v>25</v>
      </c>
      <c r="E5" s="124" t="s">
        <v>25</v>
      </c>
      <c r="F5" s="124" t="s">
        <v>25</v>
      </c>
      <c r="G5" s="28" t="s">
        <v>90</v>
      </c>
      <c r="H5" s="28" t="s">
        <v>89</v>
      </c>
      <c r="I5" s="28">
        <f>'MERCADO TUSD'!$U$2</f>
        <v>2432502</v>
      </c>
      <c r="J5" s="18"/>
      <c r="L5" s="46"/>
      <c r="M5" s="46"/>
      <c r="N5" s="46"/>
      <c r="O5" s="46"/>
      <c r="P5" s="46"/>
      <c r="Q5" s="46"/>
      <c r="R5" s="46"/>
      <c r="S5" s="46"/>
      <c r="T5" s="46"/>
      <c r="U5" s="46">
        <v>3.4963000000000002</v>
      </c>
      <c r="V5" s="46">
        <v>0.63200000000000001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/>
      <c r="AC5" s="46">
        <v>3.5468999999999999</v>
      </c>
      <c r="AD5" s="46"/>
      <c r="AE5" s="46"/>
      <c r="AF5" s="46"/>
      <c r="AG5" s="46"/>
      <c r="AH5" s="46"/>
      <c r="AI5" s="46"/>
      <c r="AJ5" s="46"/>
      <c r="AK5" s="46"/>
      <c r="AL5" s="46"/>
      <c r="AM5" s="46"/>
      <c r="AP5" s="46">
        <v>1</v>
      </c>
    </row>
    <row r="6" spans="1:42" ht="11.25" customHeight="1" x14ac:dyDescent="0.25">
      <c r="A6" s="124"/>
      <c r="B6" s="124"/>
      <c r="C6" s="124"/>
      <c r="D6" s="124"/>
      <c r="E6" s="124"/>
      <c r="F6" s="124"/>
      <c r="G6" s="28" t="s">
        <v>91</v>
      </c>
      <c r="H6" s="28" t="s">
        <v>89</v>
      </c>
      <c r="I6" s="28">
        <f>'MERCADO TUSD'!$U$3</f>
        <v>2719854</v>
      </c>
      <c r="J6" s="18"/>
      <c r="L6" s="46"/>
      <c r="M6" s="46"/>
      <c r="N6" s="46"/>
      <c r="O6" s="46"/>
      <c r="P6" s="46"/>
      <c r="Q6" s="46"/>
      <c r="R6" s="46"/>
      <c r="S6" s="46"/>
      <c r="T6" s="46"/>
      <c r="U6" s="46">
        <v>2.8552</v>
      </c>
      <c r="V6" s="46">
        <v>0.51570000000000005</v>
      </c>
      <c r="W6" s="46">
        <v>0</v>
      </c>
      <c r="X6" s="46">
        <v>0</v>
      </c>
      <c r="Y6" s="46">
        <v>0</v>
      </c>
      <c r="Z6" s="46">
        <v>0</v>
      </c>
      <c r="AA6" s="46">
        <v>0</v>
      </c>
      <c r="AB6" s="46"/>
      <c r="AC6" s="46">
        <v>2.8832</v>
      </c>
      <c r="AD6" s="46"/>
      <c r="AE6" s="46"/>
      <c r="AF6" s="46"/>
      <c r="AG6" s="46"/>
      <c r="AH6" s="46"/>
      <c r="AI6" s="46"/>
      <c r="AJ6" s="46"/>
      <c r="AK6" s="46"/>
      <c r="AL6" s="46"/>
      <c r="AM6" s="46"/>
      <c r="AP6" s="46">
        <v>1</v>
      </c>
    </row>
    <row r="7" spans="1:42" ht="11.25" customHeight="1" x14ac:dyDescent="0.25">
      <c r="A7" s="124"/>
      <c r="B7" s="124"/>
      <c r="C7" s="124"/>
      <c r="D7" s="124"/>
      <c r="E7" s="124"/>
      <c r="F7" s="124"/>
      <c r="G7" s="28" t="s">
        <v>92</v>
      </c>
      <c r="H7" s="28" t="s">
        <v>86</v>
      </c>
      <c r="I7" s="28">
        <f>'MERCADO TUSD'!$U$4</f>
        <v>1155536.6730000002</v>
      </c>
      <c r="J7" s="18"/>
      <c r="L7" s="46"/>
      <c r="M7" s="46"/>
      <c r="N7" s="46"/>
      <c r="O7" s="46"/>
      <c r="P7" s="46"/>
      <c r="Q7" s="46"/>
      <c r="R7" s="46"/>
      <c r="S7" s="46"/>
      <c r="T7" s="46"/>
      <c r="U7" s="46">
        <v>0</v>
      </c>
      <c r="V7" s="46">
        <v>0</v>
      </c>
      <c r="W7" s="46">
        <v>0</v>
      </c>
      <c r="X7" s="46">
        <v>0</v>
      </c>
      <c r="Y7" s="46">
        <v>0</v>
      </c>
      <c r="Z7" s="46">
        <v>0</v>
      </c>
      <c r="AA7" s="46">
        <v>0</v>
      </c>
      <c r="AB7" s="46"/>
      <c r="AC7" s="46">
        <v>0</v>
      </c>
      <c r="AD7" s="46"/>
      <c r="AE7" s="46"/>
      <c r="AF7" s="46"/>
      <c r="AG7" s="46"/>
      <c r="AH7" s="46"/>
      <c r="AI7" s="46"/>
      <c r="AJ7" s="46"/>
      <c r="AK7" s="46"/>
      <c r="AL7" s="46"/>
      <c r="AM7" s="46"/>
      <c r="AP7" s="46">
        <v>1</v>
      </c>
    </row>
    <row r="8" spans="1:42" ht="11.25" customHeight="1" x14ac:dyDescent="0.25">
      <c r="A8" s="124"/>
      <c r="B8" s="124"/>
      <c r="C8" s="124"/>
      <c r="D8" s="124"/>
      <c r="E8" s="47" t="s">
        <v>93</v>
      </c>
      <c r="F8" s="47" t="s">
        <v>25</v>
      </c>
      <c r="G8" s="28" t="s">
        <v>92</v>
      </c>
      <c r="H8" s="28" t="s">
        <v>86</v>
      </c>
      <c r="I8" s="28">
        <f>'MERCADO TUSD'!$U$5</f>
        <v>0</v>
      </c>
      <c r="J8" s="18"/>
      <c r="L8" s="46"/>
      <c r="M8" s="46"/>
      <c r="N8" s="46"/>
      <c r="O8" s="46"/>
      <c r="P8" s="46"/>
      <c r="Q8" s="46"/>
      <c r="R8" s="46"/>
      <c r="S8" s="46"/>
      <c r="T8" s="46"/>
      <c r="U8" s="46">
        <v>0</v>
      </c>
      <c r="V8" s="46">
        <v>0</v>
      </c>
      <c r="W8" s="46">
        <v>0</v>
      </c>
      <c r="X8" s="46">
        <v>0</v>
      </c>
      <c r="Y8" s="46">
        <v>0</v>
      </c>
      <c r="Z8" s="46">
        <v>0</v>
      </c>
      <c r="AA8" s="46">
        <v>0</v>
      </c>
      <c r="AB8" s="46"/>
      <c r="AC8" s="46">
        <v>0</v>
      </c>
      <c r="AD8" s="46"/>
      <c r="AE8" s="46"/>
      <c r="AF8" s="46"/>
      <c r="AG8" s="46"/>
      <c r="AH8" s="46"/>
      <c r="AI8" s="46"/>
      <c r="AJ8" s="46"/>
      <c r="AK8" s="46"/>
      <c r="AL8" s="46"/>
      <c r="AM8" s="46"/>
      <c r="AP8" s="46">
        <v>1</v>
      </c>
    </row>
    <row r="9" spans="1:42" ht="11.25" customHeight="1" x14ac:dyDescent="0.25">
      <c r="A9" s="124"/>
      <c r="B9" s="47" t="s">
        <v>63</v>
      </c>
      <c r="C9" s="47" t="s">
        <v>25</v>
      </c>
      <c r="D9" s="47" t="s">
        <v>25</v>
      </c>
      <c r="E9" s="47" t="s">
        <v>25</v>
      </c>
      <c r="F9" s="47" t="s">
        <v>25</v>
      </c>
      <c r="G9" s="28" t="s">
        <v>9</v>
      </c>
      <c r="H9" s="28" t="s">
        <v>89</v>
      </c>
      <c r="I9" s="28">
        <f>'MERCADO TUSD'!$U$6</f>
        <v>4807736</v>
      </c>
      <c r="J9" s="18"/>
      <c r="L9" s="46"/>
      <c r="M9" s="46"/>
      <c r="N9" s="46"/>
      <c r="O9" s="46"/>
      <c r="P9" s="46"/>
      <c r="Q9" s="46"/>
      <c r="R9" s="46"/>
      <c r="S9" s="46"/>
      <c r="T9" s="46"/>
      <c r="U9" s="46">
        <f>(1+CUSTOS!$M$4)*0</f>
        <v>0</v>
      </c>
      <c r="V9" s="46">
        <f>(1+CUSTOS!$M$4)*0</f>
        <v>0</v>
      </c>
      <c r="W9" s="46">
        <f>(1+CUSTOS!$M$4)*0</f>
        <v>0</v>
      </c>
      <c r="X9" s="46">
        <f>(1+CUSTOS!$M$4)*0</f>
        <v>0</v>
      </c>
      <c r="Y9" s="46">
        <f>(1+CUSTOS!$M$4)*0</f>
        <v>0</v>
      </c>
      <c r="Z9" s="46">
        <v>0</v>
      </c>
      <c r="AA9" s="46">
        <v>0</v>
      </c>
      <c r="AB9" s="46"/>
      <c r="AC9" s="46">
        <f>(1+CUSTOS!$M$4)*6.29754423216428</f>
        <v>7.6304760642263529</v>
      </c>
      <c r="AD9" s="46"/>
      <c r="AE9" s="46"/>
      <c r="AF9" s="46"/>
      <c r="AG9" s="46"/>
      <c r="AH9" s="46"/>
      <c r="AI9" s="46"/>
      <c r="AJ9" s="46"/>
      <c r="AK9" s="46"/>
      <c r="AL9" s="46"/>
      <c r="AM9" s="46"/>
      <c r="AP9" s="46"/>
    </row>
    <row r="10" spans="1:42" ht="11.25" customHeight="1" x14ac:dyDescent="0.25">
      <c r="A10" s="124" t="s">
        <v>35</v>
      </c>
      <c r="B10" s="124" t="s">
        <v>44</v>
      </c>
      <c r="C10" s="124" t="s">
        <v>25</v>
      </c>
      <c r="D10" s="124" t="s">
        <v>25</v>
      </c>
      <c r="E10" s="124" t="s">
        <v>25</v>
      </c>
      <c r="F10" s="124" t="s">
        <v>25</v>
      </c>
      <c r="G10" s="28" t="s">
        <v>90</v>
      </c>
      <c r="H10" s="28" t="s">
        <v>89</v>
      </c>
      <c r="I10" s="28">
        <f>'MERCADO TUSD'!$U$7</f>
        <v>1352837</v>
      </c>
      <c r="J10" s="18"/>
      <c r="L10" s="46"/>
      <c r="M10" s="46"/>
      <c r="N10" s="46"/>
      <c r="O10" s="46"/>
      <c r="P10" s="46"/>
      <c r="Q10" s="46"/>
      <c r="R10" s="46"/>
      <c r="S10" s="46"/>
      <c r="T10" s="46"/>
      <c r="U10" s="46">
        <v>8.5510000000000002</v>
      </c>
      <c r="V10" s="46">
        <v>1.2932999999999999</v>
      </c>
      <c r="W10" s="46">
        <v>-7.7299999999999994E-2</v>
      </c>
      <c r="X10" s="46">
        <v>0</v>
      </c>
      <c r="Y10" s="46">
        <v>4.8099999999999997E-2</v>
      </c>
      <c r="Z10" s="46">
        <v>0</v>
      </c>
      <c r="AA10" s="46">
        <v>0</v>
      </c>
      <c r="AB10" s="46"/>
      <c r="AC10" s="46">
        <v>43.792000000000002</v>
      </c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P10" s="46">
        <v>1</v>
      </c>
    </row>
    <row r="11" spans="1:42" ht="11.25" customHeight="1" x14ac:dyDescent="0.25">
      <c r="A11" s="124"/>
      <c r="B11" s="124"/>
      <c r="C11" s="124"/>
      <c r="D11" s="124"/>
      <c r="E11" s="124"/>
      <c r="F11" s="124"/>
      <c r="G11" s="28" t="s">
        <v>91</v>
      </c>
      <c r="H11" s="28" t="s">
        <v>89</v>
      </c>
      <c r="I11" s="28">
        <f>'MERCADO TUSD'!$U$8</f>
        <v>1573792</v>
      </c>
      <c r="J11" s="18"/>
      <c r="L11" s="46"/>
      <c r="M11" s="46"/>
      <c r="N11" s="46"/>
      <c r="O11" s="46"/>
      <c r="P11" s="46"/>
      <c r="Q11" s="46"/>
      <c r="R11" s="46"/>
      <c r="S11" s="46"/>
      <c r="T11" s="46"/>
      <c r="U11" s="46">
        <v>5.1262999999999996</v>
      </c>
      <c r="V11" s="46">
        <v>0.80420000000000003</v>
      </c>
      <c r="W11" s="46">
        <v>-3.49E-2</v>
      </c>
      <c r="X11" s="46">
        <v>0</v>
      </c>
      <c r="Y11" s="46">
        <v>7.6E-3</v>
      </c>
      <c r="Z11" s="46">
        <v>0</v>
      </c>
      <c r="AA11" s="46">
        <v>0</v>
      </c>
      <c r="AB11" s="46"/>
      <c r="AC11" s="46">
        <v>23.074100000000001</v>
      </c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P11" s="46">
        <v>1</v>
      </c>
    </row>
    <row r="12" spans="1:42" ht="11.25" customHeight="1" x14ac:dyDescent="0.25">
      <c r="A12" s="124"/>
      <c r="B12" s="124"/>
      <c r="C12" s="124"/>
      <c r="D12" s="124"/>
      <c r="E12" s="124"/>
      <c r="F12" s="124"/>
      <c r="G12" s="28" t="s">
        <v>92</v>
      </c>
      <c r="H12" s="28" t="s">
        <v>86</v>
      </c>
      <c r="I12" s="28">
        <f>'MERCADO TUSD'!$U$9</f>
        <v>571563.16599999997</v>
      </c>
      <c r="J12" s="18"/>
      <c r="L12" s="46"/>
      <c r="M12" s="46"/>
      <c r="N12" s="46"/>
      <c r="O12" s="46"/>
      <c r="P12" s="46"/>
      <c r="Q12" s="46"/>
      <c r="R12" s="46"/>
      <c r="S12" s="46"/>
      <c r="T12" s="46"/>
      <c r="U12" s="46">
        <v>0</v>
      </c>
      <c r="V12" s="46">
        <v>0</v>
      </c>
      <c r="W12" s="46">
        <v>0</v>
      </c>
      <c r="X12" s="46">
        <v>0</v>
      </c>
      <c r="Y12" s="46">
        <v>0</v>
      </c>
      <c r="Z12" s="46">
        <v>0</v>
      </c>
      <c r="AA12" s="46">
        <v>0</v>
      </c>
      <c r="AB12" s="46"/>
      <c r="AC12" s="46">
        <v>0</v>
      </c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P12" s="46">
        <v>1</v>
      </c>
    </row>
    <row r="13" spans="1:42" ht="11.25" customHeight="1" x14ac:dyDescent="0.25">
      <c r="A13" s="124"/>
      <c r="B13" s="124"/>
      <c r="C13" s="124"/>
      <c r="D13" s="124"/>
      <c r="E13" s="47" t="s">
        <v>93</v>
      </c>
      <c r="F13" s="47" t="s">
        <v>25</v>
      </c>
      <c r="G13" s="28" t="s">
        <v>92</v>
      </c>
      <c r="H13" s="28" t="s">
        <v>86</v>
      </c>
      <c r="I13" s="28">
        <f>'MERCADO TUSD'!$U$10</f>
        <v>0</v>
      </c>
      <c r="J13" s="18"/>
      <c r="L13" s="46"/>
      <c r="M13" s="46"/>
      <c r="N13" s="46"/>
      <c r="O13" s="46"/>
      <c r="P13" s="46"/>
      <c r="Q13" s="46"/>
      <c r="R13" s="46"/>
      <c r="S13" s="46"/>
      <c r="T13" s="46"/>
      <c r="U13" s="46">
        <v>0</v>
      </c>
      <c r="V13" s="46">
        <v>0</v>
      </c>
      <c r="W13" s="46">
        <v>0</v>
      </c>
      <c r="X13" s="46">
        <v>0</v>
      </c>
      <c r="Y13" s="46">
        <v>0</v>
      </c>
      <c r="Z13" s="46">
        <v>0</v>
      </c>
      <c r="AA13" s="46">
        <v>0</v>
      </c>
      <c r="AB13" s="46"/>
      <c r="AC13" s="46">
        <v>0</v>
      </c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P13" s="46">
        <v>1</v>
      </c>
    </row>
    <row r="14" spans="1:42" ht="11.25" customHeight="1" x14ac:dyDescent="0.25">
      <c r="A14" s="124"/>
      <c r="B14" s="47" t="s">
        <v>63</v>
      </c>
      <c r="C14" s="47" t="s">
        <v>25</v>
      </c>
      <c r="D14" s="47" t="s">
        <v>25</v>
      </c>
      <c r="E14" s="47" t="s">
        <v>25</v>
      </c>
      <c r="F14" s="47" t="s">
        <v>25</v>
      </c>
      <c r="G14" s="28" t="s">
        <v>9</v>
      </c>
      <c r="H14" s="28" t="s">
        <v>89</v>
      </c>
      <c r="I14" s="28">
        <f>'MERCADO TUSD'!$U$11</f>
        <v>0</v>
      </c>
      <c r="J14" s="18"/>
      <c r="L14" s="46"/>
      <c r="M14" s="46"/>
      <c r="N14" s="46"/>
      <c r="O14" s="46"/>
      <c r="P14" s="46"/>
      <c r="Q14" s="46"/>
      <c r="R14" s="46"/>
      <c r="S14" s="46"/>
      <c r="T14" s="46"/>
      <c r="U14" s="46">
        <v>0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/>
      <c r="AC14" s="46">
        <v>19.7483</v>
      </c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P14" s="46"/>
    </row>
    <row r="15" spans="1:42" ht="11.25" customHeight="1" x14ac:dyDescent="0.25">
      <c r="A15" s="124"/>
      <c r="B15" s="124" t="s">
        <v>36</v>
      </c>
      <c r="C15" s="124" t="s">
        <v>25</v>
      </c>
      <c r="D15" s="124" t="s">
        <v>25</v>
      </c>
      <c r="E15" s="124" t="s">
        <v>25</v>
      </c>
      <c r="F15" s="124" t="s">
        <v>25</v>
      </c>
      <c r="G15" s="28" t="s">
        <v>9</v>
      </c>
      <c r="H15" s="28" t="s">
        <v>89</v>
      </c>
      <c r="I15" s="28">
        <f>'MERCADO TUSD'!$U$12</f>
        <v>6127957</v>
      </c>
      <c r="J15" s="18"/>
      <c r="L15" s="46"/>
      <c r="M15" s="46"/>
      <c r="N15" s="46"/>
      <c r="O15" s="46"/>
      <c r="P15" s="46"/>
      <c r="Q15" s="46"/>
      <c r="R15" s="46"/>
      <c r="S15" s="46"/>
      <c r="T15" s="46"/>
      <c r="U15" s="46">
        <v>5.1262999999999996</v>
      </c>
      <c r="V15" s="46">
        <v>0.80420000000000003</v>
      </c>
      <c r="W15" s="46">
        <v>-3.49E-2</v>
      </c>
      <c r="X15" s="46">
        <v>0</v>
      </c>
      <c r="Y15" s="46">
        <v>7.6E-3</v>
      </c>
      <c r="Z15" s="46">
        <v>0</v>
      </c>
      <c r="AA15" s="46">
        <v>0</v>
      </c>
      <c r="AB15" s="46"/>
      <c r="AC15" s="46">
        <v>23.074100000000001</v>
      </c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P15" s="46">
        <v>1</v>
      </c>
    </row>
    <row r="16" spans="1:42" ht="11.25" customHeight="1" x14ac:dyDescent="0.25">
      <c r="A16" s="124"/>
      <c r="B16" s="124"/>
      <c r="C16" s="124"/>
      <c r="D16" s="124"/>
      <c r="E16" s="124"/>
      <c r="F16" s="124"/>
      <c r="G16" s="28" t="s">
        <v>87</v>
      </c>
      <c r="H16" s="28" t="s">
        <v>86</v>
      </c>
      <c r="I16" s="28">
        <f>'MERCADO TUSD'!$U$13</f>
        <v>91326.053000000014</v>
      </c>
      <c r="J16" s="18"/>
      <c r="L16" s="46"/>
      <c r="M16" s="46"/>
      <c r="N16" s="46"/>
      <c r="O16" s="46"/>
      <c r="P16" s="46"/>
      <c r="Q16" s="46"/>
      <c r="R16" s="46"/>
      <c r="S16" s="46"/>
      <c r="T16" s="46"/>
      <c r="U16" s="46">
        <v>205.65260000000001</v>
      </c>
      <c r="V16" s="46">
        <v>31.104600000000001</v>
      </c>
      <c r="W16" s="46">
        <v>-1.8579000000000001</v>
      </c>
      <c r="X16" s="46">
        <v>0</v>
      </c>
      <c r="Y16" s="46">
        <v>1.1571</v>
      </c>
      <c r="Z16" s="46">
        <v>0</v>
      </c>
      <c r="AA16" s="46">
        <v>0</v>
      </c>
      <c r="AB16" s="46"/>
      <c r="AC16" s="46">
        <v>1053.1989000000001</v>
      </c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P16" s="46">
        <v>1</v>
      </c>
    </row>
    <row r="17" spans="1:42" ht="11.25" customHeight="1" x14ac:dyDescent="0.25">
      <c r="A17" s="124"/>
      <c r="B17" s="124"/>
      <c r="C17" s="124"/>
      <c r="D17" s="124"/>
      <c r="E17" s="124"/>
      <c r="F17" s="124"/>
      <c r="G17" s="28" t="s">
        <v>88</v>
      </c>
      <c r="H17" s="28" t="s">
        <v>86</v>
      </c>
      <c r="I17" s="28">
        <f>'MERCADO TUSD'!$U$14</f>
        <v>1142508.3459999999</v>
      </c>
      <c r="J17" s="18"/>
      <c r="L17" s="46"/>
      <c r="M17" s="46"/>
      <c r="N17" s="46"/>
      <c r="O17" s="46"/>
      <c r="P17" s="46"/>
      <c r="Q17" s="46"/>
      <c r="R17" s="46"/>
      <c r="S17" s="46"/>
      <c r="T17" s="46"/>
      <c r="U17" s="46">
        <v>0</v>
      </c>
      <c r="V17" s="46">
        <v>0</v>
      </c>
      <c r="W17" s="46">
        <v>0</v>
      </c>
      <c r="X17" s="46">
        <v>0</v>
      </c>
      <c r="Y17" s="46">
        <v>0</v>
      </c>
      <c r="Z17" s="46">
        <v>0</v>
      </c>
      <c r="AA17" s="46">
        <v>0</v>
      </c>
      <c r="AB17" s="46"/>
      <c r="AC17" s="46">
        <v>0</v>
      </c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P17" s="46">
        <v>1</v>
      </c>
    </row>
    <row r="18" spans="1:42" ht="11.25" customHeight="1" x14ac:dyDescent="0.25">
      <c r="A18" s="124"/>
      <c r="B18" s="124"/>
      <c r="C18" s="124"/>
      <c r="D18" s="124"/>
      <c r="E18" s="124" t="s">
        <v>93</v>
      </c>
      <c r="F18" s="124" t="s">
        <v>25</v>
      </c>
      <c r="G18" s="28" t="s">
        <v>87</v>
      </c>
      <c r="H18" s="28" t="s">
        <v>86</v>
      </c>
      <c r="I18" s="28">
        <f>'MERCADO TUSD'!$U$15</f>
        <v>0</v>
      </c>
      <c r="J18" s="18"/>
      <c r="L18" s="46"/>
      <c r="M18" s="46"/>
      <c r="N18" s="46"/>
      <c r="O18" s="46"/>
      <c r="P18" s="46"/>
      <c r="Q18" s="46"/>
      <c r="R18" s="46"/>
      <c r="S18" s="46"/>
      <c r="T18" s="46"/>
      <c r="U18" s="46">
        <v>205.65260000000001</v>
      </c>
      <c r="V18" s="46">
        <v>31.104600000000001</v>
      </c>
      <c r="W18" s="46">
        <v>-1.8579000000000001</v>
      </c>
      <c r="X18" s="46">
        <v>0</v>
      </c>
      <c r="Y18" s="46">
        <v>1.1571</v>
      </c>
      <c r="Z18" s="46">
        <v>0</v>
      </c>
      <c r="AA18" s="46">
        <v>0</v>
      </c>
      <c r="AB18" s="46"/>
      <c r="AC18" s="46">
        <v>1053.1989000000001</v>
      </c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P18" s="46">
        <v>1</v>
      </c>
    </row>
    <row r="19" spans="1:42" ht="11.25" customHeight="1" x14ac:dyDescent="0.25">
      <c r="A19" s="124"/>
      <c r="B19" s="124"/>
      <c r="C19" s="124"/>
      <c r="D19" s="124"/>
      <c r="E19" s="124"/>
      <c r="F19" s="124"/>
      <c r="G19" s="28" t="s">
        <v>88</v>
      </c>
      <c r="H19" s="28" t="s">
        <v>86</v>
      </c>
      <c r="I19" s="28">
        <f>'MERCADO TUSD'!$U$16</f>
        <v>0</v>
      </c>
      <c r="J19" s="18"/>
      <c r="L19" s="46"/>
      <c r="M19" s="46"/>
      <c r="N19" s="46"/>
      <c r="O19" s="46"/>
      <c r="P19" s="46"/>
      <c r="Q19" s="46"/>
      <c r="R19" s="46"/>
      <c r="S19" s="46"/>
      <c r="T19" s="46"/>
      <c r="U19" s="46">
        <v>0</v>
      </c>
      <c r="V19" s="46">
        <v>0</v>
      </c>
      <c r="W19" s="46">
        <v>0</v>
      </c>
      <c r="X19" s="46">
        <v>0</v>
      </c>
      <c r="Y19" s="46">
        <v>0</v>
      </c>
      <c r="Z19" s="46">
        <v>0</v>
      </c>
      <c r="AA19" s="46">
        <v>0</v>
      </c>
      <c r="AB19" s="46"/>
      <c r="AC19" s="46">
        <v>0</v>
      </c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P19" s="46">
        <v>1</v>
      </c>
    </row>
    <row r="20" spans="1:42" ht="11.25" customHeight="1" x14ac:dyDescent="0.25">
      <c r="A20" s="124" t="s">
        <v>95</v>
      </c>
      <c r="B20" s="124" t="s">
        <v>63</v>
      </c>
      <c r="C20" s="124" t="s">
        <v>25</v>
      </c>
      <c r="D20" s="124" t="s">
        <v>25</v>
      </c>
      <c r="E20" s="47" t="s">
        <v>96</v>
      </c>
      <c r="F20" s="47" t="s">
        <v>25</v>
      </c>
      <c r="G20" s="28" t="s">
        <v>9</v>
      </c>
      <c r="H20" s="28" t="s">
        <v>89</v>
      </c>
      <c r="I20" s="28">
        <f>'MERCADO TUSD'!$U$17+0.00000001</f>
        <v>1E-8</v>
      </c>
      <c r="J20" s="18"/>
      <c r="L20" s="46"/>
      <c r="M20" s="46"/>
      <c r="N20" s="46"/>
      <c r="O20" s="46"/>
      <c r="P20" s="46"/>
      <c r="Q20" s="46"/>
      <c r="R20" s="46"/>
      <c r="S20" s="46"/>
      <c r="T20" s="46"/>
      <c r="U20" s="46">
        <v>0</v>
      </c>
      <c r="V20" s="46">
        <v>0</v>
      </c>
      <c r="W20" s="46">
        <v>0</v>
      </c>
      <c r="X20" s="46">
        <v>0</v>
      </c>
      <c r="Y20" s="46">
        <v>0</v>
      </c>
      <c r="Z20" s="46">
        <v>0</v>
      </c>
      <c r="AA20" s="46">
        <v>0</v>
      </c>
      <c r="AB20" s="46"/>
      <c r="AC20" s="46">
        <v>2.0554999999999999</v>
      </c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P20" s="46"/>
    </row>
    <row r="21" spans="1:42" ht="11.25" customHeight="1" x14ac:dyDescent="0.25">
      <c r="A21" s="124"/>
      <c r="B21" s="124"/>
      <c r="C21" s="124"/>
      <c r="D21" s="124"/>
      <c r="E21" s="47" t="s">
        <v>97</v>
      </c>
      <c r="F21" s="47" t="s">
        <v>25</v>
      </c>
      <c r="G21" s="28" t="s">
        <v>9</v>
      </c>
      <c r="H21" s="28" t="s">
        <v>89</v>
      </c>
      <c r="I21" s="28">
        <f>'MERCADO TUSD'!$U$18+0.00000001</f>
        <v>1E-8</v>
      </c>
      <c r="J21" s="18"/>
      <c r="L21" s="46"/>
      <c r="M21" s="46"/>
      <c r="N21" s="46"/>
      <c r="O21" s="46"/>
      <c r="P21" s="46"/>
      <c r="Q21" s="46"/>
      <c r="R21" s="46"/>
      <c r="S21" s="46"/>
      <c r="T21" s="46"/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46">
        <v>0</v>
      </c>
      <c r="AB21" s="46"/>
      <c r="AC21" s="46">
        <v>17.1312</v>
      </c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P21" s="46"/>
    </row>
    <row r="22" spans="1:42" ht="11.25" customHeight="1" x14ac:dyDescent="0.25">
      <c r="A22" s="124" t="s">
        <v>22</v>
      </c>
      <c r="B22" s="124" t="s">
        <v>39</v>
      </c>
      <c r="C22" s="124" t="s">
        <v>24</v>
      </c>
      <c r="D22" s="124" t="s">
        <v>24</v>
      </c>
      <c r="E22" s="124" t="s">
        <v>25</v>
      </c>
      <c r="F22" s="124" t="s">
        <v>25</v>
      </c>
      <c r="G22" s="28" t="s">
        <v>87</v>
      </c>
      <c r="H22" s="28" t="s">
        <v>86</v>
      </c>
      <c r="I22" s="28">
        <f>'MERCADO TUSD'!$U$19</f>
        <v>31.722000000000001</v>
      </c>
      <c r="J22" s="18"/>
      <c r="L22" s="46"/>
      <c r="M22" s="46"/>
      <c r="N22" s="46"/>
      <c r="O22" s="46"/>
      <c r="P22" s="46"/>
      <c r="Q22" s="46"/>
      <c r="R22" s="46"/>
      <c r="S22" s="46"/>
      <c r="T22" s="46"/>
      <c r="U22" s="46">
        <v>118.4659</v>
      </c>
      <c r="V22" s="46">
        <v>17.649699999999999</v>
      </c>
      <c r="W22" s="46">
        <v>-1.1138999999999999</v>
      </c>
      <c r="X22" s="46">
        <v>0</v>
      </c>
      <c r="Y22" s="46">
        <v>0.50139999999999996</v>
      </c>
      <c r="Z22" s="46">
        <v>0</v>
      </c>
      <c r="AA22" s="46">
        <v>0</v>
      </c>
      <c r="AB22" s="46"/>
      <c r="AC22" s="46">
        <v>628.73260000000005</v>
      </c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P22" s="46">
        <v>1</v>
      </c>
    </row>
    <row r="23" spans="1:42" ht="11.25" customHeight="1" x14ac:dyDescent="0.25">
      <c r="A23" s="124"/>
      <c r="B23" s="124"/>
      <c r="C23" s="124"/>
      <c r="D23" s="124"/>
      <c r="E23" s="124"/>
      <c r="F23" s="124"/>
      <c r="G23" s="28" t="s">
        <v>98</v>
      </c>
      <c r="H23" s="28" t="s">
        <v>86</v>
      </c>
      <c r="I23" s="28">
        <f>'MERCADO TUSD'!$U$20</f>
        <v>31.11</v>
      </c>
      <c r="J23" s="18"/>
      <c r="L23" s="46"/>
      <c r="M23" s="46"/>
      <c r="N23" s="46"/>
      <c r="O23" s="46"/>
      <c r="P23" s="46"/>
      <c r="Q23" s="46"/>
      <c r="R23" s="46"/>
      <c r="S23" s="46"/>
      <c r="T23" s="46"/>
      <c r="U23" s="46">
        <v>71.079499999999996</v>
      </c>
      <c r="V23" s="46">
        <v>10.5898</v>
      </c>
      <c r="W23" s="46">
        <v>-0.66830000000000001</v>
      </c>
      <c r="X23" s="46">
        <v>0</v>
      </c>
      <c r="Y23" s="46">
        <v>0.30080000000000001</v>
      </c>
      <c r="Z23" s="46">
        <v>0</v>
      </c>
      <c r="AA23" s="46">
        <v>0</v>
      </c>
      <c r="AB23" s="46"/>
      <c r="AC23" s="46">
        <v>377.23950000000002</v>
      </c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P23" s="46">
        <v>1</v>
      </c>
    </row>
    <row r="24" spans="1:42" ht="11.25" customHeight="1" x14ac:dyDescent="0.25">
      <c r="A24" s="124"/>
      <c r="B24" s="124"/>
      <c r="C24" s="124"/>
      <c r="D24" s="124"/>
      <c r="E24" s="124"/>
      <c r="F24" s="124"/>
      <c r="G24" s="28" t="s">
        <v>88</v>
      </c>
      <c r="H24" s="28" t="s">
        <v>86</v>
      </c>
      <c r="I24" s="28">
        <f>'MERCADO TUSD'!$U$21</f>
        <v>472.03</v>
      </c>
      <c r="J24" s="18"/>
      <c r="L24" s="46"/>
      <c r="M24" s="46"/>
      <c r="N24" s="46"/>
      <c r="O24" s="46"/>
      <c r="P24" s="46"/>
      <c r="Q24" s="46"/>
      <c r="R24" s="46"/>
      <c r="S24" s="46"/>
      <c r="T24" s="46"/>
      <c r="U24" s="46">
        <v>23.693200000000001</v>
      </c>
      <c r="V24" s="46">
        <v>3.5299</v>
      </c>
      <c r="W24" s="46">
        <v>-0.2228</v>
      </c>
      <c r="X24" s="46">
        <v>0</v>
      </c>
      <c r="Y24" s="46">
        <v>0.1003</v>
      </c>
      <c r="Z24" s="46">
        <v>0</v>
      </c>
      <c r="AA24" s="46">
        <v>0</v>
      </c>
      <c r="AB24" s="46"/>
      <c r="AC24" s="46">
        <v>125.7465</v>
      </c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P24" s="46">
        <v>1</v>
      </c>
    </row>
    <row r="25" spans="1:42" ht="11.25" customHeight="1" x14ac:dyDescent="0.25">
      <c r="A25" s="124"/>
      <c r="B25" s="124" t="s">
        <v>23</v>
      </c>
      <c r="C25" s="124" t="s">
        <v>24</v>
      </c>
      <c r="D25" s="47" t="s">
        <v>24</v>
      </c>
      <c r="E25" s="47" t="s">
        <v>25</v>
      </c>
      <c r="F25" s="47" t="s">
        <v>25</v>
      </c>
      <c r="G25" s="28" t="s">
        <v>92</v>
      </c>
      <c r="H25" s="28" t="s">
        <v>86</v>
      </c>
      <c r="I25" s="28">
        <f>'MERCADO TUSD'!$U$22</f>
        <v>1747135.3810000001</v>
      </c>
      <c r="J25" s="18"/>
      <c r="L25" s="46"/>
      <c r="M25" s="46"/>
      <c r="N25" s="46"/>
      <c r="O25" s="46"/>
      <c r="P25" s="46"/>
      <c r="Q25" s="46"/>
      <c r="R25" s="46"/>
      <c r="S25" s="46"/>
      <c r="T25" s="46"/>
      <c r="U25" s="46">
        <v>38.214799999999997</v>
      </c>
      <c r="V25" s="46">
        <v>5.6933999999999996</v>
      </c>
      <c r="W25" s="46">
        <v>-0.35930000000000001</v>
      </c>
      <c r="X25" s="46">
        <v>0</v>
      </c>
      <c r="Y25" s="46">
        <v>0.16170000000000001</v>
      </c>
      <c r="Z25" s="46">
        <v>0</v>
      </c>
      <c r="AA25" s="46">
        <v>0</v>
      </c>
      <c r="AB25" s="46"/>
      <c r="AC25" s="46">
        <v>202.81700000000001</v>
      </c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P25" s="46">
        <v>1</v>
      </c>
    </row>
    <row r="26" spans="1:42" ht="11.25" customHeight="1" x14ac:dyDescent="0.25">
      <c r="A26" s="124"/>
      <c r="B26" s="124"/>
      <c r="C26" s="124"/>
      <c r="D26" s="47" t="s">
        <v>31</v>
      </c>
      <c r="E26" s="47" t="s">
        <v>25</v>
      </c>
      <c r="F26" s="47" t="s">
        <v>25</v>
      </c>
      <c r="G26" s="28" t="s">
        <v>92</v>
      </c>
      <c r="H26" s="28" t="s">
        <v>86</v>
      </c>
      <c r="I26" s="28">
        <f>'MERCADO TUSD'!$U$23</f>
        <v>72661.888000000006</v>
      </c>
      <c r="J26" s="18"/>
      <c r="L26" s="46"/>
      <c r="M26" s="46"/>
      <c r="N26" s="46"/>
      <c r="O26" s="46"/>
      <c r="P26" s="46"/>
      <c r="Q26" s="46"/>
      <c r="R26" s="46"/>
      <c r="S26" s="46"/>
      <c r="T26" s="46"/>
      <c r="U26" s="46">
        <f>(1 - CUSTOS!$M$24)*38.2148</f>
        <v>38.214799999999997</v>
      </c>
      <c r="V26" s="46">
        <f>(1 - CUSTOS!$M$24)*5.6934</f>
        <v>5.6933999999999996</v>
      </c>
      <c r="W26" s="46">
        <f>(1 - CUSTOS!$M$24)*-0.3593</f>
        <v>-0.35930000000000001</v>
      </c>
      <c r="X26" s="46">
        <v>0</v>
      </c>
      <c r="Y26" s="46">
        <f>(1 - CUSTOS!$M$24)*0.1617</f>
        <v>0.16170000000000001</v>
      </c>
      <c r="Z26" s="46">
        <v>0</v>
      </c>
      <c r="AA26" s="46">
        <v>0</v>
      </c>
      <c r="AB26" s="46"/>
      <c r="AC26" s="46">
        <f>(1 - CUSTOS!$M$24)*202.817</f>
        <v>202.81700000000001</v>
      </c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P26" s="46">
        <f>IF((1 - CUSTOS!$M$24)&lt;&gt;0,1/(1 - CUSTOS!$M$24),1)</f>
        <v>1</v>
      </c>
    </row>
    <row r="27" spans="1:42" ht="11.25" customHeight="1" x14ac:dyDescent="0.25">
      <c r="A27" s="124"/>
      <c r="B27" s="124"/>
      <c r="C27" s="124"/>
      <c r="D27" s="47" t="s">
        <v>32</v>
      </c>
      <c r="E27" s="47" t="s">
        <v>25</v>
      </c>
      <c r="F27" s="47" t="s">
        <v>25</v>
      </c>
      <c r="G27" s="28" t="s">
        <v>92</v>
      </c>
      <c r="H27" s="28" t="s">
        <v>86</v>
      </c>
      <c r="I27" s="28">
        <f>'MERCADO TUSD'!$U$24</f>
        <v>116587.09399999998</v>
      </c>
      <c r="J27" s="18"/>
      <c r="L27" s="46"/>
      <c r="M27" s="46"/>
      <c r="N27" s="46"/>
      <c r="O27" s="46"/>
      <c r="P27" s="46"/>
      <c r="Q27" s="46"/>
      <c r="R27" s="46"/>
      <c r="S27" s="46"/>
      <c r="T27" s="46"/>
      <c r="U27" s="46">
        <f>(1 - CUSTOS!$M$25)*38.2148</f>
        <v>38.214799999999997</v>
      </c>
      <c r="V27" s="46">
        <f>(1 - CUSTOS!$M$25)*5.6934</f>
        <v>5.6933999999999996</v>
      </c>
      <c r="W27" s="46">
        <f>(1 - CUSTOS!$M$25)*-0.3593</f>
        <v>-0.35930000000000001</v>
      </c>
      <c r="X27" s="46">
        <v>0</v>
      </c>
      <c r="Y27" s="46">
        <f>(1 - CUSTOS!$M$25)*0.1617</f>
        <v>0.16170000000000001</v>
      </c>
      <c r="Z27" s="46">
        <v>0</v>
      </c>
      <c r="AA27" s="46">
        <v>0</v>
      </c>
      <c r="AB27" s="46"/>
      <c r="AC27" s="46">
        <f>(1 - CUSTOS!$M$25)*202.817</f>
        <v>202.81700000000001</v>
      </c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P27" s="46">
        <f>IF((1 - CUSTOS!$M$25)&lt;&gt;0,1/(1 - CUSTOS!$M$25),1)</f>
        <v>1</v>
      </c>
    </row>
    <row r="28" spans="1:42" ht="11.25" customHeight="1" x14ac:dyDescent="0.25">
      <c r="A28" s="124"/>
      <c r="B28" s="124"/>
      <c r="C28" s="124"/>
      <c r="D28" s="47" t="s">
        <v>33</v>
      </c>
      <c r="E28" s="47" t="s">
        <v>25</v>
      </c>
      <c r="F28" s="47" t="s">
        <v>25</v>
      </c>
      <c r="G28" s="28" t="s">
        <v>92</v>
      </c>
      <c r="H28" s="28" t="s">
        <v>86</v>
      </c>
      <c r="I28" s="28">
        <f>'MERCADO TUSD'!$U$25</f>
        <v>103208.47500000001</v>
      </c>
      <c r="J28" s="18"/>
      <c r="L28" s="46"/>
      <c r="M28" s="46"/>
      <c r="N28" s="46"/>
      <c r="O28" s="46"/>
      <c r="P28" s="46"/>
      <c r="Q28" s="46"/>
      <c r="R28" s="46"/>
      <c r="S28" s="46"/>
      <c r="T28" s="46"/>
      <c r="U28" s="46">
        <f>(1 - CUSTOS!$M$26)*38.2148</f>
        <v>38.214799999999997</v>
      </c>
      <c r="V28" s="46">
        <f>(1 - CUSTOS!$M$26)*5.6934</f>
        <v>5.6933999999999996</v>
      </c>
      <c r="W28" s="46">
        <f>(1 - CUSTOS!$M$26)*-0.3593</f>
        <v>-0.35930000000000001</v>
      </c>
      <c r="X28" s="46">
        <v>0</v>
      </c>
      <c r="Y28" s="46">
        <f>(1 - CUSTOS!$M$26)*0.1617</f>
        <v>0.16170000000000001</v>
      </c>
      <c r="Z28" s="46">
        <v>0</v>
      </c>
      <c r="AA28" s="46">
        <v>0</v>
      </c>
      <c r="AB28" s="46"/>
      <c r="AC28" s="46">
        <f>(1 - CUSTOS!$M$26)*202.817</f>
        <v>202.81700000000001</v>
      </c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P28" s="46">
        <f>IF((1 - CUSTOS!$M$26)&lt;&gt;0,1/(1 - CUSTOS!$M$26),1)</f>
        <v>1</v>
      </c>
    </row>
    <row r="29" spans="1:42" ht="11.25" customHeight="1" x14ac:dyDescent="0.25">
      <c r="A29" s="124"/>
      <c r="B29" s="124"/>
      <c r="C29" s="124"/>
      <c r="D29" s="47" t="s">
        <v>34</v>
      </c>
      <c r="E29" s="47" t="s">
        <v>25</v>
      </c>
      <c r="F29" s="47" t="s">
        <v>25</v>
      </c>
      <c r="G29" s="28" t="s">
        <v>92</v>
      </c>
      <c r="H29" s="28" t="s">
        <v>86</v>
      </c>
      <c r="I29" s="28">
        <f>'MERCADO TUSD'!$U$26</f>
        <v>77490.793999999994</v>
      </c>
      <c r="J29" s="18"/>
      <c r="L29" s="46"/>
      <c r="M29" s="46"/>
      <c r="N29" s="46"/>
      <c r="O29" s="46"/>
      <c r="P29" s="46"/>
      <c r="Q29" s="46"/>
      <c r="R29" s="46"/>
      <c r="S29" s="46"/>
      <c r="T29" s="46"/>
      <c r="U29" s="46">
        <f>(1 - CUSTOS!$M$27)*38.2148</f>
        <v>38.214799999999997</v>
      </c>
      <c r="V29" s="46">
        <f>(1 - CUSTOS!$M$27)*5.6934</f>
        <v>5.6933999999999996</v>
      </c>
      <c r="W29" s="46">
        <f>(1 - CUSTOS!$M$27)*-0.3593</f>
        <v>-0.35930000000000001</v>
      </c>
      <c r="X29" s="46">
        <v>0</v>
      </c>
      <c r="Y29" s="46">
        <f>(1 - CUSTOS!$M$27)*0.1617</f>
        <v>0.16170000000000001</v>
      </c>
      <c r="Z29" s="46">
        <v>0</v>
      </c>
      <c r="AA29" s="46">
        <v>0</v>
      </c>
      <c r="AB29" s="46"/>
      <c r="AC29" s="46">
        <f>(1 - CUSTOS!$M$27)*202.817</f>
        <v>202.81700000000001</v>
      </c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P29" s="46">
        <f>IF((1 - CUSTOS!$M$27)&lt;&gt;0,1/(1 - CUSTOS!$M$27),1)</f>
        <v>1</v>
      </c>
    </row>
    <row r="30" spans="1:42" ht="11.25" customHeight="1" x14ac:dyDescent="0.25">
      <c r="A30" s="124"/>
      <c r="B30" s="124" t="s">
        <v>100</v>
      </c>
      <c r="C30" s="124" t="s">
        <v>24</v>
      </c>
      <c r="D30" s="47" t="s">
        <v>24</v>
      </c>
      <c r="E30" s="47" t="s">
        <v>25</v>
      </c>
      <c r="F30" s="47" t="s">
        <v>25</v>
      </c>
      <c r="G30" s="28" t="s">
        <v>92</v>
      </c>
      <c r="H30" s="28" t="s">
        <v>86</v>
      </c>
      <c r="I30" s="28">
        <f>'MERCADO TUSD'!$U$27</f>
        <v>0</v>
      </c>
      <c r="J30" s="18"/>
      <c r="L30" s="46"/>
      <c r="M30" s="46"/>
      <c r="N30" s="46"/>
      <c r="O30" s="46"/>
      <c r="P30" s="46"/>
      <c r="Q30" s="46"/>
      <c r="R30" s="46"/>
      <c r="S30" s="46"/>
      <c r="T30" s="46"/>
      <c r="U30" s="46">
        <v>38.214799999999997</v>
      </c>
      <c r="V30" s="46">
        <v>5.6933999999999996</v>
      </c>
      <c r="W30" s="46">
        <v>-0.35930000000000001</v>
      </c>
      <c r="X30" s="46">
        <v>0</v>
      </c>
      <c r="Y30" s="46">
        <v>0.16170000000000001</v>
      </c>
      <c r="Z30" s="46">
        <v>0</v>
      </c>
      <c r="AA30" s="46">
        <v>0</v>
      </c>
      <c r="AB30" s="46"/>
      <c r="AC30" s="46">
        <v>202.81700000000001</v>
      </c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P30" s="46">
        <v>1</v>
      </c>
    </row>
    <row r="31" spans="1:42" ht="11.25" customHeight="1" x14ac:dyDescent="0.25">
      <c r="A31" s="124"/>
      <c r="B31" s="124"/>
      <c r="C31" s="124"/>
      <c r="D31" s="47" t="s">
        <v>31</v>
      </c>
      <c r="E31" s="47" t="s">
        <v>25</v>
      </c>
      <c r="F31" s="47" t="s">
        <v>25</v>
      </c>
      <c r="G31" s="28" t="s">
        <v>92</v>
      </c>
      <c r="H31" s="28" t="s">
        <v>86</v>
      </c>
      <c r="I31" s="28">
        <f>'MERCADO TUSD'!$U$28</f>
        <v>0</v>
      </c>
      <c r="J31" s="18"/>
      <c r="L31" s="46"/>
      <c r="M31" s="46"/>
      <c r="N31" s="46"/>
      <c r="O31" s="46"/>
      <c r="P31" s="46"/>
      <c r="Q31" s="46"/>
      <c r="R31" s="46"/>
      <c r="S31" s="46"/>
      <c r="T31" s="46"/>
      <c r="U31" s="46">
        <f>(1 - CUSTOS!$M$24)*38.2148</f>
        <v>38.214799999999997</v>
      </c>
      <c r="V31" s="46">
        <f>(1 - CUSTOS!$M$24)*5.6934</f>
        <v>5.6933999999999996</v>
      </c>
      <c r="W31" s="46">
        <f>(1 - CUSTOS!$M$24)*-0.3593</f>
        <v>-0.35930000000000001</v>
      </c>
      <c r="X31" s="46">
        <v>0</v>
      </c>
      <c r="Y31" s="46">
        <f>(1 - CUSTOS!$M$24)*0.1617</f>
        <v>0.16170000000000001</v>
      </c>
      <c r="Z31" s="46">
        <v>0</v>
      </c>
      <c r="AA31" s="46">
        <v>0</v>
      </c>
      <c r="AB31" s="46"/>
      <c r="AC31" s="46">
        <f>(1 - CUSTOS!$M$24)*202.817</f>
        <v>202.81700000000001</v>
      </c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P31" s="46">
        <f>IF((1 - CUSTOS!$M$24)&lt;&gt;0,1/(1 - CUSTOS!$M$24),1)</f>
        <v>1</v>
      </c>
    </row>
    <row r="32" spans="1:42" ht="11.25" customHeight="1" x14ac:dyDescent="0.25">
      <c r="A32" s="124"/>
      <c r="B32" s="124"/>
      <c r="C32" s="124"/>
      <c r="D32" s="47" t="s">
        <v>32</v>
      </c>
      <c r="E32" s="47" t="s">
        <v>25</v>
      </c>
      <c r="F32" s="47" t="s">
        <v>25</v>
      </c>
      <c r="G32" s="28" t="s">
        <v>92</v>
      </c>
      <c r="H32" s="28" t="s">
        <v>86</v>
      </c>
      <c r="I32" s="28">
        <f>'MERCADO TUSD'!$U$29</f>
        <v>0</v>
      </c>
      <c r="J32" s="18"/>
      <c r="L32" s="46"/>
      <c r="M32" s="46"/>
      <c r="N32" s="46"/>
      <c r="O32" s="46"/>
      <c r="P32" s="46"/>
      <c r="Q32" s="46"/>
      <c r="R32" s="46"/>
      <c r="S32" s="46"/>
      <c r="T32" s="46"/>
      <c r="U32" s="46">
        <f>(1 - CUSTOS!$M$25)*38.2148</f>
        <v>38.214799999999997</v>
      </c>
      <c r="V32" s="46">
        <f>(1 - CUSTOS!$M$25)*5.6934</f>
        <v>5.6933999999999996</v>
      </c>
      <c r="W32" s="46">
        <f>(1 - CUSTOS!$M$25)*-0.3593</f>
        <v>-0.35930000000000001</v>
      </c>
      <c r="X32" s="46">
        <v>0</v>
      </c>
      <c r="Y32" s="46">
        <f>(1 - CUSTOS!$M$25)*0.1617</f>
        <v>0.16170000000000001</v>
      </c>
      <c r="Z32" s="46">
        <v>0</v>
      </c>
      <c r="AA32" s="46">
        <v>0</v>
      </c>
      <c r="AB32" s="46"/>
      <c r="AC32" s="46">
        <f>(1 - CUSTOS!$M$25)*202.817</f>
        <v>202.81700000000001</v>
      </c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P32" s="46">
        <f>IF((1 - CUSTOS!$M$25)&lt;&gt;0,1/(1 - CUSTOS!$M$25),1)</f>
        <v>1</v>
      </c>
    </row>
    <row r="33" spans="1:42" ht="11.25" customHeight="1" x14ac:dyDescent="0.25">
      <c r="A33" s="124"/>
      <c r="B33" s="124"/>
      <c r="C33" s="124"/>
      <c r="D33" s="47" t="s">
        <v>33</v>
      </c>
      <c r="E33" s="47" t="s">
        <v>25</v>
      </c>
      <c r="F33" s="47" t="s">
        <v>25</v>
      </c>
      <c r="G33" s="28" t="s">
        <v>92</v>
      </c>
      <c r="H33" s="28" t="s">
        <v>86</v>
      </c>
      <c r="I33" s="28">
        <f>'MERCADO TUSD'!$U$30</f>
        <v>0</v>
      </c>
      <c r="J33" s="18"/>
      <c r="L33" s="46"/>
      <c r="M33" s="46"/>
      <c r="N33" s="46"/>
      <c r="O33" s="46"/>
      <c r="P33" s="46"/>
      <c r="Q33" s="46"/>
      <c r="R33" s="46"/>
      <c r="S33" s="46"/>
      <c r="T33" s="46"/>
      <c r="U33" s="46">
        <f>(1 - CUSTOS!$M$26)*38.2148</f>
        <v>38.214799999999997</v>
      </c>
      <c r="V33" s="46">
        <f>(1 - CUSTOS!$M$26)*5.6934</f>
        <v>5.6933999999999996</v>
      </c>
      <c r="W33" s="46">
        <f>(1 - CUSTOS!$M$26)*-0.3593</f>
        <v>-0.35930000000000001</v>
      </c>
      <c r="X33" s="46">
        <v>0</v>
      </c>
      <c r="Y33" s="46">
        <f>(1 - CUSTOS!$M$26)*0.1617</f>
        <v>0.16170000000000001</v>
      </c>
      <c r="Z33" s="46">
        <v>0</v>
      </c>
      <c r="AA33" s="46">
        <v>0</v>
      </c>
      <c r="AB33" s="46"/>
      <c r="AC33" s="46">
        <f>(1 - CUSTOS!$M$26)*202.817</f>
        <v>202.81700000000001</v>
      </c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P33" s="46">
        <f>IF((1 - CUSTOS!$M$26)&lt;&gt;0,1/(1 - CUSTOS!$M$26),1)</f>
        <v>1</v>
      </c>
    </row>
    <row r="34" spans="1:42" ht="11.25" customHeight="1" x14ac:dyDescent="0.25">
      <c r="A34" s="124"/>
      <c r="B34" s="124"/>
      <c r="C34" s="124"/>
      <c r="D34" s="47" t="s">
        <v>34</v>
      </c>
      <c r="E34" s="47" t="s">
        <v>25</v>
      </c>
      <c r="F34" s="47" t="s">
        <v>25</v>
      </c>
      <c r="G34" s="28" t="s">
        <v>92</v>
      </c>
      <c r="H34" s="28" t="s">
        <v>86</v>
      </c>
      <c r="I34" s="28">
        <f>'MERCADO TUSD'!$U$31</f>
        <v>0</v>
      </c>
      <c r="J34" s="18"/>
      <c r="L34" s="46"/>
      <c r="M34" s="46"/>
      <c r="N34" s="46"/>
      <c r="O34" s="46"/>
      <c r="P34" s="46"/>
      <c r="Q34" s="46"/>
      <c r="R34" s="46"/>
      <c r="S34" s="46"/>
      <c r="T34" s="46"/>
      <c r="U34" s="46">
        <f>(1 - CUSTOS!$M$27)*38.2148</f>
        <v>38.214799999999997</v>
      </c>
      <c r="V34" s="46">
        <f>(1 - CUSTOS!$M$27)*5.6934</f>
        <v>5.6933999999999996</v>
      </c>
      <c r="W34" s="46">
        <f>(1 - CUSTOS!$M$27)*-0.3593</f>
        <v>-0.35930000000000001</v>
      </c>
      <c r="X34" s="46">
        <v>0</v>
      </c>
      <c r="Y34" s="46">
        <f>(1 - CUSTOS!$M$27)*0.1617</f>
        <v>0.16170000000000001</v>
      </c>
      <c r="Z34" s="46">
        <v>0</v>
      </c>
      <c r="AA34" s="46">
        <v>0</v>
      </c>
      <c r="AB34" s="46"/>
      <c r="AC34" s="46">
        <f>(1 - CUSTOS!$M$27)*202.817</f>
        <v>202.81700000000001</v>
      </c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P34" s="46">
        <f>IF((1 - CUSTOS!$M$27)&lt;&gt;0,1/(1 - CUSTOS!$M$27),1)</f>
        <v>1</v>
      </c>
    </row>
    <row r="35" spans="1:42" ht="11.25" customHeight="1" x14ac:dyDescent="0.25">
      <c r="A35" s="124" t="s">
        <v>46</v>
      </c>
      <c r="B35" s="124" t="s">
        <v>39</v>
      </c>
      <c r="C35" s="124" t="s">
        <v>47</v>
      </c>
      <c r="D35" s="124" t="s">
        <v>25</v>
      </c>
      <c r="E35" s="124" t="s">
        <v>25</v>
      </c>
      <c r="F35" s="124" t="s">
        <v>25</v>
      </c>
      <c r="G35" s="28" t="s">
        <v>87</v>
      </c>
      <c r="H35" s="28" t="s">
        <v>86</v>
      </c>
      <c r="I35" s="28">
        <f>'MERCADO TUSD'!$U$32</f>
        <v>0</v>
      </c>
      <c r="J35" s="18"/>
      <c r="L35" s="46"/>
      <c r="M35" s="46"/>
      <c r="N35" s="46"/>
      <c r="O35" s="46"/>
      <c r="P35" s="46"/>
      <c r="Q35" s="46"/>
      <c r="R35" s="46"/>
      <c r="S35" s="46"/>
      <c r="T35" s="46"/>
      <c r="U35" s="46">
        <f>(1 - CUSTOS!$M$28)*122.2874</f>
        <v>122.28740000000001</v>
      </c>
      <c r="V35" s="46">
        <f>(1 - CUSTOS!$M$28)*18.219</f>
        <v>18.219000000000001</v>
      </c>
      <c r="W35" s="46">
        <f>(1 - CUSTOS!$M$28)*-1.1498</f>
        <v>-1.1497999999999999</v>
      </c>
      <c r="X35" s="46">
        <v>0</v>
      </c>
      <c r="Y35" s="46">
        <f>(1 - CUSTOS!$M$28)*0.5175</f>
        <v>0.51749999999999996</v>
      </c>
      <c r="Z35" s="46">
        <v>0</v>
      </c>
      <c r="AA35" s="46">
        <v>0</v>
      </c>
      <c r="AB35" s="46"/>
      <c r="AC35" s="46">
        <f>(1 - CUSTOS!$M$28)*649.0143</f>
        <v>649.01430000000005</v>
      </c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P35" s="46">
        <f>IF((1 - CUSTOS!$M$28)&lt;&gt;0,1/(1 - CUSTOS!$M$28),1)</f>
        <v>1</v>
      </c>
    </row>
    <row r="36" spans="1:42" ht="11.25" customHeight="1" x14ac:dyDescent="0.25">
      <c r="A36" s="124"/>
      <c r="B36" s="124"/>
      <c r="C36" s="124"/>
      <c r="D36" s="124"/>
      <c r="E36" s="124"/>
      <c r="F36" s="124"/>
      <c r="G36" s="28" t="s">
        <v>98</v>
      </c>
      <c r="H36" s="28" t="s">
        <v>86</v>
      </c>
      <c r="I36" s="28">
        <f>'MERCADO TUSD'!$U$33</f>
        <v>5.0000000000000001E-3</v>
      </c>
      <c r="J36" s="18"/>
      <c r="L36" s="46"/>
      <c r="M36" s="46"/>
      <c r="N36" s="46"/>
      <c r="O36" s="46"/>
      <c r="P36" s="46"/>
      <c r="Q36" s="46"/>
      <c r="R36" s="46"/>
      <c r="S36" s="46"/>
      <c r="T36" s="46"/>
      <c r="U36" s="46">
        <f>(1 - CUSTOS!$M$28)*73.3724</f>
        <v>73.372399999999999</v>
      </c>
      <c r="V36" s="46">
        <f>(1 - CUSTOS!$M$28)*10.9314</f>
        <v>10.9314</v>
      </c>
      <c r="W36" s="46">
        <f>(1 - CUSTOS!$M$28)*-0.6899</f>
        <v>-0.68989999999999996</v>
      </c>
      <c r="X36" s="46">
        <v>0</v>
      </c>
      <c r="Y36" s="46">
        <f>(1 - CUSTOS!$M$28)*0.3105</f>
        <v>0.3105</v>
      </c>
      <c r="Z36" s="46">
        <v>0</v>
      </c>
      <c r="AA36" s="46">
        <v>0</v>
      </c>
      <c r="AB36" s="46"/>
      <c r="AC36" s="46">
        <f>(1 - CUSTOS!$M$28)*389.4086</f>
        <v>389.40859999999998</v>
      </c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P36" s="46">
        <f>IF((1 - CUSTOS!$M$28)&lt;&gt;0,1/(1 - CUSTOS!$M$28),1)</f>
        <v>1</v>
      </c>
    </row>
    <row r="37" spans="1:42" ht="11.25" customHeight="1" x14ac:dyDescent="0.25">
      <c r="A37" s="124"/>
      <c r="B37" s="124"/>
      <c r="C37" s="124"/>
      <c r="D37" s="124"/>
      <c r="E37" s="124"/>
      <c r="F37" s="124"/>
      <c r="G37" s="28" t="s">
        <v>88</v>
      </c>
      <c r="H37" s="28" t="s">
        <v>86</v>
      </c>
      <c r="I37" s="28">
        <f>'MERCADO TUSD'!$U$34</f>
        <v>0.54600000000000004</v>
      </c>
      <c r="J37" s="18"/>
      <c r="L37" s="46"/>
      <c r="M37" s="46"/>
      <c r="N37" s="46"/>
      <c r="O37" s="46"/>
      <c r="P37" s="46"/>
      <c r="Q37" s="46"/>
      <c r="R37" s="46"/>
      <c r="S37" s="46"/>
      <c r="T37" s="46"/>
      <c r="U37" s="46">
        <f>(1 - CUSTOS!$M$28)*24.4575</f>
        <v>24.4575</v>
      </c>
      <c r="V37" s="46">
        <f>(1 - CUSTOS!$M$28)*3.6438</f>
        <v>3.6438000000000001</v>
      </c>
      <c r="W37" s="46">
        <f>(1 - CUSTOS!$M$28)*-0.23</f>
        <v>-0.23</v>
      </c>
      <c r="X37" s="46">
        <v>0</v>
      </c>
      <c r="Y37" s="46">
        <f>(1 - CUSTOS!$M$28)*0.1035</f>
        <v>0.10349999999999999</v>
      </c>
      <c r="Z37" s="46">
        <v>0</v>
      </c>
      <c r="AA37" s="46">
        <v>0</v>
      </c>
      <c r="AB37" s="46"/>
      <c r="AC37" s="46">
        <f>(1 - CUSTOS!$M$28)*129.8029</f>
        <v>129.80289999999999</v>
      </c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P37" s="46">
        <f>IF((1 - CUSTOS!$M$28)&lt;&gt;0,1/(1 - CUSTOS!$M$28),1)</f>
        <v>1</v>
      </c>
    </row>
    <row r="38" spans="1:42" ht="11.25" customHeight="1" x14ac:dyDescent="0.25">
      <c r="A38" s="124"/>
      <c r="B38" s="47" t="s">
        <v>23</v>
      </c>
      <c r="C38" s="47" t="s">
        <v>47</v>
      </c>
      <c r="D38" s="47" t="s">
        <v>25</v>
      </c>
      <c r="E38" s="47" t="s">
        <v>25</v>
      </c>
      <c r="F38" s="47" t="s">
        <v>25</v>
      </c>
      <c r="G38" s="28" t="s">
        <v>92</v>
      </c>
      <c r="H38" s="28" t="s">
        <v>86</v>
      </c>
      <c r="I38" s="28">
        <f>'MERCADO TUSD'!$U$35</f>
        <v>64418.971000000005</v>
      </c>
      <c r="J38" s="18"/>
      <c r="L38" s="46"/>
      <c r="M38" s="46"/>
      <c r="N38" s="46"/>
      <c r="O38" s="46"/>
      <c r="P38" s="46"/>
      <c r="Q38" s="46"/>
      <c r="R38" s="46"/>
      <c r="S38" s="46"/>
      <c r="T38" s="46"/>
      <c r="U38" s="46">
        <f>(1 - CUSTOS!$M$28)*38.2148</f>
        <v>38.214799999999997</v>
      </c>
      <c r="V38" s="46">
        <f>(1 - CUSTOS!$M$28)*5.6934</f>
        <v>5.6933999999999996</v>
      </c>
      <c r="W38" s="46">
        <f>(1 - CUSTOS!$M$28)*-0.3593</f>
        <v>-0.35930000000000001</v>
      </c>
      <c r="X38" s="46">
        <v>0</v>
      </c>
      <c r="Y38" s="46">
        <f>(1 - CUSTOS!$M$28)*0.1617</f>
        <v>0.16170000000000001</v>
      </c>
      <c r="Z38" s="46">
        <v>0</v>
      </c>
      <c r="AA38" s="46">
        <v>0</v>
      </c>
      <c r="AB38" s="46"/>
      <c r="AC38" s="46">
        <f>(1 - CUSTOS!$M$28)*202.817</f>
        <v>202.81700000000001</v>
      </c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P38" s="46">
        <f>IF((1 - CUSTOS!$M$28)&lt;&gt;0,1/(1 - CUSTOS!$M$28),1)</f>
        <v>1</v>
      </c>
    </row>
    <row r="39" spans="1:42" ht="11.25" customHeight="1" x14ac:dyDescent="0.25">
      <c r="A39" s="124"/>
      <c r="B39" s="124" t="s">
        <v>39</v>
      </c>
      <c r="C39" s="124" t="s">
        <v>47</v>
      </c>
      <c r="D39" s="124" t="s">
        <v>101</v>
      </c>
      <c r="E39" s="124" t="s">
        <v>25</v>
      </c>
      <c r="F39" s="124" t="s">
        <v>25</v>
      </c>
      <c r="G39" s="28" t="s">
        <v>87</v>
      </c>
      <c r="H39" s="28" t="s">
        <v>86</v>
      </c>
      <c r="I39" s="28">
        <f>'MERCADO TUSD'!$U$36</f>
        <v>0</v>
      </c>
      <c r="J39" s="18"/>
      <c r="L39" s="46"/>
      <c r="M39" s="46"/>
      <c r="N39" s="46"/>
      <c r="O39" s="46"/>
      <c r="P39" s="46"/>
      <c r="Q39" s="46"/>
      <c r="R39" s="46"/>
      <c r="S39" s="46"/>
      <c r="T39" s="46"/>
      <c r="U39" s="46">
        <f>(1 - CUSTOS!$M$29)*122.2874</f>
        <v>122.28740000000001</v>
      </c>
      <c r="V39" s="46">
        <f>(1 - CUSTOS!$M$29)*18.219</f>
        <v>18.219000000000001</v>
      </c>
      <c r="W39" s="46">
        <f>(1 - CUSTOS!$M$29)*-1.1498</f>
        <v>-1.1497999999999999</v>
      </c>
      <c r="X39" s="46">
        <v>0</v>
      </c>
      <c r="Y39" s="46">
        <f>(1 - CUSTOS!$M$29)*0.5175</f>
        <v>0.51749999999999996</v>
      </c>
      <c r="Z39" s="46">
        <v>0</v>
      </c>
      <c r="AA39" s="46">
        <v>0</v>
      </c>
      <c r="AB39" s="46"/>
      <c r="AC39" s="46">
        <f>(1 - CUSTOS!$M$29)*649.0143</f>
        <v>649.01430000000005</v>
      </c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P39" s="46">
        <f>IF((1 - CUSTOS!$M$29)&lt;&gt;0,1/(1 - CUSTOS!$M$29),1)</f>
        <v>1</v>
      </c>
    </row>
    <row r="40" spans="1:42" ht="11.25" customHeight="1" x14ac:dyDescent="0.25">
      <c r="A40" s="124"/>
      <c r="B40" s="124"/>
      <c r="C40" s="124"/>
      <c r="D40" s="124"/>
      <c r="E40" s="124"/>
      <c r="F40" s="124"/>
      <c r="G40" s="28" t="s">
        <v>98</v>
      </c>
      <c r="H40" s="28" t="s">
        <v>86</v>
      </c>
      <c r="I40" s="28">
        <f>'MERCADO TUSD'!$U$37</f>
        <v>0</v>
      </c>
      <c r="J40" s="18"/>
      <c r="L40" s="46"/>
      <c r="M40" s="46"/>
      <c r="N40" s="46"/>
      <c r="O40" s="46"/>
      <c r="P40" s="46"/>
      <c r="Q40" s="46"/>
      <c r="R40" s="46"/>
      <c r="S40" s="46"/>
      <c r="T40" s="46"/>
      <c r="U40" s="46">
        <f>(1 - CUSTOS!$M$29)*73.3724</f>
        <v>73.372399999999999</v>
      </c>
      <c r="V40" s="46">
        <f>(1 - CUSTOS!$M$29)*10.9314</f>
        <v>10.9314</v>
      </c>
      <c r="W40" s="46">
        <f>(1 - CUSTOS!$M$29)*-0.6899</f>
        <v>-0.68989999999999996</v>
      </c>
      <c r="X40" s="46">
        <v>0</v>
      </c>
      <c r="Y40" s="46">
        <f>(1 - CUSTOS!$M$29)*0.3105</f>
        <v>0.3105</v>
      </c>
      <c r="Z40" s="46">
        <v>0</v>
      </c>
      <c r="AA40" s="46">
        <v>0</v>
      </c>
      <c r="AB40" s="46"/>
      <c r="AC40" s="46">
        <f>(1 - CUSTOS!$M$29)*389.4086</f>
        <v>389.40859999999998</v>
      </c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P40" s="46">
        <f>IF((1 - CUSTOS!$M$29)&lt;&gt;0,1/(1 - CUSTOS!$M$29),1)</f>
        <v>1</v>
      </c>
    </row>
    <row r="41" spans="1:42" ht="11.25" customHeight="1" x14ac:dyDescent="0.25">
      <c r="A41" s="124"/>
      <c r="B41" s="124"/>
      <c r="C41" s="124"/>
      <c r="D41" s="124"/>
      <c r="E41" s="124"/>
      <c r="F41" s="124"/>
      <c r="G41" s="28" t="s">
        <v>88</v>
      </c>
      <c r="H41" s="28" t="s">
        <v>86</v>
      </c>
      <c r="I41" s="28">
        <f>'MERCADO TUSD'!$U$38</f>
        <v>0</v>
      </c>
      <c r="J41" s="18"/>
      <c r="L41" s="46"/>
      <c r="M41" s="46"/>
      <c r="N41" s="46"/>
      <c r="O41" s="46"/>
      <c r="P41" s="46"/>
      <c r="Q41" s="46"/>
      <c r="R41" s="46"/>
      <c r="S41" s="46"/>
      <c r="T41" s="46"/>
      <c r="U41" s="46">
        <f>(1 - CUSTOS!$M$29)*24.4575</f>
        <v>24.4575</v>
      </c>
      <c r="V41" s="46">
        <f>(1 - CUSTOS!$M$29)*3.6438</f>
        <v>3.6438000000000001</v>
      </c>
      <c r="W41" s="46">
        <f>(1 - CUSTOS!$M$29)*-0.23</f>
        <v>-0.23</v>
      </c>
      <c r="X41" s="46">
        <v>0</v>
      </c>
      <c r="Y41" s="46">
        <f>(1 - CUSTOS!$M$29)*0.1035</f>
        <v>0.10349999999999999</v>
      </c>
      <c r="Z41" s="46">
        <v>0</v>
      </c>
      <c r="AA41" s="46">
        <v>0</v>
      </c>
      <c r="AB41" s="46"/>
      <c r="AC41" s="46">
        <f>(1 - CUSTOS!$M$29)*129.8029</f>
        <v>129.80289999999999</v>
      </c>
      <c r="AD41" s="46"/>
      <c r="AE41" s="46"/>
      <c r="AF41" s="46"/>
      <c r="AG41" s="46"/>
      <c r="AH41" s="46"/>
      <c r="AI41" s="46"/>
      <c r="AJ41" s="46"/>
      <c r="AK41" s="46"/>
      <c r="AL41" s="46"/>
      <c r="AM41" s="46"/>
      <c r="AP41" s="46">
        <f>IF((1 - CUSTOS!$M$29)&lt;&gt;0,1/(1 - CUSTOS!$M$29),1)</f>
        <v>1</v>
      </c>
    </row>
    <row r="42" spans="1:42" ht="11.25" customHeight="1" x14ac:dyDescent="0.25">
      <c r="A42" s="124"/>
      <c r="B42" s="47" t="s">
        <v>23</v>
      </c>
      <c r="C42" s="47" t="s">
        <v>47</v>
      </c>
      <c r="D42" s="47" t="s">
        <v>101</v>
      </c>
      <c r="E42" s="47" t="s">
        <v>25</v>
      </c>
      <c r="F42" s="47" t="s">
        <v>25</v>
      </c>
      <c r="G42" s="28" t="s">
        <v>92</v>
      </c>
      <c r="H42" s="28" t="s">
        <v>86</v>
      </c>
      <c r="I42" s="28">
        <f>'MERCADO TUSD'!$U$39</f>
        <v>0</v>
      </c>
      <c r="J42" s="18"/>
      <c r="L42" s="46"/>
      <c r="M42" s="46"/>
      <c r="N42" s="46"/>
      <c r="O42" s="46"/>
      <c r="P42" s="46"/>
      <c r="Q42" s="46"/>
      <c r="R42" s="46"/>
      <c r="S42" s="46"/>
      <c r="T42" s="46"/>
      <c r="U42" s="46">
        <f>(1 - CUSTOS!$M$29)*38.2148</f>
        <v>38.214799999999997</v>
      </c>
      <c r="V42" s="46">
        <f>(1 - CUSTOS!$M$29)*5.6934</f>
        <v>5.6933999999999996</v>
      </c>
      <c r="W42" s="46">
        <f>(1 - CUSTOS!$M$29)*-0.3593</f>
        <v>-0.35930000000000001</v>
      </c>
      <c r="X42" s="46">
        <v>0</v>
      </c>
      <c r="Y42" s="46">
        <f>(1 - CUSTOS!$M$29)*0.1617</f>
        <v>0.16170000000000001</v>
      </c>
      <c r="Z42" s="46">
        <v>0</v>
      </c>
      <c r="AA42" s="46">
        <v>0</v>
      </c>
      <c r="AB42" s="46"/>
      <c r="AC42" s="46">
        <f>(1 - CUSTOS!$M$29)*202.817</f>
        <v>202.81700000000001</v>
      </c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P42" s="46">
        <f>IF((1 - CUSTOS!$M$29)&lt;&gt;0,1/(1 - CUSTOS!$M$29),1)</f>
        <v>1</v>
      </c>
    </row>
    <row r="43" spans="1:42" ht="11.25" customHeight="1" x14ac:dyDescent="0.25">
      <c r="A43" s="124"/>
      <c r="B43" s="124" t="s">
        <v>39</v>
      </c>
      <c r="C43" s="124" t="s">
        <v>47</v>
      </c>
      <c r="D43" s="124" t="s">
        <v>55</v>
      </c>
      <c r="E43" s="124" t="s">
        <v>25</v>
      </c>
      <c r="F43" s="124" t="s">
        <v>25</v>
      </c>
      <c r="G43" s="28" t="s">
        <v>87</v>
      </c>
      <c r="H43" s="28" t="s">
        <v>86</v>
      </c>
      <c r="I43" s="28">
        <f>'MERCADO TUSD'!$U$40</f>
        <v>0</v>
      </c>
      <c r="J43" s="18"/>
      <c r="L43" s="46"/>
      <c r="M43" s="46"/>
      <c r="N43" s="46"/>
      <c r="O43" s="46"/>
      <c r="P43" s="46"/>
      <c r="Q43" s="46"/>
      <c r="R43" s="46"/>
      <c r="S43" s="46"/>
      <c r="T43" s="46"/>
      <c r="U43" s="46">
        <f>(1 - CUSTOS!$M$30)*122.2874</f>
        <v>122.28740000000001</v>
      </c>
      <c r="V43" s="46">
        <f>(1 - CUSTOS!$M$30)*18.219</f>
        <v>18.219000000000001</v>
      </c>
      <c r="W43" s="46">
        <f>(1 - CUSTOS!$M$30)*-1.1498</f>
        <v>-1.1497999999999999</v>
      </c>
      <c r="X43" s="46">
        <v>0</v>
      </c>
      <c r="Y43" s="46">
        <f>(1 - CUSTOS!$M$30)*0.5175</f>
        <v>0.51749999999999996</v>
      </c>
      <c r="Z43" s="46">
        <v>0</v>
      </c>
      <c r="AA43" s="46">
        <v>0</v>
      </c>
      <c r="AB43" s="46"/>
      <c r="AC43" s="46">
        <f>(1 - CUSTOS!$M$30)*649.0143</f>
        <v>649.01430000000005</v>
      </c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P43" s="46">
        <f>IF((1 - CUSTOS!$M$30)&lt;&gt;0,1/(1 - CUSTOS!$M$30),1)</f>
        <v>1</v>
      </c>
    </row>
    <row r="44" spans="1:42" ht="11.25" customHeight="1" x14ac:dyDescent="0.25">
      <c r="A44" s="124"/>
      <c r="B44" s="124"/>
      <c r="C44" s="124"/>
      <c r="D44" s="124"/>
      <c r="E44" s="124"/>
      <c r="F44" s="124"/>
      <c r="G44" s="28" t="s">
        <v>98</v>
      </c>
      <c r="H44" s="28" t="s">
        <v>86</v>
      </c>
      <c r="I44" s="28">
        <f>'MERCADO TUSD'!$U$41</f>
        <v>0</v>
      </c>
      <c r="J44" s="18"/>
      <c r="L44" s="46"/>
      <c r="M44" s="46"/>
      <c r="N44" s="46"/>
      <c r="O44" s="46"/>
      <c r="P44" s="46"/>
      <c r="Q44" s="46"/>
      <c r="R44" s="46"/>
      <c r="S44" s="46"/>
      <c r="T44" s="46"/>
      <c r="U44" s="46">
        <f>(1 - CUSTOS!$M$30)*73.3724</f>
        <v>73.372399999999999</v>
      </c>
      <c r="V44" s="46">
        <f>(1 - CUSTOS!$M$30)*10.9314</f>
        <v>10.9314</v>
      </c>
      <c r="W44" s="46">
        <f>(1 - CUSTOS!$M$30)*-0.6899</f>
        <v>-0.68989999999999996</v>
      </c>
      <c r="X44" s="46">
        <v>0</v>
      </c>
      <c r="Y44" s="46">
        <f>(1 - CUSTOS!$M$30)*0.3105</f>
        <v>0.3105</v>
      </c>
      <c r="Z44" s="46">
        <v>0</v>
      </c>
      <c r="AA44" s="46">
        <v>0</v>
      </c>
      <c r="AB44" s="46"/>
      <c r="AC44" s="46">
        <f>(1 - CUSTOS!$M$30)*389.4086</f>
        <v>389.40859999999998</v>
      </c>
      <c r="AD44" s="46"/>
      <c r="AE44" s="46"/>
      <c r="AF44" s="46"/>
      <c r="AG44" s="46"/>
      <c r="AH44" s="46"/>
      <c r="AI44" s="46"/>
      <c r="AJ44" s="46"/>
      <c r="AK44" s="46"/>
      <c r="AL44" s="46"/>
      <c r="AM44" s="46"/>
      <c r="AP44" s="46">
        <f>IF((1 - CUSTOS!$M$30)&lt;&gt;0,1/(1 - CUSTOS!$M$30),1)</f>
        <v>1</v>
      </c>
    </row>
    <row r="45" spans="1:42" ht="11.25" customHeight="1" x14ac:dyDescent="0.25">
      <c r="A45" s="124"/>
      <c r="B45" s="124"/>
      <c r="C45" s="124"/>
      <c r="D45" s="124"/>
      <c r="E45" s="124"/>
      <c r="F45" s="124"/>
      <c r="G45" s="28" t="s">
        <v>88</v>
      </c>
      <c r="H45" s="28" t="s">
        <v>86</v>
      </c>
      <c r="I45" s="28">
        <f>'MERCADO TUSD'!$U$42</f>
        <v>0</v>
      </c>
      <c r="J45" s="18"/>
      <c r="L45" s="46"/>
      <c r="M45" s="46"/>
      <c r="N45" s="46"/>
      <c r="O45" s="46"/>
      <c r="P45" s="46"/>
      <c r="Q45" s="46"/>
      <c r="R45" s="46"/>
      <c r="S45" s="46"/>
      <c r="T45" s="46"/>
      <c r="U45" s="46">
        <f>(1 - CUSTOS!$M$30)*24.4575</f>
        <v>24.4575</v>
      </c>
      <c r="V45" s="46">
        <f>(1 - CUSTOS!$M$30)*3.6438</f>
        <v>3.6438000000000001</v>
      </c>
      <c r="W45" s="46">
        <f>(1 - CUSTOS!$M$30)*-0.23</f>
        <v>-0.23</v>
      </c>
      <c r="X45" s="46">
        <v>0</v>
      </c>
      <c r="Y45" s="46">
        <f>(1 - CUSTOS!$M$30)*0.1035</f>
        <v>0.10349999999999999</v>
      </c>
      <c r="Z45" s="46">
        <v>0</v>
      </c>
      <c r="AA45" s="46">
        <v>0</v>
      </c>
      <c r="AB45" s="46"/>
      <c r="AC45" s="46">
        <f>(1 - CUSTOS!$M$30)*129.8029</f>
        <v>129.80289999999999</v>
      </c>
      <c r="AD45" s="46"/>
      <c r="AE45" s="46"/>
      <c r="AF45" s="46"/>
      <c r="AG45" s="46"/>
      <c r="AH45" s="46"/>
      <c r="AI45" s="46"/>
      <c r="AJ45" s="46"/>
      <c r="AK45" s="46"/>
      <c r="AL45" s="46"/>
      <c r="AM45" s="46"/>
      <c r="AP45" s="46">
        <f>IF((1 - CUSTOS!$M$30)&lt;&gt;0,1/(1 - CUSTOS!$M$30),1)</f>
        <v>1</v>
      </c>
    </row>
    <row r="46" spans="1:42" ht="11.25" customHeight="1" x14ac:dyDescent="0.25">
      <c r="A46" s="124"/>
      <c r="B46" s="47" t="s">
        <v>23</v>
      </c>
      <c r="C46" s="47" t="s">
        <v>47</v>
      </c>
      <c r="D46" s="47" t="s">
        <v>55</v>
      </c>
      <c r="E46" s="47" t="s">
        <v>25</v>
      </c>
      <c r="F46" s="47" t="s">
        <v>25</v>
      </c>
      <c r="G46" s="28" t="s">
        <v>92</v>
      </c>
      <c r="H46" s="28" t="s">
        <v>86</v>
      </c>
      <c r="I46" s="28">
        <f>'MERCADO TUSD'!$U$43</f>
        <v>26.512</v>
      </c>
      <c r="J46" s="18"/>
      <c r="L46" s="46"/>
      <c r="M46" s="46"/>
      <c r="N46" s="46"/>
      <c r="O46" s="46"/>
      <c r="P46" s="46"/>
      <c r="Q46" s="46"/>
      <c r="R46" s="46"/>
      <c r="S46" s="46"/>
      <c r="T46" s="46"/>
      <c r="U46" s="46">
        <f>(1 - CUSTOS!$M$30)*38.2148</f>
        <v>38.214799999999997</v>
      </c>
      <c r="V46" s="46">
        <f>(1 - CUSTOS!$M$30)*5.6934</f>
        <v>5.6933999999999996</v>
      </c>
      <c r="W46" s="46">
        <f>(1 - CUSTOS!$M$30)*-0.3593</f>
        <v>-0.35930000000000001</v>
      </c>
      <c r="X46" s="46">
        <v>0</v>
      </c>
      <c r="Y46" s="46">
        <f>(1 - CUSTOS!$M$30)*0.1617</f>
        <v>0.16170000000000001</v>
      </c>
      <c r="Z46" s="46">
        <v>0</v>
      </c>
      <c r="AA46" s="46">
        <v>0</v>
      </c>
      <c r="AB46" s="46"/>
      <c r="AC46" s="46">
        <f>(1 - CUSTOS!$M$30)*202.817</f>
        <v>202.81700000000001</v>
      </c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P46" s="46">
        <f>IF((1 - CUSTOS!$M$30)&lt;&gt;0,1/(1 - CUSTOS!$M$30),1)</f>
        <v>1</v>
      </c>
    </row>
    <row r="47" spans="1:42" ht="11.25" customHeight="1" x14ac:dyDescent="0.25">
      <c r="A47" s="124"/>
      <c r="B47" s="124" t="s">
        <v>100</v>
      </c>
      <c r="C47" s="124" t="s">
        <v>47</v>
      </c>
      <c r="D47" s="47" t="s">
        <v>25</v>
      </c>
      <c r="E47" s="47" t="s">
        <v>25</v>
      </c>
      <c r="F47" s="47" t="s">
        <v>25</v>
      </c>
      <c r="G47" s="28" t="s">
        <v>92</v>
      </c>
      <c r="H47" s="28" t="s">
        <v>86</v>
      </c>
      <c r="I47" s="28">
        <f>'MERCADO TUSD'!$U$44</f>
        <v>0</v>
      </c>
      <c r="J47" s="18"/>
      <c r="L47" s="46"/>
      <c r="M47" s="46"/>
      <c r="N47" s="46"/>
      <c r="O47" s="46"/>
      <c r="P47" s="46"/>
      <c r="Q47" s="46"/>
      <c r="R47" s="46"/>
      <c r="S47" s="46"/>
      <c r="T47" s="46"/>
      <c r="U47" s="46">
        <f>(1 - CUSTOS!$M$28)*38.2148</f>
        <v>38.214799999999997</v>
      </c>
      <c r="V47" s="46">
        <f>(1 - CUSTOS!$M$28)*5.6934</f>
        <v>5.6933999999999996</v>
      </c>
      <c r="W47" s="46">
        <f>(1 - CUSTOS!$M$28)*-0.3593</f>
        <v>-0.35930000000000001</v>
      </c>
      <c r="X47" s="46">
        <v>0</v>
      </c>
      <c r="Y47" s="46">
        <f>(1 - CUSTOS!$M$28)*0.1617</f>
        <v>0.16170000000000001</v>
      </c>
      <c r="Z47" s="46">
        <v>0</v>
      </c>
      <c r="AA47" s="46">
        <v>0</v>
      </c>
      <c r="AB47" s="46"/>
      <c r="AC47" s="46">
        <f>(1 - CUSTOS!$M$28)*202.817</f>
        <v>202.81700000000001</v>
      </c>
      <c r="AD47" s="46"/>
      <c r="AE47" s="46"/>
      <c r="AF47" s="46"/>
      <c r="AG47" s="46"/>
      <c r="AH47" s="46"/>
      <c r="AI47" s="46"/>
      <c r="AJ47" s="46"/>
      <c r="AK47" s="46"/>
      <c r="AL47" s="46"/>
      <c r="AM47" s="46"/>
      <c r="AP47" s="46">
        <f>IF((1 - CUSTOS!$M$28)&lt;&gt;0,1/(1 - CUSTOS!$M$28),1)</f>
        <v>1</v>
      </c>
    </row>
    <row r="48" spans="1:42" ht="11.25" customHeight="1" x14ac:dyDescent="0.25">
      <c r="A48" s="124"/>
      <c r="B48" s="124"/>
      <c r="C48" s="124"/>
      <c r="D48" s="47" t="s">
        <v>101</v>
      </c>
      <c r="E48" s="47" t="s">
        <v>25</v>
      </c>
      <c r="F48" s="47" t="s">
        <v>25</v>
      </c>
      <c r="G48" s="28" t="s">
        <v>92</v>
      </c>
      <c r="H48" s="28" t="s">
        <v>86</v>
      </c>
      <c r="I48" s="28">
        <f>'MERCADO TUSD'!$U$45</f>
        <v>0</v>
      </c>
      <c r="J48" s="18"/>
      <c r="L48" s="46"/>
      <c r="M48" s="46"/>
      <c r="N48" s="46"/>
      <c r="O48" s="46"/>
      <c r="P48" s="46"/>
      <c r="Q48" s="46"/>
      <c r="R48" s="46"/>
      <c r="S48" s="46"/>
      <c r="T48" s="46"/>
      <c r="U48" s="46">
        <f>(1 - CUSTOS!$M$29)*38.2148</f>
        <v>38.214799999999997</v>
      </c>
      <c r="V48" s="46">
        <f>(1 - CUSTOS!$M$29)*5.6934</f>
        <v>5.6933999999999996</v>
      </c>
      <c r="W48" s="46">
        <f>(1 - CUSTOS!$M$29)*-0.3593</f>
        <v>-0.35930000000000001</v>
      </c>
      <c r="X48" s="46">
        <v>0</v>
      </c>
      <c r="Y48" s="46">
        <f>(1 - CUSTOS!$M$29)*0.1617</f>
        <v>0.16170000000000001</v>
      </c>
      <c r="Z48" s="46">
        <v>0</v>
      </c>
      <c r="AA48" s="46">
        <v>0</v>
      </c>
      <c r="AB48" s="46"/>
      <c r="AC48" s="46">
        <f>(1 - CUSTOS!$M$29)*202.817</f>
        <v>202.81700000000001</v>
      </c>
      <c r="AD48" s="46"/>
      <c r="AE48" s="46"/>
      <c r="AF48" s="46"/>
      <c r="AG48" s="46"/>
      <c r="AH48" s="46"/>
      <c r="AI48" s="46"/>
      <c r="AJ48" s="46"/>
      <c r="AK48" s="46"/>
      <c r="AL48" s="46"/>
      <c r="AM48" s="46"/>
      <c r="AP48" s="46">
        <f>IF((1 - CUSTOS!$M$29)&lt;&gt;0,1/(1 - CUSTOS!$M$29),1)</f>
        <v>1</v>
      </c>
    </row>
    <row r="49" spans="1:42" ht="11.25" customHeight="1" x14ac:dyDescent="0.25">
      <c r="A49" s="124"/>
      <c r="B49" s="124"/>
      <c r="C49" s="124"/>
      <c r="D49" s="47" t="s">
        <v>55</v>
      </c>
      <c r="E49" s="47" t="s">
        <v>25</v>
      </c>
      <c r="F49" s="47" t="s">
        <v>25</v>
      </c>
      <c r="G49" s="28" t="s">
        <v>92</v>
      </c>
      <c r="H49" s="28" t="s">
        <v>86</v>
      </c>
      <c r="I49" s="28">
        <f>'MERCADO TUSD'!$U$46</f>
        <v>0</v>
      </c>
      <c r="J49" s="18"/>
      <c r="L49" s="46"/>
      <c r="M49" s="46"/>
      <c r="N49" s="46"/>
      <c r="O49" s="46"/>
      <c r="P49" s="46"/>
      <c r="Q49" s="46"/>
      <c r="R49" s="46"/>
      <c r="S49" s="46"/>
      <c r="T49" s="46"/>
      <c r="U49" s="46">
        <f>(1 - CUSTOS!$M$30)*38.2148</f>
        <v>38.214799999999997</v>
      </c>
      <c r="V49" s="46">
        <f>(1 - CUSTOS!$M$30)*5.6934</f>
        <v>5.6933999999999996</v>
      </c>
      <c r="W49" s="46">
        <f>(1 - CUSTOS!$M$30)*-0.3593</f>
        <v>-0.35930000000000001</v>
      </c>
      <c r="X49" s="46">
        <v>0</v>
      </c>
      <c r="Y49" s="46">
        <f>(1 - CUSTOS!$M$30)*0.1617</f>
        <v>0.16170000000000001</v>
      </c>
      <c r="Z49" s="46">
        <v>0</v>
      </c>
      <c r="AA49" s="46">
        <v>0</v>
      </c>
      <c r="AB49" s="46"/>
      <c r="AC49" s="46">
        <f>(1 - CUSTOS!$M$30)*202.817</f>
        <v>202.81700000000001</v>
      </c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P49" s="46">
        <f>IF((1 - CUSTOS!$M$30)&lt;&gt;0,1/(1 - CUSTOS!$M$30),1)</f>
        <v>1</v>
      </c>
    </row>
    <row r="50" spans="1:42" ht="11.25" customHeight="1" x14ac:dyDescent="0.25">
      <c r="A50" s="124" t="s">
        <v>41</v>
      </c>
      <c r="B50" s="124" t="s">
        <v>39</v>
      </c>
      <c r="C50" s="124" t="s">
        <v>25</v>
      </c>
      <c r="D50" s="124" t="s">
        <v>25</v>
      </c>
      <c r="E50" s="124" t="s">
        <v>25</v>
      </c>
      <c r="F50" s="124" t="s">
        <v>25</v>
      </c>
      <c r="G50" s="28" t="s">
        <v>87</v>
      </c>
      <c r="H50" s="28" t="s">
        <v>86</v>
      </c>
      <c r="I50" s="28">
        <f>'MERCADO TUSD'!$U$47</f>
        <v>159.50200000000001</v>
      </c>
      <c r="J50" s="18"/>
      <c r="L50" s="46"/>
      <c r="M50" s="46"/>
      <c r="N50" s="46"/>
      <c r="O50" s="46"/>
      <c r="P50" s="46"/>
      <c r="Q50" s="46"/>
      <c r="R50" s="46"/>
      <c r="S50" s="46"/>
      <c r="T50" s="46"/>
      <c r="U50" s="46">
        <f>(1 - CUSTOS!$M$31)*137.5733</f>
        <v>137.57329999999999</v>
      </c>
      <c r="V50" s="46">
        <f>(1 - CUSTOS!$M$31)*20.4964</f>
        <v>20.496400000000001</v>
      </c>
      <c r="W50" s="46">
        <f>(1 - CUSTOS!$M$31)*-1.2935</f>
        <v>-1.2935000000000001</v>
      </c>
      <c r="X50" s="46">
        <v>0</v>
      </c>
      <c r="Y50" s="46">
        <f>(1 - CUSTOS!$M$31)*0.5822</f>
        <v>0.58220000000000005</v>
      </c>
      <c r="Z50" s="46">
        <v>0</v>
      </c>
      <c r="AA50" s="46">
        <v>0</v>
      </c>
      <c r="AB50" s="46"/>
      <c r="AC50" s="46">
        <f>(1 - CUSTOS!$M$31)*730.141</f>
        <v>730.14099999999996</v>
      </c>
      <c r="AD50" s="46"/>
      <c r="AE50" s="46"/>
      <c r="AF50" s="46"/>
      <c r="AG50" s="46"/>
      <c r="AH50" s="46"/>
      <c r="AI50" s="46"/>
      <c r="AJ50" s="46"/>
      <c r="AK50" s="46"/>
      <c r="AL50" s="46"/>
      <c r="AM50" s="46"/>
      <c r="AP50" s="46">
        <f>IF((1 - CUSTOS!$M$31)&lt;&gt;0,1/(1 - CUSTOS!$M$31),1)</f>
        <v>1</v>
      </c>
    </row>
    <row r="51" spans="1:42" ht="11.25" customHeight="1" x14ac:dyDescent="0.25">
      <c r="A51" s="124"/>
      <c r="B51" s="124"/>
      <c r="C51" s="124"/>
      <c r="D51" s="124"/>
      <c r="E51" s="124"/>
      <c r="F51" s="124"/>
      <c r="G51" s="28" t="s">
        <v>98</v>
      </c>
      <c r="H51" s="28" t="s">
        <v>86</v>
      </c>
      <c r="I51" s="28">
        <f>'MERCADO TUSD'!$U$48</f>
        <v>89.802000000000007</v>
      </c>
      <c r="J51" s="18"/>
      <c r="L51" s="46"/>
      <c r="M51" s="46"/>
      <c r="N51" s="46"/>
      <c r="O51" s="46"/>
      <c r="P51" s="46"/>
      <c r="Q51" s="46"/>
      <c r="R51" s="46"/>
      <c r="S51" s="46"/>
      <c r="T51" s="46"/>
      <c r="U51" s="46">
        <f>(1 - CUSTOS!$M$31)*82.544</f>
        <v>82.543999999999997</v>
      </c>
      <c r="V51" s="46">
        <f>(1 - CUSTOS!$M$31)*12.2978</f>
        <v>12.297800000000001</v>
      </c>
      <c r="W51" s="46">
        <f>(1 - CUSTOS!$M$31)*-0.7761</f>
        <v>-0.77610000000000001</v>
      </c>
      <c r="X51" s="46">
        <v>0</v>
      </c>
      <c r="Y51" s="46">
        <f>(1 - CUSTOS!$M$31)*0.3493</f>
        <v>0.3493</v>
      </c>
      <c r="Z51" s="46">
        <v>0</v>
      </c>
      <c r="AA51" s="46">
        <v>0</v>
      </c>
      <c r="AB51" s="46"/>
      <c r="AC51" s="46">
        <f>(1 - CUSTOS!$M$31)*438.0846</f>
        <v>438.08460000000002</v>
      </c>
      <c r="AD51" s="46"/>
      <c r="AE51" s="46"/>
      <c r="AF51" s="46"/>
      <c r="AG51" s="46"/>
      <c r="AH51" s="46"/>
      <c r="AI51" s="46"/>
      <c r="AJ51" s="46"/>
      <c r="AK51" s="46"/>
      <c r="AL51" s="46"/>
      <c r="AM51" s="46"/>
      <c r="AP51" s="46">
        <f>IF((1 - CUSTOS!$M$31)&lt;&gt;0,1/(1 - CUSTOS!$M$31),1)</f>
        <v>1</v>
      </c>
    </row>
    <row r="52" spans="1:42" ht="11.25" customHeight="1" x14ac:dyDescent="0.25">
      <c r="A52" s="124"/>
      <c r="B52" s="124"/>
      <c r="C52" s="124"/>
      <c r="D52" s="124"/>
      <c r="E52" s="124"/>
      <c r="F52" s="124"/>
      <c r="G52" s="28" t="s">
        <v>88</v>
      </c>
      <c r="H52" s="28" t="s">
        <v>86</v>
      </c>
      <c r="I52" s="28">
        <f>'MERCADO TUSD'!$U$49</f>
        <v>2507.7720000000004</v>
      </c>
      <c r="J52" s="18"/>
      <c r="L52" s="46"/>
      <c r="M52" s="46"/>
      <c r="N52" s="46"/>
      <c r="O52" s="46"/>
      <c r="P52" s="46"/>
      <c r="Q52" s="46"/>
      <c r="R52" s="46"/>
      <c r="S52" s="46"/>
      <c r="T52" s="46"/>
      <c r="U52" s="46">
        <f>(1 - CUSTOS!$M$31)*27.5147</f>
        <v>27.514700000000001</v>
      </c>
      <c r="V52" s="46">
        <f>(1 - CUSTOS!$M$31)*4.0993</f>
        <v>4.0993000000000004</v>
      </c>
      <c r="W52" s="46">
        <f>(1 - CUSTOS!$M$31)*-0.2587</f>
        <v>-0.25869999999999999</v>
      </c>
      <c r="X52" s="46">
        <v>0</v>
      </c>
      <c r="Y52" s="46">
        <f>(1 - CUSTOS!$M$31)*0.1164</f>
        <v>0.1164</v>
      </c>
      <c r="Z52" s="46">
        <v>0</v>
      </c>
      <c r="AA52" s="46">
        <v>0</v>
      </c>
      <c r="AB52" s="46"/>
      <c r="AC52" s="46">
        <f>(1 - CUSTOS!$M$31)*146.0282</f>
        <v>146.0282</v>
      </c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P52" s="46">
        <f>IF((1 - CUSTOS!$M$31)&lt;&gt;0,1/(1 - CUSTOS!$M$31),1)</f>
        <v>1</v>
      </c>
    </row>
    <row r="53" spans="1:42" ht="11.25" customHeight="1" x14ac:dyDescent="0.25">
      <c r="A53" s="124"/>
      <c r="B53" s="47" t="s">
        <v>23</v>
      </c>
      <c r="C53" s="47" t="s">
        <v>25</v>
      </c>
      <c r="D53" s="47" t="s">
        <v>25</v>
      </c>
      <c r="E53" s="47" t="s">
        <v>25</v>
      </c>
      <c r="F53" s="47" t="s">
        <v>25</v>
      </c>
      <c r="G53" s="28" t="s">
        <v>92</v>
      </c>
      <c r="H53" s="28" t="s">
        <v>86</v>
      </c>
      <c r="I53" s="28">
        <f>'MERCADO TUSD'!$U$50</f>
        <v>849619.68099999998</v>
      </c>
      <c r="J53" s="18"/>
      <c r="L53" s="46"/>
      <c r="M53" s="46"/>
      <c r="N53" s="46"/>
      <c r="O53" s="46"/>
      <c r="P53" s="46"/>
      <c r="Q53" s="46"/>
      <c r="R53" s="46"/>
      <c r="S53" s="46"/>
      <c r="T53" s="46"/>
      <c r="U53" s="46">
        <f>(1 - CUSTOS!$M$31)*38.2148</f>
        <v>38.214799999999997</v>
      </c>
      <c r="V53" s="46">
        <f>(1 - CUSTOS!$M$31)*5.6934</f>
        <v>5.6933999999999996</v>
      </c>
      <c r="W53" s="46">
        <f>(1 - CUSTOS!$M$31)*-0.3593</f>
        <v>-0.35930000000000001</v>
      </c>
      <c r="X53" s="46">
        <v>0</v>
      </c>
      <c r="Y53" s="46">
        <f>(1 - CUSTOS!$M$31)*0.1617</f>
        <v>0.16170000000000001</v>
      </c>
      <c r="Z53" s="46">
        <v>0</v>
      </c>
      <c r="AA53" s="46">
        <v>0</v>
      </c>
      <c r="AB53" s="46"/>
      <c r="AC53" s="46">
        <f>(1 - CUSTOS!$M$31)*202.817</f>
        <v>202.81700000000001</v>
      </c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P53" s="46">
        <f>IF((1 - CUSTOS!$M$31)&lt;&gt;0,1/(1 - CUSTOS!$M$31),1)</f>
        <v>1</v>
      </c>
    </row>
    <row r="54" spans="1:42" ht="11.25" customHeight="1" x14ac:dyDescent="0.25">
      <c r="A54" s="124"/>
      <c r="B54" s="47" t="s">
        <v>100</v>
      </c>
      <c r="C54" s="47" t="s">
        <v>25</v>
      </c>
      <c r="D54" s="47" t="s">
        <v>25</v>
      </c>
      <c r="E54" s="47" t="s">
        <v>25</v>
      </c>
      <c r="F54" s="47" t="s">
        <v>25</v>
      </c>
      <c r="G54" s="28" t="s">
        <v>92</v>
      </c>
      <c r="H54" s="28" t="s">
        <v>86</v>
      </c>
      <c r="I54" s="28">
        <f>'MERCADO TUSD'!$U$51</f>
        <v>0</v>
      </c>
      <c r="J54" s="18"/>
      <c r="L54" s="46"/>
      <c r="M54" s="46"/>
      <c r="N54" s="46"/>
      <c r="O54" s="46"/>
      <c r="P54" s="46"/>
      <c r="Q54" s="46"/>
      <c r="R54" s="46"/>
      <c r="S54" s="46"/>
      <c r="T54" s="46"/>
      <c r="U54" s="46">
        <f>(1 - CUSTOS!$M$31)*38.2148</f>
        <v>38.214799999999997</v>
      </c>
      <c r="V54" s="46">
        <f>(1 - CUSTOS!$M$31)*5.6934</f>
        <v>5.6933999999999996</v>
      </c>
      <c r="W54" s="46">
        <f>(1 - CUSTOS!$M$31)*-0.3593</f>
        <v>-0.35930000000000001</v>
      </c>
      <c r="X54" s="46">
        <v>0</v>
      </c>
      <c r="Y54" s="46">
        <f>(1 - CUSTOS!$M$31)*0.1617</f>
        <v>0.16170000000000001</v>
      </c>
      <c r="Z54" s="46">
        <v>0</v>
      </c>
      <c r="AA54" s="46">
        <v>0</v>
      </c>
      <c r="AB54" s="46"/>
      <c r="AC54" s="46">
        <f>(1 - CUSTOS!$M$31)*202.817</f>
        <v>202.81700000000001</v>
      </c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P54" s="46">
        <f>IF((1 - CUSTOS!$M$31)&lt;&gt;0,1/(1 - CUSTOS!$M$31),1)</f>
        <v>1</v>
      </c>
    </row>
    <row r="55" spans="1:42" ht="11.25" customHeight="1" x14ac:dyDescent="0.25">
      <c r="A55" s="124" t="s">
        <v>49</v>
      </c>
      <c r="B55" s="124" t="s">
        <v>23</v>
      </c>
      <c r="C55" s="124" t="s">
        <v>50</v>
      </c>
      <c r="D55" s="47" t="s">
        <v>51</v>
      </c>
      <c r="E55" s="47" t="s">
        <v>25</v>
      </c>
      <c r="F55" s="47" t="s">
        <v>25</v>
      </c>
      <c r="G55" s="28" t="s">
        <v>92</v>
      </c>
      <c r="H55" s="28" t="s">
        <v>86</v>
      </c>
      <c r="I55" s="28">
        <f>'MERCADO TUSD'!$U$52</f>
        <v>200182.10399999999</v>
      </c>
      <c r="J55" s="18"/>
      <c r="L55" s="46"/>
      <c r="M55" s="46"/>
      <c r="N55" s="46"/>
      <c r="O55" s="46"/>
      <c r="P55" s="46"/>
      <c r="Q55" s="46"/>
      <c r="R55" s="46"/>
      <c r="S55" s="46"/>
      <c r="T55" s="46"/>
      <c r="U55" s="46">
        <f>(1 - CUSTOS!$M$32)*38.2148</f>
        <v>21.018139999999999</v>
      </c>
      <c r="V55" s="46">
        <f>(1 - CUSTOS!$M$32)*5.6934</f>
        <v>3.13137</v>
      </c>
      <c r="W55" s="46">
        <f>(1 - CUSTOS!$M$32)*-0.3593</f>
        <v>-0.19761500000000001</v>
      </c>
      <c r="X55" s="46">
        <v>0</v>
      </c>
      <c r="Y55" s="46">
        <f>(1 - CUSTOS!$M$32)*0.1617</f>
        <v>8.8935000000000014E-2</v>
      </c>
      <c r="Z55" s="46">
        <v>0</v>
      </c>
      <c r="AA55" s="46">
        <v>0</v>
      </c>
      <c r="AB55" s="46"/>
      <c r="AC55" s="46">
        <f>(1 - CUSTOS!$M$32)*202.817</f>
        <v>111.54935000000002</v>
      </c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P55" s="46">
        <f>IF((1 - CUSTOS!$M$32)&lt;&gt;0,1/(1 - CUSTOS!$M$32),1)</f>
        <v>1.8181818181818181</v>
      </c>
    </row>
    <row r="56" spans="1:42" ht="11.25" customHeight="1" x14ac:dyDescent="0.25">
      <c r="A56" s="124"/>
      <c r="B56" s="124"/>
      <c r="C56" s="124"/>
      <c r="D56" s="28" t="s">
        <v>102</v>
      </c>
      <c r="E56" s="28" t="s">
        <v>25</v>
      </c>
      <c r="F56" s="28" t="s">
        <v>25</v>
      </c>
      <c r="G56" s="28" t="s">
        <v>92</v>
      </c>
      <c r="H56" s="28" t="s">
        <v>86</v>
      </c>
      <c r="I56" s="28">
        <f>'MERCADO TUSD'!$U$53</f>
        <v>0</v>
      </c>
      <c r="J56" s="18"/>
      <c r="L56" s="46"/>
      <c r="M56" s="46"/>
      <c r="N56" s="46"/>
      <c r="O56" s="46"/>
      <c r="P56" s="46"/>
      <c r="Q56" s="46"/>
      <c r="R56" s="46"/>
      <c r="S56" s="46"/>
      <c r="T56" s="46"/>
      <c r="U56" s="46">
        <f>(1 - CUSTOS!$M$33)*38.2148</f>
        <v>22.928879999999996</v>
      </c>
      <c r="V56" s="46">
        <f>(1 - CUSTOS!$M$33)*5.6934</f>
        <v>3.4160399999999997</v>
      </c>
      <c r="W56" s="46">
        <f>(1 - CUSTOS!$M$33)*-0.3593</f>
        <v>-0.21557999999999999</v>
      </c>
      <c r="X56" s="46">
        <v>0</v>
      </c>
      <c r="Y56" s="46">
        <f>(1 - CUSTOS!$M$33)*0.1617</f>
        <v>9.7020000000000009E-2</v>
      </c>
      <c r="Z56" s="46">
        <v>0</v>
      </c>
      <c r="AA56" s="46">
        <v>0</v>
      </c>
      <c r="AB56" s="46"/>
      <c r="AC56" s="46">
        <f>(1 - CUSTOS!$M$33)*202.817</f>
        <v>121.6902</v>
      </c>
      <c r="AD56" s="46"/>
      <c r="AE56" s="46"/>
      <c r="AF56" s="46"/>
      <c r="AG56" s="46"/>
      <c r="AH56" s="46"/>
      <c r="AI56" s="46"/>
      <c r="AJ56" s="46"/>
      <c r="AK56" s="46"/>
      <c r="AL56" s="46"/>
      <c r="AM56" s="46"/>
      <c r="AP56" s="46">
        <f>IF((1 - CUSTOS!$M$33)&lt;&gt;0,1/(1 - CUSTOS!$M$33),1)</f>
        <v>1.6666666666666667</v>
      </c>
    </row>
  </sheetData>
  <mergeCells count="79">
    <mergeCell ref="B1:B4"/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E15:E17"/>
    <mergeCell ref="AE3:AG3"/>
    <mergeCell ref="AH3:AL3"/>
    <mergeCell ref="AM3:AM4"/>
    <mergeCell ref="A5:A9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M1"/>
    <mergeCell ref="A1:A4"/>
    <mergeCell ref="F15:F17"/>
    <mergeCell ref="E18:E19"/>
    <mergeCell ref="F18:F19"/>
    <mergeCell ref="A20:A21"/>
    <mergeCell ref="B20:B21"/>
    <mergeCell ref="C20:C21"/>
    <mergeCell ref="D20:D21"/>
    <mergeCell ref="A10:A19"/>
    <mergeCell ref="B10:B13"/>
    <mergeCell ref="C10:C13"/>
    <mergeCell ref="D10:D13"/>
    <mergeCell ref="E10:E12"/>
    <mergeCell ref="F10:F12"/>
    <mergeCell ref="B15:B19"/>
    <mergeCell ref="C15:C19"/>
    <mergeCell ref="D15:D19"/>
    <mergeCell ref="F22:F24"/>
    <mergeCell ref="B25:B29"/>
    <mergeCell ref="C25:C29"/>
    <mergeCell ref="B30:B34"/>
    <mergeCell ref="C30:C34"/>
    <mergeCell ref="A22:A34"/>
    <mergeCell ref="B22:B24"/>
    <mergeCell ref="C22:C24"/>
    <mergeCell ref="D22:D24"/>
    <mergeCell ref="E22:E24"/>
    <mergeCell ref="D43:D45"/>
    <mergeCell ref="E43:E45"/>
    <mergeCell ref="F43:F45"/>
    <mergeCell ref="D35:D37"/>
    <mergeCell ref="E35:E37"/>
    <mergeCell ref="F35:F37"/>
    <mergeCell ref="D39:D41"/>
    <mergeCell ref="E39:E41"/>
    <mergeCell ref="F39:F41"/>
    <mergeCell ref="B47:B49"/>
    <mergeCell ref="C47:C49"/>
    <mergeCell ref="A50:A54"/>
    <mergeCell ref="B50:B52"/>
    <mergeCell ref="C50:C52"/>
    <mergeCell ref="A35:A49"/>
    <mergeCell ref="B35:B37"/>
    <mergeCell ref="C35:C37"/>
    <mergeCell ref="B43:B45"/>
    <mergeCell ref="C43:C45"/>
    <mergeCell ref="B39:B41"/>
    <mergeCell ref="C39:C41"/>
    <mergeCell ref="E50:E52"/>
    <mergeCell ref="F50:F52"/>
    <mergeCell ref="A55:A56"/>
    <mergeCell ref="B55:B56"/>
    <mergeCell ref="C55:C56"/>
    <mergeCell ref="D50:D52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71263-354D-4C52-9DFA-AE0E202FF2CD}">
  <dimension ref="A1:AP76"/>
  <sheetViews>
    <sheetView showGridLines="0" topLeftCell="D45" workbookViewId="0">
      <selection activeCell="K67" sqref="K67:P67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10" style="9" bestFit="1" customWidth="1"/>
    <col min="17" max="17" width="11.7109375" style="9" bestFit="1" customWidth="1"/>
    <col min="18" max="18" width="10.85546875" style="9" bestFit="1" customWidth="1"/>
    <col min="19" max="19" width="10" style="9" bestFit="1" customWidth="1"/>
    <col min="20" max="21" width="11.7109375" style="9" bestFit="1" customWidth="1"/>
    <col min="22" max="22" width="10.85546875" style="9" bestFit="1" customWidth="1"/>
    <col min="23" max="23" width="10.5703125" style="9" bestFit="1" customWidth="1"/>
    <col min="24" max="24" width="9.85546875" style="9" bestFit="1" customWidth="1"/>
    <col min="25" max="25" width="9.28515625" style="9" bestFit="1" customWidth="1"/>
    <col min="26" max="26" width="7.7109375" style="9" bestFit="1" customWidth="1"/>
    <col min="27" max="27" width="9.85546875" style="9" bestFit="1" customWidth="1"/>
    <col min="28" max="28" width="11.7109375" style="9" bestFit="1" customWidth="1"/>
    <col min="29" max="30" width="13.1406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.85546875" style="9" bestFit="1" customWidth="1"/>
    <col min="38" max="38" width="11.7109375" style="9" bestFit="1" customWidth="1"/>
    <col min="39" max="39" width="13.1406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27" t="s">
        <v>76</v>
      </c>
      <c r="B1" s="127" t="s">
        <v>77</v>
      </c>
      <c r="C1" s="127" t="s">
        <v>78</v>
      </c>
      <c r="D1" s="127" t="s">
        <v>79</v>
      </c>
      <c r="E1" s="127" t="s">
        <v>80</v>
      </c>
      <c r="F1" s="127" t="s">
        <v>15</v>
      </c>
      <c r="G1" s="127" t="s">
        <v>82</v>
      </c>
      <c r="H1" s="127" t="s">
        <v>83</v>
      </c>
      <c r="I1" s="127" t="s">
        <v>746</v>
      </c>
      <c r="J1" s="113"/>
      <c r="L1" s="125" t="s">
        <v>747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P1" s="125" t="s">
        <v>748</v>
      </c>
    </row>
    <row r="2" spans="1:42" ht="11.25" customHeight="1" x14ac:dyDescent="0.25">
      <c r="A2" s="127"/>
      <c r="B2" s="127"/>
      <c r="C2" s="127"/>
      <c r="D2" s="127"/>
      <c r="E2" s="127"/>
      <c r="F2" s="127"/>
      <c r="G2" s="127"/>
      <c r="H2" s="127"/>
      <c r="I2" s="127"/>
      <c r="J2" s="113"/>
      <c r="L2" s="125" t="s">
        <v>646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P2" s="128"/>
    </row>
    <row r="3" spans="1:42" ht="11.25" customHeight="1" x14ac:dyDescent="0.25">
      <c r="A3" s="127"/>
      <c r="B3" s="127"/>
      <c r="C3" s="127"/>
      <c r="D3" s="127"/>
      <c r="E3" s="127"/>
      <c r="F3" s="127"/>
      <c r="G3" s="127"/>
      <c r="H3" s="127"/>
      <c r="I3" s="127"/>
      <c r="J3" s="113"/>
      <c r="L3" s="125" t="s">
        <v>647</v>
      </c>
      <c r="M3" s="125"/>
      <c r="N3" s="125"/>
      <c r="O3" s="125"/>
      <c r="P3" s="125"/>
      <c r="Q3" s="125"/>
      <c r="R3" s="125"/>
      <c r="S3" s="125"/>
      <c r="T3" s="125"/>
      <c r="U3" s="125" t="s">
        <v>656</v>
      </c>
      <c r="V3" s="125"/>
      <c r="W3" s="125"/>
      <c r="X3" s="125"/>
      <c r="Y3" s="125"/>
      <c r="Z3" s="125"/>
      <c r="AA3" s="125"/>
      <c r="AB3" s="125"/>
      <c r="AC3" s="125" t="s">
        <v>664</v>
      </c>
      <c r="AD3" s="125"/>
      <c r="AE3" s="125" t="s">
        <v>666</v>
      </c>
      <c r="AF3" s="125"/>
      <c r="AG3" s="125"/>
      <c r="AH3" s="125" t="s">
        <v>669</v>
      </c>
      <c r="AI3" s="125"/>
      <c r="AJ3" s="125"/>
      <c r="AK3" s="125"/>
      <c r="AL3" s="125"/>
      <c r="AM3" s="125" t="s">
        <v>655</v>
      </c>
      <c r="AP3" s="128"/>
    </row>
    <row r="4" spans="1:42" ht="11.25" customHeight="1" x14ac:dyDescent="0.25">
      <c r="A4" s="127"/>
      <c r="B4" s="127"/>
      <c r="C4" s="127"/>
      <c r="D4" s="127"/>
      <c r="E4" s="127"/>
      <c r="F4" s="127"/>
      <c r="G4" s="127"/>
      <c r="H4" s="127"/>
      <c r="I4" s="127"/>
      <c r="J4" s="113"/>
      <c r="L4" s="10" t="s">
        <v>731</v>
      </c>
      <c r="M4" s="10" t="s">
        <v>648</v>
      </c>
      <c r="N4" s="10" t="s">
        <v>649</v>
      </c>
      <c r="O4" s="10" t="s">
        <v>650</v>
      </c>
      <c r="P4" s="10" t="s">
        <v>651</v>
      </c>
      <c r="Q4" s="10" t="s">
        <v>652</v>
      </c>
      <c r="R4" s="10" t="s">
        <v>653</v>
      </c>
      <c r="S4" s="10" t="s">
        <v>654</v>
      </c>
      <c r="T4" s="10" t="s">
        <v>655</v>
      </c>
      <c r="U4" s="10" t="s">
        <v>657</v>
      </c>
      <c r="V4" s="10" t="s">
        <v>658</v>
      </c>
      <c r="W4" s="10" t="s">
        <v>659</v>
      </c>
      <c r="X4" s="10" t="s">
        <v>660</v>
      </c>
      <c r="Y4" s="10" t="s">
        <v>661</v>
      </c>
      <c r="Z4" s="10" t="s">
        <v>662</v>
      </c>
      <c r="AA4" s="10" t="s">
        <v>663</v>
      </c>
      <c r="AB4" s="10" t="s">
        <v>655</v>
      </c>
      <c r="AC4" s="10" t="s">
        <v>665</v>
      </c>
      <c r="AD4" s="10" t="s">
        <v>655</v>
      </c>
      <c r="AE4" s="10" t="s">
        <v>667</v>
      </c>
      <c r="AF4" s="10" t="s">
        <v>668</v>
      </c>
      <c r="AG4" s="10" t="s">
        <v>655</v>
      </c>
      <c r="AH4" s="10" t="s">
        <v>670</v>
      </c>
      <c r="AI4" s="10" t="s">
        <v>671</v>
      </c>
      <c r="AJ4" s="10" t="s">
        <v>672</v>
      </c>
      <c r="AK4" s="10" t="s">
        <v>673</v>
      </c>
      <c r="AL4" s="10" t="s">
        <v>655</v>
      </c>
      <c r="AM4" s="126"/>
      <c r="AP4" s="128"/>
    </row>
    <row r="5" spans="1:42" ht="11.25" customHeight="1" x14ac:dyDescent="0.25">
      <c r="A5" s="124" t="s">
        <v>43</v>
      </c>
      <c r="B5" s="124" t="s">
        <v>44</v>
      </c>
      <c r="C5" s="124" t="s">
        <v>25</v>
      </c>
      <c r="D5" s="124" t="s">
        <v>25</v>
      </c>
      <c r="E5" s="124" t="s">
        <v>25</v>
      </c>
      <c r="F5" s="124" t="s">
        <v>25</v>
      </c>
      <c r="G5" s="28" t="s">
        <v>90</v>
      </c>
      <c r="H5" s="28" t="s">
        <v>89</v>
      </c>
      <c r="I5" s="28">
        <f>'MERCADO TUSD'!$U$2</f>
        <v>2432502</v>
      </c>
      <c r="J5" s="18"/>
      <c r="L5" s="25">
        <v>0</v>
      </c>
      <c r="M5" s="25">
        <v>0</v>
      </c>
      <c r="N5" s="25">
        <v>0</v>
      </c>
      <c r="O5" s="25">
        <v>0</v>
      </c>
      <c r="P5" s="25">
        <v>0</v>
      </c>
      <c r="Q5" s="25">
        <v>0</v>
      </c>
      <c r="R5" s="25">
        <v>0</v>
      </c>
      <c r="S5" s="25">
        <v>0</v>
      </c>
      <c r="T5" s="25"/>
      <c r="U5" s="25">
        <f>TRANSICAO!$U$5*CUSTOS!$P$3</f>
        <v>3.4963000000000002</v>
      </c>
      <c r="V5" s="25">
        <f>TRANSICAO!$V$5*CUSTOS!$P$3</f>
        <v>0.63200000000000001</v>
      </c>
      <c r="W5" s="25">
        <f>TRANSICAO!$W$5*CUSTOS!$P$3</f>
        <v>0</v>
      </c>
      <c r="X5" s="25">
        <f>TRANSICAO!$X$5*CUSTOS!$P$3</f>
        <v>0</v>
      </c>
      <c r="Y5" s="25">
        <f>TRANSICAO!$Y$5*CUSTOS!$P$3</f>
        <v>0</v>
      </c>
      <c r="Z5" s="25">
        <f>TRANSICAO!$Z$5*CUSTOS!$P$3</f>
        <v>0</v>
      </c>
      <c r="AA5" s="25">
        <f>TRANSICAO!$AA$5*CUSTOS!$P$3</f>
        <v>0</v>
      </c>
      <c r="AB5" s="25">
        <f>TRANSICAO!$AB$5*CUSTOS!$P$3</f>
        <v>0</v>
      </c>
      <c r="AC5" s="25">
        <f>TRANSICAO!$AC$5*CUSTOS!$P$3</f>
        <v>3.5468999999999999</v>
      </c>
      <c r="AD5" s="25">
        <f>TRANSICAO!$AD$5*CUSTOS!$P$3</f>
        <v>0</v>
      </c>
      <c r="AE5" s="25">
        <v>0</v>
      </c>
      <c r="AF5" s="25">
        <v>0</v>
      </c>
      <c r="AG5" s="25"/>
      <c r="AH5" s="25">
        <v>0</v>
      </c>
      <c r="AI5" s="25">
        <v>0</v>
      </c>
      <c r="AJ5" s="25">
        <v>0</v>
      </c>
      <c r="AK5" s="25">
        <f t="shared" ref="AK5:AK36" si="0">AJ5</f>
        <v>0</v>
      </c>
      <c r="AL5" s="25"/>
      <c r="AM5" s="25"/>
      <c r="AP5" s="25">
        <v>1</v>
      </c>
    </row>
    <row r="6" spans="1:42" ht="11.25" customHeight="1" x14ac:dyDescent="0.25">
      <c r="A6" s="124"/>
      <c r="B6" s="124"/>
      <c r="C6" s="124"/>
      <c r="D6" s="124"/>
      <c r="E6" s="124"/>
      <c r="F6" s="124"/>
      <c r="G6" s="28" t="s">
        <v>91</v>
      </c>
      <c r="H6" s="28" t="s">
        <v>89</v>
      </c>
      <c r="I6" s="28">
        <f>'MERCADO TUSD'!$U$3</f>
        <v>2719854</v>
      </c>
      <c r="J6" s="18"/>
      <c r="L6" s="25">
        <v>0</v>
      </c>
      <c r="M6" s="25">
        <v>0</v>
      </c>
      <c r="N6" s="25">
        <v>0</v>
      </c>
      <c r="O6" s="25">
        <v>0</v>
      </c>
      <c r="P6" s="25">
        <v>0</v>
      </c>
      <c r="Q6" s="25">
        <v>0</v>
      </c>
      <c r="R6" s="25">
        <v>0</v>
      </c>
      <c r="S6" s="25">
        <v>0</v>
      </c>
      <c r="T6" s="25"/>
      <c r="U6" s="25">
        <f>TRANSICAO!$U$6*CUSTOS!$P$3</f>
        <v>2.8552</v>
      </c>
      <c r="V6" s="25">
        <f>TRANSICAO!$V$6*CUSTOS!$P$3</f>
        <v>0.51570000000000005</v>
      </c>
      <c r="W6" s="25">
        <f>TRANSICAO!$W$6*CUSTOS!$P$3</f>
        <v>0</v>
      </c>
      <c r="X6" s="25">
        <f>TRANSICAO!$X$6*CUSTOS!$P$3</f>
        <v>0</v>
      </c>
      <c r="Y6" s="25">
        <f>TRANSICAO!$Y$6*CUSTOS!$P$3</f>
        <v>0</v>
      </c>
      <c r="Z6" s="25">
        <f>TRANSICAO!$Z$6*CUSTOS!$P$3</f>
        <v>0</v>
      </c>
      <c r="AA6" s="25">
        <f>TRANSICAO!$AA$6*CUSTOS!$P$3</f>
        <v>0</v>
      </c>
      <c r="AB6" s="25">
        <f>TRANSICAO!$AB$6*CUSTOS!$P$3</f>
        <v>0</v>
      </c>
      <c r="AC6" s="25">
        <f>TRANSICAO!$AC$6*CUSTOS!$P$3</f>
        <v>2.8832</v>
      </c>
      <c r="AD6" s="25">
        <f>TRANSICAO!$AD$6*CUSTOS!$P$3</f>
        <v>0</v>
      </c>
      <c r="AE6" s="25">
        <v>0</v>
      </c>
      <c r="AF6" s="25">
        <v>0</v>
      </c>
      <c r="AG6" s="25"/>
      <c r="AH6" s="25">
        <v>0</v>
      </c>
      <c r="AI6" s="25">
        <v>0</v>
      </c>
      <c r="AJ6" s="25">
        <v>0</v>
      </c>
      <c r="AK6" s="25">
        <f t="shared" si="0"/>
        <v>0</v>
      </c>
      <c r="AL6" s="25"/>
      <c r="AM6" s="25"/>
      <c r="AP6" s="25">
        <v>1</v>
      </c>
    </row>
    <row r="7" spans="1:42" ht="11.25" customHeight="1" x14ac:dyDescent="0.25">
      <c r="A7" s="124"/>
      <c r="B7" s="124"/>
      <c r="C7" s="124"/>
      <c r="D7" s="124"/>
      <c r="E7" s="124"/>
      <c r="F7" s="124"/>
      <c r="G7" s="28" t="s">
        <v>92</v>
      </c>
      <c r="H7" s="28" t="s">
        <v>86</v>
      </c>
      <c r="I7" s="28">
        <f>'MERCADO TUSD'!$U$4</f>
        <v>1155536.6730000002</v>
      </c>
      <c r="J7" s="18"/>
      <c r="L7" s="25">
        <f>0.67</f>
        <v>0.67</v>
      </c>
      <c r="M7" s="25">
        <f>IF(AND((+$I$7+$I$8)&lt;&gt;0,SUMPRODUCT($I$5:$I$56,$AC$5:$AC$56,$AP$5:$AP$56)&lt;&gt;0),$M$61*SUMPRODUCT($I$5:$I$9,$AC$5:$AC$9,$AP$5:$AP$9)/SUMPRODUCT($I$5:$I$56,$AC$5:$AC$56,$AP$5:$AP$56)/(+$I$7+$I$8),0)</f>
        <v>5.9233536931534124E-2</v>
      </c>
      <c r="N7" s="25">
        <f ca="1">(+M7+O7+R7+U7+V7+W7+X7+Y7+Z7+AA7+AC7+AH7+AI7+AJ7+AK7)*CUSTOS!$M$5</f>
        <v>0.57014485804312087</v>
      </c>
      <c r="O7" s="25">
        <v>1</v>
      </c>
      <c r="P7" s="25">
        <v>1</v>
      </c>
      <c r="Q7" s="25">
        <f>0.67</f>
        <v>0.67</v>
      </c>
      <c r="R7" s="25">
        <v>1</v>
      </c>
      <c r="S7" s="25">
        <v>1</v>
      </c>
      <c r="T7" s="25"/>
      <c r="U7" s="25">
        <f>TRANSICAO!$U$7*CUSTOS!$P$3</f>
        <v>0</v>
      </c>
      <c r="V7" s="25">
        <f>TRANSICAO!$V$7*CUSTOS!$P$3</f>
        <v>0</v>
      </c>
      <c r="W7" s="25">
        <f>TRANSICAO!$W$7*CUSTOS!$P$3</f>
        <v>0</v>
      </c>
      <c r="X7" s="25">
        <f>TRANSICAO!$X$7*CUSTOS!$P$3</f>
        <v>0</v>
      </c>
      <c r="Y7" s="25">
        <f>TRANSICAO!$Y$7*CUSTOS!$P$3</f>
        <v>0</v>
      </c>
      <c r="Z7" s="25">
        <f>TRANSICAO!$Z$7*CUSTOS!$P$3</f>
        <v>0</v>
      </c>
      <c r="AA7" s="25">
        <f>TRANSICAO!$AA$7*CUSTOS!$P$3</f>
        <v>0</v>
      </c>
      <c r="AB7" s="25">
        <f>TRANSICAO!$AB$7*CUSTOS!$P$3</f>
        <v>0</v>
      </c>
      <c r="AC7" s="25">
        <f>TRANSICAO!$AC$7*CUSTOS!$P$3</f>
        <v>0</v>
      </c>
      <c r="AD7" s="25">
        <f>TRANSICAO!$AD$7*CUSTOS!$P$3</f>
        <v>0</v>
      </c>
      <c r="AE7" s="25">
        <v>0</v>
      </c>
      <c r="AF7" s="25">
        <v>0</v>
      </c>
      <c r="AG7" s="25"/>
      <c r="AH7" s="25">
        <v>5.3514999999999997</v>
      </c>
      <c r="AI7" s="25">
        <v>5.3514999999999997</v>
      </c>
      <c r="AJ7" s="25">
        <f ca="1">$N$68</f>
        <v>22.126126133690278</v>
      </c>
      <c r="AK7" s="25">
        <f t="shared" ca="1" si="0"/>
        <v>22.126126133690278</v>
      </c>
      <c r="AL7" s="25"/>
      <c r="AM7" s="25"/>
      <c r="AP7" s="25">
        <v>1</v>
      </c>
    </row>
    <row r="8" spans="1:42" ht="11.25" customHeight="1" x14ac:dyDescent="0.25">
      <c r="A8" s="124"/>
      <c r="B8" s="124"/>
      <c r="C8" s="124"/>
      <c r="D8" s="124"/>
      <c r="E8" s="29" t="s">
        <v>93</v>
      </c>
      <c r="F8" s="29" t="s">
        <v>25</v>
      </c>
      <c r="G8" s="28" t="s">
        <v>92</v>
      </c>
      <c r="H8" s="28" t="s">
        <v>86</v>
      </c>
      <c r="I8" s="28">
        <f>'MERCADO TUSD'!$U$5</f>
        <v>0</v>
      </c>
      <c r="J8" s="18"/>
      <c r="L8" s="25">
        <v>0</v>
      </c>
      <c r="M8" s="25">
        <f>IF(AND((+$I$7+$I$8)&lt;&gt;0,SUMPRODUCT($I$5:$I$56,$AC$5:$AC$56,$AP$5:$AP$56)&lt;&gt;0),$M$61*SUMPRODUCT($I$5:$I$9,$AC$5:$AC$9,$AP$5:$AP$9)/SUMPRODUCT($I$5:$I$56,$AC$5:$AC$56,$AP$5:$AP$56)/(+$I$7+$I$8),0)</f>
        <v>5.9233536931534124E-2</v>
      </c>
      <c r="N8" s="25">
        <f ca="1">(+M8+O8+R8+U8+V8+W8+X8+Y8+Z8+AA8+AC8+AH8+AI8+AJ8+AK8)*CUSTOS!$M$5</f>
        <v>0.56014485804312086</v>
      </c>
      <c r="O8" s="25">
        <v>1</v>
      </c>
      <c r="P8" s="25">
        <v>0</v>
      </c>
      <c r="Q8" s="25">
        <v>0</v>
      </c>
      <c r="R8" s="25">
        <v>0</v>
      </c>
      <c r="S8" s="25">
        <v>0</v>
      </c>
      <c r="T8" s="25"/>
      <c r="U8" s="25">
        <f>TRANSICAO!$U$8*CUSTOS!$P$3</f>
        <v>0</v>
      </c>
      <c r="V8" s="25">
        <f>TRANSICAO!$V$8*CUSTOS!$P$3</f>
        <v>0</v>
      </c>
      <c r="W8" s="25">
        <f>TRANSICAO!$W$8*CUSTOS!$P$3</f>
        <v>0</v>
      </c>
      <c r="X8" s="25">
        <f>TRANSICAO!$X$8*CUSTOS!$P$3</f>
        <v>0</v>
      </c>
      <c r="Y8" s="25">
        <f>TRANSICAO!$Y$8*CUSTOS!$P$3</f>
        <v>0</v>
      </c>
      <c r="Z8" s="25">
        <f>TRANSICAO!$Z$8*CUSTOS!$P$3</f>
        <v>0</v>
      </c>
      <c r="AA8" s="25">
        <f>TRANSICAO!$AA$8*CUSTOS!$P$3</f>
        <v>0</v>
      </c>
      <c r="AB8" s="25">
        <f>TRANSICAO!$AB$8*CUSTOS!$P$3</f>
        <v>0</v>
      </c>
      <c r="AC8" s="25">
        <f>TRANSICAO!$AC$8*CUSTOS!$P$3</f>
        <v>0</v>
      </c>
      <c r="AD8" s="25">
        <f>TRANSICAO!$AD$8*CUSTOS!$P$3</f>
        <v>0</v>
      </c>
      <c r="AE8" s="25">
        <v>0</v>
      </c>
      <c r="AF8" s="25">
        <v>0</v>
      </c>
      <c r="AG8" s="25"/>
      <c r="AH8" s="25">
        <v>5.3514999999999997</v>
      </c>
      <c r="AI8" s="25">
        <v>5.3514999999999997</v>
      </c>
      <c r="AJ8" s="25">
        <f ca="1">$N$68</f>
        <v>22.126126133690278</v>
      </c>
      <c r="AK8" s="25">
        <f t="shared" ca="1" si="0"/>
        <v>22.126126133690278</v>
      </c>
      <c r="AL8" s="25"/>
      <c r="AM8" s="25"/>
      <c r="AP8" s="25">
        <v>1</v>
      </c>
    </row>
    <row r="9" spans="1:42" ht="11.25" customHeight="1" x14ac:dyDescent="0.25">
      <c r="A9" s="124"/>
      <c r="B9" s="29" t="s">
        <v>63</v>
      </c>
      <c r="C9" s="29" t="s">
        <v>25</v>
      </c>
      <c r="D9" s="29" t="s">
        <v>25</v>
      </c>
      <c r="E9" s="29" t="s">
        <v>25</v>
      </c>
      <c r="F9" s="29" t="s">
        <v>25</v>
      </c>
      <c r="G9" s="28" t="s">
        <v>9</v>
      </c>
      <c r="H9" s="28" t="s">
        <v>89</v>
      </c>
      <c r="I9" s="28">
        <f>'MERCADO TUSD'!$U$6</f>
        <v>4807736</v>
      </c>
      <c r="J9" s="18"/>
      <c r="L9" s="25">
        <v>0</v>
      </c>
      <c r="M9" s="25">
        <f>(1+CUSTOS!$M$4)*0</f>
        <v>0</v>
      </c>
      <c r="N9" s="25">
        <f>(1+CUSTOS!$M$4)*0.0969101792035211</f>
        <v>0.11742208955287003</v>
      </c>
      <c r="O9" s="25">
        <f>(1+CUSTOS!$M$4)*0</f>
        <v>0</v>
      </c>
      <c r="P9" s="25">
        <v>0</v>
      </c>
      <c r="Q9" s="25">
        <v>0</v>
      </c>
      <c r="R9" s="25">
        <v>0</v>
      </c>
      <c r="S9" s="25">
        <v>0</v>
      </c>
      <c r="T9" s="25"/>
      <c r="U9" s="25">
        <f>TRANSICAO!$U$9*CUSTOS!$P$4</f>
        <v>0</v>
      </c>
      <c r="V9" s="25">
        <f>TRANSICAO!$V$9*CUSTOS!$P$4</f>
        <v>0</v>
      </c>
      <c r="W9" s="25">
        <f>TRANSICAO!$W$9*CUSTOS!$P$4</f>
        <v>0</v>
      </c>
      <c r="X9" s="25">
        <f>TRANSICAO!$X$9*CUSTOS!$P$4</f>
        <v>0</v>
      </c>
      <c r="Y9" s="25">
        <f>TRANSICAO!$Y$9*CUSTOS!$P$4</f>
        <v>0</v>
      </c>
      <c r="Z9" s="25">
        <f>TRANSICAO!$Z$9*CUSTOS!$P$4</f>
        <v>0</v>
      </c>
      <c r="AA9" s="25">
        <f>TRANSICAO!$AA$9*CUSTOS!$P$4</f>
        <v>0</v>
      </c>
      <c r="AB9" s="25">
        <f>TRANSICAO!$AB$9*CUSTOS!$P$4</f>
        <v>0</v>
      </c>
      <c r="AC9" s="25">
        <f>TRANSICAO!$AC$9*CUSTOS!$P$4</f>
        <v>7.6304760642263529</v>
      </c>
      <c r="AD9" s="25">
        <f>TRANSICAO!$AD$9*CUSTOS!$P$4</f>
        <v>0</v>
      </c>
      <c r="AE9" s="25">
        <v>0</v>
      </c>
      <c r="AF9" s="25">
        <v>0</v>
      </c>
      <c r="AG9" s="25"/>
      <c r="AH9" s="25">
        <f>(1+CUSTOS!$M$4)*1.18273549723352</f>
        <v>1.4330720943344066</v>
      </c>
      <c r="AI9" s="25">
        <f>(1+CUSTOS!$M$4)*0</f>
        <v>0</v>
      </c>
      <c r="AJ9" s="25">
        <v>0</v>
      </c>
      <c r="AK9" s="25">
        <f t="shared" si="0"/>
        <v>0</v>
      </c>
      <c r="AL9" s="25"/>
      <c r="AM9" s="25"/>
      <c r="AP9" s="25"/>
    </row>
    <row r="10" spans="1:42" ht="11.25" customHeight="1" x14ac:dyDescent="0.25">
      <c r="A10" s="124" t="s">
        <v>35</v>
      </c>
      <c r="B10" s="124" t="s">
        <v>44</v>
      </c>
      <c r="C10" s="124" t="s">
        <v>25</v>
      </c>
      <c r="D10" s="124" t="s">
        <v>25</v>
      </c>
      <c r="E10" s="124" t="s">
        <v>25</v>
      </c>
      <c r="F10" s="124" t="s">
        <v>25</v>
      </c>
      <c r="G10" s="28" t="s">
        <v>90</v>
      </c>
      <c r="H10" s="28" t="s">
        <v>89</v>
      </c>
      <c r="I10" s="28">
        <f>'MERCADO TUSD'!$U$7</f>
        <v>1352837</v>
      </c>
      <c r="J10" s="18"/>
      <c r="L10" s="25">
        <v>0</v>
      </c>
      <c r="M10" s="25">
        <v>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0</v>
      </c>
      <c r="T10" s="25"/>
      <c r="U10" s="25">
        <f>TRANSICAO!$U$10*CUSTOS!$R$3</f>
        <v>8.5510000000000002</v>
      </c>
      <c r="V10" s="25">
        <f>TRANSICAO!$V$10*CUSTOS!$R$3</f>
        <v>1.2932999999999999</v>
      </c>
      <c r="W10" s="25">
        <f>TRANSICAO!$W$10*CUSTOS!$R$3</f>
        <v>-7.7299999999999994E-2</v>
      </c>
      <c r="X10" s="25">
        <f>TRANSICAO!$X$10*CUSTOS!$R$3</f>
        <v>0</v>
      </c>
      <c r="Y10" s="25">
        <f>TRANSICAO!$Y$10*CUSTOS!$R$3</f>
        <v>4.8099999999999997E-2</v>
      </c>
      <c r="Z10" s="25">
        <f>TRANSICAO!$Z$10*CUSTOS!$R$3</f>
        <v>0</v>
      </c>
      <c r="AA10" s="25">
        <f>TRANSICAO!$AA$10*CUSTOS!$R$3</f>
        <v>0</v>
      </c>
      <c r="AB10" s="25">
        <f>TRANSICAO!$AB$10*CUSTOS!$R$3</f>
        <v>0</v>
      </c>
      <c r="AC10" s="25">
        <f>TRANSICAO!$AC$10*CUSTOS!$R$3</f>
        <v>43.792000000000002</v>
      </c>
      <c r="AD10" s="25">
        <f>TRANSICAO!$AD$10*CUSTOS!$R$3</f>
        <v>0</v>
      </c>
      <c r="AE10" s="25">
        <v>0</v>
      </c>
      <c r="AF10" s="25">
        <v>0</v>
      </c>
      <c r="AG10" s="25"/>
      <c r="AH10" s="25">
        <v>0</v>
      </c>
      <c r="AI10" s="25">
        <v>0</v>
      </c>
      <c r="AJ10" s="25">
        <v>0</v>
      </c>
      <c r="AK10" s="25">
        <f t="shared" si="0"/>
        <v>0</v>
      </c>
      <c r="AL10" s="25"/>
      <c r="AM10" s="25"/>
      <c r="AP10" s="25">
        <v>1</v>
      </c>
    </row>
    <row r="11" spans="1:42" ht="11.25" customHeight="1" x14ac:dyDescent="0.25">
      <c r="A11" s="124"/>
      <c r="B11" s="124"/>
      <c r="C11" s="124"/>
      <c r="D11" s="124"/>
      <c r="E11" s="124"/>
      <c r="F11" s="124"/>
      <c r="G11" s="28" t="s">
        <v>91</v>
      </c>
      <c r="H11" s="28" t="s">
        <v>89</v>
      </c>
      <c r="I11" s="28">
        <f>'MERCADO TUSD'!$U$8</f>
        <v>1573792</v>
      </c>
      <c r="J11" s="18"/>
      <c r="L11" s="25">
        <v>0</v>
      </c>
      <c r="M11" s="25">
        <v>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0</v>
      </c>
      <c r="T11" s="25"/>
      <c r="U11" s="25">
        <f>TRANSICAO!$U$11*CUSTOS!$R$3</f>
        <v>5.1262999999999996</v>
      </c>
      <c r="V11" s="25">
        <f>TRANSICAO!$V$11*CUSTOS!$R$3</f>
        <v>0.80420000000000003</v>
      </c>
      <c r="W11" s="25">
        <f>TRANSICAO!$W$11*CUSTOS!$R$3</f>
        <v>-3.49E-2</v>
      </c>
      <c r="X11" s="25">
        <f>TRANSICAO!$X$11*CUSTOS!$R$3</f>
        <v>0</v>
      </c>
      <c r="Y11" s="25">
        <f>TRANSICAO!$Y$11*CUSTOS!$R$3</f>
        <v>7.6E-3</v>
      </c>
      <c r="Z11" s="25">
        <f>TRANSICAO!$Z$11*CUSTOS!$R$3</f>
        <v>0</v>
      </c>
      <c r="AA11" s="25">
        <f>TRANSICAO!$AA$11*CUSTOS!$R$3</f>
        <v>0</v>
      </c>
      <c r="AB11" s="25">
        <f>TRANSICAO!$AB$11*CUSTOS!$R$3</f>
        <v>0</v>
      </c>
      <c r="AC11" s="25">
        <f>TRANSICAO!$AC$11*CUSTOS!$R$3</f>
        <v>23.074100000000001</v>
      </c>
      <c r="AD11" s="25">
        <f>TRANSICAO!$AD$11*CUSTOS!$R$3</f>
        <v>0</v>
      </c>
      <c r="AE11" s="25">
        <v>0</v>
      </c>
      <c r="AF11" s="25">
        <v>0</v>
      </c>
      <c r="AG11" s="25"/>
      <c r="AH11" s="25">
        <v>0</v>
      </c>
      <c r="AI11" s="25">
        <v>0</v>
      </c>
      <c r="AJ11" s="25">
        <v>0</v>
      </c>
      <c r="AK11" s="25">
        <f t="shared" si="0"/>
        <v>0</v>
      </c>
      <c r="AL11" s="25"/>
      <c r="AM11" s="25"/>
      <c r="AP11" s="25">
        <v>1</v>
      </c>
    </row>
    <row r="12" spans="1:42" ht="11.25" customHeight="1" x14ac:dyDescent="0.25">
      <c r="A12" s="124"/>
      <c r="B12" s="124"/>
      <c r="C12" s="124"/>
      <c r="D12" s="124"/>
      <c r="E12" s="124"/>
      <c r="F12" s="124"/>
      <c r="G12" s="28" t="s">
        <v>92</v>
      </c>
      <c r="H12" s="28" t="s">
        <v>86</v>
      </c>
      <c r="I12" s="28">
        <f>'MERCADO TUSD'!$U$9</f>
        <v>571563.16599999997</v>
      </c>
      <c r="J12" s="18"/>
      <c r="L12" s="25">
        <f>0.87</f>
        <v>0.87</v>
      </c>
      <c r="M12" s="25">
        <f>IF(AND((+$I$12+$I$13+$I$16+$I$17+$I$18+$I$19)&lt;&gt;0,SUMPRODUCT($I$5:$I$56,$AC$5:$AC$56,$AP$5:$AP$56)&lt;&gt;0),$M$61*SUMPRODUCT($I$10:$I$19,$AC$10:$AC$19,$AP$10:$AP$19)/SUMPRODUCT($I$5:$I$56,$AC$5:$AC$56,$AP$5:$AP$56)/(+$I$12+$I$13+$I$16+$I$17+$I$18+$I$19),0)</f>
        <v>0.76686252302442592</v>
      </c>
      <c r="N12" s="25">
        <f ca="1">(+M12+O12+R12+U12+V12+W12+X12+Y12+Z12+AA12+AC12+AH12+AI12+AJ12+AK12)*CUSTOS!$M$5</f>
        <v>2.1785170618363678</v>
      </c>
      <c r="O12" s="25">
        <v>1</v>
      </c>
      <c r="P12" s="25">
        <v>1</v>
      </c>
      <c r="Q12" s="25">
        <f>0.87</f>
        <v>0.87</v>
      </c>
      <c r="R12" s="25">
        <v>1</v>
      </c>
      <c r="S12" s="25">
        <v>1</v>
      </c>
      <c r="T12" s="25"/>
      <c r="U12" s="25">
        <f>TRANSICAO!$U$12*CUSTOS!$R$3</f>
        <v>0</v>
      </c>
      <c r="V12" s="25">
        <f>TRANSICAO!$V$12*CUSTOS!$R$3</f>
        <v>0</v>
      </c>
      <c r="W12" s="25">
        <f>TRANSICAO!$W$12*CUSTOS!$R$3</f>
        <v>0</v>
      </c>
      <c r="X12" s="25">
        <f>TRANSICAO!$X$12*CUSTOS!$R$3</f>
        <v>0</v>
      </c>
      <c r="Y12" s="25">
        <f>TRANSICAO!$Y$12*CUSTOS!$R$3</f>
        <v>0</v>
      </c>
      <c r="Z12" s="25">
        <f>TRANSICAO!$Z$12*CUSTOS!$R$3</f>
        <v>0</v>
      </c>
      <c r="AA12" s="25">
        <f>TRANSICAO!$AA$12*CUSTOS!$R$3</f>
        <v>0</v>
      </c>
      <c r="AB12" s="25">
        <f>TRANSICAO!$AB$12*CUSTOS!$R$3</f>
        <v>0</v>
      </c>
      <c r="AC12" s="25">
        <f>TRANSICAO!$AC$12*CUSTOS!$R$3</f>
        <v>0</v>
      </c>
      <c r="AD12" s="25">
        <f>TRANSICAO!$AD$12*CUSTOS!$R$3</f>
        <v>0</v>
      </c>
      <c r="AE12" s="25">
        <v>0</v>
      </c>
      <c r="AF12" s="25">
        <v>0</v>
      </c>
      <c r="AG12" s="25"/>
      <c r="AH12" s="25">
        <v>11.6669</v>
      </c>
      <c r="AI12" s="25">
        <v>11.6669</v>
      </c>
      <c r="AJ12" s="25">
        <f ca="1">$N$69</f>
        <v>95.87552183030617</v>
      </c>
      <c r="AK12" s="25">
        <f t="shared" ca="1" si="0"/>
        <v>95.87552183030617</v>
      </c>
      <c r="AL12" s="25"/>
      <c r="AM12" s="25"/>
      <c r="AP12" s="25">
        <v>1</v>
      </c>
    </row>
    <row r="13" spans="1:42" ht="11.25" customHeight="1" x14ac:dyDescent="0.25">
      <c r="A13" s="124"/>
      <c r="B13" s="124"/>
      <c r="C13" s="124"/>
      <c r="D13" s="124"/>
      <c r="E13" s="29" t="s">
        <v>93</v>
      </c>
      <c r="F13" s="29" t="s">
        <v>25</v>
      </c>
      <c r="G13" s="28" t="s">
        <v>92</v>
      </c>
      <c r="H13" s="28" t="s">
        <v>86</v>
      </c>
      <c r="I13" s="28">
        <f>'MERCADO TUSD'!$U$10</f>
        <v>0</v>
      </c>
      <c r="J13" s="18"/>
      <c r="L13" s="25">
        <v>0</v>
      </c>
      <c r="M13" s="25">
        <f>IF(AND((+$I$12+$I$13+$I$16+$I$17+$I$18+$I$19)&lt;&gt;0,SUMPRODUCT($I$5:$I$56,$AC$5:$AC$56,$AP$5:$AP$56)&lt;&gt;0),$M$61*SUMPRODUCT($I$10:$I$19,$AC$10:$AC$19,$AP$10:$AP$19)/SUMPRODUCT($I$5:$I$56,$AC$5:$AC$56,$AP$5:$AP$56)/(+$I$12+$I$13+$I$16+$I$17+$I$18+$I$19),0)</f>
        <v>0.76686252302442592</v>
      </c>
      <c r="N13" s="25">
        <f ca="1">(+M13+O13+R13+U13+V13+W13+X13+Y13+Z13+AA13+AC13+AH13+AI13+AJ13+AK13)*CUSTOS!$M$5</f>
        <v>2.1685170618363676</v>
      </c>
      <c r="O13" s="25">
        <v>1</v>
      </c>
      <c r="P13" s="25">
        <v>0</v>
      </c>
      <c r="Q13" s="25">
        <v>0</v>
      </c>
      <c r="R13" s="25">
        <v>0</v>
      </c>
      <c r="S13" s="25">
        <v>0</v>
      </c>
      <c r="T13" s="25"/>
      <c r="U13" s="25">
        <f>TRANSICAO!$U$13*CUSTOS!$R$3</f>
        <v>0</v>
      </c>
      <c r="V13" s="25">
        <f>TRANSICAO!$V$13*CUSTOS!$R$3</f>
        <v>0</v>
      </c>
      <c r="W13" s="25">
        <f>TRANSICAO!$W$13*CUSTOS!$R$3</f>
        <v>0</v>
      </c>
      <c r="X13" s="25">
        <f>TRANSICAO!$X$13*CUSTOS!$R$3</f>
        <v>0</v>
      </c>
      <c r="Y13" s="25">
        <f>TRANSICAO!$Y$13*CUSTOS!$R$3</f>
        <v>0</v>
      </c>
      <c r="Z13" s="25">
        <f>TRANSICAO!$Z$13*CUSTOS!$R$3</f>
        <v>0</v>
      </c>
      <c r="AA13" s="25">
        <f>TRANSICAO!$AA$13*CUSTOS!$R$3</f>
        <v>0</v>
      </c>
      <c r="AB13" s="25">
        <f>TRANSICAO!$AB$13*CUSTOS!$R$3</f>
        <v>0</v>
      </c>
      <c r="AC13" s="25">
        <f>TRANSICAO!$AC$13*CUSTOS!$R$3</f>
        <v>0</v>
      </c>
      <c r="AD13" s="25">
        <f>TRANSICAO!$AD$13*CUSTOS!$R$3</f>
        <v>0</v>
      </c>
      <c r="AE13" s="25">
        <v>0</v>
      </c>
      <c r="AF13" s="25">
        <v>0</v>
      </c>
      <c r="AG13" s="25"/>
      <c r="AH13" s="25">
        <v>11.6669</v>
      </c>
      <c r="AI13" s="25">
        <v>11.6669</v>
      </c>
      <c r="AJ13" s="25">
        <f ca="1">$N$69</f>
        <v>95.87552183030617</v>
      </c>
      <c r="AK13" s="25">
        <f t="shared" ca="1" si="0"/>
        <v>95.87552183030617</v>
      </c>
      <c r="AL13" s="25"/>
      <c r="AM13" s="25"/>
      <c r="AP13" s="25">
        <v>1</v>
      </c>
    </row>
    <row r="14" spans="1:42" ht="11.25" customHeight="1" x14ac:dyDescent="0.25">
      <c r="A14" s="124"/>
      <c r="B14" s="29" t="s">
        <v>63</v>
      </c>
      <c r="C14" s="29" t="s">
        <v>25</v>
      </c>
      <c r="D14" s="29" t="s">
        <v>25</v>
      </c>
      <c r="E14" s="29" t="s">
        <v>25</v>
      </c>
      <c r="F14" s="29" t="s">
        <v>25</v>
      </c>
      <c r="G14" s="28" t="s">
        <v>9</v>
      </c>
      <c r="H14" s="28" t="s">
        <v>89</v>
      </c>
      <c r="I14" s="28">
        <f>'MERCADO TUSD'!$U$11</f>
        <v>0</v>
      </c>
      <c r="J14" s="18"/>
      <c r="L14" s="25">
        <v>0</v>
      </c>
      <c r="M14" s="25">
        <v>7.9000000000000001E-2</v>
      </c>
      <c r="N14" s="25">
        <f>0.1983</f>
        <v>0.1983</v>
      </c>
      <c r="O14" s="25">
        <v>0</v>
      </c>
      <c r="P14" s="25">
        <v>0</v>
      </c>
      <c r="Q14" s="25">
        <v>0</v>
      </c>
      <c r="R14" s="25">
        <v>0</v>
      </c>
      <c r="S14" s="25">
        <v>0</v>
      </c>
      <c r="T14" s="25"/>
      <c r="U14" s="25">
        <f>TRANSICAO!$U$14*CUSTOS!$R$4</f>
        <v>0</v>
      </c>
      <c r="V14" s="25">
        <f>TRANSICAO!$V$14*CUSTOS!$R$4</f>
        <v>0</v>
      </c>
      <c r="W14" s="25">
        <f>TRANSICAO!$W$14*CUSTOS!$R$4</f>
        <v>0</v>
      </c>
      <c r="X14" s="25">
        <f>TRANSICAO!$X$14*CUSTOS!$R$4</f>
        <v>0</v>
      </c>
      <c r="Y14" s="25">
        <f>TRANSICAO!$Y$14*CUSTOS!$R$4</f>
        <v>0</v>
      </c>
      <c r="Z14" s="25">
        <f>TRANSICAO!$Z$14*CUSTOS!$R$4</f>
        <v>0</v>
      </c>
      <c r="AA14" s="25">
        <f>TRANSICAO!$AA$14*CUSTOS!$R$4</f>
        <v>0</v>
      </c>
      <c r="AB14" s="25">
        <f>TRANSICAO!$AB$14*CUSTOS!$R$4</f>
        <v>0</v>
      </c>
      <c r="AC14" s="25">
        <f>TRANSICAO!$AC$14*CUSTOS!$R$4</f>
        <v>19.7483</v>
      </c>
      <c r="AD14" s="25">
        <f>TRANSICAO!$AD$14*CUSTOS!$R$4</f>
        <v>0</v>
      </c>
      <c r="AE14" s="25">
        <v>0</v>
      </c>
      <c r="AF14" s="25">
        <v>0</v>
      </c>
      <c r="AG14" s="25"/>
      <c r="AH14" s="25">
        <v>0</v>
      </c>
      <c r="AI14" s="25">
        <v>0</v>
      </c>
      <c r="AJ14" s="25">
        <v>0</v>
      </c>
      <c r="AK14" s="25">
        <f t="shared" si="0"/>
        <v>0</v>
      </c>
      <c r="AL14" s="25"/>
      <c r="AM14" s="25"/>
      <c r="AP14" s="25"/>
    </row>
    <row r="15" spans="1:42" ht="11.25" customHeight="1" x14ac:dyDescent="0.25">
      <c r="A15" s="124"/>
      <c r="B15" s="124" t="s">
        <v>36</v>
      </c>
      <c r="C15" s="124" t="s">
        <v>25</v>
      </c>
      <c r="D15" s="124" t="s">
        <v>25</v>
      </c>
      <c r="E15" s="124" t="s">
        <v>25</v>
      </c>
      <c r="F15" s="124" t="s">
        <v>25</v>
      </c>
      <c r="G15" s="28" t="s">
        <v>9</v>
      </c>
      <c r="H15" s="28" t="s">
        <v>89</v>
      </c>
      <c r="I15" s="28">
        <f>'MERCADO TUSD'!$U$12</f>
        <v>6127957</v>
      </c>
      <c r="J15" s="18"/>
      <c r="L15" s="25">
        <v>0</v>
      </c>
      <c r="M15" s="25">
        <v>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0</v>
      </c>
      <c r="T15" s="25"/>
      <c r="U15" s="25">
        <f>TRANSICAO!$U$15*CUSTOS!$R$3</f>
        <v>5.1262999999999996</v>
      </c>
      <c r="V15" s="25">
        <f>TRANSICAO!$V$15*CUSTOS!$R$3</f>
        <v>0.80420000000000003</v>
      </c>
      <c r="W15" s="25">
        <f>TRANSICAO!$W$15*CUSTOS!$R$3</f>
        <v>-3.49E-2</v>
      </c>
      <c r="X15" s="25">
        <f>TRANSICAO!$X$15*CUSTOS!$R$3</f>
        <v>0</v>
      </c>
      <c r="Y15" s="25">
        <f>TRANSICAO!$Y$15*CUSTOS!$R$3</f>
        <v>7.6E-3</v>
      </c>
      <c r="Z15" s="25">
        <f>TRANSICAO!$Z$15*CUSTOS!$R$3</f>
        <v>0</v>
      </c>
      <c r="AA15" s="25">
        <f>TRANSICAO!$AA$15*CUSTOS!$R$3</f>
        <v>0</v>
      </c>
      <c r="AB15" s="25">
        <f>TRANSICAO!$AB$15*CUSTOS!$R$3</f>
        <v>0</v>
      </c>
      <c r="AC15" s="25">
        <f>TRANSICAO!$AC$15*CUSTOS!$R$3</f>
        <v>23.074100000000001</v>
      </c>
      <c r="AD15" s="25">
        <f>TRANSICAO!$AD$15*CUSTOS!$R$3</f>
        <v>0</v>
      </c>
      <c r="AE15" s="25">
        <v>0</v>
      </c>
      <c r="AF15" s="25">
        <v>0</v>
      </c>
      <c r="AG15" s="25"/>
      <c r="AH15" s="25">
        <v>0</v>
      </c>
      <c r="AI15" s="25">
        <v>0</v>
      </c>
      <c r="AJ15" s="25">
        <v>0</v>
      </c>
      <c r="AK15" s="25">
        <f t="shared" si="0"/>
        <v>0</v>
      </c>
      <c r="AL15" s="25"/>
      <c r="AM15" s="25"/>
      <c r="AP15" s="25">
        <v>1</v>
      </c>
    </row>
    <row r="16" spans="1:42" ht="11.25" customHeight="1" x14ac:dyDescent="0.25">
      <c r="A16" s="124"/>
      <c r="B16" s="124"/>
      <c r="C16" s="124"/>
      <c r="D16" s="124"/>
      <c r="E16" s="124"/>
      <c r="F16" s="124"/>
      <c r="G16" s="28" t="s">
        <v>87</v>
      </c>
      <c r="H16" s="28" t="s">
        <v>86</v>
      </c>
      <c r="I16" s="28">
        <f>'MERCADO TUSD'!$U$13</f>
        <v>91326.053000000014</v>
      </c>
      <c r="J16" s="18"/>
      <c r="L16" s="25">
        <f>0.87</f>
        <v>0.87</v>
      </c>
      <c r="M16" s="25">
        <f>IF(AND((+$I$12+$I$13+$I$16+$I$17+$I$18+$I$19)&lt;&gt;0,SUMPRODUCT($I$5:$I$56,$AC$5:$AC$56,$AP$5:$AP$56)&lt;&gt;0),$M$61*SUMPRODUCT($I$10:$I$19,$AC$10:$AC$19,$AP$10:$AP$19)/SUMPRODUCT($I$5:$I$56,$AC$5:$AC$56,$AP$5:$AP$56)/(+$I$12+$I$13+$I$16+$I$17+$I$18+$I$19),0)</f>
        <v>0.76686252302442592</v>
      </c>
      <c r="N16" s="25">
        <f ca="1">(+M16+O16+R16+U16+V16+W16+X16+Y16+Z16+AA16+AC16+AH16+AI16+AJ16+AK16)*CUSTOS!$M$5</f>
        <v>15.071070061836366</v>
      </c>
      <c r="O16" s="25">
        <v>1</v>
      </c>
      <c r="P16" s="25">
        <v>1</v>
      </c>
      <c r="Q16" s="25">
        <f>0.87</f>
        <v>0.87</v>
      </c>
      <c r="R16" s="25">
        <v>1</v>
      </c>
      <c r="S16" s="25">
        <v>1</v>
      </c>
      <c r="T16" s="25"/>
      <c r="U16" s="25">
        <f>TRANSICAO!$U$16*CUSTOS!$R$3</f>
        <v>205.65260000000001</v>
      </c>
      <c r="V16" s="25">
        <f>TRANSICAO!$V$16*CUSTOS!$R$3</f>
        <v>31.104600000000001</v>
      </c>
      <c r="W16" s="25">
        <f>TRANSICAO!$W$16*CUSTOS!$R$3</f>
        <v>-1.8579000000000001</v>
      </c>
      <c r="X16" s="25">
        <f>TRANSICAO!$X$16*CUSTOS!$R$3</f>
        <v>0</v>
      </c>
      <c r="Y16" s="25">
        <f>TRANSICAO!$Y$16*CUSTOS!$R$3</f>
        <v>1.1571</v>
      </c>
      <c r="Z16" s="25">
        <f>TRANSICAO!$Z$16*CUSTOS!$R$3</f>
        <v>0</v>
      </c>
      <c r="AA16" s="25">
        <f>TRANSICAO!$AA$16*CUSTOS!$R$3</f>
        <v>0</v>
      </c>
      <c r="AB16" s="25">
        <f>TRANSICAO!$AB$16*CUSTOS!$R$3</f>
        <v>0</v>
      </c>
      <c r="AC16" s="25">
        <f>TRANSICAO!$AC$16*CUSTOS!$R$3</f>
        <v>1053.1989000000001</v>
      </c>
      <c r="AD16" s="25">
        <f>TRANSICAO!$AD$16*CUSTOS!$R$3</f>
        <v>0</v>
      </c>
      <c r="AE16" s="25">
        <v>0</v>
      </c>
      <c r="AF16" s="25">
        <v>0</v>
      </c>
      <c r="AG16" s="25"/>
      <c r="AH16" s="25">
        <v>11.6669</v>
      </c>
      <c r="AI16" s="25">
        <v>11.6669</v>
      </c>
      <c r="AJ16" s="25">
        <f ca="1">$N$69</f>
        <v>95.87552183030617</v>
      </c>
      <c r="AK16" s="25">
        <f t="shared" ca="1" si="0"/>
        <v>95.87552183030617</v>
      </c>
      <c r="AL16" s="25"/>
      <c r="AM16" s="25"/>
      <c r="AP16" s="25">
        <v>1</v>
      </c>
    </row>
    <row r="17" spans="1:42" ht="11.25" customHeight="1" x14ac:dyDescent="0.25">
      <c r="A17" s="124"/>
      <c r="B17" s="124"/>
      <c r="C17" s="124"/>
      <c r="D17" s="124"/>
      <c r="E17" s="124"/>
      <c r="F17" s="124"/>
      <c r="G17" s="28" t="s">
        <v>88</v>
      </c>
      <c r="H17" s="28" t="s">
        <v>86</v>
      </c>
      <c r="I17" s="28">
        <f>'MERCADO TUSD'!$U$14</f>
        <v>1142508.3459999999</v>
      </c>
      <c r="J17" s="18"/>
      <c r="L17" s="25">
        <f>0.87</f>
        <v>0.87</v>
      </c>
      <c r="M17" s="25">
        <f>IF(AND((+$I$12+$I$13+$I$16+$I$17+$I$18+$I$19)&lt;&gt;0,SUMPRODUCT($I$5:$I$56,$AC$5:$AC$56,$AP$5:$AP$56)&lt;&gt;0),$M$61*SUMPRODUCT($I$10:$I$19,$AC$10:$AC$19,$AP$10:$AP$19)/SUMPRODUCT($I$5:$I$56,$AC$5:$AC$56,$AP$5:$AP$56)/(+$I$12+$I$13+$I$16+$I$17+$I$18+$I$19),0)</f>
        <v>0.76686252302442592</v>
      </c>
      <c r="N17" s="25">
        <f ca="1">(+M17+O17+R17+U17+V17+W17+X17+Y17+Z17+AA17+AC17+AH17+AI17+AJ17+AK17)*CUSTOS!$M$5</f>
        <v>2.1785170618363678</v>
      </c>
      <c r="O17" s="25">
        <v>1</v>
      </c>
      <c r="P17" s="25">
        <v>1</v>
      </c>
      <c r="Q17" s="25">
        <f>0.87</f>
        <v>0.87</v>
      </c>
      <c r="R17" s="25">
        <v>1</v>
      </c>
      <c r="S17" s="25">
        <v>1</v>
      </c>
      <c r="T17" s="25"/>
      <c r="U17" s="25">
        <f>TRANSICAO!$U$17*CUSTOS!$R$3</f>
        <v>0</v>
      </c>
      <c r="V17" s="25">
        <f>TRANSICAO!$V$17*CUSTOS!$R$3</f>
        <v>0</v>
      </c>
      <c r="W17" s="25">
        <f>TRANSICAO!$W$17*CUSTOS!$R$3</f>
        <v>0</v>
      </c>
      <c r="X17" s="25">
        <f>TRANSICAO!$X$17*CUSTOS!$R$3</f>
        <v>0</v>
      </c>
      <c r="Y17" s="25">
        <f>TRANSICAO!$Y$17*CUSTOS!$R$3</f>
        <v>0</v>
      </c>
      <c r="Z17" s="25">
        <f>TRANSICAO!$Z$17*CUSTOS!$R$3</f>
        <v>0</v>
      </c>
      <c r="AA17" s="25">
        <f>TRANSICAO!$AA$17*CUSTOS!$R$3</f>
        <v>0</v>
      </c>
      <c r="AB17" s="25">
        <f>TRANSICAO!$AB$17*CUSTOS!$R$3</f>
        <v>0</v>
      </c>
      <c r="AC17" s="25">
        <f>TRANSICAO!$AC$17*CUSTOS!$R$3</f>
        <v>0</v>
      </c>
      <c r="AD17" s="25">
        <f>TRANSICAO!$AD$17*CUSTOS!$R$3</f>
        <v>0</v>
      </c>
      <c r="AE17" s="25">
        <v>0</v>
      </c>
      <c r="AF17" s="25">
        <v>0</v>
      </c>
      <c r="AG17" s="25"/>
      <c r="AH17" s="25">
        <v>11.6669</v>
      </c>
      <c r="AI17" s="25">
        <v>11.6669</v>
      </c>
      <c r="AJ17" s="25">
        <f ca="1">$N$69</f>
        <v>95.87552183030617</v>
      </c>
      <c r="AK17" s="25">
        <f t="shared" ca="1" si="0"/>
        <v>95.87552183030617</v>
      </c>
      <c r="AL17" s="25"/>
      <c r="AM17" s="25"/>
      <c r="AP17" s="25">
        <v>1</v>
      </c>
    </row>
    <row r="18" spans="1:42" ht="11.25" customHeight="1" x14ac:dyDescent="0.25">
      <c r="A18" s="124"/>
      <c r="B18" s="124"/>
      <c r="C18" s="124"/>
      <c r="D18" s="124"/>
      <c r="E18" s="124" t="s">
        <v>93</v>
      </c>
      <c r="F18" s="124" t="s">
        <v>25</v>
      </c>
      <c r="G18" s="28" t="s">
        <v>87</v>
      </c>
      <c r="H18" s="28" t="s">
        <v>86</v>
      </c>
      <c r="I18" s="28">
        <f>'MERCADO TUSD'!$U$15</f>
        <v>0</v>
      </c>
      <c r="J18" s="18"/>
      <c r="L18" s="25">
        <v>0</v>
      </c>
      <c r="M18" s="25">
        <f>IF(AND((+$I$12+$I$13+$I$16+$I$17+$I$18+$I$19)&lt;&gt;0,SUMPRODUCT($I$5:$I$56,$AC$5:$AC$56,$AP$5:$AP$56)&lt;&gt;0),$M$61*SUMPRODUCT($I$10:$I$19,$AC$10:$AC$19,$AP$10:$AP$19)/SUMPRODUCT($I$5:$I$56,$AC$5:$AC$56,$AP$5:$AP$56)/(+$I$12+$I$13+$I$16+$I$17+$I$18+$I$19),0)</f>
        <v>0.76686252302442592</v>
      </c>
      <c r="N18" s="25">
        <f ca="1">(+M18+O18+R18+U18+V18+W18+X18+Y18+Z18+AA18+AC18+AH18+AI18+AJ18+AK18)*CUSTOS!$M$5</f>
        <v>15.061070061836364</v>
      </c>
      <c r="O18" s="25">
        <v>1</v>
      </c>
      <c r="P18" s="25">
        <v>0</v>
      </c>
      <c r="Q18" s="25">
        <v>0</v>
      </c>
      <c r="R18" s="25">
        <v>0</v>
      </c>
      <c r="S18" s="25">
        <v>0</v>
      </c>
      <c r="T18" s="25"/>
      <c r="U18" s="25">
        <f>TRANSICAO!$U$18*CUSTOS!$R$3</f>
        <v>205.65260000000001</v>
      </c>
      <c r="V18" s="25">
        <f>TRANSICAO!$V$18*CUSTOS!$R$3</f>
        <v>31.104600000000001</v>
      </c>
      <c r="W18" s="25">
        <f>TRANSICAO!$W$18*CUSTOS!$R$3</f>
        <v>-1.8579000000000001</v>
      </c>
      <c r="X18" s="25">
        <f>TRANSICAO!$X$18*CUSTOS!$R$3</f>
        <v>0</v>
      </c>
      <c r="Y18" s="25">
        <f>TRANSICAO!$Y$18*CUSTOS!$R$3</f>
        <v>1.1571</v>
      </c>
      <c r="Z18" s="25">
        <f>TRANSICAO!$Z$18*CUSTOS!$R$3</f>
        <v>0</v>
      </c>
      <c r="AA18" s="25">
        <f>TRANSICAO!$AA$18*CUSTOS!$R$3</f>
        <v>0</v>
      </c>
      <c r="AB18" s="25">
        <f>TRANSICAO!$AB$18*CUSTOS!$R$3</f>
        <v>0</v>
      </c>
      <c r="AC18" s="25">
        <f>TRANSICAO!$AC$18*CUSTOS!$R$3</f>
        <v>1053.1989000000001</v>
      </c>
      <c r="AD18" s="25">
        <f>TRANSICAO!$AD$18*CUSTOS!$R$3</f>
        <v>0</v>
      </c>
      <c r="AE18" s="25">
        <v>0</v>
      </c>
      <c r="AF18" s="25">
        <v>0</v>
      </c>
      <c r="AG18" s="25"/>
      <c r="AH18" s="25">
        <v>11.6669</v>
      </c>
      <c r="AI18" s="25">
        <v>11.6669</v>
      </c>
      <c r="AJ18" s="25">
        <f ca="1">$N$69</f>
        <v>95.87552183030617</v>
      </c>
      <c r="AK18" s="25">
        <f t="shared" ca="1" si="0"/>
        <v>95.87552183030617</v>
      </c>
      <c r="AL18" s="25"/>
      <c r="AM18" s="25"/>
      <c r="AP18" s="25">
        <v>1</v>
      </c>
    </row>
    <row r="19" spans="1:42" ht="11.25" customHeight="1" x14ac:dyDescent="0.25">
      <c r="A19" s="124"/>
      <c r="B19" s="124"/>
      <c r="C19" s="124"/>
      <c r="D19" s="124"/>
      <c r="E19" s="124"/>
      <c r="F19" s="124"/>
      <c r="G19" s="28" t="s">
        <v>88</v>
      </c>
      <c r="H19" s="28" t="s">
        <v>86</v>
      </c>
      <c r="I19" s="28">
        <f>'MERCADO TUSD'!$U$16</f>
        <v>0</v>
      </c>
      <c r="J19" s="18"/>
      <c r="L19" s="25">
        <v>0</v>
      </c>
      <c r="M19" s="25">
        <f>IF(AND((+$I$12+$I$13+$I$16+$I$17+$I$18+$I$19)&lt;&gt;0,SUMPRODUCT($I$5:$I$56,$AC$5:$AC$56,$AP$5:$AP$56)&lt;&gt;0),$M$61*SUMPRODUCT($I$10:$I$19,$AC$10:$AC$19,$AP$10:$AP$19)/SUMPRODUCT($I$5:$I$56,$AC$5:$AC$56,$AP$5:$AP$56)/(+$I$12+$I$13+$I$16+$I$17+$I$18+$I$19),0)</f>
        <v>0.76686252302442592</v>
      </c>
      <c r="N19" s="25">
        <f ca="1">(+M19+O19+R19+U19+V19+W19+X19+Y19+Z19+AA19+AC19+AH19+AI19+AJ19+AK19)*CUSTOS!$M$5</f>
        <v>2.1685170618363676</v>
      </c>
      <c r="O19" s="25">
        <v>1</v>
      </c>
      <c r="P19" s="25">
        <v>0</v>
      </c>
      <c r="Q19" s="25">
        <v>0</v>
      </c>
      <c r="R19" s="25">
        <v>0</v>
      </c>
      <c r="S19" s="25">
        <v>0</v>
      </c>
      <c r="T19" s="25"/>
      <c r="U19" s="25">
        <f>TRANSICAO!$U$19*CUSTOS!$R$3</f>
        <v>0</v>
      </c>
      <c r="V19" s="25">
        <f>TRANSICAO!$V$19*CUSTOS!$R$3</f>
        <v>0</v>
      </c>
      <c r="W19" s="25">
        <f>TRANSICAO!$W$19*CUSTOS!$R$3</f>
        <v>0</v>
      </c>
      <c r="X19" s="25">
        <f>TRANSICAO!$X$19*CUSTOS!$R$3</f>
        <v>0</v>
      </c>
      <c r="Y19" s="25">
        <f>TRANSICAO!$Y$19*CUSTOS!$R$3</f>
        <v>0</v>
      </c>
      <c r="Z19" s="25">
        <f>TRANSICAO!$Z$19*CUSTOS!$R$3</f>
        <v>0</v>
      </c>
      <c r="AA19" s="25">
        <f>TRANSICAO!$AA$19*CUSTOS!$R$3</f>
        <v>0</v>
      </c>
      <c r="AB19" s="25">
        <f>TRANSICAO!$AB$19*CUSTOS!$R$3</f>
        <v>0</v>
      </c>
      <c r="AC19" s="25">
        <f>TRANSICAO!$AC$19*CUSTOS!$R$3</f>
        <v>0</v>
      </c>
      <c r="AD19" s="25">
        <f>TRANSICAO!$AD$19*CUSTOS!$R$3</f>
        <v>0</v>
      </c>
      <c r="AE19" s="25">
        <v>0</v>
      </c>
      <c r="AF19" s="25">
        <v>0</v>
      </c>
      <c r="AG19" s="25"/>
      <c r="AH19" s="25">
        <v>11.6669</v>
      </c>
      <c r="AI19" s="25">
        <v>11.6669</v>
      </c>
      <c r="AJ19" s="25">
        <f ca="1">$N$69</f>
        <v>95.87552183030617</v>
      </c>
      <c r="AK19" s="25">
        <f t="shared" ca="1" si="0"/>
        <v>95.87552183030617</v>
      </c>
      <c r="AL19" s="25"/>
      <c r="AM19" s="25"/>
      <c r="AP19" s="25">
        <v>1</v>
      </c>
    </row>
    <row r="20" spans="1:42" ht="11.25" customHeight="1" x14ac:dyDescent="0.25">
      <c r="A20" s="124" t="s">
        <v>95</v>
      </c>
      <c r="B20" s="124" t="s">
        <v>63</v>
      </c>
      <c r="C20" s="124" t="s">
        <v>25</v>
      </c>
      <c r="D20" s="124" t="s">
        <v>25</v>
      </c>
      <c r="E20" s="29" t="s">
        <v>96</v>
      </c>
      <c r="F20" s="29" t="s">
        <v>25</v>
      </c>
      <c r="G20" s="28" t="s">
        <v>9</v>
      </c>
      <c r="H20" s="28" t="s">
        <v>89</v>
      </c>
      <c r="I20" s="28">
        <f>'MERCADO TUSD'!$U$17+0.00000001</f>
        <v>1E-8</v>
      </c>
      <c r="J20" s="18"/>
      <c r="L20" s="25">
        <v>0</v>
      </c>
      <c r="M20" s="25">
        <v>8.2000000000000007E-3</v>
      </c>
      <c r="N20" s="25">
        <f>0.0206</f>
        <v>2.06E-2</v>
      </c>
      <c r="O20" s="25">
        <v>0</v>
      </c>
      <c r="P20" s="25">
        <v>0</v>
      </c>
      <c r="Q20" s="25">
        <v>0</v>
      </c>
      <c r="R20" s="25">
        <v>0</v>
      </c>
      <c r="S20" s="25">
        <v>0</v>
      </c>
      <c r="T20" s="25"/>
      <c r="U20" s="25">
        <f>TRANSICAO!$U$20*CUSTOS!$T$4</f>
        <v>0</v>
      </c>
      <c r="V20" s="25">
        <f>TRANSICAO!$V$20*CUSTOS!$T$4</f>
        <v>0</v>
      </c>
      <c r="W20" s="25">
        <f>TRANSICAO!$W$20*CUSTOS!$T$4</f>
        <v>0</v>
      </c>
      <c r="X20" s="25">
        <f>TRANSICAO!$X$20*CUSTOS!$T$4</f>
        <v>0</v>
      </c>
      <c r="Y20" s="25">
        <f>TRANSICAO!$Y$20*CUSTOS!$T$4</f>
        <v>0</v>
      </c>
      <c r="Z20" s="25">
        <f>TRANSICAO!$Z$20*CUSTOS!$T$4</f>
        <v>0</v>
      </c>
      <c r="AA20" s="25">
        <f>TRANSICAO!$AA$20*CUSTOS!$T$4</f>
        <v>0</v>
      </c>
      <c r="AB20" s="25">
        <f>TRANSICAO!$AB$20*CUSTOS!$T$4</f>
        <v>0</v>
      </c>
      <c r="AC20" s="25">
        <f>TRANSICAO!$AC$20*CUSTOS!$T$4</f>
        <v>2.0554999999999999</v>
      </c>
      <c r="AD20" s="25">
        <f>TRANSICAO!$AD$20*CUSTOS!$T$4</f>
        <v>0</v>
      </c>
      <c r="AE20" s="25">
        <v>0</v>
      </c>
      <c r="AF20" s="25">
        <v>0</v>
      </c>
      <c r="AG20" s="25"/>
      <c r="AH20" s="25">
        <v>0</v>
      </c>
      <c r="AI20" s="25">
        <v>0</v>
      </c>
      <c r="AJ20" s="25">
        <v>0</v>
      </c>
      <c r="AK20" s="25">
        <f t="shared" si="0"/>
        <v>0</v>
      </c>
      <c r="AL20" s="25"/>
      <c r="AM20" s="25"/>
      <c r="AP20" s="25"/>
    </row>
    <row r="21" spans="1:42" ht="11.25" customHeight="1" x14ac:dyDescent="0.25">
      <c r="A21" s="124"/>
      <c r="B21" s="124"/>
      <c r="C21" s="124"/>
      <c r="D21" s="124"/>
      <c r="E21" s="29" t="s">
        <v>97</v>
      </c>
      <c r="F21" s="29" t="s">
        <v>25</v>
      </c>
      <c r="G21" s="28" t="s">
        <v>9</v>
      </c>
      <c r="H21" s="28" t="s">
        <v>89</v>
      </c>
      <c r="I21" s="28">
        <f>'MERCADO TUSD'!$U$18+0.00000001</f>
        <v>1E-8</v>
      </c>
      <c r="J21" s="18"/>
      <c r="L21" s="25">
        <v>0</v>
      </c>
      <c r="M21" s="25">
        <v>8.2000000000000007E-3</v>
      </c>
      <c r="N21" s="25">
        <f>0.0206</f>
        <v>2.06E-2</v>
      </c>
      <c r="O21" s="25">
        <v>0</v>
      </c>
      <c r="P21" s="25">
        <v>0</v>
      </c>
      <c r="Q21" s="25">
        <v>0</v>
      </c>
      <c r="R21" s="25">
        <v>0</v>
      </c>
      <c r="S21" s="25">
        <v>0</v>
      </c>
      <c r="T21" s="25"/>
      <c r="U21" s="25">
        <f>TRANSICAO!$U$21*CUSTOS!$T$4</f>
        <v>0</v>
      </c>
      <c r="V21" s="25">
        <f>TRANSICAO!$V$21*CUSTOS!$T$4</f>
        <v>0</v>
      </c>
      <c r="W21" s="25">
        <f>TRANSICAO!$W$21*CUSTOS!$T$4</f>
        <v>0</v>
      </c>
      <c r="X21" s="25">
        <f>TRANSICAO!$X$21*CUSTOS!$T$4</f>
        <v>0</v>
      </c>
      <c r="Y21" s="25">
        <f>TRANSICAO!$Y$21*CUSTOS!$T$4</f>
        <v>0</v>
      </c>
      <c r="Z21" s="25">
        <f>TRANSICAO!$Z$21*CUSTOS!$T$4</f>
        <v>0</v>
      </c>
      <c r="AA21" s="25">
        <f>TRANSICAO!$AA$21*CUSTOS!$T$4</f>
        <v>0</v>
      </c>
      <c r="AB21" s="25">
        <f>TRANSICAO!$AB$21*CUSTOS!$T$4</f>
        <v>0</v>
      </c>
      <c r="AC21" s="25">
        <f>TRANSICAO!$AC$21*CUSTOS!$T$4</f>
        <v>17.1312</v>
      </c>
      <c r="AD21" s="25">
        <f>TRANSICAO!$AD$21*CUSTOS!$T$4</f>
        <v>0</v>
      </c>
      <c r="AE21" s="25">
        <v>0</v>
      </c>
      <c r="AF21" s="25">
        <v>0</v>
      </c>
      <c r="AG21" s="25"/>
      <c r="AH21" s="25">
        <v>0</v>
      </c>
      <c r="AI21" s="25">
        <v>0</v>
      </c>
      <c r="AJ21" s="25">
        <v>0</v>
      </c>
      <c r="AK21" s="25">
        <f t="shared" si="0"/>
        <v>0</v>
      </c>
      <c r="AL21" s="25"/>
      <c r="AM21" s="25"/>
      <c r="AP21" s="25"/>
    </row>
    <row r="22" spans="1:42" ht="11.25" customHeight="1" x14ac:dyDescent="0.25">
      <c r="A22" s="124" t="s">
        <v>22</v>
      </c>
      <c r="B22" s="124" t="s">
        <v>39</v>
      </c>
      <c r="C22" s="124" t="s">
        <v>24</v>
      </c>
      <c r="D22" s="124" t="s">
        <v>24</v>
      </c>
      <c r="E22" s="124" t="s">
        <v>25</v>
      </c>
      <c r="F22" s="124" t="s">
        <v>25</v>
      </c>
      <c r="G22" s="28" t="s">
        <v>87</v>
      </c>
      <c r="H22" s="28" t="s">
        <v>86</v>
      </c>
      <c r="I22" s="28">
        <f>'MERCADO TUSD'!$U$19</f>
        <v>31.722000000000001</v>
      </c>
      <c r="J22" s="18"/>
      <c r="L22" s="25">
        <f>1</f>
        <v>1</v>
      </c>
      <c r="M22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</f>
        <v>0.84281690263389941</v>
      </c>
      <c r="N22" s="25">
        <f ca="1">(+M22+O22+R22+U22+V22+W22+X22+Y22+Z22+AA22+AC22+AH22+AI22+AJ22+AK22)*CUSTOS!$M$5</f>
        <v>10.940413096809372</v>
      </c>
      <c r="O22" s="25">
        <v>1</v>
      </c>
      <c r="P22" s="25">
        <v>1</v>
      </c>
      <c r="Q22" s="25">
        <f>1</f>
        <v>1</v>
      </c>
      <c r="R22" s="25">
        <v>1</v>
      </c>
      <c r="S22" s="25">
        <v>1</v>
      </c>
      <c r="T22" s="25"/>
      <c r="U22" s="25">
        <f>TRANSICAO!$U$22*CUSTOS!$T$3</f>
        <v>118.4659</v>
      </c>
      <c r="V22" s="25">
        <f>TRANSICAO!$V$22*CUSTOS!$T$3</f>
        <v>17.649699999999999</v>
      </c>
      <c r="W22" s="25">
        <f>TRANSICAO!$W$22*CUSTOS!$T$3</f>
        <v>-1.1138999999999999</v>
      </c>
      <c r="X22" s="25">
        <f>TRANSICAO!$X$22*CUSTOS!$T$3</f>
        <v>0</v>
      </c>
      <c r="Y22" s="25">
        <f>TRANSICAO!$Y$22*CUSTOS!$T$3</f>
        <v>0.50139999999999996</v>
      </c>
      <c r="Z22" s="25">
        <f>TRANSICAO!$Z$22*CUSTOS!$T$3</f>
        <v>0</v>
      </c>
      <c r="AA22" s="25">
        <f>TRANSICAO!$AA$22*CUSTOS!$T$3</f>
        <v>0</v>
      </c>
      <c r="AB22" s="25">
        <f>TRANSICAO!$AB$22*CUSTOS!$T$3</f>
        <v>0</v>
      </c>
      <c r="AC22" s="25">
        <f>TRANSICAO!$AC$22*CUSTOS!$T$3</f>
        <v>628.73260000000005</v>
      </c>
      <c r="AD22" s="25">
        <f>TRANSICAO!$AD$22*CUSTOS!$T$3</f>
        <v>0</v>
      </c>
      <c r="AE22" s="25">
        <v>0</v>
      </c>
      <c r="AF22" s="25">
        <v>0</v>
      </c>
      <c r="AG22" s="25"/>
      <c r="AH22" s="25">
        <v>51.632800000000003</v>
      </c>
      <c r="AI22" s="25">
        <v>51.632800000000003</v>
      </c>
      <c r="AJ22" s="25">
        <f ca="1">$N$70</f>
        <v>111.84859638915164</v>
      </c>
      <c r="AK22" s="25">
        <f t="shared" ca="1" si="0"/>
        <v>111.84859638915164</v>
      </c>
      <c r="AL22" s="25"/>
      <c r="AM22" s="25"/>
      <c r="AP22" s="25">
        <v>1</v>
      </c>
    </row>
    <row r="23" spans="1:42" ht="11.25" customHeight="1" x14ac:dyDescent="0.25">
      <c r="A23" s="124"/>
      <c r="B23" s="124"/>
      <c r="C23" s="124"/>
      <c r="D23" s="124"/>
      <c r="E23" s="124"/>
      <c r="F23" s="124"/>
      <c r="G23" s="28" t="s">
        <v>98</v>
      </c>
      <c r="H23" s="28" t="s">
        <v>86</v>
      </c>
      <c r="I23" s="28">
        <f>'MERCADO TUSD'!$U$20</f>
        <v>31.11</v>
      </c>
      <c r="J23" s="18"/>
      <c r="L23" s="25">
        <f>1</f>
        <v>1</v>
      </c>
      <c r="M23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</f>
        <v>0.84281690263389941</v>
      </c>
      <c r="N23" s="25">
        <f ca="1">(+M23+O23+R23+U23+V23+W23+X23+Y23+Z23+AA23+AC23+AH23+AI23+AJ23+AK23)*CUSTOS!$M$5</f>
        <v>7.8834690968093719</v>
      </c>
      <c r="O23" s="25">
        <v>1</v>
      </c>
      <c r="P23" s="25">
        <v>1</v>
      </c>
      <c r="Q23" s="25">
        <f>1</f>
        <v>1</v>
      </c>
      <c r="R23" s="25">
        <v>1</v>
      </c>
      <c r="S23" s="25">
        <v>1</v>
      </c>
      <c r="T23" s="25"/>
      <c r="U23" s="25">
        <f>TRANSICAO!$U$23*CUSTOS!$T$3</f>
        <v>71.079499999999996</v>
      </c>
      <c r="V23" s="25">
        <f>TRANSICAO!$V$23*CUSTOS!$T$3</f>
        <v>10.5898</v>
      </c>
      <c r="W23" s="25">
        <f>TRANSICAO!$W$23*CUSTOS!$T$3</f>
        <v>-0.66830000000000001</v>
      </c>
      <c r="X23" s="25">
        <f>TRANSICAO!$X$23*CUSTOS!$T$3</f>
        <v>0</v>
      </c>
      <c r="Y23" s="25">
        <f>TRANSICAO!$Y$23*CUSTOS!$T$3</f>
        <v>0.30080000000000001</v>
      </c>
      <c r="Z23" s="25">
        <f>TRANSICAO!$Z$23*CUSTOS!$T$3</f>
        <v>0</v>
      </c>
      <c r="AA23" s="25">
        <f>TRANSICAO!$AA$23*CUSTOS!$T$3</f>
        <v>0</v>
      </c>
      <c r="AB23" s="25">
        <f>TRANSICAO!$AB$23*CUSTOS!$T$3</f>
        <v>0</v>
      </c>
      <c r="AC23" s="25">
        <f>TRANSICAO!$AC$23*CUSTOS!$T$3</f>
        <v>377.23950000000002</v>
      </c>
      <c r="AD23" s="25">
        <f>TRANSICAO!$AD$23*CUSTOS!$T$3</f>
        <v>0</v>
      </c>
      <c r="AE23" s="25">
        <v>0</v>
      </c>
      <c r="AF23" s="25">
        <v>0</v>
      </c>
      <c r="AG23" s="25"/>
      <c r="AH23" s="25">
        <v>51.632800000000003</v>
      </c>
      <c r="AI23" s="25">
        <v>51.632800000000003</v>
      </c>
      <c r="AJ23" s="25">
        <f ca="1">$N$70</f>
        <v>111.84859638915164</v>
      </c>
      <c r="AK23" s="25">
        <f t="shared" ca="1" si="0"/>
        <v>111.84859638915164</v>
      </c>
      <c r="AL23" s="25"/>
      <c r="AM23" s="25"/>
      <c r="AP23" s="25">
        <v>1</v>
      </c>
    </row>
    <row r="24" spans="1:42" ht="11.25" customHeight="1" x14ac:dyDescent="0.25">
      <c r="A24" s="124"/>
      <c r="B24" s="124"/>
      <c r="C24" s="124"/>
      <c r="D24" s="124"/>
      <c r="E24" s="124"/>
      <c r="F24" s="124"/>
      <c r="G24" s="28" t="s">
        <v>88</v>
      </c>
      <c r="H24" s="28" t="s">
        <v>86</v>
      </c>
      <c r="I24" s="28">
        <f>'MERCADO TUSD'!$U$21</f>
        <v>472.03</v>
      </c>
      <c r="J24" s="18"/>
      <c r="L24" s="25">
        <f>1</f>
        <v>1</v>
      </c>
      <c r="M24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</f>
        <v>0.84281690263389941</v>
      </c>
      <c r="N24" s="25">
        <f ca="1">(+M24+O24+R24+U24+V24+W24+X24+Y24+Z24+AA24+AC24+AH24+AI24+AJ24+AK24)*CUSTOS!$M$5</f>
        <v>4.8265270968093716</v>
      </c>
      <c r="O24" s="25">
        <v>1</v>
      </c>
      <c r="P24" s="25">
        <v>1</v>
      </c>
      <c r="Q24" s="25">
        <f>1</f>
        <v>1</v>
      </c>
      <c r="R24" s="25">
        <v>1</v>
      </c>
      <c r="S24" s="25">
        <v>1</v>
      </c>
      <c r="T24" s="25"/>
      <c r="U24" s="25">
        <f>TRANSICAO!$U$24*CUSTOS!$T$3</f>
        <v>23.693200000000001</v>
      </c>
      <c r="V24" s="25">
        <f>TRANSICAO!$V$24*CUSTOS!$T$3</f>
        <v>3.5299</v>
      </c>
      <c r="W24" s="25">
        <f>TRANSICAO!$W$24*CUSTOS!$T$3</f>
        <v>-0.2228</v>
      </c>
      <c r="X24" s="25">
        <f>TRANSICAO!$X$24*CUSTOS!$T$3</f>
        <v>0</v>
      </c>
      <c r="Y24" s="25">
        <f>TRANSICAO!$Y$24*CUSTOS!$T$3</f>
        <v>0.1003</v>
      </c>
      <c r="Z24" s="25">
        <f>TRANSICAO!$Z$24*CUSTOS!$T$3</f>
        <v>0</v>
      </c>
      <c r="AA24" s="25">
        <f>TRANSICAO!$AA$24*CUSTOS!$T$3</f>
        <v>0</v>
      </c>
      <c r="AB24" s="25">
        <f>TRANSICAO!$AB$24*CUSTOS!$T$3</f>
        <v>0</v>
      </c>
      <c r="AC24" s="25">
        <f>TRANSICAO!$AC$24*CUSTOS!$T$3</f>
        <v>125.7465</v>
      </c>
      <c r="AD24" s="25">
        <f>TRANSICAO!$AD$24*CUSTOS!$T$3</f>
        <v>0</v>
      </c>
      <c r="AE24" s="25">
        <v>0</v>
      </c>
      <c r="AF24" s="25">
        <v>0</v>
      </c>
      <c r="AG24" s="25"/>
      <c r="AH24" s="25">
        <v>51.632800000000003</v>
      </c>
      <c r="AI24" s="25">
        <v>51.632800000000003</v>
      </c>
      <c r="AJ24" s="25">
        <f ca="1">$N$70</f>
        <v>111.84859638915164</v>
      </c>
      <c r="AK24" s="25">
        <f t="shared" ca="1" si="0"/>
        <v>111.84859638915164</v>
      </c>
      <c r="AL24" s="25"/>
      <c r="AM24" s="25"/>
      <c r="AP24" s="25">
        <v>1</v>
      </c>
    </row>
    <row r="25" spans="1:42" ht="11.25" customHeight="1" x14ac:dyDescent="0.25">
      <c r="A25" s="124"/>
      <c r="B25" s="124" t="s">
        <v>23</v>
      </c>
      <c r="C25" s="124" t="s">
        <v>24</v>
      </c>
      <c r="D25" s="29" t="s">
        <v>24</v>
      </c>
      <c r="E25" s="29" t="s">
        <v>25</v>
      </c>
      <c r="F25" s="29" t="s">
        <v>25</v>
      </c>
      <c r="G25" s="28" t="s">
        <v>92</v>
      </c>
      <c r="H25" s="28" t="s">
        <v>86</v>
      </c>
      <c r="I25" s="28">
        <f>'MERCADO TUSD'!$U$22</f>
        <v>1747135.3810000001</v>
      </c>
      <c r="J25" s="18"/>
      <c r="L25" s="25">
        <f>1</f>
        <v>1</v>
      </c>
      <c r="M25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</f>
        <v>0.84281690263389941</v>
      </c>
      <c r="N25" s="25">
        <f ca="1">(+M25+O25+R25+U25+V25+W25+X25+Y25+Z25+AA25+AC25+AH25+AI25+AJ25+AK25)*CUSTOS!$M$5</f>
        <v>5.7633320968093713</v>
      </c>
      <c r="O25" s="25">
        <v>1</v>
      </c>
      <c r="P25" s="25">
        <v>1</v>
      </c>
      <c r="Q25" s="25">
        <f>1</f>
        <v>1</v>
      </c>
      <c r="R25" s="25">
        <v>1</v>
      </c>
      <c r="S25" s="25">
        <v>1</v>
      </c>
      <c r="T25" s="25"/>
      <c r="U25" s="25">
        <f>TRANSICAO!$U$25*CUSTOS!$T$3</f>
        <v>38.214799999999997</v>
      </c>
      <c r="V25" s="25">
        <f>TRANSICAO!$V$25*CUSTOS!$T$3</f>
        <v>5.6933999999999996</v>
      </c>
      <c r="W25" s="25">
        <f>TRANSICAO!$W$25*CUSTOS!$T$3</f>
        <v>-0.35930000000000001</v>
      </c>
      <c r="X25" s="25">
        <f>TRANSICAO!$X$25*CUSTOS!$T$3</f>
        <v>0</v>
      </c>
      <c r="Y25" s="25">
        <f>TRANSICAO!$Y$25*CUSTOS!$T$3</f>
        <v>0.16170000000000001</v>
      </c>
      <c r="Z25" s="25">
        <f>TRANSICAO!$Z$25*CUSTOS!$T$3</f>
        <v>0</v>
      </c>
      <c r="AA25" s="25">
        <f>TRANSICAO!$AA$25*CUSTOS!$T$3</f>
        <v>0</v>
      </c>
      <c r="AB25" s="25">
        <f>TRANSICAO!$AB$25*CUSTOS!$T$3</f>
        <v>0</v>
      </c>
      <c r="AC25" s="25">
        <f>TRANSICAO!$AC$25*CUSTOS!$T$3</f>
        <v>202.81700000000001</v>
      </c>
      <c r="AD25" s="25">
        <f>TRANSICAO!$AD$25*CUSTOS!$T$3</f>
        <v>0</v>
      </c>
      <c r="AE25" s="25">
        <v>0</v>
      </c>
      <c r="AF25" s="25">
        <v>0</v>
      </c>
      <c r="AG25" s="25"/>
      <c r="AH25" s="25">
        <v>51.632800000000003</v>
      </c>
      <c r="AI25" s="25">
        <v>51.632800000000003</v>
      </c>
      <c r="AJ25" s="25">
        <f ca="1">$N$70</f>
        <v>111.84859638915164</v>
      </c>
      <c r="AK25" s="25">
        <f t="shared" ca="1" si="0"/>
        <v>111.84859638915164</v>
      </c>
      <c r="AL25" s="25"/>
      <c r="AM25" s="25"/>
      <c r="AP25" s="25">
        <v>1</v>
      </c>
    </row>
    <row r="26" spans="1:42" ht="11.25" customHeight="1" x14ac:dyDescent="0.25">
      <c r="A26" s="124"/>
      <c r="B26" s="124"/>
      <c r="C26" s="124"/>
      <c r="D26" s="29" t="s">
        <v>31</v>
      </c>
      <c r="E26" s="29" t="s">
        <v>25</v>
      </c>
      <c r="F26" s="29" t="s">
        <v>25</v>
      </c>
      <c r="G26" s="28" t="s">
        <v>92</v>
      </c>
      <c r="H26" s="28" t="s">
        <v>86</v>
      </c>
      <c r="I26" s="28">
        <f>'MERCADO TUSD'!$U$23</f>
        <v>72661.888000000006</v>
      </c>
      <c r="J26" s="18"/>
      <c r="L26" s="25">
        <v>0</v>
      </c>
      <c r="M26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CUSTOS!$M$24)</f>
        <v>0.84281690263389941</v>
      </c>
      <c r="N26" s="25">
        <f ca="1">(+M26+O26+R26+U26+V26+W26+X26+Y26+Z26+AA26+AC26+AH26+AI26+AJ26+AK26)*CUSTOS!$M$5</f>
        <v>5.7533320968093715</v>
      </c>
      <c r="O26" s="25">
        <f>1 - CUSTOS!$M$24</f>
        <v>1</v>
      </c>
      <c r="P26" s="25">
        <v>0</v>
      </c>
      <c r="Q26" s="25">
        <v>0</v>
      </c>
      <c r="R26" s="25">
        <v>0</v>
      </c>
      <c r="S26" s="25">
        <f>1 - CUSTOS!$M$24</f>
        <v>1</v>
      </c>
      <c r="T26" s="25"/>
      <c r="U26" s="25">
        <f>TRANSICAO!$U$26*CUSTOS!$T$3</f>
        <v>38.214799999999997</v>
      </c>
      <c r="V26" s="25">
        <f>TRANSICAO!$V$26*CUSTOS!$T$3</f>
        <v>5.6933999999999996</v>
      </c>
      <c r="W26" s="25">
        <f>TRANSICAO!$W$26*CUSTOS!$T$3</f>
        <v>-0.35930000000000001</v>
      </c>
      <c r="X26" s="25">
        <f>TRANSICAO!$X$26*CUSTOS!$T$3</f>
        <v>0</v>
      </c>
      <c r="Y26" s="25">
        <f>TRANSICAO!$Y$26*CUSTOS!$T$3</f>
        <v>0.16170000000000001</v>
      </c>
      <c r="Z26" s="25">
        <f>TRANSICAO!$Z$26*CUSTOS!$T$3</f>
        <v>0</v>
      </c>
      <c r="AA26" s="25">
        <f>TRANSICAO!$AA$26*CUSTOS!$T$3</f>
        <v>0</v>
      </c>
      <c r="AB26" s="25">
        <f>TRANSICAO!$AB$26*CUSTOS!$T$3</f>
        <v>0</v>
      </c>
      <c r="AC26" s="25">
        <f>TRANSICAO!$AC$26*CUSTOS!$T$3</f>
        <v>202.81700000000001</v>
      </c>
      <c r="AD26" s="25">
        <f>TRANSICAO!$AD$26*CUSTOS!$T$3</f>
        <v>0</v>
      </c>
      <c r="AE26" s="25">
        <v>0</v>
      </c>
      <c r="AF26" s="25">
        <v>0</v>
      </c>
      <c r="AG26" s="25"/>
      <c r="AH26" s="25">
        <f>(1 - CUSTOS!$M$24)*51.6328</f>
        <v>51.632800000000003</v>
      </c>
      <c r="AI26" s="25">
        <f>(1 - CUSTOS!$M$24)*51.6328</f>
        <v>51.632800000000003</v>
      </c>
      <c r="AJ26" s="25">
        <f ca="1">$N$70*(1-CUSTOS!$M$24)</f>
        <v>111.84859638915164</v>
      </c>
      <c r="AK26" s="25">
        <f t="shared" ca="1" si="0"/>
        <v>111.84859638915164</v>
      </c>
      <c r="AL26" s="25"/>
      <c r="AM26" s="25"/>
      <c r="AP26" s="25">
        <f>IF((1 - CUSTOS!$M$24)&lt;&gt;0,1/(1 - CUSTOS!$M$24),1)</f>
        <v>1</v>
      </c>
    </row>
    <row r="27" spans="1:42" ht="11.25" customHeight="1" x14ac:dyDescent="0.25">
      <c r="A27" s="124"/>
      <c r="B27" s="124"/>
      <c r="C27" s="124"/>
      <c r="D27" s="29" t="s">
        <v>32</v>
      </c>
      <c r="E27" s="29" t="s">
        <v>25</v>
      </c>
      <c r="F27" s="29" t="s">
        <v>25</v>
      </c>
      <c r="G27" s="28" t="s">
        <v>92</v>
      </c>
      <c r="H27" s="28" t="s">
        <v>86</v>
      </c>
      <c r="I27" s="28">
        <f>'MERCADO TUSD'!$U$24</f>
        <v>116587.09399999998</v>
      </c>
      <c r="J27" s="18"/>
      <c r="L27" s="25">
        <v>0</v>
      </c>
      <c r="M27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CUSTOS!$M$25)</f>
        <v>0.84281690263389941</v>
      </c>
      <c r="N27" s="25">
        <f ca="1">(+M27+O27+R27+U27+V27+W27+X27+Y27+Z27+AA27+AC27+AH27+AI27+AJ27+AK27)*CUSTOS!$M$5</f>
        <v>5.7533320968093715</v>
      </c>
      <c r="O27" s="25">
        <f>1 - CUSTOS!$M$25</f>
        <v>1</v>
      </c>
      <c r="P27" s="25">
        <v>0</v>
      </c>
      <c r="Q27" s="25">
        <v>0</v>
      </c>
      <c r="R27" s="25">
        <v>0</v>
      </c>
      <c r="S27" s="25">
        <f>1 - CUSTOS!$M$25</f>
        <v>1</v>
      </c>
      <c r="T27" s="25"/>
      <c r="U27" s="25">
        <f>TRANSICAO!$U$27*CUSTOS!$T$3</f>
        <v>38.214799999999997</v>
      </c>
      <c r="V27" s="25">
        <f>TRANSICAO!$V$27*CUSTOS!$T$3</f>
        <v>5.6933999999999996</v>
      </c>
      <c r="W27" s="25">
        <f>TRANSICAO!$W$27*CUSTOS!$T$3</f>
        <v>-0.35930000000000001</v>
      </c>
      <c r="X27" s="25">
        <f>TRANSICAO!$X$27*CUSTOS!$T$3</f>
        <v>0</v>
      </c>
      <c r="Y27" s="25">
        <f>TRANSICAO!$Y$27*CUSTOS!$T$3</f>
        <v>0.16170000000000001</v>
      </c>
      <c r="Z27" s="25">
        <f>TRANSICAO!$Z$27*CUSTOS!$T$3</f>
        <v>0</v>
      </c>
      <c r="AA27" s="25">
        <f>TRANSICAO!$AA$27*CUSTOS!$T$3</f>
        <v>0</v>
      </c>
      <c r="AB27" s="25">
        <f>TRANSICAO!$AB$27*CUSTOS!$T$3</f>
        <v>0</v>
      </c>
      <c r="AC27" s="25">
        <f>TRANSICAO!$AC$27*CUSTOS!$T$3</f>
        <v>202.81700000000001</v>
      </c>
      <c r="AD27" s="25">
        <f>TRANSICAO!$AD$27*CUSTOS!$T$3</f>
        <v>0</v>
      </c>
      <c r="AE27" s="25">
        <v>0</v>
      </c>
      <c r="AF27" s="25">
        <v>0</v>
      </c>
      <c r="AG27" s="25"/>
      <c r="AH27" s="25">
        <f>(1 - CUSTOS!$M$25)*51.6328</f>
        <v>51.632800000000003</v>
      </c>
      <c r="AI27" s="25">
        <f>(1 - CUSTOS!$M$25)*51.6328</f>
        <v>51.632800000000003</v>
      </c>
      <c r="AJ27" s="25">
        <f ca="1">$N$70*(1-CUSTOS!$M$25)</f>
        <v>111.84859638915164</v>
      </c>
      <c r="AK27" s="25">
        <f t="shared" ca="1" si="0"/>
        <v>111.84859638915164</v>
      </c>
      <c r="AL27" s="25"/>
      <c r="AM27" s="25"/>
      <c r="AP27" s="25">
        <f>IF((1 - CUSTOS!$M$25)&lt;&gt;0,1/(1 - CUSTOS!$M$25),1)</f>
        <v>1</v>
      </c>
    </row>
    <row r="28" spans="1:42" ht="11.25" customHeight="1" x14ac:dyDescent="0.25">
      <c r="A28" s="124"/>
      <c r="B28" s="124"/>
      <c r="C28" s="124"/>
      <c r="D28" s="29" t="s">
        <v>33</v>
      </c>
      <c r="E28" s="29" t="s">
        <v>25</v>
      </c>
      <c r="F28" s="29" t="s">
        <v>25</v>
      </c>
      <c r="G28" s="28" t="s">
        <v>92</v>
      </c>
      <c r="H28" s="28" t="s">
        <v>86</v>
      </c>
      <c r="I28" s="28">
        <f>'MERCADO TUSD'!$U$25</f>
        <v>103208.47500000001</v>
      </c>
      <c r="J28" s="18"/>
      <c r="L28" s="25">
        <v>0</v>
      </c>
      <c r="M28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CUSTOS!$M$26)</f>
        <v>0.84281690263389941</v>
      </c>
      <c r="N28" s="25">
        <f ca="1">(+M28+O28+R28+U28+V28+W28+X28+Y28+Z28+AA28+AC28+AH28+AI28+AJ28+AK28)*CUSTOS!$M$5</f>
        <v>5.7533320968093715</v>
      </c>
      <c r="O28" s="25">
        <f>1 - CUSTOS!$M$26</f>
        <v>1</v>
      </c>
      <c r="P28" s="25">
        <v>0</v>
      </c>
      <c r="Q28" s="25">
        <v>0</v>
      </c>
      <c r="R28" s="25">
        <v>0</v>
      </c>
      <c r="S28" s="25">
        <f>1 - CUSTOS!$M$26</f>
        <v>1</v>
      </c>
      <c r="T28" s="25"/>
      <c r="U28" s="25">
        <f>TRANSICAO!$U$28*CUSTOS!$T$3</f>
        <v>38.214799999999997</v>
      </c>
      <c r="V28" s="25">
        <f>TRANSICAO!$V$28*CUSTOS!$T$3</f>
        <v>5.6933999999999996</v>
      </c>
      <c r="W28" s="25">
        <f>TRANSICAO!$W$28*CUSTOS!$T$3</f>
        <v>-0.35930000000000001</v>
      </c>
      <c r="X28" s="25">
        <f>TRANSICAO!$X$28*CUSTOS!$T$3</f>
        <v>0</v>
      </c>
      <c r="Y28" s="25">
        <f>TRANSICAO!$Y$28*CUSTOS!$T$3</f>
        <v>0.16170000000000001</v>
      </c>
      <c r="Z28" s="25">
        <f>TRANSICAO!$Z$28*CUSTOS!$T$3</f>
        <v>0</v>
      </c>
      <c r="AA28" s="25">
        <f>TRANSICAO!$AA$28*CUSTOS!$T$3</f>
        <v>0</v>
      </c>
      <c r="AB28" s="25">
        <f>TRANSICAO!$AB$28*CUSTOS!$T$3</f>
        <v>0</v>
      </c>
      <c r="AC28" s="25">
        <f>TRANSICAO!$AC$28*CUSTOS!$T$3</f>
        <v>202.81700000000001</v>
      </c>
      <c r="AD28" s="25">
        <f>TRANSICAO!$AD$28*CUSTOS!$T$3</f>
        <v>0</v>
      </c>
      <c r="AE28" s="25">
        <v>0</v>
      </c>
      <c r="AF28" s="25">
        <v>0</v>
      </c>
      <c r="AG28" s="25"/>
      <c r="AH28" s="25">
        <f>(1 - CUSTOS!$M$26)*51.6328</f>
        <v>51.632800000000003</v>
      </c>
      <c r="AI28" s="25">
        <f>(1 - CUSTOS!$M$26)*51.6328</f>
        <v>51.632800000000003</v>
      </c>
      <c r="AJ28" s="25">
        <f ca="1">$N$70*(1-CUSTOS!$M$26)</f>
        <v>111.84859638915164</v>
      </c>
      <c r="AK28" s="25">
        <f t="shared" ca="1" si="0"/>
        <v>111.84859638915164</v>
      </c>
      <c r="AL28" s="25"/>
      <c r="AM28" s="25"/>
      <c r="AP28" s="25">
        <f>IF((1 - CUSTOS!$M$26)&lt;&gt;0,1/(1 - CUSTOS!$M$26),1)</f>
        <v>1</v>
      </c>
    </row>
    <row r="29" spans="1:42" ht="11.25" customHeight="1" x14ac:dyDescent="0.25">
      <c r="A29" s="124"/>
      <c r="B29" s="124"/>
      <c r="C29" s="124"/>
      <c r="D29" s="29" t="s">
        <v>34</v>
      </c>
      <c r="E29" s="29" t="s">
        <v>25</v>
      </c>
      <c r="F29" s="29" t="s">
        <v>25</v>
      </c>
      <c r="G29" s="28" t="s">
        <v>92</v>
      </c>
      <c r="H29" s="28" t="s">
        <v>86</v>
      </c>
      <c r="I29" s="28">
        <f>'MERCADO TUSD'!$U$26</f>
        <v>77490.793999999994</v>
      </c>
      <c r="J29" s="18"/>
      <c r="L29" s="25">
        <v>0</v>
      </c>
      <c r="M29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CUSTOS!$M$27)</f>
        <v>0.84281690263389941</v>
      </c>
      <c r="N29" s="25">
        <f ca="1">(+M29+O29+R29+U29+V29+W29+X29+Y29+Z29+AA29+AC29+AH29+AI29+AJ29+AK29)*CUSTOS!$M$5</f>
        <v>5.7533320968093715</v>
      </c>
      <c r="O29" s="25">
        <f>1 - CUSTOS!$M$27</f>
        <v>1</v>
      </c>
      <c r="P29" s="25">
        <v>0</v>
      </c>
      <c r="Q29" s="25">
        <v>0</v>
      </c>
      <c r="R29" s="25">
        <v>0</v>
      </c>
      <c r="S29" s="25">
        <f>1 - CUSTOS!$M$27</f>
        <v>1</v>
      </c>
      <c r="T29" s="25"/>
      <c r="U29" s="25">
        <f>TRANSICAO!$U$29*CUSTOS!$T$3</f>
        <v>38.214799999999997</v>
      </c>
      <c r="V29" s="25">
        <f>TRANSICAO!$V$29*CUSTOS!$T$3</f>
        <v>5.6933999999999996</v>
      </c>
      <c r="W29" s="25">
        <f>TRANSICAO!$W$29*CUSTOS!$T$3</f>
        <v>-0.35930000000000001</v>
      </c>
      <c r="X29" s="25">
        <f>TRANSICAO!$X$29*CUSTOS!$T$3</f>
        <v>0</v>
      </c>
      <c r="Y29" s="25">
        <f>TRANSICAO!$Y$29*CUSTOS!$T$3</f>
        <v>0.16170000000000001</v>
      </c>
      <c r="Z29" s="25">
        <f>TRANSICAO!$Z$29*CUSTOS!$T$3</f>
        <v>0</v>
      </c>
      <c r="AA29" s="25">
        <f>TRANSICAO!$AA$29*CUSTOS!$T$3</f>
        <v>0</v>
      </c>
      <c r="AB29" s="25">
        <f>TRANSICAO!$AB$29*CUSTOS!$T$3</f>
        <v>0</v>
      </c>
      <c r="AC29" s="25">
        <f>TRANSICAO!$AC$29*CUSTOS!$T$3</f>
        <v>202.81700000000001</v>
      </c>
      <c r="AD29" s="25">
        <f>TRANSICAO!$AD$29*CUSTOS!$T$3</f>
        <v>0</v>
      </c>
      <c r="AE29" s="25">
        <v>0</v>
      </c>
      <c r="AF29" s="25">
        <v>0</v>
      </c>
      <c r="AG29" s="25"/>
      <c r="AH29" s="25">
        <f>(1 - CUSTOS!$M$27)*51.6328</f>
        <v>51.632800000000003</v>
      </c>
      <c r="AI29" s="25">
        <f>(1 - CUSTOS!$M$27)*51.6328</f>
        <v>51.632800000000003</v>
      </c>
      <c r="AJ29" s="25">
        <f ca="1">$N$70*(1-CUSTOS!$M$27)</f>
        <v>111.84859638915164</v>
      </c>
      <c r="AK29" s="25">
        <f t="shared" ca="1" si="0"/>
        <v>111.84859638915164</v>
      </c>
      <c r="AL29" s="25"/>
      <c r="AM29" s="25"/>
      <c r="AP29" s="25">
        <f>IF((1 - CUSTOS!$M$27)&lt;&gt;0,1/(1 - CUSTOS!$M$27),1)</f>
        <v>1</v>
      </c>
    </row>
    <row r="30" spans="1:42" ht="11.25" customHeight="1" x14ac:dyDescent="0.25">
      <c r="A30" s="124"/>
      <c r="B30" s="124" t="s">
        <v>100</v>
      </c>
      <c r="C30" s="124" t="s">
        <v>24</v>
      </c>
      <c r="D30" s="29" t="s">
        <v>24</v>
      </c>
      <c r="E30" s="29" t="s">
        <v>25</v>
      </c>
      <c r="F30" s="29" t="s">
        <v>25</v>
      </c>
      <c r="G30" s="28" t="s">
        <v>92</v>
      </c>
      <c r="H30" s="28" t="s">
        <v>86</v>
      </c>
      <c r="I30" s="28">
        <f>'MERCADO TUSD'!$U$27</f>
        <v>0</v>
      </c>
      <c r="J30" s="18"/>
      <c r="L30" s="25">
        <f>1</f>
        <v>1</v>
      </c>
      <c r="M30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</f>
        <v>0.84281690263389941</v>
      </c>
      <c r="N30" s="25">
        <f ca="1">(+M30+O30+R30+U30+V30+W30+X30+Y30+Z30+AA30+AC30+AH30+AI30+AJ30+AK30)*CUSTOS!$M$5</f>
        <v>5.7633320968093713</v>
      </c>
      <c r="O30" s="25">
        <v>1</v>
      </c>
      <c r="P30" s="25">
        <v>1</v>
      </c>
      <c r="Q30" s="25">
        <f>1</f>
        <v>1</v>
      </c>
      <c r="R30" s="25">
        <v>1</v>
      </c>
      <c r="S30" s="25">
        <v>1</v>
      </c>
      <c r="T30" s="25"/>
      <c r="U30" s="25">
        <f>TRANSICAO!$U$30*CUSTOS!$T$3</f>
        <v>38.214799999999997</v>
      </c>
      <c r="V30" s="25">
        <f>TRANSICAO!$V$30*CUSTOS!$T$3</f>
        <v>5.6933999999999996</v>
      </c>
      <c r="W30" s="25">
        <f>TRANSICAO!$W$30*CUSTOS!$T$3</f>
        <v>-0.35930000000000001</v>
      </c>
      <c r="X30" s="25">
        <f>TRANSICAO!$X$30*CUSTOS!$T$3</f>
        <v>0</v>
      </c>
      <c r="Y30" s="25">
        <f>TRANSICAO!$Y$30*CUSTOS!$T$3</f>
        <v>0.16170000000000001</v>
      </c>
      <c r="Z30" s="25">
        <f>TRANSICAO!$Z$30*CUSTOS!$T$3</f>
        <v>0</v>
      </c>
      <c r="AA30" s="25">
        <f>TRANSICAO!$AA$30*CUSTOS!$T$3</f>
        <v>0</v>
      </c>
      <c r="AB30" s="25">
        <f>TRANSICAO!$AB$30*CUSTOS!$T$3</f>
        <v>0</v>
      </c>
      <c r="AC30" s="25">
        <f>TRANSICAO!$AC$30*CUSTOS!$T$3</f>
        <v>202.81700000000001</v>
      </c>
      <c r="AD30" s="25">
        <f>TRANSICAO!$AD$30*CUSTOS!$T$3</f>
        <v>0</v>
      </c>
      <c r="AE30" s="25">
        <v>0</v>
      </c>
      <c r="AF30" s="25">
        <v>0</v>
      </c>
      <c r="AG30" s="25"/>
      <c r="AH30" s="25">
        <v>51.632800000000003</v>
      </c>
      <c r="AI30" s="25">
        <v>51.632800000000003</v>
      </c>
      <c r="AJ30" s="25">
        <f ca="1">$N$70</f>
        <v>111.84859638915164</v>
      </c>
      <c r="AK30" s="25">
        <f t="shared" ca="1" si="0"/>
        <v>111.84859638915164</v>
      </c>
      <c r="AL30" s="25"/>
      <c r="AM30" s="25"/>
      <c r="AP30" s="25">
        <v>1</v>
      </c>
    </row>
    <row r="31" spans="1:42" ht="11.25" customHeight="1" x14ac:dyDescent="0.25">
      <c r="A31" s="124"/>
      <c r="B31" s="124"/>
      <c r="C31" s="124"/>
      <c r="D31" s="29" t="s">
        <v>31</v>
      </c>
      <c r="E31" s="29" t="s">
        <v>25</v>
      </c>
      <c r="F31" s="29" t="s">
        <v>25</v>
      </c>
      <c r="G31" s="28" t="s">
        <v>92</v>
      </c>
      <c r="H31" s="28" t="s">
        <v>86</v>
      </c>
      <c r="I31" s="28">
        <f>'MERCADO TUSD'!$U$28</f>
        <v>0</v>
      </c>
      <c r="J31" s="18"/>
      <c r="L31" s="25">
        <v>0</v>
      </c>
      <c r="M31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CUSTOS!$M$24)</f>
        <v>0.84281690263389941</v>
      </c>
      <c r="N31" s="25">
        <f ca="1">(+M31+O31+R31+U31+V31+W31+X31+Y31+Z31+AA31+AC31+AH31+AI31+AJ31+AK31)*CUSTOS!$M$5</f>
        <v>5.7533320968093715</v>
      </c>
      <c r="O31" s="25">
        <f>1 - CUSTOS!$M$24</f>
        <v>1</v>
      </c>
      <c r="P31" s="25">
        <v>0</v>
      </c>
      <c r="Q31" s="25">
        <v>0</v>
      </c>
      <c r="R31" s="25">
        <v>0</v>
      </c>
      <c r="S31" s="25">
        <f>1 - CUSTOS!$M$24</f>
        <v>1</v>
      </c>
      <c r="T31" s="25"/>
      <c r="U31" s="25">
        <f>TRANSICAO!$U$31*CUSTOS!$T$3</f>
        <v>38.214799999999997</v>
      </c>
      <c r="V31" s="25">
        <f>TRANSICAO!$V$31*CUSTOS!$T$3</f>
        <v>5.6933999999999996</v>
      </c>
      <c r="W31" s="25">
        <f>TRANSICAO!$W$31*CUSTOS!$T$3</f>
        <v>-0.35930000000000001</v>
      </c>
      <c r="X31" s="25">
        <f>TRANSICAO!$X$31*CUSTOS!$T$3</f>
        <v>0</v>
      </c>
      <c r="Y31" s="25">
        <f>TRANSICAO!$Y$31*CUSTOS!$T$3</f>
        <v>0.16170000000000001</v>
      </c>
      <c r="Z31" s="25">
        <f>TRANSICAO!$Z$31*CUSTOS!$T$3</f>
        <v>0</v>
      </c>
      <c r="AA31" s="25">
        <f>TRANSICAO!$AA$31*CUSTOS!$T$3</f>
        <v>0</v>
      </c>
      <c r="AB31" s="25">
        <f>TRANSICAO!$AB$31*CUSTOS!$T$3</f>
        <v>0</v>
      </c>
      <c r="AC31" s="25">
        <f>TRANSICAO!$AC$31*CUSTOS!$T$3</f>
        <v>202.81700000000001</v>
      </c>
      <c r="AD31" s="25">
        <f>TRANSICAO!$AD$31*CUSTOS!$T$3</f>
        <v>0</v>
      </c>
      <c r="AE31" s="25">
        <v>0</v>
      </c>
      <c r="AF31" s="25">
        <v>0</v>
      </c>
      <c r="AG31" s="25"/>
      <c r="AH31" s="25">
        <f>(1 - CUSTOS!$M$24)*51.6328</f>
        <v>51.632800000000003</v>
      </c>
      <c r="AI31" s="25">
        <f>(1 - CUSTOS!$M$24)*51.6328</f>
        <v>51.632800000000003</v>
      </c>
      <c r="AJ31" s="25">
        <f ca="1">$N$70*(1-CUSTOS!$M$24)</f>
        <v>111.84859638915164</v>
      </c>
      <c r="AK31" s="25">
        <f t="shared" ca="1" si="0"/>
        <v>111.84859638915164</v>
      </c>
      <c r="AL31" s="25"/>
      <c r="AM31" s="25"/>
      <c r="AP31" s="25">
        <f>IF((1 - CUSTOS!$M$24)&lt;&gt;0,1/(1 - CUSTOS!$M$24),1)</f>
        <v>1</v>
      </c>
    </row>
    <row r="32" spans="1:42" ht="11.25" customHeight="1" x14ac:dyDescent="0.25">
      <c r="A32" s="124"/>
      <c r="B32" s="124"/>
      <c r="C32" s="124"/>
      <c r="D32" s="29" t="s">
        <v>32</v>
      </c>
      <c r="E32" s="29" t="s">
        <v>25</v>
      </c>
      <c r="F32" s="29" t="s">
        <v>25</v>
      </c>
      <c r="G32" s="28" t="s">
        <v>92</v>
      </c>
      <c r="H32" s="28" t="s">
        <v>86</v>
      </c>
      <c r="I32" s="28">
        <f>'MERCADO TUSD'!$U$29</f>
        <v>0</v>
      </c>
      <c r="J32" s="18"/>
      <c r="L32" s="25">
        <v>0</v>
      </c>
      <c r="M32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CUSTOS!$M$25)</f>
        <v>0.84281690263389941</v>
      </c>
      <c r="N32" s="25">
        <f ca="1">(+M32+O32+R32+U32+V32+W32+X32+Y32+Z32+AA32+AC32+AH32+AI32+AJ32+AK32)*CUSTOS!$M$5</f>
        <v>5.7533320968093715</v>
      </c>
      <c r="O32" s="25">
        <f>1 - CUSTOS!$M$25</f>
        <v>1</v>
      </c>
      <c r="P32" s="25">
        <v>0</v>
      </c>
      <c r="Q32" s="25">
        <v>0</v>
      </c>
      <c r="R32" s="25">
        <v>0</v>
      </c>
      <c r="S32" s="25">
        <f>1 - CUSTOS!$M$25</f>
        <v>1</v>
      </c>
      <c r="T32" s="25"/>
      <c r="U32" s="25">
        <f>TRANSICAO!$U$32*CUSTOS!$T$3</f>
        <v>38.214799999999997</v>
      </c>
      <c r="V32" s="25">
        <f>TRANSICAO!$V$32*CUSTOS!$T$3</f>
        <v>5.6933999999999996</v>
      </c>
      <c r="W32" s="25">
        <f>TRANSICAO!$W$32*CUSTOS!$T$3</f>
        <v>-0.35930000000000001</v>
      </c>
      <c r="X32" s="25">
        <f>TRANSICAO!$X$32*CUSTOS!$T$3</f>
        <v>0</v>
      </c>
      <c r="Y32" s="25">
        <f>TRANSICAO!$Y$32*CUSTOS!$T$3</f>
        <v>0.16170000000000001</v>
      </c>
      <c r="Z32" s="25">
        <f>TRANSICAO!$Z$32*CUSTOS!$T$3</f>
        <v>0</v>
      </c>
      <c r="AA32" s="25">
        <f>TRANSICAO!$AA$32*CUSTOS!$T$3</f>
        <v>0</v>
      </c>
      <c r="AB32" s="25">
        <f>TRANSICAO!$AB$32*CUSTOS!$T$3</f>
        <v>0</v>
      </c>
      <c r="AC32" s="25">
        <f>TRANSICAO!$AC$32*CUSTOS!$T$3</f>
        <v>202.81700000000001</v>
      </c>
      <c r="AD32" s="25">
        <f>TRANSICAO!$AD$32*CUSTOS!$T$3</f>
        <v>0</v>
      </c>
      <c r="AE32" s="25">
        <v>0</v>
      </c>
      <c r="AF32" s="25">
        <v>0</v>
      </c>
      <c r="AG32" s="25"/>
      <c r="AH32" s="25">
        <f>(1 - CUSTOS!$M$25)*51.6328</f>
        <v>51.632800000000003</v>
      </c>
      <c r="AI32" s="25">
        <f>(1 - CUSTOS!$M$25)*51.6328</f>
        <v>51.632800000000003</v>
      </c>
      <c r="AJ32" s="25">
        <f ca="1">$N$70*(1-CUSTOS!$M$25)</f>
        <v>111.84859638915164</v>
      </c>
      <c r="AK32" s="25">
        <f t="shared" ca="1" si="0"/>
        <v>111.84859638915164</v>
      </c>
      <c r="AL32" s="25"/>
      <c r="AM32" s="25"/>
      <c r="AP32" s="25">
        <f>IF((1 - CUSTOS!$M$25)&lt;&gt;0,1/(1 - CUSTOS!$M$25),1)</f>
        <v>1</v>
      </c>
    </row>
    <row r="33" spans="1:42" ht="11.25" customHeight="1" x14ac:dyDescent="0.25">
      <c r="A33" s="124"/>
      <c r="B33" s="124"/>
      <c r="C33" s="124"/>
      <c r="D33" s="29" t="s">
        <v>33</v>
      </c>
      <c r="E33" s="29" t="s">
        <v>25</v>
      </c>
      <c r="F33" s="29" t="s">
        <v>25</v>
      </c>
      <c r="G33" s="28" t="s">
        <v>92</v>
      </c>
      <c r="H33" s="28" t="s">
        <v>86</v>
      </c>
      <c r="I33" s="28">
        <f>'MERCADO TUSD'!$U$30</f>
        <v>0</v>
      </c>
      <c r="J33" s="18"/>
      <c r="L33" s="25">
        <v>0</v>
      </c>
      <c r="M33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CUSTOS!$M$26)</f>
        <v>0.84281690263389941</v>
      </c>
      <c r="N33" s="25">
        <f ca="1">(+M33+O33+R33+U33+V33+W33+X33+Y33+Z33+AA33+AC33+AH33+AI33+AJ33+AK33)*CUSTOS!$M$5</f>
        <v>5.7533320968093715</v>
      </c>
      <c r="O33" s="25">
        <f>1 - CUSTOS!$M$26</f>
        <v>1</v>
      </c>
      <c r="P33" s="25">
        <v>0</v>
      </c>
      <c r="Q33" s="25">
        <v>0</v>
      </c>
      <c r="R33" s="25">
        <v>0</v>
      </c>
      <c r="S33" s="25">
        <f>1 - CUSTOS!$M$26</f>
        <v>1</v>
      </c>
      <c r="T33" s="25"/>
      <c r="U33" s="25">
        <f>TRANSICAO!$U$33*CUSTOS!$T$3</f>
        <v>38.214799999999997</v>
      </c>
      <c r="V33" s="25">
        <f>TRANSICAO!$V$33*CUSTOS!$T$3</f>
        <v>5.6933999999999996</v>
      </c>
      <c r="W33" s="25">
        <f>TRANSICAO!$W$33*CUSTOS!$T$3</f>
        <v>-0.35930000000000001</v>
      </c>
      <c r="X33" s="25">
        <f>TRANSICAO!$X$33*CUSTOS!$T$3</f>
        <v>0</v>
      </c>
      <c r="Y33" s="25">
        <f>TRANSICAO!$Y$33*CUSTOS!$T$3</f>
        <v>0.16170000000000001</v>
      </c>
      <c r="Z33" s="25">
        <f>TRANSICAO!$Z$33*CUSTOS!$T$3</f>
        <v>0</v>
      </c>
      <c r="AA33" s="25">
        <f>TRANSICAO!$AA$33*CUSTOS!$T$3</f>
        <v>0</v>
      </c>
      <c r="AB33" s="25">
        <f>TRANSICAO!$AB$33*CUSTOS!$T$3</f>
        <v>0</v>
      </c>
      <c r="AC33" s="25">
        <f>TRANSICAO!$AC$33*CUSTOS!$T$3</f>
        <v>202.81700000000001</v>
      </c>
      <c r="AD33" s="25">
        <f>TRANSICAO!$AD$33*CUSTOS!$T$3</f>
        <v>0</v>
      </c>
      <c r="AE33" s="25">
        <v>0</v>
      </c>
      <c r="AF33" s="25">
        <v>0</v>
      </c>
      <c r="AG33" s="25"/>
      <c r="AH33" s="25">
        <f>(1 - CUSTOS!$M$26)*51.6328</f>
        <v>51.632800000000003</v>
      </c>
      <c r="AI33" s="25">
        <f>(1 - CUSTOS!$M$26)*51.6328</f>
        <v>51.632800000000003</v>
      </c>
      <c r="AJ33" s="25">
        <f ca="1">$N$70*(1-CUSTOS!$M$26)</f>
        <v>111.84859638915164</v>
      </c>
      <c r="AK33" s="25">
        <f t="shared" ca="1" si="0"/>
        <v>111.84859638915164</v>
      </c>
      <c r="AL33" s="25"/>
      <c r="AM33" s="25"/>
      <c r="AP33" s="25">
        <f>IF((1 - CUSTOS!$M$26)&lt;&gt;0,1/(1 - CUSTOS!$M$26),1)</f>
        <v>1</v>
      </c>
    </row>
    <row r="34" spans="1:42" ht="11.25" customHeight="1" x14ac:dyDescent="0.25">
      <c r="A34" s="124"/>
      <c r="B34" s="124"/>
      <c r="C34" s="124"/>
      <c r="D34" s="29" t="s">
        <v>34</v>
      </c>
      <c r="E34" s="29" t="s">
        <v>25</v>
      </c>
      <c r="F34" s="29" t="s">
        <v>25</v>
      </c>
      <c r="G34" s="28" t="s">
        <v>92</v>
      </c>
      <c r="H34" s="28" t="s">
        <v>86</v>
      </c>
      <c r="I34" s="28">
        <f>'MERCADO TUSD'!$U$31</f>
        <v>0</v>
      </c>
      <c r="J34" s="18"/>
      <c r="L34" s="25">
        <v>0</v>
      </c>
      <c r="M34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CUSTOS!$M$27)</f>
        <v>0.84281690263389941</v>
      </c>
      <c r="N34" s="25">
        <f ca="1">(+M34+O34+R34+U34+V34+W34+X34+Y34+Z34+AA34+AC34+AH34+AI34+AJ34+AK34)*CUSTOS!$M$5</f>
        <v>5.7533320968093715</v>
      </c>
      <c r="O34" s="25">
        <f>1 - CUSTOS!$M$27</f>
        <v>1</v>
      </c>
      <c r="P34" s="25">
        <v>0</v>
      </c>
      <c r="Q34" s="25">
        <v>0</v>
      </c>
      <c r="R34" s="25">
        <v>0</v>
      </c>
      <c r="S34" s="25">
        <f>1 - CUSTOS!$M$27</f>
        <v>1</v>
      </c>
      <c r="T34" s="25"/>
      <c r="U34" s="25">
        <f>TRANSICAO!$U$34*CUSTOS!$T$3</f>
        <v>38.214799999999997</v>
      </c>
      <c r="V34" s="25">
        <f>TRANSICAO!$V$34*CUSTOS!$T$3</f>
        <v>5.6933999999999996</v>
      </c>
      <c r="W34" s="25">
        <f>TRANSICAO!$W$34*CUSTOS!$T$3</f>
        <v>-0.35930000000000001</v>
      </c>
      <c r="X34" s="25">
        <f>TRANSICAO!$X$34*CUSTOS!$T$3</f>
        <v>0</v>
      </c>
      <c r="Y34" s="25">
        <f>TRANSICAO!$Y$34*CUSTOS!$T$3</f>
        <v>0.16170000000000001</v>
      </c>
      <c r="Z34" s="25">
        <f>TRANSICAO!$Z$34*CUSTOS!$T$3</f>
        <v>0</v>
      </c>
      <c r="AA34" s="25">
        <f>TRANSICAO!$AA$34*CUSTOS!$T$3</f>
        <v>0</v>
      </c>
      <c r="AB34" s="25">
        <f>TRANSICAO!$AB$34*CUSTOS!$T$3</f>
        <v>0</v>
      </c>
      <c r="AC34" s="25">
        <f>TRANSICAO!$AC$34*CUSTOS!$T$3</f>
        <v>202.81700000000001</v>
      </c>
      <c r="AD34" s="25">
        <f>TRANSICAO!$AD$34*CUSTOS!$T$3</f>
        <v>0</v>
      </c>
      <c r="AE34" s="25">
        <v>0</v>
      </c>
      <c r="AF34" s="25">
        <v>0</v>
      </c>
      <c r="AG34" s="25"/>
      <c r="AH34" s="25">
        <f>(1 - CUSTOS!$M$27)*51.6328</f>
        <v>51.632800000000003</v>
      </c>
      <c r="AI34" s="25">
        <f>(1 - CUSTOS!$M$27)*51.6328</f>
        <v>51.632800000000003</v>
      </c>
      <c r="AJ34" s="25">
        <f ca="1">$N$70*(1-CUSTOS!$M$27)</f>
        <v>111.84859638915164</v>
      </c>
      <c r="AK34" s="25">
        <f t="shared" ca="1" si="0"/>
        <v>111.84859638915164</v>
      </c>
      <c r="AL34" s="25"/>
      <c r="AM34" s="25"/>
      <c r="AP34" s="25">
        <f>IF((1 - CUSTOS!$M$27)&lt;&gt;0,1/(1 - CUSTOS!$M$27),1)</f>
        <v>1</v>
      </c>
    </row>
    <row r="35" spans="1:42" ht="11.25" customHeight="1" x14ac:dyDescent="0.25">
      <c r="A35" s="124" t="s">
        <v>46</v>
      </c>
      <c r="B35" s="124" t="s">
        <v>39</v>
      </c>
      <c r="C35" s="124" t="s">
        <v>47</v>
      </c>
      <c r="D35" s="124" t="s">
        <v>25</v>
      </c>
      <c r="E35" s="124" t="s">
        <v>25</v>
      </c>
      <c r="F35" s="124" t="s">
        <v>25</v>
      </c>
      <c r="G35" s="28" t="s">
        <v>87</v>
      </c>
      <c r="H35" s="28" t="s">
        <v>86</v>
      </c>
      <c r="I35" s="28">
        <f>'MERCADO TUSD'!$U$32</f>
        <v>0</v>
      </c>
      <c r="J35" s="18"/>
      <c r="L35" s="25">
        <f>1*(1 - CUSTOS!$M$28)</f>
        <v>1</v>
      </c>
      <c r="M35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CUSTOS!$M$28)</f>
        <v>0.84281690263389941</v>
      </c>
      <c r="N35" s="25">
        <f ca="1">(+M35+O35+R35+U35+V35+W35+X35+Y35+Z35+AA35+AC35+AH35+AI35+AJ35+AK35)*CUSTOS!$M$5</f>
        <v>11.186940096809371</v>
      </c>
      <c r="O35" s="25">
        <f>1 - CUSTOS!$M$28</f>
        <v>1</v>
      </c>
      <c r="P35" s="25">
        <f>1 - CUSTOS!$M$28</f>
        <v>1</v>
      </c>
      <c r="Q35" s="25">
        <f>1*(1 - CUSTOS!$M$28)</f>
        <v>1</v>
      </c>
      <c r="R35" s="25">
        <f>1 - CUSTOS!$M$28</f>
        <v>1</v>
      </c>
      <c r="S35" s="25">
        <f>1 - CUSTOS!$M$28</f>
        <v>1</v>
      </c>
      <c r="T35" s="25"/>
      <c r="U35" s="25">
        <f>TRANSICAO!$U$35*CUSTOS!$T$3</f>
        <v>122.28740000000001</v>
      </c>
      <c r="V35" s="25">
        <f>TRANSICAO!$V$35*CUSTOS!$T$3</f>
        <v>18.219000000000001</v>
      </c>
      <c r="W35" s="25">
        <f>TRANSICAO!$W$35*CUSTOS!$T$3</f>
        <v>-1.1497999999999999</v>
      </c>
      <c r="X35" s="25">
        <f>TRANSICAO!$X$35*CUSTOS!$T$3</f>
        <v>0</v>
      </c>
      <c r="Y35" s="25">
        <f>TRANSICAO!$Y$35*CUSTOS!$T$3</f>
        <v>0.51749999999999996</v>
      </c>
      <c r="Z35" s="25">
        <f>TRANSICAO!$Z$35*CUSTOS!$T$3</f>
        <v>0</v>
      </c>
      <c r="AA35" s="25">
        <f>TRANSICAO!$AA$35*CUSTOS!$T$3</f>
        <v>0</v>
      </c>
      <c r="AB35" s="25">
        <f>TRANSICAO!$AB$35*CUSTOS!$T$3</f>
        <v>0</v>
      </c>
      <c r="AC35" s="25">
        <f>TRANSICAO!$AC$35*CUSTOS!$T$3</f>
        <v>649.01430000000005</v>
      </c>
      <c r="AD35" s="25">
        <f>TRANSICAO!$AD$35*CUSTOS!$T$3</f>
        <v>0</v>
      </c>
      <c r="AE35" s="25">
        <v>0</v>
      </c>
      <c r="AF35" s="25">
        <v>0</v>
      </c>
      <c r="AG35" s="25"/>
      <c r="AH35" s="25">
        <f>(1 - CUSTOS!$M$28)*51.6328</f>
        <v>51.632800000000003</v>
      </c>
      <c r="AI35" s="25">
        <f>(1 - CUSTOS!$M$28)*51.6328</f>
        <v>51.632800000000003</v>
      </c>
      <c r="AJ35" s="25">
        <f ca="1">$N$70*(1-CUSTOS!$M$28)</f>
        <v>111.84859638915164</v>
      </c>
      <c r="AK35" s="25">
        <f t="shared" ca="1" si="0"/>
        <v>111.84859638915164</v>
      </c>
      <c r="AL35" s="25"/>
      <c r="AM35" s="25"/>
      <c r="AP35" s="25">
        <f>IF((1 - CUSTOS!$M$28)&lt;&gt;0,1/(1 - CUSTOS!$M$28),1)</f>
        <v>1</v>
      </c>
    </row>
    <row r="36" spans="1:42" ht="11.25" customHeight="1" x14ac:dyDescent="0.25">
      <c r="A36" s="124"/>
      <c r="B36" s="124"/>
      <c r="C36" s="124"/>
      <c r="D36" s="124"/>
      <c r="E36" s="124"/>
      <c r="F36" s="124"/>
      <c r="G36" s="28" t="s">
        <v>98</v>
      </c>
      <c r="H36" s="28" t="s">
        <v>86</v>
      </c>
      <c r="I36" s="28">
        <f>'MERCADO TUSD'!$U$33</f>
        <v>5.0000000000000001E-3</v>
      </c>
      <c r="J36" s="18"/>
      <c r="L36" s="25">
        <f>1*(1 - CUSTOS!$M$28)</f>
        <v>1</v>
      </c>
      <c r="M36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CUSTOS!$M$28)</f>
        <v>0.84281690263389941</v>
      </c>
      <c r="N36" s="25">
        <f ca="1">(+M36+O36+R36+U36+V36+W36+X36+Y36+Z36+AA36+AC36+AH36+AI36+AJ36+AK36)*CUSTOS!$M$5</f>
        <v>8.0313860968093724</v>
      </c>
      <c r="O36" s="25">
        <f>1 - CUSTOS!$M$28</f>
        <v>1</v>
      </c>
      <c r="P36" s="25">
        <f>1 - CUSTOS!$M$28</f>
        <v>1</v>
      </c>
      <c r="Q36" s="25">
        <f>1*(1 - CUSTOS!$M$28)</f>
        <v>1</v>
      </c>
      <c r="R36" s="25">
        <f>1 - CUSTOS!$M$28</f>
        <v>1</v>
      </c>
      <c r="S36" s="25">
        <f>1 - CUSTOS!$M$28</f>
        <v>1</v>
      </c>
      <c r="T36" s="25"/>
      <c r="U36" s="25">
        <f>TRANSICAO!$U$36*CUSTOS!$T$3</f>
        <v>73.372399999999999</v>
      </c>
      <c r="V36" s="25">
        <f>TRANSICAO!$V$36*CUSTOS!$T$3</f>
        <v>10.9314</v>
      </c>
      <c r="W36" s="25">
        <f>TRANSICAO!$W$36*CUSTOS!$T$3</f>
        <v>-0.68989999999999996</v>
      </c>
      <c r="X36" s="25">
        <f>TRANSICAO!$X$36*CUSTOS!$T$3</f>
        <v>0</v>
      </c>
      <c r="Y36" s="25">
        <f>TRANSICAO!$Y$36*CUSTOS!$T$3</f>
        <v>0.3105</v>
      </c>
      <c r="Z36" s="25">
        <f>TRANSICAO!$Z$36*CUSTOS!$T$3</f>
        <v>0</v>
      </c>
      <c r="AA36" s="25">
        <f>TRANSICAO!$AA$36*CUSTOS!$T$3</f>
        <v>0</v>
      </c>
      <c r="AB36" s="25">
        <f>TRANSICAO!$AB$36*CUSTOS!$T$3</f>
        <v>0</v>
      </c>
      <c r="AC36" s="25">
        <f>TRANSICAO!$AC$36*CUSTOS!$T$3</f>
        <v>389.40859999999998</v>
      </c>
      <c r="AD36" s="25">
        <f>TRANSICAO!$AD$36*CUSTOS!$T$3</f>
        <v>0</v>
      </c>
      <c r="AE36" s="25">
        <v>0</v>
      </c>
      <c r="AF36" s="25">
        <v>0</v>
      </c>
      <c r="AG36" s="25"/>
      <c r="AH36" s="25">
        <f>(1 - CUSTOS!$M$28)*51.6328</f>
        <v>51.632800000000003</v>
      </c>
      <c r="AI36" s="25">
        <f>(1 - CUSTOS!$M$28)*51.6328</f>
        <v>51.632800000000003</v>
      </c>
      <c r="AJ36" s="25">
        <f ca="1">$N$70*(1-CUSTOS!$M$28)</f>
        <v>111.84859638915164</v>
      </c>
      <c r="AK36" s="25">
        <f t="shared" ca="1" si="0"/>
        <v>111.84859638915164</v>
      </c>
      <c r="AL36" s="25"/>
      <c r="AM36" s="25"/>
      <c r="AP36" s="25">
        <f>IF((1 - CUSTOS!$M$28)&lt;&gt;0,1/(1 - CUSTOS!$M$28),1)</f>
        <v>1</v>
      </c>
    </row>
    <row r="37" spans="1:42" ht="11.25" customHeight="1" x14ac:dyDescent="0.25">
      <c r="A37" s="124"/>
      <c r="B37" s="124"/>
      <c r="C37" s="124"/>
      <c r="D37" s="124"/>
      <c r="E37" s="124"/>
      <c r="F37" s="124"/>
      <c r="G37" s="28" t="s">
        <v>88</v>
      </c>
      <c r="H37" s="28" t="s">
        <v>86</v>
      </c>
      <c r="I37" s="28">
        <f>'MERCADO TUSD'!$U$34</f>
        <v>0.54600000000000004</v>
      </c>
      <c r="J37" s="18"/>
      <c r="L37" s="25">
        <f>1*(1 - CUSTOS!$M$28)</f>
        <v>1</v>
      </c>
      <c r="M37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CUSTOS!$M$28)</f>
        <v>0.84281690263389941</v>
      </c>
      <c r="N37" s="25">
        <f ca="1">(+M37+O37+R37+U37+V37+W37+X37+Y37+Z37+AA37+AC37+AH37+AI37+AJ37+AK37)*CUSTOS!$M$5</f>
        <v>4.8758330968093713</v>
      </c>
      <c r="O37" s="25">
        <f>1 - CUSTOS!$M$28</f>
        <v>1</v>
      </c>
      <c r="P37" s="25">
        <f>1 - CUSTOS!$M$28</f>
        <v>1</v>
      </c>
      <c r="Q37" s="25">
        <f>1*(1 - CUSTOS!$M$28)</f>
        <v>1</v>
      </c>
      <c r="R37" s="25">
        <f>1 - CUSTOS!$M$28</f>
        <v>1</v>
      </c>
      <c r="S37" s="25">
        <f>1 - CUSTOS!$M$28</f>
        <v>1</v>
      </c>
      <c r="T37" s="25"/>
      <c r="U37" s="25">
        <f>TRANSICAO!$U$37*CUSTOS!$T$3</f>
        <v>24.4575</v>
      </c>
      <c r="V37" s="25">
        <f>TRANSICAO!$V$37*CUSTOS!$T$3</f>
        <v>3.6438000000000001</v>
      </c>
      <c r="W37" s="25">
        <f>TRANSICAO!$W$37*CUSTOS!$T$3</f>
        <v>-0.23</v>
      </c>
      <c r="X37" s="25">
        <f>TRANSICAO!$X$37*CUSTOS!$T$3</f>
        <v>0</v>
      </c>
      <c r="Y37" s="25">
        <f>TRANSICAO!$Y$37*CUSTOS!$T$3</f>
        <v>0.10349999999999999</v>
      </c>
      <c r="Z37" s="25">
        <f>TRANSICAO!$Z$37*CUSTOS!$T$3</f>
        <v>0</v>
      </c>
      <c r="AA37" s="25">
        <f>TRANSICAO!$AA$37*CUSTOS!$T$3</f>
        <v>0</v>
      </c>
      <c r="AB37" s="25">
        <f>TRANSICAO!$AB$37*CUSTOS!$T$3</f>
        <v>0</v>
      </c>
      <c r="AC37" s="25">
        <f>TRANSICAO!$AC$37*CUSTOS!$T$3</f>
        <v>129.80289999999999</v>
      </c>
      <c r="AD37" s="25">
        <f>TRANSICAO!$AD$37*CUSTOS!$T$3</f>
        <v>0</v>
      </c>
      <c r="AE37" s="25">
        <v>0</v>
      </c>
      <c r="AF37" s="25">
        <v>0</v>
      </c>
      <c r="AG37" s="25"/>
      <c r="AH37" s="25">
        <f>(1 - CUSTOS!$M$28)*51.6328</f>
        <v>51.632800000000003</v>
      </c>
      <c r="AI37" s="25">
        <f>(1 - CUSTOS!$M$28)*51.6328</f>
        <v>51.632800000000003</v>
      </c>
      <c r="AJ37" s="25">
        <f ca="1">$N$70*(1-CUSTOS!$M$28)</f>
        <v>111.84859638915164</v>
      </c>
      <c r="AK37" s="25">
        <f t="shared" ref="AK37:AK56" ca="1" si="1">AJ37</f>
        <v>111.84859638915164</v>
      </c>
      <c r="AL37" s="25"/>
      <c r="AM37" s="25"/>
      <c r="AP37" s="25">
        <f>IF((1 - CUSTOS!$M$28)&lt;&gt;0,1/(1 - CUSTOS!$M$28),1)</f>
        <v>1</v>
      </c>
    </row>
    <row r="38" spans="1:42" ht="11.25" customHeight="1" x14ac:dyDescent="0.25">
      <c r="A38" s="124"/>
      <c r="B38" s="29" t="s">
        <v>23</v>
      </c>
      <c r="C38" s="29" t="s">
        <v>47</v>
      </c>
      <c r="D38" s="29" t="s">
        <v>25</v>
      </c>
      <c r="E38" s="29" t="s">
        <v>25</v>
      </c>
      <c r="F38" s="29" t="s">
        <v>25</v>
      </c>
      <c r="G38" s="28" t="s">
        <v>92</v>
      </c>
      <c r="H38" s="28" t="s">
        <v>86</v>
      </c>
      <c r="I38" s="28">
        <f>'MERCADO TUSD'!$U$35</f>
        <v>64418.971000000005</v>
      </c>
      <c r="J38" s="18"/>
      <c r="L38" s="25">
        <f>1*(1 - CUSTOS!$M$28)</f>
        <v>1</v>
      </c>
      <c r="M38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CUSTOS!$M$28)</f>
        <v>0.84281690263389941</v>
      </c>
      <c r="N38" s="25">
        <f ca="1">(+M38+O38+R38+U38+V38+W38+X38+Y38+Z38+AA38+AC38+AH38+AI38+AJ38+AK38)*CUSTOS!$M$5</f>
        <v>5.7633320968093713</v>
      </c>
      <c r="O38" s="25">
        <f>1 - CUSTOS!$M$28</f>
        <v>1</v>
      </c>
      <c r="P38" s="25">
        <f>1 - CUSTOS!$M$28</f>
        <v>1</v>
      </c>
      <c r="Q38" s="25">
        <f>1*(1 - CUSTOS!$M$28)</f>
        <v>1</v>
      </c>
      <c r="R38" s="25">
        <f>1 - CUSTOS!$M$28</f>
        <v>1</v>
      </c>
      <c r="S38" s="25">
        <f>1 - CUSTOS!$M$28</f>
        <v>1</v>
      </c>
      <c r="T38" s="25"/>
      <c r="U38" s="25">
        <f>TRANSICAO!$U$38*CUSTOS!$T$3</f>
        <v>38.214799999999997</v>
      </c>
      <c r="V38" s="25">
        <f>TRANSICAO!$V$38*CUSTOS!$T$3</f>
        <v>5.6933999999999996</v>
      </c>
      <c r="W38" s="25">
        <f>TRANSICAO!$W$38*CUSTOS!$T$3</f>
        <v>-0.35930000000000001</v>
      </c>
      <c r="X38" s="25">
        <f>TRANSICAO!$X$38*CUSTOS!$T$3</f>
        <v>0</v>
      </c>
      <c r="Y38" s="25">
        <f>TRANSICAO!$Y$38*CUSTOS!$T$3</f>
        <v>0.16170000000000001</v>
      </c>
      <c r="Z38" s="25">
        <f>TRANSICAO!$Z$38*CUSTOS!$T$3</f>
        <v>0</v>
      </c>
      <c r="AA38" s="25">
        <f>TRANSICAO!$AA$38*CUSTOS!$T$3</f>
        <v>0</v>
      </c>
      <c r="AB38" s="25">
        <f>TRANSICAO!$AB$38*CUSTOS!$T$3</f>
        <v>0</v>
      </c>
      <c r="AC38" s="25">
        <f>TRANSICAO!$AC$38*CUSTOS!$T$3</f>
        <v>202.81700000000001</v>
      </c>
      <c r="AD38" s="25">
        <f>TRANSICAO!$AD$38*CUSTOS!$T$3</f>
        <v>0</v>
      </c>
      <c r="AE38" s="25">
        <v>0</v>
      </c>
      <c r="AF38" s="25">
        <v>0</v>
      </c>
      <c r="AG38" s="25"/>
      <c r="AH38" s="25">
        <f>(1 - CUSTOS!$M$28)*51.6328</f>
        <v>51.632800000000003</v>
      </c>
      <c r="AI38" s="25">
        <f>(1 - CUSTOS!$M$28)*51.6328</f>
        <v>51.632800000000003</v>
      </c>
      <c r="AJ38" s="25">
        <f ca="1">$N$70*(1-CUSTOS!$M$28)</f>
        <v>111.84859638915164</v>
      </c>
      <c r="AK38" s="25">
        <f t="shared" ca="1" si="1"/>
        <v>111.84859638915164</v>
      </c>
      <c r="AL38" s="25"/>
      <c r="AM38" s="25"/>
      <c r="AP38" s="25">
        <f>IF((1 - CUSTOS!$M$28)&lt;&gt;0,1/(1 - CUSTOS!$M$28),1)</f>
        <v>1</v>
      </c>
    </row>
    <row r="39" spans="1:42" ht="11.25" customHeight="1" x14ac:dyDescent="0.25">
      <c r="A39" s="124"/>
      <c r="B39" s="124" t="s">
        <v>39</v>
      </c>
      <c r="C39" s="124" t="s">
        <v>47</v>
      </c>
      <c r="D39" s="124" t="s">
        <v>101</v>
      </c>
      <c r="E39" s="124" t="s">
        <v>25</v>
      </c>
      <c r="F39" s="124" t="s">
        <v>25</v>
      </c>
      <c r="G39" s="28" t="s">
        <v>87</v>
      </c>
      <c r="H39" s="28" t="s">
        <v>86</v>
      </c>
      <c r="I39" s="28">
        <f>'MERCADO TUSD'!$U$36</f>
        <v>0</v>
      </c>
      <c r="J39" s="18"/>
      <c r="L39" s="25">
        <f>1*(1 - CUSTOS!$M$29)</f>
        <v>1</v>
      </c>
      <c r="M39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CUSTOS!$M$29)</f>
        <v>0.84281690263389941</v>
      </c>
      <c r="N39" s="25">
        <f ca="1">(+M39+O39+R39+U39+V39+W39+X39+Y39+Z39+AA39+AC39+AH39+AI39+AJ39+AK39)*CUSTOS!$M$5</f>
        <v>11.186940096809371</v>
      </c>
      <c r="O39" s="25">
        <f>1 - CUSTOS!$M$29</f>
        <v>1</v>
      </c>
      <c r="P39" s="25">
        <f>1 - CUSTOS!$M$29</f>
        <v>1</v>
      </c>
      <c r="Q39" s="25">
        <f>1*(1 - CUSTOS!$M$29)</f>
        <v>1</v>
      </c>
      <c r="R39" s="25">
        <f>1 - CUSTOS!$M$29</f>
        <v>1</v>
      </c>
      <c r="S39" s="25">
        <f>1 - CUSTOS!$M$29</f>
        <v>1</v>
      </c>
      <c r="T39" s="25"/>
      <c r="U39" s="25">
        <f>TRANSICAO!$U$39*CUSTOS!$T$3</f>
        <v>122.28740000000001</v>
      </c>
      <c r="V39" s="25">
        <f>TRANSICAO!$V$39*CUSTOS!$T$3</f>
        <v>18.219000000000001</v>
      </c>
      <c r="W39" s="25">
        <f>TRANSICAO!$W$39*CUSTOS!$T$3</f>
        <v>-1.1497999999999999</v>
      </c>
      <c r="X39" s="25">
        <f>TRANSICAO!$X$39*CUSTOS!$T$3</f>
        <v>0</v>
      </c>
      <c r="Y39" s="25">
        <f>TRANSICAO!$Y$39*CUSTOS!$T$3</f>
        <v>0.51749999999999996</v>
      </c>
      <c r="Z39" s="25">
        <f>TRANSICAO!$Z$39*CUSTOS!$T$3</f>
        <v>0</v>
      </c>
      <c r="AA39" s="25">
        <f>TRANSICAO!$AA$39*CUSTOS!$T$3</f>
        <v>0</v>
      </c>
      <c r="AB39" s="25">
        <f>TRANSICAO!$AB$39*CUSTOS!$T$3</f>
        <v>0</v>
      </c>
      <c r="AC39" s="25">
        <f>TRANSICAO!$AC$39*CUSTOS!$T$3</f>
        <v>649.01430000000005</v>
      </c>
      <c r="AD39" s="25">
        <f>TRANSICAO!$AD$39*CUSTOS!$T$3</f>
        <v>0</v>
      </c>
      <c r="AE39" s="25">
        <v>0</v>
      </c>
      <c r="AF39" s="25">
        <v>0</v>
      </c>
      <c r="AG39" s="25"/>
      <c r="AH39" s="25">
        <f>(1 - CUSTOS!$M$29)*51.6328</f>
        <v>51.632800000000003</v>
      </c>
      <c r="AI39" s="25">
        <f>(1 - CUSTOS!$M$29)*51.6328</f>
        <v>51.632800000000003</v>
      </c>
      <c r="AJ39" s="25">
        <f ca="1">$N$70*(1-CUSTOS!$M$29)</f>
        <v>111.84859638915164</v>
      </c>
      <c r="AK39" s="25">
        <f t="shared" ca="1" si="1"/>
        <v>111.84859638915164</v>
      </c>
      <c r="AL39" s="25"/>
      <c r="AM39" s="25"/>
      <c r="AP39" s="25">
        <f>IF((1 - CUSTOS!$M$29)&lt;&gt;0,1/(1 - CUSTOS!$M$29),1)</f>
        <v>1</v>
      </c>
    </row>
    <row r="40" spans="1:42" ht="11.25" customHeight="1" x14ac:dyDescent="0.25">
      <c r="A40" s="124"/>
      <c r="B40" s="124"/>
      <c r="C40" s="124"/>
      <c r="D40" s="124"/>
      <c r="E40" s="124"/>
      <c r="F40" s="124"/>
      <c r="G40" s="28" t="s">
        <v>98</v>
      </c>
      <c r="H40" s="28" t="s">
        <v>86</v>
      </c>
      <c r="I40" s="28">
        <f>'MERCADO TUSD'!$U$37</f>
        <v>0</v>
      </c>
      <c r="J40" s="18"/>
      <c r="L40" s="25">
        <f>1*(1 - CUSTOS!$M$29)</f>
        <v>1</v>
      </c>
      <c r="M40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CUSTOS!$M$29)</f>
        <v>0.84281690263389941</v>
      </c>
      <c r="N40" s="25">
        <f ca="1">(+M40+O40+R40+U40+V40+W40+X40+Y40+Z40+AA40+AC40+AH40+AI40+AJ40+AK40)*CUSTOS!$M$5</f>
        <v>8.0313860968093724</v>
      </c>
      <c r="O40" s="25">
        <f>1 - CUSTOS!$M$29</f>
        <v>1</v>
      </c>
      <c r="P40" s="25">
        <f>1 - CUSTOS!$M$29</f>
        <v>1</v>
      </c>
      <c r="Q40" s="25">
        <f>1*(1 - CUSTOS!$M$29)</f>
        <v>1</v>
      </c>
      <c r="R40" s="25">
        <f>1 - CUSTOS!$M$29</f>
        <v>1</v>
      </c>
      <c r="S40" s="25">
        <f>1 - CUSTOS!$M$29</f>
        <v>1</v>
      </c>
      <c r="T40" s="25"/>
      <c r="U40" s="25">
        <f>TRANSICAO!$U$40*CUSTOS!$T$3</f>
        <v>73.372399999999999</v>
      </c>
      <c r="V40" s="25">
        <f>TRANSICAO!$V$40*CUSTOS!$T$3</f>
        <v>10.9314</v>
      </c>
      <c r="W40" s="25">
        <f>TRANSICAO!$W$40*CUSTOS!$T$3</f>
        <v>-0.68989999999999996</v>
      </c>
      <c r="X40" s="25">
        <f>TRANSICAO!$X$40*CUSTOS!$T$3</f>
        <v>0</v>
      </c>
      <c r="Y40" s="25">
        <f>TRANSICAO!$Y$40*CUSTOS!$T$3</f>
        <v>0.3105</v>
      </c>
      <c r="Z40" s="25">
        <f>TRANSICAO!$Z$40*CUSTOS!$T$3</f>
        <v>0</v>
      </c>
      <c r="AA40" s="25">
        <f>TRANSICAO!$AA$40*CUSTOS!$T$3</f>
        <v>0</v>
      </c>
      <c r="AB40" s="25">
        <f>TRANSICAO!$AB$40*CUSTOS!$T$3</f>
        <v>0</v>
      </c>
      <c r="AC40" s="25">
        <f>TRANSICAO!$AC$40*CUSTOS!$T$3</f>
        <v>389.40859999999998</v>
      </c>
      <c r="AD40" s="25">
        <f>TRANSICAO!$AD$40*CUSTOS!$T$3</f>
        <v>0</v>
      </c>
      <c r="AE40" s="25">
        <v>0</v>
      </c>
      <c r="AF40" s="25">
        <v>0</v>
      </c>
      <c r="AG40" s="25"/>
      <c r="AH40" s="25">
        <f>(1 - CUSTOS!$M$29)*51.6328</f>
        <v>51.632800000000003</v>
      </c>
      <c r="AI40" s="25">
        <f>(1 - CUSTOS!$M$29)*51.6328</f>
        <v>51.632800000000003</v>
      </c>
      <c r="AJ40" s="25">
        <f ca="1">$N$70*(1-CUSTOS!$M$29)</f>
        <v>111.84859638915164</v>
      </c>
      <c r="AK40" s="25">
        <f t="shared" ca="1" si="1"/>
        <v>111.84859638915164</v>
      </c>
      <c r="AL40" s="25"/>
      <c r="AM40" s="25"/>
      <c r="AP40" s="25">
        <f>IF((1 - CUSTOS!$M$29)&lt;&gt;0,1/(1 - CUSTOS!$M$29),1)</f>
        <v>1</v>
      </c>
    </row>
    <row r="41" spans="1:42" ht="11.25" customHeight="1" x14ac:dyDescent="0.25">
      <c r="A41" s="124"/>
      <c r="B41" s="124"/>
      <c r="C41" s="124"/>
      <c r="D41" s="124"/>
      <c r="E41" s="124"/>
      <c r="F41" s="124"/>
      <c r="G41" s="28" t="s">
        <v>88</v>
      </c>
      <c r="H41" s="28" t="s">
        <v>86</v>
      </c>
      <c r="I41" s="28">
        <f>'MERCADO TUSD'!$U$38</f>
        <v>0</v>
      </c>
      <c r="J41" s="18"/>
      <c r="L41" s="25">
        <f>1*(1 - CUSTOS!$M$29)</f>
        <v>1</v>
      </c>
      <c r="M41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CUSTOS!$M$29)</f>
        <v>0.84281690263389941</v>
      </c>
      <c r="N41" s="25">
        <f ca="1">(+M41+O41+R41+U41+V41+W41+X41+Y41+Z41+AA41+AC41+AH41+AI41+AJ41+AK41)*CUSTOS!$M$5</f>
        <v>4.8758330968093713</v>
      </c>
      <c r="O41" s="25">
        <f>1 - CUSTOS!$M$29</f>
        <v>1</v>
      </c>
      <c r="P41" s="25">
        <f>1 - CUSTOS!$M$29</f>
        <v>1</v>
      </c>
      <c r="Q41" s="25">
        <f>1*(1 - CUSTOS!$M$29)</f>
        <v>1</v>
      </c>
      <c r="R41" s="25">
        <f>1 - CUSTOS!$M$29</f>
        <v>1</v>
      </c>
      <c r="S41" s="25">
        <f>1 - CUSTOS!$M$29</f>
        <v>1</v>
      </c>
      <c r="T41" s="25"/>
      <c r="U41" s="25">
        <f>TRANSICAO!$U$41*CUSTOS!$T$3</f>
        <v>24.4575</v>
      </c>
      <c r="V41" s="25">
        <f>TRANSICAO!$V$41*CUSTOS!$T$3</f>
        <v>3.6438000000000001</v>
      </c>
      <c r="W41" s="25">
        <f>TRANSICAO!$W$41*CUSTOS!$T$3</f>
        <v>-0.23</v>
      </c>
      <c r="X41" s="25">
        <f>TRANSICAO!$X$41*CUSTOS!$T$3</f>
        <v>0</v>
      </c>
      <c r="Y41" s="25">
        <f>TRANSICAO!$Y$41*CUSTOS!$T$3</f>
        <v>0.10349999999999999</v>
      </c>
      <c r="Z41" s="25">
        <f>TRANSICAO!$Z$41*CUSTOS!$T$3</f>
        <v>0</v>
      </c>
      <c r="AA41" s="25">
        <f>TRANSICAO!$AA$41*CUSTOS!$T$3</f>
        <v>0</v>
      </c>
      <c r="AB41" s="25">
        <f>TRANSICAO!$AB$41*CUSTOS!$T$3</f>
        <v>0</v>
      </c>
      <c r="AC41" s="25">
        <f>TRANSICAO!$AC$41*CUSTOS!$T$3</f>
        <v>129.80289999999999</v>
      </c>
      <c r="AD41" s="25">
        <f>TRANSICAO!$AD$41*CUSTOS!$T$3</f>
        <v>0</v>
      </c>
      <c r="AE41" s="25">
        <v>0</v>
      </c>
      <c r="AF41" s="25">
        <v>0</v>
      </c>
      <c r="AG41" s="25"/>
      <c r="AH41" s="25">
        <f>(1 - CUSTOS!$M$29)*51.6328</f>
        <v>51.632800000000003</v>
      </c>
      <c r="AI41" s="25">
        <f>(1 - CUSTOS!$M$29)*51.6328</f>
        <v>51.632800000000003</v>
      </c>
      <c r="AJ41" s="25">
        <f ca="1">$N$70*(1-CUSTOS!$M$29)</f>
        <v>111.84859638915164</v>
      </c>
      <c r="AK41" s="25">
        <f t="shared" ca="1" si="1"/>
        <v>111.84859638915164</v>
      </c>
      <c r="AL41" s="25"/>
      <c r="AM41" s="25"/>
      <c r="AP41" s="25">
        <f>IF((1 - CUSTOS!$M$29)&lt;&gt;0,1/(1 - CUSTOS!$M$29),1)</f>
        <v>1</v>
      </c>
    </row>
    <row r="42" spans="1:42" ht="11.25" customHeight="1" x14ac:dyDescent="0.25">
      <c r="A42" s="124"/>
      <c r="B42" s="29" t="s">
        <v>23</v>
      </c>
      <c r="C42" s="29" t="s">
        <v>47</v>
      </c>
      <c r="D42" s="29" t="s">
        <v>101</v>
      </c>
      <c r="E42" s="29" t="s">
        <v>25</v>
      </c>
      <c r="F42" s="29" t="s">
        <v>25</v>
      </c>
      <c r="G42" s="28" t="s">
        <v>92</v>
      </c>
      <c r="H42" s="28" t="s">
        <v>86</v>
      </c>
      <c r="I42" s="28">
        <f>'MERCADO TUSD'!$U$39</f>
        <v>0</v>
      </c>
      <c r="J42" s="18"/>
      <c r="L42" s="25">
        <f>1*(1 - CUSTOS!$M$29)</f>
        <v>1</v>
      </c>
      <c r="M42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CUSTOS!$M$29)</f>
        <v>0.84281690263389941</v>
      </c>
      <c r="N42" s="25">
        <f ca="1">(+M42+O42+R42+U42+V42+W42+X42+Y42+Z42+AA42+AC42+AH42+AI42+AJ42+AK42)*CUSTOS!$M$5</f>
        <v>5.7633320968093713</v>
      </c>
      <c r="O42" s="25">
        <f>1 - CUSTOS!$M$29</f>
        <v>1</v>
      </c>
      <c r="P42" s="25">
        <f>1 - CUSTOS!$M$29</f>
        <v>1</v>
      </c>
      <c r="Q42" s="25">
        <f>1*(1 - CUSTOS!$M$29)</f>
        <v>1</v>
      </c>
      <c r="R42" s="25">
        <f>1 - CUSTOS!$M$29</f>
        <v>1</v>
      </c>
      <c r="S42" s="25">
        <f>1 - CUSTOS!$M$29</f>
        <v>1</v>
      </c>
      <c r="T42" s="25"/>
      <c r="U42" s="25">
        <f>TRANSICAO!$U$42*CUSTOS!$T$3</f>
        <v>38.214799999999997</v>
      </c>
      <c r="V42" s="25">
        <f>TRANSICAO!$V$42*CUSTOS!$T$3</f>
        <v>5.6933999999999996</v>
      </c>
      <c r="W42" s="25">
        <f>TRANSICAO!$W$42*CUSTOS!$T$3</f>
        <v>-0.35930000000000001</v>
      </c>
      <c r="X42" s="25">
        <f>TRANSICAO!$X$42*CUSTOS!$T$3</f>
        <v>0</v>
      </c>
      <c r="Y42" s="25">
        <f>TRANSICAO!$Y$42*CUSTOS!$T$3</f>
        <v>0.16170000000000001</v>
      </c>
      <c r="Z42" s="25">
        <f>TRANSICAO!$Z$42*CUSTOS!$T$3</f>
        <v>0</v>
      </c>
      <c r="AA42" s="25">
        <f>TRANSICAO!$AA$42*CUSTOS!$T$3</f>
        <v>0</v>
      </c>
      <c r="AB42" s="25">
        <f>TRANSICAO!$AB$42*CUSTOS!$T$3</f>
        <v>0</v>
      </c>
      <c r="AC42" s="25">
        <f>TRANSICAO!$AC$42*CUSTOS!$T$3</f>
        <v>202.81700000000001</v>
      </c>
      <c r="AD42" s="25">
        <f>TRANSICAO!$AD$42*CUSTOS!$T$3</f>
        <v>0</v>
      </c>
      <c r="AE42" s="25">
        <v>0</v>
      </c>
      <c r="AF42" s="25">
        <v>0</v>
      </c>
      <c r="AG42" s="25"/>
      <c r="AH42" s="25">
        <f>(1 - CUSTOS!$M$29)*51.6328</f>
        <v>51.632800000000003</v>
      </c>
      <c r="AI42" s="25">
        <f>(1 - CUSTOS!$M$29)*51.6328</f>
        <v>51.632800000000003</v>
      </c>
      <c r="AJ42" s="25">
        <f ca="1">$N$70*(1-CUSTOS!$M$29)</f>
        <v>111.84859638915164</v>
      </c>
      <c r="AK42" s="25">
        <f t="shared" ca="1" si="1"/>
        <v>111.84859638915164</v>
      </c>
      <c r="AL42" s="25"/>
      <c r="AM42" s="25"/>
      <c r="AP42" s="25">
        <f>IF((1 - CUSTOS!$M$29)&lt;&gt;0,1/(1 - CUSTOS!$M$29),1)</f>
        <v>1</v>
      </c>
    </row>
    <row r="43" spans="1:42" ht="11.25" customHeight="1" x14ac:dyDescent="0.25">
      <c r="A43" s="124"/>
      <c r="B43" s="124" t="s">
        <v>39</v>
      </c>
      <c r="C43" s="124" t="s">
        <v>47</v>
      </c>
      <c r="D43" s="124" t="s">
        <v>55</v>
      </c>
      <c r="E43" s="124" t="s">
        <v>25</v>
      </c>
      <c r="F43" s="124" t="s">
        <v>25</v>
      </c>
      <c r="G43" s="28" t="s">
        <v>87</v>
      </c>
      <c r="H43" s="28" t="s">
        <v>86</v>
      </c>
      <c r="I43" s="28">
        <f>'MERCADO TUSD'!$U$40</f>
        <v>0</v>
      </c>
      <c r="J43" s="18"/>
      <c r="L43" s="25">
        <f>1*(1 - CUSTOS!$M$30)</f>
        <v>1</v>
      </c>
      <c r="M43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CUSTOS!$M$30)</f>
        <v>0.84281690263389941</v>
      </c>
      <c r="N43" s="25">
        <f ca="1">(+M43+O43+R43+U43+V43+W43+X43+Y43+Z43+AA43+AC43+AH43+AI43+AJ43+AK43)*CUSTOS!$M$5</f>
        <v>11.186940096809371</v>
      </c>
      <c r="O43" s="25">
        <f>1 - CUSTOS!$M$30</f>
        <v>1</v>
      </c>
      <c r="P43" s="25">
        <f>1 - CUSTOS!$M$30</f>
        <v>1</v>
      </c>
      <c r="Q43" s="25">
        <f>1*(1 - CUSTOS!$M$30)</f>
        <v>1</v>
      </c>
      <c r="R43" s="25">
        <f>1 - CUSTOS!$M$30</f>
        <v>1</v>
      </c>
      <c r="S43" s="25">
        <f>1 - CUSTOS!$M$30</f>
        <v>1</v>
      </c>
      <c r="T43" s="25"/>
      <c r="U43" s="25">
        <f>TRANSICAO!$U$43*CUSTOS!$T$3</f>
        <v>122.28740000000001</v>
      </c>
      <c r="V43" s="25">
        <f>TRANSICAO!$V$43*CUSTOS!$T$3</f>
        <v>18.219000000000001</v>
      </c>
      <c r="W43" s="25">
        <f>TRANSICAO!$W$43*CUSTOS!$T$3</f>
        <v>-1.1497999999999999</v>
      </c>
      <c r="X43" s="25">
        <f>TRANSICAO!$X$43*CUSTOS!$T$3</f>
        <v>0</v>
      </c>
      <c r="Y43" s="25">
        <f>TRANSICAO!$Y$43*CUSTOS!$T$3</f>
        <v>0.51749999999999996</v>
      </c>
      <c r="Z43" s="25">
        <f>TRANSICAO!$Z$43*CUSTOS!$T$3</f>
        <v>0</v>
      </c>
      <c r="AA43" s="25">
        <f>TRANSICAO!$AA$43*CUSTOS!$T$3</f>
        <v>0</v>
      </c>
      <c r="AB43" s="25">
        <f>TRANSICAO!$AB$43*CUSTOS!$T$3</f>
        <v>0</v>
      </c>
      <c r="AC43" s="25">
        <f>TRANSICAO!$AC$43*CUSTOS!$T$3</f>
        <v>649.01430000000005</v>
      </c>
      <c r="AD43" s="25">
        <f>TRANSICAO!$AD$43*CUSTOS!$T$3</f>
        <v>0</v>
      </c>
      <c r="AE43" s="25">
        <v>0</v>
      </c>
      <c r="AF43" s="25">
        <v>0</v>
      </c>
      <c r="AG43" s="25"/>
      <c r="AH43" s="25">
        <f>(1 - CUSTOS!$M$30)*51.6328</f>
        <v>51.632800000000003</v>
      </c>
      <c r="AI43" s="25">
        <f>(1 - CUSTOS!$M$30)*51.6328</f>
        <v>51.632800000000003</v>
      </c>
      <c r="AJ43" s="25">
        <f ca="1">$N$70*(1-CUSTOS!$M$30)</f>
        <v>111.84859638915164</v>
      </c>
      <c r="AK43" s="25">
        <f t="shared" ca="1" si="1"/>
        <v>111.84859638915164</v>
      </c>
      <c r="AL43" s="25"/>
      <c r="AM43" s="25"/>
      <c r="AP43" s="25">
        <f>IF((1 - CUSTOS!$M$30)&lt;&gt;0,1/(1 - CUSTOS!$M$30),1)</f>
        <v>1</v>
      </c>
    </row>
    <row r="44" spans="1:42" ht="11.25" customHeight="1" x14ac:dyDescent="0.25">
      <c r="A44" s="124"/>
      <c r="B44" s="124"/>
      <c r="C44" s="124"/>
      <c r="D44" s="124"/>
      <c r="E44" s="124"/>
      <c r="F44" s="124"/>
      <c r="G44" s="28" t="s">
        <v>98</v>
      </c>
      <c r="H44" s="28" t="s">
        <v>86</v>
      </c>
      <c r="I44" s="28">
        <f>'MERCADO TUSD'!$U$41</f>
        <v>0</v>
      </c>
      <c r="J44" s="18"/>
      <c r="L44" s="25">
        <f>1*(1 - CUSTOS!$M$30)</f>
        <v>1</v>
      </c>
      <c r="M44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CUSTOS!$M$30)</f>
        <v>0.84281690263389941</v>
      </c>
      <c r="N44" s="25">
        <f ca="1">(+M44+O44+R44+U44+V44+W44+X44+Y44+Z44+AA44+AC44+AH44+AI44+AJ44+AK44)*CUSTOS!$M$5</f>
        <v>8.0313860968093724</v>
      </c>
      <c r="O44" s="25">
        <f>1 - CUSTOS!$M$30</f>
        <v>1</v>
      </c>
      <c r="P44" s="25">
        <f>1 - CUSTOS!$M$30</f>
        <v>1</v>
      </c>
      <c r="Q44" s="25">
        <f>1*(1 - CUSTOS!$M$30)</f>
        <v>1</v>
      </c>
      <c r="R44" s="25">
        <f>1 - CUSTOS!$M$30</f>
        <v>1</v>
      </c>
      <c r="S44" s="25">
        <f>1 - CUSTOS!$M$30</f>
        <v>1</v>
      </c>
      <c r="T44" s="25"/>
      <c r="U44" s="25">
        <f>TRANSICAO!$U$44*CUSTOS!$T$3</f>
        <v>73.372399999999999</v>
      </c>
      <c r="V44" s="25">
        <f>TRANSICAO!$V$44*CUSTOS!$T$3</f>
        <v>10.9314</v>
      </c>
      <c r="W44" s="25">
        <f>TRANSICAO!$W$44*CUSTOS!$T$3</f>
        <v>-0.68989999999999996</v>
      </c>
      <c r="X44" s="25">
        <f>TRANSICAO!$X$44*CUSTOS!$T$3</f>
        <v>0</v>
      </c>
      <c r="Y44" s="25">
        <f>TRANSICAO!$Y$44*CUSTOS!$T$3</f>
        <v>0.3105</v>
      </c>
      <c r="Z44" s="25">
        <f>TRANSICAO!$Z$44*CUSTOS!$T$3</f>
        <v>0</v>
      </c>
      <c r="AA44" s="25">
        <f>TRANSICAO!$AA$44*CUSTOS!$T$3</f>
        <v>0</v>
      </c>
      <c r="AB44" s="25">
        <f>TRANSICAO!$AB$44*CUSTOS!$T$3</f>
        <v>0</v>
      </c>
      <c r="AC44" s="25">
        <f>TRANSICAO!$AC$44*CUSTOS!$T$3</f>
        <v>389.40859999999998</v>
      </c>
      <c r="AD44" s="25">
        <f>TRANSICAO!$AD$44*CUSTOS!$T$3</f>
        <v>0</v>
      </c>
      <c r="AE44" s="25">
        <v>0</v>
      </c>
      <c r="AF44" s="25">
        <v>0</v>
      </c>
      <c r="AG44" s="25"/>
      <c r="AH44" s="25">
        <f>(1 - CUSTOS!$M$30)*51.6328</f>
        <v>51.632800000000003</v>
      </c>
      <c r="AI44" s="25">
        <f>(1 - CUSTOS!$M$30)*51.6328</f>
        <v>51.632800000000003</v>
      </c>
      <c r="AJ44" s="25">
        <f ca="1">$N$70*(1-CUSTOS!$M$30)</f>
        <v>111.84859638915164</v>
      </c>
      <c r="AK44" s="25">
        <f t="shared" ca="1" si="1"/>
        <v>111.84859638915164</v>
      </c>
      <c r="AL44" s="25"/>
      <c r="AM44" s="25"/>
      <c r="AP44" s="25">
        <f>IF((1 - CUSTOS!$M$30)&lt;&gt;0,1/(1 - CUSTOS!$M$30),1)</f>
        <v>1</v>
      </c>
    </row>
    <row r="45" spans="1:42" ht="11.25" customHeight="1" x14ac:dyDescent="0.25">
      <c r="A45" s="124"/>
      <c r="B45" s="124"/>
      <c r="C45" s="124"/>
      <c r="D45" s="124"/>
      <c r="E45" s="124"/>
      <c r="F45" s="124"/>
      <c r="G45" s="28" t="s">
        <v>88</v>
      </c>
      <c r="H45" s="28" t="s">
        <v>86</v>
      </c>
      <c r="I45" s="28">
        <f>'MERCADO TUSD'!$U$42</f>
        <v>0</v>
      </c>
      <c r="J45" s="18"/>
      <c r="L45" s="25">
        <f>1*(1 - CUSTOS!$M$30)</f>
        <v>1</v>
      </c>
      <c r="M45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CUSTOS!$M$30)</f>
        <v>0.84281690263389941</v>
      </c>
      <c r="N45" s="25">
        <f ca="1">(+M45+O45+R45+U45+V45+W45+X45+Y45+Z45+AA45+AC45+AH45+AI45+AJ45+AK45)*CUSTOS!$M$5</f>
        <v>4.8758330968093713</v>
      </c>
      <c r="O45" s="25">
        <f>1 - CUSTOS!$M$30</f>
        <v>1</v>
      </c>
      <c r="P45" s="25">
        <f>1 - CUSTOS!$M$30</f>
        <v>1</v>
      </c>
      <c r="Q45" s="25">
        <f>1*(1 - CUSTOS!$M$30)</f>
        <v>1</v>
      </c>
      <c r="R45" s="25">
        <f>1 - CUSTOS!$M$30</f>
        <v>1</v>
      </c>
      <c r="S45" s="25">
        <f>1 - CUSTOS!$M$30</f>
        <v>1</v>
      </c>
      <c r="T45" s="25"/>
      <c r="U45" s="25">
        <f>TRANSICAO!$U$45*CUSTOS!$T$3</f>
        <v>24.4575</v>
      </c>
      <c r="V45" s="25">
        <f>TRANSICAO!$V$45*CUSTOS!$T$3</f>
        <v>3.6438000000000001</v>
      </c>
      <c r="W45" s="25">
        <f>TRANSICAO!$W$45*CUSTOS!$T$3</f>
        <v>-0.23</v>
      </c>
      <c r="X45" s="25">
        <f>TRANSICAO!$X$45*CUSTOS!$T$3</f>
        <v>0</v>
      </c>
      <c r="Y45" s="25">
        <f>TRANSICAO!$Y$45*CUSTOS!$T$3</f>
        <v>0.10349999999999999</v>
      </c>
      <c r="Z45" s="25">
        <f>TRANSICAO!$Z$45*CUSTOS!$T$3</f>
        <v>0</v>
      </c>
      <c r="AA45" s="25">
        <f>TRANSICAO!$AA$45*CUSTOS!$T$3</f>
        <v>0</v>
      </c>
      <c r="AB45" s="25">
        <f>TRANSICAO!$AB$45*CUSTOS!$T$3</f>
        <v>0</v>
      </c>
      <c r="AC45" s="25">
        <f>TRANSICAO!$AC$45*CUSTOS!$T$3</f>
        <v>129.80289999999999</v>
      </c>
      <c r="AD45" s="25">
        <f>TRANSICAO!$AD$45*CUSTOS!$T$3</f>
        <v>0</v>
      </c>
      <c r="AE45" s="25">
        <v>0</v>
      </c>
      <c r="AF45" s="25">
        <v>0</v>
      </c>
      <c r="AG45" s="25"/>
      <c r="AH45" s="25">
        <f>(1 - CUSTOS!$M$30)*51.6328</f>
        <v>51.632800000000003</v>
      </c>
      <c r="AI45" s="25">
        <f>(1 - CUSTOS!$M$30)*51.6328</f>
        <v>51.632800000000003</v>
      </c>
      <c r="AJ45" s="25">
        <f ca="1">$N$70*(1-CUSTOS!$M$30)</f>
        <v>111.84859638915164</v>
      </c>
      <c r="AK45" s="25">
        <f t="shared" ca="1" si="1"/>
        <v>111.84859638915164</v>
      </c>
      <c r="AL45" s="25"/>
      <c r="AM45" s="25"/>
      <c r="AP45" s="25">
        <f>IF((1 - CUSTOS!$M$30)&lt;&gt;0,1/(1 - CUSTOS!$M$30),1)</f>
        <v>1</v>
      </c>
    </row>
    <row r="46" spans="1:42" ht="11.25" customHeight="1" x14ac:dyDescent="0.25">
      <c r="A46" s="124"/>
      <c r="B46" s="29" t="s">
        <v>23</v>
      </c>
      <c r="C46" s="29" t="s">
        <v>47</v>
      </c>
      <c r="D46" s="29" t="s">
        <v>55</v>
      </c>
      <c r="E46" s="29" t="s">
        <v>25</v>
      </c>
      <c r="F46" s="29" t="s">
        <v>25</v>
      </c>
      <c r="G46" s="28" t="s">
        <v>92</v>
      </c>
      <c r="H46" s="28" t="s">
        <v>86</v>
      </c>
      <c r="I46" s="28">
        <f>'MERCADO TUSD'!$U$43</f>
        <v>26.512</v>
      </c>
      <c r="J46" s="18"/>
      <c r="L46" s="25">
        <f>1*(1 - CUSTOS!$M$30)</f>
        <v>1</v>
      </c>
      <c r="M46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CUSTOS!$M$30)</f>
        <v>0.84281690263389941</v>
      </c>
      <c r="N46" s="25">
        <f ca="1">(+M46+O46+R46+U46+V46+W46+X46+Y46+Z46+AA46+AC46+AH46+AI46+AJ46+AK46)*CUSTOS!$M$5</f>
        <v>5.7633320968093713</v>
      </c>
      <c r="O46" s="25">
        <f>1 - CUSTOS!$M$30</f>
        <v>1</v>
      </c>
      <c r="P46" s="25">
        <f>1 - CUSTOS!$M$30</f>
        <v>1</v>
      </c>
      <c r="Q46" s="25">
        <f>1*(1 - CUSTOS!$M$30)</f>
        <v>1</v>
      </c>
      <c r="R46" s="25">
        <f>1 - CUSTOS!$M$30</f>
        <v>1</v>
      </c>
      <c r="S46" s="25">
        <f>1 - CUSTOS!$M$30</f>
        <v>1</v>
      </c>
      <c r="T46" s="25"/>
      <c r="U46" s="25">
        <f>TRANSICAO!$U$46*CUSTOS!$T$3</f>
        <v>38.214799999999997</v>
      </c>
      <c r="V46" s="25">
        <f>TRANSICAO!$V$46*CUSTOS!$T$3</f>
        <v>5.6933999999999996</v>
      </c>
      <c r="W46" s="25">
        <f>TRANSICAO!$W$46*CUSTOS!$T$3</f>
        <v>-0.35930000000000001</v>
      </c>
      <c r="X46" s="25">
        <f>TRANSICAO!$X$46*CUSTOS!$T$3</f>
        <v>0</v>
      </c>
      <c r="Y46" s="25">
        <f>TRANSICAO!$Y$46*CUSTOS!$T$3</f>
        <v>0.16170000000000001</v>
      </c>
      <c r="Z46" s="25">
        <f>TRANSICAO!$Z$46*CUSTOS!$T$3</f>
        <v>0</v>
      </c>
      <c r="AA46" s="25">
        <f>TRANSICAO!$AA$46*CUSTOS!$T$3</f>
        <v>0</v>
      </c>
      <c r="AB46" s="25">
        <f>TRANSICAO!$AB$46*CUSTOS!$T$3</f>
        <v>0</v>
      </c>
      <c r="AC46" s="25">
        <f>TRANSICAO!$AC$46*CUSTOS!$T$3</f>
        <v>202.81700000000001</v>
      </c>
      <c r="AD46" s="25">
        <f>TRANSICAO!$AD$46*CUSTOS!$T$3</f>
        <v>0</v>
      </c>
      <c r="AE46" s="25">
        <v>0</v>
      </c>
      <c r="AF46" s="25">
        <v>0</v>
      </c>
      <c r="AG46" s="25"/>
      <c r="AH46" s="25">
        <f>(1 - CUSTOS!$M$30)*51.6328</f>
        <v>51.632800000000003</v>
      </c>
      <c r="AI46" s="25">
        <f>(1 - CUSTOS!$M$30)*51.6328</f>
        <v>51.632800000000003</v>
      </c>
      <c r="AJ46" s="25">
        <f ca="1">$N$70*(1-CUSTOS!$M$30)</f>
        <v>111.84859638915164</v>
      </c>
      <c r="AK46" s="25">
        <f t="shared" ca="1" si="1"/>
        <v>111.84859638915164</v>
      </c>
      <c r="AL46" s="25"/>
      <c r="AM46" s="25"/>
      <c r="AP46" s="25">
        <f>IF((1 - CUSTOS!$M$30)&lt;&gt;0,1/(1 - CUSTOS!$M$30),1)</f>
        <v>1</v>
      </c>
    </row>
    <row r="47" spans="1:42" ht="11.25" customHeight="1" x14ac:dyDescent="0.25">
      <c r="A47" s="124"/>
      <c r="B47" s="124" t="s">
        <v>100</v>
      </c>
      <c r="C47" s="124" t="s">
        <v>47</v>
      </c>
      <c r="D47" s="29" t="s">
        <v>25</v>
      </c>
      <c r="E47" s="29" t="s">
        <v>25</v>
      </c>
      <c r="F47" s="29" t="s">
        <v>25</v>
      </c>
      <c r="G47" s="28" t="s">
        <v>92</v>
      </c>
      <c r="H47" s="28" t="s">
        <v>86</v>
      </c>
      <c r="I47" s="28">
        <f>'MERCADO TUSD'!$U$44</f>
        <v>0</v>
      </c>
      <c r="J47" s="18"/>
      <c r="L47" s="25">
        <f>1*(1 - CUSTOS!$M$28)</f>
        <v>1</v>
      </c>
      <c r="M47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CUSTOS!$M$28)</f>
        <v>0.84281690263389941</v>
      </c>
      <c r="N47" s="25">
        <f ca="1">(+M47+O47+R47+U47+V47+W47+X47+Y47+Z47+AA47+AC47+AH47+AI47+AJ47+AK47)*CUSTOS!$M$5</f>
        <v>5.7633320968093713</v>
      </c>
      <c r="O47" s="25">
        <f>1 - CUSTOS!$M$28</f>
        <v>1</v>
      </c>
      <c r="P47" s="25">
        <f>1 - CUSTOS!$M$28</f>
        <v>1</v>
      </c>
      <c r="Q47" s="25">
        <f>1*(1 - CUSTOS!$M$28)</f>
        <v>1</v>
      </c>
      <c r="R47" s="25">
        <f>1 - CUSTOS!$M$28</f>
        <v>1</v>
      </c>
      <c r="S47" s="25">
        <f>1 - CUSTOS!$M$28</f>
        <v>1</v>
      </c>
      <c r="T47" s="25"/>
      <c r="U47" s="25">
        <f>TRANSICAO!$U$47*CUSTOS!$T$3</f>
        <v>38.214799999999997</v>
      </c>
      <c r="V47" s="25">
        <f>TRANSICAO!$V$47*CUSTOS!$T$3</f>
        <v>5.6933999999999996</v>
      </c>
      <c r="W47" s="25">
        <f>TRANSICAO!$W$47*CUSTOS!$T$3</f>
        <v>-0.35930000000000001</v>
      </c>
      <c r="X47" s="25">
        <f>TRANSICAO!$X$47*CUSTOS!$T$3</f>
        <v>0</v>
      </c>
      <c r="Y47" s="25">
        <f>TRANSICAO!$Y$47*CUSTOS!$T$3</f>
        <v>0.16170000000000001</v>
      </c>
      <c r="Z47" s="25">
        <f>TRANSICAO!$Z$47*CUSTOS!$T$3</f>
        <v>0</v>
      </c>
      <c r="AA47" s="25">
        <f>TRANSICAO!$AA$47*CUSTOS!$T$3</f>
        <v>0</v>
      </c>
      <c r="AB47" s="25">
        <f>TRANSICAO!$AB$47*CUSTOS!$T$3</f>
        <v>0</v>
      </c>
      <c r="AC47" s="25">
        <f>TRANSICAO!$AC$47*CUSTOS!$T$3</f>
        <v>202.81700000000001</v>
      </c>
      <c r="AD47" s="25">
        <f>TRANSICAO!$AD$47*CUSTOS!$T$3</f>
        <v>0</v>
      </c>
      <c r="AE47" s="25">
        <v>0</v>
      </c>
      <c r="AF47" s="25">
        <v>0</v>
      </c>
      <c r="AG47" s="25"/>
      <c r="AH47" s="25">
        <f>(1 - CUSTOS!$M$28)*51.6328</f>
        <v>51.632800000000003</v>
      </c>
      <c r="AI47" s="25">
        <f>(1 - CUSTOS!$M$28)*51.6328</f>
        <v>51.632800000000003</v>
      </c>
      <c r="AJ47" s="25">
        <f ca="1">$N$70*(1-CUSTOS!$M$28)</f>
        <v>111.84859638915164</v>
      </c>
      <c r="AK47" s="25">
        <f t="shared" ca="1" si="1"/>
        <v>111.84859638915164</v>
      </c>
      <c r="AL47" s="25"/>
      <c r="AM47" s="25"/>
      <c r="AP47" s="25">
        <f>IF((1 - CUSTOS!$M$28)&lt;&gt;0,1/(1 - CUSTOS!$M$28),1)</f>
        <v>1</v>
      </c>
    </row>
    <row r="48" spans="1:42" ht="11.25" customHeight="1" x14ac:dyDescent="0.25">
      <c r="A48" s="124"/>
      <c r="B48" s="124"/>
      <c r="C48" s="124"/>
      <c r="D48" s="29" t="s">
        <v>101</v>
      </c>
      <c r="E48" s="29" t="s">
        <v>25</v>
      </c>
      <c r="F48" s="29" t="s">
        <v>25</v>
      </c>
      <c r="G48" s="28" t="s">
        <v>92</v>
      </c>
      <c r="H48" s="28" t="s">
        <v>86</v>
      </c>
      <c r="I48" s="28">
        <f>'MERCADO TUSD'!$U$45</f>
        <v>0</v>
      </c>
      <c r="J48" s="18"/>
      <c r="L48" s="25">
        <f>1*(1 - CUSTOS!$M$29)</f>
        <v>1</v>
      </c>
      <c r="M48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CUSTOS!$M$29)</f>
        <v>0.84281690263389941</v>
      </c>
      <c r="N48" s="25">
        <f ca="1">(+M48+O48+R48+U48+V48+W48+X48+Y48+Z48+AA48+AC48+AH48+AI48+AJ48+AK48)*CUSTOS!$M$5</f>
        <v>5.7633320968093713</v>
      </c>
      <c r="O48" s="25">
        <f>1 - CUSTOS!$M$29</f>
        <v>1</v>
      </c>
      <c r="P48" s="25">
        <f>1 - CUSTOS!$M$29</f>
        <v>1</v>
      </c>
      <c r="Q48" s="25">
        <f>1*(1 - CUSTOS!$M$29)</f>
        <v>1</v>
      </c>
      <c r="R48" s="25">
        <f>1 - CUSTOS!$M$29</f>
        <v>1</v>
      </c>
      <c r="S48" s="25">
        <f>1 - CUSTOS!$M$29</f>
        <v>1</v>
      </c>
      <c r="T48" s="25"/>
      <c r="U48" s="25">
        <f>TRANSICAO!$U$48*CUSTOS!$T$3</f>
        <v>38.214799999999997</v>
      </c>
      <c r="V48" s="25">
        <f>TRANSICAO!$V$48*CUSTOS!$T$3</f>
        <v>5.6933999999999996</v>
      </c>
      <c r="W48" s="25">
        <f>TRANSICAO!$W$48*CUSTOS!$T$3</f>
        <v>-0.35930000000000001</v>
      </c>
      <c r="X48" s="25">
        <f>TRANSICAO!$X$48*CUSTOS!$T$3</f>
        <v>0</v>
      </c>
      <c r="Y48" s="25">
        <f>TRANSICAO!$Y$48*CUSTOS!$T$3</f>
        <v>0.16170000000000001</v>
      </c>
      <c r="Z48" s="25">
        <f>TRANSICAO!$Z$48*CUSTOS!$T$3</f>
        <v>0</v>
      </c>
      <c r="AA48" s="25">
        <f>TRANSICAO!$AA$48*CUSTOS!$T$3</f>
        <v>0</v>
      </c>
      <c r="AB48" s="25">
        <f>TRANSICAO!$AB$48*CUSTOS!$T$3</f>
        <v>0</v>
      </c>
      <c r="AC48" s="25">
        <f>TRANSICAO!$AC$48*CUSTOS!$T$3</f>
        <v>202.81700000000001</v>
      </c>
      <c r="AD48" s="25">
        <f>TRANSICAO!$AD$48*CUSTOS!$T$3</f>
        <v>0</v>
      </c>
      <c r="AE48" s="25">
        <v>0</v>
      </c>
      <c r="AF48" s="25">
        <v>0</v>
      </c>
      <c r="AG48" s="25"/>
      <c r="AH48" s="25">
        <f>(1 - CUSTOS!$M$29)*51.6328</f>
        <v>51.632800000000003</v>
      </c>
      <c r="AI48" s="25">
        <f>(1 - CUSTOS!$M$29)*51.6328</f>
        <v>51.632800000000003</v>
      </c>
      <c r="AJ48" s="25">
        <f ca="1">$N$70*(1-CUSTOS!$M$29)</f>
        <v>111.84859638915164</v>
      </c>
      <c r="AK48" s="25">
        <f t="shared" ca="1" si="1"/>
        <v>111.84859638915164</v>
      </c>
      <c r="AL48" s="25"/>
      <c r="AM48" s="25"/>
      <c r="AP48" s="25">
        <f>IF((1 - CUSTOS!$M$29)&lt;&gt;0,1/(1 - CUSTOS!$M$29),1)</f>
        <v>1</v>
      </c>
    </row>
    <row r="49" spans="1:42" ht="11.25" customHeight="1" x14ac:dyDescent="0.25">
      <c r="A49" s="124"/>
      <c r="B49" s="124"/>
      <c r="C49" s="124"/>
      <c r="D49" s="29" t="s">
        <v>55</v>
      </c>
      <c r="E49" s="29" t="s">
        <v>25</v>
      </c>
      <c r="F49" s="29" t="s">
        <v>25</v>
      </c>
      <c r="G49" s="28" t="s">
        <v>92</v>
      </c>
      <c r="H49" s="28" t="s">
        <v>86</v>
      </c>
      <c r="I49" s="28">
        <f>'MERCADO TUSD'!$U$46</f>
        <v>0</v>
      </c>
      <c r="J49" s="18"/>
      <c r="L49" s="25">
        <f>1*(1 - CUSTOS!$M$30)</f>
        <v>1</v>
      </c>
      <c r="M49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CUSTOS!$M$30)</f>
        <v>0.84281690263389941</v>
      </c>
      <c r="N49" s="25">
        <f ca="1">(+M49+O49+R49+U49+V49+W49+X49+Y49+Z49+AA49+AC49+AH49+AI49+AJ49+AK49)*CUSTOS!$M$5</f>
        <v>5.7633320968093713</v>
      </c>
      <c r="O49" s="25">
        <f>1 - CUSTOS!$M$30</f>
        <v>1</v>
      </c>
      <c r="P49" s="25">
        <f>1 - CUSTOS!$M$30</f>
        <v>1</v>
      </c>
      <c r="Q49" s="25">
        <f>1*(1 - CUSTOS!$M$30)</f>
        <v>1</v>
      </c>
      <c r="R49" s="25">
        <f>1 - CUSTOS!$M$30</f>
        <v>1</v>
      </c>
      <c r="S49" s="25">
        <f>1 - CUSTOS!$M$30</f>
        <v>1</v>
      </c>
      <c r="T49" s="25"/>
      <c r="U49" s="25">
        <f>TRANSICAO!$U$49*CUSTOS!$T$3</f>
        <v>38.214799999999997</v>
      </c>
      <c r="V49" s="25">
        <f>TRANSICAO!$V$49*CUSTOS!$T$3</f>
        <v>5.6933999999999996</v>
      </c>
      <c r="W49" s="25">
        <f>TRANSICAO!$W$49*CUSTOS!$T$3</f>
        <v>-0.35930000000000001</v>
      </c>
      <c r="X49" s="25">
        <f>TRANSICAO!$X$49*CUSTOS!$T$3</f>
        <v>0</v>
      </c>
      <c r="Y49" s="25">
        <f>TRANSICAO!$Y$49*CUSTOS!$T$3</f>
        <v>0.16170000000000001</v>
      </c>
      <c r="Z49" s="25">
        <f>TRANSICAO!$Z$49*CUSTOS!$T$3</f>
        <v>0</v>
      </c>
      <c r="AA49" s="25">
        <f>TRANSICAO!$AA$49*CUSTOS!$T$3</f>
        <v>0</v>
      </c>
      <c r="AB49" s="25">
        <f>TRANSICAO!$AB$49*CUSTOS!$T$3</f>
        <v>0</v>
      </c>
      <c r="AC49" s="25">
        <f>TRANSICAO!$AC$49*CUSTOS!$T$3</f>
        <v>202.81700000000001</v>
      </c>
      <c r="AD49" s="25">
        <f>TRANSICAO!$AD$49*CUSTOS!$T$3</f>
        <v>0</v>
      </c>
      <c r="AE49" s="25">
        <v>0</v>
      </c>
      <c r="AF49" s="25">
        <v>0</v>
      </c>
      <c r="AG49" s="25"/>
      <c r="AH49" s="25">
        <f>(1 - CUSTOS!$M$30)*51.6328</f>
        <v>51.632800000000003</v>
      </c>
      <c r="AI49" s="25">
        <f>(1 - CUSTOS!$M$30)*51.6328</f>
        <v>51.632800000000003</v>
      </c>
      <c r="AJ49" s="25">
        <f ca="1">$N$70*(1-CUSTOS!$M$30)</f>
        <v>111.84859638915164</v>
      </c>
      <c r="AK49" s="25">
        <f t="shared" ca="1" si="1"/>
        <v>111.84859638915164</v>
      </c>
      <c r="AL49" s="25"/>
      <c r="AM49" s="25"/>
      <c r="AP49" s="25">
        <f>IF((1 - CUSTOS!$M$30)&lt;&gt;0,1/(1 - CUSTOS!$M$30),1)</f>
        <v>1</v>
      </c>
    </row>
    <row r="50" spans="1:42" ht="11.25" customHeight="1" x14ac:dyDescent="0.25">
      <c r="A50" s="124" t="s">
        <v>41</v>
      </c>
      <c r="B50" s="124" t="s">
        <v>39</v>
      </c>
      <c r="C50" s="124" t="s">
        <v>25</v>
      </c>
      <c r="D50" s="124" t="s">
        <v>25</v>
      </c>
      <c r="E50" s="124" t="s">
        <v>25</v>
      </c>
      <c r="F50" s="124" t="s">
        <v>25</v>
      </c>
      <c r="G50" s="28" t="s">
        <v>87</v>
      </c>
      <c r="H50" s="28" t="s">
        <v>86</v>
      </c>
      <c r="I50" s="28">
        <f>'MERCADO TUSD'!$U$47</f>
        <v>159.50200000000001</v>
      </c>
      <c r="J50" s="18"/>
      <c r="L50" s="25">
        <f>1*(1 - CUSTOS!$M$31)</f>
        <v>1</v>
      </c>
      <c r="M50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CUSTOS!$M$31)</f>
        <v>0.84281690263389941</v>
      </c>
      <c r="N50" s="25">
        <f ca="1">(+M50+O50+R50+U50+V50+W50+X50+Y50+Z50+AA50+AC50+AH50+AI50+AJ50+AK50)*CUSTOS!$M$5</f>
        <v>12.173050096809371</v>
      </c>
      <c r="O50" s="25">
        <f>1 - CUSTOS!$M$31</f>
        <v>1</v>
      </c>
      <c r="P50" s="25">
        <f>1 - CUSTOS!$M$31</f>
        <v>1</v>
      </c>
      <c r="Q50" s="25">
        <f>1*(1 - CUSTOS!$M$31)</f>
        <v>1</v>
      </c>
      <c r="R50" s="25">
        <f>1 - CUSTOS!$M$31</f>
        <v>1</v>
      </c>
      <c r="S50" s="25">
        <f>1 - CUSTOS!$M$31</f>
        <v>1</v>
      </c>
      <c r="T50" s="25"/>
      <c r="U50" s="25">
        <f>TRANSICAO!$U$50*CUSTOS!$T$3</f>
        <v>137.57329999999999</v>
      </c>
      <c r="V50" s="25">
        <f>TRANSICAO!$V$50*CUSTOS!$T$3</f>
        <v>20.496400000000001</v>
      </c>
      <c r="W50" s="25">
        <f>TRANSICAO!$W$50*CUSTOS!$T$3</f>
        <v>-1.2935000000000001</v>
      </c>
      <c r="X50" s="25">
        <f>TRANSICAO!$X$50*CUSTOS!$T$3</f>
        <v>0</v>
      </c>
      <c r="Y50" s="25">
        <f>TRANSICAO!$Y$50*CUSTOS!$T$3</f>
        <v>0.58220000000000005</v>
      </c>
      <c r="Z50" s="25">
        <f>TRANSICAO!$Z$50*CUSTOS!$T$3</f>
        <v>0</v>
      </c>
      <c r="AA50" s="25">
        <f>TRANSICAO!$AA$50*CUSTOS!$T$3</f>
        <v>0</v>
      </c>
      <c r="AB50" s="25">
        <f>TRANSICAO!$AB$50*CUSTOS!$T$3</f>
        <v>0</v>
      </c>
      <c r="AC50" s="25">
        <f>TRANSICAO!$AC$50*CUSTOS!$T$3</f>
        <v>730.14099999999996</v>
      </c>
      <c r="AD50" s="25">
        <f>TRANSICAO!$AD$50*CUSTOS!$T$3</f>
        <v>0</v>
      </c>
      <c r="AE50" s="25">
        <v>0</v>
      </c>
      <c r="AF50" s="25">
        <v>0</v>
      </c>
      <c r="AG50" s="25"/>
      <c r="AH50" s="25">
        <f>(1 - CUSTOS!$M$31)*51.6328</f>
        <v>51.632800000000003</v>
      </c>
      <c r="AI50" s="25">
        <f>(1 - CUSTOS!$M$31)*51.6328</f>
        <v>51.632800000000003</v>
      </c>
      <c r="AJ50" s="25">
        <f ca="1">$N$70*(1-CUSTOS!$M$31)</f>
        <v>111.84859638915164</v>
      </c>
      <c r="AK50" s="25">
        <f t="shared" ca="1" si="1"/>
        <v>111.84859638915164</v>
      </c>
      <c r="AL50" s="25"/>
      <c r="AM50" s="25"/>
      <c r="AP50" s="25">
        <f>IF((1 - CUSTOS!$M$31)&lt;&gt;0,1/(1 - CUSTOS!$M$31),1)</f>
        <v>1</v>
      </c>
    </row>
    <row r="51" spans="1:42" ht="11.25" customHeight="1" x14ac:dyDescent="0.25">
      <c r="A51" s="124"/>
      <c r="B51" s="124"/>
      <c r="C51" s="124"/>
      <c r="D51" s="124"/>
      <c r="E51" s="124"/>
      <c r="F51" s="124"/>
      <c r="G51" s="28" t="s">
        <v>98</v>
      </c>
      <c r="H51" s="28" t="s">
        <v>86</v>
      </c>
      <c r="I51" s="28">
        <f>'MERCADO TUSD'!$U$48</f>
        <v>89.802000000000007</v>
      </c>
      <c r="J51" s="18"/>
      <c r="L51" s="25">
        <f>1*(1 - CUSTOS!$M$31)</f>
        <v>1</v>
      </c>
      <c r="M51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CUSTOS!$M$31)</f>
        <v>0.84281690263389941</v>
      </c>
      <c r="N51" s="25">
        <f ca="1">(+M51+O51+R51+U51+V51+W51+X51+Y51+Z51+AA51+AC51+AH51+AI51+AJ51+AK51)*CUSTOS!$M$5</f>
        <v>8.6230520968093725</v>
      </c>
      <c r="O51" s="25">
        <f>1 - CUSTOS!$M$31</f>
        <v>1</v>
      </c>
      <c r="P51" s="25">
        <f>1 - CUSTOS!$M$31</f>
        <v>1</v>
      </c>
      <c r="Q51" s="25">
        <f>1*(1 - CUSTOS!$M$31)</f>
        <v>1</v>
      </c>
      <c r="R51" s="25">
        <f>1 - CUSTOS!$M$31</f>
        <v>1</v>
      </c>
      <c r="S51" s="25">
        <f>1 - CUSTOS!$M$31</f>
        <v>1</v>
      </c>
      <c r="T51" s="25"/>
      <c r="U51" s="25">
        <f>TRANSICAO!$U$51*CUSTOS!$T$3</f>
        <v>82.543999999999997</v>
      </c>
      <c r="V51" s="25">
        <f>TRANSICAO!$V$51*CUSTOS!$T$3</f>
        <v>12.297800000000001</v>
      </c>
      <c r="W51" s="25">
        <f>TRANSICAO!$W$51*CUSTOS!$T$3</f>
        <v>-0.77610000000000001</v>
      </c>
      <c r="X51" s="25">
        <f>TRANSICAO!$X$51*CUSTOS!$T$3</f>
        <v>0</v>
      </c>
      <c r="Y51" s="25">
        <f>TRANSICAO!$Y$51*CUSTOS!$T$3</f>
        <v>0.3493</v>
      </c>
      <c r="Z51" s="25">
        <f>TRANSICAO!$Z$51*CUSTOS!$T$3</f>
        <v>0</v>
      </c>
      <c r="AA51" s="25">
        <f>TRANSICAO!$AA$51*CUSTOS!$T$3</f>
        <v>0</v>
      </c>
      <c r="AB51" s="25">
        <f>TRANSICAO!$AB$51*CUSTOS!$T$3</f>
        <v>0</v>
      </c>
      <c r="AC51" s="25">
        <f>TRANSICAO!$AC$51*CUSTOS!$T$3</f>
        <v>438.08460000000002</v>
      </c>
      <c r="AD51" s="25">
        <f>TRANSICAO!$AD$51*CUSTOS!$T$3</f>
        <v>0</v>
      </c>
      <c r="AE51" s="25">
        <v>0</v>
      </c>
      <c r="AF51" s="25">
        <v>0</v>
      </c>
      <c r="AG51" s="25"/>
      <c r="AH51" s="25">
        <f>(1 - CUSTOS!$M$31)*51.6328</f>
        <v>51.632800000000003</v>
      </c>
      <c r="AI51" s="25">
        <f>(1 - CUSTOS!$M$31)*51.6328</f>
        <v>51.632800000000003</v>
      </c>
      <c r="AJ51" s="25">
        <f ca="1">$N$70*(1-CUSTOS!$M$31)</f>
        <v>111.84859638915164</v>
      </c>
      <c r="AK51" s="25">
        <f t="shared" ca="1" si="1"/>
        <v>111.84859638915164</v>
      </c>
      <c r="AL51" s="25"/>
      <c r="AM51" s="25"/>
      <c r="AP51" s="25">
        <f>IF((1 - CUSTOS!$M$31)&lt;&gt;0,1/(1 - CUSTOS!$M$31),1)</f>
        <v>1</v>
      </c>
    </row>
    <row r="52" spans="1:42" ht="11.25" customHeight="1" x14ac:dyDescent="0.25">
      <c r="A52" s="124"/>
      <c r="B52" s="124"/>
      <c r="C52" s="124"/>
      <c r="D52" s="124"/>
      <c r="E52" s="124"/>
      <c r="F52" s="124"/>
      <c r="G52" s="28" t="s">
        <v>88</v>
      </c>
      <c r="H52" s="28" t="s">
        <v>86</v>
      </c>
      <c r="I52" s="28">
        <f>'MERCADO TUSD'!$U$49</f>
        <v>2507.7720000000004</v>
      </c>
      <c r="J52" s="18"/>
      <c r="L52" s="25">
        <f>1*(1 - CUSTOS!$M$31)</f>
        <v>1</v>
      </c>
      <c r="M52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CUSTOS!$M$31)</f>
        <v>0.84281690263389941</v>
      </c>
      <c r="N52" s="25">
        <f ca="1">(+M52+O52+R52+U52+V52+W52+X52+Y52+Z52+AA52+AC52+AH52+AI52+AJ52+AK52)*CUSTOS!$M$5</f>
        <v>5.0730550968093713</v>
      </c>
      <c r="O52" s="25">
        <f>1 - CUSTOS!$M$31</f>
        <v>1</v>
      </c>
      <c r="P52" s="25">
        <f>1 - CUSTOS!$M$31</f>
        <v>1</v>
      </c>
      <c r="Q52" s="25">
        <f>1*(1 - CUSTOS!$M$31)</f>
        <v>1</v>
      </c>
      <c r="R52" s="25">
        <f>1 - CUSTOS!$M$31</f>
        <v>1</v>
      </c>
      <c r="S52" s="25">
        <f>1 - CUSTOS!$M$31</f>
        <v>1</v>
      </c>
      <c r="T52" s="25"/>
      <c r="U52" s="25">
        <f>TRANSICAO!$U$52*CUSTOS!$T$3</f>
        <v>27.514700000000001</v>
      </c>
      <c r="V52" s="25">
        <f>TRANSICAO!$V$52*CUSTOS!$T$3</f>
        <v>4.0993000000000004</v>
      </c>
      <c r="W52" s="25">
        <f>TRANSICAO!$W$52*CUSTOS!$T$3</f>
        <v>-0.25869999999999999</v>
      </c>
      <c r="X52" s="25">
        <f>TRANSICAO!$X$52*CUSTOS!$T$3</f>
        <v>0</v>
      </c>
      <c r="Y52" s="25">
        <f>TRANSICAO!$Y$52*CUSTOS!$T$3</f>
        <v>0.1164</v>
      </c>
      <c r="Z52" s="25">
        <f>TRANSICAO!$Z$52*CUSTOS!$T$3</f>
        <v>0</v>
      </c>
      <c r="AA52" s="25">
        <f>TRANSICAO!$AA$52*CUSTOS!$T$3</f>
        <v>0</v>
      </c>
      <c r="AB52" s="25">
        <f>TRANSICAO!$AB$52*CUSTOS!$T$3</f>
        <v>0</v>
      </c>
      <c r="AC52" s="25">
        <f>TRANSICAO!$AC$52*CUSTOS!$T$3</f>
        <v>146.0282</v>
      </c>
      <c r="AD52" s="25">
        <f>TRANSICAO!$AD$52*CUSTOS!$T$3</f>
        <v>0</v>
      </c>
      <c r="AE52" s="25">
        <v>0</v>
      </c>
      <c r="AF52" s="25">
        <v>0</v>
      </c>
      <c r="AG52" s="25"/>
      <c r="AH52" s="25">
        <f>(1 - CUSTOS!$M$31)*51.6328</f>
        <v>51.632800000000003</v>
      </c>
      <c r="AI52" s="25">
        <f>(1 - CUSTOS!$M$31)*51.6328</f>
        <v>51.632800000000003</v>
      </c>
      <c r="AJ52" s="25">
        <f ca="1">$N$70*(1-CUSTOS!$M$31)</f>
        <v>111.84859638915164</v>
      </c>
      <c r="AK52" s="25">
        <f t="shared" ca="1" si="1"/>
        <v>111.84859638915164</v>
      </c>
      <c r="AL52" s="25"/>
      <c r="AM52" s="25"/>
      <c r="AP52" s="25">
        <f>IF((1 - CUSTOS!$M$31)&lt;&gt;0,1/(1 - CUSTOS!$M$31),1)</f>
        <v>1</v>
      </c>
    </row>
    <row r="53" spans="1:42" ht="11.25" customHeight="1" x14ac:dyDescent="0.25">
      <c r="A53" s="124"/>
      <c r="B53" s="29" t="s">
        <v>23</v>
      </c>
      <c r="C53" s="29" t="s">
        <v>25</v>
      </c>
      <c r="D53" s="29" t="s">
        <v>25</v>
      </c>
      <c r="E53" s="29" t="s">
        <v>25</v>
      </c>
      <c r="F53" s="29" t="s">
        <v>25</v>
      </c>
      <c r="G53" s="28" t="s">
        <v>92</v>
      </c>
      <c r="H53" s="28" t="s">
        <v>86</v>
      </c>
      <c r="I53" s="28">
        <f>'MERCADO TUSD'!$U$50</f>
        <v>849619.68099999998</v>
      </c>
      <c r="J53" s="18"/>
      <c r="L53" s="25">
        <f>1*(1 - CUSTOS!$M$31)</f>
        <v>1</v>
      </c>
      <c r="M53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CUSTOS!$M$31)</f>
        <v>0.84281690263389941</v>
      </c>
      <c r="N53" s="25">
        <f ca="1">(+M53+O53+R53+U53+V53+W53+X53+Y53+Z53+AA53+AC53+AH53+AI53+AJ53+AK53)*CUSTOS!$M$5</f>
        <v>5.7633320968093713</v>
      </c>
      <c r="O53" s="25">
        <f>1 - CUSTOS!$M$31</f>
        <v>1</v>
      </c>
      <c r="P53" s="25">
        <f>1 - CUSTOS!$M$31</f>
        <v>1</v>
      </c>
      <c r="Q53" s="25">
        <f>1*(1 - CUSTOS!$M$31)</f>
        <v>1</v>
      </c>
      <c r="R53" s="25">
        <f>1 - CUSTOS!$M$31</f>
        <v>1</v>
      </c>
      <c r="S53" s="25">
        <f>1 - CUSTOS!$M$31</f>
        <v>1</v>
      </c>
      <c r="T53" s="25"/>
      <c r="U53" s="25">
        <f>TRANSICAO!$U$53*CUSTOS!$T$3</f>
        <v>38.214799999999997</v>
      </c>
      <c r="V53" s="25">
        <f>TRANSICAO!$V$53*CUSTOS!$T$3</f>
        <v>5.6933999999999996</v>
      </c>
      <c r="W53" s="25">
        <f>TRANSICAO!$W$53*CUSTOS!$T$3</f>
        <v>-0.35930000000000001</v>
      </c>
      <c r="X53" s="25">
        <f>TRANSICAO!$X$53*CUSTOS!$T$3</f>
        <v>0</v>
      </c>
      <c r="Y53" s="25">
        <f>TRANSICAO!$Y$53*CUSTOS!$T$3</f>
        <v>0.16170000000000001</v>
      </c>
      <c r="Z53" s="25">
        <f>TRANSICAO!$Z$53*CUSTOS!$T$3</f>
        <v>0</v>
      </c>
      <c r="AA53" s="25">
        <f>TRANSICAO!$AA$53*CUSTOS!$T$3</f>
        <v>0</v>
      </c>
      <c r="AB53" s="25">
        <f>TRANSICAO!$AB$53*CUSTOS!$T$3</f>
        <v>0</v>
      </c>
      <c r="AC53" s="25">
        <f>TRANSICAO!$AC$53*CUSTOS!$T$3</f>
        <v>202.81700000000001</v>
      </c>
      <c r="AD53" s="25">
        <f>TRANSICAO!$AD$53*CUSTOS!$T$3</f>
        <v>0</v>
      </c>
      <c r="AE53" s="25">
        <v>0</v>
      </c>
      <c r="AF53" s="25">
        <v>0</v>
      </c>
      <c r="AG53" s="25"/>
      <c r="AH53" s="25">
        <f>(1 - CUSTOS!$M$31)*51.6328</f>
        <v>51.632800000000003</v>
      </c>
      <c r="AI53" s="25">
        <f>(1 - CUSTOS!$M$31)*51.6328</f>
        <v>51.632800000000003</v>
      </c>
      <c r="AJ53" s="25">
        <f ca="1">$N$70*(1-CUSTOS!$M$31)</f>
        <v>111.84859638915164</v>
      </c>
      <c r="AK53" s="25">
        <f t="shared" ca="1" si="1"/>
        <v>111.84859638915164</v>
      </c>
      <c r="AL53" s="25"/>
      <c r="AM53" s="25"/>
      <c r="AP53" s="25">
        <f>IF((1 - CUSTOS!$M$31)&lt;&gt;0,1/(1 - CUSTOS!$M$31),1)</f>
        <v>1</v>
      </c>
    </row>
    <row r="54" spans="1:42" ht="11.25" customHeight="1" x14ac:dyDescent="0.25">
      <c r="A54" s="124"/>
      <c r="B54" s="29" t="s">
        <v>100</v>
      </c>
      <c r="C54" s="29" t="s">
        <v>25</v>
      </c>
      <c r="D54" s="29" t="s">
        <v>25</v>
      </c>
      <c r="E54" s="29" t="s">
        <v>25</v>
      </c>
      <c r="F54" s="29" t="s">
        <v>25</v>
      </c>
      <c r="G54" s="28" t="s">
        <v>92</v>
      </c>
      <c r="H54" s="28" t="s">
        <v>86</v>
      </c>
      <c r="I54" s="28">
        <f>'MERCADO TUSD'!$U$51</f>
        <v>0</v>
      </c>
      <c r="J54" s="18"/>
      <c r="L54" s="25">
        <f>1*(1 - CUSTOS!$M$31)</f>
        <v>1</v>
      </c>
      <c r="M54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CUSTOS!$M$31)</f>
        <v>0.84281690263389941</v>
      </c>
      <c r="N54" s="25">
        <f ca="1">(+M54+O54+R54+U54+V54+W54+X54+Y54+Z54+AA54+AC54+AH54+AI54+AJ54+AK54)*CUSTOS!$M$5</f>
        <v>5.7633320968093713</v>
      </c>
      <c r="O54" s="25">
        <f>1 - CUSTOS!$M$31</f>
        <v>1</v>
      </c>
      <c r="P54" s="25">
        <f>1 - CUSTOS!$M$31</f>
        <v>1</v>
      </c>
      <c r="Q54" s="25">
        <f>1*(1 - CUSTOS!$M$31)</f>
        <v>1</v>
      </c>
      <c r="R54" s="25">
        <f>1 - CUSTOS!$M$31</f>
        <v>1</v>
      </c>
      <c r="S54" s="25">
        <f>1 - CUSTOS!$M$31</f>
        <v>1</v>
      </c>
      <c r="T54" s="25"/>
      <c r="U54" s="25">
        <f>TRANSICAO!$U$54*CUSTOS!$T$3</f>
        <v>38.214799999999997</v>
      </c>
      <c r="V54" s="25">
        <f>TRANSICAO!$V$54*CUSTOS!$T$3</f>
        <v>5.6933999999999996</v>
      </c>
      <c r="W54" s="25">
        <f>TRANSICAO!$W$54*CUSTOS!$T$3</f>
        <v>-0.35930000000000001</v>
      </c>
      <c r="X54" s="25">
        <f>TRANSICAO!$X$54*CUSTOS!$T$3</f>
        <v>0</v>
      </c>
      <c r="Y54" s="25">
        <f>TRANSICAO!$Y$54*CUSTOS!$T$3</f>
        <v>0.16170000000000001</v>
      </c>
      <c r="Z54" s="25">
        <f>TRANSICAO!$Z$54*CUSTOS!$T$3</f>
        <v>0</v>
      </c>
      <c r="AA54" s="25">
        <f>TRANSICAO!$AA$54*CUSTOS!$T$3</f>
        <v>0</v>
      </c>
      <c r="AB54" s="25">
        <f>TRANSICAO!$AB$54*CUSTOS!$T$3</f>
        <v>0</v>
      </c>
      <c r="AC54" s="25">
        <f>TRANSICAO!$AC$54*CUSTOS!$T$3</f>
        <v>202.81700000000001</v>
      </c>
      <c r="AD54" s="25">
        <f>TRANSICAO!$AD$54*CUSTOS!$T$3</f>
        <v>0</v>
      </c>
      <c r="AE54" s="25">
        <v>0</v>
      </c>
      <c r="AF54" s="25">
        <v>0</v>
      </c>
      <c r="AG54" s="25"/>
      <c r="AH54" s="25">
        <f>(1 - CUSTOS!$M$31)*51.6328</f>
        <v>51.632800000000003</v>
      </c>
      <c r="AI54" s="25">
        <f>(1 - CUSTOS!$M$31)*51.6328</f>
        <v>51.632800000000003</v>
      </c>
      <c r="AJ54" s="25">
        <f ca="1">$N$70*(1-CUSTOS!$M$31)</f>
        <v>111.84859638915164</v>
      </c>
      <c r="AK54" s="25">
        <f t="shared" ca="1" si="1"/>
        <v>111.84859638915164</v>
      </c>
      <c r="AL54" s="25"/>
      <c r="AM54" s="25"/>
      <c r="AP54" s="25">
        <f>IF((1 - CUSTOS!$M$31)&lt;&gt;0,1/(1 - CUSTOS!$M$31),1)</f>
        <v>1</v>
      </c>
    </row>
    <row r="55" spans="1:42" ht="11.25" customHeight="1" x14ac:dyDescent="0.25">
      <c r="A55" s="124" t="s">
        <v>49</v>
      </c>
      <c r="B55" s="124" t="s">
        <v>23</v>
      </c>
      <c r="C55" s="124" t="s">
        <v>50</v>
      </c>
      <c r="D55" s="29" t="s">
        <v>51</v>
      </c>
      <c r="E55" s="29" t="s">
        <v>25</v>
      </c>
      <c r="F55" s="29" t="s">
        <v>25</v>
      </c>
      <c r="G55" s="28" t="s">
        <v>92</v>
      </c>
      <c r="H55" s="28" t="s">
        <v>86</v>
      </c>
      <c r="I55" s="28">
        <f>'MERCADO TUSD'!$U$52</f>
        <v>200182.10399999999</v>
      </c>
      <c r="J55" s="18"/>
      <c r="L55" s="25">
        <f>1*(1 - CUSTOS!$M$32)</f>
        <v>0.55000000000000004</v>
      </c>
      <c r="M55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CUSTOS!$M$32)</f>
        <v>0.46354929644864473</v>
      </c>
      <c r="N55" s="25">
        <f ca="1">(+M55+O55+R55+U55+V55+W55+X55+Y55+Z55+AA55+AC55+AH55+AI55+AJ55+AK55)*CUSTOS!$M$5</f>
        <v>3.1698326532451548</v>
      </c>
      <c r="O55" s="25">
        <f>1 - CUSTOS!$M$32</f>
        <v>0.55000000000000004</v>
      </c>
      <c r="P55" s="25">
        <f>1 - CUSTOS!$M$32</f>
        <v>0.55000000000000004</v>
      </c>
      <c r="Q55" s="25">
        <f>1*(1 - CUSTOS!$M$32)</f>
        <v>0.55000000000000004</v>
      </c>
      <c r="R55" s="25">
        <f>1 - CUSTOS!$M$32</f>
        <v>0.55000000000000004</v>
      </c>
      <c r="S55" s="25">
        <f>1 - CUSTOS!$M$32</f>
        <v>0.55000000000000004</v>
      </c>
      <c r="T55" s="25"/>
      <c r="U55" s="25">
        <f>TRANSICAO!$U$55*CUSTOS!$T$3</f>
        <v>21.018139999999999</v>
      </c>
      <c r="V55" s="25">
        <f>TRANSICAO!$V$55*CUSTOS!$T$3</f>
        <v>3.13137</v>
      </c>
      <c r="W55" s="25">
        <f>TRANSICAO!$W$55*CUSTOS!$T$3</f>
        <v>-0.19761500000000001</v>
      </c>
      <c r="X55" s="25">
        <f>TRANSICAO!$X$55*CUSTOS!$T$3</f>
        <v>0</v>
      </c>
      <c r="Y55" s="25">
        <f>TRANSICAO!$Y$55*CUSTOS!$T$3</f>
        <v>8.8935000000000014E-2</v>
      </c>
      <c r="Z55" s="25">
        <f>TRANSICAO!$Z$55*CUSTOS!$T$3</f>
        <v>0</v>
      </c>
      <c r="AA55" s="25">
        <f>TRANSICAO!$AA$55*CUSTOS!$T$3</f>
        <v>0</v>
      </c>
      <c r="AB55" s="25">
        <f>TRANSICAO!$AB$55*CUSTOS!$T$3</f>
        <v>0</v>
      </c>
      <c r="AC55" s="25">
        <f>TRANSICAO!$AC$55*CUSTOS!$T$3</f>
        <v>111.54935000000002</v>
      </c>
      <c r="AD55" s="25">
        <f>TRANSICAO!$AD$55*CUSTOS!$T$3</f>
        <v>0</v>
      </c>
      <c r="AE55" s="25">
        <v>0</v>
      </c>
      <c r="AF55" s="25">
        <v>0</v>
      </c>
      <c r="AG55" s="25"/>
      <c r="AH55" s="25">
        <f>(1 - CUSTOS!$M$32)*51.6328</f>
        <v>28.398040000000005</v>
      </c>
      <c r="AI55" s="25">
        <f>(1 - CUSTOS!$M$32)*51.6328</f>
        <v>28.398040000000005</v>
      </c>
      <c r="AJ55" s="25">
        <f ca="1">$N$70*(1-CUSTOS!$M$32)</f>
        <v>61.516728014033404</v>
      </c>
      <c r="AK55" s="25">
        <f t="shared" ca="1" si="1"/>
        <v>61.516728014033404</v>
      </c>
      <c r="AL55" s="25"/>
      <c r="AM55" s="25"/>
      <c r="AP55" s="25">
        <f>IF((1 - CUSTOS!$M$32)&lt;&gt;0,1/(1 - CUSTOS!$M$32),1)</f>
        <v>1.8181818181818181</v>
      </c>
    </row>
    <row r="56" spans="1:42" ht="11.25" customHeight="1" x14ac:dyDescent="0.25">
      <c r="A56" s="124"/>
      <c r="B56" s="124"/>
      <c r="C56" s="124"/>
      <c r="D56" s="28" t="s">
        <v>102</v>
      </c>
      <c r="E56" s="28" t="s">
        <v>25</v>
      </c>
      <c r="F56" s="28" t="s">
        <v>25</v>
      </c>
      <c r="G56" s="28" t="s">
        <v>92</v>
      </c>
      <c r="H56" s="28" t="s">
        <v>86</v>
      </c>
      <c r="I56" s="28">
        <f>'MERCADO TUSD'!$U$53</f>
        <v>0</v>
      </c>
      <c r="J56" s="18"/>
      <c r="L56" s="25">
        <f>1*(1 - CUSTOS!$M$33)</f>
        <v>0.6</v>
      </c>
      <c r="M56" s="25">
        <f>IF(AND((+$I$22+$I$23+$I$24+$I$25+$I$26+$I$27+$I$28+$I$29+$I$30+$I$31+$I$32+$I$33+$I$34+$I$35+$I$36+$I$37+$I$38+$I$39+$I$40+$I$41+$I$42+$I$43+$I$44+$I$45+$I$46+$I$47+$I$48+$I$49+$I$50+$I$51+$I$52+$I$53+$I$54+$I$55+$I$56)&lt;&gt;0,SUMPRODUCT($I$5:$I$56,$AC$5:$AC$56,$AP$5:$AP$56)&lt;&gt;0),$M$61*SUMPRODUCT($I$22:$I$56,$AC$22:$AC$56,$AP$22:$AP$56)/SUMPRODUCT($I$5:$I$56,$AC$5:$AC$56,$AP$5:$AP$56)/(+$I$22+$I$23+$I$24+$I$25+$I$26+$I$27+$I$28+$I$29+$I$30+$I$31+$I$32+$I$33+$I$34+$I$35+$I$36+$I$37+$I$38+$I$39+$I$40+$I$41+$I$42+$I$43+$I$44+$I$45+$I$46+$I$47+$I$48+$I$49+$I$50+$I$51+$I$52+$I$53+$I$54+$I$55+$I$56),0)*(1 - CUSTOS!$M$33)</f>
        <v>0.50569014158033965</v>
      </c>
      <c r="N56" s="25">
        <f ca="1">(+M56+O56+R56+U56+V56+W56+X56+Y56+Z56+AA56+AC56+AH56+AI56+AJ56+AK56)*CUSTOS!$M$5</f>
        <v>3.4579992580856231</v>
      </c>
      <c r="O56" s="25">
        <f>1 - CUSTOS!$M$33</f>
        <v>0.6</v>
      </c>
      <c r="P56" s="25">
        <f>1 - CUSTOS!$M$33</f>
        <v>0.6</v>
      </c>
      <c r="Q56" s="25">
        <f>1*(1 - CUSTOS!$M$33)</f>
        <v>0.6</v>
      </c>
      <c r="R56" s="25">
        <f>1 - CUSTOS!$M$33</f>
        <v>0.6</v>
      </c>
      <c r="S56" s="25">
        <f>1 - CUSTOS!$M$33</f>
        <v>0.6</v>
      </c>
      <c r="T56" s="25"/>
      <c r="U56" s="25">
        <f>TRANSICAO!$U$56*CUSTOS!$T$3</f>
        <v>22.928879999999996</v>
      </c>
      <c r="V56" s="25">
        <f>TRANSICAO!$V$56*CUSTOS!$T$3</f>
        <v>3.4160399999999997</v>
      </c>
      <c r="W56" s="25">
        <f>TRANSICAO!$W$56*CUSTOS!$T$3</f>
        <v>-0.21557999999999999</v>
      </c>
      <c r="X56" s="25">
        <f>TRANSICAO!$X$56*CUSTOS!$T$3</f>
        <v>0</v>
      </c>
      <c r="Y56" s="25">
        <f>TRANSICAO!$Y$56*CUSTOS!$T$3</f>
        <v>9.7020000000000009E-2</v>
      </c>
      <c r="Z56" s="25">
        <f>TRANSICAO!$Z$56*CUSTOS!$T$3</f>
        <v>0</v>
      </c>
      <c r="AA56" s="25">
        <f>TRANSICAO!$AA$56*CUSTOS!$T$3</f>
        <v>0</v>
      </c>
      <c r="AB56" s="25">
        <f>TRANSICAO!$AB$56*CUSTOS!$T$3</f>
        <v>0</v>
      </c>
      <c r="AC56" s="25">
        <f>TRANSICAO!$AC$56*CUSTOS!$T$3</f>
        <v>121.6902</v>
      </c>
      <c r="AD56" s="25">
        <f>TRANSICAO!$AD$56*CUSTOS!$T$3</f>
        <v>0</v>
      </c>
      <c r="AE56" s="25">
        <v>0</v>
      </c>
      <c r="AF56" s="25">
        <v>0</v>
      </c>
      <c r="AG56" s="25"/>
      <c r="AH56" s="25">
        <f>(1 - CUSTOS!$M$33)*51.6328</f>
        <v>30.979680000000002</v>
      </c>
      <c r="AI56" s="25">
        <f>(1 - CUSTOS!$M$33)*51.6328</f>
        <v>30.979680000000002</v>
      </c>
      <c r="AJ56" s="25">
        <f ca="1">$N$70*(1-CUSTOS!$M$33)</f>
        <v>67.109157833490983</v>
      </c>
      <c r="AK56" s="25">
        <f t="shared" ca="1" si="1"/>
        <v>67.109157833490983</v>
      </c>
      <c r="AL56" s="25"/>
      <c r="AM56" s="25"/>
      <c r="AP56" s="25">
        <f>IF((1 - CUSTOS!$M$33)&lt;&gt;0,1/(1 - CUSTOS!$M$33),1)</f>
        <v>1.6666666666666667</v>
      </c>
    </row>
    <row r="58" spans="1:42" ht="11.25" customHeight="1" x14ac:dyDescent="0.25">
      <c r="K58" s="19" t="s">
        <v>749</v>
      </c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</row>
    <row r="59" spans="1:42" ht="11.25" customHeight="1" x14ac:dyDescent="0.25">
      <c r="K59" s="19" t="s">
        <v>750</v>
      </c>
      <c r="L59" s="25">
        <f>IF(ISERROR(+SUMPRODUCT($L$9:$L$9,$I$9:$I$9)),0,+SUMPRODUCT($L$9:$L$9,$I$9:$I$9))</f>
        <v>0</v>
      </c>
      <c r="M59" s="25">
        <f>IF(ISERROR(+SUMPRODUCT($M$9:$M$9,$I$9:$I$9)),0,+SUMPRODUCT($M$9:$M$9,$I$9:$I$9))</f>
        <v>0</v>
      </c>
      <c r="N59" s="25">
        <f>IF(ISERROR(+SUMPRODUCT($N$9:$N$9,$I$9:$I$9)),0,+SUMPRODUCT($N$9:$N$9,$I$9:$I$9))</f>
        <v>564534.40713855717</v>
      </c>
      <c r="O59" s="25">
        <f>IF(ISERROR(+SUMPRODUCT($O$9:$O$9,$I$9:$I$9)),0,+SUMPRODUCT($O$9:$O$9,$I$9:$I$9))</f>
        <v>0</v>
      </c>
      <c r="P59" s="25">
        <f>IF(ISERROR(+SUMPRODUCT($P$9:$P$9,$I$9:$I$9)),0,+SUMPRODUCT($P$9:$P$9,$I$9:$I$9))</f>
        <v>0</v>
      </c>
      <c r="Q59" s="25">
        <f>IF(ISERROR(+SUMPRODUCT($Q$9:$Q$9,$I$9:$I$9)),0,+SUMPRODUCT($Q$9:$Q$9,$I$9:$I$9))</f>
        <v>0</v>
      </c>
      <c r="R59" s="25">
        <f>IF(ISERROR(+SUMPRODUCT($R$9:$R$9,$I$9:$I$9)),0,+SUMPRODUCT($R$9:$R$9,$I$9:$I$9))</f>
        <v>0</v>
      </c>
      <c r="S59" s="25">
        <f>IF(ISERROR(+SUMPRODUCT($S$9:$S$9,$I$9:$I$9)),0,+SUMPRODUCT($S$9:$S$9,$I$9:$I$9))</f>
        <v>0</v>
      </c>
      <c r="T59" s="25"/>
      <c r="U59" s="25">
        <f>IF(ISERROR(+SUMPRODUCT($U$9:$U$9,$I$9:$I$9)),0,+SUMPRODUCT($U$9:$U$9,$I$9:$I$9))</f>
        <v>0</v>
      </c>
      <c r="V59" s="25">
        <f>IF(ISERROR(+SUMPRODUCT($V$9:$V$9,$I$9:$I$9)),0,+SUMPRODUCT($V$9:$V$9,$I$9:$I$9))</f>
        <v>0</v>
      </c>
      <c r="W59" s="25">
        <f>IF(ISERROR(+SUMPRODUCT($W$9:$W$9,$I$9:$I$9)),0,+SUMPRODUCT($W$9:$W$9,$I$9:$I$9))</f>
        <v>0</v>
      </c>
      <c r="X59" s="25">
        <f>IF(ISERROR(+SUMPRODUCT($X$9:$X$9,$I$9:$I$9)),0,+SUMPRODUCT($X$9:$X$9,$I$9:$I$9))</f>
        <v>0</v>
      </c>
      <c r="Y59" s="25">
        <f>IF(ISERROR(+SUMPRODUCT($Y$9:$Y$9,$I$9:$I$9)),0,+SUMPRODUCT($Y$9:$Y$9,$I$9:$I$9))</f>
        <v>0</v>
      </c>
      <c r="Z59" s="25">
        <f>IF(ISERROR(+SUMPRODUCT($Z$9:$Z$9,$I$9:$I$9)),0,+SUMPRODUCT($Z$9:$Z$9,$I$9:$I$9))</f>
        <v>0</v>
      </c>
      <c r="AA59" s="25">
        <f>IF(ISERROR(+SUMPRODUCT($AA$9:$AA$9,$I$9:$I$9)),0,+SUMPRODUCT($AA$9:$AA$9,$I$9:$I$9))</f>
        <v>0</v>
      </c>
      <c r="AB59" s="25"/>
      <c r="AC59" s="25">
        <f>IF(ISERROR(+SUMPRODUCT($AC$9:$AC$9,$I$9:$I$9)),0,+SUMPRODUCT($AC$9:$AC$9,$I$9:$I$9))</f>
        <v>36685314.471119352</v>
      </c>
      <c r="AD59" s="25"/>
      <c r="AE59" s="25">
        <f>IF(ISERROR(+SUMPRODUCT($AE$9:$AE$9,$I$9:$I$9)),0,+SUMPRODUCT($AE$9:$AE$9,$I$9:$I$9))</f>
        <v>0</v>
      </c>
      <c r="AF59" s="25">
        <f>IF(ISERROR(+SUMPRODUCT($AF$9:$AF$9,$I$9:$I$9)),0,+SUMPRODUCT($AF$9:$AF$9,$I$9:$I$9))</f>
        <v>0</v>
      </c>
      <c r="AG59" s="25"/>
      <c r="AH59" s="25">
        <f>IF(ISERROR(+SUMPRODUCT($AH$9:$AH$9,$I$9:$I$9)),0,+SUMPRODUCT($AH$9:$AH$9,$I$9:$I$9))</f>
        <v>6889832.2985269232</v>
      </c>
      <c r="AI59" s="25">
        <f>IF(ISERROR(+SUMPRODUCT($AI$9:$AI$9,$I$9:$I$9)),0,+SUMPRODUCT($AI$9:$AI$9,$I$9:$I$9))</f>
        <v>0</v>
      </c>
      <c r="AJ59" s="25">
        <f>IF(ISERROR(+SUMPRODUCT($AJ$9:$AJ$9,$I$9:$I$9)),0,+SUMPRODUCT($AJ$9:$AJ$9,$I$9:$I$9))</f>
        <v>0</v>
      </c>
      <c r="AK59" s="25">
        <f>IF(ISERROR(+SUMPRODUCT($AK$9:$AK$9,$I$9:$I$9)),0,+SUMPRODUCT($AK$9:$AK$9,$I$9:$I$9))</f>
        <v>0</v>
      </c>
      <c r="AL59" s="25"/>
      <c r="AM59" s="25"/>
    </row>
    <row r="60" spans="1:42" ht="11.25" customHeight="1" x14ac:dyDescent="0.25">
      <c r="K60" s="19" t="s">
        <v>751</v>
      </c>
      <c r="L60" s="25">
        <f>IF(ISERROR(+SUMPRODUCT($L$5:$L$8,$I$5:$I$8)+SUMPRODUCT($L$10:$L$13,$I$10:$I$13)+SUMPRODUCT($L$14:$L$14,$I$14:$I$14)+SUMPRODUCT($L$15:$L$19,$I$15:$I$19)+SUMPRODUCT($L$20:$L$21,$I$20:$I$21)+SUMPRODUCT($L$22:$L$24,$I$22:$I$24)+SUMPRODUCT($L$25:$L$29,$I$25:$I$29)+SUMPRODUCT($L$30:$L$34,$I$30:$I$34)+SUMPRODUCT($L$35:$L$37,$I$35:$I$37)+SUMPRODUCT($L$38:$L$38,$I$38:$I$38)+SUMPRODUCT($L$39:$L$41,$I$39:$I$41)+SUMPRODUCT($L$42:$L$42,$I$42:$I$42)+SUMPRODUCT($L$43:$L$45,$I$43:$I$45)+SUMPRODUCT($L$46:$L$46,$I$46:$I$46)+SUMPRODUCT($L$47:$L$49,$I$47:$I$49)+SUMPRODUCT($L$50:$L$52,$I$50:$I$52)+SUMPRODUCT($L$53:$L$53,$I$53:$I$53)+SUMPRODUCT($L$54:$L$54,$I$54:$I$54)+SUMPRODUCT($L$55:$L$56,$I$55:$I$56)),0,+SUMPRODUCT($L$5:$L$8,$I$5:$I$8)+SUMPRODUCT($L$10:$L$13,$I$10:$I$13)+SUMPRODUCT($L$14:$L$14,$I$14:$I$14)+SUMPRODUCT($L$15:$L$19,$I$15:$I$19)+SUMPRODUCT($L$20:$L$21,$I$20:$I$21)+SUMPRODUCT($L$22:$L$24,$I$22:$I$24)+SUMPRODUCT($L$25:$L$29,$I$25:$I$29)+SUMPRODUCT($L$30:$L$34,$I$30:$I$34)+SUMPRODUCT($L$35:$L$37,$I$35:$I$37)+SUMPRODUCT($L$38:$L$38,$I$38:$I$38)+SUMPRODUCT($L$39:$L$41,$I$39:$I$41)+SUMPRODUCT($L$42:$L$42,$I$42:$I$42)+SUMPRODUCT($L$43:$L$45,$I$43:$I$45)+SUMPRODUCT($L$46:$L$46,$I$46:$I$46)+SUMPRODUCT($L$47:$L$49,$I$47:$I$49)+SUMPRODUCT($L$50:$L$52,$I$50:$I$52)+SUMPRODUCT($L$53:$L$53,$I$53:$I$53)+SUMPRODUCT($L$54:$L$54,$I$54:$I$54)+SUMPRODUCT($L$55:$L$56,$I$55:$I$56))</f>
        <v>5119498.6436600005</v>
      </c>
      <c r="M60" s="25">
        <f>IF(ISERROR(+SUMPRODUCT($M$5:$M$8,$I$5:$I$8)+SUMPRODUCT($M$10:$M$13,$I$10:$I$13)+SUMPRODUCT($M$14:$M$14,$I$14:$I$14)+SUMPRODUCT($M$15:$M$19,$I$15:$I$19)+SUMPRODUCT($M$20:$M$21,$I$20:$I$21)+SUMPRODUCT($M$22:$M$24,$I$22:$I$24)+SUMPRODUCT($M$25:$M$29,$I$25:$I$29)+SUMPRODUCT($M$30:$M$34,$I$30:$I$34)+SUMPRODUCT($M$35:$M$37,$I$35:$I$37)+SUMPRODUCT($M$38:$M$38,$I$38:$I$38)+SUMPRODUCT($M$39:$M$41,$I$39:$I$41)+SUMPRODUCT($M$42:$M$42,$I$42:$I$42)+SUMPRODUCT($M$43:$M$45,$I$43:$I$45)+SUMPRODUCT($M$46:$M$46,$I$46:$I$46)+SUMPRODUCT($M$47:$M$49,$I$47:$I$49)+SUMPRODUCT($M$50:$M$52,$I$50:$I$52)+SUMPRODUCT($M$53:$M$53,$I$53:$I$53)+SUMPRODUCT($M$54:$M$54,$I$54:$I$54)+SUMPRODUCT($M$55:$M$56,$I$55:$I$56)),0,+SUMPRODUCT($M$5:$M$8,$I$5:$I$8)+SUMPRODUCT($M$10:$M$13,$I$10:$I$13)+SUMPRODUCT($M$14:$M$14,$I$14:$I$14)+SUMPRODUCT($M$15:$M$19,$I$15:$I$19)+SUMPRODUCT($M$20:$M$21,$I$20:$I$21)+SUMPRODUCT($M$22:$M$24,$I$22:$I$24)+SUMPRODUCT($M$25:$M$29,$I$25:$I$29)+SUMPRODUCT($M$30:$M$34,$I$30:$I$34)+SUMPRODUCT($M$35:$M$37,$I$35:$I$37)+SUMPRODUCT($M$38:$M$38,$I$38:$I$38)+SUMPRODUCT($M$39:$M$41,$I$39:$I$41)+SUMPRODUCT($M$42:$M$42,$I$42:$I$42)+SUMPRODUCT($M$43:$M$45,$I$43:$I$45)+SUMPRODUCT($M$46:$M$46,$I$46:$I$46)+SUMPRODUCT($M$47:$M$49,$I$47:$I$49)+SUMPRODUCT($M$50:$M$52,$I$50:$I$52)+SUMPRODUCT($M$53:$M$53,$I$53:$I$53)+SUMPRODUCT($M$54:$M$54,$I$54:$I$54)+SUMPRODUCT($M$55:$M$56,$I$55:$I$56))</f>
        <v>4103210.9344728817</v>
      </c>
      <c r="N60" s="25">
        <f ca="1">IF(ISERROR(+SUMPRODUCT($N$5:$N$8,$I$5:$I$8)+SUMPRODUCT($N$10:$N$13,$I$10:$I$13)+SUMPRODUCT($N$14:$N$14,$I$14:$I$14)+SUMPRODUCT($N$15:$N$19,$I$15:$I$19)+SUMPRODUCT($N$20:$N$21,$I$20:$I$21)+SUMPRODUCT($N$22:$N$24,$I$22:$I$24)+SUMPRODUCT($N$25:$N$29,$I$25:$I$29)+SUMPRODUCT($N$30:$N$34,$I$30:$I$34)+SUMPRODUCT($N$35:$N$37,$I$35:$I$37)+SUMPRODUCT($N$38:$N$38,$I$38:$I$38)+SUMPRODUCT($N$39:$N$41,$I$39:$I$41)+SUMPRODUCT($N$42:$N$42,$I$42:$I$42)+SUMPRODUCT($N$43:$N$45,$I$43:$I$45)+SUMPRODUCT($N$46:$N$46,$I$46:$I$46)+SUMPRODUCT($N$47:$N$49,$I$47:$I$49)+SUMPRODUCT($N$50:$N$52,$I$50:$I$52)+SUMPRODUCT($N$53:$N$53,$I$53:$I$53)+SUMPRODUCT($N$54:$N$54,$I$54:$I$54)+SUMPRODUCT($N$55:$N$56,$I$55:$I$56)),0,+SUMPRODUCT($N$5:$N$8,$I$5:$I$8)+SUMPRODUCT($N$10:$N$13,$I$10:$I$13)+SUMPRODUCT($N$14:$N$14,$I$14:$I$14)+SUMPRODUCT($N$15:$N$19,$I$15:$I$19)+SUMPRODUCT($N$20:$N$21,$I$20:$I$21)+SUMPRODUCT($N$22:$N$24,$I$22:$I$24)+SUMPRODUCT($N$25:$N$29,$I$25:$I$29)+SUMPRODUCT($N$30:$N$34,$I$30:$I$34)+SUMPRODUCT($N$35:$N$37,$I$35:$I$37)+SUMPRODUCT($N$38:$N$38,$I$38:$I$38)+SUMPRODUCT($N$39:$N$41,$I$39:$I$41)+SUMPRODUCT($N$42:$N$42,$I$42:$I$42)+SUMPRODUCT($N$43:$N$45,$I$43:$I$45)+SUMPRODUCT($N$46:$N$46,$I$46:$I$46)+SUMPRODUCT($N$47:$N$49,$I$47:$I$49)+SUMPRODUCT($N$50:$N$52,$I$50:$I$52)+SUMPRODUCT($N$53:$N$53,$I$53:$I$53)+SUMPRODUCT($N$54:$N$54,$I$54:$I$54)+SUMPRODUCT($N$55:$N$56,$I$55:$I$56))</f>
        <v>23888011.436403587</v>
      </c>
      <c r="O60" s="25">
        <f>IF(ISERROR(+SUMPRODUCT($O$5:$O$8,$I$5:$I$8)+SUMPRODUCT($O$10:$O$13,$I$10:$I$13)+SUMPRODUCT($O$14:$O$14,$I$14:$I$14)+SUMPRODUCT($O$15:$O$19,$I$15:$I$19)+SUMPRODUCT($O$20:$O$21,$I$20:$I$21)+SUMPRODUCT($O$22:$O$24,$I$22:$I$24)+SUMPRODUCT($O$25:$O$29,$I$25:$I$29)+SUMPRODUCT($O$30:$O$34,$I$30:$I$34)+SUMPRODUCT($O$35:$O$37,$I$35:$I$37)+SUMPRODUCT($O$38:$O$38,$I$38:$I$38)+SUMPRODUCT($O$39:$O$41,$I$39:$I$41)+SUMPRODUCT($O$42:$O$42,$I$42:$I$42)+SUMPRODUCT($O$43:$O$45,$I$43:$I$45)+SUMPRODUCT($O$46:$O$46,$I$46:$I$46)+SUMPRODUCT($O$47:$O$49,$I$47:$I$49)+SUMPRODUCT($O$50:$O$52,$I$50:$I$52)+SUMPRODUCT($O$53:$O$53,$I$53:$I$53)+SUMPRODUCT($O$54:$O$54,$I$54:$I$54)+SUMPRODUCT($O$55:$O$56,$I$55:$I$56)),0,+SUMPRODUCT($O$5:$O$8,$I$5:$I$8)+SUMPRODUCT($O$10:$O$13,$I$10:$I$13)+SUMPRODUCT($O$14:$O$14,$I$14:$I$14)+SUMPRODUCT($O$15:$O$19,$I$15:$I$19)+SUMPRODUCT($O$20:$O$21,$I$20:$I$21)+SUMPRODUCT($O$22:$O$24,$I$22:$I$24)+SUMPRODUCT($O$25:$O$29,$I$25:$I$29)+SUMPRODUCT($O$30:$O$34,$I$30:$I$34)+SUMPRODUCT($O$35:$O$37,$I$35:$I$37)+SUMPRODUCT($O$38:$O$38,$I$38:$I$38)+SUMPRODUCT($O$39:$O$41,$I$39:$I$41)+SUMPRODUCT($O$42:$O$42,$I$42:$I$42)+SUMPRODUCT($O$43:$O$45,$I$43:$I$45)+SUMPRODUCT($O$46:$O$46,$I$46:$I$46)+SUMPRODUCT($O$47:$O$49,$I$47:$I$49)+SUMPRODUCT($O$50:$O$52,$I$50:$I$52)+SUMPRODUCT($O$53:$O$53,$I$53:$I$53)+SUMPRODUCT($O$54:$O$54,$I$54:$I$54)+SUMPRODUCT($O$55:$O$56,$I$55:$I$56))</f>
        <v>6105475.6802000012</v>
      </c>
      <c r="P60" s="25">
        <f>IF(ISERROR(+SUMPRODUCT($P$5:$P$8,$I$5:$I$8)+SUMPRODUCT($P$10:$P$13,$I$10:$I$13)+SUMPRODUCT($P$14:$P$14,$I$14:$I$14)+SUMPRODUCT($P$15:$P$19,$I$15:$I$19)+SUMPRODUCT($P$20:$P$21,$I$20:$I$21)+SUMPRODUCT($P$22:$P$24,$I$22:$I$24)+SUMPRODUCT($P$25:$P$29,$I$25:$I$29)+SUMPRODUCT($P$30:$P$34,$I$30:$I$34)+SUMPRODUCT($P$35:$P$37,$I$35:$I$37)+SUMPRODUCT($P$38:$P$38,$I$38:$I$38)+SUMPRODUCT($P$39:$P$41,$I$39:$I$41)+SUMPRODUCT($P$42:$P$42,$I$42:$I$42)+SUMPRODUCT($P$43:$P$45,$I$43:$I$45)+SUMPRODUCT($P$46:$P$46,$I$46:$I$46)+SUMPRODUCT($P$47:$P$49,$I$47:$I$49)+SUMPRODUCT($P$50:$P$52,$I$50:$I$52)+SUMPRODUCT($P$53:$P$53,$I$53:$I$53)+SUMPRODUCT($P$54:$P$54,$I$54:$I$54)+SUMPRODUCT($P$55:$P$56,$I$55:$I$56)),0,+SUMPRODUCT($P$5:$P$8,$I$5:$I$8)+SUMPRODUCT($P$10:$P$13,$I$10:$I$13)+SUMPRODUCT($P$14:$P$14,$I$14:$I$14)+SUMPRODUCT($P$15:$P$19,$I$15:$I$19)+SUMPRODUCT($P$20:$P$21,$I$20:$I$21)+SUMPRODUCT($P$22:$P$24,$I$22:$I$24)+SUMPRODUCT($P$25:$P$29,$I$25:$I$29)+SUMPRODUCT($P$30:$P$34,$I$30:$I$34)+SUMPRODUCT($P$35:$P$37,$I$35:$I$37)+SUMPRODUCT($P$38:$P$38,$I$38:$I$38)+SUMPRODUCT($P$39:$P$41,$I$39:$I$41)+SUMPRODUCT($P$42:$P$42,$I$42:$I$42)+SUMPRODUCT($P$43:$P$45,$I$43:$I$45)+SUMPRODUCT($P$46:$P$46,$I$46:$I$46)+SUMPRODUCT($P$47:$P$49,$I$47:$I$49)+SUMPRODUCT($P$50:$P$52,$I$50:$I$52)+SUMPRODUCT($P$53:$P$53,$I$53:$I$53)+SUMPRODUCT($P$54:$P$54,$I$54:$I$54)+SUMPRODUCT($P$55:$P$56,$I$55:$I$56))</f>
        <v>5735527.4292000011</v>
      </c>
      <c r="Q60" s="25">
        <f>IF(ISERROR(+SUMPRODUCT($Q$5:$Q$8,$I$5:$I$8)+SUMPRODUCT($Q$10:$Q$13,$I$10:$I$13)+SUMPRODUCT($Q$14:$Q$14,$I$14:$I$14)+SUMPRODUCT($Q$15:$Q$19,$I$15:$I$19)+SUMPRODUCT($Q$20:$Q$21,$I$20:$I$21)+SUMPRODUCT($Q$22:$Q$24,$I$22:$I$24)+SUMPRODUCT($Q$25:$Q$29,$I$25:$I$29)+SUMPRODUCT($Q$30:$Q$34,$I$30:$I$34)+SUMPRODUCT($Q$35:$Q$37,$I$35:$I$37)+SUMPRODUCT($Q$38:$Q$38,$I$38:$I$38)+SUMPRODUCT($Q$39:$Q$41,$I$39:$I$41)+SUMPRODUCT($Q$42:$Q$42,$I$42:$I$42)+SUMPRODUCT($Q$43:$Q$45,$I$43:$I$45)+SUMPRODUCT($Q$46:$Q$46,$I$46:$I$46)+SUMPRODUCT($Q$47:$Q$49,$I$47:$I$49)+SUMPRODUCT($Q$50:$Q$52,$I$50:$I$52)+SUMPRODUCT($Q$53:$Q$53,$I$53:$I$53)+SUMPRODUCT($Q$54:$Q$54,$I$54:$I$54)+SUMPRODUCT($Q$55:$Q$56,$I$55:$I$56)),0,+SUMPRODUCT($Q$5:$Q$8,$I$5:$I$8)+SUMPRODUCT($Q$10:$Q$13,$I$10:$I$13)+SUMPRODUCT($Q$14:$Q$14,$I$14:$I$14)+SUMPRODUCT($Q$15:$Q$19,$I$15:$I$19)+SUMPRODUCT($Q$20:$Q$21,$I$20:$I$21)+SUMPRODUCT($Q$22:$Q$24,$I$22:$I$24)+SUMPRODUCT($Q$25:$Q$29,$I$25:$I$29)+SUMPRODUCT($Q$30:$Q$34,$I$30:$I$34)+SUMPRODUCT($Q$35:$Q$37,$I$35:$I$37)+SUMPRODUCT($Q$38:$Q$38,$I$38:$I$38)+SUMPRODUCT($Q$39:$Q$41,$I$39:$I$41)+SUMPRODUCT($Q$42:$Q$42,$I$42:$I$42)+SUMPRODUCT($Q$43:$Q$45,$I$43:$I$45)+SUMPRODUCT($Q$46:$Q$46,$I$46:$I$46)+SUMPRODUCT($Q$47:$Q$49,$I$47:$I$49)+SUMPRODUCT($Q$50:$Q$52,$I$50:$I$52)+SUMPRODUCT($Q$53:$Q$53,$I$53:$I$53)+SUMPRODUCT($Q$54:$Q$54,$I$54:$I$54)+SUMPRODUCT($Q$55:$Q$56,$I$55:$I$56))</f>
        <v>5119498.6436600005</v>
      </c>
      <c r="R60" s="25">
        <f>IF(ISERROR(+SUMPRODUCT($R$5:$R$8,$I$5:$I$8)+SUMPRODUCT($R$10:$R$13,$I$10:$I$13)+SUMPRODUCT($R$14:$R$14,$I$14:$I$14)+SUMPRODUCT($R$15:$R$19,$I$15:$I$19)+SUMPRODUCT($R$20:$R$21,$I$20:$I$21)+SUMPRODUCT($R$22:$R$24,$I$22:$I$24)+SUMPRODUCT($R$25:$R$29,$I$25:$I$29)+SUMPRODUCT($R$30:$R$34,$I$30:$I$34)+SUMPRODUCT($R$35:$R$37,$I$35:$I$37)+SUMPRODUCT($R$38:$R$38,$I$38:$I$38)+SUMPRODUCT($R$39:$R$41,$I$39:$I$41)+SUMPRODUCT($R$42:$R$42,$I$42:$I$42)+SUMPRODUCT($R$43:$R$45,$I$43:$I$45)+SUMPRODUCT($R$46:$R$46,$I$46:$I$46)+SUMPRODUCT($R$47:$R$49,$I$47:$I$49)+SUMPRODUCT($R$50:$R$52,$I$50:$I$52)+SUMPRODUCT($R$53:$R$53,$I$53:$I$53)+SUMPRODUCT($R$54:$R$54,$I$54:$I$54)+SUMPRODUCT($R$55:$R$56,$I$55:$I$56)),0,+SUMPRODUCT($R$5:$R$8,$I$5:$I$8)+SUMPRODUCT($R$10:$R$13,$I$10:$I$13)+SUMPRODUCT($R$14:$R$14,$I$14:$I$14)+SUMPRODUCT($R$15:$R$19,$I$15:$I$19)+SUMPRODUCT($R$20:$R$21,$I$20:$I$21)+SUMPRODUCT($R$22:$R$24,$I$22:$I$24)+SUMPRODUCT($R$25:$R$29,$I$25:$I$29)+SUMPRODUCT($R$30:$R$34,$I$30:$I$34)+SUMPRODUCT($R$35:$R$37,$I$35:$I$37)+SUMPRODUCT($R$38:$R$38,$I$38:$I$38)+SUMPRODUCT($R$39:$R$41,$I$39:$I$41)+SUMPRODUCT($R$42:$R$42,$I$42:$I$42)+SUMPRODUCT($R$43:$R$45,$I$43:$I$45)+SUMPRODUCT($R$46:$R$46,$I$46:$I$46)+SUMPRODUCT($R$47:$R$49,$I$47:$I$49)+SUMPRODUCT($R$50:$R$52,$I$50:$I$52)+SUMPRODUCT($R$53:$R$53,$I$53:$I$53)+SUMPRODUCT($R$54:$R$54,$I$54:$I$54)+SUMPRODUCT($R$55:$R$56,$I$55:$I$56))</f>
        <v>5735527.4292000011</v>
      </c>
      <c r="S60" s="25">
        <f>IF(ISERROR(+SUMPRODUCT($S$5:$S$8,$I$5:$I$8)+SUMPRODUCT($S$10:$S$13,$I$10:$I$13)+SUMPRODUCT($S$14:$S$14,$I$14:$I$14)+SUMPRODUCT($S$15:$S$19,$I$15:$I$19)+SUMPRODUCT($S$20:$S$21,$I$20:$I$21)+SUMPRODUCT($S$22:$S$24,$I$22:$I$24)+SUMPRODUCT($S$25:$S$29,$I$25:$I$29)+SUMPRODUCT($S$30:$S$34,$I$30:$I$34)+SUMPRODUCT($S$35:$S$37,$I$35:$I$37)+SUMPRODUCT($S$38:$S$38,$I$38:$I$38)+SUMPRODUCT($S$39:$S$41,$I$39:$I$41)+SUMPRODUCT($S$42:$S$42,$I$42:$I$42)+SUMPRODUCT($S$43:$S$45,$I$43:$I$45)+SUMPRODUCT($S$46:$S$46,$I$46:$I$46)+SUMPRODUCT($S$47:$S$49,$I$47:$I$49)+SUMPRODUCT($S$50:$S$52,$I$50:$I$52)+SUMPRODUCT($S$53:$S$53,$I$53:$I$53)+SUMPRODUCT($S$54:$S$54,$I$54:$I$54)+SUMPRODUCT($S$55:$S$56,$I$55:$I$56)),0,+SUMPRODUCT($S$5:$S$8,$I$5:$I$8)+SUMPRODUCT($S$10:$S$13,$I$10:$I$13)+SUMPRODUCT($S$14:$S$14,$I$14:$I$14)+SUMPRODUCT($S$15:$S$19,$I$15:$I$19)+SUMPRODUCT($S$20:$S$21,$I$20:$I$21)+SUMPRODUCT($S$22:$S$24,$I$22:$I$24)+SUMPRODUCT($S$25:$S$29,$I$25:$I$29)+SUMPRODUCT($S$30:$S$34,$I$30:$I$34)+SUMPRODUCT($S$35:$S$37,$I$35:$I$37)+SUMPRODUCT($S$38:$S$38,$I$38:$I$38)+SUMPRODUCT($S$39:$S$41,$I$39:$I$41)+SUMPRODUCT($S$42:$S$42,$I$42:$I$42)+SUMPRODUCT($S$43:$S$45,$I$43:$I$45)+SUMPRODUCT($S$46:$S$46,$I$46:$I$46)+SUMPRODUCT($S$47:$S$49,$I$47:$I$49)+SUMPRODUCT($S$50:$S$52,$I$50:$I$52)+SUMPRODUCT($S$53:$S$53,$I$53:$I$53)+SUMPRODUCT($S$54:$S$54,$I$54:$I$54)+SUMPRODUCT($S$55:$S$56,$I$55:$I$56))</f>
        <v>6105475.6802000012</v>
      </c>
      <c r="T60" s="25"/>
      <c r="U60" s="25">
        <f>IF(ISERROR(+SUMPRODUCT($U$5:$U$8,$I$5:$I$8)+SUMPRODUCT($U$10:$U$13,$I$10:$I$13)+SUMPRODUCT($U$14:$U$14,$I$14:$I$14)+SUMPRODUCT($U$15:$U$19,$I$15:$I$19)+SUMPRODUCT($U$20:$U$21,$I$20:$I$21)+SUMPRODUCT($U$22:$U$24,$I$22:$I$24)+SUMPRODUCT($U$25:$U$29,$I$25:$I$29)+SUMPRODUCT($U$30:$U$34,$I$30:$I$34)+SUMPRODUCT($U$35:$U$37,$I$35:$I$37)+SUMPRODUCT($U$38:$U$38,$I$38:$I$38)+SUMPRODUCT($U$39:$U$41,$I$39:$I$41)+SUMPRODUCT($U$42:$U$42,$I$42:$I$42)+SUMPRODUCT($U$43:$U$45,$I$43:$I$45)+SUMPRODUCT($U$46:$U$46,$I$46:$I$46)+SUMPRODUCT($U$47:$U$49,$I$47:$I$49)+SUMPRODUCT($U$50:$U$52,$I$50:$I$52)+SUMPRODUCT($U$53:$U$53,$I$53:$I$53)+SUMPRODUCT($U$54:$U$54,$I$54:$I$54)+SUMPRODUCT($U$55:$U$56,$I$55:$I$56)),0,+SUMPRODUCT($U$5:$U$8,$I$5:$I$8)+SUMPRODUCT($U$10:$U$13,$I$10:$I$13)+SUMPRODUCT($U$14:$U$14,$I$14:$I$14)+SUMPRODUCT($U$15:$U$19,$I$15:$I$19)+SUMPRODUCT($U$20:$U$21,$I$20:$I$21)+SUMPRODUCT($U$22:$U$24,$I$22:$I$24)+SUMPRODUCT($U$25:$U$29,$I$25:$I$29)+SUMPRODUCT($U$30:$U$34,$I$30:$I$34)+SUMPRODUCT($U$35:$U$37,$I$35:$I$37)+SUMPRODUCT($U$38:$U$38,$I$38:$I$38)+SUMPRODUCT($U$39:$U$41,$I$39:$I$41)+SUMPRODUCT($U$42:$U$42,$I$42:$I$42)+SUMPRODUCT($U$43:$U$45,$I$43:$I$45)+SUMPRODUCT($U$46:$U$46,$I$46:$I$46)+SUMPRODUCT($U$47:$U$49,$I$47:$I$49)+SUMPRODUCT($U$50:$U$52,$I$50:$I$52)+SUMPRODUCT($U$53:$U$53,$I$53:$I$53)+SUMPRODUCT($U$54:$U$54,$I$54:$I$54)+SUMPRODUCT($U$55:$U$56,$I$55:$I$56))</f>
        <v>206259233.02044597</v>
      </c>
      <c r="V60" s="25">
        <f>IF(ISERROR(+SUMPRODUCT($V$5:$V$8,$I$5:$I$8)+SUMPRODUCT($V$10:$V$13,$I$10:$I$13)+SUMPRODUCT($V$14:$V$14,$I$14:$I$14)+SUMPRODUCT($V$15:$V$19,$I$15:$I$19)+SUMPRODUCT($V$20:$V$21,$I$20:$I$21)+SUMPRODUCT($V$22:$V$24,$I$22:$I$24)+SUMPRODUCT($V$25:$V$29,$I$25:$I$29)+SUMPRODUCT($V$30:$V$34,$I$30:$I$34)+SUMPRODUCT($V$35:$V$37,$I$35:$I$37)+SUMPRODUCT($V$38:$V$38,$I$38:$I$38)+SUMPRODUCT($V$39:$V$41,$I$39:$I$41)+SUMPRODUCT($V$42:$V$42,$I$42:$I$42)+SUMPRODUCT($V$43:$V$45,$I$43:$I$45)+SUMPRODUCT($V$46:$V$46,$I$46:$I$46)+SUMPRODUCT($V$47:$V$49,$I$47:$I$49)+SUMPRODUCT($V$50:$V$52,$I$50:$I$52)+SUMPRODUCT($V$53:$V$53,$I$53:$I$53)+SUMPRODUCT($V$54:$V$54,$I$54:$I$54)+SUMPRODUCT($V$55:$V$56,$I$55:$I$56)),0,+SUMPRODUCT($V$5:$V$8,$I$5:$I$8)+SUMPRODUCT($V$10:$V$13,$I$10:$I$13)+SUMPRODUCT($V$14:$V$14,$I$14:$I$14)+SUMPRODUCT($V$15:$V$19,$I$15:$I$19)+SUMPRODUCT($V$20:$V$21,$I$20:$I$21)+SUMPRODUCT($V$22:$V$24,$I$22:$I$24)+SUMPRODUCT($V$25:$V$29,$I$25:$I$29)+SUMPRODUCT($V$30:$V$34,$I$30:$I$34)+SUMPRODUCT($V$35:$V$37,$I$35:$I$37)+SUMPRODUCT($V$38:$V$38,$I$38:$I$38)+SUMPRODUCT($V$39:$V$41,$I$39:$I$41)+SUMPRODUCT($V$42:$V$42,$I$42:$I$42)+SUMPRODUCT($V$43:$V$45,$I$43:$I$45)+SUMPRODUCT($V$46:$V$46,$I$46:$I$46)+SUMPRODUCT($V$47:$V$49,$I$47:$I$49)+SUMPRODUCT($V$50:$V$52,$I$50:$I$52)+SUMPRODUCT($V$53:$V$53,$I$53:$I$53)+SUMPRODUCT($V$54:$V$54,$I$54:$I$54)+SUMPRODUCT($V$55:$V$56,$I$55:$I$56))</f>
        <v>31625599.03691088</v>
      </c>
      <c r="W60" s="25">
        <f>IF(ISERROR(+SUMPRODUCT($W$5:$W$8,$I$5:$I$8)+SUMPRODUCT($W$10:$W$13,$I$10:$I$13)+SUMPRODUCT($W$14:$W$14,$I$14:$I$14)+SUMPRODUCT($W$15:$W$19,$I$15:$I$19)+SUMPRODUCT($W$20:$W$21,$I$20:$I$21)+SUMPRODUCT($W$22:$W$24,$I$22:$I$24)+SUMPRODUCT($W$25:$W$29,$I$25:$I$29)+SUMPRODUCT($W$30:$W$34,$I$30:$I$34)+SUMPRODUCT($W$35:$W$37,$I$35:$I$37)+SUMPRODUCT($W$38:$W$38,$I$38:$I$38)+SUMPRODUCT($W$39:$W$41,$I$39:$I$41)+SUMPRODUCT($W$42:$W$42,$I$42:$I$42)+SUMPRODUCT($W$43:$W$45,$I$43:$I$45)+SUMPRODUCT($W$46:$W$46,$I$46:$I$46)+SUMPRODUCT($W$47:$W$49,$I$47:$I$49)+SUMPRODUCT($W$50:$W$52,$I$50:$I$52)+SUMPRODUCT($W$53:$W$53,$I$53:$I$53)+SUMPRODUCT($W$54:$W$54,$I$54:$I$54)+SUMPRODUCT($W$55:$W$56,$I$55:$I$56)),0,+SUMPRODUCT($W$5:$W$8,$I$5:$I$8)+SUMPRODUCT($W$10:$W$13,$I$10:$I$13)+SUMPRODUCT($W$14:$W$14,$I$14:$I$14)+SUMPRODUCT($W$15:$W$19,$I$15:$I$19)+SUMPRODUCT($W$20:$W$21,$I$20:$I$21)+SUMPRODUCT($W$22:$W$24,$I$22:$I$24)+SUMPRODUCT($W$25:$W$29,$I$25:$I$29)+SUMPRODUCT($W$30:$W$34,$I$30:$I$34)+SUMPRODUCT($W$35:$W$37,$I$35:$I$37)+SUMPRODUCT($W$38:$W$38,$I$38:$I$38)+SUMPRODUCT($W$39:$W$41,$I$39:$I$41)+SUMPRODUCT($W$42:$W$42,$I$42:$I$42)+SUMPRODUCT($W$43:$W$45,$I$43:$I$45)+SUMPRODUCT($W$46:$W$46,$I$46:$I$46)+SUMPRODUCT($W$47:$W$49,$I$47:$I$49)+SUMPRODUCT($W$50:$W$52,$I$50:$I$52)+SUMPRODUCT($W$53:$W$53,$I$53:$I$53)+SUMPRODUCT($W$54:$W$54,$I$54:$I$54)+SUMPRODUCT($W$55:$W$56,$I$55:$I$56))</f>
        <v>-1672776.9580013601</v>
      </c>
      <c r="X60" s="25">
        <f>IF(ISERROR(+SUMPRODUCT($X$5:$X$8,$I$5:$I$8)+SUMPRODUCT($X$10:$X$13,$I$10:$I$13)+SUMPRODUCT($X$14:$X$14,$I$14:$I$14)+SUMPRODUCT($X$15:$X$19,$I$15:$I$19)+SUMPRODUCT($X$20:$X$21,$I$20:$I$21)+SUMPRODUCT($X$22:$X$24,$I$22:$I$24)+SUMPRODUCT($X$25:$X$29,$I$25:$I$29)+SUMPRODUCT($X$30:$X$34,$I$30:$I$34)+SUMPRODUCT($X$35:$X$37,$I$35:$I$37)+SUMPRODUCT($X$38:$X$38,$I$38:$I$38)+SUMPRODUCT($X$39:$X$41,$I$39:$I$41)+SUMPRODUCT($X$42:$X$42,$I$42:$I$42)+SUMPRODUCT($X$43:$X$45,$I$43:$I$45)+SUMPRODUCT($X$46:$X$46,$I$46:$I$46)+SUMPRODUCT($X$47:$X$49,$I$47:$I$49)+SUMPRODUCT($X$50:$X$52,$I$50:$I$52)+SUMPRODUCT($X$53:$X$53,$I$53:$I$53)+SUMPRODUCT($X$54:$X$54,$I$54:$I$54)+SUMPRODUCT($X$55:$X$56,$I$55:$I$56)),0,+SUMPRODUCT($X$5:$X$8,$I$5:$I$8)+SUMPRODUCT($X$10:$X$13,$I$10:$I$13)+SUMPRODUCT($X$14:$X$14,$I$14:$I$14)+SUMPRODUCT($X$15:$X$19,$I$15:$I$19)+SUMPRODUCT($X$20:$X$21,$I$20:$I$21)+SUMPRODUCT($X$22:$X$24,$I$22:$I$24)+SUMPRODUCT($X$25:$X$29,$I$25:$I$29)+SUMPRODUCT($X$30:$X$34,$I$30:$I$34)+SUMPRODUCT($X$35:$X$37,$I$35:$I$37)+SUMPRODUCT($X$38:$X$38,$I$38:$I$38)+SUMPRODUCT($X$39:$X$41,$I$39:$I$41)+SUMPRODUCT($X$42:$X$42,$I$42:$I$42)+SUMPRODUCT($X$43:$X$45,$I$43:$I$45)+SUMPRODUCT($X$46:$X$46,$I$46:$I$46)+SUMPRODUCT($X$47:$X$49,$I$47:$I$49)+SUMPRODUCT($X$50:$X$52,$I$50:$I$52)+SUMPRODUCT($X$53:$X$53,$I$53:$I$53)+SUMPRODUCT($X$54:$X$54,$I$54:$I$54)+SUMPRODUCT($X$55:$X$56,$I$55:$I$56))</f>
        <v>0</v>
      </c>
      <c r="Y60" s="25">
        <f>IF(ISERROR(+SUMPRODUCT($Y$5:$Y$8,$I$5:$I$8)+SUMPRODUCT($Y$10:$Y$13,$I$10:$I$13)+SUMPRODUCT($Y$14:$Y$14,$I$14:$I$14)+SUMPRODUCT($Y$15:$Y$19,$I$15:$I$19)+SUMPRODUCT($Y$20:$Y$21,$I$20:$I$21)+SUMPRODUCT($Y$22:$Y$24,$I$22:$I$24)+SUMPRODUCT($Y$25:$Y$29,$I$25:$I$29)+SUMPRODUCT($Y$30:$Y$34,$I$30:$I$34)+SUMPRODUCT($Y$35:$Y$37,$I$35:$I$37)+SUMPRODUCT($Y$38:$Y$38,$I$38:$I$38)+SUMPRODUCT($Y$39:$Y$41,$I$39:$I$41)+SUMPRODUCT($Y$42:$Y$42,$I$42:$I$42)+SUMPRODUCT($Y$43:$Y$45,$I$43:$I$45)+SUMPRODUCT($Y$46:$Y$46,$I$46:$I$46)+SUMPRODUCT($Y$47:$Y$49,$I$47:$I$49)+SUMPRODUCT($Y$50:$Y$52,$I$50:$I$52)+SUMPRODUCT($Y$53:$Y$53,$I$53:$I$53)+SUMPRODUCT($Y$54:$Y$54,$I$54:$I$54)+SUMPRODUCT($Y$55:$Y$56,$I$55:$I$56)),0,+SUMPRODUCT($Y$5:$Y$8,$I$5:$I$8)+SUMPRODUCT($Y$10:$Y$13,$I$10:$I$13)+SUMPRODUCT($Y$14:$Y$14,$I$14:$I$14)+SUMPRODUCT($Y$15:$Y$19,$I$15:$I$19)+SUMPRODUCT($Y$20:$Y$21,$I$20:$I$21)+SUMPRODUCT($Y$22:$Y$24,$I$22:$I$24)+SUMPRODUCT($Y$25:$Y$29,$I$25:$I$29)+SUMPRODUCT($Y$30:$Y$34,$I$30:$I$34)+SUMPRODUCT($Y$35:$Y$37,$I$35:$I$37)+SUMPRODUCT($Y$38:$Y$38,$I$38:$I$38)+SUMPRODUCT($Y$39:$Y$41,$I$39:$I$41)+SUMPRODUCT($Y$42:$Y$42,$I$42:$I$42)+SUMPRODUCT($Y$43:$Y$45,$I$43:$I$45)+SUMPRODUCT($Y$46:$Y$46,$I$46:$I$46)+SUMPRODUCT($Y$47:$Y$49,$I$47:$I$49)+SUMPRODUCT($Y$50:$Y$52,$I$50:$I$52)+SUMPRODUCT($Y$53:$Y$53,$I$53:$I$53)+SUMPRODUCT($Y$54:$Y$54,$I$54:$I$54)+SUMPRODUCT($Y$55:$Y$56,$I$55:$I$56))</f>
        <v>737706.88429384015</v>
      </c>
      <c r="Z60" s="25">
        <f>IF(ISERROR(+SUMPRODUCT($Z$5:$Z$8,$I$5:$I$8)+SUMPRODUCT($Z$10:$Z$13,$I$10:$I$13)+SUMPRODUCT($Z$14:$Z$14,$I$14:$I$14)+SUMPRODUCT($Z$15:$Z$19,$I$15:$I$19)+SUMPRODUCT($Z$20:$Z$21,$I$20:$I$21)+SUMPRODUCT($Z$22:$Z$24,$I$22:$I$24)+SUMPRODUCT($Z$25:$Z$29,$I$25:$I$29)+SUMPRODUCT($Z$30:$Z$34,$I$30:$I$34)+SUMPRODUCT($Z$35:$Z$37,$I$35:$I$37)+SUMPRODUCT($Z$38:$Z$38,$I$38:$I$38)+SUMPRODUCT($Z$39:$Z$41,$I$39:$I$41)+SUMPRODUCT($Z$42:$Z$42,$I$42:$I$42)+SUMPRODUCT($Z$43:$Z$45,$I$43:$I$45)+SUMPRODUCT($Z$46:$Z$46,$I$46:$I$46)+SUMPRODUCT($Z$47:$Z$49,$I$47:$I$49)+SUMPRODUCT($Z$50:$Z$52,$I$50:$I$52)+SUMPRODUCT($Z$53:$Z$53,$I$53:$I$53)+SUMPRODUCT($Z$54:$Z$54,$I$54:$I$54)+SUMPRODUCT($Z$55:$Z$56,$I$55:$I$56)),0,+SUMPRODUCT($Z$5:$Z$8,$I$5:$I$8)+SUMPRODUCT($Z$10:$Z$13,$I$10:$I$13)+SUMPRODUCT($Z$14:$Z$14,$I$14:$I$14)+SUMPRODUCT($Z$15:$Z$19,$I$15:$I$19)+SUMPRODUCT($Z$20:$Z$21,$I$20:$I$21)+SUMPRODUCT($Z$22:$Z$24,$I$22:$I$24)+SUMPRODUCT($Z$25:$Z$29,$I$25:$I$29)+SUMPRODUCT($Z$30:$Z$34,$I$30:$I$34)+SUMPRODUCT($Z$35:$Z$37,$I$35:$I$37)+SUMPRODUCT($Z$38:$Z$38,$I$38:$I$38)+SUMPRODUCT($Z$39:$Z$41,$I$39:$I$41)+SUMPRODUCT($Z$42:$Z$42,$I$42:$I$42)+SUMPRODUCT($Z$43:$Z$45,$I$43:$I$45)+SUMPRODUCT($Z$46:$Z$46,$I$46:$I$46)+SUMPRODUCT($Z$47:$Z$49,$I$47:$I$49)+SUMPRODUCT($Z$50:$Z$52,$I$50:$I$52)+SUMPRODUCT($Z$53:$Z$53,$I$53:$I$53)+SUMPRODUCT($Z$54:$Z$54,$I$54:$I$54)+SUMPRODUCT($Z$55:$Z$56,$I$55:$I$56))</f>
        <v>0</v>
      </c>
      <c r="AA60" s="25">
        <f>IF(ISERROR(+SUMPRODUCT($AA$5:$AA$8,$I$5:$I$8)+SUMPRODUCT($AA$10:$AA$13,$I$10:$I$13)+SUMPRODUCT($AA$14:$AA$14,$I$14:$I$14)+SUMPRODUCT($AA$15:$AA$19,$I$15:$I$19)+SUMPRODUCT($AA$20:$AA$21,$I$20:$I$21)+SUMPRODUCT($AA$22:$AA$24,$I$22:$I$24)+SUMPRODUCT($AA$25:$AA$29,$I$25:$I$29)+SUMPRODUCT($AA$30:$AA$34,$I$30:$I$34)+SUMPRODUCT($AA$35:$AA$37,$I$35:$I$37)+SUMPRODUCT($AA$38:$AA$38,$I$38:$I$38)+SUMPRODUCT($AA$39:$AA$41,$I$39:$I$41)+SUMPRODUCT($AA$42:$AA$42,$I$42:$I$42)+SUMPRODUCT($AA$43:$AA$45,$I$43:$I$45)+SUMPRODUCT($AA$46:$AA$46,$I$46:$I$46)+SUMPRODUCT($AA$47:$AA$49,$I$47:$I$49)+SUMPRODUCT($AA$50:$AA$52,$I$50:$I$52)+SUMPRODUCT($AA$53:$AA$53,$I$53:$I$53)+SUMPRODUCT($AA$54:$AA$54,$I$54:$I$54)+SUMPRODUCT($AA$55:$AA$56,$I$55:$I$56)),0,+SUMPRODUCT($AA$5:$AA$8,$I$5:$I$8)+SUMPRODUCT($AA$10:$AA$13,$I$10:$I$13)+SUMPRODUCT($AA$14:$AA$14,$I$14:$I$14)+SUMPRODUCT($AA$15:$AA$19,$I$15:$I$19)+SUMPRODUCT($AA$20:$AA$21,$I$20:$I$21)+SUMPRODUCT($AA$22:$AA$24,$I$22:$I$24)+SUMPRODUCT($AA$25:$AA$29,$I$25:$I$29)+SUMPRODUCT($AA$30:$AA$34,$I$30:$I$34)+SUMPRODUCT($AA$35:$AA$37,$I$35:$I$37)+SUMPRODUCT($AA$38:$AA$38,$I$38:$I$38)+SUMPRODUCT($AA$39:$AA$41,$I$39:$I$41)+SUMPRODUCT($AA$42:$AA$42,$I$42:$I$42)+SUMPRODUCT($AA$43:$AA$45,$I$43:$I$45)+SUMPRODUCT($AA$46:$AA$46,$I$46:$I$46)+SUMPRODUCT($AA$47:$AA$49,$I$47:$I$49)+SUMPRODUCT($AA$50:$AA$52,$I$50:$I$52)+SUMPRODUCT($AA$53:$AA$53,$I$53:$I$53)+SUMPRODUCT($AA$54:$AA$54,$I$54:$I$54)+SUMPRODUCT($AA$55:$AA$56,$I$55:$I$56))</f>
        <v>0</v>
      </c>
      <c r="AB60" s="25"/>
      <c r="AC60" s="25">
        <f>IF(ISERROR(+SUMPRODUCT($AC$5:$AC$8,$I$5:$I$8)+SUMPRODUCT($AC$10:$AC$13,$I$10:$I$13)+SUMPRODUCT($AC$14:$AC$14,$I$14:$I$14)+SUMPRODUCT($AC$15:$AC$19,$I$15:$I$19)+SUMPRODUCT($AC$20:$AC$21,$I$20:$I$21)+SUMPRODUCT($AC$22:$AC$24,$I$22:$I$24)+SUMPRODUCT($AC$25:$AC$29,$I$25:$I$29)+SUMPRODUCT($AC$30:$AC$34,$I$30:$I$34)+SUMPRODUCT($AC$35:$AC$37,$I$35:$I$37)+SUMPRODUCT($AC$38:$AC$38,$I$38:$I$38)+SUMPRODUCT($AC$39:$AC$41,$I$39:$I$41)+SUMPRODUCT($AC$42:$AC$42,$I$42:$I$42)+SUMPRODUCT($AC$43:$AC$45,$I$43:$I$45)+SUMPRODUCT($AC$46:$AC$46,$I$46:$I$46)+SUMPRODUCT($AC$47:$AC$49,$I$47:$I$49)+SUMPRODUCT($AC$50:$AC$52,$I$50:$I$52)+SUMPRODUCT($AC$53:$AC$53,$I$53:$I$53)+SUMPRODUCT($AC$54:$AC$54,$I$54:$I$54)+SUMPRODUCT($AC$55:$AC$56,$I$55:$I$56)),0,+SUMPRODUCT($AC$5:$AC$8,$I$5:$I$8)+SUMPRODUCT($AC$10:$AC$13,$I$10:$I$13)+SUMPRODUCT($AC$14:$AC$14,$I$14:$I$14)+SUMPRODUCT($AC$15:$AC$19,$I$15:$I$19)+SUMPRODUCT($AC$20:$AC$21,$I$20:$I$21)+SUMPRODUCT($AC$22:$AC$24,$I$22:$I$24)+SUMPRODUCT($AC$25:$AC$29,$I$25:$I$29)+SUMPRODUCT($AC$30:$AC$34,$I$30:$I$34)+SUMPRODUCT($AC$35:$AC$37,$I$35:$I$37)+SUMPRODUCT($AC$38:$AC$38,$I$38:$I$38)+SUMPRODUCT($AC$39:$AC$41,$I$39:$I$41)+SUMPRODUCT($AC$42:$AC$42,$I$42:$I$42)+SUMPRODUCT($AC$43:$AC$45,$I$43:$I$45)+SUMPRODUCT($AC$46:$AC$46,$I$46:$I$46)+SUMPRODUCT($AC$47:$AC$49,$I$47:$I$49)+SUMPRODUCT($AC$50:$AC$52,$I$50:$I$52)+SUMPRODUCT($AC$53:$AC$53,$I$53:$I$53)+SUMPRODUCT($AC$54:$AC$54,$I$54:$I$54)+SUMPRODUCT($AC$55:$AC$56,$I$55:$I$56))</f>
        <v>987320391.17401159</v>
      </c>
      <c r="AD60" s="25"/>
      <c r="AE60" s="25">
        <f>IF(ISERROR(+SUMPRODUCT($AE$5:$AE$8,$I$5:$I$8)+SUMPRODUCT($AE$10:$AE$13,$I$10:$I$13)+SUMPRODUCT($AE$14:$AE$14,$I$14:$I$14)+SUMPRODUCT($AE$15:$AE$19,$I$15:$I$19)+SUMPRODUCT($AE$20:$AE$21,$I$20:$I$21)+SUMPRODUCT($AE$22:$AE$24,$I$22:$I$24)+SUMPRODUCT($AE$25:$AE$29,$I$25:$I$29)+SUMPRODUCT($AE$30:$AE$34,$I$30:$I$34)+SUMPRODUCT($AE$35:$AE$37,$I$35:$I$37)+SUMPRODUCT($AE$38:$AE$38,$I$38:$I$38)+SUMPRODUCT($AE$39:$AE$41,$I$39:$I$41)+SUMPRODUCT($AE$42:$AE$42,$I$42:$I$42)+SUMPRODUCT($AE$43:$AE$45,$I$43:$I$45)+SUMPRODUCT($AE$46:$AE$46,$I$46:$I$46)+SUMPRODUCT($AE$47:$AE$49,$I$47:$I$49)+SUMPRODUCT($AE$50:$AE$52,$I$50:$I$52)+SUMPRODUCT($AE$53:$AE$53,$I$53:$I$53)+SUMPRODUCT($AE$54:$AE$54,$I$54:$I$54)+SUMPRODUCT($AE$55:$AE$56,$I$55:$I$56)),0,+SUMPRODUCT($AE$5:$AE$8,$I$5:$I$8)+SUMPRODUCT($AE$10:$AE$13,$I$10:$I$13)+SUMPRODUCT($AE$14:$AE$14,$I$14:$I$14)+SUMPRODUCT($AE$15:$AE$19,$I$15:$I$19)+SUMPRODUCT($AE$20:$AE$21,$I$20:$I$21)+SUMPRODUCT($AE$22:$AE$24,$I$22:$I$24)+SUMPRODUCT($AE$25:$AE$29,$I$25:$I$29)+SUMPRODUCT($AE$30:$AE$34,$I$30:$I$34)+SUMPRODUCT($AE$35:$AE$37,$I$35:$I$37)+SUMPRODUCT($AE$38:$AE$38,$I$38:$I$38)+SUMPRODUCT($AE$39:$AE$41,$I$39:$I$41)+SUMPRODUCT($AE$42:$AE$42,$I$42:$I$42)+SUMPRODUCT($AE$43:$AE$45,$I$43:$I$45)+SUMPRODUCT($AE$46:$AE$46,$I$46:$I$46)+SUMPRODUCT($AE$47:$AE$49,$I$47:$I$49)+SUMPRODUCT($AE$50:$AE$52,$I$50:$I$52)+SUMPRODUCT($AE$53:$AE$53,$I$53:$I$53)+SUMPRODUCT($AE$54:$AE$54,$I$54:$I$54)+SUMPRODUCT($AE$55:$AE$56,$I$55:$I$56))</f>
        <v>0</v>
      </c>
      <c r="AF60" s="25">
        <f>IF(ISERROR(+SUMPRODUCT($AF$5:$AF$8,$I$5:$I$8)+SUMPRODUCT($AF$10:$AF$13,$I$10:$I$13)+SUMPRODUCT($AF$14:$AF$14,$I$14:$I$14)+SUMPRODUCT($AF$15:$AF$19,$I$15:$I$19)+SUMPRODUCT($AF$20:$AF$21,$I$20:$I$21)+SUMPRODUCT($AF$22:$AF$24,$I$22:$I$24)+SUMPRODUCT($AF$25:$AF$29,$I$25:$I$29)+SUMPRODUCT($AF$30:$AF$34,$I$30:$I$34)+SUMPRODUCT($AF$35:$AF$37,$I$35:$I$37)+SUMPRODUCT($AF$38:$AF$38,$I$38:$I$38)+SUMPRODUCT($AF$39:$AF$41,$I$39:$I$41)+SUMPRODUCT($AF$42:$AF$42,$I$42:$I$42)+SUMPRODUCT($AF$43:$AF$45,$I$43:$I$45)+SUMPRODUCT($AF$46:$AF$46,$I$46:$I$46)+SUMPRODUCT($AF$47:$AF$49,$I$47:$I$49)+SUMPRODUCT($AF$50:$AF$52,$I$50:$I$52)+SUMPRODUCT($AF$53:$AF$53,$I$53:$I$53)+SUMPRODUCT($AF$54:$AF$54,$I$54:$I$54)+SUMPRODUCT($AF$55:$AF$56,$I$55:$I$56)),0,+SUMPRODUCT($AF$5:$AF$8,$I$5:$I$8)+SUMPRODUCT($AF$10:$AF$13,$I$10:$I$13)+SUMPRODUCT($AF$14:$AF$14,$I$14:$I$14)+SUMPRODUCT($AF$15:$AF$19,$I$15:$I$19)+SUMPRODUCT($AF$20:$AF$21,$I$20:$I$21)+SUMPRODUCT($AF$22:$AF$24,$I$22:$I$24)+SUMPRODUCT($AF$25:$AF$29,$I$25:$I$29)+SUMPRODUCT($AF$30:$AF$34,$I$30:$I$34)+SUMPRODUCT($AF$35:$AF$37,$I$35:$I$37)+SUMPRODUCT($AF$38:$AF$38,$I$38:$I$38)+SUMPRODUCT($AF$39:$AF$41,$I$39:$I$41)+SUMPRODUCT($AF$42:$AF$42,$I$42:$I$42)+SUMPRODUCT($AF$43:$AF$45,$I$43:$I$45)+SUMPRODUCT($AF$46:$AF$46,$I$46:$I$46)+SUMPRODUCT($AF$47:$AF$49,$I$47:$I$49)+SUMPRODUCT($AF$50:$AF$52,$I$50:$I$52)+SUMPRODUCT($AF$53:$AF$53,$I$53:$I$53)+SUMPRODUCT($AF$54:$AF$54,$I$54:$I$54)+SUMPRODUCT($AF$55:$AF$56,$I$55:$I$56))</f>
        <v>0</v>
      </c>
      <c r="AG60" s="25"/>
      <c r="AH60" s="25">
        <f>IF(ISERROR(+SUMPRODUCT($AH$5:$AH$8,$I$5:$I$8)+SUMPRODUCT($AH$10:$AH$13,$I$10:$I$13)+SUMPRODUCT($AH$14:$AH$14,$I$14:$I$14)+SUMPRODUCT($AH$15:$AH$19,$I$15:$I$19)+SUMPRODUCT($AH$20:$AH$21,$I$20:$I$21)+SUMPRODUCT($AH$22:$AH$24,$I$22:$I$24)+SUMPRODUCT($AH$25:$AH$29,$I$25:$I$29)+SUMPRODUCT($AH$30:$AH$34,$I$30:$I$34)+SUMPRODUCT($AH$35:$AH$37,$I$35:$I$37)+SUMPRODUCT($AH$38:$AH$38,$I$38:$I$38)+SUMPRODUCT($AH$39:$AH$41,$I$39:$I$41)+SUMPRODUCT($AH$42:$AH$42,$I$42:$I$42)+SUMPRODUCT($AH$43:$AH$45,$I$43:$I$45)+SUMPRODUCT($AH$46:$AH$46,$I$46:$I$46)+SUMPRODUCT($AH$47:$AH$49,$I$47:$I$49)+SUMPRODUCT($AH$50:$AH$52,$I$50:$I$52)+SUMPRODUCT($AH$53:$AH$53,$I$53:$I$53)+SUMPRODUCT($AH$54:$AH$54,$I$54:$I$54)+SUMPRODUCT($AH$55:$AH$56,$I$55:$I$56)),0,+SUMPRODUCT($AH$5:$AH$8,$I$5:$I$8)+SUMPRODUCT($AH$10:$AH$13,$I$10:$I$13)+SUMPRODUCT($AH$14:$AH$14,$I$14:$I$14)+SUMPRODUCT($AH$15:$AH$19,$I$15:$I$19)+SUMPRODUCT($AH$20:$AH$21,$I$20:$I$21)+SUMPRODUCT($AH$22:$AH$24,$I$22:$I$24)+SUMPRODUCT($AH$25:$AH$29,$I$25:$I$29)+SUMPRODUCT($AH$30:$AH$34,$I$30:$I$34)+SUMPRODUCT($AH$35:$AH$37,$I$35:$I$37)+SUMPRODUCT($AH$38:$AH$38,$I$38:$I$38)+SUMPRODUCT($AH$39:$AH$41,$I$39:$I$41)+SUMPRODUCT($AH$42:$AH$42,$I$42:$I$42)+SUMPRODUCT($AH$43:$AH$45,$I$43:$I$45)+SUMPRODUCT($AH$46:$AH$46,$I$46:$I$46)+SUMPRODUCT($AH$47:$AH$49,$I$47:$I$49)+SUMPRODUCT($AH$50:$AH$52,$I$50:$I$52)+SUMPRODUCT($AH$53:$AH$53,$I$53:$I$53)+SUMPRODUCT($AH$54:$AH$54,$I$54:$I$54)+SUMPRODUCT($AH$55:$AH$56,$I$55:$I$56))</f>
        <v>189608726.73348215</v>
      </c>
      <c r="AI60" s="25">
        <f>IF(ISERROR(+SUMPRODUCT($AI$5:$AI$8,$I$5:$I$8)+SUMPRODUCT($AI$10:$AI$13,$I$10:$I$13)+SUMPRODUCT($AI$14:$AI$14,$I$14:$I$14)+SUMPRODUCT($AI$15:$AI$19,$I$15:$I$19)+SUMPRODUCT($AI$20:$AI$21,$I$20:$I$21)+SUMPRODUCT($AI$22:$AI$24,$I$22:$I$24)+SUMPRODUCT($AI$25:$AI$29,$I$25:$I$29)+SUMPRODUCT($AI$30:$AI$34,$I$30:$I$34)+SUMPRODUCT($AI$35:$AI$37,$I$35:$I$37)+SUMPRODUCT($AI$38:$AI$38,$I$38:$I$38)+SUMPRODUCT($AI$39:$AI$41,$I$39:$I$41)+SUMPRODUCT($AI$42:$AI$42,$I$42:$I$42)+SUMPRODUCT($AI$43:$AI$45,$I$43:$I$45)+SUMPRODUCT($AI$46:$AI$46,$I$46:$I$46)+SUMPRODUCT($AI$47:$AI$49,$I$47:$I$49)+SUMPRODUCT($AI$50:$AI$52,$I$50:$I$52)+SUMPRODUCT($AI$53:$AI$53,$I$53:$I$53)+SUMPRODUCT($AI$54:$AI$54,$I$54:$I$54)+SUMPRODUCT($AI$55:$AI$56,$I$55:$I$56)),0,+SUMPRODUCT($AI$5:$AI$8,$I$5:$I$8)+SUMPRODUCT($AI$10:$AI$13,$I$10:$I$13)+SUMPRODUCT($AI$14:$AI$14,$I$14:$I$14)+SUMPRODUCT($AI$15:$AI$19,$I$15:$I$19)+SUMPRODUCT($AI$20:$AI$21,$I$20:$I$21)+SUMPRODUCT($AI$22:$AI$24,$I$22:$I$24)+SUMPRODUCT($AI$25:$AI$29,$I$25:$I$29)+SUMPRODUCT($AI$30:$AI$34,$I$30:$I$34)+SUMPRODUCT($AI$35:$AI$37,$I$35:$I$37)+SUMPRODUCT($AI$38:$AI$38,$I$38:$I$38)+SUMPRODUCT($AI$39:$AI$41,$I$39:$I$41)+SUMPRODUCT($AI$42:$AI$42,$I$42:$I$42)+SUMPRODUCT($AI$43:$AI$45,$I$43:$I$45)+SUMPRODUCT($AI$46:$AI$46,$I$46:$I$46)+SUMPRODUCT($AI$47:$AI$49,$I$47:$I$49)+SUMPRODUCT($AI$50:$AI$52,$I$50:$I$52)+SUMPRODUCT($AI$53:$AI$53,$I$53:$I$53)+SUMPRODUCT($AI$54:$AI$54,$I$54:$I$54)+SUMPRODUCT($AI$55:$AI$56,$I$55:$I$56))</f>
        <v>189608726.73348215</v>
      </c>
      <c r="AJ60" s="25">
        <f ca="1">IF(ISERROR(+SUMPRODUCT($AJ$5:$AJ$8,$I$5:$I$8)+SUMPRODUCT($AJ$10:$AJ$13,$I$10:$I$13)+SUMPRODUCT($AJ$14:$AJ$14,$I$14:$I$14)+SUMPRODUCT($AJ$15:$AJ$19,$I$15:$I$19)+SUMPRODUCT($AJ$20:$AJ$21,$I$20:$I$21)+SUMPRODUCT($AJ$22:$AJ$24,$I$22:$I$24)+SUMPRODUCT($AJ$25:$AJ$29,$I$25:$I$29)+SUMPRODUCT($AJ$30:$AJ$34,$I$30:$I$34)+SUMPRODUCT($AJ$35:$AJ$37,$I$35:$I$37)+SUMPRODUCT($AJ$38:$AJ$38,$I$38:$I$38)+SUMPRODUCT($AJ$39:$AJ$41,$I$39:$I$41)+SUMPRODUCT($AJ$42:$AJ$42,$I$42:$I$42)+SUMPRODUCT($AJ$43:$AJ$45,$I$43:$I$45)+SUMPRODUCT($AJ$46:$AJ$46,$I$46:$I$46)+SUMPRODUCT($AJ$47:$AJ$49,$I$47:$I$49)+SUMPRODUCT($AJ$50:$AJ$52,$I$50:$I$52)+SUMPRODUCT($AJ$53:$AJ$53,$I$53:$I$53)+SUMPRODUCT($AJ$54:$AJ$54,$I$54:$I$54)+SUMPRODUCT($AJ$55:$AJ$56,$I$55:$I$56)),0,+SUMPRODUCT($AJ$5:$AJ$8,$I$5:$I$8)+SUMPRODUCT($AJ$10:$AJ$13,$I$10:$I$13)+SUMPRODUCT($AJ$14:$AJ$14,$I$14:$I$14)+SUMPRODUCT($AJ$15:$AJ$19,$I$15:$I$19)+SUMPRODUCT($AJ$20:$AJ$21,$I$20:$I$21)+SUMPRODUCT($AJ$22:$AJ$24,$I$22:$I$24)+SUMPRODUCT($AJ$25:$AJ$29,$I$25:$I$29)+SUMPRODUCT($AJ$30:$AJ$34,$I$30:$I$34)+SUMPRODUCT($AJ$35:$AJ$37,$I$35:$I$37)+SUMPRODUCT($AJ$38:$AJ$38,$I$38:$I$38)+SUMPRODUCT($AJ$39:$AJ$41,$I$39:$I$41)+SUMPRODUCT($AJ$42:$AJ$42,$I$42:$I$42)+SUMPRODUCT($AJ$43:$AJ$45,$I$43:$I$45)+SUMPRODUCT($AJ$46:$AJ$46,$I$46:$I$46)+SUMPRODUCT($AJ$47:$AJ$49,$I$47:$I$49)+SUMPRODUCT($AJ$50:$AJ$52,$I$50:$I$52)+SUMPRODUCT($AJ$53:$AJ$53,$I$53:$I$53)+SUMPRODUCT($AJ$54:$AJ$54,$I$54:$I$54)+SUMPRODUCT($AJ$55:$AJ$56,$I$55:$I$56))</f>
        <v>550373530.43203044</v>
      </c>
      <c r="AK60" s="25">
        <f ca="1">IF(ISERROR(+SUMPRODUCT($AK$5:$AK$8,$I$5:$I$8)+SUMPRODUCT($AK$10:$AK$13,$I$10:$I$13)+SUMPRODUCT($AK$14:$AK$14,$I$14:$I$14)+SUMPRODUCT($AK$15:$AK$19,$I$15:$I$19)+SUMPRODUCT($AK$20:$AK$21,$I$20:$I$21)+SUMPRODUCT($AK$22:$AK$24,$I$22:$I$24)+SUMPRODUCT($AK$25:$AK$29,$I$25:$I$29)+SUMPRODUCT($AK$30:$AK$34,$I$30:$I$34)+SUMPRODUCT($AK$35:$AK$37,$I$35:$I$37)+SUMPRODUCT($AK$38:$AK$38,$I$38:$I$38)+SUMPRODUCT($AK$39:$AK$41,$I$39:$I$41)+SUMPRODUCT($AK$42:$AK$42,$I$42:$I$42)+SUMPRODUCT($AK$43:$AK$45,$I$43:$I$45)+SUMPRODUCT($AK$46:$AK$46,$I$46:$I$46)+SUMPRODUCT($AK$47:$AK$49,$I$47:$I$49)+SUMPRODUCT($AK$50:$AK$52,$I$50:$I$52)+SUMPRODUCT($AK$53:$AK$53,$I$53:$I$53)+SUMPRODUCT($AK$54:$AK$54,$I$54:$I$54)+SUMPRODUCT($AK$55:$AK$56,$I$55:$I$56)),0,+SUMPRODUCT($AK$5:$AK$8,$I$5:$I$8)+SUMPRODUCT($AK$10:$AK$13,$I$10:$I$13)+SUMPRODUCT($AK$14:$AK$14,$I$14:$I$14)+SUMPRODUCT($AK$15:$AK$19,$I$15:$I$19)+SUMPRODUCT($AK$20:$AK$21,$I$20:$I$21)+SUMPRODUCT($AK$22:$AK$24,$I$22:$I$24)+SUMPRODUCT($AK$25:$AK$29,$I$25:$I$29)+SUMPRODUCT($AK$30:$AK$34,$I$30:$I$34)+SUMPRODUCT($AK$35:$AK$37,$I$35:$I$37)+SUMPRODUCT($AK$38:$AK$38,$I$38:$I$38)+SUMPRODUCT($AK$39:$AK$41,$I$39:$I$41)+SUMPRODUCT($AK$42:$AK$42,$I$42:$I$42)+SUMPRODUCT($AK$43:$AK$45,$I$43:$I$45)+SUMPRODUCT($AK$46:$AK$46,$I$46:$I$46)+SUMPRODUCT($AK$47:$AK$49,$I$47:$I$49)+SUMPRODUCT($AK$50:$AK$52,$I$50:$I$52)+SUMPRODUCT($AK$53:$AK$53,$I$53:$I$53)+SUMPRODUCT($AK$54:$AK$54,$I$54:$I$54)+SUMPRODUCT($AK$55:$AK$56,$I$55:$I$56))</f>
        <v>550373530.43203044</v>
      </c>
      <c r="AL60" s="25"/>
      <c r="AM60" s="25"/>
    </row>
    <row r="61" spans="1:42" ht="11.25" customHeight="1" x14ac:dyDescent="0.25">
      <c r="K61" s="19" t="s">
        <v>687</v>
      </c>
      <c r="L61" s="25">
        <f>CUSTOS!$D$2</f>
        <v>72181534.130150154</v>
      </c>
      <c r="M61" s="25">
        <f>CUSTOS!$D$3</f>
        <v>4179133.5218580877</v>
      </c>
      <c r="N61" s="25">
        <f>CUSTOS!$D$4</f>
        <v>22575633.620101996</v>
      </c>
      <c r="O61" s="25">
        <f>CUSTOS!$D$5</f>
        <v>0</v>
      </c>
      <c r="P61" s="25">
        <f>CUSTOS!$D$6</f>
        <v>0</v>
      </c>
      <c r="Q61" s="25">
        <f>CUSTOS!$D$7</f>
        <v>120915355.983422</v>
      </c>
      <c r="R61" s="25">
        <f>CUSTOS!$D$8</f>
        <v>54813707.898093797</v>
      </c>
      <c r="S61" s="25">
        <f>CUSTOS!$D$9</f>
        <v>0</v>
      </c>
      <c r="T61" s="25">
        <f>CUSTOS!$D$10</f>
        <v>274665365.15362602</v>
      </c>
      <c r="U61" s="25">
        <f>CUSTOS!$D$11</f>
        <v>194083962</v>
      </c>
      <c r="V61" s="25">
        <f>IF(SUM(V58:V60)&lt;&gt;0,CUSTOS!$D$12+CUSTOS!$D$16+CUSTOS!$D$17-'TR TUSD'!$Z$59-'TR TUSD'!$AA$59,0)</f>
        <v>610134</v>
      </c>
      <c r="W61" s="25">
        <f>CUSTOS!$D$13</f>
        <v>389243.48643104901</v>
      </c>
      <c r="X61" s="25">
        <f>CUSTOS!$D$14</f>
        <v>0</v>
      </c>
      <c r="Y61" s="25">
        <f>IF(SUM(V58:V60)=0,CUSTOS!$D$15+CUSTOS!$D$16+CUSTOS!$D$17-'TR TUSD'!$Z$59-'TR TUSD'!$AA$59,CUSTOS!$D$15)</f>
        <v>386771.25215000001</v>
      </c>
      <c r="Z61" s="25">
        <f>Z59</f>
        <v>0</v>
      </c>
      <c r="AA61" s="25">
        <f>AA59</f>
        <v>0</v>
      </c>
      <c r="AB61" s="25">
        <f>CUSTOS!$D$18</f>
        <v>195470110.73858106</v>
      </c>
      <c r="AC61" s="25">
        <f>CUSTOS!$D$19</f>
        <v>1160069789.4960818</v>
      </c>
      <c r="AD61" s="25">
        <f>CUSTOS!$D$20</f>
        <v>1160069789.4960818</v>
      </c>
      <c r="AE61" s="25">
        <f>CUSTOS!$D$21</f>
        <v>0</v>
      </c>
      <c r="AF61" s="25">
        <f>CUSTOS!$D$22</f>
        <v>0</v>
      </c>
      <c r="AG61" s="25">
        <f>CUSTOS!$D$23</f>
        <v>0</v>
      </c>
      <c r="AH61" s="25">
        <f>CUSTOS!$D$24</f>
        <v>175986808.34960496</v>
      </c>
      <c r="AI61" s="25">
        <f>CUSTOS!$D$25</f>
        <v>12176962.157395126</v>
      </c>
      <c r="AJ61" s="25">
        <f>CUSTOS!$D$26</f>
        <v>560449069.74161279</v>
      </c>
      <c r="AK61" s="25">
        <f>CUSTOS!$D$27</f>
        <v>63195161.620588377</v>
      </c>
      <c r="AL61" s="25">
        <f>CUSTOS!$D$28</f>
        <v>811808001.8692013</v>
      </c>
      <c r="AM61" s="25">
        <f>CUSTOS!$D$29</f>
        <v>2442013267.2574902</v>
      </c>
    </row>
    <row r="62" spans="1:42" ht="11.25" customHeight="1" x14ac:dyDescent="0.25">
      <c r="K62" s="19" t="s">
        <v>688</v>
      </c>
      <c r="L62" s="25">
        <f>CUSTOS!$E$2</f>
        <v>0</v>
      </c>
      <c r="M62" s="25">
        <f>CUSTOS!$E$3</f>
        <v>61601.634509554628</v>
      </c>
      <c r="N62" s="25">
        <f>CUSTOS!$E$4</f>
        <v>-88.313053589204415</v>
      </c>
      <c r="O62" s="25">
        <f>CUSTOS!$E$5</f>
        <v>0</v>
      </c>
      <c r="P62" s="25">
        <f>CUSTOS!$E$6</f>
        <v>0</v>
      </c>
      <c r="Q62" s="25">
        <f>CUSTOS!$E$7</f>
        <v>-2902317.5432966761</v>
      </c>
      <c r="R62" s="25">
        <f>CUSTOS!$E$8</f>
        <v>1776312.7715905691</v>
      </c>
      <c r="S62" s="25">
        <f>CUSTOS!$E$9</f>
        <v>0</v>
      </c>
      <c r="T62" s="25">
        <f>CUSTOS!$E$10</f>
        <v>-1064491.4502501418</v>
      </c>
      <c r="U62" s="25">
        <f>CUSTOS!$E$11</f>
        <v>8035653.6614109576</v>
      </c>
      <c r="V62" s="25">
        <f>CUSTOS!$E$12</f>
        <v>2210177.0457875426</v>
      </c>
      <c r="W62" s="25">
        <f>CUSTOS!$E$13</f>
        <v>-57466.450171266639</v>
      </c>
      <c r="X62" s="25">
        <f>CUSTOS!$E$14</f>
        <v>0</v>
      </c>
      <c r="Y62" s="25">
        <f>CUSTOS!$E$15</f>
        <v>-395173.30076672439</v>
      </c>
      <c r="Z62" s="25">
        <f>CUSTOS!$E$16</f>
        <v>0</v>
      </c>
      <c r="AA62" s="25">
        <f>CUSTOS!$E$17</f>
        <v>0</v>
      </c>
      <c r="AB62" s="25">
        <f>CUSTOS!$E$18</f>
        <v>9793190.9562605098</v>
      </c>
      <c r="AC62" s="25">
        <f>CUSTOS!$E$19</f>
        <v>-3594572.5300000003</v>
      </c>
      <c r="AD62" s="25">
        <f>CUSTOS!$E$20</f>
        <v>-3594572.5300000003</v>
      </c>
      <c r="AE62" s="25">
        <f>CUSTOS!$E$21</f>
        <v>0</v>
      </c>
      <c r="AF62" s="25">
        <f>CUSTOS!$E$22</f>
        <v>0</v>
      </c>
      <c r="AG62" s="25">
        <f>CUSTOS!$E$23</f>
        <v>0</v>
      </c>
      <c r="AH62" s="25">
        <f>CUSTOS!$E$24</f>
        <v>-16040200.365766177</v>
      </c>
      <c r="AI62" s="25">
        <f>CUSTOS!$E$25</f>
        <v>-1109861.1008556804</v>
      </c>
      <c r="AJ62" s="25">
        <f>CUSTOS!$E$26</f>
        <v>-51081756.966717049</v>
      </c>
      <c r="AK62" s="25">
        <f>CUSTOS!$E$27</f>
        <v>23540744.810586918</v>
      </c>
      <c r="AL62" s="25">
        <f>CUSTOS!$E$28</f>
        <v>-44691073.622751996</v>
      </c>
      <c r="AM62" s="25">
        <f>CUSTOS!$E$29</f>
        <v>-39556946.646741629</v>
      </c>
    </row>
    <row r="63" spans="1:42" ht="11.25" customHeight="1" x14ac:dyDescent="0.25">
      <c r="K63" s="19" t="s">
        <v>689</v>
      </c>
      <c r="L63" s="25">
        <f>CUSTOS!$F$2</f>
        <v>0</v>
      </c>
      <c r="M63" s="25">
        <f>CUSTOS!$F$3</f>
        <v>0</v>
      </c>
      <c r="N63" s="25">
        <f>CUSTOS!$F$4</f>
        <v>0</v>
      </c>
      <c r="O63" s="25">
        <f>CUSTOS!$F$5</f>
        <v>0</v>
      </c>
      <c r="P63" s="25">
        <f>CUSTOS!$F$6</f>
        <v>0</v>
      </c>
      <c r="Q63" s="25">
        <f>CUSTOS!$F$7</f>
        <v>-6633262.1203369778</v>
      </c>
      <c r="R63" s="25">
        <f>CUSTOS!$F$8</f>
        <v>4298926.9364788132</v>
      </c>
      <c r="S63" s="25">
        <f>CUSTOS!$F$9</f>
        <v>0</v>
      </c>
      <c r="T63" s="25">
        <f>CUSTOS!$F$10</f>
        <v>-2334335.1838581646</v>
      </c>
      <c r="U63" s="25">
        <f>CUSTOS!$F$11</f>
        <v>26311802.053537685</v>
      </c>
      <c r="V63" s="25">
        <f>CUSTOS!$F$12</f>
        <v>82715.361273040995</v>
      </c>
      <c r="W63" s="25">
        <f>CUSTOS!$F$13</f>
        <v>0</v>
      </c>
      <c r="X63" s="25">
        <f>CUSTOS!$F$14</f>
        <v>0</v>
      </c>
      <c r="Y63" s="25">
        <f>CUSTOS!$F$15</f>
        <v>0</v>
      </c>
      <c r="Z63" s="25">
        <f>CUSTOS!$F$16</f>
        <v>0</v>
      </c>
      <c r="AA63" s="25">
        <f>CUSTOS!$F$17</f>
        <v>0</v>
      </c>
      <c r="AB63" s="25">
        <f>CUSTOS!$F$18</f>
        <v>26394517.414810725</v>
      </c>
      <c r="AC63" s="25">
        <f>CUSTOS!$F$19</f>
        <v>0</v>
      </c>
      <c r="AD63" s="25">
        <f>CUSTOS!$F$20</f>
        <v>0</v>
      </c>
      <c r="AE63" s="25">
        <f>CUSTOS!$F$21</f>
        <v>0</v>
      </c>
      <c r="AF63" s="25">
        <f>CUSTOS!$F$22</f>
        <v>0</v>
      </c>
      <c r="AG63" s="25">
        <f>CUSTOS!$F$23</f>
        <v>0</v>
      </c>
      <c r="AH63" s="25">
        <f>CUSTOS!$F$24</f>
        <v>16054813.951035799</v>
      </c>
      <c r="AI63" s="25">
        <f>CUSTOS!$F$25</f>
        <v>1110872.2509326711</v>
      </c>
      <c r="AJ63" s="25">
        <f>CUSTOS!$F$26</f>
        <v>51128295.513252199</v>
      </c>
      <c r="AK63" s="25">
        <f>CUSTOS!$F$27</f>
        <v>0</v>
      </c>
      <c r="AL63" s="25">
        <f>CUSTOS!$F$28</f>
        <v>68293981.71522066</v>
      </c>
      <c r="AM63" s="25">
        <f>CUSTOS!$F$29</f>
        <v>92354163.946173221</v>
      </c>
    </row>
    <row r="64" spans="1:42" ht="11.25" customHeight="1" x14ac:dyDescent="0.25">
      <c r="K64" s="19" t="s">
        <v>752</v>
      </c>
      <c r="L64" s="25">
        <v>0</v>
      </c>
      <c r="M64" s="25">
        <v>0</v>
      </c>
      <c r="N64" s="25">
        <v>0</v>
      </c>
      <c r="O64" s="25">
        <v>0</v>
      </c>
      <c r="P64" s="25">
        <v>0</v>
      </c>
      <c r="Q64" s="25">
        <v>0</v>
      </c>
      <c r="R64" s="25">
        <v>0</v>
      </c>
      <c r="S64" s="25">
        <v>0</v>
      </c>
      <c r="T64" s="25"/>
      <c r="U64" s="25">
        <v>0</v>
      </c>
      <c r="V64" s="25">
        <v>0</v>
      </c>
      <c r="W64" s="25">
        <v>0</v>
      </c>
      <c r="X64" s="25">
        <v>0</v>
      </c>
      <c r="Y64" s="25">
        <v>0</v>
      </c>
      <c r="Z64" s="25">
        <v>0</v>
      </c>
      <c r="AA64" s="25">
        <v>0</v>
      </c>
      <c r="AB64" s="25"/>
      <c r="AC64" s="25">
        <v>0</v>
      </c>
      <c r="AD64" s="25"/>
      <c r="AE64" s="25">
        <v>0</v>
      </c>
      <c r="AF64" s="25">
        <v>0</v>
      </c>
      <c r="AG64" s="25"/>
      <c r="AH64" s="25">
        <v>0</v>
      </c>
      <c r="AI64" s="25">
        <v>0</v>
      </c>
      <c r="AJ64" s="25">
        <v>0</v>
      </c>
      <c r="AK64" s="25">
        <v>0</v>
      </c>
      <c r="AL64" s="25"/>
      <c r="AM64" s="25"/>
    </row>
    <row r="65" spans="11:39" ht="11.25" customHeight="1" x14ac:dyDescent="0.25">
      <c r="K65" s="19" t="s">
        <v>753</v>
      </c>
      <c r="L65" s="25">
        <f t="shared" ref="L65:S65" si="2">IF((L60+L58)&lt;&gt;0,(L61-L59-L64)/(L60+L58),0)</f>
        <v>14.099336508183265</v>
      </c>
      <c r="M65" s="25">
        <f t="shared" si="2"/>
        <v>1.0185032133608698</v>
      </c>
      <c r="N65" s="25">
        <f t="shared" ca="1" si="2"/>
        <v>0.92142869537562799</v>
      </c>
      <c r="O65" s="25">
        <f t="shared" si="2"/>
        <v>0</v>
      </c>
      <c r="P65" s="25">
        <f t="shared" si="2"/>
        <v>0</v>
      </c>
      <c r="Q65" s="25">
        <f t="shared" si="2"/>
        <v>23.618593225562012</v>
      </c>
      <c r="R65" s="25">
        <f t="shared" si="2"/>
        <v>9.5568731166785277</v>
      </c>
      <c r="S65" s="25">
        <f t="shared" si="2"/>
        <v>0</v>
      </c>
      <c r="T65" s="25"/>
      <c r="U65" s="25">
        <f>IF(U60&lt;&gt;0,(U61-U59-U58-U64)/U60,0)</f>
        <v>0.94097102543167577</v>
      </c>
      <c r="V65" s="25">
        <f>IF(V60&lt;&gt;0,(V61-V59-V58-V64)/V60,0)</f>
        <v>1.929240926908294E-2</v>
      </c>
      <c r="W65" s="25">
        <f>IF(W60&lt;&gt;0,(W61-W59-W58-W64)/W60,0)</f>
        <v>-0.23269299865065007</v>
      </c>
      <c r="X65" s="25">
        <f>IF(X60&lt;&gt;0,(X61-X59-X58-X64)/X60,0)</f>
        <v>0</v>
      </c>
      <c r="Y65" s="25">
        <f>IF(Y60&lt;&gt;0,(Y61-Y59-Y58-Y64)/Y60,0)</f>
        <v>0.52428852215501764</v>
      </c>
      <c r="Z65" s="25"/>
      <c r="AA65" s="25"/>
      <c r="AB65" s="25"/>
      <c r="AC65" s="25">
        <f>IF(AC60&lt;&gt;0,(AC61-AC59-AC58-AC64)/AC60,0)</f>
        <v>1.1378114795027767</v>
      </c>
      <c r="AD65" s="25"/>
      <c r="AE65" s="25">
        <f>IF((AE60+AE58)&lt;&gt;0,(AE61-AE59-AE64)/(AE60+AE58),0)</f>
        <v>0</v>
      </c>
      <c r="AF65" s="25">
        <f>IF((AF60+AF58)&lt;&gt;0,(AF61-AF59-AF64)/(AF60+AF58),0)</f>
        <v>0</v>
      </c>
      <c r="AG65" s="25"/>
      <c r="AH65" s="25">
        <f>IF(AH60&lt;&gt;0,(AH61-AH59-AH58-AH64)/AH60,0)</f>
        <v>0.89182064013732965</v>
      </c>
      <c r="AI65" s="25">
        <f>IF(AI60&lt;&gt;0,(AI61-AI59-AI58-AI64)/AI60,0)</f>
        <v>6.4221528023397936E-2</v>
      </c>
      <c r="AJ65" s="25">
        <f ca="1">IF((AJ60+AJ58)&lt;&gt;0,(AJ61-AJ59-AJ64)/(AJ60+AJ58),0)</f>
        <v>1.0183067294345955</v>
      </c>
      <c r="AK65" s="25">
        <f ca="1">IF((AK60+AK58)&lt;&gt;0,(AK61-AK59-AK64)/(AK60+AK58),0)</f>
        <v>0.11482231271366129</v>
      </c>
      <c r="AL65" s="25"/>
      <c r="AM65" s="25"/>
    </row>
    <row r="67" spans="11:39" ht="11.25" customHeight="1" x14ac:dyDescent="0.25">
      <c r="K67" s="36" t="s">
        <v>757</v>
      </c>
      <c r="L67" s="36" t="s">
        <v>758</v>
      </c>
      <c r="M67" s="36" t="s">
        <v>759</v>
      </c>
      <c r="N67" s="36" t="s">
        <v>760</v>
      </c>
      <c r="O67" s="36" t="s">
        <v>761</v>
      </c>
      <c r="P67" s="36" t="s">
        <v>762</v>
      </c>
    </row>
    <row r="68" spans="11:39" ht="11.25" customHeight="1" x14ac:dyDescent="0.25">
      <c r="K68" s="28" t="s">
        <v>43</v>
      </c>
      <c r="L68" s="28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</f>
        <v>80939911.411685541</v>
      </c>
      <c r="M68" s="28">
        <f>+'TUSD BE'!$I$7+'TUSD BE'!$I$8</f>
        <v>1155536.6730000002</v>
      </c>
      <c r="N68" s="28">
        <f ca="1">IF(AND($L$76&lt;&gt;0,M68&lt;&gt;0),(L68/$L$76*$AJ$61)/M68,0)</f>
        <v>22.126126133690278</v>
      </c>
      <c r="O68" s="28"/>
      <c r="P68" s="28"/>
    </row>
    <row r="69" spans="11:39" ht="11.25" customHeight="1" x14ac:dyDescent="0.25">
      <c r="K69" s="28" t="s">
        <v>35</v>
      </c>
      <c r="L69" s="28">
        <f ca="1">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BE'!$L$15+'TUSD BE'!$M$15+'TUSD BE'!$N$15+'TUSD BE'!$O$15+'TUSD BE'!$P$15+'TUSD BE'!$Q$15+'TUSD BE'!$R$15+'TUSD BE'!$S$15+'TUSD BE'!$U$15+'TUSD BE'!$V$15+'TUSD BE'!$W$15+'TUSD BE'!$X$15+'TUSD BE'!$Y$15+'TUSD BE'!$Z$15+'TUSD BE'!$AA$15+'TUSD BE'!$AC$15+'TUSD BE'!$AH$15+'TUSD BE'!$AI$15)*'TUSD BE'!$I$15+(+'TUSD BE'!$L$16+'TUSD BE'!$M$16+'TUSD BE'!$N$16+'TUSD BE'!$O$16+'TUSD BE'!$P$16+'TUSD BE'!$Q$16+'TUSD BE'!$R$16+'TUSD BE'!$S$16+'TUSD BE'!$U$16+'TUSD BE'!$V$16+'TUSD BE'!$W$16+'TUSD BE'!$X$16+'TUSD BE'!$Y$16+'TUSD BE'!$Z$16+'TUSD BE'!$AA$16+'TUSD BE'!$AC$16+'TUSD BE'!$AH$16+'TUSD BE'!$AI$16)*'TUSD BE'!$I$16+(+'TUSD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</f>
        <v>547966742.53070819</v>
      </c>
      <c r="M69" s="28">
        <f>+'TUSD BE'!$I$12+'TUSD BE'!$I$13+'TUSD BE'!$I$16+'TUSD BE'!$I$17+'TUSD BE'!$I$18+'TUSD BE'!$I$19</f>
        <v>1805397.5649999999</v>
      </c>
      <c r="N69" s="28">
        <f ca="1">IF(AND($L$76&lt;&gt;0,M69&lt;&gt;0),(L69/$L$76*$AJ$61)/M69,0)</f>
        <v>95.87552183030617</v>
      </c>
      <c r="O69" s="28"/>
      <c r="P69" s="28"/>
    </row>
    <row r="70" spans="11:39" ht="11.25" customHeight="1" x14ac:dyDescent="0.25">
      <c r="K70" s="28" t="s">
        <v>95</v>
      </c>
      <c r="L70" s="28">
        <f ca="1">+$L$71+$L$72+$L$73+$L$74+$L$75</f>
        <v>1145322700.7761099</v>
      </c>
      <c r="M70" s="28">
        <f>+$M$71+$M$72+$M$73+$M$74+$M$75</f>
        <v>3234623.389</v>
      </c>
      <c r="N70" s="28">
        <f ca="1">IF(AND($L$76&lt;&gt;0,M70&lt;&gt;0),(L70/$L$76*$AJ$61)/M70,0)</f>
        <v>111.84859638915164</v>
      </c>
      <c r="O70" s="28"/>
      <c r="P70" s="28"/>
    </row>
    <row r="71" spans="11:39" ht="11.25" customHeight="1" x14ac:dyDescent="0.25">
      <c r="K71" s="28" t="s">
        <v>95</v>
      </c>
      <c r="L71" s="28"/>
      <c r="M71" s="28"/>
      <c r="N71" s="28">
        <f ca="1">IF(AND($L$76&lt;&gt;0,M71&lt;&gt;0),(L71/$L$76*$AJ$61)/M71,0)</f>
        <v>0</v>
      </c>
      <c r="O71" s="28"/>
      <c r="P71" s="28"/>
    </row>
    <row r="72" spans="11:39" ht="11.25" customHeight="1" x14ac:dyDescent="0.25">
      <c r="K72" s="28" t="s">
        <v>22</v>
      </c>
      <c r="L72" s="28">
        <f ca="1">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</f>
        <v>765604090.41243613</v>
      </c>
      <c r="M72" s="28">
        <f>+'TUSD BE'!$I$22+'TUSD BE'!$I$23+'TUSD BE'!$I$24+'TUSD BE'!$I$25+'TUSD BE'!$I$26+'TUSD BE'!$I$27+'TUSD BE'!$I$28+'TUSD BE'!$I$29+'TUSD BE'!$I$30+'TUSD BE'!$I$31+'TUSD BE'!$I$32+'TUSD BE'!$I$33+'TUSD BE'!$I$34</f>
        <v>2117618.4939999999</v>
      </c>
      <c r="N72" s="28"/>
      <c r="O72" s="28"/>
      <c r="P72" s="28"/>
    </row>
    <row r="73" spans="11:39" ht="11.25" customHeight="1" x14ac:dyDescent="0.25">
      <c r="K73" s="28" t="s">
        <v>46</v>
      </c>
      <c r="L73" s="28">
        <f ca="1">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23832839.388518568</v>
      </c>
      <c r="M73" s="28">
        <f>+'TUSD BE'!$I$35+'TUSD BE'!$I$36+'TUSD BE'!$I$37+'TUSD BE'!$I$38+'TUSD BE'!$I$39+'TUSD BE'!$I$40+'TUSD BE'!$I$41+'TUSD BE'!$I$42+'TUSD BE'!$I$43+'TUSD BE'!$I$44+'TUSD BE'!$I$45+'TUSD BE'!$I$46+'TUSD BE'!$I$47+'TUSD BE'!$I$48+'TUSD BE'!$I$49</f>
        <v>64446.034000000007</v>
      </c>
      <c r="N73" s="28"/>
      <c r="O73" s="28"/>
      <c r="P73" s="28"/>
    </row>
    <row r="74" spans="11:39" ht="11.25" customHeight="1" x14ac:dyDescent="0.25">
      <c r="K74" s="28" t="s">
        <v>41</v>
      </c>
      <c r="L74" s="28">
        <f ca="1">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BE'!$I$52+(+'TUSD BE'!$L$53+'TUSD BE'!$M$53+'TUSD BE'!$N$53+'TUSD BE'!$O$53+'TUSD BE'!$P$53+'TUSD BE'!$Q$53+'TUSD BE'!$R$53+'TUSD BE'!$S$53+'TUSD BE'!$U$53+'TUSD BE'!$V$53+'TUSD BE'!$W$53+'TUSD BE'!$X$53+'TUSD BE'!$Y$53+'TUSD BE'!$Z$53+'TUSD BE'!$AA$53+'TUSD BE'!$AC$53+'TUSD BE'!$AH$53+'TUSD BE'!$AI$53)*'TUSD BE'!$I$53+(+'TUSD BE'!$L$54+'TUSD BE'!$M$54+'TUSD BE'!$N$54+'TUSD BE'!$O$54+'TUSD BE'!$P$54+'TUSD BE'!$Q$54+'TUSD BE'!$R$54+'TUSD BE'!$S$54+'TUSD BE'!$U$54+'TUSD BE'!$V$54+'TUSD BE'!$W$54+'TUSD BE'!$X$54+'TUSD BE'!$Y$54+'TUSD BE'!$Z$54+'TUSD BE'!$AA$54+'TUSD BE'!$AC$54+'TUSD BE'!$AH$54+'TUSD BE'!$AI$54)*'TUSD BE'!$I$54</f>
        <v>315169455.45599335</v>
      </c>
      <c r="M74" s="28">
        <f>+'TUSD BE'!$I$50+'TUSD BE'!$I$51+'TUSD BE'!$I$52+'TUSD BE'!$I$53+'TUSD BE'!$I$54</f>
        <v>852376.75699999998</v>
      </c>
      <c r="N74" s="28"/>
      <c r="O74" s="28"/>
      <c r="P74" s="28"/>
    </row>
    <row r="75" spans="11:39" ht="11.25" customHeight="1" x14ac:dyDescent="0.25">
      <c r="K75" s="28" t="s">
        <v>49</v>
      </c>
      <c r="L75" s="28">
        <f ca="1">+(+'TUSD BE'!$L$55+'TUSD BE'!$M$55+'TUSD BE'!$N$55+'TUSD BE'!$O$55+'TUSD BE'!$P$55+'TUSD BE'!$Q$55+'TUSD BE'!$R$55+'TUSD BE'!$S$55+'TUSD BE'!$U$55+'TUSD BE'!$V$55+'TUSD BE'!$W$55+'TUSD BE'!$X$55+'TUSD BE'!$Y$55+'TUSD BE'!$Z$55+'TUSD BE'!$AA$55+'TUSD BE'!$AC$55+'TUSD BE'!$AH$55+'TUSD BE'!$AI$55)*'TUSD BE'!$I$55+(+'TUSD BE'!$L$56+'TUSD BE'!$M$56+'TUSD BE'!$N$56+'TUSD BE'!$O$56+'TUSD BE'!$P$56+'TUSD BE'!$Q$56+'TUSD BE'!$R$56+'TUSD BE'!$S$56+'TUSD BE'!$U$56+'TUSD BE'!$V$56+'TUSD BE'!$W$56+'TUSD BE'!$X$56+'TUSD BE'!$Y$56+'TUSD BE'!$Z$56+'TUSD BE'!$AA$56+'TUSD BE'!$AC$56+'TUSD BE'!$AH$56+'TUSD BE'!$AI$56)*'TUSD BE'!$I$56</f>
        <v>40716315.519161955</v>
      </c>
      <c r="M75" s="28">
        <f>+'TUSD BE'!$I$55+'TUSD BE'!$I$56</f>
        <v>200182.10399999999</v>
      </c>
      <c r="N75" s="28"/>
      <c r="O75" s="28"/>
      <c r="P75" s="28"/>
    </row>
    <row r="76" spans="11:39" ht="11.25" customHeight="1" x14ac:dyDescent="0.25">
      <c r="K76" s="28"/>
      <c r="L76" s="28">
        <f ca="1">SUM($L$68:$L$75,-$L$70)</f>
        <v>1774229354.7185037</v>
      </c>
      <c r="M76" s="28">
        <f>SUM($M$68:$M$75,-$M$70)</f>
        <v>6195557.6270000003</v>
      </c>
      <c r="N76" s="28"/>
      <c r="O76" s="28"/>
      <c r="P76" s="28"/>
    </row>
  </sheetData>
  <mergeCells count="79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50:E52"/>
    <mergeCell ref="F50:F52"/>
    <mergeCell ref="A55:A56"/>
    <mergeCell ref="B55:B56"/>
    <mergeCell ref="C55:C56"/>
    <mergeCell ref="B47:B49"/>
    <mergeCell ref="C47:C49"/>
    <mergeCell ref="A50:A54"/>
    <mergeCell ref="B50:B52"/>
    <mergeCell ref="C50:C52"/>
    <mergeCell ref="D50:D52"/>
    <mergeCell ref="F39:F41"/>
    <mergeCell ref="B43:B45"/>
    <mergeCell ref="C43:C45"/>
    <mergeCell ref="D43:D45"/>
    <mergeCell ref="E43:E45"/>
    <mergeCell ref="F43:F45"/>
    <mergeCell ref="A35:A49"/>
    <mergeCell ref="B35:B37"/>
    <mergeCell ref="C35:C37"/>
    <mergeCell ref="D35:D37"/>
    <mergeCell ref="E35:E37"/>
    <mergeCell ref="F35:F37"/>
    <mergeCell ref="B39:B41"/>
    <mergeCell ref="C39:C41"/>
    <mergeCell ref="D39:D41"/>
    <mergeCell ref="E39:E41"/>
    <mergeCell ref="A22:A34"/>
    <mergeCell ref="B22:B24"/>
    <mergeCell ref="C22:C24"/>
    <mergeCell ref="D22:D24"/>
    <mergeCell ref="E22:E24"/>
    <mergeCell ref="F22:F24"/>
    <mergeCell ref="B25:B29"/>
    <mergeCell ref="C25:C29"/>
    <mergeCell ref="B30:B34"/>
    <mergeCell ref="C30:C34"/>
    <mergeCell ref="E18:E19"/>
    <mergeCell ref="F18:F19"/>
    <mergeCell ref="A20:A21"/>
    <mergeCell ref="B20:B21"/>
    <mergeCell ref="C20:C21"/>
    <mergeCell ref="D20:D21"/>
    <mergeCell ref="A10:A19"/>
    <mergeCell ref="B10:B13"/>
    <mergeCell ref="C10:C13"/>
    <mergeCell ref="D10:D13"/>
    <mergeCell ref="E10:E12"/>
    <mergeCell ref="F10:F12"/>
    <mergeCell ref="B15:B19"/>
    <mergeCell ref="C15:C19"/>
    <mergeCell ref="D15:D19"/>
    <mergeCell ref="F5:F7"/>
    <mergeCell ref="E15:E17"/>
    <mergeCell ref="A5:A9"/>
    <mergeCell ref="B5:B8"/>
    <mergeCell ref="C5:C8"/>
    <mergeCell ref="D5:D8"/>
    <mergeCell ref="E5:E7"/>
    <mergeCell ref="F15:F17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02CD6-27D2-4824-AEA5-1BC8212E2AA6}">
  <dimension ref="A1:AP63"/>
  <sheetViews>
    <sheetView showGridLines="0" topLeftCell="AD45" workbookViewId="0">
      <selection activeCell="AM58" sqref="AM58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" style="9" bestFit="1" customWidth="1"/>
    <col min="14" max="14" width="10.85546875" style="9" bestFit="1" customWidth="1"/>
    <col min="15" max="15" width="4.140625" style="9" bestFit="1" customWidth="1"/>
    <col min="16" max="16" width="4.42578125" style="9" bestFit="1" customWidth="1"/>
    <col min="17" max="17" width="11.7109375" style="9" bestFit="1" customWidth="1"/>
    <col min="18" max="18" width="10.85546875" style="9" bestFit="1" customWidth="1"/>
    <col min="19" max="19" width="8.7109375" style="9" bestFit="1" customWidth="1"/>
    <col min="20" max="21" width="11.7109375" style="9" bestFit="1" customWidth="1"/>
    <col min="22" max="22" width="10" style="9" bestFit="1" customWidth="1"/>
    <col min="23" max="24" width="9.85546875" style="9" bestFit="1" customWidth="1"/>
    <col min="25" max="25" width="9.28515625" style="9" bestFit="1" customWidth="1"/>
    <col min="26" max="26" width="7.7109375" style="9" bestFit="1" customWidth="1"/>
    <col min="27" max="27" width="9.85546875" style="9" bestFit="1" customWidth="1"/>
    <col min="28" max="28" width="11.7109375" style="9" bestFit="1" customWidth="1"/>
    <col min="29" max="30" width="13.1406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.85546875" style="9" bestFit="1" customWidth="1"/>
    <col min="38" max="38" width="11.7109375" style="9" bestFit="1" customWidth="1"/>
    <col min="39" max="39" width="13.1406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27" t="s">
        <v>76</v>
      </c>
      <c r="B1" s="127" t="s">
        <v>77</v>
      </c>
      <c r="C1" s="127" t="s">
        <v>78</v>
      </c>
      <c r="D1" s="127" t="s">
        <v>79</v>
      </c>
      <c r="E1" s="127" t="s">
        <v>80</v>
      </c>
      <c r="F1" s="127" t="s">
        <v>15</v>
      </c>
      <c r="G1" s="127" t="s">
        <v>82</v>
      </c>
      <c r="H1" s="127" t="s">
        <v>83</v>
      </c>
      <c r="I1" s="127" t="s">
        <v>746</v>
      </c>
      <c r="J1" s="113"/>
      <c r="L1" s="125" t="s">
        <v>754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P1" s="125" t="s">
        <v>748</v>
      </c>
    </row>
    <row r="2" spans="1:42" ht="11.25" customHeight="1" x14ac:dyDescent="0.25">
      <c r="A2" s="127"/>
      <c r="B2" s="127"/>
      <c r="C2" s="127"/>
      <c r="D2" s="127"/>
      <c r="E2" s="127"/>
      <c r="F2" s="127"/>
      <c r="G2" s="127"/>
      <c r="H2" s="127"/>
      <c r="I2" s="127"/>
      <c r="J2" s="113"/>
      <c r="L2" s="125" t="s">
        <v>646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P2" s="128"/>
    </row>
    <row r="3" spans="1:42" ht="11.25" customHeight="1" x14ac:dyDescent="0.25">
      <c r="A3" s="127"/>
      <c r="B3" s="127"/>
      <c r="C3" s="127"/>
      <c r="D3" s="127"/>
      <c r="E3" s="127"/>
      <c r="F3" s="127"/>
      <c r="G3" s="127"/>
      <c r="H3" s="127"/>
      <c r="I3" s="127"/>
      <c r="J3" s="113"/>
      <c r="L3" s="125" t="s">
        <v>647</v>
      </c>
      <c r="M3" s="125"/>
      <c r="N3" s="125"/>
      <c r="O3" s="125"/>
      <c r="P3" s="125"/>
      <c r="Q3" s="125"/>
      <c r="R3" s="125"/>
      <c r="S3" s="125"/>
      <c r="T3" s="125"/>
      <c r="U3" s="125" t="s">
        <v>656</v>
      </c>
      <c r="V3" s="125"/>
      <c r="W3" s="125"/>
      <c r="X3" s="125"/>
      <c r="Y3" s="125"/>
      <c r="Z3" s="125"/>
      <c r="AA3" s="125"/>
      <c r="AB3" s="125"/>
      <c r="AC3" s="125" t="s">
        <v>664</v>
      </c>
      <c r="AD3" s="125"/>
      <c r="AE3" s="125" t="s">
        <v>666</v>
      </c>
      <c r="AF3" s="125"/>
      <c r="AG3" s="125"/>
      <c r="AH3" s="125" t="s">
        <v>669</v>
      </c>
      <c r="AI3" s="125"/>
      <c r="AJ3" s="125"/>
      <c r="AK3" s="125"/>
      <c r="AL3" s="125"/>
      <c r="AM3" s="125" t="s">
        <v>655</v>
      </c>
      <c r="AP3" s="128"/>
    </row>
    <row r="4" spans="1:42" ht="11.25" customHeight="1" x14ac:dyDescent="0.25">
      <c r="A4" s="127"/>
      <c r="B4" s="127"/>
      <c r="C4" s="127"/>
      <c r="D4" s="127"/>
      <c r="E4" s="127"/>
      <c r="F4" s="127"/>
      <c r="G4" s="127"/>
      <c r="H4" s="127"/>
      <c r="I4" s="127"/>
      <c r="J4" s="113"/>
      <c r="L4" s="30" t="s">
        <v>731</v>
      </c>
      <c r="M4" s="30" t="s">
        <v>648</v>
      </c>
      <c r="N4" s="30" t="s">
        <v>649</v>
      </c>
      <c r="O4" s="30" t="s">
        <v>650</v>
      </c>
      <c r="P4" s="30" t="s">
        <v>651</v>
      </c>
      <c r="Q4" s="30" t="s">
        <v>652</v>
      </c>
      <c r="R4" s="30" t="s">
        <v>653</v>
      </c>
      <c r="S4" s="30" t="s">
        <v>654</v>
      </c>
      <c r="T4" s="30" t="s">
        <v>655</v>
      </c>
      <c r="U4" s="30" t="s">
        <v>657</v>
      </c>
      <c r="V4" s="30" t="s">
        <v>658</v>
      </c>
      <c r="W4" s="30" t="s">
        <v>659</v>
      </c>
      <c r="X4" s="30" t="s">
        <v>660</v>
      </c>
      <c r="Y4" s="30" t="s">
        <v>661</v>
      </c>
      <c r="Z4" s="30" t="s">
        <v>662</v>
      </c>
      <c r="AA4" s="30" t="s">
        <v>663</v>
      </c>
      <c r="AB4" s="30" t="s">
        <v>655</v>
      </c>
      <c r="AC4" s="30" t="s">
        <v>665</v>
      </c>
      <c r="AD4" s="30" t="s">
        <v>655</v>
      </c>
      <c r="AE4" s="30" t="s">
        <v>667</v>
      </c>
      <c r="AF4" s="30" t="s">
        <v>668</v>
      </c>
      <c r="AG4" s="30" t="s">
        <v>655</v>
      </c>
      <c r="AH4" s="30" t="s">
        <v>670</v>
      </c>
      <c r="AI4" s="30" t="s">
        <v>671</v>
      </c>
      <c r="AJ4" s="30" t="s">
        <v>672</v>
      </c>
      <c r="AK4" s="30" t="s">
        <v>673</v>
      </c>
      <c r="AL4" s="30" t="s">
        <v>655</v>
      </c>
      <c r="AM4" s="126"/>
      <c r="AP4" s="128"/>
    </row>
    <row r="5" spans="1:42" ht="11.25" customHeight="1" x14ac:dyDescent="0.25">
      <c r="A5" s="124" t="s">
        <v>43</v>
      </c>
      <c r="B5" s="124" t="s">
        <v>44</v>
      </c>
      <c r="C5" s="124" t="s">
        <v>25</v>
      </c>
      <c r="D5" s="124" t="s">
        <v>25</v>
      </c>
      <c r="E5" s="124" t="s">
        <v>25</v>
      </c>
      <c r="F5" s="124" t="s">
        <v>25</v>
      </c>
      <c r="G5" s="28" t="s">
        <v>90</v>
      </c>
      <c r="H5" s="28" t="s">
        <v>89</v>
      </c>
      <c r="I5" s="28">
        <f>'MERCADO TUSD'!$U$2</f>
        <v>2432502</v>
      </c>
      <c r="J5" s="18"/>
      <c r="L5" s="27">
        <f>'TR TUSD'!$L$5*'TR TUSD'!$L$65</f>
        <v>0</v>
      </c>
      <c r="M5" s="27">
        <f>'TR TUSD'!$M$5*'TR TUSD'!$M$65</f>
        <v>0</v>
      </c>
      <c r="N5" s="27">
        <f ca="1">'TR TUSD'!$N$5*'TR TUSD'!$N$65</f>
        <v>0</v>
      </c>
      <c r="O5" s="27">
        <f>'TR TUSD'!$O$5*'TR TUSD'!$O$65</f>
        <v>0</v>
      </c>
      <c r="P5" s="27">
        <f>'TR TUSD'!$P$5*'TR TUSD'!$P$65</f>
        <v>0</v>
      </c>
      <c r="Q5" s="27">
        <f>'TR TUSD'!$Q$5*'TR TUSD'!$Q$65</f>
        <v>0</v>
      </c>
      <c r="R5" s="27">
        <f>'TR TUSD'!$R$5*'TR TUSD'!$R$65</f>
        <v>0</v>
      </c>
      <c r="S5" s="27">
        <f>'TR TUSD'!$S$5*'TR TUSD'!$S$65</f>
        <v>0</v>
      </c>
      <c r="T5" s="27">
        <f ca="1">SUM($L$5:$S$5)</f>
        <v>0</v>
      </c>
      <c r="U5" s="27">
        <f>'TR TUSD'!$U$5*'TR TUSD'!$U$65</f>
        <v>3.289916996216768</v>
      </c>
      <c r="V5" s="27">
        <f>'TR TUSD'!$V$5*'TR TUSD'!$V$65</f>
        <v>1.2192802658060418E-2</v>
      </c>
      <c r="W5" s="27">
        <f>'TR TUSD'!$W$5*'TR TUSD'!$W$65</f>
        <v>0</v>
      </c>
      <c r="X5" s="27">
        <f>'TR TUSD'!$X$5*'TR TUSD'!$X$65</f>
        <v>0</v>
      </c>
      <c r="Y5" s="27">
        <f>'TR TUSD'!$Y$5*'TR TUSD'!$Y$65</f>
        <v>0</v>
      </c>
      <c r="Z5" s="27">
        <f>'TR TUSD'!$Z$5</f>
        <v>0</v>
      </c>
      <c r="AA5" s="27">
        <f>'TR TUSD'!$AA$5</f>
        <v>0</v>
      </c>
      <c r="AB5" s="27">
        <f>SUM($U$5:$AA$5)</f>
        <v>3.3021097988748283</v>
      </c>
      <c r="AC5" s="27">
        <f>'TR TUSD'!$AC$5*'TR TUSD'!$AC$65</f>
        <v>4.0357035366483984</v>
      </c>
      <c r="AD5" s="27">
        <f>SUM($AC$5:$AC$5)</f>
        <v>4.0357035366483984</v>
      </c>
      <c r="AE5" s="27">
        <v>0</v>
      </c>
      <c r="AF5" s="27">
        <v>0</v>
      </c>
      <c r="AG5" s="27">
        <f>SUM($AE$5:$AF$5)</f>
        <v>0</v>
      </c>
      <c r="AH5" s="27">
        <f>'TR TUSD'!$AH$5*'TR TUSD'!$AH$65</f>
        <v>0</v>
      </c>
      <c r="AI5" s="27">
        <f>'TR TUSD'!$AI$5*'TR TUSD'!$AI$65</f>
        <v>0</v>
      </c>
      <c r="AJ5" s="27">
        <f ca="1">'TR TUSD'!$AJ$5*'TR TUSD'!$AJ$65</f>
        <v>0</v>
      </c>
      <c r="AK5" s="27">
        <f ca="1">'TR TUSD'!$AK$5*'TR TUSD'!$AK$65</f>
        <v>0</v>
      </c>
      <c r="AL5" s="27">
        <f ca="1">SUM($AH$5:$AK$5)</f>
        <v>0</v>
      </c>
      <c r="AM5" s="27">
        <f ca="1">SUMIF($L$4:$AL$4,"SUBTOTAL",$L$5:$AL$5)</f>
        <v>7.3378133355232267</v>
      </c>
      <c r="AP5" s="27">
        <v>1</v>
      </c>
    </row>
    <row r="6" spans="1:42" ht="11.25" customHeight="1" x14ac:dyDescent="0.25">
      <c r="A6" s="124"/>
      <c r="B6" s="124"/>
      <c r="C6" s="124"/>
      <c r="D6" s="124"/>
      <c r="E6" s="124"/>
      <c r="F6" s="124"/>
      <c r="G6" s="28" t="s">
        <v>91</v>
      </c>
      <c r="H6" s="28" t="s">
        <v>89</v>
      </c>
      <c r="I6" s="28">
        <f>'MERCADO TUSD'!$U$3</f>
        <v>2719854</v>
      </c>
      <c r="J6" s="18"/>
      <c r="L6" s="27">
        <f>'TR TUSD'!$L$6*'TR TUSD'!$L$65</f>
        <v>0</v>
      </c>
      <c r="M6" s="27">
        <f>'TR TUSD'!$M$6*'TR TUSD'!$M$65</f>
        <v>0</v>
      </c>
      <c r="N6" s="27">
        <f ca="1">'TR TUSD'!$N$6*'TR TUSD'!$N$65</f>
        <v>0</v>
      </c>
      <c r="O6" s="27">
        <f>'TR TUSD'!$O$6*'TR TUSD'!$O$65</f>
        <v>0</v>
      </c>
      <c r="P6" s="27">
        <f>'TR TUSD'!$P$6*'TR TUSD'!$P$65</f>
        <v>0</v>
      </c>
      <c r="Q6" s="27">
        <f>'TR TUSD'!$Q$6*'TR TUSD'!$Q$65</f>
        <v>0</v>
      </c>
      <c r="R6" s="27">
        <f>'TR TUSD'!$R$6*'TR TUSD'!$R$65</f>
        <v>0</v>
      </c>
      <c r="S6" s="27">
        <f>'TR TUSD'!$S$6*'TR TUSD'!$S$65</f>
        <v>0</v>
      </c>
      <c r="T6" s="27">
        <f ca="1">SUM($L$6:$S$6)</f>
        <v>0</v>
      </c>
      <c r="U6" s="27">
        <f>'TR TUSD'!$U$6*'TR TUSD'!$U$65</f>
        <v>2.6866604718125204</v>
      </c>
      <c r="V6" s="27">
        <f>'TR TUSD'!$V$6*'TR TUSD'!$V$65</f>
        <v>9.9490954600660736E-3</v>
      </c>
      <c r="W6" s="27">
        <f>'TR TUSD'!$W$6*'TR TUSD'!$W$65</f>
        <v>0</v>
      </c>
      <c r="X6" s="27">
        <f>'TR TUSD'!$X$6*'TR TUSD'!$X$65</f>
        <v>0</v>
      </c>
      <c r="Y6" s="27">
        <f>'TR TUSD'!$Y$6*'TR TUSD'!$Y$65</f>
        <v>0</v>
      </c>
      <c r="Z6" s="27">
        <f>'TR TUSD'!$Z$6</f>
        <v>0</v>
      </c>
      <c r="AA6" s="27">
        <f>'TR TUSD'!$AA$6</f>
        <v>0</v>
      </c>
      <c r="AB6" s="27">
        <f>SUM($U$6:$AA$6)</f>
        <v>2.6966095672725867</v>
      </c>
      <c r="AC6" s="27">
        <f>'TR TUSD'!$AC$6*'TR TUSD'!$AC$65</f>
        <v>3.2805380577024059</v>
      </c>
      <c r="AD6" s="27">
        <f>SUM($AC$6:$AC$6)</f>
        <v>3.2805380577024059</v>
      </c>
      <c r="AE6" s="27">
        <v>0</v>
      </c>
      <c r="AF6" s="27">
        <v>0</v>
      </c>
      <c r="AG6" s="27">
        <f>SUM($AE$6:$AF$6)</f>
        <v>0</v>
      </c>
      <c r="AH6" s="27">
        <f>'TR TUSD'!$AH$6*'TR TUSD'!$AH$65</f>
        <v>0</v>
      </c>
      <c r="AI6" s="27">
        <f>'TR TUSD'!$AI$6*'TR TUSD'!$AI$65</f>
        <v>0</v>
      </c>
      <c r="AJ6" s="27">
        <f ca="1">'TR TUSD'!$AJ$6*'TR TUSD'!$AJ$65</f>
        <v>0</v>
      </c>
      <c r="AK6" s="27">
        <f ca="1">'TR TUSD'!$AK$6*'TR TUSD'!$AK$65</f>
        <v>0</v>
      </c>
      <c r="AL6" s="27">
        <f ca="1">SUM($AH$6:$AK$6)</f>
        <v>0</v>
      </c>
      <c r="AM6" s="27">
        <f ca="1">SUMIF($L$4:$AL$4,"SUBTOTAL",$L$6:$AL$6)</f>
        <v>5.9771476249749931</v>
      </c>
      <c r="AP6" s="27">
        <v>1</v>
      </c>
    </row>
    <row r="7" spans="1:42" ht="11.25" customHeight="1" x14ac:dyDescent="0.25">
      <c r="A7" s="124"/>
      <c r="B7" s="124"/>
      <c r="C7" s="124"/>
      <c r="D7" s="124"/>
      <c r="E7" s="124"/>
      <c r="F7" s="124"/>
      <c r="G7" s="28" t="s">
        <v>92</v>
      </c>
      <c r="H7" s="28" t="s">
        <v>86</v>
      </c>
      <c r="I7" s="28">
        <f>'MERCADO TUSD'!$U$4</f>
        <v>1155536.6730000002</v>
      </c>
      <c r="J7" s="18"/>
      <c r="L7" s="27">
        <f>'TR TUSD'!$L$7*'TR TUSD'!$L$65</f>
        <v>9.4465554604827879</v>
      </c>
      <c r="M7" s="27">
        <f>'TR TUSD'!$M$7*'TR TUSD'!$M$65</f>
        <v>6.0329547703497258E-2</v>
      </c>
      <c r="N7" s="27">
        <f ca="1">'TR TUSD'!$N$7*'TR TUSD'!$N$65</f>
        <v>0.52534783272179553</v>
      </c>
      <c r="O7" s="27">
        <f>'TR TUSD'!$O$7*'TR TUSD'!$O$65</f>
        <v>0</v>
      </c>
      <c r="P7" s="27">
        <f>'TR TUSD'!$P$7*'TR TUSD'!$P$65</f>
        <v>0</v>
      </c>
      <c r="Q7" s="27">
        <f>'TR TUSD'!$Q$7*'TR TUSD'!$Q$65</f>
        <v>15.824457461126549</v>
      </c>
      <c r="R7" s="27">
        <f>'TR TUSD'!$R$7*'TR TUSD'!$R$65</f>
        <v>9.5568731166785277</v>
      </c>
      <c r="S7" s="27">
        <f>'TR TUSD'!$S$7*'TR TUSD'!$S$65</f>
        <v>0</v>
      </c>
      <c r="T7" s="27">
        <f ca="1">SUM($L$7:$S$7)</f>
        <v>35.413563418713153</v>
      </c>
      <c r="U7" s="27">
        <f>'TR TUSD'!$U$7*'TR TUSD'!$U$65</f>
        <v>0</v>
      </c>
      <c r="V7" s="27">
        <f>'TR TUSD'!$V$7*'TR TUSD'!$V$65</f>
        <v>0</v>
      </c>
      <c r="W7" s="27">
        <f>'TR TUSD'!$W$7*'TR TUSD'!$W$65</f>
        <v>0</v>
      </c>
      <c r="X7" s="27">
        <f>'TR TUSD'!$X$7*'TR TUSD'!$X$65</f>
        <v>0</v>
      </c>
      <c r="Y7" s="27">
        <f>'TR TUSD'!$Y$7*'TR TUSD'!$Y$65</f>
        <v>0</v>
      </c>
      <c r="Z7" s="27">
        <f>'TR TUSD'!$Z$7</f>
        <v>0</v>
      </c>
      <c r="AA7" s="27">
        <f>'TR TUSD'!$AA$7</f>
        <v>0</v>
      </c>
      <c r="AB7" s="27">
        <f>SUM($U$7:$AA$7)</f>
        <v>0</v>
      </c>
      <c r="AC7" s="27">
        <f>'TR TUSD'!$AC$7*'TR TUSD'!$AC$65</f>
        <v>0</v>
      </c>
      <c r="AD7" s="27">
        <f>SUM($AC$7:$AC$7)</f>
        <v>0</v>
      </c>
      <c r="AE7" s="27">
        <v>0</v>
      </c>
      <c r="AF7" s="27">
        <v>0</v>
      </c>
      <c r="AG7" s="27">
        <f>SUM($AE$7:$AF$7)</f>
        <v>0</v>
      </c>
      <c r="AH7" s="27">
        <f>'TR TUSD'!$AH$7*'TR TUSD'!$AH$65</f>
        <v>4.7725781556949194</v>
      </c>
      <c r="AI7" s="27">
        <f>'TR TUSD'!$AI$7*'TR TUSD'!$AI$65</f>
        <v>0.34368150721721402</v>
      </c>
      <c r="AJ7" s="27">
        <f ca="1">'TR TUSD'!$AJ$7*'TR TUSD'!$AJ$65</f>
        <v>22.531183138255479</v>
      </c>
      <c r="AK7" s="27">
        <f ca="1">'TR TUSD'!$AK$7*'TR TUSD'!$AK$65</f>
        <v>2.5405729740644984</v>
      </c>
      <c r="AL7" s="27">
        <f ca="1">SUM($AH$7:$AK$7)</f>
        <v>30.188015775232113</v>
      </c>
      <c r="AM7" s="27">
        <f ca="1">SUMIF($L$4:$AL$4,"SUBTOTAL",$L$7:$AL$7)</f>
        <v>65.60157919394527</v>
      </c>
      <c r="AP7" s="27">
        <v>1</v>
      </c>
    </row>
    <row r="8" spans="1:42" ht="11.25" customHeight="1" x14ac:dyDescent="0.25">
      <c r="A8" s="124"/>
      <c r="B8" s="124"/>
      <c r="C8" s="124"/>
      <c r="D8" s="124"/>
      <c r="E8" s="29" t="s">
        <v>93</v>
      </c>
      <c r="F8" s="29" t="s">
        <v>25</v>
      </c>
      <c r="G8" s="28" t="s">
        <v>92</v>
      </c>
      <c r="H8" s="28" t="s">
        <v>86</v>
      </c>
      <c r="I8" s="28">
        <f>'MERCADO TUSD'!$U$5</f>
        <v>0</v>
      </c>
      <c r="J8" s="18"/>
      <c r="L8" s="27">
        <f>'TR TUSD'!$L$8*'TR TUSD'!$L$65</f>
        <v>0</v>
      </c>
      <c r="M8" s="27">
        <f>'TR TUSD'!$M$8*'TR TUSD'!$M$65</f>
        <v>6.0329547703497258E-2</v>
      </c>
      <c r="N8" s="27">
        <f ca="1">'TR TUSD'!$N$8*'TR TUSD'!$N$65</f>
        <v>0.51613354576803916</v>
      </c>
      <c r="O8" s="27">
        <f>'TR TUSD'!$O$8*'TR TUSD'!$O$65</f>
        <v>0</v>
      </c>
      <c r="P8" s="27">
        <f>'TR TUSD'!$P$8*'TR TUSD'!$P$65</f>
        <v>0</v>
      </c>
      <c r="Q8" s="27">
        <f>'TR TUSD'!$Q$8*'TR TUSD'!$Q$65</f>
        <v>0</v>
      </c>
      <c r="R8" s="27">
        <f>'TR TUSD'!$R$8*'TR TUSD'!$R$65</f>
        <v>0</v>
      </c>
      <c r="S8" s="27">
        <f>'TR TUSD'!$S$8*'TR TUSD'!$S$65</f>
        <v>0</v>
      </c>
      <c r="T8" s="27">
        <f ca="1">SUM($L$8:$S$8)</f>
        <v>0.57646309347153646</v>
      </c>
      <c r="U8" s="27">
        <f>'TR TUSD'!$U$8*'TR TUSD'!$U$65</f>
        <v>0</v>
      </c>
      <c r="V8" s="27">
        <f>'TR TUSD'!$V$8*'TR TUSD'!$V$65</f>
        <v>0</v>
      </c>
      <c r="W8" s="27">
        <f>'TR TUSD'!$W$8*'TR TUSD'!$W$65</f>
        <v>0</v>
      </c>
      <c r="X8" s="27">
        <f>'TR TUSD'!$X$8*'TR TUSD'!$X$65</f>
        <v>0</v>
      </c>
      <c r="Y8" s="27">
        <f>'TR TUSD'!$Y$8*'TR TUSD'!$Y$65</f>
        <v>0</v>
      </c>
      <c r="Z8" s="27">
        <f>'TR TUSD'!$Z$8</f>
        <v>0</v>
      </c>
      <c r="AA8" s="27">
        <f>'TR TUSD'!$AA$8</f>
        <v>0</v>
      </c>
      <c r="AB8" s="27">
        <f>SUM($U$8:$AA$8)</f>
        <v>0</v>
      </c>
      <c r="AC8" s="27">
        <f>'TR TUSD'!$AC$8*'TR TUSD'!$AC$65</f>
        <v>0</v>
      </c>
      <c r="AD8" s="27">
        <f>SUM($AC$8:$AC$8)</f>
        <v>0</v>
      </c>
      <c r="AE8" s="27">
        <v>0</v>
      </c>
      <c r="AF8" s="27">
        <v>0</v>
      </c>
      <c r="AG8" s="27">
        <f>SUM($AE$8:$AF$8)</f>
        <v>0</v>
      </c>
      <c r="AH8" s="27">
        <f>'TR TUSD'!$AH$8*'TR TUSD'!$AH$65</f>
        <v>4.7725781556949194</v>
      </c>
      <c r="AI8" s="27">
        <f>'TR TUSD'!$AI$8*'TR TUSD'!$AI$65</f>
        <v>0.34368150721721402</v>
      </c>
      <c r="AJ8" s="27">
        <f ca="1">'TR TUSD'!$AJ$8*'TR TUSD'!$AJ$65</f>
        <v>22.531183138255479</v>
      </c>
      <c r="AK8" s="27">
        <f ca="1">'TR TUSD'!$AK$8*'TR TUSD'!$AK$65</f>
        <v>2.5405729740644984</v>
      </c>
      <c r="AL8" s="27">
        <f ca="1">SUM($AH$8:$AK$8)</f>
        <v>30.188015775232113</v>
      </c>
      <c r="AM8" s="27">
        <f ca="1">SUMIF($L$4:$AL$4,"SUBTOTAL",$L$8:$AL$8)</f>
        <v>30.764478868703648</v>
      </c>
      <c r="AP8" s="27">
        <v>1</v>
      </c>
    </row>
    <row r="9" spans="1:42" ht="11.25" customHeight="1" x14ac:dyDescent="0.25">
      <c r="A9" s="124"/>
      <c r="B9" s="29" t="s">
        <v>63</v>
      </c>
      <c r="C9" s="29" t="s">
        <v>25</v>
      </c>
      <c r="D9" s="29" t="s">
        <v>25</v>
      </c>
      <c r="E9" s="29" t="s">
        <v>25</v>
      </c>
      <c r="F9" s="29" t="s">
        <v>25</v>
      </c>
      <c r="G9" s="28" t="s">
        <v>9</v>
      </c>
      <c r="H9" s="28" t="s">
        <v>89</v>
      </c>
      <c r="I9" s="28">
        <f>'MERCADO TUSD'!$U$6</f>
        <v>4807736</v>
      </c>
      <c r="J9" s="18"/>
      <c r="L9" s="27">
        <f>'TR TUSD'!$L$9</f>
        <v>0</v>
      </c>
      <c r="M9" s="27">
        <f>'TR TUSD'!$M$9</f>
        <v>0</v>
      </c>
      <c r="N9" s="27">
        <f>'TR TUSD'!$N$9</f>
        <v>0.11742208955287003</v>
      </c>
      <c r="O9" s="27">
        <f>'TR TUSD'!$O$9</f>
        <v>0</v>
      </c>
      <c r="P9" s="27">
        <f>'TR TUSD'!$P$9</f>
        <v>0</v>
      </c>
      <c r="Q9" s="27">
        <f>'TR TUSD'!$Q$9</f>
        <v>0</v>
      </c>
      <c r="R9" s="27">
        <f>'TR TUSD'!$R$9</f>
        <v>0</v>
      </c>
      <c r="S9" s="27">
        <f>'TR TUSD'!$S$9</f>
        <v>0</v>
      </c>
      <c r="T9" s="27">
        <f>SUM($L$9:$S$9)</f>
        <v>0.11742208955287003</v>
      </c>
      <c r="U9" s="27">
        <f>'TR TUSD'!$U$9</f>
        <v>0</v>
      </c>
      <c r="V9" s="27">
        <f>'TR TUSD'!$V$9</f>
        <v>0</v>
      </c>
      <c r="W9" s="27">
        <f>'TR TUSD'!$W$9</f>
        <v>0</v>
      </c>
      <c r="X9" s="27">
        <f>'TR TUSD'!$X$9</f>
        <v>0</v>
      </c>
      <c r="Y9" s="27">
        <f>'TR TUSD'!$Y$9</f>
        <v>0</v>
      </c>
      <c r="Z9" s="27">
        <f>'TR TUSD'!$Z$9</f>
        <v>0</v>
      </c>
      <c r="AA9" s="27">
        <f>'TR TUSD'!$AA$9</f>
        <v>0</v>
      </c>
      <c r="AB9" s="27">
        <f>SUM($U$9:$AA$9)</f>
        <v>0</v>
      </c>
      <c r="AC9" s="27">
        <f>'TR TUSD'!$AC$9</f>
        <v>7.6304760642263529</v>
      </c>
      <c r="AD9" s="27">
        <f>SUM($AC$9:$AC$9)</f>
        <v>7.6304760642263529</v>
      </c>
      <c r="AE9" s="27">
        <v>0</v>
      </c>
      <c r="AF9" s="27">
        <v>0</v>
      </c>
      <c r="AG9" s="27">
        <f>SUM($AE$9:$AF$9)</f>
        <v>0</v>
      </c>
      <c r="AH9" s="27">
        <f>'TR TUSD'!$AH$9</f>
        <v>1.4330720943344066</v>
      </c>
      <c r="AI9" s="27">
        <f>'TR TUSD'!$AI$9</f>
        <v>0</v>
      </c>
      <c r="AJ9" s="27">
        <f>'TR TUSD'!$AJ$9</f>
        <v>0</v>
      </c>
      <c r="AK9" s="27">
        <f>'TR TUSD'!$AK$9</f>
        <v>0</v>
      </c>
      <c r="AL9" s="27">
        <f>SUM($AH$9:$AK$9)</f>
        <v>1.4330720943344066</v>
      </c>
      <c r="AM9" s="27">
        <f>SUMIF($L$4:$AL$4,"SUBTOTAL",$L$9:$AL$9)</f>
        <v>9.1809702481136295</v>
      </c>
      <c r="AP9" s="27"/>
    </row>
    <row r="10" spans="1:42" ht="11.25" customHeight="1" x14ac:dyDescent="0.25">
      <c r="A10" s="124" t="s">
        <v>35</v>
      </c>
      <c r="B10" s="124" t="s">
        <v>44</v>
      </c>
      <c r="C10" s="124" t="s">
        <v>25</v>
      </c>
      <c r="D10" s="124" t="s">
        <v>25</v>
      </c>
      <c r="E10" s="124" t="s">
        <v>25</v>
      </c>
      <c r="F10" s="124" t="s">
        <v>25</v>
      </c>
      <c r="G10" s="28" t="s">
        <v>90</v>
      </c>
      <c r="H10" s="28" t="s">
        <v>89</v>
      </c>
      <c r="I10" s="28">
        <f>'MERCADO TUSD'!$U$7</f>
        <v>1352837</v>
      </c>
      <c r="J10" s="18"/>
      <c r="L10" s="27">
        <f>'TR TUSD'!$L$10*'TR TUSD'!$L$65</f>
        <v>0</v>
      </c>
      <c r="M10" s="27">
        <f>'TR TUSD'!$M$10*'TR TUSD'!$M$65</f>
        <v>0</v>
      </c>
      <c r="N10" s="27">
        <f ca="1">'TR TUSD'!$N$10*'TR TUSD'!$N$65</f>
        <v>0</v>
      </c>
      <c r="O10" s="27">
        <f>'TR TUSD'!$O$10*'TR TUSD'!$O$65</f>
        <v>0</v>
      </c>
      <c r="P10" s="27">
        <f>'TR TUSD'!$P$10*'TR TUSD'!$P$65</f>
        <v>0</v>
      </c>
      <c r="Q10" s="27">
        <f>'TR TUSD'!$Q$10*'TR TUSD'!$Q$65</f>
        <v>0</v>
      </c>
      <c r="R10" s="27">
        <f>'TR TUSD'!$R$10*'TR TUSD'!$R$65</f>
        <v>0</v>
      </c>
      <c r="S10" s="27">
        <f>'TR TUSD'!$S$10*'TR TUSD'!$S$65</f>
        <v>0</v>
      </c>
      <c r="T10" s="27">
        <f ca="1">SUM($L$10:$S$10)</f>
        <v>0</v>
      </c>
      <c r="U10" s="27">
        <f>'TR TUSD'!$U$10*'TR TUSD'!$U$65</f>
        <v>8.0462432384662588</v>
      </c>
      <c r="V10" s="27">
        <f>'TR TUSD'!$V$10*'TR TUSD'!$V$65</f>
        <v>2.4950872907704966E-2</v>
      </c>
      <c r="W10" s="27">
        <f>'TR TUSD'!$W$10*'TR TUSD'!$W$65</f>
        <v>1.7987168795695251E-2</v>
      </c>
      <c r="X10" s="27">
        <f>'TR TUSD'!$X$10*'TR TUSD'!$X$65</f>
        <v>0</v>
      </c>
      <c r="Y10" s="27">
        <f>'TR TUSD'!$Y$10*'TR TUSD'!$Y$65</f>
        <v>2.5218277915656347E-2</v>
      </c>
      <c r="Z10" s="27">
        <f>'TR TUSD'!$Z$10</f>
        <v>0</v>
      </c>
      <c r="AA10" s="27">
        <f>'TR TUSD'!$AA$10</f>
        <v>0</v>
      </c>
      <c r="AB10" s="27">
        <f>SUM($U$10:$AA$10)</f>
        <v>8.1143995580853154</v>
      </c>
      <c r="AC10" s="27">
        <f>'TR TUSD'!$AC$10*'TR TUSD'!$AC$65</f>
        <v>49.827040310385598</v>
      </c>
      <c r="AD10" s="27">
        <f>SUM($AC$10:$AC$10)</f>
        <v>49.827040310385598</v>
      </c>
      <c r="AE10" s="27">
        <v>0</v>
      </c>
      <c r="AF10" s="27">
        <v>0</v>
      </c>
      <c r="AG10" s="27">
        <f>SUM($AE$10:$AF$10)</f>
        <v>0</v>
      </c>
      <c r="AH10" s="27">
        <f>'TR TUSD'!$AH$10*'TR TUSD'!$AH$65</f>
        <v>0</v>
      </c>
      <c r="AI10" s="27">
        <f>'TR TUSD'!$AI$10*'TR TUSD'!$AI$65</f>
        <v>0</v>
      </c>
      <c r="AJ10" s="27">
        <f ca="1">'TR TUSD'!$AJ$10*'TR TUSD'!$AJ$65</f>
        <v>0</v>
      </c>
      <c r="AK10" s="27">
        <f ca="1">'TR TUSD'!$AK$10*'TR TUSD'!$AK$65</f>
        <v>0</v>
      </c>
      <c r="AL10" s="27">
        <f ca="1">SUM($AH$10:$AK$10)</f>
        <v>0</v>
      </c>
      <c r="AM10" s="27">
        <f ca="1">SUMIF($L$4:$AL$4,"SUBTOTAL",$L$10:$AL$10)</f>
        <v>57.941439868470916</v>
      </c>
      <c r="AP10" s="27">
        <v>1</v>
      </c>
    </row>
    <row r="11" spans="1:42" ht="11.25" customHeight="1" x14ac:dyDescent="0.25">
      <c r="A11" s="124"/>
      <c r="B11" s="124"/>
      <c r="C11" s="124"/>
      <c r="D11" s="124"/>
      <c r="E11" s="124"/>
      <c r="F11" s="124"/>
      <c r="G11" s="28" t="s">
        <v>91</v>
      </c>
      <c r="H11" s="28" t="s">
        <v>89</v>
      </c>
      <c r="I11" s="28">
        <f>'MERCADO TUSD'!$U$8</f>
        <v>1573792</v>
      </c>
      <c r="J11" s="18"/>
      <c r="L11" s="27">
        <f>'TR TUSD'!$L$11*'TR TUSD'!$L$65</f>
        <v>0</v>
      </c>
      <c r="M11" s="27">
        <f>'TR TUSD'!$M$11*'TR TUSD'!$M$65</f>
        <v>0</v>
      </c>
      <c r="N11" s="27">
        <f ca="1">'TR TUSD'!$N$11*'TR TUSD'!$N$65</f>
        <v>0</v>
      </c>
      <c r="O11" s="27">
        <f>'TR TUSD'!$O$11*'TR TUSD'!$O$65</f>
        <v>0</v>
      </c>
      <c r="P11" s="27">
        <f>'TR TUSD'!$P$11*'TR TUSD'!$P$65</f>
        <v>0</v>
      </c>
      <c r="Q11" s="27">
        <f>'TR TUSD'!$Q$11*'TR TUSD'!$Q$65</f>
        <v>0</v>
      </c>
      <c r="R11" s="27">
        <f>'TR TUSD'!$R$11*'TR TUSD'!$R$65</f>
        <v>0</v>
      </c>
      <c r="S11" s="27">
        <f>'TR TUSD'!$S$11*'TR TUSD'!$S$65</f>
        <v>0</v>
      </c>
      <c r="T11" s="27">
        <f ca="1">SUM($L$11:$S$11)</f>
        <v>0</v>
      </c>
      <c r="U11" s="27">
        <f>'TR TUSD'!$U$11*'TR TUSD'!$U$65</f>
        <v>4.8236997676703988</v>
      </c>
      <c r="V11" s="27">
        <f>'TR TUSD'!$V$11*'TR TUSD'!$V$65</f>
        <v>1.55149555341965E-2</v>
      </c>
      <c r="W11" s="27">
        <f>'TR TUSD'!$W$11*'TR TUSD'!$W$65</f>
        <v>8.120985652907687E-3</v>
      </c>
      <c r="X11" s="27">
        <f>'TR TUSD'!$X$11*'TR TUSD'!$X$65</f>
        <v>0</v>
      </c>
      <c r="Y11" s="27">
        <f>'TR TUSD'!$Y$11*'TR TUSD'!$Y$65</f>
        <v>3.984592768378134E-3</v>
      </c>
      <c r="Z11" s="27">
        <f>'TR TUSD'!$Z$11</f>
        <v>0</v>
      </c>
      <c r="AA11" s="27">
        <f>'TR TUSD'!$AA$11</f>
        <v>0</v>
      </c>
      <c r="AB11" s="27">
        <f>SUM($U$11:$AA$11)</f>
        <v>4.851320301625881</v>
      </c>
      <c r="AC11" s="27">
        <f>'TR TUSD'!$AC$11*'TR TUSD'!$AC$65</f>
        <v>26.253975859195023</v>
      </c>
      <c r="AD11" s="27">
        <f>SUM($AC$11:$AC$11)</f>
        <v>26.253975859195023</v>
      </c>
      <c r="AE11" s="27">
        <v>0</v>
      </c>
      <c r="AF11" s="27">
        <v>0</v>
      </c>
      <c r="AG11" s="27">
        <f>SUM($AE$11:$AF$11)</f>
        <v>0</v>
      </c>
      <c r="AH11" s="27">
        <f>'TR TUSD'!$AH$11*'TR TUSD'!$AH$65</f>
        <v>0</v>
      </c>
      <c r="AI11" s="27">
        <f>'TR TUSD'!$AI$11*'TR TUSD'!$AI$65</f>
        <v>0</v>
      </c>
      <c r="AJ11" s="27">
        <f ca="1">'TR TUSD'!$AJ$11*'TR TUSD'!$AJ$65</f>
        <v>0</v>
      </c>
      <c r="AK11" s="27">
        <f ca="1">'TR TUSD'!$AK$11*'TR TUSD'!$AK$65</f>
        <v>0</v>
      </c>
      <c r="AL11" s="27">
        <f ca="1">SUM($AH$11:$AK$11)</f>
        <v>0</v>
      </c>
      <c r="AM11" s="27">
        <f ca="1">SUMIF($L$4:$AL$4,"SUBTOTAL",$L$11:$AL$11)</f>
        <v>31.105296160820906</v>
      </c>
      <c r="AP11" s="27">
        <v>1</v>
      </c>
    </row>
    <row r="12" spans="1:42" ht="11.25" customHeight="1" x14ac:dyDescent="0.25">
      <c r="A12" s="124"/>
      <c r="B12" s="124"/>
      <c r="C12" s="124"/>
      <c r="D12" s="124"/>
      <c r="E12" s="124"/>
      <c r="F12" s="124"/>
      <c r="G12" s="28" t="s">
        <v>92</v>
      </c>
      <c r="H12" s="28" t="s">
        <v>86</v>
      </c>
      <c r="I12" s="28">
        <f>'MERCADO TUSD'!$U$9</f>
        <v>571563.16599999997</v>
      </c>
      <c r="J12" s="18"/>
      <c r="L12" s="27">
        <f>'TR TUSD'!$L$12*'TR TUSD'!$L$65</f>
        <v>12.26642276211944</v>
      </c>
      <c r="M12" s="27">
        <f>'TR TUSD'!$M$12*'TR TUSD'!$M$65</f>
        <v>0.78105194390640176</v>
      </c>
      <c r="N12" s="27">
        <f ca="1">'TR TUSD'!$N$12*'TR TUSD'!$N$65</f>
        <v>2.0073481341414308</v>
      </c>
      <c r="O12" s="27">
        <f>'TR TUSD'!$O$12*'TR TUSD'!$O$65</f>
        <v>0</v>
      </c>
      <c r="P12" s="27">
        <f>'TR TUSD'!$P$12*'TR TUSD'!$P$65</f>
        <v>0</v>
      </c>
      <c r="Q12" s="27">
        <f>'TR TUSD'!$Q$12*'TR TUSD'!$Q$65</f>
        <v>20.548176106238952</v>
      </c>
      <c r="R12" s="27">
        <f>'TR TUSD'!$R$12*'TR TUSD'!$R$65</f>
        <v>9.5568731166785277</v>
      </c>
      <c r="S12" s="27">
        <f>'TR TUSD'!$S$12*'TR TUSD'!$S$65</f>
        <v>0</v>
      </c>
      <c r="T12" s="27">
        <f ca="1">SUM($L$12:$S$12)</f>
        <v>45.159872063084748</v>
      </c>
      <c r="U12" s="27">
        <f>'TR TUSD'!$U$12*'TR TUSD'!$U$65</f>
        <v>0</v>
      </c>
      <c r="V12" s="27">
        <f>'TR TUSD'!$V$12*'TR TUSD'!$V$65</f>
        <v>0</v>
      </c>
      <c r="W12" s="27">
        <f>'TR TUSD'!$W$12*'TR TUSD'!$W$65</f>
        <v>0</v>
      </c>
      <c r="X12" s="27">
        <f>'TR TUSD'!$X$12*'TR TUSD'!$X$65</f>
        <v>0</v>
      </c>
      <c r="Y12" s="27">
        <f>'TR TUSD'!$Y$12*'TR TUSD'!$Y$65</f>
        <v>0</v>
      </c>
      <c r="Z12" s="27">
        <f>'TR TUSD'!$Z$12</f>
        <v>0</v>
      </c>
      <c r="AA12" s="27">
        <f>'TR TUSD'!$AA$12</f>
        <v>0</v>
      </c>
      <c r="AB12" s="27">
        <f>SUM($U$12:$AA$12)</f>
        <v>0</v>
      </c>
      <c r="AC12" s="27">
        <f>'TR TUSD'!$AC$12*'TR TUSD'!$AC$65</f>
        <v>0</v>
      </c>
      <c r="AD12" s="27">
        <f>SUM($AC$12:$AC$12)</f>
        <v>0</v>
      </c>
      <c r="AE12" s="27">
        <v>0</v>
      </c>
      <c r="AF12" s="27">
        <v>0</v>
      </c>
      <c r="AG12" s="27">
        <f>SUM($AE$12:$AF$12)</f>
        <v>0</v>
      </c>
      <c r="AH12" s="27">
        <f>'TR TUSD'!$AH$12*'TR TUSD'!$AH$65</f>
        <v>10.404782226418211</v>
      </c>
      <c r="AI12" s="27">
        <f>'TR TUSD'!$AI$12*'TR TUSD'!$AI$65</f>
        <v>0.74926614529618141</v>
      </c>
      <c r="AJ12" s="27">
        <f ca="1">'TR TUSD'!$AJ$12*'TR TUSD'!$AJ$65</f>
        <v>97.630689067854249</v>
      </c>
      <c r="AK12" s="27">
        <f ca="1">'TR TUSD'!$AK$12*'TR TUSD'!$AK$65</f>
        <v>11.008649149184874</v>
      </c>
      <c r="AL12" s="27">
        <f ca="1">SUM($AH$12:$AK$12)</f>
        <v>119.79338658875352</v>
      </c>
      <c r="AM12" s="27">
        <f ca="1">SUMIF($L$4:$AL$4,"SUBTOTAL",$L$12:$AL$12)</f>
        <v>164.95325865183827</v>
      </c>
      <c r="AP12" s="27">
        <v>1</v>
      </c>
    </row>
    <row r="13" spans="1:42" ht="11.25" customHeight="1" x14ac:dyDescent="0.25">
      <c r="A13" s="124"/>
      <c r="B13" s="124"/>
      <c r="C13" s="124"/>
      <c r="D13" s="124"/>
      <c r="E13" s="29" t="s">
        <v>93</v>
      </c>
      <c r="F13" s="29" t="s">
        <v>25</v>
      </c>
      <c r="G13" s="28" t="s">
        <v>92</v>
      </c>
      <c r="H13" s="28" t="s">
        <v>86</v>
      </c>
      <c r="I13" s="28">
        <f>'MERCADO TUSD'!$U$10</f>
        <v>0</v>
      </c>
      <c r="J13" s="18"/>
      <c r="L13" s="27">
        <f>'TR TUSD'!$L$13*'TR TUSD'!$L$65</f>
        <v>0</v>
      </c>
      <c r="M13" s="27">
        <f>'TR TUSD'!$M$13*'TR TUSD'!$M$65</f>
        <v>0.78105194390640176</v>
      </c>
      <c r="N13" s="27">
        <f ca="1">'TR TUSD'!$N$13*'TR TUSD'!$N$65</f>
        <v>1.9981338471876742</v>
      </c>
      <c r="O13" s="27">
        <f>'TR TUSD'!$O$13*'TR TUSD'!$O$65</f>
        <v>0</v>
      </c>
      <c r="P13" s="27">
        <f>'TR TUSD'!$P$13*'TR TUSD'!$P$65</f>
        <v>0</v>
      </c>
      <c r="Q13" s="27">
        <f>'TR TUSD'!$Q$13*'TR TUSD'!$Q$65</f>
        <v>0</v>
      </c>
      <c r="R13" s="27">
        <f>'TR TUSD'!$R$13*'TR TUSD'!$R$65</f>
        <v>0</v>
      </c>
      <c r="S13" s="27">
        <f>'TR TUSD'!$S$13*'TR TUSD'!$S$65</f>
        <v>0</v>
      </c>
      <c r="T13" s="27">
        <f ca="1">SUM($L$13:$S$13)</f>
        <v>2.779185791094076</v>
      </c>
      <c r="U13" s="27">
        <f>'TR TUSD'!$U$13*'TR TUSD'!$U$65</f>
        <v>0</v>
      </c>
      <c r="V13" s="27">
        <f>'TR TUSD'!$V$13*'TR TUSD'!$V$65</f>
        <v>0</v>
      </c>
      <c r="W13" s="27">
        <f>'TR TUSD'!$W$13*'TR TUSD'!$W$65</f>
        <v>0</v>
      </c>
      <c r="X13" s="27">
        <f>'TR TUSD'!$X$13*'TR TUSD'!$X$65</f>
        <v>0</v>
      </c>
      <c r="Y13" s="27">
        <f>'TR TUSD'!$Y$13*'TR TUSD'!$Y$65</f>
        <v>0</v>
      </c>
      <c r="Z13" s="27">
        <f>'TR TUSD'!$Z$13</f>
        <v>0</v>
      </c>
      <c r="AA13" s="27">
        <f>'TR TUSD'!$AA$13</f>
        <v>0</v>
      </c>
      <c r="AB13" s="27">
        <f>SUM($U$13:$AA$13)</f>
        <v>0</v>
      </c>
      <c r="AC13" s="27">
        <f>'TR TUSD'!$AC$13*'TR TUSD'!$AC$65</f>
        <v>0</v>
      </c>
      <c r="AD13" s="27">
        <f>SUM($AC$13:$AC$13)</f>
        <v>0</v>
      </c>
      <c r="AE13" s="27">
        <v>0</v>
      </c>
      <c r="AF13" s="27">
        <v>0</v>
      </c>
      <c r="AG13" s="27">
        <f>SUM($AE$13:$AF$13)</f>
        <v>0</v>
      </c>
      <c r="AH13" s="27">
        <f>'TR TUSD'!$AH$13*'TR TUSD'!$AH$65</f>
        <v>10.404782226418211</v>
      </c>
      <c r="AI13" s="27">
        <f>'TR TUSD'!$AI$13*'TR TUSD'!$AI$65</f>
        <v>0.74926614529618141</v>
      </c>
      <c r="AJ13" s="27">
        <f ca="1">'TR TUSD'!$AJ$13*'TR TUSD'!$AJ$65</f>
        <v>97.630689067854249</v>
      </c>
      <c r="AK13" s="27">
        <f ca="1">'TR TUSD'!$AK$13*'TR TUSD'!$AK$65</f>
        <v>11.008649149184874</v>
      </c>
      <c r="AL13" s="27">
        <f ca="1">SUM($AH$13:$AK$13)</f>
        <v>119.79338658875352</v>
      </c>
      <c r="AM13" s="27">
        <f ca="1">SUMIF($L$4:$AL$4,"SUBTOTAL",$L$13:$AL$13)</f>
        <v>122.5725723798476</v>
      </c>
      <c r="AP13" s="27">
        <v>1</v>
      </c>
    </row>
    <row r="14" spans="1:42" ht="11.25" customHeight="1" x14ac:dyDescent="0.25">
      <c r="A14" s="124"/>
      <c r="B14" s="29" t="s">
        <v>63</v>
      </c>
      <c r="C14" s="29" t="s">
        <v>25</v>
      </c>
      <c r="D14" s="29" t="s">
        <v>25</v>
      </c>
      <c r="E14" s="29" t="s">
        <v>25</v>
      </c>
      <c r="F14" s="29" t="s">
        <v>25</v>
      </c>
      <c r="G14" s="28" t="s">
        <v>9</v>
      </c>
      <c r="H14" s="28" t="s">
        <v>89</v>
      </c>
      <c r="I14" s="28">
        <f>'MERCADO TUSD'!$U$11</f>
        <v>0</v>
      </c>
      <c r="J14" s="18"/>
      <c r="L14" s="27">
        <f>'TR TUSD'!$L$14*'TR TUSD'!$L$65</f>
        <v>0</v>
      </c>
      <c r="M14" s="27">
        <f>'TR TUSD'!$M$14*'TR TUSD'!$M$65</f>
        <v>8.0461753855508716E-2</v>
      </c>
      <c r="N14" s="27">
        <f ca="1">'TR TUSD'!$N$14*'TR TUSD'!$N$65</f>
        <v>0.18271931029298705</v>
      </c>
      <c r="O14" s="27">
        <f>'TR TUSD'!$O$14*'TR TUSD'!$O$65</f>
        <v>0</v>
      </c>
      <c r="P14" s="27">
        <f>'TR TUSD'!$P$14*'TR TUSD'!$P$65</f>
        <v>0</v>
      </c>
      <c r="Q14" s="27">
        <f>'TR TUSD'!$Q$14*'TR TUSD'!$Q$65</f>
        <v>0</v>
      </c>
      <c r="R14" s="27">
        <f>'TR TUSD'!$R$14*'TR TUSD'!$R$65</f>
        <v>0</v>
      </c>
      <c r="S14" s="27">
        <f>'TR TUSD'!$S$14*'TR TUSD'!$S$65</f>
        <v>0</v>
      </c>
      <c r="T14" s="27">
        <f ca="1">SUM($L$14:$S$14)</f>
        <v>0.26318106414849574</v>
      </c>
      <c r="U14" s="27">
        <f>'TR TUSD'!$U$14*'TR TUSD'!$U$65</f>
        <v>0</v>
      </c>
      <c r="V14" s="27">
        <f>'TR TUSD'!$V$14*'TR TUSD'!$V$65</f>
        <v>0</v>
      </c>
      <c r="W14" s="27">
        <f>'TR TUSD'!$W$14*'TR TUSD'!$W$65</f>
        <v>0</v>
      </c>
      <c r="X14" s="27">
        <f>'TR TUSD'!$X$14*'TR TUSD'!$X$65</f>
        <v>0</v>
      </c>
      <c r="Y14" s="27">
        <f>'TR TUSD'!$Y$14*'TR TUSD'!$Y$65</f>
        <v>0</v>
      </c>
      <c r="Z14" s="27">
        <f>'TR TUSD'!$Z$14*'TR TUSD'!$Z$65</f>
        <v>0</v>
      </c>
      <c r="AA14" s="27">
        <f>'TR TUSD'!$AA$14*'TR TUSD'!$AA$65</f>
        <v>0</v>
      </c>
      <c r="AB14" s="27">
        <f>SUM($U$14:$AA$14)</f>
        <v>0</v>
      </c>
      <c r="AC14" s="27">
        <f>'TR TUSD'!$AC$14*'TR TUSD'!$AC$65</f>
        <v>22.469842440664685</v>
      </c>
      <c r="AD14" s="27">
        <f>SUM($AC$14:$AC$14)</f>
        <v>22.469842440664685</v>
      </c>
      <c r="AE14" s="27">
        <v>0</v>
      </c>
      <c r="AF14" s="27">
        <v>0</v>
      </c>
      <c r="AG14" s="27">
        <f>SUM($AE$14:$AF$14)</f>
        <v>0</v>
      </c>
      <c r="AH14" s="27">
        <f>'TR TUSD'!$AH$14*'TR TUSD'!$AH$65</f>
        <v>0</v>
      </c>
      <c r="AI14" s="27">
        <f>'TR TUSD'!$AI$14*'TR TUSD'!$AI$65</f>
        <v>0</v>
      </c>
      <c r="AJ14" s="27">
        <f ca="1">'TR TUSD'!$AJ$14*'TR TUSD'!$AJ$65</f>
        <v>0</v>
      </c>
      <c r="AK14" s="27">
        <f ca="1">'TR TUSD'!$AK$14*'TR TUSD'!$AK$65</f>
        <v>0</v>
      </c>
      <c r="AL14" s="27">
        <f ca="1">SUM($AH$14:$AK$14)</f>
        <v>0</v>
      </c>
      <c r="AM14" s="27">
        <f ca="1">SUMIF($L$4:$AL$4,"SUBTOTAL",$L$14:$AL$14)</f>
        <v>22.733023504813183</v>
      </c>
      <c r="AP14" s="27"/>
    </row>
    <row r="15" spans="1:42" ht="11.25" customHeight="1" x14ac:dyDescent="0.25">
      <c r="A15" s="124"/>
      <c r="B15" s="124" t="s">
        <v>36</v>
      </c>
      <c r="C15" s="124" t="s">
        <v>25</v>
      </c>
      <c r="D15" s="124" t="s">
        <v>25</v>
      </c>
      <c r="E15" s="124" t="s">
        <v>25</v>
      </c>
      <c r="F15" s="124" t="s">
        <v>25</v>
      </c>
      <c r="G15" s="28" t="s">
        <v>9</v>
      </c>
      <c r="H15" s="28" t="s">
        <v>89</v>
      </c>
      <c r="I15" s="28">
        <f>'MERCADO TUSD'!$U$12</f>
        <v>6127957</v>
      </c>
      <c r="J15" s="18"/>
      <c r="L15" s="27">
        <f>'TR TUSD'!$L$15*'TR TUSD'!$L$65</f>
        <v>0</v>
      </c>
      <c r="M15" s="27">
        <f>'TR TUSD'!$M$15*'TR TUSD'!$M$65</f>
        <v>0</v>
      </c>
      <c r="N15" s="27">
        <f ca="1">'TR TUSD'!$N$15*'TR TUSD'!$N$65</f>
        <v>0</v>
      </c>
      <c r="O15" s="27">
        <f>'TR TUSD'!$O$15*'TR TUSD'!$O$65</f>
        <v>0</v>
      </c>
      <c r="P15" s="27">
        <f>'TR TUSD'!$P$15*'TR TUSD'!$P$65</f>
        <v>0</v>
      </c>
      <c r="Q15" s="27">
        <f>'TR TUSD'!$Q$15*'TR TUSD'!$Q$65</f>
        <v>0</v>
      </c>
      <c r="R15" s="27">
        <f>'TR TUSD'!$R$15*'TR TUSD'!$R$65</f>
        <v>0</v>
      </c>
      <c r="S15" s="27">
        <f>'TR TUSD'!$S$15*'TR TUSD'!$S$65</f>
        <v>0</v>
      </c>
      <c r="T15" s="27">
        <f ca="1">SUM($L$15:$S$15)</f>
        <v>0</v>
      </c>
      <c r="U15" s="27">
        <f>'TR TUSD'!$U$15*'TR TUSD'!$U$65</f>
        <v>4.8236997676703988</v>
      </c>
      <c r="V15" s="27">
        <f>'TR TUSD'!$V$15*'TR TUSD'!$V$65</f>
        <v>1.55149555341965E-2</v>
      </c>
      <c r="W15" s="27">
        <f>'TR TUSD'!$W$15*'TR TUSD'!$W$65</f>
        <v>8.120985652907687E-3</v>
      </c>
      <c r="X15" s="27">
        <f>'TR TUSD'!$X$15*'TR TUSD'!$X$65</f>
        <v>0</v>
      </c>
      <c r="Y15" s="27">
        <f>'TR TUSD'!$Y$15*'TR TUSD'!$Y$65</f>
        <v>3.984592768378134E-3</v>
      </c>
      <c r="Z15" s="27">
        <f>'TR TUSD'!$Z$15</f>
        <v>0</v>
      </c>
      <c r="AA15" s="27">
        <f>'TR TUSD'!$AA$15</f>
        <v>0</v>
      </c>
      <c r="AB15" s="27">
        <f>SUM($U$15:$AA$15)</f>
        <v>4.851320301625881</v>
      </c>
      <c r="AC15" s="27">
        <f>'TR TUSD'!$AC$15*'TR TUSD'!$AC$65</f>
        <v>26.253975859195023</v>
      </c>
      <c r="AD15" s="27">
        <f>SUM($AC$15:$AC$15)</f>
        <v>26.253975859195023</v>
      </c>
      <c r="AE15" s="27">
        <v>0</v>
      </c>
      <c r="AF15" s="27">
        <v>0</v>
      </c>
      <c r="AG15" s="27">
        <f>SUM($AE$15:$AF$15)</f>
        <v>0</v>
      </c>
      <c r="AH15" s="27">
        <f>'TR TUSD'!$AH$15*'TR TUSD'!$AH$65</f>
        <v>0</v>
      </c>
      <c r="AI15" s="27">
        <f>'TR TUSD'!$AI$15*'TR TUSD'!$AI$65</f>
        <v>0</v>
      </c>
      <c r="AJ15" s="27">
        <f ca="1">'TR TUSD'!$AJ$15*'TR TUSD'!$AJ$65</f>
        <v>0</v>
      </c>
      <c r="AK15" s="27">
        <f ca="1">'TR TUSD'!$AK$15*'TR TUSD'!$AK$65</f>
        <v>0</v>
      </c>
      <c r="AL15" s="27">
        <f ca="1">SUM($AH$15:$AK$15)</f>
        <v>0</v>
      </c>
      <c r="AM15" s="27">
        <f ca="1">SUMIF($L$4:$AL$4,"SUBTOTAL",$L$15:$AL$15)</f>
        <v>31.105296160820906</v>
      </c>
      <c r="AP15" s="27">
        <v>1</v>
      </c>
    </row>
    <row r="16" spans="1:42" ht="11.25" customHeight="1" x14ac:dyDescent="0.25">
      <c r="A16" s="124"/>
      <c r="B16" s="124"/>
      <c r="C16" s="124"/>
      <c r="D16" s="124"/>
      <c r="E16" s="124"/>
      <c r="F16" s="124"/>
      <c r="G16" s="28" t="s">
        <v>87</v>
      </c>
      <c r="H16" s="28" t="s">
        <v>86</v>
      </c>
      <c r="I16" s="28">
        <f>'MERCADO TUSD'!$U$13</f>
        <v>91326.053000000014</v>
      </c>
      <c r="J16" s="18"/>
      <c r="L16" s="27">
        <f>'TR TUSD'!$L$16*'TR TUSD'!$L$65</f>
        <v>12.26642276211944</v>
      </c>
      <c r="M16" s="27">
        <f>'TR TUSD'!$M$16*'TR TUSD'!$M$65</f>
        <v>0.78105194390640176</v>
      </c>
      <c r="N16" s="27">
        <f ca="1">'TR TUSD'!$N$16*'TR TUSD'!$N$65</f>
        <v>13.886916424992569</v>
      </c>
      <c r="O16" s="27">
        <f>'TR TUSD'!$O$16*'TR TUSD'!$O$65</f>
        <v>0</v>
      </c>
      <c r="P16" s="27">
        <f>'TR TUSD'!$P$16*'TR TUSD'!$P$65</f>
        <v>0</v>
      </c>
      <c r="Q16" s="27">
        <f>'TR TUSD'!$Q$16*'TR TUSD'!$Q$65</f>
        <v>20.548176106238952</v>
      </c>
      <c r="R16" s="27">
        <f>'TR TUSD'!$R$16*'TR TUSD'!$R$65</f>
        <v>9.5568731166785277</v>
      </c>
      <c r="S16" s="27">
        <f>'TR TUSD'!$S$16*'TR TUSD'!$S$65</f>
        <v>0</v>
      </c>
      <c r="T16" s="27">
        <f ca="1">SUM($L$16:$S$16)</f>
        <v>57.039440353935888</v>
      </c>
      <c r="U16" s="27">
        <f>'TR TUSD'!$U$16*'TR TUSD'!$U$65</f>
        <v>193.51313790469024</v>
      </c>
      <c r="V16" s="27">
        <f>'TR TUSD'!$V$16*'TR TUSD'!$V$65</f>
        <v>0.6000826733511172</v>
      </c>
      <c r="W16" s="27">
        <f>'TR TUSD'!$W$16*'TR TUSD'!$W$65</f>
        <v>0.43232032219304278</v>
      </c>
      <c r="X16" s="27">
        <f>'TR TUSD'!$X$16*'TR TUSD'!$X$65</f>
        <v>0</v>
      </c>
      <c r="Y16" s="27">
        <f>'TR TUSD'!$Y$16*'TR TUSD'!$Y$65</f>
        <v>0.60665424898557097</v>
      </c>
      <c r="Z16" s="27">
        <f>'TR TUSD'!$Z$16</f>
        <v>0</v>
      </c>
      <c r="AA16" s="27">
        <f>'TR TUSD'!$AA$16</f>
        <v>0</v>
      </c>
      <c r="AB16" s="27">
        <f>SUM($U$16:$AA$16)</f>
        <v>195.15219514921998</v>
      </c>
      <c r="AC16" s="27">
        <f>'TR TUSD'!$AC$16*'TR TUSD'!$AC$65</f>
        <v>1198.3417986196971</v>
      </c>
      <c r="AD16" s="27">
        <f>SUM($AC$16:$AC$16)</f>
        <v>1198.3417986196971</v>
      </c>
      <c r="AE16" s="27">
        <v>0</v>
      </c>
      <c r="AF16" s="27">
        <v>0</v>
      </c>
      <c r="AG16" s="27">
        <f>SUM($AE$16:$AF$16)</f>
        <v>0</v>
      </c>
      <c r="AH16" s="27">
        <f>'TR TUSD'!$AH$16*'TR TUSD'!$AH$65</f>
        <v>10.404782226418211</v>
      </c>
      <c r="AI16" s="27">
        <f>'TR TUSD'!$AI$16*'TR TUSD'!$AI$65</f>
        <v>0.74926614529618141</v>
      </c>
      <c r="AJ16" s="27">
        <f ca="1">'TR TUSD'!$AJ$16*'TR TUSD'!$AJ$65</f>
        <v>97.630689067854249</v>
      </c>
      <c r="AK16" s="27">
        <f ca="1">'TR TUSD'!$AK$16*'TR TUSD'!$AK$65</f>
        <v>11.008649149184874</v>
      </c>
      <c r="AL16" s="27">
        <f ca="1">SUM($AH$16:$AK$16)</f>
        <v>119.79338658875352</v>
      </c>
      <c r="AM16" s="27">
        <f ca="1">SUMIF($L$4:$AL$4,"SUBTOTAL",$L$16:$AL$16)</f>
        <v>1570.3268207116064</v>
      </c>
      <c r="AP16" s="27">
        <v>1</v>
      </c>
    </row>
    <row r="17" spans="1:42" ht="11.25" customHeight="1" x14ac:dyDescent="0.25">
      <c r="A17" s="124"/>
      <c r="B17" s="124"/>
      <c r="C17" s="124"/>
      <c r="D17" s="124"/>
      <c r="E17" s="124"/>
      <c r="F17" s="124"/>
      <c r="G17" s="28" t="s">
        <v>88</v>
      </c>
      <c r="H17" s="28" t="s">
        <v>86</v>
      </c>
      <c r="I17" s="28">
        <f>'MERCADO TUSD'!$U$14</f>
        <v>1142508.3459999999</v>
      </c>
      <c r="J17" s="18"/>
      <c r="L17" s="27">
        <f>'TR TUSD'!$L$17*'TR TUSD'!$L$65</f>
        <v>12.26642276211944</v>
      </c>
      <c r="M17" s="27">
        <f>'TR TUSD'!$M$17*'TR TUSD'!$M$65</f>
        <v>0.78105194390640176</v>
      </c>
      <c r="N17" s="27">
        <f ca="1">'TR TUSD'!$N$17*'TR TUSD'!$N$65</f>
        <v>2.0073481341414308</v>
      </c>
      <c r="O17" s="27">
        <f>'TR TUSD'!$O$17*'TR TUSD'!$O$65</f>
        <v>0</v>
      </c>
      <c r="P17" s="27">
        <f>'TR TUSD'!$P$17*'TR TUSD'!$P$65</f>
        <v>0</v>
      </c>
      <c r="Q17" s="27">
        <f>'TR TUSD'!$Q$17*'TR TUSD'!$Q$65</f>
        <v>20.548176106238952</v>
      </c>
      <c r="R17" s="27">
        <f>'TR TUSD'!$R$17*'TR TUSD'!$R$65</f>
        <v>9.5568731166785277</v>
      </c>
      <c r="S17" s="27">
        <f>'TR TUSD'!$S$17*'TR TUSD'!$S$65</f>
        <v>0</v>
      </c>
      <c r="T17" s="27">
        <f ca="1">SUM($L$17:$S$17)</f>
        <v>45.159872063084748</v>
      </c>
      <c r="U17" s="27">
        <f>'TR TUSD'!$U$17*'TR TUSD'!$U$65</f>
        <v>0</v>
      </c>
      <c r="V17" s="27">
        <f>'TR TUSD'!$V$17*'TR TUSD'!$V$65</f>
        <v>0</v>
      </c>
      <c r="W17" s="27">
        <f>'TR TUSD'!$W$17*'TR TUSD'!$W$65</f>
        <v>0</v>
      </c>
      <c r="X17" s="27">
        <f>'TR TUSD'!$X$17*'TR TUSD'!$X$65</f>
        <v>0</v>
      </c>
      <c r="Y17" s="27">
        <f>'TR TUSD'!$Y$17*'TR TUSD'!$Y$65</f>
        <v>0</v>
      </c>
      <c r="Z17" s="27">
        <f>'TR TUSD'!$Z$17</f>
        <v>0</v>
      </c>
      <c r="AA17" s="27">
        <f>'TR TUSD'!$AA$17</f>
        <v>0</v>
      </c>
      <c r="AB17" s="27">
        <f>SUM($U$17:$AA$17)</f>
        <v>0</v>
      </c>
      <c r="AC17" s="27">
        <f>'TR TUSD'!$AC$17*'TR TUSD'!$AC$65</f>
        <v>0</v>
      </c>
      <c r="AD17" s="27">
        <f>SUM($AC$17:$AC$17)</f>
        <v>0</v>
      </c>
      <c r="AE17" s="27">
        <v>0</v>
      </c>
      <c r="AF17" s="27">
        <v>0</v>
      </c>
      <c r="AG17" s="27">
        <f>SUM($AE$17:$AF$17)</f>
        <v>0</v>
      </c>
      <c r="AH17" s="27">
        <f>'TR TUSD'!$AH$17*'TR TUSD'!$AH$65</f>
        <v>10.404782226418211</v>
      </c>
      <c r="AI17" s="27">
        <f>'TR TUSD'!$AI$17*'TR TUSD'!$AI$65</f>
        <v>0.74926614529618141</v>
      </c>
      <c r="AJ17" s="27">
        <f ca="1">'TR TUSD'!$AJ$17*'TR TUSD'!$AJ$65</f>
        <v>97.630689067854249</v>
      </c>
      <c r="AK17" s="27">
        <f ca="1">'TR TUSD'!$AK$17*'TR TUSD'!$AK$65</f>
        <v>11.008649149184874</v>
      </c>
      <c r="AL17" s="27">
        <f ca="1">SUM($AH$17:$AK$17)</f>
        <v>119.79338658875352</v>
      </c>
      <c r="AM17" s="27">
        <f ca="1">SUMIF($L$4:$AL$4,"SUBTOTAL",$L$17:$AL$17)</f>
        <v>164.95325865183827</v>
      </c>
      <c r="AP17" s="27">
        <v>1</v>
      </c>
    </row>
    <row r="18" spans="1:42" ht="11.25" customHeight="1" x14ac:dyDescent="0.25">
      <c r="A18" s="124"/>
      <c r="B18" s="124"/>
      <c r="C18" s="124"/>
      <c r="D18" s="124"/>
      <c r="E18" s="124" t="s">
        <v>93</v>
      </c>
      <c r="F18" s="124" t="s">
        <v>25</v>
      </c>
      <c r="G18" s="28" t="s">
        <v>87</v>
      </c>
      <c r="H18" s="28" t="s">
        <v>86</v>
      </c>
      <c r="I18" s="28">
        <f>'MERCADO TUSD'!$U$15</f>
        <v>0</v>
      </c>
      <c r="J18" s="18"/>
      <c r="L18" s="27">
        <f>'TR TUSD'!$L$18*'TR TUSD'!$L$65</f>
        <v>0</v>
      </c>
      <c r="M18" s="27">
        <f>'TR TUSD'!$M$18*'TR TUSD'!$M$65</f>
        <v>0.78105194390640176</v>
      </c>
      <c r="N18" s="27">
        <f ca="1">'TR TUSD'!$N$18*'TR TUSD'!$N$65</f>
        <v>13.87770213803881</v>
      </c>
      <c r="O18" s="27">
        <f>'TR TUSD'!$O$18*'TR TUSD'!$O$65</f>
        <v>0</v>
      </c>
      <c r="P18" s="27">
        <f>'TR TUSD'!$P$18*'TR TUSD'!$P$65</f>
        <v>0</v>
      </c>
      <c r="Q18" s="27">
        <f>'TR TUSD'!$Q$18*'TR TUSD'!$Q$65</f>
        <v>0</v>
      </c>
      <c r="R18" s="27">
        <f>'TR TUSD'!$R$18*'TR TUSD'!$R$65</f>
        <v>0</v>
      </c>
      <c r="S18" s="27">
        <f>'TR TUSD'!$S$18*'TR TUSD'!$S$65</f>
        <v>0</v>
      </c>
      <c r="T18" s="27">
        <f ca="1">SUM($L$18:$S$18)</f>
        <v>14.658754081945212</v>
      </c>
      <c r="U18" s="27">
        <f>'TR TUSD'!$U$18*'TR TUSD'!$U$65</f>
        <v>193.51313790469024</v>
      </c>
      <c r="V18" s="27">
        <f>'TR TUSD'!$V$18*'TR TUSD'!$V$65</f>
        <v>0.6000826733511172</v>
      </c>
      <c r="W18" s="27">
        <f>'TR TUSD'!$W$18*'TR TUSD'!$W$65</f>
        <v>0.43232032219304278</v>
      </c>
      <c r="X18" s="27">
        <f>'TR TUSD'!$X$18*'TR TUSD'!$X$65</f>
        <v>0</v>
      </c>
      <c r="Y18" s="27">
        <f>'TR TUSD'!$Y$18*'TR TUSD'!$Y$65</f>
        <v>0.60665424898557097</v>
      </c>
      <c r="Z18" s="27">
        <f>'TR TUSD'!$Z$18</f>
        <v>0</v>
      </c>
      <c r="AA18" s="27">
        <f>'TR TUSD'!$AA$18</f>
        <v>0</v>
      </c>
      <c r="AB18" s="27">
        <f>SUM($U$18:$AA$18)</f>
        <v>195.15219514921998</v>
      </c>
      <c r="AC18" s="27">
        <f>'TR TUSD'!$AC$18*'TR TUSD'!$AC$65</f>
        <v>1198.3417986196971</v>
      </c>
      <c r="AD18" s="27">
        <f>SUM($AC$18:$AC$18)</f>
        <v>1198.3417986196971</v>
      </c>
      <c r="AE18" s="27">
        <v>0</v>
      </c>
      <c r="AF18" s="27">
        <v>0</v>
      </c>
      <c r="AG18" s="27">
        <f>SUM($AE$18:$AF$18)</f>
        <v>0</v>
      </c>
      <c r="AH18" s="27">
        <f>'TR TUSD'!$AH$18*'TR TUSD'!$AH$65</f>
        <v>10.404782226418211</v>
      </c>
      <c r="AI18" s="27">
        <f>'TR TUSD'!$AI$18*'TR TUSD'!$AI$65</f>
        <v>0.74926614529618141</v>
      </c>
      <c r="AJ18" s="27">
        <f ca="1">'TR TUSD'!$AJ$18*'TR TUSD'!$AJ$65</f>
        <v>97.630689067854249</v>
      </c>
      <c r="AK18" s="27">
        <f ca="1">'TR TUSD'!$AK$18*'TR TUSD'!$AK$65</f>
        <v>11.008649149184874</v>
      </c>
      <c r="AL18" s="27">
        <f ca="1">SUM($AH$18:$AK$18)</f>
        <v>119.79338658875352</v>
      </c>
      <c r="AM18" s="27">
        <f ca="1">SUMIF($L$4:$AL$4,"SUBTOTAL",$L$18:$AL$18)</f>
        <v>1527.9461344396159</v>
      </c>
      <c r="AP18" s="27">
        <v>1</v>
      </c>
    </row>
    <row r="19" spans="1:42" ht="11.25" customHeight="1" x14ac:dyDescent="0.25">
      <c r="A19" s="124"/>
      <c r="B19" s="124"/>
      <c r="C19" s="124"/>
      <c r="D19" s="124"/>
      <c r="E19" s="124"/>
      <c r="F19" s="124"/>
      <c r="G19" s="28" t="s">
        <v>88</v>
      </c>
      <c r="H19" s="28" t="s">
        <v>86</v>
      </c>
      <c r="I19" s="28">
        <f>'MERCADO TUSD'!$U$16</f>
        <v>0</v>
      </c>
      <c r="J19" s="18"/>
      <c r="L19" s="27">
        <f>'TR TUSD'!$L$19*'TR TUSD'!$L$65</f>
        <v>0</v>
      </c>
      <c r="M19" s="27">
        <f>'TR TUSD'!$M$19*'TR TUSD'!$M$65</f>
        <v>0.78105194390640176</v>
      </c>
      <c r="N19" s="27">
        <f ca="1">'TR TUSD'!$N$19*'TR TUSD'!$N$65</f>
        <v>1.9981338471876742</v>
      </c>
      <c r="O19" s="27">
        <f>'TR TUSD'!$O$19*'TR TUSD'!$O$65</f>
        <v>0</v>
      </c>
      <c r="P19" s="27">
        <f>'TR TUSD'!$P$19*'TR TUSD'!$P$65</f>
        <v>0</v>
      </c>
      <c r="Q19" s="27">
        <f>'TR TUSD'!$Q$19*'TR TUSD'!$Q$65</f>
        <v>0</v>
      </c>
      <c r="R19" s="27">
        <f>'TR TUSD'!$R$19*'TR TUSD'!$R$65</f>
        <v>0</v>
      </c>
      <c r="S19" s="27">
        <f>'TR TUSD'!$S$19*'TR TUSD'!$S$65</f>
        <v>0</v>
      </c>
      <c r="T19" s="27">
        <f ca="1">SUM($L$19:$S$19)</f>
        <v>2.779185791094076</v>
      </c>
      <c r="U19" s="27">
        <f>'TR TUSD'!$U$19*'TR TUSD'!$U$65</f>
        <v>0</v>
      </c>
      <c r="V19" s="27">
        <f>'TR TUSD'!$V$19*'TR TUSD'!$V$65</f>
        <v>0</v>
      </c>
      <c r="W19" s="27">
        <f>'TR TUSD'!$W$19*'TR TUSD'!$W$65</f>
        <v>0</v>
      </c>
      <c r="X19" s="27">
        <f>'TR TUSD'!$X$19*'TR TUSD'!$X$65</f>
        <v>0</v>
      </c>
      <c r="Y19" s="27">
        <f>'TR TUSD'!$Y$19*'TR TUSD'!$Y$65</f>
        <v>0</v>
      </c>
      <c r="Z19" s="27">
        <f>'TR TUSD'!$Z$19</f>
        <v>0</v>
      </c>
      <c r="AA19" s="27">
        <f>'TR TUSD'!$AA$19</f>
        <v>0</v>
      </c>
      <c r="AB19" s="27">
        <f>SUM($U$19:$AA$19)</f>
        <v>0</v>
      </c>
      <c r="AC19" s="27">
        <f>'TR TUSD'!$AC$19*'TR TUSD'!$AC$65</f>
        <v>0</v>
      </c>
      <c r="AD19" s="27">
        <f>SUM($AC$19:$AC$19)</f>
        <v>0</v>
      </c>
      <c r="AE19" s="27">
        <v>0</v>
      </c>
      <c r="AF19" s="27">
        <v>0</v>
      </c>
      <c r="AG19" s="27">
        <f>SUM($AE$19:$AF$19)</f>
        <v>0</v>
      </c>
      <c r="AH19" s="27">
        <f>'TR TUSD'!$AH$19*'TR TUSD'!$AH$65</f>
        <v>10.404782226418211</v>
      </c>
      <c r="AI19" s="27">
        <f>'TR TUSD'!$AI$19*'TR TUSD'!$AI$65</f>
        <v>0.74926614529618141</v>
      </c>
      <c r="AJ19" s="27">
        <f ca="1">'TR TUSD'!$AJ$19*'TR TUSD'!$AJ$65</f>
        <v>97.630689067854249</v>
      </c>
      <c r="AK19" s="27">
        <f ca="1">'TR TUSD'!$AK$19*'TR TUSD'!$AK$65</f>
        <v>11.008649149184874</v>
      </c>
      <c r="AL19" s="27">
        <f ca="1">SUM($AH$19:$AK$19)</f>
        <v>119.79338658875352</v>
      </c>
      <c r="AM19" s="27">
        <f ca="1">SUMIF($L$4:$AL$4,"SUBTOTAL",$L$19:$AL$19)</f>
        <v>122.5725723798476</v>
      </c>
      <c r="AP19" s="27">
        <v>1</v>
      </c>
    </row>
    <row r="20" spans="1:42" ht="11.25" customHeight="1" x14ac:dyDescent="0.25">
      <c r="A20" s="124" t="s">
        <v>95</v>
      </c>
      <c r="B20" s="124" t="s">
        <v>63</v>
      </c>
      <c r="C20" s="124" t="s">
        <v>25</v>
      </c>
      <c r="D20" s="124" t="s">
        <v>25</v>
      </c>
      <c r="E20" s="29" t="s">
        <v>96</v>
      </c>
      <c r="F20" s="29" t="s">
        <v>25</v>
      </c>
      <c r="G20" s="28" t="s">
        <v>9</v>
      </c>
      <c r="H20" s="28" t="s">
        <v>89</v>
      </c>
      <c r="I20" s="28">
        <f>'MERCADO TUSD'!$U$17+0.00000001</f>
        <v>1E-8</v>
      </c>
      <c r="J20" s="18"/>
      <c r="L20" s="27">
        <f>'TR TUSD'!$L$20*'TR TUSD'!$L$65</f>
        <v>0</v>
      </c>
      <c r="M20" s="27">
        <f>'TR TUSD'!$M$20*'TR TUSD'!$M$65</f>
        <v>8.3517263495591337E-3</v>
      </c>
      <c r="N20" s="27">
        <f ca="1">'TR TUSD'!$N$20*'TR TUSD'!$N$65</f>
        <v>1.8981431124737935E-2</v>
      </c>
      <c r="O20" s="27">
        <f>'TR TUSD'!$O$20*'TR TUSD'!$O$65</f>
        <v>0</v>
      </c>
      <c r="P20" s="27">
        <f>'TR TUSD'!$P$20*'TR TUSD'!$P$65</f>
        <v>0</v>
      </c>
      <c r="Q20" s="27">
        <f>'TR TUSD'!$Q$20*'TR TUSD'!$Q$65</f>
        <v>0</v>
      </c>
      <c r="R20" s="27">
        <f>'TR TUSD'!$R$20*'TR TUSD'!$R$65</f>
        <v>0</v>
      </c>
      <c r="S20" s="27">
        <f>'TR TUSD'!$S$20*'TR TUSD'!$S$65</f>
        <v>0</v>
      </c>
      <c r="T20" s="27">
        <f ca="1">SUM($L$20:$S$20)</f>
        <v>2.7333157474297071E-2</v>
      </c>
      <c r="U20" s="27">
        <f>'TR TUSD'!$U$20*'TR TUSD'!$U$65</f>
        <v>0</v>
      </c>
      <c r="V20" s="27">
        <f>'TR TUSD'!$V$20*'TR TUSD'!$V$65</f>
        <v>0</v>
      </c>
      <c r="W20" s="27">
        <f>'TR TUSD'!$W$20*'TR TUSD'!$W$65</f>
        <v>0</v>
      </c>
      <c r="X20" s="27">
        <f>'TR TUSD'!$X$20*'TR TUSD'!$X$65</f>
        <v>0</v>
      </c>
      <c r="Y20" s="27">
        <f>'TR TUSD'!$Y$20*'TR TUSD'!$Y$65</f>
        <v>0</v>
      </c>
      <c r="Z20" s="27">
        <f>'TR TUSD'!$Z$20*'TR TUSD'!$Z$65</f>
        <v>0</v>
      </c>
      <c r="AA20" s="27">
        <f>'TR TUSD'!$AA$20*'TR TUSD'!$AA$65</f>
        <v>0</v>
      </c>
      <c r="AB20" s="27">
        <f>SUM($U$20:$AA$20)</f>
        <v>0</v>
      </c>
      <c r="AC20" s="27">
        <f>'TR TUSD'!$AC$20*'TR TUSD'!$AC$65</f>
        <v>2.3387714961179573</v>
      </c>
      <c r="AD20" s="27">
        <f>SUM($AC$20:$AC$20)</f>
        <v>2.3387714961179573</v>
      </c>
      <c r="AE20" s="27">
        <v>0</v>
      </c>
      <c r="AF20" s="27">
        <v>0</v>
      </c>
      <c r="AG20" s="27">
        <f>SUM($AE$20:$AF$20)</f>
        <v>0</v>
      </c>
      <c r="AH20" s="27">
        <f>'TR TUSD'!$AH$20*'TR TUSD'!$AH$65</f>
        <v>0</v>
      </c>
      <c r="AI20" s="27">
        <f>'TR TUSD'!$AI$20*'TR TUSD'!$AI$65</f>
        <v>0</v>
      </c>
      <c r="AJ20" s="27">
        <f ca="1">'TR TUSD'!$AJ$20*'TR TUSD'!$AJ$65</f>
        <v>0</v>
      </c>
      <c r="AK20" s="27">
        <f ca="1">'TR TUSD'!$AK$20*'TR TUSD'!$AK$65</f>
        <v>0</v>
      </c>
      <c r="AL20" s="27">
        <f ca="1">SUM($AH$20:$AK$20)</f>
        <v>0</v>
      </c>
      <c r="AM20" s="27">
        <f ca="1">SUMIF($L$4:$AL$4,"SUBTOTAL",$L$20:$AL$20)</f>
        <v>2.3661046535922545</v>
      </c>
      <c r="AP20" s="27"/>
    </row>
    <row r="21" spans="1:42" ht="11.25" customHeight="1" x14ac:dyDescent="0.25">
      <c r="A21" s="124"/>
      <c r="B21" s="124"/>
      <c r="C21" s="124"/>
      <c r="D21" s="124"/>
      <c r="E21" s="29" t="s">
        <v>97</v>
      </c>
      <c r="F21" s="29" t="s">
        <v>25</v>
      </c>
      <c r="G21" s="28" t="s">
        <v>9</v>
      </c>
      <c r="H21" s="28" t="s">
        <v>89</v>
      </c>
      <c r="I21" s="28">
        <f>'MERCADO TUSD'!$U$18+0.00000001</f>
        <v>1E-8</v>
      </c>
      <c r="J21" s="18"/>
      <c r="L21" s="27">
        <f>'TR TUSD'!$L$21*'TR TUSD'!$L$65</f>
        <v>0</v>
      </c>
      <c r="M21" s="27">
        <f>'TR TUSD'!$M$21*'TR TUSD'!$M$65</f>
        <v>8.3517263495591337E-3</v>
      </c>
      <c r="N21" s="27">
        <f ca="1">'TR TUSD'!$N$21*'TR TUSD'!$N$65</f>
        <v>1.8981431124737935E-2</v>
      </c>
      <c r="O21" s="27">
        <f>'TR TUSD'!$O$21*'TR TUSD'!$O$65</f>
        <v>0</v>
      </c>
      <c r="P21" s="27">
        <f>'TR TUSD'!$P$21*'TR TUSD'!$P$65</f>
        <v>0</v>
      </c>
      <c r="Q21" s="27">
        <f>'TR TUSD'!$Q$21*'TR TUSD'!$Q$65</f>
        <v>0</v>
      </c>
      <c r="R21" s="27">
        <f>'TR TUSD'!$R$21*'TR TUSD'!$R$65</f>
        <v>0</v>
      </c>
      <c r="S21" s="27">
        <f>'TR TUSD'!$S$21*'TR TUSD'!$S$65</f>
        <v>0</v>
      </c>
      <c r="T21" s="27">
        <f ca="1">SUM($L$21:$S$21)</f>
        <v>2.7333157474297071E-2</v>
      </c>
      <c r="U21" s="27">
        <f>'TR TUSD'!$U$21*'TR TUSD'!$U$65</f>
        <v>0</v>
      </c>
      <c r="V21" s="27">
        <f>'TR TUSD'!$V$21*'TR TUSD'!$V$65</f>
        <v>0</v>
      </c>
      <c r="W21" s="27">
        <f>'TR TUSD'!$W$21*'TR TUSD'!$W$65</f>
        <v>0</v>
      </c>
      <c r="X21" s="27">
        <f>'TR TUSD'!$X$21*'TR TUSD'!$X$65</f>
        <v>0</v>
      </c>
      <c r="Y21" s="27">
        <f>'TR TUSD'!$Y$21*'TR TUSD'!$Y$65</f>
        <v>0</v>
      </c>
      <c r="Z21" s="27">
        <f>'TR TUSD'!$Z$21*'TR TUSD'!$Z$65</f>
        <v>0</v>
      </c>
      <c r="AA21" s="27">
        <f>'TR TUSD'!$AA$21*'TR TUSD'!$AA$65</f>
        <v>0</v>
      </c>
      <c r="AB21" s="27">
        <f>SUM($U$21:$AA$21)</f>
        <v>0</v>
      </c>
      <c r="AC21" s="27">
        <f>'TR TUSD'!$AC$21*'TR TUSD'!$AC$65</f>
        <v>19.492076017657968</v>
      </c>
      <c r="AD21" s="27">
        <f>SUM($AC$21:$AC$21)</f>
        <v>19.492076017657968</v>
      </c>
      <c r="AE21" s="27">
        <v>0</v>
      </c>
      <c r="AF21" s="27">
        <v>0</v>
      </c>
      <c r="AG21" s="27">
        <f>SUM($AE$21:$AF$21)</f>
        <v>0</v>
      </c>
      <c r="AH21" s="27">
        <f>'TR TUSD'!$AH$21*'TR TUSD'!$AH$65</f>
        <v>0</v>
      </c>
      <c r="AI21" s="27">
        <f>'TR TUSD'!$AI$21*'TR TUSD'!$AI$65</f>
        <v>0</v>
      </c>
      <c r="AJ21" s="27">
        <f ca="1">'TR TUSD'!$AJ$21*'TR TUSD'!$AJ$65</f>
        <v>0</v>
      </c>
      <c r="AK21" s="27">
        <f ca="1">'TR TUSD'!$AK$21*'TR TUSD'!$AK$65</f>
        <v>0</v>
      </c>
      <c r="AL21" s="27">
        <f ca="1">SUM($AH$21:$AK$21)</f>
        <v>0</v>
      </c>
      <c r="AM21" s="27">
        <f ca="1">SUMIF($L$4:$AL$4,"SUBTOTAL",$L$21:$AL$21)</f>
        <v>19.519409175132264</v>
      </c>
      <c r="AP21" s="27"/>
    </row>
    <row r="22" spans="1:42" ht="11.25" customHeight="1" x14ac:dyDescent="0.25">
      <c r="A22" s="124" t="s">
        <v>22</v>
      </c>
      <c r="B22" s="124" t="s">
        <v>39</v>
      </c>
      <c r="C22" s="124" t="s">
        <v>24</v>
      </c>
      <c r="D22" s="124" t="s">
        <v>24</v>
      </c>
      <c r="E22" s="124" t="s">
        <v>25</v>
      </c>
      <c r="F22" s="124" t="s">
        <v>25</v>
      </c>
      <c r="G22" s="28" t="s">
        <v>87</v>
      </c>
      <c r="H22" s="28" t="s">
        <v>86</v>
      </c>
      <c r="I22" s="28">
        <f>'MERCADO TUSD'!$U$19</f>
        <v>31.722000000000001</v>
      </c>
      <c r="J22" s="18"/>
      <c r="L22" s="27">
        <f>'TR TUSD'!$L$22*'TR TUSD'!$L$65</f>
        <v>14.099336508183265</v>
      </c>
      <c r="M22" s="27">
        <f>'TR TUSD'!$M$22*'TR TUSD'!$M$65</f>
        <v>0.85841172360748186</v>
      </c>
      <c r="N22" s="27">
        <f ca="1">'TR TUSD'!$N$22*'TR TUSD'!$N$65</f>
        <v>10.080810566663494</v>
      </c>
      <c r="O22" s="27">
        <f>'TR TUSD'!$O$22*'TR TUSD'!$O$65</f>
        <v>0</v>
      </c>
      <c r="P22" s="27">
        <f>'TR TUSD'!$P$22*'TR TUSD'!$P$65</f>
        <v>0</v>
      </c>
      <c r="Q22" s="27">
        <f>'TR TUSD'!$Q$22*'TR TUSD'!$Q$65</f>
        <v>23.618593225562012</v>
      </c>
      <c r="R22" s="27">
        <f>'TR TUSD'!$R$22*'TR TUSD'!$R$65</f>
        <v>9.5568731166785277</v>
      </c>
      <c r="S22" s="27">
        <f>'TR TUSD'!$S$22*'TR TUSD'!$S$65</f>
        <v>0</v>
      </c>
      <c r="T22" s="27">
        <f ca="1">SUM($L$22:$S$22)</f>
        <v>58.214025140694787</v>
      </c>
      <c r="U22" s="27">
        <f>'TR TUSD'!$U$22*'TR TUSD'!$U$65</f>
        <v>111.47297940168636</v>
      </c>
      <c r="V22" s="27">
        <f>'TR TUSD'!$V$22*'TR TUSD'!$V$65</f>
        <v>0.34050523587653314</v>
      </c>
      <c r="W22" s="27">
        <f>'TR TUSD'!$W$22*'TR TUSD'!$W$65</f>
        <v>0.25919673119695907</v>
      </c>
      <c r="X22" s="27">
        <f>'TR TUSD'!$X$22*'TR TUSD'!$X$65</f>
        <v>0</v>
      </c>
      <c r="Y22" s="27">
        <f>'TR TUSD'!$Y$22*'TR TUSD'!$Y$65</f>
        <v>0.26287826500852585</v>
      </c>
      <c r="Z22" s="27">
        <f>'TR TUSD'!$Z$22</f>
        <v>0</v>
      </c>
      <c r="AA22" s="27">
        <f>'TR TUSD'!$AA$22</f>
        <v>0</v>
      </c>
      <c r="AB22" s="27">
        <f>SUM($U$22:$AA$22)</f>
        <v>112.33555963376838</v>
      </c>
      <c r="AC22" s="27">
        <f>'TR TUSD'!$AC$22*'TR TUSD'!$AC$65</f>
        <v>715.3791698176276</v>
      </c>
      <c r="AD22" s="27">
        <f>SUM($AC$22:$AC$22)</f>
        <v>715.3791698176276</v>
      </c>
      <c r="AE22" s="27">
        <v>0</v>
      </c>
      <c r="AF22" s="27">
        <v>0</v>
      </c>
      <c r="AG22" s="27">
        <f>SUM($AE$22:$AF$22)</f>
        <v>0</v>
      </c>
      <c r="AH22" s="27">
        <f>'TR TUSD'!$AH$22*'TR TUSD'!$AH$65</f>
        <v>46.047196748082719</v>
      </c>
      <c r="AI22" s="27">
        <f>'TR TUSD'!$AI$22*'TR TUSD'!$AI$65</f>
        <v>3.315937312126501</v>
      </c>
      <c r="AJ22" s="27">
        <f ca="1">'TR TUSD'!$AJ$22*'TR TUSD'!$AJ$65</f>
        <v>113.89617838088712</v>
      </c>
      <c r="AK22" s="27">
        <f ca="1">'TR TUSD'!$AK$22*'TR TUSD'!$AK$65</f>
        <v>12.842714511179256</v>
      </c>
      <c r="AL22" s="27">
        <f ca="1">SUM($AH$22:$AK$22)</f>
        <v>176.10202695227559</v>
      </c>
      <c r="AM22" s="27">
        <f ca="1">SUMIF($L$4:$AL$4,"SUBTOTAL",$L$22:$AL$22)</f>
        <v>1062.0307815443664</v>
      </c>
      <c r="AP22" s="27">
        <v>1</v>
      </c>
    </row>
    <row r="23" spans="1:42" ht="11.25" customHeight="1" x14ac:dyDescent="0.25">
      <c r="A23" s="124"/>
      <c r="B23" s="124"/>
      <c r="C23" s="124"/>
      <c r="D23" s="124"/>
      <c r="E23" s="124"/>
      <c r="F23" s="124"/>
      <c r="G23" s="28" t="s">
        <v>98</v>
      </c>
      <c r="H23" s="28" t="s">
        <v>86</v>
      </c>
      <c r="I23" s="28">
        <f>'MERCADO TUSD'!$U$20</f>
        <v>31.11</v>
      </c>
      <c r="J23" s="18"/>
      <c r="L23" s="27">
        <f>'TR TUSD'!$L$23*'TR TUSD'!$L$65</f>
        <v>14.099336508183265</v>
      </c>
      <c r="M23" s="27">
        <f>'TR TUSD'!$M$23*'TR TUSD'!$M$65</f>
        <v>0.85841172360748186</v>
      </c>
      <c r="N23" s="27">
        <f ca="1">'TR TUSD'!$N$23*'TR TUSD'!$N$65</f>
        <v>7.2640546449071399</v>
      </c>
      <c r="O23" s="27">
        <f>'TR TUSD'!$O$23*'TR TUSD'!$O$65</f>
        <v>0</v>
      </c>
      <c r="P23" s="27">
        <f>'TR TUSD'!$P$23*'TR TUSD'!$P$65</f>
        <v>0</v>
      </c>
      <c r="Q23" s="27">
        <f>'TR TUSD'!$Q$23*'TR TUSD'!$Q$65</f>
        <v>23.618593225562012</v>
      </c>
      <c r="R23" s="27">
        <f>'TR TUSD'!$R$23*'TR TUSD'!$R$65</f>
        <v>9.5568731166785277</v>
      </c>
      <c r="S23" s="27">
        <f>'TR TUSD'!$S$23*'TR TUSD'!$S$65</f>
        <v>0</v>
      </c>
      <c r="T23" s="27">
        <f ca="1">SUM($L$23:$S$23)</f>
        <v>55.397269218938433</v>
      </c>
      <c r="U23" s="27">
        <f>'TR TUSD'!$U$23*'TR TUSD'!$U$65</f>
        <v>66.8837500021708</v>
      </c>
      <c r="V23" s="27">
        <f>'TR TUSD'!$V$23*'TR TUSD'!$V$65</f>
        <v>0.20430275567773451</v>
      </c>
      <c r="W23" s="27">
        <f>'TR TUSD'!$W$23*'TR TUSD'!$W$65</f>
        <v>0.15550873099822946</v>
      </c>
      <c r="X23" s="27">
        <f>'TR TUSD'!$X$23*'TR TUSD'!$X$65</f>
        <v>0</v>
      </c>
      <c r="Y23" s="27">
        <f>'TR TUSD'!$Y$23*'TR TUSD'!$Y$65</f>
        <v>0.15770598746422931</v>
      </c>
      <c r="Z23" s="27">
        <f>'TR TUSD'!$Z$23</f>
        <v>0</v>
      </c>
      <c r="AA23" s="27">
        <f>'TR TUSD'!$AA$23</f>
        <v>0</v>
      </c>
      <c r="AB23" s="27">
        <f>SUM($U$23:$AA$23)</f>
        <v>67.401267476310991</v>
      </c>
      <c r="AC23" s="27">
        <f>'TR TUSD'!$AC$23*'TR TUSD'!$AC$65</f>
        <v>429.22743362188777</v>
      </c>
      <c r="AD23" s="27">
        <f>SUM($AC$23:$AC$23)</f>
        <v>429.22743362188777</v>
      </c>
      <c r="AE23" s="27">
        <v>0</v>
      </c>
      <c r="AF23" s="27">
        <v>0</v>
      </c>
      <c r="AG23" s="27">
        <f>SUM($AE$23:$AF$23)</f>
        <v>0</v>
      </c>
      <c r="AH23" s="27">
        <f>'TR TUSD'!$AH$23*'TR TUSD'!$AH$65</f>
        <v>46.047196748082719</v>
      </c>
      <c r="AI23" s="27">
        <f>'TR TUSD'!$AI$23*'TR TUSD'!$AI$65</f>
        <v>3.315937312126501</v>
      </c>
      <c r="AJ23" s="27">
        <f ca="1">'TR TUSD'!$AJ$23*'TR TUSD'!$AJ$65</f>
        <v>113.89617838088712</v>
      </c>
      <c r="AK23" s="27">
        <f ca="1">'TR TUSD'!$AK$23*'TR TUSD'!$AK$65</f>
        <v>12.842714511179256</v>
      </c>
      <c r="AL23" s="27">
        <f ca="1">SUM($AH$23:$AK$23)</f>
        <v>176.10202695227559</v>
      </c>
      <c r="AM23" s="27">
        <f ca="1">SUMIF($L$4:$AL$4,"SUBTOTAL",$L$23:$AL$23)</f>
        <v>728.12799726941284</v>
      </c>
      <c r="AP23" s="27">
        <v>1</v>
      </c>
    </row>
    <row r="24" spans="1:42" ht="11.25" customHeight="1" x14ac:dyDescent="0.25">
      <c r="A24" s="124"/>
      <c r="B24" s="124"/>
      <c r="C24" s="124"/>
      <c r="D24" s="124"/>
      <c r="E24" s="124"/>
      <c r="F24" s="124"/>
      <c r="G24" s="28" t="s">
        <v>88</v>
      </c>
      <c r="H24" s="28" t="s">
        <v>86</v>
      </c>
      <c r="I24" s="28">
        <f>'MERCADO TUSD'!$U$21</f>
        <v>472.03</v>
      </c>
      <c r="J24" s="18"/>
      <c r="L24" s="27">
        <f>'TR TUSD'!$L$24*'TR TUSD'!$L$65</f>
        <v>14.099336508183265</v>
      </c>
      <c r="M24" s="27">
        <f>'TR TUSD'!$M$24*'TR TUSD'!$M$65</f>
        <v>0.85841172360748186</v>
      </c>
      <c r="N24" s="27">
        <f ca="1">'TR TUSD'!$N$24*'TR TUSD'!$N$65</f>
        <v>4.4473005660081766</v>
      </c>
      <c r="O24" s="27">
        <f>'TR TUSD'!$O$24*'TR TUSD'!$O$65</f>
        <v>0</v>
      </c>
      <c r="P24" s="27">
        <f>'TR TUSD'!$P$24*'TR TUSD'!$P$65</f>
        <v>0</v>
      </c>
      <c r="Q24" s="27">
        <f>'TR TUSD'!$Q$24*'TR TUSD'!$Q$65</f>
        <v>23.618593225562012</v>
      </c>
      <c r="R24" s="27">
        <f>'TR TUSD'!$R$24*'TR TUSD'!$R$65</f>
        <v>9.5568731166785277</v>
      </c>
      <c r="S24" s="27">
        <f>'TR TUSD'!$S$24*'TR TUSD'!$S$65</f>
        <v>0</v>
      </c>
      <c r="T24" s="27">
        <f ca="1">SUM($L$24:$S$24)</f>
        <v>52.580515140039466</v>
      </c>
      <c r="U24" s="27">
        <f>'TR TUSD'!$U$24*'TR TUSD'!$U$65</f>
        <v>22.29461469975778</v>
      </c>
      <c r="V24" s="27">
        <f>'TR TUSD'!$V$24*'TR TUSD'!$V$65</f>
        <v>6.8100275478935865E-2</v>
      </c>
      <c r="W24" s="27">
        <f>'TR TUSD'!$W$24*'TR TUSD'!$W$65</f>
        <v>5.1844000099364837E-2</v>
      </c>
      <c r="X24" s="27">
        <f>'TR TUSD'!$X$24*'TR TUSD'!$X$65</f>
        <v>0</v>
      </c>
      <c r="Y24" s="27">
        <f>'TR TUSD'!$Y$24*'TR TUSD'!$Y$65</f>
        <v>5.2586138772148266E-2</v>
      </c>
      <c r="Z24" s="27">
        <f>'TR TUSD'!$Z$24</f>
        <v>0</v>
      </c>
      <c r="AA24" s="27">
        <f>'TR TUSD'!$AA$24</f>
        <v>0</v>
      </c>
      <c r="AB24" s="27">
        <f>SUM($U$24:$AA$24)</f>
        <v>22.467145114108231</v>
      </c>
      <c r="AC24" s="27">
        <f>'TR TUSD'!$AC$24*'TR TUSD'!$AC$65</f>
        <v>143.07581120729591</v>
      </c>
      <c r="AD24" s="27">
        <f>SUM($AC$24:$AC$24)</f>
        <v>143.07581120729591</v>
      </c>
      <c r="AE24" s="27">
        <v>0</v>
      </c>
      <c r="AF24" s="27">
        <v>0</v>
      </c>
      <c r="AG24" s="27">
        <f>SUM($AE$24:$AF$24)</f>
        <v>0</v>
      </c>
      <c r="AH24" s="27">
        <f>'TR TUSD'!$AH$24*'TR TUSD'!$AH$65</f>
        <v>46.047196748082719</v>
      </c>
      <c r="AI24" s="27">
        <f>'TR TUSD'!$AI$24*'TR TUSD'!$AI$65</f>
        <v>3.315937312126501</v>
      </c>
      <c r="AJ24" s="27">
        <f ca="1">'TR TUSD'!$AJ$24*'TR TUSD'!$AJ$65</f>
        <v>113.89617838088712</v>
      </c>
      <c r="AK24" s="27">
        <f ca="1">'TR TUSD'!$AK$24*'TR TUSD'!$AK$65</f>
        <v>12.842714511179256</v>
      </c>
      <c r="AL24" s="27">
        <f ca="1">SUM($AH$24:$AK$24)</f>
        <v>176.10202695227559</v>
      </c>
      <c r="AM24" s="27">
        <f ca="1">SUMIF($L$4:$AL$4,"SUBTOTAL",$L$24:$AL$24)</f>
        <v>394.22549841371921</v>
      </c>
      <c r="AP24" s="27">
        <v>1</v>
      </c>
    </row>
    <row r="25" spans="1:42" ht="11.25" customHeight="1" x14ac:dyDescent="0.25">
      <c r="A25" s="124"/>
      <c r="B25" s="124" t="s">
        <v>23</v>
      </c>
      <c r="C25" s="124" t="s">
        <v>24</v>
      </c>
      <c r="D25" s="29" t="s">
        <v>24</v>
      </c>
      <c r="E25" s="29" t="s">
        <v>25</v>
      </c>
      <c r="F25" s="29" t="s">
        <v>25</v>
      </c>
      <c r="G25" s="28" t="s">
        <v>92</v>
      </c>
      <c r="H25" s="28" t="s">
        <v>86</v>
      </c>
      <c r="I25" s="28">
        <f>'MERCADO TUSD'!$U$22</f>
        <v>1747135.3810000001</v>
      </c>
      <c r="J25" s="18"/>
      <c r="L25" s="27">
        <f>'TR TUSD'!$L$25*'TR TUSD'!$L$65</f>
        <v>14.099336508183265</v>
      </c>
      <c r="M25" s="27">
        <f>'TR TUSD'!$M$25*'TR TUSD'!$M$65</f>
        <v>0.85841172360748186</v>
      </c>
      <c r="N25" s="27">
        <f ca="1">'TR TUSD'!$N$25*'TR TUSD'!$N$65</f>
        <v>5.3104995749795414</v>
      </c>
      <c r="O25" s="27">
        <f>'TR TUSD'!$O$25*'TR TUSD'!$O$65</f>
        <v>0</v>
      </c>
      <c r="P25" s="27">
        <f>'TR TUSD'!$P$25*'TR TUSD'!$P$65</f>
        <v>0</v>
      </c>
      <c r="Q25" s="27">
        <f>'TR TUSD'!$Q$25*'TR TUSD'!$Q$65</f>
        <v>23.618593225562012</v>
      </c>
      <c r="R25" s="27">
        <f>'TR TUSD'!$R$25*'TR TUSD'!$R$65</f>
        <v>9.5568731166785277</v>
      </c>
      <c r="S25" s="27">
        <f>'TR TUSD'!$S$25*'TR TUSD'!$S$65</f>
        <v>0</v>
      </c>
      <c r="T25" s="27">
        <f ca="1">SUM($L$25:$S$25)</f>
        <v>53.44371414901083</v>
      </c>
      <c r="U25" s="27">
        <f>'TR TUSD'!$U$25*'TR TUSD'!$U$65</f>
        <v>35.959019542666397</v>
      </c>
      <c r="V25" s="27">
        <f>'TR TUSD'!$V$25*'TR TUSD'!$V$65</f>
        <v>0.10983940293259681</v>
      </c>
      <c r="W25" s="27">
        <f>'TR TUSD'!$W$25*'TR TUSD'!$W$65</f>
        <v>8.3606594415178578E-2</v>
      </c>
      <c r="X25" s="27">
        <f>'TR TUSD'!$X$25*'TR TUSD'!$X$65</f>
        <v>0</v>
      </c>
      <c r="Y25" s="27">
        <f>'TR TUSD'!$Y$25*'TR TUSD'!$Y$65</f>
        <v>8.4777454032466365E-2</v>
      </c>
      <c r="Z25" s="27">
        <f>'TR TUSD'!$Z$25</f>
        <v>0</v>
      </c>
      <c r="AA25" s="27">
        <f>'TR TUSD'!$AA$25</f>
        <v>0</v>
      </c>
      <c r="AB25" s="27">
        <f>SUM($U$25:$AA$25)</f>
        <v>36.237242994046646</v>
      </c>
      <c r="AC25" s="27">
        <f>'TR TUSD'!$AC$25*'TR TUSD'!$AC$65</f>
        <v>230.76751083831468</v>
      </c>
      <c r="AD25" s="27">
        <f>SUM($AC$25:$AC$25)</f>
        <v>230.76751083831468</v>
      </c>
      <c r="AE25" s="27">
        <v>0</v>
      </c>
      <c r="AF25" s="27">
        <v>0</v>
      </c>
      <c r="AG25" s="27">
        <f>SUM($AE$25:$AF$25)</f>
        <v>0</v>
      </c>
      <c r="AH25" s="27">
        <f>'TR TUSD'!$AH$25*'TR TUSD'!$AH$65</f>
        <v>46.047196748082719</v>
      </c>
      <c r="AI25" s="27">
        <f>'TR TUSD'!$AI$25*'TR TUSD'!$AI$65</f>
        <v>3.315937312126501</v>
      </c>
      <c r="AJ25" s="27">
        <f ca="1">'TR TUSD'!$AJ$25*'TR TUSD'!$AJ$65</f>
        <v>113.89617838088712</v>
      </c>
      <c r="AK25" s="27">
        <f ca="1">'TR TUSD'!$AK$25*'TR TUSD'!$AK$65</f>
        <v>12.842714511179256</v>
      </c>
      <c r="AL25" s="27">
        <f ca="1">SUM($AH$25:$AK$25)</f>
        <v>176.10202695227559</v>
      </c>
      <c r="AM25" s="27">
        <f ca="1">SUMIF($L$4:$AL$4,"SUBTOTAL",$L$25:$AL$25)</f>
        <v>496.55049493364771</v>
      </c>
      <c r="AP25" s="27">
        <v>1</v>
      </c>
    </row>
    <row r="26" spans="1:42" ht="11.25" customHeight="1" x14ac:dyDescent="0.25">
      <c r="A26" s="124"/>
      <c r="B26" s="124"/>
      <c r="C26" s="124"/>
      <c r="D26" s="29" t="s">
        <v>31</v>
      </c>
      <c r="E26" s="29" t="s">
        <v>25</v>
      </c>
      <c r="F26" s="29" t="s">
        <v>25</v>
      </c>
      <c r="G26" s="28" t="s">
        <v>92</v>
      </c>
      <c r="H26" s="28" t="s">
        <v>86</v>
      </c>
      <c r="I26" s="28">
        <f>'MERCADO TUSD'!$U$23</f>
        <v>72661.888000000006</v>
      </c>
      <c r="J26" s="18"/>
      <c r="L26" s="27">
        <f>'TR TUSD'!$L$26*'TR TUSD'!$L$65</f>
        <v>0</v>
      </c>
      <c r="M26" s="27">
        <f>'TR TUSD'!$M$26*'TR TUSD'!$M$65</f>
        <v>0.85841172360748186</v>
      </c>
      <c r="N26" s="27">
        <f ca="1">'TR TUSD'!$N$26*'TR TUSD'!$N$65</f>
        <v>5.3012852880257855</v>
      </c>
      <c r="O26" s="27">
        <f>'TR TUSD'!$O$26*'TR TUSD'!$O$65</f>
        <v>0</v>
      </c>
      <c r="P26" s="27">
        <f>'TR TUSD'!$P$26*'TR TUSD'!$P$65</f>
        <v>0</v>
      </c>
      <c r="Q26" s="27">
        <f>'TR TUSD'!$Q$26*'TR TUSD'!$Q$65</f>
        <v>0</v>
      </c>
      <c r="R26" s="27">
        <f>'TR TUSD'!$R$26*'TR TUSD'!$R$65</f>
        <v>0</v>
      </c>
      <c r="S26" s="27">
        <f>'TR TUSD'!$S$26*'TR TUSD'!$S$65</f>
        <v>0</v>
      </c>
      <c r="T26" s="27">
        <f ca="1">SUM($L$26:$S$26)</f>
        <v>6.1596970116332672</v>
      </c>
      <c r="U26" s="27">
        <f>'TR TUSD'!$U$26*'TR TUSD'!$U$65</f>
        <v>35.959019542666397</v>
      </c>
      <c r="V26" s="27">
        <f>'TR TUSD'!$V$26*'TR TUSD'!$V$65</f>
        <v>0.10983940293259681</v>
      </c>
      <c r="W26" s="27">
        <f>'TR TUSD'!$W$26*'TR TUSD'!$W$65</f>
        <v>8.3606594415178578E-2</v>
      </c>
      <c r="X26" s="27">
        <f>'TR TUSD'!$X$26*'TR TUSD'!$X$65</f>
        <v>0</v>
      </c>
      <c r="Y26" s="27">
        <f>'TR TUSD'!$Y$26*'TR TUSD'!$Y$65</f>
        <v>8.4777454032466365E-2</v>
      </c>
      <c r="Z26" s="27">
        <f>'TR TUSD'!$Z$26</f>
        <v>0</v>
      </c>
      <c r="AA26" s="27">
        <f>'TR TUSD'!$AA$26</f>
        <v>0</v>
      </c>
      <c r="AB26" s="27">
        <f>SUM($U$26:$AA$26)</f>
        <v>36.237242994046646</v>
      </c>
      <c r="AC26" s="27">
        <f>'TR TUSD'!$AC$26*'TR TUSD'!$AC$65</f>
        <v>230.76751083831468</v>
      </c>
      <c r="AD26" s="27">
        <f>SUM($AC$26:$AC$26)</f>
        <v>230.76751083831468</v>
      </c>
      <c r="AE26" s="27">
        <v>0</v>
      </c>
      <c r="AF26" s="27">
        <v>0</v>
      </c>
      <c r="AG26" s="27">
        <f>SUM($AE$26:$AF$26)</f>
        <v>0</v>
      </c>
      <c r="AH26" s="27">
        <f>'TR TUSD'!$AH$26*'TR TUSD'!$AH$65</f>
        <v>46.047196748082719</v>
      </c>
      <c r="AI26" s="27">
        <f>'TR TUSD'!$AI$26*'TR TUSD'!$AI$65</f>
        <v>3.315937312126501</v>
      </c>
      <c r="AJ26" s="27">
        <f ca="1">'TR TUSD'!$AJ$26*'TR TUSD'!$AJ$65</f>
        <v>113.89617838088712</v>
      </c>
      <c r="AK26" s="27">
        <f ca="1">'TR TUSD'!$AK$26*'TR TUSD'!$AK$65</f>
        <v>12.842714511179256</v>
      </c>
      <c r="AL26" s="27">
        <f ca="1">SUM($AH$26:$AK$26)</f>
        <v>176.10202695227559</v>
      </c>
      <c r="AM26" s="27">
        <f ca="1">SUMIF($L$4:$AL$4,"SUBTOTAL",$L$26:$AL$26)</f>
        <v>449.26647779627018</v>
      </c>
      <c r="AP26" s="27">
        <f>IF((1 - CUSTOS!$M$24)&lt;&gt;0,1/(1 - CUSTOS!$M$24),1)</f>
        <v>1</v>
      </c>
    </row>
    <row r="27" spans="1:42" ht="11.25" customHeight="1" x14ac:dyDescent="0.25">
      <c r="A27" s="124"/>
      <c r="B27" s="124"/>
      <c r="C27" s="124"/>
      <c r="D27" s="29" t="s">
        <v>32</v>
      </c>
      <c r="E27" s="29" t="s">
        <v>25</v>
      </c>
      <c r="F27" s="29" t="s">
        <v>25</v>
      </c>
      <c r="G27" s="28" t="s">
        <v>92</v>
      </c>
      <c r="H27" s="28" t="s">
        <v>86</v>
      </c>
      <c r="I27" s="28">
        <f>'MERCADO TUSD'!$U$24</f>
        <v>116587.09399999998</v>
      </c>
      <c r="J27" s="18"/>
      <c r="L27" s="27">
        <f>'TR TUSD'!$L$27*'TR TUSD'!$L$65</f>
        <v>0</v>
      </c>
      <c r="M27" s="27">
        <f>'TR TUSD'!$M$27*'TR TUSD'!$M$65</f>
        <v>0.85841172360748186</v>
      </c>
      <c r="N27" s="27">
        <f ca="1">'TR TUSD'!$N$27*'TR TUSD'!$N$65</f>
        <v>5.3012852880257855</v>
      </c>
      <c r="O27" s="27">
        <f>'TR TUSD'!$O$27*'TR TUSD'!$O$65</f>
        <v>0</v>
      </c>
      <c r="P27" s="27">
        <f>'TR TUSD'!$P$27*'TR TUSD'!$P$65</f>
        <v>0</v>
      </c>
      <c r="Q27" s="27">
        <f>'TR TUSD'!$Q$27*'TR TUSD'!$Q$65</f>
        <v>0</v>
      </c>
      <c r="R27" s="27">
        <f>'TR TUSD'!$R$27*'TR TUSD'!$R$65</f>
        <v>0</v>
      </c>
      <c r="S27" s="27">
        <f>'TR TUSD'!$S$27*'TR TUSD'!$S$65</f>
        <v>0</v>
      </c>
      <c r="T27" s="27">
        <f ca="1">SUM($L$27:$S$27)</f>
        <v>6.1596970116332672</v>
      </c>
      <c r="U27" s="27">
        <f>'TR TUSD'!$U$27*'TR TUSD'!$U$65</f>
        <v>35.959019542666397</v>
      </c>
      <c r="V27" s="27">
        <f>'TR TUSD'!$V$27*'TR TUSD'!$V$65</f>
        <v>0.10983940293259681</v>
      </c>
      <c r="W27" s="27">
        <f>'TR TUSD'!$W$27*'TR TUSD'!$W$65</f>
        <v>8.3606594415178578E-2</v>
      </c>
      <c r="X27" s="27">
        <f>'TR TUSD'!$X$27*'TR TUSD'!$X$65</f>
        <v>0</v>
      </c>
      <c r="Y27" s="27">
        <f>'TR TUSD'!$Y$27*'TR TUSD'!$Y$65</f>
        <v>8.4777454032466365E-2</v>
      </c>
      <c r="Z27" s="27">
        <f>'TR TUSD'!$Z$27</f>
        <v>0</v>
      </c>
      <c r="AA27" s="27">
        <f>'TR TUSD'!$AA$27</f>
        <v>0</v>
      </c>
      <c r="AB27" s="27">
        <f>SUM($U$27:$AA$27)</f>
        <v>36.237242994046646</v>
      </c>
      <c r="AC27" s="27">
        <f>'TR TUSD'!$AC$27*'TR TUSD'!$AC$65</f>
        <v>230.76751083831468</v>
      </c>
      <c r="AD27" s="27">
        <f>SUM($AC$27:$AC$27)</f>
        <v>230.76751083831468</v>
      </c>
      <c r="AE27" s="27">
        <v>0</v>
      </c>
      <c r="AF27" s="27">
        <v>0</v>
      </c>
      <c r="AG27" s="27">
        <f>SUM($AE$27:$AF$27)</f>
        <v>0</v>
      </c>
      <c r="AH27" s="27">
        <f>'TR TUSD'!$AH$27*'TR TUSD'!$AH$65</f>
        <v>46.047196748082719</v>
      </c>
      <c r="AI27" s="27">
        <f>'TR TUSD'!$AI$27*'TR TUSD'!$AI$65</f>
        <v>3.315937312126501</v>
      </c>
      <c r="AJ27" s="27">
        <f ca="1">'TR TUSD'!$AJ$27*'TR TUSD'!$AJ$65</f>
        <v>113.89617838088712</v>
      </c>
      <c r="AK27" s="27">
        <f ca="1">'TR TUSD'!$AK$27*'TR TUSD'!$AK$65</f>
        <v>12.842714511179256</v>
      </c>
      <c r="AL27" s="27">
        <f ca="1">SUM($AH$27:$AK$27)</f>
        <v>176.10202695227559</v>
      </c>
      <c r="AM27" s="27">
        <f ca="1">SUMIF($L$4:$AL$4,"SUBTOTAL",$L$27:$AL$27)</f>
        <v>449.26647779627018</v>
      </c>
      <c r="AP27" s="27">
        <f>IF((1 - CUSTOS!$M$25)&lt;&gt;0,1/(1 - CUSTOS!$M$25),1)</f>
        <v>1</v>
      </c>
    </row>
    <row r="28" spans="1:42" ht="11.25" customHeight="1" x14ac:dyDescent="0.25">
      <c r="A28" s="124"/>
      <c r="B28" s="124"/>
      <c r="C28" s="124"/>
      <c r="D28" s="29" t="s">
        <v>33</v>
      </c>
      <c r="E28" s="29" t="s">
        <v>25</v>
      </c>
      <c r="F28" s="29" t="s">
        <v>25</v>
      </c>
      <c r="G28" s="28" t="s">
        <v>92</v>
      </c>
      <c r="H28" s="28" t="s">
        <v>86</v>
      </c>
      <c r="I28" s="28">
        <f>'MERCADO TUSD'!$U$25</f>
        <v>103208.47500000001</v>
      </c>
      <c r="J28" s="18"/>
      <c r="L28" s="27">
        <f>'TR TUSD'!$L$28*'TR TUSD'!$L$65</f>
        <v>0</v>
      </c>
      <c r="M28" s="27">
        <f>'TR TUSD'!$M$28*'TR TUSD'!$M$65</f>
        <v>0.85841172360748186</v>
      </c>
      <c r="N28" s="27">
        <f ca="1">'TR TUSD'!$N$28*'TR TUSD'!$N$65</f>
        <v>5.3012852880257855</v>
      </c>
      <c r="O28" s="27">
        <f>'TR TUSD'!$O$28*'TR TUSD'!$O$65</f>
        <v>0</v>
      </c>
      <c r="P28" s="27">
        <f>'TR TUSD'!$P$28*'TR TUSD'!$P$65</f>
        <v>0</v>
      </c>
      <c r="Q28" s="27">
        <f>'TR TUSD'!$Q$28*'TR TUSD'!$Q$65</f>
        <v>0</v>
      </c>
      <c r="R28" s="27">
        <f>'TR TUSD'!$R$28*'TR TUSD'!$R$65</f>
        <v>0</v>
      </c>
      <c r="S28" s="27">
        <f>'TR TUSD'!$S$28*'TR TUSD'!$S$65</f>
        <v>0</v>
      </c>
      <c r="T28" s="27">
        <f ca="1">SUM($L$28:$S$28)</f>
        <v>6.1596970116332672</v>
      </c>
      <c r="U28" s="27">
        <f>'TR TUSD'!$U$28*'TR TUSD'!$U$65</f>
        <v>35.959019542666397</v>
      </c>
      <c r="V28" s="27">
        <f>'TR TUSD'!$V$28*'TR TUSD'!$V$65</f>
        <v>0.10983940293259681</v>
      </c>
      <c r="W28" s="27">
        <f>'TR TUSD'!$W$28*'TR TUSD'!$W$65</f>
        <v>8.3606594415178578E-2</v>
      </c>
      <c r="X28" s="27">
        <f>'TR TUSD'!$X$28*'TR TUSD'!$X$65</f>
        <v>0</v>
      </c>
      <c r="Y28" s="27">
        <f>'TR TUSD'!$Y$28*'TR TUSD'!$Y$65</f>
        <v>8.4777454032466365E-2</v>
      </c>
      <c r="Z28" s="27">
        <f>'TR TUSD'!$Z$28</f>
        <v>0</v>
      </c>
      <c r="AA28" s="27">
        <f>'TR TUSD'!$AA$28</f>
        <v>0</v>
      </c>
      <c r="AB28" s="27">
        <f>SUM($U$28:$AA$28)</f>
        <v>36.237242994046646</v>
      </c>
      <c r="AC28" s="27">
        <f>'TR TUSD'!$AC$28*'TR TUSD'!$AC$65</f>
        <v>230.76751083831468</v>
      </c>
      <c r="AD28" s="27">
        <f>SUM($AC$28:$AC$28)</f>
        <v>230.76751083831468</v>
      </c>
      <c r="AE28" s="27">
        <v>0</v>
      </c>
      <c r="AF28" s="27">
        <v>0</v>
      </c>
      <c r="AG28" s="27">
        <f>SUM($AE$28:$AF$28)</f>
        <v>0</v>
      </c>
      <c r="AH28" s="27">
        <f>'TR TUSD'!$AH$28*'TR TUSD'!$AH$65</f>
        <v>46.047196748082719</v>
      </c>
      <c r="AI28" s="27">
        <f>'TR TUSD'!$AI$28*'TR TUSD'!$AI$65</f>
        <v>3.315937312126501</v>
      </c>
      <c r="AJ28" s="27">
        <f ca="1">'TR TUSD'!$AJ$28*'TR TUSD'!$AJ$65</f>
        <v>113.89617838088712</v>
      </c>
      <c r="AK28" s="27">
        <f ca="1">'TR TUSD'!$AK$28*'TR TUSD'!$AK$65</f>
        <v>12.842714511179256</v>
      </c>
      <c r="AL28" s="27">
        <f ca="1">SUM($AH$28:$AK$28)</f>
        <v>176.10202695227559</v>
      </c>
      <c r="AM28" s="27">
        <f ca="1">SUMIF($L$4:$AL$4,"SUBTOTAL",$L$28:$AL$28)</f>
        <v>449.26647779627018</v>
      </c>
      <c r="AP28" s="27">
        <f>IF((1 - CUSTOS!$M$26)&lt;&gt;0,1/(1 - CUSTOS!$M$26),1)</f>
        <v>1</v>
      </c>
    </row>
    <row r="29" spans="1:42" ht="11.25" customHeight="1" x14ac:dyDescent="0.25">
      <c r="A29" s="124"/>
      <c r="B29" s="124"/>
      <c r="C29" s="124"/>
      <c r="D29" s="29" t="s">
        <v>34</v>
      </c>
      <c r="E29" s="29" t="s">
        <v>25</v>
      </c>
      <c r="F29" s="29" t="s">
        <v>25</v>
      </c>
      <c r="G29" s="28" t="s">
        <v>92</v>
      </c>
      <c r="H29" s="28" t="s">
        <v>86</v>
      </c>
      <c r="I29" s="28">
        <f>'MERCADO TUSD'!$U$26</f>
        <v>77490.793999999994</v>
      </c>
      <c r="J29" s="18"/>
      <c r="L29" s="27">
        <f>'TR TUSD'!$L$29*'TR TUSD'!$L$65</f>
        <v>0</v>
      </c>
      <c r="M29" s="27">
        <f>'TR TUSD'!$M$29*'TR TUSD'!$M$65</f>
        <v>0.85841172360748186</v>
      </c>
      <c r="N29" s="27">
        <f ca="1">'TR TUSD'!$N$29*'TR TUSD'!$N$65</f>
        <v>5.3012852880257855</v>
      </c>
      <c r="O29" s="27">
        <f>'TR TUSD'!$O$29*'TR TUSD'!$O$65</f>
        <v>0</v>
      </c>
      <c r="P29" s="27">
        <f>'TR TUSD'!$P$29*'TR TUSD'!$P$65</f>
        <v>0</v>
      </c>
      <c r="Q29" s="27">
        <f>'TR TUSD'!$Q$29*'TR TUSD'!$Q$65</f>
        <v>0</v>
      </c>
      <c r="R29" s="27">
        <f>'TR TUSD'!$R$29*'TR TUSD'!$R$65</f>
        <v>0</v>
      </c>
      <c r="S29" s="27">
        <f>'TR TUSD'!$S$29*'TR TUSD'!$S$65</f>
        <v>0</v>
      </c>
      <c r="T29" s="27">
        <f ca="1">SUM($L$29:$S$29)</f>
        <v>6.1596970116332672</v>
      </c>
      <c r="U29" s="27">
        <f>'TR TUSD'!$U$29*'TR TUSD'!$U$65</f>
        <v>35.959019542666397</v>
      </c>
      <c r="V29" s="27">
        <f>'TR TUSD'!$V$29*'TR TUSD'!$V$65</f>
        <v>0.10983940293259681</v>
      </c>
      <c r="W29" s="27">
        <f>'TR TUSD'!$W$29*'TR TUSD'!$W$65</f>
        <v>8.3606594415178578E-2</v>
      </c>
      <c r="X29" s="27">
        <f>'TR TUSD'!$X$29*'TR TUSD'!$X$65</f>
        <v>0</v>
      </c>
      <c r="Y29" s="27">
        <f>'TR TUSD'!$Y$29*'TR TUSD'!$Y$65</f>
        <v>8.4777454032466365E-2</v>
      </c>
      <c r="Z29" s="27">
        <f>'TR TUSD'!$Z$29</f>
        <v>0</v>
      </c>
      <c r="AA29" s="27">
        <f>'TR TUSD'!$AA$29</f>
        <v>0</v>
      </c>
      <c r="AB29" s="27">
        <f>SUM($U$29:$AA$29)</f>
        <v>36.237242994046646</v>
      </c>
      <c r="AC29" s="27">
        <f>'TR TUSD'!$AC$29*'TR TUSD'!$AC$65</f>
        <v>230.76751083831468</v>
      </c>
      <c r="AD29" s="27">
        <f>SUM($AC$29:$AC$29)</f>
        <v>230.76751083831468</v>
      </c>
      <c r="AE29" s="27">
        <v>0</v>
      </c>
      <c r="AF29" s="27">
        <v>0</v>
      </c>
      <c r="AG29" s="27">
        <f>SUM($AE$29:$AF$29)</f>
        <v>0</v>
      </c>
      <c r="AH29" s="27">
        <f>'TR TUSD'!$AH$29*'TR TUSD'!$AH$65</f>
        <v>46.047196748082719</v>
      </c>
      <c r="AI29" s="27">
        <f>'TR TUSD'!$AI$29*'TR TUSD'!$AI$65</f>
        <v>3.315937312126501</v>
      </c>
      <c r="AJ29" s="27">
        <f ca="1">'TR TUSD'!$AJ$29*'TR TUSD'!$AJ$65</f>
        <v>113.89617838088712</v>
      </c>
      <c r="AK29" s="27">
        <f ca="1">'TR TUSD'!$AK$29*'TR TUSD'!$AK$65</f>
        <v>12.842714511179256</v>
      </c>
      <c r="AL29" s="27">
        <f ca="1">SUM($AH$29:$AK$29)</f>
        <v>176.10202695227559</v>
      </c>
      <c r="AM29" s="27">
        <f ca="1">SUMIF($L$4:$AL$4,"SUBTOTAL",$L$29:$AL$29)</f>
        <v>449.26647779627018</v>
      </c>
      <c r="AP29" s="27">
        <f>IF((1 - CUSTOS!$M$27)&lt;&gt;0,1/(1 - CUSTOS!$M$27),1)</f>
        <v>1</v>
      </c>
    </row>
    <row r="30" spans="1:42" ht="11.25" customHeight="1" x14ac:dyDescent="0.25">
      <c r="A30" s="124"/>
      <c r="B30" s="124" t="s">
        <v>100</v>
      </c>
      <c r="C30" s="124" t="s">
        <v>24</v>
      </c>
      <c r="D30" s="29" t="s">
        <v>24</v>
      </c>
      <c r="E30" s="29" t="s">
        <v>25</v>
      </c>
      <c r="F30" s="29" t="s">
        <v>25</v>
      </c>
      <c r="G30" s="28" t="s">
        <v>92</v>
      </c>
      <c r="H30" s="28" t="s">
        <v>86</v>
      </c>
      <c r="I30" s="28">
        <f>'MERCADO TUSD'!$U$27</f>
        <v>0</v>
      </c>
      <c r="J30" s="18"/>
      <c r="L30" s="27">
        <f>'TR TUSD'!$L$30*'TR TUSD'!$L$65</f>
        <v>14.099336508183265</v>
      </c>
      <c r="M30" s="27">
        <f>'TR TUSD'!$M$30*'TR TUSD'!$M$65</f>
        <v>0.85841172360748186</v>
      </c>
      <c r="N30" s="27">
        <f ca="1">'TR TUSD'!$N$30*'TR TUSD'!$N$65</f>
        <v>5.3104995749795414</v>
      </c>
      <c r="O30" s="27">
        <f>'TR TUSD'!$O$30*'TR TUSD'!$O$65</f>
        <v>0</v>
      </c>
      <c r="P30" s="27">
        <f>'TR TUSD'!$P$30*'TR TUSD'!$P$65</f>
        <v>0</v>
      </c>
      <c r="Q30" s="27">
        <f>'TR TUSD'!$Q$30*'TR TUSD'!$Q$65</f>
        <v>23.618593225562012</v>
      </c>
      <c r="R30" s="27">
        <f>'TR TUSD'!$R$30*'TR TUSD'!$R$65</f>
        <v>9.5568731166785277</v>
      </c>
      <c r="S30" s="27">
        <f>'TR TUSD'!$S$30*'TR TUSD'!$S$65</f>
        <v>0</v>
      </c>
      <c r="T30" s="27">
        <f ca="1">SUM($L$30:$S$30)</f>
        <v>53.44371414901083</v>
      </c>
      <c r="U30" s="27">
        <f>'TR TUSD'!$U$30*'TR TUSD'!$U$65</f>
        <v>35.959019542666397</v>
      </c>
      <c r="V30" s="27">
        <f>'TR TUSD'!$V$30*'TR TUSD'!$V$65</f>
        <v>0.10983940293259681</v>
      </c>
      <c r="W30" s="27">
        <f>'TR TUSD'!$W$30*'TR TUSD'!$W$65</f>
        <v>8.3606594415178578E-2</v>
      </c>
      <c r="X30" s="27">
        <f>'TR TUSD'!$X$30*'TR TUSD'!$X$65</f>
        <v>0</v>
      </c>
      <c r="Y30" s="27">
        <f>'TR TUSD'!$Y$30*'TR TUSD'!$Y$65</f>
        <v>8.4777454032466365E-2</v>
      </c>
      <c r="Z30" s="27">
        <f>'TR TUSD'!$Z$30</f>
        <v>0</v>
      </c>
      <c r="AA30" s="27">
        <f>'TR TUSD'!$AA$30</f>
        <v>0</v>
      </c>
      <c r="AB30" s="27">
        <f>SUM($U$30:$AA$30)</f>
        <v>36.237242994046646</v>
      </c>
      <c r="AC30" s="27">
        <f>'TR TUSD'!$AC$30*'TR TUSD'!$AC$65</f>
        <v>230.76751083831468</v>
      </c>
      <c r="AD30" s="27">
        <f>SUM($AC$30:$AC$30)</f>
        <v>230.76751083831468</v>
      </c>
      <c r="AE30" s="27">
        <v>0</v>
      </c>
      <c r="AF30" s="27">
        <v>0</v>
      </c>
      <c r="AG30" s="27">
        <f>SUM($AE$30:$AF$30)</f>
        <v>0</v>
      </c>
      <c r="AH30" s="27">
        <f>'TR TUSD'!$AH$30*'TR TUSD'!$AH$65</f>
        <v>46.047196748082719</v>
      </c>
      <c r="AI30" s="27">
        <f>'TR TUSD'!$AI$30*'TR TUSD'!$AI$65</f>
        <v>3.315937312126501</v>
      </c>
      <c r="AJ30" s="27">
        <f ca="1">'TR TUSD'!$AJ$30*'TR TUSD'!$AJ$65</f>
        <v>113.89617838088712</v>
      </c>
      <c r="AK30" s="27">
        <f ca="1">'TR TUSD'!$AK$30*'TR TUSD'!$AK$65</f>
        <v>12.842714511179256</v>
      </c>
      <c r="AL30" s="27">
        <f ca="1">SUM($AH$30:$AK$30)</f>
        <v>176.10202695227559</v>
      </c>
      <c r="AM30" s="27">
        <f ca="1">SUMIF($L$4:$AL$4,"SUBTOTAL",$L$30:$AL$30)</f>
        <v>496.55049493364771</v>
      </c>
      <c r="AP30" s="27">
        <v>1</v>
      </c>
    </row>
    <row r="31" spans="1:42" ht="11.25" customHeight="1" x14ac:dyDescent="0.25">
      <c r="A31" s="124"/>
      <c r="B31" s="124"/>
      <c r="C31" s="124"/>
      <c r="D31" s="29" t="s">
        <v>31</v>
      </c>
      <c r="E31" s="29" t="s">
        <v>25</v>
      </c>
      <c r="F31" s="29" t="s">
        <v>25</v>
      </c>
      <c r="G31" s="28" t="s">
        <v>92</v>
      </c>
      <c r="H31" s="28" t="s">
        <v>86</v>
      </c>
      <c r="I31" s="28">
        <f>'MERCADO TUSD'!$U$28</f>
        <v>0</v>
      </c>
      <c r="J31" s="18"/>
      <c r="L31" s="27">
        <f>'TR TUSD'!$L$31*'TR TUSD'!$L$65</f>
        <v>0</v>
      </c>
      <c r="M31" s="27">
        <f>'TR TUSD'!$M$31*'TR TUSD'!$M$65</f>
        <v>0.85841172360748186</v>
      </c>
      <c r="N31" s="27">
        <f ca="1">'TR TUSD'!$N$31*'TR TUSD'!$N$65</f>
        <v>5.3012852880257855</v>
      </c>
      <c r="O31" s="27">
        <f>'TR TUSD'!$O$31*'TR TUSD'!$O$65</f>
        <v>0</v>
      </c>
      <c r="P31" s="27">
        <f>'TR TUSD'!$P$31*'TR TUSD'!$P$65</f>
        <v>0</v>
      </c>
      <c r="Q31" s="27">
        <f>'TR TUSD'!$Q$31*'TR TUSD'!$Q$65</f>
        <v>0</v>
      </c>
      <c r="R31" s="27">
        <f>'TR TUSD'!$R$31*'TR TUSD'!$R$65</f>
        <v>0</v>
      </c>
      <c r="S31" s="27">
        <f>'TR TUSD'!$S$31*'TR TUSD'!$S$65</f>
        <v>0</v>
      </c>
      <c r="T31" s="27">
        <f ca="1">SUM($L$31:$S$31)</f>
        <v>6.1596970116332672</v>
      </c>
      <c r="U31" s="27">
        <f>'TR TUSD'!$U$31*'TR TUSD'!$U$65</f>
        <v>35.959019542666397</v>
      </c>
      <c r="V31" s="27">
        <f>'TR TUSD'!$V$31*'TR TUSD'!$V$65</f>
        <v>0.10983940293259681</v>
      </c>
      <c r="W31" s="27">
        <f>'TR TUSD'!$W$31*'TR TUSD'!$W$65</f>
        <v>8.3606594415178578E-2</v>
      </c>
      <c r="X31" s="27">
        <f>'TR TUSD'!$X$31*'TR TUSD'!$X$65</f>
        <v>0</v>
      </c>
      <c r="Y31" s="27">
        <f>'TR TUSD'!$Y$31*'TR TUSD'!$Y$65</f>
        <v>8.4777454032466365E-2</v>
      </c>
      <c r="Z31" s="27">
        <f>'TR TUSD'!$Z$31</f>
        <v>0</v>
      </c>
      <c r="AA31" s="27">
        <f>'TR TUSD'!$AA$31</f>
        <v>0</v>
      </c>
      <c r="AB31" s="27">
        <f>SUM($U$31:$AA$31)</f>
        <v>36.237242994046646</v>
      </c>
      <c r="AC31" s="27">
        <f>'TR TUSD'!$AC$31*'TR TUSD'!$AC$65</f>
        <v>230.76751083831468</v>
      </c>
      <c r="AD31" s="27">
        <f>SUM($AC$31:$AC$31)</f>
        <v>230.76751083831468</v>
      </c>
      <c r="AE31" s="27">
        <v>0</v>
      </c>
      <c r="AF31" s="27">
        <v>0</v>
      </c>
      <c r="AG31" s="27">
        <f>SUM($AE$31:$AF$31)</f>
        <v>0</v>
      </c>
      <c r="AH31" s="27">
        <f>'TR TUSD'!$AH$31*'TR TUSD'!$AH$65</f>
        <v>46.047196748082719</v>
      </c>
      <c r="AI31" s="27">
        <f>'TR TUSD'!$AI$31*'TR TUSD'!$AI$65</f>
        <v>3.315937312126501</v>
      </c>
      <c r="AJ31" s="27">
        <f ca="1">'TR TUSD'!$AJ$31*'TR TUSD'!$AJ$65</f>
        <v>113.89617838088712</v>
      </c>
      <c r="AK31" s="27">
        <f ca="1">'TR TUSD'!$AK$31*'TR TUSD'!$AK$65</f>
        <v>12.842714511179256</v>
      </c>
      <c r="AL31" s="27">
        <f ca="1">SUM($AH$31:$AK$31)</f>
        <v>176.10202695227559</v>
      </c>
      <c r="AM31" s="27">
        <f ca="1">SUMIF($L$4:$AL$4,"SUBTOTAL",$L$31:$AL$31)</f>
        <v>449.26647779627018</v>
      </c>
      <c r="AP31" s="27">
        <f>IF((1 - CUSTOS!$M$24)&lt;&gt;0,1/(1 - CUSTOS!$M$24),1)</f>
        <v>1</v>
      </c>
    </row>
    <row r="32" spans="1:42" ht="11.25" customHeight="1" x14ac:dyDescent="0.25">
      <c r="A32" s="124"/>
      <c r="B32" s="124"/>
      <c r="C32" s="124"/>
      <c r="D32" s="29" t="s">
        <v>32</v>
      </c>
      <c r="E32" s="29" t="s">
        <v>25</v>
      </c>
      <c r="F32" s="29" t="s">
        <v>25</v>
      </c>
      <c r="G32" s="28" t="s">
        <v>92</v>
      </c>
      <c r="H32" s="28" t="s">
        <v>86</v>
      </c>
      <c r="I32" s="28">
        <f>'MERCADO TUSD'!$U$29</f>
        <v>0</v>
      </c>
      <c r="J32" s="18"/>
      <c r="L32" s="27">
        <f>'TR TUSD'!$L$32*'TR TUSD'!$L$65</f>
        <v>0</v>
      </c>
      <c r="M32" s="27">
        <f>'TR TUSD'!$M$32*'TR TUSD'!$M$65</f>
        <v>0.85841172360748186</v>
      </c>
      <c r="N32" s="27">
        <f ca="1">'TR TUSD'!$N$32*'TR TUSD'!$N$65</f>
        <v>5.3012852880257855</v>
      </c>
      <c r="O32" s="27">
        <f>'TR TUSD'!$O$32*'TR TUSD'!$O$65</f>
        <v>0</v>
      </c>
      <c r="P32" s="27">
        <f>'TR TUSD'!$P$32*'TR TUSD'!$P$65</f>
        <v>0</v>
      </c>
      <c r="Q32" s="27">
        <f>'TR TUSD'!$Q$32*'TR TUSD'!$Q$65</f>
        <v>0</v>
      </c>
      <c r="R32" s="27">
        <f>'TR TUSD'!$R$32*'TR TUSD'!$R$65</f>
        <v>0</v>
      </c>
      <c r="S32" s="27">
        <f>'TR TUSD'!$S$32*'TR TUSD'!$S$65</f>
        <v>0</v>
      </c>
      <c r="T32" s="27">
        <f ca="1">SUM($L$32:$S$32)</f>
        <v>6.1596970116332672</v>
      </c>
      <c r="U32" s="27">
        <f>'TR TUSD'!$U$32*'TR TUSD'!$U$65</f>
        <v>35.959019542666397</v>
      </c>
      <c r="V32" s="27">
        <f>'TR TUSD'!$V$32*'TR TUSD'!$V$65</f>
        <v>0.10983940293259681</v>
      </c>
      <c r="W32" s="27">
        <f>'TR TUSD'!$W$32*'TR TUSD'!$W$65</f>
        <v>8.3606594415178578E-2</v>
      </c>
      <c r="X32" s="27">
        <f>'TR TUSD'!$X$32*'TR TUSD'!$X$65</f>
        <v>0</v>
      </c>
      <c r="Y32" s="27">
        <f>'TR TUSD'!$Y$32*'TR TUSD'!$Y$65</f>
        <v>8.4777454032466365E-2</v>
      </c>
      <c r="Z32" s="27">
        <f>'TR TUSD'!$Z$32</f>
        <v>0</v>
      </c>
      <c r="AA32" s="27">
        <f>'TR TUSD'!$AA$32</f>
        <v>0</v>
      </c>
      <c r="AB32" s="27">
        <f>SUM($U$32:$AA$32)</f>
        <v>36.237242994046646</v>
      </c>
      <c r="AC32" s="27">
        <f>'TR TUSD'!$AC$32*'TR TUSD'!$AC$65</f>
        <v>230.76751083831468</v>
      </c>
      <c r="AD32" s="27">
        <f>SUM($AC$32:$AC$32)</f>
        <v>230.76751083831468</v>
      </c>
      <c r="AE32" s="27">
        <v>0</v>
      </c>
      <c r="AF32" s="27">
        <v>0</v>
      </c>
      <c r="AG32" s="27">
        <f>SUM($AE$32:$AF$32)</f>
        <v>0</v>
      </c>
      <c r="AH32" s="27">
        <f>'TR TUSD'!$AH$32*'TR TUSD'!$AH$65</f>
        <v>46.047196748082719</v>
      </c>
      <c r="AI32" s="27">
        <f>'TR TUSD'!$AI$32*'TR TUSD'!$AI$65</f>
        <v>3.315937312126501</v>
      </c>
      <c r="AJ32" s="27">
        <f ca="1">'TR TUSD'!$AJ$32*'TR TUSD'!$AJ$65</f>
        <v>113.89617838088712</v>
      </c>
      <c r="AK32" s="27">
        <f ca="1">'TR TUSD'!$AK$32*'TR TUSD'!$AK$65</f>
        <v>12.842714511179256</v>
      </c>
      <c r="AL32" s="27">
        <f ca="1">SUM($AH$32:$AK$32)</f>
        <v>176.10202695227559</v>
      </c>
      <c r="AM32" s="27">
        <f ca="1">SUMIF($L$4:$AL$4,"SUBTOTAL",$L$32:$AL$32)</f>
        <v>449.26647779627018</v>
      </c>
      <c r="AP32" s="27">
        <f>IF((1 - CUSTOS!$M$25)&lt;&gt;0,1/(1 - CUSTOS!$M$25),1)</f>
        <v>1</v>
      </c>
    </row>
    <row r="33" spans="1:42" ht="11.25" customHeight="1" x14ac:dyDescent="0.25">
      <c r="A33" s="124"/>
      <c r="B33" s="124"/>
      <c r="C33" s="124"/>
      <c r="D33" s="29" t="s">
        <v>33</v>
      </c>
      <c r="E33" s="29" t="s">
        <v>25</v>
      </c>
      <c r="F33" s="29" t="s">
        <v>25</v>
      </c>
      <c r="G33" s="28" t="s">
        <v>92</v>
      </c>
      <c r="H33" s="28" t="s">
        <v>86</v>
      </c>
      <c r="I33" s="28">
        <f>'MERCADO TUSD'!$U$30</f>
        <v>0</v>
      </c>
      <c r="J33" s="18"/>
      <c r="L33" s="27">
        <f>'TR TUSD'!$L$33*'TR TUSD'!$L$65</f>
        <v>0</v>
      </c>
      <c r="M33" s="27">
        <f>'TR TUSD'!$M$33*'TR TUSD'!$M$65</f>
        <v>0.85841172360748186</v>
      </c>
      <c r="N33" s="27">
        <f ca="1">'TR TUSD'!$N$33*'TR TUSD'!$N$65</f>
        <v>5.3012852880257855</v>
      </c>
      <c r="O33" s="27">
        <f>'TR TUSD'!$O$33*'TR TUSD'!$O$65</f>
        <v>0</v>
      </c>
      <c r="P33" s="27">
        <f>'TR TUSD'!$P$33*'TR TUSD'!$P$65</f>
        <v>0</v>
      </c>
      <c r="Q33" s="27">
        <f>'TR TUSD'!$Q$33*'TR TUSD'!$Q$65</f>
        <v>0</v>
      </c>
      <c r="R33" s="27">
        <f>'TR TUSD'!$R$33*'TR TUSD'!$R$65</f>
        <v>0</v>
      </c>
      <c r="S33" s="27">
        <f>'TR TUSD'!$S$33*'TR TUSD'!$S$65</f>
        <v>0</v>
      </c>
      <c r="T33" s="27">
        <f ca="1">SUM($L$33:$S$33)</f>
        <v>6.1596970116332672</v>
      </c>
      <c r="U33" s="27">
        <f>'TR TUSD'!$U$33*'TR TUSD'!$U$65</f>
        <v>35.959019542666397</v>
      </c>
      <c r="V33" s="27">
        <f>'TR TUSD'!$V$33*'TR TUSD'!$V$65</f>
        <v>0.10983940293259681</v>
      </c>
      <c r="W33" s="27">
        <f>'TR TUSD'!$W$33*'TR TUSD'!$W$65</f>
        <v>8.3606594415178578E-2</v>
      </c>
      <c r="X33" s="27">
        <f>'TR TUSD'!$X$33*'TR TUSD'!$X$65</f>
        <v>0</v>
      </c>
      <c r="Y33" s="27">
        <f>'TR TUSD'!$Y$33*'TR TUSD'!$Y$65</f>
        <v>8.4777454032466365E-2</v>
      </c>
      <c r="Z33" s="27">
        <f>'TR TUSD'!$Z$33</f>
        <v>0</v>
      </c>
      <c r="AA33" s="27">
        <f>'TR TUSD'!$AA$33</f>
        <v>0</v>
      </c>
      <c r="AB33" s="27">
        <f>SUM($U$33:$AA$33)</f>
        <v>36.237242994046646</v>
      </c>
      <c r="AC33" s="27">
        <f>'TR TUSD'!$AC$33*'TR TUSD'!$AC$65</f>
        <v>230.76751083831468</v>
      </c>
      <c r="AD33" s="27">
        <f>SUM($AC$33:$AC$33)</f>
        <v>230.76751083831468</v>
      </c>
      <c r="AE33" s="27">
        <v>0</v>
      </c>
      <c r="AF33" s="27">
        <v>0</v>
      </c>
      <c r="AG33" s="27">
        <f>SUM($AE$33:$AF$33)</f>
        <v>0</v>
      </c>
      <c r="AH33" s="27">
        <f>'TR TUSD'!$AH$33*'TR TUSD'!$AH$65</f>
        <v>46.047196748082719</v>
      </c>
      <c r="AI33" s="27">
        <f>'TR TUSD'!$AI$33*'TR TUSD'!$AI$65</f>
        <v>3.315937312126501</v>
      </c>
      <c r="AJ33" s="27">
        <f ca="1">'TR TUSD'!$AJ$33*'TR TUSD'!$AJ$65</f>
        <v>113.89617838088712</v>
      </c>
      <c r="AK33" s="27">
        <f ca="1">'TR TUSD'!$AK$33*'TR TUSD'!$AK$65</f>
        <v>12.842714511179256</v>
      </c>
      <c r="AL33" s="27">
        <f ca="1">SUM($AH$33:$AK$33)</f>
        <v>176.10202695227559</v>
      </c>
      <c r="AM33" s="27">
        <f ca="1">SUMIF($L$4:$AL$4,"SUBTOTAL",$L$33:$AL$33)</f>
        <v>449.26647779627018</v>
      </c>
      <c r="AP33" s="27">
        <f>IF((1 - CUSTOS!$M$26)&lt;&gt;0,1/(1 - CUSTOS!$M$26),1)</f>
        <v>1</v>
      </c>
    </row>
    <row r="34" spans="1:42" ht="11.25" customHeight="1" x14ac:dyDescent="0.25">
      <c r="A34" s="124"/>
      <c r="B34" s="124"/>
      <c r="C34" s="124"/>
      <c r="D34" s="29" t="s">
        <v>34</v>
      </c>
      <c r="E34" s="29" t="s">
        <v>25</v>
      </c>
      <c r="F34" s="29" t="s">
        <v>25</v>
      </c>
      <c r="G34" s="28" t="s">
        <v>92</v>
      </c>
      <c r="H34" s="28" t="s">
        <v>86</v>
      </c>
      <c r="I34" s="28">
        <f>'MERCADO TUSD'!$U$31</f>
        <v>0</v>
      </c>
      <c r="J34" s="18"/>
      <c r="L34" s="27">
        <f>'TR TUSD'!$L$34*'TR TUSD'!$L$65</f>
        <v>0</v>
      </c>
      <c r="M34" s="27">
        <f>'TR TUSD'!$M$34*'TR TUSD'!$M$65</f>
        <v>0.85841172360748186</v>
      </c>
      <c r="N34" s="27">
        <f ca="1">'TR TUSD'!$N$34*'TR TUSD'!$N$65</f>
        <v>5.3012852880257855</v>
      </c>
      <c r="O34" s="27">
        <f>'TR TUSD'!$O$34*'TR TUSD'!$O$65</f>
        <v>0</v>
      </c>
      <c r="P34" s="27">
        <f>'TR TUSD'!$P$34*'TR TUSD'!$P$65</f>
        <v>0</v>
      </c>
      <c r="Q34" s="27">
        <f>'TR TUSD'!$Q$34*'TR TUSD'!$Q$65</f>
        <v>0</v>
      </c>
      <c r="R34" s="27">
        <f>'TR TUSD'!$R$34*'TR TUSD'!$R$65</f>
        <v>0</v>
      </c>
      <c r="S34" s="27">
        <f>'TR TUSD'!$S$34*'TR TUSD'!$S$65</f>
        <v>0</v>
      </c>
      <c r="T34" s="27">
        <f ca="1">SUM($L$34:$S$34)</f>
        <v>6.1596970116332672</v>
      </c>
      <c r="U34" s="27">
        <f>'TR TUSD'!$U$34*'TR TUSD'!$U$65</f>
        <v>35.959019542666397</v>
      </c>
      <c r="V34" s="27">
        <f>'TR TUSD'!$V$34*'TR TUSD'!$V$65</f>
        <v>0.10983940293259681</v>
      </c>
      <c r="W34" s="27">
        <f>'TR TUSD'!$W$34*'TR TUSD'!$W$65</f>
        <v>8.3606594415178578E-2</v>
      </c>
      <c r="X34" s="27">
        <f>'TR TUSD'!$X$34*'TR TUSD'!$X$65</f>
        <v>0</v>
      </c>
      <c r="Y34" s="27">
        <f>'TR TUSD'!$Y$34*'TR TUSD'!$Y$65</f>
        <v>8.4777454032466365E-2</v>
      </c>
      <c r="Z34" s="27">
        <f>'TR TUSD'!$Z$34</f>
        <v>0</v>
      </c>
      <c r="AA34" s="27">
        <f>'TR TUSD'!$AA$34</f>
        <v>0</v>
      </c>
      <c r="AB34" s="27">
        <f>SUM($U$34:$AA$34)</f>
        <v>36.237242994046646</v>
      </c>
      <c r="AC34" s="27">
        <f>'TR TUSD'!$AC$34*'TR TUSD'!$AC$65</f>
        <v>230.76751083831468</v>
      </c>
      <c r="AD34" s="27">
        <f>SUM($AC$34:$AC$34)</f>
        <v>230.76751083831468</v>
      </c>
      <c r="AE34" s="27">
        <v>0</v>
      </c>
      <c r="AF34" s="27">
        <v>0</v>
      </c>
      <c r="AG34" s="27">
        <f>SUM($AE$34:$AF$34)</f>
        <v>0</v>
      </c>
      <c r="AH34" s="27">
        <f>'TR TUSD'!$AH$34*'TR TUSD'!$AH$65</f>
        <v>46.047196748082719</v>
      </c>
      <c r="AI34" s="27">
        <f>'TR TUSD'!$AI$34*'TR TUSD'!$AI$65</f>
        <v>3.315937312126501</v>
      </c>
      <c r="AJ34" s="27">
        <f ca="1">'TR TUSD'!$AJ$34*'TR TUSD'!$AJ$65</f>
        <v>113.89617838088712</v>
      </c>
      <c r="AK34" s="27">
        <f ca="1">'TR TUSD'!$AK$34*'TR TUSD'!$AK$65</f>
        <v>12.842714511179256</v>
      </c>
      <c r="AL34" s="27">
        <f ca="1">SUM($AH$34:$AK$34)</f>
        <v>176.10202695227559</v>
      </c>
      <c r="AM34" s="27">
        <f ca="1">SUMIF($L$4:$AL$4,"SUBTOTAL",$L$34:$AL$34)</f>
        <v>449.26647779627018</v>
      </c>
      <c r="AP34" s="27">
        <f>IF((1 - CUSTOS!$M$27)&lt;&gt;0,1/(1 - CUSTOS!$M$27),1)</f>
        <v>1</v>
      </c>
    </row>
    <row r="35" spans="1:42" ht="11.25" customHeight="1" x14ac:dyDescent="0.25">
      <c r="A35" s="124" t="s">
        <v>46</v>
      </c>
      <c r="B35" s="124" t="s">
        <v>39</v>
      </c>
      <c r="C35" s="124" t="s">
        <v>47</v>
      </c>
      <c r="D35" s="124" t="s">
        <v>25</v>
      </c>
      <c r="E35" s="124" t="s">
        <v>25</v>
      </c>
      <c r="F35" s="124" t="s">
        <v>25</v>
      </c>
      <c r="G35" s="28" t="s">
        <v>87</v>
      </c>
      <c r="H35" s="28" t="s">
        <v>86</v>
      </c>
      <c r="I35" s="28">
        <f>'MERCADO TUSD'!$U$32</f>
        <v>0</v>
      </c>
      <c r="J35" s="18"/>
      <c r="L35" s="27">
        <f>'TR TUSD'!$L$35*'TR TUSD'!$L$65</f>
        <v>14.099336508183265</v>
      </c>
      <c r="M35" s="27">
        <f>'TR TUSD'!$M$35*'TR TUSD'!$M$65</f>
        <v>0.85841172360748186</v>
      </c>
      <c r="N35" s="27">
        <f ca="1">'TR TUSD'!$N$35*'TR TUSD'!$N$65</f>
        <v>10.307967618648361</v>
      </c>
      <c r="O35" s="27">
        <f>'TR TUSD'!$O$35*'TR TUSD'!$O$65</f>
        <v>0</v>
      </c>
      <c r="P35" s="27">
        <f>'TR TUSD'!$P$35*'TR TUSD'!$P$65</f>
        <v>0</v>
      </c>
      <c r="Q35" s="27">
        <f>'TR TUSD'!$Q$35*'TR TUSD'!$Q$65</f>
        <v>23.618593225562012</v>
      </c>
      <c r="R35" s="27">
        <f>'TR TUSD'!$R$35*'TR TUSD'!$R$65</f>
        <v>9.5568731166785277</v>
      </c>
      <c r="S35" s="27">
        <f>'TR TUSD'!$S$35*'TR TUSD'!$S$65</f>
        <v>0</v>
      </c>
      <c r="T35" s="27">
        <f ca="1">SUM($L$35:$S$35)</f>
        <v>58.441182192679648</v>
      </c>
      <c r="U35" s="27">
        <f>'TR TUSD'!$U$35*'TR TUSD'!$U$65</f>
        <v>115.06890017537351</v>
      </c>
      <c r="V35" s="27">
        <f>'TR TUSD'!$V$35*'TR TUSD'!$V$65</f>
        <v>0.35148840447342211</v>
      </c>
      <c r="W35" s="27">
        <f>'TR TUSD'!$W$35*'TR TUSD'!$W$65</f>
        <v>0.26755040984851741</v>
      </c>
      <c r="X35" s="27">
        <f>'TR TUSD'!$X$35*'TR TUSD'!$X$65</f>
        <v>0</v>
      </c>
      <c r="Y35" s="27">
        <f>'TR TUSD'!$Y$35*'TR TUSD'!$Y$65</f>
        <v>0.2713193102152216</v>
      </c>
      <c r="Z35" s="27">
        <f>'TR TUSD'!$Z$35</f>
        <v>0</v>
      </c>
      <c r="AA35" s="27">
        <f>'TR TUSD'!$AA$35</f>
        <v>0</v>
      </c>
      <c r="AB35" s="27">
        <f>SUM($U$35:$AA$35)</f>
        <v>115.95925829991067</v>
      </c>
      <c r="AC35" s="27">
        <f>'TR TUSD'!$AC$35*'TR TUSD'!$AC$65</f>
        <v>738.45592090145908</v>
      </c>
      <c r="AD35" s="27">
        <f>SUM($AC$35:$AC$35)</f>
        <v>738.45592090145908</v>
      </c>
      <c r="AE35" s="27">
        <v>0</v>
      </c>
      <c r="AF35" s="27">
        <v>0</v>
      </c>
      <c r="AG35" s="27">
        <f>SUM($AE$35:$AF$35)</f>
        <v>0</v>
      </c>
      <c r="AH35" s="27">
        <f>'TR TUSD'!$AH$35*'TR TUSD'!$AH$65</f>
        <v>46.047196748082719</v>
      </c>
      <c r="AI35" s="27">
        <f>'TR TUSD'!$AI$35*'TR TUSD'!$AI$65</f>
        <v>3.315937312126501</v>
      </c>
      <c r="AJ35" s="27">
        <f ca="1">'TR TUSD'!$AJ$35*'TR TUSD'!$AJ$65</f>
        <v>113.89617838088712</v>
      </c>
      <c r="AK35" s="27">
        <f ca="1">'TR TUSD'!$AK$35*'TR TUSD'!$AK$65</f>
        <v>12.842714511179256</v>
      </c>
      <c r="AL35" s="27">
        <f ca="1">SUM($AH$35:$AK$35)</f>
        <v>176.10202695227559</v>
      </c>
      <c r="AM35" s="27">
        <f ca="1">SUMIF($L$4:$AL$4,"SUBTOTAL",$L$35:$AL$35)</f>
        <v>1088.9583883463249</v>
      </c>
      <c r="AP35" s="27">
        <f>IF((1 - CUSTOS!$M$28)&lt;&gt;0,1/(1 - CUSTOS!$M$28),1)</f>
        <v>1</v>
      </c>
    </row>
    <row r="36" spans="1:42" ht="11.25" customHeight="1" x14ac:dyDescent="0.25">
      <c r="A36" s="124"/>
      <c r="B36" s="124"/>
      <c r="C36" s="124"/>
      <c r="D36" s="124"/>
      <c r="E36" s="124"/>
      <c r="F36" s="124"/>
      <c r="G36" s="28" t="s">
        <v>98</v>
      </c>
      <c r="H36" s="28" t="s">
        <v>86</v>
      </c>
      <c r="I36" s="28">
        <f>'MERCADO TUSD'!$U$33</f>
        <v>5.0000000000000001E-3</v>
      </c>
      <c r="J36" s="18"/>
      <c r="L36" s="27">
        <f>'TR TUSD'!$L$36*'TR TUSD'!$L$65</f>
        <v>14.099336508183265</v>
      </c>
      <c r="M36" s="27">
        <f>'TR TUSD'!$M$36*'TR TUSD'!$M$65</f>
        <v>0.85841172360748186</v>
      </c>
      <c r="N36" s="27">
        <f ca="1">'TR TUSD'!$N$36*'TR TUSD'!$N$65</f>
        <v>7.4003496132410174</v>
      </c>
      <c r="O36" s="27">
        <f>'TR TUSD'!$O$36*'TR TUSD'!$O$65</f>
        <v>0</v>
      </c>
      <c r="P36" s="27">
        <f>'TR TUSD'!$P$36*'TR TUSD'!$P$65</f>
        <v>0</v>
      </c>
      <c r="Q36" s="27">
        <f>'TR TUSD'!$Q$36*'TR TUSD'!$Q$65</f>
        <v>23.618593225562012</v>
      </c>
      <c r="R36" s="27">
        <f>'TR TUSD'!$R$36*'TR TUSD'!$R$65</f>
        <v>9.5568731166785277</v>
      </c>
      <c r="S36" s="27">
        <f>'TR TUSD'!$S$36*'TR TUSD'!$S$65</f>
        <v>0</v>
      </c>
      <c r="T36" s="27">
        <f ca="1">SUM($L$36:$S$36)</f>
        <v>55.533564187272304</v>
      </c>
      <c r="U36" s="27">
        <f>'TR TUSD'!$U$36*'TR TUSD'!$U$65</f>
        <v>69.041302466383087</v>
      </c>
      <c r="V36" s="27">
        <f>'TR TUSD'!$V$36*'TR TUSD'!$V$65</f>
        <v>0.21089304268405326</v>
      </c>
      <c r="W36" s="27">
        <f>'TR TUSD'!$W$36*'TR TUSD'!$W$65</f>
        <v>0.16053489976908347</v>
      </c>
      <c r="X36" s="27">
        <f>'TR TUSD'!$X$36*'TR TUSD'!$X$65</f>
        <v>0</v>
      </c>
      <c r="Y36" s="27">
        <f>'TR TUSD'!$Y$36*'TR TUSD'!$Y$65</f>
        <v>0.16279158612913297</v>
      </c>
      <c r="Z36" s="27">
        <f>'TR TUSD'!$Z$36</f>
        <v>0</v>
      </c>
      <c r="AA36" s="27">
        <f>'TR TUSD'!$AA$36</f>
        <v>0</v>
      </c>
      <c r="AB36" s="27">
        <f>SUM($U$36:$AA$36)</f>
        <v>69.575521994965356</v>
      </c>
      <c r="AC36" s="27">
        <f>'TR TUSD'!$AC$36*'TR TUSD'!$AC$65</f>
        <v>443.07357529710498</v>
      </c>
      <c r="AD36" s="27">
        <f>SUM($AC$36:$AC$36)</f>
        <v>443.07357529710498</v>
      </c>
      <c r="AE36" s="27">
        <v>0</v>
      </c>
      <c r="AF36" s="27">
        <v>0</v>
      </c>
      <c r="AG36" s="27">
        <f>SUM($AE$36:$AF$36)</f>
        <v>0</v>
      </c>
      <c r="AH36" s="27">
        <f>'TR TUSD'!$AH$36*'TR TUSD'!$AH$65</f>
        <v>46.047196748082719</v>
      </c>
      <c r="AI36" s="27">
        <f>'TR TUSD'!$AI$36*'TR TUSD'!$AI$65</f>
        <v>3.315937312126501</v>
      </c>
      <c r="AJ36" s="27">
        <f ca="1">'TR TUSD'!$AJ$36*'TR TUSD'!$AJ$65</f>
        <v>113.89617838088712</v>
      </c>
      <c r="AK36" s="27">
        <f ca="1">'TR TUSD'!$AK$36*'TR TUSD'!$AK$65</f>
        <v>12.842714511179256</v>
      </c>
      <c r="AL36" s="27">
        <f ca="1">SUM($AH$36:$AK$36)</f>
        <v>176.10202695227559</v>
      </c>
      <c r="AM36" s="27">
        <f ca="1">SUMIF($L$4:$AL$4,"SUBTOTAL",$L$36:$AL$36)</f>
        <v>744.28468843161818</v>
      </c>
      <c r="AP36" s="27">
        <f>IF((1 - CUSTOS!$M$28)&lt;&gt;0,1/(1 - CUSTOS!$M$28),1)</f>
        <v>1</v>
      </c>
    </row>
    <row r="37" spans="1:42" ht="11.25" customHeight="1" x14ac:dyDescent="0.25">
      <c r="A37" s="124"/>
      <c r="B37" s="124"/>
      <c r="C37" s="124"/>
      <c r="D37" s="124"/>
      <c r="E37" s="124"/>
      <c r="F37" s="124"/>
      <c r="G37" s="28" t="s">
        <v>88</v>
      </c>
      <c r="H37" s="28" t="s">
        <v>86</v>
      </c>
      <c r="I37" s="28">
        <f>'MERCADO TUSD'!$U$34</f>
        <v>0.54600000000000004</v>
      </c>
      <c r="J37" s="18"/>
      <c r="L37" s="27">
        <f>'TR TUSD'!$L$37*'TR TUSD'!$L$65</f>
        <v>14.099336508183265</v>
      </c>
      <c r="M37" s="27">
        <f>'TR TUSD'!$M$37*'TR TUSD'!$M$65</f>
        <v>0.85841172360748186</v>
      </c>
      <c r="N37" s="27">
        <f ca="1">'TR TUSD'!$N$37*'TR TUSD'!$N$65</f>
        <v>4.4927325292623674</v>
      </c>
      <c r="O37" s="27">
        <f>'TR TUSD'!$O$37*'TR TUSD'!$O$65</f>
        <v>0</v>
      </c>
      <c r="P37" s="27">
        <f>'TR TUSD'!$P$37*'TR TUSD'!$P$65</f>
        <v>0</v>
      </c>
      <c r="Q37" s="27">
        <f>'TR TUSD'!$Q$37*'TR TUSD'!$Q$65</f>
        <v>23.618593225562012</v>
      </c>
      <c r="R37" s="27">
        <f>'TR TUSD'!$R$37*'TR TUSD'!$R$65</f>
        <v>9.5568731166785277</v>
      </c>
      <c r="S37" s="27">
        <f>'TR TUSD'!$S$37*'TR TUSD'!$S$65</f>
        <v>0</v>
      </c>
      <c r="T37" s="27">
        <f ca="1">SUM($L$37:$S$37)</f>
        <v>52.625947103293655</v>
      </c>
      <c r="U37" s="27">
        <f>'TR TUSD'!$U$37*'TR TUSD'!$U$65</f>
        <v>23.01379885449521</v>
      </c>
      <c r="V37" s="27">
        <f>'TR TUSD'!$V$37*'TR TUSD'!$V$65</f>
        <v>7.0297680894684425E-2</v>
      </c>
      <c r="W37" s="27">
        <f>'TR TUSD'!$W$37*'TR TUSD'!$W$65</f>
        <v>5.3519389689649519E-2</v>
      </c>
      <c r="X37" s="27">
        <f>'TR TUSD'!$X$37*'TR TUSD'!$X$65</f>
        <v>0</v>
      </c>
      <c r="Y37" s="27">
        <f>'TR TUSD'!$Y$37*'TR TUSD'!$Y$65</f>
        <v>5.4263862043044321E-2</v>
      </c>
      <c r="Z37" s="27">
        <f>'TR TUSD'!$Z$37</f>
        <v>0</v>
      </c>
      <c r="AA37" s="27">
        <f>'TR TUSD'!$AA$37</f>
        <v>0</v>
      </c>
      <c r="AB37" s="27">
        <f>SUM($U$37:$AA$37)</f>
        <v>23.191879787122588</v>
      </c>
      <c r="AC37" s="27">
        <f>'TR TUSD'!$AC$37*'TR TUSD'!$AC$65</f>
        <v>147.69122969275097</v>
      </c>
      <c r="AD37" s="27">
        <f>SUM($AC$37:$AC$37)</f>
        <v>147.69122969275097</v>
      </c>
      <c r="AE37" s="27">
        <v>0</v>
      </c>
      <c r="AF37" s="27">
        <v>0</v>
      </c>
      <c r="AG37" s="27">
        <f>SUM($AE$37:$AF$37)</f>
        <v>0</v>
      </c>
      <c r="AH37" s="27">
        <f>'TR TUSD'!$AH$37*'TR TUSD'!$AH$65</f>
        <v>46.047196748082719</v>
      </c>
      <c r="AI37" s="27">
        <f>'TR TUSD'!$AI$37*'TR TUSD'!$AI$65</f>
        <v>3.315937312126501</v>
      </c>
      <c r="AJ37" s="27">
        <f ca="1">'TR TUSD'!$AJ$37*'TR TUSD'!$AJ$65</f>
        <v>113.89617838088712</v>
      </c>
      <c r="AK37" s="27">
        <f ca="1">'TR TUSD'!$AK$37*'TR TUSD'!$AK$65</f>
        <v>12.842714511179256</v>
      </c>
      <c r="AL37" s="27">
        <f ca="1">SUM($AH$37:$AK$37)</f>
        <v>176.10202695227559</v>
      </c>
      <c r="AM37" s="27">
        <f ca="1">SUMIF($L$4:$AL$4,"SUBTOTAL",$L$37:$AL$37)</f>
        <v>399.61108353544279</v>
      </c>
      <c r="AP37" s="27">
        <f>IF((1 - CUSTOS!$M$28)&lt;&gt;0,1/(1 - CUSTOS!$M$28),1)</f>
        <v>1</v>
      </c>
    </row>
    <row r="38" spans="1:42" ht="11.25" customHeight="1" x14ac:dyDescent="0.25">
      <c r="A38" s="124"/>
      <c r="B38" s="29" t="s">
        <v>23</v>
      </c>
      <c r="C38" s="29" t="s">
        <v>47</v>
      </c>
      <c r="D38" s="29" t="s">
        <v>25</v>
      </c>
      <c r="E38" s="29" t="s">
        <v>25</v>
      </c>
      <c r="F38" s="29" t="s">
        <v>25</v>
      </c>
      <c r="G38" s="28" t="s">
        <v>92</v>
      </c>
      <c r="H38" s="28" t="s">
        <v>86</v>
      </c>
      <c r="I38" s="28">
        <f>'MERCADO TUSD'!$U$35</f>
        <v>64418.971000000005</v>
      </c>
      <c r="J38" s="18"/>
      <c r="L38" s="27">
        <f>'TR TUSD'!$L$38*'TR TUSD'!$L$65</f>
        <v>14.099336508183265</v>
      </c>
      <c r="M38" s="27">
        <f>'TR TUSD'!$M$38*'TR TUSD'!$M$65</f>
        <v>0.85841172360748186</v>
      </c>
      <c r="N38" s="27">
        <f ca="1">'TR TUSD'!$N$38*'TR TUSD'!$N$65</f>
        <v>5.3104995749795414</v>
      </c>
      <c r="O38" s="27">
        <f>'TR TUSD'!$O$38*'TR TUSD'!$O$65</f>
        <v>0</v>
      </c>
      <c r="P38" s="27">
        <f>'TR TUSD'!$P$38*'TR TUSD'!$P$65</f>
        <v>0</v>
      </c>
      <c r="Q38" s="27">
        <f>'TR TUSD'!$Q$38*'TR TUSD'!$Q$65</f>
        <v>23.618593225562012</v>
      </c>
      <c r="R38" s="27">
        <f>'TR TUSD'!$R$38*'TR TUSD'!$R$65</f>
        <v>9.5568731166785277</v>
      </c>
      <c r="S38" s="27">
        <f>'TR TUSD'!$S$38*'TR TUSD'!$S$65</f>
        <v>0</v>
      </c>
      <c r="T38" s="27">
        <f ca="1">SUM($L$38:$S$38)</f>
        <v>53.44371414901083</v>
      </c>
      <c r="U38" s="27">
        <f>'TR TUSD'!$U$38*'TR TUSD'!$U$65</f>
        <v>35.959019542666397</v>
      </c>
      <c r="V38" s="27">
        <f>'TR TUSD'!$V$38*'TR TUSD'!$V$65</f>
        <v>0.10983940293259681</v>
      </c>
      <c r="W38" s="27">
        <f>'TR TUSD'!$W$38*'TR TUSD'!$W$65</f>
        <v>8.3606594415178578E-2</v>
      </c>
      <c r="X38" s="27">
        <f>'TR TUSD'!$X$38*'TR TUSD'!$X$65</f>
        <v>0</v>
      </c>
      <c r="Y38" s="27">
        <f>'TR TUSD'!$Y$38*'TR TUSD'!$Y$65</f>
        <v>8.4777454032466365E-2</v>
      </c>
      <c r="Z38" s="27">
        <f>'TR TUSD'!$Z$38</f>
        <v>0</v>
      </c>
      <c r="AA38" s="27">
        <f>'TR TUSD'!$AA$38</f>
        <v>0</v>
      </c>
      <c r="AB38" s="27">
        <f>SUM($U$38:$AA$38)</f>
        <v>36.237242994046646</v>
      </c>
      <c r="AC38" s="27">
        <f>'TR TUSD'!$AC$38*'TR TUSD'!$AC$65</f>
        <v>230.76751083831468</v>
      </c>
      <c r="AD38" s="27">
        <f>SUM($AC$38:$AC$38)</f>
        <v>230.76751083831468</v>
      </c>
      <c r="AE38" s="27">
        <v>0</v>
      </c>
      <c r="AF38" s="27">
        <v>0</v>
      </c>
      <c r="AG38" s="27">
        <f>SUM($AE$38:$AF$38)</f>
        <v>0</v>
      </c>
      <c r="AH38" s="27">
        <f>'TR TUSD'!$AH$38*'TR TUSD'!$AH$65</f>
        <v>46.047196748082719</v>
      </c>
      <c r="AI38" s="27">
        <f>'TR TUSD'!$AI$38*'TR TUSD'!$AI$65</f>
        <v>3.315937312126501</v>
      </c>
      <c r="AJ38" s="27">
        <f ca="1">'TR TUSD'!$AJ$38*'TR TUSD'!$AJ$65</f>
        <v>113.89617838088712</v>
      </c>
      <c r="AK38" s="27">
        <f ca="1">'TR TUSD'!$AK$38*'TR TUSD'!$AK$65</f>
        <v>12.842714511179256</v>
      </c>
      <c r="AL38" s="27">
        <f ca="1">SUM($AH$38:$AK$38)</f>
        <v>176.10202695227559</v>
      </c>
      <c r="AM38" s="27">
        <f ca="1">SUMIF($L$4:$AL$4,"SUBTOTAL",$L$38:$AL$38)</f>
        <v>496.55049493364771</v>
      </c>
      <c r="AP38" s="27">
        <f>IF((1 - CUSTOS!$M$28)&lt;&gt;0,1/(1 - CUSTOS!$M$28),1)</f>
        <v>1</v>
      </c>
    </row>
    <row r="39" spans="1:42" ht="11.25" customHeight="1" x14ac:dyDescent="0.25">
      <c r="A39" s="124"/>
      <c r="B39" s="124" t="s">
        <v>39</v>
      </c>
      <c r="C39" s="124" t="s">
        <v>47</v>
      </c>
      <c r="D39" s="124" t="s">
        <v>101</v>
      </c>
      <c r="E39" s="124" t="s">
        <v>25</v>
      </c>
      <c r="F39" s="124" t="s">
        <v>25</v>
      </c>
      <c r="G39" s="28" t="s">
        <v>87</v>
      </c>
      <c r="H39" s="28" t="s">
        <v>86</v>
      </c>
      <c r="I39" s="28">
        <f>'MERCADO TUSD'!$U$36</f>
        <v>0</v>
      </c>
      <c r="J39" s="18"/>
      <c r="L39" s="27">
        <f>'TR TUSD'!$L$39*'TR TUSD'!$L$65</f>
        <v>14.099336508183265</v>
      </c>
      <c r="M39" s="27">
        <f>'TR TUSD'!$M$39*'TR TUSD'!$M$65</f>
        <v>0.85841172360748186</v>
      </c>
      <c r="N39" s="27">
        <f ca="1">'TR TUSD'!$N$39*'TR TUSD'!$N$65</f>
        <v>10.307967618648361</v>
      </c>
      <c r="O39" s="27">
        <f>'TR TUSD'!$O$39*'TR TUSD'!$O$65</f>
        <v>0</v>
      </c>
      <c r="P39" s="27">
        <f>'TR TUSD'!$P$39*'TR TUSD'!$P$65</f>
        <v>0</v>
      </c>
      <c r="Q39" s="27">
        <f>'TR TUSD'!$Q$39*'TR TUSD'!$Q$65</f>
        <v>23.618593225562012</v>
      </c>
      <c r="R39" s="27">
        <f>'TR TUSD'!$R$39*'TR TUSD'!$R$65</f>
        <v>9.5568731166785277</v>
      </c>
      <c r="S39" s="27">
        <f>'TR TUSD'!$S$39*'TR TUSD'!$S$65</f>
        <v>0</v>
      </c>
      <c r="T39" s="27">
        <f ca="1">SUM($L$39:$S$39)</f>
        <v>58.441182192679648</v>
      </c>
      <c r="U39" s="27">
        <f>'TR TUSD'!$U$39*'TR TUSD'!$U$65</f>
        <v>115.06890017537351</v>
      </c>
      <c r="V39" s="27">
        <f>'TR TUSD'!$V$39*'TR TUSD'!$V$65</f>
        <v>0.35148840447342211</v>
      </c>
      <c r="W39" s="27">
        <f>'TR TUSD'!$W$39*'TR TUSD'!$W$65</f>
        <v>0.26755040984851741</v>
      </c>
      <c r="X39" s="27">
        <f>'TR TUSD'!$X$39*'TR TUSD'!$X$65</f>
        <v>0</v>
      </c>
      <c r="Y39" s="27">
        <f>'TR TUSD'!$Y$39*'TR TUSD'!$Y$65</f>
        <v>0.2713193102152216</v>
      </c>
      <c r="Z39" s="27">
        <f>'TR TUSD'!$Z$39</f>
        <v>0</v>
      </c>
      <c r="AA39" s="27">
        <f>'TR TUSD'!$AA$39</f>
        <v>0</v>
      </c>
      <c r="AB39" s="27">
        <f>SUM($U$39:$AA$39)</f>
        <v>115.95925829991067</v>
      </c>
      <c r="AC39" s="27">
        <f>'TR TUSD'!$AC$39*'TR TUSD'!$AC$65</f>
        <v>738.45592090145908</v>
      </c>
      <c r="AD39" s="27">
        <f>SUM($AC$39:$AC$39)</f>
        <v>738.45592090145908</v>
      </c>
      <c r="AE39" s="27">
        <v>0</v>
      </c>
      <c r="AF39" s="27">
        <v>0</v>
      </c>
      <c r="AG39" s="27">
        <f>SUM($AE$39:$AF$39)</f>
        <v>0</v>
      </c>
      <c r="AH39" s="27">
        <f>'TR TUSD'!$AH$39*'TR TUSD'!$AH$65</f>
        <v>46.047196748082719</v>
      </c>
      <c r="AI39" s="27">
        <f>'TR TUSD'!$AI$39*'TR TUSD'!$AI$65</f>
        <v>3.315937312126501</v>
      </c>
      <c r="AJ39" s="27">
        <f ca="1">'TR TUSD'!$AJ$39*'TR TUSD'!$AJ$65</f>
        <v>113.89617838088712</v>
      </c>
      <c r="AK39" s="27">
        <f ca="1">'TR TUSD'!$AK$39*'TR TUSD'!$AK$65</f>
        <v>12.842714511179256</v>
      </c>
      <c r="AL39" s="27">
        <f ca="1">SUM($AH$39:$AK$39)</f>
        <v>176.10202695227559</v>
      </c>
      <c r="AM39" s="27">
        <f ca="1">SUMIF($L$4:$AL$4,"SUBTOTAL",$L$39:$AL$39)</f>
        <v>1088.9583883463249</v>
      </c>
      <c r="AP39" s="27">
        <f>IF((1 - CUSTOS!$M$29)&lt;&gt;0,1/(1 - CUSTOS!$M$29),1)</f>
        <v>1</v>
      </c>
    </row>
    <row r="40" spans="1:42" ht="11.25" customHeight="1" x14ac:dyDescent="0.25">
      <c r="A40" s="124"/>
      <c r="B40" s="124"/>
      <c r="C40" s="124"/>
      <c r="D40" s="124"/>
      <c r="E40" s="124"/>
      <c r="F40" s="124"/>
      <c r="G40" s="28" t="s">
        <v>98</v>
      </c>
      <c r="H40" s="28" t="s">
        <v>86</v>
      </c>
      <c r="I40" s="28">
        <f>'MERCADO TUSD'!$U$37</f>
        <v>0</v>
      </c>
      <c r="J40" s="18"/>
      <c r="L40" s="27">
        <f>'TR TUSD'!$L$40*'TR TUSD'!$L$65</f>
        <v>14.099336508183265</v>
      </c>
      <c r="M40" s="27">
        <f>'TR TUSD'!$M$40*'TR TUSD'!$M$65</f>
        <v>0.85841172360748186</v>
      </c>
      <c r="N40" s="27">
        <f ca="1">'TR TUSD'!$N$40*'TR TUSD'!$N$65</f>
        <v>7.4003496132410174</v>
      </c>
      <c r="O40" s="27">
        <f>'TR TUSD'!$O$40*'TR TUSD'!$O$65</f>
        <v>0</v>
      </c>
      <c r="P40" s="27">
        <f>'TR TUSD'!$P$40*'TR TUSD'!$P$65</f>
        <v>0</v>
      </c>
      <c r="Q40" s="27">
        <f>'TR TUSD'!$Q$40*'TR TUSD'!$Q$65</f>
        <v>23.618593225562012</v>
      </c>
      <c r="R40" s="27">
        <f>'TR TUSD'!$R$40*'TR TUSD'!$R$65</f>
        <v>9.5568731166785277</v>
      </c>
      <c r="S40" s="27">
        <f>'TR TUSD'!$S$40*'TR TUSD'!$S$65</f>
        <v>0</v>
      </c>
      <c r="T40" s="27">
        <f ca="1">SUM($L$40:$S$40)</f>
        <v>55.533564187272304</v>
      </c>
      <c r="U40" s="27">
        <f>'TR TUSD'!$U$40*'TR TUSD'!$U$65</f>
        <v>69.041302466383087</v>
      </c>
      <c r="V40" s="27">
        <f>'TR TUSD'!$V$40*'TR TUSD'!$V$65</f>
        <v>0.21089304268405326</v>
      </c>
      <c r="W40" s="27">
        <f>'TR TUSD'!$W$40*'TR TUSD'!$W$65</f>
        <v>0.16053489976908347</v>
      </c>
      <c r="X40" s="27">
        <f>'TR TUSD'!$X$40*'TR TUSD'!$X$65</f>
        <v>0</v>
      </c>
      <c r="Y40" s="27">
        <f>'TR TUSD'!$Y$40*'TR TUSD'!$Y$65</f>
        <v>0.16279158612913297</v>
      </c>
      <c r="Z40" s="27">
        <f>'TR TUSD'!$Z$40</f>
        <v>0</v>
      </c>
      <c r="AA40" s="27">
        <f>'TR TUSD'!$AA$40</f>
        <v>0</v>
      </c>
      <c r="AB40" s="27">
        <f>SUM($U$40:$AA$40)</f>
        <v>69.575521994965356</v>
      </c>
      <c r="AC40" s="27">
        <f>'TR TUSD'!$AC$40*'TR TUSD'!$AC$65</f>
        <v>443.07357529710498</v>
      </c>
      <c r="AD40" s="27">
        <f>SUM($AC$40:$AC$40)</f>
        <v>443.07357529710498</v>
      </c>
      <c r="AE40" s="27">
        <v>0</v>
      </c>
      <c r="AF40" s="27">
        <v>0</v>
      </c>
      <c r="AG40" s="27">
        <f>SUM($AE$40:$AF$40)</f>
        <v>0</v>
      </c>
      <c r="AH40" s="27">
        <f>'TR TUSD'!$AH$40*'TR TUSD'!$AH$65</f>
        <v>46.047196748082719</v>
      </c>
      <c r="AI40" s="27">
        <f>'TR TUSD'!$AI$40*'TR TUSD'!$AI$65</f>
        <v>3.315937312126501</v>
      </c>
      <c r="AJ40" s="27">
        <f ca="1">'TR TUSD'!$AJ$40*'TR TUSD'!$AJ$65</f>
        <v>113.89617838088712</v>
      </c>
      <c r="AK40" s="27">
        <f ca="1">'TR TUSD'!$AK$40*'TR TUSD'!$AK$65</f>
        <v>12.842714511179256</v>
      </c>
      <c r="AL40" s="27">
        <f ca="1">SUM($AH$40:$AK$40)</f>
        <v>176.10202695227559</v>
      </c>
      <c r="AM40" s="27">
        <f ca="1">SUMIF($L$4:$AL$4,"SUBTOTAL",$L$40:$AL$40)</f>
        <v>744.28468843161818</v>
      </c>
      <c r="AP40" s="27">
        <f>IF((1 - CUSTOS!$M$29)&lt;&gt;0,1/(1 - CUSTOS!$M$29),1)</f>
        <v>1</v>
      </c>
    </row>
    <row r="41" spans="1:42" ht="11.25" customHeight="1" x14ac:dyDescent="0.25">
      <c r="A41" s="124"/>
      <c r="B41" s="124"/>
      <c r="C41" s="124"/>
      <c r="D41" s="124"/>
      <c r="E41" s="124"/>
      <c r="F41" s="124"/>
      <c r="G41" s="28" t="s">
        <v>88</v>
      </c>
      <c r="H41" s="28" t="s">
        <v>86</v>
      </c>
      <c r="I41" s="28">
        <f>'MERCADO TUSD'!$U$38</f>
        <v>0</v>
      </c>
      <c r="J41" s="18"/>
      <c r="L41" s="27">
        <f>'TR TUSD'!$L$41*'TR TUSD'!$L$65</f>
        <v>14.099336508183265</v>
      </c>
      <c r="M41" s="27">
        <f>'TR TUSD'!$M$41*'TR TUSD'!$M$65</f>
        <v>0.85841172360748186</v>
      </c>
      <c r="N41" s="27">
        <f ca="1">'TR TUSD'!$N$41*'TR TUSD'!$N$65</f>
        <v>4.4927325292623674</v>
      </c>
      <c r="O41" s="27">
        <f>'TR TUSD'!$O$41*'TR TUSD'!$O$65</f>
        <v>0</v>
      </c>
      <c r="P41" s="27">
        <f>'TR TUSD'!$P$41*'TR TUSD'!$P$65</f>
        <v>0</v>
      </c>
      <c r="Q41" s="27">
        <f>'TR TUSD'!$Q$41*'TR TUSD'!$Q$65</f>
        <v>23.618593225562012</v>
      </c>
      <c r="R41" s="27">
        <f>'TR TUSD'!$R$41*'TR TUSD'!$R$65</f>
        <v>9.5568731166785277</v>
      </c>
      <c r="S41" s="27">
        <f>'TR TUSD'!$S$41*'TR TUSD'!$S$65</f>
        <v>0</v>
      </c>
      <c r="T41" s="27">
        <f ca="1">SUM($L$41:$S$41)</f>
        <v>52.625947103293655</v>
      </c>
      <c r="U41" s="27">
        <f>'TR TUSD'!$U$41*'TR TUSD'!$U$65</f>
        <v>23.01379885449521</v>
      </c>
      <c r="V41" s="27">
        <f>'TR TUSD'!$V$41*'TR TUSD'!$V$65</f>
        <v>7.0297680894684425E-2</v>
      </c>
      <c r="W41" s="27">
        <f>'TR TUSD'!$W$41*'TR TUSD'!$W$65</f>
        <v>5.3519389689649519E-2</v>
      </c>
      <c r="X41" s="27">
        <f>'TR TUSD'!$X$41*'TR TUSD'!$X$65</f>
        <v>0</v>
      </c>
      <c r="Y41" s="27">
        <f>'TR TUSD'!$Y$41*'TR TUSD'!$Y$65</f>
        <v>5.4263862043044321E-2</v>
      </c>
      <c r="Z41" s="27">
        <f>'TR TUSD'!$Z$41</f>
        <v>0</v>
      </c>
      <c r="AA41" s="27">
        <f>'TR TUSD'!$AA$41</f>
        <v>0</v>
      </c>
      <c r="AB41" s="27">
        <f>SUM($U$41:$AA$41)</f>
        <v>23.191879787122588</v>
      </c>
      <c r="AC41" s="27">
        <f>'TR TUSD'!$AC$41*'TR TUSD'!$AC$65</f>
        <v>147.69122969275097</v>
      </c>
      <c r="AD41" s="27">
        <f>SUM($AC$41:$AC$41)</f>
        <v>147.69122969275097</v>
      </c>
      <c r="AE41" s="27">
        <v>0</v>
      </c>
      <c r="AF41" s="27">
        <v>0</v>
      </c>
      <c r="AG41" s="27">
        <f>SUM($AE$41:$AF$41)</f>
        <v>0</v>
      </c>
      <c r="AH41" s="27">
        <f>'TR TUSD'!$AH$41*'TR TUSD'!$AH$65</f>
        <v>46.047196748082719</v>
      </c>
      <c r="AI41" s="27">
        <f>'TR TUSD'!$AI$41*'TR TUSD'!$AI$65</f>
        <v>3.315937312126501</v>
      </c>
      <c r="AJ41" s="27">
        <f ca="1">'TR TUSD'!$AJ$41*'TR TUSD'!$AJ$65</f>
        <v>113.89617838088712</v>
      </c>
      <c r="AK41" s="27">
        <f ca="1">'TR TUSD'!$AK$41*'TR TUSD'!$AK$65</f>
        <v>12.842714511179256</v>
      </c>
      <c r="AL41" s="27">
        <f ca="1">SUM($AH$41:$AK$41)</f>
        <v>176.10202695227559</v>
      </c>
      <c r="AM41" s="27">
        <f ca="1">SUMIF($L$4:$AL$4,"SUBTOTAL",$L$41:$AL$41)</f>
        <v>399.61108353544279</v>
      </c>
      <c r="AP41" s="27">
        <f>IF((1 - CUSTOS!$M$29)&lt;&gt;0,1/(1 - CUSTOS!$M$29),1)</f>
        <v>1</v>
      </c>
    </row>
    <row r="42" spans="1:42" ht="11.25" customHeight="1" x14ac:dyDescent="0.25">
      <c r="A42" s="124"/>
      <c r="B42" s="29" t="s">
        <v>23</v>
      </c>
      <c r="C42" s="29" t="s">
        <v>47</v>
      </c>
      <c r="D42" s="29" t="s">
        <v>101</v>
      </c>
      <c r="E42" s="29" t="s">
        <v>25</v>
      </c>
      <c r="F42" s="29" t="s">
        <v>25</v>
      </c>
      <c r="G42" s="28" t="s">
        <v>92</v>
      </c>
      <c r="H42" s="28" t="s">
        <v>86</v>
      </c>
      <c r="I42" s="28">
        <f>'MERCADO TUSD'!$U$39</f>
        <v>0</v>
      </c>
      <c r="J42" s="18"/>
      <c r="L42" s="27">
        <f>'TR TUSD'!$L$42*'TR TUSD'!$L$65</f>
        <v>14.099336508183265</v>
      </c>
      <c r="M42" s="27">
        <f>'TR TUSD'!$M$42*'TR TUSD'!$M$65</f>
        <v>0.85841172360748186</v>
      </c>
      <c r="N42" s="27">
        <f ca="1">'TR TUSD'!$N$42*'TR TUSD'!$N$65</f>
        <v>5.3104995749795414</v>
      </c>
      <c r="O42" s="27">
        <f>'TR TUSD'!$O$42*'TR TUSD'!$O$65</f>
        <v>0</v>
      </c>
      <c r="P42" s="27">
        <f>'TR TUSD'!$P$42*'TR TUSD'!$P$65</f>
        <v>0</v>
      </c>
      <c r="Q42" s="27">
        <f>'TR TUSD'!$Q$42*'TR TUSD'!$Q$65</f>
        <v>23.618593225562012</v>
      </c>
      <c r="R42" s="27">
        <f>'TR TUSD'!$R$42*'TR TUSD'!$R$65</f>
        <v>9.5568731166785277</v>
      </c>
      <c r="S42" s="27">
        <f>'TR TUSD'!$S$42*'TR TUSD'!$S$65</f>
        <v>0</v>
      </c>
      <c r="T42" s="27">
        <f ca="1">SUM($L$42:$S$42)</f>
        <v>53.44371414901083</v>
      </c>
      <c r="U42" s="27">
        <f>'TR TUSD'!$U$42*'TR TUSD'!$U$65</f>
        <v>35.959019542666397</v>
      </c>
      <c r="V42" s="27">
        <f>'TR TUSD'!$V$42*'TR TUSD'!$V$65</f>
        <v>0.10983940293259681</v>
      </c>
      <c r="W42" s="27">
        <f>'TR TUSD'!$W$42*'TR TUSD'!$W$65</f>
        <v>8.3606594415178578E-2</v>
      </c>
      <c r="X42" s="27">
        <f>'TR TUSD'!$X$42*'TR TUSD'!$X$65</f>
        <v>0</v>
      </c>
      <c r="Y42" s="27">
        <f>'TR TUSD'!$Y$42*'TR TUSD'!$Y$65</f>
        <v>8.4777454032466365E-2</v>
      </c>
      <c r="Z42" s="27">
        <f>'TR TUSD'!$Z$42</f>
        <v>0</v>
      </c>
      <c r="AA42" s="27">
        <f>'TR TUSD'!$AA$42</f>
        <v>0</v>
      </c>
      <c r="AB42" s="27">
        <f>SUM($U$42:$AA$42)</f>
        <v>36.237242994046646</v>
      </c>
      <c r="AC42" s="27">
        <f>'TR TUSD'!$AC$42*'TR TUSD'!$AC$65</f>
        <v>230.76751083831468</v>
      </c>
      <c r="AD42" s="27">
        <f>SUM($AC$42:$AC$42)</f>
        <v>230.76751083831468</v>
      </c>
      <c r="AE42" s="27">
        <v>0</v>
      </c>
      <c r="AF42" s="27">
        <v>0</v>
      </c>
      <c r="AG42" s="27">
        <f>SUM($AE$42:$AF$42)</f>
        <v>0</v>
      </c>
      <c r="AH42" s="27">
        <f>'TR TUSD'!$AH$42*'TR TUSD'!$AH$65</f>
        <v>46.047196748082719</v>
      </c>
      <c r="AI42" s="27">
        <f>'TR TUSD'!$AI$42*'TR TUSD'!$AI$65</f>
        <v>3.315937312126501</v>
      </c>
      <c r="AJ42" s="27">
        <f ca="1">'TR TUSD'!$AJ$42*'TR TUSD'!$AJ$65</f>
        <v>113.89617838088712</v>
      </c>
      <c r="AK42" s="27">
        <f ca="1">'TR TUSD'!$AK$42*'TR TUSD'!$AK$65</f>
        <v>12.842714511179256</v>
      </c>
      <c r="AL42" s="27">
        <f ca="1">SUM($AH$42:$AK$42)</f>
        <v>176.10202695227559</v>
      </c>
      <c r="AM42" s="27">
        <f ca="1">SUMIF($L$4:$AL$4,"SUBTOTAL",$L$42:$AL$42)</f>
        <v>496.55049493364771</v>
      </c>
      <c r="AP42" s="27">
        <f>IF((1 - CUSTOS!$M$29)&lt;&gt;0,1/(1 - CUSTOS!$M$29),1)</f>
        <v>1</v>
      </c>
    </row>
    <row r="43" spans="1:42" ht="11.25" customHeight="1" x14ac:dyDescent="0.25">
      <c r="A43" s="124"/>
      <c r="B43" s="124" t="s">
        <v>39</v>
      </c>
      <c r="C43" s="124" t="s">
        <v>47</v>
      </c>
      <c r="D43" s="124" t="s">
        <v>55</v>
      </c>
      <c r="E43" s="124" t="s">
        <v>25</v>
      </c>
      <c r="F43" s="124" t="s">
        <v>25</v>
      </c>
      <c r="G43" s="28" t="s">
        <v>87</v>
      </c>
      <c r="H43" s="28" t="s">
        <v>86</v>
      </c>
      <c r="I43" s="28">
        <f>'MERCADO TUSD'!$U$40</f>
        <v>0</v>
      </c>
      <c r="J43" s="18"/>
      <c r="L43" s="27">
        <f>'TR TUSD'!$L$43*'TR TUSD'!$L$65</f>
        <v>14.099336508183265</v>
      </c>
      <c r="M43" s="27">
        <f>'TR TUSD'!$M$43*'TR TUSD'!$M$65</f>
        <v>0.85841172360748186</v>
      </c>
      <c r="N43" s="27">
        <f ca="1">'TR TUSD'!$N$43*'TR TUSD'!$N$65</f>
        <v>10.307967618648361</v>
      </c>
      <c r="O43" s="27">
        <f>'TR TUSD'!$O$43*'TR TUSD'!$O$65</f>
        <v>0</v>
      </c>
      <c r="P43" s="27">
        <f>'TR TUSD'!$P$43*'TR TUSD'!$P$65</f>
        <v>0</v>
      </c>
      <c r="Q43" s="27">
        <f>'TR TUSD'!$Q$43*'TR TUSD'!$Q$65</f>
        <v>23.618593225562012</v>
      </c>
      <c r="R43" s="27">
        <f>'TR TUSD'!$R$43*'TR TUSD'!$R$65</f>
        <v>9.5568731166785277</v>
      </c>
      <c r="S43" s="27">
        <f>'TR TUSD'!$S$43*'TR TUSD'!$S$65</f>
        <v>0</v>
      </c>
      <c r="T43" s="27">
        <f ca="1">SUM($L$43:$S$43)</f>
        <v>58.441182192679648</v>
      </c>
      <c r="U43" s="27">
        <f>'TR TUSD'!$U$43*'TR TUSD'!$U$65</f>
        <v>115.06890017537351</v>
      </c>
      <c r="V43" s="27">
        <f>'TR TUSD'!$V$43*'TR TUSD'!$V$65</f>
        <v>0.35148840447342211</v>
      </c>
      <c r="W43" s="27">
        <f>'TR TUSD'!$W$43*'TR TUSD'!$W$65</f>
        <v>0.26755040984851741</v>
      </c>
      <c r="X43" s="27">
        <f>'TR TUSD'!$X$43*'TR TUSD'!$X$65</f>
        <v>0</v>
      </c>
      <c r="Y43" s="27">
        <f>'TR TUSD'!$Y$43*'TR TUSD'!$Y$65</f>
        <v>0.2713193102152216</v>
      </c>
      <c r="Z43" s="27">
        <f>'TR TUSD'!$Z$43</f>
        <v>0</v>
      </c>
      <c r="AA43" s="27">
        <f>'TR TUSD'!$AA$43</f>
        <v>0</v>
      </c>
      <c r="AB43" s="27">
        <f>SUM($U$43:$AA$43)</f>
        <v>115.95925829991067</v>
      </c>
      <c r="AC43" s="27">
        <f>'TR TUSD'!$AC$43*'TR TUSD'!$AC$65</f>
        <v>738.45592090145908</v>
      </c>
      <c r="AD43" s="27">
        <f>SUM($AC$43:$AC$43)</f>
        <v>738.45592090145908</v>
      </c>
      <c r="AE43" s="27">
        <v>0</v>
      </c>
      <c r="AF43" s="27">
        <v>0</v>
      </c>
      <c r="AG43" s="27">
        <f>SUM($AE$43:$AF$43)</f>
        <v>0</v>
      </c>
      <c r="AH43" s="27">
        <f>'TR TUSD'!$AH$43*'TR TUSD'!$AH$65</f>
        <v>46.047196748082719</v>
      </c>
      <c r="AI43" s="27">
        <f>'TR TUSD'!$AI$43*'TR TUSD'!$AI$65</f>
        <v>3.315937312126501</v>
      </c>
      <c r="AJ43" s="27">
        <f ca="1">'TR TUSD'!$AJ$43*'TR TUSD'!$AJ$65</f>
        <v>113.89617838088712</v>
      </c>
      <c r="AK43" s="27">
        <f ca="1">'TR TUSD'!$AK$43*'TR TUSD'!$AK$65</f>
        <v>12.842714511179256</v>
      </c>
      <c r="AL43" s="27">
        <f ca="1">SUM($AH$43:$AK$43)</f>
        <v>176.10202695227559</v>
      </c>
      <c r="AM43" s="27">
        <f ca="1">SUMIF($L$4:$AL$4,"SUBTOTAL",$L$43:$AL$43)</f>
        <v>1088.9583883463249</v>
      </c>
      <c r="AP43" s="27">
        <f>IF((1 - CUSTOS!$M$30)&lt;&gt;0,1/(1 - CUSTOS!$M$30),1)</f>
        <v>1</v>
      </c>
    </row>
    <row r="44" spans="1:42" ht="11.25" customHeight="1" x14ac:dyDescent="0.25">
      <c r="A44" s="124"/>
      <c r="B44" s="124"/>
      <c r="C44" s="124"/>
      <c r="D44" s="124"/>
      <c r="E44" s="124"/>
      <c r="F44" s="124"/>
      <c r="G44" s="28" t="s">
        <v>98</v>
      </c>
      <c r="H44" s="28" t="s">
        <v>86</v>
      </c>
      <c r="I44" s="28">
        <f>'MERCADO TUSD'!$U$41</f>
        <v>0</v>
      </c>
      <c r="J44" s="18"/>
      <c r="L44" s="27">
        <f>'TR TUSD'!$L$44*'TR TUSD'!$L$65</f>
        <v>14.099336508183265</v>
      </c>
      <c r="M44" s="27">
        <f>'TR TUSD'!$M$44*'TR TUSD'!$M$65</f>
        <v>0.85841172360748186</v>
      </c>
      <c r="N44" s="27">
        <f ca="1">'TR TUSD'!$N$44*'TR TUSD'!$N$65</f>
        <v>7.4003496132410174</v>
      </c>
      <c r="O44" s="27">
        <f>'TR TUSD'!$O$44*'TR TUSD'!$O$65</f>
        <v>0</v>
      </c>
      <c r="P44" s="27">
        <f>'TR TUSD'!$P$44*'TR TUSD'!$P$65</f>
        <v>0</v>
      </c>
      <c r="Q44" s="27">
        <f>'TR TUSD'!$Q$44*'TR TUSD'!$Q$65</f>
        <v>23.618593225562012</v>
      </c>
      <c r="R44" s="27">
        <f>'TR TUSD'!$R$44*'TR TUSD'!$R$65</f>
        <v>9.5568731166785277</v>
      </c>
      <c r="S44" s="27">
        <f>'TR TUSD'!$S$44*'TR TUSD'!$S$65</f>
        <v>0</v>
      </c>
      <c r="T44" s="27">
        <f ca="1">SUM($L$44:$S$44)</f>
        <v>55.533564187272304</v>
      </c>
      <c r="U44" s="27">
        <f>'TR TUSD'!$U$44*'TR TUSD'!$U$65</f>
        <v>69.041302466383087</v>
      </c>
      <c r="V44" s="27">
        <f>'TR TUSD'!$V$44*'TR TUSD'!$V$65</f>
        <v>0.21089304268405326</v>
      </c>
      <c r="W44" s="27">
        <f>'TR TUSD'!$W$44*'TR TUSD'!$W$65</f>
        <v>0.16053489976908347</v>
      </c>
      <c r="X44" s="27">
        <f>'TR TUSD'!$X$44*'TR TUSD'!$X$65</f>
        <v>0</v>
      </c>
      <c r="Y44" s="27">
        <f>'TR TUSD'!$Y$44*'TR TUSD'!$Y$65</f>
        <v>0.16279158612913297</v>
      </c>
      <c r="Z44" s="27">
        <f>'TR TUSD'!$Z$44</f>
        <v>0</v>
      </c>
      <c r="AA44" s="27">
        <f>'TR TUSD'!$AA$44</f>
        <v>0</v>
      </c>
      <c r="AB44" s="27">
        <f>SUM($U$44:$AA$44)</f>
        <v>69.575521994965356</v>
      </c>
      <c r="AC44" s="27">
        <f>'TR TUSD'!$AC$44*'TR TUSD'!$AC$65</f>
        <v>443.07357529710498</v>
      </c>
      <c r="AD44" s="27">
        <f>SUM($AC$44:$AC$44)</f>
        <v>443.07357529710498</v>
      </c>
      <c r="AE44" s="27">
        <v>0</v>
      </c>
      <c r="AF44" s="27">
        <v>0</v>
      </c>
      <c r="AG44" s="27">
        <f>SUM($AE$44:$AF$44)</f>
        <v>0</v>
      </c>
      <c r="AH44" s="27">
        <f>'TR TUSD'!$AH$44*'TR TUSD'!$AH$65</f>
        <v>46.047196748082719</v>
      </c>
      <c r="AI44" s="27">
        <f>'TR TUSD'!$AI$44*'TR TUSD'!$AI$65</f>
        <v>3.315937312126501</v>
      </c>
      <c r="AJ44" s="27">
        <f ca="1">'TR TUSD'!$AJ$44*'TR TUSD'!$AJ$65</f>
        <v>113.89617838088712</v>
      </c>
      <c r="AK44" s="27">
        <f ca="1">'TR TUSD'!$AK$44*'TR TUSD'!$AK$65</f>
        <v>12.842714511179256</v>
      </c>
      <c r="AL44" s="27">
        <f ca="1">SUM($AH$44:$AK$44)</f>
        <v>176.10202695227559</v>
      </c>
      <c r="AM44" s="27">
        <f ca="1">SUMIF($L$4:$AL$4,"SUBTOTAL",$L$44:$AL$44)</f>
        <v>744.28468843161818</v>
      </c>
      <c r="AP44" s="27">
        <f>IF((1 - CUSTOS!$M$30)&lt;&gt;0,1/(1 - CUSTOS!$M$30),1)</f>
        <v>1</v>
      </c>
    </row>
    <row r="45" spans="1:42" ht="11.25" customHeight="1" x14ac:dyDescent="0.25">
      <c r="A45" s="124"/>
      <c r="B45" s="124"/>
      <c r="C45" s="124"/>
      <c r="D45" s="124"/>
      <c r="E45" s="124"/>
      <c r="F45" s="124"/>
      <c r="G45" s="28" t="s">
        <v>88</v>
      </c>
      <c r="H45" s="28" t="s">
        <v>86</v>
      </c>
      <c r="I45" s="28">
        <f>'MERCADO TUSD'!$U$42</f>
        <v>0</v>
      </c>
      <c r="J45" s="18"/>
      <c r="L45" s="27">
        <f>'TR TUSD'!$L$45*'TR TUSD'!$L$65</f>
        <v>14.099336508183265</v>
      </c>
      <c r="M45" s="27">
        <f>'TR TUSD'!$M$45*'TR TUSD'!$M$65</f>
        <v>0.85841172360748186</v>
      </c>
      <c r="N45" s="27">
        <f ca="1">'TR TUSD'!$N$45*'TR TUSD'!$N$65</f>
        <v>4.4927325292623674</v>
      </c>
      <c r="O45" s="27">
        <f>'TR TUSD'!$O$45*'TR TUSD'!$O$65</f>
        <v>0</v>
      </c>
      <c r="P45" s="27">
        <f>'TR TUSD'!$P$45*'TR TUSD'!$P$65</f>
        <v>0</v>
      </c>
      <c r="Q45" s="27">
        <f>'TR TUSD'!$Q$45*'TR TUSD'!$Q$65</f>
        <v>23.618593225562012</v>
      </c>
      <c r="R45" s="27">
        <f>'TR TUSD'!$R$45*'TR TUSD'!$R$65</f>
        <v>9.5568731166785277</v>
      </c>
      <c r="S45" s="27">
        <f>'TR TUSD'!$S$45*'TR TUSD'!$S$65</f>
        <v>0</v>
      </c>
      <c r="T45" s="27">
        <f ca="1">SUM($L$45:$S$45)</f>
        <v>52.625947103293655</v>
      </c>
      <c r="U45" s="27">
        <f>'TR TUSD'!$U$45*'TR TUSD'!$U$65</f>
        <v>23.01379885449521</v>
      </c>
      <c r="V45" s="27">
        <f>'TR TUSD'!$V$45*'TR TUSD'!$V$65</f>
        <v>7.0297680894684425E-2</v>
      </c>
      <c r="W45" s="27">
        <f>'TR TUSD'!$W$45*'TR TUSD'!$W$65</f>
        <v>5.3519389689649519E-2</v>
      </c>
      <c r="X45" s="27">
        <f>'TR TUSD'!$X$45*'TR TUSD'!$X$65</f>
        <v>0</v>
      </c>
      <c r="Y45" s="27">
        <f>'TR TUSD'!$Y$45*'TR TUSD'!$Y$65</f>
        <v>5.4263862043044321E-2</v>
      </c>
      <c r="Z45" s="27">
        <f>'TR TUSD'!$Z$45</f>
        <v>0</v>
      </c>
      <c r="AA45" s="27">
        <f>'TR TUSD'!$AA$45</f>
        <v>0</v>
      </c>
      <c r="AB45" s="27">
        <f>SUM($U$45:$AA$45)</f>
        <v>23.191879787122588</v>
      </c>
      <c r="AC45" s="27">
        <f>'TR TUSD'!$AC$45*'TR TUSD'!$AC$65</f>
        <v>147.69122969275097</v>
      </c>
      <c r="AD45" s="27">
        <f>SUM($AC$45:$AC$45)</f>
        <v>147.69122969275097</v>
      </c>
      <c r="AE45" s="27">
        <v>0</v>
      </c>
      <c r="AF45" s="27">
        <v>0</v>
      </c>
      <c r="AG45" s="27">
        <f>SUM($AE$45:$AF$45)</f>
        <v>0</v>
      </c>
      <c r="AH45" s="27">
        <f>'TR TUSD'!$AH$45*'TR TUSD'!$AH$65</f>
        <v>46.047196748082719</v>
      </c>
      <c r="AI45" s="27">
        <f>'TR TUSD'!$AI$45*'TR TUSD'!$AI$65</f>
        <v>3.315937312126501</v>
      </c>
      <c r="AJ45" s="27">
        <f ca="1">'TR TUSD'!$AJ$45*'TR TUSD'!$AJ$65</f>
        <v>113.89617838088712</v>
      </c>
      <c r="AK45" s="27">
        <f ca="1">'TR TUSD'!$AK$45*'TR TUSD'!$AK$65</f>
        <v>12.842714511179256</v>
      </c>
      <c r="AL45" s="27">
        <f ca="1">SUM($AH$45:$AK$45)</f>
        <v>176.10202695227559</v>
      </c>
      <c r="AM45" s="27">
        <f ca="1">SUMIF($L$4:$AL$4,"SUBTOTAL",$L$45:$AL$45)</f>
        <v>399.61108353544279</v>
      </c>
      <c r="AP45" s="27">
        <f>IF((1 - CUSTOS!$M$30)&lt;&gt;0,1/(1 - CUSTOS!$M$30),1)</f>
        <v>1</v>
      </c>
    </row>
    <row r="46" spans="1:42" ht="11.25" customHeight="1" x14ac:dyDescent="0.25">
      <c r="A46" s="124"/>
      <c r="B46" s="29" t="s">
        <v>23</v>
      </c>
      <c r="C46" s="29" t="s">
        <v>47</v>
      </c>
      <c r="D46" s="29" t="s">
        <v>55</v>
      </c>
      <c r="E46" s="29" t="s">
        <v>25</v>
      </c>
      <c r="F46" s="29" t="s">
        <v>25</v>
      </c>
      <c r="G46" s="28" t="s">
        <v>92</v>
      </c>
      <c r="H46" s="28" t="s">
        <v>86</v>
      </c>
      <c r="I46" s="28">
        <f>'MERCADO TUSD'!$U$43</f>
        <v>26.512</v>
      </c>
      <c r="J46" s="18"/>
      <c r="L46" s="27">
        <f>'TR TUSD'!$L$46*'TR TUSD'!$L$65</f>
        <v>14.099336508183265</v>
      </c>
      <c r="M46" s="27">
        <f>'TR TUSD'!$M$46*'TR TUSD'!$M$65</f>
        <v>0.85841172360748186</v>
      </c>
      <c r="N46" s="27">
        <f ca="1">'TR TUSD'!$N$46*'TR TUSD'!$N$65</f>
        <v>5.3104995749795414</v>
      </c>
      <c r="O46" s="27">
        <f>'TR TUSD'!$O$46*'TR TUSD'!$O$65</f>
        <v>0</v>
      </c>
      <c r="P46" s="27">
        <f>'TR TUSD'!$P$46*'TR TUSD'!$P$65</f>
        <v>0</v>
      </c>
      <c r="Q46" s="27">
        <f>'TR TUSD'!$Q$46*'TR TUSD'!$Q$65</f>
        <v>23.618593225562012</v>
      </c>
      <c r="R46" s="27">
        <f>'TR TUSD'!$R$46*'TR TUSD'!$R$65</f>
        <v>9.5568731166785277</v>
      </c>
      <c r="S46" s="27">
        <f>'TR TUSD'!$S$46*'TR TUSD'!$S$65</f>
        <v>0</v>
      </c>
      <c r="T46" s="27">
        <f ca="1">SUM($L$46:$S$46)</f>
        <v>53.44371414901083</v>
      </c>
      <c r="U46" s="27">
        <f>'TR TUSD'!$U$46*'TR TUSD'!$U$65</f>
        <v>35.959019542666397</v>
      </c>
      <c r="V46" s="27">
        <f>'TR TUSD'!$V$46*'TR TUSD'!$V$65</f>
        <v>0.10983940293259681</v>
      </c>
      <c r="W46" s="27">
        <f>'TR TUSD'!$W$46*'TR TUSD'!$W$65</f>
        <v>8.3606594415178578E-2</v>
      </c>
      <c r="X46" s="27">
        <f>'TR TUSD'!$X$46*'TR TUSD'!$X$65</f>
        <v>0</v>
      </c>
      <c r="Y46" s="27">
        <f>'TR TUSD'!$Y$46*'TR TUSD'!$Y$65</f>
        <v>8.4777454032466365E-2</v>
      </c>
      <c r="Z46" s="27">
        <f>'TR TUSD'!$Z$46</f>
        <v>0</v>
      </c>
      <c r="AA46" s="27">
        <f>'TR TUSD'!$AA$46</f>
        <v>0</v>
      </c>
      <c r="AB46" s="27">
        <f>SUM($U$46:$AA$46)</f>
        <v>36.237242994046646</v>
      </c>
      <c r="AC46" s="27">
        <f>'TR TUSD'!$AC$46*'TR TUSD'!$AC$65</f>
        <v>230.76751083831468</v>
      </c>
      <c r="AD46" s="27">
        <f>SUM($AC$46:$AC$46)</f>
        <v>230.76751083831468</v>
      </c>
      <c r="AE46" s="27">
        <v>0</v>
      </c>
      <c r="AF46" s="27">
        <v>0</v>
      </c>
      <c r="AG46" s="27">
        <f>SUM($AE$46:$AF$46)</f>
        <v>0</v>
      </c>
      <c r="AH46" s="27">
        <f>'TR TUSD'!$AH$46*'TR TUSD'!$AH$65</f>
        <v>46.047196748082719</v>
      </c>
      <c r="AI46" s="27">
        <f>'TR TUSD'!$AI$46*'TR TUSD'!$AI$65</f>
        <v>3.315937312126501</v>
      </c>
      <c r="AJ46" s="27">
        <f ca="1">'TR TUSD'!$AJ$46*'TR TUSD'!$AJ$65</f>
        <v>113.89617838088712</v>
      </c>
      <c r="AK46" s="27">
        <f ca="1">'TR TUSD'!$AK$46*'TR TUSD'!$AK$65</f>
        <v>12.842714511179256</v>
      </c>
      <c r="AL46" s="27">
        <f ca="1">SUM($AH$46:$AK$46)</f>
        <v>176.10202695227559</v>
      </c>
      <c r="AM46" s="27">
        <f ca="1">SUMIF($L$4:$AL$4,"SUBTOTAL",$L$46:$AL$46)</f>
        <v>496.55049493364771</v>
      </c>
      <c r="AP46" s="27">
        <f>IF((1 - CUSTOS!$M$30)&lt;&gt;0,1/(1 - CUSTOS!$M$30),1)</f>
        <v>1</v>
      </c>
    </row>
    <row r="47" spans="1:42" ht="11.25" customHeight="1" x14ac:dyDescent="0.25">
      <c r="A47" s="124"/>
      <c r="B47" s="124" t="s">
        <v>100</v>
      </c>
      <c r="C47" s="124" t="s">
        <v>47</v>
      </c>
      <c r="D47" s="29" t="s">
        <v>25</v>
      </c>
      <c r="E47" s="29" t="s">
        <v>25</v>
      </c>
      <c r="F47" s="29" t="s">
        <v>25</v>
      </c>
      <c r="G47" s="28" t="s">
        <v>92</v>
      </c>
      <c r="H47" s="28" t="s">
        <v>86</v>
      </c>
      <c r="I47" s="28">
        <f>'MERCADO TUSD'!$U$44</f>
        <v>0</v>
      </c>
      <c r="J47" s="18"/>
      <c r="L47" s="27">
        <f>'TR TUSD'!$L$47*'TR TUSD'!$L$65</f>
        <v>14.099336508183265</v>
      </c>
      <c r="M47" s="27">
        <f>'TR TUSD'!$M$47*'TR TUSD'!$M$65</f>
        <v>0.85841172360748186</v>
      </c>
      <c r="N47" s="27">
        <f ca="1">'TR TUSD'!$N$47*'TR TUSD'!$N$65</f>
        <v>5.3104995749795414</v>
      </c>
      <c r="O47" s="27">
        <f>'TR TUSD'!$O$47*'TR TUSD'!$O$65</f>
        <v>0</v>
      </c>
      <c r="P47" s="27">
        <f>'TR TUSD'!$P$47*'TR TUSD'!$P$65</f>
        <v>0</v>
      </c>
      <c r="Q47" s="27">
        <f>'TR TUSD'!$Q$47*'TR TUSD'!$Q$65</f>
        <v>23.618593225562012</v>
      </c>
      <c r="R47" s="27">
        <f>'TR TUSD'!$R$47*'TR TUSD'!$R$65</f>
        <v>9.5568731166785277</v>
      </c>
      <c r="S47" s="27">
        <f>'TR TUSD'!$S$47*'TR TUSD'!$S$65</f>
        <v>0</v>
      </c>
      <c r="T47" s="27">
        <f ca="1">SUM($L$47:$S$47)</f>
        <v>53.44371414901083</v>
      </c>
      <c r="U47" s="27">
        <f>'TR TUSD'!$U$47*'TR TUSD'!$U$65</f>
        <v>35.959019542666397</v>
      </c>
      <c r="V47" s="27">
        <f>'TR TUSD'!$V$47*'TR TUSD'!$V$65</f>
        <v>0.10983940293259681</v>
      </c>
      <c r="W47" s="27">
        <f>'TR TUSD'!$W$47*'TR TUSD'!$W$65</f>
        <v>8.3606594415178578E-2</v>
      </c>
      <c r="X47" s="27">
        <f>'TR TUSD'!$X$47*'TR TUSD'!$X$65</f>
        <v>0</v>
      </c>
      <c r="Y47" s="27">
        <f>'TR TUSD'!$Y$47*'TR TUSD'!$Y$65</f>
        <v>8.4777454032466365E-2</v>
      </c>
      <c r="Z47" s="27">
        <f>'TR TUSD'!$Z$47</f>
        <v>0</v>
      </c>
      <c r="AA47" s="27">
        <f>'TR TUSD'!$AA$47</f>
        <v>0</v>
      </c>
      <c r="AB47" s="27">
        <f>SUM($U$47:$AA$47)</f>
        <v>36.237242994046646</v>
      </c>
      <c r="AC47" s="27">
        <f>'TR TUSD'!$AC$47*'TR TUSD'!$AC$65</f>
        <v>230.76751083831468</v>
      </c>
      <c r="AD47" s="27">
        <f>SUM($AC$47:$AC$47)</f>
        <v>230.76751083831468</v>
      </c>
      <c r="AE47" s="27">
        <v>0</v>
      </c>
      <c r="AF47" s="27">
        <v>0</v>
      </c>
      <c r="AG47" s="27">
        <f>SUM($AE$47:$AF$47)</f>
        <v>0</v>
      </c>
      <c r="AH47" s="27">
        <f>'TR TUSD'!$AH$47*'TR TUSD'!$AH$65</f>
        <v>46.047196748082719</v>
      </c>
      <c r="AI47" s="27">
        <f>'TR TUSD'!$AI$47*'TR TUSD'!$AI$65</f>
        <v>3.315937312126501</v>
      </c>
      <c r="AJ47" s="27">
        <f ca="1">'TR TUSD'!$AJ$47*'TR TUSD'!$AJ$65</f>
        <v>113.89617838088712</v>
      </c>
      <c r="AK47" s="27">
        <f ca="1">'TR TUSD'!$AK$47*'TR TUSD'!$AK$65</f>
        <v>12.842714511179256</v>
      </c>
      <c r="AL47" s="27">
        <f ca="1">SUM($AH$47:$AK$47)</f>
        <v>176.10202695227559</v>
      </c>
      <c r="AM47" s="27">
        <f ca="1">SUMIF($L$4:$AL$4,"SUBTOTAL",$L$47:$AL$47)</f>
        <v>496.55049493364771</v>
      </c>
      <c r="AP47" s="27">
        <f>IF((1 - CUSTOS!$M$28)&lt;&gt;0,1/(1 - CUSTOS!$M$28),1)</f>
        <v>1</v>
      </c>
    </row>
    <row r="48" spans="1:42" ht="11.25" customHeight="1" x14ac:dyDescent="0.25">
      <c r="A48" s="124"/>
      <c r="B48" s="124"/>
      <c r="C48" s="124"/>
      <c r="D48" s="29" t="s">
        <v>101</v>
      </c>
      <c r="E48" s="29" t="s">
        <v>25</v>
      </c>
      <c r="F48" s="29" t="s">
        <v>25</v>
      </c>
      <c r="G48" s="28" t="s">
        <v>92</v>
      </c>
      <c r="H48" s="28" t="s">
        <v>86</v>
      </c>
      <c r="I48" s="28">
        <f>'MERCADO TUSD'!$U$45</f>
        <v>0</v>
      </c>
      <c r="J48" s="18"/>
      <c r="L48" s="27">
        <f>'TR TUSD'!$L$48*'TR TUSD'!$L$65</f>
        <v>14.099336508183265</v>
      </c>
      <c r="M48" s="27">
        <f>'TR TUSD'!$M$48*'TR TUSD'!$M$65</f>
        <v>0.85841172360748186</v>
      </c>
      <c r="N48" s="27">
        <f ca="1">'TR TUSD'!$N$48*'TR TUSD'!$N$65</f>
        <v>5.3104995749795414</v>
      </c>
      <c r="O48" s="27">
        <f>'TR TUSD'!$O$48*'TR TUSD'!$O$65</f>
        <v>0</v>
      </c>
      <c r="P48" s="27">
        <f>'TR TUSD'!$P$48*'TR TUSD'!$P$65</f>
        <v>0</v>
      </c>
      <c r="Q48" s="27">
        <f>'TR TUSD'!$Q$48*'TR TUSD'!$Q$65</f>
        <v>23.618593225562012</v>
      </c>
      <c r="R48" s="27">
        <f>'TR TUSD'!$R$48*'TR TUSD'!$R$65</f>
        <v>9.5568731166785277</v>
      </c>
      <c r="S48" s="27">
        <f>'TR TUSD'!$S$48*'TR TUSD'!$S$65</f>
        <v>0</v>
      </c>
      <c r="T48" s="27">
        <f ca="1">SUM($L$48:$S$48)</f>
        <v>53.44371414901083</v>
      </c>
      <c r="U48" s="27">
        <f>'TR TUSD'!$U$48*'TR TUSD'!$U$65</f>
        <v>35.959019542666397</v>
      </c>
      <c r="V48" s="27">
        <f>'TR TUSD'!$V$48*'TR TUSD'!$V$65</f>
        <v>0.10983940293259681</v>
      </c>
      <c r="W48" s="27">
        <f>'TR TUSD'!$W$48*'TR TUSD'!$W$65</f>
        <v>8.3606594415178578E-2</v>
      </c>
      <c r="X48" s="27">
        <f>'TR TUSD'!$X$48*'TR TUSD'!$X$65</f>
        <v>0</v>
      </c>
      <c r="Y48" s="27">
        <f>'TR TUSD'!$Y$48*'TR TUSD'!$Y$65</f>
        <v>8.4777454032466365E-2</v>
      </c>
      <c r="Z48" s="27">
        <f>'TR TUSD'!$Z$48</f>
        <v>0</v>
      </c>
      <c r="AA48" s="27">
        <f>'TR TUSD'!$AA$48</f>
        <v>0</v>
      </c>
      <c r="AB48" s="27">
        <f>SUM($U$48:$AA$48)</f>
        <v>36.237242994046646</v>
      </c>
      <c r="AC48" s="27">
        <f>'TR TUSD'!$AC$48*'TR TUSD'!$AC$65</f>
        <v>230.76751083831468</v>
      </c>
      <c r="AD48" s="27">
        <f>SUM($AC$48:$AC$48)</f>
        <v>230.76751083831468</v>
      </c>
      <c r="AE48" s="27">
        <v>0</v>
      </c>
      <c r="AF48" s="27">
        <v>0</v>
      </c>
      <c r="AG48" s="27">
        <f>SUM($AE$48:$AF$48)</f>
        <v>0</v>
      </c>
      <c r="AH48" s="27">
        <f>'TR TUSD'!$AH$48*'TR TUSD'!$AH$65</f>
        <v>46.047196748082719</v>
      </c>
      <c r="AI48" s="27">
        <f>'TR TUSD'!$AI$48*'TR TUSD'!$AI$65</f>
        <v>3.315937312126501</v>
      </c>
      <c r="AJ48" s="27">
        <f ca="1">'TR TUSD'!$AJ$48*'TR TUSD'!$AJ$65</f>
        <v>113.89617838088712</v>
      </c>
      <c r="AK48" s="27">
        <f ca="1">'TR TUSD'!$AK$48*'TR TUSD'!$AK$65</f>
        <v>12.842714511179256</v>
      </c>
      <c r="AL48" s="27">
        <f ca="1">SUM($AH$48:$AK$48)</f>
        <v>176.10202695227559</v>
      </c>
      <c r="AM48" s="27">
        <f ca="1">SUMIF($L$4:$AL$4,"SUBTOTAL",$L$48:$AL$48)</f>
        <v>496.55049493364771</v>
      </c>
      <c r="AP48" s="27">
        <f>IF((1 - CUSTOS!$M$29)&lt;&gt;0,1/(1 - CUSTOS!$M$29),1)</f>
        <v>1</v>
      </c>
    </row>
    <row r="49" spans="1:42" ht="11.25" customHeight="1" x14ac:dyDescent="0.25">
      <c r="A49" s="124"/>
      <c r="B49" s="124"/>
      <c r="C49" s="124"/>
      <c r="D49" s="29" t="s">
        <v>55</v>
      </c>
      <c r="E49" s="29" t="s">
        <v>25</v>
      </c>
      <c r="F49" s="29" t="s">
        <v>25</v>
      </c>
      <c r="G49" s="28" t="s">
        <v>92</v>
      </c>
      <c r="H49" s="28" t="s">
        <v>86</v>
      </c>
      <c r="I49" s="28">
        <f>'MERCADO TUSD'!$U$46</f>
        <v>0</v>
      </c>
      <c r="J49" s="18"/>
      <c r="L49" s="27">
        <f>'TR TUSD'!$L$49*'TR TUSD'!$L$65</f>
        <v>14.099336508183265</v>
      </c>
      <c r="M49" s="27">
        <f>'TR TUSD'!$M$49*'TR TUSD'!$M$65</f>
        <v>0.85841172360748186</v>
      </c>
      <c r="N49" s="27">
        <f ca="1">'TR TUSD'!$N$49*'TR TUSD'!$N$65</f>
        <v>5.3104995749795414</v>
      </c>
      <c r="O49" s="27">
        <f>'TR TUSD'!$O$49*'TR TUSD'!$O$65</f>
        <v>0</v>
      </c>
      <c r="P49" s="27">
        <f>'TR TUSD'!$P$49*'TR TUSD'!$P$65</f>
        <v>0</v>
      </c>
      <c r="Q49" s="27">
        <f>'TR TUSD'!$Q$49*'TR TUSD'!$Q$65</f>
        <v>23.618593225562012</v>
      </c>
      <c r="R49" s="27">
        <f>'TR TUSD'!$R$49*'TR TUSD'!$R$65</f>
        <v>9.5568731166785277</v>
      </c>
      <c r="S49" s="27">
        <f>'TR TUSD'!$S$49*'TR TUSD'!$S$65</f>
        <v>0</v>
      </c>
      <c r="T49" s="27">
        <f ca="1">SUM($L$49:$S$49)</f>
        <v>53.44371414901083</v>
      </c>
      <c r="U49" s="27">
        <f>'TR TUSD'!$U$49*'TR TUSD'!$U$65</f>
        <v>35.959019542666397</v>
      </c>
      <c r="V49" s="27">
        <f>'TR TUSD'!$V$49*'TR TUSD'!$V$65</f>
        <v>0.10983940293259681</v>
      </c>
      <c r="W49" s="27">
        <f>'TR TUSD'!$W$49*'TR TUSD'!$W$65</f>
        <v>8.3606594415178578E-2</v>
      </c>
      <c r="X49" s="27">
        <f>'TR TUSD'!$X$49*'TR TUSD'!$X$65</f>
        <v>0</v>
      </c>
      <c r="Y49" s="27">
        <f>'TR TUSD'!$Y$49*'TR TUSD'!$Y$65</f>
        <v>8.4777454032466365E-2</v>
      </c>
      <c r="Z49" s="27">
        <f>'TR TUSD'!$Z$49</f>
        <v>0</v>
      </c>
      <c r="AA49" s="27">
        <f>'TR TUSD'!$AA$49</f>
        <v>0</v>
      </c>
      <c r="AB49" s="27">
        <f>SUM($U$49:$AA$49)</f>
        <v>36.237242994046646</v>
      </c>
      <c r="AC49" s="27">
        <f>'TR TUSD'!$AC$49*'TR TUSD'!$AC$65</f>
        <v>230.76751083831468</v>
      </c>
      <c r="AD49" s="27">
        <f>SUM($AC$49:$AC$49)</f>
        <v>230.76751083831468</v>
      </c>
      <c r="AE49" s="27">
        <v>0</v>
      </c>
      <c r="AF49" s="27">
        <v>0</v>
      </c>
      <c r="AG49" s="27">
        <f>SUM($AE$49:$AF$49)</f>
        <v>0</v>
      </c>
      <c r="AH49" s="27">
        <f>'TR TUSD'!$AH$49*'TR TUSD'!$AH$65</f>
        <v>46.047196748082719</v>
      </c>
      <c r="AI49" s="27">
        <f>'TR TUSD'!$AI$49*'TR TUSD'!$AI$65</f>
        <v>3.315937312126501</v>
      </c>
      <c r="AJ49" s="27">
        <f ca="1">'TR TUSD'!$AJ$49*'TR TUSD'!$AJ$65</f>
        <v>113.89617838088712</v>
      </c>
      <c r="AK49" s="27">
        <f ca="1">'TR TUSD'!$AK$49*'TR TUSD'!$AK$65</f>
        <v>12.842714511179256</v>
      </c>
      <c r="AL49" s="27">
        <f ca="1">SUM($AH$49:$AK$49)</f>
        <v>176.10202695227559</v>
      </c>
      <c r="AM49" s="27">
        <f ca="1">SUMIF($L$4:$AL$4,"SUBTOTAL",$L$49:$AL$49)</f>
        <v>496.55049493364771</v>
      </c>
      <c r="AP49" s="27">
        <f>IF((1 - CUSTOS!$M$30)&lt;&gt;0,1/(1 - CUSTOS!$M$30),1)</f>
        <v>1</v>
      </c>
    </row>
    <row r="50" spans="1:42" ht="11.25" customHeight="1" x14ac:dyDescent="0.25">
      <c r="A50" s="124" t="s">
        <v>41</v>
      </c>
      <c r="B50" s="124" t="s">
        <v>39</v>
      </c>
      <c r="C50" s="124" t="s">
        <v>25</v>
      </c>
      <c r="D50" s="124" t="s">
        <v>25</v>
      </c>
      <c r="E50" s="124" t="s">
        <v>25</v>
      </c>
      <c r="F50" s="124" t="s">
        <v>25</v>
      </c>
      <c r="G50" s="28" t="s">
        <v>87</v>
      </c>
      <c r="H50" s="28" t="s">
        <v>86</v>
      </c>
      <c r="I50" s="28">
        <f>'MERCADO TUSD'!$U$47</f>
        <v>159.50200000000001</v>
      </c>
      <c r="J50" s="18"/>
      <c r="L50" s="27">
        <f>'TR TUSD'!$L$50*'TR TUSD'!$L$65</f>
        <v>14.099336508183265</v>
      </c>
      <c r="M50" s="27">
        <f>'TR TUSD'!$M$50*'TR TUSD'!$M$65</f>
        <v>0.85841172360748186</v>
      </c>
      <c r="N50" s="27">
        <f ca="1">'TR TUSD'!$N$50*'TR TUSD'!$N$65</f>
        <v>11.216597669445221</v>
      </c>
      <c r="O50" s="27">
        <f>'TR TUSD'!$O$50*'TR TUSD'!$O$65</f>
        <v>0</v>
      </c>
      <c r="P50" s="27">
        <f>'TR TUSD'!$P$50*'TR TUSD'!$P$65</f>
        <v>0</v>
      </c>
      <c r="Q50" s="27">
        <f>'TR TUSD'!$Q$50*'TR TUSD'!$Q$65</f>
        <v>23.618593225562012</v>
      </c>
      <c r="R50" s="27">
        <f>'TR TUSD'!$R$50*'TR TUSD'!$R$65</f>
        <v>9.5568731166785277</v>
      </c>
      <c r="S50" s="27">
        <f>'TR TUSD'!$S$50*'TR TUSD'!$S$65</f>
        <v>0</v>
      </c>
      <c r="T50" s="27">
        <f ca="1">SUM($L$50:$S$50)</f>
        <v>59.349812243476507</v>
      </c>
      <c r="U50" s="27">
        <f>'TR TUSD'!$U$50*'TR TUSD'!$U$65</f>
        <v>129.45248917301956</v>
      </c>
      <c r="V50" s="27">
        <f>'TR TUSD'!$V$50*'TR TUSD'!$V$65</f>
        <v>0.39542493734283157</v>
      </c>
      <c r="W50" s="27">
        <f>'TR TUSD'!$W$50*'TR TUSD'!$W$65</f>
        <v>0.30098839375461589</v>
      </c>
      <c r="X50" s="27">
        <f>'TR TUSD'!$X$50*'TR TUSD'!$X$65</f>
        <v>0</v>
      </c>
      <c r="Y50" s="27">
        <f>'TR TUSD'!$Y$50*'TR TUSD'!$Y$65</f>
        <v>0.30524077759865131</v>
      </c>
      <c r="Z50" s="27">
        <f>'TR TUSD'!$Z$50</f>
        <v>0</v>
      </c>
      <c r="AA50" s="27">
        <f>'TR TUSD'!$AA$50</f>
        <v>0</v>
      </c>
      <c r="AB50" s="27">
        <f>SUM($U$50:$AA$50)</f>
        <v>130.45414328171563</v>
      </c>
      <c r="AC50" s="27">
        <f>'TR TUSD'!$AC$50*'TR TUSD'!$AC$65</f>
        <v>830.76281145563689</v>
      </c>
      <c r="AD50" s="27">
        <f>SUM($AC$50:$AC$50)</f>
        <v>830.76281145563689</v>
      </c>
      <c r="AE50" s="27">
        <v>0</v>
      </c>
      <c r="AF50" s="27">
        <v>0</v>
      </c>
      <c r="AG50" s="27">
        <f>SUM($AE$50:$AF$50)</f>
        <v>0</v>
      </c>
      <c r="AH50" s="27">
        <f>'TR TUSD'!$AH$50*'TR TUSD'!$AH$65</f>
        <v>46.047196748082719</v>
      </c>
      <c r="AI50" s="27">
        <f>'TR TUSD'!$AI$50*'TR TUSD'!$AI$65</f>
        <v>3.315937312126501</v>
      </c>
      <c r="AJ50" s="27">
        <f ca="1">'TR TUSD'!$AJ$50*'TR TUSD'!$AJ$65</f>
        <v>113.89617838088712</v>
      </c>
      <c r="AK50" s="27">
        <f ca="1">'TR TUSD'!$AK$50*'TR TUSD'!$AK$65</f>
        <v>12.842714511179256</v>
      </c>
      <c r="AL50" s="27">
        <f ca="1">SUM($AH$50:$AK$50)</f>
        <v>176.10202695227559</v>
      </c>
      <c r="AM50" s="27">
        <f ca="1">SUMIF($L$4:$AL$4,"SUBTOTAL",$L$50:$AL$50)</f>
        <v>1196.6687939331046</v>
      </c>
      <c r="AP50" s="27">
        <f>IF((1 - CUSTOS!$M$31)&lt;&gt;0,1/(1 - CUSTOS!$M$31),1)</f>
        <v>1</v>
      </c>
    </row>
    <row r="51" spans="1:42" ht="11.25" customHeight="1" x14ac:dyDescent="0.25">
      <c r="A51" s="124"/>
      <c r="B51" s="124"/>
      <c r="C51" s="124"/>
      <c r="D51" s="124"/>
      <c r="E51" s="124"/>
      <c r="F51" s="124"/>
      <c r="G51" s="28" t="s">
        <v>98</v>
      </c>
      <c r="H51" s="28" t="s">
        <v>86</v>
      </c>
      <c r="I51" s="28">
        <f>'MERCADO TUSD'!$U$48</f>
        <v>89.802000000000007</v>
      </c>
      <c r="J51" s="18"/>
      <c r="L51" s="27">
        <f>'TR TUSD'!$L$51*'TR TUSD'!$L$65</f>
        <v>14.099336508183265</v>
      </c>
      <c r="M51" s="27">
        <f>'TR TUSD'!$M$51*'TR TUSD'!$M$65</f>
        <v>0.85841172360748186</v>
      </c>
      <c r="N51" s="27">
        <f ca="1">'TR TUSD'!$N$51*'TR TUSD'!$N$65</f>
        <v>7.9455276437191333</v>
      </c>
      <c r="O51" s="27">
        <f>'TR TUSD'!$O$51*'TR TUSD'!$O$65</f>
        <v>0</v>
      </c>
      <c r="P51" s="27">
        <f>'TR TUSD'!$P$51*'TR TUSD'!$P$65</f>
        <v>0</v>
      </c>
      <c r="Q51" s="27">
        <f>'TR TUSD'!$Q$51*'TR TUSD'!$Q$65</f>
        <v>23.618593225562012</v>
      </c>
      <c r="R51" s="27">
        <f>'TR TUSD'!$R$51*'TR TUSD'!$R$65</f>
        <v>9.5568731166785277</v>
      </c>
      <c r="S51" s="27">
        <f>'TR TUSD'!$S$51*'TR TUSD'!$S$65</f>
        <v>0</v>
      </c>
      <c r="T51" s="27">
        <f ca="1">SUM($L$51:$S$51)</f>
        <v>56.078742217750417</v>
      </c>
      <c r="U51" s="27">
        <f>'TR TUSD'!$U$51*'TR TUSD'!$U$65</f>
        <v>77.671512323232236</v>
      </c>
      <c r="V51" s="27">
        <f>'TR TUSD'!$V$51*'TR TUSD'!$V$65</f>
        <v>0.23725419070932818</v>
      </c>
      <c r="W51" s="27">
        <f>'TR TUSD'!$W$51*'TR TUSD'!$W$65</f>
        <v>0.18059303625276951</v>
      </c>
      <c r="X51" s="27">
        <f>'TR TUSD'!$X$51*'TR TUSD'!$X$65</f>
        <v>0</v>
      </c>
      <c r="Y51" s="27">
        <f>'TR TUSD'!$Y$51*'TR TUSD'!$Y$65</f>
        <v>0.18313398078874765</v>
      </c>
      <c r="Z51" s="27">
        <f>'TR TUSD'!$Z$51</f>
        <v>0</v>
      </c>
      <c r="AA51" s="27">
        <f>'TR TUSD'!$AA$51</f>
        <v>0</v>
      </c>
      <c r="AB51" s="27">
        <f>SUM($U$51:$AA$51)</f>
        <v>78.272493530983084</v>
      </c>
      <c r="AC51" s="27">
        <f>'TR TUSD'!$AC$51*'TR TUSD'!$AC$65</f>
        <v>498.45768687338216</v>
      </c>
      <c r="AD51" s="27">
        <f>SUM($AC$51:$AC$51)</f>
        <v>498.45768687338216</v>
      </c>
      <c r="AE51" s="27">
        <v>0</v>
      </c>
      <c r="AF51" s="27">
        <v>0</v>
      </c>
      <c r="AG51" s="27">
        <f>SUM($AE$51:$AF$51)</f>
        <v>0</v>
      </c>
      <c r="AH51" s="27">
        <f>'TR TUSD'!$AH$51*'TR TUSD'!$AH$65</f>
        <v>46.047196748082719</v>
      </c>
      <c r="AI51" s="27">
        <f>'TR TUSD'!$AI$51*'TR TUSD'!$AI$65</f>
        <v>3.315937312126501</v>
      </c>
      <c r="AJ51" s="27">
        <f ca="1">'TR TUSD'!$AJ$51*'TR TUSD'!$AJ$65</f>
        <v>113.89617838088712</v>
      </c>
      <c r="AK51" s="27">
        <f ca="1">'TR TUSD'!$AK$51*'TR TUSD'!$AK$65</f>
        <v>12.842714511179256</v>
      </c>
      <c r="AL51" s="27">
        <f ca="1">SUM($AH$51:$AK$51)</f>
        <v>176.10202695227559</v>
      </c>
      <c r="AM51" s="27">
        <f ca="1">SUMIF($L$4:$AL$4,"SUBTOTAL",$L$51:$AL$51)</f>
        <v>808.91094957439122</v>
      </c>
      <c r="AP51" s="27">
        <f>IF((1 - CUSTOS!$M$31)&lt;&gt;0,1/(1 - CUSTOS!$M$31),1)</f>
        <v>1</v>
      </c>
    </row>
    <row r="52" spans="1:42" ht="11.25" customHeight="1" x14ac:dyDescent="0.25">
      <c r="A52" s="124"/>
      <c r="B52" s="124"/>
      <c r="C52" s="124"/>
      <c r="D52" s="124"/>
      <c r="E52" s="124"/>
      <c r="F52" s="124"/>
      <c r="G52" s="28" t="s">
        <v>88</v>
      </c>
      <c r="H52" s="28" t="s">
        <v>86</v>
      </c>
      <c r="I52" s="28">
        <f>'MERCADO TUSD'!$U$49</f>
        <v>2507.7720000000004</v>
      </c>
      <c r="J52" s="18"/>
      <c r="L52" s="27">
        <f>'TR TUSD'!$L$52*'TR TUSD'!$L$65</f>
        <v>14.099336508183265</v>
      </c>
      <c r="M52" s="27">
        <f>'TR TUSD'!$M$52*'TR TUSD'!$M$65</f>
        <v>0.85841172360748186</v>
      </c>
      <c r="N52" s="27">
        <f ca="1">'TR TUSD'!$N$52*'TR TUSD'!$N$65</f>
        <v>4.6744585394217388</v>
      </c>
      <c r="O52" s="27">
        <f>'TR TUSD'!$O$52*'TR TUSD'!$O$65</f>
        <v>0</v>
      </c>
      <c r="P52" s="27">
        <f>'TR TUSD'!$P$52*'TR TUSD'!$P$65</f>
        <v>0</v>
      </c>
      <c r="Q52" s="27">
        <f>'TR TUSD'!$Q$52*'TR TUSD'!$Q$65</f>
        <v>23.618593225562012</v>
      </c>
      <c r="R52" s="27">
        <f>'TR TUSD'!$R$52*'TR TUSD'!$R$65</f>
        <v>9.5568731166785277</v>
      </c>
      <c r="S52" s="27">
        <f>'TR TUSD'!$S$52*'TR TUSD'!$S$65</f>
        <v>0</v>
      </c>
      <c r="T52" s="27">
        <f ca="1">SUM($L$52:$S$52)</f>
        <v>52.807673113453035</v>
      </c>
      <c r="U52" s="27">
        <f>'TR TUSD'!$U$52*'TR TUSD'!$U$65</f>
        <v>25.890535473444931</v>
      </c>
      <c r="V52" s="27">
        <f>'TR TUSD'!$V$52*'TR TUSD'!$V$65</f>
        <v>7.9085373316751709E-2</v>
      </c>
      <c r="W52" s="27">
        <f>'TR TUSD'!$W$52*'TR TUSD'!$W$65</f>
        <v>6.0197678750923168E-2</v>
      </c>
      <c r="X52" s="27">
        <f>'TR TUSD'!$X$52*'TR TUSD'!$X$65</f>
        <v>0</v>
      </c>
      <c r="Y52" s="27">
        <f>'TR TUSD'!$Y$52*'TR TUSD'!$Y$65</f>
        <v>6.1027183978844053E-2</v>
      </c>
      <c r="Z52" s="27">
        <f>'TR TUSD'!$Z$52</f>
        <v>0</v>
      </c>
      <c r="AA52" s="27">
        <f>'TR TUSD'!$AA$52</f>
        <v>0</v>
      </c>
      <c r="AB52" s="27">
        <f>SUM($U$52:$AA$52)</f>
        <v>26.09084570949145</v>
      </c>
      <c r="AC52" s="27">
        <f>'TR TUSD'!$AC$52*'TR TUSD'!$AC$65</f>
        <v>166.15256229112737</v>
      </c>
      <c r="AD52" s="27">
        <f>SUM($AC$52:$AC$52)</f>
        <v>166.15256229112737</v>
      </c>
      <c r="AE52" s="27">
        <v>0</v>
      </c>
      <c r="AF52" s="27">
        <v>0</v>
      </c>
      <c r="AG52" s="27">
        <f>SUM($AE$52:$AF$52)</f>
        <v>0</v>
      </c>
      <c r="AH52" s="27">
        <f>'TR TUSD'!$AH$52*'TR TUSD'!$AH$65</f>
        <v>46.047196748082719</v>
      </c>
      <c r="AI52" s="27">
        <f>'TR TUSD'!$AI$52*'TR TUSD'!$AI$65</f>
        <v>3.315937312126501</v>
      </c>
      <c r="AJ52" s="27">
        <f ca="1">'TR TUSD'!$AJ$52*'TR TUSD'!$AJ$65</f>
        <v>113.89617838088712</v>
      </c>
      <c r="AK52" s="27">
        <f ca="1">'TR TUSD'!$AK$52*'TR TUSD'!$AK$65</f>
        <v>12.842714511179256</v>
      </c>
      <c r="AL52" s="27">
        <f ca="1">SUM($AH$52:$AK$52)</f>
        <v>176.10202695227559</v>
      </c>
      <c r="AM52" s="27">
        <f ca="1">SUMIF($L$4:$AL$4,"SUBTOTAL",$L$52:$AL$52)</f>
        <v>421.15310806634744</v>
      </c>
      <c r="AP52" s="27">
        <f>IF((1 - CUSTOS!$M$31)&lt;&gt;0,1/(1 - CUSTOS!$M$31),1)</f>
        <v>1</v>
      </c>
    </row>
    <row r="53" spans="1:42" ht="11.25" customHeight="1" x14ac:dyDescent="0.25">
      <c r="A53" s="124"/>
      <c r="B53" s="29" t="s">
        <v>23</v>
      </c>
      <c r="C53" s="29" t="s">
        <v>25</v>
      </c>
      <c r="D53" s="29" t="s">
        <v>25</v>
      </c>
      <c r="E53" s="29" t="s">
        <v>25</v>
      </c>
      <c r="F53" s="29" t="s">
        <v>25</v>
      </c>
      <c r="G53" s="28" t="s">
        <v>92</v>
      </c>
      <c r="H53" s="28" t="s">
        <v>86</v>
      </c>
      <c r="I53" s="28">
        <f>'MERCADO TUSD'!$U$50</f>
        <v>849619.68099999998</v>
      </c>
      <c r="J53" s="18"/>
      <c r="L53" s="27">
        <f>'TR TUSD'!$L$53*'TR TUSD'!$L$65</f>
        <v>14.099336508183265</v>
      </c>
      <c r="M53" s="27">
        <f>'TR TUSD'!$M$53*'TR TUSD'!$M$65</f>
        <v>0.85841172360748186</v>
      </c>
      <c r="N53" s="27">
        <f ca="1">'TR TUSD'!$N$53*'TR TUSD'!$N$65</f>
        <v>5.3104995749795414</v>
      </c>
      <c r="O53" s="27">
        <f>'TR TUSD'!$O$53*'TR TUSD'!$O$65</f>
        <v>0</v>
      </c>
      <c r="P53" s="27">
        <f>'TR TUSD'!$P$53*'TR TUSD'!$P$65</f>
        <v>0</v>
      </c>
      <c r="Q53" s="27">
        <f>'TR TUSD'!$Q$53*'TR TUSD'!$Q$65</f>
        <v>23.618593225562012</v>
      </c>
      <c r="R53" s="27">
        <f>'TR TUSD'!$R$53*'TR TUSD'!$R$65</f>
        <v>9.5568731166785277</v>
      </c>
      <c r="S53" s="27">
        <f>'TR TUSD'!$S$53*'TR TUSD'!$S$65</f>
        <v>0</v>
      </c>
      <c r="T53" s="27">
        <f ca="1">SUM($L$53:$S$53)</f>
        <v>53.44371414901083</v>
      </c>
      <c r="U53" s="27">
        <f>'TR TUSD'!$U$53*'TR TUSD'!$U$65</f>
        <v>35.959019542666397</v>
      </c>
      <c r="V53" s="27">
        <f>'TR TUSD'!$V$53*'TR TUSD'!$V$65</f>
        <v>0.10983940293259681</v>
      </c>
      <c r="W53" s="27">
        <f>'TR TUSD'!$W$53*'TR TUSD'!$W$65</f>
        <v>8.3606594415178578E-2</v>
      </c>
      <c r="X53" s="27">
        <f>'TR TUSD'!$X$53*'TR TUSD'!$X$65</f>
        <v>0</v>
      </c>
      <c r="Y53" s="27">
        <f>'TR TUSD'!$Y$53*'TR TUSD'!$Y$65</f>
        <v>8.4777454032466365E-2</v>
      </c>
      <c r="Z53" s="27">
        <f>'TR TUSD'!$Z$53</f>
        <v>0</v>
      </c>
      <c r="AA53" s="27">
        <f>'TR TUSD'!$AA$53</f>
        <v>0</v>
      </c>
      <c r="AB53" s="27">
        <f>SUM($U$53:$AA$53)</f>
        <v>36.237242994046646</v>
      </c>
      <c r="AC53" s="27">
        <f>'TR TUSD'!$AC$53*'TR TUSD'!$AC$65</f>
        <v>230.76751083831468</v>
      </c>
      <c r="AD53" s="27">
        <f>SUM($AC$53:$AC$53)</f>
        <v>230.76751083831468</v>
      </c>
      <c r="AE53" s="27">
        <v>0</v>
      </c>
      <c r="AF53" s="27">
        <v>0</v>
      </c>
      <c r="AG53" s="27">
        <f>SUM($AE$53:$AF$53)</f>
        <v>0</v>
      </c>
      <c r="AH53" s="27">
        <f>'TR TUSD'!$AH$53*'TR TUSD'!$AH$65</f>
        <v>46.047196748082719</v>
      </c>
      <c r="AI53" s="27">
        <f>'TR TUSD'!$AI$53*'TR TUSD'!$AI$65</f>
        <v>3.315937312126501</v>
      </c>
      <c r="AJ53" s="27">
        <f ca="1">'TR TUSD'!$AJ$53*'TR TUSD'!$AJ$65</f>
        <v>113.89617838088712</v>
      </c>
      <c r="AK53" s="27">
        <f ca="1">'TR TUSD'!$AK$53*'TR TUSD'!$AK$65</f>
        <v>12.842714511179256</v>
      </c>
      <c r="AL53" s="27">
        <f ca="1">SUM($AH$53:$AK$53)</f>
        <v>176.10202695227559</v>
      </c>
      <c r="AM53" s="27">
        <f ca="1">SUMIF($L$4:$AL$4,"SUBTOTAL",$L$53:$AL$53)</f>
        <v>496.55049493364771</v>
      </c>
      <c r="AP53" s="27">
        <f>IF((1 - CUSTOS!$M$31)&lt;&gt;0,1/(1 - CUSTOS!$M$31),1)</f>
        <v>1</v>
      </c>
    </row>
    <row r="54" spans="1:42" ht="11.25" customHeight="1" x14ac:dyDescent="0.25">
      <c r="A54" s="124"/>
      <c r="B54" s="29" t="s">
        <v>100</v>
      </c>
      <c r="C54" s="29" t="s">
        <v>25</v>
      </c>
      <c r="D54" s="29" t="s">
        <v>25</v>
      </c>
      <c r="E54" s="29" t="s">
        <v>25</v>
      </c>
      <c r="F54" s="29" t="s">
        <v>25</v>
      </c>
      <c r="G54" s="28" t="s">
        <v>92</v>
      </c>
      <c r="H54" s="28" t="s">
        <v>86</v>
      </c>
      <c r="I54" s="28">
        <f>'MERCADO TUSD'!$U$51</f>
        <v>0</v>
      </c>
      <c r="J54" s="18"/>
      <c r="L54" s="27">
        <f>'TR TUSD'!$L$54*'TR TUSD'!$L$65</f>
        <v>14.099336508183265</v>
      </c>
      <c r="M54" s="27">
        <f>'TR TUSD'!$M$54*'TR TUSD'!$M$65</f>
        <v>0.85841172360748186</v>
      </c>
      <c r="N54" s="27">
        <f ca="1">'TR TUSD'!$N$54*'TR TUSD'!$N$65</f>
        <v>5.3104995749795414</v>
      </c>
      <c r="O54" s="27">
        <f>'TR TUSD'!$O$54*'TR TUSD'!$O$65</f>
        <v>0</v>
      </c>
      <c r="P54" s="27">
        <f>'TR TUSD'!$P$54*'TR TUSD'!$P$65</f>
        <v>0</v>
      </c>
      <c r="Q54" s="27">
        <f>'TR TUSD'!$Q$54*'TR TUSD'!$Q$65</f>
        <v>23.618593225562012</v>
      </c>
      <c r="R54" s="27">
        <f>'TR TUSD'!$R$54*'TR TUSD'!$R$65</f>
        <v>9.5568731166785277</v>
      </c>
      <c r="S54" s="27">
        <f>'TR TUSD'!$S$54*'TR TUSD'!$S$65</f>
        <v>0</v>
      </c>
      <c r="T54" s="27">
        <f ca="1">SUM($L$54:$S$54)</f>
        <v>53.44371414901083</v>
      </c>
      <c r="U54" s="27">
        <f>'TR TUSD'!$U$54*'TR TUSD'!$U$65</f>
        <v>35.959019542666397</v>
      </c>
      <c r="V54" s="27">
        <f>'TR TUSD'!$V$54*'TR TUSD'!$V$65</f>
        <v>0.10983940293259681</v>
      </c>
      <c r="W54" s="27">
        <f>'TR TUSD'!$W$54*'TR TUSD'!$W$65</f>
        <v>8.3606594415178578E-2</v>
      </c>
      <c r="X54" s="27">
        <f>'TR TUSD'!$X$54*'TR TUSD'!$X$65</f>
        <v>0</v>
      </c>
      <c r="Y54" s="27">
        <f>'TR TUSD'!$Y$54*'TR TUSD'!$Y$65</f>
        <v>8.4777454032466365E-2</v>
      </c>
      <c r="Z54" s="27">
        <f>'TR TUSD'!$Z$54</f>
        <v>0</v>
      </c>
      <c r="AA54" s="27">
        <f>'TR TUSD'!$AA$54</f>
        <v>0</v>
      </c>
      <c r="AB54" s="27">
        <f>SUM($U$54:$AA$54)</f>
        <v>36.237242994046646</v>
      </c>
      <c r="AC54" s="27">
        <f>'TR TUSD'!$AC$54*'TR TUSD'!$AC$65</f>
        <v>230.76751083831468</v>
      </c>
      <c r="AD54" s="27">
        <f>SUM($AC$54:$AC$54)</f>
        <v>230.76751083831468</v>
      </c>
      <c r="AE54" s="27">
        <v>0</v>
      </c>
      <c r="AF54" s="27">
        <v>0</v>
      </c>
      <c r="AG54" s="27">
        <f>SUM($AE$54:$AF$54)</f>
        <v>0</v>
      </c>
      <c r="AH54" s="27">
        <f>'TR TUSD'!$AH$54*'TR TUSD'!$AH$65</f>
        <v>46.047196748082719</v>
      </c>
      <c r="AI54" s="27">
        <f>'TR TUSD'!$AI$54*'TR TUSD'!$AI$65</f>
        <v>3.315937312126501</v>
      </c>
      <c r="AJ54" s="27">
        <f ca="1">'TR TUSD'!$AJ$54*'TR TUSD'!$AJ$65</f>
        <v>113.89617838088712</v>
      </c>
      <c r="AK54" s="27">
        <f ca="1">'TR TUSD'!$AK$54*'TR TUSD'!$AK$65</f>
        <v>12.842714511179256</v>
      </c>
      <c r="AL54" s="27">
        <f ca="1">SUM($AH$54:$AK$54)</f>
        <v>176.10202695227559</v>
      </c>
      <c r="AM54" s="27">
        <f ca="1">SUMIF($L$4:$AL$4,"SUBTOTAL",$L$54:$AL$54)</f>
        <v>496.55049493364771</v>
      </c>
      <c r="AP54" s="27">
        <f>IF((1 - CUSTOS!$M$31)&lt;&gt;0,1/(1 - CUSTOS!$M$31),1)</f>
        <v>1</v>
      </c>
    </row>
    <row r="55" spans="1:42" ht="11.25" customHeight="1" x14ac:dyDescent="0.25">
      <c r="A55" s="124" t="s">
        <v>49</v>
      </c>
      <c r="B55" s="124" t="s">
        <v>23</v>
      </c>
      <c r="C55" s="124" t="s">
        <v>50</v>
      </c>
      <c r="D55" s="29" t="s">
        <v>51</v>
      </c>
      <c r="E55" s="29" t="s">
        <v>25</v>
      </c>
      <c r="F55" s="29" t="s">
        <v>25</v>
      </c>
      <c r="G55" s="28" t="s">
        <v>92</v>
      </c>
      <c r="H55" s="28" t="s">
        <v>86</v>
      </c>
      <c r="I55" s="28">
        <f>'MERCADO TUSD'!$U$52</f>
        <v>200182.10399999999</v>
      </c>
      <c r="J55" s="18"/>
      <c r="L55" s="27">
        <f>'TR TUSD'!$L$55*'TR TUSD'!$L$65</f>
        <v>7.7546350795007966</v>
      </c>
      <c r="M55" s="27">
        <f>'TR TUSD'!$M$55*'TR TUSD'!$M$65</f>
        <v>0.47212644798411507</v>
      </c>
      <c r="N55" s="27">
        <f ca="1">'TR TUSD'!$N$55*'TR TUSD'!$N$65</f>
        <v>2.9207747662387482</v>
      </c>
      <c r="O55" s="27">
        <f>'TR TUSD'!$O$55*'TR TUSD'!$O$65</f>
        <v>0</v>
      </c>
      <c r="P55" s="27">
        <f>'TR TUSD'!$P$55*'TR TUSD'!$P$65</f>
        <v>0</v>
      </c>
      <c r="Q55" s="27">
        <f>'TR TUSD'!$Q$55*'TR TUSD'!$Q$65</f>
        <v>12.990226274059108</v>
      </c>
      <c r="R55" s="27">
        <f>'TR TUSD'!$R$55*'TR TUSD'!$R$65</f>
        <v>5.2562802141731906</v>
      </c>
      <c r="S55" s="27">
        <f>'TR TUSD'!$S$55*'TR TUSD'!$S$65</f>
        <v>0</v>
      </c>
      <c r="T55" s="27">
        <f ca="1">SUM($L$55:$S$55)</f>
        <v>29.39404278195596</v>
      </c>
      <c r="U55" s="27">
        <f>'TR TUSD'!$U$55*'TR TUSD'!$U$65</f>
        <v>19.77746074846652</v>
      </c>
      <c r="V55" s="27">
        <f>'TR TUSD'!$V$55*'TR TUSD'!$V$65</f>
        <v>6.0411671612928243E-2</v>
      </c>
      <c r="W55" s="27">
        <f>'TR TUSD'!$W$55*'TR TUSD'!$W$65</f>
        <v>4.5983626928348217E-2</v>
      </c>
      <c r="X55" s="27">
        <f>'TR TUSD'!$X$55*'TR TUSD'!$X$65</f>
        <v>0</v>
      </c>
      <c r="Y55" s="27">
        <f>'TR TUSD'!$Y$55*'TR TUSD'!$Y$65</f>
        <v>4.6627599717856502E-2</v>
      </c>
      <c r="Z55" s="27">
        <f>'TR TUSD'!$Z$55</f>
        <v>0</v>
      </c>
      <c r="AA55" s="27">
        <f>'TR TUSD'!$AA$55</f>
        <v>0</v>
      </c>
      <c r="AB55" s="27">
        <f>SUM($U$55:$AA$55)</f>
        <v>19.930483646725651</v>
      </c>
      <c r="AC55" s="27">
        <f>'TR TUSD'!$AC$55*'TR TUSD'!$AC$65</f>
        <v>126.92213096107309</v>
      </c>
      <c r="AD55" s="27">
        <f>SUM($AC$55:$AC$55)</f>
        <v>126.92213096107309</v>
      </c>
      <c r="AE55" s="27">
        <v>0</v>
      </c>
      <c r="AF55" s="27">
        <v>0</v>
      </c>
      <c r="AG55" s="27">
        <f>SUM($AE$55:$AF$55)</f>
        <v>0</v>
      </c>
      <c r="AH55" s="27">
        <f>'TR TUSD'!$AH$55*'TR TUSD'!$AH$65</f>
        <v>25.325958211445496</v>
      </c>
      <c r="AI55" s="27">
        <f>'TR TUSD'!$AI$55*'TR TUSD'!$AI$65</f>
        <v>1.8237655216695758</v>
      </c>
      <c r="AJ55" s="27">
        <f ca="1">'TR TUSD'!$AJ$55*'TR TUSD'!$AJ$65</f>
        <v>62.642898109487916</v>
      </c>
      <c r="AK55" s="27">
        <f ca="1">'TR TUSD'!$AK$55*'TR TUSD'!$AK$65</f>
        <v>7.0634929811485918</v>
      </c>
      <c r="AL55" s="27">
        <f ca="1">SUM($AH$55:$AK$55)</f>
        <v>96.856114823751568</v>
      </c>
      <c r="AM55" s="27">
        <f ca="1">SUMIF($L$4:$AL$4,"SUBTOTAL",$L$55:$AL$55)</f>
        <v>273.10277221350628</v>
      </c>
      <c r="AP55" s="27">
        <f>IF((1 - CUSTOS!$M$32)&lt;&gt;0,1/(1 - CUSTOS!$M$32),1)</f>
        <v>1.8181818181818181</v>
      </c>
    </row>
    <row r="56" spans="1:42" ht="11.25" customHeight="1" x14ac:dyDescent="0.25">
      <c r="A56" s="124"/>
      <c r="B56" s="124"/>
      <c r="C56" s="124"/>
      <c r="D56" s="28" t="s">
        <v>102</v>
      </c>
      <c r="E56" s="28" t="s">
        <v>25</v>
      </c>
      <c r="F56" s="28" t="s">
        <v>25</v>
      </c>
      <c r="G56" s="28" t="s">
        <v>92</v>
      </c>
      <c r="H56" s="28" t="s">
        <v>86</v>
      </c>
      <c r="I56" s="28">
        <f>'MERCADO TUSD'!$U$53</f>
        <v>0</v>
      </c>
      <c r="J56" s="18"/>
      <c r="L56" s="27">
        <f>'TR TUSD'!$L$56*'TR TUSD'!$L$65</f>
        <v>8.4596019049099596</v>
      </c>
      <c r="M56" s="27">
        <f>'TR TUSD'!$M$56*'TR TUSD'!$M$65</f>
        <v>0.51504703416448916</v>
      </c>
      <c r="N56" s="27">
        <f ca="1">'TR TUSD'!$N$56*'TR TUSD'!$N$65</f>
        <v>3.1862997449877253</v>
      </c>
      <c r="O56" s="27">
        <f>'TR TUSD'!$O$56*'TR TUSD'!$O$65</f>
        <v>0</v>
      </c>
      <c r="P56" s="27">
        <f>'TR TUSD'!$P$56*'TR TUSD'!$P$65</f>
        <v>0</v>
      </c>
      <c r="Q56" s="27">
        <f>'TR TUSD'!$Q$56*'TR TUSD'!$Q$65</f>
        <v>14.171155935337207</v>
      </c>
      <c r="R56" s="27">
        <f>'TR TUSD'!$R$56*'TR TUSD'!$R$65</f>
        <v>5.7341238700071164</v>
      </c>
      <c r="S56" s="27">
        <f>'TR TUSD'!$S$56*'TR TUSD'!$S$65</f>
        <v>0</v>
      </c>
      <c r="T56" s="27">
        <f ca="1">SUM($L$56:$S$56)</f>
        <v>32.066228489406498</v>
      </c>
      <c r="U56" s="27">
        <f>'TR TUSD'!$U$56*'TR TUSD'!$U$65</f>
        <v>21.575411725599839</v>
      </c>
      <c r="V56" s="27">
        <f>'TR TUSD'!$V$56*'TR TUSD'!$V$65</f>
        <v>6.5903641759558082E-2</v>
      </c>
      <c r="W56" s="27">
        <f>'TR TUSD'!$W$56*'TR TUSD'!$W$65</f>
        <v>5.0163956649107139E-2</v>
      </c>
      <c r="X56" s="27">
        <f>'TR TUSD'!$X$56*'TR TUSD'!$X$65</f>
        <v>0</v>
      </c>
      <c r="Y56" s="27">
        <f>'TR TUSD'!$Y$56*'TR TUSD'!$Y$65</f>
        <v>5.0866472419479815E-2</v>
      </c>
      <c r="Z56" s="27">
        <f>'TR TUSD'!$Z$56</f>
        <v>0</v>
      </c>
      <c r="AA56" s="27">
        <f>'TR TUSD'!$AA$56</f>
        <v>0</v>
      </c>
      <c r="AB56" s="27">
        <f>SUM($U$56:$AA$56)</f>
        <v>21.742345796427983</v>
      </c>
      <c r="AC56" s="27">
        <f>'TR TUSD'!$AC$56*'TR TUSD'!$AC$65</f>
        <v>138.46050650298881</v>
      </c>
      <c r="AD56" s="27">
        <f>SUM($AC$56:$AC$56)</f>
        <v>138.46050650298881</v>
      </c>
      <c r="AE56" s="27">
        <v>0</v>
      </c>
      <c r="AF56" s="27">
        <v>0</v>
      </c>
      <c r="AG56" s="27">
        <f>SUM($AE$56:$AF$56)</f>
        <v>0</v>
      </c>
      <c r="AH56" s="27">
        <f>'TR TUSD'!$AH$56*'TR TUSD'!$AH$65</f>
        <v>27.628318048849628</v>
      </c>
      <c r="AI56" s="27">
        <f>'TR TUSD'!$AI$56*'TR TUSD'!$AI$65</f>
        <v>1.9895623872759007</v>
      </c>
      <c r="AJ56" s="27">
        <f ca="1">'TR TUSD'!$AJ$56*'TR TUSD'!$AJ$65</f>
        <v>68.337707028532265</v>
      </c>
      <c r="AK56" s="27">
        <f ca="1">'TR TUSD'!$AK$56*'TR TUSD'!$AK$65</f>
        <v>7.7056287067075537</v>
      </c>
      <c r="AL56" s="27">
        <f ca="1">SUM($AH$56:$AK$56)</f>
        <v>105.66121617136535</v>
      </c>
      <c r="AM56" s="27">
        <f ca="1">SUMIF($L$4:$AL$4,"SUBTOTAL",$L$56:$AL$56)</f>
        <v>297.93029696018863</v>
      </c>
      <c r="AP56" s="27">
        <f>IF((1 - CUSTOS!$M$33)&lt;&gt;0,1/(1 - CUSTOS!$M$33),1)</f>
        <v>1.6666666666666667</v>
      </c>
    </row>
    <row r="58" spans="1:42" ht="11.25" customHeight="1" x14ac:dyDescent="0.25">
      <c r="K58" s="31" t="s">
        <v>755</v>
      </c>
      <c r="L58" s="27">
        <f>SUMPRODUCT($I$5:$I56,$L$5:$L56)</f>
        <v>72181534.130150154</v>
      </c>
      <c r="M58" s="27">
        <f>SUMPRODUCT($I$5:$I56,$M$5:$M56)</f>
        <v>4179133.5218580877</v>
      </c>
      <c r="N58" s="27">
        <f ca="1">SUMPRODUCT($I$5:$I56,$N$5:$N56)</f>
        <v>22575633.620101999</v>
      </c>
      <c r="O58" s="27">
        <f>SUMPRODUCT($I$5:$I56,$O$5:$O56)</f>
        <v>0</v>
      </c>
      <c r="P58" s="27">
        <f>SUMPRODUCT($I$5:$I56,$P$5:$P56)</f>
        <v>0</v>
      </c>
      <c r="Q58" s="27">
        <f>SUMPRODUCT($I$5:$I56,$Q$5:$Q56)</f>
        <v>120915355.98342201</v>
      </c>
      <c r="R58" s="27">
        <f>SUMPRODUCT($I$5:$I56,$R$5:$R56)</f>
        <v>54813707.89809379</v>
      </c>
      <c r="S58" s="27">
        <f>SUMPRODUCT($I$5:$I56,$S$5:$S56)</f>
        <v>0</v>
      </c>
      <c r="T58" s="27">
        <f ca="1">SUMPRODUCT($I$5:$I56,$T$5:$T56)</f>
        <v>274665365.15362602</v>
      </c>
      <c r="U58" s="27">
        <f>SUMPRODUCT($I$5:$I56,$U$5:$U56)</f>
        <v>194083962</v>
      </c>
      <c r="V58" s="27">
        <f>SUMPRODUCT($I$5:$I56,$V$5:$V56)</f>
        <v>610134.00000000012</v>
      </c>
      <c r="W58" s="27">
        <f>SUMPRODUCT($I$5:$I56,$W$5:$W56)</f>
        <v>389243.48643104907</v>
      </c>
      <c r="X58" s="27">
        <f>SUMPRODUCT($I$5:$I56,$X$5:$X56)</f>
        <v>0</v>
      </c>
      <c r="Y58" s="27">
        <f>SUMPRODUCT($I$5:$I56,$Y$5:$Y56)</f>
        <v>386771.25215000007</v>
      </c>
      <c r="Z58" s="27">
        <f>SUMPRODUCT($I$5:$I56,$Z$5:$Z56)</f>
        <v>0</v>
      </c>
      <c r="AA58" s="27">
        <f>SUMPRODUCT($I$5:$I56,$AA$5:$AA56)</f>
        <v>0</v>
      </c>
      <c r="AB58" s="27">
        <f>SUMPRODUCT($I$5:$I56,$AB$5:$AB56)</f>
        <v>195470110.73858106</v>
      </c>
      <c r="AC58" s="27">
        <f>SUMPRODUCT($I$5:$I56,$AC$5:$AC56)</f>
        <v>1160069789.4960818</v>
      </c>
      <c r="AD58" s="27">
        <f>SUMPRODUCT($I$5:$I56,$AD$5:$AD56)</f>
        <v>1160069789.4960818</v>
      </c>
      <c r="AE58" s="27">
        <f>SUMPRODUCT($I$5:$I56,$AE$5:$AE56)</f>
        <v>0</v>
      </c>
      <c r="AF58" s="27">
        <f>SUMPRODUCT($I$5:$I56,$AF$5:$AF56)</f>
        <v>0</v>
      </c>
      <c r="AG58" s="27">
        <f>SUMPRODUCT($I$5:$I56,$AG$5:$AG56)</f>
        <v>0</v>
      </c>
      <c r="AH58" s="27">
        <f>SUMPRODUCT($I$5:$I56,$AH$5:$AH56)</f>
        <v>175986808.34960499</v>
      </c>
      <c r="AI58" s="27">
        <f>SUMPRODUCT($I$5:$I56,$AI$5:$AI56)</f>
        <v>12176962.157395126</v>
      </c>
      <c r="AJ58" s="27">
        <f ca="1">SUMPRODUCT($I$5:$I56,$AJ$5:$AJ56)</f>
        <v>560449069.74161291</v>
      </c>
      <c r="AK58" s="27">
        <f ca="1">SUMPRODUCT($I$5:$I56,$AK$5:$AK56)</f>
        <v>63195161.620588392</v>
      </c>
      <c r="AL58" s="27">
        <f ca="1">SUMPRODUCT($I$5:$I56,$AL$5:$AL56)</f>
        <v>811808001.86920118</v>
      </c>
      <c r="AM58" s="27">
        <f ca="1">SUMPRODUCT($I$5:$I56,$AM$5:$AM56)</f>
        <v>2442013267.2574902</v>
      </c>
    </row>
    <row r="59" spans="1:42" ht="11.25" customHeight="1" x14ac:dyDescent="0.25">
      <c r="K59" s="31" t="s">
        <v>687</v>
      </c>
      <c r="L59" s="27">
        <f>'TR TUSD'!$L$61</f>
        <v>72181534.130150154</v>
      </c>
      <c r="M59" s="27">
        <f>'TR TUSD'!$M$61</f>
        <v>4179133.5218580877</v>
      </c>
      <c r="N59" s="27">
        <f>'TR TUSD'!$N$61</f>
        <v>22575633.620101996</v>
      </c>
      <c r="O59" s="27">
        <f>'TR TUSD'!$O$61</f>
        <v>0</v>
      </c>
      <c r="P59" s="27">
        <f>'TR TUSD'!$P$61</f>
        <v>0</v>
      </c>
      <c r="Q59" s="27">
        <f>'TR TUSD'!$Q$61</f>
        <v>120915355.983422</v>
      </c>
      <c r="R59" s="27">
        <f>'TR TUSD'!$R$61</f>
        <v>54813707.898093797</v>
      </c>
      <c r="S59" s="27">
        <f>'TR TUSD'!$S$61</f>
        <v>0</v>
      </c>
      <c r="T59" s="27">
        <f>'TR TUSD'!$T$61</f>
        <v>274665365.15362602</v>
      </c>
      <c r="U59" s="27">
        <f>'TR TUSD'!$U$61</f>
        <v>194083962</v>
      </c>
      <c r="V59" s="27">
        <f>'TR TUSD'!$V$61</f>
        <v>610134</v>
      </c>
      <c r="W59" s="27">
        <f>'TR TUSD'!$W$61</f>
        <v>389243.48643104901</v>
      </c>
      <c r="X59" s="27">
        <f>'TR TUSD'!$X$61</f>
        <v>0</v>
      </c>
      <c r="Y59" s="27">
        <f>'TR TUSD'!$Y$61</f>
        <v>386771.25215000001</v>
      </c>
      <c r="Z59" s="27">
        <f>'TR TUSD'!$Z$61</f>
        <v>0</v>
      </c>
      <c r="AA59" s="27">
        <f>'TR TUSD'!$AA$61</f>
        <v>0</v>
      </c>
      <c r="AB59" s="27">
        <f>'TR TUSD'!$AB$61</f>
        <v>195470110.73858106</v>
      </c>
      <c r="AC59" s="27">
        <f>'TR TUSD'!$AC$61</f>
        <v>1160069789.4960818</v>
      </c>
      <c r="AD59" s="27">
        <f>'TR TUSD'!$AD$61</f>
        <v>1160069789.4960818</v>
      </c>
      <c r="AE59" s="27">
        <f>'TR TUSD'!$AE$61</f>
        <v>0</v>
      </c>
      <c r="AF59" s="27">
        <f>'TR TUSD'!$AF$61</f>
        <v>0</v>
      </c>
      <c r="AG59" s="27">
        <f>'TR TUSD'!$AG$61</f>
        <v>0</v>
      </c>
      <c r="AH59" s="27">
        <f>'TR TUSD'!$AH$61</f>
        <v>175986808.34960496</v>
      </c>
      <c r="AI59" s="27">
        <f>'TR TUSD'!$AI$61</f>
        <v>12176962.157395126</v>
      </c>
      <c r="AJ59" s="27">
        <f>'TR TUSD'!$AJ$61</f>
        <v>560449069.74161279</v>
      </c>
      <c r="AK59" s="27">
        <f>'TR TUSD'!$AK$61</f>
        <v>63195161.620588377</v>
      </c>
      <c r="AL59" s="27">
        <f>'TR TUSD'!$AL$61</f>
        <v>811808001.8692013</v>
      </c>
      <c r="AM59" s="27">
        <f>CUSTOS!$D$29</f>
        <v>2442013267.2574902</v>
      </c>
    </row>
    <row r="60" spans="1:42" ht="11.25" customHeight="1" x14ac:dyDescent="0.25">
      <c r="K60" s="31" t="s">
        <v>688</v>
      </c>
      <c r="L60" s="27">
        <f>CUSTOS!$E$2</f>
        <v>0</v>
      </c>
      <c r="M60" s="27">
        <f>CUSTOS!$E$3</f>
        <v>61601.634509554628</v>
      </c>
      <c r="N60" s="27">
        <f>CUSTOS!$E$4</f>
        <v>-88.313053589204415</v>
      </c>
      <c r="O60" s="27">
        <f>CUSTOS!$E$5</f>
        <v>0</v>
      </c>
      <c r="P60" s="27">
        <f>CUSTOS!$E$6</f>
        <v>0</v>
      </c>
      <c r="Q60" s="27">
        <f>CUSTOS!$E$7</f>
        <v>-2902317.5432966761</v>
      </c>
      <c r="R60" s="27">
        <f>CUSTOS!$E$8</f>
        <v>1776312.7715905691</v>
      </c>
      <c r="S60" s="27">
        <f>CUSTOS!$E$9</f>
        <v>0</v>
      </c>
      <c r="T60" s="27">
        <f>CUSTOS!$E$10</f>
        <v>-1064491.4502501418</v>
      </c>
      <c r="U60" s="27">
        <f>CUSTOS!$E$11</f>
        <v>8035653.6614109576</v>
      </c>
      <c r="V60" s="27">
        <f>CUSTOS!$E$12</f>
        <v>2210177.0457875426</v>
      </c>
      <c r="W60" s="27">
        <f>CUSTOS!$E$13</f>
        <v>-57466.450171266639</v>
      </c>
      <c r="X60" s="27">
        <f>CUSTOS!$E$14</f>
        <v>0</v>
      </c>
      <c r="Y60" s="27">
        <f>CUSTOS!$E$15</f>
        <v>-395173.30076672439</v>
      </c>
      <c r="Z60" s="27">
        <f>CUSTOS!$E$16</f>
        <v>0</v>
      </c>
      <c r="AA60" s="27">
        <f>CUSTOS!$E$17</f>
        <v>0</v>
      </c>
      <c r="AB60" s="27">
        <f>CUSTOS!$E$18</f>
        <v>9793190.9562605098</v>
      </c>
      <c r="AC60" s="27">
        <f>CUSTOS!$E$19</f>
        <v>-3594572.5300000003</v>
      </c>
      <c r="AD60" s="27">
        <f>CUSTOS!$E$20</f>
        <v>-3594572.5300000003</v>
      </c>
      <c r="AE60" s="27">
        <f>CUSTOS!$E$21</f>
        <v>0</v>
      </c>
      <c r="AF60" s="27">
        <f>CUSTOS!$E$22</f>
        <v>0</v>
      </c>
      <c r="AG60" s="27">
        <f>CUSTOS!$E$23</f>
        <v>0</v>
      </c>
      <c r="AH60" s="27">
        <f>CUSTOS!$E$24</f>
        <v>-16040200.365766177</v>
      </c>
      <c r="AI60" s="27">
        <f>CUSTOS!$E$25</f>
        <v>-1109861.1008556804</v>
      </c>
      <c r="AJ60" s="27">
        <f>CUSTOS!$E$26</f>
        <v>-51081756.966717049</v>
      </c>
      <c r="AK60" s="27">
        <f>CUSTOS!$E$27</f>
        <v>23540744.810586918</v>
      </c>
      <c r="AL60" s="27">
        <f>CUSTOS!$E$28</f>
        <v>-44691073.622751996</v>
      </c>
      <c r="AM60" s="27">
        <f>CUSTOS!$E$29</f>
        <v>-39556946.646741629</v>
      </c>
    </row>
    <row r="61" spans="1:42" ht="11.25" customHeight="1" x14ac:dyDescent="0.25">
      <c r="K61" s="31" t="s">
        <v>689</v>
      </c>
      <c r="L61" s="27">
        <f>CUSTOS!$F$2</f>
        <v>0</v>
      </c>
      <c r="M61" s="27">
        <f>CUSTOS!$F$3</f>
        <v>0</v>
      </c>
      <c r="N61" s="27">
        <f>CUSTOS!$F$4</f>
        <v>0</v>
      </c>
      <c r="O61" s="27">
        <f>CUSTOS!$F$5</f>
        <v>0</v>
      </c>
      <c r="P61" s="27">
        <f>CUSTOS!$F$6</f>
        <v>0</v>
      </c>
      <c r="Q61" s="27">
        <f>CUSTOS!$F$7</f>
        <v>-6633262.1203369778</v>
      </c>
      <c r="R61" s="27">
        <f>CUSTOS!$F$8</f>
        <v>4298926.9364788132</v>
      </c>
      <c r="S61" s="27">
        <f>CUSTOS!$F$9</f>
        <v>0</v>
      </c>
      <c r="T61" s="27">
        <f>CUSTOS!$F$10</f>
        <v>-2334335.1838581646</v>
      </c>
      <c r="U61" s="27">
        <f>CUSTOS!$F$11</f>
        <v>26311802.053537685</v>
      </c>
      <c r="V61" s="27">
        <f>CUSTOS!$F$12</f>
        <v>82715.361273040995</v>
      </c>
      <c r="W61" s="27">
        <f>CUSTOS!$F$13</f>
        <v>0</v>
      </c>
      <c r="X61" s="27">
        <f>CUSTOS!$F$14</f>
        <v>0</v>
      </c>
      <c r="Y61" s="27">
        <f>CUSTOS!$F$15</f>
        <v>0</v>
      </c>
      <c r="Z61" s="27">
        <f>CUSTOS!$F$16</f>
        <v>0</v>
      </c>
      <c r="AA61" s="27">
        <f>CUSTOS!$F$17</f>
        <v>0</v>
      </c>
      <c r="AB61" s="27">
        <f>CUSTOS!$F$18</f>
        <v>26394517.414810725</v>
      </c>
      <c r="AC61" s="27">
        <f>CUSTOS!$F$19</f>
        <v>0</v>
      </c>
      <c r="AD61" s="27">
        <f>CUSTOS!$F$20</f>
        <v>0</v>
      </c>
      <c r="AE61" s="27">
        <f>CUSTOS!$F$21</f>
        <v>0</v>
      </c>
      <c r="AF61" s="27">
        <f>CUSTOS!$F$22</f>
        <v>0</v>
      </c>
      <c r="AG61" s="27">
        <f>CUSTOS!$F$23</f>
        <v>0</v>
      </c>
      <c r="AH61" s="27">
        <f>CUSTOS!$F$24</f>
        <v>16054813.951035799</v>
      </c>
      <c r="AI61" s="27">
        <f>CUSTOS!$F$25</f>
        <v>1110872.2509326711</v>
      </c>
      <c r="AJ61" s="27">
        <f>CUSTOS!$F$26</f>
        <v>51128295.513252199</v>
      </c>
      <c r="AK61" s="27">
        <f>CUSTOS!$F$27</f>
        <v>0</v>
      </c>
      <c r="AL61" s="27">
        <f>CUSTOS!$F$28</f>
        <v>68293981.71522066</v>
      </c>
      <c r="AM61" s="27">
        <f>CUSTOS!$F$29</f>
        <v>92354163.946173221</v>
      </c>
    </row>
    <row r="62" spans="1:42" ht="11.25" customHeight="1" x14ac:dyDescent="0.25">
      <c r="K62" s="31" t="s">
        <v>752</v>
      </c>
      <c r="L62" s="27">
        <v>0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f>SUM($L$62:$S$62)</f>
        <v>0</v>
      </c>
      <c r="U62" s="27">
        <v>0</v>
      </c>
      <c r="V62" s="27">
        <v>0</v>
      </c>
      <c r="W62" s="27">
        <v>0</v>
      </c>
      <c r="X62" s="27">
        <v>0</v>
      </c>
      <c r="Y62" s="27">
        <v>0</v>
      </c>
      <c r="Z62" s="27">
        <v>0</v>
      </c>
      <c r="AA62" s="27">
        <v>0</v>
      </c>
      <c r="AB62" s="27">
        <f>SUM($U$62:$AA$62)</f>
        <v>0</v>
      </c>
      <c r="AC62" s="27">
        <v>0</v>
      </c>
      <c r="AD62" s="27">
        <f>SUM($AC$62:$AC$62)</f>
        <v>0</v>
      </c>
      <c r="AE62" s="27">
        <v>0</v>
      </c>
      <c r="AF62" s="27">
        <v>0</v>
      </c>
      <c r="AG62" s="27">
        <f>SUM($AE$62:$AF$62)</f>
        <v>0</v>
      </c>
      <c r="AH62" s="27">
        <v>0</v>
      </c>
      <c r="AI62" s="27">
        <v>0</v>
      </c>
      <c r="AJ62" s="27">
        <v>0</v>
      </c>
      <c r="AK62" s="27">
        <v>0</v>
      </c>
      <c r="AL62" s="27">
        <f>SUM($AH$62:$AK$62)</f>
        <v>0</v>
      </c>
      <c r="AM62" s="27">
        <f>SUMIF($L$4:$AL$4,"SUBTOTAL",$L$62:$AL$62)</f>
        <v>0</v>
      </c>
    </row>
    <row r="63" spans="1:42" ht="11.25" customHeight="1" x14ac:dyDescent="0.25">
      <c r="K63" s="31" t="s">
        <v>756</v>
      </c>
      <c r="L63" s="27">
        <f t="shared" ref="L63:R63" si="0">IF((L58-(0))&lt;&gt;0,(L60)/(L58-(0)),0)</f>
        <v>0</v>
      </c>
      <c r="M63" s="27">
        <f t="shared" si="0"/>
        <v>1.4740288671649303E-2</v>
      </c>
      <c r="N63" s="27">
        <f t="shared" ca="1" si="0"/>
        <v>-3.9118748592096171E-6</v>
      </c>
      <c r="O63" s="27">
        <f t="shared" si="0"/>
        <v>0</v>
      </c>
      <c r="P63" s="27">
        <f t="shared" si="0"/>
        <v>0</v>
      </c>
      <c r="Q63" s="27">
        <f t="shared" si="0"/>
        <v>-2.40028863140807E-2</v>
      </c>
      <c r="R63" s="27">
        <f t="shared" si="0"/>
        <v>3.2406360374178267E-2</v>
      </c>
      <c r="S63" s="27">
        <f>IF((R58-(0)&lt;&gt;0),(S60)/(R58-(0)),0)</f>
        <v>0</v>
      </c>
      <c r="T63" s="27"/>
      <c r="U63" s="27">
        <f t="shared" ref="U63:AA63" si="1">IF((U58-(0))&lt;&gt;0,(U60)/(U58-(0)),0)</f>
        <v>4.140297620990939E-2</v>
      </c>
      <c r="V63" s="27">
        <f t="shared" si="1"/>
        <v>3.6224453083872432</v>
      </c>
      <c r="W63" s="27">
        <f t="shared" si="1"/>
        <v>-0.14763625384761911</v>
      </c>
      <c r="X63" s="27">
        <f t="shared" si="1"/>
        <v>0</v>
      </c>
      <c r="Y63" s="27">
        <f t="shared" si="1"/>
        <v>-1.0217235602957011</v>
      </c>
      <c r="Z63" s="27">
        <f t="shared" si="1"/>
        <v>0</v>
      </c>
      <c r="AA63" s="27">
        <f t="shared" si="1"/>
        <v>0</v>
      </c>
      <c r="AB63" s="27"/>
      <c r="AC63" s="27">
        <f>IF((AC58-(0))&lt;&gt;0,(AC60)/(AC58-(0)),0)</f>
        <v>-3.0985830012532543E-3</v>
      </c>
      <c r="AD63" s="27"/>
      <c r="AE63" s="27">
        <f ca="1">IF(($AM58-(0))&lt;&gt;0,(AE60)/($AM58-(0)),0)</f>
        <v>0</v>
      </c>
      <c r="AF63" s="27">
        <f ca="1">IF(($AM58-(0))&lt;&gt;0,(AF60)/($AM58-(0)),0)</f>
        <v>0</v>
      </c>
      <c r="AG63" s="27"/>
      <c r="AH63" s="27">
        <f>IF((AH58-(0))&lt;&gt;0,(AH60)/(AH58-(0)),0)</f>
        <v>-9.1144333579262729E-2</v>
      </c>
      <c r="AI63" s="27">
        <f>IF((AI58-(0))&lt;&gt;0,(AI60)/(AI58-(0)),0)</f>
        <v>-9.1144333579262757E-2</v>
      </c>
      <c r="AJ63" s="27">
        <f ca="1">IF((AJ58-(0))&lt;&gt;0,(AJ60)/(AJ58-(0)),0)</f>
        <v>-9.1144333579262729E-2</v>
      </c>
      <c r="AK63" s="27">
        <f ca="1">IF((AK58-(0))&lt;&gt;0,(AK60)/(AK58-(0)),0)</f>
        <v>0.37250865741781036</v>
      </c>
      <c r="AL63" s="27"/>
      <c r="AM63" s="27"/>
    </row>
  </sheetData>
  <mergeCells count="79">
    <mergeCell ref="B1:B4"/>
    <mergeCell ref="C1:C4"/>
    <mergeCell ref="D1:D4"/>
    <mergeCell ref="E1:E4"/>
    <mergeCell ref="F1:F4"/>
    <mergeCell ref="AP1:AP4"/>
    <mergeCell ref="L2:AM2"/>
    <mergeCell ref="L3:T3"/>
    <mergeCell ref="U3:AB3"/>
    <mergeCell ref="AC3:AD3"/>
    <mergeCell ref="E15:E17"/>
    <mergeCell ref="AE3:AG3"/>
    <mergeCell ref="AH3:AL3"/>
    <mergeCell ref="AM3:AM4"/>
    <mergeCell ref="A5:A9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M1"/>
    <mergeCell ref="A1:A4"/>
    <mergeCell ref="F15:F17"/>
    <mergeCell ref="E18:E19"/>
    <mergeCell ref="F18:F19"/>
    <mergeCell ref="A20:A21"/>
    <mergeCell ref="B20:B21"/>
    <mergeCell ref="C20:C21"/>
    <mergeCell ref="D20:D21"/>
    <mergeCell ref="A10:A19"/>
    <mergeCell ref="B10:B13"/>
    <mergeCell ref="C10:C13"/>
    <mergeCell ref="D10:D13"/>
    <mergeCell ref="E10:E12"/>
    <mergeCell ref="F10:F12"/>
    <mergeCell ref="B15:B19"/>
    <mergeCell ref="C15:C19"/>
    <mergeCell ref="D15:D19"/>
    <mergeCell ref="F22:F24"/>
    <mergeCell ref="B25:B29"/>
    <mergeCell ref="C25:C29"/>
    <mergeCell ref="B30:B34"/>
    <mergeCell ref="C30:C34"/>
    <mergeCell ref="A22:A34"/>
    <mergeCell ref="B22:B24"/>
    <mergeCell ref="C22:C24"/>
    <mergeCell ref="D22:D24"/>
    <mergeCell ref="E22:E24"/>
    <mergeCell ref="D43:D45"/>
    <mergeCell ref="E43:E45"/>
    <mergeCell ref="F43:F45"/>
    <mergeCell ref="D35:D37"/>
    <mergeCell ref="E35:E37"/>
    <mergeCell ref="F35:F37"/>
    <mergeCell ref="D39:D41"/>
    <mergeCell ref="E39:E41"/>
    <mergeCell ref="F39:F41"/>
    <mergeCell ref="B47:B49"/>
    <mergeCell ref="C47:C49"/>
    <mergeCell ref="A50:A54"/>
    <mergeCell ref="B50:B52"/>
    <mergeCell ref="C50:C52"/>
    <mergeCell ref="A35:A49"/>
    <mergeCell ref="B35:B37"/>
    <mergeCell ref="C35:C37"/>
    <mergeCell ref="B43:B45"/>
    <mergeCell ref="C43:C45"/>
    <mergeCell ref="B39:B41"/>
    <mergeCell ref="C39:C41"/>
    <mergeCell ref="E50:E52"/>
    <mergeCell ref="F50:F52"/>
    <mergeCell ref="A55:A56"/>
    <mergeCell ref="B55:B56"/>
    <mergeCell ref="C55:C56"/>
    <mergeCell ref="D50:D52"/>
  </mergeCells>
  <conditionalFormatting sqref="L58">
    <cfRule type="cellIs" dxfId="1318" priority="55" operator="notEqual">
      <formula>$L$59-$L$62</formula>
    </cfRule>
    <cfRule type="cellIs" dxfId="1317" priority="56" operator="equal">
      <formula>$L$59-$L$62</formula>
    </cfRule>
  </conditionalFormatting>
  <conditionalFormatting sqref="M58">
    <cfRule type="cellIs" dxfId="1316" priority="53" operator="notEqual">
      <formula>$M$59-$M$62</formula>
    </cfRule>
    <cfRule type="cellIs" dxfId="1315" priority="54" operator="equal">
      <formula>$M$59-$M$62</formula>
    </cfRule>
  </conditionalFormatting>
  <conditionalFormatting sqref="N58">
    <cfRule type="cellIs" dxfId="1314" priority="51" operator="notEqual">
      <formula>$N$59-$N$62</formula>
    </cfRule>
    <cfRule type="cellIs" dxfId="1313" priority="52" operator="equal">
      <formula>$N$59-$N$62</formula>
    </cfRule>
  </conditionalFormatting>
  <conditionalFormatting sqref="O58">
    <cfRule type="cellIs" dxfId="1312" priority="49" operator="notEqual">
      <formula>$O$59-$O$62</formula>
    </cfRule>
    <cfRule type="cellIs" dxfId="1311" priority="50" operator="equal">
      <formula>$O$59-$O$62</formula>
    </cfRule>
  </conditionalFormatting>
  <conditionalFormatting sqref="P58">
    <cfRule type="cellIs" dxfId="1310" priority="47" operator="notEqual">
      <formula>$P$59-$P$62</formula>
    </cfRule>
    <cfRule type="cellIs" dxfId="1309" priority="48" operator="equal">
      <formula>$P$59-$P$62</formula>
    </cfRule>
  </conditionalFormatting>
  <conditionalFormatting sqref="Q58">
    <cfRule type="cellIs" dxfId="1308" priority="45" operator="notEqual">
      <formula>$Q$59-$Q$62</formula>
    </cfRule>
    <cfRule type="cellIs" dxfId="1307" priority="46" operator="equal">
      <formula>$Q$59-$Q$62</formula>
    </cfRule>
  </conditionalFormatting>
  <conditionalFormatting sqref="R58">
    <cfRule type="cellIs" dxfId="1306" priority="43" operator="notEqual">
      <formula>$R$59-$R$62</formula>
    </cfRule>
    <cfRule type="cellIs" dxfId="1305" priority="44" operator="equal">
      <formula>$R$59-$R$62</formula>
    </cfRule>
  </conditionalFormatting>
  <conditionalFormatting sqref="S58">
    <cfRule type="cellIs" dxfId="1304" priority="41" operator="notEqual">
      <formula>$S$59-$S$62</formula>
    </cfRule>
    <cfRule type="cellIs" dxfId="1303" priority="42" operator="equal">
      <formula>$S$59-$S$62</formula>
    </cfRule>
  </conditionalFormatting>
  <conditionalFormatting sqref="T58">
    <cfRule type="cellIs" dxfId="1302" priority="39" operator="notEqual">
      <formula>$T$59-$T$62</formula>
    </cfRule>
    <cfRule type="cellIs" dxfId="1301" priority="40" operator="equal">
      <formula>$T$59-$T$62</formula>
    </cfRule>
  </conditionalFormatting>
  <conditionalFormatting sqref="U58">
    <cfRule type="cellIs" dxfId="1300" priority="37" operator="notEqual">
      <formula>$U$59-$U$62</formula>
    </cfRule>
    <cfRule type="cellIs" dxfId="1299" priority="38" operator="equal">
      <formula>$U$59-$U$62</formula>
    </cfRule>
  </conditionalFormatting>
  <conditionalFormatting sqref="V58">
    <cfRule type="cellIs" dxfId="1298" priority="35" operator="notEqual">
      <formula>$V$59-$V$62</formula>
    </cfRule>
    <cfRule type="cellIs" dxfId="1297" priority="36" operator="equal">
      <formula>$V$59-$V$62</formula>
    </cfRule>
  </conditionalFormatting>
  <conditionalFormatting sqref="W58">
    <cfRule type="cellIs" dxfId="1296" priority="33" operator="notEqual">
      <formula>$W$59-$W$62</formula>
    </cfRule>
    <cfRule type="cellIs" dxfId="1295" priority="34" operator="equal">
      <formula>$W$59-$W$62</formula>
    </cfRule>
  </conditionalFormatting>
  <conditionalFormatting sqref="X58">
    <cfRule type="cellIs" dxfId="1294" priority="31" operator="notEqual">
      <formula>$X$59-$X$62</formula>
    </cfRule>
    <cfRule type="cellIs" dxfId="1293" priority="32" operator="equal">
      <formula>$X$59-$X$62</formula>
    </cfRule>
  </conditionalFormatting>
  <conditionalFormatting sqref="Y58">
    <cfRule type="cellIs" dxfId="1292" priority="29" operator="notEqual">
      <formula>$Y$59-$Y$62</formula>
    </cfRule>
    <cfRule type="cellIs" dxfId="1291" priority="30" operator="equal">
      <formula>$Y$59-$Y$62</formula>
    </cfRule>
  </conditionalFormatting>
  <conditionalFormatting sqref="Z58">
    <cfRule type="cellIs" dxfId="1290" priority="27" operator="notEqual">
      <formula>$Z$59-$Z$62</formula>
    </cfRule>
    <cfRule type="cellIs" dxfId="1289" priority="28" operator="equal">
      <formula>$Z$59-$Z$62</formula>
    </cfRule>
  </conditionalFormatting>
  <conditionalFormatting sqref="AA58">
    <cfRule type="cellIs" dxfId="1288" priority="25" operator="notEqual">
      <formula>$AA$59-$AA$62</formula>
    </cfRule>
    <cfRule type="cellIs" dxfId="1287" priority="26" operator="equal">
      <formula>$AA$59-$AA$62</formula>
    </cfRule>
  </conditionalFormatting>
  <conditionalFormatting sqref="AB58">
    <cfRule type="cellIs" dxfId="1286" priority="23" operator="notEqual">
      <formula>$AB$59-$AB$62</formula>
    </cfRule>
    <cfRule type="cellIs" dxfId="1285" priority="24" operator="equal">
      <formula>$AB$59-$AB$62</formula>
    </cfRule>
  </conditionalFormatting>
  <conditionalFormatting sqref="AC58">
    <cfRule type="cellIs" dxfId="1284" priority="21" operator="notEqual">
      <formula>$AC$59-$AC$62</formula>
    </cfRule>
    <cfRule type="cellIs" dxfId="1283" priority="22" operator="equal">
      <formula>$AC$59-$AC$62</formula>
    </cfRule>
  </conditionalFormatting>
  <conditionalFormatting sqref="AD58">
    <cfRule type="cellIs" dxfId="1282" priority="19" operator="notEqual">
      <formula>$AD$59-$AD$62</formula>
    </cfRule>
    <cfRule type="cellIs" dxfId="1281" priority="20" operator="equal">
      <formula>$AD$59-$AD$62</formula>
    </cfRule>
  </conditionalFormatting>
  <conditionalFormatting sqref="AE58">
    <cfRule type="cellIs" dxfId="1280" priority="17" operator="notEqual">
      <formula>$AE$59-$AE$62</formula>
    </cfRule>
    <cfRule type="cellIs" dxfId="1279" priority="18" operator="equal">
      <formula>$AE$59-$AE$62</formula>
    </cfRule>
  </conditionalFormatting>
  <conditionalFormatting sqref="AF58">
    <cfRule type="cellIs" dxfId="1278" priority="16" operator="equal">
      <formula>$AF$59-$AF$62</formula>
    </cfRule>
  </conditionalFormatting>
  <conditionalFormatting sqref="AF58">
    <cfRule type="cellIs" dxfId="1277" priority="15" operator="notEqual">
      <formula>$AF$59-$AF$62</formula>
    </cfRule>
  </conditionalFormatting>
  <conditionalFormatting sqref="AG58">
    <cfRule type="cellIs" dxfId="1276" priority="14" operator="equal">
      <formula>$AG$59-$AG$62</formula>
    </cfRule>
  </conditionalFormatting>
  <conditionalFormatting sqref="AG58">
    <cfRule type="cellIs" dxfId="1275" priority="13" operator="notEqual">
      <formula>$AG$59-$AG$62</formula>
    </cfRule>
  </conditionalFormatting>
  <conditionalFormatting sqref="AH58">
    <cfRule type="cellIs" dxfId="1274" priority="12" operator="equal">
      <formula>$AH$59-$AH$62</formula>
    </cfRule>
  </conditionalFormatting>
  <conditionalFormatting sqref="AH58">
    <cfRule type="cellIs" dxfId="1273" priority="11" operator="notEqual">
      <formula>$AH$59-$AH$62</formula>
    </cfRule>
  </conditionalFormatting>
  <conditionalFormatting sqref="AI58">
    <cfRule type="cellIs" dxfId="1272" priority="10" operator="equal">
      <formula>$AI$59-$AI$62</formula>
    </cfRule>
  </conditionalFormatting>
  <conditionalFormatting sqref="AI58">
    <cfRule type="cellIs" dxfId="1271" priority="9" operator="notEqual">
      <formula>$AI$59-$AI$62</formula>
    </cfRule>
  </conditionalFormatting>
  <conditionalFormatting sqref="AJ58">
    <cfRule type="cellIs" dxfId="1270" priority="8" operator="equal">
      <formula>$AJ$59-$AJ$62</formula>
    </cfRule>
  </conditionalFormatting>
  <conditionalFormatting sqref="AJ58">
    <cfRule type="cellIs" dxfId="1269" priority="7" operator="notEqual">
      <formula>$AJ$59-$AJ$62</formula>
    </cfRule>
  </conditionalFormatting>
  <conditionalFormatting sqref="AK58">
    <cfRule type="cellIs" dxfId="1268" priority="6" operator="equal">
      <formula>$AK$59-$AK$62</formula>
    </cfRule>
  </conditionalFormatting>
  <conditionalFormatting sqref="AK58">
    <cfRule type="cellIs" dxfId="1267" priority="5" operator="notEqual">
      <formula>$AK$59-$AK$62</formula>
    </cfRule>
  </conditionalFormatting>
  <conditionalFormatting sqref="AL58">
    <cfRule type="cellIs" dxfId="1266" priority="4" operator="equal">
      <formula>$AL$59-$AL$62</formula>
    </cfRule>
  </conditionalFormatting>
  <conditionalFormatting sqref="AL58">
    <cfRule type="cellIs" dxfId="1265" priority="3" operator="notEqual">
      <formula>$AL$59-$AL$62</formula>
    </cfRule>
  </conditionalFormatting>
  <conditionalFormatting sqref="AM58">
    <cfRule type="cellIs" dxfId="1264" priority="2" operator="equal">
      <formula>$AM$59-$AM$62</formula>
    </cfRule>
  </conditionalFormatting>
  <conditionalFormatting sqref="AM58">
    <cfRule type="cellIs" dxfId="1263" priority="1" operator="notEqual">
      <formula>$AM$59-$AM$62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9572A-9419-439E-AD9F-4D5950A0BAB7}">
  <dimension ref="A1:AP63"/>
  <sheetViews>
    <sheetView showGridLines="0" topLeftCell="AD45" workbookViewId="0">
      <selection activeCell="AO58" sqref="AO58:AP60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" style="9" bestFit="1" customWidth="1"/>
    <col min="14" max="14" width="10.85546875" style="9" bestFit="1" customWidth="1"/>
    <col min="15" max="15" width="4.140625" style="9" bestFit="1" customWidth="1"/>
    <col min="16" max="16" width="4.42578125" style="9" bestFit="1" customWidth="1"/>
    <col min="17" max="17" width="11.7109375" style="9" bestFit="1" customWidth="1"/>
    <col min="18" max="18" width="10.85546875" style="9" bestFit="1" customWidth="1"/>
    <col min="19" max="19" width="8.7109375" style="9" bestFit="1" customWidth="1"/>
    <col min="20" max="21" width="11.7109375" style="9" bestFit="1" customWidth="1"/>
    <col min="22" max="22" width="10" style="9" bestFit="1" customWidth="1"/>
    <col min="23" max="24" width="9.85546875" style="9" bestFit="1" customWidth="1"/>
    <col min="25" max="25" width="9.28515625" style="9" bestFit="1" customWidth="1"/>
    <col min="26" max="26" width="7.7109375" style="9" bestFit="1" customWidth="1"/>
    <col min="27" max="27" width="9.85546875" style="9" bestFit="1" customWidth="1"/>
    <col min="28" max="28" width="11.7109375" style="9" bestFit="1" customWidth="1"/>
    <col min="29" max="30" width="13.1406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.85546875" style="9" bestFit="1" customWidth="1"/>
    <col min="38" max="38" width="11.7109375" style="9" bestFit="1" customWidth="1"/>
    <col min="39" max="39" width="13.140625" style="9" bestFit="1" customWidth="1"/>
    <col min="40" max="40" width="9.140625" style="9"/>
    <col min="41" max="42" width="13.140625" style="9" bestFit="1" customWidth="1"/>
    <col min="43" max="16384" width="9.140625" style="9"/>
  </cols>
  <sheetData>
    <row r="1" spans="1:42" ht="11.25" customHeight="1" x14ac:dyDescent="0.25">
      <c r="A1" s="127" t="s">
        <v>76</v>
      </c>
      <c r="B1" s="127" t="s">
        <v>77</v>
      </c>
      <c r="C1" s="127" t="s">
        <v>78</v>
      </c>
      <c r="D1" s="127" t="s">
        <v>79</v>
      </c>
      <c r="E1" s="127" t="s">
        <v>80</v>
      </c>
      <c r="F1" s="127" t="s">
        <v>15</v>
      </c>
      <c r="G1" s="127" t="s">
        <v>82</v>
      </c>
      <c r="H1" s="127" t="s">
        <v>83</v>
      </c>
      <c r="I1" s="127" t="s">
        <v>746</v>
      </c>
      <c r="J1" s="113"/>
      <c r="L1" s="125" t="s">
        <v>763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O1" s="37"/>
      <c r="AP1" s="129" t="s">
        <v>748</v>
      </c>
    </row>
    <row r="2" spans="1:42" ht="11.25" customHeight="1" x14ac:dyDescent="0.25">
      <c r="A2" s="127"/>
      <c r="B2" s="127"/>
      <c r="C2" s="127"/>
      <c r="D2" s="127"/>
      <c r="E2" s="127"/>
      <c r="F2" s="127"/>
      <c r="G2" s="127"/>
      <c r="H2" s="127"/>
      <c r="I2" s="127"/>
      <c r="J2" s="113"/>
      <c r="L2" s="125" t="s">
        <v>646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O2" s="37"/>
      <c r="AP2" s="130"/>
    </row>
    <row r="3" spans="1:42" ht="11.25" customHeight="1" x14ac:dyDescent="0.25">
      <c r="A3" s="127"/>
      <c r="B3" s="127"/>
      <c r="C3" s="127"/>
      <c r="D3" s="127"/>
      <c r="E3" s="127"/>
      <c r="F3" s="127"/>
      <c r="G3" s="127"/>
      <c r="H3" s="127"/>
      <c r="I3" s="127"/>
      <c r="J3" s="113"/>
      <c r="L3" s="125" t="s">
        <v>647</v>
      </c>
      <c r="M3" s="125"/>
      <c r="N3" s="125"/>
      <c r="O3" s="125"/>
      <c r="P3" s="125"/>
      <c r="Q3" s="125"/>
      <c r="R3" s="125"/>
      <c r="S3" s="125"/>
      <c r="T3" s="125"/>
      <c r="U3" s="125" t="s">
        <v>656</v>
      </c>
      <c r="V3" s="125"/>
      <c r="W3" s="125"/>
      <c r="X3" s="125"/>
      <c r="Y3" s="125"/>
      <c r="Z3" s="125"/>
      <c r="AA3" s="125"/>
      <c r="AB3" s="125"/>
      <c r="AC3" s="125" t="s">
        <v>664</v>
      </c>
      <c r="AD3" s="125"/>
      <c r="AE3" s="125" t="s">
        <v>666</v>
      </c>
      <c r="AF3" s="125"/>
      <c r="AG3" s="125"/>
      <c r="AH3" s="125" t="s">
        <v>669</v>
      </c>
      <c r="AI3" s="125"/>
      <c r="AJ3" s="125"/>
      <c r="AK3" s="125"/>
      <c r="AL3" s="125"/>
      <c r="AM3" s="125" t="s">
        <v>655</v>
      </c>
      <c r="AO3" s="37"/>
      <c r="AP3" s="130"/>
    </row>
    <row r="4" spans="1:42" ht="11.25" customHeight="1" x14ac:dyDescent="0.25">
      <c r="A4" s="127"/>
      <c r="B4" s="127"/>
      <c r="C4" s="127"/>
      <c r="D4" s="127"/>
      <c r="E4" s="127"/>
      <c r="F4" s="127"/>
      <c r="G4" s="127"/>
      <c r="H4" s="127"/>
      <c r="I4" s="127"/>
      <c r="J4" s="113"/>
      <c r="L4" s="33" t="s">
        <v>731</v>
      </c>
      <c r="M4" s="33" t="s">
        <v>648</v>
      </c>
      <c r="N4" s="33" t="s">
        <v>649</v>
      </c>
      <c r="O4" s="33" t="s">
        <v>650</v>
      </c>
      <c r="P4" s="33" t="s">
        <v>651</v>
      </c>
      <c r="Q4" s="33" t="s">
        <v>652</v>
      </c>
      <c r="R4" s="33" t="s">
        <v>653</v>
      </c>
      <c r="S4" s="33" t="s">
        <v>654</v>
      </c>
      <c r="T4" s="33" t="s">
        <v>655</v>
      </c>
      <c r="U4" s="33" t="s">
        <v>657</v>
      </c>
      <c r="V4" s="33" t="s">
        <v>658</v>
      </c>
      <c r="W4" s="33" t="s">
        <v>659</v>
      </c>
      <c r="X4" s="33" t="s">
        <v>660</v>
      </c>
      <c r="Y4" s="33" t="s">
        <v>661</v>
      </c>
      <c r="Z4" s="33" t="s">
        <v>662</v>
      </c>
      <c r="AA4" s="33" t="s">
        <v>663</v>
      </c>
      <c r="AB4" s="33" t="s">
        <v>655</v>
      </c>
      <c r="AC4" s="33" t="s">
        <v>665</v>
      </c>
      <c r="AD4" s="33" t="s">
        <v>655</v>
      </c>
      <c r="AE4" s="33" t="s">
        <v>667</v>
      </c>
      <c r="AF4" s="33" t="s">
        <v>668</v>
      </c>
      <c r="AG4" s="33" t="s">
        <v>655</v>
      </c>
      <c r="AH4" s="33" t="s">
        <v>670</v>
      </c>
      <c r="AI4" s="33" t="s">
        <v>671</v>
      </c>
      <c r="AJ4" s="33" t="s">
        <v>672</v>
      </c>
      <c r="AK4" s="33" t="s">
        <v>673</v>
      </c>
      <c r="AL4" s="33" t="s">
        <v>655</v>
      </c>
      <c r="AM4" s="126"/>
      <c r="AO4" s="38" t="s">
        <v>765</v>
      </c>
      <c r="AP4" s="131"/>
    </row>
    <row r="5" spans="1:42" ht="11.25" customHeight="1" x14ac:dyDescent="0.25">
      <c r="A5" s="124" t="s">
        <v>43</v>
      </c>
      <c r="B5" s="124" t="s">
        <v>44</v>
      </c>
      <c r="C5" s="124" t="s">
        <v>25</v>
      </c>
      <c r="D5" s="124" t="s">
        <v>25</v>
      </c>
      <c r="E5" s="124" t="s">
        <v>25</v>
      </c>
      <c r="F5" s="124" t="s">
        <v>25</v>
      </c>
      <c r="G5" s="28" t="s">
        <v>90</v>
      </c>
      <c r="H5" s="28" t="s">
        <v>89</v>
      </c>
      <c r="I5" s="28">
        <f>'MERCADO TUSD'!$U$2</f>
        <v>2432502</v>
      </c>
      <c r="J5" s="18"/>
      <c r="L5" s="32">
        <f>'TUSD BE'!$L$5*'TUSD BE'!$L$63</f>
        <v>0</v>
      </c>
      <c r="M5" s="32">
        <f>'TUSD BE'!$M$5*'TUSD BE'!$M$63</f>
        <v>0</v>
      </c>
      <c r="N5" s="32">
        <f ca="1">'TUSD BE'!$N$5*'TUSD BE'!$N$63</f>
        <v>0</v>
      </c>
      <c r="O5" s="32">
        <f>'TUSD BE'!$O$5*'TUSD BE'!$O$63</f>
        <v>0</v>
      </c>
      <c r="P5" s="32">
        <f>'TUSD BE'!$P$5*'TUSD BE'!$P$63</f>
        <v>0</v>
      </c>
      <c r="Q5" s="32">
        <f>'TUSD BE'!$Q$5*'TUSD BE'!$Q$63</f>
        <v>0</v>
      </c>
      <c r="R5" s="32">
        <f>'TUSD BE'!$R$5*'TUSD BE'!$R$63</f>
        <v>0</v>
      </c>
      <c r="S5" s="32">
        <f>'TUSD BE'!$R$5*'TUSD BE'!$S$63</f>
        <v>0</v>
      </c>
      <c r="T5" s="32">
        <f ca="1">SUM($L$5:$S$5)</f>
        <v>0</v>
      </c>
      <c r="U5" s="32">
        <f>'TUSD BE'!$U$5*'TUSD BE'!$U$63</f>
        <v>0.13621235512693941</v>
      </c>
      <c r="V5" s="32">
        <f>'TUSD BE'!$V$5*'TUSD BE'!$V$63</f>
        <v>4.4167760784782469E-2</v>
      </c>
      <c r="W5" s="32">
        <f>'TUSD BE'!$W$5*'TUSD BE'!$W$63</f>
        <v>0</v>
      </c>
      <c r="X5" s="32">
        <f>'TUSD BE'!$X$5*'TUSD BE'!$X$63</f>
        <v>0</v>
      </c>
      <c r="Y5" s="32">
        <f>'TUSD BE'!$Y$5*'TUSD BE'!$Y$63</f>
        <v>0</v>
      </c>
      <c r="Z5" s="32">
        <f>'TUSD BE'!$Z$5*'TUSD BE'!$Z$63</f>
        <v>0</v>
      </c>
      <c r="AA5" s="32">
        <f>'TUSD BE'!$AA$5*'TUSD BE'!$AA$63</f>
        <v>0</v>
      </c>
      <c r="AB5" s="32">
        <f>SUM($U$5:$AA$5)</f>
        <v>0.18038011591172187</v>
      </c>
      <c r="AC5" s="32">
        <f>'TUSD BE'!$AC$5*'TUSD BE'!$AC$63</f>
        <v>-1.2504962376756367E-2</v>
      </c>
      <c r="AD5" s="32">
        <f>SUM($AC$5:$AC$5)</f>
        <v>-1.2504962376756367E-2</v>
      </c>
      <c r="AE5" s="32">
        <f ca="1">$AO$5*$AO$60</f>
        <v>0</v>
      </c>
      <c r="AF5" s="32">
        <f ca="1">$AP$5*$AP$60</f>
        <v>0</v>
      </c>
      <c r="AG5" s="32">
        <f ca="1">SUM($AE$5:$AF$5)</f>
        <v>0</v>
      </c>
      <c r="AH5" s="32">
        <f>'TUSD BE'!$AH$5*'TUSD BE'!$AH$63</f>
        <v>0</v>
      </c>
      <c r="AI5" s="32">
        <f>'TUSD BE'!$AI$5*'TUSD BE'!$AI$63</f>
        <v>0</v>
      </c>
      <c r="AJ5" s="32">
        <f ca="1">'TUSD BE'!$AJ$5*'TUSD BE'!$AJ$63</f>
        <v>0</v>
      </c>
      <c r="AK5" s="32">
        <f ca="1">'TUSD BE'!$AK$5*'TUSD BE'!$AK$63</f>
        <v>0</v>
      </c>
      <c r="AL5" s="32">
        <f ca="1">SUM($AH$5:$AK$5)</f>
        <v>0</v>
      </c>
      <c r="AM5" s="32">
        <f ca="1">SUMIF($L$4:$AL$4,"SUBTOTAL",$L$5:$AL$5)</f>
        <v>0.16787515353496552</v>
      </c>
      <c r="AO5" s="37">
        <f ca="1">+'TUSD BE'!$T$5+'TUSD BE'!$AB$5+'TUSD BE'!$AD$5+'TUSD BE'!$AL$5</f>
        <v>7.3378133355232267</v>
      </c>
      <c r="AP5" s="37">
        <f ca="1">+'TUSD BE'!$T$5+'TUSD BE'!$AB$5+'TUSD BE'!$AD$5+'TUSD BE'!$AL$5</f>
        <v>7.3378133355232267</v>
      </c>
    </row>
    <row r="6" spans="1:42" ht="11.25" customHeight="1" x14ac:dyDescent="0.25">
      <c r="A6" s="124"/>
      <c r="B6" s="124"/>
      <c r="C6" s="124"/>
      <c r="D6" s="124"/>
      <c r="E6" s="124"/>
      <c r="F6" s="124"/>
      <c r="G6" s="28" t="s">
        <v>91</v>
      </c>
      <c r="H6" s="28" t="s">
        <v>89</v>
      </c>
      <c r="I6" s="28">
        <f>'MERCADO TUSD'!$U$3</f>
        <v>2719854</v>
      </c>
      <c r="J6" s="18"/>
      <c r="L6" s="32">
        <f>'TUSD BE'!$L$6*'TUSD BE'!$L$63</f>
        <v>0</v>
      </c>
      <c r="M6" s="32">
        <f>'TUSD BE'!$M$6*'TUSD BE'!$M$63</f>
        <v>0</v>
      </c>
      <c r="N6" s="32">
        <f ca="1">'TUSD BE'!$N$6*'TUSD BE'!$N$63</f>
        <v>0</v>
      </c>
      <c r="O6" s="32">
        <f>'TUSD BE'!$O$6*'TUSD BE'!$O$63</f>
        <v>0</v>
      </c>
      <c r="P6" s="32">
        <f>'TUSD BE'!$P$6*'TUSD BE'!$P$63</f>
        <v>0</v>
      </c>
      <c r="Q6" s="32">
        <f>'TUSD BE'!$Q$6*'TUSD BE'!$Q$63</f>
        <v>0</v>
      </c>
      <c r="R6" s="32">
        <f>'TUSD BE'!$R$6*'TUSD BE'!$R$63</f>
        <v>0</v>
      </c>
      <c r="S6" s="32">
        <f>'TUSD BE'!$R$6*'TUSD BE'!$S$63</f>
        <v>0</v>
      </c>
      <c r="T6" s="32">
        <f ca="1">SUM($L$6:$S$6)</f>
        <v>0</v>
      </c>
      <c r="U6" s="32">
        <f>'TUSD BE'!$U$6*'TUSD BE'!$U$63</f>
        <v>0.11123573959855772</v>
      </c>
      <c r="V6" s="32">
        <f>'TUSD BE'!$V$6*'TUSD BE'!$V$63</f>
        <v>3.604005417201317E-2</v>
      </c>
      <c r="W6" s="32">
        <f>'TUSD BE'!$W$6*'TUSD BE'!$W$63</f>
        <v>0</v>
      </c>
      <c r="X6" s="32">
        <f>'TUSD BE'!$X$6*'TUSD BE'!$X$63</f>
        <v>0</v>
      </c>
      <c r="Y6" s="32">
        <f>'TUSD BE'!$Y$6*'TUSD BE'!$Y$63</f>
        <v>0</v>
      </c>
      <c r="Z6" s="32">
        <f>'TUSD BE'!$Z$6*'TUSD BE'!$Z$63</f>
        <v>0</v>
      </c>
      <c r="AA6" s="32">
        <f>'TUSD BE'!$AA$6*'TUSD BE'!$AA$63</f>
        <v>0</v>
      </c>
      <c r="AB6" s="32">
        <f>SUM($U$6:$AA$6)</f>
        <v>0.14727579377057087</v>
      </c>
      <c r="AC6" s="32">
        <f>'TUSD BE'!$AC$6*'TUSD BE'!$AC$63</f>
        <v>-1.0165019460561042E-2</v>
      </c>
      <c r="AD6" s="32">
        <f>SUM($AC$6:$AC$6)</f>
        <v>-1.0165019460561042E-2</v>
      </c>
      <c r="AE6" s="32">
        <f ca="1">$AO$6*$AO$60</f>
        <v>0</v>
      </c>
      <c r="AF6" s="32">
        <f ca="1">$AP$6*$AP$60</f>
        <v>0</v>
      </c>
      <c r="AG6" s="32">
        <f ca="1">SUM($AE$6:$AF$6)</f>
        <v>0</v>
      </c>
      <c r="AH6" s="32">
        <f>'TUSD BE'!$AH$6*'TUSD BE'!$AH$63</f>
        <v>0</v>
      </c>
      <c r="AI6" s="32">
        <f>'TUSD BE'!$AI$6*'TUSD BE'!$AI$63</f>
        <v>0</v>
      </c>
      <c r="AJ6" s="32">
        <f ca="1">'TUSD BE'!$AJ$6*'TUSD BE'!$AJ$63</f>
        <v>0</v>
      </c>
      <c r="AK6" s="32">
        <f ca="1">'TUSD BE'!$AK$6*'TUSD BE'!$AK$63</f>
        <v>0</v>
      </c>
      <c r="AL6" s="32">
        <f ca="1">SUM($AH$6:$AK$6)</f>
        <v>0</v>
      </c>
      <c r="AM6" s="32">
        <f ca="1">SUMIF($L$4:$AL$4,"SUBTOTAL",$L$6:$AL$6)</f>
        <v>0.13711077431000984</v>
      </c>
      <c r="AO6" s="37">
        <f ca="1">+'TUSD BE'!$T$6+'TUSD BE'!$AB$6+'TUSD BE'!$AD$6+'TUSD BE'!$AL$6</f>
        <v>5.9771476249749931</v>
      </c>
      <c r="AP6" s="37">
        <f ca="1">+'TUSD BE'!$T$6+'TUSD BE'!$AB$6+'TUSD BE'!$AD$6+'TUSD BE'!$AL$6</f>
        <v>5.9771476249749931</v>
      </c>
    </row>
    <row r="7" spans="1:42" ht="11.25" customHeight="1" x14ac:dyDescent="0.25">
      <c r="A7" s="124"/>
      <c r="B7" s="124"/>
      <c r="C7" s="124"/>
      <c r="D7" s="124"/>
      <c r="E7" s="124"/>
      <c r="F7" s="124"/>
      <c r="G7" s="28" t="s">
        <v>92</v>
      </c>
      <c r="H7" s="28" t="s">
        <v>86</v>
      </c>
      <c r="I7" s="28">
        <f>'MERCADO TUSD'!$U$4</f>
        <v>1155536.6730000002</v>
      </c>
      <c r="J7" s="18"/>
      <c r="L7" s="32">
        <f>'TUSD BE'!$L$7*'TUSD BE'!$L$63</f>
        <v>0</v>
      </c>
      <c r="M7" s="32">
        <f>'TUSD BE'!$M$7*'TUSD BE'!$M$63</f>
        <v>8.8927494857958685E-4</v>
      </c>
      <c r="N7" s="32">
        <f ca="1">'TUSD BE'!$N$7*'TUSD BE'!$N$63</f>
        <v>-2.0550949791646515E-6</v>
      </c>
      <c r="O7" s="32">
        <f>'TUSD BE'!$O$7*'TUSD BE'!$O$63</f>
        <v>0</v>
      </c>
      <c r="P7" s="32">
        <f>'TUSD BE'!$P$7*'TUSD BE'!$P$63</f>
        <v>0</v>
      </c>
      <c r="Q7" s="32">
        <f>'TUSD BE'!$Q$7*'TUSD BE'!$Q$63</f>
        <v>-0.37983265342142669</v>
      </c>
      <c r="R7" s="32">
        <f>'TUSD BE'!$R$7*'TUSD BE'!$R$63</f>
        <v>0.30970347426938061</v>
      </c>
      <c r="S7" s="32">
        <f>'TUSD BE'!$R$7*'TUSD BE'!$S$63</f>
        <v>0</v>
      </c>
      <c r="T7" s="32">
        <f ca="1">SUM($L$7:$S$7)</f>
        <v>-6.9241959298445677E-2</v>
      </c>
      <c r="U7" s="32">
        <f>'TUSD BE'!$U$7*'TUSD BE'!$U$63</f>
        <v>0</v>
      </c>
      <c r="V7" s="32">
        <f>'TUSD BE'!$V$7*'TUSD BE'!$V$63</f>
        <v>0</v>
      </c>
      <c r="W7" s="32">
        <f>'TUSD BE'!$W$7*'TUSD BE'!$W$63</f>
        <v>0</v>
      </c>
      <c r="X7" s="32">
        <f>'TUSD BE'!$X$7*'TUSD BE'!$X$63</f>
        <v>0</v>
      </c>
      <c r="Y7" s="32">
        <f>'TUSD BE'!$Y$7*'TUSD BE'!$Y$63</f>
        <v>0</v>
      </c>
      <c r="Z7" s="32">
        <f>'TUSD BE'!$Z$7*'TUSD BE'!$Z$63</f>
        <v>0</v>
      </c>
      <c r="AA7" s="32">
        <f>'TUSD BE'!$AA$7*'TUSD BE'!$AA$63</f>
        <v>0</v>
      </c>
      <c r="AB7" s="32">
        <f>SUM($U$7:$AA$7)</f>
        <v>0</v>
      </c>
      <c r="AC7" s="32">
        <f>'TUSD BE'!$AC$7*'TUSD BE'!$AC$63</f>
        <v>0</v>
      </c>
      <c r="AD7" s="32">
        <f>SUM($AC$7:$AC$7)</f>
        <v>0</v>
      </c>
      <c r="AE7" s="32">
        <f ca="1">$AO$7*$AO$60</f>
        <v>0</v>
      </c>
      <c r="AF7" s="32">
        <f ca="1">$AP$7*$AP$60</f>
        <v>0</v>
      </c>
      <c r="AG7" s="32">
        <f ca="1">SUM($AE$7:$AF$7)</f>
        <v>0</v>
      </c>
      <c r="AH7" s="32">
        <f>'TUSD BE'!$AH$7*'TUSD BE'!$AH$63</f>
        <v>-0.43499345545576024</v>
      </c>
      <c r="AI7" s="32">
        <f>'TUSD BE'!$AI$7*'TUSD BE'!$AI$63</f>
        <v>-3.1324621938829553E-2</v>
      </c>
      <c r="AJ7" s="32">
        <f ca="1">'TUSD BE'!$AJ$7*'TUSD BE'!$AJ$63</f>
        <v>-2.0535896718886169</v>
      </c>
      <c r="AK7" s="32">
        <f ca="1">'TUSD BE'!$AK$7*'TUSD BE'!$AK$63</f>
        <v>0.94638542764073985</v>
      </c>
      <c r="AL7" s="32">
        <f ca="1">SUM($AH$7:$AK$7)</f>
        <v>-1.5735223216424665</v>
      </c>
      <c r="AM7" s="32">
        <f ca="1">SUMIF($L$4:$AL$4,"SUBTOTAL",$L$7:$AL$7)</f>
        <v>-1.6427642809409122</v>
      </c>
      <c r="AO7" s="37">
        <f ca="1">+'TUSD BE'!$T$7+'TUSD BE'!$AB$7+'TUSD BE'!$AD$7+'TUSD BE'!$AL$7</f>
        <v>65.60157919394527</v>
      </c>
      <c r="AP7" s="37">
        <f ca="1">+'TUSD BE'!$T$7+'TUSD BE'!$AB$7+'TUSD BE'!$AD$7+'TUSD BE'!$AL$7</f>
        <v>65.60157919394527</v>
      </c>
    </row>
    <row r="8" spans="1:42" ht="11.25" customHeight="1" x14ac:dyDescent="0.25">
      <c r="A8" s="124"/>
      <c r="B8" s="124"/>
      <c r="C8" s="124"/>
      <c r="D8" s="124"/>
      <c r="E8" s="35" t="s">
        <v>93</v>
      </c>
      <c r="F8" s="35" t="s">
        <v>25</v>
      </c>
      <c r="G8" s="28" t="s">
        <v>92</v>
      </c>
      <c r="H8" s="28" t="s">
        <v>86</v>
      </c>
      <c r="I8" s="28">
        <f>'MERCADO TUSD'!$U$5</f>
        <v>0</v>
      </c>
      <c r="J8" s="18"/>
      <c r="L8" s="32">
        <f>'TUSD BE'!$L$8*'TUSD BE'!$L$63</f>
        <v>0</v>
      </c>
      <c r="M8" s="32">
        <f>'TUSD BE'!$M$8*'TUSD BE'!$M$63</f>
        <v>8.8927494857958685E-4</v>
      </c>
      <c r="N8" s="32">
        <f ca="1">'TUSD BE'!$N$8*'TUSD BE'!$N$63</f>
        <v>-2.0190498416847087E-6</v>
      </c>
      <c r="O8" s="32">
        <f>'TUSD BE'!$O$8*'TUSD BE'!$O$63</f>
        <v>0</v>
      </c>
      <c r="P8" s="32">
        <f>'TUSD BE'!$P$8*'TUSD BE'!$P$63</f>
        <v>0</v>
      </c>
      <c r="Q8" s="32">
        <f>'TUSD BE'!$Q$8*'TUSD BE'!$Q$63</f>
        <v>0</v>
      </c>
      <c r="R8" s="32">
        <f>'TUSD BE'!$R$8*'TUSD BE'!$R$63</f>
        <v>0</v>
      </c>
      <c r="S8" s="32">
        <f>'TUSD BE'!$R$8*'TUSD BE'!$S$63</f>
        <v>0</v>
      </c>
      <c r="T8" s="32">
        <f ca="1">SUM($L$8:$S$8)</f>
        <v>8.8725589873790212E-4</v>
      </c>
      <c r="U8" s="32">
        <f>'TUSD BE'!$U$8*'TUSD BE'!$U$63</f>
        <v>0</v>
      </c>
      <c r="V8" s="32">
        <f>'TUSD BE'!$V$8*'TUSD BE'!$V$63</f>
        <v>0</v>
      </c>
      <c r="W8" s="32">
        <f>'TUSD BE'!$W$8*'TUSD BE'!$W$63</f>
        <v>0</v>
      </c>
      <c r="X8" s="32">
        <f>'TUSD BE'!$X$8*'TUSD BE'!$X$63</f>
        <v>0</v>
      </c>
      <c r="Y8" s="32">
        <f>'TUSD BE'!$Y$8*'TUSD BE'!$Y$63</f>
        <v>0</v>
      </c>
      <c r="Z8" s="32">
        <f>'TUSD BE'!$Z$8*'TUSD BE'!$Z$63</f>
        <v>0</v>
      </c>
      <c r="AA8" s="32">
        <f>'TUSD BE'!$AA$8*'TUSD BE'!$AA$63</f>
        <v>0</v>
      </c>
      <c r="AB8" s="32">
        <f>SUM($U$8:$AA$8)</f>
        <v>0</v>
      </c>
      <c r="AC8" s="32">
        <f>'TUSD BE'!$AC$8*'TUSD BE'!$AC$63</f>
        <v>0</v>
      </c>
      <c r="AD8" s="32">
        <f>SUM($AC$8:$AC$8)</f>
        <v>0</v>
      </c>
      <c r="AE8" s="32">
        <f ca="1">$AO$8*$AO$60</f>
        <v>0</v>
      </c>
      <c r="AF8" s="32">
        <f ca="1">$AP$8*$AP$60</f>
        <v>0</v>
      </c>
      <c r="AG8" s="32">
        <f ca="1">SUM($AE$8:$AF$8)</f>
        <v>0</v>
      </c>
      <c r="AH8" s="32">
        <f>'TUSD BE'!$AH$8*'TUSD BE'!$AH$63</f>
        <v>-0.43499345545576024</v>
      </c>
      <c r="AI8" s="32">
        <f>'TUSD BE'!$AI$8*'TUSD BE'!$AI$63</f>
        <v>-3.1324621938829553E-2</v>
      </c>
      <c r="AJ8" s="32">
        <f ca="1">'TUSD BE'!$AJ$8*'TUSD BE'!$AJ$63</f>
        <v>-2.0535896718886169</v>
      </c>
      <c r="AK8" s="32">
        <f ca="1">'TUSD BE'!$AK$8*'TUSD BE'!$AK$63</f>
        <v>0.94638542764073985</v>
      </c>
      <c r="AL8" s="32">
        <f ca="1">SUM($AH$8:$AK$8)</f>
        <v>-1.5735223216424665</v>
      </c>
      <c r="AM8" s="32">
        <f ca="1">SUMIF($L$4:$AL$4,"SUBTOTAL",$L$8:$AL$8)</f>
        <v>-1.5726350657437287</v>
      </c>
      <c r="AO8" s="37">
        <f ca="1">+'TUSD BE'!$T$8+'TUSD BE'!$AB$8+'TUSD BE'!$AD$8+'TUSD BE'!$AL$8</f>
        <v>30.764478868703648</v>
      </c>
      <c r="AP8" s="37">
        <f ca="1">+'TUSD BE'!$T$8+'TUSD BE'!$AB$8+'TUSD BE'!$AD$8+'TUSD BE'!$AL$8</f>
        <v>30.764478868703648</v>
      </c>
    </row>
    <row r="9" spans="1:42" ht="11.25" customHeight="1" x14ac:dyDescent="0.25">
      <c r="A9" s="124"/>
      <c r="B9" s="35" t="s">
        <v>63</v>
      </c>
      <c r="C9" s="35" t="s">
        <v>25</v>
      </c>
      <c r="D9" s="35" t="s">
        <v>25</v>
      </c>
      <c r="E9" s="35" t="s">
        <v>25</v>
      </c>
      <c r="F9" s="35" t="s">
        <v>25</v>
      </c>
      <c r="G9" s="28" t="s">
        <v>9</v>
      </c>
      <c r="H9" s="28" t="s">
        <v>89</v>
      </c>
      <c r="I9" s="28">
        <f>'MERCADO TUSD'!$U$6</f>
        <v>4807736</v>
      </c>
      <c r="J9" s="18"/>
      <c r="L9" s="32">
        <f>'TUSD BE'!$L$9*'TUSD BE'!$L$63</f>
        <v>0</v>
      </c>
      <c r="M9" s="32">
        <f>'TUSD BE'!$M$9*'TUSD BE'!$M$63</f>
        <v>0</v>
      </c>
      <c r="N9" s="32">
        <f ca="1">'TUSD BE'!$N$9*'TUSD BE'!$N$63</f>
        <v>-4.5934052003773253E-7</v>
      </c>
      <c r="O9" s="32">
        <f>'TUSD BE'!$O$9*'TUSD BE'!$O$63</f>
        <v>0</v>
      </c>
      <c r="P9" s="32">
        <f>'TUSD BE'!$P$9*'TUSD BE'!$P$63</f>
        <v>0</v>
      </c>
      <c r="Q9" s="32">
        <f>'TUSD BE'!$Q$9*'TUSD BE'!$Q$63</f>
        <v>0</v>
      </c>
      <c r="R9" s="32">
        <f>'TUSD BE'!$R$9*'TUSD BE'!$R$63</f>
        <v>0</v>
      </c>
      <c r="S9" s="32">
        <f>'TUSD BE'!$R$9*'TUSD BE'!$S$63</f>
        <v>0</v>
      </c>
      <c r="T9" s="32">
        <f ca="1">SUM($L$9:$S$9)</f>
        <v>-4.5934052003773253E-7</v>
      </c>
      <c r="U9" s="32">
        <f>'TUSD BE'!$U$9*'TUSD BE'!$U$63</f>
        <v>0</v>
      </c>
      <c r="V9" s="32">
        <f>'TUSD BE'!$V$9*'TUSD BE'!$V$63</f>
        <v>0</v>
      </c>
      <c r="W9" s="32">
        <f>'TUSD BE'!$W$9*'TUSD BE'!$W$63</f>
        <v>0</v>
      </c>
      <c r="X9" s="32">
        <f>'TUSD BE'!$X$9*'TUSD BE'!$X$63</f>
        <v>0</v>
      </c>
      <c r="Y9" s="32">
        <f>'TUSD BE'!$Y$9*'TUSD BE'!$Y$63</f>
        <v>0</v>
      </c>
      <c r="Z9" s="32">
        <f>'TUSD BE'!$Z$9*'TUSD BE'!$Z$63</f>
        <v>0</v>
      </c>
      <c r="AA9" s="32">
        <f>'TUSD BE'!$AA$9*'TUSD BE'!$AA$63</f>
        <v>0</v>
      </c>
      <c r="AB9" s="32">
        <f>SUM($U$9:$AA$9)</f>
        <v>0</v>
      </c>
      <c r="AC9" s="32">
        <f>'TUSD BE'!$AC$9*'TUSD BE'!$AC$63</f>
        <v>-2.3643663424081612E-2</v>
      </c>
      <c r="AD9" s="32">
        <f>SUM($AC$9:$AC$9)</f>
        <v>-2.3643663424081612E-2</v>
      </c>
      <c r="AE9" s="32">
        <f ca="1">$AO$9*$AO$60</f>
        <v>0</v>
      </c>
      <c r="AF9" s="32">
        <f ca="1">$AP$9*$AP$60</f>
        <v>0</v>
      </c>
      <c r="AG9" s="32">
        <f ca="1">SUM($AE$9:$AF$9)</f>
        <v>0</v>
      </c>
      <c r="AH9" s="32">
        <f>'TUSD BE'!$AH$9*'TUSD BE'!$AH$63</f>
        <v>-0.13061640100914781</v>
      </c>
      <c r="AI9" s="32">
        <f>'TUSD BE'!$AI$9*'TUSD BE'!$AI$63</f>
        <v>0</v>
      </c>
      <c r="AJ9" s="32">
        <f ca="1">'TUSD BE'!$AJ$9*'TUSD BE'!$AJ$63</f>
        <v>0</v>
      </c>
      <c r="AK9" s="32">
        <f ca="1">'TUSD BE'!$AK$9*'TUSD BE'!$AK$63</f>
        <v>0</v>
      </c>
      <c r="AL9" s="32">
        <f ca="1">SUM($AH$9:$AK$9)</f>
        <v>-0.13061640100914781</v>
      </c>
      <c r="AM9" s="32">
        <f ca="1">SUMIF($L$4:$AL$4,"SUBTOTAL",$L$9:$AL$9)</f>
        <v>-0.15426052377374946</v>
      </c>
      <c r="AO9" s="37">
        <f>+'TUSD BE'!$T$9+'TUSD BE'!$AB$9+'TUSD BE'!$AD$9+'TUSD BE'!$AL$9</f>
        <v>9.1809702481136295</v>
      </c>
      <c r="AP9" s="37">
        <f>+'TUSD BE'!$T$9+'TUSD BE'!$AB$9+'TUSD BE'!$AD$9+'TUSD BE'!$AL$9</f>
        <v>9.1809702481136295</v>
      </c>
    </row>
    <row r="10" spans="1:42" ht="11.25" customHeight="1" x14ac:dyDescent="0.25">
      <c r="A10" s="124" t="s">
        <v>35</v>
      </c>
      <c r="B10" s="124" t="s">
        <v>44</v>
      </c>
      <c r="C10" s="124" t="s">
        <v>25</v>
      </c>
      <c r="D10" s="124" t="s">
        <v>25</v>
      </c>
      <c r="E10" s="124" t="s">
        <v>25</v>
      </c>
      <c r="F10" s="124" t="s">
        <v>25</v>
      </c>
      <c r="G10" s="28" t="s">
        <v>90</v>
      </c>
      <c r="H10" s="28" t="s">
        <v>89</v>
      </c>
      <c r="I10" s="28">
        <f>'MERCADO TUSD'!$U$7</f>
        <v>1352837</v>
      </c>
      <c r="J10" s="18"/>
      <c r="L10" s="32">
        <f>'TUSD BE'!$L$10*'TUSD BE'!$L$63</f>
        <v>0</v>
      </c>
      <c r="M10" s="32">
        <f>'TUSD BE'!$M$10*'TUSD BE'!$M$63</f>
        <v>0</v>
      </c>
      <c r="N10" s="32">
        <f ca="1">'TUSD BE'!$N$10*'TUSD BE'!$N$63</f>
        <v>0</v>
      </c>
      <c r="O10" s="32">
        <f>'TUSD BE'!$O$10*'TUSD BE'!$O$63</f>
        <v>0</v>
      </c>
      <c r="P10" s="32">
        <f>'TUSD BE'!$P$10*'TUSD BE'!$P$63</f>
        <v>0</v>
      </c>
      <c r="Q10" s="32">
        <f>'TUSD BE'!$Q$10*'TUSD BE'!$Q$63</f>
        <v>0</v>
      </c>
      <c r="R10" s="32">
        <f>'TUSD BE'!$R$10*'TUSD BE'!$R$63</f>
        <v>0</v>
      </c>
      <c r="S10" s="32">
        <f>'TUSD BE'!$R$10*'TUSD BE'!$S$63</f>
        <v>0</v>
      </c>
      <c r="T10" s="32">
        <f ca="1">SUM($L$10:$S$10)</f>
        <v>0</v>
      </c>
      <c r="U10" s="32">
        <f>'TUSD BE'!$U$10*'TUSD BE'!$U$63</f>
        <v>0.33313841738136279</v>
      </c>
      <c r="V10" s="32">
        <f>'TUSD BE'!$V$10*'TUSD BE'!$V$63</f>
        <v>9.0383172504682224E-2</v>
      </c>
      <c r="W10" s="32">
        <f>'TUSD BE'!$W$10*'TUSD BE'!$W$63</f>
        <v>-2.6555582183212371E-3</v>
      </c>
      <c r="X10" s="32">
        <f>'TUSD BE'!$X$10*'TUSD BE'!$X$63</f>
        <v>0</v>
      </c>
      <c r="Y10" s="32">
        <f>'TUSD BE'!$Y$10*'TUSD BE'!$Y$63</f>
        <v>-2.5766108696510855E-2</v>
      </c>
      <c r="Z10" s="32">
        <f>'TUSD BE'!$Z$10*'TUSD BE'!$Z$63</f>
        <v>0</v>
      </c>
      <c r="AA10" s="32">
        <f>'TUSD BE'!$AA$10*'TUSD BE'!$AA$63</f>
        <v>0</v>
      </c>
      <c r="AB10" s="32">
        <f>SUM($U$10:$AA$10)</f>
        <v>0.39509992297121294</v>
      </c>
      <c r="AC10" s="32">
        <f>'TUSD BE'!$AC$10*'TUSD BE'!$AC$63</f>
        <v>-0.1543932201085215</v>
      </c>
      <c r="AD10" s="32">
        <f>SUM($AC$10:$AC$10)</f>
        <v>-0.1543932201085215</v>
      </c>
      <c r="AE10" s="32">
        <f ca="1">$AO$10*$AO$60</f>
        <v>0</v>
      </c>
      <c r="AF10" s="32">
        <f ca="1">$AP$10*$AP$60</f>
        <v>0</v>
      </c>
      <c r="AG10" s="32">
        <f ca="1">SUM($AE$10:$AF$10)</f>
        <v>0</v>
      </c>
      <c r="AH10" s="32">
        <f>'TUSD BE'!$AH$10*'TUSD BE'!$AH$63</f>
        <v>0</v>
      </c>
      <c r="AI10" s="32">
        <f>'TUSD BE'!$AI$10*'TUSD BE'!$AI$63</f>
        <v>0</v>
      </c>
      <c r="AJ10" s="32">
        <f ca="1">'TUSD BE'!$AJ$10*'TUSD BE'!$AJ$63</f>
        <v>0</v>
      </c>
      <c r="AK10" s="32">
        <f ca="1">'TUSD BE'!$AK$10*'TUSD BE'!$AK$63</f>
        <v>0</v>
      </c>
      <c r="AL10" s="32">
        <f ca="1">SUM($AH$10:$AK$10)</f>
        <v>0</v>
      </c>
      <c r="AM10" s="32">
        <f ca="1">SUMIF($L$4:$AL$4,"SUBTOTAL",$L$10:$AL$10)</f>
        <v>0.24070670286269144</v>
      </c>
      <c r="AO10" s="37">
        <f ca="1">+'TUSD BE'!$T$10+'TUSD BE'!$AB$10+'TUSD BE'!$AD$10+'TUSD BE'!$AL$10</f>
        <v>57.941439868470916</v>
      </c>
      <c r="AP10" s="37">
        <f ca="1">+'TUSD BE'!$T$10+'TUSD BE'!$AB$10+'TUSD BE'!$AD$10+'TUSD BE'!$AL$10</f>
        <v>57.941439868470916</v>
      </c>
    </row>
    <row r="11" spans="1:42" ht="11.25" customHeight="1" x14ac:dyDescent="0.25">
      <c r="A11" s="124"/>
      <c r="B11" s="124"/>
      <c r="C11" s="124"/>
      <c r="D11" s="124"/>
      <c r="E11" s="124"/>
      <c r="F11" s="124"/>
      <c r="G11" s="28" t="s">
        <v>91</v>
      </c>
      <c r="H11" s="28" t="s">
        <v>89</v>
      </c>
      <c r="I11" s="28">
        <f>'MERCADO TUSD'!$U$8</f>
        <v>1573792</v>
      </c>
      <c r="J11" s="18"/>
      <c r="L11" s="32">
        <f>'TUSD BE'!$L$11*'TUSD BE'!$L$63</f>
        <v>0</v>
      </c>
      <c r="M11" s="32">
        <f>'TUSD BE'!$M$11*'TUSD BE'!$M$63</f>
        <v>0</v>
      </c>
      <c r="N11" s="32">
        <f ca="1">'TUSD BE'!$N$11*'TUSD BE'!$N$63</f>
        <v>0</v>
      </c>
      <c r="O11" s="32">
        <f>'TUSD BE'!$O$11*'TUSD BE'!$O$63</f>
        <v>0</v>
      </c>
      <c r="P11" s="32">
        <f>'TUSD BE'!$P$11*'TUSD BE'!$P$63</f>
        <v>0</v>
      </c>
      <c r="Q11" s="32">
        <f>'TUSD BE'!$Q$11*'TUSD BE'!$Q$63</f>
        <v>0</v>
      </c>
      <c r="R11" s="32">
        <f>'TUSD BE'!$R$11*'TUSD BE'!$R$63</f>
        <v>0</v>
      </c>
      <c r="S11" s="32">
        <f>'TUSD BE'!$R$11*'TUSD BE'!$S$63</f>
        <v>0</v>
      </c>
      <c r="T11" s="32">
        <f ca="1">SUM($L$11:$S$11)</f>
        <v>0</v>
      </c>
      <c r="U11" s="32">
        <f>'TUSD BE'!$U$11*'TUSD BE'!$U$63</f>
        <v>0.19971552672460297</v>
      </c>
      <c r="V11" s="32">
        <f>'TUSD BE'!$V$11*'TUSD BE'!$V$63</f>
        <v>5.6202077884686806E-2</v>
      </c>
      <c r="W11" s="32">
        <f>'TUSD BE'!$W$11*'TUSD BE'!$W$63</f>
        <v>-1.198951899345552E-3</v>
      </c>
      <c r="X11" s="32">
        <f>'TUSD BE'!$X$11*'TUSD BE'!$X$63</f>
        <v>0</v>
      </c>
      <c r="Y11" s="32">
        <f>'TUSD BE'!$Y$11*'TUSD BE'!$Y$63</f>
        <v>-4.0711523096358107E-3</v>
      </c>
      <c r="Z11" s="32">
        <f>'TUSD BE'!$Z$11*'TUSD BE'!$Z$63</f>
        <v>0</v>
      </c>
      <c r="AA11" s="32">
        <f>'TUSD BE'!$AA$11*'TUSD BE'!$AA$63</f>
        <v>0</v>
      </c>
      <c r="AB11" s="32">
        <f>SUM($U$11:$AA$11)</f>
        <v>0.25064750040030842</v>
      </c>
      <c r="AC11" s="32">
        <f>'TUSD BE'!$AC$11*'TUSD BE'!$AC$63</f>
        <v>-8.1350123312615E-2</v>
      </c>
      <c r="AD11" s="32">
        <f>SUM($AC$11:$AC$11)</f>
        <v>-8.1350123312615E-2</v>
      </c>
      <c r="AE11" s="32">
        <f ca="1">$AO$11*$AO$60</f>
        <v>0</v>
      </c>
      <c r="AF11" s="32">
        <f ca="1">$AP$11*$AP$60</f>
        <v>0</v>
      </c>
      <c r="AG11" s="32">
        <f ca="1">SUM($AE$11:$AF$11)</f>
        <v>0</v>
      </c>
      <c r="AH11" s="32">
        <f>'TUSD BE'!$AH$11*'TUSD BE'!$AH$63</f>
        <v>0</v>
      </c>
      <c r="AI11" s="32">
        <f>'TUSD BE'!$AI$11*'TUSD BE'!$AI$63</f>
        <v>0</v>
      </c>
      <c r="AJ11" s="32">
        <f ca="1">'TUSD BE'!$AJ$11*'TUSD BE'!$AJ$63</f>
        <v>0</v>
      </c>
      <c r="AK11" s="32">
        <f ca="1">'TUSD BE'!$AK$11*'TUSD BE'!$AK$63</f>
        <v>0</v>
      </c>
      <c r="AL11" s="32">
        <f ca="1">SUM($AH$11:$AK$11)</f>
        <v>0</v>
      </c>
      <c r="AM11" s="32">
        <f ca="1">SUMIF($L$4:$AL$4,"SUBTOTAL",$L$11:$AL$11)</f>
        <v>0.16929737708769343</v>
      </c>
      <c r="AO11" s="37">
        <f ca="1">+'TUSD BE'!$T$11+'TUSD BE'!$AB$11+'TUSD BE'!$AD$11+'TUSD BE'!$AL$11</f>
        <v>31.105296160820906</v>
      </c>
      <c r="AP11" s="37">
        <f ca="1">+'TUSD BE'!$T$11+'TUSD BE'!$AB$11+'TUSD BE'!$AD$11+'TUSD BE'!$AL$11</f>
        <v>31.105296160820906</v>
      </c>
    </row>
    <row r="12" spans="1:42" ht="11.25" customHeight="1" x14ac:dyDescent="0.25">
      <c r="A12" s="124"/>
      <c r="B12" s="124"/>
      <c r="C12" s="124"/>
      <c r="D12" s="124"/>
      <c r="E12" s="124"/>
      <c r="F12" s="124"/>
      <c r="G12" s="28" t="s">
        <v>92</v>
      </c>
      <c r="H12" s="28" t="s">
        <v>86</v>
      </c>
      <c r="I12" s="28">
        <f>'MERCADO TUSD'!$U$9</f>
        <v>571563.16599999997</v>
      </c>
      <c r="J12" s="18"/>
      <c r="L12" s="32">
        <f>'TUSD BE'!$L$12*'TUSD BE'!$L$63</f>
        <v>0</v>
      </c>
      <c r="M12" s="32">
        <f>'TUSD BE'!$M$12*'TUSD BE'!$M$63</f>
        <v>1.15129311207332E-2</v>
      </c>
      <c r="N12" s="32">
        <f ca="1">'TUSD BE'!$N$12*'TUSD BE'!$N$63</f>
        <v>-7.8524946996291974E-6</v>
      </c>
      <c r="O12" s="32">
        <f>'TUSD BE'!$O$12*'TUSD BE'!$O$63</f>
        <v>0</v>
      </c>
      <c r="P12" s="32">
        <f>'TUSD BE'!$P$12*'TUSD BE'!$P$63</f>
        <v>0</v>
      </c>
      <c r="Q12" s="32">
        <f>'TUSD BE'!$Q$12*'TUSD BE'!$Q$63</f>
        <v>-0.49321553503976295</v>
      </c>
      <c r="R12" s="32">
        <f>'TUSD BE'!$R$12*'TUSD BE'!$R$63</f>
        <v>0.30970347426938061</v>
      </c>
      <c r="S12" s="32">
        <f>'TUSD BE'!$R$12*'TUSD BE'!$S$63</f>
        <v>0</v>
      </c>
      <c r="T12" s="32">
        <f ca="1">SUM($L$12:$S$12)</f>
        <v>-0.17200698214434879</v>
      </c>
      <c r="U12" s="32">
        <f>'TUSD BE'!$U$12*'TUSD BE'!$U$63</f>
        <v>0</v>
      </c>
      <c r="V12" s="32">
        <f>'TUSD BE'!$V$12*'TUSD BE'!$V$63</f>
        <v>0</v>
      </c>
      <c r="W12" s="32">
        <f>'TUSD BE'!$W$12*'TUSD BE'!$W$63</f>
        <v>0</v>
      </c>
      <c r="X12" s="32">
        <f>'TUSD BE'!$X$12*'TUSD BE'!$X$63</f>
        <v>0</v>
      </c>
      <c r="Y12" s="32">
        <f>'TUSD BE'!$Y$12*'TUSD BE'!$Y$63</f>
        <v>0</v>
      </c>
      <c r="Z12" s="32">
        <f>'TUSD BE'!$Z$12*'TUSD BE'!$Z$63</f>
        <v>0</v>
      </c>
      <c r="AA12" s="32">
        <f>'TUSD BE'!$AA$12*'TUSD BE'!$AA$63</f>
        <v>0</v>
      </c>
      <c r="AB12" s="32">
        <f>SUM($U$12:$AA$12)</f>
        <v>0</v>
      </c>
      <c r="AC12" s="32">
        <f>'TUSD BE'!$AC$12*'TUSD BE'!$AC$63</f>
        <v>0</v>
      </c>
      <c r="AD12" s="32">
        <f>SUM($AC$12:$AC$12)</f>
        <v>0</v>
      </c>
      <c r="AE12" s="32">
        <f ca="1">$AO$12*$AO$60</f>
        <v>0</v>
      </c>
      <c r="AF12" s="32">
        <f ca="1">$AP$12*$AP$60</f>
        <v>0</v>
      </c>
      <c r="AG12" s="32">
        <f ca="1">SUM($AE$12:$AF$12)</f>
        <v>0</v>
      </c>
      <c r="AH12" s="32">
        <f>'TUSD BE'!$AH$12*'TUSD BE'!$AH$63</f>
        <v>-0.94833694206424535</v>
      </c>
      <c r="AI12" s="32">
        <f>'TUSD BE'!$AI$12*'TUSD BE'!$AI$63</f>
        <v>-6.829136348652351E-2</v>
      </c>
      <c r="AJ12" s="32">
        <f ca="1">'TUSD BE'!$AJ$12*'TUSD BE'!$AJ$63</f>
        <v>-8.8984840919737866</v>
      </c>
      <c r="AK12" s="32">
        <f ca="1">'TUSD BE'!$AK$12*'TUSD BE'!$AK$63</f>
        <v>4.1008171145465777</v>
      </c>
      <c r="AL12" s="32">
        <f ca="1">SUM($AH$12:$AK$12)</f>
        <v>-5.8142952829779784</v>
      </c>
      <c r="AM12" s="32">
        <f ca="1">SUMIF($L$4:$AL$4,"SUBTOTAL",$L$12:$AL$12)</f>
        <v>-5.986302265122327</v>
      </c>
      <c r="AO12" s="37">
        <f ca="1">+'TUSD BE'!$T$12+'TUSD BE'!$AB$12+'TUSD BE'!$AD$12+'TUSD BE'!$AL$12</f>
        <v>164.95325865183827</v>
      </c>
      <c r="AP12" s="37">
        <f ca="1">+'TUSD BE'!$T$12+'TUSD BE'!$AB$12+'TUSD BE'!$AD$12+'TUSD BE'!$AL$12</f>
        <v>164.95325865183827</v>
      </c>
    </row>
    <row r="13" spans="1:42" ht="11.25" customHeight="1" x14ac:dyDescent="0.25">
      <c r="A13" s="124"/>
      <c r="B13" s="124"/>
      <c r="C13" s="124"/>
      <c r="D13" s="124"/>
      <c r="E13" s="35" t="s">
        <v>93</v>
      </c>
      <c r="F13" s="35" t="s">
        <v>25</v>
      </c>
      <c r="G13" s="28" t="s">
        <v>92</v>
      </c>
      <c r="H13" s="28" t="s">
        <v>86</v>
      </c>
      <c r="I13" s="28">
        <f>'MERCADO TUSD'!$U$10</f>
        <v>0</v>
      </c>
      <c r="J13" s="18"/>
      <c r="L13" s="32">
        <f>'TUSD BE'!$L$13*'TUSD BE'!$L$63</f>
        <v>0</v>
      </c>
      <c r="M13" s="32">
        <f>'TUSD BE'!$M$13*'TUSD BE'!$M$63</f>
        <v>1.15129311207332E-2</v>
      </c>
      <c r="N13" s="32">
        <f ca="1">'TUSD BE'!$N$13*'TUSD BE'!$N$63</f>
        <v>-7.8164495621492542E-6</v>
      </c>
      <c r="O13" s="32">
        <f>'TUSD BE'!$O$13*'TUSD BE'!$O$63</f>
        <v>0</v>
      </c>
      <c r="P13" s="32">
        <f>'TUSD BE'!$P$13*'TUSD BE'!$P$63</f>
        <v>0</v>
      </c>
      <c r="Q13" s="32">
        <f>'TUSD BE'!$Q$13*'TUSD BE'!$Q$63</f>
        <v>0</v>
      </c>
      <c r="R13" s="32">
        <f>'TUSD BE'!$R$13*'TUSD BE'!$R$63</f>
        <v>0</v>
      </c>
      <c r="S13" s="32">
        <f>'TUSD BE'!$R$13*'TUSD BE'!$S$63</f>
        <v>0</v>
      </c>
      <c r="T13" s="32">
        <f ca="1">SUM($L$13:$S$13)</f>
        <v>1.1505114671171051E-2</v>
      </c>
      <c r="U13" s="32">
        <f>'TUSD BE'!$U$13*'TUSD BE'!$U$63</f>
        <v>0</v>
      </c>
      <c r="V13" s="32">
        <f>'TUSD BE'!$V$13*'TUSD BE'!$V$63</f>
        <v>0</v>
      </c>
      <c r="W13" s="32">
        <f>'TUSD BE'!$W$13*'TUSD BE'!$W$63</f>
        <v>0</v>
      </c>
      <c r="X13" s="32">
        <f>'TUSD BE'!$X$13*'TUSD BE'!$X$63</f>
        <v>0</v>
      </c>
      <c r="Y13" s="32">
        <f>'TUSD BE'!$Y$13*'TUSD BE'!$Y$63</f>
        <v>0</v>
      </c>
      <c r="Z13" s="32">
        <f>'TUSD BE'!$Z$13*'TUSD BE'!$Z$63</f>
        <v>0</v>
      </c>
      <c r="AA13" s="32">
        <f>'TUSD BE'!$AA$13*'TUSD BE'!$AA$63</f>
        <v>0</v>
      </c>
      <c r="AB13" s="32">
        <f>SUM($U$13:$AA$13)</f>
        <v>0</v>
      </c>
      <c r="AC13" s="32">
        <f>'TUSD BE'!$AC$13*'TUSD BE'!$AC$63</f>
        <v>0</v>
      </c>
      <c r="AD13" s="32">
        <f>SUM($AC$13:$AC$13)</f>
        <v>0</v>
      </c>
      <c r="AE13" s="32">
        <f ca="1">$AO$13*$AO$60</f>
        <v>0</v>
      </c>
      <c r="AF13" s="32">
        <f ca="1">$AP$13*$AP$60</f>
        <v>0</v>
      </c>
      <c r="AG13" s="32">
        <f ca="1">SUM($AE$13:$AF$13)</f>
        <v>0</v>
      </c>
      <c r="AH13" s="32">
        <f>'TUSD BE'!$AH$13*'TUSD BE'!$AH$63</f>
        <v>-0.94833694206424535</v>
      </c>
      <c r="AI13" s="32">
        <f>'TUSD BE'!$AI$13*'TUSD BE'!$AI$63</f>
        <v>-6.829136348652351E-2</v>
      </c>
      <c r="AJ13" s="32">
        <f ca="1">'TUSD BE'!$AJ$13*'TUSD BE'!$AJ$63</f>
        <v>-8.8984840919737866</v>
      </c>
      <c r="AK13" s="32">
        <f ca="1">'TUSD BE'!$AK$13*'TUSD BE'!$AK$63</f>
        <v>4.1008171145465777</v>
      </c>
      <c r="AL13" s="32">
        <f ca="1">SUM($AH$13:$AK$13)</f>
        <v>-5.8142952829779784</v>
      </c>
      <c r="AM13" s="32">
        <f ca="1">SUMIF($L$4:$AL$4,"SUBTOTAL",$L$13:$AL$13)</f>
        <v>-5.8027901683068075</v>
      </c>
      <c r="AO13" s="37">
        <f ca="1">+'TUSD BE'!$T$13+'TUSD BE'!$AB$13+'TUSD BE'!$AD$13+'TUSD BE'!$AL$13</f>
        <v>122.5725723798476</v>
      </c>
      <c r="AP13" s="37">
        <f ca="1">+'TUSD BE'!$T$13+'TUSD BE'!$AB$13+'TUSD BE'!$AD$13+'TUSD BE'!$AL$13</f>
        <v>122.5725723798476</v>
      </c>
    </row>
    <row r="14" spans="1:42" ht="11.25" customHeight="1" x14ac:dyDescent="0.25">
      <c r="A14" s="124"/>
      <c r="B14" s="35" t="s">
        <v>63</v>
      </c>
      <c r="C14" s="35" t="s">
        <v>25</v>
      </c>
      <c r="D14" s="35" t="s">
        <v>25</v>
      </c>
      <c r="E14" s="35" t="s">
        <v>25</v>
      </c>
      <c r="F14" s="35" t="s">
        <v>25</v>
      </c>
      <c r="G14" s="28" t="s">
        <v>9</v>
      </c>
      <c r="H14" s="28" t="s">
        <v>89</v>
      </c>
      <c r="I14" s="28">
        <f>'MERCADO TUSD'!$U$11</f>
        <v>0</v>
      </c>
      <c r="J14" s="18"/>
      <c r="L14" s="32">
        <f>'TUSD BE'!$L$14*'TUSD BE'!$L$63</f>
        <v>0</v>
      </c>
      <c r="M14" s="32">
        <f>'TUSD BE'!$M$14*'TUSD BE'!$M$63</f>
        <v>1.1860294788573898E-3</v>
      </c>
      <c r="N14" s="32">
        <f ca="1">'TUSD BE'!$N$14*'TUSD BE'!$N$63</f>
        <v>-7.1477507622725706E-7</v>
      </c>
      <c r="O14" s="32">
        <f>'TUSD BE'!$O$14*'TUSD BE'!$O$63</f>
        <v>0</v>
      </c>
      <c r="P14" s="32">
        <f>'TUSD BE'!$P$14*'TUSD BE'!$P$63</f>
        <v>0</v>
      </c>
      <c r="Q14" s="32">
        <f>'TUSD BE'!$Q$14*'TUSD BE'!$Q$63</f>
        <v>0</v>
      </c>
      <c r="R14" s="32">
        <f>'TUSD BE'!$R$14*'TUSD BE'!$R$63</f>
        <v>0</v>
      </c>
      <c r="S14" s="32">
        <f>'TUSD BE'!$R$14*'TUSD BE'!$S$63</f>
        <v>0</v>
      </c>
      <c r="T14" s="32">
        <f ca="1">SUM($L$14:$S$14)</f>
        <v>1.1853147037811625E-3</v>
      </c>
      <c r="U14" s="32">
        <f>'TUSD BE'!$U$14*'TUSD BE'!$U$63</f>
        <v>0</v>
      </c>
      <c r="V14" s="32">
        <f>'TUSD BE'!$V$14*'TUSD BE'!$V$63</f>
        <v>0</v>
      </c>
      <c r="W14" s="32">
        <f>'TUSD BE'!$W$14*'TUSD BE'!$W$63</f>
        <v>0</v>
      </c>
      <c r="X14" s="32">
        <f>'TUSD BE'!$X$14*'TUSD BE'!$X$63</f>
        <v>0</v>
      </c>
      <c r="Y14" s="32">
        <f>'TUSD BE'!$Y$14*'TUSD BE'!$Y$63</f>
        <v>0</v>
      </c>
      <c r="Z14" s="32">
        <f>'TUSD BE'!$Z$14*'TUSD BE'!$Z$63</f>
        <v>0</v>
      </c>
      <c r="AA14" s="32">
        <f>'TUSD BE'!$AA$14*'TUSD BE'!$AA$63</f>
        <v>0</v>
      </c>
      <c r="AB14" s="32">
        <f>SUM($U$14:$AA$14)</f>
        <v>0</v>
      </c>
      <c r="AC14" s="32">
        <f>'TUSD BE'!$AC$14*'TUSD BE'!$AC$63</f>
        <v>-6.9624671827482526E-2</v>
      </c>
      <c r="AD14" s="32">
        <f>SUM($AC$14:$AC$14)</f>
        <v>-6.9624671827482526E-2</v>
      </c>
      <c r="AE14" s="32">
        <f ca="1">$AO$14*$AO$60</f>
        <v>0</v>
      </c>
      <c r="AF14" s="32">
        <f ca="1">$AP$14*$AP$60</f>
        <v>0</v>
      </c>
      <c r="AG14" s="32">
        <f ca="1">SUM($AE$14:$AF$14)</f>
        <v>0</v>
      </c>
      <c r="AH14" s="32">
        <f>'TUSD BE'!$AH$14*'TUSD BE'!$AH$63</f>
        <v>0</v>
      </c>
      <c r="AI14" s="32">
        <f>'TUSD BE'!$AI$14*'TUSD BE'!$AI$63</f>
        <v>0</v>
      </c>
      <c r="AJ14" s="32">
        <f ca="1">'TUSD BE'!$AJ$14*'TUSD BE'!$AJ$63</f>
        <v>0</v>
      </c>
      <c r="AK14" s="32">
        <f ca="1">'TUSD BE'!$AK$14*'TUSD BE'!$AK$63</f>
        <v>0</v>
      </c>
      <c r="AL14" s="32">
        <f ca="1">SUM($AH$14:$AK$14)</f>
        <v>0</v>
      </c>
      <c r="AM14" s="32">
        <f ca="1">SUMIF($L$4:$AL$4,"SUBTOTAL",$L$14:$AL$14)</f>
        <v>-6.8439357123701361E-2</v>
      </c>
      <c r="AO14" s="37">
        <f ca="1">+'TUSD BE'!$T$14+'TUSD BE'!$AB$14+'TUSD BE'!$AD$14+'TUSD BE'!$AL$14</f>
        <v>22.733023504813183</v>
      </c>
      <c r="AP14" s="37">
        <f ca="1">+'TUSD BE'!$T$14+'TUSD BE'!$AB$14+'TUSD BE'!$AD$14+'TUSD BE'!$AL$14</f>
        <v>22.733023504813183</v>
      </c>
    </row>
    <row r="15" spans="1:42" ht="11.25" customHeight="1" x14ac:dyDescent="0.25">
      <c r="A15" s="124"/>
      <c r="B15" s="124" t="s">
        <v>36</v>
      </c>
      <c r="C15" s="124" t="s">
        <v>25</v>
      </c>
      <c r="D15" s="124" t="s">
        <v>25</v>
      </c>
      <c r="E15" s="124" t="s">
        <v>25</v>
      </c>
      <c r="F15" s="124" t="s">
        <v>25</v>
      </c>
      <c r="G15" s="28" t="s">
        <v>9</v>
      </c>
      <c r="H15" s="28" t="s">
        <v>89</v>
      </c>
      <c r="I15" s="28">
        <f>'MERCADO TUSD'!$U$12</f>
        <v>6127957</v>
      </c>
      <c r="J15" s="18"/>
      <c r="L15" s="32">
        <f>'TUSD BE'!$L$15*'TUSD BE'!$L$63</f>
        <v>0</v>
      </c>
      <c r="M15" s="32">
        <f>'TUSD BE'!$M$15*'TUSD BE'!$M$63</f>
        <v>0</v>
      </c>
      <c r="N15" s="32">
        <f ca="1">'TUSD BE'!$N$15*'TUSD BE'!$N$63</f>
        <v>0</v>
      </c>
      <c r="O15" s="32">
        <f>'TUSD BE'!$O$15*'TUSD BE'!$O$63</f>
        <v>0</v>
      </c>
      <c r="P15" s="32">
        <f>'TUSD BE'!$P$15*'TUSD BE'!$P$63</f>
        <v>0</v>
      </c>
      <c r="Q15" s="32">
        <f>'TUSD BE'!$Q$15*'TUSD BE'!$Q$63</f>
        <v>0</v>
      </c>
      <c r="R15" s="32">
        <f>'TUSD BE'!$R$15*'TUSD BE'!$R$63</f>
        <v>0</v>
      </c>
      <c r="S15" s="32">
        <f>'TUSD BE'!$R$15*'TUSD BE'!$S$63</f>
        <v>0</v>
      </c>
      <c r="T15" s="32">
        <f ca="1">SUM($L$15:$S$15)</f>
        <v>0</v>
      </c>
      <c r="U15" s="32">
        <f>'TUSD BE'!$U$15*'TUSD BE'!$U$63</f>
        <v>0.19971552672460297</v>
      </c>
      <c r="V15" s="32">
        <f>'TUSD BE'!$V$15*'TUSD BE'!$V$63</f>
        <v>5.6202077884686806E-2</v>
      </c>
      <c r="W15" s="32">
        <f>'TUSD BE'!$W$15*'TUSD BE'!$W$63</f>
        <v>-1.198951899345552E-3</v>
      </c>
      <c r="X15" s="32">
        <f>'TUSD BE'!$X$15*'TUSD BE'!$X$63</f>
        <v>0</v>
      </c>
      <c r="Y15" s="32">
        <f>'TUSD BE'!$Y$15*'TUSD BE'!$Y$63</f>
        <v>-4.0711523096358107E-3</v>
      </c>
      <c r="Z15" s="32">
        <f>'TUSD BE'!$Z$15*'TUSD BE'!$Z$63</f>
        <v>0</v>
      </c>
      <c r="AA15" s="32">
        <f>'TUSD BE'!$AA$15*'TUSD BE'!$AA$63</f>
        <v>0</v>
      </c>
      <c r="AB15" s="32">
        <f>SUM($U$15:$AA$15)</f>
        <v>0.25064750040030842</v>
      </c>
      <c r="AC15" s="32">
        <f>'TUSD BE'!$AC$15*'TUSD BE'!$AC$63</f>
        <v>-8.1350123312615E-2</v>
      </c>
      <c r="AD15" s="32">
        <f>SUM($AC$15:$AC$15)</f>
        <v>-8.1350123312615E-2</v>
      </c>
      <c r="AE15" s="32">
        <f ca="1">$AO$15*$AO$60</f>
        <v>0</v>
      </c>
      <c r="AF15" s="32">
        <f ca="1">$AP$15*$AP$60</f>
        <v>0</v>
      </c>
      <c r="AG15" s="32">
        <f ca="1">SUM($AE$15:$AF$15)</f>
        <v>0</v>
      </c>
      <c r="AH15" s="32">
        <f>'TUSD BE'!$AH$15*'TUSD BE'!$AH$63</f>
        <v>0</v>
      </c>
      <c r="AI15" s="32">
        <f>'TUSD BE'!$AI$15*'TUSD BE'!$AI$63</f>
        <v>0</v>
      </c>
      <c r="AJ15" s="32">
        <f ca="1">'TUSD BE'!$AJ$15*'TUSD BE'!$AJ$63</f>
        <v>0</v>
      </c>
      <c r="AK15" s="32">
        <f ca="1">'TUSD BE'!$AK$15*'TUSD BE'!$AK$63</f>
        <v>0</v>
      </c>
      <c r="AL15" s="32">
        <f ca="1">SUM($AH$15:$AK$15)</f>
        <v>0</v>
      </c>
      <c r="AM15" s="32">
        <f ca="1">SUMIF($L$4:$AL$4,"SUBTOTAL",$L$15:$AL$15)</f>
        <v>0.16929737708769343</v>
      </c>
      <c r="AO15" s="37">
        <f ca="1">+'TUSD BE'!$T$15+'TUSD BE'!$AB$15+'TUSD BE'!$AD$15+'TUSD BE'!$AL$15</f>
        <v>31.105296160820906</v>
      </c>
      <c r="AP15" s="37">
        <f ca="1">+'TUSD BE'!$T$15+'TUSD BE'!$AB$15+'TUSD BE'!$AD$15+'TUSD BE'!$AL$15</f>
        <v>31.105296160820906</v>
      </c>
    </row>
    <row r="16" spans="1:42" ht="11.25" customHeight="1" x14ac:dyDescent="0.25">
      <c r="A16" s="124"/>
      <c r="B16" s="124"/>
      <c r="C16" s="124"/>
      <c r="D16" s="124"/>
      <c r="E16" s="124"/>
      <c r="F16" s="124"/>
      <c r="G16" s="28" t="s">
        <v>87</v>
      </c>
      <c r="H16" s="28" t="s">
        <v>86</v>
      </c>
      <c r="I16" s="28">
        <f>'MERCADO TUSD'!$U$13</f>
        <v>91326.053000000014</v>
      </c>
      <c r="J16" s="18"/>
      <c r="L16" s="32">
        <f>'TUSD BE'!$L$16*'TUSD BE'!$L$63</f>
        <v>0</v>
      </c>
      <c r="M16" s="32">
        <f>'TUSD BE'!$M$16*'TUSD BE'!$M$63</f>
        <v>1.15129311207332E-2</v>
      </c>
      <c r="N16" s="32">
        <f ca="1">'TUSD BE'!$N$16*'TUSD BE'!$N$63</f>
        <v>-5.4323879234873521E-5</v>
      </c>
      <c r="O16" s="32">
        <f>'TUSD BE'!$O$16*'TUSD BE'!$O$63</f>
        <v>0</v>
      </c>
      <c r="P16" s="32">
        <f>'TUSD BE'!$P$16*'TUSD BE'!$P$63</f>
        <v>0</v>
      </c>
      <c r="Q16" s="32">
        <f>'TUSD BE'!$Q$16*'TUSD BE'!$Q$63</f>
        <v>-0.49321553503976295</v>
      </c>
      <c r="R16" s="32">
        <f>'TUSD BE'!$R$16*'TUSD BE'!$R$63</f>
        <v>0.30970347426938061</v>
      </c>
      <c r="S16" s="32">
        <f>'TUSD BE'!$R$16*'TUSD BE'!$S$63</f>
        <v>0</v>
      </c>
      <c r="T16" s="32">
        <f ca="1">SUM($L$16:$S$16)</f>
        <v>-0.17205345352888402</v>
      </c>
      <c r="U16" s="32">
        <f>'TUSD BE'!$U$16*'TUSD BE'!$U$63</f>
        <v>8.0120198449728051</v>
      </c>
      <c r="V16" s="32">
        <f>'TUSD BE'!$V$16*'TUSD BE'!$V$63</f>
        <v>2.1737666647252292</v>
      </c>
      <c r="W16" s="32">
        <f>'TUSD BE'!$W$16*'TUSD BE'!$W$63</f>
        <v>-6.3826152830776542E-2</v>
      </c>
      <c r="X16" s="32">
        <f>'TUSD BE'!$X$16*'TUSD BE'!$X$63</f>
        <v>0</v>
      </c>
      <c r="Y16" s="32">
        <f>'TUSD BE'!$Y$16*'TUSD BE'!$Y$63</f>
        <v>-0.61983293914205229</v>
      </c>
      <c r="Z16" s="32">
        <f>'TUSD BE'!$Z$16*'TUSD BE'!$Z$63</f>
        <v>0</v>
      </c>
      <c r="AA16" s="32">
        <f>'TUSD BE'!$AA$16*'TUSD BE'!$AA$63</f>
        <v>0</v>
      </c>
      <c r="AB16" s="32">
        <f>SUM($U$16:$AA$16)</f>
        <v>9.5021274177252053</v>
      </c>
      <c r="AC16" s="32">
        <f>'TUSD BE'!$AC$16*'TUSD BE'!$AC$63</f>
        <v>-3.7131615268942437</v>
      </c>
      <c r="AD16" s="32">
        <f>SUM($AC$16:$AC$16)</f>
        <v>-3.7131615268942437</v>
      </c>
      <c r="AE16" s="32">
        <f ca="1">$AO$16*$AO$60</f>
        <v>0</v>
      </c>
      <c r="AF16" s="32">
        <f ca="1">$AP$16*$AP$60</f>
        <v>0</v>
      </c>
      <c r="AG16" s="32">
        <f ca="1">SUM($AE$16:$AF$16)</f>
        <v>0</v>
      </c>
      <c r="AH16" s="32">
        <f>'TUSD BE'!$AH$16*'TUSD BE'!$AH$63</f>
        <v>-0.94833694206424535</v>
      </c>
      <c r="AI16" s="32">
        <f>'TUSD BE'!$AI$16*'TUSD BE'!$AI$63</f>
        <v>-6.829136348652351E-2</v>
      </c>
      <c r="AJ16" s="32">
        <f ca="1">'TUSD BE'!$AJ$16*'TUSD BE'!$AJ$63</f>
        <v>-8.8984840919737866</v>
      </c>
      <c r="AK16" s="32">
        <f ca="1">'TUSD BE'!$AK$16*'TUSD BE'!$AK$63</f>
        <v>4.1008171145465777</v>
      </c>
      <c r="AL16" s="32">
        <f ca="1">SUM($AH$16:$AK$16)</f>
        <v>-5.8142952829779784</v>
      </c>
      <c r="AM16" s="32">
        <f ca="1">SUMIF($L$4:$AL$4,"SUBTOTAL",$L$16:$AL$16)</f>
        <v>-0.19738284567590014</v>
      </c>
      <c r="AO16" s="37">
        <f ca="1">+'TUSD BE'!$T$16+'TUSD BE'!$AB$16+'TUSD BE'!$AD$16+'TUSD BE'!$AL$16</f>
        <v>1570.3268207116064</v>
      </c>
      <c r="AP16" s="37">
        <f ca="1">+'TUSD BE'!$T$16+'TUSD BE'!$AB$16+'TUSD BE'!$AD$16+'TUSD BE'!$AL$16</f>
        <v>1570.3268207116064</v>
      </c>
    </row>
    <row r="17" spans="1:42" ht="11.25" customHeight="1" x14ac:dyDescent="0.25">
      <c r="A17" s="124"/>
      <c r="B17" s="124"/>
      <c r="C17" s="124"/>
      <c r="D17" s="124"/>
      <c r="E17" s="124"/>
      <c r="F17" s="124"/>
      <c r="G17" s="28" t="s">
        <v>88</v>
      </c>
      <c r="H17" s="28" t="s">
        <v>86</v>
      </c>
      <c r="I17" s="28">
        <f>'MERCADO TUSD'!$U$14</f>
        <v>1142508.3459999999</v>
      </c>
      <c r="J17" s="18"/>
      <c r="L17" s="32">
        <f>'TUSD BE'!$L$17*'TUSD BE'!$L$63</f>
        <v>0</v>
      </c>
      <c r="M17" s="32">
        <f>'TUSD BE'!$M$17*'TUSD BE'!$M$63</f>
        <v>1.15129311207332E-2</v>
      </c>
      <c r="N17" s="32">
        <f ca="1">'TUSD BE'!$N$17*'TUSD BE'!$N$63</f>
        <v>-7.8524946996291974E-6</v>
      </c>
      <c r="O17" s="32">
        <f>'TUSD BE'!$O$17*'TUSD BE'!$O$63</f>
        <v>0</v>
      </c>
      <c r="P17" s="32">
        <f>'TUSD BE'!$P$17*'TUSD BE'!$P$63</f>
        <v>0</v>
      </c>
      <c r="Q17" s="32">
        <f>'TUSD BE'!$Q$17*'TUSD BE'!$Q$63</f>
        <v>-0.49321553503976295</v>
      </c>
      <c r="R17" s="32">
        <f>'TUSD BE'!$R$17*'TUSD BE'!$R$63</f>
        <v>0.30970347426938061</v>
      </c>
      <c r="S17" s="32">
        <f>'TUSD BE'!$R$17*'TUSD BE'!$S$63</f>
        <v>0</v>
      </c>
      <c r="T17" s="32">
        <f ca="1">SUM($L$17:$S$17)</f>
        <v>-0.17200698214434879</v>
      </c>
      <c r="U17" s="32">
        <f>'TUSD BE'!$U$17*'TUSD BE'!$U$63</f>
        <v>0</v>
      </c>
      <c r="V17" s="32">
        <f>'TUSD BE'!$V$17*'TUSD BE'!$V$63</f>
        <v>0</v>
      </c>
      <c r="W17" s="32">
        <f>'TUSD BE'!$W$17*'TUSD BE'!$W$63</f>
        <v>0</v>
      </c>
      <c r="X17" s="32">
        <f>'TUSD BE'!$X$17*'TUSD BE'!$X$63</f>
        <v>0</v>
      </c>
      <c r="Y17" s="32">
        <f>'TUSD BE'!$Y$17*'TUSD BE'!$Y$63</f>
        <v>0</v>
      </c>
      <c r="Z17" s="32">
        <f>'TUSD BE'!$Z$17*'TUSD BE'!$Z$63</f>
        <v>0</v>
      </c>
      <c r="AA17" s="32">
        <f>'TUSD BE'!$AA$17*'TUSD BE'!$AA$63</f>
        <v>0</v>
      </c>
      <c r="AB17" s="32">
        <f>SUM($U$17:$AA$17)</f>
        <v>0</v>
      </c>
      <c r="AC17" s="32">
        <f>'TUSD BE'!$AC$17*'TUSD BE'!$AC$63</f>
        <v>0</v>
      </c>
      <c r="AD17" s="32">
        <f>SUM($AC$17:$AC$17)</f>
        <v>0</v>
      </c>
      <c r="AE17" s="32">
        <f ca="1">$AO$17*$AO$60</f>
        <v>0</v>
      </c>
      <c r="AF17" s="32">
        <f ca="1">$AP$17*$AP$60</f>
        <v>0</v>
      </c>
      <c r="AG17" s="32">
        <f ca="1">SUM($AE$17:$AF$17)</f>
        <v>0</v>
      </c>
      <c r="AH17" s="32">
        <f>'TUSD BE'!$AH$17*'TUSD BE'!$AH$63</f>
        <v>-0.94833694206424535</v>
      </c>
      <c r="AI17" s="32">
        <f>'TUSD BE'!$AI$17*'TUSD BE'!$AI$63</f>
        <v>-6.829136348652351E-2</v>
      </c>
      <c r="AJ17" s="32">
        <f ca="1">'TUSD BE'!$AJ$17*'TUSD BE'!$AJ$63</f>
        <v>-8.8984840919737866</v>
      </c>
      <c r="AK17" s="32">
        <f ca="1">'TUSD BE'!$AK$17*'TUSD BE'!$AK$63</f>
        <v>4.1008171145465777</v>
      </c>
      <c r="AL17" s="32">
        <f ca="1">SUM($AH$17:$AK$17)</f>
        <v>-5.8142952829779784</v>
      </c>
      <c r="AM17" s="32">
        <f ca="1">SUMIF($L$4:$AL$4,"SUBTOTAL",$L$17:$AL$17)</f>
        <v>-5.986302265122327</v>
      </c>
      <c r="AO17" s="37">
        <f ca="1">+'TUSD BE'!$T$17+'TUSD BE'!$AB$17+'TUSD BE'!$AD$17+'TUSD BE'!$AL$17</f>
        <v>164.95325865183827</v>
      </c>
      <c r="AP17" s="37">
        <f ca="1">+'TUSD BE'!$T$17+'TUSD BE'!$AB$17+'TUSD BE'!$AD$17+'TUSD BE'!$AL$17</f>
        <v>164.95325865183827</v>
      </c>
    </row>
    <row r="18" spans="1:42" ht="11.25" customHeight="1" x14ac:dyDescent="0.25">
      <c r="A18" s="124"/>
      <c r="B18" s="124"/>
      <c r="C18" s="124"/>
      <c r="D18" s="124"/>
      <c r="E18" s="124" t="s">
        <v>93</v>
      </c>
      <c r="F18" s="124" t="s">
        <v>25</v>
      </c>
      <c r="G18" s="28" t="s">
        <v>87</v>
      </c>
      <c r="H18" s="28" t="s">
        <v>86</v>
      </c>
      <c r="I18" s="28">
        <f>'MERCADO TUSD'!$U$15</f>
        <v>0</v>
      </c>
      <c r="J18" s="18"/>
      <c r="L18" s="32">
        <f>'TUSD BE'!$L$18*'TUSD BE'!$L$63</f>
        <v>0</v>
      </c>
      <c r="M18" s="32">
        <f>'TUSD BE'!$M$18*'TUSD BE'!$M$63</f>
        <v>1.15129311207332E-2</v>
      </c>
      <c r="N18" s="32">
        <f ca="1">'TUSD BE'!$N$18*'TUSD BE'!$N$63</f>
        <v>-5.4287834097393575E-5</v>
      </c>
      <c r="O18" s="32">
        <f>'TUSD BE'!$O$18*'TUSD BE'!$O$63</f>
        <v>0</v>
      </c>
      <c r="P18" s="32">
        <f>'TUSD BE'!$P$18*'TUSD BE'!$P$63</f>
        <v>0</v>
      </c>
      <c r="Q18" s="32">
        <f>'TUSD BE'!$Q$18*'TUSD BE'!$Q$63</f>
        <v>0</v>
      </c>
      <c r="R18" s="32">
        <f>'TUSD BE'!$R$18*'TUSD BE'!$R$63</f>
        <v>0</v>
      </c>
      <c r="S18" s="32">
        <f>'TUSD BE'!$R$18*'TUSD BE'!$S$63</f>
        <v>0</v>
      </c>
      <c r="T18" s="32">
        <f ca="1">SUM($L$18:$S$18)</f>
        <v>1.1458643286635806E-2</v>
      </c>
      <c r="U18" s="32">
        <f>'TUSD BE'!$U$18*'TUSD BE'!$U$63</f>
        <v>8.0120198449728051</v>
      </c>
      <c r="V18" s="32">
        <f>'TUSD BE'!$V$18*'TUSD BE'!$V$63</f>
        <v>2.1737666647252292</v>
      </c>
      <c r="W18" s="32">
        <f>'TUSD BE'!$W$18*'TUSD BE'!$W$63</f>
        <v>-6.3826152830776542E-2</v>
      </c>
      <c r="X18" s="32">
        <f>'TUSD BE'!$X$18*'TUSD BE'!$X$63</f>
        <v>0</v>
      </c>
      <c r="Y18" s="32">
        <f>'TUSD BE'!$Y$18*'TUSD BE'!$Y$63</f>
        <v>-0.61983293914205229</v>
      </c>
      <c r="Z18" s="32">
        <f>'TUSD BE'!$Z$18*'TUSD BE'!$Z$63</f>
        <v>0</v>
      </c>
      <c r="AA18" s="32">
        <f>'TUSD BE'!$AA$18*'TUSD BE'!$AA$63</f>
        <v>0</v>
      </c>
      <c r="AB18" s="32">
        <f>SUM($U$18:$AA$18)</f>
        <v>9.5021274177252053</v>
      </c>
      <c r="AC18" s="32">
        <f>'TUSD BE'!$AC$18*'TUSD BE'!$AC$63</f>
        <v>-3.7131615268942437</v>
      </c>
      <c r="AD18" s="32">
        <f>SUM($AC$18:$AC$18)</f>
        <v>-3.7131615268942437</v>
      </c>
      <c r="AE18" s="32">
        <f ca="1">$AO$18*$AO$60</f>
        <v>0</v>
      </c>
      <c r="AF18" s="32">
        <f ca="1">$AP$18*$AP$60</f>
        <v>0</v>
      </c>
      <c r="AG18" s="32">
        <f ca="1">SUM($AE$18:$AF$18)</f>
        <v>0</v>
      </c>
      <c r="AH18" s="32">
        <f>'TUSD BE'!$AH$18*'TUSD BE'!$AH$63</f>
        <v>-0.94833694206424535</v>
      </c>
      <c r="AI18" s="32">
        <f>'TUSD BE'!$AI$18*'TUSD BE'!$AI$63</f>
        <v>-6.829136348652351E-2</v>
      </c>
      <c r="AJ18" s="32">
        <f ca="1">'TUSD BE'!$AJ$18*'TUSD BE'!$AJ$63</f>
        <v>-8.8984840919737866</v>
      </c>
      <c r="AK18" s="32">
        <f ca="1">'TUSD BE'!$AK$18*'TUSD BE'!$AK$63</f>
        <v>4.1008171145465777</v>
      </c>
      <c r="AL18" s="32">
        <f ca="1">SUM($AH$18:$AK$18)</f>
        <v>-5.8142952829779784</v>
      </c>
      <c r="AM18" s="32">
        <f ca="1">SUMIF($L$4:$AL$4,"SUBTOTAL",$L$18:$AL$18)</f>
        <v>-1.3870748860380644E-2</v>
      </c>
      <c r="AO18" s="37">
        <f ca="1">+'TUSD BE'!$T$18+'TUSD BE'!$AB$18+'TUSD BE'!$AD$18+'TUSD BE'!$AL$18</f>
        <v>1527.9461344396159</v>
      </c>
      <c r="AP18" s="37">
        <f ca="1">+'TUSD BE'!$T$18+'TUSD BE'!$AB$18+'TUSD BE'!$AD$18+'TUSD BE'!$AL$18</f>
        <v>1527.9461344396159</v>
      </c>
    </row>
    <row r="19" spans="1:42" ht="11.25" customHeight="1" x14ac:dyDescent="0.25">
      <c r="A19" s="124"/>
      <c r="B19" s="124"/>
      <c r="C19" s="124"/>
      <c r="D19" s="124"/>
      <c r="E19" s="124"/>
      <c r="F19" s="124"/>
      <c r="G19" s="28" t="s">
        <v>88</v>
      </c>
      <c r="H19" s="28" t="s">
        <v>86</v>
      </c>
      <c r="I19" s="28">
        <f>'MERCADO TUSD'!$U$16</f>
        <v>0</v>
      </c>
      <c r="J19" s="18"/>
      <c r="L19" s="32">
        <f>'TUSD BE'!$L$19*'TUSD BE'!$L$63</f>
        <v>0</v>
      </c>
      <c r="M19" s="32">
        <f>'TUSD BE'!$M$19*'TUSD BE'!$M$63</f>
        <v>1.15129311207332E-2</v>
      </c>
      <c r="N19" s="32">
        <f ca="1">'TUSD BE'!$N$19*'TUSD BE'!$N$63</f>
        <v>-7.8164495621492542E-6</v>
      </c>
      <c r="O19" s="32">
        <f>'TUSD BE'!$O$19*'TUSD BE'!$O$63</f>
        <v>0</v>
      </c>
      <c r="P19" s="32">
        <f>'TUSD BE'!$P$19*'TUSD BE'!$P$63</f>
        <v>0</v>
      </c>
      <c r="Q19" s="32">
        <f>'TUSD BE'!$Q$19*'TUSD BE'!$Q$63</f>
        <v>0</v>
      </c>
      <c r="R19" s="32">
        <f>'TUSD BE'!$R$19*'TUSD BE'!$R$63</f>
        <v>0</v>
      </c>
      <c r="S19" s="32">
        <f>'TUSD BE'!$R$19*'TUSD BE'!$S$63</f>
        <v>0</v>
      </c>
      <c r="T19" s="32">
        <f ca="1">SUM($L$19:$S$19)</f>
        <v>1.1505114671171051E-2</v>
      </c>
      <c r="U19" s="32">
        <f>'TUSD BE'!$U$19*'TUSD BE'!$U$63</f>
        <v>0</v>
      </c>
      <c r="V19" s="32">
        <f>'TUSD BE'!$V$19*'TUSD BE'!$V$63</f>
        <v>0</v>
      </c>
      <c r="W19" s="32">
        <f>'TUSD BE'!$W$19*'TUSD BE'!$W$63</f>
        <v>0</v>
      </c>
      <c r="X19" s="32">
        <f>'TUSD BE'!$X$19*'TUSD BE'!$X$63</f>
        <v>0</v>
      </c>
      <c r="Y19" s="32">
        <f>'TUSD BE'!$Y$19*'TUSD BE'!$Y$63</f>
        <v>0</v>
      </c>
      <c r="Z19" s="32">
        <f>'TUSD BE'!$Z$19*'TUSD BE'!$Z$63</f>
        <v>0</v>
      </c>
      <c r="AA19" s="32">
        <f>'TUSD BE'!$AA$19*'TUSD BE'!$AA$63</f>
        <v>0</v>
      </c>
      <c r="AB19" s="32">
        <f>SUM($U$19:$AA$19)</f>
        <v>0</v>
      </c>
      <c r="AC19" s="32">
        <f>'TUSD BE'!$AC$19*'TUSD BE'!$AC$63</f>
        <v>0</v>
      </c>
      <c r="AD19" s="32">
        <f>SUM($AC$19:$AC$19)</f>
        <v>0</v>
      </c>
      <c r="AE19" s="32">
        <f ca="1">$AO$19*$AO$60</f>
        <v>0</v>
      </c>
      <c r="AF19" s="32">
        <f ca="1">$AP$19*$AP$60</f>
        <v>0</v>
      </c>
      <c r="AG19" s="32">
        <f ca="1">SUM($AE$19:$AF$19)</f>
        <v>0</v>
      </c>
      <c r="AH19" s="32">
        <f>'TUSD BE'!$AH$19*'TUSD BE'!$AH$63</f>
        <v>-0.94833694206424535</v>
      </c>
      <c r="AI19" s="32">
        <f>'TUSD BE'!$AI$19*'TUSD BE'!$AI$63</f>
        <v>-6.829136348652351E-2</v>
      </c>
      <c r="AJ19" s="32">
        <f ca="1">'TUSD BE'!$AJ$19*'TUSD BE'!$AJ$63</f>
        <v>-8.8984840919737866</v>
      </c>
      <c r="AK19" s="32">
        <f ca="1">'TUSD BE'!$AK$19*'TUSD BE'!$AK$63</f>
        <v>4.1008171145465777</v>
      </c>
      <c r="AL19" s="32">
        <f ca="1">SUM($AH$19:$AK$19)</f>
        <v>-5.8142952829779784</v>
      </c>
      <c r="AM19" s="32">
        <f ca="1">SUMIF($L$4:$AL$4,"SUBTOTAL",$L$19:$AL$19)</f>
        <v>-5.8027901683068075</v>
      </c>
      <c r="AO19" s="37">
        <f ca="1">+'TUSD BE'!$T$19+'TUSD BE'!$AB$19+'TUSD BE'!$AD$19+'TUSD BE'!$AL$19</f>
        <v>122.5725723798476</v>
      </c>
      <c r="AP19" s="37">
        <f ca="1">+'TUSD BE'!$T$19+'TUSD BE'!$AB$19+'TUSD BE'!$AD$19+'TUSD BE'!$AL$19</f>
        <v>122.5725723798476</v>
      </c>
    </row>
    <row r="20" spans="1:42" ht="11.25" customHeight="1" x14ac:dyDescent="0.25">
      <c r="A20" s="124" t="s">
        <v>95</v>
      </c>
      <c r="B20" s="124" t="s">
        <v>63</v>
      </c>
      <c r="C20" s="124" t="s">
        <v>25</v>
      </c>
      <c r="D20" s="124" t="s">
        <v>25</v>
      </c>
      <c r="E20" s="35" t="s">
        <v>96</v>
      </c>
      <c r="F20" s="35" t="s">
        <v>25</v>
      </c>
      <c r="G20" s="28" t="s">
        <v>9</v>
      </c>
      <c r="H20" s="28" t="s">
        <v>89</v>
      </c>
      <c r="I20" s="28">
        <f>'MERCADO TUSD'!$U$17+0.00000001</f>
        <v>1E-8</v>
      </c>
      <c r="J20" s="18"/>
      <c r="L20" s="32">
        <f>'TUSD BE'!$L$20*'TUSD BE'!$L$63</f>
        <v>0</v>
      </c>
      <c r="M20" s="32">
        <f>'TUSD BE'!$M$20*'TUSD BE'!$M$63</f>
        <v>1.2310685729912147E-4</v>
      </c>
      <c r="N20" s="32">
        <f ca="1">'TUSD BE'!$N$20*'TUSD BE'!$N$63</f>
        <v>-7.4252983208681258E-8</v>
      </c>
      <c r="O20" s="32">
        <f>'TUSD BE'!$O$20*'TUSD BE'!$O$63</f>
        <v>0</v>
      </c>
      <c r="P20" s="32">
        <f>'TUSD BE'!$P$20*'TUSD BE'!$P$63</f>
        <v>0</v>
      </c>
      <c r="Q20" s="32">
        <f>'TUSD BE'!$Q$20*'TUSD BE'!$Q$63</f>
        <v>0</v>
      </c>
      <c r="R20" s="32">
        <f>'TUSD BE'!$R$20*'TUSD BE'!$R$63</f>
        <v>0</v>
      </c>
      <c r="S20" s="32">
        <f>'TUSD BE'!$R$20*'TUSD BE'!$S$63</f>
        <v>0</v>
      </c>
      <c r="T20" s="32">
        <f ca="1">SUM($L$20:$S$20)</f>
        <v>1.2303260431591279E-4</v>
      </c>
      <c r="U20" s="32">
        <f>'TUSD BE'!$U$20*'TUSD BE'!$U$63</f>
        <v>0</v>
      </c>
      <c r="V20" s="32">
        <f>'TUSD BE'!$V$20*'TUSD BE'!$V$63</f>
        <v>0</v>
      </c>
      <c r="W20" s="32">
        <f>'TUSD BE'!$W$20*'TUSD BE'!$W$63</f>
        <v>0</v>
      </c>
      <c r="X20" s="32">
        <f>'TUSD BE'!$X$20*'TUSD BE'!$X$63</f>
        <v>0</v>
      </c>
      <c r="Y20" s="32">
        <f>'TUSD BE'!$Y$20*'TUSD BE'!$Y$63</f>
        <v>0</v>
      </c>
      <c r="Z20" s="32">
        <f>'TUSD BE'!$Z$20*'TUSD BE'!$Z$63</f>
        <v>0</v>
      </c>
      <c r="AA20" s="32">
        <f>'TUSD BE'!$AA$20*'TUSD BE'!$AA$63</f>
        <v>0</v>
      </c>
      <c r="AB20" s="32">
        <f>SUM($U$20:$AA$20)</f>
        <v>0</v>
      </c>
      <c r="AC20" s="32">
        <f>'TUSD BE'!$AC$20*'TUSD BE'!$AC$63</f>
        <v>-7.2468776016867435E-3</v>
      </c>
      <c r="AD20" s="32">
        <f>SUM($AC$20:$AC$20)</f>
        <v>-7.2468776016867435E-3</v>
      </c>
      <c r="AE20" s="32">
        <f ca="1">$AO$20*$AO$60</f>
        <v>0</v>
      </c>
      <c r="AF20" s="32">
        <f ca="1">$AP$20*$AP$60</f>
        <v>0</v>
      </c>
      <c r="AG20" s="32">
        <f ca="1">SUM($AE$20:$AF$20)</f>
        <v>0</v>
      </c>
      <c r="AH20" s="32">
        <f>'TUSD BE'!$AH$20*'TUSD BE'!$AH$63</f>
        <v>0</v>
      </c>
      <c r="AI20" s="32">
        <f>'TUSD BE'!$AI$20*'TUSD BE'!$AI$63</f>
        <v>0</v>
      </c>
      <c r="AJ20" s="32">
        <f ca="1">'TUSD BE'!$AJ$20*'TUSD BE'!$AJ$63</f>
        <v>0</v>
      </c>
      <c r="AK20" s="32">
        <f ca="1">'TUSD BE'!$AK$20*'TUSD BE'!$AK$63</f>
        <v>0</v>
      </c>
      <c r="AL20" s="32">
        <f ca="1">SUM($AH$20:$AK$20)</f>
        <v>0</v>
      </c>
      <c r="AM20" s="32">
        <f ca="1">SUMIF($L$4:$AL$4,"SUBTOTAL",$L$20:$AL$20)</f>
        <v>-7.1238449973708307E-3</v>
      </c>
      <c r="AO20" s="37">
        <f ca="1">+'TUSD BE'!$T$20+'TUSD BE'!$AB$20+'TUSD BE'!$AD$20+'TUSD BE'!$AL$20</f>
        <v>2.3661046535922545</v>
      </c>
      <c r="AP20" s="37">
        <f ca="1">+'TUSD BE'!$T$20+'TUSD BE'!$AB$20+'TUSD BE'!$AD$20+'TUSD BE'!$AL$20</f>
        <v>2.3661046535922545</v>
      </c>
    </row>
    <row r="21" spans="1:42" ht="11.25" customHeight="1" x14ac:dyDescent="0.25">
      <c r="A21" s="124"/>
      <c r="B21" s="124"/>
      <c r="C21" s="124"/>
      <c r="D21" s="124"/>
      <c r="E21" s="35" t="s">
        <v>97</v>
      </c>
      <c r="F21" s="35" t="s">
        <v>25</v>
      </c>
      <c r="G21" s="28" t="s">
        <v>9</v>
      </c>
      <c r="H21" s="28" t="s">
        <v>89</v>
      </c>
      <c r="I21" s="28">
        <f>'MERCADO TUSD'!$U$18+0.00000001</f>
        <v>1E-8</v>
      </c>
      <c r="J21" s="18"/>
      <c r="L21" s="32">
        <f>'TUSD BE'!$L$21*'TUSD BE'!$L$63</f>
        <v>0</v>
      </c>
      <c r="M21" s="32">
        <f>'TUSD BE'!$M$21*'TUSD BE'!$M$63</f>
        <v>1.2310685729912147E-4</v>
      </c>
      <c r="N21" s="32">
        <f ca="1">'TUSD BE'!$N$21*'TUSD BE'!$N$63</f>
        <v>-7.4252983208681258E-8</v>
      </c>
      <c r="O21" s="32">
        <f>'TUSD BE'!$O$21*'TUSD BE'!$O$63</f>
        <v>0</v>
      </c>
      <c r="P21" s="32">
        <f>'TUSD BE'!$P$21*'TUSD BE'!$P$63</f>
        <v>0</v>
      </c>
      <c r="Q21" s="32">
        <f>'TUSD BE'!$Q$21*'TUSD BE'!$Q$63</f>
        <v>0</v>
      </c>
      <c r="R21" s="32">
        <f>'TUSD BE'!$R$21*'TUSD BE'!$R$63</f>
        <v>0</v>
      </c>
      <c r="S21" s="32">
        <f>'TUSD BE'!$R$21*'TUSD BE'!$S$63</f>
        <v>0</v>
      </c>
      <c r="T21" s="32">
        <f ca="1">SUM($L$21:$S$21)</f>
        <v>1.2303260431591279E-4</v>
      </c>
      <c r="U21" s="32">
        <f>'TUSD BE'!$U$21*'TUSD BE'!$U$63</f>
        <v>0</v>
      </c>
      <c r="V21" s="32">
        <f>'TUSD BE'!$V$21*'TUSD BE'!$V$63</f>
        <v>0</v>
      </c>
      <c r="W21" s="32">
        <f>'TUSD BE'!$W$21*'TUSD BE'!$W$63</f>
        <v>0</v>
      </c>
      <c r="X21" s="32">
        <f>'TUSD BE'!$X$21*'TUSD BE'!$X$63</f>
        <v>0</v>
      </c>
      <c r="Y21" s="32">
        <f>'TUSD BE'!$Y$21*'TUSD BE'!$Y$63</f>
        <v>0</v>
      </c>
      <c r="Z21" s="32">
        <f>'TUSD BE'!$Z$21*'TUSD BE'!$Z$63</f>
        <v>0</v>
      </c>
      <c r="AA21" s="32">
        <f>'TUSD BE'!$AA$21*'TUSD BE'!$AA$63</f>
        <v>0</v>
      </c>
      <c r="AB21" s="32">
        <f>SUM($U$21:$AA$21)</f>
        <v>0</v>
      </c>
      <c r="AC21" s="32">
        <f>'TUSD BE'!$AC$21*'TUSD BE'!$AC$63</f>
        <v>-6.0397815407451205E-2</v>
      </c>
      <c r="AD21" s="32">
        <f>SUM($AC$21:$AC$21)</f>
        <v>-6.0397815407451205E-2</v>
      </c>
      <c r="AE21" s="32">
        <f ca="1">$AO$21*$AO$60</f>
        <v>0</v>
      </c>
      <c r="AF21" s="32">
        <f ca="1">$AP$21*$AP$60</f>
        <v>0</v>
      </c>
      <c r="AG21" s="32">
        <f ca="1">SUM($AE$21:$AF$21)</f>
        <v>0</v>
      </c>
      <c r="AH21" s="32">
        <f>'TUSD BE'!$AH$21*'TUSD BE'!$AH$63</f>
        <v>0</v>
      </c>
      <c r="AI21" s="32">
        <f>'TUSD BE'!$AI$21*'TUSD BE'!$AI$63</f>
        <v>0</v>
      </c>
      <c r="AJ21" s="32">
        <f ca="1">'TUSD BE'!$AJ$21*'TUSD BE'!$AJ$63</f>
        <v>0</v>
      </c>
      <c r="AK21" s="32">
        <f ca="1">'TUSD BE'!$AK$21*'TUSD BE'!$AK$63</f>
        <v>0</v>
      </c>
      <c r="AL21" s="32">
        <f ca="1">SUM($AH$21:$AK$21)</f>
        <v>0</v>
      </c>
      <c r="AM21" s="32">
        <f ca="1">SUMIF($L$4:$AL$4,"SUBTOTAL",$L$21:$AL$21)</f>
        <v>-6.0274782803135293E-2</v>
      </c>
      <c r="AO21" s="37">
        <f ca="1">+'TUSD BE'!$T$21+'TUSD BE'!$AB$21+'TUSD BE'!$AD$21+'TUSD BE'!$AL$21</f>
        <v>19.519409175132264</v>
      </c>
      <c r="AP21" s="37">
        <f ca="1">+'TUSD BE'!$T$21+'TUSD BE'!$AB$21+'TUSD BE'!$AD$21+'TUSD BE'!$AL$21</f>
        <v>19.519409175132264</v>
      </c>
    </row>
    <row r="22" spans="1:42" ht="11.25" customHeight="1" x14ac:dyDescent="0.25">
      <c r="A22" s="124" t="s">
        <v>22</v>
      </c>
      <c r="B22" s="124" t="s">
        <v>39</v>
      </c>
      <c r="C22" s="124" t="s">
        <v>24</v>
      </c>
      <c r="D22" s="124" t="s">
        <v>24</v>
      </c>
      <c r="E22" s="124" t="s">
        <v>25</v>
      </c>
      <c r="F22" s="124" t="s">
        <v>25</v>
      </c>
      <c r="G22" s="28" t="s">
        <v>87</v>
      </c>
      <c r="H22" s="28" t="s">
        <v>86</v>
      </c>
      <c r="I22" s="28">
        <f>'MERCADO TUSD'!$U$19</f>
        <v>31.722000000000001</v>
      </c>
      <c r="J22" s="18"/>
      <c r="L22" s="32">
        <f>'TUSD BE'!$L$22*'TUSD BE'!$L$63</f>
        <v>0</v>
      </c>
      <c r="M22" s="32">
        <f>'TUSD BE'!$M$22*'TUSD BE'!$M$63</f>
        <v>1.2653236605102317E-2</v>
      </c>
      <c r="N22" s="32">
        <f ca="1">'TUSD BE'!$N$22*'TUSD BE'!$N$63</f>
        <v>-3.9434869416185579E-5</v>
      </c>
      <c r="O22" s="32">
        <f>'TUSD BE'!$O$22*'TUSD BE'!$O$63</f>
        <v>0</v>
      </c>
      <c r="P22" s="32">
        <f>'TUSD BE'!$P$22*'TUSD BE'!$P$63</f>
        <v>0</v>
      </c>
      <c r="Q22" s="32">
        <f>'TUSD BE'!$Q$22*'TUSD BE'!$Q$63</f>
        <v>-0.56691440809168159</v>
      </c>
      <c r="R22" s="32">
        <f>'TUSD BE'!$R$22*'TUSD BE'!$R$63</f>
        <v>0.30970347426938061</v>
      </c>
      <c r="S22" s="32">
        <f>'TUSD BE'!$R$22*'TUSD BE'!$S$63</f>
        <v>0</v>
      </c>
      <c r="T22" s="32">
        <f ca="1">SUM($L$22:$S$22)</f>
        <v>-0.24459713208661482</v>
      </c>
      <c r="U22" s="32">
        <f>'TUSD BE'!$U$22*'TUSD BE'!$U$63</f>
        <v>4.6153131142157395</v>
      </c>
      <c r="V22" s="32">
        <f>'TUSD BE'!$V$22*'TUSD BE'!$V$63</f>
        <v>1.2334615941822391</v>
      </c>
      <c r="W22" s="32">
        <f>'TUSD BE'!$W$22*'TUSD BE'!$W$63</f>
        <v>-3.8266834403467342E-2</v>
      </c>
      <c r="X22" s="32">
        <f>'TUSD BE'!$X$22*'TUSD BE'!$X$63</f>
        <v>0</v>
      </c>
      <c r="Y22" s="32">
        <f>'TUSD BE'!$Y$22*'TUSD BE'!$Y$63</f>
        <v>-0.26858891684886788</v>
      </c>
      <c r="Z22" s="32">
        <f>'TUSD BE'!$Z$22*'TUSD BE'!$Z$63</f>
        <v>0</v>
      </c>
      <c r="AA22" s="32">
        <f>'TUSD BE'!$AA$22*'TUSD BE'!$AA$63</f>
        <v>0</v>
      </c>
      <c r="AB22" s="32">
        <f>SUM($U$22:$AA$22)</f>
        <v>5.5419189571456435</v>
      </c>
      <c r="AC22" s="32">
        <f>'TUSD BE'!$AC$22*'TUSD BE'!$AC$63</f>
        <v>-2.2166617350475661</v>
      </c>
      <c r="AD22" s="32">
        <f>SUM($AC$22:$AC$22)</f>
        <v>-2.2166617350475661</v>
      </c>
      <c r="AE22" s="32">
        <f ca="1">$AO$22*$AO$60</f>
        <v>0</v>
      </c>
      <c r="AF22" s="32">
        <f ca="1">$AP$22*$AP$60</f>
        <v>0</v>
      </c>
      <c r="AG22" s="32">
        <f ca="1">SUM($AE$22:$AF$22)</f>
        <v>0</v>
      </c>
      <c r="AH22" s="32">
        <f>'TUSD BE'!$AH$22*'TUSD BE'!$AH$63</f>
        <v>-4.1969410607971929</v>
      </c>
      <c r="AI22" s="32">
        <f>'TUSD BE'!$AI$22*'TUSD BE'!$AI$63</f>
        <v>-0.30222889650438173</v>
      </c>
      <c r="AJ22" s="32">
        <f ca="1">'TUSD BE'!$AJ$22*'TUSD BE'!$AJ$63</f>
        <v>-10.380991275750787</v>
      </c>
      <c r="AK22" s="32">
        <f ca="1">'TUSD BE'!$AK$22*'TUSD BE'!$AK$63</f>
        <v>4.7840223401596154</v>
      </c>
      <c r="AL22" s="32">
        <f ca="1">SUM($AH$22:$AK$22)</f>
        <v>-10.096138892892746</v>
      </c>
      <c r="AM22" s="32">
        <f ca="1">SUMIF($L$4:$AL$4,"SUBTOTAL",$L$22:$AL$22)</f>
        <v>-7.015478802881284</v>
      </c>
      <c r="AO22" s="37">
        <f ca="1">+'TUSD BE'!$T$22+'TUSD BE'!$AB$22+'TUSD BE'!$AD$22+'TUSD BE'!$AL$22</f>
        <v>1062.0307815443664</v>
      </c>
      <c r="AP22" s="37">
        <f ca="1">+'TUSD BE'!$T$22+'TUSD BE'!$AB$22+'TUSD BE'!$AD$22+'TUSD BE'!$AL$22</f>
        <v>1062.0307815443664</v>
      </c>
    </row>
    <row r="23" spans="1:42" ht="11.25" customHeight="1" x14ac:dyDescent="0.25">
      <c r="A23" s="124"/>
      <c r="B23" s="124"/>
      <c r="C23" s="124"/>
      <c r="D23" s="124"/>
      <c r="E23" s="124"/>
      <c r="F23" s="124"/>
      <c r="G23" s="28" t="s">
        <v>98</v>
      </c>
      <c r="H23" s="28" t="s">
        <v>86</v>
      </c>
      <c r="I23" s="28">
        <f>'MERCADO TUSD'!$U$20</f>
        <v>31.11</v>
      </c>
      <c r="J23" s="18"/>
      <c r="L23" s="32">
        <f>'TUSD BE'!$L$23*'TUSD BE'!$L$63</f>
        <v>0</v>
      </c>
      <c r="M23" s="32">
        <f>'TUSD BE'!$M$23*'TUSD BE'!$M$63</f>
        <v>1.2653236605102317E-2</v>
      </c>
      <c r="N23" s="32">
        <f ca="1">'TUSD BE'!$N$23*'TUSD BE'!$N$63</f>
        <v>-2.8416072741337083E-5</v>
      </c>
      <c r="O23" s="32">
        <f>'TUSD BE'!$O$23*'TUSD BE'!$O$63</f>
        <v>0</v>
      </c>
      <c r="P23" s="32">
        <f>'TUSD BE'!$P$23*'TUSD BE'!$P$63</f>
        <v>0</v>
      </c>
      <c r="Q23" s="32">
        <f>'TUSD BE'!$Q$23*'TUSD BE'!$Q$63</f>
        <v>-0.56691440809168159</v>
      </c>
      <c r="R23" s="32">
        <f>'TUSD BE'!$R$23*'TUSD BE'!$R$63</f>
        <v>0.30970347426938061</v>
      </c>
      <c r="S23" s="32">
        <f>'TUSD BE'!$R$23*'TUSD BE'!$S$63</f>
        <v>0</v>
      </c>
      <c r="T23" s="32">
        <f ca="1">SUM($L$23:$S$23)</f>
        <v>-0.24458611328993995</v>
      </c>
      <c r="U23" s="32">
        <f>'TUSD BE'!$U$23*'TUSD BE'!$U$63</f>
        <v>2.7691863101694048</v>
      </c>
      <c r="V23" s="32">
        <f>'TUSD BE'!$V$23*'TUSD BE'!$V$63</f>
        <v>0.74007555879539455</v>
      </c>
      <c r="W23" s="32">
        <f>'TUSD BE'!$W$23*'TUSD BE'!$W$63</f>
        <v>-2.2958726485175718E-2</v>
      </c>
      <c r="X23" s="32">
        <f>'TUSD BE'!$X$23*'TUSD BE'!$X$63</f>
        <v>0</v>
      </c>
      <c r="Y23" s="32">
        <f>'TUSD BE'!$Y$23*'TUSD BE'!$Y$63</f>
        <v>-0.16113192299190157</v>
      </c>
      <c r="Z23" s="32">
        <f>'TUSD BE'!$Z$23*'TUSD BE'!$Z$63</f>
        <v>0</v>
      </c>
      <c r="AA23" s="32">
        <f>'TUSD BE'!$AA$23*'TUSD BE'!$AA$63</f>
        <v>0</v>
      </c>
      <c r="AB23" s="32">
        <f>SUM($U$23:$AA$23)</f>
        <v>3.3251712194877219</v>
      </c>
      <c r="AC23" s="32">
        <f>'TUSD BE'!$AC$23*'TUSD BE'!$AC$63</f>
        <v>-1.329996829492341</v>
      </c>
      <c r="AD23" s="32">
        <f>SUM($AC$23:$AC$23)</f>
        <v>-1.329996829492341</v>
      </c>
      <c r="AE23" s="32">
        <f ca="1">$AO$23*$AO$60</f>
        <v>0</v>
      </c>
      <c r="AF23" s="32">
        <f ca="1">$AP$23*$AP$60</f>
        <v>0</v>
      </c>
      <c r="AG23" s="32">
        <f ca="1">SUM($AE$23:$AF$23)</f>
        <v>0</v>
      </c>
      <c r="AH23" s="32">
        <f>'TUSD BE'!$AH$23*'TUSD BE'!$AH$63</f>
        <v>-4.1969410607971929</v>
      </c>
      <c r="AI23" s="32">
        <f>'TUSD BE'!$AI$23*'TUSD BE'!$AI$63</f>
        <v>-0.30222889650438173</v>
      </c>
      <c r="AJ23" s="32">
        <f ca="1">'TUSD BE'!$AJ$23*'TUSD BE'!$AJ$63</f>
        <v>-10.380991275750787</v>
      </c>
      <c r="AK23" s="32">
        <f ca="1">'TUSD BE'!$AK$23*'TUSD BE'!$AK$63</f>
        <v>4.7840223401596154</v>
      </c>
      <c r="AL23" s="32">
        <f ca="1">SUM($AH$23:$AK$23)</f>
        <v>-10.096138892892746</v>
      </c>
      <c r="AM23" s="32">
        <f ca="1">SUMIF($L$4:$AL$4,"SUBTOTAL",$L$23:$AL$23)</f>
        <v>-8.345550616187305</v>
      </c>
      <c r="AO23" s="37">
        <f ca="1">+'TUSD BE'!$T$23+'TUSD BE'!$AB$23+'TUSD BE'!$AD$23+'TUSD BE'!$AL$23</f>
        <v>728.12799726941284</v>
      </c>
      <c r="AP23" s="37">
        <f ca="1">+'TUSD BE'!$T$23+'TUSD BE'!$AB$23+'TUSD BE'!$AD$23+'TUSD BE'!$AL$23</f>
        <v>728.12799726941284</v>
      </c>
    </row>
    <row r="24" spans="1:42" ht="11.25" customHeight="1" x14ac:dyDescent="0.25">
      <c r="A24" s="124"/>
      <c r="B24" s="124"/>
      <c r="C24" s="124"/>
      <c r="D24" s="124"/>
      <c r="E24" s="124"/>
      <c r="F24" s="124"/>
      <c r="G24" s="28" t="s">
        <v>88</v>
      </c>
      <c r="H24" s="28" t="s">
        <v>86</v>
      </c>
      <c r="I24" s="28">
        <f>'MERCADO TUSD'!$U$21</f>
        <v>472.03</v>
      </c>
      <c r="J24" s="18"/>
      <c r="L24" s="32">
        <f>'TUSD BE'!$L$24*'TUSD BE'!$L$63</f>
        <v>0</v>
      </c>
      <c r="M24" s="32">
        <f>'TUSD BE'!$M$24*'TUSD BE'!$M$63</f>
        <v>1.2653236605102317E-2</v>
      </c>
      <c r="N24" s="32">
        <f ca="1">'TUSD BE'!$N$24*'TUSD BE'!$N$63</f>
        <v>-1.7397283275516088E-5</v>
      </c>
      <c r="O24" s="32">
        <f>'TUSD BE'!$O$24*'TUSD BE'!$O$63</f>
        <v>0</v>
      </c>
      <c r="P24" s="32">
        <f>'TUSD BE'!$P$24*'TUSD BE'!$P$63</f>
        <v>0</v>
      </c>
      <c r="Q24" s="32">
        <f>'TUSD BE'!$Q$24*'TUSD BE'!$Q$63</f>
        <v>-0.56691440809168159</v>
      </c>
      <c r="R24" s="32">
        <f>'TUSD BE'!$R$24*'TUSD BE'!$R$63</f>
        <v>0.30970347426938061</v>
      </c>
      <c r="S24" s="32">
        <f>'TUSD BE'!$R$24*'TUSD BE'!$S$63</f>
        <v>0</v>
      </c>
      <c r="T24" s="32">
        <f ca="1">SUM($L$24:$S$24)</f>
        <v>-0.24457509450047421</v>
      </c>
      <c r="U24" s="32">
        <f>'TUSD BE'!$U$24*'TUSD BE'!$U$63</f>
        <v>0.9230634020231675</v>
      </c>
      <c r="V24" s="32">
        <f>'TUSD BE'!$V$24*'TUSD BE'!$V$63</f>
        <v>0.24668952340855005</v>
      </c>
      <c r="W24" s="32">
        <f>'TUSD BE'!$W$24*'TUSD BE'!$W$63</f>
        <v>-7.6540539591458175E-3</v>
      </c>
      <c r="X24" s="32">
        <f>'TUSD BE'!$X$24*'TUSD BE'!$X$63</f>
        <v>0</v>
      </c>
      <c r="Y24" s="32">
        <f>'TUSD BE'!$Y$24*'TUSD BE'!$Y$63</f>
        <v>-5.3728496928483138E-2</v>
      </c>
      <c r="Z24" s="32">
        <f>'TUSD BE'!$Z$24*'TUSD BE'!$Z$63</f>
        <v>0</v>
      </c>
      <c r="AA24" s="32">
        <f>'TUSD BE'!$AA$24*'TUSD BE'!$AA$63</f>
        <v>0</v>
      </c>
      <c r="AB24" s="32">
        <f>SUM($U$24:$AA$24)</f>
        <v>1.1083703745440885</v>
      </c>
      <c r="AC24" s="32">
        <f>'TUSD BE'!$AC$24*'TUSD BE'!$AC$63</f>
        <v>-0.44333227649744694</v>
      </c>
      <c r="AD24" s="32">
        <f>SUM($AC$24:$AC$24)</f>
        <v>-0.44333227649744694</v>
      </c>
      <c r="AE24" s="32">
        <f ca="1">$AO$24*$AO$60</f>
        <v>0</v>
      </c>
      <c r="AF24" s="32">
        <f ca="1">$AP$24*$AP$60</f>
        <v>0</v>
      </c>
      <c r="AG24" s="32">
        <f ca="1">SUM($AE$24:$AF$24)</f>
        <v>0</v>
      </c>
      <c r="AH24" s="32">
        <f>'TUSD BE'!$AH$24*'TUSD BE'!$AH$63</f>
        <v>-4.1969410607971929</v>
      </c>
      <c r="AI24" s="32">
        <f>'TUSD BE'!$AI$24*'TUSD BE'!$AI$63</f>
        <v>-0.30222889650438173</v>
      </c>
      <c r="AJ24" s="32">
        <f ca="1">'TUSD BE'!$AJ$24*'TUSD BE'!$AJ$63</f>
        <v>-10.380991275750787</v>
      </c>
      <c r="AK24" s="32">
        <f ca="1">'TUSD BE'!$AK$24*'TUSD BE'!$AK$63</f>
        <v>4.7840223401596154</v>
      </c>
      <c r="AL24" s="32">
        <f ca="1">SUM($AH$24:$AK$24)</f>
        <v>-10.096138892892746</v>
      </c>
      <c r="AM24" s="32">
        <f ca="1">SUMIF($L$4:$AL$4,"SUBTOTAL",$L$24:$AL$24)</f>
        <v>-9.6756758893465786</v>
      </c>
      <c r="AO24" s="37">
        <f ca="1">+'TUSD BE'!$T$24+'TUSD BE'!$AB$24+'TUSD BE'!$AD$24+'TUSD BE'!$AL$24</f>
        <v>394.22549841371921</v>
      </c>
      <c r="AP24" s="37">
        <f ca="1">+'TUSD BE'!$T$24+'TUSD BE'!$AB$24+'TUSD BE'!$AD$24+'TUSD BE'!$AL$24</f>
        <v>394.22549841371921</v>
      </c>
    </row>
    <row r="25" spans="1:42" ht="11.25" customHeight="1" x14ac:dyDescent="0.25">
      <c r="A25" s="124"/>
      <c r="B25" s="124" t="s">
        <v>23</v>
      </c>
      <c r="C25" s="124" t="s">
        <v>24</v>
      </c>
      <c r="D25" s="35" t="s">
        <v>24</v>
      </c>
      <c r="E25" s="35" t="s">
        <v>25</v>
      </c>
      <c r="F25" s="35" t="s">
        <v>25</v>
      </c>
      <c r="G25" s="28" t="s">
        <v>92</v>
      </c>
      <c r="H25" s="28" t="s">
        <v>86</v>
      </c>
      <c r="I25" s="28">
        <f>'MERCADO TUSD'!$U$22</f>
        <v>1747135.3810000001</v>
      </c>
      <c r="J25" s="18"/>
      <c r="L25" s="32">
        <f>'TUSD BE'!$L$25*'TUSD BE'!$L$63</f>
        <v>0</v>
      </c>
      <c r="M25" s="32">
        <f>'TUSD BE'!$M$25*'TUSD BE'!$M$63</f>
        <v>1.2653236605102317E-2</v>
      </c>
      <c r="N25" s="32">
        <f ca="1">'TUSD BE'!$N$25*'TUSD BE'!$N$63</f>
        <v>-2.0774009777205824E-5</v>
      </c>
      <c r="O25" s="32">
        <f>'TUSD BE'!$O$25*'TUSD BE'!$O$63</f>
        <v>0</v>
      </c>
      <c r="P25" s="32">
        <f>'TUSD BE'!$P$25*'TUSD BE'!$P$63</f>
        <v>0</v>
      </c>
      <c r="Q25" s="32">
        <f>'TUSD BE'!$Q$25*'TUSD BE'!$Q$63</f>
        <v>-0.56691440809168159</v>
      </c>
      <c r="R25" s="32">
        <f>'TUSD BE'!$R$25*'TUSD BE'!$R$63</f>
        <v>0.30970347426938061</v>
      </c>
      <c r="S25" s="32">
        <f>'TUSD BE'!$R$25*'TUSD BE'!$S$63</f>
        <v>0</v>
      </c>
      <c r="T25" s="32">
        <f ca="1">SUM($L$25:$S$25)</f>
        <v>-0.24457847122697585</v>
      </c>
      <c r="U25" s="32">
        <f>'TUSD BE'!$U$25*'TUSD BE'!$U$63</f>
        <v>1.4888104306566836</v>
      </c>
      <c r="V25" s="32">
        <f>'TUSD BE'!$V$25*'TUSD BE'!$V$63</f>
        <v>0.3978872298292413</v>
      </c>
      <c r="W25" s="32">
        <f>'TUSD BE'!$W$25*'TUSD BE'!$W$63</f>
        <v>-1.2343364396414239E-2</v>
      </c>
      <c r="X25" s="32">
        <f>'TUSD BE'!$X$25*'TUSD BE'!$X$63</f>
        <v>0</v>
      </c>
      <c r="Y25" s="32">
        <f>'TUSD BE'!$Y$25*'TUSD BE'!$Y$63</f>
        <v>-8.6619122166856674E-2</v>
      </c>
      <c r="Z25" s="32">
        <f>'TUSD BE'!$Z$25*'TUSD BE'!$Z$63</f>
        <v>0</v>
      </c>
      <c r="AA25" s="32">
        <f>'TUSD BE'!$AA$25*'TUSD BE'!$AA$63</f>
        <v>0</v>
      </c>
      <c r="AB25" s="32">
        <f>SUM($U$25:$AA$25)</f>
        <v>1.7877351739226541</v>
      </c>
      <c r="AC25" s="32">
        <f>'TUSD BE'!$AC$25*'TUSD BE'!$AC$63</f>
        <v>-0.71505228632512796</v>
      </c>
      <c r="AD25" s="32">
        <f>SUM($AC$25:$AC$25)</f>
        <v>-0.71505228632512796</v>
      </c>
      <c r="AE25" s="32">
        <f ca="1">$AO$25*$AO$60</f>
        <v>0</v>
      </c>
      <c r="AF25" s="32">
        <f ca="1">$AP$25*$AP$60</f>
        <v>0</v>
      </c>
      <c r="AG25" s="32">
        <f ca="1">SUM($AE$25:$AF$25)</f>
        <v>0</v>
      </c>
      <c r="AH25" s="32">
        <f>'TUSD BE'!$AH$25*'TUSD BE'!$AH$63</f>
        <v>-4.1969410607971929</v>
      </c>
      <c r="AI25" s="32">
        <f>'TUSD BE'!$AI$25*'TUSD BE'!$AI$63</f>
        <v>-0.30222889650438173</v>
      </c>
      <c r="AJ25" s="32">
        <f ca="1">'TUSD BE'!$AJ$25*'TUSD BE'!$AJ$63</f>
        <v>-10.380991275750787</v>
      </c>
      <c r="AK25" s="32">
        <f ca="1">'TUSD BE'!$AK$25*'TUSD BE'!$AK$63</f>
        <v>4.7840223401596154</v>
      </c>
      <c r="AL25" s="32">
        <f ca="1">SUM($AH$25:$AK$25)</f>
        <v>-10.096138892892746</v>
      </c>
      <c r="AM25" s="32">
        <f ca="1">SUMIF($L$4:$AL$4,"SUBTOTAL",$L$25:$AL$25)</f>
        <v>-9.268034476522196</v>
      </c>
      <c r="AO25" s="37">
        <f ca="1">+'TUSD BE'!$T$25+'TUSD BE'!$AB$25+'TUSD BE'!$AD$25+'TUSD BE'!$AL$25</f>
        <v>496.55049493364771</v>
      </c>
      <c r="AP25" s="37">
        <f ca="1">+'TUSD BE'!$T$25+'TUSD BE'!$AB$25+'TUSD BE'!$AD$25+'TUSD BE'!$AL$25</f>
        <v>496.55049493364771</v>
      </c>
    </row>
    <row r="26" spans="1:42" ht="11.25" customHeight="1" x14ac:dyDescent="0.25">
      <c r="A26" s="124"/>
      <c r="B26" s="124"/>
      <c r="C26" s="124"/>
      <c r="D26" s="35" t="s">
        <v>31</v>
      </c>
      <c r="E26" s="35" t="s">
        <v>25</v>
      </c>
      <c r="F26" s="35" t="s">
        <v>25</v>
      </c>
      <c r="G26" s="28" t="s">
        <v>92</v>
      </c>
      <c r="H26" s="28" t="s">
        <v>86</v>
      </c>
      <c r="I26" s="28">
        <f>'MERCADO TUSD'!$U$23</f>
        <v>72661.888000000006</v>
      </c>
      <c r="J26" s="18"/>
      <c r="L26" s="32">
        <f>'TUSD BE'!$L$26*'TUSD BE'!$L$63</f>
        <v>0</v>
      </c>
      <c r="M26" s="32">
        <f>'TUSD BE'!$M$26*'TUSD BE'!$M$63</f>
        <v>1.2653236605102317E-2</v>
      </c>
      <c r="N26" s="32">
        <f ca="1">'TUSD BE'!$N$26*'TUSD BE'!$N$63</f>
        <v>-2.0737964639725884E-5</v>
      </c>
      <c r="O26" s="32">
        <f>'TUSD BE'!$O$26*'TUSD BE'!$O$63</f>
        <v>0</v>
      </c>
      <c r="P26" s="32">
        <f>'TUSD BE'!$P$26*'TUSD BE'!$P$63</f>
        <v>0</v>
      </c>
      <c r="Q26" s="32">
        <f>'TUSD BE'!$Q$26*'TUSD BE'!$Q$63</f>
        <v>0</v>
      </c>
      <c r="R26" s="32">
        <f>'TUSD BE'!$R$26*'TUSD BE'!$R$63</f>
        <v>0</v>
      </c>
      <c r="S26" s="32">
        <f>'TUSD BE'!$R$26*'TUSD BE'!$S$63</f>
        <v>0</v>
      </c>
      <c r="T26" s="32">
        <f ca="1">SUM($L$26:$S$26)</f>
        <v>1.2632498640462592E-2</v>
      </c>
      <c r="U26" s="32">
        <f>'TUSD BE'!$U$26*'TUSD BE'!$U$63</f>
        <v>1.4888104306566836</v>
      </c>
      <c r="V26" s="32">
        <f>'TUSD BE'!$V$26*'TUSD BE'!$V$63</f>
        <v>0.3978872298292413</v>
      </c>
      <c r="W26" s="32">
        <f>'TUSD BE'!$W$26*'TUSD BE'!$W$63</f>
        <v>-1.2343364396414239E-2</v>
      </c>
      <c r="X26" s="32">
        <f>'TUSD BE'!$X$26*'TUSD BE'!$X$63</f>
        <v>0</v>
      </c>
      <c r="Y26" s="32">
        <f>'TUSD BE'!$Y$26*'TUSD BE'!$Y$63</f>
        <v>-8.6619122166856674E-2</v>
      </c>
      <c r="Z26" s="32">
        <f>'TUSD BE'!$Z$26*'TUSD BE'!$Z$63</f>
        <v>0</v>
      </c>
      <c r="AA26" s="32">
        <f>'TUSD BE'!$AA$26*'TUSD BE'!$AA$63</f>
        <v>0</v>
      </c>
      <c r="AB26" s="32">
        <f>SUM($U$26:$AA$26)</f>
        <v>1.7877351739226541</v>
      </c>
      <c r="AC26" s="32">
        <f>'TUSD BE'!$AC$26*'TUSD BE'!$AC$63</f>
        <v>-0.71505228632512796</v>
      </c>
      <c r="AD26" s="32">
        <f>SUM($AC$26:$AC$26)</f>
        <v>-0.71505228632512796</v>
      </c>
      <c r="AE26" s="32">
        <f ca="1">$AO$26*$AO$60</f>
        <v>0</v>
      </c>
      <c r="AF26" s="32">
        <f ca="1">$AP$26*$AP$60</f>
        <v>0</v>
      </c>
      <c r="AG26" s="32">
        <f ca="1">SUM($AE$26:$AF$26)</f>
        <v>0</v>
      </c>
      <c r="AH26" s="32">
        <f>'TUSD BE'!$AH$26*'TUSD BE'!$AH$63</f>
        <v>-4.1969410607971929</v>
      </c>
      <c r="AI26" s="32">
        <f>'TUSD BE'!$AI$26*'TUSD BE'!$AI$63</f>
        <v>-0.30222889650438173</v>
      </c>
      <c r="AJ26" s="32">
        <f ca="1">'TUSD BE'!$AJ$26*'TUSD BE'!$AJ$63</f>
        <v>-10.380991275750787</v>
      </c>
      <c r="AK26" s="32">
        <f ca="1">'TUSD BE'!$AK$26*'TUSD BE'!$AK$63</f>
        <v>4.7840223401596154</v>
      </c>
      <c r="AL26" s="32">
        <f ca="1">SUM($AH$26:$AK$26)</f>
        <v>-10.096138892892746</v>
      </c>
      <c r="AM26" s="32">
        <f ca="1">SUMIF($L$4:$AL$4,"SUBTOTAL",$L$26:$AL$26)</f>
        <v>-9.0108235066547575</v>
      </c>
      <c r="AO26" s="37">
        <f ca="1">+'TUSD BE'!$T$26+'TUSD BE'!$AB$26+'TUSD BE'!$AD$26+'TUSD BE'!$AL$26</f>
        <v>449.26647779627018</v>
      </c>
      <c r="AP26" s="37">
        <f ca="1">+'TUSD BE'!$T$26+'TUSD BE'!$AB$26+'TUSD BE'!$AD$26+'TUSD BE'!$AL$26</f>
        <v>449.26647779627018</v>
      </c>
    </row>
    <row r="27" spans="1:42" ht="11.25" customHeight="1" x14ac:dyDescent="0.25">
      <c r="A27" s="124"/>
      <c r="B27" s="124"/>
      <c r="C27" s="124"/>
      <c r="D27" s="35" t="s">
        <v>32</v>
      </c>
      <c r="E27" s="35" t="s">
        <v>25</v>
      </c>
      <c r="F27" s="35" t="s">
        <v>25</v>
      </c>
      <c r="G27" s="28" t="s">
        <v>92</v>
      </c>
      <c r="H27" s="28" t="s">
        <v>86</v>
      </c>
      <c r="I27" s="28">
        <f>'MERCADO TUSD'!$U$24</f>
        <v>116587.09399999998</v>
      </c>
      <c r="J27" s="18"/>
      <c r="L27" s="32">
        <f>'TUSD BE'!$L$27*'TUSD BE'!$L$63</f>
        <v>0</v>
      </c>
      <c r="M27" s="32">
        <f>'TUSD BE'!$M$27*'TUSD BE'!$M$63</f>
        <v>1.2653236605102317E-2</v>
      </c>
      <c r="N27" s="32">
        <f ca="1">'TUSD BE'!$N$27*'TUSD BE'!$N$63</f>
        <v>-2.0737964639725884E-5</v>
      </c>
      <c r="O27" s="32">
        <f>'TUSD BE'!$O$27*'TUSD BE'!$O$63</f>
        <v>0</v>
      </c>
      <c r="P27" s="32">
        <f>'TUSD BE'!$P$27*'TUSD BE'!$P$63</f>
        <v>0</v>
      </c>
      <c r="Q27" s="32">
        <f>'TUSD BE'!$Q$27*'TUSD BE'!$Q$63</f>
        <v>0</v>
      </c>
      <c r="R27" s="32">
        <f>'TUSD BE'!$R$27*'TUSD BE'!$R$63</f>
        <v>0</v>
      </c>
      <c r="S27" s="32">
        <f>'TUSD BE'!$R$27*'TUSD BE'!$S$63</f>
        <v>0</v>
      </c>
      <c r="T27" s="32">
        <f ca="1">SUM($L$27:$S$27)</f>
        <v>1.2632498640462592E-2</v>
      </c>
      <c r="U27" s="32">
        <f>'TUSD BE'!$U$27*'TUSD BE'!$U$63</f>
        <v>1.4888104306566836</v>
      </c>
      <c r="V27" s="32">
        <f>'TUSD BE'!$V$27*'TUSD BE'!$V$63</f>
        <v>0.3978872298292413</v>
      </c>
      <c r="W27" s="32">
        <f>'TUSD BE'!$W$27*'TUSD BE'!$W$63</f>
        <v>-1.2343364396414239E-2</v>
      </c>
      <c r="X27" s="32">
        <f>'TUSD BE'!$X$27*'TUSD BE'!$X$63</f>
        <v>0</v>
      </c>
      <c r="Y27" s="32">
        <f>'TUSD BE'!$Y$27*'TUSD BE'!$Y$63</f>
        <v>-8.6619122166856674E-2</v>
      </c>
      <c r="Z27" s="32">
        <f>'TUSD BE'!$Z$27*'TUSD BE'!$Z$63</f>
        <v>0</v>
      </c>
      <c r="AA27" s="32">
        <f>'TUSD BE'!$AA$27*'TUSD BE'!$AA$63</f>
        <v>0</v>
      </c>
      <c r="AB27" s="32">
        <f>SUM($U$27:$AA$27)</f>
        <v>1.7877351739226541</v>
      </c>
      <c r="AC27" s="32">
        <f>'TUSD BE'!$AC$27*'TUSD BE'!$AC$63</f>
        <v>-0.71505228632512796</v>
      </c>
      <c r="AD27" s="32">
        <f>SUM($AC$27:$AC$27)</f>
        <v>-0.71505228632512796</v>
      </c>
      <c r="AE27" s="32">
        <f ca="1">$AO$27*$AO$60</f>
        <v>0</v>
      </c>
      <c r="AF27" s="32">
        <f ca="1">$AP$27*$AP$60</f>
        <v>0</v>
      </c>
      <c r="AG27" s="32">
        <f ca="1">SUM($AE$27:$AF$27)</f>
        <v>0</v>
      </c>
      <c r="AH27" s="32">
        <f>'TUSD BE'!$AH$27*'TUSD BE'!$AH$63</f>
        <v>-4.1969410607971929</v>
      </c>
      <c r="AI27" s="32">
        <f>'TUSD BE'!$AI$27*'TUSD BE'!$AI$63</f>
        <v>-0.30222889650438173</v>
      </c>
      <c r="AJ27" s="32">
        <f ca="1">'TUSD BE'!$AJ$27*'TUSD BE'!$AJ$63</f>
        <v>-10.380991275750787</v>
      </c>
      <c r="AK27" s="32">
        <f ca="1">'TUSD BE'!$AK$27*'TUSD BE'!$AK$63</f>
        <v>4.7840223401596154</v>
      </c>
      <c r="AL27" s="32">
        <f ca="1">SUM($AH$27:$AK$27)</f>
        <v>-10.096138892892746</v>
      </c>
      <c r="AM27" s="32">
        <f ca="1">SUMIF($L$4:$AL$4,"SUBTOTAL",$L$27:$AL$27)</f>
        <v>-9.0108235066547575</v>
      </c>
      <c r="AO27" s="37">
        <f ca="1">+'TUSD BE'!$T$27+'TUSD BE'!$AB$27+'TUSD BE'!$AD$27+'TUSD BE'!$AL$27</f>
        <v>449.26647779627018</v>
      </c>
      <c r="AP27" s="37">
        <f ca="1">+'TUSD BE'!$T$27+'TUSD BE'!$AB$27+'TUSD BE'!$AD$27+'TUSD BE'!$AL$27</f>
        <v>449.26647779627018</v>
      </c>
    </row>
    <row r="28" spans="1:42" ht="11.25" customHeight="1" x14ac:dyDescent="0.25">
      <c r="A28" s="124"/>
      <c r="B28" s="124"/>
      <c r="C28" s="124"/>
      <c r="D28" s="35" t="s">
        <v>33</v>
      </c>
      <c r="E28" s="35" t="s">
        <v>25</v>
      </c>
      <c r="F28" s="35" t="s">
        <v>25</v>
      </c>
      <c r="G28" s="28" t="s">
        <v>92</v>
      </c>
      <c r="H28" s="28" t="s">
        <v>86</v>
      </c>
      <c r="I28" s="28">
        <f>'MERCADO TUSD'!$U$25</f>
        <v>103208.47500000001</v>
      </c>
      <c r="J28" s="18"/>
      <c r="L28" s="32">
        <f>'TUSD BE'!$L$28*'TUSD BE'!$L$63</f>
        <v>0</v>
      </c>
      <c r="M28" s="32">
        <f>'TUSD BE'!$M$28*'TUSD BE'!$M$63</f>
        <v>1.2653236605102317E-2</v>
      </c>
      <c r="N28" s="32">
        <f ca="1">'TUSD BE'!$N$28*'TUSD BE'!$N$63</f>
        <v>-2.0737964639725884E-5</v>
      </c>
      <c r="O28" s="32">
        <f>'TUSD BE'!$O$28*'TUSD BE'!$O$63</f>
        <v>0</v>
      </c>
      <c r="P28" s="32">
        <f>'TUSD BE'!$P$28*'TUSD BE'!$P$63</f>
        <v>0</v>
      </c>
      <c r="Q28" s="32">
        <f>'TUSD BE'!$Q$28*'TUSD BE'!$Q$63</f>
        <v>0</v>
      </c>
      <c r="R28" s="32">
        <f>'TUSD BE'!$R$28*'TUSD BE'!$R$63</f>
        <v>0</v>
      </c>
      <c r="S28" s="32">
        <f>'TUSD BE'!$R$28*'TUSD BE'!$S$63</f>
        <v>0</v>
      </c>
      <c r="T28" s="32">
        <f ca="1">SUM($L$28:$S$28)</f>
        <v>1.2632498640462592E-2</v>
      </c>
      <c r="U28" s="32">
        <f>'TUSD BE'!$U$28*'TUSD BE'!$U$63</f>
        <v>1.4888104306566836</v>
      </c>
      <c r="V28" s="32">
        <f>'TUSD BE'!$V$28*'TUSD BE'!$V$63</f>
        <v>0.3978872298292413</v>
      </c>
      <c r="W28" s="32">
        <f>'TUSD BE'!$W$28*'TUSD BE'!$W$63</f>
        <v>-1.2343364396414239E-2</v>
      </c>
      <c r="X28" s="32">
        <f>'TUSD BE'!$X$28*'TUSD BE'!$X$63</f>
        <v>0</v>
      </c>
      <c r="Y28" s="32">
        <f>'TUSD BE'!$Y$28*'TUSD BE'!$Y$63</f>
        <v>-8.6619122166856674E-2</v>
      </c>
      <c r="Z28" s="32">
        <f>'TUSD BE'!$Z$28*'TUSD BE'!$Z$63</f>
        <v>0</v>
      </c>
      <c r="AA28" s="32">
        <f>'TUSD BE'!$AA$28*'TUSD BE'!$AA$63</f>
        <v>0</v>
      </c>
      <c r="AB28" s="32">
        <f>SUM($U$28:$AA$28)</f>
        <v>1.7877351739226541</v>
      </c>
      <c r="AC28" s="32">
        <f>'TUSD BE'!$AC$28*'TUSD BE'!$AC$63</f>
        <v>-0.71505228632512796</v>
      </c>
      <c r="AD28" s="32">
        <f>SUM($AC$28:$AC$28)</f>
        <v>-0.71505228632512796</v>
      </c>
      <c r="AE28" s="32">
        <f ca="1">$AO$28*$AO$60</f>
        <v>0</v>
      </c>
      <c r="AF28" s="32">
        <f ca="1">$AP$28*$AP$60</f>
        <v>0</v>
      </c>
      <c r="AG28" s="32">
        <f ca="1">SUM($AE$28:$AF$28)</f>
        <v>0</v>
      </c>
      <c r="AH28" s="32">
        <f>'TUSD BE'!$AH$28*'TUSD BE'!$AH$63</f>
        <v>-4.1969410607971929</v>
      </c>
      <c r="AI28" s="32">
        <f>'TUSD BE'!$AI$28*'TUSD BE'!$AI$63</f>
        <v>-0.30222889650438173</v>
      </c>
      <c r="AJ28" s="32">
        <f ca="1">'TUSD BE'!$AJ$28*'TUSD BE'!$AJ$63</f>
        <v>-10.380991275750787</v>
      </c>
      <c r="AK28" s="32">
        <f ca="1">'TUSD BE'!$AK$28*'TUSD BE'!$AK$63</f>
        <v>4.7840223401596154</v>
      </c>
      <c r="AL28" s="32">
        <f ca="1">SUM($AH$28:$AK$28)</f>
        <v>-10.096138892892746</v>
      </c>
      <c r="AM28" s="32">
        <f ca="1">SUMIF($L$4:$AL$4,"SUBTOTAL",$L$28:$AL$28)</f>
        <v>-9.0108235066547575</v>
      </c>
      <c r="AO28" s="37">
        <f ca="1">+'TUSD BE'!$T$28+'TUSD BE'!$AB$28+'TUSD BE'!$AD$28+'TUSD BE'!$AL$28</f>
        <v>449.26647779627018</v>
      </c>
      <c r="AP28" s="37">
        <f ca="1">+'TUSD BE'!$T$28+'TUSD BE'!$AB$28+'TUSD BE'!$AD$28+'TUSD BE'!$AL$28</f>
        <v>449.26647779627018</v>
      </c>
    </row>
    <row r="29" spans="1:42" ht="11.25" customHeight="1" x14ac:dyDescent="0.25">
      <c r="A29" s="124"/>
      <c r="B29" s="124"/>
      <c r="C29" s="124"/>
      <c r="D29" s="35" t="s">
        <v>34</v>
      </c>
      <c r="E29" s="35" t="s">
        <v>25</v>
      </c>
      <c r="F29" s="35" t="s">
        <v>25</v>
      </c>
      <c r="G29" s="28" t="s">
        <v>92</v>
      </c>
      <c r="H29" s="28" t="s">
        <v>86</v>
      </c>
      <c r="I29" s="28">
        <f>'MERCADO TUSD'!$U$26</f>
        <v>77490.793999999994</v>
      </c>
      <c r="J29" s="18"/>
      <c r="L29" s="32">
        <f>'TUSD BE'!$L$29*'TUSD BE'!$L$63</f>
        <v>0</v>
      </c>
      <c r="M29" s="32">
        <f>'TUSD BE'!$M$29*'TUSD BE'!$M$63</f>
        <v>1.2653236605102317E-2</v>
      </c>
      <c r="N29" s="32">
        <f ca="1">'TUSD BE'!$N$29*'TUSD BE'!$N$63</f>
        <v>-2.0737964639725884E-5</v>
      </c>
      <c r="O29" s="32">
        <f>'TUSD BE'!$O$29*'TUSD BE'!$O$63</f>
        <v>0</v>
      </c>
      <c r="P29" s="32">
        <f>'TUSD BE'!$P$29*'TUSD BE'!$P$63</f>
        <v>0</v>
      </c>
      <c r="Q29" s="32">
        <f>'TUSD BE'!$Q$29*'TUSD BE'!$Q$63</f>
        <v>0</v>
      </c>
      <c r="R29" s="32">
        <f>'TUSD BE'!$R$29*'TUSD BE'!$R$63</f>
        <v>0</v>
      </c>
      <c r="S29" s="32">
        <f>'TUSD BE'!$R$29*'TUSD BE'!$S$63</f>
        <v>0</v>
      </c>
      <c r="T29" s="32">
        <f ca="1">SUM($L$29:$S$29)</f>
        <v>1.2632498640462592E-2</v>
      </c>
      <c r="U29" s="32">
        <f>'TUSD BE'!$U$29*'TUSD BE'!$U$63</f>
        <v>1.4888104306566836</v>
      </c>
      <c r="V29" s="32">
        <f>'TUSD BE'!$V$29*'TUSD BE'!$V$63</f>
        <v>0.3978872298292413</v>
      </c>
      <c r="W29" s="32">
        <f>'TUSD BE'!$W$29*'TUSD BE'!$W$63</f>
        <v>-1.2343364396414239E-2</v>
      </c>
      <c r="X29" s="32">
        <f>'TUSD BE'!$X$29*'TUSD BE'!$X$63</f>
        <v>0</v>
      </c>
      <c r="Y29" s="32">
        <f>'TUSD BE'!$Y$29*'TUSD BE'!$Y$63</f>
        <v>-8.6619122166856674E-2</v>
      </c>
      <c r="Z29" s="32">
        <f>'TUSD BE'!$Z$29*'TUSD BE'!$Z$63</f>
        <v>0</v>
      </c>
      <c r="AA29" s="32">
        <f>'TUSD BE'!$AA$29*'TUSD BE'!$AA$63</f>
        <v>0</v>
      </c>
      <c r="AB29" s="32">
        <f>SUM($U$29:$AA$29)</f>
        <v>1.7877351739226541</v>
      </c>
      <c r="AC29" s="32">
        <f>'TUSD BE'!$AC$29*'TUSD BE'!$AC$63</f>
        <v>-0.71505228632512796</v>
      </c>
      <c r="AD29" s="32">
        <f>SUM($AC$29:$AC$29)</f>
        <v>-0.71505228632512796</v>
      </c>
      <c r="AE29" s="32">
        <f ca="1">$AO$29*$AO$60</f>
        <v>0</v>
      </c>
      <c r="AF29" s="32">
        <f ca="1">$AP$29*$AP$60</f>
        <v>0</v>
      </c>
      <c r="AG29" s="32">
        <f ca="1">SUM($AE$29:$AF$29)</f>
        <v>0</v>
      </c>
      <c r="AH29" s="32">
        <f>'TUSD BE'!$AH$29*'TUSD BE'!$AH$63</f>
        <v>-4.1969410607971929</v>
      </c>
      <c r="AI29" s="32">
        <f>'TUSD BE'!$AI$29*'TUSD BE'!$AI$63</f>
        <v>-0.30222889650438173</v>
      </c>
      <c r="AJ29" s="32">
        <f ca="1">'TUSD BE'!$AJ$29*'TUSD BE'!$AJ$63</f>
        <v>-10.380991275750787</v>
      </c>
      <c r="AK29" s="32">
        <f ca="1">'TUSD BE'!$AK$29*'TUSD BE'!$AK$63</f>
        <v>4.7840223401596154</v>
      </c>
      <c r="AL29" s="32">
        <f ca="1">SUM($AH$29:$AK$29)</f>
        <v>-10.096138892892746</v>
      </c>
      <c r="AM29" s="32">
        <f ca="1">SUMIF($L$4:$AL$4,"SUBTOTAL",$L$29:$AL$29)</f>
        <v>-9.0108235066547575</v>
      </c>
      <c r="AO29" s="37">
        <f ca="1">+'TUSD BE'!$T$29+'TUSD BE'!$AB$29+'TUSD BE'!$AD$29+'TUSD BE'!$AL$29</f>
        <v>449.26647779627018</v>
      </c>
      <c r="AP29" s="37">
        <f ca="1">+'TUSD BE'!$T$29+'TUSD BE'!$AB$29+'TUSD BE'!$AD$29+'TUSD BE'!$AL$29</f>
        <v>449.26647779627018</v>
      </c>
    </row>
    <row r="30" spans="1:42" ht="11.25" customHeight="1" x14ac:dyDescent="0.25">
      <c r="A30" s="124"/>
      <c r="B30" s="124" t="s">
        <v>100</v>
      </c>
      <c r="C30" s="124" t="s">
        <v>24</v>
      </c>
      <c r="D30" s="35" t="s">
        <v>24</v>
      </c>
      <c r="E30" s="35" t="s">
        <v>25</v>
      </c>
      <c r="F30" s="35" t="s">
        <v>25</v>
      </c>
      <c r="G30" s="28" t="s">
        <v>92</v>
      </c>
      <c r="H30" s="28" t="s">
        <v>86</v>
      </c>
      <c r="I30" s="28">
        <f>'MERCADO TUSD'!$U$27</f>
        <v>0</v>
      </c>
      <c r="J30" s="18"/>
      <c r="L30" s="32">
        <f>'TUSD BE'!$L$30*'TUSD BE'!$L$63</f>
        <v>0</v>
      </c>
      <c r="M30" s="32">
        <f>'TUSD BE'!$M$30*'TUSD BE'!$M$63</f>
        <v>1.2653236605102317E-2</v>
      </c>
      <c r="N30" s="32">
        <f ca="1">'TUSD BE'!$N$30*'TUSD BE'!$N$63</f>
        <v>-2.0774009777205824E-5</v>
      </c>
      <c r="O30" s="32">
        <f>'TUSD BE'!$O$30*'TUSD BE'!$O$63</f>
        <v>0</v>
      </c>
      <c r="P30" s="32">
        <f>'TUSD BE'!$P$30*'TUSD BE'!$P$63</f>
        <v>0</v>
      </c>
      <c r="Q30" s="32">
        <f>'TUSD BE'!$Q$30*'TUSD BE'!$Q$63</f>
        <v>-0.56691440809168159</v>
      </c>
      <c r="R30" s="32">
        <f>'TUSD BE'!$R$30*'TUSD BE'!$R$63</f>
        <v>0.30970347426938061</v>
      </c>
      <c r="S30" s="32">
        <f>'TUSD BE'!$R$30*'TUSD BE'!$S$63</f>
        <v>0</v>
      </c>
      <c r="T30" s="32">
        <f ca="1">SUM($L$30:$S$30)</f>
        <v>-0.24457847122697585</v>
      </c>
      <c r="U30" s="32">
        <f>'TUSD BE'!$U$30*'TUSD BE'!$U$63</f>
        <v>1.4888104306566836</v>
      </c>
      <c r="V30" s="32">
        <f>'TUSD BE'!$V$30*'TUSD BE'!$V$63</f>
        <v>0.3978872298292413</v>
      </c>
      <c r="W30" s="32">
        <f>'TUSD BE'!$W$30*'TUSD BE'!$W$63</f>
        <v>-1.2343364396414239E-2</v>
      </c>
      <c r="X30" s="32">
        <f>'TUSD BE'!$X$30*'TUSD BE'!$X$63</f>
        <v>0</v>
      </c>
      <c r="Y30" s="32">
        <f>'TUSD BE'!$Y$30*'TUSD BE'!$Y$63</f>
        <v>-8.6619122166856674E-2</v>
      </c>
      <c r="Z30" s="32">
        <f>'TUSD BE'!$Z$30*'TUSD BE'!$Z$63</f>
        <v>0</v>
      </c>
      <c r="AA30" s="32">
        <f>'TUSD BE'!$AA$30*'TUSD BE'!$AA$63</f>
        <v>0</v>
      </c>
      <c r="AB30" s="32">
        <f>SUM($U$30:$AA$30)</f>
        <v>1.7877351739226541</v>
      </c>
      <c r="AC30" s="32">
        <f>'TUSD BE'!$AC$30*'TUSD BE'!$AC$63</f>
        <v>-0.71505228632512796</v>
      </c>
      <c r="AD30" s="32">
        <f>SUM($AC$30:$AC$30)</f>
        <v>-0.71505228632512796</v>
      </c>
      <c r="AE30" s="32">
        <f ca="1">$AO$30*$AO$60</f>
        <v>0</v>
      </c>
      <c r="AF30" s="32">
        <f ca="1">$AP$30*$AP$60</f>
        <v>0</v>
      </c>
      <c r="AG30" s="32">
        <f ca="1">SUM($AE$30:$AF$30)</f>
        <v>0</v>
      </c>
      <c r="AH30" s="32">
        <f>'TUSD BE'!$AH$30*'TUSD BE'!$AH$63</f>
        <v>-4.1969410607971929</v>
      </c>
      <c r="AI30" s="32">
        <f>'TUSD BE'!$AI$30*'TUSD BE'!$AI$63</f>
        <v>-0.30222889650438173</v>
      </c>
      <c r="AJ30" s="32">
        <f ca="1">'TUSD BE'!$AJ$30*'TUSD BE'!$AJ$63</f>
        <v>-10.380991275750787</v>
      </c>
      <c r="AK30" s="32">
        <f ca="1">'TUSD BE'!$AK$30*'TUSD BE'!$AK$63</f>
        <v>4.7840223401596154</v>
      </c>
      <c r="AL30" s="32">
        <f ca="1">SUM($AH$30:$AK$30)</f>
        <v>-10.096138892892746</v>
      </c>
      <c r="AM30" s="32">
        <f ca="1">SUMIF($L$4:$AL$4,"SUBTOTAL",$L$30:$AL$30)</f>
        <v>-9.268034476522196</v>
      </c>
      <c r="AO30" s="37">
        <f ca="1">+'TUSD BE'!$T$30+'TUSD BE'!$AB$30+'TUSD BE'!$AD$30+'TUSD BE'!$AL$30</f>
        <v>496.55049493364771</v>
      </c>
      <c r="AP30" s="37">
        <f ca="1">+'TUSD BE'!$T$30+'TUSD BE'!$AB$30+'TUSD BE'!$AD$30+'TUSD BE'!$AL$30</f>
        <v>496.55049493364771</v>
      </c>
    </row>
    <row r="31" spans="1:42" ht="11.25" customHeight="1" x14ac:dyDescent="0.25">
      <c r="A31" s="124"/>
      <c r="B31" s="124"/>
      <c r="C31" s="124"/>
      <c r="D31" s="35" t="s">
        <v>31</v>
      </c>
      <c r="E31" s="35" t="s">
        <v>25</v>
      </c>
      <c r="F31" s="35" t="s">
        <v>25</v>
      </c>
      <c r="G31" s="28" t="s">
        <v>92</v>
      </c>
      <c r="H31" s="28" t="s">
        <v>86</v>
      </c>
      <c r="I31" s="28">
        <f>'MERCADO TUSD'!$U$28</f>
        <v>0</v>
      </c>
      <c r="J31" s="18"/>
      <c r="L31" s="32">
        <f>'TUSD BE'!$L$31*'TUSD BE'!$L$63</f>
        <v>0</v>
      </c>
      <c r="M31" s="32">
        <f>'TUSD BE'!$M$31*'TUSD BE'!$M$63</f>
        <v>1.2653236605102317E-2</v>
      </c>
      <c r="N31" s="32">
        <f ca="1">'TUSD BE'!$N$31*'TUSD BE'!$N$63</f>
        <v>-2.0737964639725884E-5</v>
      </c>
      <c r="O31" s="32">
        <f>'TUSD BE'!$O$31*'TUSD BE'!$O$63</f>
        <v>0</v>
      </c>
      <c r="P31" s="32">
        <f>'TUSD BE'!$P$31*'TUSD BE'!$P$63</f>
        <v>0</v>
      </c>
      <c r="Q31" s="32">
        <f>'TUSD BE'!$Q$31*'TUSD BE'!$Q$63</f>
        <v>0</v>
      </c>
      <c r="R31" s="32">
        <f>'TUSD BE'!$R$31*'TUSD BE'!$R$63</f>
        <v>0</v>
      </c>
      <c r="S31" s="32">
        <f>'TUSD BE'!$R$31*'TUSD BE'!$S$63</f>
        <v>0</v>
      </c>
      <c r="T31" s="32">
        <f ca="1">SUM($L$31:$S$31)</f>
        <v>1.2632498640462592E-2</v>
      </c>
      <c r="U31" s="32">
        <f>'TUSD BE'!$U$31*'TUSD BE'!$U$63</f>
        <v>1.4888104306566836</v>
      </c>
      <c r="V31" s="32">
        <f>'TUSD BE'!$V$31*'TUSD BE'!$V$63</f>
        <v>0.3978872298292413</v>
      </c>
      <c r="W31" s="32">
        <f>'TUSD BE'!$W$31*'TUSD BE'!$W$63</f>
        <v>-1.2343364396414239E-2</v>
      </c>
      <c r="X31" s="32">
        <f>'TUSD BE'!$X$31*'TUSD BE'!$X$63</f>
        <v>0</v>
      </c>
      <c r="Y31" s="32">
        <f>'TUSD BE'!$Y$31*'TUSD BE'!$Y$63</f>
        <v>-8.6619122166856674E-2</v>
      </c>
      <c r="Z31" s="32">
        <f>'TUSD BE'!$Z$31*'TUSD BE'!$Z$63</f>
        <v>0</v>
      </c>
      <c r="AA31" s="32">
        <f>'TUSD BE'!$AA$31*'TUSD BE'!$AA$63</f>
        <v>0</v>
      </c>
      <c r="AB31" s="32">
        <f>SUM($U$31:$AA$31)</f>
        <v>1.7877351739226541</v>
      </c>
      <c r="AC31" s="32">
        <f>'TUSD BE'!$AC$31*'TUSD BE'!$AC$63</f>
        <v>-0.71505228632512796</v>
      </c>
      <c r="AD31" s="32">
        <f>SUM($AC$31:$AC$31)</f>
        <v>-0.71505228632512796</v>
      </c>
      <c r="AE31" s="32">
        <f ca="1">$AO$31*$AO$60</f>
        <v>0</v>
      </c>
      <c r="AF31" s="32">
        <f ca="1">$AP$31*$AP$60</f>
        <v>0</v>
      </c>
      <c r="AG31" s="32">
        <f ca="1">SUM($AE$31:$AF$31)</f>
        <v>0</v>
      </c>
      <c r="AH31" s="32">
        <f>'TUSD BE'!$AH$31*'TUSD BE'!$AH$63</f>
        <v>-4.1969410607971929</v>
      </c>
      <c r="AI31" s="32">
        <f>'TUSD BE'!$AI$31*'TUSD BE'!$AI$63</f>
        <v>-0.30222889650438173</v>
      </c>
      <c r="AJ31" s="32">
        <f ca="1">'TUSD BE'!$AJ$31*'TUSD BE'!$AJ$63</f>
        <v>-10.380991275750787</v>
      </c>
      <c r="AK31" s="32">
        <f ca="1">'TUSD BE'!$AK$31*'TUSD BE'!$AK$63</f>
        <v>4.7840223401596154</v>
      </c>
      <c r="AL31" s="32">
        <f ca="1">SUM($AH$31:$AK$31)</f>
        <v>-10.096138892892746</v>
      </c>
      <c r="AM31" s="32">
        <f ca="1">SUMIF($L$4:$AL$4,"SUBTOTAL",$L$31:$AL$31)</f>
        <v>-9.0108235066547575</v>
      </c>
      <c r="AO31" s="37">
        <f ca="1">+'TUSD BE'!$T$31+'TUSD BE'!$AB$31+'TUSD BE'!$AD$31+'TUSD BE'!$AL$31</f>
        <v>449.26647779627018</v>
      </c>
      <c r="AP31" s="37">
        <f ca="1">+'TUSD BE'!$T$31+'TUSD BE'!$AB$31+'TUSD BE'!$AD$31+'TUSD BE'!$AL$31</f>
        <v>449.26647779627018</v>
      </c>
    </row>
    <row r="32" spans="1:42" ht="11.25" customHeight="1" x14ac:dyDescent="0.25">
      <c r="A32" s="124"/>
      <c r="B32" s="124"/>
      <c r="C32" s="124"/>
      <c r="D32" s="35" t="s">
        <v>32</v>
      </c>
      <c r="E32" s="35" t="s">
        <v>25</v>
      </c>
      <c r="F32" s="35" t="s">
        <v>25</v>
      </c>
      <c r="G32" s="28" t="s">
        <v>92</v>
      </c>
      <c r="H32" s="28" t="s">
        <v>86</v>
      </c>
      <c r="I32" s="28">
        <f>'MERCADO TUSD'!$U$29</f>
        <v>0</v>
      </c>
      <c r="J32" s="18"/>
      <c r="L32" s="32">
        <f>'TUSD BE'!$L$32*'TUSD BE'!$L$63</f>
        <v>0</v>
      </c>
      <c r="M32" s="32">
        <f>'TUSD BE'!$M$32*'TUSD BE'!$M$63</f>
        <v>1.2653236605102317E-2</v>
      </c>
      <c r="N32" s="32">
        <f ca="1">'TUSD BE'!$N$32*'TUSD BE'!$N$63</f>
        <v>-2.0737964639725884E-5</v>
      </c>
      <c r="O32" s="32">
        <f>'TUSD BE'!$O$32*'TUSD BE'!$O$63</f>
        <v>0</v>
      </c>
      <c r="P32" s="32">
        <f>'TUSD BE'!$P$32*'TUSD BE'!$P$63</f>
        <v>0</v>
      </c>
      <c r="Q32" s="32">
        <f>'TUSD BE'!$Q$32*'TUSD BE'!$Q$63</f>
        <v>0</v>
      </c>
      <c r="R32" s="32">
        <f>'TUSD BE'!$R$32*'TUSD BE'!$R$63</f>
        <v>0</v>
      </c>
      <c r="S32" s="32">
        <f>'TUSD BE'!$R$32*'TUSD BE'!$S$63</f>
        <v>0</v>
      </c>
      <c r="T32" s="32">
        <f ca="1">SUM($L$32:$S$32)</f>
        <v>1.2632498640462592E-2</v>
      </c>
      <c r="U32" s="32">
        <f>'TUSD BE'!$U$32*'TUSD BE'!$U$63</f>
        <v>1.4888104306566836</v>
      </c>
      <c r="V32" s="32">
        <f>'TUSD BE'!$V$32*'TUSD BE'!$V$63</f>
        <v>0.3978872298292413</v>
      </c>
      <c r="W32" s="32">
        <f>'TUSD BE'!$W$32*'TUSD BE'!$W$63</f>
        <v>-1.2343364396414239E-2</v>
      </c>
      <c r="X32" s="32">
        <f>'TUSD BE'!$X$32*'TUSD BE'!$X$63</f>
        <v>0</v>
      </c>
      <c r="Y32" s="32">
        <f>'TUSD BE'!$Y$32*'TUSD BE'!$Y$63</f>
        <v>-8.6619122166856674E-2</v>
      </c>
      <c r="Z32" s="32">
        <f>'TUSD BE'!$Z$32*'TUSD BE'!$Z$63</f>
        <v>0</v>
      </c>
      <c r="AA32" s="32">
        <f>'TUSD BE'!$AA$32*'TUSD BE'!$AA$63</f>
        <v>0</v>
      </c>
      <c r="AB32" s="32">
        <f>SUM($U$32:$AA$32)</f>
        <v>1.7877351739226541</v>
      </c>
      <c r="AC32" s="32">
        <f>'TUSD BE'!$AC$32*'TUSD BE'!$AC$63</f>
        <v>-0.71505228632512796</v>
      </c>
      <c r="AD32" s="32">
        <f>SUM($AC$32:$AC$32)</f>
        <v>-0.71505228632512796</v>
      </c>
      <c r="AE32" s="32">
        <f ca="1">$AO$32*$AO$60</f>
        <v>0</v>
      </c>
      <c r="AF32" s="32">
        <f ca="1">$AP$32*$AP$60</f>
        <v>0</v>
      </c>
      <c r="AG32" s="32">
        <f ca="1">SUM($AE$32:$AF$32)</f>
        <v>0</v>
      </c>
      <c r="AH32" s="32">
        <f>'TUSD BE'!$AH$32*'TUSD BE'!$AH$63</f>
        <v>-4.1969410607971929</v>
      </c>
      <c r="AI32" s="32">
        <f>'TUSD BE'!$AI$32*'TUSD BE'!$AI$63</f>
        <v>-0.30222889650438173</v>
      </c>
      <c r="AJ32" s="32">
        <f ca="1">'TUSD BE'!$AJ$32*'TUSD BE'!$AJ$63</f>
        <v>-10.380991275750787</v>
      </c>
      <c r="AK32" s="32">
        <f ca="1">'TUSD BE'!$AK$32*'TUSD BE'!$AK$63</f>
        <v>4.7840223401596154</v>
      </c>
      <c r="AL32" s="32">
        <f ca="1">SUM($AH$32:$AK$32)</f>
        <v>-10.096138892892746</v>
      </c>
      <c r="AM32" s="32">
        <f ca="1">SUMIF($L$4:$AL$4,"SUBTOTAL",$L$32:$AL$32)</f>
        <v>-9.0108235066547575</v>
      </c>
      <c r="AO32" s="37">
        <f ca="1">+'TUSD BE'!$T$32+'TUSD BE'!$AB$32+'TUSD BE'!$AD$32+'TUSD BE'!$AL$32</f>
        <v>449.26647779627018</v>
      </c>
      <c r="AP32" s="37">
        <f ca="1">+'TUSD BE'!$T$32+'TUSD BE'!$AB$32+'TUSD BE'!$AD$32+'TUSD BE'!$AL$32</f>
        <v>449.26647779627018</v>
      </c>
    </row>
    <row r="33" spans="1:42" ht="11.25" customHeight="1" x14ac:dyDescent="0.25">
      <c r="A33" s="124"/>
      <c r="B33" s="124"/>
      <c r="C33" s="124"/>
      <c r="D33" s="35" t="s">
        <v>33</v>
      </c>
      <c r="E33" s="35" t="s">
        <v>25</v>
      </c>
      <c r="F33" s="35" t="s">
        <v>25</v>
      </c>
      <c r="G33" s="28" t="s">
        <v>92</v>
      </c>
      <c r="H33" s="28" t="s">
        <v>86</v>
      </c>
      <c r="I33" s="28">
        <f>'MERCADO TUSD'!$U$30</f>
        <v>0</v>
      </c>
      <c r="J33" s="18"/>
      <c r="L33" s="32">
        <f>'TUSD BE'!$L$33*'TUSD BE'!$L$63</f>
        <v>0</v>
      </c>
      <c r="M33" s="32">
        <f>'TUSD BE'!$M$33*'TUSD BE'!$M$63</f>
        <v>1.2653236605102317E-2</v>
      </c>
      <c r="N33" s="32">
        <f ca="1">'TUSD BE'!$N$33*'TUSD BE'!$N$63</f>
        <v>-2.0737964639725884E-5</v>
      </c>
      <c r="O33" s="32">
        <f>'TUSD BE'!$O$33*'TUSD BE'!$O$63</f>
        <v>0</v>
      </c>
      <c r="P33" s="32">
        <f>'TUSD BE'!$P$33*'TUSD BE'!$P$63</f>
        <v>0</v>
      </c>
      <c r="Q33" s="32">
        <f>'TUSD BE'!$Q$33*'TUSD BE'!$Q$63</f>
        <v>0</v>
      </c>
      <c r="R33" s="32">
        <f>'TUSD BE'!$R$33*'TUSD BE'!$R$63</f>
        <v>0</v>
      </c>
      <c r="S33" s="32">
        <f>'TUSD BE'!$R$33*'TUSD BE'!$S$63</f>
        <v>0</v>
      </c>
      <c r="T33" s="32">
        <f ca="1">SUM($L$33:$S$33)</f>
        <v>1.2632498640462592E-2</v>
      </c>
      <c r="U33" s="32">
        <f>'TUSD BE'!$U$33*'TUSD BE'!$U$63</f>
        <v>1.4888104306566836</v>
      </c>
      <c r="V33" s="32">
        <f>'TUSD BE'!$V$33*'TUSD BE'!$V$63</f>
        <v>0.3978872298292413</v>
      </c>
      <c r="W33" s="32">
        <f>'TUSD BE'!$W$33*'TUSD BE'!$W$63</f>
        <v>-1.2343364396414239E-2</v>
      </c>
      <c r="X33" s="32">
        <f>'TUSD BE'!$X$33*'TUSD BE'!$X$63</f>
        <v>0</v>
      </c>
      <c r="Y33" s="32">
        <f>'TUSD BE'!$Y$33*'TUSD BE'!$Y$63</f>
        <v>-8.6619122166856674E-2</v>
      </c>
      <c r="Z33" s="32">
        <f>'TUSD BE'!$Z$33*'TUSD BE'!$Z$63</f>
        <v>0</v>
      </c>
      <c r="AA33" s="32">
        <f>'TUSD BE'!$AA$33*'TUSD BE'!$AA$63</f>
        <v>0</v>
      </c>
      <c r="AB33" s="32">
        <f>SUM($U$33:$AA$33)</f>
        <v>1.7877351739226541</v>
      </c>
      <c r="AC33" s="32">
        <f>'TUSD BE'!$AC$33*'TUSD BE'!$AC$63</f>
        <v>-0.71505228632512796</v>
      </c>
      <c r="AD33" s="32">
        <f>SUM($AC$33:$AC$33)</f>
        <v>-0.71505228632512796</v>
      </c>
      <c r="AE33" s="32">
        <f ca="1">$AO$33*$AO$60</f>
        <v>0</v>
      </c>
      <c r="AF33" s="32">
        <f ca="1">$AP$33*$AP$60</f>
        <v>0</v>
      </c>
      <c r="AG33" s="32">
        <f ca="1">SUM($AE$33:$AF$33)</f>
        <v>0</v>
      </c>
      <c r="AH33" s="32">
        <f>'TUSD BE'!$AH$33*'TUSD BE'!$AH$63</f>
        <v>-4.1969410607971929</v>
      </c>
      <c r="AI33" s="32">
        <f>'TUSD BE'!$AI$33*'TUSD BE'!$AI$63</f>
        <v>-0.30222889650438173</v>
      </c>
      <c r="AJ33" s="32">
        <f ca="1">'TUSD BE'!$AJ$33*'TUSD BE'!$AJ$63</f>
        <v>-10.380991275750787</v>
      </c>
      <c r="AK33" s="32">
        <f ca="1">'TUSD BE'!$AK$33*'TUSD BE'!$AK$63</f>
        <v>4.7840223401596154</v>
      </c>
      <c r="AL33" s="32">
        <f ca="1">SUM($AH$33:$AK$33)</f>
        <v>-10.096138892892746</v>
      </c>
      <c r="AM33" s="32">
        <f ca="1">SUMIF($L$4:$AL$4,"SUBTOTAL",$L$33:$AL$33)</f>
        <v>-9.0108235066547575</v>
      </c>
      <c r="AO33" s="37">
        <f ca="1">+'TUSD BE'!$T$33+'TUSD BE'!$AB$33+'TUSD BE'!$AD$33+'TUSD BE'!$AL$33</f>
        <v>449.26647779627018</v>
      </c>
      <c r="AP33" s="37">
        <f ca="1">+'TUSD BE'!$T$33+'TUSD BE'!$AB$33+'TUSD BE'!$AD$33+'TUSD BE'!$AL$33</f>
        <v>449.26647779627018</v>
      </c>
    </row>
    <row r="34" spans="1:42" ht="11.25" customHeight="1" x14ac:dyDescent="0.25">
      <c r="A34" s="124"/>
      <c r="B34" s="124"/>
      <c r="C34" s="124"/>
      <c r="D34" s="35" t="s">
        <v>34</v>
      </c>
      <c r="E34" s="35" t="s">
        <v>25</v>
      </c>
      <c r="F34" s="35" t="s">
        <v>25</v>
      </c>
      <c r="G34" s="28" t="s">
        <v>92</v>
      </c>
      <c r="H34" s="28" t="s">
        <v>86</v>
      </c>
      <c r="I34" s="28">
        <f>'MERCADO TUSD'!$U$31</f>
        <v>0</v>
      </c>
      <c r="J34" s="18"/>
      <c r="L34" s="32">
        <f>'TUSD BE'!$L$34*'TUSD BE'!$L$63</f>
        <v>0</v>
      </c>
      <c r="M34" s="32">
        <f>'TUSD BE'!$M$34*'TUSD BE'!$M$63</f>
        <v>1.2653236605102317E-2</v>
      </c>
      <c r="N34" s="32">
        <f ca="1">'TUSD BE'!$N$34*'TUSD BE'!$N$63</f>
        <v>-2.0737964639725884E-5</v>
      </c>
      <c r="O34" s="32">
        <f>'TUSD BE'!$O$34*'TUSD BE'!$O$63</f>
        <v>0</v>
      </c>
      <c r="P34" s="32">
        <f>'TUSD BE'!$P$34*'TUSD BE'!$P$63</f>
        <v>0</v>
      </c>
      <c r="Q34" s="32">
        <f>'TUSD BE'!$Q$34*'TUSD BE'!$Q$63</f>
        <v>0</v>
      </c>
      <c r="R34" s="32">
        <f>'TUSD BE'!$R$34*'TUSD BE'!$R$63</f>
        <v>0</v>
      </c>
      <c r="S34" s="32">
        <f>'TUSD BE'!$R$34*'TUSD BE'!$S$63</f>
        <v>0</v>
      </c>
      <c r="T34" s="32">
        <f ca="1">SUM($L$34:$S$34)</f>
        <v>1.2632498640462592E-2</v>
      </c>
      <c r="U34" s="32">
        <f>'TUSD BE'!$U$34*'TUSD BE'!$U$63</f>
        <v>1.4888104306566836</v>
      </c>
      <c r="V34" s="32">
        <f>'TUSD BE'!$V$34*'TUSD BE'!$V$63</f>
        <v>0.3978872298292413</v>
      </c>
      <c r="W34" s="32">
        <f>'TUSD BE'!$W$34*'TUSD BE'!$W$63</f>
        <v>-1.2343364396414239E-2</v>
      </c>
      <c r="X34" s="32">
        <f>'TUSD BE'!$X$34*'TUSD BE'!$X$63</f>
        <v>0</v>
      </c>
      <c r="Y34" s="32">
        <f>'TUSD BE'!$Y$34*'TUSD BE'!$Y$63</f>
        <v>-8.6619122166856674E-2</v>
      </c>
      <c r="Z34" s="32">
        <f>'TUSD BE'!$Z$34*'TUSD BE'!$Z$63</f>
        <v>0</v>
      </c>
      <c r="AA34" s="32">
        <f>'TUSD BE'!$AA$34*'TUSD BE'!$AA$63</f>
        <v>0</v>
      </c>
      <c r="AB34" s="32">
        <f>SUM($U$34:$AA$34)</f>
        <v>1.7877351739226541</v>
      </c>
      <c r="AC34" s="32">
        <f>'TUSD BE'!$AC$34*'TUSD BE'!$AC$63</f>
        <v>-0.71505228632512796</v>
      </c>
      <c r="AD34" s="32">
        <f>SUM($AC$34:$AC$34)</f>
        <v>-0.71505228632512796</v>
      </c>
      <c r="AE34" s="32">
        <f ca="1">$AO$34*$AO$60</f>
        <v>0</v>
      </c>
      <c r="AF34" s="32">
        <f ca="1">$AP$34*$AP$60</f>
        <v>0</v>
      </c>
      <c r="AG34" s="32">
        <f ca="1">SUM($AE$34:$AF$34)</f>
        <v>0</v>
      </c>
      <c r="AH34" s="32">
        <f>'TUSD BE'!$AH$34*'TUSD BE'!$AH$63</f>
        <v>-4.1969410607971929</v>
      </c>
      <c r="AI34" s="32">
        <f>'TUSD BE'!$AI$34*'TUSD BE'!$AI$63</f>
        <v>-0.30222889650438173</v>
      </c>
      <c r="AJ34" s="32">
        <f ca="1">'TUSD BE'!$AJ$34*'TUSD BE'!$AJ$63</f>
        <v>-10.380991275750787</v>
      </c>
      <c r="AK34" s="32">
        <f ca="1">'TUSD BE'!$AK$34*'TUSD BE'!$AK$63</f>
        <v>4.7840223401596154</v>
      </c>
      <c r="AL34" s="32">
        <f ca="1">SUM($AH$34:$AK$34)</f>
        <v>-10.096138892892746</v>
      </c>
      <c r="AM34" s="32">
        <f ca="1">SUMIF($L$4:$AL$4,"SUBTOTAL",$L$34:$AL$34)</f>
        <v>-9.0108235066547575</v>
      </c>
      <c r="AO34" s="37">
        <f ca="1">+'TUSD BE'!$T$34+'TUSD BE'!$AB$34+'TUSD BE'!$AD$34+'TUSD BE'!$AL$34</f>
        <v>449.26647779627018</v>
      </c>
      <c r="AP34" s="37">
        <f ca="1">+'TUSD BE'!$T$34+'TUSD BE'!$AB$34+'TUSD BE'!$AD$34+'TUSD BE'!$AL$34</f>
        <v>449.26647779627018</v>
      </c>
    </row>
    <row r="35" spans="1:42" ht="11.25" customHeight="1" x14ac:dyDescent="0.25">
      <c r="A35" s="124" t="s">
        <v>46</v>
      </c>
      <c r="B35" s="124" t="s">
        <v>39</v>
      </c>
      <c r="C35" s="124" t="s">
        <v>47</v>
      </c>
      <c r="D35" s="124" t="s">
        <v>25</v>
      </c>
      <c r="E35" s="124" t="s">
        <v>25</v>
      </c>
      <c r="F35" s="124" t="s">
        <v>25</v>
      </c>
      <c r="G35" s="28" t="s">
        <v>87</v>
      </c>
      <c r="H35" s="28" t="s">
        <v>86</v>
      </c>
      <c r="I35" s="28">
        <f>'MERCADO TUSD'!$U$32</f>
        <v>0</v>
      </c>
      <c r="J35" s="18"/>
      <c r="L35" s="32">
        <f>'TUSD BE'!$L$35*'TUSD BE'!$L$63</f>
        <v>0</v>
      </c>
      <c r="M35" s="32">
        <f>'TUSD BE'!$M$35*'TUSD BE'!$M$63</f>
        <v>1.2653236605102317E-2</v>
      </c>
      <c r="N35" s="32">
        <f ca="1">'TUSD BE'!$N$35*'TUSD BE'!$N$63</f>
        <v>-4.032347937693735E-5</v>
      </c>
      <c r="O35" s="32">
        <f>'TUSD BE'!$O$35*'TUSD BE'!$O$63</f>
        <v>0</v>
      </c>
      <c r="P35" s="32">
        <f>'TUSD BE'!$P$35*'TUSD BE'!$P$63</f>
        <v>0</v>
      </c>
      <c r="Q35" s="32">
        <f>'TUSD BE'!$Q$35*'TUSD BE'!$Q$63</f>
        <v>-0.56691440809168159</v>
      </c>
      <c r="R35" s="32">
        <f>'TUSD BE'!$R$35*'TUSD BE'!$R$63</f>
        <v>0.30970347426938061</v>
      </c>
      <c r="S35" s="32">
        <f>'TUSD BE'!$R$35*'TUSD BE'!$S$63</f>
        <v>0</v>
      </c>
      <c r="T35" s="32">
        <f ca="1">SUM($L$35:$S$35)</f>
        <v>-0.24459802069657555</v>
      </c>
      <c r="U35" s="32">
        <f>'TUSD BE'!$U$35*'TUSD BE'!$U$63</f>
        <v>4.7641949364614282</v>
      </c>
      <c r="V35" s="32">
        <f>'TUSD BE'!$V$35*'TUSD BE'!$V$63</f>
        <v>1.2732475217372656</v>
      </c>
      <c r="W35" s="32">
        <f>'TUSD BE'!$W$35*'TUSD BE'!$W$63</f>
        <v>-3.9500140225430247E-2</v>
      </c>
      <c r="X35" s="32">
        <f>'TUSD BE'!$X$35*'TUSD BE'!$X$63</f>
        <v>0</v>
      </c>
      <c r="Y35" s="32">
        <f>'TUSD BE'!$Y$35*'TUSD BE'!$Y$63</f>
        <v>-0.27721333161007</v>
      </c>
      <c r="Z35" s="32">
        <f>'TUSD BE'!$Z$35*'TUSD BE'!$Z$63</f>
        <v>0</v>
      </c>
      <c r="AA35" s="32">
        <f>'TUSD BE'!$AA$35*'TUSD BE'!$AA$63</f>
        <v>0</v>
      </c>
      <c r="AB35" s="32">
        <f>SUM($U$35:$AA$35)</f>
        <v>5.720728986363194</v>
      </c>
      <c r="AC35" s="32">
        <f>'TUSD BE'!$AC$35*'TUSD BE'!$AC$63</f>
        <v>-2.2881669636800788</v>
      </c>
      <c r="AD35" s="32">
        <f>SUM($AC$35:$AC$35)</f>
        <v>-2.2881669636800788</v>
      </c>
      <c r="AE35" s="32">
        <f ca="1">$AO$35*$AO$60</f>
        <v>0</v>
      </c>
      <c r="AF35" s="32">
        <f ca="1">$AP$35*$AP$60</f>
        <v>0</v>
      </c>
      <c r="AG35" s="32">
        <f ca="1">SUM($AE$35:$AF$35)</f>
        <v>0</v>
      </c>
      <c r="AH35" s="32">
        <f>'TUSD BE'!$AH$35*'TUSD BE'!$AH$63</f>
        <v>-4.1969410607971929</v>
      </c>
      <c r="AI35" s="32">
        <f>'TUSD BE'!$AI$35*'TUSD BE'!$AI$63</f>
        <v>-0.30222889650438173</v>
      </c>
      <c r="AJ35" s="32">
        <f ca="1">'TUSD BE'!$AJ$35*'TUSD BE'!$AJ$63</f>
        <v>-10.380991275750787</v>
      </c>
      <c r="AK35" s="32">
        <f ca="1">'TUSD BE'!$AK$35*'TUSD BE'!$AK$63</f>
        <v>4.7840223401596154</v>
      </c>
      <c r="AL35" s="32">
        <f ca="1">SUM($AH$35:$AK$35)</f>
        <v>-10.096138892892746</v>
      </c>
      <c r="AM35" s="32">
        <f ca="1">SUMIF($L$4:$AL$4,"SUBTOTAL",$L$35:$AL$35)</f>
        <v>-6.9081748909062064</v>
      </c>
      <c r="AO35" s="37">
        <f ca="1">+'TUSD BE'!$T$35+'TUSD BE'!$AB$35+'TUSD BE'!$AD$35+'TUSD BE'!$AL$35</f>
        <v>1088.9583883463249</v>
      </c>
      <c r="AP35" s="37">
        <f ca="1">+'TUSD BE'!$T$35+'TUSD BE'!$AB$35+'TUSD BE'!$AD$35+'TUSD BE'!$AL$35</f>
        <v>1088.9583883463249</v>
      </c>
    </row>
    <row r="36" spans="1:42" ht="11.25" customHeight="1" x14ac:dyDescent="0.25">
      <c r="A36" s="124"/>
      <c r="B36" s="124"/>
      <c r="C36" s="124"/>
      <c r="D36" s="124"/>
      <c r="E36" s="124"/>
      <c r="F36" s="124"/>
      <c r="G36" s="28" t="s">
        <v>98</v>
      </c>
      <c r="H36" s="28" t="s">
        <v>86</v>
      </c>
      <c r="I36" s="28">
        <f>'MERCADO TUSD'!$U$33</f>
        <v>5.0000000000000001E-3</v>
      </c>
      <c r="J36" s="18"/>
      <c r="L36" s="32">
        <f>'TUSD BE'!$L$36*'TUSD BE'!$L$63</f>
        <v>0</v>
      </c>
      <c r="M36" s="32">
        <f>'TUSD BE'!$M$36*'TUSD BE'!$M$63</f>
        <v>1.2653236605102317E-2</v>
      </c>
      <c r="N36" s="32">
        <f ca="1">'TUSD BE'!$N$36*'TUSD BE'!$N$63</f>
        <v>-2.8949241601399148E-5</v>
      </c>
      <c r="O36" s="32">
        <f>'TUSD BE'!$O$36*'TUSD BE'!$O$63</f>
        <v>0</v>
      </c>
      <c r="P36" s="32">
        <f>'TUSD BE'!$P$36*'TUSD BE'!$P$63</f>
        <v>0</v>
      </c>
      <c r="Q36" s="32">
        <f>'TUSD BE'!$Q$36*'TUSD BE'!$Q$63</f>
        <v>-0.56691440809168159</v>
      </c>
      <c r="R36" s="32">
        <f>'TUSD BE'!$R$36*'TUSD BE'!$R$63</f>
        <v>0.30970347426938061</v>
      </c>
      <c r="S36" s="32">
        <f>'TUSD BE'!$R$36*'TUSD BE'!$S$63</f>
        <v>0</v>
      </c>
      <c r="T36" s="32">
        <f ca="1">SUM($L$36:$S$36)</f>
        <v>-0.24458664645880002</v>
      </c>
      <c r="U36" s="32">
        <f>'TUSD BE'!$U$36*'TUSD BE'!$U$63</f>
        <v>2.8585154035168174</v>
      </c>
      <c r="V36" s="32">
        <f>'TUSD BE'!$V$36*'TUSD BE'!$V$63</f>
        <v>0.76394851304235933</v>
      </c>
      <c r="W36" s="32">
        <f>'TUSD BE'!$W$36*'TUSD BE'!$W$63</f>
        <v>-2.3700771213710496E-2</v>
      </c>
      <c r="X36" s="32">
        <f>'TUSD BE'!$X$36*'TUSD BE'!$X$63</f>
        <v>0</v>
      </c>
      <c r="Y36" s="32">
        <f>'TUSD BE'!$Y$36*'TUSD BE'!$Y$63</f>
        <v>-0.166327998966042</v>
      </c>
      <c r="Z36" s="32">
        <f>'TUSD BE'!$Z$36*'TUSD BE'!$Z$63</f>
        <v>0</v>
      </c>
      <c r="AA36" s="32">
        <f>'TUSD BE'!$AA$36*'TUSD BE'!$AA$63</f>
        <v>0</v>
      </c>
      <c r="AB36" s="32">
        <f>SUM($U$36:$AA$36)</f>
        <v>3.432435146379424</v>
      </c>
      <c r="AC36" s="32">
        <f>'TUSD BE'!$AC$36*'TUSD BE'!$AC$63</f>
        <v>-1.3729002487201132</v>
      </c>
      <c r="AD36" s="32">
        <f>SUM($AC$36:$AC$36)</f>
        <v>-1.3729002487201132</v>
      </c>
      <c r="AE36" s="32">
        <f ca="1">$AO$36*$AO$60</f>
        <v>0</v>
      </c>
      <c r="AF36" s="32">
        <f ca="1">$AP$36*$AP$60</f>
        <v>0</v>
      </c>
      <c r="AG36" s="32">
        <f ca="1">SUM($AE$36:$AF$36)</f>
        <v>0</v>
      </c>
      <c r="AH36" s="32">
        <f>'TUSD BE'!$AH$36*'TUSD BE'!$AH$63</f>
        <v>-4.1969410607971929</v>
      </c>
      <c r="AI36" s="32">
        <f>'TUSD BE'!$AI$36*'TUSD BE'!$AI$63</f>
        <v>-0.30222889650438173</v>
      </c>
      <c r="AJ36" s="32">
        <f ca="1">'TUSD BE'!$AJ$36*'TUSD BE'!$AJ$63</f>
        <v>-10.380991275750787</v>
      </c>
      <c r="AK36" s="32">
        <f ca="1">'TUSD BE'!$AK$36*'TUSD BE'!$AK$63</f>
        <v>4.7840223401596154</v>
      </c>
      <c r="AL36" s="32">
        <f ca="1">SUM($AH$36:$AK$36)</f>
        <v>-10.096138892892746</v>
      </c>
      <c r="AM36" s="32">
        <f ca="1">SUMIF($L$4:$AL$4,"SUBTOTAL",$L$36:$AL$36)</f>
        <v>-8.2811906416922358</v>
      </c>
      <c r="AO36" s="37">
        <f ca="1">+'TUSD BE'!$T$36+'TUSD BE'!$AB$36+'TUSD BE'!$AD$36+'TUSD BE'!$AL$36</f>
        <v>744.28468843161818</v>
      </c>
      <c r="AP36" s="37">
        <f ca="1">+'TUSD BE'!$T$36+'TUSD BE'!$AB$36+'TUSD BE'!$AD$36+'TUSD BE'!$AL$36</f>
        <v>744.28468843161818</v>
      </c>
    </row>
    <row r="37" spans="1:42" ht="11.25" customHeight="1" x14ac:dyDescent="0.25">
      <c r="A37" s="124"/>
      <c r="B37" s="124"/>
      <c r="C37" s="124"/>
      <c r="D37" s="124"/>
      <c r="E37" s="124"/>
      <c r="F37" s="124"/>
      <c r="G37" s="28" t="s">
        <v>88</v>
      </c>
      <c r="H37" s="28" t="s">
        <v>86</v>
      </c>
      <c r="I37" s="28">
        <f>'MERCADO TUSD'!$U$34</f>
        <v>0.54600000000000004</v>
      </c>
      <c r="J37" s="18"/>
      <c r="L37" s="32">
        <f>'TUSD BE'!$L$37*'TUSD BE'!$L$63</f>
        <v>0</v>
      </c>
      <c r="M37" s="32">
        <f>'TUSD BE'!$M$37*'TUSD BE'!$M$63</f>
        <v>1.2653236605102317E-2</v>
      </c>
      <c r="N37" s="32">
        <f ca="1">'TUSD BE'!$N$37*'TUSD BE'!$N$63</f>
        <v>-1.7575007430374692E-5</v>
      </c>
      <c r="O37" s="32">
        <f>'TUSD BE'!$O$37*'TUSD BE'!$O$63</f>
        <v>0</v>
      </c>
      <c r="P37" s="32">
        <f>'TUSD BE'!$P$37*'TUSD BE'!$P$63</f>
        <v>0</v>
      </c>
      <c r="Q37" s="32">
        <f>'TUSD BE'!$Q$37*'TUSD BE'!$Q$63</f>
        <v>-0.56691440809168159</v>
      </c>
      <c r="R37" s="32">
        <f>'TUSD BE'!$R$37*'TUSD BE'!$R$63</f>
        <v>0.30970347426938061</v>
      </c>
      <c r="S37" s="32">
        <f>'TUSD BE'!$R$37*'TUSD BE'!$S$63</f>
        <v>0</v>
      </c>
      <c r="T37" s="32">
        <f ca="1">SUM($L$37:$S$37)</f>
        <v>-0.24457527222462905</v>
      </c>
      <c r="U37" s="32">
        <f>'TUSD BE'!$U$37*'TUSD BE'!$U$63</f>
        <v>0.95283976647230517</v>
      </c>
      <c r="V37" s="32">
        <f>'TUSD BE'!$V$37*'TUSD BE'!$V$63</f>
        <v>0.25464950434745315</v>
      </c>
      <c r="W37" s="32">
        <f>'TUSD BE'!$W$37*'TUSD BE'!$W$63</f>
        <v>-7.9014022019907454E-3</v>
      </c>
      <c r="X37" s="32">
        <f>'TUSD BE'!$X$37*'TUSD BE'!$X$63</f>
        <v>0</v>
      </c>
      <c r="Y37" s="32">
        <f>'TUSD BE'!$Y$37*'TUSD BE'!$Y$63</f>
        <v>-5.5442666322014E-2</v>
      </c>
      <c r="Z37" s="32">
        <f>'TUSD BE'!$Z$37*'TUSD BE'!$Z$63</f>
        <v>0</v>
      </c>
      <c r="AA37" s="32">
        <f>'TUSD BE'!$AA$37*'TUSD BE'!$AA$63</f>
        <v>0</v>
      </c>
      <c r="AB37" s="32">
        <f>SUM($U$37:$AA$37)</f>
        <v>1.1441452022957537</v>
      </c>
      <c r="AC37" s="32">
        <f>'TUSD BE'!$AC$37*'TUSD BE'!$AC$63</f>
        <v>-0.45763353376014804</v>
      </c>
      <c r="AD37" s="32">
        <f>SUM($AC$37:$AC$37)</f>
        <v>-0.45763353376014804</v>
      </c>
      <c r="AE37" s="32">
        <f ca="1">$AO$37*$AO$60</f>
        <v>0</v>
      </c>
      <c r="AF37" s="32">
        <f ca="1">$AP$37*$AP$60</f>
        <v>0</v>
      </c>
      <c r="AG37" s="32">
        <f ca="1">SUM($AE$37:$AF$37)</f>
        <v>0</v>
      </c>
      <c r="AH37" s="32">
        <f>'TUSD BE'!$AH$37*'TUSD BE'!$AH$63</f>
        <v>-4.1969410607971929</v>
      </c>
      <c r="AI37" s="32">
        <f>'TUSD BE'!$AI$37*'TUSD BE'!$AI$63</f>
        <v>-0.30222889650438173</v>
      </c>
      <c r="AJ37" s="32">
        <f ca="1">'TUSD BE'!$AJ$37*'TUSD BE'!$AJ$63</f>
        <v>-10.380991275750787</v>
      </c>
      <c r="AK37" s="32">
        <f ca="1">'TUSD BE'!$AK$37*'TUSD BE'!$AK$63</f>
        <v>4.7840223401596154</v>
      </c>
      <c r="AL37" s="32">
        <f ca="1">SUM($AH$37:$AK$37)</f>
        <v>-10.096138892892746</v>
      </c>
      <c r="AM37" s="32">
        <f ca="1">SUMIF($L$4:$AL$4,"SUBTOTAL",$L$37:$AL$37)</f>
        <v>-9.6542024965817692</v>
      </c>
      <c r="AO37" s="37">
        <f ca="1">+'TUSD BE'!$T$37+'TUSD BE'!$AB$37+'TUSD BE'!$AD$37+'TUSD BE'!$AL$37</f>
        <v>399.61108353544279</v>
      </c>
      <c r="AP37" s="37">
        <f ca="1">+'TUSD BE'!$T$37+'TUSD BE'!$AB$37+'TUSD BE'!$AD$37+'TUSD BE'!$AL$37</f>
        <v>399.61108353544279</v>
      </c>
    </row>
    <row r="38" spans="1:42" ht="11.25" customHeight="1" x14ac:dyDescent="0.25">
      <c r="A38" s="124"/>
      <c r="B38" s="35" t="s">
        <v>23</v>
      </c>
      <c r="C38" s="35" t="s">
        <v>47</v>
      </c>
      <c r="D38" s="35" t="s">
        <v>25</v>
      </c>
      <c r="E38" s="35" t="s">
        <v>25</v>
      </c>
      <c r="F38" s="35" t="s">
        <v>25</v>
      </c>
      <c r="G38" s="28" t="s">
        <v>92</v>
      </c>
      <c r="H38" s="28" t="s">
        <v>86</v>
      </c>
      <c r="I38" s="28">
        <f>'MERCADO TUSD'!$U$35</f>
        <v>64418.971000000005</v>
      </c>
      <c r="J38" s="18"/>
      <c r="L38" s="32">
        <f>'TUSD BE'!$L$38*'TUSD BE'!$L$63</f>
        <v>0</v>
      </c>
      <c r="M38" s="32">
        <f>'TUSD BE'!$M$38*'TUSD BE'!$M$63</f>
        <v>1.2653236605102317E-2</v>
      </c>
      <c r="N38" s="32">
        <f ca="1">'TUSD BE'!$N$38*'TUSD BE'!$N$63</f>
        <v>-2.0774009777205824E-5</v>
      </c>
      <c r="O38" s="32">
        <f>'TUSD BE'!$O$38*'TUSD BE'!$O$63</f>
        <v>0</v>
      </c>
      <c r="P38" s="32">
        <f>'TUSD BE'!$P$38*'TUSD BE'!$P$63</f>
        <v>0</v>
      </c>
      <c r="Q38" s="32">
        <f>'TUSD BE'!$Q$38*'TUSD BE'!$Q$63</f>
        <v>-0.56691440809168159</v>
      </c>
      <c r="R38" s="32">
        <f>'TUSD BE'!$R$38*'TUSD BE'!$R$63</f>
        <v>0.30970347426938061</v>
      </c>
      <c r="S38" s="32">
        <f>'TUSD BE'!$R$38*'TUSD BE'!$S$63</f>
        <v>0</v>
      </c>
      <c r="T38" s="32">
        <f ca="1">SUM($L$38:$S$38)</f>
        <v>-0.24457847122697585</v>
      </c>
      <c r="U38" s="32">
        <f>'TUSD BE'!$U$38*'TUSD BE'!$U$63</f>
        <v>1.4888104306566836</v>
      </c>
      <c r="V38" s="32">
        <f>'TUSD BE'!$V$38*'TUSD BE'!$V$63</f>
        <v>0.3978872298292413</v>
      </c>
      <c r="W38" s="32">
        <f>'TUSD BE'!$W$38*'TUSD BE'!$W$63</f>
        <v>-1.2343364396414239E-2</v>
      </c>
      <c r="X38" s="32">
        <f>'TUSD BE'!$X$38*'TUSD BE'!$X$63</f>
        <v>0</v>
      </c>
      <c r="Y38" s="32">
        <f>'TUSD BE'!$Y$38*'TUSD BE'!$Y$63</f>
        <v>-8.6619122166856674E-2</v>
      </c>
      <c r="Z38" s="32">
        <f>'TUSD BE'!$Z$38*'TUSD BE'!$Z$63</f>
        <v>0</v>
      </c>
      <c r="AA38" s="32">
        <f>'TUSD BE'!$AA$38*'TUSD BE'!$AA$63</f>
        <v>0</v>
      </c>
      <c r="AB38" s="32">
        <f>SUM($U$38:$AA$38)</f>
        <v>1.7877351739226541</v>
      </c>
      <c r="AC38" s="32">
        <f>'TUSD BE'!$AC$38*'TUSD BE'!$AC$63</f>
        <v>-0.71505228632512796</v>
      </c>
      <c r="AD38" s="32">
        <f>SUM($AC$38:$AC$38)</f>
        <v>-0.71505228632512796</v>
      </c>
      <c r="AE38" s="32">
        <f ca="1">$AO$38*$AO$60</f>
        <v>0</v>
      </c>
      <c r="AF38" s="32">
        <f ca="1">$AP$38*$AP$60</f>
        <v>0</v>
      </c>
      <c r="AG38" s="32">
        <f ca="1">SUM($AE$38:$AF$38)</f>
        <v>0</v>
      </c>
      <c r="AH38" s="32">
        <f>'TUSD BE'!$AH$38*'TUSD BE'!$AH$63</f>
        <v>-4.1969410607971929</v>
      </c>
      <c r="AI38" s="32">
        <f>'TUSD BE'!$AI$38*'TUSD BE'!$AI$63</f>
        <v>-0.30222889650438173</v>
      </c>
      <c r="AJ38" s="32">
        <f ca="1">'TUSD BE'!$AJ$38*'TUSD BE'!$AJ$63</f>
        <v>-10.380991275750787</v>
      </c>
      <c r="AK38" s="32">
        <f ca="1">'TUSD BE'!$AK$38*'TUSD BE'!$AK$63</f>
        <v>4.7840223401596154</v>
      </c>
      <c r="AL38" s="32">
        <f ca="1">SUM($AH$38:$AK$38)</f>
        <v>-10.096138892892746</v>
      </c>
      <c r="AM38" s="32">
        <f ca="1">SUMIF($L$4:$AL$4,"SUBTOTAL",$L$38:$AL$38)</f>
        <v>-9.268034476522196</v>
      </c>
      <c r="AO38" s="37">
        <f ca="1">+'TUSD BE'!$T$38+'TUSD BE'!$AB$38+'TUSD BE'!$AD$38+'TUSD BE'!$AL$38</f>
        <v>496.55049493364771</v>
      </c>
      <c r="AP38" s="37">
        <f ca="1">+'TUSD BE'!$T$38+'TUSD BE'!$AB$38+'TUSD BE'!$AD$38+'TUSD BE'!$AL$38</f>
        <v>496.55049493364771</v>
      </c>
    </row>
    <row r="39" spans="1:42" ht="11.25" customHeight="1" x14ac:dyDescent="0.25">
      <c r="A39" s="124"/>
      <c r="B39" s="124" t="s">
        <v>39</v>
      </c>
      <c r="C39" s="124" t="s">
        <v>47</v>
      </c>
      <c r="D39" s="124" t="s">
        <v>101</v>
      </c>
      <c r="E39" s="124" t="s">
        <v>25</v>
      </c>
      <c r="F39" s="124" t="s">
        <v>25</v>
      </c>
      <c r="G39" s="28" t="s">
        <v>87</v>
      </c>
      <c r="H39" s="28" t="s">
        <v>86</v>
      </c>
      <c r="I39" s="28">
        <f>'MERCADO TUSD'!$U$36</f>
        <v>0</v>
      </c>
      <c r="J39" s="18"/>
      <c r="L39" s="32">
        <f>'TUSD BE'!$L$39*'TUSD BE'!$L$63</f>
        <v>0</v>
      </c>
      <c r="M39" s="32">
        <f>'TUSD BE'!$M$39*'TUSD BE'!$M$63</f>
        <v>1.2653236605102317E-2</v>
      </c>
      <c r="N39" s="32">
        <f ca="1">'TUSD BE'!$N$39*'TUSD BE'!$N$63</f>
        <v>-4.032347937693735E-5</v>
      </c>
      <c r="O39" s="32">
        <f>'TUSD BE'!$O$39*'TUSD BE'!$O$63</f>
        <v>0</v>
      </c>
      <c r="P39" s="32">
        <f>'TUSD BE'!$P$39*'TUSD BE'!$P$63</f>
        <v>0</v>
      </c>
      <c r="Q39" s="32">
        <f>'TUSD BE'!$Q$39*'TUSD BE'!$Q$63</f>
        <v>-0.56691440809168159</v>
      </c>
      <c r="R39" s="32">
        <f>'TUSD BE'!$R$39*'TUSD BE'!$R$63</f>
        <v>0.30970347426938061</v>
      </c>
      <c r="S39" s="32">
        <f>'TUSD BE'!$R$39*'TUSD BE'!$S$63</f>
        <v>0</v>
      </c>
      <c r="T39" s="32">
        <f ca="1">SUM($L$39:$S$39)</f>
        <v>-0.24459802069657555</v>
      </c>
      <c r="U39" s="32">
        <f>'TUSD BE'!$U$39*'TUSD BE'!$U$63</f>
        <v>4.7641949364614282</v>
      </c>
      <c r="V39" s="32">
        <f>'TUSD BE'!$V$39*'TUSD BE'!$V$63</f>
        <v>1.2732475217372656</v>
      </c>
      <c r="W39" s="32">
        <f>'TUSD BE'!$W$39*'TUSD BE'!$W$63</f>
        <v>-3.9500140225430247E-2</v>
      </c>
      <c r="X39" s="32">
        <f>'TUSD BE'!$X$39*'TUSD BE'!$X$63</f>
        <v>0</v>
      </c>
      <c r="Y39" s="32">
        <f>'TUSD BE'!$Y$39*'TUSD BE'!$Y$63</f>
        <v>-0.27721333161007</v>
      </c>
      <c r="Z39" s="32">
        <f>'TUSD BE'!$Z$39*'TUSD BE'!$Z$63</f>
        <v>0</v>
      </c>
      <c r="AA39" s="32">
        <f>'TUSD BE'!$AA$39*'TUSD BE'!$AA$63</f>
        <v>0</v>
      </c>
      <c r="AB39" s="32">
        <f>SUM($U$39:$AA$39)</f>
        <v>5.720728986363194</v>
      </c>
      <c r="AC39" s="32">
        <f>'TUSD BE'!$AC$39*'TUSD BE'!$AC$63</f>
        <v>-2.2881669636800788</v>
      </c>
      <c r="AD39" s="32">
        <f>SUM($AC$39:$AC$39)</f>
        <v>-2.2881669636800788</v>
      </c>
      <c r="AE39" s="32">
        <f ca="1">$AO$39*$AO$60</f>
        <v>0</v>
      </c>
      <c r="AF39" s="32">
        <f ca="1">$AP$39*$AP$60</f>
        <v>0</v>
      </c>
      <c r="AG39" s="32">
        <f ca="1">SUM($AE$39:$AF$39)</f>
        <v>0</v>
      </c>
      <c r="AH39" s="32">
        <f>'TUSD BE'!$AH$39*'TUSD BE'!$AH$63</f>
        <v>-4.1969410607971929</v>
      </c>
      <c r="AI39" s="32">
        <f>'TUSD BE'!$AI$39*'TUSD BE'!$AI$63</f>
        <v>-0.30222889650438173</v>
      </c>
      <c r="AJ39" s="32">
        <f ca="1">'TUSD BE'!$AJ$39*'TUSD BE'!$AJ$63</f>
        <v>-10.380991275750787</v>
      </c>
      <c r="AK39" s="32">
        <f ca="1">'TUSD BE'!$AK$39*'TUSD BE'!$AK$63</f>
        <v>4.7840223401596154</v>
      </c>
      <c r="AL39" s="32">
        <f ca="1">SUM($AH$39:$AK$39)</f>
        <v>-10.096138892892746</v>
      </c>
      <c r="AM39" s="32">
        <f ca="1">SUMIF($L$4:$AL$4,"SUBTOTAL",$L$39:$AL$39)</f>
        <v>-6.9081748909062064</v>
      </c>
      <c r="AO39" s="37">
        <f ca="1">+'TUSD BE'!$T$39+'TUSD BE'!$AB$39+'TUSD BE'!$AD$39+'TUSD BE'!$AL$39</f>
        <v>1088.9583883463249</v>
      </c>
      <c r="AP39" s="37">
        <f ca="1">+'TUSD BE'!$T$39+'TUSD BE'!$AB$39+'TUSD BE'!$AD$39+'TUSD BE'!$AL$39</f>
        <v>1088.9583883463249</v>
      </c>
    </row>
    <row r="40" spans="1:42" ht="11.25" customHeight="1" x14ac:dyDescent="0.25">
      <c r="A40" s="124"/>
      <c r="B40" s="124"/>
      <c r="C40" s="124"/>
      <c r="D40" s="124"/>
      <c r="E40" s="124"/>
      <c r="F40" s="124"/>
      <c r="G40" s="28" t="s">
        <v>98</v>
      </c>
      <c r="H40" s="28" t="s">
        <v>86</v>
      </c>
      <c r="I40" s="28">
        <f>'MERCADO TUSD'!$U$37</f>
        <v>0</v>
      </c>
      <c r="J40" s="18"/>
      <c r="L40" s="32">
        <f>'TUSD BE'!$L$40*'TUSD BE'!$L$63</f>
        <v>0</v>
      </c>
      <c r="M40" s="32">
        <f>'TUSD BE'!$M$40*'TUSD BE'!$M$63</f>
        <v>1.2653236605102317E-2</v>
      </c>
      <c r="N40" s="32">
        <f ca="1">'TUSD BE'!$N$40*'TUSD BE'!$N$63</f>
        <v>-2.8949241601399148E-5</v>
      </c>
      <c r="O40" s="32">
        <f>'TUSD BE'!$O$40*'TUSD BE'!$O$63</f>
        <v>0</v>
      </c>
      <c r="P40" s="32">
        <f>'TUSD BE'!$P$40*'TUSD BE'!$P$63</f>
        <v>0</v>
      </c>
      <c r="Q40" s="32">
        <f>'TUSD BE'!$Q$40*'TUSD BE'!$Q$63</f>
        <v>-0.56691440809168159</v>
      </c>
      <c r="R40" s="32">
        <f>'TUSD BE'!$R$40*'TUSD BE'!$R$63</f>
        <v>0.30970347426938061</v>
      </c>
      <c r="S40" s="32">
        <f>'TUSD BE'!$R$40*'TUSD BE'!$S$63</f>
        <v>0</v>
      </c>
      <c r="T40" s="32">
        <f ca="1">SUM($L$40:$S$40)</f>
        <v>-0.24458664645880002</v>
      </c>
      <c r="U40" s="32">
        <f>'TUSD BE'!$U$40*'TUSD BE'!$U$63</f>
        <v>2.8585154035168174</v>
      </c>
      <c r="V40" s="32">
        <f>'TUSD BE'!$V$40*'TUSD BE'!$V$63</f>
        <v>0.76394851304235933</v>
      </c>
      <c r="W40" s="32">
        <f>'TUSD BE'!$W$40*'TUSD BE'!$W$63</f>
        <v>-2.3700771213710496E-2</v>
      </c>
      <c r="X40" s="32">
        <f>'TUSD BE'!$X$40*'TUSD BE'!$X$63</f>
        <v>0</v>
      </c>
      <c r="Y40" s="32">
        <f>'TUSD BE'!$Y$40*'TUSD BE'!$Y$63</f>
        <v>-0.166327998966042</v>
      </c>
      <c r="Z40" s="32">
        <f>'TUSD BE'!$Z$40*'TUSD BE'!$Z$63</f>
        <v>0</v>
      </c>
      <c r="AA40" s="32">
        <f>'TUSD BE'!$AA$40*'TUSD BE'!$AA$63</f>
        <v>0</v>
      </c>
      <c r="AB40" s="32">
        <f>SUM($U$40:$AA$40)</f>
        <v>3.432435146379424</v>
      </c>
      <c r="AC40" s="32">
        <f>'TUSD BE'!$AC$40*'TUSD BE'!$AC$63</f>
        <v>-1.3729002487201132</v>
      </c>
      <c r="AD40" s="32">
        <f>SUM($AC$40:$AC$40)</f>
        <v>-1.3729002487201132</v>
      </c>
      <c r="AE40" s="32">
        <f ca="1">$AO$40*$AO$60</f>
        <v>0</v>
      </c>
      <c r="AF40" s="32">
        <f ca="1">$AP$40*$AP$60</f>
        <v>0</v>
      </c>
      <c r="AG40" s="32">
        <f ca="1">SUM($AE$40:$AF$40)</f>
        <v>0</v>
      </c>
      <c r="AH40" s="32">
        <f>'TUSD BE'!$AH$40*'TUSD BE'!$AH$63</f>
        <v>-4.1969410607971929</v>
      </c>
      <c r="AI40" s="32">
        <f>'TUSD BE'!$AI$40*'TUSD BE'!$AI$63</f>
        <v>-0.30222889650438173</v>
      </c>
      <c r="AJ40" s="32">
        <f ca="1">'TUSD BE'!$AJ$40*'TUSD BE'!$AJ$63</f>
        <v>-10.380991275750787</v>
      </c>
      <c r="AK40" s="32">
        <f ca="1">'TUSD BE'!$AK$40*'TUSD BE'!$AK$63</f>
        <v>4.7840223401596154</v>
      </c>
      <c r="AL40" s="32">
        <f ca="1">SUM($AH$40:$AK$40)</f>
        <v>-10.096138892892746</v>
      </c>
      <c r="AM40" s="32">
        <f ca="1">SUMIF($L$4:$AL$4,"SUBTOTAL",$L$40:$AL$40)</f>
        <v>-8.2811906416922358</v>
      </c>
      <c r="AO40" s="37">
        <f ca="1">+'TUSD BE'!$T$40+'TUSD BE'!$AB$40+'TUSD BE'!$AD$40+'TUSD BE'!$AL$40</f>
        <v>744.28468843161818</v>
      </c>
      <c r="AP40" s="37">
        <f ca="1">+'TUSD BE'!$T$40+'TUSD BE'!$AB$40+'TUSD BE'!$AD$40+'TUSD BE'!$AL$40</f>
        <v>744.28468843161818</v>
      </c>
    </row>
    <row r="41" spans="1:42" ht="11.25" customHeight="1" x14ac:dyDescent="0.25">
      <c r="A41" s="124"/>
      <c r="B41" s="124"/>
      <c r="C41" s="124"/>
      <c r="D41" s="124"/>
      <c r="E41" s="124"/>
      <c r="F41" s="124"/>
      <c r="G41" s="28" t="s">
        <v>88</v>
      </c>
      <c r="H41" s="28" t="s">
        <v>86</v>
      </c>
      <c r="I41" s="28">
        <f>'MERCADO TUSD'!$U$38</f>
        <v>0</v>
      </c>
      <c r="J41" s="18"/>
      <c r="L41" s="32">
        <f>'TUSD BE'!$L$41*'TUSD BE'!$L$63</f>
        <v>0</v>
      </c>
      <c r="M41" s="32">
        <f>'TUSD BE'!$M$41*'TUSD BE'!$M$63</f>
        <v>1.2653236605102317E-2</v>
      </c>
      <c r="N41" s="32">
        <f ca="1">'TUSD BE'!$N$41*'TUSD BE'!$N$63</f>
        <v>-1.7575007430374692E-5</v>
      </c>
      <c r="O41" s="32">
        <f>'TUSD BE'!$O$41*'TUSD BE'!$O$63</f>
        <v>0</v>
      </c>
      <c r="P41" s="32">
        <f>'TUSD BE'!$P$41*'TUSD BE'!$P$63</f>
        <v>0</v>
      </c>
      <c r="Q41" s="32">
        <f>'TUSD BE'!$Q$41*'TUSD BE'!$Q$63</f>
        <v>-0.56691440809168159</v>
      </c>
      <c r="R41" s="32">
        <f>'TUSD BE'!$R$41*'TUSD BE'!$R$63</f>
        <v>0.30970347426938061</v>
      </c>
      <c r="S41" s="32">
        <f>'TUSD BE'!$R$41*'TUSD BE'!$S$63</f>
        <v>0</v>
      </c>
      <c r="T41" s="32">
        <f ca="1">SUM($L$41:$S$41)</f>
        <v>-0.24457527222462905</v>
      </c>
      <c r="U41" s="32">
        <f>'TUSD BE'!$U$41*'TUSD BE'!$U$63</f>
        <v>0.95283976647230517</v>
      </c>
      <c r="V41" s="32">
        <f>'TUSD BE'!$V$41*'TUSD BE'!$V$63</f>
        <v>0.25464950434745315</v>
      </c>
      <c r="W41" s="32">
        <f>'TUSD BE'!$W$41*'TUSD BE'!$W$63</f>
        <v>-7.9014022019907454E-3</v>
      </c>
      <c r="X41" s="32">
        <f>'TUSD BE'!$X$41*'TUSD BE'!$X$63</f>
        <v>0</v>
      </c>
      <c r="Y41" s="32">
        <f>'TUSD BE'!$Y$41*'TUSD BE'!$Y$63</f>
        <v>-5.5442666322014E-2</v>
      </c>
      <c r="Z41" s="32">
        <f>'TUSD BE'!$Z$41*'TUSD BE'!$Z$63</f>
        <v>0</v>
      </c>
      <c r="AA41" s="32">
        <f>'TUSD BE'!$AA$41*'TUSD BE'!$AA$63</f>
        <v>0</v>
      </c>
      <c r="AB41" s="32">
        <f>SUM($U$41:$AA$41)</f>
        <v>1.1441452022957537</v>
      </c>
      <c r="AC41" s="32">
        <f>'TUSD BE'!$AC$41*'TUSD BE'!$AC$63</f>
        <v>-0.45763353376014804</v>
      </c>
      <c r="AD41" s="32">
        <f>SUM($AC$41:$AC$41)</f>
        <v>-0.45763353376014804</v>
      </c>
      <c r="AE41" s="32">
        <f ca="1">$AO$41*$AO$60</f>
        <v>0</v>
      </c>
      <c r="AF41" s="32">
        <f ca="1">$AP$41*$AP$60</f>
        <v>0</v>
      </c>
      <c r="AG41" s="32">
        <f ca="1">SUM($AE$41:$AF$41)</f>
        <v>0</v>
      </c>
      <c r="AH41" s="32">
        <f>'TUSD BE'!$AH$41*'TUSD BE'!$AH$63</f>
        <v>-4.1969410607971929</v>
      </c>
      <c r="AI41" s="32">
        <f>'TUSD BE'!$AI$41*'TUSD BE'!$AI$63</f>
        <v>-0.30222889650438173</v>
      </c>
      <c r="AJ41" s="32">
        <f ca="1">'TUSD BE'!$AJ$41*'TUSD BE'!$AJ$63</f>
        <v>-10.380991275750787</v>
      </c>
      <c r="AK41" s="32">
        <f ca="1">'TUSD BE'!$AK$41*'TUSD BE'!$AK$63</f>
        <v>4.7840223401596154</v>
      </c>
      <c r="AL41" s="32">
        <f ca="1">SUM($AH$41:$AK$41)</f>
        <v>-10.096138892892746</v>
      </c>
      <c r="AM41" s="32">
        <f ca="1">SUMIF($L$4:$AL$4,"SUBTOTAL",$L$41:$AL$41)</f>
        <v>-9.6542024965817692</v>
      </c>
      <c r="AO41" s="37">
        <f ca="1">+'TUSD BE'!$T$41+'TUSD BE'!$AB$41+'TUSD BE'!$AD$41+'TUSD BE'!$AL$41</f>
        <v>399.61108353544279</v>
      </c>
      <c r="AP41" s="37">
        <f ca="1">+'TUSD BE'!$T$41+'TUSD BE'!$AB$41+'TUSD BE'!$AD$41+'TUSD BE'!$AL$41</f>
        <v>399.61108353544279</v>
      </c>
    </row>
    <row r="42" spans="1:42" ht="11.25" customHeight="1" x14ac:dyDescent="0.25">
      <c r="A42" s="124"/>
      <c r="B42" s="35" t="s">
        <v>23</v>
      </c>
      <c r="C42" s="35" t="s">
        <v>47</v>
      </c>
      <c r="D42" s="35" t="s">
        <v>101</v>
      </c>
      <c r="E42" s="35" t="s">
        <v>25</v>
      </c>
      <c r="F42" s="35" t="s">
        <v>25</v>
      </c>
      <c r="G42" s="28" t="s">
        <v>92</v>
      </c>
      <c r="H42" s="28" t="s">
        <v>86</v>
      </c>
      <c r="I42" s="28">
        <f>'MERCADO TUSD'!$U$39</f>
        <v>0</v>
      </c>
      <c r="J42" s="18"/>
      <c r="L42" s="32">
        <f>'TUSD BE'!$L$42*'TUSD BE'!$L$63</f>
        <v>0</v>
      </c>
      <c r="M42" s="32">
        <f>'TUSD BE'!$M$42*'TUSD BE'!$M$63</f>
        <v>1.2653236605102317E-2</v>
      </c>
      <c r="N42" s="32">
        <f ca="1">'TUSD BE'!$N$42*'TUSD BE'!$N$63</f>
        <v>-2.0774009777205824E-5</v>
      </c>
      <c r="O42" s="32">
        <f>'TUSD BE'!$O$42*'TUSD BE'!$O$63</f>
        <v>0</v>
      </c>
      <c r="P42" s="32">
        <f>'TUSD BE'!$P$42*'TUSD BE'!$P$63</f>
        <v>0</v>
      </c>
      <c r="Q42" s="32">
        <f>'TUSD BE'!$Q$42*'TUSD BE'!$Q$63</f>
        <v>-0.56691440809168159</v>
      </c>
      <c r="R42" s="32">
        <f>'TUSD BE'!$R$42*'TUSD BE'!$R$63</f>
        <v>0.30970347426938061</v>
      </c>
      <c r="S42" s="32">
        <f>'TUSD BE'!$R$42*'TUSD BE'!$S$63</f>
        <v>0</v>
      </c>
      <c r="T42" s="32">
        <f ca="1">SUM($L$42:$S$42)</f>
        <v>-0.24457847122697585</v>
      </c>
      <c r="U42" s="32">
        <f>'TUSD BE'!$U$42*'TUSD BE'!$U$63</f>
        <v>1.4888104306566836</v>
      </c>
      <c r="V42" s="32">
        <f>'TUSD BE'!$V$42*'TUSD BE'!$V$63</f>
        <v>0.3978872298292413</v>
      </c>
      <c r="W42" s="32">
        <f>'TUSD BE'!$W$42*'TUSD BE'!$W$63</f>
        <v>-1.2343364396414239E-2</v>
      </c>
      <c r="X42" s="32">
        <f>'TUSD BE'!$X$42*'TUSD BE'!$X$63</f>
        <v>0</v>
      </c>
      <c r="Y42" s="32">
        <f>'TUSD BE'!$Y$42*'TUSD BE'!$Y$63</f>
        <v>-8.6619122166856674E-2</v>
      </c>
      <c r="Z42" s="32">
        <f>'TUSD BE'!$Z$42*'TUSD BE'!$Z$63</f>
        <v>0</v>
      </c>
      <c r="AA42" s="32">
        <f>'TUSD BE'!$AA$42*'TUSD BE'!$AA$63</f>
        <v>0</v>
      </c>
      <c r="AB42" s="32">
        <f>SUM($U$42:$AA$42)</f>
        <v>1.7877351739226541</v>
      </c>
      <c r="AC42" s="32">
        <f>'TUSD BE'!$AC$42*'TUSD BE'!$AC$63</f>
        <v>-0.71505228632512796</v>
      </c>
      <c r="AD42" s="32">
        <f>SUM($AC$42:$AC$42)</f>
        <v>-0.71505228632512796</v>
      </c>
      <c r="AE42" s="32">
        <f ca="1">$AO$42*$AO$60</f>
        <v>0</v>
      </c>
      <c r="AF42" s="32">
        <f ca="1">$AP$42*$AP$60</f>
        <v>0</v>
      </c>
      <c r="AG42" s="32">
        <f ca="1">SUM($AE$42:$AF$42)</f>
        <v>0</v>
      </c>
      <c r="AH42" s="32">
        <f>'TUSD BE'!$AH$42*'TUSD BE'!$AH$63</f>
        <v>-4.1969410607971929</v>
      </c>
      <c r="AI42" s="32">
        <f>'TUSD BE'!$AI$42*'TUSD BE'!$AI$63</f>
        <v>-0.30222889650438173</v>
      </c>
      <c r="AJ42" s="32">
        <f ca="1">'TUSD BE'!$AJ$42*'TUSD BE'!$AJ$63</f>
        <v>-10.380991275750787</v>
      </c>
      <c r="AK42" s="32">
        <f ca="1">'TUSD BE'!$AK$42*'TUSD BE'!$AK$63</f>
        <v>4.7840223401596154</v>
      </c>
      <c r="AL42" s="32">
        <f ca="1">SUM($AH$42:$AK$42)</f>
        <v>-10.096138892892746</v>
      </c>
      <c r="AM42" s="32">
        <f ca="1">SUMIF($L$4:$AL$4,"SUBTOTAL",$L$42:$AL$42)</f>
        <v>-9.268034476522196</v>
      </c>
      <c r="AO42" s="37">
        <f ca="1">+'TUSD BE'!$T$42+'TUSD BE'!$AB$42+'TUSD BE'!$AD$42+'TUSD BE'!$AL$42</f>
        <v>496.55049493364771</v>
      </c>
      <c r="AP42" s="37">
        <f ca="1">+'TUSD BE'!$T$42+'TUSD BE'!$AB$42+'TUSD BE'!$AD$42+'TUSD BE'!$AL$42</f>
        <v>496.55049493364771</v>
      </c>
    </row>
    <row r="43" spans="1:42" ht="11.25" customHeight="1" x14ac:dyDescent="0.25">
      <c r="A43" s="124"/>
      <c r="B43" s="124" t="s">
        <v>39</v>
      </c>
      <c r="C43" s="124" t="s">
        <v>47</v>
      </c>
      <c r="D43" s="124" t="s">
        <v>55</v>
      </c>
      <c r="E43" s="124" t="s">
        <v>25</v>
      </c>
      <c r="F43" s="124" t="s">
        <v>25</v>
      </c>
      <c r="G43" s="28" t="s">
        <v>87</v>
      </c>
      <c r="H43" s="28" t="s">
        <v>86</v>
      </c>
      <c r="I43" s="28">
        <f>'MERCADO TUSD'!$U$40</f>
        <v>0</v>
      </c>
      <c r="J43" s="18"/>
      <c r="L43" s="32">
        <f>'TUSD BE'!$L$43*'TUSD BE'!$L$63</f>
        <v>0</v>
      </c>
      <c r="M43" s="32">
        <f>'TUSD BE'!$M$43*'TUSD BE'!$M$63</f>
        <v>1.2653236605102317E-2</v>
      </c>
      <c r="N43" s="32">
        <f ca="1">'TUSD BE'!$N$43*'TUSD BE'!$N$63</f>
        <v>-4.032347937693735E-5</v>
      </c>
      <c r="O43" s="32">
        <f>'TUSD BE'!$O$43*'TUSD BE'!$O$63</f>
        <v>0</v>
      </c>
      <c r="P43" s="32">
        <f>'TUSD BE'!$P$43*'TUSD BE'!$P$63</f>
        <v>0</v>
      </c>
      <c r="Q43" s="32">
        <f>'TUSD BE'!$Q$43*'TUSD BE'!$Q$63</f>
        <v>-0.56691440809168159</v>
      </c>
      <c r="R43" s="32">
        <f>'TUSD BE'!$R$43*'TUSD BE'!$R$63</f>
        <v>0.30970347426938061</v>
      </c>
      <c r="S43" s="32">
        <f>'TUSD BE'!$R$43*'TUSD BE'!$S$63</f>
        <v>0</v>
      </c>
      <c r="T43" s="32">
        <f ca="1">SUM($L$43:$S$43)</f>
        <v>-0.24459802069657555</v>
      </c>
      <c r="U43" s="32">
        <f>'TUSD BE'!$U$43*'TUSD BE'!$U$63</f>
        <v>4.7641949364614282</v>
      </c>
      <c r="V43" s="32">
        <f>'TUSD BE'!$V$43*'TUSD BE'!$V$63</f>
        <v>1.2732475217372656</v>
      </c>
      <c r="W43" s="32">
        <f>'TUSD BE'!$W$43*'TUSD BE'!$W$63</f>
        <v>-3.9500140225430247E-2</v>
      </c>
      <c r="X43" s="32">
        <f>'TUSD BE'!$X$43*'TUSD BE'!$X$63</f>
        <v>0</v>
      </c>
      <c r="Y43" s="32">
        <f>'TUSD BE'!$Y$43*'TUSD BE'!$Y$63</f>
        <v>-0.27721333161007</v>
      </c>
      <c r="Z43" s="32">
        <f>'TUSD BE'!$Z$43*'TUSD BE'!$Z$63</f>
        <v>0</v>
      </c>
      <c r="AA43" s="32">
        <f>'TUSD BE'!$AA$43*'TUSD BE'!$AA$63</f>
        <v>0</v>
      </c>
      <c r="AB43" s="32">
        <f>SUM($U$43:$AA$43)</f>
        <v>5.720728986363194</v>
      </c>
      <c r="AC43" s="32">
        <f>'TUSD BE'!$AC$43*'TUSD BE'!$AC$63</f>
        <v>-2.2881669636800788</v>
      </c>
      <c r="AD43" s="32">
        <f>SUM($AC$43:$AC$43)</f>
        <v>-2.2881669636800788</v>
      </c>
      <c r="AE43" s="32">
        <f ca="1">$AO$43*$AO$60</f>
        <v>0</v>
      </c>
      <c r="AF43" s="32">
        <f ca="1">$AP$43*$AP$60</f>
        <v>0</v>
      </c>
      <c r="AG43" s="32">
        <f ca="1">SUM($AE$43:$AF$43)</f>
        <v>0</v>
      </c>
      <c r="AH43" s="32">
        <f>'TUSD BE'!$AH$43*'TUSD BE'!$AH$63</f>
        <v>-4.1969410607971929</v>
      </c>
      <c r="AI43" s="32">
        <f>'TUSD BE'!$AI$43*'TUSD BE'!$AI$63</f>
        <v>-0.30222889650438173</v>
      </c>
      <c r="AJ43" s="32">
        <f ca="1">'TUSD BE'!$AJ$43*'TUSD BE'!$AJ$63</f>
        <v>-10.380991275750787</v>
      </c>
      <c r="AK43" s="32">
        <f ca="1">'TUSD BE'!$AK$43*'TUSD BE'!$AK$63</f>
        <v>4.7840223401596154</v>
      </c>
      <c r="AL43" s="32">
        <f ca="1">SUM($AH$43:$AK$43)</f>
        <v>-10.096138892892746</v>
      </c>
      <c r="AM43" s="32">
        <f ca="1">SUMIF($L$4:$AL$4,"SUBTOTAL",$L$43:$AL$43)</f>
        <v>-6.9081748909062064</v>
      </c>
      <c r="AO43" s="37">
        <f ca="1">+'TUSD BE'!$T$43+'TUSD BE'!$AB$43+'TUSD BE'!$AD$43+'TUSD BE'!$AL$43</f>
        <v>1088.9583883463249</v>
      </c>
      <c r="AP43" s="37">
        <f ca="1">+'TUSD BE'!$T$43+'TUSD BE'!$AB$43+'TUSD BE'!$AD$43+'TUSD BE'!$AL$43</f>
        <v>1088.9583883463249</v>
      </c>
    </row>
    <row r="44" spans="1:42" ht="11.25" customHeight="1" x14ac:dyDescent="0.25">
      <c r="A44" s="124"/>
      <c r="B44" s="124"/>
      <c r="C44" s="124"/>
      <c r="D44" s="124"/>
      <c r="E44" s="124"/>
      <c r="F44" s="124"/>
      <c r="G44" s="28" t="s">
        <v>98</v>
      </c>
      <c r="H44" s="28" t="s">
        <v>86</v>
      </c>
      <c r="I44" s="28">
        <f>'MERCADO TUSD'!$U$41</f>
        <v>0</v>
      </c>
      <c r="J44" s="18"/>
      <c r="L44" s="32">
        <f>'TUSD BE'!$L$44*'TUSD BE'!$L$63</f>
        <v>0</v>
      </c>
      <c r="M44" s="32">
        <f>'TUSD BE'!$M$44*'TUSD BE'!$M$63</f>
        <v>1.2653236605102317E-2</v>
      </c>
      <c r="N44" s="32">
        <f ca="1">'TUSD BE'!$N$44*'TUSD BE'!$N$63</f>
        <v>-2.8949241601399148E-5</v>
      </c>
      <c r="O44" s="32">
        <f>'TUSD BE'!$O$44*'TUSD BE'!$O$63</f>
        <v>0</v>
      </c>
      <c r="P44" s="32">
        <f>'TUSD BE'!$P$44*'TUSD BE'!$P$63</f>
        <v>0</v>
      </c>
      <c r="Q44" s="32">
        <f>'TUSD BE'!$Q$44*'TUSD BE'!$Q$63</f>
        <v>-0.56691440809168159</v>
      </c>
      <c r="R44" s="32">
        <f>'TUSD BE'!$R$44*'TUSD BE'!$R$63</f>
        <v>0.30970347426938061</v>
      </c>
      <c r="S44" s="32">
        <f>'TUSD BE'!$R$44*'TUSD BE'!$S$63</f>
        <v>0</v>
      </c>
      <c r="T44" s="32">
        <f ca="1">SUM($L$44:$S$44)</f>
        <v>-0.24458664645880002</v>
      </c>
      <c r="U44" s="32">
        <f>'TUSD BE'!$U$44*'TUSD BE'!$U$63</f>
        <v>2.8585154035168174</v>
      </c>
      <c r="V44" s="32">
        <f>'TUSD BE'!$V$44*'TUSD BE'!$V$63</f>
        <v>0.76394851304235933</v>
      </c>
      <c r="W44" s="32">
        <f>'TUSD BE'!$W$44*'TUSD BE'!$W$63</f>
        <v>-2.3700771213710496E-2</v>
      </c>
      <c r="X44" s="32">
        <f>'TUSD BE'!$X$44*'TUSD BE'!$X$63</f>
        <v>0</v>
      </c>
      <c r="Y44" s="32">
        <f>'TUSD BE'!$Y$44*'TUSD BE'!$Y$63</f>
        <v>-0.166327998966042</v>
      </c>
      <c r="Z44" s="32">
        <f>'TUSD BE'!$Z$44*'TUSD BE'!$Z$63</f>
        <v>0</v>
      </c>
      <c r="AA44" s="32">
        <f>'TUSD BE'!$AA$44*'TUSD BE'!$AA$63</f>
        <v>0</v>
      </c>
      <c r="AB44" s="32">
        <f>SUM($U$44:$AA$44)</f>
        <v>3.432435146379424</v>
      </c>
      <c r="AC44" s="32">
        <f>'TUSD BE'!$AC$44*'TUSD BE'!$AC$63</f>
        <v>-1.3729002487201132</v>
      </c>
      <c r="AD44" s="32">
        <f>SUM($AC$44:$AC$44)</f>
        <v>-1.3729002487201132</v>
      </c>
      <c r="AE44" s="32">
        <f ca="1">$AO$44*$AO$60</f>
        <v>0</v>
      </c>
      <c r="AF44" s="32">
        <f ca="1">$AP$44*$AP$60</f>
        <v>0</v>
      </c>
      <c r="AG44" s="32">
        <f ca="1">SUM($AE$44:$AF$44)</f>
        <v>0</v>
      </c>
      <c r="AH44" s="32">
        <f>'TUSD BE'!$AH$44*'TUSD BE'!$AH$63</f>
        <v>-4.1969410607971929</v>
      </c>
      <c r="AI44" s="32">
        <f>'TUSD BE'!$AI$44*'TUSD BE'!$AI$63</f>
        <v>-0.30222889650438173</v>
      </c>
      <c r="AJ44" s="32">
        <f ca="1">'TUSD BE'!$AJ$44*'TUSD BE'!$AJ$63</f>
        <v>-10.380991275750787</v>
      </c>
      <c r="AK44" s="32">
        <f ca="1">'TUSD BE'!$AK$44*'TUSD BE'!$AK$63</f>
        <v>4.7840223401596154</v>
      </c>
      <c r="AL44" s="32">
        <f ca="1">SUM($AH$44:$AK$44)</f>
        <v>-10.096138892892746</v>
      </c>
      <c r="AM44" s="32">
        <f ca="1">SUMIF($L$4:$AL$4,"SUBTOTAL",$L$44:$AL$44)</f>
        <v>-8.2811906416922358</v>
      </c>
      <c r="AO44" s="37">
        <f ca="1">+'TUSD BE'!$T$44+'TUSD BE'!$AB$44+'TUSD BE'!$AD$44+'TUSD BE'!$AL$44</f>
        <v>744.28468843161818</v>
      </c>
      <c r="AP44" s="37">
        <f ca="1">+'TUSD BE'!$T$44+'TUSD BE'!$AB$44+'TUSD BE'!$AD$44+'TUSD BE'!$AL$44</f>
        <v>744.28468843161818</v>
      </c>
    </row>
    <row r="45" spans="1:42" ht="11.25" customHeight="1" x14ac:dyDescent="0.25">
      <c r="A45" s="124"/>
      <c r="B45" s="124"/>
      <c r="C45" s="124"/>
      <c r="D45" s="124"/>
      <c r="E45" s="124"/>
      <c r="F45" s="124"/>
      <c r="G45" s="28" t="s">
        <v>88</v>
      </c>
      <c r="H45" s="28" t="s">
        <v>86</v>
      </c>
      <c r="I45" s="28">
        <f>'MERCADO TUSD'!$U$42</f>
        <v>0</v>
      </c>
      <c r="J45" s="18"/>
      <c r="L45" s="32">
        <f>'TUSD BE'!$L$45*'TUSD BE'!$L$63</f>
        <v>0</v>
      </c>
      <c r="M45" s="32">
        <f>'TUSD BE'!$M$45*'TUSD BE'!$M$63</f>
        <v>1.2653236605102317E-2</v>
      </c>
      <c r="N45" s="32">
        <f ca="1">'TUSD BE'!$N$45*'TUSD BE'!$N$63</f>
        <v>-1.7575007430374692E-5</v>
      </c>
      <c r="O45" s="32">
        <f>'TUSD BE'!$O$45*'TUSD BE'!$O$63</f>
        <v>0</v>
      </c>
      <c r="P45" s="32">
        <f>'TUSD BE'!$P$45*'TUSD BE'!$P$63</f>
        <v>0</v>
      </c>
      <c r="Q45" s="32">
        <f>'TUSD BE'!$Q$45*'TUSD BE'!$Q$63</f>
        <v>-0.56691440809168159</v>
      </c>
      <c r="R45" s="32">
        <f>'TUSD BE'!$R$45*'TUSD BE'!$R$63</f>
        <v>0.30970347426938061</v>
      </c>
      <c r="S45" s="32">
        <f>'TUSD BE'!$R$45*'TUSD BE'!$S$63</f>
        <v>0</v>
      </c>
      <c r="T45" s="32">
        <f ca="1">SUM($L$45:$S$45)</f>
        <v>-0.24457527222462905</v>
      </c>
      <c r="U45" s="32">
        <f>'TUSD BE'!$U$45*'TUSD BE'!$U$63</f>
        <v>0.95283976647230517</v>
      </c>
      <c r="V45" s="32">
        <f>'TUSD BE'!$V$45*'TUSD BE'!$V$63</f>
        <v>0.25464950434745315</v>
      </c>
      <c r="W45" s="32">
        <f>'TUSD BE'!$W$45*'TUSD BE'!$W$63</f>
        <v>-7.9014022019907454E-3</v>
      </c>
      <c r="X45" s="32">
        <f>'TUSD BE'!$X$45*'TUSD BE'!$X$63</f>
        <v>0</v>
      </c>
      <c r="Y45" s="32">
        <f>'TUSD BE'!$Y$45*'TUSD BE'!$Y$63</f>
        <v>-5.5442666322014E-2</v>
      </c>
      <c r="Z45" s="32">
        <f>'TUSD BE'!$Z$45*'TUSD BE'!$Z$63</f>
        <v>0</v>
      </c>
      <c r="AA45" s="32">
        <f>'TUSD BE'!$AA$45*'TUSD BE'!$AA$63</f>
        <v>0</v>
      </c>
      <c r="AB45" s="32">
        <f>SUM($U$45:$AA$45)</f>
        <v>1.1441452022957537</v>
      </c>
      <c r="AC45" s="32">
        <f>'TUSD BE'!$AC$45*'TUSD BE'!$AC$63</f>
        <v>-0.45763353376014804</v>
      </c>
      <c r="AD45" s="32">
        <f>SUM($AC$45:$AC$45)</f>
        <v>-0.45763353376014804</v>
      </c>
      <c r="AE45" s="32">
        <f ca="1">$AO$45*$AO$60</f>
        <v>0</v>
      </c>
      <c r="AF45" s="32">
        <f ca="1">$AP$45*$AP$60</f>
        <v>0</v>
      </c>
      <c r="AG45" s="32">
        <f ca="1">SUM($AE$45:$AF$45)</f>
        <v>0</v>
      </c>
      <c r="AH45" s="32">
        <f>'TUSD BE'!$AH$45*'TUSD BE'!$AH$63</f>
        <v>-4.1969410607971929</v>
      </c>
      <c r="AI45" s="32">
        <f>'TUSD BE'!$AI$45*'TUSD BE'!$AI$63</f>
        <v>-0.30222889650438173</v>
      </c>
      <c r="AJ45" s="32">
        <f ca="1">'TUSD BE'!$AJ$45*'TUSD BE'!$AJ$63</f>
        <v>-10.380991275750787</v>
      </c>
      <c r="AK45" s="32">
        <f ca="1">'TUSD BE'!$AK$45*'TUSD BE'!$AK$63</f>
        <v>4.7840223401596154</v>
      </c>
      <c r="AL45" s="32">
        <f ca="1">SUM($AH$45:$AK$45)</f>
        <v>-10.096138892892746</v>
      </c>
      <c r="AM45" s="32">
        <f ca="1">SUMIF($L$4:$AL$4,"SUBTOTAL",$L$45:$AL$45)</f>
        <v>-9.6542024965817692</v>
      </c>
      <c r="AO45" s="37">
        <f ca="1">+'TUSD BE'!$T$45+'TUSD BE'!$AB$45+'TUSD BE'!$AD$45+'TUSD BE'!$AL$45</f>
        <v>399.61108353544279</v>
      </c>
      <c r="AP45" s="37">
        <f ca="1">+'TUSD BE'!$T$45+'TUSD BE'!$AB$45+'TUSD BE'!$AD$45+'TUSD BE'!$AL$45</f>
        <v>399.61108353544279</v>
      </c>
    </row>
    <row r="46" spans="1:42" ht="11.25" customHeight="1" x14ac:dyDescent="0.25">
      <c r="A46" s="124"/>
      <c r="B46" s="35" t="s">
        <v>23</v>
      </c>
      <c r="C46" s="35" t="s">
        <v>47</v>
      </c>
      <c r="D46" s="35" t="s">
        <v>55</v>
      </c>
      <c r="E46" s="35" t="s">
        <v>25</v>
      </c>
      <c r="F46" s="35" t="s">
        <v>25</v>
      </c>
      <c r="G46" s="28" t="s">
        <v>92</v>
      </c>
      <c r="H46" s="28" t="s">
        <v>86</v>
      </c>
      <c r="I46" s="28">
        <f>'MERCADO TUSD'!$U$43</f>
        <v>26.512</v>
      </c>
      <c r="J46" s="18"/>
      <c r="L46" s="32">
        <f>'TUSD BE'!$L$46*'TUSD BE'!$L$63</f>
        <v>0</v>
      </c>
      <c r="M46" s="32">
        <f>'TUSD BE'!$M$46*'TUSD BE'!$M$63</f>
        <v>1.2653236605102317E-2</v>
      </c>
      <c r="N46" s="32">
        <f ca="1">'TUSD BE'!$N$46*'TUSD BE'!$N$63</f>
        <v>-2.0774009777205824E-5</v>
      </c>
      <c r="O46" s="32">
        <f>'TUSD BE'!$O$46*'TUSD BE'!$O$63</f>
        <v>0</v>
      </c>
      <c r="P46" s="32">
        <f>'TUSD BE'!$P$46*'TUSD BE'!$P$63</f>
        <v>0</v>
      </c>
      <c r="Q46" s="32">
        <f>'TUSD BE'!$Q$46*'TUSD BE'!$Q$63</f>
        <v>-0.56691440809168159</v>
      </c>
      <c r="R46" s="32">
        <f>'TUSD BE'!$R$46*'TUSD BE'!$R$63</f>
        <v>0.30970347426938061</v>
      </c>
      <c r="S46" s="32">
        <f>'TUSD BE'!$R$46*'TUSD BE'!$S$63</f>
        <v>0</v>
      </c>
      <c r="T46" s="32">
        <f ca="1">SUM($L$46:$S$46)</f>
        <v>-0.24457847122697585</v>
      </c>
      <c r="U46" s="32">
        <f>'TUSD BE'!$U$46*'TUSD BE'!$U$63</f>
        <v>1.4888104306566836</v>
      </c>
      <c r="V46" s="32">
        <f>'TUSD BE'!$V$46*'TUSD BE'!$V$63</f>
        <v>0.3978872298292413</v>
      </c>
      <c r="W46" s="32">
        <f>'TUSD BE'!$W$46*'TUSD BE'!$W$63</f>
        <v>-1.2343364396414239E-2</v>
      </c>
      <c r="X46" s="32">
        <f>'TUSD BE'!$X$46*'TUSD BE'!$X$63</f>
        <v>0</v>
      </c>
      <c r="Y46" s="32">
        <f>'TUSD BE'!$Y$46*'TUSD BE'!$Y$63</f>
        <v>-8.6619122166856674E-2</v>
      </c>
      <c r="Z46" s="32">
        <f>'TUSD BE'!$Z$46*'TUSD BE'!$Z$63</f>
        <v>0</v>
      </c>
      <c r="AA46" s="32">
        <f>'TUSD BE'!$AA$46*'TUSD BE'!$AA$63</f>
        <v>0</v>
      </c>
      <c r="AB46" s="32">
        <f>SUM($U$46:$AA$46)</f>
        <v>1.7877351739226541</v>
      </c>
      <c r="AC46" s="32">
        <f>'TUSD BE'!$AC$46*'TUSD BE'!$AC$63</f>
        <v>-0.71505228632512796</v>
      </c>
      <c r="AD46" s="32">
        <f>SUM($AC$46:$AC$46)</f>
        <v>-0.71505228632512796</v>
      </c>
      <c r="AE46" s="32">
        <f ca="1">$AO$46*$AO$60</f>
        <v>0</v>
      </c>
      <c r="AF46" s="32">
        <f ca="1">$AP$46*$AP$60</f>
        <v>0</v>
      </c>
      <c r="AG46" s="32">
        <f ca="1">SUM($AE$46:$AF$46)</f>
        <v>0</v>
      </c>
      <c r="AH46" s="32">
        <f>'TUSD BE'!$AH$46*'TUSD BE'!$AH$63</f>
        <v>-4.1969410607971929</v>
      </c>
      <c r="AI46" s="32">
        <f>'TUSD BE'!$AI$46*'TUSD BE'!$AI$63</f>
        <v>-0.30222889650438173</v>
      </c>
      <c r="AJ46" s="32">
        <f ca="1">'TUSD BE'!$AJ$46*'TUSD BE'!$AJ$63</f>
        <v>-10.380991275750787</v>
      </c>
      <c r="AK46" s="32">
        <f ca="1">'TUSD BE'!$AK$46*'TUSD BE'!$AK$63</f>
        <v>4.7840223401596154</v>
      </c>
      <c r="AL46" s="32">
        <f ca="1">SUM($AH$46:$AK$46)</f>
        <v>-10.096138892892746</v>
      </c>
      <c r="AM46" s="32">
        <f ca="1">SUMIF($L$4:$AL$4,"SUBTOTAL",$L$46:$AL$46)</f>
        <v>-9.268034476522196</v>
      </c>
      <c r="AO46" s="37">
        <f ca="1">+'TUSD BE'!$T$46+'TUSD BE'!$AB$46+'TUSD BE'!$AD$46+'TUSD BE'!$AL$46</f>
        <v>496.55049493364771</v>
      </c>
      <c r="AP46" s="37">
        <f ca="1">+'TUSD BE'!$T$46+'TUSD BE'!$AB$46+'TUSD BE'!$AD$46+'TUSD BE'!$AL$46</f>
        <v>496.55049493364771</v>
      </c>
    </row>
    <row r="47" spans="1:42" ht="11.25" customHeight="1" x14ac:dyDescent="0.25">
      <c r="A47" s="124"/>
      <c r="B47" s="124" t="s">
        <v>100</v>
      </c>
      <c r="C47" s="124" t="s">
        <v>47</v>
      </c>
      <c r="D47" s="35" t="s">
        <v>25</v>
      </c>
      <c r="E47" s="35" t="s">
        <v>25</v>
      </c>
      <c r="F47" s="35" t="s">
        <v>25</v>
      </c>
      <c r="G47" s="28" t="s">
        <v>92</v>
      </c>
      <c r="H47" s="28" t="s">
        <v>86</v>
      </c>
      <c r="I47" s="28">
        <f>'MERCADO TUSD'!$U$44</f>
        <v>0</v>
      </c>
      <c r="J47" s="18"/>
      <c r="L47" s="32">
        <f>'TUSD BE'!$L$47*'TUSD BE'!$L$63</f>
        <v>0</v>
      </c>
      <c r="M47" s="32">
        <f>'TUSD BE'!$M$47*'TUSD BE'!$M$63</f>
        <v>1.2653236605102317E-2</v>
      </c>
      <c r="N47" s="32">
        <f ca="1">'TUSD BE'!$N$47*'TUSD BE'!$N$63</f>
        <v>-2.0774009777205824E-5</v>
      </c>
      <c r="O47" s="32">
        <f>'TUSD BE'!$O$47*'TUSD BE'!$O$63</f>
        <v>0</v>
      </c>
      <c r="P47" s="32">
        <f>'TUSD BE'!$P$47*'TUSD BE'!$P$63</f>
        <v>0</v>
      </c>
      <c r="Q47" s="32">
        <f>'TUSD BE'!$Q$47*'TUSD BE'!$Q$63</f>
        <v>-0.56691440809168159</v>
      </c>
      <c r="R47" s="32">
        <f>'TUSD BE'!$R$47*'TUSD BE'!$R$63</f>
        <v>0.30970347426938061</v>
      </c>
      <c r="S47" s="32">
        <f>'TUSD BE'!$R$47*'TUSD BE'!$S$63</f>
        <v>0</v>
      </c>
      <c r="T47" s="32">
        <f ca="1">SUM($L$47:$S$47)</f>
        <v>-0.24457847122697585</v>
      </c>
      <c r="U47" s="32">
        <f>'TUSD BE'!$U$47*'TUSD BE'!$U$63</f>
        <v>1.4888104306566836</v>
      </c>
      <c r="V47" s="32">
        <f>'TUSD BE'!$V$47*'TUSD BE'!$V$63</f>
        <v>0.3978872298292413</v>
      </c>
      <c r="W47" s="32">
        <f>'TUSD BE'!$W$47*'TUSD BE'!$W$63</f>
        <v>-1.2343364396414239E-2</v>
      </c>
      <c r="X47" s="32">
        <f>'TUSD BE'!$X$47*'TUSD BE'!$X$63</f>
        <v>0</v>
      </c>
      <c r="Y47" s="32">
        <f>'TUSD BE'!$Y$47*'TUSD BE'!$Y$63</f>
        <v>-8.6619122166856674E-2</v>
      </c>
      <c r="Z47" s="32">
        <f>'TUSD BE'!$Z$47*'TUSD BE'!$Z$63</f>
        <v>0</v>
      </c>
      <c r="AA47" s="32">
        <f>'TUSD BE'!$AA$47*'TUSD BE'!$AA$63</f>
        <v>0</v>
      </c>
      <c r="AB47" s="32">
        <f>SUM($U$47:$AA$47)</f>
        <v>1.7877351739226541</v>
      </c>
      <c r="AC47" s="32">
        <f>'TUSD BE'!$AC$47*'TUSD BE'!$AC$63</f>
        <v>-0.71505228632512796</v>
      </c>
      <c r="AD47" s="32">
        <f>SUM($AC$47:$AC$47)</f>
        <v>-0.71505228632512796</v>
      </c>
      <c r="AE47" s="32">
        <f ca="1">$AO$47*$AO$60</f>
        <v>0</v>
      </c>
      <c r="AF47" s="32">
        <f ca="1">$AP$47*$AP$60</f>
        <v>0</v>
      </c>
      <c r="AG47" s="32">
        <f ca="1">SUM($AE$47:$AF$47)</f>
        <v>0</v>
      </c>
      <c r="AH47" s="32">
        <f>'TUSD BE'!$AH$47*'TUSD BE'!$AH$63</f>
        <v>-4.1969410607971929</v>
      </c>
      <c r="AI47" s="32">
        <f>'TUSD BE'!$AI$47*'TUSD BE'!$AI$63</f>
        <v>-0.30222889650438173</v>
      </c>
      <c r="AJ47" s="32">
        <f ca="1">'TUSD BE'!$AJ$47*'TUSD BE'!$AJ$63</f>
        <v>-10.380991275750787</v>
      </c>
      <c r="AK47" s="32">
        <f ca="1">'TUSD BE'!$AK$47*'TUSD BE'!$AK$63</f>
        <v>4.7840223401596154</v>
      </c>
      <c r="AL47" s="32">
        <f ca="1">SUM($AH$47:$AK$47)</f>
        <v>-10.096138892892746</v>
      </c>
      <c r="AM47" s="32">
        <f ca="1">SUMIF($L$4:$AL$4,"SUBTOTAL",$L$47:$AL$47)</f>
        <v>-9.268034476522196</v>
      </c>
      <c r="AO47" s="37">
        <f ca="1">+'TUSD BE'!$T$47+'TUSD BE'!$AB$47+'TUSD BE'!$AD$47+'TUSD BE'!$AL$47</f>
        <v>496.55049493364771</v>
      </c>
      <c r="AP47" s="37">
        <f ca="1">+'TUSD BE'!$T$47+'TUSD BE'!$AB$47+'TUSD BE'!$AD$47+'TUSD BE'!$AL$47</f>
        <v>496.55049493364771</v>
      </c>
    </row>
    <row r="48" spans="1:42" ht="11.25" customHeight="1" x14ac:dyDescent="0.25">
      <c r="A48" s="124"/>
      <c r="B48" s="124"/>
      <c r="C48" s="124"/>
      <c r="D48" s="35" t="s">
        <v>101</v>
      </c>
      <c r="E48" s="35" t="s">
        <v>25</v>
      </c>
      <c r="F48" s="35" t="s">
        <v>25</v>
      </c>
      <c r="G48" s="28" t="s">
        <v>92</v>
      </c>
      <c r="H48" s="28" t="s">
        <v>86</v>
      </c>
      <c r="I48" s="28">
        <f>'MERCADO TUSD'!$U$45</f>
        <v>0</v>
      </c>
      <c r="J48" s="18"/>
      <c r="L48" s="32">
        <f>'TUSD BE'!$L$48*'TUSD BE'!$L$63</f>
        <v>0</v>
      </c>
      <c r="M48" s="32">
        <f>'TUSD BE'!$M$48*'TUSD BE'!$M$63</f>
        <v>1.2653236605102317E-2</v>
      </c>
      <c r="N48" s="32">
        <f ca="1">'TUSD BE'!$N$48*'TUSD BE'!$N$63</f>
        <v>-2.0774009777205824E-5</v>
      </c>
      <c r="O48" s="32">
        <f>'TUSD BE'!$O$48*'TUSD BE'!$O$63</f>
        <v>0</v>
      </c>
      <c r="P48" s="32">
        <f>'TUSD BE'!$P$48*'TUSD BE'!$P$63</f>
        <v>0</v>
      </c>
      <c r="Q48" s="32">
        <f>'TUSD BE'!$Q$48*'TUSD BE'!$Q$63</f>
        <v>-0.56691440809168159</v>
      </c>
      <c r="R48" s="32">
        <f>'TUSD BE'!$R$48*'TUSD BE'!$R$63</f>
        <v>0.30970347426938061</v>
      </c>
      <c r="S48" s="32">
        <f>'TUSD BE'!$R$48*'TUSD BE'!$S$63</f>
        <v>0</v>
      </c>
      <c r="T48" s="32">
        <f ca="1">SUM($L$48:$S$48)</f>
        <v>-0.24457847122697585</v>
      </c>
      <c r="U48" s="32">
        <f>'TUSD BE'!$U$48*'TUSD BE'!$U$63</f>
        <v>1.4888104306566836</v>
      </c>
      <c r="V48" s="32">
        <f>'TUSD BE'!$V$48*'TUSD BE'!$V$63</f>
        <v>0.3978872298292413</v>
      </c>
      <c r="W48" s="32">
        <f>'TUSD BE'!$W$48*'TUSD BE'!$W$63</f>
        <v>-1.2343364396414239E-2</v>
      </c>
      <c r="X48" s="32">
        <f>'TUSD BE'!$X$48*'TUSD BE'!$X$63</f>
        <v>0</v>
      </c>
      <c r="Y48" s="32">
        <f>'TUSD BE'!$Y$48*'TUSD BE'!$Y$63</f>
        <v>-8.6619122166856674E-2</v>
      </c>
      <c r="Z48" s="32">
        <f>'TUSD BE'!$Z$48*'TUSD BE'!$Z$63</f>
        <v>0</v>
      </c>
      <c r="AA48" s="32">
        <f>'TUSD BE'!$AA$48*'TUSD BE'!$AA$63</f>
        <v>0</v>
      </c>
      <c r="AB48" s="32">
        <f>SUM($U$48:$AA$48)</f>
        <v>1.7877351739226541</v>
      </c>
      <c r="AC48" s="32">
        <f>'TUSD BE'!$AC$48*'TUSD BE'!$AC$63</f>
        <v>-0.71505228632512796</v>
      </c>
      <c r="AD48" s="32">
        <f>SUM($AC$48:$AC$48)</f>
        <v>-0.71505228632512796</v>
      </c>
      <c r="AE48" s="32">
        <f ca="1">$AO$48*$AO$60</f>
        <v>0</v>
      </c>
      <c r="AF48" s="32">
        <f ca="1">$AP$48*$AP$60</f>
        <v>0</v>
      </c>
      <c r="AG48" s="32">
        <f ca="1">SUM($AE$48:$AF$48)</f>
        <v>0</v>
      </c>
      <c r="AH48" s="32">
        <f>'TUSD BE'!$AH$48*'TUSD BE'!$AH$63</f>
        <v>-4.1969410607971929</v>
      </c>
      <c r="AI48" s="32">
        <f>'TUSD BE'!$AI$48*'TUSD BE'!$AI$63</f>
        <v>-0.30222889650438173</v>
      </c>
      <c r="AJ48" s="32">
        <f ca="1">'TUSD BE'!$AJ$48*'TUSD BE'!$AJ$63</f>
        <v>-10.380991275750787</v>
      </c>
      <c r="AK48" s="32">
        <f ca="1">'TUSD BE'!$AK$48*'TUSD BE'!$AK$63</f>
        <v>4.7840223401596154</v>
      </c>
      <c r="AL48" s="32">
        <f ca="1">SUM($AH$48:$AK$48)</f>
        <v>-10.096138892892746</v>
      </c>
      <c r="AM48" s="32">
        <f ca="1">SUMIF($L$4:$AL$4,"SUBTOTAL",$L$48:$AL$48)</f>
        <v>-9.268034476522196</v>
      </c>
      <c r="AO48" s="37">
        <f ca="1">+'TUSD BE'!$T$48+'TUSD BE'!$AB$48+'TUSD BE'!$AD$48+'TUSD BE'!$AL$48</f>
        <v>496.55049493364771</v>
      </c>
      <c r="AP48" s="37">
        <f ca="1">+'TUSD BE'!$T$48+'TUSD BE'!$AB$48+'TUSD BE'!$AD$48+'TUSD BE'!$AL$48</f>
        <v>496.55049493364771</v>
      </c>
    </row>
    <row r="49" spans="1:42" ht="11.25" customHeight="1" x14ac:dyDescent="0.25">
      <c r="A49" s="124"/>
      <c r="B49" s="124"/>
      <c r="C49" s="124"/>
      <c r="D49" s="35" t="s">
        <v>55</v>
      </c>
      <c r="E49" s="35" t="s">
        <v>25</v>
      </c>
      <c r="F49" s="35" t="s">
        <v>25</v>
      </c>
      <c r="G49" s="28" t="s">
        <v>92</v>
      </c>
      <c r="H49" s="28" t="s">
        <v>86</v>
      </c>
      <c r="I49" s="28">
        <f>'MERCADO TUSD'!$U$46</f>
        <v>0</v>
      </c>
      <c r="J49" s="18"/>
      <c r="L49" s="32">
        <f>'TUSD BE'!$L$49*'TUSD BE'!$L$63</f>
        <v>0</v>
      </c>
      <c r="M49" s="32">
        <f>'TUSD BE'!$M$49*'TUSD BE'!$M$63</f>
        <v>1.2653236605102317E-2</v>
      </c>
      <c r="N49" s="32">
        <f ca="1">'TUSD BE'!$N$49*'TUSD BE'!$N$63</f>
        <v>-2.0774009777205824E-5</v>
      </c>
      <c r="O49" s="32">
        <f>'TUSD BE'!$O$49*'TUSD BE'!$O$63</f>
        <v>0</v>
      </c>
      <c r="P49" s="32">
        <f>'TUSD BE'!$P$49*'TUSD BE'!$P$63</f>
        <v>0</v>
      </c>
      <c r="Q49" s="32">
        <f>'TUSD BE'!$Q$49*'TUSD BE'!$Q$63</f>
        <v>-0.56691440809168159</v>
      </c>
      <c r="R49" s="32">
        <f>'TUSD BE'!$R$49*'TUSD BE'!$R$63</f>
        <v>0.30970347426938061</v>
      </c>
      <c r="S49" s="32">
        <f>'TUSD BE'!$R$49*'TUSD BE'!$S$63</f>
        <v>0</v>
      </c>
      <c r="T49" s="32">
        <f ca="1">SUM($L$49:$S$49)</f>
        <v>-0.24457847122697585</v>
      </c>
      <c r="U49" s="32">
        <f>'TUSD BE'!$U$49*'TUSD BE'!$U$63</f>
        <v>1.4888104306566836</v>
      </c>
      <c r="V49" s="32">
        <f>'TUSD BE'!$V$49*'TUSD BE'!$V$63</f>
        <v>0.3978872298292413</v>
      </c>
      <c r="W49" s="32">
        <f>'TUSD BE'!$W$49*'TUSD BE'!$W$63</f>
        <v>-1.2343364396414239E-2</v>
      </c>
      <c r="X49" s="32">
        <f>'TUSD BE'!$X$49*'TUSD BE'!$X$63</f>
        <v>0</v>
      </c>
      <c r="Y49" s="32">
        <f>'TUSD BE'!$Y$49*'TUSD BE'!$Y$63</f>
        <v>-8.6619122166856674E-2</v>
      </c>
      <c r="Z49" s="32">
        <f>'TUSD BE'!$Z$49*'TUSD BE'!$Z$63</f>
        <v>0</v>
      </c>
      <c r="AA49" s="32">
        <f>'TUSD BE'!$AA$49*'TUSD BE'!$AA$63</f>
        <v>0</v>
      </c>
      <c r="AB49" s="32">
        <f>SUM($U$49:$AA$49)</f>
        <v>1.7877351739226541</v>
      </c>
      <c r="AC49" s="32">
        <f>'TUSD BE'!$AC$49*'TUSD BE'!$AC$63</f>
        <v>-0.71505228632512796</v>
      </c>
      <c r="AD49" s="32">
        <f>SUM($AC$49:$AC$49)</f>
        <v>-0.71505228632512796</v>
      </c>
      <c r="AE49" s="32">
        <f ca="1">$AO$49*$AO$60</f>
        <v>0</v>
      </c>
      <c r="AF49" s="32">
        <f ca="1">$AP$49*$AP$60</f>
        <v>0</v>
      </c>
      <c r="AG49" s="32">
        <f ca="1">SUM($AE$49:$AF$49)</f>
        <v>0</v>
      </c>
      <c r="AH49" s="32">
        <f>'TUSD BE'!$AH$49*'TUSD BE'!$AH$63</f>
        <v>-4.1969410607971929</v>
      </c>
      <c r="AI49" s="32">
        <f>'TUSD BE'!$AI$49*'TUSD BE'!$AI$63</f>
        <v>-0.30222889650438173</v>
      </c>
      <c r="AJ49" s="32">
        <f ca="1">'TUSD BE'!$AJ$49*'TUSD BE'!$AJ$63</f>
        <v>-10.380991275750787</v>
      </c>
      <c r="AK49" s="32">
        <f ca="1">'TUSD BE'!$AK$49*'TUSD BE'!$AK$63</f>
        <v>4.7840223401596154</v>
      </c>
      <c r="AL49" s="32">
        <f ca="1">SUM($AH$49:$AK$49)</f>
        <v>-10.096138892892746</v>
      </c>
      <c r="AM49" s="32">
        <f ca="1">SUMIF($L$4:$AL$4,"SUBTOTAL",$L$49:$AL$49)</f>
        <v>-9.268034476522196</v>
      </c>
      <c r="AO49" s="37">
        <f ca="1">+'TUSD BE'!$T$49+'TUSD BE'!$AB$49+'TUSD BE'!$AD$49+'TUSD BE'!$AL$49</f>
        <v>496.55049493364771</v>
      </c>
      <c r="AP49" s="37">
        <f ca="1">+'TUSD BE'!$T$49+'TUSD BE'!$AB$49+'TUSD BE'!$AD$49+'TUSD BE'!$AL$49</f>
        <v>496.55049493364771</v>
      </c>
    </row>
    <row r="50" spans="1:42" ht="11.25" customHeight="1" x14ac:dyDescent="0.25">
      <c r="A50" s="124" t="s">
        <v>41</v>
      </c>
      <c r="B50" s="124" t="s">
        <v>39</v>
      </c>
      <c r="C50" s="124" t="s">
        <v>25</v>
      </c>
      <c r="D50" s="124" t="s">
        <v>25</v>
      </c>
      <c r="E50" s="124" t="s">
        <v>25</v>
      </c>
      <c r="F50" s="124" t="s">
        <v>25</v>
      </c>
      <c r="G50" s="28" t="s">
        <v>87</v>
      </c>
      <c r="H50" s="28" t="s">
        <v>86</v>
      </c>
      <c r="I50" s="28">
        <f>'MERCADO TUSD'!$U$47</f>
        <v>159.50200000000001</v>
      </c>
      <c r="J50" s="18"/>
      <c r="L50" s="32">
        <f>'TUSD BE'!$L$50*'TUSD BE'!$L$63</f>
        <v>0</v>
      </c>
      <c r="M50" s="32">
        <f>'TUSD BE'!$M$50*'TUSD BE'!$M$63</f>
        <v>1.2653236605102317E-2</v>
      </c>
      <c r="N50" s="32">
        <f ca="1">'TUSD BE'!$N$50*'TUSD BE'!$N$63</f>
        <v>-4.3877926428971942E-5</v>
      </c>
      <c r="O50" s="32">
        <f>'TUSD BE'!$O$50*'TUSD BE'!$O$63</f>
        <v>0</v>
      </c>
      <c r="P50" s="32">
        <f>'TUSD BE'!$P$50*'TUSD BE'!$P$63</f>
        <v>0</v>
      </c>
      <c r="Q50" s="32">
        <f>'TUSD BE'!$Q$50*'TUSD BE'!$Q$63</f>
        <v>-0.56691440809168159</v>
      </c>
      <c r="R50" s="32">
        <f>'TUSD BE'!$R$50*'TUSD BE'!$R$63</f>
        <v>0.30970347426938061</v>
      </c>
      <c r="S50" s="32">
        <f>'TUSD BE'!$R$50*'TUSD BE'!$S$63</f>
        <v>0</v>
      </c>
      <c r="T50" s="32">
        <f ca="1">SUM($L$50:$S$50)</f>
        <v>-0.24460157514362768</v>
      </c>
      <c r="U50" s="32">
        <f>'TUSD BE'!$U$50*'TUSD BE'!$U$63</f>
        <v>5.3597183295440818</v>
      </c>
      <c r="V50" s="32">
        <f>'TUSD BE'!$V$50*'TUSD BE'!$V$63</f>
        <v>1.4324052090968598</v>
      </c>
      <c r="W50" s="32">
        <f>'TUSD BE'!$W$50*'TUSD BE'!$W$63</f>
        <v>-4.4436798905543605E-2</v>
      </c>
      <c r="X50" s="32">
        <f>'TUSD BE'!$X$50*'TUSD BE'!$X$63</f>
        <v>0</v>
      </c>
      <c r="Y50" s="32">
        <f>'TUSD BE'!$Y$50*'TUSD BE'!$Y$63</f>
        <v>-0.31187169403552228</v>
      </c>
      <c r="Z50" s="32">
        <f>'TUSD BE'!$Z$50*'TUSD BE'!$Z$63</f>
        <v>0</v>
      </c>
      <c r="AA50" s="32">
        <f>'TUSD BE'!$AA$50*'TUSD BE'!$AA$63</f>
        <v>0</v>
      </c>
      <c r="AB50" s="32">
        <f>SUM($U$50:$AA$50)</f>
        <v>6.4358150456998757</v>
      </c>
      <c r="AC50" s="32">
        <f>'TUSD BE'!$AC$50*'TUSD BE'!$AC$63</f>
        <v>-2.5741875256497986</v>
      </c>
      <c r="AD50" s="32">
        <f>SUM($AC$50:$AC$50)</f>
        <v>-2.5741875256497986</v>
      </c>
      <c r="AE50" s="32">
        <f ca="1">$AO$50*$AO$60</f>
        <v>0</v>
      </c>
      <c r="AF50" s="32">
        <f ca="1">$AP$50*$AP$60</f>
        <v>0</v>
      </c>
      <c r="AG50" s="32">
        <f ca="1">SUM($AE$50:$AF$50)</f>
        <v>0</v>
      </c>
      <c r="AH50" s="32">
        <f>'TUSD BE'!$AH$50*'TUSD BE'!$AH$63</f>
        <v>-4.1969410607971929</v>
      </c>
      <c r="AI50" s="32">
        <f>'TUSD BE'!$AI$50*'TUSD BE'!$AI$63</f>
        <v>-0.30222889650438173</v>
      </c>
      <c r="AJ50" s="32">
        <f ca="1">'TUSD BE'!$AJ$50*'TUSD BE'!$AJ$63</f>
        <v>-10.380991275750787</v>
      </c>
      <c r="AK50" s="32">
        <f ca="1">'TUSD BE'!$AK$50*'TUSD BE'!$AK$63</f>
        <v>4.7840223401596154</v>
      </c>
      <c r="AL50" s="32">
        <f ca="1">SUM($AH$50:$AK$50)</f>
        <v>-10.096138892892746</v>
      </c>
      <c r="AM50" s="32">
        <f ca="1">SUMIF($L$4:$AL$4,"SUBTOTAL",$L$50:$AL$50)</f>
        <v>-6.4791129479862972</v>
      </c>
      <c r="AO50" s="37">
        <f ca="1">+'TUSD BE'!$T$50+'TUSD BE'!$AB$50+'TUSD BE'!$AD$50+'TUSD BE'!$AL$50</f>
        <v>1196.6687939331046</v>
      </c>
      <c r="AP50" s="37">
        <f ca="1">+'TUSD BE'!$T$50+'TUSD BE'!$AB$50+'TUSD BE'!$AD$50+'TUSD BE'!$AL$50</f>
        <v>1196.6687939331046</v>
      </c>
    </row>
    <row r="51" spans="1:42" ht="11.25" customHeight="1" x14ac:dyDescent="0.25">
      <c r="A51" s="124"/>
      <c r="B51" s="124"/>
      <c r="C51" s="124"/>
      <c r="D51" s="124"/>
      <c r="E51" s="124"/>
      <c r="F51" s="124"/>
      <c r="G51" s="28" t="s">
        <v>98</v>
      </c>
      <c r="H51" s="28" t="s">
        <v>86</v>
      </c>
      <c r="I51" s="28">
        <f>'MERCADO TUSD'!$U$48</f>
        <v>89.802000000000007</v>
      </c>
      <c r="J51" s="18"/>
      <c r="L51" s="32">
        <f>'TUSD BE'!$L$51*'TUSD BE'!$L$63</f>
        <v>0</v>
      </c>
      <c r="M51" s="32">
        <f>'TUSD BE'!$M$51*'TUSD BE'!$M$63</f>
        <v>1.2653236605102317E-2</v>
      </c>
      <c r="N51" s="32">
        <f ca="1">'TUSD BE'!$N$51*'TUSD BE'!$N$63</f>
        <v>-3.1081909832619905E-5</v>
      </c>
      <c r="O51" s="32">
        <f>'TUSD BE'!$O$51*'TUSD BE'!$O$63</f>
        <v>0</v>
      </c>
      <c r="P51" s="32">
        <f>'TUSD BE'!$P$51*'TUSD BE'!$P$63</f>
        <v>0</v>
      </c>
      <c r="Q51" s="32">
        <f>'TUSD BE'!$Q$51*'TUSD BE'!$Q$63</f>
        <v>-0.56691440809168159</v>
      </c>
      <c r="R51" s="32">
        <f>'TUSD BE'!$R$51*'TUSD BE'!$R$63</f>
        <v>0.30970347426938061</v>
      </c>
      <c r="S51" s="32">
        <f>'TUSD BE'!$R$51*'TUSD BE'!$S$63</f>
        <v>0</v>
      </c>
      <c r="T51" s="32">
        <f ca="1">SUM($L$51:$S$51)</f>
        <v>-0.24458877912703125</v>
      </c>
      <c r="U51" s="32">
        <f>'TUSD BE'!$U$51*'TUSD BE'!$U$63</f>
        <v>3.2158317769064682</v>
      </c>
      <c r="V51" s="32">
        <f>'TUSD BE'!$V$51*'TUSD BE'!$V$63</f>
        <v>0.85944033003021814</v>
      </c>
      <c r="W51" s="32">
        <f>'TUSD BE'!$W$51*'TUSD BE'!$W$63</f>
        <v>-2.6662079343326161E-2</v>
      </c>
      <c r="X51" s="32">
        <f>'TUSD BE'!$X$51*'TUSD BE'!$X$63</f>
        <v>0</v>
      </c>
      <c r="Y51" s="32">
        <f>'TUSD BE'!$Y$51*'TUSD BE'!$Y$63</f>
        <v>-0.18711230286260377</v>
      </c>
      <c r="Z51" s="32">
        <f>'TUSD BE'!$Z$51*'TUSD BE'!$Z$63</f>
        <v>0</v>
      </c>
      <c r="AA51" s="32">
        <f>'TUSD BE'!$AA$51*'TUSD BE'!$AA$63</f>
        <v>0</v>
      </c>
      <c r="AB51" s="32">
        <f>SUM($U$51:$AA$51)</f>
        <v>3.8614977247307558</v>
      </c>
      <c r="AC51" s="32">
        <f>'TUSD BE'!$AC$51*'TUSD BE'!$AC$63</f>
        <v>-1.5445125153898793</v>
      </c>
      <c r="AD51" s="32">
        <f>SUM($AC$51:$AC$51)</f>
        <v>-1.5445125153898793</v>
      </c>
      <c r="AE51" s="32">
        <f ca="1">$AO$51*$AO$60</f>
        <v>0</v>
      </c>
      <c r="AF51" s="32">
        <f ca="1">$AP$51*$AP$60</f>
        <v>0</v>
      </c>
      <c r="AG51" s="32">
        <f ca="1">SUM($AE$51:$AF$51)</f>
        <v>0</v>
      </c>
      <c r="AH51" s="32">
        <f>'TUSD BE'!$AH$51*'TUSD BE'!$AH$63</f>
        <v>-4.1969410607971929</v>
      </c>
      <c r="AI51" s="32">
        <f>'TUSD BE'!$AI$51*'TUSD BE'!$AI$63</f>
        <v>-0.30222889650438173</v>
      </c>
      <c r="AJ51" s="32">
        <f ca="1">'TUSD BE'!$AJ$51*'TUSD BE'!$AJ$63</f>
        <v>-10.380991275750787</v>
      </c>
      <c r="AK51" s="32">
        <f ca="1">'TUSD BE'!$AK$51*'TUSD BE'!$AK$63</f>
        <v>4.7840223401596154</v>
      </c>
      <c r="AL51" s="32">
        <f ca="1">SUM($AH$51:$AK$51)</f>
        <v>-10.096138892892746</v>
      </c>
      <c r="AM51" s="32">
        <f ca="1">SUMIF($L$4:$AL$4,"SUBTOTAL",$L$51:$AL$51)</f>
        <v>-8.0237424626789</v>
      </c>
      <c r="AO51" s="37">
        <f ca="1">+'TUSD BE'!$T$51+'TUSD BE'!$AB$51+'TUSD BE'!$AD$51+'TUSD BE'!$AL$51</f>
        <v>808.91094957439122</v>
      </c>
      <c r="AP51" s="37">
        <f ca="1">+'TUSD BE'!$T$51+'TUSD BE'!$AB$51+'TUSD BE'!$AD$51+'TUSD BE'!$AL$51</f>
        <v>808.91094957439122</v>
      </c>
    </row>
    <row r="52" spans="1:42" ht="11.25" customHeight="1" x14ac:dyDescent="0.25">
      <c r="A52" s="124"/>
      <c r="B52" s="124"/>
      <c r="C52" s="124"/>
      <c r="D52" s="124"/>
      <c r="E52" s="124"/>
      <c r="F52" s="124"/>
      <c r="G52" s="28" t="s">
        <v>88</v>
      </c>
      <c r="H52" s="28" t="s">
        <v>86</v>
      </c>
      <c r="I52" s="28">
        <f>'MERCADO TUSD'!$U$49</f>
        <v>2507.7720000000004</v>
      </c>
      <c r="J52" s="18"/>
      <c r="L52" s="32">
        <f>'TUSD BE'!$L$52*'TUSD BE'!$L$63</f>
        <v>0</v>
      </c>
      <c r="M52" s="32">
        <f>'TUSD BE'!$M$52*'TUSD BE'!$M$63</f>
        <v>1.2653236605102317E-2</v>
      </c>
      <c r="N52" s="32">
        <f ca="1">'TUSD BE'!$N$52*'TUSD BE'!$N$63</f>
        <v>-1.8285896840781607E-5</v>
      </c>
      <c r="O52" s="32">
        <f>'TUSD BE'!$O$52*'TUSD BE'!$O$63</f>
        <v>0</v>
      </c>
      <c r="P52" s="32">
        <f>'TUSD BE'!$P$52*'TUSD BE'!$P$63</f>
        <v>0</v>
      </c>
      <c r="Q52" s="32">
        <f>'TUSD BE'!$Q$52*'TUSD BE'!$Q$63</f>
        <v>-0.56691440809168159</v>
      </c>
      <c r="R52" s="32">
        <f>'TUSD BE'!$R$52*'TUSD BE'!$R$63</f>
        <v>0.30970347426938061</v>
      </c>
      <c r="S52" s="32">
        <f>'TUSD BE'!$R$52*'TUSD BE'!$S$63</f>
        <v>0</v>
      </c>
      <c r="T52" s="32">
        <f ca="1">SUM($L$52:$S$52)</f>
        <v>-0.2445759831140395</v>
      </c>
      <c r="U52" s="32">
        <f>'TUSD BE'!$U$52*'TUSD BE'!$U$63</f>
        <v>1.0719452242688556</v>
      </c>
      <c r="V52" s="32">
        <f>'TUSD BE'!$V$52*'TUSD BE'!$V$63</f>
        <v>0.28648243953332092</v>
      </c>
      <c r="W52" s="32">
        <f>'TUSD BE'!$W$52*'TUSD BE'!$W$63</f>
        <v>-8.8873597811087203E-3</v>
      </c>
      <c r="X52" s="32">
        <f>'TUSD BE'!$X$52*'TUSD BE'!$X$63</f>
        <v>0</v>
      </c>
      <c r="Y52" s="32">
        <f>'TUSD BE'!$Y$52*'TUSD BE'!$Y$63</f>
        <v>-6.235291168968532E-2</v>
      </c>
      <c r="Z52" s="32">
        <f>'TUSD BE'!$Z$52*'TUSD BE'!$Z$63</f>
        <v>0</v>
      </c>
      <c r="AA52" s="32">
        <f>'TUSD BE'!$AA$52*'TUSD BE'!$AA$63</f>
        <v>0</v>
      </c>
      <c r="AB52" s="32">
        <f>SUM($U$52:$AA$52)</f>
        <v>1.2871873923313826</v>
      </c>
      <c r="AC52" s="32">
        <f>'TUSD BE'!$AC$52*'TUSD BE'!$AC$63</f>
        <v>-0.51483750512995974</v>
      </c>
      <c r="AD52" s="32">
        <f>SUM($AC$52:$AC$52)</f>
        <v>-0.51483750512995974</v>
      </c>
      <c r="AE52" s="32">
        <f ca="1">$AO$52*$AO$60</f>
        <v>0</v>
      </c>
      <c r="AF52" s="32">
        <f ca="1">$AP$52*$AP$60</f>
        <v>0</v>
      </c>
      <c r="AG52" s="32">
        <f ca="1">SUM($AE$52:$AF$52)</f>
        <v>0</v>
      </c>
      <c r="AH52" s="32">
        <f>'TUSD BE'!$AH$52*'TUSD BE'!$AH$63</f>
        <v>-4.1969410607971929</v>
      </c>
      <c r="AI52" s="32">
        <f>'TUSD BE'!$AI$52*'TUSD BE'!$AI$63</f>
        <v>-0.30222889650438173</v>
      </c>
      <c r="AJ52" s="32">
        <f ca="1">'TUSD BE'!$AJ$52*'TUSD BE'!$AJ$63</f>
        <v>-10.380991275750787</v>
      </c>
      <c r="AK52" s="32">
        <f ca="1">'TUSD BE'!$AK$52*'TUSD BE'!$AK$63</f>
        <v>4.7840223401596154</v>
      </c>
      <c r="AL52" s="32">
        <f ca="1">SUM($AH$52:$AK$52)</f>
        <v>-10.096138892892746</v>
      </c>
      <c r="AM52" s="32">
        <f ca="1">SUMIF($L$4:$AL$4,"SUBTOTAL",$L$52:$AL$52)</f>
        <v>-9.5683649888053637</v>
      </c>
      <c r="AO52" s="37">
        <f ca="1">+'TUSD BE'!$T$52+'TUSD BE'!$AB$52+'TUSD BE'!$AD$52+'TUSD BE'!$AL$52</f>
        <v>421.15310806634744</v>
      </c>
      <c r="AP52" s="37">
        <f ca="1">+'TUSD BE'!$T$52+'TUSD BE'!$AB$52+'TUSD BE'!$AD$52+'TUSD BE'!$AL$52</f>
        <v>421.15310806634744</v>
      </c>
    </row>
    <row r="53" spans="1:42" ht="11.25" customHeight="1" x14ac:dyDescent="0.25">
      <c r="A53" s="124"/>
      <c r="B53" s="35" t="s">
        <v>23</v>
      </c>
      <c r="C53" s="35" t="s">
        <v>25</v>
      </c>
      <c r="D53" s="35" t="s">
        <v>25</v>
      </c>
      <c r="E53" s="35" t="s">
        <v>25</v>
      </c>
      <c r="F53" s="35" t="s">
        <v>25</v>
      </c>
      <c r="G53" s="28" t="s">
        <v>92</v>
      </c>
      <c r="H53" s="28" t="s">
        <v>86</v>
      </c>
      <c r="I53" s="28">
        <f>'MERCADO TUSD'!$U$50</f>
        <v>849619.68099999998</v>
      </c>
      <c r="J53" s="18"/>
      <c r="L53" s="32">
        <f>'TUSD BE'!$L$53*'TUSD BE'!$L$63</f>
        <v>0</v>
      </c>
      <c r="M53" s="32">
        <f>'TUSD BE'!$M$53*'TUSD BE'!$M$63</f>
        <v>1.2653236605102317E-2</v>
      </c>
      <c r="N53" s="32">
        <f ca="1">'TUSD BE'!$N$53*'TUSD BE'!$N$63</f>
        <v>-2.0774009777205824E-5</v>
      </c>
      <c r="O53" s="32">
        <f>'TUSD BE'!$O$53*'TUSD BE'!$O$63</f>
        <v>0</v>
      </c>
      <c r="P53" s="32">
        <f>'TUSD BE'!$P$53*'TUSD BE'!$P$63</f>
        <v>0</v>
      </c>
      <c r="Q53" s="32">
        <f>'TUSD BE'!$Q$53*'TUSD BE'!$Q$63</f>
        <v>-0.56691440809168159</v>
      </c>
      <c r="R53" s="32">
        <f>'TUSD BE'!$R$53*'TUSD BE'!$R$63</f>
        <v>0.30970347426938061</v>
      </c>
      <c r="S53" s="32">
        <f>'TUSD BE'!$R$53*'TUSD BE'!$S$63</f>
        <v>0</v>
      </c>
      <c r="T53" s="32">
        <f ca="1">SUM($L$53:$S$53)</f>
        <v>-0.24457847122697585</v>
      </c>
      <c r="U53" s="32">
        <f>'TUSD BE'!$U$53*'TUSD BE'!$U$63</f>
        <v>1.4888104306566836</v>
      </c>
      <c r="V53" s="32">
        <f>'TUSD BE'!$V$53*'TUSD BE'!$V$63</f>
        <v>0.3978872298292413</v>
      </c>
      <c r="W53" s="32">
        <f>'TUSD BE'!$W$53*'TUSD BE'!$W$63</f>
        <v>-1.2343364396414239E-2</v>
      </c>
      <c r="X53" s="32">
        <f>'TUSD BE'!$X$53*'TUSD BE'!$X$63</f>
        <v>0</v>
      </c>
      <c r="Y53" s="32">
        <f>'TUSD BE'!$Y$53*'TUSD BE'!$Y$63</f>
        <v>-8.6619122166856674E-2</v>
      </c>
      <c r="Z53" s="32">
        <f>'TUSD BE'!$Z$53*'TUSD BE'!$Z$63</f>
        <v>0</v>
      </c>
      <c r="AA53" s="32">
        <f>'TUSD BE'!$AA$53*'TUSD BE'!$AA$63</f>
        <v>0</v>
      </c>
      <c r="AB53" s="32">
        <f>SUM($U$53:$AA$53)</f>
        <v>1.7877351739226541</v>
      </c>
      <c r="AC53" s="32">
        <f>'TUSD BE'!$AC$53*'TUSD BE'!$AC$63</f>
        <v>-0.71505228632512796</v>
      </c>
      <c r="AD53" s="32">
        <f>SUM($AC$53:$AC$53)</f>
        <v>-0.71505228632512796</v>
      </c>
      <c r="AE53" s="32">
        <f ca="1">$AO$53*$AO$60</f>
        <v>0</v>
      </c>
      <c r="AF53" s="32">
        <f ca="1">$AP$53*$AP$60</f>
        <v>0</v>
      </c>
      <c r="AG53" s="32">
        <f ca="1">SUM($AE$53:$AF$53)</f>
        <v>0</v>
      </c>
      <c r="AH53" s="32">
        <f>'TUSD BE'!$AH$53*'TUSD BE'!$AH$63</f>
        <v>-4.1969410607971929</v>
      </c>
      <c r="AI53" s="32">
        <f>'TUSD BE'!$AI$53*'TUSD BE'!$AI$63</f>
        <v>-0.30222889650438173</v>
      </c>
      <c r="AJ53" s="32">
        <f ca="1">'TUSD BE'!$AJ$53*'TUSD BE'!$AJ$63</f>
        <v>-10.380991275750787</v>
      </c>
      <c r="AK53" s="32">
        <f ca="1">'TUSD BE'!$AK$53*'TUSD BE'!$AK$63</f>
        <v>4.7840223401596154</v>
      </c>
      <c r="AL53" s="32">
        <f ca="1">SUM($AH$53:$AK$53)</f>
        <v>-10.096138892892746</v>
      </c>
      <c r="AM53" s="32">
        <f ca="1">SUMIF($L$4:$AL$4,"SUBTOTAL",$L$53:$AL$53)</f>
        <v>-9.268034476522196</v>
      </c>
      <c r="AO53" s="37">
        <f ca="1">+'TUSD BE'!$T$53+'TUSD BE'!$AB$53+'TUSD BE'!$AD$53+'TUSD BE'!$AL$53</f>
        <v>496.55049493364771</v>
      </c>
      <c r="AP53" s="37">
        <f ca="1">+'TUSD BE'!$T$53+'TUSD BE'!$AB$53+'TUSD BE'!$AD$53+'TUSD BE'!$AL$53</f>
        <v>496.55049493364771</v>
      </c>
    </row>
    <row r="54" spans="1:42" ht="11.25" customHeight="1" x14ac:dyDescent="0.25">
      <c r="A54" s="124"/>
      <c r="B54" s="35" t="s">
        <v>100</v>
      </c>
      <c r="C54" s="35" t="s">
        <v>25</v>
      </c>
      <c r="D54" s="35" t="s">
        <v>25</v>
      </c>
      <c r="E54" s="35" t="s">
        <v>25</v>
      </c>
      <c r="F54" s="35" t="s">
        <v>25</v>
      </c>
      <c r="G54" s="28" t="s">
        <v>92</v>
      </c>
      <c r="H54" s="28" t="s">
        <v>86</v>
      </c>
      <c r="I54" s="28">
        <f>'MERCADO TUSD'!$U$51</f>
        <v>0</v>
      </c>
      <c r="J54" s="18"/>
      <c r="L54" s="32">
        <f>'TUSD BE'!$L$54*'TUSD BE'!$L$63</f>
        <v>0</v>
      </c>
      <c r="M54" s="32">
        <f>'TUSD BE'!$M$54*'TUSD BE'!$M$63</f>
        <v>1.2653236605102317E-2</v>
      </c>
      <c r="N54" s="32">
        <f ca="1">'TUSD BE'!$N$54*'TUSD BE'!$N$63</f>
        <v>-2.0774009777205824E-5</v>
      </c>
      <c r="O54" s="32">
        <f>'TUSD BE'!$O$54*'TUSD BE'!$O$63</f>
        <v>0</v>
      </c>
      <c r="P54" s="32">
        <f>'TUSD BE'!$P$54*'TUSD BE'!$P$63</f>
        <v>0</v>
      </c>
      <c r="Q54" s="32">
        <f>'TUSD BE'!$Q$54*'TUSD BE'!$Q$63</f>
        <v>-0.56691440809168159</v>
      </c>
      <c r="R54" s="32">
        <f>'TUSD BE'!$R$54*'TUSD BE'!$R$63</f>
        <v>0.30970347426938061</v>
      </c>
      <c r="S54" s="32">
        <f>'TUSD BE'!$R$54*'TUSD BE'!$S$63</f>
        <v>0</v>
      </c>
      <c r="T54" s="32">
        <f ca="1">SUM($L$54:$S$54)</f>
        <v>-0.24457847122697585</v>
      </c>
      <c r="U54" s="32">
        <f>'TUSD BE'!$U$54*'TUSD BE'!$U$63</f>
        <v>1.4888104306566836</v>
      </c>
      <c r="V54" s="32">
        <f>'TUSD BE'!$V$54*'TUSD BE'!$V$63</f>
        <v>0.3978872298292413</v>
      </c>
      <c r="W54" s="32">
        <f>'TUSD BE'!$W$54*'TUSD BE'!$W$63</f>
        <v>-1.2343364396414239E-2</v>
      </c>
      <c r="X54" s="32">
        <f>'TUSD BE'!$X$54*'TUSD BE'!$X$63</f>
        <v>0</v>
      </c>
      <c r="Y54" s="32">
        <f>'TUSD BE'!$Y$54*'TUSD BE'!$Y$63</f>
        <v>-8.6619122166856674E-2</v>
      </c>
      <c r="Z54" s="32">
        <f>'TUSD BE'!$Z$54*'TUSD BE'!$Z$63</f>
        <v>0</v>
      </c>
      <c r="AA54" s="32">
        <f>'TUSD BE'!$AA$54*'TUSD BE'!$AA$63</f>
        <v>0</v>
      </c>
      <c r="AB54" s="32">
        <f>SUM($U$54:$AA$54)</f>
        <v>1.7877351739226541</v>
      </c>
      <c r="AC54" s="32">
        <f>'TUSD BE'!$AC$54*'TUSD BE'!$AC$63</f>
        <v>-0.71505228632512796</v>
      </c>
      <c r="AD54" s="32">
        <f>SUM($AC$54:$AC$54)</f>
        <v>-0.71505228632512796</v>
      </c>
      <c r="AE54" s="32">
        <f ca="1">$AO$54*$AO$60</f>
        <v>0</v>
      </c>
      <c r="AF54" s="32">
        <f ca="1">$AP$54*$AP$60</f>
        <v>0</v>
      </c>
      <c r="AG54" s="32">
        <f ca="1">SUM($AE$54:$AF$54)</f>
        <v>0</v>
      </c>
      <c r="AH54" s="32">
        <f>'TUSD BE'!$AH$54*'TUSD BE'!$AH$63</f>
        <v>-4.1969410607971929</v>
      </c>
      <c r="AI54" s="32">
        <f>'TUSD BE'!$AI$54*'TUSD BE'!$AI$63</f>
        <v>-0.30222889650438173</v>
      </c>
      <c r="AJ54" s="32">
        <f ca="1">'TUSD BE'!$AJ$54*'TUSD BE'!$AJ$63</f>
        <v>-10.380991275750787</v>
      </c>
      <c r="AK54" s="32">
        <f ca="1">'TUSD BE'!$AK$54*'TUSD BE'!$AK$63</f>
        <v>4.7840223401596154</v>
      </c>
      <c r="AL54" s="32">
        <f ca="1">SUM($AH$54:$AK$54)</f>
        <v>-10.096138892892746</v>
      </c>
      <c r="AM54" s="32">
        <f ca="1">SUMIF($L$4:$AL$4,"SUBTOTAL",$L$54:$AL$54)</f>
        <v>-9.268034476522196</v>
      </c>
      <c r="AO54" s="37">
        <f ca="1">+'TUSD BE'!$T$54+'TUSD BE'!$AB$54+'TUSD BE'!$AD$54+'TUSD BE'!$AL$54</f>
        <v>496.55049493364771</v>
      </c>
      <c r="AP54" s="37">
        <f ca="1">+'TUSD BE'!$T$54+'TUSD BE'!$AB$54+'TUSD BE'!$AD$54+'TUSD BE'!$AL$54</f>
        <v>496.55049493364771</v>
      </c>
    </row>
    <row r="55" spans="1:42" ht="11.25" customHeight="1" x14ac:dyDescent="0.25">
      <c r="A55" s="124" t="s">
        <v>49</v>
      </c>
      <c r="B55" s="124" t="s">
        <v>23</v>
      </c>
      <c r="C55" s="124" t="s">
        <v>50</v>
      </c>
      <c r="D55" s="35" t="s">
        <v>51</v>
      </c>
      <c r="E55" s="35" t="s">
        <v>25</v>
      </c>
      <c r="F55" s="35" t="s">
        <v>25</v>
      </c>
      <c r="G55" s="28" t="s">
        <v>92</v>
      </c>
      <c r="H55" s="28" t="s">
        <v>86</v>
      </c>
      <c r="I55" s="28">
        <f>'MERCADO TUSD'!$U$52</f>
        <v>200182.10399999999</v>
      </c>
      <c r="J55" s="18"/>
      <c r="L55" s="32">
        <f>'TUSD BE'!$L$55*'TUSD BE'!$L$63</f>
        <v>0</v>
      </c>
      <c r="M55" s="32">
        <f>'TUSD BE'!$M$55*'TUSD BE'!$M$63</f>
        <v>6.9592801328062755E-3</v>
      </c>
      <c r="N55" s="32">
        <f ca="1">'TUSD BE'!$N$55*'TUSD BE'!$N$63</f>
        <v>-1.1425705377463206E-5</v>
      </c>
      <c r="O55" s="32">
        <f>'TUSD BE'!$O$55*'TUSD BE'!$O$63</f>
        <v>0</v>
      </c>
      <c r="P55" s="32">
        <f>'TUSD BE'!$P$55*'TUSD BE'!$P$63</f>
        <v>0</v>
      </c>
      <c r="Q55" s="32">
        <f>'TUSD BE'!$Q$55*'TUSD BE'!$Q$63</f>
        <v>-0.3118029244504249</v>
      </c>
      <c r="R55" s="32">
        <f>'TUSD BE'!$R$55*'TUSD BE'!$R$63</f>
        <v>0.17033691084815933</v>
      </c>
      <c r="S55" s="32">
        <f>'TUSD BE'!$R$55*'TUSD BE'!$S$63</f>
        <v>0</v>
      </c>
      <c r="T55" s="32">
        <f ca="1">SUM($L$55:$S$55)</f>
        <v>-0.13451815917483678</v>
      </c>
      <c r="U55" s="32">
        <f>'TUSD BE'!$U$55*'TUSD BE'!$U$63</f>
        <v>0.81884573686117612</v>
      </c>
      <c r="V55" s="32">
        <f>'TUSD BE'!$V$55*'TUSD BE'!$V$63</f>
        <v>0.21883797640608271</v>
      </c>
      <c r="W55" s="32">
        <f>'TUSD BE'!$W$55*'TUSD BE'!$W$63</f>
        <v>-6.788850418027831E-3</v>
      </c>
      <c r="X55" s="32">
        <f>'TUSD BE'!$X$55*'TUSD BE'!$X$63</f>
        <v>0</v>
      </c>
      <c r="Y55" s="32">
        <f>'TUSD BE'!$Y$55*'TUSD BE'!$Y$63</f>
        <v>-4.7640517191771176E-2</v>
      </c>
      <c r="Z55" s="32">
        <f>'TUSD BE'!$Z$55*'TUSD BE'!$Z$63</f>
        <v>0</v>
      </c>
      <c r="AA55" s="32">
        <f>'TUSD BE'!$AA$55*'TUSD BE'!$AA$63</f>
        <v>0</v>
      </c>
      <c r="AB55" s="32">
        <f>SUM($U$55:$AA$55)</f>
        <v>0.98325434565745995</v>
      </c>
      <c r="AC55" s="32">
        <f>'TUSD BE'!$AC$55*'TUSD BE'!$AC$63</f>
        <v>-0.39327875747882046</v>
      </c>
      <c r="AD55" s="32">
        <f>SUM($AC$55:$AC$55)</f>
        <v>-0.39327875747882046</v>
      </c>
      <c r="AE55" s="32">
        <f ca="1">$AO$55*$AO$60</f>
        <v>0</v>
      </c>
      <c r="AF55" s="32">
        <f ca="1">$AP$55*$AP$60</f>
        <v>0</v>
      </c>
      <c r="AG55" s="32">
        <f ca="1">SUM($AE$55:$AF$55)</f>
        <v>0</v>
      </c>
      <c r="AH55" s="32">
        <f>'TUSD BE'!$AH$55*'TUSD BE'!$AH$63</f>
        <v>-2.3083175834384564</v>
      </c>
      <c r="AI55" s="32">
        <f>'TUSD BE'!$AI$55*'TUSD BE'!$AI$63</f>
        <v>-0.16622589307740998</v>
      </c>
      <c r="AJ55" s="32">
        <f ca="1">'TUSD BE'!$AJ$55*'TUSD BE'!$AJ$63</f>
        <v>-5.7095452016629329</v>
      </c>
      <c r="AK55" s="32">
        <f ca="1">'TUSD BE'!$AK$55*'TUSD BE'!$AK$63</f>
        <v>2.6312122870877888</v>
      </c>
      <c r="AL55" s="32">
        <f ca="1">SUM($AH$55:$AK$55)</f>
        <v>-5.5528763910910106</v>
      </c>
      <c r="AM55" s="32">
        <f ca="1">SUMIF($L$4:$AL$4,"SUBTOTAL",$L$55:$AL$55)</f>
        <v>-5.0974189620872075</v>
      </c>
      <c r="AO55" s="37">
        <f ca="1">+'TUSD BE'!$T$55+'TUSD BE'!$AB$55+'TUSD BE'!$AD$55+'TUSD BE'!$AL$55</f>
        <v>273.10277221350628</v>
      </c>
      <c r="AP55" s="37">
        <f ca="1">+'TUSD BE'!$T$55+'TUSD BE'!$AB$55+'TUSD BE'!$AD$55+'TUSD BE'!$AL$55</f>
        <v>273.10277221350628</v>
      </c>
    </row>
    <row r="56" spans="1:42" ht="11.25" customHeight="1" x14ac:dyDescent="0.25">
      <c r="A56" s="124"/>
      <c r="B56" s="124"/>
      <c r="C56" s="124"/>
      <c r="D56" s="28" t="s">
        <v>102</v>
      </c>
      <c r="E56" s="28" t="s">
        <v>25</v>
      </c>
      <c r="F56" s="28" t="s">
        <v>25</v>
      </c>
      <c r="G56" s="28" t="s">
        <v>92</v>
      </c>
      <c r="H56" s="28" t="s">
        <v>86</v>
      </c>
      <c r="I56" s="28">
        <f>'MERCADO TUSD'!$U$53</f>
        <v>0</v>
      </c>
      <c r="J56" s="18"/>
      <c r="L56" s="32">
        <f>'TUSD BE'!$L$56*'TUSD BE'!$L$63</f>
        <v>0</v>
      </c>
      <c r="M56" s="32">
        <f>'TUSD BE'!$M$56*'TUSD BE'!$M$63</f>
        <v>7.5919419630613907E-3</v>
      </c>
      <c r="N56" s="32">
        <f ca="1">'TUSD BE'!$N$56*'TUSD BE'!$N$63</f>
        <v>-1.2464405866323497E-5</v>
      </c>
      <c r="O56" s="32">
        <f>'TUSD BE'!$O$56*'TUSD BE'!$O$63</f>
        <v>0</v>
      </c>
      <c r="P56" s="32">
        <f>'TUSD BE'!$P$56*'TUSD BE'!$P$63</f>
        <v>0</v>
      </c>
      <c r="Q56" s="32">
        <f>'TUSD BE'!$Q$56*'TUSD BE'!$Q$63</f>
        <v>-0.34014864485500895</v>
      </c>
      <c r="R56" s="32">
        <f>'TUSD BE'!$R$56*'TUSD BE'!$R$63</f>
        <v>0.18582208456162835</v>
      </c>
      <c r="S56" s="32">
        <f>'TUSD BE'!$R$56*'TUSD BE'!$S$63</f>
        <v>0</v>
      </c>
      <c r="T56" s="32">
        <f ca="1">SUM($L$56:$S$56)</f>
        <v>-0.14674708273618553</v>
      </c>
      <c r="U56" s="32">
        <f>'TUSD BE'!$U$56*'TUSD BE'!$U$63</f>
        <v>0.89328625839401021</v>
      </c>
      <c r="V56" s="32">
        <f>'TUSD BE'!$V$56*'TUSD BE'!$V$63</f>
        <v>0.23873233789754478</v>
      </c>
      <c r="W56" s="32">
        <f>'TUSD BE'!$W$56*'TUSD BE'!$W$63</f>
        <v>-7.4060186378485417E-3</v>
      </c>
      <c r="X56" s="32">
        <f>'TUSD BE'!$X$56*'TUSD BE'!$X$63</f>
        <v>0</v>
      </c>
      <c r="Y56" s="32">
        <f>'TUSD BE'!$Y$56*'TUSD BE'!$Y$63</f>
        <v>-5.1971473300114E-2</v>
      </c>
      <c r="Z56" s="32">
        <f>'TUSD BE'!$Z$56*'TUSD BE'!$Z$63</f>
        <v>0</v>
      </c>
      <c r="AA56" s="32">
        <f>'TUSD BE'!$AA$56*'TUSD BE'!$AA$63</f>
        <v>0</v>
      </c>
      <c r="AB56" s="32">
        <f>SUM($U$56:$AA$56)</f>
        <v>1.0726411043535924</v>
      </c>
      <c r="AC56" s="32">
        <f>'TUSD BE'!$AC$56*'TUSD BE'!$AC$63</f>
        <v>-0.42903137179507678</v>
      </c>
      <c r="AD56" s="32">
        <f>SUM($AC$56:$AC$56)</f>
        <v>-0.42903137179507678</v>
      </c>
      <c r="AE56" s="32">
        <f ca="1">$AO$56*$AO$60</f>
        <v>0</v>
      </c>
      <c r="AF56" s="32">
        <f ca="1">$AP$56*$AP$60</f>
        <v>0</v>
      </c>
      <c r="AG56" s="32">
        <f ca="1">SUM($AE$56:$AF$56)</f>
        <v>0</v>
      </c>
      <c r="AH56" s="32">
        <f>'TUSD BE'!$AH$56*'TUSD BE'!$AH$63</f>
        <v>-2.5181646364783159</v>
      </c>
      <c r="AI56" s="32">
        <f>'TUSD BE'!$AI$56*'TUSD BE'!$AI$63</f>
        <v>-0.18133733790262904</v>
      </c>
      <c r="AJ56" s="32">
        <f ca="1">'TUSD BE'!$AJ$56*'TUSD BE'!$AJ$63</f>
        <v>-6.2285947654504721</v>
      </c>
      <c r="AK56" s="32">
        <f ca="1">'TUSD BE'!$AK$56*'TUSD BE'!$AK$63</f>
        <v>2.8704134040957694</v>
      </c>
      <c r="AL56" s="32">
        <f ca="1">SUM($AH$56:$AK$56)</f>
        <v>-6.0576833357356481</v>
      </c>
      <c r="AM56" s="32">
        <f ca="1">SUMIF($L$4:$AL$4,"SUBTOTAL",$L$56:$AL$56)</f>
        <v>-5.5608206859133178</v>
      </c>
      <c r="AO56" s="37">
        <f ca="1">+'TUSD BE'!$T$56+'TUSD BE'!$AB$56+'TUSD BE'!$AD$56+'TUSD BE'!$AL$56</f>
        <v>297.93029696018863</v>
      </c>
      <c r="AP56" s="37">
        <f ca="1">+'TUSD BE'!$T$56+'TUSD BE'!$AB$56+'TUSD BE'!$AD$56+'TUSD BE'!$AL$56</f>
        <v>297.93029696018863</v>
      </c>
    </row>
    <row r="58" spans="1:42" ht="11.25" customHeight="1" x14ac:dyDescent="0.25">
      <c r="K58" s="34" t="s">
        <v>755</v>
      </c>
      <c r="L58" s="32">
        <f>SUMPRODUCT($I$5:$I56,$L$5:$L56)</f>
        <v>0</v>
      </c>
      <c r="M58" s="32">
        <f>SUMPRODUCT($I$5:$I56,$M$5:$M56)</f>
        <v>61601.63450955462</v>
      </c>
      <c r="N58" s="32">
        <f ca="1">SUMPRODUCT($I$5:$I56,$N$5:$N56)</f>
        <v>-88.313053589204372</v>
      </c>
      <c r="O58" s="32">
        <f>SUMPRODUCT($I$5:$I56,$O$5:$O56)</f>
        <v>0</v>
      </c>
      <c r="P58" s="32">
        <f>SUMPRODUCT($I$5:$I56,$P$5:$P56)</f>
        <v>0</v>
      </c>
      <c r="Q58" s="32">
        <f>SUMPRODUCT($I$5:$I56,$Q$5:$Q56)</f>
        <v>-2902317.5432966761</v>
      </c>
      <c r="R58" s="32">
        <f>SUMPRODUCT($I$5:$I56,$R$5:$R56)</f>
        <v>1776312.7715905686</v>
      </c>
      <c r="S58" s="32">
        <f>SUMPRODUCT($I$5:$I56,$S$5:$S56)</f>
        <v>0</v>
      </c>
      <c r="T58" s="32">
        <f ca="1">SUMPRODUCT($I$5:$I56,$T$5:$T56)</f>
        <v>-1064491.4502501413</v>
      </c>
      <c r="U58" s="32">
        <f>SUMPRODUCT($I$5:$I56,$U$5:$U56)</f>
        <v>8035653.6614109566</v>
      </c>
      <c r="V58" s="32">
        <f>SUMPRODUCT($I$5:$I56,$V$5:$V56)</f>
        <v>2210177.0457875421</v>
      </c>
      <c r="W58" s="32">
        <f>SUMPRODUCT($I$5:$I56,$W$5:$W56)</f>
        <v>-57466.450171266632</v>
      </c>
      <c r="X58" s="32">
        <f>SUMPRODUCT($I$5:$I56,$X$5:$X56)</f>
        <v>0</v>
      </c>
      <c r="Y58" s="32">
        <f>SUMPRODUCT($I$5:$I56,$Y$5:$Y56)</f>
        <v>-395173.30076672434</v>
      </c>
      <c r="Z58" s="32">
        <f>SUMPRODUCT($I$5:$I56,$Z$5:$Z56)</f>
        <v>0</v>
      </c>
      <c r="AA58" s="32">
        <f>SUMPRODUCT($I$5:$I56,$AA$5:$AA56)</f>
        <v>0</v>
      </c>
      <c r="AB58" s="32">
        <f>SUMPRODUCT($I$5:$I56,$AB$5:$AB56)</f>
        <v>9793190.9562605098</v>
      </c>
      <c r="AC58" s="32">
        <f>SUMPRODUCT($I$5:$I56,$AC$5:$AC56)</f>
        <v>-3594572.5299999993</v>
      </c>
      <c r="AD58" s="32">
        <f>SUMPRODUCT($I$5:$I56,$AD$5:$AD56)</f>
        <v>-3594572.5299999993</v>
      </c>
      <c r="AE58" s="32">
        <f ca="1">SUMPRODUCT($I$5:$I56,$AE$5:$AE56)</f>
        <v>0</v>
      </c>
      <c r="AF58" s="32">
        <f ca="1">SUMPRODUCT($I$5:$I56,$AF$5:$AF56)</f>
        <v>0</v>
      </c>
      <c r="AG58" s="32">
        <f ca="1">SUMPRODUCT($I$5:$I56,$AG$5:$AG56)</f>
        <v>0</v>
      </c>
      <c r="AH58" s="32">
        <f>SUMPRODUCT($I$5:$I56,$AH$5:$AH56)</f>
        <v>-16040200.365766177</v>
      </c>
      <c r="AI58" s="32">
        <f>SUMPRODUCT($I$5:$I56,$AI$5:$AI56)</f>
        <v>-1109861.1008556802</v>
      </c>
      <c r="AJ58" s="32">
        <f ca="1">SUMPRODUCT($I$5:$I56,$AJ$5:$AJ56)</f>
        <v>-51081756.966717049</v>
      </c>
      <c r="AK58" s="32">
        <f ca="1">SUMPRODUCT($I$5:$I56,$AK$5:$AK56)</f>
        <v>23540744.810586918</v>
      </c>
      <c r="AL58" s="32">
        <f ca="1">SUMPRODUCT($I$5:$I56,$AL$5:$AL56)</f>
        <v>-44691073.622751988</v>
      </c>
      <c r="AM58" s="32">
        <f ca="1">SUMPRODUCT($I$5:$I56,$AM$5:$AM56)</f>
        <v>-39556946.646741606</v>
      </c>
      <c r="AO58" s="28">
        <f ca="1">SUMPRODUCT($I$5:$I56,$AO$5:$AO56)</f>
        <v>2442013267.2574902</v>
      </c>
      <c r="AP58" s="28">
        <f ca="1">SUMPRODUCT($I$5:$I56,$AP$5:$AP56)</f>
        <v>2442013267.2574902</v>
      </c>
    </row>
    <row r="59" spans="1:42" ht="11.25" customHeight="1" x14ac:dyDescent="0.25">
      <c r="K59" s="34" t="s">
        <v>687</v>
      </c>
      <c r="L59" s="32">
        <f>'TR TUSD'!$L$61</f>
        <v>72181534.130150154</v>
      </c>
      <c r="M59" s="32">
        <f>'TR TUSD'!$M$61</f>
        <v>4179133.5218580877</v>
      </c>
      <c r="N59" s="32">
        <f>'TR TUSD'!$N$61</f>
        <v>22575633.620101996</v>
      </c>
      <c r="O59" s="32">
        <f>'TR TUSD'!$O$61</f>
        <v>0</v>
      </c>
      <c r="P59" s="32">
        <f>'TR TUSD'!$P$61</f>
        <v>0</v>
      </c>
      <c r="Q59" s="32">
        <f>'TR TUSD'!$Q$61</f>
        <v>120915355.983422</v>
      </c>
      <c r="R59" s="32">
        <f>'TR TUSD'!$R$61</f>
        <v>54813707.898093797</v>
      </c>
      <c r="S59" s="32">
        <f>'TR TUSD'!$S$61</f>
        <v>0</v>
      </c>
      <c r="T59" s="32">
        <f>'TR TUSD'!$T$61</f>
        <v>274665365.15362602</v>
      </c>
      <c r="U59" s="32">
        <f>'TR TUSD'!$U$61</f>
        <v>194083962</v>
      </c>
      <c r="V59" s="32">
        <f>'TR TUSD'!$V$61</f>
        <v>610134</v>
      </c>
      <c r="W59" s="32">
        <f>'TR TUSD'!$W$61</f>
        <v>389243.48643104901</v>
      </c>
      <c r="X59" s="32">
        <f>'TR TUSD'!$X$61</f>
        <v>0</v>
      </c>
      <c r="Y59" s="32">
        <f>'TR TUSD'!$Y$61</f>
        <v>386771.25215000001</v>
      </c>
      <c r="Z59" s="32">
        <f>'TR TUSD'!$Z$61</f>
        <v>0</v>
      </c>
      <c r="AA59" s="32">
        <f>'TR TUSD'!$AA$61</f>
        <v>0</v>
      </c>
      <c r="AB59" s="32">
        <f>'TR TUSD'!$AB$61</f>
        <v>195470110.73858106</v>
      </c>
      <c r="AC59" s="32">
        <f>'TR TUSD'!$AC$61</f>
        <v>1160069789.4960818</v>
      </c>
      <c r="AD59" s="32">
        <f>'TR TUSD'!$AD$61</f>
        <v>1160069789.4960818</v>
      </c>
      <c r="AE59" s="32">
        <f>'TR TUSD'!$AE$61</f>
        <v>0</v>
      </c>
      <c r="AF59" s="32">
        <f>'TR TUSD'!$AF$61</f>
        <v>0</v>
      </c>
      <c r="AG59" s="32">
        <f>'TR TUSD'!$AG$61</f>
        <v>0</v>
      </c>
      <c r="AH59" s="32">
        <f>'TR TUSD'!$AH$61</f>
        <v>175986808.34960496</v>
      </c>
      <c r="AI59" s="32">
        <f>'TR TUSD'!$AI$61</f>
        <v>12176962.157395126</v>
      </c>
      <c r="AJ59" s="32">
        <f>'TR TUSD'!$AJ$61</f>
        <v>560449069.74161279</v>
      </c>
      <c r="AK59" s="32">
        <f>'TR TUSD'!$AK$61</f>
        <v>63195161.620588377</v>
      </c>
      <c r="AL59" s="32">
        <f>'TR TUSD'!$AL$61</f>
        <v>811808001.8692013</v>
      </c>
      <c r="AM59" s="32">
        <f>'TUSD BE'!$AM$59</f>
        <v>2442013267.2574902</v>
      </c>
      <c r="AO59" s="28">
        <f>$AE$60</f>
        <v>0</v>
      </c>
      <c r="AP59" s="28">
        <f>$AF$60</f>
        <v>0</v>
      </c>
    </row>
    <row r="60" spans="1:42" ht="11.25" customHeight="1" x14ac:dyDescent="0.25">
      <c r="K60" s="34" t="s">
        <v>688</v>
      </c>
      <c r="L60" s="32">
        <f>CUSTOS!$E$2</f>
        <v>0</v>
      </c>
      <c r="M60" s="32">
        <f>CUSTOS!$E$3</f>
        <v>61601.634509554628</v>
      </c>
      <c r="N60" s="32">
        <f>CUSTOS!$E$4</f>
        <v>-88.313053589204415</v>
      </c>
      <c r="O60" s="32">
        <f>CUSTOS!$E$5</f>
        <v>0</v>
      </c>
      <c r="P60" s="32">
        <f>CUSTOS!$E$6</f>
        <v>0</v>
      </c>
      <c r="Q60" s="32">
        <f>CUSTOS!$E$7</f>
        <v>-2902317.5432966761</v>
      </c>
      <c r="R60" s="32">
        <f>CUSTOS!$E$8</f>
        <v>1776312.7715905691</v>
      </c>
      <c r="S60" s="32">
        <f>CUSTOS!$E$9</f>
        <v>0</v>
      </c>
      <c r="T60" s="32">
        <f>CUSTOS!$E$10</f>
        <v>-1064491.4502501418</v>
      </c>
      <c r="U60" s="32">
        <f>CUSTOS!$E$11</f>
        <v>8035653.6614109576</v>
      </c>
      <c r="V60" s="32">
        <f>CUSTOS!$E$12</f>
        <v>2210177.0457875426</v>
      </c>
      <c r="W60" s="32">
        <f>CUSTOS!$E$13</f>
        <v>-57466.450171266639</v>
      </c>
      <c r="X60" s="32">
        <f>CUSTOS!$E$14</f>
        <v>0</v>
      </c>
      <c r="Y60" s="32">
        <f>CUSTOS!$E$15</f>
        <v>-395173.30076672439</v>
      </c>
      <c r="Z60" s="32">
        <f>CUSTOS!$E$16</f>
        <v>0</v>
      </c>
      <c r="AA60" s="32">
        <f>CUSTOS!$E$17</f>
        <v>0</v>
      </c>
      <c r="AB60" s="32">
        <f>CUSTOS!$E$18</f>
        <v>9793190.9562605098</v>
      </c>
      <c r="AC60" s="32">
        <f>CUSTOS!$E$19</f>
        <v>-3594572.5300000003</v>
      </c>
      <c r="AD60" s="32">
        <f>CUSTOS!$E$20</f>
        <v>-3594572.5300000003</v>
      </c>
      <c r="AE60" s="32">
        <f>CUSTOS!$E$21</f>
        <v>0</v>
      </c>
      <c r="AF60" s="32">
        <f>CUSTOS!$E$22</f>
        <v>0</v>
      </c>
      <c r="AG60" s="32">
        <f>CUSTOS!$E$23</f>
        <v>0</v>
      </c>
      <c r="AH60" s="32">
        <f>CUSTOS!$E$24</f>
        <v>-16040200.365766177</v>
      </c>
      <c r="AI60" s="32">
        <f>CUSTOS!$E$25</f>
        <v>-1109861.1008556804</v>
      </c>
      <c r="AJ60" s="32">
        <f>CUSTOS!$E$26</f>
        <v>-51081756.966717049</v>
      </c>
      <c r="AK60" s="32">
        <f>CUSTOS!$E$27</f>
        <v>23540744.810586918</v>
      </c>
      <c r="AL60" s="32">
        <f>CUSTOS!$E$28</f>
        <v>-44691073.622751996</v>
      </c>
      <c r="AM60" s="32">
        <f>CUSTOS!$E$29</f>
        <v>-39556946.646741629</v>
      </c>
      <c r="AO60" s="28">
        <f ca="1">IF(AO58&lt;&gt;0,AO59/AO58,0)</f>
        <v>0</v>
      </c>
      <c r="AP60" s="28">
        <f ca="1">IF(AP58&lt;&gt;0,AP59/AP58,0)</f>
        <v>0</v>
      </c>
    </row>
    <row r="61" spans="1:42" ht="11.25" customHeight="1" x14ac:dyDescent="0.25">
      <c r="K61" s="34" t="s">
        <v>689</v>
      </c>
      <c r="L61" s="32">
        <f>CUSTOS!$F$2</f>
        <v>0</v>
      </c>
      <c r="M61" s="32">
        <f>CUSTOS!$F$3</f>
        <v>0</v>
      </c>
      <c r="N61" s="32">
        <f>CUSTOS!$F$4</f>
        <v>0</v>
      </c>
      <c r="O61" s="32">
        <f>CUSTOS!$F$5</f>
        <v>0</v>
      </c>
      <c r="P61" s="32">
        <f>CUSTOS!$F$6</f>
        <v>0</v>
      </c>
      <c r="Q61" s="32">
        <f>CUSTOS!$F$7</f>
        <v>-6633262.1203369778</v>
      </c>
      <c r="R61" s="32">
        <f>CUSTOS!$F$8</f>
        <v>4298926.9364788132</v>
      </c>
      <c r="S61" s="32">
        <f>CUSTOS!$F$9</f>
        <v>0</v>
      </c>
      <c r="T61" s="32">
        <f>CUSTOS!$F$10</f>
        <v>-2334335.1838581646</v>
      </c>
      <c r="U61" s="32">
        <f>CUSTOS!$F$11</f>
        <v>26311802.053537685</v>
      </c>
      <c r="V61" s="32">
        <f>CUSTOS!$F$12</f>
        <v>82715.361273040995</v>
      </c>
      <c r="W61" s="32">
        <f>CUSTOS!$F$13</f>
        <v>0</v>
      </c>
      <c r="X61" s="32">
        <f>CUSTOS!$F$14</f>
        <v>0</v>
      </c>
      <c r="Y61" s="32">
        <f>CUSTOS!$F$15</f>
        <v>0</v>
      </c>
      <c r="Z61" s="32">
        <f>CUSTOS!$F$16</f>
        <v>0</v>
      </c>
      <c r="AA61" s="32">
        <f>CUSTOS!$F$17</f>
        <v>0</v>
      </c>
      <c r="AB61" s="32">
        <f>CUSTOS!$F$18</f>
        <v>26394517.414810725</v>
      </c>
      <c r="AC61" s="32">
        <f>CUSTOS!$F$19</f>
        <v>0</v>
      </c>
      <c r="AD61" s="32">
        <f>CUSTOS!$F$20</f>
        <v>0</v>
      </c>
      <c r="AE61" s="32">
        <f>CUSTOS!$F$21</f>
        <v>0</v>
      </c>
      <c r="AF61" s="32">
        <f>CUSTOS!$F$22</f>
        <v>0</v>
      </c>
      <c r="AG61" s="32">
        <f>CUSTOS!$F$23</f>
        <v>0</v>
      </c>
      <c r="AH61" s="32">
        <f>CUSTOS!$F$24</f>
        <v>16054813.951035799</v>
      </c>
      <c r="AI61" s="32">
        <f>CUSTOS!$F$25</f>
        <v>1110872.2509326711</v>
      </c>
      <c r="AJ61" s="32">
        <f>CUSTOS!$F$26</f>
        <v>51128295.513252199</v>
      </c>
      <c r="AK61" s="32">
        <f>CUSTOS!$F$27</f>
        <v>0</v>
      </c>
      <c r="AL61" s="32">
        <f>CUSTOS!$F$28</f>
        <v>68293981.71522066</v>
      </c>
      <c r="AM61" s="32">
        <f>CUSTOS!$F$29</f>
        <v>92354163.946173221</v>
      </c>
    </row>
    <row r="62" spans="1:42" ht="11.25" customHeight="1" x14ac:dyDescent="0.25">
      <c r="K62" s="34" t="s">
        <v>752</v>
      </c>
      <c r="L62" s="32">
        <v>0</v>
      </c>
      <c r="M62" s="32">
        <v>0</v>
      </c>
      <c r="N62" s="32">
        <v>0</v>
      </c>
      <c r="O62" s="32">
        <v>0</v>
      </c>
      <c r="P62" s="32">
        <v>0</v>
      </c>
      <c r="Q62" s="32">
        <v>0</v>
      </c>
      <c r="R62" s="32">
        <v>0</v>
      </c>
      <c r="S62" s="32">
        <v>0</v>
      </c>
      <c r="T62" s="32">
        <f>SUM($L$62:$S$62)</f>
        <v>0</v>
      </c>
      <c r="U62" s="32">
        <v>0</v>
      </c>
      <c r="V62" s="32">
        <v>0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f>SUM($U$62:$AA$62)</f>
        <v>0</v>
      </c>
      <c r="AC62" s="32">
        <v>0</v>
      </c>
      <c r="AD62" s="32">
        <f>SUM($AC$62:$AC$62)</f>
        <v>0</v>
      </c>
      <c r="AE62" s="32">
        <v>0</v>
      </c>
      <c r="AF62" s="32">
        <v>0</v>
      </c>
      <c r="AG62" s="32">
        <f>SUM($AE$62:$AF$62)</f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f>SUM($AH$62:$AK$62)</f>
        <v>0</v>
      </c>
      <c r="AM62" s="32"/>
    </row>
    <row r="63" spans="1:42" ht="11.25" customHeight="1" x14ac:dyDescent="0.25">
      <c r="K63" s="34" t="s">
        <v>764</v>
      </c>
      <c r="L63" s="32">
        <f t="shared" ref="L63:R63" si="0">IF((L59-(0))&lt;&gt;0,(L61)/(L59-(0)),0)</f>
        <v>0</v>
      </c>
      <c r="M63" s="32">
        <f t="shared" si="0"/>
        <v>0</v>
      </c>
      <c r="N63" s="32">
        <f t="shared" si="0"/>
        <v>0</v>
      </c>
      <c r="O63" s="32">
        <f t="shared" si="0"/>
        <v>0</v>
      </c>
      <c r="P63" s="32">
        <f t="shared" si="0"/>
        <v>0</v>
      </c>
      <c r="Q63" s="32">
        <f t="shared" si="0"/>
        <v>-5.4858723826992049E-2</v>
      </c>
      <c r="R63" s="32">
        <f t="shared" si="0"/>
        <v>7.8427953541678086E-2</v>
      </c>
      <c r="S63" s="32">
        <f>IF((R58-(0)&lt;&gt;0),(S60)/(R58-(0)),0)</f>
        <v>0</v>
      </c>
      <c r="T63" s="32"/>
      <c r="U63" s="32">
        <f t="shared" ref="U63:AA63" si="1">IF((U59-(0))&lt;&gt;0,(U61)/(U59-(0)),0)</f>
        <v>0.1355691721376632</v>
      </c>
      <c r="V63" s="32">
        <f t="shared" si="1"/>
        <v>0.1355691721376632</v>
      </c>
      <c r="W63" s="32">
        <f t="shared" si="1"/>
        <v>0</v>
      </c>
      <c r="X63" s="32">
        <f t="shared" si="1"/>
        <v>0</v>
      </c>
      <c r="Y63" s="32">
        <f t="shared" si="1"/>
        <v>0</v>
      </c>
      <c r="Z63" s="32">
        <f t="shared" si="1"/>
        <v>0</v>
      </c>
      <c r="AA63" s="32">
        <f t="shared" si="1"/>
        <v>0</v>
      </c>
      <c r="AB63" s="32"/>
      <c r="AC63" s="32">
        <f>IF((AC59-(0))&lt;&gt;0,(AC61)/(AC59-(0)),0)</f>
        <v>0</v>
      </c>
      <c r="AD63" s="32"/>
      <c r="AE63" s="32">
        <f ca="1">IF(($AM58-(0))&lt;&gt;0,(AE60)/($AM58-(0)),0)</f>
        <v>0</v>
      </c>
      <c r="AF63" s="32">
        <f ca="1">IF(($AM58-(0))&lt;&gt;0,(AF60)/($AM58-(0)),0)</f>
        <v>0</v>
      </c>
      <c r="AG63" s="32"/>
      <c r="AH63" s="32">
        <f>IF((AH59-(0))&lt;&gt;0,(AH61)/(AH59-(0)),0)</f>
        <v>9.1227371537656712E-2</v>
      </c>
      <c r="AI63" s="32">
        <f>IF((AI59-(0))&lt;&gt;0,(AI61)/(AI59-(0)),0)</f>
        <v>9.1227371537656726E-2</v>
      </c>
      <c r="AJ63" s="32">
        <f>IF((AJ59-(0))&lt;&gt;0,(AJ61)/(AJ59-(0)),0)</f>
        <v>9.1227371537656726E-2</v>
      </c>
      <c r="AK63" s="32">
        <f>IF((AK59-(0))&lt;&gt;0,(AK61)/(AK59-(0)),0)</f>
        <v>0</v>
      </c>
      <c r="AL63" s="32"/>
      <c r="AM63" s="32"/>
    </row>
  </sheetData>
  <mergeCells count="79">
    <mergeCell ref="E50:E52"/>
    <mergeCell ref="F50:F52"/>
    <mergeCell ref="A55:A56"/>
    <mergeCell ref="B55:B56"/>
    <mergeCell ref="C55:C56"/>
    <mergeCell ref="D50:D52"/>
    <mergeCell ref="B47:B49"/>
    <mergeCell ref="C47:C49"/>
    <mergeCell ref="A50:A54"/>
    <mergeCell ref="B50:B52"/>
    <mergeCell ref="C50:C52"/>
    <mergeCell ref="A35:A49"/>
    <mergeCell ref="B35:B37"/>
    <mergeCell ref="C35:C37"/>
    <mergeCell ref="B43:B45"/>
    <mergeCell ref="C43:C45"/>
    <mergeCell ref="B39:B41"/>
    <mergeCell ref="C39:C41"/>
    <mergeCell ref="D43:D45"/>
    <mergeCell ref="E43:E45"/>
    <mergeCell ref="F43:F45"/>
    <mergeCell ref="D35:D37"/>
    <mergeCell ref="E35:E37"/>
    <mergeCell ref="F35:F37"/>
    <mergeCell ref="D39:D41"/>
    <mergeCell ref="E39:E41"/>
    <mergeCell ref="F39:F41"/>
    <mergeCell ref="A22:A34"/>
    <mergeCell ref="B22:B24"/>
    <mergeCell ref="C22:C24"/>
    <mergeCell ref="D22:D24"/>
    <mergeCell ref="E22:E24"/>
    <mergeCell ref="F22:F24"/>
    <mergeCell ref="B25:B29"/>
    <mergeCell ref="C25:C29"/>
    <mergeCell ref="B30:B34"/>
    <mergeCell ref="C30:C34"/>
    <mergeCell ref="F15:F17"/>
    <mergeCell ref="E18:E19"/>
    <mergeCell ref="F18:F19"/>
    <mergeCell ref="A20:A21"/>
    <mergeCell ref="B20:B21"/>
    <mergeCell ref="C20:C21"/>
    <mergeCell ref="D20:D21"/>
    <mergeCell ref="A10:A19"/>
    <mergeCell ref="B10:B13"/>
    <mergeCell ref="C10:C13"/>
    <mergeCell ref="D10:D13"/>
    <mergeCell ref="E10:E12"/>
    <mergeCell ref="F10:F12"/>
    <mergeCell ref="B15:B19"/>
    <mergeCell ref="C15:C19"/>
    <mergeCell ref="D15:D19"/>
    <mergeCell ref="E15:E17"/>
    <mergeCell ref="AE3:AG3"/>
    <mergeCell ref="AH3:AL3"/>
    <mergeCell ref="AM3:AM4"/>
    <mergeCell ref="A5:A9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M1"/>
    <mergeCell ref="A1:A4"/>
    <mergeCell ref="AP1:AP4"/>
    <mergeCell ref="L2:AM2"/>
    <mergeCell ref="L3:T3"/>
    <mergeCell ref="U3:AB3"/>
    <mergeCell ref="AC3:AD3"/>
    <mergeCell ref="B1:B4"/>
    <mergeCell ref="C1:C4"/>
    <mergeCell ref="D1:D4"/>
    <mergeCell ref="E1:E4"/>
    <mergeCell ref="F1:F4"/>
  </mergeCells>
  <conditionalFormatting sqref="L58">
    <cfRule type="cellIs" dxfId="1262" priority="55" operator="notEqual">
      <formula>$L$60</formula>
    </cfRule>
    <cfRule type="cellIs" dxfId="1261" priority="56" operator="equal">
      <formula>$L$60</formula>
    </cfRule>
  </conditionalFormatting>
  <conditionalFormatting sqref="M58">
    <cfRule type="cellIs" dxfId="1260" priority="53" operator="notEqual">
      <formula>$M$60</formula>
    </cfRule>
    <cfRule type="cellIs" dxfId="1259" priority="54" operator="equal">
      <formula>$M$60</formula>
    </cfRule>
  </conditionalFormatting>
  <conditionalFormatting sqref="N58">
    <cfRule type="cellIs" dxfId="1258" priority="51" operator="notEqual">
      <formula>$N$60</formula>
    </cfRule>
    <cfRule type="cellIs" dxfId="1257" priority="52" operator="equal">
      <formula>$N$60</formula>
    </cfRule>
  </conditionalFormatting>
  <conditionalFormatting sqref="O58">
    <cfRule type="cellIs" dxfId="1256" priority="49" operator="notEqual">
      <formula>$O$60</formula>
    </cfRule>
    <cfRule type="cellIs" dxfId="1255" priority="50" operator="equal">
      <formula>$O$60</formula>
    </cfRule>
  </conditionalFormatting>
  <conditionalFormatting sqref="P58">
    <cfRule type="cellIs" dxfId="1254" priority="47" operator="notEqual">
      <formula>$P$60</formula>
    </cfRule>
    <cfRule type="cellIs" dxfId="1253" priority="48" operator="equal">
      <formula>$P$60</formula>
    </cfRule>
  </conditionalFormatting>
  <conditionalFormatting sqref="Q58">
    <cfRule type="cellIs" dxfId="1252" priority="45" operator="notEqual">
      <formula>$Q$60</formula>
    </cfRule>
    <cfRule type="cellIs" dxfId="1251" priority="46" operator="equal">
      <formula>$Q$60</formula>
    </cfRule>
  </conditionalFormatting>
  <conditionalFormatting sqref="R58">
    <cfRule type="cellIs" dxfId="1250" priority="43" operator="notEqual">
      <formula>$R$60</formula>
    </cfRule>
    <cfRule type="cellIs" dxfId="1249" priority="44" operator="equal">
      <formula>$R$60</formula>
    </cfRule>
  </conditionalFormatting>
  <conditionalFormatting sqref="S58">
    <cfRule type="cellIs" dxfId="1248" priority="41" operator="notEqual">
      <formula>$S$60</formula>
    </cfRule>
    <cfRule type="cellIs" dxfId="1247" priority="42" operator="equal">
      <formula>$S$60</formula>
    </cfRule>
  </conditionalFormatting>
  <conditionalFormatting sqref="T58">
    <cfRule type="cellIs" dxfId="1246" priority="39" operator="notEqual">
      <formula>$T$60</formula>
    </cfRule>
    <cfRule type="cellIs" dxfId="1245" priority="40" operator="equal">
      <formula>$T$60</formula>
    </cfRule>
  </conditionalFormatting>
  <conditionalFormatting sqref="U58">
    <cfRule type="cellIs" dxfId="1244" priority="37" operator="notEqual">
      <formula>$U$60</formula>
    </cfRule>
    <cfRule type="cellIs" dxfId="1243" priority="38" operator="equal">
      <formula>$U$60</formula>
    </cfRule>
  </conditionalFormatting>
  <conditionalFormatting sqref="V58">
    <cfRule type="cellIs" dxfId="1242" priority="35" operator="notEqual">
      <formula>$V$60</formula>
    </cfRule>
    <cfRule type="cellIs" dxfId="1241" priority="36" operator="equal">
      <formula>$V$60</formula>
    </cfRule>
  </conditionalFormatting>
  <conditionalFormatting sqref="W58">
    <cfRule type="cellIs" dxfId="1240" priority="33" operator="notEqual">
      <formula>$W$60</formula>
    </cfRule>
    <cfRule type="cellIs" dxfId="1239" priority="34" operator="equal">
      <formula>$W$60</formula>
    </cfRule>
  </conditionalFormatting>
  <conditionalFormatting sqref="X58">
    <cfRule type="cellIs" dxfId="1238" priority="31" operator="notEqual">
      <formula>$X$60</formula>
    </cfRule>
    <cfRule type="cellIs" dxfId="1237" priority="32" operator="equal">
      <formula>$X$60</formula>
    </cfRule>
  </conditionalFormatting>
  <conditionalFormatting sqref="Y58">
    <cfRule type="cellIs" dxfId="1236" priority="29" operator="notEqual">
      <formula>$Y$60</formula>
    </cfRule>
    <cfRule type="cellIs" dxfId="1235" priority="30" operator="equal">
      <formula>$Y$60</formula>
    </cfRule>
  </conditionalFormatting>
  <conditionalFormatting sqref="Z58">
    <cfRule type="cellIs" dxfId="1234" priority="27" operator="notEqual">
      <formula>$Z$60</formula>
    </cfRule>
    <cfRule type="cellIs" dxfId="1233" priority="28" operator="equal">
      <formula>$Z$60</formula>
    </cfRule>
  </conditionalFormatting>
  <conditionalFormatting sqref="AA58">
    <cfRule type="cellIs" dxfId="1232" priority="25" operator="notEqual">
      <formula>$AA$60</formula>
    </cfRule>
    <cfRule type="cellIs" dxfId="1231" priority="26" operator="equal">
      <formula>$AA$60</formula>
    </cfRule>
  </conditionalFormatting>
  <conditionalFormatting sqref="AB58">
    <cfRule type="cellIs" dxfId="1230" priority="23" operator="notEqual">
      <formula>$AB$60</formula>
    </cfRule>
    <cfRule type="cellIs" dxfId="1229" priority="24" operator="equal">
      <formula>$AB$60</formula>
    </cfRule>
  </conditionalFormatting>
  <conditionalFormatting sqref="AC58">
    <cfRule type="cellIs" dxfId="1228" priority="21" operator="notEqual">
      <formula>$AC$60</formula>
    </cfRule>
    <cfRule type="cellIs" dxfId="1227" priority="22" operator="equal">
      <formula>$AC$60</formula>
    </cfRule>
  </conditionalFormatting>
  <conditionalFormatting sqref="AD58">
    <cfRule type="cellIs" dxfId="1226" priority="19" operator="notEqual">
      <formula>$AD$60</formula>
    </cfRule>
    <cfRule type="cellIs" dxfId="1225" priority="20" operator="equal">
      <formula>$AD$60</formula>
    </cfRule>
  </conditionalFormatting>
  <conditionalFormatting sqref="AE58">
    <cfRule type="cellIs" dxfId="1224" priority="17" operator="notEqual">
      <formula>$AE$60</formula>
    </cfRule>
    <cfRule type="cellIs" dxfId="1223" priority="18" operator="equal">
      <formula>$AE$60</formula>
    </cfRule>
  </conditionalFormatting>
  <conditionalFormatting sqref="AF58">
    <cfRule type="cellIs" dxfId="1222" priority="16" operator="equal">
      <formula>$AF$60</formula>
    </cfRule>
  </conditionalFormatting>
  <conditionalFormatting sqref="AF58">
    <cfRule type="cellIs" dxfId="1221" priority="15" operator="notEqual">
      <formula>$AF$60</formula>
    </cfRule>
  </conditionalFormatting>
  <conditionalFormatting sqref="AG58">
    <cfRule type="cellIs" dxfId="1220" priority="14" operator="equal">
      <formula>$AG$60</formula>
    </cfRule>
  </conditionalFormatting>
  <conditionalFormatting sqref="AG58">
    <cfRule type="cellIs" dxfId="1219" priority="13" operator="notEqual">
      <formula>$AG$60</formula>
    </cfRule>
  </conditionalFormatting>
  <conditionalFormatting sqref="AH58">
    <cfRule type="cellIs" dxfId="1218" priority="12" operator="equal">
      <formula>$AH$60</formula>
    </cfRule>
  </conditionalFormatting>
  <conditionalFormatting sqref="AH58">
    <cfRule type="cellIs" dxfId="1217" priority="11" operator="notEqual">
      <formula>$AH$60</formula>
    </cfRule>
  </conditionalFormatting>
  <conditionalFormatting sqref="AI58">
    <cfRule type="cellIs" dxfId="1216" priority="10" operator="equal">
      <formula>$AI$60</formula>
    </cfRule>
  </conditionalFormatting>
  <conditionalFormatting sqref="AI58">
    <cfRule type="cellIs" dxfId="1215" priority="9" operator="notEqual">
      <formula>$AI$60</formula>
    </cfRule>
  </conditionalFormatting>
  <conditionalFormatting sqref="AJ58">
    <cfRule type="cellIs" dxfId="1214" priority="8" operator="equal">
      <formula>$AJ$60</formula>
    </cfRule>
  </conditionalFormatting>
  <conditionalFormatting sqref="AJ58">
    <cfRule type="cellIs" dxfId="1213" priority="7" operator="notEqual">
      <formula>$AJ$60</formula>
    </cfRule>
  </conditionalFormatting>
  <conditionalFormatting sqref="AK58">
    <cfRule type="cellIs" dxfId="1212" priority="6" operator="equal">
      <formula>$AK$60</formula>
    </cfRule>
  </conditionalFormatting>
  <conditionalFormatting sqref="AK58">
    <cfRule type="cellIs" dxfId="1211" priority="5" operator="notEqual">
      <formula>$AK$60</formula>
    </cfRule>
  </conditionalFormatting>
  <conditionalFormatting sqref="AL58">
    <cfRule type="cellIs" dxfId="1210" priority="4" operator="equal">
      <formula>$AL$60</formula>
    </cfRule>
  </conditionalFormatting>
  <conditionalFormatting sqref="AL58">
    <cfRule type="cellIs" dxfId="1209" priority="3" operator="notEqual">
      <formula>$AL$60</formula>
    </cfRule>
  </conditionalFormatting>
  <conditionalFormatting sqref="AM58">
    <cfRule type="cellIs" dxfId="1208" priority="2" operator="equal">
      <formula>$AM$60</formula>
    </cfRule>
  </conditionalFormatting>
  <conditionalFormatting sqref="AM58">
    <cfRule type="cellIs" dxfId="1207" priority="1" operator="notEqual">
      <formula>$AM$60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B7DC1-6C46-4735-A84D-F0E6BE8835CA}">
  <dimension ref="A1:AP62"/>
  <sheetViews>
    <sheetView showGridLines="0" topLeftCell="AD45" workbookViewId="0">
      <selection activeCell="AO58" sqref="AO58:AP60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" style="9" bestFit="1" customWidth="1"/>
    <col min="14" max="14" width="10.85546875" style="9" bestFit="1" customWidth="1"/>
    <col min="15" max="16" width="4.85546875" style="9" bestFit="1" customWidth="1"/>
    <col min="17" max="17" width="11.7109375" style="9" bestFit="1" customWidth="1"/>
    <col min="18" max="18" width="10.85546875" style="9" bestFit="1" customWidth="1"/>
    <col min="19" max="19" width="8.7109375" style="9" bestFit="1" customWidth="1"/>
    <col min="20" max="21" width="11.7109375" style="9" bestFit="1" customWidth="1"/>
    <col min="22" max="22" width="10" style="9" bestFit="1" customWidth="1"/>
    <col min="23" max="24" width="9.85546875" style="9" bestFit="1" customWidth="1"/>
    <col min="25" max="25" width="9.28515625" style="9" bestFit="1" customWidth="1"/>
    <col min="26" max="26" width="7.7109375" style="9" bestFit="1" customWidth="1"/>
    <col min="27" max="27" width="9.85546875" style="9" bestFit="1" customWidth="1"/>
    <col min="28" max="28" width="11.7109375" style="9" bestFit="1" customWidth="1"/>
    <col min="29" max="30" width="13.14062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.85546875" style="9" bestFit="1" customWidth="1"/>
    <col min="38" max="38" width="11.7109375" style="9" bestFit="1" customWidth="1"/>
    <col min="39" max="39" width="13.140625" style="9" bestFit="1" customWidth="1"/>
    <col min="40" max="40" width="9.140625" style="9"/>
    <col min="41" max="42" width="13.140625" style="9" bestFit="1" customWidth="1"/>
    <col min="43" max="16384" width="9.140625" style="9"/>
  </cols>
  <sheetData>
    <row r="1" spans="1:42" ht="11.25" customHeight="1" x14ac:dyDescent="0.25">
      <c r="A1" s="127" t="s">
        <v>76</v>
      </c>
      <c r="B1" s="127" t="s">
        <v>77</v>
      </c>
      <c r="C1" s="127" t="s">
        <v>78</v>
      </c>
      <c r="D1" s="127" t="s">
        <v>79</v>
      </c>
      <c r="E1" s="127" t="s">
        <v>80</v>
      </c>
      <c r="F1" s="127" t="s">
        <v>15</v>
      </c>
      <c r="G1" s="127" t="s">
        <v>82</v>
      </c>
      <c r="H1" s="127" t="s">
        <v>83</v>
      </c>
      <c r="I1" s="127" t="s">
        <v>746</v>
      </c>
      <c r="J1" s="113"/>
      <c r="L1" s="125" t="s">
        <v>766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O1" s="37"/>
      <c r="AP1" s="129" t="s">
        <v>748</v>
      </c>
    </row>
    <row r="2" spans="1:42" ht="11.25" customHeight="1" x14ac:dyDescent="0.25">
      <c r="A2" s="127"/>
      <c r="B2" s="127"/>
      <c r="C2" s="127"/>
      <c r="D2" s="127"/>
      <c r="E2" s="127"/>
      <c r="F2" s="127"/>
      <c r="G2" s="127"/>
      <c r="H2" s="127"/>
      <c r="I2" s="127"/>
      <c r="J2" s="113"/>
      <c r="L2" s="125" t="s">
        <v>646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O2" s="37"/>
      <c r="AP2" s="130"/>
    </row>
    <row r="3" spans="1:42" ht="11.25" customHeight="1" x14ac:dyDescent="0.25">
      <c r="A3" s="127"/>
      <c r="B3" s="127"/>
      <c r="C3" s="127"/>
      <c r="D3" s="127"/>
      <c r="E3" s="127"/>
      <c r="F3" s="127"/>
      <c r="G3" s="127"/>
      <c r="H3" s="127"/>
      <c r="I3" s="127"/>
      <c r="J3" s="113"/>
      <c r="L3" s="125" t="s">
        <v>647</v>
      </c>
      <c r="M3" s="125"/>
      <c r="N3" s="125"/>
      <c r="O3" s="125"/>
      <c r="P3" s="125"/>
      <c r="Q3" s="125"/>
      <c r="R3" s="125"/>
      <c r="S3" s="125"/>
      <c r="T3" s="125"/>
      <c r="U3" s="125" t="s">
        <v>656</v>
      </c>
      <c r="V3" s="125"/>
      <c r="W3" s="125"/>
      <c r="X3" s="125"/>
      <c r="Y3" s="125"/>
      <c r="Z3" s="125"/>
      <c r="AA3" s="125"/>
      <c r="AB3" s="125"/>
      <c r="AC3" s="125" t="s">
        <v>664</v>
      </c>
      <c r="AD3" s="125"/>
      <c r="AE3" s="125" t="s">
        <v>666</v>
      </c>
      <c r="AF3" s="125"/>
      <c r="AG3" s="125"/>
      <c r="AH3" s="125" t="s">
        <v>669</v>
      </c>
      <c r="AI3" s="125"/>
      <c r="AJ3" s="125"/>
      <c r="AK3" s="125"/>
      <c r="AL3" s="125"/>
      <c r="AM3" s="125" t="s">
        <v>655</v>
      </c>
      <c r="AO3" s="37"/>
      <c r="AP3" s="130"/>
    </row>
    <row r="4" spans="1:42" ht="11.25" customHeight="1" x14ac:dyDescent="0.25">
      <c r="A4" s="127"/>
      <c r="B4" s="127"/>
      <c r="C4" s="127"/>
      <c r="D4" s="127"/>
      <c r="E4" s="127"/>
      <c r="F4" s="127"/>
      <c r="G4" s="127"/>
      <c r="H4" s="127"/>
      <c r="I4" s="127"/>
      <c r="J4" s="113"/>
      <c r="L4" s="33" t="s">
        <v>731</v>
      </c>
      <c r="M4" s="33" t="s">
        <v>648</v>
      </c>
      <c r="N4" s="33" t="s">
        <v>649</v>
      </c>
      <c r="O4" s="33" t="s">
        <v>650</v>
      </c>
      <c r="P4" s="33" t="s">
        <v>651</v>
      </c>
      <c r="Q4" s="33" t="s">
        <v>652</v>
      </c>
      <c r="R4" s="33" t="s">
        <v>653</v>
      </c>
      <c r="S4" s="33" t="s">
        <v>654</v>
      </c>
      <c r="T4" s="33" t="s">
        <v>655</v>
      </c>
      <c r="U4" s="33" t="s">
        <v>657</v>
      </c>
      <c r="V4" s="33" t="s">
        <v>658</v>
      </c>
      <c r="W4" s="33" t="s">
        <v>659</v>
      </c>
      <c r="X4" s="33" t="s">
        <v>660</v>
      </c>
      <c r="Y4" s="33" t="s">
        <v>661</v>
      </c>
      <c r="Z4" s="33" t="s">
        <v>662</v>
      </c>
      <c r="AA4" s="33" t="s">
        <v>663</v>
      </c>
      <c r="AB4" s="33" t="s">
        <v>655</v>
      </c>
      <c r="AC4" s="33" t="s">
        <v>665</v>
      </c>
      <c r="AD4" s="33" t="s">
        <v>655</v>
      </c>
      <c r="AE4" s="33" t="s">
        <v>667</v>
      </c>
      <c r="AF4" s="33" t="s">
        <v>668</v>
      </c>
      <c r="AG4" s="33" t="s">
        <v>655</v>
      </c>
      <c r="AH4" s="33" t="s">
        <v>670</v>
      </c>
      <c r="AI4" s="33" t="s">
        <v>671</v>
      </c>
      <c r="AJ4" s="33" t="s">
        <v>672</v>
      </c>
      <c r="AK4" s="33" t="s">
        <v>673</v>
      </c>
      <c r="AL4" s="33" t="s">
        <v>655</v>
      </c>
      <c r="AM4" s="126"/>
      <c r="AO4" s="38" t="s">
        <v>765</v>
      </c>
      <c r="AP4" s="131"/>
    </row>
    <row r="5" spans="1:42" ht="11.25" customHeight="1" x14ac:dyDescent="0.25">
      <c r="A5" s="124" t="s">
        <v>43</v>
      </c>
      <c r="B5" s="124" t="s">
        <v>44</v>
      </c>
      <c r="C5" s="124" t="s">
        <v>25</v>
      </c>
      <c r="D5" s="124" t="s">
        <v>25</v>
      </c>
      <c r="E5" s="124" t="s">
        <v>25</v>
      </c>
      <c r="F5" s="124" t="s">
        <v>25</v>
      </c>
      <c r="G5" s="28" t="s">
        <v>90</v>
      </c>
      <c r="H5" s="28" t="s">
        <v>89</v>
      </c>
      <c r="I5" s="28">
        <f>'MERCADO TUSD'!$U$2</f>
        <v>2432502</v>
      </c>
      <c r="J5" s="18"/>
      <c r="L5" s="32">
        <f>'TUSD BE'!$L$5*'TUSD BF'!$L$63</f>
        <v>0</v>
      </c>
      <c r="M5" s="32">
        <f>'TUSD BE'!$M$5*'TUSD BF'!$M$63</f>
        <v>0</v>
      </c>
      <c r="N5" s="32">
        <f ca="1">'TUSD BE'!$N$5*'TUSD BF'!$N$63</f>
        <v>0</v>
      </c>
      <c r="O5" s="32">
        <f>'TUSD BE'!$O$5*'TUSD BF'!$O$63</f>
        <v>0</v>
      </c>
      <c r="P5" s="32">
        <f>'TUSD BE'!$P$5*'TUSD BF'!$P$63</f>
        <v>0</v>
      </c>
      <c r="Q5" s="32">
        <f>'TUSD BE'!$Q$5*'TUSD BF'!$Q$63</f>
        <v>0</v>
      </c>
      <c r="R5" s="32">
        <f>'TUSD BE'!$R$5*'TUSD BF'!$R$63</f>
        <v>0</v>
      </c>
      <c r="S5" s="32">
        <f>'TUSD BE'!$R$5*'TUSD BF'!$S$63</f>
        <v>0</v>
      </c>
      <c r="T5" s="32">
        <f ca="1">SUM($L$5:$S$5)</f>
        <v>0</v>
      </c>
      <c r="U5" s="32">
        <f>'TUSD BE'!$U$5*'TUSD BF'!$U$63</f>
        <v>0.44601132357873491</v>
      </c>
      <c r="V5" s="32">
        <f>'TUSD BE'!$V$5*'TUSD BF'!$V$63</f>
        <v>1.6529681623911503E-3</v>
      </c>
      <c r="W5" s="32">
        <f>'TUSD BE'!$W$5*'TUSD BF'!$W$63</f>
        <v>0</v>
      </c>
      <c r="X5" s="32">
        <f>'TUSD BE'!$X$5*'TUSD BF'!$X$63</f>
        <v>0</v>
      </c>
      <c r="Y5" s="32">
        <f>'TUSD BE'!$Y$5*'TUSD BF'!$Y$63</f>
        <v>0</v>
      </c>
      <c r="Z5" s="32">
        <f>'TUSD BE'!$Z$5*'TUSD BF'!$Z$63</f>
        <v>0</v>
      </c>
      <c r="AA5" s="32">
        <f>'TUSD BE'!$AA$5*'TUSD BF'!$AA$63</f>
        <v>0</v>
      </c>
      <c r="AB5" s="32">
        <f>SUM($U$5:$AA$5)</f>
        <v>0.44766429174112604</v>
      </c>
      <c r="AC5" s="32">
        <f>'TUSD BE'!$AC$5*'TUSD BF'!$AC$63</f>
        <v>0</v>
      </c>
      <c r="AD5" s="32">
        <f>SUM($AC$5:$AC$5)</f>
        <v>0</v>
      </c>
      <c r="AE5" s="32">
        <f ca="1">$AO$5*$AO$60</f>
        <v>0</v>
      </c>
      <c r="AF5" s="32">
        <f ca="1">$AP$5*$AP$60</f>
        <v>0</v>
      </c>
      <c r="AG5" s="32">
        <f ca="1">SUM($AE$5:$AF$5)</f>
        <v>0</v>
      </c>
      <c r="AH5" s="32">
        <f>'TUSD BE'!$AH$5*'TUSD BF'!$AH$63</f>
        <v>0</v>
      </c>
      <c r="AI5" s="32">
        <f>'TUSD BE'!$AI$5*'TUSD BF'!$AI$63</f>
        <v>0</v>
      </c>
      <c r="AJ5" s="32">
        <f ca="1">'TUSD BE'!$AJ$5*'TUSD BF'!$AJ$63</f>
        <v>0</v>
      </c>
      <c r="AK5" s="32">
        <f ca="1">'TUSD BE'!$AK$5*'TUSD BF'!$AK$63</f>
        <v>0</v>
      </c>
      <c r="AL5" s="32">
        <f ca="1">SUM($AH$5:$AK$5)</f>
        <v>0</v>
      </c>
      <c r="AM5" s="32">
        <f ca="1">SUMIF($L$4:$AL$4,"SUBTOTAL",$L$5:$AL$5)</f>
        <v>0.44766429174112604</v>
      </c>
      <c r="AO5" s="37">
        <f ca="1">+'TUSD BE'!$T$5+'TUSD BE'!$AB$5+'TUSD BE'!$AD$5+'TUSD BE'!$AL$5</f>
        <v>7.3378133355232267</v>
      </c>
      <c r="AP5" s="37">
        <f ca="1">+'TUSD BE'!$T$5+'TUSD BE'!$AB$5+'TUSD BE'!$AD$5+'TUSD BE'!$AL$5</f>
        <v>7.3378133355232267</v>
      </c>
    </row>
    <row r="6" spans="1:42" ht="11.25" customHeight="1" x14ac:dyDescent="0.25">
      <c r="A6" s="124"/>
      <c r="B6" s="124"/>
      <c r="C6" s="124"/>
      <c r="D6" s="124"/>
      <c r="E6" s="124"/>
      <c r="F6" s="124"/>
      <c r="G6" s="28" t="s">
        <v>91</v>
      </c>
      <c r="H6" s="28" t="s">
        <v>89</v>
      </c>
      <c r="I6" s="28">
        <f>'MERCADO TUSD'!$U$3</f>
        <v>2719854</v>
      </c>
      <c r="J6" s="18"/>
      <c r="L6" s="32">
        <f>'TUSD BE'!$L$6*'TUSD BF'!$L$63</f>
        <v>0</v>
      </c>
      <c r="M6" s="32">
        <f>'TUSD BE'!$M$6*'TUSD BF'!$M$63</f>
        <v>0</v>
      </c>
      <c r="N6" s="32">
        <f ca="1">'TUSD BE'!$N$6*'TUSD BF'!$N$63</f>
        <v>0</v>
      </c>
      <c r="O6" s="32">
        <f>'TUSD BE'!$O$6*'TUSD BF'!$O$63</f>
        <v>0</v>
      </c>
      <c r="P6" s="32">
        <f>'TUSD BE'!$P$6*'TUSD BF'!$P$63</f>
        <v>0</v>
      </c>
      <c r="Q6" s="32">
        <f>'TUSD BE'!$Q$6*'TUSD BF'!$Q$63</f>
        <v>0</v>
      </c>
      <c r="R6" s="32">
        <f>'TUSD BE'!$R$6*'TUSD BF'!$R$63</f>
        <v>0</v>
      </c>
      <c r="S6" s="32">
        <f>'TUSD BE'!$R$6*'TUSD BF'!$S$63</f>
        <v>0</v>
      </c>
      <c r="T6" s="32">
        <f ca="1">SUM($L$6:$S$6)</f>
        <v>0</v>
      </c>
      <c r="U6" s="32">
        <f>'TUSD BE'!$U$6*'TUSD BF'!$U$63</f>
        <v>0.36422833597860704</v>
      </c>
      <c r="V6" s="32">
        <f>'TUSD BE'!$V$6*'TUSD BF'!$V$63</f>
        <v>1.3487906350397409E-3</v>
      </c>
      <c r="W6" s="32">
        <f>'TUSD BE'!$W$6*'TUSD BF'!$W$63</f>
        <v>0</v>
      </c>
      <c r="X6" s="32">
        <f>'TUSD BE'!$X$6*'TUSD BF'!$X$63</f>
        <v>0</v>
      </c>
      <c r="Y6" s="32">
        <f>'TUSD BE'!$Y$6*'TUSD BF'!$Y$63</f>
        <v>0</v>
      </c>
      <c r="Z6" s="32">
        <f>'TUSD BE'!$Z$6*'TUSD BF'!$Z$63</f>
        <v>0</v>
      </c>
      <c r="AA6" s="32">
        <f>'TUSD BE'!$AA$6*'TUSD BF'!$AA$63</f>
        <v>0</v>
      </c>
      <c r="AB6" s="32">
        <f>SUM($U$6:$AA$6)</f>
        <v>0.36557712661364677</v>
      </c>
      <c r="AC6" s="32">
        <f>'TUSD BE'!$AC$6*'TUSD BF'!$AC$63</f>
        <v>0</v>
      </c>
      <c r="AD6" s="32">
        <f>SUM($AC$6:$AC$6)</f>
        <v>0</v>
      </c>
      <c r="AE6" s="32">
        <f ca="1">$AO$6*$AO$60</f>
        <v>0</v>
      </c>
      <c r="AF6" s="32">
        <f ca="1">$AP$6*$AP$60</f>
        <v>0</v>
      </c>
      <c r="AG6" s="32">
        <f ca="1">SUM($AE$6:$AF$6)</f>
        <v>0</v>
      </c>
      <c r="AH6" s="32">
        <f>'TUSD BE'!$AH$6*'TUSD BF'!$AH$63</f>
        <v>0</v>
      </c>
      <c r="AI6" s="32">
        <f>'TUSD BE'!$AI$6*'TUSD BF'!$AI$63</f>
        <v>0</v>
      </c>
      <c r="AJ6" s="32">
        <f ca="1">'TUSD BE'!$AJ$6*'TUSD BF'!$AJ$63</f>
        <v>0</v>
      </c>
      <c r="AK6" s="32">
        <f ca="1">'TUSD BE'!$AK$6*'TUSD BF'!$AK$63</f>
        <v>0</v>
      </c>
      <c r="AL6" s="32">
        <f ca="1">SUM($AH$6:$AK$6)</f>
        <v>0</v>
      </c>
      <c r="AM6" s="32">
        <f ca="1">SUMIF($L$4:$AL$4,"SUBTOTAL",$L$6:$AL$6)</f>
        <v>0.36557712661364677</v>
      </c>
      <c r="AO6" s="37">
        <f ca="1">+'TUSD BE'!$T$6+'TUSD BE'!$AB$6+'TUSD BE'!$AD$6+'TUSD BE'!$AL$6</f>
        <v>5.9771476249749931</v>
      </c>
      <c r="AP6" s="37">
        <f ca="1">+'TUSD BE'!$T$6+'TUSD BE'!$AB$6+'TUSD BE'!$AD$6+'TUSD BE'!$AL$6</f>
        <v>5.9771476249749931</v>
      </c>
    </row>
    <row r="7" spans="1:42" ht="11.25" customHeight="1" x14ac:dyDescent="0.25">
      <c r="A7" s="124"/>
      <c r="B7" s="124"/>
      <c r="C7" s="124"/>
      <c r="D7" s="124"/>
      <c r="E7" s="124"/>
      <c r="F7" s="124"/>
      <c r="G7" s="28" t="s">
        <v>92</v>
      </c>
      <c r="H7" s="28" t="s">
        <v>86</v>
      </c>
      <c r="I7" s="28">
        <f>'MERCADO TUSD'!$U$4</f>
        <v>1155536.6730000002</v>
      </c>
      <c r="J7" s="18"/>
      <c r="L7" s="32">
        <f>'TUSD BE'!$L$7*'TUSD BF'!$L$63</f>
        <v>0</v>
      </c>
      <c r="M7" s="32">
        <f>'TUSD BE'!$M$7*'TUSD BF'!$M$63</f>
        <v>0</v>
      </c>
      <c r="N7" s="32">
        <f ca="1">'TUSD BE'!$N$7*'TUSD BF'!$N$63</f>
        <v>0</v>
      </c>
      <c r="O7" s="32">
        <f>'TUSD BE'!$O$7*'TUSD BF'!$O$63</f>
        <v>0</v>
      </c>
      <c r="P7" s="32">
        <f>'TUSD BE'!$P$7*'TUSD BF'!$P$63</f>
        <v>0</v>
      </c>
      <c r="Q7" s="32">
        <f>'TUSD BE'!$Q$7*'TUSD BF'!$Q$63</f>
        <v>-0.8681095415719251</v>
      </c>
      <c r="R7" s="32">
        <f>'TUSD BE'!$R$7*'TUSD BF'!$R$63</f>
        <v>0.74952600079857579</v>
      </c>
      <c r="S7" s="32">
        <f>'TUSD BE'!$R$7*'TUSD BF'!$S$63</f>
        <v>0</v>
      </c>
      <c r="T7" s="32">
        <f ca="1">SUM($L$7:$S$7)</f>
        <v>-0.11858354077334932</v>
      </c>
      <c r="U7" s="32">
        <f>'TUSD BE'!$U$7*'TUSD BF'!$U$63</f>
        <v>0</v>
      </c>
      <c r="V7" s="32">
        <f>'TUSD BE'!$V$7*'TUSD BF'!$V$63</f>
        <v>0</v>
      </c>
      <c r="W7" s="32">
        <f>'TUSD BE'!$W$7*'TUSD BF'!$W$63</f>
        <v>0</v>
      </c>
      <c r="X7" s="32">
        <f>'TUSD BE'!$X$7*'TUSD BF'!$X$63</f>
        <v>0</v>
      </c>
      <c r="Y7" s="32">
        <f>'TUSD BE'!$Y$7*'TUSD BF'!$Y$63</f>
        <v>0</v>
      </c>
      <c r="Z7" s="32">
        <f>'TUSD BE'!$Z$7*'TUSD BF'!$Z$63</f>
        <v>0</v>
      </c>
      <c r="AA7" s="32">
        <f>'TUSD BE'!$AA$7*'TUSD BF'!$AA$63</f>
        <v>0</v>
      </c>
      <c r="AB7" s="32">
        <f>SUM($U$7:$AA$7)</f>
        <v>0</v>
      </c>
      <c r="AC7" s="32">
        <f>'TUSD BE'!$AC$7*'TUSD BF'!$AC$63</f>
        <v>0</v>
      </c>
      <c r="AD7" s="32">
        <f>SUM($AC$7:$AC$7)</f>
        <v>0</v>
      </c>
      <c r="AE7" s="32">
        <f ca="1">$AO$7*$AO$60</f>
        <v>0</v>
      </c>
      <c r="AF7" s="32">
        <f ca="1">$AP$7*$AP$60</f>
        <v>0</v>
      </c>
      <c r="AG7" s="32">
        <f ca="1">SUM($AE$7:$AF$7)</f>
        <v>0</v>
      </c>
      <c r="AH7" s="32">
        <f>'TUSD BE'!$AH$7*'TUSD BF'!$AH$63</f>
        <v>0.43538976060208484</v>
      </c>
      <c r="AI7" s="32">
        <f>'TUSD BE'!$AI$7*'TUSD BF'!$AI$63</f>
        <v>3.1353160549526637E-2</v>
      </c>
      <c r="AJ7" s="32">
        <f ca="1">'TUSD BE'!$AJ$7*'TUSD BF'!$AJ$63</f>
        <v>2.0554606153366191</v>
      </c>
      <c r="AK7" s="32">
        <f ca="1">'TUSD BE'!$AK$7*'TUSD BF'!$AK$63</f>
        <v>0</v>
      </c>
      <c r="AL7" s="32">
        <f ca="1">SUM($AH$7:$AK$7)</f>
        <v>2.5222035364882305</v>
      </c>
      <c r="AM7" s="32">
        <f ca="1">SUMIF($L$4:$AL$4,"SUBTOTAL",$L$7:$AL$7)</f>
        <v>2.4036199957148812</v>
      </c>
      <c r="AO7" s="37">
        <f ca="1">+'TUSD BE'!$T$7+'TUSD BE'!$AB$7+'TUSD BE'!$AD$7+'TUSD BE'!$AL$7</f>
        <v>65.60157919394527</v>
      </c>
      <c r="AP7" s="37">
        <f ca="1">+'TUSD BE'!$T$7+'TUSD BE'!$AB$7+'TUSD BE'!$AD$7+'TUSD BE'!$AL$7</f>
        <v>65.60157919394527</v>
      </c>
    </row>
    <row r="8" spans="1:42" ht="11.25" customHeight="1" x14ac:dyDescent="0.25">
      <c r="A8" s="124"/>
      <c r="B8" s="124"/>
      <c r="C8" s="124"/>
      <c r="D8" s="124"/>
      <c r="E8" s="35" t="s">
        <v>93</v>
      </c>
      <c r="F8" s="35" t="s">
        <v>25</v>
      </c>
      <c r="G8" s="28" t="s">
        <v>92</v>
      </c>
      <c r="H8" s="28" t="s">
        <v>86</v>
      </c>
      <c r="I8" s="28">
        <f>'MERCADO TUSD'!$U$5</f>
        <v>0</v>
      </c>
      <c r="J8" s="18"/>
      <c r="L8" s="32">
        <f>'TUSD BE'!$L$8*'TUSD BF'!$L$63</f>
        <v>0</v>
      </c>
      <c r="M8" s="32">
        <f>'TUSD BE'!$M$8*'TUSD BF'!$M$63</f>
        <v>0</v>
      </c>
      <c r="N8" s="32">
        <f ca="1">'TUSD BE'!$N$8*'TUSD BF'!$N$63</f>
        <v>0</v>
      </c>
      <c r="O8" s="32">
        <f>'TUSD BE'!$O$8*'TUSD BF'!$O$63</f>
        <v>0</v>
      </c>
      <c r="P8" s="32">
        <f>'TUSD BE'!$P$8*'TUSD BF'!$P$63</f>
        <v>0</v>
      </c>
      <c r="Q8" s="32">
        <f>'TUSD BE'!$Q$8*'TUSD BF'!$Q$63</f>
        <v>0</v>
      </c>
      <c r="R8" s="32">
        <f>'TUSD BE'!$R$8*'TUSD BF'!$R$63</f>
        <v>0</v>
      </c>
      <c r="S8" s="32">
        <f>'TUSD BE'!$R$8*'TUSD BF'!$S$63</f>
        <v>0</v>
      </c>
      <c r="T8" s="32">
        <f ca="1">SUM($L$8:$S$8)</f>
        <v>0</v>
      </c>
      <c r="U8" s="32">
        <f>'TUSD BE'!$U$8*'TUSD BF'!$U$63</f>
        <v>0</v>
      </c>
      <c r="V8" s="32">
        <f>'TUSD BE'!$V$8*'TUSD BF'!$V$63</f>
        <v>0</v>
      </c>
      <c r="W8" s="32">
        <f>'TUSD BE'!$W$8*'TUSD BF'!$W$63</f>
        <v>0</v>
      </c>
      <c r="X8" s="32">
        <f>'TUSD BE'!$X$8*'TUSD BF'!$X$63</f>
        <v>0</v>
      </c>
      <c r="Y8" s="32">
        <f>'TUSD BE'!$Y$8*'TUSD BF'!$Y$63</f>
        <v>0</v>
      </c>
      <c r="Z8" s="32">
        <f>'TUSD BE'!$Z$8*'TUSD BF'!$Z$63</f>
        <v>0</v>
      </c>
      <c r="AA8" s="32">
        <f>'TUSD BE'!$AA$8*'TUSD BF'!$AA$63</f>
        <v>0</v>
      </c>
      <c r="AB8" s="32">
        <f>SUM($U$8:$AA$8)</f>
        <v>0</v>
      </c>
      <c r="AC8" s="32">
        <f>'TUSD BE'!$AC$8*'TUSD BF'!$AC$63</f>
        <v>0</v>
      </c>
      <c r="AD8" s="32">
        <f>SUM($AC$8:$AC$8)</f>
        <v>0</v>
      </c>
      <c r="AE8" s="32">
        <f ca="1">$AO$8*$AO$60</f>
        <v>0</v>
      </c>
      <c r="AF8" s="32">
        <f ca="1">$AP$8*$AP$60</f>
        <v>0</v>
      </c>
      <c r="AG8" s="32">
        <f ca="1">SUM($AE$8:$AF$8)</f>
        <v>0</v>
      </c>
      <c r="AH8" s="32">
        <f>'TUSD BE'!$AH$8*'TUSD BF'!$AH$63</f>
        <v>0.43538976060208484</v>
      </c>
      <c r="AI8" s="32">
        <f>'TUSD BE'!$AI$8*'TUSD BF'!$AI$63</f>
        <v>3.1353160549526637E-2</v>
      </c>
      <c r="AJ8" s="32">
        <f ca="1">'TUSD BE'!$AJ$8*'TUSD BF'!$AJ$63</f>
        <v>2.0554606153366191</v>
      </c>
      <c r="AK8" s="32">
        <f ca="1">'TUSD BE'!$AK$8*'TUSD BF'!$AK$63</f>
        <v>0</v>
      </c>
      <c r="AL8" s="32">
        <f ca="1">SUM($AH$8:$AK$8)</f>
        <v>2.5222035364882305</v>
      </c>
      <c r="AM8" s="32">
        <f ca="1">SUMIF($L$4:$AL$4,"SUBTOTAL",$L$8:$AL$8)</f>
        <v>2.5222035364882305</v>
      </c>
      <c r="AO8" s="37">
        <f ca="1">+'TUSD BE'!$T$8+'TUSD BE'!$AB$8+'TUSD BE'!$AD$8+'TUSD BE'!$AL$8</f>
        <v>30.764478868703648</v>
      </c>
      <c r="AP8" s="37">
        <f ca="1">+'TUSD BE'!$T$8+'TUSD BE'!$AB$8+'TUSD BE'!$AD$8+'TUSD BE'!$AL$8</f>
        <v>30.764478868703648</v>
      </c>
    </row>
    <row r="9" spans="1:42" ht="11.25" customHeight="1" x14ac:dyDescent="0.25">
      <c r="A9" s="124"/>
      <c r="B9" s="35" t="s">
        <v>63</v>
      </c>
      <c r="C9" s="35" t="s">
        <v>25</v>
      </c>
      <c r="D9" s="35" t="s">
        <v>25</v>
      </c>
      <c r="E9" s="35" t="s">
        <v>25</v>
      </c>
      <c r="F9" s="35" t="s">
        <v>25</v>
      </c>
      <c r="G9" s="28" t="s">
        <v>9</v>
      </c>
      <c r="H9" s="28" t="s">
        <v>89</v>
      </c>
      <c r="I9" s="28">
        <f>'MERCADO TUSD'!$U$6</f>
        <v>4807736</v>
      </c>
      <c r="J9" s="18"/>
      <c r="L9" s="32">
        <f>'TUSD BE'!$L$9*'TUSD BF'!$L$63</f>
        <v>0</v>
      </c>
      <c r="M9" s="32">
        <f>'TUSD BE'!$M$9*'TUSD BF'!$M$63</f>
        <v>0</v>
      </c>
      <c r="N9" s="32">
        <f>'TUSD BE'!$N$9*'TUSD BF'!$N$63</f>
        <v>0</v>
      </c>
      <c r="O9" s="32">
        <f>'TUSD BE'!$O$9*'TUSD BF'!$O$63</f>
        <v>0</v>
      </c>
      <c r="P9" s="32">
        <f>'TUSD BE'!$P$9*'TUSD BF'!$P$63</f>
        <v>0</v>
      </c>
      <c r="Q9" s="32">
        <f>'TUSD BE'!$Q$9*'TUSD BF'!$Q$63</f>
        <v>0</v>
      </c>
      <c r="R9" s="32">
        <f>'TUSD BE'!$R$9*'TUSD BF'!$R$63</f>
        <v>0</v>
      </c>
      <c r="S9" s="32">
        <f>'TUSD BE'!$R$9*'TUSD BF'!$S$63</f>
        <v>0</v>
      </c>
      <c r="T9" s="32">
        <f>SUM($L$9:$S$9)</f>
        <v>0</v>
      </c>
      <c r="U9" s="32">
        <f>'TUSD BE'!$U$9*'TUSD BF'!$U$63</f>
        <v>0</v>
      </c>
      <c r="V9" s="32">
        <f>'TUSD BE'!$V$9*'TUSD BF'!$V$63</f>
        <v>0</v>
      </c>
      <c r="W9" s="32">
        <f>'TUSD BE'!$W$9*'TUSD BF'!$W$63</f>
        <v>0</v>
      </c>
      <c r="X9" s="32">
        <f>'TUSD BE'!$X$9*'TUSD BF'!$X$63</f>
        <v>0</v>
      </c>
      <c r="Y9" s="32">
        <f>'TUSD BE'!$Y$9*'TUSD BF'!$Y$63</f>
        <v>0</v>
      </c>
      <c r="Z9" s="32">
        <f>'TUSD BE'!$Z$9*'TUSD BF'!$Z$63</f>
        <v>0</v>
      </c>
      <c r="AA9" s="32">
        <f>'TUSD BE'!$AA$9*'TUSD BF'!$AA$63</f>
        <v>0</v>
      </c>
      <c r="AB9" s="32">
        <f>SUM($U$9:$AA$9)</f>
        <v>0</v>
      </c>
      <c r="AC9" s="32">
        <f>'TUSD BE'!$AC$9*'TUSD BF'!$AC$63</f>
        <v>0</v>
      </c>
      <c r="AD9" s="32">
        <f>SUM($AC$9:$AC$9)</f>
        <v>0</v>
      </c>
      <c r="AE9" s="32">
        <f ca="1">$AO$9*$AO$60</f>
        <v>0</v>
      </c>
      <c r="AF9" s="32">
        <f ca="1">$AP$9*$AP$60</f>
        <v>0</v>
      </c>
      <c r="AG9" s="32">
        <f ca="1">SUM($AE$9:$AF$9)</f>
        <v>0</v>
      </c>
      <c r="AH9" s="32">
        <f>'TUSD BE'!$AH$9*'TUSD BF'!$AH$63</f>
        <v>0.13073540039009274</v>
      </c>
      <c r="AI9" s="32">
        <f>'TUSD BE'!$AI$9*'TUSD BF'!$AI$63</f>
        <v>0</v>
      </c>
      <c r="AJ9" s="32">
        <f>'TUSD BE'!$AJ$9*'TUSD BF'!$AJ$63</f>
        <v>0</v>
      </c>
      <c r="AK9" s="32">
        <f>'TUSD BE'!$AK$9*'TUSD BF'!$AK$63</f>
        <v>0</v>
      </c>
      <c r="AL9" s="32">
        <f>SUM($AH$9:$AK$9)</f>
        <v>0.13073540039009274</v>
      </c>
      <c r="AM9" s="32">
        <f ca="1">SUMIF($L$4:$AL$4,"SUBTOTAL",$L$9:$AL$9)</f>
        <v>0.13073540039009274</v>
      </c>
      <c r="AO9" s="37">
        <f>+'TUSD BE'!$T$9+'TUSD BE'!$AB$9+'TUSD BE'!$AD$9+'TUSD BE'!$AL$9</f>
        <v>9.1809702481136295</v>
      </c>
      <c r="AP9" s="37">
        <f>+'TUSD BE'!$T$9+'TUSD BE'!$AB$9+'TUSD BE'!$AD$9+'TUSD BE'!$AL$9</f>
        <v>9.1809702481136295</v>
      </c>
    </row>
    <row r="10" spans="1:42" ht="11.25" customHeight="1" x14ac:dyDescent="0.25">
      <c r="A10" s="124" t="s">
        <v>35</v>
      </c>
      <c r="B10" s="124" t="s">
        <v>44</v>
      </c>
      <c r="C10" s="124" t="s">
        <v>25</v>
      </c>
      <c r="D10" s="124" t="s">
        <v>25</v>
      </c>
      <c r="E10" s="124" t="s">
        <v>25</v>
      </c>
      <c r="F10" s="124" t="s">
        <v>25</v>
      </c>
      <c r="G10" s="28" t="s">
        <v>90</v>
      </c>
      <c r="H10" s="28" t="s">
        <v>89</v>
      </c>
      <c r="I10" s="28">
        <f>'MERCADO TUSD'!$U$7</f>
        <v>1352837</v>
      </c>
      <c r="J10" s="18"/>
      <c r="L10" s="32">
        <f>'TUSD BE'!$L$10*'TUSD BF'!$L$63</f>
        <v>0</v>
      </c>
      <c r="M10" s="32">
        <f>'TUSD BE'!$M$10*'TUSD BF'!$M$63</f>
        <v>0</v>
      </c>
      <c r="N10" s="32">
        <f ca="1">'TUSD BE'!$N$10*'TUSD BF'!$N$63</f>
        <v>0</v>
      </c>
      <c r="O10" s="32">
        <f>'TUSD BE'!$O$10*'TUSD BF'!$O$63</f>
        <v>0</v>
      </c>
      <c r="P10" s="32">
        <f>'TUSD BE'!$P$10*'TUSD BF'!$P$63</f>
        <v>0</v>
      </c>
      <c r="Q10" s="32">
        <f>'TUSD BE'!$Q$10*'TUSD BF'!$Q$63</f>
        <v>0</v>
      </c>
      <c r="R10" s="32">
        <f>'TUSD BE'!$R$10*'TUSD BF'!$R$63</f>
        <v>0</v>
      </c>
      <c r="S10" s="32">
        <f>'TUSD BE'!$R$10*'TUSD BF'!$S$63</f>
        <v>0</v>
      </c>
      <c r="T10" s="32">
        <f ca="1">SUM($L$10:$S$10)</f>
        <v>0</v>
      </c>
      <c r="U10" s="32">
        <f>'TUSD BE'!$U$10*'TUSD BF'!$U$63</f>
        <v>1.090822534657141</v>
      </c>
      <c r="V10" s="32">
        <f>'TUSD BE'!$V$10*'TUSD BF'!$V$63</f>
        <v>3.3825691842096117E-3</v>
      </c>
      <c r="W10" s="32">
        <f>'TUSD BE'!$W$10*'TUSD BF'!$W$63</f>
        <v>0</v>
      </c>
      <c r="X10" s="32">
        <f>'TUSD BE'!$X$10*'TUSD BF'!$X$63</f>
        <v>0</v>
      </c>
      <c r="Y10" s="32">
        <f>'TUSD BE'!$Y$10*'TUSD BF'!$Y$63</f>
        <v>0</v>
      </c>
      <c r="Z10" s="32">
        <f>'TUSD BE'!$Z$10*'TUSD BF'!$Z$63</f>
        <v>0</v>
      </c>
      <c r="AA10" s="32">
        <f>'TUSD BE'!$AA$10*'TUSD BF'!$AA$63</f>
        <v>0</v>
      </c>
      <c r="AB10" s="32">
        <f>SUM($U$10:$AA$10)</f>
        <v>1.0942051038413505</v>
      </c>
      <c r="AC10" s="32">
        <f>'TUSD BE'!$AC$10*'TUSD BF'!$AC$63</f>
        <v>0</v>
      </c>
      <c r="AD10" s="32">
        <f>SUM($AC$10:$AC$10)</f>
        <v>0</v>
      </c>
      <c r="AE10" s="32">
        <f ca="1">$AO$10*$AO$60</f>
        <v>0</v>
      </c>
      <c r="AF10" s="32">
        <f ca="1">$AP$10*$AP$60</f>
        <v>0</v>
      </c>
      <c r="AG10" s="32">
        <f ca="1">SUM($AE$10:$AF$10)</f>
        <v>0</v>
      </c>
      <c r="AH10" s="32">
        <f>'TUSD BE'!$AH$10*'TUSD BF'!$AH$63</f>
        <v>0</v>
      </c>
      <c r="AI10" s="32">
        <f>'TUSD BE'!$AI$10*'TUSD BF'!$AI$63</f>
        <v>0</v>
      </c>
      <c r="AJ10" s="32">
        <f ca="1">'TUSD BE'!$AJ$10*'TUSD BF'!$AJ$63</f>
        <v>0</v>
      </c>
      <c r="AK10" s="32">
        <f ca="1">'TUSD BE'!$AK$10*'TUSD BF'!$AK$63</f>
        <v>0</v>
      </c>
      <c r="AL10" s="32">
        <f ca="1">SUM($AH$10:$AK$10)</f>
        <v>0</v>
      </c>
      <c r="AM10" s="32">
        <f ca="1">SUMIF($L$4:$AL$4,"SUBTOTAL",$L$10:$AL$10)</f>
        <v>1.0942051038413505</v>
      </c>
      <c r="AO10" s="37">
        <f ca="1">+'TUSD BE'!$T$10+'TUSD BE'!$AB$10+'TUSD BE'!$AD$10+'TUSD BE'!$AL$10</f>
        <v>57.941439868470916</v>
      </c>
      <c r="AP10" s="37">
        <f ca="1">+'TUSD BE'!$T$10+'TUSD BE'!$AB$10+'TUSD BE'!$AD$10+'TUSD BE'!$AL$10</f>
        <v>57.941439868470916</v>
      </c>
    </row>
    <row r="11" spans="1:42" ht="11.25" customHeight="1" x14ac:dyDescent="0.25">
      <c r="A11" s="124"/>
      <c r="B11" s="124"/>
      <c r="C11" s="124"/>
      <c r="D11" s="124"/>
      <c r="E11" s="124"/>
      <c r="F11" s="124"/>
      <c r="G11" s="28" t="s">
        <v>91</v>
      </c>
      <c r="H11" s="28" t="s">
        <v>89</v>
      </c>
      <c r="I11" s="28">
        <f>'MERCADO TUSD'!$U$8</f>
        <v>1573792</v>
      </c>
      <c r="J11" s="18"/>
      <c r="L11" s="32">
        <f>'TUSD BE'!$L$11*'TUSD BF'!$L$63</f>
        <v>0</v>
      </c>
      <c r="M11" s="32">
        <f>'TUSD BE'!$M$11*'TUSD BF'!$M$63</f>
        <v>0</v>
      </c>
      <c r="N11" s="32">
        <f ca="1">'TUSD BE'!$N$11*'TUSD BF'!$N$63</f>
        <v>0</v>
      </c>
      <c r="O11" s="32">
        <f>'TUSD BE'!$O$11*'TUSD BF'!$O$63</f>
        <v>0</v>
      </c>
      <c r="P11" s="32">
        <f>'TUSD BE'!$P$11*'TUSD BF'!$P$63</f>
        <v>0</v>
      </c>
      <c r="Q11" s="32">
        <f>'TUSD BE'!$Q$11*'TUSD BF'!$Q$63</f>
        <v>0</v>
      </c>
      <c r="R11" s="32">
        <f>'TUSD BE'!$R$11*'TUSD BF'!$R$63</f>
        <v>0</v>
      </c>
      <c r="S11" s="32">
        <f>'TUSD BE'!$R$11*'TUSD BF'!$S$63</f>
        <v>0</v>
      </c>
      <c r="T11" s="32">
        <f ca="1">SUM($L$11:$S$11)</f>
        <v>0</v>
      </c>
      <c r="U11" s="32">
        <f>'TUSD BE'!$U$11*'TUSD BF'!$U$63</f>
        <v>0.65394498414371427</v>
      </c>
      <c r="V11" s="32">
        <f>'TUSD BE'!$V$11*'TUSD BF'!$V$63</f>
        <v>2.1033496775236756E-3</v>
      </c>
      <c r="W11" s="32">
        <f>'TUSD BE'!$W$11*'TUSD BF'!$W$63</f>
        <v>0</v>
      </c>
      <c r="X11" s="32">
        <f>'TUSD BE'!$X$11*'TUSD BF'!$X$63</f>
        <v>0</v>
      </c>
      <c r="Y11" s="32">
        <f>'TUSD BE'!$Y$11*'TUSD BF'!$Y$63</f>
        <v>0</v>
      </c>
      <c r="Z11" s="32">
        <f>'TUSD BE'!$Z$11*'TUSD BF'!$Z$63</f>
        <v>0</v>
      </c>
      <c r="AA11" s="32">
        <f>'TUSD BE'!$AA$11*'TUSD BF'!$AA$63</f>
        <v>0</v>
      </c>
      <c r="AB11" s="32">
        <f>SUM($U$11:$AA$11)</f>
        <v>0.65604833382123795</v>
      </c>
      <c r="AC11" s="32">
        <f>'TUSD BE'!$AC$11*'TUSD BF'!$AC$63</f>
        <v>0</v>
      </c>
      <c r="AD11" s="32">
        <f>SUM($AC$11:$AC$11)</f>
        <v>0</v>
      </c>
      <c r="AE11" s="32">
        <f ca="1">$AO$11*$AO$60</f>
        <v>0</v>
      </c>
      <c r="AF11" s="32">
        <f ca="1">$AP$11*$AP$60</f>
        <v>0</v>
      </c>
      <c r="AG11" s="32">
        <f ca="1">SUM($AE$11:$AF$11)</f>
        <v>0</v>
      </c>
      <c r="AH11" s="32">
        <f>'TUSD BE'!$AH$11*'TUSD BF'!$AH$63</f>
        <v>0</v>
      </c>
      <c r="AI11" s="32">
        <f>'TUSD BE'!$AI$11*'TUSD BF'!$AI$63</f>
        <v>0</v>
      </c>
      <c r="AJ11" s="32">
        <f ca="1">'TUSD BE'!$AJ$11*'TUSD BF'!$AJ$63</f>
        <v>0</v>
      </c>
      <c r="AK11" s="32">
        <f ca="1">'TUSD BE'!$AK$11*'TUSD BF'!$AK$63</f>
        <v>0</v>
      </c>
      <c r="AL11" s="32">
        <f ca="1">SUM($AH$11:$AK$11)</f>
        <v>0</v>
      </c>
      <c r="AM11" s="32">
        <f ca="1">SUMIF($L$4:$AL$4,"SUBTOTAL",$L$11:$AL$11)</f>
        <v>0.65604833382123795</v>
      </c>
      <c r="AO11" s="37">
        <f ca="1">+'TUSD BE'!$T$11+'TUSD BE'!$AB$11+'TUSD BE'!$AD$11+'TUSD BE'!$AL$11</f>
        <v>31.105296160820906</v>
      </c>
      <c r="AP11" s="37">
        <f ca="1">+'TUSD BE'!$T$11+'TUSD BE'!$AB$11+'TUSD BE'!$AD$11+'TUSD BE'!$AL$11</f>
        <v>31.105296160820906</v>
      </c>
    </row>
    <row r="12" spans="1:42" ht="11.25" customHeight="1" x14ac:dyDescent="0.25">
      <c r="A12" s="124"/>
      <c r="B12" s="124"/>
      <c r="C12" s="124"/>
      <c r="D12" s="124"/>
      <c r="E12" s="124"/>
      <c r="F12" s="124"/>
      <c r="G12" s="28" t="s">
        <v>92</v>
      </c>
      <c r="H12" s="28" t="s">
        <v>86</v>
      </c>
      <c r="I12" s="28">
        <f>'MERCADO TUSD'!$U$9</f>
        <v>571563.16599999997</v>
      </c>
      <c r="J12" s="18"/>
      <c r="L12" s="32">
        <f>'TUSD BE'!$L$12*'TUSD BF'!$L$63</f>
        <v>0</v>
      </c>
      <c r="M12" s="32">
        <f>'TUSD BE'!$M$12*'TUSD BF'!$M$63</f>
        <v>0</v>
      </c>
      <c r="N12" s="32">
        <f ca="1">'TUSD BE'!$N$12*'TUSD BF'!$N$63</f>
        <v>0</v>
      </c>
      <c r="O12" s="32">
        <f>'TUSD BE'!$O$12*'TUSD BF'!$O$63</f>
        <v>0</v>
      </c>
      <c r="P12" s="32">
        <f>'TUSD BE'!$P$12*'TUSD BF'!$P$63</f>
        <v>0</v>
      </c>
      <c r="Q12" s="32">
        <f>'TUSD BE'!$Q$12*'TUSD BF'!$Q$63</f>
        <v>-1.1272467181605594</v>
      </c>
      <c r="R12" s="32">
        <f>'TUSD BE'!$R$12*'TUSD BF'!$R$63</f>
        <v>0.74952600079857579</v>
      </c>
      <c r="S12" s="32">
        <f>'TUSD BE'!$R$12*'TUSD BF'!$S$63</f>
        <v>0</v>
      </c>
      <c r="T12" s="32">
        <f ca="1">SUM($L$12:$S$12)</f>
        <v>-0.37772071736198365</v>
      </c>
      <c r="U12" s="32">
        <f>'TUSD BE'!$U$12*'TUSD BF'!$U$63</f>
        <v>0</v>
      </c>
      <c r="V12" s="32">
        <f>'TUSD BE'!$V$12*'TUSD BF'!$V$63</f>
        <v>0</v>
      </c>
      <c r="W12" s="32">
        <f>'TUSD BE'!$W$12*'TUSD BF'!$W$63</f>
        <v>0</v>
      </c>
      <c r="X12" s="32">
        <f>'TUSD BE'!$X$12*'TUSD BF'!$X$63</f>
        <v>0</v>
      </c>
      <c r="Y12" s="32">
        <f>'TUSD BE'!$Y$12*'TUSD BF'!$Y$63</f>
        <v>0</v>
      </c>
      <c r="Z12" s="32">
        <f>'TUSD BE'!$Z$12*'TUSD BF'!$Z$63</f>
        <v>0</v>
      </c>
      <c r="AA12" s="32">
        <f>'TUSD BE'!$AA$12*'TUSD BF'!$AA$63</f>
        <v>0</v>
      </c>
      <c r="AB12" s="32">
        <f>SUM($U$12:$AA$12)</f>
        <v>0</v>
      </c>
      <c r="AC12" s="32">
        <f>'TUSD BE'!$AC$12*'TUSD BF'!$AC$63</f>
        <v>0</v>
      </c>
      <c r="AD12" s="32">
        <f>SUM($AC$12:$AC$12)</f>
        <v>0</v>
      </c>
      <c r="AE12" s="32">
        <f ca="1">$AO$12*$AO$60</f>
        <v>0</v>
      </c>
      <c r="AF12" s="32">
        <f ca="1">$AP$12*$AP$60</f>
        <v>0</v>
      </c>
      <c r="AG12" s="32">
        <f ca="1">SUM($AE$12:$AF$12)</f>
        <v>0</v>
      </c>
      <c r="AH12" s="32">
        <f>'TUSD BE'!$AH$12*'TUSD BF'!$AH$63</f>
        <v>0.9492009339378612</v>
      </c>
      <c r="AI12" s="32">
        <f>'TUSD BE'!$AI$12*'TUSD BF'!$AI$63</f>
        <v>6.8353581017522633E-2</v>
      </c>
      <c r="AJ12" s="32">
        <f ca="1">'TUSD BE'!$AJ$12*'TUSD BF'!$AJ$63</f>
        <v>8.9065911450705801</v>
      </c>
      <c r="AK12" s="32">
        <f ca="1">'TUSD BE'!$AK$12*'TUSD BF'!$AK$63</f>
        <v>0</v>
      </c>
      <c r="AL12" s="32">
        <f ca="1">SUM($AH$12:$AK$12)</f>
        <v>9.9241456600259639</v>
      </c>
      <c r="AM12" s="32">
        <f ca="1">SUMIF($L$4:$AL$4,"SUBTOTAL",$L$12:$AL$12)</f>
        <v>9.5464249426639807</v>
      </c>
      <c r="AO12" s="37">
        <f ca="1">+'TUSD BE'!$T$12+'TUSD BE'!$AB$12+'TUSD BE'!$AD$12+'TUSD BE'!$AL$12</f>
        <v>164.95325865183827</v>
      </c>
      <c r="AP12" s="37">
        <f ca="1">+'TUSD BE'!$T$12+'TUSD BE'!$AB$12+'TUSD BE'!$AD$12+'TUSD BE'!$AL$12</f>
        <v>164.95325865183827</v>
      </c>
    </row>
    <row r="13" spans="1:42" ht="11.25" customHeight="1" x14ac:dyDescent="0.25">
      <c r="A13" s="124"/>
      <c r="B13" s="124"/>
      <c r="C13" s="124"/>
      <c r="D13" s="124"/>
      <c r="E13" s="35" t="s">
        <v>93</v>
      </c>
      <c r="F13" s="35" t="s">
        <v>25</v>
      </c>
      <c r="G13" s="28" t="s">
        <v>92</v>
      </c>
      <c r="H13" s="28" t="s">
        <v>86</v>
      </c>
      <c r="I13" s="28">
        <f>'MERCADO TUSD'!$U$10</f>
        <v>0</v>
      </c>
      <c r="J13" s="18"/>
      <c r="L13" s="32">
        <f>'TUSD BE'!$L$13*'TUSD BF'!$L$63</f>
        <v>0</v>
      </c>
      <c r="M13" s="32">
        <f>'TUSD BE'!$M$13*'TUSD BF'!$M$63</f>
        <v>0</v>
      </c>
      <c r="N13" s="32">
        <f ca="1">'TUSD BE'!$N$13*'TUSD BF'!$N$63</f>
        <v>0</v>
      </c>
      <c r="O13" s="32">
        <f>'TUSD BE'!$O$13*'TUSD BF'!$O$63</f>
        <v>0</v>
      </c>
      <c r="P13" s="32">
        <f>'TUSD BE'!$P$13*'TUSD BF'!$P$63</f>
        <v>0</v>
      </c>
      <c r="Q13" s="32">
        <f>'TUSD BE'!$Q$13*'TUSD BF'!$Q$63</f>
        <v>0</v>
      </c>
      <c r="R13" s="32">
        <f>'TUSD BE'!$R$13*'TUSD BF'!$R$63</f>
        <v>0</v>
      </c>
      <c r="S13" s="32">
        <f>'TUSD BE'!$R$13*'TUSD BF'!$S$63</f>
        <v>0</v>
      </c>
      <c r="T13" s="32">
        <f ca="1">SUM($L$13:$S$13)</f>
        <v>0</v>
      </c>
      <c r="U13" s="32">
        <f>'TUSD BE'!$U$13*'TUSD BF'!$U$63</f>
        <v>0</v>
      </c>
      <c r="V13" s="32">
        <f>'TUSD BE'!$V$13*'TUSD BF'!$V$63</f>
        <v>0</v>
      </c>
      <c r="W13" s="32">
        <f>'TUSD BE'!$W$13*'TUSD BF'!$W$63</f>
        <v>0</v>
      </c>
      <c r="X13" s="32">
        <f>'TUSD BE'!$X$13*'TUSD BF'!$X$63</f>
        <v>0</v>
      </c>
      <c r="Y13" s="32">
        <f>'TUSD BE'!$Y$13*'TUSD BF'!$Y$63</f>
        <v>0</v>
      </c>
      <c r="Z13" s="32">
        <f>'TUSD BE'!$Z$13*'TUSD BF'!$Z$63</f>
        <v>0</v>
      </c>
      <c r="AA13" s="32">
        <f>'TUSD BE'!$AA$13*'TUSD BF'!$AA$63</f>
        <v>0</v>
      </c>
      <c r="AB13" s="32">
        <f>SUM($U$13:$AA$13)</f>
        <v>0</v>
      </c>
      <c r="AC13" s="32">
        <f>'TUSD BE'!$AC$13*'TUSD BF'!$AC$63</f>
        <v>0</v>
      </c>
      <c r="AD13" s="32">
        <f>SUM($AC$13:$AC$13)</f>
        <v>0</v>
      </c>
      <c r="AE13" s="32">
        <f ca="1">$AO$13*$AO$60</f>
        <v>0</v>
      </c>
      <c r="AF13" s="32">
        <f ca="1">$AP$13*$AP$60</f>
        <v>0</v>
      </c>
      <c r="AG13" s="32">
        <f ca="1">SUM($AE$13:$AF$13)</f>
        <v>0</v>
      </c>
      <c r="AH13" s="32">
        <f>'TUSD BE'!$AH$13*'TUSD BF'!$AH$63</f>
        <v>0.9492009339378612</v>
      </c>
      <c r="AI13" s="32">
        <f>'TUSD BE'!$AI$13*'TUSD BF'!$AI$63</f>
        <v>6.8353581017522633E-2</v>
      </c>
      <c r="AJ13" s="32">
        <f ca="1">'TUSD BE'!$AJ$13*'TUSD BF'!$AJ$63</f>
        <v>8.9065911450705801</v>
      </c>
      <c r="AK13" s="32">
        <f ca="1">'TUSD BE'!$AK$13*'TUSD BF'!$AK$63</f>
        <v>0</v>
      </c>
      <c r="AL13" s="32">
        <f ca="1">SUM($AH$13:$AK$13)</f>
        <v>9.9241456600259639</v>
      </c>
      <c r="AM13" s="32">
        <f ca="1">SUMIF($L$4:$AL$4,"SUBTOTAL",$L$13:$AL$13)</f>
        <v>9.9241456600259639</v>
      </c>
      <c r="AO13" s="37">
        <f ca="1">+'TUSD BE'!$T$13+'TUSD BE'!$AB$13+'TUSD BE'!$AD$13+'TUSD BE'!$AL$13</f>
        <v>122.5725723798476</v>
      </c>
      <c r="AP13" s="37">
        <f ca="1">+'TUSD BE'!$T$13+'TUSD BE'!$AB$13+'TUSD BE'!$AD$13+'TUSD BE'!$AL$13</f>
        <v>122.5725723798476</v>
      </c>
    </row>
    <row r="14" spans="1:42" ht="11.25" customHeight="1" x14ac:dyDescent="0.25">
      <c r="A14" s="124"/>
      <c r="B14" s="35" t="s">
        <v>63</v>
      </c>
      <c r="C14" s="35" t="s">
        <v>25</v>
      </c>
      <c r="D14" s="35" t="s">
        <v>25</v>
      </c>
      <c r="E14" s="35" t="s">
        <v>25</v>
      </c>
      <c r="F14" s="35" t="s">
        <v>25</v>
      </c>
      <c r="G14" s="28" t="s">
        <v>9</v>
      </c>
      <c r="H14" s="28" t="s">
        <v>89</v>
      </c>
      <c r="I14" s="28">
        <f>'MERCADO TUSD'!$U$11</f>
        <v>0</v>
      </c>
      <c r="J14" s="18"/>
      <c r="L14" s="32">
        <f>'TUSD BE'!$L$14*'TUSD BF'!$L$63</f>
        <v>0</v>
      </c>
      <c r="M14" s="32">
        <f>'TUSD BE'!$M$14*'TUSD BF'!$M$63</f>
        <v>0</v>
      </c>
      <c r="N14" s="32">
        <f ca="1">'TUSD BE'!$N$14*'TUSD BF'!$N$63</f>
        <v>0</v>
      </c>
      <c r="O14" s="32">
        <f>'TUSD BE'!$O$14*'TUSD BF'!$O$63</f>
        <v>0</v>
      </c>
      <c r="P14" s="32">
        <f>'TUSD BE'!$P$14*'TUSD BF'!$P$63</f>
        <v>0</v>
      </c>
      <c r="Q14" s="32">
        <f>'TUSD BE'!$Q$14*'TUSD BF'!$Q$63</f>
        <v>0</v>
      </c>
      <c r="R14" s="32">
        <f>'TUSD BE'!$R$14*'TUSD BF'!$R$63</f>
        <v>0</v>
      </c>
      <c r="S14" s="32">
        <f>'TUSD BE'!$R$14*'TUSD BF'!$S$63</f>
        <v>0</v>
      </c>
      <c r="T14" s="32">
        <f ca="1">SUM($L$14:$S$14)</f>
        <v>0</v>
      </c>
      <c r="U14" s="32">
        <f>'TUSD BE'!$U$14*'TUSD BF'!$U$63</f>
        <v>0</v>
      </c>
      <c r="V14" s="32">
        <f>'TUSD BE'!$V$14*'TUSD BF'!$V$63</f>
        <v>0</v>
      </c>
      <c r="W14" s="32">
        <f>'TUSD BE'!$W$14*'TUSD BF'!$W$63</f>
        <v>0</v>
      </c>
      <c r="X14" s="32">
        <f>'TUSD BE'!$X$14*'TUSD BF'!$X$63</f>
        <v>0</v>
      </c>
      <c r="Y14" s="32">
        <f>'TUSD BE'!$Y$14*'TUSD BF'!$Y$63</f>
        <v>0</v>
      </c>
      <c r="Z14" s="32">
        <f>'TUSD BE'!$Z$14*'TUSD BF'!$Z$63</f>
        <v>0</v>
      </c>
      <c r="AA14" s="32">
        <f>'TUSD BE'!$AA$14*'TUSD BF'!$AA$63</f>
        <v>0</v>
      </c>
      <c r="AB14" s="32">
        <f>SUM($U$14:$AA$14)</f>
        <v>0</v>
      </c>
      <c r="AC14" s="32">
        <f>'TUSD BE'!$AC$14*'TUSD BF'!$AC$63</f>
        <v>0</v>
      </c>
      <c r="AD14" s="32">
        <f>SUM($AC$14:$AC$14)</f>
        <v>0</v>
      </c>
      <c r="AE14" s="32">
        <f ca="1">$AO$14*$AO$60</f>
        <v>0</v>
      </c>
      <c r="AF14" s="32">
        <f ca="1">$AP$14*$AP$60</f>
        <v>0</v>
      </c>
      <c r="AG14" s="32">
        <f ca="1">SUM($AE$14:$AF$14)</f>
        <v>0</v>
      </c>
      <c r="AH14" s="32">
        <f>'TUSD BE'!$AH$14*'TUSD BF'!$AH$63</f>
        <v>0</v>
      </c>
      <c r="AI14" s="32">
        <f>'TUSD BE'!$AI$14*'TUSD BF'!$AI$63</f>
        <v>0</v>
      </c>
      <c r="AJ14" s="32">
        <f ca="1">'TUSD BE'!$AJ$14*'TUSD BF'!$AJ$63</f>
        <v>0</v>
      </c>
      <c r="AK14" s="32">
        <f ca="1">'TUSD BE'!$AK$14*'TUSD BF'!$AK$63</f>
        <v>0</v>
      </c>
      <c r="AL14" s="32">
        <f ca="1">SUM($AH$14:$AK$14)</f>
        <v>0</v>
      </c>
      <c r="AM14" s="32">
        <f ca="1">SUMIF($L$4:$AL$4,"SUBTOTAL",$L$14:$AL$14)</f>
        <v>0</v>
      </c>
      <c r="AO14" s="37">
        <f ca="1">+'TUSD BE'!$T$14+'TUSD BE'!$AB$14+'TUSD BE'!$AD$14+'TUSD BE'!$AL$14</f>
        <v>22.733023504813183</v>
      </c>
      <c r="AP14" s="37">
        <f ca="1">+'TUSD BE'!$T$14+'TUSD BE'!$AB$14+'TUSD BE'!$AD$14+'TUSD BE'!$AL$14</f>
        <v>22.733023504813183</v>
      </c>
    </row>
    <row r="15" spans="1:42" ht="11.25" customHeight="1" x14ac:dyDescent="0.25">
      <c r="A15" s="124"/>
      <c r="B15" s="124" t="s">
        <v>36</v>
      </c>
      <c r="C15" s="124" t="s">
        <v>25</v>
      </c>
      <c r="D15" s="124" t="s">
        <v>25</v>
      </c>
      <c r="E15" s="124" t="s">
        <v>25</v>
      </c>
      <c r="F15" s="124" t="s">
        <v>25</v>
      </c>
      <c r="G15" s="28" t="s">
        <v>9</v>
      </c>
      <c r="H15" s="28" t="s">
        <v>89</v>
      </c>
      <c r="I15" s="28">
        <f>'MERCADO TUSD'!$U$12</f>
        <v>6127957</v>
      </c>
      <c r="J15" s="18"/>
      <c r="L15" s="32">
        <f>'TUSD BE'!$L$15*'TUSD BF'!$L$63</f>
        <v>0</v>
      </c>
      <c r="M15" s="32">
        <f>'TUSD BE'!$M$15*'TUSD BF'!$M$63</f>
        <v>0</v>
      </c>
      <c r="N15" s="32">
        <f ca="1">'TUSD BE'!$N$15*'TUSD BF'!$N$63</f>
        <v>0</v>
      </c>
      <c r="O15" s="32">
        <f>'TUSD BE'!$O$15*'TUSD BF'!$O$63</f>
        <v>0</v>
      </c>
      <c r="P15" s="32">
        <f>'TUSD BE'!$P$15*'TUSD BF'!$P$63</f>
        <v>0</v>
      </c>
      <c r="Q15" s="32">
        <f>'TUSD BE'!$Q$15*'TUSD BF'!$Q$63</f>
        <v>0</v>
      </c>
      <c r="R15" s="32">
        <f>'TUSD BE'!$R$15*'TUSD BF'!$R$63</f>
        <v>0</v>
      </c>
      <c r="S15" s="32">
        <f>'TUSD BE'!$R$15*'TUSD BF'!$S$63</f>
        <v>0</v>
      </c>
      <c r="T15" s="32">
        <f ca="1">SUM($L$15:$S$15)</f>
        <v>0</v>
      </c>
      <c r="U15" s="32">
        <f>'TUSD BE'!$U$15*'TUSD BF'!$U$63</f>
        <v>0.65394498414371427</v>
      </c>
      <c r="V15" s="32">
        <f>'TUSD BE'!$V$15*'TUSD BF'!$V$63</f>
        <v>2.1033496775236756E-3</v>
      </c>
      <c r="W15" s="32">
        <f>'TUSD BE'!$W$15*'TUSD BF'!$W$63</f>
        <v>0</v>
      </c>
      <c r="X15" s="32">
        <f>'TUSD BE'!$X$15*'TUSD BF'!$X$63</f>
        <v>0</v>
      </c>
      <c r="Y15" s="32">
        <f>'TUSD BE'!$Y$15*'TUSD BF'!$Y$63</f>
        <v>0</v>
      </c>
      <c r="Z15" s="32">
        <f>'TUSD BE'!$Z$15*'TUSD BF'!$Z$63</f>
        <v>0</v>
      </c>
      <c r="AA15" s="32">
        <f>'TUSD BE'!$AA$15*'TUSD BF'!$AA$63</f>
        <v>0</v>
      </c>
      <c r="AB15" s="32">
        <f>SUM($U$15:$AA$15)</f>
        <v>0.65604833382123795</v>
      </c>
      <c r="AC15" s="32">
        <f>'TUSD BE'!$AC$15*'TUSD BF'!$AC$63</f>
        <v>0</v>
      </c>
      <c r="AD15" s="32">
        <f>SUM($AC$15:$AC$15)</f>
        <v>0</v>
      </c>
      <c r="AE15" s="32">
        <f ca="1">$AO$15*$AO$60</f>
        <v>0</v>
      </c>
      <c r="AF15" s="32">
        <f ca="1">$AP$15*$AP$60</f>
        <v>0</v>
      </c>
      <c r="AG15" s="32">
        <f ca="1">SUM($AE$15:$AF$15)</f>
        <v>0</v>
      </c>
      <c r="AH15" s="32">
        <f>'TUSD BE'!$AH$15*'TUSD BF'!$AH$63</f>
        <v>0</v>
      </c>
      <c r="AI15" s="32">
        <f>'TUSD BE'!$AI$15*'TUSD BF'!$AI$63</f>
        <v>0</v>
      </c>
      <c r="AJ15" s="32">
        <f ca="1">'TUSD BE'!$AJ$15*'TUSD BF'!$AJ$63</f>
        <v>0</v>
      </c>
      <c r="AK15" s="32">
        <f ca="1">'TUSD BE'!$AK$15*'TUSD BF'!$AK$63</f>
        <v>0</v>
      </c>
      <c r="AL15" s="32">
        <f ca="1">SUM($AH$15:$AK$15)</f>
        <v>0</v>
      </c>
      <c r="AM15" s="32">
        <f ca="1">SUMIF($L$4:$AL$4,"SUBTOTAL",$L$15:$AL$15)</f>
        <v>0.65604833382123795</v>
      </c>
      <c r="AO15" s="37">
        <f ca="1">+'TUSD BE'!$T$15+'TUSD BE'!$AB$15+'TUSD BE'!$AD$15+'TUSD BE'!$AL$15</f>
        <v>31.105296160820906</v>
      </c>
      <c r="AP15" s="37">
        <f ca="1">+'TUSD BE'!$T$15+'TUSD BE'!$AB$15+'TUSD BE'!$AD$15+'TUSD BE'!$AL$15</f>
        <v>31.105296160820906</v>
      </c>
    </row>
    <row r="16" spans="1:42" ht="11.25" customHeight="1" x14ac:dyDescent="0.25">
      <c r="A16" s="124"/>
      <c r="B16" s="124"/>
      <c r="C16" s="124"/>
      <c r="D16" s="124"/>
      <c r="E16" s="124"/>
      <c r="F16" s="124"/>
      <c r="G16" s="28" t="s">
        <v>87</v>
      </c>
      <c r="H16" s="28" t="s">
        <v>86</v>
      </c>
      <c r="I16" s="28">
        <f>'MERCADO TUSD'!$U$13</f>
        <v>91326.053000000014</v>
      </c>
      <c r="J16" s="18"/>
      <c r="L16" s="32">
        <f>'TUSD BE'!$L$16*'TUSD BF'!$L$63</f>
        <v>0</v>
      </c>
      <c r="M16" s="32">
        <f>'TUSD BE'!$M$16*'TUSD BF'!$M$63</f>
        <v>0</v>
      </c>
      <c r="N16" s="32">
        <f ca="1">'TUSD BE'!$N$16*'TUSD BF'!$N$63</f>
        <v>0</v>
      </c>
      <c r="O16" s="32">
        <f>'TUSD BE'!$O$16*'TUSD BF'!$O$63</f>
        <v>0</v>
      </c>
      <c r="P16" s="32">
        <f>'TUSD BE'!$P$16*'TUSD BF'!$P$63</f>
        <v>0</v>
      </c>
      <c r="Q16" s="32">
        <f>'TUSD BE'!$Q$16*'TUSD BF'!$Q$63</f>
        <v>-1.1272467181605594</v>
      </c>
      <c r="R16" s="32">
        <f>'TUSD BE'!$R$16*'TUSD BF'!$R$63</f>
        <v>0.74952600079857579</v>
      </c>
      <c r="S16" s="32">
        <f>'TUSD BE'!$R$16*'TUSD BF'!$S$63</f>
        <v>0</v>
      </c>
      <c r="T16" s="32">
        <f ca="1">SUM($L$16:$S$16)</f>
        <v>-0.37772071736198365</v>
      </c>
      <c r="U16" s="32">
        <f>'TUSD BE'!$U$16*'TUSD BF'!$U$63</f>
        <v>26.234415903500309</v>
      </c>
      <c r="V16" s="32">
        <f>'TUSD BE'!$V$16*'TUSD BF'!$V$63</f>
        <v>8.1352711240366721E-2</v>
      </c>
      <c r="W16" s="32">
        <f>'TUSD BE'!$W$16*'TUSD BF'!$W$63</f>
        <v>0</v>
      </c>
      <c r="X16" s="32">
        <f>'TUSD BE'!$X$16*'TUSD BF'!$X$63</f>
        <v>0</v>
      </c>
      <c r="Y16" s="32">
        <f>'TUSD BE'!$Y$16*'TUSD BF'!$Y$63</f>
        <v>0</v>
      </c>
      <c r="Z16" s="32">
        <f>'TUSD BE'!$Z$16*'TUSD BF'!$Z$63</f>
        <v>0</v>
      </c>
      <c r="AA16" s="32">
        <f>'TUSD BE'!$AA$16*'TUSD BF'!$AA$63</f>
        <v>0</v>
      </c>
      <c r="AB16" s="32">
        <f>SUM($U$16:$AA$16)</f>
        <v>26.315768614740676</v>
      </c>
      <c r="AC16" s="32">
        <f>'TUSD BE'!$AC$16*'TUSD BF'!$AC$63</f>
        <v>0</v>
      </c>
      <c r="AD16" s="32">
        <f>SUM($AC$16:$AC$16)</f>
        <v>0</v>
      </c>
      <c r="AE16" s="32">
        <f ca="1">$AO$16*$AO$60</f>
        <v>0</v>
      </c>
      <c r="AF16" s="32">
        <f ca="1">$AP$16*$AP$60</f>
        <v>0</v>
      </c>
      <c r="AG16" s="32">
        <f ca="1">SUM($AE$16:$AF$16)</f>
        <v>0</v>
      </c>
      <c r="AH16" s="32">
        <f>'TUSD BE'!$AH$16*'TUSD BF'!$AH$63</f>
        <v>0.9492009339378612</v>
      </c>
      <c r="AI16" s="32">
        <f>'TUSD BE'!$AI$16*'TUSD BF'!$AI$63</f>
        <v>6.8353581017522633E-2</v>
      </c>
      <c r="AJ16" s="32">
        <f ca="1">'TUSD BE'!$AJ$16*'TUSD BF'!$AJ$63</f>
        <v>8.9065911450705801</v>
      </c>
      <c r="AK16" s="32">
        <f ca="1">'TUSD BE'!$AK$16*'TUSD BF'!$AK$63</f>
        <v>0</v>
      </c>
      <c r="AL16" s="32">
        <f ca="1">SUM($AH$16:$AK$16)</f>
        <v>9.9241456600259639</v>
      </c>
      <c r="AM16" s="32">
        <f ca="1">SUMIF($L$4:$AL$4,"SUBTOTAL",$L$16:$AL$16)</f>
        <v>35.862193557404652</v>
      </c>
      <c r="AO16" s="37">
        <f ca="1">+'TUSD BE'!$T$16+'TUSD BE'!$AB$16+'TUSD BE'!$AD$16+'TUSD BE'!$AL$16</f>
        <v>1570.3268207116064</v>
      </c>
      <c r="AP16" s="37">
        <f ca="1">+'TUSD BE'!$T$16+'TUSD BE'!$AB$16+'TUSD BE'!$AD$16+'TUSD BE'!$AL$16</f>
        <v>1570.3268207116064</v>
      </c>
    </row>
    <row r="17" spans="1:42" ht="11.25" customHeight="1" x14ac:dyDescent="0.25">
      <c r="A17" s="124"/>
      <c r="B17" s="124"/>
      <c r="C17" s="124"/>
      <c r="D17" s="124"/>
      <c r="E17" s="124"/>
      <c r="F17" s="124"/>
      <c r="G17" s="28" t="s">
        <v>88</v>
      </c>
      <c r="H17" s="28" t="s">
        <v>86</v>
      </c>
      <c r="I17" s="28">
        <f>'MERCADO TUSD'!$U$14</f>
        <v>1142508.3459999999</v>
      </c>
      <c r="J17" s="18"/>
      <c r="L17" s="32">
        <f>'TUSD BE'!$L$17*'TUSD BF'!$L$63</f>
        <v>0</v>
      </c>
      <c r="M17" s="32">
        <f>'TUSD BE'!$M$17*'TUSD BF'!$M$63</f>
        <v>0</v>
      </c>
      <c r="N17" s="32">
        <f ca="1">'TUSD BE'!$N$17*'TUSD BF'!$N$63</f>
        <v>0</v>
      </c>
      <c r="O17" s="32">
        <f>'TUSD BE'!$O$17*'TUSD BF'!$O$63</f>
        <v>0</v>
      </c>
      <c r="P17" s="32">
        <f>'TUSD BE'!$P$17*'TUSD BF'!$P$63</f>
        <v>0</v>
      </c>
      <c r="Q17" s="32">
        <f>'TUSD BE'!$Q$17*'TUSD BF'!$Q$63</f>
        <v>-1.1272467181605594</v>
      </c>
      <c r="R17" s="32">
        <f>'TUSD BE'!$R$17*'TUSD BF'!$R$63</f>
        <v>0.74952600079857579</v>
      </c>
      <c r="S17" s="32">
        <f>'TUSD BE'!$R$17*'TUSD BF'!$S$63</f>
        <v>0</v>
      </c>
      <c r="T17" s="32">
        <f ca="1">SUM($L$17:$S$17)</f>
        <v>-0.37772071736198365</v>
      </c>
      <c r="U17" s="32">
        <f>'TUSD BE'!$U$17*'TUSD BF'!$U$63</f>
        <v>0</v>
      </c>
      <c r="V17" s="32">
        <f>'TUSD BE'!$V$17*'TUSD BF'!$V$63</f>
        <v>0</v>
      </c>
      <c r="W17" s="32">
        <f>'TUSD BE'!$W$17*'TUSD BF'!$W$63</f>
        <v>0</v>
      </c>
      <c r="X17" s="32">
        <f>'TUSD BE'!$X$17*'TUSD BF'!$X$63</f>
        <v>0</v>
      </c>
      <c r="Y17" s="32">
        <f>'TUSD BE'!$Y$17*'TUSD BF'!$Y$63</f>
        <v>0</v>
      </c>
      <c r="Z17" s="32">
        <f>'TUSD BE'!$Z$17*'TUSD BF'!$Z$63</f>
        <v>0</v>
      </c>
      <c r="AA17" s="32">
        <f>'TUSD BE'!$AA$17*'TUSD BF'!$AA$63</f>
        <v>0</v>
      </c>
      <c r="AB17" s="32">
        <f>SUM($U$17:$AA$17)</f>
        <v>0</v>
      </c>
      <c r="AC17" s="32">
        <f>'TUSD BE'!$AC$17*'TUSD BF'!$AC$63</f>
        <v>0</v>
      </c>
      <c r="AD17" s="32">
        <f>SUM($AC$17:$AC$17)</f>
        <v>0</v>
      </c>
      <c r="AE17" s="32">
        <f ca="1">$AO$17*$AO$60</f>
        <v>0</v>
      </c>
      <c r="AF17" s="32">
        <f ca="1">$AP$17*$AP$60</f>
        <v>0</v>
      </c>
      <c r="AG17" s="32">
        <f ca="1">SUM($AE$17:$AF$17)</f>
        <v>0</v>
      </c>
      <c r="AH17" s="32">
        <f>'TUSD BE'!$AH$17*'TUSD BF'!$AH$63</f>
        <v>0.9492009339378612</v>
      </c>
      <c r="AI17" s="32">
        <f>'TUSD BE'!$AI$17*'TUSD BF'!$AI$63</f>
        <v>6.8353581017522633E-2</v>
      </c>
      <c r="AJ17" s="32">
        <f ca="1">'TUSD BE'!$AJ$17*'TUSD BF'!$AJ$63</f>
        <v>8.9065911450705801</v>
      </c>
      <c r="AK17" s="32">
        <f ca="1">'TUSD BE'!$AK$17*'TUSD BF'!$AK$63</f>
        <v>0</v>
      </c>
      <c r="AL17" s="32">
        <f ca="1">SUM($AH$17:$AK$17)</f>
        <v>9.9241456600259639</v>
      </c>
      <c r="AM17" s="32">
        <f ca="1">SUMIF($L$4:$AL$4,"SUBTOTAL",$L$17:$AL$17)</f>
        <v>9.5464249426639807</v>
      </c>
      <c r="AO17" s="37">
        <f ca="1">+'TUSD BE'!$T$17+'TUSD BE'!$AB$17+'TUSD BE'!$AD$17+'TUSD BE'!$AL$17</f>
        <v>164.95325865183827</v>
      </c>
      <c r="AP17" s="37">
        <f ca="1">+'TUSD BE'!$T$17+'TUSD BE'!$AB$17+'TUSD BE'!$AD$17+'TUSD BE'!$AL$17</f>
        <v>164.95325865183827</v>
      </c>
    </row>
    <row r="18" spans="1:42" ht="11.25" customHeight="1" x14ac:dyDescent="0.25">
      <c r="A18" s="124"/>
      <c r="B18" s="124"/>
      <c r="C18" s="124"/>
      <c r="D18" s="124"/>
      <c r="E18" s="124" t="s">
        <v>93</v>
      </c>
      <c r="F18" s="124" t="s">
        <v>25</v>
      </c>
      <c r="G18" s="28" t="s">
        <v>87</v>
      </c>
      <c r="H18" s="28" t="s">
        <v>86</v>
      </c>
      <c r="I18" s="28">
        <f>'MERCADO TUSD'!$U$15</f>
        <v>0</v>
      </c>
      <c r="J18" s="18"/>
      <c r="L18" s="32">
        <f>'TUSD BE'!$L$18*'TUSD BF'!$L$63</f>
        <v>0</v>
      </c>
      <c r="M18" s="32">
        <f>'TUSD BE'!$M$18*'TUSD BF'!$M$63</f>
        <v>0</v>
      </c>
      <c r="N18" s="32">
        <f ca="1">'TUSD BE'!$N$18*'TUSD BF'!$N$63</f>
        <v>0</v>
      </c>
      <c r="O18" s="32">
        <f>'TUSD BE'!$O$18*'TUSD BF'!$O$63</f>
        <v>0</v>
      </c>
      <c r="P18" s="32">
        <f>'TUSD BE'!$P$18*'TUSD BF'!$P$63</f>
        <v>0</v>
      </c>
      <c r="Q18" s="32">
        <f>'TUSD BE'!$Q$18*'TUSD BF'!$Q$63</f>
        <v>0</v>
      </c>
      <c r="R18" s="32">
        <f>'TUSD BE'!$R$18*'TUSD BF'!$R$63</f>
        <v>0</v>
      </c>
      <c r="S18" s="32">
        <f>'TUSD BE'!$R$18*'TUSD BF'!$S$63</f>
        <v>0</v>
      </c>
      <c r="T18" s="32">
        <f ca="1">SUM($L$18:$S$18)</f>
        <v>0</v>
      </c>
      <c r="U18" s="32">
        <f>'TUSD BE'!$U$18*'TUSD BF'!$U$63</f>
        <v>26.234415903500309</v>
      </c>
      <c r="V18" s="32">
        <f>'TUSD BE'!$V$18*'TUSD BF'!$V$63</f>
        <v>8.1352711240366721E-2</v>
      </c>
      <c r="W18" s="32">
        <f>'TUSD BE'!$W$18*'TUSD BF'!$W$63</f>
        <v>0</v>
      </c>
      <c r="X18" s="32">
        <f>'TUSD BE'!$X$18*'TUSD BF'!$X$63</f>
        <v>0</v>
      </c>
      <c r="Y18" s="32">
        <f>'TUSD BE'!$Y$18*'TUSD BF'!$Y$63</f>
        <v>0</v>
      </c>
      <c r="Z18" s="32">
        <f>'TUSD BE'!$Z$18*'TUSD BF'!$Z$63</f>
        <v>0</v>
      </c>
      <c r="AA18" s="32">
        <f>'TUSD BE'!$AA$18*'TUSD BF'!$AA$63</f>
        <v>0</v>
      </c>
      <c r="AB18" s="32">
        <f>SUM($U$18:$AA$18)</f>
        <v>26.315768614740676</v>
      </c>
      <c r="AC18" s="32">
        <f>'TUSD BE'!$AC$18*'TUSD BF'!$AC$63</f>
        <v>0</v>
      </c>
      <c r="AD18" s="32">
        <f>SUM($AC$18:$AC$18)</f>
        <v>0</v>
      </c>
      <c r="AE18" s="32">
        <f ca="1">$AO$18*$AO$60</f>
        <v>0</v>
      </c>
      <c r="AF18" s="32">
        <f ca="1">$AP$18*$AP$60</f>
        <v>0</v>
      </c>
      <c r="AG18" s="32">
        <f ca="1">SUM($AE$18:$AF$18)</f>
        <v>0</v>
      </c>
      <c r="AH18" s="32">
        <f>'TUSD BE'!$AH$18*'TUSD BF'!$AH$63</f>
        <v>0.9492009339378612</v>
      </c>
      <c r="AI18" s="32">
        <f>'TUSD BE'!$AI$18*'TUSD BF'!$AI$63</f>
        <v>6.8353581017522633E-2</v>
      </c>
      <c r="AJ18" s="32">
        <f ca="1">'TUSD BE'!$AJ$18*'TUSD BF'!$AJ$63</f>
        <v>8.9065911450705801</v>
      </c>
      <c r="AK18" s="32">
        <f ca="1">'TUSD BE'!$AK$18*'TUSD BF'!$AK$63</f>
        <v>0</v>
      </c>
      <c r="AL18" s="32">
        <f ca="1">SUM($AH$18:$AK$18)</f>
        <v>9.9241456600259639</v>
      </c>
      <c r="AM18" s="32">
        <f ca="1">SUMIF($L$4:$AL$4,"SUBTOTAL",$L$18:$AL$18)</f>
        <v>36.23991427476664</v>
      </c>
      <c r="AO18" s="37">
        <f ca="1">+'TUSD BE'!$T$18+'TUSD BE'!$AB$18+'TUSD BE'!$AD$18+'TUSD BE'!$AL$18</f>
        <v>1527.9461344396159</v>
      </c>
      <c r="AP18" s="37">
        <f ca="1">+'TUSD BE'!$T$18+'TUSD BE'!$AB$18+'TUSD BE'!$AD$18+'TUSD BE'!$AL$18</f>
        <v>1527.9461344396159</v>
      </c>
    </row>
    <row r="19" spans="1:42" ht="11.25" customHeight="1" x14ac:dyDescent="0.25">
      <c r="A19" s="124"/>
      <c r="B19" s="124"/>
      <c r="C19" s="124"/>
      <c r="D19" s="124"/>
      <c r="E19" s="124"/>
      <c r="F19" s="124"/>
      <c r="G19" s="28" t="s">
        <v>88</v>
      </c>
      <c r="H19" s="28" t="s">
        <v>86</v>
      </c>
      <c r="I19" s="28">
        <f>'MERCADO TUSD'!$U$16</f>
        <v>0</v>
      </c>
      <c r="J19" s="18"/>
      <c r="L19" s="32">
        <f>'TUSD BE'!$L$19*'TUSD BF'!$L$63</f>
        <v>0</v>
      </c>
      <c r="M19" s="32">
        <f>'TUSD BE'!$M$19*'TUSD BF'!$M$63</f>
        <v>0</v>
      </c>
      <c r="N19" s="32">
        <f ca="1">'TUSD BE'!$N$19*'TUSD BF'!$N$63</f>
        <v>0</v>
      </c>
      <c r="O19" s="32">
        <f>'TUSD BE'!$O$19*'TUSD BF'!$O$63</f>
        <v>0</v>
      </c>
      <c r="P19" s="32">
        <f>'TUSD BE'!$P$19*'TUSD BF'!$P$63</f>
        <v>0</v>
      </c>
      <c r="Q19" s="32">
        <f>'TUSD BE'!$Q$19*'TUSD BF'!$Q$63</f>
        <v>0</v>
      </c>
      <c r="R19" s="32">
        <f>'TUSD BE'!$R$19*'TUSD BF'!$R$63</f>
        <v>0</v>
      </c>
      <c r="S19" s="32">
        <f>'TUSD BE'!$R$19*'TUSD BF'!$S$63</f>
        <v>0</v>
      </c>
      <c r="T19" s="32">
        <f ca="1">SUM($L$19:$S$19)</f>
        <v>0</v>
      </c>
      <c r="U19" s="32">
        <f>'TUSD BE'!$U$19*'TUSD BF'!$U$63</f>
        <v>0</v>
      </c>
      <c r="V19" s="32">
        <f>'TUSD BE'!$V$19*'TUSD BF'!$V$63</f>
        <v>0</v>
      </c>
      <c r="W19" s="32">
        <f>'TUSD BE'!$W$19*'TUSD BF'!$W$63</f>
        <v>0</v>
      </c>
      <c r="X19" s="32">
        <f>'TUSD BE'!$X$19*'TUSD BF'!$X$63</f>
        <v>0</v>
      </c>
      <c r="Y19" s="32">
        <f>'TUSD BE'!$Y$19*'TUSD BF'!$Y$63</f>
        <v>0</v>
      </c>
      <c r="Z19" s="32">
        <f>'TUSD BE'!$Z$19*'TUSD BF'!$Z$63</f>
        <v>0</v>
      </c>
      <c r="AA19" s="32">
        <f>'TUSD BE'!$AA$19*'TUSD BF'!$AA$63</f>
        <v>0</v>
      </c>
      <c r="AB19" s="32">
        <f>SUM($U$19:$AA$19)</f>
        <v>0</v>
      </c>
      <c r="AC19" s="32">
        <f>'TUSD BE'!$AC$19*'TUSD BF'!$AC$63</f>
        <v>0</v>
      </c>
      <c r="AD19" s="32">
        <f>SUM($AC$19:$AC$19)</f>
        <v>0</v>
      </c>
      <c r="AE19" s="32">
        <f ca="1">$AO$19*$AO$60</f>
        <v>0</v>
      </c>
      <c r="AF19" s="32">
        <f ca="1">$AP$19*$AP$60</f>
        <v>0</v>
      </c>
      <c r="AG19" s="32">
        <f ca="1">SUM($AE$19:$AF$19)</f>
        <v>0</v>
      </c>
      <c r="AH19" s="32">
        <f>'TUSD BE'!$AH$19*'TUSD BF'!$AH$63</f>
        <v>0.9492009339378612</v>
      </c>
      <c r="AI19" s="32">
        <f>'TUSD BE'!$AI$19*'TUSD BF'!$AI$63</f>
        <v>6.8353581017522633E-2</v>
      </c>
      <c r="AJ19" s="32">
        <f ca="1">'TUSD BE'!$AJ$19*'TUSD BF'!$AJ$63</f>
        <v>8.9065911450705801</v>
      </c>
      <c r="AK19" s="32">
        <f ca="1">'TUSD BE'!$AK$19*'TUSD BF'!$AK$63</f>
        <v>0</v>
      </c>
      <c r="AL19" s="32">
        <f ca="1">SUM($AH$19:$AK$19)</f>
        <v>9.9241456600259639</v>
      </c>
      <c r="AM19" s="32">
        <f ca="1">SUMIF($L$4:$AL$4,"SUBTOTAL",$L$19:$AL$19)</f>
        <v>9.9241456600259639</v>
      </c>
      <c r="AO19" s="37">
        <f ca="1">+'TUSD BE'!$T$19+'TUSD BE'!$AB$19+'TUSD BE'!$AD$19+'TUSD BE'!$AL$19</f>
        <v>122.5725723798476</v>
      </c>
      <c r="AP19" s="37">
        <f ca="1">+'TUSD BE'!$T$19+'TUSD BE'!$AB$19+'TUSD BE'!$AD$19+'TUSD BE'!$AL$19</f>
        <v>122.5725723798476</v>
      </c>
    </row>
    <row r="20" spans="1:42" ht="11.25" customHeight="1" x14ac:dyDescent="0.25">
      <c r="A20" s="124" t="s">
        <v>95</v>
      </c>
      <c r="B20" s="124" t="s">
        <v>63</v>
      </c>
      <c r="C20" s="124" t="s">
        <v>25</v>
      </c>
      <c r="D20" s="124" t="s">
        <v>25</v>
      </c>
      <c r="E20" s="35" t="s">
        <v>96</v>
      </c>
      <c r="F20" s="35" t="s">
        <v>25</v>
      </c>
      <c r="G20" s="28" t="s">
        <v>9</v>
      </c>
      <c r="H20" s="28" t="s">
        <v>89</v>
      </c>
      <c r="I20" s="28">
        <f>'MERCADO TUSD'!$U$17+0.00000001</f>
        <v>1E-8</v>
      </c>
      <c r="J20" s="18"/>
      <c r="L20" s="32">
        <f>'TUSD BE'!$L$20*'TUSD BF'!$L$63</f>
        <v>0</v>
      </c>
      <c r="M20" s="32">
        <f>'TUSD BE'!$M$20*'TUSD BF'!$M$63</f>
        <v>0</v>
      </c>
      <c r="N20" s="32">
        <f ca="1">'TUSD BE'!$N$20*'TUSD BF'!$N$63</f>
        <v>0</v>
      </c>
      <c r="O20" s="32">
        <f>'TUSD BE'!$O$20*'TUSD BF'!$O$63</f>
        <v>0</v>
      </c>
      <c r="P20" s="32">
        <f>'TUSD BE'!$P$20*'TUSD BF'!$P$63</f>
        <v>0</v>
      </c>
      <c r="Q20" s="32">
        <f>'TUSD BE'!$Q$20*'TUSD BF'!$Q$63</f>
        <v>0</v>
      </c>
      <c r="R20" s="32">
        <f>'TUSD BE'!$R$20*'TUSD BF'!$R$63</f>
        <v>0</v>
      </c>
      <c r="S20" s="32">
        <f>'TUSD BE'!$R$20*'TUSD BF'!$S$63</f>
        <v>0</v>
      </c>
      <c r="T20" s="32">
        <f ca="1">SUM($L$20:$S$20)</f>
        <v>0</v>
      </c>
      <c r="U20" s="32">
        <f>'TUSD BE'!$U$20*'TUSD BF'!$U$63</f>
        <v>0</v>
      </c>
      <c r="V20" s="32">
        <f>'TUSD BE'!$V$20*'TUSD BF'!$V$63</f>
        <v>0</v>
      </c>
      <c r="W20" s="32">
        <f>'TUSD BE'!$W$20*'TUSD BF'!$W$63</f>
        <v>0</v>
      </c>
      <c r="X20" s="32">
        <f>'TUSD BE'!$X$20*'TUSD BF'!$X$63</f>
        <v>0</v>
      </c>
      <c r="Y20" s="32">
        <f>'TUSD BE'!$Y$20*'TUSD BF'!$Y$63</f>
        <v>0</v>
      </c>
      <c r="Z20" s="32">
        <f>'TUSD BE'!$Z$20*'TUSD BF'!$Z$63</f>
        <v>0</v>
      </c>
      <c r="AA20" s="32">
        <f>'TUSD BE'!$AA$20*'TUSD BF'!$AA$63</f>
        <v>0</v>
      </c>
      <c r="AB20" s="32">
        <f>SUM($U$20:$AA$20)</f>
        <v>0</v>
      </c>
      <c r="AC20" s="32">
        <f>'TUSD BE'!$AC$20*'TUSD BF'!$AC$63</f>
        <v>0</v>
      </c>
      <c r="AD20" s="32">
        <f>SUM($AC$20:$AC$20)</f>
        <v>0</v>
      </c>
      <c r="AE20" s="32">
        <f ca="1">$AO$20*$AO$60</f>
        <v>0</v>
      </c>
      <c r="AF20" s="32">
        <f ca="1">$AP$20*$AP$60</f>
        <v>0</v>
      </c>
      <c r="AG20" s="32">
        <f ca="1">SUM($AE$20:$AF$20)</f>
        <v>0</v>
      </c>
      <c r="AH20" s="32">
        <f>'TUSD BE'!$AH$20*'TUSD BF'!$AH$63</f>
        <v>0</v>
      </c>
      <c r="AI20" s="32">
        <f>'TUSD BE'!$AI$20*'TUSD BF'!$AI$63</f>
        <v>0</v>
      </c>
      <c r="AJ20" s="32">
        <f ca="1">'TUSD BE'!$AJ$20*'TUSD BF'!$AJ$63</f>
        <v>0</v>
      </c>
      <c r="AK20" s="32">
        <f ca="1">'TUSD BE'!$AK$20*'TUSD BF'!$AK$63</f>
        <v>0</v>
      </c>
      <c r="AL20" s="32">
        <f ca="1">SUM($AH$20:$AK$20)</f>
        <v>0</v>
      </c>
      <c r="AM20" s="32">
        <f ca="1">SUMIF($L$4:$AL$4,"SUBTOTAL",$L$20:$AL$20)</f>
        <v>0</v>
      </c>
      <c r="AO20" s="37">
        <f ca="1">+'TUSD BE'!$T$20+'TUSD BE'!$AB$20+'TUSD BE'!$AD$20+'TUSD BE'!$AL$20</f>
        <v>2.3661046535922545</v>
      </c>
      <c r="AP20" s="37">
        <f ca="1">+'TUSD BE'!$T$20+'TUSD BE'!$AB$20+'TUSD BE'!$AD$20+'TUSD BE'!$AL$20</f>
        <v>2.3661046535922545</v>
      </c>
    </row>
    <row r="21" spans="1:42" ht="11.25" customHeight="1" x14ac:dyDescent="0.25">
      <c r="A21" s="124"/>
      <c r="B21" s="124"/>
      <c r="C21" s="124"/>
      <c r="D21" s="124"/>
      <c r="E21" s="35" t="s">
        <v>97</v>
      </c>
      <c r="F21" s="35" t="s">
        <v>25</v>
      </c>
      <c r="G21" s="28" t="s">
        <v>9</v>
      </c>
      <c r="H21" s="28" t="s">
        <v>89</v>
      </c>
      <c r="I21" s="28">
        <f>'MERCADO TUSD'!$U$18+0.00000001</f>
        <v>1E-8</v>
      </c>
      <c r="J21" s="18"/>
      <c r="L21" s="32">
        <f>'TUSD BE'!$L$21*'TUSD BF'!$L$63</f>
        <v>0</v>
      </c>
      <c r="M21" s="32">
        <f>'TUSD BE'!$M$21*'TUSD BF'!$M$63</f>
        <v>0</v>
      </c>
      <c r="N21" s="32">
        <f ca="1">'TUSD BE'!$N$21*'TUSD BF'!$N$63</f>
        <v>0</v>
      </c>
      <c r="O21" s="32">
        <f>'TUSD BE'!$O$21*'TUSD BF'!$O$63</f>
        <v>0</v>
      </c>
      <c r="P21" s="32">
        <f>'TUSD BE'!$P$21*'TUSD BF'!$P$63</f>
        <v>0</v>
      </c>
      <c r="Q21" s="32">
        <f>'TUSD BE'!$Q$21*'TUSD BF'!$Q$63</f>
        <v>0</v>
      </c>
      <c r="R21" s="32">
        <f>'TUSD BE'!$R$21*'TUSD BF'!$R$63</f>
        <v>0</v>
      </c>
      <c r="S21" s="32">
        <f>'TUSD BE'!$R$21*'TUSD BF'!$S$63</f>
        <v>0</v>
      </c>
      <c r="T21" s="32">
        <f ca="1">SUM($L$21:$S$21)</f>
        <v>0</v>
      </c>
      <c r="U21" s="32">
        <f>'TUSD BE'!$U$21*'TUSD BF'!$U$63</f>
        <v>0</v>
      </c>
      <c r="V21" s="32">
        <f>'TUSD BE'!$V$21*'TUSD BF'!$V$63</f>
        <v>0</v>
      </c>
      <c r="W21" s="32">
        <f>'TUSD BE'!$W$21*'TUSD BF'!$W$63</f>
        <v>0</v>
      </c>
      <c r="X21" s="32">
        <f>'TUSD BE'!$X$21*'TUSD BF'!$X$63</f>
        <v>0</v>
      </c>
      <c r="Y21" s="32">
        <f>'TUSD BE'!$Y$21*'TUSD BF'!$Y$63</f>
        <v>0</v>
      </c>
      <c r="Z21" s="32">
        <f>'TUSD BE'!$Z$21*'TUSD BF'!$Z$63</f>
        <v>0</v>
      </c>
      <c r="AA21" s="32">
        <f>'TUSD BE'!$AA$21*'TUSD BF'!$AA$63</f>
        <v>0</v>
      </c>
      <c r="AB21" s="32">
        <f>SUM($U$21:$AA$21)</f>
        <v>0</v>
      </c>
      <c r="AC21" s="32">
        <f>'TUSD BE'!$AC$21*'TUSD BF'!$AC$63</f>
        <v>0</v>
      </c>
      <c r="AD21" s="32">
        <f>SUM($AC$21:$AC$21)</f>
        <v>0</v>
      </c>
      <c r="AE21" s="32">
        <f ca="1">$AO$21*$AO$60</f>
        <v>0</v>
      </c>
      <c r="AF21" s="32">
        <f ca="1">$AP$21*$AP$60</f>
        <v>0</v>
      </c>
      <c r="AG21" s="32">
        <f ca="1">SUM($AE$21:$AF$21)</f>
        <v>0</v>
      </c>
      <c r="AH21" s="32">
        <f>'TUSD BE'!$AH$21*'TUSD BF'!$AH$63</f>
        <v>0</v>
      </c>
      <c r="AI21" s="32">
        <f>'TUSD BE'!$AI$21*'TUSD BF'!$AI$63</f>
        <v>0</v>
      </c>
      <c r="AJ21" s="32">
        <f ca="1">'TUSD BE'!$AJ$21*'TUSD BF'!$AJ$63</f>
        <v>0</v>
      </c>
      <c r="AK21" s="32">
        <f ca="1">'TUSD BE'!$AK$21*'TUSD BF'!$AK$63</f>
        <v>0</v>
      </c>
      <c r="AL21" s="32">
        <f ca="1">SUM($AH$21:$AK$21)</f>
        <v>0</v>
      </c>
      <c r="AM21" s="32">
        <f ca="1">SUMIF($L$4:$AL$4,"SUBTOTAL",$L$21:$AL$21)</f>
        <v>0</v>
      </c>
      <c r="AO21" s="37">
        <f ca="1">+'TUSD BE'!$T$21+'TUSD BE'!$AB$21+'TUSD BE'!$AD$21+'TUSD BE'!$AL$21</f>
        <v>19.519409175132264</v>
      </c>
      <c r="AP21" s="37">
        <f ca="1">+'TUSD BE'!$T$21+'TUSD BE'!$AB$21+'TUSD BE'!$AD$21+'TUSD BE'!$AL$21</f>
        <v>19.519409175132264</v>
      </c>
    </row>
    <row r="22" spans="1:42" ht="11.25" customHeight="1" x14ac:dyDescent="0.25">
      <c r="A22" s="124" t="s">
        <v>22</v>
      </c>
      <c r="B22" s="124" t="s">
        <v>39</v>
      </c>
      <c r="C22" s="124" t="s">
        <v>24</v>
      </c>
      <c r="D22" s="124" t="s">
        <v>24</v>
      </c>
      <c r="E22" s="124" t="s">
        <v>25</v>
      </c>
      <c r="F22" s="124" t="s">
        <v>25</v>
      </c>
      <c r="G22" s="28" t="s">
        <v>87</v>
      </c>
      <c r="H22" s="28" t="s">
        <v>86</v>
      </c>
      <c r="I22" s="28">
        <f>'MERCADO TUSD'!$U$19</f>
        <v>31.722000000000001</v>
      </c>
      <c r="J22" s="18"/>
      <c r="L22" s="32">
        <f>'TUSD BE'!$L$22*'TUSD BF'!$L$63</f>
        <v>0</v>
      </c>
      <c r="M22" s="32">
        <f>'TUSD BE'!$M$22*'TUSD BF'!$M$63</f>
        <v>0</v>
      </c>
      <c r="N22" s="32">
        <f ca="1">'TUSD BE'!$N$22*'TUSD BF'!$N$63</f>
        <v>0</v>
      </c>
      <c r="O22" s="32">
        <f>'TUSD BE'!$O$22*'TUSD BF'!$O$63</f>
        <v>0</v>
      </c>
      <c r="P22" s="32">
        <f>'TUSD BE'!$P$22*'TUSD BF'!$P$63</f>
        <v>0</v>
      </c>
      <c r="Q22" s="32">
        <f>'TUSD BE'!$Q$22*'TUSD BF'!$Q$63</f>
        <v>-1.2956858829431717</v>
      </c>
      <c r="R22" s="32">
        <f>'TUSD BE'!$R$22*'TUSD BF'!$R$63</f>
        <v>0.74952600079857579</v>
      </c>
      <c r="S22" s="32">
        <f>'TUSD BE'!$R$22*'TUSD BF'!$S$63</f>
        <v>0</v>
      </c>
      <c r="T22" s="32">
        <f ca="1">SUM($L$22:$S$22)</f>
        <v>-0.54615988214459588</v>
      </c>
      <c r="U22" s="32">
        <f>'TUSD BE'!$U$22*'TUSD BF'!$U$63</f>
        <v>15.112299533205402</v>
      </c>
      <c r="V22" s="32">
        <f>'TUSD BE'!$V$22*'TUSD BF'!$V$63</f>
        <v>4.6162012936321335E-2</v>
      </c>
      <c r="W22" s="32">
        <f>'TUSD BE'!$W$22*'TUSD BF'!$W$63</f>
        <v>0</v>
      </c>
      <c r="X22" s="32">
        <f>'TUSD BE'!$X$22*'TUSD BF'!$X$63</f>
        <v>0</v>
      </c>
      <c r="Y22" s="32">
        <f>'TUSD BE'!$Y$22*'TUSD BF'!$Y$63</f>
        <v>0</v>
      </c>
      <c r="Z22" s="32">
        <f>'TUSD BE'!$Z$22*'TUSD BF'!$Z$63</f>
        <v>0</v>
      </c>
      <c r="AA22" s="32">
        <f>'TUSD BE'!$AA$22*'TUSD BF'!$AA$63</f>
        <v>0</v>
      </c>
      <c r="AB22" s="32">
        <f>SUM($U$22:$AA$22)</f>
        <v>15.158461546141723</v>
      </c>
      <c r="AC22" s="32">
        <f>'TUSD BE'!$AC$22*'TUSD BF'!$AC$63</f>
        <v>0</v>
      </c>
      <c r="AD22" s="32">
        <f>SUM($AC$22:$AC$22)</f>
        <v>0</v>
      </c>
      <c r="AE22" s="32">
        <f ca="1">$AO$22*$AO$60</f>
        <v>0</v>
      </c>
      <c r="AF22" s="32">
        <f ca="1">$AP$22*$AP$60</f>
        <v>0</v>
      </c>
      <c r="AG22" s="32">
        <f ca="1">SUM($AE$22:$AF$22)</f>
        <v>0</v>
      </c>
      <c r="AH22" s="32">
        <f>'TUSD BE'!$AH$22*'TUSD BF'!$AH$63</f>
        <v>4.2007647260049206</v>
      </c>
      <c r="AI22" s="32">
        <f>'TUSD BE'!$AI$22*'TUSD BF'!$AI$63</f>
        <v>0.30250424516894309</v>
      </c>
      <c r="AJ22" s="32">
        <f ca="1">'TUSD BE'!$AJ$22*'TUSD BF'!$AJ$63</f>
        <v>10.390448981872416</v>
      </c>
      <c r="AK22" s="32">
        <f ca="1">'TUSD BE'!$AK$22*'TUSD BF'!$AK$63</f>
        <v>0</v>
      </c>
      <c r="AL22" s="32">
        <f ca="1">SUM($AH$22:$AK$22)</f>
        <v>14.893717953046279</v>
      </c>
      <c r="AM22" s="32">
        <f ca="1">SUMIF($L$4:$AL$4,"SUBTOTAL",$L$22:$AL$22)</f>
        <v>29.506019617043407</v>
      </c>
      <c r="AO22" s="37">
        <f ca="1">+'TUSD BE'!$T$22+'TUSD BE'!$AB$22+'TUSD BE'!$AD$22+'TUSD BE'!$AL$22</f>
        <v>1062.0307815443664</v>
      </c>
      <c r="AP22" s="37">
        <f ca="1">+'TUSD BE'!$T$22+'TUSD BE'!$AB$22+'TUSD BE'!$AD$22+'TUSD BE'!$AL$22</f>
        <v>1062.0307815443664</v>
      </c>
    </row>
    <row r="23" spans="1:42" ht="11.25" customHeight="1" x14ac:dyDescent="0.25">
      <c r="A23" s="124"/>
      <c r="B23" s="124"/>
      <c r="C23" s="124"/>
      <c r="D23" s="124"/>
      <c r="E23" s="124"/>
      <c r="F23" s="124"/>
      <c r="G23" s="28" t="s">
        <v>98</v>
      </c>
      <c r="H23" s="28" t="s">
        <v>86</v>
      </c>
      <c r="I23" s="28">
        <f>'MERCADO TUSD'!$U$20</f>
        <v>31.11</v>
      </c>
      <c r="J23" s="18"/>
      <c r="L23" s="32">
        <f>'TUSD BE'!$L$23*'TUSD BF'!$L$63</f>
        <v>0</v>
      </c>
      <c r="M23" s="32">
        <f>'TUSD BE'!$M$23*'TUSD BF'!$M$63</f>
        <v>0</v>
      </c>
      <c r="N23" s="32">
        <f ca="1">'TUSD BE'!$N$23*'TUSD BF'!$N$63</f>
        <v>0</v>
      </c>
      <c r="O23" s="32">
        <f>'TUSD BE'!$O$23*'TUSD BF'!$O$63</f>
        <v>0</v>
      </c>
      <c r="P23" s="32">
        <f>'TUSD BE'!$P$23*'TUSD BF'!$P$63</f>
        <v>0</v>
      </c>
      <c r="Q23" s="32">
        <f>'TUSD BE'!$Q$23*'TUSD BF'!$Q$63</f>
        <v>-1.2956858829431717</v>
      </c>
      <c r="R23" s="32">
        <f>'TUSD BE'!$R$23*'TUSD BF'!$R$63</f>
        <v>0.74952600079857579</v>
      </c>
      <c r="S23" s="32">
        <f>'TUSD BE'!$R$23*'TUSD BF'!$S$63</f>
        <v>0</v>
      </c>
      <c r="T23" s="32">
        <f ca="1">SUM($L$23:$S$23)</f>
        <v>-0.54615988214459588</v>
      </c>
      <c r="U23" s="32">
        <f>'TUSD BE'!$U$23*'TUSD BF'!$U$63</f>
        <v>9.0673746172567249</v>
      </c>
      <c r="V23" s="32">
        <f>'TUSD BE'!$V$23*'TUSD BF'!$V$63</f>
        <v>2.7697155452673736E-2</v>
      </c>
      <c r="W23" s="32">
        <f>'TUSD BE'!$W$23*'TUSD BF'!$W$63</f>
        <v>0</v>
      </c>
      <c r="X23" s="32">
        <f>'TUSD BE'!$X$23*'TUSD BF'!$X$63</f>
        <v>0</v>
      </c>
      <c r="Y23" s="32">
        <f>'TUSD BE'!$Y$23*'TUSD BF'!$Y$63</f>
        <v>0</v>
      </c>
      <c r="Z23" s="32">
        <f>'TUSD BE'!$Z$23*'TUSD BF'!$Z$63</f>
        <v>0</v>
      </c>
      <c r="AA23" s="32">
        <f>'TUSD BE'!$AA$23*'TUSD BF'!$AA$63</f>
        <v>0</v>
      </c>
      <c r="AB23" s="32">
        <f>SUM($U$23:$AA$23)</f>
        <v>9.0950717727093995</v>
      </c>
      <c r="AC23" s="32">
        <f>'TUSD BE'!$AC$23*'TUSD BF'!$AC$63</f>
        <v>0</v>
      </c>
      <c r="AD23" s="32">
        <f>SUM($AC$23:$AC$23)</f>
        <v>0</v>
      </c>
      <c r="AE23" s="32">
        <f ca="1">$AO$23*$AO$60</f>
        <v>0</v>
      </c>
      <c r="AF23" s="32">
        <f ca="1">$AP$23*$AP$60</f>
        <v>0</v>
      </c>
      <c r="AG23" s="32">
        <f ca="1">SUM($AE$23:$AF$23)</f>
        <v>0</v>
      </c>
      <c r="AH23" s="32">
        <f>'TUSD BE'!$AH$23*'TUSD BF'!$AH$63</f>
        <v>4.2007647260049206</v>
      </c>
      <c r="AI23" s="32">
        <f>'TUSD BE'!$AI$23*'TUSD BF'!$AI$63</f>
        <v>0.30250424516894309</v>
      </c>
      <c r="AJ23" s="32">
        <f ca="1">'TUSD BE'!$AJ$23*'TUSD BF'!$AJ$63</f>
        <v>10.390448981872416</v>
      </c>
      <c r="AK23" s="32">
        <f ca="1">'TUSD BE'!$AK$23*'TUSD BF'!$AK$63</f>
        <v>0</v>
      </c>
      <c r="AL23" s="32">
        <f ca="1">SUM($AH$23:$AK$23)</f>
        <v>14.893717953046279</v>
      </c>
      <c r="AM23" s="32">
        <f ca="1">SUMIF($L$4:$AL$4,"SUBTOTAL",$L$23:$AL$23)</f>
        <v>23.44262984361108</v>
      </c>
      <c r="AO23" s="37">
        <f ca="1">+'TUSD BE'!$T$23+'TUSD BE'!$AB$23+'TUSD BE'!$AD$23+'TUSD BE'!$AL$23</f>
        <v>728.12799726941284</v>
      </c>
      <c r="AP23" s="37">
        <f ca="1">+'TUSD BE'!$T$23+'TUSD BE'!$AB$23+'TUSD BE'!$AD$23+'TUSD BE'!$AL$23</f>
        <v>728.12799726941284</v>
      </c>
    </row>
    <row r="24" spans="1:42" ht="11.25" customHeight="1" x14ac:dyDescent="0.25">
      <c r="A24" s="124"/>
      <c r="B24" s="124"/>
      <c r="C24" s="124"/>
      <c r="D24" s="124"/>
      <c r="E24" s="124"/>
      <c r="F24" s="124"/>
      <c r="G24" s="28" t="s">
        <v>88</v>
      </c>
      <c r="H24" s="28" t="s">
        <v>86</v>
      </c>
      <c r="I24" s="28">
        <f>'MERCADO TUSD'!$U$21</f>
        <v>472.03</v>
      </c>
      <c r="J24" s="18"/>
      <c r="L24" s="32">
        <f>'TUSD BE'!$L$24*'TUSD BF'!$L$63</f>
        <v>0</v>
      </c>
      <c r="M24" s="32">
        <f>'TUSD BE'!$M$24*'TUSD BF'!$M$63</f>
        <v>0</v>
      </c>
      <c r="N24" s="32">
        <f ca="1">'TUSD BE'!$N$24*'TUSD BF'!$N$63</f>
        <v>0</v>
      </c>
      <c r="O24" s="32">
        <f>'TUSD BE'!$O$24*'TUSD BF'!$O$63</f>
        <v>0</v>
      </c>
      <c r="P24" s="32">
        <f>'TUSD BE'!$P$24*'TUSD BF'!$P$63</f>
        <v>0</v>
      </c>
      <c r="Q24" s="32">
        <f>'TUSD BE'!$Q$24*'TUSD BF'!$Q$63</f>
        <v>-1.2956858829431717</v>
      </c>
      <c r="R24" s="32">
        <f>'TUSD BE'!$R$24*'TUSD BF'!$R$63</f>
        <v>0.74952600079857579</v>
      </c>
      <c r="S24" s="32">
        <f>'TUSD BE'!$R$24*'TUSD BF'!$S$63</f>
        <v>0</v>
      </c>
      <c r="T24" s="32">
        <f ca="1">SUM($L$24:$S$24)</f>
        <v>-0.54615988214459588</v>
      </c>
      <c r="U24" s="32">
        <f>'TUSD BE'!$U$24*'TUSD BF'!$U$63</f>
        <v>3.0224624579743389</v>
      </c>
      <c r="V24" s="32">
        <f>'TUSD BE'!$V$24*'TUSD BF'!$V$63</f>
        <v>9.232297969026141E-3</v>
      </c>
      <c r="W24" s="32">
        <f>'TUSD BE'!$W$24*'TUSD BF'!$W$63</f>
        <v>0</v>
      </c>
      <c r="X24" s="32">
        <f>'TUSD BE'!$X$24*'TUSD BF'!$X$63</f>
        <v>0</v>
      </c>
      <c r="Y24" s="32">
        <f>'TUSD BE'!$Y$24*'TUSD BF'!$Y$63</f>
        <v>0</v>
      </c>
      <c r="Z24" s="32">
        <f>'TUSD BE'!$Z$24*'TUSD BF'!$Z$63</f>
        <v>0</v>
      </c>
      <c r="AA24" s="32">
        <f>'TUSD BE'!$AA$24*'TUSD BF'!$AA$63</f>
        <v>0</v>
      </c>
      <c r="AB24" s="32">
        <f>SUM($U$24:$AA$24)</f>
        <v>3.0316947559433651</v>
      </c>
      <c r="AC24" s="32">
        <f>'TUSD BE'!$AC$24*'TUSD BF'!$AC$63</f>
        <v>0</v>
      </c>
      <c r="AD24" s="32">
        <f>SUM($AC$24:$AC$24)</f>
        <v>0</v>
      </c>
      <c r="AE24" s="32">
        <f ca="1">$AO$24*$AO$60</f>
        <v>0</v>
      </c>
      <c r="AF24" s="32">
        <f ca="1">$AP$24*$AP$60</f>
        <v>0</v>
      </c>
      <c r="AG24" s="32">
        <f ca="1">SUM($AE$24:$AF$24)</f>
        <v>0</v>
      </c>
      <c r="AH24" s="32">
        <f>'TUSD BE'!$AH$24*'TUSD BF'!$AH$63</f>
        <v>4.2007647260049206</v>
      </c>
      <c r="AI24" s="32">
        <f>'TUSD BE'!$AI$24*'TUSD BF'!$AI$63</f>
        <v>0.30250424516894309</v>
      </c>
      <c r="AJ24" s="32">
        <f ca="1">'TUSD BE'!$AJ$24*'TUSD BF'!$AJ$63</f>
        <v>10.390448981872416</v>
      </c>
      <c r="AK24" s="32">
        <f ca="1">'TUSD BE'!$AK$24*'TUSD BF'!$AK$63</f>
        <v>0</v>
      </c>
      <c r="AL24" s="32">
        <f ca="1">SUM($AH$24:$AK$24)</f>
        <v>14.893717953046279</v>
      </c>
      <c r="AM24" s="32">
        <f ca="1">SUMIF($L$4:$AL$4,"SUBTOTAL",$L$24:$AL$24)</f>
        <v>17.379252826845047</v>
      </c>
      <c r="AO24" s="37">
        <f ca="1">+'TUSD BE'!$T$24+'TUSD BE'!$AB$24+'TUSD BE'!$AD$24+'TUSD BE'!$AL$24</f>
        <v>394.22549841371921</v>
      </c>
      <c r="AP24" s="37">
        <f ca="1">+'TUSD BE'!$T$24+'TUSD BE'!$AB$24+'TUSD BE'!$AD$24+'TUSD BE'!$AL$24</f>
        <v>394.22549841371921</v>
      </c>
    </row>
    <row r="25" spans="1:42" ht="11.25" customHeight="1" x14ac:dyDescent="0.25">
      <c r="A25" s="124"/>
      <c r="B25" s="124" t="s">
        <v>23</v>
      </c>
      <c r="C25" s="124" t="s">
        <v>24</v>
      </c>
      <c r="D25" s="35" t="s">
        <v>24</v>
      </c>
      <c r="E25" s="35" t="s">
        <v>25</v>
      </c>
      <c r="F25" s="35" t="s">
        <v>25</v>
      </c>
      <c r="G25" s="28" t="s">
        <v>92</v>
      </c>
      <c r="H25" s="28" t="s">
        <v>86</v>
      </c>
      <c r="I25" s="28">
        <f>'MERCADO TUSD'!$U$22</f>
        <v>1747135.3810000001</v>
      </c>
      <c r="J25" s="18"/>
      <c r="L25" s="32">
        <f>'TUSD BE'!$L$25*'TUSD BF'!$L$63</f>
        <v>0</v>
      </c>
      <c r="M25" s="32">
        <f>'TUSD BE'!$M$25*'TUSD BF'!$M$63</f>
        <v>0</v>
      </c>
      <c r="N25" s="32">
        <f ca="1">'TUSD BE'!$N$25*'TUSD BF'!$N$63</f>
        <v>0</v>
      </c>
      <c r="O25" s="32">
        <f>'TUSD BE'!$O$25*'TUSD BF'!$O$63</f>
        <v>0</v>
      </c>
      <c r="P25" s="32">
        <f>'TUSD BE'!$P$25*'TUSD BF'!$P$63</f>
        <v>0</v>
      </c>
      <c r="Q25" s="32">
        <f>'TUSD BE'!$Q$25*'TUSD BF'!$Q$63</f>
        <v>-1.2956858829431717</v>
      </c>
      <c r="R25" s="32">
        <f>'TUSD BE'!$R$25*'TUSD BF'!$R$63</f>
        <v>0.74952600079857579</v>
      </c>
      <c r="S25" s="32">
        <f>'TUSD BE'!$R$25*'TUSD BF'!$S$63</f>
        <v>0</v>
      </c>
      <c r="T25" s="32">
        <f ca="1">SUM($L$25:$S$25)</f>
        <v>-0.54615988214459588</v>
      </c>
      <c r="U25" s="32">
        <f>'TUSD BE'!$U$25*'TUSD BF'!$U$63</f>
        <v>4.874934510281336</v>
      </c>
      <c r="V25" s="32">
        <f>'TUSD BE'!$V$25*'TUSD BF'!$V$63</f>
        <v>1.4890836923667364E-2</v>
      </c>
      <c r="W25" s="32">
        <f>'TUSD BE'!$W$25*'TUSD BF'!$W$63</f>
        <v>0</v>
      </c>
      <c r="X25" s="32">
        <f>'TUSD BE'!$X$25*'TUSD BF'!$X$63</f>
        <v>0</v>
      </c>
      <c r="Y25" s="32">
        <f>'TUSD BE'!$Y$25*'TUSD BF'!$Y$63</f>
        <v>0</v>
      </c>
      <c r="Z25" s="32">
        <f>'TUSD BE'!$Z$25*'TUSD BF'!$Z$63</f>
        <v>0</v>
      </c>
      <c r="AA25" s="32">
        <f>'TUSD BE'!$AA$25*'TUSD BF'!$AA$63</f>
        <v>0</v>
      </c>
      <c r="AB25" s="32">
        <f>SUM($U$25:$AA$25)</f>
        <v>4.8898253472050035</v>
      </c>
      <c r="AC25" s="32">
        <f>'TUSD BE'!$AC$25*'TUSD BF'!$AC$63</f>
        <v>0</v>
      </c>
      <c r="AD25" s="32">
        <f>SUM($AC$25:$AC$25)</f>
        <v>0</v>
      </c>
      <c r="AE25" s="32">
        <f ca="1">$AO$25*$AO$60</f>
        <v>0</v>
      </c>
      <c r="AF25" s="32">
        <f ca="1">$AP$25*$AP$60</f>
        <v>0</v>
      </c>
      <c r="AG25" s="32">
        <f ca="1">SUM($AE$25:$AF$25)</f>
        <v>0</v>
      </c>
      <c r="AH25" s="32">
        <f>'TUSD BE'!$AH$25*'TUSD BF'!$AH$63</f>
        <v>4.2007647260049206</v>
      </c>
      <c r="AI25" s="32">
        <f>'TUSD BE'!$AI$25*'TUSD BF'!$AI$63</f>
        <v>0.30250424516894309</v>
      </c>
      <c r="AJ25" s="32">
        <f ca="1">'TUSD BE'!$AJ$25*'TUSD BF'!$AJ$63</f>
        <v>10.390448981872416</v>
      </c>
      <c r="AK25" s="32">
        <f ca="1">'TUSD BE'!$AK$25*'TUSD BF'!$AK$63</f>
        <v>0</v>
      </c>
      <c r="AL25" s="32">
        <f ca="1">SUM($AH$25:$AK$25)</f>
        <v>14.893717953046279</v>
      </c>
      <c r="AM25" s="32">
        <f ca="1">SUMIF($L$4:$AL$4,"SUBTOTAL",$L$25:$AL$25)</f>
        <v>19.237383418106688</v>
      </c>
      <c r="AO25" s="37">
        <f ca="1">+'TUSD BE'!$T$25+'TUSD BE'!$AB$25+'TUSD BE'!$AD$25+'TUSD BE'!$AL$25</f>
        <v>496.55049493364771</v>
      </c>
      <c r="AP25" s="37">
        <f ca="1">+'TUSD BE'!$T$25+'TUSD BE'!$AB$25+'TUSD BE'!$AD$25+'TUSD BE'!$AL$25</f>
        <v>496.55049493364771</v>
      </c>
    </row>
    <row r="26" spans="1:42" ht="11.25" customHeight="1" x14ac:dyDescent="0.25">
      <c r="A26" s="124"/>
      <c r="B26" s="124"/>
      <c r="C26" s="124"/>
      <c r="D26" s="35" t="s">
        <v>31</v>
      </c>
      <c r="E26" s="35" t="s">
        <v>25</v>
      </c>
      <c r="F26" s="35" t="s">
        <v>25</v>
      </c>
      <c r="G26" s="28" t="s">
        <v>92</v>
      </c>
      <c r="H26" s="28" t="s">
        <v>86</v>
      </c>
      <c r="I26" s="28">
        <f>'MERCADO TUSD'!$U$23</f>
        <v>72661.888000000006</v>
      </c>
      <c r="J26" s="18"/>
      <c r="L26" s="32">
        <f>'TUSD BE'!$L$26*'TUSD BF'!$L$63</f>
        <v>0</v>
      </c>
      <c r="M26" s="32">
        <f>'TUSD BE'!$M$26*'TUSD BF'!$M$63</f>
        <v>0</v>
      </c>
      <c r="N26" s="32">
        <f ca="1">'TUSD BE'!$N$26*'TUSD BF'!$N$63</f>
        <v>0</v>
      </c>
      <c r="O26" s="32">
        <f>'TUSD BE'!$O$26*'TUSD BF'!$O$63</f>
        <v>0</v>
      </c>
      <c r="P26" s="32">
        <f>'TUSD BE'!$P$26*'TUSD BF'!$P$63</f>
        <v>0</v>
      </c>
      <c r="Q26" s="32">
        <f>'TUSD BE'!$Q$26*'TUSD BF'!$Q$63</f>
        <v>0</v>
      </c>
      <c r="R26" s="32">
        <f>'TUSD BE'!$R$26*'TUSD BF'!$R$63</f>
        <v>0</v>
      </c>
      <c r="S26" s="32">
        <f>'TUSD BE'!$R$26*'TUSD BF'!$S$63</f>
        <v>0</v>
      </c>
      <c r="T26" s="32">
        <f ca="1">SUM($L$26:$S$26)</f>
        <v>0</v>
      </c>
      <c r="U26" s="32">
        <f>'TUSD BE'!$U$26*'TUSD BF'!$U$63</f>
        <v>4.874934510281336</v>
      </c>
      <c r="V26" s="32">
        <f>'TUSD BE'!$V$26*'TUSD BF'!$V$63</f>
        <v>1.4890836923667364E-2</v>
      </c>
      <c r="W26" s="32">
        <f>'TUSD BE'!$W$26*'TUSD BF'!$W$63</f>
        <v>0</v>
      </c>
      <c r="X26" s="32">
        <f>'TUSD BE'!$X$26*'TUSD BF'!$X$63</f>
        <v>0</v>
      </c>
      <c r="Y26" s="32">
        <f>'TUSD BE'!$Y$26*'TUSD BF'!$Y$63</f>
        <v>0</v>
      </c>
      <c r="Z26" s="32">
        <f>'TUSD BE'!$Z$26*'TUSD BF'!$Z$63</f>
        <v>0</v>
      </c>
      <c r="AA26" s="32">
        <f>'TUSD BE'!$AA$26*'TUSD BF'!$AA$63</f>
        <v>0</v>
      </c>
      <c r="AB26" s="32">
        <f>SUM($U$26:$AA$26)</f>
        <v>4.8898253472050035</v>
      </c>
      <c r="AC26" s="32">
        <f>'TUSD BE'!$AC$26*'TUSD BF'!$AC$63</f>
        <v>0</v>
      </c>
      <c r="AD26" s="32">
        <f>SUM($AC$26:$AC$26)</f>
        <v>0</v>
      </c>
      <c r="AE26" s="32">
        <f ca="1">$AO$26*$AO$60</f>
        <v>0</v>
      </c>
      <c r="AF26" s="32">
        <f ca="1">$AP$26*$AP$60</f>
        <v>0</v>
      </c>
      <c r="AG26" s="32">
        <f ca="1">SUM($AE$26:$AF$26)</f>
        <v>0</v>
      </c>
      <c r="AH26" s="32">
        <f>'TUSD BE'!$AH$26*'TUSD BF'!$AH$63</f>
        <v>4.2007647260049206</v>
      </c>
      <c r="AI26" s="32">
        <f>'TUSD BE'!$AI$26*'TUSD BF'!$AI$63</f>
        <v>0.30250424516894309</v>
      </c>
      <c r="AJ26" s="32">
        <f ca="1">'TUSD BE'!$AJ$26*'TUSD BF'!$AJ$63</f>
        <v>10.390448981872416</v>
      </c>
      <c r="AK26" s="32">
        <f ca="1">'TUSD BE'!$AK$26*'TUSD BF'!$AK$63</f>
        <v>0</v>
      </c>
      <c r="AL26" s="32">
        <f ca="1">SUM($AH$26:$AK$26)</f>
        <v>14.893717953046279</v>
      </c>
      <c r="AM26" s="32">
        <f ca="1">SUMIF($L$4:$AL$4,"SUBTOTAL",$L$26:$AL$26)</f>
        <v>19.783543300251281</v>
      </c>
      <c r="AO26" s="37">
        <f ca="1">+'TUSD BE'!$T$26+'TUSD BE'!$AB$26+'TUSD BE'!$AD$26+'TUSD BE'!$AL$26</f>
        <v>449.26647779627018</v>
      </c>
      <c r="AP26" s="37">
        <f ca="1">+'TUSD BE'!$T$26+'TUSD BE'!$AB$26+'TUSD BE'!$AD$26+'TUSD BE'!$AL$26</f>
        <v>449.26647779627018</v>
      </c>
    </row>
    <row r="27" spans="1:42" ht="11.25" customHeight="1" x14ac:dyDescent="0.25">
      <c r="A27" s="124"/>
      <c r="B27" s="124"/>
      <c r="C27" s="124"/>
      <c r="D27" s="35" t="s">
        <v>32</v>
      </c>
      <c r="E27" s="35" t="s">
        <v>25</v>
      </c>
      <c r="F27" s="35" t="s">
        <v>25</v>
      </c>
      <c r="G27" s="28" t="s">
        <v>92</v>
      </c>
      <c r="H27" s="28" t="s">
        <v>86</v>
      </c>
      <c r="I27" s="28">
        <f>'MERCADO TUSD'!$U$24</f>
        <v>116587.09399999998</v>
      </c>
      <c r="J27" s="18"/>
      <c r="L27" s="32">
        <f>'TUSD BE'!$L$27*'TUSD BF'!$L$63</f>
        <v>0</v>
      </c>
      <c r="M27" s="32">
        <f>'TUSD BE'!$M$27*'TUSD BF'!$M$63</f>
        <v>0</v>
      </c>
      <c r="N27" s="32">
        <f ca="1">'TUSD BE'!$N$27*'TUSD BF'!$N$63</f>
        <v>0</v>
      </c>
      <c r="O27" s="32">
        <f>'TUSD BE'!$O$27*'TUSD BF'!$O$63</f>
        <v>0</v>
      </c>
      <c r="P27" s="32">
        <f>'TUSD BE'!$P$27*'TUSD BF'!$P$63</f>
        <v>0</v>
      </c>
      <c r="Q27" s="32">
        <f>'TUSD BE'!$Q$27*'TUSD BF'!$Q$63</f>
        <v>0</v>
      </c>
      <c r="R27" s="32">
        <f>'TUSD BE'!$R$27*'TUSD BF'!$R$63</f>
        <v>0</v>
      </c>
      <c r="S27" s="32">
        <f>'TUSD BE'!$R$27*'TUSD BF'!$S$63</f>
        <v>0</v>
      </c>
      <c r="T27" s="32">
        <f ca="1">SUM($L$27:$S$27)</f>
        <v>0</v>
      </c>
      <c r="U27" s="32">
        <f>'TUSD BE'!$U$27*'TUSD BF'!$U$63</f>
        <v>4.874934510281336</v>
      </c>
      <c r="V27" s="32">
        <f>'TUSD BE'!$V$27*'TUSD BF'!$V$63</f>
        <v>1.4890836923667364E-2</v>
      </c>
      <c r="W27" s="32">
        <f>'TUSD BE'!$W$27*'TUSD BF'!$W$63</f>
        <v>0</v>
      </c>
      <c r="X27" s="32">
        <f>'TUSD BE'!$X$27*'TUSD BF'!$X$63</f>
        <v>0</v>
      </c>
      <c r="Y27" s="32">
        <f>'TUSD BE'!$Y$27*'TUSD BF'!$Y$63</f>
        <v>0</v>
      </c>
      <c r="Z27" s="32">
        <f>'TUSD BE'!$Z$27*'TUSD BF'!$Z$63</f>
        <v>0</v>
      </c>
      <c r="AA27" s="32">
        <f>'TUSD BE'!$AA$27*'TUSD BF'!$AA$63</f>
        <v>0</v>
      </c>
      <c r="AB27" s="32">
        <f>SUM($U$27:$AA$27)</f>
        <v>4.8898253472050035</v>
      </c>
      <c r="AC27" s="32">
        <f>'TUSD BE'!$AC$27*'TUSD BF'!$AC$63</f>
        <v>0</v>
      </c>
      <c r="AD27" s="32">
        <f>SUM($AC$27:$AC$27)</f>
        <v>0</v>
      </c>
      <c r="AE27" s="32">
        <f ca="1">$AO$27*$AO$60</f>
        <v>0</v>
      </c>
      <c r="AF27" s="32">
        <f ca="1">$AP$27*$AP$60</f>
        <v>0</v>
      </c>
      <c r="AG27" s="32">
        <f ca="1">SUM($AE$27:$AF$27)</f>
        <v>0</v>
      </c>
      <c r="AH27" s="32">
        <f>'TUSD BE'!$AH$27*'TUSD BF'!$AH$63</f>
        <v>4.2007647260049206</v>
      </c>
      <c r="AI27" s="32">
        <f>'TUSD BE'!$AI$27*'TUSD BF'!$AI$63</f>
        <v>0.30250424516894309</v>
      </c>
      <c r="AJ27" s="32">
        <f ca="1">'TUSD BE'!$AJ$27*'TUSD BF'!$AJ$63</f>
        <v>10.390448981872416</v>
      </c>
      <c r="AK27" s="32">
        <f ca="1">'TUSD BE'!$AK$27*'TUSD BF'!$AK$63</f>
        <v>0</v>
      </c>
      <c r="AL27" s="32">
        <f ca="1">SUM($AH$27:$AK$27)</f>
        <v>14.893717953046279</v>
      </c>
      <c r="AM27" s="32">
        <f ca="1">SUMIF($L$4:$AL$4,"SUBTOTAL",$L$27:$AL$27)</f>
        <v>19.783543300251281</v>
      </c>
      <c r="AO27" s="37">
        <f ca="1">+'TUSD BE'!$T$27+'TUSD BE'!$AB$27+'TUSD BE'!$AD$27+'TUSD BE'!$AL$27</f>
        <v>449.26647779627018</v>
      </c>
      <c r="AP27" s="37">
        <f ca="1">+'TUSD BE'!$T$27+'TUSD BE'!$AB$27+'TUSD BE'!$AD$27+'TUSD BE'!$AL$27</f>
        <v>449.26647779627018</v>
      </c>
    </row>
    <row r="28" spans="1:42" ht="11.25" customHeight="1" x14ac:dyDescent="0.25">
      <c r="A28" s="124"/>
      <c r="B28" s="124"/>
      <c r="C28" s="124"/>
      <c r="D28" s="35" t="s">
        <v>33</v>
      </c>
      <c r="E28" s="35" t="s">
        <v>25</v>
      </c>
      <c r="F28" s="35" t="s">
        <v>25</v>
      </c>
      <c r="G28" s="28" t="s">
        <v>92</v>
      </c>
      <c r="H28" s="28" t="s">
        <v>86</v>
      </c>
      <c r="I28" s="28">
        <f>'MERCADO TUSD'!$U$25</f>
        <v>103208.47500000001</v>
      </c>
      <c r="J28" s="18"/>
      <c r="L28" s="32">
        <f>'TUSD BE'!$L$28*'TUSD BF'!$L$63</f>
        <v>0</v>
      </c>
      <c r="M28" s="32">
        <f>'TUSD BE'!$M$28*'TUSD BF'!$M$63</f>
        <v>0</v>
      </c>
      <c r="N28" s="32">
        <f ca="1">'TUSD BE'!$N$28*'TUSD BF'!$N$63</f>
        <v>0</v>
      </c>
      <c r="O28" s="32">
        <f>'TUSD BE'!$O$28*'TUSD BF'!$O$63</f>
        <v>0</v>
      </c>
      <c r="P28" s="32">
        <f>'TUSD BE'!$P$28*'TUSD BF'!$P$63</f>
        <v>0</v>
      </c>
      <c r="Q28" s="32">
        <f>'TUSD BE'!$Q$28*'TUSD BF'!$Q$63</f>
        <v>0</v>
      </c>
      <c r="R28" s="32">
        <f>'TUSD BE'!$R$28*'TUSD BF'!$R$63</f>
        <v>0</v>
      </c>
      <c r="S28" s="32">
        <f>'TUSD BE'!$R$28*'TUSD BF'!$S$63</f>
        <v>0</v>
      </c>
      <c r="T28" s="32">
        <f ca="1">SUM($L$28:$S$28)</f>
        <v>0</v>
      </c>
      <c r="U28" s="32">
        <f>'TUSD BE'!$U$28*'TUSD BF'!$U$63</f>
        <v>4.874934510281336</v>
      </c>
      <c r="V28" s="32">
        <f>'TUSD BE'!$V$28*'TUSD BF'!$V$63</f>
        <v>1.4890836923667364E-2</v>
      </c>
      <c r="W28" s="32">
        <f>'TUSD BE'!$W$28*'TUSD BF'!$W$63</f>
        <v>0</v>
      </c>
      <c r="X28" s="32">
        <f>'TUSD BE'!$X$28*'TUSD BF'!$X$63</f>
        <v>0</v>
      </c>
      <c r="Y28" s="32">
        <f>'TUSD BE'!$Y$28*'TUSD BF'!$Y$63</f>
        <v>0</v>
      </c>
      <c r="Z28" s="32">
        <f>'TUSD BE'!$Z$28*'TUSD BF'!$Z$63</f>
        <v>0</v>
      </c>
      <c r="AA28" s="32">
        <f>'TUSD BE'!$AA$28*'TUSD BF'!$AA$63</f>
        <v>0</v>
      </c>
      <c r="AB28" s="32">
        <f>SUM($U$28:$AA$28)</f>
        <v>4.8898253472050035</v>
      </c>
      <c r="AC28" s="32">
        <f>'TUSD BE'!$AC$28*'TUSD BF'!$AC$63</f>
        <v>0</v>
      </c>
      <c r="AD28" s="32">
        <f>SUM($AC$28:$AC$28)</f>
        <v>0</v>
      </c>
      <c r="AE28" s="32">
        <f ca="1">$AO$28*$AO$60</f>
        <v>0</v>
      </c>
      <c r="AF28" s="32">
        <f ca="1">$AP$28*$AP$60</f>
        <v>0</v>
      </c>
      <c r="AG28" s="32">
        <f ca="1">SUM($AE$28:$AF$28)</f>
        <v>0</v>
      </c>
      <c r="AH28" s="32">
        <f>'TUSD BE'!$AH$28*'TUSD BF'!$AH$63</f>
        <v>4.2007647260049206</v>
      </c>
      <c r="AI28" s="32">
        <f>'TUSD BE'!$AI$28*'TUSD BF'!$AI$63</f>
        <v>0.30250424516894309</v>
      </c>
      <c r="AJ28" s="32">
        <f ca="1">'TUSD BE'!$AJ$28*'TUSD BF'!$AJ$63</f>
        <v>10.390448981872416</v>
      </c>
      <c r="AK28" s="32">
        <f ca="1">'TUSD BE'!$AK$28*'TUSD BF'!$AK$63</f>
        <v>0</v>
      </c>
      <c r="AL28" s="32">
        <f ca="1">SUM($AH$28:$AK$28)</f>
        <v>14.893717953046279</v>
      </c>
      <c r="AM28" s="32">
        <f ca="1">SUMIF($L$4:$AL$4,"SUBTOTAL",$L$28:$AL$28)</f>
        <v>19.783543300251281</v>
      </c>
      <c r="AO28" s="37">
        <f ca="1">+'TUSD BE'!$T$28+'TUSD BE'!$AB$28+'TUSD BE'!$AD$28+'TUSD BE'!$AL$28</f>
        <v>449.26647779627018</v>
      </c>
      <c r="AP28" s="37">
        <f ca="1">+'TUSD BE'!$T$28+'TUSD BE'!$AB$28+'TUSD BE'!$AD$28+'TUSD BE'!$AL$28</f>
        <v>449.26647779627018</v>
      </c>
    </row>
    <row r="29" spans="1:42" ht="11.25" customHeight="1" x14ac:dyDescent="0.25">
      <c r="A29" s="124"/>
      <c r="B29" s="124"/>
      <c r="C29" s="124"/>
      <c r="D29" s="35" t="s">
        <v>34</v>
      </c>
      <c r="E29" s="35" t="s">
        <v>25</v>
      </c>
      <c r="F29" s="35" t="s">
        <v>25</v>
      </c>
      <c r="G29" s="28" t="s">
        <v>92</v>
      </c>
      <c r="H29" s="28" t="s">
        <v>86</v>
      </c>
      <c r="I29" s="28">
        <f>'MERCADO TUSD'!$U$26</f>
        <v>77490.793999999994</v>
      </c>
      <c r="J29" s="18"/>
      <c r="L29" s="32">
        <f>'TUSD BE'!$L$29*'TUSD BF'!$L$63</f>
        <v>0</v>
      </c>
      <c r="M29" s="32">
        <f>'TUSD BE'!$M$29*'TUSD BF'!$M$63</f>
        <v>0</v>
      </c>
      <c r="N29" s="32">
        <f ca="1">'TUSD BE'!$N$29*'TUSD BF'!$N$63</f>
        <v>0</v>
      </c>
      <c r="O29" s="32">
        <f>'TUSD BE'!$O$29*'TUSD BF'!$O$63</f>
        <v>0</v>
      </c>
      <c r="P29" s="32">
        <f>'TUSD BE'!$P$29*'TUSD BF'!$P$63</f>
        <v>0</v>
      </c>
      <c r="Q29" s="32">
        <f>'TUSD BE'!$Q$29*'TUSD BF'!$Q$63</f>
        <v>0</v>
      </c>
      <c r="R29" s="32">
        <f>'TUSD BE'!$R$29*'TUSD BF'!$R$63</f>
        <v>0</v>
      </c>
      <c r="S29" s="32">
        <f>'TUSD BE'!$R$29*'TUSD BF'!$S$63</f>
        <v>0</v>
      </c>
      <c r="T29" s="32">
        <f ca="1">SUM($L$29:$S$29)</f>
        <v>0</v>
      </c>
      <c r="U29" s="32">
        <f>'TUSD BE'!$U$29*'TUSD BF'!$U$63</f>
        <v>4.874934510281336</v>
      </c>
      <c r="V29" s="32">
        <f>'TUSD BE'!$V$29*'TUSD BF'!$V$63</f>
        <v>1.4890836923667364E-2</v>
      </c>
      <c r="W29" s="32">
        <f>'TUSD BE'!$W$29*'TUSD BF'!$W$63</f>
        <v>0</v>
      </c>
      <c r="X29" s="32">
        <f>'TUSD BE'!$X$29*'TUSD BF'!$X$63</f>
        <v>0</v>
      </c>
      <c r="Y29" s="32">
        <f>'TUSD BE'!$Y$29*'TUSD BF'!$Y$63</f>
        <v>0</v>
      </c>
      <c r="Z29" s="32">
        <f>'TUSD BE'!$Z$29*'TUSD BF'!$Z$63</f>
        <v>0</v>
      </c>
      <c r="AA29" s="32">
        <f>'TUSD BE'!$AA$29*'TUSD BF'!$AA$63</f>
        <v>0</v>
      </c>
      <c r="AB29" s="32">
        <f>SUM($U$29:$AA$29)</f>
        <v>4.8898253472050035</v>
      </c>
      <c r="AC29" s="32">
        <f>'TUSD BE'!$AC$29*'TUSD BF'!$AC$63</f>
        <v>0</v>
      </c>
      <c r="AD29" s="32">
        <f>SUM($AC$29:$AC$29)</f>
        <v>0</v>
      </c>
      <c r="AE29" s="32">
        <f ca="1">$AO$29*$AO$60</f>
        <v>0</v>
      </c>
      <c r="AF29" s="32">
        <f ca="1">$AP$29*$AP$60</f>
        <v>0</v>
      </c>
      <c r="AG29" s="32">
        <f ca="1">SUM($AE$29:$AF$29)</f>
        <v>0</v>
      </c>
      <c r="AH29" s="32">
        <f>'TUSD BE'!$AH$29*'TUSD BF'!$AH$63</f>
        <v>4.2007647260049206</v>
      </c>
      <c r="AI29" s="32">
        <f>'TUSD BE'!$AI$29*'TUSD BF'!$AI$63</f>
        <v>0.30250424516894309</v>
      </c>
      <c r="AJ29" s="32">
        <f ca="1">'TUSD BE'!$AJ$29*'TUSD BF'!$AJ$63</f>
        <v>10.390448981872416</v>
      </c>
      <c r="AK29" s="32">
        <f ca="1">'TUSD BE'!$AK$29*'TUSD BF'!$AK$63</f>
        <v>0</v>
      </c>
      <c r="AL29" s="32">
        <f ca="1">SUM($AH$29:$AK$29)</f>
        <v>14.893717953046279</v>
      </c>
      <c r="AM29" s="32">
        <f ca="1">SUMIF($L$4:$AL$4,"SUBTOTAL",$L$29:$AL$29)</f>
        <v>19.783543300251281</v>
      </c>
      <c r="AO29" s="37">
        <f ca="1">+'TUSD BE'!$T$29+'TUSD BE'!$AB$29+'TUSD BE'!$AD$29+'TUSD BE'!$AL$29</f>
        <v>449.26647779627018</v>
      </c>
      <c r="AP29" s="37">
        <f ca="1">+'TUSD BE'!$T$29+'TUSD BE'!$AB$29+'TUSD BE'!$AD$29+'TUSD BE'!$AL$29</f>
        <v>449.26647779627018</v>
      </c>
    </row>
    <row r="30" spans="1:42" ht="11.25" customHeight="1" x14ac:dyDescent="0.25">
      <c r="A30" s="124"/>
      <c r="B30" s="124" t="s">
        <v>100</v>
      </c>
      <c r="C30" s="124" t="s">
        <v>24</v>
      </c>
      <c r="D30" s="35" t="s">
        <v>24</v>
      </c>
      <c r="E30" s="35" t="s">
        <v>25</v>
      </c>
      <c r="F30" s="35" t="s">
        <v>25</v>
      </c>
      <c r="G30" s="28" t="s">
        <v>92</v>
      </c>
      <c r="H30" s="28" t="s">
        <v>86</v>
      </c>
      <c r="I30" s="28">
        <f>'MERCADO TUSD'!$U$27</f>
        <v>0</v>
      </c>
      <c r="J30" s="18"/>
      <c r="L30" s="32">
        <f>'TUSD BE'!$L$30*'TUSD BF'!$L$63</f>
        <v>0</v>
      </c>
      <c r="M30" s="32">
        <f>'TUSD BE'!$M$30*'TUSD BF'!$M$63</f>
        <v>0</v>
      </c>
      <c r="N30" s="32">
        <f ca="1">'TUSD BE'!$N$30*'TUSD BF'!$N$63</f>
        <v>0</v>
      </c>
      <c r="O30" s="32">
        <f>'TUSD BE'!$O$30*'TUSD BF'!$O$63</f>
        <v>0</v>
      </c>
      <c r="P30" s="32">
        <f>'TUSD BE'!$P$30*'TUSD BF'!$P$63</f>
        <v>0</v>
      </c>
      <c r="Q30" s="32">
        <f>'TUSD BE'!$Q$30*'TUSD BF'!$Q$63</f>
        <v>-1.2956858829431717</v>
      </c>
      <c r="R30" s="32">
        <f>'TUSD BE'!$R$30*'TUSD BF'!$R$63</f>
        <v>0.74952600079857579</v>
      </c>
      <c r="S30" s="32">
        <f>'TUSD BE'!$R$30*'TUSD BF'!$S$63</f>
        <v>0</v>
      </c>
      <c r="T30" s="32">
        <f ca="1">SUM($L$30:$S$30)</f>
        <v>-0.54615988214459588</v>
      </c>
      <c r="U30" s="32">
        <f>'TUSD BE'!$U$30*'TUSD BF'!$U$63</f>
        <v>4.874934510281336</v>
      </c>
      <c r="V30" s="32">
        <f>'TUSD BE'!$V$30*'TUSD BF'!$V$63</f>
        <v>1.4890836923667364E-2</v>
      </c>
      <c r="W30" s="32">
        <f>'TUSD BE'!$W$30*'TUSD BF'!$W$63</f>
        <v>0</v>
      </c>
      <c r="X30" s="32">
        <f>'TUSD BE'!$X$30*'TUSD BF'!$X$63</f>
        <v>0</v>
      </c>
      <c r="Y30" s="32">
        <f>'TUSD BE'!$Y$30*'TUSD BF'!$Y$63</f>
        <v>0</v>
      </c>
      <c r="Z30" s="32">
        <f>'TUSD BE'!$Z$30*'TUSD BF'!$Z$63</f>
        <v>0</v>
      </c>
      <c r="AA30" s="32">
        <f>'TUSD BE'!$AA$30*'TUSD BF'!$AA$63</f>
        <v>0</v>
      </c>
      <c r="AB30" s="32">
        <f>SUM($U$30:$AA$30)</f>
        <v>4.8898253472050035</v>
      </c>
      <c r="AC30" s="32">
        <f>'TUSD BE'!$AC$30*'TUSD BF'!$AC$63</f>
        <v>0</v>
      </c>
      <c r="AD30" s="32">
        <f>SUM($AC$30:$AC$30)</f>
        <v>0</v>
      </c>
      <c r="AE30" s="32">
        <f ca="1">$AO$30*$AO$60</f>
        <v>0</v>
      </c>
      <c r="AF30" s="32">
        <f ca="1">$AP$30*$AP$60</f>
        <v>0</v>
      </c>
      <c r="AG30" s="32">
        <f ca="1">SUM($AE$30:$AF$30)</f>
        <v>0</v>
      </c>
      <c r="AH30" s="32">
        <f>'TUSD BE'!$AH$30*'TUSD BF'!$AH$63</f>
        <v>4.2007647260049206</v>
      </c>
      <c r="AI30" s="32">
        <f>'TUSD BE'!$AI$30*'TUSD BF'!$AI$63</f>
        <v>0.30250424516894309</v>
      </c>
      <c r="AJ30" s="32">
        <f ca="1">'TUSD BE'!$AJ$30*'TUSD BF'!$AJ$63</f>
        <v>10.390448981872416</v>
      </c>
      <c r="AK30" s="32">
        <f ca="1">'TUSD BE'!$AK$30*'TUSD BF'!$AK$63</f>
        <v>0</v>
      </c>
      <c r="AL30" s="32">
        <f ca="1">SUM($AH$30:$AK$30)</f>
        <v>14.893717953046279</v>
      </c>
      <c r="AM30" s="32">
        <f ca="1">SUMIF($L$4:$AL$4,"SUBTOTAL",$L$30:$AL$30)</f>
        <v>19.237383418106688</v>
      </c>
      <c r="AO30" s="37">
        <f ca="1">+'TUSD BE'!$T$30+'TUSD BE'!$AB$30+'TUSD BE'!$AD$30+'TUSD BE'!$AL$30</f>
        <v>496.55049493364771</v>
      </c>
      <c r="AP30" s="37">
        <f ca="1">+'TUSD BE'!$T$30+'TUSD BE'!$AB$30+'TUSD BE'!$AD$30+'TUSD BE'!$AL$30</f>
        <v>496.55049493364771</v>
      </c>
    </row>
    <row r="31" spans="1:42" ht="11.25" customHeight="1" x14ac:dyDescent="0.25">
      <c r="A31" s="124"/>
      <c r="B31" s="124"/>
      <c r="C31" s="124"/>
      <c r="D31" s="35" t="s">
        <v>31</v>
      </c>
      <c r="E31" s="35" t="s">
        <v>25</v>
      </c>
      <c r="F31" s="35" t="s">
        <v>25</v>
      </c>
      <c r="G31" s="28" t="s">
        <v>92</v>
      </c>
      <c r="H31" s="28" t="s">
        <v>86</v>
      </c>
      <c r="I31" s="28">
        <f>'MERCADO TUSD'!$U$28</f>
        <v>0</v>
      </c>
      <c r="J31" s="18"/>
      <c r="L31" s="32">
        <f>'TUSD BE'!$L$31*'TUSD BF'!$L$63</f>
        <v>0</v>
      </c>
      <c r="M31" s="32">
        <f>'TUSD BE'!$M$31*'TUSD BF'!$M$63</f>
        <v>0</v>
      </c>
      <c r="N31" s="32">
        <f ca="1">'TUSD BE'!$N$31*'TUSD BF'!$N$63</f>
        <v>0</v>
      </c>
      <c r="O31" s="32">
        <f>'TUSD BE'!$O$31*'TUSD BF'!$O$63</f>
        <v>0</v>
      </c>
      <c r="P31" s="32">
        <f>'TUSD BE'!$P$31*'TUSD BF'!$P$63</f>
        <v>0</v>
      </c>
      <c r="Q31" s="32">
        <f>'TUSD BE'!$Q$31*'TUSD BF'!$Q$63</f>
        <v>0</v>
      </c>
      <c r="R31" s="32">
        <f>'TUSD BE'!$R$31*'TUSD BF'!$R$63</f>
        <v>0</v>
      </c>
      <c r="S31" s="32">
        <f>'TUSD BE'!$R$31*'TUSD BF'!$S$63</f>
        <v>0</v>
      </c>
      <c r="T31" s="32">
        <f ca="1">SUM($L$31:$S$31)</f>
        <v>0</v>
      </c>
      <c r="U31" s="32">
        <f>'TUSD BE'!$U$31*'TUSD BF'!$U$63</f>
        <v>4.874934510281336</v>
      </c>
      <c r="V31" s="32">
        <f>'TUSD BE'!$V$31*'TUSD BF'!$V$63</f>
        <v>1.4890836923667364E-2</v>
      </c>
      <c r="W31" s="32">
        <f>'TUSD BE'!$W$31*'TUSD BF'!$W$63</f>
        <v>0</v>
      </c>
      <c r="X31" s="32">
        <f>'TUSD BE'!$X$31*'TUSD BF'!$X$63</f>
        <v>0</v>
      </c>
      <c r="Y31" s="32">
        <f>'TUSD BE'!$Y$31*'TUSD BF'!$Y$63</f>
        <v>0</v>
      </c>
      <c r="Z31" s="32">
        <f>'TUSD BE'!$Z$31*'TUSD BF'!$Z$63</f>
        <v>0</v>
      </c>
      <c r="AA31" s="32">
        <f>'TUSD BE'!$AA$31*'TUSD BF'!$AA$63</f>
        <v>0</v>
      </c>
      <c r="AB31" s="32">
        <f>SUM($U$31:$AA$31)</f>
        <v>4.8898253472050035</v>
      </c>
      <c r="AC31" s="32">
        <f>'TUSD BE'!$AC$31*'TUSD BF'!$AC$63</f>
        <v>0</v>
      </c>
      <c r="AD31" s="32">
        <f>SUM($AC$31:$AC$31)</f>
        <v>0</v>
      </c>
      <c r="AE31" s="32">
        <f ca="1">$AO$31*$AO$60</f>
        <v>0</v>
      </c>
      <c r="AF31" s="32">
        <f ca="1">$AP$31*$AP$60</f>
        <v>0</v>
      </c>
      <c r="AG31" s="32">
        <f ca="1">SUM($AE$31:$AF$31)</f>
        <v>0</v>
      </c>
      <c r="AH31" s="32">
        <f>'TUSD BE'!$AH$31*'TUSD BF'!$AH$63</f>
        <v>4.2007647260049206</v>
      </c>
      <c r="AI31" s="32">
        <f>'TUSD BE'!$AI$31*'TUSD BF'!$AI$63</f>
        <v>0.30250424516894309</v>
      </c>
      <c r="AJ31" s="32">
        <f ca="1">'TUSD BE'!$AJ$31*'TUSD BF'!$AJ$63</f>
        <v>10.390448981872416</v>
      </c>
      <c r="AK31" s="32">
        <f ca="1">'TUSD BE'!$AK$31*'TUSD BF'!$AK$63</f>
        <v>0</v>
      </c>
      <c r="AL31" s="32">
        <f ca="1">SUM($AH$31:$AK$31)</f>
        <v>14.893717953046279</v>
      </c>
      <c r="AM31" s="32">
        <f ca="1">SUMIF($L$4:$AL$4,"SUBTOTAL",$L$31:$AL$31)</f>
        <v>19.783543300251281</v>
      </c>
      <c r="AO31" s="37">
        <f ca="1">+'TUSD BE'!$T$31+'TUSD BE'!$AB$31+'TUSD BE'!$AD$31+'TUSD BE'!$AL$31</f>
        <v>449.26647779627018</v>
      </c>
      <c r="AP31" s="37">
        <f ca="1">+'TUSD BE'!$T$31+'TUSD BE'!$AB$31+'TUSD BE'!$AD$31+'TUSD BE'!$AL$31</f>
        <v>449.26647779627018</v>
      </c>
    </row>
    <row r="32" spans="1:42" ht="11.25" customHeight="1" x14ac:dyDescent="0.25">
      <c r="A32" s="124"/>
      <c r="B32" s="124"/>
      <c r="C32" s="124"/>
      <c r="D32" s="35" t="s">
        <v>32</v>
      </c>
      <c r="E32" s="35" t="s">
        <v>25</v>
      </c>
      <c r="F32" s="35" t="s">
        <v>25</v>
      </c>
      <c r="G32" s="28" t="s">
        <v>92</v>
      </c>
      <c r="H32" s="28" t="s">
        <v>86</v>
      </c>
      <c r="I32" s="28">
        <f>'MERCADO TUSD'!$U$29</f>
        <v>0</v>
      </c>
      <c r="J32" s="18"/>
      <c r="L32" s="32">
        <f>'TUSD BE'!$L$32*'TUSD BF'!$L$63</f>
        <v>0</v>
      </c>
      <c r="M32" s="32">
        <f>'TUSD BE'!$M$32*'TUSD BF'!$M$63</f>
        <v>0</v>
      </c>
      <c r="N32" s="32">
        <f ca="1">'TUSD BE'!$N$32*'TUSD BF'!$N$63</f>
        <v>0</v>
      </c>
      <c r="O32" s="32">
        <f>'TUSD BE'!$O$32*'TUSD BF'!$O$63</f>
        <v>0</v>
      </c>
      <c r="P32" s="32">
        <f>'TUSD BE'!$P$32*'TUSD BF'!$P$63</f>
        <v>0</v>
      </c>
      <c r="Q32" s="32">
        <f>'TUSD BE'!$Q$32*'TUSD BF'!$Q$63</f>
        <v>0</v>
      </c>
      <c r="R32" s="32">
        <f>'TUSD BE'!$R$32*'TUSD BF'!$R$63</f>
        <v>0</v>
      </c>
      <c r="S32" s="32">
        <f>'TUSD BE'!$R$32*'TUSD BF'!$S$63</f>
        <v>0</v>
      </c>
      <c r="T32" s="32">
        <f ca="1">SUM($L$32:$S$32)</f>
        <v>0</v>
      </c>
      <c r="U32" s="32">
        <f>'TUSD BE'!$U$32*'TUSD BF'!$U$63</f>
        <v>4.874934510281336</v>
      </c>
      <c r="V32" s="32">
        <f>'TUSD BE'!$V$32*'TUSD BF'!$V$63</f>
        <v>1.4890836923667364E-2</v>
      </c>
      <c r="W32" s="32">
        <f>'TUSD BE'!$W$32*'TUSD BF'!$W$63</f>
        <v>0</v>
      </c>
      <c r="X32" s="32">
        <f>'TUSD BE'!$X$32*'TUSD BF'!$X$63</f>
        <v>0</v>
      </c>
      <c r="Y32" s="32">
        <f>'TUSD BE'!$Y$32*'TUSD BF'!$Y$63</f>
        <v>0</v>
      </c>
      <c r="Z32" s="32">
        <f>'TUSD BE'!$Z$32*'TUSD BF'!$Z$63</f>
        <v>0</v>
      </c>
      <c r="AA32" s="32">
        <f>'TUSD BE'!$AA$32*'TUSD BF'!$AA$63</f>
        <v>0</v>
      </c>
      <c r="AB32" s="32">
        <f>SUM($U$32:$AA$32)</f>
        <v>4.8898253472050035</v>
      </c>
      <c r="AC32" s="32">
        <f>'TUSD BE'!$AC$32*'TUSD BF'!$AC$63</f>
        <v>0</v>
      </c>
      <c r="AD32" s="32">
        <f>SUM($AC$32:$AC$32)</f>
        <v>0</v>
      </c>
      <c r="AE32" s="32">
        <f ca="1">$AO$32*$AO$60</f>
        <v>0</v>
      </c>
      <c r="AF32" s="32">
        <f ca="1">$AP$32*$AP$60</f>
        <v>0</v>
      </c>
      <c r="AG32" s="32">
        <f ca="1">SUM($AE$32:$AF$32)</f>
        <v>0</v>
      </c>
      <c r="AH32" s="32">
        <f>'TUSD BE'!$AH$32*'TUSD BF'!$AH$63</f>
        <v>4.2007647260049206</v>
      </c>
      <c r="AI32" s="32">
        <f>'TUSD BE'!$AI$32*'TUSD BF'!$AI$63</f>
        <v>0.30250424516894309</v>
      </c>
      <c r="AJ32" s="32">
        <f ca="1">'TUSD BE'!$AJ$32*'TUSD BF'!$AJ$63</f>
        <v>10.390448981872416</v>
      </c>
      <c r="AK32" s="32">
        <f ca="1">'TUSD BE'!$AK$32*'TUSD BF'!$AK$63</f>
        <v>0</v>
      </c>
      <c r="AL32" s="32">
        <f ca="1">SUM($AH$32:$AK$32)</f>
        <v>14.893717953046279</v>
      </c>
      <c r="AM32" s="32">
        <f ca="1">SUMIF($L$4:$AL$4,"SUBTOTAL",$L$32:$AL$32)</f>
        <v>19.783543300251281</v>
      </c>
      <c r="AO32" s="37">
        <f ca="1">+'TUSD BE'!$T$32+'TUSD BE'!$AB$32+'TUSD BE'!$AD$32+'TUSD BE'!$AL$32</f>
        <v>449.26647779627018</v>
      </c>
      <c r="AP32" s="37">
        <f ca="1">+'TUSD BE'!$T$32+'TUSD BE'!$AB$32+'TUSD BE'!$AD$32+'TUSD BE'!$AL$32</f>
        <v>449.26647779627018</v>
      </c>
    </row>
    <row r="33" spans="1:42" ht="11.25" customHeight="1" x14ac:dyDescent="0.25">
      <c r="A33" s="124"/>
      <c r="B33" s="124"/>
      <c r="C33" s="124"/>
      <c r="D33" s="35" t="s">
        <v>33</v>
      </c>
      <c r="E33" s="35" t="s">
        <v>25</v>
      </c>
      <c r="F33" s="35" t="s">
        <v>25</v>
      </c>
      <c r="G33" s="28" t="s">
        <v>92</v>
      </c>
      <c r="H33" s="28" t="s">
        <v>86</v>
      </c>
      <c r="I33" s="28">
        <f>'MERCADO TUSD'!$U$30</f>
        <v>0</v>
      </c>
      <c r="J33" s="18"/>
      <c r="L33" s="32">
        <f>'TUSD BE'!$L$33*'TUSD BF'!$L$63</f>
        <v>0</v>
      </c>
      <c r="M33" s="32">
        <f>'TUSD BE'!$M$33*'TUSD BF'!$M$63</f>
        <v>0</v>
      </c>
      <c r="N33" s="32">
        <f ca="1">'TUSD BE'!$N$33*'TUSD BF'!$N$63</f>
        <v>0</v>
      </c>
      <c r="O33" s="32">
        <f>'TUSD BE'!$O$33*'TUSD BF'!$O$63</f>
        <v>0</v>
      </c>
      <c r="P33" s="32">
        <f>'TUSD BE'!$P$33*'TUSD BF'!$P$63</f>
        <v>0</v>
      </c>
      <c r="Q33" s="32">
        <f>'TUSD BE'!$Q$33*'TUSD BF'!$Q$63</f>
        <v>0</v>
      </c>
      <c r="R33" s="32">
        <f>'TUSD BE'!$R$33*'TUSD BF'!$R$63</f>
        <v>0</v>
      </c>
      <c r="S33" s="32">
        <f>'TUSD BE'!$R$33*'TUSD BF'!$S$63</f>
        <v>0</v>
      </c>
      <c r="T33" s="32">
        <f ca="1">SUM($L$33:$S$33)</f>
        <v>0</v>
      </c>
      <c r="U33" s="32">
        <f>'TUSD BE'!$U$33*'TUSD BF'!$U$63</f>
        <v>4.874934510281336</v>
      </c>
      <c r="V33" s="32">
        <f>'TUSD BE'!$V$33*'TUSD BF'!$V$63</f>
        <v>1.4890836923667364E-2</v>
      </c>
      <c r="W33" s="32">
        <f>'TUSD BE'!$W$33*'TUSD BF'!$W$63</f>
        <v>0</v>
      </c>
      <c r="X33" s="32">
        <f>'TUSD BE'!$X$33*'TUSD BF'!$X$63</f>
        <v>0</v>
      </c>
      <c r="Y33" s="32">
        <f>'TUSD BE'!$Y$33*'TUSD BF'!$Y$63</f>
        <v>0</v>
      </c>
      <c r="Z33" s="32">
        <f>'TUSD BE'!$Z$33*'TUSD BF'!$Z$63</f>
        <v>0</v>
      </c>
      <c r="AA33" s="32">
        <f>'TUSD BE'!$AA$33*'TUSD BF'!$AA$63</f>
        <v>0</v>
      </c>
      <c r="AB33" s="32">
        <f>SUM($U$33:$AA$33)</f>
        <v>4.8898253472050035</v>
      </c>
      <c r="AC33" s="32">
        <f>'TUSD BE'!$AC$33*'TUSD BF'!$AC$63</f>
        <v>0</v>
      </c>
      <c r="AD33" s="32">
        <f>SUM($AC$33:$AC$33)</f>
        <v>0</v>
      </c>
      <c r="AE33" s="32">
        <f ca="1">$AO$33*$AO$60</f>
        <v>0</v>
      </c>
      <c r="AF33" s="32">
        <f ca="1">$AP$33*$AP$60</f>
        <v>0</v>
      </c>
      <c r="AG33" s="32">
        <f ca="1">SUM($AE$33:$AF$33)</f>
        <v>0</v>
      </c>
      <c r="AH33" s="32">
        <f>'TUSD BE'!$AH$33*'TUSD BF'!$AH$63</f>
        <v>4.2007647260049206</v>
      </c>
      <c r="AI33" s="32">
        <f>'TUSD BE'!$AI$33*'TUSD BF'!$AI$63</f>
        <v>0.30250424516894309</v>
      </c>
      <c r="AJ33" s="32">
        <f ca="1">'TUSD BE'!$AJ$33*'TUSD BF'!$AJ$63</f>
        <v>10.390448981872416</v>
      </c>
      <c r="AK33" s="32">
        <f ca="1">'TUSD BE'!$AK$33*'TUSD BF'!$AK$63</f>
        <v>0</v>
      </c>
      <c r="AL33" s="32">
        <f ca="1">SUM($AH$33:$AK$33)</f>
        <v>14.893717953046279</v>
      </c>
      <c r="AM33" s="32">
        <f ca="1">SUMIF($L$4:$AL$4,"SUBTOTAL",$L$33:$AL$33)</f>
        <v>19.783543300251281</v>
      </c>
      <c r="AO33" s="37">
        <f ca="1">+'TUSD BE'!$T$33+'TUSD BE'!$AB$33+'TUSD BE'!$AD$33+'TUSD BE'!$AL$33</f>
        <v>449.26647779627018</v>
      </c>
      <c r="AP33" s="37">
        <f ca="1">+'TUSD BE'!$T$33+'TUSD BE'!$AB$33+'TUSD BE'!$AD$33+'TUSD BE'!$AL$33</f>
        <v>449.26647779627018</v>
      </c>
    </row>
    <row r="34" spans="1:42" ht="11.25" customHeight="1" x14ac:dyDescent="0.25">
      <c r="A34" s="124"/>
      <c r="B34" s="124"/>
      <c r="C34" s="124"/>
      <c r="D34" s="35" t="s">
        <v>34</v>
      </c>
      <c r="E34" s="35" t="s">
        <v>25</v>
      </c>
      <c r="F34" s="35" t="s">
        <v>25</v>
      </c>
      <c r="G34" s="28" t="s">
        <v>92</v>
      </c>
      <c r="H34" s="28" t="s">
        <v>86</v>
      </c>
      <c r="I34" s="28">
        <f>'MERCADO TUSD'!$U$31</f>
        <v>0</v>
      </c>
      <c r="J34" s="18"/>
      <c r="L34" s="32">
        <f>'TUSD BE'!$L$34*'TUSD BF'!$L$63</f>
        <v>0</v>
      </c>
      <c r="M34" s="32">
        <f>'TUSD BE'!$M$34*'TUSD BF'!$M$63</f>
        <v>0</v>
      </c>
      <c r="N34" s="32">
        <f ca="1">'TUSD BE'!$N$34*'TUSD BF'!$N$63</f>
        <v>0</v>
      </c>
      <c r="O34" s="32">
        <f>'TUSD BE'!$O$34*'TUSD BF'!$O$63</f>
        <v>0</v>
      </c>
      <c r="P34" s="32">
        <f>'TUSD BE'!$P$34*'TUSD BF'!$P$63</f>
        <v>0</v>
      </c>
      <c r="Q34" s="32">
        <f>'TUSD BE'!$Q$34*'TUSD BF'!$Q$63</f>
        <v>0</v>
      </c>
      <c r="R34" s="32">
        <f>'TUSD BE'!$R$34*'TUSD BF'!$R$63</f>
        <v>0</v>
      </c>
      <c r="S34" s="32">
        <f>'TUSD BE'!$R$34*'TUSD BF'!$S$63</f>
        <v>0</v>
      </c>
      <c r="T34" s="32">
        <f ca="1">SUM($L$34:$S$34)</f>
        <v>0</v>
      </c>
      <c r="U34" s="32">
        <f>'TUSD BE'!$U$34*'TUSD BF'!$U$63</f>
        <v>4.874934510281336</v>
      </c>
      <c r="V34" s="32">
        <f>'TUSD BE'!$V$34*'TUSD BF'!$V$63</f>
        <v>1.4890836923667364E-2</v>
      </c>
      <c r="W34" s="32">
        <f>'TUSD BE'!$W$34*'TUSD BF'!$W$63</f>
        <v>0</v>
      </c>
      <c r="X34" s="32">
        <f>'TUSD BE'!$X$34*'TUSD BF'!$X$63</f>
        <v>0</v>
      </c>
      <c r="Y34" s="32">
        <f>'TUSD BE'!$Y$34*'TUSD BF'!$Y$63</f>
        <v>0</v>
      </c>
      <c r="Z34" s="32">
        <f>'TUSD BE'!$Z$34*'TUSD BF'!$Z$63</f>
        <v>0</v>
      </c>
      <c r="AA34" s="32">
        <f>'TUSD BE'!$AA$34*'TUSD BF'!$AA$63</f>
        <v>0</v>
      </c>
      <c r="AB34" s="32">
        <f>SUM($U$34:$AA$34)</f>
        <v>4.8898253472050035</v>
      </c>
      <c r="AC34" s="32">
        <f>'TUSD BE'!$AC$34*'TUSD BF'!$AC$63</f>
        <v>0</v>
      </c>
      <c r="AD34" s="32">
        <f>SUM($AC$34:$AC$34)</f>
        <v>0</v>
      </c>
      <c r="AE34" s="32">
        <f ca="1">$AO$34*$AO$60</f>
        <v>0</v>
      </c>
      <c r="AF34" s="32">
        <f ca="1">$AP$34*$AP$60</f>
        <v>0</v>
      </c>
      <c r="AG34" s="32">
        <f ca="1">SUM($AE$34:$AF$34)</f>
        <v>0</v>
      </c>
      <c r="AH34" s="32">
        <f>'TUSD BE'!$AH$34*'TUSD BF'!$AH$63</f>
        <v>4.2007647260049206</v>
      </c>
      <c r="AI34" s="32">
        <f>'TUSD BE'!$AI$34*'TUSD BF'!$AI$63</f>
        <v>0.30250424516894309</v>
      </c>
      <c r="AJ34" s="32">
        <f ca="1">'TUSD BE'!$AJ$34*'TUSD BF'!$AJ$63</f>
        <v>10.390448981872416</v>
      </c>
      <c r="AK34" s="32">
        <f ca="1">'TUSD BE'!$AK$34*'TUSD BF'!$AK$63</f>
        <v>0</v>
      </c>
      <c r="AL34" s="32">
        <f ca="1">SUM($AH$34:$AK$34)</f>
        <v>14.893717953046279</v>
      </c>
      <c r="AM34" s="32">
        <f ca="1">SUMIF($L$4:$AL$4,"SUBTOTAL",$L$34:$AL$34)</f>
        <v>19.783543300251281</v>
      </c>
      <c r="AO34" s="37">
        <f ca="1">+'TUSD BE'!$T$34+'TUSD BE'!$AB$34+'TUSD BE'!$AD$34+'TUSD BE'!$AL$34</f>
        <v>449.26647779627018</v>
      </c>
      <c r="AP34" s="37">
        <f ca="1">+'TUSD BE'!$T$34+'TUSD BE'!$AB$34+'TUSD BE'!$AD$34+'TUSD BE'!$AL$34</f>
        <v>449.26647779627018</v>
      </c>
    </row>
    <row r="35" spans="1:42" ht="11.25" customHeight="1" x14ac:dyDescent="0.25">
      <c r="A35" s="124" t="s">
        <v>46</v>
      </c>
      <c r="B35" s="124" t="s">
        <v>39</v>
      </c>
      <c r="C35" s="124" t="s">
        <v>47</v>
      </c>
      <c r="D35" s="124" t="s">
        <v>25</v>
      </c>
      <c r="E35" s="124" t="s">
        <v>25</v>
      </c>
      <c r="F35" s="124" t="s">
        <v>25</v>
      </c>
      <c r="G35" s="28" t="s">
        <v>87</v>
      </c>
      <c r="H35" s="28" t="s">
        <v>86</v>
      </c>
      <c r="I35" s="28">
        <f>'MERCADO TUSD'!$U$32</f>
        <v>0</v>
      </c>
      <c r="J35" s="18"/>
      <c r="L35" s="32">
        <f>'TUSD BE'!$L$35*'TUSD BF'!$L$63</f>
        <v>0</v>
      </c>
      <c r="M35" s="32">
        <f>'TUSD BE'!$M$35*'TUSD BF'!$M$63</f>
        <v>0</v>
      </c>
      <c r="N35" s="32">
        <f ca="1">'TUSD BE'!$N$35*'TUSD BF'!$N$63</f>
        <v>0</v>
      </c>
      <c r="O35" s="32">
        <f>'TUSD BE'!$O$35*'TUSD BF'!$O$63</f>
        <v>0</v>
      </c>
      <c r="P35" s="32">
        <f>'TUSD BE'!$P$35*'TUSD BF'!$P$63</f>
        <v>0</v>
      </c>
      <c r="Q35" s="32">
        <f>'TUSD BE'!$Q$35*'TUSD BF'!$Q$63</f>
        <v>-1.2956858829431717</v>
      </c>
      <c r="R35" s="32">
        <f>'TUSD BE'!$R$35*'TUSD BF'!$R$63</f>
        <v>0.74952600079857579</v>
      </c>
      <c r="S35" s="32">
        <f>'TUSD BE'!$R$35*'TUSD BF'!$S$63</f>
        <v>0</v>
      </c>
      <c r="T35" s="32">
        <f ca="1">SUM($L$35:$S$35)</f>
        <v>-0.54615988214459588</v>
      </c>
      <c r="U35" s="32">
        <f>'TUSD BE'!$U$35*'TUSD BF'!$U$63</f>
        <v>15.599795535566795</v>
      </c>
      <c r="V35" s="32">
        <f>'TUSD BE'!$V$35*'TUSD BF'!$V$63</f>
        <v>4.765099201044995E-2</v>
      </c>
      <c r="W35" s="32">
        <f>'TUSD BE'!$W$35*'TUSD BF'!$W$63</f>
        <v>0</v>
      </c>
      <c r="X35" s="32">
        <f>'TUSD BE'!$X$35*'TUSD BF'!$X$63</f>
        <v>0</v>
      </c>
      <c r="Y35" s="32">
        <f>'TUSD BE'!$Y$35*'TUSD BF'!$Y$63</f>
        <v>0</v>
      </c>
      <c r="Z35" s="32">
        <f>'TUSD BE'!$Z$35*'TUSD BF'!$Z$63</f>
        <v>0</v>
      </c>
      <c r="AA35" s="32">
        <f>'TUSD BE'!$AA$35*'TUSD BF'!$AA$63</f>
        <v>0</v>
      </c>
      <c r="AB35" s="32">
        <f>SUM($U$35:$AA$35)</f>
        <v>15.647446527577245</v>
      </c>
      <c r="AC35" s="32">
        <f>'TUSD BE'!$AC$35*'TUSD BF'!$AC$63</f>
        <v>0</v>
      </c>
      <c r="AD35" s="32">
        <f>SUM($AC$35:$AC$35)</f>
        <v>0</v>
      </c>
      <c r="AE35" s="32">
        <f ca="1">$AO$35*$AO$60</f>
        <v>0</v>
      </c>
      <c r="AF35" s="32">
        <f ca="1">$AP$35*$AP$60</f>
        <v>0</v>
      </c>
      <c r="AG35" s="32">
        <f ca="1">SUM($AE$35:$AF$35)</f>
        <v>0</v>
      </c>
      <c r="AH35" s="32">
        <f>'TUSD BE'!$AH$35*'TUSD BF'!$AH$63</f>
        <v>4.2007647260049206</v>
      </c>
      <c r="AI35" s="32">
        <f>'TUSD BE'!$AI$35*'TUSD BF'!$AI$63</f>
        <v>0.30250424516894309</v>
      </c>
      <c r="AJ35" s="32">
        <f ca="1">'TUSD BE'!$AJ$35*'TUSD BF'!$AJ$63</f>
        <v>10.390448981872416</v>
      </c>
      <c r="AK35" s="32">
        <f ca="1">'TUSD BE'!$AK$35*'TUSD BF'!$AK$63</f>
        <v>0</v>
      </c>
      <c r="AL35" s="32">
        <f ca="1">SUM($AH$35:$AK$35)</f>
        <v>14.893717953046279</v>
      </c>
      <c r="AM35" s="32">
        <f ca="1">SUMIF($L$4:$AL$4,"SUBTOTAL",$L$35:$AL$35)</f>
        <v>29.995004598478928</v>
      </c>
      <c r="AO35" s="37">
        <f ca="1">+'TUSD BE'!$T$35+'TUSD BE'!$AB$35+'TUSD BE'!$AD$35+'TUSD BE'!$AL$35</f>
        <v>1088.9583883463249</v>
      </c>
      <c r="AP35" s="37">
        <f ca="1">+'TUSD BE'!$T$35+'TUSD BE'!$AB$35+'TUSD BE'!$AD$35+'TUSD BE'!$AL$35</f>
        <v>1088.9583883463249</v>
      </c>
    </row>
    <row r="36" spans="1:42" ht="11.25" customHeight="1" x14ac:dyDescent="0.25">
      <c r="A36" s="124"/>
      <c r="B36" s="124"/>
      <c r="C36" s="124"/>
      <c r="D36" s="124"/>
      <c r="E36" s="124"/>
      <c r="F36" s="124"/>
      <c r="G36" s="28" t="s">
        <v>98</v>
      </c>
      <c r="H36" s="28" t="s">
        <v>86</v>
      </c>
      <c r="I36" s="28">
        <f>'MERCADO TUSD'!$U$33</f>
        <v>5.0000000000000001E-3</v>
      </c>
      <c r="J36" s="18"/>
      <c r="L36" s="32">
        <f>'TUSD BE'!$L$36*'TUSD BF'!$L$63</f>
        <v>0</v>
      </c>
      <c r="M36" s="32">
        <f>'TUSD BE'!$M$36*'TUSD BF'!$M$63</f>
        <v>0</v>
      </c>
      <c r="N36" s="32">
        <f ca="1">'TUSD BE'!$N$36*'TUSD BF'!$N$63</f>
        <v>0</v>
      </c>
      <c r="O36" s="32">
        <f>'TUSD BE'!$O$36*'TUSD BF'!$O$63</f>
        <v>0</v>
      </c>
      <c r="P36" s="32">
        <f>'TUSD BE'!$P$36*'TUSD BF'!$P$63</f>
        <v>0</v>
      </c>
      <c r="Q36" s="32">
        <f>'TUSD BE'!$Q$36*'TUSD BF'!$Q$63</f>
        <v>-1.2956858829431717</v>
      </c>
      <c r="R36" s="32">
        <f>'TUSD BE'!$R$36*'TUSD BF'!$R$63</f>
        <v>0.74952600079857579</v>
      </c>
      <c r="S36" s="32">
        <f>'TUSD BE'!$R$36*'TUSD BF'!$S$63</f>
        <v>0</v>
      </c>
      <c r="T36" s="32">
        <f ca="1">SUM($L$36:$S$36)</f>
        <v>-0.54615988214459588</v>
      </c>
      <c r="U36" s="32">
        <f>'TUSD BE'!$U$36*'TUSD BF'!$U$63</f>
        <v>9.3598722186735603</v>
      </c>
      <c r="V36" s="32">
        <f>'TUSD BE'!$V$36*'TUSD BF'!$V$63</f>
        <v>2.859059520626997E-2</v>
      </c>
      <c r="W36" s="32">
        <f>'TUSD BE'!$W$36*'TUSD BF'!$W$63</f>
        <v>0</v>
      </c>
      <c r="X36" s="32">
        <f>'TUSD BE'!$X$36*'TUSD BF'!$X$63</f>
        <v>0</v>
      </c>
      <c r="Y36" s="32">
        <f>'TUSD BE'!$Y$36*'TUSD BF'!$Y$63</f>
        <v>0</v>
      </c>
      <c r="Z36" s="32">
        <f>'TUSD BE'!$Z$36*'TUSD BF'!$Z$63</f>
        <v>0</v>
      </c>
      <c r="AA36" s="32">
        <f>'TUSD BE'!$AA$36*'TUSD BF'!$AA$63</f>
        <v>0</v>
      </c>
      <c r="AB36" s="32">
        <f>SUM($U$36:$AA$36)</f>
        <v>9.3884628138798298</v>
      </c>
      <c r="AC36" s="32">
        <f>'TUSD BE'!$AC$36*'TUSD BF'!$AC$63</f>
        <v>0</v>
      </c>
      <c r="AD36" s="32">
        <f>SUM($AC$36:$AC$36)</f>
        <v>0</v>
      </c>
      <c r="AE36" s="32">
        <f ca="1">$AO$36*$AO$60</f>
        <v>0</v>
      </c>
      <c r="AF36" s="32">
        <f ca="1">$AP$36*$AP$60</f>
        <v>0</v>
      </c>
      <c r="AG36" s="32">
        <f ca="1">SUM($AE$36:$AF$36)</f>
        <v>0</v>
      </c>
      <c r="AH36" s="32">
        <f>'TUSD BE'!$AH$36*'TUSD BF'!$AH$63</f>
        <v>4.2007647260049206</v>
      </c>
      <c r="AI36" s="32">
        <f>'TUSD BE'!$AI$36*'TUSD BF'!$AI$63</f>
        <v>0.30250424516894309</v>
      </c>
      <c r="AJ36" s="32">
        <f ca="1">'TUSD BE'!$AJ$36*'TUSD BF'!$AJ$63</f>
        <v>10.390448981872416</v>
      </c>
      <c r="AK36" s="32">
        <f ca="1">'TUSD BE'!$AK$36*'TUSD BF'!$AK$63</f>
        <v>0</v>
      </c>
      <c r="AL36" s="32">
        <f ca="1">SUM($AH$36:$AK$36)</f>
        <v>14.893717953046279</v>
      </c>
      <c r="AM36" s="32">
        <f ca="1">SUMIF($L$4:$AL$4,"SUBTOTAL",$L$36:$AL$36)</f>
        <v>23.73602088478151</v>
      </c>
      <c r="AO36" s="37">
        <f ca="1">+'TUSD BE'!$T$36+'TUSD BE'!$AB$36+'TUSD BE'!$AD$36+'TUSD BE'!$AL$36</f>
        <v>744.28468843161818</v>
      </c>
      <c r="AP36" s="37">
        <f ca="1">+'TUSD BE'!$T$36+'TUSD BE'!$AB$36+'TUSD BE'!$AD$36+'TUSD BE'!$AL$36</f>
        <v>744.28468843161818</v>
      </c>
    </row>
    <row r="37" spans="1:42" ht="11.25" customHeight="1" x14ac:dyDescent="0.25">
      <c r="A37" s="124"/>
      <c r="B37" s="124"/>
      <c r="C37" s="124"/>
      <c r="D37" s="124"/>
      <c r="E37" s="124"/>
      <c r="F37" s="124"/>
      <c r="G37" s="28" t="s">
        <v>88</v>
      </c>
      <c r="H37" s="28" t="s">
        <v>86</v>
      </c>
      <c r="I37" s="28">
        <f>'MERCADO TUSD'!$U$34</f>
        <v>0.54600000000000004</v>
      </c>
      <c r="J37" s="18"/>
      <c r="L37" s="32">
        <f>'TUSD BE'!$L$37*'TUSD BF'!$L$63</f>
        <v>0</v>
      </c>
      <c r="M37" s="32">
        <f>'TUSD BE'!$M$37*'TUSD BF'!$M$63</f>
        <v>0</v>
      </c>
      <c r="N37" s="32">
        <f ca="1">'TUSD BE'!$N$37*'TUSD BF'!$N$63</f>
        <v>0</v>
      </c>
      <c r="O37" s="32">
        <f>'TUSD BE'!$O$37*'TUSD BF'!$O$63</f>
        <v>0</v>
      </c>
      <c r="P37" s="32">
        <f>'TUSD BE'!$P$37*'TUSD BF'!$P$63</f>
        <v>0</v>
      </c>
      <c r="Q37" s="32">
        <f>'TUSD BE'!$Q$37*'TUSD BF'!$Q$63</f>
        <v>-1.2956858829431717</v>
      </c>
      <c r="R37" s="32">
        <f>'TUSD BE'!$R$37*'TUSD BF'!$R$63</f>
        <v>0.74952600079857579</v>
      </c>
      <c r="S37" s="32">
        <f>'TUSD BE'!$R$37*'TUSD BF'!$S$63</f>
        <v>0</v>
      </c>
      <c r="T37" s="32">
        <f ca="1">SUM($L$37:$S$37)</f>
        <v>-0.54615988214459588</v>
      </c>
      <c r="U37" s="32">
        <f>'TUSD BE'!$U$37*'TUSD BF'!$U$63</f>
        <v>3.1199616584466172</v>
      </c>
      <c r="V37" s="32">
        <f>'TUSD BE'!$V$37*'TUSD BF'!$V$63</f>
        <v>9.5301984020899899E-3</v>
      </c>
      <c r="W37" s="32">
        <f>'TUSD BE'!$W$37*'TUSD BF'!$W$63</f>
        <v>0</v>
      </c>
      <c r="X37" s="32">
        <f>'TUSD BE'!$X$37*'TUSD BF'!$X$63</f>
        <v>0</v>
      </c>
      <c r="Y37" s="32">
        <f>'TUSD BE'!$Y$37*'TUSD BF'!$Y$63</f>
        <v>0</v>
      </c>
      <c r="Z37" s="32">
        <f>'TUSD BE'!$Z$37*'TUSD BF'!$Z$63</f>
        <v>0</v>
      </c>
      <c r="AA37" s="32">
        <f>'TUSD BE'!$AA$37*'TUSD BF'!$AA$63</f>
        <v>0</v>
      </c>
      <c r="AB37" s="32">
        <f>SUM($U$37:$AA$37)</f>
        <v>3.1294918568487073</v>
      </c>
      <c r="AC37" s="32">
        <f>'TUSD BE'!$AC$37*'TUSD BF'!$AC$63</f>
        <v>0</v>
      </c>
      <c r="AD37" s="32">
        <f>SUM($AC$37:$AC$37)</f>
        <v>0</v>
      </c>
      <c r="AE37" s="32">
        <f ca="1">$AO$37*$AO$60</f>
        <v>0</v>
      </c>
      <c r="AF37" s="32">
        <f ca="1">$AP$37*$AP$60</f>
        <v>0</v>
      </c>
      <c r="AG37" s="32">
        <f ca="1">SUM($AE$37:$AF$37)</f>
        <v>0</v>
      </c>
      <c r="AH37" s="32">
        <f>'TUSD BE'!$AH$37*'TUSD BF'!$AH$63</f>
        <v>4.2007647260049206</v>
      </c>
      <c r="AI37" s="32">
        <f>'TUSD BE'!$AI$37*'TUSD BF'!$AI$63</f>
        <v>0.30250424516894309</v>
      </c>
      <c r="AJ37" s="32">
        <f ca="1">'TUSD BE'!$AJ$37*'TUSD BF'!$AJ$63</f>
        <v>10.390448981872416</v>
      </c>
      <c r="AK37" s="32">
        <f ca="1">'TUSD BE'!$AK$37*'TUSD BF'!$AK$63</f>
        <v>0</v>
      </c>
      <c r="AL37" s="32">
        <f ca="1">SUM($AH$37:$AK$37)</f>
        <v>14.893717953046279</v>
      </c>
      <c r="AM37" s="32">
        <f ca="1">SUMIF($L$4:$AL$4,"SUBTOTAL",$L$37:$AL$37)</f>
        <v>17.477049927750389</v>
      </c>
      <c r="AO37" s="37">
        <f ca="1">+'TUSD BE'!$T$37+'TUSD BE'!$AB$37+'TUSD BE'!$AD$37+'TUSD BE'!$AL$37</f>
        <v>399.61108353544279</v>
      </c>
      <c r="AP37" s="37">
        <f ca="1">+'TUSD BE'!$T$37+'TUSD BE'!$AB$37+'TUSD BE'!$AD$37+'TUSD BE'!$AL$37</f>
        <v>399.61108353544279</v>
      </c>
    </row>
    <row r="38" spans="1:42" ht="11.25" customHeight="1" x14ac:dyDescent="0.25">
      <c r="A38" s="124"/>
      <c r="B38" s="35" t="s">
        <v>23</v>
      </c>
      <c r="C38" s="35" t="s">
        <v>47</v>
      </c>
      <c r="D38" s="35" t="s">
        <v>25</v>
      </c>
      <c r="E38" s="35" t="s">
        <v>25</v>
      </c>
      <c r="F38" s="35" t="s">
        <v>25</v>
      </c>
      <c r="G38" s="28" t="s">
        <v>92</v>
      </c>
      <c r="H38" s="28" t="s">
        <v>86</v>
      </c>
      <c r="I38" s="28">
        <f>'MERCADO TUSD'!$U$35</f>
        <v>64418.971000000005</v>
      </c>
      <c r="J38" s="18"/>
      <c r="L38" s="32">
        <f>'TUSD BE'!$L$38*'TUSD BF'!$L$63</f>
        <v>0</v>
      </c>
      <c r="M38" s="32">
        <f>'TUSD BE'!$M$38*'TUSD BF'!$M$63</f>
        <v>0</v>
      </c>
      <c r="N38" s="32">
        <f ca="1">'TUSD BE'!$N$38*'TUSD BF'!$N$63</f>
        <v>0</v>
      </c>
      <c r="O38" s="32">
        <f>'TUSD BE'!$O$38*'TUSD BF'!$O$63</f>
        <v>0</v>
      </c>
      <c r="P38" s="32">
        <f>'TUSD BE'!$P$38*'TUSD BF'!$P$63</f>
        <v>0</v>
      </c>
      <c r="Q38" s="32">
        <f>'TUSD BE'!$Q$38*'TUSD BF'!$Q$63</f>
        <v>-1.2956858829431717</v>
      </c>
      <c r="R38" s="32">
        <f>'TUSD BE'!$R$38*'TUSD BF'!$R$63</f>
        <v>0.74952600079857579</v>
      </c>
      <c r="S38" s="32">
        <f>'TUSD BE'!$R$38*'TUSD BF'!$S$63</f>
        <v>0</v>
      </c>
      <c r="T38" s="32">
        <f ca="1">SUM($L$38:$S$38)</f>
        <v>-0.54615988214459588</v>
      </c>
      <c r="U38" s="32">
        <f>'TUSD BE'!$U$38*'TUSD BF'!$U$63</f>
        <v>4.874934510281336</v>
      </c>
      <c r="V38" s="32">
        <f>'TUSD BE'!$V$38*'TUSD BF'!$V$63</f>
        <v>1.4890836923667364E-2</v>
      </c>
      <c r="W38" s="32">
        <f>'TUSD BE'!$W$38*'TUSD BF'!$W$63</f>
        <v>0</v>
      </c>
      <c r="X38" s="32">
        <f>'TUSD BE'!$X$38*'TUSD BF'!$X$63</f>
        <v>0</v>
      </c>
      <c r="Y38" s="32">
        <f>'TUSD BE'!$Y$38*'TUSD BF'!$Y$63</f>
        <v>0</v>
      </c>
      <c r="Z38" s="32">
        <f>'TUSD BE'!$Z$38*'TUSD BF'!$Z$63</f>
        <v>0</v>
      </c>
      <c r="AA38" s="32">
        <f>'TUSD BE'!$AA$38*'TUSD BF'!$AA$63</f>
        <v>0</v>
      </c>
      <c r="AB38" s="32">
        <f>SUM($U$38:$AA$38)</f>
        <v>4.8898253472050035</v>
      </c>
      <c r="AC38" s="32">
        <f>'TUSD BE'!$AC$38*'TUSD BF'!$AC$63</f>
        <v>0</v>
      </c>
      <c r="AD38" s="32">
        <f>SUM($AC$38:$AC$38)</f>
        <v>0</v>
      </c>
      <c r="AE38" s="32">
        <f ca="1">$AO$38*$AO$60</f>
        <v>0</v>
      </c>
      <c r="AF38" s="32">
        <f ca="1">$AP$38*$AP$60</f>
        <v>0</v>
      </c>
      <c r="AG38" s="32">
        <f ca="1">SUM($AE$38:$AF$38)</f>
        <v>0</v>
      </c>
      <c r="AH38" s="32">
        <f>'TUSD BE'!$AH$38*'TUSD BF'!$AH$63</f>
        <v>4.2007647260049206</v>
      </c>
      <c r="AI38" s="32">
        <f>'TUSD BE'!$AI$38*'TUSD BF'!$AI$63</f>
        <v>0.30250424516894309</v>
      </c>
      <c r="AJ38" s="32">
        <f ca="1">'TUSD BE'!$AJ$38*'TUSD BF'!$AJ$63</f>
        <v>10.390448981872416</v>
      </c>
      <c r="AK38" s="32">
        <f ca="1">'TUSD BE'!$AK$38*'TUSD BF'!$AK$63</f>
        <v>0</v>
      </c>
      <c r="AL38" s="32">
        <f ca="1">SUM($AH$38:$AK$38)</f>
        <v>14.893717953046279</v>
      </c>
      <c r="AM38" s="32">
        <f ca="1">SUMIF($L$4:$AL$4,"SUBTOTAL",$L$38:$AL$38)</f>
        <v>19.237383418106688</v>
      </c>
      <c r="AO38" s="37">
        <f ca="1">+'TUSD BE'!$T$38+'TUSD BE'!$AB$38+'TUSD BE'!$AD$38+'TUSD BE'!$AL$38</f>
        <v>496.55049493364771</v>
      </c>
      <c r="AP38" s="37">
        <f ca="1">+'TUSD BE'!$T$38+'TUSD BE'!$AB$38+'TUSD BE'!$AD$38+'TUSD BE'!$AL$38</f>
        <v>496.55049493364771</v>
      </c>
    </row>
    <row r="39" spans="1:42" ht="11.25" customHeight="1" x14ac:dyDescent="0.25">
      <c r="A39" s="124"/>
      <c r="B39" s="124" t="s">
        <v>39</v>
      </c>
      <c r="C39" s="124" t="s">
        <v>47</v>
      </c>
      <c r="D39" s="124" t="s">
        <v>101</v>
      </c>
      <c r="E39" s="124" t="s">
        <v>25</v>
      </c>
      <c r="F39" s="124" t="s">
        <v>25</v>
      </c>
      <c r="G39" s="28" t="s">
        <v>87</v>
      </c>
      <c r="H39" s="28" t="s">
        <v>86</v>
      </c>
      <c r="I39" s="28">
        <f>'MERCADO TUSD'!$U$36</f>
        <v>0</v>
      </c>
      <c r="J39" s="18"/>
      <c r="L39" s="32">
        <f>'TUSD BE'!$L$39*'TUSD BF'!$L$63</f>
        <v>0</v>
      </c>
      <c r="M39" s="32">
        <f>'TUSD BE'!$M$39*'TUSD BF'!$M$63</f>
        <v>0</v>
      </c>
      <c r="N39" s="32">
        <f ca="1">'TUSD BE'!$N$39*'TUSD BF'!$N$63</f>
        <v>0</v>
      </c>
      <c r="O39" s="32">
        <f>'TUSD BE'!$O$39*'TUSD BF'!$O$63</f>
        <v>0</v>
      </c>
      <c r="P39" s="32">
        <f>'TUSD BE'!$P$39*'TUSD BF'!$P$63</f>
        <v>0</v>
      </c>
      <c r="Q39" s="32">
        <f>'TUSD BE'!$Q$39*'TUSD BF'!$Q$63</f>
        <v>-1.2956858829431717</v>
      </c>
      <c r="R39" s="32">
        <f>'TUSD BE'!$R$39*'TUSD BF'!$R$63</f>
        <v>0.74952600079857579</v>
      </c>
      <c r="S39" s="32">
        <f>'TUSD BE'!$R$39*'TUSD BF'!$S$63</f>
        <v>0</v>
      </c>
      <c r="T39" s="32">
        <f ca="1">SUM($L$39:$S$39)</f>
        <v>-0.54615988214459588</v>
      </c>
      <c r="U39" s="32">
        <f>'TUSD BE'!$U$39*'TUSD BF'!$U$63</f>
        <v>15.599795535566795</v>
      </c>
      <c r="V39" s="32">
        <f>'TUSD BE'!$V$39*'TUSD BF'!$V$63</f>
        <v>4.765099201044995E-2</v>
      </c>
      <c r="W39" s="32">
        <f>'TUSD BE'!$W$39*'TUSD BF'!$W$63</f>
        <v>0</v>
      </c>
      <c r="X39" s="32">
        <f>'TUSD BE'!$X$39*'TUSD BF'!$X$63</f>
        <v>0</v>
      </c>
      <c r="Y39" s="32">
        <f>'TUSD BE'!$Y$39*'TUSD BF'!$Y$63</f>
        <v>0</v>
      </c>
      <c r="Z39" s="32">
        <f>'TUSD BE'!$Z$39*'TUSD BF'!$Z$63</f>
        <v>0</v>
      </c>
      <c r="AA39" s="32">
        <f>'TUSD BE'!$AA$39*'TUSD BF'!$AA$63</f>
        <v>0</v>
      </c>
      <c r="AB39" s="32">
        <f>SUM($U$39:$AA$39)</f>
        <v>15.647446527577245</v>
      </c>
      <c r="AC39" s="32">
        <f>'TUSD BE'!$AC$39*'TUSD BF'!$AC$63</f>
        <v>0</v>
      </c>
      <c r="AD39" s="32">
        <f>SUM($AC$39:$AC$39)</f>
        <v>0</v>
      </c>
      <c r="AE39" s="32">
        <f ca="1">$AO$39*$AO$60</f>
        <v>0</v>
      </c>
      <c r="AF39" s="32">
        <f ca="1">$AP$39*$AP$60</f>
        <v>0</v>
      </c>
      <c r="AG39" s="32">
        <f ca="1">SUM($AE$39:$AF$39)</f>
        <v>0</v>
      </c>
      <c r="AH39" s="32">
        <f>'TUSD BE'!$AH$39*'TUSD BF'!$AH$63</f>
        <v>4.2007647260049206</v>
      </c>
      <c r="AI39" s="32">
        <f>'TUSD BE'!$AI$39*'TUSD BF'!$AI$63</f>
        <v>0.30250424516894309</v>
      </c>
      <c r="AJ39" s="32">
        <f ca="1">'TUSD BE'!$AJ$39*'TUSD BF'!$AJ$63</f>
        <v>10.390448981872416</v>
      </c>
      <c r="AK39" s="32">
        <f ca="1">'TUSD BE'!$AK$39*'TUSD BF'!$AK$63</f>
        <v>0</v>
      </c>
      <c r="AL39" s="32">
        <f ca="1">SUM($AH$39:$AK$39)</f>
        <v>14.893717953046279</v>
      </c>
      <c r="AM39" s="32">
        <f ca="1">SUMIF($L$4:$AL$4,"SUBTOTAL",$L$39:$AL$39)</f>
        <v>29.995004598478928</v>
      </c>
      <c r="AO39" s="37">
        <f ca="1">+'TUSD BE'!$T$39+'TUSD BE'!$AB$39+'TUSD BE'!$AD$39+'TUSD BE'!$AL$39</f>
        <v>1088.9583883463249</v>
      </c>
      <c r="AP39" s="37">
        <f ca="1">+'TUSD BE'!$T$39+'TUSD BE'!$AB$39+'TUSD BE'!$AD$39+'TUSD BE'!$AL$39</f>
        <v>1088.9583883463249</v>
      </c>
    </row>
    <row r="40" spans="1:42" ht="11.25" customHeight="1" x14ac:dyDescent="0.25">
      <c r="A40" s="124"/>
      <c r="B40" s="124"/>
      <c r="C40" s="124"/>
      <c r="D40" s="124"/>
      <c r="E40" s="124"/>
      <c r="F40" s="124"/>
      <c r="G40" s="28" t="s">
        <v>98</v>
      </c>
      <c r="H40" s="28" t="s">
        <v>86</v>
      </c>
      <c r="I40" s="28">
        <f>'MERCADO TUSD'!$U$37</f>
        <v>0</v>
      </c>
      <c r="J40" s="18"/>
      <c r="L40" s="32">
        <f>'TUSD BE'!$L$40*'TUSD BF'!$L$63</f>
        <v>0</v>
      </c>
      <c r="M40" s="32">
        <f>'TUSD BE'!$M$40*'TUSD BF'!$M$63</f>
        <v>0</v>
      </c>
      <c r="N40" s="32">
        <f ca="1">'TUSD BE'!$N$40*'TUSD BF'!$N$63</f>
        <v>0</v>
      </c>
      <c r="O40" s="32">
        <f>'TUSD BE'!$O$40*'TUSD BF'!$O$63</f>
        <v>0</v>
      </c>
      <c r="P40" s="32">
        <f>'TUSD BE'!$P$40*'TUSD BF'!$P$63</f>
        <v>0</v>
      </c>
      <c r="Q40" s="32">
        <f>'TUSD BE'!$Q$40*'TUSD BF'!$Q$63</f>
        <v>-1.2956858829431717</v>
      </c>
      <c r="R40" s="32">
        <f>'TUSD BE'!$R$40*'TUSD BF'!$R$63</f>
        <v>0.74952600079857579</v>
      </c>
      <c r="S40" s="32">
        <f>'TUSD BE'!$R$40*'TUSD BF'!$S$63</f>
        <v>0</v>
      </c>
      <c r="T40" s="32">
        <f ca="1">SUM($L$40:$S$40)</f>
        <v>-0.54615988214459588</v>
      </c>
      <c r="U40" s="32">
        <f>'TUSD BE'!$U$40*'TUSD BF'!$U$63</f>
        <v>9.3598722186735603</v>
      </c>
      <c r="V40" s="32">
        <f>'TUSD BE'!$V$40*'TUSD BF'!$V$63</f>
        <v>2.859059520626997E-2</v>
      </c>
      <c r="W40" s="32">
        <f>'TUSD BE'!$W$40*'TUSD BF'!$W$63</f>
        <v>0</v>
      </c>
      <c r="X40" s="32">
        <f>'TUSD BE'!$X$40*'TUSD BF'!$X$63</f>
        <v>0</v>
      </c>
      <c r="Y40" s="32">
        <f>'TUSD BE'!$Y$40*'TUSD BF'!$Y$63</f>
        <v>0</v>
      </c>
      <c r="Z40" s="32">
        <f>'TUSD BE'!$Z$40*'TUSD BF'!$Z$63</f>
        <v>0</v>
      </c>
      <c r="AA40" s="32">
        <f>'TUSD BE'!$AA$40*'TUSD BF'!$AA$63</f>
        <v>0</v>
      </c>
      <c r="AB40" s="32">
        <f>SUM($U$40:$AA$40)</f>
        <v>9.3884628138798298</v>
      </c>
      <c r="AC40" s="32">
        <f>'TUSD BE'!$AC$40*'TUSD BF'!$AC$63</f>
        <v>0</v>
      </c>
      <c r="AD40" s="32">
        <f>SUM($AC$40:$AC$40)</f>
        <v>0</v>
      </c>
      <c r="AE40" s="32">
        <f ca="1">$AO$40*$AO$60</f>
        <v>0</v>
      </c>
      <c r="AF40" s="32">
        <f ca="1">$AP$40*$AP$60</f>
        <v>0</v>
      </c>
      <c r="AG40" s="32">
        <f ca="1">SUM($AE$40:$AF$40)</f>
        <v>0</v>
      </c>
      <c r="AH40" s="32">
        <f>'TUSD BE'!$AH$40*'TUSD BF'!$AH$63</f>
        <v>4.2007647260049206</v>
      </c>
      <c r="AI40" s="32">
        <f>'TUSD BE'!$AI$40*'TUSD BF'!$AI$63</f>
        <v>0.30250424516894309</v>
      </c>
      <c r="AJ40" s="32">
        <f ca="1">'TUSD BE'!$AJ$40*'TUSD BF'!$AJ$63</f>
        <v>10.390448981872416</v>
      </c>
      <c r="AK40" s="32">
        <f ca="1">'TUSD BE'!$AK$40*'TUSD BF'!$AK$63</f>
        <v>0</v>
      </c>
      <c r="AL40" s="32">
        <f ca="1">SUM($AH$40:$AK$40)</f>
        <v>14.893717953046279</v>
      </c>
      <c r="AM40" s="32">
        <f ca="1">SUMIF($L$4:$AL$4,"SUBTOTAL",$L$40:$AL$40)</f>
        <v>23.73602088478151</v>
      </c>
      <c r="AO40" s="37">
        <f ca="1">+'TUSD BE'!$T$40+'TUSD BE'!$AB$40+'TUSD BE'!$AD$40+'TUSD BE'!$AL$40</f>
        <v>744.28468843161818</v>
      </c>
      <c r="AP40" s="37">
        <f ca="1">+'TUSD BE'!$T$40+'TUSD BE'!$AB$40+'TUSD BE'!$AD$40+'TUSD BE'!$AL$40</f>
        <v>744.28468843161818</v>
      </c>
    </row>
    <row r="41" spans="1:42" ht="11.25" customHeight="1" x14ac:dyDescent="0.25">
      <c r="A41" s="124"/>
      <c r="B41" s="124"/>
      <c r="C41" s="124"/>
      <c r="D41" s="124"/>
      <c r="E41" s="124"/>
      <c r="F41" s="124"/>
      <c r="G41" s="28" t="s">
        <v>88</v>
      </c>
      <c r="H41" s="28" t="s">
        <v>86</v>
      </c>
      <c r="I41" s="28">
        <f>'MERCADO TUSD'!$U$38</f>
        <v>0</v>
      </c>
      <c r="J41" s="18"/>
      <c r="L41" s="32">
        <f>'TUSD BE'!$L$41*'TUSD BF'!$L$63</f>
        <v>0</v>
      </c>
      <c r="M41" s="32">
        <f>'TUSD BE'!$M$41*'TUSD BF'!$M$63</f>
        <v>0</v>
      </c>
      <c r="N41" s="32">
        <f ca="1">'TUSD BE'!$N$41*'TUSD BF'!$N$63</f>
        <v>0</v>
      </c>
      <c r="O41" s="32">
        <f>'TUSD BE'!$O$41*'TUSD BF'!$O$63</f>
        <v>0</v>
      </c>
      <c r="P41" s="32">
        <f>'TUSD BE'!$P$41*'TUSD BF'!$P$63</f>
        <v>0</v>
      </c>
      <c r="Q41" s="32">
        <f>'TUSD BE'!$Q$41*'TUSD BF'!$Q$63</f>
        <v>-1.2956858829431717</v>
      </c>
      <c r="R41" s="32">
        <f>'TUSD BE'!$R$41*'TUSD BF'!$R$63</f>
        <v>0.74952600079857579</v>
      </c>
      <c r="S41" s="32">
        <f>'TUSD BE'!$R$41*'TUSD BF'!$S$63</f>
        <v>0</v>
      </c>
      <c r="T41" s="32">
        <f ca="1">SUM($L$41:$S$41)</f>
        <v>-0.54615988214459588</v>
      </c>
      <c r="U41" s="32">
        <f>'TUSD BE'!$U$41*'TUSD BF'!$U$63</f>
        <v>3.1199616584466172</v>
      </c>
      <c r="V41" s="32">
        <f>'TUSD BE'!$V$41*'TUSD BF'!$V$63</f>
        <v>9.5301984020899899E-3</v>
      </c>
      <c r="W41" s="32">
        <f>'TUSD BE'!$W$41*'TUSD BF'!$W$63</f>
        <v>0</v>
      </c>
      <c r="X41" s="32">
        <f>'TUSD BE'!$X$41*'TUSD BF'!$X$63</f>
        <v>0</v>
      </c>
      <c r="Y41" s="32">
        <f>'TUSD BE'!$Y$41*'TUSD BF'!$Y$63</f>
        <v>0</v>
      </c>
      <c r="Z41" s="32">
        <f>'TUSD BE'!$Z$41*'TUSD BF'!$Z$63</f>
        <v>0</v>
      </c>
      <c r="AA41" s="32">
        <f>'TUSD BE'!$AA$41*'TUSD BF'!$AA$63</f>
        <v>0</v>
      </c>
      <c r="AB41" s="32">
        <f>SUM($U$41:$AA$41)</f>
        <v>3.1294918568487073</v>
      </c>
      <c r="AC41" s="32">
        <f>'TUSD BE'!$AC$41*'TUSD BF'!$AC$63</f>
        <v>0</v>
      </c>
      <c r="AD41" s="32">
        <f>SUM($AC$41:$AC$41)</f>
        <v>0</v>
      </c>
      <c r="AE41" s="32">
        <f ca="1">$AO$41*$AO$60</f>
        <v>0</v>
      </c>
      <c r="AF41" s="32">
        <f ca="1">$AP$41*$AP$60</f>
        <v>0</v>
      </c>
      <c r="AG41" s="32">
        <f ca="1">SUM($AE$41:$AF$41)</f>
        <v>0</v>
      </c>
      <c r="AH41" s="32">
        <f>'TUSD BE'!$AH$41*'TUSD BF'!$AH$63</f>
        <v>4.2007647260049206</v>
      </c>
      <c r="AI41" s="32">
        <f>'TUSD BE'!$AI$41*'TUSD BF'!$AI$63</f>
        <v>0.30250424516894309</v>
      </c>
      <c r="AJ41" s="32">
        <f ca="1">'TUSD BE'!$AJ$41*'TUSD BF'!$AJ$63</f>
        <v>10.390448981872416</v>
      </c>
      <c r="AK41" s="32">
        <f ca="1">'TUSD BE'!$AK$41*'TUSD BF'!$AK$63</f>
        <v>0</v>
      </c>
      <c r="AL41" s="32">
        <f ca="1">SUM($AH$41:$AK$41)</f>
        <v>14.893717953046279</v>
      </c>
      <c r="AM41" s="32">
        <f ca="1">SUMIF($L$4:$AL$4,"SUBTOTAL",$L$41:$AL$41)</f>
        <v>17.477049927750389</v>
      </c>
      <c r="AO41" s="37">
        <f ca="1">+'TUSD BE'!$T$41+'TUSD BE'!$AB$41+'TUSD BE'!$AD$41+'TUSD BE'!$AL$41</f>
        <v>399.61108353544279</v>
      </c>
      <c r="AP41" s="37">
        <f ca="1">+'TUSD BE'!$T$41+'TUSD BE'!$AB$41+'TUSD BE'!$AD$41+'TUSD BE'!$AL$41</f>
        <v>399.61108353544279</v>
      </c>
    </row>
    <row r="42" spans="1:42" ht="11.25" customHeight="1" x14ac:dyDescent="0.25">
      <c r="A42" s="124"/>
      <c r="B42" s="35" t="s">
        <v>23</v>
      </c>
      <c r="C42" s="35" t="s">
        <v>47</v>
      </c>
      <c r="D42" s="35" t="s">
        <v>101</v>
      </c>
      <c r="E42" s="35" t="s">
        <v>25</v>
      </c>
      <c r="F42" s="35" t="s">
        <v>25</v>
      </c>
      <c r="G42" s="28" t="s">
        <v>92</v>
      </c>
      <c r="H42" s="28" t="s">
        <v>86</v>
      </c>
      <c r="I42" s="28">
        <f>'MERCADO TUSD'!$U$39</f>
        <v>0</v>
      </c>
      <c r="J42" s="18"/>
      <c r="L42" s="32">
        <f>'TUSD BE'!$L$42*'TUSD BF'!$L$63</f>
        <v>0</v>
      </c>
      <c r="M42" s="32">
        <f>'TUSD BE'!$M$42*'TUSD BF'!$M$63</f>
        <v>0</v>
      </c>
      <c r="N42" s="32">
        <f ca="1">'TUSD BE'!$N$42*'TUSD BF'!$N$63</f>
        <v>0</v>
      </c>
      <c r="O42" s="32">
        <f>'TUSD BE'!$O$42*'TUSD BF'!$O$63</f>
        <v>0</v>
      </c>
      <c r="P42" s="32">
        <f>'TUSD BE'!$P$42*'TUSD BF'!$P$63</f>
        <v>0</v>
      </c>
      <c r="Q42" s="32">
        <f>'TUSD BE'!$Q$42*'TUSD BF'!$Q$63</f>
        <v>-1.2956858829431717</v>
      </c>
      <c r="R42" s="32">
        <f>'TUSD BE'!$R$42*'TUSD BF'!$R$63</f>
        <v>0.74952600079857579</v>
      </c>
      <c r="S42" s="32">
        <f>'TUSD BE'!$R$42*'TUSD BF'!$S$63</f>
        <v>0</v>
      </c>
      <c r="T42" s="32">
        <f ca="1">SUM($L$42:$S$42)</f>
        <v>-0.54615988214459588</v>
      </c>
      <c r="U42" s="32">
        <f>'TUSD BE'!$U$42*'TUSD BF'!$U$63</f>
        <v>4.874934510281336</v>
      </c>
      <c r="V42" s="32">
        <f>'TUSD BE'!$V$42*'TUSD BF'!$V$63</f>
        <v>1.4890836923667364E-2</v>
      </c>
      <c r="W42" s="32">
        <f>'TUSD BE'!$W$42*'TUSD BF'!$W$63</f>
        <v>0</v>
      </c>
      <c r="X42" s="32">
        <f>'TUSD BE'!$X$42*'TUSD BF'!$X$63</f>
        <v>0</v>
      </c>
      <c r="Y42" s="32">
        <f>'TUSD BE'!$Y$42*'TUSD BF'!$Y$63</f>
        <v>0</v>
      </c>
      <c r="Z42" s="32">
        <f>'TUSD BE'!$Z$42*'TUSD BF'!$Z$63</f>
        <v>0</v>
      </c>
      <c r="AA42" s="32">
        <f>'TUSD BE'!$AA$42*'TUSD BF'!$AA$63</f>
        <v>0</v>
      </c>
      <c r="AB42" s="32">
        <f>SUM($U$42:$AA$42)</f>
        <v>4.8898253472050035</v>
      </c>
      <c r="AC42" s="32">
        <f>'TUSD BE'!$AC$42*'TUSD BF'!$AC$63</f>
        <v>0</v>
      </c>
      <c r="AD42" s="32">
        <f>SUM($AC$42:$AC$42)</f>
        <v>0</v>
      </c>
      <c r="AE42" s="32">
        <f ca="1">$AO$42*$AO$60</f>
        <v>0</v>
      </c>
      <c r="AF42" s="32">
        <f ca="1">$AP$42*$AP$60</f>
        <v>0</v>
      </c>
      <c r="AG42" s="32">
        <f ca="1">SUM($AE$42:$AF$42)</f>
        <v>0</v>
      </c>
      <c r="AH42" s="32">
        <f>'TUSD BE'!$AH$42*'TUSD BF'!$AH$63</f>
        <v>4.2007647260049206</v>
      </c>
      <c r="AI42" s="32">
        <f>'TUSD BE'!$AI$42*'TUSD BF'!$AI$63</f>
        <v>0.30250424516894309</v>
      </c>
      <c r="AJ42" s="32">
        <f ca="1">'TUSD BE'!$AJ$42*'TUSD BF'!$AJ$63</f>
        <v>10.390448981872416</v>
      </c>
      <c r="AK42" s="32">
        <f ca="1">'TUSD BE'!$AK$42*'TUSD BF'!$AK$63</f>
        <v>0</v>
      </c>
      <c r="AL42" s="32">
        <f ca="1">SUM($AH$42:$AK$42)</f>
        <v>14.893717953046279</v>
      </c>
      <c r="AM42" s="32">
        <f ca="1">SUMIF($L$4:$AL$4,"SUBTOTAL",$L$42:$AL$42)</f>
        <v>19.237383418106688</v>
      </c>
      <c r="AO42" s="37">
        <f ca="1">+'TUSD BE'!$T$42+'TUSD BE'!$AB$42+'TUSD BE'!$AD$42+'TUSD BE'!$AL$42</f>
        <v>496.55049493364771</v>
      </c>
      <c r="AP42" s="37">
        <f ca="1">+'TUSD BE'!$T$42+'TUSD BE'!$AB$42+'TUSD BE'!$AD$42+'TUSD BE'!$AL$42</f>
        <v>496.55049493364771</v>
      </c>
    </row>
    <row r="43" spans="1:42" ht="11.25" customHeight="1" x14ac:dyDescent="0.25">
      <c r="A43" s="124"/>
      <c r="B43" s="124" t="s">
        <v>39</v>
      </c>
      <c r="C43" s="124" t="s">
        <v>47</v>
      </c>
      <c r="D43" s="124" t="s">
        <v>55</v>
      </c>
      <c r="E43" s="124" t="s">
        <v>25</v>
      </c>
      <c r="F43" s="124" t="s">
        <v>25</v>
      </c>
      <c r="G43" s="28" t="s">
        <v>87</v>
      </c>
      <c r="H43" s="28" t="s">
        <v>86</v>
      </c>
      <c r="I43" s="28">
        <f>'MERCADO TUSD'!$U$40</f>
        <v>0</v>
      </c>
      <c r="J43" s="18"/>
      <c r="L43" s="32">
        <f>'TUSD BE'!$L$43*'TUSD BF'!$L$63</f>
        <v>0</v>
      </c>
      <c r="M43" s="32">
        <f>'TUSD BE'!$M$43*'TUSD BF'!$M$63</f>
        <v>0</v>
      </c>
      <c r="N43" s="32">
        <f ca="1">'TUSD BE'!$N$43*'TUSD BF'!$N$63</f>
        <v>0</v>
      </c>
      <c r="O43" s="32">
        <f>'TUSD BE'!$O$43*'TUSD BF'!$O$63</f>
        <v>0</v>
      </c>
      <c r="P43" s="32">
        <f>'TUSD BE'!$P$43*'TUSD BF'!$P$63</f>
        <v>0</v>
      </c>
      <c r="Q43" s="32">
        <f>'TUSD BE'!$Q$43*'TUSD BF'!$Q$63</f>
        <v>-1.2956858829431717</v>
      </c>
      <c r="R43" s="32">
        <f>'TUSD BE'!$R$43*'TUSD BF'!$R$63</f>
        <v>0.74952600079857579</v>
      </c>
      <c r="S43" s="32">
        <f>'TUSD BE'!$R$43*'TUSD BF'!$S$63</f>
        <v>0</v>
      </c>
      <c r="T43" s="32">
        <f ca="1">SUM($L$43:$S$43)</f>
        <v>-0.54615988214459588</v>
      </c>
      <c r="U43" s="32">
        <f>'TUSD BE'!$U$43*'TUSD BF'!$U$63</f>
        <v>15.599795535566795</v>
      </c>
      <c r="V43" s="32">
        <f>'TUSD BE'!$V$43*'TUSD BF'!$V$63</f>
        <v>4.765099201044995E-2</v>
      </c>
      <c r="W43" s="32">
        <f>'TUSD BE'!$W$43*'TUSD BF'!$W$63</f>
        <v>0</v>
      </c>
      <c r="X43" s="32">
        <f>'TUSD BE'!$X$43*'TUSD BF'!$X$63</f>
        <v>0</v>
      </c>
      <c r="Y43" s="32">
        <f>'TUSD BE'!$Y$43*'TUSD BF'!$Y$63</f>
        <v>0</v>
      </c>
      <c r="Z43" s="32">
        <f>'TUSD BE'!$Z$43*'TUSD BF'!$Z$63</f>
        <v>0</v>
      </c>
      <c r="AA43" s="32">
        <f>'TUSD BE'!$AA$43*'TUSD BF'!$AA$63</f>
        <v>0</v>
      </c>
      <c r="AB43" s="32">
        <f>SUM($U$43:$AA$43)</f>
        <v>15.647446527577245</v>
      </c>
      <c r="AC43" s="32">
        <f>'TUSD BE'!$AC$43*'TUSD BF'!$AC$63</f>
        <v>0</v>
      </c>
      <c r="AD43" s="32">
        <f>SUM($AC$43:$AC$43)</f>
        <v>0</v>
      </c>
      <c r="AE43" s="32">
        <f ca="1">$AO$43*$AO$60</f>
        <v>0</v>
      </c>
      <c r="AF43" s="32">
        <f ca="1">$AP$43*$AP$60</f>
        <v>0</v>
      </c>
      <c r="AG43" s="32">
        <f ca="1">SUM($AE$43:$AF$43)</f>
        <v>0</v>
      </c>
      <c r="AH43" s="32">
        <f>'TUSD BE'!$AH$43*'TUSD BF'!$AH$63</f>
        <v>4.2007647260049206</v>
      </c>
      <c r="AI43" s="32">
        <f>'TUSD BE'!$AI$43*'TUSD BF'!$AI$63</f>
        <v>0.30250424516894309</v>
      </c>
      <c r="AJ43" s="32">
        <f ca="1">'TUSD BE'!$AJ$43*'TUSD BF'!$AJ$63</f>
        <v>10.390448981872416</v>
      </c>
      <c r="AK43" s="32">
        <f ca="1">'TUSD BE'!$AK$43*'TUSD BF'!$AK$63</f>
        <v>0</v>
      </c>
      <c r="AL43" s="32">
        <f ca="1">SUM($AH$43:$AK$43)</f>
        <v>14.893717953046279</v>
      </c>
      <c r="AM43" s="32">
        <f ca="1">SUMIF($L$4:$AL$4,"SUBTOTAL",$L$43:$AL$43)</f>
        <v>29.995004598478928</v>
      </c>
      <c r="AO43" s="37">
        <f ca="1">+'TUSD BE'!$T$43+'TUSD BE'!$AB$43+'TUSD BE'!$AD$43+'TUSD BE'!$AL$43</f>
        <v>1088.9583883463249</v>
      </c>
      <c r="AP43" s="37">
        <f ca="1">+'TUSD BE'!$T$43+'TUSD BE'!$AB$43+'TUSD BE'!$AD$43+'TUSD BE'!$AL$43</f>
        <v>1088.9583883463249</v>
      </c>
    </row>
    <row r="44" spans="1:42" ht="11.25" customHeight="1" x14ac:dyDescent="0.25">
      <c r="A44" s="124"/>
      <c r="B44" s="124"/>
      <c r="C44" s="124"/>
      <c r="D44" s="124"/>
      <c r="E44" s="124"/>
      <c r="F44" s="124"/>
      <c r="G44" s="28" t="s">
        <v>98</v>
      </c>
      <c r="H44" s="28" t="s">
        <v>86</v>
      </c>
      <c r="I44" s="28">
        <f>'MERCADO TUSD'!$U$41</f>
        <v>0</v>
      </c>
      <c r="J44" s="18"/>
      <c r="L44" s="32">
        <f>'TUSD BE'!$L$44*'TUSD BF'!$L$63</f>
        <v>0</v>
      </c>
      <c r="M44" s="32">
        <f>'TUSD BE'!$M$44*'TUSD BF'!$M$63</f>
        <v>0</v>
      </c>
      <c r="N44" s="32">
        <f ca="1">'TUSD BE'!$N$44*'TUSD BF'!$N$63</f>
        <v>0</v>
      </c>
      <c r="O44" s="32">
        <f>'TUSD BE'!$O$44*'TUSD BF'!$O$63</f>
        <v>0</v>
      </c>
      <c r="P44" s="32">
        <f>'TUSD BE'!$P$44*'TUSD BF'!$P$63</f>
        <v>0</v>
      </c>
      <c r="Q44" s="32">
        <f>'TUSD BE'!$Q$44*'TUSD BF'!$Q$63</f>
        <v>-1.2956858829431717</v>
      </c>
      <c r="R44" s="32">
        <f>'TUSD BE'!$R$44*'TUSD BF'!$R$63</f>
        <v>0.74952600079857579</v>
      </c>
      <c r="S44" s="32">
        <f>'TUSD BE'!$R$44*'TUSD BF'!$S$63</f>
        <v>0</v>
      </c>
      <c r="T44" s="32">
        <f ca="1">SUM($L$44:$S$44)</f>
        <v>-0.54615988214459588</v>
      </c>
      <c r="U44" s="32">
        <f>'TUSD BE'!$U$44*'TUSD BF'!$U$63</f>
        <v>9.3598722186735603</v>
      </c>
      <c r="V44" s="32">
        <f>'TUSD BE'!$V$44*'TUSD BF'!$V$63</f>
        <v>2.859059520626997E-2</v>
      </c>
      <c r="W44" s="32">
        <f>'TUSD BE'!$W$44*'TUSD BF'!$W$63</f>
        <v>0</v>
      </c>
      <c r="X44" s="32">
        <f>'TUSD BE'!$X$44*'TUSD BF'!$X$63</f>
        <v>0</v>
      </c>
      <c r="Y44" s="32">
        <f>'TUSD BE'!$Y$44*'TUSD BF'!$Y$63</f>
        <v>0</v>
      </c>
      <c r="Z44" s="32">
        <f>'TUSD BE'!$Z$44*'TUSD BF'!$Z$63</f>
        <v>0</v>
      </c>
      <c r="AA44" s="32">
        <f>'TUSD BE'!$AA$44*'TUSD BF'!$AA$63</f>
        <v>0</v>
      </c>
      <c r="AB44" s="32">
        <f>SUM($U$44:$AA$44)</f>
        <v>9.3884628138798298</v>
      </c>
      <c r="AC44" s="32">
        <f>'TUSD BE'!$AC$44*'TUSD BF'!$AC$63</f>
        <v>0</v>
      </c>
      <c r="AD44" s="32">
        <f>SUM($AC$44:$AC$44)</f>
        <v>0</v>
      </c>
      <c r="AE44" s="32">
        <f ca="1">$AO$44*$AO$60</f>
        <v>0</v>
      </c>
      <c r="AF44" s="32">
        <f ca="1">$AP$44*$AP$60</f>
        <v>0</v>
      </c>
      <c r="AG44" s="32">
        <f ca="1">SUM($AE$44:$AF$44)</f>
        <v>0</v>
      </c>
      <c r="AH44" s="32">
        <f>'TUSD BE'!$AH$44*'TUSD BF'!$AH$63</f>
        <v>4.2007647260049206</v>
      </c>
      <c r="AI44" s="32">
        <f>'TUSD BE'!$AI$44*'TUSD BF'!$AI$63</f>
        <v>0.30250424516894309</v>
      </c>
      <c r="AJ44" s="32">
        <f ca="1">'TUSD BE'!$AJ$44*'TUSD BF'!$AJ$63</f>
        <v>10.390448981872416</v>
      </c>
      <c r="AK44" s="32">
        <f ca="1">'TUSD BE'!$AK$44*'TUSD BF'!$AK$63</f>
        <v>0</v>
      </c>
      <c r="AL44" s="32">
        <f ca="1">SUM($AH$44:$AK$44)</f>
        <v>14.893717953046279</v>
      </c>
      <c r="AM44" s="32">
        <f ca="1">SUMIF($L$4:$AL$4,"SUBTOTAL",$L$44:$AL$44)</f>
        <v>23.73602088478151</v>
      </c>
      <c r="AO44" s="37">
        <f ca="1">+'TUSD BE'!$T$44+'TUSD BE'!$AB$44+'TUSD BE'!$AD$44+'TUSD BE'!$AL$44</f>
        <v>744.28468843161818</v>
      </c>
      <c r="AP44" s="37">
        <f ca="1">+'TUSD BE'!$T$44+'TUSD BE'!$AB$44+'TUSD BE'!$AD$44+'TUSD BE'!$AL$44</f>
        <v>744.28468843161818</v>
      </c>
    </row>
    <row r="45" spans="1:42" ht="11.25" customHeight="1" x14ac:dyDescent="0.25">
      <c r="A45" s="124"/>
      <c r="B45" s="124"/>
      <c r="C45" s="124"/>
      <c r="D45" s="124"/>
      <c r="E45" s="124"/>
      <c r="F45" s="124"/>
      <c r="G45" s="28" t="s">
        <v>88</v>
      </c>
      <c r="H45" s="28" t="s">
        <v>86</v>
      </c>
      <c r="I45" s="28">
        <f>'MERCADO TUSD'!$U$42</f>
        <v>0</v>
      </c>
      <c r="J45" s="18"/>
      <c r="L45" s="32">
        <f>'TUSD BE'!$L$45*'TUSD BF'!$L$63</f>
        <v>0</v>
      </c>
      <c r="M45" s="32">
        <f>'TUSD BE'!$M$45*'TUSD BF'!$M$63</f>
        <v>0</v>
      </c>
      <c r="N45" s="32">
        <f ca="1">'TUSD BE'!$N$45*'TUSD BF'!$N$63</f>
        <v>0</v>
      </c>
      <c r="O45" s="32">
        <f>'TUSD BE'!$O$45*'TUSD BF'!$O$63</f>
        <v>0</v>
      </c>
      <c r="P45" s="32">
        <f>'TUSD BE'!$P$45*'TUSD BF'!$P$63</f>
        <v>0</v>
      </c>
      <c r="Q45" s="32">
        <f>'TUSD BE'!$Q$45*'TUSD BF'!$Q$63</f>
        <v>-1.2956858829431717</v>
      </c>
      <c r="R45" s="32">
        <f>'TUSD BE'!$R$45*'TUSD BF'!$R$63</f>
        <v>0.74952600079857579</v>
      </c>
      <c r="S45" s="32">
        <f>'TUSD BE'!$R$45*'TUSD BF'!$S$63</f>
        <v>0</v>
      </c>
      <c r="T45" s="32">
        <f ca="1">SUM($L$45:$S$45)</f>
        <v>-0.54615988214459588</v>
      </c>
      <c r="U45" s="32">
        <f>'TUSD BE'!$U$45*'TUSD BF'!$U$63</f>
        <v>3.1199616584466172</v>
      </c>
      <c r="V45" s="32">
        <f>'TUSD BE'!$V$45*'TUSD BF'!$V$63</f>
        <v>9.5301984020899899E-3</v>
      </c>
      <c r="W45" s="32">
        <f>'TUSD BE'!$W$45*'TUSD BF'!$W$63</f>
        <v>0</v>
      </c>
      <c r="X45" s="32">
        <f>'TUSD BE'!$X$45*'TUSD BF'!$X$63</f>
        <v>0</v>
      </c>
      <c r="Y45" s="32">
        <f>'TUSD BE'!$Y$45*'TUSD BF'!$Y$63</f>
        <v>0</v>
      </c>
      <c r="Z45" s="32">
        <f>'TUSD BE'!$Z$45*'TUSD BF'!$Z$63</f>
        <v>0</v>
      </c>
      <c r="AA45" s="32">
        <f>'TUSD BE'!$AA$45*'TUSD BF'!$AA$63</f>
        <v>0</v>
      </c>
      <c r="AB45" s="32">
        <f>SUM($U$45:$AA$45)</f>
        <v>3.1294918568487073</v>
      </c>
      <c r="AC45" s="32">
        <f>'TUSD BE'!$AC$45*'TUSD BF'!$AC$63</f>
        <v>0</v>
      </c>
      <c r="AD45" s="32">
        <f>SUM($AC$45:$AC$45)</f>
        <v>0</v>
      </c>
      <c r="AE45" s="32">
        <f ca="1">$AO$45*$AO$60</f>
        <v>0</v>
      </c>
      <c r="AF45" s="32">
        <f ca="1">$AP$45*$AP$60</f>
        <v>0</v>
      </c>
      <c r="AG45" s="32">
        <f ca="1">SUM($AE$45:$AF$45)</f>
        <v>0</v>
      </c>
      <c r="AH45" s="32">
        <f>'TUSD BE'!$AH$45*'TUSD BF'!$AH$63</f>
        <v>4.2007647260049206</v>
      </c>
      <c r="AI45" s="32">
        <f>'TUSD BE'!$AI$45*'TUSD BF'!$AI$63</f>
        <v>0.30250424516894309</v>
      </c>
      <c r="AJ45" s="32">
        <f ca="1">'TUSD BE'!$AJ$45*'TUSD BF'!$AJ$63</f>
        <v>10.390448981872416</v>
      </c>
      <c r="AK45" s="32">
        <f ca="1">'TUSD BE'!$AK$45*'TUSD BF'!$AK$63</f>
        <v>0</v>
      </c>
      <c r="AL45" s="32">
        <f ca="1">SUM($AH$45:$AK$45)</f>
        <v>14.893717953046279</v>
      </c>
      <c r="AM45" s="32">
        <f ca="1">SUMIF($L$4:$AL$4,"SUBTOTAL",$L$45:$AL$45)</f>
        <v>17.477049927750389</v>
      </c>
      <c r="AO45" s="37">
        <f ca="1">+'TUSD BE'!$T$45+'TUSD BE'!$AB$45+'TUSD BE'!$AD$45+'TUSD BE'!$AL$45</f>
        <v>399.61108353544279</v>
      </c>
      <c r="AP45" s="37">
        <f ca="1">+'TUSD BE'!$T$45+'TUSD BE'!$AB$45+'TUSD BE'!$AD$45+'TUSD BE'!$AL$45</f>
        <v>399.61108353544279</v>
      </c>
    </row>
    <row r="46" spans="1:42" ht="11.25" customHeight="1" x14ac:dyDescent="0.25">
      <c r="A46" s="124"/>
      <c r="B46" s="35" t="s">
        <v>23</v>
      </c>
      <c r="C46" s="35" t="s">
        <v>47</v>
      </c>
      <c r="D46" s="35" t="s">
        <v>55</v>
      </c>
      <c r="E46" s="35" t="s">
        <v>25</v>
      </c>
      <c r="F46" s="35" t="s">
        <v>25</v>
      </c>
      <c r="G46" s="28" t="s">
        <v>92</v>
      </c>
      <c r="H46" s="28" t="s">
        <v>86</v>
      </c>
      <c r="I46" s="28">
        <f>'MERCADO TUSD'!$U$43</f>
        <v>26.512</v>
      </c>
      <c r="J46" s="18"/>
      <c r="L46" s="32">
        <f>'TUSD BE'!$L$46*'TUSD BF'!$L$63</f>
        <v>0</v>
      </c>
      <c r="M46" s="32">
        <f>'TUSD BE'!$M$46*'TUSD BF'!$M$63</f>
        <v>0</v>
      </c>
      <c r="N46" s="32">
        <f ca="1">'TUSD BE'!$N$46*'TUSD BF'!$N$63</f>
        <v>0</v>
      </c>
      <c r="O46" s="32">
        <f>'TUSD BE'!$O$46*'TUSD BF'!$O$63</f>
        <v>0</v>
      </c>
      <c r="P46" s="32">
        <f>'TUSD BE'!$P$46*'TUSD BF'!$P$63</f>
        <v>0</v>
      </c>
      <c r="Q46" s="32">
        <f>'TUSD BE'!$Q$46*'TUSD BF'!$Q$63</f>
        <v>-1.2956858829431717</v>
      </c>
      <c r="R46" s="32">
        <f>'TUSD BE'!$R$46*'TUSD BF'!$R$63</f>
        <v>0.74952600079857579</v>
      </c>
      <c r="S46" s="32">
        <f>'TUSD BE'!$R$46*'TUSD BF'!$S$63</f>
        <v>0</v>
      </c>
      <c r="T46" s="32">
        <f ca="1">SUM($L$46:$S$46)</f>
        <v>-0.54615988214459588</v>
      </c>
      <c r="U46" s="32">
        <f>'TUSD BE'!$U$46*'TUSD BF'!$U$63</f>
        <v>4.874934510281336</v>
      </c>
      <c r="V46" s="32">
        <f>'TUSD BE'!$V$46*'TUSD BF'!$V$63</f>
        <v>1.4890836923667364E-2</v>
      </c>
      <c r="W46" s="32">
        <f>'TUSD BE'!$W$46*'TUSD BF'!$W$63</f>
        <v>0</v>
      </c>
      <c r="X46" s="32">
        <f>'TUSD BE'!$X$46*'TUSD BF'!$X$63</f>
        <v>0</v>
      </c>
      <c r="Y46" s="32">
        <f>'TUSD BE'!$Y$46*'TUSD BF'!$Y$63</f>
        <v>0</v>
      </c>
      <c r="Z46" s="32">
        <f>'TUSD BE'!$Z$46*'TUSD BF'!$Z$63</f>
        <v>0</v>
      </c>
      <c r="AA46" s="32">
        <f>'TUSD BE'!$AA$46*'TUSD BF'!$AA$63</f>
        <v>0</v>
      </c>
      <c r="AB46" s="32">
        <f>SUM($U$46:$AA$46)</f>
        <v>4.8898253472050035</v>
      </c>
      <c r="AC46" s="32">
        <f>'TUSD BE'!$AC$46*'TUSD BF'!$AC$63</f>
        <v>0</v>
      </c>
      <c r="AD46" s="32">
        <f>SUM($AC$46:$AC$46)</f>
        <v>0</v>
      </c>
      <c r="AE46" s="32">
        <f ca="1">$AO$46*$AO$60</f>
        <v>0</v>
      </c>
      <c r="AF46" s="32">
        <f ca="1">$AP$46*$AP$60</f>
        <v>0</v>
      </c>
      <c r="AG46" s="32">
        <f ca="1">SUM($AE$46:$AF$46)</f>
        <v>0</v>
      </c>
      <c r="AH46" s="32">
        <f>'TUSD BE'!$AH$46*'TUSD BF'!$AH$63</f>
        <v>4.2007647260049206</v>
      </c>
      <c r="AI46" s="32">
        <f>'TUSD BE'!$AI$46*'TUSD BF'!$AI$63</f>
        <v>0.30250424516894309</v>
      </c>
      <c r="AJ46" s="32">
        <f ca="1">'TUSD BE'!$AJ$46*'TUSD BF'!$AJ$63</f>
        <v>10.390448981872416</v>
      </c>
      <c r="AK46" s="32">
        <f ca="1">'TUSD BE'!$AK$46*'TUSD BF'!$AK$63</f>
        <v>0</v>
      </c>
      <c r="AL46" s="32">
        <f ca="1">SUM($AH$46:$AK$46)</f>
        <v>14.893717953046279</v>
      </c>
      <c r="AM46" s="32">
        <f ca="1">SUMIF($L$4:$AL$4,"SUBTOTAL",$L$46:$AL$46)</f>
        <v>19.237383418106688</v>
      </c>
      <c r="AO46" s="37">
        <f ca="1">+'TUSD BE'!$T$46+'TUSD BE'!$AB$46+'TUSD BE'!$AD$46+'TUSD BE'!$AL$46</f>
        <v>496.55049493364771</v>
      </c>
      <c r="AP46" s="37">
        <f ca="1">+'TUSD BE'!$T$46+'TUSD BE'!$AB$46+'TUSD BE'!$AD$46+'TUSD BE'!$AL$46</f>
        <v>496.55049493364771</v>
      </c>
    </row>
    <row r="47" spans="1:42" ht="11.25" customHeight="1" x14ac:dyDescent="0.25">
      <c r="A47" s="124"/>
      <c r="B47" s="124" t="s">
        <v>100</v>
      </c>
      <c r="C47" s="124" t="s">
        <v>47</v>
      </c>
      <c r="D47" s="35" t="s">
        <v>25</v>
      </c>
      <c r="E47" s="35" t="s">
        <v>25</v>
      </c>
      <c r="F47" s="35" t="s">
        <v>25</v>
      </c>
      <c r="G47" s="28" t="s">
        <v>92</v>
      </c>
      <c r="H47" s="28" t="s">
        <v>86</v>
      </c>
      <c r="I47" s="28">
        <f>'MERCADO TUSD'!$U$44</f>
        <v>0</v>
      </c>
      <c r="J47" s="18"/>
      <c r="L47" s="32">
        <f>'TUSD BE'!$L$47*'TUSD BF'!$L$63</f>
        <v>0</v>
      </c>
      <c r="M47" s="32">
        <f>'TUSD BE'!$M$47*'TUSD BF'!$M$63</f>
        <v>0</v>
      </c>
      <c r="N47" s="32">
        <f ca="1">'TUSD BE'!$N$47*'TUSD BF'!$N$63</f>
        <v>0</v>
      </c>
      <c r="O47" s="32">
        <f>'TUSD BE'!$O$47*'TUSD BF'!$O$63</f>
        <v>0</v>
      </c>
      <c r="P47" s="32">
        <f>'TUSD BE'!$P$47*'TUSD BF'!$P$63</f>
        <v>0</v>
      </c>
      <c r="Q47" s="32">
        <f>'TUSD BE'!$Q$47*'TUSD BF'!$Q$63</f>
        <v>-1.2956858829431717</v>
      </c>
      <c r="R47" s="32">
        <f>'TUSD BE'!$R$47*'TUSD BF'!$R$63</f>
        <v>0.74952600079857579</v>
      </c>
      <c r="S47" s="32">
        <f>'TUSD BE'!$R$47*'TUSD BF'!$S$63</f>
        <v>0</v>
      </c>
      <c r="T47" s="32">
        <f ca="1">SUM($L$47:$S$47)</f>
        <v>-0.54615988214459588</v>
      </c>
      <c r="U47" s="32">
        <f>'TUSD BE'!$U$47*'TUSD BF'!$U$63</f>
        <v>4.874934510281336</v>
      </c>
      <c r="V47" s="32">
        <f>'TUSD BE'!$V$47*'TUSD BF'!$V$63</f>
        <v>1.4890836923667364E-2</v>
      </c>
      <c r="W47" s="32">
        <f>'TUSD BE'!$W$47*'TUSD BF'!$W$63</f>
        <v>0</v>
      </c>
      <c r="X47" s="32">
        <f>'TUSD BE'!$X$47*'TUSD BF'!$X$63</f>
        <v>0</v>
      </c>
      <c r="Y47" s="32">
        <f>'TUSD BE'!$Y$47*'TUSD BF'!$Y$63</f>
        <v>0</v>
      </c>
      <c r="Z47" s="32">
        <f>'TUSD BE'!$Z$47*'TUSD BF'!$Z$63</f>
        <v>0</v>
      </c>
      <c r="AA47" s="32">
        <f>'TUSD BE'!$AA$47*'TUSD BF'!$AA$63</f>
        <v>0</v>
      </c>
      <c r="AB47" s="32">
        <f>SUM($U$47:$AA$47)</f>
        <v>4.8898253472050035</v>
      </c>
      <c r="AC47" s="32">
        <f>'TUSD BE'!$AC$47*'TUSD BF'!$AC$63</f>
        <v>0</v>
      </c>
      <c r="AD47" s="32">
        <f>SUM($AC$47:$AC$47)</f>
        <v>0</v>
      </c>
      <c r="AE47" s="32">
        <f ca="1">$AO$47*$AO$60</f>
        <v>0</v>
      </c>
      <c r="AF47" s="32">
        <f ca="1">$AP$47*$AP$60</f>
        <v>0</v>
      </c>
      <c r="AG47" s="32">
        <f ca="1">SUM($AE$47:$AF$47)</f>
        <v>0</v>
      </c>
      <c r="AH47" s="32">
        <f>'TUSD BE'!$AH$47*'TUSD BF'!$AH$63</f>
        <v>4.2007647260049206</v>
      </c>
      <c r="AI47" s="32">
        <f>'TUSD BE'!$AI$47*'TUSD BF'!$AI$63</f>
        <v>0.30250424516894309</v>
      </c>
      <c r="AJ47" s="32">
        <f ca="1">'TUSD BE'!$AJ$47*'TUSD BF'!$AJ$63</f>
        <v>10.390448981872416</v>
      </c>
      <c r="AK47" s="32">
        <f ca="1">'TUSD BE'!$AK$47*'TUSD BF'!$AK$63</f>
        <v>0</v>
      </c>
      <c r="AL47" s="32">
        <f ca="1">SUM($AH$47:$AK$47)</f>
        <v>14.893717953046279</v>
      </c>
      <c r="AM47" s="32">
        <f ca="1">SUMIF($L$4:$AL$4,"SUBTOTAL",$L$47:$AL$47)</f>
        <v>19.237383418106688</v>
      </c>
      <c r="AO47" s="37">
        <f ca="1">+'TUSD BE'!$T$47+'TUSD BE'!$AB$47+'TUSD BE'!$AD$47+'TUSD BE'!$AL$47</f>
        <v>496.55049493364771</v>
      </c>
      <c r="AP47" s="37">
        <f ca="1">+'TUSD BE'!$T$47+'TUSD BE'!$AB$47+'TUSD BE'!$AD$47+'TUSD BE'!$AL$47</f>
        <v>496.55049493364771</v>
      </c>
    </row>
    <row r="48" spans="1:42" ht="11.25" customHeight="1" x14ac:dyDescent="0.25">
      <c r="A48" s="124"/>
      <c r="B48" s="124"/>
      <c r="C48" s="124"/>
      <c r="D48" s="35" t="s">
        <v>101</v>
      </c>
      <c r="E48" s="35" t="s">
        <v>25</v>
      </c>
      <c r="F48" s="35" t="s">
        <v>25</v>
      </c>
      <c r="G48" s="28" t="s">
        <v>92</v>
      </c>
      <c r="H48" s="28" t="s">
        <v>86</v>
      </c>
      <c r="I48" s="28">
        <f>'MERCADO TUSD'!$U$45</f>
        <v>0</v>
      </c>
      <c r="J48" s="18"/>
      <c r="L48" s="32">
        <f>'TUSD BE'!$L$48*'TUSD BF'!$L$63</f>
        <v>0</v>
      </c>
      <c r="M48" s="32">
        <f>'TUSD BE'!$M$48*'TUSD BF'!$M$63</f>
        <v>0</v>
      </c>
      <c r="N48" s="32">
        <f ca="1">'TUSD BE'!$N$48*'TUSD BF'!$N$63</f>
        <v>0</v>
      </c>
      <c r="O48" s="32">
        <f>'TUSD BE'!$O$48*'TUSD BF'!$O$63</f>
        <v>0</v>
      </c>
      <c r="P48" s="32">
        <f>'TUSD BE'!$P$48*'TUSD BF'!$P$63</f>
        <v>0</v>
      </c>
      <c r="Q48" s="32">
        <f>'TUSD BE'!$Q$48*'TUSD BF'!$Q$63</f>
        <v>-1.2956858829431717</v>
      </c>
      <c r="R48" s="32">
        <f>'TUSD BE'!$R$48*'TUSD BF'!$R$63</f>
        <v>0.74952600079857579</v>
      </c>
      <c r="S48" s="32">
        <f>'TUSD BE'!$R$48*'TUSD BF'!$S$63</f>
        <v>0</v>
      </c>
      <c r="T48" s="32">
        <f ca="1">SUM($L$48:$S$48)</f>
        <v>-0.54615988214459588</v>
      </c>
      <c r="U48" s="32">
        <f>'TUSD BE'!$U$48*'TUSD BF'!$U$63</f>
        <v>4.874934510281336</v>
      </c>
      <c r="V48" s="32">
        <f>'TUSD BE'!$V$48*'TUSD BF'!$V$63</f>
        <v>1.4890836923667364E-2</v>
      </c>
      <c r="W48" s="32">
        <f>'TUSD BE'!$W$48*'TUSD BF'!$W$63</f>
        <v>0</v>
      </c>
      <c r="X48" s="32">
        <f>'TUSD BE'!$X$48*'TUSD BF'!$X$63</f>
        <v>0</v>
      </c>
      <c r="Y48" s="32">
        <f>'TUSD BE'!$Y$48*'TUSD BF'!$Y$63</f>
        <v>0</v>
      </c>
      <c r="Z48" s="32">
        <f>'TUSD BE'!$Z$48*'TUSD BF'!$Z$63</f>
        <v>0</v>
      </c>
      <c r="AA48" s="32">
        <f>'TUSD BE'!$AA$48*'TUSD BF'!$AA$63</f>
        <v>0</v>
      </c>
      <c r="AB48" s="32">
        <f>SUM($U$48:$AA$48)</f>
        <v>4.8898253472050035</v>
      </c>
      <c r="AC48" s="32">
        <f>'TUSD BE'!$AC$48*'TUSD BF'!$AC$63</f>
        <v>0</v>
      </c>
      <c r="AD48" s="32">
        <f>SUM($AC$48:$AC$48)</f>
        <v>0</v>
      </c>
      <c r="AE48" s="32">
        <f ca="1">$AO$48*$AO$60</f>
        <v>0</v>
      </c>
      <c r="AF48" s="32">
        <f ca="1">$AP$48*$AP$60</f>
        <v>0</v>
      </c>
      <c r="AG48" s="32">
        <f ca="1">SUM($AE$48:$AF$48)</f>
        <v>0</v>
      </c>
      <c r="AH48" s="32">
        <f>'TUSD BE'!$AH$48*'TUSD BF'!$AH$63</f>
        <v>4.2007647260049206</v>
      </c>
      <c r="AI48" s="32">
        <f>'TUSD BE'!$AI$48*'TUSD BF'!$AI$63</f>
        <v>0.30250424516894309</v>
      </c>
      <c r="AJ48" s="32">
        <f ca="1">'TUSD BE'!$AJ$48*'TUSD BF'!$AJ$63</f>
        <v>10.390448981872416</v>
      </c>
      <c r="AK48" s="32">
        <f ca="1">'TUSD BE'!$AK$48*'TUSD BF'!$AK$63</f>
        <v>0</v>
      </c>
      <c r="AL48" s="32">
        <f ca="1">SUM($AH$48:$AK$48)</f>
        <v>14.893717953046279</v>
      </c>
      <c r="AM48" s="32">
        <f ca="1">SUMIF($L$4:$AL$4,"SUBTOTAL",$L$48:$AL$48)</f>
        <v>19.237383418106688</v>
      </c>
      <c r="AO48" s="37">
        <f ca="1">+'TUSD BE'!$T$48+'TUSD BE'!$AB$48+'TUSD BE'!$AD$48+'TUSD BE'!$AL$48</f>
        <v>496.55049493364771</v>
      </c>
      <c r="AP48" s="37">
        <f ca="1">+'TUSD BE'!$T$48+'TUSD BE'!$AB$48+'TUSD BE'!$AD$48+'TUSD BE'!$AL$48</f>
        <v>496.55049493364771</v>
      </c>
    </row>
    <row r="49" spans="1:42" ht="11.25" customHeight="1" x14ac:dyDescent="0.25">
      <c r="A49" s="124"/>
      <c r="B49" s="124"/>
      <c r="C49" s="124"/>
      <c r="D49" s="35" t="s">
        <v>55</v>
      </c>
      <c r="E49" s="35" t="s">
        <v>25</v>
      </c>
      <c r="F49" s="35" t="s">
        <v>25</v>
      </c>
      <c r="G49" s="28" t="s">
        <v>92</v>
      </c>
      <c r="H49" s="28" t="s">
        <v>86</v>
      </c>
      <c r="I49" s="28">
        <f>'MERCADO TUSD'!$U$46</f>
        <v>0</v>
      </c>
      <c r="J49" s="18"/>
      <c r="L49" s="32">
        <f>'TUSD BE'!$L$49*'TUSD BF'!$L$63</f>
        <v>0</v>
      </c>
      <c r="M49" s="32">
        <f>'TUSD BE'!$M$49*'TUSD BF'!$M$63</f>
        <v>0</v>
      </c>
      <c r="N49" s="32">
        <f ca="1">'TUSD BE'!$N$49*'TUSD BF'!$N$63</f>
        <v>0</v>
      </c>
      <c r="O49" s="32">
        <f>'TUSD BE'!$O$49*'TUSD BF'!$O$63</f>
        <v>0</v>
      </c>
      <c r="P49" s="32">
        <f>'TUSD BE'!$P$49*'TUSD BF'!$P$63</f>
        <v>0</v>
      </c>
      <c r="Q49" s="32">
        <f>'TUSD BE'!$Q$49*'TUSD BF'!$Q$63</f>
        <v>-1.2956858829431717</v>
      </c>
      <c r="R49" s="32">
        <f>'TUSD BE'!$R$49*'TUSD BF'!$R$63</f>
        <v>0.74952600079857579</v>
      </c>
      <c r="S49" s="32">
        <f>'TUSD BE'!$R$49*'TUSD BF'!$S$63</f>
        <v>0</v>
      </c>
      <c r="T49" s="32">
        <f ca="1">SUM($L$49:$S$49)</f>
        <v>-0.54615988214459588</v>
      </c>
      <c r="U49" s="32">
        <f>'TUSD BE'!$U$49*'TUSD BF'!$U$63</f>
        <v>4.874934510281336</v>
      </c>
      <c r="V49" s="32">
        <f>'TUSD BE'!$V$49*'TUSD BF'!$V$63</f>
        <v>1.4890836923667364E-2</v>
      </c>
      <c r="W49" s="32">
        <f>'TUSD BE'!$W$49*'TUSD BF'!$W$63</f>
        <v>0</v>
      </c>
      <c r="X49" s="32">
        <f>'TUSD BE'!$X$49*'TUSD BF'!$X$63</f>
        <v>0</v>
      </c>
      <c r="Y49" s="32">
        <f>'TUSD BE'!$Y$49*'TUSD BF'!$Y$63</f>
        <v>0</v>
      </c>
      <c r="Z49" s="32">
        <f>'TUSD BE'!$Z$49*'TUSD BF'!$Z$63</f>
        <v>0</v>
      </c>
      <c r="AA49" s="32">
        <f>'TUSD BE'!$AA$49*'TUSD BF'!$AA$63</f>
        <v>0</v>
      </c>
      <c r="AB49" s="32">
        <f>SUM($U$49:$AA$49)</f>
        <v>4.8898253472050035</v>
      </c>
      <c r="AC49" s="32">
        <f>'TUSD BE'!$AC$49*'TUSD BF'!$AC$63</f>
        <v>0</v>
      </c>
      <c r="AD49" s="32">
        <f>SUM($AC$49:$AC$49)</f>
        <v>0</v>
      </c>
      <c r="AE49" s="32">
        <f ca="1">$AO$49*$AO$60</f>
        <v>0</v>
      </c>
      <c r="AF49" s="32">
        <f ca="1">$AP$49*$AP$60</f>
        <v>0</v>
      </c>
      <c r="AG49" s="32">
        <f ca="1">SUM($AE$49:$AF$49)</f>
        <v>0</v>
      </c>
      <c r="AH49" s="32">
        <f>'TUSD BE'!$AH$49*'TUSD BF'!$AH$63</f>
        <v>4.2007647260049206</v>
      </c>
      <c r="AI49" s="32">
        <f>'TUSD BE'!$AI$49*'TUSD BF'!$AI$63</f>
        <v>0.30250424516894309</v>
      </c>
      <c r="AJ49" s="32">
        <f ca="1">'TUSD BE'!$AJ$49*'TUSD BF'!$AJ$63</f>
        <v>10.390448981872416</v>
      </c>
      <c r="AK49" s="32">
        <f ca="1">'TUSD BE'!$AK$49*'TUSD BF'!$AK$63</f>
        <v>0</v>
      </c>
      <c r="AL49" s="32">
        <f ca="1">SUM($AH$49:$AK$49)</f>
        <v>14.893717953046279</v>
      </c>
      <c r="AM49" s="32">
        <f ca="1">SUMIF($L$4:$AL$4,"SUBTOTAL",$L$49:$AL$49)</f>
        <v>19.237383418106688</v>
      </c>
      <c r="AO49" s="37">
        <f ca="1">+'TUSD BE'!$T$49+'TUSD BE'!$AB$49+'TUSD BE'!$AD$49+'TUSD BE'!$AL$49</f>
        <v>496.55049493364771</v>
      </c>
      <c r="AP49" s="37">
        <f ca="1">+'TUSD BE'!$T$49+'TUSD BE'!$AB$49+'TUSD BE'!$AD$49+'TUSD BE'!$AL$49</f>
        <v>496.55049493364771</v>
      </c>
    </row>
    <row r="50" spans="1:42" ht="11.25" customHeight="1" x14ac:dyDescent="0.25">
      <c r="A50" s="124" t="s">
        <v>41</v>
      </c>
      <c r="B50" s="124" t="s">
        <v>39</v>
      </c>
      <c r="C50" s="124" t="s">
        <v>25</v>
      </c>
      <c r="D50" s="124" t="s">
        <v>25</v>
      </c>
      <c r="E50" s="124" t="s">
        <v>25</v>
      </c>
      <c r="F50" s="124" t="s">
        <v>25</v>
      </c>
      <c r="G50" s="28" t="s">
        <v>87</v>
      </c>
      <c r="H50" s="28" t="s">
        <v>86</v>
      </c>
      <c r="I50" s="28">
        <f>'MERCADO TUSD'!$U$47</f>
        <v>159.50200000000001</v>
      </c>
      <c r="J50" s="18"/>
      <c r="L50" s="32">
        <f>'TUSD BE'!$L$50*'TUSD BF'!$L$63</f>
        <v>0</v>
      </c>
      <c r="M50" s="32">
        <f>'TUSD BE'!$M$50*'TUSD BF'!$M$63</f>
        <v>0</v>
      </c>
      <c r="N50" s="32">
        <f ca="1">'TUSD BE'!$N$50*'TUSD BF'!$N$63</f>
        <v>0</v>
      </c>
      <c r="O50" s="32">
        <f>'TUSD BE'!$O$50*'TUSD BF'!$O$63</f>
        <v>0</v>
      </c>
      <c r="P50" s="32">
        <f>'TUSD BE'!$P$50*'TUSD BF'!$P$63</f>
        <v>0</v>
      </c>
      <c r="Q50" s="32">
        <f>'TUSD BE'!$Q$50*'TUSD BF'!$Q$63</f>
        <v>-1.2956858829431717</v>
      </c>
      <c r="R50" s="32">
        <f>'TUSD BE'!$R$50*'TUSD BF'!$R$63</f>
        <v>0.74952600079857579</v>
      </c>
      <c r="S50" s="32">
        <f>'TUSD BE'!$R$50*'TUSD BF'!$S$63</f>
        <v>0</v>
      </c>
      <c r="T50" s="32">
        <f ca="1">SUM($L$50:$S$50)</f>
        <v>-0.54615988214459588</v>
      </c>
      <c r="U50" s="32">
        <f>'TUSD BE'!$U$50*'TUSD BF'!$U$63</f>
        <v>17.549766788346069</v>
      </c>
      <c r="V50" s="32">
        <f>'TUSD BE'!$V$50*'TUSD BF'!$V$63</f>
        <v>5.360743139815502E-2</v>
      </c>
      <c r="W50" s="32">
        <f>'TUSD BE'!$W$50*'TUSD BF'!$W$63</f>
        <v>0</v>
      </c>
      <c r="X50" s="32">
        <f>'TUSD BE'!$X$50*'TUSD BF'!$X$63</f>
        <v>0</v>
      </c>
      <c r="Y50" s="32">
        <f>'TUSD BE'!$Y$50*'TUSD BF'!$Y$63</f>
        <v>0</v>
      </c>
      <c r="Z50" s="32">
        <f>'TUSD BE'!$Z$50*'TUSD BF'!$Z$63</f>
        <v>0</v>
      </c>
      <c r="AA50" s="32">
        <f>'TUSD BE'!$AA$50*'TUSD BF'!$AA$63</f>
        <v>0</v>
      </c>
      <c r="AB50" s="32">
        <f>SUM($U$50:$AA$50)</f>
        <v>17.603374219744225</v>
      </c>
      <c r="AC50" s="32">
        <f>'TUSD BE'!$AC$50*'TUSD BF'!$AC$63</f>
        <v>0</v>
      </c>
      <c r="AD50" s="32">
        <f>SUM($AC$50:$AC$50)</f>
        <v>0</v>
      </c>
      <c r="AE50" s="32">
        <f ca="1">$AO$50*$AO$60</f>
        <v>0</v>
      </c>
      <c r="AF50" s="32">
        <f ca="1">$AP$50*$AP$60</f>
        <v>0</v>
      </c>
      <c r="AG50" s="32">
        <f ca="1">SUM($AE$50:$AF$50)</f>
        <v>0</v>
      </c>
      <c r="AH50" s="32">
        <f>'TUSD BE'!$AH$50*'TUSD BF'!$AH$63</f>
        <v>4.2007647260049206</v>
      </c>
      <c r="AI50" s="32">
        <f>'TUSD BE'!$AI$50*'TUSD BF'!$AI$63</f>
        <v>0.30250424516894309</v>
      </c>
      <c r="AJ50" s="32">
        <f ca="1">'TUSD BE'!$AJ$50*'TUSD BF'!$AJ$63</f>
        <v>10.390448981872416</v>
      </c>
      <c r="AK50" s="32">
        <f ca="1">'TUSD BE'!$AK$50*'TUSD BF'!$AK$63</f>
        <v>0</v>
      </c>
      <c r="AL50" s="32">
        <f ca="1">SUM($AH$50:$AK$50)</f>
        <v>14.893717953046279</v>
      </c>
      <c r="AM50" s="32">
        <f ca="1">SUMIF($L$4:$AL$4,"SUBTOTAL",$L$50:$AL$50)</f>
        <v>31.950932290645909</v>
      </c>
      <c r="AO50" s="37">
        <f ca="1">+'TUSD BE'!$T$50+'TUSD BE'!$AB$50+'TUSD BE'!$AD$50+'TUSD BE'!$AL$50</f>
        <v>1196.6687939331046</v>
      </c>
      <c r="AP50" s="37">
        <f ca="1">+'TUSD BE'!$T$50+'TUSD BE'!$AB$50+'TUSD BE'!$AD$50+'TUSD BE'!$AL$50</f>
        <v>1196.6687939331046</v>
      </c>
    </row>
    <row r="51" spans="1:42" ht="11.25" customHeight="1" x14ac:dyDescent="0.25">
      <c r="A51" s="124"/>
      <c r="B51" s="124"/>
      <c r="C51" s="124"/>
      <c r="D51" s="124"/>
      <c r="E51" s="124"/>
      <c r="F51" s="124"/>
      <c r="G51" s="28" t="s">
        <v>98</v>
      </c>
      <c r="H51" s="28" t="s">
        <v>86</v>
      </c>
      <c r="I51" s="28">
        <f>'MERCADO TUSD'!$U$48</f>
        <v>89.802000000000007</v>
      </c>
      <c r="J51" s="18"/>
      <c r="L51" s="32">
        <f>'TUSD BE'!$L$51*'TUSD BF'!$L$63</f>
        <v>0</v>
      </c>
      <c r="M51" s="32">
        <f>'TUSD BE'!$M$51*'TUSD BF'!$M$63</f>
        <v>0</v>
      </c>
      <c r="N51" s="32">
        <f ca="1">'TUSD BE'!$N$51*'TUSD BF'!$N$63</f>
        <v>0</v>
      </c>
      <c r="O51" s="32">
        <f>'TUSD BE'!$O$51*'TUSD BF'!$O$63</f>
        <v>0</v>
      </c>
      <c r="P51" s="32">
        <f>'TUSD BE'!$P$51*'TUSD BF'!$P$63</f>
        <v>0</v>
      </c>
      <c r="Q51" s="32">
        <f>'TUSD BE'!$Q$51*'TUSD BF'!$Q$63</f>
        <v>-1.2956858829431717</v>
      </c>
      <c r="R51" s="32">
        <f>'TUSD BE'!$R$51*'TUSD BF'!$R$63</f>
        <v>0.74952600079857579</v>
      </c>
      <c r="S51" s="32">
        <f>'TUSD BE'!$R$51*'TUSD BF'!$S$63</f>
        <v>0</v>
      </c>
      <c r="T51" s="32">
        <f ca="1">SUM($L$51:$S$51)</f>
        <v>-0.54615988214459588</v>
      </c>
      <c r="U51" s="32">
        <f>'TUSD BE'!$U$51*'TUSD BF'!$U$63</f>
        <v>10.5298626243409</v>
      </c>
      <c r="V51" s="32">
        <f>'TUSD BE'!$V$51*'TUSD BF'!$V$63</f>
        <v>3.2164354220654889E-2</v>
      </c>
      <c r="W51" s="32">
        <f>'TUSD BE'!$W$51*'TUSD BF'!$W$63</f>
        <v>0</v>
      </c>
      <c r="X51" s="32">
        <f>'TUSD BE'!$X$51*'TUSD BF'!$X$63</f>
        <v>0</v>
      </c>
      <c r="Y51" s="32">
        <f>'TUSD BE'!$Y$51*'TUSD BF'!$Y$63</f>
        <v>0</v>
      </c>
      <c r="Z51" s="32">
        <f>'TUSD BE'!$Z$51*'TUSD BF'!$Z$63</f>
        <v>0</v>
      </c>
      <c r="AA51" s="32">
        <f>'TUSD BE'!$AA$51*'TUSD BF'!$AA$63</f>
        <v>0</v>
      </c>
      <c r="AB51" s="32">
        <f>SUM($U$51:$AA$51)</f>
        <v>10.562026978561555</v>
      </c>
      <c r="AC51" s="32">
        <f>'TUSD BE'!$AC$51*'TUSD BF'!$AC$63</f>
        <v>0</v>
      </c>
      <c r="AD51" s="32">
        <f>SUM($AC$51:$AC$51)</f>
        <v>0</v>
      </c>
      <c r="AE51" s="32">
        <f ca="1">$AO$51*$AO$60</f>
        <v>0</v>
      </c>
      <c r="AF51" s="32">
        <f ca="1">$AP$51*$AP$60</f>
        <v>0</v>
      </c>
      <c r="AG51" s="32">
        <f ca="1">SUM($AE$51:$AF$51)</f>
        <v>0</v>
      </c>
      <c r="AH51" s="32">
        <f>'TUSD BE'!$AH$51*'TUSD BF'!$AH$63</f>
        <v>4.2007647260049206</v>
      </c>
      <c r="AI51" s="32">
        <f>'TUSD BE'!$AI$51*'TUSD BF'!$AI$63</f>
        <v>0.30250424516894309</v>
      </c>
      <c r="AJ51" s="32">
        <f ca="1">'TUSD BE'!$AJ$51*'TUSD BF'!$AJ$63</f>
        <v>10.390448981872416</v>
      </c>
      <c r="AK51" s="32">
        <f ca="1">'TUSD BE'!$AK$51*'TUSD BF'!$AK$63</f>
        <v>0</v>
      </c>
      <c r="AL51" s="32">
        <f ca="1">SUM($AH$51:$AK$51)</f>
        <v>14.893717953046279</v>
      </c>
      <c r="AM51" s="32">
        <f ca="1">SUMIF($L$4:$AL$4,"SUBTOTAL",$L$51:$AL$51)</f>
        <v>24.909585049463239</v>
      </c>
      <c r="AO51" s="37">
        <f ca="1">+'TUSD BE'!$T$51+'TUSD BE'!$AB$51+'TUSD BE'!$AD$51+'TUSD BE'!$AL$51</f>
        <v>808.91094957439122</v>
      </c>
      <c r="AP51" s="37">
        <f ca="1">+'TUSD BE'!$T$51+'TUSD BE'!$AB$51+'TUSD BE'!$AD$51+'TUSD BE'!$AL$51</f>
        <v>808.91094957439122</v>
      </c>
    </row>
    <row r="52" spans="1:42" ht="11.25" customHeight="1" x14ac:dyDescent="0.25">
      <c r="A52" s="124"/>
      <c r="B52" s="124"/>
      <c r="C52" s="124"/>
      <c r="D52" s="124"/>
      <c r="E52" s="124"/>
      <c r="F52" s="124"/>
      <c r="G52" s="28" t="s">
        <v>88</v>
      </c>
      <c r="H52" s="28" t="s">
        <v>86</v>
      </c>
      <c r="I52" s="28">
        <f>'MERCADO TUSD'!$U$49</f>
        <v>2507.7720000000004</v>
      </c>
      <c r="J52" s="18"/>
      <c r="L52" s="32">
        <f>'TUSD BE'!$L$52*'TUSD BF'!$L$63</f>
        <v>0</v>
      </c>
      <c r="M52" s="32">
        <f>'TUSD BE'!$M$52*'TUSD BF'!$M$63</f>
        <v>0</v>
      </c>
      <c r="N52" s="32">
        <f ca="1">'TUSD BE'!$N$52*'TUSD BF'!$N$63</f>
        <v>0</v>
      </c>
      <c r="O52" s="32">
        <f>'TUSD BE'!$O$52*'TUSD BF'!$O$63</f>
        <v>0</v>
      </c>
      <c r="P52" s="32">
        <f>'TUSD BE'!$P$52*'TUSD BF'!$P$63</f>
        <v>0</v>
      </c>
      <c r="Q52" s="32">
        <f>'TUSD BE'!$Q$52*'TUSD BF'!$Q$63</f>
        <v>-1.2956858829431717</v>
      </c>
      <c r="R52" s="32">
        <f>'TUSD BE'!$R$52*'TUSD BF'!$R$63</f>
        <v>0.74952600079857579</v>
      </c>
      <c r="S52" s="32">
        <f>'TUSD BE'!$R$52*'TUSD BF'!$S$63</f>
        <v>0</v>
      </c>
      <c r="T52" s="32">
        <f ca="1">SUM($L$52:$S$52)</f>
        <v>-0.54615988214459588</v>
      </c>
      <c r="U52" s="32">
        <f>'TUSD BE'!$U$52*'TUSD BF'!$U$63</f>
        <v>3.5099584603357314</v>
      </c>
      <c r="V52" s="32">
        <f>'TUSD BE'!$V$52*'TUSD BF'!$V$63</f>
        <v>1.0721538588750069E-2</v>
      </c>
      <c r="W52" s="32">
        <f>'TUSD BE'!$W$52*'TUSD BF'!$W$63</f>
        <v>0</v>
      </c>
      <c r="X52" s="32">
        <f>'TUSD BE'!$X$52*'TUSD BF'!$X$63</f>
        <v>0</v>
      </c>
      <c r="Y52" s="32">
        <f>'TUSD BE'!$Y$52*'TUSD BF'!$Y$63</f>
        <v>0</v>
      </c>
      <c r="Z52" s="32">
        <f>'TUSD BE'!$Z$52*'TUSD BF'!$Z$63</f>
        <v>0</v>
      </c>
      <c r="AA52" s="32">
        <f>'TUSD BE'!$AA$52*'TUSD BF'!$AA$63</f>
        <v>0</v>
      </c>
      <c r="AB52" s="32">
        <f>SUM($U$52:$AA$52)</f>
        <v>3.5206799989244817</v>
      </c>
      <c r="AC52" s="32">
        <f>'TUSD BE'!$AC$52*'TUSD BF'!$AC$63</f>
        <v>0</v>
      </c>
      <c r="AD52" s="32">
        <f>SUM($AC$52:$AC$52)</f>
        <v>0</v>
      </c>
      <c r="AE52" s="32">
        <f ca="1">$AO$52*$AO$60</f>
        <v>0</v>
      </c>
      <c r="AF52" s="32">
        <f ca="1">$AP$52*$AP$60</f>
        <v>0</v>
      </c>
      <c r="AG52" s="32">
        <f ca="1">SUM($AE$52:$AF$52)</f>
        <v>0</v>
      </c>
      <c r="AH52" s="32">
        <f>'TUSD BE'!$AH$52*'TUSD BF'!$AH$63</f>
        <v>4.2007647260049206</v>
      </c>
      <c r="AI52" s="32">
        <f>'TUSD BE'!$AI$52*'TUSD BF'!$AI$63</f>
        <v>0.30250424516894309</v>
      </c>
      <c r="AJ52" s="32">
        <f ca="1">'TUSD BE'!$AJ$52*'TUSD BF'!$AJ$63</f>
        <v>10.390448981872416</v>
      </c>
      <c r="AK52" s="32">
        <f ca="1">'TUSD BE'!$AK$52*'TUSD BF'!$AK$63</f>
        <v>0</v>
      </c>
      <c r="AL52" s="32">
        <f ca="1">SUM($AH$52:$AK$52)</f>
        <v>14.893717953046279</v>
      </c>
      <c r="AM52" s="32">
        <f ca="1">SUMIF($L$4:$AL$4,"SUBTOTAL",$L$52:$AL$52)</f>
        <v>17.868238069826166</v>
      </c>
      <c r="AO52" s="37">
        <f ca="1">+'TUSD BE'!$T$52+'TUSD BE'!$AB$52+'TUSD BE'!$AD$52+'TUSD BE'!$AL$52</f>
        <v>421.15310806634744</v>
      </c>
      <c r="AP52" s="37">
        <f ca="1">+'TUSD BE'!$T$52+'TUSD BE'!$AB$52+'TUSD BE'!$AD$52+'TUSD BE'!$AL$52</f>
        <v>421.15310806634744</v>
      </c>
    </row>
    <row r="53" spans="1:42" ht="11.25" customHeight="1" x14ac:dyDescent="0.25">
      <c r="A53" s="124"/>
      <c r="B53" s="35" t="s">
        <v>23</v>
      </c>
      <c r="C53" s="35" t="s">
        <v>25</v>
      </c>
      <c r="D53" s="35" t="s">
        <v>25</v>
      </c>
      <c r="E53" s="35" t="s">
        <v>25</v>
      </c>
      <c r="F53" s="35" t="s">
        <v>25</v>
      </c>
      <c r="G53" s="28" t="s">
        <v>92</v>
      </c>
      <c r="H53" s="28" t="s">
        <v>86</v>
      </c>
      <c r="I53" s="28">
        <f>'MERCADO TUSD'!$U$50</f>
        <v>849619.68099999998</v>
      </c>
      <c r="J53" s="18"/>
      <c r="L53" s="32">
        <f>'TUSD BE'!$L$53*'TUSD BF'!$L$63</f>
        <v>0</v>
      </c>
      <c r="M53" s="32">
        <f>'TUSD BE'!$M$53*'TUSD BF'!$M$63</f>
        <v>0</v>
      </c>
      <c r="N53" s="32">
        <f ca="1">'TUSD BE'!$N$53*'TUSD BF'!$N$63</f>
        <v>0</v>
      </c>
      <c r="O53" s="32">
        <f>'TUSD BE'!$O$53*'TUSD BF'!$O$63</f>
        <v>0</v>
      </c>
      <c r="P53" s="32">
        <f>'TUSD BE'!$P$53*'TUSD BF'!$P$63</f>
        <v>0</v>
      </c>
      <c r="Q53" s="32">
        <f>'TUSD BE'!$Q$53*'TUSD BF'!$Q$63</f>
        <v>-1.2956858829431717</v>
      </c>
      <c r="R53" s="32">
        <f>'TUSD BE'!$R$53*'TUSD BF'!$R$63</f>
        <v>0.74952600079857579</v>
      </c>
      <c r="S53" s="32">
        <f>'TUSD BE'!$R$53*'TUSD BF'!$S$63</f>
        <v>0</v>
      </c>
      <c r="T53" s="32">
        <f ca="1">SUM($L$53:$S$53)</f>
        <v>-0.54615988214459588</v>
      </c>
      <c r="U53" s="32">
        <f>'TUSD BE'!$U$53*'TUSD BF'!$U$63</f>
        <v>4.874934510281336</v>
      </c>
      <c r="V53" s="32">
        <f>'TUSD BE'!$V$53*'TUSD BF'!$V$63</f>
        <v>1.4890836923667364E-2</v>
      </c>
      <c r="W53" s="32">
        <f>'TUSD BE'!$W$53*'TUSD BF'!$W$63</f>
        <v>0</v>
      </c>
      <c r="X53" s="32">
        <f>'TUSD BE'!$X$53*'TUSD BF'!$X$63</f>
        <v>0</v>
      </c>
      <c r="Y53" s="32">
        <f>'TUSD BE'!$Y$53*'TUSD BF'!$Y$63</f>
        <v>0</v>
      </c>
      <c r="Z53" s="32">
        <f>'TUSD BE'!$Z$53*'TUSD BF'!$Z$63</f>
        <v>0</v>
      </c>
      <c r="AA53" s="32">
        <f>'TUSD BE'!$AA$53*'TUSD BF'!$AA$63</f>
        <v>0</v>
      </c>
      <c r="AB53" s="32">
        <f>SUM($U$53:$AA$53)</f>
        <v>4.8898253472050035</v>
      </c>
      <c r="AC53" s="32">
        <f>'TUSD BE'!$AC$53*'TUSD BF'!$AC$63</f>
        <v>0</v>
      </c>
      <c r="AD53" s="32">
        <f>SUM($AC$53:$AC$53)</f>
        <v>0</v>
      </c>
      <c r="AE53" s="32">
        <f ca="1">$AO$53*$AO$60</f>
        <v>0</v>
      </c>
      <c r="AF53" s="32">
        <f ca="1">$AP$53*$AP$60</f>
        <v>0</v>
      </c>
      <c r="AG53" s="32">
        <f ca="1">SUM($AE$53:$AF$53)</f>
        <v>0</v>
      </c>
      <c r="AH53" s="32">
        <f>'TUSD BE'!$AH$53*'TUSD BF'!$AH$63</f>
        <v>4.2007647260049206</v>
      </c>
      <c r="AI53" s="32">
        <f>'TUSD BE'!$AI$53*'TUSD BF'!$AI$63</f>
        <v>0.30250424516894309</v>
      </c>
      <c r="AJ53" s="32">
        <f ca="1">'TUSD BE'!$AJ$53*'TUSD BF'!$AJ$63</f>
        <v>10.390448981872416</v>
      </c>
      <c r="AK53" s="32">
        <f ca="1">'TUSD BE'!$AK$53*'TUSD BF'!$AK$63</f>
        <v>0</v>
      </c>
      <c r="AL53" s="32">
        <f ca="1">SUM($AH$53:$AK$53)</f>
        <v>14.893717953046279</v>
      </c>
      <c r="AM53" s="32">
        <f ca="1">SUMIF($L$4:$AL$4,"SUBTOTAL",$L$53:$AL$53)</f>
        <v>19.237383418106688</v>
      </c>
      <c r="AO53" s="37">
        <f ca="1">+'TUSD BE'!$T$53+'TUSD BE'!$AB$53+'TUSD BE'!$AD$53+'TUSD BE'!$AL$53</f>
        <v>496.55049493364771</v>
      </c>
      <c r="AP53" s="37">
        <f ca="1">+'TUSD BE'!$T$53+'TUSD BE'!$AB$53+'TUSD BE'!$AD$53+'TUSD BE'!$AL$53</f>
        <v>496.55049493364771</v>
      </c>
    </row>
    <row r="54" spans="1:42" ht="11.25" customHeight="1" x14ac:dyDescent="0.25">
      <c r="A54" s="124"/>
      <c r="B54" s="35" t="s">
        <v>100</v>
      </c>
      <c r="C54" s="35" t="s">
        <v>25</v>
      </c>
      <c r="D54" s="35" t="s">
        <v>25</v>
      </c>
      <c r="E54" s="35" t="s">
        <v>25</v>
      </c>
      <c r="F54" s="35" t="s">
        <v>25</v>
      </c>
      <c r="G54" s="28" t="s">
        <v>92</v>
      </c>
      <c r="H54" s="28" t="s">
        <v>86</v>
      </c>
      <c r="I54" s="28">
        <f>'MERCADO TUSD'!$U$51</f>
        <v>0</v>
      </c>
      <c r="J54" s="18"/>
      <c r="L54" s="32">
        <f>'TUSD BE'!$L$54*'TUSD BF'!$L$63</f>
        <v>0</v>
      </c>
      <c r="M54" s="32">
        <f>'TUSD BE'!$M$54*'TUSD BF'!$M$63</f>
        <v>0</v>
      </c>
      <c r="N54" s="32">
        <f ca="1">'TUSD BE'!$N$54*'TUSD BF'!$N$63</f>
        <v>0</v>
      </c>
      <c r="O54" s="32">
        <f>'TUSD BE'!$O$54*'TUSD BF'!$O$63</f>
        <v>0</v>
      </c>
      <c r="P54" s="32">
        <f>'TUSD BE'!$P$54*'TUSD BF'!$P$63</f>
        <v>0</v>
      </c>
      <c r="Q54" s="32">
        <f>'TUSD BE'!$Q$54*'TUSD BF'!$Q$63</f>
        <v>-1.2956858829431717</v>
      </c>
      <c r="R54" s="32">
        <f>'TUSD BE'!$R$54*'TUSD BF'!$R$63</f>
        <v>0.74952600079857579</v>
      </c>
      <c r="S54" s="32">
        <f>'TUSD BE'!$R$54*'TUSD BF'!$S$63</f>
        <v>0</v>
      </c>
      <c r="T54" s="32">
        <f ca="1">SUM($L$54:$S$54)</f>
        <v>-0.54615988214459588</v>
      </c>
      <c r="U54" s="32">
        <f>'TUSD BE'!$U$54*'TUSD BF'!$U$63</f>
        <v>4.874934510281336</v>
      </c>
      <c r="V54" s="32">
        <f>'TUSD BE'!$V$54*'TUSD BF'!$V$63</f>
        <v>1.4890836923667364E-2</v>
      </c>
      <c r="W54" s="32">
        <f>'TUSD BE'!$W$54*'TUSD BF'!$W$63</f>
        <v>0</v>
      </c>
      <c r="X54" s="32">
        <f>'TUSD BE'!$X$54*'TUSD BF'!$X$63</f>
        <v>0</v>
      </c>
      <c r="Y54" s="32">
        <f>'TUSD BE'!$Y$54*'TUSD BF'!$Y$63</f>
        <v>0</v>
      </c>
      <c r="Z54" s="32">
        <f>'TUSD BE'!$Z$54*'TUSD BF'!$Z$63</f>
        <v>0</v>
      </c>
      <c r="AA54" s="32">
        <f>'TUSD BE'!$AA$54*'TUSD BF'!$AA$63</f>
        <v>0</v>
      </c>
      <c r="AB54" s="32">
        <f>SUM($U$54:$AA$54)</f>
        <v>4.8898253472050035</v>
      </c>
      <c r="AC54" s="32">
        <f>'TUSD BE'!$AC$54*'TUSD BF'!$AC$63</f>
        <v>0</v>
      </c>
      <c r="AD54" s="32">
        <f>SUM($AC$54:$AC$54)</f>
        <v>0</v>
      </c>
      <c r="AE54" s="32">
        <f ca="1">$AO$54*$AO$60</f>
        <v>0</v>
      </c>
      <c r="AF54" s="32">
        <f ca="1">$AP$54*$AP$60</f>
        <v>0</v>
      </c>
      <c r="AG54" s="32">
        <f ca="1">SUM($AE$54:$AF$54)</f>
        <v>0</v>
      </c>
      <c r="AH54" s="32">
        <f>'TUSD BE'!$AH$54*'TUSD BF'!$AH$63</f>
        <v>4.2007647260049206</v>
      </c>
      <c r="AI54" s="32">
        <f>'TUSD BE'!$AI$54*'TUSD BF'!$AI$63</f>
        <v>0.30250424516894309</v>
      </c>
      <c r="AJ54" s="32">
        <f ca="1">'TUSD BE'!$AJ$54*'TUSD BF'!$AJ$63</f>
        <v>10.390448981872416</v>
      </c>
      <c r="AK54" s="32">
        <f ca="1">'TUSD BE'!$AK$54*'TUSD BF'!$AK$63</f>
        <v>0</v>
      </c>
      <c r="AL54" s="32">
        <f ca="1">SUM($AH$54:$AK$54)</f>
        <v>14.893717953046279</v>
      </c>
      <c r="AM54" s="32">
        <f ca="1">SUMIF($L$4:$AL$4,"SUBTOTAL",$L$54:$AL$54)</f>
        <v>19.237383418106688</v>
      </c>
      <c r="AO54" s="37">
        <f ca="1">+'TUSD BE'!$T$54+'TUSD BE'!$AB$54+'TUSD BE'!$AD$54+'TUSD BE'!$AL$54</f>
        <v>496.55049493364771</v>
      </c>
      <c r="AP54" s="37">
        <f ca="1">+'TUSD BE'!$T$54+'TUSD BE'!$AB$54+'TUSD BE'!$AD$54+'TUSD BE'!$AL$54</f>
        <v>496.55049493364771</v>
      </c>
    </row>
    <row r="55" spans="1:42" ht="11.25" customHeight="1" x14ac:dyDescent="0.25">
      <c r="A55" s="124" t="s">
        <v>49</v>
      </c>
      <c r="B55" s="124" t="s">
        <v>23</v>
      </c>
      <c r="C55" s="124" t="s">
        <v>50</v>
      </c>
      <c r="D55" s="35" t="s">
        <v>51</v>
      </c>
      <c r="E55" s="35" t="s">
        <v>25</v>
      </c>
      <c r="F55" s="35" t="s">
        <v>25</v>
      </c>
      <c r="G55" s="28" t="s">
        <v>92</v>
      </c>
      <c r="H55" s="28" t="s">
        <v>86</v>
      </c>
      <c r="I55" s="28">
        <f>'MERCADO TUSD'!$U$52</f>
        <v>200182.10399999999</v>
      </c>
      <c r="J55" s="18"/>
      <c r="L55" s="32">
        <f>'TUSD BE'!$L$55*'TUSD BF'!$L$63</f>
        <v>0</v>
      </c>
      <c r="M55" s="32">
        <f>'TUSD BE'!$M$55*'TUSD BF'!$M$63</f>
        <v>0</v>
      </c>
      <c r="N55" s="32">
        <f ca="1">'TUSD BE'!$N$55*'TUSD BF'!$N$63</f>
        <v>0</v>
      </c>
      <c r="O55" s="32">
        <f>'TUSD BE'!$O$55*'TUSD BF'!$O$63</f>
        <v>0</v>
      </c>
      <c r="P55" s="32">
        <f>'TUSD BE'!$P$55*'TUSD BF'!$P$63</f>
        <v>0</v>
      </c>
      <c r="Q55" s="32">
        <f>'TUSD BE'!$Q$55*'TUSD BF'!$Q$63</f>
        <v>-0.71262723561874453</v>
      </c>
      <c r="R55" s="32">
        <f>'TUSD BE'!$R$55*'TUSD BF'!$R$63</f>
        <v>0.41223930043921675</v>
      </c>
      <c r="S55" s="32">
        <f>'TUSD BE'!$R$55*'TUSD BF'!$S$63</f>
        <v>0</v>
      </c>
      <c r="T55" s="32">
        <f ca="1">SUM($L$55:$S$55)</f>
        <v>-0.30038793517952778</v>
      </c>
      <c r="U55" s="32">
        <f>'TUSD BE'!$U$55*'TUSD BF'!$U$63</f>
        <v>2.6812139806547348</v>
      </c>
      <c r="V55" s="32">
        <f>'TUSD BE'!$V$55*'TUSD BF'!$V$63</f>
        <v>8.1899603080170507E-3</v>
      </c>
      <c r="W55" s="32">
        <f>'TUSD BE'!$W$55*'TUSD BF'!$W$63</f>
        <v>0</v>
      </c>
      <c r="X55" s="32">
        <f>'TUSD BE'!$X$55*'TUSD BF'!$X$63</f>
        <v>0</v>
      </c>
      <c r="Y55" s="32">
        <f>'TUSD BE'!$Y$55*'TUSD BF'!$Y$63</f>
        <v>0</v>
      </c>
      <c r="Z55" s="32">
        <f>'TUSD BE'!$Z$55*'TUSD BF'!$Z$63</f>
        <v>0</v>
      </c>
      <c r="AA55" s="32">
        <f>'TUSD BE'!$AA$55*'TUSD BF'!$AA$63</f>
        <v>0</v>
      </c>
      <c r="AB55" s="32">
        <f>SUM($U$55:$AA$55)</f>
        <v>2.6894039409627517</v>
      </c>
      <c r="AC55" s="32">
        <f>'TUSD BE'!$AC$55*'TUSD BF'!$AC$63</f>
        <v>0</v>
      </c>
      <c r="AD55" s="32">
        <f>SUM($AC$55:$AC$55)</f>
        <v>0</v>
      </c>
      <c r="AE55" s="32">
        <f ca="1">$AO$55*$AO$60</f>
        <v>0</v>
      </c>
      <c r="AF55" s="32">
        <f ca="1">$AP$55*$AP$60</f>
        <v>0</v>
      </c>
      <c r="AG55" s="32">
        <f ca="1">SUM($AE$55:$AF$55)</f>
        <v>0</v>
      </c>
      <c r="AH55" s="32">
        <f>'TUSD BE'!$AH$55*'TUSD BF'!$AH$63</f>
        <v>2.3104205993027063</v>
      </c>
      <c r="AI55" s="32">
        <f>'TUSD BE'!$AI$55*'TUSD BF'!$AI$63</f>
        <v>0.16637733484291872</v>
      </c>
      <c r="AJ55" s="32">
        <f ca="1">'TUSD BE'!$AJ$55*'TUSD BF'!$AJ$63</f>
        <v>5.7147469400298281</v>
      </c>
      <c r="AK55" s="32">
        <f ca="1">'TUSD BE'!$AK$55*'TUSD BF'!$AK$63</f>
        <v>0</v>
      </c>
      <c r="AL55" s="32">
        <f ca="1">SUM($AH$55:$AK$55)</f>
        <v>8.1915448741754524</v>
      </c>
      <c r="AM55" s="32">
        <f ca="1">SUMIF($L$4:$AL$4,"SUBTOTAL",$L$55:$AL$55)</f>
        <v>10.580560879958677</v>
      </c>
      <c r="AO55" s="37">
        <f ca="1">+'TUSD BE'!$T$55+'TUSD BE'!$AB$55+'TUSD BE'!$AD$55+'TUSD BE'!$AL$55</f>
        <v>273.10277221350628</v>
      </c>
      <c r="AP55" s="37">
        <f ca="1">+'TUSD BE'!$T$55+'TUSD BE'!$AB$55+'TUSD BE'!$AD$55+'TUSD BE'!$AL$55</f>
        <v>273.10277221350628</v>
      </c>
    </row>
    <row r="56" spans="1:42" ht="11.25" customHeight="1" x14ac:dyDescent="0.25">
      <c r="A56" s="124"/>
      <c r="B56" s="124"/>
      <c r="C56" s="124"/>
      <c r="D56" s="28" t="s">
        <v>102</v>
      </c>
      <c r="E56" s="28" t="s">
        <v>25</v>
      </c>
      <c r="F56" s="28" t="s">
        <v>25</v>
      </c>
      <c r="G56" s="28" t="s">
        <v>92</v>
      </c>
      <c r="H56" s="28" t="s">
        <v>86</v>
      </c>
      <c r="I56" s="28">
        <f>'MERCADO TUSD'!$U$53</f>
        <v>0</v>
      </c>
      <c r="J56" s="18"/>
      <c r="L56" s="32">
        <f>'TUSD BE'!$L$56*'TUSD BF'!$L$63</f>
        <v>0</v>
      </c>
      <c r="M56" s="32">
        <f>'TUSD BE'!$M$56*'TUSD BF'!$M$63</f>
        <v>0</v>
      </c>
      <c r="N56" s="32">
        <f ca="1">'TUSD BE'!$N$56*'TUSD BF'!$N$63</f>
        <v>0</v>
      </c>
      <c r="O56" s="32">
        <f>'TUSD BE'!$O$56*'TUSD BF'!$O$63</f>
        <v>0</v>
      </c>
      <c r="P56" s="32">
        <f>'TUSD BE'!$P$56*'TUSD BF'!$P$63</f>
        <v>0</v>
      </c>
      <c r="Q56" s="32">
        <f>'TUSD BE'!$Q$56*'TUSD BF'!$Q$63</f>
        <v>-0.77741152976590311</v>
      </c>
      <c r="R56" s="32">
        <f>'TUSD BE'!$R$56*'TUSD BF'!$R$63</f>
        <v>0.44971560047914549</v>
      </c>
      <c r="S56" s="32">
        <f>'TUSD BE'!$R$56*'TUSD BF'!$S$63</f>
        <v>0</v>
      </c>
      <c r="T56" s="32">
        <f ca="1">SUM($L$56:$S$56)</f>
        <v>-0.32769592928675761</v>
      </c>
      <c r="U56" s="32">
        <f>'TUSD BE'!$U$56*'TUSD BF'!$U$63</f>
        <v>2.9249607061688017</v>
      </c>
      <c r="V56" s="32">
        <f>'TUSD BE'!$V$56*'TUSD BF'!$V$63</f>
        <v>8.9345021542004185E-3</v>
      </c>
      <c r="W56" s="32">
        <f>'TUSD BE'!$W$56*'TUSD BF'!$W$63</f>
        <v>0</v>
      </c>
      <c r="X56" s="32">
        <f>'TUSD BE'!$X$56*'TUSD BF'!$X$63</f>
        <v>0</v>
      </c>
      <c r="Y56" s="32">
        <f>'TUSD BE'!$Y$56*'TUSD BF'!$Y$63</f>
        <v>0</v>
      </c>
      <c r="Z56" s="32">
        <f>'TUSD BE'!$Z$56*'TUSD BF'!$Z$63</f>
        <v>0</v>
      </c>
      <c r="AA56" s="32">
        <f>'TUSD BE'!$AA$56*'TUSD BF'!$AA$63</f>
        <v>0</v>
      </c>
      <c r="AB56" s="32">
        <f>SUM($U$56:$AA$56)</f>
        <v>2.9338952083230021</v>
      </c>
      <c r="AC56" s="32">
        <f>'TUSD BE'!$AC$56*'TUSD BF'!$AC$63</f>
        <v>0</v>
      </c>
      <c r="AD56" s="32">
        <f>SUM($AC$56:$AC$56)</f>
        <v>0</v>
      </c>
      <c r="AE56" s="32">
        <f ca="1">$AO$56*$AO$60</f>
        <v>0</v>
      </c>
      <c r="AF56" s="32">
        <f ca="1">$AP$56*$AP$60</f>
        <v>0</v>
      </c>
      <c r="AG56" s="32">
        <f ca="1">SUM($AE$56:$AF$56)</f>
        <v>0</v>
      </c>
      <c r="AH56" s="32">
        <f>'TUSD BE'!$AH$56*'TUSD BF'!$AH$63</f>
        <v>2.5204588356029518</v>
      </c>
      <c r="AI56" s="32">
        <f>'TUSD BE'!$AI$56*'TUSD BF'!$AI$63</f>
        <v>0.18150254710136587</v>
      </c>
      <c r="AJ56" s="32">
        <f ca="1">'TUSD BE'!$AJ$56*'TUSD BF'!$AJ$63</f>
        <v>6.2342693891234484</v>
      </c>
      <c r="AK56" s="32">
        <f ca="1">'TUSD BE'!$AK$56*'TUSD BF'!$AK$63</f>
        <v>0</v>
      </c>
      <c r="AL56" s="32">
        <f ca="1">SUM($AH$56:$AK$56)</f>
        <v>8.9362307718277663</v>
      </c>
      <c r="AM56" s="32">
        <f ca="1">SUMIF($L$4:$AL$4,"SUBTOTAL",$L$56:$AL$56)</f>
        <v>11.542430050864011</v>
      </c>
      <c r="AO56" s="37">
        <f ca="1">+'TUSD BE'!$T$56+'TUSD BE'!$AB$56+'TUSD BE'!$AD$56+'TUSD BE'!$AL$56</f>
        <v>297.93029696018863</v>
      </c>
      <c r="AP56" s="37">
        <f ca="1">+'TUSD BE'!$T$56+'TUSD BE'!$AB$56+'TUSD BE'!$AD$56+'TUSD BE'!$AL$56</f>
        <v>297.93029696018863</v>
      </c>
    </row>
    <row r="58" spans="1:42" ht="11.25" customHeight="1" x14ac:dyDescent="0.25">
      <c r="K58" s="34" t="s">
        <v>755</v>
      </c>
      <c r="L58" s="32">
        <f>SUMPRODUCT($I$5:$I56,$L$5:$L56)</f>
        <v>0</v>
      </c>
      <c r="M58" s="32">
        <f>SUMPRODUCT($I$5:$I56,$M$5:$M56)</f>
        <v>0</v>
      </c>
      <c r="N58" s="32">
        <f ca="1">SUMPRODUCT($I$5:$I56,$N$5:$N56)</f>
        <v>0</v>
      </c>
      <c r="O58" s="32">
        <f>SUMPRODUCT($I$5:$I56,$O$5:$O56)</f>
        <v>0</v>
      </c>
      <c r="P58" s="32">
        <f>SUMPRODUCT($I$5:$I56,$P$5:$P56)</f>
        <v>0</v>
      </c>
      <c r="Q58" s="32">
        <f>SUMPRODUCT($I$5:$I56,$Q$5:$Q56)</f>
        <v>-6633262.1203369768</v>
      </c>
      <c r="R58" s="32">
        <f>SUMPRODUCT($I$5:$I56,$R$5:$R56)</f>
        <v>4298926.9364788132</v>
      </c>
      <c r="S58" s="32">
        <f>SUMPRODUCT($I$5:$I56,$S$5:$S56)</f>
        <v>0</v>
      </c>
      <c r="T58" s="32">
        <f ca="1">SUMPRODUCT($I$5:$I56,$T$5:$T56)</f>
        <v>-2334335.1838581641</v>
      </c>
      <c r="U58" s="32">
        <f>SUMPRODUCT($I$5:$I56,$U$5:$U56)</f>
        <v>26311802.053537678</v>
      </c>
      <c r="V58" s="32">
        <f>SUMPRODUCT($I$5:$I56,$V$5:$V56)</f>
        <v>82715.36127304098</v>
      </c>
      <c r="W58" s="32">
        <f>SUMPRODUCT($I$5:$I56,$W$5:$W56)</f>
        <v>0</v>
      </c>
      <c r="X58" s="32">
        <f>SUMPRODUCT($I$5:$I56,$X$5:$X56)</f>
        <v>0</v>
      </c>
      <c r="Y58" s="32">
        <f>SUMPRODUCT($I$5:$I56,$Y$5:$Y56)</f>
        <v>0</v>
      </c>
      <c r="Z58" s="32">
        <f>SUMPRODUCT($I$5:$I56,$Z$5:$Z56)</f>
        <v>0</v>
      </c>
      <c r="AA58" s="32">
        <f>SUMPRODUCT($I$5:$I56,$AA$5:$AA56)</f>
        <v>0</v>
      </c>
      <c r="AB58" s="32">
        <f>SUMPRODUCT($I$5:$I56,$AB$5:$AB56)</f>
        <v>26394517.414810721</v>
      </c>
      <c r="AC58" s="32">
        <f>SUMPRODUCT($I$5:$I56,$AC$5:$AC56)</f>
        <v>0</v>
      </c>
      <c r="AD58" s="32">
        <f>SUMPRODUCT($I$5:$I56,$AD$5:$AD56)</f>
        <v>0</v>
      </c>
      <c r="AE58" s="32">
        <f ca="1">SUMPRODUCT($I$5:$I56,$AE$5:$AE56)</f>
        <v>0</v>
      </c>
      <c r="AF58" s="32">
        <f ca="1">SUMPRODUCT($I$5:$I56,$AF$5:$AF56)</f>
        <v>0</v>
      </c>
      <c r="AG58" s="32">
        <f ca="1">SUMPRODUCT($I$5:$I56,$AG$5:$AG56)</f>
        <v>0</v>
      </c>
      <c r="AH58" s="32">
        <f>SUMPRODUCT($I$5:$I56,$AH$5:$AH56)</f>
        <v>16054813.951035805</v>
      </c>
      <c r="AI58" s="32">
        <f>SUMPRODUCT($I$5:$I56,$AI$5:$AI56)</f>
        <v>1110872.2509326711</v>
      </c>
      <c r="AJ58" s="32">
        <f ca="1">SUMPRODUCT($I$5:$I56,$AJ$5:$AJ56)</f>
        <v>51128295.513252199</v>
      </c>
      <c r="AK58" s="32">
        <f ca="1">SUMPRODUCT($I$5:$I56,$AK$5:$AK56)</f>
        <v>0</v>
      </c>
      <c r="AL58" s="32">
        <f ca="1">SUMPRODUCT($I$5:$I56,$AL$5:$AL56)</f>
        <v>68293981.715220675</v>
      </c>
      <c r="AM58" s="32">
        <f ca="1">SUMPRODUCT($I$5:$I56,$AM$5:$AM56)</f>
        <v>92354163.946173236</v>
      </c>
      <c r="AO58" s="28">
        <f ca="1">SUMPRODUCT($I$5:$I56,$AO$5:$AO56)</f>
        <v>2442013267.2574902</v>
      </c>
      <c r="AP58" s="28">
        <f ca="1">SUMPRODUCT($I$5:$I56,$AP$5:$AP56)</f>
        <v>2442013267.2574902</v>
      </c>
    </row>
    <row r="59" spans="1:42" ht="11.25" customHeight="1" x14ac:dyDescent="0.25">
      <c r="K59" s="34" t="s">
        <v>687</v>
      </c>
      <c r="L59" s="32">
        <f>'TR TUSD'!$L$61</f>
        <v>72181534.130150154</v>
      </c>
      <c r="M59" s="32">
        <f>'TR TUSD'!$M$61</f>
        <v>4179133.5218580877</v>
      </c>
      <c r="N59" s="32">
        <f>'TR TUSD'!$N$61</f>
        <v>22575633.620101996</v>
      </c>
      <c r="O59" s="32">
        <f>'TR TUSD'!$O$61</f>
        <v>0</v>
      </c>
      <c r="P59" s="32">
        <f>'TR TUSD'!$P$61</f>
        <v>0</v>
      </c>
      <c r="Q59" s="32">
        <f>'TR TUSD'!$Q$61</f>
        <v>120915355.983422</v>
      </c>
      <c r="R59" s="32">
        <f>'TR TUSD'!$R$61</f>
        <v>54813707.898093797</v>
      </c>
      <c r="S59" s="32">
        <f>'TR TUSD'!$S$61</f>
        <v>0</v>
      </c>
      <c r="T59" s="32">
        <f>'TR TUSD'!$T$61</f>
        <v>274665365.15362602</v>
      </c>
      <c r="U59" s="32">
        <f>'TR TUSD'!$U$61</f>
        <v>194083962</v>
      </c>
      <c r="V59" s="32">
        <f>'TR TUSD'!$V$61</f>
        <v>610134</v>
      </c>
      <c r="W59" s="32">
        <f>'TR TUSD'!$W$61</f>
        <v>389243.48643104901</v>
      </c>
      <c r="X59" s="32">
        <f>'TR TUSD'!$X$61</f>
        <v>0</v>
      </c>
      <c r="Y59" s="32">
        <f>'TR TUSD'!$Y$61</f>
        <v>386771.25215000001</v>
      </c>
      <c r="Z59" s="32">
        <f>'TR TUSD'!$Z$61</f>
        <v>0</v>
      </c>
      <c r="AA59" s="32">
        <f>'TR TUSD'!$AA$61</f>
        <v>0</v>
      </c>
      <c r="AB59" s="32">
        <f>'TR TUSD'!$AB$61</f>
        <v>195470110.73858106</v>
      </c>
      <c r="AC59" s="32">
        <f>'TR TUSD'!$AC$61</f>
        <v>1160069789.4960818</v>
      </c>
      <c r="AD59" s="32">
        <f>'TR TUSD'!$AD$61</f>
        <v>1160069789.4960818</v>
      </c>
      <c r="AE59" s="32">
        <f>'TR TUSD'!$AE$61</f>
        <v>0</v>
      </c>
      <c r="AF59" s="32">
        <f>'TR TUSD'!$AF$61</f>
        <v>0</v>
      </c>
      <c r="AG59" s="32">
        <f>'TR TUSD'!$AG$61</f>
        <v>0</v>
      </c>
      <c r="AH59" s="32">
        <f>'TR TUSD'!$AH$61</f>
        <v>175986808.34960496</v>
      </c>
      <c r="AI59" s="32">
        <f>'TR TUSD'!$AI$61</f>
        <v>12176962.157395126</v>
      </c>
      <c r="AJ59" s="32">
        <f>'TR TUSD'!$AJ$61</f>
        <v>560449069.74161279</v>
      </c>
      <c r="AK59" s="32">
        <f>'TR TUSD'!$AK$61</f>
        <v>63195161.620588377</v>
      </c>
      <c r="AL59" s="32">
        <f>'TR TUSD'!$AL$61</f>
        <v>811808001.8692013</v>
      </c>
      <c r="AM59" s="32">
        <f>CUSTOS!$D$29</f>
        <v>2442013267.2574902</v>
      </c>
      <c r="AO59" s="28">
        <f>$AE$61</f>
        <v>0</v>
      </c>
      <c r="AP59" s="28">
        <f>$AF$61</f>
        <v>0</v>
      </c>
    </row>
    <row r="60" spans="1:42" ht="11.25" customHeight="1" x14ac:dyDescent="0.25">
      <c r="K60" s="34" t="s">
        <v>688</v>
      </c>
      <c r="L60" s="32">
        <f>CUSTOS!$E$2</f>
        <v>0</v>
      </c>
      <c r="M60" s="32">
        <f>CUSTOS!$E$3</f>
        <v>61601.634509554628</v>
      </c>
      <c r="N60" s="32">
        <f>CUSTOS!$E$4</f>
        <v>-88.313053589204415</v>
      </c>
      <c r="O60" s="32">
        <f>CUSTOS!$E$5</f>
        <v>0</v>
      </c>
      <c r="P60" s="32">
        <f>CUSTOS!$E$6</f>
        <v>0</v>
      </c>
      <c r="Q60" s="32">
        <f>CUSTOS!$E$7</f>
        <v>-2902317.5432966761</v>
      </c>
      <c r="R60" s="32">
        <f>CUSTOS!$E$8</f>
        <v>1776312.7715905691</v>
      </c>
      <c r="S60" s="32">
        <f>CUSTOS!$E$9</f>
        <v>0</v>
      </c>
      <c r="T60" s="32">
        <f>CUSTOS!$E$10</f>
        <v>-1064491.4502501418</v>
      </c>
      <c r="U60" s="32">
        <f>CUSTOS!$E$11</f>
        <v>8035653.6614109576</v>
      </c>
      <c r="V60" s="32">
        <f>CUSTOS!$E$12</f>
        <v>2210177.0457875426</v>
      </c>
      <c r="W60" s="32">
        <f>CUSTOS!$E$13</f>
        <v>-57466.450171266639</v>
      </c>
      <c r="X60" s="32">
        <f>CUSTOS!$E$14</f>
        <v>0</v>
      </c>
      <c r="Y60" s="32">
        <f>CUSTOS!$E$15</f>
        <v>-395173.30076672439</v>
      </c>
      <c r="Z60" s="32">
        <f>CUSTOS!$E$16</f>
        <v>0</v>
      </c>
      <c r="AA60" s="32">
        <f>CUSTOS!$E$17</f>
        <v>0</v>
      </c>
      <c r="AB60" s="32">
        <f>CUSTOS!$E$18</f>
        <v>9793190.9562605098</v>
      </c>
      <c r="AC60" s="32">
        <f>CUSTOS!$E$19</f>
        <v>-3594572.5300000003</v>
      </c>
      <c r="AD60" s="32">
        <f>CUSTOS!$E$20</f>
        <v>-3594572.5300000003</v>
      </c>
      <c r="AE60" s="32">
        <f>CUSTOS!$E$21</f>
        <v>0</v>
      </c>
      <c r="AF60" s="32">
        <f>CUSTOS!$E$22</f>
        <v>0</v>
      </c>
      <c r="AG60" s="32">
        <f>CUSTOS!$E$23</f>
        <v>0</v>
      </c>
      <c r="AH60" s="32">
        <f>CUSTOS!$E$24</f>
        <v>-16040200.365766177</v>
      </c>
      <c r="AI60" s="32">
        <f>CUSTOS!$E$25</f>
        <v>-1109861.1008556804</v>
      </c>
      <c r="AJ60" s="32">
        <f>CUSTOS!$E$26</f>
        <v>-51081756.966717049</v>
      </c>
      <c r="AK60" s="32">
        <f>CUSTOS!$E$27</f>
        <v>23540744.810586918</v>
      </c>
      <c r="AL60" s="32">
        <f>CUSTOS!$E$28</f>
        <v>-44691073.622751996</v>
      </c>
      <c r="AM60" s="32">
        <f>CUSTOS!$E$29</f>
        <v>-39556946.646741629</v>
      </c>
      <c r="AO60" s="28">
        <f ca="1">IF(AO58&lt;&gt;0,AO59/AO58,0)</f>
        <v>0</v>
      </c>
      <c r="AP60" s="28">
        <f ca="1">IF(AP58&lt;&gt;0,AP59/AP58,0)</f>
        <v>0</v>
      </c>
    </row>
    <row r="61" spans="1:42" ht="11.25" customHeight="1" x14ac:dyDescent="0.25">
      <c r="K61" s="34" t="s">
        <v>689</v>
      </c>
      <c r="L61" s="32">
        <f>CUSTOS!$F$2</f>
        <v>0</v>
      </c>
      <c r="M61" s="32">
        <f>CUSTOS!$F$3</f>
        <v>0</v>
      </c>
      <c r="N61" s="32">
        <f>CUSTOS!$F$4</f>
        <v>0</v>
      </c>
      <c r="O61" s="32">
        <f>CUSTOS!$F$5</f>
        <v>0</v>
      </c>
      <c r="P61" s="32">
        <f>CUSTOS!$F$6</f>
        <v>0</v>
      </c>
      <c r="Q61" s="32">
        <f>CUSTOS!$F$7</f>
        <v>-6633262.1203369778</v>
      </c>
      <c r="R61" s="32">
        <f>CUSTOS!$F$8</f>
        <v>4298926.9364788132</v>
      </c>
      <c r="S61" s="32">
        <f>CUSTOS!$F$9</f>
        <v>0</v>
      </c>
      <c r="T61" s="32">
        <f>CUSTOS!$F$10</f>
        <v>-2334335.1838581646</v>
      </c>
      <c r="U61" s="32">
        <f>CUSTOS!$F$11</f>
        <v>26311802.053537685</v>
      </c>
      <c r="V61" s="32">
        <f>CUSTOS!$F$12</f>
        <v>82715.361273040995</v>
      </c>
      <c r="W61" s="32">
        <f>CUSTOS!$F$13</f>
        <v>0</v>
      </c>
      <c r="X61" s="32">
        <f>CUSTOS!$F$14</f>
        <v>0</v>
      </c>
      <c r="Y61" s="32">
        <f>CUSTOS!$F$15</f>
        <v>0</v>
      </c>
      <c r="Z61" s="32">
        <f>CUSTOS!$F$16</f>
        <v>0</v>
      </c>
      <c r="AA61" s="32">
        <f>CUSTOS!$F$17</f>
        <v>0</v>
      </c>
      <c r="AB61" s="32">
        <f>CUSTOS!$F$18</f>
        <v>26394517.414810725</v>
      </c>
      <c r="AC61" s="32">
        <f>CUSTOS!$F$19</f>
        <v>0</v>
      </c>
      <c r="AD61" s="32">
        <f>CUSTOS!$F$20</f>
        <v>0</v>
      </c>
      <c r="AE61" s="32">
        <f>CUSTOS!$F$21</f>
        <v>0</v>
      </c>
      <c r="AF61" s="32">
        <f>CUSTOS!$F$22</f>
        <v>0</v>
      </c>
      <c r="AG61" s="32">
        <f>CUSTOS!$F$23</f>
        <v>0</v>
      </c>
      <c r="AH61" s="32">
        <f>CUSTOS!$F$24</f>
        <v>16054813.951035799</v>
      </c>
      <c r="AI61" s="32">
        <f>CUSTOS!$F$25</f>
        <v>1110872.2509326711</v>
      </c>
      <c r="AJ61" s="32">
        <f>CUSTOS!$F$26</f>
        <v>51128295.513252199</v>
      </c>
      <c r="AK61" s="32">
        <f>CUSTOS!$F$27</f>
        <v>0</v>
      </c>
      <c r="AL61" s="32">
        <f>CUSTOS!$F$28</f>
        <v>68293981.71522066</v>
      </c>
      <c r="AM61" s="32">
        <f>CUSTOS!$F$29</f>
        <v>92354163.946173221</v>
      </c>
    </row>
    <row r="62" spans="1:42" ht="11.25" customHeight="1" x14ac:dyDescent="0.25">
      <c r="K62" s="34" t="s">
        <v>752</v>
      </c>
      <c r="L62" s="32">
        <v>0</v>
      </c>
      <c r="M62" s="32">
        <v>0</v>
      </c>
      <c r="N62" s="32">
        <v>0</v>
      </c>
      <c r="O62" s="32">
        <v>0</v>
      </c>
      <c r="P62" s="32">
        <v>0</v>
      </c>
      <c r="Q62" s="32">
        <v>0</v>
      </c>
      <c r="R62" s="32">
        <v>0</v>
      </c>
      <c r="S62" s="32">
        <v>0</v>
      </c>
      <c r="T62" s="32"/>
      <c r="U62" s="32">
        <v>0</v>
      </c>
      <c r="V62" s="32">
        <v>0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/>
      <c r="AC62" s="32">
        <v>0</v>
      </c>
      <c r="AD62" s="32"/>
      <c r="AE62" s="32">
        <v>0</v>
      </c>
      <c r="AF62" s="32">
        <v>0</v>
      </c>
      <c r="AG62" s="32"/>
      <c r="AH62" s="32">
        <v>0</v>
      </c>
      <c r="AI62" s="32">
        <v>0</v>
      </c>
      <c r="AJ62" s="32">
        <v>0</v>
      </c>
      <c r="AK62" s="32">
        <v>0</v>
      </c>
      <c r="AL62" s="32"/>
      <c r="AM62" s="32"/>
    </row>
  </sheetData>
  <mergeCells count="79">
    <mergeCell ref="E50:E52"/>
    <mergeCell ref="F50:F52"/>
    <mergeCell ref="A55:A56"/>
    <mergeCell ref="B55:B56"/>
    <mergeCell ref="C55:C56"/>
    <mergeCell ref="D50:D52"/>
    <mergeCell ref="B47:B49"/>
    <mergeCell ref="C47:C49"/>
    <mergeCell ref="A50:A54"/>
    <mergeCell ref="B50:B52"/>
    <mergeCell ref="C50:C52"/>
    <mergeCell ref="A35:A49"/>
    <mergeCell ref="B35:B37"/>
    <mergeCell ref="C35:C37"/>
    <mergeCell ref="B43:B45"/>
    <mergeCell ref="C43:C45"/>
    <mergeCell ref="B39:B41"/>
    <mergeCell ref="C39:C41"/>
    <mergeCell ref="D43:D45"/>
    <mergeCell ref="E43:E45"/>
    <mergeCell ref="F43:F45"/>
    <mergeCell ref="D35:D37"/>
    <mergeCell ref="E35:E37"/>
    <mergeCell ref="F35:F37"/>
    <mergeCell ref="D39:D41"/>
    <mergeCell ref="E39:E41"/>
    <mergeCell ref="F39:F41"/>
    <mergeCell ref="A22:A34"/>
    <mergeCell ref="B22:B24"/>
    <mergeCell ref="C22:C24"/>
    <mergeCell ref="D22:D24"/>
    <mergeCell ref="E22:E24"/>
    <mergeCell ref="F22:F24"/>
    <mergeCell ref="B25:B29"/>
    <mergeCell ref="C25:C29"/>
    <mergeCell ref="B30:B34"/>
    <mergeCell ref="C30:C34"/>
    <mergeCell ref="F15:F17"/>
    <mergeCell ref="E18:E19"/>
    <mergeCell ref="F18:F19"/>
    <mergeCell ref="A20:A21"/>
    <mergeCell ref="B20:B21"/>
    <mergeCell ref="C20:C21"/>
    <mergeCell ref="D20:D21"/>
    <mergeCell ref="A10:A19"/>
    <mergeCell ref="B10:B13"/>
    <mergeCell ref="C10:C13"/>
    <mergeCell ref="D10:D13"/>
    <mergeCell ref="E10:E12"/>
    <mergeCell ref="F10:F12"/>
    <mergeCell ref="B15:B19"/>
    <mergeCell ref="C15:C19"/>
    <mergeCell ref="D15:D19"/>
    <mergeCell ref="E15:E17"/>
    <mergeCell ref="AE3:AG3"/>
    <mergeCell ref="AH3:AL3"/>
    <mergeCell ref="AM3:AM4"/>
    <mergeCell ref="A5:A9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M1"/>
    <mergeCell ref="A1:A4"/>
    <mergeCell ref="AP1:AP4"/>
    <mergeCell ref="L2:AM2"/>
    <mergeCell ref="L3:T3"/>
    <mergeCell ref="U3:AB3"/>
    <mergeCell ref="AC3:AD3"/>
    <mergeCell ref="B1:B4"/>
    <mergeCell ref="C1:C4"/>
    <mergeCell ref="D1:D4"/>
    <mergeCell ref="E1:E4"/>
    <mergeCell ref="F1:F4"/>
  </mergeCells>
  <conditionalFormatting sqref="L58">
    <cfRule type="cellIs" dxfId="1206" priority="55" operator="notEqual">
      <formula>$L$61</formula>
    </cfRule>
    <cfRule type="cellIs" dxfId="1205" priority="56" operator="equal">
      <formula>$L$61</formula>
    </cfRule>
  </conditionalFormatting>
  <conditionalFormatting sqref="M58">
    <cfRule type="cellIs" dxfId="1204" priority="53" operator="notEqual">
      <formula>$M$61</formula>
    </cfRule>
    <cfRule type="cellIs" dxfId="1203" priority="54" operator="equal">
      <formula>$M$61</formula>
    </cfRule>
  </conditionalFormatting>
  <conditionalFormatting sqref="N58">
    <cfRule type="cellIs" dxfId="1202" priority="51" operator="notEqual">
      <formula>$N$61</formula>
    </cfRule>
    <cfRule type="cellIs" dxfId="1201" priority="52" operator="equal">
      <formula>$N$61</formula>
    </cfRule>
  </conditionalFormatting>
  <conditionalFormatting sqref="O58">
    <cfRule type="cellIs" dxfId="1200" priority="49" operator="notEqual">
      <formula>$O$61</formula>
    </cfRule>
    <cfRule type="cellIs" dxfId="1199" priority="50" operator="equal">
      <formula>$O$61</formula>
    </cfRule>
  </conditionalFormatting>
  <conditionalFormatting sqref="P58">
    <cfRule type="cellIs" dxfId="1198" priority="47" operator="notEqual">
      <formula>$P$61</formula>
    </cfRule>
    <cfRule type="cellIs" dxfId="1197" priority="48" operator="equal">
      <formula>$P$61</formula>
    </cfRule>
  </conditionalFormatting>
  <conditionalFormatting sqref="Q58">
    <cfRule type="cellIs" dxfId="1196" priority="45" operator="notEqual">
      <formula>$Q$61</formula>
    </cfRule>
    <cfRule type="cellIs" dxfId="1195" priority="46" operator="equal">
      <formula>$Q$61</formula>
    </cfRule>
  </conditionalFormatting>
  <conditionalFormatting sqref="R58">
    <cfRule type="cellIs" dxfId="1194" priority="43" operator="notEqual">
      <formula>$R$61</formula>
    </cfRule>
    <cfRule type="cellIs" dxfId="1193" priority="44" operator="equal">
      <formula>$R$61</formula>
    </cfRule>
  </conditionalFormatting>
  <conditionalFormatting sqref="S58">
    <cfRule type="cellIs" dxfId="1192" priority="41" operator="notEqual">
      <formula>$S$61</formula>
    </cfRule>
    <cfRule type="cellIs" dxfId="1191" priority="42" operator="equal">
      <formula>$S$61</formula>
    </cfRule>
  </conditionalFormatting>
  <conditionalFormatting sqref="T58">
    <cfRule type="cellIs" dxfId="1190" priority="39" operator="notEqual">
      <formula>$T$61</formula>
    </cfRule>
    <cfRule type="cellIs" dxfId="1189" priority="40" operator="equal">
      <formula>$T$61</formula>
    </cfRule>
  </conditionalFormatting>
  <conditionalFormatting sqref="U58">
    <cfRule type="cellIs" dxfId="1188" priority="37" operator="notEqual">
      <formula>$U$61</formula>
    </cfRule>
    <cfRule type="cellIs" dxfId="1187" priority="38" operator="equal">
      <formula>$U$61</formula>
    </cfRule>
  </conditionalFormatting>
  <conditionalFormatting sqref="V58">
    <cfRule type="cellIs" dxfId="1186" priority="35" operator="notEqual">
      <formula>$V$61</formula>
    </cfRule>
    <cfRule type="cellIs" dxfId="1185" priority="36" operator="equal">
      <formula>$V$61</formula>
    </cfRule>
  </conditionalFormatting>
  <conditionalFormatting sqref="W58">
    <cfRule type="cellIs" dxfId="1184" priority="33" operator="notEqual">
      <formula>$W$61</formula>
    </cfRule>
    <cfRule type="cellIs" dxfId="1183" priority="34" operator="equal">
      <formula>$W$61</formula>
    </cfRule>
  </conditionalFormatting>
  <conditionalFormatting sqref="X58">
    <cfRule type="cellIs" dxfId="1182" priority="31" operator="notEqual">
      <formula>$X$61</formula>
    </cfRule>
    <cfRule type="cellIs" dxfId="1181" priority="32" operator="equal">
      <formula>$X$61</formula>
    </cfRule>
  </conditionalFormatting>
  <conditionalFormatting sqref="Y58">
    <cfRule type="cellIs" dxfId="1180" priority="29" operator="notEqual">
      <formula>$Y$61</formula>
    </cfRule>
    <cfRule type="cellIs" dxfId="1179" priority="30" operator="equal">
      <formula>$Y$61</formula>
    </cfRule>
  </conditionalFormatting>
  <conditionalFormatting sqref="Z58">
    <cfRule type="cellIs" dxfId="1178" priority="27" operator="notEqual">
      <formula>$Z$61</formula>
    </cfRule>
    <cfRule type="cellIs" dxfId="1177" priority="28" operator="equal">
      <formula>$Z$61</formula>
    </cfRule>
  </conditionalFormatting>
  <conditionalFormatting sqref="AA58">
    <cfRule type="cellIs" dxfId="1176" priority="25" operator="notEqual">
      <formula>$AA$61</formula>
    </cfRule>
    <cfRule type="cellIs" dxfId="1175" priority="26" operator="equal">
      <formula>$AA$61</formula>
    </cfRule>
  </conditionalFormatting>
  <conditionalFormatting sqref="AB58">
    <cfRule type="cellIs" dxfId="1174" priority="23" operator="notEqual">
      <formula>$AB$61</formula>
    </cfRule>
    <cfRule type="cellIs" dxfId="1173" priority="24" operator="equal">
      <formula>$AB$61</formula>
    </cfRule>
  </conditionalFormatting>
  <conditionalFormatting sqref="AC58">
    <cfRule type="cellIs" dxfId="1172" priority="21" operator="notEqual">
      <formula>$AC$61</formula>
    </cfRule>
    <cfRule type="cellIs" dxfId="1171" priority="22" operator="equal">
      <formula>$AC$61</formula>
    </cfRule>
  </conditionalFormatting>
  <conditionalFormatting sqref="AD58">
    <cfRule type="cellIs" dxfId="1170" priority="19" operator="notEqual">
      <formula>$AD$61</formula>
    </cfRule>
    <cfRule type="cellIs" dxfId="1169" priority="20" operator="equal">
      <formula>$AD$61</formula>
    </cfRule>
  </conditionalFormatting>
  <conditionalFormatting sqref="AE58">
    <cfRule type="cellIs" dxfId="1168" priority="17" operator="notEqual">
      <formula>$AE$61</formula>
    </cfRule>
    <cfRule type="cellIs" dxfId="1167" priority="18" operator="equal">
      <formula>$AE$61</formula>
    </cfRule>
  </conditionalFormatting>
  <conditionalFormatting sqref="AF58">
    <cfRule type="cellIs" dxfId="1166" priority="16" operator="equal">
      <formula>$AF$61</formula>
    </cfRule>
  </conditionalFormatting>
  <conditionalFormatting sqref="AF58">
    <cfRule type="cellIs" dxfId="1165" priority="15" operator="notEqual">
      <formula>$AF$61</formula>
    </cfRule>
  </conditionalFormatting>
  <conditionalFormatting sqref="AG58">
    <cfRule type="cellIs" dxfId="1164" priority="14" operator="equal">
      <formula>$AG$61</formula>
    </cfRule>
  </conditionalFormatting>
  <conditionalFormatting sqref="AG58">
    <cfRule type="cellIs" dxfId="1163" priority="13" operator="notEqual">
      <formula>$AG$61</formula>
    </cfRule>
  </conditionalFormatting>
  <conditionalFormatting sqref="AH58">
    <cfRule type="cellIs" dxfId="1162" priority="12" operator="equal">
      <formula>$AH$61</formula>
    </cfRule>
  </conditionalFormatting>
  <conditionalFormatting sqref="AH58">
    <cfRule type="cellIs" dxfId="1161" priority="11" operator="notEqual">
      <formula>$AH$61</formula>
    </cfRule>
  </conditionalFormatting>
  <conditionalFormatting sqref="AI58">
    <cfRule type="cellIs" dxfId="1160" priority="10" operator="equal">
      <formula>$AI$61</formula>
    </cfRule>
  </conditionalFormatting>
  <conditionalFormatting sqref="AI58">
    <cfRule type="cellIs" dxfId="1159" priority="9" operator="notEqual">
      <formula>$AI$61</formula>
    </cfRule>
  </conditionalFormatting>
  <conditionalFormatting sqref="AJ58">
    <cfRule type="cellIs" dxfId="1158" priority="8" operator="equal">
      <formula>$AJ$61</formula>
    </cfRule>
  </conditionalFormatting>
  <conditionalFormatting sqref="AJ58">
    <cfRule type="cellIs" dxfId="1157" priority="7" operator="notEqual">
      <formula>$AJ$61</formula>
    </cfRule>
  </conditionalFormatting>
  <conditionalFormatting sqref="AK58">
    <cfRule type="cellIs" dxfId="1156" priority="6" operator="equal">
      <formula>$AK$61</formula>
    </cfRule>
  </conditionalFormatting>
  <conditionalFormatting sqref="AK58">
    <cfRule type="cellIs" dxfId="1155" priority="5" operator="notEqual">
      <formula>$AK$61</formula>
    </cfRule>
  </conditionalFormatting>
  <conditionalFormatting sqref="AL58">
    <cfRule type="cellIs" dxfId="1154" priority="4" operator="equal">
      <formula>$AL$61</formula>
    </cfRule>
  </conditionalFormatting>
  <conditionalFormatting sqref="AL58">
    <cfRule type="cellIs" dxfId="1153" priority="3" operator="notEqual">
      <formula>$AL$61</formula>
    </cfRule>
  </conditionalFormatting>
  <conditionalFormatting sqref="AM58">
    <cfRule type="cellIs" dxfId="1152" priority="2" operator="equal">
      <formula>$AM$61</formula>
    </cfRule>
  </conditionalFormatting>
  <conditionalFormatting sqref="AM58">
    <cfRule type="cellIs" dxfId="1151" priority="1" operator="notEqual">
      <formula>$AM$61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718D4-0937-4639-8B2C-4E466F5F1503}">
  <dimension ref="A1:AA52"/>
  <sheetViews>
    <sheetView showGridLines="0" topLeftCell="A33" workbookViewId="0">
      <selection activeCell="K46" sqref="K46:AA52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20" style="9" bestFit="1" customWidth="1"/>
    <col min="12" max="12" width="10.85546875" style="9" bestFit="1" customWidth="1"/>
    <col min="13" max="13" width="11.7109375" style="9" bestFit="1" customWidth="1"/>
    <col min="14" max="14" width="10" style="9" bestFit="1" customWidth="1"/>
    <col min="15" max="15" width="11.140625" style="9" bestFit="1" customWidth="1"/>
    <col min="16" max="16" width="11.7109375" style="9" bestFit="1" customWidth="1"/>
    <col min="17" max="17" width="15" style="9" bestFit="1" customWidth="1"/>
    <col min="18" max="18" width="13.140625" style="9" bestFit="1" customWidth="1"/>
    <col min="19" max="19" width="10" style="9" bestFit="1" customWidth="1"/>
    <col min="20" max="20" width="10.42578125" style="9" bestFit="1" customWidth="1"/>
    <col min="21" max="21" width="10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10.85546875" style="9" bestFit="1" customWidth="1"/>
    <col min="27" max="27" width="13.140625" style="9" bestFit="1" customWidth="1"/>
    <col min="28" max="16384" width="9.140625" style="9"/>
  </cols>
  <sheetData>
    <row r="1" spans="1:27" ht="11.25" customHeight="1" x14ac:dyDescent="0.25">
      <c r="A1" s="134" t="s">
        <v>76</v>
      </c>
      <c r="B1" s="134" t="s">
        <v>77</v>
      </c>
      <c r="C1" s="134" t="s">
        <v>78</v>
      </c>
      <c r="D1" s="134" t="s">
        <v>79</v>
      </c>
      <c r="E1" s="134" t="s">
        <v>80</v>
      </c>
      <c r="F1" s="134" t="s">
        <v>15</v>
      </c>
      <c r="G1" s="134" t="s">
        <v>82</v>
      </c>
      <c r="H1" s="134" t="s">
        <v>83</v>
      </c>
      <c r="I1" s="134" t="s">
        <v>746</v>
      </c>
      <c r="J1" s="113"/>
      <c r="L1" s="132" t="s">
        <v>767</v>
      </c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</row>
    <row r="2" spans="1:27" ht="11.25" customHeight="1" x14ac:dyDescent="0.25">
      <c r="A2" s="134"/>
      <c r="B2" s="134"/>
      <c r="C2" s="134"/>
      <c r="D2" s="134"/>
      <c r="E2" s="134"/>
      <c r="F2" s="134"/>
      <c r="G2" s="134"/>
      <c r="H2" s="134"/>
      <c r="I2" s="134"/>
      <c r="J2" s="113"/>
      <c r="L2" s="132" t="s">
        <v>674</v>
      </c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</row>
    <row r="3" spans="1:27" ht="11.25" customHeight="1" x14ac:dyDescent="0.25">
      <c r="A3" s="134"/>
      <c r="B3" s="134"/>
      <c r="C3" s="134"/>
      <c r="D3" s="134"/>
      <c r="E3" s="134"/>
      <c r="F3" s="134"/>
      <c r="G3" s="134"/>
      <c r="H3" s="134"/>
      <c r="I3" s="134"/>
      <c r="J3" s="113"/>
      <c r="L3" s="132" t="s">
        <v>647</v>
      </c>
      <c r="M3" s="132"/>
      <c r="N3" s="132"/>
      <c r="O3" s="132"/>
      <c r="P3" s="132"/>
      <c r="Q3" s="132" t="s">
        <v>677</v>
      </c>
      <c r="R3" s="132"/>
      <c r="S3" s="132" t="s">
        <v>656</v>
      </c>
      <c r="T3" s="132"/>
      <c r="U3" s="132"/>
      <c r="V3" s="132"/>
      <c r="W3" s="132" t="s">
        <v>666</v>
      </c>
      <c r="X3" s="132"/>
      <c r="Y3" s="132" t="s">
        <v>669</v>
      </c>
      <c r="Z3" s="132"/>
      <c r="AA3" s="132" t="s">
        <v>655</v>
      </c>
    </row>
    <row r="4" spans="1:27" ht="11.25" customHeight="1" x14ac:dyDescent="0.25">
      <c r="A4" s="134"/>
      <c r="B4" s="134"/>
      <c r="C4" s="134"/>
      <c r="D4" s="134"/>
      <c r="E4" s="134"/>
      <c r="F4" s="134"/>
      <c r="G4" s="134"/>
      <c r="H4" s="134"/>
      <c r="I4" s="134"/>
      <c r="J4" s="113"/>
      <c r="L4" s="41" t="s">
        <v>649</v>
      </c>
      <c r="M4" s="41" t="s">
        <v>675</v>
      </c>
      <c r="N4" s="41" t="s">
        <v>676</v>
      </c>
      <c r="O4" s="41" t="s">
        <v>734</v>
      </c>
      <c r="P4" s="41" t="s">
        <v>655</v>
      </c>
      <c r="Q4" s="41" t="s">
        <v>678</v>
      </c>
      <c r="R4" s="41" t="s">
        <v>655</v>
      </c>
      <c r="S4" s="41" t="s">
        <v>679</v>
      </c>
      <c r="T4" s="41" t="s">
        <v>680</v>
      </c>
      <c r="U4" s="41" t="s">
        <v>681</v>
      </c>
      <c r="V4" s="41" t="s">
        <v>655</v>
      </c>
      <c r="W4" s="41" t="s">
        <v>667</v>
      </c>
      <c r="X4" s="41" t="s">
        <v>655</v>
      </c>
      <c r="Y4" s="41" t="s">
        <v>682</v>
      </c>
      <c r="Z4" s="41" t="s">
        <v>655</v>
      </c>
      <c r="AA4" s="133"/>
    </row>
    <row r="5" spans="1:27" ht="11.25" customHeight="1" x14ac:dyDescent="0.25">
      <c r="A5" s="135" t="s">
        <v>43</v>
      </c>
      <c r="B5" s="135" t="s">
        <v>85</v>
      </c>
      <c r="C5" s="135" t="s">
        <v>25</v>
      </c>
      <c r="D5" s="135" t="s">
        <v>25</v>
      </c>
      <c r="E5" s="135" t="s">
        <v>25</v>
      </c>
      <c r="F5" s="135" t="s">
        <v>25</v>
      </c>
      <c r="G5" s="39" t="s">
        <v>87</v>
      </c>
      <c r="H5" s="39" t="s">
        <v>86</v>
      </c>
      <c r="I5" s="39">
        <f>'MERCADO TE'!$U$2</f>
        <v>5001.2520000000004</v>
      </c>
      <c r="J5" s="18"/>
      <c r="L5" s="37">
        <v>1</v>
      </c>
      <c r="M5" s="37">
        <v>1</v>
      </c>
      <c r="N5" s="37">
        <v>1</v>
      </c>
      <c r="O5" s="37">
        <v>1</v>
      </c>
      <c r="P5" s="37"/>
      <c r="Q5" s="37">
        <v>1.72</v>
      </c>
      <c r="R5" s="37"/>
      <c r="S5" s="37">
        <v>1</v>
      </c>
      <c r="T5" s="37">
        <v>1</v>
      </c>
      <c r="U5" s="37">
        <v>1</v>
      </c>
      <c r="V5" s="37"/>
      <c r="W5" s="37"/>
      <c r="X5" s="37"/>
      <c r="Y5" s="37">
        <v>1</v>
      </c>
      <c r="Z5" s="37"/>
      <c r="AA5" s="37"/>
    </row>
    <row r="6" spans="1:27" ht="11.25" customHeight="1" x14ac:dyDescent="0.25">
      <c r="A6" s="135"/>
      <c r="B6" s="135"/>
      <c r="C6" s="135"/>
      <c r="D6" s="135"/>
      <c r="E6" s="135"/>
      <c r="F6" s="135"/>
      <c r="G6" s="39" t="s">
        <v>88</v>
      </c>
      <c r="H6" s="39" t="s">
        <v>86</v>
      </c>
      <c r="I6" s="39">
        <f>'MERCADO TE'!$U$3</f>
        <v>53354.290999999997</v>
      </c>
      <c r="J6" s="18"/>
      <c r="L6" s="37">
        <v>1</v>
      </c>
      <c r="M6" s="37">
        <v>1</v>
      </c>
      <c r="N6" s="37">
        <v>1</v>
      </c>
      <c r="O6" s="37">
        <v>1</v>
      </c>
      <c r="P6" s="37"/>
      <c r="Q6" s="37">
        <v>1</v>
      </c>
      <c r="R6" s="37"/>
      <c r="S6" s="37">
        <v>1</v>
      </c>
      <c r="T6" s="37">
        <v>1</v>
      </c>
      <c r="U6" s="37">
        <v>1</v>
      </c>
      <c r="V6" s="37"/>
      <c r="W6" s="37"/>
      <c r="X6" s="37"/>
      <c r="Y6" s="37">
        <v>1</v>
      </c>
      <c r="Z6" s="37"/>
      <c r="AA6" s="37"/>
    </row>
    <row r="7" spans="1:27" ht="11.25" customHeight="1" x14ac:dyDescent="0.25">
      <c r="A7" s="135" t="s">
        <v>35</v>
      </c>
      <c r="B7" s="135" t="s">
        <v>85</v>
      </c>
      <c r="C7" s="135" t="s">
        <v>25</v>
      </c>
      <c r="D7" s="135" t="s">
        <v>25</v>
      </c>
      <c r="E7" s="135" t="s">
        <v>25</v>
      </c>
      <c r="F7" s="135" t="s">
        <v>25</v>
      </c>
      <c r="G7" s="39" t="s">
        <v>87</v>
      </c>
      <c r="H7" s="39" t="s">
        <v>86</v>
      </c>
      <c r="I7" s="39">
        <f>'MERCADO TE'!$U$4</f>
        <v>81126.716000000015</v>
      </c>
      <c r="J7" s="18"/>
      <c r="L7" s="37">
        <v>1</v>
      </c>
      <c r="M7" s="37">
        <v>1</v>
      </c>
      <c r="N7" s="37">
        <v>1</v>
      </c>
      <c r="O7" s="37">
        <v>1</v>
      </c>
      <c r="P7" s="37"/>
      <c r="Q7" s="37">
        <v>1.72</v>
      </c>
      <c r="R7" s="37"/>
      <c r="S7" s="37">
        <v>1</v>
      </c>
      <c r="T7" s="37">
        <v>1</v>
      </c>
      <c r="U7" s="37">
        <v>1</v>
      </c>
      <c r="V7" s="37"/>
      <c r="W7" s="37"/>
      <c r="X7" s="37"/>
      <c r="Y7" s="37">
        <v>1</v>
      </c>
      <c r="Z7" s="37"/>
      <c r="AA7" s="37"/>
    </row>
    <row r="8" spans="1:27" ht="11.25" customHeight="1" x14ac:dyDescent="0.25">
      <c r="A8" s="135"/>
      <c r="B8" s="135"/>
      <c r="C8" s="135"/>
      <c r="D8" s="135"/>
      <c r="E8" s="135"/>
      <c r="F8" s="135"/>
      <c r="G8" s="39" t="s">
        <v>88</v>
      </c>
      <c r="H8" s="39" t="s">
        <v>86</v>
      </c>
      <c r="I8" s="39">
        <f>'MERCADO TE'!$U$5</f>
        <v>1038783.2589999998</v>
      </c>
      <c r="J8" s="18"/>
      <c r="L8" s="37">
        <v>1</v>
      </c>
      <c r="M8" s="37">
        <v>1</v>
      </c>
      <c r="N8" s="37">
        <v>1</v>
      </c>
      <c r="O8" s="37">
        <v>1</v>
      </c>
      <c r="P8" s="37"/>
      <c r="Q8" s="37">
        <v>1</v>
      </c>
      <c r="R8" s="37"/>
      <c r="S8" s="37">
        <v>1</v>
      </c>
      <c r="T8" s="37">
        <v>1</v>
      </c>
      <c r="U8" s="37">
        <v>1</v>
      </c>
      <c r="V8" s="37"/>
      <c r="W8" s="37"/>
      <c r="X8" s="37"/>
      <c r="Y8" s="37">
        <v>1</v>
      </c>
      <c r="Z8" s="37"/>
      <c r="AA8" s="37"/>
    </row>
    <row r="9" spans="1:27" ht="11.25" customHeight="1" x14ac:dyDescent="0.25">
      <c r="A9" s="135"/>
      <c r="B9" s="40" t="s">
        <v>94</v>
      </c>
      <c r="C9" s="40" t="s">
        <v>25</v>
      </c>
      <c r="D9" s="40" t="s">
        <v>25</v>
      </c>
      <c r="E9" s="40" t="s">
        <v>25</v>
      </c>
      <c r="F9" s="40" t="s">
        <v>25</v>
      </c>
      <c r="G9" s="39" t="s">
        <v>92</v>
      </c>
      <c r="H9" s="39" t="s">
        <v>86</v>
      </c>
      <c r="I9" s="39">
        <f>'MERCADO TE'!$U$6</f>
        <v>0</v>
      </c>
      <c r="J9" s="18"/>
      <c r="L9" s="37">
        <v>1</v>
      </c>
      <c r="M9" s="37">
        <v>1</v>
      </c>
      <c r="N9" s="37">
        <v>1</v>
      </c>
      <c r="O9" s="37">
        <v>1</v>
      </c>
      <c r="P9" s="37"/>
      <c r="Q9" s="37">
        <v>1.06</v>
      </c>
      <c r="R9" s="37"/>
      <c r="S9" s="37">
        <v>1</v>
      </c>
      <c r="T9" s="37">
        <v>1</v>
      </c>
      <c r="U9" s="37">
        <v>1</v>
      </c>
      <c r="V9" s="37"/>
      <c r="W9" s="37"/>
      <c r="X9" s="37"/>
      <c r="Y9" s="37">
        <v>1</v>
      </c>
      <c r="Z9" s="37"/>
      <c r="AA9" s="37"/>
    </row>
    <row r="10" spans="1:27" ht="11.25" customHeight="1" x14ac:dyDescent="0.25">
      <c r="A10" s="135" t="s">
        <v>22</v>
      </c>
      <c r="B10" s="135" t="s">
        <v>85</v>
      </c>
      <c r="C10" s="135" t="s">
        <v>24</v>
      </c>
      <c r="D10" s="135" t="s">
        <v>24</v>
      </c>
      <c r="E10" s="135" t="s">
        <v>25</v>
      </c>
      <c r="F10" s="135" t="s">
        <v>25</v>
      </c>
      <c r="G10" s="39" t="s">
        <v>87</v>
      </c>
      <c r="H10" s="39" t="s">
        <v>86</v>
      </c>
      <c r="I10" s="39">
        <f>'MERCADO TE'!$U$7</f>
        <v>31.722000000000001</v>
      </c>
      <c r="J10" s="18"/>
      <c r="L10" s="37">
        <v>1</v>
      </c>
      <c r="M10" s="37">
        <v>1</v>
      </c>
      <c r="N10" s="37">
        <v>1</v>
      </c>
      <c r="O10" s="37">
        <v>1</v>
      </c>
      <c r="P10" s="37"/>
      <c r="Q10" s="37">
        <v>1.72</v>
      </c>
      <c r="R10" s="37"/>
      <c r="S10" s="37">
        <v>1</v>
      </c>
      <c r="T10" s="37">
        <v>1</v>
      </c>
      <c r="U10" s="37">
        <v>1</v>
      </c>
      <c r="V10" s="37"/>
      <c r="W10" s="37"/>
      <c r="X10" s="37"/>
      <c r="Y10" s="37">
        <v>1</v>
      </c>
      <c r="Z10" s="37"/>
      <c r="AA10" s="37"/>
    </row>
    <row r="11" spans="1:27" ht="11.25" customHeight="1" x14ac:dyDescent="0.25">
      <c r="A11" s="135"/>
      <c r="B11" s="135"/>
      <c r="C11" s="135"/>
      <c r="D11" s="135"/>
      <c r="E11" s="135"/>
      <c r="F11" s="135"/>
      <c r="G11" s="39" t="s">
        <v>98</v>
      </c>
      <c r="H11" s="39" t="s">
        <v>86</v>
      </c>
      <c r="I11" s="39">
        <f>'MERCADO TE'!$U$8</f>
        <v>31.11</v>
      </c>
      <c r="J11" s="18"/>
      <c r="L11" s="37">
        <v>1</v>
      </c>
      <c r="M11" s="37">
        <v>1</v>
      </c>
      <c r="N11" s="37">
        <v>1</v>
      </c>
      <c r="O11" s="37">
        <v>1</v>
      </c>
      <c r="P11" s="37"/>
      <c r="Q11" s="37">
        <v>1</v>
      </c>
      <c r="R11" s="37"/>
      <c r="S11" s="37">
        <v>1</v>
      </c>
      <c r="T11" s="37">
        <v>1</v>
      </c>
      <c r="U11" s="37">
        <v>1</v>
      </c>
      <c r="V11" s="37"/>
      <c r="W11" s="37"/>
      <c r="X11" s="37"/>
      <c r="Y11" s="37">
        <v>1</v>
      </c>
      <c r="Z11" s="37"/>
      <c r="AA11" s="37"/>
    </row>
    <row r="12" spans="1:27" ht="11.25" customHeight="1" x14ac:dyDescent="0.25">
      <c r="A12" s="135"/>
      <c r="B12" s="135"/>
      <c r="C12" s="135"/>
      <c r="D12" s="135"/>
      <c r="E12" s="135"/>
      <c r="F12" s="135"/>
      <c r="G12" s="39" t="s">
        <v>88</v>
      </c>
      <c r="H12" s="39" t="s">
        <v>86</v>
      </c>
      <c r="I12" s="39">
        <f>'MERCADO TE'!$U$9</f>
        <v>472.03</v>
      </c>
      <c r="J12" s="18"/>
      <c r="L12" s="37">
        <v>1</v>
      </c>
      <c r="M12" s="37">
        <v>1</v>
      </c>
      <c r="N12" s="37">
        <v>1</v>
      </c>
      <c r="O12" s="37">
        <v>1</v>
      </c>
      <c r="P12" s="37"/>
      <c r="Q12" s="37">
        <v>1</v>
      </c>
      <c r="R12" s="37"/>
      <c r="S12" s="37">
        <v>1</v>
      </c>
      <c r="T12" s="37">
        <v>1</v>
      </c>
      <c r="U12" s="37">
        <v>1</v>
      </c>
      <c r="V12" s="37"/>
      <c r="W12" s="37"/>
      <c r="X12" s="37"/>
      <c r="Y12" s="37">
        <v>1</v>
      </c>
      <c r="Z12" s="37"/>
      <c r="AA12" s="37"/>
    </row>
    <row r="13" spans="1:27" ht="11.25" customHeight="1" x14ac:dyDescent="0.25">
      <c r="A13" s="135"/>
      <c r="B13" s="135" t="s">
        <v>94</v>
      </c>
      <c r="C13" s="135" t="s">
        <v>24</v>
      </c>
      <c r="D13" s="40" t="s">
        <v>24</v>
      </c>
      <c r="E13" s="40" t="s">
        <v>25</v>
      </c>
      <c r="F13" s="40" t="s">
        <v>25</v>
      </c>
      <c r="G13" s="39" t="s">
        <v>92</v>
      </c>
      <c r="H13" s="39" t="s">
        <v>86</v>
      </c>
      <c r="I13" s="39">
        <f>'MERCADO TE'!$U$10</f>
        <v>1747135.3810000001</v>
      </c>
      <c r="J13" s="18"/>
      <c r="L13" s="37">
        <v>1</v>
      </c>
      <c r="M13" s="37">
        <v>1</v>
      </c>
      <c r="N13" s="37">
        <v>1</v>
      </c>
      <c r="O13" s="37">
        <v>1</v>
      </c>
      <c r="P13" s="37"/>
      <c r="Q13" s="37">
        <v>1.06</v>
      </c>
      <c r="R13" s="37"/>
      <c r="S13" s="37">
        <v>1</v>
      </c>
      <c r="T13" s="37">
        <v>1</v>
      </c>
      <c r="U13" s="37">
        <v>1</v>
      </c>
      <c r="V13" s="37"/>
      <c r="W13" s="37"/>
      <c r="X13" s="37"/>
      <c r="Y13" s="37">
        <v>1</v>
      </c>
      <c r="Z13" s="37"/>
      <c r="AA13" s="37"/>
    </row>
    <row r="14" spans="1:27" ht="11.25" customHeight="1" x14ac:dyDescent="0.25">
      <c r="A14" s="135"/>
      <c r="B14" s="135"/>
      <c r="C14" s="135"/>
      <c r="D14" s="40" t="s">
        <v>31</v>
      </c>
      <c r="E14" s="40" t="s">
        <v>25</v>
      </c>
      <c r="F14" s="40" t="s">
        <v>25</v>
      </c>
      <c r="G14" s="39" t="s">
        <v>92</v>
      </c>
      <c r="H14" s="39" t="s">
        <v>86</v>
      </c>
      <c r="I14" s="39">
        <f>'MERCADO TE'!$U$11</f>
        <v>72661.888000000006</v>
      </c>
      <c r="J14" s="18"/>
      <c r="L14" s="37">
        <f>1 - CUSTOS!$M$24</f>
        <v>1</v>
      </c>
      <c r="M14" s="37">
        <f>1 - CUSTOS!$M$24</f>
        <v>1</v>
      </c>
      <c r="N14" s="37">
        <f>1 - CUSTOS!$M$24</f>
        <v>1</v>
      </c>
      <c r="O14" s="37">
        <f>1 - CUSTOS!$M$24</f>
        <v>1</v>
      </c>
      <c r="P14" s="37"/>
      <c r="Q14" s="37">
        <f>(1 - CUSTOS!$M$24)*1.06</f>
        <v>1.06</v>
      </c>
      <c r="R14" s="37"/>
      <c r="S14" s="37">
        <f>1 - CUSTOS!$M$24</f>
        <v>1</v>
      </c>
      <c r="T14" s="37">
        <f>1 - CUSTOS!$M$24</f>
        <v>1</v>
      </c>
      <c r="U14" s="37">
        <f>1 - CUSTOS!$M$24</f>
        <v>1</v>
      </c>
      <c r="V14" s="37"/>
      <c r="W14" s="37"/>
      <c r="X14" s="37"/>
      <c r="Y14" s="37">
        <f>1 - CUSTOS!$M$24</f>
        <v>1</v>
      </c>
      <c r="Z14" s="37"/>
      <c r="AA14" s="37"/>
    </row>
    <row r="15" spans="1:27" ht="11.25" customHeight="1" x14ac:dyDescent="0.25">
      <c r="A15" s="135"/>
      <c r="B15" s="135"/>
      <c r="C15" s="135"/>
      <c r="D15" s="40" t="s">
        <v>32</v>
      </c>
      <c r="E15" s="40" t="s">
        <v>25</v>
      </c>
      <c r="F15" s="40" t="s">
        <v>25</v>
      </c>
      <c r="G15" s="39" t="s">
        <v>92</v>
      </c>
      <c r="H15" s="39" t="s">
        <v>86</v>
      </c>
      <c r="I15" s="39">
        <f>'MERCADO TE'!$U$12</f>
        <v>116587.09399999998</v>
      </c>
      <c r="J15" s="18"/>
      <c r="L15" s="37">
        <f>1 - CUSTOS!$M$25</f>
        <v>1</v>
      </c>
      <c r="M15" s="37">
        <f>1 - CUSTOS!$M$25</f>
        <v>1</v>
      </c>
      <c r="N15" s="37">
        <f>1 - CUSTOS!$M$25</f>
        <v>1</v>
      </c>
      <c r="O15" s="37">
        <f>1 - CUSTOS!$M$25</f>
        <v>1</v>
      </c>
      <c r="P15" s="37"/>
      <c r="Q15" s="37">
        <f>(1 - CUSTOS!$M$25)*1.06</f>
        <v>1.06</v>
      </c>
      <c r="R15" s="37"/>
      <c r="S15" s="37">
        <f>1 - CUSTOS!$M$25</f>
        <v>1</v>
      </c>
      <c r="T15" s="37">
        <f>1 - CUSTOS!$M$25</f>
        <v>1</v>
      </c>
      <c r="U15" s="37">
        <f>1 - CUSTOS!$M$25</f>
        <v>1</v>
      </c>
      <c r="V15" s="37"/>
      <c r="W15" s="37"/>
      <c r="X15" s="37"/>
      <c r="Y15" s="37">
        <f>1 - CUSTOS!$M$25</f>
        <v>1</v>
      </c>
      <c r="Z15" s="37"/>
      <c r="AA15" s="37"/>
    </row>
    <row r="16" spans="1:27" ht="11.25" customHeight="1" x14ac:dyDescent="0.25">
      <c r="A16" s="135"/>
      <c r="B16" s="135"/>
      <c r="C16" s="135"/>
      <c r="D16" s="40" t="s">
        <v>33</v>
      </c>
      <c r="E16" s="40" t="s">
        <v>25</v>
      </c>
      <c r="F16" s="40" t="s">
        <v>25</v>
      </c>
      <c r="G16" s="39" t="s">
        <v>92</v>
      </c>
      <c r="H16" s="39" t="s">
        <v>86</v>
      </c>
      <c r="I16" s="39">
        <f>'MERCADO TE'!$U$13</f>
        <v>103208.47500000001</v>
      </c>
      <c r="J16" s="18"/>
      <c r="L16" s="37">
        <f>1 - CUSTOS!$M$26</f>
        <v>1</v>
      </c>
      <c r="M16" s="37">
        <f>1 - CUSTOS!$M$26</f>
        <v>1</v>
      </c>
      <c r="N16" s="37">
        <f>1 - CUSTOS!$M$26</f>
        <v>1</v>
      </c>
      <c r="O16" s="37">
        <f>1 - CUSTOS!$M$26</f>
        <v>1</v>
      </c>
      <c r="P16" s="37"/>
      <c r="Q16" s="37">
        <f>(1 - CUSTOS!$M$26)*1.06</f>
        <v>1.06</v>
      </c>
      <c r="R16" s="37"/>
      <c r="S16" s="37">
        <f>1 - CUSTOS!$M$26</f>
        <v>1</v>
      </c>
      <c r="T16" s="37">
        <f>1 - CUSTOS!$M$26</f>
        <v>1</v>
      </c>
      <c r="U16" s="37">
        <f>1 - CUSTOS!$M$26</f>
        <v>1</v>
      </c>
      <c r="V16" s="37"/>
      <c r="W16" s="37"/>
      <c r="X16" s="37"/>
      <c r="Y16" s="37">
        <f>1 - CUSTOS!$M$26</f>
        <v>1</v>
      </c>
      <c r="Z16" s="37"/>
      <c r="AA16" s="37"/>
    </row>
    <row r="17" spans="1:27" ht="11.25" customHeight="1" x14ac:dyDescent="0.25">
      <c r="A17" s="135"/>
      <c r="B17" s="135"/>
      <c r="C17" s="135"/>
      <c r="D17" s="40" t="s">
        <v>34</v>
      </c>
      <c r="E17" s="40" t="s">
        <v>25</v>
      </c>
      <c r="F17" s="40" t="s">
        <v>25</v>
      </c>
      <c r="G17" s="39" t="s">
        <v>92</v>
      </c>
      <c r="H17" s="39" t="s">
        <v>86</v>
      </c>
      <c r="I17" s="39">
        <f>'MERCADO TE'!$U$14</f>
        <v>77490.793999999994</v>
      </c>
      <c r="J17" s="18"/>
      <c r="L17" s="37">
        <f>1 - CUSTOS!$M$27</f>
        <v>1</v>
      </c>
      <c r="M17" s="37">
        <f>1 - CUSTOS!$M$27</f>
        <v>1</v>
      </c>
      <c r="N17" s="37">
        <f>1 - CUSTOS!$M$27</f>
        <v>1</v>
      </c>
      <c r="O17" s="37">
        <f>1 - CUSTOS!$M$27</f>
        <v>1</v>
      </c>
      <c r="P17" s="37"/>
      <c r="Q17" s="37">
        <f>(1 - CUSTOS!$M$27)*1.06</f>
        <v>1.06</v>
      </c>
      <c r="R17" s="37"/>
      <c r="S17" s="37">
        <f>1 - CUSTOS!$M$27</f>
        <v>1</v>
      </c>
      <c r="T17" s="37">
        <f>1 - CUSTOS!$M$27</f>
        <v>1</v>
      </c>
      <c r="U17" s="37">
        <f>1 - CUSTOS!$M$27</f>
        <v>1</v>
      </c>
      <c r="V17" s="37"/>
      <c r="W17" s="37"/>
      <c r="X17" s="37"/>
      <c r="Y17" s="37">
        <f>1 - CUSTOS!$M$27</f>
        <v>1</v>
      </c>
      <c r="Z17" s="37"/>
      <c r="AA17" s="37"/>
    </row>
    <row r="18" spans="1:27" ht="11.25" customHeight="1" x14ac:dyDescent="0.25">
      <c r="A18" s="135"/>
      <c r="B18" s="135" t="s">
        <v>99</v>
      </c>
      <c r="C18" s="135" t="s">
        <v>24</v>
      </c>
      <c r="D18" s="40" t="s">
        <v>24</v>
      </c>
      <c r="E18" s="40" t="s">
        <v>25</v>
      </c>
      <c r="F18" s="40" t="s">
        <v>25</v>
      </c>
      <c r="G18" s="39" t="s">
        <v>92</v>
      </c>
      <c r="H18" s="39" t="s">
        <v>86</v>
      </c>
      <c r="I18" s="39">
        <f>'MERCADO TE'!$U$15</f>
        <v>0</v>
      </c>
      <c r="J18" s="18"/>
      <c r="L18" s="37">
        <v>1</v>
      </c>
      <c r="M18" s="37">
        <v>1</v>
      </c>
      <c r="N18" s="37">
        <v>1</v>
      </c>
      <c r="O18" s="37">
        <v>1</v>
      </c>
      <c r="P18" s="37"/>
      <c r="Q18" s="37">
        <v>1.06</v>
      </c>
      <c r="R18" s="37"/>
      <c r="S18" s="37">
        <v>1</v>
      </c>
      <c r="T18" s="37">
        <v>1</v>
      </c>
      <c r="U18" s="37">
        <v>1</v>
      </c>
      <c r="V18" s="37"/>
      <c r="W18" s="37"/>
      <c r="X18" s="37"/>
      <c r="Y18" s="37">
        <v>1</v>
      </c>
      <c r="Z18" s="37"/>
      <c r="AA18" s="37"/>
    </row>
    <row r="19" spans="1:27" ht="11.25" customHeight="1" x14ac:dyDescent="0.25">
      <c r="A19" s="135"/>
      <c r="B19" s="135"/>
      <c r="C19" s="135"/>
      <c r="D19" s="40" t="s">
        <v>31</v>
      </c>
      <c r="E19" s="40" t="s">
        <v>25</v>
      </c>
      <c r="F19" s="40" t="s">
        <v>25</v>
      </c>
      <c r="G19" s="39" t="s">
        <v>92</v>
      </c>
      <c r="H19" s="39" t="s">
        <v>86</v>
      </c>
      <c r="I19" s="39">
        <f>'MERCADO TE'!$U$16</f>
        <v>0</v>
      </c>
      <c r="J19" s="18"/>
      <c r="L19" s="37">
        <f>1 - CUSTOS!$M$24</f>
        <v>1</v>
      </c>
      <c r="M19" s="37">
        <f>1 - CUSTOS!$M$24</f>
        <v>1</v>
      </c>
      <c r="N19" s="37">
        <f>1 - CUSTOS!$M$24</f>
        <v>1</v>
      </c>
      <c r="O19" s="37">
        <f>1 - CUSTOS!$M$24</f>
        <v>1</v>
      </c>
      <c r="P19" s="37"/>
      <c r="Q19" s="37">
        <f>(1 - CUSTOS!$M$24)*1.06</f>
        <v>1.06</v>
      </c>
      <c r="R19" s="37"/>
      <c r="S19" s="37">
        <f>1 - CUSTOS!$M$24</f>
        <v>1</v>
      </c>
      <c r="T19" s="37">
        <f>1 - CUSTOS!$M$24</f>
        <v>1</v>
      </c>
      <c r="U19" s="37">
        <f>1 - CUSTOS!$M$24</f>
        <v>1</v>
      </c>
      <c r="V19" s="37"/>
      <c r="W19" s="37"/>
      <c r="X19" s="37"/>
      <c r="Y19" s="37">
        <f>1 - CUSTOS!$M$24</f>
        <v>1</v>
      </c>
      <c r="Z19" s="37"/>
      <c r="AA19" s="37"/>
    </row>
    <row r="20" spans="1:27" ht="11.25" customHeight="1" x14ac:dyDescent="0.25">
      <c r="A20" s="135"/>
      <c r="B20" s="135"/>
      <c r="C20" s="135"/>
      <c r="D20" s="40" t="s">
        <v>32</v>
      </c>
      <c r="E20" s="40" t="s">
        <v>25</v>
      </c>
      <c r="F20" s="40" t="s">
        <v>25</v>
      </c>
      <c r="G20" s="39" t="s">
        <v>92</v>
      </c>
      <c r="H20" s="39" t="s">
        <v>86</v>
      </c>
      <c r="I20" s="39">
        <f>'MERCADO TE'!$U$17</f>
        <v>0</v>
      </c>
      <c r="J20" s="18"/>
      <c r="L20" s="37">
        <f>1 - CUSTOS!$M$25</f>
        <v>1</v>
      </c>
      <c r="M20" s="37">
        <f>1 - CUSTOS!$M$25</f>
        <v>1</v>
      </c>
      <c r="N20" s="37">
        <f>1 - CUSTOS!$M$25</f>
        <v>1</v>
      </c>
      <c r="O20" s="37">
        <f>1 - CUSTOS!$M$25</f>
        <v>1</v>
      </c>
      <c r="P20" s="37"/>
      <c r="Q20" s="37">
        <f>(1 - CUSTOS!$M$25)*1.06</f>
        <v>1.06</v>
      </c>
      <c r="R20" s="37"/>
      <c r="S20" s="37">
        <f>1 - CUSTOS!$M$25</f>
        <v>1</v>
      </c>
      <c r="T20" s="37">
        <f>1 - CUSTOS!$M$25</f>
        <v>1</v>
      </c>
      <c r="U20" s="37">
        <f>1 - CUSTOS!$M$25</f>
        <v>1</v>
      </c>
      <c r="V20" s="37"/>
      <c r="W20" s="37"/>
      <c r="X20" s="37"/>
      <c r="Y20" s="37">
        <f>1 - CUSTOS!$M$25</f>
        <v>1</v>
      </c>
      <c r="Z20" s="37"/>
      <c r="AA20" s="37"/>
    </row>
    <row r="21" spans="1:27" ht="11.25" customHeight="1" x14ac:dyDescent="0.25">
      <c r="A21" s="135"/>
      <c r="B21" s="135"/>
      <c r="C21" s="135"/>
      <c r="D21" s="40" t="s">
        <v>33</v>
      </c>
      <c r="E21" s="40" t="s">
        <v>25</v>
      </c>
      <c r="F21" s="40" t="s">
        <v>25</v>
      </c>
      <c r="G21" s="39" t="s">
        <v>92</v>
      </c>
      <c r="H21" s="39" t="s">
        <v>86</v>
      </c>
      <c r="I21" s="39">
        <f>'MERCADO TE'!$U$18</f>
        <v>0</v>
      </c>
      <c r="J21" s="18"/>
      <c r="L21" s="37">
        <f>1 - CUSTOS!$M$26</f>
        <v>1</v>
      </c>
      <c r="M21" s="37">
        <f>1 - CUSTOS!$M$26</f>
        <v>1</v>
      </c>
      <c r="N21" s="37">
        <f>1 - CUSTOS!$M$26</f>
        <v>1</v>
      </c>
      <c r="O21" s="37">
        <f>1 - CUSTOS!$M$26</f>
        <v>1</v>
      </c>
      <c r="P21" s="37"/>
      <c r="Q21" s="37">
        <f>(1 - CUSTOS!$M$26)*1.06</f>
        <v>1.06</v>
      </c>
      <c r="R21" s="37"/>
      <c r="S21" s="37">
        <f>1 - CUSTOS!$M$26</f>
        <v>1</v>
      </c>
      <c r="T21" s="37">
        <f>1 - CUSTOS!$M$26</f>
        <v>1</v>
      </c>
      <c r="U21" s="37">
        <f>1 - CUSTOS!$M$26</f>
        <v>1</v>
      </c>
      <c r="V21" s="37"/>
      <c r="W21" s="37"/>
      <c r="X21" s="37"/>
      <c r="Y21" s="37">
        <f>1 - CUSTOS!$M$26</f>
        <v>1</v>
      </c>
      <c r="Z21" s="37"/>
      <c r="AA21" s="37"/>
    </row>
    <row r="22" spans="1:27" ht="11.25" customHeight="1" x14ac:dyDescent="0.25">
      <c r="A22" s="135"/>
      <c r="B22" s="135"/>
      <c r="C22" s="135"/>
      <c r="D22" s="40" t="s">
        <v>34</v>
      </c>
      <c r="E22" s="40" t="s">
        <v>25</v>
      </c>
      <c r="F22" s="40" t="s">
        <v>25</v>
      </c>
      <c r="G22" s="39" t="s">
        <v>92</v>
      </c>
      <c r="H22" s="39" t="s">
        <v>86</v>
      </c>
      <c r="I22" s="39">
        <f>'MERCADO TE'!$U$19</f>
        <v>0</v>
      </c>
      <c r="J22" s="18"/>
      <c r="L22" s="37">
        <f>1 - CUSTOS!$M$27</f>
        <v>1</v>
      </c>
      <c r="M22" s="37">
        <f>1 - CUSTOS!$M$27</f>
        <v>1</v>
      </c>
      <c r="N22" s="37">
        <f>1 - CUSTOS!$M$27</f>
        <v>1</v>
      </c>
      <c r="O22" s="37">
        <f>1 - CUSTOS!$M$27</f>
        <v>1</v>
      </c>
      <c r="P22" s="37"/>
      <c r="Q22" s="37">
        <f>(1 - CUSTOS!$M$27)*1.06</f>
        <v>1.06</v>
      </c>
      <c r="R22" s="37"/>
      <c r="S22" s="37">
        <f>1 - CUSTOS!$M$27</f>
        <v>1</v>
      </c>
      <c r="T22" s="37">
        <f>1 - CUSTOS!$M$27</f>
        <v>1</v>
      </c>
      <c r="U22" s="37">
        <f>1 - CUSTOS!$M$27</f>
        <v>1</v>
      </c>
      <c r="V22" s="37"/>
      <c r="W22" s="37"/>
      <c r="X22" s="37"/>
      <c r="Y22" s="37">
        <f>1 - CUSTOS!$M$27</f>
        <v>1</v>
      </c>
      <c r="Z22" s="37"/>
      <c r="AA22" s="37"/>
    </row>
    <row r="23" spans="1:27" ht="11.25" customHeight="1" x14ac:dyDescent="0.25">
      <c r="A23" s="135" t="s">
        <v>46</v>
      </c>
      <c r="B23" s="135" t="s">
        <v>85</v>
      </c>
      <c r="C23" s="135" t="s">
        <v>47</v>
      </c>
      <c r="D23" s="135" t="s">
        <v>25</v>
      </c>
      <c r="E23" s="135" t="s">
        <v>25</v>
      </c>
      <c r="F23" s="135" t="s">
        <v>25</v>
      </c>
      <c r="G23" s="39" t="s">
        <v>87</v>
      </c>
      <c r="H23" s="39" t="s">
        <v>86</v>
      </c>
      <c r="I23" s="39">
        <f>'MERCADO TE'!$U$20</f>
        <v>0</v>
      </c>
      <c r="J23" s="18"/>
      <c r="L23" s="37">
        <f>1 - CUSTOS!$M$28</f>
        <v>1</v>
      </c>
      <c r="M23" s="37">
        <f>1 - CUSTOS!$M$28</f>
        <v>1</v>
      </c>
      <c r="N23" s="37">
        <f>1 - CUSTOS!$M$28</f>
        <v>1</v>
      </c>
      <c r="O23" s="37">
        <f>1 - CUSTOS!$M$28</f>
        <v>1</v>
      </c>
      <c r="P23" s="37"/>
      <c r="Q23" s="37">
        <f>(1 - CUSTOS!$M$28)*1.72</f>
        <v>1.72</v>
      </c>
      <c r="R23" s="37"/>
      <c r="S23" s="37">
        <f>1 - CUSTOS!$M$28</f>
        <v>1</v>
      </c>
      <c r="T23" s="37">
        <f>1 - CUSTOS!$M$28</f>
        <v>1</v>
      </c>
      <c r="U23" s="37">
        <f>1 - CUSTOS!$M$28</f>
        <v>1</v>
      </c>
      <c r="V23" s="37"/>
      <c r="W23" s="37"/>
      <c r="X23" s="37"/>
      <c r="Y23" s="37">
        <f>1 - CUSTOS!$M$28</f>
        <v>1</v>
      </c>
      <c r="Z23" s="37"/>
      <c r="AA23" s="37"/>
    </row>
    <row r="24" spans="1:27" ht="11.25" customHeight="1" x14ac:dyDescent="0.25">
      <c r="A24" s="135"/>
      <c r="B24" s="135"/>
      <c r="C24" s="135"/>
      <c r="D24" s="135"/>
      <c r="E24" s="135"/>
      <c r="F24" s="135"/>
      <c r="G24" s="39" t="s">
        <v>98</v>
      </c>
      <c r="H24" s="39" t="s">
        <v>86</v>
      </c>
      <c r="I24" s="39">
        <f>'MERCADO TE'!$U$21</f>
        <v>5.0000000000000001E-3</v>
      </c>
      <c r="J24" s="18"/>
      <c r="L24" s="37">
        <f>1 - CUSTOS!$M$28</f>
        <v>1</v>
      </c>
      <c r="M24" s="37">
        <f>1 - CUSTOS!$M$28</f>
        <v>1</v>
      </c>
      <c r="N24" s="37">
        <f>1 - CUSTOS!$M$28</f>
        <v>1</v>
      </c>
      <c r="O24" s="37">
        <f>1 - CUSTOS!$M$28</f>
        <v>1</v>
      </c>
      <c r="P24" s="37"/>
      <c r="Q24" s="37">
        <f>(1 - CUSTOS!$M$28)*1</f>
        <v>1</v>
      </c>
      <c r="R24" s="37"/>
      <c r="S24" s="37">
        <f>1 - CUSTOS!$M$28</f>
        <v>1</v>
      </c>
      <c r="T24" s="37">
        <f>1 - CUSTOS!$M$28</f>
        <v>1</v>
      </c>
      <c r="U24" s="37">
        <f>1 - CUSTOS!$M$28</f>
        <v>1</v>
      </c>
      <c r="V24" s="37"/>
      <c r="W24" s="37"/>
      <c r="X24" s="37"/>
      <c r="Y24" s="37">
        <f>1 - CUSTOS!$M$28</f>
        <v>1</v>
      </c>
      <c r="Z24" s="37"/>
      <c r="AA24" s="37"/>
    </row>
    <row r="25" spans="1:27" ht="11.25" customHeight="1" x14ac:dyDescent="0.25">
      <c r="A25" s="135"/>
      <c r="B25" s="135"/>
      <c r="C25" s="135"/>
      <c r="D25" s="135"/>
      <c r="E25" s="135"/>
      <c r="F25" s="135"/>
      <c r="G25" s="39" t="s">
        <v>88</v>
      </c>
      <c r="H25" s="39" t="s">
        <v>86</v>
      </c>
      <c r="I25" s="39">
        <f>'MERCADO TE'!$U$22</f>
        <v>0.54600000000000004</v>
      </c>
      <c r="J25" s="18"/>
      <c r="L25" s="37">
        <f>1 - CUSTOS!$M$28</f>
        <v>1</v>
      </c>
      <c r="M25" s="37">
        <f>1 - CUSTOS!$M$28</f>
        <v>1</v>
      </c>
      <c r="N25" s="37">
        <f>1 - CUSTOS!$M$28</f>
        <v>1</v>
      </c>
      <c r="O25" s="37">
        <f>1 - CUSTOS!$M$28</f>
        <v>1</v>
      </c>
      <c r="P25" s="37"/>
      <c r="Q25" s="37">
        <f>(1 - CUSTOS!$M$28)*1</f>
        <v>1</v>
      </c>
      <c r="R25" s="37"/>
      <c r="S25" s="37">
        <f>1 - CUSTOS!$M$28</f>
        <v>1</v>
      </c>
      <c r="T25" s="37">
        <f>1 - CUSTOS!$M$28</f>
        <v>1</v>
      </c>
      <c r="U25" s="37">
        <f>1 - CUSTOS!$M$28</f>
        <v>1</v>
      </c>
      <c r="V25" s="37"/>
      <c r="W25" s="37"/>
      <c r="X25" s="37"/>
      <c r="Y25" s="37">
        <f>1 - CUSTOS!$M$28</f>
        <v>1</v>
      </c>
      <c r="Z25" s="37"/>
      <c r="AA25" s="37"/>
    </row>
    <row r="26" spans="1:27" ht="11.25" customHeight="1" x14ac:dyDescent="0.25">
      <c r="A26" s="135"/>
      <c r="B26" s="40" t="s">
        <v>94</v>
      </c>
      <c r="C26" s="40" t="s">
        <v>47</v>
      </c>
      <c r="D26" s="40" t="s">
        <v>25</v>
      </c>
      <c r="E26" s="40" t="s">
        <v>25</v>
      </c>
      <c r="F26" s="40" t="s">
        <v>25</v>
      </c>
      <c r="G26" s="39" t="s">
        <v>92</v>
      </c>
      <c r="H26" s="39" t="s">
        <v>86</v>
      </c>
      <c r="I26" s="39">
        <f>'MERCADO TE'!$U$23</f>
        <v>64418.971000000005</v>
      </c>
      <c r="J26" s="18"/>
      <c r="L26" s="37">
        <f>1 - CUSTOS!$M$28</f>
        <v>1</v>
      </c>
      <c r="M26" s="37">
        <f>1 - CUSTOS!$M$28</f>
        <v>1</v>
      </c>
      <c r="N26" s="37">
        <f>1 - CUSTOS!$M$28</f>
        <v>1</v>
      </c>
      <c r="O26" s="37">
        <f>1 - CUSTOS!$M$28</f>
        <v>1</v>
      </c>
      <c r="P26" s="37"/>
      <c r="Q26" s="37">
        <f>(1 - CUSTOS!$M$28)*1.06</f>
        <v>1.06</v>
      </c>
      <c r="R26" s="37"/>
      <c r="S26" s="37">
        <f>1 - CUSTOS!$M$28</f>
        <v>1</v>
      </c>
      <c r="T26" s="37">
        <f>1 - CUSTOS!$M$28</f>
        <v>1</v>
      </c>
      <c r="U26" s="37">
        <f>1 - CUSTOS!$M$28</f>
        <v>1</v>
      </c>
      <c r="V26" s="37"/>
      <c r="W26" s="37"/>
      <c r="X26" s="37"/>
      <c r="Y26" s="37">
        <f>1 - CUSTOS!$M$28</f>
        <v>1</v>
      </c>
      <c r="Z26" s="37"/>
      <c r="AA26" s="37"/>
    </row>
    <row r="27" spans="1:27" ht="11.25" customHeight="1" x14ac:dyDescent="0.25">
      <c r="A27" s="135"/>
      <c r="B27" s="135" t="s">
        <v>85</v>
      </c>
      <c r="C27" s="135" t="s">
        <v>47</v>
      </c>
      <c r="D27" s="135" t="s">
        <v>101</v>
      </c>
      <c r="E27" s="135" t="s">
        <v>25</v>
      </c>
      <c r="F27" s="135" t="s">
        <v>25</v>
      </c>
      <c r="G27" s="39" t="s">
        <v>87</v>
      </c>
      <c r="H27" s="39" t="s">
        <v>86</v>
      </c>
      <c r="I27" s="39">
        <f>'MERCADO TE'!$U$24</f>
        <v>0</v>
      </c>
      <c r="J27" s="18"/>
      <c r="L27" s="37">
        <f>1 - CUSTOS!$M$29</f>
        <v>1</v>
      </c>
      <c r="M27" s="37">
        <f>1 - CUSTOS!$M$29</f>
        <v>1</v>
      </c>
      <c r="N27" s="37">
        <f>1 - CUSTOS!$M$29</f>
        <v>1</v>
      </c>
      <c r="O27" s="37">
        <f>1 - CUSTOS!$M$29</f>
        <v>1</v>
      </c>
      <c r="P27" s="37"/>
      <c r="Q27" s="37">
        <f>(1 - CUSTOS!$M$29)*1.72</f>
        <v>1.72</v>
      </c>
      <c r="R27" s="37"/>
      <c r="S27" s="37">
        <f>1 - CUSTOS!$M$29</f>
        <v>1</v>
      </c>
      <c r="T27" s="37">
        <f>1 - CUSTOS!$M$29</f>
        <v>1</v>
      </c>
      <c r="U27" s="37">
        <f>1 - CUSTOS!$M$29</f>
        <v>1</v>
      </c>
      <c r="V27" s="37"/>
      <c r="W27" s="37"/>
      <c r="X27" s="37"/>
      <c r="Y27" s="37">
        <f>1 - CUSTOS!$M$29</f>
        <v>1</v>
      </c>
      <c r="Z27" s="37"/>
      <c r="AA27" s="37"/>
    </row>
    <row r="28" spans="1:27" ht="11.25" customHeight="1" x14ac:dyDescent="0.25">
      <c r="A28" s="135"/>
      <c r="B28" s="135"/>
      <c r="C28" s="135"/>
      <c r="D28" s="135"/>
      <c r="E28" s="135"/>
      <c r="F28" s="135"/>
      <c r="G28" s="39" t="s">
        <v>98</v>
      </c>
      <c r="H28" s="39" t="s">
        <v>86</v>
      </c>
      <c r="I28" s="39">
        <f>'MERCADO TE'!$U$25</f>
        <v>0</v>
      </c>
      <c r="J28" s="18"/>
      <c r="L28" s="37">
        <f>1 - CUSTOS!$M$29</f>
        <v>1</v>
      </c>
      <c r="M28" s="37">
        <f>1 - CUSTOS!$M$29</f>
        <v>1</v>
      </c>
      <c r="N28" s="37">
        <f>1 - CUSTOS!$M$29</f>
        <v>1</v>
      </c>
      <c r="O28" s="37">
        <f>1 - CUSTOS!$M$29</f>
        <v>1</v>
      </c>
      <c r="P28" s="37"/>
      <c r="Q28" s="37">
        <f>(1 - CUSTOS!$M$29)*1</f>
        <v>1</v>
      </c>
      <c r="R28" s="37"/>
      <c r="S28" s="37">
        <f>1 - CUSTOS!$M$29</f>
        <v>1</v>
      </c>
      <c r="T28" s="37">
        <f>1 - CUSTOS!$M$29</f>
        <v>1</v>
      </c>
      <c r="U28" s="37">
        <f>1 - CUSTOS!$M$29</f>
        <v>1</v>
      </c>
      <c r="V28" s="37"/>
      <c r="W28" s="37"/>
      <c r="X28" s="37"/>
      <c r="Y28" s="37">
        <f>1 - CUSTOS!$M$29</f>
        <v>1</v>
      </c>
      <c r="Z28" s="37"/>
      <c r="AA28" s="37"/>
    </row>
    <row r="29" spans="1:27" ht="11.25" customHeight="1" x14ac:dyDescent="0.25">
      <c r="A29" s="135"/>
      <c r="B29" s="135"/>
      <c r="C29" s="135"/>
      <c r="D29" s="135"/>
      <c r="E29" s="135"/>
      <c r="F29" s="135"/>
      <c r="G29" s="39" t="s">
        <v>88</v>
      </c>
      <c r="H29" s="39" t="s">
        <v>86</v>
      </c>
      <c r="I29" s="39">
        <f>'MERCADO TE'!$U$26</f>
        <v>0</v>
      </c>
      <c r="J29" s="18"/>
      <c r="L29" s="37">
        <f>1 - CUSTOS!$M$29</f>
        <v>1</v>
      </c>
      <c r="M29" s="37">
        <f>1 - CUSTOS!$M$29</f>
        <v>1</v>
      </c>
      <c r="N29" s="37">
        <f>1 - CUSTOS!$M$29</f>
        <v>1</v>
      </c>
      <c r="O29" s="37">
        <f>1 - CUSTOS!$M$29</f>
        <v>1</v>
      </c>
      <c r="P29" s="37"/>
      <c r="Q29" s="37">
        <f>(1 - CUSTOS!$M$29)*1</f>
        <v>1</v>
      </c>
      <c r="R29" s="37"/>
      <c r="S29" s="37">
        <f>1 - CUSTOS!$M$29</f>
        <v>1</v>
      </c>
      <c r="T29" s="37">
        <f>1 - CUSTOS!$M$29</f>
        <v>1</v>
      </c>
      <c r="U29" s="37">
        <f>1 - CUSTOS!$M$29</f>
        <v>1</v>
      </c>
      <c r="V29" s="37"/>
      <c r="W29" s="37"/>
      <c r="X29" s="37"/>
      <c r="Y29" s="37">
        <f>1 - CUSTOS!$M$29</f>
        <v>1</v>
      </c>
      <c r="Z29" s="37"/>
      <c r="AA29" s="37"/>
    </row>
    <row r="30" spans="1:27" ht="11.25" customHeight="1" x14ac:dyDescent="0.25">
      <c r="A30" s="135"/>
      <c r="B30" s="40" t="s">
        <v>94</v>
      </c>
      <c r="C30" s="40" t="s">
        <v>47</v>
      </c>
      <c r="D30" s="40" t="s">
        <v>101</v>
      </c>
      <c r="E30" s="40" t="s">
        <v>25</v>
      </c>
      <c r="F30" s="40" t="s">
        <v>25</v>
      </c>
      <c r="G30" s="39" t="s">
        <v>92</v>
      </c>
      <c r="H30" s="39" t="s">
        <v>86</v>
      </c>
      <c r="I30" s="39">
        <f>'MERCADO TE'!$U$27</f>
        <v>0</v>
      </c>
      <c r="J30" s="18"/>
      <c r="L30" s="37">
        <f>1 - CUSTOS!$M$29</f>
        <v>1</v>
      </c>
      <c r="M30" s="37">
        <f>1 - CUSTOS!$M$29</f>
        <v>1</v>
      </c>
      <c r="N30" s="37">
        <f>1 - CUSTOS!$M$29</f>
        <v>1</v>
      </c>
      <c r="O30" s="37">
        <f>1 - CUSTOS!$M$29</f>
        <v>1</v>
      </c>
      <c r="P30" s="37"/>
      <c r="Q30" s="37">
        <f>(1 - CUSTOS!$M$29)*1.06</f>
        <v>1.06</v>
      </c>
      <c r="R30" s="37"/>
      <c r="S30" s="37">
        <f>1 - CUSTOS!$M$29</f>
        <v>1</v>
      </c>
      <c r="T30" s="37">
        <f>1 - CUSTOS!$M$29</f>
        <v>1</v>
      </c>
      <c r="U30" s="37">
        <f>1 - CUSTOS!$M$29</f>
        <v>1</v>
      </c>
      <c r="V30" s="37"/>
      <c r="W30" s="37"/>
      <c r="X30" s="37"/>
      <c r="Y30" s="37">
        <f>1 - CUSTOS!$M$29</f>
        <v>1</v>
      </c>
      <c r="Z30" s="37"/>
      <c r="AA30" s="37"/>
    </row>
    <row r="31" spans="1:27" ht="11.25" customHeight="1" x14ac:dyDescent="0.25">
      <c r="A31" s="135"/>
      <c r="B31" s="135" t="s">
        <v>85</v>
      </c>
      <c r="C31" s="135" t="s">
        <v>47</v>
      </c>
      <c r="D31" s="135" t="s">
        <v>55</v>
      </c>
      <c r="E31" s="135" t="s">
        <v>25</v>
      </c>
      <c r="F31" s="135" t="s">
        <v>25</v>
      </c>
      <c r="G31" s="39" t="s">
        <v>87</v>
      </c>
      <c r="H31" s="39" t="s">
        <v>86</v>
      </c>
      <c r="I31" s="39">
        <f>'MERCADO TE'!$U$28</f>
        <v>0</v>
      </c>
      <c r="J31" s="18"/>
      <c r="L31" s="37">
        <f>1 - CUSTOS!$M$30</f>
        <v>1</v>
      </c>
      <c r="M31" s="37">
        <f>1 - CUSTOS!$M$30</f>
        <v>1</v>
      </c>
      <c r="N31" s="37">
        <f>1 - CUSTOS!$M$30</f>
        <v>1</v>
      </c>
      <c r="O31" s="37">
        <f>1 - CUSTOS!$M$30</f>
        <v>1</v>
      </c>
      <c r="P31" s="37"/>
      <c r="Q31" s="37">
        <f>(1 - CUSTOS!$M$30)*1.72</f>
        <v>1.72</v>
      </c>
      <c r="R31" s="37"/>
      <c r="S31" s="37">
        <f>1 - CUSTOS!$M$30</f>
        <v>1</v>
      </c>
      <c r="T31" s="37">
        <f>1 - CUSTOS!$M$30</f>
        <v>1</v>
      </c>
      <c r="U31" s="37">
        <f>1 - CUSTOS!$M$30</f>
        <v>1</v>
      </c>
      <c r="V31" s="37"/>
      <c r="W31" s="37"/>
      <c r="X31" s="37"/>
      <c r="Y31" s="37">
        <f>1 - CUSTOS!$M$30</f>
        <v>1</v>
      </c>
      <c r="Z31" s="37"/>
      <c r="AA31" s="37"/>
    </row>
    <row r="32" spans="1:27" ht="11.25" customHeight="1" x14ac:dyDescent="0.25">
      <c r="A32" s="135"/>
      <c r="B32" s="135"/>
      <c r="C32" s="135"/>
      <c r="D32" s="135"/>
      <c r="E32" s="135"/>
      <c r="F32" s="135"/>
      <c r="G32" s="39" t="s">
        <v>98</v>
      </c>
      <c r="H32" s="39" t="s">
        <v>86</v>
      </c>
      <c r="I32" s="39">
        <f>'MERCADO TE'!$U$29</f>
        <v>0</v>
      </c>
      <c r="J32" s="18"/>
      <c r="L32" s="37">
        <f>1 - CUSTOS!$M$30</f>
        <v>1</v>
      </c>
      <c r="M32" s="37">
        <f>1 - CUSTOS!$M$30</f>
        <v>1</v>
      </c>
      <c r="N32" s="37">
        <f>1 - CUSTOS!$M$30</f>
        <v>1</v>
      </c>
      <c r="O32" s="37">
        <f>1 - CUSTOS!$M$30</f>
        <v>1</v>
      </c>
      <c r="P32" s="37"/>
      <c r="Q32" s="37">
        <f>(1 - CUSTOS!$M$30)*1</f>
        <v>1</v>
      </c>
      <c r="R32" s="37"/>
      <c r="S32" s="37">
        <f>1 - CUSTOS!$M$30</f>
        <v>1</v>
      </c>
      <c r="T32" s="37">
        <f>1 - CUSTOS!$M$30</f>
        <v>1</v>
      </c>
      <c r="U32" s="37">
        <f>1 - CUSTOS!$M$30</f>
        <v>1</v>
      </c>
      <c r="V32" s="37"/>
      <c r="W32" s="37"/>
      <c r="X32" s="37"/>
      <c r="Y32" s="37">
        <f>1 - CUSTOS!$M$30</f>
        <v>1</v>
      </c>
      <c r="Z32" s="37"/>
      <c r="AA32" s="37"/>
    </row>
    <row r="33" spans="1:27" ht="11.25" customHeight="1" x14ac:dyDescent="0.25">
      <c r="A33" s="135"/>
      <c r="B33" s="135"/>
      <c r="C33" s="135"/>
      <c r="D33" s="135"/>
      <c r="E33" s="135"/>
      <c r="F33" s="135"/>
      <c r="G33" s="39" t="s">
        <v>88</v>
      </c>
      <c r="H33" s="39" t="s">
        <v>86</v>
      </c>
      <c r="I33" s="39">
        <f>'MERCADO TE'!$U$30</f>
        <v>0</v>
      </c>
      <c r="J33" s="18"/>
      <c r="L33" s="37">
        <f>1 - CUSTOS!$M$30</f>
        <v>1</v>
      </c>
      <c r="M33" s="37">
        <f>1 - CUSTOS!$M$30</f>
        <v>1</v>
      </c>
      <c r="N33" s="37">
        <f>1 - CUSTOS!$M$30</f>
        <v>1</v>
      </c>
      <c r="O33" s="37">
        <f>1 - CUSTOS!$M$30</f>
        <v>1</v>
      </c>
      <c r="P33" s="37"/>
      <c r="Q33" s="37">
        <f>(1 - CUSTOS!$M$30)*1</f>
        <v>1</v>
      </c>
      <c r="R33" s="37"/>
      <c r="S33" s="37">
        <f>1 - CUSTOS!$M$30</f>
        <v>1</v>
      </c>
      <c r="T33" s="37">
        <f>1 - CUSTOS!$M$30</f>
        <v>1</v>
      </c>
      <c r="U33" s="37">
        <f>1 - CUSTOS!$M$30</f>
        <v>1</v>
      </c>
      <c r="V33" s="37"/>
      <c r="W33" s="37"/>
      <c r="X33" s="37"/>
      <c r="Y33" s="37">
        <f>1 - CUSTOS!$M$30</f>
        <v>1</v>
      </c>
      <c r="Z33" s="37"/>
      <c r="AA33" s="37"/>
    </row>
    <row r="34" spans="1:27" ht="11.25" customHeight="1" x14ac:dyDescent="0.25">
      <c r="A34" s="135"/>
      <c r="B34" s="40" t="s">
        <v>94</v>
      </c>
      <c r="C34" s="40" t="s">
        <v>47</v>
      </c>
      <c r="D34" s="40" t="s">
        <v>55</v>
      </c>
      <c r="E34" s="40" t="s">
        <v>25</v>
      </c>
      <c r="F34" s="40" t="s">
        <v>25</v>
      </c>
      <c r="G34" s="39" t="s">
        <v>92</v>
      </c>
      <c r="H34" s="39" t="s">
        <v>86</v>
      </c>
      <c r="I34" s="39">
        <f>'MERCADO TE'!$U$31</f>
        <v>26.512</v>
      </c>
      <c r="J34" s="18"/>
      <c r="L34" s="37">
        <f>1 - CUSTOS!$M$30</f>
        <v>1</v>
      </c>
      <c r="M34" s="37">
        <f>1 - CUSTOS!$M$30</f>
        <v>1</v>
      </c>
      <c r="N34" s="37">
        <f>1 - CUSTOS!$M$30</f>
        <v>1</v>
      </c>
      <c r="O34" s="37">
        <f>1 - CUSTOS!$M$30</f>
        <v>1</v>
      </c>
      <c r="P34" s="37"/>
      <c r="Q34" s="37">
        <f>(1 - CUSTOS!$M$30)*1.06</f>
        <v>1.06</v>
      </c>
      <c r="R34" s="37"/>
      <c r="S34" s="37">
        <f>1 - CUSTOS!$M$30</f>
        <v>1</v>
      </c>
      <c r="T34" s="37">
        <f>1 - CUSTOS!$M$30</f>
        <v>1</v>
      </c>
      <c r="U34" s="37">
        <f>1 - CUSTOS!$M$30</f>
        <v>1</v>
      </c>
      <c r="V34" s="37"/>
      <c r="W34" s="37"/>
      <c r="X34" s="37"/>
      <c r="Y34" s="37">
        <f>1 - CUSTOS!$M$30</f>
        <v>1</v>
      </c>
      <c r="Z34" s="37"/>
      <c r="AA34" s="37"/>
    </row>
    <row r="35" spans="1:27" ht="11.25" customHeight="1" x14ac:dyDescent="0.25">
      <c r="A35" s="135"/>
      <c r="B35" s="135" t="s">
        <v>99</v>
      </c>
      <c r="C35" s="135" t="s">
        <v>47</v>
      </c>
      <c r="D35" s="40" t="s">
        <v>25</v>
      </c>
      <c r="E35" s="40" t="s">
        <v>25</v>
      </c>
      <c r="F35" s="40" t="s">
        <v>25</v>
      </c>
      <c r="G35" s="39" t="s">
        <v>92</v>
      </c>
      <c r="H35" s="39" t="s">
        <v>86</v>
      </c>
      <c r="I35" s="39">
        <f>'MERCADO TE'!$U$32</f>
        <v>0</v>
      </c>
      <c r="J35" s="18"/>
      <c r="L35" s="37">
        <f>1 - CUSTOS!$M$28</f>
        <v>1</v>
      </c>
      <c r="M35" s="37">
        <f>1 - CUSTOS!$M$28</f>
        <v>1</v>
      </c>
      <c r="N35" s="37">
        <f>1 - CUSTOS!$M$28</f>
        <v>1</v>
      </c>
      <c r="O35" s="37">
        <f>1 - CUSTOS!$M$28</f>
        <v>1</v>
      </c>
      <c r="P35" s="37"/>
      <c r="Q35" s="37">
        <f>(1 - CUSTOS!$M$28)*1.06</f>
        <v>1.06</v>
      </c>
      <c r="R35" s="37"/>
      <c r="S35" s="37">
        <f>1 - CUSTOS!$M$28</f>
        <v>1</v>
      </c>
      <c r="T35" s="37">
        <f>1 - CUSTOS!$M$28</f>
        <v>1</v>
      </c>
      <c r="U35" s="37">
        <f>1 - CUSTOS!$M$28</f>
        <v>1</v>
      </c>
      <c r="V35" s="37"/>
      <c r="W35" s="37"/>
      <c r="X35" s="37"/>
      <c r="Y35" s="37">
        <f>1 - CUSTOS!$M$28</f>
        <v>1</v>
      </c>
      <c r="Z35" s="37"/>
      <c r="AA35" s="37"/>
    </row>
    <row r="36" spans="1:27" ht="11.25" customHeight="1" x14ac:dyDescent="0.25">
      <c r="A36" s="135"/>
      <c r="B36" s="135"/>
      <c r="C36" s="135"/>
      <c r="D36" s="40" t="s">
        <v>101</v>
      </c>
      <c r="E36" s="40" t="s">
        <v>25</v>
      </c>
      <c r="F36" s="40" t="s">
        <v>25</v>
      </c>
      <c r="G36" s="39" t="s">
        <v>92</v>
      </c>
      <c r="H36" s="39" t="s">
        <v>86</v>
      </c>
      <c r="I36" s="39">
        <f>'MERCADO TE'!$U$33</f>
        <v>0</v>
      </c>
      <c r="J36" s="18"/>
      <c r="L36" s="37">
        <f>1 - CUSTOS!$M$29</f>
        <v>1</v>
      </c>
      <c r="M36" s="37">
        <f>1 - CUSTOS!$M$29</f>
        <v>1</v>
      </c>
      <c r="N36" s="37">
        <f>1 - CUSTOS!$M$29</f>
        <v>1</v>
      </c>
      <c r="O36" s="37">
        <f>1 - CUSTOS!$M$29</f>
        <v>1</v>
      </c>
      <c r="P36" s="37"/>
      <c r="Q36" s="37">
        <f>(1 - CUSTOS!$M$29)*1.06</f>
        <v>1.06</v>
      </c>
      <c r="R36" s="37"/>
      <c r="S36" s="37">
        <f>1 - CUSTOS!$M$29</f>
        <v>1</v>
      </c>
      <c r="T36" s="37">
        <f>1 - CUSTOS!$M$29</f>
        <v>1</v>
      </c>
      <c r="U36" s="37">
        <f>1 - CUSTOS!$M$29</f>
        <v>1</v>
      </c>
      <c r="V36" s="37"/>
      <c r="W36" s="37"/>
      <c r="X36" s="37"/>
      <c r="Y36" s="37">
        <f>1 - CUSTOS!$M$29</f>
        <v>1</v>
      </c>
      <c r="Z36" s="37"/>
      <c r="AA36" s="37"/>
    </row>
    <row r="37" spans="1:27" ht="11.25" customHeight="1" x14ac:dyDescent="0.25">
      <c r="A37" s="135"/>
      <c r="B37" s="135"/>
      <c r="C37" s="135"/>
      <c r="D37" s="40" t="s">
        <v>55</v>
      </c>
      <c r="E37" s="40" t="s">
        <v>25</v>
      </c>
      <c r="F37" s="40" t="s">
        <v>25</v>
      </c>
      <c r="G37" s="39" t="s">
        <v>92</v>
      </c>
      <c r="H37" s="39" t="s">
        <v>86</v>
      </c>
      <c r="I37" s="39">
        <f>'MERCADO TE'!$U$34</f>
        <v>0</v>
      </c>
      <c r="J37" s="18"/>
      <c r="L37" s="37">
        <f>1 - CUSTOS!$M$30</f>
        <v>1</v>
      </c>
      <c r="M37" s="37">
        <f>1 - CUSTOS!$M$30</f>
        <v>1</v>
      </c>
      <c r="N37" s="37">
        <f>1 - CUSTOS!$M$30</f>
        <v>1</v>
      </c>
      <c r="O37" s="37">
        <f>1 - CUSTOS!$M$30</f>
        <v>1</v>
      </c>
      <c r="P37" s="37"/>
      <c r="Q37" s="37">
        <f>(1 - CUSTOS!$M$30)*1.06</f>
        <v>1.06</v>
      </c>
      <c r="R37" s="37"/>
      <c r="S37" s="37">
        <f>1 - CUSTOS!$M$30</f>
        <v>1</v>
      </c>
      <c r="T37" s="37">
        <f>1 - CUSTOS!$M$30</f>
        <v>1</v>
      </c>
      <c r="U37" s="37">
        <f>1 - CUSTOS!$M$30</f>
        <v>1</v>
      </c>
      <c r="V37" s="37"/>
      <c r="W37" s="37"/>
      <c r="X37" s="37"/>
      <c r="Y37" s="37">
        <f>1 - CUSTOS!$M$30</f>
        <v>1</v>
      </c>
      <c r="Z37" s="37"/>
      <c r="AA37" s="37"/>
    </row>
    <row r="38" spans="1:27" ht="11.25" customHeight="1" x14ac:dyDescent="0.25">
      <c r="A38" s="135" t="s">
        <v>41</v>
      </c>
      <c r="B38" s="135" t="s">
        <v>85</v>
      </c>
      <c r="C38" s="135" t="s">
        <v>25</v>
      </c>
      <c r="D38" s="135" t="s">
        <v>25</v>
      </c>
      <c r="E38" s="135" t="s">
        <v>25</v>
      </c>
      <c r="F38" s="135" t="s">
        <v>25</v>
      </c>
      <c r="G38" s="39" t="s">
        <v>87</v>
      </c>
      <c r="H38" s="39" t="s">
        <v>86</v>
      </c>
      <c r="I38" s="39">
        <f>'MERCADO TE'!$U$35</f>
        <v>159.50200000000001</v>
      </c>
      <c r="J38" s="18"/>
      <c r="L38" s="37">
        <f>1 - CUSTOS!$M$31</f>
        <v>1</v>
      </c>
      <c r="M38" s="37">
        <f>1 - CUSTOS!$M$31</f>
        <v>1</v>
      </c>
      <c r="N38" s="37">
        <f>1 - CUSTOS!$M$31</f>
        <v>1</v>
      </c>
      <c r="O38" s="37">
        <f>1 - CUSTOS!$M$31</f>
        <v>1</v>
      </c>
      <c r="P38" s="37"/>
      <c r="Q38" s="37">
        <f>(1 - CUSTOS!$M$31)*1.72</f>
        <v>1.72</v>
      </c>
      <c r="R38" s="37"/>
      <c r="S38" s="37">
        <f>1 - CUSTOS!$M$31</f>
        <v>1</v>
      </c>
      <c r="T38" s="37">
        <f>1 - CUSTOS!$M$31</f>
        <v>1</v>
      </c>
      <c r="U38" s="37">
        <f>1 - CUSTOS!$M$31</f>
        <v>1</v>
      </c>
      <c r="V38" s="37"/>
      <c r="W38" s="37"/>
      <c r="X38" s="37"/>
      <c r="Y38" s="37">
        <f>1 - CUSTOS!$M$31</f>
        <v>1</v>
      </c>
      <c r="Z38" s="37"/>
      <c r="AA38" s="37"/>
    </row>
    <row r="39" spans="1:27" ht="11.25" customHeight="1" x14ac:dyDescent="0.25">
      <c r="A39" s="135"/>
      <c r="B39" s="135"/>
      <c r="C39" s="135"/>
      <c r="D39" s="135"/>
      <c r="E39" s="135"/>
      <c r="F39" s="135"/>
      <c r="G39" s="39" t="s">
        <v>98</v>
      </c>
      <c r="H39" s="39" t="s">
        <v>86</v>
      </c>
      <c r="I39" s="39">
        <f>'MERCADO TE'!$U$36</f>
        <v>89.802000000000007</v>
      </c>
      <c r="J39" s="18"/>
      <c r="L39" s="37">
        <f>1 - CUSTOS!$M$31</f>
        <v>1</v>
      </c>
      <c r="M39" s="37">
        <f>1 - CUSTOS!$M$31</f>
        <v>1</v>
      </c>
      <c r="N39" s="37">
        <f>1 - CUSTOS!$M$31</f>
        <v>1</v>
      </c>
      <c r="O39" s="37">
        <f>1 - CUSTOS!$M$31</f>
        <v>1</v>
      </c>
      <c r="P39" s="37"/>
      <c r="Q39" s="37">
        <f>(1 - CUSTOS!$M$31)*1</f>
        <v>1</v>
      </c>
      <c r="R39" s="37"/>
      <c r="S39" s="37">
        <f>1 - CUSTOS!$M$31</f>
        <v>1</v>
      </c>
      <c r="T39" s="37">
        <f>1 - CUSTOS!$M$31</f>
        <v>1</v>
      </c>
      <c r="U39" s="37">
        <f>1 - CUSTOS!$M$31</f>
        <v>1</v>
      </c>
      <c r="V39" s="37"/>
      <c r="W39" s="37"/>
      <c r="X39" s="37"/>
      <c r="Y39" s="37">
        <f>1 - CUSTOS!$M$31</f>
        <v>1</v>
      </c>
      <c r="Z39" s="37"/>
      <c r="AA39" s="37"/>
    </row>
    <row r="40" spans="1:27" ht="11.25" customHeight="1" x14ac:dyDescent="0.25">
      <c r="A40" s="135"/>
      <c r="B40" s="135"/>
      <c r="C40" s="135"/>
      <c r="D40" s="135"/>
      <c r="E40" s="135"/>
      <c r="F40" s="135"/>
      <c r="G40" s="39" t="s">
        <v>88</v>
      </c>
      <c r="H40" s="39" t="s">
        <v>86</v>
      </c>
      <c r="I40" s="39">
        <f>'MERCADO TE'!$U$37</f>
        <v>2507.7720000000004</v>
      </c>
      <c r="J40" s="18"/>
      <c r="L40" s="37">
        <f>1 - CUSTOS!$M$31</f>
        <v>1</v>
      </c>
      <c r="M40" s="37">
        <f>1 - CUSTOS!$M$31</f>
        <v>1</v>
      </c>
      <c r="N40" s="37">
        <f>1 - CUSTOS!$M$31</f>
        <v>1</v>
      </c>
      <c r="O40" s="37">
        <f>1 - CUSTOS!$M$31</f>
        <v>1</v>
      </c>
      <c r="P40" s="37"/>
      <c r="Q40" s="37">
        <f>(1 - CUSTOS!$M$31)*1</f>
        <v>1</v>
      </c>
      <c r="R40" s="37"/>
      <c r="S40" s="37">
        <f>1 - CUSTOS!$M$31</f>
        <v>1</v>
      </c>
      <c r="T40" s="37">
        <f>1 - CUSTOS!$M$31</f>
        <v>1</v>
      </c>
      <c r="U40" s="37">
        <f>1 - CUSTOS!$M$31</f>
        <v>1</v>
      </c>
      <c r="V40" s="37"/>
      <c r="W40" s="37"/>
      <c r="X40" s="37"/>
      <c r="Y40" s="37">
        <f>1 - CUSTOS!$M$31</f>
        <v>1</v>
      </c>
      <c r="Z40" s="37"/>
      <c r="AA40" s="37"/>
    </row>
    <row r="41" spans="1:27" ht="11.25" customHeight="1" x14ac:dyDescent="0.25">
      <c r="A41" s="135"/>
      <c r="B41" s="40" t="s">
        <v>94</v>
      </c>
      <c r="C41" s="40" t="s">
        <v>25</v>
      </c>
      <c r="D41" s="40" t="s">
        <v>25</v>
      </c>
      <c r="E41" s="40" t="s">
        <v>25</v>
      </c>
      <c r="F41" s="40" t="s">
        <v>25</v>
      </c>
      <c r="G41" s="39" t="s">
        <v>92</v>
      </c>
      <c r="H41" s="39" t="s">
        <v>86</v>
      </c>
      <c r="I41" s="39">
        <f>'MERCADO TE'!$U$38</f>
        <v>849619.68099999998</v>
      </c>
      <c r="J41" s="18"/>
      <c r="L41" s="37">
        <f>1 - CUSTOS!$M$31</f>
        <v>1</v>
      </c>
      <c r="M41" s="37">
        <f>1 - CUSTOS!$M$31</f>
        <v>1</v>
      </c>
      <c r="N41" s="37">
        <f>1 - CUSTOS!$M$31</f>
        <v>1</v>
      </c>
      <c r="O41" s="37">
        <f>1 - CUSTOS!$M$31</f>
        <v>1</v>
      </c>
      <c r="P41" s="37"/>
      <c r="Q41" s="37">
        <f>(1 - CUSTOS!$M$31)*1.06</f>
        <v>1.06</v>
      </c>
      <c r="R41" s="37"/>
      <c r="S41" s="37">
        <f>1 - CUSTOS!$M$31</f>
        <v>1</v>
      </c>
      <c r="T41" s="37">
        <f>1 - CUSTOS!$M$31</f>
        <v>1</v>
      </c>
      <c r="U41" s="37">
        <f>1 - CUSTOS!$M$31</f>
        <v>1</v>
      </c>
      <c r="V41" s="37"/>
      <c r="W41" s="37"/>
      <c r="X41" s="37"/>
      <c r="Y41" s="37">
        <f>1 - CUSTOS!$M$31</f>
        <v>1</v>
      </c>
      <c r="Z41" s="37"/>
      <c r="AA41" s="37"/>
    </row>
    <row r="42" spans="1:27" ht="11.25" customHeight="1" x14ac:dyDescent="0.25">
      <c r="A42" s="135"/>
      <c r="B42" s="40" t="s">
        <v>99</v>
      </c>
      <c r="C42" s="40" t="s">
        <v>25</v>
      </c>
      <c r="D42" s="40" t="s">
        <v>25</v>
      </c>
      <c r="E42" s="40" t="s">
        <v>25</v>
      </c>
      <c r="F42" s="40" t="s">
        <v>25</v>
      </c>
      <c r="G42" s="39" t="s">
        <v>92</v>
      </c>
      <c r="H42" s="39" t="s">
        <v>86</v>
      </c>
      <c r="I42" s="39">
        <f>'MERCADO TE'!$U$39</f>
        <v>0</v>
      </c>
      <c r="J42" s="18"/>
      <c r="L42" s="37">
        <f>1 - CUSTOS!$M$31</f>
        <v>1</v>
      </c>
      <c r="M42" s="37">
        <f>1 - CUSTOS!$M$31</f>
        <v>1</v>
      </c>
      <c r="N42" s="37">
        <f>1 - CUSTOS!$M$31</f>
        <v>1</v>
      </c>
      <c r="O42" s="37">
        <f>1 - CUSTOS!$M$31</f>
        <v>1</v>
      </c>
      <c r="P42" s="37"/>
      <c r="Q42" s="37">
        <f>(1 - CUSTOS!$M$31)*1.06</f>
        <v>1.06</v>
      </c>
      <c r="R42" s="37"/>
      <c r="S42" s="37">
        <f>1 - CUSTOS!$M$31</f>
        <v>1</v>
      </c>
      <c r="T42" s="37">
        <f>1 - CUSTOS!$M$31</f>
        <v>1</v>
      </c>
      <c r="U42" s="37">
        <f>1 - CUSTOS!$M$31</f>
        <v>1</v>
      </c>
      <c r="V42" s="37"/>
      <c r="W42" s="37"/>
      <c r="X42" s="37"/>
      <c r="Y42" s="37">
        <f>1 - CUSTOS!$M$31</f>
        <v>1</v>
      </c>
      <c r="Z42" s="37"/>
      <c r="AA42" s="37"/>
    </row>
    <row r="43" spans="1:27" ht="11.25" customHeight="1" x14ac:dyDescent="0.25">
      <c r="A43" s="135" t="s">
        <v>49</v>
      </c>
      <c r="B43" s="135" t="s">
        <v>94</v>
      </c>
      <c r="C43" s="135" t="s">
        <v>50</v>
      </c>
      <c r="D43" s="40" t="s">
        <v>51</v>
      </c>
      <c r="E43" s="40" t="s">
        <v>25</v>
      </c>
      <c r="F43" s="40" t="s">
        <v>25</v>
      </c>
      <c r="G43" s="39" t="s">
        <v>92</v>
      </c>
      <c r="H43" s="39" t="s">
        <v>86</v>
      </c>
      <c r="I43" s="39">
        <f>'MERCADO TE'!$U$40</f>
        <v>200182.10399999999</v>
      </c>
      <c r="J43" s="18"/>
      <c r="L43" s="37">
        <f>1 - CUSTOS!$M$32</f>
        <v>0.55000000000000004</v>
      </c>
      <c r="M43" s="37">
        <f>1 - CUSTOS!$M$32</f>
        <v>0.55000000000000004</v>
      </c>
      <c r="N43" s="37">
        <f>1 - CUSTOS!$M$32</f>
        <v>0.55000000000000004</v>
      </c>
      <c r="O43" s="37">
        <f>1 - CUSTOS!$M$32</f>
        <v>0.55000000000000004</v>
      </c>
      <c r="P43" s="37"/>
      <c r="Q43" s="37">
        <f>(1 - CUSTOS!$M$32)*1.06</f>
        <v>0.58300000000000007</v>
      </c>
      <c r="R43" s="37"/>
      <c r="S43" s="37">
        <f>1 - CUSTOS!$M$32</f>
        <v>0.55000000000000004</v>
      </c>
      <c r="T43" s="37">
        <f>1 - CUSTOS!$M$32</f>
        <v>0.55000000000000004</v>
      </c>
      <c r="U43" s="37">
        <f>1 - CUSTOS!$M$32</f>
        <v>0.55000000000000004</v>
      </c>
      <c r="V43" s="37"/>
      <c r="W43" s="37"/>
      <c r="X43" s="37"/>
      <c r="Y43" s="37">
        <f>1 - CUSTOS!$M$32</f>
        <v>0.55000000000000004</v>
      </c>
      <c r="Z43" s="37"/>
      <c r="AA43" s="37"/>
    </row>
    <row r="44" spans="1:27" ht="11.25" customHeight="1" x14ac:dyDescent="0.25">
      <c r="A44" s="135"/>
      <c r="B44" s="135"/>
      <c r="C44" s="135"/>
      <c r="D44" s="39" t="s">
        <v>102</v>
      </c>
      <c r="E44" s="39" t="s">
        <v>25</v>
      </c>
      <c r="F44" s="39" t="s">
        <v>25</v>
      </c>
      <c r="G44" s="39" t="s">
        <v>92</v>
      </c>
      <c r="H44" s="39" t="s">
        <v>86</v>
      </c>
      <c r="I44" s="39">
        <f>'MERCADO TE'!$U$41</f>
        <v>0</v>
      </c>
      <c r="J44" s="18"/>
      <c r="L44" s="37">
        <f>1 - CUSTOS!$M$33</f>
        <v>0.6</v>
      </c>
      <c r="M44" s="37">
        <f>1 - CUSTOS!$M$33</f>
        <v>0.6</v>
      </c>
      <c r="N44" s="37">
        <f>1 - CUSTOS!$M$33</f>
        <v>0.6</v>
      </c>
      <c r="O44" s="37">
        <f>1 - CUSTOS!$M$33</f>
        <v>0.6</v>
      </c>
      <c r="P44" s="37"/>
      <c r="Q44" s="37">
        <f>(1 - CUSTOS!$M$33)*1.06</f>
        <v>0.63600000000000001</v>
      </c>
      <c r="R44" s="37"/>
      <c r="S44" s="37">
        <f>1 - CUSTOS!$M$33</f>
        <v>0.6</v>
      </c>
      <c r="T44" s="37">
        <f>1 - CUSTOS!$M$33</f>
        <v>0.6</v>
      </c>
      <c r="U44" s="37">
        <f>1 - CUSTOS!$M$33</f>
        <v>0.6</v>
      </c>
      <c r="V44" s="37"/>
      <c r="W44" s="37"/>
      <c r="X44" s="37"/>
      <c r="Y44" s="37">
        <f>1 - CUSTOS!$M$33</f>
        <v>0.6</v>
      </c>
      <c r="Z44" s="37"/>
      <c r="AA44" s="37"/>
    </row>
    <row r="46" spans="1:27" ht="11.25" customHeight="1" x14ac:dyDescent="0.25">
      <c r="K46" s="42" t="s">
        <v>768</v>
      </c>
      <c r="L46" s="37">
        <f t="shared" ref="L46:AA46" si="0">SUMPRODUCT($I$5:$I$44,L$5:L$44)</f>
        <v>4322806.9602000006</v>
      </c>
      <c r="M46" s="37">
        <f t="shared" si="0"/>
        <v>4322806.9602000006</v>
      </c>
      <c r="N46" s="37">
        <f t="shared" si="0"/>
        <v>4322806.9602000006</v>
      </c>
      <c r="O46" s="37">
        <f t="shared" si="0"/>
        <v>4322806.9602000006</v>
      </c>
      <c r="P46" s="37">
        <f t="shared" si="0"/>
        <v>0</v>
      </c>
      <c r="Q46" s="37">
        <f t="shared" si="0"/>
        <v>4573431.7156320009</v>
      </c>
      <c r="R46" s="37">
        <f t="shared" si="0"/>
        <v>0</v>
      </c>
      <c r="S46" s="37">
        <f t="shared" si="0"/>
        <v>4322806.9602000006</v>
      </c>
      <c r="T46" s="37">
        <f t="shared" si="0"/>
        <v>4322806.9602000006</v>
      </c>
      <c r="U46" s="37">
        <f t="shared" si="0"/>
        <v>4322806.9602000006</v>
      </c>
      <c r="V46" s="37">
        <f t="shared" si="0"/>
        <v>0</v>
      </c>
      <c r="W46" s="37">
        <f t="shared" si="0"/>
        <v>0</v>
      </c>
      <c r="X46" s="37">
        <f t="shared" si="0"/>
        <v>0</v>
      </c>
      <c r="Y46" s="37">
        <f t="shared" si="0"/>
        <v>4322806.9602000006</v>
      </c>
      <c r="Z46" s="37">
        <f t="shared" si="0"/>
        <v>0</v>
      </c>
      <c r="AA46" s="37">
        <f t="shared" si="0"/>
        <v>0</v>
      </c>
    </row>
    <row r="47" spans="1:27" ht="11.25" customHeight="1" x14ac:dyDescent="0.25">
      <c r="K47" s="42" t="s">
        <v>687</v>
      </c>
      <c r="L47" s="37">
        <f>CUSTOS!$D$30</f>
        <v>12512932.859588204</v>
      </c>
      <c r="M47" s="37">
        <f>CUSTOS!$D$31</f>
        <v>47694181.119319111</v>
      </c>
      <c r="N47" s="37">
        <f>CUSTOS!$D$32</f>
        <v>0</v>
      </c>
      <c r="O47" s="37">
        <f>CUSTOS!$D$33</f>
        <v>54225064.56883698</v>
      </c>
      <c r="P47" s="37">
        <f>CUSTOS!$D$34</f>
        <v>114432178.5477443</v>
      </c>
      <c r="Q47" s="37">
        <f>CUSTOS!$D$35</f>
        <v>1088711363.8414388</v>
      </c>
      <c r="R47" s="37">
        <f>CUSTOS!$D$36</f>
        <v>1088711363.8414388</v>
      </c>
      <c r="S47" s="37">
        <f>CUSTOS!$D$37</f>
        <v>0</v>
      </c>
      <c r="T47" s="37">
        <f>CUSTOS!$D$38</f>
        <v>0</v>
      </c>
      <c r="U47" s="37">
        <f>CUSTOS!$D$39</f>
        <v>0</v>
      </c>
      <c r="V47" s="37">
        <f>CUSTOS!$D$40</f>
        <v>0</v>
      </c>
      <c r="W47" s="37">
        <f>CUSTOS!$D$41</f>
        <v>0</v>
      </c>
      <c r="X47" s="37">
        <f>CUSTOS!$D$42</f>
        <v>0</v>
      </c>
      <c r="Y47" s="37">
        <f>CUSTOS!$D$43</f>
        <v>18001834.880974047</v>
      </c>
      <c r="Z47" s="37">
        <f>CUSTOS!$D$44</f>
        <v>18001834.880974047</v>
      </c>
      <c r="AA47" s="37">
        <f>CUSTOS!$D$45</f>
        <v>1221145377.2701571</v>
      </c>
    </row>
    <row r="48" spans="1:27" ht="11.25" customHeight="1" x14ac:dyDescent="0.25">
      <c r="K48" s="42" t="s">
        <v>688</v>
      </c>
      <c r="L48" s="37">
        <f>CUSTOS!$E$30</f>
        <v>-48.949027468401006</v>
      </c>
      <c r="M48" s="37">
        <f>CUSTOS!$E$31</f>
        <v>-56055797.563964814</v>
      </c>
      <c r="N48" s="37">
        <f>CUSTOS!$E$32</f>
        <v>0</v>
      </c>
      <c r="O48" s="37">
        <f>CUSTOS!$E$33</f>
        <v>-1621231.8059110977</v>
      </c>
      <c r="P48" s="37">
        <f>CUSTOS!$E$34</f>
        <v>-57677078.318903387</v>
      </c>
      <c r="Q48" s="37">
        <f>CUSTOS!$E$35</f>
        <v>-99229871.717498198</v>
      </c>
      <c r="R48" s="37">
        <f>CUSTOS!$E$36</f>
        <v>-99229871.717498198</v>
      </c>
      <c r="S48" s="37">
        <f>CUSTOS!$E$37</f>
        <v>0</v>
      </c>
      <c r="T48" s="37">
        <f>CUSTOS!$E$38</f>
        <v>0</v>
      </c>
      <c r="U48" s="37">
        <f>CUSTOS!$E$39</f>
        <v>0</v>
      </c>
      <c r="V48" s="37">
        <f>CUSTOS!$E$40</f>
        <v>0</v>
      </c>
      <c r="W48" s="37">
        <f>CUSTOS!$E$41</f>
        <v>0</v>
      </c>
      <c r="X48" s="37">
        <f>CUSTOS!$E$42</f>
        <v>0</v>
      </c>
      <c r="Y48" s="37">
        <f>CUSTOS!$E$43</f>
        <v>-1640765.2434303062</v>
      </c>
      <c r="Z48" s="37">
        <f>CUSTOS!$E$44</f>
        <v>-1640765.2434303062</v>
      </c>
      <c r="AA48" s="37">
        <f>CUSTOS!$E$45</f>
        <v>-158547715.27983189</v>
      </c>
    </row>
    <row r="49" spans="11:27" ht="11.25" customHeight="1" x14ac:dyDescent="0.25">
      <c r="K49" s="42" t="s">
        <v>689</v>
      </c>
      <c r="L49" s="37">
        <f>CUSTOS!$F$30</f>
        <v>0</v>
      </c>
      <c r="M49" s="37">
        <f>CUSTOS!$F$31</f>
        <v>121739537.68676871</v>
      </c>
      <c r="N49" s="37">
        <f>CUSTOS!$F$32</f>
        <v>0</v>
      </c>
      <c r="O49" s="37">
        <f>CUSTOS!$F$33</f>
        <v>-2635928.2517941808</v>
      </c>
      <c r="P49" s="37">
        <f>CUSTOS!$F$34</f>
        <v>119103609.43497454</v>
      </c>
      <c r="Q49" s="37">
        <f>CUSTOS!$F$35</f>
        <v>99320276.086431906</v>
      </c>
      <c r="R49" s="37">
        <f>CUSTOS!$F$36</f>
        <v>99320276.086431906</v>
      </c>
      <c r="S49" s="37">
        <f>CUSTOS!$F$37</f>
        <v>0</v>
      </c>
      <c r="T49" s="37">
        <f>CUSTOS!$F$38</f>
        <v>0</v>
      </c>
      <c r="U49" s="37">
        <f>CUSTOS!$F$39</f>
        <v>0</v>
      </c>
      <c r="V49" s="37">
        <f>CUSTOS!$F$40</f>
        <v>0</v>
      </c>
      <c r="W49" s="37">
        <f>CUSTOS!$F$41</f>
        <v>0</v>
      </c>
      <c r="X49" s="37">
        <f>CUSTOS!$F$42</f>
        <v>0</v>
      </c>
      <c r="Y49" s="37">
        <f>CUSTOS!$F$43</f>
        <v>1642260.0790461677</v>
      </c>
      <c r="Z49" s="37">
        <f>CUSTOS!$F$44</f>
        <v>1642260.0790461677</v>
      </c>
      <c r="AA49" s="37">
        <f>CUSTOS!$F$45</f>
        <v>220066145.6004526</v>
      </c>
    </row>
    <row r="50" spans="11:27" ht="11.25" customHeight="1" x14ac:dyDescent="0.25">
      <c r="K50" s="42" t="s">
        <v>769</v>
      </c>
      <c r="L50" s="37">
        <f>IF(SUMPRODUCT($I$5:$I$44,$L$5:$L$44)&lt;&gt;0,L47/SUMPRODUCT($I$5:$I$44,$L$5:$L$44),0)</f>
        <v>2.8946314223129863</v>
      </c>
      <c r="M50" s="37">
        <f>IF(SUMPRODUCT($I$5:$I$44,$M$5:$M$44)&lt;&gt;0,M47/SUMPRODUCT($I$5:$I$44,$M$5:$M$44),0)</f>
        <v>11.033150811136956</v>
      </c>
      <c r="N50" s="37">
        <f>IF(SUMPRODUCT($I$5:$I$44,$N$5:$N$44)&lt;&gt;0,N47/SUMPRODUCT($I$5:$I$44,$N$5:$N$44),0)</f>
        <v>0</v>
      </c>
      <c r="O50" s="37">
        <f>IF(SUMPRODUCT($I$5:$I$44,$O$5:$O$44)&lt;&gt;0,O47/SUMPRODUCT($I$5:$I$44,$O$5:$O$44),0)</f>
        <v>12.543947733055418</v>
      </c>
      <c r="P50" s="37"/>
      <c r="Q50" s="37">
        <f>IF((CUSTOS!$M$12-CUSTOS!$M$13)&lt;&gt;0,(CUSTOS!$M$12*CUSTOS!$M$14)/(CUSTOS!$M$12-CUSTOS!$M$13),0)</f>
        <v>250.52942978421623</v>
      </c>
      <c r="R50" s="37"/>
      <c r="S50" s="37">
        <f>IF(SUMPRODUCT($I$5:$I$44,$S$5:$S$44)&lt;&gt;0,S47/SUMPRODUCT($I$5:$I$44,$S$5:$S$44),0)</f>
        <v>0</v>
      </c>
      <c r="T50" s="37">
        <f>IF(SUMPRODUCT($I$5:$I$44,$T$5:$T$44)&lt;&gt;0,T47/SUMPRODUCT($I$5:$I$44,$T$5:$T$44),0)</f>
        <v>0</v>
      </c>
      <c r="U50" s="37">
        <f>IF(SUMPRODUCT($I$5:$I$44,$U$5:$U$44)&lt;&gt;0,U47/SUMPRODUCT($I$5:$I$44,$U$5:$U$44),0)</f>
        <v>0</v>
      </c>
      <c r="V50" s="37"/>
      <c r="W50" s="37">
        <f>IF(SUMPRODUCT($I$5:$I$44,$W$5:$W$44)&lt;&gt;0,W47/SUMPRODUCT($I$5:$I$44,$W$5:$W$44),0)</f>
        <v>0</v>
      </c>
      <c r="X50" s="37"/>
      <c r="Y50" s="37">
        <f>IF(SUMPRODUCT($I$5:$I$44,$Y$5:$Y$44)&lt;&gt;0,Y47/SUMPRODUCT($I$5:$I$44,$Y$5:$Y$44),0)</f>
        <v>4.1643855593637626</v>
      </c>
      <c r="Z50" s="37"/>
      <c r="AA50" s="37"/>
    </row>
    <row r="51" spans="11:27" ht="11.25" customHeight="1" x14ac:dyDescent="0.25">
      <c r="K51" s="42" t="s">
        <v>770</v>
      </c>
      <c r="L51" s="37">
        <f>IF(L46&lt;&gt;0,(L47-L50*0)/(L46-0),0)</f>
        <v>2.8946314223129863</v>
      </c>
      <c r="M51" s="37">
        <f>IF(M46&lt;&gt;0,(M47-M50*0)/(M46-0),0)</f>
        <v>11.033150811136956</v>
      </c>
      <c r="N51" s="37">
        <f>IF(N46&lt;&gt;0,(N47-N50*0)/(N46-0),0)</f>
        <v>0</v>
      </c>
      <c r="O51" s="37">
        <f>IF(O46&lt;&gt;0,(O47-O50*0)/(O46-0),0)</f>
        <v>12.543947733055418</v>
      </c>
      <c r="P51" s="37"/>
      <c r="Q51" s="37">
        <f>IF(Q46&lt;&gt;0,(Q47-Q50*0)/(Q46-0),0)</f>
        <v>238.05129966633604</v>
      </c>
      <c r="R51" s="37"/>
      <c r="S51" s="37">
        <f>IF(S46&lt;&gt;0,(S47-S50*0)/(S46-0),0)</f>
        <v>0</v>
      </c>
      <c r="T51" s="37">
        <f>IF(T46&lt;&gt;0,(T47-T50*0)/(T46-0),0)</f>
        <v>0</v>
      </c>
      <c r="U51" s="37">
        <f>IF(U46&lt;&gt;0,(U47-U50*0)/(U46-0),0)</f>
        <v>0</v>
      </c>
      <c r="V51" s="37"/>
      <c r="W51" s="37">
        <f>IF(W46&lt;&gt;0,(W47-W50*0)/(W46-0),0)</f>
        <v>0</v>
      </c>
      <c r="X51" s="37"/>
      <c r="Y51" s="37">
        <f>IF(Y46&lt;&gt;0,(Y47-Y50*0)/(Y46-0),0)</f>
        <v>4.1643855593637626</v>
      </c>
      <c r="Z51" s="37"/>
      <c r="AA51" s="37"/>
    </row>
    <row r="52" spans="11:27" ht="11.25" customHeight="1" x14ac:dyDescent="0.25">
      <c r="K52" s="42" t="s">
        <v>771</v>
      </c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</row>
  </sheetData>
  <mergeCells count="67">
    <mergeCell ref="F7:F8"/>
    <mergeCell ref="A5:A6"/>
    <mergeCell ref="B5:B6"/>
    <mergeCell ref="C5:C6"/>
    <mergeCell ref="D5:D6"/>
    <mergeCell ref="E5:E6"/>
    <mergeCell ref="F5:F6"/>
    <mergeCell ref="A7:A9"/>
    <mergeCell ref="B7:B8"/>
    <mergeCell ref="C7:C8"/>
    <mergeCell ref="D7:D8"/>
    <mergeCell ref="E7:E8"/>
    <mergeCell ref="F10:F12"/>
    <mergeCell ref="B13:B17"/>
    <mergeCell ref="C13:C17"/>
    <mergeCell ref="B18:B22"/>
    <mergeCell ref="C18:C22"/>
    <mergeCell ref="A10:A22"/>
    <mergeCell ref="B10:B12"/>
    <mergeCell ref="C10:C12"/>
    <mergeCell ref="D10:D12"/>
    <mergeCell ref="E10:E12"/>
    <mergeCell ref="E31:E33"/>
    <mergeCell ref="F31:F33"/>
    <mergeCell ref="A23:A37"/>
    <mergeCell ref="B23:B25"/>
    <mergeCell ref="C23:C25"/>
    <mergeCell ref="D23:D25"/>
    <mergeCell ref="E23:E25"/>
    <mergeCell ref="F23:F25"/>
    <mergeCell ref="B27:B29"/>
    <mergeCell ref="C27:C29"/>
    <mergeCell ref="D27:D29"/>
    <mergeCell ref="E27:E29"/>
    <mergeCell ref="F1:F4"/>
    <mergeCell ref="E38:E40"/>
    <mergeCell ref="F38:F40"/>
    <mergeCell ref="A43:A44"/>
    <mergeCell ref="B43:B44"/>
    <mergeCell ref="C43:C44"/>
    <mergeCell ref="B35:B37"/>
    <mergeCell ref="C35:C37"/>
    <mergeCell ref="A38:A42"/>
    <mergeCell ref="B38:B40"/>
    <mergeCell ref="C38:C40"/>
    <mergeCell ref="D38:D40"/>
    <mergeCell ref="F27:F29"/>
    <mergeCell ref="B31:B33"/>
    <mergeCell ref="C31:C33"/>
    <mergeCell ref="D31:D33"/>
    <mergeCell ref="A1:A4"/>
    <mergeCell ref="B1:B4"/>
    <mergeCell ref="C1:C4"/>
    <mergeCell ref="D1:D4"/>
    <mergeCell ref="E1:E4"/>
    <mergeCell ref="Y3:Z3"/>
    <mergeCell ref="AA3:AA4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E8FF5-A5E9-4CDE-A4C7-8E9F85FD53AB}">
  <dimension ref="A1:AA52"/>
  <sheetViews>
    <sheetView showGridLines="0" topLeftCell="P33" workbookViewId="0">
      <selection activeCell="AA46" sqref="AA46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20" style="9" bestFit="1" customWidth="1"/>
    <col min="12" max="12" width="10.85546875" style="9" bestFit="1" customWidth="1"/>
    <col min="13" max="13" width="11.7109375" style="9" bestFit="1" customWidth="1"/>
    <col min="14" max="14" width="10" style="9" bestFit="1" customWidth="1"/>
    <col min="15" max="15" width="11.140625" style="9" bestFit="1" customWidth="1"/>
    <col min="16" max="16" width="11.7109375" style="9" bestFit="1" customWidth="1"/>
    <col min="17" max="17" width="15" style="9" bestFit="1" customWidth="1"/>
    <col min="18" max="18" width="13.140625" style="9" bestFit="1" customWidth="1"/>
    <col min="19" max="19" width="10" style="9" bestFit="1" customWidth="1"/>
    <col min="20" max="20" width="10.42578125" style="9" bestFit="1" customWidth="1"/>
    <col min="21" max="21" width="10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10.85546875" style="9" bestFit="1" customWidth="1"/>
    <col min="27" max="27" width="13.140625" style="9" bestFit="1" customWidth="1"/>
    <col min="28" max="16384" width="9.140625" style="9"/>
  </cols>
  <sheetData>
    <row r="1" spans="1:27" ht="11.25" customHeight="1" x14ac:dyDescent="0.25">
      <c r="A1" s="134" t="s">
        <v>76</v>
      </c>
      <c r="B1" s="134" t="s">
        <v>77</v>
      </c>
      <c r="C1" s="134" t="s">
        <v>78</v>
      </c>
      <c r="D1" s="134" t="s">
        <v>79</v>
      </c>
      <c r="E1" s="134" t="s">
        <v>80</v>
      </c>
      <c r="F1" s="134" t="s">
        <v>15</v>
      </c>
      <c r="G1" s="134" t="s">
        <v>82</v>
      </c>
      <c r="H1" s="134" t="s">
        <v>83</v>
      </c>
      <c r="I1" s="134" t="s">
        <v>746</v>
      </c>
      <c r="J1" s="113"/>
      <c r="L1" s="132" t="s">
        <v>772</v>
      </c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</row>
    <row r="2" spans="1:27" ht="11.25" customHeight="1" x14ac:dyDescent="0.25">
      <c r="A2" s="134"/>
      <c r="B2" s="134"/>
      <c r="C2" s="134"/>
      <c r="D2" s="134"/>
      <c r="E2" s="134"/>
      <c r="F2" s="134"/>
      <c r="G2" s="134"/>
      <c r="H2" s="134"/>
      <c r="I2" s="134"/>
      <c r="J2" s="113"/>
      <c r="L2" s="132" t="s">
        <v>674</v>
      </c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</row>
    <row r="3" spans="1:27" ht="11.25" customHeight="1" x14ac:dyDescent="0.25">
      <c r="A3" s="134"/>
      <c r="B3" s="134"/>
      <c r="C3" s="134"/>
      <c r="D3" s="134"/>
      <c r="E3" s="134"/>
      <c r="F3" s="134"/>
      <c r="G3" s="134"/>
      <c r="H3" s="134"/>
      <c r="I3" s="134"/>
      <c r="J3" s="113"/>
      <c r="L3" s="132" t="s">
        <v>647</v>
      </c>
      <c r="M3" s="132"/>
      <c r="N3" s="132"/>
      <c r="O3" s="132"/>
      <c r="P3" s="132"/>
      <c r="Q3" s="132" t="s">
        <v>677</v>
      </c>
      <c r="R3" s="132"/>
      <c r="S3" s="132" t="s">
        <v>656</v>
      </c>
      <c r="T3" s="132"/>
      <c r="U3" s="132"/>
      <c r="V3" s="132"/>
      <c r="W3" s="132" t="s">
        <v>666</v>
      </c>
      <c r="X3" s="132"/>
      <c r="Y3" s="132" t="s">
        <v>669</v>
      </c>
      <c r="Z3" s="132"/>
      <c r="AA3" s="132" t="s">
        <v>655</v>
      </c>
    </row>
    <row r="4" spans="1:27" ht="11.25" customHeight="1" x14ac:dyDescent="0.25">
      <c r="A4" s="134"/>
      <c r="B4" s="134"/>
      <c r="C4" s="134"/>
      <c r="D4" s="134"/>
      <c r="E4" s="134"/>
      <c r="F4" s="134"/>
      <c r="G4" s="134"/>
      <c r="H4" s="134"/>
      <c r="I4" s="134"/>
      <c r="J4" s="113"/>
      <c r="L4" s="41" t="s">
        <v>649</v>
      </c>
      <c r="M4" s="41" t="s">
        <v>675</v>
      </c>
      <c r="N4" s="41" t="s">
        <v>676</v>
      </c>
      <c r="O4" s="41" t="s">
        <v>734</v>
      </c>
      <c r="P4" s="41" t="s">
        <v>655</v>
      </c>
      <c r="Q4" s="41" t="s">
        <v>678</v>
      </c>
      <c r="R4" s="41" t="s">
        <v>655</v>
      </c>
      <c r="S4" s="41" t="s">
        <v>679</v>
      </c>
      <c r="T4" s="41" t="s">
        <v>680</v>
      </c>
      <c r="U4" s="41" t="s">
        <v>681</v>
      </c>
      <c r="V4" s="41" t="s">
        <v>655</v>
      </c>
      <c r="W4" s="41" t="s">
        <v>667</v>
      </c>
      <c r="X4" s="41" t="s">
        <v>655</v>
      </c>
      <c r="Y4" s="41" t="s">
        <v>682</v>
      </c>
      <c r="Z4" s="41" t="s">
        <v>655</v>
      </c>
      <c r="AA4" s="133"/>
    </row>
    <row r="5" spans="1:27" ht="11.25" customHeight="1" x14ac:dyDescent="0.25">
      <c r="A5" s="135" t="s">
        <v>43</v>
      </c>
      <c r="B5" s="135" t="s">
        <v>85</v>
      </c>
      <c r="C5" s="135" t="s">
        <v>25</v>
      </c>
      <c r="D5" s="135" t="s">
        <v>25</v>
      </c>
      <c r="E5" s="135" t="s">
        <v>25</v>
      </c>
      <c r="F5" s="135" t="s">
        <v>25</v>
      </c>
      <c r="G5" s="39" t="s">
        <v>87</v>
      </c>
      <c r="H5" s="39" t="s">
        <v>86</v>
      </c>
      <c r="I5" s="39">
        <f>'MERCADO TE'!$U$2</f>
        <v>5001.2520000000004</v>
      </c>
      <c r="J5" s="18"/>
      <c r="L5" s="37">
        <f>'TR TE'!$L$5*'TR TE'!$L$51</f>
        <v>2.8946314223129863</v>
      </c>
      <c r="M5" s="37">
        <f>'TR TE'!$M$5*'TR TE'!$M$51</f>
        <v>11.033150811136956</v>
      </c>
      <c r="N5" s="37">
        <f>'TR TE'!$N$5*'TR TE'!$N$51</f>
        <v>0</v>
      </c>
      <c r="O5" s="37">
        <f>'TR TE'!$O$5*'TR TE'!$O$51</f>
        <v>12.543947733055418</v>
      </c>
      <c r="P5" s="37">
        <f>SUM($L$5:$O$5)</f>
        <v>26.471729966505361</v>
      </c>
      <c r="Q5" s="37">
        <f>'TR TE'!$Q$5*'TR TE'!$Q$51</f>
        <v>409.44823542609799</v>
      </c>
      <c r="R5" s="37">
        <f>SUM($Q$5:$Q$5)</f>
        <v>409.44823542609799</v>
      </c>
      <c r="S5" s="37">
        <f>'TR TE'!$S$5*'TR TE'!$S$51</f>
        <v>0</v>
      </c>
      <c r="T5" s="37">
        <f>'TR TE'!$T$5*'TR TE'!$T$51</f>
        <v>0</v>
      </c>
      <c r="U5" s="37">
        <f>'TR TE'!$U$5*'TR TE'!$U$51</f>
        <v>0</v>
      </c>
      <c r="V5" s="37">
        <f>SUM($S$5:$U$5)</f>
        <v>0</v>
      </c>
      <c r="W5" s="37"/>
      <c r="X5" s="37">
        <f>SUM($W$5:$W$5)</f>
        <v>0</v>
      </c>
      <c r="Y5" s="37">
        <f>'TR TE'!$Y$5*'TR TE'!$Y$51</f>
        <v>4.1643855593637626</v>
      </c>
      <c r="Z5" s="37">
        <f>SUM($Y$5:$Y$5)</f>
        <v>4.1643855593637626</v>
      </c>
      <c r="AA5" s="37">
        <f>SUMIF($L$4:$Z$4,"SUBTOTAL",$L$5:$Z$5)</f>
        <v>440.08435095196711</v>
      </c>
    </row>
    <row r="6" spans="1:27" ht="11.25" customHeight="1" x14ac:dyDescent="0.25">
      <c r="A6" s="135"/>
      <c r="B6" s="135"/>
      <c r="C6" s="135"/>
      <c r="D6" s="135"/>
      <c r="E6" s="135"/>
      <c r="F6" s="135"/>
      <c r="G6" s="39" t="s">
        <v>88</v>
      </c>
      <c r="H6" s="39" t="s">
        <v>86</v>
      </c>
      <c r="I6" s="39">
        <f>'MERCADO TE'!$U$3</f>
        <v>53354.290999999997</v>
      </c>
      <c r="J6" s="18"/>
      <c r="L6" s="37">
        <f>'TR TE'!$L$6*'TR TE'!$L$51</f>
        <v>2.8946314223129863</v>
      </c>
      <c r="M6" s="37">
        <f>'TR TE'!$M$6*'TR TE'!$M$51</f>
        <v>11.033150811136956</v>
      </c>
      <c r="N6" s="37">
        <f>'TR TE'!$N$6*'TR TE'!$N$51</f>
        <v>0</v>
      </c>
      <c r="O6" s="37">
        <f>'TR TE'!$O$6*'TR TE'!$O$51</f>
        <v>12.543947733055418</v>
      </c>
      <c r="P6" s="37">
        <f>SUM($L$6:$O$6)</f>
        <v>26.471729966505361</v>
      </c>
      <c r="Q6" s="37">
        <f>'TR TE'!$Q$6*'TR TE'!$Q$51</f>
        <v>238.05129966633604</v>
      </c>
      <c r="R6" s="37">
        <f>SUM($Q$6:$Q$6)</f>
        <v>238.05129966633604</v>
      </c>
      <c r="S6" s="37">
        <f>'TR TE'!$S$6*'TR TE'!$S$51</f>
        <v>0</v>
      </c>
      <c r="T6" s="37">
        <f>'TR TE'!$T$6*'TR TE'!$T$51</f>
        <v>0</v>
      </c>
      <c r="U6" s="37">
        <f>'TR TE'!$U$6*'TR TE'!$U$51</f>
        <v>0</v>
      </c>
      <c r="V6" s="37">
        <f>SUM($S$6:$U$6)</f>
        <v>0</v>
      </c>
      <c r="W6" s="37"/>
      <c r="X6" s="37">
        <f>SUM($W$6:$W$6)</f>
        <v>0</v>
      </c>
      <c r="Y6" s="37">
        <f>'TR TE'!$Y$6*'TR TE'!$Y$51</f>
        <v>4.1643855593637626</v>
      </c>
      <c r="Z6" s="37">
        <f>SUM($Y$6:$Y$6)</f>
        <v>4.1643855593637626</v>
      </c>
      <c r="AA6" s="37">
        <f>SUMIF($L$4:$Z$4,"SUBTOTAL",$L$6:$Z$6)</f>
        <v>268.68741519220515</v>
      </c>
    </row>
    <row r="7" spans="1:27" ht="11.25" customHeight="1" x14ac:dyDescent="0.25">
      <c r="A7" s="135" t="s">
        <v>35</v>
      </c>
      <c r="B7" s="135" t="s">
        <v>85</v>
      </c>
      <c r="C7" s="135" t="s">
        <v>25</v>
      </c>
      <c r="D7" s="135" t="s">
        <v>25</v>
      </c>
      <c r="E7" s="135" t="s">
        <v>25</v>
      </c>
      <c r="F7" s="135" t="s">
        <v>25</v>
      </c>
      <c r="G7" s="39" t="s">
        <v>87</v>
      </c>
      <c r="H7" s="39" t="s">
        <v>86</v>
      </c>
      <c r="I7" s="39">
        <f>'MERCADO TE'!$U$4</f>
        <v>81126.716000000015</v>
      </c>
      <c r="J7" s="18"/>
      <c r="L7" s="37">
        <f>'TR TE'!$L$7*'TR TE'!$L$51</f>
        <v>2.8946314223129863</v>
      </c>
      <c r="M7" s="37">
        <f>'TR TE'!$M$7*'TR TE'!$M$51</f>
        <v>11.033150811136956</v>
      </c>
      <c r="N7" s="37">
        <f>'TR TE'!$N$7*'TR TE'!$N$51</f>
        <v>0</v>
      </c>
      <c r="O7" s="37">
        <f>'TR TE'!$O$7*'TR TE'!$O$51</f>
        <v>12.543947733055418</v>
      </c>
      <c r="P7" s="37">
        <f>SUM($L$7:$O$7)</f>
        <v>26.471729966505361</v>
      </c>
      <c r="Q7" s="37">
        <f>'TR TE'!$Q$7*'TR TE'!$Q$51</f>
        <v>409.44823542609799</v>
      </c>
      <c r="R7" s="37">
        <f>SUM($Q$7:$Q$7)</f>
        <v>409.44823542609799</v>
      </c>
      <c r="S7" s="37">
        <f>'TR TE'!$S$7*'TR TE'!$S$51</f>
        <v>0</v>
      </c>
      <c r="T7" s="37">
        <f>'TR TE'!$T$7*'TR TE'!$T$51</f>
        <v>0</v>
      </c>
      <c r="U7" s="37">
        <f>'TR TE'!$U$7*'TR TE'!$U$51</f>
        <v>0</v>
      </c>
      <c r="V7" s="37">
        <f>SUM($S$7:$U$7)</f>
        <v>0</v>
      </c>
      <c r="W7" s="37"/>
      <c r="X7" s="37">
        <f>SUM($W$7:$W$7)</f>
        <v>0</v>
      </c>
      <c r="Y7" s="37">
        <f>'TR TE'!$Y$7*'TR TE'!$Y$51</f>
        <v>4.1643855593637626</v>
      </c>
      <c r="Z7" s="37">
        <f>SUM($Y$7:$Y$7)</f>
        <v>4.1643855593637626</v>
      </c>
      <c r="AA7" s="37">
        <f>SUMIF($L$4:$Z$4,"SUBTOTAL",$L$7:$Z$7)</f>
        <v>440.08435095196711</v>
      </c>
    </row>
    <row r="8" spans="1:27" ht="11.25" customHeight="1" x14ac:dyDescent="0.25">
      <c r="A8" s="135"/>
      <c r="B8" s="135"/>
      <c r="C8" s="135"/>
      <c r="D8" s="135"/>
      <c r="E8" s="135"/>
      <c r="F8" s="135"/>
      <c r="G8" s="39" t="s">
        <v>88</v>
      </c>
      <c r="H8" s="39" t="s">
        <v>86</v>
      </c>
      <c r="I8" s="39">
        <f>'MERCADO TE'!$U$5</f>
        <v>1038783.2589999998</v>
      </c>
      <c r="J8" s="18"/>
      <c r="L8" s="37">
        <f>'TR TE'!$L$8*'TR TE'!$L$51</f>
        <v>2.8946314223129863</v>
      </c>
      <c r="M8" s="37">
        <f>'TR TE'!$M$8*'TR TE'!$M$51</f>
        <v>11.033150811136956</v>
      </c>
      <c r="N8" s="37">
        <f>'TR TE'!$N$8*'TR TE'!$N$51</f>
        <v>0</v>
      </c>
      <c r="O8" s="37">
        <f>'TR TE'!$O$8*'TR TE'!$O$51</f>
        <v>12.543947733055418</v>
      </c>
      <c r="P8" s="37">
        <f>SUM($L$8:$O$8)</f>
        <v>26.471729966505361</v>
      </c>
      <c r="Q8" s="37">
        <f>'TR TE'!$Q$8*'TR TE'!$Q$51</f>
        <v>238.05129966633604</v>
      </c>
      <c r="R8" s="37">
        <f>SUM($Q$8:$Q$8)</f>
        <v>238.05129966633604</v>
      </c>
      <c r="S8" s="37">
        <f>'TR TE'!$S$8*'TR TE'!$S$51</f>
        <v>0</v>
      </c>
      <c r="T8" s="37">
        <f>'TR TE'!$T$8*'TR TE'!$T$51</f>
        <v>0</v>
      </c>
      <c r="U8" s="37">
        <f>'TR TE'!$U$8*'TR TE'!$U$51</f>
        <v>0</v>
      </c>
      <c r="V8" s="37">
        <f>SUM($S$8:$U$8)</f>
        <v>0</v>
      </c>
      <c r="W8" s="37"/>
      <c r="X8" s="37">
        <f>SUM($W$8:$W$8)</f>
        <v>0</v>
      </c>
      <c r="Y8" s="37">
        <f>'TR TE'!$Y$8*'TR TE'!$Y$51</f>
        <v>4.1643855593637626</v>
      </c>
      <c r="Z8" s="37">
        <f>SUM($Y$8:$Y$8)</f>
        <v>4.1643855593637626</v>
      </c>
      <c r="AA8" s="37">
        <f>SUMIF($L$4:$Z$4,"SUBTOTAL",$L$8:$Z$8)</f>
        <v>268.68741519220515</v>
      </c>
    </row>
    <row r="9" spans="1:27" ht="11.25" customHeight="1" x14ac:dyDescent="0.25">
      <c r="A9" s="135"/>
      <c r="B9" s="40" t="s">
        <v>94</v>
      </c>
      <c r="C9" s="40" t="s">
        <v>25</v>
      </c>
      <c r="D9" s="40" t="s">
        <v>25</v>
      </c>
      <c r="E9" s="40" t="s">
        <v>25</v>
      </c>
      <c r="F9" s="40" t="s">
        <v>25</v>
      </c>
      <c r="G9" s="39" t="s">
        <v>92</v>
      </c>
      <c r="H9" s="39" t="s">
        <v>86</v>
      </c>
      <c r="I9" s="39">
        <f>'MERCADO TE'!$U$6</f>
        <v>0</v>
      </c>
      <c r="J9" s="18"/>
      <c r="L9" s="37">
        <f>'TR TE'!$L$9*'TR TE'!$L$51</f>
        <v>2.8946314223129863</v>
      </c>
      <c r="M9" s="37">
        <f>'TR TE'!$M$9*'TR TE'!$M$51</f>
        <v>11.033150811136956</v>
      </c>
      <c r="N9" s="37">
        <f>'TR TE'!$N$9*'TR TE'!$N$51</f>
        <v>0</v>
      </c>
      <c r="O9" s="37">
        <f>'TR TE'!$O$9*'TR TE'!$O$51</f>
        <v>12.543947733055418</v>
      </c>
      <c r="P9" s="37">
        <f>SUM($L$9:$O$9)</f>
        <v>26.471729966505361</v>
      </c>
      <c r="Q9" s="37">
        <f>'TR TE'!$Q$9*'TR TE'!$Q$51</f>
        <v>252.3343776463162</v>
      </c>
      <c r="R9" s="37">
        <f>SUM($Q$9:$Q$9)</f>
        <v>252.3343776463162</v>
      </c>
      <c r="S9" s="37">
        <f>'TR TE'!$S$9*'TR TE'!$S$51</f>
        <v>0</v>
      </c>
      <c r="T9" s="37">
        <f>'TR TE'!$T$9*'TR TE'!$T$51</f>
        <v>0</v>
      </c>
      <c r="U9" s="37">
        <f>'TR TE'!$U$9*'TR TE'!$U$51</f>
        <v>0</v>
      </c>
      <c r="V9" s="37">
        <f>SUM($S$9:$U$9)</f>
        <v>0</v>
      </c>
      <c r="W9" s="37"/>
      <c r="X9" s="37">
        <f>SUM($W$9:$W$9)</f>
        <v>0</v>
      </c>
      <c r="Y9" s="37">
        <f>'TR TE'!$Y$9*'TR TE'!$Y$51</f>
        <v>4.1643855593637626</v>
      </c>
      <c r="Z9" s="37">
        <f>SUM($Y$9:$Y$9)</f>
        <v>4.1643855593637626</v>
      </c>
      <c r="AA9" s="37">
        <f>SUMIF($L$4:$Z$4,"SUBTOTAL",$L$9:$Z$9)</f>
        <v>282.97049317218534</v>
      </c>
    </row>
    <row r="10" spans="1:27" ht="11.25" customHeight="1" x14ac:dyDescent="0.25">
      <c r="A10" s="135" t="s">
        <v>22</v>
      </c>
      <c r="B10" s="135" t="s">
        <v>85</v>
      </c>
      <c r="C10" s="135" t="s">
        <v>24</v>
      </c>
      <c r="D10" s="135" t="s">
        <v>24</v>
      </c>
      <c r="E10" s="135" t="s">
        <v>25</v>
      </c>
      <c r="F10" s="135" t="s">
        <v>25</v>
      </c>
      <c r="G10" s="39" t="s">
        <v>87</v>
      </c>
      <c r="H10" s="39" t="s">
        <v>86</v>
      </c>
      <c r="I10" s="39">
        <f>'MERCADO TE'!$U$7</f>
        <v>31.722000000000001</v>
      </c>
      <c r="J10" s="18"/>
      <c r="L10" s="37">
        <f>'TR TE'!$L$10*'TR TE'!$L$51</f>
        <v>2.8946314223129863</v>
      </c>
      <c r="M10" s="37">
        <f>'TR TE'!$M$10*'TR TE'!$M$51</f>
        <v>11.033150811136956</v>
      </c>
      <c r="N10" s="37">
        <f>'TR TE'!$N$10*'TR TE'!$N$51</f>
        <v>0</v>
      </c>
      <c r="O10" s="37">
        <f>'TR TE'!$O$10*'TR TE'!$O$51</f>
        <v>12.543947733055418</v>
      </c>
      <c r="P10" s="37">
        <f>SUM($L$10:$O$10)</f>
        <v>26.471729966505361</v>
      </c>
      <c r="Q10" s="37">
        <f>'TR TE'!$Q$10*'TR TE'!$Q$51</f>
        <v>409.44823542609799</v>
      </c>
      <c r="R10" s="37">
        <f>SUM($Q$10:$Q$10)</f>
        <v>409.44823542609799</v>
      </c>
      <c r="S10" s="37">
        <f>'TR TE'!$S$10*'TR TE'!$S$51</f>
        <v>0</v>
      </c>
      <c r="T10" s="37">
        <f>'TR TE'!$T$10*'TR TE'!$T$51</f>
        <v>0</v>
      </c>
      <c r="U10" s="37">
        <f>'TR TE'!$U$10*'TR TE'!$U$51</f>
        <v>0</v>
      </c>
      <c r="V10" s="37">
        <f>SUM($S$10:$U$10)</f>
        <v>0</v>
      </c>
      <c r="W10" s="37"/>
      <c r="X10" s="37">
        <f>SUM($W$10:$W$10)</f>
        <v>0</v>
      </c>
      <c r="Y10" s="37">
        <f>'TR TE'!$Y$10*'TR TE'!$Y$51</f>
        <v>4.1643855593637626</v>
      </c>
      <c r="Z10" s="37">
        <f>SUM($Y$10:$Y$10)</f>
        <v>4.1643855593637626</v>
      </c>
      <c r="AA10" s="37">
        <f>SUMIF($L$4:$Z$4,"SUBTOTAL",$L$10:$Z$10)</f>
        <v>440.08435095196711</v>
      </c>
    </row>
    <row r="11" spans="1:27" ht="11.25" customHeight="1" x14ac:dyDescent="0.25">
      <c r="A11" s="135"/>
      <c r="B11" s="135"/>
      <c r="C11" s="135"/>
      <c r="D11" s="135"/>
      <c r="E11" s="135"/>
      <c r="F11" s="135"/>
      <c r="G11" s="39" t="s">
        <v>98</v>
      </c>
      <c r="H11" s="39" t="s">
        <v>86</v>
      </c>
      <c r="I11" s="39">
        <f>'MERCADO TE'!$U$8</f>
        <v>31.11</v>
      </c>
      <c r="J11" s="18"/>
      <c r="L11" s="37">
        <f>'TR TE'!$L$11*'TR TE'!$L$51</f>
        <v>2.8946314223129863</v>
      </c>
      <c r="M11" s="37">
        <f>'TR TE'!$M$11*'TR TE'!$M$51</f>
        <v>11.033150811136956</v>
      </c>
      <c r="N11" s="37">
        <f>'TR TE'!$N$11*'TR TE'!$N$51</f>
        <v>0</v>
      </c>
      <c r="O11" s="37">
        <f>'TR TE'!$O$11*'TR TE'!$O$51</f>
        <v>12.543947733055418</v>
      </c>
      <c r="P11" s="37">
        <f>SUM($L$11:$O$11)</f>
        <v>26.471729966505361</v>
      </c>
      <c r="Q11" s="37">
        <f>'TR TE'!$Q$11*'TR TE'!$Q$51</f>
        <v>238.05129966633604</v>
      </c>
      <c r="R11" s="37">
        <f>SUM($Q$11:$Q$11)</f>
        <v>238.05129966633604</v>
      </c>
      <c r="S11" s="37">
        <f>'TR TE'!$S$11*'TR TE'!$S$51</f>
        <v>0</v>
      </c>
      <c r="T11" s="37">
        <f>'TR TE'!$T$11*'TR TE'!$T$51</f>
        <v>0</v>
      </c>
      <c r="U11" s="37">
        <f>'TR TE'!$U$11*'TR TE'!$U$51</f>
        <v>0</v>
      </c>
      <c r="V11" s="37">
        <f>SUM($S$11:$U$11)</f>
        <v>0</v>
      </c>
      <c r="W11" s="37"/>
      <c r="X11" s="37">
        <f>SUM($W$11:$W$11)</f>
        <v>0</v>
      </c>
      <c r="Y11" s="37">
        <f>'TR TE'!$Y$11*'TR TE'!$Y$51</f>
        <v>4.1643855593637626</v>
      </c>
      <c r="Z11" s="37">
        <f>SUM($Y$11:$Y$11)</f>
        <v>4.1643855593637626</v>
      </c>
      <c r="AA11" s="37">
        <f>SUMIF($L$4:$Z$4,"SUBTOTAL",$L$11:$Z$11)</f>
        <v>268.68741519220515</v>
      </c>
    </row>
    <row r="12" spans="1:27" ht="11.25" customHeight="1" x14ac:dyDescent="0.25">
      <c r="A12" s="135"/>
      <c r="B12" s="135"/>
      <c r="C12" s="135"/>
      <c r="D12" s="135"/>
      <c r="E12" s="135"/>
      <c r="F12" s="135"/>
      <c r="G12" s="39" t="s">
        <v>88</v>
      </c>
      <c r="H12" s="39" t="s">
        <v>86</v>
      </c>
      <c r="I12" s="39">
        <f>'MERCADO TE'!$U$9</f>
        <v>472.03</v>
      </c>
      <c r="J12" s="18"/>
      <c r="L12" s="37">
        <f>'TR TE'!$L$12*'TR TE'!$L$51</f>
        <v>2.8946314223129863</v>
      </c>
      <c r="M12" s="37">
        <f>'TR TE'!$M$12*'TR TE'!$M$51</f>
        <v>11.033150811136956</v>
      </c>
      <c r="N12" s="37">
        <f>'TR TE'!$N$12*'TR TE'!$N$51</f>
        <v>0</v>
      </c>
      <c r="O12" s="37">
        <f>'TR TE'!$O$12*'TR TE'!$O$51</f>
        <v>12.543947733055418</v>
      </c>
      <c r="P12" s="37">
        <f>SUM($L$12:$O$12)</f>
        <v>26.471729966505361</v>
      </c>
      <c r="Q12" s="37">
        <f>'TR TE'!$Q$12*'TR TE'!$Q$51</f>
        <v>238.05129966633604</v>
      </c>
      <c r="R12" s="37">
        <f>SUM($Q$12:$Q$12)</f>
        <v>238.05129966633604</v>
      </c>
      <c r="S12" s="37">
        <f>'TR TE'!$S$12*'TR TE'!$S$51</f>
        <v>0</v>
      </c>
      <c r="T12" s="37">
        <f>'TR TE'!$T$12*'TR TE'!$T$51</f>
        <v>0</v>
      </c>
      <c r="U12" s="37">
        <f>'TR TE'!$U$12*'TR TE'!$U$51</f>
        <v>0</v>
      </c>
      <c r="V12" s="37">
        <f>SUM($S$12:$U$12)</f>
        <v>0</v>
      </c>
      <c r="W12" s="37"/>
      <c r="X12" s="37">
        <f>SUM($W$12:$W$12)</f>
        <v>0</v>
      </c>
      <c r="Y12" s="37">
        <f>'TR TE'!$Y$12*'TR TE'!$Y$51</f>
        <v>4.1643855593637626</v>
      </c>
      <c r="Z12" s="37">
        <f>SUM($Y$12:$Y$12)</f>
        <v>4.1643855593637626</v>
      </c>
      <c r="AA12" s="37">
        <f>SUMIF($L$4:$Z$4,"SUBTOTAL",$L$12:$Z$12)</f>
        <v>268.68741519220515</v>
      </c>
    </row>
    <row r="13" spans="1:27" ht="11.25" customHeight="1" x14ac:dyDescent="0.25">
      <c r="A13" s="135"/>
      <c r="B13" s="135" t="s">
        <v>94</v>
      </c>
      <c r="C13" s="135" t="s">
        <v>24</v>
      </c>
      <c r="D13" s="40" t="s">
        <v>24</v>
      </c>
      <c r="E13" s="40" t="s">
        <v>25</v>
      </c>
      <c r="F13" s="40" t="s">
        <v>25</v>
      </c>
      <c r="G13" s="39" t="s">
        <v>92</v>
      </c>
      <c r="H13" s="39" t="s">
        <v>86</v>
      </c>
      <c r="I13" s="39">
        <f>'MERCADO TE'!$U$10</f>
        <v>1747135.3810000001</v>
      </c>
      <c r="J13" s="18"/>
      <c r="L13" s="37">
        <f>'TR TE'!$L$13*'TR TE'!$L$51</f>
        <v>2.8946314223129863</v>
      </c>
      <c r="M13" s="37">
        <f>'TR TE'!$M$13*'TR TE'!$M$51</f>
        <v>11.033150811136956</v>
      </c>
      <c r="N13" s="37">
        <f>'TR TE'!$N$13*'TR TE'!$N$51</f>
        <v>0</v>
      </c>
      <c r="O13" s="37">
        <f>'TR TE'!$O$13*'TR TE'!$O$51</f>
        <v>12.543947733055418</v>
      </c>
      <c r="P13" s="37">
        <f>SUM($L$13:$O$13)</f>
        <v>26.471729966505361</v>
      </c>
      <c r="Q13" s="37">
        <f>'TR TE'!$Q$13*'TR TE'!$Q$51</f>
        <v>252.3343776463162</v>
      </c>
      <c r="R13" s="37">
        <f>SUM($Q$13:$Q$13)</f>
        <v>252.3343776463162</v>
      </c>
      <c r="S13" s="37">
        <f>'TR TE'!$S$13*'TR TE'!$S$51</f>
        <v>0</v>
      </c>
      <c r="T13" s="37">
        <f>'TR TE'!$T$13*'TR TE'!$T$51</f>
        <v>0</v>
      </c>
      <c r="U13" s="37">
        <f>'TR TE'!$U$13*'TR TE'!$U$51</f>
        <v>0</v>
      </c>
      <c r="V13" s="37">
        <f>SUM($S$13:$U$13)</f>
        <v>0</v>
      </c>
      <c r="W13" s="37"/>
      <c r="X13" s="37">
        <f>SUM($W$13:$W$13)</f>
        <v>0</v>
      </c>
      <c r="Y13" s="37">
        <f>'TR TE'!$Y$13*'TR TE'!$Y$51</f>
        <v>4.1643855593637626</v>
      </c>
      <c r="Z13" s="37">
        <f>SUM($Y$13:$Y$13)</f>
        <v>4.1643855593637626</v>
      </c>
      <c r="AA13" s="37">
        <f>SUMIF($L$4:$Z$4,"SUBTOTAL",$L$13:$Z$13)</f>
        <v>282.97049317218534</v>
      </c>
    </row>
    <row r="14" spans="1:27" ht="11.25" customHeight="1" x14ac:dyDescent="0.25">
      <c r="A14" s="135"/>
      <c r="B14" s="135"/>
      <c r="C14" s="135"/>
      <c r="D14" s="40" t="s">
        <v>31</v>
      </c>
      <c r="E14" s="40" t="s">
        <v>25</v>
      </c>
      <c r="F14" s="40" t="s">
        <v>25</v>
      </c>
      <c r="G14" s="39" t="s">
        <v>92</v>
      </c>
      <c r="H14" s="39" t="s">
        <v>86</v>
      </c>
      <c r="I14" s="39">
        <f>'MERCADO TE'!$U$11</f>
        <v>72661.888000000006</v>
      </c>
      <c r="J14" s="18"/>
      <c r="L14" s="37">
        <f>'TR TE'!$L$14*'TR TE'!$L$51</f>
        <v>2.8946314223129863</v>
      </c>
      <c r="M14" s="37">
        <f>'TR TE'!$M$14*'TR TE'!$M$51</f>
        <v>11.033150811136956</v>
      </c>
      <c r="N14" s="37">
        <f>'TR TE'!$N$14*'TR TE'!$N$51</f>
        <v>0</v>
      </c>
      <c r="O14" s="37">
        <f>'TR TE'!$O$14*'TR TE'!$O$51</f>
        <v>12.543947733055418</v>
      </c>
      <c r="P14" s="37">
        <f>SUM($L$14:$O$14)</f>
        <v>26.471729966505361</v>
      </c>
      <c r="Q14" s="37">
        <f>'TR TE'!$Q$14*'TR TE'!$Q$51</f>
        <v>252.3343776463162</v>
      </c>
      <c r="R14" s="37">
        <f>SUM($Q$14:$Q$14)</f>
        <v>252.3343776463162</v>
      </c>
      <c r="S14" s="37">
        <f>'TR TE'!$S$14*'TR TE'!$S$51</f>
        <v>0</v>
      </c>
      <c r="T14" s="37">
        <f>'TR TE'!$T$14*'TR TE'!$T$51</f>
        <v>0</v>
      </c>
      <c r="U14" s="37">
        <f>'TR TE'!$U$14*'TR TE'!$U$51</f>
        <v>0</v>
      </c>
      <c r="V14" s="37">
        <f>SUM($S$14:$U$14)</f>
        <v>0</v>
      </c>
      <c r="W14" s="37"/>
      <c r="X14" s="37">
        <f>SUM($W$14:$W$14)</f>
        <v>0</v>
      </c>
      <c r="Y14" s="37">
        <f>'TR TE'!$Y$14*'TR TE'!$Y$51</f>
        <v>4.1643855593637626</v>
      </c>
      <c r="Z14" s="37">
        <f>SUM($Y$14:$Y$14)</f>
        <v>4.1643855593637626</v>
      </c>
      <c r="AA14" s="37">
        <f>SUMIF($L$4:$Z$4,"SUBTOTAL",$L$14:$Z$14)</f>
        <v>282.97049317218534</v>
      </c>
    </row>
    <row r="15" spans="1:27" ht="11.25" customHeight="1" x14ac:dyDescent="0.25">
      <c r="A15" s="135"/>
      <c r="B15" s="135"/>
      <c r="C15" s="135"/>
      <c r="D15" s="40" t="s">
        <v>32</v>
      </c>
      <c r="E15" s="40" t="s">
        <v>25</v>
      </c>
      <c r="F15" s="40" t="s">
        <v>25</v>
      </c>
      <c r="G15" s="39" t="s">
        <v>92</v>
      </c>
      <c r="H15" s="39" t="s">
        <v>86</v>
      </c>
      <c r="I15" s="39">
        <f>'MERCADO TE'!$U$12</f>
        <v>116587.09399999998</v>
      </c>
      <c r="J15" s="18"/>
      <c r="L15" s="37">
        <f>'TR TE'!$L$15*'TR TE'!$L$51</f>
        <v>2.8946314223129863</v>
      </c>
      <c r="M15" s="37">
        <f>'TR TE'!$M$15*'TR TE'!$M$51</f>
        <v>11.033150811136956</v>
      </c>
      <c r="N15" s="37">
        <f>'TR TE'!$N$15*'TR TE'!$N$51</f>
        <v>0</v>
      </c>
      <c r="O15" s="37">
        <f>'TR TE'!$O$15*'TR TE'!$O$51</f>
        <v>12.543947733055418</v>
      </c>
      <c r="P15" s="37">
        <f>SUM($L$15:$O$15)</f>
        <v>26.471729966505361</v>
      </c>
      <c r="Q15" s="37">
        <f>'TR TE'!$Q$15*'TR TE'!$Q$51</f>
        <v>252.3343776463162</v>
      </c>
      <c r="R15" s="37">
        <f>SUM($Q$15:$Q$15)</f>
        <v>252.3343776463162</v>
      </c>
      <c r="S15" s="37">
        <f>'TR TE'!$S$15*'TR TE'!$S$51</f>
        <v>0</v>
      </c>
      <c r="T15" s="37">
        <f>'TR TE'!$T$15*'TR TE'!$T$51</f>
        <v>0</v>
      </c>
      <c r="U15" s="37">
        <f>'TR TE'!$U$15*'TR TE'!$U$51</f>
        <v>0</v>
      </c>
      <c r="V15" s="37">
        <f>SUM($S$15:$U$15)</f>
        <v>0</v>
      </c>
      <c r="W15" s="37"/>
      <c r="X15" s="37">
        <f>SUM($W$15:$W$15)</f>
        <v>0</v>
      </c>
      <c r="Y15" s="37">
        <f>'TR TE'!$Y$15*'TR TE'!$Y$51</f>
        <v>4.1643855593637626</v>
      </c>
      <c r="Z15" s="37">
        <f>SUM($Y$15:$Y$15)</f>
        <v>4.1643855593637626</v>
      </c>
      <c r="AA15" s="37">
        <f>SUMIF($L$4:$Z$4,"SUBTOTAL",$L$15:$Z$15)</f>
        <v>282.97049317218534</v>
      </c>
    </row>
    <row r="16" spans="1:27" ht="11.25" customHeight="1" x14ac:dyDescent="0.25">
      <c r="A16" s="135"/>
      <c r="B16" s="135"/>
      <c r="C16" s="135"/>
      <c r="D16" s="40" t="s">
        <v>33</v>
      </c>
      <c r="E16" s="40" t="s">
        <v>25</v>
      </c>
      <c r="F16" s="40" t="s">
        <v>25</v>
      </c>
      <c r="G16" s="39" t="s">
        <v>92</v>
      </c>
      <c r="H16" s="39" t="s">
        <v>86</v>
      </c>
      <c r="I16" s="39">
        <f>'MERCADO TE'!$U$13</f>
        <v>103208.47500000001</v>
      </c>
      <c r="J16" s="18"/>
      <c r="L16" s="37">
        <f>'TR TE'!$L$16*'TR TE'!$L$51</f>
        <v>2.8946314223129863</v>
      </c>
      <c r="M16" s="37">
        <f>'TR TE'!$M$16*'TR TE'!$M$51</f>
        <v>11.033150811136956</v>
      </c>
      <c r="N16" s="37">
        <f>'TR TE'!$N$16*'TR TE'!$N$51</f>
        <v>0</v>
      </c>
      <c r="O16" s="37">
        <f>'TR TE'!$O$16*'TR TE'!$O$51</f>
        <v>12.543947733055418</v>
      </c>
      <c r="P16" s="37">
        <f>SUM($L$16:$O$16)</f>
        <v>26.471729966505361</v>
      </c>
      <c r="Q16" s="37">
        <f>'TR TE'!$Q$16*'TR TE'!$Q$51</f>
        <v>252.3343776463162</v>
      </c>
      <c r="R16" s="37">
        <f>SUM($Q$16:$Q$16)</f>
        <v>252.3343776463162</v>
      </c>
      <c r="S16" s="37">
        <f>'TR TE'!$S$16*'TR TE'!$S$51</f>
        <v>0</v>
      </c>
      <c r="T16" s="37">
        <f>'TR TE'!$T$16*'TR TE'!$T$51</f>
        <v>0</v>
      </c>
      <c r="U16" s="37">
        <f>'TR TE'!$U$16*'TR TE'!$U$51</f>
        <v>0</v>
      </c>
      <c r="V16" s="37">
        <f>SUM($S$16:$U$16)</f>
        <v>0</v>
      </c>
      <c r="W16" s="37"/>
      <c r="X16" s="37">
        <f>SUM($W$16:$W$16)</f>
        <v>0</v>
      </c>
      <c r="Y16" s="37">
        <f>'TR TE'!$Y$16*'TR TE'!$Y$51</f>
        <v>4.1643855593637626</v>
      </c>
      <c r="Z16" s="37">
        <f>SUM($Y$16:$Y$16)</f>
        <v>4.1643855593637626</v>
      </c>
      <c r="AA16" s="37">
        <f>SUMIF($L$4:$Z$4,"SUBTOTAL",$L$16:$Z$16)</f>
        <v>282.97049317218534</v>
      </c>
    </row>
    <row r="17" spans="1:27" ht="11.25" customHeight="1" x14ac:dyDescent="0.25">
      <c r="A17" s="135"/>
      <c r="B17" s="135"/>
      <c r="C17" s="135"/>
      <c r="D17" s="40" t="s">
        <v>34</v>
      </c>
      <c r="E17" s="40" t="s">
        <v>25</v>
      </c>
      <c r="F17" s="40" t="s">
        <v>25</v>
      </c>
      <c r="G17" s="39" t="s">
        <v>92</v>
      </c>
      <c r="H17" s="39" t="s">
        <v>86</v>
      </c>
      <c r="I17" s="39">
        <f>'MERCADO TE'!$U$14</f>
        <v>77490.793999999994</v>
      </c>
      <c r="J17" s="18"/>
      <c r="L17" s="37">
        <f>'TR TE'!$L$17*'TR TE'!$L$51</f>
        <v>2.8946314223129863</v>
      </c>
      <c r="M17" s="37">
        <f>'TR TE'!$M$17*'TR TE'!$M$51</f>
        <v>11.033150811136956</v>
      </c>
      <c r="N17" s="37">
        <f>'TR TE'!$N$17*'TR TE'!$N$51</f>
        <v>0</v>
      </c>
      <c r="O17" s="37">
        <f>'TR TE'!$O$17*'TR TE'!$O$51</f>
        <v>12.543947733055418</v>
      </c>
      <c r="P17" s="37">
        <f>SUM($L$17:$O$17)</f>
        <v>26.471729966505361</v>
      </c>
      <c r="Q17" s="37">
        <f>'TR TE'!$Q$17*'TR TE'!$Q$51</f>
        <v>252.3343776463162</v>
      </c>
      <c r="R17" s="37">
        <f>SUM($Q$17:$Q$17)</f>
        <v>252.3343776463162</v>
      </c>
      <c r="S17" s="37">
        <f>'TR TE'!$S$17*'TR TE'!$S$51</f>
        <v>0</v>
      </c>
      <c r="T17" s="37">
        <f>'TR TE'!$T$17*'TR TE'!$T$51</f>
        <v>0</v>
      </c>
      <c r="U17" s="37">
        <f>'TR TE'!$U$17*'TR TE'!$U$51</f>
        <v>0</v>
      </c>
      <c r="V17" s="37">
        <f>SUM($S$17:$U$17)</f>
        <v>0</v>
      </c>
      <c r="W17" s="37"/>
      <c r="X17" s="37">
        <f>SUM($W$17:$W$17)</f>
        <v>0</v>
      </c>
      <c r="Y17" s="37">
        <f>'TR TE'!$Y$17*'TR TE'!$Y$51</f>
        <v>4.1643855593637626</v>
      </c>
      <c r="Z17" s="37">
        <f>SUM($Y$17:$Y$17)</f>
        <v>4.1643855593637626</v>
      </c>
      <c r="AA17" s="37">
        <f>SUMIF($L$4:$Z$4,"SUBTOTAL",$L$17:$Z$17)</f>
        <v>282.97049317218534</v>
      </c>
    </row>
    <row r="18" spans="1:27" ht="11.25" customHeight="1" x14ac:dyDescent="0.25">
      <c r="A18" s="135"/>
      <c r="B18" s="135" t="s">
        <v>99</v>
      </c>
      <c r="C18" s="135" t="s">
        <v>24</v>
      </c>
      <c r="D18" s="40" t="s">
        <v>24</v>
      </c>
      <c r="E18" s="40" t="s">
        <v>25</v>
      </c>
      <c r="F18" s="40" t="s">
        <v>25</v>
      </c>
      <c r="G18" s="39" t="s">
        <v>92</v>
      </c>
      <c r="H18" s="39" t="s">
        <v>86</v>
      </c>
      <c r="I18" s="39">
        <f>'MERCADO TE'!$U$15</f>
        <v>0</v>
      </c>
      <c r="J18" s="18"/>
      <c r="L18" s="37">
        <f>'TR TE'!$L$18*'TR TE'!$L$51</f>
        <v>2.8946314223129863</v>
      </c>
      <c r="M18" s="37">
        <f>'TR TE'!$M$18*'TR TE'!$M$51</f>
        <v>11.033150811136956</v>
      </c>
      <c r="N18" s="37">
        <f>'TR TE'!$N$18*'TR TE'!$N$51</f>
        <v>0</v>
      </c>
      <c r="O18" s="37">
        <f>'TR TE'!$O$18*'TR TE'!$O$51</f>
        <v>12.543947733055418</v>
      </c>
      <c r="P18" s="37">
        <f>SUM($L$18:$O$18)</f>
        <v>26.471729966505361</v>
      </c>
      <c r="Q18" s="37">
        <f>'TR TE'!$Q$18*'TR TE'!$Q$51</f>
        <v>252.3343776463162</v>
      </c>
      <c r="R18" s="37">
        <f>SUM($Q$18:$Q$18)</f>
        <v>252.3343776463162</v>
      </c>
      <c r="S18" s="37">
        <f>'TR TE'!$S$18*'TR TE'!$S$51</f>
        <v>0</v>
      </c>
      <c r="T18" s="37">
        <f>'TR TE'!$T$18*'TR TE'!$T$51</f>
        <v>0</v>
      </c>
      <c r="U18" s="37">
        <f>'TR TE'!$U$18*'TR TE'!$U$51</f>
        <v>0</v>
      </c>
      <c r="V18" s="37">
        <f>SUM($S$18:$U$18)</f>
        <v>0</v>
      </c>
      <c r="W18" s="37"/>
      <c r="X18" s="37">
        <f>SUM($W$18:$W$18)</f>
        <v>0</v>
      </c>
      <c r="Y18" s="37">
        <f>'TR TE'!$Y$18*'TR TE'!$Y$51</f>
        <v>4.1643855593637626</v>
      </c>
      <c r="Z18" s="37">
        <f>SUM($Y$18:$Y$18)</f>
        <v>4.1643855593637626</v>
      </c>
      <c r="AA18" s="37">
        <f>SUMIF($L$4:$Z$4,"SUBTOTAL",$L$18:$Z$18)</f>
        <v>282.97049317218534</v>
      </c>
    </row>
    <row r="19" spans="1:27" ht="11.25" customHeight="1" x14ac:dyDescent="0.25">
      <c r="A19" s="135"/>
      <c r="B19" s="135"/>
      <c r="C19" s="135"/>
      <c r="D19" s="40" t="s">
        <v>31</v>
      </c>
      <c r="E19" s="40" t="s">
        <v>25</v>
      </c>
      <c r="F19" s="40" t="s">
        <v>25</v>
      </c>
      <c r="G19" s="39" t="s">
        <v>92</v>
      </c>
      <c r="H19" s="39" t="s">
        <v>86</v>
      </c>
      <c r="I19" s="39">
        <f>'MERCADO TE'!$U$16</f>
        <v>0</v>
      </c>
      <c r="J19" s="18"/>
      <c r="L19" s="37">
        <f>'TR TE'!$L$19*'TR TE'!$L$51</f>
        <v>2.8946314223129863</v>
      </c>
      <c r="M19" s="37">
        <f>'TR TE'!$M$19*'TR TE'!$M$51</f>
        <v>11.033150811136956</v>
      </c>
      <c r="N19" s="37">
        <f>'TR TE'!$N$19*'TR TE'!$N$51</f>
        <v>0</v>
      </c>
      <c r="O19" s="37">
        <f>'TR TE'!$O$19*'TR TE'!$O$51</f>
        <v>12.543947733055418</v>
      </c>
      <c r="P19" s="37">
        <f>SUM($L$19:$O$19)</f>
        <v>26.471729966505361</v>
      </c>
      <c r="Q19" s="37">
        <f>'TR TE'!$Q$19*'TR TE'!$Q$51</f>
        <v>252.3343776463162</v>
      </c>
      <c r="R19" s="37">
        <f>SUM($Q$19:$Q$19)</f>
        <v>252.3343776463162</v>
      </c>
      <c r="S19" s="37">
        <f>'TR TE'!$S$19*'TR TE'!$S$51</f>
        <v>0</v>
      </c>
      <c r="T19" s="37">
        <f>'TR TE'!$T$19*'TR TE'!$T$51</f>
        <v>0</v>
      </c>
      <c r="U19" s="37">
        <f>'TR TE'!$U$19*'TR TE'!$U$51</f>
        <v>0</v>
      </c>
      <c r="V19" s="37">
        <f>SUM($S$19:$U$19)</f>
        <v>0</v>
      </c>
      <c r="W19" s="37"/>
      <c r="X19" s="37">
        <f>SUM($W$19:$W$19)</f>
        <v>0</v>
      </c>
      <c r="Y19" s="37">
        <f>'TR TE'!$Y$19*'TR TE'!$Y$51</f>
        <v>4.1643855593637626</v>
      </c>
      <c r="Z19" s="37">
        <f>SUM($Y$19:$Y$19)</f>
        <v>4.1643855593637626</v>
      </c>
      <c r="AA19" s="37">
        <f>SUMIF($L$4:$Z$4,"SUBTOTAL",$L$19:$Z$19)</f>
        <v>282.97049317218534</v>
      </c>
    </row>
    <row r="20" spans="1:27" ht="11.25" customHeight="1" x14ac:dyDescent="0.25">
      <c r="A20" s="135"/>
      <c r="B20" s="135"/>
      <c r="C20" s="135"/>
      <c r="D20" s="40" t="s">
        <v>32</v>
      </c>
      <c r="E20" s="40" t="s">
        <v>25</v>
      </c>
      <c r="F20" s="40" t="s">
        <v>25</v>
      </c>
      <c r="G20" s="39" t="s">
        <v>92</v>
      </c>
      <c r="H20" s="39" t="s">
        <v>86</v>
      </c>
      <c r="I20" s="39">
        <f>'MERCADO TE'!$U$17</f>
        <v>0</v>
      </c>
      <c r="J20" s="18"/>
      <c r="L20" s="37">
        <f>'TR TE'!$L$20*'TR TE'!$L$51</f>
        <v>2.8946314223129863</v>
      </c>
      <c r="M20" s="37">
        <f>'TR TE'!$M$20*'TR TE'!$M$51</f>
        <v>11.033150811136956</v>
      </c>
      <c r="N20" s="37">
        <f>'TR TE'!$N$20*'TR TE'!$N$51</f>
        <v>0</v>
      </c>
      <c r="O20" s="37">
        <f>'TR TE'!$O$20*'TR TE'!$O$51</f>
        <v>12.543947733055418</v>
      </c>
      <c r="P20" s="37">
        <f>SUM($L$20:$O$20)</f>
        <v>26.471729966505361</v>
      </c>
      <c r="Q20" s="37">
        <f>'TR TE'!$Q$20*'TR TE'!$Q$51</f>
        <v>252.3343776463162</v>
      </c>
      <c r="R20" s="37">
        <f>SUM($Q$20:$Q$20)</f>
        <v>252.3343776463162</v>
      </c>
      <c r="S20" s="37">
        <f>'TR TE'!$S$20*'TR TE'!$S$51</f>
        <v>0</v>
      </c>
      <c r="T20" s="37">
        <f>'TR TE'!$T$20*'TR TE'!$T$51</f>
        <v>0</v>
      </c>
      <c r="U20" s="37">
        <f>'TR TE'!$U$20*'TR TE'!$U$51</f>
        <v>0</v>
      </c>
      <c r="V20" s="37">
        <f>SUM($S$20:$U$20)</f>
        <v>0</v>
      </c>
      <c r="W20" s="37"/>
      <c r="X20" s="37">
        <f>SUM($W$20:$W$20)</f>
        <v>0</v>
      </c>
      <c r="Y20" s="37">
        <f>'TR TE'!$Y$20*'TR TE'!$Y$51</f>
        <v>4.1643855593637626</v>
      </c>
      <c r="Z20" s="37">
        <f>SUM($Y$20:$Y$20)</f>
        <v>4.1643855593637626</v>
      </c>
      <c r="AA20" s="37">
        <f>SUMIF($L$4:$Z$4,"SUBTOTAL",$L$20:$Z$20)</f>
        <v>282.97049317218534</v>
      </c>
    </row>
    <row r="21" spans="1:27" ht="11.25" customHeight="1" x14ac:dyDescent="0.25">
      <c r="A21" s="135"/>
      <c r="B21" s="135"/>
      <c r="C21" s="135"/>
      <c r="D21" s="40" t="s">
        <v>33</v>
      </c>
      <c r="E21" s="40" t="s">
        <v>25</v>
      </c>
      <c r="F21" s="40" t="s">
        <v>25</v>
      </c>
      <c r="G21" s="39" t="s">
        <v>92</v>
      </c>
      <c r="H21" s="39" t="s">
        <v>86</v>
      </c>
      <c r="I21" s="39">
        <f>'MERCADO TE'!$U$18</f>
        <v>0</v>
      </c>
      <c r="J21" s="18"/>
      <c r="L21" s="37">
        <f>'TR TE'!$L$21*'TR TE'!$L$51</f>
        <v>2.8946314223129863</v>
      </c>
      <c r="M21" s="37">
        <f>'TR TE'!$M$21*'TR TE'!$M$51</f>
        <v>11.033150811136956</v>
      </c>
      <c r="N21" s="37">
        <f>'TR TE'!$N$21*'TR TE'!$N$51</f>
        <v>0</v>
      </c>
      <c r="O21" s="37">
        <f>'TR TE'!$O$21*'TR TE'!$O$51</f>
        <v>12.543947733055418</v>
      </c>
      <c r="P21" s="37">
        <f>SUM($L$21:$O$21)</f>
        <v>26.471729966505361</v>
      </c>
      <c r="Q21" s="37">
        <f>'TR TE'!$Q$21*'TR TE'!$Q$51</f>
        <v>252.3343776463162</v>
      </c>
      <c r="R21" s="37">
        <f>SUM($Q$21:$Q$21)</f>
        <v>252.3343776463162</v>
      </c>
      <c r="S21" s="37">
        <f>'TR TE'!$S$21*'TR TE'!$S$51</f>
        <v>0</v>
      </c>
      <c r="T21" s="37">
        <f>'TR TE'!$T$21*'TR TE'!$T$51</f>
        <v>0</v>
      </c>
      <c r="U21" s="37">
        <f>'TR TE'!$U$21*'TR TE'!$U$51</f>
        <v>0</v>
      </c>
      <c r="V21" s="37">
        <f>SUM($S$21:$U$21)</f>
        <v>0</v>
      </c>
      <c r="W21" s="37"/>
      <c r="X21" s="37">
        <f>SUM($W$21:$W$21)</f>
        <v>0</v>
      </c>
      <c r="Y21" s="37">
        <f>'TR TE'!$Y$21*'TR TE'!$Y$51</f>
        <v>4.1643855593637626</v>
      </c>
      <c r="Z21" s="37">
        <f>SUM($Y$21:$Y$21)</f>
        <v>4.1643855593637626</v>
      </c>
      <c r="AA21" s="37">
        <f>SUMIF($L$4:$Z$4,"SUBTOTAL",$L$21:$Z$21)</f>
        <v>282.97049317218534</v>
      </c>
    </row>
    <row r="22" spans="1:27" ht="11.25" customHeight="1" x14ac:dyDescent="0.25">
      <c r="A22" s="135"/>
      <c r="B22" s="135"/>
      <c r="C22" s="135"/>
      <c r="D22" s="40" t="s">
        <v>34</v>
      </c>
      <c r="E22" s="40" t="s">
        <v>25</v>
      </c>
      <c r="F22" s="40" t="s">
        <v>25</v>
      </c>
      <c r="G22" s="39" t="s">
        <v>92</v>
      </c>
      <c r="H22" s="39" t="s">
        <v>86</v>
      </c>
      <c r="I22" s="39">
        <f>'MERCADO TE'!$U$19</f>
        <v>0</v>
      </c>
      <c r="J22" s="18"/>
      <c r="L22" s="37">
        <f>'TR TE'!$L$22*'TR TE'!$L$51</f>
        <v>2.8946314223129863</v>
      </c>
      <c r="M22" s="37">
        <f>'TR TE'!$M$22*'TR TE'!$M$51</f>
        <v>11.033150811136956</v>
      </c>
      <c r="N22" s="37">
        <f>'TR TE'!$N$22*'TR TE'!$N$51</f>
        <v>0</v>
      </c>
      <c r="O22" s="37">
        <f>'TR TE'!$O$22*'TR TE'!$O$51</f>
        <v>12.543947733055418</v>
      </c>
      <c r="P22" s="37">
        <f>SUM($L$22:$O$22)</f>
        <v>26.471729966505361</v>
      </c>
      <c r="Q22" s="37">
        <f>'TR TE'!$Q$22*'TR TE'!$Q$51</f>
        <v>252.3343776463162</v>
      </c>
      <c r="R22" s="37">
        <f>SUM($Q$22:$Q$22)</f>
        <v>252.3343776463162</v>
      </c>
      <c r="S22" s="37">
        <f>'TR TE'!$S$22*'TR TE'!$S$51</f>
        <v>0</v>
      </c>
      <c r="T22" s="37">
        <f>'TR TE'!$T$22*'TR TE'!$T$51</f>
        <v>0</v>
      </c>
      <c r="U22" s="37">
        <f>'TR TE'!$U$22*'TR TE'!$U$51</f>
        <v>0</v>
      </c>
      <c r="V22" s="37">
        <f>SUM($S$22:$U$22)</f>
        <v>0</v>
      </c>
      <c r="W22" s="37"/>
      <c r="X22" s="37">
        <f>SUM($W$22:$W$22)</f>
        <v>0</v>
      </c>
      <c r="Y22" s="37">
        <f>'TR TE'!$Y$22*'TR TE'!$Y$51</f>
        <v>4.1643855593637626</v>
      </c>
      <c r="Z22" s="37">
        <f>SUM($Y$22:$Y$22)</f>
        <v>4.1643855593637626</v>
      </c>
      <c r="AA22" s="37">
        <f>SUMIF($L$4:$Z$4,"SUBTOTAL",$L$22:$Z$22)</f>
        <v>282.97049317218534</v>
      </c>
    </row>
    <row r="23" spans="1:27" ht="11.25" customHeight="1" x14ac:dyDescent="0.25">
      <c r="A23" s="135" t="s">
        <v>46</v>
      </c>
      <c r="B23" s="135" t="s">
        <v>85</v>
      </c>
      <c r="C23" s="135" t="s">
        <v>47</v>
      </c>
      <c r="D23" s="135" t="s">
        <v>25</v>
      </c>
      <c r="E23" s="135" t="s">
        <v>25</v>
      </c>
      <c r="F23" s="135" t="s">
        <v>25</v>
      </c>
      <c r="G23" s="39" t="s">
        <v>87</v>
      </c>
      <c r="H23" s="39" t="s">
        <v>86</v>
      </c>
      <c r="I23" s="39">
        <f>'MERCADO TE'!$U$20</f>
        <v>0</v>
      </c>
      <c r="J23" s="18"/>
      <c r="L23" s="37">
        <f>'TR TE'!$L$23*'TR TE'!$L$51</f>
        <v>2.8946314223129863</v>
      </c>
      <c r="M23" s="37">
        <f>'TR TE'!$M$23*'TR TE'!$M$51</f>
        <v>11.033150811136956</v>
      </c>
      <c r="N23" s="37">
        <f>'TR TE'!$N$23*'TR TE'!$N$51</f>
        <v>0</v>
      </c>
      <c r="O23" s="37">
        <f>'TR TE'!$O$23*'TR TE'!$O$51</f>
        <v>12.543947733055418</v>
      </c>
      <c r="P23" s="37">
        <f>SUM($L$23:$O$23)</f>
        <v>26.471729966505361</v>
      </c>
      <c r="Q23" s="37">
        <f>'TR TE'!$Q$23*'TR TE'!$Q$51</f>
        <v>409.44823542609799</v>
      </c>
      <c r="R23" s="37">
        <f>SUM($Q$23:$Q$23)</f>
        <v>409.44823542609799</v>
      </c>
      <c r="S23" s="37">
        <f>'TR TE'!$S$23*'TR TE'!$S$51</f>
        <v>0</v>
      </c>
      <c r="T23" s="37">
        <f>'TR TE'!$T$23*'TR TE'!$T$51</f>
        <v>0</v>
      </c>
      <c r="U23" s="37">
        <f>'TR TE'!$U$23*'TR TE'!$U$51</f>
        <v>0</v>
      </c>
      <c r="V23" s="37">
        <f>SUM($S$23:$U$23)</f>
        <v>0</v>
      </c>
      <c r="W23" s="37"/>
      <c r="X23" s="37">
        <f>SUM($W$23:$W$23)</f>
        <v>0</v>
      </c>
      <c r="Y23" s="37">
        <f>'TR TE'!$Y$23*'TR TE'!$Y$51</f>
        <v>4.1643855593637626</v>
      </c>
      <c r="Z23" s="37">
        <f>SUM($Y$23:$Y$23)</f>
        <v>4.1643855593637626</v>
      </c>
      <c r="AA23" s="37">
        <f>SUMIF($L$4:$Z$4,"SUBTOTAL",$L$23:$Z$23)</f>
        <v>440.08435095196711</v>
      </c>
    </row>
    <row r="24" spans="1:27" ht="11.25" customHeight="1" x14ac:dyDescent="0.25">
      <c r="A24" s="135"/>
      <c r="B24" s="135"/>
      <c r="C24" s="135"/>
      <c r="D24" s="135"/>
      <c r="E24" s="135"/>
      <c r="F24" s="135"/>
      <c r="G24" s="39" t="s">
        <v>98</v>
      </c>
      <c r="H24" s="39" t="s">
        <v>86</v>
      </c>
      <c r="I24" s="39">
        <f>'MERCADO TE'!$U$21</f>
        <v>5.0000000000000001E-3</v>
      </c>
      <c r="J24" s="18"/>
      <c r="L24" s="37">
        <f>'TR TE'!$L$24*'TR TE'!$L$51</f>
        <v>2.8946314223129863</v>
      </c>
      <c r="M24" s="37">
        <f>'TR TE'!$M$24*'TR TE'!$M$51</f>
        <v>11.033150811136956</v>
      </c>
      <c r="N24" s="37">
        <f>'TR TE'!$N$24*'TR TE'!$N$51</f>
        <v>0</v>
      </c>
      <c r="O24" s="37">
        <f>'TR TE'!$O$24*'TR TE'!$O$51</f>
        <v>12.543947733055418</v>
      </c>
      <c r="P24" s="37">
        <f>SUM($L$24:$O$24)</f>
        <v>26.471729966505361</v>
      </c>
      <c r="Q24" s="37">
        <f>'TR TE'!$Q$24*'TR TE'!$Q$51</f>
        <v>238.05129966633604</v>
      </c>
      <c r="R24" s="37">
        <f>SUM($Q$24:$Q$24)</f>
        <v>238.05129966633604</v>
      </c>
      <c r="S24" s="37">
        <f>'TR TE'!$S$24*'TR TE'!$S$51</f>
        <v>0</v>
      </c>
      <c r="T24" s="37">
        <f>'TR TE'!$T$24*'TR TE'!$T$51</f>
        <v>0</v>
      </c>
      <c r="U24" s="37">
        <f>'TR TE'!$U$24*'TR TE'!$U$51</f>
        <v>0</v>
      </c>
      <c r="V24" s="37">
        <f>SUM($S$24:$U$24)</f>
        <v>0</v>
      </c>
      <c r="W24" s="37"/>
      <c r="X24" s="37">
        <f>SUM($W$24:$W$24)</f>
        <v>0</v>
      </c>
      <c r="Y24" s="37">
        <f>'TR TE'!$Y$24*'TR TE'!$Y$51</f>
        <v>4.1643855593637626</v>
      </c>
      <c r="Z24" s="37">
        <f>SUM($Y$24:$Y$24)</f>
        <v>4.1643855593637626</v>
      </c>
      <c r="AA24" s="37">
        <f>SUMIF($L$4:$Z$4,"SUBTOTAL",$L$24:$Z$24)</f>
        <v>268.68741519220515</v>
      </c>
    </row>
    <row r="25" spans="1:27" ht="11.25" customHeight="1" x14ac:dyDescent="0.25">
      <c r="A25" s="135"/>
      <c r="B25" s="135"/>
      <c r="C25" s="135"/>
      <c r="D25" s="135"/>
      <c r="E25" s="135"/>
      <c r="F25" s="135"/>
      <c r="G25" s="39" t="s">
        <v>88</v>
      </c>
      <c r="H25" s="39" t="s">
        <v>86</v>
      </c>
      <c r="I25" s="39">
        <f>'MERCADO TE'!$U$22</f>
        <v>0.54600000000000004</v>
      </c>
      <c r="J25" s="18"/>
      <c r="L25" s="37">
        <f>'TR TE'!$L$25*'TR TE'!$L$51</f>
        <v>2.8946314223129863</v>
      </c>
      <c r="M25" s="37">
        <f>'TR TE'!$M$25*'TR TE'!$M$51</f>
        <v>11.033150811136956</v>
      </c>
      <c r="N25" s="37">
        <f>'TR TE'!$N$25*'TR TE'!$N$51</f>
        <v>0</v>
      </c>
      <c r="O25" s="37">
        <f>'TR TE'!$O$25*'TR TE'!$O$51</f>
        <v>12.543947733055418</v>
      </c>
      <c r="P25" s="37">
        <f>SUM($L$25:$O$25)</f>
        <v>26.471729966505361</v>
      </c>
      <c r="Q25" s="37">
        <f>'TR TE'!$Q$25*'TR TE'!$Q$51</f>
        <v>238.05129966633604</v>
      </c>
      <c r="R25" s="37">
        <f>SUM($Q$25:$Q$25)</f>
        <v>238.05129966633604</v>
      </c>
      <c r="S25" s="37">
        <f>'TR TE'!$S$25*'TR TE'!$S$51</f>
        <v>0</v>
      </c>
      <c r="T25" s="37">
        <f>'TR TE'!$T$25*'TR TE'!$T$51</f>
        <v>0</v>
      </c>
      <c r="U25" s="37">
        <f>'TR TE'!$U$25*'TR TE'!$U$51</f>
        <v>0</v>
      </c>
      <c r="V25" s="37">
        <f>SUM($S$25:$U$25)</f>
        <v>0</v>
      </c>
      <c r="W25" s="37"/>
      <c r="X25" s="37">
        <f>SUM($W$25:$W$25)</f>
        <v>0</v>
      </c>
      <c r="Y25" s="37">
        <f>'TR TE'!$Y$25*'TR TE'!$Y$51</f>
        <v>4.1643855593637626</v>
      </c>
      <c r="Z25" s="37">
        <f>SUM($Y$25:$Y$25)</f>
        <v>4.1643855593637626</v>
      </c>
      <c r="AA25" s="37">
        <f>SUMIF($L$4:$Z$4,"SUBTOTAL",$L$25:$Z$25)</f>
        <v>268.68741519220515</v>
      </c>
    </row>
    <row r="26" spans="1:27" ht="11.25" customHeight="1" x14ac:dyDescent="0.25">
      <c r="A26" s="135"/>
      <c r="B26" s="40" t="s">
        <v>94</v>
      </c>
      <c r="C26" s="40" t="s">
        <v>47</v>
      </c>
      <c r="D26" s="40" t="s">
        <v>25</v>
      </c>
      <c r="E26" s="40" t="s">
        <v>25</v>
      </c>
      <c r="F26" s="40" t="s">
        <v>25</v>
      </c>
      <c r="G26" s="39" t="s">
        <v>92</v>
      </c>
      <c r="H26" s="39" t="s">
        <v>86</v>
      </c>
      <c r="I26" s="39">
        <f>'MERCADO TE'!$U$23</f>
        <v>64418.971000000005</v>
      </c>
      <c r="J26" s="18"/>
      <c r="L26" s="37">
        <f>'TR TE'!$L$26*'TR TE'!$L$51</f>
        <v>2.8946314223129863</v>
      </c>
      <c r="M26" s="37">
        <f>'TR TE'!$M$26*'TR TE'!$M$51</f>
        <v>11.033150811136956</v>
      </c>
      <c r="N26" s="37">
        <f>'TR TE'!$N$26*'TR TE'!$N$51</f>
        <v>0</v>
      </c>
      <c r="O26" s="37">
        <f>'TR TE'!$O$26*'TR TE'!$O$51</f>
        <v>12.543947733055418</v>
      </c>
      <c r="P26" s="37">
        <f>SUM($L$26:$O$26)</f>
        <v>26.471729966505361</v>
      </c>
      <c r="Q26" s="37">
        <f>'TR TE'!$Q$26*'TR TE'!$Q$51</f>
        <v>252.3343776463162</v>
      </c>
      <c r="R26" s="37">
        <f>SUM($Q$26:$Q$26)</f>
        <v>252.3343776463162</v>
      </c>
      <c r="S26" s="37">
        <f>'TR TE'!$S$26*'TR TE'!$S$51</f>
        <v>0</v>
      </c>
      <c r="T26" s="37">
        <f>'TR TE'!$T$26*'TR TE'!$T$51</f>
        <v>0</v>
      </c>
      <c r="U26" s="37">
        <f>'TR TE'!$U$26*'TR TE'!$U$51</f>
        <v>0</v>
      </c>
      <c r="V26" s="37">
        <f>SUM($S$26:$U$26)</f>
        <v>0</v>
      </c>
      <c r="W26" s="37"/>
      <c r="X26" s="37">
        <f>SUM($W$26:$W$26)</f>
        <v>0</v>
      </c>
      <c r="Y26" s="37">
        <f>'TR TE'!$Y$26*'TR TE'!$Y$51</f>
        <v>4.1643855593637626</v>
      </c>
      <c r="Z26" s="37">
        <f>SUM($Y$26:$Y$26)</f>
        <v>4.1643855593637626</v>
      </c>
      <c r="AA26" s="37">
        <f>SUMIF($L$4:$Z$4,"SUBTOTAL",$L$26:$Z$26)</f>
        <v>282.97049317218534</v>
      </c>
    </row>
    <row r="27" spans="1:27" ht="11.25" customHeight="1" x14ac:dyDescent="0.25">
      <c r="A27" s="135"/>
      <c r="B27" s="135" t="s">
        <v>85</v>
      </c>
      <c r="C27" s="135" t="s">
        <v>47</v>
      </c>
      <c r="D27" s="135" t="s">
        <v>101</v>
      </c>
      <c r="E27" s="135" t="s">
        <v>25</v>
      </c>
      <c r="F27" s="135" t="s">
        <v>25</v>
      </c>
      <c r="G27" s="39" t="s">
        <v>87</v>
      </c>
      <c r="H27" s="39" t="s">
        <v>86</v>
      </c>
      <c r="I27" s="39">
        <f>'MERCADO TE'!$U$24</f>
        <v>0</v>
      </c>
      <c r="J27" s="18"/>
      <c r="L27" s="37">
        <f>'TR TE'!$L$27*'TR TE'!$L$51</f>
        <v>2.8946314223129863</v>
      </c>
      <c r="M27" s="37">
        <f>'TR TE'!$M$27*'TR TE'!$M$51</f>
        <v>11.033150811136956</v>
      </c>
      <c r="N27" s="37">
        <f>'TR TE'!$N$27*'TR TE'!$N$51</f>
        <v>0</v>
      </c>
      <c r="O27" s="37">
        <f>'TR TE'!$O$27*'TR TE'!$O$51</f>
        <v>12.543947733055418</v>
      </c>
      <c r="P27" s="37">
        <f>SUM($L$27:$O$27)</f>
        <v>26.471729966505361</v>
      </c>
      <c r="Q27" s="37">
        <f>'TR TE'!$Q$27*'TR TE'!$Q$51</f>
        <v>409.44823542609799</v>
      </c>
      <c r="R27" s="37">
        <f>SUM($Q$27:$Q$27)</f>
        <v>409.44823542609799</v>
      </c>
      <c r="S27" s="37">
        <f>'TR TE'!$S$27*'TR TE'!$S$51</f>
        <v>0</v>
      </c>
      <c r="T27" s="37">
        <f>'TR TE'!$T$27*'TR TE'!$T$51</f>
        <v>0</v>
      </c>
      <c r="U27" s="37">
        <f>'TR TE'!$U$27*'TR TE'!$U$51</f>
        <v>0</v>
      </c>
      <c r="V27" s="37">
        <f>SUM($S$27:$U$27)</f>
        <v>0</v>
      </c>
      <c r="W27" s="37"/>
      <c r="X27" s="37">
        <f>SUM($W$27:$W$27)</f>
        <v>0</v>
      </c>
      <c r="Y27" s="37">
        <f>'TR TE'!$Y$27*'TR TE'!$Y$51</f>
        <v>4.1643855593637626</v>
      </c>
      <c r="Z27" s="37">
        <f>SUM($Y$27:$Y$27)</f>
        <v>4.1643855593637626</v>
      </c>
      <c r="AA27" s="37">
        <f>SUMIF($L$4:$Z$4,"SUBTOTAL",$L$27:$Z$27)</f>
        <v>440.08435095196711</v>
      </c>
    </row>
    <row r="28" spans="1:27" ht="11.25" customHeight="1" x14ac:dyDescent="0.25">
      <c r="A28" s="135"/>
      <c r="B28" s="135"/>
      <c r="C28" s="135"/>
      <c r="D28" s="135"/>
      <c r="E28" s="135"/>
      <c r="F28" s="135"/>
      <c r="G28" s="39" t="s">
        <v>98</v>
      </c>
      <c r="H28" s="39" t="s">
        <v>86</v>
      </c>
      <c r="I28" s="39">
        <f>'MERCADO TE'!$U$25</f>
        <v>0</v>
      </c>
      <c r="J28" s="18"/>
      <c r="L28" s="37">
        <f>'TR TE'!$L$28*'TR TE'!$L$51</f>
        <v>2.8946314223129863</v>
      </c>
      <c r="M28" s="37">
        <f>'TR TE'!$M$28*'TR TE'!$M$51</f>
        <v>11.033150811136956</v>
      </c>
      <c r="N28" s="37">
        <f>'TR TE'!$N$28*'TR TE'!$N$51</f>
        <v>0</v>
      </c>
      <c r="O28" s="37">
        <f>'TR TE'!$O$28*'TR TE'!$O$51</f>
        <v>12.543947733055418</v>
      </c>
      <c r="P28" s="37">
        <f>SUM($L$28:$O$28)</f>
        <v>26.471729966505361</v>
      </c>
      <c r="Q28" s="37">
        <f>'TR TE'!$Q$28*'TR TE'!$Q$51</f>
        <v>238.05129966633604</v>
      </c>
      <c r="R28" s="37">
        <f>SUM($Q$28:$Q$28)</f>
        <v>238.05129966633604</v>
      </c>
      <c r="S28" s="37">
        <f>'TR TE'!$S$28*'TR TE'!$S$51</f>
        <v>0</v>
      </c>
      <c r="T28" s="37">
        <f>'TR TE'!$T$28*'TR TE'!$T$51</f>
        <v>0</v>
      </c>
      <c r="U28" s="37">
        <f>'TR TE'!$U$28*'TR TE'!$U$51</f>
        <v>0</v>
      </c>
      <c r="V28" s="37">
        <f>SUM($S$28:$U$28)</f>
        <v>0</v>
      </c>
      <c r="W28" s="37"/>
      <c r="X28" s="37">
        <f>SUM($W$28:$W$28)</f>
        <v>0</v>
      </c>
      <c r="Y28" s="37">
        <f>'TR TE'!$Y$28*'TR TE'!$Y$51</f>
        <v>4.1643855593637626</v>
      </c>
      <c r="Z28" s="37">
        <f>SUM($Y$28:$Y$28)</f>
        <v>4.1643855593637626</v>
      </c>
      <c r="AA28" s="37">
        <f>SUMIF($L$4:$Z$4,"SUBTOTAL",$L$28:$Z$28)</f>
        <v>268.68741519220515</v>
      </c>
    </row>
    <row r="29" spans="1:27" ht="11.25" customHeight="1" x14ac:dyDescent="0.25">
      <c r="A29" s="135"/>
      <c r="B29" s="135"/>
      <c r="C29" s="135"/>
      <c r="D29" s="135"/>
      <c r="E29" s="135"/>
      <c r="F29" s="135"/>
      <c r="G29" s="39" t="s">
        <v>88</v>
      </c>
      <c r="H29" s="39" t="s">
        <v>86</v>
      </c>
      <c r="I29" s="39">
        <f>'MERCADO TE'!$U$26</f>
        <v>0</v>
      </c>
      <c r="J29" s="18"/>
      <c r="L29" s="37">
        <f>'TR TE'!$L$29*'TR TE'!$L$51</f>
        <v>2.8946314223129863</v>
      </c>
      <c r="M29" s="37">
        <f>'TR TE'!$M$29*'TR TE'!$M$51</f>
        <v>11.033150811136956</v>
      </c>
      <c r="N29" s="37">
        <f>'TR TE'!$N$29*'TR TE'!$N$51</f>
        <v>0</v>
      </c>
      <c r="O29" s="37">
        <f>'TR TE'!$O$29*'TR TE'!$O$51</f>
        <v>12.543947733055418</v>
      </c>
      <c r="P29" s="37">
        <f>SUM($L$29:$O$29)</f>
        <v>26.471729966505361</v>
      </c>
      <c r="Q29" s="37">
        <f>'TR TE'!$Q$29*'TR TE'!$Q$51</f>
        <v>238.05129966633604</v>
      </c>
      <c r="R29" s="37">
        <f>SUM($Q$29:$Q$29)</f>
        <v>238.05129966633604</v>
      </c>
      <c r="S29" s="37">
        <f>'TR TE'!$S$29*'TR TE'!$S$51</f>
        <v>0</v>
      </c>
      <c r="T29" s="37">
        <f>'TR TE'!$T$29*'TR TE'!$T$51</f>
        <v>0</v>
      </c>
      <c r="U29" s="37">
        <f>'TR TE'!$U$29*'TR TE'!$U$51</f>
        <v>0</v>
      </c>
      <c r="V29" s="37">
        <f>SUM($S$29:$U$29)</f>
        <v>0</v>
      </c>
      <c r="W29" s="37"/>
      <c r="X29" s="37">
        <f>SUM($W$29:$W$29)</f>
        <v>0</v>
      </c>
      <c r="Y29" s="37">
        <f>'TR TE'!$Y$29*'TR TE'!$Y$51</f>
        <v>4.1643855593637626</v>
      </c>
      <c r="Z29" s="37">
        <f>SUM($Y$29:$Y$29)</f>
        <v>4.1643855593637626</v>
      </c>
      <c r="AA29" s="37">
        <f>SUMIF($L$4:$Z$4,"SUBTOTAL",$L$29:$Z$29)</f>
        <v>268.68741519220515</v>
      </c>
    </row>
    <row r="30" spans="1:27" ht="11.25" customHeight="1" x14ac:dyDescent="0.25">
      <c r="A30" s="135"/>
      <c r="B30" s="40" t="s">
        <v>94</v>
      </c>
      <c r="C30" s="40" t="s">
        <v>47</v>
      </c>
      <c r="D30" s="40" t="s">
        <v>101</v>
      </c>
      <c r="E30" s="40" t="s">
        <v>25</v>
      </c>
      <c r="F30" s="40" t="s">
        <v>25</v>
      </c>
      <c r="G30" s="39" t="s">
        <v>92</v>
      </c>
      <c r="H30" s="39" t="s">
        <v>86</v>
      </c>
      <c r="I30" s="39">
        <f>'MERCADO TE'!$U$27</f>
        <v>0</v>
      </c>
      <c r="J30" s="18"/>
      <c r="L30" s="37">
        <f>'TR TE'!$L$30*'TR TE'!$L$51</f>
        <v>2.8946314223129863</v>
      </c>
      <c r="M30" s="37">
        <f>'TR TE'!$M$30*'TR TE'!$M$51</f>
        <v>11.033150811136956</v>
      </c>
      <c r="N30" s="37">
        <f>'TR TE'!$N$30*'TR TE'!$N$51</f>
        <v>0</v>
      </c>
      <c r="O30" s="37">
        <f>'TR TE'!$O$30*'TR TE'!$O$51</f>
        <v>12.543947733055418</v>
      </c>
      <c r="P30" s="37">
        <f>SUM($L$30:$O$30)</f>
        <v>26.471729966505361</v>
      </c>
      <c r="Q30" s="37">
        <f>'TR TE'!$Q$30*'TR TE'!$Q$51</f>
        <v>252.3343776463162</v>
      </c>
      <c r="R30" s="37">
        <f>SUM($Q$30:$Q$30)</f>
        <v>252.3343776463162</v>
      </c>
      <c r="S30" s="37">
        <f>'TR TE'!$S$30*'TR TE'!$S$51</f>
        <v>0</v>
      </c>
      <c r="T30" s="37">
        <f>'TR TE'!$T$30*'TR TE'!$T$51</f>
        <v>0</v>
      </c>
      <c r="U30" s="37">
        <f>'TR TE'!$U$30*'TR TE'!$U$51</f>
        <v>0</v>
      </c>
      <c r="V30" s="37">
        <f>SUM($S$30:$U$30)</f>
        <v>0</v>
      </c>
      <c r="W30" s="37"/>
      <c r="X30" s="37">
        <f>SUM($W$30:$W$30)</f>
        <v>0</v>
      </c>
      <c r="Y30" s="37">
        <f>'TR TE'!$Y$30*'TR TE'!$Y$51</f>
        <v>4.1643855593637626</v>
      </c>
      <c r="Z30" s="37">
        <f>SUM($Y$30:$Y$30)</f>
        <v>4.1643855593637626</v>
      </c>
      <c r="AA30" s="37">
        <f>SUMIF($L$4:$Z$4,"SUBTOTAL",$L$30:$Z$30)</f>
        <v>282.97049317218534</v>
      </c>
    </row>
    <row r="31" spans="1:27" ht="11.25" customHeight="1" x14ac:dyDescent="0.25">
      <c r="A31" s="135"/>
      <c r="B31" s="135" t="s">
        <v>85</v>
      </c>
      <c r="C31" s="135" t="s">
        <v>47</v>
      </c>
      <c r="D31" s="135" t="s">
        <v>55</v>
      </c>
      <c r="E31" s="135" t="s">
        <v>25</v>
      </c>
      <c r="F31" s="135" t="s">
        <v>25</v>
      </c>
      <c r="G31" s="39" t="s">
        <v>87</v>
      </c>
      <c r="H31" s="39" t="s">
        <v>86</v>
      </c>
      <c r="I31" s="39">
        <f>'MERCADO TE'!$U$28</f>
        <v>0</v>
      </c>
      <c r="J31" s="18"/>
      <c r="L31" s="37">
        <f>'TR TE'!$L$31*'TR TE'!$L$51</f>
        <v>2.8946314223129863</v>
      </c>
      <c r="M31" s="37">
        <f>'TR TE'!$M$31*'TR TE'!$M$51</f>
        <v>11.033150811136956</v>
      </c>
      <c r="N31" s="37">
        <f>'TR TE'!$N$31*'TR TE'!$N$51</f>
        <v>0</v>
      </c>
      <c r="O31" s="37">
        <f>'TR TE'!$O$31*'TR TE'!$O$51</f>
        <v>12.543947733055418</v>
      </c>
      <c r="P31" s="37">
        <f>SUM($L$31:$O$31)</f>
        <v>26.471729966505361</v>
      </c>
      <c r="Q31" s="37">
        <f>'TR TE'!$Q$31*'TR TE'!$Q$51</f>
        <v>409.44823542609799</v>
      </c>
      <c r="R31" s="37">
        <f>SUM($Q$31:$Q$31)</f>
        <v>409.44823542609799</v>
      </c>
      <c r="S31" s="37">
        <f>'TR TE'!$S$31*'TR TE'!$S$51</f>
        <v>0</v>
      </c>
      <c r="T31" s="37">
        <f>'TR TE'!$T$31*'TR TE'!$T$51</f>
        <v>0</v>
      </c>
      <c r="U31" s="37">
        <f>'TR TE'!$U$31*'TR TE'!$U$51</f>
        <v>0</v>
      </c>
      <c r="V31" s="37">
        <f>SUM($S$31:$U$31)</f>
        <v>0</v>
      </c>
      <c r="W31" s="37"/>
      <c r="X31" s="37">
        <f>SUM($W$31:$W$31)</f>
        <v>0</v>
      </c>
      <c r="Y31" s="37">
        <f>'TR TE'!$Y$31*'TR TE'!$Y$51</f>
        <v>4.1643855593637626</v>
      </c>
      <c r="Z31" s="37">
        <f>SUM($Y$31:$Y$31)</f>
        <v>4.1643855593637626</v>
      </c>
      <c r="AA31" s="37">
        <f>SUMIF($L$4:$Z$4,"SUBTOTAL",$L$31:$Z$31)</f>
        <v>440.08435095196711</v>
      </c>
    </row>
    <row r="32" spans="1:27" ht="11.25" customHeight="1" x14ac:dyDescent="0.25">
      <c r="A32" s="135"/>
      <c r="B32" s="135"/>
      <c r="C32" s="135"/>
      <c r="D32" s="135"/>
      <c r="E32" s="135"/>
      <c r="F32" s="135"/>
      <c r="G32" s="39" t="s">
        <v>98</v>
      </c>
      <c r="H32" s="39" t="s">
        <v>86</v>
      </c>
      <c r="I32" s="39">
        <f>'MERCADO TE'!$U$29</f>
        <v>0</v>
      </c>
      <c r="J32" s="18"/>
      <c r="L32" s="37">
        <f>'TR TE'!$L$32*'TR TE'!$L$51</f>
        <v>2.8946314223129863</v>
      </c>
      <c r="M32" s="37">
        <f>'TR TE'!$M$32*'TR TE'!$M$51</f>
        <v>11.033150811136956</v>
      </c>
      <c r="N32" s="37">
        <f>'TR TE'!$N$32*'TR TE'!$N$51</f>
        <v>0</v>
      </c>
      <c r="O32" s="37">
        <f>'TR TE'!$O$32*'TR TE'!$O$51</f>
        <v>12.543947733055418</v>
      </c>
      <c r="P32" s="37">
        <f>SUM($L$32:$O$32)</f>
        <v>26.471729966505361</v>
      </c>
      <c r="Q32" s="37">
        <f>'TR TE'!$Q$32*'TR TE'!$Q$51</f>
        <v>238.05129966633604</v>
      </c>
      <c r="R32" s="37">
        <f>SUM($Q$32:$Q$32)</f>
        <v>238.05129966633604</v>
      </c>
      <c r="S32" s="37">
        <f>'TR TE'!$S$32*'TR TE'!$S$51</f>
        <v>0</v>
      </c>
      <c r="T32" s="37">
        <f>'TR TE'!$T$32*'TR TE'!$T$51</f>
        <v>0</v>
      </c>
      <c r="U32" s="37">
        <f>'TR TE'!$U$32*'TR TE'!$U$51</f>
        <v>0</v>
      </c>
      <c r="V32" s="37">
        <f>SUM($S$32:$U$32)</f>
        <v>0</v>
      </c>
      <c r="W32" s="37"/>
      <c r="X32" s="37">
        <f>SUM($W$32:$W$32)</f>
        <v>0</v>
      </c>
      <c r="Y32" s="37">
        <f>'TR TE'!$Y$32*'TR TE'!$Y$51</f>
        <v>4.1643855593637626</v>
      </c>
      <c r="Z32" s="37">
        <f>SUM($Y$32:$Y$32)</f>
        <v>4.1643855593637626</v>
      </c>
      <c r="AA32" s="37">
        <f>SUMIF($L$4:$Z$4,"SUBTOTAL",$L$32:$Z$32)</f>
        <v>268.68741519220515</v>
      </c>
    </row>
    <row r="33" spans="1:27" ht="11.25" customHeight="1" x14ac:dyDescent="0.25">
      <c r="A33" s="135"/>
      <c r="B33" s="135"/>
      <c r="C33" s="135"/>
      <c r="D33" s="135"/>
      <c r="E33" s="135"/>
      <c r="F33" s="135"/>
      <c r="G33" s="39" t="s">
        <v>88</v>
      </c>
      <c r="H33" s="39" t="s">
        <v>86</v>
      </c>
      <c r="I33" s="39">
        <f>'MERCADO TE'!$U$30</f>
        <v>0</v>
      </c>
      <c r="J33" s="18"/>
      <c r="L33" s="37">
        <f>'TR TE'!$L$33*'TR TE'!$L$51</f>
        <v>2.8946314223129863</v>
      </c>
      <c r="M33" s="37">
        <f>'TR TE'!$M$33*'TR TE'!$M$51</f>
        <v>11.033150811136956</v>
      </c>
      <c r="N33" s="37">
        <f>'TR TE'!$N$33*'TR TE'!$N$51</f>
        <v>0</v>
      </c>
      <c r="O33" s="37">
        <f>'TR TE'!$O$33*'TR TE'!$O$51</f>
        <v>12.543947733055418</v>
      </c>
      <c r="P33" s="37">
        <f>SUM($L$33:$O$33)</f>
        <v>26.471729966505361</v>
      </c>
      <c r="Q33" s="37">
        <f>'TR TE'!$Q$33*'TR TE'!$Q$51</f>
        <v>238.05129966633604</v>
      </c>
      <c r="R33" s="37">
        <f>SUM($Q$33:$Q$33)</f>
        <v>238.05129966633604</v>
      </c>
      <c r="S33" s="37">
        <f>'TR TE'!$S$33*'TR TE'!$S$51</f>
        <v>0</v>
      </c>
      <c r="T33" s="37">
        <f>'TR TE'!$T$33*'TR TE'!$T$51</f>
        <v>0</v>
      </c>
      <c r="U33" s="37">
        <f>'TR TE'!$U$33*'TR TE'!$U$51</f>
        <v>0</v>
      </c>
      <c r="V33" s="37">
        <f>SUM($S$33:$U$33)</f>
        <v>0</v>
      </c>
      <c r="W33" s="37"/>
      <c r="X33" s="37">
        <f>SUM($W$33:$W$33)</f>
        <v>0</v>
      </c>
      <c r="Y33" s="37">
        <f>'TR TE'!$Y$33*'TR TE'!$Y$51</f>
        <v>4.1643855593637626</v>
      </c>
      <c r="Z33" s="37">
        <f>SUM($Y$33:$Y$33)</f>
        <v>4.1643855593637626</v>
      </c>
      <c r="AA33" s="37">
        <f>SUMIF($L$4:$Z$4,"SUBTOTAL",$L$33:$Z$33)</f>
        <v>268.68741519220515</v>
      </c>
    </row>
    <row r="34" spans="1:27" ht="11.25" customHeight="1" x14ac:dyDescent="0.25">
      <c r="A34" s="135"/>
      <c r="B34" s="40" t="s">
        <v>94</v>
      </c>
      <c r="C34" s="40" t="s">
        <v>47</v>
      </c>
      <c r="D34" s="40" t="s">
        <v>55</v>
      </c>
      <c r="E34" s="40" t="s">
        <v>25</v>
      </c>
      <c r="F34" s="40" t="s">
        <v>25</v>
      </c>
      <c r="G34" s="39" t="s">
        <v>92</v>
      </c>
      <c r="H34" s="39" t="s">
        <v>86</v>
      </c>
      <c r="I34" s="39">
        <f>'MERCADO TE'!$U$31</f>
        <v>26.512</v>
      </c>
      <c r="J34" s="18"/>
      <c r="L34" s="37">
        <f>'TR TE'!$L$34*'TR TE'!$L$51</f>
        <v>2.8946314223129863</v>
      </c>
      <c r="M34" s="37">
        <f>'TR TE'!$M$34*'TR TE'!$M$51</f>
        <v>11.033150811136956</v>
      </c>
      <c r="N34" s="37">
        <f>'TR TE'!$N$34*'TR TE'!$N$51</f>
        <v>0</v>
      </c>
      <c r="O34" s="37">
        <f>'TR TE'!$O$34*'TR TE'!$O$51</f>
        <v>12.543947733055418</v>
      </c>
      <c r="P34" s="37">
        <f>SUM($L$34:$O$34)</f>
        <v>26.471729966505361</v>
      </c>
      <c r="Q34" s="37">
        <f>'TR TE'!$Q$34*'TR TE'!$Q$51</f>
        <v>252.3343776463162</v>
      </c>
      <c r="R34" s="37">
        <f>SUM($Q$34:$Q$34)</f>
        <v>252.3343776463162</v>
      </c>
      <c r="S34" s="37">
        <f>'TR TE'!$S$34*'TR TE'!$S$51</f>
        <v>0</v>
      </c>
      <c r="T34" s="37">
        <f>'TR TE'!$T$34*'TR TE'!$T$51</f>
        <v>0</v>
      </c>
      <c r="U34" s="37">
        <f>'TR TE'!$U$34*'TR TE'!$U$51</f>
        <v>0</v>
      </c>
      <c r="V34" s="37">
        <f>SUM($S$34:$U$34)</f>
        <v>0</v>
      </c>
      <c r="W34" s="37"/>
      <c r="X34" s="37">
        <f>SUM($W$34:$W$34)</f>
        <v>0</v>
      </c>
      <c r="Y34" s="37">
        <f>'TR TE'!$Y$34*'TR TE'!$Y$51</f>
        <v>4.1643855593637626</v>
      </c>
      <c r="Z34" s="37">
        <f>SUM($Y$34:$Y$34)</f>
        <v>4.1643855593637626</v>
      </c>
      <c r="AA34" s="37">
        <f>SUMIF($L$4:$Z$4,"SUBTOTAL",$L$34:$Z$34)</f>
        <v>282.97049317218534</v>
      </c>
    </row>
    <row r="35" spans="1:27" ht="11.25" customHeight="1" x14ac:dyDescent="0.25">
      <c r="A35" s="135"/>
      <c r="B35" s="135" t="s">
        <v>99</v>
      </c>
      <c r="C35" s="135" t="s">
        <v>47</v>
      </c>
      <c r="D35" s="40" t="s">
        <v>25</v>
      </c>
      <c r="E35" s="40" t="s">
        <v>25</v>
      </c>
      <c r="F35" s="40" t="s">
        <v>25</v>
      </c>
      <c r="G35" s="39" t="s">
        <v>92</v>
      </c>
      <c r="H35" s="39" t="s">
        <v>86</v>
      </c>
      <c r="I35" s="39">
        <f>'MERCADO TE'!$U$32</f>
        <v>0</v>
      </c>
      <c r="J35" s="18"/>
      <c r="L35" s="37">
        <f>'TR TE'!$L$35*'TR TE'!$L$51</f>
        <v>2.8946314223129863</v>
      </c>
      <c r="M35" s="37">
        <f>'TR TE'!$M$35*'TR TE'!$M$51</f>
        <v>11.033150811136956</v>
      </c>
      <c r="N35" s="37">
        <f>'TR TE'!$N$35*'TR TE'!$N$51</f>
        <v>0</v>
      </c>
      <c r="O35" s="37">
        <f>'TR TE'!$O$35*'TR TE'!$O$51</f>
        <v>12.543947733055418</v>
      </c>
      <c r="P35" s="37">
        <f>SUM($L$35:$O$35)</f>
        <v>26.471729966505361</v>
      </c>
      <c r="Q35" s="37">
        <f>'TR TE'!$Q$35*'TR TE'!$Q$51</f>
        <v>252.3343776463162</v>
      </c>
      <c r="R35" s="37">
        <f>SUM($Q$35:$Q$35)</f>
        <v>252.3343776463162</v>
      </c>
      <c r="S35" s="37">
        <f>'TR TE'!$S$35*'TR TE'!$S$51</f>
        <v>0</v>
      </c>
      <c r="T35" s="37">
        <f>'TR TE'!$T$35*'TR TE'!$T$51</f>
        <v>0</v>
      </c>
      <c r="U35" s="37">
        <f>'TR TE'!$U$35*'TR TE'!$U$51</f>
        <v>0</v>
      </c>
      <c r="V35" s="37">
        <f>SUM($S$35:$U$35)</f>
        <v>0</v>
      </c>
      <c r="W35" s="37"/>
      <c r="X35" s="37">
        <f>SUM($W$35:$W$35)</f>
        <v>0</v>
      </c>
      <c r="Y35" s="37">
        <f>'TR TE'!$Y$35*'TR TE'!$Y$51</f>
        <v>4.1643855593637626</v>
      </c>
      <c r="Z35" s="37">
        <f>SUM($Y$35:$Y$35)</f>
        <v>4.1643855593637626</v>
      </c>
      <c r="AA35" s="37">
        <f>SUMIF($L$4:$Z$4,"SUBTOTAL",$L$35:$Z$35)</f>
        <v>282.97049317218534</v>
      </c>
    </row>
    <row r="36" spans="1:27" ht="11.25" customHeight="1" x14ac:dyDescent="0.25">
      <c r="A36" s="135"/>
      <c r="B36" s="135"/>
      <c r="C36" s="135"/>
      <c r="D36" s="40" t="s">
        <v>101</v>
      </c>
      <c r="E36" s="40" t="s">
        <v>25</v>
      </c>
      <c r="F36" s="40" t="s">
        <v>25</v>
      </c>
      <c r="G36" s="39" t="s">
        <v>92</v>
      </c>
      <c r="H36" s="39" t="s">
        <v>86</v>
      </c>
      <c r="I36" s="39">
        <f>'MERCADO TE'!$U$33</f>
        <v>0</v>
      </c>
      <c r="J36" s="18"/>
      <c r="L36" s="37">
        <f>'TR TE'!$L$36*'TR TE'!$L$51</f>
        <v>2.8946314223129863</v>
      </c>
      <c r="M36" s="37">
        <f>'TR TE'!$M$36*'TR TE'!$M$51</f>
        <v>11.033150811136956</v>
      </c>
      <c r="N36" s="37">
        <f>'TR TE'!$N$36*'TR TE'!$N$51</f>
        <v>0</v>
      </c>
      <c r="O36" s="37">
        <f>'TR TE'!$O$36*'TR TE'!$O$51</f>
        <v>12.543947733055418</v>
      </c>
      <c r="P36" s="37">
        <f>SUM($L$36:$O$36)</f>
        <v>26.471729966505361</v>
      </c>
      <c r="Q36" s="37">
        <f>'TR TE'!$Q$36*'TR TE'!$Q$51</f>
        <v>252.3343776463162</v>
      </c>
      <c r="R36" s="37">
        <f>SUM($Q$36:$Q$36)</f>
        <v>252.3343776463162</v>
      </c>
      <c r="S36" s="37">
        <f>'TR TE'!$S$36*'TR TE'!$S$51</f>
        <v>0</v>
      </c>
      <c r="T36" s="37">
        <f>'TR TE'!$T$36*'TR TE'!$T$51</f>
        <v>0</v>
      </c>
      <c r="U36" s="37">
        <f>'TR TE'!$U$36*'TR TE'!$U$51</f>
        <v>0</v>
      </c>
      <c r="V36" s="37">
        <f>SUM($S$36:$U$36)</f>
        <v>0</v>
      </c>
      <c r="W36" s="37"/>
      <c r="X36" s="37">
        <f>SUM($W$36:$W$36)</f>
        <v>0</v>
      </c>
      <c r="Y36" s="37">
        <f>'TR TE'!$Y$36*'TR TE'!$Y$51</f>
        <v>4.1643855593637626</v>
      </c>
      <c r="Z36" s="37">
        <f>SUM($Y$36:$Y$36)</f>
        <v>4.1643855593637626</v>
      </c>
      <c r="AA36" s="37">
        <f>SUMIF($L$4:$Z$4,"SUBTOTAL",$L$36:$Z$36)</f>
        <v>282.97049317218534</v>
      </c>
    </row>
    <row r="37" spans="1:27" ht="11.25" customHeight="1" x14ac:dyDescent="0.25">
      <c r="A37" s="135"/>
      <c r="B37" s="135"/>
      <c r="C37" s="135"/>
      <c r="D37" s="40" t="s">
        <v>55</v>
      </c>
      <c r="E37" s="40" t="s">
        <v>25</v>
      </c>
      <c r="F37" s="40" t="s">
        <v>25</v>
      </c>
      <c r="G37" s="39" t="s">
        <v>92</v>
      </c>
      <c r="H37" s="39" t="s">
        <v>86</v>
      </c>
      <c r="I37" s="39">
        <f>'MERCADO TE'!$U$34</f>
        <v>0</v>
      </c>
      <c r="J37" s="18"/>
      <c r="L37" s="37">
        <f>'TR TE'!$L$37*'TR TE'!$L$51</f>
        <v>2.8946314223129863</v>
      </c>
      <c r="M37" s="37">
        <f>'TR TE'!$M$37*'TR TE'!$M$51</f>
        <v>11.033150811136956</v>
      </c>
      <c r="N37" s="37">
        <f>'TR TE'!$N$37*'TR TE'!$N$51</f>
        <v>0</v>
      </c>
      <c r="O37" s="37">
        <f>'TR TE'!$O$37*'TR TE'!$O$51</f>
        <v>12.543947733055418</v>
      </c>
      <c r="P37" s="37">
        <f>SUM($L$37:$O$37)</f>
        <v>26.471729966505361</v>
      </c>
      <c r="Q37" s="37">
        <f>'TR TE'!$Q$37*'TR TE'!$Q$51</f>
        <v>252.3343776463162</v>
      </c>
      <c r="R37" s="37">
        <f>SUM($Q$37:$Q$37)</f>
        <v>252.3343776463162</v>
      </c>
      <c r="S37" s="37">
        <f>'TR TE'!$S$37*'TR TE'!$S$51</f>
        <v>0</v>
      </c>
      <c r="T37" s="37">
        <f>'TR TE'!$T$37*'TR TE'!$T$51</f>
        <v>0</v>
      </c>
      <c r="U37" s="37">
        <f>'TR TE'!$U$37*'TR TE'!$U$51</f>
        <v>0</v>
      </c>
      <c r="V37" s="37">
        <f>SUM($S$37:$U$37)</f>
        <v>0</v>
      </c>
      <c r="W37" s="37"/>
      <c r="X37" s="37">
        <f>SUM($W$37:$W$37)</f>
        <v>0</v>
      </c>
      <c r="Y37" s="37">
        <f>'TR TE'!$Y$37*'TR TE'!$Y$51</f>
        <v>4.1643855593637626</v>
      </c>
      <c r="Z37" s="37">
        <f>SUM($Y$37:$Y$37)</f>
        <v>4.1643855593637626</v>
      </c>
      <c r="AA37" s="37">
        <f>SUMIF($L$4:$Z$4,"SUBTOTAL",$L$37:$Z$37)</f>
        <v>282.97049317218534</v>
      </c>
    </row>
    <row r="38" spans="1:27" ht="11.25" customHeight="1" x14ac:dyDescent="0.25">
      <c r="A38" s="135" t="s">
        <v>41</v>
      </c>
      <c r="B38" s="135" t="s">
        <v>85</v>
      </c>
      <c r="C38" s="135" t="s">
        <v>25</v>
      </c>
      <c r="D38" s="135" t="s">
        <v>25</v>
      </c>
      <c r="E38" s="135" t="s">
        <v>25</v>
      </c>
      <c r="F38" s="135" t="s">
        <v>25</v>
      </c>
      <c r="G38" s="39" t="s">
        <v>87</v>
      </c>
      <c r="H38" s="39" t="s">
        <v>86</v>
      </c>
      <c r="I38" s="39">
        <f>'MERCADO TE'!$U$35</f>
        <v>159.50200000000001</v>
      </c>
      <c r="J38" s="18"/>
      <c r="L38" s="37">
        <f>'TR TE'!$L$38*'TR TE'!$L$51</f>
        <v>2.8946314223129863</v>
      </c>
      <c r="M38" s="37">
        <f>'TR TE'!$M$38*'TR TE'!$M$51</f>
        <v>11.033150811136956</v>
      </c>
      <c r="N38" s="37">
        <f>'TR TE'!$N$38*'TR TE'!$N$51</f>
        <v>0</v>
      </c>
      <c r="O38" s="37">
        <f>'TR TE'!$O$38*'TR TE'!$O$51</f>
        <v>12.543947733055418</v>
      </c>
      <c r="P38" s="37">
        <f>SUM($L$38:$O$38)</f>
        <v>26.471729966505361</v>
      </c>
      <c r="Q38" s="37">
        <f>'TR TE'!$Q$38*'TR TE'!$Q$51</f>
        <v>409.44823542609799</v>
      </c>
      <c r="R38" s="37">
        <f>SUM($Q$38:$Q$38)</f>
        <v>409.44823542609799</v>
      </c>
      <c r="S38" s="37">
        <f>'TR TE'!$S$38*'TR TE'!$S$51</f>
        <v>0</v>
      </c>
      <c r="T38" s="37">
        <f>'TR TE'!$T$38*'TR TE'!$T$51</f>
        <v>0</v>
      </c>
      <c r="U38" s="37">
        <f>'TR TE'!$U$38*'TR TE'!$U$51</f>
        <v>0</v>
      </c>
      <c r="V38" s="37">
        <f>SUM($S$38:$U$38)</f>
        <v>0</v>
      </c>
      <c r="W38" s="37"/>
      <c r="X38" s="37">
        <f>SUM($W$38:$W$38)</f>
        <v>0</v>
      </c>
      <c r="Y38" s="37">
        <f>'TR TE'!$Y$38*'TR TE'!$Y$51</f>
        <v>4.1643855593637626</v>
      </c>
      <c r="Z38" s="37">
        <f>SUM($Y$38:$Y$38)</f>
        <v>4.1643855593637626</v>
      </c>
      <c r="AA38" s="37">
        <f>SUMIF($L$4:$Z$4,"SUBTOTAL",$L$38:$Z$38)</f>
        <v>440.08435095196711</v>
      </c>
    </row>
    <row r="39" spans="1:27" ht="11.25" customHeight="1" x14ac:dyDescent="0.25">
      <c r="A39" s="135"/>
      <c r="B39" s="135"/>
      <c r="C39" s="135"/>
      <c r="D39" s="135"/>
      <c r="E39" s="135"/>
      <c r="F39" s="135"/>
      <c r="G39" s="39" t="s">
        <v>98</v>
      </c>
      <c r="H39" s="39" t="s">
        <v>86</v>
      </c>
      <c r="I39" s="39">
        <f>'MERCADO TE'!$U$36</f>
        <v>89.802000000000007</v>
      </c>
      <c r="J39" s="18"/>
      <c r="L39" s="37">
        <f>'TR TE'!$L$39*'TR TE'!$L$51</f>
        <v>2.8946314223129863</v>
      </c>
      <c r="M39" s="37">
        <f>'TR TE'!$M$39*'TR TE'!$M$51</f>
        <v>11.033150811136956</v>
      </c>
      <c r="N39" s="37">
        <f>'TR TE'!$N$39*'TR TE'!$N$51</f>
        <v>0</v>
      </c>
      <c r="O39" s="37">
        <f>'TR TE'!$O$39*'TR TE'!$O$51</f>
        <v>12.543947733055418</v>
      </c>
      <c r="P39" s="37">
        <f>SUM($L$39:$O$39)</f>
        <v>26.471729966505361</v>
      </c>
      <c r="Q39" s="37">
        <f>'TR TE'!$Q$39*'TR TE'!$Q$51</f>
        <v>238.05129966633604</v>
      </c>
      <c r="R39" s="37">
        <f>SUM($Q$39:$Q$39)</f>
        <v>238.05129966633604</v>
      </c>
      <c r="S39" s="37">
        <f>'TR TE'!$S$39*'TR TE'!$S$51</f>
        <v>0</v>
      </c>
      <c r="T39" s="37">
        <f>'TR TE'!$T$39*'TR TE'!$T$51</f>
        <v>0</v>
      </c>
      <c r="U39" s="37">
        <f>'TR TE'!$U$39*'TR TE'!$U$51</f>
        <v>0</v>
      </c>
      <c r="V39" s="37">
        <f>SUM($S$39:$U$39)</f>
        <v>0</v>
      </c>
      <c r="W39" s="37"/>
      <c r="X39" s="37">
        <f>SUM($W$39:$W$39)</f>
        <v>0</v>
      </c>
      <c r="Y39" s="37">
        <f>'TR TE'!$Y$39*'TR TE'!$Y$51</f>
        <v>4.1643855593637626</v>
      </c>
      <c r="Z39" s="37">
        <f>SUM($Y$39:$Y$39)</f>
        <v>4.1643855593637626</v>
      </c>
      <c r="AA39" s="37">
        <f>SUMIF($L$4:$Z$4,"SUBTOTAL",$L$39:$Z$39)</f>
        <v>268.68741519220515</v>
      </c>
    </row>
    <row r="40" spans="1:27" ht="11.25" customHeight="1" x14ac:dyDescent="0.25">
      <c r="A40" s="135"/>
      <c r="B40" s="135"/>
      <c r="C40" s="135"/>
      <c r="D40" s="135"/>
      <c r="E40" s="135"/>
      <c r="F40" s="135"/>
      <c r="G40" s="39" t="s">
        <v>88</v>
      </c>
      <c r="H40" s="39" t="s">
        <v>86</v>
      </c>
      <c r="I40" s="39">
        <f>'MERCADO TE'!$U$37</f>
        <v>2507.7720000000004</v>
      </c>
      <c r="J40" s="18"/>
      <c r="L40" s="37">
        <f>'TR TE'!$L$40*'TR TE'!$L$51</f>
        <v>2.8946314223129863</v>
      </c>
      <c r="M40" s="37">
        <f>'TR TE'!$M$40*'TR TE'!$M$51</f>
        <v>11.033150811136956</v>
      </c>
      <c r="N40" s="37">
        <f>'TR TE'!$N$40*'TR TE'!$N$51</f>
        <v>0</v>
      </c>
      <c r="O40" s="37">
        <f>'TR TE'!$O$40*'TR TE'!$O$51</f>
        <v>12.543947733055418</v>
      </c>
      <c r="P40" s="37">
        <f>SUM($L$40:$O$40)</f>
        <v>26.471729966505361</v>
      </c>
      <c r="Q40" s="37">
        <f>'TR TE'!$Q$40*'TR TE'!$Q$51</f>
        <v>238.05129966633604</v>
      </c>
      <c r="R40" s="37">
        <f>SUM($Q$40:$Q$40)</f>
        <v>238.05129966633604</v>
      </c>
      <c r="S40" s="37">
        <f>'TR TE'!$S$40*'TR TE'!$S$51</f>
        <v>0</v>
      </c>
      <c r="T40" s="37">
        <f>'TR TE'!$T$40*'TR TE'!$T$51</f>
        <v>0</v>
      </c>
      <c r="U40" s="37">
        <f>'TR TE'!$U$40*'TR TE'!$U$51</f>
        <v>0</v>
      </c>
      <c r="V40" s="37">
        <f>SUM($S$40:$U$40)</f>
        <v>0</v>
      </c>
      <c r="W40" s="37"/>
      <c r="X40" s="37">
        <f>SUM($W$40:$W$40)</f>
        <v>0</v>
      </c>
      <c r="Y40" s="37">
        <f>'TR TE'!$Y$40*'TR TE'!$Y$51</f>
        <v>4.1643855593637626</v>
      </c>
      <c r="Z40" s="37">
        <f>SUM($Y$40:$Y$40)</f>
        <v>4.1643855593637626</v>
      </c>
      <c r="AA40" s="37">
        <f>SUMIF($L$4:$Z$4,"SUBTOTAL",$L$40:$Z$40)</f>
        <v>268.68741519220515</v>
      </c>
    </row>
    <row r="41" spans="1:27" ht="11.25" customHeight="1" x14ac:dyDescent="0.25">
      <c r="A41" s="135"/>
      <c r="B41" s="40" t="s">
        <v>94</v>
      </c>
      <c r="C41" s="40" t="s">
        <v>25</v>
      </c>
      <c r="D41" s="40" t="s">
        <v>25</v>
      </c>
      <c r="E41" s="40" t="s">
        <v>25</v>
      </c>
      <c r="F41" s="40" t="s">
        <v>25</v>
      </c>
      <c r="G41" s="39" t="s">
        <v>92</v>
      </c>
      <c r="H41" s="39" t="s">
        <v>86</v>
      </c>
      <c r="I41" s="39">
        <f>'MERCADO TE'!$U$38</f>
        <v>849619.68099999998</v>
      </c>
      <c r="J41" s="18"/>
      <c r="L41" s="37">
        <f>'TR TE'!$L$41*'TR TE'!$L$51</f>
        <v>2.8946314223129863</v>
      </c>
      <c r="M41" s="37">
        <f>'TR TE'!$M$41*'TR TE'!$M$51</f>
        <v>11.033150811136956</v>
      </c>
      <c r="N41" s="37">
        <f>'TR TE'!$N$41*'TR TE'!$N$51</f>
        <v>0</v>
      </c>
      <c r="O41" s="37">
        <f>'TR TE'!$O$41*'TR TE'!$O$51</f>
        <v>12.543947733055418</v>
      </c>
      <c r="P41" s="37">
        <f>SUM($L$41:$O$41)</f>
        <v>26.471729966505361</v>
      </c>
      <c r="Q41" s="37">
        <f>'TR TE'!$Q$41*'TR TE'!$Q$51</f>
        <v>252.3343776463162</v>
      </c>
      <c r="R41" s="37">
        <f>SUM($Q$41:$Q$41)</f>
        <v>252.3343776463162</v>
      </c>
      <c r="S41" s="37">
        <f>'TR TE'!$S$41*'TR TE'!$S$51</f>
        <v>0</v>
      </c>
      <c r="T41" s="37">
        <f>'TR TE'!$T$41*'TR TE'!$T$51</f>
        <v>0</v>
      </c>
      <c r="U41" s="37">
        <f>'TR TE'!$U$41*'TR TE'!$U$51</f>
        <v>0</v>
      </c>
      <c r="V41" s="37">
        <f>SUM($S$41:$U$41)</f>
        <v>0</v>
      </c>
      <c r="W41" s="37"/>
      <c r="X41" s="37">
        <f>SUM($W$41:$W$41)</f>
        <v>0</v>
      </c>
      <c r="Y41" s="37">
        <f>'TR TE'!$Y$41*'TR TE'!$Y$51</f>
        <v>4.1643855593637626</v>
      </c>
      <c r="Z41" s="37">
        <f>SUM($Y$41:$Y$41)</f>
        <v>4.1643855593637626</v>
      </c>
      <c r="AA41" s="37">
        <f>SUMIF($L$4:$Z$4,"SUBTOTAL",$L$41:$Z$41)</f>
        <v>282.97049317218534</v>
      </c>
    </row>
    <row r="42" spans="1:27" ht="11.25" customHeight="1" x14ac:dyDescent="0.25">
      <c r="A42" s="135"/>
      <c r="B42" s="40" t="s">
        <v>99</v>
      </c>
      <c r="C42" s="40" t="s">
        <v>25</v>
      </c>
      <c r="D42" s="40" t="s">
        <v>25</v>
      </c>
      <c r="E42" s="40" t="s">
        <v>25</v>
      </c>
      <c r="F42" s="40" t="s">
        <v>25</v>
      </c>
      <c r="G42" s="39" t="s">
        <v>92</v>
      </c>
      <c r="H42" s="39" t="s">
        <v>86</v>
      </c>
      <c r="I42" s="39">
        <f>'MERCADO TE'!$U$39</f>
        <v>0</v>
      </c>
      <c r="J42" s="18"/>
      <c r="L42" s="37">
        <f>'TR TE'!$L$42*'TR TE'!$L$51</f>
        <v>2.8946314223129863</v>
      </c>
      <c r="M42" s="37">
        <f>'TR TE'!$M$42*'TR TE'!$M$51</f>
        <v>11.033150811136956</v>
      </c>
      <c r="N42" s="37">
        <f>'TR TE'!$N$42*'TR TE'!$N$51</f>
        <v>0</v>
      </c>
      <c r="O42" s="37">
        <f>'TR TE'!$O$42*'TR TE'!$O$51</f>
        <v>12.543947733055418</v>
      </c>
      <c r="P42" s="37">
        <f>SUM($L$42:$O$42)</f>
        <v>26.471729966505361</v>
      </c>
      <c r="Q42" s="37">
        <f>'TR TE'!$Q$42*'TR TE'!$Q$51</f>
        <v>252.3343776463162</v>
      </c>
      <c r="R42" s="37">
        <f>SUM($Q$42:$Q$42)</f>
        <v>252.3343776463162</v>
      </c>
      <c r="S42" s="37">
        <f>'TR TE'!$S$42*'TR TE'!$S$51</f>
        <v>0</v>
      </c>
      <c r="T42" s="37">
        <f>'TR TE'!$T$42*'TR TE'!$T$51</f>
        <v>0</v>
      </c>
      <c r="U42" s="37">
        <f>'TR TE'!$U$42*'TR TE'!$U$51</f>
        <v>0</v>
      </c>
      <c r="V42" s="37">
        <f>SUM($S$42:$U$42)</f>
        <v>0</v>
      </c>
      <c r="W42" s="37"/>
      <c r="X42" s="37">
        <f>SUM($W$42:$W$42)</f>
        <v>0</v>
      </c>
      <c r="Y42" s="37">
        <f>'TR TE'!$Y$42*'TR TE'!$Y$51</f>
        <v>4.1643855593637626</v>
      </c>
      <c r="Z42" s="37">
        <f>SUM($Y$42:$Y$42)</f>
        <v>4.1643855593637626</v>
      </c>
      <c r="AA42" s="37">
        <f>SUMIF($L$4:$Z$4,"SUBTOTAL",$L$42:$Z$42)</f>
        <v>282.97049317218534</v>
      </c>
    </row>
    <row r="43" spans="1:27" ht="11.25" customHeight="1" x14ac:dyDescent="0.25">
      <c r="A43" s="135" t="s">
        <v>49</v>
      </c>
      <c r="B43" s="135" t="s">
        <v>94</v>
      </c>
      <c r="C43" s="135" t="s">
        <v>50</v>
      </c>
      <c r="D43" s="40" t="s">
        <v>51</v>
      </c>
      <c r="E43" s="40" t="s">
        <v>25</v>
      </c>
      <c r="F43" s="40" t="s">
        <v>25</v>
      </c>
      <c r="G43" s="39" t="s">
        <v>92</v>
      </c>
      <c r="H43" s="39" t="s">
        <v>86</v>
      </c>
      <c r="I43" s="39">
        <f>'MERCADO TE'!$U$40</f>
        <v>200182.10399999999</v>
      </c>
      <c r="J43" s="18"/>
      <c r="L43" s="37">
        <f>'TR TE'!$L$43*'TR TE'!$L$51</f>
        <v>1.5920472822721425</v>
      </c>
      <c r="M43" s="37">
        <f>'TR TE'!$M$43*'TR TE'!$M$51</f>
        <v>6.0682329461253266</v>
      </c>
      <c r="N43" s="37">
        <f>'TR TE'!$N$43*'TR TE'!$N$51</f>
        <v>0</v>
      </c>
      <c r="O43" s="37">
        <f>'TR TE'!$O$43*'TR TE'!$O$51</f>
        <v>6.899171253180481</v>
      </c>
      <c r="P43" s="37">
        <f>SUM($L$43:$O$43)</f>
        <v>14.55945148157795</v>
      </c>
      <c r="Q43" s="37">
        <f>'TR TE'!$Q$43*'TR TE'!$Q$51</f>
        <v>138.78390770547392</v>
      </c>
      <c r="R43" s="37">
        <f>SUM($Q$43:$Q$43)</f>
        <v>138.78390770547392</v>
      </c>
      <c r="S43" s="37">
        <f>'TR TE'!$S$43*'TR TE'!$S$51</f>
        <v>0</v>
      </c>
      <c r="T43" s="37">
        <f>'TR TE'!$T$43*'TR TE'!$T$51</f>
        <v>0</v>
      </c>
      <c r="U43" s="37">
        <f>'TR TE'!$U$43*'TR TE'!$U$51</f>
        <v>0</v>
      </c>
      <c r="V43" s="37">
        <f>SUM($S$43:$U$43)</f>
        <v>0</v>
      </c>
      <c r="W43" s="37"/>
      <c r="X43" s="37">
        <f>SUM($W$43:$W$43)</f>
        <v>0</v>
      </c>
      <c r="Y43" s="37">
        <f>'TR TE'!$Y$43*'TR TE'!$Y$51</f>
        <v>2.2904120576500695</v>
      </c>
      <c r="Z43" s="37">
        <f>SUM($Y$43:$Y$43)</f>
        <v>2.2904120576500695</v>
      </c>
      <c r="AA43" s="37">
        <f>SUMIF($L$4:$Z$4,"SUBTOTAL",$L$43:$Z$43)</f>
        <v>155.63377124470193</v>
      </c>
    </row>
    <row r="44" spans="1:27" ht="11.25" customHeight="1" x14ac:dyDescent="0.25">
      <c r="A44" s="135"/>
      <c r="B44" s="135"/>
      <c r="C44" s="135"/>
      <c r="D44" s="39" t="s">
        <v>102</v>
      </c>
      <c r="E44" s="39" t="s">
        <v>25</v>
      </c>
      <c r="F44" s="39" t="s">
        <v>25</v>
      </c>
      <c r="G44" s="39" t="s">
        <v>92</v>
      </c>
      <c r="H44" s="39" t="s">
        <v>86</v>
      </c>
      <c r="I44" s="39">
        <f>'MERCADO TE'!$U$41</f>
        <v>0</v>
      </c>
      <c r="J44" s="18"/>
      <c r="L44" s="37">
        <f>'TR TE'!$L$44*'TR TE'!$L$51</f>
        <v>1.7367788533877917</v>
      </c>
      <c r="M44" s="37">
        <f>'TR TE'!$M$44*'TR TE'!$M$51</f>
        <v>6.6198904866821735</v>
      </c>
      <c r="N44" s="37">
        <f>'TR TE'!$N$44*'TR TE'!$N$51</f>
        <v>0</v>
      </c>
      <c r="O44" s="37">
        <f>'TR TE'!$O$44*'TR TE'!$O$51</f>
        <v>7.526368639833251</v>
      </c>
      <c r="P44" s="37">
        <f>SUM($L$44:$O$44)</f>
        <v>15.883037979903216</v>
      </c>
      <c r="Q44" s="37">
        <f>'TR TE'!$Q$44*'TR TE'!$Q$51</f>
        <v>151.40062658778973</v>
      </c>
      <c r="R44" s="37">
        <f>SUM($Q$44:$Q$44)</f>
        <v>151.40062658778973</v>
      </c>
      <c r="S44" s="37">
        <f>'TR TE'!$S$44*'TR TE'!$S$51</f>
        <v>0</v>
      </c>
      <c r="T44" s="37">
        <f>'TR TE'!$T$44*'TR TE'!$T$51</f>
        <v>0</v>
      </c>
      <c r="U44" s="37">
        <f>'TR TE'!$U$44*'TR TE'!$U$51</f>
        <v>0</v>
      </c>
      <c r="V44" s="37">
        <f>SUM($S$44:$U$44)</f>
        <v>0</v>
      </c>
      <c r="W44" s="37"/>
      <c r="X44" s="37">
        <f>SUM($W$44:$W$44)</f>
        <v>0</v>
      </c>
      <c r="Y44" s="37">
        <f>'TR TE'!$Y$44*'TR TE'!$Y$51</f>
        <v>2.4986313356182577</v>
      </c>
      <c r="Z44" s="37">
        <f>SUM($Y$44:$Y$44)</f>
        <v>2.4986313356182577</v>
      </c>
      <c r="AA44" s="37">
        <f>SUMIF($L$4:$Z$4,"SUBTOTAL",$L$44:$Z$44)</f>
        <v>169.78229590331119</v>
      </c>
    </row>
    <row r="46" spans="1:27" ht="11.25" customHeight="1" x14ac:dyDescent="0.25">
      <c r="K46" s="42" t="s">
        <v>768</v>
      </c>
      <c r="L46" s="37">
        <f t="shared" ref="L46:AA46" si="0">SUMPRODUCT($I$5:$I$44,L$5:L$44)</f>
        <v>12512932.859588206</v>
      </c>
      <c r="M46" s="37">
        <f t="shared" si="0"/>
        <v>47694181.119319119</v>
      </c>
      <c r="N46" s="37">
        <f t="shared" si="0"/>
        <v>0</v>
      </c>
      <c r="O46" s="37">
        <f t="shared" si="0"/>
        <v>54225064.568836965</v>
      </c>
      <c r="P46" s="37">
        <f t="shared" si="0"/>
        <v>114432178.54774427</v>
      </c>
      <c r="Q46" s="37">
        <f t="shared" si="0"/>
        <v>1088711363.8414388</v>
      </c>
      <c r="R46" s="37">
        <f t="shared" si="0"/>
        <v>1088711363.8414388</v>
      </c>
      <c r="S46" s="37">
        <f t="shared" si="0"/>
        <v>0</v>
      </c>
      <c r="T46" s="37">
        <f t="shared" si="0"/>
        <v>0</v>
      </c>
      <c r="U46" s="37">
        <f t="shared" si="0"/>
        <v>0</v>
      </c>
      <c r="V46" s="37">
        <f t="shared" si="0"/>
        <v>0</v>
      </c>
      <c r="W46" s="37">
        <f t="shared" si="0"/>
        <v>0</v>
      </c>
      <c r="X46" s="37">
        <f t="shared" si="0"/>
        <v>0</v>
      </c>
      <c r="Y46" s="37">
        <f t="shared" si="0"/>
        <v>18001834.880974039</v>
      </c>
      <c r="Z46" s="37">
        <f t="shared" si="0"/>
        <v>18001834.880974039</v>
      </c>
      <c r="AA46" s="37">
        <f t="shared" si="0"/>
        <v>1221145377.2701571</v>
      </c>
    </row>
    <row r="47" spans="1:27" ht="11.25" customHeight="1" x14ac:dyDescent="0.25">
      <c r="K47" s="42" t="s">
        <v>687</v>
      </c>
      <c r="L47" s="37">
        <f>CUSTOS!$D$30</f>
        <v>12512932.859588204</v>
      </c>
      <c r="M47" s="37">
        <f>CUSTOS!$D$31</f>
        <v>47694181.119319111</v>
      </c>
      <c r="N47" s="37">
        <f>CUSTOS!$D$32</f>
        <v>0</v>
      </c>
      <c r="O47" s="37">
        <f>CUSTOS!$D$33</f>
        <v>54225064.56883698</v>
      </c>
      <c r="P47" s="37">
        <f>CUSTOS!$D$34</f>
        <v>114432178.5477443</v>
      </c>
      <c r="Q47" s="37">
        <f>CUSTOS!$D$35</f>
        <v>1088711363.8414388</v>
      </c>
      <c r="R47" s="37">
        <f>CUSTOS!$D$36</f>
        <v>1088711363.8414388</v>
      </c>
      <c r="S47" s="37">
        <f>CUSTOS!$D$37</f>
        <v>0</v>
      </c>
      <c r="T47" s="37">
        <f>CUSTOS!$D$38</f>
        <v>0</v>
      </c>
      <c r="U47" s="37">
        <f>CUSTOS!$D$39</f>
        <v>0</v>
      </c>
      <c r="V47" s="37">
        <f>CUSTOS!$D$40</f>
        <v>0</v>
      </c>
      <c r="W47" s="37">
        <f>CUSTOS!$D$41</f>
        <v>0</v>
      </c>
      <c r="X47" s="37">
        <f>CUSTOS!$D$42</f>
        <v>0</v>
      </c>
      <c r="Y47" s="37">
        <f>CUSTOS!$D$43</f>
        <v>18001834.880974047</v>
      </c>
      <c r="Z47" s="37">
        <f>CUSTOS!$D$44</f>
        <v>18001834.880974047</v>
      </c>
      <c r="AA47" s="37">
        <f>CUSTOS!$D$45</f>
        <v>1221145377.2701571</v>
      </c>
    </row>
    <row r="48" spans="1:27" ht="11.25" customHeight="1" x14ac:dyDescent="0.25">
      <c r="K48" s="42" t="s">
        <v>688</v>
      </c>
      <c r="L48" s="37">
        <f>CUSTOS!$E$30</f>
        <v>-48.949027468401006</v>
      </c>
      <c r="M48" s="37">
        <f>CUSTOS!$E$31</f>
        <v>-56055797.563964814</v>
      </c>
      <c r="N48" s="37">
        <f>CUSTOS!$E$32</f>
        <v>0</v>
      </c>
      <c r="O48" s="37">
        <f>CUSTOS!$E$33</f>
        <v>-1621231.8059110977</v>
      </c>
      <c r="P48" s="37">
        <f>CUSTOS!$E$34</f>
        <v>-57677078.318903387</v>
      </c>
      <c r="Q48" s="37">
        <f>CUSTOS!$E$35</f>
        <v>-99229871.717498198</v>
      </c>
      <c r="R48" s="37">
        <f>CUSTOS!$E$36</f>
        <v>-99229871.717498198</v>
      </c>
      <c r="S48" s="37">
        <f>CUSTOS!$E$37</f>
        <v>0</v>
      </c>
      <c r="T48" s="37">
        <f>CUSTOS!$E$38</f>
        <v>0</v>
      </c>
      <c r="U48" s="37">
        <f>CUSTOS!$E$39</f>
        <v>0</v>
      </c>
      <c r="V48" s="37">
        <f>CUSTOS!$E$40</f>
        <v>0</v>
      </c>
      <c r="W48" s="37">
        <f>CUSTOS!$E$41</f>
        <v>0</v>
      </c>
      <c r="X48" s="37">
        <f>CUSTOS!$E$42</f>
        <v>0</v>
      </c>
      <c r="Y48" s="37">
        <f>CUSTOS!$E$43</f>
        <v>-1640765.2434303062</v>
      </c>
      <c r="Z48" s="37">
        <f>CUSTOS!$E$44</f>
        <v>-1640765.2434303062</v>
      </c>
      <c r="AA48" s="37">
        <f>CUSTOS!$E$45</f>
        <v>-158547715.27983189</v>
      </c>
    </row>
    <row r="49" spans="11:27" ht="11.25" customHeight="1" x14ac:dyDescent="0.25">
      <c r="K49" s="42" t="s">
        <v>689</v>
      </c>
      <c r="L49" s="37">
        <f>CUSTOS!$F$30</f>
        <v>0</v>
      </c>
      <c r="M49" s="37">
        <f>CUSTOS!$F$31</f>
        <v>121739537.68676871</v>
      </c>
      <c r="N49" s="37">
        <f>CUSTOS!$F$32</f>
        <v>0</v>
      </c>
      <c r="O49" s="37">
        <f>CUSTOS!$F$33</f>
        <v>-2635928.2517941808</v>
      </c>
      <c r="P49" s="37">
        <f>CUSTOS!$F$34</f>
        <v>119103609.43497454</v>
      </c>
      <c r="Q49" s="37">
        <f>CUSTOS!$F$35</f>
        <v>99320276.086431906</v>
      </c>
      <c r="R49" s="37">
        <f>CUSTOS!$F$36</f>
        <v>99320276.086431906</v>
      </c>
      <c r="S49" s="37">
        <f>CUSTOS!$F$37</f>
        <v>0</v>
      </c>
      <c r="T49" s="37">
        <f>CUSTOS!$F$38</f>
        <v>0</v>
      </c>
      <c r="U49" s="37">
        <f>CUSTOS!$F$39</f>
        <v>0</v>
      </c>
      <c r="V49" s="37">
        <f>CUSTOS!$F$40</f>
        <v>0</v>
      </c>
      <c r="W49" s="37">
        <f>CUSTOS!$F$41</f>
        <v>0</v>
      </c>
      <c r="X49" s="37">
        <f>CUSTOS!$F$42</f>
        <v>0</v>
      </c>
      <c r="Y49" s="37">
        <f>CUSTOS!$F$43</f>
        <v>1642260.0790461677</v>
      </c>
      <c r="Z49" s="37">
        <f>CUSTOS!$F$44</f>
        <v>1642260.0790461677</v>
      </c>
      <c r="AA49" s="37">
        <f>CUSTOS!$F$45</f>
        <v>220066145.6004526</v>
      </c>
    </row>
    <row r="50" spans="11:27" ht="11.25" customHeight="1" x14ac:dyDescent="0.25">
      <c r="K50" s="42" t="s">
        <v>769</v>
      </c>
      <c r="L50" s="37">
        <f>'TR TE'!$L$50*L51</f>
        <v>-1.132343588762435E-5</v>
      </c>
      <c r="M50" s="37">
        <f>'TR TE'!$M$50*M51</f>
        <v>-12.967453342254109</v>
      </c>
      <c r="N50" s="37">
        <f>'TR TE'!$N$50*N51</f>
        <v>0</v>
      </c>
      <c r="O50" s="37">
        <f>'TR TE'!$O$50*O51</f>
        <v>-0.37504145358276403</v>
      </c>
      <c r="P50" s="37"/>
      <c r="Q50" s="37">
        <f>'TR TE'!$Q$50*Q51</f>
        <v>-22.83433791967509</v>
      </c>
      <c r="R50" s="37"/>
      <c r="S50" s="37">
        <f>'TR TE'!$S$50*S51</f>
        <v>0</v>
      </c>
      <c r="T50" s="37">
        <f>'TR TE'!$T$50*T51</f>
        <v>0</v>
      </c>
      <c r="U50" s="37">
        <f>'TR TE'!$U$50*U51</f>
        <v>0</v>
      </c>
      <c r="V50" s="37"/>
      <c r="W50" s="37"/>
      <c r="X50" s="37"/>
      <c r="Y50" s="37">
        <f>'TR TE'!$Y$50*Y51</f>
        <v>-0.37956014657531545</v>
      </c>
      <c r="Z50" s="37"/>
      <c r="AA50" s="37"/>
    </row>
    <row r="51" spans="11:27" ht="11.25" customHeight="1" x14ac:dyDescent="0.25">
      <c r="K51" s="42" t="s">
        <v>756</v>
      </c>
      <c r="L51" s="37">
        <f>IF(L47&lt;&gt;0,L48/L47,0)</f>
        <v>-3.9118748592096179E-6</v>
      </c>
      <c r="M51" s="37">
        <f>IF(M47&lt;&gt;0,M48/M47,0)</f>
        <v>-1.1753173290411885</v>
      </c>
      <c r="N51" s="37">
        <f>IF(N47&lt;&gt;0,N48/N47,0)</f>
        <v>0</v>
      </c>
      <c r="O51" s="37">
        <f>IF(O47&lt;&gt;0,O48/O47,0)</f>
        <v>-2.9898199638895697E-2</v>
      </c>
      <c r="P51" s="37"/>
      <c r="Q51" s="37">
        <f>IF(Q47&lt;&gt;0,Q48/Q47,0)</f>
        <v>-9.1144333579262757E-2</v>
      </c>
      <c r="R51" s="37"/>
      <c r="S51" s="37">
        <f>IF(S47&lt;&gt;0,S48/S47,0)</f>
        <v>0</v>
      </c>
      <c r="T51" s="37">
        <f>IF(T47&lt;&gt;0,T48/T47,0)</f>
        <v>0</v>
      </c>
      <c r="U51" s="37">
        <f>IF(U47&lt;&gt;0,U48/U47,0)</f>
        <v>0</v>
      </c>
      <c r="V51" s="37"/>
      <c r="W51" s="37">
        <f>IF(($AA47-0)&lt;&gt;0,W48/($AA47-0),0)</f>
        <v>0</v>
      </c>
      <c r="X51" s="37"/>
      <c r="Y51" s="37">
        <f>IF(Y47&lt;&gt;0,Y48/Y47,0)</f>
        <v>-9.1144333579262743E-2</v>
      </c>
      <c r="Z51" s="37"/>
      <c r="AA51" s="37"/>
    </row>
    <row r="52" spans="11:27" ht="11.25" customHeight="1" x14ac:dyDescent="0.25">
      <c r="K52" s="42" t="s">
        <v>771</v>
      </c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</row>
  </sheetData>
  <mergeCells count="67">
    <mergeCell ref="E38:E40"/>
    <mergeCell ref="F38:F40"/>
    <mergeCell ref="A43:A44"/>
    <mergeCell ref="B43:B44"/>
    <mergeCell ref="C43:C44"/>
    <mergeCell ref="D38:D40"/>
    <mergeCell ref="B35:B37"/>
    <mergeCell ref="C35:C37"/>
    <mergeCell ref="A38:A42"/>
    <mergeCell ref="B38:B40"/>
    <mergeCell ref="C38:C40"/>
    <mergeCell ref="A23:A37"/>
    <mergeCell ref="B23:B25"/>
    <mergeCell ref="C23:C25"/>
    <mergeCell ref="B31:B33"/>
    <mergeCell ref="C31:C33"/>
    <mergeCell ref="B27:B29"/>
    <mergeCell ref="C27:C29"/>
    <mergeCell ref="D31:D33"/>
    <mergeCell ref="E31:E33"/>
    <mergeCell ref="F31:F33"/>
    <mergeCell ref="D23:D25"/>
    <mergeCell ref="E23:E25"/>
    <mergeCell ref="F23:F25"/>
    <mergeCell ref="D27:D29"/>
    <mergeCell ref="E27:E29"/>
    <mergeCell ref="F27:F29"/>
    <mergeCell ref="A10:A22"/>
    <mergeCell ref="B10:B12"/>
    <mergeCell ref="C10:C12"/>
    <mergeCell ref="D10:D12"/>
    <mergeCell ref="E10:E12"/>
    <mergeCell ref="F10:F12"/>
    <mergeCell ref="B13:B17"/>
    <mergeCell ref="C13:C17"/>
    <mergeCell ref="B18:B22"/>
    <mergeCell ref="C18:C22"/>
    <mergeCell ref="A7:A9"/>
    <mergeCell ref="B7:B8"/>
    <mergeCell ref="C7:C8"/>
    <mergeCell ref="D7:D8"/>
    <mergeCell ref="E7:E8"/>
    <mergeCell ref="F7:F8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  <mergeCell ref="A1:A4"/>
    <mergeCell ref="B1:B4"/>
    <mergeCell ref="C1:C4"/>
    <mergeCell ref="D1:D4"/>
    <mergeCell ref="E1:E4"/>
    <mergeCell ref="F1:F4"/>
  </mergeCells>
  <conditionalFormatting sqref="L46">
    <cfRule type="cellIs" dxfId="1150" priority="31" operator="notEqual">
      <formula>$L$47</formula>
    </cfRule>
    <cfRule type="cellIs" dxfId="1149" priority="32" operator="equal">
      <formula>$L$47</formula>
    </cfRule>
  </conditionalFormatting>
  <conditionalFormatting sqref="M46">
    <cfRule type="cellIs" dxfId="1148" priority="29" operator="notEqual">
      <formula>$M$47</formula>
    </cfRule>
    <cfRule type="cellIs" dxfId="1147" priority="30" operator="equal">
      <formula>$M$47</formula>
    </cfRule>
  </conditionalFormatting>
  <conditionalFormatting sqref="N46">
    <cfRule type="cellIs" dxfId="1146" priority="27" operator="notEqual">
      <formula>$N$47</formula>
    </cfRule>
    <cfRule type="cellIs" dxfId="1145" priority="28" operator="equal">
      <formula>$N$47</formula>
    </cfRule>
  </conditionalFormatting>
  <conditionalFormatting sqref="O46">
    <cfRule type="cellIs" dxfId="1144" priority="25" operator="notEqual">
      <formula>$O$47</formula>
    </cfRule>
    <cfRule type="cellIs" dxfId="1143" priority="26" operator="equal">
      <formula>$O$47</formula>
    </cfRule>
  </conditionalFormatting>
  <conditionalFormatting sqref="P46">
    <cfRule type="cellIs" dxfId="1142" priority="23" operator="notEqual">
      <formula>$P$47</formula>
    </cfRule>
    <cfRule type="cellIs" dxfId="1141" priority="24" operator="equal">
      <formula>$P$47</formula>
    </cfRule>
  </conditionalFormatting>
  <conditionalFormatting sqref="Q46">
    <cfRule type="cellIs" dxfId="1140" priority="21" operator="notEqual">
      <formula>$Q$47</formula>
    </cfRule>
    <cfRule type="cellIs" dxfId="1139" priority="22" operator="equal">
      <formula>$Q$47</formula>
    </cfRule>
  </conditionalFormatting>
  <conditionalFormatting sqref="R46">
    <cfRule type="cellIs" dxfId="1138" priority="19" operator="notEqual">
      <formula>$R$47</formula>
    </cfRule>
    <cfRule type="cellIs" dxfId="1137" priority="20" operator="equal">
      <formula>$R$47</formula>
    </cfRule>
  </conditionalFormatting>
  <conditionalFormatting sqref="S46">
    <cfRule type="cellIs" dxfId="1136" priority="17" operator="notEqual">
      <formula>$S$47</formula>
    </cfRule>
    <cfRule type="cellIs" dxfId="1135" priority="18" operator="equal">
      <formula>$S$47</formula>
    </cfRule>
  </conditionalFormatting>
  <conditionalFormatting sqref="T46">
    <cfRule type="cellIs" dxfId="1134" priority="15" operator="notEqual">
      <formula>$T$47</formula>
    </cfRule>
    <cfRule type="cellIs" dxfId="1133" priority="16" operator="equal">
      <formula>$T$47</formula>
    </cfRule>
  </conditionalFormatting>
  <conditionalFormatting sqref="U46">
    <cfRule type="cellIs" dxfId="1132" priority="13" operator="notEqual">
      <formula>$U$47</formula>
    </cfRule>
    <cfRule type="cellIs" dxfId="1131" priority="14" operator="equal">
      <formula>$U$47</formula>
    </cfRule>
  </conditionalFormatting>
  <conditionalFormatting sqref="V46">
    <cfRule type="cellIs" dxfId="1130" priority="11" operator="notEqual">
      <formula>$V$47</formula>
    </cfRule>
    <cfRule type="cellIs" dxfId="1129" priority="12" operator="equal">
      <formula>$V$47</formula>
    </cfRule>
  </conditionalFormatting>
  <conditionalFormatting sqref="W46">
    <cfRule type="cellIs" dxfId="1128" priority="9" operator="notEqual">
      <formula>$W$47</formula>
    </cfRule>
    <cfRule type="cellIs" dxfId="1127" priority="10" operator="equal">
      <formula>$W$47</formula>
    </cfRule>
  </conditionalFormatting>
  <conditionalFormatting sqref="X46">
    <cfRule type="cellIs" dxfId="1126" priority="7" operator="notEqual">
      <formula>$X$47</formula>
    </cfRule>
    <cfRule type="cellIs" dxfId="1125" priority="8" operator="equal">
      <formula>$X$47</formula>
    </cfRule>
  </conditionalFormatting>
  <conditionalFormatting sqref="Y46">
    <cfRule type="cellIs" dxfId="1124" priority="5" operator="notEqual">
      <formula>$Y$47</formula>
    </cfRule>
    <cfRule type="cellIs" dxfId="1123" priority="6" operator="equal">
      <formula>$Y$47</formula>
    </cfRule>
  </conditionalFormatting>
  <conditionalFormatting sqref="Z46">
    <cfRule type="cellIs" dxfId="1122" priority="3" operator="notEqual">
      <formula>$Z$47</formula>
    </cfRule>
    <cfRule type="cellIs" dxfId="1121" priority="4" operator="equal">
      <formula>$Z$47</formula>
    </cfRule>
  </conditionalFormatting>
  <conditionalFormatting sqref="AA46">
    <cfRule type="cellIs" dxfId="1120" priority="1" operator="notEqual">
      <formula>$AA$47</formula>
    </cfRule>
    <cfRule type="cellIs" dxfId="1119" priority="2" operator="equal">
      <formula>$AA$47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3C2D2-3400-4748-B397-84001186A49F}">
  <dimension ref="A1:AA52"/>
  <sheetViews>
    <sheetView showGridLines="0" topLeftCell="P33" workbookViewId="0">
      <selection activeCell="AA46" sqref="AA46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20" style="9" bestFit="1" customWidth="1"/>
    <col min="12" max="12" width="10.85546875" style="9" bestFit="1" customWidth="1"/>
    <col min="13" max="13" width="11.7109375" style="9" bestFit="1" customWidth="1"/>
    <col min="14" max="14" width="10" style="9" bestFit="1" customWidth="1"/>
    <col min="15" max="15" width="11.140625" style="9" bestFit="1" customWidth="1"/>
    <col min="16" max="16" width="11.7109375" style="9" bestFit="1" customWidth="1"/>
    <col min="17" max="17" width="15" style="9" bestFit="1" customWidth="1"/>
    <col min="18" max="18" width="13.140625" style="9" bestFit="1" customWidth="1"/>
    <col min="19" max="19" width="10" style="9" bestFit="1" customWidth="1"/>
    <col min="20" max="20" width="10.42578125" style="9" bestFit="1" customWidth="1"/>
    <col min="21" max="21" width="10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10.85546875" style="9" bestFit="1" customWidth="1"/>
    <col min="27" max="27" width="13.140625" style="9" bestFit="1" customWidth="1"/>
    <col min="28" max="16384" width="9.140625" style="9"/>
  </cols>
  <sheetData>
    <row r="1" spans="1:27" ht="11.25" customHeight="1" x14ac:dyDescent="0.25">
      <c r="A1" s="134" t="s">
        <v>76</v>
      </c>
      <c r="B1" s="134" t="s">
        <v>77</v>
      </c>
      <c r="C1" s="134" t="s">
        <v>78</v>
      </c>
      <c r="D1" s="134" t="s">
        <v>79</v>
      </c>
      <c r="E1" s="134" t="s">
        <v>80</v>
      </c>
      <c r="F1" s="134" t="s">
        <v>15</v>
      </c>
      <c r="G1" s="134" t="s">
        <v>82</v>
      </c>
      <c r="H1" s="134" t="s">
        <v>83</v>
      </c>
      <c r="I1" s="134" t="s">
        <v>746</v>
      </c>
      <c r="J1" s="113"/>
      <c r="L1" s="132" t="s">
        <v>773</v>
      </c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</row>
    <row r="2" spans="1:27" ht="11.25" customHeight="1" x14ac:dyDescent="0.25">
      <c r="A2" s="134"/>
      <c r="B2" s="134"/>
      <c r="C2" s="134"/>
      <c r="D2" s="134"/>
      <c r="E2" s="134"/>
      <c r="F2" s="134"/>
      <c r="G2" s="134"/>
      <c r="H2" s="134"/>
      <c r="I2" s="134"/>
      <c r="J2" s="113"/>
      <c r="L2" s="132" t="s">
        <v>674</v>
      </c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</row>
    <row r="3" spans="1:27" ht="11.25" customHeight="1" x14ac:dyDescent="0.25">
      <c r="A3" s="134"/>
      <c r="B3" s="134"/>
      <c r="C3" s="134"/>
      <c r="D3" s="134"/>
      <c r="E3" s="134"/>
      <c r="F3" s="134"/>
      <c r="G3" s="134"/>
      <c r="H3" s="134"/>
      <c r="I3" s="134"/>
      <c r="J3" s="113"/>
      <c r="L3" s="132" t="s">
        <v>647</v>
      </c>
      <c r="M3" s="132"/>
      <c r="N3" s="132"/>
      <c r="O3" s="132"/>
      <c r="P3" s="132"/>
      <c r="Q3" s="132" t="s">
        <v>677</v>
      </c>
      <c r="R3" s="132"/>
      <c r="S3" s="132" t="s">
        <v>656</v>
      </c>
      <c r="T3" s="132"/>
      <c r="U3" s="132"/>
      <c r="V3" s="132"/>
      <c r="W3" s="132" t="s">
        <v>666</v>
      </c>
      <c r="X3" s="132"/>
      <c r="Y3" s="132" t="s">
        <v>669</v>
      </c>
      <c r="Z3" s="132"/>
      <c r="AA3" s="132" t="s">
        <v>655</v>
      </c>
    </row>
    <row r="4" spans="1:27" ht="11.25" customHeight="1" x14ac:dyDescent="0.25">
      <c r="A4" s="134"/>
      <c r="B4" s="134"/>
      <c r="C4" s="134"/>
      <c r="D4" s="134"/>
      <c r="E4" s="134"/>
      <c r="F4" s="134"/>
      <c r="G4" s="134"/>
      <c r="H4" s="134"/>
      <c r="I4" s="134"/>
      <c r="J4" s="113"/>
      <c r="L4" s="43" t="s">
        <v>649</v>
      </c>
      <c r="M4" s="43" t="s">
        <v>675</v>
      </c>
      <c r="N4" s="43" t="s">
        <v>676</v>
      </c>
      <c r="O4" s="43" t="s">
        <v>734</v>
      </c>
      <c r="P4" s="43" t="s">
        <v>655</v>
      </c>
      <c r="Q4" s="43" t="s">
        <v>678</v>
      </c>
      <c r="R4" s="43" t="s">
        <v>655</v>
      </c>
      <c r="S4" s="43" t="s">
        <v>679</v>
      </c>
      <c r="T4" s="43" t="s">
        <v>680</v>
      </c>
      <c r="U4" s="43" t="s">
        <v>681</v>
      </c>
      <c r="V4" s="43" t="s">
        <v>655</v>
      </c>
      <c r="W4" s="43" t="s">
        <v>667</v>
      </c>
      <c r="X4" s="43" t="s">
        <v>655</v>
      </c>
      <c r="Y4" s="43" t="s">
        <v>682</v>
      </c>
      <c r="Z4" s="43" t="s">
        <v>655</v>
      </c>
      <c r="AA4" s="133"/>
    </row>
    <row r="5" spans="1:27" ht="11.25" customHeight="1" x14ac:dyDescent="0.25">
      <c r="A5" s="135" t="s">
        <v>43</v>
      </c>
      <c r="B5" s="135" t="s">
        <v>85</v>
      </c>
      <c r="C5" s="135" t="s">
        <v>25</v>
      </c>
      <c r="D5" s="135" t="s">
        <v>25</v>
      </c>
      <c r="E5" s="135" t="s">
        <v>25</v>
      </c>
      <c r="F5" s="135" t="s">
        <v>25</v>
      </c>
      <c r="G5" s="39" t="s">
        <v>87</v>
      </c>
      <c r="H5" s="39" t="s">
        <v>86</v>
      </c>
      <c r="I5" s="39">
        <f>'MERCADO TE'!$U$2</f>
        <v>5001.2520000000004</v>
      </c>
      <c r="J5" s="18"/>
      <c r="L5" s="37">
        <f>'TE BE'!$L$5*'TE BE'!$L$51</f>
        <v>-1.132343588762435E-5</v>
      </c>
      <c r="M5" s="37">
        <f>'TE BE'!$M$5*'TE BE'!$M$51</f>
        <v>-12.967453342254109</v>
      </c>
      <c r="N5" s="37">
        <f>'TE BE'!$N$5*'TE BE'!$N$51</f>
        <v>0</v>
      </c>
      <c r="O5" s="37">
        <f>'TE BE'!$O$5*'TE BE'!$O$51</f>
        <v>-0.37504145358276403</v>
      </c>
      <c r="P5" s="37">
        <f>SUM($L$5:$O$5)</f>
        <v>-13.342506119272761</v>
      </c>
      <c r="Q5" s="37">
        <f>'TE BE'!$Q$5*'TE BE'!$Q$51</f>
        <v>-37.318886553116783</v>
      </c>
      <c r="R5" s="37">
        <f>SUM($Q$5:$Q$5)</f>
        <v>-37.318886553116783</v>
      </c>
      <c r="S5" s="37">
        <f>'TE BE'!$S$5*'TE BE'!$S$51</f>
        <v>0</v>
      </c>
      <c r="T5" s="37">
        <f>'TE BE'!$T$5*'TE BE'!$T$51</f>
        <v>0</v>
      </c>
      <c r="U5" s="37">
        <f>'TE BE'!$U$5*'TE BE'!$U$51</f>
        <v>0</v>
      </c>
      <c r="V5" s="37">
        <f>SUM($S$5:$U$5)</f>
        <v>0</v>
      </c>
      <c r="W5" s="37">
        <f>'TE BE'!$AA$5*'TE BE'!$W$51</f>
        <v>0</v>
      </c>
      <c r="X5" s="37">
        <f>SUM($W$5:$W$5)</f>
        <v>0</v>
      </c>
      <c r="Y5" s="37">
        <f>'TE BE'!$Y$5*'TE BE'!$Y$51</f>
        <v>-0.37956014657531545</v>
      </c>
      <c r="Z5" s="37">
        <f>SUM($Y$5:$Y$5)</f>
        <v>-0.37956014657531545</v>
      </c>
      <c r="AA5" s="37">
        <f>SUMIF($L$4:$Z$4,"SUBTOTAL",$L$5:$Z$5)</f>
        <v>-51.040952818964861</v>
      </c>
    </row>
    <row r="6" spans="1:27" ht="11.25" customHeight="1" x14ac:dyDescent="0.25">
      <c r="A6" s="135"/>
      <c r="B6" s="135"/>
      <c r="C6" s="135"/>
      <c r="D6" s="135"/>
      <c r="E6" s="135"/>
      <c r="F6" s="135"/>
      <c r="G6" s="39" t="s">
        <v>88</v>
      </c>
      <c r="H6" s="39" t="s">
        <v>86</v>
      </c>
      <c r="I6" s="39">
        <f>'MERCADO TE'!$U$3</f>
        <v>53354.290999999997</v>
      </c>
      <c r="J6" s="18"/>
      <c r="L6" s="37">
        <f>'TE BE'!$L$6*'TE BE'!$L$51</f>
        <v>-1.132343588762435E-5</v>
      </c>
      <c r="M6" s="37">
        <f>'TE BE'!$M$6*'TE BE'!$M$51</f>
        <v>-12.967453342254109</v>
      </c>
      <c r="N6" s="37">
        <f>'TE BE'!$N$6*'TE BE'!$N$51</f>
        <v>0</v>
      </c>
      <c r="O6" s="37">
        <f>'TE BE'!$O$6*'TE BE'!$O$51</f>
        <v>-0.37504145358276403</v>
      </c>
      <c r="P6" s="37">
        <f>SUM($L$6:$O$6)</f>
        <v>-13.342506119272761</v>
      </c>
      <c r="Q6" s="37">
        <f>'TE BE'!$Q$6*'TE BE'!$Q$51</f>
        <v>-21.697027065765571</v>
      </c>
      <c r="R6" s="37">
        <f>SUM($Q$6:$Q$6)</f>
        <v>-21.697027065765571</v>
      </c>
      <c r="S6" s="37">
        <f>'TE BE'!$S$6*'TE BE'!$S$51</f>
        <v>0</v>
      </c>
      <c r="T6" s="37">
        <f>'TE BE'!$T$6*'TE BE'!$T$51</f>
        <v>0</v>
      </c>
      <c r="U6" s="37">
        <f>'TE BE'!$U$6*'TE BE'!$U$51</f>
        <v>0</v>
      </c>
      <c r="V6" s="37">
        <f>SUM($S$6:$U$6)</f>
        <v>0</v>
      </c>
      <c r="W6" s="37">
        <f>'TE BE'!$AA$6*'TE BE'!$W$51</f>
        <v>0</v>
      </c>
      <c r="X6" s="37">
        <f>SUM($W$6:$W$6)</f>
        <v>0</v>
      </c>
      <c r="Y6" s="37">
        <f>'TE BE'!$Y$6*'TE BE'!$Y$51</f>
        <v>-0.37956014657531545</v>
      </c>
      <c r="Z6" s="37">
        <f>SUM($Y$6:$Y$6)</f>
        <v>-0.37956014657531545</v>
      </c>
      <c r="AA6" s="37">
        <f>SUMIF($L$4:$Z$4,"SUBTOTAL",$L$6:$Z$6)</f>
        <v>-35.419093331613645</v>
      </c>
    </row>
    <row r="7" spans="1:27" ht="11.25" customHeight="1" x14ac:dyDescent="0.25">
      <c r="A7" s="135" t="s">
        <v>35</v>
      </c>
      <c r="B7" s="135" t="s">
        <v>85</v>
      </c>
      <c r="C7" s="135" t="s">
        <v>25</v>
      </c>
      <c r="D7" s="135" t="s">
        <v>25</v>
      </c>
      <c r="E7" s="135" t="s">
        <v>25</v>
      </c>
      <c r="F7" s="135" t="s">
        <v>25</v>
      </c>
      <c r="G7" s="39" t="s">
        <v>87</v>
      </c>
      <c r="H7" s="39" t="s">
        <v>86</v>
      </c>
      <c r="I7" s="39">
        <f>'MERCADO TE'!$U$4</f>
        <v>81126.716000000015</v>
      </c>
      <c r="J7" s="18"/>
      <c r="L7" s="37">
        <f>'TE BE'!$L$7*'TE BE'!$L$51</f>
        <v>-1.132343588762435E-5</v>
      </c>
      <c r="M7" s="37">
        <f>'TE BE'!$M$7*'TE BE'!$M$51</f>
        <v>-12.967453342254109</v>
      </c>
      <c r="N7" s="37">
        <f>'TE BE'!$N$7*'TE BE'!$N$51</f>
        <v>0</v>
      </c>
      <c r="O7" s="37">
        <f>'TE BE'!$O$7*'TE BE'!$O$51</f>
        <v>-0.37504145358276403</v>
      </c>
      <c r="P7" s="37">
        <f>SUM($L$7:$O$7)</f>
        <v>-13.342506119272761</v>
      </c>
      <c r="Q7" s="37">
        <f>'TE BE'!$Q$7*'TE BE'!$Q$51</f>
        <v>-37.318886553116783</v>
      </c>
      <c r="R7" s="37">
        <f>SUM($Q$7:$Q$7)</f>
        <v>-37.318886553116783</v>
      </c>
      <c r="S7" s="37">
        <f>'TE BE'!$S$7*'TE BE'!$S$51</f>
        <v>0</v>
      </c>
      <c r="T7" s="37">
        <f>'TE BE'!$T$7*'TE BE'!$T$51</f>
        <v>0</v>
      </c>
      <c r="U7" s="37">
        <f>'TE BE'!$U$7*'TE BE'!$U$51</f>
        <v>0</v>
      </c>
      <c r="V7" s="37">
        <f>SUM($S$7:$U$7)</f>
        <v>0</v>
      </c>
      <c r="W7" s="37">
        <f>'TE BE'!$AA$7*'TE BE'!$W$51</f>
        <v>0</v>
      </c>
      <c r="X7" s="37">
        <f>SUM($W$7:$W$7)</f>
        <v>0</v>
      </c>
      <c r="Y7" s="37">
        <f>'TE BE'!$Y$7*'TE BE'!$Y$51</f>
        <v>-0.37956014657531545</v>
      </c>
      <c r="Z7" s="37">
        <f>SUM($Y$7:$Y$7)</f>
        <v>-0.37956014657531545</v>
      </c>
      <c r="AA7" s="37">
        <f>SUMIF($L$4:$Z$4,"SUBTOTAL",$L$7:$Z$7)</f>
        <v>-51.040952818964861</v>
      </c>
    </row>
    <row r="8" spans="1:27" ht="11.25" customHeight="1" x14ac:dyDescent="0.25">
      <c r="A8" s="135"/>
      <c r="B8" s="135"/>
      <c r="C8" s="135"/>
      <c r="D8" s="135"/>
      <c r="E8" s="135"/>
      <c r="F8" s="135"/>
      <c r="G8" s="39" t="s">
        <v>88</v>
      </c>
      <c r="H8" s="39" t="s">
        <v>86</v>
      </c>
      <c r="I8" s="39">
        <f>'MERCADO TE'!$U$5</f>
        <v>1038783.2589999998</v>
      </c>
      <c r="J8" s="18"/>
      <c r="L8" s="37">
        <f>'TE BE'!$L$8*'TE BE'!$L$51</f>
        <v>-1.132343588762435E-5</v>
      </c>
      <c r="M8" s="37">
        <f>'TE BE'!$M$8*'TE BE'!$M$51</f>
        <v>-12.967453342254109</v>
      </c>
      <c r="N8" s="37">
        <f>'TE BE'!$N$8*'TE BE'!$N$51</f>
        <v>0</v>
      </c>
      <c r="O8" s="37">
        <f>'TE BE'!$O$8*'TE BE'!$O$51</f>
        <v>-0.37504145358276403</v>
      </c>
      <c r="P8" s="37">
        <f>SUM($L$8:$O$8)</f>
        <v>-13.342506119272761</v>
      </c>
      <c r="Q8" s="37">
        <f>'TE BE'!$Q$8*'TE BE'!$Q$51</f>
        <v>-21.697027065765571</v>
      </c>
      <c r="R8" s="37">
        <f>SUM($Q$8:$Q$8)</f>
        <v>-21.697027065765571</v>
      </c>
      <c r="S8" s="37">
        <f>'TE BE'!$S$8*'TE BE'!$S$51</f>
        <v>0</v>
      </c>
      <c r="T8" s="37">
        <f>'TE BE'!$T$8*'TE BE'!$T$51</f>
        <v>0</v>
      </c>
      <c r="U8" s="37">
        <f>'TE BE'!$U$8*'TE BE'!$U$51</f>
        <v>0</v>
      </c>
      <c r="V8" s="37">
        <f>SUM($S$8:$U$8)</f>
        <v>0</v>
      </c>
      <c r="W8" s="37">
        <f>'TE BE'!$AA$8*'TE BE'!$W$51</f>
        <v>0</v>
      </c>
      <c r="X8" s="37">
        <f>SUM($W$8:$W$8)</f>
        <v>0</v>
      </c>
      <c r="Y8" s="37">
        <f>'TE BE'!$Y$8*'TE BE'!$Y$51</f>
        <v>-0.37956014657531545</v>
      </c>
      <c r="Z8" s="37">
        <f>SUM($Y$8:$Y$8)</f>
        <v>-0.37956014657531545</v>
      </c>
      <c r="AA8" s="37">
        <f>SUMIF($L$4:$Z$4,"SUBTOTAL",$L$8:$Z$8)</f>
        <v>-35.419093331613645</v>
      </c>
    </row>
    <row r="9" spans="1:27" ht="11.25" customHeight="1" x14ac:dyDescent="0.25">
      <c r="A9" s="135"/>
      <c r="B9" s="45" t="s">
        <v>94</v>
      </c>
      <c r="C9" s="45" t="s">
        <v>25</v>
      </c>
      <c r="D9" s="45" t="s">
        <v>25</v>
      </c>
      <c r="E9" s="45" t="s">
        <v>25</v>
      </c>
      <c r="F9" s="45" t="s">
        <v>25</v>
      </c>
      <c r="G9" s="39" t="s">
        <v>92</v>
      </c>
      <c r="H9" s="39" t="s">
        <v>86</v>
      </c>
      <c r="I9" s="39">
        <f>'MERCADO TE'!$U$6</f>
        <v>0</v>
      </c>
      <c r="J9" s="18"/>
      <c r="L9" s="37">
        <f>'TE BE'!$L$9*'TE BE'!$L$51</f>
        <v>-1.132343588762435E-5</v>
      </c>
      <c r="M9" s="37">
        <f>'TE BE'!$M$9*'TE BE'!$M$51</f>
        <v>-12.967453342254109</v>
      </c>
      <c r="N9" s="37">
        <f>'TE BE'!$N$9*'TE BE'!$N$51</f>
        <v>0</v>
      </c>
      <c r="O9" s="37">
        <f>'TE BE'!$O$9*'TE BE'!$O$51</f>
        <v>-0.37504145358276403</v>
      </c>
      <c r="P9" s="37">
        <f>SUM($L$9:$O$9)</f>
        <v>-13.342506119272761</v>
      </c>
      <c r="Q9" s="37">
        <f>'TE BE'!$Q$9*'TE BE'!$Q$51</f>
        <v>-22.998848689711508</v>
      </c>
      <c r="R9" s="37">
        <f>SUM($Q$9:$Q$9)</f>
        <v>-22.998848689711508</v>
      </c>
      <c r="S9" s="37">
        <f>'TE BE'!$S$9*'TE BE'!$S$51</f>
        <v>0</v>
      </c>
      <c r="T9" s="37">
        <f>'TE BE'!$T$9*'TE BE'!$T$51</f>
        <v>0</v>
      </c>
      <c r="U9" s="37">
        <f>'TE BE'!$U$9*'TE BE'!$U$51</f>
        <v>0</v>
      </c>
      <c r="V9" s="37">
        <f>SUM($S$9:$U$9)</f>
        <v>0</v>
      </c>
      <c r="W9" s="37">
        <f>'TE BE'!$AA$9*'TE BE'!$W$51</f>
        <v>0</v>
      </c>
      <c r="X9" s="37">
        <f>SUM($W$9:$W$9)</f>
        <v>0</v>
      </c>
      <c r="Y9" s="37">
        <f>'TE BE'!$Y$9*'TE BE'!$Y$51</f>
        <v>-0.37956014657531545</v>
      </c>
      <c r="Z9" s="37">
        <f>SUM($Y$9:$Y$9)</f>
        <v>-0.37956014657531545</v>
      </c>
      <c r="AA9" s="37">
        <f>SUMIF($L$4:$Z$4,"SUBTOTAL",$L$9:$Z$9)</f>
        <v>-36.720914955559586</v>
      </c>
    </row>
    <row r="10" spans="1:27" ht="11.25" customHeight="1" x14ac:dyDescent="0.25">
      <c r="A10" s="135" t="s">
        <v>22</v>
      </c>
      <c r="B10" s="135" t="s">
        <v>85</v>
      </c>
      <c r="C10" s="135" t="s">
        <v>24</v>
      </c>
      <c r="D10" s="135" t="s">
        <v>24</v>
      </c>
      <c r="E10" s="135" t="s">
        <v>25</v>
      </c>
      <c r="F10" s="135" t="s">
        <v>25</v>
      </c>
      <c r="G10" s="39" t="s">
        <v>87</v>
      </c>
      <c r="H10" s="39" t="s">
        <v>86</v>
      </c>
      <c r="I10" s="39">
        <f>'MERCADO TE'!$U$7</f>
        <v>31.722000000000001</v>
      </c>
      <c r="J10" s="18"/>
      <c r="L10" s="37">
        <f>'TE BE'!$L$10*'TE BE'!$L$51</f>
        <v>-1.132343588762435E-5</v>
      </c>
      <c r="M10" s="37">
        <f>'TE BE'!$M$10*'TE BE'!$M$51</f>
        <v>-12.967453342254109</v>
      </c>
      <c r="N10" s="37">
        <f>'TE BE'!$N$10*'TE BE'!$N$51</f>
        <v>0</v>
      </c>
      <c r="O10" s="37">
        <f>'TE BE'!$O$10*'TE BE'!$O$51</f>
        <v>-0.37504145358276403</v>
      </c>
      <c r="P10" s="37">
        <f>SUM($L$10:$O$10)</f>
        <v>-13.342506119272761</v>
      </c>
      <c r="Q10" s="37">
        <f>'TE BE'!$Q$10*'TE BE'!$Q$51</f>
        <v>-37.318886553116783</v>
      </c>
      <c r="R10" s="37">
        <f>SUM($Q$10:$Q$10)</f>
        <v>-37.318886553116783</v>
      </c>
      <c r="S10" s="37">
        <f>'TE BE'!$S$10*'TE BE'!$S$51</f>
        <v>0</v>
      </c>
      <c r="T10" s="37">
        <f>'TE BE'!$T$10*'TE BE'!$T$51</f>
        <v>0</v>
      </c>
      <c r="U10" s="37">
        <f>'TE BE'!$U$10*'TE BE'!$U$51</f>
        <v>0</v>
      </c>
      <c r="V10" s="37">
        <f>SUM($S$10:$U$10)</f>
        <v>0</v>
      </c>
      <c r="W10" s="37">
        <f>'TE BE'!$AA$10*'TE BE'!$W$51</f>
        <v>0</v>
      </c>
      <c r="X10" s="37">
        <f>SUM($W$10:$W$10)</f>
        <v>0</v>
      </c>
      <c r="Y10" s="37">
        <f>'TE BE'!$Y$10*'TE BE'!$Y$51</f>
        <v>-0.37956014657531545</v>
      </c>
      <c r="Z10" s="37">
        <f>SUM($Y$10:$Y$10)</f>
        <v>-0.37956014657531545</v>
      </c>
      <c r="AA10" s="37">
        <f>SUMIF($L$4:$Z$4,"SUBTOTAL",$L$10:$Z$10)</f>
        <v>-51.040952818964861</v>
      </c>
    </row>
    <row r="11" spans="1:27" ht="11.25" customHeight="1" x14ac:dyDescent="0.25">
      <c r="A11" s="135"/>
      <c r="B11" s="135"/>
      <c r="C11" s="135"/>
      <c r="D11" s="135"/>
      <c r="E11" s="135"/>
      <c r="F11" s="135"/>
      <c r="G11" s="39" t="s">
        <v>98</v>
      </c>
      <c r="H11" s="39" t="s">
        <v>86</v>
      </c>
      <c r="I11" s="39">
        <f>'MERCADO TE'!$U$8</f>
        <v>31.11</v>
      </c>
      <c r="J11" s="18"/>
      <c r="L11" s="37">
        <f>'TE BE'!$L$11*'TE BE'!$L$51</f>
        <v>-1.132343588762435E-5</v>
      </c>
      <c r="M11" s="37">
        <f>'TE BE'!$M$11*'TE BE'!$M$51</f>
        <v>-12.967453342254109</v>
      </c>
      <c r="N11" s="37">
        <f>'TE BE'!$N$11*'TE BE'!$N$51</f>
        <v>0</v>
      </c>
      <c r="O11" s="37">
        <f>'TE BE'!$O$11*'TE BE'!$O$51</f>
        <v>-0.37504145358276403</v>
      </c>
      <c r="P11" s="37">
        <f>SUM($L$11:$O$11)</f>
        <v>-13.342506119272761</v>
      </c>
      <c r="Q11" s="37">
        <f>'TE BE'!$Q$11*'TE BE'!$Q$51</f>
        <v>-21.697027065765571</v>
      </c>
      <c r="R11" s="37">
        <f>SUM($Q$11:$Q$11)</f>
        <v>-21.697027065765571</v>
      </c>
      <c r="S11" s="37">
        <f>'TE BE'!$S$11*'TE BE'!$S$51</f>
        <v>0</v>
      </c>
      <c r="T11" s="37">
        <f>'TE BE'!$T$11*'TE BE'!$T$51</f>
        <v>0</v>
      </c>
      <c r="U11" s="37">
        <f>'TE BE'!$U$11*'TE BE'!$U$51</f>
        <v>0</v>
      </c>
      <c r="V11" s="37">
        <f>SUM($S$11:$U$11)</f>
        <v>0</v>
      </c>
      <c r="W11" s="37">
        <f>'TE BE'!$AA$11*'TE BE'!$W$51</f>
        <v>0</v>
      </c>
      <c r="X11" s="37">
        <f>SUM($W$11:$W$11)</f>
        <v>0</v>
      </c>
      <c r="Y11" s="37">
        <f>'TE BE'!$Y$11*'TE BE'!$Y$51</f>
        <v>-0.37956014657531545</v>
      </c>
      <c r="Z11" s="37">
        <f>SUM($Y$11:$Y$11)</f>
        <v>-0.37956014657531545</v>
      </c>
      <c r="AA11" s="37">
        <f>SUMIF($L$4:$Z$4,"SUBTOTAL",$L$11:$Z$11)</f>
        <v>-35.419093331613645</v>
      </c>
    </row>
    <row r="12" spans="1:27" ht="11.25" customHeight="1" x14ac:dyDescent="0.25">
      <c r="A12" s="135"/>
      <c r="B12" s="135"/>
      <c r="C12" s="135"/>
      <c r="D12" s="135"/>
      <c r="E12" s="135"/>
      <c r="F12" s="135"/>
      <c r="G12" s="39" t="s">
        <v>88</v>
      </c>
      <c r="H12" s="39" t="s">
        <v>86</v>
      </c>
      <c r="I12" s="39">
        <f>'MERCADO TE'!$U$9</f>
        <v>472.03</v>
      </c>
      <c r="J12" s="18"/>
      <c r="L12" s="37">
        <f>'TE BE'!$L$12*'TE BE'!$L$51</f>
        <v>-1.132343588762435E-5</v>
      </c>
      <c r="M12" s="37">
        <f>'TE BE'!$M$12*'TE BE'!$M$51</f>
        <v>-12.967453342254109</v>
      </c>
      <c r="N12" s="37">
        <f>'TE BE'!$N$12*'TE BE'!$N$51</f>
        <v>0</v>
      </c>
      <c r="O12" s="37">
        <f>'TE BE'!$O$12*'TE BE'!$O$51</f>
        <v>-0.37504145358276403</v>
      </c>
      <c r="P12" s="37">
        <f>SUM($L$12:$O$12)</f>
        <v>-13.342506119272761</v>
      </c>
      <c r="Q12" s="37">
        <f>'TE BE'!$Q$12*'TE BE'!$Q$51</f>
        <v>-21.697027065765571</v>
      </c>
      <c r="R12" s="37">
        <f>SUM($Q$12:$Q$12)</f>
        <v>-21.697027065765571</v>
      </c>
      <c r="S12" s="37">
        <f>'TE BE'!$S$12*'TE BE'!$S$51</f>
        <v>0</v>
      </c>
      <c r="T12" s="37">
        <f>'TE BE'!$T$12*'TE BE'!$T$51</f>
        <v>0</v>
      </c>
      <c r="U12" s="37">
        <f>'TE BE'!$U$12*'TE BE'!$U$51</f>
        <v>0</v>
      </c>
      <c r="V12" s="37">
        <f>SUM($S$12:$U$12)</f>
        <v>0</v>
      </c>
      <c r="W12" s="37">
        <f>'TE BE'!$AA$12*'TE BE'!$W$51</f>
        <v>0</v>
      </c>
      <c r="X12" s="37">
        <f>SUM($W$12:$W$12)</f>
        <v>0</v>
      </c>
      <c r="Y12" s="37">
        <f>'TE BE'!$Y$12*'TE BE'!$Y$51</f>
        <v>-0.37956014657531545</v>
      </c>
      <c r="Z12" s="37">
        <f>SUM($Y$12:$Y$12)</f>
        <v>-0.37956014657531545</v>
      </c>
      <c r="AA12" s="37">
        <f>SUMIF($L$4:$Z$4,"SUBTOTAL",$L$12:$Z$12)</f>
        <v>-35.419093331613645</v>
      </c>
    </row>
    <row r="13" spans="1:27" ht="11.25" customHeight="1" x14ac:dyDescent="0.25">
      <c r="A13" s="135"/>
      <c r="B13" s="135" t="s">
        <v>94</v>
      </c>
      <c r="C13" s="135" t="s">
        <v>24</v>
      </c>
      <c r="D13" s="45" t="s">
        <v>24</v>
      </c>
      <c r="E13" s="45" t="s">
        <v>25</v>
      </c>
      <c r="F13" s="45" t="s">
        <v>25</v>
      </c>
      <c r="G13" s="39" t="s">
        <v>92</v>
      </c>
      <c r="H13" s="39" t="s">
        <v>86</v>
      </c>
      <c r="I13" s="39">
        <f>'MERCADO TE'!$U$10</f>
        <v>1747135.3810000001</v>
      </c>
      <c r="J13" s="18"/>
      <c r="L13" s="37">
        <f>'TE BE'!$L$13*'TE BE'!$L$51</f>
        <v>-1.132343588762435E-5</v>
      </c>
      <c r="M13" s="37">
        <f>'TE BE'!$M$13*'TE BE'!$M$51</f>
        <v>-12.967453342254109</v>
      </c>
      <c r="N13" s="37">
        <f>'TE BE'!$N$13*'TE BE'!$N$51</f>
        <v>0</v>
      </c>
      <c r="O13" s="37">
        <f>'TE BE'!$O$13*'TE BE'!$O$51</f>
        <v>-0.37504145358276403</v>
      </c>
      <c r="P13" s="37">
        <f>SUM($L$13:$O$13)</f>
        <v>-13.342506119272761</v>
      </c>
      <c r="Q13" s="37">
        <f>'TE BE'!$Q$13*'TE BE'!$Q$51</f>
        <v>-22.998848689711508</v>
      </c>
      <c r="R13" s="37">
        <f>SUM($Q$13:$Q$13)</f>
        <v>-22.998848689711508</v>
      </c>
      <c r="S13" s="37">
        <f>'TE BE'!$S$13*'TE BE'!$S$51</f>
        <v>0</v>
      </c>
      <c r="T13" s="37">
        <f>'TE BE'!$T$13*'TE BE'!$T$51</f>
        <v>0</v>
      </c>
      <c r="U13" s="37">
        <f>'TE BE'!$U$13*'TE BE'!$U$51</f>
        <v>0</v>
      </c>
      <c r="V13" s="37">
        <f>SUM($S$13:$U$13)</f>
        <v>0</v>
      </c>
      <c r="W13" s="37">
        <f>'TE BE'!$AA$13*'TE BE'!$W$51</f>
        <v>0</v>
      </c>
      <c r="X13" s="37">
        <f>SUM($W$13:$W$13)</f>
        <v>0</v>
      </c>
      <c r="Y13" s="37">
        <f>'TE BE'!$Y$13*'TE BE'!$Y$51</f>
        <v>-0.37956014657531545</v>
      </c>
      <c r="Z13" s="37">
        <f>SUM($Y$13:$Y$13)</f>
        <v>-0.37956014657531545</v>
      </c>
      <c r="AA13" s="37">
        <f>SUMIF($L$4:$Z$4,"SUBTOTAL",$L$13:$Z$13)</f>
        <v>-36.720914955559586</v>
      </c>
    </row>
    <row r="14" spans="1:27" ht="11.25" customHeight="1" x14ac:dyDescent="0.25">
      <c r="A14" s="135"/>
      <c r="B14" s="135"/>
      <c r="C14" s="135"/>
      <c r="D14" s="45" t="s">
        <v>31</v>
      </c>
      <c r="E14" s="45" t="s">
        <v>25</v>
      </c>
      <c r="F14" s="45" t="s">
        <v>25</v>
      </c>
      <c r="G14" s="39" t="s">
        <v>92</v>
      </c>
      <c r="H14" s="39" t="s">
        <v>86</v>
      </c>
      <c r="I14" s="39">
        <f>'MERCADO TE'!$U$11</f>
        <v>72661.888000000006</v>
      </c>
      <c r="J14" s="18"/>
      <c r="L14" s="37">
        <f>'TE BE'!$L$14*'TE BE'!$L$51</f>
        <v>-1.132343588762435E-5</v>
      </c>
      <c r="M14" s="37">
        <f>'TE BE'!$M$14*'TE BE'!$M$51</f>
        <v>-12.967453342254109</v>
      </c>
      <c r="N14" s="37">
        <f>'TE BE'!$N$14*'TE BE'!$N$51</f>
        <v>0</v>
      </c>
      <c r="O14" s="37">
        <f>'TE BE'!$O$14*'TE BE'!$O$51</f>
        <v>-0.37504145358276403</v>
      </c>
      <c r="P14" s="37">
        <f>SUM($L$14:$O$14)</f>
        <v>-13.342506119272761</v>
      </c>
      <c r="Q14" s="37">
        <f>'TE BE'!$Q$14*'TE BE'!$Q$51</f>
        <v>-22.998848689711508</v>
      </c>
      <c r="R14" s="37">
        <f>SUM($Q$14:$Q$14)</f>
        <v>-22.998848689711508</v>
      </c>
      <c r="S14" s="37">
        <f>'TE BE'!$S$14*'TE BE'!$S$51</f>
        <v>0</v>
      </c>
      <c r="T14" s="37">
        <f>'TE BE'!$T$14*'TE BE'!$T$51</f>
        <v>0</v>
      </c>
      <c r="U14" s="37">
        <f>'TE BE'!$U$14*'TE BE'!$U$51</f>
        <v>0</v>
      </c>
      <c r="V14" s="37">
        <f>SUM($S$14:$U$14)</f>
        <v>0</v>
      </c>
      <c r="W14" s="37">
        <f>'TE BE'!$AA$14*'TE BE'!$W$51</f>
        <v>0</v>
      </c>
      <c r="X14" s="37">
        <f>SUM($W$14:$W$14)</f>
        <v>0</v>
      </c>
      <c r="Y14" s="37">
        <f>'TE BE'!$Y$14*'TE BE'!$Y$51</f>
        <v>-0.37956014657531545</v>
      </c>
      <c r="Z14" s="37">
        <f>SUM($Y$14:$Y$14)</f>
        <v>-0.37956014657531545</v>
      </c>
      <c r="AA14" s="37">
        <f>SUMIF($L$4:$Z$4,"SUBTOTAL",$L$14:$Z$14)</f>
        <v>-36.720914955559586</v>
      </c>
    </row>
    <row r="15" spans="1:27" ht="11.25" customHeight="1" x14ac:dyDescent="0.25">
      <c r="A15" s="135"/>
      <c r="B15" s="135"/>
      <c r="C15" s="135"/>
      <c r="D15" s="45" t="s">
        <v>32</v>
      </c>
      <c r="E15" s="45" t="s">
        <v>25</v>
      </c>
      <c r="F15" s="45" t="s">
        <v>25</v>
      </c>
      <c r="G15" s="39" t="s">
        <v>92</v>
      </c>
      <c r="H15" s="39" t="s">
        <v>86</v>
      </c>
      <c r="I15" s="39">
        <f>'MERCADO TE'!$U$12</f>
        <v>116587.09399999998</v>
      </c>
      <c r="J15" s="18"/>
      <c r="L15" s="37">
        <f>'TE BE'!$L$15*'TE BE'!$L$51</f>
        <v>-1.132343588762435E-5</v>
      </c>
      <c r="M15" s="37">
        <f>'TE BE'!$M$15*'TE BE'!$M$51</f>
        <v>-12.967453342254109</v>
      </c>
      <c r="N15" s="37">
        <f>'TE BE'!$N$15*'TE BE'!$N$51</f>
        <v>0</v>
      </c>
      <c r="O15" s="37">
        <f>'TE BE'!$O$15*'TE BE'!$O$51</f>
        <v>-0.37504145358276403</v>
      </c>
      <c r="P15" s="37">
        <f>SUM($L$15:$O$15)</f>
        <v>-13.342506119272761</v>
      </c>
      <c r="Q15" s="37">
        <f>'TE BE'!$Q$15*'TE BE'!$Q$51</f>
        <v>-22.998848689711508</v>
      </c>
      <c r="R15" s="37">
        <f>SUM($Q$15:$Q$15)</f>
        <v>-22.998848689711508</v>
      </c>
      <c r="S15" s="37">
        <f>'TE BE'!$S$15*'TE BE'!$S$51</f>
        <v>0</v>
      </c>
      <c r="T15" s="37">
        <f>'TE BE'!$T$15*'TE BE'!$T$51</f>
        <v>0</v>
      </c>
      <c r="U15" s="37">
        <f>'TE BE'!$U$15*'TE BE'!$U$51</f>
        <v>0</v>
      </c>
      <c r="V15" s="37">
        <f>SUM($S$15:$U$15)</f>
        <v>0</v>
      </c>
      <c r="W15" s="37">
        <f>'TE BE'!$AA$15*'TE BE'!$W$51</f>
        <v>0</v>
      </c>
      <c r="X15" s="37">
        <f>SUM($W$15:$W$15)</f>
        <v>0</v>
      </c>
      <c r="Y15" s="37">
        <f>'TE BE'!$Y$15*'TE BE'!$Y$51</f>
        <v>-0.37956014657531545</v>
      </c>
      <c r="Z15" s="37">
        <f>SUM($Y$15:$Y$15)</f>
        <v>-0.37956014657531545</v>
      </c>
      <c r="AA15" s="37">
        <f>SUMIF($L$4:$Z$4,"SUBTOTAL",$L$15:$Z$15)</f>
        <v>-36.720914955559586</v>
      </c>
    </row>
    <row r="16" spans="1:27" ht="11.25" customHeight="1" x14ac:dyDescent="0.25">
      <c r="A16" s="135"/>
      <c r="B16" s="135"/>
      <c r="C16" s="135"/>
      <c r="D16" s="45" t="s">
        <v>33</v>
      </c>
      <c r="E16" s="45" t="s">
        <v>25</v>
      </c>
      <c r="F16" s="45" t="s">
        <v>25</v>
      </c>
      <c r="G16" s="39" t="s">
        <v>92</v>
      </c>
      <c r="H16" s="39" t="s">
        <v>86</v>
      </c>
      <c r="I16" s="39">
        <f>'MERCADO TE'!$U$13</f>
        <v>103208.47500000001</v>
      </c>
      <c r="J16" s="18"/>
      <c r="L16" s="37">
        <f>'TE BE'!$L$16*'TE BE'!$L$51</f>
        <v>-1.132343588762435E-5</v>
      </c>
      <c r="M16" s="37">
        <f>'TE BE'!$M$16*'TE BE'!$M$51</f>
        <v>-12.967453342254109</v>
      </c>
      <c r="N16" s="37">
        <f>'TE BE'!$N$16*'TE BE'!$N$51</f>
        <v>0</v>
      </c>
      <c r="O16" s="37">
        <f>'TE BE'!$O$16*'TE BE'!$O$51</f>
        <v>-0.37504145358276403</v>
      </c>
      <c r="P16" s="37">
        <f>SUM($L$16:$O$16)</f>
        <v>-13.342506119272761</v>
      </c>
      <c r="Q16" s="37">
        <f>'TE BE'!$Q$16*'TE BE'!$Q$51</f>
        <v>-22.998848689711508</v>
      </c>
      <c r="R16" s="37">
        <f>SUM($Q$16:$Q$16)</f>
        <v>-22.998848689711508</v>
      </c>
      <c r="S16" s="37">
        <f>'TE BE'!$S$16*'TE BE'!$S$51</f>
        <v>0</v>
      </c>
      <c r="T16" s="37">
        <f>'TE BE'!$T$16*'TE BE'!$T$51</f>
        <v>0</v>
      </c>
      <c r="U16" s="37">
        <f>'TE BE'!$U$16*'TE BE'!$U$51</f>
        <v>0</v>
      </c>
      <c r="V16" s="37">
        <f>SUM($S$16:$U$16)</f>
        <v>0</v>
      </c>
      <c r="W16" s="37">
        <f>'TE BE'!$AA$16*'TE BE'!$W$51</f>
        <v>0</v>
      </c>
      <c r="X16" s="37">
        <f>SUM($W$16:$W$16)</f>
        <v>0</v>
      </c>
      <c r="Y16" s="37">
        <f>'TE BE'!$Y$16*'TE BE'!$Y$51</f>
        <v>-0.37956014657531545</v>
      </c>
      <c r="Z16" s="37">
        <f>SUM($Y$16:$Y$16)</f>
        <v>-0.37956014657531545</v>
      </c>
      <c r="AA16" s="37">
        <f>SUMIF($L$4:$Z$4,"SUBTOTAL",$L$16:$Z$16)</f>
        <v>-36.720914955559586</v>
      </c>
    </row>
    <row r="17" spans="1:27" ht="11.25" customHeight="1" x14ac:dyDescent="0.25">
      <c r="A17" s="135"/>
      <c r="B17" s="135"/>
      <c r="C17" s="135"/>
      <c r="D17" s="45" t="s">
        <v>34</v>
      </c>
      <c r="E17" s="45" t="s">
        <v>25</v>
      </c>
      <c r="F17" s="45" t="s">
        <v>25</v>
      </c>
      <c r="G17" s="39" t="s">
        <v>92</v>
      </c>
      <c r="H17" s="39" t="s">
        <v>86</v>
      </c>
      <c r="I17" s="39">
        <f>'MERCADO TE'!$U$14</f>
        <v>77490.793999999994</v>
      </c>
      <c r="J17" s="18"/>
      <c r="L17" s="37">
        <f>'TE BE'!$L$17*'TE BE'!$L$51</f>
        <v>-1.132343588762435E-5</v>
      </c>
      <c r="M17" s="37">
        <f>'TE BE'!$M$17*'TE BE'!$M$51</f>
        <v>-12.967453342254109</v>
      </c>
      <c r="N17" s="37">
        <f>'TE BE'!$N$17*'TE BE'!$N$51</f>
        <v>0</v>
      </c>
      <c r="O17" s="37">
        <f>'TE BE'!$O$17*'TE BE'!$O$51</f>
        <v>-0.37504145358276403</v>
      </c>
      <c r="P17" s="37">
        <f>SUM($L$17:$O$17)</f>
        <v>-13.342506119272761</v>
      </c>
      <c r="Q17" s="37">
        <f>'TE BE'!$Q$17*'TE BE'!$Q$51</f>
        <v>-22.998848689711508</v>
      </c>
      <c r="R17" s="37">
        <f>SUM($Q$17:$Q$17)</f>
        <v>-22.998848689711508</v>
      </c>
      <c r="S17" s="37">
        <f>'TE BE'!$S$17*'TE BE'!$S$51</f>
        <v>0</v>
      </c>
      <c r="T17" s="37">
        <f>'TE BE'!$T$17*'TE BE'!$T$51</f>
        <v>0</v>
      </c>
      <c r="U17" s="37">
        <f>'TE BE'!$U$17*'TE BE'!$U$51</f>
        <v>0</v>
      </c>
      <c r="V17" s="37">
        <f>SUM($S$17:$U$17)</f>
        <v>0</v>
      </c>
      <c r="W17" s="37">
        <f>'TE BE'!$AA$17*'TE BE'!$W$51</f>
        <v>0</v>
      </c>
      <c r="X17" s="37">
        <f>SUM($W$17:$W$17)</f>
        <v>0</v>
      </c>
      <c r="Y17" s="37">
        <f>'TE BE'!$Y$17*'TE BE'!$Y$51</f>
        <v>-0.37956014657531545</v>
      </c>
      <c r="Z17" s="37">
        <f>SUM($Y$17:$Y$17)</f>
        <v>-0.37956014657531545</v>
      </c>
      <c r="AA17" s="37">
        <f>SUMIF($L$4:$Z$4,"SUBTOTAL",$L$17:$Z$17)</f>
        <v>-36.720914955559586</v>
      </c>
    </row>
    <row r="18" spans="1:27" ht="11.25" customHeight="1" x14ac:dyDescent="0.25">
      <c r="A18" s="135"/>
      <c r="B18" s="135" t="s">
        <v>99</v>
      </c>
      <c r="C18" s="135" t="s">
        <v>24</v>
      </c>
      <c r="D18" s="45" t="s">
        <v>24</v>
      </c>
      <c r="E18" s="45" t="s">
        <v>25</v>
      </c>
      <c r="F18" s="45" t="s">
        <v>25</v>
      </c>
      <c r="G18" s="39" t="s">
        <v>92</v>
      </c>
      <c r="H18" s="39" t="s">
        <v>86</v>
      </c>
      <c r="I18" s="39">
        <f>'MERCADO TE'!$U$15</f>
        <v>0</v>
      </c>
      <c r="J18" s="18"/>
      <c r="L18" s="37">
        <f>'TE BE'!$L$18*'TE BE'!$L$51</f>
        <v>-1.132343588762435E-5</v>
      </c>
      <c r="M18" s="37">
        <f>'TE BE'!$M$18*'TE BE'!$M$51</f>
        <v>-12.967453342254109</v>
      </c>
      <c r="N18" s="37">
        <f>'TE BE'!$N$18*'TE BE'!$N$51</f>
        <v>0</v>
      </c>
      <c r="O18" s="37">
        <f>'TE BE'!$O$18*'TE BE'!$O$51</f>
        <v>-0.37504145358276403</v>
      </c>
      <c r="P18" s="37">
        <f>SUM($L$18:$O$18)</f>
        <v>-13.342506119272761</v>
      </c>
      <c r="Q18" s="37">
        <f>'TE BE'!$Q$18*'TE BE'!$Q$51</f>
        <v>-22.998848689711508</v>
      </c>
      <c r="R18" s="37">
        <f>SUM($Q$18:$Q$18)</f>
        <v>-22.998848689711508</v>
      </c>
      <c r="S18" s="37">
        <f>'TE BE'!$S$18*'TE BE'!$S$51</f>
        <v>0</v>
      </c>
      <c r="T18" s="37">
        <f>'TE BE'!$T$18*'TE BE'!$T$51</f>
        <v>0</v>
      </c>
      <c r="U18" s="37">
        <f>'TE BE'!$U$18*'TE BE'!$U$51</f>
        <v>0</v>
      </c>
      <c r="V18" s="37">
        <f>SUM($S$18:$U$18)</f>
        <v>0</v>
      </c>
      <c r="W18" s="37">
        <f>'TE BE'!$AA$18*'TE BE'!$W$51</f>
        <v>0</v>
      </c>
      <c r="X18" s="37">
        <f>SUM($W$18:$W$18)</f>
        <v>0</v>
      </c>
      <c r="Y18" s="37">
        <f>'TE BE'!$Y$18*'TE BE'!$Y$51</f>
        <v>-0.37956014657531545</v>
      </c>
      <c r="Z18" s="37">
        <f>SUM($Y$18:$Y$18)</f>
        <v>-0.37956014657531545</v>
      </c>
      <c r="AA18" s="37">
        <f>SUMIF($L$4:$Z$4,"SUBTOTAL",$L$18:$Z$18)</f>
        <v>-36.720914955559586</v>
      </c>
    </row>
    <row r="19" spans="1:27" ht="11.25" customHeight="1" x14ac:dyDescent="0.25">
      <c r="A19" s="135"/>
      <c r="B19" s="135"/>
      <c r="C19" s="135"/>
      <c r="D19" s="45" t="s">
        <v>31</v>
      </c>
      <c r="E19" s="45" t="s">
        <v>25</v>
      </c>
      <c r="F19" s="45" t="s">
        <v>25</v>
      </c>
      <c r="G19" s="39" t="s">
        <v>92</v>
      </c>
      <c r="H19" s="39" t="s">
        <v>86</v>
      </c>
      <c r="I19" s="39">
        <f>'MERCADO TE'!$U$16</f>
        <v>0</v>
      </c>
      <c r="J19" s="18"/>
      <c r="L19" s="37">
        <f>'TE BE'!$L$19*'TE BE'!$L$51</f>
        <v>-1.132343588762435E-5</v>
      </c>
      <c r="M19" s="37">
        <f>'TE BE'!$M$19*'TE BE'!$M$51</f>
        <v>-12.967453342254109</v>
      </c>
      <c r="N19" s="37">
        <f>'TE BE'!$N$19*'TE BE'!$N$51</f>
        <v>0</v>
      </c>
      <c r="O19" s="37">
        <f>'TE BE'!$O$19*'TE BE'!$O$51</f>
        <v>-0.37504145358276403</v>
      </c>
      <c r="P19" s="37">
        <f>SUM($L$19:$O$19)</f>
        <v>-13.342506119272761</v>
      </c>
      <c r="Q19" s="37">
        <f>'TE BE'!$Q$19*'TE BE'!$Q$51</f>
        <v>-22.998848689711508</v>
      </c>
      <c r="R19" s="37">
        <f>SUM($Q$19:$Q$19)</f>
        <v>-22.998848689711508</v>
      </c>
      <c r="S19" s="37">
        <f>'TE BE'!$S$19*'TE BE'!$S$51</f>
        <v>0</v>
      </c>
      <c r="T19" s="37">
        <f>'TE BE'!$T$19*'TE BE'!$T$51</f>
        <v>0</v>
      </c>
      <c r="U19" s="37">
        <f>'TE BE'!$U$19*'TE BE'!$U$51</f>
        <v>0</v>
      </c>
      <c r="V19" s="37">
        <f>SUM($S$19:$U$19)</f>
        <v>0</v>
      </c>
      <c r="W19" s="37">
        <f>'TE BE'!$AA$19*'TE BE'!$W$51</f>
        <v>0</v>
      </c>
      <c r="X19" s="37">
        <f>SUM($W$19:$W$19)</f>
        <v>0</v>
      </c>
      <c r="Y19" s="37">
        <f>'TE BE'!$Y$19*'TE BE'!$Y$51</f>
        <v>-0.37956014657531545</v>
      </c>
      <c r="Z19" s="37">
        <f>SUM($Y$19:$Y$19)</f>
        <v>-0.37956014657531545</v>
      </c>
      <c r="AA19" s="37">
        <f>SUMIF($L$4:$Z$4,"SUBTOTAL",$L$19:$Z$19)</f>
        <v>-36.720914955559586</v>
      </c>
    </row>
    <row r="20" spans="1:27" ht="11.25" customHeight="1" x14ac:dyDescent="0.25">
      <c r="A20" s="135"/>
      <c r="B20" s="135"/>
      <c r="C20" s="135"/>
      <c r="D20" s="45" t="s">
        <v>32</v>
      </c>
      <c r="E20" s="45" t="s">
        <v>25</v>
      </c>
      <c r="F20" s="45" t="s">
        <v>25</v>
      </c>
      <c r="G20" s="39" t="s">
        <v>92</v>
      </c>
      <c r="H20" s="39" t="s">
        <v>86</v>
      </c>
      <c r="I20" s="39">
        <f>'MERCADO TE'!$U$17</f>
        <v>0</v>
      </c>
      <c r="J20" s="18"/>
      <c r="L20" s="37">
        <f>'TE BE'!$L$20*'TE BE'!$L$51</f>
        <v>-1.132343588762435E-5</v>
      </c>
      <c r="M20" s="37">
        <f>'TE BE'!$M$20*'TE BE'!$M$51</f>
        <v>-12.967453342254109</v>
      </c>
      <c r="N20" s="37">
        <f>'TE BE'!$N$20*'TE BE'!$N$51</f>
        <v>0</v>
      </c>
      <c r="O20" s="37">
        <f>'TE BE'!$O$20*'TE BE'!$O$51</f>
        <v>-0.37504145358276403</v>
      </c>
      <c r="P20" s="37">
        <f>SUM($L$20:$O$20)</f>
        <v>-13.342506119272761</v>
      </c>
      <c r="Q20" s="37">
        <f>'TE BE'!$Q$20*'TE BE'!$Q$51</f>
        <v>-22.998848689711508</v>
      </c>
      <c r="R20" s="37">
        <f>SUM($Q$20:$Q$20)</f>
        <v>-22.998848689711508</v>
      </c>
      <c r="S20" s="37">
        <f>'TE BE'!$S$20*'TE BE'!$S$51</f>
        <v>0</v>
      </c>
      <c r="T20" s="37">
        <f>'TE BE'!$T$20*'TE BE'!$T$51</f>
        <v>0</v>
      </c>
      <c r="U20" s="37">
        <f>'TE BE'!$U$20*'TE BE'!$U$51</f>
        <v>0</v>
      </c>
      <c r="V20" s="37">
        <f>SUM($S$20:$U$20)</f>
        <v>0</v>
      </c>
      <c r="W20" s="37">
        <f>'TE BE'!$AA$20*'TE BE'!$W$51</f>
        <v>0</v>
      </c>
      <c r="X20" s="37">
        <f>SUM($W$20:$W$20)</f>
        <v>0</v>
      </c>
      <c r="Y20" s="37">
        <f>'TE BE'!$Y$20*'TE BE'!$Y$51</f>
        <v>-0.37956014657531545</v>
      </c>
      <c r="Z20" s="37">
        <f>SUM($Y$20:$Y$20)</f>
        <v>-0.37956014657531545</v>
      </c>
      <c r="AA20" s="37">
        <f>SUMIF($L$4:$Z$4,"SUBTOTAL",$L$20:$Z$20)</f>
        <v>-36.720914955559586</v>
      </c>
    </row>
    <row r="21" spans="1:27" ht="11.25" customHeight="1" x14ac:dyDescent="0.25">
      <c r="A21" s="135"/>
      <c r="B21" s="135"/>
      <c r="C21" s="135"/>
      <c r="D21" s="45" t="s">
        <v>33</v>
      </c>
      <c r="E21" s="45" t="s">
        <v>25</v>
      </c>
      <c r="F21" s="45" t="s">
        <v>25</v>
      </c>
      <c r="G21" s="39" t="s">
        <v>92</v>
      </c>
      <c r="H21" s="39" t="s">
        <v>86</v>
      </c>
      <c r="I21" s="39">
        <f>'MERCADO TE'!$U$18</f>
        <v>0</v>
      </c>
      <c r="J21" s="18"/>
      <c r="L21" s="37">
        <f>'TE BE'!$L$21*'TE BE'!$L$51</f>
        <v>-1.132343588762435E-5</v>
      </c>
      <c r="M21" s="37">
        <f>'TE BE'!$M$21*'TE BE'!$M$51</f>
        <v>-12.967453342254109</v>
      </c>
      <c r="N21" s="37">
        <f>'TE BE'!$N$21*'TE BE'!$N$51</f>
        <v>0</v>
      </c>
      <c r="O21" s="37">
        <f>'TE BE'!$O$21*'TE BE'!$O$51</f>
        <v>-0.37504145358276403</v>
      </c>
      <c r="P21" s="37">
        <f>SUM($L$21:$O$21)</f>
        <v>-13.342506119272761</v>
      </c>
      <c r="Q21" s="37">
        <f>'TE BE'!$Q$21*'TE BE'!$Q$51</f>
        <v>-22.998848689711508</v>
      </c>
      <c r="R21" s="37">
        <f>SUM($Q$21:$Q$21)</f>
        <v>-22.998848689711508</v>
      </c>
      <c r="S21" s="37">
        <f>'TE BE'!$S$21*'TE BE'!$S$51</f>
        <v>0</v>
      </c>
      <c r="T21" s="37">
        <f>'TE BE'!$T$21*'TE BE'!$T$51</f>
        <v>0</v>
      </c>
      <c r="U21" s="37">
        <f>'TE BE'!$U$21*'TE BE'!$U$51</f>
        <v>0</v>
      </c>
      <c r="V21" s="37">
        <f>SUM($S$21:$U$21)</f>
        <v>0</v>
      </c>
      <c r="W21" s="37">
        <f>'TE BE'!$AA$21*'TE BE'!$W$51</f>
        <v>0</v>
      </c>
      <c r="X21" s="37">
        <f>SUM($W$21:$W$21)</f>
        <v>0</v>
      </c>
      <c r="Y21" s="37">
        <f>'TE BE'!$Y$21*'TE BE'!$Y$51</f>
        <v>-0.37956014657531545</v>
      </c>
      <c r="Z21" s="37">
        <f>SUM($Y$21:$Y$21)</f>
        <v>-0.37956014657531545</v>
      </c>
      <c r="AA21" s="37">
        <f>SUMIF($L$4:$Z$4,"SUBTOTAL",$L$21:$Z$21)</f>
        <v>-36.720914955559586</v>
      </c>
    </row>
    <row r="22" spans="1:27" ht="11.25" customHeight="1" x14ac:dyDescent="0.25">
      <c r="A22" s="135"/>
      <c r="B22" s="135"/>
      <c r="C22" s="135"/>
      <c r="D22" s="45" t="s">
        <v>34</v>
      </c>
      <c r="E22" s="45" t="s">
        <v>25</v>
      </c>
      <c r="F22" s="45" t="s">
        <v>25</v>
      </c>
      <c r="G22" s="39" t="s">
        <v>92</v>
      </c>
      <c r="H22" s="39" t="s">
        <v>86</v>
      </c>
      <c r="I22" s="39">
        <f>'MERCADO TE'!$U$19</f>
        <v>0</v>
      </c>
      <c r="J22" s="18"/>
      <c r="L22" s="37">
        <f>'TE BE'!$L$22*'TE BE'!$L$51</f>
        <v>-1.132343588762435E-5</v>
      </c>
      <c r="M22" s="37">
        <f>'TE BE'!$M$22*'TE BE'!$M$51</f>
        <v>-12.967453342254109</v>
      </c>
      <c r="N22" s="37">
        <f>'TE BE'!$N$22*'TE BE'!$N$51</f>
        <v>0</v>
      </c>
      <c r="O22" s="37">
        <f>'TE BE'!$O$22*'TE BE'!$O$51</f>
        <v>-0.37504145358276403</v>
      </c>
      <c r="P22" s="37">
        <f>SUM($L$22:$O$22)</f>
        <v>-13.342506119272761</v>
      </c>
      <c r="Q22" s="37">
        <f>'TE BE'!$Q$22*'TE BE'!$Q$51</f>
        <v>-22.998848689711508</v>
      </c>
      <c r="R22" s="37">
        <f>SUM($Q$22:$Q$22)</f>
        <v>-22.998848689711508</v>
      </c>
      <c r="S22" s="37">
        <f>'TE BE'!$S$22*'TE BE'!$S$51</f>
        <v>0</v>
      </c>
      <c r="T22" s="37">
        <f>'TE BE'!$T$22*'TE BE'!$T$51</f>
        <v>0</v>
      </c>
      <c r="U22" s="37">
        <f>'TE BE'!$U$22*'TE BE'!$U$51</f>
        <v>0</v>
      </c>
      <c r="V22" s="37">
        <f>SUM($S$22:$U$22)</f>
        <v>0</v>
      </c>
      <c r="W22" s="37">
        <f>'TE BE'!$AA$22*'TE BE'!$W$51</f>
        <v>0</v>
      </c>
      <c r="X22" s="37">
        <f>SUM($W$22:$W$22)</f>
        <v>0</v>
      </c>
      <c r="Y22" s="37">
        <f>'TE BE'!$Y$22*'TE BE'!$Y$51</f>
        <v>-0.37956014657531545</v>
      </c>
      <c r="Z22" s="37">
        <f>SUM($Y$22:$Y$22)</f>
        <v>-0.37956014657531545</v>
      </c>
      <c r="AA22" s="37">
        <f>SUMIF($L$4:$Z$4,"SUBTOTAL",$L$22:$Z$22)</f>
        <v>-36.720914955559586</v>
      </c>
    </row>
    <row r="23" spans="1:27" ht="11.25" customHeight="1" x14ac:dyDescent="0.25">
      <c r="A23" s="135" t="s">
        <v>46</v>
      </c>
      <c r="B23" s="135" t="s">
        <v>85</v>
      </c>
      <c r="C23" s="135" t="s">
        <v>47</v>
      </c>
      <c r="D23" s="135" t="s">
        <v>25</v>
      </c>
      <c r="E23" s="135" t="s">
        <v>25</v>
      </c>
      <c r="F23" s="135" t="s">
        <v>25</v>
      </c>
      <c r="G23" s="39" t="s">
        <v>87</v>
      </c>
      <c r="H23" s="39" t="s">
        <v>86</v>
      </c>
      <c r="I23" s="39">
        <f>'MERCADO TE'!$U$20</f>
        <v>0</v>
      </c>
      <c r="J23" s="18"/>
      <c r="L23" s="37">
        <f>'TE BE'!$L$23*'TE BE'!$L$51</f>
        <v>-1.132343588762435E-5</v>
      </c>
      <c r="M23" s="37">
        <f>'TE BE'!$M$23*'TE BE'!$M$51</f>
        <v>-12.967453342254109</v>
      </c>
      <c r="N23" s="37">
        <f>'TE BE'!$N$23*'TE BE'!$N$51</f>
        <v>0</v>
      </c>
      <c r="O23" s="37">
        <f>'TE BE'!$O$23*'TE BE'!$O$51</f>
        <v>-0.37504145358276403</v>
      </c>
      <c r="P23" s="37">
        <f>SUM($L$23:$O$23)</f>
        <v>-13.342506119272761</v>
      </c>
      <c r="Q23" s="37">
        <f>'TE BE'!$Q$23*'TE BE'!$Q$51</f>
        <v>-37.318886553116783</v>
      </c>
      <c r="R23" s="37">
        <f>SUM($Q$23:$Q$23)</f>
        <v>-37.318886553116783</v>
      </c>
      <c r="S23" s="37">
        <f>'TE BE'!$S$23*'TE BE'!$S$51</f>
        <v>0</v>
      </c>
      <c r="T23" s="37">
        <f>'TE BE'!$T$23*'TE BE'!$T$51</f>
        <v>0</v>
      </c>
      <c r="U23" s="37">
        <f>'TE BE'!$U$23*'TE BE'!$U$51</f>
        <v>0</v>
      </c>
      <c r="V23" s="37">
        <f>SUM($S$23:$U$23)</f>
        <v>0</v>
      </c>
      <c r="W23" s="37">
        <f>'TE BE'!$AA$23*'TE BE'!$W$51</f>
        <v>0</v>
      </c>
      <c r="X23" s="37">
        <f>SUM($W$23:$W$23)</f>
        <v>0</v>
      </c>
      <c r="Y23" s="37">
        <f>'TE BE'!$Y$23*'TE BE'!$Y$51</f>
        <v>-0.37956014657531545</v>
      </c>
      <c r="Z23" s="37">
        <f>SUM($Y$23:$Y$23)</f>
        <v>-0.37956014657531545</v>
      </c>
      <c r="AA23" s="37">
        <f>SUMIF($L$4:$Z$4,"SUBTOTAL",$L$23:$Z$23)</f>
        <v>-51.040952818964861</v>
      </c>
    </row>
    <row r="24" spans="1:27" ht="11.25" customHeight="1" x14ac:dyDescent="0.25">
      <c r="A24" s="135"/>
      <c r="B24" s="135"/>
      <c r="C24" s="135"/>
      <c r="D24" s="135"/>
      <c r="E24" s="135"/>
      <c r="F24" s="135"/>
      <c r="G24" s="39" t="s">
        <v>98</v>
      </c>
      <c r="H24" s="39" t="s">
        <v>86</v>
      </c>
      <c r="I24" s="39">
        <f>'MERCADO TE'!$U$21</f>
        <v>5.0000000000000001E-3</v>
      </c>
      <c r="J24" s="18"/>
      <c r="L24" s="37">
        <f>'TE BE'!$L$24*'TE BE'!$L$51</f>
        <v>-1.132343588762435E-5</v>
      </c>
      <c r="M24" s="37">
        <f>'TE BE'!$M$24*'TE BE'!$M$51</f>
        <v>-12.967453342254109</v>
      </c>
      <c r="N24" s="37">
        <f>'TE BE'!$N$24*'TE BE'!$N$51</f>
        <v>0</v>
      </c>
      <c r="O24" s="37">
        <f>'TE BE'!$O$24*'TE BE'!$O$51</f>
        <v>-0.37504145358276403</v>
      </c>
      <c r="P24" s="37">
        <f>SUM($L$24:$O$24)</f>
        <v>-13.342506119272761</v>
      </c>
      <c r="Q24" s="37">
        <f>'TE BE'!$Q$24*'TE BE'!$Q$51</f>
        <v>-21.697027065765571</v>
      </c>
      <c r="R24" s="37">
        <f>SUM($Q$24:$Q$24)</f>
        <v>-21.697027065765571</v>
      </c>
      <c r="S24" s="37">
        <f>'TE BE'!$S$24*'TE BE'!$S$51</f>
        <v>0</v>
      </c>
      <c r="T24" s="37">
        <f>'TE BE'!$T$24*'TE BE'!$T$51</f>
        <v>0</v>
      </c>
      <c r="U24" s="37">
        <f>'TE BE'!$U$24*'TE BE'!$U$51</f>
        <v>0</v>
      </c>
      <c r="V24" s="37">
        <f>SUM($S$24:$U$24)</f>
        <v>0</v>
      </c>
      <c r="W24" s="37">
        <f>'TE BE'!$AA$24*'TE BE'!$W$51</f>
        <v>0</v>
      </c>
      <c r="X24" s="37">
        <f>SUM($W$24:$W$24)</f>
        <v>0</v>
      </c>
      <c r="Y24" s="37">
        <f>'TE BE'!$Y$24*'TE BE'!$Y$51</f>
        <v>-0.37956014657531545</v>
      </c>
      <c r="Z24" s="37">
        <f>SUM($Y$24:$Y$24)</f>
        <v>-0.37956014657531545</v>
      </c>
      <c r="AA24" s="37">
        <f>SUMIF($L$4:$Z$4,"SUBTOTAL",$L$24:$Z$24)</f>
        <v>-35.419093331613645</v>
      </c>
    </row>
    <row r="25" spans="1:27" ht="11.25" customHeight="1" x14ac:dyDescent="0.25">
      <c r="A25" s="135"/>
      <c r="B25" s="135"/>
      <c r="C25" s="135"/>
      <c r="D25" s="135"/>
      <c r="E25" s="135"/>
      <c r="F25" s="135"/>
      <c r="G25" s="39" t="s">
        <v>88</v>
      </c>
      <c r="H25" s="39" t="s">
        <v>86</v>
      </c>
      <c r="I25" s="39">
        <f>'MERCADO TE'!$U$22</f>
        <v>0.54600000000000004</v>
      </c>
      <c r="J25" s="18"/>
      <c r="L25" s="37">
        <f>'TE BE'!$L$25*'TE BE'!$L$51</f>
        <v>-1.132343588762435E-5</v>
      </c>
      <c r="M25" s="37">
        <f>'TE BE'!$M$25*'TE BE'!$M$51</f>
        <v>-12.967453342254109</v>
      </c>
      <c r="N25" s="37">
        <f>'TE BE'!$N$25*'TE BE'!$N$51</f>
        <v>0</v>
      </c>
      <c r="O25" s="37">
        <f>'TE BE'!$O$25*'TE BE'!$O$51</f>
        <v>-0.37504145358276403</v>
      </c>
      <c r="P25" s="37">
        <f>SUM($L$25:$O$25)</f>
        <v>-13.342506119272761</v>
      </c>
      <c r="Q25" s="37">
        <f>'TE BE'!$Q$25*'TE BE'!$Q$51</f>
        <v>-21.697027065765571</v>
      </c>
      <c r="R25" s="37">
        <f>SUM($Q$25:$Q$25)</f>
        <v>-21.697027065765571</v>
      </c>
      <c r="S25" s="37">
        <f>'TE BE'!$S$25*'TE BE'!$S$51</f>
        <v>0</v>
      </c>
      <c r="T25" s="37">
        <f>'TE BE'!$T$25*'TE BE'!$T$51</f>
        <v>0</v>
      </c>
      <c r="U25" s="37">
        <f>'TE BE'!$U$25*'TE BE'!$U$51</f>
        <v>0</v>
      </c>
      <c r="V25" s="37">
        <f>SUM($S$25:$U$25)</f>
        <v>0</v>
      </c>
      <c r="W25" s="37">
        <f>'TE BE'!$AA$25*'TE BE'!$W$51</f>
        <v>0</v>
      </c>
      <c r="X25" s="37">
        <f>SUM($W$25:$W$25)</f>
        <v>0</v>
      </c>
      <c r="Y25" s="37">
        <f>'TE BE'!$Y$25*'TE BE'!$Y$51</f>
        <v>-0.37956014657531545</v>
      </c>
      <c r="Z25" s="37">
        <f>SUM($Y$25:$Y$25)</f>
        <v>-0.37956014657531545</v>
      </c>
      <c r="AA25" s="37">
        <f>SUMIF($L$4:$Z$4,"SUBTOTAL",$L$25:$Z$25)</f>
        <v>-35.419093331613645</v>
      </c>
    </row>
    <row r="26" spans="1:27" ht="11.25" customHeight="1" x14ac:dyDescent="0.25">
      <c r="A26" s="135"/>
      <c r="B26" s="45" t="s">
        <v>94</v>
      </c>
      <c r="C26" s="45" t="s">
        <v>47</v>
      </c>
      <c r="D26" s="45" t="s">
        <v>25</v>
      </c>
      <c r="E26" s="45" t="s">
        <v>25</v>
      </c>
      <c r="F26" s="45" t="s">
        <v>25</v>
      </c>
      <c r="G26" s="39" t="s">
        <v>92</v>
      </c>
      <c r="H26" s="39" t="s">
        <v>86</v>
      </c>
      <c r="I26" s="39">
        <f>'MERCADO TE'!$U$23</f>
        <v>64418.971000000005</v>
      </c>
      <c r="J26" s="18"/>
      <c r="L26" s="37">
        <f>'TE BE'!$L$26*'TE BE'!$L$51</f>
        <v>-1.132343588762435E-5</v>
      </c>
      <c r="M26" s="37">
        <f>'TE BE'!$M$26*'TE BE'!$M$51</f>
        <v>-12.967453342254109</v>
      </c>
      <c r="N26" s="37">
        <f>'TE BE'!$N$26*'TE BE'!$N$51</f>
        <v>0</v>
      </c>
      <c r="O26" s="37">
        <f>'TE BE'!$O$26*'TE BE'!$O$51</f>
        <v>-0.37504145358276403</v>
      </c>
      <c r="P26" s="37">
        <f>SUM($L$26:$O$26)</f>
        <v>-13.342506119272761</v>
      </c>
      <c r="Q26" s="37">
        <f>'TE BE'!$Q$26*'TE BE'!$Q$51</f>
        <v>-22.998848689711508</v>
      </c>
      <c r="R26" s="37">
        <f>SUM($Q$26:$Q$26)</f>
        <v>-22.998848689711508</v>
      </c>
      <c r="S26" s="37">
        <f>'TE BE'!$S$26*'TE BE'!$S$51</f>
        <v>0</v>
      </c>
      <c r="T26" s="37">
        <f>'TE BE'!$T$26*'TE BE'!$T$51</f>
        <v>0</v>
      </c>
      <c r="U26" s="37">
        <f>'TE BE'!$U$26*'TE BE'!$U$51</f>
        <v>0</v>
      </c>
      <c r="V26" s="37">
        <f>SUM($S$26:$U$26)</f>
        <v>0</v>
      </c>
      <c r="W26" s="37">
        <f>'TE BE'!$AA$26*'TE BE'!$W$51</f>
        <v>0</v>
      </c>
      <c r="X26" s="37">
        <f>SUM($W$26:$W$26)</f>
        <v>0</v>
      </c>
      <c r="Y26" s="37">
        <f>'TE BE'!$Y$26*'TE BE'!$Y$51</f>
        <v>-0.37956014657531545</v>
      </c>
      <c r="Z26" s="37">
        <f>SUM($Y$26:$Y$26)</f>
        <v>-0.37956014657531545</v>
      </c>
      <c r="AA26" s="37">
        <f>SUMIF($L$4:$Z$4,"SUBTOTAL",$L$26:$Z$26)</f>
        <v>-36.720914955559586</v>
      </c>
    </row>
    <row r="27" spans="1:27" ht="11.25" customHeight="1" x14ac:dyDescent="0.25">
      <c r="A27" s="135"/>
      <c r="B27" s="135" t="s">
        <v>85</v>
      </c>
      <c r="C27" s="135" t="s">
        <v>47</v>
      </c>
      <c r="D27" s="135" t="s">
        <v>101</v>
      </c>
      <c r="E27" s="135" t="s">
        <v>25</v>
      </c>
      <c r="F27" s="135" t="s">
        <v>25</v>
      </c>
      <c r="G27" s="39" t="s">
        <v>87</v>
      </c>
      <c r="H27" s="39" t="s">
        <v>86</v>
      </c>
      <c r="I27" s="39">
        <f>'MERCADO TE'!$U$24</f>
        <v>0</v>
      </c>
      <c r="J27" s="18"/>
      <c r="L27" s="37">
        <f>'TE BE'!$L$27*'TE BE'!$L$51</f>
        <v>-1.132343588762435E-5</v>
      </c>
      <c r="M27" s="37">
        <f>'TE BE'!$M$27*'TE BE'!$M$51</f>
        <v>-12.967453342254109</v>
      </c>
      <c r="N27" s="37">
        <f>'TE BE'!$N$27*'TE BE'!$N$51</f>
        <v>0</v>
      </c>
      <c r="O27" s="37">
        <f>'TE BE'!$O$27*'TE BE'!$O$51</f>
        <v>-0.37504145358276403</v>
      </c>
      <c r="P27" s="37">
        <f>SUM($L$27:$O$27)</f>
        <v>-13.342506119272761</v>
      </c>
      <c r="Q27" s="37">
        <f>'TE BE'!$Q$27*'TE BE'!$Q$51</f>
        <v>-37.318886553116783</v>
      </c>
      <c r="R27" s="37">
        <f>SUM($Q$27:$Q$27)</f>
        <v>-37.318886553116783</v>
      </c>
      <c r="S27" s="37">
        <f>'TE BE'!$S$27*'TE BE'!$S$51</f>
        <v>0</v>
      </c>
      <c r="T27" s="37">
        <f>'TE BE'!$T$27*'TE BE'!$T$51</f>
        <v>0</v>
      </c>
      <c r="U27" s="37">
        <f>'TE BE'!$U$27*'TE BE'!$U$51</f>
        <v>0</v>
      </c>
      <c r="V27" s="37">
        <f>SUM($S$27:$U$27)</f>
        <v>0</v>
      </c>
      <c r="W27" s="37">
        <f>'TE BE'!$AA$27*'TE BE'!$W$51</f>
        <v>0</v>
      </c>
      <c r="X27" s="37">
        <f>SUM($W$27:$W$27)</f>
        <v>0</v>
      </c>
      <c r="Y27" s="37">
        <f>'TE BE'!$Y$27*'TE BE'!$Y$51</f>
        <v>-0.37956014657531545</v>
      </c>
      <c r="Z27" s="37">
        <f>SUM($Y$27:$Y$27)</f>
        <v>-0.37956014657531545</v>
      </c>
      <c r="AA27" s="37">
        <f>SUMIF($L$4:$Z$4,"SUBTOTAL",$L$27:$Z$27)</f>
        <v>-51.040952818964861</v>
      </c>
    </row>
    <row r="28" spans="1:27" ht="11.25" customHeight="1" x14ac:dyDescent="0.25">
      <c r="A28" s="135"/>
      <c r="B28" s="135"/>
      <c r="C28" s="135"/>
      <c r="D28" s="135"/>
      <c r="E28" s="135"/>
      <c r="F28" s="135"/>
      <c r="G28" s="39" t="s">
        <v>98</v>
      </c>
      <c r="H28" s="39" t="s">
        <v>86</v>
      </c>
      <c r="I28" s="39">
        <f>'MERCADO TE'!$U$25</f>
        <v>0</v>
      </c>
      <c r="J28" s="18"/>
      <c r="L28" s="37">
        <f>'TE BE'!$L$28*'TE BE'!$L$51</f>
        <v>-1.132343588762435E-5</v>
      </c>
      <c r="M28" s="37">
        <f>'TE BE'!$M$28*'TE BE'!$M$51</f>
        <v>-12.967453342254109</v>
      </c>
      <c r="N28" s="37">
        <f>'TE BE'!$N$28*'TE BE'!$N$51</f>
        <v>0</v>
      </c>
      <c r="O28" s="37">
        <f>'TE BE'!$O$28*'TE BE'!$O$51</f>
        <v>-0.37504145358276403</v>
      </c>
      <c r="P28" s="37">
        <f>SUM($L$28:$O$28)</f>
        <v>-13.342506119272761</v>
      </c>
      <c r="Q28" s="37">
        <f>'TE BE'!$Q$28*'TE BE'!$Q$51</f>
        <v>-21.697027065765571</v>
      </c>
      <c r="R28" s="37">
        <f>SUM($Q$28:$Q$28)</f>
        <v>-21.697027065765571</v>
      </c>
      <c r="S28" s="37">
        <f>'TE BE'!$S$28*'TE BE'!$S$51</f>
        <v>0</v>
      </c>
      <c r="T28" s="37">
        <f>'TE BE'!$T$28*'TE BE'!$T$51</f>
        <v>0</v>
      </c>
      <c r="U28" s="37">
        <f>'TE BE'!$U$28*'TE BE'!$U$51</f>
        <v>0</v>
      </c>
      <c r="V28" s="37">
        <f>SUM($S$28:$U$28)</f>
        <v>0</v>
      </c>
      <c r="W28" s="37">
        <f>'TE BE'!$AA$28*'TE BE'!$W$51</f>
        <v>0</v>
      </c>
      <c r="X28" s="37">
        <f>SUM($W$28:$W$28)</f>
        <v>0</v>
      </c>
      <c r="Y28" s="37">
        <f>'TE BE'!$Y$28*'TE BE'!$Y$51</f>
        <v>-0.37956014657531545</v>
      </c>
      <c r="Z28" s="37">
        <f>SUM($Y$28:$Y$28)</f>
        <v>-0.37956014657531545</v>
      </c>
      <c r="AA28" s="37">
        <f>SUMIF($L$4:$Z$4,"SUBTOTAL",$L$28:$Z$28)</f>
        <v>-35.419093331613645</v>
      </c>
    </row>
    <row r="29" spans="1:27" ht="11.25" customHeight="1" x14ac:dyDescent="0.25">
      <c r="A29" s="135"/>
      <c r="B29" s="135"/>
      <c r="C29" s="135"/>
      <c r="D29" s="135"/>
      <c r="E29" s="135"/>
      <c r="F29" s="135"/>
      <c r="G29" s="39" t="s">
        <v>88</v>
      </c>
      <c r="H29" s="39" t="s">
        <v>86</v>
      </c>
      <c r="I29" s="39">
        <f>'MERCADO TE'!$U$26</f>
        <v>0</v>
      </c>
      <c r="J29" s="18"/>
      <c r="L29" s="37">
        <f>'TE BE'!$L$29*'TE BE'!$L$51</f>
        <v>-1.132343588762435E-5</v>
      </c>
      <c r="M29" s="37">
        <f>'TE BE'!$M$29*'TE BE'!$M$51</f>
        <v>-12.967453342254109</v>
      </c>
      <c r="N29" s="37">
        <f>'TE BE'!$N$29*'TE BE'!$N$51</f>
        <v>0</v>
      </c>
      <c r="O29" s="37">
        <f>'TE BE'!$O$29*'TE BE'!$O$51</f>
        <v>-0.37504145358276403</v>
      </c>
      <c r="P29" s="37">
        <f>SUM($L$29:$O$29)</f>
        <v>-13.342506119272761</v>
      </c>
      <c r="Q29" s="37">
        <f>'TE BE'!$Q$29*'TE BE'!$Q$51</f>
        <v>-21.697027065765571</v>
      </c>
      <c r="R29" s="37">
        <f>SUM($Q$29:$Q$29)</f>
        <v>-21.697027065765571</v>
      </c>
      <c r="S29" s="37">
        <f>'TE BE'!$S$29*'TE BE'!$S$51</f>
        <v>0</v>
      </c>
      <c r="T29" s="37">
        <f>'TE BE'!$T$29*'TE BE'!$T$51</f>
        <v>0</v>
      </c>
      <c r="U29" s="37">
        <f>'TE BE'!$U$29*'TE BE'!$U$51</f>
        <v>0</v>
      </c>
      <c r="V29" s="37">
        <f>SUM($S$29:$U$29)</f>
        <v>0</v>
      </c>
      <c r="W29" s="37">
        <f>'TE BE'!$AA$29*'TE BE'!$W$51</f>
        <v>0</v>
      </c>
      <c r="X29" s="37">
        <f>SUM($W$29:$W$29)</f>
        <v>0</v>
      </c>
      <c r="Y29" s="37">
        <f>'TE BE'!$Y$29*'TE BE'!$Y$51</f>
        <v>-0.37956014657531545</v>
      </c>
      <c r="Z29" s="37">
        <f>SUM($Y$29:$Y$29)</f>
        <v>-0.37956014657531545</v>
      </c>
      <c r="AA29" s="37">
        <f>SUMIF($L$4:$Z$4,"SUBTOTAL",$L$29:$Z$29)</f>
        <v>-35.419093331613645</v>
      </c>
    </row>
    <row r="30" spans="1:27" ht="11.25" customHeight="1" x14ac:dyDescent="0.25">
      <c r="A30" s="135"/>
      <c r="B30" s="45" t="s">
        <v>94</v>
      </c>
      <c r="C30" s="45" t="s">
        <v>47</v>
      </c>
      <c r="D30" s="45" t="s">
        <v>101</v>
      </c>
      <c r="E30" s="45" t="s">
        <v>25</v>
      </c>
      <c r="F30" s="45" t="s">
        <v>25</v>
      </c>
      <c r="G30" s="39" t="s">
        <v>92</v>
      </c>
      <c r="H30" s="39" t="s">
        <v>86</v>
      </c>
      <c r="I30" s="39">
        <f>'MERCADO TE'!$U$27</f>
        <v>0</v>
      </c>
      <c r="J30" s="18"/>
      <c r="L30" s="37">
        <f>'TE BE'!$L$30*'TE BE'!$L$51</f>
        <v>-1.132343588762435E-5</v>
      </c>
      <c r="M30" s="37">
        <f>'TE BE'!$M$30*'TE BE'!$M$51</f>
        <v>-12.967453342254109</v>
      </c>
      <c r="N30" s="37">
        <f>'TE BE'!$N$30*'TE BE'!$N$51</f>
        <v>0</v>
      </c>
      <c r="O30" s="37">
        <f>'TE BE'!$O$30*'TE BE'!$O$51</f>
        <v>-0.37504145358276403</v>
      </c>
      <c r="P30" s="37">
        <f>SUM($L$30:$O$30)</f>
        <v>-13.342506119272761</v>
      </c>
      <c r="Q30" s="37">
        <f>'TE BE'!$Q$30*'TE BE'!$Q$51</f>
        <v>-22.998848689711508</v>
      </c>
      <c r="R30" s="37">
        <f>SUM($Q$30:$Q$30)</f>
        <v>-22.998848689711508</v>
      </c>
      <c r="S30" s="37">
        <f>'TE BE'!$S$30*'TE BE'!$S$51</f>
        <v>0</v>
      </c>
      <c r="T30" s="37">
        <f>'TE BE'!$T$30*'TE BE'!$T$51</f>
        <v>0</v>
      </c>
      <c r="U30" s="37">
        <f>'TE BE'!$U$30*'TE BE'!$U$51</f>
        <v>0</v>
      </c>
      <c r="V30" s="37">
        <f>SUM($S$30:$U$30)</f>
        <v>0</v>
      </c>
      <c r="W30" s="37">
        <f>'TE BE'!$AA$30*'TE BE'!$W$51</f>
        <v>0</v>
      </c>
      <c r="X30" s="37">
        <f>SUM($W$30:$W$30)</f>
        <v>0</v>
      </c>
      <c r="Y30" s="37">
        <f>'TE BE'!$Y$30*'TE BE'!$Y$51</f>
        <v>-0.37956014657531545</v>
      </c>
      <c r="Z30" s="37">
        <f>SUM($Y$30:$Y$30)</f>
        <v>-0.37956014657531545</v>
      </c>
      <c r="AA30" s="37">
        <f>SUMIF($L$4:$Z$4,"SUBTOTAL",$L$30:$Z$30)</f>
        <v>-36.720914955559586</v>
      </c>
    </row>
    <row r="31" spans="1:27" ht="11.25" customHeight="1" x14ac:dyDescent="0.25">
      <c r="A31" s="135"/>
      <c r="B31" s="135" t="s">
        <v>85</v>
      </c>
      <c r="C31" s="135" t="s">
        <v>47</v>
      </c>
      <c r="D31" s="135" t="s">
        <v>55</v>
      </c>
      <c r="E31" s="135" t="s">
        <v>25</v>
      </c>
      <c r="F31" s="135" t="s">
        <v>25</v>
      </c>
      <c r="G31" s="39" t="s">
        <v>87</v>
      </c>
      <c r="H31" s="39" t="s">
        <v>86</v>
      </c>
      <c r="I31" s="39">
        <f>'MERCADO TE'!$U$28</f>
        <v>0</v>
      </c>
      <c r="J31" s="18"/>
      <c r="L31" s="37">
        <f>'TE BE'!$L$31*'TE BE'!$L$51</f>
        <v>-1.132343588762435E-5</v>
      </c>
      <c r="M31" s="37">
        <f>'TE BE'!$M$31*'TE BE'!$M$51</f>
        <v>-12.967453342254109</v>
      </c>
      <c r="N31" s="37">
        <f>'TE BE'!$N$31*'TE BE'!$N$51</f>
        <v>0</v>
      </c>
      <c r="O31" s="37">
        <f>'TE BE'!$O$31*'TE BE'!$O$51</f>
        <v>-0.37504145358276403</v>
      </c>
      <c r="P31" s="37">
        <f>SUM($L$31:$O$31)</f>
        <v>-13.342506119272761</v>
      </c>
      <c r="Q31" s="37">
        <f>'TE BE'!$Q$31*'TE BE'!$Q$51</f>
        <v>-37.318886553116783</v>
      </c>
      <c r="R31" s="37">
        <f>SUM($Q$31:$Q$31)</f>
        <v>-37.318886553116783</v>
      </c>
      <c r="S31" s="37">
        <f>'TE BE'!$S$31*'TE BE'!$S$51</f>
        <v>0</v>
      </c>
      <c r="T31" s="37">
        <f>'TE BE'!$T$31*'TE BE'!$T$51</f>
        <v>0</v>
      </c>
      <c r="U31" s="37">
        <f>'TE BE'!$U$31*'TE BE'!$U$51</f>
        <v>0</v>
      </c>
      <c r="V31" s="37">
        <f>SUM($S$31:$U$31)</f>
        <v>0</v>
      </c>
      <c r="W31" s="37">
        <f>'TE BE'!$AA$31*'TE BE'!$W$51</f>
        <v>0</v>
      </c>
      <c r="X31" s="37">
        <f>SUM($W$31:$W$31)</f>
        <v>0</v>
      </c>
      <c r="Y31" s="37">
        <f>'TE BE'!$Y$31*'TE BE'!$Y$51</f>
        <v>-0.37956014657531545</v>
      </c>
      <c r="Z31" s="37">
        <f>SUM($Y$31:$Y$31)</f>
        <v>-0.37956014657531545</v>
      </c>
      <c r="AA31" s="37">
        <f>SUMIF($L$4:$Z$4,"SUBTOTAL",$L$31:$Z$31)</f>
        <v>-51.040952818964861</v>
      </c>
    </row>
    <row r="32" spans="1:27" ht="11.25" customHeight="1" x14ac:dyDescent="0.25">
      <c r="A32" s="135"/>
      <c r="B32" s="135"/>
      <c r="C32" s="135"/>
      <c r="D32" s="135"/>
      <c r="E32" s="135"/>
      <c r="F32" s="135"/>
      <c r="G32" s="39" t="s">
        <v>98</v>
      </c>
      <c r="H32" s="39" t="s">
        <v>86</v>
      </c>
      <c r="I32" s="39">
        <f>'MERCADO TE'!$U$29</f>
        <v>0</v>
      </c>
      <c r="J32" s="18"/>
      <c r="L32" s="37">
        <f>'TE BE'!$L$32*'TE BE'!$L$51</f>
        <v>-1.132343588762435E-5</v>
      </c>
      <c r="M32" s="37">
        <f>'TE BE'!$M$32*'TE BE'!$M$51</f>
        <v>-12.967453342254109</v>
      </c>
      <c r="N32" s="37">
        <f>'TE BE'!$N$32*'TE BE'!$N$51</f>
        <v>0</v>
      </c>
      <c r="O32" s="37">
        <f>'TE BE'!$O$32*'TE BE'!$O$51</f>
        <v>-0.37504145358276403</v>
      </c>
      <c r="P32" s="37">
        <f>SUM($L$32:$O$32)</f>
        <v>-13.342506119272761</v>
      </c>
      <c r="Q32" s="37">
        <f>'TE BE'!$Q$32*'TE BE'!$Q$51</f>
        <v>-21.697027065765571</v>
      </c>
      <c r="R32" s="37">
        <f>SUM($Q$32:$Q$32)</f>
        <v>-21.697027065765571</v>
      </c>
      <c r="S32" s="37">
        <f>'TE BE'!$S$32*'TE BE'!$S$51</f>
        <v>0</v>
      </c>
      <c r="T32" s="37">
        <f>'TE BE'!$T$32*'TE BE'!$T$51</f>
        <v>0</v>
      </c>
      <c r="U32" s="37">
        <f>'TE BE'!$U$32*'TE BE'!$U$51</f>
        <v>0</v>
      </c>
      <c r="V32" s="37">
        <f>SUM($S$32:$U$32)</f>
        <v>0</v>
      </c>
      <c r="W32" s="37">
        <f>'TE BE'!$AA$32*'TE BE'!$W$51</f>
        <v>0</v>
      </c>
      <c r="X32" s="37">
        <f>SUM($W$32:$W$32)</f>
        <v>0</v>
      </c>
      <c r="Y32" s="37">
        <f>'TE BE'!$Y$32*'TE BE'!$Y$51</f>
        <v>-0.37956014657531545</v>
      </c>
      <c r="Z32" s="37">
        <f>SUM($Y$32:$Y$32)</f>
        <v>-0.37956014657531545</v>
      </c>
      <c r="AA32" s="37">
        <f>SUMIF($L$4:$Z$4,"SUBTOTAL",$L$32:$Z$32)</f>
        <v>-35.419093331613645</v>
      </c>
    </row>
    <row r="33" spans="1:27" ht="11.25" customHeight="1" x14ac:dyDescent="0.25">
      <c r="A33" s="135"/>
      <c r="B33" s="135"/>
      <c r="C33" s="135"/>
      <c r="D33" s="135"/>
      <c r="E33" s="135"/>
      <c r="F33" s="135"/>
      <c r="G33" s="39" t="s">
        <v>88</v>
      </c>
      <c r="H33" s="39" t="s">
        <v>86</v>
      </c>
      <c r="I33" s="39">
        <f>'MERCADO TE'!$U$30</f>
        <v>0</v>
      </c>
      <c r="J33" s="18"/>
      <c r="L33" s="37">
        <f>'TE BE'!$L$33*'TE BE'!$L$51</f>
        <v>-1.132343588762435E-5</v>
      </c>
      <c r="M33" s="37">
        <f>'TE BE'!$M$33*'TE BE'!$M$51</f>
        <v>-12.967453342254109</v>
      </c>
      <c r="N33" s="37">
        <f>'TE BE'!$N$33*'TE BE'!$N$51</f>
        <v>0</v>
      </c>
      <c r="O33" s="37">
        <f>'TE BE'!$O$33*'TE BE'!$O$51</f>
        <v>-0.37504145358276403</v>
      </c>
      <c r="P33" s="37">
        <f>SUM($L$33:$O$33)</f>
        <v>-13.342506119272761</v>
      </c>
      <c r="Q33" s="37">
        <f>'TE BE'!$Q$33*'TE BE'!$Q$51</f>
        <v>-21.697027065765571</v>
      </c>
      <c r="R33" s="37">
        <f>SUM($Q$33:$Q$33)</f>
        <v>-21.697027065765571</v>
      </c>
      <c r="S33" s="37">
        <f>'TE BE'!$S$33*'TE BE'!$S$51</f>
        <v>0</v>
      </c>
      <c r="T33" s="37">
        <f>'TE BE'!$T$33*'TE BE'!$T$51</f>
        <v>0</v>
      </c>
      <c r="U33" s="37">
        <f>'TE BE'!$U$33*'TE BE'!$U$51</f>
        <v>0</v>
      </c>
      <c r="V33" s="37">
        <f>SUM($S$33:$U$33)</f>
        <v>0</v>
      </c>
      <c r="W33" s="37">
        <f>'TE BE'!$AA$33*'TE BE'!$W$51</f>
        <v>0</v>
      </c>
      <c r="X33" s="37">
        <f>SUM($W$33:$W$33)</f>
        <v>0</v>
      </c>
      <c r="Y33" s="37">
        <f>'TE BE'!$Y$33*'TE BE'!$Y$51</f>
        <v>-0.37956014657531545</v>
      </c>
      <c r="Z33" s="37">
        <f>SUM($Y$33:$Y$33)</f>
        <v>-0.37956014657531545</v>
      </c>
      <c r="AA33" s="37">
        <f>SUMIF($L$4:$Z$4,"SUBTOTAL",$L$33:$Z$33)</f>
        <v>-35.419093331613645</v>
      </c>
    </row>
    <row r="34" spans="1:27" ht="11.25" customHeight="1" x14ac:dyDescent="0.25">
      <c r="A34" s="135"/>
      <c r="B34" s="45" t="s">
        <v>94</v>
      </c>
      <c r="C34" s="45" t="s">
        <v>47</v>
      </c>
      <c r="D34" s="45" t="s">
        <v>55</v>
      </c>
      <c r="E34" s="45" t="s">
        <v>25</v>
      </c>
      <c r="F34" s="45" t="s">
        <v>25</v>
      </c>
      <c r="G34" s="39" t="s">
        <v>92</v>
      </c>
      <c r="H34" s="39" t="s">
        <v>86</v>
      </c>
      <c r="I34" s="39">
        <f>'MERCADO TE'!$U$31</f>
        <v>26.512</v>
      </c>
      <c r="J34" s="18"/>
      <c r="L34" s="37">
        <f>'TE BE'!$L$34*'TE BE'!$L$51</f>
        <v>-1.132343588762435E-5</v>
      </c>
      <c r="M34" s="37">
        <f>'TE BE'!$M$34*'TE BE'!$M$51</f>
        <v>-12.967453342254109</v>
      </c>
      <c r="N34" s="37">
        <f>'TE BE'!$N$34*'TE BE'!$N$51</f>
        <v>0</v>
      </c>
      <c r="O34" s="37">
        <f>'TE BE'!$O$34*'TE BE'!$O$51</f>
        <v>-0.37504145358276403</v>
      </c>
      <c r="P34" s="37">
        <f>SUM($L$34:$O$34)</f>
        <v>-13.342506119272761</v>
      </c>
      <c r="Q34" s="37">
        <f>'TE BE'!$Q$34*'TE BE'!$Q$51</f>
        <v>-22.998848689711508</v>
      </c>
      <c r="R34" s="37">
        <f>SUM($Q$34:$Q$34)</f>
        <v>-22.998848689711508</v>
      </c>
      <c r="S34" s="37">
        <f>'TE BE'!$S$34*'TE BE'!$S$51</f>
        <v>0</v>
      </c>
      <c r="T34" s="37">
        <f>'TE BE'!$T$34*'TE BE'!$T$51</f>
        <v>0</v>
      </c>
      <c r="U34" s="37">
        <f>'TE BE'!$U$34*'TE BE'!$U$51</f>
        <v>0</v>
      </c>
      <c r="V34" s="37">
        <f>SUM($S$34:$U$34)</f>
        <v>0</v>
      </c>
      <c r="W34" s="37">
        <f>'TE BE'!$AA$34*'TE BE'!$W$51</f>
        <v>0</v>
      </c>
      <c r="X34" s="37">
        <f>SUM($W$34:$W$34)</f>
        <v>0</v>
      </c>
      <c r="Y34" s="37">
        <f>'TE BE'!$Y$34*'TE BE'!$Y$51</f>
        <v>-0.37956014657531545</v>
      </c>
      <c r="Z34" s="37">
        <f>SUM($Y$34:$Y$34)</f>
        <v>-0.37956014657531545</v>
      </c>
      <c r="AA34" s="37">
        <f>SUMIF($L$4:$Z$4,"SUBTOTAL",$L$34:$Z$34)</f>
        <v>-36.720914955559586</v>
      </c>
    </row>
    <row r="35" spans="1:27" ht="11.25" customHeight="1" x14ac:dyDescent="0.25">
      <c r="A35" s="135"/>
      <c r="B35" s="135" t="s">
        <v>99</v>
      </c>
      <c r="C35" s="135" t="s">
        <v>47</v>
      </c>
      <c r="D35" s="45" t="s">
        <v>25</v>
      </c>
      <c r="E35" s="45" t="s">
        <v>25</v>
      </c>
      <c r="F35" s="45" t="s">
        <v>25</v>
      </c>
      <c r="G35" s="39" t="s">
        <v>92</v>
      </c>
      <c r="H35" s="39" t="s">
        <v>86</v>
      </c>
      <c r="I35" s="39">
        <f>'MERCADO TE'!$U$32</f>
        <v>0</v>
      </c>
      <c r="J35" s="18"/>
      <c r="L35" s="37">
        <f>'TE BE'!$L$35*'TE BE'!$L$51</f>
        <v>-1.132343588762435E-5</v>
      </c>
      <c r="M35" s="37">
        <f>'TE BE'!$M$35*'TE BE'!$M$51</f>
        <v>-12.967453342254109</v>
      </c>
      <c r="N35" s="37">
        <f>'TE BE'!$N$35*'TE BE'!$N$51</f>
        <v>0</v>
      </c>
      <c r="O35" s="37">
        <f>'TE BE'!$O$35*'TE BE'!$O$51</f>
        <v>-0.37504145358276403</v>
      </c>
      <c r="P35" s="37">
        <f>SUM($L$35:$O$35)</f>
        <v>-13.342506119272761</v>
      </c>
      <c r="Q35" s="37">
        <f>'TE BE'!$Q$35*'TE BE'!$Q$51</f>
        <v>-22.998848689711508</v>
      </c>
      <c r="R35" s="37">
        <f>SUM($Q$35:$Q$35)</f>
        <v>-22.998848689711508</v>
      </c>
      <c r="S35" s="37">
        <f>'TE BE'!$S$35*'TE BE'!$S$51</f>
        <v>0</v>
      </c>
      <c r="T35" s="37">
        <f>'TE BE'!$T$35*'TE BE'!$T$51</f>
        <v>0</v>
      </c>
      <c r="U35" s="37">
        <f>'TE BE'!$U$35*'TE BE'!$U$51</f>
        <v>0</v>
      </c>
      <c r="V35" s="37">
        <f>SUM($S$35:$U$35)</f>
        <v>0</v>
      </c>
      <c r="W35" s="37">
        <f>'TE BE'!$AA$35*'TE BE'!$W$51</f>
        <v>0</v>
      </c>
      <c r="X35" s="37">
        <f>SUM($W$35:$W$35)</f>
        <v>0</v>
      </c>
      <c r="Y35" s="37">
        <f>'TE BE'!$Y$35*'TE BE'!$Y$51</f>
        <v>-0.37956014657531545</v>
      </c>
      <c r="Z35" s="37">
        <f>SUM($Y$35:$Y$35)</f>
        <v>-0.37956014657531545</v>
      </c>
      <c r="AA35" s="37">
        <f>SUMIF($L$4:$Z$4,"SUBTOTAL",$L$35:$Z$35)</f>
        <v>-36.720914955559586</v>
      </c>
    </row>
    <row r="36" spans="1:27" ht="11.25" customHeight="1" x14ac:dyDescent="0.25">
      <c r="A36" s="135"/>
      <c r="B36" s="135"/>
      <c r="C36" s="135"/>
      <c r="D36" s="45" t="s">
        <v>101</v>
      </c>
      <c r="E36" s="45" t="s">
        <v>25</v>
      </c>
      <c r="F36" s="45" t="s">
        <v>25</v>
      </c>
      <c r="G36" s="39" t="s">
        <v>92</v>
      </c>
      <c r="H36" s="39" t="s">
        <v>86</v>
      </c>
      <c r="I36" s="39">
        <f>'MERCADO TE'!$U$33</f>
        <v>0</v>
      </c>
      <c r="J36" s="18"/>
      <c r="L36" s="37">
        <f>'TE BE'!$L$36*'TE BE'!$L$51</f>
        <v>-1.132343588762435E-5</v>
      </c>
      <c r="M36" s="37">
        <f>'TE BE'!$M$36*'TE BE'!$M$51</f>
        <v>-12.967453342254109</v>
      </c>
      <c r="N36" s="37">
        <f>'TE BE'!$N$36*'TE BE'!$N$51</f>
        <v>0</v>
      </c>
      <c r="O36" s="37">
        <f>'TE BE'!$O$36*'TE BE'!$O$51</f>
        <v>-0.37504145358276403</v>
      </c>
      <c r="P36" s="37">
        <f>SUM($L$36:$O$36)</f>
        <v>-13.342506119272761</v>
      </c>
      <c r="Q36" s="37">
        <f>'TE BE'!$Q$36*'TE BE'!$Q$51</f>
        <v>-22.998848689711508</v>
      </c>
      <c r="R36" s="37">
        <f>SUM($Q$36:$Q$36)</f>
        <v>-22.998848689711508</v>
      </c>
      <c r="S36" s="37">
        <f>'TE BE'!$S$36*'TE BE'!$S$51</f>
        <v>0</v>
      </c>
      <c r="T36" s="37">
        <f>'TE BE'!$T$36*'TE BE'!$T$51</f>
        <v>0</v>
      </c>
      <c r="U36" s="37">
        <f>'TE BE'!$U$36*'TE BE'!$U$51</f>
        <v>0</v>
      </c>
      <c r="V36" s="37">
        <f>SUM($S$36:$U$36)</f>
        <v>0</v>
      </c>
      <c r="W36" s="37">
        <f>'TE BE'!$AA$36*'TE BE'!$W$51</f>
        <v>0</v>
      </c>
      <c r="X36" s="37">
        <f>SUM($W$36:$W$36)</f>
        <v>0</v>
      </c>
      <c r="Y36" s="37">
        <f>'TE BE'!$Y$36*'TE BE'!$Y$51</f>
        <v>-0.37956014657531545</v>
      </c>
      <c r="Z36" s="37">
        <f>SUM($Y$36:$Y$36)</f>
        <v>-0.37956014657531545</v>
      </c>
      <c r="AA36" s="37">
        <f>SUMIF($L$4:$Z$4,"SUBTOTAL",$L$36:$Z$36)</f>
        <v>-36.720914955559586</v>
      </c>
    </row>
    <row r="37" spans="1:27" ht="11.25" customHeight="1" x14ac:dyDescent="0.25">
      <c r="A37" s="135"/>
      <c r="B37" s="135"/>
      <c r="C37" s="135"/>
      <c r="D37" s="45" t="s">
        <v>55</v>
      </c>
      <c r="E37" s="45" t="s">
        <v>25</v>
      </c>
      <c r="F37" s="45" t="s">
        <v>25</v>
      </c>
      <c r="G37" s="39" t="s">
        <v>92</v>
      </c>
      <c r="H37" s="39" t="s">
        <v>86</v>
      </c>
      <c r="I37" s="39">
        <f>'MERCADO TE'!$U$34</f>
        <v>0</v>
      </c>
      <c r="J37" s="18"/>
      <c r="L37" s="37">
        <f>'TE BE'!$L$37*'TE BE'!$L$51</f>
        <v>-1.132343588762435E-5</v>
      </c>
      <c r="M37" s="37">
        <f>'TE BE'!$M$37*'TE BE'!$M$51</f>
        <v>-12.967453342254109</v>
      </c>
      <c r="N37" s="37">
        <f>'TE BE'!$N$37*'TE BE'!$N$51</f>
        <v>0</v>
      </c>
      <c r="O37" s="37">
        <f>'TE BE'!$O$37*'TE BE'!$O$51</f>
        <v>-0.37504145358276403</v>
      </c>
      <c r="P37" s="37">
        <f>SUM($L$37:$O$37)</f>
        <v>-13.342506119272761</v>
      </c>
      <c r="Q37" s="37">
        <f>'TE BE'!$Q$37*'TE BE'!$Q$51</f>
        <v>-22.998848689711508</v>
      </c>
      <c r="R37" s="37">
        <f>SUM($Q$37:$Q$37)</f>
        <v>-22.998848689711508</v>
      </c>
      <c r="S37" s="37">
        <f>'TE BE'!$S$37*'TE BE'!$S$51</f>
        <v>0</v>
      </c>
      <c r="T37" s="37">
        <f>'TE BE'!$T$37*'TE BE'!$T$51</f>
        <v>0</v>
      </c>
      <c r="U37" s="37">
        <f>'TE BE'!$U$37*'TE BE'!$U$51</f>
        <v>0</v>
      </c>
      <c r="V37" s="37">
        <f>SUM($S$37:$U$37)</f>
        <v>0</v>
      </c>
      <c r="W37" s="37">
        <f>'TE BE'!$AA$37*'TE BE'!$W$51</f>
        <v>0</v>
      </c>
      <c r="X37" s="37">
        <f>SUM($W$37:$W$37)</f>
        <v>0</v>
      </c>
      <c r="Y37" s="37">
        <f>'TE BE'!$Y$37*'TE BE'!$Y$51</f>
        <v>-0.37956014657531545</v>
      </c>
      <c r="Z37" s="37">
        <f>SUM($Y$37:$Y$37)</f>
        <v>-0.37956014657531545</v>
      </c>
      <c r="AA37" s="37">
        <f>SUMIF($L$4:$Z$4,"SUBTOTAL",$L$37:$Z$37)</f>
        <v>-36.720914955559586</v>
      </c>
    </row>
    <row r="38" spans="1:27" ht="11.25" customHeight="1" x14ac:dyDescent="0.25">
      <c r="A38" s="135" t="s">
        <v>41</v>
      </c>
      <c r="B38" s="135" t="s">
        <v>85</v>
      </c>
      <c r="C38" s="135" t="s">
        <v>25</v>
      </c>
      <c r="D38" s="135" t="s">
        <v>25</v>
      </c>
      <c r="E38" s="135" t="s">
        <v>25</v>
      </c>
      <c r="F38" s="135" t="s">
        <v>25</v>
      </c>
      <c r="G38" s="39" t="s">
        <v>87</v>
      </c>
      <c r="H38" s="39" t="s">
        <v>86</v>
      </c>
      <c r="I38" s="39">
        <f>'MERCADO TE'!$U$35</f>
        <v>159.50200000000001</v>
      </c>
      <c r="J38" s="18"/>
      <c r="L38" s="37">
        <f>'TE BE'!$L$38*'TE BE'!$L$51</f>
        <v>-1.132343588762435E-5</v>
      </c>
      <c r="M38" s="37">
        <f>'TE BE'!$M$38*'TE BE'!$M$51</f>
        <v>-12.967453342254109</v>
      </c>
      <c r="N38" s="37">
        <f>'TE BE'!$N$38*'TE BE'!$N$51</f>
        <v>0</v>
      </c>
      <c r="O38" s="37">
        <f>'TE BE'!$O$38*'TE BE'!$O$51</f>
        <v>-0.37504145358276403</v>
      </c>
      <c r="P38" s="37">
        <f>SUM($L$38:$O$38)</f>
        <v>-13.342506119272761</v>
      </c>
      <c r="Q38" s="37">
        <f>'TE BE'!$Q$38*'TE BE'!$Q$51</f>
        <v>-37.318886553116783</v>
      </c>
      <c r="R38" s="37">
        <f>SUM($Q$38:$Q$38)</f>
        <v>-37.318886553116783</v>
      </c>
      <c r="S38" s="37">
        <f>'TE BE'!$S$38*'TE BE'!$S$51</f>
        <v>0</v>
      </c>
      <c r="T38" s="37">
        <f>'TE BE'!$T$38*'TE BE'!$T$51</f>
        <v>0</v>
      </c>
      <c r="U38" s="37">
        <f>'TE BE'!$U$38*'TE BE'!$U$51</f>
        <v>0</v>
      </c>
      <c r="V38" s="37">
        <f>SUM($S$38:$U$38)</f>
        <v>0</v>
      </c>
      <c r="W38" s="37">
        <f>'TE BE'!$AA$38*'TE BE'!$W$51</f>
        <v>0</v>
      </c>
      <c r="X38" s="37">
        <f>SUM($W$38:$W$38)</f>
        <v>0</v>
      </c>
      <c r="Y38" s="37">
        <f>'TE BE'!$Y$38*'TE BE'!$Y$51</f>
        <v>-0.37956014657531545</v>
      </c>
      <c r="Z38" s="37">
        <f>SUM($Y$38:$Y$38)</f>
        <v>-0.37956014657531545</v>
      </c>
      <c r="AA38" s="37">
        <f>SUMIF($L$4:$Z$4,"SUBTOTAL",$L$38:$Z$38)</f>
        <v>-51.040952818964861</v>
      </c>
    </row>
    <row r="39" spans="1:27" ht="11.25" customHeight="1" x14ac:dyDescent="0.25">
      <c r="A39" s="135"/>
      <c r="B39" s="135"/>
      <c r="C39" s="135"/>
      <c r="D39" s="135"/>
      <c r="E39" s="135"/>
      <c r="F39" s="135"/>
      <c r="G39" s="39" t="s">
        <v>98</v>
      </c>
      <c r="H39" s="39" t="s">
        <v>86</v>
      </c>
      <c r="I39" s="39">
        <f>'MERCADO TE'!$U$36</f>
        <v>89.802000000000007</v>
      </c>
      <c r="J39" s="18"/>
      <c r="L39" s="37">
        <f>'TE BE'!$L$39*'TE BE'!$L$51</f>
        <v>-1.132343588762435E-5</v>
      </c>
      <c r="M39" s="37">
        <f>'TE BE'!$M$39*'TE BE'!$M$51</f>
        <v>-12.967453342254109</v>
      </c>
      <c r="N39" s="37">
        <f>'TE BE'!$N$39*'TE BE'!$N$51</f>
        <v>0</v>
      </c>
      <c r="O39" s="37">
        <f>'TE BE'!$O$39*'TE BE'!$O$51</f>
        <v>-0.37504145358276403</v>
      </c>
      <c r="P39" s="37">
        <f>SUM($L$39:$O$39)</f>
        <v>-13.342506119272761</v>
      </c>
      <c r="Q39" s="37">
        <f>'TE BE'!$Q$39*'TE BE'!$Q$51</f>
        <v>-21.697027065765571</v>
      </c>
      <c r="R39" s="37">
        <f>SUM($Q$39:$Q$39)</f>
        <v>-21.697027065765571</v>
      </c>
      <c r="S39" s="37">
        <f>'TE BE'!$S$39*'TE BE'!$S$51</f>
        <v>0</v>
      </c>
      <c r="T39" s="37">
        <f>'TE BE'!$T$39*'TE BE'!$T$51</f>
        <v>0</v>
      </c>
      <c r="U39" s="37">
        <f>'TE BE'!$U$39*'TE BE'!$U$51</f>
        <v>0</v>
      </c>
      <c r="V39" s="37">
        <f>SUM($S$39:$U$39)</f>
        <v>0</v>
      </c>
      <c r="W39" s="37">
        <f>'TE BE'!$AA$39*'TE BE'!$W$51</f>
        <v>0</v>
      </c>
      <c r="X39" s="37">
        <f>SUM($W$39:$W$39)</f>
        <v>0</v>
      </c>
      <c r="Y39" s="37">
        <f>'TE BE'!$Y$39*'TE BE'!$Y$51</f>
        <v>-0.37956014657531545</v>
      </c>
      <c r="Z39" s="37">
        <f>SUM($Y$39:$Y$39)</f>
        <v>-0.37956014657531545</v>
      </c>
      <c r="AA39" s="37">
        <f>SUMIF($L$4:$Z$4,"SUBTOTAL",$L$39:$Z$39)</f>
        <v>-35.419093331613645</v>
      </c>
    </row>
    <row r="40" spans="1:27" ht="11.25" customHeight="1" x14ac:dyDescent="0.25">
      <c r="A40" s="135"/>
      <c r="B40" s="135"/>
      <c r="C40" s="135"/>
      <c r="D40" s="135"/>
      <c r="E40" s="135"/>
      <c r="F40" s="135"/>
      <c r="G40" s="39" t="s">
        <v>88</v>
      </c>
      <c r="H40" s="39" t="s">
        <v>86</v>
      </c>
      <c r="I40" s="39">
        <f>'MERCADO TE'!$U$37</f>
        <v>2507.7720000000004</v>
      </c>
      <c r="J40" s="18"/>
      <c r="L40" s="37">
        <f>'TE BE'!$L$40*'TE BE'!$L$51</f>
        <v>-1.132343588762435E-5</v>
      </c>
      <c r="M40" s="37">
        <f>'TE BE'!$M$40*'TE BE'!$M$51</f>
        <v>-12.967453342254109</v>
      </c>
      <c r="N40" s="37">
        <f>'TE BE'!$N$40*'TE BE'!$N$51</f>
        <v>0</v>
      </c>
      <c r="O40" s="37">
        <f>'TE BE'!$O$40*'TE BE'!$O$51</f>
        <v>-0.37504145358276403</v>
      </c>
      <c r="P40" s="37">
        <f>SUM($L$40:$O$40)</f>
        <v>-13.342506119272761</v>
      </c>
      <c r="Q40" s="37">
        <f>'TE BE'!$Q$40*'TE BE'!$Q$51</f>
        <v>-21.697027065765571</v>
      </c>
      <c r="R40" s="37">
        <f>SUM($Q$40:$Q$40)</f>
        <v>-21.697027065765571</v>
      </c>
      <c r="S40" s="37">
        <f>'TE BE'!$S$40*'TE BE'!$S$51</f>
        <v>0</v>
      </c>
      <c r="T40" s="37">
        <f>'TE BE'!$T$40*'TE BE'!$T$51</f>
        <v>0</v>
      </c>
      <c r="U40" s="37">
        <f>'TE BE'!$U$40*'TE BE'!$U$51</f>
        <v>0</v>
      </c>
      <c r="V40" s="37">
        <f>SUM($S$40:$U$40)</f>
        <v>0</v>
      </c>
      <c r="W40" s="37">
        <f>'TE BE'!$AA$40*'TE BE'!$W$51</f>
        <v>0</v>
      </c>
      <c r="X40" s="37">
        <f>SUM($W$40:$W$40)</f>
        <v>0</v>
      </c>
      <c r="Y40" s="37">
        <f>'TE BE'!$Y$40*'TE BE'!$Y$51</f>
        <v>-0.37956014657531545</v>
      </c>
      <c r="Z40" s="37">
        <f>SUM($Y$40:$Y$40)</f>
        <v>-0.37956014657531545</v>
      </c>
      <c r="AA40" s="37">
        <f>SUMIF($L$4:$Z$4,"SUBTOTAL",$L$40:$Z$40)</f>
        <v>-35.419093331613645</v>
      </c>
    </row>
    <row r="41" spans="1:27" ht="11.25" customHeight="1" x14ac:dyDescent="0.25">
      <c r="A41" s="135"/>
      <c r="B41" s="45" t="s">
        <v>94</v>
      </c>
      <c r="C41" s="45" t="s">
        <v>25</v>
      </c>
      <c r="D41" s="45" t="s">
        <v>25</v>
      </c>
      <c r="E41" s="45" t="s">
        <v>25</v>
      </c>
      <c r="F41" s="45" t="s">
        <v>25</v>
      </c>
      <c r="G41" s="39" t="s">
        <v>92</v>
      </c>
      <c r="H41" s="39" t="s">
        <v>86</v>
      </c>
      <c r="I41" s="39">
        <f>'MERCADO TE'!$U$38</f>
        <v>849619.68099999998</v>
      </c>
      <c r="J41" s="18"/>
      <c r="L41" s="37">
        <f>'TE BE'!$L$41*'TE BE'!$L$51</f>
        <v>-1.132343588762435E-5</v>
      </c>
      <c r="M41" s="37">
        <f>'TE BE'!$M$41*'TE BE'!$M$51</f>
        <v>-12.967453342254109</v>
      </c>
      <c r="N41" s="37">
        <f>'TE BE'!$N$41*'TE BE'!$N$51</f>
        <v>0</v>
      </c>
      <c r="O41" s="37">
        <f>'TE BE'!$O$41*'TE BE'!$O$51</f>
        <v>-0.37504145358276403</v>
      </c>
      <c r="P41" s="37">
        <f>SUM($L$41:$O$41)</f>
        <v>-13.342506119272761</v>
      </c>
      <c r="Q41" s="37">
        <f>'TE BE'!$Q$41*'TE BE'!$Q$51</f>
        <v>-22.998848689711508</v>
      </c>
      <c r="R41" s="37">
        <f>SUM($Q$41:$Q$41)</f>
        <v>-22.998848689711508</v>
      </c>
      <c r="S41" s="37">
        <f>'TE BE'!$S$41*'TE BE'!$S$51</f>
        <v>0</v>
      </c>
      <c r="T41" s="37">
        <f>'TE BE'!$T$41*'TE BE'!$T$51</f>
        <v>0</v>
      </c>
      <c r="U41" s="37">
        <f>'TE BE'!$U$41*'TE BE'!$U$51</f>
        <v>0</v>
      </c>
      <c r="V41" s="37">
        <f>SUM($S$41:$U$41)</f>
        <v>0</v>
      </c>
      <c r="W41" s="37">
        <f>'TE BE'!$AA$41*'TE BE'!$W$51</f>
        <v>0</v>
      </c>
      <c r="X41" s="37">
        <f>SUM($W$41:$W$41)</f>
        <v>0</v>
      </c>
      <c r="Y41" s="37">
        <f>'TE BE'!$Y$41*'TE BE'!$Y$51</f>
        <v>-0.37956014657531545</v>
      </c>
      <c r="Z41" s="37">
        <f>SUM($Y$41:$Y$41)</f>
        <v>-0.37956014657531545</v>
      </c>
      <c r="AA41" s="37">
        <f>SUMIF($L$4:$Z$4,"SUBTOTAL",$L$41:$Z$41)</f>
        <v>-36.720914955559586</v>
      </c>
    </row>
    <row r="42" spans="1:27" ht="11.25" customHeight="1" x14ac:dyDescent="0.25">
      <c r="A42" s="135"/>
      <c r="B42" s="45" t="s">
        <v>99</v>
      </c>
      <c r="C42" s="45" t="s">
        <v>25</v>
      </c>
      <c r="D42" s="45" t="s">
        <v>25</v>
      </c>
      <c r="E42" s="45" t="s">
        <v>25</v>
      </c>
      <c r="F42" s="45" t="s">
        <v>25</v>
      </c>
      <c r="G42" s="39" t="s">
        <v>92</v>
      </c>
      <c r="H42" s="39" t="s">
        <v>86</v>
      </c>
      <c r="I42" s="39">
        <f>'MERCADO TE'!$U$39</f>
        <v>0</v>
      </c>
      <c r="J42" s="18"/>
      <c r="L42" s="37">
        <f>'TE BE'!$L$42*'TE BE'!$L$51</f>
        <v>-1.132343588762435E-5</v>
      </c>
      <c r="M42" s="37">
        <f>'TE BE'!$M$42*'TE BE'!$M$51</f>
        <v>-12.967453342254109</v>
      </c>
      <c r="N42" s="37">
        <f>'TE BE'!$N$42*'TE BE'!$N$51</f>
        <v>0</v>
      </c>
      <c r="O42" s="37">
        <f>'TE BE'!$O$42*'TE BE'!$O$51</f>
        <v>-0.37504145358276403</v>
      </c>
      <c r="P42" s="37">
        <f>SUM($L$42:$O$42)</f>
        <v>-13.342506119272761</v>
      </c>
      <c r="Q42" s="37">
        <f>'TE BE'!$Q$42*'TE BE'!$Q$51</f>
        <v>-22.998848689711508</v>
      </c>
      <c r="R42" s="37">
        <f>SUM($Q$42:$Q$42)</f>
        <v>-22.998848689711508</v>
      </c>
      <c r="S42" s="37">
        <f>'TE BE'!$S$42*'TE BE'!$S$51</f>
        <v>0</v>
      </c>
      <c r="T42" s="37">
        <f>'TE BE'!$T$42*'TE BE'!$T$51</f>
        <v>0</v>
      </c>
      <c r="U42" s="37">
        <f>'TE BE'!$U$42*'TE BE'!$U$51</f>
        <v>0</v>
      </c>
      <c r="V42" s="37">
        <f>SUM($S$42:$U$42)</f>
        <v>0</v>
      </c>
      <c r="W42" s="37">
        <f>'TE BE'!$AA$42*'TE BE'!$W$51</f>
        <v>0</v>
      </c>
      <c r="X42" s="37">
        <f>SUM($W$42:$W$42)</f>
        <v>0</v>
      </c>
      <c r="Y42" s="37">
        <f>'TE BE'!$Y$42*'TE BE'!$Y$51</f>
        <v>-0.37956014657531545</v>
      </c>
      <c r="Z42" s="37">
        <f>SUM($Y$42:$Y$42)</f>
        <v>-0.37956014657531545</v>
      </c>
      <c r="AA42" s="37">
        <f>SUMIF($L$4:$Z$4,"SUBTOTAL",$L$42:$Z$42)</f>
        <v>-36.720914955559586</v>
      </c>
    </row>
    <row r="43" spans="1:27" ht="11.25" customHeight="1" x14ac:dyDescent="0.25">
      <c r="A43" s="135" t="s">
        <v>49</v>
      </c>
      <c r="B43" s="135" t="s">
        <v>94</v>
      </c>
      <c r="C43" s="135" t="s">
        <v>50</v>
      </c>
      <c r="D43" s="45" t="s">
        <v>51</v>
      </c>
      <c r="E43" s="45" t="s">
        <v>25</v>
      </c>
      <c r="F43" s="45" t="s">
        <v>25</v>
      </c>
      <c r="G43" s="39" t="s">
        <v>92</v>
      </c>
      <c r="H43" s="39" t="s">
        <v>86</v>
      </c>
      <c r="I43" s="39">
        <f>'MERCADO TE'!$U$40</f>
        <v>200182.10399999999</v>
      </c>
      <c r="J43" s="18"/>
      <c r="L43" s="37">
        <f>'TE BE'!$L$43*'TE BE'!$L$51</f>
        <v>-6.2278897381933928E-6</v>
      </c>
      <c r="M43" s="37">
        <f>'TE BE'!$M$43*'TE BE'!$M$51</f>
        <v>-7.1320993382397608</v>
      </c>
      <c r="N43" s="37">
        <f>'TE BE'!$N$43*'TE BE'!$N$51</f>
        <v>0</v>
      </c>
      <c r="O43" s="37">
        <f>'TE BE'!$O$43*'TE BE'!$O$51</f>
        <v>-0.20627279947052024</v>
      </c>
      <c r="P43" s="37">
        <f>SUM($L$43:$O$43)</f>
        <v>-7.3383783656000192</v>
      </c>
      <c r="Q43" s="37">
        <f>'TE BE'!$Q$43*'TE BE'!$Q$51</f>
        <v>-12.64936677934133</v>
      </c>
      <c r="R43" s="37">
        <f>SUM($Q$43:$Q$43)</f>
        <v>-12.64936677934133</v>
      </c>
      <c r="S43" s="37">
        <f>'TE BE'!$S$43*'TE BE'!$S$51</f>
        <v>0</v>
      </c>
      <c r="T43" s="37">
        <f>'TE BE'!$T$43*'TE BE'!$T$51</f>
        <v>0</v>
      </c>
      <c r="U43" s="37">
        <f>'TE BE'!$U$43*'TE BE'!$U$51</f>
        <v>0</v>
      </c>
      <c r="V43" s="37">
        <f>SUM($S$43:$U$43)</f>
        <v>0</v>
      </c>
      <c r="W43" s="37">
        <f>'TE BE'!$AA$43*'TE BE'!$W$51</f>
        <v>0</v>
      </c>
      <c r="X43" s="37">
        <f>SUM($W$43:$W$43)</f>
        <v>0</v>
      </c>
      <c r="Y43" s="37">
        <f>'TE BE'!$Y$43*'TE BE'!$Y$51</f>
        <v>-0.20875808061642351</v>
      </c>
      <c r="Z43" s="37">
        <f>SUM($Y$43:$Y$43)</f>
        <v>-0.20875808061642351</v>
      </c>
      <c r="AA43" s="37">
        <f>SUMIF($L$4:$Z$4,"SUBTOTAL",$L$43:$Z$43)</f>
        <v>-20.196503225557773</v>
      </c>
    </row>
    <row r="44" spans="1:27" ht="11.25" customHeight="1" x14ac:dyDescent="0.25">
      <c r="A44" s="135"/>
      <c r="B44" s="135"/>
      <c r="C44" s="135"/>
      <c r="D44" s="39" t="s">
        <v>102</v>
      </c>
      <c r="E44" s="39" t="s">
        <v>25</v>
      </c>
      <c r="F44" s="39" t="s">
        <v>25</v>
      </c>
      <c r="G44" s="39" t="s">
        <v>92</v>
      </c>
      <c r="H44" s="39" t="s">
        <v>86</v>
      </c>
      <c r="I44" s="39">
        <f>'MERCADO TE'!$U$41</f>
        <v>0</v>
      </c>
      <c r="J44" s="18"/>
      <c r="L44" s="37">
        <f>'TE BE'!$L$44*'TE BE'!$L$51</f>
        <v>-6.794061532574609E-6</v>
      </c>
      <c r="M44" s="37">
        <f>'TE BE'!$M$44*'TE BE'!$M$51</f>
        <v>-7.7804720053524656</v>
      </c>
      <c r="N44" s="37">
        <f>'TE BE'!$N$44*'TE BE'!$N$51</f>
        <v>0</v>
      </c>
      <c r="O44" s="37">
        <f>'TE BE'!$O$44*'TE BE'!$O$51</f>
        <v>-0.22502487214965841</v>
      </c>
      <c r="P44" s="37">
        <f>SUM($L$44:$O$44)</f>
        <v>-8.0055036715636572</v>
      </c>
      <c r="Q44" s="37">
        <f>'TE BE'!$Q$44*'TE BE'!$Q$51</f>
        <v>-13.799309213826906</v>
      </c>
      <c r="R44" s="37">
        <f>SUM($Q$44:$Q$44)</f>
        <v>-13.799309213826906</v>
      </c>
      <c r="S44" s="37">
        <f>'TE BE'!$S$44*'TE BE'!$S$51</f>
        <v>0</v>
      </c>
      <c r="T44" s="37">
        <f>'TE BE'!$T$44*'TE BE'!$T$51</f>
        <v>0</v>
      </c>
      <c r="U44" s="37">
        <f>'TE BE'!$U$44*'TE BE'!$U$51</f>
        <v>0</v>
      </c>
      <c r="V44" s="37">
        <f>SUM($S$44:$U$44)</f>
        <v>0</v>
      </c>
      <c r="W44" s="37">
        <f>'TE BE'!$AA$44*'TE BE'!$W$51</f>
        <v>0</v>
      </c>
      <c r="X44" s="37">
        <f>SUM($W$44:$W$44)</f>
        <v>0</v>
      </c>
      <c r="Y44" s="37">
        <f>'TE BE'!$Y$44*'TE BE'!$Y$51</f>
        <v>-0.22773608794518929</v>
      </c>
      <c r="Z44" s="37">
        <f>SUM($Y$44:$Y$44)</f>
        <v>-0.22773608794518929</v>
      </c>
      <c r="AA44" s="37">
        <f>SUMIF($L$4:$Z$4,"SUBTOTAL",$L$44:$Z$44)</f>
        <v>-22.03254897333575</v>
      </c>
    </row>
    <row r="46" spans="1:27" ht="11.25" customHeight="1" x14ac:dyDescent="0.25">
      <c r="K46" s="44" t="s">
        <v>768</v>
      </c>
      <c r="L46" s="37">
        <f t="shared" ref="L46:AA46" si="0">SUMPRODUCT($I$5:$I$44,L$5:L$44)</f>
        <v>-48.949027468400992</v>
      </c>
      <c r="M46" s="37">
        <f t="shared" si="0"/>
        <v>-56055797.563964814</v>
      </c>
      <c r="N46" s="37">
        <f t="shared" si="0"/>
        <v>0</v>
      </c>
      <c r="O46" s="37">
        <f t="shared" si="0"/>
        <v>-1621231.8059110977</v>
      </c>
      <c r="P46" s="37">
        <f t="shared" si="0"/>
        <v>-57677078.318903372</v>
      </c>
      <c r="Q46" s="37">
        <f t="shared" si="0"/>
        <v>-99229871.717498153</v>
      </c>
      <c r="R46" s="37">
        <f t="shared" si="0"/>
        <v>-99229871.717498153</v>
      </c>
      <c r="S46" s="37">
        <f t="shared" si="0"/>
        <v>0</v>
      </c>
      <c r="T46" s="37">
        <f t="shared" si="0"/>
        <v>0</v>
      </c>
      <c r="U46" s="37">
        <f t="shared" si="0"/>
        <v>0</v>
      </c>
      <c r="V46" s="37">
        <f t="shared" si="0"/>
        <v>0</v>
      </c>
      <c r="W46" s="37">
        <f t="shared" si="0"/>
        <v>0</v>
      </c>
      <c r="X46" s="37">
        <f t="shared" si="0"/>
        <v>0</v>
      </c>
      <c r="Y46" s="37">
        <f t="shared" si="0"/>
        <v>-1640765.2434303057</v>
      </c>
      <c r="Z46" s="37">
        <f t="shared" si="0"/>
        <v>-1640765.2434303057</v>
      </c>
      <c r="AA46" s="37">
        <f t="shared" si="0"/>
        <v>-158547715.27983189</v>
      </c>
    </row>
    <row r="47" spans="1:27" ht="11.25" customHeight="1" x14ac:dyDescent="0.25">
      <c r="K47" s="44" t="s">
        <v>687</v>
      </c>
      <c r="L47" s="37">
        <f>CUSTOS!$D$30</f>
        <v>12512932.859588204</v>
      </c>
      <c r="M47" s="37">
        <f>CUSTOS!$D$31</f>
        <v>47694181.119319111</v>
      </c>
      <c r="N47" s="37">
        <f>CUSTOS!$D$32</f>
        <v>0</v>
      </c>
      <c r="O47" s="37">
        <f>CUSTOS!$D$33</f>
        <v>54225064.56883698</v>
      </c>
      <c r="P47" s="37">
        <f>CUSTOS!$D$34</f>
        <v>114432178.5477443</v>
      </c>
      <c r="Q47" s="37">
        <f>CUSTOS!$D$35</f>
        <v>1088711363.8414388</v>
      </c>
      <c r="R47" s="37">
        <f>CUSTOS!$D$36</f>
        <v>1088711363.8414388</v>
      </c>
      <c r="S47" s="37">
        <f>CUSTOS!$D$37</f>
        <v>0</v>
      </c>
      <c r="T47" s="37">
        <f>CUSTOS!$D$38</f>
        <v>0</v>
      </c>
      <c r="U47" s="37">
        <f>CUSTOS!$D$39</f>
        <v>0</v>
      </c>
      <c r="V47" s="37">
        <f>CUSTOS!$D$40</f>
        <v>0</v>
      </c>
      <c r="W47" s="37">
        <f>CUSTOS!$D$41</f>
        <v>0</v>
      </c>
      <c r="X47" s="37">
        <f>CUSTOS!$D$42</f>
        <v>0</v>
      </c>
      <c r="Y47" s="37">
        <f>CUSTOS!$D$43</f>
        <v>18001834.880974047</v>
      </c>
      <c r="Z47" s="37">
        <f>CUSTOS!$D$44</f>
        <v>18001834.880974047</v>
      </c>
      <c r="AA47" s="37">
        <f>CUSTOS!$D$45</f>
        <v>1221145377.2701571</v>
      </c>
    </row>
    <row r="48" spans="1:27" ht="11.25" customHeight="1" x14ac:dyDescent="0.25">
      <c r="K48" s="44" t="s">
        <v>688</v>
      </c>
      <c r="L48" s="37">
        <f>CUSTOS!$E$30</f>
        <v>-48.949027468401006</v>
      </c>
      <c r="M48" s="37">
        <f>CUSTOS!$E$31</f>
        <v>-56055797.563964814</v>
      </c>
      <c r="N48" s="37">
        <f>CUSTOS!$E$32</f>
        <v>0</v>
      </c>
      <c r="O48" s="37">
        <f>CUSTOS!$E$33</f>
        <v>-1621231.8059110977</v>
      </c>
      <c r="P48" s="37">
        <f>CUSTOS!$E$34</f>
        <v>-57677078.318903387</v>
      </c>
      <c r="Q48" s="37">
        <f>CUSTOS!$E$35</f>
        <v>-99229871.717498198</v>
      </c>
      <c r="R48" s="37">
        <f>CUSTOS!$E$36</f>
        <v>-99229871.717498198</v>
      </c>
      <c r="S48" s="37">
        <f>CUSTOS!$E$37</f>
        <v>0</v>
      </c>
      <c r="T48" s="37">
        <f>CUSTOS!$E$38</f>
        <v>0</v>
      </c>
      <c r="U48" s="37">
        <f>CUSTOS!$E$39</f>
        <v>0</v>
      </c>
      <c r="V48" s="37">
        <f>CUSTOS!$E$40</f>
        <v>0</v>
      </c>
      <c r="W48" s="37">
        <f>CUSTOS!$E$41</f>
        <v>0</v>
      </c>
      <c r="X48" s="37">
        <f>CUSTOS!$E$42</f>
        <v>0</v>
      </c>
      <c r="Y48" s="37">
        <f>CUSTOS!$E$43</f>
        <v>-1640765.2434303062</v>
      </c>
      <c r="Z48" s="37">
        <f>CUSTOS!$E$44</f>
        <v>-1640765.2434303062</v>
      </c>
      <c r="AA48" s="37">
        <f>CUSTOS!$E$45</f>
        <v>-158547715.27983189</v>
      </c>
    </row>
    <row r="49" spans="11:27" ht="11.25" customHeight="1" x14ac:dyDescent="0.25">
      <c r="K49" s="44" t="s">
        <v>689</v>
      </c>
      <c r="L49" s="37">
        <f>CUSTOS!$F$30</f>
        <v>0</v>
      </c>
      <c r="M49" s="37">
        <f>CUSTOS!$F$31</f>
        <v>121739537.68676871</v>
      </c>
      <c r="N49" s="37">
        <f>CUSTOS!$F$32</f>
        <v>0</v>
      </c>
      <c r="O49" s="37">
        <f>CUSTOS!$F$33</f>
        <v>-2635928.2517941808</v>
      </c>
      <c r="P49" s="37">
        <f>CUSTOS!$F$34</f>
        <v>119103609.43497454</v>
      </c>
      <c r="Q49" s="37">
        <f>CUSTOS!$F$35</f>
        <v>99320276.086431906</v>
      </c>
      <c r="R49" s="37">
        <f>CUSTOS!$F$36</f>
        <v>99320276.086431906</v>
      </c>
      <c r="S49" s="37">
        <f>CUSTOS!$F$37</f>
        <v>0</v>
      </c>
      <c r="T49" s="37">
        <f>CUSTOS!$F$38</f>
        <v>0</v>
      </c>
      <c r="U49" s="37">
        <f>CUSTOS!$F$39</f>
        <v>0</v>
      </c>
      <c r="V49" s="37">
        <f>CUSTOS!$F$40</f>
        <v>0</v>
      </c>
      <c r="W49" s="37">
        <f>CUSTOS!$F$41</f>
        <v>0</v>
      </c>
      <c r="X49" s="37">
        <f>CUSTOS!$F$42</f>
        <v>0</v>
      </c>
      <c r="Y49" s="37">
        <f>CUSTOS!$F$43</f>
        <v>1642260.0790461677</v>
      </c>
      <c r="Z49" s="37">
        <f>CUSTOS!$F$44</f>
        <v>1642260.0790461677</v>
      </c>
      <c r="AA49" s="37">
        <f>CUSTOS!$F$45</f>
        <v>220066145.6004526</v>
      </c>
    </row>
    <row r="50" spans="11:27" ht="11.25" customHeight="1" x14ac:dyDescent="0.25">
      <c r="K50" s="44" t="s">
        <v>769</v>
      </c>
      <c r="L50" s="37">
        <f>'TR TE'!$L$50*L51</f>
        <v>0</v>
      </c>
      <c r="M50" s="37">
        <f>'TR TE'!$M$50*M51</f>
        <v>28.162149919629137</v>
      </c>
      <c r="N50" s="37">
        <f>'TR TE'!$N$50*N51</f>
        <v>0</v>
      </c>
      <c r="O50" s="37">
        <f>'TR TE'!$O$50*O51</f>
        <v>-0.60977237153153518</v>
      </c>
      <c r="P50" s="37"/>
      <c r="Q50" s="37">
        <f>'TR TE'!$Q$50*Q51</f>
        <v>22.855141372041977</v>
      </c>
      <c r="R50" s="37"/>
      <c r="S50" s="37">
        <f>'TR TE'!$S$50*S51</f>
        <v>0</v>
      </c>
      <c r="T50" s="37">
        <f>'TR TE'!$T$50*T51</f>
        <v>0</v>
      </c>
      <c r="U50" s="37">
        <f>'TR TE'!$U$50*U51</f>
        <v>0</v>
      </c>
      <c r="V50" s="37"/>
      <c r="W50" s="37"/>
      <c r="X50" s="37"/>
      <c r="Y50" s="37">
        <f>'TR TE'!$Y$50*Y51</f>
        <v>0.37990594865013033</v>
      </c>
      <c r="Z50" s="37"/>
      <c r="AA50" s="37"/>
    </row>
    <row r="51" spans="11:27" ht="11.25" customHeight="1" x14ac:dyDescent="0.25">
      <c r="K51" s="44" t="s">
        <v>764</v>
      </c>
      <c r="L51" s="37">
        <f>IF(L47&lt;&gt;0,L49/L47,0)</f>
        <v>0</v>
      </c>
      <c r="M51" s="37">
        <f>IF(M47&lt;&gt;0,M49/M47,0)</f>
        <v>2.5525029433298441</v>
      </c>
      <c r="N51" s="37">
        <f>IF(N47&lt;&gt;0,N49/N47,0)</f>
        <v>0</v>
      </c>
      <c r="O51" s="37">
        <f>IF(O47&lt;&gt;0,O49/O47,0)</f>
        <v>-4.861088267489206E-2</v>
      </c>
      <c r="P51" s="37"/>
      <c r="Q51" s="37">
        <f>IF(Q47&lt;&gt;0,Q49/Q47,0)</f>
        <v>9.1227371537656726E-2</v>
      </c>
      <c r="R51" s="37"/>
      <c r="S51" s="37">
        <f>IF(S47&lt;&gt;0,S49/S47,0)</f>
        <v>0</v>
      </c>
      <c r="T51" s="37">
        <f>IF(T47&lt;&gt;0,T49/T47,0)</f>
        <v>0</v>
      </c>
      <c r="U51" s="37">
        <f>IF(U47&lt;&gt;0,U49/U47,0)</f>
        <v>0</v>
      </c>
      <c r="V51" s="37"/>
      <c r="W51" s="37">
        <f>IF($AA47&lt;&gt;0,W49/($AA47-SUM('TR TE'!$L50:'TR TE'!$Z50)*0),0)</f>
        <v>0</v>
      </c>
      <c r="X51" s="37"/>
      <c r="Y51" s="37">
        <f>IF(Y47&lt;&gt;0,Y49/Y47,0)</f>
        <v>9.1227371537656712E-2</v>
      </c>
      <c r="Z51" s="37"/>
      <c r="AA51" s="37"/>
    </row>
    <row r="52" spans="11:27" ht="11.25" customHeight="1" x14ac:dyDescent="0.25"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</sheetData>
  <mergeCells count="67">
    <mergeCell ref="Q3:R3"/>
    <mergeCell ref="S3:V3"/>
    <mergeCell ref="W3:X3"/>
    <mergeCell ref="A1:A4"/>
    <mergeCell ref="B1:B4"/>
    <mergeCell ref="C1:C4"/>
    <mergeCell ref="D1:D4"/>
    <mergeCell ref="E1:E4"/>
    <mergeCell ref="F1:F4"/>
    <mergeCell ref="F7:F8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A7:A9"/>
    <mergeCell ref="B7:B8"/>
    <mergeCell ref="C7:C8"/>
    <mergeCell ref="D7:D8"/>
    <mergeCell ref="E7:E8"/>
    <mergeCell ref="F10:F12"/>
    <mergeCell ref="B13:B17"/>
    <mergeCell ref="C13:C17"/>
    <mergeCell ref="B18:B22"/>
    <mergeCell ref="C18:C22"/>
    <mergeCell ref="A10:A22"/>
    <mergeCell ref="B10:B12"/>
    <mergeCell ref="C10:C12"/>
    <mergeCell ref="D10:D12"/>
    <mergeCell ref="E10:E12"/>
    <mergeCell ref="D31:D33"/>
    <mergeCell ref="E31:E33"/>
    <mergeCell ref="F31:F33"/>
    <mergeCell ref="D23:D25"/>
    <mergeCell ref="E23:E25"/>
    <mergeCell ref="F23:F25"/>
    <mergeCell ref="D27:D29"/>
    <mergeCell ref="E27:E29"/>
    <mergeCell ref="F27:F29"/>
    <mergeCell ref="B35:B37"/>
    <mergeCell ref="C35:C37"/>
    <mergeCell ref="A38:A42"/>
    <mergeCell ref="B38:B40"/>
    <mergeCell ref="C38:C40"/>
    <mergeCell ref="A23:A37"/>
    <mergeCell ref="B23:B25"/>
    <mergeCell ref="C23:C25"/>
    <mergeCell ref="B31:B33"/>
    <mergeCell ref="C31:C33"/>
    <mergeCell ref="B27:B29"/>
    <mergeCell ref="C27:C29"/>
    <mergeCell ref="E38:E40"/>
    <mergeCell ref="F38:F40"/>
    <mergeCell ref="A43:A44"/>
    <mergeCell ref="B43:B44"/>
    <mergeCell ref="C43:C44"/>
    <mergeCell ref="D38:D40"/>
  </mergeCells>
  <conditionalFormatting sqref="L46">
    <cfRule type="cellIs" dxfId="1118" priority="31" operator="notEqual">
      <formula>$L$48</formula>
    </cfRule>
    <cfRule type="cellIs" dxfId="1117" priority="32" operator="equal">
      <formula>$L$48</formula>
    </cfRule>
  </conditionalFormatting>
  <conditionalFormatting sqref="M46">
    <cfRule type="cellIs" dxfId="1116" priority="29" operator="notEqual">
      <formula>$M$48</formula>
    </cfRule>
    <cfRule type="cellIs" dxfId="1115" priority="30" operator="equal">
      <formula>$M$48</formula>
    </cfRule>
  </conditionalFormatting>
  <conditionalFormatting sqref="N46">
    <cfRule type="cellIs" dxfId="1114" priority="27" operator="notEqual">
      <formula>$N$48</formula>
    </cfRule>
    <cfRule type="cellIs" dxfId="1113" priority="28" operator="equal">
      <formula>$N$48</formula>
    </cfRule>
  </conditionalFormatting>
  <conditionalFormatting sqref="O46">
    <cfRule type="cellIs" dxfId="1112" priority="25" operator="notEqual">
      <formula>$O$48</formula>
    </cfRule>
    <cfRule type="cellIs" dxfId="1111" priority="26" operator="equal">
      <formula>$O$48</formula>
    </cfRule>
  </conditionalFormatting>
  <conditionalFormatting sqref="P46">
    <cfRule type="cellIs" dxfId="1110" priority="23" operator="notEqual">
      <formula>$P$48</formula>
    </cfRule>
    <cfRule type="cellIs" dxfId="1109" priority="24" operator="equal">
      <formula>$P$48</formula>
    </cfRule>
  </conditionalFormatting>
  <conditionalFormatting sqref="Q46">
    <cfRule type="cellIs" dxfId="1108" priority="21" operator="notEqual">
      <formula>$Q$48</formula>
    </cfRule>
    <cfRule type="cellIs" dxfId="1107" priority="22" operator="equal">
      <formula>$Q$48</formula>
    </cfRule>
  </conditionalFormatting>
  <conditionalFormatting sqref="R46">
    <cfRule type="cellIs" dxfId="1106" priority="19" operator="notEqual">
      <formula>$R$48</formula>
    </cfRule>
    <cfRule type="cellIs" dxfId="1105" priority="20" operator="equal">
      <formula>$R$48</formula>
    </cfRule>
  </conditionalFormatting>
  <conditionalFormatting sqref="S46">
    <cfRule type="cellIs" dxfId="1104" priority="17" operator="notEqual">
      <formula>$S$48</formula>
    </cfRule>
    <cfRule type="cellIs" dxfId="1103" priority="18" operator="equal">
      <formula>$S$48</formula>
    </cfRule>
  </conditionalFormatting>
  <conditionalFormatting sqref="T46">
    <cfRule type="cellIs" dxfId="1102" priority="15" operator="notEqual">
      <formula>$T$48</formula>
    </cfRule>
    <cfRule type="cellIs" dxfId="1101" priority="16" operator="equal">
      <formula>$T$48</formula>
    </cfRule>
  </conditionalFormatting>
  <conditionalFormatting sqref="U46">
    <cfRule type="cellIs" dxfId="1100" priority="13" operator="notEqual">
      <formula>$U$48</formula>
    </cfRule>
    <cfRule type="cellIs" dxfId="1099" priority="14" operator="equal">
      <formula>$U$48</formula>
    </cfRule>
  </conditionalFormatting>
  <conditionalFormatting sqref="V46">
    <cfRule type="cellIs" dxfId="1098" priority="11" operator="notEqual">
      <formula>$V$48</formula>
    </cfRule>
    <cfRule type="cellIs" dxfId="1097" priority="12" operator="equal">
      <formula>$V$48</formula>
    </cfRule>
  </conditionalFormatting>
  <conditionalFormatting sqref="W46">
    <cfRule type="cellIs" dxfId="1096" priority="9" operator="notEqual">
      <formula>$W$48</formula>
    </cfRule>
    <cfRule type="cellIs" dxfId="1095" priority="10" operator="equal">
      <formula>$W$48</formula>
    </cfRule>
  </conditionalFormatting>
  <conditionalFormatting sqref="X46">
    <cfRule type="cellIs" dxfId="1094" priority="7" operator="notEqual">
      <formula>$X$48</formula>
    </cfRule>
    <cfRule type="cellIs" dxfId="1093" priority="8" operator="equal">
      <formula>$X$48</formula>
    </cfRule>
  </conditionalFormatting>
  <conditionalFormatting sqref="Y46">
    <cfRule type="cellIs" dxfId="1092" priority="5" operator="notEqual">
      <formula>$Y$48</formula>
    </cfRule>
    <cfRule type="cellIs" dxfId="1091" priority="6" operator="equal">
      <formula>$Y$48</formula>
    </cfRule>
  </conditionalFormatting>
  <conditionalFormatting sqref="Z46">
    <cfRule type="cellIs" dxfId="1090" priority="3" operator="notEqual">
      <formula>$Z$48</formula>
    </cfRule>
    <cfRule type="cellIs" dxfId="1089" priority="4" operator="equal">
      <formula>$Z$48</formula>
    </cfRule>
  </conditionalFormatting>
  <conditionalFormatting sqref="AA46">
    <cfRule type="cellIs" dxfId="1088" priority="1" operator="notEqual">
      <formula>$AA$48</formula>
    </cfRule>
    <cfRule type="cellIs" dxfId="1087" priority="2" operator="equal">
      <formula>$AA$48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9E80E-B233-4FC4-B462-26E53D1CD2F6}">
  <dimension ref="A1:AA52"/>
  <sheetViews>
    <sheetView showGridLines="0" topLeftCell="P33" workbookViewId="0">
      <selection activeCell="AA46" sqref="AA46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0.85546875" style="9" bestFit="1" customWidth="1"/>
    <col min="13" max="13" width="11.7109375" style="9" bestFit="1" customWidth="1"/>
    <col min="14" max="14" width="10" style="9" bestFit="1" customWidth="1"/>
    <col min="15" max="15" width="11.140625" style="9" bestFit="1" customWidth="1"/>
    <col min="16" max="16" width="11.7109375" style="9" bestFit="1" customWidth="1"/>
    <col min="17" max="17" width="15" style="9" bestFit="1" customWidth="1"/>
    <col min="18" max="18" width="13.140625" style="9" bestFit="1" customWidth="1"/>
    <col min="19" max="19" width="10" style="9" bestFit="1" customWidth="1"/>
    <col min="20" max="20" width="10.42578125" style="9" bestFit="1" customWidth="1"/>
    <col min="21" max="21" width="10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10.85546875" style="9" bestFit="1" customWidth="1"/>
    <col min="27" max="27" width="13.140625" style="9" bestFit="1" customWidth="1"/>
    <col min="28" max="16384" width="9.140625" style="9"/>
  </cols>
  <sheetData>
    <row r="1" spans="1:27" ht="11.25" customHeight="1" x14ac:dyDescent="0.25">
      <c r="A1" s="134" t="s">
        <v>76</v>
      </c>
      <c r="B1" s="134" t="s">
        <v>77</v>
      </c>
      <c r="C1" s="134" t="s">
        <v>78</v>
      </c>
      <c r="D1" s="134" t="s">
        <v>79</v>
      </c>
      <c r="E1" s="134" t="s">
        <v>80</v>
      </c>
      <c r="F1" s="134" t="s">
        <v>15</v>
      </c>
      <c r="G1" s="134" t="s">
        <v>82</v>
      </c>
      <c r="H1" s="134" t="s">
        <v>83</v>
      </c>
      <c r="I1" s="134" t="s">
        <v>746</v>
      </c>
      <c r="J1" s="113"/>
      <c r="L1" s="132" t="s">
        <v>774</v>
      </c>
      <c r="M1" s="132"/>
      <c r="N1" s="132"/>
      <c r="O1" s="132"/>
      <c r="P1" s="132"/>
      <c r="Q1" s="132"/>
      <c r="R1" s="132"/>
      <c r="S1" s="132"/>
      <c r="T1" s="132"/>
      <c r="U1" s="132"/>
      <c r="V1" s="132"/>
      <c r="W1" s="132"/>
      <c r="X1" s="132"/>
      <c r="Y1" s="132"/>
      <c r="Z1" s="132"/>
      <c r="AA1" s="132"/>
    </row>
    <row r="2" spans="1:27" ht="11.25" customHeight="1" x14ac:dyDescent="0.25">
      <c r="A2" s="134"/>
      <c r="B2" s="134"/>
      <c r="C2" s="134"/>
      <c r="D2" s="134"/>
      <c r="E2" s="134"/>
      <c r="F2" s="134"/>
      <c r="G2" s="134"/>
      <c r="H2" s="134"/>
      <c r="I2" s="134"/>
      <c r="J2" s="113"/>
      <c r="L2" s="132" t="s">
        <v>674</v>
      </c>
      <c r="M2" s="132"/>
      <c r="N2" s="132"/>
      <c r="O2" s="132"/>
      <c r="P2" s="132"/>
      <c r="Q2" s="132"/>
      <c r="R2" s="132"/>
      <c r="S2" s="132"/>
      <c r="T2" s="132"/>
      <c r="U2" s="132"/>
      <c r="V2" s="132"/>
      <c r="W2" s="132"/>
      <c r="X2" s="132"/>
      <c r="Y2" s="132"/>
      <c r="Z2" s="132"/>
      <c r="AA2" s="132"/>
    </row>
    <row r="3" spans="1:27" ht="11.25" customHeight="1" x14ac:dyDescent="0.25">
      <c r="A3" s="134"/>
      <c r="B3" s="134"/>
      <c r="C3" s="134"/>
      <c r="D3" s="134"/>
      <c r="E3" s="134"/>
      <c r="F3" s="134"/>
      <c r="G3" s="134"/>
      <c r="H3" s="134"/>
      <c r="I3" s="134"/>
      <c r="J3" s="113"/>
      <c r="L3" s="132" t="s">
        <v>647</v>
      </c>
      <c r="M3" s="132"/>
      <c r="N3" s="132"/>
      <c r="O3" s="132"/>
      <c r="P3" s="132"/>
      <c r="Q3" s="132" t="s">
        <v>677</v>
      </c>
      <c r="R3" s="132"/>
      <c r="S3" s="132" t="s">
        <v>656</v>
      </c>
      <c r="T3" s="132"/>
      <c r="U3" s="132"/>
      <c r="V3" s="132"/>
      <c r="W3" s="132" t="s">
        <v>666</v>
      </c>
      <c r="X3" s="132"/>
      <c r="Y3" s="132" t="s">
        <v>669</v>
      </c>
      <c r="Z3" s="132"/>
      <c r="AA3" s="132" t="s">
        <v>655</v>
      </c>
    </row>
    <row r="4" spans="1:27" ht="11.25" customHeight="1" x14ac:dyDescent="0.25">
      <c r="A4" s="134"/>
      <c r="B4" s="134"/>
      <c r="C4" s="134"/>
      <c r="D4" s="134"/>
      <c r="E4" s="134"/>
      <c r="F4" s="134"/>
      <c r="G4" s="134"/>
      <c r="H4" s="134"/>
      <c r="I4" s="134"/>
      <c r="J4" s="113"/>
      <c r="L4" s="43" t="s">
        <v>649</v>
      </c>
      <c r="M4" s="43" t="s">
        <v>675</v>
      </c>
      <c r="N4" s="43" t="s">
        <v>676</v>
      </c>
      <c r="O4" s="43" t="s">
        <v>734</v>
      </c>
      <c r="P4" s="43" t="s">
        <v>655</v>
      </c>
      <c r="Q4" s="43" t="s">
        <v>678</v>
      </c>
      <c r="R4" s="43" t="s">
        <v>655</v>
      </c>
      <c r="S4" s="43" t="s">
        <v>679</v>
      </c>
      <c r="T4" s="43" t="s">
        <v>680</v>
      </c>
      <c r="U4" s="43" t="s">
        <v>681</v>
      </c>
      <c r="V4" s="43" t="s">
        <v>655</v>
      </c>
      <c r="W4" s="43" t="s">
        <v>667</v>
      </c>
      <c r="X4" s="43" t="s">
        <v>655</v>
      </c>
      <c r="Y4" s="43" t="s">
        <v>682</v>
      </c>
      <c r="Z4" s="43" t="s">
        <v>655</v>
      </c>
      <c r="AA4" s="133"/>
    </row>
    <row r="5" spans="1:27" ht="11.25" customHeight="1" x14ac:dyDescent="0.25">
      <c r="A5" s="135" t="s">
        <v>43</v>
      </c>
      <c r="B5" s="135" t="s">
        <v>85</v>
      </c>
      <c r="C5" s="135" t="s">
        <v>25</v>
      </c>
      <c r="D5" s="135" t="s">
        <v>25</v>
      </c>
      <c r="E5" s="135" t="s">
        <v>25</v>
      </c>
      <c r="F5" s="135" t="s">
        <v>25</v>
      </c>
      <c r="G5" s="39" t="s">
        <v>87</v>
      </c>
      <c r="H5" s="39" t="s">
        <v>86</v>
      </c>
      <c r="I5" s="39">
        <f>'MERCADO TE'!$U$2</f>
        <v>5001.2520000000004</v>
      </c>
      <c r="J5" s="18"/>
      <c r="L5" s="37">
        <f>'TE BE'!$L$5*'TE BF'!$L$51</f>
        <v>0</v>
      </c>
      <c r="M5" s="37">
        <f>'TE BE'!$M$5*'TE BF'!$M$51</f>
        <v>28.162149919629137</v>
      </c>
      <c r="N5" s="37">
        <f>'TE BE'!$N$5*'TE BF'!$N$51</f>
        <v>0</v>
      </c>
      <c r="O5" s="37">
        <f>'TE BE'!$O$5*'TE BF'!$O$51</f>
        <v>-0.60977237153153518</v>
      </c>
      <c r="P5" s="37">
        <f>SUM($L$5:$O$5)</f>
        <v>27.552377548097603</v>
      </c>
      <c r="Q5" s="37">
        <f>'TE BE'!$Q$5*'TE BF'!$Q$51</f>
        <v>37.352886298654582</v>
      </c>
      <c r="R5" s="37">
        <f>SUM($Q$5:$Q$5)</f>
        <v>37.352886298654582</v>
      </c>
      <c r="S5" s="37">
        <f>'TE BE'!$S$5*'TE BF'!$S$51</f>
        <v>0</v>
      </c>
      <c r="T5" s="37">
        <f>'TE BE'!$T$5*'TE BF'!$T$51</f>
        <v>0</v>
      </c>
      <c r="U5" s="37">
        <f>'TE BE'!$U$5*'TE BF'!$U$51</f>
        <v>0</v>
      </c>
      <c r="V5" s="37">
        <f>SUM($S$5:$U$5)</f>
        <v>0</v>
      </c>
      <c r="W5" s="37">
        <f>'TE BE'!$AA$5*'TE BF'!$W$51</f>
        <v>0</v>
      </c>
      <c r="X5" s="37">
        <f>SUM($W$5:$W$5)</f>
        <v>0</v>
      </c>
      <c r="Y5" s="37">
        <f>'TE BE'!$Y$5*'TE BF'!$Y$51</f>
        <v>0.37990594865013033</v>
      </c>
      <c r="Z5" s="37">
        <f>SUM($Y$5:$Y$5)</f>
        <v>0.37990594865013033</v>
      </c>
      <c r="AA5" s="37">
        <f>SUMIF($L$4:$Z$4,"SUBTOTAL",$L$5:$Z$5)</f>
        <v>65.285169795402311</v>
      </c>
    </row>
    <row r="6" spans="1:27" ht="11.25" customHeight="1" x14ac:dyDescent="0.25">
      <c r="A6" s="135"/>
      <c r="B6" s="135"/>
      <c r="C6" s="135"/>
      <c r="D6" s="135"/>
      <c r="E6" s="135"/>
      <c r="F6" s="135"/>
      <c r="G6" s="39" t="s">
        <v>88</v>
      </c>
      <c r="H6" s="39" t="s">
        <v>86</v>
      </c>
      <c r="I6" s="39">
        <f>'MERCADO TE'!$U$3</f>
        <v>53354.290999999997</v>
      </c>
      <c r="J6" s="18"/>
      <c r="L6" s="37">
        <f>'TE BE'!$L$6*'TE BF'!$L$51</f>
        <v>0</v>
      </c>
      <c r="M6" s="37">
        <f>'TE BE'!$M$6*'TE BF'!$M$51</f>
        <v>28.162149919629137</v>
      </c>
      <c r="N6" s="37">
        <f>'TE BE'!$N$6*'TE BF'!$N$51</f>
        <v>0</v>
      </c>
      <c r="O6" s="37">
        <f>'TE BE'!$O$6*'TE BF'!$O$51</f>
        <v>-0.60977237153153518</v>
      </c>
      <c r="P6" s="37">
        <f>SUM($L$6:$O$6)</f>
        <v>27.552377548097603</v>
      </c>
      <c r="Q6" s="37">
        <f>'TE BE'!$Q$6*'TE BF'!$Q$51</f>
        <v>21.716794359682897</v>
      </c>
      <c r="R6" s="37">
        <f>SUM($Q$6:$Q$6)</f>
        <v>21.716794359682897</v>
      </c>
      <c r="S6" s="37">
        <f>'TE BE'!$S$6*'TE BF'!$S$51</f>
        <v>0</v>
      </c>
      <c r="T6" s="37">
        <f>'TE BE'!$T$6*'TE BF'!$T$51</f>
        <v>0</v>
      </c>
      <c r="U6" s="37">
        <f>'TE BE'!$U$6*'TE BF'!$U$51</f>
        <v>0</v>
      </c>
      <c r="V6" s="37">
        <f>SUM($S$6:$U$6)</f>
        <v>0</v>
      </c>
      <c r="W6" s="37">
        <f>'TE BE'!$AA$6*'TE BF'!$W$51</f>
        <v>0</v>
      </c>
      <c r="X6" s="37">
        <f>SUM($W$6:$W$6)</f>
        <v>0</v>
      </c>
      <c r="Y6" s="37">
        <f>'TE BE'!$Y$6*'TE BF'!$Y$51</f>
        <v>0.37990594865013033</v>
      </c>
      <c r="Z6" s="37">
        <f>SUM($Y$6:$Y$6)</f>
        <v>0.37990594865013033</v>
      </c>
      <c r="AA6" s="37">
        <f>SUMIF($L$4:$Z$4,"SUBTOTAL",$L$6:$Z$6)</f>
        <v>49.649077856430637</v>
      </c>
    </row>
    <row r="7" spans="1:27" ht="11.25" customHeight="1" x14ac:dyDescent="0.25">
      <c r="A7" s="135" t="s">
        <v>35</v>
      </c>
      <c r="B7" s="135" t="s">
        <v>85</v>
      </c>
      <c r="C7" s="135" t="s">
        <v>25</v>
      </c>
      <c r="D7" s="135" t="s">
        <v>25</v>
      </c>
      <c r="E7" s="135" t="s">
        <v>25</v>
      </c>
      <c r="F7" s="135" t="s">
        <v>25</v>
      </c>
      <c r="G7" s="39" t="s">
        <v>87</v>
      </c>
      <c r="H7" s="39" t="s">
        <v>86</v>
      </c>
      <c r="I7" s="39">
        <f>'MERCADO TE'!$U$4</f>
        <v>81126.716000000015</v>
      </c>
      <c r="J7" s="18"/>
      <c r="L7" s="37">
        <f>'TE BE'!$L$7*'TE BF'!$L$51</f>
        <v>0</v>
      </c>
      <c r="M7" s="37">
        <f>'TE BE'!$M$7*'TE BF'!$M$51</f>
        <v>28.162149919629137</v>
      </c>
      <c r="N7" s="37">
        <f>'TE BE'!$N$7*'TE BF'!$N$51</f>
        <v>0</v>
      </c>
      <c r="O7" s="37">
        <f>'TE BE'!$O$7*'TE BF'!$O$51</f>
        <v>-0.60977237153153518</v>
      </c>
      <c r="P7" s="37">
        <f>SUM($L$7:$O$7)</f>
        <v>27.552377548097603</v>
      </c>
      <c r="Q7" s="37">
        <f>'TE BE'!$Q$7*'TE BF'!$Q$51</f>
        <v>37.352886298654582</v>
      </c>
      <c r="R7" s="37">
        <f>SUM($Q$7:$Q$7)</f>
        <v>37.352886298654582</v>
      </c>
      <c r="S7" s="37">
        <f>'TE BE'!$S$7*'TE BF'!$S$51</f>
        <v>0</v>
      </c>
      <c r="T7" s="37">
        <f>'TE BE'!$T$7*'TE BF'!$T$51</f>
        <v>0</v>
      </c>
      <c r="U7" s="37">
        <f>'TE BE'!$U$7*'TE BF'!$U$51</f>
        <v>0</v>
      </c>
      <c r="V7" s="37">
        <f>SUM($S$7:$U$7)</f>
        <v>0</v>
      </c>
      <c r="W7" s="37">
        <f>'TE BE'!$AA$7*'TE BF'!$W$51</f>
        <v>0</v>
      </c>
      <c r="X7" s="37">
        <f>SUM($W$7:$W$7)</f>
        <v>0</v>
      </c>
      <c r="Y7" s="37">
        <f>'TE BE'!$Y$7*'TE BF'!$Y$51</f>
        <v>0.37990594865013033</v>
      </c>
      <c r="Z7" s="37">
        <f>SUM($Y$7:$Y$7)</f>
        <v>0.37990594865013033</v>
      </c>
      <c r="AA7" s="37">
        <f>SUMIF($L$4:$Z$4,"SUBTOTAL",$L$7:$Z$7)</f>
        <v>65.285169795402311</v>
      </c>
    </row>
    <row r="8" spans="1:27" ht="11.25" customHeight="1" x14ac:dyDescent="0.25">
      <c r="A8" s="135"/>
      <c r="B8" s="135"/>
      <c r="C8" s="135"/>
      <c r="D8" s="135"/>
      <c r="E8" s="135"/>
      <c r="F8" s="135"/>
      <c r="G8" s="39" t="s">
        <v>88</v>
      </c>
      <c r="H8" s="39" t="s">
        <v>86</v>
      </c>
      <c r="I8" s="39">
        <f>'MERCADO TE'!$U$5</f>
        <v>1038783.2589999998</v>
      </c>
      <c r="J8" s="18"/>
      <c r="L8" s="37">
        <f>'TE BE'!$L$8*'TE BF'!$L$51</f>
        <v>0</v>
      </c>
      <c r="M8" s="37">
        <f>'TE BE'!$M$8*'TE BF'!$M$51</f>
        <v>28.162149919629137</v>
      </c>
      <c r="N8" s="37">
        <f>'TE BE'!$N$8*'TE BF'!$N$51</f>
        <v>0</v>
      </c>
      <c r="O8" s="37">
        <f>'TE BE'!$O$8*'TE BF'!$O$51</f>
        <v>-0.60977237153153518</v>
      </c>
      <c r="P8" s="37">
        <f>SUM($L$8:$O$8)</f>
        <v>27.552377548097603</v>
      </c>
      <c r="Q8" s="37">
        <f>'TE BE'!$Q$8*'TE BF'!$Q$51</f>
        <v>21.716794359682897</v>
      </c>
      <c r="R8" s="37">
        <f>SUM($Q$8:$Q$8)</f>
        <v>21.716794359682897</v>
      </c>
      <c r="S8" s="37">
        <f>'TE BE'!$S$8*'TE BF'!$S$51</f>
        <v>0</v>
      </c>
      <c r="T8" s="37">
        <f>'TE BE'!$T$8*'TE BF'!$T$51</f>
        <v>0</v>
      </c>
      <c r="U8" s="37">
        <f>'TE BE'!$U$8*'TE BF'!$U$51</f>
        <v>0</v>
      </c>
      <c r="V8" s="37">
        <f>SUM($S$8:$U$8)</f>
        <v>0</v>
      </c>
      <c r="W8" s="37">
        <f>'TE BE'!$AA$8*'TE BF'!$W$51</f>
        <v>0</v>
      </c>
      <c r="X8" s="37">
        <f>SUM($W$8:$W$8)</f>
        <v>0</v>
      </c>
      <c r="Y8" s="37">
        <f>'TE BE'!$Y$8*'TE BF'!$Y$51</f>
        <v>0.37990594865013033</v>
      </c>
      <c r="Z8" s="37">
        <f>SUM($Y$8:$Y$8)</f>
        <v>0.37990594865013033</v>
      </c>
      <c r="AA8" s="37">
        <f>SUMIF($L$4:$Z$4,"SUBTOTAL",$L$8:$Z$8)</f>
        <v>49.649077856430637</v>
      </c>
    </row>
    <row r="9" spans="1:27" ht="11.25" customHeight="1" x14ac:dyDescent="0.25">
      <c r="A9" s="135"/>
      <c r="B9" s="45" t="s">
        <v>94</v>
      </c>
      <c r="C9" s="45" t="s">
        <v>25</v>
      </c>
      <c r="D9" s="45" t="s">
        <v>25</v>
      </c>
      <c r="E9" s="45" t="s">
        <v>25</v>
      </c>
      <c r="F9" s="45" t="s">
        <v>25</v>
      </c>
      <c r="G9" s="39" t="s">
        <v>92</v>
      </c>
      <c r="H9" s="39" t="s">
        <v>86</v>
      </c>
      <c r="I9" s="39">
        <f>'MERCADO TE'!$U$6</f>
        <v>0</v>
      </c>
      <c r="J9" s="18"/>
      <c r="L9" s="37">
        <f>'TE BE'!$L$9*'TE BF'!$L$51</f>
        <v>0</v>
      </c>
      <c r="M9" s="37">
        <f>'TE BE'!$M$9*'TE BF'!$M$51</f>
        <v>28.162149919629137</v>
      </c>
      <c r="N9" s="37">
        <f>'TE BE'!$N$9*'TE BF'!$N$51</f>
        <v>0</v>
      </c>
      <c r="O9" s="37">
        <f>'TE BE'!$O$9*'TE BF'!$O$51</f>
        <v>-0.60977237153153518</v>
      </c>
      <c r="P9" s="37">
        <f>SUM($L$9:$O$9)</f>
        <v>27.552377548097603</v>
      </c>
      <c r="Q9" s="37">
        <f>'TE BE'!$Q$9*'TE BF'!$Q$51</f>
        <v>23.019802021263871</v>
      </c>
      <c r="R9" s="37">
        <f>SUM($Q$9:$Q$9)</f>
        <v>23.019802021263871</v>
      </c>
      <c r="S9" s="37">
        <f>'TE BE'!$S$9*'TE BF'!$S$51</f>
        <v>0</v>
      </c>
      <c r="T9" s="37">
        <f>'TE BE'!$T$9*'TE BF'!$T$51</f>
        <v>0</v>
      </c>
      <c r="U9" s="37">
        <f>'TE BE'!$U$9*'TE BF'!$U$51</f>
        <v>0</v>
      </c>
      <c r="V9" s="37">
        <f>SUM($S$9:$U$9)</f>
        <v>0</v>
      </c>
      <c r="W9" s="37">
        <f>'TE BE'!$AA$9*'TE BF'!$W$51</f>
        <v>0</v>
      </c>
      <c r="X9" s="37">
        <f>SUM($W$9:$W$9)</f>
        <v>0</v>
      </c>
      <c r="Y9" s="37">
        <f>'TE BE'!$Y$9*'TE BF'!$Y$51</f>
        <v>0.37990594865013033</v>
      </c>
      <c r="Z9" s="37">
        <f>SUM($Y$9:$Y$9)</f>
        <v>0.37990594865013033</v>
      </c>
      <c r="AA9" s="37">
        <f>SUMIF($L$4:$Z$4,"SUBTOTAL",$L$9:$Z$9)</f>
        <v>50.952085518011607</v>
      </c>
    </row>
    <row r="10" spans="1:27" ht="11.25" customHeight="1" x14ac:dyDescent="0.25">
      <c r="A10" s="135" t="s">
        <v>22</v>
      </c>
      <c r="B10" s="135" t="s">
        <v>85</v>
      </c>
      <c r="C10" s="135" t="s">
        <v>24</v>
      </c>
      <c r="D10" s="135" t="s">
        <v>24</v>
      </c>
      <c r="E10" s="135" t="s">
        <v>25</v>
      </c>
      <c r="F10" s="135" t="s">
        <v>25</v>
      </c>
      <c r="G10" s="39" t="s">
        <v>87</v>
      </c>
      <c r="H10" s="39" t="s">
        <v>86</v>
      </c>
      <c r="I10" s="39">
        <f>'MERCADO TE'!$U$7</f>
        <v>31.722000000000001</v>
      </c>
      <c r="J10" s="18"/>
      <c r="L10" s="37">
        <f>'TE BE'!$L$10*'TE BF'!$L$51</f>
        <v>0</v>
      </c>
      <c r="M10" s="37">
        <f>'TE BE'!$M$10*'TE BF'!$M$51</f>
        <v>28.162149919629137</v>
      </c>
      <c r="N10" s="37">
        <f>'TE BE'!$N$10*'TE BF'!$N$51</f>
        <v>0</v>
      </c>
      <c r="O10" s="37">
        <f>'TE BE'!$O$10*'TE BF'!$O$51</f>
        <v>-0.60977237153153518</v>
      </c>
      <c r="P10" s="37">
        <f>SUM($L$10:$O$10)</f>
        <v>27.552377548097603</v>
      </c>
      <c r="Q10" s="37">
        <f>'TE BE'!$Q$10*'TE BF'!$Q$51</f>
        <v>37.352886298654582</v>
      </c>
      <c r="R10" s="37">
        <f>SUM($Q$10:$Q$10)</f>
        <v>37.352886298654582</v>
      </c>
      <c r="S10" s="37">
        <f>'TE BE'!$S$10*'TE BF'!$S$51</f>
        <v>0</v>
      </c>
      <c r="T10" s="37">
        <f>'TE BE'!$T$10*'TE BF'!$T$51</f>
        <v>0</v>
      </c>
      <c r="U10" s="37">
        <f>'TE BE'!$U$10*'TE BF'!$U$51</f>
        <v>0</v>
      </c>
      <c r="V10" s="37">
        <f>SUM($S$10:$U$10)</f>
        <v>0</v>
      </c>
      <c r="W10" s="37">
        <f>'TE BE'!$AA$10*'TE BF'!$W$51</f>
        <v>0</v>
      </c>
      <c r="X10" s="37">
        <f>SUM($W$10:$W$10)</f>
        <v>0</v>
      </c>
      <c r="Y10" s="37">
        <f>'TE BE'!$Y$10*'TE BF'!$Y$51</f>
        <v>0.37990594865013033</v>
      </c>
      <c r="Z10" s="37">
        <f>SUM($Y$10:$Y$10)</f>
        <v>0.37990594865013033</v>
      </c>
      <c r="AA10" s="37">
        <f>SUMIF($L$4:$Z$4,"SUBTOTAL",$L$10:$Z$10)</f>
        <v>65.285169795402311</v>
      </c>
    </row>
    <row r="11" spans="1:27" ht="11.25" customHeight="1" x14ac:dyDescent="0.25">
      <c r="A11" s="135"/>
      <c r="B11" s="135"/>
      <c r="C11" s="135"/>
      <c r="D11" s="135"/>
      <c r="E11" s="135"/>
      <c r="F11" s="135"/>
      <c r="G11" s="39" t="s">
        <v>98</v>
      </c>
      <c r="H11" s="39" t="s">
        <v>86</v>
      </c>
      <c r="I11" s="39">
        <f>'MERCADO TE'!$U$8</f>
        <v>31.11</v>
      </c>
      <c r="J11" s="18"/>
      <c r="L11" s="37">
        <f>'TE BE'!$L$11*'TE BF'!$L$51</f>
        <v>0</v>
      </c>
      <c r="M11" s="37">
        <f>'TE BE'!$M$11*'TE BF'!$M$51</f>
        <v>28.162149919629137</v>
      </c>
      <c r="N11" s="37">
        <f>'TE BE'!$N$11*'TE BF'!$N$51</f>
        <v>0</v>
      </c>
      <c r="O11" s="37">
        <f>'TE BE'!$O$11*'TE BF'!$O$51</f>
        <v>-0.60977237153153518</v>
      </c>
      <c r="P11" s="37">
        <f>SUM($L$11:$O$11)</f>
        <v>27.552377548097603</v>
      </c>
      <c r="Q11" s="37">
        <f>'TE BE'!$Q$11*'TE BF'!$Q$51</f>
        <v>21.716794359682897</v>
      </c>
      <c r="R11" s="37">
        <f>SUM($Q$11:$Q$11)</f>
        <v>21.716794359682897</v>
      </c>
      <c r="S11" s="37">
        <f>'TE BE'!$S$11*'TE BF'!$S$51</f>
        <v>0</v>
      </c>
      <c r="T11" s="37">
        <f>'TE BE'!$T$11*'TE BF'!$T$51</f>
        <v>0</v>
      </c>
      <c r="U11" s="37">
        <f>'TE BE'!$U$11*'TE BF'!$U$51</f>
        <v>0</v>
      </c>
      <c r="V11" s="37">
        <f>SUM($S$11:$U$11)</f>
        <v>0</v>
      </c>
      <c r="W11" s="37">
        <f>'TE BE'!$AA$11*'TE BF'!$W$51</f>
        <v>0</v>
      </c>
      <c r="X11" s="37">
        <f>SUM($W$11:$W$11)</f>
        <v>0</v>
      </c>
      <c r="Y11" s="37">
        <f>'TE BE'!$Y$11*'TE BF'!$Y$51</f>
        <v>0.37990594865013033</v>
      </c>
      <c r="Z11" s="37">
        <f>SUM($Y$11:$Y$11)</f>
        <v>0.37990594865013033</v>
      </c>
      <c r="AA11" s="37">
        <f>SUMIF($L$4:$Z$4,"SUBTOTAL",$L$11:$Z$11)</f>
        <v>49.649077856430637</v>
      </c>
    </row>
    <row r="12" spans="1:27" ht="11.25" customHeight="1" x14ac:dyDescent="0.25">
      <c r="A12" s="135"/>
      <c r="B12" s="135"/>
      <c r="C12" s="135"/>
      <c r="D12" s="135"/>
      <c r="E12" s="135"/>
      <c r="F12" s="135"/>
      <c r="G12" s="39" t="s">
        <v>88</v>
      </c>
      <c r="H12" s="39" t="s">
        <v>86</v>
      </c>
      <c r="I12" s="39">
        <f>'MERCADO TE'!$U$9</f>
        <v>472.03</v>
      </c>
      <c r="J12" s="18"/>
      <c r="L12" s="37">
        <f>'TE BE'!$L$12*'TE BF'!$L$51</f>
        <v>0</v>
      </c>
      <c r="M12" s="37">
        <f>'TE BE'!$M$12*'TE BF'!$M$51</f>
        <v>28.162149919629137</v>
      </c>
      <c r="N12" s="37">
        <f>'TE BE'!$N$12*'TE BF'!$N$51</f>
        <v>0</v>
      </c>
      <c r="O12" s="37">
        <f>'TE BE'!$O$12*'TE BF'!$O$51</f>
        <v>-0.60977237153153518</v>
      </c>
      <c r="P12" s="37">
        <f>SUM($L$12:$O$12)</f>
        <v>27.552377548097603</v>
      </c>
      <c r="Q12" s="37">
        <f>'TE BE'!$Q$12*'TE BF'!$Q$51</f>
        <v>21.716794359682897</v>
      </c>
      <c r="R12" s="37">
        <f>SUM($Q$12:$Q$12)</f>
        <v>21.716794359682897</v>
      </c>
      <c r="S12" s="37">
        <f>'TE BE'!$S$12*'TE BF'!$S$51</f>
        <v>0</v>
      </c>
      <c r="T12" s="37">
        <f>'TE BE'!$T$12*'TE BF'!$T$51</f>
        <v>0</v>
      </c>
      <c r="U12" s="37">
        <f>'TE BE'!$U$12*'TE BF'!$U$51</f>
        <v>0</v>
      </c>
      <c r="V12" s="37">
        <f>SUM($S$12:$U$12)</f>
        <v>0</v>
      </c>
      <c r="W12" s="37">
        <f>'TE BE'!$AA$12*'TE BF'!$W$51</f>
        <v>0</v>
      </c>
      <c r="X12" s="37">
        <f>SUM($W$12:$W$12)</f>
        <v>0</v>
      </c>
      <c r="Y12" s="37">
        <f>'TE BE'!$Y$12*'TE BF'!$Y$51</f>
        <v>0.37990594865013033</v>
      </c>
      <c r="Z12" s="37">
        <f>SUM($Y$12:$Y$12)</f>
        <v>0.37990594865013033</v>
      </c>
      <c r="AA12" s="37">
        <f>SUMIF($L$4:$Z$4,"SUBTOTAL",$L$12:$Z$12)</f>
        <v>49.649077856430637</v>
      </c>
    </row>
    <row r="13" spans="1:27" ht="11.25" customHeight="1" x14ac:dyDescent="0.25">
      <c r="A13" s="135"/>
      <c r="B13" s="135" t="s">
        <v>94</v>
      </c>
      <c r="C13" s="135" t="s">
        <v>24</v>
      </c>
      <c r="D13" s="45" t="s">
        <v>24</v>
      </c>
      <c r="E13" s="45" t="s">
        <v>25</v>
      </c>
      <c r="F13" s="45" t="s">
        <v>25</v>
      </c>
      <c r="G13" s="39" t="s">
        <v>92</v>
      </c>
      <c r="H13" s="39" t="s">
        <v>86</v>
      </c>
      <c r="I13" s="39">
        <f>'MERCADO TE'!$U$10</f>
        <v>1747135.3810000001</v>
      </c>
      <c r="J13" s="18"/>
      <c r="L13" s="37">
        <f>'TE BE'!$L$13*'TE BF'!$L$51</f>
        <v>0</v>
      </c>
      <c r="M13" s="37">
        <f>'TE BE'!$M$13*'TE BF'!$M$51</f>
        <v>28.162149919629137</v>
      </c>
      <c r="N13" s="37">
        <f>'TE BE'!$N$13*'TE BF'!$N$51</f>
        <v>0</v>
      </c>
      <c r="O13" s="37">
        <f>'TE BE'!$O$13*'TE BF'!$O$51</f>
        <v>-0.60977237153153518</v>
      </c>
      <c r="P13" s="37">
        <f>SUM($L$13:$O$13)</f>
        <v>27.552377548097603</v>
      </c>
      <c r="Q13" s="37">
        <f>'TE BE'!$Q$13*'TE BF'!$Q$51</f>
        <v>23.019802021263871</v>
      </c>
      <c r="R13" s="37">
        <f>SUM($Q$13:$Q$13)</f>
        <v>23.019802021263871</v>
      </c>
      <c r="S13" s="37">
        <f>'TE BE'!$S$13*'TE BF'!$S$51</f>
        <v>0</v>
      </c>
      <c r="T13" s="37">
        <f>'TE BE'!$T$13*'TE BF'!$T$51</f>
        <v>0</v>
      </c>
      <c r="U13" s="37">
        <f>'TE BE'!$U$13*'TE BF'!$U$51</f>
        <v>0</v>
      </c>
      <c r="V13" s="37">
        <f>SUM($S$13:$U$13)</f>
        <v>0</v>
      </c>
      <c r="W13" s="37">
        <f>'TE BE'!$AA$13*'TE BF'!$W$51</f>
        <v>0</v>
      </c>
      <c r="X13" s="37">
        <f>SUM($W$13:$W$13)</f>
        <v>0</v>
      </c>
      <c r="Y13" s="37">
        <f>'TE BE'!$Y$13*'TE BF'!$Y$51</f>
        <v>0.37990594865013033</v>
      </c>
      <c r="Z13" s="37">
        <f>SUM($Y$13:$Y$13)</f>
        <v>0.37990594865013033</v>
      </c>
      <c r="AA13" s="37">
        <f>SUMIF($L$4:$Z$4,"SUBTOTAL",$L$13:$Z$13)</f>
        <v>50.952085518011607</v>
      </c>
    </row>
    <row r="14" spans="1:27" ht="11.25" customHeight="1" x14ac:dyDescent="0.25">
      <c r="A14" s="135"/>
      <c r="B14" s="135"/>
      <c r="C14" s="135"/>
      <c r="D14" s="45" t="s">
        <v>31</v>
      </c>
      <c r="E14" s="45" t="s">
        <v>25</v>
      </c>
      <c r="F14" s="45" t="s">
        <v>25</v>
      </c>
      <c r="G14" s="39" t="s">
        <v>92</v>
      </c>
      <c r="H14" s="39" t="s">
        <v>86</v>
      </c>
      <c r="I14" s="39">
        <f>'MERCADO TE'!$U$11</f>
        <v>72661.888000000006</v>
      </c>
      <c r="J14" s="18"/>
      <c r="L14" s="37">
        <f>'TE BE'!$L$14*'TE BF'!$L$51</f>
        <v>0</v>
      </c>
      <c r="M14" s="37">
        <f>'TE BE'!$M$14*'TE BF'!$M$51</f>
        <v>28.162149919629137</v>
      </c>
      <c r="N14" s="37">
        <f>'TE BE'!$N$14*'TE BF'!$N$51</f>
        <v>0</v>
      </c>
      <c r="O14" s="37">
        <f>'TE BE'!$O$14*'TE BF'!$O$51</f>
        <v>-0.60977237153153518</v>
      </c>
      <c r="P14" s="37">
        <f>SUM($L$14:$O$14)</f>
        <v>27.552377548097603</v>
      </c>
      <c r="Q14" s="37">
        <f>'TE BE'!$Q$14*'TE BF'!$Q$51</f>
        <v>23.019802021263871</v>
      </c>
      <c r="R14" s="37">
        <f>SUM($Q$14:$Q$14)</f>
        <v>23.019802021263871</v>
      </c>
      <c r="S14" s="37">
        <f>'TE BE'!$S$14*'TE BF'!$S$51</f>
        <v>0</v>
      </c>
      <c r="T14" s="37">
        <f>'TE BE'!$T$14*'TE BF'!$T$51</f>
        <v>0</v>
      </c>
      <c r="U14" s="37">
        <f>'TE BE'!$U$14*'TE BF'!$U$51</f>
        <v>0</v>
      </c>
      <c r="V14" s="37">
        <f>SUM($S$14:$U$14)</f>
        <v>0</v>
      </c>
      <c r="W14" s="37">
        <f>'TE BE'!$AA$14*'TE BF'!$W$51</f>
        <v>0</v>
      </c>
      <c r="X14" s="37">
        <f>SUM($W$14:$W$14)</f>
        <v>0</v>
      </c>
      <c r="Y14" s="37">
        <f>'TE BE'!$Y$14*'TE BF'!$Y$51</f>
        <v>0.37990594865013033</v>
      </c>
      <c r="Z14" s="37">
        <f>SUM($Y$14:$Y$14)</f>
        <v>0.37990594865013033</v>
      </c>
      <c r="AA14" s="37">
        <f>SUMIF($L$4:$Z$4,"SUBTOTAL",$L$14:$Z$14)</f>
        <v>50.952085518011607</v>
      </c>
    </row>
    <row r="15" spans="1:27" ht="11.25" customHeight="1" x14ac:dyDescent="0.25">
      <c r="A15" s="135"/>
      <c r="B15" s="135"/>
      <c r="C15" s="135"/>
      <c r="D15" s="45" t="s">
        <v>32</v>
      </c>
      <c r="E15" s="45" t="s">
        <v>25</v>
      </c>
      <c r="F15" s="45" t="s">
        <v>25</v>
      </c>
      <c r="G15" s="39" t="s">
        <v>92</v>
      </c>
      <c r="H15" s="39" t="s">
        <v>86</v>
      </c>
      <c r="I15" s="39">
        <f>'MERCADO TE'!$U$12</f>
        <v>116587.09399999998</v>
      </c>
      <c r="J15" s="18"/>
      <c r="L15" s="37">
        <f>'TE BE'!$L$15*'TE BF'!$L$51</f>
        <v>0</v>
      </c>
      <c r="M15" s="37">
        <f>'TE BE'!$M$15*'TE BF'!$M$51</f>
        <v>28.162149919629137</v>
      </c>
      <c r="N15" s="37">
        <f>'TE BE'!$N$15*'TE BF'!$N$51</f>
        <v>0</v>
      </c>
      <c r="O15" s="37">
        <f>'TE BE'!$O$15*'TE BF'!$O$51</f>
        <v>-0.60977237153153518</v>
      </c>
      <c r="P15" s="37">
        <f>SUM($L$15:$O$15)</f>
        <v>27.552377548097603</v>
      </c>
      <c r="Q15" s="37">
        <f>'TE BE'!$Q$15*'TE BF'!$Q$51</f>
        <v>23.019802021263871</v>
      </c>
      <c r="R15" s="37">
        <f>SUM($Q$15:$Q$15)</f>
        <v>23.019802021263871</v>
      </c>
      <c r="S15" s="37">
        <f>'TE BE'!$S$15*'TE BF'!$S$51</f>
        <v>0</v>
      </c>
      <c r="T15" s="37">
        <f>'TE BE'!$T$15*'TE BF'!$T$51</f>
        <v>0</v>
      </c>
      <c r="U15" s="37">
        <f>'TE BE'!$U$15*'TE BF'!$U$51</f>
        <v>0</v>
      </c>
      <c r="V15" s="37">
        <f>SUM($S$15:$U$15)</f>
        <v>0</v>
      </c>
      <c r="W15" s="37">
        <f>'TE BE'!$AA$15*'TE BF'!$W$51</f>
        <v>0</v>
      </c>
      <c r="X15" s="37">
        <f>SUM($W$15:$W$15)</f>
        <v>0</v>
      </c>
      <c r="Y15" s="37">
        <f>'TE BE'!$Y$15*'TE BF'!$Y$51</f>
        <v>0.37990594865013033</v>
      </c>
      <c r="Z15" s="37">
        <f>SUM($Y$15:$Y$15)</f>
        <v>0.37990594865013033</v>
      </c>
      <c r="AA15" s="37">
        <f>SUMIF($L$4:$Z$4,"SUBTOTAL",$L$15:$Z$15)</f>
        <v>50.952085518011607</v>
      </c>
    </row>
    <row r="16" spans="1:27" ht="11.25" customHeight="1" x14ac:dyDescent="0.25">
      <c r="A16" s="135"/>
      <c r="B16" s="135"/>
      <c r="C16" s="135"/>
      <c r="D16" s="45" t="s">
        <v>33</v>
      </c>
      <c r="E16" s="45" t="s">
        <v>25</v>
      </c>
      <c r="F16" s="45" t="s">
        <v>25</v>
      </c>
      <c r="G16" s="39" t="s">
        <v>92</v>
      </c>
      <c r="H16" s="39" t="s">
        <v>86</v>
      </c>
      <c r="I16" s="39">
        <f>'MERCADO TE'!$U$13</f>
        <v>103208.47500000001</v>
      </c>
      <c r="J16" s="18"/>
      <c r="L16" s="37">
        <f>'TE BE'!$L$16*'TE BF'!$L$51</f>
        <v>0</v>
      </c>
      <c r="M16" s="37">
        <f>'TE BE'!$M$16*'TE BF'!$M$51</f>
        <v>28.162149919629137</v>
      </c>
      <c r="N16" s="37">
        <f>'TE BE'!$N$16*'TE BF'!$N$51</f>
        <v>0</v>
      </c>
      <c r="O16" s="37">
        <f>'TE BE'!$O$16*'TE BF'!$O$51</f>
        <v>-0.60977237153153518</v>
      </c>
      <c r="P16" s="37">
        <f>SUM($L$16:$O$16)</f>
        <v>27.552377548097603</v>
      </c>
      <c r="Q16" s="37">
        <f>'TE BE'!$Q$16*'TE BF'!$Q$51</f>
        <v>23.019802021263871</v>
      </c>
      <c r="R16" s="37">
        <f>SUM($Q$16:$Q$16)</f>
        <v>23.019802021263871</v>
      </c>
      <c r="S16" s="37">
        <f>'TE BE'!$S$16*'TE BF'!$S$51</f>
        <v>0</v>
      </c>
      <c r="T16" s="37">
        <f>'TE BE'!$T$16*'TE BF'!$T$51</f>
        <v>0</v>
      </c>
      <c r="U16" s="37">
        <f>'TE BE'!$U$16*'TE BF'!$U$51</f>
        <v>0</v>
      </c>
      <c r="V16" s="37">
        <f>SUM($S$16:$U$16)</f>
        <v>0</v>
      </c>
      <c r="W16" s="37">
        <f>'TE BE'!$AA$16*'TE BF'!$W$51</f>
        <v>0</v>
      </c>
      <c r="X16" s="37">
        <f>SUM($W$16:$W$16)</f>
        <v>0</v>
      </c>
      <c r="Y16" s="37">
        <f>'TE BE'!$Y$16*'TE BF'!$Y$51</f>
        <v>0.37990594865013033</v>
      </c>
      <c r="Z16" s="37">
        <f>SUM($Y$16:$Y$16)</f>
        <v>0.37990594865013033</v>
      </c>
      <c r="AA16" s="37">
        <f>SUMIF($L$4:$Z$4,"SUBTOTAL",$L$16:$Z$16)</f>
        <v>50.952085518011607</v>
      </c>
    </row>
    <row r="17" spans="1:27" ht="11.25" customHeight="1" x14ac:dyDescent="0.25">
      <c r="A17" s="135"/>
      <c r="B17" s="135"/>
      <c r="C17" s="135"/>
      <c r="D17" s="45" t="s">
        <v>34</v>
      </c>
      <c r="E17" s="45" t="s">
        <v>25</v>
      </c>
      <c r="F17" s="45" t="s">
        <v>25</v>
      </c>
      <c r="G17" s="39" t="s">
        <v>92</v>
      </c>
      <c r="H17" s="39" t="s">
        <v>86</v>
      </c>
      <c r="I17" s="39">
        <f>'MERCADO TE'!$U$14</f>
        <v>77490.793999999994</v>
      </c>
      <c r="J17" s="18"/>
      <c r="L17" s="37">
        <f>'TE BE'!$L$17*'TE BF'!$L$51</f>
        <v>0</v>
      </c>
      <c r="M17" s="37">
        <f>'TE BE'!$M$17*'TE BF'!$M$51</f>
        <v>28.162149919629137</v>
      </c>
      <c r="N17" s="37">
        <f>'TE BE'!$N$17*'TE BF'!$N$51</f>
        <v>0</v>
      </c>
      <c r="O17" s="37">
        <f>'TE BE'!$O$17*'TE BF'!$O$51</f>
        <v>-0.60977237153153518</v>
      </c>
      <c r="P17" s="37">
        <f>SUM($L$17:$O$17)</f>
        <v>27.552377548097603</v>
      </c>
      <c r="Q17" s="37">
        <f>'TE BE'!$Q$17*'TE BF'!$Q$51</f>
        <v>23.019802021263871</v>
      </c>
      <c r="R17" s="37">
        <f>SUM($Q$17:$Q$17)</f>
        <v>23.019802021263871</v>
      </c>
      <c r="S17" s="37">
        <f>'TE BE'!$S$17*'TE BF'!$S$51</f>
        <v>0</v>
      </c>
      <c r="T17" s="37">
        <f>'TE BE'!$T$17*'TE BF'!$T$51</f>
        <v>0</v>
      </c>
      <c r="U17" s="37">
        <f>'TE BE'!$U$17*'TE BF'!$U$51</f>
        <v>0</v>
      </c>
      <c r="V17" s="37">
        <f>SUM($S$17:$U$17)</f>
        <v>0</v>
      </c>
      <c r="W17" s="37">
        <f>'TE BE'!$AA$17*'TE BF'!$W$51</f>
        <v>0</v>
      </c>
      <c r="X17" s="37">
        <f>SUM($W$17:$W$17)</f>
        <v>0</v>
      </c>
      <c r="Y17" s="37">
        <f>'TE BE'!$Y$17*'TE BF'!$Y$51</f>
        <v>0.37990594865013033</v>
      </c>
      <c r="Z17" s="37">
        <f>SUM($Y$17:$Y$17)</f>
        <v>0.37990594865013033</v>
      </c>
      <c r="AA17" s="37">
        <f>SUMIF($L$4:$Z$4,"SUBTOTAL",$L$17:$Z$17)</f>
        <v>50.952085518011607</v>
      </c>
    </row>
    <row r="18" spans="1:27" ht="11.25" customHeight="1" x14ac:dyDescent="0.25">
      <c r="A18" s="135"/>
      <c r="B18" s="135" t="s">
        <v>99</v>
      </c>
      <c r="C18" s="135" t="s">
        <v>24</v>
      </c>
      <c r="D18" s="45" t="s">
        <v>24</v>
      </c>
      <c r="E18" s="45" t="s">
        <v>25</v>
      </c>
      <c r="F18" s="45" t="s">
        <v>25</v>
      </c>
      <c r="G18" s="39" t="s">
        <v>92</v>
      </c>
      <c r="H18" s="39" t="s">
        <v>86</v>
      </c>
      <c r="I18" s="39">
        <f>'MERCADO TE'!$U$15</f>
        <v>0</v>
      </c>
      <c r="J18" s="18"/>
      <c r="L18" s="37">
        <f>'TE BE'!$L$18*'TE BF'!$L$51</f>
        <v>0</v>
      </c>
      <c r="M18" s="37">
        <f>'TE BE'!$M$18*'TE BF'!$M$51</f>
        <v>28.162149919629137</v>
      </c>
      <c r="N18" s="37">
        <f>'TE BE'!$N$18*'TE BF'!$N$51</f>
        <v>0</v>
      </c>
      <c r="O18" s="37">
        <f>'TE BE'!$O$18*'TE BF'!$O$51</f>
        <v>-0.60977237153153518</v>
      </c>
      <c r="P18" s="37">
        <f>SUM($L$18:$O$18)</f>
        <v>27.552377548097603</v>
      </c>
      <c r="Q18" s="37">
        <f>'TE BE'!$Q$18*'TE BF'!$Q$51</f>
        <v>23.019802021263871</v>
      </c>
      <c r="R18" s="37">
        <f>SUM($Q$18:$Q$18)</f>
        <v>23.019802021263871</v>
      </c>
      <c r="S18" s="37">
        <f>'TE BE'!$S$18*'TE BF'!$S$51</f>
        <v>0</v>
      </c>
      <c r="T18" s="37">
        <f>'TE BE'!$T$18*'TE BF'!$T$51</f>
        <v>0</v>
      </c>
      <c r="U18" s="37">
        <f>'TE BE'!$U$18*'TE BF'!$U$51</f>
        <v>0</v>
      </c>
      <c r="V18" s="37">
        <f>SUM($S$18:$U$18)</f>
        <v>0</v>
      </c>
      <c r="W18" s="37">
        <f>'TE BE'!$AA$18*'TE BF'!$W$51</f>
        <v>0</v>
      </c>
      <c r="X18" s="37">
        <f>SUM($W$18:$W$18)</f>
        <v>0</v>
      </c>
      <c r="Y18" s="37">
        <f>'TE BE'!$Y$18*'TE BF'!$Y$51</f>
        <v>0.37990594865013033</v>
      </c>
      <c r="Z18" s="37">
        <f>SUM($Y$18:$Y$18)</f>
        <v>0.37990594865013033</v>
      </c>
      <c r="AA18" s="37">
        <f>SUMIF($L$4:$Z$4,"SUBTOTAL",$L$18:$Z$18)</f>
        <v>50.952085518011607</v>
      </c>
    </row>
    <row r="19" spans="1:27" ht="11.25" customHeight="1" x14ac:dyDescent="0.25">
      <c r="A19" s="135"/>
      <c r="B19" s="135"/>
      <c r="C19" s="135"/>
      <c r="D19" s="45" t="s">
        <v>31</v>
      </c>
      <c r="E19" s="45" t="s">
        <v>25</v>
      </c>
      <c r="F19" s="45" t="s">
        <v>25</v>
      </c>
      <c r="G19" s="39" t="s">
        <v>92</v>
      </c>
      <c r="H19" s="39" t="s">
        <v>86</v>
      </c>
      <c r="I19" s="39">
        <f>'MERCADO TE'!$U$16</f>
        <v>0</v>
      </c>
      <c r="J19" s="18"/>
      <c r="L19" s="37">
        <f>'TE BE'!$L$19*'TE BF'!$L$51</f>
        <v>0</v>
      </c>
      <c r="M19" s="37">
        <f>'TE BE'!$M$19*'TE BF'!$M$51</f>
        <v>28.162149919629137</v>
      </c>
      <c r="N19" s="37">
        <f>'TE BE'!$N$19*'TE BF'!$N$51</f>
        <v>0</v>
      </c>
      <c r="O19" s="37">
        <f>'TE BE'!$O$19*'TE BF'!$O$51</f>
        <v>-0.60977237153153518</v>
      </c>
      <c r="P19" s="37">
        <f>SUM($L$19:$O$19)</f>
        <v>27.552377548097603</v>
      </c>
      <c r="Q19" s="37">
        <f>'TE BE'!$Q$19*'TE BF'!$Q$51</f>
        <v>23.019802021263871</v>
      </c>
      <c r="R19" s="37">
        <f>SUM($Q$19:$Q$19)</f>
        <v>23.019802021263871</v>
      </c>
      <c r="S19" s="37">
        <f>'TE BE'!$S$19*'TE BF'!$S$51</f>
        <v>0</v>
      </c>
      <c r="T19" s="37">
        <f>'TE BE'!$T$19*'TE BF'!$T$51</f>
        <v>0</v>
      </c>
      <c r="U19" s="37">
        <f>'TE BE'!$U$19*'TE BF'!$U$51</f>
        <v>0</v>
      </c>
      <c r="V19" s="37">
        <f>SUM($S$19:$U$19)</f>
        <v>0</v>
      </c>
      <c r="W19" s="37">
        <f>'TE BE'!$AA$19*'TE BF'!$W$51</f>
        <v>0</v>
      </c>
      <c r="X19" s="37">
        <f>SUM($W$19:$W$19)</f>
        <v>0</v>
      </c>
      <c r="Y19" s="37">
        <f>'TE BE'!$Y$19*'TE BF'!$Y$51</f>
        <v>0.37990594865013033</v>
      </c>
      <c r="Z19" s="37">
        <f>SUM($Y$19:$Y$19)</f>
        <v>0.37990594865013033</v>
      </c>
      <c r="AA19" s="37">
        <f>SUMIF($L$4:$Z$4,"SUBTOTAL",$L$19:$Z$19)</f>
        <v>50.952085518011607</v>
      </c>
    </row>
    <row r="20" spans="1:27" ht="11.25" customHeight="1" x14ac:dyDescent="0.25">
      <c r="A20" s="135"/>
      <c r="B20" s="135"/>
      <c r="C20" s="135"/>
      <c r="D20" s="45" t="s">
        <v>32</v>
      </c>
      <c r="E20" s="45" t="s">
        <v>25</v>
      </c>
      <c r="F20" s="45" t="s">
        <v>25</v>
      </c>
      <c r="G20" s="39" t="s">
        <v>92</v>
      </c>
      <c r="H20" s="39" t="s">
        <v>86</v>
      </c>
      <c r="I20" s="39">
        <f>'MERCADO TE'!$U$17</f>
        <v>0</v>
      </c>
      <c r="J20" s="18"/>
      <c r="L20" s="37">
        <f>'TE BE'!$L$20*'TE BF'!$L$51</f>
        <v>0</v>
      </c>
      <c r="M20" s="37">
        <f>'TE BE'!$M$20*'TE BF'!$M$51</f>
        <v>28.162149919629137</v>
      </c>
      <c r="N20" s="37">
        <f>'TE BE'!$N$20*'TE BF'!$N$51</f>
        <v>0</v>
      </c>
      <c r="O20" s="37">
        <f>'TE BE'!$O$20*'TE BF'!$O$51</f>
        <v>-0.60977237153153518</v>
      </c>
      <c r="P20" s="37">
        <f>SUM($L$20:$O$20)</f>
        <v>27.552377548097603</v>
      </c>
      <c r="Q20" s="37">
        <f>'TE BE'!$Q$20*'TE BF'!$Q$51</f>
        <v>23.019802021263871</v>
      </c>
      <c r="R20" s="37">
        <f>SUM($Q$20:$Q$20)</f>
        <v>23.019802021263871</v>
      </c>
      <c r="S20" s="37">
        <f>'TE BE'!$S$20*'TE BF'!$S$51</f>
        <v>0</v>
      </c>
      <c r="T20" s="37">
        <f>'TE BE'!$T$20*'TE BF'!$T$51</f>
        <v>0</v>
      </c>
      <c r="U20" s="37">
        <f>'TE BE'!$U$20*'TE BF'!$U$51</f>
        <v>0</v>
      </c>
      <c r="V20" s="37">
        <f>SUM($S$20:$U$20)</f>
        <v>0</v>
      </c>
      <c r="W20" s="37">
        <f>'TE BE'!$AA$20*'TE BF'!$W$51</f>
        <v>0</v>
      </c>
      <c r="X20" s="37">
        <f>SUM($W$20:$W$20)</f>
        <v>0</v>
      </c>
      <c r="Y20" s="37">
        <f>'TE BE'!$Y$20*'TE BF'!$Y$51</f>
        <v>0.37990594865013033</v>
      </c>
      <c r="Z20" s="37">
        <f>SUM($Y$20:$Y$20)</f>
        <v>0.37990594865013033</v>
      </c>
      <c r="AA20" s="37">
        <f>SUMIF($L$4:$Z$4,"SUBTOTAL",$L$20:$Z$20)</f>
        <v>50.952085518011607</v>
      </c>
    </row>
    <row r="21" spans="1:27" ht="11.25" customHeight="1" x14ac:dyDescent="0.25">
      <c r="A21" s="135"/>
      <c r="B21" s="135"/>
      <c r="C21" s="135"/>
      <c r="D21" s="45" t="s">
        <v>33</v>
      </c>
      <c r="E21" s="45" t="s">
        <v>25</v>
      </c>
      <c r="F21" s="45" t="s">
        <v>25</v>
      </c>
      <c r="G21" s="39" t="s">
        <v>92</v>
      </c>
      <c r="H21" s="39" t="s">
        <v>86</v>
      </c>
      <c r="I21" s="39">
        <f>'MERCADO TE'!$U$18</f>
        <v>0</v>
      </c>
      <c r="J21" s="18"/>
      <c r="L21" s="37">
        <f>'TE BE'!$L$21*'TE BF'!$L$51</f>
        <v>0</v>
      </c>
      <c r="M21" s="37">
        <f>'TE BE'!$M$21*'TE BF'!$M$51</f>
        <v>28.162149919629137</v>
      </c>
      <c r="N21" s="37">
        <f>'TE BE'!$N$21*'TE BF'!$N$51</f>
        <v>0</v>
      </c>
      <c r="O21" s="37">
        <f>'TE BE'!$O$21*'TE BF'!$O$51</f>
        <v>-0.60977237153153518</v>
      </c>
      <c r="P21" s="37">
        <f>SUM($L$21:$O$21)</f>
        <v>27.552377548097603</v>
      </c>
      <c r="Q21" s="37">
        <f>'TE BE'!$Q$21*'TE BF'!$Q$51</f>
        <v>23.019802021263871</v>
      </c>
      <c r="R21" s="37">
        <f>SUM($Q$21:$Q$21)</f>
        <v>23.019802021263871</v>
      </c>
      <c r="S21" s="37">
        <f>'TE BE'!$S$21*'TE BF'!$S$51</f>
        <v>0</v>
      </c>
      <c r="T21" s="37">
        <f>'TE BE'!$T$21*'TE BF'!$T$51</f>
        <v>0</v>
      </c>
      <c r="U21" s="37">
        <f>'TE BE'!$U$21*'TE BF'!$U$51</f>
        <v>0</v>
      </c>
      <c r="V21" s="37">
        <f>SUM($S$21:$U$21)</f>
        <v>0</v>
      </c>
      <c r="W21" s="37">
        <f>'TE BE'!$AA$21*'TE BF'!$W$51</f>
        <v>0</v>
      </c>
      <c r="X21" s="37">
        <f>SUM($W$21:$W$21)</f>
        <v>0</v>
      </c>
      <c r="Y21" s="37">
        <f>'TE BE'!$Y$21*'TE BF'!$Y$51</f>
        <v>0.37990594865013033</v>
      </c>
      <c r="Z21" s="37">
        <f>SUM($Y$21:$Y$21)</f>
        <v>0.37990594865013033</v>
      </c>
      <c r="AA21" s="37">
        <f>SUMIF($L$4:$Z$4,"SUBTOTAL",$L$21:$Z$21)</f>
        <v>50.952085518011607</v>
      </c>
    </row>
    <row r="22" spans="1:27" ht="11.25" customHeight="1" x14ac:dyDescent="0.25">
      <c r="A22" s="135"/>
      <c r="B22" s="135"/>
      <c r="C22" s="135"/>
      <c r="D22" s="45" t="s">
        <v>34</v>
      </c>
      <c r="E22" s="45" t="s">
        <v>25</v>
      </c>
      <c r="F22" s="45" t="s">
        <v>25</v>
      </c>
      <c r="G22" s="39" t="s">
        <v>92</v>
      </c>
      <c r="H22" s="39" t="s">
        <v>86</v>
      </c>
      <c r="I22" s="39">
        <f>'MERCADO TE'!$U$19</f>
        <v>0</v>
      </c>
      <c r="J22" s="18"/>
      <c r="L22" s="37">
        <f>'TE BE'!$L$22*'TE BF'!$L$51</f>
        <v>0</v>
      </c>
      <c r="M22" s="37">
        <f>'TE BE'!$M$22*'TE BF'!$M$51</f>
        <v>28.162149919629137</v>
      </c>
      <c r="N22" s="37">
        <f>'TE BE'!$N$22*'TE BF'!$N$51</f>
        <v>0</v>
      </c>
      <c r="O22" s="37">
        <f>'TE BE'!$O$22*'TE BF'!$O$51</f>
        <v>-0.60977237153153518</v>
      </c>
      <c r="P22" s="37">
        <f>SUM($L$22:$O$22)</f>
        <v>27.552377548097603</v>
      </c>
      <c r="Q22" s="37">
        <f>'TE BE'!$Q$22*'TE BF'!$Q$51</f>
        <v>23.019802021263871</v>
      </c>
      <c r="R22" s="37">
        <f>SUM($Q$22:$Q$22)</f>
        <v>23.019802021263871</v>
      </c>
      <c r="S22" s="37">
        <f>'TE BE'!$S$22*'TE BF'!$S$51</f>
        <v>0</v>
      </c>
      <c r="T22" s="37">
        <f>'TE BE'!$T$22*'TE BF'!$T$51</f>
        <v>0</v>
      </c>
      <c r="U22" s="37">
        <f>'TE BE'!$U$22*'TE BF'!$U$51</f>
        <v>0</v>
      </c>
      <c r="V22" s="37">
        <f>SUM($S$22:$U$22)</f>
        <v>0</v>
      </c>
      <c r="W22" s="37">
        <f>'TE BE'!$AA$22*'TE BF'!$W$51</f>
        <v>0</v>
      </c>
      <c r="X22" s="37">
        <f>SUM($W$22:$W$22)</f>
        <v>0</v>
      </c>
      <c r="Y22" s="37">
        <f>'TE BE'!$Y$22*'TE BF'!$Y$51</f>
        <v>0.37990594865013033</v>
      </c>
      <c r="Z22" s="37">
        <f>SUM($Y$22:$Y$22)</f>
        <v>0.37990594865013033</v>
      </c>
      <c r="AA22" s="37">
        <f>SUMIF($L$4:$Z$4,"SUBTOTAL",$L$22:$Z$22)</f>
        <v>50.952085518011607</v>
      </c>
    </row>
    <row r="23" spans="1:27" ht="11.25" customHeight="1" x14ac:dyDescent="0.25">
      <c r="A23" s="135" t="s">
        <v>46</v>
      </c>
      <c r="B23" s="135" t="s">
        <v>85</v>
      </c>
      <c r="C23" s="135" t="s">
        <v>47</v>
      </c>
      <c r="D23" s="135" t="s">
        <v>25</v>
      </c>
      <c r="E23" s="135" t="s">
        <v>25</v>
      </c>
      <c r="F23" s="135" t="s">
        <v>25</v>
      </c>
      <c r="G23" s="39" t="s">
        <v>87</v>
      </c>
      <c r="H23" s="39" t="s">
        <v>86</v>
      </c>
      <c r="I23" s="39">
        <f>'MERCADO TE'!$U$20</f>
        <v>0</v>
      </c>
      <c r="J23" s="18"/>
      <c r="L23" s="37">
        <f>'TE BE'!$L$23*'TE BF'!$L$51</f>
        <v>0</v>
      </c>
      <c r="M23" s="37">
        <f>'TE BE'!$M$23*'TE BF'!$M$51</f>
        <v>28.162149919629137</v>
      </c>
      <c r="N23" s="37">
        <f>'TE BE'!$N$23*'TE BF'!$N$51</f>
        <v>0</v>
      </c>
      <c r="O23" s="37">
        <f>'TE BE'!$O$23*'TE BF'!$O$51</f>
        <v>-0.60977237153153518</v>
      </c>
      <c r="P23" s="37">
        <f>SUM($L$23:$O$23)</f>
        <v>27.552377548097603</v>
      </c>
      <c r="Q23" s="37">
        <f>'TE BE'!$Q$23*'TE BF'!$Q$51</f>
        <v>37.352886298654582</v>
      </c>
      <c r="R23" s="37">
        <f>SUM($Q$23:$Q$23)</f>
        <v>37.352886298654582</v>
      </c>
      <c r="S23" s="37">
        <f>'TE BE'!$S$23*'TE BF'!$S$51</f>
        <v>0</v>
      </c>
      <c r="T23" s="37">
        <f>'TE BE'!$T$23*'TE BF'!$T$51</f>
        <v>0</v>
      </c>
      <c r="U23" s="37">
        <f>'TE BE'!$U$23*'TE BF'!$U$51</f>
        <v>0</v>
      </c>
      <c r="V23" s="37">
        <f>SUM($S$23:$U$23)</f>
        <v>0</v>
      </c>
      <c r="W23" s="37">
        <f>'TE BE'!$AA$23*'TE BF'!$W$51</f>
        <v>0</v>
      </c>
      <c r="X23" s="37">
        <f>SUM($W$23:$W$23)</f>
        <v>0</v>
      </c>
      <c r="Y23" s="37">
        <f>'TE BE'!$Y$23*'TE BF'!$Y$51</f>
        <v>0.37990594865013033</v>
      </c>
      <c r="Z23" s="37">
        <f>SUM($Y$23:$Y$23)</f>
        <v>0.37990594865013033</v>
      </c>
      <c r="AA23" s="37">
        <f>SUMIF($L$4:$Z$4,"SUBTOTAL",$L$23:$Z$23)</f>
        <v>65.285169795402311</v>
      </c>
    </row>
    <row r="24" spans="1:27" ht="11.25" customHeight="1" x14ac:dyDescent="0.25">
      <c r="A24" s="135"/>
      <c r="B24" s="135"/>
      <c r="C24" s="135"/>
      <c r="D24" s="135"/>
      <c r="E24" s="135"/>
      <c r="F24" s="135"/>
      <c r="G24" s="39" t="s">
        <v>98</v>
      </c>
      <c r="H24" s="39" t="s">
        <v>86</v>
      </c>
      <c r="I24" s="39">
        <f>'MERCADO TE'!$U$21</f>
        <v>5.0000000000000001E-3</v>
      </c>
      <c r="J24" s="18"/>
      <c r="L24" s="37">
        <f>'TE BE'!$L$24*'TE BF'!$L$51</f>
        <v>0</v>
      </c>
      <c r="M24" s="37">
        <f>'TE BE'!$M$24*'TE BF'!$M$51</f>
        <v>28.162149919629137</v>
      </c>
      <c r="N24" s="37">
        <f>'TE BE'!$N$24*'TE BF'!$N$51</f>
        <v>0</v>
      </c>
      <c r="O24" s="37">
        <f>'TE BE'!$O$24*'TE BF'!$O$51</f>
        <v>-0.60977237153153518</v>
      </c>
      <c r="P24" s="37">
        <f>SUM($L$24:$O$24)</f>
        <v>27.552377548097603</v>
      </c>
      <c r="Q24" s="37">
        <f>'TE BE'!$Q$24*'TE BF'!$Q$51</f>
        <v>21.716794359682897</v>
      </c>
      <c r="R24" s="37">
        <f>SUM($Q$24:$Q$24)</f>
        <v>21.716794359682897</v>
      </c>
      <c r="S24" s="37">
        <f>'TE BE'!$S$24*'TE BF'!$S$51</f>
        <v>0</v>
      </c>
      <c r="T24" s="37">
        <f>'TE BE'!$T$24*'TE BF'!$T$51</f>
        <v>0</v>
      </c>
      <c r="U24" s="37">
        <f>'TE BE'!$U$24*'TE BF'!$U$51</f>
        <v>0</v>
      </c>
      <c r="V24" s="37">
        <f>SUM($S$24:$U$24)</f>
        <v>0</v>
      </c>
      <c r="W24" s="37">
        <f>'TE BE'!$AA$24*'TE BF'!$W$51</f>
        <v>0</v>
      </c>
      <c r="X24" s="37">
        <f>SUM($W$24:$W$24)</f>
        <v>0</v>
      </c>
      <c r="Y24" s="37">
        <f>'TE BE'!$Y$24*'TE BF'!$Y$51</f>
        <v>0.37990594865013033</v>
      </c>
      <c r="Z24" s="37">
        <f>SUM($Y$24:$Y$24)</f>
        <v>0.37990594865013033</v>
      </c>
      <c r="AA24" s="37">
        <f>SUMIF($L$4:$Z$4,"SUBTOTAL",$L$24:$Z$24)</f>
        <v>49.649077856430637</v>
      </c>
    </row>
    <row r="25" spans="1:27" ht="11.25" customHeight="1" x14ac:dyDescent="0.25">
      <c r="A25" s="135"/>
      <c r="B25" s="135"/>
      <c r="C25" s="135"/>
      <c r="D25" s="135"/>
      <c r="E25" s="135"/>
      <c r="F25" s="135"/>
      <c r="G25" s="39" t="s">
        <v>88</v>
      </c>
      <c r="H25" s="39" t="s">
        <v>86</v>
      </c>
      <c r="I25" s="39">
        <f>'MERCADO TE'!$U$22</f>
        <v>0.54600000000000004</v>
      </c>
      <c r="J25" s="18"/>
      <c r="L25" s="37">
        <f>'TE BE'!$L$25*'TE BF'!$L$51</f>
        <v>0</v>
      </c>
      <c r="M25" s="37">
        <f>'TE BE'!$M$25*'TE BF'!$M$51</f>
        <v>28.162149919629137</v>
      </c>
      <c r="N25" s="37">
        <f>'TE BE'!$N$25*'TE BF'!$N$51</f>
        <v>0</v>
      </c>
      <c r="O25" s="37">
        <f>'TE BE'!$O$25*'TE BF'!$O$51</f>
        <v>-0.60977237153153518</v>
      </c>
      <c r="P25" s="37">
        <f>SUM($L$25:$O$25)</f>
        <v>27.552377548097603</v>
      </c>
      <c r="Q25" s="37">
        <f>'TE BE'!$Q$25*'TE BF'!$Q$51</f>
        <v>21.716794359682897</v>
      </c>
      <c r="R25" s="37">
        <f>SUM($Q$25:$Q$25)</f>
        <v>21.716794359682897</v>
      </c>
      <c r="S25" s="37">
        <f>'TE BE'!$S$25*'TE BF'!$S$51</f>
        <v>0</v>
      </c>
      <c r="T25" s="37">
        <f>'TE BE'!$T$25*'TE BF'!$T$51</f>
        <v>0</v>
      </c>
      <c r="U25" s="37">
        <f>'TE BE'!$U$25*'TE BF'!$U$51</f>
        <v>0</v>
      </c>
      <c r="V25" s="37">
        <f>SUM($S$25:$U$25)</f>
        <v>0</v>
      </c>
      <c r="W25" s="37">
        <f>'TE BE'!$AA$25*'TE BF'!$W$51</f>
        <v>0</v>
      </c>
      <c r="X25" s="37">
        <f>SUM($W$25:$W$25)</f>
        <v>0</v>
      </c>
      <c r="Y25" s="37">
        <f>'TE BE'!$Y$25*'TE BF'!$Y$51</f>
        <v>0.37990594865013033</v>
      </c>
      <c r="Z25" s="37">
        <f>SUM($Y$25:$Y$25)</f>
        <v>0.37990594865013033</v>
      </c>
      <c r="AA25" s="37">
        <f>SUMIF($L$4:$Z$4,"SUBTOTAL",$L$25:$Z$25)</f>
        <v>49.649077856430637</v>
      </c>
    </row>
    <row r="26" spans="1:27" ht="11.25" customHeight="1" x14ac:dyDescent="0.25">
      <c r="A26" s="135"/>
      <c r="B26" s="45" t="s">
        <v>94</v>
      </c>
      <c r="C26" s="45" t="s">
        <v>47</v>
      </c>
      <c r="D26" s="45" t="s">
        <v>25</v>
      </c>
      <c r="E26" s="45" t="s">
        <v>25</v>
      </c>
      <c r="F26" s="45" t="s">
        <v>25</v>
      </c>
      <c r="G26" s="39" t="s">
        <v>92</v>
      </c>
      <c r="H26" s="39" t="s">
        <v>86</v>
      </c>
      <c r="I26" s="39">
        <f>'MERCADO TE'!$U$23</f>
        <v>64418.971000000005</v>
      </c>
      <c r="J26" s="18"/>
      <c r="L26" s="37">
        <f>'TE BE'!$L$26*'TE BF'!$L$51</f>
        <v>0</v>
      </c>
      <c r="M26" s="37">
        <f>'TE BE'!$M$26*'TE BF'!$M$51</f>
        <v>28.162149919629137</v>
      </c>
      <c r="N26" s="37">
        <f>'TE BE'!$N$26*'TE BF'!$N$51</f>
        <v>0</v>
      </c>
      <c r="O26" s="37">
        <f>'TE BE'!$O$26*'TE BF'!$O$51</f>
        <v>-0.60977237153153518</v>
      </c>
      <c r="P26" s="37">
        <f>SUM($L$26:$O$26)</f>
        <v>27.552377548097603</v>
      </c>
      <c r="Q26" s="37">
        <f>'TE BE'!$Q$26*'TE BF'!$Q$51</f>
        <v>23.019802021263871</v>
      </c>
      <c r="R26" s="37">
        <f>SUM($Q$26:$Q$26)</f>
        <v>23.019802021263871</v>
      </c>
      <c r="S26" s="37">
        <f>'TE BE'!$S$26*'TE BF'!$S$51</f>
        <v>0</v>
      </c>
      <c r="T26" s="37">
        <f>'TE BE'!$T$26*'TE BF'!$T$51</f>
        <v>0</v>
      </c>
      <c r="U26" s="37">
        <f>'TE BE'!$U$26*'TE BF'!$U$51</f>
        <v>0</v>
      </c>
      <c r="V26" s="37">
        <f>SUM($S$26:$U$26)</f>
        <v>0</v>
      </c>
      <c r="W26" s="37">
        <f>'TE BE'!$AA$26*'TE BF'!$W$51</f>
        <v>0</v>
      </c>
      <c r="X26" s="37">
        <f>SUM($W$26:$W$26)</f>
        <v>0</v>
      </c>
      <c r="Y26" s="37">
        <f>'TE BE'!$Y$26*'TE BF'!$Y$51</f>
        <v>0.37990594865013033</v>
      </c>
      <c r="Z26" s="37">
        <f>SUM($Y$26:$Y$26)</f>
        <v>0.37990594865013033</v>
      </c>
      <c r="AA26" s="37">
        <f>SUMIF($L$4:$Z$4,"SUBTOTAL",$L$26:$Z$26)</f>
        <v>50.952085518011607</v>
      </c>
    </row>
    <row r="27" spans="1:27" ht="11.25" customHeight="1" x14ac:dyDescent="0.25">
      <c r="A27" s="135"/>
      <c r="B27" s="135" t="s">
        <v>85</v>
      </c>
      <c r="C27" s="135" t="s">
        <v>47</v>
      </c>
      <c r="D27" s="135" t="s">
        <v>101</v>
      </c>
      <c r="E27" s="135" t="s">
        <v>25</v>
      </c>
      <c r="F27" s="135" t="s">
        <v>25</v>
      </c>
      <c r="G27" s="39" t="s">
        <v>87</v>
      </c>
      <c r="H27" s="39" t="s">
        <v>86</v>
      </c>
      <c r="I27" s="39">
        <f>'MERCADO TE'!$U$24</f>
        <v>0</v>
      </c>
      <c r="J27" s="18"/>
      <c r="L27" s="37">
        <f>'TE BE'!$L$27*'TE BF'!$L$51</f>
        <v>0</v>
      </c>
      <c r="M27" s="37">
        <f>'TE BE'!$M$27*'TE BF'!$M$51</f>
        <v>28.162149919629137</v>
      </c>
      <c r="N27" s="37">
        <f>'TE BE'!$N$27*'TE BF'!$N$51</f>
        <v>0</v>
      </c>
      <c r="O27" s="37">
        <f>'TE BE'!$O$27*'TE BF'!$O$51</f>
        <v>-0.60977237153153518</v>
      </c>
      <c r="P27" s="37">
        <f>SUM($L$27:$O$27)</f>
        <v>27.552377548097603</v>
      </c>
      <c r="Q27" s="37">
        <f>'TE BE'!$Q$27*'TE BF'!$Q$51</f>
        <v>37.352886298654582</v>
      </c>
      <c r="R27" s="37">
        <f>SUM($Q$27:$Q$27)</f>
        <v>37.352886298654582</v>
      </c>
      <c r="S27" s="37">
        <f>'TE BE'!$S$27*'TE BF'!$S$51</f>
        <v>0</v>
      </c>
      <c r="T27" s="37">
        <f>'TE BE'!$T$27*'TE BF'!$T$51</f>
        <v>0</v>
      </c>
      <c r="U27" s="37">
        <f>'TE BE'!$U$27*'TE BF'!$U$51</f>
        <v>0</v>
      </c>
      <c r="V27" s="37">
        <f>SUM($S$27:$U$27)</f>
        <v>0</v>
      </c>
      <c r="W27" s="37">
        <f>'TE BE'!$AA$27*'TE BF'!$W$51</f>
        <v>0</v>
      </c>
      <c r="X27" s="37">
        <f>SUM($W$27:$W$27)</f>
        <v>0</v>
      </c>
      <c r="Y27" s="37">
        <f>'TE BE'!$Y$27*'TE BF'!$Y$51</f>
        <v>0.37990594865013033</v>
      </c>
      <c r="Z27" s="37">
        <f>SUM($Y$27:$Y$27)</f>
        <v>0.37990594865013033</v>
      </c>
      <c r="AA27" s="37">
        <f>SUMIF($L$4:$Z$4,"SUBTOTAL",$L$27:$Z$27)</f>
        <v>65.285169795402311</v>
      </c>
    </row>
    <row r="28" spans="1:27" ht="11.25" customHeight="1" x14ac:dyDescent="0.25">
      <c r="A28" s="135"/>
      <c r="B28" s="135"/>
      <c r="C28" s="135"/>
      <c r="D28" s="135"/>
      <c r="E28" s="135"/>
      <c r="F28" s="135"/>
      <c r="G28" s="39" t="s">
        <v>98</v>
      </c>
      <c r="H28" s="39" t="s">
        <v>86</v>
      </c>
      <c r="I28" s="39">
        <f>'MERCADO TE'!$U$25</f>
        <v>0</v>
      </c>
      <c r="J28" s="18"/>
      <c r="L28" s="37">
        <f>'TE BE'!$L$28*'TE BF'!$L$51</f>
        <v>0</v>
      </c>
      <c r="M28" s="37">
        <f>'TE BE'!$M$28*'TE BF'!$M$51</f>
        <v>28.162149919629137</v>
      </c>
      <c r="N28" s="37">
        <f>'TE BE'!$N$28*'TE BF'!$N$51</f>
        <v>0</v>
      </c>
      <c r="O28" s="37">
        <f>'TE BE'!$O$28*'TE BF'!$O$51</f>
        <v>-0.60977237153153518</v>
      </c>
      <c r="P28" s="37">
        <f>SUM($L$28:$O$28)</f>
        <v>27.552377548097603</v>
      </c>
      <c r="Q28" s="37">
        <f>'TE BE'!$Q$28*'TE BF'!$Q$51</f>
        <v>21.716794359682897</v>
      </c>
      <c r="R28" s="37">
        <f>SUM($Q$28:$Q$28)</f>
        <v>21.716794359682897</v>
      </c>
      <c r="S28" s="37">
        <f>'TE BE'!$S$28*'TE BF'!$S$51</f>
        <v>0</v>
      </c>
      <c r="T28" s="37">
        <f>'TE BE'!$T$28*'TE BF'!$T$51</f>
        <v>0</v>
      </c>
      <c r="U28" s="37">
        <f>'TE BE'!$U$28*'TE BF'!$U$51</f>
        <v>0</v>
      </c>
      <c r="V28" s="37">
        <f>SUM($S$28:$U$28)</f>
        <v>0</v>
      </c>
      <c r="W28" s="37">
        <f>'TE BE'!$AA$28*'TE BF'!$W$51</f>
        <v>0</v>
      </c>
      <c r="X28" s="37">
        <f>SUM($W$28:$W$28)</f>
        <v>0</v>
      </c>
      <c r="Y28" s="37">
        <f>'TE BE'!$Y$28*'TE BF'!$Y$51</f>
        <v>0.37990594865013033</v>
      </c>
      <c r="Z28" s="37">
        <f>SUM($Y$28:$Y$28)</f>
        <v>0.37990594865013033</v>
      </c>
      <c r="AA28" s="37">
        <f>SUMIF($L$4:$Z$4,"SUBTOTAL",$L$28:$Z$28)</f>
        <v>49.649077856430637</v>
      </c>
    </row>
    <row r="29" spans="1:27" ht="11.25" customHeight="1" x14ac:dyDescent="0.25">
      <c r="A29" s="135"/>
      <c r="B29" s="135"/>
      <c r="C29" s="135"/>
      <c r="D29" s="135"/>
      <c r="E29" s="135"/>
      <c r="F29" s="135"/>
      <c r="G29" s="39" t="s">
        <v>88</v>
      </c>
      <c r="H29" s="39" t="s">
        <v>86</v>
      </c>
      <c r="I29" s="39">
        <f>'MERCADO TE'!$U$26</f>
        <v>0</v>
      </c>
      <c r="J29" s="18"/>
      <c r="L29" s="37">
        <f>'TE BE'!$L$29*'TE BF'!$L$51</f>
        <v>0</v>
      </c>
      <c r="M29" s="37">
        <f>'TE BE'!$M$29*'TE BF'!$M$51</f>
        <v>28.162149919629137</v>
      </c>
      <c r="N29" s="37">
        <f>'TE BE'!$N$29*'TE BF'!$N$51</f>
        <v>0</v>
      </c>
      <c r="O29" s="37">
        <f>'TE BE'!$O$29*'TE BF'!$O$51</f>
        <v>-0.60977237153153518</v>
      </c>
      <c r="P29" s="37">
        <f>SUM($L$29:$O$29)</f>
        <v>27.552377548097603</v>
      </c>
      <c r="Q29" s="37">
        <f>'TE BE'!$Q$29*'TE BF'!$Q$51</f>
        <v>21.716794359682897</v>
      </c>
      <c r="R29" s="37">
        <f>SUM($Q$29:$Q$29)</f>
        <v>21.716794359682897</v>
      </c>
      <c r="S29" s="37">
        <f>'TE BE'!$S$29*'TE BF'!$S$51</f>
        <v>0</v>
      </c>
      <c r="T29" s="37">
        <f>'TE BE'!$T$29*'TE BF'!$T$51</f>
        <v>0</v>
      </c>
      <c r="U29" s="37">
        <f>'TE BE'!$U$29*'TE BF'!$U$51</f>
        <v>0</v>
      </c>
      <c r="V29" s="37">
        <f>SUM($S$29:$U$29)</f>
        <v>0</v>
      </c>
      <c r="W29" s="37">
        <f>'TE BE'!$AA$29*'TE BF'!$W$51</f>
        <v>0</v>
      </c>
      <c r="X29" s="37">
        <f>SUM($W$29:$W$29)</f>
        <v>0</v>
      </c>
      <c r="Y29" s="37">
        <f>'TE BE'!$Y$29*'TE BF'!$Y$51</f>
        <v>0.37990594865013033</v>
      </c>
      <c r="Z29" s="37">
        <f>SUM($Y$29:$Y$29)</f>
        <v>0.37990594865013033</v>
      </c>
      <c r="AA29" s="37">
        <f>SUMIF($L$4:$Z$4,"SUBTOTAL",$L$29:$Z$29)</f>
        <v>49.649077856430637</v>
      </c>
    </row>
    <row r="30" spans="1:27" ht="11.25" customHeight="1" x14ac:dyDescent="0.25">
      <c r="A30" s="135"/>
      <c r="B30" s="45" t="s">
        <v>94</v>
      </c>
      <c r="C30" s="45" t="s">
        <v>47</v>
      </c>
      <c r="D30" s="45" t="s">
        <v>101</v>
      </c>
      <c r="E30" s="45" t="s">
        <v>25</v>
      </c>
      <c r="F30" s="45" t="s">
        <v>25</v>
      </c>
      <c r="G30" s="39" t="s">
        <v>92</v>
      </c>
      <c r="H30" s="39" t="s">
        <v>86</v>
      </c>
      <c r="I30" s="39">
        <f>'MERCADO TE'!$U$27</f>
        <v>0</v>
      </c>
      <c r="J30" s="18"/>
      <c r="L30" s="37">
        <f>'TE BE'!$L$30*'TE BF'!$L$51</f>
        <v>0</v>
      </c>
      <c r="M30" s="37">
        <f>'TE BE'!$M$30*'TE BF'!$M$51</f>
        <v>28.162149919629137</v>
      </c>
      <c r="N30" s="37">
        <f>'TE BE'!$N$30*'TE BF'!$N$51</f>
        <v>0</v>
      </c>
      <c r="O30" s="37">
        <f>'TE BE'!$O$30*'TE BF'!$O$51</f>
        <v>-0.60977237153153518</v>
      </c>
      <c r="P30" s="37">
        <f>SUM($L$30:$O$30)</f>
        <v>27.552377548097603</v>
      </c>
      <c r="Q30" s="37">
        <f>'TE BE'!$Q$30*'TE BF'!$Q$51</f>
        <v>23.019802021263871</v>
      </c>
      <c r="R30" s="37">
        <f>SUM($Q$30:$Q$30)</f>
        <v>23.019802021263871</v>
      </c>
      <c r="S30" s="37">
        <f>'TE BE'!$S$30*'TE BF'!$S$51</f>
        <v>0</v>
      </c>
      <c r="T30" s="37">
        <f>'TE BE'!$T$30*'TE BF'!$T$51</f>
        <v>0</v>
      </c>
      <c r="U30" s="37">
        <f>'TE BE'!$U$30*'TE BF'!$U$51</f>
        <v>0</v>
      </c>
      <c r="V30" s="37">
        <f>SUM($S$30:$U$30)</f>
        <v>0</v>
      </c>
      <c r="W30" s="37">
        <f>'TE BE'!$AA$30*'TE BF'!$W$51</f>
        <v>0</v>
      </c>
      <c r="X30" s="37">
        <f>SUM($W$30:$W$30)</f>
        <v>0</v>
      </c>
      <c r="Y30" s="37">
        <f>'TE BE'!$Y$30*'TE BF'!$Y$51</f>
        <v>0.37990594865013033</v>
      </c>
      <c r="Z30" s="37">
        <f>SUM($Y$30:$Y$30)</f>
        <v>0.37990594865013033</v>
      </c>
      <c r="AA30" s="37">
        <f>SUMIF($L$4:$Z$4,"SUBTOTAL",$L$30:$Z$30)</f>
        <v>50.952085518011607</v>
      </c>
    </row>
    <row r="31" spans="1:27" ht="11.25" customHeight="1" x14ac:dyDescent="0.25">
      <c r="A31" s="135"/>
      <c r="B31" s="135" t="s">
        <v>85</v>
      </c>
      <c r="C31" s="135" t="s">
        <v>47</v>
      </c>
      <c r="D31" s="135" t="s">
        <v>55</v>
      </c>
      <c r="E31" s="135" t="s">
        <v>25</v>
      </c>
      <c r="F31" s="135" t="s">
        <v>25</v>
      </c>
      <c r="G31" s="39" t="s">
        <v>87</v>
      </c>
      <c r="H31" s="39" t="s">
        <v>86</v>
      </c>
      <c r="I31" s="39">
        <f>'MERCADO TE'!$U$28</f>
        <v>0</v>
      </c>
      <c r="J31" s="18"/>
      <c r="L31" s="37">
        <f>'TE BE'!$L$31*'TE BF'!$L$51</f>
        <v>0</v>
      </c>
      <c r="M31" s="37">
        <f>'TE BE'!$M$31*'TE BF'!$M$51</f>
        <v>28.162149919629137</v>
      </c>
      <c r="N31" s="37">
        <f>'TE BE'!$N$31*'TE BF'!$N$51</f>
        <v>0</v>
      </c>
      <c r="O31" s="37">
        <f>'TE BE'!$O$31*'TE BF'!$O$51</f>
        <v>-0.60977237153153518</v>
      </c>
      <c r="P31" s="37">
        <f>SUM($L$31:$O$31)</f>
        <v>27.552377548097603</v>
      </c>
      <c r="Q31" s="37">
        <f>'TE BE'!$Q$31*'TE BF'!$Q$51</f>
        <v>37.352886298654582</v>
      </c>
      <c r="R31" s="37">
        <f>SUM($Q$31:$Q$31)</f>
        <v>37.352886298654582</v>
      </c>
      <c r="S31" s="37">
        <f>'TE BE'!$S$31*'TE BF'!$S$51</f>
        <v>0</v>
      </c>
      <c r="T31" s="37">
        <f>'TE BE'!$T$31*'TE BF'!$T$51</f>
        <v>0</v>
      </c>
      <c r="U31" s="37">
        <f>'TE BE'!$U$31*'TE BF'!$U$51</f>
        <v>0</v>
      </c>
      <c r="V31" s="37">
        <f>SUM($S$31:$U$31)</f>
        <v>0</v>
      </c>
      <c r="W31" s="37">
        <f>'TE BE'!$AA$31*'TE BF'!$W$51</f>
        <v>0</v>
      </c>
      <c r="X31" s="37">
        <f>SUM($W$31:$W$31)</f>
        <v>0</v>
      </c>
      <c r="Y31" s="37">
        <f>'TE BE'!$Y$31*'TE BF'!$Y$51</f>
        <v>0.37990594865013033</v>
      </c>
      <c r="Z31" s="37">
        <f>SUM($Y$31:$Y$31)</f>
        <v>0.37990594865013033</v>
      </c>
      <c r="AA31" s="37">
        <f>SUMIF($L$4:$Z$4,"SUBTOTAL",$L$31:$Z$31)</f>
        <v>65.285169795402311</v>
      </c>
    </row>
    <row r="32" spans="1:27" ht="11.25" customHeight="1" x14ac:dyDescent="0.25">
      <c r="A32" s="135"/>
      <c r="B32" s="135"/>
      <c r="C32" s="135"/>
      <c r="D32" s="135"/>
      <c r="E32" s="135"/>
      <c r="F32" s="135"/>
      <c r="G32" s="39" t="s">
        <v>98</v>
      </c>
      <c r="H32" s="39" t="s">
        <v>86</v>
      </c>
      <c r="I32" s="39">
        <f>'MERCADO TE'!$U$29</f>
        <v>0</v>
      </c>
      <c r="J32" s="18"/>
      <c r="L32" s="37">
        <f>'TE BE'!$L$32*'TE BF'!$L$51</f>
        <v>0</v>
      </c>
      <c r="M32" s="37">
        <f>'TE BE'!$M$32*'TE BF'!$M$51</f>
        <v>28.162149919629137</v>
      </c>
      <c r="N32" s="37">
        <f>'TE BE'!$N$32*'TE BF'!$N$51</f>
        <v>0</v>
      </c>
      <c r="O32" s="37">
        <f>'TE BE'!$O$32*'TE BF'!$O$51</f>
        <v>-0.60977237153153518</v>
      </c>
      <c r="P32" s="37">
        <f>SUM($L$32:$O$32)</f>
        <v>27.552377548097603</v>
      </c>
      <c r="Q32" s="37">
        <f>'TE BE'!$Q$32*'TE BF'!$Q$51</f>
        <v>21.716794359682897</v>
      </c>
      <c r="R32" s="37">
        <f>SUM($Q$32:$Q$32)</f>
        <v>21.716794359682897</v>
      </c>
      <c r="S32" s="37">
        <f>'TE BE'!$S$32*'TE BF'!$S$51</f>
        <v>0</v>
      </c>
      <c r="T32" s="37">
        <f>'TE BE'!$T$32*'TE BF'!$T$51</f>
        <v>0</v>
      </c>
      <c r="U32" s="37">
        <f>'TE BE'!$U$32*'TE BF'!$U$51</f>
        <v>0</v>
      </c>
      <c r="V32" s="37">
        <f>SUM($S$32:$U$32)</f>
        <v>0</v>
      </c>
      <c r="W32" s="37">
        <f>'TE BE'!$AA$32*'TE BF'!$W$51</f>
        <v>0</v>
      </c>
      <c r="X32" s="37">
        <f>SUM($W$32:$W$32)</f>
        <v>0</v>
      </c>
      <c r="Y32" s="37">
        <f>'TE BE'!$Y$32*'TE BF'!$Y$51</f>
        <v>0.37990594865013033</v>
      </c>
      <c r="Z32" s="37">
        <f>SUM($Y$32:$Y$32)</f>
        <v>0.37990594865013033</v>
      </c>
      <c r="AA32" s="37">
        <f>SUMIF($L$4:$Z$4,"SUBTOTAL",$L$32:$Z$32)</f>
        <v>49.649077856430637</v>
      </c>
    </row>
    <row r="33" spans="1:27" ht="11.25" customHeight="1" x14ac:dyDescent="0.25">
      <c r="A33" s="135"/>
      <c r="B33" s="135"/>
      <c r="C33" s="135"/>
      <c r="D33" s="135"/>
      <c r="E33" s="135"/>
      <c r="F33" s="135"/>
      <c r="G33" s="39" t="s">
        <v>88</v>
      </c>
      <c r="H33" s="39" t="s">
        <v>86</v>
      </c>
      <c r="I33" s="39">
        <f>'MERCADO TE'!$U$30</f>
        <v>0</v>
      </c>
      <c r="J33" s="18"/>
      <c r="L33" s="37">
        <f>'TE BE'!$L$33*'TE BF'!$L$51</f>
        <v>0</v>
      </c>
      <c r="M33" s="37">
        <f>'TE BE'!$M$33*'TE BF'!$M$51</f>
        <v>28.162149919629137</v>
      </c>
      <c r="N33" s="37">
        <f>'TE BE'!$N$33*'TE BF'!$N$51</f>
        <v>0</v>
      </c>
      <c r="O33" s="37">
        <f>'TE BE'!$O$33*'TE BF'!$O$51</f>
        <v>-0.60977237153153518</v>
      </c>
      <c r="P33" s="37">
        <f>SUM($L$33:$O$33)</f>
        <v>27.552377548097603</v>
      </c>
      <c r="Q33" s="37">
        <f>'TE BE'!$Q$33*'TE BF'!$Q$51</f>
        <v>21.716794359682897</v>
      </c>
      <c r="R33" s="37">
        <f>SUM($Q$33:$Q$33)</f>
        <v>21.716794359682897</v>
      </c>
      <c r="S33" s="37">
        <f>'TE BE'!$S$33*'TE BF'!$S$51</f>
        <v>0</v>
      </c>
      <c r="T33" s="37">
        <f>'TE BE'!$T$33*'TE BF'!$T$51</f>
        <v>0</v>
      </c>
      <c r="U33" s="37">
        <f>'TE BE'!$U$33*'TE BF'!$U$51</f>
        <v>0</v>
      </c>
      <c r="V33" s="37">
        <f>SUM($S$33:$U$33)</f>
        <v>0</v>
      </c>
      <c r="W33" s="37">
        <f>'TE BE'!$AA$33*'TE BF'!$W$51</f>
        <v>0</v>
      </c>
      <c r="X33" s="37">
        <f>SUM($W$33:$W$33)</f>
        <v>0</v>
      </c>
      <c r="Y33" s="37">
        <f>'TE BE'!$Y$33*'TE BF'!$Y$51</f>
        <v>0.37990594865013033</v>
      </c>
      <c r="Z33" s="37">
        <f>SUM($Y$33:$Y$33)</f>
        <v>0.37990594865013033</v>
      </c>
      <c r="AA33" s="37">
        <f>SUMIF($L$4:$Z$4,"SUBTOTAL",$L$33:$Z$33)</f>
        <v>49.649077856430637</v>
      </c>
    </row>
    <row r="34" spans="1:27" ht="11.25" customHeight="1" x14ac:dyDescent="0.25">
      <c r="A34" s="135"/>
      <c r="B34" s="45" t="s">
        <v>94</v>
      </c>
      <c r="C34" s="45" t="s">
        <v>47</v>
      </c>
      <c r="D34" s="45" t="s">
        <v>55</v>
      </c>
      <c r="E34" s="45" t="s">
        <v>25</v>
      </c>
      <c r="F34" s="45" t="s">
        <v>25</v>
      </c>
      <c r="G34" s="39" t="s">
        <v>92</v>
      </c>
      <c r="H34" s="39" t="s">
        <v>86</v>
      </c>
      <c r="I34" s="39">
        <f>'MERCADO TE'!$U$31</f>
        <v>26.512</v>
      </c>
      <c r="J34" s="18"/>
      <c r="L34" s="37">
        <f>'TE BE'!$L$34*'TE BF'!$L$51</f>
        <v>0</v>
      </c>
      <c r="M34" s="37">
        <f>'TE BE'!$M$34*'TE BF'!$M$51</f>
        <v>28.162149919629137</v>
      </c>
      <c r="N34" s="37">
        <f>'TE BE'!$N$34*'TE BF'!$N$51</f>
        <v>0</v>
      </c>
      <c r="O34" s="37">
        <f>'TE BE'!$O$34*'TE BF'!$O$51</f>
        <v>-0.60977237153153518</v>
      </c>
      <c r="P34" s="37">
        <f>SUM($L$34:$O$34)</f>
        <v>27.552377548097603</v>
      </c>
      <c r="Q34" s="37">
        <f>'TE BE'!$Q$34*'TE BF'!$Q$51</f>
        <v>23.019802021263871</v>
      </c>
      <c r="R34" s="37">
        <f>SUM($Q$34:$Q$34)</f>
        <v>23.019802021263871</v>
      </c>
      <c r="S34" s="37">
        <f>'TE BE'!$S$34*'TE BF'!$S$51</f>
        <v>0</v>
      </c>
      <c r="T34" s="37">
        <f>'TE BE'!$T$34*'TE BF'!$T$51</f>
        <v>0</v>
      </c>
      <c r="U34" s="37">
        <f>'TE BE'!$U$34*'TE BF'!$U$51</f>
        <v>0</v>
      </c>
      <c r="V34" s="37">
        <f>SUM($S$34:$U$34)</f>
        <v>0</v>
      </c>
      <c r="W34" s="37">
        <f>'TE BE'!$AA$34*'TE BF'!$W$51</f>
        <v>0</v>
      </c>
      <c r="X34" s="37">
        <f>SUM($W$34:$W$34)</f>
        <v>0</v>
      </c>
      <c r="Y34" s="37">
        <f>'TE BE'!$Y$34*'TE BF'!$Y$51</f>
        <v>0.37990594865013033</v>
      </c>
      <c r="Z34" s="37">
        <f>SUM($Y$34:$Y$34)</f>
        <v>0.37990594865013033</v>
      </c>
      <c r="AA34" s="37">
        <f>SUMIF($L$4:$Z$4,"SUBTOTAL",$L$34:$Z$34)</f>
        <v>50.952085518011607</v>
      </c>
    </row>
    <row r="35" spans="1:27" ht="11.25" customHeight="1" x14ac:dyDescent="0.25">
      <c r="A35" s="135"/>
      <c r="B35" s="135" t="s">
        <v>99</v>
      </c>
      <c r="C35" s="135" t="s">
        <v>47</v>
      </c>
      <c r="D35" s="45" t="s">
        <v>25</v>
      </c>
      <c r="E35" s="45" t="s">
        <v>25</v>
      </c>
      <c r="F35" s="45" t="s">
        <v>25</v>
      </c>
      <c r="G35" s="39" t="s">
        <v>92</v>
      </c>
      <c r="H35" s="39" t="s">
        <v>86</v>
      </c>
      <c r="I35" s="39">
        <f>'MERCADO TE'!$U$32</f>
        <v>0</v>
      </c>
      <c r="J35" s="18"/>
      <c r="L35" s="37">
        <f>'TE BE'!$L$35*'TE BF'!$L$51</f>
        <v>0</v>
      </c>
      <c r="M35" s="37">
        <f>'TE BE'!$M$35*'TE BF'!$M$51</f>
        <v>28.162149919629137</v>
      </c>
      <c r="N35" s="37">
        <f>'TE BE'!$N$35*'TE BF'!$N$51</f>
        <v>0</v>
      </c>
      <c r="O35" s="37">
        <f>'TE BE'!$O$35*'TE BF'!$O$51</f>
        <v>-0.60977237153153518</v>
      </c>
      <c r="P35" s="37">
        <f>SUM($L$35:$O$35)</f>
        <v>27.552377548097603</v>
      </c>
      <c r="Q35" s="37">
        <f>'TE BE'!$Q$35*'TE BF'!$Q$51</f>
        <v>23.019802021263871</v>
      </c>
      <c r="R35" s="37">
        <f>SUM($Q$35:$Q$35)</f>
        <v>23.019802021263871</v>
      </c>
      <c r="S35" s="37">
        <f>'TE BE'!$S$35*'TE BF'!$S$51</f>
        <v>0</v>
      </c>
      <c r="T35" s="37">
        <f>'TE BE'!$T$35*'TE BF'!$T$51</f>
        <v>0</v>
      </c>
      <c r="U35" s="37">
        <f>'TE BE'!$U$35*'TE BF'!$U$51</f>
        <v>0</v>
      </c>
      <c r="V35" s="37">
        <f>SUM($S$35:$U$35)</f>
        <v>0</v>
      </c>
      <c r="W35" s="37">
        <f>'TE BE'!$AA$35*'TE BF'!$W$51</f>
        <v>0</v>
      </c>
      <c r="X35" s="37">
        <f>SUM($W$35:$W$35)</f>
        <v>0</v>
      </c>
      <c r="Y35" s="37">
        <f>'TE BE'!$Y$35*'TE BF'!$Y$51</f>
        <v>0.37990594865013033</v>
      </c>
      <c r="Z35" s="37">
        <f>SUM($Y$35:$Y$35)</f>
        <v>0.37990594865013033</v>
      </c>
      <c r="AA35" s="37">
        <f>SUMIF($L$4:$Z$4,"SUBTOTAL",$L$35:$Z$35)</f>
        <v>50.952085518011607</v>
      </c>
    </row>
    <row r="36" spans="1:27" ht="11.25" customHeight="1" x14ac:dyDescent="0.25">
      <c r="A36" s="135"/>
      <c r="B36" s="135"/>
      <c r="C36" s="135"/>
      <c r="D36" s="45" t="s">
        <v>101</v>
      </c>
      <c r="E36" s="45" t="s">
        <v>25</v>
      </c>
      <c r="F36" s="45" t="s">
        <v>25</v>
      </c>
      <c r="G36" s="39" t="s">
        <v>92</v>
      </c>
      <c r="H36" s="39" t="s">
        <v>86</v>
      </c>
      <c r="I36" s="39">
        <f>'MERCADO TE'!$U$33</f>
        <v>0</v>
      </c>
      <c r="J36" s="18"/>
      <c r="L36" s="37">
        <f>'TE BE'!$L$36*'TE BF'!$L$51</f>
        <v>0</v>
      </c>
      <c r="M36" s="37">
        <f>'TE BE'!$M$36*'TE BF'!$M$51</f>
        <v>28.162149919629137</v>
      </c>
      <c r="N36" s="37">
        <f>'TE BE'!$N$36*'TE BF'!$N$51</f>
        <v>0</v>
      </c>
      <c r="O36" s="37">
        <f>'TE BE'!$O$36*'TE BF'!$O$51</f>
        <v>-0.60977237153153518</v>
      </c>
      <c r="P36" s="37">
        <f>SUM($L$36:$O$36)</f>
        <v>27.552377548097603</v>
      </c>
      <c r="Q36" s="37">
        <f>'TE BE'!$Q$36*'TE BF'!$Q$51</f>
        <v>23.019802021263871</v>
      </c>
      <c r="R36" s="37">
        <f>SUM($Q$36:$Q$36)</f>
        <v>23.019802021263871</v>
      </c>
      <c r="S36" s="37">
        <f>'TE BE'!$S$36*'TE BF'!$S$51</f>
        <v>0</v>
      </c>
      <c r="T36" s="37">
        <f>'TE BE'!$T$36*'TE BF'!$T$51</f>
        <v>0</v>
      </c>
      <c r="U36" s="37">
        <f>'TE BE'!$U$36*'TE BF'!$U$51</f>
        <v>0</v>
      </c>
      <c r="V36" s="37">
        <f>SUM($S$36:$U$36)</f>
        <v>0</v>
      </c>
      <c r="W36" s="37">
        <f>'TE BE'!$AA$36*'TE BF'!$W$51</f>
        <v>0</v>
      </c>
      <c r="X36" s="37">
        <f>SUM($W$36:$W$36)</f>
        <v>0</v>
      </c>
      <c r="Y36" s="37">
        <f>'TE BE'!$Y$36*'TE BF'!$Y$51</f>
        <v>0.37990594865013033</v>
      </c>
      <c r="Z36" s="37">
        <f>SUM($Y$36:$Y$36)</f>
        <v>0.37990594865013033</v>
      </c>
      <c r="AA36" s="37">
        <f>SUMIF($L$4:$Z$4,"SUBTOTAL",$L$36:$Z$36)</f>
        <v>50.952085518011607</v>
      </c>
    </row>
    <row r="37" spans="1:27" ht="11.25" customHeight="1" x14ac:dyDescent="0.25">
      <c r="A37" s="135"/>
      <c r="B37" s="135"/>
      <c r="C37" s="135"/>
      <c r="D37" s="45" t="s">
        <v>55</v>
      </c>
      <c r="E37" s="45" t="s">
        <v>25</v>
      </c>
      <c r="F37" s="45" t="s">
        <v>25</v>
      </c>
      <c r="G37" s="39" t="s">
        <v>92</v>
      </c>
      <c r="H37" s="39" t="s">
        <v>86</v>
      </c>
      <c r="I37" s="39">
        <f>'MERCADO TE'!$U$34</f>
        <v>0</v>
      </c>
      <c r="J37" s="18"/>
      <c r="L37" s="37">
        <f>'TE BE'!$L$37*'TE BF'!$L$51</f>
        <v>0</v>
      </c>
      <c r="M37" s="37">
        <f>'TE BE'!$M$37*'TE BF'!$M$51</f>
        <v>28.162149919629137</v>
      </c>
      <c r="N37" s="37">
        <f>'TE BE'!$N$37*'TE BF'!$N$51</f>
        <v>0</v>
      </c>
      <c r="O37" s="37">
        <f>'TE BE'!$O$37*'TE BF'!$O$51</f>
        <v>-0.60977237153153518</v>
      </c>
      <c r="P37" s="37">
        <f>SUM($L$37:$O$37)</f>
        <v>27.552377548097603</v>
      </c>
      <c r="Q37" s="37">
        <f>'TE BE'!$Q$37*'TE BF'!$Q$51</f>
        <v>23.019802021263871</v>
      </c>
      <c r="R37" s="37">
        <f>SUM($Q$37:$Q$37)</f>
        <v>23.019802021263871</v>
      </c>
      <c r="S37" s="37">
        <f>'TE BE'!$S$37*'TE BF'!$S$51</f>
        <v>0</v>
      </c>
      <c r="T37" s="37">
        <f>'TE BE'!$T$37*'TE BF'!$T$51</f>
        <v>0</v>
      </c>
      <c r="U37" s="37">
        <f>'TE BE'!$U$37*'TE BF'!$U$51</f>
        <v>0</v>
      </c>
      <c r="V37" s="37">
        <f>SUM($S$37:$U$37)</f>
        <v>0</v>
      </c>
      <c r="W37" s="37">
        <f>'TE BE'!$AA$37*'TE BF'!$W$51</f>
        <v>0</v>
      </c>
      <c r="X37" s="37">
        <f>SUM($W$37:$W$37)</f>
        <v>0</v>
      </c>
      <c r="Y37" s="37">
        <f>'TE BE'!$Y$37*'TE BF'!$Y$51</f>
        <v>0.37990594865013033</v>
      </c>
      <c r="Z37" s="37">
        <f>SUM($Y$37:$Y$37)</f>
        <v>0.37990594865013033</v>
      </c>
      <c r="AA37" s="37">
        <f>SUMIF($L$4:$Z$4,"SUBTOTAL",$L$37:$Z$37)</f>
        <v>50.952085518011607</v>
      </c>
    </row>
    <row r="38" spans="1:27" ht="11.25" customHeight="1" x14ac:dyDescent="0.25">
      <c r="A38" s="135" t="s">
        <v>41</v>
      </c>
      <c r="B38" s="135" t="s">
        <v>85</v>
      </c>
      <c r="C38" s="135" t="s">
        <v>25</v>
      </c>
      <c r="D38" s="135" t="s">
        <v>25</v>
      </c>
      <c r="E38" s="135" t="s">
        <v>25</v>
      </c>
      <c r="F38" s="135" t="s">
        <v>25</v>
      </c>
      <c r="G38" s="39" t="s">
        <v>87</v>
      </c>
      <c r="H38" s="39" t="s">
        <v>86</v>
      </c>
      <c r="I38" s="39">
        <f>'MERCADO TE'!$U$35</f>
        <v>159.50200000000001</v>
      </c>
      <c r="J38" s="18"/>
      <c r="L38" s="37">
        <f>'TE BE'!$L$38*'TE BF'!$L$51</f>
        <v>0</v>
      </c>
      <c r="M38" s="37">
        <f>'TE BE'!$M$38*'TE BF'!$M$51</f>
        <v>28.162149919629137</v>
      </c>
      <c r="N38" s="37">
        <f>'TE BE'!$N$38*'TE BF'!$N$51</f>
        <v>0</v>
      </c>
      <c r="O38" s="37">
        <f>'TE BE'!$O$38*'TE BF'!$O$51</f>
        <v>-0.60977237153153518</v>
      </c>
      <c r="P38" s="37">
        <f>SUM($L$38:$O$38)</f>
        <v>27.552377548097603</v>
      </c>
      <c r="Q38" s="37">
        <f>'TE BE'!$Q$38*'TE BF'!$Q$51</f>
        <v>37.352886298654582</v>
      </c>
      <c r="R38" s="37">
        <f>SUM($Q$38:$Q$38)</f>
        <v>37.352886298654582</v>
      </c>
      <c r="S38" s="37">
        <f>'TE BE'!$S$38*'TE BF'!$S$51</f>
        <v>0</v>
      </c>
      <c r="T38" s="37">
        <f>'TE BE'!$T$38*'TE BF'!$T$51</f>
        <v>0</v>
      </c>
      <c r="U38" s="37">
        <f>'TE BE'!$U$38*'TE BF'!$U$51</f>
        <v>0</v>
      </c>
      <c r="V38" s="37">
        <f>SUM($S$38:$U$38)</f>
        <v>0</v>
      </c>
      <c r="W38" s="37">
        <f>'TE BE'!$AA$38*'TE BF'!$W$51</f>
        <v>0</v>
      </c>
      <c r="X38" s="37">
        <f>SUM($W$38:$W$38)</f>
        <v>0</v>
      </c>
      <c r="Y38" s="37">
        <f>'TE BE'!$Y$38*'TE BF'!$Y$51</f>
        <v>0.37990594865013033</v>
      </c>
      <c r="Z38" s="37">
        <f>SUM($Y$38:$Y$38)</f>
        <v>0.37990594865013033</v>
      </c>
      <c r="AA38" s="37">
        <f>SUMIF($L$4:$Z$4,"SUBTOTAL",$L$38:$Z$38)</f>
        <v>65.285169795402311</v>
      </c>
    </row>
    <row r="39" spans="1:27" ht="11.25" customHeight="1" x14ac:dyDescent="0.25">
      <c r="A39" s="135"/>
      <c r="B39" s="135"/>
      <c r="C39" s="135"/>
      <c r="D39" s="135"/>
      <c r="E39" s="135"/>
      <c r="F39" s="135"/>
      <c r="G39" s="39" t="s">
        <v>98</v>
      </c>
      <c r="H39" s="39" t="s">
        <v>86</v>
      </c>
      <c r="I39" s="39">
        <f>'MERCADO TE'!$U$36</f>
        <v>89.802000000000007</v>
      </c>
      <c r="J39" s="18"/>
      <c r="L39" s="37">
        <f>'TE BE'!$L$39*'TE BF'!$L$51</f>
        <v>0</v>
      </c>
      <c r="M39" s="37">
        <f>'TE BE'!$M$39*'TE BF'!$M$51</f>
        <v>28.162149919629137</v>
      </c>
      <c r="N39" s="37">
        <f>'TE BE'!$N$39*'TE BF'!$N$51</f>
        <v>0</v>
      </c>
      <c r="O39" s="37">
        <f>'TE BE'!$O$39*'TE BF'!$O$51</f>
        <v>-0.60977237153153518</v>
      </c>
      <c r="P39" s="37">
        <f>SUM($L$39:$O$39)</f>
        <v>27.552377548097603</v>
      </c>
      <c r="Q39" s="37">
        <f>'TE BE'!$Q$39*'TE BF'!$Q$51</f>
        <v>21.716794359682897</v>
      </c>
      <c r="R39" s="37">
        <f>SUM($Q$39:$Q$39)</f>
        <v>21.716794359682897</v>
      </c>
      <c r="S39" s="37">
        <f>'TE BE'!$S$39*'TE BF'!$S$51</f>
        <v>0</v>
      </c>
      <c r="T39" s="37">
        <f>'TE BE'!$T$39*'TE BF'!$T$51</f>
        <v>0</v>
      </c>
      <c r="U39" s="37">
        <f>'TE BE'!$U$39*'TE BF'!$U$51</f>
        <v>0</v>
      </c>
      <c r="V39" s="37">
        <f>SUM($S$39:$U$39)</f>
        <v>0</v>
      </c>
      <c r="W39" s="37">
        <f>'TE BE'!$AA$39*'TE BF'!$W$51</f>
        <v>0</v>
      </c>
      <c r="X39" s="37">
        <f>SUM($W$39:$W$39)</f>
        <v>0</v>
      </c>
      <c r="Y39" s="37">
        <f>'TE BE'!$Y$39*'TE BF'!$Y$51</f>
        <v>0.37990594865013033</v>
      </c>
      <c r="Z39" s="37">
        <f>SUM($Y$39:$Y$39)</f>
        <v>0.37990594865013033</v>
      </c>
      <c r="AA39" s="37">
        <f>SUMIF($L$4:$Z$4,"SUBTOTAL",$L$39:$Z$39)</f>
        <v>49.649077856430637</v>
      </c>
    </row>
    <row r="40" spans="1:27" ht="11.25" customHeight="1" x14ac:dyDescent="0.25">
      <c r="A40" s="135"/>
      <c r="B40" s="135"/>
      <c r="C40" s="135"/>
      <c r="D40" s="135"/>
      <c r="E40" s="135"/>
      <c r="F40" s="135"/>
      <c r="G40" s="39" t="s">
        <v>88</v>
      </c>
      <c r="H40" s="39" t="s">
        <v>86</v>
      </c>
      <c r="I40" s="39">
        <f>'MERCADO TE'!$U$37</f>
        <v>2507.7720000000004</v>
      </c>
      <c r="J40" s="18"/>
      <c r="L40" s="37">
        <f>'TE BE'!$L$40*'TE BF'!$L$51</f>
        <v>0</v>
      </c>
      <c r="M40" s="37">
        <f>'TE BE'!$M$40*'TE BF'!$M$51</f>
        <v>28.162149919629137</v>
      </c>
      <c r="N40" s="37">
        <f>'TE BE'!$N$40*'TE BF'!$N$51</f>
        <v>0</v>
      </c>
      <c r="O40" s="37">
        <f>'TE BE'!$O$40*'TE BF'!$O$51</f>
        <v>-0.60977237153153518</v>
      </c>
      <c r="P40" s="37">
        <f>SUM($L$40:$O$40)</f>
        <v>27.552377548097603</v>
      </c>
      <c r="Q40" s="37">
        <f>'TE BE'!$Q$40*'TE BF'!$Q$51</f>
        <v>21.716794359682897</v>
      </c>
      <c r="R40" s="37">
        <f>SUM($Q$40:$Q$40)</f>
        <v>21.716794359682897</v>
      </c>
      <c r="S40" s="37">
        <f>'TE BE'!$S$40*'TE BF'!$S$51</f>
        <v>0</v>
      </c>
      <c r="T40" s="37">
        <f>'TE BE'!$T$40*'TE BF'!$T$51</f>
        <v>0</v>
      </c>
      <c r="U40" s="37">
        <f>'TE BE'!$U$40*'TE BF'!$U$51</f>
        <v>0</v>
      </c>
      <c r="V40" s="37">
        <f>SUM($S$40:$U$40)</f>
        <v>0</v>
      </c>
      <c r="W40" s="37">
        <f>'TE BE'!$AA$40*'TE BF'!$W$51</f>
        <v>0</v>
      </c>
      <c r="X40" s="37">
        <f>SUM($W$40:$W$40)</f>
        <v>0</v>
      </c>
      <c r="Y40" s="37">
        <f>'TE BE'!$Y$40*'TE BF'!$Y$51</f>
        <v>0.37990594865013033</v>
      </c>
      <c r="Z40" s="37">
        <f>SUM($Y$40:$Y$40)</f>
        <v>0.37990594865013033</v>
      </c>
      <c r="AA40" s="37">
        <f>SUMIF($L$4:$Z$4,"SUBTOTAL",$L$40:$Z$40)</f>
        <v>49.649077856430637</v>
      </c>
    </row>
    <row r="41" spans="1:27" ht="11.25" customHeight="1" x14ac:dyDescent="0.25">
      <c r="A41" s="135"/>
      <c r="B41" s="45" t="s">
        <v>94</v>
      </c>
      <c r="C41" s="45" t="s">
        <v>25</v>
      </c>
      <c r="D41" s="45" t="s">
        <v>25</v>
      </c>
      <c r="E41" s="45" t="s">
        <v>25</v>
      </c>
      <c r="F41" s="45" t="s">
        <v>25</v>
      </c>
      <c r="G41" s="39" t="s">
        <v>92</v>
      </c>
      <c r="H41" s="39" t="s">
        <v>86</v>
      </c>
      <c r="I41" s="39">
        <f>'MERCADO TE'!$U$38</f>
        <v>849619.68099999998</v>
      </c>
      <c r="J41" s="18"/>
      <c r="L41" s="37">
        <f>'TE BE'!$L$41*'TE BF'!$L$51</f>
        <v>0</v>
      </c>
      <c r="M41" s="37">
        <f>'TE BE'!$M$41*'TE BF'!$M$51</f>
        <v>28.162149919629137</v>
      </c>
      <c r="N41" s="37">
        <f>'TE BE'!$N$41*'TE BF'!$N$51</f>
        <v>0</v>
      </c>
      <c r="O41" s="37">
        <f>'TE BE'!$O$41*'TE BF'!$O$51</f>
        <v>-0.60977237153153518</v>
      </c>
      <c r="P41" s="37">
        <f>SUM($L$41:$O$41)</f>
        <v>27.552377548097603</v>
      </c>
      <c r="Q41" s="37">
        <f>'TE BE'!$Q$41*'TE BF'!$Q$51</f>
        <v>23.019802021263871</v>
      </c>
      <c r="R41" s="37">
        <f>SUM($Q$41:$Q$41)</f>
        <v>23.019802021263871</v>
      </c>
      <c r="S41" s="37">
        <f>'TE BE'!$S$41*'TE BF'!$S$51</f>
        <v>0</v>
      </c>
      <c r="T41" s="37">
        <f>'TE BE'!$T$41*'TE BF'!$T$51</f>
        <v>0</v>
      </c>
      <c r="U41" s="37">
        <f>'TE BE'!$U$41*'TE BF'!$U$51</f>
        <v>0</v>
      </c>
      <c r="V41" s="37">
        <f>SUM($S$41:$U$41)</f>
        <v>0</v>
      </c>
      <c r="W41" s="37">
        <f>'TE BE'!$AA$41*'TE BF'!$W$51</f>
        <v>0</v>
      </c>
      <c r="X41" s="37">
        <f>SUM($W$41:$W$41)</f>
        <v>0</v>
      </c>
      <c r="Y41" s="37">
        <f>'TE BE'!$Y$41*'TE BF'!$Y$51</f>
        <v>0.37990594865013033</v>
      </c>
      <c r="Z41" s="37">
        <f>SUM($Y$41:$Y$41)</f>
        <v>0.37990594865013033</v>
      </c>
      <c r="AA41" s="37">
        <f>SUMIF($L$4:$Z$4,"SUBTOTAL",$L$41:$Z$41)</f>
        <v>50.952085518011607</v>
      </c>
    </row>
    <row r="42" spans="1:27" ht="11.25" customHeight="1" x14ac:dyDescent="0.25">
      <c r="A42" s="135"/>
      <c r="B42" s="45" t="s">
        <v>99</v>
      </c>
      <c r="C42" s="45" t="s">
        <v>25</v>
      </c>
      <c r="D42" s="45" t="s">
        <v>25</v>
      </c>
      <c r="E42" s="45" t="s">
        <v>25</v>
      </c>
      <c r="F42" s="45" t="s">
        <v>25</v>
      </c>
      <c r="G42" s="39" t="s">
        <v>92</v>
      </c>
      <c r="H42" s="39" t="s">
        <v>86</v>
      </c>
      <c r="I42" s="39">
        <f>'MERCADO TE'!$U$39</f>
        <v>0</v>
      </c>
      <c r="J42" s="18"/>
      <c r="L42" s="37">
        <f>'TE BE'!$L$42*'TE BF'!$L$51</f>
        <v>0</v>
      </c>
      <c r="M42" s="37">
        <f>'TE BE'!$M$42*'TE BF'!$M$51</f>
        <v>28.162149919629137</v>
      </c>
      <c r="N42" s="37">
        <f>'TE BE'!$N$42*'TE BF'!$N$51</f>
        <v>0</v>
      </c>
      <c r="O42" s="37">
        <f>'TE BE'!$O$42*'TE BF'!$O$51</f>
        <v>-0.60977237153153518</v>
      </c>
      <c r="P42" s="37">
        <f>SUM($L$42:$O$42)</f>
        <v>27.552377548097603</v>
      </c>
      <c r="Q42" s="37">
        <f>'TE BE'!$Q$42*'TE BF'!$Q$51</f>
        <v>23.019802021263871</v>
      </c>
      <c r="R42" s="37">
        <f>SUM($Q$42:$Q$42)</f>
        <v>23.019802021263871</v>
      </c>
      <c r="S42" s="37">
        <f>'TE BE'!$S$42*'TE BF'!$S$51</f>
        <v>0</v>
      </c>
      <c r="T42" s="37">
        <f>'TE BE'!$T$42*'TE BF'!$T$51</f>
        <v>0</v>
      </c>
      <c r="U42" s="37">
        <f>'TE BE'!$U$42*'TE BF'!$U$51</f>
        <v>0</v>
      </c>
      <c r="V42" s="37">
        <f>SUM($S$42:$U$42)</f>
        <v>0</v>
      </c>
      <c r="W42" s="37">
        <f>'TE BE'!$AA$42*'TE BF'!$W$51</f>
        <v>0</v>
      </c>
      <c r="X42" s="37">
        <f>SUM($W$42:$W$42)</f>
        <v>0</v>
      </c>
      <c r="Y42" s="37">
        <f>'TE BE'!$Y$42*'TE BF'!$Y$51</f>
        <v>0.37990594865013033</v>
      </c>
      <c r="Z42" s="37">
        <f>SUM($Y$42:$Y$42)</f>
        <v>0.37990594865013033</v>
      </c>
      <c r="AA42" s="37">
        <f>SUMIF($L$4:$Z$4,"SUBTOTAL",$L$42:$Z$42)</f>
        <v>50.952085518011607</v>
      </c>
    </row>
    <row r="43" spans="1:27" ht="11.25" customHeight="1" x14ac:dyDescent="0.25">
      <c r="A43" s="135" t="s">
        <v>49</v>
      </c>
      <c r="B43" s="135" t="s">
        <v>94</v>
      </c>
      <c r="C43" s="135" t="s">
        <v>50</v>
      </c>
      <c r="D43" s="45" t="s">
        <v>51</v>
      </c>
      <c r="E43" s="45" t="s">
        <v>25</v>
      </c>
      <c r="F43" s="45" t="s">
        <v>25</v>
      </c>
      <c r="G43" s="39" t="s">
        <v>92</v>
      </c>
      <c r="H43" s="39" t="s">
        <v>86</v>
      </c>
      <c r="I43" s="39">
        <f>'MERCADO TE'!$U$40</f>
        <v>200182.10399999999</v>
      </c>
      <c r="J43" s="18"/>
      <c r="L43" s="37">
        <f>'TE BE'!$L$43*'TE BF'!$L$51</f>
        <v>0</v>
      </c>
      <c r="M43" s="37">
        <f>'TE BE'!$M$43*'TE BF'!$M$51</f>
        <v>15.489182455796028</v>
      </c>
      <c r="N43" s="37">
        <f>'TE BE'!$N$43*'TE BF'!$N$51</f>
        <v>0</v>
      </c>
      <c r="O43" s="37">
        <f>'TE BE'!$O$43*'TE BF'!$O$51</f>
        <v>-0.3353748043423444</v>
      </c>
      <c r="P43" s="37">
        <f>SUM($L$43:$O$43)</f>
        <v>15.153807651453684</v>
      </c>
      <c r="Q43" s="37">
        <f>'TE BE'!$Q$43*'TE BF'!$Q$51</f>
        <v>12.660891111695129</v>
      </c>
      <c r="R43" s="37">
        <f>SUM($Q$43:$Q$43)</f>
        <v>12.660891111695129</v>
      </c>
      <c r="S43" s="37">
        <f>'TE BE'!$S$43*'TE BF'!$S$51</f>
        <v>0</v>
      </c>
      <c r="T43" s="37">
        <f>'TE BE'!$T$43*'TE BF'!$T$51</f>
        <v>0</v>
      </c>
      <c r="U43" s="37">
        <f>'TE BE'!$U$43*'TE BF'!$U$51</f>
        <v>0</v>
      </c>
      <c r="V43" s="37">
        <f>SUM($S$43:$U$43)</f>
        <v>0</v>
      </c>
      <c r="W43" s="37">
        <f>'TE BE'!$AA$43*'TE BF'!$W$51</f>
        <v>0</v>
      </c>
      <c r="X43" s="37">
        <f>SUM($W$43:$W$43)</f>
        <v>0</v>
      </c>
      <c r="Y43" s="37">
        <f>'TE BE'!$Y$43*'TE BF'!$Y$51</f>
        <v>0.20894827175757169</v>
      </c>
      <c r="Z43" s="37">
        <f>SUM($Y$43:$Y$43)</f>
        <v>0.20894827175757169</v>
      </c>
      <c r="AA43" s="37">
        <f>SUMIF($L$4:$Z$4,"SUBTOTAL",$L$43:$Z$43)</f>
        <v>28.023647034906382</v>
      </c>
    </row>
    <row r="44" spans="1:27" ht="11.25" customHeight="1" x14ac:dyDescent="0.25">
      <c r="A44" s="135"/>
      <c r="B44" s="135"/>
      <c r="C44" s="135"/>
      <c r="D44" s="39" t="s">
        <v>102</v>
      </c>
      <c r="E44" s="39" t="s">
        <v>25</v>
      </c>
      <c r="F44" s="39" t="s">
        <v>25</v>
      </c>
      <c r="G44" s="39" t="s">
        <v>92</v>
      </c>
      <c r="H44" s="39" t="s">
        <v>86</v>
      </c>
      <c r="I44" s="39">
        <f>'MERCADO TE'!$U$41</f>
        <v>0</v>
      </c>
      <c r="J44" s="18"/>
      <c r="L44" s="37">
        <f>'TE BE'!$L$44*'TE BF'!$L$51</f>
        <v>0</v>
      </c>
      <c r="M44" s="37">
        <f>'TE BE'!$M$44*'TE BF'!$M$51</f>
        <v>16.897289951777481</v>
      </c>
      <c r="N44" s="37">
        <f>'TE BE'!$N$44*'TE BF'!$N$51</f>
        <v>0</v>
      </c>
      <c r="O44" s="37">
        <f>'TE BE'!$O$44*'TE BF'!$O$51</f>
        <v>-0.3658634229189211</v>
      </c>
      <c r="P44" s="37">
        <f>SUM($L$44:$O$44)</f>
        <v>16.53142652885856</v>
      </c>
      <c r="Q44" s="37">
        <f>'TE BE'!$Q$44*'TE BF'!$Q$51</f>
        <v>13.811881212758323</v>
      </c>
      <c r="R44" s="37">
        <f>SUM($Q$44:$Q$44)</f>
        <v>13.811881212758323</v>
      </c>
      <c r="S44" s="37">
        <f>'TE BE'!$S$44*'TE BF'!$S$51</f>
        <v>0</v>
      </c>
      <c r="T44" s="37">
        <f>'TE BE'!$T$44*'TE BF'!$T$51</f>
        <v>0</v>
      </c>
      <c r="U44" s="37">
        <f>'TE BE'!$U$44*'TE BF'!$U$51</f>
        <v>0</v>
      </c>
      <c r="V44" s="37">
        <f>SUM($S$44:$U$44)</f>
        <v>0</v>
      </c>
      <c r="W44" s="37">
        <f>'TE BE'!$AA$44*'TE BF'!$W$51</f>
        <v>0</v>
      </c>
      <c r="X44" s="37">
        <f>SUM($W$44:$W$44)</f>
        <v>0</v>
      </c>
      <c r="Y44" s="37">
        <f>'TE BE'!$Y$44*'TE BF'!$Y$51</f>
        <v>0.22794356919007822</v>
      </c>
      <c r="Z44" s="37">
        <f>SUM($Y$44:$Y$44)</f>
        <v>0.22794356919007822</v>
      </c>
      <c r="AA44" s="37">
        <f>SUMIF($L$4:$Z$4,"SUBTOTAL",$L$44:$Z$44)</f>
        <v>30.571251310806961</v>
      </c>
    </row>
    <row r="46" spans="1:27" ht="11.25" customHeight="1" x14ac:dyDescent="0.25">
      <c r="K46" s="44" t="s">
        <v>768</v>
      </c>
      <c r="L46" s="37">
        <f t="shared" ref="L46:AA46" si="0">SUMPRODUCT($I$5:$I$44,L$5:L$44)</f>
        <v>0</v>
      </c>
      <c r="M46" s="37">
        <f t="shared" si="0"/>
        <v>121739537.68676868</v>
      </c>
      <c r="N46" s="37">
        <f t="shared" si="0"/>
        <v>0</v>
      </c>
      <c r="O46" s="37">
        <f t="shared" si="0"/>
        <v>-2635928.2517941813</v>
      </c>
      <c r="P46" s="37">
        <f t="shared" si="0"/>
        <v>119103609.43497455</v>
      </c>
      <c r="Q46" s="37">
        <f t="shared" si="0"/>
        <v>99320276.086431891</v>
      </c>
      <c r="R46" s="37">
        <f t="shared" si="0"/>
        <v>99320276.086431891</v>
      </c>
      <c r="S46" s="37">
        <f t="shared" si="0"/>
        <v>0</v>
      </c>
      <c r="T46" s="37">
        <f t="shared" si="0"/>
        <v>0</v>
      </c>
      <c r="U46" s="37">
        <f t="shared" si="0"/>
        <v>0</v>
      </c>
      <c r="V46" s="37">
        <f t="shared" si="0"/>
        <v>0</v>
      </c>
      <c r="W46" s="37">
        <f t="shared" si="0"/>
        <v>0</v>
      </c>
      <c r="X46" s="37">
        <f t="shared" si="0"/>
        <v>0</v>
      </c>
      <c r="Y46" s="37">
        <f t="shared" si="0"/>
        <v>1642260.0790461672</v>
      </c>
      <c r="Z46" s="37">
        <f t="shared" si="0"/>
        <v>1642260.0790461672</v>
      </c>
      <c r="AA46" s="37">
        <f t="shared" si="0"/>
        <v>220066145.60045263</v>
      </c>
    </row>
    <row r="47" spans="1:27" ht="11.25" customHeight="1" x14ac:dyDescent="0.25">
      <c r="K47" s="44" t="s">
        <v>687</v>
      </c>
      <c r="L47" s="37">
        <f>CUSTOS!$D$30</f>
        <v>12512932.859588204</v>
      </c>
      <c r="M47" s="37">
        <f>CUSTOS!$D$31</f>
        <v>47694181.119319111</v>
      </c>
      <c r="N47" s="37">
        <f>CUSTOS!$D$32</f>
        <v>0</v>
      </c>
      <c r="O47" s="37">
        <f>CUSTOS!$D$33</f>
        <v>54225064.56883698</v>
      </c>
      <c r="P47" s="37">
        <f>CUSTOS!$D$34</f>
        <v>114432178.5477443</v>
      </c>
      <c r="Q47" s="37">
        <f>CUSTOS!$D$35</f>
        <v>1088711363.8414388</v>
      </c>
      <c r="R47" s="37">
        <f>CUSTOS!$D$36</f>
        <v>1088711363.8414388</v>
      </c>
      <c r="S47" s="37">
        <f>CUSTOS!$D$37</f>
        <v>0</v>
      </c>
      <c r="T47" s="37">
        <f>CUSTOS!$D$38</f>
        <v>0</v>
      </c>
      <c r="U47" s="37">
        <f>CUSTOS!$D$39</f>
        <v>0</v>
      </c>
      <c r="V47" s="37">
        <f>CUSTOS!$D$40</f>
        <v>0</v>
      </c>
      <c r="W47" s="37">
        <f>CUSTOS!$D$41</f>
        <v>0</v>
      </c>
      <c r="X47" s="37">
        <f>CUSTOS!$D$42</f>
        <v>0</v>
      </c>
      <c r="Y47" s="37">
        <f>CUSTOS!$D$43</f>
        <v>18001834.880974047</v>
      </c>
      <c r="Z47" s="37">
        <f>CUSTOS!$D$44</f>
        <v>18001834.880974047</v>
      </c>
      <c r="AA47" s="37">
        <f>CUSTOS!$D$45</f>
        <v>1221145377.2701571</v>
      </c>
    </row>
    <row r="48" spans="1:27" ht="11.25" customHeight="1" x14ac:dyDescent="0.25">
      <c r="K48" s="44" t="s">
        <v>688</v>
      </c>
      <c r="L48" s="37">
        <f>CUSTOS!$E$30</f>
        <v>-48.949027468401006</v>
      </c>
      <c r="M48" s="37">
        <f>CUSTOS!$E$31</f>
        <v>-56055797.563964814</v>
      </c>
      <c r="N48" s="37">
        <f>CUSTOS!$E$32</f>
        <v>0</v>
      </c>
      <c r="O48" s="37">
        <f>CUSTOS!$E$33</f>
        <v>-1621231.8059110977</v>
      </c>
      <c r="P48" s="37">
        <f>CUSTOS!$E$34</f>
        <v>-57677078.318903387</v>
      </c>
      <c r="Q48" s="37">
        <f>CUSTOS!$E$35</f>
        <v>-99229871.717498198</v>
      </c>
      <c r="R48" s="37">
        <f>CUSTOS!$E$36</f>
        <v>-99229871.717498198</v>
      </c>
      <c r="S48" s="37">
        <f>CUSTOS!$E$37</f>
        <v>0</v>
      </c>
      <c r="T48" s="37">
        <f>CUSTOS!$E$38</f>
        <v>0</v>
      </c>
      <c r="U48" s="37">
        <f>CUSTOS!$E$39</f>
        <v>0</v>
      </c>
      <c r="V48" s="37">
        <f>CUSTOS!$E$40</f>
        <v>0</v>
      </c>
      <c r="W48" s="37">
        <f>CUSTOS!$E$41</f>
        <v>0</v>
      </c>
      <c r="X48" s="37">
        <f>CUSTOS!$E$42</f>
        <v>0</v>
      </c>
      <c r="Y48" s="37">
        <f>CUSTOS!$E$43</f>
        <v>-1640765.2434303062</v>
      </c>
      <c r="Z48" s="37">
        <f>CUSTOS!$E$44</f>
        <v>-1640765.2434303062</v>
      </c>
      <c r="AA48" s="37">
        <f>CUSTOS!$E$45</f>
        <v>-158547715.27983189</v>
      </c>
    </row>
    <row r="49" spans="11:27" ht="11.25" customHeight="1" x14ac:dyDescent="0.25">
      <c r="K49" s="44" t="s">
        <v>689</v>
      </c>
      <c r="L49" s="37">
        <f>CUSTOS!$F$30</f>
        <v>0</v>
      </c>
      <c r="M49" s="37">
        <f>CUSTOS!$F$31</f>
        <v>121739537.68676871</v>
      </c>
      <c r="N49" s="37">
        <f>CUSTOS!$F$32</f>
        <v>0</v>
      </c>
      <c r="O49" s="37">
        <f>CUSTOS!$F$33</f>
        <v>-2635928.2517941808</v>
      </c>
      <c r="P49" s="37">
        <f>CUSTOS!$F$34</f>
        <v>119103609.43497454</v>
      </c>
      <c r="Q49" s="37">
        <f>CUSTOS!$F$35</f>
        <v>99320276.086431906</v>
      </c>
      <c r="R49" s="37">
        <f>CUSTOS!$F$36</f>
        <v>99320276.086431906</v>
      </c>
      <c r="S49" s="37">
        <f>CUSTOS!$F$37</f>
        <v>0</v>
      </c>
      <c r="T49" s="37">
        <f>CUSTOS!$F$38</f>
        <v>0</v>
      </c>
      <c r="U49" s="37">
        <f>CUSTOS!$F$39</f>
        <v>0</v>
      </c>
      <c r="V49" s="37">
        <f>CUSTOS!$F$40</f>
        <v>0</v>
      </c>
      <c r="W49" s="37">
        <f>CUSTOS!$F$41</f>
        <v>0</v>
      </c>
      <c r="X49" s="37">
        <f>CUSTOS!$F$42</f>
        <v>0</v>
      </c>
      <c r="Y49" s="37">
        <f>CUSTOS!$F$43</f>
        <v>1642260.0790461677</v>
      </c>
      <c r="Z49" s="37">
        <f>CUSTOS!$F$44</f>
        <v>1642260.0790461677</v>
      </c>
      <c r="AA49" s="37">
        <f>CUSTOS!$F$45</f>
        <v>220066145.6004526</v>
      </c>
    </row>
    <row r="50" spans="11:27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</row>
    <row r="51" spans="11:27" ht="11.25" customHeight="1" x14ac:dyDescent="0.25"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</row>
    <row r="52" spans="11:27" ht="11.25" customHeight="1" x14ac:dyDescent="0.25"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</sheetData>
  <mergeCells count="67">
    <mergeCell ref="Q3:R3"/>
    <mergeCell ref="S3:V3"/>
    <mergeCell ref="W3:X3"/>
    <mergeCell ref="A1:A4"/>
    <mergeCell ref="B1:B4"/>
    <mergeCell ref="C1:C4"/>
    <mergeCell ref="D1:D4"/>
    <mergeCell ref="E1:E4"/>
    <mergeCell ref="F1:F4"/>
    <mergeCell ref="F7:F8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A7:A9"/>
    <mergeCell ref="B7:B8"/>
    <mergeCell ref="C7:C8"/>
    <mergeCell ref="D7:D8"/>
    <mergeCell ref="E7:E8"/>
    <mergeCell ref="F10:F12"/>
    <mergeCell ref="B13:B17"/>
    <mergeCell ref="C13:C17"/>
    <mergeCell ref="B18:B22"/>
    <mergeCell ref="C18:C22"/>
    <mergeCell ref="A10:A22"/>
    <mergeCell ref="B10:B12"/>
    <mergeCell ref="C10:C12"/>
    <mergeCell ref="D10:D12"/>
    <mergeCell ref="E10:E12"/>
    <mergeCell ref="D31:D33"/>
    <mergeCell ref="E31:E33"/>
    <mergeCell ref="F31:F33"/>
    <mergeCell ref="D23:D25"/>
    <mergeCell ref="E23:E25"/>
    <mergeCell ref="F23:F25"/>
    <mergeCell ref="D27:D29"/>
    <mergeCell ref="E27:E29"/>
    <mergeCell ref="F27:F29"/>
    <mergeCell ref="B35:B37"/>
    <mergeCell ref="C35:C37"/>
    <mergeCell ref="A38:A42"/>
    <mergeCell ref="B38:B40"/>
    <mergeCell ref="C38:C40"/>
    <mergeCell ref="A23:A37"/>
    <mergeCell ref="B23:B25"/>
    <mergeCell ref="C23:C25"/>
    <mergeCell ref="B31:B33"/>
    <mergeCell ref="C31:C33"/>
    <mergeCell ref="B27:B29"/>
    <mergeCell ref="C27:C29"/>
    <mergeCell ref="E38:E40"/>
    <mergeCell ref="F38:F40"/>
    <mergeCell ref="A43:A44"/>
    <mergeCell ref="B43:B44"/>
    <mergeCell ref="C43:C44"/>
    <mergeCell ref="D38:D40"/>
  </mergeCells>
  <conditionalFormatting sqref="L46">
    <cfRule type="cellIs" dxfId="1086" priority="31" operator="notEqual">
      <formula>$L$49</formula>
    </cfRule>
    <cfRule type="cellIs" dxfId="1085" priority="32" operator="equal">
      <formula>$L$49</formula>
    </cfRule>
  </conditionalFormatting>
  <conditionalFormatting sqref="M46">
    <cfRule type="cellIs" dxfId="1084" priority="29" operator="notEqual">
      <formula>$M$49</formula>
    </cfRule>
    <cfRule type="cellIs" dxfId="1083" priority="30" operator="equal">
      <formula>$M$49</formula>
    </cfRule>
  </conditionalFormatting>
  <conditionalFormatting sqref="N46">
    <cfRule type="cellIs" dxfId="1082" priority="27" operator="notEqual">
      <formula>$N$49</formula>
    </cfRule>
    <cfRule type="cellIs" dxfId="1081" priority="28" operator="equal">
      <formula>$N$49</formula>
    </cfRule>
  </conditionalFormatting>
  <conditionalFormatting sqref="O46">
    <cfRule type="cellIs" dxfId="1080" priority="25" operator="notEqual">
      <formula>$O$49</formula>
    </cfRule>
    <cfRule type="cellIs" dxfId="1079" priority="26" operator="equal">
      <formula>$O$49</formula>
    </cfRule>
  </conditionalFormatting>
  <conditionalFormatting sqref="P46">
    <cfRule type="cellIs" dxfId="1078" priority="23" operator="notEqual">
      <formula>$P$49</formula>
    </cfRule>
    <cfRule type="cellIs" dxfId="1077" priority="24" operator="equal">
      <formula>$P$49</formula>
    </cfRule>
  </conditionalFormatting>
  <conditionalFormatting sqref="Q46">
    <cfRule type="cellIs" dxfId="1076" priority="21" operator="notEqual">
      <formula>$Q$49</formula>
    </cfRule>
    <cfRule type="cellIs" dxfId="1075" priority="22" operator="equal">
      <formula>$Q$49</formula>
    </cfRule>
  </conditionalFormatting>
  <conditionalFormatting sqref="R46">
    <cfRule type="cellIs" dxfId="1074" priority="19" operator="notEqual">
      <formula>$R$49</formula>
    </cfRule>
    <cfRule type="cellIs" dxfId="1073" priority="20" operator="equal">
      <formula>$R$49</formula>
    </cfRule>
  </conditionalFormatting>
  <conditionalFormatting sqref="S46">
    <cfRule type="cellIs" dxfId="1072" priority="17" operator="notEqual">
      <formula>$S$49</formula>
    </cfRule>
    <cfRule type="cellIs" dxfId="1071" priority="18" operator="equal">
      <formula>$S$49</formula>
    </cfRule>
  </conditionalFormatting>
  <conditionalFormatting sqref="T46">
    <cfRule type="cellIs" dxfId="1070" priority="15" operator="notEqual">
      <formula>$T$49</formula>
    </cfRule>
    <cfRule type="cellIs" dxfId="1069" priority="16" operator="equal">
      <formula>$T$49</formula>
    </cfRule>
  </conditionalFormatting>
  <conditionalFormatting sqref="U46">
    <cfRule type="cellIs" dxfId="1068" priority="13" operator="notEqual">
      <formula>$U$49</formula>
    </cfRule>
    <cfRule type="cellIs" dxfId="1067" priority="14" operator="equal">
      <formula>$U$49</formula>
    </cfRule>
  </conditionalFormatting>
  <conditionalFormatting sqref="V46">
    <cfRule type="cellIs" dxfId="1066" priority="11" operator="notEqual">
      <formula>$V$49</formula>
    </cfRule>
    <cfRule type="cellIs" dxfId="1065" priority="12" operator="equal">
      <formula>$V$49</formula>
    </cfRule>
  </conditionalFormatting>
  <conditionalFormatting sqref="W46">
    <cfRule type="cellIs" dxfId="1064" priority="9" operator="notEqual">
      <formula>$W$49</formula>
    </cfRule>
    <cfRule type="cellIs" dxfId="1063" priority="10" operator="equal">
      <formula>$W$49</formula>
    </cfRule>
  </conditionalFormatting>
  <conditionalFormatting sqref="X46">
    <cfRule type="cellIs" dxfId="1062" priority="7" operator="notEqual">
      <formula>$X$49</formula>
    </cfRule>
    <cfRule type="cellIs" dxfId="1061" priority="8" operator="equal">
      <formula>$X$49</formula>
    </cfRule>
  </conditionalFormatting>
  <conditionalFormatting sqref="Y46">
    <cfRule type="cellIs" dxfId="1060" priority="5" operator="notEqual">
      <formula>$Y$49</formula>
    </cfRule>
    <cfRule type="cellIs" dxfId="1059" priority="6" operator="equal">
      <formula>$Y$49</formula>
    </cfRule>
  </conditionalFormatting>
  <conditionalFormatting sqref="Z46">
    <cfRule type="cellIs" dxfId="1058" priority="3" operator="notEqual">
      <formula>$Z$49</formula>
    </cfRule>
    <cfRule type="cellIs" dxfId="1057" priority="4" operator="equal">
      <formula>$Z$49</formula>
    </cfRule>
  </conditionalFormatting>
  <conditionalFormatting sqref="AA46">
    <cfRule type="cellIs" dxfId="1056" priority="1" operator="notEqual">
      <formula>$AA$49</formula>
    </cfRule>
    <cfRule type="cellIs" dxfId="1055" priority="2" operator="equal">
      <formula>$AA$49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94E4C-DA69-44FF-A203-B407370A69C2}">
  <dimension ref="A1:AV2578"/>
  <sheetViews>
    <sheetView showGridLines="0" topLeftCell="AH1" workbookViewId="0">
      <selection sqref="A1:AG2578"/>
    </sheetView>
  </sheetViews>
  <sheetFormatPr defaultRowHeight="11.25" customHeight="1" x14ac:dyDescent="0.25"/>
  <cols>
    <col min="1" max="1" width="23.7109375" style="4" bestFit="1" customWidth="1"/>
    <col min="2" max="2" width="13.28515625" style="4" bestFit="1" customWidth="1"/>
    <col min="3" max="3" width="14.57031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5.42578125" style="4" bestFit="1" customWidth="1"/>
    <col min="8" max="8" width="10.28515625" style="4" bestFit="1" customWidth="1"/>
    <col min="9" max="9" width="12.140625" style="5" bestFit="1" customWidth="1"/>
    <col min="10" max="11" width="8.71093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8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23.28515625" style="4" bestFit="1" customWidth="1"/>
    <col min="29" max="29" width="24.7109375" style="4" bestFit="1" customWidth="1"/>
    <col min="30" max="30" width="22.5703125" style="4" bestFit="1" customWidth="1"/>
    <col min="31" max="31" width="24.140625" style="4" bestFit="1" customWidth="1"/>
    <col min="32" max="32" width="25.5703125" style="4" bestFit="1" customWidth="1"/>
    <col min="33" max="33" width="23.42578125" style="4" bestFit="1" customWidth="1"/>
    <col min="34" max="34" width="9.140625" style="4"/>
    <col min="35" max="35" width="9.28515625" style="4" bestFit="1" customWidth="1"/>
    <col min="36" max="36" width="14.5703125" style="4" bestFit="1" customWidth="1"/>
    <col min="37" max="37" width="15.42578125" style="4" bestFit="1" customWidth="1"/>
    <col min="38" max="38" width="9.28515625" style="4" bestFit="1" customWidth="1"/>
    <col min="39" max="39" width="9.140625" style="4"/>
    <col min="40" max="40" width="9.28515625" style="4" bestFit="1" customWidth="1"/>
    <col min="41" max="41" width="13.140625" style="4" bestFit="1" customWidth="1"/>
    <col min="42" max="42" width="13.28515625" style="4" bestFit="1" customWidth="1"/>
    <col min="43" max="43" width="9.28515625" style="4" bestFit="1" customWidth="1"/>
    <col min="44" max="44" width="9.140625" style="4"/>
    <col min="45" max="45" width="9.28515625" style="4" bestFit="1" customWidth="1"/>
    <col min="46" max="47" width="13.140625" style="4" bestFit="1" customWidth="1"/>
    <col min="48" max="48" width="9.28515625" style="4" bestFit="1" customWidth="1"/>
    <col min="49" max="16384" width="9.140625" style="4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793</v>
      </c>
      <c r="W1" s="1" t="s">
        <v>794</v>
      </c>
      <c r="X1" s="1" t="s">
        <v>795</v>
      </c>
      <c r="Y1" s="1" t="s">
        <v>796</v>
      </c>
      <c r="Z1" s="1" t="s">
        <v>797</v>
      </c>
      <c r="AA1" s="1" t="s">
        <v>798</v>
      </c>
      <c r="AB1" s="1" t="s">
        <v>811</v>
      </c>
      <c r="AC1" s="1" t="s">
        <v>812</v>
      </c>
      <c r="AD1" s="1" t="s">
        <v>813</v>
      </c>
      <c r="AE1" s="1" t="s">
        <v>814</v>
      </c>
      <c r="AF1" s="1" t="s">
        <v>815</v>
      </c>
      <c r="AG1" s="1" t="s">
        <v>816</v>
      </c>
      <c r="AI1" s="56" t="s">
        <v>76</v>
      </c>
      <c r="AJ1" s="56" t="s">
        <v>817</v>
      </c>
      <c r="AK1" s="56" t="s">
        <v>818</v>
      </c>
      <c r="AL1" s="56" t="s">
        <v>819</v>
      </c>
      <c r="AN1" s="56" t="s">
        <v>76</v>
      </c>
      <c r="AO1" s="56" t="s">
        <v>820</v>
      </c>
      <c r="AP1" s="56" t="s">
        <v>821</v>
      </c>
      <c r="AQ1" s="56" t="s">
        <v>819</v>
      </c>
      <c r="AS1" s="56" t="s">
        <v>76</v>
      </c>
      <c r="AT1" s="56" t="s">
        <v>822</v>
      </c>
      <c r="AU1" s="56" t="s">
        <v>823</v>
      </c>
      <c r="AV1" s="56" t="s">
        <v>819</v>
      </c>
    </row>
    <row r="2" spans="1:48" ht="11.25" customHeight="1" x14ac:dyDescent="0.25">
      <c r="A2" s="4" t="s">
        <v>21</v>
      </c>
      <c r="B2" s="4" t="s">
        <v>43</v>
      </c>
      <c r="C2" s="4" t="s">
        <v>44</v>
      </c>
      <c r="D2" s="4" t="s">
        <v>45</v>
      </c>
      <c r="E2" s="4" t="s">
        <v>25</v>
      </c>
      <c r="F2" s="4" t="s">
        <v>25</v>
      </c>
      <c r="G2" s="4" t="s">
        <v>25</v>
      </c>
      <c r="H2" s="4" t="s">
        <v>38</v>
      </c>
      <c r="I2" s="5">
        <v>44136</v>
      </c>
      <c r="J2" s="6">
        <v>14050</v>
      </c>
      <c r="K2" s="6">
        <v>14050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60</v>
      </c>
      <c r="R2" s="4">
        <v>0</v>
      </c>
      <c r="S2" s="6">
        <v>2</v>
      </c>
      <c r="T2" s="6">
        <v>0</v>
      </c>
      <c r="U2" s="6">
        <v>0</v>
      </c>
      <c r="V2" s="6">
        <f>IF(ISERROR(VLOOKUP($S$2,'TAR FIN'!$A$1:$O$95,15,0)),0,VLOOKUP($S$2,'TAR FIN'!$A$1:$O$95,15,0))</f>
        <v>5.9</v>
      </c>
      <c r="W2" s="6">
        <f>IF(ISERROR(VLOOKUP($T$2,'TAR FIN'!$A$1:$O$95,15,0)),0,VLOOKUP($T$2,'TAR FIN'!$A$1:$O$95,15,0))</f>
        <v>0</v>
      </c>
      <c r="X2" s="6">
        <f>IF(ISERROR(VLOOKUP($U$2,'TAR FIN'!$A$1:$O$95,15,0)),0,VLOOKUP($U$2,'TAR FIN'!$A$1:$O$95,15,0))</f>
        <v>0</v>
      </c>
      <c r="Y2" s="6">
        <f ca="1">('TUSD BE'!$AM$6+'TUSD BF'!$AM$6+'TUSD CVA'!$AM$6)*1</f>
        <v>6.4798355258986495</v>
      </c>
      <c r="Z2" s="6">
        <f ca="1">('TUSD BE'!$AM$7+'TUSD BF'!$AM$7+'TUSD CVA'!$AM$7)*1</f>
        <v>66.362434908719237</v>
      </c>
      <c r="AA2" s="6"/>
      <c r="AB2" s="6">
        <f>$K$2*$V$2</f>
        <v>82895</v>
      </c>
      <c r="AC2" s="6">
        <f>$M$2*$W$2</f>
        <v>0</v>
      </c>
      <c r="AD2" s="6">
        <f>$O$2*$X$2</f>
        <v>0</v>
      </c>
      <c r="AE2" s="6">
        <f ca="1">$K$2*$Y$2</f>
        <v>91041.689138876027</v>
      </c>
      <c r="AF2" s="6">
        <f ca="1">$M$2*$Z$2</f>
        <v>0</v>
      </c>
      <c r="AG2" s="6">
        <f>$O$2*$AA$2</f>
        <v>0</v>
      </c>
      <c r="AI2" s="57" t="s">
        <v>43</v>
      </c>
      <c r="AJ2" s="58">
        <f t="shared" ref="AJ2:AJ7" si="0">SUMIF($B$2:$B$2578,AI2,$AB$2:$AB$2578)+SUMIF($B$2:$B$2578,AI2,$AC$2:$AC$2578)</f>
        <v>128912000.95087999</v>
      </c>
      <c r="AK2" s="58">
        <f t="shared" ref="AK2:AK7" ca="1" si="1">SUMIF($B$2:$B$2578,AI2,$AE$2:$AE$2578)+SUMIF($B$2:$B$2578,AI2,$AF$2:$AF$2578)</f>
        <v>155513759.76307681</v>
      </c>
      <c r="AL2" s="59">
        <f t="shared" ref="AL2:AL10" ca="1" si="2">IF(AJ2&lt;&gt;0,AK2/AJ2-1,0)</f>
        <v>0.20635595302203891</v>
      </c>
      <c r="AN2" s="57" t="s">
        <v>43</v>
      </c>
      <c r="AO2" s="58">
        <f t="shared" ref="AO2:AO7" si="3">SUMIF($B$2:$B$2578,AN2,$AD$2:$AD$2578)</f>
        <v>14219974.93729</v>
      </c>
      <c r="AP2" s="58">
        <f t="shared" ref="AP2:AP7" si="4">SUMIF($B$2:$B$2578,AN2,$AG$2:$AG$2578)</f>
        <v>17367068.932474382</v>
      </c>
      <c r="AQ2" s="59">
        <f t="shared" ref="AQ2:AQ10" si="5">IF(AO2&lt;&gt;0,AP2/AO2-1,0)</f>
        <v>0.22131501701395728</v>
      </c>
      <c r="AS2" s="57" t="s">
        <v>43</v>
      </c>
      <c r="AT2" s="58">
        <f t="shared" ref="AT2:AT7" si="6">SUMIF($B$2:$B$2578,AS2,$AB$2:$AB$2578)+SUMIF($B$2:$B$2578,AS2,$AC$2:$AC$2578)+SUMIF($B$2:$B$2578,AS2,$AD$2:$AD$2578)</f>
        <v>143131975.88817</v>
      </c>
      <c r="AU2" s="58">
        <f t="shared" ref="AU2:AU7" ca="1" si="7">SUMIF($B$2:$B$2578,AS2,$AE$2:$AE$2578)+SUMIF($B$2:$B$2578,AS2,$AF$2:$AF$2578)+SUMIF($B$2:$B$2578,AS2,$AG$2:$AG$2578)</f>
        <v>172880828.69555119</v>
      </c>
      <c r="AV2" s="59">
        <f t="shared" ref="AV2:AV10" ca="1" si="8">IF(AT2&lt;&gt;0,AU2/AT2-1,0)</f>
        <v>0.2078421164996993</v>
      </c>
    </row>
    <row r="3" spans="1:48" ht="11.25" customHeight="1" x14ac:dyDescent="0.25">
      <c r="A3" s="4" t="s">
        <v>21</v>
      </c>
      <c r="B3" s="4" t="s">
        <v>43</v>
      </c>
      <c r="C3" s="4" t="s">
        <v>44</v>
      </c>
      <c r="D3" s="4" t="s">
        <v>45</v>
      </c>
      <c r="E3" s="4" t="s">
        <v>25</v>
      </c>
      <c r="F3" s="4" t="s">
        <v>25</v>
      </c>
      <c r="G3" s="4" t="s">
        <v>25</v>
      </c>
      <c r="H3" s="4" t="s">
        <v>38</v>
      </c>
      <c r="I3" s="5">
        <v>44166</v>
      </c>
      <c r="J3" s="6">
        <v>14050</v>
      </c>
      <c r="K3" s="6">
        <v>14050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60</v>
      </c>
      <c r="R3" s="4">
        <v>0</v>
      </c>
      <c r="S3" s="6">
        <v>2</v>
      </c>
      <c r="T3" s="6">
        <v>0</v>
      </c>
      <c r="U3" s="6">
        <v>0</v>
      </c>
      <c r="V3" s="6">
        <f>IF(ISERROR(VLOOKUP($S$3,'TAR FIN'!$A$1:$O$95,15,0)),0,VLOOKUP($S$3,'TAR FIN'!$A$1:$O$95,15,0))</f>
        <v>5.9</v>
      </c>
      <c r="W3" s="6">
        <f>IF(ISERROR(VLOOKUP($T$3,'TAR FIN'!$A$1:$O$95,15,0)),0,VLOOKUP($T$3,'TAR FIN'!$A$1:$O$95,15,0))</f>
        <v>0</v>
      </c>
      <c r="X3" s="6">
        <f>IF(ISERROR(VLOOKUP($U$3,'TAR FIN'!$A$1:$O$95,15,0)),0,VLOOKUP($U$3,'TAR FIN'!$A$1:$O$95,15,0))</f>
        <v>0</v>
      </c>
      <c r="Y3" s="6">
        <f ca="1">('TUSD BE'!$AM$6+'TUSD BF'!$AM$6+'TUSD CVA'!$AM$6)*1</f>
        <v>6.4798355258986495</v>
      </c>
      <c r="Z3" s="6">
        <f ca="1">('TUSD BE'!$AM$7+'TUSD BF'!$AM$7+'TUSD CVA'!$AM$7)*1</f>
        <v>66.362434908719237</v>
      </c>
      <c r="AA3" s="6"/>
      <c r="AB3" s="6">
        <f>$K$3*$V$3</f>
        <v>82895</v>
      </c>
      <c r="AC3" s="6">
        <f>$M$3*$W$3</f>
        <v>0</v>
      </c>
      <c r="AD3" s="6">
        <f>$O$3*$X$3</f>
        <v>0</v>
      </c>
      <c r="AE3" s="6">
        <f ca="1">$K$3*$Y$3</f>
        <v>91041.689138876027</v>
      </c>
      <c r="AF3" s="6">
        <f ca="1">$M$3*$Z$3</f>
        <v>0</v>
      </c>
      <c r="AG3" s="6">
        <f>$O$3*$AA$3</f>
        <v>0</v>
      </c>
      <c r="AI3" s="57" t="s">
        <v>35</v>
      </c>
      <c r="AJ3" s="58">
        <f t="shared" si="0"/>
        <v>614474024.54677892</v>
      </c>
      <c r="AK3" s="58">
        <f t="shared" ca="1" si="1"/>
        <v>689693027.50882733</v>
      </c>
      <c r="AL3" s="59">
        <f t="shared" ca="1" si="2"/>
        <v>0.12241201410837199</v>
      </c>
      <c r="AN3" s="57" t="s">
        <v>35</v>
      </c>
      <c r="AO3" s="58">
        <f t="shared" si="3"/>
        <v>269633315.62296015</v>
      </c>
      <c r="AP3" s="58">
        <f t="shared" si="4"/>
        <v>330016190.12475759</v>
      </c>
      <c r="AQ3" s="59">
        <f t="shared" si="5"/>
        <v>0.22394441266387655</v>
      </c>
      <c r="AS3" s="57" t="s">
        <v>35</v>
      </c>
      <c r="AT3" s="58">
        <f t="shared" si="6"/>
        <v>884107340.16973901</v>
      </c>
      <c r="AU3" s="58">
        <f t="shared" ca="1" si="7"/>
        <v>1019709217.633585</v>
      </c>
      <c r="AV3" s="59">
        <f t="shared" ca="1" si="8"/>
        <v>0.15337716508247956</v>
      </c>
    </row>
    <row r="4" spans="1:48" ht="11.25" customHeight="1" x14ac:dyDescent="0.25">
      <c r="A4" s="4" t="s">
        <v>21</v>
      </c>
      <c r="B4" s="4" t="s">
        <v>43</v>
      </c>
      <c r="C4" s="4" t="s">
        <v>44</v>
      </c>
      <c r="D4" s="4" t="s">
        <v>45</v>
      </c>
      <c r="E4" s="4" t="s">
        <v>25</v>
      </c>
      <c r="F4" s="4" t="s">
        <v>25</v>
      </c>
      <c r="G4" s="4" t="s">
        <v>25</v>
      </c>
      <c r="H4" s="4" t="s">
        <v>38</v>
      </c>
      <c r="I4" s="5">
        <v>44197</v>
      </c>
      <c r="J4" s="6">
        <v>13050</v>
      </c>
      <c r="K4" s="6">
        <v>13050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60</v>
      </c>
      <c r="R4" s="4">
        <v>0</v>
      </c>
      <c r="S4" s="6">
        <v>2</v>
      </c>
      <c r="T4" s="6">
        <v>0</v>
      </c>
      <c r="U4" s="6">
        <v>0</v>
      </c>
      <c r="V4" s="6">
        <f>IF(ISERROR(VLOOKUP($S$4,'TAR FIN'!$A$1:$O$95,15,0)),0,VLOOKUP($S$4,'TAR FIN'!$A$1:$O$95,15,0))</f>
        <v>5.9</v>
      </c>
      <c r="W4" s="6">
        <f>IF(ISERROR(VLOOKUP($T$4,'TAR FIN'!$A$1:$O$95,15,0)),0,VLOOKUP($T$4,'TAR FIN'!$A$1:$O$95,15,0))</f>
        <v>0</v>
      </c>
      <c r="X4" s="6">
        <f>IF(ISERROR(VLOOKUP($U$4,'TAR FIN'!$A$1:$O$95,15,0)),0,VLOOKUP($U$4,'TAR FIN'!$A$1:$O$95,15,0))</f>
        <v>0</v>
      </c>
      <c r="Y4" s="6">
        <f ca="1">('TUSD BE'!$AM$6+'TUSD BF'!$AM$6+'TUSD CVA'!$AM$6)*1</f>
        <v>6.4798355258986495</v>
      </c>
      <c r="Z4" s="6">
        <f ca="1">('TUSD BE'!$AM$7+'TUSD BF'!$AM$7+'TUSD CVA'!$AM$7)*1</f>
        <v>66.362434908719237</v>
      </c>
      <c r="AA4" s="6"/>
      <c r="AB4" s="6">
        <f>$K$4*$V$4</f>
        <v>76995</v>
      </c>
      <c r="AC4" s="6">
        <f>$M$4*$W$4</f>
        <v>0</v>
      </c>
      <c r="AD4" s="6">
        <f>$O$4*$X$4</f>
        <v>0</v>
      </c>
      <c r="AE4" s="6">
        <f ca="1">$K$4*$Y$4</f>
        <v>84561.853612977371</v>
      </c>
      <c r="AF4" s="6">
        <f ca="1">$M$4*$Z$4</f>
        <v>0</v>
      </c>
      <c r="AG4" s="6">
        <f>$O$4*$AA$4</f>
        <v>0</v>
      </c>
      <c r="AI4" s="57" t="s">
        <v>22</v>
      </c>
      <c r="AJ4" s="58">
        <f t="shared" si="0"/>
        <v>898488229.42057061</v>
      </c>
      <c r="AK4" s="58">
        <f t="shared" ca="1" si="1"/>
        <v>1007467080.9571235</v>
      </c>
      <c r="AL4" s="59">
        <f t="shared" ca="1" si="2"/>
        <v>0.12129135137010394</v>
      </c>
      <c r="AN4" s="57" t="s">
        <v>22</v>
      </c>
      <c r="AO4" s="58">
        <f t="shared" si="3"/>
        <v>489866464.54681057</v>
      </c>
      <c r="AP4" s="58">
        <f t="shared" si="4"/>
        <v>598393310.49382269</v>
      </c>
      <c r="AQ4" s="59">
        <f t="shared" si="5"/>
        <v>0.22154373446937914</v>
      </c>
      <c r="AS4" s="57" t="s">
        <v>22</v>
      </c>
      <c r="AT4" s="58">
        <f t="shared" si="6"/>
        <v>1388354693.9673812</v>
      </c>
      <c r="AU4" s="58">
        <f t="shared" ca="1" si="7"/>
        <v>1605860391.4509463</v>
      </c>
      <c r="AV4" s="59">
        <f t="shared" ca="1" si="8"/>
        <v>0.15666435848754023</v>
      </c>
    </row>
    <row r="5" spans="1:48" ht="11.25" customHeight="1" x14ac:dyDescent="0.25">
      <c r="A5" s="4" t="s">
        <v>21</v>
      </c>
      <c r="B5" s="4" t="s">
        <v>43</v>
      </c>
      <c r="C5" s="4" t="s">
        <v>44</v>
      </c>
      <c r="D5" s="4" t="s">
        <v>45</v>
      </c>
      <c r="E5" s="4" t="s">
        <v>25</v>
      </c>
      <c r="F5" s="4" t="s">
        <v>25</v>
      </c>
      <c r="G5" s="4" t="s">
        <v>25</v>
      </c>
      <c r="H5" s="4" t="s">
        <v>38</v>
      </c>
      <c r="I5" s="5">
        <v>44228</v>
      </c>
      <c r="J5" s="6">
        <v>13050</v>
      </c>
      <c r="K5" s="6">
        <v>13050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60</v>
      </c>
      <c r="R5" s="4">
        <v>0</v>
      </c>
      <c r="S5" s="6">
        <v>2</v>
      </c>
      <c r="T5" s="6">
        <v>0</v>
      </c>
      <c r="U5" s="6">
        <v>0</v>
      </c>
      <c r="V5" s="6">
        <f>IF(ISERROR(VLOOKUP($S$5,'TAR FIN'!$A$1:$O$95,15,0)),0,VLOOKUP($S$5,'TAR FIN'!$A$1:$O$95,15,0))</f>
        <v>5.9</v>
      </c>
      <c r="W5" s="6">
        <f>IF(ISERROR(VLOOKUP($T$5,'TAR FIN'!$A$1:$O$95,15,0)),0,VLOOKUP($T$5,'TAR FIN'!$A$1:$O$95,15,0))</f>
        <v>0</v>
      </c>
      <c r="X5" s="6">
        <f>IF(ISERROR(VLOOKUP($U$5,'TAR FIN'!$A$1:$O$95,15,0)),0,VLOOKUP($U$5,'TAR FIN'!$A$1:$O$95,15,0))</f>
        <v>0</v>
      </c>
      <c r="Y5" s="6">
        <f ca="1">('TUSD BE'!$AM$6+'TUSD BF'!$AM$6+'TUSD CVA'!$AM$6)*1</f>
        <v>6.4798355258986495</v>
      </c>
      <c r="Z5" s="6">
        <f ca="1">('TUSD BE'!$AM$7+'TUSD BF'!$AM$7+'TUSD CVA'!$AM$7)*1</f>
        <v>66.362434908719237</v>
      </c>
      <c r="AA5" s="6"/>
      <c r="AB5" s="6">
        <f>$K$5*$V$5</f>
        <v>76995</v>
      </c>
      <c r="AC5" s="6">
        <f>$M$5*$W$5</f>
        <v>0</v>
      </c>
      <c r="AD5" s="6">
        <f>$O$5*$X$5</f>
        <v>0</v>
      </c>
      <c r="AE5" s="6">
        <f ca="1">$K$5*$Y$5</f>
        <v>84561.853612977371</v>
      </c>
      <c r="AF5" s="6">
        <f ca="1">$M$5*$Z$5</f>
        <v>0</v>
      </c>
      <c r="AG5" s="6">
        <f>$O$5*$AA$5</f>
        <v>0</v>
      </c>
      <c r="AI5" s="57" t="s">
        <v>46</v>
      </c>
      <c r="AJ5" s="58">
        <f t="shared" si="0"/>
        <v>23753643.950423401</v>
      </c>
      <c r="AK5" s="58">
        <f t="shared" ca="1" si="1"/>
        <v>28681314.875363518</v>
      </c>
      <c r="AL5" s="59">
        <f t="shared" ca="1" si="2"/>
        <v>0.2074490522475092</v>
      </c>
      <c r="AN5" s="57" t="s">
        <v>46</v>
      </c>
      <c r="AO5" s="58">
        <f t="shared" si="3"/>
        <v>12837509.474765802</v>
      </c>
      <c r="AP5" s="58">
        <f t="shared" si="4"/>
        <v>16828846.711882364</v>
      </c>
      <c r="AQ5" s="59">
        <f t="shared" si="5"/>
        <v>0.31091211616725034</v>
      </c>
      <c r="AS5" s="57" t="s">
        <v>46</v>
      </c>
      <c r="AT5" s="58">
        <f t="shared" si="6"/>
        <v>36591153.425189205</v>
      </c>
      <c r="AU5" s="58">
        <f t="shared" ca="1" si="7"/>
        <v>45510161.587245882</v>
      </c>
      <c r="AV5" s="59">
        <f t="shared" ca="1" si="8"/>
        <v>0.24374766377046941</v>
      </c>
    </row>
    <row r="6" spans="1:48" ht="11.25" customHeight="1" x14ac:dyDescent="0.25">
      <c r="A6" s="4" t="s">
        <v>21</v>
      </c>
      <c r="B6" s="4" t="s">
        <v>43</v>
      </c>
      <c r="C6" s="4" t="s">
        <v>44</v>
      </c>
      <c r="D6" s="4" t="s">
        <v>45</v>
      </c>
      <c r="E6" s="4" t="s">
        <v>25</v>
      </c>
      <c r="F6" s="4" t="s">
        <v>25</v>
      </c>
      <c r="G6" s="4" t="s">
        <v>25</v>
      </c>
      <c r="H6" s="4" t="s">
        <v>38</v>
      </c>
      <c r="I6" s="5">
        <v>44256</v>
      </c>
      <c r="J6" s="6">
        <v>13050</v>
      </c>
      <c r="K6" s="6">
        <v>13050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60</v>
      </c>
      <c r="R6" s="4">
        <v>0</v>
      </c>
      <c r="S6" s="6">
        <v>2</v>
      </c>
      <c r="T6" s="6">
        <v>0</v>
      </c>
      <c r="U6" s="6">
        <v>0</v>
      </c>
      <c r="V6" s="6">
        <f>IF(ISERROR(VLOOKUP($S$6,'TAR FIN'!$A$1:$O$95,15,0)),0,VLOOKUP($S$6,'TAR FIN'!$A$1:$O$95,15,0))</f>
        <v>5.9</v>
      </c>
      <c r="W6" s="6">
        <f>IF(ISERROR(VLOOKUP($T$6,'TAR FIN'!$A$1:$O$95,15,0)),0,VLOOKUP($T$6,'TAR FIN'!$A$1:$O$95,15,0))</f>
        <v>0</v>
      </c>
      <c r="X6" s="6">
        <f>IF(ISERROR(VLOOKUP($U$6,'TAR FIN'!$A$1:$O$95,15,0)),0,VLOOKUP($U$6,'TAR FIN'!$A$1:$O$95,15,0))</f>
        <v>0</v>
      </c>
      <c r="Y6" s="6">
        <f ca="1">('TUSD BE'!$AM$6+'TUSD BF'!$AM$6+'TUSD CVA'!$AM$6)*1</f>
        <v>6.4798355258986495</v>
      </c>
      <c r="Z6" s="6">
        <f ca="1">('TUSD BE'!$AM$7+'TUSD BF'!$AM$7+'TUSD CVA'!$AM$7)*1</f>
        <v>66.362434908719237</v>
      </c>
      <c r="AA6" s="6"/>
      <c r="AB6" s="6">
        <f>$K$6*$V$6</f>
        <v>76995</v>
      </c>
      <c r="AC6" s="6">
        <f>$M$6*$W$6</f>
        <v>0</v>
      </c>
      <c r="AD6" s="6">
        <f>$O$6*$X$6</f>
        <v>0</v>
      </c>
      <c r="AE6" s="6">
        <f ca="1">$K$6*$Y$6</f>
        <v>84561.853612977371</v>
      </c>
      <c r="AF6" s="6">
        <f ca="1">$M$6*$Z$6</f>
        <v>0</v>
      </c>
      <c r="AG6" s="6">
        <f>$O$6*$AA$6</f>
        <v>0</v>
      </c>
      <c r="AI6" s="57" t="s">
        <v>41</v>
      </c>
      <c r="AJ6" s="58">
        <f t="shared" si="0"/>
        <v>382061110.54043466</v>
      </c>
      <c r="AK6" s="58">
        <f t="shared" ca="1" si="1"/>
        <v>430476164.72618139</v>
      </c>
      <c r="AL6" s="59">
        <f t="shared" ca="1" si="2"/>
        <v>0.12672070736867846</v>
      </c>
      <c r="AN6" s="57" t="s">
        <v>41</v>
      </c>
      <c r="AO6" s="58">
        <f t="shared" si="3"/>
        <v>206493693.31470913</v>
      </c>
      <c r="AP6" s="58">
        <f t="shared" si="4"/>
        <v>252600423.1798228</v>
      </c>
      <c r="AQ6" s="59">
        <f t="shared" si="5"/>
        <v>0.22328396148566232</v>
      </c>
      <c r="AS6" s="57" t="s">
        <v>41</v>
      </c>
      <c r="AT6" s="58">
        <f t="shared" si="6"/>
        <v>588554803.85514379</v>
      </c>
      <c r="AU6" s="58">
        <f t="shared" ca="1" si="7"/>
        <v>683076587.90600419</v>
      </c>
      <c r="AV6" s="59">
        <f t="shared" ca="1" si="8"/>
        <v>0.16059980044632227</v>
      </c>
    </row>
    <row r="7" spans="1:48" ht="11.25" customHeight="1" x14ac:dyDescent="0.25">
      <c r="A7" s="4" t="s">
        <v>21</v>
      </c>
      <c r="B7" s="4" t="s">
        <v>43</v>
      </c>
      <c r="C7" s="4" t="s">
        <v>44</v>
      </c>
      <c r="D7" s="4" t="s">
        <v>45</v>
      </c>
      <c r="E7" s="4" t="s">
        <v>25</v>
      </c>
      <c r="F7" s="4" t="s">
        <v>25</v>
      </c>
      <c r="G7" s="4" t="s">
        <v>25</v>
      </c>
      <c r="H7" s="4" t="s">
        <v>38</v>
      </c>
      <c r="I7" s="5">
        <v>44287</v>
      </c>
      <c r="J7" s="6">
        <v>13050</v>
      </c>
      <c r="K7" s="6">
        <v>13050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60</v>
      </c>
      <c r="R7" s="4">
        <v>0</v>
      </c>
      <c r="S7" s="6">
        <v>2</v>
      </c>
      <c r="T7" s="6">
        <v>0</v>
      </c>
      <c r="U7" s="6">
        <v>0</v>
      </c>
      <c r="V7" s="6">
        <f>IF(ISERROR(VLOOKUP($S$7,'TAR FIN'!$A$1:$O$95,15,0)),0,VLOOKUP($S$7,'TAR FIN'!$A$1:$O$95,15,0))</f>
        <v>5.9</v>
      </c>
      <c r="W7" s="6">
        <f>IF(ISERROR(VLOOKUP($T$7,'TAR FIN'!$A$1:$O$95,15,0)),0,VLOOKUP($T$7,'TAR FIN'!$A$1:$O$95,15,0))</f>
        <v>0</v>
      </c>
      <c r="X7" s="6">
        <f>IF(ISERROR(VLOOKUP($U$7,'TAR FIN'!$A$1:$O$95,15,0)),0,VLOOKUP($U$7,'TAR FIN'!$A$1:$O$95,15,0))</f>
        <v>0</v>
      </c>
      <c r="Y7" s="6">
        <f ca="1">('TUSD BE'!$AM$6+'TUSD BF'!$AM$6+'TUSD CVA'!$AM$6)*1</f>
        <v>6.4798355258986495</v>
      </c>
      <c r="Z7" s="6">
        <f ca="1">('TUSD BE'!$AM$7+'TUSD BF'!$AM$7+'TUSD CVA'!$AM$7)*1</f>
        <v>66.362434908719237</v>
      </c>
      <c r="AA7" s="6"/>
      <c r="AB7" s="6">
        <f>$K$7*$V$7</f>
        <v>76995</v>
      </c>
      <c r="AC7" s="6">
        <f>$M$7*$W$7</f>
        <v>0</v>
      </c>
      <c r="AD7" s="6">
        <f>$O$7*$X$7</f>
        <v>0</v>
      </c>
      <c r="AE7" s="6">
        <f ca="1">$K$7*$Y$7</f>
        <v>84561.853612977371</v>
      </c>
      <c r="AF7" s="6">
        <f ca="1">$M$7*$Z$7</f>
        <v>0</v>
      </c>
      <c r="AG7" s="6">
        <f>$O$7*$AA$7</f>
        <v>0</v>
      </c>
      <c r="AI7" s="57" t="s">
        <v>49</v>
      </c>
      <c r="AJ7" s="58">
        <f t="shared" si="0"/>
        <v>49567090.771439992</v>
      </c>
      <c r="AK7" s="58">
        <f t="shared" ca="1" si="1"/>
        <v>55767914.435582526</v>
      </c>
      <c r="AL7" s="59">
        <f t="shared" ca="1" si="2"/>
        <v>0.12509960878550053</v>
      </c>
      <c r="AN7" s="57" t="s">
        <v>49</v>
      </c>
      <c r="AO7" s="58">
        <f t="shared" si="3"/>
        <v>26788369.157279994</v>
      </c>
      <c r="AP7" s="58">
        <f t="shared" si="4"/>
        <v>32721949.897285119</v>
      </c>
      <c r="AQ7" s="59">
        <f t="shared" si="5"/>
        <v>0.22149839376812586</v>
      </c>
      <c r="AS7" s="57" t="s">
        <v>49</v>
      </c>
      <c r="AT7" s="58">
        <f t="shared" si="6"/>
        <v>76355459.928719983</v>
      </c>
      <c r="AU7" s="58">
        <f t="shared" ca="1" si="7"/>
        <v>88489864.332867652</v>
      </c>
      <c r="AV7" s="59">
        <f t="shared" ca="1" si="8"/>
        <v>0.15891993074857358</v>
      </c>
    </row>
    <row r="8" spans="1:48" ht="11.25" customHeight="1" x14ac:dyDescent="0.25">
      <c r="A8" s="4" t="s">
        <v>21</v>
      </c>
      <c r="B8" s="4" t="s">
        <v>43</v>
      </c>
      <c r="C8" s="4" t="s">
        <v>44</v>
      </c>
      <c r="D8" s="4" t="s">
        <v>45</v>
      </c>
      <c r="E8" s="4" t="s">
        <v>25</v>
      </c>
      <c r="F8" s="4" t="s">
        <v>25</v>
      </c>
      <c r="G8" s="4" t="s">
        <v>25</v>
      </c>
      <c r="H8" s="4" t="s">
        <v>38</v>
      </c>
      <c r="I8" s="5">
        <v>44317</v>
      </c>
      <c r="J8" s="6">
        <v>13050</v>
      </c>
      <c r="K8" s="6">
        <v>13050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60</v>
      </c>
      <c r="R8" s="4">
        <v>0</v>
      </c>
      <c r="S8" s="6">
        <v>2</v>
      </c>
      <c r="T8" s="6">
        <v>0</v>
      </c>
      <c r="U8" s="6">
        <v>0</v>
      </c>
      <c r="V8" s="6">
        <f>IF(ISERROR(VLOOKUP($S$8,'TAR FIN'!$A$1:$O$95,15,0)),0,VLOOKUP($S$8,'TAR FIN'!$A$1:$O$95,15,0))</f>
        <v>5.9</v>
      </c>
      <c r="W8" s="6">
        <f>IF(ISERROR(VLOOKUP($T$8,'TAR FIN'!$A$1:$O$95,15,0)),0,VLOOKUP($T$8,'TAR FIN'!$A$1:$O$95,15,0))</f>
        <v>0</v>
      </c>
      <c r="X8" s="6">
        <f>IF(ISERROR(VLOOKUP($U$8,'TAR FIN'!$A$1:$O$95,15,0)),0,VLOOKUP($U$8,'TAR FIN'!$A$1:$O$95,15,0))</f>
        <v>0</v>
      </c>
      <c r="Y8" s="6">
        <f ca="1">('TUSD BE'!$AM$6+'TUSD BF'!$AM$6+'TUSD CVA'!$AM$6)*1</f>
        <v>6.4798355258986495</v>
      </c>
      <c r="Z8" s="6">
        <f ca="1">('TUSD BE'!$AM$7+'TUSD BF'!$AM$7+'TUSD CVA'!$AM$7)*1</f>
        <v>66.362434908719237</v>
      </c>
      <c r="AA8" s="6"/>
      <c r="AB8" s="6">
        <f>$K$8*$V$8</f>
        <v>76995</v>
      </c>
      <c r="AC8" s="6">
        <f>$M$8*$W$8</f>
        <v>0</v>
      </c>
      <c r="AD8" s="6">
        <f>$O$8*$X$8</f>
        <v>0</v>
      </c>
      <c r="AE8" s="6">
        <f ca="1">$K$8*$Y$8</f>
        <v>84561.853612977371</v>
      </c>
      <c r="AF8" s="6">
        <f ca="1">$M$8*$Z$8</f>
        <v>0</v>
      </c>
      <c r="AG8" s="6">
        <f>$O$8*$AA$8</f>
        <v>0</v>
      </c>
      <c r="AI8" s="57" t="s">
        <v>824</v>
      </c>
      <c r="AJ8" s="58">
        <f>+$AJ$2+$AJ$3</f>
        <v>743386025.49765897</v>
      </c>
      <c r="AK8" s="58">
        <f ca="1">+$AK$2+$AK$3</f>
        <v>845206787.27190411</v>
      </c>
      <c r="AL8" s="59">
        <f t="shared" ca="1" si="2"/>
        <v>0.13696889406292145</v>
      </c>
      <c r="AN8" s="57" t="s">
        <v>824</v>
      </c>
      <c r="AO8" s="58">
        <f>+$AO$2+$AO$3</f>
        <v>283853290.56025016</v>
      </c>
      <c r="AP8" s="58">
        <f>+$AP$2+$AP$3</f>
        <v>347383259.05723196</v>
      </c>
      <c r="AQ8" s="59">
        <f t="shared" si="5"/>
        <v>0.22381268989903447</v>
      </c>
      <c r="AS8" s="57" t="s">
        <v>824</v>
      </c>
      <c r="AT8" s="58">
        <f>+$AT$2+$AT$3</f>
        <v>1027239316.057909</v>
      </c>
      <c r="AU8" s="58">
        <f ca="1">+$AU$2+$AU$3</f>
        <v>1192590046.3291361</v>
      </c>
      <c r="AV8" s="59">
        <f t="shared" ca="1" si="8"/>
        <v>0.16096612316764736</v>
      </c>
    </row>
    <row r="9" spans="1:48" ht="11.25" customHeight="1" x14ac:dyDescent="0.25">
      <c r="A9" s="4" t="s">
        <v>21</v>
      </c>
      <c r="B9" s="4" t="s">
        <v>43</v>
      </c>
      <c r="C9" s="4" t="s">
        <v>44</v>
      </c>
      <c r="D9" s="4" t="s">
        <v>45</v>
      </c>
      <c r="E9" s="4" t="s">
        <v>25</v>
      </c>
      <c r="F9" s="4" t="s">
        <v>25</v>
      </c>
      <c r="G9" s="4" t="s">
        <v>25</v>
      </c>
      <c r="H9" s="4" t="s">
        <v>38</v>
      </c>
      <c r="I9" s="5">
        <v>44348</v>
      </c>
      <c r="J9" s="6">
        <v>13050</v>
      </c>
      <c r="K9" s="6">
        <v>13050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60</v>
      </c>
      <c r="R9" s="4">
        <v>0</v>
      </c>
      <c r="S9" s="6">
        <v>2</v>
      </c>
      <c r="T9" s="6">
        <v>0</v>
      </c>
      <c r="U9" s="6">
        <v>0</v>
      </c>
      <c r="V9" s="6">
        <f>IF(ISERROR(VLOOKUP($S$9,'TAR FIN'!$A$1:$O$95,15,0)),0,VLOOKUP($S$9,'TAR FIN'!$A$1:$O$95,15,0))</f>
        <v>5.9</v>
      </c>
      <c r="W9" s="6">
        <f>IF(ISERROR(VLOOKUP($T$9,'TAR FIN'!$A$1:$O$95,15,0)),0,VLOOKUP($T$9,'TAR FIN'!$A$1:$O$95,15,0))</f>
        <v>0</v>
      </c>
      <c r="X9" s="6">
        <f>IF(ISERROR(VLOOKUP($U$9,'TAR FIN'!$A$1:$O$95,15,0)),0,VLOOKUP($U$9,'TAR FIN'!$A$1:$O$95,15,0))</f>
        <v>0</v>
      </c>
      <c r="Y9" s="6">
        <f ca="1">('TUSD BE'!$AM$6+'TUSD BF'!$AM$6+'TUSD CVA'!$AM$6)*1</f>
        <v>6.4798355258986495</v>
      </c>
      <c r="Z9" s="6">
        <f ca="1">('TUSD BE'!$AM$7+'TUSD BF'!$AM$7+'TUSD CVA'!$AM$7)*1</f>
        <v>66.362434908719237</v>
      </c>
      <c r="AA9" s="6"/>
      <c r="AB9" s="6">
        <f>$K$9*$V$9</f>
        <v>76995</v>
      </c>
      <c r="AC9" s="6">
        <f>$M$9*$W$9</f>
        <v>0</v>
      </c>
      <c r="AD9" s="6">
        <f>$O$9*$X$9</f>
        <v>0</v>
      </c>
      <c r="AE9" s="6">
        <f ca="1">$K$9*$Y$9</f>
        <v>84561.853612977371</v>
      </c>
      <c r="AF9" s="6">
        <f ca="1">$M$9*$Z$9</f>
        <v>0</v>
      </c>
      <c r="AG9" s="6">
        <f>$O$9*$AA$9</f>
        <v>0</v>
      </c>
      <c r="AI9" s="57" t="s">
        <v>95</v>
      </c>
      <c r="AJ9" s="58">
        <f>+$AJ$4+$AJ$5+$AJ$6+$AJ$7</f>
        <v>1353870074.6828687</v>
      </c>
      <c r="AK9" s="58">
        <f ca="1">+$AK$4+$AK$5+$AK$6+$AK$7</f>
        <v>1522392474.994251</v>
      </c>
      <c r="AL9" s="59">
        <f t="shared" ca="1" si="2"/>
        <v>0.12447457364094339</v>
      </c>
      <c r="AN9" s="57" t="s">
        <v>95</v>
      </c>
      <c r="AO9" s="58">
        <f>+$AO$4+$AO$5+$AO$6+$AO$7</f>
        <v>735986036.49356544</v>
      </c>
      <c r="AP9" s="58">
        <f>+$AP$4+$AP$5+$AP$6+$AP$7</f>
        <v>900544530.28281295</v>
      </c>
      <c r="AQ9" s="59">
        <f t="shared" si="5"/>
        <v>0.22358915200789431</v>
      </c>
      <c r="AS9" s="57" t="s">
        <v>95</v>
      </c>
      <c r="AT9" s="58">
        <f>+$AT$4+$AT$5+$AT$6+$AT$7</f>
        <v>2089856111.1764343</v>
      </c>
      <c r="AU9" s="58">
        <f ca="1">+$AU$4+$AU$5+$AU$6+$AU$7</f>
        <v>2422937005.2770643</v>
      </c>
      <c r="AV9" s="59">
        <f t="shared" ca="1" si="8"/>
        <v>0.15937982156729924</v>
      </c>
    </row>
    <row r="10" spans="1:48" ht="11.25" customHeight="1" x14ac:dyDescent="0.25">
      <c r="A10" s="4" t="s">
        <v>21</v>
      </c>
      <c r="B10" s="4" t="s">
        <v>43</v>
      </c>
      <c r="C10" s="4" t="s">
        <v>44</v>
      </c>
      <c r="D10" s="4" t="s">
        <v>45</v>
      </c>
      <c r="E10" s="4" t="s">
        <v>25</v>
      </c>
      <c r="F10" s="4" t="s">
        <v>25</v>
      </c>
      <c r="G10" s="4" t="s">
        <v>25</v>
      </c>
      <c r="H10" s="4" t="s">
        <v>38</v>
      </c>
      <c r="I10" s="5">
        <v>44378</v>
      </c>
      <c r="J10" s="6">
        <v>13050</v>
      </c>
      <c r="K10" s="6">
        <v>13050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60</v>
      </c>
      <c r="R10" s="4">
        <v>0</v>
      </c>
      <c r="S10" s="6">
        <v>2</v>
      </c>
      <c r="T10" s="6">
        <v>0</v>
      </c>
      <c r="U10" s="6">
        <v>0</v>
      </c>
      <c r="V10" s="6">
        <f>IF(ISERROR(VLOOKUP($S$10,'TAR FIN'!$A$1:$O$95,15,0)),0,VLOOKUP($S$10,'TAR FIN'!$A$1:$O$95,15,0))</f>
        <v>5.9</v>
      </c>
      <c r="W10" s="6">
        <f>IF(ISERROR(VLOOKUP($T$10,'TAR FIN'!$A$1:$O$95,15,0)),0,VLOOKUP($T$10,'TAR FIN'!$A$1:$O$95,15,0))</f>
        <v>0</v>
      </c>
      <c r="X10" s="6">
        <f>IF(ISERROR(VLOOKUP($U$10,'TAR FIN'!$A$1:$O$95,15,0)),0,VLOOKUP($U$10,'TAR FIN'!$A$1:$O$95,15,0))</f>
        <v>0</v>
      </c>
      <c r="Y10" s="6">
        <f ca="1">('TUSD BE'!$AM$6+'TUSD BF'!$AM$6+'TUSD CVA'!$AM$6)*1</f>
        <v>6.4798355258986495</v>
      </c>
      <c r="Z10" s="6">
        <f ca="1">('TUSD BE'!$AM$7+'TUSD BF'!$AM$7+'TUSD CVA'!$AM$7)*1</f>
        <v>66.362434908719237</v>
      </c>
      <c r="AA10" s="6"/>
      <c r="AB10" s="6">
        <f>$K$10*$V$10</f>
        <v>76995</v>
      </c>
      <c r="AC10" s="6">
        <f>$M$10*$W$10</f>
        <v>0</v>
      </c>
      <c r="AD10" s="6">
        <f>$O$10*$X$10</f>
        <v>0</v>
      </c>
      <c r="AE10" s="6">
        <f ca="1">$K$10*$Y$10</f>
        <v>84561.853612977371</v>
      </c>
      <c r="AF10" s="6">
        <f ca="1">$M$10*$Z$10</f>
        <v>0</v>
      </c>
      <c r="AG10" s="6">
        <f>$O$10*$AA$10</f>
        <v>0</v>
      </c>
      <c r="AI10" s="57" t="s">
        <v>825</v>
      </c>
      <c r="AJ10" s="58">
        <f>AJ9+AJ8</f>
        <v>2097256100.1805277</v>
      </c>
      <c r="AK10" s="58">
        <f ca="1">AK9+AK8</f>
        <v>2367599262.2661552</v>
      </c>
      <c r="AL10" s="59">
        <f t="shared" ca="1" si="2"/>
        <v>0.1289032665406753</v>
      </c>
      <c r="AN10" s="57" t="s">
        <v>825</v>
      </c>
      <c r="AO10" s="58">
        <f>AO9+AO8</f>
        <v>1019839327.0538156</v>
      </c>
      <c r="AP10" s="58">
        <f>AP9+AP8</f>
        <v>1247927789.340045</v>
      </c>
      <c r="AQ10" s="59">
        <f t="shared" si="5"/>
        <v>0.22365136961833731</v>
      </c>
      <c r="AS10" s="57" t="s">
        <v>825</v>
      </c>
      <c r="AT10" s="58">
        <f>AT9+AT8</f>
        <v>3117095427.2343435</v>
      </c>
      <c r="AU10" s="58">
        <f ca="1">AU9+AU8</f>
        <v>3615527051.6062002</v>
      </c>
      <c r="AV10" s="59">
        <f t="shared" ca="1" si="8"/>
        <v>0.15990258752331243</v>
      </c>
    </row>
    <row r="11" spans="1:48" ht="11.25" customHeight="1" x14ac:dyDescent="0.25">
      <c r="A11" s="4" t="s">
        <v>21</v>
      </c>
      <c r="B11" s="4" t="s">
        <v>43</v>
      </c>
      <c r="C11" s="4" t="s">
        <v>44</v>
      </c>
      <c r="D11" s="4" t="s">
        <v>45</v>
      </c>
      <c r="E11" s="4" t="s">
        <v>25</v>
      </c>
      <c r="F11" s="4" t="s">
        <v>25</v>
      </c>
      <c r="G11" s="4" t="s">
        <v>25</v>
      </c>
      <c r="H11" s="4" t="s">
        <v>38</v>
      </c>
      <c r="I11" s="5">
        <v>44409</v>
      </c>
      <c r="J11" s="6">
        <v>13050</v>
      </c>
      <c r="K11" s="6">
        <v>13050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60</v>
      </c>
      <c r="R11" s="4">
        <v>0</v>
      </c>
      <c r="S11" s="6">
        <v>2</v>
      </c>
      <c r="T11" s="6">
        <v>0</v>
      </c>
      <c r="U11" s="6">
        <v>0</v>
      </c>
      <c r="V11" s="6">
        <f>IF(ISERROR(VLOOKUP($S$11,'TAR FIN'!$A$1:$O$95,15,0)),0,VLOOKUP($S$11,'TAR FIN'!$A$1:$O$95,15,0))</f>
        <v>5.9</v>
      </c>
      <c r="W11" s="6">
        <f>IF(ISERROR(VLOOKUP($T$11,'TAR FIN'!$A$1:$O$95,15,0)),0,VLOOKUP($T$11,'TAR FIN'!$A$1:$O$95,15,0))</f>
        <v>0</v>
      </c>
      <c r="X11" s="6">
        <f>IF(ISERROR(VLOOKUP($U$11,'TAR FIN'!$A$1:$O$95,15,0)),0,VLOOKUP($U$11,'TAR FIN'!$A$1:$O$95,15,0))</f>
        <v>0</v>
      </c>
      <c r="Y11" s="6">
        <f ca="1">('TUSD BE'!$AM$6+'TUSD BF'!$AM$6+'TUSD CVA'!$AM$6)*1</f>
        <v>6.4798355258986495</v>
      </c>
      <c r="Z11" s="6">
        <f ca="1">('TUSD BE'!$AM$7+'TUSD BF'!$AM$7+'TUSD CVA'!$AM$7)*1</f>
        <v>66.362434908719237</v>
      </c>
      <c r="AA11" s="6"/>
      <c r="AB11" s="6">
        <f>$K$11*$V$11</f>
        <v>76995</v>
      </c>
      <c r="AC11" s="6">
        <f>$M$11*$W$11</f>
        <v>0</v>
      </c>
      <c r="AD11" s="6">
        <f>$O$11*$X$11</f>
        <v>0</v>
      </c>
      <c r="AE11" s="6">
        <f ca="1">$K$11*$Y$11</f>
        <v>84561.853612977371</v>
      </c>
      <c r="AF11" s="6">
        <f ca="1">$M$11*$Z$11</f>
        <v>0</v>
      </c>
      <c r="AG11" s="6">
        <f>$O$11*$AA$11</f>
        <v>0</v>
      </c>
    </row>
    <row r="12" spans="1:48" ht="11.25" customHeight="1" x14ac:dyDescent="0.25">
      <c r="A12" s="4" t="s">
        <v>21</v>
      </c>
      <c r="B12" s="4" t="s">
        <v>43</v>
      </c>
      <c r="C12" s="4" t="s">
        <v>44</v>
      </c>
      <c r="D12" s="4" t="s">
        <v>45</v>
      </c>
      <c r="E12" s="4" t="s">
        <v>25</v>
      </c>
      <c r="F12" s="4" t="s">
        <v>25</v>
      </c>
      <c r="G12" s="4" t="s">
        <v>25</v>
      </c>
      <c r="H12" s="4" t="s">
        <v>38</v>
      </c>
      <c r="I12" s="5">
        <v>44440</v>
      </c>
      <c r="J12" s="6">
        <v>13050</v>
      </c>
      <c r="K12" s="6">
        <v>13050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60</v>
      </c>
      <c r="R12" s="4">
        <v>0</v>
      </c>
      <c r="S12" s="6">
        <v>2</v>
      </c>
      <c r="T12" s="6">
        <v>0</v>
      </c>
      <c r="U12" s="6">
        <v>0</v>
      </c>
      <c r="V12" s="6">
        <f>IF(ISERROR(VLOOKUP($S$12,'TAR FIN'!$A$1:$O$95,15,0)),0,VLOOKUP($S$12,'TAR FIN'!$A$1:$O$95,15,0))</f>
        <v>5.9</v>
      </c>
      <c r="W12" s="6">
        <f>IF(ISERROR(VLOOKUP($T$12,'TAR FIN'!$A$1:$O$95,15,0)),0,VLOOKUP($T$12,'TAR FIN'!$A$1:$O$95,15,0))</f>
        <v>0</v>
      </c>
      <c r="X12" s="6">
        <f>IF(ISERROR(VLOOKUP($U$12,'TAR FIN'!$A$1:$O$95,15,0)),0,VLOOKUP($U$12,'TAR FIN'!$A$1:$O$95,15,0))</f>
        <v>0</v>
      </c>
      <c r="Y12" s="6">
        <f ca="1">('TUSD BE'!$AM$6+'TUSD BF'!$AM$6+'TUSD CVA'!$AM$6)*1</f>
        <v>6.4798355258986495</v>
      </c>
      <c r="Z12" s="6">
        <f ca="1">('TUSD BE'!$AM$7+'TUSD BF'!$AM$7+'TUSD CVA'!$AM$7)*1</f>
        <v>66.362434908719237</v>
      </c>
      <c r="AA12" s="6"/>
      <c r="AB12" s="6">
        <f>$K$12*$V$12</f>
        <v>76995</v>
      </c>
      <c r="AC12" s="6">
        <f>$M$12*$W$12</f>
        <v>0</v>
      </c>
      <c r="AD12" s="6">
        <f>$O$12*$X$12</f>
        <v>0</v>
      </c>
      <c r="AE12" s="6">
        <f ca="1">$K$12*$Y$12</f>
        <v>84561.853612977371</v>
      </c>
      <c r="AF12" s="6">
        <f ca="1">$M$12*$Z$12</f>
        <v>0</v>
      </c>
      <c r="AG12" s="6">
        <f>$O$12*$AA$12</f>
        <v>0</v>
      </c>
    </row>
    <row r="13" spans="1:48" ht="11.25" customHeight="1" x14ac:dyDescent="0.25">
      <c r="A13" s="4" t="s">
        <v>59</v>
      </c>
      <c r="B13" s="4" t="s">
        <v>43</v>
      </c>
      <c r="C13" s="4" t="s">
        <v>44</v>
      </c>
      <c r="D13" s="4" t="s">
        <v>45</v>
      </c>
      <c r="E13" s="4" t="s">
        <v>25</v>
      </c>
      <c r="F13" s="4" t="s">
        <v>25</v>
      </c>
      <c r="G13" s="4" t="s">
        <v>25</v>
      </c>
      <c r="H13" s="4" t="s">
        <v>38</v>
      </c>
      <c r="I13" s="5">
        <v>44470</v>
      </c>
      <c r="J13" s="6">
        <v>13050</v>
      </c>
      <c r="K13" s="6">
        <v>13050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60</v>
      </c>
      <c r="R13" s="4">
        <v>0</v>
      </c>
      <c r="S13" s="6">
        <v>2</v>
      </c>
      <c r="T13" s="6">
        <v>0</v>
      </c>
      <c r="U13" s="6">
        <v>0</v>
      </c>
      <c r="V13" s="6">
        <f>IF(ISERROR(VLOOKUP($S$13,'TAR FIN'!$A$1:$O$95,15,0)),0,VLOOKUP($S$13,'TAR FIN'!$A$1:$O$95,15,0))</f>
        <v>5.9</v>
      </c>
      <c r="W13" s="6">
        <f>IF(ISERROR(VLOOKUP($T$13,'TAR FIN'!$A$1:$O$95,15,0)),0,VLOOKUP($T$13,'TAR FIN'!$A$1:$O$95,15,0))</f>
        <v>0</v>
      </c>
      <c r="X13" s="6">
        <f>IF(ISERROR(VLOOKUP($U$13,'TAR FIN'!$A$1:$O$95,15,0)),0,VLOOKUP($U$13,'TAR FIN'!$A$1:$O$95,15,0))</f>
        <v>0</v>
      </c>
      <c r="Y13" s="6">
        <f ca="1">('TUSD BE'!$AM$6+'TUSD BF'!$AM$6+'TUSD CVA'!$AM$6)*1</f>
        <v>6.4798355258986495</v>
      </c>
      <c r="Z13" s="6">
        <f ca="1">('TUSD BE'!$AM$7+'TUSD BF'!$AM$7+'TUSD CVA'!$AM$7)*1</f>
        <v>66.362434908719237</v>
      </c>
      <c r="AA13" s="6"/>
      <c r="AB13" s="6">
        <f>$K$13*$V$13</f>
        <v>76995</v>
      </c>
      <c r="AC13" s="6">
        <f>$M$13*$W$13</f>
        <v>0</v>
      </c>
      <c r="AD13" s="6">
        <f>$O$13*$X$13</f>
        <v>0</v>
      </c>
      <c r="AE13" s="6">
        <f ca="1">$K$13*$Y$13</f>
        <v>84561.853612977371</v>
      </c>
      <c r="AF13" s="6">
        <f ca="1">$M$13*$Z$13</f>
        <v>0</v>
      </c>
      <c r="AG13" s="6">
        <f>$O$13*$AA$13</f>
        <v>0</v>
      </c>
    </row>
    <row r="14" spans="1:48" ht="11.25" customHeight="1" x14ac:dyDescent="0.25">
      <c r="A14" s="4" t="s">
        <v>21</v>
      </c>
      <c r="B14" s="4" t="s">
        <v>43</v>
      </c>
      <c r="C14" s="4" t="s">
        <v>44</v>
      </c>
      <c r="D14" s="4" t="s">
        <v>45</v>
      </c>
      <c r="E14" s="4" t="s">
        <v>25</v>
      </c>
      <c r="F14" s="4" t="s">
        <v>25</v>
      </c>
      <c r="G14" s="4" t="s">
        <v>25</v>
      </c>
      <c r="H14" s="4" t="s">
        <v>25</v>
      </c>
      <c r="I14" s="5">
        <v>44136</v>
      </c>
      <c r="J14" s="6">
        <v>0</v>
      </c>
      <c r="K14" s="6">
        <v>0</v>
      </c>
      <c r="L14" s="6">
        <v>4325.2849999999999</v>
      </c>
      <c r="M14" s="6">
        <v>4325.2849999999999</v>
      </c>
      <c r="N14" s="6">
        <v>0</v>
      </c>
      <c r="O14" s="6">
        <v>0</v>
      </c>
      <c r="P14" s="6">
        <v>3</v>
      </c>
      <c r="Q14" s="4" t="s">
        <v>60</v>
      </c>
      <c r="R14" s="4">
        <v>0</v>
      </c>
      <c r="S14" s="6">
        <v>0</v>
      </c>
      <c r="T14" s="6">
        <v>25</v>
      </c>
      <c r="U14" s="6">
        <v>0</v>
      </c>
      <c r="V14" s="6">
        <f>IF(ISERROR(VLOOKUP($S$14,'TAR FIN'!$A$1:$O$95,15,0)),0,VLOOKUP($S$14,'TAR FIN'!$A$1:$O$95,15,0))</f>
        <v>0</v>
      </c>
      <c r="W14" s="6">
        <f>IF(ISERROR(VLOOKUP($T$14,'TAR FIN'!$A$1:$O$95,15,0)),0,VLOOKUP($T$14,'TAR FIN'!$A$1:$O$95,15,0))</f>
        <v>52.77</v>
      </c>
      <c r="X14" s="6">
        <f>IF(ISERROR(VLOOKUP($U$14,'TAR FIN'!$A$1:$O$95,15,0)),0,VLOOKUP($U$14,'TAR FIN'!$A$1:$O$95,15,0))</f>
        <v>0</v>
      </c>
      <c r="Y14" s="6"/>
      <c r="Z14" s="6">
        <f ca="1">('TUSD BE'!$AM$7+'TUSD BF'!$AM$7+'TUSD CVA'!$AM$7)*1</f>
        <v>66.362434908719237</v>
      </c>
      <c r="AA14" s="6"/>
      <c r="AB14" s="6">
        <f>$K$14*$V$14</f>
        <v>0</v>
      </c>
      <c r="AC14" s="6">
        <f>$M$14*$W$14</f>
        <v>228245.28945000001</v>
      </c>
      <c r="AD14" s="6">
        <f>$O$14*$X$14</f>
        <v>0</v>
      </c>
      <c r="AE14" s="6">
        <f>$K$14*$Y$14</f>
        <v>0</v>
      </c>
      <c r="AF14" s="6">
        <f ca="1">$M$14*$Z$14</f>
        <v>287036.44427415967</v>
      </c>
      <c r="AG14" s="6">
        <f>$O$14*$AA$14</f>
        <v>0</v>
      </c>
    </row>
    <row r="15" spans="1:48" ht="11.25" customHeight="1" x14ac:dyDescent="0.25">
      <c r="A15" s="4" t="s">
        <v>21</v>
      </c>
      <c r="B15" s="4" t="s">
        <v>43</v>
      </c>
      <c r="C15" s="4" t="s">
        <v>44</v>
      </c>
      <c r="D15" s="4" t="s">
        <v>45</v>
      </c>
      <c r="E15" s="4" t="s">
        <v>25</v>
      </c>
      <c r="F15" s="4" t="s">
        <v>25</v>
      </c>
      <c r="G15" s="4" t="s">
        <v>25</v>
      </c>
      <c r="H15" s="4" t="s">
        <v>25</v>
      </c>
      <c r="I15" s="5">
        <v>44166</v>
      </c>
      <c r="J15" s="6">
        <v>0</v>
      </c>
      <c r="K15" s="6">
        <v>0</v>
      </c>
      <c r="L15" s="6">
        <v>4370.915</v>
      </c>
      <c r="M15" s="6">
        <v>4370.915</v>
      </c>
      <c r="N15" s="6">
        <v>0</v>
      </c>
      <c r="O15" s="6">
        <v>0</v>
      </c>
      <c r="P15" s="6">
        <v>3</v>
      </c>
      <c r="Q15" s="4" t="s">
        <v>60</v>
      </c>
      <c r="R15" s="4">
        <v>0</v>
      </c>
      <c r="S15" s="6">
        <v>0</v>
      </c>
      <c r="T15" s="6">
        <v>25</v>
      </c>
      <c r="U15" s="6">
        <v>0</v>
      </c>
      <c r="V15" s="6">
        <f>IF(ISERROR(VLOOKUP($S$15,'TAR FIN'!$A$1:$O$95,15,0)),0,VLOOKUP($S$15,'TAR FIN'!$A$1:$O$95,15,0))</f>
        <v>0</v>
      </c>
      <c r="W15" s="6">
        <f>IF(ISERROR(VLOOKUP($T$15,'TAR FIN'!$A$1:$O$95,15,0)),0,VLOOKUP($T$15,'TAR FIN'!$A$1:$O$95,15,0))</f>
        <v>52.77</v>
      </c>
      <c r="X15" s="6">
        <f>IF(ISERROR(VLOOKUP($U$15,'TAR FIN'!$A$1:$O$95,15,0)),0,VLOOKUP($U$15,'TAR FIN'!$A$1:$O$95,15,0))</f>
        <v>0</v>
      </c>
      <c r="Y15" s="6"/>
      <c r="Z15" s="6">
        <f ca="1">('TUSD BE'!$AM$7+'TUSD BF'!$AM$7+'TUSD CVA'!$AM$7)*1</f>
        <v>66.362434908719237</v>
      </c>
      <c r="AA15" s="6"/>
      <c r="AB15" s="6">
        <f>$K$15*$V$15</f>
        <v>0</v>
      </c>
      <c r="AC15" s="6">
        <f>$M$15*$W$15</f>
        <v>230653.18455000001</v>
      </c>
      <c r="AD15" s="6">
        <f>$O$15*$X$15</f>
        <v>0</v>
      </c>
      <c r="AE15" s="6">
        <f>$K$15*$Y$15</f>
        <v>0</v>
      </c>
      <c r="AF15" s="6">
        <f ca="1">$M$15*$Z$15</f>
        <v>290064.56217904453</v>
      </c>
      <c r="AG15" s="6">
        <f>$O$15*$AA$15</f>
        <v>0</v>
      </c>
    </row>
    <row r="16" spans="1:48" ht="11.25" customHeight="1" x14ac:dyDescent="0.25">
      <c r="A16" s="4" t="s">
        <v>21</v>
      </c>
      <c r="B16" s="4" t="s">
        <v>43</v>
      </c>
      <c r="C16" s="4" t="s">
        <v>44</v>
      </c>
      <c r="D16" s="4" t="s">
        <v>45</v>
      </c>
      <c r="E16" s="4" t="s">
        <v>25</v>
      </c>
      <c r="F16" s="4" t="s">
        <v>25</v>
      </c>
      <c r="G16" s="4" t="s">
        <v>25</v>
      </c>
      <c r="H16" s="4" t="s">
        <v>25</v>
      </c>
      <c r="I16" s="5">
        <v>44197</v>
      </c>
      <c r="J16" s="6">
        <v>0</v>
      </c>
      <c r="K16" s="6">
        <v>0</v>
      </c>
      <c r="L16" s="6">
        <v>1928.15</v>
      </c>
      <c r="M16" s="6">
        <v>1928.15</v>
      </c>
      <c r="N16" s="6">
        <v>0</v>
      </c>
      <c r="O16" s="6">
        <v>0</v>
      </c>
      <c r="P16" s="6">
        <v>3</v>
      </c>
      <c r="Q16" s="4" t="s">
        <v>60</v>
      </c>
      <c r="R16" s="4">
        <v>0</v>
      </c>
      <c r="S16" s="6">
        <v>0</v>
      </c>
      <c r="T16" s="6">
        <v>25</v>
      </c>
      <c r="U16" s="6">
        <v>0</v>
      </c>
      <c r="V16" s="6">
        <f>IF(ISERROR(VLOOKUP($S$16,'TAR FIN'!$A$1:$O$95,15,0)),0,VLOOKUP($S$16,'TAR FIN'!$A$1:$O$95,15,0))</f>
        <v>0</v>
      </c>
      <c r="W16" s="6">
        <f>IF(ISERROR(VLOOKUP($T$16,'TAR FIN'!$A$1:$O$95,15,0)),0,VLOOKUP($T$16,'TAR FIN'!$A$1:$O$95,15,0))</f>
        <v>52.77</v>
      </c>
      <c r="X16" s="6">
        <f>IF(ISERROR(VLOOKUP($U$16,'TAR FIN'!$A$1:$O$95,15,0)),0,VLOOKUP($U$16,'TAR FIN'!$A$1:$O$95,15,0))</f>
        <v>0</v>
      </c>
      <c r="Y16" s="6"/>
      <c r="Z16" s="6">
        <f ca="1">('TUSD BE'!$AM$7+'TUSD BF'!$AM$7+'TUSD CVA'!$AM$7)*1</f>
        <v>66.362434908719237</v>
      </c>
      <c r="AA16" s="6"/>
      <c r="AB16" s="6">
        <f>$K$16*$V$16</f>
        <v>0</v>
      </c>
      <c r="AC16" s="6">
        <f>$M$16*$W$16</f>
        <v>101748.47550000002</v>
      </c>
      <c r="AD16" s="6">
        <f>$O$16*$X$16</f>
        <v>0</v>
      </c>
      <c r="AE16" s="6">
        <f>$K$16*$Y$16</f>
        <v>0</v>
      </c>
      <c r="AF16" s="6">
        <f ca="1">$M$16*$Z$16</f>
        <v>127956.728869247</v>
      </c>
      <c r="AG16" s="6">
        <f>$O$16*$AA$16</f>
        <v>0</v>
      </c>
    </row>
    <row r="17" spans="1:33" ht="11.25" customHeight="1" x14ac:dyDescent="0.25">
      <c r="A17" s="4" t="s">
        <v>21</v>
      </c>
      <c r="B17" s="4" t="s">
        <v>43</v>
      </c>
      <c r="C17" s="4" t="s">
        <v>44</v>
      </c>
      <c r="D17" s="4" t="s">
        <v>45</v>
      </c>
      <c r="E17" s="4" t="s">
        <v>25</v>
      </c>
      <c r="F17" s="4" t="s">
        <v>25</v>
      </c>
      <c r="G17" s="4" t="s">
        <v>25</v>
      </c>
      <c r="H17" s="4" t="s">
        <v>25</v>
      </c>
      <c r="I17" s="5">
        <v>44228</v>
      </c>
      <c r="J17" s="6">
        <v>0</v>
      </c>
      <c r="K17" s="6">
        <v>0</v>
      </c>
      <c r="L17" s="6">
        <v>1800.48</v>
      </c>
      <c r="M17" s="6">
        <v>1800.48</v>
      </c>
      <c r="N17" s="6">
        <v>0</v>
      </c>
      <c r="O17" s="6">
        <v>0</v>
      </c>
      <c r="P17" s="6">
        <v>3</v>
      </c>
      <c r="Q17" s="4" t="s">
        <v>60</v>
      </c>
      <c r="R17" s="4">
        <v>0</v>
      </c>
      <c r="S17" s="6">
        <v>0</v>
      </c>
      <c r="T17" s="6">
        <v>25</v>
      </c>
      <c r="U17" s="6">
        <v>0</v>
      </c>
      <c r="V17" s="6">
        <f>IF(ISERROR(VLOOKUP($S$17,'TAR FIN'!$A$1:$O$95,15,0)),0,VLOOKUP($S$17,'TAR FIN'!$A$1:$O$95,15,0))</f>
        <v>0</v>
      </c>
      <c r="W17" s="6">
        <f>IF(ISERROR(VLOOKUP($T$17,'TAR FIN'!$A$1:$O$95,15,0)),0,VLOOKUP($T$17,'TAR FIN'!$A$1:$O$95,15,0))</f>
        <v>52.77</v>
      </c>
      <c r="X17" s="6">
        <f>IF(ISERROR(VLOOKUP($U$17,'TAR FIN'!$A$1:$O$95,15,0)),0,VLOOKUP($U$17,'TAR FIN'!$A$1:$O$95,15,0))</f>
        <v>0</v>
      </c>
      <c r="Y17" s="6"/>
      <c r="Z17" s="6">
        <f ca="1">('TUSD BE'!$AM$7+'TUSD BF'!$AM$7+'TUSD CVA'!$AM$7)*1</f>
        <v>66.362434908719237</v>
      </c>
      <c r="AA17" s="6"/>
      <c r="AB17" s="6">
        <f>$K$17*$V$17</f>
        <v>0</v>
      </c>
      <c r="AC17" s="6">
        <f>$M$17*$W$17</f>
        <v>95011.329600000012</v>
      </c>
      <c r="AD17" s="6">
        <f>$O$17*$X$17</f>
        <v>0</v>
      </c>
      <c r="AE17" s="6">
        <f>$K$17*$Y$17</f>
        <v>0</v>
      </c>
      <c r="AF17" s="6">
        <f ca="1">$M$17*$Z$17</f>
        <v>119484.23680445082</v>
      </c>
      <c r="AG17" s="6">
        <f>$O$17*$AA$17</f>
        <v>0</v>
      </c>
    </row>
    <row r="18" spans="1:33" ht="11.25" customHeight="1" x14ac:dyDescent="0.25">
      <c r="A18" s="4" t="s">
        <v>21</v>
      </c>
      <c r="B18" s="4" t="s">
        <v>43</v>
      </c>
      <c r="C18" s="4" t="s">
        <v>44</v>
      </c>
      <c r="D18" s="4" t="s">
        <v>45</v>
      </c>
      <c r="E18" s="4" t="s">
        <v>25</v>
      </c>
      <c r="F18" s="4" t="s">
        <v>25</v>
      </c>
      <c r="G18" s="4" t="s">
        <v>25</v>
      </c>
      <c r="H18" s="4" t="s">
        <v>25</v>
      </c>
      <c r="I18" s="5">
        <v>44256</v>
      </c>
      <c r="J18" s="6">
        <v>0</v>
      </c>
      <c r="K18" s="6">
        <v>0</v>
      </c>
      <c r="L18" s="6">
        <v>3124.4</v>
      </c>
      <c r="M18" s="6">
        <v>3124.4</v>
      </c>
      <c r="N18" s="6">
        <v>0</v>
      </c>
      <c r="O18" s="6">
        <v>0</v>
      </c>
      <c r="P18" s="6">
        <v>3</v>
      </c>
      <c r="Q18" s="4" t="s">
        <v>60</v>
      </c>
      <c r="R18" s="4">
        <v>0</v>
      </c>
      <c r="S18" s="6">
        <v>0</v>
      </c>
      <c r="T18" s="6">
        <v>25</v>
      </c>
      <c r="U18" s="6">
        <v>0</v>
      </c>
      <c r="V18" s="6">
        <f>IF(ISERROR(VLOOKUP($S$18,'TAR FIN'!$A$1:$O$95,15,0)),0,VLOOKUP($S$18,'TAR FIN'!$A$1:$O$95,15,0))</f>
        <v>0</v>
      </c>
      <c r="W18" s="6">
        <f>IF(ISERROR(VLOOKUP($T$18,'TAR FIN'!$A$1:$O$95,15,0)),0,VLOOKUP($T$18,'TAR FIN'!$A$1:$O$95,15,0))</f>
        <v>52.77</v>
      </c>
      <c r="X18" s="6">
        <f>IF(ISERROR(VLOOKUP($U$18,'TAR FIN'!$A$1:$O$95,15,0)),0,VLOOKUP($U$18,'TAR FIN'!$A$1:$O$95,15,0))</f>
        <v>0</v>
      </c>
      <c r="Y18" s="6"/>
      <c r="Z18" s="6">
        <f ca="1">('TUSD BE'!$AM$7+'TUSD BF'!$AM$7+'TUSD CVA'!$AM$7)*1</f>
        <v>66.362434908719237</v>
      </c>
      <c r="AA18" s="6"/>
      <c r="AB18" s="6">
        <f>$K$18*$V$18</f>
        <v>0</v>
      </c>
      <c r="AC18" s="6">
        <f>$M$18*$W$18</f>
        <v>164874.58800000002</v>
      </c>
      <c r="AD18" s="6">
        <f>$O$18*$X$18</f>
        <v>0</v>
      </c>
      <c r="AE18" s="6">
        <f>$K$18*$Y$18</f>
        <v>0</v>
      </c>
      <c r="AF18" s="6">
        <f ca="1">$M$18*$Z$18</f>
        <v>207342.7916288024</v>
      </c>
      <c r="AG18" s="6">
        <f>$O$18*$AA$18</f>
        <v>0</v>
      </c>
    </row>
    <row r="19" spans="1:33" ht="11.25" customHeight="1" x14ac:dyDescent="0.25">
      <c r="A19" s="4" t="s">
        <v>21</v>
      </c>
      <c r="B19" s="4" t="s">
        <v>43</v>
      </c>
      <c r="C19" s="4" t="s">
        <v>44</v>
      </c>
      <c r="D19" s="4" t="s">
        <v>45</v>
      </c>
      <c r="E19" s="4" t="s">
        <v>25</v>
      </c>
      <c r="F19" s="4" t="s">
        <v>25</v>
      </c>
      <c r="G19" s="4" t="s">
        <v>25</v>
      </c>
      <c r="H19" s="4" t="s">
        <v>25</v>
      </c>
      <c r="I19" s="5">
        <v>44287</v>
      </c>
      <c r="J19" s="6">
        <v>0</v>
      </c>
      <c r="K19" s="6">
        <v>0</v>
      </c>
      <c r="L19" s="6">
        <v>3523.52</v>
      </c>
      <c r="M19" s="6">
        <v>3523.52</v>
      </c>
      <c r="N19" s="6">
        <v>0</v>
      </c>
      <c r="O19" s="6">
        <v>0</v>
      </c>
      <c r="P19" s="6">
        <v>3</v>
      </c>
      <c r="Q19" s="4" t="s">
        <v>60</v>
      </c>
      <c r="R19" s="4">
        <v>0</v>
      </c>
      <c r="S19" s="6">
        <v>0</v>
      </c>
      <c r="T19" s="6">
        <v>25</v>
      </c>
      <c r="U19" s="6">
        <v>0</v>
      </c>
      <c r="V19" s="6">
        <f>IF(ISERROR(VLOOKUP($S$19,'TAR FIN'!$A$1:$O$95,15,0)),0,VLOOKUP($S$19,'TAR FIN'!$A$1:$O$95,15,0))</f>
        <v>0</v>
      </c>
      <c r="W19" s="6">
        <f>IF(ISERROR(VLOOKUP($T$19,'TAR FIN'!$A$1:$O$95,15,0)),0,VLOOKUP($T$19,'TAR FIN'!$A$1:$O$95,15,0))</f>
        <v>52.77</v>
      </c>
      <c r="X19" s="6">
        <f>IF(ISERROR(VLOOKUP($U$19,'TAR FIN'!$A$1:$O$95,15,0)),0,VLOOKUP($U$19,'TAR FIN'!$A$1:$O$95,15,0))</f>
        <v>0</v>
      </c>
      <c r="Y19" s="6"/>
      <c r="Z19" s="6">
        <f ca="1">('TUSD BE'!$AM$7+'TUSD BF'!$AM$7+'TUSD CVA'!$AM$7)*1</f>
        <v>66.362434908719237</v>
      </c>
      <c r="AA19" s="6"/>
      <c r="AB19" s="6">
        <f>$K$19*$V$19</f>
        <v>0</v>
      </c>
      <c r="AC19" s="6">
        <f>$M$19*$W$19</f>
        <v>185936.15040000001</v>
      </c>
      <c r="AD19" s="6">
        <f>$O$19*$X$19</f>
        <v>0</v>
      </c>
      <c r="AE19" s="6">
        <f>$K$19*$Y$19</f>
        <v>0</v>
      </c>
      <c r="AF19" s="6">
        <f ca="1">$M$19*$Z$19</f>
        <v>233829.36664957041</v>
      </c>
      <c r="AG19" s="6">
        <f>$O$19*$AA$19</f>
        <v>0</v>
      </c>
    </row>
    <row r="20" spans="1:33" ht="11.25" customHeight="1" x14ac:dyDescent="0.25">
      <c r="A20" s="4" t="s">
        <v>21</v>
      </c>
      <c r="B20" s="4" t="s">
        <v>43</v>
      </c>
      <c r="C20" s="4" t="s">
        <v>44</v>
      </c>
      <c r="D20" s="4" t="s">
        <v>45</v>
      </c>
      <c r="E20" s="4" t="s">
        <v>25</v>
      </c>
      <c r="F20" s="4" t="s">
        <v>25</v>
      </c>
      <c r="G20" s="4" t="s">
        <v>25</v>
      </c>
      <c r="H20" s="4" t="s">
        <v>25</v>
      </c>
      <c r="I20" s="5">
        <v>44317</v>
      </c>
      <c r="J20" s="6">
        <v>0</v>
      </c>
      <c r="K20" s="6">
        <v>0</v>
      </c>
      <c r="L20" s="6">
        <v>4059.7350000000001</v>
      </c>
      <c r="M20" s="6">
        <v>4059.7350000000001</v>
      </c>
      <c r="N20" s="6">
        <v>0</v>
      </c>
      <c r="O20" s="6">
        <v>0</v>
      </c>
      <c r="P20" s="6">
        <v>3</v>
      </c>
      <c r="Q20" s="4" t="s">
        <v>60</v>
      </c>
      <c r="R20" s="4">
        <v>0</v>
      </c>
      <c r="S20" s="6">
        <v>0</v>
      </c>
      <c r="T20" s="6">
        <v>25</v>
      </c>
      <c r="U20" s="6">
        <v>0</v>
      </c>
      <c r="V20" s="6">
        <f>IF(ISERROR(VLOOKUP($S$20,'TAR FIN'!$A$1:$O$95,15,0)),0,VLOOKUP($S$20,'TAR FIN'!$A$1:$O$95,15,0))</f>
        <v>0</v>
      </c>
      <c r="W20" s="6">
        <f>IF(ISERROR(VLOOKUP($T$20,'TAR FIN'!$A$1:$O$95,15,0)),0,VLOOKUP($T$20,'TAR FIN'!$A$1:$O$95,15,0))</f>
        <v>52.77</v>
      </c>
      <c r="X20" s="6">
        <f>IF(ISERROR(VLOOKUP($U$20,'TAR FIN'!$A$1:$O$95,15,0)),0,VLOOKUP($U$20,'TAR FIN'!$A$1:$O$95,15,0))</f>
        <v>0</v>
      </c>
      <c r="Y20" s="6"/>
      <c r="Z20" s="6">
        <f ca="1">('TUSD BE'!$AM$7+'TUSD BF'!$AM$7+'TUSD CVA'!$AM$7)*1</f>
        <v>66.362434908719237</v>
      </c>
      <c r="AA20" s="6"/>
      <c r="AB20" s="6">
        <f>$K$20*$V$20</f>
        <v>0</v>
      </c>
      <c r="AC20" s="6">
        <f>$M$20*$W$20</f>
        <v>214232.21595000001</v>
      </c>
      <c r="AD20" s="6">
        <f>$O$20*$X$20</f>
        <v>0</v>
      </c>
      <c r="AE20" s="6">
        <f>$K$20*$Y$20</f>
        <v>0</v>
      </c>
      <c r="AF20" s="6">
        <f ca="1">$M$20*$Z$20</f>
        <v>269413.89968414931</v>
      </c>
      <c r="AG20" s="6">
        <f>$O$20*$AA$20</f>
        <v>0</v>
      </c>
    </row>
    <row r="21" spans="1:33" ht="11.25" customHeight="1" x14ac:dyDescent="0.25">
      <c r="A21" s="4" t="s">
        <v>21</v>
      </c>
      <c r="B21" s="4" t="s">
        <v>43</v>
      </c>
      <c r="C21" s="4" t="s">
        <v>44</v>
      </c>
      <c r="D21" s="4" t="s">
        <v>45</v>
      </c>
      <c r="E21" s="4" t="s">
        <v>25</v>
      </c>
      <c r="F21" s="4" t="s">
        <v>25</v>
      </c>
      <c r="G21" s="4" t="s">
        <v>25</v>
      </c>
      <c r="H21" s="4" t="s">
        <v>25</v>
      </c>
      <c r="I21" s="5">
        <v>44348</v>
      </c>
      <c r="J21" s="6">
        <v>0</v>
      </c>
      <c r="K21" s="6">
        <v>0</v>
      </c>
      <c r="L21" s="6">
        <v>1928.15</v>
      </c>
      <c r="M21" s="6">
        <v>1928.15</v>
      </c>
      <c r="N21" s="6">
        <v>0</v>
      </c>
      <c r="O21" s="6">
        <v>0</v>
      </c>
      <c r="P21" s="6">
        <v>3</v>
      </c>
      <c r="Q21" s="4" t="s">
        <v>60</v>
      </c>
      <c r="R21" s="4">
        <v>0</v>
      </c>
      <c r="S21" s="6">
        <v>0</v>
      </c>
      <c r="T21" s="6">
        <v>25</v>
      </c>
      <c r="U21" s="6">
        <v>0</v>
      </c>
      <c r="V21" s="6">
        <f>IF(ISERROR(VLOOKUP($S$21,'TAR FIN'!$A$1:$O$95,15,0)),0,VLOOKUP($S$21,'TAR FIN'!$A$1:$O$95,15,0))</f>
        <v>0</v>
      </c>
      <c r="W21" s="6">
        <f>IF(ISERROR(VLOOKUP($T$21,'TAR FIN'!$A$1:$O$95,15,0)),0,VLOOKUP($T$21,'TAR FIN'!$A$1:$O$95,15,0))</f>
        <v>52.77</v>
      </c>
      <c r="X21" s="6">
        <f>IF(ISERROR(VLOOKUP($U$21,'TAR FIN'!$A$1:$O$95,15,0)),0,VLOOKUP($U$21,'TAR FIN'!$A$1:$O$95,15,0))</f>
        <v>0</v>
      </c>
      <c r="Y21" s="6"/>
      <c r="Z21" s="6">
        <f ca="1">('TUSD BE'!$AM$7+'TUSD BF'!$AM$7+'TUSD CVA'!$AM$7)*1</f>
        <v>66.362434908719237</v>
      </c>
      <c r="AA21" s="6"/>
      <c r="AB21" s="6">
        <f>$K$21*$V$21</f>
        <v>0</v>
      </c>
      <c r="AC21" s="6">
        <f>$M$21*$W$21</f>
        <v>101748.47550000002</v>
      </c>
      <c r="AD21" s="6">
        <f>$O$21*$X$21</f>
        <v>0</v>
      </c>
      <c r="AE21" s="6">
        <f>$K$21*$Y$21</f>
        <v>0</v>
      </c>
      <c r="AF21" s="6">
        <f ca="1">$M$21*$Z$21</f>
        <v>127956.728869247</v>
      </c>
      <c r="AG21" s="6">
        <f>$O$21*$AA$21</f>
        <v>0</v>
      </c>
    </row>
    <row r="22" spans="1:33" ht="11.25" customHeight="1" x14ac:dyDescent="0.25">
      <c r="A22" s="4" t="s">
        <v>21</v>
      </c>
      <c r="B22" s="4" t="s">
        <v>43</v>
      </c>
      <c r="C22" s="4" t="s">
        <v>44</v>
      </c>
      <c r="D22" s="4" t="s">
        <v>45</v>
      </c>
      <c r="E22" s="4" t="s">
        <v>25</v>
      </c>
      <c r="F22" s="4" t="s">
        <v>25</v>
      </c>
      <c r="G22" s="4" t="s">
        <v>25</v>
      </c>
      <c r="H22" s="4" t="s">
        <v>25</v>
      </c>
      <c r="I22" s="5">
        <v>44378</v>
      </c>
      <c r="J22" s="6">
        <v>0</v>
      </c>
      <c r="K22" s="6">
        <v>0</v>
      </c>
      <c r="L22" s="6">
        <v>4466.1099999999997</v>
      </c>
      <c r="M22" s="6">
        <v>4466.1099999999997</v>
      </c>
      <c r="N22" s="6">
        <v>0</v>
      </c>
      <c r="O22" s="6">
        <v>0</v>
      </c>
      <c r="P22" s="6">
        <v>3</v>
      </c>
      <c r="Q22" s="4" t="s">
        <v>60</v>
      </c>
      <c r="R22" s="4">
        <v>0</v>
      </c>
      <c r="S22" s="6">
        <v>0</v>
      </c>
      <c r="T22" s="6">
        <v>25</v>
      </c>
      <c r="U22" s="6">
        <v>0</v>
      </c>
      <c r="V22" s="6">
        <f>IF(ISERROR(VLOOKUP($S$22,'TAR FIN'!$A$1:$O$95,15,0)),0,VLOOKUP($S$22,'TAR FIN'!$A$1:$O$95,15,0))</f>
        <v>0</v>
      </c>
      <c r="W22" s="6">
        <f>IF(ISERROR(VLOOKUP($T$22,'TAR FIN'!$A$1:$O$95,15,0)),0,VLOOKUP($T$22,'TAR FIN'!$A$1:$O$95,15,0))</f>
        <v>52.77</v>
      </c>
      <c r="X22" s="6">
        <f>IF(ISERROR(VLOOKUP($U$22,'TAR FIN'!$A$1:$O$95,15,0)),0,VLOOKUP($U$22,'TAR FIN'!$A$1:$O$95,15,0))</f>
        <v>0</v>
      </c>
      <c r="Y22" s="6"/>
      <c r="Z22" s="6">
        <f ca="1">('TUSD BE'!$AM$7+'TUSD BF'!$AM$7+'TUSD CVA'!$AM$7)*1</f>
        <v>66.362434908719237</v>
      </c>
      <c r="AA22" s="6"/>
      <c r="AB22" s="6">
        <f>$K$22*$V$22</f>
        <v>0</v>
      </c>
      <c r="AC22" s="6">
        <f>$M$22*$W$22</f>
        <v>235676.62469999999</v>
      </c>
      <c r="AD22" s="6">
        <f>$O$22*$X$22</f>
        <v>0</v>
      </c>
      <c r="AE22" s="6">
        <f>$K$22*$Y$22</f>
        <v>0</v>
      </c>
      <c r="AF22" s="6">
        <f ca="1">$M$22*$Z$22</f>
        <v>296381.93417018006</v>
      </c>
      <c r="AG22" s="6">
        <f>$O$22*$AA$22</f>
        <v>0</v>
      </c>
    </row>
    <row r="23" spans="1:33" ht="11.25" customHeight="1" x14ac:dyDescent="0.25">
      <c r="A23" s="4" t="s">
        <v>21</v>
      </c>
      <c r="B23" s="4" t="s">
        <v>43</v>
      </c>
      <c r="C23" s="4" t="s">
        <v>44</v>
      </c>
      <c r="D23" s="4" t="s">
        <v>45</v>
      </c>
      <c r="E23" s="4" t="s">
        <v>25</v>
      </c>
      <c r="F23" s="4" t="s">
        <v>25</v>
      </c>
      <c r="G23" s="4" t="s">
        <v>25</v>
      </c>
      <c r="H23" s="4" t="s">
        <v>25</v>
      </c>
      <c r="I23" s="5">
        <v>44409</v>
      </c>
      <c r="J23" s="6">
        <v>0</v>
      </c>
      <c r="K23" s="6">
        <v>0</v>
      </c>
      <c r="L23" s="6">
        <v>4618.585</v>
      </c>
      <c r="M23" s="6">
        <v>4618.585</v>
      </c>
      <c r="N23" s="6">
        <v>0</v>
      </c>
      <c r="O23" s="6">
        <v>0</v>
      </c>
      <c r="P23" s="6">
        <v>3</v>
      </c>
      <c r="Q23" s="4" t="s">
        <v>60</v>
      </c>
      <c r="R23" s="4">
        <v>0</v>
      </c>
      <c r="S23" s="6">
        <v>0</v>
      </c>
      <c r="T23" s="6">
        <v>25</v>
      </c>
      <c r="U23" s="6">
        <v>0</v>
      </c>
      <c r="V23" s="6">
        <f>IF(ISERROR(VLOOKUP($S$23,'TAR FIN'!$A$1:$O$95,15,0)),0,VLOOKUP($S$23,'TAR FIN'!$A$1:$O$95,15,0))</f>
        <v>0</v>
      </c>
      <c r="W23" s="6">
        <f>IF(ISERROR(VLOOKUP($T$23,'TAR FIN'!$A$1:$O$95,15,0)),0,VLOOKUP($T$23,'TAR FIN'!$A$1:$O$95,15,0))</f>
        <v>52.77</v>
      </c>
      <c r="X23" s="6">
        <f>IF(ISERROR(VLOOKUP($U$23,'TAR FIN'!$A$1:$O$95,15,0)),0,VLOOKUP($U$23,'TAR FIN'!$A$1:$O$95,15,0))</f>
        <v>0</v>
      </c>
      <c r="Y23" s="6"/>
      <c r="Z23" s="6">
        <f ca="1">('TUSD BE'!$AM$7+'TUSD BF'!$AM$7+'TUSD CVA'!$AM$7)*1</f>
        <v>66.362434908719237</v>
      </c>
      <c r="AA23" s="6"/>
      <c r="AB23" s="6">
        <f>$K$23*$V$23</f>
        <v>0</v>
      </c>
      <c r="AC23" s="6">
        <f>$M$23*$W$23</f>
        <v>243722.73045</v>
      </c>
      <c r="AD23" s="6">
        <f>$O$23*$X$23</f>
        <v>0</v>
      </c>
      <c r="AE23" s="6">
        <f>$K$23*$Y$23</f>
        <v>0</v>
      </c>
      <c r="AF23" s="6">
        <f ca="1">$M$23*$Z$23</f>
        <v>306500.54643288703</v>
      </c>
      <c r="AG23" s="6">
        <f>$O$23*$AA$23</f>
        <v>0</v>
      </c>
    </row>
    <row r="24" spans="1:33" ht="11.25" customHeight="1" x14ac:dyDescent="0.25">
      <c r="A24" s="4" t="s">
        <v>21</v>
      </c>
      <c r="B24" s="4" t="s">
        <v>43</v>
      </c>
      <c r="C24" s="4" t="s">
        <v>44</v>
      </c>
      <c r="D24" s="4" t="s">
        <v>45</v>
      </c>
      <c r="E24" s="4" t="s">
        <v>25</v>
      </c>
      <c r="F24" s="4" t="s">
        <v>25</v>
      </c>
      <c r="G24" s="4" t="s">
        <v>25</v>
      </c>
      <c r="H24" s="4" t="s">
        <v>25</v>
      </c>
      <c r="I24" s="5">
        <v>44440</v>
      </c>
      <c r="J24" s="6">
        <v>0</v>
      </c>
      <c r="K24" s="6">
        <v>0</v>
      </c>
      <c r="L24" s="6">
        <v>4423.01</v>
      </c>
      <c r="M24" s="6">
        <v>4423.01</v>
      </c>
      <c r="N24" s="6">
        <v>0</v>
      </c>
      <c r="O24" s="6">
        <v>0</v>
      </c>
      <c r="P24" s="6">
        <v>3</v>
      </c>
      <c r="Q24" s="4" t="s">
        <v>60</v>
      </c>
      <c r="R24" s="4">
        <v>0</v>
      </c>
      <c r="S24" s="6">
        <v>0</v>
      </c>
      <c r="T24" s="6">
        <v>25</v>
      </c>
      <c r="U24" s="6">
        <v>0</v>
      </c>
      <c r="V24" s="6">
        <f>IF(ISERROR(VLOOKUP($S$24,'TAR FIN'!$A$1:$O$95,15,0)),0,VLOOKUP($S$24,'TAR FIN'!$A$1:$O$95,15,0))</f>
        <v>0</v>
      </c>
      <c r="W24" s="6">
        <f>IF(ISERROR(VLOOKUP($T$24,'TAR FIN'!$A$1:$O$95,15,0)),0,VLOOKUP($T$24,'TAR FIN'!$A$1:$O$95,15,0))</f>
        <v>52.77</v>
      </c>
      <c r="X24" s="6">
        <f>IF(ISERROR(VLOOKUP($U$24,'TAR FIN'!$A$1:$O$95,15,0)),0,VLOOKUP($U$24,'TAR FIN'!$A$1:$O$95,15,0))</f>
        <v>0</v>
      </c>
      <c r="Y24" s="6"/>
      <c r="Z24" s="6">
        <f ca="1">('TUSD BE'!$AM$7+'TUSD BF'!$AM$7+'TUSD CVA'!$AM$7)*1</f>
        <v>66.362434908719237</v>
      </c>
      <c r="AA24" s="6"/>
      <c r="AB24" s="6">
        <f>$K$24*$V$24</f>
        <v>0</v>
      </c>
      <c r="AC24" s="6">
        <f>$M$24*$W$24</f>
        <v>233402.23770000003</v>
      </c>
      <c r="AD24" s="6">
        <f>$O$24*$X$24</f>
        <v>0</v>
      </c>
      <c r="AE24" s="6">
        <f>$K$24*$Y$24</f>
        <v>0</v>
      </c>
      <c r="AF24" s="6">
        <f ca="1">$M$24*$Z$24</f>
        <v>293521.71322561428</v>
      </c>
      <c r="AG24" s="6">
        <f>$O$24*$AA$24</f>
        <v>0</v>
      </c>
    </row>
    <row r="25" spans="1:33" ht="11.25" customHeight="1" x14ac:dyDescent="0.25">
      <c r="A25" s="4" t="s">
        <v>59</v>
      </c>
      <c r="B25" s="4" t="s">
        <v>43</v>
      </c>
      <c r="C25" s="4" t="s">
        <v>44</v>
      </c>
      <c r="D25" s="4" t="s">
        <v>45</v>
      </c>
      <c r="E25" s="4" t="s">
        <v>25</v>
      </c>
      <c r="F25" s="4" t="s">
        <v>25</v>
      </c>
      <c r="G25" s="4" t="s">
        <v>25</v>
      </c>
      <c r="H25" s="4" t="s">
        <v>25</v>
      </c>
      <c r="I25" s="5">
        <v>44470</v>
      </c>
      <c r="J25" s="6">
        <v>0</v>
      </c>
      <c r="K25" s="6">
        <v>0</v>
      </c>
      <c r="L25" s="6">
        <v>4423.01</v>
      </c>
      <c r="M25" s="6">
        <v>4423.01</v>
      </c>
      <c r="N25" s="6">
        <v>0</v>
      </c>
      <c r="O25" s="6">
        <v>0</v>
      </c>
      <c r="P25" s="6">
        <v>3</v>
      </c>
      <c r="Q25" s="4" t="s">
        <v>60</v>
      </c>
      <c r="R25" s="4">
        <v>0</v>
      </c>
      <c r="S25" s="6">
        <v>0</v>
      </c>
      <c r="T25" s="6">
        <v>25</v>
      </c>
      <c r="U25" s="6">
        <v>0</v>
      </c>
      <c r="V25" s="6">
        <f>IF(ISERROR(VLOOKUP($S$25,'TAR FIN'!$A$1:$O$95,15,0)),0,VLOOKUP($S$25,'TAR FIN'!$A$1:$O$95,15,0))</f>
        <v>0</v>
      </c>
      <c r="W25" s="6">
        <f>IF(ISERROR(VLOOKUP($T$25,'TAR FIN'!$A$1:$O$95,15,0)),0,VLOOKUP($T$25,'TAR FIN'!$A$1:$O$95,15,0))</f>
        <v>52.77</v>
      </c>
      <c r="X25" s="6">
        <f>IF(ISERROR(VLOOKUP($U$25,'TAR FIN'!$A$1:$O$95,15,0)),0,VLOOKUP($U$25,'TAR FIN'!$A$1:$O$95,15,0))</f>
        <v>0</v>
      </c>
      <c r="Y25" s="6"/>
      <c r="Z25" s="6">
        <f ca="1">('TUSD BE'!$AM$7+'TUSD BF'!$AM$7+'TUSD CVA'!$AM$7)*1</f>
        <v>66.362434908719237</v>
      </c>
      <c r="AA25" s="6"/>
      <c r="AB25" s="6">
        <f>$K$25*$V$25</f>
        <v>0</v>
      </c>
      <c r="AC25" s="6">
        <f>$M$25*$W$25</f>
        <v>233402.23770000003</v>
      </c>
      <c r="AD25" s="6">
        <f>$O$25*$X$25</f>
        <v>0</v>
      </c>
      <c r="AE25" s="6">
        <f>$K$25*$Y$25</f>
        <v>0</v>
      </c>
      <c r="AF25" s="6">
        <f ca="1">$M$25*$Z$25</f>
        <v>293521.71322561428</v>
      </c>
      <c r="AG25" s="6">
        <f>$O$25*$AA$25</f>
        <v>0</v>
      </c>
    </row>
    <row r="26" spans="1:33" ht="11.25" customHeight="1" x14ac:dyDescent="0.25">
      <c r="A26" s="4" t="s">
        <v>21</v>
      </c>
      <c r="B26" s="4" t="s">
        <v>43</v>
      </c>
      <c r="C26" s="4" t="s">
        <v>44</v>
      </c>
      <c r="D26" s="4" t="s">
        <v>45</v>
      </c>
      <c r="E26" s="4" t="s">
        <v>25</v>
      </c>
      <c r="F26" s="4" t="s">
        <v>25</v>
      </c>
      <c r="G26" s="4" t="s">
        <v>25</v>
      </c>
      <c r="H26" s="4" t="s">
        <v>37</v>
      </c>
      <c r="I26" s="5">
        <v>44136</v>
      </c>
      <c r="J26" s="6">
        <v>13260</v>
      </c>
      <c r="K26" s="6">
        <v>13260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60</v>
      </c>
      <c r="R26" s="4">
        <v>0</v>
      </c>
      <c r="S26" s="6">
        <v>1</v>
      </c>
      <c r="T26" s="6">
        <v>0</v>
      </c>
      <c r="U26" s="6">
        <v>0</v>
      </c>
      <c r="V26" s="6">
        <f>IF(ISERROR(VLOOKUP($S$26,'TAR FIN'!$A$1:$O$95,15,0)),0,VLOOKUP($S$26,'TAR FIN'!$A$1:$O$95,15,0))</f>
        <v>7.24</v>
      </c>
      <c r="W26" s="6">
        <f>IF(ISERROR(VLOOKUP($T$26,'TAR FIN'!$A$1:$O$95,15,0)),0,VLOOKUP($T$26,'TAR FIN'!$A$1:$O$95,15,0))</f>
        <v>0</v>
      </c>
      <c r="X26" s="6">
        <f>IF(ISERROR(VLOOKUP($U$26,'TAR FIN'!$A$1:$O$95,15,0)),0,VLOOKUP($U$26,'TAR FIN'!$A$1:$O$95,15,0))</f>
        <v>0</v>
      </c>
      <c r="Y26" s="6">
        <f ca="1">('TUSD BE'!$AM$5+'TUSD BF'!$AM$5+'TUSD CVA'!$AM$5)*1</f>
        <v>7.9533527807993183</v>
      </c>
      <c r="Z26" s="6">
        <f ca="1">('TUSD BE'!$AM$7+'TUSD BF'!$AM$7+'TUSD CVA'!$AM$7)*1</f>
        <v>66.362434908719237</v>
      </c>
      <c r="AA26" s="6"/>
      <c r="AB26" s="6">
        <f>$K$26*$V$26</f>
        <v>96002.400000000009</v>
      </c>
      <c r="AC26" s="6">
        <f>$M$26*$W$26</f>
        <v>0</v>
      </c>
      <c r="AD26" s="6">
        <f>$O$26*$X$26</f>
        <v>0</v>
      </c>
      <c r="AE26" s="6">
        <f ca="1">$K$26*$Y$26</f>
        <v>105461.45787339896</v>
      </c>
      <c r="AF26" s="6">
        <f ca="1">$M$26*$Z$26</f>
        <v>0</v>
      </c>
      <c r="AG26" s="6">
        <f>$O$26*$AA$26</f>
        <v>0</v>
      </c>
    </row>
    <row r="27" spans="1:33" ht="11.25" customHeight="1" x14ac:dyDescent="0.25">
      <c r="A27" s="4" t="s">
        <v>21</v>
      </c>
      <c r="B27" s="4" t="s">
        <v>43</v>
      </c>
      <c r="C27" s="4" t="s">
        <v>44</v>
      </c>
      <c r="D27" s="4" t="s">
        <v>45</v>
      </c>
      <c r="E27" s="4" t="s">
        <v>25</v>
      </c>
      <c r="F27" s="4" t="s">
        <v>25</v>
      </c>
      <c r="G27" s="4" t="s">
        <v>25</v>
      </c>
      <c r="H27" s="4" t="s">
        <v>37</v>
      </c>
      <c r="I27" s="5">
        <v>44166</v>
      </c>
      <c r="J27" s="6">
        <v>13260</v>
      </c>
      <c r="K27" s="6">
        <v>13260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60</v>
      </c>
      <c r="R27" s="4">
        <v>0</v>
      </c>
      <c r="S27" s="6">
        <v>1</v>
      </c>
      <c r="T27" s="6">
        <v>0</v>
      </c>
      <c r="U27" s="6">
        <v>0</v>
      </c>
      <c r="V27" s="6">
        <f>IF(ISERROR(VLOOKUP($S$27,'TAR FIN'!$A$1:$O$95,15,0)),0,VLOOKUP($S$27,'TAR FIN'!$A$1:$O$95,15,0))</f>
        <v>7.24</v>
      </c>
      <c r="W27" s="6">
        <f>IF(ISERROR(VLOOKUP($T$27,'TAR FIN'!$A$1:$O$95,15,0)),0,VLOOKUP($T$27,'TAR FIN'!$A$1:$O$95,15,0))</f>
        <v>0</v>
      </c>
      <c r="X27" s="6">
        <f>IF(ISERROR(VLOOKUP($U$27,'TAR FIN'!$A$1:$O$95,15,0)),0,VLOOKUP($U$27,'TAR FIN'!$A$1:$O$95,15,0))</f>
        <v>0</v>
      </c>
      <c r="Y27" s="6">
        <f ca="1">('TUSD BE'!$AM$5+'TUSD BF'!$AM$5+'TUSD CVA'!$AM$5)*1</f>
        <v>7.9533527807993183</v>
      </c>
      <c r="Z27" s="6">
        <f ca="1">('TUSD BE'!$AM$7+'TUSD BF'!$AM$7+'TUSD CVA'!$AM$7)*1</f>
        <v>66.362434908719237</v>
      </c>
      <c r="AA27" s="6"/>
      <c r="AB27" s="6">
        <f>$K$27*$V$27</f>
        <v>96002.400000000009</v>
      </c>
      <c r="AC27" s="6">
        <f>$M$27*$W$27</f>
        <v>0</v>
      </c>
      <c r="AD27" s="6">
        <f>$O$27*$X$27</f>
        <v>0</v>
      </c>
      <c r="AE27" s="6">
        <f ca="1">$K$27*$Y$27</f>
        <v>105461.45787339896</v>
      </c>
      <c r="AF27" s="6">
        <f ca="1">$M$27*$Z$27</f>
        <v>0</v>
      </c>
      <c r="AG27" s="6">
        <f>$O$27*$AA$27</f>
        <v>0</v>
      </c>
    </row>
    <row r="28" spans="1:33" ht="11.25" customHeight="1" x14ac:dyDescent="0.25">
      <c r="A28" s="4" t="s">
        <v>21</v>
      </c>
      <c r="B28" s="4" t="s">
        <v>43</v>
      </c>
      <c r="C28" s="4" t="s">
        <v>44</v>
      </c>
      <c r="D28" s="4" t="s">
        <v>45</v>
      </c>
      <c r="E28" s="4" t="s">
        <v>25</v>
      </c>
      <c r="F28" s="4" t="s">
        <v>25</v>
      </c>
      <c r="G28" s="4" t="s">
        <v>25</v>
      </c>
      <c r="H28" s="4" t="s">
        <v>37</v>
      </c>
      <c r="I28" s="5">
        <v>44197</v>
      </c>
      <c r="J28" s="6">
        <v>12260</v>
      </c>
      <c r="K28" s="6">
        <v>12260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60</v>
      </c>
      <c r="R28" s="4">
        <v>0</v>
      </c>
      <c r="S28" s="6">
        <v>1</v>
      </c>
      <c r="T28" s="6">
        <v>0</v>
      </c>
      <c r="U28" s="6">
        <v>0</v>
      </c>
      <c r="V28" s="6">
        <f>IF(ISERROR(VLOOKUP($S$28,'TAR FIN'!$A$1:$O$95,15,0)),0,VLOOKUP($S$28,'TAR FIN'!$A$1:$O$95,15,0))</f>
        <v>7.24</v>
      </c>
      <c r="W28" s="6">
        <f>IF(ISERROR(VLOOKUP($T$28,'TAR FIN'!$A$1:$O$95,15,0)),0,VLOOKUP($T$28,'TAR FIN'!$A$1:$O$95,15,0))</f>
        <v>0</v>
      </c>
      <c r="X28" s="6">
        <f>IF(ISERROR(VLOOKUP($U$28,'TAR FIN'!$A$1:$O$95,15,0)),0,VLOOKUP($U$28,'TAR FIN'!$A$1:$O$95,15,0))</f>
        <v>0</v>
      </c>
      <c r="Y28" s="6">
        <f ca="1">('TUSD BE'!$AM$5+'TUSD BF'!$AM$5+'TUSD CVA'!$AM$5)*1</f>
        <v>7.9533527807993183</v>
      </c>
      <c r="Z28" s="6">
        <f ca="1">('TUSD BE'!$AM$7+'TUSD BF'!$AM$7+'TUSD CVA'!$AM$7)*1</f>
        <v>66.362434908719237</v>
      </c>
      <c r="AA28" s="6"/>
      <c r="AB28" s="6">
        <f>$K$28*$V$28</f>
        <v>88762.400000000009</v>
      </c>
      <c r="AC28" s="6">
        <f>$M$28*$W$28</f>
        <v>0</v>
      </c>
      <c r="AD28" s="6">
        <f>$O$28*$X$28</f>
        <v>0</v>
      </c>
      <c r="AE28" s="6">
        <f ca="1">$K$28*$Y$28</f>
        <v>97508.105092599639</v>
      </c>
      <c r="AF28" s="6">
        <f ca="1">$M$28*$Z$28</f>
        <v>0</v>
      </c>
      <c r="AG28" s="6">
        <f>$O$28*$AA$28</f>
        <v>0</v>
      </c>
    </row>
    <row r="29" spans="1:33" ht="11.25" customHeight="1" x14ac:dyDescent="0.25">
      <c r="A29" s="4" t="s">
        <v>21</v>
      </c>
      <c r="B29" s="4" t="s">
        <v>43</v>
      </c>
      <c r="C29" s="4" t="s">
        <v>44</v>
      </c>
      <c r="D29" s="4" t="s">
        <v>45</v>
      </c>
      <c r="E29" s="4" t="s">
        <v>25</v>
      </c>
      <c r="F29" s="4" t="s">
        <v>25</v>
      </c>
      <c r="G29" s="4" t="s">
        <v>25</v>
      </c>
      <c r="H29" s="4" t="s">
        <v>37</v>
      </c>
      <c r="I29" s="5">
        <v>44228</v>
      </c>
      <c r="J29" s="6">
        <v>12260</v>
      </c>
      <c r="K29" s="6">
        <v>12260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60</v>
      </c>
      <c r="R29" s="4">
        <v>0</v>
      </c>
      <c r="S29" s="6">
        <v>1</v>
      </c>
      <c r="T29" s="6">
        <v>0</v>
      </c>
      <c r="U29" s="6">
        <v>0</v>
      </c>
      <c r="V29" s="6">
        <f>IF(ISERROR(VLOOKUP($S$29,'TAR FIN'!$A$1:$O$95,15,0)),0,VLOOKUP($S$29,'TAR FIN'!$A$1:$O$95,15,0))</f>
        <v>7.24</v>
      </c>
      <c r="W29" s="6">
        <f>IF(ISERROR(VLOOKUP($T$29,'TAR FIN'!$A$1:$O$95,15,0)),0,VLOOKUP($T$29,'TAR FIN'!$A$1:$O$95,15,0))</f>
        <v>0</v>
      </c>
      <c r="X29" s="6">
        <f>IF(ISERROR(VLOOKUP($U$29,'TAR FIN'!$A$1:$O$95,15,0)),0,VLOOKUP($U$29,'TAR FIN'!$A$1:$O$95,15,0))</f>
        <v>0</v>
      </c>
      <c r="Y29" s="6">
        <f ca="1">('TUSD BE'!$AM$5+'TUSD BF'!$AM$5+'TUSD CVA'!$AM$5)*1</f>
        <v>7.9533527807993183</v>
      </c>
      <c r="Z29" s="6">
        <f ca="1">('TUSD BE'!$AM$7+'TUSD BF'!$AM$7+'TUSD CVA'!$AM$7)*1</f>
        <v>66.362434908719237</v>
      </c>
      <c r="AA29" s="6"/>
      <c r="AB29" s="6">
        <f>$K$29*$V$29</f>
        <v>88762.400000000009</v>
      </c>
      <c r="AC29" s="6">
        <f>$M$29*$W$29</f>
        <v>0</v>
      </c>
      <c r="AD29" s="6">
        <f>$O$29*$X$29</f>
        <v>0</v>
      </c>
      <c r="AE29" s="6">
        <f ca="1">$K$29*$Y$29</f>
        <v>97508.105092599639</v>
      </c>
      <c r="AF29" s="6">
        <f ca="1">$M$29*$Z$29</f>
        <v>0</v>
      </c>
      <c r="AG29" s="6">
        <f>$O$29*$AA$29</f>
        <v>0</v>
      </c>
    </row>
    <row r="30" spans="1:33" ht="11.25" customHeight="1" x14ac:dyDescent="0.25">
      <c r="A30" s="4" t="s">
        <v>21</v>
      </c>
      <c r="B30" s="4" t="s">
        <v>43</v>
      </c>
      <c r="C30" s="4" t="s">
        <v>44</v>
      </c>
      <c r="D30" s="4" t="s">
        <v>45</v>
      </c>
      <c r="E30" s="4" t="s">
        <v>25</v>
      </c>
      <c r="F30" s="4" t="s">
        <v>25</v>
      </c>
      <c r="G30" s="4" t="s">
        <v>25</v>
      </c>
      <c r="H30" s="4" t="s">
        <v>37</v>
      </c>
      <c r="I30" s="5">
        <v>44256</v>
      </c>
      <c r="J30" s="6">
        <v>12260</v>
      </c>
      <c r="K30" s="6">
        <v>12260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60</v>
      </c>
      <c r="R30" s="4">
        <v>0</v>
      </c>
      <c r="S30" s="6">
        <v>1</v>
      </c>
      <c r="T30" s="6">
        <v>0</v>
      </c>
      <c r="U30" s="6">
        <v>0</v>
      </c>
      <c r="V30" s="6">
        <f>IF(ISERROR(VLOOKUP($S$30,'TAR FIN'!$A$1:$O$95,15,0)),0,VLOOKUP($S$30,'TAR FIN'!$A$1:$O$95,15,0))</f>
        <v>7.24</v>
      </c>
      <c r="W30" s="6">
        <f>IF(ISERROR(VLOOKUP($T$30,'TAR FIN'!$A$1:$O$95,15,0)),0,VLOOKUP($T$30,'TAR FIN'!$A$1:$O$95,15,0))</f>
        <v>0</v>
      </c>
      <c r="X30" s="6">
        <f>IF(ISERROR(VLOOKUP($U$30,'TAR FIN'!$A$1:$O$95,15,0)),0,VLOOKUP($U$30,'TAR FIN'!$A$1:$O$95,15,0))</f>
        <v>0</v>
      </c>
      <c r="Y30" s="6">
        <f ca="1">('TUSD BE'!$AM$5+'TUSD BF'!$AM$5+'TUSD CVA'!$AM$5)*1</f>
        <v>7.9533527807993183</v>
      </c>
      <c r="Z30" s="6">
        <f ca="1">('TUSD BE'!$AM$7+'TUSD BF'!$AM$7+'TUSD CVA'!$AM$7)*1</f>
        <v>66.362434908719237</v>
      </c>
      <c r="AA30" s="6"/>
      <c r="AB30" s="6">
        <f>$K$30*$V$30</f>
        <v>88762.400000000009</v>
      </c>
      <c r="AC30" s="6">
        <f>$M$30*$W$30</f>
        <v>0</v>
      </c>
      <c r="AD30" s="6">
        <f>$O$30*$X$30</f>
        <v>0</v>
      </c>
      <c r="AE30" s="6">
        <f ca="1">$K$30*$Y$30</f>
        <v>97508.105092599639</v>
      </c>
      <c r="AF30" s="6">
        <f ca="1">$M$30*$Z$30</f>
        <v>0</v>
      </c>
      <c r="AG30" s="6">
        <f>$O$30*$AA$30</f>
        <v>0</v>
      </c>
    </row>
    <row r="31" spans="1:33" ht="11.25" customHeight="1" x14ac:dyDescent="0.25">
      <c r="A31" s="4" t="s">
        <v>21</v>
      </c>
      <c r="B31" s="4" t="s">
        <v>43</v>
      </c>
      <c r="C31" s="4" t="s">
        <v>44</v>
      </c>
      <c r="D31" s="4" t="s">
        <v>45</v>
      </c>
      <c r="E31" s="4" t="s">
        <v>25</v>
      </c>
      <c r="F31" s="4" t="s">
        <v>25</v>
      </c>
      <c r="G31" s="4" t="s">
        <v>25</v>
      </c>
      <c r="H31" s="4" t="s">
        <v>37</v>
      </c>
      <c r="I31" s="5">
        <v>44287</v>
      </c>
      <c r="J31" s="6">
        <v>12260</v>
      </c>
      <c r="K31" s="6">
        <v>12260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60</v>
      </c>
      <c r="R31" s="4">
        <v>0</v>
      </c>
      <c r="S31" s="6">
        <v>1</v>
      </c>
      <c r="T31" s="6">
        <v>0</v>
      </c>
      <c r="U31" s="6">
        <v>0</v>
      </c>
      <c r="V31" s="6">
        <f>IF(ISERROR(VLOOKUP($S$31,'TAR FIN'!$A$1:$O$95,15,0)),0,VLOOKUP($S$31,'TAR FIN'!$A$1:$O$95,15,0))</f>
        <v>7.24</v>
      </c>
      <c r="W31" s="6">
        <f>IF(ISERROR(VLOOKUP($T$31,'TAR FIN'!$A$1:$O$95,15,0)),0,VLOOKUP($T$31,'TAR FIN'!$A$1:$O$95,15,0))</f>
        <v>0</v>
      </c>
      <c r="X31" s="6">
        <f>IF(ISERROR(VLOOKUP($U$31,'TAR FIN'!$A$1:$O$95,15,0)),0,VLOOKUP($U$31,'TAR FIN'!$A$1:$O$95,15,0))</f>
        <v>0</v>
      </c>
      <c r="Y31" s="6">
        <f ca="1">('TUSD BE'!$AM$5+'TUSD BF'!$AM$5+'TUSD CVA'!$AM$5)*1</f>
        <v>7.9533527807993183</v>
      </c>
      <c r="Z31" s="6">
        <f ca="1">('TUSD BE'!$AM$7+'TUSD BF'!$AM$7+'TUSD CVA'!$AM$7)*1</f>
        <v>66.362434908719237</v>
      </c>
      <c r="AA31" s="6"/>
      <c r="AB31" s="6">
        <f>$K$31*$V$31</f>
        <v>88762.400000000009</v>
      </c>
      <c r="AC31" s="6">
        <f>$M$31*$W$31</f>
        <v>0</v>
      </c>
      <c r="AD31" s="6">
        <f>$O$31*$X$31</f>
        <v>0</v>
      </c>
      <c r="AE31" s="6">
        <f ca="1">$K$31*$Y$31</f>
        <v>97508.105092599639</v>
      </c>
      <c r="AF31" s="6">
        <f ca="1">$M$31*$Z$31</f>
        <v>0</v>
      </c>
      <c r="AG31" s="6">
        <f>$O$31*$AA$31</f>
        <v>0</v>
      </c>
    </row>
    <row r="32" spans="1:33" ht="11.25" customHeight="1" x14ac:dyDescent="0.25">
      <c r="A32" s="4" t="s">
        <v>21</v>
      </c>
      <c r="B32" s="4" t="s">
        <v>43</v>
      </c>
      <c r="C32" s="4" t="s">
        <v>44</v>
      </c>
      <c r="D32" s="4" t="s">
        <v>45</v>
      </c>
      <c r="E32" s="4" t="s">
        <v>25</v>
      </c>
      <c r="F32" s="4" t="s">
        <v>25</v>
      </c>
      <c r="G32" s="4" t="s">
        <v>25</v>
      </c>
      <c r="H32" s="4" t="s">
        <v>37</v>
      </c>
      <c r="I32" s="5">
        <v>44317</v>
      </c>
      <c r="J32" s="6">
        <v>12260</v>
      </c>
      <c r="K32" s="6">
        <v>12260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60</v>
      </c>
      <c r="R32" s="4">
        <v>0</v>
      </c>
      <c r="S32" s="6">
        <v>1</v>
      </c>
      <c r="T32" s="6">
        <v>0</v>
      </c>
      <c r="U32" s="6">
        <v>0</v>
      </c>
      <c r="V32" s="6">
        <f>IF(ISERROR(VLOOKUP($S$32,'TAR FIN'!$A$1:$O$95,15,0)),0,VLOOKUP($S$32,'TAR FIN'!$A$1:$O$95,15,0))</f>
        <v>7.24</v>
      </c>
      <c r="W32" s="6">
        <f>IF(ISERROR(VLOOKUP($T$32,'TAR FIN'!$A$1:$O$95,15,0)),0,VLOOKUP($T$32,'TAR FIN'!$A$1:$O$95,15,0))</f>
        <v>0</v>
      </c>
      <c r="X32" s="6">
        <f>IF(ISERROR(VLOOKUP($U$32,'TAR FIN'!$A$1:$O$95,15,0)),0,VLOOKUP($U$32,'TAR FIN'!$A$1:$O$95,15,0))</f>
        <v>0</v>
      </c>
      <c r="Y32" s="6">
        <f ca="1">('TUSD BE'!$AM$5+'TUSD BF'!$AM$5+'TUSD CVA'!$AM$5)*1</f>
        <v>7.9533527807993183</v>
      </c>
      <c r="Z32" s="6">
        <f ca="1">('TUSD BE'!$AM$7+'TUSD BF'!$AM$7+'TUSD CVA'!$AM$7)*1</f>
        <v>66.362434908719237</v>
      </c>
      <c r="AA32" s="6"/>
      <c r="AB32" s="6">
        <f>$K$32*$V$32</f>
        <v>88762.400000000009</v>
      </c>
      <c r="AC32" s="6">
        <f>$M$32*$W$32</f>
        <v>0</v>
      </c>
      <c r="AD32" s="6">
        <f>$O$32*$X$32</f>
        <v>0</v>
      </c>
      <c r="AE32" s="6">
        <f ca="1">$K$32*$Y$32</f>
        <v>97508.105092599639</v>
      </c>
      <c r="AF32" s="6">
        <f ca="1">$M$32*$Z$32</f>
        <v>0</v>
      </c>
      <c r="AG32" s="6">
        <f>$O$32*$AA$32</f>
        <v>0</v>
      </c>
    </row>
    <row r="33" spans="1:33" ht="11.25" customHeight="1" x14ac:dyDescent="0.25">
      <c r="A33" s="4" t="s">
        <v>21</v>
      </c>
      <c r="B33" s="4" t="s">
        <v>43</v>
      </c>
      <c r="C33" s="4" t="s">
        <v>44</v>
      </c>
      <c r="D33" s="4" t="s">
        <v>45</v>
      </c>
      <c r="E33" s="4" t="s">
        <v>25</v>
      </c>
      <c r="F33" s="4" t="s">
        <v>25</v>
      </c>
      <c r="G33" s="4" t="s">
        <v>25</v>
      </c>
      <c r="H33" s="4" t="s">
        <v>37</v>
      </c>
      <c r="I33" s="5">
        <v>44348</v>
      </c>
      <c r="J33" s="6">
        <v>12260</v>
      </c>
      <c r="K33" s="6">
        <v>12260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60</v>
      </c>
      <c r="R33" s="4">
        <v>0</v>
      </c>
      <c r="S33" s="6">
        <v>1</v>
      </c>
      <c r="T33" s="6">
        <v>0</v>
      </c>
      <c r="U33" s="6">
        <v>0</v>
      </c>
      <c r="V33" s="6">
        <f>IF(ISERROR(VLOOKUP($S$33,'TAR FIN'!$A$1:$O$95,15,0)),0,VLOOKUP($S$33,'TAR FIN'!$A$1:$O$95,15,0))</f>
        <v>7.24</v>
      </c>
      <c r="W33" s="6">
        <f>IF(ISERROR(VLOOKUP($T$33,'TAR FIN'!$A$1:$O$95,15,0)),0,VLOOKUP($T$33,'TAR FIN'!$A$1:$O$95,15,0))</f>
        <v>0</v>
      </c>
      <c r="X33" s="6">
        <f>IF(ISERROR(VLOOKUP($U$33,'TAR FIN'!$A$1:$O$95,15,0)),0,VLOOKUP($U$33,'TAR FIN'!$A$1:$O$95,15,0))</f>
        <v>0</v>
      </c>
      <c r="Y33" s="6">
        <f ca="1">('TUSD BE'!$AM$5+'TUSD BF'!$AM$5+'TUSD CVA'!$AM$5)*1</f>
        <v>7.9533527807993183</v>
      </c>
      <c r="Z33" s="6">
        <f ca="1">('TUSD BE'!$AM$7+'TUSD BF'!$AM$7+'TUSD CVA'!$AM$7)*1</f>
        <v>66.362434908719237</v>
      </c>
      <c r="AA33" s="6"/>
      <c r="AB33" s="6">
        <f>$K$33*$V$33</f>
        <v>88762.400000000009</v>
      </c>
      <c r="AC33" s="6">
        <f>$M$33*$W$33</f>
        <v>0</v>
      </c>
      <c r="AD33" s="6">
        <f>$O$33*$X$33</f>
        <v>0</v>
      </c>
      <c r="AE33" s="6">
        <f ca="1">$K$33*$Y$33</f>
        <v>97508.105092599639</v>
      </c>
      <c r="AF33" s="6">
        <f ca="1">$M$33*$Z$33</f>
        <v>0</v>
      </c>
      <c r="AG33" s="6">
        <f>$O$33*$AA$33</f>
        <v>0</v>
      </c>
    </row>
    <row r="34" spans="1:33" ht="11.25" customHeight="1" x14ac:dyDescent="0.25">
      <c r="A34" s="4" t="s">
        <v>21</v>
      </c>
      <c r="B34" s="4" t="s">
        <v>43</v>
      </c>
      <c r="C34" s="4" t="s">
        <v>44</v>
      </c>
      <c r="D34" s="4" t="s">
        <v>45</v>
      </c>
      <c r="E34" s="4" t="s">
        <v>25</v>
      </c>
      <c r="F34" s="4" t="s">
        <v>25</v>
      </c>
      <c r="G34" s="4" t="s">
        <v>25</v>
      </c>
      <c r="H34" s="4" t="s">
        <v>37</v>
      </c>
      <c r="I34" s="5">
        <v>44378</v>
      </c>
      <c r="J34" s="6">
        <v>12260</v>
      </c>
      <c r="K34" s="6">
        <v>12260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60</v>
      </c>
      <c r="R34" s="4">
        <v>0</v>
      </c>
      <c r="S34" s="6">
        <v>1</v>
      </c>
      <c r="T34" s="6">
        <v>0</v>
      </c>
      <c r="U34" s="6">
        <v>0</v>
      </c>
      <c r="V34" s="6">
        <f>IF(ISERROR(VLOOKUP($S$34,'TAR FIN'!$A$1:$O$95,15,0)),0,VLOOKUP($S$34,'TAR FIN'!$A$1:$O$95,15,0))</f>
        <v>7.24</v>
      </c>
      <c r="W34" s="6">
        <f>IF(ISERROR(VLOOKUP($T$34,'TAR FIN'!$A$1:$O$95,15,0)),0,VLOOKUP($T$34,'TAR FIN'!$A$1:$O$95,15,0))</f>
        <v>0</v>
      </c>
      <c r="X34" s="6">
        <f>IF(ISERROR(VLOOKUP($U$34,'TAR FIN'!$A$1:$O$95,15,0)),0,VLOOKUP($U$34,'TAR FIN'!$A$1:$O$95,15,0))</f>
        <v>0</v>
      </c>
      <c r="Y34" s="6">
        <f ca="1">('TUSD BE'!$AM$5+'TUSD BF'!$AM$5+'TUSD CVA'!$AM$5)*1</f>
        <v>7.9533527807993183</v>
      </c>
      <c r="Z34" s="6">
        <f ca="1">('TUSD BE'!$AM$7+'TUSD BF'!$AM$7+'TUSD CVA'!$AM$7)*1</f>
        <v>66.362434908719237</v>
      </c>
      <c r="AA34" s="6"/>
      <c r="AB34" s="6">
        <f>$K$34*$V$34</f>
        <v>88762.400000000009</v>
      </c>
      <c r="AC34" s="6">
        <f>$M$34*$W$34</f>
        <v>0</v>
      </c>
      <c r="AD34" s="6">
        <f>$O$34*$X$34</f>
        <v>0</v>
      </c>
      <c r="AE34" s="6">
        <f ca="1">$K$34*$Y$34</f>
        <v>97508.105092599639</v>
      </c>
      <c r="AF34" s="6">
        <f ca="1">$M$34*$Z$34</f>
        <v>0</v>
      </c>
      <c r="AG34" s="6">
        <f>$O$34*$AA$34</f>
        <v>0</v>
      </c>
    </row>
    <row r="35" spans="1:33" ht="11.25" customHeight="1" x14ac:dyDescent="0.25">
      <c r="A35" s="4" t="s">
        <v>21</v>
      </c>
      <c r="B35" s="4" t="s">
        <v>43</v>
      </c>
      <c r="C35" s="4" t="s">
        <v>44</v>
      </c>
      <c r="D35" s="4" t="s">
        <v>45</v>
      </c>
      <c r="E35" s="4" t="s">
        <v>25</v>
      </c>
      <c r="F35" s="4" t="s">
        <v>25</v>
      </c>
      <c r="G35" s="4" t="s">
        <v>25</v>
      </c>
      <c r="H35" s="4" t="s">
        <v>37</v>
      </c>
      <c r="I35" s="5">
        <v>44409</v>
      </c>
      <c r="J35" s="6">
        <v>12260</v>
      </c>
      <c r="K35" s="6">
        <v>12260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60</v>
      </c>
      <c r="R35" s="4">
        <v>0</v>
      </c>
      <c r="S35" s="6">
        <v>1</v>
      </c>
      <c r="T35" s="6">
        <v>0</v>
      </c>
      <c r="U35" s="6">
        <v>0</v>
      </c>
      <c r="V35" s="6">
        <f>IF(ISERROR(VLOOKUP($S$35,'TAR FIN'!$A$1:$O$95,15,0)),0,VLOOKUP($S$35,'TAR FIN'!$A$1:$O$95,15,0))</f>
        <v>7.24</v>
      </c>
      <c r="W35" s="6">
        <f>IF(ISERROR(VLOOKUP($T$35,'TAR FIN'!$A$1:$O$95,15,0)),0,VLOOKUP($T$35,'TAR FIN'!$A$1:$O$95,15,0))</f>
        <v>0</v>
      </c>
      <c r="X35" s="6">
        <f>IF(ISERROR(VLOOKUP($U$35,'TAR FIN'!$A$1:$O$95,15,0)),0,VLOOKUP($U$35,'TAR FIN'!$A$1:$O$95,15,0))</f>
        <v>0</v>
      </c>
      <c r="Y35" s="6">
        <f ca="1">('TUSD BE'!$AM$5+'TUSD BF'!$AM$5+'TUSD CVA'!$AM$5)*1</f>
        <v>7.9533527807993183</v>
      </c>
      <c r="Z35" s="6">
        <f ca="1">('TUSD BE'!$AM$7+'TUSD BF'!$AM$7+'TUSD CVA'!$AM$7)*1</f>
        <v>66.362434908719237</v>
      </c>
      <c r="AA35" s="6"/>
      <c r="AB35" s="6">
        <f>$K$35*$V$35</f>
        <v>88762.400000000009</v>
      </c>
      <c r="AC35" s="6">
        <f>$M$35*$W$35</f>
        <v>0</v>
      </c>
      <c r="AD35" s="6">
        <f>$O$35*$X$35</f>
        <v>0</v>
      </c>
      <c r="AE35" s="6">
        <f ca="1">$K$35*$Y$35</f>
        <v>97508.105092599639</v>
      </c>
      <c r="AF35" s="6">
        <f ca="1">$M$35*$Z$35</f>
        <v>0</v>
      </c>
      <c r="AG35" s="6">
        <f>$O$35*$AA$35</f>
        <v>0</v>
      </c>
    </row>
    <row r="36" spans="1:33" ht="11.25" customHeight="1" x14ac:dyDescent="0.25">
      <c r="A36" s="4" t="s">
        <v>21</v>
      </c>
      <c r="B36" s="4" t="s">
        <v>43</v>
      </c>
      <c r="C36" s="4" t="s">
        <v>44</v>
      </c>
      <c r="D36" s="4" t="s">
        <v>45</v>
      </c>
      <c r="E36" s="4" t="s">
        <v>25</v>
      </c>
      <c r="F36" s="4" t="s">
        <v>25</v>
      </c>
      <c r="G36" s="4" t="s">
        <v>25</v>
      </c>
      <c r="H36" s="4" t="s">
        <v>37</v>
      </c>
      <c r="I36" s="5">
        <v>44440</v>
      </c>
      <c r="J36" s="6">
        <v>12260</v>
      </c>
      <c r="K36" s="6">
        <v>12260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60</v>
      </c>
      <c r="R36" s="4">
        <v>0</v>
      </c>
      <c r="S36" s="6">
        <v>1</v>
      </c>
      <c r="T36" s="6">
        <v>0</v>
      </c>
      <c r="U36" s="6">
        <v>0</v>
      </c>
      <c r="V36" s="6">
        <f>IF(ISERROR(VLOOKUP($S$36,'TAR FIN'!$A$1:$O$95,15,0)),0,VLOOKUP($S$36,'TAR FIN'!$A$1:$O$95,15,0))</f>
        <v>7.24</v>
      </c>
      <c r="W36" s="6">
        <f>IF(ISERROR(VLOOKUP($T$36,'TAR FIN'!$A$1:$O$95,15,0)),0,VLOOKUP($T$36,'TAR FIN'!$A$1:$O$95,15,0))</f>
        <v>0</v>
      </c>
      <c r="X36" s="6">
        <f>IF(ISERROR(VLOOKUP($U$36,'TAR FIN'!$A$1:$O$95,15,0)),0,VLOOKUP($U$36,'TAR FIN'!$A$1:$O$95,15,0))</f>
        <v>0</v>
      </c>
      <c r="Y36" s="6">
        <f ca="1">('TUSD BE'!$AM$5+'TUSD BF'!$AM$5+'TUSD CVA'!$AM$5)*1</f>
        <v>7.9533527807993183</v>
      </c>
      <c r="Z36" s="6">
        <f ca="1">('TUSD BE'!$AM$7+'TUSD BF'!$AM$7+'TUSD CVA'!$AM$7)*1</f>
        <v>66.362434908719237</v>
      </c>
      <c r="AA36" s="6"/>
      <c r="AB36" s="6">
        <f>$K$36*$V$36</f>
        <v>88762.400000000009</v>
      </c>
      <c r="AC36" s="6">
        <f>$M$36*$W$36</f>
        <v>0</v>
      </c>
      <c r="AD36" s="6">
        <f>$O$36*$X$36</f>
        <v>0</v>
      </c>
      <c r="AE36" s="6">
        <f ca="1">$K$36*$Y$36</f>
        <v>97508.105092599639</v>
      </c>
      <c r="AF36" s="6">
        <f ca="1">$M$36*$Z$36</f>
        <v>0</v>
      </c>
      <c r="AG36" s="6">
        <f>$O$36*$AA$36</f>
        <v>0</v>
      </c>
    </row>
    <row r="37" spans="1:33" ht="11.25" customHeight="1" x14ac:dyDescent="0.25">
      <c r="A37" s="4" t="s">
        <v>59</v>
      </c>
      <c r="B37" s="4" t="s">
        <v>43</v>
      </c>
      <c r="C37" s="4" t="s">
        <v>44</v>
      </c>
      <c r="D37" s="4" t="s">
        <v>45</v>
      </c>
      <c r="E37" s="4" t="s">
        <v>25</v>
      </c>
      <c r="F37" s="4" t="s">
        <v>25</v>
      </c>
      <c r="G37" s="4" t="s">
        <v>25</v>
      </c>
      <c r="H37" s="4" t="s">
        <v>37</v>
      </c>
      <c r="I37" s="5">
        <v>44470</v>
      </c>
      <c r="J37" s="6">
        <v>12260</v>
      </c>
      <c r="K37" s="6">
        <v>12260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60</v>
      </c>
      <c r="R37" s="4">
        <v>0</v>
      </c>
      <c r="S37" s="6">
        <v>1</v>
      </c>
      <c r="T37" s="6">
        <v>0</v>
      </c>
      <c r="U37" s="6">
        <v>0</v>
      </c>
      <c r="V37" s="6">
        <f>IF(ISERROR(VLOOKUP($S$37,'TAR FIN'!$A$1:$O$95,15,0)),0,VLOOKUP($S$37,'TAR FIN'!$A$1:$O$95,15,0))</f>
        <v>7.24</v>
      </c>
      <c r="W37" s="6">
        <f>IF(ISERROR(VLOOKUP($T$37,'TAR FIN'!$A$1:$O$95,15,0)),0,VLOOKUP($T$37,'TAR FIN'!$A$1:$O$95,15,0))</f>
        <v>0</v>
      </c>
      <c r="X37" s="6">
        <f>IF(ISERROR(VLOOKUP($U$37,'TAR FIN'!$A$1:$O$95,15,0)),0,VLOOKUP($U$37,'TAR FIN'!$A$1:$O$95,15,0))</f>
        <v>0</v>
      </c>
      <c r="Y37" s="6">
        <f ca="1">('TUSD BE'!$AM$5+'TUSD BF'!$AM$5+'TUSD CVA'!$AM$5)*1</f>
        <v>7.9533527807993183</v>
      </c>
      <c r="Z37" s="6">
        <f ca="1">('TUSD BE'!$AM$7+'TUSD BF'!$AM$7+'TUSD CVA'!$AM$7)*1</f>
        <v>66.362434908719237</v>
      </c>
      <c r="AA37" s="6"/>
      <c r="AB37" s="6">
        <f>$K$37*$V$37</f>
        <v>88762.400000000009</v>
      </c>
      <c r="AC37" s="6">
        <f>$M$37*$W$37</f>
        <v>0</v>
      </c>
      <c r="AD37" s="6">
        <f>$O$37*$X$37</f>
        <v>0</v>
      </c>
      <c r="AE37" s="6">
        <f ca="1">$K$37*$Y$37</f>
        <v>97508.105092599639</v>
      </c>
      <c r="AF37" s="6">
        <f ca="1">$M$37*$Z$37</f>
        <v>0</v>
      </c>
      <c r="AG37" s="6">
        <f>$O$37*$AA$37</f>
        <v>0</v>
      </c>
    </row>
    <row r="38" spans="1:33" ht="11.25" customHeight="1" x14ac:dyDescent="0.25">
      <c r="A38" s="4" t="s">
        <v>21</v>
      </c>
      <c r="B38" s="4" t="s">
        <v>43</v>
      </c>
      <c r="C38" s="4" t="s">
        <v>44</v>
      </c>
      <c r="D38" s="4" t="s">
        <v>42</v>
      </c>
      <c r="E38" s="4" t="s">
        <v>25</v>
      </c>
      <c r="F38" s="4" t="s">
        <v>62</v>
      </c>
      <c r="G38" s="4" t="s">
        <v>25</v>
      </c>
      <c r="H38" s="4" t="s">
        <v>38</v>
      </c>
      <c r="I38" s="5">
        <v>44136</v>
      </c>
      <c r="J38" s="6">
        <v>23256</v>
      </c>
      <c r="K38" s="6">
        <v>12241.9584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4" t="s">
        <v>60</v>
      </c>
      <c r="R38" s="4">
        <v>0</v>
      </c>
      <c r="S38" s="6">
        <v>2</v>
      </c>
      <c r="T38" s="6">
        <v>0</v>
      </c>
      <c r="U38" s="6">
        <v>0</v>
      </c>
      <c r="V38" s="6">
        <f>IF(ISERROR(VLOOKUP($S$38,'TAR FIN'!$A$1:$O$95,15,0)),0,VLOOKUP($S$38,'TAR FIN'!$A$1:$O$95,15,0))</f>
        <v>5.9</v>
      </c>
      <c r="W38" s="6">
        <f>IF(ISERROR(VLOOKUP($T$38,'TAR FIN'!$A$1:$O$95,15,0)),0,VLOOKUP($T$38,'TAR FIN'!$A$1:$O$95,15,0))</f>
        <v>0</v>
      </c>
      <c r="X38" s="6">
        <f>IF(ISERROR(VLOOKUP($U$38,'TAR FIN'!$A$1:$O$95,15,0)),0,VLOOKUP($U$38,'TAR FIN'!$A$1:$O$95,15,0))</f>
        <v>0</v>
      </c>
      <c r="Y38" s="6">
        <f ca="1">('TUSD BE'!$AM$6+'TUSD BF'!$AM$6+'TUSD CVA'!$AM$6)*1</f>
        <v>6.4798355258986495</v>
      </c>
      <c r="Z38" s="6">
        <f ca="1">('TUSD BE'!$AM$7+'TUSD BF'!$AM$7+'TUSD CVA'!$AM$7)*1</f>
        <v>66.362434908719237</v>
      </c>
      <c r="AA38" s="6"/>
      <c r="AB38" s="6">
        <f>$K$38*$V$38</f>
        <v>72227.554560000004</v>
      </c>
      <c r="AC38" s="6">
        <f>$M$38*$W$38</f>
        <v>0</v>
      </c>
      <c r="AD38" s="6">
        <f>$O$38*$X$38</f>
        <v>0</v>
      </c>
      <c r="AE38" s="6">
        <f ca="1">$K$38*$Y$38</f>
        <v>79325.87694689339</v>
      </c>
      <c r="AF38" s="6">
        <f ca="1">$M$38*$Z$38</f>
        <v>0</v>
      </c>
      <c r="AG38" s="6">
        <f>$O$38*$AA$38</f>
        <v>0</v>
      </c>
    </row>
    <row r="39" spans="1:33" ht="11.25" customHeight="1" x14ac:dyDescent="0.25">
      <c r="A39" s="4" t="s">
        <v>21</v>
      </c>
      <c r="B39" s="4" t="s">
        <v>43</v>
      </c>
      <c r="C39" s="4" t="s">
        <v>44</v>
      </c>
      <c r="D39" s="4" t="s">
        <v>42</v>
      </c>
      <c r="E39" s="4" t="s">
        <v>25</v>
      </c>
      <c r="F39" s="4" t="s">
        <v>62</v>
      </c>
      <c r="G39" s="4" t="s">
        <v>25</v>
      </c>
      <c r="H39" s="4" t="s">
        <v>38</v>
      </c>
      <c r="I39" s="5">
        <v>44166</v>
      </c>
      <c r="J39" s="6">
        <v>23851</v>
      </c>
      <c r="K39" s="6">
        <v>14603.9673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4" t="s">
        <v>60</v>
      </c>
      <c r="R39" s="4">
        <v>0</v>
      </c>
      <c r="S39" s="6">
        <v>2</v>
      </c>
      <c r="T39" s="6">
        <v>0</v>
      </c>
      <c r="U39" s="6">
        <v>0</v>
      </c>
      <c r="V39" s="6">
        <f>IF(ISERROR(VLOOKUP($S$39,'TAR FIN'!$A$1:$O$95,15,0)),0,VLOOKUP($S$39,'TAR FIN'!$A$1:$O$95,15,0))</f>
        <v>5.9</v>
      </c>
      <c r="W39" s="6">
        <f>IF(ISERROR(VLOOKUP($T$39,'TAR FIN'!$A$1:$O$95,15,0)),0,VLOOKUP($T$39,'TAR FIN'!$A$1:$O$95,15,0))</f>
        <v>0</v>
      </c>
      <c r="X39" s="6">
        <f>IF(ISERROR(VLOOKUP($U$39,'TAR FIN'!$A$1:$O$95,15,0)),0,VLOOKUP($U$39,'TAR FIN'!$A$1:$O$95,15,0))</f>
        <v>0</v>
      </c>
      <c r="Y39" s="6">
        <f ca="1">('TUSD BE'!$AM$6+'TUSD BF'!$AM$6+'TUSD CVA'!$AM$6)*1</f>
        <v>6.4798355258986495</v>
      </c>
      <c r="Z39" s="6">
        <f ca="1">('TUSD BE'!$AM$7+'TUSD BF'!$AM$7+'TUSD CVA'!$AM$7)*1</f>
        <v>66.362434908719237</v>
      </c>
      <c r="AA39" s="6"/>
      <c r="AB39" s="6">
        <f>$K$39*$V$39</f>
        <v>86163.407070000001</v>
      </c>
      <c r="AC39" s="6">
        <f>$M$39*$W$39</f>
        <v>0</v>
      </c>
      <c r="AD39" s="6">
        <f>$O$39*$X$39</f>
        <v>0</v>
      </c>
      <c r="AE39" s="6">
        <f ca="1">$K$39*$Y$39</f>
        <v>94631.306129602177</v>
      </c>
      <c r="AF39" s="6">
        <f ca="1">$M$39*$Z$39</f>
        <v>0</v>
      </c>
      <c r="AG39" s="6">
        <f>$O$39*$AA$39</f>
        <v>0</v>
      </c>
    </row>
    <row r="40" spans="1:33" ht="11.25" customHeight="1" x14ac:dyDescent="0.25">
      <c r="A40" s="4" t="s">
        <v>21</v>
      </c>
      <c r="B40" s="4" t="s">
        <v>43</v>
      </c>
      <c r="C40" s="4" t="s">
        <v>44</v>
      </c>
      <c r="D40" s="4" t="s">
        <v>42</v>
      </c>
      <c r="E40" s="4" t="s">
        <v>25</v>
      </c>
      <c r="F40" s="4" t="s">
        <v>62</v>
      </c>
      <c r="G40" s="4" t="s">
        <v>25</v>
      </c>
      <c r="H40" s="4" t="s">
        <v>38</v>
      </c>
      <c r="I40" s="5">
        <v>44197</v>
      </c>
      <c r="J40" s="6">
        <v>23851</v>
      </c>
      <c r="K40" s="6">
        <v>14603.9673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4" t="s">
        <v>60</v>
      </c>
      <c r="R40" s="4">
        <v>0</v>
      </c>
      <c r="S40" s="6">
        <v>2</v>
      </c>
      <c r="T40" s="6">
        <v>0</v>
      </c>
      <c r="U40" s="6">
        <v>0</v>
      </c>
      <c r="V40" s="6">
        <f>IF(ISERROR(VLOOKUP($S$40,'TAR FIN'!$A$1:$O$95,15,0)),0,VLOOKUP($S$40,'TAR FIN'!$A$1:$O$95,15,0))</f>
        <v>5.9</v>
      </c>
      <c r="W40" s="6">
        <f>IF(ISERROR(VLOOKUP($T$40,'TAR FIN'!$A$1:$O$95,15,0)),0,VLOOKUP($T$40,'TAR FIN'!$A$1:$O$95,15,0))</f>
        <v>0</v>
      </c>
      <c r="X40" s="6">
        <f>IF(ISERROR(VLOOKUP($U$40,'TAR FIN'!$A$1:$O$95,15,0)),0,VLOOKUP($U$40,'TAR FIN'!$A$1:$O$95,15,0))</f>
        <v>0</v>
      </c>
      <c r="Y40" s="6">
        <f ca="1">('TUSD BE'!$AM$6+'TUSD BF'!$AM$6+'TUSD CVA'!$AM$6)*1</f>
        <v>6.4798355258986495</v>
      </c>
      <c r="Z40" s="6">
        <f ca="1">('TUSD BE'!$AM$7+'TUSD BF'!$AM$7+'TUSD CVA'!$AM$7)*1</f>
        <v>66.362434908719237</v>
      </c>
      <c r="AA40" s="6"/>
      <c r="AB40" s="6">
        <f>$K$40*$V$40</f>
        <v>86163.407070000001</v>
      </c>
      <c r="AC40" s="6">
        <f>$M$40*$W$40</f>
        <v>0</v>
      </c>
      <c r="AD40" s="6">
        <f>$O$40*$X$40</f>
        <v>0</v>
      </c>
      <c r="AE40" s="6">
        <f ca="1">$K$40*$Y$40</f>
        <v>94631.306129602177</v>
      </c>
      <c r="AF40" s="6">
        <f ca="1">$M$40*$Z$40</f>
        <v>0</v>
      </c>
      <c r="AG40" s="6">
        <f>$O$40*$AA$40</f>
        <v>0</v>
      </c>
    </row>
    <row r="41" spans="1:33" ht="11.25" customHeight="1" x14ac:dyDescent="0.25">
      <c r="A41" s="4" t="s">
        <v>21</v>
      </c>
      <c r="B41" s="4" t="s">
        <v>43</v>
      </c>
      <c r="C41" s="4" t="s">
        <v>44</v>
      </c>
      <c r="D41" s="4" t="s">
        <v>42</v>
      </c>
      <c r="E41" s="4" t="s">
        <v>25</v>
      </c>
      <c r="F41" s="4" t="s">
        <v>62</v>
      </c>
      <c r="G41" s="4" t="s">
        <v>25</v>
      </c>
      <c r="H41" s="4" t="s">
        <v>38</v>
      </c>
      <c r="I41" s="5">
        <v>44228</v>
      </c>
      <c r="J41" s="6">
        <v>23959</v>
      </c>
      <c r="K41" s="6">
        <v>14670.0957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4" t="s">
        <v>60</v>
      </c>
      <c r="R41" s="4">
        <v>0</v>
      </c>
      <c r="S41" s="6">
        <v>2</v>
      </c>
      <c r="T41" s="6">
        <v>0</v>
      </c>
      <c r="U41" s="6">
        <v>0</v>
      </c>
      <c r="V41" s="6">
        <f>IF(ISERROR(VLOOKUP($S$41,'TAR FIN'!$A$1:$O$95,15,0)),0,VLOOKUP($S$41,'TAR FIN'!$A$1:$O$95,15,0))</f>
        <v>5.9</v>
      </c>
      <c r="W41" s="6">
        <f>IF(ISERROR(VLOOKUP($T$41,'TAR FIN'!$A$1:$O$95,15,0)),0,VLOOKUP($T$41,'TAR FIN'!$A$1:$O$95,15,0))</f>
        <v>0</v>
      </c>
      <c r="X41" s="6">
        <f>IF(ISERROR(VLOOKUP($U$41,'TAR FIN'!$A$1:$O$95,15,0)),0,VLOOKUP($U$41,'TAR FIN'!$A$1:$O$95,15,0))</f>
        <v>0</v>
      </c>
      <c r="Y41" s="6">
        <f ca="1">('TUSD BE'!$AM$6+'TUSD BF'!$AM$6+'TUSD CVA'!$AM$6)*1</f>
        <v>6.4798355258986495</v>
      </c>
      <c r="Z41" s="6">
        <f ca="1">('TUSD BE'!$AM$7+'TUSD BF'!$AM$7+'TUSD CVA'!$AM$7)*1</f>
        <v>66.362434908719237</v>
      </c>
      <c r="AA41" s="6"/>
      <c r="AB41" s="6">
        <f>$K$41*$V$41</f>
        <v>86553.564630000008</v>
      </c>
      <c r="AC41" s="6">
        <f>$M$41*$W$41</f>
        <v>0</v>
      </c>
      <c r="AD41" s="6">
        <f>$O$41*$X$41</f>
        <v>0</v>
      </c>
      <c r="AE41" s="6">
        <f ca="1">$K$41*$Y$41</f>
        <v>95059.807285193019</v>
      </c>
      <c r="AF41" s="6">
        <f ca="1">$M$41*$Z$41</f>
        <v>0</v>
      </c>
      <c r="AG41" s="6">
        <f>$O$41*$AA$41</f>
        <v>0</v>
      </c>
    </row>
    <row r="42" spans="1:33" ht="11.25" customHeight="1" x14ac:dyDescent="0.25">
      <c r="A42" s="4" t="s">
        <v>21</v>
      </c>
      <c r="B42" s="4" t="s">
        <v>43</v>
      </c>
      <c r="C42" s="4" t="s">
        <v>44</v>
      </c>
      <c r="D42" s="4" t="s">
        <v>42</v>
      </c>
      <c r="E42" s="4" t="s">
        <v>25</v>
      </c>
      <c r="F42" s="4" t="s">
        <v>62</v>
      </c>
      <c r="G42" s="4" t="s">
        <v>25</v>
      </c>
      <c r="H42" s="4" t="s">
        <v>38</v>
      </c>
      <c r="I42" s="5">
        <v>44256</v>
      </c>
      <c r="J42" s="6">
        <v>23851</v>
      </c>
      <c r="K42" s="6">
        <v>14603.9673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4" t="s">
        <v>60</v>
      </c>
      <c r="R42" s="4">
        <v>0</v>
      </c>
      <c r="S42" s="6">
        <v>2</v>
      </c>
      <c r="T42" s="6">
        <v>0</v>
      </c>
      <c r="U42" s="6">
        <v>0</v>
      </c>
      <c r="V42" s="6">
        <f>IF(ISERROR(VLOOKUP($S$42,'TAR FIN'!$A$1:$O$95,15,0)),0,VLOOKUP($S$42,'TAR FIN'!$A$1:$O$95,15,0))</f>
        <v>5.9</v>
      </c>
      <c r="W42" s="6">
        <f>IF(ISERROR(VLOOKUP($T$42,'TAR FIN'!$A$1:$O$95,15,0)),0,VLOOKUP($T$42,'TAR FIN'!$A$1:$O$95,15,0))</f>
        <v>0</v>
      </c>
      <c r="X42" s="6">
        <f>IF(ISERROR(VLOOKUP($U$42,'TAR FIN'!$A$1:$O$95,15,0)),0,VLOOKUP($U$42,'TAR FIN'!$A$1:$O$95,15,0))</f>
        <v>0</v>
      </c>
      <c r="Y42" s="6">
        <f ca="1">('TUSD BE'!$AM$6+'TUSD BF'!$AM$6+'TUSD CVA'!$AM$6)*1</f>
        <v>6.4798355258986495</v>
      </c>
      <c r="Z42" s="6">
        <f ca="1">('TUSD BE'!$AM$7+'TUSD BF'!$AM$7+'TUSD CVA'!$AM$7)*1</f>
        <v>66.362434908719237</v>
      </c>
      <c r="AA42" s="6"/>
      <c r="AB42" s="6">
        <f>$K$42*$V$42</f>
        <v>86163.407070000001</v>
      </c>
      <c r="AC42" s="6">
        <f>$M$42*$W$42</f>
        <v>0</v>
      </c>
      <c r="AD42" s="6">
        <f>$O$42*$X$42</f>
        <v>0</v>
      </c>
      <c r="AE42" s="6">
        <f ca="1">$K$42*$Y$42</f>
        <v>94631.306129602177</v>
      </c>
      <c r="AF42" s="6">
        <f ca="1">$M$42*$Z$42</f>
        <v>0</v>
      </c>
      <c r="AG42" s="6">
        <f>$O$42*$AA$42</f>
        <v>0</v>
      </c>
    </row>
    <row r="43" spans="1:33" ht="11.25" customHeight="1" x14ac:dyDescent="0.25">
      <c r="A43" s="4" t="s">
        <v>21</v>
      </c>
      <c r="B43" s="4" t="s">
        <v>43</v>
      </c>
      <c r="C43" s="4" t="s">
        <v>44</v>
      </c>
      <c r="D43" s="4" t="s">
        <v>42</v>
      </c>
      <c r="E43" s="4" t="s">
        <v>25</v>
      </c>
      <c r="F43" s="4" t="s">
        <v>62</v>
      </c>
      <c r="G43" s="4" t="s">
        <v>25</v>
      </c>
      <c r="H43" s="4" t="s">
        <v>38</v>
      </c>
      <c r="I43" s="5">
        <v>44287</v>
      </c>
      <c r="J43" s="6">
        <v>23851</v>
      </c>
      <c r="K43" s="6">
        <v>14603.9673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4" t="s">
        <v>60</v>
      </c>
      <c r="R43" s="4">
        <v>0</v>
      </c>
      <c r="S43" s="6">
        <v>2</v>
      </c>
      <c r="T43" s="6">
        <v>0</v>
      </c>
      <c r="U43" s="6">
        <v>0</v>
      </c>
      <c r="V43" s="6">
        <f>IF(ISERROR(VLOOKUP($S$43,'TAR FIN'!$A$1:$O$95,15,0)),0,VLOOKUP($S$43,'TAR FIN'!$A$1:$O$95,15,0))</f>
        <v>5.9</v>
      </c>
      <c r="W43" s="6">
        <f>IF(ISERROR(VLOOKUP($T$43,'TAR FIN'!$A$1:$O$95,15,0)),0,VLOOKUP($T$43,'TAR FIN'!$A$1:$O$95,15,0))</f>
        <v>0</v>
      </c>
      <c r="X43" s="6">
        <f>IF(ISERROR(VLOOKUP($U$43,'TAR FIN'!$A$1:$O$95,15,0)),0,VLOOKUP($U$43,'TAR FIN'!$A$1:$O$95,15,0))</f>
        <v>0</v>
      </c>
      <c r="Y43" s="6">
        <f ca="1">('TUSD BE'!$AM$6+'TUSD BF'!$AM$6+'TUSD CVA'!$AM$6)*1</f>
        <v>6.4798355258986495</v>
      </c>
      <c r="Z43" s="6">
        <f ca="1">('TUSD BE'!$AM$7+'TUSD BF'!$AM$7+'TUSD CVA'!$AM$7)*1</f>
        <v>66.362434908719237</v>
      </c>
      <c r="AA43" s="6"/>
      <c r="AB43" s="6">
        <f>$K$43*$V$43</f>
        <v>86163.407070000001</v>
      </c>
      <c r="AC43" s="6">
        <f>$M$43*$W$43</f>
        <v>0</v>
      </c>
      <c r="AD43" s="6">
        <f>$O$43*$X$43</f>
        <v>0</v>
      </c>
      <c r="AE43" s="6">
        <f ca="1">$K$43*$Y$43</f>
        <v>94631.306129602177</v>
      </c>
      <c r="AF43" s="6">
        <f ca="1">$M$43*$Z$43</f>
        <v>0</v>
      </c>
      <c r="AG43" s="6">
        <f>$O$43*$AA$43</f>
        <v>0</v>
      </c>
    </row>
    <row r="44" spans="1:33" ht="11.25" customHeight="1" x14ac:dyDescent="0.25">
      <c r="A44" s="4" t="s">
        <v>21</v>
      </c>
      <c r="B44" s="4" t="s">
        <v>43</v>
      </c>
      <c r="C44" s="4" t="s">
        <v>44</v>
      </c>
      <c r="D44" s="4" t="s">
        <v>42</v>
      </c>
      <c r="E44" s="4" t="s">
        <v>25</v>
      </c>
      <c r="F44" s="4" t="s">
        <v>62</v>
      </c>
      <c r="G44" s="4" t="s">
        <v>25</v>
      </c>
      <c r="H44" s="4" t="s">
        <v>38</v>
      </c>
      <c r="I44" s="5">
        <v>44317</v>
      </c>
      <c r="J44" s="6">
        <v>23851</v>
      </c>
      <c r="K44" s="6">
        <v>14603.9673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4" t="s">
        <v>60</v>
      </c>
      <c r="R44" s="4">
        <v>0</v>
      </c>
      <c r="S44" s="6">
        <v>2</v>
      </c>
      <c r="T44" s="6">
        <v>0</v>
      </c>
      <c r="U44" s="6">
        <v>0</v>
      </c>
      <c r="V44" s="6">
        <f>IF(ISERROR(VLOOKUP($S$44,'TAR FIN'!$A$1:$O$95,15,0)),0,VLOOKUP($S$44,'TAR FIN'!$A$1:$O$95,15,0))</f>
        <v>5.9</v>
      </c>
      <c r="W44" s="6">
        <f>IF(ISERROR(VLOOKUP($T$44,'TAR FIN'!$A$1:$O$95,15,0)),0,VLOOKUP($T$44,'TAR FIN'!$A$1:$O$95,15,0))</f>
        <v>0</v>
      </c>
      <c r="X44" s="6">
        <f>IF(ISERROR(VLOOKUP($U$44,'TAR FIN'!$A$1:$O$95,15,0)),0,VLOOKUP($U$44,'TAR FIN'!$A$1:$O$95,15,0))</f>
        <v>0</v>
      </c>
      <c r="Y44" s="6">
        <f ca="1">('TUSD BE'!$AM$6+'TUSD BF'!$AM$6+'TUSD CVA'!$AM$6)*1</f>
        <v>6.4798355258986495</v>
      </c>
      <c r="Z44" s="6">
        <f ca="1">('TUSD BE'!$AM$7+'TUSD BF'!$AM$7+'TUSD CVA'!$AM$7)*1</f>
        <v>66.362434908719237</v>
      </c>
      <c r="AA44" s="6"/>
      <c r="AB44" s="6">
        <f>$K$44*$V$44</f>
        <v>86163.407070000001</v>
      </c>
      <c r="AC44" s="6">
        <f>$M$44*$W$44</f>
        <v>0</v>
      </c>
      <c r="AD44" s="6">
        <f>$O$44*$X$44</f>
        <v>0</v>
      </c>
      <c r="AE44" s="6">
        <f ca="1">$K$44*$Y$44</f>
        <v>94631.306129602177</v>
      </c>
      <c r="AF44" s="6">
        <f ca="1">$M$44*$Z$44</f>
        <v>0</v>
      </c>
      <c r="AG44" s="6">
        <f>$O$44*$AA$44</f>
        <v>0</v>
      </c>
    </row>
    <row r="45" spans="1:33" ht="11.25" customHeight="1" x14ac:dyDescent="0.25">
      <c r="A45" s="4" t="s">
        <v>21</v>
      </c>
      <c r="B45" s="4" t="s">
        <v>43</v>
      </c>
      <c r="C45" s="4" t="s">
        <v>44</v>
      </c>
      <c r="D45" s="4" t="s">
        <v>42</v>
      </c>
      <c r="E45" s="4" t="s">
        <v>25</v>
      </c>
      <c r="F45" s="4" t="s">
        <v>62</v>
      </c>
      <c r="G45" s="4" t="s">
        <v>25</v>
      </c>
      <c r="H45" s="4" t="s">
        <v>38</v>
      </c>
      <c r="I45" s="5">
        <v>44348</v>
      </c>
      <c r="J45" s="6">
        <v>23851</v>
      </c>
      <c r="K45" s="6">
        <v>14603.9673</v>
      </c>
      <c r="L45" s="6">
        <v>0</v>
      </c>
      <c r="M45" s="6">
        <v>0</v>
      </c>
      <c r="N45" s="6">
        <v>0</v>
      </c>
      <c r="O45" s="6">
        <v>0</v>
      </c>
      <c r="P45" s="6">
        <v>0</v>
      </c>
      <c r="Q45" s="4" t="s">
        <v>60</v>
      </c>
      <c r="R45" s="4">
        <v>0</v>
      </c>
      <c r="S45" s="6">
        <v>2</v>
      </c>
      <c r="T45" s="6">
        <v>0</v>
      </c>
      <c r="U45" s="6">
        <v>0</v>
      </c>
      <c r="V45" s="6">
        <f>IF(ISERROR(VLOOKUP($S$45,'TAR FIN'!$A$1:$O$95,15,0)),0,VLOOKUP($S$45,'TAR FIN'!$A$1:$O$95,15,0))</f>
        <v>5.9</v>
      </c>
      <c r="W45" s="6">
        <f>IF(ISERROR(VLOOKUP($T$45,'TAR FIN'!$A$1:$O$95,15,0)),0,VLOOKUP($T$45,'TAR FIN'!$A$1:$O$95,15,0))</f>
        <v>0</v>
      </c>
      <c r="X45" s="6">
        <f>IF(ISERROR(VLOOKUP($U$45,'TAR FIN'!$A$1:$O$95,15,0)),0,VLOOKUP($U$45,'TAR FIN'!$A$1:$O$95,15,0))</f>
        <v>0</v>
      </c>
      <c r="Y45" s="6">
        <f ca="1">('TUSD BE'!$AM$6+'TUSD BF'!$AM$6+'TUSD CVA'!$AM$6)*1</f>
        <v>6.4798355258986495</v>
      </c>
      <c r="Z45" s="6">
        <f ca="1">('TUSD BE'!$AM$7+'TUSD BF'!$AM$7+'TUSD CVA'!$AM$7)*1</f>
        <v>66.362434908719237</v>
      </c>
      <c r="AA45" s="6"/>
      <c r="AB45" s="6">
        <f>$K$45*$V$45</f>
        <v>86163.407070000001</v>
      </c>
      <c r="AC45" s="6">
        <f>$M$45*$W$45</f>
        <v>0</v>
      </c>
      <c r="AD45" s="6">
        <f>$O$45*$X$45</f>
        <v>0</v>
      </c>
      <c r="AE45" s="6">
        <f ca="1">$K$45*$Y$45</f>
        <v>94631.306129602177</v>
      </c>
      <c r="AF45" s="6">
        <f ca="1">$M$45*$Z$45</f>
        <v>0</v>
      </c>
      <c r="AG45" s="6">
        <f>$O$45*$AA$45</f>
        <v>0</v>
      </c>
    </row>
    <row r="46" spans="1:33" ht="11.25" customHeight="1" x14ac:dyDescent="0.25">
      <c r="A46" s="4" t="s">
        <v>21</v>
      </c>
      <c r="B46" s="4" t="s">
        <v>43</v>
      </c>
      <c r="C46" s="4" t="s">
        <v>44</v>
      </c>
      <c r="D46" s="4" t="s">
        <v>42</v>
      </c>
      <c r="E46" s="4" t="s">
        <v>25</v>
      </c>
      <c r="F46" s="4" t="s">
        <v>62</v>
      </c>
      <c r="G46" s="4" t="s">
        <v>25</v>
      </c>
      <c r="H46" s="4" t="s">
        <v>38</v>
      </c>
      <c r="I46" s="5">
        <v>44378</v>
      </c>
      <c r="J46" s="6">
        <v>23851</v>
      </c>
      <c r="K46" s="6">
        <v>14603.9673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4" t="s">
        <v>60</v>
      </c>
      <c r="R46" s="4">
        <v>0</v>
      </c>
      <c r="S46" s="6">
        <v>2</v>
      </c>
      <c r="T46" s="6">
        <v>0</v>
      </c>
      <c r="U46" s="6">
        <v>0</v>
      </c>
      <c r="V46" s="6">
        <f>IF(ISERROR(VLOOKUP($S$46,'TAR FIN'!$A$1:$O$95,15,0)),0,VLOOKUP($S$46,'TAR FIN'!$A$1:$O$95,15,0))</f>
        <v>5.9</v>
      </c>
      <c r="W46" s="6">
        <f>IF(ISERROR(VLOOKUP($T$46,'TAR FIN'!$A$1:$O$95,15,0)),0,VLOOKUP($T$46,'TAR FIN'!$A$1:$O$95,15,0))</f>
        <v>0</v>
      </c>
      <c r="X46" s="6">
        <f>IF(ISERROR(VLOOKUP($U$46,'TAR FIN'!$A$1:$O$95,15,0)),0,VLOOKUP($U$46,'TAR FIN'!$A$1:$O$95,15,0))</f>
        <v>0</v>
      </c>
      <c r="Y46" s="6">
        <f ca="1">('TUSD BE'!$AM$6+'TUSD BF'!$AM$6+'TUSD CVA'!$AM$6)*1</f>
        <v>6.4798355258986495</v>
      </c>
      <c r="Z46" s="6">
        <f ca="1">('TUSD BE'!$AM$7+'TUSD BF'!$AM$7+'TUSD CVA'!$AM$7)*1</f>
        <v>66.362434908719237</v>
      </c>
      <c r="AA46" s="6"/>
      <c r="AB46" s="6">
        <f>$K$46*$V$46</f>
        <v>86163.407070000001</v>
      </c>
      <c r="AC46" s="6">
        <f>$M$46*$W$46</f>
        <v>0</v>
      </c>
      <c r="AD46" s="6">
        <f>$O$46*$X$46</f>
        <v>0</v>
      </c>
      <c r="AE46" s="6">
        <f ca="1">$K$46*$Y$46</f>
        <v>94631.306129602177</v>
      </c>
      <c r="AF46" s="6">
        <f ca="1">$M$46*$Z$46</f>
        <v>0</v>
      </c>
      <c r="AG46" s="6">
        <f>$O$46*$AA$46</f>
        <v>0</v>
      </c>
    </row>
    <row r="47" spans="1:33" ht="11.25" customHeight="1" x14ac:dyDescent="0.25">
      <c r="A47" s="4" t="s">
        <v>21</v>
      </c>
      <c r="B47" s="4" t="s">
        <v>43</v>
      </c>
      <c r="C47" s="4" t="s">
        <v>44</v>
      </c>
      <c r="D47" s="4" t="s">
        <v>42</v>
      </c>
      <c r="E47" s="4" t="s">
        <v>25</v>
      </c>
      <c r="F47" s="4" t="s">
        <v>62</v>
      </c>
      <c r="G47" s="4" t="s">
        <v>25</v>
      </c>
      <c r="H47" s="4" t="s">
        <v>38</v>
      </c>
      <c r="I47" s="5">
        <v>44409</v>
      </c>
      <c r="J47" s="6">
        <v>26750</v>
      </c>
      <c r="K47" s="6">
        <v>16756.2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4" t="s">
        <v>60</v>
      </c>
      <c r="R47" s="4">
        <v>0</v>
      </c>
      <c r="S47" s="6">
        <v>2</v>
      </c>
      <c r="T47" s="6">
        <v>0</v>
      </c>
      <c r="U47" s="6">
        <v>0</v>
      </c>
      <c r="V47" s="6">
        <f>IF(ISERROR(VLOOKUP($S$47,'TAR FIN'!$A$1:$O$95,15,0)),0,VLOOKUP($S$47,'TAR FIN'!$A$1:$O$95,15,0))</f>
        <v>5.9</v>
      </c>
      <c r="W47" s="6">
        <f>IF(ISERROR(VLOOKUP($T$47,'TAR FIN'!$A$1:$O$95,15,0)),0,VLOOKUP($T$47,'TAR FIN'!$A$1:$O$95,15,0))</f>
        <v>0</v>
      </c>
      <c r="X47" s="6">
        <f>IF(ISERROR(VLOOKUP($U$47,'TAR FIN'!$A$1:$O$95,15,0)),0,VLOOKUP($U$47,'TAR FIN'!$A$1:$O$95,15,0))</f>
        <v>0</v>
      </c>
      <c r="Y47" s="6">
        <f ca="1">('TUSD BE'!$AM$6+'TUSD BF'!$AM$6+'TUSD CVA'!$AM$6)*1</f>
        <v>6.4798355258986495</v>
      </c>
      <c r="Z47" s="6">
        <f ca="1">('TUSD BE'!$AM$7+'TUSD BF'!$AM$7+'TUSD CVA'!$AM$7)*1</f>
        <v>66.362434908719237</v>
      </c>
      <c r="AA47" s="6"/>
      <c r="AB47" s="6">
        <f>$K$47*$V$47</f>
        <v>98861.580000000016</v>
      </c>
      <c r="AC47" s="6">
        <f>$M$47*$W$47</f>
        <v>0</v>
      </c>
      <c r="AD47" s="6">
        <f>$O$47*$X$47</f>
        <v>0</v>
      </c>
      <c r="AE47" s="6">
        <f ca="1">$K$47*$Y$47</f>
        <v>108577.42003906296</v>
      </c>
      <c r="AF47" s="6">
        <f ca="1">$M$47*$Z$47</f>
        <v>0</v>
      </c>
      <c r="AG47" s="6">
        <f>$O$47*$AA$47</f>
        <v>0</v>
      </c>
    </row>
    <row r="48" spans="1:33" ht="11.25" customHeight="1" x14ac:dyDescent="0.25">
      <c r="A48" s="4" t="s">
        <v>21</v>
      </c>
      <c r="B48" s="4" t="s">
        <v>43</v>
      </c>
      <c r="C48" s="4" t="s">
        <v>44</v>
      </c>
      <c r="D48" s="4" t="s">
        <v>42</v>
      </c>
      <c r="E48" s="4" t="s">
        <v>25</v>
      </c>
      <c r="F48" s="4" t="s">
        <v>62</v>
      </c>
      <c r="G48" s="4" t="s">
        <v>25</v>
      </c>
      <c r="H48" s="4" t="s">
        <v>38</v>
      </c>
      <c r="I48" s="5">
        <v>44440</v>
      </c>
      <c r="J48" s="6">
        <v>26732</v>
      </c>
      <c r="K48" s="6">
        <v>16084.644399999999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4" t="s">
        <v>60</v>
      </c>
      <c r="R48" s="4">
        <v>0</v>
      </c>
      <c r="S48" s="6">
        <v>2</v>
      </c>
      <c r="T48" s="6">
        <v>0</v>
      </c>
      <c r="U48" s="6">
        <v>0</v>
      </c>
      <c r="V48" s="6">
        <f>IF(ISERROR(VLOOKUP($S$48,'TAR FIN'!$A$1:$O$95,15,0)),0,VLOOKUP($S$48,'TAR FIN'!$A$1:$O$95,15,0))</f>
        <v>5.9</v>
      </c>
      <c r="W48" s="6">
        <f>IF(ISERROR(VLOOKUP($T$48,'TAR FIN'!$A$1:$O$95,15,0)),0,VLOOKUP($T$48,'TAR FIN'!$A$1:$O$95,15,0))</f>
        <v>0</v>
      </c>
      <c r="X48" s="6">
        <f>IF(ISERROR(VLOOKUP($U$48,'TAR FIN'!$A$1:$O$95,15,0)),0,VLOOKUP($U$48,'TAR FIN'!$A$1:$O$95,15,0))</f>
        <v>0</v>
      </c>
      <c r="Y48" s="6">
        <f ca="1">('TUSD BE'!$AM$6+'TUSD BF'!$AM$6+'TUSD CVA'!$AM$6)*1</f>
        <v>6.4798355258986495</v>
      </c>
      <c r="Z48" s="6">
        <f ca="1">('TUSD BE'!$AM$7+'TUSD BF'!$AM$7+'TUSD CVA'!$AM$7)*1</f>
        <v>66.362434908719237</v>
      </c>
      <c r="AA48" s="6"/>
      <c r="AB48" s="6">
        <f>$K$48*$V$48</f>
        <v>94899.401960000003</v>
      </c>
      <c r="AC48" s="6">
        <f>$M$48*$W$48</f>
        <v>0</v>
      </c>
      <c r="AD48" s="6">
        <f>$O$48*$X$48</f>
        <v>0</v>
      </c>
      <c r="AE48" s="6">
        <f ca="1">$K$48*$Y$48</f>
        <v>104225.85020456677</v>
      </c>
      <c r="AF48" s="6">
        <f ca="1">$M$48*$Z$48</f>
        <v>0</v>
      </c>
      <c r="AG48" s="6">
        <f>$O$48*$AA$48</f>
        <v>0</v>
      </c>
    </row>
    <row r="49" spans="1:33" ht="11.25" customHeight="1" x14ac:dyDescent="0.25">
      <c r="A49" s="4" t="s">
        <v>59</v>
      </c>
      <c r="B49" s="4" t="s">
        <v>43</v>
      </c>
      <c r="C49" s="4" t="s">
        <v>44</v>
      </c>
      <c r="D49" s="4" t="s">
        <v>42</v>
      </c>
      <c r="E49" s="4" t="s">
        <v>25</v>
      </c>
      <c r="F49" s="4" t="s">
        <v>62</v>
      </c>
      <c r="G49" s="4" t="s">
        <v>25</v>
      </c>
      <c r="H49" s="4" t="s">
        <v>38</v>
      </c>
      <c r="I49" s="5">
        <v>44470</v>
      </c>
      <c r="J49" s="6">
        <v>26732</v>
      </c>
      <c r="K49" s="6">
        <v>16084.644399999999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4" t="s">
        <v>60</v>
      </c>
      <c r="R49" s="4">
        <v>0</v>
      </c>
      <c r="S49" s="6">
        <v>2</v>
      </c>
      <c r="T49" s="6">
        <v>0</v>
      </c>
      <c r="U49" s="6">
        <v>0</v>
      </c>
      <c r="V49" s="6">
        <f>IF(ISERROR(VLOOKUP($S$49,'TAR FIN'!$A$1:$O$95,15,0)),0,VLOOKUP($S$49,'TAR FIN'!$A$1:$O$95,15,0))</f>
        <v>5.9</v>
      </c>
      <c r="W49" s="6">
        <f>IF(ISERROR(VLOOKUP($T$49,'TAR FIN'!$A$1:$O$95,15,0)),0,VLOOKUP($T$49,'TAR FIN'!$A$1:$O$95,15,0))</f>
        <v>0</v>
      </c>
      <c r="X49" s="6">
        <f>IF(ISERROR(VLOOKUP($U$49,'TAR FIN'!$A$1:$O$95,15,0)),0,VLOOKUP($U$49,'TAR FIN'!$A$1:$O$95,15,0))</f>
        <v>0</v>
      </c>
      <c r="Y49" s="6">
        <f ca="1">('TUSD BE'!$AM$6+'TUSD BF'!$AM$6+'TUSD CVA'!$AM$6)*1</f>
        <v>6.4798355258986495</v>
      </c>
      <c r="Z49" s="6">
        <f ca="1">('TUSD BE'!$AM$7+'TUSD BF'!$AM$7+'TUSD CVA'!$AM$7)*1</f>
        <v>66.362434908719237</v>
      </c>
      <c r="AA49" s="6"/>
      <c r="AB49" s="6">
        <f>$K$49*$V$49</f>
        <v>94899.401960000003</v>
      </c>
      <c r="AC49" s="6">
        <f>$M$49*$W$49</f>
        <v>0</v>
      </c>
      <c r="AD49" s="6">
        <f>$O$49*$X$49</f>
        <v>0</v>
      </c>
      <c r="AE49" s="6">
        <f ca="1">$K$49*$Y$49</f>
        <v>104225.85020456677</v>
      </c>
      <c r="AF49" s="6">
        <f ca="1">$M$49*$Z$49</f>
        <v>0</v>
      </c>
      <c r="AG49" s="6">
        <f>$O$49*$AA$49</f>
        <v>0</v>
      </c>
    </row>
    <row r="50" spans="1:33" ht="11.25" customHeight="1" x14ac:dyDescent="0.25">
      <c r="A50" s="4" t="s">
        <v>21</v>
      </c>
      <c r="B50" s="4" t="s">
        <v>43</v>
      </c>
      <c r="C50" s="4" t="s">
        <v>44</v>
      </c>
      <c r="D50" s="4" t="s">
        <v>42</v>
      </c>
      <c r="E50" s="4" t="s">
        <v>25</v>
      </c>
      <c r="F50" s="4" t="s">
        <v>62</v>
      </c>
      <c r="G50" s="4" t="s">
        <v>25</v>
      </c>
      <c r="H50" s="4" t="s">
        <v>25</v>
      </c>
      <c r="I50" s="5">
        <v>44136</v>
      </c>
      <c r="J50" s="6">
        <v>0</v>
      </c>
      <c r="K50" s="6">
        <v>0</v>
      </c>
      <c r="L50" s="6">
        <v>6813.7240000000002</v>
      </c>
      <c r="M50" s="6">
        <v>6813.7240000000002</v>
      </c>
      <c r="N50" s="6">
        <v>0</v>
      </c>
      <c r="O50" s="6">
        <v>0</v>
      </c>
      <c r="P50" s="6">
        <v>9</v>
      </c>
      <c r="Q50" s="4" t="s">
        <v>60</v>
      </c>
      <c r="R50" s="4">
        <v>0</v>
      </c>
      <c r="S50" s="6">
        <v>0</v>
      </c>
      <c r="T50" s="6">
        <v>25</v>
      </c>
      <c r="U50" s="6">
        <v>0</v>
      </c>
      <c r="V50" s="6">
        <f>IF(ISERROR(VLOOKUP($S$50,'TAR FIN'!$A$1:$O$95,15,0)),0,VLOOKUP($S$50,'TAR FIN'!$A$1:$O$95,15,0))</f>
        <v>0</v>
      </c>
      <c r="W50" s="6">
        <f>IF(ISERROR(VLOOKUP($T$50,'TAR FIN'!$A$1:$O$95,15,0)),0,VLOOKUP($T$50,'TAR FIN'!$A$1:$O$95,15,0))</f>
        <v>52.77</v>
      </c>
      <c r="X50" s="6">
        <f>IF(ISERROR(VLOOKUP($U$50,'TAR FIN'!$A$1:$O$95,15,0)),0,VLOOKUP($U$50,'TAR FIN'!$A$1:$O$95,15,0))</f>
        <v>0</v>
      </c>
      <c r="Y50" s="6"/>
      <c r="Z50" s="6">
        <f ca="1">('TUSD BE'!$AM$7+'TUSD BF'!$AM$7+'TUSD CVA'!$AM$7)*1</f>
        <v>66.362434908719237</v>
      </c>
      <c r="AA50" s="6"/>
      <c r="AB50" s="6">
        <f>$K$50*$V$50</f>
        <v>0</v>
      </c>
      <c r="AC50" s="6">
        <f>$M$50*$W$50</f>
        <v>359560.21548000001</v>
      </c>
      <c r="AD50" s="6">
        <f>$O$50*$X$50</f>
        <v>0</v>
      </c>
      <c r="AE50" s="6">
        <f>$K$50*$Y$50</f>
        <v>0</v>
      </c>
      <c r="AF50" s="6">
        <f ca="1">$M$50*$Z$50</f>
        <v>452175.31543597806</v>
      </c>
      <c r="AG50" s="6">
        <f>$O$50*$AA$50</f>
        <v>0</v>
      </c>
    </row>
    <row r="51" spans="1:33" ht="11.25" customHeight="1" x14ac:dyDescent="0.25">
      <c r="A51" s="4" t="s">
        <v>21</v>
      </c>
      <c r="B51" s="4" t="s">
        <v>43</v>
      </c>
      <c r="C51" s="4" t="s">
        <v>44</v>
      </c>
      <c r="D51" s="4" t="s">
        <v>42</v>
      </c>
      <c r="E51" s="4" t="s">
        <v>25</v>
      </c>
      <c r="F51" s="4" t="s">
        <v>62</v>
      </c>
      <c r="G51" s="4" t="s">
        <v>25</v>
      </c>
      <c r="H51" s="4" t="s">
        <v>25</v>
      </c>
      <c r="I51" s="5">
        <v>44166</v>
      </c>
      <c r="J51" s="6">
        <v>0</v>
      </c>
      <c r="K51" s="6">
        <v>0</v>
      </c>
      <c r="L51" s="6">
        <v>6483.4480000000003</v>
      </c>
      <c r="M51" s="6">
        <v>6483.4480000000003</v>
      </c>
      <c r="N51" s="6">
        <v>0</v>
      </c>
      <c r="O51" s="6">
        <v>0</v>
      </c>
      <c r="P51" s="6">
        <v>9</v>
      </c>
      <c r="Q51" s="4" t="s">
        <v>60</v>
      </c>
      <c r="R51" s="4">
        <v>0</v>
      </c>
      <c r="S51" s="6">
        <v>0</v>
      </c>
      <c r="T51" s="6">
        <v>25</v>
      </c>
      <c r="U51" s="6">
        <v>0</v>
      </c>
      <c r="V51" s="6">
        <f>IF(ISERROR(VLOOKUP($S$51,'TAR FIN'!$A$1:$O$95,15,0)),0,VLOOKUP($S$51,'TAR FIN'!$A$1:$O$95,15,0))</f>
        <v>0</v>
      </c>
      <c r="W51" s="6">
        <f>IF(ISERROR(VLOOKUP($T$51,'TAR FIN'!$A$1:$O$95,15,0)),0,VLOOKUP($T$51,'TAR FIN'!$A$1:$O$95,15,0))</f>
        <v>52.77</v>
      </c>
      <c r="X51" s="6">
        <f>IF(ISERROR(VLOOKUP($U$51,'TAR FIN'!$A$1:$O$95,15,0)),0,VLOOKUP($U$51,'TAR FIN'!$A$1:$O$95,15,0))</f>
        <v>0</v>
      </c>
      <c r="Y51" s="6"/>
      <c r="Z51" s="6">
        <f ca="1">('TUSD BE'!$AM$7+'TUSD BF'!$AM$7+'TUSD CVA'!$AM$7)*1</f>
        <v>66.362434908719237</v>
      </c>
      <c r="AA51" s="6"/>
      <c r="AB51" s="6">
        <f>$K$51*$V$51</f>
        <v>0</v>
      </c>
      <c r="AC51" s="6">
        <f>$M$51*$W$51</f>
        <v>342131.55096000002</v>
      </c>
      <c r="AD51" s="6">
        <f>$O$51*$X$51</f>
        <v>0</v>
      </c>
      <c r="AE51" s="6">
        <f>$K$51*$Y$51</f>
        <v>0</v>
      </c>
      <c r="AF51" s="6">
        <f ca="1">$M$51*$Z$51</f>
        <v>430257.39588406595</v>
      </c>
      <c r="AG51" s="6">
        <f>$O$51*$AA$51</f>
        <v>0</v>
      </c>
    </row>
    <row r="52" spans="1:33" ht="11.25" customHeight="1" x14ac:dyDescent="0.25">
      <c r="A52" s="4" t="s">
        <v>21</v>
      </c>
      <c r="B52" s="4" t="s">
        <v>43</v>
      </c>
      <c r="C52" s="4" t="s">
        <v>44</v>
      </c>
      <c r="D52" s="4" t="s">
        <v>42</v>
      </c>
      <c r="E52" s="4" t="s">
        <v>25</v>
      </c>
      <c r="F52" s="4" t="s">
        <v>62</v>
      </c>
      <c r="G52" s="4" t="s">
        <v>25</v>
      </c>
      <c r="H52" s="4" t="s">
        <v>25</v>
      </c>
      <c r="I52" s="5">
        <v>44197</v>
      </c>
      <c r="J52" s="6">
        <v>0</v>
      </c>
      <c r="K52" s="6">
        <v>0</v>
      </c>
      <c r="L52" s="6">
        <v>4973.5590000000002</v>
      </c>
      <c r="M52" s="6">
        <v>4973.5590000000002</v>
      </c>
      <c r="N52" s="6">
        <v>0</v>
      </c>
      <c r="O52" s="6">
        <v>0</v>
      </c>
      <c r="P52" s="6">
        <v>9</v>
      </c>
      <c r="Q52" s="4" t="s">
        <v>60</v>
      </c>
      <c r="R52" s="4">
        <v>0</v>
      </c>
      <c r="S52" s="6">
        <v>0</v>
      </c>
      <c r="T52" s="6">
        <v>25</v>
      </c>
      <c r="U52" s="6">
        <v>0</v>
      </c>
      <c r="V52" s="6">
        <f>IF(ISERROR(VLOOKUP($S$52,'TAR FIN'!$A$1:$O$95,15,0)),0,VLOOKUP($S$52,'TAR FIN'!$A$1:$O$95,15,0))</f>
        <v>0</v>
      </c>
      <c r="W52" s="6">
        <f>IF(ISERROR(VLOOKUP($T$52,'TAR FIN'!$A$1:$O$95,15,0)),0,VLOOKUP($T$52,'TAR FIN'!$A$1:$O$95,15,0))</f>
        <v>52.77</v>
      </c>
      <c r="X52" s="6">
        <f>IF(ISERROR(VLOOKUP($U$52,'TAR FIN'!$A$1:$O$95,15,0)),0,VLOOKUP($U$52,'TAR FIN'!$A$1:$O$95,15,0))</f>
        <v>0</v>
      </c>
      <c r="Y52" s="6"/>
      <c r="Z52" s="6">
        <f ca="1">('TUSD BE'!$AM$7+'TUSD BF'!$AM$7+'TUSD CVA'!$AM$7)*1</f>
        <v>66.362434908719237</v>
      </c>
      <c r="AA52" s="6"/>
      <c r="AB52" s="6">
        <f>$K$52*$V$52</f>
        <v>0</v>
      </c>
      <c r="AC52" s="6">
        <f>$M$52*$W$52</f>
        <v>262454.70843</v>
      </c>
      <c r="AD52" s="6">
        <f>$O$52*$X$52</f>
        <v>0</v>
      </c>
      <c r="AE52" s="6">
        <f>$K$52*$Y$52</f>
        <v>0</v>
      </c>
      <c r="AF52" s="6">
        <f ca="1">$M$52*$Z$52</f>
        <v>330057.48540217476</v>
      </c>
      <c r="AG52" s="6">
        <f>$O$52*$AA$52</f>
        <v>0</v>
      </c>
    </row>
    <row r="53" spans="1:33" ht="11.25" customHeight="1" x14ac:dyDescent="0.25">
      <c r="A53" s="4" t="s">
        <v>21</v>
      </c>
      <c r="B53" s="4" t="s">
        <v>43</v>
      </c>
      <c r="C53" s="4" t="s">
        <v>44</v>
      </c>
      <c r="D53" s="4" t="s">
        <v>42</v>
      </c>
      <c r="E53" s="4" t="s">
        <v>25</v>
      </c>
      <c r="F53" s="4" t="s">
        <v>62</v>
      </c>
      <c r="G53" s="4" t="s">
        <v>25</v>
      </c>
      <c r="H53" s="4" t="s">
        <v>25</v>
      </c>
      <c r="I53" s="5">
        <v>44228</v>
      </c>
      <c r="J53" s="6">
        <v>0</v>
      </c>
      <c r="K53" s="6">
        <v>0</v>
      </c>
      <c r="L53" s="6">
        <v>4976.5720000000001</v>
      </c>
      <c r="M53" s="6">
        <v>4976.5720000000001</v>
      </c>
      <c r="N53" s="6">
        <v>0</v>
      </c>
      <c r="O53" s="6">
        <v>0</v>
      </c>
      <c r="P53" s="6">
        <v>9</v>
      </c>
      <c r="Q53" s="4" t="s">
        <v>60</v>
      </c>
      <c r="R53" s="4">
        <v>0</v>
      </c>
      <c r="S53" s="6">
        <v>0</v>
      </c>
      <c r="T53" s="6">
        <v>25</v>
      </c>
      <c r="U53" s="6">
        <v>0</v>
      </c>
      <c r="V53" s="6">
        <f>IF(ISERROR(VLOOKUP($S$53,'TAR FIN'!$A$1:$O$95,15,0)),0,VLOOKUP($S$53,'TAR FIN'!$A$1:$O$95,15,0))</f>
        <v>0</v>
      </c>
      <c r="W53" s="6">
        <f>IF(ISERROR(VLOOKUP($T$53,'TAR FIN'!$A$1:$O$95,15,0)),0,VLOOKUP($T$53,'TAR FIN'!$A$1:$O$95,15,0))</f>
        <v>52.77</v>
      </c>
      <c r="X53" s="6">
        <f>IF(ISERROR(VLOOKUP($U$53,'TAR FIN'!$A$1:$O$95,15,0)),0,VLOOKUP($U$53,'TAR FIN'!$A$1:$O$95,15,0))</f>
        <v>0</v>
      </c>
      <c r="Y53" s="6"/>
      <c r="Z53" s="6">
        <f ca="1">('TUSD BE'!$AM$7+'TUSD BF'!$AM$7+'TUSD CVA'!$AM$7)*1</f>
        <v>66.362434908719237</v>
      </c>
      <c r="AA53" s="6"/>
      <c r="AB53" s="6">
        <f>$K$53*$V$53</f>
        <v>0</v>
      </c>
      <c r="AC53" s="6">
        <f>$M$53*$W$53</f>
        <v>262613.70444</v>
      </c>
      <c r="AD53" s="6">
        <f>$O$53*$X$53</f>
        <v>0</v>
      </c>
      <c r="AE53" s="6">
        <f>$K$53*$Y$53</f>
        <v>0</v>
      </c>
      <c r="AF53" s="6">
        <f ca="1">$M$53*$Z$53</f>
        <v>330257.4354185547</v>
      </c>
      <c r="AG53" s="6">
        <f>$O$53*$AA$53</f>
        <v>0</v>
      </c>
    </row>
    <row r="54" spans="1:33" ht="11.25" customHeight="1" x14ac:dyDescent="0.25">
      <c r="A54" s="4" t="s">
        <v>21</v>
      </c>
      <c r="B54" s="4" t="s">
        <v>43</v>
      </c>
      <c r="C54" s="4" t="s">
        <v>44</v>
      </c>
      <c r="D54" s="4" t="s">
        <v>42</v>
      </c>
      <c r="E54" s="4" t="s">
        <v>25</v>
      </c>
      <c r="F54" s="4" t="s">
        <v>62</v>
      </c>
      <c r="G54" s="4" t="s">
        <v>25</v>
      </c>
      <c r="H54" s="4" t="s">
        <v>25</v>
      </c>
      <c r="I54" s="5">
        <v>44256</v>
      </c>
      <c r="J54" s="6">
        <v>0</v>
      </c>
      <c r="K54" s="6">
        <v>0</v>
      </c>
      <c r="L54" s="6">
        <v>6646.13</v>
      </c>
      <c r="M54" s="6">
        <v>6646.13</v>
      </c>
      <c r="N54" s="6">
        <v>0</v>
      </c>
      <c r="O54" s="6">
        <v>0</v>
      </c>
      <c r="P54" s="6">
        <v>9</v>
      </c>
      <c r="Q54" s="4" t="s">
        <v>60</v>
      </c>
      <c r="R54" s="4">
        <v>0</v>
      </c>
      <c r="S54" s="6">
        <v>0</v>
      </c>
      <c r="T54" s="6">
        <v>25</v>
      </c>
      <c r="U54" s="6">
        <v>0</v>
      </c>
      <c r="V54" s="6">
        <f>IF(ISERROR(VLOOKUP($S$54,'TAR FIN'!$A$1:$O$95,15,0)),0,VLOOKUP($S$54,'TAR FIN'!$A$1:$O$95,15,0))</f>
        <v>0</v>
      </c>
      <c r="W54" s="6">
        <f>IF(ISERROR(VLOOKUP($T$54,'TAR FIN'!$A$1:$O$95,15,0)),0,VLOOKUP($T$54,'TAR FIN'!$A$1:$O$95,15,0))</f>
        <v>52.77</v>
      </c>
      <c r="X54" s="6">
        <f>IF(ISERROR(VLOOKUP($U$54,'TAR FIN'!$A$1:$O$95,15,0)),0,VLOOKUP($U$54,'TAR FIN'!$A$1:$O$95,15,0))</f>
        <v>0</v>
      </c>
      <c r="Y54" s="6"/>
      <c r="Z54" s="6">
        <f ca="1">('TUSD BE'!$AM$7+'TUSD BF'!$AM$7+'TUSD CVA'!$AM$7)*1</f>
        <v>66.362434908719237</v>
      </c>
      <c r="AA54" s="6"/>
      <c r="AB54" s="6">
        <f>$K$54*$V$54</f>
        <v>0</v>
      </c>
      <c r="AC54" s="6">
        <f>$M$54*$W$54</f>
        <v>350716.28010000003</v>
      </c>
      <c r="AD54" s="6">
        <f>$O$54*$X$54</f>
        <v>0</v>
      </c>
      <c r="AE54" s="6">
        <f>$K$54*$Y$54</f>
        <v>0</v>
      </c>
      <c r="AF54" s="6">
        <f ca="1">$M$54*$Z$54</f>
        <v>441053.36951988621</v>
      </c>
      <c r="AG54" s="6">
        <f>$O$54*$AA$54</f>
        <v>0</v>
      </c>
    </row>
    <row r="55" spans="1:33" ht="11.25" customHeight="1" x14ac:dyDescent="0.25">
      <c r="A55" s="4" t="s">
        <v>21</v>
      </c>
      <c r="B55" s="4" t="s">
        <v>43</v>
      </c>
      <c r="C55" s="4" t="s">
        <v>44</v>
      </c>
      <c r="D55" s="4" t="s">
        <v>42</v>
      </c>
      <c r="E55" s="4" t="s">
        <v>25</v>
      </c>
      <c r="F55" s="4" t="s">
        <v>62</v>
      </c>
      <c r="G55" s="4" t="s">
        <v>25</v>
      </c>
      <c r="H55" s="4" t="s">
        <v>25</v>
      </c>
      <c r="I55" s="5">
        <v>44287</v>
      </c>
      <c r="J55" s="6">
        <v>0</v>
      </c>
      <c r="K55" s="6">
        <v>0</v>
      </c>
      <c r="L55" s="6">
        <v>6696.0010000000002</v>
      </c>
      <c r="M55" s="6">
        <v>6696.0010000000002</v>
      </c>
      <c r="N55" s="6">
        <v>0</v>
      </c>
      <c r="O55" s="6">
        <v>0</v>
      </c>
      <c r="P55" s="6">
        <v>9</v>
      </c>
      <c r="Q55" s="4" t="s">
        <v>60</v>
      </c>
      <c r="R55" s="4">
        <v>0</v>
      </c>
      <c r="S55" s="6">
        <v>0</v>
      </c>
      <c r="T55" s="6">
        <v>25</v>
      </c>
      <c r="U55" s="6">
        <v>0</v>
      </c>
      <c r="V55" s="6">
        <f>IF(ISERROR(VLOOKUP($S$55,'TAR FIN'!$A$1:$O$95,15,0)),0,VLOOKUP($S$55,'TAR FIN'!$A$1:$O$95,15,0))</f>
        <v>0</v>
      </c>
      <c r="W55" s="6">
        <f>IF(ISERROR(VLOOKUP($T$55,'TAR FIN'!$A$1:$O$95,15,0)),0,VLOOKUP($T$55,'TAR FIN'!$A$1:$O$95,15,0))</f>
        <v>52.77</v>
      </c>
      <c r="X55" s="6">
        <f>IF(ISERROR(VLOOKUP($U$55,'TAR FIN'!$A$1:$O$95,15,0)),0,VLOOKUP($U$55,'TAR FIN'!$A$1:$O$95,15,0))</f>
        <v>0</v>
      </c>
      <c r="Y55" s="6"/>
      <c r="Z55" s="6">
        <f ca="1">('TUSD BE'!$AM$7+'TUSD BF'!$AM$7+'TUSD CVA'!$AM$7)*1</f>
        <v>66.362434908719237</v>
      </c>
      <c r="AA55" s="6"/>
      <c r="AB55" s="6">
        <f>$K$55*$V$55</f>
        <v>0</v>
      </c>
      <c r="AC55" s="6">
        <f>$M$55*$W$55</f>
        <v>353347.97277000005</v>
      </c>
      <c r="AD55" s="6">
        <f>$O$55*$X$55</f>
        <v>0</v>
      </c>
      <c r="AE55" s="6">
        <f>$K$55*$Y$55</f>
        <v>0</v>
      </c>
      <c r="AF55" s="6">
        <f ca="1">$M$55*$Z$55</f>
        <v>444362.93051121896</v>
      </c>
      <c r="AG55" s="6">
        <f>$O$55*$AA$55</f>
        <v>0</v>
      </c>
    </row>
    <row r="56" spans="1:33" ht="11.25" customHeight="1" x14ac:dyDescent="0.25">
      <c r="A56" s="4" t="s">
        <v>21</v>
      </c>
      <c r="B56" s="4" t="s">
        <v>43</v>
      </c>
      <c r="C56" s="4" t="s">
        <v>44</v>
      </c>
      <c r="D56" s="4" t="s">
        <v>42</v>
      </c>
      <c r="E56" s="4" t="s">
        <v>25</v>
      </c>
      <c r="F56" s="4" t="s">
        <v>62</v>
      </c>
      <c r="G56" s="4" t="s">
        <v>25</v>
      </c>
      <c r="H56" s="4" t="s">
        <v>25</v>
      </c>
      <c r="I56" s="5">
        <v>44317</v>
      </c>
      <c r="J56" s="6">
        <v>0</v>
      </c>
      <c r="K56" s="6">
        <v>0</v>
      </c>
      <c r="L56" s="6">
        <v>7155.2470000000003</v>
      </c>
      <c r="M56" s="6">
        <v>7155.2470000000003</v>
      </c>
      <c r="N56" s="6">
        <v>0</v>
      </c>
      <c r="O56" s="6">
        <v>0</v>
      </c>
      <c r="P56" s="6">
        <v>9</v>
      </c>
      <c r="Q56" s="4" t="s">
        <v>60</v>
      </c>
      <c r="R56" s="4">
        <v>0</v>
      </c>
      <c r="S56" s="6">
        <v>0</v>
      </c>
      <c r="T56" s="6">
        <v>25</v>
      </c>
      <c r="U56" s="6">
        <v>0</v>
      </c>
      <c r="V56" s="6">
        <f>IF(ISERROR(VLOOKUP($S$56,'TAR FIN'!$A$1:$O$95,15,0)),0,VLOOKUP($S$56,'TAR FIN'!$A$1:$O$95,15,0))</f>
        <v>0</v>
      </c>
      <c r="W56" s="6">
        <f>IF(ISERROR(VLOOKUP($T$56,'TAR FIN'!$A$1:$O$95,15,0)),0,VLOOKUP($T$56,'TAR FIN'!$A$1:$O$95,15,0))</f>
        <v>52.77</v>
      </c>
      <c r="X56" s="6">
        <f>IF(ISERROR(VLOOKUP($U$56,'TAR FIN'!$A$1:$O$95,15,0)),0,VLOOKUP($U$56,'TAR FIN'!$A$1:$O$95,15,0))</f>
        <v>0</v>
      </c>
      <c r="Y56" s="6"/>
      <c r="Z56" s="6">
        <f ca="1">('TUSD BE'!$AM$7+'TUSD BF'!$AM$7+'TUSD CVA'!$AM$7)*1</f>
        <v>66.362434908719237</v>
      </c>
      <c r="AA56" s="6"/>
      <c r="AB56" s="6">
        <f>$K$56*$V$56</f>
        <v>0</v>
      </c>
      <c r="AC56" s="6">
        <f>$M$56*$W$56</f>
        <v>377582.38419000001</v>
      </c>
      <c r="AD56" s="6">
        <f>$O$56*$X$56</f>
        <v>0</v>
      </c>
      <c r="AE56" s="6">
        <f>$K$56*$Y$56</f>
        <v>0</v>
      </c>
      <c r="AF56" s="6">
        <f ca="1">$M$56*$Z$56</f>
        <v>474839.61329330859</v>
      </c>
      <c r="AG56" s="6">
        <f>$O$56*$AA$56</f>
        <v>0</v>
      </c>
    </row>
    <row r="57" spans="1:33" ht="11.25" customHeight="1" x14ac:dyDescent="0.25">
      <c r="A57" s="4" t="s">
        <v>21</v>
      </c>
      <c r="B57" s="4" t="s">
        <v>43</v>
      </c>
      <c r="C57" s="4" t="s">
        <v>44</v>
      </c>
      <c r="D57" s="4" t="s">
        <v>42</v>
      </c>
      <c r="E57" s="4" t="s">
        <v>25</v>
      </c>
      <c r="F57" s="4" t="s">
        <v>62</v>
      </c>
      <c r="G57" s="4" t="s">
        <v>25</v>
      </c>
      <c r="H57" s="4" t="s">
        <v>25</v>
      </c>
      <c r="I57" s="5">
        <v>44348</v>
      </c>
      <c r="J57" s="6">
        <v>0</v>
      </c>
      <c r="K57" s="6">
        <v>0</v>
      </c>
      <c r="L57" s="6">
        <v>4973.5590000000002</v>
      </c>
      <c r="M57" s="6">
        <v>4973.5590000000002</v>
      </c>
      <c r="N57" s="6">
        <v>0</v>
      </c>
      <c r="O57" s="6">
        <v>0</v>
      </c>
      <c r="P57" s="6">
        <v>9</v>
      </c>
      <c r="Q57" s="4" t="s">
        <v>60</v>
      </c>
      <c r="R57" s="4">
        <v>0</v>
      </c>
      <c r="S57" s="6">
        <v>0</v>
      </c>
      <c r="T57" s="6">
        <v>25</v>
      </c>
      <c r="U57" s="6">
        <v>0</v>
      </c>
      <c r="V57" s="6">
        <f>IF(ISERROR(VLOOKUP($S$57,'TAR FIN'!$A$1:$O$95,15,0)),0,VLOOKUP($S$57,'TAR FIN'!$A$1:$O$95,15,0))</f>
        <v>0</v>
      </c>
      <c r="W57" s="6">
        <f>IF(ISERROR(VLOOKUP($T$57,'TAR FIN'!$A$1:$O$95,15,0)),0,VLOOKUP($T$57,'TAR FIN'!$A$1:$O$95,15,0))</f>
        <v>52.77</v>
      </c>
      <c r="X57" s="6">
        <f>IF(ISERROR(VLOOKUP($U$57,'TAR FIN'!$A$1:$O$95,15,0)),0,VLOOKUP($U$57,'TAR FIN'!$A$1:$O$95,15,0))</f>
        <v>0</v>
      </c>
      <c r="Y57" s="6"/>
      <c r="Z57" s="6">
        <f ca="1">('TUSD BE'!$AM$7+'TUSD BF'!$AM$7+'TUSD CVA'!$AM$7)*1</f>
        <v>66.362434908719237</v>
      </c>
      <c r="AA57" s="6"/>
      <c r="AB57" s="6">
        <f>$K$57*$V$57</f>
        <v>0</v>
      </c>
      <c r="AC57" s="6">
        <f>$M$57*$W$57</f>
        <v>262454.70843</v>
      </c>
      <c r="AD57" s="6">
        <f>$O$57*$X$57</f>
        <v>0</v>
      </c>
      <c r="AE57" s="6">
        <f>$K$57*$Y$57</f>
        <v>0</v>
      </c>
      <c r="AF57" s="6">
        <f ca="1">$M$57*$Z$57</f>
        <v>330057.48540217476</v>
      </c>
      <c r="AG57" s="6">
        <f>$O$57*$AA$57</f>
        <v>0</v>
      </c>
    </row>
    <row r="58" spans="1:33" ht="11.25" customHeight="1" x14ac:dyDescent="0.25">
      <c r="A58" s="4" t="s">
        <v>21</v>
      </c>
      <c r="B58" s="4" t="s">
        <v>43</v>
      </c>
      <c r="C58" s="4" t="s">
        <v>44</v>
      </c>
      <c r="D58" s="4" t="s">
        <v>42</v>
      </c>
      <c r="E58" s="4" t="s">
        <v>25</v>
      </c>
      <c r="F58" s="4" t="s">
        <v>62</v>
      </c>
      <c r="G58" s="4" t="s">
        <v>25</v>
      </c>
      <c r="H58" s="4" t="s">
        <v>25</v>
      </c>
      <c r="I58" s="5">
        <v>44378</v>
      </c>
      <c r="J58" s="6">
        <v>0</v>
      </c>
      <c r="K58" s="6">
        <v>0</v>
      </c>
      <c r="L58" s="6">
        <v>6277.7579999999998</v>
      </c>
      <c r="M58" s="6">
        <v>6277.7579999999998</v>
      </c>
      <c r="N58" s="6">
        <v>0</v>
      </c>
      <c r="O58" s="6">
        <v>0</v>
      </c>
      <c r="P58" s="6">
        <v>9</v>
      </c>
      <c r="Q58" s="4" t="s">
        <v>60</v>
      </c>
      <c r="R58" s="4">
        <v>0</v>
      </c>
      <c r="S58" s="6">
        <v>0</v>
      </c>
      <c r="T58" s="6">
        <v>25</v>
      </c>
      <c r="U58" s="6">
        <v>0</v>
      </c>
      <c r="V58" s="6">
        <f>IF(ISERROR(VLOOKUP($S$58,'TAR FIN'!$A$1:$O$95,15,0)),0,VLOOKUP($S$58,'TAR FIN'!$A$1:$O$95,15,0))</f>
        <v>0</v>
      </c>
      <c r="W58" s="6">
        <f>IF(ISERROR(VLOOKUP($T$58,'TAR FIN'!$A$1:$O$95,15,0)),0,VLOOKUP($T$58,'TAR FIN'!$A$1:$O$95,15,0))</f>
        <v>52.77</v>
      </c>
      <c r="X58" s="6">
        <f>IF(ISERROR(VLOOKUP($U$58,'TAR FIN'!$A$1:$O$95,15,0)),0,VLOOKUP($U$58,'TAR FIN'!$A$1:$O$95,15,0))</f>
        <v>0</v>
      </c>
      <c r="Y58" s="6"/>
      <c r="Z58" s="6">
        <f ca="1">('TUSD BE'!$AM$7+'TUSD BF'!$AM$7+'TUSD CVA'!$AM$7)*1</f>
        <v>66.362434908719237</v>
      </c>
      <c r="AA58" s="6"/>
      <c r="AB58" s="6">
        <f>$K$58*$V$58</f>
        <v>0</v>
      </c>
      <c r="AC58" s="6">
        <f>$M$58*$W$58</f>
        <v>331277.28966000001</v>
      </c>
      <c r="AD58" s="6">
        <f>$O$58*$X$58</f>
        <v>0</v>
      </c>
      <c r="AE58" s="6">
        <f>$K$58*$Y$58</f>
        <v>0</v>
      </c>
      <c r="AF58" s="6">
        <f ca="1">$M$58*$Z$58</f>
        <v>416607.30664769147</v>
      </c>
      <c r="AG58" s="6">
        <f>$O$58*$AA$58</f>
        <v>0</v>
      </c>
    </row>
    <row r="59" spans="1:33" ht="11.25" customHeight="1" x14ac:dyDescent="0.25">
      <c r="A59" s="4" t="s">
        <v>21</v>
      </c>
      <c r="B59" s="4" t="s">
        <v>43</v>
      </c>
      <c r="C59" s="4" t="s">
        <v>44</v>
      </c>
      <c r="D59" s="4" t="s">
        <v>42</v>
      </c>
      <c r="E59" s="4" t="s">
        <v>25</v>
      </c>
      <c r="F59" s="4" t="s">
        <v>62</v>
      </c>
      <c r="G59" s="4" t="s">
        <v>25</v>
      </c>
      <c r="H59" s="4" t="s">
        <v>25</v>
      </c>
      <c r="I59" s="5">
        <v>44409</v>
      </c>
      <c r="J59" s="6">
        <v>0</v>
      </c>
      <c r="K59" s="6">
        <v>0</v>
      </c>
      <c r="L59" s="6">
        <v>8817.0329999999994</v>
      </c>
      <c r="M59" s="6">
        <v>8817.0329999999994</v>
      </c>
      <c r="N59" s="6">
        <v>0</v>
      </c>
      <c r="O59" s="6">
        <v>0</v>
      </c>
      <c r="P59" s="6">
        <v>10</v>
      </c>
      <c r="Q59" s="4" t="s">
        <v>60</v>
      </c>
      <c r="R59" s="4">
        <v>0</v>
      </c>
      <c r="S59" s="6">
        <v>0</v>
      </c>
      <c r="T59" s="6">
        <v>25</v>
      </c>
      <c r="U59" s="6">
        <v>0</v>
      </c>
      <c r="V59" s="6">
        <f>IF(ISERROR(VLOOKUP($S$59,'TAR FIN'!$A$1:$O$95,15,0)),0,VLOOKUP($S$59,'TAR FIN'!$A$1:$O$95,15,0))</f>
        <v>0</v>
      </c>
      <c r="W59" s="6">
        <f>IF(ISERROR(VLOOKUP($T$59,'TAR FIN'!$A$1:$O$95,15,0)),0,VLOOKUP($T$59,'TAR FIN'!$A$1:$O$95,15,0))</f>
        <v>52.77</v>
      </c>
      <c r="X59" s="6">
        <f>IF(ISERROR(VLOOKUP($U$59,'TAR FIN'!$A$1:$O$95,15,0)),0,VLOOKUP($U$59,'TAR FIN'!$A$1:$O$95,15,0))</f>
        <v>0</v>
      </c>
      <c r="Y59" s="6"/>
      <c r="Z59" s="6">
        <f ca="1">('TUSD BE'!$AM$7+'TUSD BF'!$AM$7+'TUSD CVA'!$AM$7)*1</f>
        <v>66.362434908719237</v>
      </c>
      <c r="AA59" s="6"/>
      <c r="AB59" s="6">
        <f>$K$59*$V$59</f>
        <v>0</v>
      </c>
      <c r="AC59" s="6">
        <f>$M$59*$W$59</f>
        <v>465274.83140999998</v>
      </c>
      <c r="AD59" s="6">
        <f>$O$59*$X$59</f>
        <v>0</v>
      </c>
      <c r="AE59" s="6">
        <f>$K$59*$Y$59</f>
        <v>0</v>
      </c>
      <c r="AF59" s="6">
        <f ca="1">$M$59*$Z$59</f>
        <v>585119.7785505295</v>
      </c>
      <c r="AG59" s="6">
        <f>$O$59*$AA$59</f>
        <v>0</v>
      </c>
    </row>
    <row r="60" spans="1:33" ht="11.25" customHeight="1" x14ac:dyDescent="0.25">
      <c r="A60" s="4" t="s">
        <v>21</v>
      </c>
      <c r="B60" s="4" t="s">
        <v>43</v>
      </c>
      <c r="C60" s="4" t="s">
        <v>44</v>
      </c>
      <c r="D60" s="4" t="s">
        <v>42</v>
      </c>
      <c r="E60" s="4" t="s">
        <v>25</v>
      </c>
      <c r="F60" s="4" t="s">
        <v>62</v>
      </c>
      <c r="G60" s="4" t="s">
        <v>25</v>
      </c>
      <c r="H60" s="4" t="s">
        <v>25</v>
      </c>
      <c r="I60" s="5">
        <v>44440</v>
      </c>
      <c r="J60" s="6">
        <v>0</v>
      </c>
      <c r="K60" s="6">
        <v>0</v>
      </c>
      <c r="L60" s="6">
        <v>8915.491</v>
      </c>
      <c r="M60" s="6">
        <v>8915.491</v>
      </c>
      <c r="N60" s="6">
        <v>0</v>
      </c>
      <c r="O60" s="6">
        <v>0</v>
      </c>
      <c r="P60" s="6">
        <v>10</v>
      </c>
      <c r="Q60" s="4" t="s">
        <v>60</v>
      </c>
      <c r="R60" s="4">
        <v>0</v>
      </c>
      <c r="S60" s="6">
        <v>0</v>
      </c>
      <c r="T60" s="6">
        <v>25</v>
      </c>
      <c r="U60" s="6">
        <v>0</v>
      </c>
      <c r="V60" s="6">
        <f>IF(ISERROR(VLOOKUP($S$60,'TAR FIN'!$A$1:$O$95,15,0)),0,VLOOKUP($S$60,'TAR FIN'!$A$1:$O$95,15,0))</f>
        <v>0</v>
      </c>
      <c r="W60" s="6">
        <f>IF(ISERROR(VLOOKUP($T$60,'TAR FIN'!$A$1:$O$95,15,0)),0,VLOOKUP($T$60,'TAR FIN'!$A$1:$O$95,15,0))</f>
        <v>52.77</v>
      </c>
      <c r="X60" s="6">
        <f>IF(ISERROR(VLOOKUP($U$60,'TAR FIN'!$A$1:$O$95,15,0)),0,VLOOKUP($U$60,'TAR FIN'!$A$1:$O$95,15,0))</f>
        <v>0</v>
      </c>
      <c r="Y60" s="6"/>
      <c r="Z60" s="6">
        <f ca="1">('TUSD BE'!$AM$7+'TUSD BF'!$AM$7+'TUSD CVA'!$AM$7)*1</f>
        <v>66.362434908719237</v>
      </c>
      <c r="AA60" s="6"/>
      <c r="AB60" s="6">
        <f>$K$60*$V$60</f>
        <v>0</v>
      </c>
      <c r="AC60" s="6">
        <f>$M$60*$W$60</f>
        <v>470470.46007000003</v>
      </c>
      <c r="AD60" s="6">
        <f>$O$60*$X$60</f>
        <v>0</v>
      </c>
      <c r="AE60" s="6">
        <f>$K$60*$Y$60</f>
        <v>0</v>
      </c>
      <c r="AF60" s="6">
        <f ca="1">$M$60*$Z$60</f>
        <v>591653.69116677216</v>
      </c>
      <c r="AG60" s="6">
        <f>$O$60*$AA$60</f>
        <v>0</v>
      </c>
    </row>
    <row r="61" spans="1:33" ht="11.25" customHeight="1" x14ac:dyDescent="0.25">
      <c r="A61" s="4" t="s">
        <v>59</v>
      </c>
      <c r="B61" s="4" t="s">
        <v>43</v>
      </c>
      <c r="C61" s="4" t="s">
        <v>44</v>
      </c>
      <c r="D61" s="4" t="s">
        <v>42</v>
      </c>
      <c r="E61" s="4" t="s">
        <v>25</v>
      </c>
      <c r="F61" s="4" t="s">
        <v>62</v>
      </c>
      <c r="G61" s="4" t="s">
        <v>25</v>
      </c>
      <c r="H61" s="4" t="s">
        <v>25</v>
      </c>
      <c r="I61" s="5">
        <v>44470</v>
      </c>
      <c r="J61" s="6">
        <v>0</v>
      </c>
      <c r="K61" s="6">
        <v>0</v>
      </c>
      <c r="L61" s="6">
        <v>8915.491</v>
      </c>
      <c r="M61" s="6">
        <v>8915.491</v>
      </c>
      <c r="N61" s="6">
        <v>0</v>
      </c>
      <c r="O61" s="6">
        <v>0</v>
      </c>
      <c r="P61" s="6">
        <v>10</v>
      </c>
      <c r="Q61" s="4" t="s">
        <v>60</v>
      </c>
      <c r="R61" s="4">
        <v>0</v>
      </c>
      <c r="S61" s="6">
        <v>0</v>
      </c>
      <c r="T61" s="6">
        <v>25</v>
      </c>
      <c r="U61" s="6">
        <v>0</v>
      </c>
      <c r="V61" s="6">
        <f>IF(ISERROR(VLOOKUP($S$61,'TAR FIN'!$A$1:$O$95,15,0)),0,VLOOKUP($S$61,'TAR FIN'!$A$1:$O$95,15,0))</f>
        <v>0</v>
      </c>
      <c r="W61" s="6">
        <f>IF(ISERROR(VLOOKUP($T$61,'TAR FIN'!$A$1:$O$95,15,0)),0,VLOOKUP($T$61,'TAR FIN'!$A$1:$O$95,15,0))</f>
        <v>52.77</v>
      </c>
      <c r="X61" s="6">
        <f>IF(ISERROR(VLOOKUP($U$61,'TAR FIN'!$A$1:$O$95,15,0)),0,VLOOKUP($U$61,'TAR FIN'!$A$1:$O$95,15,0))</f>
        <v>0</v>
      </c>
      <c r="Y61" s="6"/>
      <c r="Z61" s="6">
        <f ca="1">('TUSD BE'!$AM$7+'TUSD BF'!$AM$7+'TUSD CVA'!$AM$7)*1</f>
        <v>66.362434908719237</v>
      </c>
      <c r="AA61" s="6"/>
      <c r="AB61" s="6">
        <f>$K$61*$V$61</f>
        <v>0</v>
      </c>
      <c r="AC61" s="6">
        <f>$M$61*$W$61</f>
        <v>470470.46007000003</v>
      </c>
      <c r="AD61" s="6">
        <f>$O$61*$X$61</f>
        <v>0</v>
      </c>
      <c r="AE61" s="6">
        <f>$K$61*$Y$61</f>
        <v>0</v>
      </c>
      <c r="AF61" s="6">
        <f ca="1">$M$61*$Z$61</f>
        <v>591653.69116677216</v>
      </c>
      <c r="AG61" s="6">
        <f>$O$61*$AA$61</f>
        <v>0</v>
      </c>
    </row>
    <row r="62" spans="1:33" ht="11.25" customHeight="1" x14ac:dyDescent="0.25">
      <c r="A62" s="4" t="s">
        <v>21</v>
      </c>
      <c r="B62" s="4" t="s">
        <v>43</v>
      </c>
      <c r="C62" s="4" t="s">
        <v>44</v>
      </c>
      <c r="D62" s="4" t="s">
        <v>42</v>
      </c>
      <c r="E62" s="4" t="s">
        <v>25</v>
      </c>
      <c r="F62" s="4" t="s">
        <v>62</v>
      </c>
      <c r="G62" s="4" t="s">
        <v>25</v>
      </c>
      <c r="H62" s="4" t="s">
        <v>37</v>
      </c>
      <c r="I62" s="5">
        <v>44136</v>
      </c>
      <c r="J62" s="6">
        <v>20434</v>
      </c>
      <c r="K62" s="6">
        <v>10756.4576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4" t="s">
        <v>60</v>
      </c>
      <c r="R62" s="4">
        <v>0</v>
      </c>
      <c r="S62" s="6">
        <v>1</v>
      </c>
      <c r="T62" s="6">
        <v>0</v>
      </c>
      <c r="U62" s="6">
        <v>0</v>
      </c>
      <c r="V62" s="6">
        <f>IF(ISERROR(VLOOKUP($S$62,'TAR FIN'!$A$1:$O$95,15,0)),0,VLOOKUP($S$62,'TAR FIN'!$A$1:$O$95,15,0))</f>
        <v>7.24</v>
      </c>
      <c r="W62" s="6">
        <f>IF(ISERROR(VLOOKUP($T$62,'TAR FIN'!$A$1:$O$95,15,0)),0,VLOOKUP($T$62,'TAR FIN'!$A$1:$O$95,15,0))</f>
        <v>0</v>
      </c>
      <c r="X62" s="6">
        <f>IF(ISERROR(VLOOKUP($U$62,'TAR FIN'!$A$1:$O$95,15,0)),0,VLOOKUP($U$62,'TAR FIN'!$A$1:$O$95,15,0))</f>
        <v>0</v>
      </c>
      <c r="Y62" s="6">
        <f ca="1">('TUSD BE'!$AM$5+'TUSD BF'!$AM$5+'TUSD CVA'!$AM$5)*1</f>
        <v>7.9533527807993183</v>
      </c>
      <c r="Z62" s="6">
        <f ca="1">('TUSD BE'!$AM$7+'TUSD BF'!$AM$7+'TUSD CVA'!$AM$7)*1</f>
        <v>66.362434908719237</v>
      </c>
      <c r="AA62" s="6"/>
      <c r="AB62" s="6">
        <f>$K$62*$V$62</f>
        <v>77876.753024000005</v>
      </c>
      <c r="AC62" s="6">
        <f>$M$62*$W$62</f>
        <v>0</v>
      </c>
      <c r="AD62" s="6">
        <f>$O$62*$X$62</f>
        <v>0</v>
      </c>
      <c r="AE62" s="6">
        <f ca="1">$K$62*$Y$62</f>
        <v>85549.901964509962</v>
      </c>
      <c r="AF62" s="6">
        <f ca="1">$M$62*$Z$62</f>
        <v>0</v>
      </c>
      <c r="AG62" s="6">
        <f>$O$62*$AA$62</f>
        <v>0</v>
      </c>
    </row>
    <row r="63" spans="1:33" ht="11.25" customHeight="1" x14ac:dyDescent="0.25">
      <c r="A63" s="4" t="s">
        <v>21</v>
      </c>
      <c r="B63" s="4" t="s">
        <v>43</v>
      </c>
      <c r="C63" s="4" t="s">
        <v>44</v>
      </c>
      <c r="D63" s="4" t="s">
        <v>42</v>
      </c>
      <c r="E63" s="4" t="s">
        <v>25</v>
      </c>
      <c r="F63" s="4" t="s">
        <v>62</v>
      </c>
      <c r="G63" s="4" t="s">
        <v>25</v>
      </c>
      <c r="H63" s="4" t="s">
        <v>37</v>
      </c>
      <c r="I63" s="5">
        <v>44166</v>
      </c>
      <c r="J63" s="6">
        <v>21254</v>
      </c>
      <c r="K63" s="6">
        <v>13013.824199999999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4" t="s">
        <v>60</v>
      </c>
      <c r="R63" s="4">
        <v>0</v>
      </c>
      <c r="S63" s="6">
        <v>1</v>
      </c>
      <c r="T63" s="6">
        <v>0</v>
      </c>
      <c r="U63" s="6">
        <v>0</v>
      </c>
      <c r="V63" s="6">
        <f>IF(ISERROR(VLOOKUP($S$63,'TAR FIN'!$A$1:$O$95,15,0)),0,VLOOKUP($S$63,'TAR FIN'!$A$1:$O$95,15,0))</f>
        <v>7.24</v>
      </c>
      <c r="W63" s="6">
        <f>IF(ISERROR(VLOOKUP($T$63,'TAR FIN'!$A$1:$O$95,15,0)),0,VLOOKUP($T$63,'TAR FIN'!$A$1:$O$95,15,0))</f>
        <v>0</v>
      </c>
      <c r="X63" s="6">
        <f>IF(ISERROR(VLOOKUP($U$63,'TAR FIN'!$A$1:$O$95,15,0)),0,VLOOKUP($U$63,'TAR FIN'!$A$1:$O$95,15,0))</f>
        <v>0</v>
      </c>
      <c r="Y63" s="6">
        <f ca="1">('TUSD BE'!$AM$5+'TUSD BF'!$AM$5+'TUSD CVA'!$AM$5)*1</f>
        <v>7.9533527807993183</v>
      </c>
      <c r="Z63" s="6">
        <f ca="1">('TUSD BE'!$AM$7+'TUSD BF'!$AM$7+'TUSD CVA'!$AM$7)*1</f>
        <v>66.362434908719237</v>
      </c>
      <c r="AA63" s="6"/>
      <c r="AB63" s="6">
        <f>$K$63*$V$63</f>
        <v>94220.087207999997</v>
      </c>
      <c r="AC63" s="6">
        <f>$M$63*$W$63</f>
        <v>0</v>
      </c>
      <c r="AD63" s="6">
        <f>$O$63*$X$63</f>
        <v>0</v>
      </c>
      <c r="AE63" s="6">
        <f ca="1">$K$63*$Y$63</f>
        <v>103503.53488990346</v>
      </c>
      <c r="AF63" s="6">
        <f ca="1">$M$63*$Z$63</f>
        <v>0</v>
      </c>
      <c r="AG63" s="6">
        <f>$O$63*$AA$63</f>
        <v>0</v>
      </c>
    </row>
    <row r="64" spans="1:33" ht="11.25" customHeight="1" x14ac:dyDescent="0.25">
      <c r="A64" s="4" t="s">
        <v>21</v>
      </c>
      <c r="B64" s="4" t="s">
        <v>43</v>
      </c>
      <c r="C64" s="4" t="s">
        <v>44</v>
      </c>
      <c r="D64" s="4" t="s">
        <v>42</v>
      </c>
      <c r="E64" s="4" t="s">
        <v>25</v>
      </c>
      <c r="F64" s="4" t="s">
        <v>62</v>
      </c>
      <c r="G64" s="4" t="s">
        <v>25</v>
      </c>
      <c r="H64" s="4" t="s">
        <v>37</v>
      </c>
      <c r="I64" s="5">
        <v>44197</v>
      </c>
      <c r="J64" s="6">
        <v>21228</v>
      </c>
      <c r="K64" s="6">
        <v>12997.904399999999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4" t="s">
        <v>60</v>
      </c>
      <c r="R64" s="4">
        <v>0</v>
      </c>
      <c r="S64" s="6">
        <v>1</v>
      </c>
      <c r="T64" s="6">
        <v>0</v>
      </c>
      <c r="U64" s="6">
        <v>0</v>
      </c>
      <c r="V64" s="6">
        <f>IF(ISERROR(VLOOKUP($S$64,'TAR FIN'!$A$1:$O$95,15,0)),0,VLOOKUP($S$64,'TAR FIN'!$A$1:$O$95,15,0))</f>
        <v>7.24</v>
      </c>
      <c r="W64" s="6">
        <f>IF(ISERROR(VLOOKUP($T$64,'TAR FIN'!$A$1:$O$95,15,0)),0,VLOOKUP($T$64,'TAR FIN'!$A$1:$O$95,15,0))</f>
        <v>0</v>
      </c>
      <c r="X64" s="6">
        <f>IF(ISERROR(VLOOKUP($U$64,'TAR FIN'!$A$1:$O$95,15,0)),0,VLOOKUP($U$64,'TAR FIN'!$A$1:$O$95,15,0))</f>
        <v>0</v>
      </c>
      <c r="Y64" s="6">
        <f ca="1">('TUSD BE'!$AM$5+'TUSD BF'!$AM$5+'TUSD CVA'!$AM$5)*1</f>
        <v>7.9533527807993183</v>
      </c>
      <c r="Z64" s="6">
        <f ca="1">('TUSD BE'!$AM$7+'TUSD BF'!$AM$7+'TUSD CVA'!$AM$7)*1</f>
        <v>66.362434908719237</v>
      </c>
      <c r="AA64" s="6"/>
      <c r="AB64" s="6">
        <f>$K$64*$V$64</f>
        <v>94104.827856000004</v>
      </c>
      <c r="AC64" s="6">
        <f>$M$64*$W$64</f>
        <v>0</v>
      </c>
      <c r="AD64" s="6">
        <f>$O$64*$X$64</f>
        <v>0</v>
      </c>
      <c r="AE64" s="6">
        <f ca="1">$K$64*$Y$64</f>
        <v>103376.91910430368</v>
      </c>
      <c r="AF64" s="6">
        <f ca="1">$M$64*$Z$64</f>
        <v>0</v>
      </c>
      <c r="AG64" s="6">
        <f>$O$64*$AA$64</f>
        <v>0</v>
      </c>
    </row>
    <row r="65" spans="1:33" ht="11.25" customHeight="1" x14ac:dyDescent="0.25">
      <c r="A65" s="4" t="s">
        <v>21</v>
      </c>
      <c r="B65" s="4" t="s">
        <v>43</v>
      </c>
      <c r="C65" s="4" t="s">
        <v>44</v>
      </c>
      <c r="D65" s="4" t="s">
        <v>42</v>
      </c>
      <c r="E65" s="4" t="s">
        <v>25</v>
      </c>
      <c r="F65" s="4" t="s">
        <v>62</v>
      </c>
      <c r="G65" s="4" t="s">
        <v>25</v>
      </c>
      <c r="H65" s="4" t="s">
        <v>37</v>
      </c>
      <c r="I65" s="5">
        <v>44228</v>
      </c>
      <c r="J65" s="6">
        <v>21228</v>
      </c>
      <c r="K65" s="6">
        <v>12997.904399999999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4" t="s">
        <v>60</v>
      </c>
      <c r="R65" s="4">
        <v>0</v>
      </c>
      <c r="S65" s="6">
        <v>1</v>
      </c>
      <c r="T65" s="6">
        <v>0</v>
      </c>
      <c r="U65" s="6">
        <v>0</v>
      </c>
      <c r="V65" s="6">
        <f>IF(ISERROR(VLOOKUP($S$65,'TAR FIN'!$A$1:$O$95,15,0)),0,VLOOKUP($S$65,'TAR FIN'!$A$1:$O$95,15,0))</f>
        <v>7.24</v>
      </c>
      <c r="W65" s="6">
        <f>IF(ISERROR(VLOOKUP($T$65,'TAR FIN'!$A$1:$O$95,15,0)),0,VLOOKUP($T$65,'TAR FIN'!$A$1:$O$95,15,0))</f>
        <v>0</v>
      </c>
      <c r="X65" s="6">
        <f>IF(ISERROR(VLOOKUP($U$65,'TAR FIN'!$A$1:$O$95,15,0)),0,VLOOKUP($U$65,'TAR FIN'!$A$1:$O$95,15,0))</f>
        <v>0</v>
      </c>
      <c r="Y65" s="6">
        <f ca="1">('TUSD BE'!$AM$5+'TUSD BF'!$AM$5+'TUSD CVA'!$AM$5)*1</f>
        <v>7.9533527807993183</v>
      </c>
      <c r="Z65" s="6">
        <f ca="1">('TUSD BE'!$AM$7+'TUSD BF'!$AM$7+'TUSD CVA'!$AM$7)*1</f>
        <v>66.362434908719237</v>
      </c>
      <c r="AA65" s="6"/>
      <c r="AB65" s="6">
        <f>$K$65*$V$65</f>
        <v>94104.827856000004</v>
      </c>
      <c r="AC65" s="6">
        <f>$M$65*$W$65</f>
        <v>0</v>
      </c>
      <c r="AD65" s="6">
        <f>$O$65*$X$65</f>
        <v>0</v>
      </c>
      <c r="AE65" s="6">
        <f ca="1">$K$65*$Y$65</f>
        <v>103376.91910430368</v>
      </c>
      <c r="AF65" s="6">
        <f ca="1">$M$65*$Z$65</f>
        <v>0</v>
      </c>
      <c r="AG65" s="6">
        <f>$O$65*$AA$65</f>
        <v>0</v>
      </c>
    </row>
    <row r="66" spans="1:33" ht="11.25" customHeight="1" x14ac:dyDescent="0.25">
      <c r="A66" s="4" t="s">
        <v>21</v>
      </c>
      <c r="B66" s="4" t="s">
        <v>43</v>
      </c>
      <c r="C66" s="4" t="s">
        <v>44</v>
      </c>
      <c r="D66" s="4" t="s">
        <v>42</v>
      </c>
      <c r="E66" s="4" t="s">
        <v>25</v>
      </c>
      <c r="F66" s="4" t="s">
        <v>62</v>
      </c>
      <c r="G66" s="4" t="s">
        <v>25</v>
      </c>
      <c r="H66" s="4" t="s">
        <v>37</v>
      </c>
      <c r="I66" s="5">
        <v>44256</v>
      </c>
      <c r="J66" s="6">
        <v>21228</v>
      </c>
      <c r="K66" s="6">
        <v>12997.904399999999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4" t="s">
        <v>60</v>
      </c>
      <c r="R66" s="4">
        <v>0</v>
      </c>
      <c r="S66" s="6">
        <v>1</v>
      </c>
      <c r="T66" s="6">
        <v>0</v>
      </c>
      <c r="U66" s="6">
        <v>0</v>
      </c>
      <c r="V66" s="6">
        <f>IF(ISERROR(VLOOKUP($S$66,'TAR FIN'!$A$1:$O$95,15,0)),0,VLOOKUP($S$66,'TAR FIN'!$A$1:$O$95,15,0))</f>
        <v>7.24</v>
      </c>
      <c r="W66" s="6">
        <f>IF(ISERROR(VLOOKUP($T$66,'TAR FIN'!$A$1:$O$95,15,0)),0,VLOOKUP($T$66,'TAR FIN'!$A$1:$O$95,15,0))</f>
        <v>0</v>
      </c>
      <c r="X66" s="6">
        <f>IF(ISERROR(VLOOKUP($U$66,'TAR FIN'!$A$1:$O$95,15,0)),0,VLOOKUP($U$66,'TAR FIN'!$A$1:$O$95,15,0))</f>
        <v>0</v>
      </c>
      <c r="Y66" s="6">
        <f ca="1">('TUSD BE'!$AM$5+'TUSD BF'!$AM$5+'TUSD CVA'!$AM$5)*1</f>
        <v>7.9533527807993183</v>
      </c>
      <c r="Z66" s="6">
        <f ca="1">('TUSD BE'!$AM$7+'TUSD BF'!$AM$7+'TUSD CVA'!$AM$7)*1</f>
        <v>66.362434908719237</v>
      </c>
      <c r="AA66" s="6"/>
      <c r="AB66" s="6">
        <f>$K$66*$V$66</f>
        <v>94104.827856000004</v>
      </c>
      <c r="AC66" s="6">
        <f>$M$66*$W$66</f>
        <v>0</v>
      </c>
      <c r="AD66" s="6">
        <f>$O$66*$X$66</f>
        <v>0</v>
      </c>
      <c r="AE66" s="6">
        <f ca="1">$K$66*$Y$66</f>
        <v>103376.91910430368</v>
      </c>
      <c r="AF66" s="6">
        <f ca="1">$M$66*$Z$66</f>
        <v>0</v>
      </c>
      <c r="AG66" s="6">
        <f>$O$66*$AA$66</f>
        <v>0</v>
      </c>
    </row>
    <row r="67" spans="1:33" ht="11.25" customHeight="1" x14ac:dyDescent="0.25">
      <c r="A67" s="4" t="s">
        <v>21</v>
      </c>
      <c r="B67" s="4" t="s">
        <v>43</v>
      </c>
      <c r="C67" s="4" t="s">
        <v>44</v>
      </c>
      <c r="D67" s="4" t="s">
        <v>42</v>
      </c>
      <c r="E67" s="4" t="s">
        <v>25</v>
      </c>
      <c r="F67" s="4" t="s">
        <v>62</v>
      </c>
      <c r="G67" s="4" t="s">
        <v>25</v>
      </c>
      <c r="H67" s="4" t="s">
        <v>37</v>
      </c>
      <c r="I67" s="5">
        <v>44287</v>
      </c>
      <c r="J67" s="6">
        <v>21228</v>
      </c>
      <c r="K67" s="6">
        <v>12997.904399999999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4" t="s">
        <v>60</v>
      </c>
      <c r="R67" s="4">
        <v>0</v>
      </c>
      <c r="S67" s="6">
        <v>1</v>
      </c>
      <c r="T67" s="6">
        <v>0</v>
      </c>
      <c r="U67" s="6">
        <v>0</v>
      </c>
      <c r="V67" s="6">
        <f>IF(ISERROR(VLOOKUP($S$67,'TAR FIN'!$A$1:$O$95,15,0)),0,VLOOKUP($S$67,'TAR FIN'!$A$1:$O$95,15,0))</f>
        <v>7.24</v>
      </c>
      <c r="W67" s="6">
        <f>IF(ISERROR(VLOOKUP($T$67,'TAR FIN'!$A$1:$O$95,15,0)),0,VLOOKUP($T$67,'TAR FIN'!$A$1:$O$95,15,0))</f>
        <v>0</v>
      </c>
      <c r="X67" s="6">
        <f>IF(ISERROR(VLOOKUP($U$67,'TAR FIN'!$A$1:$O$95,15,0)),0,VLOOKUP($U$67,'TAR FIN'!$A$1:$O$95,15,0))</f>
        <v>0</v>
      </c>
      <c r="Y67" s="6">
        <f ca="1">('TUSD BE'!$AM$5+'TUSD BF'!$AM$5+'TUSD CVA'!$AM$5)*1</f>
        <v>7.9533527807993183</v>
      </c>
      <c r="Z67" s="6">
        <f ca="1">('TUSD BE'!$AM$7+'TUSD BF'!$AM$7+'TUSD CVA'!$AM$7)*1</f>
        <v>66.362434908719237</v>
      </c>
      <c r="AA67" s="6"/>
      <c r="AB67" s="6">
        <f>$K$67*$V$67</f>
        <v>94104.827856000004</v>
      </c>
      <c r="AC67" s="6">
        <f>$M$67*$W$67</f>
        <v>0</v>
      </c>
      <c r="AD67" s="6">
        <f>$O$67*$X$67</f>
        <v>0</v>
      </c>
      <c r="AE67" s="6">
        <f ca="1">$K$67*$Y$67</f>
        <v>103376.91910430368</v>
      </c>
      <c r="AF67" s="6">
        <f ca="1">$M$67*$Z$67</f>
        <v>0</v>
      </c>
      <c r="AG67" s="6">
        <f>$O$67*$AA$67</f>
        <v>0</v>
      </c>
    </row>
    <row r="68" spans="1:33" ht="11.25" customHeight="1" x14ac:dyDescent="0.25">
      <c r="A68" s="4" t="s">
        <v>21</v>
      </c>
      <c r="B68" s="4" t="s">
        <v>43</v>
      </c>
      <c r="C68" s="4" t="s">
        <v>44</v>
      </c>
      <c r="D68" s="4" t="s">
        <v>42</v>
      </c>
      <c r="E68" s="4" t="s">
        <v>25</v>
      </c>
      <c r="F68" s="4" t="s">
        <v>62</v>
      </c>
      <c r="G68" s="4" t="s">
        <v>25</v>
      </c>
      <c r="H68" s="4" t="s">
        <v>37</v>
      </c>
      <c r="I68" s="5">
        <v>44317</v>
      </c>
      <c r="J68" s="6">
        <v>21228</v>
      </c>
      <c r="K68" s="6">
        <v>12997.904399999999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4" t="s">
        <v>60</v>
      </c>
      <c r="R68" s="4">
        <v>0</v>
      </c>
      <c r="S68" s="6">
        <v>1</v>
      </c>
      <c r="T68" s="6">
        <v>0</v>
      </c>
      <c r="U68" s="6">
        <v>0</v>
      </c>
      <c r="V68" s="6">
        <f>IF(ISERROR(VLOOKUP($S$68,'TAR FIN'!$A$1:$O$95,15,0)),0,VLOOKUP($S$68,'TAR FIN'!$A$1:$O$95,15,0))</f>
        <v>7.24</v>
      </c>
      <c r="W68" s="6">
        <f>IF(ISERROR(VLOOKUP($T$68,'TAR FIN'!$A$1:$O$95,15,0)),0,VLOOKUP($T$68,'TAR FIN'!$A$1:$O$95,15,0))</f>
        <v>0</v>
      </c>
      <c r="X68" s="6">
        <f>IF(ISERROR(VLOOKUP($U$68,'TAR FIN'!$A$1:$O$95,15,0)),0,VLOOKUP($U$68,'TAR FIN'!$A$1:$O$95,15,0))</f>
        <v>0</v>
      </c>
      <c r="Y68" s="6">
        <f ca="1">('TUSD BE'!$AM$5+'TUSD BF'!$AM$5+'TUSD CVA'!$AM$5)*1</f>
        <v>7.9533527807993183</v>
      </c>
      <c r="Z68" s="6">
        <f ca="1">('TUSD BE'!$AM$7+'TUSD BF'!$AM$7+'TUSD CVA'!$AM$7)*1</f>
        <v>66.362434908719237</v>
      </c>
      <c r="AA68" s="6"/>
      <c r="AB68" s="6">
        <f>$K$68*$V$68</f>
        <v>94104.827856000004</v>
      </c>
      <c r="AC68" s="6">
        <f>$M$68*$W$68</f>
        <v>0</v>
      </c>
      <c r="AD68" s="6">
        <f>$O$68*$X$68</f>
        <v>0</v>
      </c>
      <c r="AE68" s="6">
        <f ca="1">$K$68*$Y$68</f>
        <v>103376.91910430368</v>
      </c>
      <c r="AF68" s="6">
        <f ca="1">$M$68*$Z$68</f>
        <v>0</v>
      </c>
      <c r="AG68" s="6">
        <f>$O$68*$AA$68</f>
        <v>0</v>
      </c>
    </row>
    <row r="69" spans="1:33" ht="11.25" customHeight="1" x14ac:dyDescent="0.25">
      <c r="A69" s="4" t="s">
        <v>21</v>
      </c>
      <c r="B69" s="4" t="s">
        <v>43</v>
      </c>
      <c r="C69" s="4" t="s">
        <v>44</v>
      </c>
      <c r="D69" s="4" t="s">
        <v>42</v>
      </c>
      <c r="E69" s="4" t="s">
        <v>25</v>
      </c>
      <c r="F69" s="4" t="s">
        <v>62</v>
      </c>
      <c r="G69" s="4" t="s">
        <v>25</v>
      </c>
      <c r="H69" s="4" t="s">
        <v>37</v>
      </c>
      <c r="I69" s="5">
        <v>44348</v>
      </c>
      <c r="J69" s="6">
        <v>21228</v>
      </c>
      <c r="K69" s="6">
        <v>12997.904399999999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4" t="s">
        <v>60</v>
      </c>
      <c r="R69" s="4">
        <v>0</v>
      </c>
      <c r="S69" s="6">
        <v>1</v>
      </c>
      <c r="T69" s="6">
        <v>0</v>
      </c>
      <c r="U69" s="6">
        <v>0</v>
      </c>
      <c r="V69" s="6">
        <f>IF(ISERROR(VLOOKUP($S$69,'TAR FIN'!$A$1:$O$95,15,0)),0,VLOOKUP($S$69,'TAR FIN'!$A$1:$O$95,15,0))</f>
        <v>7.24</v>
      </c>
      <c r="W69" s="6">
        <f>IF(ISERROR(VLOOKUP($T$69,'TAR FIN'!$A$1:$O$95,15,0)),0,VLOOKUP($T$69,'TAR FIN'!$A$1:$O$95,15,0))</f>
        <v>0</v>
      </c>
      <c r="X69" s="6">
        <f>IF(ISERROR(VLOOKUP($U$69,'TAR FIN'!$A$1:$O$95,15,0)),0,VLOOKUP($U$69,'TAR FIN'!$A$1:$O$95,15,0))</f>
        <v>0</v>
      </c>
      <c r="Y69" s="6">
        <f ca="1">('TUSD BE'!$AM$5+'TUSD BF'!$AM$5+'TUSD CVA'!$AM$5)*1</f>
        <v>7.9533527807993183</v>
      </c>
      <c r="Z69" s="6">
        <f ca="1">('TUSD BE'!$AM$7+'TUSD BF'!$AM$7+'TUSD CVA'!$AM$7)*1</f>
        <v>66.362434908719237</v>
      </c>
      <c r="AA69" s="6"/>
      <c r="AB69" s="6">
        <f>$K$69*$V$69</f>
        <v>94104.827856000004</v>
      </c>
      <c r="AC69" s="6">
        <f>$M$69*$W$69</f>
        <v>0</v>
      </c>
      <c r="AD69" s="6">
        <f>$O$69*$X$69</f>
        <v>0</v>
      </c>
      <c r="AE69" s="6">
        <f ca="1">$K$69*$Y$69</f>
        <v>103376.91910430368</v>
      </c>
      <c r="AF69" s="6">
        <f ca="1">$M$69*$Z$69</f>
        <v>0</v>
      </c>
      <c r="AG69" s="6">
        <f>$O$69*$AA$69</f>
        <v>0</v>
      </c>
    </row>
    <row r="70" spans="1:33" ht="11.25" customHeight="1" x14ac:dyDescent="0.25">
      <c r="A70" s="4" t="s">
        <v>21</v>
      </c>
      <c r="B70" s="4" t="s">
        <v>43</v>
      </c>
      <c r="C70" s="4" t="s">
        <v>44</v>
      </c>
      <c r="D70" s="4" t="s">
        <v>42</v>
      </c>
      <c r="E70" s="4" t="s">
        <v>25</v>
      </c>
      <c r="F70" s="4" t="s">
        <v>62</v>
      </c>
      <c r="G70" s="4" t="s">
        <v>25</v>
      </c>
      <c r="H70" s="4" t="s">
        <v>37</v>
      </c>
      <c r="I70" s="5">
        <v>44378</v>
      </c>
      <c r="J70" s="6">
        <v>21228</v>
      </c>
      <c r="K70" s="6">
        <v>12997.904399999999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4" t="s">
        <v>60</v>
      </c>
      <c r="R70" s="4">
        <v>0</v>
      </c>
      <c r="S70" s="6">
        <v>1</v>
      </c>
      <c r="T70" s="6">
        <v>0</v>
      </c>
      <c r="U70" s="6">
        <v>0</v>
      </c>
      <c r="V70" s="6">
        <f>IF(ISERROR(VLOOKUP($S$70,'TAR FIN'!$A$1:$O$95,15,0)),0,VLOOKUP($S$70,'TAR FIN'!$A$1:$O$95,15,0))</f>
        <v>7.24</v>
      </c>
      <c r="W70" s="6">
        <f>IF(ISERROR(VLOOKUP($T$70,'TAR FIN'!$A$1:$O$95,15,0)),0,VLOOKUP($T$70,'TAR FIN'!$A$1:$O$95,15,0))</f>
        <v>0</v>
      </c>
      <c r="X70" s="6">
        <f>IF(ISERROR(VLOOKUP($U$70,'TAR FIN'!$A$1:$O$95,15,0)),0,VLOOKUP($U$70,'TAR FIN'!$A$1:$O$95,15,0))</f>
        <v>0</v>
      </c>
      <c r="Y70" s="6">
        <f ca="1">('TUSD BE'!$AM$5+'TUSD BF'!$AM$5+'TUSD CVA'!$AM$5)*1</f>
        <v>7.9533527807993183</v>
      </c>
      <c r="Z70" s="6">
        <f ca="1">('TUSD BE'!$AM$7+'TUSD BF'!$AM$7+'TUSD CVA'!$AM$7)*1</f>
        <v>66.362434908719237</v>
      </c>
      <c r="AA70" s="6"/>
      <c r="AB70" s="6">
        <f>$K$70*$V$70</f>
        <v>94104.827856000004</v>
      </c>
      <c r="AC70" s="6">
        <f>$M$70*$W$70</f>
        <v>0</v>
      </c>
      <c r="AD70" s="6">
        <f>$O$70*$X$70</f>
        <v>0</v>
      </c>
      <c r="AE70" s="6">
        <f ca="1">$K$70*$Y$70</f>
        <v>103376.91910430368</v>
      </c>
      <c r="AF70" s="6">
        <f ca="1">$M$70*$Z$70</f>
        <v>0</v>
      </c>
      <c r="AG70" s="6">
        <f>$O$70*$AA$70</f>
        <v>0</v>
      </c>
    </row>
    <row r="71" spans="1:33" ht="11.25" customHeight="1" x14ac:dyDescent="0.25">
      <c r="A71" s="4" t="s">
        <v>21</v>
      </c>
      <c r="B71" s="4" t="s">
        <v>43</v>
      </c>
      <c r="C71" s="4" t="s">
        <v>44</v>
      </c>
      <c r="D71" s="4" t="s">
        <v>42</v>
      </c>
      <c r="E71" s="4" t="s">
        <v>25</v>
      </c>
      <c r="F71" s="4" t="s">
        <v>62</v>
      </c>
      <c r="G71" s="4" t="s">
        <v>25</v>
      </c>
      <c r="H71" s="4" t="s">
        <v>37</v>
      </c>
      <c r="I71" s="5">
        <v>44409</v>
      </c>
      <c r="J71" s="6">
        <v>23872</v>
      </c>
      <c r="K71" s="6">
        <v>14953.4208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4" t="s">
        <v>60</v>
      </c>
      <c r="R71" s="4">
        <v>0</v>
      </c>
      <c r="S71" s="6">
        <v>1</v>
      </c>
      <c r="T71" s="6">
        <v>0</v>
      </c>
      <c r="U71" s="6">
        <v>0</v>
      </c>
      <c r="V71" s="6">
        <f>IF(ISERROR(VLOOKUP($S$71,'TAR FIN'!$A$1:$O$95,15,0)),0,VLOOKUP($S$71,'TAR FIN'!$A$1:$O$95,15,0))</f>
        <v>7.24</v>
      </c>
      <c r="W71" s="6">
        <f>IF(ISERROR(VLOOKUP($T$71,'TAR FIN'!$A$1:$O$95,15,0)),0,VLOOKUP($T$71,'TAR FIN'!$A$1:$O$95,15,0))</f>
        <v>0</v>
      </c>
      <c r="X71" s="6">
        <f>IF(ISERROR(VLOOKUP($U$71,'TAR FIN'!$A$1:$O$95,15,0)),0,VLOOKUP($U$71,'TAR FIN'!$A$1:$O$95,15,0))</f>
        <v>0</v>
      </c>
      <c r="Y71" s="6">
        <f ca="1">('TUSD BE'!$AM$5+'TUSD BF'!$AM$5+'TUSD CVA'!$AM$5)*1</f>
        <v>7.9533527807993183</v>
      </c>
      <c r="Z71" s="6">
        <f ca="1">('TUSD BE'!$AM$7+'TUSD BF'!$AM$7+'TUSD CVA'!$AM$7)*1</f>
        <v>66.362434908719237</v>
      </c>
      <c r="AA71" s="6"/>
      <c r="AB71" s="6">
        <f>$K$71*$V$71</f>
        <v>108262.766592</v>
      </c>
      <c r="AC71" s="6">
        <f>$M$71*$W$71</f>
        <v>0</v>
      </c>
      <c r="AD71" s="6">
        <f>$O$71*$X$71</f>
        <v>0</v>
      </c>
      <c r="AE71" s="6">
        <f ca="1">$K$71*$Y$71</f>
        <v>118929.83090214236</v>
      </c>
      <c r="AF71" s="6">
        <f ca="1">$M$71*$Z$71</f>
        <v>0</v>
      </c>
      <c r="AG71" s="6">
        <f>$O$71*$AA$71</f>
        <v>0</v>
      </c>
    </row>
    <row r="72" spans="1:33" ht="11.25" customHeight="1" x14ac:dyDescent="0.25">
      <c r="A72" s="4" t="s">
        <v>21</v>
      </c>
      <c r="B72" s="4" t="s">
        <v>43</v>
      </c>
      <c r="C72" s="4" t="s">
        <v>44</v>
      </c>
      <c r="D72" s="4" t="s">
        <v>42</v>
      </c>
      <c r="E72" s="4" t="s">
        <v>25</v>
      </c>
      <c r="F72" s="4" t="s">
        <v>62</v>
      </c>
      <c r="G72" s="4" t="s">
        <v>25</v>
      </c>
      <c r="H72" s="4" t="s">
        <v>37</v>
      </c>
      <c r="I72" s="5">
        <v>44440</v>
      </c>
      <c r="J72" s="6">
        <v>24156</v>
      </c>
      <c r="K72" s="6">
        <v>14534.665199999999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4" t="s">
        <v>60</v>
      </c>
      <c r="R72" s="4">
        <v>0</v>
      </c>
      <c r="S72" s="6">
        <v>1</v>
      </c>
      <c r="T72" s="6">
        <v>0</v>
      </c>
      <c r="U72" s="6">
        <v>0</v>
      </c>
      <c r="V72" s="6">
        <f>IF(ISERROR(VLOOKUP($S$72,'TAR FIN'!$A$1:$O$95,15,0)),0,VLOOKUP($S$72,'TAR FIN'!$A$1:$O$95,15,0))</f>
        <v>7.24</v>
      </c>
      <c r="W72" s="6">
        <f>IF(ISERROR(VLOOKUP($T$72,'TAR FIN'!$A$1:$O$95,15,0)),0,VLOOKUP($T$72,'TAR FIN'!$A$1:$O$95,15,0))</f>
        <v>0</v>
      </c>
      <c r="X72" s="6">
        <f>IF(ISERROR(VLOOKUP($U$72,'TAR FIN'!$A$1:$O$95,15,0)),0,VLOOKUP($U$72,'TAR FIN'!$A$1:$O$95,15,0))</f>
        <v>0</v>
      </c>
      <c r="Y72" s="6">
        <f ca="1">('TUSD BE'!$AM$5+'TUSD BF'!$AM$5+'TUSD CVA'!$AM$5)*1</f>
        <v>7.9533527807993183</v>
      </c>
      <c r="Z72" s="6">
        <f ca="1">('TUSD BE'!$AM$7+'TUSD BF'!$AM$7+'TUSD CVA'!$AM$7)*1</f>
        <v>66.362434908719237</v>
      </c>
      <c r="AA72" s="6"/>
      <c r="AB72" s="6">
        <f>$K$72*$V$72</f>
        <v>105230.976048</v>
      </c>
      <c r="AC72" s="6">
        <f>$M$72*$W$72</f>
        <v>0</v>
      </c>
      <c r="AD72" s="6">
        <f>$O$72*$X$72</f>
        <v>0</v>
      </c>
      <c r="AE72" s="6">
        <f ca="1">$K$72*$Y$72</f>
        <v>115599.31988640707</v>
      </c>
      <c r="AF72" s="6">
        <f ca="1">$M$72*$Z$72</f>
        <v>0</v>
      </c>
      <c r="AG72" s="6">
        <f>$O$72*$AA$72</f>
        <v>0</v>
      </c>
    </row>
    <row r="73" spans="1:33" ht="11.25" customHeight="1" x14ac:dyDescent="0.25">
      <c r="A73" s="4" t="s">
        <v>59</v>
      </c>
      <c r="B73" s="4" t="s">
        <v>43</v>
      </c>
      <c r="C73" s="4" t="s">
        <v>44</v>
      </c>
      <c r="D73" s="4" t="s">
        <v>42</v>
      </c>
      <c r="E73" s="4" t="s">
        <v>25</v>
      </c>
      <c r="F73" s="4" t="s">
        <v>62</v>
      </c>
      <c r="G73" s="4" t="s">
        <v>25</v>
      </c>
      <c r="H73" s="4" t="s">
        <v>37</v>
      </c>
      <c r="I73" s="5">
        <v>44470</v>
      </c>
      <c r="J73" s="6">
        <v>24156</v>
      </c>
      <c r="K73" s="6">
        <v>14534.665199999999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4" t="s">
        <v>60</v>
      </c>
      <c r="R73" s="4">
        <v>0</v>
      </c>
      <c r="S73" s="6">
        <v>1</v>
      </c>
      <c r="T73" s="6">
        <v>0</v>
      </c>
      <c r="U73" s="6">
        <v>0</v>
      </c>
      <c r="V73" s="6">
        <f>IF(ISERROR(VLOOKUP($S$73,'TAR FIN'!$A$1:$O$95,15,0)),0,VLOOKUP($S$73,'TAR FIN'!$A$1:$O$95,15,0))</f>
        <v>7.24</v>
      </c>
      <c r="W73" s="6">
        <f>IF(ISERROR(VLOOKUP($T$73,'TAR FIN'!$A$1:$O$95,15,0)),0,VLOOKUP($T$73,'TAR FIN'!$A$1:$O$95,15,0))</f>
        <v>0</v>
      </c>
      <c r="X73" s="6">
        <f>IF(ISERROR(VLOOKUP($U$73,'TAR FIN'!$A$1:$O$95,15,0)),0,VLOOKUP($U$73,'TAR FIN'!$A$1:$O$95,15,0))</f>
        <v>0</v>
      </c>
      <c r="Y73" s="6">
        <f ca="1">('TUSD BE'!$AM$5+'TUSD BF'!$AM$5+'TUSD CVA'!$AM$5)*1</f>
        <v>7.9533527807993183</v>
      </c>
      <c r="Z73" s="6">
        <f ca="1">('TUSD BE'!$AM$7+'TUSD BF'!$AM$7+'TUSD CVA'!$AM$7)*1</f>
        <v>66.362434908719237</v>
      </c>
      <c r="AA73" s="6"/>
      <c r="AB73" s="6">
        <f>$K$73*$V$73</f>
        <v>105230.976048</v>
      </c>
      <c r="AC73" s="6">
        <f>$M$73*$W$73</f>
        <v>0</v>
      </c>
      <c r="AD73" s="6">
        <f>$O$73*$X$73</f>
        <v>0</v>
      </c>
      <c r="AE73" s="6">
        <f ca="1">$K$73*$Y$73</f>
        <v>115599.31988640707</v>
      </c>
      <c r="AF73" s="6">
        <f ca="1">$M$73*$Z$73</f>
        <v>0</v>
      </c>
      <c r="AG73" s="6">
        <f>$O$73*$AA$73</f>
        <v>0</v>
      </c>
    </row>
    <row r="74" spans="1:33" ht="11.25" customHeight="1" x14ac:dyDescent="0.25">
      <c r="A74" s="4" t="s">
        <v>21</v>
      </c>
      <c r="B74" s="4" t="s">
        <v>43</v>
      </c>
      <c r="C74" s="4" t="s">
        <v>44</v>
      </c>
      <c r="D74" s="4" t="s">
        <v>42</v>
      </c>
      <c r="E74" s="4" t="s">
        <v>25</v>
      </c>
      <c r="F74" s="4" t="s">
        <v>25</v>
      </c>
      <c r="G74" s="4" t="s">
        <v>25</v>
      </c>
      <c r="H74" s="4" t="s">
        <v>38</v>
      </c>
      <c r="I74" s="5">
        <v>44136</v>
      </c>
      <c r="J74" s="6">
        <v>10289</v>
      </c>
      <c r="K74" s="6">
        <v>10289</v>
      </c>
      <c r="L74" s="6">
        <v>2697.8159999999998</v>
      </c>
      <c r="M74" s="6">
        <v>2697.8159999999998</v>
      </c>
      <c r="N74" s="6">
        <v>2697.8159999999998</v>
      </c>
      <c r="O74" s="6">
        <v>2697.8159999999998</v>
      </c>
      <c r="P74" s="6">
        <v>0</v>
      </c>
      <c r="Q74" s="4" t="s">
        <v>26</v>
      </c>
      <c r="R74" s="4">
        <v>0</v>
      </c>
      <c r="S74" s="6">
        <v>2</v>
      </c>
      <c r="T74" s="6">
        <v>25</v>
      </c>
      <c r="U74" s="6">
        <v>65</v>
      </c>
      <c r="V74" s="6">
        <f>IF(ISERROR(VLOOKUP($S$74,'TAR FIN'!$A$1:$O$95,15,0)),0,VLOOKUP($S$74,'TAR FIN'!$A$1:$O$95,15,0))</f>
        <v>5.9</v>
      </c>
      <c r="W74" s="6">
        <f>IF(ISERROR(VLOOKUP($T$74,'TAR FIN'!$A$1:$O$95,15,0)),0,VLOOKUP($T$74,'TAR FIN'!$A$1:$O$95,15,0))</f>
        <v>52.77</v>
      </c>
      <c r="X74" s="6">
        <f>IF(ISERROR(VLOOKUP($U$74,'TAR FIN'!$A$1:$O$95,15,0)),0,VLOOKUP($U$74,'TAR FIN'!$A$1:$O$95,15,0))</f>
        <v>230.03</v>
      </c>
      <c r="Y74" s="6">
        <f ca="1">('TUSD BE'!$AM$6+'TUSD BF'!$AM$6+'TUSD CVA'!$AM$6)*1</f>
        <v>6.4798355258986495</v>
      </c>
      <c r="Z74" s="6">
        <f ca="1">('TUSD BE'!$AM$7+'TUSD BF'!$AM$7+'TUSD CVA'!$AM$7)*1</f>
        <v>66.362434908719237</v>
      </c>
      <c r="AA74" s="6">
        <f>('TE BE'!$AA$6+'TE BF'!$AA$6+'TE CVA'!$AA$6)*1</f>
        <v>282.91739971702214</v>
      </c>
      <c r="AB74" s="6">
        <f>$K$74*$V$74</f>
        <v>60705.100000000006</v>
      </c>
      <c r="AC74" s="6">
        <f>$M$74*$W$74</f>
        <v>142363.75031999999</v>
      </c>
      <c r="AD74" s="6">
        <f>$O$74*$X$74</f>
        <v>620578.61447999999</v>
      </c>
      <c r="AE74" s="6">
        <f ca="1">$K$74*$Y$74</f>
        <v>66671.027725971202</v>
      </c>
      <c r="AF74" s="6">
        <f ca="1">$M$74*$Z$74</f>
        <v>179033.63869570129</v>
      </c>
      <c r="AG74" s="6">
        <f>$O$74*$AA$74</f>
        <v>763259.08763497777</v>
      </c>
    </row>
    <row r="75" spans="1:33" ht="11.25" customHeight="1" x14ac:dyDescent="0.25">
      <c r="A75" s="4" t="s">
        <v>21</v>
      </c>
      <c r="B75" s="4" t="s">
        <v>43</v>
      </c>
      <c r="C75" s="4" t="s">
        <v>44</v>
      </c>
      <c r="D75" s="4" t="s">
        <v>42</v>
      </c>
      <c r="E75" s="4" t="s">
        <v>25</v>
      </c>
      <c r="F75" s="4" t="s">
        <v>25</v>
      </c>
      <c r="G75" s="4" t="s">
        <v>25</v>
      </c>
      <c r="H75" s="4" t="s">
        <v>38</v>
      </c>
      <c r="I75" s="5">
        <v>44136</v>
      </c>
      <c r="J75" s="6">
        <v>154459</v>
      </c>
      <c r="K75" s="6">
        <v>154459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60</v>
      </c>
      <c r="R75" s="4">
        <v>0</v>
      </c>
      <c r="S75" s="6">
        <v>2</v>
      </c>
      <c r="T75" s="6">
        <v>0</v>
      </c>
      <c r="U75" s="6">
        <v>0</v>
      </c>
      <c r="V75" s="6">
        <f>IF(ISERROR(VLOOKUP($S$75,'TAR FIN'!$A$1:$O$95,15,0)),0,VLOOKUP($S$75,'TAR FIN'!$A$1:$O$95,15,0))</f>
        <v>5.9</v>
      </c>
      <c r="W75" s="6">
        <f>IF(ISERROR(VLOOKUP($T$75,'TAR FIN'!$A$1:$O$95,15,0)),0,VLOOKUP($T$75,'TAR FIN'!$A$1:$O$95,15,0))</f>
        <v>0</v>
      </c>
      <c r="X75" s="6">
        <f>IF(ISERROR(VLOOKUP($U$75,'TAR FIN'!$A$1:$O$95,15,0)),0,VLOOKUP($U$75,'TAR FIN'!$A$1:$O$95,15,0))</f>
        <v>0</v>
      </c>
      <c r="Y75" s="6">
        <f ca="1">('TUSD BE'!$AM$6+'TUSD BF'!$AM$6+'TUSD CVA'!$AM$6)*1</f>
        <v>6.4798355258986495</v>
      </c>
      <c r="Z75" s="6">
        <f ca="1">('TUSD BE'!$AM$7+'TUSD BF'!$AM$7+'TUSD CVA'!$AM$7)*1</f>
        <v>66.362434908719237</v>
      </c>
      <c r="AA75" s="6"/>
      <c r="AB75" s="6">
        <f>$K$75*$V$75</f>
        <v>911308.10000000009</v>
      </c>
      <c r="AC75" s="6">
        <f>$M$75*$W$75</f>
        <v>0</v>
      </c>
      <c r="AD75" s="6">
        <f>$O$75*$X$75</f>
        <v>0</v>
      </c>
      <c r="AE75" s="6">
        <f ca="1">$K$75*$Y$75</f>
        <v>1000868.9154947795</v>
      </c>
      <c r="AF75" s="6">
        <f ca="1">$M$75*$Z$75</f>
        <v>0</v>
      </c>
      <c r="AG75" s="6">
        <f>$O$75*$AA$75</f>
        <v>0</v>
      </c>
    </row>
    <row r="76" spans="1:33" ht="11.25" customHeight="1" x14ac:dyDescent="0.25">
      <c r="A76" s="4" t="s">
        <v>21</v>
      </c>
      <c r="B76" s="4" t="s">
        <v>43</v>
      </c>
      <c r="C76" s="4" t="s">
        <v>44</v>
      </c>
      <c r="D76" s="4" t="s">
        <v>42</v>
      </c>
      <c r="E76" s="4" t="s">
        <v>25</v>
      </c>
      <c r="F76" s="4" t="s">
        <v>25</v>
      </c>
      <c r="G76" s="4" t="s">
        <v>25</v>
      </c>
      <c r="H76" s="4" t="s">
        <v>38</v>
      </c>
      <c r="I76" s="5">
        <v>44166</v>
      </c>
      <c r="J76" s="6">
        <v>10088</v>
      </c>
      <c r="K76" s="6">
        <v>10088</v>
      </c>
      <c r="L76" s="6">
        <v>2840.44</v>
      </c>
      <c r="M76" s="6">
        <v>2840.44</v>
      </c>
      <c r="N76" s="6">
        <v>2840.44</v>
      </c>
      <c r="O76" s="6">
        <v>2840.44</v>
      </c>
      <c r="P76" s="6">
        <v>0</v>
      </c>
      <c r="Q76" s="4" t="s">
        <v>26</v>
      </c>
      <c r="R76" s="4">
        <v>0</v>
      </c>
      <c r="S76" s="6">
        <v>2</v>
      </c>
      <c r="T76" s="6">
        <v>25</v>
      </c>
      <c r="U76" s="6">
        <v>65</v>
      </c>
      <c r="V76" s="6">
        <f>IF(ISERROR(VLOOKUP($S$76,'TAR FIN'!$A$1:$O$95,15,0)),0,VLOOKUP($S$76,'TAR FIN'!$A$1:$O$95,15,0))</f>
        <v>5.9</v>
      </c>
      <c r="W76" s="6">
        <f>IF(ISERROR(VLOOKUP($T$76,'TAR FIN'!$A$1:$O$95,15,0)),0,VLOOKUP($T$76,'TAR FIN'!$A$1:$O$95,15,0))</f>
        <v>52.77</v>
      </c>
      <c r="X76" s="6">
        <f>IF(ISERROR(VLOOKUP($U$76,'TAR FIN'!$A$1:$O$95,15,0)),0,VLOOKUP($U$76,'TAR FIN'!$A$1:$O$95,15,0))</f>
        <v>230.03</v>
      </c>
      <c r="Y76" s="6">
        <f ca="1">('TUSD BE'!$AM$6+'TUSD BF'!$AM$6+'TUSD CVA'!$AM$6)*1</f>
        <v>6.4798355258986495</v>
      </c>
      <c r="Z76" s="6">
        <f ca="1">('TUSD BE'!$AM$7+'TUSD BF'!$AM$7+'TUSD CVA'!$AM$7)*1</f>
        <v>66.362434908719237</v>
      </c>
      <c r="AA76" s="6">
        <f>('TE BE'!$AA$6+'TE BF'!$AA$6+'TE CVA'!$AA$6)*1</f>
        <v>282.91739971702214</v>
      </c>
      <c r="AB76" s="6">
        <f>$K$76*$V$76</f>
        <v>59519.200000000004</v>
      </c>
      <c r="AC76" s="6">
        <f>$M$76*$W$76</f>
        <v>149890.01880000002</v>
      </c>
      <c r="AD76" s="6">
        <f>$O$76*$X$76</f>
        <v>653386.41320000007</v>
      </c>
      <c r="AE76" s="6">
        <f ca="1">$K$76*$Y$76</f>
        <v>65368.580785265578</v>
      </c>
      <c r="AF76" s="6">
        <f ca="1">$M$76*$Z$76</f>
        <v>188498.51461212247</v>
      </c>
      <c r="AG76" s="6">
        <f>$O$76*$AA$76</f>
        <v>803609.89885221841</v>
      </c>
    </row>
    <row r="77" spans="1:33" ht="11.25" customHeight="1" x14ac:dyDescent="0.25">
      <c r="A77" s="4" t="s">
        <v>21</v>
      </c>
      <c r="B77" s="4" t="s">
        <v>43</v>
      </c>
      <c r="C77" s="4" t="s">
        <v>44</v>
      </c>
      <c r="D77" s="4" t="s">
        <v>42</v>
      </c>
      <c r="E77" s="4" t="s">
        <v>25</v>
      </c>
      <c r="F77" s="4" t="s">
        <v>25</v>
      </c>
      <c r="G77" s="4" t="s">
        <v>25</v>
      </c>
      <c r="H77" s="4" t="s">
        <v>38</v>
      </c>
      <c r="I77" s="5">
        <v>44166</v>
      </c>
      <c r="J77" s="6">
        <v>154716</v>
      </c>
      <c r="K77" s="6">
        <v>154716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60</v>
      </c>
      <c r="R77" s="4">
        <v>0</v>
      </c>
      <c r="S77" s="6">
        <v>2</v>
      </c>
      <c r="T77" s="6">
        <v>0</v>
      </c>
      <c r="U77" s="6">
        <v>0</v>
      </c>
      <c r="V77" s="6">
        <f>IF(ISERROR(VLOOKUP($S$77,'TAR FIN'!$A$1:$O$95,15,0)),0,VLOOKUP($S$77,'TAR FIN'!$A$1:$O$95,15,0))</f>
        <v>5.9</v>
      </c>
      <c r="W77" s="6">
        <f>IF(ISERROR(VLOOKUP($T$77,'TAR FIN'!$A$1:$O$95,15,0)),0,VLOOKUP($T$77,'TAR FIN'!$A$1:$O$95,15,0))</f>
        <v>0</v>
      </c>
      <c r="X77" s="6">
        <f>IF(ISERROR(VLOOKUP($U$77,'TAR FIN'!$A$1:$O$95,15,0)),0,VLOOKUP($U$77,'TAR FIN'!$A$1:$O$95,15,0))</f>
        <v>0</v>
      </c>
      <c r="Y77" s="6">
        <f ca="1">('TUSD BE'!$AM$6+'TUSD BF'!$AM$6+'TUSD CVA'!$AM$6)*1</f>
        <v>6.4798355258986495</v>
      </c>
      <c r="Z77" s="6">
        <f ca="1">('TUSD BE'!$AM$7+'TUSD BF'!$AM$7+'TUSD CVA'!$AM$7)*1</f>
        <v>66.362434908719237</v>
      </c>
      <c r="AA77" s="6"/>
      <c r="AB77" s="6">
        <f>$K$77*$V$77</f>
        <v>912824.4</v>
      </c>
      <c r="AC77" s="6">
        <f>$M$77*$W$77</f>
        <v>0</v>
      </c>
      <c r="AD77" s="6">
        <f>$O$77*$X$77</f>
        <v>0</v>
      </c>
      <c r="AE77" s="6">
        <f ca="1">$K$77*$Y$77</f>
        <v>1002534.2332249355</v>
      </c>
      <c r="AF77" s="6">
        <f ca="1">$M$77*$Z$77</f>
        <v>0</v>
      </c>
      <c r="AG77" s="6">
        <f>$O$77*$AA$77</f>
        <v>0</v>
      </c>
    </row>
    <row r="78" spans="1:33" ht="11.25" customHeight="1" x14ac:dyDescent="0.25">
      <c r="A78" s="4" t="s">
        <v>21</v>
      </c>
      <c r="B78" s="4" t="s">
        <v>43</v>
      </c>
      <c r="C78" s="4" t="s">
        <v>44</v>
      </c>
      <c r="D78" s="4" t="s">
        <v>42</v>
      </c>
      <c r="E78" s="4" t="s">
        <v>25</v>
      </c>
      <c r="F78" s="4" t="s">
        <v>25</v>
      </c>
      <c r="G78" s="4" t="s">
        <v>25</v>
      </c>
      <c r="H78" s="4" t="s">
        <v>38</v>
      </c>
      <c r="I78" s="5">
        <v>44197</v>
      </c>
      <c r="J78" s="6">
        <v>10502</v>
      </c>
      <c r="K78" s="6">
        <v>10502</v>
      </c>
      <c r="L78" s="6">
        <v>2760.2959999999998</v>
      </c>
      <c r="M78" s="6">
        <v>2760.2959999999998</v>
      </c>
      <c r="N78" s="6">
        <v>2760.2959999999998</v>
      </c>
      <c r="O78" s="6">
        <v>2760.2959999999998</v>
      </c>
      <c r="P78" s="6">
        <v>0</v>
      </c>
      <c r="Q78" s="4" t="s">
        <v>26</v>
      </c>
      <c r="R78" s="4">
        <v>0</v>
      </c>
      <c r="S78" s="6">
        <v>2</v>
      </c>
      <c r="T78" s="6">
        <v>25</v>
      </c>
      <c r="U78" s="6">
        <v>65</v>
      </c>
      <c r="V78" s="6">
        <f>IF(ISERROR(VLOOKUP($S$78,'TAR FIN'!$A$1:$O$95,15,0)),0,VLOOKUP($S$78,'TAR FIN'!$A$1:$O$95,15,0))</f>
        <v>5.9</v>
      </c>
      <c r="W78" s="6">
        <f>IF(ISERROR(VLOOKUP($T$78,'TAR FIN'!$A$1:$O$95,15,0)),0,VLOOKUP($T$78,'TAR FIN'!$A$1:$O$95,15,0))</f>
        <v>52.77</v>
      </c>
      <c r="X78" s="6">
        <f>IF(ISERROR(VLOOKUP($U$78,'TAR FIN'!$A$1:$O$95,15,0)),0,VLOOKUP($U$78,'TAR FIN'!$A$1:$O$95,15,0))</f>
        <v>230.03</v>
      </c>
      <c r="Y78" s="6">
        <f ca="1">('TUSD BE'!$AM$6+'TUSD BF'!$AM$6+'TUSD CVA'!$AM$6)*1</f>
        <v>6.4798355258986495</v>
      </c>
      <c r="Z78" s="6">
        <f ca="1">('TUSD BE'!$AM$7+'TUSD BF'!$AM$7+'TUSD CVA'!$AM$7)*1</f>
        <v>66.362434908719237</v>
      </c>
      <c r="AA78" s="6">
        <f>('TE BE'!$AA$6+'TE BF'!$AA$6+'TE CVA'!$AA$6)*1</f>
        <v>282.91739971702214</v>
      </c>
      <c r="AB78" s="6">
        <f>$K$78*$V$78</f>
        <v>61961.8</v>
      </c>
      <c r="AC78" s="6">
        <f>$M$78*$W$78</f>
        <v>145660.81992000001</v>
      </c>
      <c r="AD78" s="6">
        <f>$O$78*$X$78</f>
        <v>634950.88887999998</v>
      </c>
      <c r="AE78" s="6">
        <f ca="1">$K$78*$Y$78</f>
        <v>68051.232692987614</v>
      </c>
      <c r="AF78" s="6">
        <f ca="1">$M$78*$Z$78</f>
        <v>183179.96362879805</v>
      </c>
      <c r="AG78" s="6">
        <f>$O$78*$AA$78</f>
        <v>780935.7667692973</v>
      </c>
    </row>
    <row r="79" spans="1:33" ht="11.25" customHeight="1" x14ac:dyDescent="0.25">
      <c r="A79" s="4" t="s">
        <v>21</v>
      </c>
      <c r="B79" s="4" t="s">
        <v>43</v>
      </c>
      <c r="C79" s="4" t="s">
        <v>44</v>
      </c>
      <c r="D79" s="4" t="s">
        <v>42</v>
      </c>
      <c r="E79" s="4" t="s">
        <v>25</v>
      </c>
      <c r="F79" s="4" t="s">
        <v>25</v>
      </c>
      <c r="G79" s="4" t="s">
        <v>25</v>
      </c>
      <c r="H79" s="4" t="s">
        <v>38</v>
      </c>
      <c r="I79" s="5">
        <v>44197</v>
      </c>
      <c r="J79" s="6">
        <v>154353</v>
      </c>
      <c r="K79" s="6">
        <v>154353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60</v>
      </c>
      <c r="R79" s="4">
        <v>0</v>
      </c>
      <c r="S79" s="6">
        <v>2</v>
      </c>
      <c r="T79" s="6">
        <v>0</v>
      </c>
      <c r="U79" s="6">
        <v>0</v>
      </c>
      <c r="V79" s="6">
        <f>IF(ISERROR(VLOOKUP($S$79,'TAR FIN'!$A$1:$O$95,15,0)),0,VLOOKUP($S$79,'TAR FIN'!$A$1:$O$95,15,0))</f>
        <v>5.9</v>
      </c>
      <c r="W79" s="6">
        <f>IF(ISERROR(VLOOKUP($T$79,'TAR FIN'!$A$1:$O$95,15,0)),0,VLOOKUP($T$79,'TAR FIN'!$A$1:$O$95,15,0))</f>
        <v>0</v>
      </c>
      <c r="X79" s="6">
        <f>IF(ISERROR(VLOOKUP($U$79,'TAR FIN'!$A$1:$O$95,15,0)),0,VLOOKUP($U$79,'TAR FIN'!$A$1:$O$95,15,0))</f>
        <v>0</v>
      </c>
      <c r="Y79" s="6">
        <f ca="1">('TUSD BE'!$AM$6+'TUSD BF'!$AM$6+'TUSD CVA'!$AM$6)*1</f>
        <v>6.4798355258986495</v>
      </c>
      <c r="Z79" s="6">
        <f ca="1">('TUSD BE'!$AM$7+'TUSD BF'!$AM$7+'TUSD CVA'!$AM$7)*1</f>
        <v>66.362434908719237</v>
      </c>
      <c r="AA79" s="6"/>
      <c r="AB79" s="6">
        <f>$K$79*$V$79</f>
        <v>910682.70000000007</v>
      </c>
      <c r="AC79" s="6">
        <f>$M$79*$W$79</f>
        <v>0</v>
      </c>
      <c r="AD79" s="6">
        <f>$O$79*$X$79</f>
        <v>0</v>
      </c>
      <c r="AE79" s="6">
        <f ca="1">$K$79*$Y$79</f>
        <v>1000182.0529290342</v>
      </c>
      <c r="AF79" s="6">
        <f ca="1">$M$79*$Z$79</f>
        <v>0</v>
      </c>
      <c r="AG79" s="6">
        <f>$O$79*$AA$79</f>
        <v>0</v>
      </c>
    </row>
    <row r="80" spans="1:33" ht="11.25" customHeight="1" x14ac:dyDescent="0.25">
      <c r="A80" s="4" t="s">
        <v>21</v>
      </c>
      <c r="B80" s="4" t="s">
        <v>43</v>
      </c>
      <c r="C80" s="4" t="s">
        <v>44</v>
      </c>
      <c r="D80" s="4" t="s">
        <v>42</v>
      </c>
      <c r="E80" s="4" t="s">
        <v>25</v>
      </c>
      <c r="F80" s="4" t="s">
        <v>25</v>
      </c>
      <c r="G80" s="4" t="s">
        <v>25</v>
      </c>
      <c r="H80" s="4" t="s">
        <v>38</v>
      </c>
      <c r="I80" s="5">
        <v>44228</v>
      </c>
      <c r="J80" s="6">
        <v>10547</v>
      </c>
      <c r="K80" s="6">
        <v>10547</v>
      </c>
      <c r="L80" s="6">
        <v>2580.3960000000002</v>
      </c>
      <c r="M80" s="6">
        <v>2580.3960000000002</v>
      </c>
      <c r="N80" s="6">
        <v>2580.3960000000002</v>
      </c>
      <c r="O80" s="6">
        <v>2580.3960000000002</v>
      </c>
      <c r="P80" s="6">
        <v>0</v>
      </c>
      <c r="Q80" s="4" t="s">
        <v>26</v>
      </c>
      <c r="R80" s="4">
        <v>0</v>
      </c>
      <c r="S80" s="6">
        <v>2</v>
      </c>
      <c r="T80" s="6">
        <v>25</v>
      </c>
      <c r="U80" s="6">
        <v>65</v>
      </c>
      <c r="V80" s="6">
        <f>IF(ISERROR(VLOOKUP($S$80,'TAR FIN'!$A$1:$O$95,15,0)),0,VLOOKUP($S$80,'TAR FIN'!$A$1:$O$95,15,0))</f>
        <v>5.9</v>
      </c>
      <c r="W80" s="6">
        <f>IF(ISERROR(VLOOKUP($T$80,'TAR FIN'!$A$1:$O$95,15,0)),0,VLOOKUP($T$80,'TAR FIN'!$A$1:$O$95,15,0))</f>
        <v>52.77</v>
      </c>
      <c r="X80" s="6">
        <f>IF(ISERROR(VLOOKUP($U$80,'TAR FIN'!$A$1:$O$95,15,0)),0,VLOOKUP($U$80,'TAR FIN'!$A$1:$O$95,15,0))</f>
        <v>230.03</v>
      </c>
      <c r="Y80" s="6">
        <f ca="1">('TUSD BE'!$AM$6+'TUSD BF'!$AM$6+'TUSD CVA'!$AM$6)*1</f>
        <v>6.4798355258986495</v>
      </c>
      <c r="Z80" s="6">
        <f ca="1">('TUSD BE'!$AM$7+'TUSD BF'!$AM$7+'TUSD CVA'!$AM$7)*1</f>
        <v>66.362434908719237</v>
      </c>
      <c r="AA80" s="6">
        <f>('TE BE'!$AA$6+'TE BF'!$AA$6+'TE CVA'!$AA$6)*1</f>
        <v>282.91739971702214</v>
      </c>
      <c r="AB80" s="6">
        <f>$K$80*$V$80</f>
        <v>62227.3</v>
      </c>
      <c r="AC80" s="6">
        <f>$M$80*$W$80</f>
        <v>136167.49692000001</v>
      </c>
      <c r="AD80" s="6">
        <f>$O$80*$X$80</f>
        <v>593568.4918800001</v>
      </c>
      <c r="AE80" s="6">
        <f ca="1">$K$80*$Y$80</f>
        <v>68342.825291653062</v>
      </c>
      <c r="AF80" s="6">
        <f ca="1">$M$80*$Z$80</f>
        <v>171241.3615887195</v>
      </c>
      <c r="AG80" s="6">
        <f>$O$80*$AA$80</f>
        <v>730038.92656020506</v>
      </c>
    </row>
    <row r="81" spans="1:33" ht="11.25" customHeight="1" x14ac:dyDescent="0.25">
      <c r="A81" s="4" t="s">
        <v>21</v>
      </c>
      <c r="B81" s="4" t="s">
        <v>43</v>
      </c>
      <c r="C81" s="4" t="s">
        <v>44</v>
      </c>
      <c r="D81" s="4" t="s">
        <v>42</v>
      </c>
      <c r="E81" s="4" t="s">
        <v>25</v>
      </c>
      <c r="F81" s="4" t="s">
        <v>25</v>
      </c>
      <c r="G81" s="4" t="s">
        <v>25</v>
      </c>
      <c r="H81" s="4" t="s">
        <v>38</v>
      </c>
      <c r="I81" s="5">
        <v>44228</v>
      </c>
      <c r="J81" s="6">
        <v>154508</v>
      </c>
      <c r="K81" s="6">
        <v>154508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60</v>
      </c>
      <c r="R81" s="4">
        <v>0</v>
      </c>
      <c r="S81" s="6">
        <v>2</v>
      </c>
      <c r="T81" s="6">
        <v>0</v>
      </c>
      <c r="U81" s="6">
        <v>0</v>
      </c>
      <c r="V81" s="6">
        <f>IF(ISERROR(VLOOKUP($S$81,'TAR FIN'!$A$1:$O$95,15,0)),0,VLOOKUP($S$81,'TAR FIN'!$A$1:$O$95,15,0))</f>
        <v>5.9</v>
      </c>
      <c r="W81" s="6">
        <f>IF(ISERROR(VLOOKUP($T$81,'TAR FIN'!$A$1:$O$95,15,0)),0,VLOOKUP($T$81,'TAR FIN'!$A$1:$O$95,15,0))</f>
        <v>0</v>
      </c>
      <c r="X81" s="6">
        <f>IF(ISERROR(VLOOKUP($U$81,'TAR FIN'!$A$1:$O$95,15,0)),0,VLOOKUP($U$81,'TAR FIN'!$A$1:$O$95,15,0))</f>
        <v>0</v>
      </c>
      <c r="Y81" s="6">
        <f ca="1">('TUSD BE'!$AM$6+'TUSD BF'!$AM$6+'TUSD CVA'!$AM$6)*1</f>
        <v>6.4798355258986495</v>
      </c>
      <c r="Z81" s="6">
        <f ca="1">('TUSD BE'!$AM$7+'TUSD BF'!$AM$7+'TUSD CVA'!$AM$7)*1</f>
        <v>66.362434908719237</v>
      </c>
      <c r="AA81" s="6"/>
      <c r="AB81" s="6">
        <f>$K$81*$V$81</f>
        <v>911597.20000000007</v>
      </c>
      <c r="AC81" s="6">
        <f>$M$81*$W$81</f>
        <v>0</v>
      </c>
      <c r="AD81" s="6">
        <f>$O$81*$X$81</f>
        <v>0</v>
      </c>
      <c r="AE81" s="6">
        <f ca="1">$K$81*$Y$81</f>
        <v>1001186.4274355485</v>
      </c>
      <c r="AF81" s="6">
        <f ca="1">$M$81*$Z$81</f>
        <v>0</v>
      </c>
      <c r="AG81" s="6">
        <f>$O$81*$AA$81</f>
        <v>0</v>
      </c>
    </row>
    <row r="82" spans="1:33" ht="11.25" customHeight="1" x14ac:dyDescent="0.25">
      <c r="A82" s="4" t="s">
        <v>21</v>
      </c>
      <c r="B82" s="4" t="s">
        <v>43</v>
      </c>
      <c r="C82" s="4" t="s">
        <v>44</v>
      </c>
      <c r="D82" s="4" t="s">
        <v>42</v>
      </c>
      <c r="E82" s="4" t="s">
        <v>25</v>
      </c>
      <c r="F82" s="4" t="s">
        <v>25</v>
      </c>
      <c r="G82" s="4" t="s">
        <v>25</v>
      </c>
      <c r="H82" s="4" t="s">
        <v>38</v>
      </c>
      <c r="I82" s="5">
        <v>44256</v>
      </c>
      <c r="J82" s="6">
        <v>10480</v>
      </c>
      <c r="K82" s="6">
        <v>10480</v>
      </c>
      <c r="L82" s="6">
        <v>2847.7</v>
      </c>
      <c r="M82" s="6">
        <v>2847.7</v>
      </c>
      <c r="N82" s="6">
        <v>2847.7</v>
      </c>
      <c r="O82" s="6">
        <v>2847.7</v>
      </c>
      <c r="P82" s="6">
        <v>0</v>
      </c>
      <c r="Q82" s="4" t="s">
        <v>26</v>
      </c>
      <c r="R82" s="4">
        <v>0</v>
      </c>
      <c r="S82" s="6">
        <v>2</v>
      </c>
      <c r="T82" s="6">
        <v>25</v>
      </c>
      <c r="U82" s="6">
        <v>65</v>
      </c>
      <c r="V82" s="6">
        <f>IF(ISERROR(VLOOKUP($S$82,'TAR FIN'!$A$1:$O$95,15,0)),0,VLOOKUP($S$82,'TAR FIN'!$A$1:$O$95,15,0))</f>
        <v>5.9</v>
      </c>
      <c r="W82" s="6">
        <f>IF(ISERROR(VLOOKUP($T$82,'TAR FIN'!$A$1:$O$95,15,0)),0,VLOOKUP($T$82,'TAR FIN'!$A$1:$O$95,15,0))</f>
        <v>52.77</v>
      </c>
      <c r="X82" s="6">
        <f>IF(ISERROR(VLOOKUP($U$82,'TAR FIN'!$A$1:$O$95,15,0)),0,VLOOKUP($U$82,'TAR FIN'!$A$1:$O$95,15,0))</f>
        <v>230.03</v>
      </c>
      <c r="Y82" s="6">
        <f ca="1">('TUSD BE'!$AM$6+'TUSD BF'!$AM$6+'TUSD CVA'!$AM$6)*1</f>
        <v>6.4798355258986495</v>
      </c>
      <c r="Z82" s="6">
        <f ca="1">('TUSD BE'!$AM$7+'TUSD BF'!$AM$7+'TUSD CVA'!$AM$7)*1</f>
        <v>66.362434908719237</v>
      </c>
      <c r="AA82" s="6">
        <f>('TE BE'!$AA$6+'TE BF'!$AA$6+'TE CVA'!$AA$6)*1</f>
        <v>282.91739971702214</v>
      </c>
      <c r="AB82" s="6">
        <f>$K$82*$V$82</f>
        <v>61832.000000000007</v>
      </c>
      <c r="AC82" s="6">
        <f>$M$82*$W$82</f>
        <v>150273.12899999999</v>
      </c>
      <c r="AD82" s="6">
        <f>$O$82*$X$82</f>
        <v>655056.43099999998</v>
      </c>
      <c r="AE82" s="6">
        <f ca="1">$K$82*$Y$82</f>
        <v>67908.676311417847</v>
      </c>
      <c r="AF82" s="6">
        <f ca="1">$M$82*$Z$82</f>
        <v>188980.30588955976</v>
      </c>
      <c r="AG82" s="6">
        <f>$O$82*$AA$82</f>
        <v>805663.87917416391</v>
      </c>
    </row>
    <row r="83" spans="1:33" ht="11.25" customHeight="1" x14ac:dyDescent="0.25">
      <c r="A83" s="4" t="s">
        <v>21</v>
      </c>
      <c r="B83" s="4" t="s">
        <v>43</v>
      </c>
      <c r="C83" s="4" t="s">
        <v>44</v>
      </c>
      <c r="D83" s="4" t="s">
        <v>42</v>
      </c>
      <c r="E83" s="4" t="s">
        <v>25</v>
      </c>
      <c r="F83" s="4" t="s">
        <v>25</v>
      </c>
      <c r="G83" s="4" t="s">
        <v>25</v>
      </c>
      <c r="H83" s="4" t="s">
        <v>38</v>
      </c>
      <c r="I83" s="5">
        <v>44256</v>
      </c>
      <c r="J83" s="6">
        <v>154507</v>
      </c>
      <c r="K83" s="6">
        <v>154507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60</v>
      </c>
      <c r="R83" s="4">
        <v>0</v>
      </c>
      <c r="S83" s="6">
        <v>2</v>
      </c>
      <c r="T83" s="6">
        <v>0</v>
      </c>
      <c r="U83" s="6">
        <v>0</v>
      </c>
      <c r="V83" s="6">
        <f>IF(ISERROR(VLOOKUP($S$83,'TAR FIN'!$A$1:$O$95,15,0)),0,VLOOKUP($S$83,'TAR FIN'!$A$1:$O$95,15,0))</f>
        <v>5.9</v>
      </c>
      <c r="W83" s="6">
        <f>IF(ISERROR(VLOOKUP($T$83,'TAR FIN'!$A$1:$O$95,15,0)),0,VLOOKUP($T$83,'TAR FIN'!$A$1:$O$95,15,0))</f>
        <v>0</v>
      </c>
      <c r="X83" s="6">
        <f>IF(ISERROR(VLOOKUP($U$83,'TAR FIN'!$A$1:$O$95,15,0)),0,VLOOKUP($U$83,'TAR FIN'!$A$1:$O$95,15,0))</f>
        <v>0</v>
      </c>
      <c r="Y83" s="6">
        <f ca="1">('TUSD BE'!$AM$6+'TUSD BF'!$AM$6+'TUSD CVA'!$AM$6)*1</f>
        <v>6.4798355258986495</v>
      </c>
      <c r="Z83" s="6">
        <f ca="1">('TUSD BE'!$AM$7+'TUSD BF'!$AM$7+'TUSD CVA'!$AM$7)*1</f>
        <v>66.362434908719237</v>
      </c>
      <c r="AA83" s="6"/>
      <c r="AB83" s="6">
        <f>$K$83*$V$83</f>
        <v>911591.3</v>
      </c>
      <c r="AC83" s="6">
        <f>$M$83*$W$83</f>
        <v>0</v>
      </c>
      <c r="AD83" s="6">
        <f>$O$83*$X$83</f>
        <v>0</v>
      </c>
      <c r="AE83" s="6">
        <f ca="1">$K$83*$Y$83</f>
        <v>1001179.9476000227</v>
      </c>
      <c r="AF83" s="6">
        <f ca="1">$M$83*$Z$83</f>
        <v>0</v>
      </c>
      <c r="AG83" s="6">
        <f>$O$83*$AA$83</f>
        <v>0</v>
      </c>
    </row>
    <row r="84" spans="1:33" ht="11.25" customHeight="1" x14ac:dyDescent="0.25">
      <c r="A84" s="4" t="s">
        <v>21</v>
      </c>
      <c r="B84" s="4" t="s">
        <v>43</v>
      </c>
      <c r="C84" s="4" t="s">
        <v>44</v>
      </c>
      <c r="D84" s="4" t="s">
        <v>42</v>
      </c>
      <c r="E84" s="4" t="s">
        <v>25</v>
      </c>
      <c r="F84" s="4" t="s">
        <v>25</v>
      </c>
      <c r="G84" s="4" t="s">
        <v>25</v>
      </c>
      <c r="H84" s="4" t="s">
        <v>38</v>
      </c>
      <c r="I84" s="5">
        <v>44287</v>
      </c>
      <c r="J84" s="6">
        <v>10592</v>
      </c>
      <c r="K84" s="6">
        <v>10592</v>
      </c>
      <c r="L84" s="6">
        <v>2725.66</v>
      </c>
      <c r="M84" s="6">
        <v>2725.66</v>
      </c>
      <c r="N84" s="6">
        <v>2725.66</v>
      </c>
      <c r="O84" s="6">
        <v>2725.66</v>
      </c>
      <c r="P84" s="6">
        <v>0</v>
      </c>
      <c r="Q84" s="4" t="s">
        <v>26</v>
      </c>
      <c r="R84" s="4">
        <v>0</v>
      </c>
      <c r="S84" s="6">
        <v>2</v>
      </c>
      <c r="T84" s="6">
        <v>25</v>
      </c>
      <c r="U84" s="6">
        <v>65</v>
      </c>
      <c r="V84" s="6">
        <f>IF(ISERROR(VLOOKUP($S$84,'TAR FIN'!$A$1:$O$95,15,0)),0,VLOOKUP($S$84,'TAR FIN'!$A$1:$O$95,15,0))</f>
        <v>5.9</v>
      </c>
      <c r="W84" s="6">
        <f>IF(ISERROR(VLOOKUP($T$84,'TAR FIN'!$A$1:$O$95,15,0)),0,VLOOKUP($T$84,'TAR FIN'!$A$1:$O$95,15,0))</f>
        <v>52.77</v>
      </c>
      <c r="X84" s="6">
        <f>IF(ISERROR(VLOOKUP($U$84,'TAR FIN'!$A$1:$O$95,15,0)),0,VLOOKUP($U$84,'TAR FIN'!$A$1:$O$95,15,0))</f>
        <v>230.03</v>
      </c>
      <c r="Y84" s="6">
        <f ca="1">('TUSD BE'!$AM$6+'TUSD BF'!$AM$6+'TUSD CVA'!$AM$6)*1</f>
        <v>6.4798355258986495</v>
      </c>
      <c r="Z84" s="6">
        <f ca="1">('TUSD BE'!$AM$7+'TUSD BF'!$AM$7+'TUSD CVA'!$AM$7)*1</f>
        <v>66.362434908719237</v>
      </c>
      <c r="AA84" s="6">
        <f>('TE BE'!$AA$6+'TE BF'!$AA$6+'TE CVA'!$AA$6)*1</f>
        <v>282.91739971702214</v>
      </c>
      <c r="AB84" s="6">
        <f>$K$84*$V$84</f>
        <v>62492.800000000003</v>
      </c>
      <c r="AC84" s="6">
        <f>$M$84*$W$84</f>
        <v>143833.07819999999</v>
      </c>
      <c r="AD84" s="6">
        <f>$O$84*$X$84</f>
        <v>626983.56979999994</v>
      </c>
      <c r="AE84" s="6">
        <f ca="1">$K$84*$Y$84</f>
        <v>68634.417890318495</v>
      </c>
      <c r="AF84" s="6">
        <f ca="1">$M$84*$Z$84</f>
        <v>180881.43433329967</v>
      </c>
      <c r="AG84" s="6">
        <f>$O$84*$AA$84</f>
        <v>771136.63971269852</v>
      </c>
    </row>
    <row r="85" spans="1:33" ht="11.25" customHeight="1" x14ac:dyDescent="0.25">
      <c r="A85" s="4" t="s">
        <v>21</v>
      </c>
      <c r="B85" s="4" t="s">
        <v>43</v>
      </c>
      <c r="C85" s="4" t="s">
        <v>44</v>
      </c>
      <c r="D85" s="4" t="s">
        <v>42</v>
      </c>
      <c r="E85" s="4" t="s">
        <v>25</v>
      </c>
      <c r="F85" s="4" t="s">
        <v>25</v>
      </c>
      <c r="G85" s="4" t="s">
        <v>25</v>
      </c>
      <c r="H85" s="4" t="s">
        <v>38</v>
      </c>
      <c r="I85" s="5">
        <v>44287</v>
      </c>
      <c r="J85" s="6">
        <v>157547</v>
      </c>
      <c r="K85" s="6">
        <v>157547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60</v>
      </c>
      <c r="R85" s="4">
        <v>0</v>
      </c>
      <c r="S85" s="6">
        <v>2</v>
      </c>
      <c r="T85" s="6">
        <v>0</v>
      </c>
      <c r="U85" s="6">
        <v>0</v>
      </c>
      <c r="V85" s="6">
        <f>IF(ISERROR(VLOOKUP($S$85,'TAR FIN'!$A$1:$O$95,15,0)),0,VLOOKUP($S$85,'TAR FIN'!$A$1:$O$95,15,0))</f>
        <v>5.9</v>
      </c>
      <c r="W85" s="6">
        <f>IF(ISERROR(VLOOKUP($T$85,'TAR FIN'!$A$1:$O$95,15,0)),0,VLOOKUP($T$85,'TAR FIN'!$A$1:$O$95,15,0))</f>
        <v>0</v>
      </c>
      <c r="X85" s="6">
        <f>IF(ISERROR(VLOOKUP($U$85,'TAR FIN'!$A$1:$O$95,15,0)),0,VLOOKUP($U$85,'TAR FIN'!$A$1:$O$95,15,0))</f>
        <v>0</v>
      </c>
      <c r="Y85" s="6">
        <f ca="1">('TUSD BE'!$AM$6+'TUSD BF'!$AM$6+'TUSD CVA'!$AM$6)*1</f>
        <v>6.4798355258986495</v>
      </c>
      <c r="Z85" s="6">
        <f ca="1">('TUSD BE'!$AM$7+'TUSD BF'!$AM$7+'TUSD CVA'!$AM$7)*1</f>
        <v>66.362434908719237</v>
      </c>
      <c r="AA85" s="6"/>
      <c r="AB85" s="6">
        <f>$K$85*$V$85</f>
        <v>929527.3</v>
      </c>
      <c r="AC85" s="6">
        <f>$M$85*$W$85</f>
        <v>0</v>
      </c>
      <c r="AD85" s="6">
        <f>$O$85*$X$85</f>
        <v>0</v>
      </c>
      <c r="AE85" s="6">
        <f ca="1">$K$85*$Y$85</f>
        <v>1020878.6475987545</v>
      </c>
      <c r="AF85" s="6">
        <f ca="1">$M$85*$Z$85</f>
        <v>0</v>
      </c>
      <c r="AG85" s="6">
        <f>$O$85*$AA$85</f>
        <v>0</v>
      </c>
    </row>
    <row r="86" spans="1:33" ht="11.25" customHeight="1" x14ac:dyDescent="0.25">
      <c r="A86" s="4" t="s">
        <v>21</v>
      </c>
      <c r="B86" s="4" t="s">
        <v>43</v>
      </c>
      <c r="C86" s="4" t="s">
        <v>44</v>
      </c>
      <c r="D86" s="4" t="s">
        <v>42</v>
      </c>
      <c r="E86" s="4" t="s">
        <v>25</v>
      </c>
      <c r="F86" s="4" t="s">
        <v>25</v>
      </c>
      <c r="G86" s="4" t="s">
        <v>25</v>
      </c>
      <c r="H86" s="4" t="s">
        <v>38</v>
      </c>
      <c r="I86" s="5">
        <v>44317</v>
      </c>
      <c r="J86" s="6">
        <v>10625</v>
      </c>
      <c r="K86" s="6">
        <v>10625</v>
      </c>
      <c r="L86" s="6">
        <v>2854.5839999999998</v>
      </c>
      <c r="M86" s="6">
        <v>2854.5839999999998</v>
      </c>
      <c r="N86" s="6">
        <v>2854.5839999999998</v>
      </c>
      <c r="O86" s="6">
        <v>2854.5839999999998</v>
      </c>
      <c r="P86" s="6">
        <v>0</v>
      </c>
      <c r="Q86" s="4" t="s">
        <v>26</v>
      </c>
      <c r="R86" s="4">
        <v>0</v>
      </c>
      <c r="S86" s="6">
        <v>2</v>
      </c>
      <c r="T86" s="6">
        <v>25</v>
      </c>
      <c r="U86" s="6">
        <v>65</v>
      </c>
      <c r="V86" s="6">
        <f>IF(ISERROR(VLOOKUP($S$86,'TAR FIN'!$A$1:$O$95,15,0)),0,VLOOKUP($S$86,'TAR FIN'!$A$1:$O$95,15,0))</f>
        <v>5.9</v>
      </c>
      <c r="W86" s="6">
        <f>IF(ISERROR(VLOOKUP($T$86,'TAR FIN'!$A$1:$O$95,15,0)),0,VLOOKUP($T$86,'TAR FIN'!$A$1:$O$95,15,0))</f>
        <v>52.77</v>
      </c>
      <c r="X86" s="6">
        <f>IF(ISERROR(VLOOKUP($U$86,'TAR FIN'!$A$1:$O$95,15,0)),0,VLOOKUP($U$86,'TAR FIN'!$A$1:$O$95,15,0))</f>
        <v>230.03</v>
      </c>
      <c r="Y86" s="6">
        <f ca="1">('TUSD BE'!$AM$6+'TUSD BF'!$AM$6+'TUSD CVA'!$AM$6)*1</f>
        <v>6.4798355258986495</v>
      </c>
      <c r="Z86" s="6">
        <f ca="1">('TUSD BE'!$AM$7+'TUSD BF'!$AM$7+'TUSD CVA'!$AM$7)*1</f>
        <v>66.362434908719237</v>
      </c>
      <c r="AA86" s="6">
        <f>('TE BE'!$AA$6+'TE BF'!$AA$6+'TE CVA'!$AA$6)*1</f>
        <v>282.91739971702214</v>
      </c>
      <c r="AB86" s="6">
        <f>$K$86*$V$86</f>
        <v>62687.500000000007</v>
      </c>
      <c r="AC86" s="6">
        <f>$M$86*$W$86</f>
        <v>150636.39767999999</v>
      </c>
      <c r="AD86" s="6">
        <f>$O$86*$X$86</f>
        <v>656639.95751999994</v>
      </c>
      <c r="AE86" s="6">
        <f ca="1">$K$86*$Y$86</f>
        <v>68848.252462673147</v>
      </c>
      <c r="AF86" s="6">
        <f ca="1">$M$86*$Z$86</f>
        <v>189437.14489147137</v>
      </c>
      <c r="AG86" s="6">
        <f>$O$86*$AA$86</f>
        <v>807611.48255381582</v>
      </c>
    </row>
    <row r="87" spans="1:33" ht="11.25" customHeight="1" x14ac:dyDescent="0.25">
      <c r="A87" s="4" t="s">
        <v>21</v>
      </c>
      <c r="B87" s="4" t="s">
        <v>43</v>
      </c>
      <c r="C87" s="4" t="s">
        <v>44</v>
      </c>
      <c r="D87" s="4" t="s">
        <v>42</v>
      </c>
      <c r="E87" s="4" t="s">
        <v>25</v>
      </c>
      <c r="F87" s="4" t="s">
        <v>25</v>
      </c>
      <c r="G87" s="4" t="s">
        <v>25</v>
      </c>
      <c r="H87" s="4" t="s">
        <v>38</v>
      </c>
      <c r="I87" s="5">
        <v>44317</v>
      </c>
      <c r="J87" s="6">
        <v>157067</v>
      </c>
      <c r="K87" s="6">
        <v>157067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4" t="s">
        <v>60</v>
      </c>
      <c r="R87" s="4">
        <v>0</v>
      </c>
      <c r="S87" s="6">
        <v>2</v>
      </c>
      <c r="T87" s="6">
        <v>0</v>
      </c>
      <c r="U87" s="6">
        <v>0</v>
      </c>
      <c r="V87" s="6">
        <f>IF(ISERROR(VLOOKUP($S$87,'TAR FIN'!$A$1:$O$95,15,0)),0,VLOOKUP($S$87,'TAR FIN'!$A$1:$O$95,15,0))</f>
        <v>5.9</v>
      </c>
      <c r="W87" s="6">
        <f>IF(ISERROR(VLOOKUP($T$87,'TAR FIN'!$A$1:$O$95,15,0)),0,VLOOKUP($T$87,'TAR FIN'!$A$1:$O$95,15,0))</f>
        <v>0</v>
      </c>
      <c r="X87" s="6">
        <f>IF(ISERROR(VLOOKUP($U$87,'TAR FIN'!$A$1:$O$95,15,0)),0,VLOOKUP($U$87,'TAR FIN'!$A$1:$O$95,15,0))</f>
        <v>0</v>
      </c>
      <c r="Y87" s="6">
        <f ca="1">('TUSD BE'!$AM$6+'TUSD BF'!$AM$6+'TUSD CVA'!$AM$6)*1</f>
        <v>6.4798355258986495</v>
      </c>
      <c r="Z87" s="6">
        <f ca="1">('TUSD BE'!$AM$7+'TUSD BF'!$AM$7+'TUSD CVA'!$AM$7)*1</f>
        <v>66.362434908719237</v>
      </c>
      <c r="AA87" s="6"/>
      <c r="AB87" s="6">
        <f>$K$87*$V$87</f>
        <v>926695.3</v>
      </c>
      <c r="AC87" s="6">
        <f>$M$87*$W$87</f>
        <v>0</v>
      </c>
      <c r="AD87" s="6">
        <f>$O$87*$X$87</f>
        <v>0</v>
      </c>
      <c r="AE87" s="6">
        <f ca="1">$K$87*$Y$87</f>
        <v>1017768.3265463231</v>
      </c>
      <c r="AF87" s="6">
        <f ca="1">$M$87*$Z$87</f>
        <v>0</v>
      </c>
      <c r="AG87" s="6">
        <f>$O$87*$AA$87</f>
        <v>0</v>
      </c>
    </row>
    <row r="88" spans="1:33" ht="11.25" customHeight="1" x14ac:dyDescent="0.25">
      <c r="A88" s="4" t="s">
        <v>21</v>
      </c>
      <c r="B88" s="4" t="s">
        <v>43</v>
      </c>
      <c r="C88" s="4" t="s">
        <v>44</v>
      </c>
      <c r="D88" s="4" t="s">
        <v>42</v>
      </c>
      <c r="E88" s="4" t="s">
        <v>25</v>
      </c>
      <c r="F88" s="4" t="s">
        <v>25</v>
      </c>
      <c r="G88" s="4" t="s">
        <v>25</v>
      </c>
      <c r="H88" s="4" t="s">
        <v>38</v>
      </c>
      <c r="I88" s="5">
        <v>44348</v>
      </c>
      <c r="J88" s="6">
        <v>6000</v>
      </c>
      <c r="K88" s="6">
        <v>6000</v>
      </c>
      <c r="L88" s="6">
        <v>217.96</v>
      </c>
      <c r="M88" s="6">
        <v>217.96</v>
      </c>
      <c r="N88" s="6">
        <v>217.96</v>
      </c>
      <c r="O88" s="6">
        <v>217.96</v>
      </c>
      <c r="P88" s="6">
        <v>0</v>
      </c>
      <c r="Q88" s="4" t="s">
        <v>26</v>
      </c>
      <c r="R88" s="4">
        <v>0</v>
      </c>
      <c r="S88" s="6">
        <v>2</v>
      </c>
      <c r="T88" s="6">
        <v>25</v>
      </c>
      <c r="U88" s="6">
        <v>65</v>
      </c>
      <c r="V88" s="6">
        <f>IF(ISERROR(VLOOKUP($S$88,'TAR FIN'!$A$1:$O$95,15,0)),0,VLOOKUP($S$88,'TAR FIN'!$A$1:$O$95,15,0))</f>
        <v>5.9</v>
      </c>
      <c r="W88" s="6">
        <f>IF(ISERROR(VLOOKUP($T$88,'TAR FIN'!$A$1:$O$95,15,0)),0,VLOOKUP($T$88,'TAR FIN'!$A$1:$O$95,15,0))</f>
        <v>52.77</v>
      </c>
      <c r="X88" s="6">
        <f>IF(ISERROR(VLOOKUP($U$88,'TAR FIN'!$A$1:$O$95,15,0)),0,VLOOKUP($U$88,'TAR FIN'!$A$1:$O$95,15,0))</f>
        <v>230.03</v>
      </c>
      <c r="Y88" s="6">
        <f ca="1">('TUSD BE'!$AM$6+'TUSD BF'!$AM$6+'TUSD CVA'!$AM$6)*1</f>
        <v>6.4798355258986495</v>
      </c>
      <c r="Z88" s="6">
        <f ca="1">('TUSD BE'!$AM$7+'TUSD BF'!$AM$7+'TUSD CVA'!$AM$7)*1</f>
        <v>66.362434908719237</v>
      </c>
      <c r="AA88" s="6">
        <f>('TE BE'!$AA$6+'TE BF'!$AA$6+'TE CVA'!$AA$6)*1</f>
        <v>282.91739971702214</v>
      </c>
      <c r="AB88" s="6">
        <f>$K$88*$V$88</f>
        <v>35400</v>
      </c>
      <c r="AC88" s="6">
        <f>$M$88*$W$88</f>
        <v>11501.7492</v>
      </c>
      <c r="AD88" s="6">
        <f>$O$88*$X$88</f>
        <v>50137.338800000005</v>
      </c>
      <c r="AE88" s="6">
        <f ca="1">$K$88*$Y$88</f>
        <v>38879.013155391898</v>
      </c>
      <c r="AF88" s="6">
        <f ca="1">$M$88*$Z$88</f>
        <v>14464.356312704445</v>
      </c>
      <c r="AG88" s="6">
        <f>$O$88*$AA$88</f>
        <v>61664.676442322147</v>
      </c>
    </row>
    <row r="89" spans="1:33" ht="11.25" customHeight="1" x14ac:dyDescent="0.25">
      <c r="A89" s="4" t="s">
        <v>21</v>
      </c>
      <c r="B89" s="4" t="s">
        <v>43</v>
      </c>
      <c r="C89" s="4" t="s">
        <v>44</v>
      </c>
      <c r="D89" s="4" t="s">
        <v>42</v>
      </c>
      <c r="E89" s="4" t="s">
        <v>25</v>
      </c>
      <c r="F89" s="4" t="s">
        <v>25</v>
      </c>
      <c r="G89" s="4" t="s">
        <v>25</v>
      </c>
      <c r="H89" s="4" t="s">
        <v>38</v>
      </c>
      <c r="I89" s="5">
        <v>44348</v>
      </c>
      <c r="J89" s="6">
        <v>154353</v>
      </c>
      <c r="K89" s="6">
        <v>154353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60</v>
      </c>
      <c r="R89" s="4">
        <v>0</v>
      </c>
      <c r="S89" s="6">
        <v>2</v>
      </c>
      <c r="T89" s="6">
        <v>0</v>
      </c>
      <c r="U89" s="6">
        <v>0</v>
      </c>
      <c r="V89" s="6">
        <f>IF(ISERROR(VLOOKUP($S$89,'TAR FIN'!$A$1:$O$95,15,0)),0,VLOOKUP($S$89,'TAR FIN'!$A$1:$O$95,15,0))</f>
        <v>5.9</v>
      </c>
      <c r="W89" s="6">
        <f>IF(ISERROR(VLOOKUP($T$89,'TAR FIN'!$A$1:$O$95,15,0)),0,VLOOKUP($T$89,'TAR FIN'!$A$1:$O$95,15,0))</f>
        <v>0</v>
      </c>
      <c r="X89" s="6">
        <f>IF(ISERROR(VLOOKUP($U$89,'TAR FIN'!$A$1:$O$95,15,0)),0,VLOOKUP($U$89,'TAR FIN'!$A$1:$O$95,15,0))</f>
        <v>0</v>
      </c>
      <c r="Y89" s="6">
        <f ca="1">('TUSD BE'!$AM$6+'TUSD BF'!$AM$6+'TUSD CVA'!$AM$6)*1</f>
        <v>6.4798355258986495</v>
      </c>
      <c r="Z89" s="6">
        <f ca="1">('TUSD BE'!$AM$7+'TUSD BF'!$AM$7+'TUSD CVA'!$AM$7)*1</f>
        <v>66.362434908719237</v>
      </c>
      <c r="AA89" s="6"/>
      <c r="AB89" s="6">
        <f>$K$89*$V$89</f>
        <v>910682.70000000007</v>
      </c>
      <c r="AC89" s="6">
        <f>$M$89*$W$89</f>
        <v>0</v>
      </c>
      <c r="AD89" s="6">
        <f>$O$89*$X$89</f>
        <v>0</v>
      </c>
      <c r="AE89" s="6">
        <f ca="1">$K$89*$Y$89</f>
        <v>1000182.0529290342</v>
      </c>
      <c r="AF89" s="6">
        <f ca="1">$M$89*$Z$89</f>
        <v>0</v>
      </c>
      <c r="AG89" s="6">
        <f>$O$89*$AA$89</f>
        <v>0</v>
      </c>
    </row>
    <row r="90" spans="1:33" ht="11.25" customHeight="1" x14ac:dyDescent="0.25">
      <c r="A90" s="4" t="s">
        <v>21</v>
      </c>
      <c r="B90" s="4" t="s">
        <v>43</v>
      </c>
      <c r="C90" s="4" t="s">
        <v>44</v>
      </c>
      <c r="D90" s="4" t="s">
        <v>42</v>
      </c>
      <c r="E90" s="4" t="s">
        <v>25</v>
      </c>
      <c r="F90" s="4" t="s">
        <v>25</v>
      </c>
      <c r="G90" s="4" t="s">
        <v>25</v>
      </c>
      <c r="H90" s="4" t="s">
        <v>38</v>
      </c>
      <c r="I90" s="5">
        <v>44378</v>
      </c>
      <c r="J90" s="6">
        <v>10100</v>
      </c>
      <c r="K90" s="6">
        <v>10100</v>
      </c>
      <c r="L90" s="6">
        <v>1641.5340000000001</v>
      </c>
      <c r="M90" s="6">
        <v>1641.5340000000001</v>
      </c>
      <c r="N90" s="6">
        <v>1641.5340000000001</v>
      </c>
      <c r="O90" s="6">
        <v>1641.5340000000001</v>
      </c>
      <c r="P90" s="6">
        <v>0</v>
      </c>
      <c r="Q90" s="4" t="s">
        <v>26</v>
      </c>
      <c r="R90" s="4">
        <v>0</v>
      </c>
      <c r="S90" s="6">
        <v>2</v>
      </c>
      <c r="T90" s="6">
        <v>25</v>
      </c>
      <c r="U90" s="6">
        <v>65</v>
      </c>
      <c r="V90" s="6">
        <f>IF(ISERROR(VLOOKUP($S$90,'TAR FIN'!$A$1:$O$95,15,0)),0,VLOOKUP($S$90,'TAR FIN'!$A$1:$O$95,15,0))</f>
        <v>5.9</v>
      </c>
      <c r="W90" s="6">
        <f>IF(ISERROR(VLOOKUP($T$90,'TAR FIN'!$A$1:$O$95,15,0)),0,VLOOKUP($T$90,'TAR FIN'!$A$1:$O$95,15,0))</f>
        <v>52.77</v>
      </c>
      <c r="X90" s="6">
        <f>IF(ISERROR(VLOOKUP($U$90,'TAR FIN'!$A$1:$O$95,15,0)),0,VLOOKUP($U$90,'TAR FIN'!$A$1:$O$95,15,0))</f>
        <v>230.03</v>
      </c>
      <c r="Y90" s="6">
        <f ca="1">('TUSD BE'!$AM$6+'TUSD BF'!$AM$6+'TUSD CVA'!$AM$6)*1</f>
        <v>6.4798355258986495</v>
      </c>
      <c r="Z90" s="6">
        <f ca="1">('TUSD BE'!$AM$7+'TUSD BF'!$AM$7+'TUSD CVA'!$AM$7)*1</f>
        <v>66.362434908719237</v>
      </c>
      <c r="AA90" s="6">
        <f>('TE BE'!$AA$6+'TE BF'!$AA$6+'TE CVA'!$AA$6)*1</f>
        <v>282.91739971702214</v>
      </c>
      <c r="AB90" s="6">
        <f>$K$90*$V$90</f>
        <v>59590</v>
      </c>
      <c r="AC90" s="6">
        <f>$M$90*$W$90</f>
        <v>86623.749180000013</v>
      </c>
      <c r="AD90" s="6">
        <f>$O$90*$X$90</f>
        <v>377602.06602000003</v>
      </c>
      <c r="AE90" s="6">
        <f ca="1">$K$90*$Y$90</f>
        <v>65446.338811576359</v>
      </c>
      <c r="AF90" s="6">
        <f ca="1">$M$90*$Z$90</f>
        <v>108936.19322544953</v>
      </c>
      <c r="AG90" s="6">
        <f>$O$90*$AA$90</f>
        <v>464418.53082708223</v>
      </c>
    </row>
    <row r="91" spans="1:33" ht="11.25" customHeight="1" x14ac:dyDescent="0.25">
      <c r="A91" s="4" t="s">
        <v>21</v>
      </c>
      <c r="B91" s="4" t="s">
        <v>43</v>
      </c>
      <c r="C91" s="4" t="s">
        <v>44</v>
      </c>
      <c r="D91" s="4" t="s">
        <v>42</v>
      </c>
      <c r="E91" s="4" t="s">
        <v>25</v>
      </c>
      <c r="F91" s="4" t="s">
        <v>25</v>
      </c>
      <c r="G91" s="4" t="s">
        <v>25</v>
      </c>
      <c r="H91" s="4" t="s">
        <v>38</v>
      </c>
      <c r="I91" s="5">
        <v>44378</v>
      </c>
      <c r="J91" s="6">
        <v>157755</v>
      </c>
      <c r="K91" s="6">
        <v>157755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60</v>
      </c>
      <c r="R91" s="4">
        <v>0</v>
      </c>
      <c r="S91" s="6">
        <v>2</v>
      </c>
      <c r="T91" s="6">
        <v>0</v>
      </c>
      <c r="U91" s="6">
        <v>0</v>
      </c>
      <c r="V91" s="6">
        <f>IF(ISERROR(VLOOKUP($S$91,'TAR FIN'!$A$1:$O$95,15,0)),0,VLOOKUP($S$91,'TAR FIN'!$A$1:$O$95,15,0))</f>
        <v>5.9</v>
      </c>
      <c r="W91" s="6">
        <f>IF(ISERROR(VLOOKUP($T$91,'TAR FIN'!$A$1:$O$95,15,0)),0,VLOOKUP($T$91,'TAR FIN'!$A$1:$O$95,15,0))</f>
        <v>0</v>
      </c>
      <c r="X91" s="6">
        <f>IF(ISERROR(VLOOKUP($U$91,'TAR FIN'!$A$1:$O$95,15,0)),0,VLOOKUP($U$91,'TAR FIN'!$A$1:$O$95,15,0))</f>
        <v>0</v>
      </c>
      <c r="Y91" s="6">
        <f ca="1">('TUSD BE'!$AM$6+'TUSD BF'!$AM$6+'TUSD CVA'!$AM$6)*1</f>
        <v>6.4798355258986495</v>
      </c>
      <c r="Z91" s="6">
        <f ca="1">('TUSD BE'!$AM$7+'TUSD BF'!$AM$7+'TUSD CVA'!$AM$7)*1</f>
        <v>66.362434908719237</v>
      </c>
      <c r="AA91" s="6"/>
      <c r="AB91" s="6">
        <f>$K$91*$V$91</f>
        <v>930754.5</v>
      </c>
      <c r="AC91" s="6">
        <f>$M$91*$W$91</f>
        <v>0</v>
      </c>
      <c r="AD91" s="6">
        <f>$O$91*$X$91</f>
        <v>0</v>
      </c>
      <c r="AE91" s="6">
        <f ca="1">$K$91*$Y$91</f>
        <v>1022226.4533881415</v>
      </c>
      <c r="AF91" s="6">
        <f ca="1">$M$91*$Z$91</f>
        <v>0</v>
      </c>
      <c r="AG91" s="6">
        <f>$O$91*$AA$91</f>
        <v>0</v>
      </c>
    </row>
    <row r="92" spans="1:33" ht="11.25" customHeight="1" x14ac:dyDescent="0.25">
      <c r="A92" s="4" t="s">
        <v>21</v>
      </c>
      <c r="B92" s="4" t="s">
        <v>43</v>
      </c>
      <c r="C92" s="4" t="s">
        <v>44</v>
      </c>
      <c r="D92" s="4" t="s">
        <v>42</v>
      </c>
      <c r="E92" s="4" t="s">
        <v>25</v>
      </c>
      <c r="F92" s="4" t="s">
        <v>25</v>
      </c>
      <c r="G92" s="4" t="s">
        <v>25</v>
      </c>
      <c r="H92" s="4" t="s">
        <v>38</v>
      </c>
      <c r="I92" s="5">
        <v>44409</v>
      </c>
      <c r="J92" s="6">
        <v>10100</v>
      </c>
      <c r="K92" s="6">
        <v>10100</v>
      </c>
      <c r="L92" s="6">
        <v>1808.049</v>
      </c>
      <c r="M92" s="6">
        <v>1808.049</v>
      </c>
      <c r="N92" s="6">
        <v>1808.049</v>
      </c>
      <c r="O92" s="6">
        <v>1808.049</v>
      </c>
      <c r="P92" s="6">
        <v>0</v>
      </c>
      <c r="Q92" s="4" t="s">
        <v>26</v>
      </c>
      <c r="R92" s="4">
        <v>0</v>
      </c>
      <c r="S92" s="6">
        <v>2</v>
      </c>
      <c r="T92" s="6">
        <v>25</v>
      </c>
      <c r="U92" s="6">
        <v>65</v>
      </c>
      <c r="V92" s="6">
        <f>IF(ISERROR(VLOOKUP($S$92,'TAR FIN'!$A$1:$O$95,15,0)),0,VLOOKUP($S$92,'TAR FIN'!$A$1:$O$95,15,0))</f>
        <v>5.9</v>
      </c>
      <c r="W92" s="6">
        <f>IF(ISERROR(VLOOKUP($T$92,'TAR FIN'!$A$1:$O$95,15,0)),0,VLOOKUP($T$92,'TAR FIN'!$A$1:$O$95,15,0))</f>
        <v>52.77</v>
      </c>
      <c r="X92" s="6">
        <f>IF(ISERROR(VLOOKUP($U$92,'TAR FIN'!$A$1:$O$95,15,0)),0,VLOOKUP($U$92,'TAR FIN'!$A$1:$O$95,15,0))</f>
        <v>230.03</v>
      </c>
      <c r="Y92" s="6">
        <f ca="1">('TUSD BE'!$AM$6+'TUSD BF'!$AM$6+'TUSD CVA'!$AM$6)*1</f>
        <v>6.4798355258986495</v>
      </c>
      <c r="Z92" s="6">
        <f ca="1">('TUSD BE'!$AM$7+'TUSD BF'!$AM$7+'TUSD CVA'!$AM$7)*1</f>
        <v>66.362434908719237</v>
      </c>
      <c r="AA92" s="6">
        <f>('TE BE'!$AA$6+'TE BF'!$AA$6+'TE CVA'!$AA$6)*1</f>
        <v>282.91739971702214</v>
      </c>
      <c r="AB92" s="6">
        <f>$K$92*$V$92</f>
        <v>59590</v>
      </c>
      <c r="AC92" s="6">
        <f>$M$92*$W$92</f>
        <v>95410.74573000001</v>
      </c>
      <c r="AD92" s="6">
        <f>$O$92*$X$92</f>
        <v>415905.51146999997</v>
      </c>
      <c r="AE92" s="6">
        <f ca="1">$K$92*$Y$92</f>
        <v>65446.338811576359</v>
      </c>
      <c r="AF92" s="6">
        <f ca="1">$M$92*$Z$92</f>
        <v>119986.53407427491</v>
      </c>
      <c r="AG92" s="6">
        <f>$O$92*$AA$92</f>
        <v>511528.52164096216</v>
      </c>
    </row>
    <row r="93" spans="1:33" ht="11.25" customHeight="1" x14ac:dyDescent="0.25">
      <c r="A93" s="4" t="s">
        <v>21</v>
      </c>
      <c r="B93" s="4" t="s">
        <v>43</v>
      </c>
      <c r="C93" s="4" t="s">
        <v>44</v>
      </c>
      <c r="D93" s="4" t="s">
        <v>42</v>
      </c>
      <c r="E93" s="4" t="s">
        <v>25</v>
      </c>
      <c r="F93" s="4" t="s">
        <v>25</v>
      </c>
      <c r="G93" s="4" t="s">
        <v>25</v>
      </c>
      <c r="H93" s="4" t="s">
        <v>38</v>
      </c>
      <c r="I93" s="5">
        <v>44409</v>
      </c>
      <c r="J93" s="6">
        <v>162614</v>
      </c>
      <c r="K93" s="6">
        <v>162614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60</v>
      </c>
      <c r="R93" s="4">
        <v>0</v>
      </c>
      <c r="S93" s="6">
        <v>2</v>
      </c>
      <c r="T93" s="6">
        <v>0</v>
      </c>
      <c r="U93" s="6">
        <v>0</v>
      </c>
      <c r="V93" s="6">
        <f>IF(ISERROR(VLOOKUP($S$93,'TAR FIN'!$A$1:$O$95,15,0)),0,VLOOKUP($S$93,'TAR FIN'!$A$1:$O$95,15,0))</f>
        <v>5.9</v>
      </c>
      <c r="W93" s="6">
        <f>IF(ISERROR(VLOOKUP($T$93,'TAR FIN'!$A$1:$O$95,15,0)),0,VLOOKUP($T$93,'TAR FIN'!$A$1:$O$95,15,0))</f>
        <v>0</v>
      </c>
      <c r="X93" s="6">
        <f>IF(ISERROR(VLOOKUP($U$93,'TAR FIN'!$A$1:$O$95,15,0)),0,VLOOKUP($U$93,'TAR FIN'!$A$1:$O$95,15,0))</f>
        <v>0</v>
      </c>
      <c r="Y93" s="6">
        <f ca="1">('TUSD BE'!$AM$6+'TUSD BF'!$AM$6+'TUSD CVA'!$AM$6)*1</f>
        <v>6.4798355258986495</v>
      </c>
      <c r="Z93" s="6">
        <f ca="1">('TUSD BE'!$AM$7+'TUSD BF'!$AM$7+'TUSD CVA'!$AM$7)*1</f>
        <v>66.362434908719237</v>
      </c>
      <c r="AA93" s="6"/>
      <c r="AB93" s="6">
        <f>$K$93*$V$93</f>
        <v>959422.60000000009</v>
      </c>
      <c r="AC93" s="6">
        <f>$M$93*$W$93</f>
        <v>0</v>
      </c>
      <c r="AD93" s="6">
        <f>$O$93*$X$93</f>
        <v>0</v>
      </c>
      <c r="AE93" s="6">
        <f ca="1">$K$93*$Y$93</f>
        <v>1053711.974208483</v>
      </c>
      <c r="AF93" s="6">
        <f ca="1">$M$93*$Z$93</f>
        <v>0</v>
      </c>
      <c r="AG93" s="6">
        <f>$O$93*$AA$93</f>
        <v>0</v>
      </c>
    </row>
    <row r="94" spans="1:33" ht="11.25" customHeight="1" x14ac:dyDescent="0.25">
      <c r="A94" s="4" t="s">
        <v>21</v>
      </c>
      <c r="B94" s="4" t="s">
        <v>43</v>
      </c>
      <c r="C94" s="4" t="s">
        <v>44</v>
      </c>
      <c r="D94" s="4" t="s">
        <v>42</v>
      </c>
      <c r="E94" s="4" t="s">
        <v>25</v>
      </c>
      <c r="F94" s="4" t="s">
        <v>25</v>
      </c>
      <c r="G94" s="4" t="s">
        <v>25</v>
      </c>
      <c r="H94" s="4" t="s">
        <v>38</v>
      </c>
      <c r="I94" s="5">
        <v>44440</v>
      </c>
      <c r="J94" s="6">
        <v>10100</v>
      </c>
      <c r="K94" s="6">
        <v>10100</v>
      </c>
      <c r="L94" s="6">
        <v>1720.08</v>
      </c>
      <c r="M94" s="6">
        <v>1720.08</v>
      </c>
      <c r="N94" s="6">
        <v>1720.08</v>
      </c>
      <c r="O94" s="6">
        <v>1720.08</v>
      </c>
      <c r="P94" s="6">
        <v>0</v>
      </c>
      <c r="Q94" s="4" t="s">
        <v>26</v>
      </c>
      <c r="R94" s="4">
        <v>0</v>
      </c>
      <c r="S94" s="6">
        <v>2</v>
      </c>
      <c r="T94" s="6">
        <v>25</v>
      </c>
      <c r="U94" s="6">
        <v>65</v>
      </c>
      <c r="V94" s="6">
        <f>IF(ISERROR(VLOOKUP($S$94,'TAR FIN'!$A$1:$O$95,15,0)),0,VLOOKUP($S$94,'TAR FIN'!$A$1:$O$95,15,0))</f>
        <v>5.9</v>
      </c>
      <c r="W94" s="6">
        <f>IF(ISERROR(VLOOKUP($T$94,'TAR FIN'!$A$1:$O$95,15,0)),0,VLOOKUP($T$94,'TAR FIN'!$A$1:$O$95,15,0))</f>
        <v>52.77</v>
      </c>
      <c r="X94" s="6">
        <f>IF(ISERROR(VLOOKUP($U$94,'TAR FIN'!$A$1:$O$95,15,0)),0,VLOOKUP($U$94,'TAR FIN'!$A$1:$O$95,15,0))</f>
        <v>230.03</v>
      </c>
      <c r="Y94" s="6">
        <f ca="1">('TUSD BE'!$AM$6+'TUSD BF'!$AM$6+'TUSD CVA'!$AM$6)*1</f>
        <v>6.4798355258986495</v>
      </c>
      <c r="Z94" s="6">
        <f ca="1">('TUSD BE'!$AM$7+'TUSD BF'!$AM$7+'TUSD CVA'!$AM$7)*1</f>
        <v>66.362434908719237</v>
      </c>
      <c r="AA94" s="6">
        <f>('TE BE'!$AA$6+'TE BF'!$AA$6+'TE CVA'!$AA$6)*1</f>
        <v>282.91739971702214</v>
      </c>
      <c r="AB94" s="6">
        <f>$K$94*$V$94</f>
        <v>59590</v>
      </c>
      <c r="AC94" s="6">
        <f>$M$94*$W$94</f>
        <v>90768.621599999999</v>
      </c>
      <c r="AD94" s="6">
        <f>$O$94*$X$94</f>
        <v>395670.0024</v>
      </c>
      <c r="AE94" s="6">
        <f ca="1">$K$94*$Y$94</f>
        <v>65446.338811576359</v>
      </c>
      <c r="AF94" s="6">
        <f ca="1">$M$94*$Z$94</f>
        <v>114148.69703778978</v>
      </c>
      <c r="AG94" s="6">
        <f>$O$94*$AA$94</f>
        <v>486640.56090525544</v>
      </c>
    </row>
    <row r="95" spans="1:33" ht="11.25" customHeight="1" x14ac:dyDescent="0.25">
      <c r="A95" s="4" t="s">
        <v>21</v>
      </c>
      <c r="B95" s="4" t="s">
        <v>43</v>
      </c>
      <c r="C95" s="4" t="s">
        <v>44</v>
      </c>
      <c r="D95" s="4" t="s">
        <v>42</v>
      </c>
      <c r="E95" s="4" t="s">
        <v>25</v>
      </c>
      <c r="F95" s="4" t="s">
        <v>25</v>
      </c>
      <c r="G95" s="4" t="s">
        <v>25</v>
      </c>
      <c r="H95" s="4" t="s">
        <v>38</v>
      </c>
      <c r="I95" s="5">
        <v>44440</v>
      </c>
      <c r="J95" s="6">
        <v>162319</v>
      </c>
      <c r="K95" s="6">
        <v>162319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60</v>
      </c>
      <c r="R95" s="4">
        <v>0</v>
      </c>
      <c r="S95" s="6">
        <v>2</v>
      </c>
      <c r="T95" s="6">
        <v>0</v>
      </c>
      <c r="U95" s="6">
        <v>0</v>
      </c>
      <c r="V95" s="6">
        <f>IF(ISERROR(VLOOKUP($S$95,'TAR FIN'!$A$1:$O$95,15,0)),0,VLOOKUP($S$95,'TAR FIN'!$A$1:$O$95,15,0))</f>
        <v>5.9</v>
      </c>
      <c r="W95" s="6">
        <f>IF(ISERROR(VLOOKUP($T$95,'TAR FIN'!$A$1:$O$95,15,0)),0,VLOOKUP($T$95,'TAR FIN'!$A$1:$O$95,15,0))</f>
        <v>0</v>
      </c>
      <c r="X95" s="6">
        <f>IF(ISERROR(VLOOKUP($U$95,'TAR FIN'!$A$1:$O$95,15,0)),0,VLOOKUP($U$95,'TAR FIN'!$A$1:$O$95,15,0))</f>
        <v>0</v>
      </c>
      <c r="Y95" s="6">
        <f ca="1">('TUSD BE'!$AM$6+'TUSD BF'!$AM$6+'TUSD CVA'!$AM$6)*1</f>
        <v>6.4798355258986495</v>
      </c>
      <c r="Z95" s="6">
        <f ca="1">('TUSD BE'!$AM$7+'TUSD BF'!$AM$7+'TUSD CVA'!$AM$7)*1</f>
        <v>66.362434908719237</v>
      </c>
      <c r="AA95" s="6"/>
      <c r="AB95" s="6">
        <f>$K$95*$V$95</f>
        <v>957682.10000000009</v>
      </c>
      <c r="AC95" s="6">
        <f>$M$95*$W$95</f>
        <v>0</v>
      </c>
      <c r="AD95" s="6">
        <f>$O$95*$X$95</f>
        <v>0</v>
      </c>
      <c r="AE95" s="6">
        <f ca="1">$K$95*$Y$95</f>
        <v>1051800.4227283429</v>
      </c>
      <c r="AF95" s="6">
        <f ca="1">$M$95*$Z$95</f>
        <v>0</v>
      </c>
      <c r="AG95" s="6">
        <f>$O$95*$AA$95</f>
        <v>0</v>
      </c>
    </row>
    <row r="96" spans="1:33" ht="11.25" customHeight="1" x14ac:dyDescent="0.25">
      <c r="A96" s="4" t="s">
        <v>59</v>
      </c>
      <c r="B96" s="4" t="s">
        <v>43</v>
      </c>
      <c r="C96" s="4" t="s">
        <v>44</v>
      </c>
      <c r="D96" s="4" t="s">
        <v>42</v>
      </c>
      <c r="E96" s="4" t="s">
        <v>25</v>
      </c>
      <c r="F96" s="4" t="s">
        <v>25</v>
      </c>
      <c r="G96" s="4" t="s">
        <v>25</v>
      </c>
      <c r="H96" s="4" t="s">
        <v>38</v>
      </c>
      <c r="I96" s="5">
        <v>44470</v>
      </c>
      <c r="J96" s="6">
        <v>10100</v>
      </c>
      <c r="K96" s="6">
        <v>10100</v>
      </c>
      <c r="L96" s="6">
        <v>1720.08</v>
      </c>
      <c r="M96" s="6">
        <v>1720.08</v>
      </c>
      <c r="N96" s="6">
        <v>1720.08</v>
      </c>
      <c r="O96" s="6">
        <v>1720.08</v>
      </c>
      <c r="P96" s="6">
        <v>0</v>
      </c>
      <c r="Q96" s="4" t="s">
        <v>26</v>
      </c>
      <c r="R96" s="4">
        <v>0</v>
      </c>
      <c r="S96" s="6">
        <v>2</v>
      </c>
      <c r="T96" s="6">
        <v>25</v>
      </c>
      <c r="U96" s="6">
        <v>65</v>
      </c>
      <c r="V96" s="6">
        <f>IF(ISERROR(VLOOKUP($S$96,'TAR FIN'!$A$1:$O$95,15,0)),0,VLOOKUP($S$96,'TAR FIN'!$A$1:$O$95,15,0))</f>
        <v>5.9</v>
      </c>
      <c r="W96" s="6">
        <f>IF(ISERROR(VLOOKUP($T$96,'TAR FIN'!$A$1:$O$95,15,0)),0,VLOOKUP($T$96,'TAR FIN'!$A$1:$O$95,15,0))</f>
        <v>52.77</v>
      </c>
      <c r="X96" s="6">
        <f>IF(ISERROR(VLOOKUP($U$96,'TAR FIN'!$A$1:$O$95,15,0)),0,VLOOKUP($U$96,'TAR FIN'!$A$1:$O$95,15,0))</f>
        <v>230.03</v>
      </c>
      <c r="Y96" s="6">
        <f ca="1">('TUSD BE'!$AM$6+'TUSD BF'!$AM$6+'TUSD CVA'!$AM$6)*1</f>
        <v>6.4798355258986495</v>
      </c>
      <c r="Z96" s="6">
        <f ca="1">('TUSD BE'!$AM$7+'TUSD BF'!$AM$7+'TUSD CVA'!$AM$7)*1</f>
        <v>66.362434908719237</v>
      </c>
      <c r="AA96" s="6">
        <f>('TE BE'!$AA$6+'TE BF'!$AA$6+'TE CVA'!$AA$6)*1</f>
        <v>282.91739971702214</v>
      </c>
      <c r="AB96" s="6">
        <f>$K$96*$V$96</f>
        <v>59590</v>
      </c>
      <c r="AC96" s="6">
        <f>$M$96*$W$96</f>
        <v>90768.621599999999</v>
      </c>
      <c r="AD96" s="6">
        <f>$O$96*$X$96</f>
        <v>395670.0024</v>
      </c>
      <c r="AE96" s="6">
        <f ca="1">$K$96*$Y$96</f>
        <v>65446.338811576359</v>
      </c>
      <c r="AF96" s="6">
        <f ca="1">$M$96*$Z$96</f>
        <v>114148.69703778978</v>
      </c>
      <c r="AG96" s="6">
        <f>$O$96*$AA$96</f>
        <v>486640.56090525544</v>
      </c>
    </row>
    <row r="97" spans="1:33" ht="11.25" customHeight="1" x14ac:dyDescent="0.25">
      <c r="A97" s="4" t="s">
        <v>59</v>
      </c>
      <c r="B97" s="4" t="s">
        <v>43</v>
      </c>
      <c r="C97" s="4" t="s">
        <v>44</v>
      </c>
      <c r="D97" s="4" t="s">
        <v>42</v>
      </c>
      <c r="E97" s="4" t="s">
        <v>25</v>
      </c>
      <c r="F97" s="4" t="s">
        <v>25</v>
      </c>
      <c r="G97" s="4" t="s">
        <v>25</v>
      </c>
      <c r="H97" s="4" t="s">
        <v>38</v>
      </c>
      <c r="I97" s="5">
        <v>44470</v>
      </c>
      <c r="J97" s="6">
        <v>162319</v>
      </c>
      <c r="K97" s="6">
        <v>162319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60</v>
      </c>
      <c r="R97" s="4">
        <v>0</v>
      </c>
      <c r="S97" s="6">
        <v>2</v>
      </c>
      <c r="T97" s="6">
        <v>0</v>
      </c>
      <c r="U97" s="6">
        <v>0</v>
      </c>
      <c r="V97" s="6">
        <f>IF(ISERROR(VLOOKUP($S$97,'TAR FIN'!$A$1:$O$95,15,0)),0,VLOOKUP($S$97,'TAR FIN'!$A$1:$O$95,15,0))</f>
        <v>5.9</v>
      </c>
      <c r="W97" s="6">
        <f>IF(ISERROR(VLOOKUP($T$97,'TAR FIN'!$A$1:$O$95,15,0)),0,VLOOKUP($T$97,'TAR FIN'!$A$1:$O$95,15,0))</f>
        <v>0</v>
      </c>
      <c r="X97" s="6">
        <f>IF(ISERROR(VLOOKUP($U$97,'TAR FIN'!$A$1:$O$95,15,0)),0,VLOOKUP($U$97,'TAR FIN'!$A$1:$O$95,15,0))</f>
        <v>0</v>
      </c>
      <c r="Y97" s="6">
        <f ca="1">('TUSD BE'!$AM$6+'TUSD BF'!$AM$6+'TUSD CVA'!$AM$6)*1</f>
        <v>6.4798355258986495</v>
      </c>
      <c r="Z97" s="6">
        <f ca="1">('TUSD BE'!$AM$7+'TUSD BF'!$AM$7+'TUSD CVA'!$AM$7)*1</f>
        <v>66.362434908719237</v>
      </c>
      <c r="AA97" s="6"/>
      <c r="AB97" s="6">
        <f>$K$97*$V$97</f>
        <v>957682.10000000009</v>
      </c>
      <c r="AC97" s="6">
        <f>$M$97*$W$97</f>
        <v>0</v>
      </c>
      <c r="AD97" s="6">
        <f>$O$97*$X$97</f>
        <v>0</v>
      </c>
      <c r="AE97" s="6">
        <f ca="1">$K$97*$Y$97</f>
        <v>1051800.4227283429</v>
      </c>
      <c r="AF97" s="6">
        <f ca="1">$M$97*$Z$97</f>
        <v>0</v>
      </c>
      <c r="AG97" s="6">
        <f>$O$97*$AA$97</f>
        <v>0</v>
      </c>
    </row>
    <row r="98" spans="1:33" ht="11.25" customHeight="1" x14ac:dyDescent="0.25">
      <c r="A98" s="4" t="s">
        <v>21</v>
      </c>
      <c r="B98" s="4" t="s">
        <v>43</v>
      </c>
      <c r="C98" s="4" t="s">
        <v>44</v>
      </c>
      <c r="D98" s="4" t="s">
        <v>42</v>
      </c>
      <c r="E98" s="4" t="s">
        <v>25</v>
      </c>
      <c r="F98" s="4" t="s">
        <v>25</v>
      </c>
      <c r="G98" s="4" t="s">
        <v>25</v>
      </c>
      <c r="H98" s="4" t="s">
        <v>25</v>
      </c>
      <c r="I98" s="5">
        <v>44136</v>
      </c>
      <c r="J98" s="6">
        <v>0</v>
      </c>
      <c r="K98" s="6">
        <v>0</v>
      </c>
      <c r="L98" s="6">
        <v>73540.95</v>
      </c>
      <c r="M98" s="6">
        <v>73540.95</v>
      </c>
      <c r="N98" s="6">
        <v>0</v>
      </c>
      <c r="O98" s="6">
        <v>0</v>
      </c>
      <c r="P98" s="6">
        <v>24</v>
      </c>
      <c r="Q98" s="4" t="s">
        <v>60</v>
      </c>
      <c r="R98" s="4">
        <v>0</v>
      </c>
      <c r="S98" s="6">
        <v>0</v>
      </c>
      <c r="T98" s="6">
        <v>25</v>
      </c>
      <c r="U98" s="6">
        <v>0</v>
      </c>
      <c r="V98" s="6">
        <f>IF(ISERROR(VLOOKUP($S$98,'TAR FIN'!$A$1:$O$95,15,0)),0,VLOOKUP($S$98,'TAR FIN'!$A$1:$O$95,15,0))</f>
        <v>0</v>
      </c>
      <c r="W98" s="6">
        <f>IF(ISERROR(VLOOKUP($T$98,'TAR FIN'!$A$1:$O$95,15,0)),0,VLOOKUP($T$98,'TAR FIN'!$A$1:$O$95,15,0))</f>
        <v>52.77</v>
      </c>
      <c r="X98" s="6">
        <f>IF(ISERROR(VLOOKUP($U$98,'TAR FIN'!$A$1:$O$95,15,0)),0,VLOOKUP($U$98,'TAR FIN'!$A$1:$O$95,15,0))</f>
        <v>0</v>
      </c>
      <c r="Y98" s="6"/>
      <c r="Z98" s="6">
        <f ca="1">('TUSD BE'!$AM$7+'TUSD BF'!$AM$7+'TUSD CVA'!$AM$7)*1</f>
        <v>66.362434908719237</v>
      </c>
      <c r="AA98" s="6"/>
      <c r="AB98" s="6">
        <f>$K$98*$V$98</f>
        <v>0</v>
      </c>
      <c r="AC98" s="6">
        <f>$M$98*$W$98</f>
        <v>3880755.9314999999</v>
      </c>
      <c r="AD98" s="6">
        <f>$O$98*$X$98</f>
        <v>0</v>
      </c>
      <c r="AE98" s="6">
        <f>$K$98*$Y$98</f>
        <v>0</v>
      </c>
      <c r="AF98" s="6">
        <f ca="1">$M$98*$Z$98</f>
        <v>4880356.5075003756</v>
      </c>
      <c r="AG98" s="6">
        <f>$O$98*$AA$98</f>
        <v>0</v>
      </c>
    </row>
    <row r="99" spans="1:33" ht="11.25" customHeight="1" x14ac:dyDescent="0.25">
      <c r="A99" s="4" t="s">
        <v>21</v>
      </c>
      <c r="B99" s="4" t="s">
        <v>43</v>
      </c>
      <c r="C99" s="4" t="s">
        <v>44</v>
      </c>
      <c r="D99" s="4" t="s">
        <v>42</v>
      </c>
      <c r="E99" s="4" t="s">
        <v>25</v>
      </c>
      <c r="F99" s="4" t="s">
        <v>25</v>
      </c>
      <c r="G99" s="4" t="s">
        <v>25</v>
      </c>
      <c r="H99" s="4" t="s">
        <v>25</v>
      </c>
      <c r="I99" s="5">
        <v>44166</v>
      </c>
      <c r="J99" s="6">
        <v>0</v>
      </c>
      <c r="K99" s="6">
        <v>0</v>
      </c>
      <c r="L99" s="6">
        <v>66619.611000000004</v>
      </c>
      <c r="M99" s="6">
        <v>66619.611000000004</v>
      </c>
      <c r="N99" s="6">
        <v>0</v>
      </c>
      <c r="O99" s="6">
        <v>0</v>
      </c>
      <c r="P99" s="6">
        <v>24</v>
      </c>
      <c r="Q99" s="4" t="s">
        <v>60</v>
      </c>
      <c r="R99" s="4">
        <v>0</v>
      </c>
      <c r="S99" s="6">
        <v>0</v>
      </c>
      <c r="T99" s="6">
        <v>25</v>
      </c>
      <c r="U99" s="6">
        <v>0</v>
      </c>
      <c r="V99" s="6">
        <f>IF(ISERROR(VLOOKUP($S$99,'TAR FIN'!$A$1:$O$95,15,0)),0,VLOOKUP($S$99,'TAR FIN'!$A$1:$O$95,15,0))</f>
        <v>0</v>
      </c>
      <c r="W99" s="6">
        <f>IF(ISERROR(VLOOKUP($T$99,'TAR FIN'!$A$1:$O$95,15,0)),0,VLOOKUP($T$99,'TAR FIN'!$A$1:$O$95,15,0))</f>
        <v>52.77</v>
      </c>
      <c r="X99" s="6">
        <f>IF(ISERROR(VLOOKUP($U$99,'TAR FIN'!$A$1:$O$95,15,0)),0,VLOOKUP($U$99,'TAR FIN'!$A$1:$O$95,15,0))</f>
        <v>0</v>
      </c>
      <c r="Y99" s="6"/>
      <c r="Z99" s="6">
        <f ca="1">('TUSD BE'!$AM$7+'TUSD BF'!$AM$7+'TUSD CVA'!$AM$7)*1</f>
        <v>66.362434908719237</v>
      </c>
      <c r="AA99" s="6"/>
      <c r="AB99" s="6">
        <f>$K$99*$V$99</f>
        <v>0</v>
      </c>
      <c r="AC99" s="6">
        <f>$M$99*$W$99</f>
        <v>3515516.8724700003</v>
      </c>
      <c r="AD99" s="6">
        <f>$O$99*$X$99</f>
        <v>0</v>
      </c>
      <c r="AE99" s="6">
        <f>$K$99*$Y$99</f>
        <v>0</v>
      </c>
      <c r="AF99" s="6">
        <f ca="1">$M$99*$Z$99</f>
        <v>4421039.5986316968</v>
      </c>
      <c r="AG99" s="6">
        <f>$O$99*$AA$99</f>
        <v>0</v>
      </c>
    </row>
    <row r="100" spans="1:33" ht="11.25" customHeight="1" x14ac:dyDescent="0.25">
      <c r="A100" s="4" t="s">
        <v>21</v>
      </c>
      <c r="B100" s="4" t="s">
        <v>43</v>
      </c>
      <c r="C100" s="4" t="s">
        <v>44</v>
      </c>
      <c r="D100" s="4" t="s">
        <v>42</v>
      </c>
      <c r="E100" s="4" t="s">
        <v>25</v>
      </c>
      <c r="F100" s="4" t="s">
        <v>25</v>
      </c>
      <c r="G100" s="4" t="s">
        <v>25</v>
      </c>
      <c r="H100" s="4" t="s">
        <v>25</v>
      </c>
      <c r="I100" s="5">
        <v>44197</v>
      </c>
      <c r="J100" s="6">
        <v>0</v>
      </c>
      <c r="K100" s="6">
        <v>0</v>
      </c>
      <c r="L100" s="6">
        <v>62831.25</v>
      </c>
      <c r="M100" s="6">
        <v>62831.25</v>
      </c>
      <c r="N100" s="6">
        <v>0</v>
      </c>
      <c r="O100" s="6">
        <v>0</v>
      </c>
      <c r="P100" s="6">
        <v>24</v>
      </c>
      <c r="Q100" s="4" t="s">
        <v>60</v>
      </c>
      <c r="R100" s="4">
        <v>0</v>
      </c>
      <c r="S100" s="6">
        <v>0</v>
      </c>
      <c r="T100" s="6">
        <v>25</v>
      </c>
      <c r="U100" s="6">
        <v>0</v>
      </c>
      <c r="V100" s="6">
        <f>IF(ISERROR(VLOOKUP($S$100,'TAR FIN'!$A$1:$O$95,15,0)),0,VLOOKUP($S$100,'TAR FIN'!$A$1:$O$95,15,0))</f>
        <v>0</v>
      </c>
      <c r="W100" s="6">
        <f>IF(ISERROR(VLOOKUP($T$100,'TAR FIN'!$A$1:$O$95,15,0)),0,VLOOKUP($T$100,'TAR FIN'!$A$1:$O$95,15,0))</f>
        <v>52.77</v>
      </c>
      <c r="X100" s="6">
        <f>IF(ISERROR(VLOOKUP($U$100,'TAR FIN'!$A$1:$O$95,15,0)),0,VLOOKUP($U$100,'TAR FIN'!$A$1:$O$95,15,0))</f>
        <v>0</v>
      </c>
      <c r="Y100" s="6"/>
      <c r="Z100" s="6">
        <f ca="1">('TUSD BE'!$AM$7+'TUSD BF'!$AM$7+'TUSD CVA'!$AM$7)*1</f>
        <v>66.362434908719237</v>
      </c>
      <c r="AA100" s="6"/>
      <c r="AB100" s="6">
        <f>$K$100*$V$100</f>
        <v>0</v>
      </c>
      <c r="AC100" s="6">
        <f>$M$100*$W$100</f>
        <v>3315605.0625</v>
      </c>
      <c r="AD100" s="6">
        <f>$O$100*$X$100</f>
        <v>0</v>
      </c>
      <c r="AE100" s="6">
        <f>$K$100*$Y$100</f>
        <v>0</v>
      </c>
      <c r="AF100" s="6">
        <f ca="1">$M$100*$Z$100</f>
        <v>4169634.7383584655</v>
      </c>
      <c r="AG100" s="6">
        <f>$O$100*$AA$100</f>
        <v>0</v>
      </c>
    </row>
    <row r="101" spans="1:33" ht="11.25" customHeight="1" x14ac:dyDescent="0.25">
      <c r="A101" s="4" t="s">
        <v>21</v>
      </c>
      <c r="B101" s="4" t="s">
        <v>43</v>
      </c>
      <c r="C101" s="4" t="s">
        <v>44</v>
      </c>
      <c r="D101" s="4" t="s">
        <v>42</v>
      </c>
      <c r="E101" s="4" t="s">
        <v>25</v>
      </c>
      <c r="F101" s="4" t="s">
        <v>25</v>
      </c>
      <c r="G101" s="4" t="s">
        <v>25</v>
      </c>
      <c r="H101" s="4" t="s">
        <v>25</v>
      </c>
      <c r="I101" s="5">
        <v>44228</v>
      </c>
      <c r="J101" s="6">
        <v>0</v>
      </c>
      <c r="K101" s="6">
        <v>0</v>
      </c>
      <c r="L101" s="6">
        <v>62605.934999999998</v>
      </c>
      <c r="M101" s="6">
        <v>62605.934999999998</v>
      </c>
      <c r="N101" s="6">
        <v>0</v>
      </c>
      <c r="O101" s="6">
        <v>0</v>
      </c>
      <c r="P101" s="6">
        <v>24</v>
      </c>
      <c r="Q101" s="4" t="s">
        <v>60</v>
      </c>
      <c r="R101" s="4">
        <v>0</v>
      </c>
      <c r="S101" s="6">
        <v>0</v>
      </c>
      <c r="T101" s="6">
        <v>25</v>
      </c>
      <c r="U101" s="6">
        <v>0</v>
      </c>
      <c r="V101" s="6">
        <f>IF(ISERROR(VLOOKUP($S$101,'TAR FIN'!$A$1:$O$95,15,0)),0,VLOOKUP($S$101,'TAR FIN'!$A$1:$O$95,15,0))</f>
        <v>0</v>
      </c>
      <c r="W101" s="6">
        <f>IF(ISERROR(VLOOKUP($T$101,'TAR FIN'!$A$1:$O$95,15,0)),0,VLOOKUP($T$101,'TAR FIN'!$A$1:$O$95,15,0))</f>
        <v>52.77</v>
      </c>
      <c r="X101" s="6">
        <f>IF(ISERROR(VLOOKUP($U$101,'TAR FIN'!$A$1:$O$95,15,0)),0,VLOOKUP($U$101,'TAR FIN'!$A$1:$O$95,15,0))</f>
        <v>0</v>
      </c>
      <c r="Y101" s="6"/>
      <c r="Z101" s="6">
        <f ca="1">('TUSD BE'!$AM$7+'TUSD BF'!$AM$7+'TUSD CVA'!$AM$7)*1</f>
        <v>66.362434908719237</v>
      </c>
      <c r="AA101" s="6"/>
      <c r="AB101" s="6">
        <f>$K$101*$V$101</f>
        <v>0</v>
      </c>
      <c r="AC101" s="6">
        <f>$M$101*$W$101</f>
        <v>3303715.18995</v>
      </c>
      <c r="AD101" s="6">
        <f>$O$101*$X$101</f>
        <v>0</v>
      </c>
      <c r="AE101" s="6">
        <f>$K$101*$Y$101</f>
        <v>0</v>
      </c>
      <c r="AF101" s="6">
        <f ca="1">$M$101*$Z$101</f>
        <v>4154682.2863370073</v>
      </c>
      <c r="AG101" s="6">
        <f>$O$101*$AA$101</f>
        <v>0</v>
      </c>
    </row>
    <row r="102" spans="1:33" ht="11.25" customHeight="1" x14ac:dyDescent="0.25">
      <c r="A102" s="4" t="s">
        <v>21</v>
      </c>
      <c r="B102" s="4" t="s">
        <v>43</v>
      </c>
      <c r="C102" s="4" t="s">
        <v>44</v>
      </c>
      <c r="D102" s="4" t="s">
        <v>42</v>
      </c>
      <c r="E102" s="4" t="s">
        <v>25</v>
      </c>
      <c r="F102" s="4" t="s">
        <v>25</v>
      </c>
      <c r="G102" s="4" t="s">
        <v>25</v>
      </c>
      <c r="H102" s="4" t="s">
        <v>25</v>
      </c>
      <c r="I102" s="5">
        <v>44256</v>
      </c>
      <c r="J102" s="6">
        <v>0</v>
      </c>
      <c r="K102" s="6">
        <v>0</v>
      </c>
      <c r="L102" s="6">
        <v>73646.445000000007</v>
      </c>
      <c r="M102" s="6">
        <v>73646.445000000007</v>
      </c>
      <c r="N102" s="6">
        <v>0</v>
      </c>
      <c r="O102" s="6">
        <v>0</v>
      </c>
      <c r="P102" s="6">
        <v>24</v>
      </c>
      <c r="Q102" s="4" t="s">
        <v>60</v>
      </c>
      <c r="R102" s="4">
        <v>0</v>
      </c>
      <c r="S102" s="6">
        <v>0</v>
      </c>
      <c r="T102" s="6">
        <v>25</v>
      </c>
      <c r="U102" s="6">
        <v>0</v>
      </c>
      <c r="V102" s="6">
        <f>IF(ISERROR(VLOOKUP($S$102,'TAR FIN'!$A$1:$O$95,15,0)),0,VLOOKUP($S$102,'TAR FIN'!$A$1:$O$95,15,0))</f>
        <v>0</v>
      </c>
      <c r="W102" s="6">
        <f>IF(ISERROR(VLOOKUP($T$102,'TAR FIN'!$A$1:$O$95,15,0)),0,VLOOKUP($T$102,'TAR FIN'!$A$1:$O$95,15,0))</f>
        <v>52.77</v>
      </c>
      <c r="X102" s="6">
        <f>IF(ISERROR(VLOOKUP($U$102,'TAR FIN'!$A$1:$O$95,15,0)),0,VLOOKUP($U$102,'TAR FIN'!$A$1:$O$95,15,0))</f>
        <v>0</v>
      </c>
      <c r="Y102" s="6"/>
      <c r="Z102" s="6">
        <f ca="1">('TUSD BE'!$AM$7+'TUSD BF'!$AM$7+'TUSD CVA'!$AM$7)*1</f>
        <v>66.362434908719237</v>
      </c>
      <c r="AA102" s="6"/>
      <c r="AB102" s="6">
        <f>$K$102*$V$102</f>
        <v>0</v>
      </c>
      <c r="AC102" s="6">
        <f>$M$102*$W$102</f>
        <v>3886322.9026500005</v>
      </c>
      <c r="AD102" s="6">
        <f>$O$102*$X$102</f>
        <v>0</v>
      </c>
      <c r="AE102" s="6">
        <f>$K$102*$Y$102</f>
        <v>0</v>
      </c>
      <c r="AF102" s="6">
        <f ca="1">$M$102*$Z$102</f>
        <v>4887357.4125710716</v>
      </c>
      <c r="AG102" s="6">
        <f>$O$102*$AA$102</f>
        <v>0</v>
      </c>
    </row>
    <row r="103" spans="1:33" ht="11.25" customHeight="1" x14ac:dyDescent="0.25">
      <c r="A103" s="4" t="s">
        <v>21</v>
      </c>
      <c r="B103" s="4" t="s">
        <v>43</v>
      </c>
      <c r="C103" s="4" t="s">
        <v>44</v>
      </c>
      <c r="D103" s="4" t="s">
        <v>42</v>
      </c>
      <c r="E103" s="4" t="s">
        <v>25</v>
      </c>
      <c r="F103" s="4" t="s">
        <v>25</v>
      </c>
      <c r="G103" s="4" t="s">
        <v>25</v>
      </c>
      <c r="H103" s="4" t="s">
        <v>25</v>
      </c>
      <c r="I103" s="5">
        <v>44287</v>
      </c>
      <c r="J103" s="6">
        <v>0</v>
      </c>
      <c r="K103" s="6">
        <v>0</v>
      </c>
      <c r="L103" s="6">
        <v>73594.983999999997</v>
      </c>
      <c r="M103" s="6">
        <v>73594.983999999997</v>
      </c>
      <c r="N103" s="6">
        <v>0</v>
      </c>
      <c r="O103" s="6">
        <v>0</v>
      </c>
      <c r="P103" s="6">
        <v>24</v>
      </c>
      <c r="Q103" s="4" t="s">
        <v>60</v>
      </c>
      <c r="R103" s="4">
        <v>0</v>
      </c>
      <c r="S103" s="6">
        <v>0</v>
      </c>
      <c r="T103" s="6">
        <v>25</v>
      </c>
      <c r="U103" s="6">
        <v>0</v>
      </c>
      <c r="V103" s="6">
        <f>IF(ISERROR(VLOOKUP($S$103,'TAR FIN'!$A$1:$O$95,15,0)),0,VLOOKUP($S$103,'TAR FIN'!$A$1:$O$95,15,0))</f>
        <v>0</v>
      </c>
      <c r="W103" s="6">
        <f>IF(ISERROR(VLOOKUP($T$103,'TAR FIN'!$A$1:$O$95,15,0)),0,VLOOKUP($T$103,'TAR FIN'!$A$1:$O$95,15,0))</f>
        <v>52.77</v>
      </c>
      <c r="X103" s="6">
        <f>IF(ISERROR(VLOOKUP($U$103,'TAR FIN'!$A$1:$O$95,15,0)),0,VLOOKUP($U$103,'TAR FIN'!$A$1:$O$95,15,0))</f>
        <v>0</v>
      </c>
      <c r="Y103" s="6"/>
      <c r="Z103" s="6">
        <f ca="1">('TUSD BE'!$AM$7+'TUSD BF'!$AM$7+'TUSD CVA'!$AM$7)*1</f>
        <v>66.362434908719237</v>
      </c>
      <c r="AA103" s="6"/>
      <c r="AB103" s="6">
        <f>$K$103*$V$103</f>
        <v>0</v>
      </c>
      <c r="AC103" s="6">
        <f>$M$103*$W$103</f>
        <v>3883607.3056800002</v>
      </c>
      <c r="AD103" s="6">
        <f>$O$103*$X$103</f>
        <v>0</v>
      </c>
      <c r="AE103" s="6">
        <f>$K$103*$Y$103</f>
        <v>0</v>
      </c>
      <c r="AF103" s="6">
        <f ca="1">$M$103*$Z$103</f>
        <v>4883942.3353082333</v>
      </c>
      <c r="AG103" s="6">
        <f>$O$103*$AA$103</f>
        <v>0</v>
      </c>
    </row>
    <row r="104" spans="1:33" ht="11.25" customHeight="1" x14ac:dyDescent="0.25">
      <c r="A104" s="4" t="s">
        <v>21</v>
      </c>
      <c r="B104" s="4" t="s">
        <v>43</v>
      </c>
      <c r="C104" s="4" t="s">
        <v>44</v>
      </c>
      <c r="D104" s="4" t="s">
        <v>42</v>
      </c>
      <c r="E104" s="4" t="s">
        <v>25</v>
      </c>
      <c r="F104" s="4" t="s">
        <v>25</v>
      </c>
      <c r="G104" s="4" t="s">
        <v>25</v>
      </c>
      <c r="H104" s="4" t="s">
        <v>25</v>
      </c>
      <c r="I104" s="5">
        <v>44317</v>
      </c>
      <c r="J104" s="6">
        <v>0</v>
      </c>
      <c r="K104" s="6">
        <v>0</v>
      </c>
      <c r="L104" s="6">
        <v>76162.103000000003</v>
      </c>
      <c r="M104" s="6">
        <v>76162.103000000003</v>
      </c>
      <c r="N104" s="6">
        <v>0</v>
      </c>
      <c r="O104" s="6">
        <v>0</v>
      </c>
      <c r="P104" s="6">
        <v>24</v>
      </c>
      <c r="Q104" s="4" t="s">
        <v>60</v>
      </c>
      <c r="R104" s="4">
        <v>0</v>
      </c>
      <c r="S104" s="6">
        <v>0</v>
      </c>
      <c r="T104" s="6">
        <v>25</v>
      </c>
      <c r="U104" s="6">
        <v>0</v>
      </c>
      <c r="V104" s="6">
        <f>IF(ISERROR(VLOOKUP($S$104,'TAR FIN'!$A$1:$O$95,15,0)),0,VLOOKUP($S$104,'TAR FIN'!$A$1:$O$95,15,0))</f>
        <v>0</v>
      </c>
      <c r="W104" s="6">
        <f>IF(ISERROR(VLOOKUP($T$104,'TAR FIN'!$A$1:$O$95,15,0)),0,VLOOKUP($T$104,'TAR FIN'!$A$1:$O$95,15,0))</f>
        <v>52.77</v>
      </c>
      <c r="X104" s="6">
        <f>IF(ISERROR(VLOOKUP($U$104,'TAR FIN'!$A$1:$O$95,15,0)),0,VLOOKUP($U$104,'TAR FIN'!$A$1:$O$95,15,0))</f>
        <v>0</v>
      </c>
      <c r="Y104" s="6"/>
      <c r="Z104" s="6">
        <f ca="1">('TUSD BE'!$AM$7+'TUSD BF'!$AM$7+'TUSD CVA'!$AM$7)*1</f>
        <v>66.362434908719237</v>
      </c>
      <c r="AA104" s="6"/>
      <c r="AB104" s="6">
        <f>$K$104*$V$104</f>
        <v>0</v>
      </c>
      <c r="AC104" s="6">
        <f>$M$104*$W$104</f>
        <v>4019074.1753100003</v>
      </c>
      <c r="AD104" s="6">
        <f>$O$104*$X$104</f>
        <v>0</v>
      </c>
      <c r="AE104" s="6">
        <f>$K$104*$Y$104</f>
        <v>0</v>
      </c>
      <c r="AF104" s="6">
        <f ca="1">$M$104*$Z$104</f>
        <v>5054302.6028486704</v>
      </c>
      <c r="AG104" s="6">
        <f>$O$104*$AA$104</f>
        <v>0</v>
      </c>
    </row>
    <row r="105" spans="1:33" ht="11.25" customHeight="1" x14ac:dyDescent="0.25">
      <c r="A105" s="4" t="s">
        <v>21</v>
      </c>
      <c r="B105" s="4" t="s">
        <v>43</v>
      </c>
      <c r="C105" s="4" t="s">
        <v>44</v>
      </c>
      <c r="D105" s="4" t="s">
        <v>42</v>
      </c>
      <c r="E105" s="4" t="s">
        <v>25</v>
      </c>
      <c r="F105" s="4" t="s">
        <v>25</v>
      </c>
      <c r="G105" s="4" t="s">
        <v>25</v>
      </c>
      <c r="H105" s="4" t="s">
        <v>25</v>
      </c>
      <c r="I105" s="5">
        <v>44348</v>
      </c>
      <c r="J105" s="6">
        <v>0</v>
      </c>
      <c r="K105" s="6">
        <v>0</v>
      </c>
      <c r="L105" s="6">
        <v>62831.25</v>
      </c>
      <c r="M105" s="6">
        <v>62831.25</v>
      </c>
      <c r="N105" s="6">
        <v>0</v>
      </c>
      <c r="O105" s="6">
        <v>0</v>
      </c>
      <c r="P105" s="6">
        <v>24</v>
      </c>
      <c r="Q105" s="4" t="s">
        <v>60</v>
      </c>
      <c r="R105" s="4">
        <v>0</v>
      </c>
      <c r="S105" s="6">
        <v>0</v>
      </c>
      <c r="T105" s="6">
        <v>25</v>
      </c>
      <c r="U105" s="6">
        <v>0</v>
      </c>
      <c r="V105" s="6">
        <f>IF(ISERROR(VLOOKUP($S$105,'TAR FIN'!$A$1:$O$95,15,0)),0,VLOOKUP($S$105,'TAR FIN'!$A$1:$O$95,15,0))</f>
        <v>0</v>
      </c>
      <c r="W105" s="6">
        <f>IF(ISERROR(VLOOKUP($T$105,'TAR FIN'!$A$1:$O$95,15,0)),0,VLOOKUP($T$105,'TAR FIN'!$A$1:$O$95,15,0))</f>
        <v>52.77</v>
      </c>
      <c r="X105" s="6">
        <f>IF(ISERROR(VLOOKUP($U$105,'TAR FIN'!$A$1:$O$95,15,0)),0,VLOOKUP($U$105,'TAR FIN'!$A$1:$O$95,15,0))</f>
        <v>0</v>
      </c>
      <c r="Y105" s="6"/>
      <c r="Z105" s="6">
        <f ca="1">('TUSD BE'!$AM$7+'TUSD BF'!$AM$7+'TUSD CVA'!$AM$7)*1</f>
        <v>66.362434908719237</v>
      </c>
      <c r="AA105" s="6"/>
      <c r="AB105" s="6">
        <f>$K$105*$V$105</f>
        <v>0</v>
      </c>
      <c r="AC105" s="6">
        <f>$M$105*$W$105</f>
        <v>3315605.0625</v>
      </c>
      <c r="AD105" s="6">
        <f>$O$105*$X$105</f>
        <v>0</v>
      </c>
      <c r="AE105" s="6">
        <f>$K$105*$Y$105</f>
        <v>0</v>
      </c>
      <c r="AF105" s="6">
        <f ca="1">$M$105*$Z$105</f>
        <v>4169634.7383584655</v>
      </c>
      <c r="AG105" s="6">
        <f>$O$105*$AA$105</f>
        <v>0</v>
      </c>
    </row>
    <row r="106" spans="1:33" ht="11.25" customHeight="1" x14ac:dyDescent="0.25">
      <c r="A106" s="4" t="s">
        <v>21</v>
      </c>
      <c r="B106" s="4" t="s">
        <v>43</v>
      </c>
      <c r="C106" s="4" t="s">
        <v>44</v>
      </c>
      <c r="D106" s="4" t="s">
        <v>42</v>
      </c>
      <c r="E106" s="4" t="s">
        <v>25</v>
      </c>
      <c r="F106" s="4" t="s">
        <v>25</v>
      </c>
      <c r="G106" s="4" t="s">
        <v>25</v>
      </c>
      <c r="H106" s="4" t="s">
        <v>25</v>
      </c>
      <c r="I106" s="5">
        <v>44378</v>
      </c>
      <c r="J106" s="6">
        <v>0</v>
      </c>
      <c r="K106" s="6">
        <v>0</v>
      </c>
      <c r="L106" s="6">
        <v>74983.373000000007</v>
      </c>
      <c r="M106" s="6">
        <v>74983.373000000007</v>
      </c>
      <c r="N106" s="6">
        <v>0</v>
      </c>
      <c r="O106" s="6">
        <v>0</v>
      </c>
      <c r="P106" s="6">
        <v>24</v>
      </c>
      <c r="Q106" s="4" t="s">
        <v>60</v>
      </c>
      <c r="R106" s="4">
        <v>0</v>
      </c>
      <c r="S106" s="6">
        <v>0</v>
      </c>
      <c r="T106" s="6">
        <v>25</v>
      </c>
      <c r="U106" s="6">
        <v>0</v>
      </c>
      <c r="V106" s="6">
        <f>IF(ISERROR(VLOOKUP($S$106,'TAR FIN'!$A$1:$O$95,15,0)),0,VLOOKUP($S$106,'TAR FIN'!$A$1:$O$95,15,0))</f>
        <v>0</v>
      </c>
      <c r="W106" s="6">
        <f>IF(ISERROR(VLOOKUP($T$106,'TAR FIN'!$A$1:$O$95,15,0)),0,VLOOKUP($T$106,'TAR FIN'!$A$1:$O$95,15,0))</f>
        <v>52.77</v>
      </c>
      <c r="X106" s="6">
        <f>IF(ISERROR(VLOOKUP($U$106,'TAR FIN'!$A$1:$O$95,15,0)),0,VLOOKUP($U$106,'TAR FIN'!$A$1:$O$95,15,0))</f>
        <v>0</v>
      </c>
      <c r="Y106" s="6"/>
      <c r="Z106" s="6">
        <f ca="1">('TUSD BE'!$AM$7+'TUSD BF'!$AM$7+'TUSD CVA'!$AM$7)*1</f>
        <v>66.362434908719237</v>
      </c>
      <c r="AA106" s="6"/>
      <c r="AB106" s="6">
        <f>$K$106*$V$106</f>
        <v>0</v>
      </c>
      <c r="AC106" s="6">
        <f>$M$106*$W$106</f>
        <v>3956872.5932100005</v>
      </c>
      <c r="AD106" s="6">
        <f>$O$106*$X$106</f>
        <v>0</v>
      </c>
      <c r="AE106" s="6">
        <f>$K$106*$Y$106</f>
        <v>0</v>
      </c>
      <c r="AF106" s="6">
        <f ca="1">$M$106*$Z$106</f>
        <v>4976079.2099487158</v>
      </c>
      <c r="AG106" s="6">
        <f>$O$106*$AA$106</f>
        <v>0</v>
      </c>
    </row>
    <row r="107" spans="1:33" ht="11.25" customHeight="1" x14ac:dyDescent="0.25">
      <c r="A107" s="4" t="s">
        <v>21</v>
      </c>
      <c r="B107" s="4" t="s">
        <v>43</v>
      </c>
      <c r="C107" s="4" t="s">
        <v>44</v>
      </c>
      <c r="D107" s="4" t="s">
        <v>42</v>
      </c>
      <c r="E107" s="4" t="s">
        <v>25</v>
      </c>
      <c r="F107" s="4" t="s">
        <v>25</v>
      </c>
      <c r="G107" s="4" t="s">
        <v>25</v>
      </c>
      <c r="H107" s="4" t="s">
        <v>25</v>
      </c>
      <c r="I107" s="5">
        <v>44409</v>
      </c>
      <c r="J107" s="6">
        <v>0</v>
      </c>
      <c r="K107" s="6">
        <v>0</v>
      </c>
      <c r="L107" s="6">
        <v>80851.521999999997</v>
      </c>
      <c r="M107" s="6">
        <v>80851.521999999997</v>
      </c>
      <c r="N107" s="6">
        <v>0</v>
      </c>
      <c r="O107" s="6">
        <v>0</v>
      </c>
      <c r="P107" s="6">
        <v>24</v>
      </c>
      <c r="Q107" s="4" t="s">
        <v>60</v>
      </c>
      <c r="R107" s="4">
        <v>0</v>
      </c>
      <c r="S107" s="6">
        <v>0</v>
      </c>
      <c r="T107" s="6">
        <v>25</v>
      </c>
      <c r="U107" s="6">
        <v>0</v>
      </c>
      <c r="V107" s="6">
        <f>IF(ISERROR(VLOOKUP($S$107,'TAR FIN'!$A$1:$O$95,15,0)),0,VLOOKUP($S$107,'TAR FIN'!$A$1:$O$95,15,0))</f>
        <v>0</v>
      </c>
      <c r="W107" s="6">
        <f>IF(ISERROR(VLOOKUP($T$107,'TAR FIN'!$A$1:$O$95,15,0)),0,VLOOKUP($T$107,'TAR FIN'!$A$1:$O$95,15,0))</f>
        <v>52.77</v>
      </c>
      <c r="X107" s="6">
        <f>IF(ISERROR(VLOOKUP($U$107,'TAR FIN'!$A$1:$O$95,15,0)),0,VLOOKUP($U$107,'TAR FIN'!$A$1:$O$95,15,0))</f>
        <v>0</v>
      </c>
      <c r="Y107" s="6"/>
      <c r="Z107" s="6">
        <f ca="1">('TUSD BE'!$AM$7+'TUSD BF'!$AM$7+'TUSD CVA'!$AM$7)*1</f>
        <v>66.362434908719237</v>
      </c>
      <c r="AA107" s="6"/>
      <c r="AB107" s="6">
        <f>$K$107*$V$107</f>
        <v>0</v>
      </c>
      <c r="AC107" s="6">
        <f>$M$107*$W$107</f>
        <v>4266534.8159400001</v>
      </c>
      <c r="AD107" s="6">
        <f>$O$107*$X$107</f>
        <v>0</v>
      </c>
      <c r="AE107" s="6">
        <f>$K$107*$Y$107</f>
        <v>0</v>
      </c>
      <c r="AF107" s="6">
        <f ca="1">$M$107*$Z$107</f>
        <v>5365503.8659958811</v>
      </c>
      <c r="AG107" s="6">
        <f>$O$107*$AA$107</f>
        <v>0</v>
      </c>
    </row>
    <row r="108" spans="1:33" ht="11.25" customHeight="1" x14ac:dyDescent="0.25">
      <c r="A108" s="4" t="s">
        <v>21</v>
      </c>
      <c r="B108" s="4" t="s">
        <v>43</v>
      </c>
      <c r="C108" s="4" t="s">
        <v>44</v>
      </c>
      <c r="D108" s="4" t="s">
        <v>42</v>
      </c>
      <c r="E108" s="4" t="s">
        <v>25</v>
      </c>
      <c r="F108" s="4" t="s">
        <v>25</v>
      </c>
      <c r="G108" s="4" t="s">
        <v>25</v>
      </c>
      <c r="H108" s="4" t="s">
        <v>25</v>
      </c>
      <c r="I108" s="5">
        <v>44440</v>
      </c>
      <c r="J108" s="6">
        <v>0</v>
      </c>
      <c r="K108" s="6">
        <v>0</v>
      </c>
      <c r="L108" s="6">
        <v>77873.202000000005</v>
      </c>
      <c r="M108" s="6">
        <v>77873.202000000005</v>
      </c>
      <c r="N108" s="6">
        <v>0</v>
      </c>
      <c r="O108" s="6">
        <v>0</v>
      </c>
      <c r="P108" s="6">
        <v>24</v>
      </c>
      <c r="Q108" s="4" t="s">
        <v>60</v>
      </c>
      <c r="R108" s="4">
        <v>0</v>
      </c>
      <c r="S108" s="6">
        <v>0</v>
      </c>
      <c r="T108" s="6">
        <v>25</v>
      </c>
      <c r="U108" s="6">
        <v>0</v>
      </c>
      <c r="V108" s="6">
        <f>IF(ISERROR(VLOOKUP($S$108,'TAR FIN'!$A$1:$O$95,15,0)),0,VLOOKUP($S$108,'TAR FIN'!$A$1:$O$95,15,0))</f>
        <v>0</v>
      </c>
      <c r="W108" s="6">
        <f>IF(ISERROR(VLOOKUP($T$108,'TAR FIN'!$A$1:$O$95,15,0)),0,VLOOKUP($T$108,'TAR FIN'!$A$1:$O$95,15,0))</f>
        <v>52.77</v>
      </c>
      <c r="X108" s="6">
        <f>IF(ISERROR(VLOOKUP($U$108,'TAR FIN'!$A$1:$O$95,15,0)),0,VLOOKUP($U$108,'TAR FIN'!$A$1:$O$95,15,0))</f>
        <v>0</v>
      </c>
      <c r="Y108" s="6"/>
      <c r="Z108" s="6">
        <f ca="1">('TUSD BE'!$AM$7+'TUSD BF'!$AM$7+'TUSD CVA'!$AM$7)*1</f>
        <v>66.362434908719237</v>
      </c>
      <c r="AA108" s="6"/>
      <c r="AB108" s="6">
        <f>$K$108*$V$108</f>
        <v>0</v>
      </c>
      <c r="AC108" s="6">
        <f>$M$108*$W$108</f>
        <v>4109368.8695400003</v>
      </c>
      <c r="AD108" s="6">
        <f>$O$108*$X$108</f>
        <v>0</v>
      </c>
      <c r="AE108" s="6">
        <f>$K$108*$Y$108</f>
        <v>0</v>
      </c>
      <c r="AF108" s="6">
        <f ca="1">$M$108*$Z$108</f>
        <v>5167855.2988585448</v>
      </c>
      <c r="AG108" s="6">
        <f>$O$108*$AA$108</f>
        <v>0</v>
      </c>
    </row>
    <row r="109" spans="1:33" ht="11.25" customHeight="1" x14ac:dyDescent="0.25">
      <c r="A109" s="4" t="s">
        <v>59</v>
      </c>
      <c r="B109" s="4" t="s">
        <v>43</v>
      </c>
      <c r="C109" s="4" t="s">
        <v>44</v>
      </c>
      <c r="D109" s="4" t="s">
        <v>42</v>
      </c>
      <c r="E109" s="4" t="s">
        <v>25</v>
      </c>
      <c r="F109" s="4" t="s">
        <v>25</v>
      </c>
      <c r="G109" s="4" t="s">
        <v>25</v>
      </c>
      <c r="H109" s="4" t="s">
        <v>25</v>
      </c>
      <c r="I109" s="5">
        <v>44470</v>
      </c>
      <c r="J109" s="6">
        <v>0</v>
      </c>
      <c r="K109" s="6">
        <v>0</v>
      </c>
      <c r="L109" s="6">
        <v>77873.202000000005</v>
      </c>
      <c r="M109" s="6">
        <v>77873.202000000005</v>
      </c>
      <c r="N109" s="6">
        <v>0</v>
      </c>
      <c r="O109" s="6">
        <v>0</v>
      </c>
      <c r="P109" s="6">
        <v>24</v>
      </c>
      <c r="Q109" s="4" t="s">
        <v>60</v>
      </c>
      <c r="R109" s="4">
        <v>0</v>
      </c>
      <c r="S109" s="6">
        <v>0</v>
      </c>
      <c r="T109" s="6">
        <v>25</v>
      </c>
      <c r="U109" s="6">
        <v>0</v>
      </c>
      <c r="V109" s="6">
        <f>IF(ISERROR(VLOOKUP($S$109,'TAR FIN'!$A$1:$O$95,15,0)),0,VLOOKUP($S$109,'TAR FIN'!$A$1:$O$95,15,0))</f>
        <v>0</v>
      </c>
      <c r="W109" s="6">
        <f>IF(ISERROR(VLOOKUP($T$109,'TAR FIN'!$A$1:$O$95,15,0)),0,VLOOKUP($T$109,'TAR FIN'!$A$1:$O$95,15,0))</f>
        <v>52.77</v>
      </c>
      <c r="X109" s="6">
        <f>IF(ISERROR(VLOOKUP($U$109,'TAR FIN'!$A$1:$O$95,15,0)),0,VLOOKUP($U$109,'TAR FIN'!$A$1:$O$95,15,0))</f>
        <v>0</v>
      </c>
      <c r="Y109" s="6"/>
      <c r="Z109" s="6">
        <f ca="1">('TUSD BE'!$AM$7+'TUSD BF'!$AM$7+'TUSD CVA'!$AM$7)*1</f>
        <v>66.362434908719237</v>
      </c>
      <c r="AA109" s="6"/>
      <c r="AB109" s="6">
        <f>$K$109*$V$109</f>
        <v>0</v>
      </c>
      <c r="AC109" s="6">
        <f>$M$109*$W$109</f>
        <v>4109368.8695400003</v>
      </c>
      <c r="AD109" s="6">
        <f>$O$109*$X$109</f>
        <v>0</v>
      </c>
      <c r="AE109" s="6">
        <f>$K$109*$Y$109</f>
        <v>0</v>
      </c>
      <c r="AF109" s="6">
        <f ca="1">$M$109*$Z$109</f>
        <v>5167855.2988585448</v>
      </c>
      <c r="AG109" s="6">
        <f>$O$109*$AA$109</f>
        <v>0</v>
      </c>
    </row>
    <row r="110" spans="1:33" ht="11.25" customHeight="1" x14ac:dyDescent="0.25">
      <c r="A110" s="4" t="s">
        <v>21</v>
      </c>
      <c r="B110" s="4" t="s">
        <v>43</v>
      </c>
      <c r="C110" s="4" t="s">
        <v>44</v>
      </c>
      <c r="D110" s="4" t="s">
        <v>42</v>
      </c>
      <c r="E110" s="4" t="s">
        <v>25</v>
      </c>
      <c r="F110" s="4" t="s">
        <v>25</v>
      </c>
      <c r="G110" s="4" t="s">
        <v>25</v>
      </c>
      <c r="H110" s="4" t="s">
        <v>37</v>
      </c>
      <c r="I110" s="5">
        <v>44136</v>
      </c>
      <c r="J110" s="6">
        <v>9200</v>
      </c>
      <c r="K110" s="6">
        <v>9200</v>
      </c>
      <c r="L110" s="6">
        <v>249.61600000000001</v>
      </c>
      <c r="M110" s="6">
        <v>249.61600000000001</v>
      </c>
      <c r="N110" s="6">
        <v>249.61600000000001</v>
      </c>
      <c r="O110" s="6">
        <v>249.61600000000001</v>
      </c>
      <c r="P110" s="6">
        <v>0</v>
      </c>
      <c r="Q110" s="4" t="s">
        <v>26</v>
      </c>
      <c r="R110" s="4">
        <v>0</v>
      </c>
      <c r="S110" s="6">
        <v>1</v>
      </c>
      <c r="T110" s="6">
        <v>25</v>
      </c>
      <c r="U110" s="6">
        <v>70</v>
      </c>
      <c r="V110" s="6">
        <f>IF(ISERROR(VLOOKUP($S$110,'TAR FIN'!$A$1:$O$95,15,0)),0,VLOOKUP($S$110,'TAR FIN'!$A$1:$O$95,15,0))</f>
        <v>7.24</v>
      </c>
      <c r="W110" s="6">
        <f>IF(ISERROR(VLOOKUP($T$110,'TAR FIN'!$A$1:$O$95,15,0)),0,VLOOKUP($T$110,'TAR FIN'!$A$1:$O$95,15,0))</f>
        <v>52.77</v>
      </c>
      <c r="X110" s="6">
        <f>IF(ISERROR(VLOOKUP($U$110,'TAR FIN'!$A$1:$O$95,15,0)),0,VLOOKUP($U$110,'TAR FIN'!$A$1:$O$95,15,0))</f>
        <v>389.28</v>
      </c>
      <c r="Y110" s="6">
        <f ca="1">('TUSD BE'!$AM$5+'TUSD BF'!$AM$5+'TUSD CVA'!$AM$5)*1</f>
        <v>7.9533527807993183</v>
      </c>
      <c r="Z110" s="6">
        <f ca="1">('TUSD BE'!$AM$7+'TUSD BF'!$AM$7+'TUSD CVA'!$AM$7)*1</f>
        <v>66.362434908719237</v>
      </c>
      <c r="AA110" s="6">
        <f>('TE BE'!$AA$5+'TE BF'!$AA$5+'TE CVA'!$AA$5)*1</f>
        <v>454.3285679284046</v>
      </c>
      <c r="AB110" s="6">
        <f>$K$110*$V$110</f>
        <v>66608</v>
      </c>
      <c r="AC110" s="6">
        <f>$M$110*$W$110</f>
        <v>13172.236320000002</v>
      </c>
      <c r="AD110" s="6">
        <f>$O$110*$X$110</f>
        <v>97170.516480000006</v>
      </c>
      <c r="AE110" s="6">
        <f ca="1">$K$110*$Y$110</f>
        <v>73170.84558335373</v>
      </c>
      <c r="AF110" s="6">
        <f ca="1">$M$110*$Z$110</f>
        <v>16565.125552174861</v>
      </c>
      <c r="AG110" s="6">
        <f>$O$110*$AA$110</f>
        <v>113407.67981201665</v>
      </c>
    </row>
    <row r="111" spans="1:33" ht="11.25" customHeight="1" x14ac:dyDescent="0.25">
      <c r="A111" s="4" t="s">
        <v>21</v>
      </c>
      <c r="B111" s="4" t="s">
        <v>43</v>
      </c>
      <c r="C111" s="4" t="s">
        <v>44</v>
      </c>
      <c r="D111" s="4" t="s">
        <v>42</v>
      </c>
      <c r="E111" s="4" t="s">
        <v>25</v>
      </c>
      <c r="F111" s="4" t="s">
        <v>25</v>
      </c>
      <c r="G111" s="4" t="s">
        <v>25</v>
      </c>
      <c r="H111" s="4" t="s">
        <v>37</v>
      </c>
      <c r="I111" s="5">
        <v>44136</v>
      </c>
      <c r="J111" s="6">
        <v>138254</v>
      </c>
      <c r="K111" s="6">
        <v>138254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60</v>
      </c>
      <c r="R111" s="4">
        <v>0</v>
      </c>
      <c r="S111" s="6">
        <v>1</v>
      </c>
      <c r="T111" s="6">
        <v>0</v>
      </c>
      <c r="U111" s="6">
        <v>0</v>
      </c>
      <c r="V111" s="6">
        <f>IF(ISERROR(VLOOKUP($S$111,'TAR FIN'!$A$1:$O$95,15,0)),0,VLOOKUP($S$111,'TAR FIN'!$A$1:$O$95,15,0))</f>
        <v>7.24</v>
      </c>
      <c r="W111" s="6">
        <f>IF(ISERROR(VLOOKUP($T$111,'TAR FIN'!$A$1:$O$95,15,0)),0,VLOOKUP($T$111,'TAR FIN'!$A$1:$O$95,15,0))</f>
        <v>0</v>
      </c>
      <c r="X111" s="6">
        <f>IF(ISERROR(VLOOKUP($U$111,'TAR FIN'!$A$1:$O$95,15,0)),0,VLOOKUP($U$111,'TAR FIN'!$A$1:$O$95,15,0))</f>
        <v>0</v>
      </c>
      <c r="Y111" s="6">
        <f ca="1">('TUSD BE'!$AM$5+'TUSD BF'!$AM$5+'TUSD CVA'!$AM$5)*1</f>
        <v>7.9533527807993183</v>
      </c>
      <c r="Z111" s="6">
        <f ca="1">('TUSD BE'!$AM$7+'TUSD BF'!$AM$7+'TUSD CVA'!$AM$7)*1</f>
        <v>66.362434908719237</v>
      </c>
      <c r="AA111" s="6"/>
      <c r="AB111" s="6">
        <f>$K$111*$V$111</f>
        <v>1000958.9600000001</v>
      </c>
      <c r="AC111" s="6">
        <f>$M$111*$W$111</f>
        <v>0</v>
      </c>
      <c r="AD111" s="6">
        <f>$O$111*$X$111</f>
        <v>0</v>
      </c>
      <c r="AE111" s="6">
        <f ca="1">$K$111*$Y$111</f>
        <v>1099582.835356629</v>
      </c>
      <c r="AF111" s="6">
        <f ca="1">$M$111*$Z$111</f>
        <v>0</v>
      </c>
      <c r="AG111" s="6">
        <f>$O$111*$AA$111</f>
        <v>0</v>
      </c>
    </row>
    <row r="112" spans="1:33" ht="11.25" customHeight="1" x14ac:dyDescent="0.25">
      <c r="A112" s="4" t="s">
        <v>21</v>
      </c>
      <c r="B112" s="4" t="s">
        <v>43</v>
      </c>
      <c r="C112" s="4" t="s">
        <v>44</v>
      </c>
      <c r="D112" s="4" t="s">
        <v>42</v>
      </c>
      <c r="E112" s="4" t="s">
        <v>25</v>
      </c>
      <c r="F112" s="4" t="s">
        <v>25</v>
      </c>
      <c r="G112" s="4" t="s">
        <v>25</v>
      </c>
      <c r="H112" s="4" t="s">
        <v>37</v>
      </c>
      <c r="I112" s="5">
        <v>44166</v>
      </c>
      <c r="J112" s="6">
        <v>9209</v>
      </c>
      <c r="K112" s="6">
        <v>9209</v>
      </c>
      <c r="L112" s="6">
        <v>278.36799999999999</v>
      </c>
      <c r="M112" s="6">
        <v>278.36799999999999</v>
      </c>
      <c r="N112" s="6">
        <v>278.36799999999999</v>
      </c>
      <c r="O112" s="6">
        <v>278.36799999999999</v>
      </c>
      <c r="P112" s="6">
        <v>0</v>
      </c>
      <c r="Q112" s="4" t="s">
        <v>26</v>
      </c>
      <c r="R112" s="4">
        <v>0</v>
      </c>
      <c r="S112" s="6">
        <v>1</v>
      </c>
      <c r="T112" s="6">
        <v>25</v>
      </c>
      <c r="U112" s="6">
        <v>70</v>
      </c>
      <c r="V112" s="6">
        <f>IF(ISERROR(VLOOKUP($S$112,'TAR FIN'!$A$1:$O$95,15,0)),0,VLOOKUP($S$112,'TAR FIN'!$A$1:$O$95,15,0))</f>
        <v>7.24</v>
      </c>
      <c r="W112" s="6">
        <f>IF(ISERROR(VLOOKUP($T$112,'TAR FIN'!$A$1:$O$95,15,0)),0,VLOOKUP($T$112,'TAR FIN'!$A$1:$O$95,15,0))</f>
        <v>52.77</v>
      </c>
      <c r="X112" s="6">
        <f>IF(ISERROR(VLOOKUP($U$112,'TAR FIN'!$A$1:$O$95,15,0)),0,VLOOKUP($U$112,'TAR FIN'!$A$1:$O$95,15,0))</f>
        <v>389.28</v>
      </c>
      <c r="Y112" s="6">
        <f ca="1">('TUSD BE'!$AM$5+'TUSD BF'!$AM$5+'TUSD CVA'!$AM$5)*1</f>
        <v>7.9533527807993183</v>
      </c>
      <c r="Z112" s="6">
        <f ca="1">('TUSD BE'!$AM$7+'TUSD BF'!$AM$7+'TUSD CVA'!$AM$7)*1</f>
        <v>66.362434908719237</v>
      </c>
      <c r="AA112" s="6">
        <f>('TE BE'!$AA$5+'TE BF'!$AA$5+'TE CVA'!$AA$5)*1</f>
        <v>454.3285679284046</v>
      </c>
      <c r="AB112" s="6">
        <f>$K$112*$V$112</f>
        <v>66673.16</v>
      </c>
      <c r="AC112" s="6">
        <f>$M$112*$W$112</f>
        <v>14689.479360000001</v>
      </c>
      <c r="AD112" s="6">
        <f>$O$112*$X$112</f>
        <v>108363.09503999999</v>
      </c>
      <c r="AE112" s="6">
        <f ca="1">$K$112*$Y$112</f>
        <v>73242.425758380923</v>
      </c>
      <c r="AF112" s="6">
        <f ca="1">$M$112*$Z$112</f>
        <v>18473.178280670356</v>
      </c>
      <c r="AG112" s="6">
        <f>$O$112*$AA$112</f>
        <v>126470.53479709412</v>
      </c>
    </row>
    <row r="113" spans="1:33" ht="11.25" customHeight="1" x14ac:dyDescent="0.25">
      <c r="A113" s="4" t="s">
        <v>21</v>
      </c>
      <c r="B113" s="4" t="s">
        <v>43</v>
      </c>
      <c r="C113" s="4" t="s">
        <v>44</v>
      </c>
      <c r="D113" s="4" t="s">
        <v>42</v>
      </c>
      <c r="E113" s="4" t="s">
        <v>25</v>
      </c>
      <c r="F113" s="4" t="s">
        <v>25</v>
      </c>
      <c r="G113" s="4" t="s">
        <v>25</v>
      </c>
      <c r="H113" s="4" t="s">
        <v>37</v>
      </c>
      <c r="I113" s="5">
        <v>44166</v>
      </c>
      <c r="J113" s="6">
        <v>137580</v>
      </c>
      <c r="K113" s="6">
        <v>137580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60</v>
      </c>
      <c r="R113" s="4">
        <v>0</v>
      </c>
      <c r="S113" s="6">
        <v>1</v>
      </c>
      <c r="T113" s="6">
        <v>0</v>
      </c>
      <c r="U113" s="6">
        <v>0</v>
      </c>
      <c r="V113" s="6">
        <f>IF(ISERROR(VLOOKUP($S$113,'TAR FIN'!$A$1:$O$95,15,0)),0,VLOOKUP($S$113,'TAR FIN'!$A$1:$O$95,15,0))</f>
        <v>7.24</v>
      </c>
      <c r="W113" s="6">
        <f>IF(ISERROR(VLOOKUP($T$113,'TAR FIN'!$A$1:$O$95,15,0)),0,VLOOKUP($T$113,'TAR FIN'!$A$1:$O$95,15,0))</f>
        <v>0</v>
      </c>
      <c r="X113" s="6">
        <f>IF(ISERROR(VLOOKUP($U$113,'TAR FIN'!$A$1:$O$95,15,0)),0,VLOOKUP($U$113,'TAR FIN'!$A$1:$O$95,15,0))</f>
        <v>0</v>
      </c>
      <c r="Y113" s="6">
        <f ca="1">('TUSD BE'!$AM$5+'TUSD BF'!$AM$5+'TUSD CVA'!$AM$5)*1</f>
        <v>7.9533527807993183</v>
      </c>
      <c r="Z113" s="6">
        <f ca="1">('TUSD BE'!$AM$7+'TUSD BF'!$AM$7+'TUSD CVA'!$AM$7)*1</f>
        <v>66.362434908719237</v>
      </c>
      <c r="AA113" s="6"/>
      <c r="AB113" s="6">
        <f>$K$113*$V$113</f>
        <v>996079.20000000007</v>
      </c>
      <c r="AC113" s="6">
        <f>$M$113*$W$113</f>
        <v>0</v>
      </c>
      <c r="AD113" s="6">
        <f>$O$113*$X$113</f>
        <v>0</v>
      </c>
      <c r="AE113" s="6">
        <f ca="1">$K$113*$Y$113</f>
        <v>1094222.2755823701</v>
      </c>
      <c r="AF113" s="6">
        <f ca="1">$M$113*$Z$113</f>
        <v>0</v>
      </c>
      <c r="AG113" s="6">
        <f>$O$113*$AA$113</f>
        <v>0</v>
      </c>
    </row>
    <row r="114" spans="1:33" ht="11.25" customHeight="1" x14ac:dyDescent="0.25">
      <c r="A114" s="4" t="s">
        <v>21</v>
      </c>
      <c r="B114" s="4" t="s">
        <v>43</v>
      </c>
      <c r="C114" s="4" t="s">
        <v>44</v>
      </c>
      <c r="D114" s="4" t="s">
        <v>42</v>
      </c>
      <c r="E114" s="4" t="s">
        <v>25</v>
      </c>
      <c r="F114" s="4" t="s">
        <v>25</v>
      </c>
      <c r="G114" s="4" t="s">
        <v>25</v>
      </c>
      <c r="H114" s="4" t="s">
        <v>37</v>
      </c>
      <c r="I114" s="5">
        <v>44197</v>
      </c>
      <c r="J114" s="6">
        <v>9534</v>
      </c>
      <c r="K114" s="6">
        <v>9534</v>
      </c>
      <c r="L114" s="6">
        <v>246</v>
      </c>
      <c r="M114" s="6">
        <v>246</v>
      </c>
      <c r="N114" s="6">
        <v>246</v>
      </c>
      <c r="O114" s="6">
        <v>246</v>
      </c>
      <c r="P114" s="6">
        <v>0</v>
      </c>
      <c r="Q114" s="4" t="s">
        <v>26</v>
      </c>
      <c r="R114" s="4">
        <v>0</v>
      </c>
      <c r="S114" s="6">
        <v>1</v>
      </c>
      <c r="T114" s="6">
        <v>25</v>
      </c>
      <c r="U114" s="6">
        <v>70</v>
      </c>
      <c r="V114" s="6">
        <f>IF(ISERROR(VLOOKUP($S$114,'TAR FIN'!$A$1:$O$95,15,0)),0,VLOOKUP($S$114,'TAR FIN'!$A$1:$O$95,15,0))</f>
        <v>7.24</v>
      </c>
      <c r="W114" s="6">
        <f>IF(ISERROR(VLOOKUP($T$114,'TAR FIN'!$A$1:$O$95,15,0)),0,VLOOKUP($T$114,'TAR FIN'!$A$1:$O$95,15,0))</f>
        <v>52.77</v>
      </c>
      <c r="X114" s="6">
        <f>IF(ISERROR(VLOOKUP($U$114,'TAR FIN'!$A$1:$O$95,15,0)),0,VLOOKUP($U$114,'TAR FIN'!$A$1:$O$95,15,0))</f>
        <v>389.28</v>
      </c>
      <c r="Y114" s="6">
        <f ca="1">('TUSD BE'!$AM$5+'TUSD BF'!$AM$5+'TUSD CVA'!$AM$5)*1</f>
        <v>7.9533527807993183</v>
      </c>
      <c r="Z114" s="6">
        <f ca="1">('TUSD BE'!$AM$7+'TUSD BF'!$AM$7+'TUSD CVA'!$AM$7)*1</f>
        <v>66.362434908719237</v>
      </c>
      <c r="AA114" s="6">
        <f>('TE BE'!$AA$5+'TE BF'!$AA$5+'TE CVA'!$AA$5)*1</f>
        <v>454.3285679284046</v>
      </c>
      <c r="AB114" s="6">
        <f>$K$114*$V$114</f>
        <v>69026.16</v>
      </c>
      <c r="AC114" s="6">
        <f>$M$114*$W$114</f>
        <v>12981.42</v>
      </c>
      <c r="AD114" s="6">
        <f>$O$114*$X$114</f>
        <v>95762.87999999999</v>
      </c>
      <c r="AE114" s="6">
        <f ca="1">$K$114*$Y$114</f>
        <v>75827.265412140696</v>
      </c>
      <c r="AF114" s="6">
        <f ca="1">$M$114*$Z$114</f>
        <v>16325.158987544932</v>
      </c>
      <c r="AG114" s="6">
        <f>$O$114*$AA$114</f>
        <v>111764.82771038753</v>
      </c>
    </row>
    <row r="115" spans="1:33" ht="11.25" customHeight="1" x14ac:dyDescent="0.25">
      <c r="A115" s="4" t="s">
        <v>21</v>
      </c>
      <c r="B115" s="4" t="s">
        <v>43</v>
      </c>
      <c r="C115" s="4" t="s">
        <v>44</v>
      </c>
      <c r="D115" s="4" t="s">
        <v>42</v>
      </c>
      <c r="E115" s="4" t="s">
        <v>25</v>
      </c>
      <c r="F115" s="4" t="s">
        <v>25</v>
      </c>
      <c r="G115" s="4" t="s">
        <v>25</v>
      </c>
      <c r="H115" s="4" t="s">
        <v>37</v>
      </c>
      <c r="I115" s="5">
        <v>44197</v>
      </c>
      <c r="J115" s="6">
        <v>132923</v>
      </c>
      <c r="K115" s="6">
        <v>132923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60</v>
      </c>
      <c r="R115" s="4">
        <v>0</v>
      </c>
      <c r="S115" s="6">
        <v>1</v>
      </c>
      <c r="T115" s="6">
        <v>0</v>
      </c>
      <c r="U115" s="6">
        <v>0</v>
      </c>
      <c r="V115" s="6">
        <f>IF(ISERROR(VLOOKUP($S$115,'TAR FIN'!$A$1:$O$95,15,0)),0,VLOOKUP($S$115,'TAR FIN'!$A$1:$O$95,15,0))</f>
        <v>7.24</v>
      </c>
      <c r="W115" s="6">
        <f>IF(ISERROR(VLOOKUP($T$115,'TAR FIN'!$A$1:$O$95,15,0)),0,VLOOKUP($T$115,'TAR FIN'!$A$1:$O$95,15,0))</f>
        <v>0</v>
      </c>
      <c r="X115" s="6">
        <f>IF(ISERROR(VLOOKUP($U$115,'TAR FIN'!$A$1:$O$95,15,0)),0,VLOOKUP($U$115,'TAR FIN'!$A$1:$O$95,15,0))</f>
        <v>0</v>
      </c>
      <c r="Y115" s="6">
        <f ca="1">('TUSD BE'!$AM$5+'TUSD BF'!$AM$5+'TUSD CVA'!$AM$5)*1</f>
        <v>7.9533527807993183</v>
      </c>
      <c r="Z115" s="6">
        <f ca="1">('TUSD BE'!$AM$7+'TUSD BF'!$AM$7+'TUSD CVA'!$AM$7)*1</f>
        <v>66.362434908719237</v>
      </c>
      <c r="AA115" s="6"/>
      <c r="AB115" s="6">
        <f>$K$115*$V$115</f>
        <v>962362.52</v>
      </c>
      <c r="AC115" s="6">
        <f>$M$115*$W$115</f>
        <v>0</v>
      </c>
      <c r="AD115" s="6">
        <f>$O$115*$X$115</f>
        <v>0</v>
      </c>
      <c r="AE115" s="6">
        <f ca="1">$K$115*$Y$115</f>
        <v>1057183.5116821877</v>
      </c>
      <c r="AF115" s="6">
        <f ca="1">$M$115*$Z$115</f>
        <v>0</v>
      </c>
      <c r="AG115" s="6">
        <f>$O$115*$AA$115</f>
        <v>0</v>
      </c>
    </row>
    <row r="116" spans="1:33" ht="11.25" customHeight="1" x14ac:dyDescent="0.25">
      <c r="A116" s="4" t="s">
        <v>21</v>
      </c>
      <c r="B116" s="4" t="s">
        <v>43</v>
      </c>
      <c r="C116" s="4" t="s">
        <v>44</v>
      </c>
      <c r="D116" s="4" t="s">
        <v>42</v>
      </c>
      <c r="E116" s="4" t="s">
        <v>25</v>
      </c>
      <c r="F116" s="4" t="s">
        <v>25</v>
      </c>
      <c r="G116" s="4" t="s">
        <v>25</v>
      </c>
      <c r="H116" s="4" t="s">
        <v>37</v>
      </c>
      <c r="I116" s="5">
        <v>44228</v>
      </c>
      <c r="J116" s="6">
        <v>9646</v>
      </c>
      <c r="K116" s="6">
        <v>9646</v>
      </c>
      <c r="L116" s="6">
        <v>251.61600000000001</v>
      </c>
      <c r="M116" s="6">
        <v>251.61600000000001</v>
      </c>
      <c r="N116" s="6">
        <v>251.61600000000001</v>
      </c>
      <c r="O116" s="6">
        <v>251.61600000000001</v>
      </c>
      <c r="P116" s="6">
        <v>0</v>
      </c>
      <c r="Q116" s="4" t="s">
        <v>26</v>
      </c>
      <c r="R116" s="4">
        <v>0</v>
      </c>
      <c r="S116" s="6">
        <v>1</v>
      </c>
      <c r="T116" s="6">
        <v>25</v>
      </c>
      <c r="U116" s="6">
        <v>70</v>
      </c>
      <c r="V116" s="6">
        <f>IF(ISERROR(VLOOKUP($S$116,'TAR FIN'!$A$1:$O$95,15,0)),0,VLOOKUP($S$116,'TAR FIN'!$A$1:$O$95,15,0))</f>
        <v>7.24</v>
      </c>
      <c r="W116" s="6">
        <f>IF(ISERROR(VLOOKUP($T$116,'TAR FIN'!$A$1:$O$95,15,0)),0,VLOOKUP($T$116,'TAR FIN'!$A$1:$O$95,15,0))</f>
        <v>52.77</v>
      </c>
      <c r="X116" s="6">
        <f>IF(ISERROR(VLOOKUP($U$116,'TAR FIN'!$A$1:$O$95,15,0)),0,VLOOKUP($U$116,'TAR FIN'!$A$1:$O$95,15,0))</f>
        <v>389.28</v>
      </c>
      <c r="Y116" s="6">
        <f ca="1">('TUSD BE'!$AM$5+'TUSD BF'!$AM$5+'TUSD CVA'!$AM$5)*1</f>
        <v>7.9533527807993183</v>
      </c>
      <c r="Z116" s="6">
        <f ca="1">('TUSD BE'!$AM$7+'TUSD BF'!$AM$7+'TUSD CVA'!$AM$7)*1</f>
        <v>66.362434908719237</v>
      </c>
      <c r="AA116" s="6">
        <f>('TE BE'!$AA$5+'TE BF'!$AA$5+'TE CVA'!$AA$5)*1</f>
        <v>454.3285679284046</v>
      </c>
      <c r="AB116" s="6">
        <f>$K$116*$V$116</f>
        <v>69837.040000000008</v>
      </c>
      <c r="AC116" s="6">
        <f>$M$116*$W$116</f>
        <v>13277.776320000001</v>
      </c>
      <c r="AD116" s="6">
        <f>$O$116*$X$116</f>
        <v>97949.076480000003</v>
      </c>
      <c r="AE116" s="6">
        <f ca="1">$K$116*$Y$116</f>
        <v>76718.040923590219</v>
      </c>
      <c r="AF116" s="6">
        <f ca="1">$M$116*$Z$116</f>
        <v>16697.850421992302</v>
      </c>
      <c r="AG116" s="6">
        <f>$O$116*$AA$116</f>
        <v>114316.33694787345</v>
      </c>
    </row>
    <row r="117" spans="1:33" ht="11.25" customHeight="1" x14ac:dyDescent="0.25">
      <c r="A117" s="4" t="s">
        <v>21</v>
      </c>
      <c r="B117" s="4" t="s">
        <v>43</v>
      </c>
      <c r="C117" s="4" t="s">
        <v>44</v>
      </c>
      <c r="D117" s="4" t="s">
        <v>42</v>
      </c>
      <c r="E117" s="4" t="s">
        <v>25</v>
      </c>
      <c r="F117" s="4" t="s">
        <v>25</v>
      </c>
      <c r="G117" s="4" t="s">
        <v>25</v>
      </c>
      <c r="H117" s="4" t="s">
        <v>37</v>
      </c>
      <c r="I117" s="5">
        <v>44228</v>
      </c>
      <c r="J117" s="6">
        <v>133568</v>
      </c>
      <c r="K117" s="6">
        <v>133568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60</v>
      </c>
      <c r="R117" s="4">
        <v>0</v>
      </c>
      <c r="S117" s="6">
        <v>1</v>
      </c>
      <c r="T117" s="6">
        <v>0</v>
      </c>
      <c r="U117" s="6">
        <v>0</v>
      </c>
      <c r="V117" s="6">
        <f>IF(ISERROR(VLOOKUP($S$117,'TAR FIN'!$A$1:$O$95,15,0)),0,VLOOKUP($S$117,'TAR FIN'!$A$1:$O$95,15,0))</f>
        <v>7.24</v>
      </c>
      <c r="W117" s="6">
        <f>IF(ISERROR(VLOOKUP($T$117,'TAR FIN'!$A$1:$O$95,15,0)),0,VLOOKUP($T$117,'TAR FIN'!$A$1:$O$95,15,0))</f>
        <v>0</v>
      </c>
      <c r="X117" s="6">
        <f>IF(ISERROR(VLOOKUP($U$117,'TAR FIN'!$A$1:$O$95,15,0)),0,VLOOKUP($U$117,'TAR FIN'!$A$1:$O$95,15,0))</f>
        <v>0</v>
      </c>
      <c r="Y117" s="6">
        <f ca="1">('TUSD BE'!$AM$5+'TUSD BF'!$AM$5+'TUSD CVA'!$AM$5)*1</f>
        <v>7.9533527807993183</v>
      </c>
      <c r="Z117" s="6">
        <f ca="1">('TUSD BE'!$AM$7+'TUSD BF'!$AM$7+'TUSD CVA'!$AM$7)*1</f>
        <v>66.362434908719237</v>
      </c>
      <c r="AA117" s="6"/>
      <c r="AB117" s="6">
        <f>$K$117*$V$117</f>
        <v>967032.32000000007</v>
      </c>
      <c r="AC117" s="6">
        <f>$M$117*$W$117</f>
        <v>0</v>
      </c>
      <c r="AD117" s="6">
        <f>$O$117*$X$117</f>
        <v>0</v>
      </c>
      <c r="AE117" s="6">
        <f ca="1">$K$117*$Y$117</f>
        <v>1062313.4242258032</v>
      </c>
      <c r="AF117" s="6">
        <f ca="1">$M$117*$Z$117</f>
        <v>0</v>
      </c>
      <c r="AG117" s="6">
        <f>$O$117*$AA$117</f>
        <v>0</v>
      </c>
    </row>
    <row r="118" spans="1:33" ht="11.25" customHeight="1" x14ac:dyDescent="0.25">
      <c r="A118" s="4" t="s">
        <v>21</v>
      </c>
      <c r="B118" s="4" t="s">
        <v>43</v>
      </c>
      <c r="C118" s="4" t="s">
        <v>44</v>
      </c>
      <c r="D118" s="4" t="s">
        <v>42</v>
      </c>
      <c r="E118" s="4" t="s">
        <v>25</v>
      </c>
      <c r="F118" s="4" t="s">
        <v>25</v>
      </c>
      <c r="G118" s="4" t="s">
        <v>25</v>
      </c>
      <c r="H118" s="4" t="s">
        <v>37</v>
      </c>
      <c r="I118" s="5">
        <v>44256</v>
      </c>
      <c r="J118" s="6">
        <v>9680</v>
      </c>
      <c r="K118" s="6">
        <v>9680</v>
      </c>
      <c r="L118" s="6">
        <v>290.8</v>
      </c>
      <c r="M118" s="6">
        <v>290.8</v>
      </c>
      <c r="N118" s="6">
        <v>290.8</v>
      </c>
      <c r="O118" s="6">
        <v>290.8</v>
      </c>
      <c r="P118" s="6">
        <v>0</v>
      </c>
      <c r="Q118" s="4" t="s">
        <v>26</v>
      </c>
      <c r="R118" s="4">
        <v>0</v>
      </c>
      <c r="S118" s="6">
        <v>1</v>
      </c>
      <c r="T118" s="6">
        <v>25</v>
      </c>
      <c r="U118" s="6">
        <v>70</v>
      </c>
      <c r="V118" s="6">
        <f>IF(ISERROR(VLOOKUP($S$118,'TAR FIN'!$A$1:$O$95,15,0)),0,VLOOKUP($S$118,'TAR FIN'!$A$1:$O$95,15,0))</f>
        <v>7.24</v>
      </c>
      <c r="W118" s="6">
        <f>IF(ISERROR(VLOOKUP($T$118,'TAR FIN'!$A$1:$O$95,15,0)),0,VLOOKUP($T$118,'TAR FIN'!$A$1:$O$95,15,0))</f>
        <v>52.77</v>
      </c>
      <c r="X118" s="6">
        <f>IF(ISERROR(VLOOKUP($U$118,'TAR FIN'!$A$1:$O$95,15,0)),0,VLOOKUP($U$118,'TAR FIN'!$A$1:$O$95,15,0))</f>
        <v>389.28</v>
      </c>
      <c r="Y118" s="6">
        <f ca="1">('TUSD BE'!$AM$5+'TUSD BF'!$AM$5+'TUSD CVA'!$AM$5)*1</f>
        <v>7.9533527807993183</v>
      </c>
      <c r="Z118" s="6">
        <f ca="1">('TUSD BE'!$AM$7+'TUSD BF'!$AM$7+'TUSD CVA'!$AM$7)*1</f>
        <v>66.362434908719237</v>
      </c>
      <c r="AA118" s="6">
        <f>('TE BE'!$AA$5+'TE BF'!$AA$5+'TE CVA'!$AA$5)*1</f>
        <v>454.3285679284046</v>
      </c>
      <c r="AB118" s="6">
        <f>$K$118*$V$118</f>
        <v>70083.199999999997</v>
      </c>
      <c r="AC118" s="6">
        <f>$M$118*$W$118</f>
        <v>15345.516000000001</v>
      </c>
      <c r="AD118" s="6">
        <f>$O$118*$X$118</f>
        <v>113202.624</v>
      </c>
      <c r="AE118" s="6">
        <f ca="1">$K$118*$Y$118</f>
        <v>76988.454918137402</v>
      </c>
      <c r="AF118" s="6">
        <f ca="1">$M$118*$Z$118</f>
        <v>19298.196071455553</v>
      </c>
      <c r="AG118" s="6">
        <f>$O$118*$AA$118</f>
        <v>132118.74755358006</v>
      </c>
    </row>
    <row r="119" spans="1:33" ht="11.25" customHeight="1" x14ac:dyDescent="0.25">
      <c r="A119" s="4" t="s">
        <v>21</v>
      </c>
      <c r="B119" s="4" t="s">
        <v>43</v>
      </c>
      <c r="C119" s="4" t="s">
        <v>44</v>
      </c>
      <c r="D119" s="4" t="s">
        <v>42</v>
      </c>
      <c r="E119" s="4" t="s">
        <v>25</v>
      </c>
      <c r="F119" s="4" t="s">
        <v>25</v>
      </c>
      <c r="G119" s="4" t="s">
        <v>25</v>
      </c>
      <c r="H119" s="4" t="s">
        <v>37</v>
      </c>
      <c r="I119" s="5">
        <v>44256</v>
      </c>
      <c r="J119" s="6">
        <v>133743</v>
      </c>
      <c r="K119" s="6">
        <v>133743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60</v>
      </c>
      <c r="R119" s="4">
        <v>0</v>
      </c>
      <c r="S119" s="6">
        <v>1</v>
      </c>
      <c r="T119" s="6">
        <v>0</v>
      </c>
      <c r="U119" s="6">
        <v>0</v>
      </c>
      <c r="V119" s="6">
        <f>IF(ISERROR(VLOOKUP($S$119,'TAR FIN'!$A$1:$O$95,15,0)),0,VLOOKUP($S$119,'TAR FIN'!$A$1:$O$95,15,0))</f>
        <v>7.24</v>
      </c>
      <c r="W119" s="6">
        <f>IF(ISERROR(VLOOKUP($T$119,'TAR FIN'!$A$1:$O$95,15,0)),0,VLOOKUP($T$119,'TAR FIN'!$A$1:$O$95,15,0))</f>
        <v>0</v>
      </c>
      <c r="X119" s="6">
        <f>IF(ISERROR(VLOOKUP($U$119,'TAR FIN'!$A$1:$O$95,15,0)),0,VLOOKUP($U$119,'TAR FIN'!$A$1:$O$95,15,0))</f>
        <v>0</v>
      </c>
      <c r="Y119" s="6">
        <f ca="1">('TUSD BE'!$AM$5+'TUSD BF'!$AM$5+'TUSD CVA'!$AM$5)*1</f>
        <v>7.9533527807993183</v>
      </c>
      <c r="Z119" s="6">
        <f ca="1">('TUSD BE'!$AM$7+'TUSD BF'!$AM$7+'TUSD CVA'!$AM$7)*1</f>
        <v>66.362434908719237</v>
      </c>
      <c r="AA119" s="6"/>
      <c r="AB119" s="6">
        <f>$K$119*$V$119</f>
        <v>968299.32000000007</v>
      </c>
      <c r="AC119" s="6">
        <f>$M$119*$W$119</f>
        <v>0</v>
      </c>
      <c r="AD119" s="6">
        <f>$O$119*$X$119</f>
        <v>0</v>
      </c>
      <c r="AE119" s="6">
        <f ca="1">$K$119*$Y$119</f>
        <v>1063705.2609624432</v>
      </c>
      <c r="AF119" s="6">
        <f ca="1">$M$119*$Z$119</f>
        <v>0</v>
      </c>
      <c r="AG119" s="6">
        <f>$O$119*$AA$119</f>
        <v>0</v>
      </c>
    </row>
    <row r="120" spans="1:33" ht="11.25" customHeight="1" x14ac:dyDescent="0.25">
      <c r="A120" s="4" t="s">
        <v>21</v>
      </c>
      <c r="B120" s="4" t="s">
        <v>43</v>
      </c>
      <c r="C120" s="4" t="s">
        <v>44</v>
      </c>
      <c r="D120" s="4" t="s">
        <v>42</v>
      </c>
      <c r="E120" s="4" t="s">
        <v>25</v>
      </c>
      <c r="F120" s="4" t="s">
        <v>25</v>
      </c>
      <c r="G120" s="4" t="s">
        <v>25</v>
      </c>
      <c r="H120" s="4" t="s">
        <v>37</v>
      </c>
      <c r="I120" s="5">
        <v>44287</v>
      </c>
      <c r="J120" s="6">
        <v>9713</v>
      </c>
      <c r="K120" s="6">
        <v>9713</v>
      </c>
      <c r="L120" s="6">
        <v>259.22000000000003</v>
      </c>
      <c r="M120" s="6">
        <v>259.22000000000003</v>
      </c>
      <c r="N120" s="6">
        <v>259.22000000000003</v>
      </c>
      <c r="O120" s="6">
        <v>259.22000000000003</v>
      </c>
      <c r="P120" s="6">
        <v>0</v>
      </c>
      <c r="Q120" s="4" t="s">
        <v>26</v>
      </c>
      <c r="R120" s="4">
        <v>0</v>
      </c>
      <c r="S120" s="6">
        <v>1</v>
      </c>
      <c r="T120" s="6">
        <v>25</v>
      </c>
      <c r="U120" s="6">
        <v>70</v>
      </c>
      <c r="V120" s="6">
        <f>IF(ISERROR(VLOOKUP($S$120,'TAR FIN'!$A$1:$O$95,15,0)),0,VLOOKUP($S$120,'TAR FIN'!$A$1:$O$95,15,0))</f>
        <v>7.24</v>
      </c>
      <c r="W120" s="6">
        <f>IF(ISERROR(VLOOKUP($T$120,'TAR FIN'!$A$1:$O$95,15,0)),0,VLOOKUP($T$120,'TAR FIN'!$A$1:$O$95,15,0))</f>
        <v>52.77</v>
      </c>
      <c r="X120" s="6">
        <f>IF(ISERROR(VLOOKUP($U$120,'TAR FIN'!$A$1:$O$95,15,0)),0,VLOOKUP($U$120,'TAR FIN'!$A$1:$O$95,15,0))</f>
        <v>389.28</v>
      </c>
      <c r="Y120" s="6">
        <f ca="1">('TUSD BE'!$AM$5+'TUSD BF'!$AM$5+'TUSD CVA'!$AM$5)*1</f>
        <v>7.9533527807993183</v>
      </c>
      <c r="Z120" s="6">
        <f ca="1">('TUSD BE'!$AM$7+'TUSD BF'!$AM$7+'TUSD CVA'!$AM$7)*1</f>
        <v>66.362434908719237</v>
      </c>
      <c r="AA120" s="6">
        <f>('TE BE'!$AA$5+'TE BF'!$AA$5+'TE CVA'!$AA$5)*1</f>
        <v>454.3285679284046</v>
      </c>
      <c r="AB120" s="6">
        <f>$K$120*$V$120</f>
        <v>70322.12</v>
      </c>
      <c r="AC120" s="6">
        <f>$M$120*$W$120</f>
        <v>13679.039400000001</v>
      </c>
      <c r="AD120" s="6">
        <f>$O$120*$X$120</f>
        <v>100909.16160000001</v>
      </c>
      <c r="AE120" s="6">
        <f ca="1">$K$120*$Y$120</f>
        <v>77250.915559903777</v>
      </c>
      <c r="AF120" s="6">
        <f ca="1">$M$120*$Z$120</f>
        <v>17202.470377038204</v>
      </c>
      <c r="AG120" s="6">
        <f>$O$120*$AA$120</f>
        <v>117771.05137840105</v>
      </c>
    </row>
    <row r="121" spans="1:33" ht="11.25" customHeight="1" x14ac:dyDescent="0.25">
      <c r="A121" s="4" t="s">
        <v>21</v>
      </c>
      <c r="B121" s="4" t="s">
        <v>43</v>
      </c>
      <c r="C121" s="4" t="s">
        <v>44</v>
      </c>
      <c r="D121" s="4" t="s">
        <v>42</v>
      </c>
      <c r="E121" s="4" t="s">
        <v>25</v>
      </c>
      <c r="F121" s="4" t="s">
        <v>25</v>
      </c>
      <c r="G121" s="4" t="s">
        <v>25</v>
      </c>
      <c r="H121" s="4" t="s">
        <v>37</v>
      </c>
      <c r="I121" s="5">
        <v>44287</v>
      </c>
      <c r="J121" s="6">
        <v>136959</v>
      </c>
      <c r="K121" s="6">
        <v>136959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60</v>
      </c>
      <c r="R121" s="4">
        <v>0</v>
      </c>
      <c r="S121" s="6">
        <v>1</v>
      </c>
      <c r="T121" s="6">
        <v>0</v>
      </c>
      <c r="U121" s="6">
        <v>0</v>
      </c>
      <c r="V121" s="6">
        <f>IF(ISERROR(VLOOKUP($S$121,'TAR FIN'!$A$1:$O$95,15,0)),0,VLOOKUP($S$121,'TAR FIN'!$A$1:$O$95,15,0))</f>
        <v>7.24</v>
      </c>
      <c r="W121" s="6">
        <f>IF(ISERROR(VLOOKUP($T$121,'TAR FIN'!$A$1:$O$95,15,0)),0,VLOOKUP($T$121,'TAR FIN'!$A$1:$O$95,15,0))</f>
        <v>0</v>
      </c>
      <c r="X121" s="6">
        <f>IF(ISERROR(VLOOKUP($U$121,'TAR FIN'!$A$1:$O$95,15,0)),0,VLOOKUP($U$121,'TAR FIN'!$A$1:$O$95,15,0))</f>
        <v>0</v>
      </c>
      <c r="Y121" s="6">
        <f ca="1">('TUSD BE'!$AM$5+'TUSD BF'!$AM$5+'TUSD CVA'!$AM$5)*1</f>
        <v>7.9533527807993183</v>
      </c>
      <c r="Z121" s="6">
        <f ca="1">('TUSD BE'!$AM$7+'TUSD BF'!$AM$7+'TUSD CVA'!$AM$7)*1</f>
        <v>66.362434908719237</v>
      </c>
      <c r="AA121" s="6"/>
      <c r="AB121" s="6">
        <f>$K$121*$V$121</f>
        <v>991583.16</v>
      </c>
      <c r="AC121" s="6">
        <f>$M$121*$W$121</f>
        <v>0</v>
      </c>
      <c r="AD121" s="6">
        <f>$O$121*$X$121</f>
        <v>0</v>
      </c>
      <c r="AE121" s="6">
        <f ca="1">$K$121*$Y$121</f>
        <v>1089283.2435054937</v>
      </c>
      <c r="AF121" s="6">
        <f ca="1">$M$121*$Z$121</f>
        <v>0</v>
      </c>
      <c r="AG121" s="6">
        <f>$O$121*$AA$121</f>
        <v>0</v>
      </c>
    </row>
    <row r="122" spans="1:33" ht="11.25" customHeight="1" x14ac:dyDescent="0.25">
      <c r="A122" s="4" t="s">
        <v>21</v>
      </c>
      <c r="B122" s="4" t="s">
        <v>43</v>
      </c>
      <c r="C122" s="4" t="s">
        <v>44</v>
      </c>
      <c r="D122" s="4" t="s">
        <v>42</v>
      </c>
      <c r="E122" s="4" t="s">
        <v>25</v>
      </c>
      <c r="F122" s="4" t="s">
        <v>25</v>
      </c>
      <c r="G122" s="4" t="s">
        <v>25</v>
      </c>
      <c r="H122" s="4" t="s">
        <v>37</v>
      </c>
      <c r="I122" s="5">
        <v>44317</v>
      </c>
      <c r="J122" s="6">
        <v>9646</v>
      </c>
      <c r="K122" s="6">
        <v>9646</v>
      </c>
      <c r="L122" s="6">
        <v>271.12400000000002</v>
      </c>
      <c r="M122" s="6">
        <v>271.12400000000002</v>
      </c>
      <c r="N122" s="6">
        <v>271.12400000000002</v>
      </c>
      <c r="O122" s="6">
        <v>271.12400000000002</v>
      </c>
      <c r="P122" s="6">
        <v>0</v>
      </c>
      <c r="Q122" s="4" t="s">
        <v>26</v>
      </c>
      <c r="R122" s="4">
        <v>0</v>
      </c>
      <c r="S122" s="6">
        <v>1</v>
      </c>
      <c r="T122" s="6">
        <v>25</v>
      </c>
      <c r="U122" s="6">
        <v>70</v>
      </c>
      <c r="V122" s="6">
        <f>IF(ISERROR(VLOOKUP($S$122,'TAR FIN'!$A$1:$O$95,15,0)),0,VLOOKUP($S$122,'TAR FIN'!$A$1:$O$95,15,0))</f>
        <v>7.24</v>
      </c>
      <c r="W122" s="6">
        <f>IF(ISERROR(VLOOKUP($T$122,'TAR FIN'!$A$1:$O$95,15,0)),0,VLOOKUP($T$122,'TAR FIN'!$A$1:$O$95,15,0))</f>
        <v>52.77</v>
      </c>
      <c r="X122" s="6">
        <f>IF(ISERROR(VLOOKUP($U$122,'TAR FIN'!$A$1:$O$95,15,0)),0,VLOOKUP($U$122,'TAR FIN'!$A$1:$O$95,15,0))</f>
        <v>389.28</v>
      </c>
      <c r="Y122" s="6">
        <f ca="1">('TUSD BE'!$AM$5+'TUSD BF'!$AM$5+'TUSD CVA'!$AM$5)*1</f>
        <v>7.9533527807993183</v>
      </c>
      <c r="Z122" s="6">
        <f ca="1">('TUSD BE'!$AM$7+'TUSD BF'!$AM$7+'TUSD CVA'!$AM$7)*1</f>
        <v>66.362434908719237</v>
      </c>
      <c r="AA122" s="6">
        <f>('TE BE'!$AA$5+'TE BF'!$AA$5+'TE CVA'!$AA$5)*1</f>
        <v>454.3285679284046</v>
      </c>
      <c r="AB122" s="6">
        <f>$K$122*$V$122</f>
        <v>69837.040000000008</v>
      </c>
      <c r="AC122" s="6">
        <f>$M$122*$W$122</f>
        <v>14307.213480000002</v>
      </c>
      <c r="AD122" s="6">
        <f>$O$122*$X$122</f>
        <v>105543.15072000001</v>
      </c>
      <c r="AE122" s="6">
        <f ca="1">$K$122*$Y$122</f>
        <v>76718.040923590219</v>
      </c>
      <c r="AF122" s="6">
        <f ca="1">$M$122*$Z$122</f>
        <v>17992.448802191597</v>
      </c>
      <c r="AG122" s="6">
        <f>$O$122*$AA$122</f>
        <v>123179.37865102077</v>
      </c>
    </row>
    <row r="123" spans="1:33" ht="11.25" customHeight="1" x14ac:dyDescent="0.25">
      <c r="A123" s="4" t="s">
        <v>21</v>
      </c>
      <c r="B123" s="4" t="s">
        <v>43</v>
      </c>
      <c r="C123" s="4" t="s">
        <v>44</v>
      </c>
      <c r="D123" s="4" t="s">
        <v>42</v>
      </c>
      <c r="E123" s="4" t="s">
        <v>25</v>
      </c>
      <c r="F123" s="4" t="s">
        <v>25</v>
      </c>
      <c r="G123" s="4" t="s">
        <v>25</v>
      </c>
      <c r="H123" s="4" t="s">
        <v>37</v>
      </c>
      <c r="I123" s="5">
        <v>44317</v>
      </c>
      <c r="J123" s="6">
        <v>137260</v>
      </c>
      <c r="K123" s="6">
        <v>137260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60</v>
      </c>
      <c r="R123" s="4">
        <v>0</v>
      </c>
      <c r="S123" s="6">
        <v>1</v>
      </c>
      <c r="T123" s="6">
        <v>0</v>
      </c>
      <c r="U123" s="6">
        <v>0</v>
      </c>
      <c r="V123" s="6">
        <f>IF(ISERROR(VLOOKUP($S$123,'TAR FIN'!$A$1:$O$95,15,0)),0,VLOOKUP($S$123,'TAR FIN'!$A$1:$O$95,15,0))</f>
        <v>7.24</v>
      </c>
      <c r="W123" s="6">
        <f>IF(ISERROR(VLOOKUP($T$123,'TAR FIN'!$A$1:$O$95,15,0)),0,VLOOKUP($T$123,'TAR FIN'!$A$1:$O$95,15,0))</f>
        <v>0</v>
      </c>
      <c r="X123" s="6">
        <f>IF(ISERROR(VLOOKUP($U$123,'TAR FIN'!$A$1:$O$95,15,0)),0,VLOOKUP($U$123,'TAR FIN'!$A$1:$O$95,15,0))</f>
        <v>0</v>
      </c>
      <c r="Y123" s="6">
        <f ca="1">('TUSD BE'!$AM$5+'TUSD BF'!$AM$5+'TUSD CVA'!$AM$5)*1</f>
        <v>7.9533527807993183</v>
      </c>
      <c r="Z123" s="6">
        <f ca="1">('TUSD BE'!$AM$7+'TUSD BF'!$AM$7+'TUSD CVA'!$AM$7)*1</f>
        <v>66.362434908719237</v>
      </c>
      <c r="AA123" s="6"/>
      <c r="AB123" s="6">
        <f>$K$123*$V$123</f>
        <v>993762.4</v>
      </c>
      <c r="AC123" s="6">
        <f>$M$123*$W$123</f>
        <v>0</v>
      </c>
      <c r="AD123" s="6">
        <f>$O$123*$X$123</f>
        <v>0</v>
      </c>
      <c r="AE123" s="6">
        <f ca="1">$K$123*$Y$123</f>
        <v>1091677.2026925145</v>
      </c>
      <c r="AF123" s="6">
        <f ca="1">$M$123*$Z$123</f>
        <v>0</v>
      </c>
      <c r="AG123" s="6">
        <f>$O$123*$AA$123</f>
        <v>0</v>
      </c>
    </row>
    <row r="124" spans="1:33" ht="11.25" customHeight="1" x14ac:dyDescent="0.25">
      <c r="A124" s="4" t="s">
        <v>21</v>
      </c>
      <c r="B124" s="4" t="s">
        <v>43</v>
      </c>
      <c r="C124" s="4" t="s">
        <v>44</v>
      </c>
      <c r="D124" s="4" t="s">
        <v>42</v>
      </c>
      <c r="E124" s="4" t="s">
        <v>25</v>
      </c>
      <c r="F124" s="4" t="s">
        <v>25</v>
      </c>
      <c r="G124" s="4" t="s">
        <v>25</v>
      </c>
      <c r="H124" s="4" t="s">
        <v>37</v>
      </c>
      <c r="I124" s="5">
        <v>44348</v>
      </c>
      <c r="J124" s="6">
        <v>5200</v>
      </c>
      <c r="K124" s="6">
        <v>5200</v>
      </c>
      <c r="L124" s="6">
        <v>15.832000000000001</v>
      </c>
      <c r="M124" s="6">
        <v>15.832000000000001</v>
      </c>
      <c r="N124" s="6">
        <v>15.832000000000001</v>
      </c>
      <c r="O124" s="6">
        <v>15.832000000000001</v>
      </c>
      <c r="P124" s="6">
        <v>0</v>
      </c>
      <c r="Q124" s="4" t="s">
        <v>26</v>
      </c>
      <c r="R124" s="4">
        <v>0</v>
      </c>
      <c r="S124" s="6">
        <v>1</v>
      </c>
      <c r="T124" s="6">
        <v>25</v>
      </c>
      <c r="U124" s="6">
        <v>70</v>
      </c>
      <c r="V124" s="6">
        <f>IF(ISERROR(VLOOKUP($S$124,'TAR FIN'!$A$1:$O$95,15,0)),0,VLOOKUP($S$124,'TAR FIN'!$A$1:$O$95,15,0))</f>
        <v>7.24</v>
      </c>
      <c r="W124" s="6">
        <f>IF(ISERROR(VLOOKUP($T$124,'TAR FIN'!$A$1:$O$95,15,0)),0,VLOOKUP($T$124,'TAR FIN'!$A$1:$O$95,15,0))</f>
        <v>52.77</v>
      </c>
      <c r="X124" s="6">
        <f>IF(ISERROR(VLOOKUP($U$124,'TAR FIN'!$A$1:$O$95,15,0)),0,VLOOKUP($U$124,'TAR FIN'!$A$1:$O$95,15,0))</f>
        <v>389.28</v>
      </c>
      <c r="Y124" s="6">
        <f ca="1">('TUSD BE'!$AM$5+'TUSD BF'!$AM$5+'TUSD CVA'!$AM$5)*1</f>
        <v>7.9533527807993183</v>
      </c>
      <c r="Z124" s="6">
        <f ca="1">('TUSD BE'!$AM$7+'TUSD BF'!$AM$7+'TUSD CVA'!$AM$7)*1</f>
        <v>66.362434908719237</v>
      </c>
      <c r="AA124" s="6">
        <f>('TE BE'!$AA$5+'TE BF'!$AA$5+'TE CVA'!$AA$5)*1</f>
        <v>454.3285679284046</v>
      </c>
      <c r="AB124" s="6">
        <f>$K$124*$V$124</f>
        <v>37648</v>
      </c>
      <c r="AC124" s="6">
        <f>$M$124*$W$124</f>
        <v>835.45464000000004</v>
      </c>
      <c r="AD124" s="6">
        <f>$O$124*$X$124</f>
        <v>6163.0809600000002</v>
      </c>
      <c r="AE124" s="6">
        <f ca="1">$K$124*$Y$124</f>
        <v>41357.434460156452</v>
      </c>
      <c r="AF124" s="6">
        <f ca="1">$M$124*$Z$124</f>
        <v>1050.6500694748431</v>
      </c>
      <c r="AG124" s="6">
        <f>$O$124*$AA$124</f>
        <v>7192.9298874425021</v>
      </c>
    </row>
    <row r="125" spans="1:33" ht="11.25" customHeight="1" x14ac:dyDescent="0.25">
      <c r="A125" s="4" t="s">
        <v>21</v>
      </c>
      <c r="B125" s="4" t="s">
        <v>43</v>
      </c>
      <c r="C125" s="4" t="s">
        <v>44</v>
      </c>
      <c r="D125" s="4" t="s">
        <v>42</v>
      </c>
      <c r="E125" s="4" t="s">
        <v>25</v>
      </c>
      <c r="F125" s="4" t="s">
        <v>25</v>
      </c>
      <c r="G125" s="4" t="s">
        <v>25</v>
      </c>
      <c r="H125" s="4" t="s">
        <v>37</v>
      </c>
      <c r="I125" s="5">
        <v>44348</v>
      </c>
      <c r="J125" s="6">
        <v>132923</v>
      </c>
      <c r="K125" s="6">
        <v>132923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60</v>
      </c>
      <c r="R125" s="4">
        <v>0</v>
      </c>
      <c r="S125" s="6">
        <v>1</v>
      </c>
      <c r="T125" s="6">
        <v>0</v>
      </c>
      <c r="U125" s="6">
        <v>0</v>
      </c>
      <c r="V125" s="6">
        <f>IF(ISERROR(VLOOKUP($S$125,'TAR FIN'!$A$1:$O$95,15,0)),0,VLOOKUP($S$125,'TAR FIN'!$A$1:$O$95,15,0))</f>
        <v>7.24</v>
      </c>
      <c r="W125" s="6">
        <f>IF(ISERROR(VLOOKUP($T$125,'TAR FIN'!$A$1:$O$95,15,0)),0,VLOOKUP($T$125,'TAR FIN'!$A$1:$O$95,15,0))</f>
        <v>0</v>
      </c>
      <c r="X125" s="6">
        <f>IF(ISERROR(VLOOKUP($U$125,'TAR FIN'!$A$1:$O$95,15,0)),0,VLOOKUP($U$125,'TAR FIN'!$A$1:$O$95,15,0))</f>
        <v>0</v>
      </c>
      <c r="Y125" s="6">
        <f ca="1">('TUSD BE'!$AM$5+'TUSD BF'!$AM$5+'TUSD CVA'!$AM$5)*1</f>
        <v>7.9533527807993183</v>
      </c>
      <c r="Z125" s="6">
        <f ca="1">('TUSD BE'!$AM$7+'TUSD BF'!$AM$7+'TUSD CVA'!$AM$7)*1</f>
        <v>66.362434908719237</v>
      </c>
      <c r="AA125" s="6"/>
      <c r="AB125" s="6">
        <f>$K$125*$V$125</f>
        <v>962362.52</v>
      </c>
      <c r="AC125" s="6">
        <f>$M$125*$W$125</f>
        <v>0</v>
      </c>
      <c r="AD125" s="6">
        <f>$O$125*$X$125</f>
        <v>0</v>
      </c>
      <c r="AE125" s="6">
        <f ca="1">$K$125*$Y$125</f>
        <v>1057183.5116821877</v>
      </c>
      <c r="AF125" s="6">
        <f ca="1">$M$125*$Z$125</f>
        <v>0</v>
      </c>
      <c r="AG125" s="6">
        <f>$O$125*$AA$125</f>
        <v>0</v>
      </c>
    </row>
    <row r="126" spans="1:33" ht="11.25" customHeight="1" x14ac:dyDescent="0.25">
      <c r="A126" s="4" t="s">
        <v>21</v>
      </c>
      <c r="B126" s="4" t="s">
        <v>43</v>
      </c>
      <c r="C126" s="4" t="s">
        <v>44</v>
      </c>
      <c r="D126" s="4" t="s">
        <v>42</v>
      </c>
      <c r="E126" s="4" t="s">
        <v>25</v>
      </c>
      <c r="F126" s="4" t="s">
        <v>25</v>
      </c>
      <c r="G126" s="4" t="s">
        <v>25</v>
      </c>
      <c r="H126" s="4" t="s">
        <v>37</v>
      </c>
      <c r="I126" s="5">
        <v>44378</v>
      </c>
      <c r="J126" s="6">
        <v>9100</v>
      </c>
      <c r="K126" s="6">
        <v>9100</v>
      </c>
      <c r="L126" s="6">
        <v>172.83699999999999</v>
      </c>
      <c r="M126" s="6">
        <v>172.83699999999999</v>
      </c>
      <c r="N126" s="6">
        <v>172.83699999999999</v>
      </c>
      <c r="O126" s="6">
        <v>172.83699999999999</v>
      </c>
      <c r="P126" s="6">
        <v>0</v>
      </c>
      <c r="Q126" s="4" t="s">
        <v>26</v>
      </c>
      <c r="R126" s="4">
        <v>0</v>
      </c>
      <c r="S126" s="6">
        <v>1</v>
      </c>
      <c r="T126" s="6">
        <v>25</v>
      </c>
      <c r="U126" s="6">
        <v>70</v>
      </c>
      <c r="V126" s="6">
        <f>IF(ISERROR(VLOOKUP($S$126,'TAR FIN'!$A$1:$O$95,15,0)),0,VLOOKUP($S$126,'TAR FIN'!$A$1:$O$95,15,0))</f>
        <v>7.24</v>
      </c>
      <c r="W126" s="6">
        <f>IF(ISERROR(VLOOKUP($T$126,'TAR FIN'!$A$1:$O$95,15,0)),0,VLOOKUP($T$126,'TAR FIN'!$A$1:$O$95,15,0))</f>
        <v>52.77</v>
      </c>
      <c r="X126" s="6">
        <f>IF(ISERROR(VLOOKUP($U$126,'TAR FIN'!$A$1:$O$95,15,0)),0,VLOOKUP($U$126,'TAR FIN'!$A$1:$O$95,15,0))</f>
        <v>389.28</v>
      </c>
      <c r="Y126" s="6">
        <f ca="1">('TUSD BE'!$AM$5+'TUSD BF'!$AM$5+'TUSD CVA'!$AM$5)*1</f>
        <v>7.9533527807993183</v>
      </c>
      <c r="Z126" s="6">
        <f ca="1">('TUSD BE'!$AM$7+'TUSD BF'!$AM$7+'TUSD CVA'!$AM$7)*1</f>
        <v>66.362434908719237</v>
      </c>
      <c r="AA126" s="6">
        <f>('TE BE'!$AA$5+'TE BF'!$AA$5+'TE CVA'!$AA$5)*1</f>
        <v>454.3285679284046</v>
      </c>
      <c r="AB126" s="6">
        <f>$K$126*$V$126</f>
        <v>65884</v>
      </c>
      <c r="AC126" s="6">
        <f>$M$126*$W$126</f>
        <v>9120.6084900000005</v>
      </c>
      <c r="AD126" s="6">
        <f>$O$126*$X$126</f>
        <v>67281.987359999985</v>
      </c>
      <c r="AE126" s="6">
        <f ca="1">$K$126*$Y$126</f>
        <v>72375.510305273798</v>
      </c>
      <c r="AF126" s="6">
        <f ca="1">$M$126*$Z$126</f>
        <v>11469.884162318305</v>
      </c>
      <c r="AG126" s="6">
        <f>$O$126*$AA$126</f>
        <v>78524.786695041665</v>
      </c>
    </row>
    <row r="127" spans="1:33" ht="11.25" customHeight="1" x14ac:dyDescent="0.25">
      <c r="A127" s="4" t="s">
        <v>21</v>
      </c>
      <c r="B127" s="4" t="s">
        <v>43</v>
      </c>
      <c r="C127" s="4" t="s">
        <v>44</v>
      </c>
      <c r="D127" s="4" t="s">
        <v>42</v>
      </c>
      <c r="E127" s="4" t="s">
        <v>25</v>
      </c>
      <c r="F127" s="4" t="s">
        <v>25</v>
      </c>
      <c r="G127" s="4" t="s">
        <v>25</v>
      </c>
      <c r="H127" s="4" t="s">
        <v>37</v>
      </c>
      <c r="I127" s="5">
        <v>44378</v>
      </c>
      <c r="J127" s="6">
        <v>137603</v>
      </c>
      <c r="K127" s="6">
        <v>137603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60</v>
      </c>
      <c r="R127" s="4">
        <v>0</v>
      </c>
      <c r="S127" s="6">
        <v>1</v>
      </c>
      <c r="T127" s="6">
        <v>0</v>
      </c>
      <c r="U127" s="6">
        <v>0</v>
      </c>
      <c r="V127" s="6">
        <f>IF(ISERROR(VLOOKUP($S$127,'TAR FIN'!$A$1:$O$95,15,0)),0,VLOOKUP($S$127,'TAR FIN'!$A$1:$O$95,15,0))</f>
        <v>7.24</v>
      </c>
      <c r="W127" s="6">
        <f>IF(ISERROR(VLOOKUP($T$127,'TAR FIN'!$A$1:$O$95,15,0)),0,VLOOKUP($T$127,'TAR FIN'!$A$1:$O$95,15,0))</f>
        <v>0</v>
      </c>
      <c r="X127" s="6">
        <f>IF(ISERROR(VLOOKUP($U$127,'TAR FIN'!$A$1:$O$95,15,0)),0,VLOOKUP($U$127,'TAR FIN'!$A$1:$O$95,15,0))</f>
        <v>0</v>
      </c>
      <c r="Y127" s="6">
        <f ca="1">('TUSD BE'!$AM$5+'TUSD BF'!$AM$5+'TUSD CVA'!$AM$5)*1</f>
        <v>7.9533527807993183</v>
      </c>
      <c r="Z127" s="6">
        <f ca="1">('TUSD BE'!$AM$7+'TUSD BF'!$AM$7+'TUSD CVA'!$AM$7)*1</f>
        <v>66.362434908719237</v>
      </c>
      <c r="AA127" s="6"/>
      <c r="AB127" s="6">
        <f>$K$127*$V$127</f>
        <v>996245.72</v>
      </c>
      <c r="AC127" s="6">
        <f>$M$127*$W$127</f>
        <v>0</v>
      </c>
      <c r="AD127" s="6">
        <f>$O$127*$X$127</f>
        <v>0</v>
      </c>
      <c r="AE127" s="6">
        <f ca="1">$K$127*$Y$127</f>
        <v>1094405.2026963285</v>
      </c>
      <c r="AF127" s="6">
        <f ca="1">$M$127*$Z$127</f>
        <v>0</v>
      </c>
      <c r="AG127" s="6">
        <f>$O$127*$AA$127</f>
        <v>0</v>
      </c>
    </row>
    <row r="128" spans="1:33" ht="11.25" customHeight="1" x14ac:dyDescent="0.25">
      <c r="A128" s="4" t="s">
        <v>21</v>
      </c>
      <c r="B128" s="4" t="s">
        <v>43</v>
      </c>
      <c r="C128" s="4" t="s">
        <v>44</v>
      </c>
      <c r="D128" s="4" t="s">
        <v>42</v>
      </c>
      <c r="E128" s="4" t="s">
        <v>25</v>
      </c>
      <c r="F128" s="4" t="s">
        <v>25</v>
      </c>
      <c r="G128" s="4" t="s">
        <v>25</v>
      </c>
      <c r="H128" s="4" t="s">
        <v>37</v>
      </c>
      <c r="I128" s="5">
        <v>44409</v>
      </c>
      <c r="J128" s="6">
        <v>9100</v>
      </c>
      <c r="K128" s="6">
        <v>9100</v>
      </c>
      <c r="L128" s="6">
        <v>206.767</v>
      </c>
      <c r="M128" s="6">
        <v>206.767</v>
      </c>
      <c r="N128" s="6">
        <v>206.767</v>
      </c>
      <c r="O128" s="6">
        <v>206.767</v>
      </c>
      <c r="P128" s="6">
        <v>0</v>
      </c>
      <c r="Q128" s="4" t="s">
        <v>26</v>
      </c>
      <c r="R128" s="4">
        <v>0</v>
      </c>
      <c r="S128" s="6">
        <v>1</v>
      </c>
      <c r="T128" s="6">
        <v>25</v>
      </c>
      <c r="U128" s="6">
        <v>70</v>
      </c>
      <c r="V128" s="6">
        <f>IF(ISERROR(VLOOKUP($S$128,'TAR FIN'!$A$1:$O$95,15,0)),0,VLOOKUP($S$128,'TAR FIN'!$A$1:$O$95,15,0))</f>
        <v>7.24</v>
      </c>
      <c r="W128" s="6">
        <f>IF(ISERROR(VLOOKUP($T$128,'TAR FIN'!$A$1:$O$95,15,0)),0,VLOOKUP($T$128,'TAR FIN'!$A$1:$O$95,15,0))</f>
        <v>52.77</v>
      </c>
      <c r="X128" s="6">
        <f>IF(ISERROR(VLOOKUP($U$128,'TAR FIN'!$A$1:$O$95,15,0)),0,VLOOKUP($U$128,'TAR FIN'!$A$1:$O$95,15,0))</f>
        <v>389.28</v>
      </c>
      <c r="Y128" s="6">
        <f ca="1">('TUSD BE'!$AM$5+'TUSD BF'!$AM$5+'TUSD CVA'!$AM$5)*1</f>
        <v>7.9533527807993183</v>
      </c>
      <c r="Z128" s="6">
        <f ca="1">('TUSD BE'!$AM$7+'TUSD BF'!$AM$7+'TUSD CVA'!$AM$7)*1</f>
        <v>66.362434908719237</v>
      </c>
      <c r="AA128" s="6">
        <f>('TE BE'!$AA$5+'TE BF'!$AA$5+'TE CVA'!$AA$5)*1</f>
        <v>454.3285679284046</v>
      </c>
      <c r="AB128" s="6">
        <f>$K$128*$V$128</f>
        <v>65884</v>
      </c>
      <c r="AC128" s="6">
        <f>$M$128*$W$128</f>
        <v>10911.094590000001</v>
      </c>
      <c r="AD128" s="6">
        <f>$O$128*$X$128</f>
        <v>80490.257759999993</v>
      </c>
      <c r="AE128" s="6">
        <f ca="1">$K$128*$Y$128</f>
        <v>72375.510305273798</v>
      </c>
      <c r="AF128" s="6">
        <f ca="1">$M$128*$Z$128</f>
        <v>13721.56157877115</v>
      </c>
      <c r="AG128" s="6">
        <f>$O$128*$AA$128</f>
        <v>93940.155004852437</v>
      </c>
    </row>
    <row r="129" spans="1:33" ht="11.25" customHeight="1" x14ac:dyDescent="0.25">
      <c r="A129" s="4" t="s">
        <v>21</v>
      </c>
      <c r="B129" s="4" t="s">
        <v>43</v>
      </c>
      <c r="C129" s="4" t="s">
        <v>44</v>
      </c>
      <c r="D129" s="4" t="s">
        <v>42</v>
      </c>
      <c r="E129" s="4" t="s">
        <v>25</v>
      </c>
      <c r="F129" s="4" t="s">
        <v>25</v>
      </c>
      <c r="G129" s="4" t="s">
        <v>25</v>
      </c>
      <c r="H129" s="4" t="s">
        <v>37</v>
      </c>
      <c r="I129" s="5">
        <v>44409</v>
      </c>
      <c r="J129" s="6">
        <v>143523</v>
      </c>
      <c r="K129" s="6">
        <v>143523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60</v>
      </c>
      <c r="R129" s="4">
        <v>0</v>
      </c>
      <c r="S129" s="6">
        <v>1</v>
      </c>
      <c r="T129" s="6">
        <v>0</v>
      </c>
      <c r="U129" s="6">
        <v>0</v>
      </c>
      <c r="V129" s="6">
        <f>IF(ISERROR(VLOOKUP($S$129,'TAR FIN'!$A$1:$O$95,15,0)),0,VLOOKUP($S$129,'TAR FIN'!$A$1:$O$95,15,0))</f>
        <v>7.24</v>
      </c>
      <c r="W129" s="6">
        <f>IF(ISERROR(VLOOKUP($T$129,'TAR FIN'!$A$1:$O$95,15,0)),0,VLOOKUP($T$129,'TAR FIN'!$A$1:$O$95,15,0))</f>
        <v>0</v>
      </c>
      <c r="X129" s="6">
        <f>IF(ISERROR(VLOOKUP($U$129,'TAR FIN'!$A$1:$O$95,15,0)),0,VLOOKUP($U$129,'TAR FIN'!$A$1:$O$95,15,0))</f>
        <v>0</v>
      </c>
      <c r="Y129" s="6">
        <f ca="1">('TUSD BE'!$AM$5+'TUSD BF'!$AM$5+'TUSD CVA'!$AM$5)*1</f>
        <v>7.9533527807993183</v>
      </c>
      <c r="Z129" s="6">
        <f ca="1">('TUSD BE'!$AM$7+'TUSD BF'!$AM$7+'TUSD CVA'!$AM$7)*1</f>
        <v>66.362434908719237</v>
      </c>
      <c r="AA129" s="6"/>
      <c r="AB129" s="6">
        <f>$K$129*$V$129</f>
        <v>1039106.52</v>
      </c>
      <c r="AC129" s="6">
        <f>$M$129*$W$129</f>
        <v>0</v>
      </c>
      <c r="AD129" s="6">
        <f>$O$129*$X$129</f>
        <v>0</v>
      </c>
      <c r="AE129" s="6">
        <f ca="1">$K$129*$Y$129</f>
        <v>1141489.0511586606</v>
      </c>
      <c r="AF129" s="6">
        <f ca="1">$M$129*$Z$129</f>
        <v>0</v>
      </c>
      <c r="AG129" s="6">
        <f>$O$129*$AA$129</f>
        <v>0</v>
      </c>
    </row>
    <row r="130" spans="1:33" ht="11.25" customHeight="1" x14ac:dyDescent="0.25">
      <c r="A130" s="4" t="s">
        <v>21</v>
      </c>
      <c r="B130" s="4" t="s">
        <v>43</v>
      </c>
      <c r="C130" s="4" t="s">
        <v>44</v>
      </c>
      <c r="D130" s="4" t="s">
        <v>42</v>
      </c>
      <c r="E130" s="4" t="s">
        <v>25</v>
      </c>
      <c r="F130" s="4" t="s">
        <v>25</v>
      </c>
      <c r="G130" s="4" t="s">
        <v>25</v>
      </c>
      <c r="H130" s="4" t="s">
        <v>37</v>
      </c>
      <c r="I130" s="5">
        <v>44440</v>
      </c>
      <c r="J130" s="6">
        <v>9100</v>
      </c>
      <c r="K130" s="6">
        <v>9100</v>
      </c>
      <c r="L130" s="6">
        <v>166.53399999999999</v>
      </c>
      <c r="M130" s="6">
        <v>166.53399999999999</v>
      </c>
      <c r="N130" s="6">
        <v>166.53399999999999</v>
      </c>
      <c r="O130" s="6">
        <v>166.53399999999999</v>
      </c>
      <c r="P130" s="6">
        <v>0</v>
      </c>
      <c r="Q130" s="4" t="s">
        <v>26</v>
      </c>
      <c r="R130" s="4">
        <v>0</v>
      </c>
      <c r="S130" s="6">
        <v>1</v>
      </c>
      <c r="T130" s="6">
        <v>25</v>
      </c>
      <c r="U130" s="6">
        <v>70</v>
      </c>
      <c r="V130" s="6">
        <f>IF(ISERROR(VLOOKUP($S$130,'TAR FIN'!$A$1:$O$95,15,0)),0,VLOOKUP($S$130,'TAR FIN'!$A$1:$O$95,15,0))</f>
        <v>7.24</v>
      </c>
      <c r="W130" s="6">
        <f>IF(ISERROR(VLOOKUP($T$130,'TAR FIN'!$A$1:$O$95,15,0)),0,VLOOKUP($T$130,'TAR FIN'!$A$1:$O$95,15,0))</f>
        <v>52.77</v>
      </c>
      <c r="X130" s="6">
        <f>IF(ISERROR(VLOOKUP($U$130,'TAR FIN'!$A$1:$O$95,15,0)),0,VLOOKUP($U$130,'TAR FIN'!$A$1:$O$95,15,0))</f>
        <v>389.28</v>
      </c>
      <c r="Y130" s="6">
        <f ca="1">('TUSD BE'!$AM$5+'TUSD BF'!$AM$5+'TUSD CVA'!$AM$5)*1</f>
        <v>7.9533527807993183</v>
      </c>
      <c r="Z130" s="6">
        <f ca="1">('TUSD BE'!$AM$7+'TUSD BF'!$AM$7+'TUSD CVA'!$AM$7)*1</f>
        <v>66.362434908719237</v>
      </c>
      <c r="AA130" s="6">
        <f>('TE BE'!$AA$5+'TE BF'!$AA$5+'TE CVA'!$AA$5)*1</f>
        <v>454.3285679284046</v>
      </c>
      <c r="AB130" s="6">
        <f>$K$130*$V$130</f>
        <v>65884</v>
      </c>
      <c r="AC130" s="6">
        <f>$M$130*$W$130</f>
        <v>8787.9991800000007</v>
      </c>
      <c r="AD130" s="6">
        <f>$O$130*$X$130</f>
        <v>64828.35551999999</v>
      </c>
      <c r="AE130" s="6">
        <f ca="1">$K$130*$Y$130</f>
        <v>72375.510305273798</v>
      </c>
      <c r="AF130" s="6">
        <f ca="1">$M$130*$Z$130</f>
        <v>11051.601735088649</v>
      </c>
      <c r="AG130" s="6">
        <f>$O$130*$AA$130</f>
        <v>75661.153731388928</v>
      </c>
    </row>
    <row r="131" spans="1:33" ht="11.25" customHeight="1" x14ac:dyDescent="0.25">
      <c r="A131" s="4" t="s">
        <v>21</v>
      </c>
      <c r="B131" s="4" t="s">
        <v>43</v>
      </c>
      <c r="C131" s="4" t="s">
        <v>44</v>
      </c>
      <c r="D131" s="4" t="s">
        <v>42</v>
      </c>
      <c r="E131" s="4" t="s">
        <v>25</v>
      </c>
      <c r="F131" s="4" t="s">
        <v>25</v>
      </c>
      <c r="G131" s="4" t="s">
        <v>25</v>
      </c>
      <c r="H131" s="4" t="s">
        <v>37</v>
      </c>
      <c r="I131" s="5">
        <v>44440</v>
      </c>
      <c r="J131" s="6">
        <v>147144</v>
      </c>
      <c r="K131" s="6">
        <v>147144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60</v>
      </c>
      <c r="R131" s="4">
        <v>0</v>
      </c>
      <c r="S131" s="6">
        <v>1</v>
      </c>
      <c r="T131" s="6">
        <v>0</v>
      </c>
      <c r="U131" s="6">
        <v>0</v>
      </c>
      <c r="V131" s="6">
        <f>IF(ISERROR(VLOOKUP($S$131,'TAR FIN'!$A$1:$O$95,15,0)),0,VLOOKUP($S$131,'TAR FIN'!$A$1:$O$95,15,0))</f>
        <v>7.24</v>
      </c>
      <c r="W131" s="6">
        <f>IF(ISERROR(VLOOKUP($T$131,'TAR FIN'!$A$1:$O$95,15,0)),0,VLOOKUP($T$131,'TAR FIN'!$A$1:$O$95,15,0))</f>
        <v>0</v>
      </c>
      <c r="X131" s="6">
        <f>IF(ISERROR(VLOOKUP($U$131,'TAR FIN'!$A$1:$O$95,15,0)),0,VLOOKUP($U$131,'TAR FIN'!$A$1:$O$95,15,0))</f>
        <v>0</v>
      </c>
      <c r="Y131" s="6">
        <f ca="1">('TUSD BE'!$AM$5+'TUSD BF'!$AM$5+'TUSD CVA'!$AM$5)*1</f>
        <v>7.9533527807993183</v>
      </c>
      <c r="Z131" s="6">
        <f ca="1">('TUSD BE'!$AM$7+'TUSD BF'!$AM$7+'TUSD CVA'!$AM$7)*1</f>
        <v>66.362434908719237</v>
      </c>
      <c r="AA131" s="6"/>
      <c r="AB131" s="6">
        <f>$K$131*$V$131</f>
        <v>1065322.56</v>
      </c>
      <c r="AC131" s="6">
        <f>$M$131*$W$131</f>
        <v>0</v>
      </c>
      <c r="AD131" s="6">
        <f>$O$131*$X$131</f>
        <v>0</v>
      </c>
      <c r="AE131" s="6">
        <f ca="1">$K$131*$Y$131</f>
        <v>1170288.1415779348</v>
      </c>
      <c r="AF131" s="6">
        <f ca="1">$M$131*$Z$131</f>
        <v>0</v>
      </c>
      <c r="AG131" s="6">
        <f>$O$131*$AA$131</f>
        <v>0</v>
      </c>
    </row>
    <row r="132" spans="1:33" ht="11.25" customHeight="1" x14ac:dyDescent="0.25">
      <c r="A132" s="4" t="s">
        <v>59</v>
      </c>
      <c r="B132" s="4" t="s">
        <v>43</v>
      </c>
      <c r="C132" s="4" t="s">
        <v>44</v>
      </c>
      <c r="D132" s="4" t="s">
        <v>42</v>
      </c>
      <c r="E132" s="4" t="s">
        <v>25</v>
      </c>
      <c r="F132" s="4" t="s">
        <v>25</v>
      </c>
      <c r="G132" s="4" t="s">
        <v>25</v>
      </c>
      <c r="H132" s="4" t="s">
        <v>37</v>
      </c>
      <c r="I132" s="5">
        <v>44470</v>
      </c>
      <c r="J132" s="6">
        <v>9100</v>
      </c>
      <c r="K132" s="6">
        <v>9100</v>
      </c>
      <c r="L132" s="6">
        <v>166.53399999999999</v>
      </c>
      <c r="M132" s="6">
        <v>166.53399999999999</v>
      </c>
      <c r="N132" s="6">
        <v>166.53399999999999</v>
      </c>
      <c r="O132" s="6">
        <v>166.53399999999999</v>
      </c>
      <c r="P132" s="6">
        <v>0</v>
      </c>
      <c r="Q132" s="4" t="s">
        <v>26</v>
      </c>
      <c r="R132" s="4">
        <v>0</v>
      </c>
      <c r="S132" s="6">
        <v>1</v>
      </c>
      <c r="T132" s="6">
        <v>25</v>
      </c>
      <c r="U132" s="6">
        <v>70</v>
      </c>
      <c r="V132" s="6">
        <f>IF(ISERROR(VLOOKUP($S$132,'TAR FIN'!$A$1:$O$95,15,0)),0,VLOOKUP($S$132,'TAR FIN'!$A$1:$O$95,15,0))</f>
        <v>7.24</v>
      </c>
      <c r="W132" s="6">
        <f>IF(ISERROR(VLOOKUP($T$132,'TAR FIN'!$A$1:$O$95,15,0)),0,VLOOKUP($T$132,'TAR FIN'!$A$1:$O$95,15,0))</f>
        <v>52.77</v>
      </c>
      <c r="X132" s="6">
        <f>IF(ISERROR(VLOOKUP($U$132,'TAR FIN'!$A$1:$O$95,15,0)),0,VLOOKUP($U$132,'TAR FIN'!$A$1:$O$95,15,0))</f>
        <v>389.28</v>
      </c>
      <c r="Y132" s="6">
        <f ca="1">('TUSD BE'!$AM$5+'TUSD BF'!$AM$5+'TUSD CVA'!$AM$5)*1</f>
        <v>7.9533527807993183</v>
      </c>
      <c r="Z132" s="6">
        <f ca="1">('TUSD BE'!$AM$7+'TUSD BF'!$AM$7+'TUSD CVA'!$AM$7)*1</f>
        <v>66.362434908719237</v>
      </c>
      <c r="AA132" s="6">
        <f>('TE BE'!$AA$5+'TE BF'!$AA$5+'TE CVA'!$AA$5)*1</f>
        <v>454.3285679284046</v>
      </c>
      <c r="AB132" s="6">
        <f>$K$132*$V$132</f>
        <v>65884</v>
      </c>
      <c r="AC132" s="6">
        <f>$M$132*$W$132</f>
        <v>8787.9991800000007</v>
      </c>
      <c r="AD132" s="6">
        <f>$O$132*$X$132</f>
        <v>64828.35551999999</v>
      </c>
      <c r="AE132" s="6">
        <f ca="1">$K$132*$Y$132</f>
        <v>72375.510305273798</v>
      </c>
      <c r="AF132" s="6">
        <f ca="1">$M$132*$Z$132</f>
        <v>11051.601735088649</v>
      </c>
      <c r="AG132" s="6">
        <f>$O$132*$AA$132</f>
        <v>75661.153731388928</v>
      </c>
    </row>
    <row r="133" spans="1:33" ht="11.25" customHeight="1" x14ac:dyDescent="0.25">
      <c r="A133" s="4" t="s">
        <v>59</v>
      </c>
      <c r="B133" s="4" t="s">
        <v>43</v>
      </c>
      <c r="C133" s="4" t="s">
        <v>44</v>
      </c>
      <c r="D133" s="4" t="s">
        <v>42</v>
      </c>
      <c r="E133" s="4" t="s">
        <v>25</v>
      </c>
      <c r="F133" s="4" t="s">
        <v>25</v>
      </c>
      <c r="G133" s="4" t="s">
        <v>25</v>
      </c>
      <c r="H133" s="4" t="s">
        <v>37</v>
      </c>
      <c r="I133" s="5">
        <v>44470</v>
      </c>
      <c r="J133" s="6">
        <v>147144</v>
      </c>
      <c r="K133" s="6">
        <v>147144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60</v>
      </c>
      <c r="R133" s="4">
        <v>0</v>
      </c>
      <c r="S133" s="6">
        <v>1</v>
      </c>
      <c r="T133" s="6">
        <v>0</v>
      </c>
      <c r="U133" s="6">
        <v>0</v>
      </c>
      <c r="V133" s="6">
        <f>IF(ISERROR(VLOOKUP($S$133,'TAR FIN'!$A$1:$O$95,15,0)),0,VLOOKUP($S$133,'TAR FIN'!$A$1:$O$95,15,0))</f>
        <v>7.24</v>
      </c>
      <c r="W133" s="6">
        <f>IF(ISERROR(VLOOKUP($T$133,'TAR FIN'!$A$1:$O$95,15,0)),0,VLOOKUP($T$133,'TAR FIN'!$A$1:$O$95,15,0))</f>
        <v>0</v>
      </c>
      <c r="X133" s="6">
        <f>IF(ISERROR(VLOOKUP($U$133,'TAR FIN'!$A$1:$O$95,15,0)),0,VLOOKUP($U$133,'TAR FIN'!$A$1:$O$95,15,0))</f>
        <v>0</v>
      </c>
      <c r="Y133" s="6">
        <f ca="1">('TUSD BE'!$AM$5+'TUSD BF'!$AM$5+'TUSD CVA'!$AM$5)*1</f>
        <v>7.9533527807993183</v>
      </c>
      <c r="Z133" s="6">
        <f ca="1">('TUSD BE'!$AM$7+'TUSD BF'!$AM$7+'TUSD CVA'!$AM$7)*1</f>
        <v>66.362434908719237</v>
      </c>
      <c r="AA133" s="6"/>
      <c r="AB133" s="6">
        <f>$K$133*$V$133</f>
        <v>1065322.56</v>
      </c>
      <c r="AC133" s="6">
        <f>$M$133*$W$133</f>
        <v>0</v>
      </c>
      <c r="AD133" s="6">
        <f>$O$133*$X$133</f>
        <v>0</v>
      </c>
      <c r="AE133" s="6">
        <f ca="1">$K$133*$Y$133</f>
        <v>1170288.1415779348</v>
      </c>
      <c r="AF133" s="6">
        <f ca="1">$M$133*$Z$133</f>
        <v>0</v>
      </c>
      <c r="AG133" s="6">
        <f>$O$133*$AA$133</f>
        <v>0</v>
      </c>
    </row>
    <row r="134" spans="1:33" ht="11.25" customHeight="1" x14ac:dyDescent="0.25">
      <c r="A134" s="4" t="s">
        <v>21</v>
      </c>
      <c r="B134" s="4" t="s">
        <v>43</v>
      </c>
      <c r="C134" s="4" t="s">
        <v>44</v>
      </c>
      <c r="D134" s="4" t="s">
        <v>48</v>
      </c>
      <c r="E134" s="4" t="s">
        <v>25</v>
      </c>
      <c r="F134" s="4" t="s">
        <v>25</v>
      </c>
      <c r="G134" s="4" t="s">
        <v>25</v>
      </c>
      <c r="H134" s="4" t="s">
        <v>38</v>
      </c>
      <c r="I134" s="5">
        <v>44136</v>
      </c>
      <c r="J134" s="6">
        <v>6800</v>
      </c>
      <c r="K134" s="6">
        <v>6800</v>
      </c>
      <c r="L134" s="6">
        <v>2306.2759999999998</v>
      </c>
      <c r="M134" s="6">
        <v>2306.2759999999998</v>
      </c>
      <c r="N134" s="6">
        <v>2306.2759999999998</v>
      </c>
      <c r="O134" s="6">
        <v>2306.2759999999998</v>
      </c>
      <c r="P134" s="6">
        <v>0</v>
      </c>
      <c r="Q134" s="4" t="s">
        <v>26</v>
      </c>
      <c r="R134" s="4">
        <v>0</v>
      </c>
      <c r="S134" s="6">
        <v>2</v>
      </c>
      <c r="T134" s="6">
        <v>25</v>
      </c>
      <c r="U134" s="6">
        <v>65</v>
      </c>
      <c r="V134" s="6">
        <f>IF(ISERROR(VLOOKUP($S$134,'TAR FIN'!$A$1:$O$95,15,0)),0,VLOOKUP($S$134,'TAR FIN'!$A$1:$O$95,15,0))</f>
        <v>5.9</v>
      </c>
      <c r="W134" s="6">
        <f>IF(ISERROR(VLOOKUP($T$134,'TAR FIN'!$A$1:$O$95,15,0)),0,VLOOKUP($T$134,'TAR FIN'!$A$1:$O$95,15,0))</f>
        <v>52.77</v>
      </c>
      <c r="X134" s="6">
        <f>IF(ISERROR(VLOOKUP($U$134,'TAR FIN'!$A$1:$O$95,15,0)),0,VLOOKUP($U$134,'TAR FIN'!$A$1:$O$95,15,0))</f>
        <v>230.03</v>
      </c>
      <c r="Y134" s="6">
        <f ca="1">('TUSD BE'!$AM$6+'TUSD BF'!$AM$6+'TUSD CVA'!$AM$6)*1</f>
        <v>6.4798355258986495</v>
      </c>
      <c r="Z134" s="6">
        <f ca="1">('TUSD BE'!$AM$7+'TUSD BF'!$AM$7+'TUSD CVA'!$AM$7)*1</f>
        <v>66.362434908719237</v>
      </c>
      <c r="AA134" s="6">
        <f>('TE BE'!$AA$6+'TE BF'!$AA$6+'TE CVA'!$AA$6)*1</f>
        <v>282.91739971702214</v>
      </c>
      <c r="AB134" s="6">
        <f>$K$134*$V$134</f>
        <v>40120</v>
      </c>
      <c r="AC134" s="6">
        <f>$M$134*$W$134</f>
        <v>121702.18452</v>
      </c>
      <c r="AD134" s="6">
        <f>$O$134*$X$134</f>
        <v>530512.66827999998</v>
      </c>
      <c r="AE134" s="6">
        <f ca="1">$K$134*$Y$134</f>
        <v>44062.88157611082</v>
      </c>
      <c r="AF134" s="6">
        <f ca="1">$M$134*$Z$134</f>
        <v>153050.09093154134</v>
      </c>
      <c r="AG134" s="6">
        <f>$O$134*$AA$134</f>
        <v>652485.60894977488</v>
      </c>
    </row>
    <row r="135" spans="1:33" ht="11.25" customHeight="1" x14ac:dyDescent="0.25">
      <c r="A135" s="4" t="s">
        <v>21</v>
      </c>
      <c r="B135" s="4" t="s">
        <v>43</v>
      </c>
      <c r="C135" s="4" t="s">
        <v>44</v>
      </c>
      <c r="D135" s="4" t="s">
        <v>48</v>
      </c>
      <c r="E135" s="4" t="s">
        <v>25</v>
      </c>
      <c r="F135" s="4" t="s">
        <v>25</v>
      </c>
      <c r="G135" s="4" t="s">
        <v>25</v>
      </c>
      <c r="H135" s="4" t="s">
        <v>38</v>
      </c>
      <c r="I135" s="5">
        <v>44166</v>
      </c>
      <c r="J135" s="6">
        <v>6800</v>
      </c>
      <c r="K135" s="6">
        <v>6800</v>
      </c>
      <c r="L135" s="6">
        <v>2336.6979999999999</v>
      </c>
      <c r="M135" s="6">
        <v>2336.6979999999999</v>
      </c>
      <c r="N135" s="6">
        <v>2336.6979999999999</v>
      </c>
      <c r="O135" s="6">
        <v>2336.6979999999999</v>
      </c>
      <c r="P135" s="6">
        <v>0</v>
      </c>
      <c r="Q135" s="4" t="s">
        <v>26</v>
      </c>
      <c r="R135" s="4">
        <v>0</v>
      </c>
      <c r="S135" s="6">
        <v>2</v>
      </c>
      <c r="T135" s="6">
        <v>25</v>
      </c>
      <c r="U135" s="6">
        <v>65</v>
      </c>
      <c r="V135" s="6">
        <f>IF(ISERROR(VLOOKUP($S$135,'TAR FIN'!$A$1:$O$95,15,0)),0,VLOOKUP($S$135,'TAR FIN'!$A$1:$O$95,15,0))</f>
        <v>5.9</v>
      </c>
      <c r="W135" s="6">
        <f>IF(ISERROR(VLOOKUP($T$135,'TAR FIN'!$A$1:$O$95,15,0)),0,VLOOKUP($T$135,'TAR FIN'!$A$1:$O$95,15,0))</f>
        <v>52.77</v>
      </c>
      <c r="X135" s="6">
        <f>IF(ISERROR(VLOOKUP($U$135,'TAR FIN'!$A$1:$O$95,15,0)),0,VLOOKUP($U$135,'TAR FIN'!$A$1:$O$95,15,0))</f>
        <v>230.03</v>
      </c>
      <c r="Y135" s="6">
        <f ca="1">('TUSD BE'!$AM$6+'TUSD BF'!$AM$6+'TUSD CVA'!$AM$6)*1</f>
        <v>6.4798355258986495</v>
      </c>
      <c r="Z135" s="6">
        <f ca="1">('TUSD BE'!$AM$7+'TUSD BF'!$AM$7+'TUSD CVA'!$AM$7)*1</f>
        <v>66.362434908719237</v>
      </c>
      <c r="AA135" s="6">
        <f>('TE BE'!$AA$6+'TE BF'!$AA$6+'TE CVA'!$AA$6)*1</f>
        <v>282.91739971702214</v>
      </c>
      <c r="AB135" s="6">
        <f>$K$135*$V$135</f>
        <v>40120</v>
      </c>
      <c r="AC135" s="6">
        <f>$M$135*$W$135</f>
        <v>123307.55346</v>
      </c>
      <c r="AD135" s="6">
        <f>$O$135*$X$135</f>
        <v>537510.64093999995</v>
      </c>
      <c r="AE135" s="6">
        <f ca="1">$K$135*$Y$135</f>
        <v>44062.88157611082</v>
      </c>
      <c r="AF135" s="6">
        <f ca="1">$M$135*$Z$135</f>
        <v>155068.9689263344</v>
      </c>
      <c r="AG135" s="6">
        <f>$O$135*$AA$135</f>
        <v>661092.52208396618</v>
      </c>
    </row>
    <row r="136" spans="1:33" ht="11.25" customHeight="1" x14ac:dyDescent="0.25">
      <c r="A136" s="4" t="s">
        <v>21</v>
      </c>
      <c r="B136" s="4" t="s">
        <v>43</v>
      </c>
      <c r="C136" s="4" t="s">
        <v>44</v>
      </c>
      <c r="D136" s="4" t="s">
        <v>48</v>
      </c>
      <c r="E136" s="4" t="s">
        <v>25</v>
      </c>
      <c r="F136" s="4" t="s">
        <v>25</v>
      </c>
      <c r="G136" s="4" t="s">
        <v>25</v>
      </c>
      <c r="H136" s="4" t="s">
        <v>38</v>
      </c>
      <c r="I136" s="5">
        <v>44197</v>
      </c>
      <c r="J136" s="6">
        <v>6800</v>
      </c>
      <c r="K136" s="6">
        <v>6800</v>
      </c>
      <c r="L136" s="6">
        <v>2230.4520000000002</v>
      </c>
      <c r="M136" s="6">
        <v>2230.4520000000002</v>
      </c>
      <c r="N136" s="6">
        <v>2230.4520000000002</v>
      </c>
      <c r="O136" s="6">
        <v>2230.4520000000002</v>
      </c>
      <c r="P136" s="6">
        <v>0</v>
      </c>
      <c r="Q136" s="4" t="s">
        <v>26</v>
      </c>
      <c r="R136" s="4">
        <v>0</v>
      </c>
      <c r="S136" s="6">
        <v>2</v>
      </c>
      <c r="T136" s="6">
        <v>25</v>
      </c>
      <c r="U136" s="6">
        <v>65</v>
      </c>
      <c r="V136" s="6">
        <f>IF(ISERROR(VLOOKUP($S$136,'TAR FIN'!$A$1:$O$95,15,0)),0,VLOOKUP($S$136,'TAR FIN'!$A$1:$O$95,15,0))</f>
        <v>5.9</v>
      </c>
      <c r="W136" s="6">
        <f>IF(ISERROR(VLOOKUP($T$136,'TAR FIN'!$A$1:$O$95,15,0)),0,VLOOKUP($T$136,'TAR FIN'!$A$1:$O$95,15,0))</f>
        <v>52.77</v>
      </c>
      <c r="X136" s="6">
        <f>IF(ISERROR(VLOOKUP($U$136,'TAR FIN'!$A$1:$O$95,15,0)),0,VLOOKUP($U$136,'TAR FIN'!$A$1:$O$95,15,0))</f>
        <v>230.03</v>
      </c>
      <c r="Y136" s="6">
        <f ca="1">('TUSD BE'!$AM$6+'TUSD BF'!$AM$6+'TUSD CVA'!$AM$6)*1</f>
        <v>6.4798355258986495</v>
      </c>
      <c r="Z136" s="6">
        <f ca="1">('TUSD BE'!$AM$7+'TUSD BF'!$AM$7+'TUSD CVA'!$AM$7)*1</f>
        <v>66.362434908719237</v>
      </c>
      <c r="AA136" s="6">
        <f>('TE BE'!$AA$6+'TE BF'!$AA$6+'TE CVA'!$AA$6)*1</f>
        <v>282.91739971702214</v>
      </c>
      <c r="AB136" s="6">
        <f>$K$136*$V$136</f>
        <v>40120</v>
      </c>
      <c r="AC136" s="6">
        <f>$M$136*$W$136</f>
        <v>117700.95204000002</v>
      </c>
      <c r="AD136" s="6">
        <f>$O$136*$X$136</f>
        <v>513070.87356000004</v>
      </c>
      <c r="AE136" s="6">
        <f ca="1">$K$136*$Y$136</f>
        <v>44062.88157611082</v>
      </c>
      <c r="AF136" s="6">
        <f ca="1">$M$136*$Z$136</f>
        <v>148018.22566702266</v>
      </c>
      <c r="AG136" s="6">
        <f>$O$136*$AA$136</f>
        <v>631033.68003363151</v>
      </c>
    </row>
    <row r="137" spans="1:33" ht="11.25" customHeight="1" x14ac:dyDescent="0.25">
      <c r="A137" s="4" t="s">
        <v>21</v>
      </c>
      <c r="B137" s="4" t="s">
        <v>43</v>
      </c>
      <c r="C137" s="4" t="s">
        <v>44</v>
      </c>
      <c r="D137" s="4" t="s">
        <v>48</v>
      </c>
      <c r="E137" s="4" t="s">
        <v>25</v>
      </c>
      <c r="F137" s="4" t="s">
        <v>25</v>
      </c>
      <c r="G137" s="4" t="s">
        <v>25</v>
      </c>
      <c r="H137" s="4" t="s">
        <v>38</v>
      </c>
      <c r="I137" s="5">
        <v>44228</v>
      </c>
      <c r="J137" s="6">
        <v>6800</v>
      </c>
      <c r="K137" s="6">
        <v>6800</v>
      </c>
      <c r="L137" s="6">
        <v>2032.4079999999999</v>
      </c>
      <c r="M137" s="6">
        <v>2032.4079999999999</v>
      </c>
      <c r="N137" s="6">
        <v>2032.4079999999999</v>
      </c>
      <c r="O137" s="6">
        <v>2032.4079999999999</v>
      </c>
      <c r="P137" s="6">
        <v>0</v>
      </c>
      <c r="Q137" s="4" t="s">
        <v>26</v>
      </c>
      <c r="R137" s="4">
        <v>0</v>
      </c>
      <c r="S137" s="6">
        <v>2</v>
      </c>
      <c r="T137" s="6">
        <v>25</v>
      </c>
      <c r="U137" s="6">
        <v>65</v>
      </c>
      <c r="V137" s="6">
        <f>IF(ISERROR(VLOOKUP($S$137,'TAR FIN'!$A$1:$O$95,15,0)),0,VLOOKUP($S$137,'TAR FIN'!$A$1:$O$95,15,0))</f>
        <v>5.9</v>
      </c>
      <c r="W137" s="6">
        <f>IF(ISERROR(VLOOKUP($T$137,'TAR FIN'!$A$1:$O$95,15,0)),0,VLOOKUP($T$137,'TAR FIN'!$A$1:$O$95,15,0))</f>
        <v>52.77</v>
      </c>
      <c r="X137" s="6">
        <f>IF(ISERROR(VLOOKUP($U$137,'TAR FIN'!$A$1:$O$95,15,0)),0,VLOOKUP($U$137,'TAR FIN'!$A$1:$O$95,15,0))</f>
        <v>230.03</v>
      </c>
      <c r="Y137" s="6">
        <f ca="1">('TUSD BE'!$AM$6+'TUSD BF'!$AM$6+'TUSD CVA'!$AM$6)*1</f>
        <v>6.4798355258986495</v>
      </c>
      <c r="Z137" s="6">
        <f ca="1">('TUSD BE'!$AM$7+'TUSD BF'!$AM$7+'TUSD CVA'!$AM$7)*1</f>
        <v>66.362434908719237</v>
      </c>
      <c r="AA137" s="6">
        <f>('TE BE'!$AA$6+'TE BF'!$AA$6+'TE CVA'!$AA$6)*1</f>
        <v>282.91739971702214</v>
      </c>
      <c r="AB137" s="6">
        <f>$K$137*$V$137</f>
        <v>40120</v>
      </c>
      <c r="AC137" s="6">
        <f>$M$137*$W$137</f>
        <v>107250.17015999999</v>
      </c>
      <c r="AD137" s="6">
        <f>$O$137*$X$137</f>
        <v>467514.81224</v>
      </c>
      <c r="AE137" s="6">
        <f ca="1">$K$137*$Y$137</f>
        <v>44062.88157611082</v>
      </c>
      <c r="AF137" s="6">
        <f ca="1">$M$137*$Z$137</f>
        <v>134875.54360796025</v>
      </c>
      <c r="AG137" s="6">
        <f>$O$137*$AA$137</f>
        <v>575003.5865240735</v>
      </c>
    </row>
    <row r="138" spans="1:33" ht="11.25" customHeight="1" x14ac:dyDescent="0.25">
      <c r="A138" s="4" t="s">
        <v>21</v>
      </c>
      <c r="B138" s="4" t="s">
        <v>43</v>
      </c>
      <c r="C138" s="4" t="s">
        <v>44</v>
      </c>
      <c r="D138" s="4" t="s">
        <v>48</v>
      </c>
      <c r="E138" s="4" t="s">
        <v>25</v>
      </c>
      <c r="F138" s="4" t="s">
        <v>25</v>
      </c>
      <c r="G138" s="4" t="s">
        <v>25</v>
      </c>
      <c r="H138" s="4" t="s">
        <v>38</v>
      </c>
      <c r="I138" s="5">
        <v>44256</v>
      </c>
      <c r="J138" s="6">
        <v>6800</v>
      </c>
      <c r="K138" s="6">
        <v>6800</v>
      </c>
      <c r="L138" s="6">
        <v>2269.7220000000002</v>
      </c>
      <c r="M138" s="6">
        <v>2269.7220000000002</v>
      </c>
      <c r="N138" s="6">
        <v>2269.7220000000002</v>
      </c>
      <c r="O138" s="6">
        <v>2269.7220000000002</v>
      </c>
      <c r="P138" s="6">
        <v>0</v>
      </c>
      <c r="Q138" s="4" t="s">
        <v>26</v>
      </c>
      <c r="R138" s="4">
        <v>0</v>
      </c>
      <c r="S138" s="6">
        <v>2</v>
      </c>
      <c r="T138" s="6">
        <v>25</v>
      </c>
      <c r="U138" s="6">
        <v>65</v>
      </c>
      <c r="V138" s="6">
        <f>IF(ISERROR(VLOOKUP($S$138,'TAR FIN'!$A$1:$O$95,15,0)),0,VLOOKUP($S$138,'TAR FIN'!$A$1:$O$95,15,0))</f>
        <v>5.9</v>
      </c>
      <c r="W138" s="6">
        <f>IF(ISERROR(VLOOKUP($T$138,'TAR FIN'!$A$1:$O$95,15,0)),0,VLOOKUP($T$138,'TAR FIN'!$A$1:$O$95,15,0))</f>
        <v>52.77</v>
      </c>
      <c r="X138" s="6">
        <f>IF(ISERROR(VLOOKUP($U$138,'TAR FIN'!$A$1:$O$95,15,0)),0,VLOOKUP($U$138,'TAR FIN'!$A$1:$O$95,15,0))</f>
        <v>230.03</v>
      </c>
      <c r="Y138" s="6">
        <f ca="1">('TUSD BE'!$AM$6+'TUSD BF'!$AM$6+'TUSD CVA'!$AM$6)*1</f>
        <v>6.4798355258986495</v>
      </c>
      <c r="Z138" s="6">
        <f ca="1">('TUSD BE'!$AM$7+'TUSD BF'!$AM$7+'TUSD CVA'!$AM$7)*1</f>
        <v>66.362434908719237</v>
      </c>
      <c r="AA138" s="6">
        <f>('TE BE'!$AA$6+'TE BF'!$AA$6+'TE CVA'!$AA$6)*1</f>
        <v>282.91739971702214</v>
      </c>
      <c r="AB138" s="6">
        <f>$K$138*$V$138</f>
        <v>40120</v>
      </c>
      <c r="AC138" s="6">
        <f>$M$138*$W$138</f>
        <v>119773.22994000002</v>
      </c>
      <c r="AD138" s="6">
        <f>$O$138*$X$138</f>
        <v>522104.15166000003</v>
      </c>
      <c r="AE138" s="6">
        <f ca="1">$K$138*$Y$138</f>
        <v>44062.88157611082</v>
      </c>
      <c r="AF138" s="6">
        <f ca="1">$M$138*$Z$138</f>
        <v>150624.27848588806</v>
      </c>
      <c r="AG138" s="6">
        <f>$O$138*$AA$138</f>
        <v>642143.84632051899</v>
      </c>
    </row>
    <row r="139" spans="1:33" ht="11.25" customHeight="1" x14ac:dyDescent="0.25">
      <c r="A139" s="4" t="s">
        <v>21</v>
      </c>
      <c r="B139" s="4" t="s">
        <v>43</v>
      </c>
      <c r="C139" s="4" t="s">
        <v>44</v>
      </c>
      <c r="D139" s="4" t="s">
        <v>48</v>
      </c>
      <c r="E139" s="4" t="s">
        <v>25</v>
      </c>
      <c r="F139" s="4" t="s">
        <v>25</v>
      </c>
      <c r="G139" s="4" t="s">
        <v>25</v>
      </c>
      <c r="H139" s="4" t="s">
        <v>38</v>
      </c>
      <c r="I139" s="5">
        <v>44287</v>
      </c>
      <c r="J139" s="6">
        <v>6800</v>
      </c>
      <c r="K139" s="6">
        <v>6800</v>
      </c>
      <c r="L139" s="6">
        <v>2143.7779999999998</v>
      </c>
      <c r="M139" s="6">
        <v>2143.7779999999998</v>
      </c>
      <c r="N139" s="6">
        <v>2143.7779999999998</v>
      </c>
      <c r="O139" s="6">
        <v>2143.7779999999998</v>
      </c>
      <c r="P139" s="6">
        <v>0</v>
      </c>
      <c r="Q139" s="4" t="s">
        <v>26</v>
      </c>
      <c r="R139" s="4">
        <v>0</v>
      </c>
      <c r="S139" s="6">
        <v>2</v>
      </c>
      <c r="T139" s="6">
        <v>25</v>
      </c>
      <c r="U139" s="6">
        <v>65</v>
      </c>
      <c r="V139" s="6">
        <f>IF(ISERROR(VLOOKUP($S$139,'TAR FIN'!$A$1:$O$95,15,0)),0,VLOOKUP($S$139,'TAR FIN'!$A$1:$O$95,15,0))</f>
        <v>5.9</v>
      </c>
      <c r="W139" s="6">
        <f>IF(ISERROR(VLOOKUP($T$139,'TAR FIN'!$A$1:$O$95,15,0)),0,VLOOKUP($T$139,'TAR FIN'!$A$1:$O$95,15,0))</f>
        <v>52.77</v>
      </c>
      <c r="X139" s="6">
        <f>IF(ISERROR(VLOOKUP($U$139,'TAR FIN'!$A$1:$O$95,15,0)),0,VLOOKUP($U$139,'TAR FIN'!$A$1:$O$95,15,0))</f>
        <v>230.03</v>
      </c>
      <c r="Y139" s="6">
        <f ca="1">('TUSD BE'!$AM$6+'TUSD BF'!$AM$6+'TUSD CVA'!$AM$6)*1</f>
        <v>6.4798355258986495</v>
      </c>
      <c r="Z139" s="6">
        <f ca="1">('TUSD BE'!$AM$7+'TUSD BF'!$AM$7+'TUSD CVA'!$AM$7)*1</f>
        <v>66.362434908719237</v>
      </c>
      <c r="AA139" s="6">
        <f>('TE BE'!$AA$6+'TE BF'!$AA$6+'TE CVA'!$AA$6)*1</f>
        <v>282.91739971702214</v>
      </c>
      <c r="AB139" s="6">
        <f>$K$139*$V$139</f>
        <v>40120</v>
      </c>
      <c r="AC139" s="6">
        <f>$M$139*$W$139</f>
        <v>113127.16506</v>
      </c>
      <c r="AD139" s="6">
        <f>$O$139*$X$139</f>
        <v>493133.25333999994</v>
      </c>
      <c r="AE139" s="6">
        <f ca="1">$K$139*$Y$139</f>
        <v>44062.88157611082</v>
      </c>
      <c r="AF139" s="6">
        <f ca="1">$M$139*$Z$139</f>
        <v>142266.3279837443</v>
      </c>
      <c r="AG139" s="6">
        <f>$O$139*$AA$139</f>
        <v>606512.09733055823</v>
      </c>
    </row>
    <row r="140" spans="1:33" ht="11.25" customHeight="1" x14ac:dyDescent="0.25">
      <c r="A140" s="4" t="s">
        <v>21</v>
      </c>
      <c r="B140" s="4" t="s">
        <v>43</v>
      </c>
      <c r="C140" s="4" t="s">
        <v>44</v>
      </c>
      <c r="D140" s="4" t="s">
        <v>48</v>
      </c>
      <c r="E140" s="4" t="s">
        <v>25</v>
      </c>
      <c r="F140" s="4" t="s">
        <v>25</v>
      </c>
      <c r="G140" s="4" t="s">
        <v>25</v>
      </c>
      <c r="H140" s="4" t="s">
        <v>38</v>
      </c>
      <c r="I140" s="5">
        <v>44317</v>
      </c>
      <c r="J140" s="6">
        <v>6800</v>
      </c>
      <c r="K140" s="6">
        <v>6800</v>
      </c>
      <c r="L140" s="6">
        <v>2196.5859999999998</v>
      </c>
      <c r="M140" s="6">
        <v>2196.5859999999998</v>
      </c>
      <c r="N140" s="6">
        <v>2196.5859999999998</v>
      </c>
      <c r="O140" s="6">
        <v>2196.5859999999998</v>
      </c>
      <c r="P140" s="6">
        <v>0</v>
      </c>
      <c r="Q140" s="4" t="s">
        <v>26</v>
      </c>
      <c r="R140" s="4">
        <v>0</v>
      </c>
      <c r="S140" s="6">
        <v>2</v>
      </c>
      <c r="T140" s="6">
        <v>25</v>
      </c>
      <c r="U140" s="6">
        <v>65</v>
      </c>
      <c r="V140" s="6">
        <f>IF(ISERROR(VLOOKUP($S$140,'TAR FIN'!$A$1:$O$95,15,0)),0,VLOOKUP($S$140,'TAR FIN'!$A$1:$O$95,15,0))</f>
        <v>5.9</v>
      </c>
      <c r="W140" s="6">
        <f>IF(ISERROR(VLOOKUP($T$140,'TAR FIN'!$A$1:$O$95,15,0)),0,VLOOKUP($T$140,'TAR FIN'!$A$1:$O$95,15,0))</f>
        <v>52.77</v>
      </c>
      <c r="X140" s="6">
        <f>IF(ISERROR(VLOOKUP($U$140,'TAR FIN'!$A$1:$O$95,15,0)),0,VLOOKUP($U$140,'TAR FIN'!$A$1:$O$95,15,0))</f>
        <v>230.03</v>
      </c>
      <c r="Y140" s="6">
        <f ca="1">('TUSD BE'!$AM$6+'TUSD BF'!$AM$6+'TUSD CVA'!$AM$6)*1</f>
        <v>6.4798355258986495</v>
      </c>
      <c r="Z140" s="6">
        <f ca="1">('TUSD BE'!$AM$7+'TUSD BF'!$AM$7+'TUSD CVA'!$AM$7)*1</f>
        <v>66.362434908719237</v>
      </c>
      <c r="AA140" s="6">
        <f>('TE BE'!$AA$6+'TE BF'!$AA$6+'TE CVA'!$AA$6)*1</f>
        <v>282.91739971702214</v>
      </c>
      <c r="AB140" s="6">
        <f>$K$140*$V$140</f>
        <v>40120</v>
      </c>
      <c r="AC140" s="6">
        <f>$M$140*$W$140</f>
        <v>115913.84322</v>
      </c>
      <c r="AD140" s="6">
        <f>$O$140*$X$140</f>
        <v>505280.67757999996</v>
      </c>
      <c r="AE140" s="6">
        <f ca="1">$K$140*$Y$140</f>
        <v>44062.88157611082</v>
      </c>
      <c r="AF140" s="6">
        <f ca="1">$M$140*$Z$140</f>
        <v>145770.79544640394</v>
      </c>
      <c r="AG140" s="6">
        <f>$O$140*$AA$140</f>
        <v>621452.3993748147</v>
      </c>
    </row>
    <row r="141" spans="1:33" ht="11.25" customHeight="1" x14ac:dyDescent="0.25">
      <c r="A141" s="4" t="s">
        <v>21</v>
      </c>
      <c r="B141" s="4" t="s">
        <v>43</v>
      </c>
      <c r="C141" s="4" t="s">
        <v>44</v>
      </c>
      <c r="D141" s="4" t="s">
        <v>48</v>
      </c>
      <c r="E141" s="4" t="s">
        <v>25</v>
      </c>
      <c r="F141" s="4" t="s">
        <v>25</v>
      </c>
      <c r="G141" s="4" t="s">
        <v>25</v>
      </c>
      <c r="H141" s="4" t="s">
        <v>38</v>
      </c>
      <c r="I141" s="5">
        <v>44348</v>
      </c>
      <c r="J141" s="6">
        <v>6800</v>
      </c>
      <c r="K141" s="6">
        <v>6800</v>
      </c>
      <c r="L141" s="6">
        <v>2098.4740000000002</v>
      </c>
      <c r="M141" s="6">
        <v>2098.4740000000002</v>
      </c>
      <c r="N141" s="6">
        <v>2098.4740000000002</v>
      </c>
      <c r="O141" s="6">
        <v>2098.4740000000002</v>
      </c>
      <c r="P141" s="6">
        <v>0</v>
      </c>
      <c r="Q141" s="4" t="s">
        <v>26</v>
      </c>
      <c r="R141" s="4">
        <v>0</v>
      </c>
      <c r="S141" s="6">
        <v>2</v>
      </c>
      <c r="T141" s="6">
        <v>25</v>
      </c>
      <c r="U141" s="6">
        <v>65</v>
      </c>
      <c r="V141" s="6">
        <f>IF(ISERROR(VLOOKUP($S$141,'TAR FIN'!$A$1:$O$95,15,0)),0,VLOOKUP($S$141,'TAR FIN'!$A$1:$O$95,15,0))</f>
        <v>5.9</v>
      </c>
      <c r="W141" s="6">
        <f>IF(ISERROR(VLOOKUP($T$141,'TAR FIN'!$A$1:$O$95,15,0)),0,VLOOKUP($T$141,'TAR FIN'!$A$1:$O$95,15,0))</f>
        <v>52.77</v>
      </c>
      <c r="X141" s="6">
        <f>IF(ISERROR(VLOOKUP($U$141,'TAR FIN'!$A$1:$O$95,15,0)),0,VLOOKUP($U$141,'TAR FIN'!$A$1:$O$95,15,0))</f>
        <v>230.03</v>
      </c>
      <c r="Y141" s="6">
        <f ca="1">('TUSD BE'!$AM$6+'TUSD BF'!$AM$6+'TUSD CVA'!$AM$6)*1</f>
        <v>6.4798355258986495</v>
      </c>
      <c r="Z141" s="6">
        <f ca="1">('TUSD BE'!$AM$7+'TUSD BF'!$AM$7+'TUSD CVA'!$AM$7)*1</f>
        <v>66.362434908719237</v>
      </c>
      <c r="AA141" s="6">
        <f>('TE BE'!$AA$6+'TE BF'!$AA$6+'TE CVA'!$AA$6)*1</f>
        <v>282.91739971702214</v>
      </c>
      <c r="AB141" s="6">
        <f>$K$141*$V$141</f>
        <v>40120</v>
      </c>
      <c r="AC141" s="6">
        <f>$M$141*$W$141</f>
        <v>110736.47298000002</v>
      </c>
      <c r="AD141" s="6">
        <f>$O$141*$X$141</f>
        <v>482711.97422000003</v>
      </c>
      <c r="AE141" s="6">
        <f ca="1">$K$141*$Y$141</f>
        <v>44062.88157611082</v>
      </c>
      <c r="AF141" s="6">
        <f ca="1">$M$141*$Z$141</f>
        <v>139259.84423263971</v>
      </c>
      <c r="AG141" s="6">
        <f>$O$141*$AA$141</f>
        <v>593694.80745377834</v>
      </c>
    </row>
    <row r="142" spans="1:33" ht="11.25" customHeight="1" x14ac:dyDescent="0.25">
      <c r="A142" s="4" t="s">
        <v>21</v>
      </c>
      <c r="B142" s="4" t="s">
        <v>43</v>
      </c>
      <c r="C142" s="4" t="s">
        <v>44</v>
      </c>
      <c r="D142" s="4" t="s">
        <v>48</v>
      </c>
      <c r="E142" s="4" t="s">
        <v>25</v>
      </c>
      <c r="F142" s="4" t="s">
        <v>25</v>
      </c>
      <c r="G142" s="4" t="s">
        <v>25</v>
      </c>
      <c r="H142" s="4" t="s">
        <v>38</v>
      </c>
      <c r="I142" s="5">
        <v>44378</v>
      </c>
      <c r="J142" s="6">
        <v>6800</v>
      </c>
      <c r="K142" s="6">
        <v>6800</v>
      </c>
      <c r="L142" s="6">
        <v>2228.4499999999998</v>
      </c>
      <c r="M142" s="6">
        <v>2228.4499999999998</v>
      </c>
      <c r="N142" s="6">
        <v>2228.4499999999998</v>
      </c>
      <c r="O142" s="6">
        <v>2228.4499999999998</v>
      </c>
      <c r="P142" s="6">
        <v>0</v>
      </c>
      <c r="Q142" s="4" t="s">
        <v>26</v>
      </c>
      <c r="R142" s="4">
        <v>0</v>
      </c>
      <c r="S142" s="6">
        <v>2</v>
      </c>
      <c r="T142" s="6">
        <v>25</v>
      </c>
      <c r="U142" s="6">
        <v>65</v>
      </c>
      <c r="V142" s="6">
        <f>IF(ISERROR(VLOOKUP($S$142,'TAR FIN'!$A$1:$O$95,15,0)),0,VLOOKUP($S$142,'TAR FIN'!$A$1:$O$95,15,0))</f>
        <v>5.9</v>
      </c>
      <c r="W142" s="6">
        <f>IF(ISERROR(VLOOKUP($T$142,'TAR FIN'!$A$1:$O$95,15,0)),0,VLOOKUP($T$142,'TAR FIN'!$A$1:$O$95,15,0))</f>
        <v>52.77</v>
      </c>
      <c r="X142" s="6">
        <f>IF(ISERROR(VLOOKUP($U$142,'TAR FIN'!$A$1:$O$95,15,0)),0,VLOOKUP($U$142,'TAR FIN'!$A$1:$O$95,15,0))</f>
        <v>230.03</v>
      </c>
      <c r="Y142" s="6">
        <f ca="1">('TUSD BE'!$AM$6+'TUSD BF'!$AM$6+'TUSD CVA'!$AM$6)*1</f>
        <v>6.4798355258986495</v>
      </c>
      <c r="Z142" s="6">
        <f ca="1">('TUSD BE'!$AM$7+'TUSD BF'!$AM$7+'TUSD CVA'!$AM$7)*1</f>
        <v>66.362434908719237</v>
      </c>
      <c r="AA142" s="6">
        <f>('TE BE'!$AA$6+'TE BF'!$AA$6+'TE CVA'!$AA$6)*1</f>
        <v>282.91739971702214</v>
      </c>
      <c r="AB142" s="6">
        <f>$K$142*$V$142</f>
        <v>40120</v>
      </c>
      <c r="AC142" s="6">
        <f>$M$142*$W$142</f>
        <v>117595.30649999999</v>
      </c>
      <c r="AD142" s="6">
        <f>$O$142*$X$142</f>
        <v>512610.35349999997</v>
      </c>
      <c r="AE142" s="6">
        <f ca="1">$K$142*$Y$142</f>
        <v>44062.88157611082</v>
      </c>
      <c r="AF142" s="6">
        <f ca="1">$M$142*$Z$142</f>
        <v>147885.36807233538</v>
      </c>
      <c r="AG142" s="6">
        <f>$O$142*$AA$142</f>
        <v>630467.2793993979</v>
      </c>
    </row>
    <row r="143" spans="1:33" ht="11.25" customHeight="1" x14ac:dyDescent="0.25">
      <c r="A143" s="4" t="s">
        <v>21</v>
      </c>
      <c r="B143" s="4" t="s">
        <v>43</v>
      </c>
      <c r="C143" s="4" t="s">
        <v>44</v>
      </c>
      <c r="D143" s="4" t="s">
        <v>48</v>
      </c>
      <c r="E143" s="4" t="s">
        <v>25</v>
      </c>
      <c r="F143" s="4" t="s">
        <v>25</v>
      </c>
      <c r="G143" s="4" t="s">
        <v>25</v>
      </c>
      <c r="H143" s="4" t="s">
        <v>38</v>
      </c>
      <c r="I143" s="5">
        <v>44409</v>
      </c>
      <c r="J143" s="6">
        <v>6800</v>
      </c>
      <c r="K143" s="6">
        <v>6800</v>
      </c>
      <c r="L143" s="6">
        <v>2392.2919999999999</v>
      </c>
      <c r="M143" s="6">
        <v>2392.2919999999999</v>
      </c>
      <c r="N143" s="6">
        <v>2392.2919999999999</v>
      </c>
      <c r="O143" s="6">
        <v>2392.2919999999999</v>
      </c>
      <c r="P143" s="6">
        <v>0</v>
      </c>
      <c r="Q143" s="4" t="s">
        <v>26</v>
      </c>
      <c r="R143" s="4">
        <v>0</v>
      </c>
      <c r="S143" s="6">
        <v>2</v>
      </c>
      <c r="T143" s="6">
        <v>25</v>
      </c>
      <c r="U143" s="6">
        <v>65</v>
      </c>
      <c r="V143" s="6">
        <f>IF(ISERROR(VLOOKUP($S$143,'TAR FIN'!$A$1:$O$95,15,0)),0,VLOOKUP($S$143,'TAR FIN'!$A$1:$O$95,15,0))</f>
        <v>5.9</v>
      </c>
      <c r="W143" s="6">
        <f>IF(ISERROR(VLOOKUP($T$143,'TAR FIN'!$A$1:$O$95,15,0)),0,VLOOKUP($T$143,'TAR FIN'!$A$1:$O$95,15,0))</f>
        <v>52.77</v>
      </c>
      <c r="X143" s="6">
        <f>IF(ISERROR(VLOOKUP($U$143,'TAR FIN'!$A$1:$O$95,15,0)),0,VLOOKUP($U$143,'TAR FIN'!$A$1:$O$95,15,0))</f>
        <v>230.03</v>
      </c>
      <c r="Y143" s="6">
        <f ca="1">('TUSD BE'!$AM$6+'TUSD BF'!$AM$6+'TUSD CVA'!$AM$6)*1</f>
        <v>6.4798355258986495</v>
      </c>
      <c r="Z143" s="6">
        <f ca="1">('TUSD BE'!$AM$7+'TUSD BF'!$AM$7+'TUSD CVA'!$AM$7)*1</f>
        <v>66.362434908719237</v>
      </c>
      <c r="AA143" s="6">
        <f>('TE BE'!$AA$6+'TE BF'!$AA$6+'TE CVA'!$AA$6)*1</f>
        <v>282.91739971702214</v>
      </c>
      <c r="AB143" s="6">
        <f>$K$143*$V$143</f>
        <v>40120</v>
      </c>
      <c r="AC143" s="6">
        <f>$M$143*$W$143</f>
        <v>126241.24884</v>
      </c>
      <c r="AD143" s="6">
        <f>$O$143*$X$143</f>
        <v>550298.92876000004</v>
      </c>
      <c r="AE143" s="6">
        <f ca="1">$K$143*$Y$143</f>
        <v>44062.88157611082</v>
      </c>
      <c r="AF143" s="6">
        <f ca="1">$M$143*$Z$143</f>
        <v>158758.32213264974</v>
      </c>
      <c r="AG143" s="6">
        <f>$O$143*$AA$143</f>
        <v>676821.03200383426</v>
      </c>
    </row>
    <row r="144" spans="1:33" ht="11.25" customHeight="1" x14ac:dyDescent="0.25">
      <c r="A144" s="4" t="s">
        <v>21</v>
      </c>
      <c r="B144" s="4" t="s">
        <v>43</v>
      </c>
      <c r="C144" s="4" t="s">
        <v>44</v>
      </c>
      <c r="D144" s="4" t="s">
        <v>48</v>
      </c>
      <c r="E144" s="4" t="s">
        <v>25</v>
      </c>
      <c r="F144" s="4" t="s">
        <v>25</v>
      </c>
      <c r="G144" s="4" t="s">
        <v>25</v>
      </c>
      <c r="H144" s="4" t="s">
        <v>38</v>
      </c>
      <c r="I144" s="5">
        <v>44440</v>
      </c>
      <c r="J144" s="6">
        <v>6800</v>
      </c>
      <c r="K144" s="6">
        <v>6800</v>
      </c>
      <c r="L144" s="6">
        <v>2352.2800000000002</v>
      </c>
      <c r="M144" s="6">
        <v>2352.2800000000002</v>
      </c>
      <c r="N144" s="6">
        <v>2352.2800000000002</v>
      </c>
      <c r="O144" s="6">
        <v>2352.2800000000002</v>
      </c>
      <c r="P144" s="6">
        <v>0</v>
      </c>
      <c r="Q144" s="4" t="s">
        <v>26</v>
      </c>
      <c r="R144" s="4">
        <v>0</v>
      </c>
      <c r="S144" s="6">
        <v>2</v>
      </c>
      <c r="T144" s="6">
        <v>25</v>
      </c>
      <c r="U144" s="6">
        <v>65</v>
      </c>
      <c r="V144" s="6">
        <f>IF(ISERROR(VLOOKUP($S$144,'TAR FIN'!$A$1:$O$95,15,0)),0,VLOOKUP($S$144,'TAR FIN'!$A$1:$O$95,15,0))</f>
        <v>5.9</v>
      </c>
      <c r="W144" s="6">
        <f>IF(ISERROR(VLOOKUP($T$144,'TAR FIN'!$A$1:$O$95,15,0)),0,VLOOKUP($T$144,'TAR FIN'!$A$1:$O$95,15,0))</f>
        <v>52.77</v>
      </c>
      <c r="X144" s="6">
        <f>IF(ISERROR(VLOOKUP($U$144,'TAR FIN'!$A$1:$O$95,15,0)),0,VLOOKUP($U$144,'TAR FIN'!$A$1:$O$95,15,0))</f>
        <v>230.03</v>
      </c>
      <c r="Y144" s="6">
        <f ca="1">('TUSD BE'!$AM$6+'TUSD BF'!$AM$6+'TUSD CVA'!$AM$6)*1</f>
        <v>6.4798355258986495</v>
      </c>
      <c r="Z144" s="6">
        <f ca="1">('TUSD BE'!$AM$7+'TUSD BF'!$AM$7+'TUSD CVA'!$AM$7)*1</f>
        <v>66.362434908719237</v>
      </c>
      <c r="AA144" s="6">
        <f>('TE BE'!$AA$6+'TE BF'!$AA$6+'TE CVA'!$AA$6)*1</f>
        <v>282.91739971702214</v>
      </c>
      <c r="AB144" s="6">
        <f>$K$144*$V$144</f>
        <v>40120</v>
      </c>
      <c r="AC144" s="6">
        <f>$M$144*$W$144</f>
        <v>124129.81560000002</v>
      </c>
      <c r="AD144" s="6">
        <f>$O$144*$X$144</f>
        <v>541094.96840000001</v>
      </c>
      <c r="AE144" s="6">
        <f ca="1">$K$144*$Y$144</f>
        <v>44062.88157611082</v>
      </c>
      <c r="AF144" s="6">
        <f ca="1">$M$144*$Z$144</f>
        <v>156103.0283870821</v>
      </c>
      <c r="AG144" s="6">
        <f>$O$144*$AA$144</f>
        <v>665500.94100635685</v>
      </c>
    </row>
    <row r="145" spans="1:33" ht="11.25" customHeight="1" x14ac:dyDescent="0.25">
      <c r="A145" s="4" t="s">
        <v>59</v>
      </c>
      <c r="B145" s="4" t="s">
        <v>43</v>
      </c>
      <c r="C145" s="4" t="s">
        <v>44</v>
      </c>
      <c r="D145" s="4" t="s">
        <v>48</v>
      </c>
      <c r="E145" s="4" t="s">
        <v>25</v>
      </c>
      <c r="F145" s="4" t="s">
        <v>25</v>
      </c>
      <c r="G145" s="4" t="s">
        <v>25</v>
      </c>
      <c r="H145" s="4" t="s">
        <v>38</v>
      </c>
      <c r="I145" s="5">
        <v>44470</v>
      </c>
      <c r="J145" s="6">
        <v>6800</v>
      </c>
      <c r="K145" s="6">
        <v>6800</v>
      </c>
      <c r="L145" s="6">
        <v>2352.2800000000002</v>
      </c>
      <c r="M145" s="6">
        <v>2352.2800000000002</v>
      </c>
      <c r="N145" s="6">
        <v>2352.2800000000002</v>
      </c>
      <c r="O145" s="6">
        <v>2352.2800000000002</v>
      </c>
      <c r="P145" s="6">
        <v>0</v>
      </c>
      <c r="Q145" s="4" t="s">
        <v>26</v>
      </c>
      <c r="R145" s="4">
        <v>0</v>
      </c>
      <c r="S145" s="6">
        <v>2</v>
      </c>
      <c r="T145" s="6">
        <v>25</v>
      </c>
      <c r="U145" s="6">
        <v>65</v>
      </c>
      <c r="V145" s="6">
        <f>IF(ISERROR(VLOOKUP($S$145,'TAR FIN'!$A$1:$O$95,15,0)),0,VLOOKUP($S$145,'TAR FIN'!$A$1:$O$95,15,0))</f>
        <v>5.9</v>
      </c>
      <c r="W145" s="6">
        <f>IF(ISERROR(VLOOKUP($T$145,'TAR FIN'!$A$1:$O$95,15,0)),0,VLOOKUP($T$145,'TAR FIN'!$A$1:$O$95,15,0))</f>
        <v>52.77</v>
      </c>
      <c r="X145" s="6">
        <f>IF(ISERROR(VLOOKUP($U$145,'TAR FIN'!$A$1:$O$95,15,0)),0,VLOOKUP($U$145,'TAR FIN'!$A$1:$O$95,15,0))</f>
        <v>230.03</v>
      </c>
      <c r="Y145" s="6">
        <f ca="1">('TUSD BE'!$AM$6+'TUSD BF'!$AM$6+'TUSD CVA'!$AM$6)*1</f>
        <v>6.4798355258986495</v>
      </c>
      <c r="Z145" s="6">
        <f ca="1">('TUSD BE'!$AM$7+'TUSD BF'!$AM$7+'TUSD CVA'!$AM$7)*1</f>
        <v>66.362434908719237</v>
      </c>
      <c r="AA145" s="6">
        <f>('TE BE'!$AA$6+'TE BF'!$AA$6+'TE CVA'!$AA$6)*1</f>
        <v>282.91739971702214</v>
      </c>
      <c r="AB145" s="6">
        <f>$K$145*$V$145</f>
        <v>40120</v>
      </c>
      <c r="AC145" s="6">
        <f>$M$145*$W$145</f>
        <v>124129.81560000002</v>
      </c>
      <c r="AD145" s="6">
        <f>$O$145*$X$145</f>
        <v>541094.96840000001</v>
      </c>
      <c r="AE145" s="6">
        <f ca="1">$K$145*$Y$145</f>
        <v>44062.88157611082</v>
      </c>
      <c r="AF145" s="6">
        <f ca="1">$M$145*$Z$145</f>
        <v>156103.0283870821</v>
      </c>
      <c r="AG145" s="6">
        <f>$O$145*$AA$145</f>
        <v>665500.94100635685</v>
      </c>
    </row>
    <row r="146" spans="1:33" ht="11.25" customHeight="1" x14ac:dyDescent="0.25">
      <c r="A146" s="4" t="s">
        <v>21</v>
      </c>
      <c r="B146" s="4" t="s">
        <v>43</v>
      </c>
      <c r="C146" s="4" t="s">
        <v>44</v>
      </c>
      <c r="D146" s="4" t="s">
        <v>48</v>
      </c>
      <c r="E146" s="4" t="s">
        <v>25</v>
      </c>
      <c r="F146" s="4" t="s">
        <v>25</v>
      </c>
      <c r="G146" s="4" t="s">
        <v>25</v>
      </c>
      <c r="H146" s="4" t="s">
        <v>37</v>
      </c>
      <c r="I146" s="5">
        <v>44136</v>
      </c>
      <c r="J146" s="6">
        <v>6300</v>
      </c>
      <c r="K146" s="6">
        <v>6300</v>
      </c>
      <c r="L146" s="6">
        <v>196.82599999999999</v>
      </c>
      <c r="M146" s="6">
        <v>196.82599999999999</v>
      </c>
      <c r="N146" s="6">
        <v>196.82599999999999</v>
      </c>
      <c r="O146" s="6">
        <v>196.82599999999999</v>
      </c>
      <c r="P146" s="6">
        <v>0</v>
      </c>
      <c r="Q146" s="4" t="s">
        <v>26</v>
      </c>
      <c r="R146" s="4">
        <v>0</v>
      </c>
      <c r="S146" s="6">
        <v>1</v>
      </c>
      <c r="T146" s="6">
        <v>25</v>
      </c>
      <c r="U146" s="6">
        <v>70</v>
      </c>
      <c r="V146" s="6">
        <f>IF(ISERROR(VLOOKUP($S$146,'TAR FIN'!$A$1:$O$95,15,0)),0,VLOOKUP($S$146,'TAR FIN'!$A$1:$O$95,15,0))</f>
        <v>7.24</v>
      </c>
      <c r="W146" s="6">
        <f>IF(ISERROR(VLOOKUP($T$146,'TAR FIN'!$A$1:$O$95,15,0)),0,VLOOKUP($T$146,'TAR FIN'!$A$1:$O$95,15,0))</f>
        <v>52.77</v>
      </c>
      <c r="X146" s="6">
        <f>IF(ISERROR(VLOOKUP($U$146,'TAR FIN'!$A$1:$O$95,15,0)),0,VLOOKUP($U$146,'TAR FIN'!$A$1:$O$95,15,0))</f>
        <v>389.28</v>
      </c>
      <c r="Y146" s="6">
        <f ca="1">('TUSD BE'!$AM$5+'TUSD BF'!$AM$5+'TUSD CVA'!$AM$5)*1</f>
        <v>7.9533527807993183</v>
      </c>
      <c r="Z146" s="6">
        <f ca="1">('TUSD BE'!$AM$7+'TUSD BF'!$AM$7+'TUSD CVA'!$AM$7)*1</f>
        <v>66.362434908719237</v>
      </c>
      <c r="AA146" s="6">
        <f>('TE BE'!$AA$5+'TE BF'!$AA$5+'TE CVA'!$AA$5)*1</f>
        <v>454.3285679284046</v>
      </c>
      <c r="AB146" s="6">
        <f>$K$146*$V$146</f>
        <v>45612</v>
      </c>
      <c r="AC146" s="6">
        <f>$M$146*$W$146</f>
        <v>10386.508020000001</v>
      </c>
      <c r="AD146" s="6">
        <f>$O$146*$X$146</f>
        <v>76620.425279999996</v>
      </c>
      <c r="AE146" s="6">
        <f ca="1">$K$146*$Y$146</f>
        <v>50106.122519035707</v>
      </c>
      <c r="AF146" s="6">
        <f ca="1">$M$146*$Z$146</f>
        <v>13061.852613343572</v>
      </c>
      <c r="AG146" s="6">
        <f>$O$146*$AA$146</f>
        <v>89423.674711076164</v>
      </c>
    </row>
    <row r="147" spans="1:33" ht="11.25" customHeight="1" x14ac:dyDescent="0.25">
      <c r="A147" s="4" t="s">
        <v>21</v>
      </c>
      <c r="B147" s="4" t="s">
        <v>43</v>
      </c>
      <c r="C147" s="4" t="s">
        <v>44</v>
      </c>
      <c r="D147" s="4" t="s">
        <v>48</v>
      </c>
      <c r="E147" s="4" t="s">
        <v>25</v>
      </c>
      <c r="F147" s="4" t="s">
        <v>25</v>
      </c>
      <c r="G147" s="4" t="s">
        <v>25</v>
      </c>
      <c r="H147" s="4" t="s">
        <v>37</v>
      </c>
      <c r="I147" s="5">
        <v>44166</v>
      </c>
      <c r="J147" s="6">
        <v>6300</v>
      </c>
      <c r="K147" s="6">
        <v>6300</v>
      </c>
      <c r="L147" s="6">
        <v>215.208</v>
      </c>
      <c r="M147" s="6">
        <v>215.208</v>
      </c>
      <c r="N147" s="6">
        <v>215.208</v>
      </c>
      <c r="O147" s="6">
        <v>215.208</v>
      </c>
      <c r="P147" s="6">
        <v>0</v>
      </c>
      <c r="Q147" s="4" t="s">
        <v>26</v>
      </c>
      <c r="R147" s="4">
        <v>0</v>
      </c>
      <c r="S147" s="6">
        <v>1</v>
      </c>
      <c r="T147" s="6">
        <v>25</v>
      </c>
      <c r="U147" s="6">
        <v>70</v>
      </c>
      <c r="V147" s="6">
        <f>IF(ISERROR(VLOOKUP($S$147,'TAR FIN'!$A$1:$O$95,15,0)),0,VLOOKUP($S$147,'TAR FIN'!$A$1:$O$95,15,0))</f>
        <v>7.24</v>
      </c>
      <c r="W147" s="6">
        <f>IF(ISERROR(VLOOKUP($T$147,'TAR FIN'!$A$1:$O$95,15,0)),0,VLOOKUP($T$147,'TAR FIN'!$A$1:$O$95,15,0))</f>
        <v>52.77</v>
      </c>
      <c r="X147" s="6">
        <f>IF(ISERROR(VLOOKUP($U$147,'TAR FIN'!$A$1:$O$95,15,0)),0,VLOOKUP($U$147,'TAR FIN'!$A$1:$O$95,15,0))</f>
        <v>389.28</v>
      </c>
      <c r="Y147" s="6">
        <f ca="1">('TUSD BE'!$AM$5+'TUSD BF'!$AM$5+'TUSD CVA'!$AM$5)*1</f>
        <v>7.9533527807993183</v>
      </c>
      <c r="Z147" s="6">
        <f ca="1">('TUSD BE'!$AM$7+'TUSD BF'!$AM$7+'TUSD CVA'!$AM$7)*1</f>
        <v>66.362434908719237</v>
      </c>
      <c r="AA147" s="6">
        <f>('TE BE'!$AA$5+'TE BF'!$AA$5+'TE CVA'!$AA$5)*1</f>
        <v>454.3285679284046</v>
      </c>
      <c r="AB147" s="6">
        <f>$K$147*$V$147</f>
        <v>45612</v>
      </c>
      <c r="AC147" s="6">
        <f>$M$147*$W$147</f>
        <v>11356.526160000001</v>
      </c>
      <c r="AD147" s="6">
        <f>$O$147*$X$147</f>
        <v>83776.170239999992</v>
      </c>
      <c r="AE147" s="6">
        <f ca="1">$K$147*$Y$147</f>
        <v>50106.122519035707</v>
      </c>
      <c r="AF147" s="6">
        <f ca="1">$M$147*$Z$147</f>
        <v>14281.726891835649</v>
      </c>
      <c r="AG147" s="6">
        <f>$O$147*$AA$147</f>
        <v>97775.142446736092</v>
      </c>
    </row>
    <row r="148" spans="1:33" ht="11.25" customHeight="1" x14ac:dyDescent="0.25">
      <c r="A148" s="4" t="s">
        <v>21</v>
      </c>
      <c r="B148" s="4" t="s">
        <v>43</v>
      </c>
      <c r="C148" s="4" t="s">
        <v>44</v>
      </c>
      <c r="D148" s="4" t="s">
        <v>48</v>
      </c>
      <c r="E148" s="4" t="s">
        <v>25</v>
      </c>
      <c r="F148" s="4" t="s">
        <v>25</v>
      </c>
      <c r="G148" s="4" t="s">
        <v>25</v>
      </c>
      <c r="H148" s="4" t="s">
        <v>37</v>
      </c>
      <c r="I148" s="5">
        <v>44197</v>
      </c>
      <c r="J148" s="6">
        <v>6300</v>
      </c>
      <c r="K148" s="6">
        <v>6300</v>
      </c>
      <c r="L148" s="6">
        <v>189.78399999999999</v>
      </c>
      <c r="M148" s="6">
        <v>189.78399999999999</v>
      </c>
      <c r="N148" s="6">
        <v>189.78399999999999</v>
      </c>
      <c r="O148" s="6">
        <v>189.78399999999999</v>
      </c>
      <c r="P148" s="6">
        <v>0</v>
      </c>
      <c r="Q148" s="4" t="s">
        <v>26</v>
      </c>
      <c r="R148" s="4">
        <v>0</v>
      </c>
      <c r="S148" s="6">
        <v>1</v>
      </c>
      <c r="T148" s="6">
        <v>25</v>
      </c>
      <c r="U148" s="6">
        <v>70</v>
      </c>
      <c r="V148" s="6">
        <f>IF(ISERROR(VLOOKUP($S$148,'TAR FIN'!$A$1:$O$95,15,0)),0,VLOOKUP($S$148,'TAR FIN'!$A$1:$O$95,15,0))</f>
        <v>7.24</v>
      </c>
      <c r="W148" s="6">
        <f>IF(ISERROR(VLOOKUP($T$148,'TAR FIN'!$A$1:$O$95,15,0)),0,VLOOKUP($T$148,'TAR FIN'!$A$1:$O$95,15,0))</f>
        <v>52.77</v>
      </c>
      <c r="X148" s="6">
        <f>IF(ISERROR(VLOOKUP($U$148,'TAR FIN'!$A$1:$O$95,15,0)),0,VLOOKUP($U$148,'TAR FIN'!$A$1:$O$95,15,0))</f>
        <v>389.28</v>
      </c>
      <c r="Y148" s="6">
        <f ca="1">('TUSD BE'!$AM$5+'TUSD BF'!$AM$5+'TUSD CVA'!$AM$5)*1</f>
        <v>7.9533527807993183</v>
      </c>
      <c r="Z148" s="6">
        <f ca="1">('TUSD BE'!$AM$7+'TUSD BF'!$AM$7+'TUSD CVA'!$AM$7)*1</f>
        <v>66.362434908719237</v>
      </c>
      <c r="AA148" s="6">
        <f>('TE BE'!$AA$5+'TE BF'!$AA$5+'TE CVA'!$AA$5)*1</f>
        <v>454.3285679284046</v>
      </c>
      <c r="AB148" s="6">
        <f>$K$148*$V$148</f>
        <v>45612</v>
      </c>
      <c r="AC148" s="6">
        <f>$M$148*$W$148</f>
        <v>10014.901680000001</v>
      </c>
      <c r="AD148" s="6">
        <f>$O$148*$X$148</f>
        <v>73879.115519999992</v>
      </c>
      <c r="AE148" s="6">
        <f ca="1">$K$148*$Y$148</f>
        <v>50106.122519035707</v>
      </c>
      <c r="AF148" s="6">
        <f ca="1">$M$148*$Z$148</f>
        <v>12594.528346716372</v>
      </c>
      <c r="AG148" s="6">
        <f>$O$148*$AA$148</f>
        <v>86224.292935724341</v>
      </c>
    </row>
    <row r="149" spans="1:33" ht="11.25" customHeight="1" x14ac:dyDescent="0.25">
      <c r="A149" s="4" t="s">
        <v>21</v>
      </c>
      <c r="B149" s="4" t="s">
        <v>43</v>
      </c>
      <c r="C149" s="4" t="s">
        <v>44</v>
      </c>
      <c r="D149" s="4" t="s">
        <v>48</v>
      </c>
      <c r="E149" s="4" t="s">
        <v>25</v>
      </c>
      <c r="F149" s="4" t="s">
        <v>25</v>
      </c>
      <c r="G149" s="4" t="s">
        <v>25</v>
      </c>
      <c r="H149" s="4" t="s">
        <v>37</v>
      </c>
      <c r="I149" s="5">
        <v>44228</v>
      </c>
      <c r="J149" s="6">
        <v>6300</v>
      </c>
      <c r="K149" s="6">
        <v>6300</v>
      </c>
      <c r="L149" s="6">
        <v>184.45</v>
      </c>
      <c r="M149" s="6">
        <v>184.45</v>
      </c>
      <c r="N149" s="6">
        <v>184.45</v>
      </c>
      <c r="O149" s="6">
        <v>184.45</v>
      </c>
      <c r="P149" s="6">
        <v>0</v>
      </c>
      <c r="Q149" s="4" t="s">
        <v>26</v>
      </c>
      <c r="R149" s="4">
        <v>0</v>
      </c>
      <c r="S149" s="6">
        <v>1</v>
      </c>
      <c r="T149" s="6">
        <v>25</v>
      </c>
      <c r="U149" s="6">
        <v>70</v>
      </c>
      <c r="V149" s="6">
        <f>IF(ISERROR(VLOOKUP($S$149,'TAR FIN'!$A$1:$O$95,15,0)),0,VLOOKUP($S$149,'TAR FIN'!$A$1:$O$95,15,0))</f>
        <v>7.24</v>
      </c>
      <c r="W149" s="6">
        <f>IF(ISERROR(VLOOKUP($T$149,'TAR FIN'!$A$1:$O$95,15,0)),0,VLOOKUP($T$149,'TAR FIN'!$A$1:$O$95,15,0))</f>
        <v>52.77</v>
      </c>
      <c r="X149" s="6">
        <f>IF(ISERROR(VLOOKUP($U$149,'TAR FIN'!$A$1:$O$95,15,0)),0,VLOOKUP($U$149,'TAR FIN'!$A$1:$O$95,15,0))</f>
        <v>389.28</v>
      </c>
      <c r="Y149" s="6">
        <f ca="1">('TUSD BE'!$AM$5+'TUSD BF'!$AM$5+'TUSD CVA'!$AM$5)*1</f>
        <v>7.9533527807993183</v>
      </c>
      <c r="Z149" s="6">
        <f ca="1">('TUSD BE'!$AM$7+'TUSD BF'!$AM$7+'TUSD CVA'!$AM$7)*1</f>
        <v>66.362434908719237</v>
      </c>
      <c r="AA149" s="6">
        <f>('TE BE'!$AA$5+'TE BF'!$AA$5+'TE CVA'!$AA$5)*1</f>
        <v>454.3285679284046</v>
      </c>
      <c r="AB149" s="6">
        <f>$K$149*$V$149</f>
        <v>45612</v>
      </c>
      <c r="AC149" s="6">
        <f>$M$149*$W$149</f>
        <v>9733.4264999999996</v>
      </c>
      <c r="AD149" s="6">
        <f>$O$149*$X$149</f>
        <v>71802.695999999996</v>
      </c>
      <c r="AE149" s="6">
        <f ca="1">$K$149*$Y$149</f>
        <v>50106.122519035707</v>
      </c>
      <c r="AF149" s="6">
        <f ca="1">$M$149*$Z$149</f>
        <v>12240.551118913263</v>
      </c>
      <c r="AG149" s="6">
        <f>$O$149*$AA$149</f>
        <v>83800.904354394224</v>
      </c>
    </row>
    <row r="150" spans="1:33" ht="11.25" customHeight="1" x14ac:dyDescent="0.25">
      <c r="A150" s="4" t="s">
        <v>21</v>
      </c>
      <c r="B150" s="4" t="s">
        <v>43</v>
      </c>
      <c r="C150" s="4" t="s">
        <v>44</v>
      </c>
      <c r="D150" s="4" t="s">
        <v>48</v>
      </c>
      <c r="E150" s="4" t="s">
        <v>25</v>
      </c>
      <c r="F150" s="4" t="s">
        <v>25</v>
      </c>
      <c r="G150" s="4" t="s">
        <v>25</v>
      </c>
      <c r="H150" s="4" t="s">
        <v>37</v>
      </c>
      <c r="I150" s="5">
        <v>44256</v>
      </c>
      <c r="J150" s="6">
        <v>6300</v>
      </c>
      <c r="K150" s="6">
        <v>6300</v>
      </c>
      <c r="L150" s="6">
        <v>220.90600000000001</v>
      </c>
      <c r="M150" s="6">
        <v>220.90600000000001</v>
      </c>
      <c r="N150" s="6">
        <v>220.90600000000001</v>
      </c>
      <c r="O150" s="6">
        <v>220.90600000000001</v>
      </c>
      <c r="P150" s="6">
        <v>0</v>
      </c>
      <c r="Q150" s="4" t="s">
        <v>26</v>
      </c>
      <c r="R150" s="4">
        <v>0</v>
      </c>
      <c r="S150" s="6">
        <v>1</v>
      </c>
      <c r="T150" s="6">
        <v>25</v>
      </c>
      <c r="U150" s="6">
        <v>70</v>
      </c>
      <c r="V150" s="6">
        <f>IF(ISERROR(VLOOKUP($S$150,'TAR FIN'!$A$1:$O$95,15,0)),0,VLOOKUP($S$150,'TAR FIN'!$A$1:$O$95,15,0))</f>
        <v>7.24</v>
      </c>
      <c r="W150" s="6">
        <f>IF(ISERROR(VLOOKUP($T$150,'TAR FIN'!$A$1:$O$95,15,0)),0,VLOOKUP($T$150,'TAR FIN'!$A$1:$O$95,15,0))</f>
        <v>52.77</v>
      </c>
      <c r="X150" s="6">
        <f>IF(ISERROR(VLOOKUP($U$150,'TAR FIN'!$A$1:$O$95,15,0)),0,VLOOKUP($U$150,'TAR FIN'!$A$1:$O$95,15,0))</f>
        <v>389.28</v>
      </c>
      <c r="Y150" s="6">
        <f ca="1">('TUSD BE'!$AM$5+'TUSD BF'!$AM$5+'TUSD CVA'!$AM$5)*1</f>
        <v>7.9533527807993183</v>
      </c>
      <c r="Z150" s="6">
        <f ca="1">('TUSD BE'!$AM$7+'TUSD BF'!$AM$7+'TUSD CVA'!$AM$7)*1</f>
        <v>66.362434908719237</v>
      </c>
      <c r="AA150" s="6">
        <f>('TE BE'!$AA$5+'TE BF'!$AA$5+'TE CVA'!$AA$5)*1</f>
        <v>454.3285679284046</v>
      </c>
      <c r="AB150" s="6">
        <f>$K$150*$V$150</f>
        <v>45612</v>
      </c>
      <c r="AC150" s="6">
        <f>$M$150*$W$150</f>
        <v>11657.209620000001</v>
      </c>
      <c r="AD150" s="6">
        <f>$O$150*$X$150</f>
        <v>85994.287679999994</v>
      </c>
      <c r="AE150" s="6">
        <f ca="1">$K$150*$Y$150</f>
        <v>50106.122519035707</v>
      </c>
      <c r="AF150" s="6">
        <f ca="1">$M$150*$Z$150</f>
        <v>14659.860045945532</v>
      </c>
      <c r="AG150" s="6">
        <f>$O$150*$AA$150</f>
        <v>100363.90662679214</v>
      </c>
    </row>
    <row r="151" spans="1:33" ht="11.25" customHeight="1" x14ac:dyDescent="0.25">
      <c r="A151" s="4" t="s">
        <v>21</v>
      </c>
      <c r="B151" s="4" t="s">
        <v>43</v>
      </c>
      <c r="C151" s="4" t="s">
        <v>44</v>
      </c>
      <c r="D151" s="4" t="s">
        <v>48</v>
      </c>
      <c r="E151" s="4" t="s">
        <v>25</v>
      </c>
      <c r="F151" s="4" t="s">
        <v>25</v>
      </c>
      <c r="G151" s="4" t="s">
        <v>25</v>
      </c>
      <c r="H151" s="4" t="s">
        <v>37</v>
      </c>
      <c r="I151" s="5">
        <v>44287</v>
      </c>
      <c r="J151" s="6">
        <v>6300</v>
      </c>
      <c r="K151" s="6">
        <v>6300</v>
      </c>
      <c r="L151" s="6">
        <v>189.238</v>
      </c>
      <c r="M151" s="6">
        <v>189.238</v>
      </c>
      <c r="N151" s="6">
        <v>189.238</v>
      </c>
      <c r="O151" s="6">
        <v>189.238</v>
      </c>
      <c r="P151" s="6">
        <v>0</v>
      </c>
      <c r="Q151" s="4" t="s">
        <v>26</v>
      </c>
      <c r="R151" s="4">
        <v>0</v>
      </c>
      <c r="S151" s="6">
        <v>1</v>
      </c>
      <c r="T151" s="6">
        <v>25</v>
      </c>
      <c r="U151" s="6">
        <v>70</v>
      </c>
      <c r="V151" s="6">
        <f>IF(ISERROR(VLOOKUP($S$151,'TAR FIN'!$A$1:$O$95,15,0)),0,VLOOKUP($S$151,'TAR FIN'!$A$1:$O$95,15,0))</f>
        <v>7.24</v>
      </c>
      <c r="W151" s="6">
        <f>IF(ISERROR(VLOOKUP($T$151,'TAR FIN'!$A$1:$O$95,15,0)),0,VLOOKUP($T$151,'TAR FIN'!$A$1:$O$95,15,0))</f>
        <v>52.77</v>
      </c>
      <c r="X151" s="6">
        <f>IF(ISERROR(VLOOKUP($U$151,'TAR FIN'!$A$1:$O$95,15,0)),0,VLOOKUP($U$151,'TAR FIN'!$A$1:$O$95,15,0))</f>
        <v>389.28</v>
      </c>
      <c r="Y151" s="6">
        <f ca="1">('TUSD BE'!$AM$5+'TUSD BF'!$AM$5+'TUSD CVA'!$AM$5)*1</f>
        <v>7.9533527807993183</v>
      </c>
      <c r="Z151" s="6">
        <f ca="1">('TUSD BE'!$AM$7+'TUSD BF'!$AM$7+'TUSD CVA'!$AM$7)*1</f>
        <v>66.362434908719237</v>
      </c>
      <c r="AA151" s="6">
        <f>('TE BE'!$AA$5+'TE BF'!$AA$5+'TE CVA'!$AA$5)*1</f>
        <v>454.3285679284046</v>
      </c>
      <c r="AB151" s="6">
        <f>$K$151*$V$151</f>
        <v>45612</v>
      </c>
      <c r="AC151" s="6">
        <f>$M$151*$W$151</f>
        <v>9986.0892600000006</v>
      </c>
      <c r="AD151" s="6">
        <f>$O$151*$X$151</f>
        <v>73666.568639999998</v>
      </c>
      <c r="AE151" s="6">
        <f ca="1">$K$151*$Y$151</f>
        <v>50106.122519035707</v>
      </c>
      <c r="AF151" s="6">
        <f ca="1">$M$151*$Z$151</f>
        <v>12558.29445725621</v>
      </c>
      <c r="AG151" s="6">
        <f>$O$151*$AA$151</f>
        <v>85976.22953763543</v>
      </c>
    </row>
    <row r="152" spans="1:33" ht="11.25" customHeight="1" x14ac:dyDescent="0.25">
      <c r="A152" s="4" t="s">
        <v>21</v>
      </c>
      <c r="B152" s="4" t="s">
        <v>43</v>
      </c>
      <c r="C152" s="4" t="s">
        <v>44</v>
      </c>
      <c r="D152" s="4" t="s">
        <v>48</v>
      </c>
      <c r="E152" s="4" t="s">
        <v>25</v>
      </c>
      <c r="F152" s="4" t="s">
        <v>25</v>
      </c>
      <c r="G152" s="4" t="s">
        <v>25</v>
      </c>
      <c r="H152" s="4" t="s">
        <v>37</v>
      </c>
      <c r="I152" s="5">
        <v>44317</v>
      </c>
      <c r="J152" s="6">
        <v>6300</v>
      </c>
      <c r="K152" s="6">
        <v>6300</v>
      </c>
      <c r="L152" s="6">
        <v>194.81</v>
      </c>
      <c r="M152" s="6">
        <v>194.81</v>
      </c>
      <c r="N152" s="6">
        <v>194.81</v>
      </c>
      <c r="O152" s="6">
        <v>194.81</v>
      </c>
      <c r="P152" s="6">
        <v>0</v>
      </c>
      <c r="Q152" s="4" t="s">
        <v>26</v>
      </c>
      <c r="R152" s="4">
        <v>0</v>
      </c>
      <c r="S152" s="6">
        <v>1</v>
      </c>
      <c r="T152" s="6">
        <v>25</v>
      </c>
      <c r="U152" s="6">
        <v>70</v>
      </c>
      <c r="V152" s="6">
        <f>IF(ISERROR(VLOOKUP($S$152,'TAR FIN'!$A$1:$O$95,15,0)),0,VLOOKUP($S$152,'TAR FIN'!$A$1:$O$95,15,0))</f>
        <v>7.24</v>
      </c>
      <c r="W152" s="6">
        <f>IF(ISERROR(VLOOKUP($T$152,'TAR FIN'!$A$1:$O$95,15,0)),0,VLOOKUP($T$152,'TAR FIN'!$A$1:$O$95,15,0))</f>
        <v>52.77</v>
      </c>
      <c r="X152" s="6">
        <f>IF(ISERROR(VLOOKUP($U$152,'TAR FIN'!$A$1:$O$95,15,0)),0,VLOOKUP($U$152,'TAR FIN'!$A$1:$O$95,15,0))</f>
        <v>389.28</v>
      </c>
      <c r="Y152" s="6">
        <f ca="1">('TUSD BE'!$AM$5+'TUSD BF'!$AM$5+'TUSD CVA'!$AM$5)*1</f>
        <v>7.9533527807993183</v>
      </c>
      <c r="Z152" s="6">
        <f ca="1">('TUSD BE'!$AM$7+'TUSD BF'!$AM$7+'TUSD CVA'!$AM$7)*1</f>
        <v>66.362434908719237</v>
      </c>
      <c r="AA152" s="6">
        <f>('TE BE'!$AA$5+'TE BF'!$AA$5+'TE CVA'!$AA$5)*1</f>
        <v>454.3285679284046</v>
      </c>
      <c r="AB152" s="6">
        <f>$K$152*$V$152</f>
        <v>45612</v>
      </c>
      <c r="AC152" s="6">
        <f>$M$152*$W$152</f>
        <v>10280.1237</v>
      </c>
      <c r="AD152" s="6">
        <f>$O$152*$X$152</f>
        <v>75835.636799999993</v>
      </c>
      <c r="AE152" s="6">
        <f ca="1">$K$152*$Y$152</f>
        <v>50106.122519035707</v>
      </c>
      <c r="AF152" s="6">
        <f ca="1">$M$152*$Z$152</f>
        <v>12928.065944567596</v>
      </c>
      <c r="AG152" s="6">
        <f>$O$152*$AA$152</f>
        <v>88507.748318132493</v>
      </c>
    </row>
    <row r="153" spans="1:33" ht="11.25" customHeight="1" x14ac:dyDescent="0.25">
      <c r="A153" s="4" t="s">
        <v>21</v>
      </c>
      <c r="B153" s="4" t="s">
        <v>43</v>
      </c>
      <c r="C153" s="4" t="s">
        <v>44</v>
      </c>
      <c r="D153" s="4" t="s">
        <v>48</v>
      </c>
      <c r="E153" s="4" t="s">
        <v>25</v>
      </c>
      <c r="F153" s="4" t="s">
        <v>25</v>
      </c>
      <c r="G153" s="4" t="s">
        <v>25</v>
      </c>
      <c r="H153" s="4" t="s">
        <v>37</v>
      </c>
      <c r="I153" s="5">
        <v>44348</v>
      </c>
      <c r="J153" s="6">
        <v>6300</v>
      </c>
      <c r="K153" s="6">
        <v>6300</v>
      </c>
      <c r="L153" s="6">
        <v>191.464</v>
      </c>
      <c r="M153" s="6">
        <v>191.464</v>
      </c>
      <c r="N153" s="6">
        <v>191.464</v>
      </c>
      <c r="O153" s="6">
        <v>191.464</v>
      </c>
      <c r="P153" s="6">
        <v>0</v>
      </c>
      <c r="Q153" s="4" t="s">
        <v>26</v>
      </c>
      <c r="R153" s="4">
        <v>0</v>
      </c>
      <c r="S153" s="6">
        <v>1</v>
      </c>
      <c r="T153" s="6">
        <v>25</v>
      </c>
      <c r="U153" s="6">
        <v>70</v>
      </c>
      <c r="V153" s="6">
        <f>IF(ISERROR(VLOOKUP($S$153,'TAR FIN'!$A$1:$O$95,15,0)),0,VLOOKUP($S$153,'TAR FIN'!$A$1:$O$95,15,0))</f>
        <v>7.24</v>
      </c>
      <c r="W153" s="6">
        <f>IF(ISERROR(VLOOKUP($T$153,'TAR FIN'!$A$1:$O$95,15,0)),0,VLOOKUP($T$153,'TAR FIN'!$A$1:$O$95,15,0))</f>
        <v>52.77</v>
      </c>
      <c r="X153" s="6">
        <f>IF(ISERROR(VLOOKUP($U$153,'TAR FIN'!$A$1:$O$95,15,0)),0,VLOOKUP($U$153,'TAR FIN'!$A$1:$O$95,15,0))</f>
        <v>389.28</v>
      </c>
      <c r="Y153" s="6">
        <f ca="1">('TUSD BE'!$AM$5+'TUSD BF'!$AM$5+'TUSD CVA'!$AM$5)*1</f>
        <v>7.9533527807993183</v>
      </c>
      <c r="Z153" s="6">
        <f ca="1">('TUSD BE'!$AM$7+'TUSD BF'!$AM$7+'TUSD CVA'!$AM$7)*1</f>
        <v>66.362434908719237</v>
      </c>
      <c r="AA153" s="6">
        <f>('TE BE'!$AA$5+'TE BF'!$AA$5+'TE CVA'!$AA$5)*1</f>
        <v>454.3285679284046</v>
      </c>
      <c r="AB153" s="6">
        <f>$K$153*$V$153</f>
        <v>45612</v>
      </c>
      <c r="AC153" s="6">
        <f>$M$153*$W$153</f>
        <v>10103.55528</v>
      </c>
      <c r="AD153" s="6">
        <f>$O$153*$X$153</f>
        <v>74533.105919999987</v>
      </c>
      <c r="AE153" s="6">
        <f ca="1">$K$153*$Y$153</f>
        <v>50106.122519035707</v>
      </c>
      <c r="AF153" s="6">
        <f ca="1">$M$153*$Z$153</f>
        <v>12706.017237363019</v>
      </c>
      <c r="AG153" s="6">
        <f>$O$153*$AA$153</f>
        <v>86987.564929844055</v>
      </c>
    </row>
    <row r="154" spans="1:33" ht="11.25" customHeight="1" x14ac:dyDescent="0.25">
      <c r="A154" s="4" t="s">
        <v>21</v>
      </c>
      <c r="B154" s="4" t="s">
        <v>43</v>
      </c>
      <c r="C154" s="4" t="s">
        <v>44</v>
      </c>
      <c r="D154" s="4" t="s">
        <v>48</v>
      </c>
      <c r="E154" s="4" t="s">
        <v>25</v>
      </c>
      <c r="F154" s="4" t="s">
        <v>25</v>
      </c>
      <c r="G154" s="4" t="s">
        <v>25</v>
      </c>
      <c r="H154" s="4" t="s">
        <v>37</v>
      </c>
      <c r="I154" s="5">
        <v>44378</v>
      </c>
      <c r="J154" s="6">
        <v>6300</v>
      </c>
      <c r="K154" s="6">
        <v>6300</v>
      </c>
      <c r="L154" s="6">
        <v>204.58199999999999</v>
      </c>
      <c r="M154" s="6">
        <v>204.58199999999999</v>
      </c>
      <c r="N154" s="6">
        <v>204.58199999999999</v>
      </c>
      <c r="O154" s="6">
        <v>204.58199999999999</v>
      </c>
      <c r="P154" s="6">
        <v>0</v>
      </c>
      <c r="Q154" s="4" t="s">
        <v>26</v>
      </c>
      <c r="R154" s="4">
        <v>0</v>
      </c>
      <c r="S154" s="6">
        <v>1</v>
      </c>
      <c r="T154" s="6">
        <v>25</v>
      </c>
      <c r="U154" s="6">
        <v>70</v>
      </c>
      <c r="V154" s="6">
        <f>IF(ISERROR(VLOOKUP($S$154,'TAR FIN'!$A$1:$O$95,15,0)),0,VLOOKUP($S$154,'TAR FIN'!$A$1:$O$95,15,0))</f>
        <v>7.24</v>
      </c>
      <c r="W154" s="6">
        <f>IF(ISERROR(VLOOKUP($T$154,'TAR FIN'!$A$1:$O$95,15,0)),0,VLOOKUP($T$154,'TAR FIN'!$A$1:$O$95,15,0))</f>
        <v>52.77</v>
      </c>
      <c r="X154" s="6">
        <f>IF(ISERROR(VLOOKUP($U$154,'TAR FIN'!$A$1:$O$95,15,0)),0,VLOOKUP($U$154,'TAR FIN'!$A$1:$O$95,15,0))</f>
        <v>389.28</v>
      </c>
      <c r="Y154" s="6">
        <f ca="1">('TUSD BE'!$AM$5+'TUSD BF'!$AM$5+'TUSD CVA'!$AM$5)*1</f>
        <v>7.9533527807993183</v>
      </c>
      <c r="Z154" s="6">
        <f ca="1">('TUSD BE'!$AM$7+'TUSD BF'!$AM$7+'TUSD CVA'!$AM$7)*1</f>
        <v>66.362434908719237</v>
      </c>
      <c r="AA154" s="6">
        <f>('TE BE'!$AA$5+'TE BF'!$AA$5+'TE CVA'!$AA$5)*1</f>
        <v>454.3285679284046</v>
      </c>
      <c r="AB154" s="6">
        <f>$K$154*$V$154</f>
        <v>45612</v>
      </c>
      <c r="AC154" s="6">
        <f>$M$154*$W$154</f>
        <v>10795.79214</v>
      </c>
      <c r="AD154" s="6">
        <f>$O$154*$X$154</f>
        <v>79639.680959999998</v>
      </c>
      <c r="AE154" s="6">
        <f ca="1">$K$154*$Y$154</f>
        <v>50106.122519035707</v>
      </c>
      <c r="AF154" s="6">
        <f ca="1">$M$154*$Z$154</f>
        <v>13576.559658495598</v>
      </c>
      <c r="AG154" s="6">
        <f>$O$154*$AA$154</f>
        <v>92947.44708392887</v>
      </c>
    </row>
    <row r="155" spans="1:33" ht="11.25" customHeight="1" x14ac:dyDescent="0.25">
      <c r="A155" s="4" t="s">
        <v>21</v>
      </c>
      <c r="B155" s="4" t="s">
        <v>43</v>
      </c>
      <c r="C155" s="4" t="s">
        <v>44</v>
      </c>
      <c r="D155" s="4" t="s">
        <v>48</v>
      </c>
      <c r="E155" s="4" t="s">
        <v>25</v>
      </c>
      <c r="F155" s="4" t="s">
        <v>25</v>
      </c>
      <c r="G155" s="4" t="s">
        <v>25</v>
      </c>
      <c r="H155" s="4" t="s">
        <v>37</v>
      </c>
      <c r="I155" s="5">
        <v>44409</v>
      </c>
      <c r="J155" s="6">
        <v>6300</v>
      </c>
      <c r="K155" s="6">
        <v>6300</v>
      </c>
      <c r="L155" s="6">
        <v>220.47200000000001</v>
      </c>
      <c r="M155" s="6">
        <v>220.47200000000001</v>
      </c>
      <c r="N155" s="6">
        <v>220.47200000000001</v>
      </c>
      <c r="O155" s="6">
        <v>220.47200000000001</v>
      </c>
      <c r="P155" s="6">
        <v>0</v>
      </c>
      <c r="Q155" s="4" t="s">
        <v>26</v>
      </c>
      <c r="R155" s="4">
        <v>0</v>
      </c>
      <c r="S155" s="6">
        <v>1</v>
      </c>
      <c r="T155" s="6">
        <v>25</v>
      </c>
      <c r="U155" s="6">
        <v>70</v>
      </c>
      <c r="V155" s="6">
        <f>IF(ISERROR(VLOOKUP($S$155,'TAR FIN'!$A$1:$O$95,15,0)),0,VLOOKUP($S$155,'TAR FIN'!$A$1:$O$95,15,0))</f>
        <v>7.24</v>
      </c>
      <c r="W155" s="6">
        <f>IF(ISERROR(VLOOKUP($T$155,'TAR FIN'!$A$1:$O$95,15,0)),0,VLOOKUP($T$155,'TAR FIN'!$A$1:$O$95,15,0))</f>
        <v>52.77</v>
      </c>
      <c r="X155" s="6">
        <f>IF(ISERROR(VLOOKUP($U$155,'TAR FIN'!$A$1:$O$95,15,0)),0,VLOOKUP($U$155,'TAR FIN'!$A$1:$O$95,15,0))</f>
        <v>389.28</v>
      </c>
      <c r="Y155" s="6">
        <f ca="1">('TUSD BE'!$AM$5+'TUSD BF'!$AM$5+'TUSD CVA'!$AM$5)*1</f>
        <v>7.9533527807993183</v>
      </c>
      <c r="Z155" s="6">
        <f ca="1">('TUSD BE'!$AM$7+'TUSD BF'!$AM$7+'TUSD CVA'!$AM$7)*1</f>
        <v>66.362434908719237</v>
      </c>
      <c r="AA155" s="6">
        <f>('TE BE'!$AA$5+'TE BF'!$AA$5+'TE CVA'!$AA$5)*1</f>
        <v>454.3285679284046</v>
      </c>
      <c r="AB155" s="6">
        <f>$K$155*$V$155</f>
        <v>45612</v>
      </c>
      <c r="AC155" s="6">
        <f>$M$155*$W$155</f>
        <v>11634.30744</v>
      </c>
      <c r="AD155" s="6">
        <f>$O$155*$X$155</f>
        <v>85825.340159999992</v>
      </c>
      <c r="AE155" s="6">
        <f ca="1">$K$155*$Y$155</f>
        <v>50106.122519035707</v>
      </c>
      <c r="AF155" s="6">
        <f ca="1">$M$155*$Z$155</f>
        <v>14631.058749195148</v>
      </c>
      <c r="AG155" s="6">
        <f>$O$155*$AA$155</f>
        <v>100166.72802831122</v>
      </c>
    </row>
    <row r="156" spans="1:33" ht="11.25" customHeight="1" x14ac:dyDescent="0.25">
      <c r="A156" s="4" t="s">
        <v>21</v>
      </c>
      <c r="B156" s="4" t="s">
        <v>43</v>
      </c>
      <c r="C156" s="4" t="s">
        <v>44</v>
      </c>
      <c r="D156" s="4" t="s">
        <v>48</v>
      </c>
      <c r="E156" s="4" t="s">
        <v>25</v>
      </c>
      <c r="F156" s="4" t="s">
        <v>25</v>
      </c>
      <c r="G156" s="4" t="s">
        <v>25</v>
      </c>
      <c r="H156" s="4" t="s">
        <v>37</v>
      </c>
      <c r="I156" s="5">
        <v>44440</v>
      </c>
      <c r="J156" s="6">
        <v>6300</v>
      </c>
      <c r="K156" s="6">
        <v>6300</v>
      </c>
      <c r="L156" s="6">
        <v>209.13200000000001</v>
      </c>
      <c r="M156" s="6">
        <v>209.13200000000001</v>
      </c>
      <c r="N156" s="6">
        <v>209.13200000000001</v>
      </c>
      <c r="O156" s="6">
        <v>209.13200000000001</v>
      </c>
      <c r="P156" s="6">
        <v>0</v>
      </c>
      <c r="Q156" s="4" t="s">
        <v>26</v>
      </c>
      <c r="R156" s="4">
        <v>0</v>
      </c>
      <c r="S156" s="6">
        <v>1</v>
      </c>
      <c r="T156" s="6">
        <v>25</v>
      </c>
      <c r="U156" s="6">
        <v>70</v>
      </c>
      <c r="V156" s="6">
        <f>IF(ISERROR(VLOOKUP($S$156,'TAR FIN'!$A$1:$O$95,15,0)),0,VLOOKUP($S$156,'TAR FIN'!$A$1:$O$95,15,0))</f>
        <v>7.24</v>
      </c>
      <c r="W156" s="6">
        <f>IF(ISERROR(VLOOKUP($T$156,'TAR FIN'!$A$1:$O$95,15,0)),0,VLOOKUP($T$156,'TAR FIN'!$A$1:$O$95,15,0))</f>
        <v>52.77</v>
      </c>
      <c r="X156" s="6">
        <f>IF(ISERROR(VLOOKUP($U$156,'TAR FIN'!$A$1:$O$95,15,0)),0,VLOOKUP($U$156,'TAR FIN'!$A$1:$O$95,15,0))</f>
        <v>389.28</v>
      </c>
      <c r="Y156" s="6">
        <f ca="1">('TUSD BE'!$AM$5+'TUSD BF'!$AM$5+'TUSD CVA'!$AM$5)*1</f>
        <v>7.9533527807993183</v>
      </c>
      <c r="Z156" s="6">
        <f ca="1">('TUSD BE'!$AM$7+'TUSD BF'!$AM$7+'TUSD CVA'!$AM$7)*1</f>
        <v>66.362434908719237</v>
      </c>
      <c r="AA156" s="6">
        <f>('TE BE'!$AA$5+'TE BF'!$AA$5+'TE CVA'!$AA$5)*1</f>
        <v>454.3285679284046</v>
      </c>
      <c r="AB156" s="6">
        <f>$K$156*$V$156</f>
        <v>45612</v>
      </c>
      <c r="AC156" s="6">
        <f>$M$156*$W$156</f>
        <v>11035.895640000001</v>
      </c>
      <c r="AD156" s="6">
        <f>$O$156*$X$156</f>
        <v>81410.90496</v>
      </c>
      <c r="AE156" s="6">
        <f ca="1">$K$156*$Y$156</f>
        <v>50106.122519035707</v>
      </c>
      <c r="AF156" s="6">
        <f ca="1">$M$156*$Z$156</f>
        <v>13878.508737330272</v>
      </c>
      <c r="AG156" s="6">
        <f>$O$156*$AA$156</f>
        <v>95014.642068003115</v>
      </c>
    </row>
    <row r="157" spans="1:33" ht="11.25" customHeight="1" x14ac:dyDescent="0.25">
      <c r="A157" s="4" t="s">
        <v>59</v>
      </c>
      <c r="B157" s="4" t="s">
        <v>43</v>
      </c>
      <c r="C157" s="4" t="s">
        <v>44</v>
      </c>
      <c r="D157" s="4" t="s">
        <v>48</v>
      </c>
      <c r="E157" s="4" t="s">
        <v>25</v>
      </c>
      <c r="F157" s="4" t="s">
        <v>25</v>
      </c>
      <c r="G157" s="4" t="s">
        <v>25</v>
      </c>
      <c r="H157" s="4" t="s">
        <v>37</v>
      </c>
      <c r="I157" s="5">
        <v>44470</v>
      </c>
      <c r="J157" s="6">
        <v>6300</v>
      </c>
      <c r="K157" s="6">
        <v>6300</v>
      </c>
      <c r="L157" s="6">
        <v>209.13200000000001</v>
      </c>
      <c r="M157" s="6">
        <v>209.13200000000001</v>
      </c>
      <c r="N157" s="6">
        <v>209.13200000000001</v>
      </c>
      <c r="O157" s="6">
        <v>209.13200000000001</v>
      </c>
      <c r="P157" s="6">
        <v>0</v>
      </c>
      <c r="Q157" s="4" t="s">
        <v>26</v>
      </c>
      <c r="R157" s="4">
        <v>0</v>
      </c>
      <c r="S157" s="6">
        <v>1</v>
      </c>
      <c r="T157" s="6">
        <v>25</v>
      </c>
      <c r="U157" s="6">
        <v>70</v>
      </c>
      <c r="V157" s="6">
        <f>IF(ISERROR(VLOOKUP($S$157,'TAR FIN'!$A$1:$O$95,15,0)),0,VLOOKUP($S$157,'TAR FIN'!$A$1:$O$95,15,0))</f>
        <v>7.24</v>
      </c>
      <c r="W157" s="6">
        <f>IF(ISERROR(VLOOKUP($T$157,'TAR FIN'!$A$1:$O$95,15,0)),0,VLOOKUP($T$157,'TAR FIN'!$A$1:$O$95,15,0))</f>
        <v>52.77</v>
      </c>
      <c r="X157" s="6">
        <f>IF(ISERROR(VLOOKUP($U$157,'TAR FIN'!$A$1:$O$95,15,0)),0,VLOOKUP($U$157,'TAR FIN'!$A$1:$O$95,15,0))</f>
        <v>389.28</v>
      </c>
      <c r="Y157" s="6">
        <f ca="1">('TUSD BE'!$AM$5+'TUSD BF'!$AM$5+'TUSD CVA'!$AM$5)*1</f>
        <v>7.9533527807993183</v>
      </c>
      <c r="Z157" s="6">
        <f ca="1">('TUSD BE'!$AM$7+'TUSD BF'!$AM$7+'TUSD CVA'!$AM$7)*1</f>
        <v>66.362434908719237</v>
      </c>
      <c r="AA157" s="6">
        <f>('TE BE'!$AA$5+'TE BF'!$AA$5+'TE CVA'!$AA$5)*1</f>
        <v>454.3285679284046</v>
      </c>
      <c r="AB157" s="6">
        <f>$K$157*$V$157</f>
        <v>45612</v>
      </c>
      <c r="AC157" s="6">
        <f>$M$157*$W$157</f>
        <v>11035.895640000001</v>
      </c>
      <c r="AD157" s="6">
        <f>$O$157*$X$157</f>
        <v>81410.90496</v>
      </c>
      <c r="AE157" s="6">
        <f ca="1">$K$157*$Y$157</f>
        <v>50106.122519035707</v>
      </c>
      <c r="AF157" s="6">
        <f ca="1">$M$157*$Z$157</f>
        <v>13878.508737330272</v>
      </c>
      <c r="AG157" s="6">
        <f>$O$157*$AA$157</f>
        <v>95014.642068003115</v>
      </c>
    </row>
    <row r="158" spans="1:33" ht="11.25" customHeight="1" x14ac:dyDescent="0.25">
      <c r="A158" s="4" t="s">
        <v>21</v>
      </c>
      <c r="B158" s="4" t="s">
        <v>43</v>
      </c>
      <c r="C158" s="4" t="s">
        <v>44</v>
      </c>
      <c r="D158" s="4" t="s">
        <v>61</v>
      </c>
      <c r="E158" s="4" t="s">
        <v>53</v>
      </c>
      <c r="F158" s="4" t="s">
        <v>25</v>
      </c>
      <c r="G158" s="4" t="s">
        <v>25</v>
      </c>
      <c r="H158" s="4" t="s">
        <v>38</v>
      </c>
      <c r="I158" s="5">
        <v>44136</v>
      </c>
      <c r="J158" s="6">
        <v>15217</v>
      </c>
      <c r="K158" s="77">
        <v>15217</v>
      </c>
      <c r="L158" s="6">
        <v>0</v>
      </c>
      <c r="M158" s="77">
        <v>0</v>
      </c>
      <c r="N158" s="6">
        <v>0</v>
      </c>
      <c r="O158" s="77">
        <v>0</v>
      </c>
      <c r="P158" s="6">
        <v>0</v>
      </c>
      <c r="Q158" s="4" t="s">
        <v>60</v>
      </c>
      <c r="R158" s="4">
        <v>0</v>
      </c>
      <c r="S158" s="6">
        <v>2</v>
      </c>
      <c r="T158" s="6">
        <v>0</v>
      </c>
      <c r="U158" s="6">
        <v>0</v>
      </c>
      <c r="V158" s="77">
        <f>IF(ISERROR(VLOOKUP($S$158,'TAR FIN'!$A$1:$O$95,15,0)),0,VLOOKUP($S$158,'TAR FIN'!$A$1:$O$95,15,0))*(1-0.09)</f>
        <v>5.3690000000000007</v>
      </c>
      <c r="W158" s="77">
        <f>IF(ISERROR(VLOOKUP($T$158,'TAR FIN'!$A$1:$O$95,15,0)),0,VLOOKUP($T$158,'TAR FIN'!$A$1:$O$95,15,0))*(1-0.09)</f>
        <v>0</v>
      </c>
      <c r="X158" s="77">
        <f>IF(ISERROR(VLOOKUP($U$158,'TAR FIN'!$A$1:$O$95,15,0)),0,VLOOKUP($U$158,'TAR FIN'!$A$1:$O$95,15,0))</f>
        <v>0</v>
      </c>
      <c r="Y158" s="77">
        <f ca="1">('TUSD BE'!$AM$6+'TUSD BF'!$AM$6+'TUSD CVA'!$AM$6)*1*(1-0.06)</f>
        <v>6.0910453943447305</v>
      </c>
      <c r="Z158" s="77">
        <f ca="1">('TUSD BE'!$AM$7+'TUSD BF'!$AM$7+'TUSD CVA'!$AM$7)*1*(1-0.06)</f>
        <v>62.380688814196077</v>
      </c>
      <c r="AA158" s="77"/>
      <c r="AB158" s="6">
        <f>$K$158*$V$158</f>
        <v>81700.073000000004</v>
      </c>
      <c r="AC158" s="6">
        <f>$M$158*$W$158</f>
        <v>0</v>
      </c>
      <c r="AD158" s="6">
        <f>$O$158*$X$158</f>
        <v>0</v>
      </c>
      <c r="AE158" s="6">
        <f ca="1">$K$158*$Y$158</f>
        <v>92687.437765743758</v>
      </c>
      <c r="AF158" s="6">
        <f ca="1">$M$158*$Z$158</f>
        <v>0</v>
      </c>
      <c r="AG158" s="6">
        <f>$O$158*$AA$158</f>
        <v>0</v>
      </c>
    </row>
    <row r="159" spans="1:33" ht="11.25" customHeight="1" x14ac:dyDescent="0.25">
      <c r="A159" s="4" t="s">
        <v>21</v>
      </c>
      <c r="B159" s="4" t="s">
        <v>43</v>
      </c>
      <c r="C159" s="4" t="s">
        <v>44</v>
      </c>
      <c r="D159" s="4" t="s">
        <v>61</v>
      </c>
      <c r="E159" s="4" t="s">
        <v>53</v>
      </c>
      <c r="F159" s="4" t="s">
        <v>25</v>
      </c>
      <c r="G159" s="4" t="s">
        <v>25</v>
      </c>
      <c r="H159" s="4" t="s">
        <v>38</v>
      </c>
      <c r="I159" s="5">
        <v>44166</v>
      </c>
      <c r="J159" s="6">
        <v>15621</v>
      </c>
      <c r="K159" s="77">
        <v>15621</v>
      </c>
      <c r="L159" s="6">
        <v>0</v>
      </c>
      <c r="M159" s="77">
        <v>0</v>
      </c>
      <c r="N159" s="6">
        <v>0</v>
      </c>
      <c r="O159" s="77">
        <v>0</v>
      </c>
      <c r="P159" s="6">
        <v>0</v>
      </c>
      <c r="Q159" s="4" t="s">
        <v>60</v>
      </c>
      <c r="R159" s="4">
        <v>0</v>
      </c>
      <c r="S159" s="6">
        <v>2</v>
      </c>
      <c r="T159" s="6">
        <v>0</v>
      </c>
      <c r="U159" s="6">
        <v>0</v>
      </c>
      <c r="V159" s="77">
        <f>IF(ISERROR(VLOOKUP($S$159,'TAR FIN'!$A$1:$O$95,15,0)),0,VLOOKUP($S$159,'TAR FIN'!$A$1:$O$95,15,0))*(1-0.09)</f>
        <v>5.3690000000000007</v>
      </c>
      <c r="W159" s="77">
        <f>IF(ISERROR(VLOOKUP($T$159,'TAR FIN'!$A$1:$O$95,15,0)),0,VLOOKUP($T$159,'TAR FIN'!$A$1:$O$95,15,0))*(1-0.09)</f>
        <v>0</v>
      </c>
      <c r="X159" s="77">
        <f>IF(ISERROR(VLOOKUP($U$159,'TAR FIN'!$A$1:$O$95,15,0)),0,VLOOKUP($U$159,'TAR FIN'!$A$1:$O$95,15,0))</f>
        <v>0</v>
      </c>
      <c r="Y159" s="77">
        <f ca="1">('TUSD BE'!$AM$6+'TUSD BF'!$AM$6+'TUSD CVA'!$AM$6)*1*(1-0.06)</f>
        <v>6.0910453943447305</v>
      </c>
      <c r="Z159" s="77">
        <f ca="1">('TUSD BE'!$AM$7+'TUSD BF'!$AM$7+'TUSD CVA'!$AM$7)*1*(1-0.06)</f>
        <v>62.380688814196077</v>
      </c>
      <c r="AA159" s="77"/>
      <c r="AB159" s="6">
        <f>$K$159*$V$159</f>
        <v>83869.149000000005</v>
      </c>
      <c r="AC159" s="6">
        <f>$M$159*$W$159</f>
        <v>0</v>
      </c>
      <c r="AD159" s="6">
        <f>$O$159*$X$159</f>
        <v>0</v>
      </c>
      <c r="AE159" s="6">
        <f ca="1">$K$159*$Y$159</f>
        <v>95148.220105059037</v>
      </c>
      <c r="AF159" s="6">
        <f ca="1">$M$159*$Z$159</f>
        <v>0</v>
      </c>
      <c r="AG159" s="6">
        <f>$O$159*$AA$159</f>
        <v>0</v>
      </c>
    </row>
    <row r="160" spans="1:33" ht="11.25" customHeight="1" x14ac:dyDescent="0.25">
      <c r="A160" s="4" t="s">
        <v>21</v>
      </c>
      <c r="B160" s="4" t="s">
        <v>43</v>
      </c>
      <c r="C160" s="4" t="s">
        <v>44</v>
      </c>
      <c r="D160" s="4" t="s">
        <v>61</v>
      </c>
      <c r="E160" s="4" t="s">
        <v>53</v>
      </c>
      <c r="F160" s="4" t="s">
        <v>25</v>
      </c>
      <c r="G160" s="4" t="s">
        <v>25</v>
      </c>
      <c r="H160" s="4" t="s">
        <v>38</v>
      </c>
      <c r="I160" s="5">
        <v>44197</v>
      </c>
      <c r="J160" s="6">
        <v>14839</v>
      </c>
      <c r="K160" s="77">
        <v>14839</v>
      </c>
      <c r="L160" s="6">
        <v>0</v>
      </c>
      <c r="M160" s="77">
        <v>0</v>
      </c>
      <c r="N160" s="6">
        <v>0</v>
      </c>
      <c r="O160" s="77">
        <v>0</v>
      </c>
      <c r="P160" s="6">
        <v>0</v>
      </c>
      <c r="Q160" s="4" t="s">
        <v>60</v>
      </c>
      <c r="R160" s="4">
        <v>0</v>
      </c>
      <c r="S160" s="6">
        <v>2</v>
      </c>
      <c r="T160" s="6">
        <v>0</v>
      </c>
      <c r="U160" s="6">
        <v>0</v>
      </c>
      <c r="V160" s="77">
        <f>IF(ISERROR(VLOOKUP($S$160,'TAR FIN'!$A$1:$O$95,15,0)),0,VLOOKUP($S$160,'TAR FIN'!$A$1:$O$95,15,0))*(1-0.09)</f>
        <v>5.3690000000000007</v>
      </c>
      <c r="W160" s="77">
        <f>IF(ISERROR(VLOOKUP($T$160,'TAR FIN'!$A$1:$O$95,15,0)),0,VLOOKUP($T$160,'TAR FIN'!$A$1:$O$95,15,0))*(1-0.09)</f>
        <v>0</v>
      </c>
      <c r="X160" s="77">
        <f>IF(ISERROR(VLOOKUP($U$160,'TAR FIN'!$A$1:$O$95,15,0)),0,VLOOKUP($U$160,'TAR FIN'!$A$1:$O$95,15,0))</f>
        <v>0</v>
      </c>
      <c r="Y160" s="77">
        <f ca="1">('TUSD BE'!$AM$6+'TUSD BF'!$AM$6+'TUSD CVA'!$AM$6)*1*(1-0.06)</f>
        <v>6.0910453943447305</v>
      </c>
      <c r="Z160" s="77">
        <f ca="1">('TUSD BE'!$AM$7+'TUSD BF'!$AM$7+'TUSD CVA'!$AM$7)*1*(1-0.06)</f>
        <v>62.380688814196077</v>
      </c>
      <c r="AA160" s="77"/>
      <c r="AB160" s="6">
        <f>$K$160*$V$160</f>
        <v>79670.591000000015</v>
      </c>
      <c r="AC160" s="6">
        <f>$M$160*$W$160</f>
        <v>0</v>
      </c>
      <c r="AD160" s="6">
        <f>$O$160*$X$160</f>
        <v>0</v>
      </c>
      <c r="AE160" s="6">
        <f ca="1">$K$160*$Y$160</f>
        <v>90385.02260668145</v>
      </c>
      <c r="AF160" s="6">
        <f ca="1">$M$160*$Z$160</f>
        <v>0</v>
      </c>
      <c r="AG160" s="6">
        <f>$O$160*$AA$160</f>
        <v>0</v>
      </c>
    </row>
    <row r="161" spans="1:33" ht="11.25" customHeight="1" x14ac:dyDescent="0.25">
      <c r="A161" s="4" t="s">
        <v>21</v>
      </c>
      <c r="B161" s="4" t="s">
        <v>43</v>
      </c>
      <c r="C161" s="4" t="s">
        <v>44</v>
      </c>
      <c r="D161" s="4" t="s">
        <v>61</v>
      </c>
      <c r="E161" s="4" t="s">
        <v>53</v>
      </c>
      <c r="F161" s="4" t="s">
        <v>25</v>
      </c>
      <c r="G161" s="4" t="s">
        <v>25</v>
      </c>
      <c r="H161" s="4" t="s">
        <v>38</v>
      </c>
      <c r="I161" s="5">
        <v>44228</v>
      </c>
      <c r="J161" s="6">
        <v>14839</v>
      </c>
      <c r="K161" s="77">
        <v>14839</v>
      </c>
      <c r="L161" s="6">
        <v>0</v>
      </c>
      <c r="M161" s="77">
        <v>0</v>
      </c>
      <c r="N161" s="6">
        <v>0</v>
      </c>
      <c r="O161" s="77">
        <v>0</v>
      </c>
      <c r="P161" s="6">
        <v>0</v>
      </c>
      <c r="Q161" s="4" t="s">
        <v>60</v>
      </c>
      <c r="R161" s="4">
        <v>0</v>
      </c>
      <c r="S161" s="6">
        <v>2</v>
      </c>
      <c r="T161" s="6">
        <v>0</v>
      </c>
      <c r="U161" s="6">
        <v>0</v>
      </c>
      <c r="V161" s="77">
        <f>IF(ISERROR(VLOOKUP($S$161,'TAR FIN'!$A$1:$O$95,15,0)),0,VLOOKUP($S$161,'TAR FIN'!$A$1:$O$95,15,0))*(1-0.09)</f>
        <v>5.3690000000000007</v>
      </c>
      <c r="W161" s="77">
        <f>IF(ISERROR(VLOOKUP($T$161,'TAR FIN'!$A$1:$O$95,15,0)),0,VLOOKUP($T$161,'TAR FIN'!$A$1:$O$95,15,0))*(1-0.09)</f>
        <v>0</v>
      </c>
      <c r="X161" s="77">
        <f>IF(ISERROR(VLOOKUP($U$161,'TAR FIN'!$A$1:$O$95,15,0)),0,VLOOKUP($U$161,'TAR FIN'!$A$1:$O$95,15,0))</f>
        <v>0</v>
      </c>
      <c r="Y161" s="77">
        <f ca="1">('TUSD BE'!$AM$6+'TUSD BF'!$AM$6+'TUSD CVA'!$AM$6)*1*(1-0.06)</f>
        <v>6.0910453943447305</v>
      </c>
      <c r="Z161" s="77">
        <f ca="1">('TUSD BE'!$AM$7+'TUSD BF'!$AM$7+'TUSD CVA'!$AM$7)*1*(1-0.06)</f>
        <v>62.380688814196077</v>
      </c>
      <c r="AA161" s="77"/>
      <c r="AB161" s="6">
        <f>$K$161*$V$161</f>
        <v>79670.591000000015</v>
      </c>
      <c r="AC161" s="6">
        <f>$M$161*$W$161</f>
        <v>0</v>
      </c>
      <c r="AD161" s="6">
        <f>$O$161*$X$161</f>
        <v>0</v>
      </c>
      <c r="AE161" s="6">
        <f ca="1">$K$161*$Y$161</f>
        <v>90385.02260668145</v>
      </c>
      <c r="AF161" s="6">
        <f ca="1">$M$161*$Z$161</f>
        <v>0</v>
      </c>
      <c r="AG161" s="6">
        <f>$O$161*$AA$161</f>
        <v>0</v>
      </c>
    </row>
    <row r="162" spans="1:33" ht="11.25" customHeight="1" x14ac:dyDescent="0.25">
      <c r="A162" s="4" t="s">
        <v>21</v>
      </c>
      <c r="B162" s="4" t="s">
        <v>43</v>
      </c>
      <c r="C162" s="4" t="s">
        <v>44</v>
      </c>
      <c r="D162" s="4" t="s">
        <v>61</v>
      </c>
      <c r="E162" s="4" t="s">
        <v>53</v>
      </c>
      <c r="F162" s="4" t="s">
        <v>25</v>
      </c>
      <c r="G162" s="4" t="s">
        <v>25</v>
      </c>
      <c r="H162" s="4" t="s">
        <v>38</v>
      </c>
      <c r="I162" s="5">
        <v>44256</v>
      </c>
      <c r="J162" s="6">
        <v>14839</v>
      </c>
      <c r="K162" s="77">
        <v>14839</v>
      </c>
      <c r="L162" s="6">
        <v>0</v>
      </c>
      <c r="M162" s="77">
        <v>0</v>
      </c>
      <c r="N162" s="6">
        <v>0</v>
      </c>
      <c r="O162" s="77">
        <v>0</v>
      </c>
      <c r="P162" s="6">
        <v>0</v>
      </c>
      <c r="Q162" s="4" t="s">
        <v>60</v>
      </c>
      <c r="R162" s="4">
        <v>0</v>
      </c>
      <c r="S162" s="6">
        <v>2</v>
      </c>
      <c r="T162" s="6">
        <v>0</v>
      </c>
      <c r="U162" s="6">
        <v>0</v>
      </c>
      <c r="V162" s="77">
        <f>IF(ISERROR(VLOOKUP($S$162,'TAR FIN'!$A$1:$O$95,15,0)),0,VLOOKUP($S$162,'TAR FIN'!$A$1:$O$95,15,0))*(1-0.09)</f>
        <v>5.3690000000000007</v>
      </c>
      <c r="W162" s="77">
        <f>IF(ISERROR(VLOOKUP($T$162,'TAR FIN'!$A$1:$O$95,15,0)),0,VLOOKUP($T$162,'TAR FIN'!$A$1:$O$95,15,0))*(1-0.09)</f>
        <v>0</v>
      </c>
      <c r="X162" s="77">
        <f>IF(ISERROR(VLOOKUP($U$162,'TAR FIN'!$A$1:$O$95,15,0)),0,VLOOKUP($U$162,'TAR FIN'!$A$1:$O$95,15,0))</f>
        <v>0</v>
      </c>
      <c r="Y162" s="77">
        <f ca="1">('TUSD BE'!$AM$6+'TUSD BF'!$AM$6+'TUSD CVA'!$AM$6)*1*(1-0.06)</f>
        <v>6.0910453943447305</v>
      </c>
      <c r="Z162" s="77">
        <f ca="1">('TUSD BE'!$AM$7+'TUSD BF'!$AM$7+'TUSD CVA'!$AM$7)*1*(1-0.06)</f>
        <v>62.380688814196077</v>
      </c>
      <c r="AA162" s="77"/>
      <c r="AB162" s="6">
        <f>$K$162*$V$162</f>
        <v>79670.591000000015</v>
      </c>
      <c r="AC162" s="6">
        <f>$M$162*$W$162</f>
        <v>0</v>
      </c>
      <c r="AD162" s="6">
        <f>$O$162*$X$162</f>
        <v>0</v>
      </c>
      <c r="AE162" s="6">
        <f ca="1">$K$162*$Y$162</f>
        <v>90385.02260668145</v>
      </c>
      <c r="AF162" s="6">
        <f ca="1">$M$162*$Z$162</f>
        <v>0</v>
      </c>
      <c r="AG162" s="6">
        <f>$O$162*$AA$162</f>
        <v>0</v>
      </c>
    </row>
    <row r="163" spans="1:33" ht="11.25" customHeight="1" x14ac:dyDescent="0.25">
      <c r="A163" s="4" t="s">
        <v>21</v>
      </c>
      <c r="B163" s="4" t="s">
        <v>43</v>
      </c>
      <c r="C163" s="4" t="s">
        <v>44</v>
      </c>
      <c r="D163" s="4" t="s">
        <v>61</v>
      </c>
      <c r="E163" s="4" t="s">
        <v>53</v>
      </c>
      <c r="F163" s="4" t="s">
        <v>25</v>
      </c>
      <c r="G163" s="4" t="s">
        <v>25</v>
      </c>
      <c r="H163" s="4" t="s">
        <v>38</v>
      </c>
      <c r="I163" s="5">
        <v>44287</v>
      </c>
      <c r="J163" s="6">
        <v>14839</v>
      </c>
      <c r="K163" s="77">
        <v>14839</v>
      </c>
      <c r="L163" s="6">
        <v>0</v>
      </c>
      <c r="M163" s="77">
        <v>0</v>
      </c>
      <c r="N163" s="6">
        <v>0</v>
      </c>
      <c r="O163" s="77">
        <v>0</v>
      </c>
      <c r="P163" s="6">
        <v>0</v>
      </c>
      <c r="Q163" s="4" t="s">
        <v>60</v>
      </c>
      <c r="R163" s="4">
        <v>0</v>
      </c>
      <c r="S163" s="6">
        <v>2</v>
      </c>
      <c r="T163" s="6">
        <v>0</v>
      </c>
      <c r="U163" s="6">
        <v>0</v>
      </c>
      <c r="V163" s="77">
        <f>IF(ISERROR(VLOOKUP($S$163,'TAR FIN'!$A$1:$O$95,15,0)),0,VLOOKUP($S$163,'TAR FIN'!$A$1:$O$95,15,0))*(1-0.09)</f>
        <v>5.3690000000000007</v>
      </c>
      <c r="W163" s="77">
        <f>IF(ISERROR(VLOOKUP($T$163,'TAR FIN'!$A$1:$O$95,15,0)),0,VLOOKUP($T$163,'TAR FIN'!$A$1:$O$95,15,0))*(1-0.09)</f>
        <v>0</v>
      </c>
      <c r="X163" s="77">
        <f>IF(ISERROR(VLOOKUP($U$163,'TAR FIN'!$A$1:$O$95,15,0)),0,VLOOKUP($U$163,'TAR FIN'!$A$1:$O$95,15,0))</f>
        <v>0</v>
      </c>
      <c r="Y163" s="77">
        <f ca="1">('TUSD BE'!$AM$6+'TUSD BF'!$AM$6+'TUSD CVA'!$AM$6)*1*(1-0.06)</f>
        <v>6.0910453943447305</v>
      </c>
      <c r="Z163" s="77">
        <f ca="1">('TUSD BE'!$AM$7+'TUSD BF'!$AM$7+'TUSD CVA'!$AM$7)*1*(1-0.06)</f>
        <v>62.380688814196077</v>
      </c>
      <c r="AA163" s="77"/>
      <c r="AB163" s="6">
        <f>$K$163*$V$163</f>
        <v>79670.591000000015</v>
      </c>
      <c r="AC163" s="6">
        <f>$M$163*$W$163</f>
        <v>0</v>
      </c>
      <c r="AD163" s="6">
        <f>$O$163*$X$163</f>
        <v>0</v>
      </c>
      <c r="AE163" s="6">
        <f ca="1">$K$163*$Y$163</f>
        <v>90385.02260668145</v>
      </c>
      <c r="AF163" s="6">
        <f ca="1">$M$163*$Z$163</f>
        <v>0</v>
      </c>
      <c r="AG163" s="6">
        <f>$O$163*$AA$163</f>
        <v>0</v>
      </c>
    </row>
    <row r="164" spans="1:33" ht="11.25" customHeight="1" x14ac:dyDescent="0.25">
      <c r="A164" s="4" t="s">
        <v>21</v>
      </c>
      <c r="B164" s="4" t="s">
        <v>43</v>
      </c>
      <c r="C164" s="4" t="s">
        <v>44</v>
      </c>
      <c r="D164" s="4" t="s">
        <v>61</v>
      </c>
      <c r="E164" s="4" t="s">
        <v>53</v>
      </c>
      <c r="F164" s="4" t="s">
        <v>25</v>
      </c>
      <c r="G164" s="4" t="s">
        <v>25</v>
      </c>
      <c r="H164" s="4" t="s">
        <v>38</v>
      </c>
      <c r="I164" s="5">
        <v>44317</v>
      </c>
      <c r="J164" s="6">
        <v>14839</v>
      </c>
      <c r="K164" s="77">
        <v>14839</v>
      </c>
      <c r="L164" s="6">
        <v>0</v>
      </c>
      <c r="M164" s="77">
        <v>0</v>
      </c>
      <c r="N164" s="6">
        <v>0</v>
      </c>
      <c r="O164" s="77">
        <v>0</v>
      </c>
      <c r="P164" s="6">
        <v>0</v>
      </c>
      <c r="Q164" s="4" t="s">
        <v>60</v>
      </c>
      <c r="R164" s="4">
        <v>0</v>
      </c>
      <c r="S164" s="6">
        <v>2</v>
      </c>
      <c r="T164" s="6">
        <v>0</v>
      </c>
      <c r="U164" s="6">
        <v>0</v>
      </c>
      <c r="V164" s="77">
        <f>IF(ISERROR(VLOOKUP($S$164,'TAR FIN'!$A$1:$O$95,15,0)),0,VLOOKUP($S$164,'TAR FIN'!$A$1:$O$95,15,0))*(1-0.09)</f>
        <v>5.3690000000000007</v>
      </c>
      <c r="W164" s="77">
        <f>IF(ISERROR(VLOOKUP($T$164,'TAR FIN'!$A$1:$O$95,15,0)),0,VLOOKUP($T$164,'TAR FIN'!$A$1:$O$95,15,0))*(1-0.09)</f>
        <v>0</v>
      </c>
      <c r="X164" s="77">
        <f>IF(ISERROR(VLOOKUP($U$164,'TAR FIN'!$A$1:$O$95,15,0)),0,VLOOKUP($U$164,'TAR FIN'!$A$1:$O$95,15,0))</f>
        <v>0</v>
      </c>
      <c r="Y164" s="77">
        <f ca="1">('TUSD BE'!$AM$6+'TUSD BF'!$AM$6+'TUSD CVA'!$AM$6)*1*(1-0.06)</f>
        <v>6.0910453943447305</v>
      </c>
      <c r="Z164" s="77">
        <f ca="1">('TUSD BE'!$AM$7+'TUSD BF'!$AM$7+'TUSD CVA'!$AM$7)*1*(1-0.06)</f>
        <v>62.380688814196077</v>
      </c>
      <c r="AA164" s="77"/>
      <c r="AB164" s="6">
        <f>$K$164*$V$164</f>
        <v>79670.591000000015</v>
      </c>
      <c r="AC164" s="6">
        <f>$M$164*$W$164</f>
        <v>0</v>
      </c>
      <c r="AD164" s="6">
        <f>$O$164*$X$164</f>
        <v>0</v>
      </c>
      <c r="AE164" s="6">
        <f ca="1">$K$164*$Y$164</f>
        <v>90385.02260668145</v>
      </c>
      <c r="AF164" s="6">
        <f ca="1">$M$164*$Z$164</f>
        <v>0</v>
      </c>
      <c r="AG164" s="6">
        <f>$O$164*$AA$164</f>
        <v>0</v>
      </c>
    </row>
    <row r="165" spans="1:33" ht="11.25" customHeight="1" x14ac:dyDescent="0.25">
      <c r="A165" s="4" t="s">
        <v>21</v>
      </c>
      <c r="B165" s="4" t="s">
        <v>43</v>
      </c>
      <c r="C165" s="4" t="s">
        <v>44</v>
      </c>
      <c r="D165" s="4" t="s">
        <v>61</v>
      </c>
      <c r="E165" s="4" t="s">
        <v>53</v>
      </c>
      <c r="F165" s="4" t="s">
        <v>25</v>
      </c>
      <c r="G165" s="4" t="s">
        <v>25</v>
      </c>
      <c r="H165" s="4" t="s">
        <v>38</v>
      </c>
      <c r="I165" s="5">
        <v>44348</v>
      </c>
      <c r="J165" s="6">
        <v>14839</v>
      </c>
      <c r="K165" s="77">
        <v>14839</v>
      </c>
      <c r="L165" s="6">
        <v>0</v>
      </c>
      <c r="M165" s="77">
        <v>0</v>
      </c>
      <c r="N165" s="6">
        <v>0</v>
      </c>
      <c r="O165" s="77">
        <v>0</v>
      </c>
      <c r="P165" s="6">
        <v>0</v>
      </c>
      <c r="Q165" s="4" t="s">
        <v>60</v>
      </c>
      <c r="R165" s="4">
        <v>0</v>
      </c>
      <c r="S165" s="6">
        <v>2</v>
      </c>
      <c r="T165" s="6">
        <v>0</v>
      </c>
      <c r="U165" s="6">
        <v>0</v>
      </c>
      <c r="V165" s="77">
        <f>IF(ISERROR(VLOOKUP($S$165,'TAR FIN'!$A$1:$O$95,15,0)),0,VLOOKUP($S$165,'TAR FIN'!$A$1:$O$95,15,0))*(1-0.09)</f>
        <v>5.3690000000000007</v>
      </c>
      <c r="W165" s="77">
        <f>IF(ISERROR(VLOOKUP($T$165,'TAR FIN'!$A$1:$O$95,15,0)),0,VLOOKUP($T$165,'TAR FIN'!$A$1:$O$95,15,0))*(1-0.09)</f>
        <v>0</v>
      </c>
      <c r="X165" s="77">
        <f>IF(ISERROR(VLOOKUP($U$165,'TAR FIN'!$A$1:$O$95,15,0)),0,VLOOKUP($U$165,'TAR FIN'!$A$1:$O$95,15,0))</f>
        <v>0</v>
      </c>
      <c r="Y165" s="77">
        <f ca="1">('TUSD BE'!$AM$6+'TUSD BF'!$AM$6+'TUSD CVA'!$AM$6)*1*(1-0.06)</f>
        <v>6.0910453943447305</v>
      </c>
      <c r="Z165" s="77">
        <f ca="1">('TUSD BE'!$AM$7+'TUSD BF'!$AM$7+'TUSD CVA'!$AM$7)*1*(1-0.06)</f>
        <v>62.380688814196077</v>
      </c>
      <c r="AA165" s="77"/>
      <c r="AB165" s="6">
        <f>$K$165*$V$165</f>
        <v>79670.591000000015</v>
      </c>
      <c r="AC165" s="6">
        <f>$M$165*$W$165</f>
        <v>0</v>
      </c>
      <c r="AD165" s="6">
        <f>$O$165*$X$165</f>
        <v>0</v>
      </c>
      <c r="AE165" s="6">
        <f ca="1">$K$165*$Y$165</f>
        <v>90385.02260668145</v>
      </c>
      <c r="AF165" s="6">
        <f ca="1">$M$165*$Z$165</f>
        <v>0</v>
      </c>
      <c r="AG165" s="6">
        <f>$O$165*$AA$165</f>
        <v>0</v>
      </c>
    </row>
    <row r="166" spans="1:33" ht="11.25" customHeight="1" x14ac:dyDescent="0.25">
      <c r="A166" s="4" t="s">
        <v>21</v>
      </c>
      <c r="B166" s="4" t="s">
        <v>43</v>
      </c>
      <c r="C166" s="4" t="s">
        <v>44</v>
      </c>
      <c r="D166" s="4" t="s">
        <v>61</v>
      </c>
      <c r="E166" s="4" t="s">
        <v>53</v>
      </c>
      <c r="F166" s="4" t="s">
        <v>25</v>
      </c>
      <c r="G166" s="4" t="s">
        <v>25</v>
      </c>
      <c r="H166" s="4" t="s">
        <v>38</v>
      </c>
      <c r="I166" s="5">
        <v>44378</v>
      </c>
      <c r="J166" s="6">
        <v>14839</v>
      </c>
      <c r="K166" s="77">
        <v>14839</v>
      </c>
      <c r="L166" s="6">
        <v>0</v>
      </c>
      <c r="M166" s="77">
        <v>0</v>
      </c>
      <c r="N166" s="6">
        <v>0</v>
      </c>
      <c r="O166" s="77">
        <v>0</v>
      </c>
      <c r="P166" s="6">
        <v>0</v>
      </c>
      <c r="Q166" s="4" t="s">
        <v>60</v>
      </c>
      <c r="R166" s="4">
        <v>0</v>
      </c>
      <c r="S166" s="6">
        <v>2</v>
      </c>
      <c r="T166" s="6">
        <v>0</v>
      </c>
      <c r="U166" s="6">
        <v>0</v>
      </c>
      <c r="V166" s="77">
        <f>IF(ISERROR(VLOOKUP($S$166,'TAR FIN'!$A$1:$O$95,15,0)),0,VLOOKUP($S$166,'TAR FIN'!$A$1:$O$95,15,0))*(1-0.09)</f>
        <v>5.3690000000000007</v>
      </c>
      <c r="W166" s="77">
        <f>IF(ISERROR(VLOOKUP($T$166,'TAR FIN'!$A$1:$O$95,15,0)),0,VLOOKUP($T$166,'TAR FIN'!$A$1:$O$95,15,0))*(1-0.09)</f>
        <v>0</v>
      </c>
      <c r="X166" s="77">
        <f>IF(ISERROR(VLOOKUP($U$166,'TAR FIN'!$A$1:$O$95,15,0)),0,VLOOKUP($U$166,'TAR FIN'!$A$1:$O$95,15,0))</f>
        <v>0</v>
      </c>
      <c r="Y166" s="77">
        <f ca="1">('TUSD BE'!$AM$6+'TUSD BF'!$AM$6+'TUSD CVA'!$AM$6)*1*(1-0.06)</f>
        <v>6.0910453943447305</v>
      </c>
      <c r="Z166" s="77">
        <f ca="1">('TUSD BE'!$AM$7+'TUSD BF'!$AM$7+'TUSD CVA'!$AM$7)*1*(1-0.06)</f>
        <v>62.380688814196077</v>
      </c>
      <c r="AA166" s="77"/>
      <c r="AB166" s="6">
        <f>$K$166*$V$166</f>
        <v>79670.591000000015</v>
      </c>
      <c r="AC166" s="6">
        <f>$M$166*$W$166</f>
        <v>0</v>
      </c>
      <c r="AD166" s="6">
        <f>$O$166*$X$166</f>
        <v>0</v>
      </c>
      <c r="AE166" s="6">
        <f ca="1">$K$166*$Y$166</f>
        <v>90385.02260668145</v>
      </c>
      <c r="AF166" s="6">
        <f ca="1">$M$166*$Z$166</f>
        <v>0</v>
      </c>
      <c r="AG166" s="6">
        <f>$O$166*$AA$166</f>
        <v>0</v>
      </c>
    </row>
    <row r="167" spans="1:33" ht="11.25" customHeight="1" x14ac:dyDescent="0.25">
      <c r="A167" s="4" t="s">
        <v>21</v>
      </c>
      <c r="B167" s="4" t="s">
        <v>43</v>
      </c>
      <c r="C167" s="4" t="s">
        <v>44</v>
      </c>
      <c r="D167" s="4" t="s">
        <v>61</v>
      </c>
      <c r="E167" s="4" t="s">
        <v>53</v>
      </c>
      <c r="F167" s="4" t="s">
        <v>25</v>
      </c>
      <c r="G167" s="4" t="s">
        <v>25</v>
      </c>
      <c r="H167" s="4" t="s">
        <v>38</v>
      </c>
      <c r="I167" s="5">
        <v>44409</v>
      </c>
      <c r="J167" s="6">
        <v>14839</v>
      </c>
      <c r="K167" s="77">
        <v>14839</v>
      </c>
      <c r="L167" s="6">
        <v>0</v>
      </c>
      <c r="M167" s="77">
        <v>0</v>
      </c>
      <c r="N167" s="6">
        <v>0</v>
      </c>
      <c r="O167" s="77">
        <v>0</v>
      </c>
      <c r="P167" s="6">
        <v>0</v>
      </c>
      <c r="Q167" s="4" t="s">
        <v>60</v>
      </c>
      <c r="R167" s="4">
        <v>0</v>
      </c>
      <c r="S167" s="6">
        <v>2</v>
      </c>
      <c r="T167" s="6">
        <v>0</v>
      </c>
      <c r="U167" s="6">
        <v>0</v>
      </c>
      <c r="V167" s="77">
        <f>IF(ISERROR(VLOOKUP($S$167,'TAR FIN'!$A$1:$O$95,15,0)),0,VLOOKUP($S$167,'TAR FIN'!$A$1:$O$95,15,0))*(1-0.09)</f>
        <v>5.3690000000000007</v>
      </c>
      <c r="W167" s="77">
        <f>IF(ISERROR(VLOOKUP($T$167,'TAR FIN'!$A$1:$O$95,15,0)),0,VLOOKUP($T$167,'TAR FIN'!$A$1:$O$95,15,0))*(1-0.09)</f>
        <v>0</v>
      </c>
      <c r="X167" s="77">
        <f>IF(ISERROR(VLOOKUP($U$167,'TAR FIN'!$A$1:$O$95,15,0)),0,VLOOKUP($U$167,'TAR FIN'!$A$1:$O$95,15,0))</f>
        <v>0</v>
      </c>
      <c r="Y167" s="77">
        <f ca="1">('TUSD BE'!$AM$6+'TUSD BF'!$AM$6+'TUSD CVA'!$AM$6)*1*(1-0.06)</f>
        <v>6.0910453943447305</v>
      </c>
      <c r="Z167" s="77">
        <f ca="1">('TUSD BE'!$AM$7+'TUSD BF'!$AM$7+'TUSD CVA'!$AM$7)*1*(1-0.06)</f>
        <v>62.380688814196077</v>
      </c>
      <c r="AA167" s="77"/>
      <c r="AB167" s="6">
        <f>$K$167*$V$167</f>
        <v>79670.591000000015</v>
      </c>
      <c r="AC167" s="6">
        <f>$M$167*$W$167</f>
        <v>0</v>
      </c>
      <c r="AD167" s="6">
        <f>$O$167*$X$167</f>
        <v>0</v>
      </c>
      <c r="AE167" s="6">
        <f ca="1">$K$167*$Y$167</f>
        <v>90385.02260668145</v>
      </c>
      <c r="AF167" s="6">
        <f ca="1">$M$167*$Z$167</f>
        <v>0</v>
      </c>
      <c r="AG167" s="6">
        <f>$O$167*$AA$167</f>
        <v>0</v>
      </c>
    </row>
    <row r="168" spans="1:33" ht="11.25" customHeight="1" x14ac:dyDescent="0.25">
      <c r="A168" s="4" t="s">
        <v>21</v>
      </c>
      <c r="B168" s="4" t="s">
        <v>43</v>
      </c>
      <c r="C168" s="4" t="s">
        <v>44</v>
      </c>
      <c r="D168" s="4" t="s">
        <v>61</v>
      </c>
      <c r="E168" s="4" t="s">
        <v>53</v>
      </c>
      <c r="F168" s="4" t="s">
        <v>25</v>
      </c>
      <c r="G168" s="4" t="s">
        <v>25</v>
      </c>
      <c r="H168" s="4" t="s">
        <v>38</v>
      </c>
      <c r="I168" s="5">
        <v>44440</v>
      </c>
      <c r="J168" s="6">
        <v>14839</v>
      </c>
      <c r="K168" s="77">
        <v>14839</v>
      </c>
      <c r="L168" s="6">
        <v>0</v>
      </c>
      <c r="M168" s="77">
        <v>0</v>
      </c>
      <c r="N168" s="6">
        <v>0</v>
      </c>
      <c r="O168" s="77">
        <v>0</v>
      </c>
      <c r="P168" s="6">
        <v>0</v>
      </c>
      <c r="Q168" s="4" t="s">
        <v>60</v>
      </c>
      <c r="R168" s="4">
        <v>0</v>
      </c>
      <c r="S168" s="6">
        <v>2</v>
      </c>
      <c r="T168" s="6">
        <v>0</v>
      </c>
      <c r="U168" s="6">
        <v>0</v>
      </c>
      <c r="V168" s="77">
        <f>IF(ISERROR(VLOOKUP($S$168,'TAR FIN'!$A$1:$O$95,15,0)),0,VLOOKUP($S$168,'TAR FIN'!$A$1:$O$95,15,0))*(1-0.09)</f>
        <v>5.3690000000000007</v>
      </c>
      <c r="W168" s="77">
        <f>IF(ISERROR(VLOOKUP($T$168,'TAR FIN'!$A$1:$O$95,15,0)),0,VLOOKUP($T$168,'TAR FIN'!$A$1:$O$95,15,0))*(1-0.09)</f>
        <v>0</v>
      </c>
      <c r="X168" s="77">
        <f>IF(ISERROR(VLOOKUP($U$168,'TAR FIN'!$A$1:$O$95,15,0)),0,VLOOKUP($U$168,'TAR FIN'!$A$1:$O$95,15,0))</f>
        <v>0</v>
      </c>
      <c r="Y168" s="77">
        <f ca="1">('TUSD BE'!$AM$6+'TUSD BF'!$AM$6+'TUSD CVA'!$AM$6)*1*(1-0.06)</f>
        <v>6.0910453943447305</v>
      </c>
      <c r="Z168" s="77">
        <f ca="1">('TUSD BE'!$AM$7+'TUSD BF'!$AM$7+'TUSD CVA'!$AM$7)*1*(1-0.06)</f>
        <v>62.380688814196077</v>
      </c>
      <c r="AA168" s="77"/>
      <c r="AB168" s="6">
        <f>$K$168*$V$168</f>
        <v>79670.591000000015</v>
      </c>
      <c r="AC168" s="6">
        <f>$M$168*$W$168</f>
        <v>0</v>
      </c>
      <c r="AD168" s="6">
        <f>$O$168*$X$168</f>
        <v>0</v>
      </c>
      <c r="AE168" s="6">
        <f ca="1">$K$168*$Y$168</f>
        <v>90385.02260668145</v>
      </c>
      <c r="AF168" s="6">
        <f ca="1">$M$168*$Z$168</f>
        <v>0</v>
      </c>
      <c r="AG168" s="6">
        <f>$O$168*$AA$168</f>
        <v>0</v>
      </c>
    </row>
    <row r="169" spans="1:33" ht="11.25" customHeight="1" x14ac:dyDescent="0.25">
      <c r="A169" s="4" t="s">
        <v>59</v>
      </c>
      <c r="B169" s="4" t="s">
        <v>43</v>
      </c>
      <c r="C169" s="4" t="s">
        <v>44</v>
      </c>
      <c r="D169" s="4" t="s">
        <v>61</v>
      </c>
      <c r="E169" s="4" t="s">
        <v>53</v>
      </c>
      <c r="F169" s="4" t="s">
        <v>25</v>
      </c>
      <c r="G169" s="4" t="s">
        <v>25</v>
      </c>
      <c r="H169" s="4" t="s">
        <v>38</v>
      </c>
      <c r="I169" s="5">
        <v>44470</v>
      </c>
      <c r="J169" s="6">
        <v>14839</v>
      </c>
      <c r="K169" s="77">
        <v>14839</v>
      </c>
      <c r="L169" s="6">
        <v>0</v>
      </c>
      <c r="M169" s="77">
        <v>0</v>
      </c>
      <c r="N169" s="6">
        <v>0</v>
      </c>
      <c r="O169" s="77">
        <v>0</v>
      </c>
      <c r="P169" s="6">
        <v>0</v>
      </c>
      <c r="Q169" s="4" t="s">
        <v>60</v>
      </c>
      <c r="R169" s="4">
        <v>0</v>
      </c>
      <c r="S169" s="6">
        <v>2</v>
      </c>
      <c r="T169" s="6">
        <v>0</v>
      </c>
      <c r="U169" s="6">
        <v>0</v>
      </c>
      <c r="V169" s="77">
        <f>IF(ISERROR(VLOOKUP($S$169,'TAR FIN'!$A$1:$O$95,15,0)),0,VLOOKUP($S$169,'TAR FIN'!$A$1:$O$95,15,0))*(1-0.09)</f>
        <v>5.3690000000000007</v>
      </c>
      <c r="W169" s="77">
        <f>IF(ISERROR(VLOOKUP($T$169,'TAR FIN'!$A$1:$O$95,15,0)),0,VLOOKUP($T$169,'TAR FIN'!$A$1:$O$95,15,0))*(1-0.09)</f>
        <v>0</v>
      </c>
      <c r="X169" s="77">
        <f>IF(ISERROR(VLOOKUP($U$169,'TAR FIN'!$A$1:$O$95,15,0)),0,VLOOKUP($U$169,'TAR FIN'!$A$1:$O$95,15,0))</f>
        <v>0</v>
      </c>
      <c r="Y169" s="77">
        <f ca="1">('TUSD BE'!$AM$6+'TUSD BF'!$AM$6+'TUSD CVA'!$AM$6)*1*(1-0.06)</f>
        <v>6.0910453943447305</v>
      </c>
      <c r="Z169" s="77">
        <f ca="1">('TUSD BE'!$AM$7+'TUSD BF'!$AM$7+'TUSD CVA'!$AM$7)*1*(1-0.06)</f>
        <v>62.380688814196077</v>
      </c>
      <c r="AA169" s="77"/>
      <c r="AB169" s="6">
        <f>$K$169*$V$169</f>
        <v>79670.591000000015</v>
      </c>
      <c r="AC169" s="6">
        <f>$M$169*$W$169</f>
        <v>0</v>
      </c>
      <c r="AD169" s="6">
        <f>$O$169*$X$169</f>
        <v>0</v>
      </c>
      <c r="AE169" s="6">
        <f ca="1">$K$169*$Y$169</f>
        <v>90385.02260668145</v>
      </c>
      <c r="AF169" s="6">
        <f ca="1">$M$169*$Z$169</f>
        <v>0</v>
      </c>
      <c r="AG169" s="6">
        <f>$O$169*$AA$169</f>
        <v>0</v>
      </c>
    </row>
    <row r="170" spans="1:33" ht="11.25" customHeight="1" x14ac:dyDescent="0.25">
      <c r="A170" s="4" t="s">
        <v>21</v>
      </c>
      <c r="B170" s="4" t="s">
        <v>43</v>
      </c>
      <c r="C170" s="4" t="s">
        <v>44</v>
      </c>
      <c r="D170" s="4" t="s">
        <v>61</v>
      </c>
      <c r="E170" s="4" t="s">
        <v>53</v>
      </c>
      <c r="F170" s="4" t="s">
        <v>25</v>
      </c>
      <c r="G170" s="4" t="s">
        <v>25</v>
      </c>
      <c r="H170" s="4" t="s">
        <v>25</v>
      </c>
      <c r="I170" s="5">
        <v>44136</v>
      </c>
      <c r="J170" s="6">
        <v>0</v>
      </c>
      <c r="K170" s="77">
        <v>0</v>
      </c>
      <c r="L170" s="6">
        <v>9891.32</v>
      </c>
      <c r="M170" s="77">
        <v>9891.32</v>
      </c>
      <c r="N170" s="6">
        <v>0</v>
      </c>
      <c r="O170" s="77">
        <v>0</v>
      </c>
      <c r="P170" s="6">
        <v>2</v>
      </c>
      <c r="Q170" s="4" t="s">
        <v>60</v>
      </c>
      <c r="R170" s="4">
        <v>0</v>
      </c>
      <c r="S170" s="6">
        <v>0</v>
      </c>
      <c r="T170" s="6">
        <v>25</v>
      </c>
      <c r="U170" s="6">
        <v>0</v>
      </c>
      <c r="V170" s="77">
        <f>IF(ISERROR(VLOOKUP($S$170,'TAR FIN'!$A$1:$O$95,15,0)),0,VLOOKUP($S$170,'TAR FIN'!$A$1:$O$95,15,0))</f>
        <v>0</v>
      </c>
      <c r="W170" s="77">
        <f>IF(ISERROR(VLOOKUP($T$170,'TAR FIN'!$A$1:$O$95,15,0)),0,VLOOKUP($T$170,'TAR FIN'!$A$1:$O$95,15,0))*(1-0.09)</f>
        <v>48.020700000000005</v>
      </c>
      <c r="X170" s="77">
        <f>IF(ISERROR(VLOOKUP($U$170,'TAR FIN'!$A$1:$O$95,15,0)),0,VLOOKUP($U$170,'TAR FIN'!$A$1:$O$95,15,0))</f>
        <v>0</v>
      </c>
      <c r="Y170" s="77"/>
      <c r="Z170" s="77">
        <f ca="1">('TUSD BE'!$AM$7+'TUSD BF'!$AM$7+'TUSD CVA'!$AM$7)*1*(1-0.06)</f>
        <v>62.380688814196077</v>
      </c>
      <c r="AA170" s="77"/>
      <c r="AB170" s="6">
        <f>$K$170*$V$170</f>
        <v>0</v>
      </c>
      <c r="AC170" s="6">
        <f>$M$170*$W$170</f>
        <v>474988.11032400001</v>
      </c>
      <c r="AD170" s="6">
        <f>$O$170*$X$170</f>
        <v>0</v>
      </c>
      <c r="AE170" s="6">
        <f>$K$170*$Y$170</f>
        <v>0</v>
      </c>
      <c r="AF170" s="6">
        <f ca="1">$M$170*$Z$170</f>
        <v>617027.35488163389</v>
      </c>
      <c r="AG170" s="6">
        <f>$O$170*$AA$170</f>
        <v>0</v>
      </c>
    </row>
    <row r="171" spans="1:33" ht="11.25" customHeight="1" x14ac:dyDescent="0.25">
      <c r="A171" s="4" t="s">
        <v>21</v>
      </c>
      <c r="B171" s="4" t="s">
        <v>43</v>
      </c>
      <c r="C171" s="4" t="s">
        <v>44</v>
      </c>
      <c r="D171" s="4" t="s">
        <v>61</v>
      </c>
      <c r="E171" s="4" t="s">
        <v>53</v>
      </c>
      <c r="F171" s="4" t="s">
        <v>25</v>
      </c>
      <c r="G171" s="4" t="s">
        <v>25</v>
      </c>
      <c r="H171" s="4" t="s">
        <v>25</v>
      </c>
      <c r="I171" s="5">
        <v>44166</v>
      </c>
      <c r="J171" s="6">
        <v>0</v>
      </c>
      <c r="K171" s="77">
        <v>0</v>
      </c>
      <c r="L171" s="6">
        <v>10165.280000000001</v>
      </c>
      <c r="M171" s="77">
        <v>10165.280000000001</v>
      </c>
      <c r="N171" s="6">
        <v>0</v>
      </c>
      <c r="O171" s="77">
        <v>0</v>
      </c>
      <c r="P171" s="6">
        <v>2</v>
      </c>
      <c r="Q171" s="4" t="s">
        <v>60</v>
      </c>
      <c r="R171" s="4">
        <v>0</v>
      </c>
      <c r="S171" s="6">
        <v>0</v>
      </c>
      <c r="T171" s="6">
        <v>25</v>
      </c>
      <c r="U171" s="6">
        <v>0</v>
      </c>
      <c r="V171" s="77">
        <f>IF(ISERROR(VLOOKUP($S$171,'TAR FIN'!$A$1:$O$95,15,0)),0,VLOOKUP($S$171,'TAR FIN'!$A$1:$O$95,15,0))</f>
        <v>0</v>
      </c>
      <c r="W171" s="77">
        <f>IF(ISERROR(VLOOKUP($T$171,'TAR FIN'!$A$1:$O$95,15,0)),0,VLOOKUP($T$171,'TAR FIN'!$A$1:$O$95,15,0))*(1-0.09)</f>
        <v>48.020700000000005</v>
      </c>
      <c r="X171" s="77">
        <f>IF(ISERROR(VLOOKUP($U$171,'TAR FIN'!$A$1:$O$95,15,0)),0,VLOOKUP($U$171,'TAR FIN'!$A$1:$O$95,15,0))</f>
        <v>0</v>
      </c>
      <c r="Y171" s="77"/>
      <c r="Z171" s="77">
        <f ca="1">('TUSD BE'!$AM$7+'TUSD BF'!$AM$7+'TUSD CVA'!$AM$7)*1*(1-0.06)</f>
        <v>62.380688814196077</v>
      </c>
      <c r="AA171" s="77"/>
      <c r="AB171" s="6">
        <f>$K$171*$V$171</f>
        <v>0</v>
      </c>
      <c r="AC171" s="6">
        <f>$M$171*$W$171</f>
        <v>488143.86129600008</v>
      </c>
      <c r="AD171" s="6">
        <f>$O$171*$X$171</f>
        <v>0</v>
      </c>
      <c r="AE171" s="6">
        <f>$K$171*$Y$171</f>
        <v>0</v>
      </c>
      <c r="AF171" s="6">
        <f ca="1">$M$171*$Z$171</f>
        <v>634117.16838917113</v>
      </c>
      <c r="AG171" s="6">
        <f>$O$171*$AA$171</f>
        <v>0</v>
      </c>
    </row>
    <row r="172" spans="1:33" ht="11.25" customHeight="1" x14ac:dyDescent="0.25">
      <c r="A172" s="4" t="s">
        <v>21</v>
      </c>
      <c r="B172" s="4" t="s">
        <v>43</v>
      </c>
      <c r="C172" s="4" t="s">
        <v>44</v>
      </c>
      <c r="D172" s="4" t="s">
        <v>61</v>
      </c>
      <c r="E172" s="4" t="s">
        <v>53</v>
      </c>
      <c r="F172" s="4" t="s">
        <v>25</v>
      </c>
      <c r="G172" s="4" t="s">
        <v>25</v>
      </c>
      <c r="H172" s="4" t="s">
        <v>25</v>
      </c>
      <c r="I172" s="5">
        <v>44197</v>
      </c>
      <c r="J172" s="6">
        <v>0</v>
      </c>
      <c r="K172" s="77">
        <v>0</v>
      </c>
      <c r="L172" s="6">
        <v>9394.52</v>
      </c>
      <c r="M172" s="77">
        <v>9394.52</v>
      </c>
      <c r="N172" s="6">
        <v>0</v>
      </c>
      <c r="O172" s="77">
        <v>0</v>
      </c>
      <c r="P172" s="6">
        <v>2</v>
      </c>
      <c r="Q172" s="4" t="s">
        <v>60</v>
      </c>
      <c r="R172" s="4">
        <v>0</v>
      </c>
      <c r="S172" s="6">
        <v>0</v>
      </c>
      <c r="T172" s="6">
        <v>25</v>
      </c>
      <c r="U172" s="6">
        <v>0</v>
      </c>
      <c r="V172" s="77">
        <f>IF(ISERROR(VLOOKUP($S$172,'TAR FIN'!$A$1:$O$95,15,0)),0,VLOOKUP($S$172,'TAR FIN'!$A$1:$O$95,15,0))</f>
        <v>0</v>
      </c>
      <c r="W172" s="77">
        <f>IF(ISERROR(VLOOKUP($T$172,'TAR FIN'!$A$1:$O$95,15,0)),0,VLOOKUP($T$172,'TAR FIN'!$A$1:$O$95,15,0))*(1-0.09)</f>
        <v>48.020700000000005</v>
      </c>
      <c r="X172" s="77">
        <f>IF(ISERROR(VLOOKUP($U$172,'TAR FIN'!$A$1:$O$95,15,0)),0,VLOOKUP($U$172,'TAR FIN'!$A$1:$O$95,15,0))</f>
        <v>0</v>
      </c>
      <c r="Y172" s="77"/>
      <c r="Z172" s="77">
        <f ca="1">('TUSD BE'!$AM$7+'TUSD BF'!$AM$7+'TUSD CVA'!$AM$7)*1*(1-0.06)</f>
        <v>62.380688814196077</v>
      </c>
      <c r="AA172" s="77"/>
      <c r="AB172" s="6">
        <f>$K$172*$V$172</f>
        <v>0</v>
      </c>
      <c r="AC172" s="6">
        <f>$M$172*$W$172</f>
        <v>451131.42656400008</v>
      </c>
      <c r="AD172" s="6">
        <f>$O$172*$X$172</f>
        <v>0</v>
      </c>
      <c r="AE172" s="6">
        <f>$K$172*$Y$172</f>
        <v>0</v>
      </c>
      <c r="AF172" s="6">
        <f ca="1">$M$172*$Z$172</f>
        <v>586036.6286787414</v>
      </c>
      <c r="AG172" s="6">
        <f>$O$172*$AA$172</f>
        <v>0</v>
      </c>
    </row>
    <row r="173" spans="1:33" ht="11.25" customHeight="1" x14ac:dyDescent="0.25">
      <c r="A173" s="4" t="s">
        <v>21</v>
      </c>
      <c r="B173" s="4" t="s">
        <v>43</v>
      </c>
      <c r="C173" s="4" t="s">
        <v>44</v>
      </c>
      <c r="D173" s="4" t="s">
        <v>61</v>
      </c>
      <c r="E173" s="4" t="s">
        <v>53</v>
      </c>
      <c r="F173" s="4" t="s">
        <v>25</v>
      </c>
      <c r="G173" s="4" t="s">
        <v>25</v>
      </c>
      <c r="H173" s="4" t="s">
        <v>25</v>
      </c>
      <c r="I173" s="5">
        <v>44228</v>
      </c>
      <c r="J173" s="6">
        <v>0</v>
      </c>
      <c r="K173" s="77">
        <v>0</v>
      </c>
      <c r="L173" s="6">
        <v>8105</v>
      </c>
      <c r="M173" s="77">
        <v>8105</v>
      </c>
      <c r="N173" s="6">
        <v>0</v>
      </c>
      <c r="O173" s="77">
        <v>0</v>
      </c>
      <c r="P173" s="6">
        <v>2</v>
      </c>
      <c r="Q173" s="4" t="s">
        <v>60</v>
      </c>
      <c r="R173" s="4">
        <v>0</v>
      </c>
      <c r="S173" s="6">
        <v>0</v>
      </c>
      <c r="T173" s="6">
        <v>25</v>
      </c>
      <c r="U173" s="6">
        <v>0</v>
      </c>
      <c r="V173" s="77">
        <f>IF(ISERROR(VLOOKUP($S$173,'TAR FIN'!$A$1:$O$95,15,0)),0,VLOOKUP($S$173,'TAR FIN'!$A$1:$O$95,15,0))</f>
        <v>0</v>
      </c>
      <c r="W173" s="77">
        <f>IF(ISERROR(VLOOKUP($T$173,'TAR FIN'!$A$1:$O$95,15,0)),0,VLOOKUP($T$173,'TAR FIN'!$A$1:$O$95,15,0))*(1-0.09)</f>
        <v>48.020700000000005</v>
      </c>
      <c r="X173" s="77">
        <f>IF(ISERROR(VLOOKUP($U$173,'TAR FIN'!$A$1:$O$95,15,0)),0,VLOOKUP($U$173,'TAR FIN'!$A$1:$O$95,15,0))</f>
        <v>0</v>
      </c>
      <c r="Y173" s="77"/>
      <c r="Z173" s="77">
        <f ca="1">('TUSD BE'!$AM$7+'TUSD BF'!$AM$7+'TUSD CVA'!$AM$7)*1*(1-0.06)</f>
        <v>62.380688814196077</v>
      </c>
      <c r="AA173" s="77"/>
      <c r="AB173" s="6">
        <f>$K$173*$V$173</f>
        <v>0</v>
      </c>
      <c r="AC173" s="6">
        <f>$M$173*$W$173</f>
        <v>389207.77350000007</v>
      </c>
      <c r="AD173" s="6">
        <f>$O$173*$X$173</f>
        <v>0</v>
      </c>
      <c r="AE173" s="6">
        <f>$K$173*$Y$173</f>
        <v>0</v>
      </c>
      <c r="AF173" s="6">
        <f ca="1">$M$173*$Z$173</f>
        <v>505595.4828390592</v>
      </c>
      <c r="AG173" s="6">
        <f>$O$173*$AA$173</f>
        <v>0</v>
      </c>
    </row>
    <row r="174" spans="1:33" ht="11.25" customHeight="1" x14ac:dyDescent="0.25">
      <c r="A174" s="4" t="s">
        <v>21</v>
      </c>
      <c r="B174" s="4" t="s">
        <v>43</v>
      </c>
      <c r="C174" s="4" t="s">
        <v>44</v>
      </c>
      <c r="D174" s="4" t="s">
        <v>61</v>
      </c>
      <c r="E174" s="4" t="s">
        <v>53</v>
      </c>
      <c r="F174" s="4" t="s">
        <v>25</v>
      </c>
      <c r="G174" s="4" t="s">
        <v>25</v>
      </c>
      <c r="H174" s="4" t="s">
        <v>25</v>
      </c>
      <c r="I174" s="5">
        <v>44256</v>
      </c>
      <c r="J174" s="6">
        <v>0</v>
      </c>
      <c r="K174" s="77">
        <v>0</v>
      </c>
      <c r="L174" s="6">
        <v>8950.14</v>
      </c>
      <c r="M174" s="77">
        <v>8950.14</v>
      </c>
      <c r="N174" s="6">
        <v>0</v>
      </c>
      <c r="O174" s="77">
        <v>0</v>
      </c>
      <c r="P174" s="6">
        <v>2</v>
      </c>
      <c r="Q174" s="4" t="s">
        <v>60</v>
      </c>
      <c r="R174" s="4">
        <v>0</v>
      </c>
      <c r="S174" s="6">
        <v>0</v>
      </c>
      <c r="T174" s="6">
        <v>25</v>
      </c>
      <c r="U174" s="6">
        <v>0</v>
      </c>
      <c r="V174" s="77">
        <f>IF(ISERROR(VLOOKUP($S$174,'TAR FIN'!$A$1:$O$95,15,0)),0,VLOOKUP($S$174,'TAR FIN'!$A$1:$O$95,15,0))</f>
        <v>0</v>
      </c>
      <c r="W174" s="77">
        <f>IF(ISERROR(VLOOKUP($T$174,'TAR FIN'!$A$1:$O$95,15,0)),0,VLOOKUP($T$174,'TAR FIN'!$A$1:$O$95,15,0))*(1-0.09)</f>
        <v>48.020700000000005</v>
      </c>
      <c r="X174" s="77">
        <f>IF(ISERROR(VLOOKUP($U$174,'TAR FIN'!$A$1:$O$95,15,0)),0,VLOOKUP($U$174,'TAR FIN'!$A$1:$O$95,15,0))</f>
        <v>0</v>
      </c>
      <c r="Y174" s="77"/>
      <c r="Z174" s="77">
        <f ca="1">('TUSD BE'!$AM$7+'TUSD BF'!$AM$7+'TUSD CVA'!$AM$7)*1*(1-0.06)</f>
        <v>62.380688814196077</v>
      </c>
      <c r="AA174" s="77"/>
      <c r="AB174" s="6">
        <f>$K$174*$V$174</f>
        <v>0</v>
      </c>
      <c r="AC174" s="6">
        <f>$M$174*$W$174</f>
        <v>429791.98789799999</v>
      </c>
      <c r="AD174" s="6">
        <f>$O$174*$X$174</f>
        <v>0</v>
      </c>
      <c r="AE174" s="6">
        <f>$K$174*$Y$174</f>
        <v>0</v>
      </c>
      <c r="AF174" s="6">
        <f ca="1">$M$174*$Z$174</f>
        <v>558315.89818348887</v>
      </c>
      <c r="AG174" s="6">
        <f>$O$174*$AA$174</f>
        <v>0</v>
      </c>
    </row>
    <row r="175" spans="1:33" ht="11.25" customHeight="1" x14ac:dyDescent="0.25">
      <c r="A175" s="4" t="s">
        <v>21</v>
      </c>
      <c r="B175" s="4" t="s">
        <v>43</v>
      </c>
      <c r="C175" s="4" t="s">
        <v>44</v>
      </c>
      <c r="D175" s="4" t="s">
        <v>61</v>
      </c>
      <c r="E175" s="4" t="s">
        <v>53</v>
      </c>
      <c r="F175" s="4" t="s">
        <v>25</v>
      </c>
      <c r="G175" s="4" t="s">
        <v>25</v>
      </c>
      <c r="H175" s="4" t="s">
        <v>25</v>
      </c>
      <c r="I175" s="5">
        <v>44287</v>
      </c>
      <c r="J175" s="6">
        <v>0</v>
      </c>
      <c r="K175" s="77">
        <v>0</v>
      </c>
      <c r="L175" s="6">
        <v>8538.34</v>
      </c>
      <c r="M175" s="77">
        <v>8538.34</v>
      </c>
      <c r="N175" s="6">
        <v>0</v>
      </c>
      <c r="O175" s="77">
        <v>0</v>
      </c>
      <c r="P175" s="6">
        <v>2</v>
      </c>
      <c r="Q175" s="4" t="s">
        <v>60</v>
      </c>
      <c r="R175" s="4">
        <v>0</v>
      </c>
      <c r="S175" s="6">
        <v>0</v>
      </c>
      <c r="T175" s="6">
        <v>25</v>
      </c>
      <c r="U175" s="6">
        <v>0</v>
      </c>
      <c r="V175" s="77">
        <f>IF(ISERROR(VLOOKUP($S$175,'TAR FIN'!$A$1:$O$95,15,0)),0,VLOOKUP($S$175,'TAR FIN'!$A$1:$O$95,15,0))</f>
        <v>0</v>
      </c>
      <c r="W175" s="77">
        <f>IF(ISERROR(VLOOKUP($T$175,'TAR FIN'!$A$1:$O$95,15,0)),0,VLOOKUP($T$175,'TAR FIN'!$A$1:$O$95,15,0))*(1-0.09)</f>
        <v>48.020700000000005</v>
      </c>
      <c r="X175" s="77">
        <f>IF(ISERROR(VLOOKUP($U$175,'TAR FIN'!$A$1:$O$95,15,0)),0,VLOOKUP($U$175,'TAR FIN'!$A$1:$O$95,15,0))</f>
        <v>0</v>
      </c>
      <c r="Y175" s="77"/>
      <c r="Z175" s="77">
        <f ca="1">('TUSD BE'!$AM$7+'TUSD BF'!$AM$7+'TUSD CVA'!$AM$7)*1*(1-0.06)</f>
        <v>62.380688814196077</v>
      </c>
      <c r="AA175" s="77"/>
      <c r="AB175" s="6">
        <f>$K$175*$V$175</f>
        <v>0</v>
      </c>
      <c r="AC175" s="6">
        <f>$M$175*$W$175</f>
        <v>410017.06363800005</v>
      </c>
      <c r="AD175" s="6">
        <f>$O$175*$X$175</f>
        <v>0</v>
      </c>
      <c r="AE175" s="6">
        <f>$K$175*$Y$175</f>
        <v>0</v>
      </c>
      <c r="AF175" s="6">
        <f ca="1">$M$175*$Z$175</f>
        <v>532627.5305298029</v>
      </c>
      <c r="AG175" s="6">
        <f>$O$175*$AA$175</f>
        <v>0</v>
      </c>
    </row>
    <row r="176" spans="1:33" ht="11.25" customHeight="1" x14ac:dyDescent="0.25">
      <c r="A176" s="4" t="s">
        <v>21</v>
      </c>
      <c r="B176" s="4" t="s">
        <v>43</v>
      </c>
      <c r="C176" s="4" t="s">
        <v>44</v>
      </c>
      <c r="D176" s="4" t="s">
        <v>61</v>
      </c>
      <c r="E176" s="4" t="s">
        <v>53</v>
      </c>
      <c r="F176" s="4" t="s">
        <v>25</v>
      </c>
      <c r="G176" s="4" t="s">
        <v>25</v>
      </c>
      <c r="H176" s="4" t="s">
        <v>25</v>
      </c>
      <c r="I176" s="5">
        <v>44317</v>
      </c>
      <c r="J176" s="6">
        <v>0</v>
      </c>
      <c r="K176" s="77">
        <v>0</v>
      </c>
      <c r="L176" s="6">
        <v>8682.68</v>
      </c>
      <c r="M176" s="77">
        <v>8682.68</v>
      </c>
      <c r="N176" s="6">
        <v>0</v>
      </c>
      <c r="O176" s="77">
        <v>0</v>
      </c>
      <c r="P176" s="6">
        <v>2</v>
      </c>
      <c r="Q176" s="4" t="s">
        <v>60</v>
      </c>
      <c r="R176" s="4">
        <v>0</v>
      </c>
      <c r="S176" s="6">
        <v>0</v>
      </c>
      <c r="T176" s="6">
        <v>25</v>
      </c>
      <c r="U176" s="6">
        <v>0</v>
      </c>
      <c r="V176" s="77">
        <f>IF(ISERROR(VLOOKUP($S$176,'TAR FIN'!$A$1:$O$95,15,0)),0,VLOOKUP($S$176,'TAR FIN'!$A$1:$O$95,15,0))</f>
        <v>0</v>
      </c>
      <c r="W176" s="77">
        <f>IF(ISERROR(VLOOKUP($T$176,'TAR FIN'!$A$1:$O$95,15,0)),0,VLOOKUP($T$176,'TAR FIN'!$A$1:$O$95,15,0))*(1-0.09)</f>
        <v>48.020700000000005</v>
      </c>
      <c r="X176" s="77">
        <f>IF(ISERROR(VLOOKUP($U$176,'TAR FIN'!$A$1:$O$95,15,0)),0,VLOOKUP($U$176,'TAR FIN'!$A$1:$O$95,15,0))</f>
        <v>0</v>
      </c>
      <c r="Y176" s="77"/>
      <c r="Z176" s="77">
        <f ca="1">('TUSD BE'!$AM$7+'TUSD BF'!$AM$7+'TUSD CVA'!$AM$7)*1*(1-0.06)</f>
        <v>62.380688814196077</v>
      </c>
      <c r="AA176" s="77"/>
      <c r="AB176" s="6">
        <f>$K$176*$V$176</f>
        <v>0</v>
      </c>
      <c r="AC176" s="6">
        <f>$M$176*$W$176</f>
        <v>416948.37147600006</v>
      </c>
      <c r="AD176" s="6">
        <f>$O$176*$X$176</f>
        <v>0</v>
      </c>
      <c r="AE176" s="6">
        <f>$K$176*$Y$176</f>
        <v>0</v>
      </c>
      <c r="AF176" s="6">
        <f ca="1">$M$176*$Z$176</f>
        <v>541631.55915324402</v>
      </c>
      <c r="AG176" s="6">
        <f>$O$176*$AA$176</f>
        <v>0</v>
      </c>
    </row>
    <row r="177" spans="1:33" ht="11.25" customHeight="1" x14ac:dyDescent="0.25">
      <c r="A177" s="4" t="s">
        <v>21</v>
      </c>
      <c r="B177" s="4" t="s">
        <v>43</v>
      </c>
      <c r="C177" s="4" t="s">
        <v>44</v>
      </c>
      <c r="D177" s="4" t="s">
        <v>61</v>
      </c>
      <c r="E177" s="4" t="s">
        <v>53</v>
      </c>
      <c r="F177" s="4" t="s">
        <v>25</v>
      </c>
      <c r="G177" s="4" t="s">
        <v>25</v>
      </c>
      <c r="H177" s="4" t="s">
        <v>25</v>
      </c>
      <c r="I177" s="5">
        <v>44348</v>
      </c>
      <c r="J177" s="6">
        <v>0</v>
      </c>
      <c r="K177" s="77">
        <v>0</v>
      </c>
      <c r="L177" s="6">
        <v>9394.52</v>
      </c>
      <c r="M177" s="77">
        <v>9394.52</v>
      </c>
      <c r="N177" s="6">
        <v>0</v>
      </c>
      <c r="O177" s="77">
        <v>0</v>
      </c>
      <c r="P177" s="6">
        <v>2</v>
      </c>
      <c r="Q177" s="4" t="s">
        <v>60</v>
      </c>
      <c r="R177" s="4">
        <v>0</v>
      </c>
      <c r="S177" s="6">
        <v>0</v>
      </c>
      <c r="T177" s="6">
        <v>25</v>
      </c>
      <c r="U177" s="6">
        <v>0</v>
      </c>
      <c r="V177" s="77">
        <f>IF(ISERROR(VLOOKUP($S$177,'TAR FIN'!$A$1:$O$95,15,0)),0,VLOOKUP($S$177,'TAR FIN'!$A$1:$O$95,15,0))</f>
        <v>0</v>
      </c>
      <c r="W177" s="77">
        <f>IF(ISERROR(VLOOKUP($T$177,'TAR FIN'!$A$1:$O$95,15,0)),0,VLOOKUP($T$177,'TAR FIN'!$A$1:$O$95,15,0))*(1-0.09)</f>
        <v>48.020700000000005</v>
      </c>
      <c r="X177" s="77">
        <f>IF(ISERROR(VLOOKUP($U$177,'TAR FIN'!$A$1:$O$95,15,0)),0,VLOOKUP($U$177,'TAR FIN'!$A$1:$O$95,15,0))</f>
        <v>0</v>
      </c>
      <c r="Y177" s="77"/>
      <c r="Z177" s="77">
        <f ca="1">('TUSD BE'!$AM$7+'TUSD BF'!$AM$7+'TUSD CVA'!$AM$7)*1*(1-0.06)</f>
        <v>62.380688814196077</v>
      </c>
      <c r="AA177" s="77"/>
      <c r="AB177" s="6">
        <f>$K$177*$V$177</f>
        <v>0</v>
      </c>
      <c r="AC177" s="6">
        <f>$M$177*$W$177</f>
        <v>451131.42656400008</v>
      </c>
      <c r="AD177" s="6">
        <f>$O$177*$X$177</f>
        <v>0</v>
      </c>
      <c r="AE177" s="6">
        <f>$K$177*$Y$177</f>
        <v>0</v>
      </c>
      <c r="AF177" s="6">
        <f ca="1">$M$177*$Z$177</f>
        <v>586036.6286787414</v>
      </c>
      <c r="AG177" s="6">
        <f>$O$177*$AA$177</f>
        <v>0</v>
      </c>
    </row>
    <row r="178" spans="1:33" ht="11.25" customHeight="1" x14ac:dyDescent="0.25">
      <c r="A178" s="4" t="s">
        <v>21</v>
      </c>
      <c r="B178" s="4" t="s">
        <v>43</v>
      </c>
      <c r="C178" s="4" t="s">
        <v>44</v>
      </c>
      <c r="D178" s="4" t="s">
        <v>61</v>
      </c>
      <c r="E178" s="4" t="s">
        <v>53</v>
      </c>
      <c r="F178" s="4" t="s">
        <v>25</v>
      </c>
      <c r="G178" s="4" t="s">
        <v>25</v>
      </c>
      <c r="H178" s="4" t="s">
        <v>25</v>
      </c>
      <c r="I178" s="5">
        <v>44378</v>
      </c>
      <c r="J178" s="6">
        <v>0</v>
      </c>
      <c r="K178" s="77">
        <v>0</v>
      </c>
      <c r="L178" s="6">
        <v>8935.16</v>
      </c>
      <c r="M178" s="77">
        <v>8935.16</v>
      </c>
      <c r="N178" s="6">
        <v>0</v>
      </c>
      <c r="O178" s="77">
        <v>0</v>
      </c>
      <c r="P178" s="6">
        <v>2</v>
      </c>
      <c r="Q178" s="4" t="s">
        <v>60</v>
      </c>
      <c r="R178" s="4">
        <v>0</v>
      </c>
      <c r="S178" s="6">
        <v>0</v>
      </c>
      <c r="T178" s="6">
        <v>25</v>
      </c>
      <c r="U178" s="6">
        <v>0</v>
      </c>
      <c r="V178" s="77">
        <f>IF(ISERROR(VLOOKUP($S$178,'TAR FIN'!$A$1:$O$95,15,0)),0,VLOOKUP($S$178,'TAR FIN'!$A$1:$O$95,15,0))</f>
        <v>0</v>
      </c>
      <c r="W178" s="77">
        <f>IF(ISERROR(VLOOKUP($T$178,'TAR FIN'!$A$1:$O$95,15,0)),0,VLOOKUP($T$178,'TAR FIN'!$A$1:$O$95,15,0))*(1-0.09)</f>
        <v>48.020700000000005</v>
      </c>
      <c r="X178" s="77">
        <f>IF(ISERROR(VLOOKUP($U$178,'TAR FIN'!$A$1:$O$95,15,0)),0,VLOOKUP($U$178,'TAR FIN'!$A$1:$O$95,15,0))</f>
        <v>0</v>
      </c>
      <c r="Y178" s="77"/>
      <c r="Z178" s="77">
        <f ca="1">('TUSD BE'!$AM$7+'TUSD BF'!$AM$7+'TUSD CVA'!$AM$7)*1*(1-0.06)</f>
        <v>62.380688814196077</v>
      </c>
      <c r="AA178" s="77"/>
      <c r="AB178" s="6">
        <f>$K$178*$V$178</f>
        <v>0</v>
      </c>
      <c r="AC178" s="6">
        <f>$M$178*$W$178</f>
        <v>429072.63781200006</v>
      </c>
      <c r="AD178" s="6">
        <f>$O$178*$X$178</f>
        <v>0</v>
      </c>
      <c r="AE178" s="6">
        <f>$K$178*$Y$178</f>
        <v>0</v>
      </c>
      <c r="AF178" s="6">
        <f ca="1">$M$178*$Z$178</f>
        <v>557381.43546505226</v>
      </c>
      <c r="AG178" s="6">
        <f>$O$178*$AA$178</f>
        <v>0</v>
      </c>
    </row>
    <row r="179" spans="1:33" ht="11.25" customHeight="1" x14ac:dyDescent="0.25">
      <c r="A179" s="4" t="s">
        <v>21</v>
      </c>
      <c r="B179" s="4" t="s">
        <v>43</v>
      </c>
      <c r="C179" s="4" t="s">
        <v>44</v>
      </c>
      <c r="D179" s="4" t="s">
        <v>61</v>
      </c>
      <c r="E179" s="4" t="s">
        <v>53</v>
      </c>
      <c r="F179" s="4" t="s">
        <v>25</v>
      </c>
      <c r="G179" s="4" t="s">
        <v>25</v>
      </c>
      <c r="H179" s="4" t="s">
        <v>25</v>
      </c>
      <c r="I179" s="5">
        <v>44409</v>
      </c>
      <c r="J179" s="6">
        <v>0</v>
      </c>
      <c r="K179" s="77">
        <v>0</v>
      </c>
      <c r="L179" s="6">
        <v>9188.86</v>
      </c>
      <c r="M179" s="77">
        <v>9188.86</v>
      </c>
      <c r="N179" s="6">
        <v>0</v>
      </c>
      <c r="O179" s="77">
        <v>0</v>
      </c>
      <c r="P179" s="6">
        <v>2</v>
      </c>
      <c r="Q179" s="4" t="s">
        <v>60</v>
      </c>
      <c r="R179" s="4">
        <v>0</v>
      </c>
      <c r="S179" s="6">
        <v>0</v>
      </c>
      <c r="T179" s="6">
        <v>25</v>
      </c>
      <c r="U179" s="6">
        <v>0</v>
      </c>
      <c r="V179" s="77">
        <f>IF(ISERROR(VLOOKUP($S$179,'TAR FIN'!$A$1:$O$95,15,0)),0,VLOOKUP($S$179,'TAR FIN'!$A$1:$O$95,15,0))</f>
        <v>0</v>
      </c>
      <c r="W179" s="77">
        <f>IF(ISERROR(VLOOKUP($T$179,'TAR FIN'!$A$1:$O$95,15,0)),0,VLOOKUP($T$179,'TAR FIN'!$A$1:$O$95,15,0))*(1-0.09)</f>
        <v>48.020700000000005</v>
      </c>
      <c r="X179" s="77">
        <f>IF(ISERROR(VLOOKUP($U$179,'TAR FIN'!$A$1:$O$95,15,0)),0,VLOOKUP($U$179,'TAR FIN'!$A$1:$O$95,15,0))</f>
        <v>0</v>
      </c>
      <c r="Y179" s="77"/>
      <c r="Z179" s="77">
        <f ca="1">('TUSD BE'!$AM$7+'TUSD BF'!$AM$7+'TUSD CVA'!$AM$7)*1*(1-0.06)</f>
        <v>62.380688814196077</v>
      </c>
      <c r="AA179" s="77"/>
      <c r="AB179" s="6">
        <f>$K$179*$V$179</f>
        <v>0</v>
      </c>
      <c r="AC179" s="6">
        <f>$M$179*$W$179</f>
        <v>441255.48940200009</v>
      </c>
      <c r="AD179" s="6">
        <f>$O$179*$X$179</f>
        <v>0</v>
      </c>
      <c r="AE179" s="6">
        <f>$K$179*$Y$179</f>
        <v>0</v>
      </c>
      <c r="AF179" s="6">
        <f ca="1">$M$179*$Z$179</f>
        <v>573207.41621721385</v>
      </c>
      <c r="AG179" s="6">
        <f>$O$179*$AA$179</f>
        <v>0</v>
      </c>
    </row>
    <row r="180" spans="1:33" ht="11.25" customHeight="1" x14ac:dyDescent="0.25">
      <c r="A180" s="4" t="s">
        <v>21</v>
      </c>
      <c r="B180" s="4" t="s">
        <v>43</v>
      </c>
      <c r="C180" s="4" t="s">
        <v>44</v>
      </c>
      <c r="D180" s="4" t="s">
        <v>61</v>
      </c>
      <c r="E180" s="4" t="s">
        <v>53</v>
      </c>
      <c r="F180" s="4" t="s">
        <v>25</v>
      </c>
      <c r="G180" s="4" t="s">
        <v>25</v>
      </c>
      <c r="H180" s="4" t="s">
        <v>25</v>
      </c>
      <c r="I180" s="5">
        <v>44440</v>
      </c>
      <c r="J180" s="6">
        <v>0</v>
      </c>
      <c r="K180" s="77">
        <v>0</v>
      </c>
      <c r="L180" s="6">
        <v>8943.06</v>
      </c>
      <c r="M180" s="77">
        <v>8943.06</v>
      </c>
      <c r="N180" s="6">
        <v>0</v>
      </c>
      <c r="O180" s="77">
        <v>0</v>
      </c>
      <c r="P180" s="6">
        <v>2</v>
      </c>
      <c r="Q180" s="4" t="s">
        <v>60</v>
      </c>
      <c r="R180" s="4">
        <v>0</v>
      </c>
      <c r="S180" s="6">
        <v>0</v>
      </c>
      <c r="T180" s="6">
        <v>25</v>
      </c>
      <c r="U180" s="6">
        <v>0</v>
      </c>
      <c r="V180" s="77">
        <f>IF(ISERROR(VLOOKUP($S$180,'TAR FIN'!$A$1:$O$95,15,0)),0,VLOOKUP($S$180,'TAR FIN'!$A$1:$O$95,15,0))</f>
        <v>0</v>
      </c>
      <c r="W180" s="77">
        <f>IF(ISERROR(VLOOKUP($T$180,'TAR FIN'!$A$1:$O$95,15,0)),0,VLOOKUP($T$180,'TAR FIN'!$A$1:$O$95,15,0))*(1-0.09)</f>
        <v>48.020700000000005</v>
      </c>
      <c r="X180" s="77">
        <f>IF(ISERROR(VLOOKUP($U$180,'TAR FIN'!$A$1:$O$95,15,0)),0,VLOOKUP($U$180,'TAR FIN'!$A$1:$O$95,15,0))</f>
        <v>0</v>
      </c>
      <c r="Y180" s="77"/>
      <c r="Z180" s="77">
        <f ca="1">('TUSD BE'!$AM$7+'TUSD BF'!$AM$7+'TUSD CVA'!$AM$7)*1*(1-0.06)</f>
        <v>62.380688814196077</v>
      </c>
      <c r="AA180" s="77"/>
      <c r="AB180" s="6">
        <f>$K$180*$V$180</f>
        <v>0</v>
      </c>
      <c r="AC180" s="6">
        <f>$M$180*$W$180</f>
        <v>429452.00134200003</v>
      </c>
      <c r="AD180" s="6">
        <f>$O$180*$X$180</f>
        <v>0</v>
      </c>
      <c r="AE180" s="6">
        <f>$K$180*$Y$180</f>
        <v>0</v>
      </c>
      <c r="AF180" s="6">
        <f ca="1">$M$180*$Z$180</f>
        <v>557874.24290668429</v>
      </c>
      <c r="AG180" s="6">
        <f>$O$180*$AA$180</f>
        <v>0</v>
      </c>
    </row>
    <row r="181" spans="1:33" ht="11.25" customHeight="1" x14ac:dyDescent="0.25">
      <c r="A181" s="4" t="s">
        <v>59</v>
      </c>
      <c r="B181" s="4" t="s">
        <v>43</v>
      </c>
      <c r="C181" s="4" t="s">
        <v>44</v>
      </c>
      <c r="D181" s="4" t="s">
        <v>61</v>
      </c>
      <c r="E181" s="4" t="s">
        <v>53</v>
      </c>
      <c r="F181" s="4" t="s">
        <v>25</v>
      </c>
      <c r="G181" s="4" t="s">
        <v>25</v>
      </c>
      <c r="H181" s="4" t="s">
        <v>25</v>
      </c>
      <c r="I181" s="5">
        <v>44470</v>
      </c>
      <c r="J181" s="6">
        <v>0</v>
      </c>
      <c r="K181" s="77">
        <v>0</v>
      </c>
      <c r="L181" s="6">
        <v>8943.06</v>
      </c>
      <c r="M181" s="77">
        <v>8943.06</v>
      </c>
      <c r="N181" s="6">
        <v>0</v>
      </c>
      <c r="O181" s="77">
        <v>0</v>
      </c>
      <c r="P181" s="6">
        <v>2</v>
      </c>
      <c r="Q181" s="4" t="s">
        <v>60</v>
      </c>
      <c r="R181" s="4">
        <v>0</v>
      </c>
      <c r="S181" s="6">
        <v>0</v>
      </c>
      <c r="T181" s="6">
        <v>25</v>
      </c>
      <c r="U181" s="6">
        <v>0</v>
      </c>
      <c r="V181" s="77">
        <f>IF(ISERROR(VLOOKUP($S$181,'TAR FIN'!$A$1:$O$95,15,0)),0,VLOOKUP($S$181,'TAR FIN'!$A$1:$O$95,15,0))</f>
        <v>0</v>
      </c>
      <c r="W181" s="77">
        <f>IF(ISERROR(VLOOKUP($T$181,'TAR FIN'!$A$1:$O$95,15,0)),0,VLOOKUP($T$181,'TAR FIN'!$A$1:$O$95,15,0))*(1-0.09)</f>
        <v>48.020700000000005</v>
      </c>
      <c r="X181" s="77">
        <f>IF(ISERROR(VLOOKUP($U$181,'TAR FIN'!$A$1:$O$95,15,0)),0,VLOOKUP($U$181,'TAR FIN'!$A$1:$O$95,15,0))</f>
        <v>0</v>
      </c>
      <c r="Y181" s="77"/>
      <c r="Z181" s="77">
        <f ca="1">('TUSD BE'!$AM$7+'TUSD BF'!$AM$7+'TUSD CVA'!$AM$7)*1*(1-0.06)</f>
        <v>62.380688814196077</v>
      </c>
      <c r="AA181" s="77"/>
      <c r="AB181" s="6">
        <f>$K$181*$V$181</f>
        <v>0</v>
      </c>
      <c r="AC181" s="6">
        <f>$M$181*$W$181</f>
        <v>429452.00134200003</v>
      </c>
      <c r="AD181" s="6">
        <f>$O$181*$X$181</f>
        <v>0</v>
      </c>
      <c r="AE181" s="6">
        <f>$K$181*$Y$181</f>
        <v>0</v>
      </c>
      <c r="AF181" s="6">
        <f ca="1">$M$181*$Z$181</f>
        <v>557874.24290668429</v>
      </c>
      <c r="AG181" s="6">
        <f>$O$181*$AA$181</f>
        <v>0</v>
      </c>
    </row>
    <row r="182" spans="1:33" ht="11.25" customHeight="1" x14ac:dyDescent="0.25">
      <c r="A182" s="4" t="s">
        <v>21</v>
      </c>
      <c r="B182" s="4" t="s">
        <v>43</v>
      </c>
      <c r="C182" s="4" t="s">
        <v>44</v>
      </c>
      <c r="D182" s="4" t="s">
        <v>61</v>
      </c>
      <c r="E182" s="4" t="s">
        <v>53</v>
      </c>
      <c r="F182" s="4" t="s">
        <v>25</v>
      </c>
      <c r="G182" s="4" t="s">
        <v>25</v>
      </c>
      <c r="H182" s="4" t="s">
        <v>37</v>
      </c>
      <c r="I182" s="5">
        <v>44136</v>
      </c>
      <c r="J182" s="6">
        <v>15174</v>
      </c>
      <c r="K182" s="77">
        <v>15174</v>
      </c>
      <c r="L182" s="6">
        <v>0</v>
      </c>
      <c r="M182" s="77">
        <v>0</v>
      </c>
      <c r="N182" s="6">
        <v>0</v>
      </c>
      <c r="O182" s="77">
        <v>0</v>
      </c>
      <c r="P182" s="6">
        <v>0</v>
      </c>
      <c r="Q182" s="4" t="s">
        <v>60</v>
      </c>
      <c r="R182" s="4">
        <v>0</v>
      </c>
      <c r="S182" s="6">
        <v>1</v>
      </c>
      <c r="T182" s="6">
        <v>0</v>
      </c>
      <c r="U182" s="6">
        <v>0</v>
      </c>
      <c r="V182" s="77">
        <f>IF(ISERROR(VLOOKUP($S$182,'TAR FIN'!$A$1:$O$95,15,0)),0,VLOOKUP($S$182,'TAR FIN'!$A$1:$O$95,15,0))*(1-0.09)</f>
        <v>6.5884</v>
      </c>
      <c r="W182" s="77">
        <f>IF(ISERROR(VLOOKUP($T$182,'TAR FIN'!$A$1:$O$95,15,0)),0,VLOOKUP($T$182,'TAR FIN'!$A$1:$O$95,15,0))*(1-0.09)</f>
        <v>0</v>
      </c>
      <c r="X182" s="77">
        <f>IF(ISERROR(VLOOKUP($U$182,'TAR FIN'!$A$1:$O$95,15,0)),0,VLOOKUP($U$182,'TAR FIN'!$A$1:$O$95,15,0))</f>
        <v>0</v>
      </c>
      <c r="Y182" s="77">
        <f ca="1">('TUSD BE'!$AM$5+'TUSD BF'!$AM$5+'TUSD CVA'!$AM$5)*1*(1-0.06)</f>
        <v>7.4761516139513589</v>
      </c>
      <c r="Z182" s="77">
        <f ca="1">('TUSD BE'!$AM$7+'TUSD BF'!$AM$7+'TUSD CVA'!$AM$7)*1*(1-0.06)</f>
        <v>62.380688814196077</v>
      </c>
      <c r="AA182" s="77"/>
      <c r="AB182" s="6">
        <f>$K$182*$V$182</f>
        <v>99972.381599999993</v>
      </c>
      <c r="AC182" s="6">
        <f>$M$182*$W$182</f>
        <v>0</v>
      </c>
      <c r="AD182" s="6">
        <f>$O$182*$X$182</f>
        <v>0</v>
      </c>
      <c r="AE182" s="6">
        <f ca="1">$K$182*$Y$182</f>
        <v>113443.12459009791</v>
      </c>
      <c r="AF182" s="6">
        <f ca="1">$M$182*$Z$182</f>
        <v>0</v>
      </c>
      <c r="AG182" s="6">
        <f>$O$182*$AA$182</f>
        <v>0</v>
      </c>
    </row>
    <row r="183" spans="1:33" ht="11.25" customHeight="1" x14ac:dyDescent="0.25">
      <c r="A183" s="4" t="s">
        <v>21</v>
      </c>
      <c r="B183" s="4" t="s">
        <v>43</v>
      </c>
      <c r="C183" s="4" t="s">
        <v>44</v>
      </c>
      <c r="D183" s="4" t="s">
        <v>61</v>
      </c>
      <c r="E183" s="4" t="s">
        <v>53</v>
      </c>
      <c r="F183" s="4" t="s">
        <v>25</v>
      </c>
      <c r="G183" s="4" t="s">
        <v>25</v>
      </c>
      <c r="H183" s="4" t="s">
        <v>37</v>
      </c>
      <c r="I183" s="5">
        <v>44166</v>
      </c>
      <c r="J183" s="6">
        <v>15448</v>
      </c>
      <c r="K183" s="77">
        <v>15448</v>
      </c>
      <c r="L183" s="6">
        <v>0</v>
      </c>
      <c r="M183" s="77">
        <v>0</v>
      </c>
      <c r="N183" s="6">
        <v>0</v>
      </c>
      <c r="O183" s="77">
        <v>0</v>
      </c>
      <c r="P183" s="6">
        <v>0</v>
      </c>
      <c r="Q183" s="4" t="s">
        <v>60</v>
      </c>
      <c r="R183" s="4">
        <v>0</v>
      </c>
      <c r="S183" s="6">
        <v>1</v>
      </c>
      <c r="T183" s="6">
        <v>0</v>
      </c>
      <c r="U183" s="6">
        <v>0</v>
      </c>
      <c r="V183" s="77">
        <f>IF(ISERROR(VLOOKUP($S$183,'TAR FIN'!$A$1:$O$95,15,0)),0,VLOOKUP($S$183,'TAR FIN'!$A$1:$O$95,15,0))*(1-0.09)</f>
        <v>6.5884</v>
      </c>
      <c r="W183" s="77">
        <f>IF(ISERROR(VLOOKUP($T$183,'TAR FIN'!$A$1:$O$95,15,0)),0,VLOOKUP($T$183,'TAR FIN'!$A$1:$O$95,15,0))*(1-0.09)</f>
        <v>0</v>
      </c>
      <c r="X183" s="77">
        <f>IF(ISERROR(VLOOKUP($U$183,'TAR FIN'!$A$1:$O$95,15,0)),0,VLOOKUP($U$183,'TAR FIN'!$A$1:$O$95,15,0))</f>
        <v>0</v>
      </c>
      <c r="Y183" s="77">
        <f ca="1">('TUSD BE'!$AM$5+'TUSD BF'!$AM$5+'TUSD CVA'!$AM$5)*1*(1-0.06)</f>
        <v>7.4761516139513589</v>
      </c>
      <c r="Z183" s="77">
        <f ca="1">('TUSD BE'!$AM$7+'TUSD BF'!$AM$7+'TUSD CVA'!$AM$7)*1*(1-0.06)</f>
        <v>62.380688814196077</v>
      </c>
      <c r="AA183" s="77"/>
      <c r="AB183" s="6">
        <f>$K$183*$V$183</f>
        <v>101777.6032</v>
      </c>
      <c r="AC183" s="6">
        <f>$M$183*$W$183</f>
        <v>0</v>
      </c>
      <c r="AD183" s="6">
        <f>$O$183*$X$183</f>
        <v>0</v>
      </c>
      <c r="AE183" s="6">
        <f ca="1">$K$183*$Y$183</f>
        <v>115491.59013232059</v>
      </c>
      <c r="AF183" s="6">
        <f ca="1">$M$183*$Z$183</f>
        <v>0</v>
      </c>
      <c r="AG183" s="6">
        <f>$O$183*$AA$183</f>
        <v>0</v>
      </c>
    </row>
    <row r="184" spans="1:33" ht="11.25" customHeight="1" x14ac:dyDescent="0.25">
      <c r="A184" s="4" t="s">
        <v>21</v>
      </c>
      <c r="B184" s="4" t="s">
        <v>43</v>
      </c>
      <c r="C184" s="4" t="s">
        <v>44</v>
      </c>
      <c r="D184" s="4" t="s">
        <v>61</v>
      </c>
      <c r="E184" s="4" t="s">
        <v>53</v>
      </c>
      <c r="F184" s="4" t="s">
        <v>25</v>
      </c>
      <c r="G184" s="4" t="s">
        <v>25</v>
      </c>
      <c r="H184" s="4" t="s">
        <v>37</v>
      </c>
      <c r="I184" s="5">
        <v>44197</v>
      </c>
      <c r="J184" s="6">
        <v>14784</v>
      </c>
      <c r="K184" s="77">
        <v>14784</v>
      </c>
      <c r="L184" s="6">
        <v>0</v>
      </c>
      <c r="M184" s="77">
        <v>0</v>
      </c>
      <c r="N184" s="6">
        <v>0</v>
      </c>
      <c r="O184" s="77">
        <v>0</v>
      </c>
      <c r="P184" s="6">
        <v>0</v>
      </c>
      <c r="Q184" s="4" t="s">
        <v>60</v>
      </c>
      <c r="R184" s="4">
        <v>0</v>
      </c>
      <c r="S184" s="6">
        <v>1</v>
      </c>
      <c r="T184" s="6">
        <v>0</v>
      </c>
      <c r="U184" s="6">
        <v>0</v>
      </c>
      <c r="V184" s="77">
        <f>IF(ISERROR(VLOOKUP($S$184,'TAR FIN'!$A$1:$O$95,15,0)),0,VLOOKUP($S$184,'TAR FIN'!$A$1:$O$95,15,0))*(1-0.09)</f>
        <v>6.5884</v>
      </c>
      <c r="W184" s="77">
        <f>IF(ISERROR(VLOOKUP($T$184,'TAR FIN'!$A$1:$O$95,15,0)),0,VLOOKUP($T$184,'TAR FIN'!$A$1:$O$95,15,0))*(1-0.09)</f>
        <v>0</v>
      </c>
      <c r="X184" s="77">
        <f>IF(ISERROR(VLOOKUP($U$184,'TAR FIN'!$A$1:$O$95,15,0)),0,VLOOKUP($U$184,'TAR FIN'!$A$1:$O$95,15,0))</f>
        <v>0</v>
      </c>
      <c r="Y184" s="77">
        <f ca="1">('TUSD BE'!$AM$5+'TUSD BF'!$AM$5+'TUSD CVA'!$AM$5)*1*(1-0.06)</f>
        <v>7.4761516139513589</v>
      </c>
      <c r="Z184" s="77">
        <f ca="1">('TUSD BE'!$AM$7+'TUSD BF'!$AM$7+'TUSD CVA'!$AM$7)*1*(1-0.06)</f>
        <v>62.380688814196077</v>
      </c>
      <c r="AA184" s="77"/>
      <c r="AB184" s="6">
        <f>$K$184*$V$184</f>
        <v>97402.905599999998</v>
      </c>
      <c r="AC184" s="6">
        <f>$M$184*$W$184</f>
        <v>0</v>
      </c>
      <c r="AD184" s="6">
        <f>$O$184*$X$184</f>
        <v>0</v>
      </c>
      <c r="AE184" s="6">
        <f ca="1">$K$184*$Y$184</f>
        <v>110527.42546065689</v>
      </c>
      <c r="AF184" s="6">
        <f ca="1">$M$184*$Z$184</f>
        <v>0</v>
      </c>
      <c r="AG184" s="6">
        <f>$O$184*$AA$184</f>
        <v>0</v>
      </c>
    </row>
    <row r="185" spans="1:33" ht="11.25" customHeight="1" x14ac:dyDescent="0.25">
      <c r="A185" s="4" t="s">
        <v>21</v>
      </c>
      <c r="B185" s="4" t="s">
        <v>43</v>
      </c>
      <c r="C185" s="4" t="s">
        <v>44</v>
      </c>
      <c r="D185" s="4" t="s">
        <v>61</v>
      </c>
      <c r="E185" s="4" t="s">
        <v>53</v>
      </c>
      <c r="F185" s="4" t="s">
        <v>25</v>
      </c>
      <c r="G185" s="4" t="s">
        <v>25</v>
      </c>
      <c r="H185" s="4" t="s">
        <v>37</v>
      </c>
      <c r="I185" s="5">
        <v>44228</v>
      </c>
      <c r="J185" s="6">
        <v>14784</v>
      </c>
      <c r="K185" s="77">
        <v>14784</v>
      </c>
      <c r="L185" s="6">
        <v>0</v>
      </c>
      <c r="M185" s="77">
        <v>0</v>
      </c>
      <c r="N185" s="6">
        <v>0</v>
      </c>
      <c r="O185" s="77">
        <v>0</v>
      </c>
      <c r="P185" s="6">
        <v>0</v>
      </c>
      <c r="Q185" s="4" t="s">
        <v>60</v>
      </c>
      <c r="R185" s="4">
        <v>0</v>
      </c>
      <c r="S185" s="6">
        <v>1</v>
      </c>
      <c r="T185" s="6">
        <v>0</v>
      </c>
      <c r="U185" s="6">
        <v>0</v>
      </c>
      <c r="V185" s="77">
        <f>IF(ISERROR(VLOOKUP($S$185,'TAR FIN'!$A$1:$O$95,15,0)),0,VLOOKUP($S$185,'TAR FIN'!$A$1:$O$95,15,0))*(1-0.09)</f>
        <v>6.5884</v>
      </c>
      <c r="W185" s="77">
        <f>IF(ISERROR(VLOOKUP($T$185,'TAR FIN'!$A$1:$O$95,15,0)),0,VLOOKUP($T$185,'TAR FIN'!$A$1:$O$95,15,0))*(1-0.09)</f>
        <v>0</v>
      </c>
      <c r="X185" s="77">
        <f>IF(ISERROR(VLOOKUP($U$185,'TAR FIN'!$A$1:$O$95,15,0)),0,VLOOKUP($U$185,'TAR FIN'!$A$1:$O$95,15,0))</f>
        <v>0</v>
      </c>
      <c r="Y185" s="77">
        <f ca="1">('TUSD BE'!$AM$5+'TUSD BF'!$AM$5+'TUSD CVA'!$AM$5)*1*(1-0.06)</f>
        <v>7.4761516139513589</v>
      </c>
      <c r="Z185" s="77">
        <f ca="1">('TUSD BE'!$AM$7+'TUSD BF'!$AM$7+'TUSD CVA'!$AM$7)*1*(1-0.06)</f>
        <v>62.380688814196077</v>
      </c>
      <c r="AA185" s="77"/>
      <c r="AB185" s="6">
        <f>$K$185*$V$185</f>
        <v>97402.905599999998</v>
      </c>
      <c r="AC185" s="6">
        <f>$M$185*$W$185</f>
        <v>0</v>
      </c>
      <c r="AD185" s="6">
        <f>$O$185*$X$185</f>
        <v>0</v>
      </c>
      <c r="AE185" s="6">
        <f ca="1">$K$185*$Y$185</f>
        <v>110527.42546065689</v>
      </c>
      <c r="AF185" s="6">
        <f ca="1">$M$185*$Z$185</f>
        <v>0</v>
      </c>
      <c r="AG185" s="6">
        <f>$O$185*$AA$185</f>
        <v>0</v>
      </c>
    </row>
    <row r="186" spans="1:33" ht="11.25" customHeight="1" x14ac:dyDescent="0.25">
      <c r="A186" s="4" t="s">
        <v>21</v>
      </c>
      <c r="B186" s="4" t="s">
        <v>43</v>
      </c>
      <c r="C186" s="4" t="s">
        <v>44</v>
      </c>
      <c r="D186" s="4" t="s">
        <v>61</v>
      </c>
      <c r="E186" s="4" t="s">
        <v>53</v>
      </c>
      <c r="F186" s="4" t="s">
        <v>25</v>
      </c>
      <c r="G186" s="4" t="s">
        <v>25</v>
      </c>
      <c r="H186" s="4" t="s">
        <v>37</v>
      </c>
      <c r="I186" s="5">
        <v>44256</v>
      </c>
      <c r="J186" s="6">
        <v>14784</v>
      </c>
      <c r="K186" s="77">
        <v>14784</v>
      </c>
      <c r="L186" s="6">
        <v>0</v>
      </c>
      <c r="M186" s="77">
        <v>0</v>
      </c>
      <c r="N186" s="6">
        <v>0</v>
      </c>
      <c r="O186" s="77">
        <v>0</v>
      </c>
      <c r="P186" s="6">
        <v>0</v>
      </c>
      <c r="Q186" s="4" t="s">
        <v>60</v>
      </c>
      <c r="R186" s="4">
        <v>0</v>
      </c>
      <c r="S186" s="6">
        <v>1</v>
      </c>
      <c r="T186" s="6">
        <v>0</v>
      </c>
      <c r="U186" s="6">
        <v>0</v>
      </c>
      <c r="V186" s="77">
        <f>IF(ISERROR(VLOOKUP($S$186,'TAR FIN'!$A$1:$O$95,15,0)),0,VLOOKUP($S$186,'TAR FIN'!$A$1:$O$95,15,0))*(1-0.09)</f>
        <v>6.5884</v>
      </c>
      <c r="W186" s="77">
        <f>IF(ISERROR(VLOOKUP($T$186,'TAR FIN'!$A$1:$O$95,15,0)),0,VLOOKUP($T$186,'TAR FIN'!$A$1:$O$95,15,0))*(1-0.09)</f>
        <v>0</v>
      </c>
      <c r="X186" s="77">
        <f>IF(ISERROR(VLOOKUP($U$186,'TAR FIN'!$A$1:$O$95,15,0)),0,VLOOKUP($U$186,'TAR FIN'!$A$1:$O$95,15,0))</f>
        <v>0</v>
      </c>
      <c r="Y186" s="77">
        <f ca="1">('TUSD BE'!$AM$5+'TUSD BF'!$AM$5+'TUSD CVA'!$AM$5)*1*(1-0.06)</f>
        <v>7.4761516139513589</v>
      </c>
      <c r="Z186" s="77">
        <f ca="1">('TUSD BE'!$AM$7+'TUSD BF'!$AM$7+'TUSD CVA'!$AM$7)*1*(1-0.06)</f>
        <v>62.380688814196077</v>
      </c>
      <c r="AA186" s="77"/>
      <c r="AB186" s="6">
        <f>$K$186*$V$186</f>
        <v>97402.905599999998</v>
      </c>
      <c r="AC186" s="6">
        <f>$M$186*$W$186</f>
        <v>0</v>
      </c>
      <c r="AD186" s="6">
        <f>$O$186*$X$186</f>
        <v>0</v>
      </c>
      <c r="AE186" s="6">
        <f ca="1">$K$186*$Y$186</f>
        <v>110527.42546065689</v>
      </c>
      <c r="AF186" s="6">
        <f ca="1">$M$186*$Z$186</f>
        <v>0</v>
      </c>
      <c r="AG186" s="6">
        <f>$O$186*$AA$186</f>
        <v>0</v>
      </c>
    </row>
    <row r="187" spans="1:33" ht="11.25" customHeight="1" x14ac:dyDescent="0.25">
      <c r="A187" s="4" t="s">
        <v>21</v>
      </c>
      <c r="B187" s="4" t="s">
        <v>43</v>
      </c>
      <c r="C187" s="4" t="s">
        <v>44</v>
      </c>
      <c r="D187" s="4" t="s">
        <v>61</v>
      </c>
      <c r="E187" s="4" t="s">
        <v>53</v>
      </c>
      <c r="F187" s="4" t="s">
        <v>25</v>
      </c>
      <c r="G187" s="4" t="s">
        <v>25</v>
      </c>
      <c r="H187" s="4" t="s">
        <v>37</v>
      </c>
      <c r="I187" s="5">
        <v>44287</v>
      </c>
      <c r="J187" s="6">
        <v>14784</v>
      </c>
      <c r="K187" s="77">
        <v>14784</v>
      </c>
      <c r="L187" s="6">
        <v>0</v>
      </c>
      <c r="M187" s="77">
        <v>0</v>
      </c>
      <c r="N187" s="6">
        <v>0</v>
      </c>
      <c r="O187" s="77">
        <v>0</v>
      </c>
      <c r="P187" s="6">
        <v>0</v>
      </c>
      <c r="Q187" s="4" t="s">
        <v>60</v>
      </c>
      <c r="R187" s="4">
        <v>0</v>
      </c>
      <c r="S187" s="6">
        <v>1</v>
      </c>
      <c r="T187" s="6">
        <v>0</v>
      </c>
      <c r="U187" s="6">
        <v>0</v>
      </c>
      <c r="V187" s="77">
        <f>IF(ISERROR(VLOOKUP($S$187,'TAR FIN'!$A$1:$O$95,15,0)),0,VLOOKUP($S$187,'TAR FIN'!$A$1:$O$95,15,0))*(1-0.09)</f>
        <v>6.5884</v>
      </c>
      <c r="W187" s="77">
        <f>IF(ISERROR(VLOOKUP($T$187,'TAR FIN'!$A$1:$O$95,15,0)),0,VLOOKUP($T$187,'TAR FIN'!$A$1:$O$95,15,0))*(1-0.09)</f>
        <v>0</v>
      </c>
      <c r="X187" s="77">
        <f>IF(ISERROR(VLOOKUP($U$187,'TAR FIN'!$A$1:$O$95,15,0)),0,VLOOKUP($U$187,'TAR FIN'!$A$1:$O$95,15,0))</f>
        <v>0</v>
      </c>
      <c r="Y187" s="77">
        <f ca="1">('TUSD BE'!$AM$5+'TUSD BF'!$AM$5+'TUSD CVA'!$AM$5)*1*(1-0.06)</f>
        <v>7.4761516139513589</v>
      </c>
      <c r="Z187" s="77">
        <f ca="1">('TUSD BE'!$AM$7+'TUSD BF'!$AM$7+'TUSD CVA'!$AM$7)*1*(1-0.06)</f>
        <v>62.380688814196077</v>
      </c>
      <c r="AA187" s="77"/>
      <c r="AB187" s="6">
        <f>$K$187*$V$187</f>
        <v>97402.905599999998</v>
      </c>
      <c r="AC187" s="6">
        <f>$M$187*$W$187</f>
        <v>0</v>
      </c>
      <c r="AD187" s="6">
        <f>$O$187*$X$187</f>
        <v>0</v>
      </c>
      <c r="AE187" s="6">
        <f ca="1">$K$187*$Y$187</f>
        <v>110527.42546065689</v>
      </c>
      <c r="AF187" s="6">
        <f ca="1">$M$187*$Z$187</f>
        <v>0</v>
      </c>
      <c r="AG187" s="6">
        <f>$O$187*$AA$187</f>
        <v>0</v>
      </c>
    </row>
    <row r="188" spans="1:33" ht="11.25" customHeight="1" x14ac:dyDescent="0.25">
      <c r="A188" s="4" t="s">
        <v>21</v>
      </c>
      <c r="B188" s="4" t="s">
        <v>43</v>
      </c>
      <c r="C188" s="4" t="s">
        <v>44</v>
      </c>
      <c r="D188" s="4" t="s">
        <v>61</v>
      </c>
      <c r="E188" s="4" t="s">
        <v>53</v>
      </c>
      <c r="F188" s="4" t="s">
        <v>25</v>
      </c>
      <c r="G188" s="4" t="s">
        <v>25</v>
      </c>
      <c r="H188" s="4" t="s">
        <v>37</v>
      </c>
      <c r="I188" s="5">
        <v>44317</v>
      </c>
      <c r="J188" s="6">
        <v>14784</v>
      </c>
      <c r="K188" s="77">
        <v>14784</v>
      </c>
      <c r="L188" s="6">
        <v>0</v>
      </c>
      <c r="M188" s="77">
        <v>0</v>
      </c>
      <c r="N188" s="6">
        <v>0</v>
      </c>
      <c r="O188" s="77">
        <v>0</v>
      </c>
      <c r="P188" s="6">
        <v>0</v>
      </c>
      <c r="Q188" s="4" t="s">
        <v>60</v>
      </c>
      <c r="R188" s="4">
        <v>0</v>
      </c>
      <c r="S188" s="6">
        <v>1</v>
      </c>
      <c r="T188" s="6">
        <v>0</v>
      </c>
      <c r="U188" s="6">
        <v>0</v>
      </c>
      <c r="V188" s="77">
        <f>IF(ISERROR(VLOOKUP($S$188,'TAR FIN'!$A$1:$O$95,15,0)),0,VLOOKUP($S$188,'TAR FIN'!$A$1:$O$95,15,0))*(1-0.09)</f>
        <v>6.5884</v>
      </c>
      <c r="W188" s="77">
        <f>IF(ISERROR(VLOOKUP($T$188,'TAR FIN'!$A$1:$O$95,15,0)),0,VLOOKUP($T$188,'TAR FIN'!$A$1:$O$95,15,0))*(1-0.09)</f>
        <v>0</v>
      </c>
      <c r="X188" s="77">
        <f>IF(ISERROR(VLOOKUP($U$188,'TAR FIN'!$A$1:$O$95,15,0)),0,VLOOKUP($U$188,'TAR FIN'!$A$1:$O$95,15,0))</f>
        <v>0</v>
      </c>
      <c r="Y188" s="77">
        <f ca="1">('TUSD BE'!$AM$5+'TUSD BF'!$AM$5+'TUSD CVA'!$AM$5)*1*(1-0.06)</f>
        <v>7.4761516139513589</v>
      </c>
      <c r="Z188" s="77">
        <f ca="1">('TUSD BE'!$AM$7+'TUSD BF'!$AM$7+'TUSD CVA'!$AM$7)*1*(1-0.06)</f>
        <v>62.380688814196077</v>
      </c>
      <c r="AA188" s="77"/>
      <c r="AB188" s="6">
        <f>$K$188*$V$188</f>
        <v>97402.905599999998</v>
      </c>
      <c r="AC188" s="6">
        <f>$M$188*$W$188</f>
        <v>0</v>
      </c>
      <c r="AD188" s="6">
        <f>$O$188*$X$188</f>
        <v>0</v>
      </c>
      <c r="AE188" s="6">
        <f ca="1">$K$188*$Y$188</f>
        <v>110527.42546065689</v>
      </c>
      <c r="AF188" s="6">
        <f ca="1">$M$188*$Z$188</f>
        <v>0</v>
      </c>
      <c r="AG188" s="6">
        <f>$O$188*$AA$188</f>
        <v>0</v>
      </c>
    </row>
    <row r="189" spans="1:33" ht="11.25" customHeight="1" x14ac:dyDescent="0.25">
      <c r="A189" s="4" t="s">
        <v>21</v>
      </c>
      <c r="B189" s="4" t="s">
        <v>43</v>
      </c>
      <c r="C189" s="4" t="s">
        <v>44</v>
      </c>
      <c r="D189" s="4" t="s">
        <v>61</v>
      </c>
      <c r="E189" s="4" t="s">
        <v>53</v>
      </c>
      <c r="F189" s="4" t="s">
        <v>25</v>
      </c>
      <c r="G189" s="4" t="s">
        <v>25</v>
      </c>
      <c r="H189" s="4" t="s">
        <v>37</v>
      </c>
      <c r="I189" s="5">
        <v>44348</v>
      </c>
      <c r="J189" s="6">
        <v>14784</v>
      </c>
      <c r="K189" s="77">
        <v>14784</v>
      </c>
      <c r="L189" s="6">
        <v>0</v>
      </c>
      <c r="M189" s="77">
        <v>0</v>
      </c>
      <c r="N189" s="6">
        <v>0</v>
      </c>
      <c r="O189" s="77">
        <v>0</v>
      </c>
      <c r="P189" s="6">
        <v>0</v>
      </c>
      <c r="Q189" s="4" t="s">
        <v>60</v>
      </c>
      <c r="R189" s="4">
        <v>0</v>
      </c>
      <c r="S189" s="6">
        <v>1</v>
      </c>
      <c r="T189" s="6">
        <v>0</v>
      </c>
      <c r="U189" s="6">
        <v>0</v>
      </c>
      <c r="V189" s="77">
        <f>IF(ISERROR(VLOOKUP($S$189,'TAR FIN'!$A$1:$O$95,15,0)),0,VLOOKUP($S$189,'TAR FIN'!$A$1:$O$95,15,0))*(1-0.09)</f>
        <v>6.5884</v>
      </c>
      <c r="W189" s="77">
        <f>IF(ISERROR(VLOOKUP($T$189,'TAR FIN'!$A$1:$O$95,15,0)),0,VLOOKUP($T$189,'TAR FIN'!$A$1:$O$95,15,0))*(1-0.09)</f>
        <v>0</v>
      </c>
      <c r="X189" s="77">
        <f>IF(ISERROR(VLOOKUP($U$189,'TAR FIN'!$A$1:$O$95,15,0)),0,VLOOKUP($U$189,'TAR FIN'!$A$1:$O$95,15,0))</f>
        <v>0</v>
      </c>
      <c r="Y189" s="77">
        <f ca="1">('TUSD BE'!$AM$5+'TUSD BF'!$AM$5+'TUSD CVA'!$AM$5)*1*(1-0.06)</f>
        <v>7.4761516139513589</v>
      </c>
      <c r="Z189" s="77">
        <f ca="1">('TUSD BE'!$AM$7+'TUSD BF'!$AM$7+'TUSD CVA'!$AM$7)*1*(1-0.06)</f>
        <v>62.380688814196077</v>
      </c>
      <c r="AA189" s="77"/>
      <c r="AB189" s="6">
        <f>$K$189*$V$189</f>
        <v>97402.905599999998</v>
      </c>
      <c r="AC189" s="6">
        <f>$M$189*$W$189</f>
        <v>0</v>
      </c>
      <c r="AD189" s="6">
        <f>$O$189*$X$189</f>
        <v>0</v>
      </c>
      <c r="AE189" s="6">
        <f ca="1">$K$189*$Y$189</f>
        <v>110527.42546065689</v>
      </c>
      <c r="AF189" s="6">
        <f ca="1">$M$189*$Z$189</f>
        <v>0</v>
      </c>
      <c r="AG189" s="6">
        <f>$O$189*$AA$189</f>
        <v>0</v>
      </c>
    </row>
    <row r="190" spans="1:33" ht="11.25" customHeight="1" x14ac:dyDescent="0.25">
      <c r="A190" s="4" t="s">
        <v>21</v>
      </c>
      <c r="B190" s="4" t="s">
        <v>43</v>
      </c>
      <c r="C190" s="4" t="s">
        <v>44</v>
      </c>
      <c r="D190" s="4" t="s">
        <v>61</v>
      </c>
      <c r="E190" s="4" t="s">
        <v>53</v>
      </c>
      <c r="F190" s="4" t="s">
        <v>25</v>
      </c>
      <c r="G190" s="4" t="s">
        <v>25</v>
      </c>
      <c r="H190" s="4" t="s">
        <v>37</v>
      </c>
      <c r="I190" s="5">
        <v>44378</v>
      </c>
      <c r="J190" s="6">
        <v>14784</v>
      </c>
      <c r="K190" s="77">
        <v>14784</v>
      </c>
      <c r="L190" s="6">
        <v>0</v>
      </c>
      <c r="M190" s="77">
        <v>0</v>
      </c>
      <c r="N190" s="6">
        <v>0</v>
      </c>
      <c r="O190" s="77">
        <v>0</v>
      </c>
      <c r="P190" s="6">
        <v>0</v>
      </c>
      <c r="Q190" s="4" t="s">
        <v>60</v>
      </c>
      <c r="R190" s="4">
        <v>0</v>
      </c>
      <c r="S190" s="6">
        <v>1</v>
      </c>
      <c r="T190" s="6">
        <v>0</v>
      </c>
      <c r="U190" s="6">
        <v>0</v>
      </c>
      <c r="V190" s="77">
        <f>IF(ISERROR(VLOOKUP($S$190,'TAR FIN'!$A$1:$O$95,15,0)),0,VLOOKUP($S$190,'TAR FIN'!$A$1:$O$95,15,0))*(1-0.09)</f>
        <v>6.5884</v>
      </c>
      <c r="W190" s="77">
        <f>IF(ISERROR(VLOOKUP($T$190,'TAR FIN'!$A$1:$O$95,15,0)),0,VLOOKUP($T$190,'TAR FIN'!$A$1:$O$95,15,0))*(1-0.09)</f>
        <v>0</v>
      </c>
      <c r="X190" s="77">
        <f>IF(ISERROR(VLOOKUP($U$190,'TAR FIN'!$A$1:$O$95,15,0)),0,VLOOKUP($U$190,'TAR FIN'!$A$1:$O$95,15,0))</f>
        <v>0</v>
      </c>
      <c r="Y190" s="77">
        <f ca="1">('TUSD BE'!$AM$5+'TUSD BF'!$AM$5+'TUSD CVA'!$AM$5)*1*(1-0.06)</f>
        <v>7.4761516139513589</v>
      </c>
      <c r="Z190" s="77">
        <f ca="1">('TUSD BE'!$AM$7+'TUSD BF'!$AM$7+'TUSD CVA'!$AM$7)*1*(1-0.06)</f>
        <v>62.380688814196077</v>
      </c>
      <c r="AA190" s="77"/>
      <c r="AB190" s="6">
        <f>$K$190*$V$190</f>
        <v>97402.905599999998</v>
      </c>
      <c r="AC190" s="6">
        <f>$M$190*$W$190</f>
        <v>0</v>
      </c>
      <c r="AD190" s="6">
        <f>$O$190*$X$190</f>
        <v>0</v>
      </c>
      <c r="AE190" s="6">
        <f ca="1">$K$190*$Y$190</f>
        <v>110527.42546065689</v>
      </c>
      <c r="AF190" s="6">
        <f ca="1">$M$190*$Z$190</f>
        <v>0</v>
      </c>
      <c r="AG190" s="6">
        <f>$O$190*$AA$190</f>
        <v>0</v>
      </c>
    </row>
    <row r="191" spans="1:33" ht="11.25" customHeight="1" x14ac:dyDescent="0.25">
      <c r="A191" s="4" t="s">
        <v>21</v>
      </c>
      <c r="B191" s="4" t="s">
        <v>43</v>
      </c>
      <c r="C191" s="4" t="s">
        <v>44</v>
      </c>
      <c r="D191" s="4" t="s">
        <v>61</v>
      </c>
      <c r="E191" s="4" t="s">
        <v>53</v>
      </c>
      <c r="F191" s="4" t="s">
        <v>25</v>
      </c>
      <c r="G191" s="4" t="s">
        <v>25</v>
      </c>
      <c r="H191" s="4" t="s">
        <v>37</v>
      </c>
      <c r="I191" s="5">
        <v>44409</v>
      </c>
      <c r="J191" s="6">
        <v>14784</v>
      </c>
      <c r="K191" s="77">
        <v>14784</v>
      </c>
      <c r="L191" s="6">
        <v>0</v>
      </c>
      <c r="M191" s="77">
        <v>0</v>
      </c>
      <c r="N191" s="6">
        <v>0</v>
      </c>
      <c r="O191" s="77">
        <v>0</v>
      </c>
      <c r="P191" s="6">
        <v>0</v>
      </c>
      <c r="Q191" s="4" t="s">
        <v>60</v>
      </c>
      <c r="R191" s="4">
        <v>0</v>
      </c>
      <c r="S191" s="6">
        <v>1</v>
      </c>
      <c r="T191" s="6">
        <v>0</v>
      </c>
      <c r="U191" s="6">
        <v>0</v>
      </c>
      <c r="V191" s="77">
        <f>IF(ISERROR(VLOOKUP($S$191,'TAR FIN'!$A$1:$O$95,15,0)),0,VLOOKUP($S$191,'TAR FIN'!$A$1:$O$95,15,0))*(1-0.09)</f>
        <v>6.5884</v>
      </c>
      <c r="W191" s="77">
        <f>IF(ISERROR(VLOOKUP($T$191,'TAR FIN'!$A$1:$O$95,15,0)),0,VLOOKUP($T$191,'TAR FIN'!$A$1:$O$95,15,0))*(1-0.09)</f>
        <v>0</v>
      </c>
      <c r="X191" s="77">
        <f>IF(ISERROR(VLOOKUP($U$191,'TAR FIN'!$A$1:$O$95,15,0)),0,VLOOKUP($U$191,'TAR FIN'!$A$1:$O$95,15,0))</f>
        <v>0</v>
      </c>
      <c r="Y191" s="77">
        <f ca="1">('TUSD BE'!$AM$5+'TUSD BF'!$AM$5+'TUSD CVA'!$AM$5)*1*(1-0.06)</f>
        <v>7.4761516139513589</v>
      </c>
      <c r="Z191" s="77">
        <f ca="1">('TUSD BE'!$AM$7+'TUSD BF'!$AM$7+'TUSD CVA'!$AM$7)*1*(1-0.06)</f>
        <v>62.380688814196077</v>
      </c>
      <c r="AA191" s="77"/>
      <c r="AB191" s="6">
        <f>$K$191*$V$191</f>
        <v>97402.905599999998</v>
      </c>
      <c r="AC191" s="6">
        <f>$M$191*$W$191</f>
        <v>0</v>
      </c>
      <c r="AD191" s="6">
        <f>$O$191*$X$191</f>
        <v>0</v>
      </c>
      <c r="AE191" s="6">
        <f ca="1">$K$191*$Y$191</f>
        <v>110527.42546065689</v>
      </c>
      <c r="AF191" s="6">
        <f ca="1">$M$191*$Z$191</f>
        <v>0</v>
      </c>
      <c r="AG191" s="6">
        <f>$O$191*$AA$191</f>
        <v>0</v>
      </c>
    </row>
    <row r="192" spans="1:33" ht="11.25" customHeight="1" x14ac:dyDescent="0.25">
      <c r="A192" s="4" t="s">
        <v>21</v>
      </c>
      <c r="B192" s="4" t="s">
        <v>43</v>
      </c>
      <c r="C192" s="4" t="s">
        <v>44</v>
      </c>
      <c r="D192" s="4" t="s">
        <v>61</v>
      </c>
      <c r="E192" s="4" t="s">
        <v>53</v>
      </c>
      <c r="F192" s="4" t="s">
        <v>25</v>
      </c>
      <c r="G192" s="4" t="s">
        <v>25</v>
      </c>
      <c r="H192" s="4" t="s">
        <v>37</v>
      </c>
      <c r="I192" s="5">
        <v>44440</v>
      </c>
      <c r="J192" s="6">
        <v>14784</v>
      </c>
      <c r="K192" s="77">
        <v>14784</v>
      </c>
      <c r="L192" s="6">
        <v>0</v>
      </c>
      <c r="M192" s="77">
        <v>0</v>
      </c>
      <c r="N192" s="6">
        <v>0</v>
      </c>
      <c r="O192" s="77">
        <v>0</v>
      </c>
      <c r="P192" s="6">
        <v>0</v>
      </c>
      <c r="Q192" s="4" t="s">
        <v>60</v>
      </c>
      <c r="R192" s="4">
        <v>0</v>
      </c>
      <c r="S192" s="6">
        <v>1</v>
      </c>
      <c r="T192" s="6">
        <v>0</v>
      </c>
      <c r="U192" s="6">
        <v>0</v>
      </c>
      <c r="V192" s="77">
        <f>IF(ISERROR(VLOOKUP($S$192,'TAR FIN'!$A$1:$O$95,15,0)),0,VLOOKUP($S$192,'TAR FIN'!$A$1:$O$95,15,0))*(1-0.09)</f>
        <v>6.5884</v>
      </c>
      <c r="W192" s="77">
        <f>IF(ISERROR(VLOOKUP($T$192,'TAR FIN'!$A$1:$O$95,15,0)),0,VLOOKUP($T$192,'TAR FIN'!$A$1:$O$95,15,0))*(1-0.09)</f>
        <v>0</v>
      </c>
      <c r="X192" s="77">
        <f>IF(ISERROR(VLOOKUP($U$192,'TAR FIN'!$A$1:$O$95,15,0)),0,VLOOKUP($U$192,'TAR FIN'!$A$1:$O$95,15,0))</f>
        <v>0</v>
      </c>
      <c r="Y192" s="77">
        <f ca="1">('TUSD BE'!$AM$5+'TUSD BF'!$AM$5+'TUSD CVA'!$AM$5)*1*(1-0.06)</f>
        <v>7.4761516139513589</v>
      </c>
      <c r="Z192" s="77">
        <f ca="1">('TUSD BE'!$AM$7+'TUSD BF'!$AM$7+'TUSD CVA'!$AM$7)*1*(1-0.06)</f>
        <v>62.380688814196077</v>
      </c>
      <c r="AA192" s="77"/>
      <c r="AB192" s="6">
        <f>$K$192*$V$192</f>
        <v>97402.905599999998</v>
      </c>
      <c r="AC192" s="6">
        <f>$M$192*$W$192</f>
        <v>0</v>
      </c>
      <c r="AD192" s="6">
        <f>$O$192*$X$192</f>
        <v>0</v>
      </c>
      <c r="AE192" s="6">
        <f ca="1">$K$192*$Y$192</f>
        <v>110527.42546065689</v>
      </c>
      <c r="AF192" s="6">
        <f ca="1">$M$192*$Z$192</f>
        <v>0</v>
      </c>
      <c r="AG192" s="6">
        <f>$O$192*$AA$192</f>
        <v>0</v>
      </c>
    </row>
    <row r="193" spans="1:33" ht="11.25" customHeight="1" x14ac:dyDescent="0.25">
      <c r="A193" s="4" t="s">
        <v>59</v>
      </c>
      <c r="B193" s="4" t="s">
        <v>43</v>
      </c>
      <c r="C193" s="4" t="s">
        <v>44</v>
      </c>
      <c r="D193" s="4" t="s">
        <v>61</v>
      </c>
      <c r="E193" s="4" t="s">
        <v>53</v>
      </c>
      <c r="F193" s="4" t="s">
        <v>25</v>
      </c>
      <c r="G193" s="4" t="s">
        <v>25</v>
      </c>
      <c r="H193" s="4" t="s">
        <v>37</v>
      </c>
      <c r="I193" s="5">
        <v>44470</v>
      </c>
      <c r="J193" s="6">
        <v>14784</v>
      </c>
      <c r="K193" s="77">
        <v>14784</v>
      </c>
      <c r="L193" s="6">
        <v>0</v>
      </c>
      <c r="M193" s="77">
        <v>0</v>
      </c>
      <c r="N193" s="6">
        <v>0</v>
      </c>
      <c r="O193" s="77">
        <v>0</v>
      </c>
      <c r="P193" s="6">
        <v>0</v>
      </c>
      <c r="Q193" s="4" t="s">
        <v>60</v>
      </c>
      <c r="R193" s="4">
        <v>0</v>
      </c>
      <c r="S193" s="6">
        <v>1</v>
      </c>
      <c r="T193" s="6">
        <v>0</v>
      </c>
      <c r="U193" s="6">
        <v>0</v>
      </c>
      <c r="V193" s="77">
        <f>IF(ISERROR(VLOOKUP($S$193,'TAR FIN'!$A$1:$O$95,15,0)),0,VLOOKUP($S$193,'TAR FIN'!$A$1:$O$95,15,0))*(1-0.09)</f>
        <v>6.5884</v>
      </c>
      <c r="W193" s="77">
        <f>IF(ISERROR(VLOOKUP($T$193,'TAR FIN'!$A$1:$O$95,15,0)),0,VLOOKUP($T$193,'TAR FIN'!$A$1:$O$95,15,0))*(1-0.09)</f>
        <v>0</v>
      </c>
      <c r="X193" s="77">
        <f>IF(ISERROR(VLOOKUP($U$193,'TAR FIN'!$A$1:$O$95,15,0)),0,VLOOKUP($U$193,'TAR FIN'!$A$1:$O$95,15,0))</f>
        <v>0</v>
      </c>
      <c r="Y193" s="77">
        <f ca="1">('TUSD BE'!$AM$5+'TUSD BF'!$AM$5+'TUSD CVA'!$AM$5)*1*(1-0.06)</f>
        <v>7.4761516139513589</v>
      </c>
      <c r="Z193" s="77">
        <f ca="1">('TUSD BE'!$AM$7+'TUSD BF'!$AM$7+'TUSD CVA'!$AM$7)*1*(1-0.06)</f>
        <v>62.380688814196077</v>
      </c>
      <c r="AA193" s="77"/>
      <c r="AB193" s="6">
        <f>$K$193*$V$193</f>
        <v>97402.905599999998</v>
      </c>
      <c r="AC193" s="6">
        <f>$M$193*$W$193</f>
        <v>0</v>
      </c>
      <c r="AD193" s="6">
        <f>$O$193*$X$193</f>
        <v>0</v>
      </c>
      <c r="AE193" s="6">
        <f ca="1">$K$193*$Y$193</f>
        <v>110527.42546065689</v>
      </c>
      <c r="AF193" s="6">
        <f ca="1">$M$193*$Z$193</f>
        <v>0</v>
      </c>
      <c r="AG193" s="6">
        <f>$O$193*$AA$193</f>
        <v>0</v>
      </c>
    </row>
    <row r="194" spans="1:33" ht="11.25" customHeight="1" x14ac:dyDescent="0.25">
      <c r="A194" s="4" t="s">
        <v>21</v>
      </c>
      <c r="B194" s="4" t="s">
        <v>43</v>
      </c>
      <c r="C194" s="4" t="s">
        <v>63</v>
      </c>
      <c r="D194" s="4" t="s">
        <v>25</v>
      </c>
      <c r="E194" s="4" t="s">
        <v>25</v>
      </c>
      <c r="F194" s="4" t="s">
        <v>25</v>
      </c>
      <c r="G194" s="4" t="s">
        <v>64</v>
      </c>
      <c r="H194" s="4" t="s">
        <v>25</v>
      </c>
      <c r="I194" s="5">
        <v>44136</v>
      </c>
      <c r="J194" s="6">
        <v>157500</v>
      </c>
      <c r="K194" s="6">
        <v>157500</v>
      </c>
      <c r="L194" s="6">
        <v>0</v>
      </c>
      <c r="M194" s="6">
        <v>0</v>
      </c>
      <c r="N194" s="6">
        <v>0</v>
      </c>
      <c r="O194" s="6">
        <v>0</v>
      </c>
      <c r="P194" s="6">
        <v>0</v>
      </c>
      <c r="Q194" s="4" t="s">
        <v>65</v>
      </c>
      <c r="R194" s="4">
        <v>27250</v>
      </c>
      <c r="S194" s="6">
        <v>27</v>
      </c>
      <c r="T194" s="6">
        <v>0</v>
      </c>
      <c r="U194" s="6">
        <v>0</v>
      </c>
      <c r="V194" s="6">
        <f>IF(ISERROR(VLOOKUP($S$194,'TAR FIN'!$A$1:$O$95,15,0)),0,VLOOKUP($S$194,'TAR FIN'!$A$1:$O$95,15,0))</f>
        <v>7.58</v>
      </c>
      <c r="W194" s="6">
        <f>IF(ISERROR(VLOOKUP($T$194,'TAR FIN'!$A$1:$O$95,15,0)),0,VLOOKUP($T$194,'TAR FIN'!$A$1:$O$95,15,0))</f>
        <v>0</v>
      </c>
      <c r="X194" s="6">
        <f>IF(ISERROR(VLOOKUP($U$194,'TAR FIN'!$A$1:$O$95,15,0)),0,VLOOKUP($U$194,'TAR FIN'!$A$1:$O$95,15,0))</f>
        <v>0</v>
      </c>
      <c r="Y194" s="6">
        <f ca="1">('TUSD BE'!$AM$9+'TUSD BF'!$AM$9+'TUSD CVA'!$AM$9)*1</f>
        <v>9.1574451247299731</v>
      </c>
      <c r="Z194" s="6"/>
      <c r="AA194" s="6"/>
      <c r="AB194" s="6">
        <f>$K$194*$V$194</f>
        <v>1193850</v>
      </c>
      <c r="AC194" s="6">
        <f>$M$194*$W$194</f>
        <v>0</v>
      </c>
      <c r="AD194" s="6">
        <f>$O$194*$X$194</f>
        <v>0</v>
      </c>
      <c r="AE194" s="6">
        <f ca="1">$K$194*$Y$194</f>
        <v>1442297.6071449707</v>
      </c>
      <c r="AF194" s="6">
        <f>$M$194*$Z$194</f>
        <v>0</v>
      </c>
      <c r="AG194" s="6">
        <f>$O$194*$AA$194</f>
        <v>0</v>
      </c>
    </row>
    <row r="195" spans="1:33" ht="11.25" customHeight="1" x14ac:dyDescent="0.25">
      <c r="A195" s="4" t="s">
        <v>21</v>
      </c>
      <c r="B195" s="4" t="s">
        <v>43</v>
      </c>
      <c r="C195" s="4" t="s">
        <v>63</v>
      </c>
      <c r="D195" s="4" t="s">
        <v>25</v>
      </c>
      <c r="E195" s="4" t="s">
        <v>25</v>
      </c>
      <c r="F195" s="4" t="s">
        <v>25</v>
      </c>
      <c r="G195" s="4" t="s">
        <v>66</v>
      </c>
      <c r="H195" s="4" t="s">
        <v>25</v>
      </c>
      <c r="I195" s="5">
        <v>44136</v>
      </c>
      <c r="J195" s="6">
        <v>60000</v>
      </c>
      <c r="K195" s="6">
        <v>60000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4" t="s">
        <v>65</v>
      </c>
      <c r="R195" s="4">
        <v>29272</v>
      </c>
      <c r="S195" s="6">
        <v>27</v>
      </c>
      <c r="T195" s="6">
        <v>0</v>
      </c>
      <c r="U195" s="6">
        <v>0</v>
      </c>
      <c r="V195" s="6">
        <f>IF(ISERROR(VLOOKUP($S$195,'TAR FIN'!$A$1:$O$95,15,0)),0,VLOOKUP($S$195,'TAR FIN'!$A$1:$O$95,15,0))</f>
        <v>7.58</v>
      </c>
      <c r="W195" s="6">
        <f>IF(ISERROR(VLOOKUP($T$195,'TAR FIN'!$A$1:$O$95,15,0)),0,VLOOKUP($T$195,'TAR FIN'!$A$1:$O$95,15,0))</f>
        <v>0</v>
      </c>
      <c r="X195" s="6">
        <f>IF(ISERROR(VLOOKUP($U$195,'TAR FIN'!$A$1:$O$95,15,0)),0,VLOOKUP($U$195,'TAR FIN'!$A$1:$O$95,15,0))</f>
        <v>0</v>
      </c>
      <c r="Y195" s="6">
        <f ca="1">('TUSD BE'!$AM$9+'TUSD BF'!$AM$9+'TUSD CVA'!$AM$9)*1</f>
        <v>9.1574451247299731</v>
      </c>
      <c r="Z195" s="6"/>
      <c r="AA195" s="6"/>
      <c r="AB195" s="6">
        <f>$K$195*$V$195</f>
        <v>454800</v>
      </c>
      <c r="AC195" s="6">
        <f>$M$195*$W$195</f>
        <v>0</v>
      </c>
      <c r="AD195" s="6">
        <f>$O$195*$X$195</f>
        <v>0</v>
      </c>
      <c r="AE195" s="6">
        <f ca="1">$K$195*$Y$195</f>
        <v>549446.70748379838</v>
      </c>
      <c r="AF195" s="6">
        <f>$M$195*$Z$195</f>
        <v>0</v>
      </c>
      <c r="AG195" s="6">
        <f>$O$195*$AA$195</f>
        <v>0</v>
      </c>
    </row>
    <row r="196" spans="1:33" ht="11.25" customHeight="1" x14ac:dyDescent="0.25">
      <c r="A196" s="4" t="s">
        <v>21</v>
      </c>
      <c r="B196" s="4" t="s">
        <v>43</v>
      </c>
      <c r="C196" s="4" t="s">
        <v>63</v>
      </c>
      <c r="D196" s="4" t="s">
        <v>25</v>
      </c>
      <c r="E196" s="4" t="s">
        <v>25</v>
      </c>
      <c r="F196" s="4" t="s">
        <v>25</v>
      </c>
      <c r="G196" s="4" t="s">
        <v>67</v>
      </c>
      <c r="H196" s="4" t="s">
        <v>25</v>
      </c>
      <c r="I196" s="5">
        <v>44136</v>
      </c>
      <c r="J196" s="6">
        <v>60000</v>
      </c>
      <c r="K196" s="6">
        <v>60000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4" t="s">
        <v>65</v>
      </c>
      <c r="R196" s="4">
        <v>29276</v>
      </c>
      <c r="S196" s="6">
        <v>27</v>
      </c>
      <c r="T196" s="6">
        <v>0</v>
      </c>
      <c r="U196" s="6">
        <v>0</v>
      </c>
      <c r="V196" s="6">
        <f>IF(ISERROR(VLOOKUP($S$196,'TAR FIN'!$A$1:$O$95,15,0)),0,VLOOKUP($S$196,'TAR FIN'!$A$1:$O$95,15,0))</f>
        <v>7.58</v>
      </c>
      <c r="W196" s="6">
        <f>IF(ISERROR(VLOOKUP($T$196,'TAR FIN'!$A$1:$O$95,15,0)),0,VLOOKUP($T$196,'TAR FIN'!$A$1:$O$95,15,0))</f>
        <v>0</v>
      </c>
      <c r="X196" s="6">
        <f>IF(ISERROR(VLOOKUP($U$196,'TAR FIN'!$A$1:$O$95,15,0)),0,VLOOKUP($U$196,'TAR FIN'!$A$1:$O$95,15,0))</f>
        <v>0</v>
      </c>
      <c r="Y196" s="6">
        <f ca="1">('TUSD BE'!$AM$9+'TUSD BF'!$AM$9+'TUSD CVA'!$AM$9)*1</f>
        <v>9.1574451247299731</v>
      </c>
      <c r="Z196" s="6"/>
      <c r="AA196" s="6"/>
      <c r="AB196" s="6">
        <f>$K$196*$V$196</f>
        <v>454800</v>
      </c>
      <c r="AC196" s="6">
        <f>$M$196*$W$196</f>
        <v>0</v>
      </c>
      <c r="AD196" s="6">
        <f>$O$196*$X$196</f>
        <v>0</v>
      </c>
      <c r="AE196" s="6">
        <f ca="1">$K$196*$Y$196</f>
        <v>549446.70748379838</v>
      </c>
      <c r="AF196" s="6">
        <f>$M$196*$Z$196</f>
        <v>0</v>
      </c>
      <c r="AG196" s="6">
        <f>$O$196*$AA$196</f>
        <v>0</v>
      </c>
    </row>
    <row r="197" spans="1:33" ht="11.25" customHeight="1" x14ac:dyDescent="0.25">
      <c r="A197" s="4" t="s">
        <v>21</v>
      </c>
      <c r="B197" s="4" t="s">
        <v>43</v>
      </c>
      <c r="C197" s="4" t="s">
        <v>63</v>
      </c>
      <c r="D197" s="4" t="s">
        <v>25</v>
      </c>
      <c r="E197" s="4" t="s">
        <v>25</v>
      </c>
      <c r="F197" s="4" t="s">
        <v>25</v>
      </c>
      <c r="G197" s="4" t="s">
        <v>68</v>
      </c>
      <c r="H197" s="4" t="s">
        <v>25</v>
      </c>
      <c r="I197" s="5">
        <v>44136</v>
      </c>
      <c r="J197" s="6">
        <v>60000</v>
      </c>
      <c r="K197" s="6">
        <v>60000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4" t="s">
        <v>65</v>
      </c>
      <c r="R197" s="4">
        <v>29361</v>
      </c>
      <c r="S197" s="6">
        <v>27</v>
      </c>
      <c r="T197" s="6">
        <v>0</v>
      </c>
      <c r="U197" s="6">
        <v>0</v>
      </c>
      <c r="V197" s="6">
        <f>IF(ISERROR(VLOOKUP($S$197,'TAR FIN'!$A$1:$O$95,15,0)),0,VLOOKUP($S$197,'TAR FIN'!$A$1:$O$95,15,0))</f>
        <v>7.58</v>
      </c>
      <c r="W197" s="6">
        <f>IF(ISERROR(VLOOKUP($T$197,'TAR FIN'!$A$1:$O$95,15,0)),0,VLOOKUP($T$197,'TAR FIN'!$A$1:$O$95,15,0))</f>
        <v>0</v>
      </c>
      <c r="X197" s="6">
        <f>IF(ISERROR(VLOOKUP($U$197,'TAR FIN'!$A$1:$O$95,15,0)),0,VLOOKUP($U$197,'TAR FIN'!$A$1:$O$95,15,0))</f>
        <v>0</v>
      </c>
      <c r="Y197" s="6">
        <f ca="1">('TUSD BE'!$AM$9+'TUSD BF'!$AM$9+'TUSD CVA'!$AM$9)*1</f>
        <v>9.1574451247299731</v>
      </c>
      <c r="Z197" s="6"/>
      <c r="AA197" s="6"/>
      <c r="AB197" s="6">
        <f>$K$197*$V$197</f>
        <v>454800</v>
      </c>
      <c r="AC197" s="6">
        <f>$M$197*$W$197</f>
        <v>0</v>
      </c>
      <c r="AD197" s="6">
        <f>$O$197*$X$197</f>
        <v>0</v>
      </c>
      <c r="AE197" s="6">
        <f ca="1">$K$197*$Y$197</f>
        <v>549446.70748379838</v>
      </c>
      <c r="AF197" s="6">
        <f>$M$197*$Z$197</f>
        <v>0</v>
      </c>
      <c r="AG197" s="6">
        <f>$O$197*$AA$197</f>
        <v>0</v>
      </c>
    </row>
    <row r="198" spans="1:33" ht="11.25" customHeight="1" x14ac:dyDescent="0.25">
      <c r="A198" s="4" t="s">
        <v>21</v>
      </c>
      <c r="B198" s="4" t="s">
        <v>43</v>
      </c>
      <c r="C198" s="4" t="s">
        <v>63</v>
      </c>
      <c r="D198" s="4" t="s">
        <v>25</v>
      </c>
      <c r="E198" s="4" t="s">
        <v>25</v>
      </c>
      <c r="F198" s="4" t="s">
        <v>25</v>
      </c>
      <c r="G198" s="4" t="s">
        <v>69</v>
      </c>
      <c r="H198" s="4" t="s">
        <v>25</v>
      </c>
      <c r="I198" s="5">
        <v>44136</v>
      </c>
      <c r="J198" s="6">
        <v>63000</v>
      </c>
      <c r="K198" s="6">
        <v>63000</v>
      </c>
      <c r="L198" s="6">
        <v>0</v>
      </c>
      <c r="M198" s="6">
        <v>0</v>
      </c>
      <c r="N198" s="6">
        <v>0</v>
      </c>
      <c r="O198" s="6">
        <v>0</v>
      </c>
      <c r="P198" s="6">
        <v>0</v>
      </c>
      <c r="Q198" s="4" t="s">
        <v>65</v>
      </c>
      <c r="R198" s="4">
        <v>29432</v>
      </c>
      <c r="S198" s="6">
        <v>27</v>
      </c>
      <c r="T198" s="6">
        <v>0</v>
      </c>
      <c r="U198" s="6">
        <v>0</v>
      </c>
      <c r="V198" s="6">
        <f>IF(ISERROR(VLOOKUP($S$198,'TAR FIN'!$A$1:$O$95,15,0)),0,VLOOKUP($S$198,'TAR FIN'!$A$1:$O$95,15,0))</f>
        <v>7.58</v>
      </c>
      <c r="W198" s="6">
        <f>IF(ISERROR(VLOOKUP($T$198,'TAR FIN'!$A$1:$O$95,15,0)),0,VLOOKUP($T$198,'TAR FIN'!$A$1:$O$95,15,0))</f>
        <v>0</v>
      </c>
      <c r="X198" s="6">
        <f>IF(ISERROR(VLOOKUP($U$198,'TAR FIN'!$A$1:$O$95,15,0)),0,VLOOKUP($U$198,'TAR FIN'!$A$1:$O$95,15,0))</f>
        <v>0</v>
      </c>
      <c r="Y198" s="6">
        <f ca="1">('TUSD BE'!$AM$9+'TUSD BF'!$AM$9+'TUSD CVA'!$AM$9)*1</f>
        <v>9.1574451247299731</v>
      </c>
      <c r="Z198" s="6"/>
      <c r="AA198" s="6"/>
      <c r="AB198" s="6">
        <f>$K$198*$V$198</f>
        <v>477540</v>
      </c>
      <c r="AC198" s="6">
        <f>$M$198*$W$198</f>
        <v>0</v>
      </c>
      <c r="AD198" s="6">
        <f>$O$198*$X$198</f>
        <v>0</v>
      </c>
      <c r="AE198" s="6">
        <f ca="1">$K$198*$Y$198</f>
        <v>576919.04285798827</v>
      </c>
      <c r="AF198" s="6">
        <f>$M$198*$Z$198</f>
        <v>0</v>
      </c>
      <c r="AG198" s="6">
        <f>$O$198*$AA$198</f>
        <v>0</v>
      </c>
    </row>
    <row r="199" spans="1:33" ht="11.25" customHeight="1" x14ac:dyDescent="0.25">
      <c r="A199" s="4" t="s">
        <v>21</v>
      </c>
      <c r="B199" s="4" t="s">
        <v>43</v>
      </c>
      <c r="C199" s="4" t="s">
        <v>63</v>
      </c>
      <c r="D199" s="4" t="s">
        <v>25</v>
      </c>
      <c r="E199" s="4" t="s">
        <v>25</v>
      </c>
      <c r="F199" s="4" t="s">
        <v>25</v>
      </c>
      <c r="G199" s="4" t="s">
        <v>64</v>
      </c>
      <c r="H199" s="4" t="s">
        <v>25</v>
      </c>
      <c r="I199" s="5">
        <v>44166</v>
      </c>
      <c r="J199" s="6">
        <v>157500</v>
      </c>
      <c r="K199" s="6">
        <v>157500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4" t="s">
        <v>65</v>
      </c>
      <c r="R199" s="4">
        <v>27250</v>
      </c>
      <c r="S199" s="6">
        <v>27</v>
      </c>
      <c r="T199" s="6">
        <v>0</v>
      </c>
      <c r="U199" s="6">
        <v>0</v>
      </c>
      <c r="V199" s="6">
        <f>IF(ISERROR(VLOOKUP($S$199,'TAR FIN'!$A$1:$O$95,15,0)),0,VLOOKUP($S$199,'TAR FIN'!$A$1:$O$95,15,0))</f>
        <v>7.58</v>
      </c>
      <c r="W199" s="6">
        <f>IF(ISERROR(VLOOKUP($T$199,'TAR FIN'!$A$1:$O$95,15,0)),0,VLOOKUP($T$199,'TAR FIN'!$A$1:$O$95,15,0))</f>
        <v>0</v>
      </c>
      <c r="X199" s="6">
        <f>IF(ISERROR(VLOOKUP($U$199,'TAR FIN'!$A$1:$O$95,15,0)),0,VLOOKUP($U$199,'TAR FIN'!$A$1:$O$95,15,0))</f>
        <v>0</v>
      </c>
      <c r="Y199" s="6">
        <f ca="1">('TUSD BE'!$AM$9+'TUSD BF'!$AM$9+'TUSD CVA'!$AM$9)*1</f>
        <v>9.1574451247299731</v>
      </c>
      <c r="Z199" s="6"/>
      <c r="AA199" s="6"/>
      <c r="AB199" s="6">
        <f>$K$199*$V$199</f>
        <v>1193850</v>
      </c>
      <c r="AC199" s="6">
        <f>$M$199*$W$199</f>
        <v>0</v>
      </c>
      <c r="AD199" s="6">
        <f>$O$199*$X$199</f>
        <v>0</v>
      </c>
      <c r="AE199" s="6">
        <f ca="1">$K$199*$Y$199</f>
        <v>1442297.6071449707</v>
      </c>
      <c r="AF199" s="6">
        <f>$M$199*$Z$199</f>
        <v>0</v>
      </c>
      <c r="AG199" s="6">
        <f>$O$199*$AA$199</f>
        <v>0</v>
      </c>
    </row>
    <row r="200" spans="1:33" ht="11.25" customHeight="1" x14ac:dyDescent="0.25">
      <c r="A200" s="4" t="s">
        <v>21</v>
      </c>
      <c r="B200" s="4" t="s">
        <v>43</v>
      </c>
      <c r="C200" s="4" t="s">
        <v>63</v>
      </c>
      <c r="D200" s="4" t="s">
        <v>25</v>
      </c>
      <c r="E200" s="4" t="s">
        <v>25</v>
      </c>
      <c r="F200" s="4" t="s">
        <v>25</v>
      </c>
      <c r="G200" s="4" t="s">
        <v>66</v>
      </c>
      <c r="H200" s="4" t="s">
        <v>25</v>
      </c>
      <c r="I200" s="5">
        <v>44166</v>
      </c>
      <c r="J200" s="6">
        <v>60000</v>
      </c>
      <c r="K200" s="6">
        <v>60000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4" t="s">
        <v>65</v>
      </c>
      <c r="R200" s="4">
        <v>29272</v>
      </c>
      <c r="S200" s="6">
        <v>27</v>
      </c>
      <c r="T200" s="6">
        <v>0</v>
      </c>
      <c r="U200" s="6">
        <v>0</v>
      </c>
      <c r="V200" s="6">
        <f>IF(ISERROR(VLOOKUP($S$200,'TAR FIN'!$A$1:$O$95,15,0)),0,VLOOKUP($S$200,'TAR FIN'!$A$1:$O$95,15,0))</f>
        <v>7.58</v>
      </c>
      <c r="W200" s="6">
        <f>IF(ISERROR(VLOOKUP($T$200,'TAR FIN'!$A$1:$O$95,15,0)),0,VLOOKUP($T$200,'TAR FIN'!$A$1:$O$95,15,0))</f>
        <v>0</v>
      </c>
      <c r="X200" s="6">
        <f>IF(ISERROR(VLOOKUP($U$200,'TAR FIN'!$A$1:$O$95,15,0)),0,VLOOKUP($U$200,'TAR FIN'!$A$1:$O$95,15,0))</f>
        <v>0</v>
      </c>
      <c r="Y200" s="6">
        <f ca="1">('TUSD BE'!$AM$9+'TUSD BF'!$AM$9+'TUSD CVA'!$AM$9)*1</f>
        <v>9.1574451247299731</v>
      </c>
      <c r="Z200" s="6"/>
      <c r="AA200" s="6"/>
      <c r="AB200" s="6">
        <f>$K$200*$V$200</f>
        <v>454800</v>
      </c>
      <c r="AC200" s="6">
        <f>$M$200*$W$200</f>
        <v>0</v>
      </c>
      <c r="AD200" s="6">
        <f>$O$200*$X$200</f>
        <v>0</v>
      </c>
      <c r="AE200" s="6">
        <f ca="1">$K$200*$Y$200</f>
        <v>549446.70748379838</v>
      </c>
      <c r="AF200" s="6">
        <f>$M$200*$Z$200</f>
        <v>0</v>
      </c>
      <c r="AG200" s="6">
        <f>$O$200*$AA$200</f>
        <v>0</v>
      </c>
    </row>
    <row r="201" spans="1:33" ht="11.25" customHeight="1" x14ac:dyDescent="0.25">
      <c r="A201" s="4" t="s">
        <v>21</v>
      </c>
      <c r="B201" s="4" t="s">
        <v>43</v>
      </c>
      <c r="C201" s="4" t="s">
        <v>63</v>
      </c>
      <c r="D201" s="4" t="s">
        <v>25</v>
      </c>
      <c r="E201" s="4" t="s">
        <v>25</v>
      </c>
      <c r="F201" s="4" t="s">
        <v>25</v>
      </c>
      <c r="G201" s="4" t="s">
        <v>67</v>
      </c>
      <c r="H201" s="4" t="s">
        <v>25</v>
      </c>
      <c r="I201" s="5">
        <v>44166</v>
      </c>
      <c r="J201" s="6">
        <v>60000</v>
      </c>
      <c r="K201" s="6">
        <v>60000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4" t="s">
        <v>65</v>
      </c>
      <c r="R201" s="4">
        <v>29276</v>
      </c>
      <c r="S201" s="6">
        <v>27</v>
      </c>
      <c r="T201" s="6">
        <v>0</v>
      </c>
      <c r="U201" s="6">
        <v>0</v>
      </c>
      <c r="V201" s="6">
        <f>IF(ISERROR(VLOOKUP($S$201,'TAR FIN'!$A$1:$O$95,15,0)),0,VLOOKUP($S$201,'TAR FIN'!$A$1:$O$95,15,0))</f>
        <v>7.58</v>
      </c>
      <c r="W201" s="6">
        <f>IF(ISERROR(VLOOKUP($T$201,'TAR FIN'!$A$1:$O$95,15,0)),0,VLOOKUP($T$201,'TAR FIN'!$A$1:$O$95,15,0))</f>
        <v>0</v>
      </c>
      <c r="X201" s="6">
        <f>IF(ISERROR(VLOOKUP($U$201,'TAR FIN'!$A$1:$O$95,15,0)),0,VLOOKUP($U$201,'TAR FIN'!$A$1:$O$95,15,0))</f>
        <v>0</v>
      </c>
      <c r="Y201" s="6">
        <f ca="1">('TUSD BE'!$AM$9+'TUSD BF'!$AM$9+'TUSD CVA'!$AM$9)*1</f>
        <v>9.1574451247299731</v>
      </c>
      <c r="Z201" s="6"/>
      <c r="AA201" s="6"/>
      <c r="AB201" s="6">
        <f>$K$201*$V$201</f>
        <v>454800</v>
      </c>
      <c r="AC201" s="6">
        <f>$M$201*$W$201</f>
        <v>0</v>
      </c>
      <c r="AD201" s="6">
        <f>$O$201*$X$201</f>
        <v>0</v>
      </c>
      <c r="AE201" s="6">
        <f ca="1">$K$201*$Y$201</f>
        <v>549446.70748379838</v>
      </c>
      <c r="AF201" s="6">
        <f>$M$201*$Z$201</f>
        <v>0</v>
      </c>
      <c r="AG201" s="6">
        <f>$O$201*$AA$201</f>
        <v>0</v>
      </c>
    </row>
    <row r="202" spans="1:33" ht="11.25" customHeight="1" x14ac:dyDescent="0.25">
      <c r="A202" s="4" t="s">
        <v>21</v>
      </c>
      <c r="B202" s="4" t="s">
        <v>43</v>
      </c>
      <c r="C202" s="4" t="s">
        <v>63</v>
      </c>
      <c r="D202" s="4" t="s">
        <v>25</v>
      </c>
      <c r="E202" s="4" t="s">
        <v>25</v>
      </c>
      <c r="F202" s="4" t="s">
        <v>25</v>
      </c>
      <c r="G202" s="4" t="s">
        <v>68</v>
      </c>
      <c r="H202" s="4" t="s">
        <v>25</v>
      </c>
      <c r="I202" s="5">
        <v>44166</v>
      </c>
      <c r="J202" s="6">
        <v>60000</v>
      </c>
      <c r="K202" s="6">
        <v>60000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4" t="s">
        <v>65</v>
      </c>
      <c r="R202" s="4">
        <v>29361</v>
      </c>
      <c r="S202" s="6">
        <v>27</v>
      </c>
      <c r="T202" s="6">
        <v>0</v>
      </c>
      <c r="U202" s="6">
        <v>0</v>
      </c>
      <c r="V202" s="6">
        <f>IF(ISERROR(VLOOKUP($S$202,'TAR FIN'!$A$1:$O$95,15,0)),0,VLOOKUP($S$202,'TAR FIN'!$A$1:$O$95,15,0))</f>
        <v>7.58</v>
      </c>
      <c r="W202" s="6">
        <f>IF(ISERROR(VLOOKUP($T$202,'TAR FIN'!$A$1:$O$95,15,0)),0,VLOOKUP($T$202,'TAR FIN'!$A$1:$O$95,15,0))</f>
        <v>0</v>
      </c>
      <c r="X202" s="6">
        <f>IF(ISERROR(VLOOKUP($U$202,'TAR FIN'!$A$1:$O$95,15,0)),0,VLOOKUP($U$202,'TAR FIN'!$A$1:$O$95,15,0))</f>
        <v>0</v>
      </c>
      <c r="Y202" s="6">
        <f ca="1">('TUSD BE'!$AM$9+'TUSD BF'!$AM$9+'TUSD CVA'!$AM$9)*1</f>
        <v>9.1574451247299731</v>
      </c>
      <c r="Z202" s="6"/>
      <c r="AA202" s="6"/>
      <c r="AB202" s="6">
        <f>$K$202*$V$202</f>
        <v>454800</v>
      </c>
      <c r="AC202" s="6">
        <f>$M$202*$W$202</f>
        <v>0</v>
      </c>
      <c r="AD202" s="6">
        <f>$O$202*$X$202</f>
        <v>0</v>
      </c>
      <c r="AE202" s="6">
        <f ca="1">$K$202*$Y$202</f>
        <v>549446.70748379838</v>
      </c>
      <c r="AF202" s="6">
        <f>$M$202*$Z$202</f>
        <v>0</v>
      </c>
      <c r="AG202" s="6">
        <f>$O$202*$AA$202</f>
        <v>0</v>
      </c>
    </row>
    <row r="203" spans="1:33" ht="11.25" customHeight="1" x14ac:dyDescent="0.25">
      <c r="A203" s="4" t="s">
        <v>21</v>
      </c>
      <c r="B203" s="4" t="s">
        <v>43</v>
      </c>
      <c r="C203" s="4" t="s">
        <v>63</v>
      </c>
      <c r="D203" s="4" t="s">
        <v>25</v>
      </c>
      <c r="E203" s="4" t="s">
        <v>25</v>
      </c>
      <c r="F203" s="4" t="s">
        <v>25</v>
      </c>
      <c r="G203" s="4" t="s">
        <v>69</v>
      </c>
      <c r="H203" s="4" t="s">
        <v>25</v>
      </c>
      <c r="I203" s="5">
        <v>44166</v>
      </c>
      <c r="J203" s="6">
        <v>63000</v>
      </c>
      <c r="K203" s="6">
        <v>63000</v>
      </c>
      <c r="L203" s="6">
        <v>0</v>
      </c>
      <c r="M203" s="6">
        <v>0</v>
      </c>
      <c r="N203" s="6">
        <v>0</v>
      </c>
      <c r="O203" s="6">
        <v>0</v>
      </c>
      <c r="P203" s="6">
        <v>0</v>
      </c>
      <c r="Q203" s="4" t="s">
        <v>65</v>
      </c>
      <c r="R203" s="4">
        <v>29432</v>
      </c>
      <c r="S203" s="6">
        <v>27</v>
      </c>
      <c r="T203" s="6">
        <v>0</v>
      </c>
      <c r="U203" s="6">
        <v>0</v>
      </c>
      <c r="V203" s="6">
        <f>IF(ISERROR(VLOOKUP($S$203,'TAR FIN'!$A$1:$O$95,15,0)),0,VLOOKUP($S$203,'TAR FIN'!$A$1:$O$95,15,0))</f>
        <v>7.58</v>
      </c>
      <c r="W203" s="6">
        <f>IF(ISERROR(VLOOKUP($T$203,'TAR FIN'!$A$1:$O$95,15,0)),0,VLOOKUP($T$203,'TAR FIN'!$A$1:$O$95,15,0))</f>
        <v>0</v>
      </c>
      <c r="X203" s="6">
        <f>IF(ISERROR(VLOOKUP($U$203,'TAR FIN'!$A$1:$O$95,15,0)),0,VLOOKUP($U$203,'TAR FIN'!$A$1:$O$95,15,0))</f>
        <v>0</v>
      </c>
      <c r="Y203" s="6">
        <f ca="1">('TUSD BE'!$AM$9+'TUSD BF'!$AM$9+'TUSD CVA'!$AM$9)*1</f>
        <v>9.1574451247299731</v>
      </c>
      <c r="Z203" s="6"/>
      <c r="AA203" s="6"/>
      <c r="AB203" s="6">
        <f>$K$203*$V$203</f>
        <v>477540</v>
      </c>
      <c r="AC203" s="6">
        <f>$M$203*$W$203</f>
        <v>0</v>
      </c>
      <c r="AD203" s="6">
        <f>$O$203*$X$203</f>
        <v>0</v>
      </c>
      <c r="AE203" s="6">
        <f ca="1">$K$203*$Y$203</f>
        <v>576919.04285798827</v>
      </c>
      <c r="AF203" s="6">
        <f>$M$203*$Z$203</f>
        <v>0</v>
      </c>
      <c r="AG203" s="6">
        <f>$O$203*$AA$203</f>
        <v>0</v>
      </c>
    </row>
    <row r="204" spans="1:33" ht="11.25" customHeight="1" x14ac:dyDescent="0.25">
      <c r="A204" s="4" t="s">
        <v>21</v>
      </c>
      <c r="B204" s="4" t="s">
        <v>43</v>
      </c>
      <c r="C204" s="4" t="s">
        <v>63</v>
      </c>
      <c r="D204" s="4" t="s">
        <v>25</v>
      </c>
      <c r="E204" s="4" t="s">
        <v>25</v>
      </c>
      <c r="F204" s="4" t="s">
        <v>25</v>
      </c>
      <c r="G204" s="4" t="s">
        <v>64</v>
      </c>
      <c r="H204" s="4" t="s">
        <v>25</v>
      </c>
      <c r="I204" s="5">
        <v>44197</v>
      </c>
      <c r="J204" s="6">
        <v>157500</v>
      </c>
      <c r="K204" s="6">
        <v>157500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4" t="s">
        <v>65</v>
      </c>
      <c r="R204" s="4">
        <v>27250</v>
      </c>
      <c r="S204" s="6">
        <v>27</v>
      </c>
      <c r="T204" s="6">
        <v>0</v>
      </c>
      <c r="U204" s="6">
        <v>0</v>
      </c>
      <c r="V204" s="6">
        <f>IF(ISERROR(VLOOKUP($S$204,'TAR FIN'!$A$1:$O$95,15,0)),0,VLOOKUP($S$204,'TAR FIN'!$A$1:$O$95,15,0))</f>
        <v>7.58</v>
      </c>
      <c r="W204" s="6">
        <f>IF(ISERROR(VLOOKUP($T$204,'TAR FIN'!$A$1:$O$95,15,0)),0,VLOOKUP($T$204,'TAR FIN'!$A$1:$O$95,15,0))</f>
        <v>0</v>
      </c>
      <c r="X204" s="6">
        <f>IF(ISERROR(VLOOKUP($U$204,'TAR FIN'!$A$1:$O$95,15,0)),0,VLOOKUP($U$204,'TAR FIN'!$A$1:$O$95,15,0))</f>
        <v>0</v>
      </c>
      <c r="Y204" s="6">
        <f ca="1">('TUSD BE'!$AM$9+'TUSD BF'!$AM$9+'TUSD CVA'!$AM$9)*1</f>
        <v>9.1574451247299731</v>
      </c>
      <c r="Z204" s="6"/>
      <c r="AA204" s="6"/>
      <c r="AB204" s="6">
        <f>$K$204*$V$204</f>
        <v>1193850</v>
      </c>
      <c r="AC204" s="6">
        <f>$M$204*$W$204</f>
        <v>0</v>
      </c>
      <c r="AD204" s="6">
        <f>$O$204*$X$204</f>
        <v>0</v>
      </c>
      <c r="AE204" s="6">
        <f ca="1">$K$204*$Y$204</f>
        <v>1442297.6071449707</v>
      </c>
      <c r="AF204" s="6">
        <f>$M$204*$Z$204</f>
        <v>0</v>
      </c>
      <c r="AG204" s="6">
        <f>$O$204*$AA$204</f>
        <v>0</v>
      </c>
    </row>
    <row r="205" spans="1:33" ht="11.25" customHeight="1" x14ac:dyDescent="0.25">
      <c r="A205" s="4" t="s">
        <v>21</v>
      </c>
      <c r="B205" s="4" t="s">
        <v>43</v>
      </c>
      <c r="C205" s="4" t="s">
        <v>63</v>
      </c>
      <c r="D205" s="4" t="s">
        <v>25</v>
      </c>
      <c r="E205" s="4" t="s">
        <v>25</v>
      </c>
      <c r="F205" s="4" t="s">
        <v>25</v>
      </c>
      <c r="G205" s="4" t="s">
        <v>66</v>
      </c>
      <c r="H205" s="4" t="s">
        <v>25</v>
      </c>
      <c r="I205" s="5">
        <v>44197</v>
      </c>
      <c r="J205" s="6">
        <v>60000</v>
      </c>
      <c r="K205" s="6">
        <v>60000</v>
      </c>
      <c r="L205" s="6">
        <v>0</v>
      </c>
      <c r="M205" s="6">
        <v>0</v>
      </c>
      <c r="N205" s="6">
        <v>0</v>
      </c>
      <c r="O205" s="6">
        <v>0</v>
      </c>
      <c r="P205" s="6">
        <v>0</v>
      </c>
      <c r="Q205" s="4" t="s">
        <v>65</v>
      </c>
      <c r="R205" s="4">
        <v>29272</v>
      </c>
      <c r="S205" s="6">
        <v>27</v>
      </c>
      <c r="T205" s="6">
        <v>0</v>
      </c>
      <c r="U205" s="6">
        <v>0</v>
      </c>
      <c r="V205" s="6">
        <f>IF(ISERROR(VLOOKUP($S$205,'TAR FIN'!$A$1:$O$95,15,0)),0,VLOOKUP($S$205,'TAR FIN'!$A$1:$O$95,15,0))</f>
        <v>7.58</v>
      </c>
      <c r="W205" s="6">
        <f>IF(ISERROR(VLOOKUP($T$205,'TAR FIN'!$A$1:$O$95,15,0)),0,VLOOKUP($T$205,'TAR FIN'!$A$1:$O$95,15,0))</f>
        <v>0</v>
      </c>
      <c r="X205" s="6">
        <f>IF(ISERROR(VLOOKUP($U$205,'TAR FIN'!$A$1:$O$95,15,0)),0,VLOOKUP($U$205,'TAR FIN'!$A$1:$O$95,15,0))</f>
        <v>0</v>
      </c>
      <c r="Y205" s="6">
        <f ca="1">('TUSD BE'!$AM$9+'TUSD BF'!$AM$9+'TUSD CVA'!$AM$9)*1</f>
        <v>9.1574451247299731</v>
      </c>
      <c r="Z205" s="6"/>
      <c r="AA205" s="6"/>
      <c r="AB205" s="6">
        <f>$K$205*$V$205</f>
        <v>454800</v>
      </c>
      <c r="AC205" s="6">
        <f>$M$205*$W$205</f>
        <v>0</v>
      </c>
      <c r="AD205" s="6">
        <f>$O$205*$X$205</f>
        <v>0</v>
      </c>
      <c r="AE205" s="6">
        <f ca="1">$K$205*$Y$205</f>
        <v>549446.70748379838</v>
      </c>
      <c r="AF205" s="6">
        <f>$M$205*$Z$205</f>
        <v>0</v>
      </c>
      <c r="AG205" s="6">
        <f>$O$205*$AA$205</f>
        <v>0</v>
      </c>
    </row>
    <row r="206" spans="1:33" ht="11.25" customHeight="1" x14ac:dyDescent="0.25">
      <c r="A206" s="4" t="s">
        <v>21</v>
      </c>
      <c r="B206" s="4" t="s">
        <v>43</v>
      </c>
      <c r="C206" s="4" t="s">
        <v>63</v>
      </c>
      <c r="D206" s="4" t="s">
        <v>25</v>
      </c>
      <c r="E206" s="4" t="s">
        <v>25</v>
      </c>
      <c r="F206" s="4" t="s">
        <v>25</v>
      </c>
      <c r="G206" s="4" t="s">
        <v>67</v>
      </c>
      <c r="H206" s="4" t="s">
        <v>25</v>
      </c>
      <c r="I206" s="5">
        <v>44197</v>
      </c>
      <c r="J206" s="6">
        <v>60000</v>
      </c>
      <c r="K206" s="6">
        <v>60000</v>
      </c>
      <c r="L206" s="6">
        <v>0</v>
      </c>
      <c r="M206" s="6">
        <v>0</v>
      </c>
      <c r="N206" s="6">
        <v>0</v>
      </c>
      <c r="O206" s="6">
        <v>0</v>
      </c>
      <c r="P206" s="6">
        <v>0</v>
      </c>
      <c r="Q206" s="4" t="s">
        <v>65</v>
      </c>
      <c r="R206" s="4">
        <v>29276</v>
      </c>
      <c r="S206" s="6">
        <v>27</v>
      </c>
      <c r="T206" s="6">
        <v>0</v>
      </c>
      <c r="U206" s="6">
        <v>0</v>
      </c>
      <c r="V206" s="6">
        <f>IF(ISERROR(VLOOKUP($S$206,'TAR FIN'!$A$1:$O$95,15,0)),0,VLOOKUP($S$206,'TAR FIN'!$A$1:$O$95,15,0))</f>
        <v>7.58</v>
      </c>
      <c r="W206" s="6">
        <f>IF(ISERROR(VLOOKUP($T$206,'TAR FIN'!$A$1:$O$95,15,0)),0,VLOOKUP($T$206,'TAR FIN'!$A$1:$O$95,15,0))</f>
        <v>0</v>
      </c>
      <c r="X206" s="6">
        <f>IF(ISERROR(VLOOKUP($U$206,'TAR FIN'!$A$1:$O$95,15,0)),0,VLOOKUP($U$206,'TAR FIN'!$A$1:$O$95,15,0))</f>
        <v>0</v>
      </c>
      <c r="Y206" s="6">
        <f ca="1">('TUSD BE'!$AM$9+'TUSD BF'!$AM$9+'TUSD CVA'!$AM$9)*1</f>
        <v>9.1574451247299731</v>
      </c>
      <c r="Z206" s="6"/>
      <c r="AA206" s="6"/>
      <c r="AB206" s="6">
        <f>$K$206*$V$206</f>
        <v>454800</v>
      </c>
      <c r="AC206" s="6">
        <f>$M$206*$W$206</f>
        <v>0</v>
      </c>
      <c r="AD206" s="6">
        <f>$O$206*$X$206</f>
        <v>0</v>
      </c>
      <c r="AE206" s="6">
        <f ca="1">$K$206*$Y$206</f>
        <v>549446.70748379838</v>
      </c>
      <c r="AF206" s="6">
        <f>$M$206*$Z$206</f>
        <v>0</v>
      </c>
      <c r="AG206" s="6">
        <f>$O$206*$AA$206</f>
        <v>0</v>
      </c>
    </row>
    <row r="207" spans="1:33" ht="11.25" customHeight="1" x14ac:dyDescent="0.25">
      <c r="A207" s="4" t="s">
        <v>21</v>
      </c>
      <c r="B207" s="4" t="s">
        <v>43</v>
      </c>
      <c r="C207" s="4" t="s">
        <v>63</v>
      </c>
      <c r="D207" s="4" t="s">
        <v>25</v>
      </c>
      <c r="E207" s="4" t="s">
        <v>25</v>
      </c>
      <c r="F207" s="4" t="s">
        <v>25</v>
      </c>
      <c r="G207" s="4" t="s">
        <v>68</v>
      </c>
      <c r="H207" s="4" t="s">
        <v>25</v>
      </c>
      <c r="I207" s="5">
        <v>44197</v>
      </c>
      <c r="J207" s="6">
        <v>60000</v>
      </c>
      <c r="K207" s="6">
        <v>60000</v>
      </c>
      <c r="L207" s="6">
        <v>0</v>
      </c>
      <c r="M207" s="6">
        <v>0</v>
      </c>
      <c r="N207" s="6">
        <v>0</v>
      </c>
      <c r="O207" s="6">
        <v>0</v>
      </c>
      <c r="P207" s="6">
        <v>0</v>
      </c>
      <c r="Q207" s="4" t="s">
        <v>65</v>
      </c>
      <c r="R207" s="4">
        <v>29361</v>
      </c>
      <c r="S207" s="6">
        <v>27</v>
      </c>
      <c r="T207" s="6">
        <v>0</v>
      </c>
      <c r="U207" s="6">
        <v>0</v>
      </c>
      <c r="V207" s="6">
        <f>IF(ISERROR(VLOOKUP($S$207,'TAR FIN'!$A$1:$O$95,15,0)),0,VLOOKUP($S$207,'TAR FIN'!$A$1:$O$95,15,0))</f>
        <v>7.58</v>
      </c>
      <c r="W207" s="6">
        <f>IF(ISERROR(VLOOKUP($T$207,'TAR FIN'!$A$1:$O$95,15,0)),0,VLOOKUP($T$207,'TAR FIN'!$A$1:$O$95,15,0))</f>
        <v>0</v>
      </c>
      <c r="X207" s="6">
        <f>IF(ISERROR(VLOOKUP($U$207,'TAR FIN'!$A$1:$O$95,15,0)),0,VLOOKUP($U$207,'TAR FIN'!$A$1:$O$95,15,0))</f>
        <v>0</v>
      </c>
      <c r="Y207" s="6">
        <f ca="1">('TUSD BE'!$AM$9+'TUSD BF'!$AM$9+'TUSD CVA'!$AM$9)*1</f>
        <v>9.1574451247299731</v>
      </c>
      <c r="Z207" s="6"/>
      <c r="AA207" s="6"/>
      <c r="AB207" s="6">
        <f>$K$207*$V$207</f>
        <v>454800</v>
      </c>
      <c r="AC207" s="6">
        <f>$M$207*$W$207</f>
        <v>0</v>
      </c>
      <c r="AD207" s="6">
        <f>$O$207*$X$207</f>
        <v>0</v>
      </c>
      <c r="AE207" s="6">
        <f ca="1">$K$207*$Y$207</f>
        <v>549446.70748379838</v>
      </c>
      <c r="AF207" s="6">
        <f>$M$207*$Z$207</f>
        <v>0</v>
      </c>
      <c r="AG207" s="6">
        <f>$O$207*$AA$207</f>
        <v>0</v>
      </c>
    </row>
    <row r="208" spans="1:33" ht="11.25" customHeight="1" x14ac:dyDescent="0.25">
      <c r="A208" s="4" t="s">
        <v>21</v>
      </c>
      <c r="B208" s="4" t="s">
        <v>43</v>
      </c>
      <c r="C208" s="4" t="s">
        <v>63</v>
      </c>
      <c r="D208" s="4" t="s">
        <v>25</v>
      </c>
      <c r="E208" s="4" t="s">
        <v>25</v>
      </c>
      <c r="F208" s="4" t="s">
        <v>25</v>
      </c>
      <c r="G208" s="4" t="s">
        <v>69</v>
      </c>
      <c r="H208" s="4" t="s">
        <v>25</v>
      </c>
      <c r="I208" s="5">
        <v>44197</v>
      </c>
      <c r="J208" s="6">
        <v>63000</v>
      </c>
      <c r="K208" s="6">
        <v>63000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4" t="s">
        <v>65</v>
      </c>
      <c r="R208" s="4">
        <v>29432</v>
      </c>
      <c r="S208" s="6">
        <v>27</v>
      </c>
      <c r="T208" s="6">
        <v>0</v>
      </c>
      <c r="U208" s="6">
        <v>0</v>
      </c>
      <c r="V208" s="6">
        <f>IF(ISERROR(VLOOKUP($S$208,'TAR FIN'!$A$1:$O$95,15,0)),0,VLOOKUP($S$208,'TAR FIN'!$A$1:$O$95,15,0))</f>
        <v>7.58</v>
      </c>
      <c r="W208" s="6">
        <f>IF(ISERROR(VLOOKUP($T$208,'TAR FIN'!$A$1:$O$95,15,0)),0,VLOOKUP($T$208,'TAR FIN'!$A$1:$O$95,15,0))</f>
        <v>0</v>
      </c>
      <c r="X208" s="6">
        <f>IF(ISERROR(VLOOKUP($U$208,'TAR FIN'!$A$1:$O$95,15,0)),0,VLOOKUP($U$208,'TAR FIN'!$A$1:$O$95,15,0))</f>
        <v>0</v>
      </c>
      <c r="Y208" s="6">
        <f ca="1">('TUSD BE'!$AM$9+'TUSD BF'!$AM$9+'TUSD CVA'!$AM$9)*1</f>
        <v>9.1574451247299731</v>
      </c>
      <c r="Z208" s="6"/>
      <c r="AA208" s="6"/>
      <c r="AB208" s="6">
        <f>$K$208*$V$208</f>
        <v>477540</v>
      </c>
      <c r="AC208" s="6">
        <f>$M$208*$W$208</f>
        <v>0</v>
      </c>
      <c r="AD208" s="6">
        <f>$O$208*$X$208</f>
        <v>0</v>
      </c>
      <c r="AE208" s="6">
        <f ca="1">$K$208*$Y$208</f>
        <v>576919.04285798827</v>
      </c>
      <c r="AF208" s="6">
        <f>$M$208*$Z$208</f>
        <v>0</v>
      </c>
      <c r="AG208" s="6">
        <f>$O$208*$AA$208</f>
        <v>0</v>
      </c>
    </row>
    <row r="209" spans="1:33" ht="11.25" customHeight="1" x14ac:dyDescent="0.25">
      <c r="A209" s="4" t="s">
        <v>21</v>
      </c>
      <c r="B209" s="4" t="s">
        <v>43</v>
      </c>
      <c r="C209" s="4" t="s">
        <v>63</v>
      </c>
      <c r="D209" s="4" t="s">
        <v>25</v>
      </c>
      <c r="E209" s="4" t="s">
        <v>25</v>
      </c>
      <c r="F209" s="4" t="s">
        <v>25</v>
      </c>
      <c r="G209" s="4" t="s">
        <v>64</v>
      </c>
      <c r="H209" s="4" t="s">
        <v>25</v>
      </c>
      <c r="I209" s="5">
        <v>44228</v>
      </c>
      <c r="J209" s="6">
        <v>157500</v>
      </c>
      <c r="K209" s="6">
        <v>157500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4" t="s">
        <v>65</v>
      </c>
      <c r="R209" s="4">
        <v>27250</v>
      </c>
      <c r="S209" s="6">
        <v>27</v>
      </c>
      <c r="T209" s="6">
        <v>0</v>
      </c>
      <c r="U209" s="6">
        <v>0</v>
      </c>
      <c r="V209" s="6">
        <f>IF(ISERROR(VLOOKUP($S$209,'TAR FIN'!$A$1:$O$95,15,0)),0,VLOOKUP($S$209,'TAR FIN'!$A$1:$O$95,15,0))</f>
        <v>7.58</v>
      </c>
      <c r="W209" s="6">
        <f>IF(ISERROR(VLOOKUP($T$209,'TAR FIN'!$A$1:$O$95,15,0)),0,VLOOKUP($T$209,'TAR FIN'!$A$1:$O$95,15,0))</f>
        <v>0</v>
      </c>
      <c r="X209" s="6">
        <f>IF(ISERROR(VLOOKUP($U$209,'TAR FIN'!$A$1:$O$95,15,0)),0,VLOOKUP($U$209,'TAR FIN'!$A$1:$O$95,15,0))</f>
        <v>0</v>
      </c>
      <c r="Y209" s="6">
        <f ca="1">('TUSD BE'!$AM$9+'TUSD BF'!$AM$9+'TUSD CVA'!$AM$9)*1</f>
        <v>9.1574451247299731</v>
      </c>
      <c r="Z209" s="6"/>
      <c r="AA209" s="6"/>
      <c r="AB209" s="6">
        <f>$K$209*$V$209</f>
        <v>1193850</v>
      </c>
      <c r="AC209" s="6">
        <f>$M$209*$W$209</f>
        <v>0</v>
      </c>
      <c r="AD209" s="6">
        <f>$O$209*$X$209</f>
        <v>0</v>
      </c>
      <c r="AE209" s="6">
        <f ca="1">$K$209*$Y$209</f>
        <v>1442297.6071449707</v>
      </c>
      <c r="AF209" s="6">
        <f>$M$209*$Z$209</f>
        <v>0</v>
      </c>
      <c r="AG209" s="6">
        <f>$O$209*$AA$209</f>
        <v>0</v>
      </c>
    </row>
    <row r="210" spans="1:33" ht="11.25" customHeight="1" x14ac:dyDescent="0.25">
      <c r="A210" s="4" t="s">
        <v>21</v>
      </c>
      <c r="B210" s="4" t="s">
        <v>43</v>
      </c>
      <c r="C210" s="4" t="s">
        <v>63</v>
      </c>
      <c r="D210" s="4" t="s">
        <v>25</v>
      </c>
      <c r="E210" s="4" t="s">
        <v>25</v>
      </c>
      <c r="F210" s="4" t="s">
        <v>25</v>
      </c>
      <c r="G210" s="4" t="s">
        <v>66</v>
      </c>
      <c r="H210" s="4" t="s">
        <v>25</v>
      </c>
      <c r="I210" s="5">
        <v>44228</v>
      </c>
      <c r="J210" s="6">
        <v>60000</v>
      </c>
      <c r="K210" s="6">
        <v>60000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4" t="s">
        <v>65</v>
      </c>
      <c r="R210" s="4">
        <v>29272</v>
      </c>
      <c r="S210" s="6">
        <v>27</v>
      </c>
      <c r="T210" s="6">
        <v>0</v>
      </c>
      <c r="U210" s="6">
        <v>0</v>
      </c>
      <c r="V210" s="6">
        <f>IF(ISERROR(VLOOKUP($S$210,'TAR FIN'!$A$1:$O$95,15,0)),0,VLOOKUP($S$210,'TAR FIN'!$A$1:$O$95,15,0))</f>
        <v>7.58</v>
      </c>
      <c r="W210" s="6">
        <f>IF(ISERROR(VLOOKUP($T$210,'TAR FIN'!$A$1:$O$95,15,0)),0,VLOOKUP($T$210,'TAR FIN'!$A$1:$O$95,15,0))</f>
        <v>0</v>
      </c>
      <c r="X210" s="6">
        <f>IF(ISERROR(VLOOKUP($U$210,'TAR FIN'!$A$1:$O$95,15,0)),0,VLOOKUP($U$210,'TAR FIN'!$A$1:$O$95,15,0))</f>
        <v>0</v>
      </c>
      <c r="Y210" s="6">
        <f ca="1">('TUSD BE'!$AM$9+'TUSD BF'!$AM$9+'TUSD CVA'!$AM$9)*1</f>
        <v>9.1574451247299731</v>
      </c>
      <c r="Z210" s="6"/>
      <c r="AA210" s="6"/>
      <c r="AB210" s="6">
        <f>$K$210*$V$210</f>
        <v>454800</v>
      </c>
      <c r="AC210" s="6">
        <f>$M$210*$W$210</f>
        <v>0</v>
      </c>
      <c r="AD210" s="6">
        <f>$O$210*$X$210</f>
        <v>0</v>
      </c>
      <c r="AE210" s="6">
        <f ca="1">$K$210*$Y$210</f>
        <v>549446.70748379838</v>
      </c>
      <c r="AF210" s="6">
        <f>$M$210*$Z$210</f>
        <v>0</v>
      </c>
      <c r="AG210" s="6">
        <f>$O$210*$AA$210</f>
        <v>0</v>
      </c>
    </row>
    <row r="211" spans="1:33" ht="11.25" customHeight="1" x14ac:dyDescent="0.25">
      <c r="A211" s="4" t="s">
        <v>21</v>
      </c>
      <c r="B211" s="4" t="s">
        <v>43</v>
      </c>
      <c r="C211" s="4" t="s">
        <v>63</v>
      </c>
      <c r="D211" s="4" t="s">
        <v>25</v>
      </c>
      <c r="E211" s="4" t="s">
        <v>25</v>
      </c>
      <c r="F211" s="4" t="s">
        <v>25</v>
      </c>
      <c r="G211" s="4" t="s">
        <v>67</v>
      </c>
      <c r="H211" s="4" t="s">
        <v>25</v>
      </c>
      <c r="I211" s="5">
        <v>44228</v>
      </c>
      <c r="J211" s="6">
        <v>60000</v>
      </c>
      <c r="K211" s="6">
        <v>60000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4" t="s">
        <v>65</v>
      </c>
      <c r="R211" s="4">
        <v>29276</v>
      </c>
      <c r="S211" s="6">
        <v>27</v>
      </c>
      <c r="T211" s="6">
        <v>0</v>
      </c>
      <c r="U211" s="6">
        <v>0</v>
      </c>
      <c r="V211" s="6">
        <f>IF(ISERROR(VLOOKUP($S$211,'TAR FIN'!$A$1:$O$95,15,0)),0,VLOOKUP($S$211,'TAR FIN'!$A$1:$O$95,15,0))</f>
        <v>7.58</v>
      </c>
      <c r="W211" s="6">
        <f>IF(ISERROR(VLOOKUP($T$211,'TAR FIN'!$A$1:$O$95,15,0)),0,VLOOKUP($T$211,'TAR FIN'!$A$1:$O$95,15,0))</f>
        <v>0</v>
      </c>
      <c r="X211" s="6">
        <f>IF(ISERROR(VLOOKUP($U$211,'TAR FIN'!$A$1:$O$95,15,0)),0,VLOOKUP($U$211,'TAR FIN'!$A$1:$O$95,15,0))</f>
        <v>0</v>
      </c>
      <c r="Y211" s="6">
        <f ca="1">('TUSD BE'!$AM$9+'TUSD BF'!$AM$9+'TUSD CVA'!$AM$9)*1</f>
        <v>9.1574451247299731</v>
      </c>
      <c r="Z211" s="6"/>
      <c r="AA211" s="6"/>
      <c r="AB211" s="6">
        <f>$K$211*$V$211</f>
        <v>454800</v>
      </c>
      <c r="AC211" s="6">
        <f>$M$211*$W$211</f>
        <v>0</v>
      </c>
      <c r="AD211" s="6">
        <f>$O$211*$X$211</f>
        <v>0</v>
      </c>
      <c r="AE211" s="6">
        <f ca="1">$K$211*$Y$211</f>
        <v>549446.70748379838</v>
      </c>
      <c r="AF211" s="6">
        <f>$M$211*$Z$211</f>
        <v>0</v>
      </c>
      <c r="AG211" s="6">
        <f>$O$211*$AA$211</f>
        <v>0</v>
      </c>
    </row>
    <row r="212" spans="1:33" ht="11.25" customHeight="1" x14ac:dyDescent="0.25">
      <c r="A212" s="4" t="s">
        <v>21</v>
      </c>
      <c r="B212" s="4" t="s">
        <v>43</v>
      </c>
      <c r="C212" s="4" t="s">
        <v>63</v>
      </c>
      <c r="D212" s="4" t="s">
        <v>25</v>
      </c>
      <c r="E212" s="4" t="s">
        <v>25</v>
      </c>
      <c r="F212" s="4" t="s">
        <v>25</v>
      </c>
      <c r="G212" s="4" t="s">
        <v>68</v>
      </c>
      <c r="H212" s="4" t="s">
        <v>25</v>
      </c>
      <c r="I212" s="5">
        <v>44228</v>
      </c>
      <c r="J212" s="6">
        <v>60000</v>
      </c>
      <c r="K212" s="6">
        <v>60000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4" t="s">
        <v>65</v>
      </c>
      <c r="R212" s="4">
        <v>29361</v>
      </c>
      <c r="S212" s="6">
        <v>27</v>
      </c>
      <c r="T212" s="6">
        <v>0</v>
      </c>
      <c r="U212" s="6">
        <v>0</v>
      </c>
      <c r="V212" s="6">
        <f>IF(ISERROR(VLOOKUP($S$212,'TAR FIN'!$A$1:$O$95,15,0)),0,VLOOKUP($S$212,'TAR FIN'!$A$1:$O$95,15,0))</f>
        <v>7.58</v>
      </c>
      <c r="W212" s="6">
        <f>IF(ISERROR(VLOOKUP($T$212,'TAR FIN'!$A$1:$O$95,15,0)),0,VLOOKUP($T$212,'TAR FIN'!$A$1:$O$95,15,0))</f>
        <v>0</v>
      </c>
      <c r="X212" s="6">
        <f>IF(ISERROR(VLOOKUP($U$212,'TAR FIN'!$A$1:$O$95,15,0)),0,VLOOKUP($U$212,'TAR FIN'!$A$1:$O$95,15,0))</f>
        <v>0</v>
      </c>
      <c r="Y212" s="6">
        <f ca="1">('TUSD BE'!$AM$9+'TUSD BF'!$AM$9+'TUSD CVA'!$AM$9)*1</f>
        <v>9.1574451247299731</v>
      </c>
      <c r="Z212" s="6"/>
      <c r="AA212" s="6"/>
      <c r="AB212" s="6">
        <f>$K$212*$V$212</f>
        <v>454800</v>
      </c>
      <c r="AC212" s="6">
        <f>$M$212*$W$212</f>
        <v>0</v>
      </c>
      <c r="AD212" s="6">
        <f>$O$212*$X$212</f>
        <v>0</v>
      </c>
      <c r="AE212" s="6">
        <f ca="1">$K$212*$Y$212</f>
        <v>549446.70748379838</v>
      </c>
      <c r="AF212" s="6">
        <f>$M$212*$Z$212</f>
        <v>0</v>
      </c>
      <c r="AG212" s="6">
        <f>$O$212*$AA$212</f>
        <v>0</v>
      </c>
    </row>
    <row r="213" spans="1:33" ht="11.25" customHeight="1" x14ac:dyDescent="0.25">
      <c r="A213" s="4" t="s">
        <v>21</v>
      </c>
      <c r="B213" s="4" t="s">
        <v>43</v>
      </c>
      <c r="C213" s="4" t="s">
        <v>63</v>
      </c>
      <c r="D213" s="4" t="s">
        <v>25</v>
      </c>
      <c r="E213" s="4" t="s">
        <v>25</v>
      </c>
      <c r="F213" s="4" t="s">
        <v>25</v>
      </c>
      <c r="G213" s="4" t="s">
        <v>69</v>
      </c>
      <c r="H213" s="4" t="s">
        <v>25</v>
      </c>
      <c r="I213" s="5">
        <v>44228</v>
      </c>
      <c r="J213" s="6">
        <v>63000</v>
      </c>
      <c r="K213" s="6">
        <v>63000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4" t="s">
        <v>65</v>
      </c>
      <c r="R213" s="4">
        <v>29432</v>
      </c>
      <c r="S213" s="6">
        <v>27</v>
      </c>
      <c r="T213" s="6">
        <v>0</v>
      </c>
      <c r="U213" s="6">
        <v>0</v>
      </c>
      <c r="V213" s="6">
        <f>IF(ISERROR(VLOOKUP($S$213,'TAR FIN'!$A$1:$O$95,15,0)),0,VLOOKUP($S$213,'TAR FIN'!$A$1:$O$95,15,0))</f>
        <v>7.58</v>
      </c>
      <c r="W213" s="6">
        <f>IF(ISERROR(VLOOKUP($T$213,'TAR FIN'!$A$1:$O$95,15,0)),0,VLOOKUP($T$213,'TAR FIN'!$A$1:$O$95,15,0))</f>
        <v>0</v>
      </c>
      <c r="X213" s="6">
        <f>IF(ISERROR(VLOOKUP($U$213,'TAR FIN'!$A$1:$O$95,15,0)),0,VLOOKUP($U$213,'TAR FIN'!$A$1:$O$95,15,0))</f>
        <v>0</v>
      </c>
      <c r="Y213" s="6">
        <f ca="1">('TUSD BE'!$AM$9+'TUSD BF'!$AM$9+'TUSD CVA'!$AM$9)*1</f>
        <v>9.1574451247299731</v>
      </c>
      <c r="Z213" s="6"/>
      <c r="AA213" s="6"/>
      <c r="AB213" s="6">
        <f>$K$213*$V$213</f>
        <v>477540</v>
      </c>
      <c r="AC213" s="6">
        <f>$M$213*$W$213</f>
        <v>0</v>
      </c>
      <c r="AD213" s="6">
        <f>$O$213*$X$213</f>
        <v>0</v>
      </c>
      <c r="AE213" s="6">
        <f ca="1">$K$213*$Y$213</f>
        <v>576919.04285798827</v>
      </c>
      <c r="AF213" s="6">
        <f>$M$213*$Z$213</f>
        <v>0</v>
      </c>
      <c r="AG213" s="6">
        <f>$O$213*$AA$213</f>
        <v>0</v>
      </c>
    </row>
    <row r="214" spans="1:33" ht="11.25" customHeight="1" x14ac:dyDescent="0.25">
      <c r="A214" s="4" t="s">
        <v>21</v>
      </c>
      <c r="B214" s="4" t="s">
        <v>43</v>
      </c>
      <c r="C214" s="4" t="s">
        <v>63</v>
      </c>
      <c r="D214" s="4" t="s">
        <v>25</v>
      </c>
      <c r="E214" s="4" t="s">
        <v>25</v>
      </c>
      <c r="F214" s="4" t="s">
        <v>25</v>
      </c>
      <c r="G214" s="4" t="s">
        <v>64</v>
      </c>
      <c r="H214" s="4" t="s">
        <v>25</v>
      </c>
      <c r="I214" s="5">
        <v>44256</v>
      </c>
      <c r="J214" s="6">
        <v>157500</v>
      </c>
      <c r="K214" s="6">
        <v>157500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4" t="s">
        <v>65</v>
      </c>
      <c r="R214" s="4">
        <v>27250</v>
      </c>
      <c r="S214" s="6">
        <v>27</v>
      </c>
      <c r="T214" s="6">
        <v>0</v>
      </c>
      <c r="U214" s="6">
        <v>0</v>
      </c>
      <c r="V214" s="6">
        <f>IF(ISERROR(VLOOKUP($S$214,'TAR FIN'!$A$1:$O$95,15,0)),0,VLOOKUP($S$214,'TAR FIN'!$A$1:$O$95,15,0))</f>
        <v>7.58</v>
      </c>
      <c r="W214" s="6">
        <f>IF(ISERROR(VLOOKUP($T$214,'TAR FIN'!$A$1:$O$95,15,0)),0,VLOOKUP($T$214,'TAR FIN'!$A$1:$O$95,15,0))</f>
        <v>0</v>
      </c>
      <c r="X214" s="6">
        <f>IF(ISERROR(VLOOKUP($U$214,'TAR FIN'!$A$1:$O$95,15,0)),0,VLOOKUP($U$214,'TAR FIN'!$A$1:$O$95,15,0))</f>
        <v>0</v>
      </c>
      <c r="Y214" s="6">
        <f ca="1">('TUSD BE'!$AM$9+'TUSD BF'!$AM$9+'TUSD CVA'!$AM$9)*1</f>
        <v>9.1574451247299731</v>
      </c>
      <c r="Z214" s="6"/>
      <c r="AA214" s="6"/>
      <c r="AB214" s="6">
        <f>$K$214*$V$214</f>
        <v>1193850</v>
      </c>
      <c r="AC214" s="6">
        <f>$M$214*$W$214</f>
        <v>0</v>
      </c>
      <c r="AD214" s="6">
        <f>$O$214*$X$214</f>
        <v>0</v>
      </c>
      <c r="AE214" s="6">
        <f ca="1">$K$214*$Y$214</f>
        <v>1442297.6071449707</v>
      </c>
      <c r="AF214" s="6">
        <f>$M$214*$Z$214</f>
        <v>0</v>
      </c>
      <c r="AG214" s="6">
        <f>$O$214*$AA$214</f>
        <v>0</v>
      </c>
    </row>
    <row r="215" spans="1:33" ht="11.25" customHeight="1" x14ac:dyDescent="0.25">
      <c r="A215" s="4" t="s">
        <v>21</v>
      </c>
      <c r="B215" s="4" t="s">
        <v>43</v>
      </c>
      <c r="C215" s="4" t="s">
        <v>63</v>
      </c>
      <c r="D215" s="4" t="s">
        <v>25</v>
      </c>
      <c r="E215" s="4" t="s">
        <v>25</v>
      </c>
      <c r="F215" s="4" t="s">
        <v>25</v>
      </c>
      <c r="G215" s="4" t="s">
        <v>66</v>
      </c>
      <c r="H215" s="4" t="s">
        <v>25</v>
      </c>
      <c r="I215" s="5">
        <v>44256</v>
      </c>
      <c r="J215" s="6">
        <v>60000</v>
      </c>
      <c r="K215" s="6">
        <v>60000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4" t="s">
        <v>65</v>
      </c>
      <c r="R215" s="4">
        <v>29272</v>
      </c>
      <c r="S215" s="6">
        <v>27</v>
      </c>
      <c r="T215" s="6">
        <v>0</v>
      </c>
      <c r="U215" s="6">
        <v>0</v>
      </c>
      <c r="V215" s="6">
        <f>IF(ISERROR(VLOOKUP($S$215,'TAR FIN'!$A$1:$O$95,15,0)),0,VLOOKUP($S$215,'TAR FIN'!$A$1:$O$95,15,0))</f>
        <v>7.58</v>
      </c>
      <c r="W215" s="6">
        <f>IF(ISERROR(VLOOKUP($T$215,'TAR FIN'!$A$1:$O$95,15,0)),0,VLOOKUP($T$215,'TAR FIN'!$A$1:$O$95,15,0))</f>
        <v>0</v>
      </c>
      <c r="X215" s="6">
        <f>IF(ISERROR(VLOOKUP($U$215,'TAR FIN'!$A$1:$O$95,15,0)),0,VLOOKUP($U$215,'TAR FIN'!$A$1:$O$95,15,0))</f>
        <v>0</v>
      </c>
      <c r="Y215" s="6">
        <f ca="1">('TUSD BE'!$AM$9+'TUSD BF'!$AM$9+'TUSD CVA'!$AM$9)*1</f>
        <v>9.1574451247299731</v>
      </c>
      <c r="Z215" s="6"/>
      <c r="AA215" s="6"/>
      <c r="AB215" s="6">
        <f>$K$215*$V$215</f>
        <v>454800</v>
      </c>
      <c r="AC215" s="6">
        <f>$M$215*$W$215</f>
        <v>0</v>
      </c>
      <c r="AD215" s="6">
        <f>$O$215*$X$215</f>
        <v>0</v>
      </c>
      <c r="AE215" s="6">
        <f ca="1">$K$215*$Y$215</f>
        <v>549446.70748379838</v>
      </c>
      <c r="AF215" s="6">
        <f>$M$215*$Z$215</f>
        <v>0</v>
      </c>
      <c r="AG215" s="6">
        <f>$O$215*$AA$215</f>
        <v>0</v>
      </c>
    </row>
    <row r="216" spans="1:33" ht="11.25" customHeight="1" x14ac:dyDescent="0.25">
      <c r="A216" s="4" t="s">
        <v>21</v>
      </c>
      <c r="B216" s="4" t="s">
        <v>43</v>
      </c>
      <c r="C216" s="4" t="s">
        <v>63</v>
      </c>
      <c r="D216" s="4" t="s">
        <v>25</v>
      </c>
      <c r="E216" s="4" t="s">
        <v>25</v>
      </c>
      <c r="F216" s="4" t="s">
        <v>25</v>
      </c>
      <c r="G216" s="4" t="s">
        <v>67</v>
      </c>
      <c r="H216" s="4" t="s">
        <v>25</v>
      </c>
      <c r="I216" s="5">
        <v>44256</v>
      </c>
      <c r="J216" s="6">
        <v>60000</v>
      </c>
      <c r="K216" s="6">
        <v>60000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4" t="s">
        <v>65</v>
      </c>
      <c r="R216" s="4">
        <v>29276</v>
      </c>
      <c r="S216" s="6">
        <v>27</v>
      </c>
      <c r="T216" s="6">
        <v>0</v>
      </c>
      <c r="U216" s="6">
        <v>0</v>
      </c>
      <c r="V216" s="6">
        <f>IF(ISERROR(VLOOKUP($S$216,'TAR FIN'!$A$1:$O$95,15,0)),0,VLOOKUP($S$216,'TAR FIN'!$A$1:$O$95,15,0))</f>
        <v>7.58</v>
      </c>
      <c r="W216" s="6">
        <f>IF(ISERROR(VLOOKUP($T$216,'TAR FIN'!$A$1:$O$95,15,0)),0,VLOOKUP($T$216,'TAR FIN'!$A$1:$O$95,15,0))</f>
        <v>0</v>
      </c>
      <c r="X216" s="6">
        <f>IF(ISERROR(VLOOKUP($U$216,'TAR FIN'!$A$1:$O$95,15,0)),0,VLOOKUP($U$216,'TAR FIN'!$A$1:$O$95,15,0))</f>
        <v>0</v>
      </c>
      <c r="Y216" s="6">
        <f ca="1">('TUSD BE'!$AM$9+'TUSD BF'!$AM$9+'TUSD CVA'!$AM$9)*1</f>
        <v>9.1574451247299731</v>
      </c>
      <c r="Z216" s="6"/>
      <c r="AA216" s="6"/>
      <c r="AB216" s="6">
        <f>$K$216*$V$216</f>
        <v>454800</v>
      </c>
      <c r="AC216" s="6">
        <f>$M$216*$W$216</f>
        <v>0</v>
      </c>
      <c r="AD216" s="6">
        <f>$O$216*$X$216</f>
        <v>0</v>
      </c>
      <c r="AE216" s="6">
        <f ca="1">$K$216*$Y$216</f>
        <v>549446.70748379838</v>
      </c>
      <c r="AF216" s="6">
        <f>$M$216*$Z$216</f>
        <v>0</v>
      </c>
      <c r="AG216" s="6">
        <f>$O$216*$AA$216</f>
        <v>0</v>
      </c>
    </row>
    <row r="217" spans="1:33" ht="11.25" customHeight="1" x14ac:dyDescent="0.25">
      <c r="A217" s="4" t="s">
        <v>21</v>
      </c>
      <c r="B217" s="4" t="s">
        <v>43</v>
      </c>
      <c r="C217" s="4" t="s">
        <v>63</v>
      </c>
      <c r="D217" s="4" t="s">
        <v>25</v>
      </c>
      <c r="E217" s="4" t="s">
        <v>25</v>
      </c>
      <c r="F217" s="4" t="s">
        <v>25</v>
      </c>
      <c r="G217" s="4" t="s">
        <v>68</v>
      </c>
      <c r="H217" s="4" t="s">
        <v>25</v>
      </c>
      <c r="I217" s="5">
        <v>44256</v>
      </c>
      <c r="J217" s="6">
        <v>60000</v>
      </c>
      <c r="K217" s="6">
        <v>60000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4" t="s">
        <v>65</v>
      </c>
      <c r="R217" s="4">
        <v>29361</v>
      </c>
      <c r="S217" s="6">
        <v>27</v>
      </c>
      <c r="T217" s="6">
        <v>0</v>
      </c>
      <c r="U217" s="6">
        <v>0</v>
      </c>
      <c r="V217" s="6">
        <f>IF(ISERROR(VLOOKUP($S$217,'TAR FIN'!$A$1:$O$95,15,0)),0,VLOOKUP($S$217,'TAR FIN'!$A$1:$O$95,15,0))</f>
        <v>7.58</v>
      </c>
      <c r="W217" s="6">
        <f>IF(ISERROR(VLOOKUP($T$217,'TAR FIN'!$A$1:$O$95,15,0)),0,VLOOKUP($T$217,'TAR FIN'!$A$1:$O$95,15,0))</f>
        <v>0</v>
      </c>
      <c r="X217" s="6">
        <f>IF(ISERROR(VLOOKUP($U$217,'TAR FIN'!$A$1:$O$95,15,0)),0,VLOOKUP($U$217,'TAR FIN'!$A$1:$O$95,15,0))</f>
        <v>0</v>
      </c>
      <c r="Y217" s="6">
        <f ca="1">('TUSD BE'!$AM$9+'TUSD BF'!$AM$9+'TUSD CVA'!$AM$9)*1</f>
        <v>9.1574451247299731</v>
      </c>
      <c r="Z217" s="6"/>
      <c r="AA217" s="6"/>
      <c r="AB217" s="6">
        <f>$K$217*$V$217</f>
        <v>454800</v>
      </c>
      <c r="AC217" s="6">
        <f>$M$217*$W$217</f>
        <v>0</v>
      </c>
      <c r="AD217" s="6">
        <f>$O$217*$X$217</f>
        <v>0</v>
      </c>
      <c r="AE217" s="6">
        <f ca="1">$K$217*$Y$217</f>
        <v>549446.70748379838</v>
      </c>
      <c r="AF217" s="6">
        <f>$M$217*$Z$217</f>
        <v>0</v>
      </c>
      <c r="AG217" s="6">
        <f>$O$217*$AA$217</f>
        <v>0</v>
      </c>
    </row>
    <row r="218" spans="1:33" ht="11.25" customHeight="1" x14ac:dyDescent="0.25">
      <c r="A218" s="4" t="s">
        <v>21</v>
      </c>
      <c r="B218" s="4" t="s">
        <v>43</v>
      </c>
      <c r="C218" s="4" t="s">
        <v>63</v>
      </c>
      <c r="D218" s="4" t="s">
        <v>25</v>
      </c>
      <c r="E218" s="4" t="s">
        <v>25</v>
      </c>
      <c r="F218" s="4" t="s">
        <v>25</v>
      </c>
      <c r="G218" s="4" t="s">
        <v>69</v>
      </c>
      <c r="H218" s="4" t="s">
        <v>25</v>
      </c>
      <c r="I218" s="5">
        <v>44256</v>
      </c>
      <c r="J218" s="6">
        <v>63000</v>
      </c>
      <c r="K218" s="6">
        <v>63000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4" t="s">
        <v>65</v>
      </c>
      <c r="R218" s="4">
        <v>29432</v>
      </c>
      <c r="S218" s="6">
        <v>27</v>
      </c>
      <c r="T218" s="6">
        <v>0</v>
      </c>
      <c r="U218" s="6">
        <v>0</v>
      </c>
      <c r="V218" s="6">
        <f>IF(ISERROR(VLOOKUP($S$218,'TAR FIN'!$A$1:$O$95,15,0)),0,VLOOKUP($S$218,'TAR FIN'!$A$1:$O$95,15,0))</f>
        <v>7.58</v>
      </c>
      <c r="W218" s="6">
        <f>IF(ISERROR(VLOOKUP($T$218,'TAR FIN'!$A$1:$O$95,15,0)),0,VLOOKUP($T$218,'TAR FIN'!$A$1:$O$95,15,0))</f>
        <v>0</v>
      </c>
      <c r="X218" s="6">
        <f>IF(ISERROR(VLOOKUP($U$218,'TAR FIN'!$A$1:$O$95,15,0)),0,VLOOKUP($U$218,'TAR FIN'!$A$1:$O$95,15,0))</f>
        <v>0</v>
      </c>
      <c r="Y218" s="6">
        <f ca="1">('TUSD BE'!$AM$9+'TUSD BF'!$AM$9+'TUSD CVA'!$AM$9)*1</f>
        <v>9.1574451247299731</v>
      </c>
      <c r="Z218" s="6"/>
      <c r="AA218" s="6"/>
      <c r="AB218" s="6">
        <f>$K$218*$V$218</f>
        <v>477540</v>
      </c>
      <c r="AC218" s="6">
        <f>$M$218*$W$218</f>
        <v>0</v>
      </c>
      <c r="AD218" s="6">
        <f>$O$218*$X$218</f>
        <v>0</v>
      </c>
      <c r="AE218" s="6">
        <f ca="1">$K$218*$Y$218</f>
        <v>576919.04285798827</v>
      </c>
      <c r="AF218" s="6">
        <f>$M$218*$Z$218</f>
        <v>0</v>
      </c>
      <c r="AG218" s="6">
        <f>$O$218*$AA$218</f>
        <v>0</v>
      </c>
    </row>
    <row r="219" spans="1:33" ht="11.25" customHeight="1" x14ac:dyDescent="0.25">
      <c r="A219" s="4" t="s">
        <v>21</v>
      </c>
      <c r="B219" s="4" t="s">
        <v>43</v>
      </c>
      <c r="C219" s="4" t="s">
        <v>63</v>
      </c>
      <c r="D219" s="4" t="s">
        <v>25</v>
      </c>
      <c r="E219" s="4" t="s">
        <v>25</v>
      </c>
      <c r="F219" s="4" t="s">
        <v>25</v>
      </c>
      <c r="G219" s="4" t="s">
        <v>64</v>
      </c>
      <c r="H219" s="4" t="s">
        <v>25</v>
      </c>
      <c r="I219" s="5">
        <v>44287</v>
      </c>
      <c r="J219" s="6">
        <v>157500</v>
      </c>
      <c r="K219" s="6">
        <v>157500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4" t="s">
        <v>65</v>
      </c>
      <c r="R219" s="4">
        <v>27250</v>
      </c>
      <c r="S219" s="6">
        <v>27</v>
      </c>
      <c r="T219" s="6">
        <v>0</v>
      </c>
      <c r="U219" s="6">
        <v>0</v>
      </c>
      <c r="V219" s="6">
        <f>IF(ISERROR(VLOOKUP($S$219,'TAR FIN'!$A$1:$O$95,15,0)),0,VLOOKUP($S$219,'TAR FIN'!$A$1:$O$95,15,0))</f>
        <v>7.58</v>
      </c>
      <c r="W219" s="6">
        <f>IF(ISERROR(VLOOKUP($T$219,'TAR FIN'!$A$1:$O$95,15,0)),0,VLOOKUP($T$219,'TAR FIN'!$A$1:$O$95,15,0))</f>
        <v>0</v>
      </c>
      <c r="X219" s="6">
        <f>IF(ISERROR(VLOOKUP($U$219,'TAR FIN'!$A$1:$O$95,15,0)),0,VLOOKUP($U$219,'TAR FIN'!$A$1:$O$95,15,0))</f>
        <v>0</v>
      </c>
      <c r="Y219" s="6">
        <f ca="1">('TUSD BE'!$AM$9+'TUSD BF'!$AM$9+'TUSD CVA'!$AM$9)*1</f>
        <v>9.1574451247299731</v>
      </c>
      <c r="Z219" s="6"/>
      <c r="AA219" s="6"/>
      <c r="AB219" s="6">
        <f>$K$219*$V$219</f>
        <v>1193850</v>
      </c>
      <c r="AC219" s="6">
        <f>$M$219*$W$219</f>
        <v>0</v>
      </c>
      <c r="AD219" s="6">
        <f>$O$219*$X$219</f>
        <v>0</v>
      </c>
      <c r="AE219" s="6">
        <f ca="1">$K$219*$Y$219</f>
        <v>1442297.6071449707</v>
      </c>
      <c r="AF219" s="6">
        <f>$M$219*$Z$219</f>
        <v>0</v>
      </c>
      <c r="AG219" s="6">
        <f>$O$219*$AA$219</f>
        <v>0</v>
      </c>
    </row>
    <row r="220" spans="1:33" ht="11.25" customHeight="1" x14ac:dyDescent="0.25">
      <c r="A220" s="4" t="s">
        <v>21</v>
      </c>
      <c r="B220" s="4" t="s">
        <v>43</v>
      </c>
      <c r="C220" s="4" t="s">
        <v>63</v>
      </c>
      <c r="D220" s="4" t="s">
        <v>25</v>
      </c>
      <c r="E220" s="4" t="s">
        <v>25</v>
      </c>
      <c r="F220" s="4" t="s">
        <v>25</v>
      </c>
      <c r="G220" s="4" t="s">
        <v>66</v>
      </c>
      <c r="H220" s="4" t="s">
        <v>25</v>
      </c>
      <c r="I220" s="5">
        <v>44287</v>
      </c>
      <c r="J220" s="6">
        <v>60000</v>
      </c>
      <c r="K220" s="6">
        <v>60000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4" t="s">
        <v>65</v>
      </c>
      <c r="R220" s="4">
        <v>29272</v>
      </c>
      <c r="S220" s="6">
        <v>27</v>
      </c>
      <c r="T220" s="6">
        <v>0</v>
      </c>
      <c r="U220" s="6">
        <v>0</v>
      </c>
      <c r="V220" s="6">
        <f>IF(ISERROR(VLOOKUP($S$220,'TAR FIN'!$A$1:$O$95,15,0)),0,VLOOKUP($S$220,'TAR FIN'!$A$1:$O$95,15,0))</f>
        <v>7.58</v>
      </c>
      <c r="W220" s="6">
        <f>IF(ISERROR(VLOOKUP($T$220,'TAR FIN'!$A$1:$O$95,15,0)),0,VLOOKUP($T$220,'TAR FIN'!$A$1:$O$95,15,0))</f>
        <v>0</v>
      </c>
      <c r="X220" s="6">
        <f>IF(ISERROR(VLOOKUP($U$220,'TAR FIN'!$A$1:$O$95,15,0)),0,VLOOKUP($U$220,'TAR FIN'!$A$1:$O$95,15,0))</f>
        <v>0</v>
      </c>
      <c r="Y220" s="6">
        <f ca="1">('TUSD BE'!$AM$9+'TUSD BF'!$AM$9+'TUSD CVA'!$AM$9)*1</f>
        <v>9.1574451247299731</v>
      </c>
      <c r="Z220" s="6"/>
      <c r="AA220" s="6"/>
      <c r="AB220" s="6">
        <f>$K$220*$V$220</f>
        <v>454800</v>
      </c>
      <c r="AC220" s="6">
        <f>$M$220*$W$220</f>
        <v>0</v>
      </c>
      <c r="AD220" s="6">
        <f>$O$220*$X$220</f>
        <v>0</v>
      </c>
      <c r="AE220" s="6">
        <f ca="1">$K$220*$Y$220</f>
        <v>549446.70748379838</v>
      </c>
      <c r="AF220" s="6">
        <f>$M$220*$Z$220</f>
        <v>0</v>
      </c>
      <c r="AG220" s="6">
        <f>$O$220*$AA$220</f>
        <v>0</v>
      </c>
    </row>
    <row r="221" spans="1:33" ht="11.25" customHeight="1" x14ac:dyDescent="0.25">
      <c r="A221" s="4" t="s">
        <v>21</v>
      </c>
      <c r="B221" s="4" t="s">
        <v>43</v>
      </c>
      <c r="C221" s="4" t="s">
        <v>63</v>
      </c>
      <c r="D221" s="4" t="s">
        <v>25</v>
      </c>
      <c r="E221" s="4" t="s">
        <v>25</v>
      </c>
      <c r="F221" s="4" t="s">
        <v>25</v>
      </c>
      <c r="G221" s="4" t="s">
        <v>67</v>
      </c>
      <c r="H221" s="4" t="s">
        <v>25</v>
      </c>
      <c r="I221" s="5">
        <v>44287</v>
      </c>
      <c r="J221" s="6">
        <v>60000</v>
      </c>
      <c r="K221" s="6">
        <v>60000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4" t="s">
        <v>65</v>
      </c>
      <c r="R221" s="4">
        <v>29276</v>
      </c>
      <c r="S221" s="6">
        <v>27</v>
      </c>
      <c r="T221" s="6">
        <v>0</v>
      </c>
      <c r="U221" s="6">
        <v>0</v>
      </c>
      <c r="V221" s="6">
        <f>IF(ISERROR(VLOOKUP($S$221,'TAR FIN'!$A$1:$O$95,15,0)),0,VLOOKUP($S$221,'TAR FIN'!$A$1:$O$95,15,0))</f>
        <v>7.58</v>
      </c>
      <c r="W221" s="6">
        <f>IF(ISERROR(VLOOKUP($T$221,'TAR FIN'!$A$1:$O$95,15,0)),0,VLOOKUP($T$221,'TAR FIN'!$A$1:$O$95,15,0))</f>
        <v>0</v>
      </c>
      <c r="X221" s="6">
        <f>IF(ISERROR(VLOOKUP($U$221,'TAR FIN'!$A$1:$O$95,15,0)),0,VLOOKUP($U$221,'TAR FIN'!$A$1:$O$95,15,0))</f>
        <v>0</v>
      </c>
      <c r="Y221" s="6">
        <f ca="1">('TUSD BE'!$AM$9+'TUSD BF'!$AM$9+'TUSD CVA'!$AM$9)*1</f>
        <v>9.1574451247299731</v>
      </c>
      <c r="Z221" s="6"/>
      <c r="AA221" s="6"/>
      <c r="AB221" s="6">
        <f>$K$221*$V$221</f>
        <v>454800</v>
      </c>
      <c r="AC221" s="6">
        <f>$M$221*$W$221</f>
        <v>0</v>
      </c>
      <c r="AD221" s="6">
        <f>$O$221*$X$221</f>
        <v>0</v>
      </c>
      <c r="AE221" s="6">
        <f ca="1">$K$221*$Y$221</f>
        <v>549446.70748379838</v>
      </c>
      <c r="AF221" s="6">
        <f>$M$221*$Z$221</f>
        <v>0</v>
      </c>
      <c r="AG221" s="6">
        <f>$O$221*$AA$221</f>
        <v>0</v>
      </c>
    </row>
    <row r="222" spans="1:33" ht="11.25" customHeight="1" x14ac:dyDescent="0.25">
      <c r="A222" s="4" t="s">
        <v>21</v>
      </c>
      <c r="B222" s="4" t="s">
        <v>43</v>
      </c>
      <c r="C222" s="4" t="s">
        <v>63</v>
      </c>
      <c r="D222" s="4" t="s">
        <v>25</v>
      </c>
      <c r="E222" s="4" t="s">
        <v>25</v>
      </c>
      <c r="F222" s="4" t="s">
        <v>25</v>
      </c>
      <c r="G222" s="4" t="s">
        <v>68</v>
      </c>
      <c r="H222" s="4" t="s">
        <v>25</v>
      </c>
      <c r="I222" s="5">
        <v>44287</v>
      </c>
      <c r="J222" s="6">
        <v>60000</v>
      </c>
      <c r="K222" s="6">
        <v>60000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4" t="s">
        <v>65</v>
      </c>
      <c r="R222" s="4">
        <v>29361</v>
      </c>
      <c r="S222" s="6">
        <v>27</v>
      </c>
      <c r="T222" s="6">
        <v>0</v>
      </c>
      <c r="U222" s="6">
        <v>0</v>
      </c>
      <c r="V222" s="6">
        <f>IF(ISERROR(VLOOKUP($S$222,'TAR FIN'!$A$1:$O$95,15,0)),0,VLOOKUP($S$222,'TAR FIN'!$A$1:$O$95,15,0))</f>
        <v>7.58</v>
      </c>
      <c r="W222" s="6">
        <f>IF(ISERROR(VLOOKUP($T$222,'TAR FIN'!$A$1:$O$95,15,0)),0,VLOOKUP($T$222,'TAR FIN'!$A$1:$O$95,15,0))</f>
        <v>0</v>
      </c>
      <c r="X222" s="6">
        <f>IF(ISERROR(VLOOKUP($U$222,'TAR FIN'!$A$1:$O$95,15,0)),0,VLOOKUP($U$222,'TAR FIN'!$A$1:$O$95,15,0))</f>
        <v>0</v>
      </c>
      <c r="Y222" s="6">
        <f ca="1">('TUSD BE'!$AM$9+'TUSD BF'!$AM$9+'TUSD CVA'!$AM$9)*1</f>
        <v>9.1574451247299731</v>
      </c>
      <c r="Z222" s="6"/>
      <c r="AA222" s="6"/>
      <c r="AB222" s="6">
        <f>$K$222*$V$222</f>
        <v>454800</v>
      </c>
      <c r="AC222" s="6">
        <f>$M$222*$W$222</f>
        <v>0</v>
      </c>
      <c r="AD222" s="6">
        <f>$O$222*$X$222</f>
        <v>0</v>
      </c>
      <c r="AE222" s="6">
        <f ca="1">$K$222*$Y$222</f>
        <v>549446.70748379838</v>
      </c>
      <c r="AF222" s="6">
        <f>$M$222*$Z$222</f>
        <v>0</v>
      </c>
      <c r="AG222" s="6">
        <f>$O$222*$AA$222</f>
        <v>0</v>
      </c>
    </row>
    <row r="223" spans="1:33" ht="11.25" customHeight="1" x14ac:dyDescent="0.25">
      <c r="A223" s="4" t="s">
        <v>21</v>
      </c>
      <c r="B223" s="4" t="s">
        <v>43</v>
      </c>
      <c r="C223" s="4" t="s">
        <v>63</v>
      </c>
      <c r="D223" s="4" t="s">
        <v>25</v>
      </c>
      <c r="E223" s="4" t="s">
        <v>25</v>
      </c>
      <c r="F223" s="4" t="s">
        <v>25</v>
      </c>
      <c r="G223" s="4" t="s">
        <v>69</v>
      </c>
      <c r="H223" s="4" t="s">
        <v>25</v>
      </c>
      <c r="I223" s="5">
        <v>44287</v>
      </c>
      <c r="J223" s="6">
        <v>63000</v>
      </c>
      <c r="K223" s="6">
        <v>63000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4" t="s">
        <v>65</v>
      </c>
      <c r="R223" s="4">
        <v>29432</v>
      </c>
      <c r="S223" s="6">
        <v>27</v>
      </c>
      <c r="T223" s="6">
        <v>0</v>
      </c>
      <c r="U223" s="6">
        <v>0</v>
      </c>
      <c r="V223" s="6">
        <f>IF(ISERROR(VLOOKUP($S$223,'TAR FIN'!$A$1:$O$95,15,0)),0,VLOOKUP($S$223,'TAR FIN'!$A$1:$O$95,15,0))</f>
        <v>7.58</v>
      </c>
      <c r="W223" s="6">
        <f>IF(ISERROR(VLOOKUP($T$223,'TAR FIN'!$A$1:$O$95,15,0)),0,VLOOKUP($T$223,'TAR FIN'!$A$1:$O$95,15,0))</f>
        <v>0</v>
      </c>
      <c r="X223" s="6">
        <f>IF(ISERROR(VLOOKUP($U$223,'TAR FIN'!$A$1:$O$95,15,0)),0,VLOOKUP($U$223,'TAR FIN'!$A$1:$O$95,15,0))</f>
        <v>0</v>
      </c>
      <c r="Y223" s="6">
        <f ca="1">('TUSD BE'!$AM$9+'TUSD BF'!$AM$9+'TUSD CVA'!$AM$9)*1</f>
        <v>9.1574451247299731</v>
      </c>
      <c r="Z223" s="6"/>
      <c r="AA223" s="6"/>
      <c r="AB223" s="6">
        <f>$K$223*$V$223</f>
        <v>477540</v>
      </c>
      <c r="AC223" s="6">
        <f>$M$223*$W$223</f>
        <v>0</v>
      </c>
      <c r="AD223" s="6">
        <f>$O$223*$X$223</f>
        <v>0</v>
      </c>
      <c r="AE223" s="6">
        <f ca="1">$K$223*$Y$223</f>
        <v>576919.04285798827</v>
      </c>
      <c r="AF223" s="6">
        <f>$M$223*$Z$223</f>
        <v>0</v>
      </c>
      <c r="AG223" s="6">
        <f>$O$223*$AA$223</f>
        <v>0</v>
      </c>
    </row>
    <row r="224" spans="1:33" ht="11.25" customHeight="1" x14ac:dyDescent="0.25">
      <c r="A224" s="4" t="s">
        <v>21</v>
      </c>
      <c r="B224" s="4" t="s">
        <v>43</v>
      </c>
      <c r="C224" s="4" t="s">
        <v>63</v>
      </c>
      <c r="D224" s="4" t="s">
        <v>25</v>
      </c>
      <c r="E224" s="4" t="s">
        <v>25</v>
      </c>
      <c r="F224" s="4" t="s">
        <v>25</v>
      </c>
      <c r="G224" s="4" t="s">
        <v>64</v>
      </c>
      <c r="H224" s="4" t="s">
        <v>25</v>
      </c>
      <c r="I224" s="5">
        <v>44317</v>
      </c>
      <c r="J224" s="6">
        <v>157500</v>
      </c>
      <c r="K224" s="6">
        <v>157500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4" t="s">
        <v>65</v>
      </c>
      <c r="R224" s="4">
        <v>27250</v>
      </c>
      <c r="S224" s="6">
        <v>27</v>
      </c>
      <c r="T224" s="6">
        <v>0</v>
      </c>
      <c r="U224" s="6">
        <v>0</v>
      </c>
      <c r="V224" s="6">
        <f>IF(ISERROR(VLOOKUP($S$224,'TAR FIN'!$A$1:$O$95,15,0)),0,VLOOKUP($S$224,'TAR FIN'!$A$1:$O$95,15,0))</f>
        <v>7.58</v>
      </c>
      <c r="W224" s="6">
        <f>IF(ISERROR(VLOOKUP($T$224,'TAR FIN'!$A$1:$O$95,15,0)),0,VLOOKUP($T$224,'TAR FIN'!$A$1:$O$95,15,0))</f>
        <v>0</v>
      </c>
      <c r="X224" s="6">
        <f>IF(ISERROR(VLOOKUP($U$224,'TAR FIN'!$A$1:$O$95,15,0)),0,VLOOKUP($U$224,'TAR FIN'!$A$1:$O$95,15,0))</f>
        <v>0</v>
      </c>
      <c r="Y224" s="6">
        <f ca="1">('TUSD BE'!$AM$9+'TUSD BF'!$AM$9+'TUSD CVA'!$AM$9)*1</f>
        <v>9.1574451247299731</v>
      </c>
      <c r="Z224" s="6"/>
      <c r="AA224" s="6"/>
      <c r="AB224" s="6">
        <f>$K$224*$V$224</f>
        <v>1193850</v>
      </c>
      <c r="AC224" s="6">
        <f>$M$224*$W$224</f>
        <v>0</v>
      </c>
      <c r="AD224" s="6">
        <f>$O$224*$X$224</f>
        <v>0</v>
      </c>
      <c r="AE224" s="6">
        <f ca="1">$K$224*$Y$224</f>
        <v>1442297.6071449707</v>
      </c>
      <c r="AF224" s="6">
        <f>$M$224*$Z$224</f>
        <v>0</v>
      </c>
      <c r="AG224" s="6">
        <f>$O$224*$AA$224</f>
        <v>0</v>
      </c>
    </row>
    <row r="225" spans="1:33" ht="11.25" customHeight="1" x14ac:dyDescent="0.25">
      <c r="A225" s="4" t="s">
        <v>21</v>
      </c>
      <c r="B225" s="4" t="s">
        <v>43</v>
      </c>
      <c r="C225" s="4" t="s">
        <v>63</v>
      </c>
      <c r="D225" s="4" t="s">
        <v>25</v>
      </c>
      <c r="E225" s="4" t="s">
        <v>25</v>
      </c>
      <c r="F225" s="4" t="s">
        <v>25</v>
      </c>
      <c r="G225" s="4" t="s">
        <v>66</v>
      </c>
      <c r="H225" s="4" t="s">
        <v>25</v>
      </c>
      <c r="I225" s="5">
        <v>44317</v>
      </c>
      <c r="J225" s="6">
        <v>60000</v>
      </c>
      <c r="K225" s="6">
        <v>60000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4" t="s">
        <v>65</v>
      </c>
      <c r="R225" s="4">
        <v>29272</v>
      </c>
      <c r="S225" s="6">
        <v>27</v>
      </c>
      <c r="T225" s="6">
        <v>0</v>
      </c>
      <c r="U225" s="6">
        <v>0</v>
      </c>
      <c r="V225" s="6">
        <f>IF(ISERROR(VLOOKUP($S$225,'TAR FIN'!$A$1:$O$95,15,0)),0,VLOOKUP($S$225,'TAR FIN'!$A$1:$O$95,15,0))</f>
        <v>7.58</v>
      </c>
      <c r="W225" s="6">
        <f>IF(ISERROR(VLOOKUP($T$225,'TAR FIN'!$A$1:$O$95,15,0)),0,VLOOKUP($T$225,'TAR FIN'!$A$1:$O$95,15,0))</f>
        <v>0</v>
      </c>
      <c r="X225" s="6">
        <f>IF(ISERROR(VLOOKUP($U$225,'TAR FIN'!$A$1:$O$95,15,0)),0,VLOOKUP($U$225,'TAR FIN'!$A$1:$O$95,15,0))</f>
        <v>0</v>
      </c>
      <c r="Y225" s="6">
        <f ca="1">('TUSD BE'!$AM$9+'TUSD BF'!$AM$9+'TUSD CVA'!$AM$9)*1</f>
        <v>9.1574451247299731</v>
      </c>
      <c r="Z225" s="6"/>
      <c r="AA225" s="6"/>
      <c r="AB225" s="6">
        <f>$K$225*$V$225</f>
        <v>454800</v>
      </c>
      <c r="AC225" s="6">
        <f>$M$225*$W$225</f>
        <v>0</v>
      </c>
      <c r="AD225" s="6">
        <f>$O$225*$X$225</f>
        <v>0</v>
      </c>
      <c r="AE225" s="6">
        <f ca="1">$K$225*$Y$225</f>
        <v>549446.70748379838</v>
      </c>
      <c r="AF225" s="6">
        <f>$M$225*$Z$225</f>
        <v>0</v>
      </c>
      <c r="AG225" s="6">
        <f>$O$225*$AA$225</f>
        <v>0</v>
      </c>
    </row>
    <row r="226" spans="1:33" ht="11.25" customHeight="1" x14ac:dyDescent="0.25">
      <c r="A226" s="4" t="s">
        <v>21</v>
      </c>
      <c r="B226" s="4" t="s">
        <v>43</v>
      </c>
      <c r="C226" s="4" t="s">
        <v>63</v>
      </c>
      <c r="D226" s="4" t="s">
        <v>25</v>
      </c>
      <c r="E226" s="4" t="s">
        <v>25</v>
      </c>
      <c r="F226" s="4" t="s">
        <v>25</v>
      </c>
      <c r="G226" s="4" t="s">
        <v>67</v>
      </c>
      <c r="H226" s="4" t="s">
        <v>25</v>
      </c>
      <c r="I226" s="5">
        <v>44317</v>
      </c>
      <c r="J226" s="6">
        <v>60000</v>
      </c>
      <c r="K226" s="6">
        <v>60000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4" t="s">
        <v>65</v>
      </c>
      <c r="R226" s="4">
        <v>29276</v>
      </c>
      <c r="S226" s="6">
        <v>27</v>
      </c>
      <c r="T226" s="6">
        <v>0</v>
      </c>
      <c r="U226" s="6">
        <v>0</v>
      </c>
      <c r="V226" s="6">
        <f>IF(ISERROR(VLOOKUP($S$226,'TAR FIN'!$A$1:$O$95,15,0)),0,VLOOKUP($S$226,'TAR FIN'!$A$1:$O$95,15,0))</f>
        <v>7.58</v>
      </c>
      <c r="W226" s="6">
        <f>IF(ISERROR(VLOOKUP($T$226,'TAR FIN'!$A$1:$O$95,15,0)),0,VLOOKUP($T$226,'TAR FIN'!$A$1:$O$95,15,0))</f>
        <v>0</v>
      </c>
      <c r="X226" s="6">
        <f>IF(ISERROR(VLOOKUP($U$226,'TAR FIN'!$A$1:$O$95,15,0)),0,VLOOKUP($U$226,'TAR FIN'!$A$1:$O$95,15,0))</f>
        <v>0</v>
      </c>
      <c r="Y226" s="6">
        <f ca="1">('TUSD BE'!$AM$9+'TUSD BF'!$AM$9+'TUSD CVA'!$AM$9)*1</f>
        <v>9.1574451247299731</v>
      </c>
      <c r="Z226" s="6"/>
      <c r="AA226" s="6"/>
      <c r="AB226" s="6">
        <f>$K$226*$V$226</f>
        <v>454800</v>
      </c>
      <c r="AC226" s="6">
        <f>$M$226*$W$226</f>
        <v>0</v>
      </c>
      <c r="AD226" s="6">
        <f>$O$226*$X$226</f>
        <v>0</v>
      </c>
      <c r="AE226" s="6">
        <f ca="1">$K$226*$Y$226</f>
        <v>549446.70748379838</v>
      </c>
      <c r="AF226" s="6">
        <f>$M$226*$Z$226</f>
        <v>0</v>
      </c>
      <c r="AG226" s="6">
        <f>$O$226*$AA$226</f>
        <v>0</v>
      </c>
    </row>
    <row r="227" spans="1:33" ht="11.25" customHeight="1" x14ac:dyDescent="0.25">
      <c r="A227" s="4" t="s">
        <v>21</v>
      </c>
      <c r="B227" s="4" t="s">
        <v>43</v>
      </c>
      <c r="C227" s="4" t="s">
        <v>63</v>
      </c>
      <c r="D227" s="4" t="s">
        <v>25</v>
      </c>
      <c r="E227" s="4" t="s">
        <v>25</v>
      </c>
      <c r="F227" s="4" t="s">
        <v>25</v>
      </c>
      <c r="G227" s="4" t="s">
        <v>68</v>
      </c>
      <c r="H227" s="4" t="s">
        <v>25</v>
      </c>
      <c r="I227" s="5">
        <v>44317</v>
      </c>
      <c r="J227" s="6">
        <v>60000</v>
      </c>
      <c r="K227" s="6">
        <v>60000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4" t="s">
        <v>65</v>
      </c>
      <c r="R227" s="4">
        <v>29361</v>
      </c>
      <c r="S227" s="6">
        <v>27</v>
      </c>
      <c r="T227" s="6">
        <v>0</v>
      </c>
      <c r="U227" s="6">
        <v>0</v>
      </c>
      <c r="V227" s="6">
        <f>IF(ISERROR(VLOOKUP($S$227,'TAR FIN'!$A$1:$O$95,15,0)),0,VLOOKUP($S$227,'TAR FIN'!$A$1:$O$95,15,0))</f>
        <v>7.58</v>
      </c>
      <c r="W227" s="6">
        <f>IF(ISERROR(VLOOKUP($T$227,'TAR FIN'!$A$1:$O$95,15,0)),0,VLOOKUP($T$227,'TAR FIN'!$A$1:$O$95,15,0))</f>
        <v>0</v>
      </c>
      <c r="X227" s="6">
        <f>IF(ISERROR(VLOOKUP($U$227,'TAR FIN'!$A$1:$O$95,15,0)),0,VLOOKUP($U$227,'TAR FIN'!$A$1:$O$95,15,0))</f>
        <v>0</v>
      </c>
      <c r="Y227" s="6">
        <f ca="1">('TUSD BE'!$AM$9+'TUSD BF'!$AM$9+'TUSD CVA'!$AM$9)*1</f>
        <v>9.1574451247299731</v>
      </c>
      <c r="Z227" s="6"/>
      <c r="AA227" s="6"/>
      <c r="AB227" s="6">
        <f>$K$227*$V$227</f>
        <v>454800</v>
      </c>
      <c r="AC227" s="6">
        <f>$M$227*$W$227</f>
        <v>0</v>
      </c>
      <c r="AD227" s="6">
        <f>$O$227*$X$227</f>
        <v>0</v>
      </c>
      <c r="AE227" s="6">
        <f ca="1">$K$227*$Y$227</f>
        <v>549446.70748379838</v>
      </c>
      <c r="AF227" s="6">
        <f>$M$227*$Z$227</f>
        <v>0</v>
      </c>
      <c r="AG227" s="6">
        <f>$O$227*$AA$227</f>
        <v>0</v>
      </c>
    </row>
    <row r="228" spans="1:33" ht="11.25" customHeight="1" x14ac:dyDescent="0.25">
      <c r="A228" s="4" t="s">
        <v>21</v>
      </c>
      <c r="B228" s="4" t="s">
        <v>43</v>
      </c>
      <c r="C228" s="4" t="s">
        <v>63</v>
      </c>
      <c r="D228" s="4" t="s">
        <v>25</v>
      </c>
      <c r="E228" s="4" t="s">
        <v>25</v>
      </c>
      <c r="F228" s="4" t="s">
        <v>25</v>
      </c>
      <c r="G228" s="4" t="s">
        <v>69</v>
      </c>
      <c r="H228" s="4" t="s">
        <v>25</v>
      </c>
      <c r="I228" s="5">
        <v>44317</v>
      </c>
      <c r="J228" s="6">
        <v>63000</v>
      </c>
      <c r="K228" s="6">
        <v>63000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4" t="s">
        <v>65</v>
      </c>
      <c r="R228" s="4">
        <v>29432</v>
      </c>
      <c r="S228" s="6">
        <v>27</v>
      </c>
      <c r="T228" s="6">
        <v>0</v>
      </c>
      <c r="U228" s="6">
        <v>0</v>
      </c>
      <c r="V228" s="6">
        <f>IF(ISERROR(VLOOKUP($S$228,'TAR FIN'!$A$1:$O$95,15,0)),0,VLOOKUP($S$228,'TAR FIN'!$A$1:$O$95,15,0))</f>
        <v>7.58</v>
      </c>
      <c r="W228" s="6">
        <f>IF(ISERROR(VLOOKUP($T$228,'TAR FIN'!$A$1:$O$95,15,0)),0,VLOOKUP($T$228,'TAR FIN'!$A$1:$O$95,15,0))</f>
        <v>0</v>
      </c>
      <c r="X228" s="6">
        <f>IF(ISERROR(VLOOKUP($U$228,'TAR FIN'!$A$1:$O$95,15,0)),0,VLOOKUP($U$228,'TAR FIN'!$A$1:$O$95,15,0))</f>
        <v>0</v>
      </c>
      <c r="Y228" s="6">
        <f ca="1">('TUSD BE'!$AM$9+'TUSD BF'!$AM$9+'TUSD CVA'!$AM$9)*1</f>
        <v>9.1574451247299731</v>
      </c>
      <c r="Z228" s="6"/>
      <c r="AA228" s="6"/>
      <c r="AB228" s="6">
        <f>$K$228*$V$228</f>
        <v>477540</v>
      </c>
      <c r="AC228" s="6">
        <f>$M$228*$W$228</f>
        <v>0</v>
      </c>
      <c r="AD228" s="6">
        <f>$O$228*$X$228</f>
        <v>0</v>
      </c>
      <c r="AE228" s="6">
        <f ca="1">$K$228*$Y$228</f>
        <v>576919.04285798827</v>
      </c>
      <c r="AF228" s="6">
        <f>$M$228*$Z$228</f>
        <v>0</v>
      </c>
      <c r="AG228" s="6">
        <f>$O$228*$AA$228</f>
        <v>0</v>
      </c>
    </row>
    <row r="229" spans="1:33" ht="11.25" customHeight="1" x14ac:dyDescent="0.25">
      <c r="A229" s="4" t="s">
        <v>21</v>
      </c>
      <c r="B229" s="4" t="s">
        <v>43</v>
      </c>
      <c r="C229" s="4" t="s">
        <v>63</v>
      </c>
      <c r="D229" s="4" t="s">
        <v>25</v>
      </c>
      <c r="E229" s="4" t="s">
        <v>25</v>
      </c>
      <c r="F229" s="4" t="s">
        <v>25</v>
      </c>
      <c r="G229" s="4" t="s">
        <v>64</v>
      </c>
      <c r="H229" s="4" t="s">
        <v>25</v>
      </c>
      <c r="I229" s="5">
        <v>44348</v>
      </c>
      <c r="J229" s="6">
        <v>157500</v>
      </c>
      <c r="K229" s="6">
        <v>157500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4" t="s">
        <v>65</v>
      </c>
      <c r="R229" s="4">
        <v>27250</v>
      </c>
      <c r="S229" s="6">
        <v>27</v>
      </c>
      <c r="T229" s="6">
        <v>0</v>
      </c>
      <c r="U229" s="6">
        <v>0</v>
      </c>
      <c r="V229" s="6">
        <f>IF(ISERROR(VLOOKUP($S$229,'TAR FIN'!$A$1:$O$95,15,0)),0,VLOOKUP($S$229,'TAR FIN'!$A$1:$O$95,15,0))</f>
        <v>7.58</v>
      </c>
      <c r="W229" s="6">
        <f>IF(ISERROR(VLOOKUP($T$229,'TAR FIN'!$A$1:$O$95,15,0)),0,VLOOKUP($T$229,'TAR FIN'!$A$1:$O$95,15,0))</f>
        <v>0</v>
      </c>
      <c r="X229" s="6">
        <f>IF(ISERROR(VLOOKUP($U$229,'TAR FIN'!$A$1:$O$95,15,0)),0,VLOOKUP($U$229,'TAR FIN'!$A$1:$O$95,15,0))</f>
        <v>0</v>
      </c>
      <c r="Y229" s="6">
        <f ca="1">('TUSD BE'!$AM$9+'TUSD BF'!$AM$9+'TUSD CVA'!$AM$9)*1</f>
        <v>9.1574451247299731</v>
      </c>
      <c r="Z229" s="6"/>
      <c r="AA229" s="6"/>
      <c r="AB229" s="6">
        <f>$K$229*$V$229</f>
        <v>1193850</v>
      </c>
      <c r="AC229" s="6">
        <f>$M$229*$W$229</f>
        <v>0</v>
      </c>
      <c r="AD229" s="6">
        <f>$O$229*$X$229</f>
        <v>0</v>
      </c>
      <c r="AE229" s="6">
        <f ca="1">$K$229*$Y$229</f>
        <v>1442297.6071449707</v>
      </c>
      <c r="AF229" s="6">
        <f>$M$229*$Z$229</f>
        <v>0</v>
      </c>
      <c r="AG229" s="6">
        <f>$O$229*$AA$229</f>
        <v>0</v>
      </c>
    </row>
    <row r="230" spans="1:33" ht="11.25" customHeight="1" x14ac:dyDescent="0.25">
      <c r="A230" s="4" t="s">
        <v>21</v>
      </c>
      <c r="B230" s="4" t="s">
        <v>43</v>
      </c>
      <c r="C230" s="4" t="s">
        <v>63</v>
      </c>
      <c r="D230" s="4" t="s">
        <v>25</v>
      </c>
      <c r="E230" s="4" t="s">
        <v>25</v>
      </c>
      <c r="F230" s="4" t="s">
        <v>25</v>
      </c>
      <c r="G230" s="4" t="s">
        <v>66</v>
      </c>
      <c r="H230" s="4" t="s">
        <v>25</v>
      </c>
      <c r="I230" s="5">
        <v>44348</v>
      </c>
      <c r="J230" s="6">
        <v>60000</v>
      </c>
      <c r="K230" s="6">
        <v>60000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4" t="s">
        <v>65</v>
      </c>
      <c r="R230" s="4">
        <v>29272</v>
      </c>
      <c r="S230" s="6">
        <v>27</v>
      </c>
      <c r="T230" s="6">
        <v>0</v>
      </c>
      <c r="U230" s="6">
        <v>0</v>
      </c>
      <c r="V230" s="6">
        <f>IF(ISERROR(VLOOKUP($S$230,'TAR FIN'!$A$1:$O$95,15,0)),0,VLOOKUP($S$230,'TAR FIN'!$A$1:$O$95,15,0))</f>
        <v>7.58</v>
      </c>
      <c r="W230" s="6">
        <f>IF(ISERROR(VLOOKUP($T$230,'TAR FIN'!$A$1:$O$95,15,0)),0,VLOOKUP($T$230,'TAR FIN'!$A$1:$O$95,15,0))</f>
        <v>0</v>
      </c>
      <c r="X230" s="6">
        <f>IF(ISERROR(VLOOKUP($U$230,'TAR FIN'!$A$1:$O$95,15,0)),0,VLOOKUP($U$230,'TAR FIN'!$A$1:$O$95,15,0))</f>
        <v>0</v>
      </c>
      <c r="Y230" s="6">
        <f ca="1">('TUSD BE'!$AM$9+'TUSD BF'!$AM$9+'TUSD CVA'!$AM$9)*1</f>
        <v>9.1574451247299731</v>
      </c>
      <c r="Z230" s="6"/>
      <c r="AA230" s="6"/>
      <c r="AB230" s="6">
        <f>$K$230*$V$230</f>
        <v>454800</v>
      </c>
      <c r="AC230" s="6">
        <f>$M$230*$W$230</f>
        <v>0</v>
      </c>
      <c r="AD230" s="6">
        <f>$O$230*$X$230</f>
        <v>0</v>
      </c>
      <c r="AE230" s="6">
        <f ca="1">$K$230*$Y$230</f>
        <v>549446.70748379838</v>
      </c>
      <c r="AF230" s="6">
        <f>$M$230*$Z$230</f>
        <v>0</v>
      </c>
      <c r="AG230" s="6">
        <f>$O$230*$AA$230</f>
        <v>0</v>
      </c>
    </row>
    <row r="231" spans="1:33" ht="11.25" customHeight="1" x14ac:dyDescent="0.25">
      <c r="A231" s="4" t="s">
        <v>21</v>
      </c>
      <c r="B231" s="4" t="s">
        <v>43</v>
      </c>
      <c r="C231" s="4" t="s">
        <v>63</v>
      </c>
      <c r="D231" s="4" t="s">
        <v>25</v>
      </c>
      <c r="E231" s="4" t="s">
        <v>25</v>
      </c>
      <c r="F231" s="4" t="s">
        <v>25</v>
      </c>
      <c r="G231" s="4" t="s">
        <v>67</v>
      </c>
      <c r="H231" s="4" t="s">
        <v>25</v>
      </c>
      <c r="I231" s="5">
        <v>44348</v>
      </c>
      <c r="J231" s="6">
        <v>60000</v>
      </c>
      <c r="K231" s="6">
        <v>60000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4" t="s">
        <v>65</v>
      </c>
      <c r="R231" s="4">
        <v>29276</v>
      </c>
      <c r="S231" s="6">
        <v>27</v>
      </c>
      <c r="T231" s="6">
        <v>0</v>
      </c>
      <c r="U231" s="6">
        <v>0</v>
      </c>
      <c r="V231" s="6">
        <f>IF(ISERROR(VLOOKUP($S$231,'TAR FIN'!$A$1:$O$95,15,0)),0,VLOOKUP($S$231,'TAR FIN'!$A$1:$O$95,15,0))</f>
        <v>7.58</v>
      </c>
      <c r="W231" s="6">
        <f>IF(ISERROR(VLOOKUP($T$231,'TAR FIN'!$A$1:$O$95,15,0)),0,VLOOKUP($T$231,'TAR FIN'!$A$1:$O$95,15,0))</f>
        <v>0</v>
      </c>
      <c r="X231" s="6">
        <f>IF(ISERROR(VLOOKUP($U$231,'TAR FIN'!$A$1:$O$95,15,0)),0,VLOOKUP($U$231,'TAR FIN'!$A$1:$O$95,15,0))</f>
        <v>0</v>
      </c>
      <c r="Y231" s="6">
        <f ca="1">('TUSD BE'!$AM$9+'TUSD BF'!$AM$9+'TUSD CVA'!$AM$9)*1</f>
        <v>9.1574451247299731</v>
      </c>
      <c r="Z231" s="6"/>
      <c r="AA231" s="6"/>
      <c r="AB231" s="6">
        <f>$K$231*$V$231</f>
        <v>454800</v>
      </c>
      <c r="AC231" s="6">
        <f>$M$231*$W$231</f>
        <v>0</v>
      </c>
      <c r="AD231" s="6">
        <f>$O$231*$X$231</f>
        <v>0</v>
      </c>
      <c r="AE231" s="6">
        <f ca="1">$K$231*$Y$231</f>
        <v>549446.70748379838</v>
      </c>
      <c r="AF231" s="6">
        <f>$M$231*$Z$231</f>
        <v>0</v>
      </c>
      <c r="AG231" s="6">
        <f>$O$231*$AA$231</f>
        <v>0</v>
      </c>
    </row>
    <row r="232" spans="1:33" ht="11.25" customHeight="1" x14ac:dyDescent="0.25">
      <c r="A232" s="4" t="s">
        <v>21</v>
      </c>
      <c r="B232" s="4" t="s">
        <v>43</v>
      </c>
      <c r="C232" s="4" t="s">
        <v>63</v>
      </c>
      <c r="D232" s="4" t="s">
        <v>25</v>
      </c>
      <c r="E232" s="4" t="s">
        <v>25</v>
      </c>
      <c r="F232" s="4" t="s">
        <v>25</v>
      </c>
      <c r="G232" s="4" t="s">
        <v>68</v>
      </c>
      <c r="H232" s="4" t="s">
        <v>25</v>
      </c>
      <c r="I232" s="5">
        <v>44348</v>
      </c>
      <c r="J232" s="6">
        <v>60000</v>
      </c>
      <c r="K232" s="6">
        <v>60000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4" t="s">
        <v>65</v>
      </c>
      <c r="R232" s="4">
        <v>29361</v>
      </c>
      <c r="S232" s="6">
        <v>27</v>
      </c>
      <c r="T232" s="6">
        <v>0</v>
      </c>
      <c r="U232" s="6">
        <v>0</v>
      </c>
      <c r="V232" s="6">
        <f>IF(ISERROR(VLOOKUP($S$232,'TAR FIN'!$A$1:$O$95,15,0)),0,VLOOKUP($S$232,'TAR FIN'!$A$1:$O$95,15,0))</f>
        <v>7.58</v>
      </c>
      <c r="W232" s="6">
        <f>IF(ISERROR(VLOOKUP($T$232,'TAR FIN'!$A$1:$O$95,15,0)),0,VLOOKUP($T$232,'TAR FIN'!$A$1:$O$95,15,0))</f>
        <v>0</v>
      </c>
      <c r="X232" s="6">
        <f>IF(ISERROR(VLOOKUP($U$232,'TAR FIN'!$A$1:$O$95,15,0)),0,VLOOKUP($U$232,'TAR FIN'!$A$1:$O$95,15,0))</f>
        <v>0</v>
      </c>
      <c r="Y232" s="6">
        <f ca="1">('TUSD BE'!$AM$9+'TUSD BF'!$AM$9+'TUSD CVA'!$AM$9)*1</f>
        <v>9.1574451247299731</v>
      </c>
      <c r="Z232" s="6"/>
      <c r="AA232" s="6"/>
      <c r="AB232" s="6">
        <f>$K$232*$V$232</f>
        <v>454800</v>
      </c>
      <c r="AC232" s="6">
        <f>$M$232*$W$232</f>
        <v>0</v>
      </c>
      <c r="AD232" s="6">
        <f>$O$232*$X$232</f>
        <v>0</v>
      </c>
      <c r="AE232" s="6">
        <f ca="1">$K$232*$Y$232</f>
        <v>549446.70748379838</v>
      </c>
      <c r="AF232" s="6">
        <f>$M$232*$Z$232</f>
        <v>0</v>
      </c>
      <c r="AG232" s="6">
        <f>$O$232*$AA$232</f>
        <v>0</v>
      </c>
    </row>
    <row r="233" spans="1:33" ht="11.25" customHeight="1" x14ac:dyDescent="0.25">
      <c r="A233" s="4" t="s">
        <v>21</v>
      </c>
      <c r="B233" s="4" t="s">
        <v>43</v>
      </c>
      <c r="C233" s="4" t="s">
        <v>63</v>
      </c>
      <c r="D233" s="4" t="s">
        <v>25</v>
      </c>
      <c r="E233" s="4" t="s">
        <v>25</v>
      </c>
      <c r="F233" s="4" t="s">
        <v>25</v>
      </c>
      <c r="G233" s="4" t="s">
        <v>69</v>
      </c>
      <c r="H233" s="4" t="s">
        <v>25</v>
      </c>
      <c r="I233" s="5">
        <v>44348</v>
      </c>
      <c r="J233" s="6">
        <v>63000</v>
      </c>
      <c r="K233" s="6">
        <v>63000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4" t="s">
        <v>65</v>
      </c>
      <c r="R233" s="4">
        <v>29432</v>
      </c>
      <c r="S233" s="6">
        <v>27</v>
      </c>
      <c r="T233" s="6">
        <v>0</v>
      </c>
      <c r="U233" s="6">
        <v>0</v>
      </c>
      <c r="V233" s="6">
        <f>IF(ISERROR(VLOOKUP($S$233,'TAR FIN'!$A$1:$O$95,15,0)),0,VLOOKUP($S$233,'TAR FIN'!$A$1:$O$95,15,0))</f>
        <v>7.58</v>
      </c>
      <c r="W233" s="6">
        <f>IF(ISERROR(VLOOKUP($T$233,'TAR FIN'!$A$1:$O$95,15,0)),0,VLOOKUP($T$233,'TAR FIN'!$A$1:$O$95,15,0))</f>
        <v>0</v>
      </c>
      <c r="X233" s="6">
        <f>IF(ISERROR(VLOOKUP($U$233,'TAR FIN'!$A$1:$O$95,15,0)),0,VLOOKUP($U$233,'TAR FIN'!$A$1:$O$95,15,0))</f>
        <v>0</v>
      </c>
      <c r="Y233" s="6">
        <f ca="1">('TUSD BE'!$AM$9+'TUSD BF'!$AM$9+'TUSD CVA'!$AM$9)*1</f>
        <v>9.1574451247299731</v>
      </c>
      <c r="Z233" s="6"/>
      <c r="AA233" s="6"/>
      <c r="AB233" s="6">
        <f>$K$233*$V$233</f>
        <v>477540</v>
      </c>
      <c r="AC233" s="6">
        <f>$M$233*$W$233</f>
        <v>0</v>
      </c>
      <c r="AD233" s="6">
        <f>$O$233*$X$233</f>
        <v>0</v>
      </c>
      <c r="AE233" s="6">
        <f ca="1">$K$233*$Y$233</f>
        <v>576919.04285798827</v>
      </c>
      <c r="AF233" s="6">
        <f>$M$233*$Z$233</f>
        <v>0</v>
      </c>
      <c r="AG233" s="6">
        <f>$O$233*$AA$233</f>
        <v>0</v>
      </c>
    </row>
    <row r="234" spans="1:33" ht="11.25" customHeight="1" x14ac:dyDescent="0.25">
      <c r="A234" s="4" t="s">
        <v>21</v>
      </c>
      <c r="B234" s="4" t="s">
        <v>43</v>
      </c>
      <c r="C234" s="4" t="s">
        <v>63</v>
      </c>
      <c r="D234" s="4" t="s">
        <v>25</v>
      </c>
      <c r="E234" s="4" t="s">
        <v>25</v>
      </c>
      <c r="F234" s="4" t="s">
        <v>25</v>
      </c>
      <c r="G234" s="4" t="s">
        <v>64</v>
      </c>
      <c r="H234" s="4" t="s">
        <v>25</v>
      </c>
      <c r="I234" s="5">
        <v>44378</v>
      </c>
      <c r="J234" s="6">
        <v>157500</v>
      </c>
      <c r="K234" s="6">
        <v>157500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4" t="s">
        <v>65</v>
      </c>
      <c r="R234" s="4">
        <v>27250</v>
      </c>
      <c r="S234" s="6">
        <v>27</v>
      </c>
      <c r="T234" s="6">
        <v>0</v>
      </c>
      <c r="U234" s="6">
        <v>0</v>
      </c>
      <c r="V234" s="6">
        <f>IF(ISERROR(VLOOKUP($S$234,'TAR FIN'!$A$1:$O$95,15,0)),0,VLOOKUP($S$234,'TAR FIN'!$A$1:$O$95,15,0))</f>
        <v>7.58</v>
      </c>
      <c r="W234" s="6">
        <f>IF(ISERROR(VLOOKUP($T$234,'TAR FIN'!$A$1:$O$95,15,0)),0,VLOOKUP($T$234,'TAR FIN'!$A$1:$O$95,15,0))</f>
        <v>0</v>
      </c>
      <c r="X234" s="6">
        <f>IF(ISERROR(VLOOKUP($U$234,'TAR FIN'!$A$1:$O$95,15,0)),0,VLOOKUP($U$234,'TAR FIN'!$A$1:$O$95,15,0))</f>
        <v>0</v>
      </c>
      <c r="Y234" s="6">
        <f ca="1">('TUSD BE'!$AM$9+'TUSD BF'!$AM$9+'TUSD CVA'!$AM$9)*1</f>
        <v>9.1574451247299731</v>
      </c>
      <c r="Z234" s="6"/>
      <c r="AA234" s="6"/>
      <c r="AB234" s="6">
        <f>$K$234*$V$234</f>
        <v>1193850</v>
      </c>
      <c r="AC234" s="6">
        <f>$M$234*$W$234</f>
        <v>0</v>
      </c>
      <c r="AD234" s="6">
        <f>$O$234*$X$234</f>
        <v>0</v>
      </c>
      <c r="AE234" s="6">
        <f ca="1">$K$234*$Y$234</f>
        <v>1442297.6071449707</v>
      </c>
      <c r="AF234" s="6">
        <f>$M$234*$Z$234</f>
        <v>0</v>
      </c>
      <c r="AG234" s="6">
        <f>$O$234*$AA$234</f>
        <v>0</v>
      </c>
    </row>
    <row r="235" spans="1:33" ht="11.25" customHeight="1" x14ac:dyDescent="0.25">
      <c r="A235" s="4" t="s">
        <v>21</v>
      </c>
      <c r="B235" s="4" t="s">
        <v>43</v>
      </c>
      <c r="C235" s="4" t="s">
        <v>63</v>
      </c>
      <c r="D235" s="4" t="s">
        <v>25</v>
      </c>
      <c r="E235" s="4" t="s">
        <v>25</v>
      </c>
      <c r="F235" s="4" t="s">
        <v>25</v>
      </c>
      <c r="G235" s="4" t="s">
        <v>66</v>
      </c>
      <c r="H235" s="4" t="s">
        <v>25</v>
      </c>
      <c r="I235" s="5">
        <v>44378</v>
      </c>
      <c r="J235" s="6">
        <v>60000</v>
      </c>
      <c r="K235" s="6">
        <v>60000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4" t="s">
        <v>65</v>
      </c>
      <c r="R235" s="4">
        <v>29272</v>
      </c>
      <c r="S235" s="6">
        <v>27</v>
      </c>
      <c r="T235" s="6">
        <v>0</v>
      </c>
      <c r="U235" s="6">
        <v>0</v>
      </c>
      <c r="V235" s="6">
        <f>IF(ISERROR(VLOOKUP($S$235,'TAR FIN'!$A$1:$O$95,15,0)),0,VLOOKUP($S$235,'TAR FIN'!$A$1:$O$95,15,0))</f>
        <v>7.58</v>
      </c>
      <c r="W235" s="6">
        <f>IF(ISERROR(VLOOKUP($T$235,'TAR FIN'!$A$1:$O$95,15,0)),0,VLOOKUP($T$235,'TAR FIN'!$A$1:$O$95,15,0))</f>
        <v>0</v>
      </c>
      <c r="X235" s="6">
        <f>IF(ISERROR(VLOOKUP($U$235,'TAR FIN'!$A$1:$O$95,15,0)),0,VLOOKUP($U$235,'TAR FIN'!$A$1:$O$95,15,0))</f>
        <v>0</v>
      </c>
      <c r="Y235" s="6">
        <f ca="1">('TUSD BE'!$AM$9+'TUSD BF'!$AM$9+'TUSD CVA'!$AM$9)*1</f>
        <v>9.1574451247299731</v>
      </c>
      <c r="Z235" s="6"/>
      <c r="AA235" s="6"/>
      <c r="AB235" s="6">
        <f>$K$235*$V$235</f>
        <v>454800</v>
      </c>
      <c r="AC235" s="6">
        <f>$M$235*$W$235</f>
        <v>0</v>
      </c>
      <c r="AD235" s="6">
        <f>$O$235*$X$235</f>
        <v>0</v>
      </c>
      <c r="AE235" s="6">
        <f ca="1">$K$235*$Y$235</f>
        <v>549446.70748379838</v>
      </c>
      <c r="AF235" s="6">
        <f>$M$235*$Z$235</f>
        <v>0</v>
      </c>
      <c r="AG235" s="6">
        <f>$O$235*$AA$235</f>
        <v>0</v>
      </c>
    </row>
    <row r="236" spans="1:33" ht="11.25" customHeight="1" x14ac:dyDescent="0.25">
      <c r="A236" s="4" t="s">
        <v>21</v>
      </c>
      <c r="B236" s="4" t="s">
        <v>43</v>
      </c>
      <c r="C236" s="4" t="s">
        <v>63</v>
      </c>
      <c r="D236" s="4" t="s">
        <v>25</v>
      </c>
      <c r="E236" s="4" t="s">
        <v>25</v>
      </c>
      <c r="F236" s="4" t="s">
        <v>25</v>
      </c>
      <c r="G236" s="4" t="s">
        <v>67</v>
      </c>
      <c r="H236" s="4" t="s">
        <v>25</v>
      </c>
      <c r="I236" s="5">
        <v>44378</v>
      </c>
      <c r="J236" s="6">
        <v>60000</v>
      </c>
      <c r="K236" s="6">
        <v>60000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4" t="s">
        <v>65</v>
      </c>
      <c r="R236" s="4">
        <v>29276</v>
      </c>
      <c r="S236" s="6">
        <v>27</v>
      </c>
      <c r="T236" s="6">
        <v>0</v>
      </c>
      <c r="U236" s="6">
        <v>0</v>
      </c>
      <c r="V236" s="6">
        <f>IF(ISERROR(VLOOKUP($S$236,'TAR FIN'!$A$1:$O$95,15,0)),0,VLOOKUP($S$236,'TAR FIN'!$A$1:$O$95,15,0))</f>
        <v>7.58</v>
      </c>
      <c r="W236" s="6">
        <f>IF(ISERROR(VLOOKUP($T$236,'TAR FIN'!$A$1:$O$95,15,0)),0,VLOOKUP($T$236,'TAR FIN'!$A$1:$O$95,15,0))</f>
        <v>0</v>
      </c>
      <c r="X236" s="6">
        <f>IF(ISERROR(VLOOKUP($U$236,'TAR FIN'!$A$1:$O$95,15,0)),0,VLOOKUP($U$236,'TAR FIN'!$A$1:$O$95,15,0))</f>
        <v>0</v>
      </c>
      <c r="Y236" s="6">
        <f ca="1">('TUSD BE'!$AM$9+'TUSD BF'!$AM$9+'TUSD CVA'!$AM$9)*1</f>
        <v>9.1574451247299731</v>
      </c>
      <c r="Z236" s="6"/>
      <c r="AA236" s="6"/>
      <c r="AB236" s="6">
        <f>$K$236*$V$236</f>
        <v>454800</v>
      </c>
      <c r="AC236" s="6">
        <f>$M$236*$W$236</f>
        <v>0</v>
      </c>
      <c r="AD236" s="6">
        <f>$O$236*$X$236</f>
        <v>0</v>
      </c>
      <c r="AE236" s="6">
        <f ca="1">$K$236*$Y$236</f>
        <v>549446.70748379838</v>
      </c>
      <c r="AF236" s="6">
        <f>$M$236*$Z$236</f>
        <v>0</v>
      </c>
      <c r="AG236" s="6">
        <f>$O$236*$AA$236</f>
        <v>0</v>
      </c>
    </row>
    <row r="237" spans="1:33" ht="11.25" customHeight="1" x14ac:dyDescent="0.25">
      <c r="A237" s="4" t="s">
        <v>21</v>
      </c>
      <c r="B237" s="4" t="s">
        <v>43</v>
      </c>
      <c r="C237" s="4" t="s">
        <v>63</v>
      </c>
      <c r="D237" s="4" t="s">
        <v>25</v>
      </c>
      <c r="E237" s="4" t="s">
        <v>25</v>
      </c>
      <c r="F237" s="4" t="s">
        <v>25</v>
      </c>
      <c r="G237" s="4" t="s">
        <v>68</v>
      </c>
      <c r="H237" s="4" t="s">
        <v>25</v>
      </c>
      <c r="I237" s="5">
        <v>44378</v>
      </c>
      <c r="J237" s="6">
        <v>60000</v>
      </c>
      <c r="K237" s="6">
        <v>60000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4" t="s">
        <v>65</v>
      </c>
      <c r="R237" s="4">
        <v>29361</v>
      </c>
      <c r="S237" s="6">
        <v>27</v>
      </c>
      <c r="T237" s="6">
        <v>0</v>
      </c>
      <c r="U237" s="6">
        <v>0</v>
      </c>
      <c r="V237" s="6">
        <f>IF(ISERROR(VLOOKUP($S$237,'TAR FIN'!$A$1:$O$95,15,0)),0,VLOOKUP($S$237,'TAR FIN'!$A$1:$O$95,15,0))</f>
        <v>7.58</v>
      </c>
      <c r="W237" s="6">
        <f>IF(ISERROR(VLOOKUP($T$237,'TAR FIN'!$A$1:$O$95,15,0)),0,VLOOKUP($T$237,'TAR FIN'!$A$1:$O$95,15,0))</f>
        <v>0</v>
      </c>
      <c r="X237" s="6">
        <f>IF(ISERROR(VLOOKUP($U$237,'TAR FIN'!$A$1:$O$95,15,0)),0,VLOOKUP($U$237,'TAR FIN'!$A$1:$O$95,15,0))</f>
        <v>0</v>
      </c>
      <c r="Y237" s="6">
        <f ca="1">('TUSD BE'!$AM$9+'TUSD BF'!$AM$9+'TUSD CVA'!$AM$9)*1</f>
        <v>9.1574451247299731</v>
      </c>
      <c r="Z237" s="6"/>
      <c r="AA237" s="6"/>
      <c r="AB237" s="6">
        <f>$K$237*$V$237</f>
        <v>454800</v>
      </c>
      <c r="AC237" s="6">
        <f>$M$237*$W$237</f>
        <v>0</v>
      </c>
      <c r="AD237" s="6">
        <f>$O$237*$X$237</f>
        <v>0</v>
      </c>
      <c r="AE237" s="6">
        <f ca="1">$K$237*$Y$237</f>
        <v>549446.70748379838</v>
      </c>
      <c r="AF237" s="6">
        <f>$M$237*$Z$237</f>
        <v>0</v>
      </c>
      <c r="AG237" s="6">
        <f>$O$237*$AA$237</f>
        <v>0</v>
      </c>
    </row>
    <row r="238" spans="1:33" ht="11.25" customHeight="1" x14ac:dyDescent="0.25">
      <c r="A238" s="4" t="s">
        <v>21</v>
      </c>
      <c r="B238" s="4" t="s">
        <v>43</v>
      </c>
      <c r="C238" s="4" t="s">
        <v>63</v>
      </c>
      <c r="D238" s="4" t="s">
        <v>25</v>
      </c>
      <c r="E238" s="4" t="s">
        <v>25</v>
      </c>
      <c r="F238" s="4" t="s">
        <v>25</v>
      </c>
      <c r="G238" s="4" t="s">
        <v>69</v>
      </c>
      <c r="H238" s="4" t="s">
        <v>25</v>
      </c>
      <c r="I238" s="5">
        <v>44378</v>
      </c>
      <c r="J238" s="6">
        <v>63434</v>
      </c>
      <c r="K238" s="6">
        <v>63434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4" t="s">
        <v>65</v>
      </c>
      <c r="R238" s="4">
        <v>29432</v>
      </c>
      <c r="S238" s="6">
        <v>27</v>
      </c>
      <c r="T238" s="6">
        <v>0</v>
      </c>
      <c r="U238" s="6">
        <v>0</v>
      </c>
      <c r="V238" s="6">
        <f>IF(ISERROR(VLOOKUP($S$238,'TAR FIN'!$A$1:$O$95,15,0)),0,VLOOKUP($S$238,'TAR FIN'!$A$1:$O$95,15,0))</f>
        <v>7.58</v>
      </c>
      <c r="W238" s="6">
        <f>IF(ISERROR(VLOOKUP($T$238,'TAR FIN'!$A$1:$O$95,15,0)),0,VLOOKUP($T$238,'TAR FIN'!$A$1:$O$95,15,0))</f>
        <v>0</v>
      </c>
      <c r="X238" s="6">
        <f>IF(ISERROR(VLOOKUP($U$238,'TAR FIN'!$A$1:$O$95,15,0)),0,VLOOKUP($U$238,'TAR FIN'!$A$1:$O$95,15,0))</f>
        <v>0</v>
      </c>
      <c r="Y238" s="6">
        <f ca="1">('TUSD BE'!$AM$9+'TUSD BF'!$AM$9+'TUSD CVA'!$AM$9)*1</f>
        <v>9.1574451247299731</v>
      </c>
      <c r="Z238" s="6"/>
      <c r="AA238" s="6"/>
      <c r="AB238" s="6">
        <f>$K$238*$V$238</f>
        <v>480829.72000000003</v>
      </c>
      <c r="AC238" s="6">
        <f>$M$238*$W$238</f>
        <v>0</v>
      </c>
      <c r="AD238" s="6">
        <f>$O$238*$X$238</f>
        <v>0</v>
      </c>
      <c r="AE238" s="6">
        <f ca="1">$K$238*$Y$238</f>
        <v>580893.37404212111</v>
      </c>
      <c r="AF238" s="6">
        <f>$M$238*$Z$238</f>
        <v>0</v>
      </c>
      <c r="AG238" s="6">
        <f>$O$238*$AA$238</f>
        <v>0</v>
      </c>
    </row>
    <row r="239" spans="1:33" ht="11.25" customHeight="1" x14ac:dyDescent="0.25">
      <c r="A239" s="4" t="s">
        <v>21</v>
      </c>
      <c r="B239" s="4" t="s">
        <v>43</v>
      </c>
      <c r="C239" s="4" t="s">
        <v>63</v>
      </c>
      <c r="D239" s="4" t="s">
        <v>25</v>
      </c>
      <c r="E239" s="4" t="s">
        <v>25</v>
      </c>
      <c r="F239" s="4" t="s">
        <v>25</v>
      </c>
      <c r="G239" s="4" t="s">
        <v>64</v>
      </c>
      <c r="H239" s="4" t="s">
        <v>25</v>
      </c>
      <c r="I239" s="5">
        <v>44409</v>
      </c>
      <c r="J239" s="6">
        <v>157500</v>
      </c>
      <c r="K239" s="6">
        <v>157500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4" t="s">
        <v>65</v>
      </c>
      <c r="R239" s="4">
        <v>27250</v>
      </c>
      <c r="S239" s="6">
        <v>27</v>
      </c>
      <c r="T239" s="6">
        <v>0</v>
      </c>
      <c r="U239" s="6">
        <v>0</v>
      </c>
      <c r="V239" s="6">
        <f>IF(ISERROR(VLOOKUP($S$239,'TAR FIN'!$A$1:$O$95,15,0)),0,VLOOKUP($S$239,'TAR FIN'!$A$1:$O$95,15,0))</f>
        <v>7.58</v>
      </c>
      <c r="W239" s="6">
        <f>IF(ISERROR(VLOOKUP($T$239,'TAR FIN'!$A$1:$O$95,15,0)),0,VLOOKUP($T$239,'TAR FIN'!$A$1:$O$95,15,0))</f>
        <v>0</v>
      </c>
      <c r="X239" s="6">
        <f>IF(ISERROR(VLOOKUP($U$239,'TAR FIN'!$A$1:$O$95,15,0)),0,VLOOKUP($U$239,'TAR FIN'!$A$1:$O$95,15,0))</f>
        <v>0</v>
      </c>
      <c r="Y239" s="6">
        <f ca="1">('TUSD BE'!$AM$9+'TUSD BF'!$AM$9+'TUSD CVA'!$AM$9)*1</f>
        <v>9.1574451247299731</v>
      </c>
      <c r="Z239" s="6"/>
      <c r="AA239" s="6"/>
      <c r="AB239" s="6">
        <f>$K$239*$V$239</f>
        <v>1193850</v>
      </c>
      <c r="AC239" s="6">
        <f>$M$239*$W$239</f>
        <v>0</v>
      </c>
      <c r="AD239" s="6">
        <f>$O$239*$X$239</f>
        <v>0</v>
      </c>
      <c r="AE239" s="6">
        <f ca="1">$K$239*$Y$239</f>
        <v>1442297.6071449707</v>
      </c>
      <c r="AF239" s="6">
        <f>$M$239*$Z$239</f>
        <v>0</v>
      </c>
      <c r="AG239" s="6">
        <f>$O$239*$AA$239</f>
        <v>0</v>
      </c>
    </row>
    <row r="240" spans="1:33" ht="11.25" customHeight="1" x14ac:dyDescent="0.25">
      <c r="A240" s="4" t="s">
        <v>21</v>
      </c>
      <c r="B240" s="4" t="s">
        <v>43</v>
      </c>
      <c r="C240" s="4" t="s">
        <v>63</v>
      </c>
      <c r="D240" s="4" t="s">
        <v>25</v>
      </c>
      <c r="E240" s="4" t="s">
        <v>25</v>
      </c>
      <c r="F240" s="4" t="s">
        <v>25</v>
      </c>
      <c r="G240" s="4" t="s">
        <v>66</v>
      </c>
      <c r="H240" s="4" t="s">
        <v>25</v>
      </c>
      <c r="I240" s="5">
        <v>44409</v>
      </c>
      <c r="J240" s="6">
        <v>60000</v>
      </c>
      <c r="K240" s="6">
        <v>60000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4" t="s">
        <v>65</v>
      </c>
      <c r="R240" s="4">
        <v>29272</v>
      </c>
      <c r="S240" s="6">
        <v>27</v>
      </c>
      <c r="T240" s="6">
        <v>0</v>
      </c>
      <c r="U240" s="6">
        <v>0</v>
      </c>
      <c r="V240" s="6">
        <f>IF(ISERROR(VLOOKUP($S$240,'TAR FIN'!$A$1:$O$95,15,0)),0,VLOOKUP($S$240,'TAR FIN'!$A$1:$O$95,15,0))</f>
        <v>7.58</v>
      </c>
      <c r="W240" s="6">
        <f>IF(ISERROR(VLOOKUP($T$240,'TAR FIN'!$A$1:$O$95,15,0)),0,VLOOKUP($T$240,'TAR FIN'!$A$1:$O$95,15,0))</f>
        <v>0</v>
      </c>
      <c r="X240" s="6">
        <f>IF(ISERROR(VLOOKUP($U$240,'TAR FIN'!$A$1:$O$95,15,0)),0,VLOOKUP($U$240,'TAR FIN'!$A$1:$O$95,15,0))</f>
        <v>0</v>
      </c>
      <c r="Y240" s="6">
        <f ca="1">('TUSD BE'!$AM$9+'TUSD BF'!$AM$9+'TUSD CVA'!$AM$9)*1</f>
        <v>9.1574451247299731</v>
      </c>
      <c r="Z240" s="6"/>
      <c r="AA240" s="6"/>
      <c r="AB240" s="6">
        <f>$K$240*$V$240</f>
        <v>454800</v>
      </c>
      <c r="AC240" s="6">
        <f>$M$240*$W$240</f>
        <v>0</v>
      </c>
      <c r="AD240" s="6">
        <f>$O$240*$X$240</f>
        <v>0</v>
      </c>
      <c r="AE240" s="6">
        <f ca="1">$K$240*$Y$240</f>
        <v>549446.70748379838</v>
      </c>
      <c r="AF240" s="6">
        <f>$M$240*$Z$240</f>
        <v>0</v>
      </c>
      <c r="AG240" s="6">
        <f>$O$240*$AA$240</f>
        <v>0</v>
      </c>
    </row>
    <row r="241" spans="1:33" ht="11.25" customHeight="1" x14ac:dyDescent="0.25">
      <c r="A241" s="4" t="s">
        <v>21</v>
      </c>
      <c r="B241" s="4" t="s">
        <v>43</v>
      </c>
      <c r="C241" s="4" t="s">
        <v>63</v>
      </c>
      <c r="D241" s="4" t="s">
        <v>25</v>
      </c>
      <c r="E241" s="4" t="s">
        <v>25</v>
      </c>
      <c r="F241" s="4" t="s">
        <v>25</v>
      </c>
      <c r="G241" s="4" t="s">
        <v>67</v>
      </c>
      <c r="H241" s="4" t="s">
        <v>25</v>
      </c>
      <c r="I241" s="5">
        <v>44409</v>
      </c>
      <c r="J241" s="6">
        <v>60000</v>
      </c>
      <c r="K241" s="6">
        <v>60000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4" t="s">
        <v>65</v>
      </c>
      <c r="R241" s="4">
        <v>29276</v>
      </c>
      <c r="S241" s="6">
        <v>27</v>
      </c>
      <c r="T241" s="6">
        <v>0</v>
      </c>
      <c r="U241" s="6">
        <v>0</v>
      </c>
      <c r="V241" s="6">
        <f>IF(ISERROR(VLOOKUP($S$241,'TAR FIN'!$A$1:$O$95,15,0)),0,VLOOKUP($S$241,'TAR FIN'!$A$1:$O$95,15,0))</f>
        <v>7.58</v>
      </c>
      <c r="W241" s="6">
        <f>IF(ISERROR(VLOOKUP($T$241,'TAR FIN'!$A$1:$O$95,15,0)),0,VLOOKUP($T$241,'TAR FIN'!$A$1:$O$95,15,0))</f>
        <v>0</v>
      </c>
      <c r="X241" s="6">
        <f>IF(ISERROR(VLOOKUP($U$241,'TAR FIN'!$A$1:$O$95,15,0)),0,VLOOKUP($U$241,'TAR FIN'!$A$1:$O$95,15,0))</f>
        <v>0</v>
      </c>
      <c r="Y241" s="6">
        <f ca="1">('TUSD BE'!$AM$9+'TUSD BF'!$AM$9+'TUSD CVA'!$AM$9)*1</f>
        <v>9.1574451247299731</v>
      </c>
      <c r="Z241" s="6"/>
      <c r="AA241" s="6"/>
      <c r="AB241" s="6">
        <f>$K$241*$V$241</f>
        <v>454800</v>
      </c>
      <c r="AC241" s="6">
        <f>$M$241*$W$241</f>
        <v>0</v>
      </c>
      <c r="AD241" s="6">
        <f>$O$241*$X$241</f>
        <v>0</v>
      </c>
      <c r="AE241" s="6">
        <f ca="1">$K$241*$Y$241</f>
        <v>549446.70748379838</v>
      </c>
      <c r="AF241" s="6">
        <f>$M$241*$Z$241</f>
        <v>0</v>
      </c>
      <c r="AG241" s="6">
        <f>$O$241*$AA$241</f>
        <v>0</v>
      </c>
    </row>
    <row r="242" spans="1:33" ht="11.25" customHeight="1" x14ac:dyDescent="0.25">
      <c r="A242" s="4" t="s">
        <v>21</v>
      </c>
      <c r="B242" s="4" t="s">
        <v>43</v>
      </c>
      <c r="C242" s="4" t="s">
        <v>63</v>
      </c>
      <c r="D242" s="4" t="s">
        <v>25</v>
      </c>
      <c r="E242" s="4" t="s">
        <v>25</v>
      </c>
      <c r="F242" s="4" t="s">
        <v>25</v>
      </c>
      <c r="G242" s="4" t="s">
        <v>68</v>
      </c>
      <c r="H242" s="4" t="s">
        <v>25</v>
      </c>
      <c r="I242" s="5">
        <v>44409</v>
      </c>
      <c r="J242" s="6">
        <v>60000</v>
      </c>
      <c r="K242" s="6">
        <v>60000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4" t="s">
        <v>65</v>
      </c>
      <c r="R242" s="4">
        <v>29361</v>
      </c>
      <c r="S242" s="6">
        <v>27</v>
      </c>
      <c r="T242" s="6">
        <v>0</v>
      </c>
      <c r="U242" s="6">
        <v>0</v>
      </c>
      <c r="V242" s="6">
        <f>IF(ISERROR(VLOOKUP($S$242,'TAR FIN'!$A$1:$O$95,15,0)),0,VLOOKUP($S$242,'TAR FIN'!$A$1:$O$95,15,0))</f>
        <v>7.58</v>
      </c>
      <c r="W242" s="6">
        <f>IF(ISERROR(VLOOKUP($T$242,'TAR FIN'!$A$1:$O$95,15,0)),0,VLOOKUP($T$242,'TAR FIN'!$A$1:$O$95,15,0))</f>
        <v>0</v>
      </c>
      <c r="X242" s="6">
        <f>IF(ISERROR(VLOOKUP($U$242,'TAR FIN'!$A$1:$O$95,15,0)),0,VLOOKUP($U$242,'TAR FIN'!$A$1:$O$95,15,0))</f>
        <v>0</v>
      </c>
      <c r="Y242" s="6">
        <f ca="1">('TUSD BE'!$AM$9+'TUSD BF'!$AM$9+'TUSD CVA'!$AM$9)*1</f>
        <v>9.1574451247299731</v>
      </c>
      <c r="Z242" s="6"/>
      <c r="AA242" s="6"/>
      <c r="AB242" s="6">
        <f>$K$242*$V$242</f>
        <v>454800</v>
      </c>
      <c r="AC242" s="6">
        <f>$M$242*$W$242</f>
        <v>0</v>
      </c>
      <c r="AD242" s="6">
        <f>$O$242*$X$242</f>
        <v>0</v>
      </c>
      <c r="AE242" s="6">
        <f ca="1">$K$242*$Y$242</f>
        <v>549446.70748379838</v>
      </c>
      <c r="AF242" s="6">
        <f>$M$242*$Z$242</f>
        <v>0</v>
      </c>
      <c r="AG242" s="6">
        <f>$O$242*$AA$242</f>
        <v>0</v>
      </c>
    </row>
    <row r="243" spans="1:33" ht="11.25" customHeight="1" x14ac:dyDescent="0.25">
      <c r="A243" s="4" t="s">
        <v>21</v>
      </c>
      <c r="B243" s="4" t="s">
        <v>43</v>
      </c>
      <c r="C243" s="4" t="s">
        <v>63</v>
      </c>
      <c r="D243" s="4" t="s">
        <v>25</v>
      </c>
      <c r="E243" s="4" t="s">
        <v>25</v>
      </c>
      <c r="F243" s="4" t="s">
        <v>25</v>
      </c>
      <c r="G243" s="4" t="s">
        <v>69</v>
      </c>
      <c r="H243" s="4" t="s">
        <v>25</v>
      </c>
      <c r="I243" s="5">
        <v>44409</v>
      </c>
      <c r="J243" s="6">
        <v>63434</v>
      </c>
      <c r="K243" s="6">
        <v>63434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4" t="s">
        <v>65</v>
      </c>
      <c r="R243" s="4">
        <v>29432</v>
      </c>
      <c r="S243" s="6">
        <v>27</v>
      </c>
      <c r="T243" s="6">
        <v>0</v>
      </c>
      <c r="U243" s="6">
        <v>0</v>
      </c>
      <c r="V243" s="6">
        <f>IF(ISERROR(VLOOKUP($S$243,'TAR FIN'!$A$1:$O$95,15,0)),0,VLOOKUP($S$243,'TAR FIN'!$A$1:$O$95,15,0))</f>
        <v>7.58</v>
      </c>
      <c r="W243" s="6">
        <f>IF(ISERROR(VLOOKUP($T$243,'TAR FIN'!$A$1:$O$95,15,0)),0,VLOOKUP($T$243,'TAR FIN'!$A$1:$O$95,15,0))</f>
        <v>0</v>
      </c>
      <c r="X243" s="6">
        <f>IF(ISERROR(VLOOKUP($U$243,'TAR FIN'!$A$1:$O$95,15,0)),0,VLOOKUP($U$243,'TAR FIN'!$A$1:$O$95,15,0))</f>
        <v>0</v>
      </c>
      <c r="Y243" s="6">
        <f ca="1">('TUSD BE'!$AM$9+'TUSD BF'!$AM$9+'TUSD CVA'!$AM$9)*1</f>
        <v>9.1574451247299731</v>
      </c>
      <c r="Z243" s="6"/>
      <c r="AA243" s="6"/>
      <c r="AB243" s="6">
        <f>$K$243*$V$243</f>
        <v>480829.72000000003</v>
      </c>
      <c r="AC243" s="6">
        <f>$M$243*$W$243</f>
        <v>0</v>
      </c>
      <c r="AD243" s="6">
        <f>$O$243*$X$243</f>
        <v>0</v>
      </c>
      <c r="AE243" s="6">
        <f ca="1">$K$243*$Y$243</f>
        <v>580893.37404212111</v>
      </c>
      <c r="AF243" s="6">
        <f>$M$243*$Z$243</f>
        <v>0</v>
      </c>
      <c r="AG243" s="6">
        <f>$O$243*$AA$243</f>
        <v>0</v>
      </c>
    </row>
    <row r="244" spans="1:33" ht="11.25" customHeight="1" x14ac:dyDescent="0.25">
      <c r="A244" s="4" t="s">
        <v>21</v>
      </c>
      <c r="B244" s="4" t="s">
        <v>43</v>
      </c>
      <c r="C244" s="4" t="s">
        <v>63</v>
      </c>
      <c r="D244" s="4" t="s">
        <v>25</v>
      </c>
      <c r="E244" s="4" t="s">
        <v>25</v>
      </c>
      <c r="F244" s="4" t="s">
        <v>25</v>
      </c>
      <c r="G244" s="4" t="s">
        <v>64</v>
      </c>
      <c r="H244" s="4" t="s">
        <v>25</v>
      </c>
      <c r="I244" s="5">
        <v>44440</v>
      </c>
      <c r="J244" s="6">
        <v>157500</v>
      </c>
      <c r="K244" s="6">
        <v>157500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4" t="s">
        <v>65</v>
      </c>
      <c r="R244" s="4">
        <v>27250</v>
      </c>
      <c r="S244" s="6">
        <v>27</v>
      </c>
      <c r="T244" s="6">
        <v>0</v>
      </c>
      <c r="U244" s="6">
        <v>0</v>
      </c>
      <c r="V244" s="6">
        <f>IF(ISERROR(VLOOKUP($S$244,'TAR FIN'!$A$1:$O$95,15,0)),0,VLOOKUP($S$244,'TAR FIN'!$A$1:$O$95,15,0))</f>
        <v>7.58</v>
      </c>
      <c r="W244" s="6">
        <f>IF(ISERROR(VLOOKUP($T$244,'TAR FIN'!$A$1:$O$95,15,0)),0,VLOOKUP($T$244,'TAR FIN'!$A$1:$O$95,15,0))</f>
        <v>0</v>
      </c>
      <c r="X244" s="6">
        <f>IF(ISERROR(VLOOKUP($U$244,'TAR FIN'!$A$1:$O$95,15,0)),0,VLOOKUP($U$244,'TAR FIN'!$A$1:$O$95,15,0))</f>
        <v>0</v>
      </c>
      <c r="Y244" s="6">
        <f ca="1">('TUSD BE'!$AM$9+'TUSD BF'!$AM$9+'TUSD CVA'!$AM$9)*1</f>
        <v>9.1574451247299731</v>
      </c>
      <c r="Z244" s="6"/>
      <c r="AA244" s="6"/>
      <c r="AB244" s="6">
        <f>$K$244*$V$244</f>
        <v>1193850</v>
      </c>
      <c r="AC244" s="6">
        <f>$M$244*$W$244</f>
        <v>0</v>
      </c>
      <c r="AD244" s="6">
        <f>$O$244*$X$244</f>
        <v>0</v>
      </c>
      <c r="AE244" s="6">
        <f ca="1">$K$244*$Y$244</f>
        <v>1442297.6071449707</v>
      </c>
      <c r="AF244" s="6">
        <f>$M$244*$Z$244</f>
        <v>0</v>
      </c>
      <c r="AG244" s="6">
        <f>$O$244*$AA$244</f>
        <v>0</v>
      </c>
    </row>
    <row r="245" spans="1:33" ht="11.25" customHeight="1" x14ac:dyDescent="0.25">
      <c r="A245" s="4" t="s">
        <v>21</v>
      </c>
      <c r="B245" s="4" t="s">
        <v>43</v>
      </c>
      <c r="C245" s="4" t="s">
        <v>63</v>
      </c>
      <c r="D245" s="4" t="s">
        <v>25</v>
      </c>
      <c r="E245" s="4" t="s">
        <v>25</v>
      </c>
      <c r="F245" s="4" t="s">
        <v>25</v>
      </c>
      <c r="G245" s="4" t="s">
        <v>66</v>
      </c>
      <c r="H245" s="4" t="s">
        <v>25</v>
      </c>
      <c r="I245" s="5">
        <v>44440</v>
      </c>
      <c r="J245" s="6">
        <v>60000</v>
      </c>
      <c r="K245" s="6">
        <v>60000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4" t="s">
        <v>65</v>
      </c>
      <c r="R245" s="4">
        <v>29272</v>
      </c>
      <c r="S245" s="6">
        <v>27</v>
      </c>
      <c r="T245" s="6">
        <v>0</v>
      </c>
      <c r="U245" s="6">
        <v>0</v>
      </c>
      <c r="V245" s="6">
        <f>IF(ISERROR(VLOOKUP($S$245,'TAR FIN'!$A$1:$O$95,15,0)),0,VLOOKUP($S$245,'TAR FIN'!$A$1:$O$95,15,0))</f>
        <v>7.58</v>
      </c>
      <c r="W245" s="6">
        <f>IF(ISERROR(VLOOKUP($T$245,'TAR FIN'!$A$1:$O$95,15,0)),0,VLOOKUP($T$245,'TAR FIN'!$A$1:$O$95,15,0))</f>
        <v>0</v>
      </c>
      <c r="X245" s="6">
        <f>IF(ISERROR(VLOOKUP($U$245,'TAR FIN'!$A$1:$O$95,15,0)),0,VLOOKUP($U$245,'TAR FIN'!$A$1:$O$95,15,0))</f>
        <v>0</v>
      </c>
      <c r="Y245" s="6">
        <f ca="1">('TUSD BE'!$AM$9+'TUSD BF'!$AM$9+'TUSD CVA'!$AM$9)*1</f>
        <v>9.1574451247299731</v>
      </c>
      <c r="Z245" s="6"/>
      <c r="AA245" s="6"/>
      <c r="AB245" s="6">
        <f>$K$245*$V$245</f>
        <v>454800</v>
      </c>
      <c r="AC245" s="6">
        <f>$M$245*$W$245</f>
        <v>0</v>
      </c>
      <c r="AD245" s="6">
        <f>$O$245*$X$245</f>
        <v>0</v>
      </c>
      <c r="AE245" s="6">
        <f ca="1">$K$245*$Y$245</f>
        <v>549446.70748379838</v>
      </c>
      <c r="AF245" s="6">
        <f>$M$245*$Z$245</f>
        <v>0</v>
      </c>
      <c r="AG245" s="6">
        <f>$O$245*$AA$245</f>
        <v>0</v>
      </c>
    </row>
    <row r="246" spans="1:33" ht="11.25" customHeight="1" x14ac:dyDescent="0.25">
      <c r="A246" s="4" t="s">
        <v>21</v>
      </c>
      <c r="B246" s="4" t="s">
        <v>43</v>
      </c>
      <c r="C246" s="4" t="s">
        <v>63</v>
      </c>
      <c r="D246" s="4" t="s">
        <v>25</v>
      </c>
      <c r="E246" s="4" t="s">
        <v>25</v>
      </c>
      <c r="F246" s="4" t="s">
        <v>25</v>
      </c>
      <c r="G246" s="4" t="s">
        <v>67</v>
      </c>
      <c r="H246" s="4" t="s">
        <v>25</v>
      </c>
      <c r="I246" s="5">
        <v>44440</v>
      </c>
      <c r="J246" s="6">
        <v>60000</v>
      </c>
      <c r="K246" s="6">
        <v>60000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4" t="s">
        <v>65</v>
      </c>
      <c r="R246" s="4">
        <v>29276</v>
      </c>
      <c r="S246" s="6">
        <v>27</v>
      </c>
      <c r="T246" s="6">
        <v>0</v>
      </c>
      <c r="U246" s="6">
        <v>0</v>
      </c>
      <c r="V246" s="6">
        <f>IF(ISERROR(VLOOKUP($S$246,'TAR FIN'!$A$1:$O$95,15,0)),0,VLOOKUP($S$246,'TAR FIN'!$A$1:$O$95,15,0))</f>
        <v>7.58</v>
      </c>
      <c r="W246" s="6">
        <f>IF(ISERROR(VLOOKUP($T$246,'TAR FIN'!$A$1:$O$95,15,0)),0,VLOOKUP($T$246,'TAR FIN'!$A$1:$O$95,15,0))</f>
        <v>0</v>
      </c>
      <c r="X246" s="6">
        <f>IF(ISERROR(VLOOKUP($U$246,'TAR FIN'!$A$1:$O$95,15,0)),0,VLOOKUP($U$246,'TAR FIN'!$A$1:$O$95,15,0))</f>
        <v>0</v>
      </c>
      <c r="Y246" s="6">
        <f ca="1">('TUSD BE'!$AM$9+'TUSD BF'!$AM$9+'TUSD CVA'!$AM$9)*1</f>
        <v>9.1574451247299731</v>
      </c>
      <c r="Z246" s="6"/>
      <c r="AA246" s="6"/>
      <c r="AB246" s="6">
        <f>$K$246*$V$246</f>
        <v>454800</v>
      </c>
      <c r="AC246" s="6">
        <f>$M$246*$W$246</f>
        <v>0</v>
      </c>
      <c r="AD246" s="6">
        <f>$O$246*$X$246</f>
        <v>0</v>
      </c>
      <c r="AE246" s="6">
        <f ca="1">$K$246*$Y$246</f>
        <v>549446.70748379838</v>
      </c>
      <c r="AF246" s="6">
        <f>$M$246*$Z$246</f>
        <v>0</v>
      </c>
      <c r="AG246" s="6">
        <f>$O$246*$AA$246</f>
        <v>0</v>
      </c>
    </row>
    <row r="247" spans="1:33" ht="11.25" customHeight="1" x14ac:dyDescent="0.25">
      <c r="A247" s="4" t="s">
        <v>21</v>
      </c>
      <c r="B247" s="4" t="s">
        <v>43</v>
      </c>
      <c r="C247" s="4" t="s">
        <v>63</v>
      </c>
      <c r="D247" s="4" t="s">
        <v>25</v>
      </c>
      <c r="E247" s="4" t="s">
        <v>25</v>
      </c>
      <c r="F247" s="4" t="s">
        <v>25</v>
      </c>
      <c r="G247" s="4" t="s">
        <v>68</v>
      </c>
      <c r="H247" s="4" t="s">
        <v>25</v>
      </c>
      <c r="I247" s="5">
        <v>44440</v>
      </c>
      <c r="J247" s="6">
        <v>60000</v>
      </c>
      <c r="K247" s="6">
        <v>60000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4" t="s">
        <v>65</v>
      </c>
      <c r="R247" s="4">
        <v>29361</v>
      </c>
      <c r="S247" s="6">
        <v>27</v>
      </c>
      <c r="T247" s="6">
        <v>0</v>
      </c>
      <c r="U247" s="6">
        <v>0</v>
      </c>
      <c r="V247" s="6">
        <f>IF(ISERROR(VLOOKUP($S$247,'TAR FIN'!$A$1:$O$95,15,0)),0,VLOOKUP($S$247,'TAR FIN'!$A$1:$O$95,15,0))</f>
        <v>7.58</v>
      </c>
      <c r="W247" s="6">
        <f>IF(ISERROR(VLOOKUP($T$247,'TAR FIN'!$A$1:$O$95,15,0)),0,VLOOKUP($T$247,'TAR FIN'!$A$1:$O$95,15,0))</f>
        <v>0</v>
      </c>
      <c r="X247" s="6">
        <f>IF(ISERROR(VLOOKUP($U$247,'TAR FIN'!$A$1:$O$95,15,0)),0,VLOOKUP($U$247,'TAR FIN'!$A$1:$O$95,15,0))</f>
        <v>0</v>
      </c>
      <c r="Y247" s="6">
        <f ca="1">('TUSD BE'!$AM$9+'TUSD BF'!$AM$9+'TUSD CVA'!$AM$9)*1</f>
        <v>9.1574451247299731</v>
      </c>
      <c r="Z247" s="6"/>
      <c r="AA247" s="6"/>
      <c r="AB247" s="6">
        <f>$K$247*$V$247</f>
        <v>454800</v>
      </c>
      <c r="AC247" s="6">
        <f>$M$247*$W$247</f>
        <v>0</v>
      </c>
      <c r="AD247" s="6">
        <f>$O$247*$X$247</f>
        <v>0</v>
      </c>
      <c r="AE247" s="6">
        <f ca="1">$K$247*$Y$247</f>
        <v>549446.70748379838</v>
      </c>
      <c r="AF247" s="6">
        <f>$M$247*$Z$247</f>
        <v>0</v>
      </c>
      <c r="AG247" s="6">
        <f>$O$247*$AA$247</f>
        <v>0</v>
      </c>
    </row>
    <row r="248" spans="1:33" ht="11.25" customHeight="1" x14ac:dyDescent="0.25">
      <c r="A248" s="4" t="s">
        <v>21</v>
      </c>
      <c r="B248" s="4" t="s">
        <v>43</v>
      </c>
      <c r="C248" s="4" t="s">
        <v>63</v>
      </c>
      <c r="D248" s="4" t="s">
        <v>25</v>
      </c>
      <c r="E248" s="4" t="s">
        <v>25</v>
      </c>
      <c r="F248" s="4" t="s">
        <v>25</v>
      </c>
      <c r="G248" s="4" t="s">
        <v>69</v>
      </c>
      <c r="H248" s="4" t="s">
        <v>25</v>
      </c>
      <c r="I248" s="5">
        <v>44440</v>
      </c>
      <c r="J248" s="6">
        <v>63434</v>
      </c>
      <c r="K248" s="6">
        <v>63434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4" t="s">
        <v>65</v>
      </c>
      <c r="R248" s="4">
        <v>29432</v>
      </c>
      <c r="S248" s="6">
        <v>27</v>
      </c>
      <c r="T248" s="6">
        <v>0</v>
      </c>
      <c r="U248" s="6">
        <v>0</v>
      </c>
      <c r="V248" s="6">
        <f>IF(ISERROR(VLOOKUP($S$248,'TAR FIN'!$A$1:$O$95,15,0)),0,VLOOKUP($S$248,'TAR FIN'!$A$1:$O$95,15,0))</f>
        <v>7.58</v>
      </c>
      <c r="W248" s="6">
        <f>IF(ISERROR(VLOOKUP($T$248,'TAR FIN'!$A$1:$O$95,15,0)),0,VLOOKUP($T$248,'TAR FIN'!$A$1:$O$95,15,0))</f>
        <v>0</v>
      </c>
      <c r="X248" s="6">
        <f>IF(ISERROR(VLOOKUP($U$248,'TAR FIN'!$A$1:$O$95,15,0)),0,VLOOKUP($U$248,'TAR FIN'!$A$1:$O$95,15,0))</f>
        <v>0</v>
      </c>
      <c r="Y248" s="6">
        <f ca="1">('TUSD BE'!$AM$9+'TUSD BF'!$AM$9+'TUSD CVA'!$AM$9)*1</f>
        <v>9.1574451247299731</v>
      </c>
      <c r="Z248" s="6"/>
      <c r="AA248" s="6"/>
      <c r="AB248" s="6">
        <f>$K$248*$V$248</f>
        <v>480829.72000000003</v>
      </c>
      <c r="AC248" s="6">
        <f>$M$248*$W$248</f>
        <v>0</v>
      </c>
      <c r="AD248" s="6">
        <f>$O$248*$X$248</f>
        <v>0</v>
      </c>
      <c r="AE248" s="6">
        <f ca="1">$K$248*$Y$248</f>
        <v>580893.37404212111</v>
      </c>
      <c r="AF248" s="6">
        <f>$M$248*$Z$248</f>
        <v>0</v>
      </c>
      <c r="AG248" s="6">
        <f>$O$248*$AA$248</f>
        <v>0</v>
      </c>
    </row>
    <row r="249" spans="1:33" ht="11.25" customHeight="1" x14ac:dyDescent="0.25">
      <c r="A249" s="4" t="s">
        <v>59</v>
      </c>
      <c r="B249" s="4" t="s">
        <v>43</v>
      </c>
      <c r="C249" s="4" t="s">
        <v>63</v>
      </c>
      <c r="D249" s="4" t="s">
        <v>25</v>
      </c>
      <c r="E249" s="4" t="s">
        <v>25</v>
      </c>
      <c r="F249" s="4" t="s">
        <v>25</v>
      </c>
      <c r="G249" s="4" t="s">
        <v>64</v>
      </c>
      <c r="H249" s="4" t="s">
        <v>25</v>
      </c>
      <c r="I249" s="5">
        <v>44470</v>
      </c>
      <c r="J249" s="6">
        <v>157500</v>
      </c>
      <c r="K249" s="6">
        <v>157500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4" t="s">
        <v>65</v>
      </c>
      <c r="R249" s="4">
        <v>27250</v>
      </c>
      <c r="S249" s="6">
        <v>27</v>
      </c>
      <c r="T249" s="6">
        <v>0</v>
      </c>
      <c r="U249" s="6">
        <v>0</v>
      </c>
      <c r="V249" s="6">
        <f>IF(ISERROR(VLOOKUP($S$249,'TAR FIN'!$A$1:$O$95,15,0)),0,VLOOKUP($S$249,'TAR FIN'!$A$1:$O$95,15,0))</f>
        <v>7.58</v>
      </c>
      <c r="W249" s="6">
        <f>IF(ISERROR(VLOOKUP($T$249,'TAR FIN'!$A$1:$O$95,15,0)),0,VLOOKUP($T$249,'TAR FIN'!$A$1:$O$95,15,0))</f>
        <v>0</v>
      </c>
      <c r="X249" s="6">
        <f>IF(ISERROR(VLOOKUP($U$249,'TAR FIN'!$A$1:$O$95,15,0)),0,VLOOKUP($U$249,'TAR FIN'!$A$1:$O$95,15,0))</f>
        <v>0</v>
      </c>
      <c r="Y249" s="6">
        <f ca="1">('TUSD BE'!$AM$9+'TUSD BF'!$AM$9+'TUSD CVA'!$AM$9)*1</f>
        <v>9.1574451247299731</v>
      </c>
      <c r="Z249" s="6"/>
      <c r="AA249" s="6"/>
      <c r="AB249" s="6">
        <f>$K$249*$V$249</f>
        <v>1193850</v>
      </c>
      <c r="AC249" s="6">
        <f>$M$249*$W$249</f>
        <v>0</v>
      </c>
      <c r="AD249" s="6">
        <f>$O$249*$X$249</f>
        <v>0</v>
      </c>
      <c r="AE249" s="6">
        <f ca="1">$K$249*$Y$249</f>
        <v>1442297.6071449707</v>
      </c>
      <c r="AF249" s="6">
        <f>$M$249*$Z$249</f>
        <v>0</v>
      </c>
      <c r="AG249" s="6">
        <f>$O$249*$AA$249</f>
        <v>0</v>
      </c>
    </row>
    <row r="250" spans="1:33" ht="11.25" customHeight="1" x14ac:dyDescent="0.25">
      <c r="A250" s="4" t="s">
        <v>59</v>
      </c>
      <c r="B250" s="4" t="s">
        <v>43</v>
      </c>
      <c r="C250" s="4" t="s">
        <v>63</v>
      </c>
      <c r="D250" s="4" t="s">
        <v>25</v>
      </c>
      <c r="E250" s="4" t="s">
        <v>25</v>
      </c>
      <c r="F250" s="4" t="s">
        <v>25</v>
      </c>
      <c r="G250" s="4" t="s">
        <v>66</v>
      </c>
      <c r="H250" s="4" t="s">
        <v>25</v>
      </c>
      <c r="I250" s="5">
        <v>44470</v>
      </c>
      <c r="J250" s="6">
        <v>60000</v>
      </c>
      <c r="K250" s="6">
        <v>60000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4" t="s">
        <v>65</v>
      </c>
      <c r="R250" s="4">
        <v>29272</v>
      </c>
      <c r="S250" s="6">
        <v>27</v>
      </c>
      <c r="T250" s="6">
        <v>0</v>
      </c>
      <c r="U250" s="6">
        <v>0</v>
      </c>
      <c r="V250" s="6">
        <f>IF(ISERROR(VLOOKUP($S$250,'TAR FIN'!$A$1:$O$95,15,0)),0,VLOOKUP($S$250,'TAR FIN'!$A$1:$O$95,15,0))</f>
        <v>7.58</v>
      </c>
      <c r="W250" s="6">
        <f>IF(ISERROR(VLOOKUP($T$250,'TAR FIN'!$A$1:$O$95,15,0)),0,VLOOKUP($T$250,'TAR FIN'!$A$1:$O$95,15,0))</f>
        <v>0</v>
      </c>
      <c r="X250" s="6">
        <f>IF(ISERROR(VLOOKUP($U$250,'TAR FIN'!$A$1:$O$95,15,0)),0,VLOOKUP($U$250,'TAR FIN'!$A$1:$O$95,15,0))</f>
        <v>0</v>
      </c>
      <c r="Y250" s="6">
        <f ca="1">('TUSD BE'!$AM$9+'TUSD BF'!$AM$9+'TUSD CVA'!$AM$9)*1</f>
        <v>9.1574451247299731</v>
      </c>
      <c r="Z250" s="6"/>
      <c r="AA250" s="6"/>
      <c r="AB250" s="6">
        <f>$K$250*$V$250</f>
        <v>454800</v>
      </c>
      <c r="AC250" s="6">
        <f>$M$250*$W$250</f>
        <v>0</v>
      </c>
      <c r="AD250" s="6">
        <f>$O$250*$X$250</f>
        <v>0</v>
      </c>
      <c r="AE250" s="6">
        <f ca="1">$K$250*$Y$250</f>
        <v>549446.70748379838</v>
      </c>
      <c r="AF250" s="6">
        <f>$M$250*$Z$250</f>
        <v>0</v>
      </c>
      <c r="AG250" s="6">
        <f>$O$250*$AA$250</f>
        <v>0</v>
      </c>
    </row>
    <row r="251" spans="1:33" ht="11.25" customHeight="1" x14ac:dyDescent="0.25">
      <c r="A251" s="4" t="s">
        <v>59</v>
      </c>
      <c r="B251" s="4" t="s">
        <v>43</v>
      </c>
      <c r="C251" s="4" t="s">
        <v>63</v>
      </c>
      <c r="D251" s="4" t="s">
        <v>25</v>
      </c>
      <c r="E251" s="4" t="s">
        <v>25</v>
      </c>
      <c r="F251" s="4" t="s">
        <v>25</v>
      </c>
      <c r="G251" s="4" t="s">
        <v>67</v>
      </c>
      <c r="H251" s="4" t="s">
        <v>25</v>
      </c>
      <c r="I251" s="5">
        <v>44470</v>
      </c>
      <c r="J251" s="6">
        <v>60000</v>
      </c>
      <c r="K251" s="6">
        <v>60000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4" t="s">
        <v>65</v>
      </c>
      <c r="R251" s="4">
        <v>29276</v>
      </c>
      <c r="S251" s="6">
        <v>27</v>
      </c>
      <c r="T251" s="6">
        <v>0</v>
      </c>
      <c r="U251" s="6">
        <v>0</v>
      </c>
      <c r="V251" s="6">
        <f>IF(ISERROR(VLOOKUP($S$251,'TAR FIN'!$A$1:$O$95,15,0)),0,VLOOKUP($S$251,'TAR FIN'!$A$1:$O$95,15,0))</f>
        <v>7.58</v>
      </c>
      <c r="W251" s="6">
        <f>IF(ISERROR(VLOOKUP($T$251,'TAR FIN'!$A$1:$O$95,15,0)),0,VLOOKUP($T$251,'TAR FIN'!$A$1:$O$95,15,0))</f>
        <v>0</v>
      </c>
      <c r="X251" s="6">
        <f>IF(ISERROR(VLOOKUP($U$251,'TAR FIN'!$A$1:$O$95,15,0)),0,VLOOKUP($U$251,'TAR FIN'!$A$1:$O$95,15,0))</f>
        <v>0</v>
      </c>
      <c r="Y251" s="6">
        <f ca="1">('TUSD BE'!$AM$9+'TUSD BF'!$AM$9+'TUSD CVA'!$AM$9)*1</f>
        <v>9.1574451247299731</v>
      </c>
      <c r="Z251" s="6"/>
      <c r="AA251" s="6"/>
      <c r="AB251" s="6">
        <f>$K$251*$V$251</f>
        <v>454800</v>
      </c>
      <c r="AC251" s="6">
        <f>$M$251*$W$251</f>
        <v>0</v>
      </c>
      <c r="AD251" s="6">
        <f>$O$251*$X$251</f>
        <v>0</v>
      </c>
      <c r="AE251" s="6">
        <f ca="1">$K$251*$Y$251</f>
        <v>549446.70748379838</v>
      </c>
      <c r="AF251" s="6">
        <f>$M$251*$Z$251</f>
        <v>0</v>
      </c>
      <c r="AG251" s="6">
        <f>$O$251*$AA$251</f>
        <v>0</v>
      </c>
    </row>
    <row r="252" spans="1:33" ht="11.25" customHeight="1" x14ac:dyDescent="0.25">
      <c r="A252" s="4" t="s">
        <v>59</v>
      </c>
      <c r="B252" s="4" t="s">
        <v>43</v>
      </c>
      <c r="C252" s="4" t="s">
        <v>63</v>
      </c>
      <c r="D252" s="4" t="s">
        <v>25</v>
      </c>
      <c r="E252" s="4" t="s">
        <v>25</v>
      </c>
      <c r="F252" s="4" t="s">
        <v>25</v>
      </c>
      <c r="G252" s="4" t="s">
        <v>68</v>
      </c>
      <c r="H252" s="4" t="s">
        <v>25</v>
      </c>
      <c r="I252" s="5">
        <v>44470</v>
      </c>
      <c r="J252" s="6">
        <v>60000</v>
      </c>
      <c r="K252" s="6">
        <v>60000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4" t="s">
        <v>65</v>
      </c>
      <c r="R252" s="4">
        <v>29361</v>
      </c>
      <c r="S252" s="6">
        <v>27</v>
      </c>
      <c r="T252" s="6">
        <v>0</v>
      </c>
      <c r="U252" s="6">
        <v>0</v>
      </c>
      <c r="V252" s="6">
        <f>IF(ISERROR(VLOOKUP($S$252,'TAR FIN'!$A$1:$O$95,15,0)),0,VLOOKUP($S$252,'TAR FIN'!$A$1:$O$95,15,0))</f>
        <v>7.58</v>
      </c>
      <c r="W252" s="6">
        <f>IF(ISERROR(VLOOKUP($T$252,'TAR FIN'!$A$1:$O$95,15,0)),0,VLOOKUP($T$252,'TAR FIN'!$A$1:$O$95,15,0))</f>
        <v>0</v>
      </c>
      <c r="X252" s="6">
        <f>IF(ISERROR(VLOOKUP($U$252,'TAR FIN'!$A$1:$O$95,15,0)),0,VLOOKUP($U$252,'TAR FIN'!$A$1:$O$95,15,0))</f>
        <v>0</v>
      </c>
      <c r="Y252" s="6">
        <f ca="1">('TUSD BE'!$AM$9+'TUSD BF'!$AM$9+'TUSD CVA'!$AM$9)*1</f>
        <v>9.1574451247299731</v>
      </c>
      <c r="Z252" s="6"/>
      <c r="AA252" s="6"/>
      <c r="AB252" s="6">
        <f>$K$252*$V$252</f>
        <v>454800</v>
      </c>
      <c r="AC252" s="6">
        <f>$M$252*$W$252</f>
        <v>0</v>
      </c>
      <c r="AD252" s="6">
        <f>$O$252*$X$252</f>
        <v>0</v>
      </c>
      <c r="AE252" s="6">
        <f ca="1">$K$252*$Y$252</f>
        <v>549446.70748379838</v>
      </c>
      <c r="AF252" s="6">
        <f>$M$252*$Z$252</f>
        <v>0</v>
      </c>
      <c r="AG252" s="6">
        <f>$O$252*$AA$252</f>
        <v>0</v>
      </c>
    </row>
    <row r="253" spans="1:33" ht="11.25" customHeight="1" x14ac:dyDescent="0.25">
      <c r="A253" s="4" t="s">
        <v>59</v>
      </c>
      <c r="B253" s="4" t="s">
        <v>43</v>
      </c>
      <c r="C253" s="4" t="s">
        <v>63</v>
      </c>
      <c r="D253" s="4" t="s">
        <v>25</v>
      </c>
      <c r="E253" s="4" t="s">
        <v>25</v>
      </c>
      <c r="F253" s="4" t="s">
        <v>25</v>
      </c>
      <c r="G253" s="4" t="s">
        <v>69</v>
      </c>
      <c r="H253" s="4" t="s">
        <v>25</v>
      </c>
      <c r="I253" s="5">
        <v>44470</v>
      </c>
      <c r="J253" s="6">
        <v>63434</v>
      </c>
      <c r="K253" s="6">
        <v>63434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4" t="s">
        <v>65</v>
      </c>
      <c r="R253" s="4">
        <v>29432</v>
      </c>
      <c r="S253" s="6">
        <v>27</v>
      </c>
      <c r="T253" s="6">
        <v>0</v>
      </c>
      <c r="U253" s="6">
        <v>0</v>
      </c>
      <c r="V253" s="6">
        <f>IF(ISERROR(VLOOKUP($S$253,'TAR FIN'!$A$1:$O$95,15,0)),0,VLOOKUP($S$253,'TAR FIN'!$A$1:$O$95,15,0))</f>
        <v>7.58</v>
      </c>
      <c r="W253" s="6">
        <f>IF(ISERROR(VLOOKUP($T$253,'TAR FIN'!$A$1:$O$95,15,0)),0,VLOOKUP($T$253,'TAR FIN'!$A$1:$O$95,15,0))</f>
        <v>0</v>
      </c>
      <c r="X253" s="6">
        <f>IF(ISERROR(VLOOKUP($U$253,'TAR FIN'!$A$1:$O$95,15,0)),0,VLOOKUP($U$253,'TAR FIN'!$A$1:$O$95,15,0))</f>
        <v>0</v>
      </c>
      <c r="Y253" s="6">
        <f ca="1">('TUSD BE'!$AM$9+'TUSD BF'!$AM$9+'TUSD CVA'!$AM$9)*1</f>
        <v>9.1574451247299731</v>
      </c>
      <c r="Z253" s="6"/>
      <c r="AA253" s="6"/>
      <c r="AB253" s="6">
        <f>$K$253*$V$253</f>
        <v>480829.72000000003</v>
      </c>
      <c r="AC253" s="6">
        <f>$M$253*$W$253</f>
        <v>0</v>
      </c>
      <c r="AD253" s="6">
        <f>$O$253*$X$253</f>
        <v>0</v>
      </c>
      <c r="AE253" s="6">
        <f ca="1">$K$253*$Y$253</f>
        <v>580893.37404212111</v>
      </c>
      <c r="AF253" s="6">
        <f>$M$253*$Z$253</f>
        <v>0</v>
      </c>
      <c r="AG253" s="6">
        <f>$O$253*$AA$253</f>
        <v>0</v>
      </c>
    </row>
    <row r="254" spans="1:33" ht="11.25" customHeight="1" x14ac:dyDescent="0.25">
      <c r="A254" s="4" t="s">
        <v>21</v>
      </c>
      <c r="B254" s="4" t="s">
        <v>35</v>
      </c>
      <c r="C254" s="4" t="s">
        <v>44</v>
      </c>
      <c r="D254" s="4" t="s">
        <v>45</v>
      </c>
      <c r="E254" s="4" t="s">
        <v>25</v>
      </c>
      <c r="F254" s="4" t="s">
        <v>25</v>
      </c>
      <c r="G254" s="4" t="s">
        <v>25</v>
      </c>
      <c r="H254" s="4" t="s">
        <v>38</v>
      </c>
      <c r="I254" s="5">
        <v>44136</v>
      </c>
      <c r="J254" s="6">
        <v>17466</v>
      </c>
      <c r="K254" s="6">
        <v>17466</v>
      </c>
      <c r="L254" s="6">
        <v>4712.63</v>
      </c>
      <c r="M254" s="6">
        <v>4712.63</v>
      </c>
      <c r="N254" s="6">
        <v>4712.63</v>
      </c>
      <c r="O254" s="6">
        <v>4712.63</v>
      </c>
      <c r="P254" s="6">
        <v>0</v>
      </c>
      <c r="Q254" s="4" t="s">
        <v>26</v>
      </c>
      <c r="R254" s="4">
        <v>0</v>
      </c>
      <c r="S254" s="6">
        <v>29</v>
      </c>
      <c r="T254" s="6">
        <v>30</v>
      </c>
      <c r="U254" s="6">
        <v>67</v>
      </c>
      <c r="V254" s="6">
        <f>IF(ISERROR(VLOOKUP($S$254,'TAR FIN'!$A$1:$O$95,15,0)),0,VLOOKUP($S$254,'TAR FIN'!$A$1:$O$95,15,0))</f>
        <v>28.57</v>
      </c>
      <c r="W254" s="6">
        <f>IF(ISERROR(VLOOKUP($T$254,'TAR FIN'!$A$1:$O$95,15,0)),0,VLOOKUP($T$254,'TAR FIN'!$A$1:$O$95,15,0))</f>
        <v>149.63</v>
      </c>
      <c r="X254" s="6">
        <f>IF(ISERROR(VLOOKUP($U$254,'TAR FIN'!$A$1:$O$95,15,0)),0,VLOOKUP($U$254,'TAR FIN'!$A$1:$O$95,15,0))</f>
        <v>230.03</v>
      </c>
      <c r="Y254" s="6">
        <f ca="1">('TUSD BE'!$AM$11+'TUSD BF'!$AM$11+'TUSD CVA'!$AM$11)*1</f>
        <v>31.93064187172984</v>
      </c>
      <c r="Z254" s="6">
        <f ca="1">('TUSD BE'!$AM$12+'TUSD BF'!$AM$12+'TUSD CVA'!$AM$12)*1</f>
        <v>168.51338132937991</v>
      </c>
      <c r="AA254" s="6">
        <f>('TE BE'!$AA$8+'TE BF'!$AA$8+'TE CVA'!$AA$8)*1</f>
        <v>282.91739971702214</v>
      </c>
      <c r="AB254" s="6">
        <f>$K$254*$V$254</f>
        <v>499003.62</v>
      </c>
      <c r="AC254" s="6">
        <f>$M$254*$W$254</f>
        <v>705150.82689999999</v>
      </c>
      <c r="AD254" s="6">
        <f>$O$254*$X$254</f>
        <v>1084046.2789</v>
      </c>
      <c r="AE254" s="6">
        <f ca="1">$K$254*$Y$254</f>
        <v>557700.59093163337</v>
      </c>
      <c r="AF254" s="6">
        <f ca="1">$M$254*$Z$254</f>
        <v>794141.21625427564</v>
      </c>
      <c r="AG254" s="6">
        <f>$O$254*$AA$254</f>
        <v>1333285.0254284299</v>
      </c>
    </row>
    <row r="255" spans="1:33" ht="11.25" customHeight="1" x14ac:dyDescent="0.25">
      <c r="A255" s="4" t="s">
        <v>28</v>
      </c>
      <c r="B255" s="4" t="s">
        <v>35</v>
      </c>
      <c r="C255" s="4" t="s">
        <v>44</v>
      </c>
      <c r="D255" s="4" t="s">
        <v>45</v>
      </c>
      <c r="E255" s="4" t="s">
        <v>25</v>
      </c>
      <c r="F255" s="4" t="s">
        <v>25</v>
      </c>
      <c r="G255" s="4" t="s">
        <v>25</v>
      </c>
      <c r="H255" s="4" t="s">
        <v>38</v>
      </c>
      <c r="I255" s="5">
        <v>44136</v>
      </c>
      <c r="J255" s="6">
        <v>835</v>
      </c>
      <c r="K255" s="6">
        <v>835</v>
      </c>
      <c r="L255" s="6">
        <v>134.01300000000001</v>
      </c>
      <c r="M255" s="6">
        <v>134.01300000000001</v>
      </c>
      <c r="N255" s="6">
        <v>134.01300000000001</v>
      </c>
      <c r="O255" s="6">
        <v>134.01300000000001</v>
      </c>
      <c r="P255" s="6">
        <v>0</v>
      </c>
      <c r="Q255" s="4" t="s">
        <v>26</v>
      </c>
      <c r="R255" s="4">
        <v>0</v>
      </c>
      <c r="S255" s="6">
        <v>29</v>
      </c>
      <c r="T255" s="6">
        <v>30</v>
      </c>
      <c r="U255" s="6">
        <v>67</v>
      </c>
      <c r="V255" s="6">
        <f>IF(ISERROR(VLOOKUP($S$255,'TAR FIN'!$A$1:$O$95,15,0)),0,VLOOKUP($S$255,'TAR FIN'!$A$1:$O$95,15,0))</f>
        <v>28.57</v>
      </c>
      <c r="W255" s="6">
        <f>IF(ISERROR(VLOOKUP($T$255,'TAR FIN'!$A$1:$O$95,15,0)),0,VLOOKUP($T$255,'TAR FIN'!$A$1:$O$95,15,0))</f>
        <v>149.63</v>
      </c>
      <c r="X255" s="6">
        <f>IF(ISERROR(VLOOKUP($U$255,'TAR FIN'!$A$1:$O$95,15,0)),0,VLOOKUP($U$255,'TAR FIN'!$A$1:$O$95,15,0))</f>
        <v>230.03</v>
      </c>
      <c r="Y255" s="6">
        <f ca="1">('TUSD BE'!$AM$11+'TUSD BF'!$AM$11+'TUSD CVA'!$AM$11)*1</f>
        <v>31.93064187172984</v>
      </c>
      <c r="Z255" s="6">
        <f ca="1">('TUSD BE'!$AM$12+'TUSD BF'!$AM$12+'TUSD CVA'!$AM$12)*1</f>
        <v>168.51338132937991</v>
      </c>
      <c r="AA255" s="6">
        <f>('TE BE'!$AA$8+'TE BF'!$AA$8+'TE CVA'!$AA$8)*1</f>
        <v>282.91739971702214</v>
      </c>
      <c r="AB255" s="6">
        <f>$K$255*$V$255</f>
        <v>23855.95</v>
      </c>
      <c r="AC255" s="6">
        <f>$M$255*$W$255</f>
        <v>20052.36519</v>
      </c>
      <c r="AD255" s="6">
        <f>$O$255*$X$255</f>
        <v>30827.010390000003</v>
      </c>
      <c r="AE255" s="6">
        <f ca="1">$K$255*$Y$255</f>
        <v>26662.085962894416</v>
      </c>
      <c r="AF255" s="6">
        <f ca="1">$M$255*$Z$255</f>
        <v>22582.98377209419</v>
      </c>
      <c r="AG255" s="6">
        <f>$O$255*$AA$255</f>
        <v>37914.609488277289</v>
      </c>
    </row>
    <row r="256" spans="1:33" ht="11.25" customHeight="1" x14ac:dyDescent="0.25">
      <c r="A256" s="4" t="s">
        <v>30</v>
      </c>
      <c r="B256" s="4" t="s">
        <v>35</v>
      </c>
      <c r="C256" s="4" t="s">
        <v>44</v>
      </c>
      <c r="D256" s="4" t="s">
        <v>45</v>
      </c>
      <c r="E256" s="4" t="s">
        <v>25</v>
      </c>
      <c r="F256" s="4" t="s">
        <v>25</v>
      </c>
      <c r="G256" s="4" t="s">
        <v>25</v>
      </c>
      <c r="H256" s="4" t="s">
        <v>38</v>
      </c>
      <c r="I256" s="5">
        <v>44136</v>
      </c>
      <c r="J256" s="6">
        <v>660</v>
      </c>
      <c r="K256" s="6">
        <v>660</v>
      </c>
      <c r="L256" s="6">
        <v>116.05800000000001</v>
      </c>
      <c r="M256" s="6">
        <v>116.05800000000001</v>
      </c>
      <c r="N256" s="6">
        <v>116.05800000000001</v>
      </c>
      <c r="O256" s="6">
        <v>116.05800000000001</v>
      </c>
      <c r="P256" s="6">
        <v>0</v>
      </c>
      <c r="Q256" s="4" t="s">
        <v>26</v>
      </c>
      <c r="R256" s="4">
        <v>0</v>
      </c>
      <c r="S256" s="6">
        <v>29</v>
      </c>
      <c r="T256" s="6">
        <v>30</v>
      </c>
      <c r="U256" s="6">
        <v>67</v>
      </c>
      <c r="V256" s="6">
        <f>IF(ISERROR(VLOOKUP($S$256,'TAR FIN'!$A$1:$O$95,15,0)),0,VLOOKUP($S$256,'TAR FIN'!$A$1:$O$95,15,0))</f>
        <v>28.57</v>
      </c>
      <c r="W256" s="6">
        <f>IF(ISERROR(VLOOKUP($T$256,'TAR FIN'!$A$1:$O$95,15,0)),0,VLOOKUP($T$256,'TAR FIN'!$A$1:$O$95,15,0))</f>
        <v>149.63</v>
      </c>
      <c r="X256" s="6">
        <f>IF(ISERROR(VLOOKUP($U$256,'TAR FIN'!$A$1:$O$95,15,0)),0,VLOOKUP($U$256,'TAR FIN'!$A$1:$O$95,15,0))</f>
        <v>230.03</v>
      </c>
      <c r="Y256" s="6">
        <f ca="1">('TUSD BE'!$AM$11+'TUSD BF'!$AM$11+'TUSD CVA'!$AM$11)*1</f>
        <v>31.93064187172984</v>
      </c>
      <c r="Z256" s="6">
        <f ca="1">('TUSD BE'!$AM$12+'TUSD BF'!$AM$12+'TUSD CVA'!$AM$12)*1</f>
        <v>168.51338132937991</v>
      </c>
      <c r="AA256" s="6">
        <f>('TE BE'!$AA$8+'TE BF'!$AA$8+'TE CVA'!$AA$8)*1</f>
        <v>282.91739971702214</v>
      </c>
      <c r="AB256" s="6">
        <f>$K$256*$V$256</f>
        <v>18856.2</v>
      </c>
      <c r="AC256" s="6">
        <f>$M$256*$W$256</f>
        <v>17365.758539999999</v>
      </c>
      <c r="AD256" s="6">
        <f>$O$256*$X$256</f>
        <v>26696.821740000003</v>
      </c>
      <c r="AE256" s="6">
        <f ca="1">$K$256*$Y$256</f>
        <v>21074.223635341696</v>
      </c>
      <c r="AF256" s="6">
        <f ca="1">$M$256*$Z$256</f>
        <v>19557.326010325174</v>
      </c>
      <c r="AG256" s="6">
        <f>$O$256*$AA$256</f>
        <v>32834.827576358155</v>
      </c>
    </row>
    <row r="257" spans="1:33" ht="11.25" customHeight="1" x14ac:dyDescent="0.25">
      <c r="A257" s="4" t="s">
        <v>21</v>
      </c>
      <c r="B257" s="4" t="s">
        <v>35</v>
      </c>
      <c r="C257" s="4" t="s">
        <v>44</v>
      </c>
      <c r="D257" s="4" t="s">
        <v>45</v>
      </c>
      <c r="E257" s="4" t="s">
        <v>25</v>
      </c>
      <c r="F257" s="4" t="s">
        <v>25</v>
      </c>
      <c r="G257" s="4" t="s">
        <v>25</v>
      </c>
      <c r="H257" s="4" t="s">
        <v>38</v>
      </c>
      <c r="I257" s="5">
        <v>44166</v>
      </c>
      <c r="J257" s="6">
        <v>17419</v>
      </c>
      <c r="K257" s="6">
        <v>17419</v>
      </c>
      <c r="L257" s="6">
        <v>4632.241</v>
      </c>
      <c r="M257" s="6">
        <v>4632.241</v>
      </c>
      <c r="N257" s="6">
        <v>4632.241</v>
      </c>
      <c r="O257" s="6">
        <v>4632.241</v>
      </c>
      <c r="P257" s="6">
        <v>0</v>
      </c>
      <c r="Q257" s="4" t="s">
        <v>26</v>
      </c>
      <c r="R257" s="4">
        <v>0</v>
      </c>
      <c r="S257" s="6">
        <v>29</v>
      </c>
      <c r="T257" s="6">
        <v>30</v>
      </c>
      <c r="U257" s="6">
        <v>67</v>
      </c>
      <c r="V257" s="6">
        <f>IF(ISERROR(VLOOKUP($S$257,'TAR FIN'!$A$1:$O$95,15,0)),0,VLOOKUP($S$257,'TAR FIN'!$A$1:$O$95,15,0))</f>
        <v>28.57</v>
      </c>
      <c r="W257" s="6">
        <f>IF(ISERROR(VLOOKUP($T$257,'TAR FIN'!$A$1:$O$95,15,0)),0,VLOOKUP($T$257,'TAR FIN'!$A$1:$O$95,15,0))</f>
        <v>149.63</v>
      </c>
      <c r="X257" s="6">
        <f>IF(ISERROR(VLOOKUP($U$257,'TAR FIN'!$A$1:$O$95,15,0)),0,VLOOKUP($U$257,'TAR FIN'!$A$1:$O$95,15,0))</f>
        <v>230.03</v>
      </c>
      <c r="Y257" s="6">
        <f ca="1">('TUSD BE'!$AM$11+'TUSD BF'!$AM$11+'TUSD CVA'!$AM$11)*1</f>
        <v>31.93064187172984</v>
      </c>
      <c r="Z257" s="6">
        <f ca="1">('TUSD BE'!$AM$12+'TUSD BF'!$AM$12+'TUSD CVA'!$AM$12)*1</f>
        <v>168.51338132937991</v>
      </c>
      <c r="AA257" s="6">
        <f>('TE BE'!$AA$8+'TE BF'!$AA$8+'TE CVA'!$AA$8)*1</f>
        <v>282.91739971702214</v>
      </c>
      <c r="AB257" s="6">
        <f>$K$257*$V$257</f>
        <v>497660.83</v>
      </c>
      <c r="AC257" s="6">
        <f>$M$257*$W$257</f>
        <v>693122.22083000001</v>
      </c>
      <c r="AD257" s="6">
        <f>$O$257*$X$257</f>
        <v>1065554.39723</v>
      </c>
      <c r="AE257" s="6">
        <f ca="1">$K$257*$Y$257</f>
        <v>556199.85076366214</v>
      </c>
      <c r="AF257" s="6">
        <f ca="1">$M$257*$Z$257</f>
        <v>780594.59404258814</v>
      </c>
      <c r="AG257" s="6">
        <f>$O$257*$AA$257</f>
        <v>1310541.5785825783</v>
      </c>
    </row>
    <row r="258" spans="1:33" ht="11.25" customHeight="1" x14ac:dyDescent="0.25">
      <c r="A258" s="4" t="s">
        <v>28</v>
      </c>
      <c r="B258" s="4" t="s">
        <v>35</v>
      </c>
      <c r="C258" s="4" t="s">
        <v>44</v>
      </c>
      <c r="D258" s="4" t="s">
        <v>45</v>
      </c>
      <c r="E258" s="4" t="s">
        <v>25</v>
      </c>
      <c r="F258" s="4" t="s">
        <v>25</v>
      </c>
      <c r="G258" s="4" t="s">
        <v>25</v>
      </c>
      <c r="H258" s="4" t="s">
        <v>38</v>
      </c>
      <c r="I258" s="5">
        <v>44166</v>
      </c>
      <c r="J258" s="6">
        <v>919</v>
      </c>
      <c r="K258" s="6">
        <v>919</v>
      </c>
      <c r="L258" s="6">
        <v>115.723</v>
      </c>
      <c r="M258" s="6">
        <v>115.723</v>
      </c>
      <c r="N258" s="6">
        <v>115.723</v>
      </c>
      <c r="O258" s="6">
        <v>115.723</v>
      </c>
      <c r="P258" s="6">
        <v>0</v>
      </c>
      <c r="Q258" s="4" t="s">
        <v>26</v>
      </c>
      <c r="R258" s="4">
        <v>0</v>
      </c>
      <c r="S258" s="6">
        <v>29</v>
      </c>
      <c r="T258" s="6">
        <v>30</v>
      </c>
      <c r="U258" s="6">
        <v>67</v>
      </c>
      <c r="V258" s="6">
        <f>IF(ISERROR(VLOOKUP($S$258,'TAR FIN'!$A$1:$O$95,15,0)),0,VLOOKUP($S$258,'TAR FIN'!$A$1:$O$95,15,0))</f>
        <v>28.57</v>
      </c>
      <c r="W258" s="6">
        <f>IF(ISERROR(VLOOKUP($T$258,'TAR FIN'!$A$1:$O$95,15,0)),0,VLOOKUP($T$258,'TAR FIN'!$A$1:$O$95,15,0))</f>
        <v>149.63</v>
      </c>
      <c r="X258" s="6">
        <f>IF(ISERROR(VLOOKUP($U$258,'TAR FIN'!$A$1:$O$95,15,0)),0,VLOOKUP($U$258,'TAR FIN'!$A$1:$O$95,15,0))</f>
        <v>230.03</v>
      </c>
      <c r="Y258" s="6">
        <f ca="1">('TUSD BE'!$AM$11+'TUSD BF'!$AM$11+'TUSD CVA'!$AM$11)*1</f>
        <v>31.93064187172984</v>
      </c>
      <c r="Z258" s="6">
        <f ca="1">('TUSD BE'!$AM$12+'TUSD BF'!$AM$12+'TUSD CVA'!$AM$12)*1</f>
        <v>168.51338132937991</v>
      </c>
      <c r="AA258" s="6">
        <f>('TE BE'!$AA$8+'TE BF'!$AA$8+'TE CVA'!$AA$8)*1</f>
        <v>282.91739971702214</v>
      </c>
      <c r="AB258" s="6">
        <f>$K$258*$V$258</f>
        <v>26255.83</v>
      </c>
      <c r="AC258" s="6">
        <f>$M$258*$W$258</f>
        <v>17315.63249</v>
      </c>
      <c r="AD258" s="6">
        <f>$O$258*$X$258</f>
        <v>26619.761689999999</v>
      </c>
      <c r="AE258" s="6">
        <f ca="1">$K$258*$Y$258</f>
        <v>29344.259880119724</v>
      </c>
      <c r="AF258" s="6">
        <f ca="1">$M$258*$Z$258</f>
        <v>19500.87402757983</v>
      </c>
      <c r="AG258" s="6">
        <f>$O$258*$AA$258</f>
        <v>32740.050247452953</v>
      </c>
    </row>
    <row r="259" spans="1:33" ht="11.25" customHeight="1" x14ac:dyDescent="0.25">
      <c r="A259" s="4" t="s">
        <v>30</v>
      </c>
      <c r="B259" s="4" t="s">
        <v>35</v>
      </c>
      <c r="C259" s="4" t="s">
        <v>44</v>
      </c>
      <c r="D259" s="4" t="s">
        <v>45</v>
      </c>
      <c r="E259" s="4" t="s">
        <v>25</v>
      </c>
      <c r="F259" s="4" t="s">
        <v>25</v>
      </c>
      <c r="G259" s="4" t="s">
        <v>25</v>
      </c>
      <c r="H259" s="4" t="s">
        <v>38</v>
      </c>
      <c r="I259" s="5">
        <v>44166</v>
      </c>
      <c r="J259" s="6">
        <v>561</v>
      </c>
      <c r="K259" s="6">
        <v>561</v>
      </c>
      <c r="L259" s="6">
        <v>87.661000000000001</v>
      </c>
      <c r="M259" s="6">
        <v>87.661000000000001</v>
      </c>
      <c r="N259" s="6">
        <v>87.661000000000001</v>
      </c>
      <c r="O259" s="6">
        <v>87.661000000000001</v>
      </c>
      <c r="P259" s="6">
        <v>0</v>
      </c>
      <c r="Q259" s="4" t="s">
        <v>26</v>
      </c>
      <c r="R259" s="4">
        <v>0</v>
      </c>
      <c r="S259" s="6">
        <v>29</v>
      </c>
      <c r="T259" s="6">
        <v>30</v>
      </c>
      <c r="U259" s="6">
        <v>67</v>
      </c>
      <c r="V259" s="6">
        <f>IF(ISERROR(VLOOKUP($S$259,'TAR FIN'!$A$1:$O$95,15,0)),0,VLOOKUP($S$259,'TAR FIN'!$A$1:$O$95,15,0))</f>
        <v>28.57</v>
      </c>
      <c r="W259" s="6">
        <f>IF(ISERROR(VLOOKUP($T$259,'TAR FIN'!$A$1:$O$95,15,0)),0,VLOOKUP($T$259,'TAR FIN'!$A$1:$O$95,15,0))</f>
        <v>149.63</v>
      </c>
      <c r="X259" s="6">
        <f>IF(ISERROR(VLOOKUP($U$259,'TAR FIN'!$A$1:$O$95,15,0)),0,VLOOKUP($U$259,'TAR FIN'!$A$1:$O$95,15,0))</f>
        <v>230.03</v>
      </c>
      <c r="Y259" s="6">
        <f ca="1">('TUSD BE'!$AM$11+'TUSD BF'!$AM$11+'TUSD CVA'!$AM$11)*1</f>
        <v>31.93064187172984</v>
      </c>
      <c r="Z259" s="6">
        <f ca="1">('TUSD BE'!$AM$12+'TUSD BF'!$AM$12+'TUSD CVA'!$AM$12)*1</f>
        <v>168.51338132937991</v>
      </c>
      <c r="AA259" s="6">
        <f>('TE BE'!$AA$8+'TE BF'!$AA$8+'TE CVA'!$AA$8)*1</f>
        <v>282.91739971702214</v>
      </c>
      <c r="AB259" s="6">
        <f>$K$259*$V$259</f>
        <v>16027.77</v>
      </c>
      <c r="AC259" s="6">
        <f>$M$259*$W$259</f>
        <v>13116.71543</v>
      </c>
      <c r="AD259" s="6">
        <f>$O$259*$X$259</f>
        <v>20164.659830000001</v>
      </c>
      <c r="AE259" s="6">
        <f ca="1">$K$259*$Y$259</f>
        <v>17913.090090040441</v>
      </c>
      <c r="AF259" s="6">
        <f ca="1">$M$259*$Z$259</f>
        <v>14772.051520714773</v>
      </c>
      <c r="AG259" s="6">
        <f>$O$259*$AA$259</f>
        <v>24800.822176593876</v>
      </c>
    </row>
    <row r="260" spans="1:33" ht="11.25" customHeight="1" x14ac:dyDescent="0.25">
      <c r="A260" s="4" t="s">
        <v>21</v>
      </c>
      <c r="B260" s="4" t="s">
        <v>35</v>
      </c>
      <c r="C260" s="4" t="s">
        <v>44</v>
      </c>
      <c r="D260" s="4" t="s">
        <v>45</v>
      </c>
      <c r="E260" s="4" t="s">
        <v>25</v>
      </c>
      <c r="F260" s="4" t="s">
        <v>25</v>
      </c>
      <c r="G260" s="4" t="s">
        <v>25</v>
      </c>
      <c r="H260" s="4" t="s">
        <v>38</v>
      </c>
      <c r="I260" s="5">
        <v>44197</v>
      </c>
      <c r="J260" s="6">
        <v>17296</v>
      </c>
      <c r="K260" s="6">
        <v>17296</v>
      </c>
      <c r="L260" s="6">
        <v>4437.4889999999996</v>
      </c>
      <c r="M260" s="6">
        <v>4437.4889999999996</v>
      </c>
      <c r="N260" s="6">
        <v>4437.4889999999996</v>
      </c>
      <c r="O260" s="6">
        <v>4437.4889999999996</v>
      </c>
      <c r="P260" s="6">
        <v>0</v>
      </c>
      <c r="Q260" s="4" t="s">
        <v>26</v>
      </c>
      <c r="R260" s="4">
        <v>0</v>
      </c>
      <c r="S260" s="6">
        <v>29</v>
      </c>
      <c r="T260" s="6">
        <v>30</v>
      </c>
      <c r="U260" s="6">
        <v>67</v>
      </c>
      <c r="V260" s="6">
        <f>IF(ISERROR(VLOOKUP($S$260,'TAR FIN'!$A$1:$O$95,15,0)),0,VLOOKUP($S$260,'TAR FIN'!$A$1:$O$95,15,0))</f>
        <v>28.57</v>
      </c>
      <c r="W260" s="6">
        <f>IF(ISERROR(VLOOKUP($T$260,'TAR FIN'!$A$1:$O$95,15,0)),0,VLOOKUP($T$260,'TAR FIN'!$A$1:$O$95,15,0))</f>
        <v>149.63</v>
      </c>
      <c r="X260" s="6">
        <f>IF(ISERROR(VLOOKUP($U$260,'TAR FIN'!$A$1:$O$95,15,0)),0,VLOOKUP($U$260,'TAR FIN'!$A$1:$O$95,15,0))</f>
        <v>230.03</v>
      </c>
      <c r="Y260" s="6">
        <f ca="1">('TUSD BE'!$AM$11+'TUSD BF'!$AM$11+'TUSD CVA'!$AM$11)*1</f>
        <v>31.93064187172984</v>
      </c>
      <c r="Z260" s="6">
        <f ca="1">('TUSD BE'!$AM$12+'TUSD BF'!$AM$12+'TUSD CVA'!$AM$12)*1</f>
        <v>168.51338132937991</v>
      </c>
      <c r="AA260" s="6">
        <f>('TE BE'!$AA$8+'TE BF'!$AA$8+'TE CVA'!$AA$8)*1</f>
        <v>282.91739971702214</v>
      </c>
      <c r="AB260" s="6">
        <f>$K$260*$V$260</f>
        <v>494146.72000000003</v>
      </c>
      <c r="AC260" s="6">
        <f>$M$260*$W$260</f>
        <v>663981.47906999988</v>
      </c>
      <c r="AD260" s="6">
        <f>$O$260*$X$260</f>
        <v>1020755.5946699999</v>
      </c>
      <c r="AE260" s="6">
        <f ca="1">$K$260*$Y$260</f>
        <v>552272.38181343931</v>
      </c>
      <c r="AF260" s="6">
        <f ca="1">$M$260*$Z$260</f>
        <v>747776.27600192861</v>
      </c>
      <c r="AG260" s="6">
        <f>$O$260*$AA$260</f>
        <v>1255442.8491528886</v>
      </c>
    </row>
    <row r="261" spans="1:33" ht="11.25" customHeight="1" x14ac:dyDescent="0.25">
      <c r="A261" s="4" t="s">
        <v>27</v>
      </c>
      <c r="B261" s="4" t="s">
        <v>35</v>
      </c>
      <c r="C261" s="4" t="s">
        <v>44</v>
      </c>
      <c r="D261" s="4" t="s">
        <v>45</v>
      </c>
      <c r="E261" s="4" t="s">
        <v>25</v>
      </c>
      <c r="F261" s="4" t="s">
        <v>25</v>
      </c>
      <c r="G261" s="4" t="s">
        <v>25</v>
      </c>
      <c r="H261" s="4" t="s">
        <v>38</v>
      </c>
      <c r="I261" s="5">
        <v>44197</v>
      </c>
      <c r="J261" s="6">
        <v>-7</v>
      </c>
      <c r="K261" s="6">
        <v>-7</v>
      </c>
      <c r="L261" s="6">
        <v>-76.326999999999998</v>
      </c>
      <c r="M261" s="6">
        <v>-76.326999999999998</v>
      </c>
      <c r="N261" s="6">
        <v>-76.326999999999998</v>
      </c>
      <c r="O261" s="6">
        <v>-76.326999999999998</v>
      </c>
      <c r="P261" s="6">
        <v>0</v>
      </c>
      <c r="Q261" s="4" t="s">
        <v>26</v>
      </c>
      <c r="R261" s="4">
        <v>0</v>
      </c>
      <c r="S261" s="6">
        <v>29</v>
      </c>
      <c r="T261" s="6">
        <v>30</v>
      </c>
      <c r="U261" s="6">
        <v>67</v>
      </c>
      <c r="V261" s="6">
        <f>IF(ISERROR(VLOOKUP($S$261,'TAR FIN'!$A$1:$O$95,15,0)),0,VLOOKUP($S$261,'TAR FIN'!$A$1:$O$95,15,0))</f>
        <v>28.57</v>
      </c>
      <c r="W261" s="6">
        <f>IF(ISERROR(VLOOKUP($T$261,'TAR FIN'!$A$1:$O$95,15,0)),0,VLOOKUP($T$261,'TAR FIN'!$A$1:$O$95,15,0))</f>
        <v>149.63</v>
      </c>
      <c r="X261" s="6">
        <f>IF(ISERROR(VLOOKUP($U$261,'TAR FIN'!$A$1:$O$95,15,0)),0,VLOOKUP($U$261,'TAR FIN'!$A$1:$O$95,15,0))</f>
        <v>230.03</v>
      </c>
      <c r="Y261" s="6">
        <f ca="1">('TUSD BE'!$AM$11+'TUSD BF'!$AM$11+'TUSD CVA'!$AM$11)*1</f>
        <v>31.93064187172984</v>
      </c>
      <c r="Z261" s="6">
        <f ca="1">('TUSD BE'!$AM$12+'TUSD BF'!$AM$12+'TUSD CVA'!$AM$12)*1</f>
        <v>168.51338132937991</v>
      </c>
      <c r="AA261" s="6">
        <f>('TE BE'!$AA$8+'TE BF'!$AA$8+'TE CVA'!$AA$8)*1</f>
        <v>282.91739971702214</v>
      </c>
      <c r="AB261" s="6">
        <f>$K$261*$V$261</f>
        <v>-199.99</v>
      </c>
      <c r="AC261" s="6">
        <f>$M$261*$W$261</f>
        <v>-11420.809009999999</v>
      </c>
      <c r="AD261" s="6">
        <f>$O$261*$X$261</f>
        <v>-17557.499810000001</v>
      </c>
      <c r="AE261" s="6">
        <f ca="1">$K$261*$Y$261</f>
        <v>-223.51449310210887</v>
      </c>
      <c r="AF261" s="6">
        <f ca="1">$M$261*$Z$261</f>
        <v>-12862.120856727581</v>
      </c>
      <c r="AG261" s="6">
        <f>$O$261*$AA$261</f>
        <v>-21594.236368201149</v>
      </c>
    </row>
    <row r="262" spans="1:33" ht="11.25" customHeight="1" x14ac:dyDescent="0.25">
      <c r="A262" s="4" t="s">
        <v>28</v>
      </c>
      <c r="B262" s="4" t="s">
        <v>35</v>
      </c>
      <c r="C262" s="4" t="s">
        <v>44</v>
      </c>
      <c r="D262" s="4" t="s">
        <v>45</v>
      </c>
      <c r="E262" s="4" t="s">
        <v>25</v>
      </c>
      <c r="F262" s="4" t="s">
        <v>25</v>
      </c>
      <c r="G262" s="4" t="s">
        <v>25</v>
      </c>
      <c r="H262" s="4" t="s">
        <v>38</v>
      </c>
      <c r="I262" s="5">
        <v>44197</v>
      </c>
      <c r="J262" s="6">
        <v>1009</v>
      </c>
      <c r="K262" s="6">
        <v>1009</v>
      </c>
      <c r="L262" s="6">
        <v>99.468000000000004</v>
      </c>
      <c r="M262" s="6">
        <v>99.468000000000004</v>
      </c>
      <c r="N262" s="6">
        <v>99.468000000000004</v>
      </c>
      <c r="O262" s="6">
        <v>99.468000000000004</v>
      </c>
      <c r="P262" s="6">
        <v>0</v>
      </c>
      <c r="Q262" s="4" t="s">
        <v>26</v>
      </c>
      <c r="R262" s="4">
        <v>0</v>
      </c>
      <c r="S262" s="6">
        <v>29</v>
      </c>
      <c r="T262" s="6">
        <v>30</v>
      </c>
      <c r="U262" s="6">
        <v>67</v>
      </c>
      <c r="V262" s="6">
        <f>IF(ISERROR(VLOOKUP($S$262,'TAR FIN'!$A$1:$O$95,15,0)),0,VLOOKUP($S$262,'TAR FIN'!$A$1:$O$95,15,0))</f>
        <v>28.57</v>
      </c>
      <c r="W262" s="6">
        <f>IF(ISERROR(VLOOKUP($T$262,'TAR FIN'!$A$1:$O$95,15,0)),0,VLOOKUP($T$262,'TAR FIN'!$A$1:$O$95,15,0))</f>
        <v>149.63</v>
      </c>
      <c r="X262" s="6">
        <f>IF(ISERROR(VLOOKUP($U$262,'TAR FIN'!$A$1:$O$95,15,0)),0,VLOOKUP($U$262,'TAR FIN'!$A$1:$O$95,15,0))</f>
        <v>230.03</v>
      </c>
      <c r="Y262" s="6">
        <f ca="1">('TUSD BE'!$AM$11+'TUSD BF'!$AM$11+'TUSD CVA'!$AM$11)*1</f>
        <v>31.93064187172984</v>
      </c>
      <c r="Z262" s="6">
        <f ca="1">('TUSD BE'!$AM$12+'TUSD BF'!$AM$12+'TUSD CVA'!$AM$12)*1</f>
        <v>168.51338132937991</v>
      </c>
      <c r="AA262" s="6">
        <f>('TE BE'!$AA$8+'TE BF'!$AA$8+'TE CVA'!$AA$8)*1</f>
        <v>282.91739971702214</v>
      </c>
      <c r="AB262" s="6">
        <f>$K$262*$V$262</f>
        <v>28827.13</v>
      </c>
      <c r="AC262" s="6">
        <f>$M$262*$W$262</f>
        <v>14883.396839999999</v>
      </c>
      <c r="AD262" s="6">
        <f>$O$262*$X$262</f>
        <v>22880.624040000002</v>
      </c>
      <c r="AE262" s="6">
        <f ca="1">$K$262*$Y$262</f>
        <v>32218.017648575409</v>
      </c>
      <c r="AF262" s="6">
        <f ca="1">$M$262*$Z$262</f>
        <v>16761.689014070762</v>
      </c>
      <c r="AG262" s="6">
        <f>$O$262*$AA$262</f>
        <v>28141.227915052757</v>
      </c>
    </row>
    <row r="263" spans="1:33" ht="11.25" customHeight="1" x14ac:dyDescent="0.25">
      <c r="A263" s="4" t="s">
        <v>30</v>
      </c>
      <c r="B263" s="4" t="s">
        <v>35</v>
      </c>
      <c r="C263" s="4" t="s">
        <v>44</v>
      </c>
      <c r="D263" s="4" t="s">
        <v>45</v>
      </c>
      <c r="E263" s="4" t="s">
        <v>25</v>
      </c>
      <c r="F263" s="4" t="s">
        <v>25</v>
      </c>
      <c r="G263" s="4" t="s">
        <v>25</v>
      </c>
      <c r="H263" s="4" t="s">
        <v>38</v>
      </c>
      <c r="I263" s="5">
        <v>44197</v>
      </c>
      <c r="J263" s="6">
        <v>548</v>
      </c>
      <c r="K263" s="6">
        <v>548</v>
      </c>
      <c r="L263" s="6">
        <v>74.138999999999996</v>
      </c>
      <c r="M263" s="6">
        <v>74.138999999999996</v>
      </c>
      <c r="N263" s="6">
        <v>74.138999999999996</v>
      </c>
      <c r="O263" s="6">
        <v>74.138999999999996</v>
      </c>
      <c r="P263" s="6">
        <v>0</v>
      </c>
      <c r="Q263" s="4" t="s">
        <v>26</v>
      </c>
      <c r="R263" s="4">
        <v>0</v>
      </c>
      <c r="S263" s="6">
        <v>29</v>
      </c>
      <c r="T263" s="6">
        <v>30</v>
      </c>
      <c r="U263" s="6">
        <v>67</v>
      </c>
      <c r="V263" s="6">
        <f>IF(ISERROR(VLOOKUP($S$263,'TAR FIN'!$A$1:$O$95,15,0)),0,VLOOKUP($S$263,'TAR FIN'!$A$1:$O$95,15,0))</f>
        <v>28.57</v>
      </c>
      <c r="W263" s="6">
        <f>IF(ISERROR(VLOOKUP($T$263,'TAR FIN'!$A$1:$O$95,15,0)),0,VLOOKUP($T$263,'TAR FIN'!$A$1:$O$95,15,0))</f>
        <v>149.63</v>
      </c>
      <c r="X263" s="6">
        <f>IF(ISERROR(VLOOKUP($U$263,'TAR FIN'!$A$1:$O$95,15,0)),0,VLOOKUP($U$263,'TAR FIN'!$A$1:$O$95,15,0))</f>
        <v>230.03</v>
      </c>
      <c r="Y263" s="6">
        <f ca="1">('TUSD BE'!$AM$11+'TUSD BF'!$AM$11+'TUSD CVA'!$AM$11)*1</f>
        <v>31.93064187172984</v>
      </c>
      <c r="Z263" s="6">
        <f ca="1">('TUSD BE'!$AM$12+'TUSD BF'!$AM$12+'TUSD CVA'!$AM$12)*1</f>
        <v>168.51338132937991</v>
      </c>
      <c r="AA263" s="6">
        <f>('TE BE'!$AA$8+'TE BF'!$AA$8+'TE CVA'!$AA$8)*1</f>
        <v>282.91739971702214</v>
      </c>
      <c r="AB263" s="6">
        <f>$K$263*$V$263</f>
        <v>15656.36</v>
      </c>
      <c r="AC263" s="6">
        <f>$M$263*$W$263</f>
        <v>11093.41857</v>
      </c>
      <c r="AD263" s="6">
        <f>$O$263*$X$263</f>
        <v>17054.194169999999</v>
      </c>
      <c r="AE263" s="6">
        <f ca="1">$K$263*$Y$263</f>
        <v>17497.991745707954</v>
      </c>
      <c r="AF263" s="6">
        <f ca="1">$M$263*$Z$263</f>
        <v>12493.413578378897</v>
      </c>
      <c r="AG263" s="6">
        <f>$O$263*$AA$263</f>
        <v>20975.213097620304</v>
      </c>
    </row>
    <row r="264" spans="1:33" ht="11.25" customHeight="1" x14ac:dyDescent="0.25">
      <c r="A264" s="4" t="s">
        <v>21</v>
      </c>
      <c r="B264" s="4" t="s">
        <v>35</v>
      </c>
      <c r="C264" s="4" t="s">
        <v>44</v>
      </c>
      <c r="D264" s="4" t="s">
        <v>45</v>
      </c>
      <c r="E264" s="4" t="s">
        <v>25</v>
      </c>
      <c r="F264" s="4" t="s">
        <v>25</v>
      </c>
      <c r="G264" s="4" t="s">
        <v>25</v>
      </c>
      <c r="H264" s="4" t="s">
        <v>38</v>
      </c>
      <c r="I264" s="5">
        <v>44228</v>
      </c>
      <c r="J264" s="6">
        <v>16535</v>
      </c>
      <c r="K264" s="6">
        <v>16535</v>
      </c>
      <c r="L264" s="6">
        <v>3780.259</v>
      </c>
      <c r="M264" s="6">
        <v>3780.259</v>
      </c>
      <c r="N264" s="6">
        <v>3780.259</v>
      </c>
      <c r="O264" s="6">
        <v>3780.259</v>
      </c>
      <c r="P264" s="6">
        <v>0</v>
      </c>
      <c r="Q264" s="4" t="s">
        <v>26</v>
      </c>
      <c r="R264" s="4">
        <v>0</v>
      </c>
      <c r="S264" s="6">
        <v>29</v>
      </c>
      <c r="T264" s="6">
        <v>30</v>
      </c>
      <c r="U264" s="6">
        <v>67</v>
      </c>
      <c r="V264" s="6">
        <f>IF(ISERROR(VLOOKUP($S$264,'TAR FIN'!$A$1:$O$95,15,0)),0,VLOOKUP($S$264,'TAR FIN'!$A$1:$O$95,15,0))</f>
        <v>28.57</v>
      </c>
      <c r="W264" s="6">
        <f>IF(ISERROR(VLOOKUP($T$264,'TAR FIN'!$A$1:$O$95,15,0)),0,VLOOKUP($T$264,'TAR FIN'!$A$1:$O$95,15,0))</f>
        <v>149.63</v>
      </c>
      <c r="X264" s="6">
        <f>IF(ISERROR(VLOOKUP($U$264,'TAR FIN'!$A$1:$O$95,15,0)),0,VLOOKUP($U$264,'TAR FIN'!$A$1:$O$95,15,0))</f>
        <v>230.03</v>
      </c>
      <c r="Y264" s="6">
        <f ca="1">('TUSD BE'!$AM$11+'TUSD BF'!$AM$11+'TUSD CVA'!$AM$11)*1</f>
        <v>31.93064187172984</v>
      </c>
      <c r="Z264" s="6">
        <f ca="1">('TUSD BE'!$AM$12+'TUSD BF'!$AM$12+'TUSD CVA'!$AM$12)*1</f>
        <v>168.51338132937991</v>
      </c>
      <c r="AA264" s="6">
        <f>('TE BE'!$AA$8+'TE BF'!$AA$8+'TE CVA'!$AA$8)*1</f>
        <v>282.91739971702214</v>
      </c>
      <c r="AB264" s="6">
        <f>$K$264*$V$264</f>
        <v>472404.95</v>
      </c>
      <c r="AC264" s="6">
        <f>$M$264*$W$264</f>
        <v>565640.15416999999</v>
      </c>
      <c r="AD264" s="6">
        <f>$O$264*$X$264</f>
        <v>869572.97777</v>
      </c>
      <c r="AE264" s="6">
        <f ca="1">$K$264*$Y$264</f>
        <v>527973.16334905289</v>
      </c>
      <c r="AF264" s="6">
        <f ca="1">$M$264*$Z$264</f>
        <v>637024.22639082035</v>
      </c>
      <c r="AG264" s="6">
        <f>$O$264*$AA$264</f>
        <v>1069501.0465368703</v>
      </c>
    </row>
    <row r="265" spans="1:33" ht="11.25" customHeight="1" x14ac:dyDescent="0.25">
      <c r="A265" s="4" t="s">
        <v>28</v>
      </c>
      <c r="B265" s="4" t="s">
        <v>35</v>
      </c>
      <c r="C265" s="4" t="s">
        <v>44</v>
      </c>
      <c r="D265" s="4" t="s">
        <v>45</v>
      </c>
      <c r="E265" s="4" t="s">
        <v>25</v>
      </c>
      <c r="F265" s="4" t="s">
        <v>25</v>
      </c>
      <c r="G265" s="4" t="s">
        <v>25</v>
      </c>
      <c r="H265" s="4" t="s">
        <v>38</v>
      </c>
      <c r="I265" s="5">
        <v>44228</v>
      </c>
      <c r="J265" s="6">
        <v>1009</v>
      </c>
      <c r="K265" s="6">
        <v>1009</v>
      </c>
      <c r="L265" s="6">
        <v>79.911000000000001</v>
      </c>
      <c r="M265" s="6">
        <v>79.911000000000001</v>
      </c>
      <c r="N265" s="6">
        <v>79.911000000000001</v>
      </c>
      <c r="O265" s="6">
        <v>79.911000000000001</v>
      </c>
      <c r="P265" s="6">
        <v>0</v>
      </c>
      <c r="Q265" s="4" t="s">
        <v>26</v>
      </c>
      <c r="R265" s="4">
        <v>0</v>
      </c>
      <c r="S265" s="6">
        <v>29</v>
      </c>
      <c r="T265" s="6">
        <v>30</v>
      </c>
      <c r="U265" s="6">
        <v>67</v>
      </c>
      <c r="V265" s="6">
        <f>IF(ISERROR(VLOOKUP($S$265,'TAR FIN'!$A$1:$O$95,15,0)),0,VLOOKUP($S$265,'TAR FIN'!$A$1:$O$95,15,0))</f>
        <v>28.57</v>
      </c>
      <c r="W265" s="6">
        <f>IF(ISERROR(VLOOKUP($T$265,'TAR FIN'!$A$1:$O$95,15,0)),0,VLOOKUP($T$265,'TAR FIN'!$A$1:$O$95,15,0))</f>
        <v>149.63</v>
      </c>
      <c r="X265" s="6">
        <f>IF(ISERROR(VLOOKUP($U$265,'TAR FIN'!$A$1:$O$95,15,0)),0,VLOOKUP($U$265,'TAR FIN'!$A$1:$O$95,15,0))</f>
        <v>230.03</v>
      </c>
      <c r="Y265" s="6">
        <f ca="1">('TUSD BE'!$AM$11+'TUSD BF'!$AM$11+'TUSD CVA'!$AM$11)*1</f>
        <v>31.93064187172984</v>
      </c>
      <c r="Z265" s="6">
        <f ca="1">('TUSD BE'!$AM$12+'TUSD BF'!$AM$12+'TUSD CVA'!$AM$12)*1</f>
        <v>168.51338132937991</v>
      </c>
      <c r="AA265" s="6">
        <f>('TE BE'!$AA$8+'TE BF'!$AA$8+'TE CVA'!$AA$8)*1</f>
        <v>282.91739971702214</v>
      </c>
      <c r="AB265" s="6">
        <f>$K$265*$V$265</f>
        <v>28827.13</v>
      </c>
      <c r="AC265" s="6">
        <f>$M$265*$W$265</f>
        <v>11957.08293</v>
      </c>
      <c r="AD265" s="6">
        <f>$O$265*$X$265</f>
        <v>18381.927329999999</v>
      </c>
      <c r="AE265" s="6">
        <f ca="1">$K$265*$Y$265</f>
        <v>32218.017648575409</v>
      </c>
      <c r="AF265" s="6">
        <f ca="1">$M$265*$Z$265</f>
        <v>13466.072815412079</v>
      </c>
      <c r="AG265" s="6">
        <f>$O$265*$AA$265</f>
        <v>22608.212328786954</v>
      </c>
    </row>
    <row r="266" spans="1:33" ht="11.25" customHeight="1" x14ac:dyDescent="0.25">
      <c r="A266" s="4" t="s">
        <v>30</v>
      </c>
      <c r="B266" s="4" t="s">
        <v>35</v>
      </c>
      <c r="C266" s="4" t="s">
        <v>44</v>
      </c>
      <c r="D266" s="4" t="s">
        <v>45</v>
      </c>
      <c r="E266" s="4" t="s">
        <v>25</v>
      </c>
      <c r="F266" s="4" t="s">
        <v>25</v>
      </c>
      <c r="G266" s="4" t="s">
        <v>25</v>
      </c>
      <c r="H266" s="4" t="s">
        <v>38</v>
      </c>
      <c r="I266" s="5">
        <v>44228</v>
      </c>
      <c r="J266" s="6">
        <v>573</v>
      </c>
      <c r="K266" s="6">
        <v>573</v>
      </c>
      <c r="L266" s="6">
        <v>69.676000000000002</v>
      </c>
      <c r="M266" s="6">
        <v>69.676000000000002</v>
      </c>
      <c r="N266" s="6">
        <v>69.676000000000002</v>
      </c>
      <c r="O266" s="6">
        <v>69.676000000000002</v>
      </c>
      <c r="P266" s="6">
        <v>0</v>
      </c>
      <c r="Q266" s="4" t="s">
        <v>26</v>
      </c>
      <c r="R266" s="4">
        <v>0</v>
      </c>
      <c r="S266" s="6">
        <v>29</v>
      </c>
      <c r="T266" s="6">
        <v>30</v>
      </c>
      <c r="U266" s="6">
        <v>67</v>
      </c>
      <c r="V266" s="6">
        <f>IF(ISERROR(VLOOKUP($S$266,'TAR FIN'!$A$1:$O$95,15,0)),0,VLOOKUP($S$266,'TAR FIN'!$A$1:$O$95,15,0))</f>
        <v>28.57</v>
      </c>
      <c r="W266" s="6">
        <f>IF(ISERROR(VLOOKUP($T$266,'TAR FIN'!$A$1:$O$95,15,0)),0,VLOOKUP($T$266,'TAR FIN'!$A$1:$O$95,15,0))</f>
        <v>149.63</v>
      </c>
      <c r="X266" s="6">
        <f>IF(ISERROR(VLOOKUP($U$266,'TAR FIN'!$A$1:$O$95,15,0)),0,VLOOKUP($U$266,'TAR FIN'!$A$1:$O$95,15,0))</f>
        <v>230.03</v>
      </c>
      <c r="Y266" s="6">
        <f ca="1">('TUSD BE'!$AM$11+'TUSD BF'!$AM$11+'TUSD CVA'!$AM$11)*1</f>
        <v>31.93064187172984</v>
      </c>
      <c r="Z266" s="6">
        <f ca="1">('TUSD BE'!$AM$12+'TUSD BF'!$AM$12+'TUSD CVA'!$AM$12)*1</f>
        <v>168.51338132937991</v>
      </c>
      <c r="AA266" s="6">
        <f>('TE BE'!$AA$8+'TE BF'!$AA$8+'TE CVA'!$AA$8)*1</f>
        <v>282.91739971702214</v>
      </c>
      <c r="AB266" s="6">
        <f>$K$266*$V$266</f>
        <v>16370.61</v>
      </c>
      <c r="AC266" s="6">
        <f>$M$266*$W$266</f>
        <v>10425.61988</v>
      </c>
      <c r="AD266" s="6">
        <f>$O$266*$X$266</f>
        <v>16027.57028</v>
      </c>
      <c r="AE266" s="6">
        <f ca="1">$K$266*$Y$266</f>
        <v>18296.257792501197</v>
      </c>
      <c r="AF266" s="6">
        <f ca="1">$M$266*$Z$266</f>
        <v>11741.338357505874</v>
      </c>
      <c r="AG266" s="6">
        <f>$O$266*$AA$266</f>
        <v>19712.552742683234</v>
      </c>
    </row>
    <row r="267" spans="1:33" ht="11.25" customHeight="1" x14ac:dyDescent="0.25">
      <c r="A267" s="4" t="s">
        <v>21</v>
      </c>
      <c r="B267" s="4" t="s">
        <v>35</v>
      </c>
      <c r="C267" s="4" t="s">
        <v>44</v>
      </c>
      <c r="D267" s="4" t="s">
        <v>45</v>
      </c>
      <c r="E267" s="4" t="s">
        <v>25</v>
      </c>
      <c r="F267" s="4" t="s">
        <v>25</v>
      </c>
      <c r="G267" s="4" t="s">
        <v>25</v>
      </c>
      <c r="H267" s="4" t="s">
        <v>38</v>
      </c>
      <c r="I267" s="5">
        <v>44256</v>
      </c>
      <c r="J267" s="6">
        <v>14616</v>
      </c>
      <c r="K267" s="6">
        <v>14616</v>
      </c>
      <c r="L267" s="6">
        <v>4022.636</v>
      </c>
      <c r="M267" s="6">
        <v>4022.636</v>
      </c>
      <c r="N267" s="6">
        <v>4022.636</v>
      </c>
      <c r="O267" s="6">
        <v>4022.636</v>
      </c>
      <c r="P267" s="6">
        <v>0</v>
      </c>
      <c r="Q267" s="4" t="s">
        <v>26</v>
      </c>
      <c r="R267" s="4">
        <v>0</v>
      </c>
      <c r="S267" s="6">
        <v>29</v>
      </c>
      <c r="T267" s="6">
        <v>30</v>
      </c>
      <c r="U267" s="6">
        <v>67</v>
      </c>
      <c r="V267" s="6">
        <f>IF(ISERROR(VLOOKUP($S$267,'TAR FIN'!$A$1:$O$95,15,0)),0,VLOOKUP($S$267,'TAR FIN'!$A$1:$O$95,15,0))</f>
        <v>28.57</v>
      </c>
      <c r="W267" s="6">
        <f>IF(ISERROR(VLOOKUP($T$267,'TAR FIN'!$A$1:$O$95,15,0)),0,VLOOKUP($T$267,'TAR FIN'!$A$1:$O$95,15,0))</f>
        <v>149.63</v>
      </c>
      <c r="X267" s="6">
        <f>IF(ISERROR(VLOOKUP($U$267,'TAR FIN'!$A$1:$O$95,15,0)),0,VLOOKUP($U$267,'TAR FIN'!$A$1:$O$95,15,0))</f>
        <v>230.03</v>
      </c>
      <c r="Y267" s="6">
        <f ca="1">('TUSD BE'!$AM$11+'TUSD BF'!$AM$11+'TUSD CVA'!$AM$11)*1</f>
        <v>31.93064187172984</v>
      </c>
      <c r="Z267" s="6">
        <f ca="1">('TUSD BE'!$AM$12+'TUSD BF'!$AM$12+'TUSD CVA'!$AM$12)*1</f>
        <v>168.51338132937991</v>
      </c>
      <c r="AA267" s="6">
        <f>('TE BE'!$AA$8+'TE BF'!$AA$8+'TE CVA'!$AA$8)*1</f>
        <v>282.91739971702214</v>
      </c>
      <c r="AB267" s="6">
        <f>$K$267*$V$267</f>
        <v>417579.12</v>
      </c>
      <c r="AC267" s="6">
        <f>$M$267*$W$267</f>
        <v>601907.02468000003</v>
      </c>
      <c r="AD267" s="6">
        <f>$O$267*$X$267</f>
        <v>925326.95907999994</v>
      </c>
      <c r="AE267" s="6">
        <f ca="1">$K$267*$Y$267</f>
        <v>466698.26159720332</v>
      </c>
      <c r="AF267" s="6">
        <f ca="1">$M$267*$Z$267</f>
        <v>677867.99421729147</v>
      </c>
      <c r="AG267" s="6">
        <f>$O$267*$AA$267</f>
        <v>1138073.7171280831</v>
      </c>
    </row>
    <row r="268" spans="1:33" ht="11.25" customHeight="1" x14ac:dyDescent="0.25">
      <c r="A268" s="4" t="s">
        <v>27</v>
      </c>
      <c r="B268" s="4" t="s">
        <v>35</v>
      </c>
      <c r="C268" s="4" t="s">
        <v>44</v>
      </c>
      <c r="D268" s="4" t="s">
        <v>45</v>
      </c>
      <c r="E268" s="4" t="s">
        <v>25</v>
      </c>
      <c r="F268" s="4" t="s">
        <v>25</v>
      </c>
      <c r="G268" s="4" t="s">
        <v>25</v>
      </c>
      <c r="H268" s="4" t="s">
        <v>38</v>
      </c>
      <c r="I268" s="5">
        <v>44256</v>
      </c>
      <c r="J268" s="6">
        <v>-87</v>
      </c>
      <c r="K268" s="6">
        <v>-87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4" t="s">
        <v>26</v>
      </c>
      <c r="R268" s="4">
        <v>0</v>
      </c>
      <c r="S268" s="6">
        <v>29</v>
      </c>
      <c r="T268" s="6">
        <v>0</v>
      </c>
      <c r="U268" s="6">
        <v>0</v>
      </c>
      <c r="V268" s="6">
        <f>IF(ISERROR(VLOOKUP($S$268,'TAR FIN'!$A$1:$O$95,15,0)),0,VLOOKUP($S$268,'TAR FIN'!$A$1:$O$95,15,0))</f>
        <v>28.57</v>
      </c>
      <c r="W268" s="6">
        <f>IF(ISERROR(VLOOKUP($T$268,'TAR FIN'!$A$1:$O$95,15,0)),0,VLOOKUP($T$268,'TAR FIN'!$A$1:$O$95,15,0))</f>
        <v>0</v>
      </c>
      <c r="X268" s="6">
        <f>IF(ISERROR(VLOOKUP($U$268,'TAR FIN'!$A$1:$O$95,15,0)),0,VLOOKUP($U$268,'TAR FIN'!$A$1:$O$95,15,0))</f>
        <v>0</v>
      </c>
      <c r="Y268" s="6">
        <f ca="1">('TUSD BE'!$AM$11+'TUSD BF'!$AM$11+'TUSD CVA'!$AM$11)*1</f>
        <v>31.93064187172984</v>
      </c>
      <c r="Z268" s="6">
        <f ca="1">('TUSD BE'!$AM$12+'TUSD BF'!$AM$12+'TUSD CVA'!$AM$12)*1</f>
        <v>168.51338132937991</v>
      </c>
      <c r="AA268" s="6">
        <f>('TE BE'!$AA$8+'TE BF'!$AA$8+'TE CVA'!$AA$8)*1</f>
        <v>282.91739971702214</v>
      </c>
      <c r="AB268" s="6">
        <f>$K$268*$V$268</f>
        <v>-2485.59</v>
      </c>
      <c r="AC268" s="6">
        <f>$M$268*$W$268</f>
        <v>0</v>
      </c>
      <c r="AD268" s="6">
        <f>$O$268*$X$268</f>
        <v>0</v>
      </c>
      <c r="AE268" s="6">
        <f ca="1">$K$268*$Y$268</f>
        <v>-2777.965842840496</v>
      </c>
      <c r="AF268" s="6">
        <f ca="1">$M$268*$Z$268</f>
        <v>0</v>
      </c>
      <c r="AG268" s="6">
        <f>$O$268*$AA$268</f>
        <v>0</v>
      </c>
    </row>
    <row r="269" spans="1:33" ht="11.25" customHeight="1" x14ac:dyDescent="0.25">
      <c r="A269" s="4" t="s">
        <v>28</v>
      </c>
      <c r="B269" s="4" t="s">
        <v>35</v>
      </c>
      <c r="C269" s="4" t="s">
        <v>44</v>
      </c>
      <c r="D269" s="4" t="s">
        <v>45</v>
      </c>
      <c r="E269" s="4" t="s">
        <v>25</v>
      </c>
      <c r="F269" s="4" t="s">
        <v>25</v>
      </c>
      <c r="G269" s="4" t="s">
        <v>25</v>
      </c>
      <c r="H269" s="4" t="s">
        <v>38</v>
      </c>
      <c r="I269" s="5">
        <v>44256</v>
      </c>
      <c r="J269" s="6">
        <v>1040</v>
      </c>
      <c r="K269" s="6">
        <v>1040</v>
      </c>
      <c r="L269" s="6">
        <v>94.593999999999994</v>
      </c>
      <c r="M269" s="6">
        <v>94.593999999999994</v>
      </c>
      <c r="N269" s="6">
        <v>94.593999999999994</v>
      </c>
      <c r="O269" s="6">
        <v>94.593999999999994</v>
      </c>
      <c r="P269" s="6">
        <v>0</v>
      </c>
      <c r="Q269" s="4" t="s">
        <v>26</v>
      </c>
      <c r="R269" s="4">
        <v>0</v>
      </c>
      <c r="S269" s="6">
        <v>29</v>
      </c>
      <c r="T269" s="6">
        <v>30</v>
      </c>
      <c r="U269" s="6">
        <v>67</v>
      </c>
      <c r="V269" s="6">
        <f>IF(ISERROR(VLOOKUP($S$269,'TAR FIN'!$A$1:$O$95,15,0)),0,VLOOKUP($S$269,'TAR FIN'!$A$1:$O$95,15,0))</f>
        <v>28.57</v>
      </c>
      <c r="W269" s="6">
        <f>IF(ISERROR(VLOOKUP($T$269,'TAR FIN'!$A$1:$O$95,15,0)),0,VLOOKUP($T$269,'TAR FIN'!$A$1:$O$95,15,0))</f>
        <v>149.63</v>
      </c>
      <c r="X269" s="6">
        <f>IF(ISERROR(VLOOKUP($U$269,'TAR FIN'!$A$1:$O$95,15,0)),0,VLOOKUP($U$269,'TAR FIN'!$A$1:$O$95,15,0))</f>
        <v>230.03</v>
      </c>
      <c r="Y269" s="6">
        <f ca="1">('TUSD BE'!$AM$11+'TUSD BF'!$AM$11+'TUSD CVA'!$AM$11)*1</f>
        <v>31.93064187172984</v>
      </c>
      <c r="Z269" s="6">
        <f ca="1">('TUSD BE'!$AM$12+'TUSD BF'!$AM$12+'TUSD CVA'!$AM$12)*1</f>
        <v>168.51338132937991</v>
      </c>
      <c r="AA269" s="6">
        <f>('TE BE'!$AA$8+'TE BF'!$AA$8+'TE CVA'!$AA$8)*1</f>
        <v>282.91739971702214</v>
      </c>
      <c r="AB269" s="6">
        <f>$K$269*$V$269</f>
        <v>29712.799999999999</v>
      </c>
      <c r="AC269" s="6">
        <f>$M$269*$W$269</f>
        <v>14154.100219999998</v>
      </c>
      <c r="AD269" s="6">
        <f>$O$269*$X$269</f>
        <v>21759.45782</v>
      </c>
      <c r="AE269" s="6">
        <f ca="1">$K$269*$Y$269</f>
        <v>33207.867546599031</v>
      </c>
      <c r="AF269" s="6">
        <f ca="1">$M$269*$Z$269</f>
        <v>15940.354793471362</v>
      </c>
      <c r="AG269" s="6">
        <f>$O$269*$AA$269</f>
        <v>26762.288508831989</v>
      </c>
    </row>
    <row r="270" spans="1:33" ht="11.25" customHeight="1" x14ac:dyDescent="0.25">
      <c r="A270" s="4" t="s">
        <v>30</v>
      </c>
      <c r="B270" s="4" t="s">
        <v>35</v>
      </c>
      <c r="C270" s="4" t="s">
        <v>44</v>
      </c>
      <c r="D270" s="4" t="s">
        <v>45</v>
      </c>
      <c r="E270" s="4" t="s">
        <v>25</v>
      </c>
      <c r="F270" s="4" t="s">
        <v>25</v>
      </c>
      <c r="G270" s="4" t="s">
        <v>25</v>
      </c>
      <c r="H270" s="4" t="s">
        <v>38</v>
      </c>
      <c r="I270" s="5">
        <v>44256</v>
      </c>
      <c r="J270" s="6">
        <v>563</v>
      </c>
      <c r="K270" s="6">
        <v>563</v>
      </c>
      <c r="L270" s="6">
        <v>79.548000000000002</v>
      </c>
      <c r="M270" s="6">
        <v>79.548000000000002</v>
      </c>
      <c r="N270" s="6">
        <v>79.548000000000002</v>
      </c>
      <c r="O270" s="6">
        <v>79.548000000000002</v>
      </c>
      <c r="P270" s="6">
        <v>0</v>
      </c>
      <c r="Q270" s="4" t="s">
        <v>26</v>
      </c>
      <c r="R270" s="4">
        <v>0</v>
      </c>
      <c r="S270" s="6">
        <v>29</v>
      </c>
      <c r="T270" s="6">
        <v>30</v>
      </c>
      <c r="U270" s="6">
        <v>67</v>
      </c>
      <c r="V270" s="6">
        <f>IF(ISERROR(VLOOKUP($S$270,'TAR FIN'!$A$1:$O$95,15,0)),0,VLOOKUP($S$270,'TAR FIN'!$A$1:$O$95,15,0))</f>
        <v>28.57</v>
      </c>
      <c r="W270" s="6">
        <f>IF(ISERROR(VLOOKUP($T$270,'TAR FIN'!$A$1:$O$95,15,0)),0,VLOOKUP($T$270,'TAR FIN'!$A$1:$O$95,15,0))</f>
        <v>149.63</v>
      </c>
      <c r="X270" s="6">
        <f>IF(ISERROR(VLOOKUP($U$270,'TAR FIN'!$A$1:$O$95,15,0)),0,VLOOKUP($U$270,'TAR FIN'!$A$1:$O$95,15,0))</f>
        <v>230.03</v>
      </c>
      <c r="Y270" s="6">
        <f ca="1">('TUSD BE'!$AM$11+'TUSD BF'!$AM$11+'TUSD CVA'!$AM$11)*1</f>
        <v>31.93064187172984</v>
      </c>
      <c r="Z270" s="6">
        <f ca="1">('TUSD BE'!$AM$12+'TUSD BF'!$AM$12+'TUSD CVA'!$AM$12)*1</f>
        <v>168.51338132937991</v>
      </c>
      <c r="AA270" s="6">
        <f>('TE BE'!$AA$8+'TE BF'!$AA$8+'TE CVA'!$AA$8)*1</f>
        <v>282.91739971702214</v>
      </c>
      <c r="AB270" s="6">
        <f>$K$270*$V$270</f>
        <v>16084.91</v>
      </c>
      <c r="AC270" s="6">
        <f>$M$270*$W$270</f>
        <v>11902.767239999999</v>
      </c>
      <c r="AD270" s="6">
        <f>$O$270*$X$270</f>
        <v>18298.426439999999</v>
      </c>
      <c r="AE270" s="6">
        <f ca="1">$K$270*$Y$270</f>
        <v>17976.951373783901</v>
      </c>
      <c r="AF270" s="6">
        <f ca="1">$M$270*$Z$270</f>
        <v>13404.902457989514</v>
      </c>
      <c r="AG270" s="6">
        <f>$O$270*$AA$270</f>
        <v>22505.513312689676</v>
      </c>
    </row>
    <row r="271" spans="1:33" ht="11.25" customHeight="1" x14ac:dyDescent="0.25">
      <c r="A271" s="4" t="s">
        <v>21</v>
      </c>
      <c r="B271" s="4" t="s">
        <v>35</v>
      </c>
      <c r="C271" s="4" t="s">
        <v>44</v>
      </c>
      <c r="D271" s="4" t="s">
        <v>45</v>
      </c>
      <c r="E271" s="4" t="s">
        <v>25</v>
      </c>
      <c r="F271" s="4" t="s">
        <v>25</v>
      </c>
      <c r="G271" s="4" t="s">
        <v>25</v>
      </c>
      <c r="H271" s="4" t="s">
        <v>38</v>
      </c>
      <c r="I271" s="5">
        <v>44287</v>
      </c>
      <c r="J271" s="6">
        <v>14813</v>
      </c>
      <c r="K271" s="6">
        <v>14813</v>
      </c>
      <c r="L271" s="6">
        <v>4149.2610000000004</v>
      </c>
      <c r="M271" s="6">
        <v>4149.2610000000004</v>
      </c>
      <c r="N271" s="6">
        <v>4149.2610000000004</v>
      </c>
      <c r="O271" s="6">
        <v>4149.2610000000004</v>
      </c>
      <c r="P271" s="6">
        <v>0</v>
      </c>
      <c r="Q271" s="4" t="s">
        <v>26</v>
      </c>
      <c r="R271" s="4">
        <v>0</v>
      </c>
      <c r="S271" s="6">
        <v>29</v>
      </c>
      <c r="T271" s="6">
        <v>30</v>
      </c>
      <c r="U271" s="6">
        <v>67</v>
      </c>
      <c r="V271" s="6">
        <f>IF(ISERROR(VLOOKUP($S$271,'TAR FIN'!$A$1:$O$95,15,0)),0,VLOOKUP($S$271,'TAR FIN'!$A$1:$O$95,15,0))</f>
        <v>28.57</v>
      </c>
      <c r="W271" s="6">
        <f>IF(ISERROR(VLOOKUP($T$271,'TAR FIN'!$A$1:$O$95,15,0)),0,VLOOKUP($T$271,'TAR FIN'!$A$1:$O$95,15,0))</f>
        <v>149.63</v>
      </c>
      <c r="X271" s="6">
        <f>IF(ISERROR(VLOOKUP($U$271,'TAR FIN'!$A$1:$O$95,15,0)),0,VLOOKUP($U$271,'TAR FIN'!$A$1:$O$95,15,0))</f>
        <v>230.03</v>
      </c>
      <c r="Y271" s="6">
        <f ca="1">('TUSD BE'!$AM$11+'TUSD BF'!$AM$11+'TUSD CVA'!$AM$11)*1</f>
        <v>31.93064187172984</v>
      </c>
      <c r="Z271" s="6">
        <f ca="1">('TUSD BE'!$AM$12+'TUSD BF'!$AM$12+'TUSD CVA'!$AM$12)*1</f>
        <v>168.51338132937991</v>
      </c>
      <c r="AA271" s="6">
        <f>('TE BE'!$AA$8+'TE BF'!$AA$8+'TE CVA'!$AA$8)*1</f>
        <v>282.91739971702214</v>
      </c>
      <c r="AB271" s="6">
        <f>$K$271*$V$271</f>
        <v>423207.41000000003</v>
      </c>
      <c r="AC271" s="6">
        <f>$M$271*$W$271</f>
        <v>620853.92343000008</v>
      </c>
      <c r="AD271" s="6">
        <f>$O$271*$X$271</f>
        <v>954454.50783000013</v>
      </c>
      <c r="AE271" s="6">
        <f ca="1">$K$271*$Y$271</f>
        <v>472988.59804593411</v>
      </c>
      <c r="AF271" s="6">
        <f ca="1">$M$271*$Z$271</f>
        <v>699206.00112812431</v>
      </c>
      <c r="AG271" s="6">
        <f>$O$271*$AA$271</f>
        <v>1173898.1328672511</v>
      </c>
    </row>
    <row r="272" spans="1:33" ht="11.25" customHeight="1" x14ac:dyDescent="0.25">
      <c r="A272" s="4" t="s">
        <v>28</v>
      </c>
      <c r="B272" s="4" t="s">
        <v>35</v>
      </c>
      <c r="C272" s="4" t="s">
        <v>44</v>
      </c>
      <c r="D272" s="4" t="s">
        <v>45</v>
      </c>
      <c r="E272" s="4" t="s">
        <v>25</v>
      </c>
      <c r="F272" s="4" t="s">
        <v>25</v>
      </c>
      <c r="G272" s="4" t="s">
        <v>25</v>
      </c>
      <c r="H272" s="4" t="s">
        <v>38</v>
      </c>
      <c r="I272" s="5">
        <v>44287</v>
      </c>
      <c r="J272" s="6">
        <v>1009</v>
      </c>
      <c r="K272" s="6">
        <v>1009</v>
      </c>
      <c r="L272" s="6">
        <v>94.111000000000004</v>
      </c>
      <c r="M272" s="6">
        <v>94.111000000000004</v>
      </c>
      <c r="N272" s="6">
        <v>94.111000000000004</v>
      </c>
      <c r="O272" s="6">
        <v>94.111000000000004</v>
      </c>
      <c r="P272" s="6">
        <v>0</v>
      </c>
      <c r="Q272" s="4" t="s">
        <v>26</v>
      </c>
      <c r="R272" s="4">
        <v>0</v>
      </c>
      <c r="S272" s="6">
        <v>29</v>
      </c>
      <c r="T272" s="6">
        <v>30</v>
      </c>
      <c r="U272" s="6">
        <v>67</v>
      </c>
      <c r="V272" s="6">
        <f>IF(ISERROR(VLOOKUP($S$272,'TAR FIN'!$A$1:$O$95,15,0)),0,VLOOKUP($S$272,'TAR FIN'!$A$1:$O$95,15,0))</f>
        <v>28.57</v>
      </c>
      <c r="W272" s="6">
        <f>IF(ISERROR(VLOOKUP($T$272,'TAR FIN'!$A$1:$O$95,15,0)),0,VLOOKUP($T$272,'TAR FIN'!$A$1:$O$95,15,0))</f>
        <v>149.63</v>
      </c>
      <c r="X272" s="6">
        <f>IF(ISERROR(VLOOKUP($U$272,'TAR FIN'!$A$1:$O$95,15,0)),0,VLOOKUP($U$272,'TAR FIN'!$A$1:$O$95,15,0))</f>
        <v>230.03</v>
      </c>
      <c r="Y272" s="6">
        <f ca="1">('TUSD BE'!$AM$11+'TUSD BF'!$AM$11+'TUSD CVA'!$AM$11)*1</f>
        <v>31.93064187172984</v>
      </c>
      <c r="Z272" s="6">
        <f ca="1">('TUSD BE'!$AM$12+'TUSD BF'!$AM$12+'TUSD CVA'!$AM$12)*1</f>
        <v>168.51338132937991</v>
      </c>
      <c r="AA272" s="6">
        <f>('TE BE'!$AA$8+'TE BF'!$AA$8+'TE CVA'!$AA$8)*1</f>
        <v>282.91739971702214</v>
      </c>
      <c r="AB272" s="6">
        <f>$K$272*$V$272</f>
        <v>28827.13</v>
      </c>
      <c r="AC272" s="6">
        <f>$M$272*$W$272</f>
        <v>14081.82893</v>
      </c>
      <c r="AD272" s="6">
        <f>$O$272*$X$272</f>
        <v>21648.353330000002</v>
      </c>
      <c r="AE272" s="6">
        <f ca="1">$K$272*$Y$272</f>
        <v>32218.017648575409</v>
      </c>
      <c r="AF272" s="6">
        <f ca="1">$M$272*$Z$272</f>
        <v>15858.962830289274</v>
      </c>
      <c r="AG272" s="6">
        <f>$O$272*$AA$272</f>
        <v>26625.63940476867</v>
      </c>
    </row>
    <row r="273" spans="1:33" ht="11.25" customHeight="1" x14ac:dyDescent="0.25">
      <c r="A273" s="4" t="s">
        <v>30</v>
      </c>
      <c r="B273" s="4" t="s">
        <v>35</v>
      </c>
      <c r="C273" s="4" t="s">
        <v>44</v>
      </c>
      <c r="D273" s="4" t="s">
        <v>45</v>
      </c>
      <c r="E273" s="4" t="s">
        <v>25</v>
      </c>
      <c r="F273" s="4" t="s">
        <v>25</v>
      </c>
      <c r="G273" s="4" t="s">
        <v>25</v>
      </c>
      <c r="H273" s="4" t="s">
        <v>38</v>
      </c>
      <c r="I273" s="5">
        <v>44287</v>
      </c>
      <c r="J273" s="6">
        <v>553</v>
      </c>
      <c r="K273" s="6">
        <v>553</v>
      </c>
      <c r="L273" s="6">
        <v>88.849000000000004</v>
      </c>
      <c r="M273" s="6">
        <v>88.849000000000004</v>
      </c>
      <c r="N273" s="6">
        <v>88.849000000000004</v>
      </c>
      <c r="O273" s="6">
        <v>88.849000000000004</v>
      </c>
      <c r="P273" s="6">
        <v>0</v>
      </c>
      <c r="Q273" s="4" t="s">
        <v>26</v>
      </c>
      <c r="R273" s="4">
        <v>0</v>
      </c>
      <c r="S273" s="6">
        <v>29</v>
      </c>
      <c r="T273" s="6">
        <v>30</v>
      </c>
      <c r="U273" s="6">
        <v>67</v>
      </c>
      <c r="V273" s="6">
        <f>IF(ISERROR(VLOOKUP($S$273,'TAR FIN'!$A$1:$O$95,15,0)),0,VLOOKUP($S$273,'TAR FIN'!$A$1:$O$95,15,0))</f>
        <v>28.57</v>
      </c>
      <c r="W273" s="6">
        <f>IF(ISERROR(VLOOKUP($T$273,'TAR FIN'!$A$1:$O$95,15,0)),0,VLOOKUP($T$273,'TAR FIN'!$A$1:$O$95,15,0))</f>
        <v>149.63</v>
      </c>
      <c r="X273" s="6">
        <f>IF(ISERROR(VLOOKUP($U$273,'TAR FIN'!$A$1:$O$95,15,0)),0,VLOOKUP($U$273,'TAR FIN'!$A$1:$O$95,15,0))</f>
        <v>230.03</v>
      </c>
      <c r="Y273" s="6">
        <f ca="1">('TUSD BE'!$AM$11+'TUSD BF'!$AM$11+'TUSD CVA'!$AM$11)*1</f>
        <v>31.93064187172984</v>
      </c>
      <c r="Z273" s="6">
        <f ca="1">('TUSD BE'!$AM$12+'TUSD BF'!$AM$12+'TUSD CVA'!$AM$12)*1</f>
        <v>168.51338132937991</v>
      </c>
      <c r="AA273" s="6">
        <f>('TE BE'!$AA$8+'TE BF'!$AA$8+'TE CVA'!$AA$8)*1</f>
        <v>282.91739971702214</v>
      </c>
      <c r="AB273" s="6">
        <f>$K$273*$V$273</f>
        <v>15799.210000000001</v>
      </c>
      <c r="AC273" s="6">
        <f>$M$273*$W$273</f>
        <v>13294.47587</v>
      </c>
      <c r="AD273" s="6">
        <f>$O$273*$X$273</f>
        <v>20437.93547</v>
      </c>
      <c r="AE273" s="6">
        <f ca="1">$K$273*$Y$273</f>
        <v>17657.6449550666</v>
      </c>
      <c r="AF273" s="6">
        <f ca="1">$M$273*$Z$273</f>
        <v>14972.245417734077</v>
      </c>
      <c r="AG273" s="6">
        <f>$O$273*$AA$273</f>
        <v>25136.928047457699</v>
      </c>
    </row>
    <row r="274" spans="1:33" ht="11.25" customHeight="1" x14ac:dyDescent="0.25">
      <c r="A274" s="4" t="s">
        <v>21</v>
      </c>
      <c r="B274" s="4" t="s">
        <v>35</v>
      </c>
      <c r="C274" s="4" t="s">
        <v>44</v>
      </c>
      <c r="D274" s="4" t="s">
        <v>45</v>
      </c>
      <c r="E274" s="4" t="s">
        <v>25</v>
      </c>
      <c r="F274" s="4" t="s">
        <v>25</v>
      </c>
      <c r="G274" s="4" t="s">
        <v>25</v>
      </c>
      <c r="H274" s="4" t="s">
        <v>38</v>
      </c>
      <c r="I274" s="5">
        <v>44287</v>
      </c>
      <c r="J274" s="6">
        <v>1408</v>
      </c>
      <c r="K274" s="6">
        <v>1408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4" t="s">
        <v>60</v>
      </c>
      <c r="R274" s="4">
        <v>0</v>
      </c>
      <c r="S274" s="6">
        <v>29</v>
      </c>
      <c r="T274" s="6">
        <v>0</v>
      </c>
      <c r="U274" s="6">
        <v>0</v>
      </c>
      <c r="V274" s="6">
        <f>IF(ISERROR(VLOOKUP($S$274,'TAR FIN'!$A$1:$O$95,15,0)),0,VLOOKUP($S$274,'TAR FIN'!$A$1:$O$95,15,0))</f>
        <v>28.57</v>
      </c>
      <c r="W274" s="6">
        <f>IF(ISERROR(VLOOKUP($T$274,'TAR FIN'!$A$1:$O$95,15,0)),0,VLOOKUP($T$274,'TAR FIN'!$A$1:$O$95,15,0))</f>
        <v>0</v>
      </c>
      <c r="X274" s="6">
        <f>IF(ISERROR(VLOOKUP($U$274,'TAR FIN'!$A$1:$O$95,15,0)),0,VLOOKUP($U$274,'TAR FIN'!$A$1:$O$95,15,0))</f>
        <v>0</v>
      </c>
      <c r="Y274" s="6">
        <f ca="1">('TUSD BE'!$AM$11+'TUSD BF'!$AM$11+'TUSD CVA'!$AM$11)*1</f>
        <v>31.93064187172984</v>
      </c>
      <c r="Z274" s="6">
        <f ca="1">('TUSD BE'!$AM$12+'TUSD BF'!$AM$12+'TUSD CVA'!$AM$12)*1</f>
        <v>168.51338132937991</v>
      </c>
      <c r="AA274" s="6"/>
      <c r="AB274" s="6">
        <f>$K$274*$V$274</f>
        <v>40226.559999999998</v>
      </c>
      <c r="AC274" s="6">
        <f>$M$274*$W$274</f>
        <v>0</v>
      </c>
      <c r="AD274" s="6">
        <f>$O$274*$X$274</f>
        <v>0</v>
      </c>
      <c r="AE274" s="6">
        <f ca="1">$K$274*$Y$274</f>
        <v>44958.343755395617</v>
      </c>
      <c r="AF274" s="6">
        <f ca="1">$M$274*$Z$274</f>
        <v>0</v>
      </c>
      <c r="AG274" s="6">
        <f>$O$274*$AA$274</f>
        <v>0</v>
      </c>
    </row>
    <row r="275" spans="1:33" ht="11.25" customHeight="1" x14ac:dyDescent="0.25">
      <c r="A275" s="4" t="s">
        <v>21</v>
      </c>
      <c r="B275" s="4" t="s">
        <v>35</v>
      </c>
      <c r="C275" s="4" t="s">
        <v>44</v>
      </c>
      <c r="D275" s="4" t="s">
        <v>45</v>
      </c>
      <c r="E275" s="4" t="s">
        <v>25</v>
      </c>
      <c r="F275" s="4" t="s">
        <v>25</v>
      </c>
      <c r="G275" s="4" t="s">
        <v>25</v>
      </c>
      <c r="H275" s="4" t="s">
        <v>38</v>
      </c>
      <c r="I275" s="5">
        <v>44317</v>
      </c>
      <c r="J275" s="6">
        <v>14409</v>
      </c>
      <c r="K275" s="6">
        <v>14409</v>
      </c>
      <c r="L275" s="6">
        <v>4370.509</v>
      </c>
      <c r="M275" s="6">
        <v>4370.509</v>
      </c>
      <c r="N275" s="6">
        <v>4370.509</v>
      </c>
      <c r="O275" s="6">
        <v>4370.509</v>
      </c>
      <c r="P275" s="6">
        <v>0</v>
      </c>
      <c r="Q275" s="4" t="s">
        <v>26</v>
      </c>
      <c r="R275" s="4">
        <v>0</v>
      </c>
      <c r="S275" s="6">
        <v>29</v>
      </c>
      <c r="T275" s="6">
        <v>30</v>
      </c>
      <c r="U275" s="6">
        <v>67</v>
      </c>
      <c r="V275" s="6">
        <f>IF(ISERROR(VLOOKUP($S$275,'TAR FIN'!$A$1:$O$95,15,0)),0,VLOOKUP($S$275,'TAR FIN'!$A$1:$O$95,15,0))</f>
        <v>28.57</v>
      </c>
      <c r="W275" s="6">
        <f>IF(ISERROR(VLOOKUP($T$275,'TAR FIN'!$A$1:$O$95,15,0)),0,VLOOKUP($T$275,'TAR FIN'!$A$1:$O$95,15,0))</f>
        <v>149.63</v>
      </c>
      <c r="X275" s="6">
        <f>IF(ISERROR(VLOOKUP($U$275,'TAR FIN'!$A$1:$O$95,15,0)),0,VLOOKUP($U$275,'TAR FIN'!$A$1:$O$95,15,0))</f>
        <v>230.03</v>
      </c>
      <c r="Y275" s="6">
        <f ca="1">('TUSD BE'!$AM$11+'TUSD BF'!$AM$11+'TUSD CVA'!$AM$11)*1</f>
        <v>31.93064187172984</v>
      </c>
      <c r="Z275" s="6">
        <f ca="1">('TUSD BE'!$AM$12+'TUSD BF'!$AM$12+'TUSD CVA'!$AM$12)*1</f>
        <v>168.51338132937991</v>
      </c>
      <c r="AA275" s="6">
        <f>('TE BE'!$AA$8+'TE BF'!$AA$8+'TE CVA'!$AA$8)*1</f>
        <v>282.91739971702214</v>
      </c>
      <c r="AB275" s="6">
        <f>$K$275*$V$275</f>
        <v>411665.13</v>
      </c>
      <c r="AC275" s="6">
        <f>$M$275*$W$275</f>
        <v>653959.26167000004</v>
      </c>
      <c r="AD275" s="6">
        <f>$O$275*$X$275</f>
        <v>1005348.18527</v>
      </c>
      <c r="AE275" s="6">
        <f ca="1">$K$275*$Y$275</f>
        <v>460088.61872975528</v>
      </c>
      <c r="AF275" s="6">
        <f ca="1">$M$275*$Z$275</f>
        <v>736489.24972048681</v>
      </c>
      <c r="AG275" s="6">
        <f>$O$275*$AA$275</f>
        <v>1236493.0417198427</v>
      </c>
    </row>
    <row r="276" spans="1:33" ht="11.25" customHeight="1" x14ac:dyDescent="0.25">
      <c r="A276" s="4" t="s">
        <v>28</v>
      </c>
      <c r="B276" s="4" t="s">
        <v>35</v>
      </c>
      <c r="C276" s="4" t="s">
        <v>44</v>
      </c>
      <c r="D276" s="4" t="s">
        <v>45</v>
      </c>
      <c r="E276" s="4" t="s">
        <v>25</v>
      </c>
      <c r="F276" s="4" t="s">
        <v>25</v>
      </c>
      <c r="G276" s="4" t="s">
        <v>25</v>
      </c>
      <c r="H276" s="4" t="s">
        <v>38</v>
      </c>
      <c r="I276" s="5">
        <v>44317</v>
      </c>
      <c r="J276" s="6">
        <v>1009</v>
      </c>
      <c r="K276" s="6">
        <v>1009</v>
      </c>
      <c r="L276" s="6">
        <v>109.797</v>
      </c>
      <c r="M276" s="6">
        <v>109.797</v>
      </c>
      <c r="N276" s="6">
        <v>109.797</v>
      </c>
      <c r="O276" s="6">
        <v>109.797</v>
      </c>
      <c r="P276" s="6">
        <v>0</v>
      </c>
      <c r="Q276" s="4" t="s">
        <v>26</v>
      </c>
      <c r="R276" s="4">
        <v>0</v>
      </c>
      <c r="S276" s="6">
        <v>29</v>
      </c>
      <c r="T276" s="6">
        <v>30</v>
      </c>
      <c r="U276" s="6">
        <v>67</v>
      </c>
      <c r="V276" s="6">
        <f>IF(ISERROR(VLOOKUP($S$276,'TAR FIN'!$A$1:$O$95,15,0)),0,VLOOKUP($S$276,'TAR FIN'!$A$1:$O$95,15,0))</f>
        <v>28.57</v>
      </c>
      <c r="W276" s="6">
        <f>IF(ISERROR(VLOOKUP($T$276,'TAR FIN'!$A$1:$O$95,15,0)),0,VLOOKUP($T$276,'TAR FIN'!$A$1:$O$95,15,0))</f>
        <v>149.63</v>
      </c>
      <c r="X276" s="6">
        <f>IF(ISERROR(VLOOKUP($U$276,'TAR FIN'!$A$1:$O$95,15,0)),0,VLOOKUP($U$276,'TAR FIN'!$A$1:$O$95,15,0))</f>
        <v>230.03</v>
      </c>
      <c r="Y276" s="6">
        <f ca="1">('TUSD BE'!$AM$11+'TUSD BF'!$AM$11+'TUSD CVA'!$AM$11)*1</f>
        <v>31.93064187172984</v>
      </c>
      <c r="Z276" s="6">
        <f ca="1">('TUSD BE'!$AM$12+'TUSD BF'!$AM$12+'TUSD CVA'!$AM$12)*1</f>
        <v>168.51338132937991</v>
      </c>
      <c r="AA276" s="6">
        <f>('TE BE'!$AA$8+'TE BF'!$AA$8+'TE CVA'!$AA$8)*1</f>
        <v>282.91739971702214</v>
      </c>
      <c r="AB276" s="6">
        <f>$K$276*$V$276</f>
        <v>28827.13</v>
      </c>
      <c r="AC276" s="6">
        <f>$M$276*$W$276</f>
        <v>16428.92511</v>
      </c>
      <c r="AD276" s="6">
        <f>$O$276*$X$276</f>
        <v>25256.603909999998</v>
      </c>
      <c r="AE276" s="6">
        <f ca="1">$K$276*$Y$276</f>
        <v>32218.017648575409</v>
      </c>
      <c r="AF276" s="6">
        <f ca="1">$M$276*$Z$276</f>
        <v>18502.263729821927</v>
      </c>
      <c r="AG276" s="6">
        <f>$O$276*$AA$276</f>
        <v>31063.481736729878</v>
      </c>
    </row>
    <row r="277" spans="1:33" ht="11.25" customHeight="1" x14ac:dyDescent="0.25">
      <c r="A277" s="4" t="s">
        <v>30</v>
      </c>
      <c r="B277" s="4" t="s">
        <v>35</v>
      </c>
      <c r="C277" s="4" t="s">
        <v>44</v>
      </c>
      <c r="D277" s="4" t="s">
        <v>45</v>
      </c>
      <c r="E277" s="4" t="s">
        <v>25</v>
      </c>
      <c r="F277" s="4" t="s">
        <v>25</v>
      </c>
      <c r="G277" s="4" t="s">
        <v>25</v>
      </c>
      <c r="H277" s="4" t="s">
        <v>38</v>
      </c>
      <c r="I277" s="5">
        <v>44317</v>
      </c>
      <c r="J277" s="6">
        <v>562</v>
      </c>
      <c r="K277" s="6">
        <v>562</v>
      </c>
      <c r="L277" s="6">
        <v>98.25</v>
      </c>
      <c r="M277" s="6">
        <v>98.25</v>
      </c>
      <c r="N277" s="6">
        <v>98.25</v>
      </c>
      <c r="O277" s="6">
        <v>98.25</v>
      </c>
      <c r="P277" s="6">
        <v>0</v>
      </c>
      <c r="Q277" s="4" t="s">
        <v>26</v>
      </c>
      <c r="R277" s="4">
        <v>0</v>
      </c>
      <c r="S277" s="6">
        <v>29</v>
      </c>
      <c r="T277" s="6">
        <v>30</v>
      </c>
      <c r="U277" s="6">
        <v>67</v>
      </c>
      <c r="V277" s="6">
        <f>IF(ISERROR(VLOOKUP($S$277,'TAR FIN'!$A$1:$O$95,15,0)),0,VLOOKUP($S$277,'TAR FIN'!$A$1:$O$95,15,0))</f>
        <v>28.57</v>
      </c>
      <c r="W277" s="6">
        <f>IF(ISERROR(VLOOKUP($T$277,'TAR FIN'!$A$1:$O$95,15,0)),0,VLOOKUP($T$277,'TAR FIN'!$A$1:$O$95,15,0))</f>
        <v>149.63</v>
      </c>
      <c r="X277" s="6">
        <f>IF(ISERROR(VLOOKUP($U$277,'TAR FIN'!$A$1:$O$95,15,0)),0,VLOOKUP($U$277,'TAR FIN'!$A$1:$O$95,15,0))</f>
        <v>230.03</v>
      </c>
      <c r="Y277" s="6">
        <f ca="1">('TUSD BE'!$AM$11+'TUSD BF'!$AM$11+'TUSD CVA'!$AM$11)*1</f>
        <v>31.93064187172984</v>
      </c>
      <c r="Z277" s="6">
        <f ca="1">('TUSD BE'!$AM$12+'TUSD BF'!$AM$12+'TUSD CVA'!$AM$12)*1</f>
        <v>168.51338132937991</v>
      </c>
      <c r="AA277" s="6">
        <f>('TE BE'!$AA$8+'TE BF'!$AA$8+'TE CVA'!$AA$8)*1</f>
        <v>282.91739971702214</v>
      </c>
      <c r="AB277" s="6">
        <f>$K$277*$V$277</f>
        <v>16056.34</v>
      </c>
      <c r="AC277" s="6">
        <f>$M$277*$W$277</f>
        <v>14701.147499999999</v>
      </c>
      <c r="AD277" s="6">
        <f>$O$277*$X$277</f>
        <v>22600.447499999998</v>
      </c>
      <c r="AE277" s="6">
        <f ca="1">$K$277*$Y$277</f>
        <v>17945.020731912169</v>
      </c>
      <c r="AF277" s="6">
        <f ca="1">$M$277*$Z$277</f>
        <v>16556.439715611577</v>
      </c>
      <c r="AG277" s="6">
        <f>$O$277*$AA$277</f>
        <v>27796.634522197426</v>
      </c>
    </row>
    <row r="278" spans="1:33" ht="11.25" customHeight="1" x14ac:dyDescent="0.25">
      <c r="A278" s="4" t="s">
        <v>21</v>
      </c>
      <c r="B278" s="4" t="s">
        <v>35</v>
      </c>
      <c r="C278" s="4" t="s">
        <v>44</v>
      </c>
      <c r="D278" s="4" t="s">
        <v>45</v>
      </c>
      <c r="E278" s="4" t="s">
        <v>25</v>
      </c>
      <c r="F278" s="4" t="s">
        <v>25</v>
      </c>
      <c r="G278" s="4" t="s">
        <v>25</v>
      </c>
      <c r="H278" s="4" t="s">
        <v>38</v>
      </c>
      <c r="I278" s="5">
        <v>44317</v>
      </c>
      <c r="J278" s="6">
        <v>1400</v>
      </c>
      <c r="K278" s="6">
        <v>1400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4" t="s">
        <v>60</v>
      </c>
      <c r="R278" s="4">
        <v>0</v>
      </c>
      <c r="S278" s="6">
        <v>29</v>
      </c>
      <c r="T278" s="6">
        <v>0</v>
      </c>
      <c r="U278" s="6">
        <v>0</v>
      </c>
      <c r="V278" s="6">
        <f>IF(ISERROR(VLOOKUP($S$278,'TAR FIN'!$A$1:$O$95,15,0)),0,VLOOKUP($S$278,'TAR FIN'!$A$1:$O$95,15,0))</f>
        <v>28.57</v>
      </c>
      <c r="W278" s="6">
        <f>IF(ISERROR(VLOOKUP($T$278,'TAR FIN'!$A$1:$O$95,15,0)),0,VLOOKUP($T$278,'TAR FIN'!$A$1:$O$95,15,0))</f>
        <v>0</v>
      </c>
      <c r="X278" s="6">
        <f>IF(ISERROR(VLOOKUP($U$278,'TAR FIN'!$A$1:$O$95,15,0)),0,VLOOKUP($U$278,'TAR FIN'!$A$1:$O$95,15,0))</f>
        <v>0</v>
      </c>
      <c r="Y278" s="6">
        <f ca="1">('TUSD BE'!$AM$11+'TUSD BF'!$AM$11+'TUSD CVA'!$AM$11)*1</f>
        <v>31.93064187172984</v>
      </c>
      <c r="Z278" s="6">
        <f ca="1">('TUSD BE'!$AM$12+'TUSD BF'!$AM$12+'TUSD CVA'!$AM$12)*1</f>
        <v>168.51338132937991</v>
      </c>
      <c r="AA278" s="6"/>
      <c r="AB278" s="6">
        <f>$K$278*$V$278</f>
        <v>39998</v>
      </c>
      <c r="AC278" s="6">
        <f>$M$278*$W$278</f>
        <v>0</v>
      </c>
      <c r="AD278" s="6">
        <f>$O$278*$X$278</f>
        <v>0</v>
      </c>
      <c r="AE278" s="6">
        <f ca="1">$K$278*$Y$278</f>
        <v>44702.898620421773</v>
      </c>
      <c r="AF278" s="6">
        <f ca="1">$M$278*$Z$278</f>
        <v>0</v>
      </c>
      <c r="AG278" s="6">
        <f>$O$278*$AA$278</f>
        <v>0</v>
      </c>
    </row>
    <row r="279" spans="1:33" ht="11.25" customHeight="1" x14ac:dyDescent="0.25">
      <c r="A279" s="4" t="s">
        <v>21</v>
      </c>
      <c r="B279" s="4" t="s">
        <v>35</v>
      </c>
      <c r="C279" s="4" t="s">
        <v>44</v>
      </c>
      <c r="D279" s="4" t="s">
        <v>45</v>
      </c>
      <c r="E279" s="4" t="s">
        <v>25</v>
      </c>
      <c r="F279" s="4" t="s">
        <v>25</v>
      </c>
      <c r="G279" s="4" t="s">
        <v>25</v>
      </c>
      <c r="H279" s="4" t="s">
        <v>38</v>
      </c>
      <c r="I279" s="5">
        <v>44348</v>
      </c>
      <c r="J279" s="6">
        <v>14380</v>
      </c>
      <c r="K279" s="6">
        <v>14380</v>
      </c>
      <c r="L279" s="6">
        <v>4221.6750000000002</v>
      </c>
      <c r="M279" s="6">
        <v>4221.6750000000002</v>
      </c>
      <c r="N279" s="6">
        <v>4221.6750000000002</v>
      </c>
      <c r="O279" s="6">
        <v>4221.6750000000002</v>
      </c>
      <c r="P279" s="6">
        <v>0</v>
      </c>
      <c r="Q279" s="4" t="s">
        <v>26</v>
      </c>
      <c r="R279" s="4">
        <v>0</v>
      </c>
      <c r="S279" s="6">
        <v>29</v>
      </c>
      <c r="T279" s="6">
        <v>30</v>
      </c>
      <c r="U279" s="6">
        <v>67</v>
      </c>
      <c r="V279" s="6">
        <f>IF(ISERROR(VLOOKUP($S$279,'TAR FIN'!$A$1:$O$95,15,0)),0,VLOOKUP($S$279,'TAR FIN'!$A$1:$O$95,15,0))</f>
        <v>28.57</v>
      </c>
      <c r="W279" s="6">
        <f>IF(ISERROR(VLOOKUP($T$279,'TAR FIN'!$A$1:$O$95,15,0)),0,VLOOKUP($T$279,'TAR FIN'!$A$1:$O$95,15,0))</f>
        <v>149.63</v>
      </c>
      <c r="X279" s="6">
        <f>IF(ISERROR(VLOOKUP($U$279,'TAR FIN'!$A$1:$O$95,15,0)),0,VLOOKUP($U$279,'TAR FIN'!$A$1:$O$95,15,0))</f>
        <v>230.03</v>
      </c>
      <c r="Y279" s="6">
        <f ca="1">('TUSD BE'!$AM$11+'TUSD BF'!$AM$11+'TUSD CVA'!$AM$11)*1</f>
        <v>31.93064187172984</v>
      </c>
      <c r="Z279" s="6">
        <f ca="1">('TUSD BE'!$AM$12+'TUSD BF'!$AM$12+'TUSD CVA'!$AM$12)*1</f>
        <v>168.51338132937991</v>
      </c>
      <c r="AA279" s="6">
        <f>('TE BE'!$AA$8+'TE BF'!$AA$8+'TE CVA'!$AA$8)*1</f>
        <v>282.91739971702214</v>
      </c>
      <c r="AB279" s="6">
        <f>$K$279*$V$279</f>
        <v>410836.6</v>
      </c>
      <c r="AC279" s="6">
        <f>$M$279*$W$279</f>
        <v>631689.23025000002</v>
      </c>
      <c r="AD279" s="6">
        <f>$O$279*$X$279</f>
        <v>971111.90025000006</v>
      </c>
      <c r="AE279" s="6">
        <f ca="1">$K$279*$Y$279</f>
        <v>459162.6301154751</v>
      </c>
      <c r="AF279" s="6">
        <f ca="1">$M$279*$Z$279</f>
        <v>711408.72912370996</v>
      </c>
      <c r="AG279" s="6">
        <f>$O$279*$AA$279</f>
        <v>1194385.3134503595</v>
      </c>
    </row>
    <row r="280" spans="1:33" ht="11.25" customHeight="1" x14ac:dyDescent="0.25">
      <c r="A280" s="4" t="s">
        <v>27</v>
      </c>
      <c r="B280" s="4" t="s">
        <v>35</v>
      </c>
      <c r="C280" s="4" t="s">
        <v>44</v>
      </c>
      <c r="D280" s="4" t="s">
        <v>45</v>
      </c>
      <c r="E280" s="4" t="s">
        <v>25</v>
      </c>
      <c r="F280" s="4" t="s">
        <v>25</v>
      </c>
      <c r="G280" s="4" t="s">
        <v>25</v>
      </c>
      <c r="H280" s="4" t="s">
        <v>38</v>
      </c>
      <c r="I280" s="5">
        <v>44348</v>
      </c>
      <c r="J280" s="6">
        <v>11</v>
      </c>
      <c r="K280" s="6">
        <v>11</v>
      </c>
      <c r="L280" s="6">
        <v>16.648</v>
      </c>
      <c r="M280" s="6">
        <v>16.648</v>
      </c>
      <c r="N280" s="6">
        <v>16.648</v>
      </c>
      <c r="O280" s="6">
        <v>16.648</v>
      </c>
      <c r="P280" s="6">
        <v>0</v>
      </c>
      <c r="Q280" s="4" t="s">
        <v>26</v>
      </c>
      <c r="R280" s="4">
        <v>0</v>
      </c>
      <c r="S280" s="6">
        <v>29</v>
      </c>
      <c r="T280" s="6">
        <v>30</v>
      </c>
      <c r="U280" s="6">
        <v>67</v>
      </c>
      <c r="V280" s="6">
        <f>IF(ISERROR(VLOOKUP($S$280,'TAR FIN'!$A$1:$O$95,15,0)),0,VLOOKUP($S$280,'TAR FIN'!$A$1:$O$95,15,0))</f>
        <v>28.57</v>
      </c>
      <c r="W280" s="6">
        <f>IF(ISERROR(VLOOKUP($T$280,'TAR FIN'!$A$1:$O$95,15,0)),0,VLOOKUP($T$280,'TAR FIN'!$A$1:$O$95,15,0))</f>
        <v>149.63</v>
      </c>
      <c r="X280" s="6">
        <f>IF(ISERROR(VLOOKUP($U$280,'TAR FIN'!$A$1:$O$95,15,0)),0,VLOOKUP($U$280,'TAR FIN'!$A$1:$O$95,15,0))</f>
        <v>230.03</v>
      </c>
      <c r="Y280" s="6">
        <f ca="1">('TUSD BE'!$AM$11+'TUSD BF'!$AM$11+'TUSD CVA'!$AM$11)*1</f>
        <v>31.93064187172984</v>
      </c>
      <c r="Z280" s="6">
        <f ca="1">('TUSD BE'!$AM$12+'TUSD BF'!$AM$12+'TUSD CVA'!$AM$12)*1</f>
        <v>168.51338132937991</v>
      </c>
      <c r="AA280" s="6">
        <f>('TE BE'!$AA$8+'TE BF'!$AA$8+'TE CVA'!$AA$8)*1</f>
        <v>282.91739971702214</v>
      </c>
      <c r="AB280" s="6">
        <f>$K$280*$V$280</f>
        <v>314.27</v>
      </c>
      <c r="AC280" s="6">
        <f>$M$280*$W$280</f>
        <v>2491.0402399999998</v>
      </c>
      <c r="AD280" s="6">
        <f>$O$280*$X$280</f>
        <v>3829.53944</v>
      </c>
      <c r="AE280" s="6">
        <f ca="1">$K$280*$Y$280</f>
        <v>351.23706058902826</v>
      </c>
      <c r="AF280" s="6">
        <f ca="1">$M$280*$Z$280</f>
        <v>2805.4107723715165</v>
      </c>
      <c r="AG280" s="6">
        <f>$O$280*$AA$280</f>
        <v>4710.008870488984</v>
      </c>
    </row>
    <row r="281" spans="1:33" ht="11.25" customHeight="1" x14ac:dyDescent="0.25">
      <c r="A281" s="4" t="s">
        <v>28</v>
      </c>
      <c r="B281" s="4" t="s">
        <v>35</v>
      </c>
      <c r="C281" s="4" t="s">
        <v>44</v>
      </c>
      <c r="D281" s="4" t="s">
        <v>45</v>
      </c>
      <c r="E281" s="4" t="s">
        <v>25</v>
      </c>
      <c r="F281" s="4" t="s">
        <v>25</v>
      </c>
      <c r="G281" s="4" t="s">
        <v>25</v>
      </c>
      <c r="H281" s="4" t="s">
        <v>38</v>
      </c>
      <c r="I281" s="5">
        <v>44348</v>
      </c>
      <c r="J281" s="6">
        <v>1009</v>
      </c>
      <c r="K281" s="6">
        <v>1009</v>
      </c>
      <c r="L281" s="6">
        <v>114.214</v>
      </c>
      <c r="M281" s="6">
        <v>114.214</v>
      </c>
      <c r="N281" s="6">
        <v>114.214</v>
      </c>
      <c r="O281" s="6">
        <v>114.214</v>
      </c>
      <c r="P281" s="6">
        <v>0</v>
      </c>
      <c r="Q281" s="4" t="s">
        <v>26</v>
      </c>
      <c r="R281" s="4">
        <v>0</v>
      </c>
      <c r="S281" s="6">
        <v>29</v>
      </c>
      <c r="T281" s="6">
        <v>30</v>
      </c>
      <c r="U281" s="6">
        <v>67</v>
      </c>
      <c r="V281" s="6">
        <f>IF(ISERROR(VLOOKUP($S$281,'TAR FIN'!$A$1:$O$95,15,0)),0,VLOOKUP($S$281,'TAR FIN'!$A$1:$O$95,15,0))</f>
        <v>28.57</v>
      </c>
      <c r="W281" s="6">
        <f>IF(ISERROR(VLOOKUP($T$281,'TAR FIN'!$A$1:$O$95,15,0)),0,VLOOKUP($T$281,'TAR FIN'!$A$1:$O$95,15,0))</f>
        <v>149.63</v>
      </c>
      <c r="X281" s="6">
        <f>IF(ISERROR(VLOOKUP($U$281,'TAR FIN'!$A$1:$O$95,15,0)),0,VLOOKUP($U$281,'TAR FIN'!$A$1:$O$95,15,0))</f>
        <v>230.03</v>
      </c>
      <c r="Y281" s="6">
        <f ca="1">('TUSD BE'!$AM$11+'TUSD BF'!$AM$11+'TUSD CVA'!$AM$11)*1</f>
        <v>31.93064187172984</v>
      </c>
      <c r="Z281" s="6">
        <f ca="1">('TUSD BE'!$AM$12+'TUSD BF'!$AM$12+'TUSD CVA'!$AM$12)*1</f>
        <v>168.51338132937991</v>
      </c>
      <c r="AA281" s="6">
        <f>('TE BE'!$AA$8+'TE BF'!$AA$8+'TE CVA'!$AA$8)*1</f>
        <v>282.91739971702214</v>
      </c>
      <c r="AB281" s="6">
        <f>$K$281*$V$281</f>
        <v>28827.13</v>
      </c>
      <c r="AC281" s="6">
        <f>$M$281*$W$281</f>
        <v>17089.840819999998</v>
      </c>
      <c r="AD281" s="6">
        <f>$O$281*$X$281</f>
        <v>26272.646420000001</v>
      </c>
      <c r="AE281" s="6">
        <f ca="1">$K$281*$Y$281</f>
        <v>32218.017648575409</v>
      </c>
      <c r="AF281" s="6">
        <f ca="1">$M$281*$Z$281</f>
        <v>19246.587335153796</v>
      </c>
      <c r="AG281" s="6">
        <f>$O$281*$AA$281</f>
        <v>32313.127891279964</v>
      </c>
    </row>
    <row r="282" spans="1:33" ht="11.25" customHeight="1" x14ac:dyDescent="0.25">
      <c r="A282" s="4" t="s">
        <v>30</v>
      </c>
      <c r="B282" s="4" t="s">
        <v>35</v>
      </c>
      <c r="C282" s="4" t="s">
        <v>44</v>
      </c>
      <c r="D282" s="4" t="s">
        <v>45</v>
      </c>
      <c r="E282" s="4" t="s">
        <v>25</v>
      </c>
      <c r="F282" s="4" t="s">
        <v>25</v>
      </c>
      <c r="G282" s="4" t="s">
        <v>25</v>
      </c>
      <c r="H282" s="4" t="s">
        <v>38</v>
      </c>
      <c r="I282" s="5">
        <v>44348</v>
      </c>
      <c r="J282" s="6">
        <v>486</v>
      </c>
      <c r="K282" s="6">
        <v>486</v>
      </c>
      <c r="L282" s="6">
        <v>92.870999999999995</v>
      </c>
      <c r="M282" s="6">
        <v>92.870999999999995</v>
      </c>
      <c r="N282" s="6">
        <v>92.870999999999995</v>
      </c>
      <c r="O282" s="6">
        <v>92.870999999999995</v>
      </c>
      <c r="P282" s="6">
        <v>0</v>
      </c>
      <c r="Q282" s="4" t="s">
        <v>26</v>
      </c>
      <c r="R282" s="4">
        <v>0</v>
      </c>
      <c r="S282" s="6">
        <v>29</v>
      </c>
      <c r="T282" s="6">
        <v>30</v>
      </c>
      <c r="U282" s="6">
        <v>67</v>
      </c>
      <c r="V282" s="6">
        <f>IF(ISERROR(VLOOKUP($S$282,'TAR FIN'!$A$1:$O$95,15,0)),0,VLOOKUP($S$282,'TAR FIN'!$A$1:$O$95,15,0))</f>
        <v>28.57</v>
      </c>
      <c r="W282" s="6">
        <f>IF(ISERROR(VLOOKUP($T$282,'TAR FIN'!$A$1:$O$95,15,0)),0,VLOOKUP($T$282,'TAR FIN'!$A$1:$O$95,15,0))</f>
        <v>149.63</v>
      </c>
      <c r="X282" s="6">
        <f>IF(ISERROR(VLOOKUP($U$282,'TAR FIN'!$A$1:$O$95,15,0)),0,VLOOKUP($U$282,'TAR FIN'!$A$1:$O$95,15,0))</f>
        <v>230.03</v>
      </c>
      <c r="Y282" s="6">
        <f ca="1">('TUSD BE'!$AM$11+'TUSD BF'!$AM$11+'TUSD CVA'!$AM$11)*1</f>
        <v>31.93064187172984</v>
      </c>
      <c r="Z282" s="6">
        <f ca="1">('TUSD BE'!$AM$12+'TUSD BF'!$AM$12+'TUSD CVA'!$AM$12)*1</f>
        <v>168.51338132937991</v>
      </c>
      <c r="AA282" s="6">
        <f>('TE BE'!$AA$8+'TE BF'!$AA$8+'TE CVA'!$AA$8)*1</f>
        <v>282.91739971702214</v>
      </c>
      <c r="AB282" s="6">
        <f>$K$282*$V$282</f>
        <v>13885.02</v>
      </c>
      <c r="AC282" s="6">
        <f>$M$282*$W$282</f>
        <v>13896.287729999998</v>
      </c>
      <c r="AD282" s="6">
        <f>$O$282*$X$282</f>
        <v>21363.116129999999</v>
      </c>
      <c r="AE282" s="6">
        <f ca="1">$K$282*$Y$282</f>
        <v>15518.291949660703</v>
      </c>
      <c r="AF282" s="6">
        <f ca="1">$M$282*$Z$282</f>
        <v>15650.006237440841</v>
      </c>
      <c r="AG282" s="6">
        <f>$O$282*$AA$282</f>
        <v>26274.821829119563</v>
      </c>
    </row>
    <row r="283" spans="1:33" ht="11.25" customHeight="1" x14ac:dyDescent="0.25">
      <c r="A283" s="4" t="s">
        <v>21</v>
      </c>
      <c r="B283" s="4" t="s">
        <v>35</v>
      </c>
      <c r="C283" s="4" t="s">
        <v>44</v>
      </c>
      <c r="D283" s="4" t="s">
        <v>45</v>
      </c>
      <c r="E283" s="4" t="s">
        <v>25</v>
      </c>
      <c r="F283" s="4" t="s">
        <v>25</v>
      </c>
      <c r="G283" s="4" t="s">
        <v>25</v>
      </c>
      <c r="H283" s="4" t="s">
        <v>38</v>
      </c>
      <c r="I283" s="5">
        <v>44378</v>
      </c>
      <c r="J283" s="6">
        <v>14142</v>
      </c>
      <c r="K283" s="6">
        <v>14142</v>
      </c>
      <c r="L283" s="6">
        <v>4285.9189999999999</v>
      </c>
      <c r="M283" s="6">
        <v>4285.9189999999999</v>
      </c>
      <c r="N283" s="6">
        <v>4285.9189999999999</v>
      </c>
      <c r="O283" s="6">
        <v>4285.9189999999999</v>
      </c>
      <c r="P283" s="6">
        <v>0</v>
      </c>
      <c r="Q283" s="4" t="s">
        <v>26</v>
      </c>
      <c r="R283" s="4">
        <v>0</v>
      </c>
      <c r="S283" s="6">
        <v>29</v>
      </c>
      <c r="T283" s="6">
        <v>30</v>
      </c>
      <c r="U283" s="6">
        <v>67</v>
      </c>
      <c r="V283" s="6">
        <f>IF(ISERROR(VLOOKUP($S$283,'TAR FIN'!$A$1:$O$95,15,0)),0,VLOOKUP($S$283,'TAR FIN'!$A$1:$O$95,15,0))</f>
        <v>28.57</v>
      </c>
      <c r="W283" s="6">
        <f>IF(ISERROR(VLOOKUP($T$283,'TAR FIN'!$A$1:$O$95,15,0)),0,VLOOKUP($T$283,'TAR FIN'!$A$1:$O$95,15,0))</f>
        <v>149.63</v>
      </c>
      <c r="X283" s="6">
        <f>IF(ISERROR(VLOOKUP($U$283,'TAR FIN'!$A$1:$O$95,15,0)),0,VLOOKUP($U$283,'TAR FIN'!$A$1:$O$95,15,0))</f>
        <v>230.03</v>
      </c>
      <c r="Y283" s="6">
        <f ca="1">('TUSD BE'!$AM$11+'TUSD BF'!$AM$11+'TUSD CVA'!$AM$11)*1</f>
        <v>31.93064187172984</v>
      </c>
      <c r="Z283" s="6">
        <f ca="1">('TUSD BE'!$AM$12+'TUSD BF'!$AM$12+'TUSD CVA'!$AM$12)*1</f>
        <v>168.51338132937991</v>
      </c>
      <c r="AA283" s="6">
        <f>('TE BE'!$AA$8+'TE BF'!$AA$8+'TE CVA'!$AA$8)*1</f>
        <v>282.91739971702214</v>
      </c>
      <c r="AB283" s="6">
        <f>$K$283*$V$283</f>
        <v>404036.94</v>
      </c>
      <c r="AC283" s="6">
        <f>$M$283*$W$283</f>
        <v>641302.05996999994</v>
      </c>
      <c r="AD283" s="6">
        <f>$O$283*$X$283</f>
        <v>985889.94756999996</v>
      </c>
      <c r="AE283" s="6">
        <f ca="1">$K$283*$Y$283</f>
        <v>451563.13735000341</v>
      </c>
      <c r="AF283" s="6">
        <f ca="1">$M$283*$Z$283</f>
        <v>722234.70279383461</v>
      </c>
      <c r="AG283" s="6">
        <f>$O$283*$AA$283</f>
        <v>1212561.0588777799</v>
      </c>
    </row>
    <row r="284" spans="1:33" ht="11.25" customHeight="1" x14ac:dyDescent="0.25">
      <c r="A284" s="4" t="s">
        <v>27</v>
      </c>
      <c r="B284" s="4" t="s">
        <v>35</v>
      </c>
      <c r="C284" s="4" t="s">
        <v>44</v>
      </c>
      <c r="D284" s="4" t="s">
        <v>45</v>
      </c>
      <c r="E284" s="4" t="s">
        <v>25</v>
      </c>
      <c r="F284" s="4" t="s">
        <v>25</v>
      </c>
      <c r="G284" s="4" t="s">
        <v>25</v>
      </c>
      <c r="H284" s="4" t="s">
        <v>38</v>
      </c>
      <c r="I284" s="5">
        <v>44378</v>
      </c>
      <c r="J284" s="6">
        <v>-2048</v>
      </c>
      <c r="K284" s="6">
        <v>-2048</v>
      </c>
      <c r="L284" s="6">
        <v>-539.31399999999996</v>
      </c>
      <c r="M284" s="6">
        <v>-539.31399999999996</v>
      </c>
      <c r="N284" s="6">
        <v>-539.31399999999996</v>
      </c>
      <c r="O284" s="6">
        <v>-539.31399999999996</v>
      </c>
      <c r="P284" s="6">
        <v>0</v>
      </c>
      <c r="Q284" s="4" t="s">
        <v>26</v>
      </c>
      <c r="R284" s="4">
        <v>0</v>
      </c>
      <c r="S284" s="6">
        <v>29</v>
      </c>
      <c r="T284" s="6">
        <v>30</v>
      </c>
      <c r="U284" s="6">
        <v>67</v>
      </c>
      <c r="V284" s="6">
        <f>IF(ISERROR(VLOOKUP($S$284,'TAR FIN'!$A$1:$O$95,15,0)),0,VLOOKUP($S$284,'TAR FIN'!$A$1:$O$95,15,0))</f>
        <v>28.57</v>
      </c>
      <c r="W284" s="6">
        <f>IF(ISERROR(VLOOKUP($T$284,'TAR FIN'!$A$1:$O$95,15,0)),0,VLOOKUP($T$284,'TAR FIN'!$A$1:$O$95,15,0))</f>
        <v>149.63</v>
      </c>
      <c r="X284" s="6">
        <f>IF(ISERROR(VLOOKUP($U$284,'TAR FIN'!$A$1:$O$95,15,0)),0,VLOOKUP($U$284,'TAR FIN'!$A$1:$O$95,15,0))</f>
        <v>230.03</v>
      </c>
      <c r="Y284" s="6">
        <f ca="1">('TUSD BE'!$AM$11+'TUSD BF'!$AM$11+'TUSD CVA'!$AM$11)*1</f>
        <v>31.93064187172984</v>
      </c>
      <c r="Z284" s="6">
        <f ca="1">('TUSD BE'!$AM$12+'TUSD BF'!$AM$12+'TUSD CVA'!$AM$12)*1</f>
        <v>168.51338132937991</v>
      </c>
      <c r="AA284" s="6">
        <f>('TE BE'!$AA$8+'TE BF'!$AA$8+'TE CVA'!$AA$8)*1</f>
        <v>282.91739971702214</v>
      </c>
      <c r="AB284" s="6">
        <f>$K$284*$V$284</f>
        <v>-58511.360000000001</v>
      </c>
      <c r="AC284" s="6">
        <f>$M$284*$W$284</f>
        <v>-80697.553819999986</v>
      </c>
      <c r="AD284" s="6">
        <f>$O$284*$X$284</f>
        <v>-124058.39941999999</v>
      </c>
      <c r="AE284" s="6">
        <f ca="1">$K$284*$Y$284</f>
        <v>-65393.954553302712</v>
      </c>
      <c r="AF284" s="6">
        <f ca="1">$M$284*$Z$284</f>
        <v>-90881.625738273186</v>
      </c>
      <c r="AG284" s="6">
        <f>$O$284*$AA$284</f>
        <v>-152581.31451098606</v>
      </c>
    </row>
    <row r="285" spans="1:33" ht="11.25" customHeight="1" x14ac:dyDescent="0.25">
      <c r="A285" s="4" t="s">
        <v>28</v>
      </c>
      <c r="B285" s="4" t="s">
        <v>35</v>
      </c>
      <c r="C285" s="4" t="s">
        <v>44</v>
      </c>
      <c r="D285" s="4" t="s">
        <v>45</v>
      </c>
      <c r="E285" s="4" t="s">
        <v>25</v>
      </c>
      <c r="F285" s="4" t="s">
        <v>25</v>
      </c>
      <c r="G285" s="4" t="s">
        <v>25</v>
      </c>
      <c r="H285" s="4" t="s">
        <v>38</v>
      </c>
      <c r="I285" s="5">
        <v>44378</v>
      </c>
      <c r="J285" s="6">
        <v>509</v>
      </c>
      <c r="K285" s="6">
        <v>509</v>
      </c>
      <c r="L285" s="6">
        <v>33.396999999999998</v>
      </c>
      <c r="M285" s="6">
        <v>33.396999999999998</v>
      </c>
      <c r="N285" s="6">
        <v>33.396999999999998</v>
      </c>
      <c r="O285" s="6">
        <v>33.396999999999998</v>
      </c>
      <c r="P285" s="6">
        <v>0</v>
      </c>
      <c r="Q285" s="4" t="s">
        <v>26</v>
      </c>
      <c r="R285" s="4">
        <v>0</v>
      </c>
      <c r="S285" s="6">
        <v>29</v>
      </c>
      <c r="T285" s="6">
        <v>30</v>
      </c>
      <c r="U285" s="6">
        <v>67</v>
      </c>
      <c r="V285" s="6">
        <f>IF(ISERROR(VLOOKUP($S$285,'TAR FIN'!$A$1:$O$95,15,0)),0,VLOOKUP($S$285,'TAR FIN'!$A$1:$O$95,15,0))</f>
        <v>28.57</v>
      </c>
      <c r="W285" s="6">
        <f>IF(ISERROR(VLOOKUP($T$285,'TAR FIN'!$A$1:$O$95,15,0)),0,VLOOKUP($T$285,'TAR FIN'!$A$1:$O$95,15,0))</f>
        <v>149.63</v>
      </c>
      <c r="X285" s="6">
        <f>IF(ISERROR(VLOOKUP($U$285,'TAR FIN'!$A$1:$O$95,15,0)),0,VLOOKUP($U$285,'TAR FIN'!$A$1:$O$95,15,0))</f>
        <v>230.03</v>
      </c>
      <c r="Y285" s="6">
        <f ca="1">('TUSD BE'!$AM$11+'TUSD BF'!$AM$11+'TUSD CVA'!$AM$11)*1</f>
        <v>31.93064187172984</v>
      </c>
      <c r="Z285" s="6">
        <f ca="1">('TUSD BE'!$AM$12+'TUSD BF'!$AM$12+'TUSD CVA'!$AM$12)*1</f>
        <v>168.51338132937991</v>
      </c>
      <c r="AA285" s="6">
        <f>('TE BE'!$AA$8+'TE BF'!$AA$8+'TE CVA'!$AA$8)*1</f>
        <v>282.91739971702214</v>
      </c>
      <c r="AB285" s="6">
        <f>$K$285*$V$285</f>
        <v>14542.130000000001</v>
      </c>
      <c r="AC285" s="6">
        <f>$M$285*$W$285</f>
        <v>4997.1931099999993</v>
      </c>
      <c r="AD285" s="6">
        <f>$O$285*$X$285</f>
        <v>7682.3119099999994</v>
      </c>
      <c r="AE285" s="6">
        <f ca="1">$K$285*$Y$285</f>
        <v>16252.696712710489</v>
      </c>
      <c r="AF285" s="6">
        <f ca="1">$M$285*$Z$285</f>
        <v>5627.8413962573004</v>
      </c>
      <c r="AG285" s="6">
        <f>$O$285*$AA$285</f>
        <v>9448.5923983493885</v>
      </c>
    </row>
    <row r="286" spans="1:33" ht="11.25" customHeight="1" x14ac:dyDescent="0.25">
      <c r="A286" s="4" t="s">
        <v>30</v>
      </c>
      <c r="B286" s="4" t="s">
        <v>35</v>
      </c>
      <c r="C286" s="4" t="s">
        <v>44</v>
      </c>
      <c r="D286" s="4" t="s">
        <v>45</v>
      </c>
      <c r="E286" s="4" t="s">
        <v>25</v>
      </c>
      <c r="F286" s="4" t="s">
        <v>25</v>
      </c>
      <c r="G286" s="4" t="s">
        <v>25</v>
      </c>
      <c r="H286" s="4" t="s">
        <v>38</v>
      </c>
      <c r="I286" s="5">
        <v>44378</v>
      </c>
      <c r="J286" s="6">
        <v>473</v>
      </c>
      <c r="K286" s="6">
        <v>473</v>
      </c>
      <c r="L286" s="6">
        <v>90.506</v>
      </c>
      <c r="M286" s="6">
        <v>90.506</v>
      </c>
      <c r="N286" s="6">
        <v>90.506</v>
      </c>
      <c r="O286" s="6">
        <v>90.506</v>
      </c>
      <c r="P286" s="6">
        <v>0</v>
      </c>
      <c r="Q286" s="4" t="s">
        <v>26</v>
      </c>
      <c r="R286" s="4">
        <v>0</v>
      </c>
      <c r="S286" s="6">
        <v>29</v>
      </c>
      <c r="T286" s="6">
        <v>30</v>
      </c>
      <c r="U286" s="6">
        <v>67</v>
      </c>
      <c r="V286" s="6">
        <f>IF(ISERROR(VLOOKUP($S$286,'TAR FIN'!$A$1:$O$95,15,0)),0,VLOOKUP($S$286,'TAR FIN'!$A$1:$O$95,15,0))</f>
        <v>28.57</v>
      </c>
      <c r="W286" s="6">
        <f>IF(ISERROR(VLOOKUP($T$286,'TAR FIN'!$A$1:$O$95,15,0)),0,VLOOKUP($T$286,'TAR FIN'!$A$1:$O$95,15,0))</f>
        <v>149.63</v>
      </c>
      <c r="X286" s="6">
        <f>IF(ISERROR(VLOOKUP($U$286,'TAR FIN'!$A$1:$O$95,15,0)),0,VLOOKUP($U$286,'TAR FIN'!$A$1:$O$95,15,0))</f>
        <v>230.03</v>
      </c>
      <c r="Y286" s="6">
        <f ca="1">('TUSD BE'!$AM$11+'TUSD BF'!$AM$11+'TUSD CVA'!$AM$11)*1</f>
        <v>31.93064187172984</v>
      </c>
      <c r="Z286" s="6">
        <f ca="1">('TUSD BE'!$AM$12+'TUSD BF'!$AM$12+'TUSD CVA'!$AM$12)*1</f>
        <v>168.51338132937991</v>
      </c>
      <c r="AA286" s="6">
        <f>('TE BE'!$AA$8+'TE BF'!$AA$8+'TE CVA'!$AA$8)*1</f>
        <v>282.91739971702214</v>
      </c>
      <c r="AB286" s="6">
        <f>$K$286*$V$286</f>
        <v>13513.61</v>
      </c>
      <c r="AC286" s="6">
        <f>$M$286*$W$286</f>
        <v>13542.412779999999</v>
      </c>
      <c r="AD286" s="6">
        <f>$O$286*$X$286</f>
        <v>20819.09518</v>
      </c>
      <c r="AE286" s="6">
        <f ca="1">$K$286*$Y$286</f>
        <v>15103.193605328213</v>
      </c>
      <c r="AF286" s="6">
        <f ca="1">$M$286*$Z$286</f>
        <v>15251.472090596859</v>
      </c>
      <c r="AG286" s="6">
        <f>$O$286*$AA$286</f>
        <v>25605.722178788805</v>
      </c>
    </row>
    <row r="287" spans="1:33" ht="11.25" customHeight="1" x14ac:dyDescent="0.25">
      <c r="A287" s="4" t="s">
        <v>21</v>
      </c>
      <c r="B287" s="4" t="s">
        <v>35</v>
      </c>
      <c r="C287" s="4" t="s">
        <v>44</v>
      </c>
      <c r="D287" s="4" t="s">
        <v>45</v>
      </c>
      <c r="E287" s="4" t="s">
        <v>25</v>
      </c>
      <c r="F287" s="4" t="s">
        <v>25</v>
      </c>
      <c r="G287" s="4" t="s">
        <v>25</v>
      </c>
      <c r="H287" s="4" t="s">
        <v>38</v>
      </c>
      <c r="I287" s="5">
        <v>44378</v>
      </c>
      <c r="J287" s="6">
        <v>1400</v>
      </c>
      <c r="K287" s="6">
        <v>1400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4" t="s">
        <v>60</v>
      </c>
      <c r="R287" s="4">
        <v>0</v>
      </c>
      <c r="S287" s="6">
        <v>29</v>
      </c>
      <c r="T287" s="6">
        <v>0</v>
      </c>
      <c r="U287" s="6">
        <v>0</v>
      </c>
      <c r="V287" s="6">
        <f>IF(ISERROR(VLOOKUP($S$287,'TAR FIN'!$A$1:$O$95,15,0)),0,VLOOKUP($S$287,'TAR FIN'!$A$1:$O$95,15,0))</f>
        <v>28.57</v>
      </c>
      <c r="W287" s="6">
        <f>IF(ISERROR(VLOOKUP($T$287,'TAR FIN'!$A$1:$O$95,15,0)),0,VLOOKUP($T$287,'TAR FIN'!$A$1:$O$95,15,0))</f>
        <v>0</v>
      </c>
      <c r="X287" s="6">
        <f>IF(ISERROR(VLOOKUP($U$287,'TAR FIN'!$A$1:$O$95,15,0)),0,VLOOKUP($U$287,'TAR FIN'!$A$1:$O$95,15,0))</f>
        <v>0</v>
      </c>
      <c r="Y287" s="6">
        <f ca="1">('TUSD BE'!$AM$11+'TUSD BF'!$AM$11+'TUSD CVA'!$AM$11)*1</f>
        <v>31.93064187172984</v>
      </c>
      <c r="Z287" s="6">
        <f ca="1">('TUSD BE'!$AM$12+'TUSD BF'!$AM$12+'TUSD CVA'!$AM$12)*1</f>
        <v>168.51338132937991</v>
      </c>
      <c r="AA287" s="6"/>
      <c r="AB287" s="6">
        <f>$K$287*$V$287</f>
        <v>39998</v>
      </c>
      <c r="AC287" s="6">
        <f>$M$287*$W$287</f>
        <v>0</v>
      </c>
      <c r="AD287" s="6">
        <f>$O$287*$X$287</f>
        <v>0</v>
      </c>
      <c r="AE287" s="6">
        <f ca="1">$K$287*$Y$287</f>
        <v>44702.898620421773</v>
      </c>
      <c r="AF287" s="6">
        <f ca="1">$M$287*$Z$287</f>
        <v>0</v>
      </c>
      <c r="AG287" s="6">
        <f>$O$287*$AA$287</f>
        <v>0</v>
      </c>
    </row>
    <row r="288" spans="1:33" ht="11.25" customHeight="1" x14ac:dyDescent="0.25">
      <c r="A288" s="4" t="s">
        <v>21</v>
      </c>
      <c r="B288" s="4" t="s">
        <v>35</v>
      </c>
      <c r="C288" s="4" t="s">
        <v>44</v>
      </c>
      <c r="D288" s="4" t="s">
        <v>45</v>
      </c>
      <c r="E288" s="4" t="s">
        <v>25</v>
      </c>
      <c r="F288" s="4" t="s">
        <v>25</v>
      </c>
      <c r="G288" s="4" t="s">
        <v>25</v>
      </c>
      <c r="H288" s="4" t="s">
        <v>38</v>
      </c>
      <c r="I288" s="5">
        <v>44409</v>
      </c>
      <c r="J288" s="6">
        <v>16922</v>
      </c>
      <c r="K288" s="6">
        <v>16922</v>
      </c>
      <c r="L288" s="6">
        <v>5185.99</v>
      </c>
      <c r="M288" s="6">
        <v>5185.99</v>
      </c>
      <c r="N288" s="6">
        <v>5185.99</v>
      </c>
      <c r="O288" s="6">
        <v>5185.99</v>
      </c>
      <c r="P288" s="6">
        <v>0</v>
      </c>
      <c r="Q288" s="4" t="s">
        <v>26</v>
      </c>
      <c r="R288" s="4">
        <v>0</v>
      </c>
      <c r="S288" s="6">
        <v>29</v>
      </c>
      <c r="T288" s="6">
        <v>30</v>
      </c>
      <c r="U288" s="6">
        <v>67</v>
      </c>
      <c r="V288" s="6">
        <f>IF(ISERROR(VLOOKUP($S$288,'TAR FIN'!$A$1:$O$95,15,0)),0,VLOOKUP($S$288,'TAR FIN'!$A$1:$O$95,15,0))</f>
        <v>28.57</v>
      </c>
      <c r="W288" s="6">
        <f>IF(ISERROR(VLOOKUP($T$288,'TAR FIN'!$A$1:$O$95,15,0)),0,VLOOKUP($T$288,'TAR FIN'!$A$1:$O$95,15,0))</f>
        <v>149.63</v>
      </c>
      <c r="X288" s="6">
        <f>IF(ISERROR(VLOOKUP($U$288,'TAR FIN'!$A$1:$O$95,15,0)),0,VLOOKUP($U$288,'TAR FIN'!$A$1:$O$95,15,0))</f>
        <v>230.03</v>
      </c>
      <c r="Y288" s="6">
        <f ca="1">('TUSD BE'!$AM$11+'TUSD BF'!$AM$11+'TUSD CVA'!$AM$11)*1</f>
        <v>31.93064187172984</v>
      </c>
      <c r="Z288" s="6">
        <f ca="1">('TUSD BE'!$AM$12+'TUSD BF'!$AM$12+'TUSD CVA'!$AM$12)*1</f>
        <v>168.51338132937991</v>
      </c>
      <c r="AA288" s="6">
        <f>('TE BE'!$AA$8+'TE BF'!$AA$8+'TE CVA'!$AA$8)*1</f>
        <v>282.91739971702214</v>
      </c>
      <c r="AB288" s="6">
        <f>$K$288*$V$288</f>
        <v>483461.54</v>
      </c>
      <c r="AC288" s="6">
        <f>$M$288*$W$288</f>
        <v>775979.68369999994</v>
      </c>
      <c r="AD288" s="6">
        <f>$O$288*$X$288</f>
        <v>1192933.2797000001</v>
      </c>
      <c r="AE288" s="6">
        <f ca="1">$K$288*$Y$288</f>
        <v>540330.32175341237</v>
      </c>
      <c r="AF288" s="6">
        <f ca="1">$M$288*$Z$288</f>
        <v>873908.71044035093</v>
      </c>
      <c r="AG288" s="6">
        <f>$O$288*$AA$288</f>
        <v>1467206.8057584795</v>
      </c>
    </row>
    <row r="289" spans="1:33" ht="11.25" customHeight="1" x14ac:dyDescent="0.25">
      <c r="A289" s="4" t="s">
        <v>27</v>
      </c>
      <c r="B289" s="4" t="s">
        <v>35</v>
      </c>
      <c r="C289" s="4" t="s">
        <v>44</v>
      </c>
      <c r="D289" s="4" t="s">
        <v>45</v>
      </c>
      <c r="E289" s="4" t="s">
        <v>25</v>
      </c>
      <c r="F289" s="4" t="s">
        <v>25</v>
      </c>
      <c r="G289" s="4" t="s">
        <v>25</v>
      </c>
      <c r="H289" s="4" t="s">
        <v>38</v>
      </c>
      <c r="I289" s="5">
        <v>44409</v>
      </c>
      <c r="J289" s="6">
        <v>699</v>
      </c>
      <c r="K289" s="6">
        <v>699</v>
      </c>
      <c r="L289" s="6">
        <v>127.797</v>
      </c>
      <c r="M289" s="6">
        <v>127.797</v>
      </c>
      <c r="N289" s="6">
        <v>127.797</v>
      </c>
      <c r="O289" s="6">
        <v>127.797</v>
      </c>
      <c r="P289" s="6">
        <v>0</v>
      </c>
      <c r="Q289" s="4" t="s">
        <v>26</v>
      </c>
      <c r="R289" s="4">
        <v>0</v>
      </c>
      <c r="S289" s="6">
        <v>29</v>
      </c>
      <c r="T289" s="6">
        <v>30</v>
      </c>
      <c r="U289" s="6">
        <v>67</v>
      </c>
      <c r="V289" s="6">
        <f>IF(ISERROR(VLOOKUP($S$289,'TAR FIN'!$A$1:$O$95,15,0)),0,VLOOKUP($S$289,'TAR FIN'!$A$1:$O$95,15,0))</f>
        <v>28.57</v>
      </c>
      <c r="W289" s="6">
        <f>IF(ISERROR(VLOOKUP($T$289,'TAR FIN'!$A$1:$O$95,15,0)),0,VLOOKUP($T$289,'TAR FIN'!$A$1:$O$95,15,0))</f>
        <v>149.63</v>
      </c>
      <c r="X289" s="6">
        <f>IF(ISERROR(VLOOKUP($U$289,'TAR FIN'!$A$1:$O$95,15,0)),0,VLOOKUP($U$289,'TAR FIN'!$A$1:$O$95,15,0))</f>
        <v>230.03</v>
      </c>
      <c r="Y289" s="6">
        <f ca="1">('TUSD BE'!$AM$11+'TUSD BF'!$AM$11+'TUSD CVA'!$AM$11)*1</f>
        <v>31.93064187172984</v>
      </c>
      <c r="Z289" s="6">
        <f ca="1">('TUSD BE'!$AM$12+'TUSD BF'!$AM$12+'TUSD CVA'!$AM$12)*1</f>
        <v>168.51338132937991</v>
      </c>
      <c r="AA289" s="6">
        <f>('TE BE'!$AA$8+'TE BF'!$AA$8+'TE CVA'!$AA$8)*1</f>
        <v>282.91739971702214</v>
      </c>
      <c r="AB289" s="6">
        <f>$K$289*$V$289</f>
        <v>19970.43</v>
      </c>
      <c r="AC289" s="6">
        <f>$M$289*$W$289</f>
        <v>19122.26511</v>
      </c>
      <c r="AD289" s="6">
        <f>$O$289*$X$289</f>
        <v>29397.143909999999</v>
      </c>
      <c r="AE289" s="6">
        <f ca="1">$K$289*$Y$289</f>
        <v>22319.518668339158</v>
      </c>
      <c r="AF289" s="6">
        <f ca="1">$M$289*$Z$289</f>
        <v>21535.504593750764</v>
      </c>
      <c r="AG289" s="6">
        <f>$O$289*$AA$289</f>
        <v>36155.994931636276</v>
      </c>
    </row>
    <row r="290" spans="1:33" ht="11.25" customHeight="1" x14ac:dyDescent="0.25">
      <c r="A290" s="4" t="s">
        <v>28</v>
      </c>
      <c r="B290" s="4" t="s">
        <v>35</v>
      </c>
      <c r="C290" s="4" t="s">
        <v>44</v>
      </c>
      <c r="D290" s="4" t="s">
        <v>45</v>
      </c>
      <c r="E290" s="4" t="s">
        <v>25</v>
      </c>
      <c r="F290" s="4" t="s">
        <v>25</v>
      </c>
      <c r="G290" s="4" t="s">
        <v>25</v>
      </c>
      <c r="H290" s="4" t="s">
        <v>38</v>
      </c>
      <c r="I290" s="5">
        <v>44409</v>
      </c>
      <c r="J290" s="6">
        <v>509</v>
      </c>
      <c r="K290" s="6">
        <v>509</v>
      </c>
      <c r="L290" s="6">
        <v>27.917000000000002</v>
      </c>
      <c r="M290" s="6">
        <v>27.917000000000002</v>
      </c>
      <c r="N290" s="6">
        <v>27.917000000000002</v>
      </c>
      <c r="O290" s="6">
        <v>27.917000000000002</v>
      </c>
      <c r="P290" s="6">
        <v>0</v>
      </c>
      <c r="Q290" s="4" t="s">
        <v>26</v>
      </c>
      <c r="R290" s="4">
        <v>0</v>
      </c>
      <c r="S290" s="6">
        <v>29</v>
      </c>
      <c r="T290" s="6">
        <v>30</v>
      </c>
      <c r="U290" s="6">
        <v>67</v>
      </c>
      <c r="V290" s="6">
        <f>IF(ISERROR(VLOOKUP($S$290,'TAR FIN'!$A$1:$O$95,15,0)),0,VLOOKUP($S$290,'TAR FIN'!$A$1:$O$95,15,0))</f>
        <v>28.57</v>
      </c>
      <c r="W290" s="6">
        <f>IF(ISERROR(VLOOKUP($T$290,'TAR FIN'!$A$1:$O$95,15,0)),0,VLOOKUP($T$290,'TAR FIN'!$A$1:$O$95,15,0))</f>
        <v>149.63</v>
      </c>
      <c r="X290" s="6">
        <f>IF(ISERROR(VLOOKUP($U$290,'TAR FIN'!$A$1:$O$95,15,0)),0,VLOOKUP($U$290,'TAR FIN'!$A$1:$O$95,15,0))</f>
        <v>230.03</v>
      </c>
      <c r="Y290" s="6">
        <f ca="1">('TUSD BE'!$AM$11+'TUSD BF'!$AM$11+'TUSD CVA'!$AM$11)*1</f>
        <v>31.93064187172984</v>
      </c>
      <c r="Z290" s="6">
        <f ca="1">('TUSD BE'!$AM$12+'TUSD BF'!$AM$12+'TUSD CVA'!$AM$12)*1</f>
        <v>168.51338132937991</v>
      </c>
      <c r="AA290" s="6">
        <f>('TE BE'!$AA$8+'TE BF'!$AA$8+'TE CVA'!$AA$8)*1</f>
        <v>282.91739971702214</v>
      </c>
      <c r="AB290" s="6">
        <f>$K$290*$V$290</f>
        <v>14542.130000000001</v>
      </c>
      <c r="AC290" s="6">
        <f>$M$290*$W$290</f>
        <v>4177.2207100000005</v>
      </c>
      <c r="AD290" s="6">
        <f>$O$290*$X$290</f>
        <v>6421.7475100000001</v>
      </c>
      <c r="AE290" s="6">
        <f ca="1">$K$290*$Y$290</f>
        <v>16252.696712710489</v>
      </c>
      <c r="AF290" s="6">
        <f ca="1">$M$290*$Z$290</f>
        <v>4704.3880665722991</v>
      </c>
      <c r="AG290" s="6">
        <f>$O$290*$AA$290</f>
        <v>7898.2050479001073</v>
      </c>
    </row>
    <row r="291" spans="1:33" ht="11.25" customHeight="1" x14ac:dyDescent="0.25">
      <c r="A291" s="4" t="s">
        <v>30</v>
      </c>
      <c r="B291" s="4" t="s">
        <v>35</v>
      </c>
      <c r="C291" s="4" t="s">
        <v>44</v>
      </c>
      <c r="D291" s="4" t="s">
        <v>45</v>
      </c>
      <c r="E291" s="4" t="s">
        <v>25</v>
      </c>
      <c r="F291" s="4" t="s">
        <v>25</v>
      </c>
      <c r="G291" s="4" t="s">
        <v>25</v>
      </c>
      <c r="H291" s="4" t="s">
        <v>38</v>
      </c>
      <c r="I291" s="5">
        <v>44409</v>
      </c>
      <c r="J291" s="6">
        <v>477</v>
      </c>
      <c r="K291" s="6">
        <v>477</v>
      </c>
      <c r="L291" s="6">
        <v>100.547</v>
      </c>
      <c r="M291" s="6">
        <v>100.547</v>
      </c>
      <c r="N291" s="6">
        <v>100.547</v>
      </c>
      <c r="O291" s="6">
        <v>100.547</v>
      </c>
      <c r="P291" s="6">
        <v>0</v>
      </c>
      <c r="Q291" s="4" t="s">
        <v>26</v>
      </c>
      <c r="R291" s="4">
        <v>0</v>
      </c>
      <c r="S291" s="6">
        <v>29</v>
      </c>
      <c r="T291" s="6">
        <v>30</v>
      </c>
      <c r="U291" s="6">
        <v>67</v>
      </c>
      <c r="V291" s="6">
        <f>IF(ISERROR(VLOOKUP($S$291,'TAR FIN'!$A$1:$O$95,15,0)),0,VLOOKUP($S$291,'TAR FIN'!$A$1:$O$95,15,0))</f>
        <v>28.57</v>
      </c>
      <c r="W291" s="6">
        <f>IF(ISERROR(VLOOKUP($T$291,'TAR FIN'!$A$1:$O$95,15,0)),0,VLOOKUP($T$291,'TAR FIN'!$A$1:$O$95,15,0))</f>
        <v>149.63</v>
      </c>
      <c r="X291" s="6">
        <f>IF(ISERROR(VLOOKUP($U$291,'TAR FIN'!$A$1:$O$95,15,0)),0,VLOOKUP($U$291,'TAR FIN'!$A$1:$O$95,15,0))</f>
        <v>230.03</v>
      </c>
      <c r="Y291" s="6">
        <f ca="1">('TUSD BE'!$AM$11+'TUSD BF'!$AM$11+'TUSD CVA'!$AM$11)*1</f>
        <v>31.93064187172984</v>
      </c>
      <c r="Z291" s="6">
        <f ca="1">('TUSD BE'!$AM$12+'TUSD BF'!$AM$12+'TUSD CVA'!$AM$12)*1</f>
        <v>168.51338132937991</v>
      </c>
      <c r="AA291" s="6">
        <f>('TE BE'!$AA$8+'TE BF'!$AA$8+'TE CVA'!$AA$8)*1</f>
        <v>282.91739971702214</v>
      </c>
      <c r="AB291" s="6">
        <f>$K$291*$V$291</f>
        <v>13627.89</v>
      </c>
      <c r="AC291" s="6">
        <f>$M$291*$W$291</f>
        <v>15044.847609999999</v>
      </c>
      <c r="AD291" s="6">
        <f>$O$291*$X$291</f>
        <v>23128.826409999998</v>
      </c>
      <c r="AE291" s="6">
        <f ca="1">$K$291*$Y$291</f>
        <v>15230.916172815134</v>
      </c>
      <c r="AF291" s="6">
        <f ca="1">$M$291*$Z$291</f>
        <v>16943.514952525162</v>
      </c>
      <c r="AG291" s="6">
        <f>$O$291*$AA$291</f>
        <v>28446.495789347424</v>
      </c>
    </row>
    <row r="292" spans="1:33" ht="11.25" customHeight="1" x14ac:dyDescent="0.25">
      <c r="A292" s="4" t="s">
        <v>21</v>
      </c>
      <c r="B292" s="4" t="s">
        <v>35</v>
      </c>
      <c r="C292" s="4" t="s">
        <v>44</v>
      </c>
      <c r="D292" s="4" t="s">
        <v>45</v>
      </c>
      <c r="E292" s="4" t="s">
        <v>25</v>
      </c>
      <c r="F292" s="4" t="s">
        <v>25</v>
      </c>
      <c r="G292" s="4" t="s">
        <v>25</v>
      </c>
      <c r="H292" s="4" t="s">
        <v>38</v>
      </c>
      <c r="I292" s="5">
        <v>44409</v>
      </c>
      <c r="J292" s="6">
        <v>1400</v>
      </c>
      <c r="K292" s="6">
        <v>1400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4" t="s">
        <v>60</v>
      </c>
      <c r="R292" s="4">
        <v>0</v>
      </c>
      <c r="S292" s="6">
        <v>29</v>
      </c>
      <c r="T292" s="6">
        <v>0</v>
      </c>
      <c r="U292" s="6">
        <v>0</v>
      </c>
      <c r="V292" s="6">
        <f>IF(ISERROR(VLOOKUP($S$292,'TAR FIN'!$A$1:$O$95,15,0)),0,VLOOKUP($S$292,'TAR FIN'!$A$1:$O$95,15,0))</f>
        <v>28.57</v>
      </c>
      <c r="W292" s="6">
        <f>IF(ISERROR(VLOOKUP($T$292,'TAR FIN'!$A$1:$O$95,15,0)),0,VLOOKUP($T$292,'TAR FIN'!$A$1:$O$95,15,0))</f>
        <v>0</v>
      </c>
      <c r="X292" s="6">
        <f>IF(ISERROR(VLOOKUP($U$292,'TAR FIN'!$A$1:$O$95,15,0)),0,VLOOKUP($U$292,'TAR FIN'!$A$1:$O$95,15,0))</f>
        <v>0</v>
      </c>
      <c r="Y292" s="6">
        <f ca="1">('TUSD BE'!$AM$11+'TUSD BF'!$AM$11+'TUSD CVA'!$AM$11)*1</f>
        <v>31.93064187172984</v>
      </c>
      <c r="Z292" s="6">
        <f ca="1">('TUSD BE'!$AM$12+'TUSD BF'!$AM$12+'TUSD CVA'!$AM$12)*1</f>
        <v>168.51338132937991</v>
      </c>
      <c r="AA292" s="6"/>
      <c r="AB292" s="6">
        <f>$K$292*$V$292</f>
        <v>39998</v>
      </c>
      <c r="AC292" s="6">
        <f>$M$292*$W$292</f>
        <v>0</v>
      </c>
      <c r="AD292" s="6">
        <f>$O$292*$X$292</f>
        <v>0</v>
      </c>
      <c r="AE292" s="6">
        <f ca="1">$K$292*$Y$292</f>
        <v>44702.898620421773</v>
      </c>
      <c r="AF292" s="6">
        <f ca="1">$M$292*$Z$292</f>
        <v>0</v>
      </c>
      <c r="AG292" s="6">
        <f>$O$292*$AA$292</f>
        <v>0</v>
      </c>
    </row>
    <row r="293" spans="1:33" ht="11.25" customHeight="1" x14ac:dyDescent="0.25">
      <c r="A293" s="4" t="s">
        <v>21</v>
      </c>
      <c r="B293" s="4" t="s">
        <v>35</v>
      </c>
      <c r="C293" s="4" t="s">
        <v>44</v>
      </c>
      <c r="D293" s="4" t="s">
        <v>45</v>
      </c>
      <c r="E293" s="4" t="s">
        <v>25</v>
      </c>
      <c r="F293" s="4" t="s">
        <v>25</v>
      </c>
      <c r="G293" s="4" t="s">
        <v>25</v>
      </c>
      <c r="H293" s="4" t="s">
        <v>38</v>
      </c>
      <c r="I293" s="5">
        <v>44440</v>
      </c>
      <c r="J293" s="6">
        <v>17541</v>
      </c>
      <c r="K293" s="6">
        <v>17541</v>
      </c>
      <c r="L293" s="6">
        <v>5269.2629999999999</v>
      </c>
      <c r="M293" s="6">
        <v>5269.2629999999999</v>
      </c>
      <c r="N293" s="6">
        <v>5269.2629999999999</v>
      </c>
      <c r="O293" s="6">
        <v>5269.2629999999999</v>
      </c>
      <c r="P293" s="6">
        <v>0</v>
      </c>
      <c r="Q293" s="4" t="s">
        <v>26</v>
      </c>
      <c r="R293" s="4">
        <v>0</v>
      </c>
      <c r="S293" s="6">
        <v>29</v>
      </c>
      <c r="T293" s="6">
        <v>30</v>
      </c>
      <c r="U293" s="6">
        <v>67</v>
      </c>
      <c r="V293" s="6">
        <f>IF(ISERROR(VLOOKUP($S$293,'TAR FIN'!$A$1:$O$95,15,0)),0,VLOOKUP($S$293,'TAR FIN'!$A$1:$O$95,15,0))</f>
        <v>28.57</v>
      </c>
      <c r="W293" s="6">
        <f>IF(ISERROR(VLOOKUP($T$293,'TAR FIN'!$A$1:$O$95,15,0)),0,VLOOKUP($T$293,'TAR FIN'!$A$1:$O$95,15,0))</f>
        <v>149.63</v>
      </c>
      <c r="X293" s="6">
        <f>IF(ISERROR(VLOOKUP($U$293,'TAR FIN'!$A$1:$O$95,15,0)),0,VLOOKUP($U$293,'TAR FIN'!$A$1:$O$95,15,0))</f>
        <v>230.03</v>
      </c>
      <c r="Y293" s="6">
        <f ca="1">('TUSD BE'!$AM$11+'TUSD BF'!$AM$11+'TUSD CVA'!$AM$11)*1</f>
        <v>31.93064187172984</v>
      </c>
      <c r="Z293" s="6">
        <f ca="1">('TUSD BE'!$AM$12+'TUSD BF'!$AM$12+'TUSD CVA'!$AM$12)*1</f>
        <v>168.51338132937991</v>
      </c>
      <c r="AA293" s="6">
        <f>('TE BE'!$AA$8+'TE BF'!$AA$8+'TE CVA'!$AA$8)*1</f>
        <v>282.91739971702214</v>
      </c>
      <c r="AB293" s="6">
        <f>$K$293*$V$293</f>
        <v>501146.37</v>
      </c>
      <c r="AC293" s="6">
        <f>$M$293*$W$293</f>
        <v>788439.82268999994</v>
      </c>
      <c r="AD293" s="6">
        <f>$O$293*$X$293</f>
        <v>1212088.5678900001</v>
      </c>
      <c r="AE293" s="6">
        <f ca="1">$K$293*$Y$293</f>
        <v>560095.38907201309</v>
      </c>
      <c r="AF293" s="6">
        <f ca="1">$M$293*$Z$293</f>
        <v>887941.32524379238</v>
      </c>
      <c r="AG293" s="6">
        <f>$O$293*$AA$293</f>
        <v>1490766.1863851151</v>
      </c>
    </row>
    <row r="294" spans="1:33" ht="11.25" customHeight="1" x14ac:dyDescent="0.25">
      <c r="A294" s="4" t="s">
        <v>27</v>
      </c>
      <c r="B294" s="4" t="s">
        <v>35</v>
      </c>
      <c r="C294" s="4" t="s">
        <v>44</v>
      </c>
      <c r="D294" s="4" t="s">
        <v>45</v>
      </c>
      <c r="E294" s="4" t="s">
        <v>25</v>
      </c>
      <c r="F294" s="4" t="s">
        <v>25</v>
      </c>
      <c r="G294" s="4" t="s">
        <v>25</v>
      </c>
      <c r="H294" s="4" t="s">
        <v>38</v>
      </c>
      <c r="I294" s="5">
        <v>44440</v>
      </c>
      <c r="J294" s="6">
        <v>-278</v>
      </c>
      <c r="K294" s="6">
        <v>-278</v>
      </c>
      <c r="L294" s="6">
        <v>0.34399999999999997</v>
      </c>
      <c r="M294" s="6">
        <v>0.34399999999999997</v>
      </c>
      <c r="N294" s="6">
        <v>0.34399999999999997</v>
      </c>
      <c r="O294" s="6">
        <v>0.34399999999999997</v>
      </c>
      <c r="P294" s="6">
        <v>0</v>
      </c>
      <c r="Q294" s="4" t="s">
        <v>26</v>
      </c>
      <c r="R294" s="4">
        <v>0</v>
      </c>
      <c r="S294" s="6">
        <v>29</v>
      </c>
      <c r="T294" s="6">
        <v>30</v>
      </c>
      <c r="U294" s="6">
        <v>67</v>
      </c>
      <c r="V294" s="6">
        <f>IF(ISERROR(VLOOKUP($S$294,'TAR FIN'!$A$1:$O$95,15,0)),0,VLOOKUP($S$294,'TAR FIN'!$A$1:$O$95,15,0))</f>
        <v>28.57</v>
      </c>
      <c r="W294" s="6">
        <f>IF(ISERROR(VLOOKUP($T$294,'TAR FIN'!$A$1:$O$95,15,0)),0,VLOOKUP($T$294,'TAR FIN'!$A$1:$O$95,15,0))</f>
        <v>149.63</v>
      </c>
      <c r="X294" s="6">
        <f>IF(ISERROR(VLOOKUP($U$294,'TAR FIN'!$A$1:$O$95,15,0)),0,VLOOKUP($U$294,'TAR FIN'!$A$1:$O$95,15,0))</f>
        <v>230.03</v>
      </c>
      <c r="Y294" s="6">
        <f ca="1">('TUSD BE'!$AM$11+'TUSD BF'!$AM$11+'TUSD CVA'!$AM$11)*1</f>
        <v>31.93064187172984</v>
      </c>
      <c r="Z294" s="6">
        <f ca="1">('TUSD BE'!$AM$12+'TUSD BF'!$AM$12+'TUSD CVA'!$AM$12)*1</f>
        <v>168.51338132937991</v>
      </c>
      <c r="AA294" s="6">
        <f>('TE BE'!$AA$8+'TE BF'!$AA$8+'TE CVA'!$AA$8)*1</f>
        <v>282.91739971702214</v>
      </c>
      <c r="AB294" s="6">
        <f>$K$294*$V$294</f>
        <v>-7942.46</v>
      </c>
      <c r="AC294" s="6">
        <f>$M$294*$W$294</f>
        <v>51.472719999999995</v>
      </c>
      <c r="AD294" s="6">
        <f>$O$294*$X$294</f>
        <v>79.130319999999998</v>
      </c>
      <c r="AE294" s="6">
        <f ca="1">$K$294*$Y$294</f>
        <v>-8876.7184403408955</v>
      </c>
      <c r="AF294" s="6">
        <f ca="1">$M$294*$Z$294</f>
        <v>57.968603177306683</v>
      </c>
      <c r="AG294" s="6">
        <f>$O$294*$AA$294</f>
        <v>97.323585502655604</v>
      </c>
    </row>
    <row r="295" spans="1:33" ht="11.25" customHeight="1" x14ac:dyDescent="0.25">
      <c r="A295" s="4" t="s">
        <v>28</v>
      </c>
      <c r="B295" s="4" t="s">
        <v>35</v>
      </c>
      <c r="C295" s="4" t="s">
        <v>44</v>
      </c>
      <c r="D295" s="4" t="s">
        <v>45</v>
      </c>
      <c r="E295" s="4" t="s">
        <v>25</v>
      </c>
      <c r="F295" s="4" t="s">
        <v>25</v>
      </c>
      <c r="G295" s="4" t="s">
        <v>25</v>
      </c>
      <c r="H295" s="4" t="s">
        <v>38</v>
      </c>
      <c r="I295" s="5">
        <v>44440</v>
      </c>
      <c r="J295" s="6">
        <v>509</v>
      </c>
      <c r="K295" s="6">
        <v>509</v>
      </c>
      <c r="L295" s="6">
        <v>23.274000000000001</v>
      </c>
      <c r="M295" s="6">
        <v>23.274000000000001</v>
      </c>
      <c r="N295" s="6">
        <v>23.274000000000001</v>
      </c>
      <c r="O295" s="6">
        <v>23.274000000000001</v>
      </c>
      <c r="P295" s="6">
        <v>0</v>
      </c>
      <c r="Q295" s="4" t="s">
        <v>26</v>
      </c>
      <c r="R295" s="4">
        <v>0</v>
      </c>
      <c r="S295" s="6">
        <v>29</v>
      </c>
      <c r="T295" s="6">
        <v>30</v>
      </c>
      <c r="U295" s="6">
        <v>67</v>
      </c>
      <c r="V295" s="6">
        <f>IF(ISERROR(VLOOKUP($S$295,'TAR FIN'!$A$1:$O$95,15,0)),0,VLOOKUP($S$295,'TAR FIN'!$A$1:$O$95,15,0))</f>
        <v>28.57</v>
      </c>
      <c r="W295" s="6">
        <f>IF(ISERROR(VLOOKUP($T$295,'TAR FIN'!$A$1:$O$95,15,0)),0,VLOOKUP($T$295,'TAR FIN'!$A$1:$O$95,15,0))</f>
        <v>149.63</v>
      </c>
      <c r="X295" s="6">
        <f>IF(ISERROR(VLOOKUP($U$295,'TAR FIN'!$A$1:$O$95,15,0)),0,VLOOKUP($U$295,'TAR FIN'!$A$1:$O$95,15,0))</f>
        <v>230.03</v>
      </c>
      <c r="Y295" s="6">
        <f ca="1">('TUSD BE'!$AM$11+'TUSD BF'!$AM$11+'TUSD CVA'!$AM$11)*1</f>
        <v>31.93064187172984</v>
      </c>
      <c r="Z295" s="6">
        <f ca="1">('TUSD BE'!$AM$12+'TUSD BF'!$AM$12+'TUSD CVA'!$AM$12)*1</f>
        <v>168.51338132937991</v>
      </c>
      <c r="AA295" s="6">
        <f>('TE BE'!$AA$8+'TE BF'!$AA$8+'TE CVA'!$AA$8)*1</f>
        <v>282.91739971702214</v>
      </c>
      <c r="AB295" s="6">
        <f>$K$295*$V$295</f>
        <v>14542.130000000001</v>
      </c>
      <c r="AC295" s="6">
        <f>$M$295*$W$295</f>
        <v>3482.4886200000001</v>
      </c>
      <c r="AD295" s="6">
        <f>$O$295*$X$295</f>
        <v>5353.7182200000007</v>
      </c>
      <c r="AE295" s="6">
        <f ca="1">$K$295*$Y$295</f>
        <v>16252.696712710489</v>
      </c>
      <c r="AF295" s="6">
        <f ca="1">$M$295*$Z$295</f>
        <v>3921.9804370599882</v>
      </c>
      <c r="AG295" s="6">
        <f>$O$295*$AA$295</f>
        <v>6584.619561013973</v>
      </c>
    </row>
    <row r="296" spans="1:33" ht="11.25" customHeight="1" x14ac:dyDescent="0.25">
      <c r="A296" s="4" t="s">
        <v>30</v>
      </c>
      <c r="B296" s="4" t="s">
        <v>35</v>
      </c>
      <c r="C296" s="4" t="s">
        <v>44</v>
      </c>
      <c r="D296" s="4" t="s">
        <v>45</v>
      </c>
      <c r="E296" s="4" t="s">
        <v>25</v>
      </c>
      <c r="F296" s="4" t="s">
        <v>25</v>
      </c>
      <c r="G296" s="4" t="s">
        <v>25</v>
      </c>
      <c r="H296" s="4" t="s">
        <v>38</v>
      </c>
      <c r="I296" s="5">
        <v>44440</v>
      </c>
      <c r="J296" s="6">
        <v>487</v>
      </c>
      <c r="K296" s="6">
        <v>487</v>
      </c>
      <c r="L296" s="6">
        <v>95.998999999999995</v>
      </c>
      <c r="M296" s="6">
        <v>95.998999999999995</v>
      </c>
      <c r="N296" s="6">
        <v>95.998999999999995</v>
      </c>
      <c r="O296" s="6">
        <v>95.998999999999995</v>
      </c>
      <c r="P296" s="6">
        <v>0</v>
      </c>
      <c r="Q296" s="4" t="s">
        <v>26</v>
      </c>
      <c r="R296" s="4">
        <v>0</v>
      </c>
      <c r="S296" s="6">
        <v>29</v>
      </c>
      <c r="T296" s="6">
        <v>30</v>
      </c>
      <c r="U296" s="6">
        <v>67</v>
      </c>
      <c r="V296" s="6">
        <f>IF(ISERROR(VLOOKUP($S$296,'TAR FIN'!$A$1:$O$95,15,0)),0,VLOOKUP($S$296,'TAR FIN'!$A$1:$O$95,15,0))</f>
        <v>28.57</v>
      </c>
      <c r="W296" s="6">
        <f>IF(ISERROR(VLOOKUP($T$296,'TAR FIN'!$A$1:$O$95,15,0)),0,VLOOKUP($T$296,'TAR FIN'!$A$1:$O$95,15,0))</f>
        <v>149.63</v>
      </c>
      <c r="X296" s="6">
        <f>IF(ISERROR(VLOOKUP($U$296,'TAR FIN'!$A$1:$O$95,15,0)),0,VLOOKUP($U$296,'TAR FIN'!$A$1:$O$95,15,0))</f>
        <v>230.03</v>
      </c>
      <c r="Y296" s="6">
        <f ca="1">('TUSD BE'!$AM$11+'TUSD BF'!$AM$11+'TUSD CVA'!$AM$11)*1</f>
        <v>31.93064187172984</v>
      </c>
      <c r="Z296" s="6">
        <f ca="1">('TUSD BE'!$AM$12+'TUSD BF'!$AM$12+'TUSD CVA'!$AM$12)*1</f>
        <v>168.51338132937991</v>
      </c>
      <c r="AA296" s="6">
        <f>('TE BE'!$AA$8+'TE BF'!$AA$8+'TE CVA'!$AA$8)*1</f>
        <v>282.91739971702214</v>
      </c>
      <c r="AB296" s="6">
        <f>$K$296*$V$296</f>
        <v>13913.59</v>
      </c>
      <c r="AC296" s="6">
        <f>$M$296*$W$296</f>
        <v>14364.33037</v>
      </c>
      <c r="AD296" s="6">
        <f>$O$296*$X$296</f>
        <v>22082.649969999999</v>
      </c>
      <c r="AE296" s="6">
        <f ca="1">$K$296*$Y$296</f>
        <v>15550.222591532432</v>
      </c>
      <c r="AF296" s="6">
        <f ca="1">$M$296*$Z$296</f>
        <v>16177.116094239142</v>
      </c>
      <c r="AG296" s="6">
        <f>$O$296*$AA$296</f>
        <v>27159.787455434405</v>
      </c>
    </row>
    <row r="297" spans="1:33" ht="11.25" customHeight="1" x14ac:dyDescent="0.25">
      <c r="A297" s="4" t="s">
        <v>30</v>
      </c>
      <c r="B297" s="4" t="s">
        <v>35</v>
      </c>
      <c r="C297" s="4" t="s">
        <v>44</v>
      </c>
      <c r="D297" s="4" t="s">
        <v>45</v>
      </c>
      <c r="E297" s="4" t="s">
        <v>25</v>
      </c>
      <c r="F297" s="4" t="s">
        <v>25</v>
      </c>
      <c r="G297" s="4" t="s">
        <v>25</v>
      </c>
      <c r="H297" s="4" t="s">
        <v>38</v>
      </c>
      <c r="I297" s="5">
        <v>44440</v>
      </c>
      <c r="J297" s="6">
        <v>-132</v>
      </c>
      <c r="K297" s="6">
        <v>-132</v>
      </c>
      <c r="L297" s="6">
        <v>-18.78</v>
      </c>
      <c r="M297" s="6">
        <v>-18.78</v>
      </c>
      <c r="N297" s="6">
        <v>-18.78</v>
      </c>
      <c r="O297" s="6">
        <v>-18.78</v>
      </c>
      <c r="P297" s="6">
        <v>0</v>
      </c>
      <c r="Q297" s="4" t="s">
        <v>26</v>
      </c>
      <c r="R297" s="4">
        <v>0</v>
      </c>
      <c r="S297" s="6">
        <v>29</v>
      </c>
      <c r="T297" s="6">
        <v>30</v>
      </c>
      <c r="U297" s="6">
        <v>67</v>
      </c>
      <c r="V297" s="6">
        <f>IF(ISERROR(VLOOKUP($S$297,'TAR FIN'!$A$1:$O$95,15,0)),0,VLOOKUP($S$297,'TAR FIN'!$A$1:$O$95,15,0))</f>
        <v>28.57</v>
      </c>
      <c r="W297" s="6">
        <f>IF(ISERROR(VLOOKUP($T$297,'TAR FIN'!$A$1:$O$95,15,0)),0,VLOOKUP($T$297,'TAR FIN'!$A$1:$O$95,15,0))</f>
        <v>149.63</v>
      </c>
      <c r="X297" s="6">
        <f>IF(ISERROR(VLOOKUP($U$297,'TAR FIN'!$A$1:$O$95,15,0)),0,VLOOKUP($U$297,'TAR FIN'!$A$1:$O$95,15,0))</f>
        <v>230.03</v>
      </c>
      <c r="Y297" s="6">
        <f ca="1">('TUSD BE'!$AM$11+'TUSD BF'!$AM$11+'TUSD CVA'!$AM$11)*1</f>
        <v>31.93064187172984</v>
      </c>
      <c r="Z297" s="6">
        <f ca="1">('TUSD BE'!$AM$12+'TUSD BF'!$AM$12+'TUSD CVA'!$AM$12)*1</f>
        <v>168.51338132937991</v>
      </c>
      <c r="AA297" s="6">
        <f>('TE BE'!$AA$8+'TE BF'!$AA$8+'TE CVA'!$AA$8)*1</f>
        <v>282.91739971702214</v>
      </c>
      <c r="AB297" s="6">
        <f>$K$297*$V$297</f>
        <v>-3771.2400000000002</v>
      </c>
      <c r="AC297" s="6">
        <f>$M$297*$W$297</f>
        <v>-2810.0514000000003</v>
      </c>
      <c r="AD297" s="6">
        <f>$O$297*$X$297</f>
        <v>-4319.9634000000005</v>
      </c>
      <c r="AE297" s="6">
        <f ca="1">$K$297*$Y$297</f>
        <v>-4214.8447270683391</v>
      </c>
      <c r="AF297" s="6">
        <f ca="1">$M$297*$Z$297</f>
        <v>-3164.6813013657547</v>
      </c>
      <c r="AG297" s="6">
        <f>$O$297*$AA$297</f>
        <v>-5313.1887666856765</v>
      </c>
    </row>
    <row r="298" spans="1:33" ht="11.25" customHeight="1" x14ac:dyDescent="0.25">
      <c r="A298" s="4" t="s">
        <v>21</v>
      </c>
      <c r="B298" s="4" t="s">
        <v>35</v>
      </c>
      <c r="C298" s="4" t="s">
        <v>44</v>
      </c>
      <c r="D298" s="4" t="s">
        <v>45</v>
      </c>
      <c r="E298" s="4" t="s">
        <v>25</v>
      </c>
      <c r="F298" s="4" t="s">
        <v>25</v>
      </c>
      <c r="G298" s="4" t="s">
        <v>25</v>
      </c>
      <c r="H298" s="4" t="s">
        <v>38</v>
      </c>
      <c r="I298" s="5">
        <v>44440</v>
      </c>
      <c r="J298" s="6">
        <v>1400</v>
      </c>
      <c r="K298" s="6">
        <v>1400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4" t="s">
        <v>60</v>
      </c>
      <c r="R298" s="4">
        <v>0</v>
      </c>
      <c r="S298" s="6">
        <v>29</v>
      </c>
      <c r="T298" s="6">
        <v>0</v>
      </c>
      <c r="U298" s="6">
        <v>0</v>
      </c>
      <c r="V298" s="6">
        <f>IF(ISERROR(VLOOKUP($S$298,'TAR FIN'!$A$1:$O$95,15,0)),0,VLOOKUP($S$298,'TAR FIN'!$A$1:$O$95,15,0))</f>
        <v>28.57</v>
      </c>
      <c r="W298" s="6">
        <f>IF(ISERROR(VLOOKUP($T$298,'TAR FIN'!$A$1:$O$95,15,0)),0,VLOOKUP($T$298,'TAR FIN'!$A$1:$O$95,15,0))</f>
        <v>0</v>
      </c>
      <c r="X298" s="6">
        <f>IF(ISERROR(VLOOKUP($U$298,'TAR FIN'!$A$1:$O$95,15,0)),0,VLOOKUP($U$298,'TAR FIN'!$A$1:$O$95,15,0))</f>
        <v>0</v>
      </c>
      <c r="Y298" s="6">
        <f ca="1">('TUSD BE'!$AM$11+'TUSD BF'!$AM$11+'TUSD CVA'!$AM$11)*1</f>
        <v>31.93064187172984</v>
      </c>
      <c r="Z298" s="6">
        <f ca="1">('TUSD BE'!$AM$12+'TUSD BF'!$AM$12+'TUSD CVA'!$AM$12)*1</f>
        <v>168.51338132937991</v>
      </c>
      <c r="AA298" s="6"/>
      <c r="AB298" s="6">
        <f>$K$298*$V$298</f>
        <v>39998</v>
      </c>
      <c r="AC298" s="6">
        <f>$M$298*$W$298</f>
        <v>0</v>
      </c>
      <c r="AD298" s="6">
        <f>$O$298*$X$298</f>
        <v>0</v>
      </c>
      <c r="AE298" s="6">
        <f ca="1">$K$298*$Y$298</f>
        <v>44702.898620421773</v>
      </c>
      <c r="AF298" s="6">
        <f ca="1">$M$298*$Z$298</f>
        <v>0</v>
      </c>
      <c r="AG298" s="6">
        <f>$O$298*$AA$298</f>
        <v>0</v>
      </c>
    </row>
    <row r="299" spans="1:33" ht="11.25" customHeight="1" x14ac:dyDescent="0.25">
      <c r="A299" s="4" t="s">
        <v>59</v>
      </c>
      <c r="B299" s="4" t="s">
        <v>35</v>
      </c>
      <c r="C299" s="4" t="s">
        <v>44</v>
      </c>
      <c r="D299" s="4" t="s">
        <v>45</v>
      </c>
      <c r="E299" s="4" t="s">
        <v>25</v>
      </c>
      <c r="F299" s="4" t="s">
        <v>25</v>
      </c>
      <c r="G299" s="4" t="s">
        <v>25</v>
      </c>
      <c r="H299" s="4" t="s">
        <v>38</v>
      </c>
      <c r="I299" s="5">
        <v>44470</v>
      </c>
      <c r="J299" s="6">
        <v>17541</v>
      </c>
      <c r="K299" s="6">
        <v>17541</v>
      </c>
      <c r="L299" s="6">
        <v>5269.2629999999999</v>
      </c>
      <c r="M299" s="6">
        <v>5269.2629999999999</v>
      </c>
      <c r="N299" s="6">
        <v>5269.2629999999999</v>
      </c>
      <c r="O299" s="6">
        <v>5269.2629999999999</v>
      </c>
      <c r="P299" s="6">
        <v>0</v>
      </c>
      <c r="Q299" s="4" t="s">
        <v>26</v>
      </c>
      <c r="R299" s="4">
        <v>0</v>
      </c>
      <c r="S299" s="6">
        <v>29</v>
      </c>
      <c r="T299" s="6">
        <v>30</v>
      </c>
      <c r="U299" s="6">
        <v>67</v>
      </c>
      <c r="V299" s="6">
        <f>IF(ISERROR(VLOOKUP($S$299,'TAR FIN'!$A$1:$O$95,15,0)),0,VLOOKUP($S$299,'TAR FIN'!$A$1:$O$95,15,0))</f>
        <v>28.57</v>
      </c>
      <c r="W299" s="6">
        <f>IF(ISERROR(VLOOKUP($T$299,'TAR FIN'!$A$1:$O$95,15,0)),0,VLOOKUP($T$299,'TAR FIN'!$A$1:$O$95,15,0))</f>
        <v>149.63</v>
      </c>
      <c r="X299" s="6">
        <f>IF(ISERROR(VLOOKUP($U$299,'TAR FIN'!$A$1:$O$95,15,0)),0,VLOOKUP($U$299,'TAR FIN'!$A$1:$O$95,15,0))</f>
        <v>230.03</v>
      </c>
      <c r="Y299" s="6">
        <f ca="1">('TUSD BE'!$AM$11+'TUSD BF'!$AM$11+'TUSD CVA'!$AM$11)*1</f>
        <v>31.93064187172984</v>
      </c>
      <c r="Z299" s="6">
        <f ca="1">('TUSD BE'!$AM$12+'TUSD BF'!$AM$12+'TUSD CVA'!$AM$12)*1</f>
        <v>168.51338132937991</v>
      </c>
      <c r="AA299" s="6">
        <f>('TE BE'!$AA$8+'TE BF'!$AA$8+'TE CVA'!$AA$8)*1</f>
        <v>282.91739971702214</v>
      </c>
      <c r="AB299" s="6">
        <f>$K$299*$V$299</f>
        <v>501146.37</v>
      </c>
      <c r="AC299" s="6">
        <f>$M$299*$W$299</f>
        <v>788439.82268999994</v>
      </c>
      <c r="AD299" s="6">
        <f>$O$299*$X$299</f>
        <v>1212088.5678900001</v>
      </c>
      <c r="AE299" s="6">
        <f ca="1">$K$299*$Y$299</f>
        <v>560095.38907201309</v>
      </c>
      <c r="AF299" s="6">
        <f ca="1">$M$299*$Z$299</f>
        <v>887941.32524379238</v>
      </c>
      <c r="AG299" s="6">
        <f>$O$299*$AA$299</f>
        <v>1490766.1863851151</v>
      </c>
    </row>
    <row r="300" spans="1:33" ht="11.25" customHeight="1" x14ac:dyDescent="0.25">
      <c r="A300" s="4" t="s">
        <v>59</v>
      </c>
      <c r="B300" s="4" t="s">
        <v>35</v>
      </c>
      <c r="C300" s="4" t="s">
        <v>44</v>
      </c>
      <c r="D300" s="4" t="s">
        <v>45</v>
      </c>
      <c r="E300" s="4" t="s">
        <v>25</v>
      </c>
      <c r="F300" s="4" t="s">
        <v>25</v>
      </c>
      <c r="G300" s="4" t="s">
        <v>25</v>
      </c>
      <c r="H300" s="4" t="s">
        <v>38</v>
      </c>
      <c r="I300" s="5">
        <v>44470</v>
      </c>
      <c r="J300" s="6">
        <v>-278</v>
      </c>
      <c r="K300" s="6">
        <v>-278</v>
      </c>
      <c r="L300" s="6">
        <v>0.34399999999999997</v>
      </c>
      <c r="M300" s="6">
        <v>0.34399999999999997</v>
      </c>
      <c r="N300" s="6">
        <v>0.34399999999999997</v>
      </c>
      <c r="O300" s="6">
        <v>0.34399999999999997</v>
      </c>
      <c r="P300" s="6">
        <v>0</v>
      </c>
      <c r="Q300" s="4" t="s">
        <v>26</v>
      </c>
      <c r="R300" s="4">
        <v>0</v>
      </c>
      <c r="S300" s="6">
        <v>29</v>
      </c>
      <c r="T300" s="6">
        <v>30</v>
      </c>
      <c r="U300" s="6">
        <v>67</v>
      </c>
      <c r="V300" s="6">
        <f>IF(ISERROR(VLOOKUP($S$300,'TAR FIN'!$A$1:$O$95,15,0)),0,VLOOKUP($S$300,'TAR FIN'!$A$1:$O$95,15,0))</f>
        <v>28.57</v>
      </c>
      <c r="W300" s="6">
        <f>IF(ISERROR(VLOOKUP($T$300,'TAR FIN'!$A$1:$O$95,15,0)),0,VLOOKUP($T$300,'TAR FIN'!$A$1:$O$95,15,0))</f>
        <v>149.63</v>
      </c>
      <c r="X300" s="6">
        <f>IF(ISERROR(VLOOKUP($U$300,'TAR FIN'!$A$1:$O$95,15,0)),0,VLOOKUP($U$300,'TAR FIN'!$A$1:$O$95,15,0))</f>
        <v>230.03</v>
      </c>
      <c r="Y300" s="6">
        <f ca="1">('TUSD BE'!$AM$11+'TUSD BF'!$AM$11+'TUSD CVA'!$AM$11)*1</f>
        <v>31.93064187172984</v>
      </c>
      <c r="Z300" s="6">
        <f ca="1">('TUSD BE'!$AM$12+'TUSD BF'!$AM$12+'TUSD CVA'!$AM$12)*1</f>
        <v>168.51338132937991</v>
      </c>
      <c r="AA300" s="6">
        <f>('TE BE'!$AA$8+'TE BF'!$AA$8+'TE CVA'!$AA$8)*1</f>
        <v>282.91739971702214</v>
      </c>
      <c r="AB300" s="6">
        <f>$K$300*$V$300</f>
        <v>-7942.46</v>
      </c>
      <c r="AC300" s="6">
        <f>$M$300*$W$300</f>
        <v>51.472719999999995</v>
      </c>
      <c r="AD300" s="6">
        <f>$O$300*$X$300</f>
        <v>79.130319999999998</v>
      </c>
      <c r="AE300" s="6">
        <f ca="1">$K$300*$Y$300</f>
        <v>-8876.7184403408955</v>
      </c>
      <c r="AF300" s="6">
        <f ca="1">$M$300*$Z$300</f>
        <v>57.968603177306683</v>
      </c>
      <c r="AG300" s="6">
        <f>$O$300*$AA$300</f>
        <v>97.323585502655604</v>
      </c>
    </row>
    <row r="301" spans="1:33" ht="11.25" customHeight="1" x14ac:dyDescent="0.25">
      <c r="A301" s="4" t="s">
        <v>59</v>
      </c>
      <c r="B301" s="4" t="s">
        <v>35</v>
      </c>
      <c r="C301" s="4" t="s">
        <v>44</v>
      </c>
      <c r="D301" s="4" t="s">
        <v>45</v>
      </c>
      <c r="E301" s="4" t="s">
        <v>25</v>
      </c>
      <c r="F301" s="4" t="s">
        <v>25</v>
      </c>
      <c r="G301" s="4" t="s">
        <v>25</v>
      </c>
      <c r="H301" s="4" t="s">
        <v>38</v>
      </c>
      <c r="I301" s="5">
        <v>44470</v>
      </c>
      <c r="J301" s="6">
        <v>509</v>
      </c>
      <c r="K301" s="6">
        <v>509</v>
      </c>
      <c r="L301" s="6">
        <v>23.274000000000001</v>
      </c>
      <c r="M301" s="6">
        <v>23.274000000000001</v>
      </c>
      <c r="N301" s="6">
        <v>23.274000000000001</v>
      </c>
      <c r="O301" s="6">
        <v>23.274000000000001</v>
      </c>
      <c r="P301" s="6">
        <v>0</v>
      </c>
      <c r="Q301" s="4" t="s">
        <v>26</v>
      </c>
      <c r="R301" s="4">
        <v>0</v>
      </c>
      <c r="S301" s="6">
        <v>29</v>
      </c>
      <c r="T301" s="6">
        <v>30</v>
      </c>
      <c r="U301" s="6">
        <v>67</v>
      </c>
      <c r="V301" s="6">
        <f>IF(ISERROR(VLOOKUP($S$301,'TAR FIN'!$A$1:$O$95,15,0)),0,VLOOKUP($S$301,'TAR FIN'!$A$1:$O$95,15,0))</f>
        <v>28.57</v>
      </c>
      <c r="W301" s="6">
        <f>IF(ISERROR(VLOOKUP($T$301,'TAR FIN'!$A$1:$O$95,15,0)),0,VLOOKUP($T$301,'TAR FIN'!$A$1:$O$95,15,0))</f>
        <v>149.63</v>
      </c>
      <c r="X301" s="6">
        <f>IF(ISERROR(VLOOKUP($U$301,'TAR FIN'!$A$1:$O$95,15,0)),0,VLOOKUP($U$301,'TAR FIN'!$A$1:$O$95,15,0))</f>
        <v>230.03</v>
      </c>
      <c r="Y301" s="6">
        <f ca="1">('TUSD BE'!$AM$11+'TUSD BF'!$AM$11+'TUSD CVA'!$AM$11)*1</f>
        <v>31.93064187172984</v>
      </c>
      <c r="Z301" s="6">
        <f ca="1">('TUSD BE'!$AM$12+'TUSD BF'!$AM$12+'TUSD CVA'!$AM$12)*1</f>
        <v>168.51338132937991</v>
      </c>
      <c r="AA301" s="6">
        <f>('TE BE'!$AA$8+'TE BF'!$AA$8+'TE CVA'!$AA$8)*1</f>
        <v>282.91739971702214</v>
      </c>
      <c r="AB301" s="6">
        <f>$K$301*$V$301</f>
        <v>14542.130000000001</v>
      </c>
      <c r="AC301" s="6">
        <f>$M$301*$W$301</f>
        <v>3482.4886200000001</v>
      </c>
      <c r="AD301" s="6">
        <f>$O$301*$X$301</f>
        <v>5353.7182200000007</v>
      </c>
      <c r="AE301" s="6">
        <f ca="1">$K$301*$Y$301</f>
        <v>16252.696712710489</v>
      </c>
      <c r="AF301" s="6">
        <f ca="1">$M$301*$Z$301</f>
        <v>3921.9804370599882</v>
      </c>
      <c r="AG301" s="6">
        <f>$O$301*$AA$301</f>
        <v>6584.619561013973</v>
      </c>
    </row>
    <row r="302" spans="1:33" ht="11.25" customHeight="1" x14ac:dyDescent="0.25">
      <c r="A302" s="4" t="s">
        <v>59</v>
      </c>
      <c r="B302" s="4" t="s">
        <v>35</v>
      </c>
      <c r="C302" s="4" t="s">
        <v>44</v>
      </c>
      <c r="D302" s="4" t="s">
        <v>45</v>
      </c>
      <c r="E302" s="4" t="s">
        <v>25</v>
      </c>
      <c r="F302" s="4" t="s">
        <v>25</v>
      </c>
      <c r="G302" s="4" t="s">
        <v>25</v>
      </c>
      <c r="H302" s="4" t="s">
        <v>38</v>
      </c>
      <c r="I302" s="5">
        <v>44470</v>
      </c>
      <c r="J302" s="6">
        <v>487</v>
      </c>
      <c r="K302" s="6">
        <v>487</v>
      </c>
      <c r="L302" s="6">
        <v>95.998999999999995</v>
      </c>
      <c r="M302" s="6">
        <v>95.998999999999995</v>
      </c>
      <c r="N302" s="6">
        <v>95.998999999999995</v>
      </c>
      <c r="O302" s="6">
        <v>95.998999999999995</v>
      </c>
      <c r="P302" s="6">
        <v>0</v>
      </c>
      <c r="Q302" s="4" t="s">
        <v>26</v>
      </c>
      <c r="R302" s="4">
        <v>0</v>
      </c>
      <c r="S302" s="6">
        <v>29</v>
      </c>
      <c r="T302" s="6">
        <v>30</v>
      </c>
      <c r="U302" s="6">
        <v>67</v>
      </c>
      <c r="V302" s="6">
        <f>IF(ISERROR(VLOOKUP($S$302,'TAR FIN'!$A$1:$O$95,15,0)),0,VLOOKUP($S$302,'TAR FIN'!$A$1:$O$95,15,0))</f>
        <v>28.57</v>
      </c>
      <c r="W302" s="6">
        <f>IF(ISERROR(VLOOKUP($T$302,'TAR FIN'!$A$1:$O$95,15,0)),0,VLOOKUP($T$302,'TAR FIN'!$A$1:$O$95,15,0))</f>
        <v>149.63</v>
      </c>
      <c r="X302" s="6">
        <f>IF(ISERROR(VLOOKUP($U$302,'TAR FIN'!$A$1:$O$95,15,0)),0,VLOOKUP($U$302,'TAR FIN'!$A$1:$O$95,15,0))</f>
        <v>230.03</v>
      </c>
      <c r="Y302" s="6">
        <f ca="1">('TUSD BE'!$AM$11+'TUSD BF'!$AM$11+'TUSD CVA'!$AM$11)*1</f>
        <v>31.93064187172984</v>
      </c>
      <c r="Z302" s="6">
        <f ca="1">('TUSD BE'!$AM$12+'TUSD BF'!$AM$12+'TUSD CVA'!$AM$12)*1</f>
        <v>168.51338132937991</v>
      </c>
      <c r="AA302" s="6">
        <f>('TE BE'!$AA$8+'TE BF'!$AA$8+'TE CVA'!$AA$8)*1</f>
        <v>282.91739971702214</v>
      </c>
      <c r="AB302" s="6">
        <f>$K$302*$V$302</f>
        <v>13913.59</v>
      </c>
      <c r="AC302" s="6">
        <f>$M$302*$W$302</f>
        <v>14364.33037</v>
      </c>
      <c r="AD302" s="6">
        <f>$O$302*$X$302</f>
        <v>22082.649969999999</v>
      </c>
      <c r="AE302" s="6">
        <f ca="1">$K$302*$Y$302</f>
        <v>15550.222591532432</v>
      </c>
      <c r="AF302" s="6">
        <f ca="1">$M$302*$Z$302</f>
        <v>16177.116094239142</v>
      </c>
      <c r="AG302" s="6">
        <f>$O$302*$AA$302</f>
        <v>27159.787455434405</v>
      </c>
    </row>
    <row r="303" spans="1:33" ht="11.25" customHeight="1" x14ac:dyDescent="0.25">
      <c r="A303" s="4" t="s">
        <v>59</v>
      </c>
      <c r="B303" s="4" t="s">
        <v>35</v>
      </c>
      <c r="C303" s="4" t="s">
        <v>44</v>
      </c>
      <c r="D303" s="4" t="s">
        <v>45</v>
      </c>
      <c r="E303" s="4" t="s">
        <v>25</v>
      </c>
      <c r="F303" s="4" t="s">
        <v>25</v>
      </c>
      <c r="G303" s="4" t="s">
        <v>25</v>
      </c>
      <c r="H303" s="4" t="s">
        <v>38</v>
      </c>
      <c r="I303" s="5">
        <v>44470</v>
      </c>
      <c r="J303" s="6">
        <v>-132</v>
      </c>
      <c r="K303" s="6">
        <v>-132</v>
      </c>
      <c r="L303" s="6">
        <v>-18.78</v>
      </c>
      <c r="M303" s="6">
        <v>-18.78</v>
      </c>
      <c r="N303" s="6">
        <v>-18.78</v>
      </c>
      <c r="O303" s="6">
        <v>-18.78</v>
      </c>
      <c r="P303" s="6">
        <v>0</v>
      </c>
      <c r="Q303" s="4" t="s">
        <v>26</v>
      </c>
      <c r="R303" s="4">
        <v>0</v>
      </c>
      <c r="S303" s="6">
        <v>29</v>
      </c>
      <c r="T303" s="6">
        <v>30</v>
      </c>
      <c r="U303" s="6">
        <v>67</v>
      </c>
      <c r="V303" s="6">
        <f>IF(ISERROR(VLOOKUP($S$303,'TAR FIN'!$A$1:$O$95,15,0)),0,VLOOKUP($S$303,'TAR FIN'!$A$1:$O$95,15,0))</f>
        <v>28.57</v>
      </c>
      <c r="W303" s="6">
        <f>IF(ISERROR(VLOOKUP($T$303,'TAR FIN'!$A$1:$O$95,15,0)),0,VLOOKUP($T$303,'TAR FIN'!$A$1:$O$95,15,0))</f>
        <v>149.63</v>
      </c>
      <c r="X303" s="6">
        <f>IF(ISERROR(VLOOKUP($U$303,'TAR FIN'!$A$1:$O$95,15,0)),0,VLOOKUP($U$303,'TAR FIN'!$A$1:$O$95,15,0))</f>
        <v>230.03</v>
      </c>
      <c r="Y303" s="6">
        <f ca="1">('TUSD BE'!$AM$11+'TUSD BF'!$AM$11+'TUSD CVA'!$AM$11)*1</f>
        <v>31.93064187172984</v>
      </c>
      <c r="Z303" s="6">
        <f ca="1">('TUSD BE'!$AM$12+'TUSD BF'!$AM$12+'TUSD CVA'!$AM$12)*1</f>
        <v>168.51338132937991</v>
      </c>
      <c r="AA303" s="6">
        <f>('TE BE'!$AA$8+'TE BF'!$AA$8+'TE CVA'!$AA$8)*1</f>
        <v>282.91739971702214</v>
      </c>
      <c r="AB303" s="6">
        <f>$K$303*$V$303</f>
        <v>-3771.2400000000002</v>
      </c>
      <c r="AC303" s="6">
        <f>$M$303*$W$303</f>
        <v>-2810.0514000000003</v>
      </c>
      <c r="AD303" s="6">
        <f>$O$303*$X$303</f>
        <v>-4319.9634000000005</v>
      </c>
      <c r="AE303" s="6">
        <f ca="1">$K$303*$Y$303</f>
        <v>-4214.8447270683391</v>
      </c>
      <c r="AF303" s="6">
        <f ca="1">$M$303*$Z$303</f>
        <v>-3164.6813013657547</v>
      </c>
      <c r="AG303" s="6">
        <f>$O$303*$AA$303</f>
        <v>-5313.1887666856765</v>
      </c>
    </row>
    <row r="304" spans="1:33" ht="11.25" customHeight="1" x14ac:dyDescent="0.25">
      <c r="A304" s="4" t="s">
        <v>59</v>
      </c>
      <c r="B304" s="4" t="s">
        <v>35</v>
      </c>
      <c r="C304" s="4" t="s">
        <v>44</v>
      </c>
      <c r="D304" s="4" t="s">
        <v>45</v>
      </c>
      <c r="E304" s="4" t="s">
        <v>25</v>
      </c>
      <c r="F304" s="4" t="s">
        <v>25</v>
      </c>
      <c r="G304" s="4" t="s">
        <v>25</v>
      </c>
      <c r="H304" s="4" t="s">
        <v>38</v>
      </c>
      <c r="I304" s="5">
        <v>44470</v>
      </c>
      <c r="J304" s="6">
        <v>1400</v>
      </c>
      <c r="K304" s="6">
        <v>1400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4" t="s">
        <v>60</v>
      </c>
      <c r="R304" s="4">
        <v>0</v>
      </c>
      <c r="S304" s="6">
        <v>29</v>
      </c>
      <c r="T304" s="6">
        <v>0</v>
      </c>
      <c r="U304" s="6">
        <v>0</v>
      </c>
      <c r="V304" s="6">
        <f>IF(ISERROR(VLOOKUP($S$304,'TAR FIN'!$A$1:$O$95,15,0)),0,VLOOKUP($S$304,'TAR FIN'!$A$1:$O$95,15,0))</f>
        <v>28.57</v>
      </c>
      <c r="W304" s="6">
        <f>IF(ISERROR(VLOOKUP($T$304,'TAR FIN'!$A$1:$O$95,15,0)),0,VLOOKUP($T$304,'TAR FIN'!$A$1:$O$95,15,0))</f>
        <v>0</v>
      </c>
      <c r="X304" s="6">
        <f>IF(ISERROR(VLOOKUP($U$304,'TAR FIN'!$A$1:$O$95,15,0)),0,VLOOKUP($U$304,'TAR FIN'!$A$1:$O$95,15,0))</f>
        <v>0</v>
      </c>
      <c r="Y304" s="6">
        <f ca="1">('TUSD BE'!$AM$11+'TUSD BF'!$AM$11+'TUSD CVA'!$AM$11)*1</f>
        <v>31.93064187172984</v>
      </c>
      <c r="Z304" s="6">
        <f ca="1">('TUSD BE'!$AM$12+'TUSD BF'!$AM$12+'TUSD CVA'!$AM$12)*1</f>
        <v>168.51338132937991</v>
      </c>
      <c r="AA304" s="6"/>
      <c r="AB304" s="6">
        <f>$K$304*$V$304</f>
        <v>39998</v>
      </c>
      <c r="AC304" s="6">
        <f>$M$304*$W$304</f>
        <v>0</v>
      </c>
      <c r="AD304" s="6">
        <f>$O$304*$X$304</f>
        <v>0</v>
      </c>
      <c r="AE304" s="6">
        <f ca="1">$K$304*$Y$304</f>
        <v>44702.898620421773</v>
      </c>
      <c r="AF304" s="6">
        <f ca="1">$M$304*$Z$304</f>
        <v>0</v>
      </c>
      <c r="AG304" s="6">
        <f>$O$304*$AA$304</f>
        <v>0</v>
      </c>
    </row>
    <row r="305" spans="1:33" ht="11.25" customHeight="1" x14ac:dyDescent="0.25">
      <c r="A305" s="4" t="s">
        <v>21</v>
      </c>
      <c r="B305" s="4" t="s">
        <v>35</v>
      </c>
      <c r="C305" s="4" t="s">
        <v>44</v>
      </c>
      <c r="D305" s="4" t="s">
        <v>45</v>
      </c>
      <c r="E305" s="4" t="s">
        <v>25</v>
      </c>
      <c r="F305" s="4" t="s">
        <v>25</v>
      </c>
      <c r="G305" s="4" t="s">
        <v>25</v>
      </c>
      <c r="H305" s="4" t="s">
        <v>25</v>
      </c>
      <c r="I305" s="5">
        <v>44287</v>
      </c>
      <c r="J305" s="6">
        <v>0</v>
      </c>
      <c r="K305" s="6">
        <v>0</v>
      </c>
      <c r="L305" s="6">
        <v>738.13599999999997</v>
      </c>
      <c r="M305" s="6">
        <v>738.13599999999997</v>
      </c>
      <c r="N305" s="6">
        <v>0</v>
      </c>
      <c r="O305" s="6">
        <v>0</v>
      </c>
      <c r="P305" s="6">
        <v>1</v>
      </c>
      <c r="Q305" s="4" t="s">
        <v>60</v>
      </c>
      <c r="R305" s="4">
        <v>0</v>
      </c>
      <c r="S305" s="6">
        <v>0</v>
      </c>
      <c r="T305" s="6">
        <v>30</v>
      </c>
      <c r="U305" s="6">
        <v>0</v>
      </c>
      <c r="V305" s="6">
        <f>IF(ISERROR(VLOOKUP($S$305,'TAR FIN'!$A$1:$O$95,15,0)),0,VLOOKUP($S$305,'TAR FIN'!$A$1:$O$95,15,0))</f>
        <v>0</v>
      </c>
      <c r="W305" s="6">
        <f>IF(ISERROR(VLOOKUP($T$305,'TAR FIN'!$A$1:$O$95,15,0)),0,VLOOKUP($T$305,'TAR FIN'!$A$1:$O$95,15,0))</f>
        <v>149.63</v>
      </c>
      <c r="X305" s="6">
        <f>IF(ISERROR(VLOOKUP($U$305,'TAR FIN'!$A$1:$O$95,15,0)),0,VLOOKUP($U$305,'TAR FIN'!$A$1:$O$95,15,0))</f>
        <v>0</v>
      </c>
      <c r="Y305" s="6"/>
      <c r="Z305" s="6">
        <f ca="1">('TUSD BE'!$AM$12+'TUSD BF'!$AM$12+'TUSD CVA'!$AM$12)*1</f>
        <v>168.51338132937991</v>
      </c>
      <c r="AA305" s="6"/>
      <c r="AB305" s="6">
        <f>$K$305*$V$305</f>
        <v>0</v>
      </c>
      <c r="AC305" s="6">
        <f>$M$305*$W$305</f>
        <v>110447.28967999999</v>
      </c>
      <c r="AD305" s="6">
        <f>$O$305*$X$305</f>
        <v>0</v>
      </c>
      <c r="AE305" s="6">
        <f>$K$305*$Y$305</f>
        <v>0</v>
      </c>
      <c r="AF305" s="6">
        <f ca="1">$M$305*$Z$305</f>
        <v>124385.79324094317</v>
      </c>
      <c r="AG305" s="6">
        <f>$O$305*$AA$305</f>
        <v>0</v>
      </c>
    </row>
    <row r="306" spans="1:33" ht="11.25" customHeight="1" x14ac:dyDescent="0.25">
      <c r="A306" s="4" t="s">
        <v>21</v>
      </c>
      <c r="B306" s="4" t="s">
        <v>35</v>
      </c>
      <c r="C306" s="4" t="s">
        <v>44</v>
      </c>
      <c r="D306" s="4" t="s">
        <v>45</v>
      </c>
      <c r="E306" s="4" t="s">
        <v>25</v>
      </c>
      <c r="F306" s="4" t="s">
        <v>25</v>
      </c>
      <c r="G306" s="4" t="s">
        <v>25</v>
      </c>
      <c r="H306" s="4" t="s">
        <v>25</v>
      </c>
      <c r="I306" s="5">
        <v>44317</v>
      </c>
      <c r="J306" s="6">
        <v>0</v>
      </c>
      <c r="K306" s="6">
        <v>0</v>
      </c>
      <c r="L306" s="6">
        <v>625.072</v>
      </c>
      <c r="M306" s="6">
        <v>625.072</v>
      </c>
      <c r="N306" s="6">
        <v>0</v>
      </c>
      <c r="O306" s="6">
        <v>0</v>
      </c>
      <c r="P306" s="6">
        <v>1</v>
      </c>
      <c r="Q306" s="4" t="s">
        <v>60</v>
      </c>
      <c r="R306" s="4">
        <v>0</v>
      </c>
      <c r="S306" s="6">
        <v>0</v>
      </c>
      <c r="T306" s="6">
        <v>30</v>
      </c>
      <c r="U306" s="6">
        <v>0</v>
      </c>
      <c r="V306" s="6">
        <f>IF(ISERROR(VLOOKUP($S$306,'TAR FIN'!$A$1:$O$95,15,0)),0,VLOOKUP($S$306,'TAR FIN'!$A$1:$O$95,15,0))</f>
        <v>0</v>
      </c>
      <c r="W306" s="6">
        <f>IF(ISERROR(VLOOKUP($T$306,'TAR FIN'!$A$1:$O$95,15,0)),0,VLOOKUP($T$306,'TAR FIN'!$A$1:$O$95,15,0))</f>
        <v>149.63</v>
      </c>
      <c r="X306" s="6">
        <f>IF(ISERROR(VLOOKUP($U$306,'TAR FIN'!$A$1:$O$95,15,0)),0,VLOOKUP($U$306,'TAR FIN'!$A$1:$O$95,15,0))</f>
        <v>0</v>
      </c>
      <c r="Y306" s="6"/>
      <c r="Z306" s="6">
        <f ca="1">('TUSD BE'!$AM$12+'TUSD BF'!$AM$12+'TUSD CVA'!$AM$12)*1</f>
        <v>168.51338132937991</v>
      </c>
      <c r="AA306" s="6"/>
      <c r="AB306" s="6">
        <f>$K$306*$V$306</f>
        <v>0</v>
      </c>
      <c r="AC306" s="6">
        <f>$M$306*$W$306</f>
        <v>93529.523359999992</v>
      </c>
      <c r="AD306" s="6">
        <f>$O$306*$X$306</f>
        <v>0</v>
      </c>
      <c r="AE306" s="6">
        <f>$K$306*$Y$306</f>
        <v>0</v>
      </c>
      <c r="AF306" s="6">
        <f ca="1">$M$306*$Z$306</f>
        <v>105332.99629431816</v>
      </c>
      <c r="AG306" s="6">
        <f>$O$306*$AA$306</f>
        <v>0</v>
      </c>
    </row>
    <row r="307" spans="1:33" ht="11.25" customHeight="1" x14ac:dyDescent="0.25">
      <c r="A307" s="4" t="s">
        <v>21</v>
      </c>
      <c r="B307" s="4" t="s">
        <v>35</v>
      </c>
      <c r="C307" s="4" t="s">
        <v>44</v>
      </c>
      <c r="D307" s="4" t="s">
        <v>45</v>
      </c>
      <c r="E307" s="4" t="s">
        <v>25</v>
      </c>
      <c r="F307" s="4" t="s">
        <v>25</v>
      </c>
      <c r="G307" s="4" t="s">
        <v>25</v>
      </c>
      <c r="H307" s="4" t="s">
        <v>25</v>
      </c>
      <c r="I307" s="5">
        <v>44378</v>
      </c>
      <c r="J307" s="6">
        <v>0</v>
      </c>
      <c r="K307" s="6">
        <v>0</v>
      </c>
      <c r="L307" s="6">
        <v>605.42999999999995</v>
      </c>
      <c r="M307" s="6">
        <v>605.42999999999995</v>
      </c>
      <c r="N307" s="6">
        <v>0</v>
      </c>
      <c r="O307" s="6">
        <v>0</v>
      </c>
      <c r="P307" s="6">
        <v>1</v>
      </c>
      <c r="Q307" s="4" t="s">
        <v>60</v>
      </c>
      <c r="R307" s="4">
        <v>0</v>
      </c>
      <c r="S307" s="6">
        <v>0</v>
      </c>
      <c r="T307" s="6">
        <v>30</v>
      </c>
      <c r="U307" s="6">
        <v>0</v>
      </c>
      <c r="V307" s="6">
        <f>IF(ISERROR(VLOOKUP($S$307,'TAR FIN'!$A$1:$O$95,15,0)),0,VLOOKUP($S$307,'TAR FIN'!$A$1:$O$95,15,0))</f>
        <v>0</v>
      </c>
      <c r="W307" s="6">
        <f>IF(ISERROR(VLOOKUP($T$307,'TAR FIN'!$A$1:$O$95,15,0)),0,VLOOKUP($T$307,'TAR FIN'!$A$1:$O$95,15,0))</f>
        <v>149.63</v>
      </c>
      <c r="X307" s="6">
        <f>IF(ISERROR(VLOOKUP($U$307,'TAR FIN'!$A$1:$O$95,15,0)),0,VLOOKUP($U$307,'TAR FIN'!$A$1:$O$95,15,0))</f>
        <v>0</v>
      </c>
      <c r="Y307" s="6"/>
      <c r="Z307" s="6">
        <f ca="1">('TUSD BE'!$AM$12+'TUSD BF'!$AM$12+'TUSD CVA'!$AM$12)*1</f>
        <v>168.51338132937991</v>
      </c>
      <c r="AA307" s="6"/>
      <c r="AB307" s="6">
        <f>$K$307*$V$307</f>
        <v>0</v>
      </c>
      <c r="AC307" s="6">
        <f>$M$307*$W$307</f>
        <v>90590.49089999999</v>
      </c>
      <c r="AD307" s="6">
        <f>$O$307*$X$307</f>
        <v>0</v>
      </c>
      <c r="AE307" s="6">
        <f>$K$307*$Y$307</f>
        <v>0</v>
      </c>
      <c r="AF307" s="6">
        <f ca="1">$M$307*$Z$307</f>
        <v>102023.05645824647</v>
      </c>
      <c r="AG307" s="6">
        <f>$O$307*$AA$307</f>
        <v>0</v>
      </c>
    </row>
    <row r="308" spans="1:33" ht="11.25" customHeight="1" x14ac:dyDescent="0.25">
      <c r="A308" s="4" t="s">
        <v>21</v>
      </c>
      <c r="B308" s="4" t="s">
        <v>35</v>
      </c>
      <c r="C308" s="4" t="s">
        <v>44</v>
      </c>
      <c r="D308" s="4" t="s">
        <v>45</v>
      </c>
      <c r="E308" s="4" t="s">
        <v>25</v>
      </c>
      <c r="F308" s="4" t="s">
        <v>25</v>
      </c>
      <c r="G308" s="4" t="s">
        <v>25</v>
      </c>
      <c r="H308" s="4" t="s">
        <v>25</v>
      </c>
      <c r="I308" s="5">
        <v>44409</v>
      </c>
      <c r="J308" s="6">
        <v>0</v>
      </c>
      <c r="K308" s="6">
        <v>0</v>
      </c>
      <c r="L308" s="6">
        <v>552.62199999999996</v>
      </c>
      <c r="M308" s="6">
        <v>552.62199999999996</v>
      </c>
      <c r="N308" s="6">
        <v>0</v>
      </c>
      <c r="O308" s="6">
        <v>0</v>
      </c>
      <c r="P308" s="6">
        <v>1</v>
      </c>
      <c r="Q308" s="4" t="s">
        <v>60</v>
      </c>
      <c r="R308" s="4">
        <v>0</v>
      </c>
      <c r="S308" s="6">
        <v>0</v>
      </c>
      <c r="T308" s="6">
        <v>30</v>
      </c>
      <c r="U308" s="6">
        <v>0</v>
      </c>
      <c r="V308" s="6">
        <f>IF(ISERROR(VLOOKUP($S$308,'TAR FIN'!$A$1:$O$95,15,0)),0,VLOOKUP($S$308,'TAR FIN'!$A$1:$O$95,15,0))</f>
        <v>0</v>
      </c>
      <c r="W308" s="6">
        <f>IF(ISERROR(VLOOKUP($T$308,'TAR FIN'!$A$1:$O$95,15,0)),0,VLOOKUP($T$308,'TAR FIN'!$A$1:$O$95,15,0))</f>
        <v>149.63</v>
      </c>
      <c r="X308" s="6">
        <f>IF(ISERROR(VLOOKUP($U$308,'TAR FIN'!$A$1:$O$95,15,0)),0,VLOOKUP($U$308,'TAR FIN'!$A$1:$O$95,15,0))</f>
        <v>0</v>
      </c>
      <c r="Y308" s="6"/>
      <c r="Z308" s="6">
        <f ca="1">('TUSD BE'!$AM$12+'TUSD BF'!$AM$12+'TUSD CVA'!$AM$12)*1</f>
        <v>168.51338132937991</v>
      </c>
      <c r="AA308" s="6"/>
      <c r="AB308" s="6">
        <f>$K$308*$V$308</f>
        <v>0</v>
      </c>
      <c r="AC308" s="6">
        <f>$M$308*$W$308</f>
        <v>82688.829859999998</v>
      </c>
      <c r="AD308" s="6">
        <f>$O$308*$X$308</f>
        <v>0</v>
      </c>
      <c r="AE308" s="6">
        <f>$K$308*$Y$308</f>
        <v>0</v>
      </c>
      <c r="AF308" s="6">
        <f ca="1">$M$308*$Z$308</f>
        <v>93124.201817004578</v>
      </c>
      <c r="AG308" s="6">
        <f>$O$308*$AA$308</f>
        <v>0</v>
      </c>
    </row>
    <row r="309" spans="1:33" ht="11.25" customHeight="1" x14ac:dyDescent="0.25">
      <c r="A309" s="4" t="s">
        <v>21</v>
      </c>
      <c r="B309" s="4" t="s">
        <v>35</v>
      </c>
      <c r="C309" s="4" t="s">
        <v>44</v>
      </c>
      <c r="D309" s="4" t="s">
        <v>45</v>
      </c>
      <c r="E309" s="4" t="s">
        <v>25</v>
      </c>
      <c r="F309" s="4" t="s">
        <v>25</v>
      </c>
      <c r="G309" s="4" t="s">
        <v>25</v>
      </c>
      <c r="H309" s="4" t="s">
        <v>25</v>
      </c>
      <c r="I309" s="5">
        <v>44440</v>
      </c>
      <c r="J309" s="6">
        <v>0</v>
      </c>
      <c r="K309" s="6">
        <v>0</v>
      </c>
      <c r="L309" s="6">
        <v>485.702</v>
      </c>
      <c r="M309" s="6">
        <v>485.702</v>
      </c>
      <c r="N309" s="6">
        <v>0</v>
      </c>
      <c r="O309" s="6">
        <v>0</v>
      </c>
      <c r="P309" s="6">
        <v>1</v>
      </c>
      <c r="Q309" s="4" t="s">
        <v>60</v>
      </c>
      <c r="R309" s="4">
        <v>0</v>
      </c>
      <c r="S309" s="6">
        <v>0</v>
      </c>
      <c r="T309" s="6">
        <v>30</v>
      </c>
      <c r="U309" s="6">
        <v>0</v>
      </c>
      <c r="V309" s="6">
        <f>IF(ISERROR(VLOOKUP($S$309,'TAR FIN'!$A$1:$O$95,15,0)),0,VLOOKUP($S$309,'TAR FIN'!$A$1:$O$95,15,0))</f>
        <v>0</v>
      </c>
      <c r="W309" s="6">
        <f>IF(ISERROR(VLOOKUP($T$309,'TAR FIN'!$A$1:$O$95,15,0)),0,VLOOKUP($T$309,'TAR FIN'!$A$1:$O$95,15,0))</f>
        <v>149.63</v>
      </c>
      <c r="X309" s="6">
        <f>IF(ISERROR(VLOOKUP($U$309,'TAR FIN'!$A$1:$O$95,15,0)),0,VLOOKUP($U$309,'TAR FIN'!$A$1:$O$95,15,0))</f>
        <v>0</v>
      </c>
      <c r="Y309" s="6"/>
      <c r="Z309" s="6">
        <f ca="1">('TUSD BE'!$AM$12+'TUSD BF'!$AM$12+'TUSD CVA'!$AM$12)*1</f>
        <v>168.51338132937991</v>
      </c>
      <c r="AA309" s="6"/>
      <c r="AB309" s="6">
        <f>$K$309*$V$309</f>
        <v>0</v>
      </c>
      <c r="AC309" s="6">
        <f>$M$309*$W$309</f>
        <v>72675.590259999997</v>
      </c>
      <c r="AD309" s="6">
        <f>$O$309*$X$309</f>
        <v>0</v>
      </c>
      <c r="AE309" s="6">
        <f>$K$309*$Y$309</f>
        <v>0</v>
      </c>
      <c r="AF309" s="6">
        <f ca="1">$M$309*$Z$309</f>
        <v>81847.286338442485</v>
      </c>
      <c r="AG309" s="6">
        <f>$O$309*$AA$309</f>
        <v>0</v>
      </c>
    </row>
    <row r="310" spans="1:33" ht="11.25" customHeight="1" x14ac:dyDescent="0.25">
      <c r="A310" s="4" t="s">
        <v>59</v>
      </c>
      <c r="B310" s="4" t="s">
        <v>35</v>
      </c>
      <c r="C310" s="4" t="s">
        <v>44</v>
      </c>
      <c r="D310" s="4" t="s">
        <v>45</v>
      </c>
      <c r="E310" s="4" t="s">
        <v>25</v>
      </c>
      <c r="F310" s="4" t="s">
        <v>25</v>
      </c>
      <c r="G310" s="4" t="s">
        <v>25</v>
      </c>
      <c r="H310" s="4" t="s">
        <v>25</v>
      </c>
      <c r="I310" s="5">
        <v>44470</v>
      </c>
      <c r="J310" s="6">
        <v>0</v>
      </c>
      <c r="K310" s="6">
        <v>0</v>
      </c>
      <c r="L310" s="6">
        <v>485.702</v>
      </c>
      <c r="M310" s="6">
        <v>485.702</v>
      </c>
      <c r="N310" s="6">
        <v>0</v>
      </c>
      <c r="O310" s="6">
        <v>0</v>
      </c>
      <c r="P310" s="6">
        <v>1</v>
      </c>
      <c r="Q310" s="4" t="s">
        <v>60</v>
      </c>
      <c r="R310" s="4">
        <v>0</v>
      </c>
      <c r="S310" s="6">
        <v>0</v>
      </c>
      <c r="T310" s="6">
        <v>30</v>
      </c>
      <c r="U310" s="6">
        <v>0</v>
      </c>
      <c r="V310" s="6">
        <f>IF(ISERROR(VLOOKUP($S$310,'TAR FIN'!$A$1:$O$95,15,0)),0,VLOOKUP($S$310,'TAR FIN'!$A$1:$O$95,15,0))</f>
        <v>0</v>
      </c>
      <c r="W310" s="6">
        <f>IF(ISERROR(VLOOKUP($T$310,'TAR FIN'!$A$1:$O$95,15,0)),0,VLOOKUP($T$310,'TAR FIN'!$A$1:$O$95,15,0))</f>
        <v>149.63</v>
      </c>
      <c r="X310" s="6">
        <f>IF(ISERROR(VLOOKUP($U$310,'TAR FIN'!$A$1:$O$95,15,0)),0,VLOOKUP($U$310,'TAR FIN'!$A$1:$O$95,15,0))</f>
        <v>0</v>
      </c>
      <c r="Y310" s="6"/>
      <c r="Z310" s="6">
        <f ca="1">('TUSD BE'!$AM$12+'TUSD BF'!$AM$12+'TUSD CVA'!$AM$12)*1</f>
        <v>168.51338132937991</v>
      </c>
      <c r="AA310" s="6"/>
      <c r="AB310" s="6">
        <f>$K$310*$V$310</f>
        <v>0</v>
      </c>
      <c r="AC310" s="6">
        <f>$M$310*$W$310</f>
        <v>72675.590259999997</v>
      </c>
      <c r="AD310" s="6">
        <f>$O$310*$X$310</f>
        <v>0</v>
      </c>
      <c r="AE310" s="6">
        <f>$K$310*$Y$310</f>
        <v>0</v>
      </c>
      <c r="AF310" s="6">
        <f ca="1">$M$310*$Z$310</f>
        <v>81847.286338442485</v>
      </c>
      <c r="AG310" s="6">
        <f>$O$310*$AA$310</f>
        <v>0</v>
      </c>
    </row>
    <row r="311" spans="1:33" ht="11.25" customHeight="1" x14ac:dyDescent="0.25">
      <c r="A311" s="4" t="s">
        <v>21</v>
      </c>
      <c r="B311" s="4" t="s">
        <v>35</v>
      </c>
      <c r="C311" s="4" t="s">
        <v>44</v>
      </c>
      <c r="D311" s="4" t="s">
        <v>45</v>
      </c>
      <c r="E311" s="4" t="s">
        <v>25</v>
      </c>
      <c r="F311" s="4" t="s">
        <v>25</v>
      </c>
      <c r="G311" s="4" t="s">
        <v>25</v>
      </c>
      <c r="H311" s="4" t="s">
        <v>37</v>
      </c>
      <c r="I311" s="5">
        <v>44136</v>
      </c>
      <c r="J311" s="6">
        <v>14266</v>
      </c>
      <c r="K311" s="6">
        <v>14266</v>
      </c>
      <c r="L311" s="6">
        <v>390.85599999999999</v>
      </c>
      <c r="M311" s="6">
        <v>390.85599999999999</v>
      </c>
      <c r="N311" s="6">
        <v>390.85599999999999</v>
      </c>
      <c r="O311" s="6">
        <v>390.85599999999999</v>
      </c>
      <c r="P311" s="6">
        <v>0</v>
      </c>
      <c r="Q311" s="4" t="s">
        <v>26</v>
      </c>
      <c r="R311" s="4">
        <v>0</v>
      </c>
      <c r="S311" s="6">
        <v>28</v>
      </c>
      <c r="T311" s="6">
        <v>30</v>
      </c>
      <c r="U311" s="6">
        <v>66</v>
      </c>
      <c r="V311" s="6">
        <f>IF(ISERROR(VLOOKUP($S$311,'TAR FIN'!$A$1:$O$95,15,0)),0,VLOOKUP($S$311,'TAR FIN'!$A$1:$O$95,15,0))</f>
        <v>52.99</v>
      </c>
      <c r="W311" s="6">
        <f>IF(ISERROR(VLOOKUP($T$311,'TAR FIN'!$A$1:$O$95,15,0)),0,VLOOKUP($T$311,'TAR FIN'!$A$1:$O$95,15,0))</f>
        <v>149.63</v>
      </c>
      <c r="X311" s="6">
        <f>IF(ISERROR(VLOOKUP($U$311,'TAR FIN'!$A$1:$O$95,15,0)),0,VLOOKUP($U$311,'TAR FIN'!$A$1:$O$95,15,0))</f>
        <v>389.28</v>
      </c>
      <c r="Y311" s="6">
        <f ca="1">('TUSD BE'!$AM$10+'TUSD BF'!$AM$10+'TUSD CVA'!$AM$10)*1</f>
        <v>59.276351675174958</v>
      </c>
      <c r="Z311" s="6">
        <f ca="1">('TUSD BE'!$AM$12+'TUSD BF'!$AM$12+'TUSD CVA'!$AM$12)*1</f>
        <v>168.51338132937991</v>
      </c>
      <c r="AA311" s="6">
        <f>('TE BE'!$AA$7+'TE BF'!$AA$7+'TE CVA'!$AA$7)*1</f>
        <v>454.3285679284046</v>
      </c>
      <c r="AB311" s="6">
        <f>$K$311*$V$311</f>
        <v>755955.34000000008</v>
      </c>
      <c r="AC311" s="6">
        <f>$M$311*$W$311</f>
        <v>58483.783279999996</v>
      </c>
      <c r="AD311" s="6">
        <f>$O$311*$X$311</f>
        <v>152152.42367999998</v>
      </c>
      <c r="AE311" s="6">
        <f ca="1">$K$311*$Y$311</f>
        <v>845636.43299804593</v>
      </c>
      <c r="AF311" s="6">
        <f ca="1">$M$311*$Z$311</f>
        <v>65864.466172876113</v>
      </c>
      <c r="AG311" s="6">
        <f>$O$311*$AA$311</f>
        <v>177577.04674622451</v>
      </c>
    </row>
    <row r="312" spans="1:33" ht="11.25" customHeight="1" x14ac:dyDescent="0.25">
      <c r="A312" s="4" t="s">
        <v>28</v>
      </c>
      <c r="B312" s="4" t="s">
        <v>35</v>
      </c>
      <c r="C312" s="4" t="s">
        <v>44</v>
      </c>
      <c r="D312" s="4" t="s">
        <v>45</v>
      </c>
      <c r="E312" s="4" t="s">
        <v>25</v>
      </c>
      <c r="F312" s="4" t="s">
        <v>25</v>
      </c>
      <c r="G312" s="4" t="s">
        <v>25</v>
      </c>
      <c r="H312" s="4" t="s">
        <v>37</v>
      </c>
      <c r="I312" s="5">
        <v>44136</v>
      </c>
      <c r="J312" s="6">
        <v>634</v>
      </c>
      <c r="K312" s="6">
        <v>634</v>
      </c>
      <c r="L312" s="6">
        <v>11.07</v>
      </c>
      <c r="M312" s="6">
        <v>11.07</v>
      </c>
      <c r="N312" s="6">
        <v>11.07</v>
      </c>
      <c r="O312" s="6">
        <v>11.07</v>
      </c>
      <c r="P312" s="6">
        <v>0</v>
      </c>
      <c r="Q312" s="4" t="s">
        <v>26</v>
      </c>
      <c r="R312" s="4">
        <v>0</v>
      </c>
      <c r="S312" s="6">
        <v>28</v>
      </c>
      <c r="T312" s="6">
        <v>30</v>
      </c>
      <c r="U312" s="6">
        <v>66</v>
      </c>
      <c r="V312" s="6">
        <f>IF(ISERROR(VLOOKUP($S$312,'TAR FIN'!$A$1:$O$95,15,0)),0,VLOOKUP($S$312,'TAR FIN'!$A$1:$O$95,15,0))</f>
        <v>52.99</v>
      </c>
      <c r="W312" s="6">
        <f>IF(ISERROR(VLOOKUP($T$312,'TAR FIN'!$A$1:$O$95,15,0)),0,VLOOKUP($T$312,'TAR FIN'!$A$1:$O$95,15,0))</f>
        <v>149.63</v>
      </c>
      <c r="X312" s="6">
        <f>IF(ISERROR(VLOOKUP($U$312,'TAR FIN'!$A$1:$O$95,15,0)),0,VLOOKUP($U$312,'TAR FIN'!$A$1:$O$95,15,0))</f>
        <v>389.28</v>
      </c>
      <c r="Y312" s="6">
        <f ca="1">('TUSD BE'!$AM$10+'TUSD BF'!$AM$10+'TUSD CVA'!$AM$10)*1</f>
        <v>59.276351675174958</v>
      </c>
      <c r="Z312" s="6">
        <f ca="1">('TUSD BE'!$AM$12+'TUSD BF'!$AM$12+'TUSD CVA'!$AM$12)*1</f>
        <v>168.51338132937991</v>
      </c>
      <c r="AA312" s="6">
        <f>('TE BE'!$AA$7+'TE BF'!$AA$7+'TE CVA'!$AA$7)*1</f>
        <v>454.3285679284046</v>
      </c>
      <c r="AB312" s="6">
        <f>$K$312*$V$312</f>
        <v>33595.660000000003</v>
      </c>
      <c r="AC312" s="6">
        <f>$M$312*$W$312</f>
        <v>1656.4041</v>
      </c>
      <c r="AD312" s="6">
        <f>$O$312*$X$312</f>
        <v>4309.3296</v>
      </c>
      <c r="AE312" s="6">
        <f ca="1">$K$312*$Y$312</f>
        <v>37581.206962060925</v>
      </c>
      <c r="AF312" s="6">
        <f ca="1">$M$312*$Z$312</f>
        <v>1865.4431313162356</v>
      </c>
      <c r="AG312" s="6">
        <f>$O$312*$AA$312</f>
        <v>5029.4172469674386</v>
      </c>
    </row>
    <row r="313" spans="1:33" ht="11.25" customHeight="1" x14ac:dyDescent="0.25">
      <c r="A313" s="4" t="s">
        <v>30</v>
      </c>
      <c r="B313" s="4" t="s">
        <v>35</v>
      </c>
      <c r="C313" s="4" t="s">
        <v>44</v>
      </c>
      <c r="D313" s="4" t="s">
        <v>45</v>
      </c>
      <c r="E313" s="4" t="s">
        <v>25</v>
      </c>
      <c r="F313" s="4" t="s">
        <v>25</v>
      </c>
      <c r="G313" s="4" t="s">
        <v>25</v>
      </c>
      <c r="H313" s="4" t="s">
        <v>37</v>
      </c>
      <c r="I313" s="5">
        <v>44136</v>
      </c>
      <c r="J313" s="6">
        <v>441</v>
      </c>
      <c r="K313" s="6">
        <v>441</v>
      </c>
      <c r="L313" s="6">
        <v>23.234999999999999</v>
      </c>
      <c r="M313" s="6">
        <v>23.234999999999999</v>
      </c>
      <c r="N313" s="6">
        <v>23.234999999999999</v>
      </c>
      <c r="O313" s="6">
        <v>23.234999999999999</v>
      </c>
      <c r="P313" s="6">
        <v>0</v>
      </c>
      <c r="Q313" s="4" t="s">
        <v>26</v>
      </c>
      <c r="R313" s="4">
        <v>0</v>
      </c>
      <c r="S313" s="6">
        <v>28</v>
      </c>
      <c r="T313" s="6">
        <v>30</v>
      </c>
      <c r="U313" s="6">
        <v>66</v>
      </c>
      <c r="V313" s="6">
        <f>IF(ISERROR(VLOOKUP($S$313,'TAR FIN'!$A$1:$O$95,15,0)),0,VLOOKUP($S$313,'TAR FIN'!$A$1:$O$95,15,0))</f>
        <v>52.99</v>
      </c>
      <c r="W313" s="6">
        <f>IF(ISERROR(VLOOKUP($T$313,'TAR FIN'!$A$1:$O$95,15,0)),0,VLOOKUP($T$313,'TAR FIN'!$A$1:$O$95,15,0))</f>
        <v>149.63</v>
      </c>
      <c r="X313" s="6">
        <f>IF(ISERROR(VLOOKUP($U$313,'TAR FIN'!$A$1:$O$95,15,0)),0,VLOOKUP($U$313,'TAR FIN'!$A$1:$O$95,15,0))</f>
        <v>389.28</v>
      </c>
      <c r="Y313" s="6">
        <f ca="1">('TUSD BE'!$AM$10+'TUSD BF'!$AM$10+'TUSD CVA'!$AM$10)*1</f>
        <v>59.276351675174958</v>
      </c>
      <c r="Z313" s="6">
        <f ca="1">('TUSD BE'!$AM$12+'TUSD BF'!$AM$12+'TUSD CVA'!$AM$12)*1</f>
        <v>168.51338132937991</v>
      </c>
      <c r="AA313" s="6">
        <f>('TE BE'!$AA$7+'TE BF'!$AA$7+'TE CVA'!$AA$7)*1</f>
        <v>454.3285679284046</v>
      </c>
      <c r="AB313" s="6">
        <f>$K$313*$V$313</f>
        <v>23368.59</v>
      </c>
      <c r="AC313" s="6">
        <f>$M$313*$W$313</f>
        <v>3476.6530499999999</v>
      </c>
      <c r="AD313" s="6">
        <f>$O$313*$X$313</f>
        <v>9044.9207999999999</v>
      </c>
      <c r="AE313" s="6">
        <f ca="1">$K$313*$Y$313</f>
        <v>26140.871088752156</v>
      </c>
      <c r="AF313" s="6">
        <f ca="1">$M$313*$Z$313</f>
        <v>3915.408415188142</v>
      </c>
      <c r="AG313" s="6">
        <f>$O$313*$AA$313</f>
        <v>10556.32427581648</v>
      </c>
    </row>
    <row r="314" spans="1:33" ht="11.25" customHeight="1" x14ac:dyDescent="0.25">
      <c r="A314" s="4" t="s">
        <v>21</v>
      </c>
      <c r="B314" s="4" t="s">
        <v>35</v>
      </c>
      <c r="C314" s="4" t="s">
        <v>44</v>
      </c>
      <c r="D314" s="4" t="s">
        <v>45</v>
      </c>
      <c r="E314" s="4" t="s">
        <v>25</v>
      </c>
      <c r="F314" s="4" t="s">
        <v>25</v>
      </c>
      <c r="G314" s="4" t="s">
        <v>25</v>
      </c>
      <c r="H314" s="4" t="s">
        <v>37</v>
      </c>
      <c r="I314" s="5">
        <v>44166</v>
      </c>
      <c r="J314" s="6">
        <v>14079</v>
      </c>
      <c r="K314" s="6">
        <v>14079</v>
      </c>
      <c r="L314" s="6">
        <v>421.47199999999998</v>
      </c>
      <c r="M314" s="6">
        <v>421.47199999999998</v>
      </c>
      <c r="N314" s="6">
        <v>421.47199999999998</v>
      </c>
      <c r="O314" s="6">
        <v>421.47199999999998</v>
      </c>
      <c r="P314" s="6">
        <v>0</v>
      </c>
      <c r="Q314" s="4" t="s">
        <v>26</v>
      </c>
      <c r="R314" s="4">
        <v>0</v>
      </c>
      <c r="S314" s="6">
        <v>28</v>
      </c>
      <c r="T314" s="6">
        <v>30</v>
      </c>
      <c r="U314" s="6">
        <v>66</v>
      </c>
      <c r="V314" s="6">
        <f>IF(ISERROR(VLOOKUP($S$314,'TAR FIN'!$A$1:$O$95,15,0)),0,VLOOKUP($S$314,'TAR FIN'!$A$1:$O$95,15,0))</f>
        <v>52.99</v>
      </c>
      <c r="W314" s="6">
        <f>IF(ISERROR(VLOOKUP($T$314,'TAR FIN'!$A$1:$O$95,15,0)),0,VLOOKUP($T$314,'TAR FIN'!$A$1:$O$95,15,0))</f>
        <v>149.63</v>
      </c>
      <c r="X314" s="6">
        <f>IF(ISERROR(VLOOKUP($U$314,'TAR FIN'!$A$1:$O$95,15,0)),0,VLOOKUP($U$314,'TAR FIN'!$A$1:$O$95,15,0))</f>
        <v>389.28</v>
      </c>
      <c r="Y314" s="6">
        <f ca="1">('TUSD BE'!$AM$10+'TUSD BF'!$AM$10+'TUSD CVA'!$AM$10)*1</f>
        <v>59.276351675174958</v>
      </c>
      <c r="Z314" s="6">
        <f ca="1">('TUSD BE'!$AM$12+'TUSD BF'!$AM$12+'TUSD CVA'!$AM$12)*1</f>
        <v>168.51338132937991</v>
      </c>
      <c r="AA314" s="6">
        <f>('TE BE'!$AA$7+'TE BF'!$AA$7+'TE CVA'!$AA$7)*1</f>
        <v>454.3285679284046</v>
      </c>
      <c r="AB314" s="6">
        <f>$K$314*$V$314</f>
        <v>746046.21000000008</v>
      </c>
      <c r="AC314" s="6">
        <f>$M$314*$W$314</f>
        <v>63064.855359999994</v>
      </c>
      <c r="AD314" s="6">
        <f>$O$314*$X$314</f>
        <v>164070.62015999999</v>
      </c>
      <c r="AE314" s="6">
        <f ca="1">$K$314*$Y$314</f>
        <v>834551.75523478817</v>
      </c>
      <c r="AF314" s="6">
        <f ca="1">$M$314*$Z$314</f>
        <v>71023.671855656401</v>
      </c>
      <c r="AG314" s="6">
        <f>$O$314*$AA$314</f>
        <v>191486.77018192052</v>
      </c>
    </row>
    <row r="315" spans="1:33" ht="11.25" customHeight="1" x14ac:dyDescent="0.25">
      <c r="A315" s="4" t="s">
        <v>28</v>
      </c>
      <c r="B315" s="4" t="s">
        <v>35</v>
      </c>
      <c r="C315" s="4" t="s">
        <v>44</v>
      </c>
      <c r="D315" s="4" t="s">
        <v>45</v>
      </c>
      <c r="E315" s="4" t="s">
        <v>25</v>
      </c>
      <c r="F315" s="4" t="s">
        <v>25</v>
      </c>
      <c r="G315" s="4" t="s">
        <v>25</v>
      </c>
      <c r="H315" s="4" t="s">
        <v>37</v>
      </c>
      <c r="I315" s="5">
        <v>44166</v>
      </c>
      <c r="J315" s="6">
        <v>693</v>
      </c>
      <c r="K315" s="6">
        <v>693</v>
      </c>
      <c r="L315" s="6">
        <v>13.523</v>
      </c>
      <c r="M315" s="6">
        <v>13.523</v>
      </c>
      <c r="N315" s="6">
        <v>13.523</v>
      </c>
      <c r="O315" s="6">
        <v>13.523</v>
      </c>
      <c r="P315" s="6">
        <v>0</v>
      </c>
      <c r="Q315" s="4" t="s">
        <v>26</v>
      </c>
      <c r="R315" s="4">
        <v>0</v>
      </c>
      <c r="S315" s="6">
        <v>28</v>
      </c>
      <c r="T315" s="6">
        <v>30</v>
      </c>
      <c r="U315" s="6">
        <v>66</v>
      </c>
      <c r="V315" s="6">
        <f>IF(ISERROR(VLOOKUP($S$315,'TAR FIN'!$A$1:$O$95,15,0)),0,VLOOKUP($S$315,'TAR FIN'!$A$1:$O$95,15,0))</f>
        <v>52.99</v>
      </c>
      <c r="W315" s="6">
        <f>IF(ISERROR(VLOOKUP($T$315,'TAR FIN'!$A$1:$O$95,15,0)),0,VLOOKUP($T$315,'TAR FIN'!$A$1:$O$95,15,0))</f>
        <v>149.63</v>
      </c>
      <c r="X315" s="6">
        <f>IF(ISERROR(VLOOKUP($U$315,'TAR FIN'!$A$1:$O$95,15,0)),0,VLOOKUP($U$315,'TAR FIN'!$A$1:$O$95,15,0))</f>
        <v>389.28</v>
      </c>
      <c r="Y315" s="6">
        <f ca="1">('TUSD BE'!$AM$10+'TUSD BF'!$AM$10+'TUSD CVA'!$AM$10)*1</f>
        <v>59.276351675174958</v>
      </c>
      <c r="Z315" s="6">
        <f ca="1">('TUSD BE'!$AM$12+'TUSD BF'!$AM$12+'TUSD CVA'!$AM$12)*1</f>
        <v>168.51338132937991</v>
      </c>
      <c r="AA315" s="6">
        <f>('TE BE'!$AA$7+'TE BF'!$AA$7+'TE CVA'!$AA$7)*1</f>
        <v>454.3285679284046</v>
      </c>
      <c r="AB315" s="6">
        <f>$K$315*$V$315</f>
        <v>36722.07</v>
      </c>
      <c r="AC315" s="6">
        <f>$M$315*$W$315</f>
        <v>2023.4464899999998</v>
      </c>
      <c r="AD315" s="6">
        <f>$O$315*$X$315</f>
        <v>5264.2334399999991</v>
      </c>
      <c r="AE315" s="6">
        <f ca="1">$K$315*$Y$315</f>
        <v>41078.511710896244</v>
      </c>
      <c r="AF315" s="6">
        <f ca="1">$M$315*$Z$315</f>
        <v>2278.8064557172047</v>
      </c>
      <c r="AG315" s="6">
        <f>$O$315*$AA$315</f>
        <v>6143.8852240958149</v>
      </c>
    </row>
    <row r="316" spans="1:33" ht="11.25" customHeight="1" x14ac:dyDescent="0.25">
      <c r="A316" s="4" t="s">
        <v>30</v>
      </c>
      <c r="B316" s="4" t="s">
        <v>35</v>
      </c>
      <c r="C316" s="4" t="s">
        <v>44</v>
      </c>
      <c r="D316" s="4" t="s">
        <v>45</v>
      </c>
      <c r="E316" s="4" t="s">
        <v>25</v>
      </c>
      <c r="F316" s="4" t="s">
        <v>25</v>
      </c>
      <c r="G316" s="4" t="s">
        <v>25</v>
      </c>
      <c r="H316" s="4" t="s">
        <v>37</v>
      </c>
      <c r="I316" s="5">
        <v>44166</v>
      </c>
      <c r="J316" s="6">
        <v>362</v>
      </c>
      <c r="K316" s="6">
        <v>362</v>
      </c>
      <c r="L316" s="6">
        <v>4.141</v>
      </c>
      <c r="M316" s="6">
        <v>4.141</v>
      </c>
      <c r="N316" s="6">
        <v>4.141</v>
      </c>
      <c r="O316" s="6">
        <v>4.141</v>
      </c>
      <c r="P316" s="6">
        <v>0</v>
      </c>
      <c r="Q316" s="4" t="s">
        <v>26</v>
      </c>
      <c r="R316" s="4">
        <v>0</v>
      </c>
      <c r="S316" s="6">
        <v>28</v>
      </c>
      <c r="T316" s="6">
        <v>30</v>
      </c>
      <c r="U316" s="6">
        <v>66</v>
      </c>
      <c r="V316" s="6">
        <f>IF(ISERROR(VLOOKUP($S$316,'TAR FIN'!$A$1:$O$95,15,0)),0,VLOOKUP($S$316,'TAR FIN'!$A$1:$O$95,15,0))</f>
        <v>52.99</v>
      </c>
      <c r="W316" s="6">
        <f>IF(ISERROR(VLOOKUP($T$316,'TAR FIN'!$A$1:$O$95,15,0)),0,VLOOKUP($T$316,'TAR FIN'!$A$1:$O$95,15,0))</f>
        <v>149.63</v>
      </c>
      <c r="X316" s="6">
        <f>IF(ISERROR(VLOOKUP($U$316,'TAR FIN'!$A$1:$O$95,15,0)),0,VLOOKUP($U$316,'TAR FIN'!$A$1:$O$95,15,0))</f>
        <v>389.28</v>
      </c>
      <c r="Y316" s="6">
        <f ca="1">('TUSD BE'!$AM$10+'TUSD BF'!$AM$10+'TUSD CVA'!$AM$10)*1</f>
        <v>59.276351675174958</v>
      </c>
      <c r="Z316" s="6">
        <f ca="1">('TUSD BE'!$AM$12+'TUSD BF'!$AM$12+'TUSD CVA'!$AM$12)*1</f>
        <v>168.51338132937991</v>
      </c>
      <c r="AA316" s="6">
        <f>('TE BE'!$AA$7+'TE BF'!$AA$7+'TE CVA'!$AA$7)*1</f>
        <v>454.3285679284046</v>
      </c>
      <c r="AB316" s="6">
        <f>$K$316*$V$316</f>
        <v>19182.38</v>
      </c>
      <c r="AC316" s="6">
        <f>$M$316*$W$316</f>
        <v>619.61783000000003</v>
      </c>
      <c r="AD316" s="6">
        <f>$O$316*$X$316</f>
        <v>1612.00848</v>
      </c>
      <c r="AE316" s="6">
        <f ca="1">$K$316*$Y$316</f>
        <v>21458.039306413335</v>
      </c>
      <c r="AF316" s="6">
        <f ca="1">$M$316*$Z$316</f>
        <v>697.81391208496223</v>
      </c>
      <c r="AG316" s="6">
        <f>$O$316*$AA$316</f>
        <v>1881.3745997915235</v>
      </c>
    </row>
    <row r="317" spans="1:33" ht="11.25" customHeight="1" x14ac:dyDescent="0.25">
      <c r="A317" s="4" t="s">
        <v>21</v>
      </c>
      <c r="B317" s="4" t="s">
        <v>35</v>
      </c>
      <c r="C317" s="4" t="s">
        <v>44</v>
      </c>
      <c r="D317" s="4" t="s">
        <v>45</v>
      </c>
      <c r="E317" s="4" t="s">
        <v>25</v>
      </c>
      <c r="F317" s="4" t="s">
        <v>25</v>
      </c>
      <c r="G317" s="4" t="s">
        <v>25</v>
      </c>
      <c r="H317" s="4" t="s">
        <v>37</v>
      </c>
      <c r="I317" s="5">
        <v>44197</v>
      </c>
      <c r="J317" s="6">
        <v>14088</v>
      </c>
      <c r="K317" s="6">
        <v>14088</v>
      </c>
      <c r="L317" s="6">
        <v>365.07900000000001</v>
      </c>
      <c r="M317" s="6">
        <v>365.07900000000001</v>
      </c>
      <c r="N317" s="6">
        <v>365.07900000000001</v>
      </c>
      <c r="O317" s="6">
        <v>365.07900000000001</v>
      </c>
      <c r="P317" s="6">
        <v>0</v>
      </c>
      <c r="Q317" s="4" t="s">
        <v>26</v>
      </c>
      <c r="R317" s="4">
        <v>0</v>
      </c>
      <c r="S317" s="6">
        <v>28</v>
      </c>
      <c r="T317" s="6">
        <v>30</v>
      </c>
      <c r="U317" s="6">
        <v>66</v>
      </c>
      <c r="V317" s="6">
        <f>IF(ISERROR(VLOOKUP($S$317,'TAR FIN'!$A$1:$O$95,15,0)),0,VLOOKUP($S$317,'TAR FIN'!$A$1:$O$95,15,0))</f>
        <v>52.99</v>
      </c>
      <c r="W317" s="6">
        <f>IF(ISERROR(VLOOKUP($T$317,'TAR FIN'!$A$1:$O$95,15,0)),0,VLOOKUP($T$317,'TAR FIN'!$A$1:$O$95,15,0))</f>
        <v>149.63</v>
      </c>
      <c r="X317" s="6">
        <f>IF(ISERROR(VLOOKUP($U$317,'TAR FIN'!$A$1:$O$95,15,0)),0,VLOOKUP($U$317,'TAR FIN'!$A$1:$O$95,15,0))</f>
        <v>389.28</v>
      </c>
      <c r="Y317" s="6">
        <f ca="1">('TUSD BE'!$AM$10+'TUSD BF'!$AM$10+'TUSD CVA'!$AM$10)*1</f>
        <v>59.276351675174958</v>
      </c>
      <c r="Z317" s="6">
        <f ca="1">('TUSD BE'!$AM$12+'TUSD BF'!$AM$12+'TUSD CVA'!$AM$12)*1</f>
        <v>168.51338132937991</v>
      </c>
      <c r="AA317" s="6">
        <f>('TE BE'!$AA$7+'TE BF'!$AA$7+'TE CVA'!$AA$7)*1</f>
        <v>454.3285679284046</v>
      </c>
      <c r="AB317" s="6">
        <f>$K$317*$V$317</f>
        <v>746523.12</v>
      </c>
      <c r="AC317" s="6">
        <f>$M$317*$W$317</f>
        <v>54626.770770000003</v>
      </c>
      <c r="AD317" s="6">
        <f>$O$317*$X$317</f>
        <v>142117.95311999999</v>
      </c>
      <c r="AE317" s="6">
        <f ca="1">$K$317*$Y$317</f>
        <v>835085.24239986483</v>
      </c>
      <c r="AF317" s="6">
        <f ca="1">$M$317*$Z$317</f>
        <v>61520.696742348693</v>
      </c>
      <c r="AG317" s="6">
        <f>$O$317*$AA$317</f>
        <v>165865.81925073403</v>
      </c>
    </row>
    <row r="318" spans="1:33" ht="11.25" customHeight="1" x14ac:dyDescent="0.25">
      <c r="A318" s="4" t="s">
        <v>27</v>
      </c>
      <c r="B318" s="4" t="s">
        <v>35</v>
      </c>
      <c r="C318" s="4" t="s">
        <v>44</v>
      </c>
      <c r="D318" s="4" t="s">
        <v>45</v>
      </c>
      <c r="E318" s="4" t="s">
        <v>25</v>
      </c>
      <c r="F318" s="4" t="s">
        <v>25</v>
      </c>
      <c r="G318" s="4" t="s">
        <v>25</v>
      </c>
      <c r="H318" s="4" t="s">
        <v>37</v>
      </c>
      <c r="I318" s="5">
        <v>44197</v>
      </c>
      <c r="J318" s="6">
        <v>-5</v>
      </c>
      <c r="K318" s="6">
        <v>-5</v>
      </c>
      <c r="L318" s="6">
        <v>-8.6020000000000003</v>
      </c>
      <c r="M318" s="6">
        <v>-8.6020000000000003</v>
      </c>
      <c r="N318" s="6">
        <v>-8.6020000000000003</v>
      </c>
      <c r="O318" s="6">
        <v>-8.6020000000000003</v>
      </c>
      <c r="P318" s="6">
        <v>0</v>
      </c>
      <c r="Q318" s="4" t="s">
        <v>26</v>
      </c>
      <c r="R318" s="4">
        <v>0</v>
      </c>
      <c r="S318" s="6">
        <v>28</v>
      </c>
      <c r="T318" s="6">
        <v>30</v>
      </c>
      <c r="U318" s="6">
        <v>66</v>
      </c>
      <c r="V318" s="6">
        <f>IF(ISERROR(VLOOKUP($S$318,'TAR FIN'!$A$1:$O$95,15,0)),0,VLOOKUP($S$318,'TAR FIN'!$A$1:$O$95,15,0))</f>
        <v>52.99</v>
      </c>
      <c r="W318" s="6">
        <f>IF(ISERROR(VLOOKUP($T$318,'TAR FIN'!$A$1:$O$95,15,0)),0,VLOOKUP($T$318,'TAR FIN'!$A$1:$O$95,15,0))</f>
        <v>149.63</v>
      </c>
      <c r="X318" s="6">
        <f>IF(ISERROR(VLOOKUP($U$318,'TAR FIN'!$A$1:$O$95,15,0)),0,VLOOKUP($U$318,'TAR FIN'!$A$1:$O$95,15,0))</f>
        <v>389.28</v>
      </c>
      <c r="Y318" s="6">
        <f ca="1">('TUSD BE'!$AM$10+'TUSD BF'!$AM$10+'TUSD CVA'!$AM$10)*1</f>
        <v>59.276351675174958</v>
      </c>
      <c r="Z318" s="6">
        <f ca="1">('TUSD BE'!$AM$12+'TUSD BF'!$AM$12+'TUSD CVA'!$AM$12)*1</f>
        <v>168.51338132937991</v>
      </c>
      <c r="AA318" s="6">
        <f>('TE BE'!$AA$7+'TE BF'!$AA$7+'TE CVA'!$AA$7)*1</f>
        <v>454.3285679284046</v>
      </c>
      <c r="AB318" s="6">
        <f>$K$318*$V$318</f>
        <v>-264.95</v>
      </c>
      <c r="AC318" s="6">
        <f>$M$318*$W$318</f>
        <v>-1287.11726</v>
      </c>
      <c r="AD318" s="6">
        <f>$O$318*$X$318</f>
        <v>-3348.5865599999997</v>
      </c>
      <c r="AE318" s="6">
        <f ca="1">$K$318*$Y$318</f>
        <v>-296.38175837587477</v>
      </c>
      <c r="AF318" s="6">
        <f ca="1">$M$318*$Z$318</f>
        <v>-1449.5521061953261</v>
      </c>
      <c r="AG318" s="6">
        <f>$O$318*$AA$318</f>
        <v>-3908.1343413201366</v>
      </c>
    </row>
    <row r="319" spans="1:33" ht="11.25" customHeight="1" x14ac:dyDescent="0.25">
      <c r="A319" s="4" t="s">
        <v>28</v>
      </c>
      <c r="B319" s="4" t="s">
        <v>35</v>
      </c>
      <c r="C319" s="4" t="s">
        <v>44</v>
      </c>
      <c r="D319" s="4" t="s">
        <v>45</v>
      </c>
      <c r="E319" s="4" t="s">
        <v>25</v>
      </c>
      <c r="F319" s="4" t="s">
        <v>25</v>
      </c>
      <c r="G319" s="4" t="s">
        <v>25</v>
      </c>
      <c r="H319" s="4" t="s">
        <v>37</v>
      </c>
      <c r="I319" s="5">
        <v>44197</v>
      </c>
      <c r="J319" s="6">
        <v>836</v>
      </c>
      <c r="K319" s="6">
        <v>836</v>
      </c>
      <c r="L319" s="6">
        <v>11.407</v>
      </c>
      <c r="M319" s="6">
        <v>11.407</v>
      </c>
      <c r="N319" s="6">
        <v>11.407</v>
      </c>
      <c r="O319" s="6">
        <v>11.407</v>
      </c>
      <c r="P319" s="6">
        <v>0</v>
      </c>
      <c r="Q319" s="4" t="s">
        <v>26</v>
      </c>
      <c r="R319" s="4">
        <v>0</v>
      </c>
      <c r="S319" s="6">
        <v>28</v>
      </c>
      <c r="T319" s="6">
        <v>30</v>
      </c>
      <c r="U319" s="6">
        <v>66</v>
      </c>
      <c r="V319" s="6">
        <f>IF(ISERROR(VLOOKUP($S$319,'TAR FIN'!$A$1:$O$95,15,0)),0,VLOOKUP($S$319,'TAR FIN'!$A$1:$O$95,15,0))</f>
        <v>52.99</v>
      </c>
      <c r="W319" s="6">
        <f>IF(ISERROR(VLOOKUP($T$319,'TAR FIN'!$A$1:$O$95,15,0)),0,VLOOKUP($T$319,'TAR FIN'!$A$1:$O$95,15,0))</f>
        <v>149.63</v>
      </c>
      <c r="X319" s="6">
        <f>IF(ISERROR(VLOOKUP($U$319,'TAR FIN'!$A$1:$O$95,15,0)),0,VLOOKUP($U$319,'TAR FIN'!$A$1:$O$95,15,0))</f>
        <v>389.28</v>
      </c>
      <c r="Y319" s="6">
        <f ca="1">('TUSD BE'!$AM$10+'TUSD BF'!$AM$10+'TUSD CVA'!$AM$10)*1</f>
        <v>59.276351675174958</v>
      </c>
      <c r="Z319" s="6">
        <f ca="1">('TUSD BE'!$AM$12+'TUSD BF'!$AM$12+'TUSD CVA'!$AM$12)*1</f>
        <v>168.51338132937991</v>
      </c>
      <c r="AA319" s="6">
        <f>('TE BE'!$AA$7+'TE BF'!$AA$7+'TE CVA'!$AA$7)*1</f>
        <v>454.3285679284046</v>
      </c>
      <c r="AB319" s="6">
        <f>$K$319*$V$319</f>
        <v>44299.64</v>
      </c>
      <c r="AC319" s="6">
        <f>$M$319*$W$319</f>
        <v>1706.8294100000001</v>
      </c>
      <c r="AD319" s="6">
        <f>$O$319*$X$319</f>
        <v>4440.5169599999999</v>
      </c>
      <c r="AE319" s="6">
        <f ca="1">$K$319*$Y$319</f>
        <v>49555.030000446262</v>
      </c>
      <c r="AF319" s="6">
        <f ca="1">$M$319*$Z$319</f>
        <v>1922.2321408242367</v>
      </c>
      <c r="AG319" s="6">
        <f>$O$319*$AA$319</f>
        <v>5182.5259743593115</v>
      </c>
    </row>
    <row r="320" spans="1:33" ht="11.25" customHeight="1" x14ac:dyDescent="0.25">
      <c r="A320" s="4" t="s">
        <v>30</v>
      </c>
      <c r="B320" s="4" t="s">
        <v>35</v>
      </c>
      <c r="C320" s="4" t="s">
        <v>44</v>
      </c>
      <c r="D320" s="4" t="s">
        <v>45</v>
      </c>
      <c r="E320" s="4" t="s">
        <v>25</v>
      </c>
      <c r="F320" s="4" t="s">
        <v>25</v>
      </c>
      <c r="G320" s="4" t="s">
        <v>25</v>
      </c>
      <c r="H320" s="4" t="s">
        <v>37</v>
      </c>
      <c r="I320" s="5">
        <v>44197</v>
      </c>
      <c r="J320" s="6">
        <v>342</v>
      </c>
      <c r="K320" s="6">
        <v>342</v>
      </c>
      <c r="L320" s="6">
        <v>3.9470000000000001</v>
      </c>
      <c r="M320" s="6">
        <v>3.9470000000000001</v>
      </c>
      <c r="N320" s="6">
        <v>3.9470000000000001</v>
      </c>
      <c r="O320" s="6">
        <v>3.9470000000000001</v>
      </c>
      <c r="P320" s="6">
        <v>0</v>
      </c>
      <c r="Q320" s="4" t="s">
        <v>26</v>
      </c>
      <c r="R320" s="4">
        <v>0</v>
      </c>
      <c r="S320" s="6">
        <v>28</v>
      </c>
      <c r="T320" s="6">
        <v>30</v>
      </c>
      <c r="U320" s="6">
        <v>66</v>
      </c>
      <c r="V320" s="6">
        <f>IF(ISERROR(VLOOKUP($S$320,'TAR FIN'!$A$1:$O$95,15,0)),0,VLOOKUP($S$320,'TAR FIN'!$A$1:$O$95,15,0))</f>
        <v>52.99</v>
      </c>
      <c r="W320" s="6">
        <f>IF(ISERROR(VLOOKUP($T$320,'TAR FIN'!$A$1:$O$95,15,0)),0,VLOOKUP($T$320,'TAR FIN'!$A$1:$O$95,15,0))</f>
        <v>149.63</v>
      </c>
      <c r="X320" s="6">
        <f>IF(ISERROR(VLOOKUP($U$320,'TAR FIN'!$A$1:$O$95,15,0)),0,VLOOKUP($U$320,'TAR FIN'!$A$1:$O$95,15,0))</f>
        <v>389.28</v>
      </c>
      <c r="Y320" s="6">
        <f ca="1">('TUSD BE'!$AM$10+'TUSD BF'!$AM$10+'TUSD CVA'!$AM$10)*1</f>
        <v>59.276351675174958</v>
      </c>
      <c r="Z320" s="6">
        <f ca="1">('TUSD BE'!$AM$12+'TUSD BF'!$AM$12+'TUSD CVA'!$AM$12)*1</f>
        <v>168.51338132937991</v>
      </c>
      <c r="AA320" s="6">
        <f>('TE BE'!$AA$7+'TE BF'!$AA$7+'TE CVA'!$AA$7)*1</f>
        <v>454.3285679284046</v>
      </c>
      <c r="AB320" s="6">
        <f>$K$320*$V$320</f>
        <v>18122.580000000002</v>
      </c>
      <c r="AC320" s="6">
        <f>$M$320*$W$320</f>
        <v>590.58960999999999</v>
      </c>
      <c r="AD320" s="6">
        <f>$O$320*$X$320</f>
        <v>1536.4881599999999</v>
      </c>
      <c r="AE320" s="6">
        <f ca="1">$K$320*$Y$320</f>
        <v>20272.512272909837</v>
      </c>
      <c r="AF320" s="6">
        <f ca="1">$M$320*$Z$320</f>
        <v>665.12231610706249</v>
      </c>
      <c r="AG320" s="6">
        <f>$O$320*$AA$320</f>
        <v>1793.2348576134129</v>
      </c>
    </row>
    <row r="321" spans="1:33" ht="11.25" customHeight="1" x14ac:dyDescent="0.25">
      <c r="A321" s="4" t="s">
        <v>21</v>
      </c>
      <c r="B321" s="4" t="s">
        <v>35</v>
      </c>
      <c r="C321" s="4" t="s">
        <v>44</v>
      </c>
      <c r="D321" s="4" t="s">
        <v>45</v>
      </c>
      <c r="E321" s="4" t="s">
        <v>25</v>
      </c>
      <c r="F321" s="4" t="s">
        <v>25</v>
      </c>
      <c r="G321" s="4" t="s">
        <v>25</v>
      </c>
      <c r="H321" s="4" t="s">
        <v>37</v>
      </c>
      <c r="I321" s="5">
        <v>44228</v>
      </c>
      <c r="J321" s="6">
        <v>13639</v>
      </c>
      <c r="K321" s="6">
        <v>13639</v>
      </c>
      <c r="L321" s="6">
        <v>309.08800000000002</v>
      </c>
      <c r="M321" s="6">
        <v>309.08800000000002</v>
      </c>
      <c r="N321" s="6">
        <v>309.08800000000002</v>
      </c>
      <c r="O321" s="6">
        <v>309.08800000000002</v>
      </c>
      <c r="P321" s="6">
        <v>0</v>
      </c>
      <c r="Q321" s="4" t="s">
        <v>26</v>
      </c>
      <c r="R321" s="4">
        <v>0</v>
      </c>
      <c r="S321" s="6">
        <v>28</v>
      </c>
      <c r="T321" s="6">
        <v>30</v>
      </c>
      <c r="U321" s="6">
        <v>66</v>
      </c>
      <c r="V321" s="6">
        <f>IF(ISERROR(VLOOKUP($S$321,'TAR FIN'!$A$1:$O$95,15,0)),0,VLOOKUP($S$321,'TAR FIN'!$A$1:$O$95,15,0))</f>
        <v>52.99</v>
      </c>
      <c r="W321" s="6">
        <f>IF(ISERROR(VLOOKUP($T$321,'TAR FIN'!$A$1:$O$95,15,0)),0,VLOOKUP($T$321,'TAR FIN'!$A$1:$O$95,15,0))</f>
        <v>149.63</v>
      </c>
      <c r="X321" s="6">
        <f>IF(ISERROR(VLOOKUP($U$321,'TAR FIN'!$A$1:$O$95,15,0)),0,VLOOKUP($U$321,'TAR FIN'!$A$1:$O$95,15,0))</f>
        <v>389.28</v>
      </c>
      <c r="Y321" s="6">
        <f ca="1">('TUSD BE'!$AM$10+'TUSD BF'!$AM$10+'TUSD CVA'!$AM$10)*1</f>
        <v>59.276351675174958</v>
      </c>
      <c r="Z321" s="6">
        <f ca="1">('TUSD BE'!$AM$12+'TUSD BF'!$AM$12+'TUSD CVA'!$AM$12)*1</f>
        <v>168.51338132937991</v>
      </c>
      <c r="AA321" s="6">
        <f>('TE BE'!$AA$7+'TE BF'!$AA$7+'TE CVA'!$AA$7)*1</f>
        <v>454.3285679284046</v>
      </c>
      <c r="AB321" s="6">
        <f>$K$321*$V$321</f>
        <v>722730.61</v>
      </c>
      <c r="AC321" s="6">
        <f>$M$321*$W$321</f>
        <v>46248.837440000003</v>
      </c>
      <c r="AD321" s="6">
        <f>$O$321*$X$321</f>
        <v>120321.77664</v>
      </c>
      <c r="AE321" s="6">
        <f ca="1">$K$321*$Y$321</f>
        <v>808470.16049771127</v>
      </c>
      <c r="AF321" s="6">
        <f ca="1">$M$321*$Z$321</f>
        <v>52085.464008335381</v>
      </c>
      <c r="AG321" s="6">
        <f>$O$321*$AA$321</f>
        <v>140427.50840385474</v>
      </c>
    </row>
    <row r="322" spans="1:33" ht="11.25" customHeight="1" x14ac:dyDescent="0.25">
      <c r="A322" s="4" t="s">
        <v>28</v>
      </c>
      <c r="B322" s="4" t="s">
        <v>35</v>
      </c>
      <c r="C322" s="4" t="s">
        <v>44</v>
      </c>
      <c r="D322" s="4" t="s">
        <v>45</v>
      </c>
      <c r="E322" s="4" t="s">
        <v>25</v>
      </c>
      <c r="F322" s="4" t="s">
        <v>25</v>
      </c>
      <c r="G322" s="4" t="s">
        <v>25</v>
      </c>
      <c r="H322" s="4" t="s">
        <v>37</v>
      </c>
      <c r="I322" s="5">
        <v>44228</v>
      </c>
      <c r="J322" s="6">
        <v>832</v>
      </c>
      <c r="K322" s="6">
        <v>832</v>
      </c>
      <c r="L322" s="6">
        <v>8.3919999999999995</v>
      </c>
      <c r="M322" s="6">
        <v>8.3919999999999995</v>
      </c>
      <c r="N322" s="6">
        <v>8.3919999999999995</v>
      </c>
      <c r="O322" s="6">
        <v>8.3919999999999995</v>
      </c>
      <c r="P322" s="6">
        <v>0</v>
      </c>
      <c r="Q322" s="4" t="s">
        <v>26</v>
      </c>
      <c r="R322" s="4">
        <v>0</v>
      </c>
      <c r="S322" s="6">
        <v>28</v>
      </c>
      <c r="T322" s="6">
        <v>30</v>
      </c>
      <c r="U322" s="6">
        <v>66</v>
      </c>
      <c r="V322" s="6">
        <f>IF(ISERROR(VLOOKUP($S$322,'TAR FIN'!$A$1:$O$95,15,0)),0,VLOOKUP($S$322,'TAR FIN'!$A$1:$O$95,15,0))</f>
        <v>52.99</v>
      </c>
      <c r="W322" s="6">
        <f>IF(ISERROR(VLOOKUP($T$322,'TAR FIN'!$A$1:$O$95,15,0)),0,VLOOKUP($T$322,'TAR FIN'!$A$1:$O$95,15,0))</f>
        <v>149.63</v>
      </c>
      <c r="X322" s="6">
        <f>IF(ISERROR(VLOOKUP($U$322,'TAR FIN'!$A$1:$O$95,15,0)),0,VLOOKUP($U$322,'TAR FIN'!$A$1:$O$95,15,0))</f>
        <v>389.28</v>
      </c>
      <c r="Y322" s="6">
        <f ca="1">('TUSD BE'!$AM$10+'TUSD BF'!$AM$10+'TUSD CVA'!$AM$10)*1</f>
        <v>59.276351675174958</v>
      </c>
      <c r="Z322" s="6">
        <f ca="1">('TUSD BE'!$AM$12+'TUSD BF'!$AM$12+'TUSD CVA'!$AM$12)*1</f>
        <v>168.51338132937991</v>
      </c>
      <c r="AA322" s="6">
        <f>('TE BE'!$AA$7+'TE BF'!$AA$7+'TE CVA'!$AA$7)*1</f>
        <v>454.3285679284046</v>
      </c>
      <c r="AB322" s="6">
        <f>$K$322*$V$322</f>
        <v>44087.68</v>
      </c>
      <c r="AC322" s="6">
        <f>$M$322*$W$322</f>
        <v>1255.6949599999998</v>
      </c>
      <c r="AD322" s="6">
        <f>$O$322*$X$322</f>
        <v>3266.8377599999994</v>
      </c>
      <c r="AE322" s="6">
        <f ca="1">$K$322*$Y$322</f>
        <v>49317.924593745563</v>
      </c>
      <c r="AF322" s="6">
        <f ca="1">$M$322*$Z$322</f>
        <v>1414.164296116156</v>
      </c>
      <c r="AG322" s="6">
        <f>$O$322*$AA$322</f>
        <v>3812.725342055171</v>
      </c>
    </row>
    <row r="323" spans="1:33" ht="11.25" customHeight="1" x14ac:dyDescent="0.25">
      <c r="A323" s="4" t="s">
        <v>30</v>
      </c>
      <c r="B323" s="4" t="s">
        <v>35</v>
      </c>
      <c r="C323" s="4" t="s">
        <v>44</v>
      </c>
      <c r="D323" s="4" t="s">
        <v>45</v>
      </c>
      <c r="E323" s="4" t="s">
        <v>25</v>
      </c>
      <c r="F323" s="4" t="s">
        <v>25</v>
      </c>
      <c r="G323" s="4" t="s">
        <v>25</v>
      </c>
      <c r="H323" s="4" t="s">
        <v>37</v>
      </c>
      <c r="I323" s="5">
        <v>44228</v>
      </c>
      <c r="J323" s="6">
        <v>371</v>
      </c>
      <c r="K323" s="6">
        <v>371</v>
      </c>
      <c r="L323" s="6">
        <v>4.3049999999999997</v>
      </c>
      <c r="M323" s="6">
        <v>4.3049999999999997</v>
      </c>
      <c r="N323" s="6">
        <v>4.3049999999999997</v>
      </c>
      <c r="O323" s="6">
        <v>4.3049999999999997</v>
      </c>
      <c r="P323" s="6">
        <v>0</v>
      </c>
      <c r="Q323" s="4" t="s">
        <v>26</v>
      </c>
      <c r="R323" s="4">
        <v>0</v>
      </c>
      <c r="S323" s="6">
        <v>28</v>
      </c>
      <c r="T323" s="6">
        <v>30</v>
      </c>
      <c r="U323" s="6">
        <v>66</v>
      </c>
      <c r="V323" s="6">
        <f>IF(ISERROR(VLOOKUP($S$323,'TAR FIN'!$A$1:$O$95,15,0)),0,VLOOKUP($S$323,'TAR FIN'!$A$1:$O$95,15,0))</f>
        <v>52.99</v>
      </c>
      <c r="W323" s="6">
        <f>IF(ISERROR(VLOOKUP($T$323,'TAR FIN'!$A$1:$O$95,15,0)),0,VLOOKUP($T$323,'TAR FIN'!$A$1:$O$95,15,0))</f>
        <v>149.63</v>
      </c>
      <c r="X323" s="6">
        <f>IF(ISERROR(VLOOKUP($U$323,'TAR FIN'!$A$1:$O$95,15,0)),0,VLOOKUP($U$323,'TAR FIN'!$A$1:$O$95,15,0))</f>
        <v>389.28</v>
      </c>
      <c r="Y323" s="6">
        <f ca="1">('TUSD BE'!$AM$10+'TUSD BF'!$AM$10+'TUSD CVA'!$AM$10)*1</f>
        <v>59.276351675174958</v>
      </c>
      <c r="Z323" s="6">
        <f ca="1">('TUSD BE'!$AM$12+'TUSD BF'!$AM$12+'TUSD CVA'!$AM$12)*1</f>
        <v>168.51338132937991</v>
      </c>
      <c r="AA323" s="6">
        <f>('TE BE'!$AA$7+'TE BF'!$AA$7+'TE CVA'!$AA$7)*1</f>
        <v>454.3285679284046</v>
      </c>
      <c r="AB323" s="6">
        <f>$K$323*$V$323</f>
        <v>19659.29</v>
      </c>
      <c r="AC323" s="6">
        <f>$M$323*$W$323</f>
        <v>644.15714999999989</v>
      </c>
      <c r="AD323" s="6">
        <f>$O$323*$X$323</f>
        <v>1675.8503999999998</v>
      </c>
      <c r="AE323" s="6">
        <f ca="1">$K$323*$Y$323</f>
        <v>21991.526471489909</v>
      </c>
      <c r="AF323" s="6">
        <f ca="1">$M$323*$Z$323</f>
        <v>725.45010662298046</v>
      </c>
      <c r="AG323" s="6">
        <f>$O$323*$AA$323</f>
        <v>1955.8844849317816</v>
      </c>
    </row>
    <row r="324" spans="1:33" ht="11.25" customHeight="1" x14ac:dyDescent="0.25">
      <c r="A324" s="4" t="s">
        <v>21</v>
      </c>
      <c r="B324" s="4" t="s">
        <v>35</v>
      </c>
      <c r="C324" s="4" t="s">
        <v>44</v>
      </c>
      <c r="D324" s="4" t="s">
        <v>45</v>
      </c>
      <c r="E324" s="4" t="s">
        <v>25</v>
      </c>
      <c r="F324" s="4" t="s">
        <v>25</v>
      </c>
      <c r="G324" s="4" t="s">
        <v>25</v>
      </c>
      <c r="H324" s="4" t="s">
        <v>37</v>
      </c>
      <c r="I324" s="5">
        <v>44256</v>
      </c>
      <c r="J324" s="6">
        <v>11726</v>
      </c>
      <c r="K324" s="6">
        <v>11726</v>
      </c>
      <c r="L324" s="6">
        <v>354.69499999999999</v>
      </c>
      <c r="M324" s="6">
        <v>354.69499999999999</v>
      </c>
      <c r="N324" s="6">
        <v>354.69499999999999</v>
      </c>
      <c r="O324" s="6">
        <v>354.69499999999999</v>
      </c>
      <c r="P324" s="6">
        <v>0</v>
      </c>
      <c r="Q324" s="4" t="s">
        <v>26</v>
      </c>
      <c r="R324" s="4">
        <v>0</v>
      </c>
      <c r="S324" s="6">
        <v>28</v>
      </c>
      <c r="T324" s="6">
        <v>30</v>
      </c>
      <c r="U324" s="6">
        <v>66</v>
      </c>
      <c r="V324" s="6">
        <f>IF(ISERROR(VLOOKUP($S$324,'TAR FIN'!$A$1:$O$95,15,0)),0,VLOOKUP($S$324,'TAR FIN'!$A$1:$O$95,15,0))</f>
        <v>52.99</v>
      </c>
      <c r="W324" s="6">
        <f>IF(ISERROR(VLOOKUP($T$324,'TAR FIN'!$A$1:$O$95,15,0)),0,VLOOKUP($T$324,'TAR FIN'!$A$1:$O$95,15,0))</f>
        <v>149.63</v>
      </c>
      <c r="X324" s="6">
        <f>IF(ISERROR(VLOOKUP($U$324,'TAR FIN'!$A$1:$O$95,15,0)),0,VLOOKUP($U$324,'TAR FIN'!$A$1:$O$95,15,0))</f>
        <v>389.28</v>
      </c>
      <c r="Y324" s="6">
        <f ca="1">('TUSD BE'!$AM$10+'TUSD BF'!$AM$10+'TUSD CVA'!$AM$10)*1</f>
        <v>59.276351675174958</v>
      </c>
      <c r="Z324" s="6">
        <f ca="1">('TUSD BE'!$AM$12+'TUSD BF'!$AM$12+'TUSD CVA'!$AM$12)*1</f>
        <v>168.51338132937991</v>
      </c>
      <c r="AA324" s="6">
        <f>('TE BE'!$AA$7+'TE BF'!$AA$7+'TE CVA'!$AA$7)*1</f>
        <v>454.3285679284046</v>
      </c>
      <c r="AB324" s="6">
        <f>$K$324*$V$324</f>
        <v>621360.74</v>
      </c>
      <c r="AC324" s="6">
        <f>$M$324*$W$324</f>
        <v>53073.012849999999</v>
      </c>
      <c r="AD324" s="6">
        <f>$O$324*$X$324</f>
        <v>138075.66959999999</v>
      </c>
      <c r="AE324" s="6">
        <f ca="1">$K$324*$Y$324</f>
        <v>695074.49974310154</v>
      </c>
      <c r="AF324" s="6">
        <f ca="1">$M$324*$Z$324</f>
        <v>59770.853790624409</v>
      </c>
      <c r="AG324" s="6">
        <f>$O$324*$AA$324</f>
        <v>161148.07140136545</v>
      </c>
    </row>
    <row r="325" spans="1:33" ht="11.25" customHeight="1" x14ac:dyDescent="0.25">
      <c r="A325" s="4" t="s">
        <v>27</v>
      </c>
      <c r="B325" s="4" t="s">
        <v>35</v>
      </c>
      <c r="C325" s="4" t="s">
        <v>44</v>
      </c>
      <c r="D325" s="4" t="s">
        <v>45</v>
      </c>
      <c r="E325" s="4" t="s">
        <v>25</v>
      </c>
      <c r="F325" s="4" t="s">
        <v>25</v>
      </c>
      <c r="G325" s="4" t="s">
        <v>25</v>
      </c>
      <c r="H325" s="4" t="s">
        <v>37</v>
      </c>
      <c r="I325" s="5">
        <v>44256</v>
      </c>
      <c r="J325" s="6">
        <v>-115</v>
      </c>
      <c r="K325" s="6">
        <v>-115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4" t="s">
        <v>26</v>
      </c>
      <c r="R325" s="4">
        <v>0</v>
      </c>
      <c r="S325" s="6">
        <v>28</v>
      </c>
      <c r="T325" s="6">
        <v>0</v>
      </c>
      <c r="U325" s="6">
        <v>0</v>
      </c>
      <c r="V325" s="6">
        <f>IF(ISERROR(VLOOKUP($S$325,'TAR FIN'!$A$1:$O$95,15,0)),0,VLOOKUP($S$325,'TAR FIN'!$A$1:$O$95,15,0))</f>
        <v>52.99</v>
      </c>
      <c r="W325" s="6">
        <f>IF(ISERROR(VLOOKUP($T$325,'TAR FIN'!$A$1:$O$95,15,0)),0,VLOOKUP($T$325,'TAR FIN'!$A$1:$O$95,15,0))</f>
        <v>0</v>
      </c>
      <c r="X325" s="6">
        <f>IF(ISERROR(VLOOKUP($U$325,'TAR FIN'!$A$1:$O$95,15,0)),0,VLOOKUP($U$325,'TAR FIN'!$A$1:$O$95,15,0))</f>
        <v>0</v>
      </c>
      <c r="Y325" s="6">
        <f ca="1">('TUSD BE'!$AM$10+'TUSD BF'!$AM$10+'TUSD CVA'!$AM$10)*1</f>
        <v>59.276351675174958</v>
      </c>
      <c r="Z325" s="6">
        <f ca="1">('TUSD BE'!$AM$12+'TUSD BF'!$AM$12+'TUSD CVA'!$AM$12)*1</f>
        <v>168.51338132937991</v>
      </c>
      <c r="AA325" s="6">
        <f>('TE BE'!$AA$7+'TE BF'!$AA$7+'TE CVA'!$AA$7)*1</f>
        <v>454.3285679284046</v>
      </c>
      <c r="AB325" s="6">
        <f>$K$325*$V$325</f>
        <v>-6093.85</v>
      </c>
      <c r="AC325" s="6">
        <f>$M$325*$W$325</f>
        <v>0</v>
      </c>
      <c r="AD325" s="6">
        <f>$O$325*$X$325</f>
        <v>0</v>
      </c>
      <c r="AE325" s="6">
        <f ca="1">$K$325*$Y$325</f>
        <v>-6816.7804426451203</v>
      </c>
      <c r="AF325" s="6">
        <f ca="1">$M$325*$Z$325</f>
        <v>0</v>
      </c>
      <c r="AG325" s="6">
        <f>$O$325*$AA$325</f>
        <v>0</v>
      </c>
    </row>
    <row r="326" spans="1:33" ht="11.25" customHeight="1" x14ac:dyDescent="0.25">
      <c r="A326" s="4" t="s">
        <v>28</v>
      </c>
      <c r="B326" s="4" t="s">
        <v>35</v>
      </c>
      <c r="C326" s="4" t="s">
        <v>44</v>
      </c>
      <c r="D326" s="4" t="s">
        <v>45</v>
      </c>
      <c r="E326" s="4" t="s">
        <v>25</v>
      </c>
      <c r="F326" s="4" t="s">
        <v>25</v>
      </c>
      <c r="G326" s="4" t="s">
        <v>25</v>
      </c>
      <c r="H326" s="4" t="s">
        <v>37</v>
      </c>
      <c r="I326" s="5">
        <v>44256</v>
      </c>
      <c r="J326" s="6">
        <v>844</v>
      </c>
      <c r="K326" s="6">
        <v>844</v>
      </c>
      <c r="L326" s="6">
        <v>11.442</v>
      </c>
      <c r="M326" s="6">
        <v>11.442</v>
      </c>
      <c r="N326" s="6">
        <v>11.442</v>
      </c>
      <c r="O326" s="6">
        <v>11.442</v>
      </c>
      <c r="P326" s="6">
        <v>0</v>
      </c>
      <c r="Q326" s="4" t="s">
        <v>26</v>
      </c>
      <c r="R326" s="4">
        <v>0</v>
      </c>
      <c r="S326" s="6">
        <v>28</v>
      </c>
      <c r="T326" s="6">
        <v>30</v>
      </c>
      <c r="U326" s="6">
        <v>66</v>
      </c>
      <c r="V326" s="6">
        <f>IF(ISERROR(VLOOKUP($S$326,'TAR FIN'!$A$1:$O$95,15,0)),0,VLOOKUP($S$326,'TAR FIN'!$A$1:$O$95,15,0))</f>
        <v>52.99</v>
      </c>
      <c r="W326" s="6">
        <f>IF(ISERROR(VLOOKUP($T$326,'TAR FIN'!$A$1:$O$95,15,0)),0,VLOOKUP($T$326,'TAR FIN'!$A$1:$O$95,15,0))</f>
        <v>149.63</v>
      </c>
      <c r="X326" s="6">
        <f>IF(ISERROR(VLOOKUP($U$326,'TAR FIN'!$A$1:$O$95,15,0)),0,VLOOKUP($U$326,'TAR FIN'!$A$1:$O$95,15,0))</f>
        <v>389.28</v>
      </c>
      <c r="Y326" s="6">
        <f ca="1">('TUSD BE'!$AM$10+'TUSD BF'!$AM$10+'TUSD CVA'!$AM$10)*1</f>
        <v>59.276351675174958</v>
      </c>
      <c r="Z326" s="6">
        <f ca="1">('TUSD BE'!$AM$12+'TUSD BF'!$AM$12+'TUSD CVA'!$AM$12)*1</f>
        <v>168.51338132937991</v>
      </c>
      <c r="AA326" s="6">
        <f>('TE BE'!$AA$7+'TE BF'!$AA$7+'TE CVA'!$AA$7)*1</f>
        <v>454.3285679284046</v>
      </c>
      <c r="AB326" s="6">
        <f>$K$326*$V$326</f>
        <v>44723.560000000005</v>
      </c>
      <c r="AC326" s="6">
        <f>$M$326*$W$326</f>
        <v>1712.06646</v>
      </c>
      <c r="AD326" s="6">
        <f>$O$326*$X$326</f>
        <v>4454.1417599999995</v>
      </c>
      <c r="AE326" s="6">
        <f ca="1">$K$326*$Y$326</f>
        <v>50029.240813847668</v>
      </c>
      <c r="AF326" s="6">
        <f ca="1">$M$326*$Z$326</f>
        <v>1928.1301091707651</v>
      </c>
      <c r="AG326" s="6">
        <f>$O$326*$AA$326</f>
        <v>5198.4274742368052</v>
      </c>
    </row>
    <row r="327" spans="1:33" ht="11.25" customHeight="1" x14ac:dyDescent="0.25">
      <c r="A327" s="4" t="s">
        <v>30</v>
      </c>
      <c r="B327" s="4" t="s">
        <v>35</v>
      </c>
      <c r="C327" s="4" t="s">
        <v>44</v>
      </c>
      <c r="D327" s="4" t="s">
        <v>45</v>
      </c>
      <c r="E327" s="4" t="s">
        <v>25</v>
      </c>
      <c r="F327" s="4" t="s">
        <v>25</v>
      </c>
      <c r="G327" s="4" t="s">
        <v>25</v>
      </c>
      <c r="H327" s="4" t="s">
        <v>37</v>
      </c>
      <c r="I327" s="5">
        <v>44256</v>
      </c>
      <c r="J327" s="6">
        <v>352</v>
      </c>
      <c r="K327" s="6">
        <v>352</v>
      </c>
      <c r="L327" s="6">
        <v>5.16</v>
      </c>
      <c r="M327" s="6">
        <v>5.16</v>
      </c>
      <c r="N327" s="6">
        <v>5.16</v>
      </c>
      <c r="O327" s="6">
        <v>5.16</v>
      </c>
      <c r="P327" s="6">
        <v>0</v>
      </c>
      <c r="Q327" s="4" t="s">
        <v>26</v>
      </c>
      <c r="R327" s="4">
        <v>0</v>
      </c>
      <c r="S327" s="6">
        <v>28</v>
      </c>
      <c r="T327" s="6">
        <v>30</v>
      </c>
      <c r="U327" s="6">
        <v>66</v>
      </c>
      <c r="V327" s="6">
        <f>IF(ISERROR(VLOOKUP($S$327,'TAR FIN'!$A$1:$O$95,15,0)),0,VLOOKUP($S$327,'TAR FIN'!$A$1:$O$95,15,0))</f>
        <v>52.99</v>
      </c>
      <c r="W327" s="6">
        <f>IF(ISERROR(VLOOKUP($T$327,'TAR FIN'!$A$1:$O$95,15,0)),0,VLOOKUP($T$327,'TAR FIN'!$A$1:$O$95,15,0))</f>
        <v>149.63</v>
      </c>
      <c r="X327" s="6">
        <f>IF(ISERROR(VLOOKUP($U$327,'TAR FIN'!$A$1:$O$95,15,0)),0,VLOOKUP($U$327,'TAR FIN'!$A$1:$O$95,15,0))</f>
        <v>389.28</v>
      </c>
      <c r="Y327" s="6">
        <f ca="1">('TUSD BE'!$AM$10+'TUSD BF'!$AM$10+'TUSD CVA'!$AM$10)*1</f>
        <v>59.276351675174958</v>
      </c>
      <c r="Z327" s="6">
        <f ca="1">('TUSD BE'!$AM$12+'TUSD BF'!$AM$12+'TUSD CVA'!$AM$12)*1</f>
        <v>168.51338132937991</v>
      </c>
      <c r="AA327" s="6">
        <f>('TE BE'!$AA$7+'TE BF'!$AA$7+'TE CVA'!$AA$7)*1</f>
        <v>454.3285679284046</v>
      </c>
      <c r="AB327" s="6">
        <f>$K$327*$V$327</f>
        <v>18652.48</v>
      </c>
      <c r="AC327" s="6">
        <f>$M$327*$W$327</f>
        <v>772.09079999999994</v>
      </c>
      <c r="AD327" s="6">
        <f>$O$327*$X$327</f>
        <v>2008.6848</v>
      </c>
      <c r="AE327" s="6">
        <f ca="1">$K$327*$Y$327</f>
        <v>20865.275789661584</v>
      </c>
      <c r="AF327" s="6">
        <f ca="1">$M$327*$Z$327</f>
        <v>869.52904765960034</v>
      </c>
      <c r="AG327" s="6">
        <f>$O$327*$AA$327</f>
        <v>2344.3354105105677</v>
      </c>
    </row>
    <row r="328" spans="1:33" ht="11.25" customHeight="1" x14ac:dyDescent="0.25">
      <c r="A328" s="4" t="s">
        <v>21</v>
      </c>
      <c r="B328" s="4" t="s">
        <v>35</v>
      </c>
      <c r="C328" s="4" t="s">
        <v>44</v>
      </c>
      <c r="D328" s="4" t="s">
        <v>45</v>
      </c>
      <c r="E328" s="4" t="s">
        <v>25</v>
      </c>
      <c r="F328" s="4" t="s">
        <v>25</v>
      </c>
      <c r="G328" s="4" t="s">
        <v>25</v>
      </c>
      <c r="H328" s="4" t="s">
        <v>37</v>
      </c>
      <c r="I328" s="5">
        <v>44287</v>
      </c>
      <c r="J328" s="6">
        <v>11738</v>
      </c>
      <c r="K328" s="6">
        <v>11738</v>
      </c>
      <c r="L328" s="6">
        <v>340.83100000000002</v>
      </c>
      <c r="M328" s="6">
        <v>340.83100000000002</v>
      </c>
      <c r="N328" s="6">
        <v>340.83100000000002</v>
      </c>
      <c r="O328" s="6">
        <v>340.83100000000002</v>
      </c>
      <c r="P328" s="6">
        <v>0</v>
      </c>
      <c r="Q328" s="4" t="s">
        <v>26</v>
      </c>
      <c r="R328" s="4">
        <v>0</v>
      </c>
      <c r="S328" s="6">
        <v>28</v>
      </c>
      <c r="T328" s="6">
        <v>30</v>
      </c>
      <c r="U328" s="6">
        <v>66</v>
      </c>
      <c r="V328" s="6">
        <f>IF(ISERROR(VLOOKUP($S$328,'TAR FIN'!$A$1:$O$95,15,0)),0,VLOOKUP($S$328,'TAR FIN'!$A$1:$O$95,15,0))</f>
        <v>52.99</v>
      </c>
      <c r="W328" s="6">
        <f>IF(ISERROR(VLOOKUP($T$328,'TAR FIN'!$A$1:$O$95,15,0)),0,VLOOKUP($T$328,'TAR FIN'!$A$1:$O$95,15,0))</f>
        <v>149.63</v>
      </c>
      <c r="X328" s="6">
        <f>IF(ISERROR(VLOOKUP($U$328,'TAR FIN'!$A$1:$O$95,15,0)),0,VLOOKUP($U$328,'TAR FIN'!$A$1:$O$95,15,0))</f>
        <v>389.28</v>
      </c>
      <c r="Y328" s="6">
        <f ca="1">('TUSD BE'!$AM$10+'TUSD BF'!$AM$10+'TUSD CVA'!$AM$10)*1</f>
        <v>59.276351675174958</v>
      </c>
      <c r="Z328" s="6">
        <f ca="1">('TUSD BE'!$AM$12+'TUSD BF'!$AM$12+'TUSD CVA'!$AM$12)*1</f>
        <v>168.51338132937991</v>
      </c>
      <c r="AA328" s="6">
        <f>('TE BE'!$AA$7+'TE BF'!$AA$7+'TE CVA'!$AA$7)*1</f>
        <v>454.3285679284046</v>
      </c>
      <c r="AB328" s="6">
        <f>$K$328*$V$328</f>
        <v>621996.62</v>
      </c>
      <c r="AC328" s="6">
        <f>$M$328*$W$328</f>
        <v>50998.542529999999</v>
      </c>
      <c r="AD328" s="6">
        <f>$O$328*$X$328</f>
        <v>132678.69167999999</v>
      </c>
      <c r="AE328" s="6">
        <f ca="1">$K$328*$Y$328</f>
        <v>695785.81596320367</v>
      </c>
      <c r="AF328" s="6">
        <f ca="1">$M$328*$Z$328</f>
        <v>57434.584271873886</v>
      </c>
      <c r="AG328" s="6">
        <f>$O$328*$AA$328</f>
        <v>154849.26013560608</v>
      </c>
    </row>
    <row r="329" spans="1:33" ht="11.25" customHeight="1" x14ac:dyDescent="0.25">
      <c r="A329" s="4" t="s">
        <v>28</v>
      </c>
      <c r="B329" s="4" t="s">
        <v>35</v>
      </c>
      <c r="C329" s="4" t="s">
        <v>44</v>
      </c>
      <c r="D329" s="4" t="s">
        <v>45</v>
      </c>
      <c r="E329" s="4" t="s">
        <v>25</v>
      </c>
      <c r="F329" s="4" t="s">
        <v>25</v>
      </c>
      <c r="G329" s="4" t="s">
        <v>25</v>
      </c>
      <c r="H329" s="4" t="s">
        <v>37</v>
      </c>
      <c r="I329" s="5">
        <v>44287</v>
      </c>
      <c r="J329" s="6">
        <v>832</v>
      </c>
      <c r="K329" s="6">
        <v>832</v>
      </c>
      <c r="L329" s="6">
        <v>9.9700000000000006</v>
      </c>
      <c r="M329" s="6">
        <v>9.9700000000000006</v>
      </c>
      <c r="N329" s="6">
        <v>9.9700000000000006</v>
      </c>
      <c r="O329" s="6">
        <v>9.9700000000000006</v>
      </c>
      <c r="P329" s="6">
        <v>0</v>
      </c>
      <c r="Q329" s="4" t="s">
        <v>26</v>
      </c>
      <c r="R329" s="4">
        <v>0</v>
      </c>
      <c r="S329" s="6">
        <v>28</v>
      </c>
      <c r="T329" s="6">
        <v>30</v>
      </c>
      <c r="U329" s="6">
        <v>66</v>
      </c>
      <c r="V329" s="6">
        <f>IF(ISERROR(VLOOKUP($S$329,'TAR FIN'!$A$1:$O$95,15,0)),0,VLOOKUP($S$329,'TAR FIN'!$A$1:$O$95,15,0))</f>
        <v>52.99</v>
      </c>
      <c r="W329" s="6">
        <f>IF(ISERROR(VLOOKUP($T$329,'TAR FIN'!$A$1:$O$95,15,0)),0,VLOOKUP($T$329,'TAR FIN'!$A$1:$O$95,15,0))</f>
        <v>149.63</v>
      </c>
      <c r="X329" s="6">
        <f>IF(ISERROR(VLOOKUP($U$329,'TAR FIN'!$A$1:$O$95,15,0)),0,VLOOKUP($U$329,'TAR FIN'!$A$1:$O$95,15,0))</f>
        <v>389.28</v>
      </c>
      <c r="Y329" s="6">
        <f ca="1">('TUSD BE'!$AM$10+'TUSD BF'!$AM$10+'TUSD CVA'!$AM$10)*1</f>
        <v>59.276351675174958</v>
      </c>
      <c r="Z329" s="6">
        <f ca="1">('TUSD BE'!$AM$12+'TUSD BF'!$AM$12+'TUSD CVA'!$AM$12)*1</f>
        <v>168.51338132937991</v>
      </c>
      <c r="AA329" s="6">
        <f>('TE BE'!$AA$7+'TE BF'!$AA$7+'TE CVA'!$AA$7)*1</f>
        <v>454.3285679284046</v>
      </c>
      <c r="AB329" s="6">
        <f>$K$329*$V$329</f>
        <v>44087.68</v>
      </c>
      <c r="AC329" s="6">
        <f>$M$329*$W$329</f>
        <v>1491.8111000000001</v>
      </c>
      <c r="AD329" s="6">
        <f>$O$329*$X$329</f>
        <v>3881.1215999999999</v>
      </c>
      <c r="AE329" s="6">
        <f ca="1">$K$329*$Y$329</f>
        <v>49317.924593745563</v>
      </c>
      <c r="AF329" s="6">
        <f ca="1">$M$329*$Z$329</f>
        <v>1680.0784118539177</v>
      </c>
      <c r="AG329" s="6">
        <f>$O$329*$AA$329</f>
        <v>4529.6558222461945</v>
      </c>
    </row>
    <row r="330" spans="1:33" ht="11.25" customHeight="1" x14ac:dyDescent="0.25">
      <c r="A330" s="4" t="s">
        <v>30</v>
      </c>
      <c r="B330" s="4" t="s">
        <v>35</v>
      </c>
      <c r="C330" s="4" t="s">
        <v>44</v>
      </c>
      <c r="D330" s="4" t="s">
        <v>45</v>
      </c>
      <c r="E330" s="4" t="s">
        <v>25</v>
      </c>
      <c r="F330" s="4" t="s">
        <v>25</v>
      </c>
      <c r="G330" s="4" t="s">
        <v>25</v>
      </c>
      <c r="H330" s="4" t="s">
        <v>37</v>
      </c>
      <c r="I330" s="5">
        <v>44287</v>
      </c>
      <c r="J330" s="6">
        <v>353</v>
      </c>
      <c r="K330" s="6">
        <v>353</v>
      </c>
      <c r="L330" s="6">
        <v>7.91</v>
      </c>
      <c r="M330" s="6">
        <v>7.91</v>
      </c>
      <c r="N330" s="6">
        <v>7.91</v>
      </c>
      <c r="O330" s="6">
        <v>7.91</v>
      </c>
      <c r="P330" s="6">
        <v>0</v>
      </c>
      <c r="Q330" s="4" t="s">
        <v>26</v>
      </c>
      <c r="R330" s="4">
        <v>0</v>
      </c>
      <c r="S330" s="6">
        <v>28</v>
      </c>
      <c r="T330" s="6">
        <v>30</v>
      </c>
      <c r="U330" s="6">
        <v>66</v>
      </c>
      <c r="V330" s="6">
        <f>IF(ISERROR(VLOOKUP($S$330,'TAR FIN'!$A$1:$O$95,15,0)),0,VLOOKUP($S$330,'TAR FIN'!$A$1:$O$95,15,0))</f>
        <v>52.99</v>
      </c>
      <c r="W330" s="6">
        <f>IF(ISERROR(VLOOKUP($T$330,'TAR FIN'!$A$1:$O$95,15,0)),0,VLOOKUP($T$330,'TAR FIN'!$A$1:$O$95,15,0))</f>
        <v>149.63</v>
      </c>
      <c r="X330" s="6">
        <f>IF(ISERROR(VLOOKUP($U$330,'TAR FIN'!$A$1:$O$95,15,0)),0,VLOOKUP($U$330,'TAR FIN'!$A$1:$O$95,15,0))</f>
        <v>389.28</v>
      </c>
      <c r="Y330" s="6">
        <f ca="1">('TUSD BE'!$AM$10+'TUSD BF'!$AM$10+'TUSD CVA'!$AM$10)*1</f>
        <v>59.276351675174958</v>
      </c>
      <c r="Z330" s="6">
        <f ca="1">('TUSD BE'!$AM$12+'TUSD BF'!$AM$12+'TUSD CVA'!$AM$12)*1</f>
        <v>168.51338132937991</v>
      </c>
      <c r="AA330" s="6">
        <f>('TE BE'!$AA$7+'TE BF'!$AA$7+'TE CVA'!$AA$7)*1</f>
        <v>454.3285679284046</v>
      </c>
      <c r="AB330" s="6">
        <f>$K$330*$V$330</f>
        <v>18705.47</v>
      </c>
      <c r="AC330" s="6">
        <f>$M$330*$W$330</f>
        <v>1183.5733</v>
      </c>
      <c r="AD330" s="6">
        <f>$O$330*$X$330</f>
        <v>3079.2048</v>
      </c>
      <c r="AE330" s="6">
        <f ca="1">$K$330*$Y$330</f>
        <v>20924.552141336761</v>
      </c>
      <c r="AF330" s="6">
        <f ca="1">$M$330*$Z$330</f>
        <v>1332.9408463153952</v>
      </c>
      <c r="AG330" s="6">
        <f>$O$330*$AA$330</f>
        <v>3593.7389723136803</v>
      </c>
    </row>
    <row r="331" spans="1:33" ht="11.25" customHeight="1" x14ac:dyDescent="0.25">
      <c r="A331" s="4" t="s">
        <v>21</v>
      </c>
      <c r="B331" s="4" t="s">
        <v>35</v>
      </c>
      <c r="C331" s="4" t="s">
        <v>44</v>
      </c>
      <c r="D331" s="4" t="s">
        <v>45</v>
      </c>
      <c r="E331" s="4" t="s">
        <v>25</v>
      </c>
      <c r="F331" s="4" t="s">
        <v>25</v>
      </c>
      <c r="G331" s="4" t="s">
        <v>25</v>
      </c>
      <c r="H331" s="4" t="s">
        <v>37</v>
      </c>
      <c r="I331" s="5">
        <v>44287</v>
      </c>
      <c r="J331" s="6">
        <v>1400</v>
      </c>
      <c r="K331" s="6">
        <v>1400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4" t="s">
        <v>60</v>
      </c>
      <c r="R331" s="4">
        <v>0</v>
      </c>
      <c r="S331" s="6">
        <v>28</v>
      </c>
      <c r="T331" s="6">
        <v>0</v>
      </c>
      <c r="U331" s="6">
        <v>0</v>
      </c>
      <c r="V331" s="6">
        <f>IF(ISERROR(VLOOKUP($S$331,'TAR FIN'!$A$1:$O$95,15,0)),0,VLOOKUP($S$331,'TAR FIN'!$A$1:$O$95,15,0))</f>
        <v>52.99</v>
      </c>
      <c r="W331" s="6">
        <f>IF(ISERROR(VLOOKUP($T$331,'TAR FIN'!$A$1:$O$95,15,0)),0,VLOOKUP($T$331,'TAR FIN'!$A$1:$O$95,15,0))</f>
        <v>0</v>
      </c>
      <c r="X331" s="6">
        <f>IF(ISERROR(VLOOKUP($U$331,'TAR FIN'!$A$1:$O$95,15,0)),0,VLOOKUP($U$331,'TAR FIN'!$A$1:$O$95,15,0))</f>
        <v>0</v>
      </c>
      <c r="Y331" s="6">
        <f ca="1">('TUSD BE'!$AM$10+'TUSD BF'!$AM$10+'TUSD CVA'!$AM$10)*1</f>
        <v>59.276351675174958</v>
      </c>
      <c r="Z331" s="6">
        <f ca="1">('TUSD BE'!$AM$12+'TUSD BF'!$AM$12+'TUSD CVA'!$AM$12)*1</f>
        <v>168.51338132937991</v>
      </c>
      <c r="AA331" s="6"/>
      <c r="AB331" s="6">
        <f>$K$331*$V$331</f>
        <v>74186</v>
      </c>
      <c r="AC331" s="6">
        <f>$M$331*$W$331</f>
        <v>0</v>
      </c>
      <c r="AD331" s="6">
        <f>$O$331*$X$331</f>
        <v>0</v>
      </c>
      <c r="AE331" s="6">
        <f ca="1">$K$331*$Y$331</f>
        <v>82986.892345244938</v>
      </c>
      <c r="AF331" s="6">
        <f ca="1">$M$331*$Z$331</f>
        <v>0</v>
      </c>
      <c r="AG331" s="6">
        <f>$O$331*$AA$331</f>
        <v>0</v>
      </c>
    </row>
    <row r="332" spans="1:33" ht="11.25" customHeight="1" x14ac:dyDescent="0.25">
      <c r="A332" s="4" t="s">
        <v>21</v>
      </c>
      <c r="B332" s="4" t="s">
        <v>35</v>
      </c>
      <c r="C332" s="4" t="s">
        <v>44</v>
      </c>
      <c r="D332" s="4" t="s">
        <v>45</v>
      </c>
      <c r="E332" s="4" t="s">
        <v>25</v>
      </c>
      <c r="F332" s="4" t="s">
        <v>25</v>
      </c>
      <c r="G332" s="4" t="s">
        <v>25</v>
      </c>
      <c r="H332" s="4" t="s">
        <v>37</v>
      </c>
      <c r="I332" s="5">
        <v>44317</v>
      </c>
      <c r="J332" s="6">
        <v>11183</v>
      </c>
      <c r="K332" s="6">
        <v>11183</v>
      </c>
      <c r="L332" s="6">
        <v>357.49400000000003</v>
      </c>
      <c r="M332" s="6">
        <v>357.49400000000003</v>
      </c>
      <c r="N332" s="6">
        <v>357.49400000000003</v>
      </c>
      <c r="O332" s="6">
        <v>357.49400000000003</v>
      </c>
      <c r="P332" s="6">
        <v>0</v>
      </c>
      <c r="Q332" s="4" t="s">
        <v>26</v>
      </c>
      <c r="R332" s="4">
        <v>0</v>
      </c>
      <c r="S332" s="6">
        <v>28</v>
      </c>
      <c r="T332" s="6">
        <v>30</v>
      </c>
      <c r="U332" s="6">
        <v>66</v>
      </c>
      <c r="V332" s="6">
        <f>IF(ISERROR(VLOOKUP($S$332,'TAR FIN'!$A$1:$O$95,15,0)),0,VLOOKUP($S$332,'TAR FIN'!$A$1:$O$95,15,0))</f>
        <v>52.99</v>
      </c>
      <c r="W332" s="6">
        <f>IF(ISERROR(VLOOKUP($T$332,'TAR FIN'!$A$1:$O$95,15,0)),0,VLOOKUP($T$332,'TAR FIN'!$A$1:$O$95,15,0))</f>
        <v>149.63</v>
      </c>
      <c r="X332" s="6">
        <f>IF(ISERROR(VLOOKUP($U$332,'TAR FIN'!$A$1:$O$95,15,0)),0,VLOOKUP($U$332,'TAR FIN'!$A$1:$O$95,15,0))</f>
        <v>389.28</v>
      </c>
      <c r="Y332" s="6">
        <f ca="1">('TUSD BE'!$AM$10+'TUSD BF'!$AM$10+'TUSD CVA'!$AM$10)*1</f>
        <v>59.276351675174958</v>
      </c>
      <c r="Z332" s="6">
        <f ca="1">('TUSD BE'!$AM$12+'TUSD BF'!$AM$12+'TUSD CVA'!$AM$12)*1</f>
        <v>168.51338132937991</v>
      </c>
      <c r="AA332" s="6">
        <f>('TE BE'!$AA$7+'TE BF'!$AA$7+'TE CVA'!$AA$7)*1</f>
        <v>454.3285679284046</v>
      </c>
      <c r="AB332" s="6">
        <f>$K$332*$V$332</f>
        <v>592587.17000000004</v>
      </c>
      <c r="AC332" s="6">
        <f>$M$332*$W$332</f>
        <v>53491.827219999999</v>
      </c>
      <c r="AD332" s="6">
        <f>$O$332*$X$332</f>
        <v>139165.26431999999</v>
      </c>
      <c r="AE332" s="6">
        <f ca="1">$K$332*$Y$332</f>
        <v>662887.44078348158</v>
      </c>
      <c r="AF332" s="6">
        <f ca="1">$M$332*$Z$332</f>
        <v>60242.522744965347</v>
      </c>
      <c r="AG332" s="6">
        <f>$O$332*$AA$332</f>
        <v>162419.7370629971</v>
      </c>
    </row>
    <row r="333" spans="1:33" ht="11.25" customHeight="1" x14ac:dyDescent="0.25">
      <c r="A333" s="4" t="s">
        <v>28</v>
      </c>
      <c r="B333" s="4" t="s">
        <v>35</v>
      </c>
      <c r="C333" s="4" t="s">
        <v>44</v>
      </c>
      <c r="D333" s="4" t="s">
        <v>45</v>
      </c>
      <c r="E333" s="4" t="s">
        <v>25</v>
      </c>
      <c r="F333" s="4" t="s">
        <v>25</v>
      </c>
      <c r="G333" s="4" t="s">
        <v>25</v>
      </c>
      <c r="H333" s="4" t="s">
        <v>37</v>
      </c>
      <c r="I333" s="5">
        <v>44317</v>
      </c>
      <c r="J333" s="6">
        <v>937</v>
      </c>
      <c r="K333" s="6">
        <v>937</v>
      </c>
      <c r="L333" s="6">
        <v>10.384</v>
      </c>
      <c r="M333" s="6">
        <v>10.384</v>
      </c>
      <c r="N333" s="6">
        <v>10.384</v>
      </c>
      <c r="O333" s="6">
        <v>10.384</v>
      </c>
      <c r="P333" s="6">
        <v>0</v>
      </c>
      <c r="Q333" s="4" t="s">
        <v>26</v>
      </c>
      <c r="R333" s="4">
        <v>0</v>
      </c>
      <c r="S333" s="6">
        <v>28</v>
      </c>
      <c r="T333" s="6">
        <v>30</v>
      </c>
      <c r="U333" s="6">
        <v>66</v>
      </c>
      <c r="V333" s="6">
        <f>IF(ISERROR(VLOOKUP($S$333,'TAR FIN'!$A$1:$O$95,15,0)),0,VLOOKUP($S$333,'TAR FIN'!$A$1:$O$95,15,0))</f>
        <v>52.99</v>
      </c>
      <c r="W333" s="6">
        <f>IF(ISERROR(VLOOKUP($T$333,'TAR FIN'!$A$1:$O$95,15,0)),0,VLOOKUP($T$333,'TAR FIN'!$A$1:$O$95,15,0))</f>
        <v>149.63</v>
      </c>
      <c r="X333" s="6">
        <f>IF(ISERROR(VLOOKUP($U$333,'TAR FIN'!$A$1:$O$95,15,0)),0,VLOOKUP($U$333,'TAR FIN'!$A$1:$O$95,15,0))</f>
        <v>389.28</v>
      </c>
      <c r="Y333" s="6">
        <f ca="1">('TUSD BE'!$AM$10+'TUSD BF'!$AM$10+'TUSD CVA'!$AM$10)*1</f>
        <v>59.276351675174958</v>
      </c>
      <c r="Z333" s="6">
        <f ca="1">('TUSD BE'!$AM$12+'TUSD BF'!$AM$12+'TUSD CVA'!$AM$12)*1</f>
        <v>168.51338132937991</v>
      </c>
      <c r="AA333" s="6">
        <f>('TE BE'!$AA$7+'TE BF'!$AA$7+'TE CVA'!$AA$7)*1</f>
        <v>454.3285679284046</v>
      </c>
      <c r="AB333" s="6">
        <f>$K$333*$V$333</f>
        <v>49651.630000000005</v>
      </c>
      <c r="AC333" s="6">
        <f>$M$333*$W$333</f>
        <v>1553.75792</v>
      </c>
      <c r="AD333" s="6">
        <f>$O$333*$X$333</f>
        <v>4042.28352</v>
      </c>
      <c r="AE333" s="6">
        <f ca="1">$K$333*$Y$333</f>
        <v>55541.941519638938</v>
      </c>
      <c r="AF333" s="6">
        <f ca="1">$M$333*$Z$333</f>
        <v>1749.842951724281</v>
      </c>
      <c r="AG333" s="6">
        <f>$O$333*$AA$333</f>
        <v>4717.747849368553</v>
      </c>
    </row>
    <row r="334" spans="1:33" ht="11.25" customHeight="1" x14ac:dyDescent="0.25">
      <c r="A334" s="4" t="s">
        <v>30</v>
      </c>
      <c r="B334" s="4" t="s">
        <v>35</v>
      </c>
      <c r="C334" s="4" t="s">
        <v>44</v>
      </c>
      <c r="D334" s="4" t="s">
        <v>45</v>
      </c>
      <c r="E334" s="4" t="s">
        <v>25</v>
      </c>
      <c r="F334" s="4" t="s">
        <v>25</v>
      </c>
      <c r="G334" s="4" t="s">
        <v>25</v>
      </c>
      <c r="H334" s="4" t="s">
        <v>37</v>
      </c>
      <c r="I334" s="5">
        <v>44317</v>
      </c>
      <c r="J334" s="6">
        <v>361</v>
      </c>
      <c r="K334" s="6">
        <v>361</v>
      </c>
      <c r="L334" s="6">
        <v>8.7620000000000005</v>
      </c>
      <c r="M334" s="6">
        <v>8.7620000000000005</v>
      </c>
      <c r="N334" s="6">
        <v>8.7620000000000005</v>
      </c>
      <c r="O334" s="6">
        <v>8.7620000000000005</v>
      </c>
      <c r="P334" s="6">
        <v>0</v>
      </c>
      <c r="Q334" s="4" t="s">
        <v>26</v>
      </c>
      <c r="R334" s="4">
        <v>0</v>
      </c>
      <c r="S334" s="6">
        <v>28</v>
      </c>
      <c r="T334" s="6">
        <v>30</v>
      </c>
      <c r="U334" s="6">
        <v>66</v>
      </c>
      <c r="V334" s="6">
        <f>IF(ISERROR(VLOOKUP($S$334,'TAR FIN'!$A$1:$O$95,15,0)),0,VLOOKUP($S$334,'TAR FIN'!$A$1:$O$95,15,0))</f>
        <v>52.99</v>
      </c>
      <c r="W334" s="6">
        <f>IF(ISERROR(VLOOKUP($T$334,'TAR FIN'!$A$1:$O$95,15,0)),0,VLOOKUP($T$334,'TAR FIN'!$A$1:$O$95,15,0))</f>
        <v>149.63</v>
      </c>
      <c r="X334" s="6">
        <f>IF(ISERROR(VLOOKUP($U$334,'TAR FIN'!$A$1:$O$95,15,0)),0,VLOOKUP($U$334,'TAR FIN'!$A$1:$O$95,15,0))</f>
        <v>389.28</v>
      </c>
      <c r="Y334" s="6">
        <f ca="1">('TUSD BE'!$AM$10+'TUSD BF'!$AM$10+'TUSD CVA'!$AM$10)*1</f>
        <v>59.276351675174958</v>
      </c>
      <c r="Z334" s="6">
        <f ca="1">('TUSD BE'!$AM$12+'TUSD BF'!$AM$12+'TUSD CVA'!$AM$12)*1</f>
        <v>168.51338132937991</v>
      </c>
      <c r="AA334" s="6">
        <f>('TE BE'!$AA$7+'TE BF'!$AA$7+'TE CVA'!$AA$7)*1</f>
        <v>454.3285679284046</v>
      </c>
      <c r="AB334" s="6">
        <f>$K$334*$V$334</f>
        <v>19129.39</v>
      </c>
      <c r="AC334" s="6">
        <f>$M$334*$W$334</f>
        <v>1311.0580600000001</v>
      </c>
      <c r="AD334" s="6">
        <f>$O$334*$X$334</f>
        <v>3410.8713600000001</v>
      </c>
      <c r="AE334" s="6">
        <f ca="1">$K$334*$Y$334</f>
        <v>21398.762954738158</v>
      </c>
      <c r="AF334" s="6">
        <f ca="1">$M$334*$Z$334</f>
        <v>1476.5142472080267</v>
      </c>
      <c r="AG334" s="6">
        <f>$O$334*$AA$334</f>
        <v>3980.8269121886815</v>
      </c>
    </row>
    <row r="335" spans="1:33" ht="11.25" customHeight="1" x14ac:dyDescent="0.25">
      <c r="A335" s="4" t="s">
        <v>21</v>
      </c>
      <c r="B335" s="4" t="s">
        <v>35</v>
      </c>
      <c r="C335" s="4" t="s">
        <v>44</v>
      </c>
      <c r="D335" s="4" t="s">
        <v>45</v>
      </c>
      <c r="E335" s="4" t="s">
        <v>25</v>
      </c>
      <c r="F335" s="4" t="s">
        <v>25</v>
      </c>
      <c r="G335" s="4" t="s">
        <v>25</v>
      </c>
      <c r="H335" s="4" t="s">
        <v>37</v>
      </c>
      <c r="I335" s="5">
        <v>44317</v>
      </c>
      <c r="J335" s="6">
        <v>1400</v>
      </c>
      <c r="K335" s="6">
        <v>1400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4" t="s">
        <v>60</v>
      </c>
      <c r="R335" s="4">
        <v>0</v>
      </c>
      <c r="S335" s="6">
        <v>28</v>
      </c>
      <c r="T335" s="6">
        <v>0</v>
      </c>
      <c r="U335" s="6">
        <v>0</v>
      </c>
      <c r="V335" s="6">
        <f>IF(ISERROR(VLOOKUP($S$335,'TAR FIN'!$A$1:$O$95,15,0)),0,VLOOKUP($S$335,'TAR FIN'!$A$1:$O$95,15,0))</f>
        <v>52.99</v>
      </c>
      <c r="W335" s="6">
        <f>IF(ISERROR(VLOOKUP($T$335,'TAR FIN'!$A$1:$O$95,15,0)),0,VLOOKUP($T$335,'TAR FIN'!$A$1:$O$95,15,0))</f>
        <v>0</v>
      </c>
      <c r="X335" s="6">
        <f>IF(ISERROR(VLOOKUP($U$335,'TAR FIN'!$A$1:$O$95,15,0)),0,VLOOKUP($U$335,'TAR FIN'!$A$1:$O$95,15,0))</f>
        <v>0</v>
      </c>
      <c r="Y335" s="6">
        <f ca="1">('TUSD BE'!$AM$10+'TUSD BF'!$AM$10+'TUSD CVA'!$AM$10)*1</f>
        <v>59.276351675174958</v>
      </c>
      <c r="Z335" s="6">
        <f ca="1">('TUSD BE'!$AM$12+'TUSD BF'!$AM$12+'TUSD CVA'!$AM$12)*1</f>
        <v>168.51338132937991</v>
      </c>
      <c r="AA335" s="6"/>
      <c r="AB335" s="6">
        <f>$K$335*$V$335</f>
        <v>74186</v>
      </c>
      <c r="AC335" s="6">
        <f>$M$335*$W$335</f>
        <v>0</v>
      </c>
      <c r="AD335" s="6">
        <f>$O$335*$X$335</f>
        <v>0</v>
      </c>
      <c r="AE335" s="6">
        <f ca="1">$K$335*$Y$335</f>
        <v>82986.892345244938</v>
      </c>
      <c r="AF335" s="6">
        <f ca="1">$M$335*$Z$335</f>
        <v>0</v>
      </c>
      <c r="AG335" s="6">
        <f>$O$335*$AA$335</f>
        <v>0</v>
      </c>
    </row>
    <row r="336" spans="1:33" ht="11.25" customHeight="1" x14ac:dyDescent="0.25">
      <c r="A336" s="4" t="s">
        <v>21</v>
      </c>
      <c r="B336" s="4" t="s">
        <v>35</v>
      </c>
      <c r="C336" s="4" t="s">
        <v>44</v>
      </c>
      <c r="D336" s="4" t="s">
        <v>45</v>
      </c>
      <c r="E336" s="4" t="s">
        <v>25</v>
      </c>
      <c r="F336" s="4" t="s">
        <v>25</v>
      </c>
      <c r="G336" s="4" t="s">
        <v>25</v>
      </c>
      <c r="H336" s="4" t="s">
        <v>37</v>
      </c>
      <c r="I336" s="5">
        <v>44348</v>
      </c>
      <c r="J336" s="6">
        <v>11099</v>
      </c>
      <c r="K336" s="6">
        <v>11099</v>
      </c>
      <c r="L336" s="6">
        <v>352.80900000000003</v>
      </c>
      <c r="M336" s="6">
        <v>352.80900000000003</v>
      </c>
      <c r="N336" s="6">
        <v>352.80900000000003</v>
      </c>
      <c r="O336" s="6">
        <v>352.80900000000003</v>
      </c>
      <c r="P336" s="6">
        <v>0</v>
      </c>
      <c r="Q336" s="4" t="s">
        <v>26</v>
      </c>
      <c r="R336" s="4">
        <v>0</v>
      </c>
      <c r="S336" s="6">
        <v>28</v>
      </c>
      <c r="T336" s="6">
        <v>30</v>
      </c>
      <c r="U336" s="6">
        <v>66</v>
      </c>
      <c r="V336" s="6">
        <f>IF(ISERROR(VLOOKUP($S$336,'TAR FIN'!$A$1:$O$95,15,0)),0,VLOOKUP($S$336,'TAR FIN'!$A$1:$O$95,15,0))</f>
        <v>52.99</v>
      </c>
      <c r="W336" s="6">
        <f>IF(ISERROR(VLOOKUP($T$336,'TAR FIN'!$A$1:$O$95,15,0)),0,VLOOKUP($T$336,'TAR FIN'!$A$1:$O$95,15,0))</f>
        <v>149.63</v>
      </c>
      <c r="X336" s="6">
        <f>IF(ISERROR(VLOOKUP($U$336,'TAR FIN'!$A$1:$O$95,15,0)),0,VLOOKUP($U$336,'TAR FIN'!$A$1:$O$95,15,0))</f>
        <v>389.28</v>
      </c>
      <c r="Y336" s="6">
        <f ca="1">('TUSD BE'!$AM$10+'TUSD BF'!$AM$10+'TUSD CVA'!$AM$10)*1</f>
        <v>59.276351675174958</v>
      </c>
      <c r="Z336" s="6">
        <f ca="1">('TUSD BE'!$AM$12+'TUSD BF'!$AM$12+'TUSD CVA'!$AM$12)*1</f>
        <v>168.51338132937991</v>
      </c>
      <c r="AA336" s="6">
        <f>('TE BE'!$AA$7+'TE BF'!$AA$7+'TE CVA'!$AA$7)*1</f>
        <v>454.3285679284046</v>
      </c>
      <c r="AB336" s="6">
        <f>$K$336*$V$336</f>
        <v>588136.01</v>
      </c>
      <c r="AC336" s="6">
        <f>$M$336*$W$336</f>
        <v>52790.810669999999</v>
      </c>
      <c r="AD336" s="6">
        <f>$O$336*$X$336</f>
        <v>137341.48752</v>
      </c>
      <c r="AE336" s="6">
        <f ca="1">$K$336*$Y$336</f>
        <v>657908.22724276688</v>
      </c>
      <c r="AF336" s="6">
        <f ca="1">$M$336*$Z$336</f>
        <v>59453.0375534372</v>
      </c>
      <c r="AG336" s="6">
        <f>$O$336*$AA$336</f>
        <v>160291.2077222525</v>
      </c>
    </row>
    <row r="337" spans="1:33" ht="11.25" customHeight="1" x14ac:dyDescent="0.25">
      <c r="A337" s="4" t="s">
        <v>27</v>
      </c>
      <c r="B337" s="4" t="s">
        <v>35</v>
      </c>
      <c r="C337" s="4" t="s">
        <v>44</v>
      </c>
      <c r="D337" s="4" t="s">
        <v>45</v>
      </c>
      <c r="E337" s="4" t="s">
        <v>25</v>
      </c>
      <c r="F337" s="4" t="s">
        <v>25</v>
      </c>
      <c r="G337" s="4" t="s">
        <v>25</v>
      </c>
      <c r="H337" s="4" t="s">
        <v>37</v>
      </c>
      <c r="I337" s="5">
        <v>44348</v>
      </c>
      <c r="J337" s="6">
        <v>-6</v>
      </c>
      <c r="K337" s="6">
        <v>-6</v>
      </c>
      <c r="L337" s="6">
        <v>1.18</v>
      </c>
      <c r="M337" s="6">
        <v>1.18</v>
      </c>
      <c r="N337" s="6">
        <v>1.18</v>
      </c>
      <c r="O337" s="6">
        <v>1.18</v>
      </c>
      <c r="P337" s="6">
        <v>0</v>
      </c>
      <c r="Q337" s="4" t="s">
        <v>26</v>
      </c>
      <c r="R337" s="4">
        <v>0</v>
      </c>
      <c r="S337" s="6">
        <v>28</v>
      </c>
      <c r="T337" s="6">
        <v>30</v>
      </c>
      <c r="U337" s="6">
        <v>66</v>
      </c>
      <c r="V337" s="6">
        <f>IF(ISERROR(VLOOKUP($S$337,'TAR FIN'!$A$1:$O$95,15,0)),0,VLOOKUP($S$337,'TAR FIN'!$A$1:$O$95,15,0))</f>
        <v>52.99</v>
      </c>
      <c r="W337" s="6">
        <f>IF(ISERROR(VLOOKUP($T$337,'TAR FIN'!$A$1:$O$95,15,0)),0,VLOOKUP($T$337,'TAR FIN'!$A$1:$O$95,15,0))</f>
        <v>149.63</v>
      </c>
      <c r="X337" s="6">
        <f>IF(ISERROR(VLOOKUP($U$337,'TAR FIN'!$A$1:$O$95,15,0)),0,VLOOKUP($U$337,'TAR FIN'!$A$1:$O$95,15,0))</f>
        <v>389.28</v>
      </c>
      <c r="Y337" s="6">
        <f ca="1">('TUSD BE'!$AM$10+'TUSD BF'!$AM$10+'TUSD CVA'!$AM$10)*1</f>
        <v>59.276351675174958</v>
      </c>
      <c r="Z337" s="6">
        <f ca="1">('TUSD BE'!$AM$12+'TUSD BF'!$AM$12+'TUSD CVA'!$AM$12)*1</f>
        <v>168.51338132937991</v>
      </c>
      <c r="AA337" s="6">
        <f>('TE BE'!$AA$7+'TE BF'!$AA$7+'TE CVA'!$AA$7)*1</f>
        <v>454.3285679284046</v>
      </c>
      <c r="AB337" s="6">
        <f>$K$337*$V$337</f>
        <v>-317.94</v>
      </c>
      <c r="AC337" s="6">
        <f>$M$337*$W$337</f>
        <v>176.56339999999997</v>
      </c>
      <c r="AD337" s="6">
        <f>$O$337*$X$337</f>
        <v>459.35039999999992</v>
      </c>
      <c r="AE337" s="6">
        <f ca="1">$K$337*$Y$337</f>
        <v>-355.65811005104973</v>
      </c>
      <c r="AF337" s="6">
        <f ca="1">$M$337*$Z$337</f>
        <v>198.84578996866827</v>
      </c>
      <c r="AG337" s="6">
        <f>$O$337*$AA$337</f>
        <v>536.10771015551734</v>
      </c>
    </row>
    <row r="338" spans="1:33" ht="11.25" customHeight="1" x14ac:dyDescent="0.25">
      <c r="A338" s="4" t="s">
        <v>28</v>
      </c>
      <c r="B338" s="4" t="s">
        <v>35</v>
      </c>
      <c r="C338" s="4" t="s">
        <v>44</v>
      </c>
      <c r="D338" s="4" t="s">
        <v>45</v>
      </c>
      <c r="E338" s="4" t="s">
        <v>25</v>
      </c>
      <c r="F338" s="4" t="s">
        <v>25</v>
      </c>
      <c r="G338" s="4" t="s">
        <v>25</v>
      </c>
      <c r="H338" s="4" t="s">
        <v>37</v>
      </c>
      <c r="I338" s="5">
        <v>44348</v>
      </c>
      <c r="J338" s="6">
        <v>965</v>
      </c>
      <c r="K338" s="6">
        <v>965</v>
      </c>
      <c r="L338" s="6">
        <v>12.986000000000001</v>
      </c>
      <c r="M338" s="6">
        <v>12.986000000000001</v>
      </c>
      <c r="N338" s="6">
        <v>12.986000000000001</v>
      </c>
      <c r="O338" s="6">
        <v>12.986000000000001</v>
      </c>
      <c r="P338" s="6">
        <v>0</v>
      </c>
      <c r="Q338" s="4" t="s">
        <v>26</v>
      </c>
      <c r="R338" s="4">
        <v>0</v>
      </c>
      <c r="S338" s="6">
        <v>28</v>
      </c>
      <c r="T338" s="6">
        <v>30</v>
      </c>
      <c r="U338" s="6">
        <v>66</v>
      </c>
      <c r="V338" s="6">
        <f>IF(ISERROR(VLOOKUP($S$338,'TAR FIN'!$A$1:$O$95,15,0)),0,VLOOKUP($S$338,'TAR FIN'!$A$1:$O$95,15,0))</f>
        <v>52.99</v>
      </c>
      <c r="W338" s="6">
        <f>IF(ISERROR(VLOOKUP($T$338,'TAR FIN'!$A$1:$O$95,15,0)),0,VLOOKUP($T$338,'TAR FIN'!$A$1:$O$95,15,0))</f>
        <v>149.63</v>
      </c>
      <c r="X338" s="6">
        <f>IF(ISERROR(VLOOKUP($U$338,'TAR FIN'!$A$1:$O$95,15,0)),0,VLOOKUP($U$338,'TAR FIN'!$A$1:$O$95,15,0))</f>
        <v>389.28</v>
      </c>
      <c r="Y338" s="6">
        <f ca="1">('TUSD BE'!$AM$10+'TUSD BF'!$AM$10+'TUSD CVA'!$AM$10)*1</f>
        <v>59.276351675174958</v>
      </c>
      <c r="Z338" s="6">
        <f ca="1">('TUSD BE'!$AM$12+'TUSD BF'!$AM$12+'TUSD CVA'!$AM$12)*1</f>
        <v>168.51338132937991</v>
      </c>
      <c r="AA338" s="6">
        <f>('TE BE'!$AA$7+'TE BF'!$AA$7+'TE CVA'!$AA$7)*1</f>
        <v>454.3285679284046</v>
      </c>
      <c r="AB338" s="6">
        <f>$K$338*$V$338</f>
        <v>51135.35</v>
      </c>
      <c r="AC338" s="6">
        <f>$M$338*$W$338</f>
        <v>1943.09518</v>
      </c>
      <c r="AD338" s="6">
        <f>$O$338*$X$338</f>
        <v>5055.1900800000003</v>
      </c>
      <c r="AE338" s="6">
        <f ca="1">$K$338*$Y$338</f>
        <v>57201.679366543831</v>
      </c>
      <c r="AF338" s="6">
        <f ca="1">$M$338*$Z$338</f>
        <v>2188.3147699433275</v>
      </c>
      <c r="AG338" s="6">
        <f>$O$338*$AA$338</f>
        <v>5899.9107831182628</v>
      </c>
    </row>
    <row r="339" spans="1:33" ht="11.25" customHeight="1" x14ac:dyDescent="0.25">
      <c r="A339" s="4" t="s">
        <v>30</v>
      </c>
      <c r="B339" s="4" t="s">
        <v>35</v>
      </c>
      <c r="C339" s="4" t="s">
        <v>44</v>
      </c>
      <c r="D339" s="4" t="s">
        <v>45</v>
      </c>
      <c r="E339" s="4" t="s">
        <v>25</v>
      </c>
      <c r="F339" s="4" t="s">
        <v>25</v>
      </c>
      <c r="G339" s="4" t="s">
        <v>25</v>
      </c>
      <c r="H339" s="4" t="s">
        <v>37</v>
      </c>
      <c r="I339" s="5">
        <v>44348</v>
      </c>
      <c r="J339" s="6">
        <v>247</v>
      </c>
      <c r="K339" s="6">
        <v>247</v>
      </c>
      <c r="L339" s="6">
        <v>8.8970000000000002</v>
      </c>
      <c r="M339" s="6">
        <v>8.8970000000000002</v>
      </c>
      <c r="N339" s="6">
        <v>8.8970000000000002</v>
      </c>
      <c r="O339" s="6">
        <v>8.8970000000000002</v>
      </c>
      <c r="P339" s="6">
        <v>0</v>
      </c>
      <c r="Q339" s="4" t="s">
        <v>26</v>
      </c>
      <c r="R339" s="4">
        <v>0</v>
      </c>
      <c r="S339" s="6">
        <v>28</v>
      </c>
      <c r="T339" s="6">
        <v>30</v>
      </c>
      <c r="U339" s="6">
        <v>66</v>
      </c>
      <c r="V339" s="6">
        <f>IF(ISERROR(VLOOKUP($S$339,'TAR FIN'!$A$1:$O$95,15,0)),0,VLOOKUP($S$339,'TAR FIN'!$A$1:$O$95,15,0))</f>
        <v>52.99</v>
      </c>
      <c r="W339" s="6">
        <f>IF(ISERROR(VLOOKUP($T$339,'TAR FIN'!$A$1:$O$95,15,0)),0,VLOOKUP($T$339,'TAR FIN'!$A$1:$O$95,15,0))</f>
        <v>149.63</v>
      </c>
      <c r="X339" s="6">
        <f>IF(ISERROR(VLOOKUP($U$339,'TAR FIN'!$A$1:$O$95,15,0)),0,VLOOKUP($U$339,'TAR FIN'!$A$1:$O$95,15,0))</f>
        <v>389.28</v>
      </c>
      <c r="Y339" s="6">
        <f ca="1">('TUSD BE'!$AM$10+'TUSD BF'!$AM$10+'TUSD CVA'!$AM$10)*1</f>
        <v>59.276351675174958</v>
      </c>
      <c r="Z339" s="6">
        <f ca="1">('TUSD BE'!$AM$12+'TUSD BF'!$AM$12+'TUSD CVA'!$AM$12)*1</f>
        <v>168.51338132937991</v>
      </c>
      <c r="AA339" s="6">
        <f>('TE BE'!$AA$7+'TE BF'!$AA$7+'TE CVA'!$AA$7)*1</f>
        <v>454.3285679284046</v>
      </c>
      <c r="AB339" s="6">
        <f>$K$339*$V$339</f>
        <v>13088.53</v>
      </c>
      <c r="AC339" s="6">
        <f>$M$339*$W$339</f>
        <v>1331.25811</v>
      </c>
      <c r="AD339" s="6">
        <f>$O$339*$X$339</f>
        <v>3463.42416</v>
      </c>
      <c r="AE339" s="6">
        <f ca="1">$K$339*$Y$339</f>
        <v>14641.258863768215</v>
      </c>
      <c r="AF339" s="6">
        <f ca="1">$M$339*$Z$339</f>
        <v>1499.2635536874932</v>
      </c>
      <c r="AG339" s="6">
        <f>$O$339*$AA$339</f>
        <v>4042.1612688590158</v>
      </c>
    </row>
    <row r="340" spans="1:33" ht="11.25" customHeight="1" x14ac:dyDescent="0.25">
      <c r="A340" s="4" t="s">
        <v>21</v>
      </c>
      <c r="B340" s="4" t="s">
        <v>35</v>
      </c>
      <c r="C340" s="4" t="s">
        <v>44</v>
      </c>
      <c r="D340" s="4" t="s">
        <v>45</v>
      </c>
      <c r="E340" s="4" t="s">
        <v>25</v>
      </c>
      <c r="F340" s="4" t="s">
        <v>25</v>
      </c>
      <c r="G340" s="4" t="s">
        <v>25</v>
      </c>
      <c r="H340" s="4" t="s">
        <v>37</v>
      </c>
      <c r="I340" s="5">
        <v>44378</v>
      </c>
      <c r="J340" s="6">
        <v>10956</v>
      </c>
      <c r="K340" s="6">
        <v>10956</v>
      </c>
      <c r="L340" s="6">
        <v>367.25299999999999</v>
      </c>
      <c r="M340" s="6">
        <v>367.25299999999999</v>
      </c>
      <c r="N340" s="6">
        <v>367.25299999999999</v>
      </c>
      <c r="O340" s="6">
        <v>367.25299999999999</v>
      </c>
      <c r="P340" s="6">
        <v>0</v>
      </c>
      <c r="Q340" s="4" t="s">
        <v>26</v>
      </c>
      <c r="R340" s="4">
        <v>0</v>
      </c>
      <c r="S340" s="6">
        <v>28</v>
      </c>
      <c r="T340" s="6">
        <v>30</v>
      </c>
      <c r="U340" s="6">
        <v>66</v>
      </c>
      <c r="V340" s="6">
        <f>IF(ISERROR(VLOOKUP($S$340,'TAR FIN'!$A$1:$O$95,15,0)),0,VLOOKUP($S$340,'TAR FIN'!$A$1:$O$95,15,0))</f>
        <v>52.99</v>
      </c>
      <c r="W340" s="6">
        <f>IF(ISERROR(VLOOKUP($T$340,'TAR FIN'!$A$1:$O$95,15,0)),0,VLOOKUP($T$340,'TAR FIN'!$A$1:$O$95,15,0))</f>
        <v>149.63</v>
      </c>
      <c r="X340" s="6">
        <f>IF(ISERROR(VLOOKUP($U$340,'TAR FIN'!$A$1:$O$95,15,0)),0,VLOOKUP($U$340,'TAR FIN'!$A$1:$O$95,15,0))</f>
        <v>389.28</v>
      </c>
      <c r="Y340" s="6">
        <f ca="1">('TUSD BE'!$AM$10+'TUSD BF'!$AM$10+'TUSD CVA'!$AM$10)*1</f>
        <v>59.276351675174958</v>
      </c>
      <c r="Z340" s="6">
        <f ca="1">('TUSD BE'!$AM$12+'TUSD BF'!$AM$12+'TUSD CVA'!$AM$12)*1</f>
        <v>168.51338132937991</v>
      </c>
      <c r="AA340" s="6">
        <f>('TE BE'!$AA$7+'TE BF'!$AA$7+'TE CVA'!$AA$7)*1</f>
        <v>454.3285679284046</v>
      </c>
      <c r="AB340" s="6">
        <f>$K$340*$V$340</f>
        <v>580558.44000000006</v>
      </c>
      <c r="AC340" s="6">
        <f>$M$340*$W$340</f>
        <v>54952.066389999993</v>
      </c>
      <c r="AD340" s="6">
        <f>$O$340*$X$340</f>
        <v>142964.24784</v>
      </c>
      <c r="AE340" s="6">
        <f ca="1">$K$340*$Y$340</f>
        <v>649431.70895321679</v>
      </c>
      <c r="AF340" s="6">
        <f ca="1">$M$340*$Z$340</f>
        <v>61887.044833358756</v>
      </c>
      <c r="AG340" s="6">
        <f>$O$340*$AA$340</f>
        <v>166853.52955741037</v>
      </c>
    </row>
    <row r="341" spans="1:33" ht="11.25" customHeight="1" x14ac:dyDescent="0.25">
      <c r="A341" s="4" t="s">
        <v>27</v>
      </c>
      <c r="B341" s="4" t="s">
        <v>35</v>
      </c>
      <c r="C341" s="4" t="s">
        <v>44</v>
      </c>
      <c r="D341" s="4" t="s">
        <v>45</v>
      </c>
      <c r="E341" s="4" t="s">
        <v>25</v>
      </c>
      <c r="F341" s="4" t="s">
        <v>25</v>
      </c>
      <c r="G341" s="4" t="s">
        <v>25</v>
      </c>
      <c r="H341" s="4" t="s">
        <v>37</v>
      </c>
      <c r="I341" s="5">
        <v>44378</v>
      </c>
      <c r="J341" s="6">
        <v>-1289</v>
      </c>
      <c r="K341" s="6">
        <v>-1289</v>
      </c>
      <c r="L341" s="6">
        <v>-61.13</v>
      </c>
      <c r="M341" s="6">
        <v>-61.13</v>
      </c>
      <c r="N341" s="6">
        <v>-61.13</v>
      </c>
      <c r="O341" s="6">
        <v>-61.13</v>
      </c>
      <c r="P341" s="6">
        <v>0</v>
      </c>
      <c r="Q341" s="4" t="s">
        <v>26</v>
      </c>
      <c r="R341" s="4">
        <v>0</v>
      </c>
      <c r="S341" s="6">
        <v>28</v>
      </c>
      <c r="T341" s="6">
        <v>30</v>
      </c>
      <c r="U341" s="6">
        <v>66</v>
      </c>
      <c r="V341" s="6">
        <f>IF(ISERROR(VLOOKUP($S$341,'TAR FIN'!$A$1:$O$95,15,0)),0,VLOOKUP($S$341,'TAR FIN'!$A$1:$O$95,15,0))</f>
        <v>52.99</v>
      </c>
      <c r="W341" s="6">
        <f>IF(ISERROR(VLOOKUP($T$341,'TAR FIN'!$A$1:$O$95,15,0)),0,VLOOKUP($T$341,'TAR FIN'!$A$1:$O$95,15,0))</f>
        <v>149.63</v>
      </c>
      <c r="X341" s="6">
        <f>IF(ISERROR(VLOOKUP($U$341,'TAR FIN'!$A$1:$O$95,15,0)),0,VLOOKUP($U$341,'TAR FIN'!$A$1:$O$95,15,0))</f>
        <v>389.28</v>
      </c>
      <c r="Y341" s="6">
        <f ca="1">('TUSD BE'!$AM$10+'TUSD BF'!$AM$10+'TUSD CVA'!$AM$10)*1</f>
        <v>59.276351675174958</v>
      </c>
      <c r="Z341" s="6">
        <f ca="1">('TUSD BE'!$AM$12+'TUSD BF'!$AM$12+'TUSD CVA'!$AM$12)*1</f>
        <v>168.51338132937991</v>
      </c>
      <c r="AA341" s="6">
        <f>('TE BE'!$AA$7+'TE BF'!$AA$7+'TE CVA'!$AA$7)*1</f>
        <v>454.3285679284046</v>
      </c>
      <c r="AB341" s="6">
        <f>$K$341*$V$341</f>
        <v>-68304.11</v>
      </c>
      <c r="AC341" s="6">
        <f>$M$341*$W$341</f>
        <v>-9146.8819000000003</v>
      </c>
      <c r="AD341" s="6">
        <f>$O$341*$X$341</f>
        <v>-23796.686399999999</v>
      </c>
      <c r="AE341" s="6">
        <f ca="1">$K$341*$Y$341</f>
        <v>-76407.217309300526</v>
      </c>
      <c r="AF341" s="6">
        <f ca="1">$M$341*$Z$341</f>
        <v>-10301.223000664995</v>
      </c>
      <c r="AG341" s="6">
        <f>$O$341*$AA$341</f>
        <v>-27773.105357463373</v>
      </c>
    </row>
    <row r="342" spans="1:33" ht="11.25" customHeight="1" x14ac:dyDescent="0.25">
      <c r="A342" s="4" t="s">
        <v>28</v>
      </c>
      <c r="B342" s="4" t="s">
        <v>35</v>
      </c>
      <c r="C342" s="4" t="s">
        <v>44</v>
      </c>
      <c r="D342" s="4" t="s">
        <v>45</v>
      </c>
      <c r="E342" s="4" t="s">
        <v>25</v>
      </c>
      <c r="F342" s="4" t="s">
        <v>25</v>
      </c>
      <c r="G342" s="4" t="s">
        <v>25</v>
      </c>
      <c r="H342" s="4" t="s">
        <v>37</v>
      </c>
      <c r="I342" s="5">
        <v>44378</v>
      </c>
      <c r="J342" s="6">
        <v>482</v>
      </c>
      <c r="K342" s="6">
        <v>482</v>
      </c>
      <c r="L342" s="6">
        <v>2.5009999999999999</v>
      </c>
      <c r="M342" s="6">
        <v>2.5009999999999999</v>
      </c>
      <c r="N342" s="6">
        <v>2.5009999999999999</v>
      </c>
      <c r="O342" s="6">
        <v>2.5009999999999999</v>
      </c>
      <c r="P342" s="6">
        <v>0</v>
      </c>
      <c r="Q342" s="4" t="s">
        <v>26</v>
      </c>
      <c r="R342" s="4">
        <v>0</v>
      </c>
      <c r="S342" s="6">
        <v>28</v>
      </c>
      <c r="T342" s="6">
        <v>30</v>
      </c>
      <c r="U342" s="6">
        <v>66</v>
      </c>
      <c r="V342" s="6">
        <f>IF(ISERROR(VLOOKUP($S$342,'TAR FIN'!$A$1:$O$95,15,0)),0,VLOOKUP($S$342,'TAR FIN'!$A$1:$O$95,15,0))</f>
        <v>52.99</v>
      </c>
      <c r="W342" s="6">
        <f>IF(ISERROR(VLOOKUP($T$342,'TAR FIN'!$A$1:$O$95,15,0)),0,VLOOKUP($T$342,'TAR FIN'!$A$1:$O$95,15,0))</f>
        <v>149.63</v>
      </c>
      <c r="X342" s="6">
        <f>IF(ISERROR(VLOOKUP($U$342,'TAR FIN'!$A$1:$O$95,15,0)),0,VLOOKUP($U$342,'TAR FIN'!$A$1:$O$95,15,0))</f>
        <v>389.28</v>
      </c>
      <c r="Y342" s="6">
        <f ca="1">('TUSD BE'!$AM$10+'TUSD BF'!$AM$10+'TUSD CVA'!$AM$10)*1</f>
        <v>59.276351675174958</v>
      </c>
      <c r="Z342" s="6">
        <f ca="1">('TUSD BE'!$AM$12+'TUSD BF'!$AM$12+'TUSD CVA'!$AM$12)*1</f>
        <v>168.51338132937991</v>
      </c>
      <c r="AA342" s="6">
        <f>('TE BE'!$AA$7+'TE BF'!$AA$7+'TE CVA'!$AA$7)*1</f>
        <v>454.3285679284046</v>
      </c>
      <c r="AB342" s="6">
        <f>$K$342*$V$342</f>
        <v>25541.18</v>
      </c>
      <c r="AC342" s="6">
        <f>$M$342*$W$342</f>
        <v>374.22462999999999</v>
      </c>
      <c r="AD342" s="6">
        <f>$O$342*$X$342</f>
        <v>973.58927999999992</v>
      </c>
      <c r="AE342" s="6">
        <f ca="1">$K$342*$Y$342</f>
        <v>28571.201507434329</v>
      </c>
      <c r="AF342" s="6">
        <f ca="1">$M$342*$Z$342</f>
        <v>421.45196670477912</v>
      </c>
      <c r="AG342" s="6">
        <f>$O$342*$AA$342</f>
        <v>1136.2757483889397</v>
      </c>
    </row>
    <row r="343" spans="1:33" ht="11.25" customHeight="1" x14ac:dyDescent="0.25">
      <c r="A343" s="4" t="s">
        <v>30</v>
      </c>
      <c r="B343" s="4" t="s">
        <v>35</v>
      </c>
      <c r="C343" s="4" t="s">
        <v>44</v>
      </c>
      <c r="D343" s="4" t="s">
        <v>45</v>
      </c>
      <c r="E343" s="4" t="s">
        <v>25</v>
      </c>
      <c r="F343" s="4" t="s">
        <v>25</v>
      </c>
      <c r="G343" s="4" t="s">
        <v>25</v>
      </c>
      <c r="H343" s="4" t="s">
        <v>37</v>
      </c>
      <c r="I343" s="5">
        <v>44378</v>
      </c>
      <c r="J343" s="6">
        <v>248</v>
      </c>
      <c r="K343" s="6">
        <v>248</v>
      </c>
      <c r="L343" s="6">
        <v>9.5060000000000002</v>
      </c>
      <c r="M343" s="6">
        <v>9.5060000000000002</v>
      </c>
      <c r="N343" s="6">
        <v>9.5060000000000002</v>
      </c>
      <c r="O343" s="6">
        <v>9.5060000000000002</v>
      </c>
      <c r="P343" s="6">
        <v>0</v>
      </c>
      <c r="Q343" s="4" t="s">
        <v>26</v>
      </c>
      <c r="R343" s="4">
        <v>0</v>
      </c>
      <c r="S343" s="6">
        <v>28</v>
      </c>
      <c r="T343" s="6">
        <v>30</v>
      </c>
      <c r="U343" s="6">
        <v>66</v>
      </c>
      <c r="V343" s="6">
        <f>IF(ISERROR(VLOOKUP($S$343,'TAR FIN'!$A$1:$O$95,15,0)),0,VLOOKUP($S$343,'TAR FIN'!$A$1:$O$95,15,0))</f>
        <v>52.99</v>
      </c>
      <c r="W343" s="6">
        <f>IF(ISERROR(VLOOKUP($T$343,'TAR FIN'!$A$1:$O$95,15,0)),0,VLOOKUP($T$343,'TAR FIN'!$A$1:$O$95,15,0))</f>
        <v>149.63</v>
      </c>
      <c r="X343" s="6">
        <f>IF(ISERROR(VLOOKUP($U$343,'TAR FIN'!$A$1:$O$95,15,0)),0,VLOOKUP($U$343,'TAR FIN'!$A$1:$O$95,15,0))</f>
        <v>389.28</v>
      </c>
      <c r="Y343" s="6">
        <f ca="1">('TUSD BE'!$AM$10+'TUSD BF'!$AM$10+'TUSD CVA'!$AM$10)*1</f>
        <v>59.276351675174958</v>
      </c>
      <c r="Z343" s="6">
        <f ca="1">('TUSD BE'!$AM$12+'TUSD BF'!$AM$12+'TUSD CVA'!$AM$12)*1</f>
        <v>168.51338132937991</v>
      </c>
      <c r="AA343" s="6">
        <f>('TE BE'!$AA$7+'TE BF'!$AA$7+'TE CVA'!$AA$7)*1</f>
        <v>454.3285679284046</v>
      </c>
      <c r="AB343" s="6">
        <f>$K$343*$V$343</f>
        <v>13141.52</v>
      </c>
      <c r="AC343" s="6">
        <f>$M$343*$W$343</f>
        <v>1422.3827799999999</v>
      </c>
      <c r="AD343" s="6">
        <f>$O$343*$X$343</f>
        <v>3700.49568</v>
      </c>
      <c r="AE343" s="6">
        <f ca="1">$K$343*$Y$343</f>
        <v>14700.535215443389</v>
      </c>
      <c r="AF343" s="6">
        <f ca="1">$M$343*$Z$343</f>
        <v>1601.8882029170854</v>
      </c>
      <c r="AG343" s="6">
        <f>$O$343*$AA$343</f>
        <v>4318.8473667274138</v>
      </c>
    </row>
    <row r="344" spans="1:33" ht="11.25" customHeight="1" x14ac:dyDescent="0.25">
      <c r="A344" s="4" t="s">
        <v>21</v>
      </c>
      <c r="B344" s="4" t="s">
        <v>35</v>
      </c>
      <c r="C344" s="4" t="s">
        <v>44</v>
      </c>
      <c r="D344" s="4" t="s">
        <v>45</v>
      </c>
      <c r="E344" s="4" t="s">
        <v>25</v>
      </c>
      <c r="F344" s="4" t="s">
        <v>25</v>
      </c>
      <c r="G344" s="4" t="s">
        <v>25</v>
      </c>
      <c r="H344" s="4" t="s">
        <v>37</v>
      </c>
      <c r="I344" s="5">
        <v>44378</v>
      </c>
      <c r="J344" s="6">
        <v>1400</v>
      </c>
      <c r="K344" s="6">
        <v>1400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4" t="s">
        <v>60</v>
      </c>
      <c r="R344" s="4">
        <v>0</v>
      </c>
      <c r="S344" s="6">
        <v>28</v>
      </c>
      <c r="T344" s="6">
        <v>0</v>
      </c>
      <c r="U344" s="6">
        <v>0</v>
      </c>
      <c r="V344" s="6">
        <f>IF(ISERROR(VLOOKUP($S$344,'TAR FIN'!$A$1:$O$95,15,0)),0,VLOOKUP($S$344,'TAR FIN'!$A$1:$O$95,15,0))</f>
        <v>52.99</v>
      </c>
      <c r="W344" s="6">
        <f>IF(ISERROR(VLOOKUP($T$344,'TAR FIN'!$A$1:$O$95,15,0)),0,VLOOKUP($T$344,'TAR FIN'!$A$1:$O$95,15,0))</f>
        <v>0</v>
      </c>
      <c r="X344" s="6">
        <f>IF(ISERROR(VLOOKUP($U$344,'TAR FIN'!$A$1:$O$95,15,0)),0,VLOOKUP($U$344,'TAR FIN'!$A$1:$O$95,15,0))</f>
        <v>0</v>
      </c>
      <c r="Y344" s="6">
        <f ca="1">('TUSD BE'!$AM$10+'TUSD BF'!$AM$10+'TUSD CVA'!$AM$10)*1</f>
        <v>59.276351675174958</v>
      </c>
      <c r="Z344" s="6">
        <f ca="1">('TUSD BE'!$AM$12+'TUSD BF'!$AM$12+'TUSD CVA'!$AM$12)*1</f>
        <v>168.51338132937991</v>
      </c>
      <c r="AA344" s="6"/>
      <c r="AB344" s="6">
        <f>$K$344*$V$344</f>
        <v>74186</v>
      </c>
      <c r="AC344" s="6">
        <f>$M$344*$W$344</f>
        <v>0</v>
      </c>
      <c r="AD344" s="6">
        <f>$O$344*$X$344</f>
        <v>0</v>
      </c>
      <c r="AE344" s="6">
        <f ca="1">$K$344*$Y$344</f>
        <v>82986.892345244938</v>
      </c>
      <c r="AF344" s="6">
        <f ca="1">$M$344*$Z$344</f>
        <v>0</v>
      </c>
      <c r="AG344" s="6">
        <f>$O$344*$AA$344</f>
        <v>0</v>
      </c>
    </row>
    <row r="345" spans="1:33" ht="11.25" customHeight="1" x14ac:dyDescent="0.25">
      <c r="A345" s="4" t="s">
        <v>21</v>
      </c>
      <c r="B345" s="4" t="s">
        <v>35</v>
      </c>
      <c r="C345" s="4" t="s">
        <v>44</v>
      </c>
      <c r="D345" s="4" t="s">
        <v>45</v>
      </c>
      <c r="E345" s="4" t="s">
        <v>25</v>
      </c>
      <c r="F345" s="4" t="s">
        <v>25</v>
      </c>
      <c r="G345" s="4" t="s">
        <v>25</v>
      </c>
      <c r="H345" s="4" t="s">
        <v>37</v>
      </c>
      <c r="I345" s="5">
        <v>44409</v>
      </c>
      <c r="J345" s="6">
        <v>14797</v>
      </c>
      <c r="K345" s="6">
        <v>14797</v>
      </c>
      <c r="L345" s="6">
        <v>454.72</v>
      </c>
      <c r="M345" s="6">
        <v>454.72</v>
      </c>
      <c r="N345" s="6">
        <v>454.72</v>
      </c>
      <c r="O345" s="6">
        <v>454.72</v>
      </c>
      <c r="P345" s="6">
        <v>0</v>
      </c>
      <c r="Q345" s="4" t="s">
        <v>26</v>
      </c>
      <c r="R345" s="4">
        <v>0</v>
      </c>
      <c r="S345" s="6">
        <v>28</v>
      </c>
      <c r="T345" s="6">
        <v>30</v>
      </c>
      <c r="U345" s="6">
        <v>66</v>
      </c>
      <c r="V345" s="6">
        <f>IF(ISERROR(VLOOKUP($S$345,'TAR FIN'!$A$1:$O$95,15,0)),0,VLOOKUP($S$345,'TAR FIN'!$A$1:$O$95,15,0))</f>
        <v>52.99</v>
      </c>
      <c r="W345" s="6">
        <f>IF(ISERROR(VLOOKUP($T$345,'TAR FIN'!$A$1:$O$95,15,0)),0,VLOOKUP($T$345,'TAR FIN'!$A$1:$O$95,15,0))</f>
        <v>149.63</v>
      </c>
      <c r="X345" s="6">
        <f>IF(ISERROR(VLOOKUP($U$345,'TAR FIN'!$A$1:$O$95,15,0)),0,VLOOKUP($U$345,'TAR FIN'!$A$1:$O$95,15,0))</f>
        <v>389.28</v>
      </c>
      <c r="Y345" s="6">
        <f ca="1">('TUSD BE'!$AM$10+'TUSD BF'!$AM$10+'TUSD CVA'!$AM$10)*1</f>
        <v>59.276351675174958</v>
      </c>
      <c r="Z345" s="6">
        <f ca="1">('TUSD BE'!$AM$12+'TUSD BF'!$AM$12+'TUSD CVA'!$AM$12)*1</f>
        <v>168.51338132937991</v>
      </c>
      <c r="AA345" s="6">
        <f>('TE BE'!$AA$7+'TE BF'!$AA$7+'TE CVA'!$AA$7)*1</f>
        <v>454.3285679284046</v>
      </c>
      <c r="AB345" s="6">
        <f>$K$345*$V$345</f>
        <v>784093.03</v>
      </c>
      <c r="AC345" s="6">
        <f>$M$345*$W$345</f>
        <v>68039.753599999996</v>
      </c>
      <c r="AD345" s="6">
        <f>$O$345*$X$345</f>
        <v>177013.40160000001</v>
      </c>
      <c r="AE345" s="6">
        <f ca="1">$K$345*$Y$345</f>
        <v>877112.17573756387</v>
      </c>
      <c r="AF345" s="6">
        <f ca="1">$M$345*$Z$345</f>
        <v>76626.404758095639</v>
      </c>
      <c r="AG345" s="6">
        <f>$O$345*$AA$345</f>
        <v>206592.28640840415</v>
      </c>
    </row>
    <row r="346" spans="1:33" ht="11.25" customHeight="1" x14ac:dyDescent="0.25">
      <c r="A346" s="4" t="s">
        <v>27</v>
      </c>
      <c r="B346" s="4" t="s">
        <v>35</v>
      </c>
      <c r="C346" s="4" t="s">
        <v>44</v>
      </c>
      <c r="D346" s="4" t="s">
        <v>45</v>
      </c>
      <c r="E346" s="4" t="s">
        <v>25</v>
      </c>
      <c r="F346" s="4" t="s">
        <v>25</v>
      </c>
      <c r="G346" s="4" t="s">
        <v>25</v>
      </c>
      <c r="H346" s="4" t="s">
        <v>37</v>
      </c>
      <c r="I346" s="5">
        <v>44409</v>
      </c>
      <c r="J346" s="6">
        <v>574</v>
      </c>
      <c r="K346" s="6">
        <v>574</v>
      </c>
      <c r="L346" s="6">
        <v>12.545</v>
      </c>
      <c r="M346" s="6">
        <v>12.545</v>
      </c>
      <c r="N346" s="6">
        <v>12.545</v>
      </c>
      <c r="O346" s="6">
        <v>12.545</v>
      </c>
      <c r="P346" s="6">
        <v>0</v>
      </c>
      <c r="Q346" s="4" t="s">
        <v>26</v>
      </c>
      <c r="R346" s="4">
        <v>0</v>
      </c>
      <c r="S346" s="6">
        <v>28</v>
      </c>
      <c r="T346" s="6">
        <v>30</v>
      </c>
      <c r="U346" s="6">
        <v>66</v>
      </c>
      <c r="V346" s="6">
        <f>IF(ISERROR(VLOOKUP($S$346,'TAR FIN'!$A$1:$O$95,15,0)),0,VLOOKUP($S$346,'TAR FIN'!$A$1:$O$95,15,0))</f>
        <v>52.99</v>
      </c>
      <c r="W346" s="6">
        <f>IF(ISERROR(VLOOKUP($T$346,'TAR FIN'!$A$1:$O$95,15,0)),0,VLOOKUP($T$346,'TAR FIN'!$A$1:$O$95,15,0))</f>
        <v>149.63</v>
      </c>
      <c r="X346" s="6">
        <f>IF(ISERROR(VLOOKUP($U$346,'TAR FIN'!$A$1:$O$95,15,0)),0,VLOOKUP($U$346,'TAR FIN'!$A$1:$O$95,15,0))</f>
        <v>389.28</v>
      </c>
      <c r="Y346" s="6">
        <f ca="1">('TUSD BE'!$AM$10+'TUSD BF'!$AM$10+'TUSD CVA'!$AM$10)*1</f>
        <v>59.276351675174958</v>
      </c>
      <c r="Z346" s="6">
        <f ca="1">('TUSD BE'!$AM$12+'TUSD BF'!$AM$12+'TUSD CVA'!$AM$12)*1</f>
        <v>168.51338132937991</v>
      </c>
      <c r="AA346" s="6">
        <f>('TE BE'!$AA$7+'TE BF'!$AA$7+'TE CVA'!$AA$7)*1</f>
        <v>454.3285679284046</v>
      </c>
      <c r="AB346" s="6">
        <f>$K$346*$V$346</f>
        <v>30416.260000000002</v>
      </c>
      <c r="AC346" s="6">
        <f>$M$346*$W$346</f>
        <v>1877.10835</v>
      </c>
      <c r="AD346" s="6">
        <f>$O$346*$X$346</f>
        <v>4883.5175999999992</v>
      </c>
      <c r="AE346" s="6">
        <f ca="1">$K$346*$Y$346</f>
        <v>34024.625861550427</v>
      </c>
      <c r="AF346" s="6">
        <f ca="1">$M$346*$Z$346</f>
        <v>2114.0003687770709</v>
      </c>
      <c r="AG346" s="6">
        <f>$O$346*$AA$346</f>
        <v>5699.5518846618352</v>
      </c>
    </row>
    <row r="347" spans="1:33" ht="11.25" customHeight="1" x14ac:dyDescent="0.25">
      <c r="A347" s="4" t="s">
        <v>28</v>
      </c>
      <c r="B347" s="4" t="s">
        <v>35</v>
      </c>
      <c r="C347" s="4" t="s">
        <v>44</v>
      </c>
      <c r="D347" s="4" t="s">
        <v>45</v>
      </c>
      <c r="E347" s="4" t="s">
        <v>25</v>
      </c>
      <c r="F347" s="4" t="s">
        <v>25</v>
      </c>
      <c r="G347" s="4" t="s">
        <v>25</v>
      </c>
      <c r="H347" s="4" t="s">
        <v>37</v>
      </c>
      <c r="I347" s="5">
        <v>44409</v>
      </c>
      <c r="J347" s="6">
        <v>482</v>
      </c>
      <c r="K347" s="6">
        <v>482</v>
      </c>
      <c r="L347" s="6">
        <v>2.0489999999999999</v>
      </c>
      <c r="M347" s="6">
        <v>2.0489999999999999</v>
      </c>
      <c r="N347" s="6">
        <v>2.0489999999999999</v>
      </c>
      <c r="O347" s="6">
        <v>2.0489999999999999</v>
      </c>
      <c r="P347" s="6">
        <v>0</v>
      </c>
      <c r="Q347" s="4" t="s">
        <v>26</v>
      </c>
      <c r="R347" s="4">
        <v>0</v>
      </c>
      <c r="S347" s="6">
        <v>28</v>
      </c>
      <c r="T347" s="6">
        <v>30</v>
      </c>
      <c r="U347" s="6">
        <v>66</v>
      </c>
      <c r="V347" s="6">
        <f>IF(ISERROR(VLOOKUP($S$347,'TAR FIN'!$A$1:$O$95,15,0)),0,VLOOKUP($S$347,'TAR FIN'!$A$1:$O$95,15,0))</f>
        <v>52.99</v>
      </c>
      <c r="W347" s="6">
        <f>IF(ISERROR(VLOOKUP($T$347,'TAR FIN'!$A$1:$O$95,15,0)),0,VLOOKUP($T$347,'TAR FIN'!$A$1:$O$95,15,0))</f>
        <v>149.63</v>
      </c>
      <c r="X347" s="6">
        <f>IF(ISERROR(VLOOKUP($U$347,'TAR FIN'!$A$1:$O$95,15,0)),0,VLOOKUP($U$347,'TAR FIN'!$A$1:$O$95,15,0))</f>
        <v>389.28</v>
      </c>
      <c r="Y347" s="6">
        <f ca="1">('TUSD BE'!$AM$10+'TUSD BF'!$AM$10+'TUSD CVA'!$AM$10)*1</f>
        <v>59.276351675174958</v>
      </c>
      <c r="Z347" s="6">
        <f ca="1">('TUSD BE'!$AM$12+'TUSD BF'!$AM$12+'TUSD CVA'!$AM$12)*1</f>
        <v>168.51338132937991</v>
      </c>
      <c r="AA347" s="6">
        <f>('TE BE'!$AA$7+'TE BF'!$AA$7+'TE CVA'!$AA$7)*1</f>
        <v>454.3285679284046</v>
      </c>
      <c r="AB347" s="6">
        <f>$K$347*$V$347</f>
        <v>25541.18</v>
      </c>
      <c r="AC347" s="6">
        <f>$M$347*$W$347</f>
        <v>306.59186999999997</v>
      </c>
      <c r="AD347" s="6">
        <f>$O$347*$X$347</f>
        <v>797.6347199999999</v>
      </c>
      <c r="AE347" s="6">
        <f ca="1">$K$347*$Y$347</f>
        <v>28571.201507434329</v>
      </c>
      <c r="AF347" s="6">
        <f ca="1">$M$347*$Z$347</f>
        <v>345.28391834389942</v>
      </c>
      <c r="AG347" s="6">
        <f>$O$347*$AA$347</f>
        <v>930.91923568530103</v>
      </c>
    </row>
    <row r="348" spans="1:33" ht="11.25" customHeight="1" x14ac:dyDescent="0.25">
      <c r="A348" s="4" t="s">
        <v>30</v>
      </c>
      <c r="B348" s="4" t="s">
        <v>35</v>
      </c>
      <c r="C348" s="4" t="s">
        <v>44</v>
      </c>
      <c r="D348" s="4" t="s">
        <v>45</v>
      </c>
      <c r="E348" s="4" t="s">
        <v>25</v>
      </c>
      <c r="F348" s="4" t="s">
        <v>25</v>
      </c>
      <c r="G348" s="4" t="s">
        <v>25</v>
      </c>
      <c r="H348" s="4" t="s">
        <v>37</v>
      </c>
      <c r="I348" s="5">
        <v>44409</v>
      </c>
      <c r="J348" s="6">
        <v>267</v>
      </c>
      <c r="K348" s="6">
        <v>267</v>
      </c>
      <c r="L348" s="6">
        <v>8.7230000000000008</v>
      </c>
      <c r="M348" s="6">
        <v>8.7230000000000008</v>
      </c>
      <c r="N348" s="6">
        <v>8.7230000000000008</v>
      </c>
      <c r="O348" s="6">
        <v>8.7230000000000008</v>
      </c>
      <c r="P348" s="6">
        <v>0</v>
      </c>
      <c r="Q348" s="4" t="s">
        <v>26</v>
      </c>
      <c r="R348" s="4">
        <v>0</v>
      </c>
      <c r="S348" s="6">
        <v>28</v>
      </c>
      <c r="T348" s="6">
        <v>30</v>
      </c>
      <c r="U348" s="6">
        <v>66</v>
      </c>
      <c r="V348" s="6">
        <f>IF(ISERROR(VLOOKUP($S$348,'TAR FIN'!$A$1:$O$95,15,0)),0,VLOOKUP($S$348,'TAR FIN'!$A$1:$O$95,15,0))</f>
        <v>52.99</v>
      </c>
      <c r="W348" s="6">
        <f>IF(ISERROR(VLOOKUP($T$348,'TAR FIN'!$A$1:$O$95,15,0)),0,VLOOKUP($T$348,'TAR FIN'!$A$1:$O$95,15,0))</f>
        <v>149.63</v>
      </c>
      <c r="X348" s="6">
        <f>IF(ISERROR(VLOOKUP($U$348,'TAR FIN'!$A$1:$O$95,15,0)),0,VLOOKUP($U$348,'TAR FIN'!$A$1:$O$95,15,0))</f>
        <v>389.28</v>
      </c>
      <c r="Y348" s="6">
        <f ca="1">('TUSD BE'!$AM$10+'TUSD BF'!$AM$10+'TUSD CVA'!$AM$10)*1</f>
        <v>59.276351675174958</v>
      </c>
      <c r="Z348" s="6">
        <f ca="1">('TUSD BE'!$AM$12+'TUSD BF'!$AM$12+'TUSD CVA'!$AM$12)*1</f>
        <v>168.51338132937991</v>
      </c>
      <c r="AA348" s="6">
        <f>('TE BE'!$AA$7+'TE BF'!$AA$7+'TE CVA'!$AA$7)*1</f>
        <v>454.3285679284046</v>
      </c>
      <c r="AB348" s="6">
        <f>$K$348*$V$348</f>
        <v>14148.33</v>
      </c>
      <c r="AC348" s="6">
        <f>$M$348*$W$348</f>
        <v>1305.2224900000001</v>
      </c>
      <c r="AD348" s="6">
        <f>$O$348*$X$348</f>
        <v>3395.6894400000001</v>
      </c>
      <c r="AE348" s="6">
        <f ca="1">$K$348*$Y$348</f>
        <v>15826.785897271713</v>
      </c>
      <c r="AF348" s="6">
        <f ca="1">$M$348*$Z$348</f>
        <v>1469.9422253361811</v>
      </c>
      <c r="AG348" s="6">
        <f>$O$348*$AA$348</f>
        <v>3963.1080980394736</v>
      </c>
    </row>
    <row r="349" spans="1:33" ht="11.25" customHeight="1" x14ac:dyDescent="0.25">
      <c r="A349" s="4" t="s">
        <v>21</v>
      </c>
      <c r="B349" s="4" t="s">
        <v>35</v>
      </c>
      <c r="C349" s="4" t="s">
        <v>44</v>
      </c>
      <c r="D349" s="4" t="s">
        <v>45</v>
      </c>
      <c r="E349" s="4" t="s">
        <v>25</v>
      </c>
      <c r="F349" s="4" t="s">
        <v>25</v>
      </c>
      <c r="G349" s="4" t="s">
        <v>25</v>
      </c>
      <c r="H349" s="4" t="s">
        <v>37</v>
      </c>
      <c r="I349" s="5">
        <v>44409</v>
      </c>
      <c r="J349" s="6">
        <v>1400</v>
      </c>
      <c r="K349" s="6">
        <v>1400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4" t="s">
        <v>60</v>
      </c>
      <c r="R349" s="4">
        <v>0</v>
      </c>
      <c r="S349" s="6">
        <v>28</v>
      </c>
      <c r="T349" s="6">
        <v>0</v>
      </c>
      <c r="U349" s="6">
        <v>0</v>
      </c>
      <c r="V349" s="6">
        <f>IF(ISERROR(VLOOKUP($S$349,'TAR FIN'!$A$1:$O$95,15,0)),0,VLOOKUP($S$349,'TAR FIN'!$A$1:$O$95,15,0))</f>
        <v>52.99</v>
      </c>
      <c r="W349" s="6">
        <f>IF(ISERROR(VLOOKUP($T$349,'TAR FIN'!$A$1:$O$95,15,0)),0,VLOOKUP($T$349,'TAR FIN'!$A$1:$O$95,15,0))</f>
        <v>0</v>
      </c>
      <c r="X349" s="6">
        <f>IF(ISERROR(VLOOKUP($U$349,'TAR FIN'!$A$1:$O$95,15,0)),0,VLOOKUP($U$349,'TAR FIN'!$A$1:$O$95,15,0))</f>
        <v>0</v>
      </c>
      <c r="Y349" s="6">
        <f ca="1">('TUSD BE'!$AM$10+'TUSD BF'!$AM$10+'TUSD CVA'!$AM$10)*1</f>
        <v>59.276351675174958</v>
      </c>
      <c r="Z349" s="6">
        <f ca="1">('TUSD BE'!$AM$12+'TUSD BF'!$AM$12+'TUSD CVA'!$AM$12)*1</f>
        <v>168.51338132937991</v>
      </c>
      <c r="AA349" s="6"/>
      <c r="AB349" s="6">
        <f>$K$349*$V$349</f>
        <v>74186</v>
      </c>
      <c r="AC349" s="6">
        <f>$M$349*$W$349</f>
        <v>0</v>
      </c>
      <c r="AD349" s="6">
        <f>$O$349*$X$349</f>
        <v>0</v>
      </c>
      <c r="AE349" s="6">
        <f ca="1">$K$349*$Y$349</f>
        <v>82986.892345244938</v>
      </c>
      <c r="AF349" s="6">
        <f ca="1">$M$349*$Z$349</f>
        <v>0</v>
      </c>
      <c r="AG349" s="6">
        <f>$O$349*$AA$349</f>
        <v>0</v>
      </c>
    </row>
    <row r="350" spans="1:33" ht="11.25" customHeight="1" x14ac:dyDescent="0.25">
      <c r="A350" s="4" t="s">
        <v>21</v>
      </c>
      <c r="B350" s="4" t="s">
        <v>35</v>
      </c>
      <c r="C350" s="4" t="s">
        <v>44</v>
      </c>
      <c r="D350" s="4" t="s">
        <v>45</v>
      </c>
      <c r="E350" s="4" t="s">
        <v>25</v>
      </c>
      <c r="F350" s="4" t="s">
        <v>25</v>
      </c>
      <c r="G350" s="4" t="s">
        <v>25</v>
      </c>
      <c r="H350" s="4" t="s">
        <v>37</v>
      </c>
      <c r="I350" s="5">
        <v>44440</v>
      </c>
      <c r="J350" s="6">
        <v>15560</v>
      </c>
      <c r="K350" s="6">
        <v>15560</v>
      </c>
      <c r="L350" s="6">
        <v>453.15899999999999</v>
      </c>
      <c r="M350" s="6">
        <v>453.15899999999999</v>
      </c>
      <c r="N350" s="6">
        <v>453.15899999999999</v>
      </c>
      <c r="O350" s="6">
        <v>453.15899999999999</v>
      </c>
      <c r="P350" s="6">
        <v>0</v>
      </c>
      <c r="Q350" s="4" t="s">
        <v>26</v>
      </c>
      <c r="R350" s="4">
        <v>0</v>
      </c>
      <c r="S350" s="6">
        <v>28</v>
      </c>
      <c r="T350" s="6">
        <v>30</v>
      </c>
      <c r="U350" s="6">
        <v>66</v>
      </c>
      <c r="V350" s="6">
        <f>IF(ISERROR(VLOOKUP($S$350,'TAR FIN'!$A$1:$O$95,15,0)),0,VLOOKUP($S$350,'TAR FIN'!$A$1:$O$95,15,0))</f>
        <v>52.99</v>
      </c>
      <c r="W350" s="6">
        <f>IF(ISERROR(VLOOKUP($T$350,'TAR FIN'!$A$1:$O$95,15,0)),0,VLOOKUP($T$350,'TAR FIN'!$A$1:$O$95,15,0))</f>
        <v>149.63</v>
      </c>
      <c r="X350" s="6">
        <f>IF(ISERROR(VLOOKUP($U$350,'TAR FIN'!$A$1:$O$95,15,0)),0,VLOOKUP($U$350,'TAR FIN'!$A$1:$O$95,15,0))</f>
        <v>389.28</v>
      </c>
      <c r="Y350" s="6">
        <f ca="1">('TUSD BE'!$AM$10+'TUSD BF'!$AM$10+'TUSD CVA'!$AM$10)*1</f>
        <v>59.276351675174958</v>
      </c>
      <c r="Z350" s="6">
        <f ca="1">('TUSD BE'!$AM$12+'TUSD BF'!$AM$12+'TUSD CVA'!$AM$12)*1</f>
        <v>168.51338132937991</v>
      </c>
      <c r="AA350" s="6">
        <f>('TE BE'!$AA$7+'TE BF'!$AA$7+'TE CVA'!$AA$7)*1</f>
        <v>454.3285679284046</v>
      </c>
      <c r="AB350" s="6">
        <f>$K$350*$V$350</f>
        <v>824524.4</v>
      </c>
      <c r="AC350" s="6">
        <f>$M$350*$W$350</f>
        <v>67806.181169999996</v>
      </c>
      <c r="AD350" s="6">
        <f>$O$350*$X$350</f>
        <v>176405.73551999999</v>
      </c>
      <c r="AE350" s="6">
        <f ca="1">$K$350*$Y$350</f>
        <v>922340.03206572239</v>
      </c>
      <c r="AF350" s="6">
        <f ca="1">$M$350*$Z$350</f>
        <v>76363.355369840472</v>
      </c>
      <c r="AG350" s="6">
        <f>$O$350*$AA$350</f>
        <v>205883.07951386788</v>
      </c>
    </row>
    <row r="351" spans="1:33" ht="11.25" customHeight="1" x14ac:dyDescent="0.25">
      <c r="A351" s="4" t="s">
        <v>27</v>
      </c>
      <c r="B351" s="4" t="s">
        <v>35</v>
      </c>
      <c r="C351" s="4" t="s">
        <v>44</v>
      </c>
      <c r="D351" s="4" t="s">
        <v>45</v>
      </c>
      <c r="E351" s="4" t="s">
        <v>25</v>
      </c>
      <c r="F351" s="4" t="s">
        <v>25</v>
      </c>
      <c r="G351" s="4" t="s">
        <v>25</v>
      </c>
      <c r="H351" s="4" t="s">
        <v>37</v>
      </c>
      <c r="I351" s="5">
        <v>44440</v>
      </c>
      <c r="J351" s="6">
        <v>-2</v>
      </c>
      <c r="K351" s="6">
        <v>-2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4" t="s">
        <v>26</v>
      </c>
      <c r="R351" s="4">
        <v>0</v>
      </c>
      <c r="S351" s="6">
        <v>28</v>
      </c>
      <c r="T351" s="6">
        <v>0</v>
      </c>
      <c r="U351" s="6">
        <v>0</v>
      </c>
      <c r="V351" s="6">
        <f>IF(ISERROR(VLOOKUP($S$351,'TAR FIN'!$A$1:$O$95,15,0)),0,VLOOKUP($S$351,'TAR FIN'!$A$1:$O$95,15,0))</f>
        <v>52.99</v>
      </c>
      <c r="W351" s="6">
        <f>IF(ISERROR(VLOOKUP($T$351,'TAR FIN'!$A$1:$O$95,15,0)),0,VLOOKUP($T$351,'TAR FIN'!$A$1:$O$95,15,0))</f>
        <v>0</v>
      </c>
      <c r="X351" s="6">
        <f>IF(ISERROR(VLOOKUP($U$351,'TAR FIN'!$A$1:$O$95,15,0)),0,VLOOKUP($U$351,'TAR FIN'!$A$1:$O$95,15,0))</f>
        <v>0</v>
      </c>
      <c r="Y351" s="6">
        <f ca="1">('TUSD BE'!$AM$10+'TUSD BF'!$AM$10+'TUSD CVA'!$AM$10)*1</f>
        <v>59.276351675174958</v>
      </c>
      <c r="Z351" s="6">
        <f ca="1">('TUSD BE'!$AM$12+'TUSD BF'!$AM$12+'TUSD CVA'!$AM$12)*1</f>
        <v>168.51338132937991</v>
      </c>
      <c r="AA351" s="6">
        <f>('TE BE'!$AA$7+'TE BF'!$AA$7+'TE CVA'!$AA$7)*1</f>
        <v>454.3285679284046</v>
      </c>
      <c r="AB351" s="6">
        <f>$K$351*$V$351</f>
        <v>-105.98</v>
      </c>
      <c r="AC351" s="6">
        <f>$M$351*$W$351</f>
        <v>0</v>
      </c>
      <c r="AD351" s="6">
        <f>$O$351*$X$351</f>
        <v>0</v>
      </c>
      <c r="AE351" s="6">
        <f ca="1">$K$351*$Y$351</f>
        <v>-118.55270335034992</v>
      </c>
      <c r="AF351" s="6">
        <f ca="1">$M$351*$Z$351</f>
        <v>0</v>
      </c>
      <c r="AG351" s="6">
        <f>$O$351*$AA$351</f>
        <v>0</v>
      </c>
    </row>
    <row r="352" spans="1:33" ht="11.25" customHeight="1" x14ac:dyDescent="0.25">
      <c r="A352" s="4" t="s">
        <v>28</v>
      </c>
      <c r="B352" s="4" t="s">
        <v>35</v>
      </c>
      <c r="C352" s="4" t="s">
        <v>44</v>
      </c>
      <c r="D352" s="4" t="s">
        <v>45</v>
      </c>
      <c r="E352" s="4" t="s">
        <v>25</v>
      </c>
      <c r="F352" s="4" t="s">
        <v>25</v>
      </c>
      <c r="G352" s="4" t="s">
        <v>25</v>
      </c>
      <c r="H352" s="4" t="s">
        <v>37</v>
      </c>
      <c r="I352" s="5">
        <v>44440</v>
      </c>
      <c r="J352" s="6">
        <v>482</v>
      </c>
      <c r="K352" s="6">
        <v>482</v>
      </c>
      <c r="L352" s="6">
        <v>1.752</v>
      </c>
      <c r="M352" s="6">
        <v>1.752</v>
      </c>
      <c r="N352" s="6">
        <v>1.752</v>
      </c>
      <c r="O352" s="6">
        <v>1.752</v>
      </c>
      <c r="P352" s="6">
        <v>0</v>
      </c>
      <c r="Q352" s="4" t="s">
        <v>26</v>
      </c>
      <c r="R352" s="4">
        <v>0</v>
      </c>
      <c r="S352" s="6">
        <v>28</v>
      </c>
      <c r="T352" s="6">
        <v>30</v>
      </c>
      <c r="U352" s="6">
        <v>66</v>
      </c>
      <c r="V352" s="6">
        <f>IF(ISERROR(VLOOKUP($S$352,'TAR FIN'!$A$1:$O$95,15,0)),0,VLOOKUP($S$352,'TAR FIN'!$A$1:$O$95,15,0))</f>
        <v>52.99</v>
      </c>
      <c r="W352" s="6">
        <f>IF(ISERROR(VLOOKUP($T$352,'TAR FIN'!$A$1:$O$95,15,0)),0,VLOOKUP($T$352,'TAR FIN'!$A$1:$O$95,15,0))</f>
        <v>149.63</v>
      </c>
      <c r="X352" s="6">
        <f>IF(ISERROR(VLOOKUP($U$352,'TAR FIN'!$A$1:$O$95,15,0)),0,VLOOKUP($U$352,'TAR FIN'!$A$1:$O$95,15,0))</f>
        <v>389.28</v>
      </c>
      <c r="Y352" s="6">
        <f ca="1">('TUSD BE'!$AM$10+'TUSD BF'!$AM$10+'TUSD CVA'!$AM$10)*1</f>
        <v>59.276351675174958</v>
      </c>
      <c r="Z352" s="6">
        <f ca="1">('TUSD BE'!$AM$12+'TUSD BF'!$AM$12+'TUSD CVA'!$AM$12)*1</f>
        <v>168.51338132937991</v>
      </c>
      <c r="AA352" s="6">
        <f>('TE BE'!$AA$7+'TE BF'!$AA$7+'TE CVA'!$AA$7)*1</f>
        <v>454.3285679284046</v>
      </c>
      <c r="AB352" s="6">
        <f>$K$352*$V$352</f>
        <v>25541.18</v>
      </c>
      <c r="AC352" s="6">
        <f>$M$352*$W$352</f>
        <v>262.15175999999997</v>
      </c>
      <c r="AD352" s="6">
        <f>$O$352*$X$352</f>
        <v>682.01855999999998</v>
      </c>
      <c r="AE352" s="6">
        <f ca="1">$K$352*$Y$352</f>
        <v>28571.201507434329</v>
      </c>
      <c r="AF352" s="6">
        <f ca="1">$M$352*$Z$352</f>
        <v>295.23544408907361</v>
      </c>
      <c r="AG352" s="6">
        <f>$O$352*$AA$352</f>
        <v>795.98365101056481</v>
      </c>
    </row>
    <row r="353" spans="1:33" ht="11.25" customHeight="1" x14ac:dyDescent="0.25">
      <c r="A353" s="4" t="s">
        <v>30</v>
      </c>
      <c r="B353" s="4" t="s">
        <v>35</v>
      </c>
      <c r="C353" s="4" t="s">
        <v>44</v>
      </c>
      <c r="D353" s="4" t="s">
        <v>45</v>
      </c>
      <c r="E353" s="4" t="s">
        <v>25</v>
      </c>
      <c r="F353" s="4" t="s">
        <v>25</v>
      </c>
      <c r="G353" s="4" t="s">
        <v>25</v>
      </c>
      <c r="H353" s="4" t="s">
        <v>37</v>
      </c>
      <c r="I353" s="5">
        <v>44440</v>
      </c>
      <c r="J353" s="6">
        <v>249</v>
      </c>
      <c r="K353" s="6">
        <v>249</v>
      </c>
      <c r="L353" s="6">
        <v>8.4580000000000002</v>
      </c>
      <c r="M353" s="6">
        <v>8.4580000000000002</v>
      </c>
      <c r="N353" s="6">
        <v>8.4580000000000002</v>
      </c>
      <c r="O353" s="6">
        <v>8.4580000000000002</v>
      </c>
      <c r="P353" s="6">
        <v>0</v>
      </c>
      <c r="Q353" s="4" t="s">
        <v>26</v>
      </c>
      <c r="R353" s="4">
        <v>0</v>
      </c>
      <c r="S353" s="6">
        <v>28</v>
      </c>
      <c r="T353" s="6">
        <v>30</v>
      </c>
      <c r="U353" s="6">
        <v>66</v>
      </c>
      <c r="V353" s="6">
        <f>IF(ISERROR(VLOOKUP($S$353,'TAR FIN'!$A$1:$O$95,15,0)),0,VLOOKUP($S$353,'TAR FIN'!$A$1:$O$95,15,0))</f>
        <v>52.99</v>
      </c>
      <c r="W353" s="6">
        <f>IF(ISERROR(VLOOKUP($T$353,'TAR FIN'!$A$1:$O$95,15,0)),0,VLOOKUP($T$353,'TAR FIN'!$A$1:$O$95,15,0))</f>
        <v>149.63</v>
      </c>
      <c r="X353" s="6">
        <f>IF(ISERROR(VLOOKUP($U$353,'TAR FIN'!$A$1:$O$95,15,0)),0,VLOOKUP($U$353,'TAR FIN'!$A$1:$O$95,15,0))</f>
        <v>389.28</v>
      </c>
      <c r="Y353" s="6">
        <f ca="1">('TUSD BE'!$AM$10+'TUSD BF'!$AM$10+'TUSD CVA'!$AM$10)*1</f>
        <v>59.276351675174958</v>
      </c>
      <c r="Z353" s="6">
        <f ca="1">('TUSD BE'!$AM$12+'TUSD BF'!$AM$12+'TUSD CVA'!$AM$12)*1</f>
        <v>168.51338132937991</v>
      </c>
      <c r="AA353" s="6">
        <f>('TE BE'!$AA$7+'TE BF'!$AA$7+'TE CVA'!$AA$7)*1</f>
        <v>454.3285679284046</v>
      </c>
      <c r="AB353" s="6">
        <f>$K$353*$V$353</f>
        <v>13194.51</v>
      </c>
      <c r="AC353" s="6">
        <f>$M$353*$W$353</f>
        <v>1265.5705399999999</v>
      </c>
      <c r="AD353" s="6">
        <f>$O$353*$X$353</f>
        <v>3292.53024</v>
      </c>
      <c r="AE353" s="6">
        <f ca="1">$K$353*$Y$353</f>
        <v>14759.811567118564</v>
      </c>
      <c r="AF353" s="6">
        <f ca="1">$M$353*$Z$353</f>
        <v>1425.2861792838953</v>
      </c>
      <c r="AG353" s="6">
        <f>$O$353*$AA$353</f>
        <v>3842.7110275384462</v>
      </c>
    </row>
    <row r="354" spans="1:33" ht="11.25" customHeight="1" x14ac:dyDescent="0.25">
      <c r="A354" s="4" t="s">
        <v>30</v>
      </c>
      <c r="B354" s="4" t="s">
        <v>35</v>
      </c>
      <c r="C354" s="4" t="s">
        <v>44</v>
      </c>
      <c r="D354" s="4" t="s">
        <v>45</v>
      </c>
      <c r="E354" s="4" t="s">
        <v>25</v>
      </c>
      <c r="F354" s="4" t="s">
        <v>25</v>
      </c>
      <c r="G354" s="4" t="s">
        <v>25</v>
      </c>
      <c r="H354" s="4" t="s">
        <v>37</v>
      </c>
      <c r="I354" s="5">
        <v>44440</v>
      </c>
      <c r="J354" s="6">
        <v>-71</v>
      </c>
      <c r="K354" s="6">
        <v>-71</v>
      </c>
      <c r="L354" s="6">
        <v>-3.5419999999999998</v>
      </c>
      <c r="M354" s="6">
        <v>-3.5419999999999998</v>
      </c>
      <c r="N354" s="6">
        <v>-3.5419999999999998</v>
      </c>
      <c r="O354" s="6">
        <v>-3.5419999999999998</v>
      </c>
      <c r="P354" s="6">
        <v>0</v>
      </c>
      <c r="Q354" s="4" t="s">
        <v>26</v>
      </c>
      <c r="R354" s="4">
        <v>0</v>
      </c>
      <c r="S354" s="6">
        <v>28</v>
      </c>
      <c r="T354" s="6">
        <v>30</v>
      </c>
      <c r="U354" s="6">
        <v>66</v>
      </c>
      <c r="V354" s="6">
        <f>IF(ISERROR(VLOOKUP($S$354,'TAR FIN'!$A$1:$O$95,15,0)),0,VLOOKUP($S$354,'TAR FIN'!$A$1:$O$95,15,0))</f>
        <v>52.99</v>
      </c>
      <c r="W354" s="6">
        <f>IF(ISERROR(VLOOKUP($T$354,'TAR FIN'!$A$1:$O$95,15,0)),0,VLOOKUP($T$354,'TAR FIN'!$A$1:$O$95,15,0))</f>
        <v>149.63</v>
      </c>
      <c r="X354" s="6">
        <f>IF(ISERROR(VLOOKUP($U$354,'TAR FIN'!$A$1:$O$95,15,0)),0,VLOOKUP($U$354,'TAR FIN'!$A$1:$O$95,15,0))</f>
        <v>389.28</v>
      </c>
      <c r="Y354" s="6">
        <f ca="1">('TUSD BE'!$AM$10+'TUSD BF'!$AM$10+'TUSD CVA'!$AM$10)*1</f>
        <v>59.276351675174958</v>
      </c>
      <c r="Z354" s="6">
        <f ca="1">('TUSD BE'!$AM$12+'TUSD BF'!$AM$12+'TUSD CVA'!$AM$12)*1</f>
        <v>168.51338132937991</v>
      </c>
      <c r="AA354" s="6">
        <f>('TE BE'!$AA$7+'TE BF'!$AA$7+'TE CVA'!$AA$7)*1</f>
        <v>454.3285679284046</v>
      </c>
      <c r="AB354" s="6">
        <f>$K$354*$V$354</f>
        <v>-3762.29</v>
      </c>
      <c r="AC354" s="6">
        <f>$M$354*$W$354</f>
        <v>-529.98946000000001</v>
      </c>
      <c r="AD354" s="6">
        <f>$O$354*$X$354</f>
        <v>-1378.8297599999999</v>
      </c>
      <c r="AE354" s="6">
        <f ca="1">$K$354*$Y$354</f>
        <v>-4208.6209689374218</v>
      </c>
      <c r="AF354" s="6">
        <f ca="1">$M$354*$Z$354</f>
        <v>-596.87439666866362</v>
      </c>
      <c r="AG354" s="6">
        <f>$O$354*$AA$354</f>
        <v>-1609.231787602409</v>
      </c>
    </row>
    <row r="355" spans="1:33" ht="11.25" customHeight="1" x14ac:dyDescent="0.25">
      <c r="A355" s="4" t="s">
        <v>21</v>
      </c>
      <c r="B355" s="4" t="s">
        <v>35</v>
      </c>
      <c r="C355" s="4" t="s">
        <v>44</v>
      </c>
      <c r="D355" s="4" t="s">
        <v>45</v>
      </c>
      <c r="E355" s="4" t="s">
        <v>25</v>
      </c>
      <c r="F355" s="4" t="s">
        <v>25</v>
      </c>
      <c r="G355" s="4" t="s">
        <v>25</v>
      </c>
      <c r="H355" s="4" t="s">
        <v>37</v>
      </c>
      <c r="I355" s="5">
        <v>44440</v>
      </c>
      <c r="J355" s="6">
        <v>1400</v>
      </c>
      <c r="K355" s="6">
        <v>1400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4" t="s">
        <v>60</v>
      </c>
      <c r="R355" s="4">
        <v>0</v>
      </c>
      <c r="S355" s="6">
        <v>28</v>
      </c>
      <c r="T355" s="6">
        <v>0</v>
      </c>
      <c r="U355" s="6">
        <v>0</v>
      </c>
      <c r="V355" s="6">
        <f>IF(ISERROR(VLOOKUP($S$355,'TAR FIN'!$A$1:$O$95,15,0)),0,VLOOKUP($S$355,'TAR FIN'!$A$1:$O$95,15,0))</f>
        <v>52.99</v>
      </c>
      <c r="W355" s="6">
        <f>IF(ISERROR(VLOOKUP($T$355,'TAR FIN'!$A$1:$O$95,15,0)),0,VLOOKUP($T$355,'TAR FIN'!$A$1:$O$95,15,0))</f>
        <v>0</v>
      </c>
      <c r="X355" s="6">
        <f>IF(ISERROR(VLOOKUP($U$355,'TAR FIN'!$A$1:$O$95,15,0)),0,VLOOKUP($U$355,'TAR FIN'!$A$1:$O$95,15,0))</f>
        <v>0</v>
      </c>
      <c r="Y355" s="6">
        <f ca="1">('TUSD BE'!$AM$10+'TUSD BF'!$AM$10+'TUSD CVA'!$AM$10)*1</f>
        <v>59.276351675174958</v>
      </c>
      <c r="Z355" s="6">
        <f ca="1">('TUSD BE'!$AM$12+'TUSD BF'!$AM$12+'TUSD CVA'!$AM$12)*1</f>
        <v>168.51338132937991</v>
      </c>
      <c r="AA355" s="6"/>
      <c r="AB355" s="6">
        <f>$K$355*$V$355</f>
        <v>74186</v>
      </c>
      <c r="AC355" s="6">
        <f>$M$355*$W$355</f>
        <v>0</v>
      </c>
      <c r="AD355" s="6">
        <f>$O$355*$X$355</f>
        <v>0</v>
      </c>
      <c r="AE355" s="6">
        <f ca="1">$K$355*$Y$355</f>
        <v>82986.892345244938</v>
      </c>
      <c r="AF355" s="6">
        <f ca="1">$M$355*$Z$355</f>
        <v>0</v>
      </c>
      <c r="AG355" s="6">
        <f>$O$355*$AA$355</f>
        <v>0</v>
      </c>
    </row>
    <row r="356" spans="1:33" ht="11.25" customHeight="1" x14ac:dyDescent="0.25">
      <c r="A356" s="4" t="s">
        <v>59</v>
      </c>
      <c r="B356" s="4" t="s">
        <v>35</v>
      </c>
      <c r="C356" s="4" t="s">
        <v>44</v>
      </c>
      <c r="D356" s="4" t="s">
        <v>45</v>
      </c>
      <c r="E356" s="4" t="s">
        <v>25</v>
      </c>
      <c r="F356" s="4" t="s">
        <v>25</v>
      </c>
      <c r="G356" s="4" t="s">
        <v>25</v>
      </c>
      <c r="H356" s="4" t="s">
        <v>37</v>
      </c>
      <c r="I356" s="5">
        <v>44470</v>
      </c>
      <c r="J356" s="6">
        <v>15560</v>
      </c>
      <c r="K356" s="6">
        <v>15560</v>
      </c>
      <c r="L356" s="6">
        <v>453.15899999999999</v>
      </c>
      <c r="M356" s="6">
        <v>453.15899999999999</v>
      </c>
      <c r="N356" s="6">
        <v>453.15899999999999</v>
      </c>
      <c r="O356" s="6">
        <v>453.15899999999999</v>
      </c>
      <c r="P356" s="6">
        <v>0</v>
      </c>
      <c r="Q356" s="4" t="s">
        <v>26</v>
      </c>
      <c r="R356" s="4">
        <v>0</v>
      </c>
      <c r="S356" s="6">
        <v>28</v>
      </c>
      <c r="T356" s="6">
        <v>30</v>
      </c>
      <c r="U356" s="6">
        <v>66</v>
      </c>
      <c r="V356" s="6">
        <f>IF(ISERROR(VLOOKUP($S$356,'TAR FIN'!$A$1:$O$95,15,0)),0,VLOOKUP($S$356,'TAR FIN'!$A$1:$O$95,15,0))</f>
        <v>52.99</v>
      </c>
      <c r="W356" s="6">
        <f>IF(ISERROR(VLOOKUP($T$356,'TAR FIN'!$A$1:$O$95,15,0)),0,VLOOKUP($T$356,'TAR FIN'!$A$1:$O$95,15,0))</f>
        <v>149.63</v>
      </c>
      <c r="X356" s="6">
        <f>IF(ISERROR(VLOOKUP($U$356,'TAR FIN'!$A$1:$O$95,15,0)),0,VLOOKUP($U$356,'TAR FIN'!$A$1:$O$95,15,0))</f>
        <v>389.28</v>
      </c>
      <c r="Y356" s="6">
        <f ca="1">('TUSD BE'!$AM$10+'TUSD BF'!$AM$10+'TUSD CVA'!$AM$10)*1</f>
        <v>59.276351675174958</v>
      </c>
      <c r="Z356" s="6">
        <f ca="1">('TUSD BE'!$AM$12+'TUSD BF'!$AM$12+'TUSD CVA'!$AM$12)*1</f>
        <v>168.51338132937991</v>
      </c>
      <c r="AA356" s="6">
        <f>('TE BE'!$AA$7+'TE BF'!$AA$7+'TE CVA'!$AA$7)*1</f>
        <v>454.3285679284046</v>
      </c>
      <c r="AB356" s="6">
        <f>$K$356*$V$356</f>
        <v>824524.4</v>
      </c>
      <c r="AC356" s="6">
        <f>$M$356*$W$356</f>
        <v>67806.181169999996</v>
      </c>
      <c r="AD356" s="6">
        <f>$O$356*$X$356</f>
        <v>176405.73551999999</v>
      </c>
      <c r="AE356" s="6">
        <f ca="1">$K$356*$Y$356</f>
        <v>922340.03206572239</v>
      </c>
      <c r="AF356" s="6">
        <f ca="1">$M$356*$Z$356</f>
        <v>76363.355369840472</v>
      </c>
      <c r="AG356" s="6">
        <f>$O$356*$AA$356</f>
        <v>205883.07951386788</v>
      </c>
    </row>
    <row r="357" spans="1:33" ht="11.25" customHeight="1" x14ac:dyDescent="0.25">
      <c r="A357" s="4" t="s">
        <v>59</v>
      </c>
      <c r="B357" s="4" t="s">
        <v>35</v>
      </c>
      <c r="C357" s="4" t="s">
        <v>44</v>
      </c>
      <c r="D357" s="4" t="s">
        <v>45</v>
      </c>
      <c r="E357" s="4" t="s">
        <v>25</v>
      </c>
      <c r="F357" s="4" t="s">
        <v>25</v>
      </c>
      <c r="G357" s="4" t="s">
        <v>25</v>
      </c>
      <c r="H357" s="4" t="s">
        <v>37</v>
      </c>
      <c r="I357" s="5">
        <v>44470</v>
      </c>
      <c r="J357" s="6">
        <v>-2</v>
      </c>
      <c r="K357" s="6">
        <v>-2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4" t="s">
        <v>26</v>
      </c>
      <c r="R357" s="4">
        <v>0</v>
      </c>
      <c r="S357" s="6">
        <v>28</v>
      </c>
      <c r="T357" s="6">
        <v>0</v>
      </c>
      <c r="U357" s="6">
        <v>0</v>
      </c>
      <c r="V357" s="6">
        <f>IF(ISERROR(VLOOKUP($S$357,'TAR FIN'!$A$1:$O$95,15,0)),0,VLOOKUP($S$357,'TAR FIN'!$A$1:$O$95,15,0))</f>
        <v>52.99</v>
      </c>
      <c r="W357" s="6">
        <f>IF(ISERROR(VLOOKUP($T$357,'TAR FIN'!$A$1:$O$95,15,0)),0,VLOOKUP($T$357,'TAR FIN'!$A$1:$O$95,15,0))</f>
        <v>0</v>
      </c>
      <c r="X357" s="6">
        <f>IF(ISERROR(VLOOKUP($U$357,'TAR FIN'!$A$1:$O$95,15,0)),0,VLOOKUP($U$357,'TAR FIN'!$A$1:$O$95,15,0))</f>
        <v>0</v>
      </c>
      <c r="Y357" s="6">
        <f ca="1">('TUSD BE'!$AM$10+'TUSD BF'!$AM$10+'TUSD CVA'!$AM$10)*1</f>
        <v>59.276351675174958</v>
      </c>
      <c r="Z357" s="6">
        <f ca="1">('TUSD BE'!$AM$12+'TUSD BF'!$AM$12+'TUSD CVA'!$AM$12)*1</f>
        <v>168.51338132937991</v>
      </c>
      <c r="AA357" s="6">
        <f>('TE BE'!$AA$7+'TE BF'!$AA$7+'TE CVA'!$AA$7)*1</f>
        <v>454.3285679284046</v>
      </c>
      <c r="AB357" s="6">
        <f>$K$357*$V$357</f>
        <v>-105.98</v>
      </c>
      <c r="AC357" s="6">
        <f>$M$357*$W$357</f>
        <v>0</v>
      </c>
      <c r="AD357" s="6">
        <f>$O$357*$X$357</f>
        <v>0</v>
      </c>
      <c r="AE357" s="6">
        <f ca="1">$K$357*$Y$357</f>
        <v>-118.55270335034992</v>
      </c>
      <c r="AF357" s="6">
        <f ca="1">$M$357*$Z$357</f>
        <v>0</v>
      </c>
      <c r="AG357" s="6">
        <f>$O$357*$AA$357</f>
        <v>0</v>
      </c>
    </row>
    <row r="358" spans="1:33" ht="11.25" customHeight="1" x14ac:dyDescent="0.25">
      <c r="A358" s="4" t="s">
        <v>59</v>
      </c>
      <c r="B358" s="4" t="s">
        <v>35</v>
      </c>
      <c r="C358" s="4" t="s">
        <v>44</v>
      </c>
      <c r="D358" s="4" t="s">
        <v>45</v>
      </c>
      <c r="E358" s="4" t="s">
        <v>25</v>
      </c>
      <c r="F358" s="4" t="s">
        <v>25</v>
      </c>
      <c r="G358" s="4" t="s">
        <v>25</v>
      </c>
      <c r="H358" s="4" t="s">
        <v>37</v>
      </c>
      <c r="I358" s="5">
        <v>44470</v>
      </c>
      <c r="J358" s="6">
        <v>482</v>
      </c>
      <c r="K358" s="6">
        <v>482</v>
      </c>
      <c r="L358" s="6">
        <v>1.752</v>
      </c>
      <c r="M358" s="6">
        <v>1.752</v>
      </c>
      <c r="N358" s="6">
        <v>1.752</v>
      </c>
      <c r="O358" s="6">
        <v>1.752</v>
      </c>
      <c r="P358" s="6">
        <v>0</v>
      </c>
      <c r="Q358" s="4" t="s">
        <v>26</v>
      </c>
      <c r="R358" s="4">
        <v>0</v>
      </c>
      <c r="S358" s="6">
        <v>28</v>
      </c>
      <c r="T358" s="6">
        <v>30</v>
      </c>
      <c r="U358" s="6">
        <v>66</v>
      </c>
      <c r="V358" s="6">
        <f>IF(ISERROR(VLOOKUP($S$358,'TAR FIN'!$A$1:$O$95,15,0)),0,VLOOKUP($S$358,'TAR FIN'!$A$1:$O$95,15,0))</f>
        <v>52.99</v>
      </c>
      <c r="W358" s="6">
        <f>IF(ISERROR(VLOOKUP($T$358,'TAR FIN'!$A$1:$O$95,15,0)),0,VLOOKUP($T$358,'TAR FIN'!$A$1:$O$95,15,0))</f>
        <v>149.63</v>
      </c>
      <c r="X358" s="6">
        <f>IF(ISERROR(VLOOKUP($U$358,'TAR FIN'!$A$1:$O$95,15,0)),0,VLOOKUP($U$358,'TAR FIN'!$A$1:$O$95,15,0))</f>
        <v>389.28</v>
      </c>
      <c r="Y358" s="6">
        <f ca="1">('TUSD BE'!$AM$10+'TUSD BF'!$AM$10+'TUSD CVA'!$AM$10)*1</f>
        <v>59.276351675174958</v>
      </c>
      <c r="Z358" s="6">
        <f ca="1">('TUSD BE'!$AM$12+'TUSD BF'!$AM$12+'TUSD CVA'!$AM$12)*1</f>
        <v>168.51338132937991</v>
      </c>
      <c r="AA358" s="6">
        <f>('TE BE'!$AA$7+'TE BF'!$AA$7+'TE CVA'!$AA$7)*1</f>
        <v>454.3285679284046</v>
      </c>
      <c r="AB358" s="6">
        <f>$K$358*$V$358</f>
        <v>25541.18</v>
      </c>
      <c r="AC358" s="6">
        <f>$M$358*$W$358</f>
        <v>262.15175999999997</v>
      </c>
      <c r="AD358" s="6">
        <f>$O$358*$X$358</f>
        <v>682.01855999999998</v>
      </c>
      <c r="AE358" s="6">
        <f ca="1">$K$358*$Y$358</f>
        <v>28571.201507434329</v>
      </c>
      <c r="AF358" s="6">
        <f ca="1">$M$358*$Z$358</f>
        <v>295.23544408907361</v>
      </c>
      <c r="AG358" s="6">
        <f>$O$358*$AA$358</f>
        <v>795.98365101056481</v>
      </c>
    </row>
    <row r="359" spans="1:33" ht="11.25" customHeight="1" x14ac:dyDescent="0.25">
      <c r="A359" s="4" t="s">
        <v>59</v>
      </c>
      <c r="B359" s="4" t="s">
        <v>35</v>
      </c>
      <c r="C359" s="4" t="s">
        <v>44</v>
      </c>
      <c r="D359" s="4" t="s">
        <v>45</v>
      </c>
      <c r="E359" s="4" t="s">
        <v>25</v>
      </c>
      <c r="F359" s="4" t="s">
        <v>25</v>
      </c>
      <c r="G359" s="4" t="s">
        <v>25</v>
      </c>
      <c r="H359" s="4" t="s">
        <v>37</v>
      </c>
      <c r="I359" s="5">
        <v>44470</v>
      </c>
      <c r="J359" s="6">
        <v>249</v>
      </c>
      <c r="K359" s="6">
        <v>249</v>
      </c>
      <c r="L359" s="6">
        <v>8.4580000000000002</v>
      </c>
      <c r="M359" s="6">
        <v>8.4580000000000002</v>
      </c>
      <c r="N359" s="6">
        <v>8.4580000000000002</v>
      </c>
      <c r="O359" s="6">
        <v>8.4580000000000002</v>
      </c>
      <c r="P359" s="6">
        <v>0</v>
      </c>
      <c r="Q359" s="4" t="s">
        <v>26</v>
      </c>
      <c r="R359" s="4">
        <v>0</v>
      </c>
      <c r="S359" s="6">
        <v>28</v>
      </c>
      <c r="T359" s="6">
        <v>30</v>
      </c>
      <c r="U359" s="6">
        <v>66</v>
      </c>
      <c r="V359" s="6">
        <f>IF(ISERROR(VLOOKUP($S$359,'TAR FIN'!$A$1:$O$95,15,0)),0,VLOOKUP($S$359,'TAR FIN'!$A$1:$O$95,15,0))</f>
        <v>52.99</v>
      </c>
      <c r="W359" s="6">
        <f>IF(ISERROR(VLOOKUP($T$359,'TAR FIN'!$A$1:$O$95,15,0)),0,VLOOKUP($T$359,'TAR FIN'!$A$1:$O$95,15,0))</f>
        <v>149.63</v>
      </c>
      <c r="X359" s="6">
        <f>IF(ISERROR(VLOOKUP($U$359,'TAR FIN'!$A$1:$O$95,15,0)),0,VLOOKUP($U$359,'TAR FIN'!$A$1:$O$95,15,0))</f>
        <v>389.28</v>
      </c>
      <c r="Y359" s="6">
        <f ca="1">('TUSD BE'!$AM$10+'TUSD BF'!$AM$10+'TUSD CVA'!$AM$10)*1</f>
        <v>59.276351675174958</v>
      </c>
      <c r="Z359" s="6">
        <f ca="1">('TUSD BE'!$AM$12+'TUSD BF'!$AM$12+'TUSD CVA'!$AM$12)*1</f>
        <v>168.51338132937991</v>
      </c>
      <c r="AA359" s="6">
        <f>('TE BE'!$AA$7+'TE BF'!$AA$7+'TE CVA'!$AA$7)*1</f>
        <v>454.3285679284046</v>
      </c>
      <c r="AB359" s="6">
        <f>$K$359*$V$359</f>
        <v>13194.51</v>
      </c>
      <c r="AC359" s="6">
        <f>$M$359*$W$359</f>
        <v>1265.5705399999999</v>
      </c>
      <c r="AD359" s="6">
        <f>$O$359*$X$359</f>
        <v>3292.53024</v>
      </c>
      <c r="AE359" s="6">
        <f ca="1">$K$359*$Y$359</f>
        <v>14759.811567118564</v>
      </c>
      <c r="AF359" s="6">
        <f ca="1">$M$359*$Z$359</f>
        <v>1425.2861792838953</v>
      </c>
      <c r="AG359" s="6">
        <f>$O$359*$AA$359</f>
        <v>3842.7110275384462</v>
      </c>
    </row>
    <row r="360" spans="1:33" ht="11.25" customHeight="1" x14ac:dyDescent="0.25">
      <c r="A360" s="4" t="s">
        <v>59</v>
      </c>
      <c r="B360" s="4" t="s">
        <v>35</v>
      </c>
      <c r="C360" s="4" t="s">
        <v>44</v>
      </c>
      <c r="D360" s="4" t="s">
        <v>45</v>
      </c>
      <c r="E360" s="4" t="s">
        <v>25</v>
      </c>
      <c r="F360" s="4" t="s">
        <v>25</v>
      </c>
      <c r="G360" s="4" t="s">
        <v>25</v>
      </c>
      <c r="H360" s="4" t="s">
        <v>37</v>
      </c>
      <c r="I360" s="5">
        <v>44470</v>
      </c>
      <c r="J360" s="6">
        <v>-71</v>
      </c>
      <c r="K360" s="6">
        <v>-71</v>
      </c>
      <c r="L360" s="6">
        <v>-3.5419999999999998</v>
      </c>
      <c r="M360" s="6">
        <v>-3.5419999999999998</v>
      </c>
      <c r="N360" s="6">
        <v>-3.5419999999999998</v>
      </c>
      <c r="O360" s="6">
        <v>-3.5419999999999998</v>
      </c>
      <c r="P360" s="6">
        <v>0</v>
      </c>
      <c r="Q360" s="4" t="s">
        <v>26</v>
      </c>
      <c r="R360" s="4">
        <v>0</v>
      </c>
      <c r="S360" s="6">
        <v>28</v>
      </c>
      <c r="T360" s="6">
        <v>30</v>
      </c>
      <c r="U360" s="6">
        <v>66</v>
      </c>
      <c r="V360" s="6">
        <f>IF(ISERROR(VLOOKUP($S$360,'TAR FIN'!$A$1:$O$95,15,0)),0,VLOOKUP($S$360,'TAR FIN'!$A$1:$O$95,15,0))</f>
        <v>52.99</v>
      </c>
      <c r="W360" s="6">
        <f>IF(ISERROR(VLOOKUP($T$360,'TAR FIN'!$A$1:$O$95,15,0)),0,VLOOKUP($T$360,'TAR FIN'!$A$1:$O$95,15,0))</f>
        <v>149.63</v>
      </c>
      <c r="X360" s="6">
        <f>IF(ISERROR(VLOOKUP($U$360,'TAR FIN'!$A$1:$O$95,15,0)),0,VLOOKUP($U$360,'TAR FIN'!$A$1:$O$95,15,0))</f>
        <v>389.28</v>
      </c>
      <c r="Y360" s="6">
        <f ca="1">('TUSD BE'!$AM$10+'TUSD BF'!$AM$10+'TUSD CVA'!$AM$10)*1</f>
        <v>59.276351675174958</v>
      </c>
      <c r="Z360" s="6">
        <f ca="1">('TUSD BE'!$AM$12+'TUSD BF'!$AM$12+'TUSD CVA'!$AM$12)*1</f>
        <v>168.51338132937991</v>
      </c>
      <c r="AA360" s="6">
        <f>('TE BE'!$AA$7+'TE BF'!$AA$7+'TE CVA'!$AA$7)*1</f>
        <v>454.3285679284046</v>
      </c>
      <c r="AB360" s="6">
        <f>$K$360*$V$360</f>
        <v>-3762.29</v>
      </c>
      <c r="AC360" s="6">
        <f>$M$360*$W$360</f>
        <v>-529.98946000000001</v>
      </c>
      <c r="AD360" s="6">
        <f>$O$360*$X$360</f>
        <v>-1378.8297599999999</v>
      </c>
      <c r="AE360" s="6">
        <f ca="1">$K$360*$Y$360</f>
        <v>-4208.6209689374218</v>
      </c>
      <c r="AF360" s="6">
        <f ca="1">$M$360*$Z$360</f>
        <v>-596.87439666866362</v>
      </c>
      <c r="AG360" s="6">
        <f>$O$360*$AA$360</f>
        <v>-1609.231787602409</v>
      </c>
    </row>
    <row r="361" spans="1:33" ht="11.25" customHeight="1" x14ac:dyDescent="0.25">
      <c r="A361" s="4" t="s">
        <v>59</v>
      </c>
      <c r="B361" s="4" t="s">
        <v>35</v>
      </c>
      <c r="C361" s="4" t="s">
        <v>44</v>
      </c>
      <c r="D361" s="4" t="s">
        <v>45</v>
      </c>
      <c r="E361" s="4" t="s">
        <v>25</v>
      </c>
      <c r="F361" s="4" t="s">
        <v>25</v>
      </c>
      <c r="G361" s="4" t="s">
        <v>25</v>
      </c>
      <c r="H361" s="4" t="s">
        <v>37</v>
      </c>
      <c r="I361" s="5">
        <v>44470</v>
      </c>
      <c r="J361" s="6">
        <v>1400</v>
      </c>
      <c r="K361" s="6">
        <v>1400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4" t="s">
        <v>60</v>
      </c>
      <c r="R361" s="4">
        <v>0</v>
      </c>
      <c r="S361" s="6">
        <v>28</v>
      </c>
      <c r="T361" s="6">
        <v>0</v>
      </c>
      <c r="U361" s="6">
        <v>0</v>
      </c>
      <c r="V361" s="6">
        <f>IF(ISERROR(VLOOKUP($S$361,'TAR FIN'!$A$1:$O$95,15,0)),0,VLOOKUP($S$361,'TAR FIN'!$A$1:$O$95,15,0))</f>
        <v>52.99</v>
      </c>
      <c r="W361" s="6">
        <f>IF(ISERROR(VLOOKUP($T$361,'TAR FIN'!$A$1:$O$95,15,0)),0,VLOOKUP($T$361,'TAR FIN'!$A$1:$O$95,15,0))</f>
        <v>0</v>
      </c>
      <c r="X361" s="6">
        <f>IF(ISERROR(VLOOKUP($U$361,'TAR FIN'!$A$1:$O$95,15,0)),0,VLOOKUP($U$361,'TAR FIN'!$A$1:$O$95,15,0))</f>
        <v>0</v>
      </c>
      <c r="Y361" s="6">
        <f ca="1">('TUSD BE'!$AM$10+'TUSD BF'!$AM$10+'TUSD CVA'!$AM$10)*1</f>
        <v>59.276351675174958</v>
      </c>
      <c r="Z361" s="6">
        <f ca="1">('TUSD BE'!$AM$12+'TUSD BF'!$AM$12+'TUSD CVA'!$AM$12)*1</f>
        <v>168.51338132937991</v>
      </c>
      <c r="AA361" s="6"/>
      <c r="AB361" s="6">
        <f>$K$361*$V$361</f>
        <v>74186</v>
      </c>
      <c r="AC361" s="6">
        <f>$M$361*$W$361</f>
        <v>0</v>
      </c>
      <c r="AD361" s="6">
        <f>$O$361*$X$361</f>
        <v>0</v>
      </c>
      <c r="AE361" s="6">
        <f ca="1">$K$361*$Y$361</f>
        <v>82986.892345244938</v>
      </c>
      <c r="AF361" s="6">
        <f ca="1">$M$361*$Z$361</f>
        <v>0</v>
      </c>
      <c r="AG361" s="6">
        <f>$O$361*$AA$361</f>
        <v>0</v>
      </c>
    </row>
    <row r="362" spans="1:33" ht="11.25" customHeight="1" x14ac:dyDescent="0.25">
      <c r="A362" s="4" t="s">
        <v>21</v>
      </c>
      <c r="B362" s="4" t="s">
        <v>35</v>
      </c>
      <c r="C362" s="4" t="s">
        <v>44</v>
      </c>
      <c r="D362" s="4" t="s">
        <v>42</v>
      </c>
      <c r="E362" s="4" t="s">
        <v>25</v>
      </c>
      <c r="F362" s="4" t="s">
        <v>62</v>
      </c>
      <c r="G362" s="4" t="s">
        <v>25</v>
      </c>
      <c r="H362" s="4" t="s">
        <v>38</v>
      </c>
      <c r="I362" s="5">
        <v>44136</v>
      </c>
      <c r="J362" s="6">
        <v>49402</v>
      </c>
      <c r="K362" s="6">
        <v>25446.9702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4" t="s">
        <v>60</v>
      </c>
      <c r="R362" s="4">
        <v>0</v>
      </c>
      <c r="S362" s="6">
        <v>29</v>
      </c>
      <c r="T362" s="6">
        <v>0</v>
      </c>
      <c r="U362" s="6">
        <v>0</v>
      </c>
      <c r="V362" s="6">
        <f>IF(ISERROR(VLOOKUP($S$362,'TAR FIN'!$A$1:$O$95,15,0)),0,VLOOKUP($S$362,'TAR FIN'!$A$1:$O$95,15,0))</f>
        <v>28.57</v>
      </c>
      <c r="W362" s="6">
        <f>IF(ISERROR(VLOOKUP($T$362,'TAR FIN'!$A$1:$O$95,15,0)),0,VLOOKUP($T$362,'TAR FIN'!$A$1:$O$95,15,0))</f>
        <v>0</v>
      </c>
      <c r="X362" s="6">
        <f>IF(ISERROR(VLOOKUP($U$362,'TAR FIN'!$A$1:$O$95,15,0)),0,VLOOKUP($U$362,'TAR FIN'!$A$1:$O$95,15,0))</f>
        <v>0</v>
      </c>
      <c r="Y362" s="6">
        <f ca="1">('TUSD BE'!$AM$11+'TUSD BF'!$AM$11+'TUSD CVA'!$AM$11)*1</f>
        <v>31.93064187172984</v>
      </c>
      <c r="Z362" s="6">
        <f ca="1">('TUSD BE'!$AM$12+'TUSD BF'!$AM$12+'TUSD CVA'!$AM$12)*1</f>
        <v>168.51338132937991</v>
      </c>
      <c r="AA362" s="6"/>
      <c r="AB362" s="6">
        <f>$K$362*$V$362</f>
        <v>727019.93861399998</v>
      </c>
      <c r="AC362" s="6">
        <f>$M$362*$W$362</f>
        <v>0</v>
      </c>
      <c r="AD362" s="6">
        <f>$O$362*$X$362</f>
        <v>0</v>
      </c>
      <c r="AE362" s="6">
        <f ca="1">$K$362*$Y$362</f>
        <v>812538.0921767815</v>
      </c>
      <c r="AF362" s="6">
        <f ca="1">$M$362*$Z$362</f>
        <v>0</v>
      </c>
      <c r="AG362" s="6">
        <f>$O$362*$AA$362</f>
        <v>0</v>
      </c>
    </row>
    <row r="363" spans="1:33" ht="11.25" customHeight="1" x14ac:dyDescent="0.25">
      <c r="A363" s="4" t="s">
        <v>21</v>
      </c>
      <c r="B363" s="4" t="s">
        <v>35</v>
      </c>
      <c r="C363" s="4" t="s">
        <v>44</v>
      </c>
      <c r="D363" s="4" t="s">
        <v>42</v>
      </c>
      <c r="E363" s="4" t="s">
        <v>25</v>
      </c>
      <c r="F363" s="4" t="s">
        <v>62</v>
      </c>
      <c r="G363" s="4" t="s">
        <v>25</v>
      </c>
      <c r="H363" s="4" t="s">
        <v>38</v>
      </c>
      <c r="I363" s="5">
        <v>44166</v>
      </c>
      <c r="J363" s="6">
        <v>50390</v>
      </c>
      <c r="K363" s="6">
        <v>25890.382000000001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4" t="s">
        <v>60</v>
      </c>
      <c r="R363" s="4">
        <v>0</v>
      </c>
      <c r="S363" s="6">
        <v>29</v>
      </c>
      <c r="T363" s="6">
        <v>0</v>
      </c>
      <c r="U363" s="6">
        <v>0</v>
      </c>
      <c r="V363" s="6">
        <f>IF(ISERROR(VLOOKUP($S$363,'TAR FIN'!$A$1:$O$95,15,0)),0,VLOOKUP($S$363,'TAR FIN'!$A$1:$O$95,15,0))</f>
        <v>28.57</v>
      </c>
      <c r="W363" s="6">
        <f>IF(ISERROR(VLOOKUP($T$363,'TAR FIN'!$A$1:$O$95,15,0)),0,VLOOKUP($T$363,'TAR FIN'!$A$1:$O$95,15,0))</f>
        <v>0</v>
      </c>
      <c r="X363" s="6">
        <f>IF(ISERROR(VLOOKUP($U$363,'TAR FIN'!$A$1:$O$95,15,0)),0,VLOOKUP($U$363,'TAR FIN'!$A$1:$O$95,15,0))</f>
        <v>0</v>
      </c>
      <c r="Y363" s="6">
        <f ca="1">('TUSD BE'!$AM$11+'TUSD BF'!$AM$11+'TUSD CVA'!$AM$11)*1</f>
        <v>31.93064187172984</v>
      </c>
      <c r="Z363" s="6">
        <f ca="1">('TUSD BE'!$AM$12+'TUSD BF'!$AM$12+'TUSD CVA'!$AM$12)*1</f>
        <v>168.51338132937991</v>
      </c>
      <c r="AA363" s="6"/>
      <c r="AB363" s="6">
        <f>$K$363*$V$363</f>
        <v>739688.21374000004</v>
      </c>
      <c r="AC363" s="6">
        <f>$M$363*$W$363</f>
        <v>0</v>
      </c>
      <c r="AD363" s="6">
        <f>$O$363*$X$363</f>
        <v>0</v>
      </c>
      <c r="AE363" s="6">
        <f ca="1">$K$363*$Y$363</f>
        <v>826696.51556428056</v>
      </c>
      <c r="AF363" s="6">
        <f ca="1">$M$363*$Z$363</f>
        <v>0</v>
      </c>
      <c r="AG363" s="6">
        <f>$O$363*$AA$363</f>
        <v>0</v>
      </c>
    </row>
    <row r="364" spans="1:33" ht="11.25" customHeight="1" x14ac:dyDescent="0.25">
      <c r="A364" s="4" t="s">
        <v>21</v>
      </c>
      <c r="B364" s="4" t="s">
        <v>35</v>
      </c>
      <c r="C364" s="4" t="s">
        <v>44</v>
      </c>
      <c r="D364" s="4" t="s">
        <v>42</v>
      </c>
      <c r="E364" s="4" t="s">
        <v>25</v>
      </c>
      <c r="F364" s="4" t="s">
        <v>62</v>
      </c>
      <c r="G364" s="4" t="s">
        <v>25</v>
      </c>
      <c r="H364" s="4" t="s">
        <v>38</v>
      </c>
      <c r="I364" s="5">
        <v>44197</v>
      </c>
      <c r="J364" s="6">
        <v>45662</v>
      </c>
      <c r="K364" s="6">
        <v>24378.941800000001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4" t="s">
        <v>60</v>
      </c>
      <c r="R364" s="4">
        <v>0</v>
      </c>
      <c r="S364" s="6">
        <v>29</v>
      </c>
      <c r="T364" s="6">
        <v>0</v>
      </c>
      <c r="U364" s="6">
        <v>0</v>
      </c>
      <c r="V364" s="6">
        <f>IF(ISERROR(VLOOKUP($S$364,'TAR FIN'!$A$1:$O$95,15,0)),0,VLOOKUP($S$364,'TAR FIN'!$A$1:$O$95,15,0))</f>
        <v>28.57</v>
      </c>
      <c r="W364" s="6">
        <f>IF(ISERROR(VLOOKUP($T$364,'TAR FIN'!$A$1:$O$95,15,0)),0,VLOOKUP($T$364,'TAR FIN'!$A$1:$O$95,15,0))</f>
        <v>0</v>
      </c>
      <c r="X364" s="6">
        <f>IF(ISERROR(VLOOKUP($U$364,'TAR FIN'!$A$1:$O$95,15,0)),0,VLOOKUP($U$364,'TAR FIN'!$A$1:$O$95,15,0))</f>
        <v>0</v>
      </c>
      <c r="Y364" s="6">
        <f ca="1">('TUSD BE'!$AM$11+'TUSD BF'!$AM$11+'TUSD CVA'!$AM$11)*1</f>
        <v>31.93064187172984</v>
      </c>
      <c r="Z364" s="6">
        <f ca="1">('TUSD BE'!$AM$12+'TUSD BF'!$AM$12+'TUSD CVA'!$AM$12)*1</f>
        <v>168.51338132937991</v>
      </c>
      <c r="AA364" s="6"/>
      <c r="AB364" s="6">
        <f>$K$364*$V$364</f>
        <v>696506.36722600006</v>
      </c>
      <c r="AC364" s="6">
        <f>$M$364*$W$364</f>
        <v>0</v>
      </c>
      <c r="AD364" s="6">
        <f>$O$364*$X$364</f>
        <v>0</v>
      </c>
      <c r="AE364" s="6">
        <f ca="1">$K$364*$Y$364</f>
        <v>778435.2598275448</v>
      </c>
      <c r="AF364" s="6">
        <f ca="1">$M$364*$Z$364</f>
        <v>0</v>
      </c>
      <c r="AG364" s="6">
        <f>$O$364*$AA$364</f>
        <v>0</v>
      </c>
    </row>
    <row r="365" spans="1:33" ht="11.25" customHeight="1" x14ac:dyDescent="0.25">
      <c r="A365" s="4" t="s">
        <v>21</v>
      </c>
      <c r="B365" s="4" t="s">
        <v>35</v>
      </c>
      <c r="C365" s="4" t="s">
        <v>44</v>
      </c>
      <c r="D365" s="4" t="s">
        <v>42</v>
      </c>
      <c r="E365" s="4" t="s">
        <v>25</v>
      </c>
      <c r="F365" s="4" t="s">
        <v>62</v>
      </c>
      <c r="G365" s="4" t="s">
        <v>25</v>
      </c>
      <c r="H365" s="4" t="s">
        <v>38</v>
      </c>
      <c r="I365" s="5">
        <v>44228</v>
      </c>
      <c r="J365" s="6">
        <v>52318</v>
      </c>
      <c r="K365" s="6">
        <v>26394.431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4" t="s">
        <v>60</v>
      </c>
      <c r="R365" s="4">
        <v>0</v>
      </c>
      <c r="S365" s="6">
        <v>29</v>
      </c>
      <c r="T365" s="6">
        <v>0</v>
      </c>
      <c r="U365" s="6">
        <v>0</v>
      </c>
      <c r="V365" s="6">
        <f>IF(ISERROR(VLOOKUP($S$365,'TAR FIN'!$A$1:$O$95,15,0)),0,VLOOKUP($S$365,'TAR FIN'!$A$1:$O$95,15,0))</f>
        <v>28.57</v>
      </c>
      <c r="W365" s="6">
        <f>IF(ISERROR(VLOOKUP($T$365,'TAR FIN'!$A$1:$O$95,15,0)),0,VLOOKUP($T$365,'TAR FIN'!$A$1:$O$95,15,0))</f>
        <v>0</v>
      </c>
      <c r="X365" s="6">
        <f>IF(ISERROR(VLOOKUP($U$365,'TAR FIN'!$A$1:$O$95,15,0)),0,VLOOKUP($U$365,'TAR FIN'!$A$1:$O$95,15,0))</f>
        <v>0</v>
      </c>
      <c r="Y365" s="6">
        <f ca="1">('TUSD BE'!$AM$11+'TUSD BF'!$AM$11+'TUSD CVA'!$AM$11)*1</f>
        <v>31.93064187172984</v>
      </c>
      <c r="Z365" s="6">
        <f ca="1">('TUSD BE'!$AM$12+'TUSD BF'!$AM$12+'TUSD CVA'!$AM$12)*1</f>
        <v>168.51338132937991</v>
      </c>
      <c r="AA365" s="6"/>
      <c r="AB365" s="6">
        <f>$K$365*$V$365</f>
        <v>754088.89367000002</v>
      </c>
      <c r="AC365" s="6">
        <f>$M$365*$W$365</f>
        <v>0</v>
      </c>
      <c r="AD365" s="6">
        <f>$O$365*$X$365</f>
        <v>0</v>
      </c>
      <c r="AE365" s="6">
        <f ca="1">$K$365*$Y$365</f>
        <v>842791.12366908416</v>
      </c>
      <c r="AF365" s="6">
        <f ca="1">$M$365*$Z$365</f>
        <v>0</v>
      </c>
      <c r="AG365" s="6">
        <f>$O$365*$AA$365</f>
        <v>0</v>
      </c>
    </row>
    <row r="366" spans="1:33" ht="11.25" customHeight="1" x14ac:dyDescent="0.25">
      <c r="A366" s="4" t="s">
        <v>21</v>
      </c>
      <c r="B366" s="4" t="s">
        <v>35</v>
      </c>
      <c r="C366" s="4" t="s">
        <v>44</v>
      </c>
      <c r="D366" s="4" t="s">
        <v>42</v>
      </c>
      <c r="E366" s="4" t="s">
        <v>25</v>
      </c>
      <c r="F366" s="4" t="s">
        <v>62</v>
      </c>
      <c r="G366" s="4" t="s">
        <v>25</v>
      </c>
      <c r="H366" s="4" t="s">
        <v>38</v>
      </c>
      <c r="I366" s="5">
        <v>44256</v>
      </c>
      <c r="J366" s="6">
        <v>52801</v>
      </c>
      <c r="K366" s="6">
        <v>26632.824400000001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4" t="s">
        <v>60</v>
      </c>
      <c r="R366" s="4">
        <v>0</v>
      </c>
      <c r="S366" s="6">
        <v>29</v>
      </c>
      <c r="T366" s="6">
        <v>0</v>
      </c>
      <c r="U366" s="6">
        <v>0</v>
      </c>
      <c r="V366" s="6">
        <f>IF(ISERROR(VLOOKUP($S$366,'TAR FIN'!$A$1:$O$95,15,0)),0,VLOOKUP($S$366,'TAR FIN'!$A$1:$O$95,15,0))</f>
        <v>28.57</v>
      </c>
      <c r="W366" s="6">
        <f>IF(ISERROR(VLOOKUP($T$366,'TAR FIN'!$A$1:$O$95,15,0)),0,VLOOKUP($T$366,'TAR FIN'!$A$1:$O$95,15,0))</f>
        <v>0</v>
      </c>
      <c r="X366" s="6">
        <f>IF(ISERROR(VLOOKUP($U$366,'TAR FIN'!$A$1:$O$95,15,0)),0,VLOOKUP($U$366,'TAR FIN'!$A$1:$O$95,15,0))</f>
        <v>0</v>
      </c>
      <c r="Y366" s="6">
        <f ca="1">('TUSD BE'!$AM$11+'TUSD BF'!$AM$11+'TUSD CVA'!$AM$11)*1</f>
        <v>31.93064187172984</v>
      </c>
      <c r="Z366" s="6">
        <f ca="1">('TUSD BE'!$AM$12+'TUSD BF'!$AM$12+'TUSD CVA'!$AM$12)*1</f>
        <v>168.51338132937991</v>
      </c>
      <c r="AA366" s="6"/>
      <c r="AB366" s="6">
        <f>$K$366*$V$366</f>
        <v>760899.79310800007</v>
      </c>
      <c r="AC366" s="6">
        <f>$M$366*$W$366</f>
        <v>0</v>
      </c>
      <c r="AD366" s="6">
        <f>$O$366*$X$366</f>
        <v>0</v>
      </c>
      <c r="AE366" s="6">
        <f ca="1">$K$366*$Y$366</f>
        <v>850403.17794906814</v>
      </c>
      <c r="AF366" s="6">
        <f ca="1">$M$366*$Z$366</f>
        <v>0</v>
      </c>
      <c r="AG366" s="6">
        <f>$O$366*$AA$366</f>
        <v>0</v>
      </c>
    </row>
    <row r="367" spans="1:33" ht="11.25" customHeight="1" x14ac:dyDescent="0.25">
      <c r="A367" s="4" t="s">
        <v>21</v>
      </c>
      <c r="B367" s="4" t="s">
        <v>35</v>
      </c>
      <c r="C367" s="4" t="s">
        <v>44</v>
      </c>
      <c r="D367" s="4" t="s">
        <v>42</v>
      </c>
      <c r="E367" s="4" t="s">
        <v>25</v>
      </c>
      <c r="F367" s="4" t="s">
        <v>62</v>
      </c>
      <c r="G367" s="4" t="s">
        <v>25</v>
      </c>
      <c r="H367" s="4" t="s">
        <v>38</v>
      </c>
      <c r="I367" s="5">
        <v>44287</v>
      </c>
      <c r="J367" s="6">
        <v>53590</v>
      </c>
      <c r="K367" s="6">
        <v>26987.923999999999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4" t="s">
        <v>60</v>
      </c>
      <c r="R367" s="4">
        <v>0</v>
      </c>
      <c r="S367" s="6">
        <v>29</v>
      </c>
      <c r="T367" s="6">
        <v>0</v>
      </c>
      <c r="U367" s="6">
        <v>0</v>
      </c>
      <c r="V367" s="6">
        <f>IF(ISERROR(VLOOKUP($S$367,'TAR FIN'!$A$1:$O$95,15,0)),0,VLOOKUP($S$367,'TAR FIN'!$A$1:$O$95,15,0))</f>
        <v>28.57</v>
      </c>
      <c r="W367" s="6">
        <f>IF(ISERROR(VLOOKUP($T$367,'TAR FIN'!$A$1:$O$95,15,0)),0,VLOOKUP($T$367,'TAR FIN'!$A$1:$O$95,15,0))</f>
        <v>0</v>
      </c>
      <c r="X367" s="6">
        <f>IF(ISERROR(VLOOKUP($U$367,'TAR FIN'!$A$1:$O$95,15,0)),0,VLOOKUP($U$367,'TAR FIN'!$A$1:$O$95,15,0))</f>
        <v>0</v>
      </c>
      <c r="Y367" s="6">
        <f ca="1">('TUSD BE'!$AM$11+'TUSD BF'!$AM$11+'TUSD CVA'!$AM$11)*1</f>
        <v>31.93064187172984</v>
      </c>
      <c r="Z367" s="6">
        <f ca="1">('TUSD BE'!$AM$12+'TUSD BF'!$AM$12+'TUSD CVA'!$AM$12)*1</f>
        <v>168.51338132937991</v>
      </c>
      <c r="AA367" s="6"/>
      <c r="AB367" s="6">
        <f>$K$367*$V$367</f>
        <v>771044.98867999995</v>
      </c>
      <c r="AC367" s="6">
        <f>$M$367*$W$367</f>
        <v>0</v>
      </c>
      <c r="AD367" s="6">
        <f>$O$367*$X$367</f>
        <v>0</v>
      </c>
      <c r="AE367" s="6">
        <f ca="1">$K$367*$Y$367</f>
        <v>861741.73610546265</v>
      </c>
      <c r="AF367" s="6">
        <f ca="1">$M$367*$Z$367</f>
        <v>0</v>
      </c>
      <c r="AG367" s="6">
        <f>$O$367*$AA$367</f>
        <v>0</v>
      </c>
    </row>
    <row r="368" spans="1:33" ht="11.25" customHeight="1" x14ac:dyDescent="0.25">
      <c r="A368" s="4" t="s">
        <v>21</v>
      </c>
      <c r="B368" s="4" t="s">
        <v>35</v>
      </c>
      <c r="C368" s="4" t="s">
        <v>44</v>
      </c>
      <c r="D368" s="4" t="s">
        <v>42</v>
      </c>
      <c r="E368" s="4" t="s">
        <v>25</v>
      </c>
      <c r="F368" s="4" t="s">
        <v>62</v>
      </c>
      <c r="G368" s="4" t="s">
        <v>25</v>
      </c>
      <c r="H368" s="4" t="s">
        <v>38</v>
      </c>
      <c r="I368" s="5">
        <v>44317</v>
      </c>
      <c r="J368" s="6">
        <v>54209</v>
      </c>
      <c r="K368" s="6">
        <v>27332.177800000001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4" t="s">
        <v>60</v>
      </c>
      <c r="R368" s="4">
        <v>0</v>
      </c>
      <c r="S368" s="6">
        <v>29</v>
      </c>
      <c r="T368" s="6">
        <v>0</v>
      </c>
      <c r="U368" s="6">
        <v>0</v>
      </c>
      <c r="V368" s="6">
        <f>IF(ISERROR(VLOOKUP($S$368,'TAR FIN'!$A$1:$O$95,15,0)),0,VLOOKUP($S$368,'TAR FIN'!$A$1:$O$95,15,0))</f>
        <v>28.57</v>
      </c>
      <c r="W368" s="6">
        <f>IF(ISERROR(VLOOKUP($T$368,'TAR FIN'!$A$1:$O$95,15,0)),0,VLOOKUP($T$368,'TAR FIN'!$A$1:$O$95,15,0))</f>
        <v>0</v>
      </c>
      <c r="X368" s="6">
        <f>IF(ISERROR(VLOOKUP($U$368,'TAR FIN'!$A$1:$O$95,15,0)),0,VLOOKUP($U$368,'TAR FIN'!$A$1:$O$95,15,0))</f>
        <v>0</v>
      </c>
      <c r="Y368" s="6">
        <f ca="1">('TUSD BE'!$AM$11+'TUSD BF'!$AM$11+'TUSD CVA'!$AM$11)*1</f>
        <v>31.93064187172984</v>
      </c>
      <c r="Z368" s="6">
        <f ca="1">('TUSD BE'!$AM$12+'TUSD BF'!$AM$12+'TUSD CVA'!$AM$12)*1</f>
        <v>168.51338132937991</v>
      </c>
      <c r="AA368" s="6"/>
      <c r="AB368" s="6">
        <f>$K$368*$V$368</f>
        <v>780880.31974599999</v>
      </c>
      <c r="AC368" s="6">
        <f>$M$368*$W$368</f>
        <v>0</v>
      </c>
      <c r="AD368" s="6">
        <f>$O$368*$X$368</f>
        <v>0</v>
      </c>
      <c r="AE368" s="6">
        <f ca="1">$K$368*$Y$368</f>
        <v>872733.98090624483</v>
      </c>
      <c r="AF368" s="6">
        <f ca="1">$M$368*$Z$368</f>
        <v>0</v>
      </c>
      <c r="AG368" s="6">
        <f>$O$368*$AA$368</f>
        <v>0</v>
      </c>
    </row>
    <row r="369" spans="1:33" ht="11.25" customHeight="1" x14ac:dyDescent="0.25">
      <c r="A369" s="4" t="s">
        <v>21</v>
      </c>
      <c r="B369" s="4" t="s">
        <v>35</v>
      </c>
      <c r="C369" s="4" t="s">
        <v>44</v>
      </c>
      <c r="D369" s="4" t="s">
        <v>42</v>
      </c>
      <c r="E369" s="4" t="s">
        <v>25</v>
      </c>
      <c r="F369" s="4" t="s">
        <v>62</v>
      </c>
      <c r="G369" s="4" t="s">
        <v>25</v>
      </c>
      <c r="H369" s="4" t="s">
        <v>38</v>
      </c>
      <c r="I369" s="5">
        <v>44348</v>
      </c>
      <c r="J369" s="6">
        <v>45662</v>
      </c>
      <c r="K369" s="6">
        <v>24378.941800000001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4" t="s">
        <v>60</v>
      </c>
      <c r="R369" s="4">
        <v>0</v>
      </c>
      <c r="S369" s="6">
        <v>29</v>
      </c>
      <c r="T369" s="6">
        <v>0</v>
      </c>
      <c r="U369" s="6">
        <v>0</v>
      </c>
      <c r="V369" s="6">
        <f>IF(ISERROR(VLOOKUP($S$369,'TAR FIN'!$A$1:$O$95,15,0)),0,VLOOKUP($S$369,'TAR FIN'!$A$1:$O$95,15,0))</f>
        <v>28.57</v>
      </c>
      <c r="W369" s="6">
        <f>IF(ISERROR(VLOOKUP($T$369,'TAR FIN'!$A$1:$O$95,15,0)),0,VLOOKUP($T$369,'TAR FIN'!$A$1:$O$95,15,0))</f>
        <v>0</v>
      </c>
      <c r="X369" s="6">
        <f>IF(ISERROR(VLOOKUP($U$369,'TAR FIN'!$A$1:$O$95,15,0)),0,VLOOKUP($U$369,'TAR FIN'!$A$1:$O$95,15,0))</f>
        <v>0</v>
      </c>
      <c r="Y369" s="6">
        <f ca="1">('TUSD BE'!$AM$11+'TUSD BF'!$AM$11+'TUSD CVA'!$AM$11)*1</f>
        <v>31.93064187172984</v>
      </c>
      <c r="Z369" s="6">
        <f ca="1">('TUSD BE'!$AM$12+'TUSD BF'!$AM$12+'TUSD CVA'!$AM$12)*1</f>
        <v>168.51338132937991</v>
      </c>
      <c r="AA369" s="6"/>
      <c r="AB369" s="6">
        <f>$K$369*$V$369</f>
        <v>696506.36722600006</v>
      </c>
      <c r="AC369" s="6">
        <f>$M$369*$W$369</f>
        <v>0</v>
      </c>
      <c r="AD369" s="6">
        <f>$O$369*$X$369</f>
        <v>0</v>
      </c>
      <c r="AE369" s="6">
        <f ca="1">$K$369*$Y$369</f>
        <v>778435.2598275448</v>
      </c>
      <c r="AF369" s="6">
        <f ca="1">$M$369*$Z$369</f>
        <v>0</v>
      </c>
      <c r="AG369" s="6">
        <f>$O$369*$AA$369</f>
        <v>0</v>
      </c>
    </row>
    <row r="370" spans="1:33" ht="11.25" customHeight="1" x14ac:dyDescent="0.25">
      <c r="A370" s="4" t="s">
        <v>21</v>
      </c>
      <c r="B370" s="4" t="s">
        <v>35</v>
      </c>
      <c r="C370" s="4" t="s">
        <v>44</v>
      </c>
      <c r="D370" s="4" t="s">
        <v>42</v>
      </c>
      <c r="E370" s="4" t="s">
        <v>25</v>
      </c>
      <c r="F370" s="4" t="s">
        <v>62</v>
      </c>
      <c r="G370" s="4" t="s">
        <v>25</v>
      </c>
      <c r="H370" s="4" t="s">
        <v>38</v>
      </c>
      <c r="I370" s="5">
        <v>44378</v>
      </c>
      <c r="J370" s="6">
        <v>55486</v>
      </c>
      <c r="K370" s="6">
        <v>27476.6672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4" t="s">
        <v>60</v>
      </c>
      <c r="R370" s="4">
        <v>0</v>
      </c>
      <c r="S370" s="6">
        <v>29</v>
      </c>
      <c r="T370" s="6">
        <v>0</v>
      </c>
      <c r="U370" s="6">
        <v>0</v>
      </c>
      <c r="V370" s="6">
        <f>IF(ISERROR(VLOOKUP($S$370,'TAR FIN'!$A$1:$O$95,15,0)),0,VLOOKUP($S$370,'TAR FIN'!$A$1:$O$95,15,0))</f>
        <v>28.57</v>
      </c>
      <c r="W370" s="6">
        <f>IF(ISERROR(VLOOKUP($T$370,'TAR FIN'!$A$1:$O$95,15,0)),0,VLOOKUP($T$370,'TAR FIN'!$A$1:$O$95,15,0))</f>
        <v>0</v>
      </c>
      <c r="X370" s="6">
        <f>IF(ISERROR(VLOOKUP($U$370,'TAR FIN'!$A$1:$O$95,15,0)),0,VLOOKUP($U$370,'TAR FIN'!$A$1:$O$95,15,0))</f>
        <v>0</v>
      </c>
      <c r="Y370" s="6">
        <f ca="1">('TUSD BE'!$AM$11+'TUSD BF'!$AM$11+'TUSD CVA'!$AM$11)*1</f>
        <v>31.93064187172984</v>
      </c>
      <c r="Z370" s="6">
        <f ca="1">('TUSD BE'!$AM$12+'TUSD BF'!$AM$12+'TUSD CVA'!$AM$12)*1</f>
        <v>168.51338132937991</v>
      </c>
      <c r="AA370" s="6"/>
      <c r="AB370" s="6">
        <f>$K$370*$V$370</f>
        <v>785008.38190399995</v>
      </c>
      <c r="AC370" s="6">
        <f>$M$370*$W$370</f>
        <v>0</v>
      </c>
      <c r="AD370" s="6">
        <f>$O$370*$X$370</f>
        <v>0</v>
      </c>
      <c r="AE370" s="6">
        <f ca="1">$K$370*$Y$370</f>
        <v>877347.62019190588</v>
      </c>
      <c r="AF370" s="6">
        <f ca="1">$M$370*$Z$370</f>
        <v>0</v>
      </c>
      <c r="AG370" s="6">
        <f>$O$370*$AA$370</f>
        <v>0</v>
      </c>
    </row>
    <row r="371" spans="1:33" ht="11.25" customHeight="1" x14ac:dyDescent="0.25">
      <c r="A371" s="4" t="s">
        <v>21</v>
      </c>
      <c r="B371" s="4" t="s">
        <v>35</v>
      </c>
      <c r="C371" s="4" t="s">
        <v>44</v>
      </c>
      <c r="D371" s="4" t="s">
        <v>42</v>
      </c>
      <c r="E371" s="4" t="s">
        <v>25</v>
      </c>
      <c r="F371" s="4" t="s">
        <v>62</v>
      </c>
      <c r="G371" s="4" t="s">
        <v>25</v>
      </c>
      <c r="H371" s="4" t="s">
        <v>38</v>
      </c>
      <c r="I371" s="5">
        <v>44409</v>
      </c>
      <c r="J371" s="6">
        <v>53748</v>
      </c>
      <c r="K371" s="6">
        <v>27889.837200000002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4" t="s">
        <v>60</v>
      </c>
      <c r="R371" s="4">
        <v>0</v>
      </c>
      <c r="S371" s="6">
        <v>29</v>
      </c>
      <c r="T371" s="6">
        <v>0</v>
      </c>
      <c r="U371" s="6">
        <v>0</v>
      </c>
      <c r="V371" s="6">
        <f>IF(ISERROR(VLOOKUP($S$371,'TAR FIN'!$A$1:$O$95,15,0)),0,VLOOKUP($S$371,'TAR FIN'!$A$1:$O$95,15,0))</f>
        <v>28.57</v>
      </c>
      <c r="W371" s="6">
        <f>IF(ISERROR(VLOOKUP($T$371,'TAR FIN'!$A$1:$O$95,15,0)),0,VLOOKUP($T$371,'TAR FIN'!$A$1:$O$95,15,0))</f>
        <v>0</v>
      </c>
      <c r="X371" s="6">
        <f>IF(ISERROR(VLOOKUP($U$371,'TAR FIN'!$A$1:$O$95,15,0)),0,VLOOKUP($U$371,'TAR FIN'!$A$1:$O$95,15,0))</f>
        <v>0</v>
      </c>
      <c r="Y371" s="6">
        <f ca="1">('TUSD BE'!$AM$11+'TUSD BF'!$AM$11+'TUSD CVA'!$AM$11)*1</f>
        <v>31.93064187172984</v>
      </c>
      <c r="Z371" s="6">
        <f ca="1">('TUSD BE'!$AM$12+'TUSD BF'!$AM$12+'TUSD CVA'!$AM$12)*1</f>
        <v>168.51338132937991</v>
      </c>
      <c r="AA371" s="6"/>
      <c r="AB371" s="6">
        <f>$K$371*$V$371</f>
        <v>796812.64880400011</v>
      </c>
      <c r="AC371" s="6">
        <f>$M$371*$W$371</f>
        <v>0</v>
      </c>
      <c r="AD371" s="6">
        <f>$O$371*$X$371</f>
        <v>0</v>
      </c>
      <c r="AE371" s="6">
        <f ca="1">$K$371*$Y$371</f>
        <v>890540.40349404863</v>
      </c>
      <c r="AF371" s="6">
        <f ca="1">$M$371*$Z$371</f>
        <v>0</v>
      </c>
      <c r="AG371" s="6">
        <f>$O$371*$AA$371</f>
        <v>0</v>
      </c>
    </row>
    <row r="372" spans="1:33" ht="11.25" customHeight="1" x14ac:dyDescent="0.25">
      <c r="A372" s="4" t="s">
        <v>21</v>
      </c>
      <c r="B372" s="4" t="s">
        <v>35</v>
      </c>
      <c r="C372" s="4" t="s">
        <v>44</v>
      </c>
      <c r="D372" s="4" t="s">
        <v>42</v>
      </c>
      <c r="E372" s="4" t="s">
        <v>25</v>
      </c>
      <c r="F372" s="4" t="s">
        <v>62</v>
      </c>
      <c r="G372" s="4" t="s">
        <v>25</v>
      </c>
      <c r="H372" s="4" t="s">
        <v>38</v>
      </c>
      <c r="I372" s="5">
        <v>44440</v>
      </c>
      <c r="J372" s="6">
        <v>56211</v>
      </c>
      <c r="K372" s="6">
        <v>25300.571100000001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4" t="s">
        <v>60</v>
      </c>
      <c r="R372" s="4">
        <v>0</v>
      </c>
      <c r="S372" s="6">
        <v>29</v>
      </c>
      <c r="T372" s="6">
        <v>0</v>
      </c>
      <c r="U372" s="6">
        <v>0</v>
      </c>
      <c r="V372" s="6">
        <f>IF(ISERROR(VLOOKUP($S$372,'TAR FIN'!$A$1:$O$95,15,0)),0,VLOOKUP($S$372,'TAR FIN'!$A$1:$O$95,15,0))</f>
        <v>28.57</v>
      </c>
      <c r="W372" s="6">
        <f>IF(ISERROR(VLOOKUP($T$372,'TAR FIN'!$A$1:$O$95,15,0)),0,VLOOKUP($T$372,'TAR FIN'!$A$1:$O$95,15,0))</f>
        <v>0</v>
      </c>
      <c r="X372" s="6">
        <f>IF(ISERROR(VLOOKUP($U$372,'TAR FIN'!$A$1:$O$95,15,0)),0,VLOOKUP($U$372,'TAR FIN'!$A$1:$O$95,15,0))</f>
        <v>0</v>
      </c>
      <c r="Y372" s="6">
        <f ca="1">('TUSD BE'!$AM$11+'TUSD BF'!$AM$11+'TUSD CVA'!$AM$11)*1</f>
        <v>31.93064187172984</v>
      </c>
      <c r="Z372" s="6">
        <f ca="1">('TUSD BE'!$AM$12+'TUSD BF'!$AM$12+'TUSD CVA'!$AM$12)*1</f>
        <v>168.51338132937991</v>
      </c>
      <c r="AA372" s="6"/>
      <c r="AB372" s="6">
        <f>$K$372*$V$372</f>
        <v>722837.31632700004</v>
      </c>
      <c r="AC372" s="6">
        <f>$M$372*$W$372</f>
        <v>0</v>
      </c>
      <c r="AD372" s="6">
        <f>$O$372*$X$372</f>
        <v>0</v>
      </c>
      <c r="AE372" s="6">
        <f ca="1">$K$372*$Y$372</f>
        <v>807863.47494433797</v>
      </c>
      <c r="AF372" s="6">
        <f ca="1">$M$372*$Z$372</f>
        <v>0</v>
      </c>
      <c r="AG372" s="6">
        <f>$O$372*$AA$372</f>
        <v>0</v>
      </c>
    </row>
    <row r="373" spans="1:33" ht="11.25" customHeight="1" x14ac:dyDescent="0.25">
      <c r="A373" s="4" t="s">
        <v>59</v>
      </c>
      <c r="B373" s="4" t="s">
        <v>35</v>
      </c>
      <c r="C373" s="4" t="s">
        <v>44</v>
      </c>
      <c r="D373" s="4" t="s">
        <v>42</v>
      </c>
      <c r="E373" s="4" t="s">
        <v>25</v>
      </c>
      <c r="F373" s="4" t="s">
        <v>62</v>
      </c>
      <c r="G373" s="4" t="s">
        <v>25</v>
      </c>
      <c r="H373" s="4" t="s">
        <v>38</v>
      </c>
      <c r="I373" s="5">
        <v>44470</v>
      </c>
      <c r="J373" s="6">
        <v>56211</v>
      </c>
      <c r="K373" s="6">
        <v>25300.571100000001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4" t="s">
        <v>60</v>
      </c>
      <c r="R373" s="4">
        <v>0</v>
      </c>
      <c r="S373" s="6">
        <v>29</v>
      </c>
      <c r="T373" s="6">
        <v>0</v>
      </c>
      <c r="U373" s="6">
        <v>0</v>
      </c>
      <c r="V373" s="6">
        <f>IF(ISERROR(VLOOKUP($S$373,'TAR FIN'!$A$1:$O$95,15,0)),0,VLOOKUP($S$373,'TAR FIN'!$A$1:$O$95,15,0))</f>
        <v>28.57</v>
      </c>
      <c r="W373" s="6">
        <f>IF(ISERROR(VLOOKUP($T$373,'TAR FIN'!$A$1:$O$95,15,0)),0,VLOOKUP($T$373,'TAR FIN'!$A$1:$O$95,15,0))</f>
        <v>0</v>
      </c>
      <c r="X373" s="6">
        <f>IF(ISERROR(VLOOKUP($U$373,'TAR FIN'!$A$1:$O$95,15,0)),0,VLOOKUP($U$373,'TAR FIN'!$A$1:$O$95,15,0))</f>
        <v>0</v>
      </c>
      <c r="Y373" s="6">
        <f ca="1">('TUSD BE'!$AM$11+'TUSD BF'!$AM$11+'TUSD CVA'!$AM$11)*1</f>
        <v>31.93064187172984</v>
      </c>
      <c r="Z373" s="6">
        <f ca="1">('TUSD BE'!$AM$12+'TUSD BF'!$AM$12+'TUSD CVA'!$AM$12)*1</f>
        <v>168.51338132937991</v>
      </c>
      <c r="AA373" s="6"/>
      <c r="AB373" s="6">
        <f>$K$373*$V$373</f>
        <v>722837.31632700004</v>
      </c>
      <c r="AC373" s="6">
        <f>$M$373*$W$373</f>
        <v>0</v>
      </c>
      <c r="AD373" s="6">
        <f>$O$373*$X$373</f>
        <v>0</v>
      </c>
      <c r="AE373" s="6">
        <f ca="1">$K$373*$Y$373</f>
        <v>807863.47494433797</v>
      </c>
      <c r="AF373" s="6">
        <f ca="1">$M$373*$Z$373</f>
        <v>0</v>
      </c>
      <c r="AG373" s="6">
        <f>$O$373*$AA$373</f>
        <v>0</v>
      </c>
    </row>
    <row r="374" spans="1:33" ht="11.25" customHeight="1" x14ac:dyDescent="0.25">
      <c r="A374" s="4" t="s">
        <v>21</v>
      </c>
      <c r="B374" s="4" t="s">
        <v>35</v>
      </c>
      <c r="C374" s="4" t="s">
        <v>44</v>
      </c>
      <c r="D374" s="4" t="s">
        <v>42</v>
      </c>
      <c r="E374" s="4" t="s">
        <v>25</v>
      </c>
      <c r="F374" s="4" t="s">
        <v>62</v>
      </c>
      <c r="G374" s="4" t="s">
        <v>25</v>
      </c>
      <c r="H374" s="4" t="s">
        <v>25</v>
      </c>
      <c r="I374" s="5">
        <v>44136</v>
      </c>
      <c r="J374" s="6">
        <v>0</v>
      </c>
      <c r="K374" s="6">
        <v>0</v>
      </c>
      <c r="L374" s="6">
        <v>22084.305</v>
      </c>
      <c r="M374" s="6">
        <v>22084.305</v>
      </c>
      <c r="N374" s="6">
        <v>0</v>
      </c>
      <c r="O374" s="6">
        <v>0</v>
      </c>
      <c r="P374" s="6">
        <v>51</v>
      </c>
      <c r="Q374" s="4" t="s">
        <v>60</v>
      </c>
      <c r="R374" s="4">
        <v>0</v>
      </c>
      <c r="S374" s="6">
        <v>0</v>
      </c>
      <c r="T374" s="6">
        <v>30</v>
      </c>
      <c r="U374" s="6">
        <v>0</v>
      </c>
      <c r="V374" s="6">
        <f>IF(ISERROR(VLOOKUP($S$374,'TAR FIN'!$A$1:$O$95,15,0)),0,VLOOKUP($S$374,'TAR FIN'!$A$1:$O$95,15,0))</f>
        <v>0</v>
      </c>
      <c r="W374" s="6">
        <f>IF(ISERROR(VLOOKUP($T$374,'TAR FIN'!$A$1:$O$95,15,0)),0,VLOOKUP($T$374,'TAR FIN'!$A$1:$O$95,15,0))</f>
        <v>149.63</v>
      </c>
      <c r="X374" s="6">
        <f>IF(ISERROR(VLOOKUP($U$374,'TAR FIN'!$A$1:$O$95,15,0)),0,VLOOKUP($U$374,'TAR FIN'!$A$1:$O$95,15,0))</f>
        <v>0</v>
      </c>
      <c r="Y374" s="6"/>
      <c r="Z374" s="6">
        <f ca="1">('TUSD BE'!$AM$12+'TUSD BF'!$AM$12+'TUSD CVA'!$AM$12)*1</f>
        <v>168.51338132937991</v>
      </c>
      <c r="AA374" s="6"/>
      <c r="AB374" s="6">
        <f>$K$374*$V$374</f>
        <v>0</v>
      </c>
      <c r="AC374" s="6">
        <f>$M$374*$W$374</f>
        <v>3304474.5571499998</v>
      </c>
      <c r="AD374" s="6">
        <f>$O$374*$X$374</f>
        <v>0</v>
      </c>
      <c r="AE374" s="6">
        <f>$K$374*$Y$374</f>
        <v>0</v>
      </c>
      <c r="AF374" s="6">
        <f ca="1">$M$374*$Z$374</f>
        <v>3721500.9098593313</v>
      </c>
      <c r="AG374" s="6">
        <f>$O$374*$AA$374</f>
        <v>0</v>
      </c>
    </row>
    <row r="375" spans="1:33" ht="11.25" customHeight="1" x14ac:dyDescent="0.25">
      <c r="A375" s="4" t="s">
        <v>21</v>
      </c>
      <c r="B375" s="4" t="s">
        <v>35</v>
      </c>
      <c r="C375" s="4" t="s">
        <v>44</v>
      </c>
      <c r="D375" s="4" t="s">
        <v>42</v>
      </c>
      <c r="E375" s="4" t="s">
        <v>25</v>
      </c>
      <c r="F375" s="4" t="s">
        <v>62</v>
      </c>
      <c r="G375" s="4" t="s">
        <v>25</v>
      </c>
      <c r="H375" s="4" t="s">
        <v>25</v>
      </c>
      <c r="I375" s="5">
        <v>44166</v>
      </c>
      <c r="J375" s="6">
        <v>0</v>
      </c>
      <c r="K375" s="6">
        <v>0</v>
      </c>
      <c r="L375" s="6">
        <v>22080.807000000001</v>
      </c>
      <c r="M375" s="6">
        <v>22080.807000000001</v>
      </c>
      <c r="N375" s="6">
        <v>0</v>
      </c>
      <c r="O375" s="6">
        <v>0</v>
      </c>
      <c r="P375" s="6">
        <v>52</v>
      </c>
      <c r="Q375" s="4" t="s">
        <v>60</v>
      </c>
      <c r="R375" s="4">
        <v>0</v>
      </c>
      <c r="S375" s="6">
        <v>0</v>
      </c>
      <c r="T375" s="6">
        <v>30</v>
      </c>
      <c r="U375" s="6">
        <v>0</v>
      </c>
      <c r="V375" s="6">
        <f>IF(ISERROR(VLOOKUP($S$375,'TAR FIN'!$A$1:$O$95,15,0)),0,VLOOKUP($S$375,'TAR FIN'!$A$1:$O$95,15,0))</f>
        <v>0</v>
      </c>
      <c r="W375" s="6">
        <f>IF(ISERROR(VLOOKUP($T$375,'TAR FIN'!$A$1:$O$95,15,0)),0,VLOOKUP($T$375,'TAR FIN'!$A$1:$O$95,15,0))</f>
        <v>149.63</v>
      </c>
      <c r="X375" s="6">
        <f>IF(ISERROR(VLOOKUP($U$375,'TAR FIN'!$A$1:$O$95,15,0)),0,VLOOKUP($U$375,'TAR FIN'!$A$1:$O$95,15,0))</f>
        <v>0</v>
      </c>
      <c r="Y375" s="6"/>
      <c r="Z375" s="6">
        <f ca="1">('TUSD BE'!$AM$12+'TUSD BF'!$AM$12+'TUSD CVA'!$AM$12)*1</f>
        <v>168.51338132937991</v>
      </c>
      <c r="AA375" s="6"/>
      <c r="AB375" s="6">
        <f>$K$375*$V$375</f>
        <v>0</v>
      </c>
      <c r="AC375" s="6">
        <f>$M$375*$W$375</f>
        <v>3303951.1514099999</v>
      </c>
      <c r="AD375" s="6">
        <f>$O$375*$X$375</f>
        <v>0</v>
      </c>
      <c r="AE375" s="6">
        <f>$K$375*$Y$375</f>
        <v>0</v>
      </c>
      <c r="AF375" s="6">
        <f ca="1">$M$375*$Z$375</f>
        <v>3720911.4500514413</v>
      </c>
      <c r="AG375" s="6">
        <f>$O$375*$AA$375</f>
        <v>0</v>
      </c>
    </row>
    <row r="376" spans="1:33" ht="11.25" customHeight="1" x14ac:dyDescent="0.25">
      <c r="A376" s="4" t="s">
        <v>21</v>
      </c>
      <c r="B376" s="4" t="s">
        <v>35</v>
      </c>
      <c r="C376" s="4" t="s">
        <v>44</v>
      </c>
      <c r="D376" s="4" t="s">
        <v>42</v>
      </c>
      <c r="E376" s="4" t="s">
        <v>25</v>
      </c>
      <c r="F376" s="4" t="s">
        <v>62</v>
      </c>
      <c r="G376" s="4" t="s">
        <v>25</v>
      </c>
      <c r="H376" s="4" t="s">
        <v>25</v>
      </c>
      <c r="I376" s="5">
        <v>44197</v>
      </c>
      <c r="J376" s="6">
        <v>0</v>
      </c>
      <c r="K376" s="6">
        <v>0</v>
      </c>
      <c r="L376" s="6">
        <v>19711.32</v>
      </c>
      <c r="M376" s="6">
        <v>19711.32</v>
      </c>
      <c r="N376" s="6">
        <v>0</v>
      </c>
      <c r="O376" s="6">
        <v>0</v>
      </c>
      <c r="P376" s="6">
        <v>52</v>
      </c>
      <c r="Q376" s="4" t="s">
        <v>60</v>
      </c>
      <c r="R376" s="4">
        <v>0</v>
      </c>
      <c r="S376" s="6">
        <v>0</v>
      </c>
      <c r="T376" s="6">
        <v>30</v>
      </c>
      <c r="U376" s="6">
        <v>0</v>
      </c>
      <c r="V376" s="6">
        <f>IF(ISERROR(VLOOKUP($S$376,'TAR FIN'!$A$1:$O$95,15,0)),0,VLOOKUP($S$376,'TAR FIN'!$A$1:$O$95,15,0))</f>
        <v>0</v>
      </c>
      <c r="W376" s="6">
        <f>IF(ISERROR(VLOOKUP($T$376,'TAR FIN'!$A$1:$O$95,15,0)),0,VLOOKUP($T$376,'TAR FIN'!$A$1:$O$95,15,0))</f>
        <v>149.63</v>
      </c>
      <c r="X376" s="6">
        <f>IF(ISERROR(VLOOKUP($U$376,'TAR FIN'!$A$1:$O$95,15,0)),0,VLOOKUP($U$376,'TAR FIN'!$A$1:$O$95,15,0))</f>
        <v>0</v>
      </c>
      <c r="Y376" s="6"/>
      <c r="Z376" s="6">
        <f ca="1">('TUSD BE'!$AM$12+'TUSD BF'!$AM$12+'TUSD CVA'!$AM$12)*1</f>
        <v>168.51338132937991</v>
      </c>
      <c r="AA376" s="6"/>
      <c r="AB376" s="6">
        <f>$K$376*$V$376</f>
        <v>0</v>
      </c>
      <c r="AC376" s="6">
        <f>$M$376*$W$376</f>
        <v>2949404.8115999997</v>
      </c>
      <c r="AD376" s="6">
        <f>$O$376*$X$376</f>
        <v>0</v>
      </c>
      <c r="AE376" s="6">
        <f>$K$376*$Y$376</f>
        <v>0</v>
      </c>
      <c r="AF376" s="6">
        <f ca="1">$M$376*$Z$376</f>
        <v>3321621.183665433</v>
      </c>
      <c r="AG376" s="6">
        <f>$O$376*$AA$376</f>
        <v>0</v>
      </c>
    </row>
    <row r="377" spans="1:33" ht="11.25" customHeight="1" x14ac:dyDescent="0.25">
      <c r="A377" s="4" t="s">
        <v>21</v>
      </c>
      <c r="B377" s="4" t="s">
        <v>35</v>
      </c>
      <c r="C377" s="4" t="s">
        <v>44</v>
      </c>
      <c r="D377" s="4" t="s">
        <v>42</v>
      </c>
      <c r="E377" s="4" t="s">
        <v>25</v>
      </c>
      <c r="F377" s="4" t="s">
        <v>62</v>
      </c>
      <c r="G377" s="4" t="s">
        <v>25</v>
      </c>
      <c r="H377" s="4" t="s">
        <v>25</v>
      </c>
      <c r="I377" s="5">
        <v>44228</v>
      </c>
      <c r="J377" s="6">
        <v>0</v>
      </c>
      <c r="K377" s="6">
        <v>0</v>
      </c>
      <c r="L377" s="6">
        <v>19764.91</v>
      </c>
      <c r="M377" s="6">
        <v>19764.91</v>
      </c>
      <c r="N377" s="6">
        <v>0</v>
      </c>
      <c r="O377" s="6">
        <v>0</v>
      </c>
      <c r="P377" s="6">
        <v>54</v>
      </c>
      <c r="Q377" s="4" t="s">
        <v>60</v>
      </c>
      <c r="R377" s="4">
        <v>0</v>
      </c>
      <c r="S377" s="6">
        <v>0</v>
      </c>
      <c r="T377" s="6">
        <v>30</v>
      </c>
      <c r="U377" s="6">
        <v>0</v>
      </c>
      <c r="V377" s="6">
        <f>IF(ISERROR(VLOOKUP($S$377,'TAR FIN'!$A$1:$O$95,15,0)),0,VLOOKUP($S$377,'TAR FIN'!$A$1:$O$95,15,0))</f>
        <v>0</v>
      </c>
      <c r="W377" s="6">
        <f>IF(ISERROR(VLOOKUP($T$377,'TAR FIN'!$A$1:$O$95,15,0)),0,VLOOKUP($T$377,'TAR FIN'!$A$1:$O$95,15,0))</f>
        <v>149.63</v>
      </c>
      <c r="X377" s="6">
        <f>IF(ISERROR(VLOOKUP($U$377,'TAR FIN'!$A$1:$O$95,15,0)),0,VLOOKUP($U$377,'TAR FIN'!$A$1:$O$95,15,0))</f>
        <v>0</v>
      </c>
      <c r="Y377" s="6"/>
      <c r="Z377" s="6">
        <f ca="1">('TUSD BE'!$AM$12+'TUSD BF'!$AM$12+'TUSD CVA'!$AM$12)*1</f>
        <v>168.51338132937991</v>
      </c>
      <c r="AA377" s="6"/>
      <c r="AB377" s="6">
        <f>$K$377*$V$377</f>
        <v>0</v>
      </c>
      <c r="AC377" s="6">
        <f>$M$377*$W$377</f>
        <v>2957423.4833</v>
      </c>
      <c r="AD377" s="6">
        <f>$O$377*$X$377</f>
        <v>0</v>
      </c>
      <c r="AE377" s="6">
        <f>$K$377*$Y$377</f>
        <v>0</v>
      </c>
      <c r="AF377" s="6">
        <f ca="1">$M$377*$Z$377</f>
        <v>3330651.8157708743</v>
      </c>
      <c r="AG377" s="6">
        <f>$O$377*$AA$377</f>
        <v>0</v>
      </c>
    </row>
    <row r="378" spans="1:33" ht="11.25" customHeight="1" x14ac:dyDescent="0.25">
      <c r="A378" s="4" t="s">
        <v>21</v>
      </c>
      <c r="B378" s="4" t="s">
        <v>35</v>
      </c>
      <c r="C378" s="4" t="s">
        <v>44</v>
      </c>
      <c r="D378" s="4" t="s">
        <v>42</v>
      </c>
      <c r="E378" s="4" t="s">
        <v>25</v>
      </c>
      <c r="F378" s="4" t="s">
        <v>62</v>
      </c>
      <c r="G378" s="4" t="s">
        <v>25</v>
      </c>
      <c r="H378" s="4" t="s">
        <v>25</v>
      </c>
      <c r="I378" s="5">
        <v>44256</v>
      </c>
      <c r="J378" s="6">
        <v>0</v>
      </c>
      <c r="K378" s="6">
        <v>0</v>
      </c>
      <c r="L378" s="6">
        <v>23506.096000000001</v>
      </c>
      <c r="M378" s="6">
        <v>23506.096000000001</v>
      </c>
      <c r="N378" s="6">
        <v>0</v>
      </c>
      <c r="O378" s="6">
        <v>0</v>
      </c>
      <c r="P378" s="6">
        <v>55</v>
      </c>
      <c r="Q378" s="4" t="s">
        <v>60</v>
      </c>
      <c r="R378" s="4">
        <v>0</v>
      </c>
      <c r="S378" s="6">
        <v>0</v>
      </c>
      <c r="T378" s="6">
        <v>30</v>
      </c>
      <c r="U378" s="6">
        <v>0</v>
      </c>
      <c r="V378" s="6">
        <f>IF(ISERROR(VLOOKUP($S$378,'TAR FIN'!$A$1:$O$95,15,0)),0,VLOOKUP($S$378,'TAR FIN'!$A$1:$O$95,15,0))</f>
        <v>0</v>
      </c>
      <c r="W378" s="6">
        <f>IF(ISERROR(VLOOKUP($T$378,'TAR FIN'!$A$1:$O$95,15,0)),0,VLOOKUP($T$378,'TAR FIN'!$A$1:$O$95,15,0))</f>
        <v>149.63</v>
      </c>
      <c r="X378" s="6">
        <f>IF(ISERROR(VLOOKUP($U$378,'TAR FIN'!$A$1:$O$95,15,0)),0,VLOOKUP($U$378,'TAR FIN'!$A$1:$O$95,15,0))</f>
        <v>0</v>
      </c>
      <c r="Y378" s="6"/>
      <c r="Z378" s="6">
        <f ca="1">('TUSD BE'!$AM$12+'TUSD BF'!$AM$12+'TUSD CVA'!$AM$12)*1</f>
        <v>168.51338132937991</v>
      </c>
      <c r="AA378" s="6"/>
      <c r="AB378" s="6">
        <f>$K$378*$V$378</f>
        <v>0</v>
      </c>
      <c r="AC378" s="6">
        <f>$M$378*$W$378</f>
        <v>3517217.1444800003</v>
      </c>
      <c r="AD378" s="6">
        <f>$O$378*$X$378</f>
        <v>0</v>
      </c>
      <c r="AE378" s="6">
        <f>$K$378*$Y$378</f>
        <v>0</v>
      </c>
      <c r="AF378" s="6">
        <f ca="1">$M$378*$Z$378</f>
        <v>3961091.7188130119</v>
      </c>
      <c r="AG378" s="6">
        <f>$O$378*$AA$378</f>
        <v>0</v>
      </c>
    </row>
    <row r="379" spans="1:33" ht="11.25" customHeight="1" x14ac:dyDescent="0.25">
      <c r="A379" s="4" t="s">
        <v>21</v>
      </c>
      <c r="B379" s="4" t="s">
        <v>35</v>
      </c>
      <c r="C379" s="4" t="s">
        <v>44</v>
      </c>
      <c r="D379" s="4" t="s">
        <v>42</v>
      </c>
      <c r="E379" s="4" t="s">
        <v>25</v>
      </c>
      <c r="F379" s="4" t="s">
        <v>62</v>
      </c>
      <c r="G379" s="4" t="s">
        <v>25</v>
      </c>
      <c r="H379" s="4" t="s">
        <v>25</v>
      </c>
      <c r="I379" s="5">
        <v>44287</v>
      </c>
      <c r="J379" s="6">
        <v>0</v>
      </c>
      <c r="K379" s="6">
        <v>0</v>
      </c>
      <c r="L379" s="6">
        <v>22172.080000000002</v>
      </c>
      <c r="M379" s="6">
        <v>22172.080000000002</v>
      </c>
      <c r="N379" s="6">
        <v>0</v>
      </c>
      <c r="O379" s="6">
        <v>0</v>
      </c>
      <c r="P379" s="6">
        <v>58</v>
      </c>
      <c r="Q379" s="4" t="s">
        <v>60</v>
      </c>
      <c r="R379" s="4">
        <v>0</v>
      </c>
      <c r="S379" s="6">
        <v>0</v>
      </c>
      <c r="T379" s="6">
        <v>30</v>
      </c>
      <c r="U379" s="6">
        <v>0</v>
      </c>
      <c r="V379" s="6">
        <f>IF(ISERROR(VLOOKUP($S$379,'TAR FIN'!$A$1:$O$95,15,0)),0,VLOOKUP($S$379,'TAR FIN'!$A$1:$O$95,15,0))</f>
        <v>0</v>
      </c>
      <c r="W379" s="6">
        <f>IF(ISERROR(VLOOKUP($T$379,'TAR FIN'!$A$1:$O$95,15,0)),0,VLOOKUP($T$379,'TAR FIN'!$A$1:$O$95,15,0))</f>
        <v>149.63</v>
      </c>
      <c r="X379" s="6">
        <f>IF(ISERROR(VLOOKUP($U$379,'TAR FIN'!$A$1:$O$95,15,0)),0,VLOOKUP($U$379,'TAR FIN'!$A$1:$O$95,15,0))</f>
        <v>0</v>
      </c>
      <c r="Y379" s="6"/>
      <c r="Z379" s="6">
        <f ca="1">('TUSD BE'!$AM$12+'TUSD BF'!$AM$12+'TUSD CVA'!$AM$12)*1</f>
        <v>168.51338132937991</v>
      </c>
      <c r="AA379" s="6"/>
      <c r="AB379" s="6">
        <f>$K$379*$V$379</f>
        <v>0</v>
      </c>
      <c r="AC379" s="6">
        <f>$M$379*$W$379</f>
        <v>3317608.3304000003</v>
      </c>
      <c r="AD379" s="6">
        <f>$O$379*$X$379</f>
        <v>0</v>
      </c>
      <c r="AE379" s="6">
        <f>$K$379*$Y$379</f>
        <v>0</v>
      </c>
      <c r="AF379" s="6">
        <f ca="1">$M$379*$Z$379</f>
        <v>3736292.171905518</v>
      </c>
      <c r="AG379" s="6">
        <f>$O$379*$AA$379</f>
        <v>0</v>
      </c>
    </row>
    <row r="380" spans="1:33" ht="11.25" customHeight="1" x14ac:dyDescent="0.25">
      <c r="A380" s="4" t="s">
        <v>21</v>
      </c>
      <c r="B380" s="4" t="s">
        <v>35</v>
      </c>
      <c r="C380" s="4" t="s">
        <v>44</v>
      </c>
      <c r="D380" s="4" t="s">
        <v>42</v>
      </c>
      <c r="E380" s="4" t="s">
        <v>25</v>
      </c>
      <c r="F380" s="4" t="s">
        <v>62</v>
      </c>
      <c r="G380" s="4" t="s">
        <v>25</v>
      </c>
      <c r="H380" s="4" t="s">
        <v>25</v>
      </c>
      <c r="I380" s="5">
        <v>44317</v>
      </c>
      <c r="J380" s="6">
        <v>0</v>
      </c>
      <c r="K380" s="6">
        <v>0</v>
      </c>
      <c r="L380" s="6">
        <v>23639.417000000001</v>
      </c>
      <c r="M380" s="6">
        <v>23639.417000000001</v>
      </c>
      <c r="N380" s="6">
        <v>0</v>
      </c>
      <c r="O380" s="6">
        <v>0</v>
      </c>
      <c r="P380" s="6">
        <v>58</v>
      </c>
      <c r="Q380" s="4" t="s">
        <v>60</v>
      </c>
      <c r="R380" s="4">
        <v>0</v>
      </c>
      <c r="S380" s="6">
        <v>0</v>
      </c>
      <c r="T380" s="6">
        <v>30</v>
      </c>
      <c r="U380" s="6">
        <v>0</v>
      </c>
      <c r="V380" s="6">
        <f>IF(ISERROR(VLOOKUP($S$380,'TAR FIN'!$A$1:$O$95,15,0)),0,VLOOKUP($S$380,'TAR FIN'!$A$1:$O$95,15,0))</f>
        <v>0</v>
      </c>
      <c r="W380" s="6">
        <f>IF(ISERROR(VLOOKUP($T$380,'TAR FIN'!$A$1:$O$95,15,0)),0,VLOOKUP($T$380,'TAR FIN'!$A$1:$O$95,15,0))</f>
        <v>149.63</v>
      </c>
      <c r="X380" s="6">
        <f>IF(ISERROR(VLOOKUP($U$380,'TAR FIN'!$A$1:$O$95,15,0)),0,VLOOKUP($U$380,'TAR FIN'!$A$1:$O$95,15,0))</f>
        <v>0</v>
      </c>
      <c r="Y380" s="6"/>
      <c r="Z380" s="6">
        <f ca="1">('TUSD BE'!$AM$12+'TUSD BF'!$AM$12+'TUSD CVA'!$AM$12)*1</f>
        <v>168.51338132937991</v>
      </c>
      <c r="AA380" s="6"/>
      <c r="AB380" s="6">
        <f>$K$380*$V$380</f>
        <v>0</v>
      </c>
      <c r="AC380" s="6">
        <f>$M$380*$W$380</f>
        <v>3537165.9657100001</v>
      </c>
      <c r="AD380" s="6">
        <f>$O$380*$X$380</f>
        <v>0</v>
      </c>
      <c r="AE380" s="6">
        <f>$K$380*$Y$380</f>
        <v>0</v>
      </c>
      <c r="AF380" s="6">
        <f ca="1">$M$380*$Z$380</f>
        <v>3983558.0913252262</v>
      </c>
      <c r="AG380" s="6">
        <f>$O$380*$AA$380</f>
        <v>0</v>
      </c>
    </row>
    <row r="381" spans="1:33" ht="11.25" customHeight="1" x14ac:dyDescent="0.25">
      <c r="A381" s="4" t="s">
        <v>21</v>
      </c>
      <c r="B381" s="4" t="s">
        <v>35</v>
      </c>
      <c r="C381" s="4" t="s">
        <v>44</v>
      </c>
      <c r="D381" s="4" t="s">
        <v>42</v>
      </c>
      <c r="E381" s="4" t="s">
        <v>25</v>
      </c>
      <c r="F381" s="4" t="s">
        <v>62</v>
      </c>
      <c r="G381" s="4" t="s">
        <v>25</v>
      </c>
      <c r="H381" s="4" t="s">
        <v>25</v>
      </c>
      <c r="I381" s="5">
        <v>44348</v>
      </c>
      <c r="J381" s="6">
        <v>0</v>
      </c>
      <c r="K381" s="6">
        <v>0</v>
      </c>
      <c r="L381" s="6">
        <v>19711.32</v>
      </c>
      <c r="M381" s="6">
        <v>19711.32</v>
      </c>
      <c r="N381" s="6">
        <v>0</v>
      </c>
      <c r="O381" s="6">
        <v>0</v>
      </c>
      <c r="P381" s="6">
        <v>52</v>
      </c>
      <c r="Q381" s="4" t="s">
        <v>60</v>
      </c>
      <c r="R381" s="4">
        <v>0</v>
      </c>
      <c r="S381" s="6">
        <v>0</v>
      </c>
      <c r="T381" s="6">
        <v>30</v>
      </c>
      <c r="U381" s="6">
        <v>0</v>
      </c>
      <c r="V381" s="6">
        <f>IF(ISERROR(VLOOKUP($S$381,'TAR FIN'!$A$1:$O$95,15,0)),0,VLOOKUP($S$381,'TAR FIN'!$A$1:$O$95,15,0))</f>
        <v>0</v>
      </c>
      <c r="W381" s="6">
        <f>IF(ISERROR(VLOOKUP($T$381,'TAR FIN'!$A$1:$O$95,15,0)),0,VLOOKUP($T$381,'TAR FIN'!$A$1:$O$95,15,0))</f>
        <v>149.63</v>
      </c>
      <c r="X381" s="6">
        <f>IF(ISERROR(VLOOKUP($U$381,'TAR FIN'!$A$1:$O$95,15,0)),0,VLOOKUP($U$381,'TAR FIN'!$A$1:$O$95,15,0))</f>
        <v>0</v>
      </c>
      <c r="Y381" s="6"/>
      <c r="Z381" s="6">
        <f ca="1">('TUSD BE'!$AM$12+'TUSD BF'!$AM$12+'TUSD CVA'!$AM$12)*1</f>
        <v>168.51338132937991</v>
      </c>
      <c r="AA381" s="6"/>
      <c r="AB381" s="6">
        <f>$K$381*$V$381</f>
        <v>0</v>
      </c>
      <c r="AC381" s="6">
        <f>$M$381*$W$381</f>
        <v>2949404.8115999997</v>
      </c>
      <c r="AD381" s="6">
        <f>$O$381*$X$381</f>
        <v>0</v>
      </c>
      <c r="AE381" s="6">
        <f>$K$381*$Y$381</f>
        <v>0</v>
      </c>
      <c r="AF381" s="6">
        <f ca="1">$M$381*$Z$381</f>
        <v>3321621.183665433</v>
      </c>
      <c r="AG381" s="6">
        <f>$O$381*$AA$381</f>
        <v>0</v>
      </c>
    </row>
    <row r="382" spans="1:33" ht="11.25" customHeight="1" x14ac:dyDescent="0.25">
      <c r="A382" s="4" t="s">
        <v>21</v>
      </c>
      <c r="B382" s="4" t="s">
        <v>35</v>
      </c>
      <c r="C382" s="4" t="s">
        <v>44</v>
      </c>
      <c r="D382" s="4" t="s">
        <v>42</v>
      </c>
      <c r="E382" s="4" t="s">
        <v>25</v>
      </c>
      <c r="F382" s="4" t="s">
        <v>62</v>
      </c>
      <c r="G382" s="4" t="s">
        <v>25</v>
      </c>
      <c r="H382" s="4" t="s">
        <v>25</v>
      </c>
      <c r="I382" s="5">
        <v>44378</v>
      </c>
      <c r="J382" s="6">
        <v>0</v>
      </c>
      <c r="K382" s="6">
        <v>0</v>
      </c>
      <c r="L382" s="6">
        <v>23526.059000000001</v>
      </c>
      <c r="M382" s="6">
        <v>23526.059000000001</v>
      </c>
      <c r="N382" s="6">
        <v>0</v>
      </c>
      <c r="O382" s="6">
        <v>0</v>
      </c>
      <c r="P382" s="6">
        <v>60</v>
      </c>
      <c r="Q382" s="4" t="s">
        <v>60</v>
      </c>
      <c r="R382" s="4">
        <v>0</v>
      </c>
      <c r="S382" s="6">
        <v>0</v>
      </c>
      <c r="T382" s="6">
        <v>30</v>
      </c>
      <c r="U382" s="6">
        <v>0</v>
      </c>
      <c r="V382" s="6">
        <f>IF(ISERROR(VLOOKUP($S$382,'TAR FIN'!$A$1:$O$95,15,0)),0,VLOOKUP($S$382,'TAR FIN'!$A$1:$O$95,15,0))</f>
        <v>0</v>
      </c>
      <c r="W382" s="6">
        <f>IF(ISERROR(VLOOKUP($T$382,'TAR FIN'!$A$1:$O$95,15,0)),0,VLOOKUP($T$382,'TAR FIN'!$A$1:$O$95,15,0))</f>
        <v>149.63</v>
      </c>
      <c r="X382" s="6">
        <f>IF(ISERROR(VLOOKUP($U$382,'TAR FIN'!$A$1:$O$95,15,0)),0,VLOOKUP($U$382,'TAR FIN'!$A$1:$O$95,15,0))</f>
        <v>0</v>
      </c>
      <c r="Y382" s="6"/>
      <c r="Z382" s="6">
        <f ca="1">('TUSD BE'!$AM$12+'TUSD BF'!$AM$12+'TUSD CVA'!$AM$12)*1</f>
        <v>168.51338132937991</v>
      </c>
      <c r="AA382" s="6"/>
      <c r="AB382" s="6">
        <f>$K$382*$V$382</f>
        <v>0</v>
      </c>
      <c r="AC382" s="6">
        <f>$M$382*$W$382</f>
        <v>3520204.20817</v>
      </c>
      <c r="AD382" s="6">
        <f>$O$382*$X$382</f>
        <v>0</v>
      </c>
      <c r="AE382" s="6">
        <f>$K$382*$Y$382</f>
        <v>0</v>
      </c>
      <c r="AF382" s="6">
        <f ca="1">$M$382*$Z$382</f>
        <v>3964455.7514444906</v>
      </c>
      <c r="AG382" s="6">
        <f>$O$382*$AA$382</f>
        <v>0</v>
      </c>
    </row>
    <row r="383" spans="1:33" ht="11.25" customHeight="1" x14ac:dyDescent="0.25">
      <c r="A383" s="4" t="s">
        <v>21</v>
      </c>
      <c r="B383" s="4" t="s">
        <v>35</v>
      </c>
      <c r="C383" s="4" t="s">
        <v>44</v>
      </c>
      <c r="D383" s="4" t="s">
        <v>42</v>
      </c>
      <c r="E383" s="4" t="s">
        <v>25</v>
      </c>
      <c r="F383" s="4" t="s">
        <v>62</v>
      </c>
      <c r="G383" s="4" t="s">
        <v>25</v>
      </c>
      <c r="H383" s="4" t="s">
        <v>25</v>
      </c>
      <c r="I383" s="5">
        <v>44409</v>
      </c>
      <c r="J383" s="6">
        <v>0</v>
      </c>
      <c r="K383" s="6">
        <v>0</v>
      </c>
      <c r="L383" s="6">
        <v>23038.815999999999</v>
      </c>
      <c r="M383" s="6">
        <v>23038.815999999999</v>
      </c>
      <c r="N383" s="6">
        <v>0</v>
      </c>
      <c r="O383" s="6">
        <v>0</v>
      </c>
      <c r="P383" s="6">
        <v>59</v>
      </c>
      <c r="Q383" s="4" t="s">
        <v>60</v>
      </c>
      <c r="R383" s="4">
        <v>0</v>
      </c>
      <c r="S383" s="6">
        <v>0</v>
      </c>
      <c r="T383" s="6">
        <v>30</v>
      </c>
      <c r="U383" s="6">
        <v>0</v>
      </c>
      <c r="V383" s="6">
        <f>IF(ISERROR(VLOOKUP($S$383,'TAR FIN'!$A$1:$O$95,15,0)),0,VLOOKUP($S$383,'TAR FIN'!$A$1:$O$95,15,0))</f>
        <v>0</v>
      </c>
      <c r="W383" s="6">
        <f>IF(ISERROR(VLOOKUP($T$383,'TAR FIN'!$A$1:$O$95,15,0)),0,VLOOKUP($T$383,'TAR FIN'!$A$1:$O$95,15,0))</f>
        <v>149.63</v>
      </c>
      <c r="X383" s="6">
        <f>IF(ISERROR(VLOOKUP($U$383,'TAR FIN'!$A$1:$O$95,15,0)),0,VLOOKUP($U$383,'TAR FIN'!$A$1:$O$95,15,0))</f>
        <v>0</v>
      </c>
      <c r="Y383" s="6"/>
      <c r="Z383" s="6">
        <f ca="1">('TUSD BE'!$AM$12+'TUSD BF'!$AM$12+'TUSD CVA'!$AM$12)*1</f>
        <v>168.51338132937991</v>
      </c>
      <c r="AA383" s="6"/>
      <c r="AB383" s="6">
        <f>$K$383*$V$383</f>
        <v>0</v>
      </c>
      <c r="AC383" s="6">
        <f>$M$383*$W$383</f>
        <v>3447298.0380799999</v>
      </c>
      <c r="AD383" s="6">
        <f>$O$383*$X$383</f>
        <v>0</v>
      </c>
      <c r="AE383" s="6">
        <f>$K$383*$Y$383</f>
        <v>0</v>
      </c>
      <c r="AF383" s="6">
        <f ca="1">$M$383*$Z$383</f>
        <v>3882348.7859854191</v>
      </c>
      <c r="AG383" s="6">
        <f>$O$383*$AA$383</f>
        <v>0</v>
      </c>
    </row>
    <row r="384" spans="1:33" ht="11.25" customHeight="1" x14ac:dyDescent="0.25">
      <c r="A384" s="4" t="s">
        <v>21</v>
      </c>
      <c r="B384" s="4" t="s">
        <v>35</v>
      </c>
      <c r="C384" s="4" t="s">
        <v>44</v>
      </c>
      <c r="D384" s="4" t="s">
        <v>42</v>
      </c>
      <c r="E384" s="4" t="s">
        <v>25</v>
      </c>
      <c r="F384" s="4" t="s">
        <v>62</v>
      </c>
      <c r="G384" s="4" t="s">
        <v>25</v>
      </c>
      <c r="H384" s="4" t="s">
        <v>25</v>
      </c>
      <c r="I384" s="5">
        <v>44440</v>
      </c>
      <c r="J384" s="6">
        <v>0</v>
      </c>
      <c r="K384" s="6">
        <v>0</v>
      </c>
      <c r="L384" s="6">
        <v>23946.001</v>
      </c>
      <c r="M384" s="6">
        <v>23946.001</v>
      </c>
      <c r="N384" s="6">
        <v>0</v>
      </c>
      <c r="O384" s="6">
        <v>0</v>
      </c>
      <c r="P384" s="6">
        <v>62</v>
      </c>
      <c r="Q384" s="4" t="s">
        <v>60</v>
      </c>
      <c r="R384" s="4">
        <v>0</v>
      </c>
      <c r="S384" s="6">
        <v>0</v>
      </c>
      <c r="T384" s="6">
        <v>30</v>
      </c>
      <c r="U384" s="6">
        <v>0</v>
      </c>
      <c r="V384" s="6">
        <f>IF(ISERROR(VLOOKUP($S$384,'TAR FIN'!$A$1:$O$95,15,0)),0,VLOOKUP($S$384,'TAR FIN'!$A$1:$O$95,15,0))</f>
        <v>0</v>
      </c>
      <c r="W384" s="6">
        <f>IF(ISERROR(VLOOKUP($T$384,'TAR FIN'!$A$1:$O$95,15,0)),0,VLOOKUP($T$384,'TAR FIN'!$A$1:$O$95,15,0))</f>
        <v>149.63</v>
      </c>
      <c r="X384" s="6">
        <f>IF(ISERROR(VLOOKUP($U$384,'TAR FIN'!$A$1:$O$95,15,0)),0,VLOOKUP($U$384,'TAR FIN'!$A$1:$O$95,15,0))</f>
        <v>0</v>
      </c>
      <c r="Y384" s="6"/>
      <c r="Z384" s="6">
        <f ca="1">('TUSD BE'!$AM$12+'TUSD BF'!$AM$12+'TUSD CVA'!$AM$12)*1</f>
        <v>168.51338132937991</v>
      </c>
      <c r="AA384" s="6"/>
      <c r="AB384" s="6">
        <f>$K$384*$V$384</f>
        <v>0</v>
      </c>
      <c r="AC384" s="6">
        <f>$M$384*$W$384</f>
        <v>3583040.1296299999</v>
      </c>
      <c r="AD384" s="6">
        <f>$O$384*$X$384</f>
        <v>0</v>
      </c>
      <c r="AE384" s="6">
        <f>$K$384*$Y$384</f>
        <v>0</v>
      </c>
      <c r="AF384" s="6">
        <f ca="1">$M$384*$Z$384</f>
        <v>4035221.5978267128</v>
      </c>
      <c r="AG384" s="6">
        <f>$O$384*$AA$384</f>
        <v>0</v>
      </c>
    </row>
    <row r="385" spans="1:33" ht="11.25" customHeight="1" x14ac:dyDescent="0.25">
      <c r="A385" s="4" t="s">
        <v>59</v>
      </c>
      <c r="B385" s="4" t="s">
        <v>35</v>
      </c>
      <c r="C385" s="4" t="s">
        <v>44</v>
      </c>
      <c r="D385" s="4" t="s">
        <v>42</v>
      </c>
      <c r="E385" s="4" t="s">
        <v>25</v>
      </c>
      <c r="F385" s="4" t="s">
        <v>62</v>
      </c>
      <c r="G385" s="4" t="s">
        <v>25</v>
      </c>
      <c r="H385" s="4" t="s">
        <v>25</v>
      </c>
      <c r="I385" s="5">
        <v>44470</v>
      </c>
      <c r="J385" s="6">
        <v>0</v>
      </c>
      <c r="K385" s="6">
        <v>0</v>
      </c>
      <c r="L385" s="6">
        <v>23946.001</v>
      </c>
      <c r="M385" s="6">
        <v>23946.001</v>
      </c>
      <c r="N385" s="6">
        <v>0</v>
      </c>
      <c r="O385" s="6">
        <v>0</v>
      </c>
      <c r="P385" s="6">
        <v>62</v>
      </c>
      <c r="Q385" s="4" t="s">
        <v>60</v>
      </c>
      <c r="R385" s="4">
        <v>0</v>
      </c>
      <c r="S385" s="6">
        <v>0</v>
      </c>
      <c r="T385" s="6">
        <v>30</v>
      </c>
      <c r="U385" s="6">
        <v>0</v>
      </c>
      <c r="V385" s="6">
        <f>IF(ISERROR(VLOOKUP($S$385,'TAR FIN'!$A$1:$O$95,15,0)),0,VLOOKUP($S$385,'TAR FIN'!$A$1:$O$95,15,0))</f>
        <v>0</v>
      </c>
      <c r="W385" s="6">
        <f>IF(ISERROR(VLOOKUP($T$385,'TAR FIN'!$A$1:$O$95,15,0)),0,VLOOKUP($T$385,'TAR FIN'!$A$1:$O$95,15,0))</f>
        <v>149.63</v>
      </c>
      <c r="X385" s="6">
        <f>IF(ISERROR(VLOOKUP($U$385,'TAR FIN'!$A$1:$O$95,15,0)),0,VLOOKUP($U$385,'TAR FIN'!$A$1:$O$95,15,0))</f>
        <v>0</v>
      </c>
      <c r="Y385" s="6"/>
      <c r="Z385" s="6">
        <f ca="1">('TUSD BE'!$AM$12+'TUSD BF'!$AM$12+'TUSD CVA'!$AM$12)*1</f>
        <v>168.51338132937991</v>
      </c>
      <c r="AA385" s="6"/>
      <c r="AB385" s="6">
        <f>$K$385*$V$385</f>
        <v>0</v>
      </c>
      <c r="AC385" s="6">
        <f>$M$385*$W$385</f>
        <v>3583040.1296299999</v>
      </c>
      <c r="AD385" s="6">
        <f>$O$385*$X$385</f>
        <v>0</v>
      </c>
      <c r="AE385" s="6">
        <f>$K$385*$Y$385</f>
        <v>0</v>
      </c>
      <c r="AF385" s="6">
        <f ca="1">$M$385*$Z$385</f>
        <v>4035221.5978267128</v>
      </c>
      <c r="AG385" s="6">
        <f>$O$385*$AA$385</f>
        <v>0</v>
      </c>
    </row>
    <row r="386" spans="1:33" ht="11.25" customHeight="1" x14ac:dyDescent="0.25">
      <c r="A386" s="4" t="s">
        <v>21</v>
      </c>
      <c r="B386" s="4" t="s">
        <v>35</v>
      </c>
      <c r="C386" s="4" t="s">
        <v>44</v>
      </c>
      <c r="D386" s="4" t="s">
        <v>42</v>
      </c>
      <c r="E386" s="4" t="s">
        <v>25</v>
      </c>
      <c r="F386" s="4" t="s">
        <v>62</v>
      </c>
      <c r="G386" s="4" t="s">
        <v>25</v>
      </c>
      <c r="H386" s="4" t="s">
        <v>37</v>
      </c>
      <c r="I386" s="5">
        <v>44136</v>
      </c>
      <c r="J386" s="6">
        <v>45185</v>
      </c>
      <c r="K386" s="6">
        <v>23274.7935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4" t="s">
        <v>60</v>
      </c>
      <c r="R386" s="4">
        <v>0</v>
      </c>
      <c r="S386" s="6">
        <v>28</v>
      </c>
      <c r="T386" s="6">
        <v>0</v>
      </c>
      <c r="U386" s="6">
        <v>0</v>
      </c>
      <c r="V386" s="6">
        <f>IF(ISERROR(VLOOKUP($S$386,'TAR FIN'!$A$1:$O$95,15,0)),0,VLOOKUP($S$386,'TAR FIN'!$A$1:$O$95,15,0))</f>
        <v>52.99</v>
      </c>
      <c r="W386" s="6">
        <f>IF(ISERROR(VLOOKUP($T$386,'TAR FIN'!$A$1:$O$95,15,0)),0,VLOOKUP($T$386,'TAR FIN'!$A$1:$O$95,15,0))</f>
        <v>0</v>
      </c>
      <c r="X386" s="6">
        <f>IF(ISERROR(VLOOKUP($U$386,'TAR FIN'!$A$1:$O$95,15,0)),0,VLOOKUP($U$386,'TAR FIN'!$A$1:$O$95,15,0))</f>
        <v>0</v>
      </c>
      <c r="Y386" s="6">
        <f ca="1">('TUSD BE'!$AM$10+'TUSD BF'!$AM$10+'TUSD CVA'!$AM$10)*1</f>
        <v>59.276351675174958</v>
      </c>
      <c r="Z386" s="6">
        <f ca="1">('TUSD BE'!$AM$12+'TUSD BF'!$AM$12+'TUSD CVA'!$AM$12)*1</f>
        <v>168.51338132937991</v>
      </c>
      <c r="AA386" s="6"/>
      <c r="AB386" s="6">
        <f>$K$386*$V$386</f>
        <v>1233331.3075650001</v>
      </c>
      <c r="AC386" s="6">
        <f>$M$386*$W$386</f>
        <v>0</v>
      </c>
      <c r="AD386" s="6">
        <f>$O$386*$X$386</f>
        <v>0</v>
      </c>
      <c r="AE386" s="6">
        <f ca="1">$K$386*$Y$386</f>
        <v>1379644.8446730762</v>
      </c>
      <c r="AF386" s="6">
        <f ca="1">$M$386*$Z$386</f>
        <v>0</v>
      </c>
      <c r="AG386" s="6">
        <f>$O$386*$AA$386</f>
        <v>0</v>
      </c>
    </row>
    <row r="387" spans="1:33" ht="11.25" customHeight="1" x14ac:dyDescent="0.25">
      <c r="A387" s="4" t="s">
        <v>21</v>
      </c>
      <c r="B387" s="4" t="s">
        <v>35</v>
      </c>
      <c r="C387" s="4" t="s">
        <v>44</v>
      </c>
      <c r="D387" s="4" t="s">
        <v>42</v>
      </c>
      <c r="E387" s="4" t="s">
        <v>25</v>
      </c>
      <c r="F387" s="4" t="s">
        <v>62</v>
      </c>
      <c r="G387" s="4" t="s">
        <v>25</v>
      </c>
      <c r="H387" s="4" t="s">
        <v>37</v>
      </c>
      <c r="I387" s="5">
        <v>44166</v>
      </c>
      <c r="J387" s="6">
        <v>45430</v>
      </c>
      <c r="K387" s="6">
        <v>23341.934000000001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4" t="s">
        <v>60</v>
      </c>
      <c r="R387" s="4">
        <v>0</v>
      </c>
      <c r="S387" s="6">
        <v>28</v>
      </c>
      <c r="T387" s="6">
        <v>0</v>
      </c>
      <c r="U387" s="6">
        <v>0</v>
      </c>
      <c r="V387" s="6">
        <f>IF(ISERROR(VLOOKUP($S$387,'TAR FIN'!$A$1:$O$95,15,0)),0,VLOOKUP($S$387,'TAR FIN'!$A$1:$O$95,15,0))</f>
        <v>52.99</v>
      </c>
      <c r="W387" s="6">
        <f>IF(ISERROR(VLOOKUP($T$387,'TAR FIN'!$A$1:$O$95,15,0)),0,VLOOKUP($T$387,'TAR FIN'!$A$1:$O$95,15,0))</f>
        <v>0</v>
      </c>
      <c r="X387" s="6">
        <f>IF(ISERROR(VLOOKUP($U$387,'TAR FIN'!$A$1:$O$95,15,0)),0,VLOOKUP($U$387,'TAR FIN'!$A$1:$O$95,15,0))</f>
        <v>0</v>
      </c>
      <c r="Y387" s="6">
        <f ca="1">('TUSD BE'!$AM$10+'TUSD BF'!$AM$10+'TUSD CVA'!$AM$10)*1</f>
        <v>59.276351675174958</v>
      </c>
      <c r="Z387" s="6">
        <f ca="1">('TUSD BE'!$AM$12+'TUSD BF'!$AM$12+'TUSD CVA'!$AM$12)*1</f>
        <v>168.51338132937991</v>
      </c>
      <c r="AA387" s="6"/>
      <c r="AB387" s="6">
        <f>$K$387*$V$387</f>
        <v>1236889.0826600001</v>
      </c>
      <c r="AC387" s="6">
        <f>$M$387*$W$387</f>
        <v>0</v>
      </c>
      <c r="AD387" s="6">
        <f>$O$387*$X$387</f>
        <v>0</v>
      </c>
      <c r="AE387" s="6">
        <f ca="1">$K$387*$Y$387</f>
        <v>1383624.6885627233</v>
      </c>
      <c r="AF387" s="6">
        <f ca="1">$M$387*$Z$387</f>
        <v>0</v>
      </c>
      <c r="AG387" s="6">
        <f>$O$387*$AA$387</f>
        <v>0</v>
      </c>
    </row>
    <row r="388" spans="1:33" ht="11.25" customHeight="1" x14ac:dyDescent="0.25">
      <c r="A388" s="4" t="s">
        <v>21</v>
      </c>
      <c r="B388" s="4" t="s">
        <v>35</v>
      </c>
      <c r="C388" s="4" t="s">
        <v>44</v>
      </c>
      <c r="D388" s="4" t="s">
        <v>42</v>
      </c>
      <c r="E388" s="4" t="s">
        <v>25</v>
      </c>
      <c r="F388" s="4" t="s">
        <v>62</v>
      </c>
      <c r="G388" s="4" t="s">
        <v>25</v>
      </c>
      <c r="H388" s="4" t="s">
        <v>37</v>
      </c>
      <c r="I388" s="5">
        <v>44197</v>
      </c>
      <c r="J388" s="6">
        <v>39704</v>
      </c>
      <c r="K388" s="6">
        <v>21197.9656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4" t="s">
        <v>60</v>
      </c>
      <c r="R388" s="4">
        <v>0</v>
      </c>
      <c r="S388" s="6">
        <v>28</v>
      </c>
      <c r="T388" s="6">
        <v>0</v>
      </c>
      <c r="U388" s="6">
        <v>0</v>
      </c>
      <c r="V388" s="6">
        <f>IF(ISERROR(VLOOKUP($S$388,'TAR FIN'!$A$1:$O$95,15,0)),0,VLOOKUP($S$388,'TAR FIN'!$A$1:$O$95,15,0))</f>
        <v>52.99</v>
      </c>
      <c r="W388" s="6">
        <f>IF(ISERROR(VLOOKUP($T$388,'TAR FIN'!$A$1:$O$95,15,0)),0,VLOOKUP($T$388,'TAR FIN'!$A$1:$O$95,15,0))</f>
        <v>0</v>
      </c>
      <c r="X388" s="6">
        <f>IF(ISERROR(VLOOKUP($U$388,'TAR FIN'!$A$1:$O$95,15,0)),0,VLOOKUP($U$388,'TAR FIN'!$A$1:$O$95,15,0))</f>
        <v>0</v>
      </c>
      <c r="Y388" s="6">
        <f ca="1">('TUSD BE'!$AM$10+'TUSD BF'!$AM$10+'TUSD CVA'!$AM$10)*1</f>
        <v>59.276351675174958</v>
      </c>
      <c r="Z388" s="6">
        <f ca="1">('TUSD BE'!$AM$12+'TUSD BF'!$AM$12+'TUSD CVA'!$AM$12)*1</f>
        <v>168.51338132937991</v>
      </c>
      <c r="AA388" s="6"/>
      <c r="AB388" s="6">
        <f>$K$388*$V$388</f>
        <v>1123280.1971440001</v>
      </c>
      <c r="AC388" s="6">
        <f>$M$388*$W$388</f>
        <v>0</v>
      </c>
      <c r="AD388" s="6">
        <f>$O$388*$X$388</f>
        <v>0</v>
      </c>
      <c r="AE388" s="6">
        <f ca="1">$K$388*$Y$388</f>
        <v>1256538.0637038611</v>
      </c>
      <c r="AF388" s="6">
        <f ca="1">$M$388*$Z$388</f>
        <v>0</v>
      </c>
      <c r="AG388" s="6">
        <f>$O$388*$AA$388</f>
        <v>0</v>
      </c>
    </row>
    <row r="389" spans="1:33" ht="11.25" customHeight="1" x14ac:dyDescent="0.25">
      <c r="A389" s="4" t="s">
        <v>21</v>
      </c>
      <c r="B389" s="4" t="s">
        <v>35</v>
      </c>
      <c r="C389" s="4" t="s">
        <v>44</v>
      </c>
      <c r="D389" s="4" t="s">
        <v>42</v>
      </c>
      <c r="E389" s="4" t="s">
        <v>25</v>
      </c>
      <c r="F389" s="4" t="s">
        <v>62</v>
      </c>
      <c r="G389" s="4" t="s">
        <v>25</v>
      </c>
      <c r="H389" s="4" t="s">
        <v>37</v>
      </c>
      <c r="I389" s="5">
        <v>44228</v>
      </c>
      <c r="J389" s="6">
        <v>47096</v>
      </c>
      <c r="K389" s="6">
        <v>23759.932000000001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4" t="s">
        <v>60</v>
      </c>
      <c r="R389" s="4">
        <v>0</v>
      </c>
      <c r="S389" s="6">
        <v>28</v>
      </c>
      <c r="T389" s="6">
        <v>0</v>
      </c>
      <c r="U389" s="6">
        <v>0</v>
      </c>
      <c r="V389" s="6">
        <f>IF(ISERROR(VLOOKUP($S$389,'TAR FIN'!$A$1:$O$95,15,0)),0,VLOOKUP($S$389,'TAR FIN'!$A$1:$O$95,15,0))</f>
        <v>52.99</v>
      </c>
      <c r="W389" s="6">
        <f>IF(ISERROR(VLOOKUP($T$389,'TAR FIN'!$A$1:$O$95,15,0)),0,VLOOKUP($T$389,'TAR FIN'!$A$1:$O$95,15,0))</f>
        <v>0</v>
      </c>
      <c r="X389" s="6">
        <f>IF(ISERROR(VLOOKUP($U$389,'TAR FIN'!$A$1:$O$95,15,0)),0,VLOOKUP($U$389,'TAR FIN'!$A$1:$O$95,15,0))</f>
        <v>0</v>
      </c>
      <c r="Y389" s="6">
        <f ca="1">('TUSD BE'!$AM$10+'TUSD BF'!$AM$10+'TUSD CVA'!$AM$10)*1</f>
        <v>59.276351675174958</v>
      </c>
      <c r="Z389" s="6">
        <f ca="1">('TUSD BE'!$AM$12+'TUSD BF'!$AM$12+'TUSD CVA'!$AM$12)*1</f>
        <v>168.51338132937991</v>
      </c>
      <c r="AA389" s="6"/>
      <c r="AB389" s="6">
        <f>$K$389*$V$389</f>
        <v>1259038.7966800001</v>
      </c>
      <c r="AC389" s="6">
        <f>$M$389*$W$389</f>
        <v>0</v>
      </c>
      <c r="AD389" s="6">
        <f>$O$389*$X$389</f>
        <v>0</v>
      </c>
      <c r="AE389" s="6">
        <f ca="1">$K$389*$Y$389</f>
        <v>1408402.0850102431</v>
      </c>
      <c r="AF389" s="6">
        <f ca="1">$M$389*$Z$389</f>
        <v>0</v>
      </c>
      <c r="AG389" s="6">
        <f>$O$389*$AA$389</f>
        <v>0</v>
      </c>
    </row>
    <row r="390" spans="1:33" ht="11.25" customHeight="1" x14ac:dyDescent="0.25">
      <c r="A390" s="4" t="s">
        <v>21</v>
      </c>
      <c r="B390" s="4" t="s">
        <v>35</v>
      </c>
      <c r="C390" s="4" t="s">
        <v>44</v>
      </c>
      <c r="D390" s="4" t="s">
        <v>42</v>
      </c>
      <c r="E390" s="4" t="s">
        <v>25</v>
      </c>
      <c r="F390" s="4" t="s">
        <v>62</v>
      </c>
      <c r="G390" s="4" t="s">
        <v>25</v>
      </c>
      <c r="H390" s="4" t="s">
        <v>37</v>
      </c>
      <c r="I390" s="5">
        <v>44256</v>
      </c>
      <c r="J390" s="6">
        <v>47824</v>
      </c>
      <c r="K390" s="6">
        <v>24122.425599999999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4" t="s">
        <v>60</v>
      </c>
      <c r="R390" s="4">
        <v>0</v>
      </c>
      <c r="S390" s="6">
        <v>28</v>
      </c>
      <c r="T390" s="6">
        <v>0</v>
      </c>
      <c r="U390" s="6">
        <v>0</v>
      </c>
      <c r="V390" s="6">
        <f>IF(ISERROR(VLOOKUP($S$390,'TAR FIN'!$A$1:$O$95,15,0)),0,VLOOKUP($S$390,'TAR FIN'!$A$1:$O$95,15,0))</f>
        <v>52.99</v>
      </c>
      <c r="W390" s="6">
        <f>IF(ISERROR(VLOOKUP($T$390,'TAR FIN'!$A$1:$O$95,15,0)),0,VLOOKUP($T$390,'TAR FIN'!$A$1:$O$95,15,0))</f>
        <v>0</v>
      </c>
      <c r="X390" s="6">
        <f>IF(ISERROR(VLOOKUP($U$390,'TAR FIN'!$A$1:$O$95,15,0)),0,VLOOKUP($U$390,'TAR FIN'!$A$1:$O$95,15,0))</f>
        <v>0</v>
      </c>
      <c r="Y390" s="6">
        <f ca="1">('TUSD BE'!$AM$10+'TUSD BF'!$AM$10+'TUSD CVA'!$AM$10)*1</f>
        <v>59.276351675174958</v>
      </c>
      <c r="Z390" s="6">
        <f ca="1">('TUSD BE'!$AM$12+'TUSD BF'!$AM$12+'TUSD CVA'!$AM$12)*1</f>
        <v>168.51338132937991</v>
      </c>
      <c r="AA390" s="6"/>
      <c r="AB390" s="6">
        <f>$K$390*$V$390</f>
        <v>1278247.3325439999</v>
      </c>
      <c r="AC390" s="6">
        <f>$M$390*$W$390</f>
        <v>0</v>
      </c>
      <c r="AD390" s="6">
        <f>$O$390*$X$390</f>
        <v>0</v>
      </c>
      <c r="AE390" s="6">
        <f ca="1">$K$390*$Y$390</f>
        <v>1429889.3831238432</v>
      </c>
      <c r="AF390" s="6">
        <f ca="1">$M$390*$Z$390</f>
        <v>0</v>
      </c>
      <c r="AG390" s="6">
        <f>$O$390*$AA$390</f>
        <v>0</v>
      </c>
    </row>
    <row r="391" spans="1:33" ht="11.25" customHeight="1" x14ac:dyDescent="0.25">
      <c r="A391" s="4" t="s">
        <v>21</v>
      </c>
      <c r="B391" s="4" t="s">
        <v>35</v>
      </c>
      <c r="C391" s="4" t="s">
        <v>44</v>
      </c>
      <c r="D391" s="4" t="s">
        <v>42</v>
      </c>
      <c r="E391" s="4" t="s">
        <v>25</v>
      </c>
      <c r="F391" s="4" t="s">
        <v>62</v>
      </c>
      <c r="G391" s="4" t="s">
        <v>25</v>
      </c>
      <c r="H391" s="4" t="s">
        <v>37</v>
      </c>
      <c r="I391" s="5">
        <v>44287</v>
      </c>
      <c r="J391" s="6">
        <v>48502</v>
      </c>
      <c r="K391" s="6">
        <v>24425.607199999999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4" t="s">
        <v>60</v>
      </c>
      <c r="R391" s="4">
        <v>0</v>
      </c>
      <c r="S391" s="6">
        <v>28</v>
      </c>
      <c r="T391" s="6">
        <v>0</v>
      </c>
      <c r="U391" s="6">
        <v>0</v>
      </c>
      <c r="V391" s="6">
        <f>IF(ISERROR(VLOOKUP($S$391,'TAR FIN'!$A$1:$O$95,15,0)),0,VLOOKUP($S$391,'TAR FIN'!$A$1:$O$95,15,0))</f>
        <v>52.99</v>
      </c>
      <c r="W391" s="6">
        <f>IF(ISERROR(VLOOKUP($T$391,'TAR FIN'!$A$1:$O$95,15,0)),0,VLOOKUP($T$391,'TAR FIN'!$A$1:$O$95,15,0))</f>
        <v>0</v>
      </c>
      <c r="X391" s="6">
        <f>IF(ISERROR(VLOOKUP($U$391,'TAR FIN'!$A$1:$O$95,15,0)),0,VLOOKUP($U$391,'TAR FIN'!$A$1:$O$95,15,0))</f>
        <v>0</v>
      </c>
      <c r="Y391" s="6">
        <f ca="1">('TUSD BE'!$AM$10+'TUSD BF'!$AM$10+'TUSD CVA'!$AM$10)*1</f>
        <v>59.276351675174958</v>
      </c>
      <c r="Z391" s="6">
        <f ca="1">('TUSD BE'!$AM$12+'TUSD BF'!$AM$12+'TUSD CVA'!$AM$12)*1</f>
        <v>168.51338132937991</v>
      </c>
      <c r="AA391" s="6"/>
      <c r="AB391" s="6">
        <f>$K$391*$V$391</f>
        <v>1294312.9255279999</v>
      </c>
      <c r="AC391" s="6">
        <f>$M$391*$W$391</f>
        <v>0</v>
      </c>
      <c r="AD391" s="6">
        <f>$O$391*$X$391</f>
        <v>0</v>
      </c>
      <c r="AE391" s="6">
        <f ca="1">$K$391*$Y$391</f>
        <v>1447860.8822668854</v>
      </c>
      <c r="AF391" s="6">
        <f ca="1">$M$391*$Z$391</f>
        <v>0</v>
      </c>
      <c r="AG391" s="6">
        <f>$O$391*$AA$391</f>
        <v>0</v>
      </c>
    </row>
    <row r="392" spans="1:33" ht="11.25" customHeight="1" x14ac:dyDescent="0.25">
      <c r="A392" s="4" t="s">
        <v>21</v>
      </c>
      <c r="B392" s="4" t="s">
        <v>35</v>
      </c>
      <c r="C392" s="4" t="s">
        <v>44</v>
      </c>
      <c r="D392" s="4" t="s">
        <v>42</v>
      </c>
      <c r="E392" s="4" t="s">
        <v>25</v>
      </c>
      <c r="F392" s="4" t="s">
        <v>62</v>
      </c>
      <c r="G392" s="4" t="s">
        <v>25</v>
      </c>
      <c r="H392" s="4" t="s">
        <v>37</v>
      </c>
      <c r="I392" s="5">
        <v>44317</v>
      </c>
      <c r="J392" s="6">
        <v>49206</v>
      </c>
      <c r="K392" s="6">
        <v>24809.665199999999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4" t="s">
        <v>60</v>
      </c>
      <c r="R392" s="4">
        <v>0</v>
      </c>
      <c r="S392" s="6">
        <v>28</v>
      </c>
      <c r="T392" s="6">
        <v>0</v>
      </c>
      <c r="U392" s="6">
        <v>0</v>
      </c>
      <c r="V392" s="6">
        <f>IF(ISERROR(VLOOKUP($S$392,'TAR FIN'!$A$1:$O$95,15,0)),0,VLOOKUP($S$392,'TAR FIN'!$A$1:$O$95,15,0))</f>
        <v>52.99</v>
      </c>
      <c r="W392" s="6">
        <f>IF(ISERROR(VLOOKUP($T$392,'TAR FIN'!$A$1:$O$95,15,0)),0,VLOOKUP($T$392,'TAR FIN'!$A$1:$O$95,15,0))</f>
        <v>0</v>
      </c>
      <c r="X392" s="6">
        <f>IF(ISERROR(VLOOKUP($U$392,'TAR FIN'!$A$1:$O$95,15,0)),0,VLOOKUP($U$392,'TAR FIN'!$A$1:$O$95,15,0))</f>
        <v>0</v>
      </c>
      <c r="Y392" s="6">
        <f ca="1">('TUSD BE'!$AM$10+'TUSD BF'!$AM$10+'TUSD CVA'!$AM$10)*1</f>
        <v>59.276351675174958</v>
      </c>
      <c r="Z392" s="6">
        <f ca="1">('TUSD BE'!$AM$12+'TUSD BF'!$AM$12+'TUSD CVA'!$AM$12)*1</f>
        <v>168.51338132937991</v>
      </c>
      <c r="AA392" s="6"/>
      <c r="AB392" s="6">
        <f>$K$392*$V$392</f>
        <v>1314664.1589480001</v>
      </c>
      <c r="AC392" s="6">
        <f>$M$392*$W$392</f>
        <v>0</v>
      </c>
      <c r="AD392" s="6">
        <f>$O$392*$X$392</f>
        <v>0</v>
      </c>
      <c r="AE392" s="6">
        <f ca="1">$K$392*$Y$392</f>
        <v>1470626.4393385497</v>
      </c>
      <c r="AF392" s="6">
        <f ca="1">$M$392*$Z$392</f>
        <v>0</v>
      </c>
      <c r="AG392" s="6">
        <f>$O$392*$AA$392</f>
        <v>0</v>
      </c>
    </row>
    <row r="393" spans="1:33" ht="11.25" customHeight="1" x14ac:dyDescent="0.25">
      <c r="A393" s="4" t="s">
        <v>21</v>
      </c>
      <c r="B393" s="4" t="s">
        <v>35</v>
      </c>
      <c r="C393" s="4" t="s">
        <v>44</v>
      </c>
      <c r="D393" s="4" t="s">
        <v>42</v>
      </c>
      <c r="E393" s="4" t="s">
        <v>25</v>
      </c>
      <c r="F393" s="4" t="s">
        <v>62</v>
      </c>
      <c r="G393" s="4" t="s">
        <v>25</v>
      </c>
      <c r="H393" s="4" t="s">
        <v>37</v>
      </c>
      <c r="I393" s="5">
        <v>44348</v>
      </c>
      <c r="J393" s="6">
        <v>39704</v>
      </c>
      <c r="K393" s="6">
        <v>21197.9656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4" t="s">
        <v>60</v>
      </c>
      <c r="R393" s="4">
        <v>0</v>
      </c>
      <c r="S393" s="6">
        <v>28</v>
      </c>
      <c r="T393" s="6">
        <v>0</v>
      </c>
      <c r="U393" s="6">
        <v>0</v>
      </c>
      <c r="V393" s="6">
        <f>IF(ISERROR(VLOOKUP($S$393,'TAR FIN'!$A$1:$O$95,15,0)),0,VLOOKUP($S$393,'TAR FIN'!$A$1:$O$95,15,0))</f>
        <v>52.99</v>
      </c>
      <c r="W393" s="6">
        <f>IF(ISERROR(VLOOKUP($T$393,'TAR FIN'!$A$1:$O$95,15,0)),0,VLOOKUP($T$393,'TAR FIN'!$A$1:$O$95,15,0))</f>
        <v>0</v>
      </c>
      <c r="X393" s="6">
        <f>IF(ISERROR(VLOOKUP($U$393,'TAR FIN'!$A$1:$O$95,15,0)),0,VLOOKUP($U$393,'TAR FIN'!$A$1:$O$95,15,0))</f>
        <v>0</v>
      </c>
      <c r="Y393" s="6">
        <f ca="1">('TUSD BE'!$AM$10+'TUSD BF'!$AM$10+'TUSD CVA'!$AM$10)*1</f>
        <v>59.276351675174958</v>
      </c>
      <c r="Z393" s="6">
        <f ca="1">('TUSD BE'!$AM$12+'TUSD BF'!$AM$12+'TUSD CVA'!$AM$12)*1</f>
        <v>168.51338132937991</v>
      </c>
      <c r="AA393" s="6"/>
      <c r="AB393" s="6">
        <f>$K$393*$V$393</f>
        <v>1123280.1971440001</v>
      </c>
      <c r="AC393" s="6">
        <f>$M$393*$W$393</f>
        <v>0</v>
      </c>
      <c r="AD393" s="6">
        <f>$O$393*$X$393</f>
        <v>0</v>
      </c>
      <c r="AE393" s="6">
        <f ca="1">$K$393*$Y$393</f>
        <v>1256538.0637038611</v>
      </c>
      <c r="AF393" s="6">
        <f ca="1">$M$393*$Z$393</f>
        <v>0</v>
      </c>
      <c r="AG393" s="6">
        <f>$O$393*$AA$393</f>
        <v>0</v>
      </c>
    </row>
    <row r="394" spans="1:33" ht="11.25" customHeight="1" x14ac:dyDescent="0.25">
      <c r="A394" s="4" t="s">
        <v>21</v>
      </c>
      <c r="B394" s="4" t="s">
        <v>35</v>
      </c>
      <c r="C394" s="4" t="s">
        <v>44</v>
      </c>
      <c r="D394" s="4" t="s">
        <v>42</v>
      </c>
      <c r="E394" s="4" t="s">
        <v>25</v>
      </c>
      <c r="F394" s="4" t="s">
        <v>62</v>
      </c>
      <c r="G394" s="4" t="s">
        <v>25</v>
      </c>
      <c r="H394" s="4" t="s">
        <v>37</v>
      </c>
      <c r="I394" s="5">
        <v>44378</v>
      </c>
      <c r="J394" s="6">
        <v>50383</v>
      </c>
      <c r="K394" s="6">
        <v>24949.661599999999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4" t="s">
        <v>60</v>
      </c>
      <c r="R394" s="4">
        <v>0</v>
      </c>
      <c r="S394" s="6">
        <v>28</v>
      </c>
      <c r="T394" s="6">
        <v>0</v>
      </c>
      <c r="U394" s="6">
        <v>0</v>
      </c>
      <c r="V394" s="6">
        <f>IF(ISERROR(VLOOKUP($S$394,'TAR FIN'!$A$1:$O$95,15,0)),0,VLOOKUP($S$394,'TAR FIN'!$A$1:$O$95,15,0))</f>
        <v>52.99</v>
      </c>
      <c r="W394" s="6">
        <f>IF(ISERROR(VLOOKUP($T$394,'TAR FIN'!$A$1:$O$95,15,0)),0,VLOOKUP($T$394,'TAR FIN'!$A$1:$O$95,15,0))</f>
        <v>0</v>
      </c>
      <c r="X394" s="6">
        <f>IF(ISERROR(VLOOKUP($U$394,'TAR FIN'!$A$1:$O$95,15,0)),0,VLOOKUP($U$394,'TAR FIN'!$A$1:$O$95,15,0))</f>
        <v>0</v>
      </c>
      <c r="Y394" s="6">
        <f ca="1">('TUSD BE'!$AM$10+'TUSD BF'!$AM$10+'TUSD CVA'!$AM$10)*1</f>
        <v>59.276351675174958</v>
      </c>
      <c r="Z394" s="6">
        <f ca="1">('TUSD BE'!$AM$12+'TUSD BF'!$AM$12+'TUSD CVA'!$AM$12)*1</f>
        <v>168.51338132937991</v>
      </c>
      <c r="AA394" s="6"/>
      <c r="AB394" s="6">
        <f>$K$394*$V$394</f>
        <v>1322082.568184</v>
      </c>
      <c r="AC394" s="6">
        <f>$M$394*$W$394</f>
        <v>0</v>
      </c>
      <c r="AD394" s="6">
        <f>$O$394*$X$394</f>
        <v>0</v>
      </c>
      <c r="AE394" s="6">
        <f ca="1">$K$394*$Y$394</f>
        <v>1478924.9151782084</v>
      </c>
      <c r="AF394" s="6">
        <f ca="1">$M$394*$Z$394</f>
        <v>0</v>
      </c>
      <c r="AG394" s="6">
        <f>$O$394*$AA$394</f>
        <v>0</v>
      </c>
    </row>
    <row r="395" spans="1:33" ht="11.25" customHeight="1" x14ac:dyDescent="0.25">
      <c r="A395" s="4" t="s">
        <v>21</v>
      </c>
      <c r="B395" s="4" t="s">
        <v>35</v>
      </c>
      <c r="C395" s="4" t="s">
        <v>44</v>
      </c>
      <c r="D395" s="4" t="s">
        <v>42</v>
      </c>
      <c r="E395" s="4" t="s">
        <v>25</v>
      </c>
      <c r="F395" s="4" t="s">
        <v>62</v>
      </c>
      <c r="G395" s="4" t="s">
        <v>25</v>
      </c>
      <c r="H395" s="4" t="s">
        <v>37</v>
      </c>
      <c r="I395" s="5">
        <v>44409</v>
      </c>
      <c r="J395" s="6">
        <v>48876</v>
      </c>
      <c r="K395" s="6">
        <v>25361.756399999998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4" t="s">
        <v>60</v>
      </c>
      <c r="R395" s="4">
        <v>0</v>
      </c>
      <c r="S395" s="6">
        <v>28</v>
      </c>
      <c r="T395" s="6">
        <v>0</v>
      </c>
      <c r="U395" s="6">
        <v>0</v>
      </c>
      <c r="V395" s="6">
        <f>IF(ISERROR(VLOOKUP($S$395,'TAR FIN'!$A$1:$O$95,15,0)),0,VLOOKUP($S$395,'TAR FIN'!$A$1:$O$95,15,0))</f>
        <v>52.99</v>
      </c>
      <c r="W395" s="6">
        <f>IF(ISERROR(VLOOKUP($T$395,'TAR FIN'!$A$1:$O$95,15,0)),0,VLOOKUP($T$395,'TAR FIN'!$A$1:$O$95,15,0))</f>
        <v>0</v>
      </c>
      <c r="X395" s="6">
        <f>IF(ISERROR(VLOOKUP($U$395,'TAR FIN'!$A$1:$O$95,15,0)),0,VLOOKUP($U$395,'TAR FIN'!$A$1:$O$95,15,0))</f>
        <v>0</v>
      </c>
      <c r="Y395" s="6">
        <f ca="1">('TUSD BE'!$AM$10+'TUSD BF'!$AM$10+'TUSD CVA'!$AM$10)*1</f>
        <v>59.276351675174958</v>
      </c>
      <c r="Z395" s="6">
        <f ca="1">('TUSD BE'!$AM$12+'TUSD BF'!$AM$12+'TUSD CVA'!$AM$12)*1</f>
        <v>168.51338132937991</v>
      </c>
      <c r="AA395" s="6"/>
      <c r="AB395" s="6">
        <f>$K$395*$V$395</f>
        <v>1343919.4716359999</v>
      </c>
      <c r="AC395" s="6">
        <f>$M$395*$W$395</f>
        <v>0</v>
      </c>
      <c r="AD395" s="6">
        <f>$O$395*$X$395</f>
        <v>0</v>
      </c>
      <c r="AE395" s="6">
        <f ca="1">$K$395*$Y$395</f>
        <v>1503352.3914665191</v>
      </c>
      <c r="AF395" s="6">
        <f ca="1">$M$395*$Z$395</f>
        <v>0</v>
      </c>
      <c r="AG395" s="6">
        <f>$O$395*$AA$395</f>
        <v>0</v>
      </c>
    </row>
    <row r="396" spans="1:33" ht="11.25" customHeight="1" x14ac:dyDescent="0.25">
      <c r="A396" s="4" t="s">
        <v>21</v>
      </c>
      <c r="B396" s="4" t="s">
        <v>35</v>
      </c>
      <c r="C396" s="4" t="s">
        <v>44</v>
      </c>
      <c r="D396" s="4" t="s">
        <v>42</v>
      </c>
      <c r="E396" s="4" t="s">
        <v>25</v>
      </c>
      <c r="F396" s="4" t="s">
        <v>62</v>
      </c>
      <c r="G396" s="4" t="s">
        <v>25</v>
      </c>
      <c r="H396" s="4" t="s">
        <v>37</v>
      </c>
      <c r="I396" s="5">
        <v>44440</v>
      </c>
      <c r="J396" s="6">
        <v>50775</v>
      </c>
      <c r="K396" s="6">
        <v>22853.827499999999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4" t="s">
        <v>60</v>
      </c>
      <c r="R396" s="4">
        <v>0</v>
      </c>
      <c r="S396" s="6">
        <v>28</v>
      </c>
      <c r="T396" s="6">
        <v>0</v>
      </c>
      <c r="U396" s="6">
        <v>0</v>
      </c>
      <c r="V396" s="6">
        <f>IF(ISERROR(VLOOKUP($S$396,'TAR FIN'!$A$1:$O$95,15,0)),0,VLOOKUP($S$396,'TAR FIN'!$A$1:$O$95,15,0))</f>
        <v>52.99</v>
      </c>
      <c r="W396" s="6">
        <f>IF(ISERROR(VLOOKUP($T$396,'TAR FIN'!$A$1:$O$95,15,0)),0,VLOOKUP($T$396,'TAR FIN'!$A$1:$O$95,15,0))</f>
        <v>0</v>
      </c>
      <c r="X396" s="6">
        <f>IF(ISERROR(VLOOKUP($U$396,'TAR FIN'!$A$1:$O$95,15,0)),0,VLOOKUP($U$396,'TAR FIN'!$A$1:$O$95,15,0))</f>
        <v>0</v>
      </c>
      <c r="Y396" s="6">
        <f ca="1">('TUSD BE'!$AM$10+'TUSD BF'!$AM$10+'TUSD CVA'!$AM$10)*1</f>
        <v>59.276351675174958</v>
      </c>
      <c r="Z396" s="6">
        <f ca="1">('TUSD BE'!$AM$12+'TUSD BF'!$AM$12+'TUSD CVA'!$AM$12)*1</f>
        <v>168.51338132937991</v>
      </c>
      <c r="AA396" s="6"/>
      <c r="AB396" s="6">
        <f>$K$396*$V$396</f>
        <v>1211024.319225</v>
      </c>
      <c r="AC396" s="6">
        <f>$M$396*$W$396</f>
        <v>0</v>
      </c>
      <c r="AD396" s="6">
        <f>$O$396*$X$396</f>
        <v>0</v>
      </c>
      <c r="AE396" s="6">
        <f ca="1">$K$396*$Y$396</f>
        <v>1354691.5160137846</v>
      </c>
      <c r="AF396" s="6">
        <f ca="1">$M$396*$Z$396</f>
        <v>0</v>
      </c>
      <c r="AG396" s="6">
        <f>$O$396*$AA$396</f>
        <v>0</v>
      </c>
    </row>
    <row r="397" spans="1:33" ht="11.25" customHeight="1" x14ac:dyDescent="0.25">
      <c r="A397" s="4" t="s">
        <v>59</v>
      </c>
      <c r="B397" s="4" t="s">
        <v>35</v>
      </c>
      <c r="C397" s="4" t="s">
        <v>44</v>
      </c>
      <c r="D397" s="4" t="s">
        <v>42</v>
      </c>
      <c r="E397" s="4" t="s">
        <v>25</v>
      </c>
      <c r="F397" s="4" t="s">
        <v>62</v>
      </c>
      <c r="G397" s="4" t="s">
        <v>25</v>
      </c>
      <c r="H397" s="4" t="s">
        <v>37</v>
      </c>
      <c r="I397" s="5">
        <v>44470</v>
      </c>
      <c r="J397" s="6">
        <v>50775</v>
      </c>
      <c r="K397" s="6">
        <v>22853.827499999999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4" t="s">
        <v>60</v>
      </c>
      <c r="R397" s="4">
        <v>0</v>
      </c>
      <c r="S397" s="6">
        <v>28</v>
      </c>
      <c r="T397" s="6">
        <v>0</v>
      </c>
      <c r="U397" s="6">
        <v>0</v>
      </c>
      <c r="V397" s="6">
        <f>IF(ISERROR(VLOOKUP($S$397,'TAR FIN'!$A$1:$O$95,15,0)),0,VLOOKUP($S$397,'TAR FIN'!$A$1:$O$95,15,0))</f>
        <v>52.99</v>
      </c>
      <c r="W397" s="6">
        <f>IF(ISERROR(VLOOKUP($T$397,'TAR FIN'!$A$1:$O$95,15,0)),0,VLOOKUP($T$397,'TAR FIN'!$A$1:$O$95,15,0))</f>
        <v>0</v>
      </c>
      <c r="X397" s="6">
        <f>IF(ISERROR(VLOOKUP($U$397,'TAR FIN'!$A$1:$O$95,15,0)),0,VLOOKUP($U$397,'TAR FIN'!$A$1:$O$95,15,0))</f>
        <v>0</v>
      </c>
      <c r="Y397" s="6">
        <f ca="1">('TUSD BE'!$AM$10+'TUSD BF'!$AM$10+'TUSD CVA'!$AM$10)*1</f>
        <v>59.276351675174958</v>
      </c>
      <c r="Z397" s="6">
        <f ca="1">('TUSD BE'!$AM$12+'TUSD BF'!$AM$12+'TUSD CVA'!$AM$12)*1</f>
        <v>168.51338132937991</v>
      </c>
      <c r="AA397" s="6"/>
      <c r="AB397" s="6">
        <f>$K$397*$V$397</f>
        <v>1211024.319225</v>
      </c>
      <c r="AC397" s="6">
        <f>$M$397*$W$397</f>
        <v>0</v>
      </c>
      <c r="AD397" s="6">
        <f>$O$397*$X$397</f>
        <v>0</v>
      </c>
      <c r="AE397" s="6">
        <f ca="1">$K$397*$Y$397</f>
        <v>1354691.5160137846</v>
      </c>
      <c r="AF397" s="6">
        <f ca="1">$M$397*$Z$397</f>
        <v>0</v>
      </c>
      <c r="AG397" s="6">
        <f>$O$397*$AA$397</f>
        <v>0</v>
      </c>
    </row>
    <row r="398" spans="1:33" ht="11.25" customHeight="1" x14ac:dyDescent="0.25">
      <c r="A398" s="4" t="s">
        <v>21</v>
      </c>
      <c r="B398" s="4" t="s">
        <v>35</v>
      </c>
      <c r="C398" s="4" t="s">
        <v>44</v>
      </c>
      <c r="D398" s="4" t="s">
        <v>42</v>
      </c>
      <c r="E398" s="4" t="s">
        <v>25</v>
      </c>
      <c r="F398" s="4" t="s">
        <v>25</v>
      </c>
      <c r="G398" s="4" t="s">
        <v>25</v>
      </c>
      <c r="H398" s="4" t="s">
        <v>38</v>
      </c>
      <c r="I398" s="5">
        <v>44136</v>
      </c>
      <c r="J398" s="6">
        <v>26105</v>
      </c>
      <c r="K398" s="6">
        <v>26105</v>
      </c>
      <c r="L398" s="6">
        <v>6974.1930000000002</v>
      </c>
      <c r="M398" s="6">
        <v>6974.1930000000002</v>
      </c>
      <c r="N398" s="6">
        <v>6974.1930000000002</v>
      </c>
      <c r="O398" s="6">
        <v>6974.1930000000002</v>
      </c>
      <c r="P398" s="6">
        <v>0</v>
      </c>
      <c r="Q398" s="4" t="s">
        <v>26</v>
      </c>
      <c r="R398" s="4">
        <v>0</v>
      </c>
      <c r="S398" s="6">
        <v>29</v>
      </c>
      <c r="T398" s="6">
        <v>30</v>
      </c>
      <c r="U398" s="6">
        <v>67</v>
      </c>
      <c r="V398" s="6">
        <f>IF(ISERROR(VLOOKUP($S$398,'TAR FIN'!$A$1:$O$95,15,0)),0,VLOOKUP($S$398,'TAR FIN'!$A$1:$O$95,15,0))</f>
        <v>28.57</v>
      </c>
      <c r="W398" s="6">
        <f>IF(ISERROR(VLOOKUP($T$398,'TAR FIN'!$A$1:$O$95,15,0)),0,VLOOKUP($T$398,'TAR FIN'!$A$1:$O$95,15,0))</f>
        <v>149.63</v>
      </c>
      <c r="X398" s="6">
        <f>IF(ISERROR(VLOOKUP($U$398,'TAR FIN'!$A$1:$O$95,15,0)),0,VLOOKUP($U$398,'TAR FIN'!$A$1:$O$95,15,0))</f>
        <v>230.03</v>
      </c>
      <c r="Y398" s="6">
        <f ca="1">('TUSD BE'!$AM$11+'TUSD BF'!$AM$11+'TUSD CVA'!$AM$11)*1</f>
        <v>31.93064187172984</v>
      </c>
      <c r="Z398" s="6">
        <f ca="1">('TUSD BE'!$AM$12+'TUSD BF'!$AM$12+'TUSD CVA'!$AM$12)*1</f>
        <v>168.51338132937991</v>
      </c>
      <c r="AA398" s="6">
        <f>('TE BE'!$AA$8+'TE BF'!$AA$8+'TE CVA'!$AA$8)*1</f>
        <v>282.91739971702214</v>
      </c>
      <c r="AB398" s="6">
        <f>$K$398*$V$398</f>
        <v>745819.85</v>
      </c>
      <c r="AC398" s="6">
        <f>$M$398*$W$398</f>
        <v>1043548.49859</v>
      </c>
      <c r="AD398" s="6">
        <f>$O$398*$X$398</f>
        <v>1604273.61579</v>
      </c>
      <c r="AE398" s="6">
        <f ca="1">$K$398*$Y$398</f>
        <v>833549.40606150753</v>
      </c>
      <c r="AF398" s="6">
        <f ca="1">$M$398*$Z$398</f>
        <v>1175244.8444736921</v>
      </c>
      <c r="AG398" s="6">
        <f>$O$398*$AA$398</f>
        <v>1973120.5486846578</v>
      </c>
    </row>
    <row r="399" spans="1:33" ht="11.25" customHeight="1" x14ac:dyDescent="0.25">
      <c r="A399" s="4" t="s">
        <v>28</v>
      </c>
      <c r="B399" s="4" t="s">
        <v>35</v>
      </c>
      <c r="C399" s="4" t="s">
        <v>44</v>
      </c>
      <c r="D399" s="4" t="s">
        <v>42</v>
      </c>
      <c r="E399" s="4" t="s">
        <v>25</v>
      </c>
      <c r="F399" s="4" t="s">
        <v>25</v>
      </c>
      <c r="G399" s="4" t="s">
        <v>25</v>
      </c>
      <c r="H399" s="4" t="s">
        <v>38</v>
      </c>
      <c r="I399" s="5">
        <v>44136</v>
      </c>
      <c r="J399" s="6">
        <v>2513</v>
      </c>
      <c r="K399" s="6">
        <v>2513</v>
      </c>
      <c r="L399" s="6">
        <v>500.30900000000003</v>
      </c>
      <c r="M399" s="6">
        <v>500.30900000000003</v>
      </c>
      <c r="N399" s="6">
        <v>500.30900000000003</v>
      </c>
      <c r="O399" s="6">
        <v>500.30900000000003</v>
      </c>
      <c r="P399" s="6">
        <v>0</v>
      </c>
      <c r="Q399" s="4" t="s">
        <v>26</v>
      </c>
      <c r="R399" s="4">
        <v>0</v>
      </c>
      <c r="S399" s="6">
        <v>29</v>
      </c>
      <c r="T399" s="6">
        <v>30</v>
      </c>
      <c r="U399" s="6">
        <v>67</v>
      </c>
      <c r="V399" s="6">
        <f>IF(ISERROR(VLOOKUP($S$399,'TAR FIN'!$A$1:$O$95,15,0)),0,VLOOKUP($S$399,'TAR FIN'!$A$1:$O$95,15,0))</f>
        <v>28.57</v>
      </c>
      <c r="W399" s="6">
        <f>IF(ISERROR(VLOOKUP($T$399,'TAR FIN'!$A$1:$O$95,15,0)),0,VLOOKUP($T$399,'TAR FIN'!$A$1:$O$95,15,0))</f>
        <v>149.63</v>
      </c>
      <c r="X399" s="6">
        <f>IF(ISERROR(VLOOKUP($U$399,'TAR FIN'!$A$1:$O$95,15,0)),0,VLOOKUP($U$399,'TAR FIN'!$A$1:$O$95,15,0))</f>
        <v>230.03</v>
      </c>
      <c r="Y399" s="6">
        <f ca="1">('TUSD BE'!$AM$11+'TUSD BF'!$AM$11+'TUSD CVA'!$AM$11)*1</f>
        <v>31.93064187172984</v>
      </c>
      <c r="Z399" s="6">
        <f ca="1">('TUSD BE'!$AM$12+'TUSD BF'!$AM$12+'TUSD CVA'!$AM$12)*1</f>
        <v>168.51338132937991</v>
      </c>
      <c r="AA399" s="6">
        <f>('TE BE'!$AA$8+'TE BF'!$AA$8+'TE CVA'!$AA$8)*1</f>
        <v>282.91739971702214</v>
      </c>
      <c r="AB399" s="6">
        <f>$K$399*$V$399</f>
        <v>71796.41</v>
      </c>
      <c r="AC399" s="6">
        <f>$M$399*$W$399</f>
        <v>74861.235669999995</v>
      </c>
      <c r="AD399" s="6">
        <f>$O$399*$X$399</f>
        <v>115086.07927</v>
      </c>
      <c r="AE399" s="6">
        <f ca="1">$K$399*$Y$399</f>
        <v>80241.703023657086</v>
      </c>
      <c r="AF399" s="6">
        <f ca="1">$M$399*$Z$399</f>
        <v>84308.761299520731</v>
      </c>
      <c r="AG399" s="6">
        <f>$O$399*$AA$399</f>
        <v>141546.12133502364</v>
      </c>
    </row>
    <row r="400" spans="1:33" ht="11.25" customHeight="1" x14ac:dyDescent="0.25">
      <c r="A400" s="4" t="s">
        <v>29</v>
      </c>
      <c r="B400" s="4" t="s">
        <v>35</v>
      </c>
      <c r="C400" s="4" t="s">
        <v>44</v>
      </c>
      <c r="D400" s="4" t="s">
        <v>42</v>
      </c>
      <c r="E400" s="4" t="s">
        <v>25</v>
      </c>
      <c r="F400" s="4" t="s">
        <v>25</v>
      </c>
      <c r="G400" s="4" t="s">
        <v>25</v>
      </c>
      <c r="H400" s="4" t="s">
        <v>38</v>
      </c>
      <c r="I400" s="5">
        <v>44136</v>
      </c>
      <c r="J400" s="6">
        <v>-10097</v>
      </c>
      <c r="K400" s="6">
        <v>-10097</v>
      </c>
      <c r="L400" s="6">
        <v>-13.53</v>
      </c>
      <c r="M400" s="6">
        <v>-13.53</v>
      </c>
      <c r="N400" s="6">
        <v>-13.53</v>
      </c>
      <c r="O400" s="6">
        <v>-13.53</v>
      </c>
      <c r="P400" s="6">
        <v>0</v>
      </c>
      <c r="Q400" s="4" t="s">
        <v>26</v>
      </c>
      <c r="R400" s="4">
        <v>0</v>
      </c>
      <c r="S400" s="6">
        <v>29</v>
      </c>
      <c r="T400" s="6">
        <v>30</v>
      </c>
      <c r="U400" s="6">
        <v>67</v>
      </c>
      <c r="V400" s="6">
        <f>IF(ISERROR(VLOOKUP($S$400,'TAR FIN'!$A$1:$O$95,15,0)),0,VLOOKUP($S$400,'TAR FIN'!$A$1:$O$95,15,0))</f>
        <v>28.57</v>
      </c>
      <c r="W400" s="6">
        <f>IF(ISERROR(VLOOKUP($T$400,'TAR FIN'!$A$1:$O$95,15,0)),0,VLOOKUP($T$400,'TAR FIN'!$A$1:$O$95,15,0))</f>
        <v>149.63</v>
      </c>
      <c r="X400" s="6">
        <f>IF(ISERROR(VLOOKUP($U$400,'TAR FIN'!$A$1:$O$95,15,0)),0,VLOOKUP($U$400,'TAR FIN'!$A$1:$O$95,15,0))</f>
        <v>230.03</v>
      </c>
      <c r="Y400" s="6">
        <f ca="1">('TUSD BE'!$AM$11+'TUSD BF'!$AM$11+'TUSD CVA'!$AM$11)*1</f>
        <v>31.93064187172984</v>
      </c>
      <c r="Z400" s="6">
        <f ca="1">('TUSD BE'!$AM$12+'TUSD BF'!$AM$12+'TUSD CVA'!$AM$12)*1</f>
        <v>168.51338132937991</v>
      </c>
      <c r="AA400" s="6">
        <f>('TE BE'!$AA$8+'TE BF'!$AA$8+'TE CVA'!$AA$8)*1</f>
        <v>282.91739971702214</v>
      </c>
      <c r="AB400" s="6">
        <f>$K$400*$V$400</f>
        <v>-288471.28999999998</v>
      </c>
      <c r="AC400" s="6">
        <f>$M$400*$W$400</f>
        <v>-2024.4938999999999</v>
      </c>
      <c r="AD400" s="6">
        <f>$O$400*$X$400</f>
        <v>-3112.3058999999998</v>
      </c>
      <c r="AE400" s="6">
        <f ca="1">$K$400*$Y$400</f>
        <v>-322403.69097885618</v>
      </c>
      <c r="AF400" s="6">
        <f ca="1">$M$400*$Z$400</f>
        <v>-2279.9860493865099</v>
      </c>
      <c r="AG400" s="6">
        <f>$O$400*$AA$400</f>
        <v>-3827.8724181713092</v>
      </c>
    </row>
    <row r="401" spans="1:33" ht="11.25" customHeight="1" x14ac:dyDescent="0.25">
      <c r="A401" s="4" t="s">
        <v>30</v>
      </c>
      <c r="B401" s="4" t="s">
        <v>35</v>
      </c>
      <c r="C401" s="4" t="s">
        <v>44</v>
      </c>
      <c r="D401" s="4" t="s">
        <v>42</v>
      </c>
      <c r="E401" s="4" t="s">
        <v>25</v>
      </c>
      <c r="F401" s="4" t="s">
        <v>25</v>
      </c>
      <c r="G401" s="4" t="s">
        <v>25</v>
      </c>
      <c r="H401" s="4" t="s">
        <v>38</v>
      </c>
      <c r="I401" s="5">
        <v>44136</v>
      </c>
      <c r="J401" s="6">
        <v>1575</v>
      </c>
      <c r="K401" s="6">
        <v>1575</v>
      </c>
      <c r="L401" s="6">
        <v>720.55200000000002</v>
      </c>
      <c r="M401" s="6">
        <v>720.55200000000002</v>
      </c>
      <c r="N401" s="6">
        <v>720.55200000000002</v>
      </c>
      <c r="O401" s="6">
        <v>720.55200000000002</v>
      </c>
      <c r="P401" s="6">
        <v>0</v>
      </c>
      <c r="Q401" s="4" t="s">
        <v>26</v>
      </c>
      <c r="R401" s="4">
        <v>0</v>
      </c>
      <c r="S401" s="6">
        <v>29</v>
      </c>
      <c r="T401" s="6">
        <v>30</v>
      </c>
      <c r="U401" s="6">
        <v>67</v>
      </c>
      <c r="V401" s="6">
        <f>IF(ISERROR(VLOOKUP($S$401,'TAR FIN'!$A$1:$O$95,15,0)),0,VLOOKUP($S$401,'TAR FIN'!$A$1:$O$95,15,0))</f>
        <v>28.57</v>
      </c>
      <c r="W401" s="6">
        <f>IF(ISERROR(VLOOKUP($T$401,'TAR FIN'!$A$1:$O$95,15,0)),0,VLOOKUP($T$401,'TAR FIN'!$A$1:$O$95,15,0))</f>
        <v>149.63</v>
      </c>
      <c r="X401" s="6">
        <f>IF(ISERROR(VLOOKUP($U$401,'TAR FIN'!$A$1:$O$95,15,0)),0,VLOOKUP($U$401,'TAR FIN'!$A$1:$O$95,15,0))</f>
        <v>230.03</v>
      </c>
      <c r="Y401" s="6">
        <f ca="1">('TUSD BE'!$AM$11+'TUSD BF'!$AM$11+'TUSD CVA'!$AM$11)*1</f>
        <v>31.93064187172984</v>
      </c>
      <c r="Z401" s="6">
        <f ca="1">('TUSD BE'!$AM$12+'TUSD BF'!$AM$12+'TUSD CVA'!$AM$12)*1</f>
        <v>168.51338132937991</v>
      </c>
      <c r="AA401" s="6">
        <f>('TE BE'!$AA$8+'TE BF'!$AA$8+'TE CVA'!$AA$8)*1</f>
        <v>282.91739971702214</v>
      </c>
      <c r="AB401" s="6">
        <f>$K$401*$V$401</f>
        <v>44997.75</v>
      </c>
      <c r="AC401" s="6">
        <f>$M$401*$W$401</f>
        <v>107816.19576</v>
      </c>
      <c r="AD401" s="6">
        <f>$O$401*$X$401</f>
        <v>165748.57656000002</v>
      </c>
      <c r="AE401" s="6">
        <f ca="1">$K$401*$Y$401</f>
        <v>50290.760947974501</v>
      </c>
      <c r="AF401" s="6">
        <f ca="1">$M$401*$Z$401</f>
        <v>121422.65394364735</v>
      </c>
      <c r="AG401" s="6">
        <f>$O$401*$AA$401</f>
        <v>203856.69820089973</v>
      </c>
    </row>
    <row r="402" spans="1:33" ht="11.25" customHeight="1" x14ac:dyDescent="0.25">
      <c r="A402" s="4" t="s">
        <v>21</v>
      </c>
      <c r="B402" s="4" t="s">
        <v>35</v>
      </c>
      <c r="C402" s="4" t="s">
        <v>44</v>
      </c>
      <c r="D402" s="4" t="s">
        <v>42</v>
      </c>
      <c r="E402" s="4" t="s">
        <v>25</v>
      </c>
      <c r="F402" s="4" t="s">
        <v>25</v>
      </c>
      <c r="G402" s="4" t="s">
        <v>25</v>
      </c>
      <c r="H402" s="4" t="s">
        <v>38</v>
      </c>
      <c r="I402" s="5">
        <v>44136</v>
      </c>
      <c r="J402" s="6">
        <v>6113</v>
      </c>
      <c r="K402" s="6">
        <v>6113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4" t="s">
        <v>60</v>
      </c>
      <c r="R402" s="4">
        <v>0</v>
      </c>
      <c r="S402" s="6">
        <v>29</v>
      </c>
      <c r="T402" s="6">
        <v>0</v>
      </c>
      <c r="U402" s="6">
        <v>0</v>
      </c>
      <c r="V402" s="6">
        <f>IF(ISERROR(VLOOKUP($S$402,'TAR FIN'!$A$1:$O$95,15,0)),0,VLOOKUP($S$402,'TAR FIN'!$A$1:$O$95,15,0))</f>
        <v>28.57</v>
      </c>
      <c r="W402" s="6">
        <f>IF(ISERROR(VLOOKUP($T$402,'TAR FIN'!$A$1:$O$95,15,0)),0,VLOOKUP($T$402,'TAR FIN'!$A$1:$O$95,15,0))</f>
        <v>0</v>
      </c>
      <c r="X402" s="6">
        <f>IF(ISERROR(VLOOKUP($U$402,'TAR FIN'!$A$1:$O$95,15,0)),0,VLOOKUP($U$402,'TAR FIN'!$A$1:$O$95,15,0))</f>
        <v>0</v>
      </c>
      <c r="Y402" s="6">
        <f ca="1">('TUSD BE'!$AM$11+'TUSD BF'!$AM$11+'TUSD CVA'!$AM$11)*1</f>
        <v>31.93064187172984</v>
      </c>
      <c r="Z402" s="6">
        <f ca="1">('TUSD BE'!$AM$12+'TUSD BF'!$AM$12+'TUSD CVA'!$AM$12)*1</f>
        <v>168.51338132937991</v>
      </c>
      <c r="AA402" s="6"/>
      <c r="AB402" s="6">
        <f>$K$402*$V$402</f>
        <v>174648.41</v>
      </c>
      <c r="AC402" s="6">
        <f>$M$402*$W$402</f>
        <v>0</v>
      </c>
      <c r="AD402" s="6">
        <f>$O$402*$X$402</f>
        <v>0</v>
      </c>
      <c r="AE402" s="6">
        <f ca="1">$K$402*$Y$402</f>
        <v>195192.0137618845</v>
      </c>
      <c r="AF402" s="6">
        <f ca="1">$M$402*$Z$402</f>
        <v>0</v>
      </c>
      <c r="AG402" s="6">
        <f>$O$402*$AA$402</f>
        <v>0</v>
      </c>
    </row>
    <row r="403" spans="1:33" ht="11.25" customHeight="1" x14ac:dyDescent="0.25">
      <c r="A403" s="4" t="s">
        <v>21</v>
      </c>
      <c r="B403" s="4" t="s">
        <v>35</v>
      </c>
      <c r="C403" s="4" t="s">
        <v>44</v>
      </c>
      <c r="D403" s="4" t="s">
        <v>42</v>
      </c>
      <c r="E403" s="4" t="s">
        <v>25</v>
      </c>
      <c r="F403" s="4" t="s">
        <v>25</v>
      </c>
      <c r="G403" s="4" t="s">
        <v>25</v>
      </c>
      <c r="H403" s="4" t="s">
        <v>38</v>
      </c>
      <c r="I403" s="5">
        <v>44166</v>
      </c>
      <c r="J403" s="6">
        <v>25399</v>
      </c>
      <c r="K403" s="6">
        <v>25399</v>
      </c>
      <c r="L403" s="6">
        <v>6301.9669999999996</v>
      </c>
      <c r="M403" s="6">
        <v>6301.9669999999996</v>
      </c>
      <c r="N403" s="6">
        <v>6301.9669999999996</v>
      </c>
      <c r="O403" s="6">
        <v>6301.9669999999996</v>
      </c>
      <c r="P403" s="6">
        <v>0</v>
      </c>
      <c r="Q403" s="4" t="s">
        <v>26</v>
      </c>
      <c r="R403" s="4">
        <v>0</v>
      </c>
      <c r="S403" s="6">
        <v>29</v>
      </c>
      <c r="T403" s="6">
        <v>30</v>
      </c>
      <c r="U403" s="6">
        <v>67</v>
      </c>
      <c r="V403" s="6">
        <f>IF(ISERROR(VLOOKUP($S$403,'TAR FIN'!$A$1:$O$95,15,0)),0,VLOOKUP($S$403,'TAR FIN'!$A$1:$O$95,15,0))</f>
        <v>28.57</v>
      </c>
      <c r="W403" s="6">
        <f>IF(ISERROR(VLOOKUP($T$403,'TAR FIN'!$A$1:$O$95,15,0)),0,VLOOKUP($T$403,'TAR FIN'!$A$1:$O$95,15,0))</f>
        <v>149.63</v>
      </c>
      <c r="X403" s="6">
        <f>IF(ISERROR(VLOOKUP($U$403,'TAR FIN'!$A$1:$O$95,15,0)),0,VLOOKUP($U$403,'TAR FIN'!$A$1:$O$95,15,0))</f>
        <v>230.03</v>
      </c>
      <c r="Y403" s="6">
        <f ca="1">('TUSD BE'!$AM$11+'TUSD BF'!$AM$11+'TUSD CVA'!$AM$11)*1</f>
        <v>31.93064187172984</v>
      </c>
      <c r="Z403" s="6">
        <f ca="1">('TUSD BE'!$AM$12+'TUSD BF'!$AM$12+'TUSD CVA'!$AM$12)*1</f>
        <v>168.51338132937991</v>
      </c>
      <c r="AA403" s="6">
        <f>('TE BE'!$AA$8+'TE BF'!$AA$8+'TE CVA'!$AA$8)*1</f>
        <v>282.91739971702214</v>
      </c>
      <c r="AB403" s="6">
        <f>$K$403*$V$403</f>
        <v>725649.43</v>
      </c>
      <c r="AC403" s="6">
        <f>$M$403*$W$403</f>
        <v>942963.3222099999</v>
      </c>
      <c r="AD403" s="6">
        <f>$O$403*$X$403</f>
        <v>1449641.4690099999</v>
      </c>
      <c r="AE403" s="6">
        <f ca="1">$K$403*$Y$403</f>
        <v>811006.3729000662</v>
      </c>
      <c r="AF403" s="6">
        <f ca="1">$M$403*$Z$403</f>
        <v>1061965.7681961684</v>
      </c>
      <c r="AG403" s="6">
        <f>$O$403*$AA$403</f>
        <v>1782936.1167424826</v>
      </c>
    </row>
    <row r="404" spans="1:33" ht="11.25" customHeight="1" x14ac:dyDescent="0.25">
      <c r="A404" s="4" t="s">
        <v>27</v>
      </c>
      <c r="B404" s="4" t="s">
        <v>35</v>
      </c>
      <c r="C404" s="4" t="s">
        <v>44</v>
      </c>
      <c r="D404" s="4" t="s">
        <v>42</v>
      </c>
      <c r="E404" s="4" t="s">
        <v>25</v>
      </c>
      <c r="F404" s="4" t="s">
        <v>25</v>
      </c>
      <c r="G404" s="4" t="s">
        <v>25</v>
      </c>
      <c r="H404" s="4" t="s">
        <v>38</v>
      </c>
      <c r="I404" s="5">
        <v>44166</v>
      </c>
      <c r="J404" s="6">
        <v>-500</v>
      </c>
      <c r="K404" s="6">
        <v>-500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4" t="s">
        <v>26</v>
      </c>
      <c r="R404" s="4">
        <v>0</v>
      </c>
      <c r="S404" s="6">
        <v>29</v>
      </c>
      <c r="T404" s="6">
        <v>0</v>
      </c>
      <c r="U404" s="6">
        <v>0</v>
      </c>
      <c r="V404" s="6">
        <f>IF(ISERROR(VLOOKUP($S$404,'TAR FIN'!$A$1:$O$95,15,0)),0,VLOOKUP($S$404,'TAR FIN'!$A$1:$O$95,15,0))</f>
        <v>28.57</v>
      </c>
      <c r="W404" s="6">
        <f>IF(ISERROR(VLOOKUP($T$404,'TAR FIN'!$A$1:$O$95,15,0)),0,VLOOKUP($T$404,'TAR FIN'!$A$1:$O$95,15,0))</f>
        <v>0</v>
      </c>
      <c r="X404" s="6">
        <f>IF(ISERROR(VLOOKUP($U$404,'TAR FIN'!$A$1:$O$95,15,0)),0,VLOOKUP($U$404,'TAR FIN'!$A$1:$O$95,15,0))</f>
        <v>0</v>
      </c>
      <c r="Y404" s="6">
        <f ca="1">('TUSD BE'!$AM$11+'TUSD BF'!$AM$11+'TUSD CVA'!$AM$11)*1</f>
        <v>31.93064187172984</v>
      </c>
      <c r="Z404" s="6">
        <f ca="1">('TUSD BE'!$AM$12+'TUSD BF'!$AM$12+'TUSD CVA'!$AM$12)*1</f>
        <v>168.51338132937991</v>
      </c>
      <c r="AA404" s="6">
        <f>('TE BE'!$AA$8+'TE BF'!$AA$8+'TE CVA'!$AA$8)*1</f>
        <v>282.91739971702214</v>
      </c>
      <c r="AB404" s="6">
        <f>$K$404*$V$404</f>
        <v>-14285</v>
      </c>
      <c r="AC404" s="6">
        <f>$M$404*$W$404</f>
        <v>0</v>
      </c>
      <c r="AD404" s="6">
        <f>$O$404*$X$404</f>
        <v>0</v>
      </c>
      <c r="AE404" s="6">
        <f ca="1">$K$404*$Y$404</f>
        <v>-15965.32093586492</v>
      </c>
      <c r="AF404" s="6">
        <f ca="1">$M$404*$Z$404</f>
        <v>0</v>
      </c>
      <c r="AG404" s="6">
        <f>$O$404*$AA$404</f>
        <v>0</v>
      </c>
    </row>
    <row r="405" spans="1:33" ht="11.25" customHeight="1" x14ac:dyDescent="0.25">
      <c r="A405" s="4" t="s">
        <v>28</v>
      </c>
      <c r="B405" s="4" t="s">
        <v>35</v>
      </c>
      <c r="C405" s="4" t="s">
        <v>44</v>
      </c>
      <c r="D405" s="4" t="s">
        <v>42</v>
      </c>
      <c r="E405" s="4" t="s">
        <v>25</v>
      </c>
      <c r="F405" s="4" t="s">
        <v>25</v>
      </c>
      <c r="G405" s="4" t="s">
        <v>25</v>
      </c>
      <c r="H405" s="4" t="s">
        <v>38</v>
      </c>
      <c r="I405" s="5">
        <v>44166</v>
      </c>
      <c r="J405" s="6">
        <v>2437</v>
      </c>
      <c r="K405" s="6">
        <v>2437</v>
      </c>
      <c r="L405" s="6">
        <v>536.48800000000006</v>
      </c>
      <c r="M405" s="6">
        <v>536.48800000000006</v>
      </c>
      <c r="N405" s="6">
        <v>536.48800000000006</v>
      </c>
      <c r="O405" s="6">
        <v>536.48800000000006</v>
      </c>
      <c r="P405" s="6">
        <v>0</v>
      </c>
      <c r="Q405" s="4" t="s">
        <v>26</v>
      </c>
      <c r="R405" s="4">
        <v>0</v>
      </c>
      <c r="S405" s="6">
        <v>29</v>
      </c>
      <c r="T405" s="6">
        <v>30</v>
      </c>
      <c r="U405" s="6">
        <v>67</v>
      </c>
      <c r="V405" s="6">
        <f>IF(ISERROR(VLOOKUP($S$405,'TAR FIN'!$A$1:$O$95,15,0)),0,VLOOKUP($S$405,'TAR FIN'!$A$1:$O$95,15,0))</f>
        <v>28.57</v>
      </c>
      <c r="W405" s="6">
        <f>IF(ISERROR(VLOOKUP($T$405,'TAR FIN'!$A$1:$O$95,15,0)),0,VLOOKUP($T$405,'TAR FIN'!$A$1:$O$95,15,0))</f>
        <v>149.63</v>
      </c>
      <c r="X405" s="6">
        <f>IF(ISERROR(VLOOKUP($U$405,'TAR FIN'!$A$1:$O$95,15,0)),0,VLOOKUP($U$405,'TAR FIN'!$A$1:$O$95,15,0))</f>
        <v>230.03</v>
      </c>
      <c r="Y405" s="6">
        <f ca="1">('TUSD BE'!$AM$11+'TUSD BF'!$AM$11+'TUSD CVA'!$AM$11)*1</f>
        <v>31.93064187172984</v>
      </c>
      <c r="Z405" s="6">
        <f ca="1">('TUSD BE'!$AM$12+'TUSD BF'!$AM$12+'TUSD CVA'!$AM$12)*1</f>
        <v>168.51338132937991</v>
      </c>
      <c r="AA405" s="6">
        <f>('TE BE'!$AA$8+'TE BF'!$AA$8+'TE CVA'!$AA$8)*1</f>
        <v>282.91739971702214</v>
      </c>
      <c r="AB405" s="6">
        <f>$K$405*$V$405</f>
        <v>69625.09</v>
      </c>
      <c r="AC405" s="6">
        <f>$M$405*$W$405</f>
        <v>80274.699440000011</v>
      </c>
      <c r="AD405" s="6">
        <f>$O$405*$X$405</f>
        <v>123408.33464000002</v>
      </c>
      <c r="AE405" s="6">
        <f ca="1">$K$405*$Y$405</f>
        <v>77814.974241405624</v>
      </c>
      <c r="AF405" s="6">
        <f ca="1">$M$405*$Z$405</f>
        <v>90405.406922636379</v>
      </c>
      <c r="AG405" s="6">
        <f>$O$405*$AA$405</f>
        <v>151781.78993938578</v>
      </c>
    </row>
    <row r="406" spans="1:33" ht="11.25" customHeight="1" x14ac:dyDescent="0.25">
      <c r="A406" s="4" t="s">
        <v>29</v>
      </c>
      <c r="B406" s="4" t="s">
        <v>35</v>
      </c>
      <c r="C406" s="4" t="s">
        <v>44</v>
      </c>
      <c r="D406" s="4" t="s">
        <v>42</v>
      </c>
      <c r="E406" s="4" t="s">
        <v>25</v>
      </c>
      <c r="F406" s="4" t="s">
        <v>25</v>
      </c>
      <c r="G406" s="4" t="s">
        <v>25</v>
      </c>
      <c r="H406" s="4" t="s">
        <v>38</v>
      </c>
      <c r="I406" s="5">
        <v>44166</v>
      </c>
      <c r="J406" s="6">
        <v>-2380</v>
      </c>
      <c r="K406" s="6">
        <v>-2380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4" t="s">
        <v>26</v>
      </c>
      <c r="R406" s="4">
        <v>0</v>
      </c>
      <c r="S406" s="6">
        <v>29</v>
      </c>
      <c r="T406" s="6">
        <v>0</v>
      </c>
      <c r="U406" s="6">
        <v>0</v>
      </c>
      <c r="V406" s="6">
        <f>IF(ISERROR(VLOOKUP($S$406,'TAR FIN'!$A$1:$O$95,15,0)),0,VLOOKUP($S$406,'TAR FIN'!$A$1:$O$95,15,0))</f>
        <v>28.57</v>
      </c>
      <c r="W406" s="6">
        <f>IF(ISERROR(VLOOKUP($T$406,'TAR FIN'!$A$1:$O$95,15,0)),0,VLOOKUP($T$406,'TAR FIN'!$A$1:$O$95,15,0))</f>
        <v>0</v>
      </c>
      <c r="X406" s="6">
        <f>IF(ISERROR(VLOOKUP($U$406,'TAR FIN'!$A$1:$O$95,15,0)),0,VLOOKUP($U$406,'TAR FIN'!$A$1:$O$95,15,0))</f>
        <v>0</v>
      </c>
      <c r="Y406" s="6">
        <f ca="1">('TUSD BE'!$AM$11+'TUSD BF'!$AM$11+'TUSD CVA'!$AM$11)*1</f>
        <v>31.93064187172984</v>
      </c>
      <c r="Z406" s="6">
        <f ca="1">('TUSD BE'!$AM$12+'TUSD BF'!$AM$12+'TUSD CVA'!$AM$12)*1</f>
        <v>168.51338132937991</v>
      </c>
      <c r="AA406" s="6">
        <f>('TE BE'!$AA$8+'TE BF'!$AA$8+'TE CVA'!$AA$8)*1</f>
        <v>282.91739971702214</v>
      </c>
      <c r="AB406" s="6">
        <f>$K$406*$V$406</f>
        <v>-67996.600000000006</v>
      </c>
      <c r="AC406" s="6">
        <f>$M$406*$W$406</f>
        <v>0</v>
      </c>
      <c r="AD406" s="6">
        <f>$O$406*$X$406</f>
        <v>0</v>
      </c>
      <c r="AE406" s="6">
        <f ca="1">$K$406*$Y$406</f>
        <v>-75994.927654717016</v>
      </c>
      <c r="AF406" s="6">
        <f ca="1">$M$406*$Z$406</f>
        <v>0</v>
      </c>
      <c r="AG406" s="6">
        <f>$O$406*$AA$406</f>
        <v>0</v>
      </c>
    </row>
    <row r="407" spans="1:33" ht="11.25" customHeight="1" x14ac:dyDescent="0.25">
      <c r="A407" s="4" t="s">
        <v>30</v>
      </c>
      <c r="B407" s="4" t="s">
        <v>35</v>
      </c>
      <c r="C407" s="4" t="s">
        <v>44</v>
      </c>
      <c r="D407" s="4" t="s">
        <v>42</v>
      </c>
      <c r="E407" s="4" t="s">
        <v>25</v>
      </c>
      <c r="F407" s="4" t="s">
        <v>25</v>
      </c>
      <c r="G407" s="4" t="s">
        <v>25</v>
      </c>
      <c r="H407" s="4" t="s">
        <v>38</v>
      </c>
      <c r="I407" s="5">
        <v>44166</v>
      </c>
      <c r="J407" s="6">
        <v>1614</v>
      </c>
      <c r="K407" s="6">
        <v>1614</v>
      </c>
      <c r="L407" s="6">
        <v>706.03399999999999</v>
      </c>
      <c r="M407" s="6">
        <v>706.03399999999999</v>
      </c>
      <c r="N407" s="6">
        <v>706.03399999999999</v>
      </c>
      <c r="O407" s="6">
        <v>706.03399999999999</v>
      </c>
      <c r="P407" s="6">
        <v>0</v>
      </c>
      <c r="Q407" s="4" t="s">
        <v>26</v>
      </c>
      <c r="R407" s="4">
        <v>0</v>
      </c>
      <c r="S407" s="6">
        <v>29</v>
      </c>
      <c r="T407" s="6">
        <v>30</v>
      </c>
      <c r="U407" s="6">
        <v>67</v>
      </c>
      <c r="V407" s="6">
        <f>IF(ISERROR(VLOOKUP($S$407,'TAR FIN'!$A$1:$O$95,15,0)),0,VLOOKUP($S$407,'TAR FIN'!$A$1:$O$95,15,0))</f>
        <v>28.57</v>
      </c>
      <c r="W407" s="6">
        <f>IF(ISERROR(VLOOKUP($T$407,'TAR FIN'!$A$1:$O$95,15,0)),0,VLOOKUP($T$407,'TAR FIN'!$A$1:$O$95,15,0))</f>
        <v>149.63</v>
      </c>
      <c r="X407" s="6">
        <f>IF(ISERROR(VLOOKUP($U$407,'TAR FIN'!$A$1:$O$95,15,0)),0,VLOOKUP($U$407,'TAR FIN'!$A$1:$O$95,15,0))</f>
        <v>230.03</v>
      </c>
      <c r="Y407" s="6">
        <f ca="1">('TUSD BE'!$AM$11+'TUSD BF'!$AM$11+'TUSD CVA'!$AM$11)*1</f>
        <v>31.93064187172984</v>
      </c>
      <c r="Z407" s="6">
        <f ca="1">('TUSD BE'!$AM$12+'TUSD BF'!$AM$12+'TUSD CVA'!$AM$12)*1</f>
        <v>168.51338132937991</v>
      </c>
      <c r="AA407" s="6">
        <f>('TE BE'!$AA$8+'TE BF'!$AA$8+'TE CVA'!$AA$8)*1</f>
        <v>282.91739971702214</v>
      </c>
      <c r="AB407" s="6">
        <f>$K$407*$V$407</f>
        <v>46111.98</v>
      </c>
      <c r="AC407" s="6">
        <f>$M$407*$W$407</f>
        <v>105643.86742</v>
      </c>
      <c r="AD407" s="6">
        <f>$O$407*$X$407</f>
        <v>162409.00102</v>
      </c>
      <c r="AE407" s="6">
        <f ca="1">$K$407*$Y$407</f>
        <v>51536.055980971963</v>
      </c>
      <c r="AF407" s="6">
        <f ca="1">$M$407*$Z$407</f>
        <v>118976.17667350742</v>
      </c>
      <c r="AG407" s="6">
        <f>$O$407*$AA$407</f>
        <v>199749.303391808</v>
      </c>
    </row>
    <row r="408" spans="1:33" ht="11.25" customHeight="1" x14ac:dyDescent="0.25">
      <c r="A408" s="4" t="s">
        <v>21</v>
      </c>
      <c r="B408" s="4" t="s">
        <v>35</v>
      </c>
      <c r="C408" s="4" t="s">
        <v>44</v>
      </c>
      <c r="D408" s="4" t="s">
        <v>42</v>
      </c>
      <c r="E408" s="4" t="s">
        <v>25</v>
      </c>
      <c r="F408" s="4" t="s">
        <v>25</v>
      </c>
      <c r="G408" s="4" t="s">
        <v>25</v>
      </c>
      <c r="H408" s="4" t="s">
        <v>38</v>
      </c>
      <c r="I408" s="5">
        <v>44166</v>
      </c>
      <c r="J408" s="6">
        <v>6027</v>
      </c>
      <c r="K408" s="6">
        <v>6027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4" t="s">
        <v>60</v>
      </c>
      <c r="R408" s="4">
        <v>0</v>
      </c>
      <c r="S408" s="6">
        <v>29</v>
      </c>
      <c r="T408" s="6">
        <v>0</v>
      </c>
      <c r="U408" s="6">
        <v>0</v>
      </c>
      <c r="V408" s="6">
        <f>IF(ISERROR(VLOOKUP($S$408,'TAR FIN'!$A$1:$O$95,15,0)),0,VLOOKUP($S$408,'TAR FIN'!$A$1:$O$95,15,0))</f>
        <v>28.57</v>
      </c>
      <c r="W408" s="6">
        <f>IF(ISERROR(VLOOKUP($T$408,'TAR FIN'!$A$1:$O$95,15,0)),0,VLOOKUP($T$408,'TAR FIN'!$A$1:$O$95,15,0))</f>
        <v>0</v>
      </c>
      <c r="X408" s="6">
        <f>IF(ISERROR(VLOOKUP($U$408,'TAR FIN'!$A$1:$O$95,15,0)),0,VLOOKUP($U$408,'TAR FIN'!$A$1:$O$95,15,0))</f>
        <v>0</v>
      </c>
      <c r="Y408" s="6">
        <f ca="1">('TUSD BE'!$AM$11+'TUSD BF'!$AM$11+'TUSD CVA'!$AM$11)*1</f>
        <v>31.93064187172984</v>
      </c>
      <c r="Z408" s="6">
        <f ca="1">('TUSD BE'!$AM$12+'TUSD BF'!$AM$12+'TUSD CVA'!$AM$12)*1</f>
        <v>168.51338132937991</v>
      </c>
      <c r="AA408" s="6"/>
      <c r="AB408" s="6">
        <f>$K$408*$V$408</f>
        <v>172191.39</v>
      </c>
      <c r="AC408" s="6">
        <f>$M$408*$W$408</f>
        <v>0</v>
      </c>
      <c r="AD408" s="6">
        <f>$O$408*$X$408</f>
        <v>0</v>
      </c>
      <c r="AE408" s="6">
        <f ca="1">$K$408*$Y$408</f>
        <v>192445.97856091574</v>
      </c>
      <c r="AF408" s="6">
        <f ca="1">$M$408*$Z$408</f>
        <v>0</v>
      </c>
      <c r="AG408" s="6">
        <f>$O$408*$AA$408</f>
        <v>0</v>
      </c>
    </row>
    <row r="409" spans="1:33" ht="11.25" customHeight="1" x14ac:dyDescent="0.25">
      <c r="A409" s="4" t="s">
        <v>21</v>
      </c>
      <c r="B409" s="4" t="s">
        <v>35</v>
      </c>
      <c r="C409" s="4" t="s">
        <v>44</v>
      </c>
      <c r="D409" s="4" t="s">
        <v>42</v>
      </c>
      <c r="E409" s="4" t="s">
        <v>25</v>
      </c>
      <c r="F409" s="4" t="s">
        <v>25</v>
      </c>
      <c r="G409" s="4" t="s">
        <v>25</v>
      </c>
      <c r="H409" s="4" t="s">
        <v>38</v>
      </c>
      <c r="I409" s="5">
        <v>44197</v>
      </c>
      <c r="J409" s="6">
        <v>28271</v>
      </c>
      <c r="K409" s="6">
        <v>28271</v>
      </c>
      <c r="L409" s="6">
        <v>6178.8339999999998</v>
      </c>
      <c r="M409" s="6">
        <v>6178.8339999999998</v>
      </c>
      <c r="N409" s="6">
        <v>6178.8339999999998</v>
      </c>
      <c r="O409" s="6">
        <v>6178.8339999999998</v>
      </c>
      <c r="P409" s="6">
        <v>0</v>
      </c>
      <c r="Q409" s="4" t="s">
        <v>26</v>
      </c>
      <c r="R409" s="4">
        <v>0</v>
      </c>
      <c r="S409" s="6">
        <v>29</v>
      </c>
      <c r="T409" s="6">
        <v>30</v>
      </c>
      <c r="U409" s="6">
        <v>67</v>
      </c>
      <c r="V409" s="6">
        <f>IF(ISERROR(VLOOKUP($S$409,'TAR FIN'!$A$1:$O$95,15,0)),0,VLOOKUP($S$409,'TAR FIN'!$A$1:$O$95,15,0))</f>
        <v>28.57</v>
      </c>
      <c r="W409" s="6">
        <f>IF(ISERROR(VLOOKUP($T$409,'TAR FIN'!$A$1:$O$95,15,0)),0,VLOOKUP($T$409,'TAR FIN'!$A$1:$O$95,15,0))</f>
        <v>149.63</v>
      </c>
      <c r="X409" s="6">
        <f>IF(ISERROR(VLOOKUP($U$409,'TAR FIN'!$A$1:$O$95,15,0)),0,VLOOKUP($U$409,'TAR FIN'!$A$1:$O$95,15,0))</f>
        <v>230.03</v>
      </c>
      <c r="Y409" s="6">
        <f ca="1">('TUSD BE'!$AM$11+'TUSD BF'!$AM$11+'TUSD CVA'!$AM$11)*1</f>
        <v>31.93064187172984</v>
      </c>
      <c r="Z409" s="6">
        <f ca="1">('TUSD BE'!$AM$12+'TUSD BF'!$AM$12+'TUSD CVA'!$AM$12)*1</f>
        <v>168.51338132937991</v>
      </c>
      <c r="AA409" s="6">
        <f>('TE BE'!$AA$8+'TE BF'!$AA$8+'TE CVA'!$AA$8)*1</f>
        <v>282.91739971702214</v>
      </c>
      <c r="AB409" s="6">
        <f>$K$409*$V$409</f>
        <v>807702.47</v>
      </c>
      <c r="AC409" s="6">
        <f>$M$409*$W$409</f>
        <v>924538.93141999992</v>
      </c>
      <c r="AD409" s="6">
        <f>$O$409*$X$409</f>
        <v>1421317.18502</v>
      </c>
      <c r="AE409" s="6">
        <f ca="1">$K$409*$Y$409</f>
        <v>902711.17635567428</v>
      </c>
      <c r="AF409" s="6">
        <f ca="1">$M$409*$Z$409</f>
        <v>1041216.2100129378</v>
      </c>
      <c r="AG409" s="6">
        <f>$O$409*$AA$409</f>
        <v>1748099.6485631268</v>
      </c>
    </row>
    <row r="410" spans="1:33" ht="11.25" customHeight="1" x14ac:dyDescent="0.25">
      <c r="A410" s="4" t="s">
        <v>27</v>
      </c>
      <c r="B410" s="4" t="s">
        <v>35</v>
      </c>
      <c r="C410" s="4" t="s">
        <v>44</v>
      </c>
      <c r="D410" s="4" t="s">
        <v>42</v>
      </c>
      <c r="E410" s="4" t="s">
        <v>25</v>
      </c>
      <c r="F410" s="4" t="s">
        <v>25</v>
      </c>
      <c r="G410" s="4" t="s">
        <v>25</v>
      </c>
      <c r="H410" s="4" t="s">
        <v>38</v>
      </c>
      <c r="I410" s="5">
        <v>44197</v>
      </c>
      <c r="J410" s="6">
        <v>-192</v>
      </c>
      <c r="K410" s="6">
        <v>-192</v>
      </c>
      <c r="L410" s="6">
        <v>-374.08199999999999</v>
      </c>
      <c r="M410" s="6">
        <v>-374.08199999999999</v>
      </c>
      <c r="N410" s="6">
        <v>-374.08199999999999</v>
      </c>
      <c r="O410" s="6">
        <v>-374.08199999999999</v>
      </c>
      <c r="P410" s="6">
        <v>0</v>
      </c>
      <c r="Q410" s="4" t="s">
        <v>26</v>
      </c>
      <c r="R410" s="4">
        <v>0</v>
      </c>
      <c r="S410" s="6">
        <v>29</v>
      </c>
      <c r="T410" s="6">
        <v>30</v>
      </c>
      <c r="U410" s="6">
        <v>67</v>
      </c>
      <c r="V410" s="6">
        <f>IF(ISERROR(VLOOKUP($S$410,'TAR FIN'!$A$1:$O$95,15,0)),0,VLOOKUP($S$410,'TAR FIN'!$A$1:$O$95,15,0))</f>
        <v>28.57</v>
      </c>
      <c r="W410" s="6">
        <f>IF(ISERROR(VLOOKUP($T$410,'TAR FIN'!$A$1:$O$95,15,0)),0,VLOOKUP($T$410,'TAR FIN'!$A$1:$O$95,15,0))</f>
        <v>149.63</v>
      </c>
      <c r="X410" s="6">
        <f>IF(ISERROR(VLOOKUP($U$410,'TAR FIN'!$A$1:$O$95,15,0)),0,VLOOKUP($U$410,'TAR FIN'!$A$1:$O$95,15,0))</f>
        <v>230.03</v>
      </c>
      <c r="Y410" s="6">
        <f ca="1">('TUSD BE'!$AM$11+'TUSD BF'!$AM$11+'TUSD CVA'!$AM$11)*1</f>
        <v>31.93064187172984</v>
      </c>
      <c r="Z410" s="6">
        <f ca="1">('TUSD BE'!$AM$12+'TUSD BF'!$AM$12+'TUSD CVA'!$AM$12)*1</f>
        <v>168.51338132937991</v>
      </c>
      <c r="AA410" s="6">
        <f>('TE BE'!$AA$8+'TE BF'!$AA$8+'TE CVA'!$AA$8)*1</f>
        <v>282.91739971702214</v>
      </c>
      <c r="AB410" s="6">
        <f>$K$410*$V$410</f>
        <v>-5485.4400000000005</v>
      </c>
      <c r="AC410" s="6">
        <f>$M$410*$W$410</f>
        <v>-55973.889660000001</v>
      </c>
      <c r="AD410" s="6">
        <f>$O$410*$X$410</f>
        <v>-86050.082460000005</v>
      </c>
      <c r="AE410" s="6">
        <f ca="1">$K$410*$Y$410</f>
        <v>-6130.6832393721288</v>
      </c>
      <c r="AF410" s="6">
        <f ca="1">$M$410*$Z$410</f>
        <v>-63037.822714457092</v>
      </c>
      <c r="AG410" s="6">
        <f>$O$410*$AA$410</f>
        <v>-105834.30672094307</v>
      </c>
    </row>
    <row r="411" spans="1:33" ht="11.25" customHeight="1" x14ac:dyDescent="0.25">
      <c r="A411" s="4" t="s">
        <v>28</v>
      </c>
      <c r="B411" s="4" t="s">
        <v>35</v>
      </c>
      <c r="C411" s="4" t="s">
        <v>44</v>
      </c>
      <c r="D411" s="4" t="s">
        <v>42</v>
      </c>
      <c r="E411" s="4" t="s">
        <v>25</v>
      </c>
      <c r="F411" s="4" t="s">
        <v>25</v>
      </c>
      <c r="G411" s="4" t="s">
        <v>25</v>
      </c>
      <c r="H411" s="4" t="s">
        <v>38</v>
      </c>
      <c r="I411" s="5">
        <v>44197</v>
      </c>
      <c r="J411" s="6">
        <v>2313</v>
      </c>
      <c r="K411" s="6">
        <v>2313</v>
      </c>
      <c r="L411" s="6">
        <v>348.08499999999998</v>
      </c>
      <c r="M411" s="6">
        <v>348.08499999999998</v>
      </c>
      <c r="N411" s="6">
        <v>348.08499999999998</v>
      </c>
      <c r="O411" s="6">
        <v>348.08499999999998</v>
      </c>
      <c r="P411" s="6">
        <v>0</v>
      </c>
      <c r="Q411" s="4" t="s">
        <v>26</v>
      </c>
      <c r="R411" s="4">
        <v>0</v>
      </c>
      <c r="S411" s="6">
        <v>29</v>
      </c>
      <c r="T411" s="6">
        <v>30</v>
      </c>
      <c r="U411" s="6">
        <v>67</v>
      </c>
      <c r="V411" s="6">
        <f>IF(ISERROR(VLOOKUP($S$411,'TAR FIN'!$A$1:$O$95,15,0)),0,VLOOKUP($S$411,'TAR FIN'!$A$1:$O$95,15,0))</f>
        <v>28.57</v>
      </c>
      <c r="W411" s="6">
        <f>IF(ISERROR(VLOOKUP($T$411,'TAR FIN'!$A$1:$O$95,15,0)),0,VLOOKUP($T$411,'TAR FIN'!$A$1:$O$95,15,0))</f>
        <v>149.63</v>
      </c>
      <c r="X411" s="6">
        <f>IF(ISERROR(VLOOKUP($U$411,'TAR FIN'!$A$1:$O$95,15,0)),0,VLOOKUP($U$411,'TAR FIN'!$A$1:$O$95,15,0))</f>
        <v>230.03</v>
      </c>
      <c r="Y411" s="6">
        <f ca="1">('TUSD BE'!$AM$11+'TUSD BF'!$AM$11+'TUSD CVA'!$AM$11)*1</f>
        <v>31.93064187172984</v>
      </c>
      <c r="Z411" s="6">
        <f ca="1">('TUSD BE'!$AM$12+'TUSD BF'!$AM$12+'TUSD CVA'!$AM$12)*1</f>
        <v>168.51338132937991</v>
      </c>
      <c r="AA411" s="6">
        <f>('TE BE'!$AA$8+'TE BF'!$AA$8+'TE CVA'!$AA$8)*1</f>
        <v>282.91739971702214</v>
      </c>
      <c r="AB411" s="6">
        <f>$K$411*$V$411</f>
        <v>66082.41</v>
      </c>
      <c r="AC411" s="6">
        <f>$M$411*$W$411</f>
        <v>52083.958549999996</v>
      </c>
      <c r="AD411" s="6">
        <f>$O$411*$X$411</f>
        <v>80069.992549999995</v>
      </c>
      <c r="AE411" s="6">
        <f ca="1">$K$411*$Y$411</f>
        <v>73855.574649311122</v>
      </c>
      <c r="AF411" s="6">
        <f ca="1">$M$411*$Z$411</f>
        <v>58656.980340037204</v>
      </c>
      <c r="AG411" s="6">
        <f>$O$411*$AA$411</f>
        <v>98479.303080499638</v>
      </c>
    </row>
    <row r="412" spans="1:33" ht="11.25" customHeight="1" x14ac:dyDescent="0.25">
      <c r="A412" s="4" t="s">
        <v>30</v>
      </c>
      <c r="B412" s="4" t="s">
        <v>35</v>
      </c>
      <c r="C412" s="4" t="s">
        <v>44</v>
      </c>
      <c r="D412" s="4" t="s">
        <v>42</v>
      </c>
      <c r="E412" s="4" t="s">
        <v>25</v>
      </c>
      <c r="F412" s="4" t="s">
        <v>25</v>
      </c>
      <c r="G412" s="4" t="s">
        <v>25</v>
      </c>
      <c r="H412" s="4" t="s">
        <v>38</v>
      </c>
      <c r="I412" s="5">
        <v>44197</v>
      </c>
      <c r="J412" s="6">
        <v>1485</v>
      </c>
      <c r="K412" s="6">
        <v>1485</v>
      </c>
      <c r="L412" s="6">
        <v>704.60599999999999</v>
      </c>
      <c r="M412" s="6">
        <v>704.60599999999999</v>
      </c>
      <c r="N412" s="6">
        <v>704.60599999999999</v>
      </c>
      <c r="O412" s="6">
        <v>704.60599999999999</v>
      </c>
      <c r="P412" s="6">
        <v>0</v>
      </c>
      <c r="Q412" s="4" t="s">
        <v>26</v>
      </c>
      <c r="R412" s="4">
        <v>0</v>
      </c>
      <c r="S412" s="6">
        <v>29</v>
      </c>
      <c r="T412" s="6">
        <v>30</v>
      </c>
      <c r="U412" s="6">
        <v>67</v>
      </c>
      <c r="V412" s="6">
        <f>IF(ISERROR(VLOOKUP($S$412,'TAR FIN'!$A$1:$O$95,15,0)),0,VLOOKUP($S$412,'TAR FIN'!$A$1:$O$95,15,0))</f>
        <v>28.57</v>
      </c>
      <c r="W412" s="6">
        <f>IF(ISERROR(VLOOKUP($T$412,'TAR FIN'!$A$1:$O$95,15,0)),0,VLOOKUP($T$412,'TAR FIN'!$A$1:$O$95,15,0))</f>
        <v>149.63</v>
      </c>
      <c r="X412" s="6">
        <f>IF(ISERROR(VLOOKUP($U$412,'TAR FIN'!$A$1:$O$95,15,0)),0,VLOOKUP($U$412,'TAR FIN'!$A$1:$O$95,15,0))</f>
        <v>230.03</v>
      </c>
      <c r="Y412" s="6">
        <f ca="1">('TUSD BE'!$AM$11+'TUSD BF'!$AM$11+'TUSD CVA'!$AM$11)*1</f>
        <v>31.93064187172984</v>
      </c>
      <c r="Z412" s="6">
        <f ca="1">('TUSD BE'!$AM$12+'TUSD BF'!$AM$12+'TUSD CVA'!$AM$12)*1</f>
        <v>168.51338132937991</v>
      </c>
      <c r="AA412" s="6">
        <f>('TE BE'!$AA$8+'TE BF'!$AA$8+'TE CVA'!$AA$8)*1</f>
        <v>282.91739971702214</v>
      </c>
      <c r="AB412" s="6">
        <f>$K$412*$V$412</f>
        <v>42426.45</v>
      </c>
      <c r="AC412" s="6">
        <f>$M$412*$W$412</f>
        <v>105430.19577999999</v>
      </c>
      <c r="AD412" s="6">
        <f>$O$412*$X$412</f>
        <v>162080.51818000001</v>
      </c>
      <c r="AE412" s="6">
        <f ca="1">$K$412*$Y$412</f>
        <v>47417.003179518812</v>
      </c>
      <c r="AF412" s="6">
        <f ca="1">$M$412*$Z$412</f>
        <v>118735.53956496906</v>
      </c>
      <c r="AG412" s="6">
        <f>$O$412*$AA$412</f>
        <v>199345.29734501211</v>
      </c>
    </row>
    <row r="413" spans="1:33" ht="11.25" customHeight="1" x14ac:dyDescent="0.25">
      <c r="A413" s="4" t="s">
        <v>21</v>
      </c>
      <c r="B413" s="4" t="s">
        <v>35</v>
      </c>
      <c r="C413" s="4" t="s">
        <v>44</v>
      </c>
      <c r="D413" s="4" t="s">
        <v>42</v>
      </c>
      <c r="E413" s="4" t="s">
        <v>25</v>
      </c>
      <c r="F413" s="4" t="s">
        <v>25</v>
      </c>
      <c r="G413" s="4" t="s">
        <v>25</v>
      </c>
      <c r="H413" s="4" t="s">
        <v>38</v>
      </c>
      <c r="I413" s="5">
        <v>44197</v>
      </c>
      <c r="J413" s="6">
        <v>5937</v>
      </c>
      <c r="K413" s="6">
        <v>5937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4" t="s">
        <v>60</v>
      </c>
      <c r="R413" s="4">
        <v>0</v>
      </c>
      <c r="S413" s="6">
        <v>29</v>
      </c>
      <c r="T413" s="6">
        <v>0</v>
      </c>
      <c r="U413" s="6">
        <v>0</v>
      </c>
      <c r="V413" s="6">
        <f>IF(ISERROR(VLOOKUP($S$413,'TAR FIN'!$A$1:$O$95,15,0)),0,VLOOKUP($S$413,'TAR FIN'!$A$1:$O$95,15,0))</f>
        <v>28.57</v>
      </c>
      <c r="W413" s="6">
        <f>IF(ISERROR(VLOOKUP($T$413,'TAR FIN'!$A$1:$O$95,15,0)),0,VLOOKUP($T$413,'TAR FIN'!$A$1:$O$95,15,0))</f>
        <v>0</v>
      </c>
      <c r="X413" s="6">
        <f>IF(ISERROR(VLOOKUP($U$413,'TAR FIN'!$A$1:$O$95,15,0)),0,VLOOKUP($U$413,'TAR FIN'!$A$1:$O$95,15,0))</f>
        <v>0</v>
      </c>
      <c r="Y413" s="6">
        <f ca="1">('TUSD BE'!$AM$11+'TUSD BF'!$AM$11+'TUSD CVA'!$AM$11)*1</f>
        <v>31.93064187172984</v>
      </c>
      <c r="Z413" s="6">
        <f ca="1">('TUSD BE'!$AM$12+'TUSD BF'!$AM$12+'TUSD CVA'!$AM$12)*1</f>
        <v>168.51338132937991</v>
      </c>
      <c r="AA413" s="6"/>
      <c r="AB413" s="6">
        <f>$K$413*$V$413</f>
        <v>169620.09</v>
      </c>
      <c r="AC413" s="6">
        <f>$M$413*$W$413</f>
        <v>0</v>
      </c>
      <c r="AD413" s="6">
        <f>$O$413*$X$413</f>
        <v>0</v>
      </c>
      <c r="AE413" s="6">
        <f ca="1">$K$413*$Y$413</f>
        <v>189572.22079246005</v>
      </c>
      <c r="AF413" s="6">
        <f ca="1">$M$413*$Z$413</f>
        <v>0</v>
      </c>
      <c r="AG413" s="6">
        <f>$O$413*$AA$413</f>
        <v>0</v>
      </c>
    </row>
    <row r="414" spans="1:33" ht="11.25" customHeight="1" x14ac:dyDescent="0.25">
      <c r="A414" s="4" t="s">
        <v>21</v>
      </c>
      <c r="B414" s="4" t="s">
        <v>35</v>
      </c>
      <c r="C414" s="4" t="s">
        <v>44</v>
      </c>
      <c r="D414" s="4" t="s">
        <v>42</v>
      </c>
      <c r="E414" s="4" t="s">
        <v>25</v>
      </c>
      <c r="F414" s="4" t="s">
        <v>25</v>
      </c>
      <c r="G414" s="4" t="s">
        <v>25</v>
      </c>
      <c r="H414" s="4" t="s">
        <v>38</v>
      </c>
      <c r="I414" s="5">
        <v>44228</v>
      </c>
      <c r="J414" s="6">
        <v>26870</v>
      </c>
      <c r="K414" s="6">
        <v>26870</v>
      </c>
      <c r="L414" s="6">
        <v>6037.8559999999998</v>
      </c>
      <c r="M414" s="6">
        <v>6037.8559999999998</v>
      </c>
      <c r="N414" s="6">
        <v>6037.8559999999998</v>
      </c>
      <c r="O414" s="6">
        <v>6037.8559999999998</v>
      </c>
      <c r="P414" s="6">
        <v>0</v>
      </c>
      <c r="Q414" s="4" t="s">
        <v>26</v>
      </c>
      <c r="R414" s="4">
        <v>0</v>
      </c>
      <c r="S414" s="6">
        <v>29</v>
      </c>
      <c r="T414" s="6">
        <v>30</v>
      </c>
      <c r="U414" s="6">
        <v>67</v>
      </c>
      <c r="V414" s="6">
        <f>IF(ISERROR(VLOOKUP($S$414,'TAR FIN'!$A$1:$O$95,15,0)),0,VLOOKUP($S$414,'TAR FIN'!$A$1:$O$95,15,0))</f>
        <v>28.57</v>
      </c>
      <c r="W414" s="6">
        <f>IF(ISERROR(VLOOKUP($T$414,'TAR FIN'!$A$1:$O$95,15,0)),0,VLOOKUP($T$414,'TAR FIN'!$A$1:$O$95,15,0))</f>
        <v>149.63</v>
      </c>
      <c r="X414" s="6">
        <f>IF(ISERROR(VLOOKUP($U$414,'TAR FIN'!$A$1:$O$95,15,0)),0,VLOOKUP($U$414,'TAR FIN'!$A$1:$O$95,15,0))</f>
        <v>230.03</v>
      </c>
      <c r="Y414" s="6">
        <f ca="1">('TUSD BE'!$AM$11+'TUSD BF'!$AM$11+'TUSD CVA'!$AM$11)*1</f>
        <v>31.93064187172984</v>
      </c>
      <c r="Z414" s="6">
        <f ca="1">('TUSD BE'!$AM$12+'TUSD BF'!$AM$12+'TUSD CVA'!$AM$12)*1</f>
        <v>168.51338132937991</v>
      </c>
      <c r="AA414" s="6">
        <f>('TE BE'!$AA$8+'TE BF'!$AA$8+'TE CVA'!$AA$8)*1</f>
        <v>282.91739971702214</v>
      </c>
      <c r="AB414" s="6">
        <f>$K$414*$V$414</f>
        <v>767675.9</v>
      </c>
      <c r="AC414" s="6">
        <f>$M$414*$W$414</f>
        <v>903444.39327999996</v>
      </c>
      <c r="AD414" s="6">
        <f>$O$414*$X$414</f>
        <v>1388888.01568</v>
      </c>
      <c r="AE414" s="6">
        <f ca="1">$K$414*$Y$414</f>
        <v>857976.34709338075</v>
      </c>
      <c r="AF414" s="6">
        <f ca="1">$M$414*$Z$414</f>
        <v>1017459.5305398845</v>
      </c>
      <c r="AG414" s="6">
        <f>$O$414*$AA$414</f>
        <v>1708214.5193858203</v>
      </c>
    </row>
    <row r="415" spans="1:33" ht="11.25" customHeight="1" x14ac:dyDescent="0.25">
      <c r="A415" s="4" t="s">
        <v>28</v>
      </c>
      <c r="B415" s="4" t="s">
        <v>35</v>
      </c>
      <c r="C415" s="4" t="s">
        <v>44</v>
      </c>
      <c r="D415" s="4" t="s">
        <v>42</v>
      </c>
      <c r="E415" s="4" t="s">
        <v>25</v>
      </c>
      <c r="F415" s="4" t="s">
        <v>25</v>
      </c>
      <c r="G415" s="4" t="s">
        <v>25</v>
      </c>
      <c r="H415" s="4" t="s">
        <v>38</v>
      </c>
      <c r="I415" s="5">
        <v>44228</v>
      </c>
      <c r="J415" s="6">
        <v>1944</v>
      </c>
      <c r="K415" s="6">
        <v>1944</v>
      </c>
      <c r="L415" s="6">
        <v>291.90899999999999</v>
      </c>
      <c r="M415" s="6">
        <v>291.90899999999999</v>
      </c>
      <c r="N415" s="6">
        <v>291.90899999999999</v>
      </c>
      <c r="O415" s="6">
        <v>291.90899999999999</v>
      </c>
      <c r="P415" s="6">
        <v>0</v>
      </c>
      <c r="Q415" s="4" t="s">
        <v>26</v>
      </c>
      <c r="R415" s="4">
        <v>0</v>
      </c>
      <c r="S415" s="6">
        <v>29</v>
      </c>
      <c r="T415" s="6">
        <v>30</v>
      </c>
      <c r="U415" s="6">
        <v>67</v>
      </c>
      <c r="V415" s="6">
        <f>IF(ISERROR(VLOOKUP($S$415,'TAR FIN'!$A$1:$O$95,15,0)),0,VLOOKUP($S$415,'TAR FIN'!$A$1:$O$95,15,0))</f>
        <v>28.57</v>
      </c>
      <c r="W415" s="6">
        <f>IF(ISERROR(VLOOKUP($T$415,'TAR FIN'!$A$1:$O$95,15,0)),0,VLOOKUP($T$415,'TAR FIN'!$A$1:$O$95,15,0))</f>
        <v>149.63</v>
      </c>
      <c r="X415" s="6">
        <f>IF(ISERROR(VLOOKUP($U$415,'TAR FIN'!$A$1:$O$95,15,0)),0,VLOOKUP($U$415,'TAR FIN'!$A$1:$O$95,15,0))</f>
        <v>230.03</v>
      </c>
      <c r="Y415" s="6">
        <f ca="1">('TUSD BE'!$AM$11+'TUSD BF'!$AM$11+'TUSD CVA'!$AM$11)*1</f>
        <v>31.93064187172984</v>
      </c>
      <c r="Z415" s="6">
        <f ca="1">('TUSD BE'!$AM$12+'TUSD BF'!$AM$12+'TUSD CVA'!$AM$12)*1</f>
        <v>168.51338132937991</v>
      </c>
      <c r="AA415" s="6">
        <f>('TE BE'!$AA$8+'TE BF'!$AA$8+'TE CVA'!$AA$8)*1</f>
        <v>282.91739971702214</v>
      </c>
      <c r="AB415" s="6">
        <f>$K$415*$V$415</f>
        <v>55540.08</v>
      </c>
      <c r="AC415" s="6">
        <f>$M$415*$W$415</f>
        <v>43678.343669999995</v>
      </c>
      <c r="AD415" s="6">
        <f>$O$415*$X$415</f>
        <v>67147.827269999994</v>
      </c>
      <c r="AE415" s="6">
        <f ca="1">$K$415*$Y$415</f>
        <v>62073.167798642811</v>
      </c>
      <c r="AF415" s="6">
        <f ca="1">$M$415*$Z$415</f>
        <v>49190.57263047796</v>
      </c>
      <c r="AG415" s="6">
        <f>$O$415*$AA$415</f>
        <v>82586.135233996218</v>
      </c>
    </row>
    <row r="416" spans="1:33" ht="11.25" customHeight="1" x14ac:dyDescent="0.25">
      <c r="A416" s="4" t="s">
        <v>29</v>
      </c>
      <c r="B416" s="4" t="s">
        <v>35</v>
      </c>
      <c r="C416" s="4" t="s">
        <v>44</v>
      </c>
      <c r="D416" s="4" t="s">
        <v>42</v>
      </c>
      <c r="E416" s="4" t="s">
        <v>25</v>
      </c>
      <c r="F416" s="4" t="s">
        <v>25</v>
      </c>
      <c r="G416" s="4" t="s">
        <v>25</v>
      </c>
      <c r="H416" s="4" t="s">
        <v>38</v>
      </c>
      <c r="I416" s="5">
        <v>44228</v>
      </c>
      <c r="J416" s="6">
        <v>-1047</v>
      </c>
      <c r="K416" s="6">
        <v>-1047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4" t="s">
        <v>26</v>
      </c>
      <c r="R416" s="4">
        <v>0</v>
      </c>
      <c r="S416" s="6">
        <v>29</v>
      </c>
      <c r="T416" s="6">
        <v>0</v>
      </c>
      <c r="U416" s="6">
        <v>0</v>
      </c>
      <c r="V416" s="6">
        <f>IF(ISERROR(VLOOKUP($S$416,'TAR FIN'!$A$1:$O$95,15,0)),0,VLOOKUP($S$416,'TAR FIN'!$A$1:$O$95,15,0))</f>
        <v>28.57</v>
      </c>
      <c r="W416" s="6">
        <f>IF(ISERROR(VLOOKUP($T$416,'TAR FIN'!$A$1:$O$95,15,0)),0,VLOOKUP($T$416,'TAR FIN'!$A$1:$O$95,15,0))</f>
        <v>0</v>
      </c>
      <c r="X416" s="6">
        <f>IF(ISERROR(VLOOKUP($U$416,'TAR FIN'!$A$1:$O$95,15,0)),0,VLOOKUP($U$416,'TAR FIN'!$A$1:$O$95,15,0))</f>
        <v>0</v>
      </c>
      <c r="Y416" s="6">
        <f ca="1">('TUSD BE'!$AM$11+'TUSD BF'!$AM$11+'TUSD CVA'!$AM$11)*1</f>
        <v>31.93064187172984</v>
      </c>
      <c r="Z416" s="6">
        <f ca="1">('TUSD BE'!$AM$12+'TUSD BF'!$AM$12+'TUSD CVA'!$AM$12)*1</f>
        <v>168.51338132937991</v>
      </c>
      <c r="AA416" s="6">
        <f>('TE BE'!$AA$8+'TE BF'!$AA$8+'TE CVA'!$AA$8)*1</f>
        <v>282.91739971702214</v>
      </c>
      <c r="AB416" s="6">
        <f>$K$416*$V$416</f>
        <v>-29912.79</v>
      </c>
      <c r="AC416" s="6">
        <f>$M$416*$W$416</f>
        <v>0</v>
      </c>
      <c r="AD416" s="6">
        <f>$O$416*$X$416</f>
        <v>0</v>
      </c>
      <c r="AE416" s="6">
        <f ca="1">$K$416*$Y$416</f>
        <v>-33431.382039701144</v>
      </c>
      <c r="AF416" s="6">
        <f ca="1">$M$416*$Z$416</f>
        <v>0</v>
      </c>
      <c r="AG416" s="6">
        <f>$O$416*$AA$416</f>
        <v>0</v>
      </c>
    </row>
    <row r="417" spans="1:33" ht="11.25" customHeight="1" x14ac:dyDescent="0.25">
      <c r="A417" s="4" t="s">
        <v>30</v>
      </c>
      <c r="B417" s="4" t="s">
        <v>35</v>
      </c>
      <c r="C417" s="4" t="s">
        <v>44</v>
      </c>
      <c r="D417" s="4" t="s">
        <v>42</v>
      </c>
      <c r="E417" s="4" t="s">
        <v>25</v>
      </c>
      <c r="F417" s="4" t="s">
        <v>25</v>
      </c>
      <c r="G417" s="4" t="s">
        <v>25</v>
      </c>
      <c r="H417" s="4" t="s">
        <v>38</v>
      </c>
      <c r="I417" s="5">
        <v>44228</v>
      </c>
      <c r="J417" s="6">
        <v>1580</v>
      </c>
      <c r="K417" s="6">
        <v>1580</v>
      </c>
      <c r="L417" s="6">
        <v>841.69399999999996</v>
      </c>
      <c r="M417" s="6">
        <v>841.69399999999996</v>
      </c>
      <c r="N417" s="6">
        <v>841.69399999999996</v>
      </c>
      <c r="O417" s="6">
        <v>841.69399999999996</v>
      </c>
      <c r="P417" s="6">
        <v>0</v>
      </c>
      <c r="Q417" s="4" t="s">
        <v>26</v>
      </c>
      <c r="R417" s="4">
        <v>0</v>
      </c>
      <c r="S417" s="6">
        <v>29</v>
      </c>
      <c r="T417" s="6">
        <v>30</v>
      </c>
      <c r="U417" s="6">
        <v>67</v>
      </c>
      <c r="V417" s="6">
        <f>IF(ISERROR(VLOOKUP($S$417,'TAR FIN'!$A$1:$O$95,15,0)),0,VLOOKUP($S$417,'TAR FIN'!$A$1:$O$95,15,0))</f>
        <v>28.57</v>
      </c>
      <c r="W417" s="6">
        <f>IF(ISERROR(VLOOKUP($T$417,'TAR FIN'!$A$1:$O$95,15,0)),0,VLOOKUP($T$417,'TAR FIN'!$A$1:$O$95,15,0))</f>
        <v>149.63</v>
      </c>
      <c r="X417" s="6">
        <f>IF(ISERROR(VLOOKUP($U$417,'TAR FIN'!$A$1:$O$95,15,0)),0,VLOOKUP($U$417,'TAR FIN'!$A$1:$O$95,15,0))</f>
        <v>230.03</v>
      </c>
      <c r="Y417" s="6">
        <f ca="1">('TUSD BE'!$AM$11+'TUSD BF'!$AM$11+'TUSD CVA'!$AM$11)*1</f>
        <v>31.93064187172984</v>
      </c>
      <c r="Z417" s="6">
        <f ca="1">('TUSD BE'!$AM$12+'TUSD BF'!$AM$12+'TUSD CVA'!$AM$12)*1</f>
        <v>168.51338132937991</v>
      </c>
      <c r="AA417" s="6">
        <f>('TE BE'!$AA$8+'TE BF'!$AA$8+'TE CVA'!$AA$8)*1</f>
        <v>282.91739971702214</v>
      </c>
      <c r="AB417" s="6">
        <f>$K$417*$V$417</f>
        <v>45140.6</v>
      </c>
      <c r="AC417" s="6">
        <f>$M$417*$W$417</f>
        <v>125942.67322</v>
      </c>
      <c r="AD417" s="6">
        <f>$O$417*$X$417</f>
        <v>193614.87081999998</v>
      </c>
      <c r="AE417" s="6">
        <f ca="1">$K$417*$Y$417</f>
        <v>50450.414157333144</v>
      </c>
      <c r="AF417" s="6">
        <f ca="1">$M$417*$Z$417</f>
        <v>141836.7019846511</v>
      </c>
      <c r="AG417" s="6">
        <f>$O$417*$AA$417</f>
        <v>238129.87783741922</v>
      </c>
    </row>
    <row r="418" spans="1:33" ht="11.25" customHeight="1" x14ac:dyDescent="0.25">
      <c r="A418" s="4" t="s">
        <v>21</v>
      </c>
      <c r="B418" s="4" t="s">
        <v>35</v>
      </c>
      <c r="C418" s="4" t="s">
        <v>44</v>
      </c>
      <c r="D418" s="4" t="s">
        <v>42</v>
      </c>
      <c r="E418" s="4" t="s">
        <v>25</v>
      </c>
      <c r="F418" s="4" t="s">
        <v>25</v>
      </c>
      <c r="G418" s="4" t="s">
        <v>25</v>
      </c>
      <c r="H418" s="4" t="s">
        <v>38</v>
      </c>
      <c r="I418" s="5">
        <v>44228</v>
      </c>
      <c r="J418" s="6">
        <v>5836</v>
      </c>
      <c r="K418" s="6">
        <v>5836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4" t="s">
        <v>60</v>
      </c>
      <c r="R418" s="4">
        <v>0</v>
      </c>
      <c r="S418" s="6">
        <v>29</v>
      </c>
      <c r="T418" s="6">
        <v>0</v>
      </c>
      <c r="U418" s="6">
        <v>0</v>
      </c>
      <c r="V418" s="6">
        <f>IF(ISERROR(VLOOKUP($S$418,'TAR FIN'!$A$1:$O$95,15,0)),0,VLOOKUP($S$418,'TAR FIN'!$A$1:$O$95,15,0))</f>
        <v>28.57</v>
      </c>
      <c r="W418" s="6">
        <f>IF(ISERROR(VLOOKUP($T$418,'TAR FIN'!$A$1:$O$95,15,0)),0,VLOOKUP($T$418,'TAR FIN'!$A$1:$O$95,15,0))</f>
        <v>0</v>
      </c>
      <c r="X418" s="6">
        <f>IF(ISERROR(VLOOKUP($U$418,'TAR FIN'!$A$1:$O$95,15,0)),0,VLOOKUP($U$418,'TAR FIN'!$A$1:$O$95,15,0))</f>
        <v>0</v>
      </c>
      <c r="Y418" s="6">
        <f ca="1">('TUSD BE'!$AM$11+'TUSD BF'!$AM$11+'TUSD CVA'!$AM$11)*1</f>
        <v>31.93064187172984</v>
      </c>
      <c r="Z418" s="6">
        <f ca="1">('TUSD BE'!$AM$12+'TUSD BF'!$AM$12+'TUSD CVA'!$AM$12)*1</f>
        <v>168.51338132937991</v>
      </c>
      <c r="AA418" s="6"/>
      <c r="AB418" s="6">
        <f>$K$418*$V$418</f>
        <v>166734.51999999999</v>
      </c>
      <c r="AC418" s="6">
        <f>$M$418*$W$418</f>
        <v>0</v>
      </c>
      <c r="AD418" s="6">
        <f>$O$418*$X$418</f>
        <v>0</v>
      </c>
      <c r="AE418" s="6">
        <f ca="1">$K$418*$Y$418</f>
        <v>186347.22596341535</v>
      </c>
      <c r="AF418" s="6">
        <f ca="1">$M$418*$Z$418</f>
        <v>0</v>
      </c>
      <c r="AG418" s="6">
        <f>$O$418*$AA$418</f>
        <v>0</v>
      </c>
    </row>
    <row r="419" spans="1:33" ht="11.25" customHeight="1" x14ac:dyDescent="0.25">
      <c r="A419" s="4" t="s">
        <v>21</v>
      </c>
      <c r="B419" s="4" t="s">
        <v>35</v>
      </c>
      <c r="C419" s="4" t="s">
        <v>44</v>
      </c>
      <c r="D419" s="4" t="s">
        <v>42</v>
      </c>
      <c r="E419" s="4" t="s">
        <v>25</v>
      </c>
      <c r="F419" s="4" t="s">
        <v>25</v>
      </c>
      <c r="G419" s="4" t="s">
        <v>25</v>
      </c>
      <c r="H419" s="4" t="s">
        <v>38</v>
      </c>
      <c r="I419" s="5">
        <v>44256</v>
      </c>
      <c r="J419" s="6">
        <v>27039</v>
      </c>
      <c r="K419" s="6">
        <v>27039</v>
      </c>
      <c r="L419" s="6">
        <v>7287.991</v>
      </c>
      <c r="M419" s="6">
        <v>7287.991</v>
      </c>
      <c r="N419" s="6">
        <v>7287.991</v>
      </c>
      <c r="O419" s="6">
        <v>7287.991</v>
      </c>
      <c r="P419" s="6">
        <v>0</v>
      </c>
      <c r="Q419" s="4" t="s">
        <v>26</v>
      </c>
      <c r="R419" s="4">
        <v>0</v>
      </c>
      <c r="S419" s="6">
        <v>29</v>
      </c>
      <c r="T419" s="6">
        <v>30</v>
      </c>
      <c r="U419" s="6">
        <v>67</v>
      </c>
      <c r="V419" s="6">
        <f>IF(ISERROR(VLOOKUP($S$419,'TAR FIN'!$A$1:$O$95,15,0)),0,VLOOKUP($S$419,'TAR FIN'!$A$1:$O$95,15,0))</f>
        <v>28.57</v>
      </c>
      <c r="W419" s="6">
        <f>IF(ISERROR(VLOOKUP($T$419,'TAR FIN'!$A$1:$O$95,15,0)),0,VLOOKUP($T$419,'TAR FIN'!$A$1:$O$95,15,0))</f>
        <v>149.63</v>
      </c>
      <c r="X419" s="6">
        <f>IF(ISERROR(VLOOKUP($U$419,'TAR FIN'!$A$1:$O$95,15,0)),0,VLOOKUP($U$419,'TAR FIN'!$A$1:$O$95,15,0))</f>
        <v>230.03</v>
      </c>
      <c r="Y419" s="6">
        <f ca="1">('TUSD BE'!$AM$11+'TUSD BF'!$AM$11+'TUSD CVA'!$AM$11)*1</f>
        <v>31.93064187172984</v>
      </c>
      <c r="Z419" s="6">
        <f ca="1">('TUSD BE'!$AM$12+'TUSD BF'!$AM$12+'TUSD CVA'!$AM$12)*1</f>
        <v>168.51338132937991</v>
      </c>
      <c r="AA419" s="6">
        <f>('TE BE'!$AA$8+'TE BF'!$AA$8+'TE CVA'!$AA$8)*1</f>
        <v>282.91739971702214</v>
      </c>
      <c r="AB419" s="6">
        <f>$K$419*$V$419</f>
        <v>772504.23</v>
      </c>
      <c r="AC419" s="6">
        <f>$M$419*$W$419</f>
        <v>1090502.0933300001</v>
      </c>
      <c r="AD419" s="6">
        <f>$O$419*$X$419</f>
        <v>1676456.5697300001</v>
      </c>
      <c r="AE419" s="6">
        <f ca="1">$K$419*$Y$419</f>
        <v>863372.62556970317</v>
      </c>
      <c r="AF419" s="6">
        <f ca="1">$M$419*$Z$419</f>
        <v>1228124.0065080889</v>
      </c>
      <c r="AG419" s="6">
        <f>$O$419*$AA$419</f>
        <v>2061899.4628810599</v>
      </c>
    </row>
    <row r="420" spans="1:33" ht="11.25" customHeight="1" x14ac:dyDescent="0.25">
      <c r="A420" s="4" t="s">
        <v>28</v>
      </c>
      <c r="B420" s="4" t="s">
        <v>35</v>
      </c>
      <c r="C420" s="4" t="s">
        <v>44</v>
      </c>
      <c r="D420" s="4" t="s">
        <v>42</v>
      </c>
      <c r="E420" s="4" t="s">
        <v>25</v>
      </c>
      <c r="F420" s="4" t="s">
        <v>25</v>
      </c>
      <c r="G420" s="4" t="s">
        <v>25</v>
      </c>
      <c r="H420" s="4" t="s">
        <v>38</v>
      </c>
      <c r="I420" s="5">
        <v>44256</v>
      </c>
      <c r="J420" s="6">
        <v>2184</v>
      </c>
      <c r="K420" s="6">
        <v>2184</v>
      </c>
      <c r="L420" s="6">
        <v>520.65800000000002</v>
      </c>
      <c r="M420" s="6">
        <v>520.65800000000002</v>
      </c>
      <c r="N420" s="6">
        <v>520.65800000000002</v>
      </c>
      <c r="O420" s="6">
        <v>520.65800000000002</v>
      </c>
      <c r="P420" s="6">
        <v>0</v>
      </c>
      <c r="Q420" s="4" t="s">
        <v>26</v>
      </c>
      <c r="R420" s="4">
        <v>0</v>
      </c>
      <c r="S420" s="6">
        <v>29</v>
      </c>
      <c r="T420" s="6">
        <v>30</v>
      </c>
      <c r="U420" s="6">
        <v>67</v>
      </c>
      <c r="V420" s="6">
        <f>IF(ISERROR(VLOOKUP($S$420,'TAR FIN'!$A$1:$O$95,15,0)),0,VLOOKUP($S$420,'TAR FIN'!$A$1:$O$95,15,0))</f>
        <v>28.57</v>
      </c>
      <c r="W420" s="6">
        <f>IF(ISERROR(VLOOKUP($T$420,'TAR FIN'!$A$1:$O$95,15,0)),0,VLOOKUP($T$420,'TAR FIN'!$A$1:$O$95,15,0))</f>
        <v>149.63</v>
      </c>
      <c r="X420" s="6">
        <f>IF(ISERROR(VLOOKUP($U$420,'TAR FIN'!$A$1:$O$95,15,0)),0,VLOOKUP($U$420,'TAR FIN'!$A$1:$O$95,15,0))</f>
        <v>230.03</v>
      </c>
      <c r="Y420" s="6">
        <f ca="1">('TUSD BE'!$AM$11+'TUSD BF'!$AM$11+'TUSD CVA'!$AM$11)*1</f>
        <v>31.93064187172984</v>
      </c>
      <c r="Z420" s="6">
        <f ca="1">('TUSD BE'!$AM$12+'TUSD BF'!$AM$12+'TUSD CVA'!$AM$12)*1</f>
        <v>168.51338132937991</v>
      </c>
      <c r="AA420" s="6">
        <f>('TE BE'!$AA$8+'TE BF'!$AA$8+'TE CVA'!$AA$8)*1</f>
        <v>282.91739971702214</v>
      </c>
      <c r="AB420" s="6">
        <f>$K$420*$V$420</f>
        <v>62396.88</v>
      </c>
      <c r="AC420" s="6">
        <f>$M$420*$W$420</f>
        <v>77906.056540000005</v>
      </c>
      <c r="AD420" s="6">
        <f>$O$420*$X$420</f>
        <v>119766.95974000001</v>
      </c>
      <c r="AE420" s="6">
        <f ca="1">$K$420*$Y$420</f>
        <v>69736.521847857977</v>
      </c>
      <c r="AF420" s="6">
        <f ca="1">$M$420*$Z$420</f>
        <v>87737.840096192289</v>
      </c>
      <c r="AG420" s="6">
        <f>$O$420*$AA$420</f>
        <v>147303.20750186531</v>
      </c>
    </row>
    <row r="421" spans="1:33" ht="11.25" customHeight="1" x14ac:dyDescent="0.25">
      <c r="A421" s="4" t="s">
        <v>30</v>
      </c>
      <c r="B421" s="4" t="s">
        <v>35</v>
      </c>
      <c r="C421" s="4" t="s">
        <v>44</v>
      </c>
      <c r="D421" s="4" t="s">
        <v>42</v>
      </c>
      <c r="E421" s="4" t="s">
        <v>25</v>
      </c>
      <c r="F421" s="4" t="s">
        <v>25</v>
      </c>
      <c r="G421" s="4" t="s">
        <v>25</v>
      </c>
      <c r="H421" s="4" t="s">
        <v>38</v>
      </c>
      <c r="I421" s="5">
        <v>44256</v>
      </c>
      <c r="J421" s="6">
        <v>1641</v>
      </c>
      <c r="K421" s="6">
        <v>1641</v>
      </c>
      <c r="L421" s="6">
        <v>865.9</v>
      </c>
      <c r="M421" s="6">
        <v>865.9</v>
      </c>
      <c r="N421" s="6">
        <v>865.9</v>
      </c>
      <c r="O421" s="6">
        <v>865.9</v>
      </c>
      <c r="P421" s="6">
        <v>0</v>
      </c>
      <c r="Q421" s="4" t="s">
        <v>26</v>
      </c>
      <c r="R421" s="4">
        <v>0</v>
      </c>
      <c r="S421" s="6">
        <v>29</v>
      </c>
      <c r="T421" s="6">
        <v>30</v>
      </c>
      <c r="U421" s="6">
        <v>67</v>
      </c>
      <c r="V421" s="6">
        <f>IF(ISERROR(VLOOKUP($S$421,'TAR FIN'!$A$1:$O$95,15,0)),0,VLOOKUP($S$421,'TAR FIN'!$A$1:$O$95,15,0))</f>
        <v>28.57</v>
      </c>
      <c r="W421" s="6">
        <f>IF(ISERROR(VLOOKUP($T$421,'TAR FIN'!$A$1:$O$95,15,0)),0,VLOOKUP($T$421,'TAR FIN'!$A$1:$O$95,15,0))</f>
        <v>149.63</v>
      </c>
      <c r="X421" s="6">
        <f>IF(ISERROR(VLOOKUP($U$421,'TAR FIN'!$A$1:$O$95,15,0)),0,VLOOKUP($U$421,'TAR FIN'!$A$1:$O$95,15,0))</f>
        <v>230.03</v>
      </c>
      <c r="Y421" s="6">
        <f ca="1">('TUSD BE'!$AM$11+'TUSD BF'!$AM$11+'TUSD CVA'!$AM$11)*1</f>
        <v>31.93064187172984</v>
      </c>
      <c r="Z421" s="6">
        <f ca="1">('TUSD BE'!$AM$12+'TUSD BF'!$AM$12+'TUSD CVA'!$AM$12)*1</f>
        <v>168.51338132937991</v>
      </c>
      <c r="AA421" s="6">
        <f>('TE BE'!$AA$8+'TE BF'!$AA$8+'TE CVA'!$AA$8)*1</f>
        <v>282.91739971702214</v>
      </c>
      <c r="AB421" s="6">
        <f>$K$421*$V$421</f>
        <v>46883.37</v>
      </c>
      <c r="AC421" s="6">
        <f>$M$421*$W$421</f>
        <v>129564.617</v>
      </c>
      <c r="AD421" s="6">
        <f>$O$421*$X$421</f>
        <v>199182.97699999998</v>
      </c>
      <c r="AE421" s="6">
        <f ca="1">$K$421*$Y$421</f>
        <v>52398.18331150867</v>
      </c>
      <c r="AF421" s="6">
        <f ca="1">$M$421*$Z$421</f>
        <v>145915.73689311006</v>
      </c>
      <c r="AG421" s="6">
        <f>$O$421*$AA$421</f>
        <v>244978.17641496946</v>
      </c>
    </row>
    <row r="422" spans="1:33" ht="11.25" customHeight="1" x14ac:dyDescent="0.25">
      <c r="A422" s="4" t="s">
        <v>21</v>
      </c>
      <c r="B422" s="4" t="s">
        <v>35</v>
      </c>
      <c r="C422" s="4" t="s">
        <v>44</v>
      </c>
      <c r="D422" s="4" t="s">
        <v>42</v>
      </c>
      <c r="E422" s="4" t="s">
        <v>25</v>
      </c>
      <c r="F422" s="4" t="s">
        <v>25</v>
      </c>
      <c r="G422" s="4" t="s">
        <v>25</v>
      </c>
      <c r="H422" s="4" t="s">
        <v>38</v>
      </c>
      <c r="I422" s="5">
        <v>44256</v>
      </c>
      <c r="J422" s="6">
        <v>5851</v>
      </c>
      <c r="K422" s="6">
        <v>5851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4" t="s">
        <v>60</v>
      </c>
      <c r="R422" s="4">
        <v>0</v>
      </c>
      <c r="S422" s="6">
        <v>29</v>
      </c>
      <c r="T422" s="6">
        <v>0</v>
      </c>
      <c r="U422" s="6">
        <v>0</v>
      </c>
      <c r="V422" s="6">
        <f>IF(ISERROR(VLOOKUP($S$422,'TAR FIN'!$A$1:$O$95,15,0)),0,VLOOKUP($S$422,'TAR FIN'!$A$1:$O$95,15,0))</f>
        <v>28.57</v>
      </c>
      <c r="W422" s="6">
        <f>IF(ISERROR(VLOOKUP($T$422,'TAR FIN'!$A$1:$O$95,15,0)),0,VLOOKUP($T$422,'TAR FIN'!$A$1:$O$95,15,0))</f>
        <v>0</v>
      </c>
      <c r="X422" s="6">
        <f>IF(ISERROR(VLOOKUP($U$422,'TAR FIN'!$A$1:$O$95,15,0)),0,VLOOKUP($U$422,'TAR FIN'!$A$1:$O$95,15,0))</f>
        <v>0</v>
      </c>
      <c r="Y422" s="6">
        <f ca="1">('TUSD BE'!$AM$11+'TUSD BF'!$AM$11+'TUSD CVA'!$AM$11)*1</f>
        <v>31.93064187172984</v>
      </c>
      <c r="Z422" s="6">
        <f ca="1">('TUSD BE'!$AM$12+'TUSD BF'!$AM$12+'TUSD CVA'!$AM$12)*1</f>
        <v>168.51338132937991</v>
      </c>
      <c r="AA422" s="6"/>
      <c r="AB422" s="6">
        <f>$K$422*$V$422</f>
        <v>167163.07</v>
      </c>
      <c r="AC422" s="6">
        <f>$M$422*$W$422</f>
        <v>0</v>
      </c>
      <c r="AD422" s="6">
        <f>$O$422*$X$422</f>
        <v>0</v>
      </c>
      <c r="AE422" s="6">
        <f ca="1">$K$422*$Y$422</f>
        <v>186826.18559149129</v>
      </c>
      <c r="AF422" s="6">
        <f ca="1">$M$422*$Z$422</f>
        <v>0</v>
      </c>
      <c r="AG422" s="6">
        <f>$O$422*$AA$422</f>
        <v>0</v>
      </c>
    </row>
    <row r="423" spans="1:33" ht="11.25" customHeight="1" x14ac:dyDescent="0.25">
      <c r="A423" s="4" t="s">
        <v>21</v>
      </c>
      <c r="B423" s="4" t="s">
        <v>35</v>
      </c>
      <c r="C423" s="4" t="s">
        <v>44</v>
      </c>
      <c r="D423" s="4" t="s">
        <v>42</v>
      </c>
      <c r="E423" s="4" t="s">
        <v>25</v>
      </c>
      <c r="F423" s="4" t="s">
        <v>25</v>
      </c>
      <c r="G423" s="4" t="s">
        <v>25</v>
      </c>
      <c r="H423" s="4" t="s">
        <v>38</v>
      </c>
      <c r="I423" s="5">
        <v>44287</v>
      </c>
      <c r="J423" s="6">
        <v>25940</v>
      </c>
      <c r="K423" s="6">
        <v>25940</v>
      </c>
      <c r="L423" s="6">
        <v>6144.634</v>
      </c>
      <c r="M423" s="6">
        <v>6144.634</v>
      </c>
      <c r="N423" s="6">
        <v>6144.634</v>
      </c>
      <c r="O423" s="6">
        <v>6144.634</v>
      </c>
      <c r="P423" s="6">
        <v>0</v>
      </c>
      <c r="Q423" s="4" t="s">
        <v>26</v>
      </c>
      <c r="R423" s="4">
        <v>0</v>
      </c>
      <c r="S423" s="6">
        <v>29</v>
      </c>
      <c r="T423" s="6">
        <v>30</v>
      </c>
      <c r="U423" s="6">
        <v>67</v>
      </c>
      <c r="V423" s="6">
        <f>IF(ISERROR(VLOOKUP($S$423,'TAR FIN'!$A$1:$O$95,15,0)),0,VLOOKUP($S$423,'TAR FIN'!$A$1:$O$95,15,0))</f>
        <v>28.57</v>
      </c>
      <c r="W423" s="6">
        <f>IF(ISERROR(VLOOKUP($T$423,'TAR FIN'!$A$1:$O$95,15,0)),0,VLOOKUP($T$423,'TAR FIN'!$A$1:$O$95,15,0))</f>
        <v>149.63</v>
      </c>
      <c r="X423" s="6">
        <f>IF(ISERROR(VLOOKUP($U$423,'TAR FIN'!$A$1:$O$95,15,0)),0,VLOOKUP($U$423,'TAR FIN'!$A$1:$O$95,15,0))</f>
        <v>230.03</v>
      </c>
      <c r="Y423" s="6">
        <f ca="1">('TUSD BE'!$AM$11+'TUSD BF'!$AM$11+'TUSD CVA'!$AM$11)*1</f>
        <v>31.93064187172984</v>
      </c>
      <c r="Z423" s="6">
        <f ca="1">('TUSD BE'!$AM$12+'TUSD BF'!$AM$12+'TUSD CVA'!$AM$12)*1</f>
        <v>168.51338132937991</v>
      </c>
      <c r="AA423" s="6">
        <f>('TE BE'!$AA$8+'TE BF'!$AA$8+'TE CVA'!$AA$8)*1</f>
        <v>282.91739971702214</v>
      </c>
      <c r="AB423" s="6">
        <f>$K$423*$V$423</f>
        <v>741105.8</v>
      </c>
      <c r="AC423" s="6">
        <f>$M$423*$W$423</f>
        <v>919421.58542000002</v>
      </c>
      <c r="AD423" s="6">
        <f>$O$423*$X$423</f>
        <v>1413450.1590199999</v>
      </c>
      <c r="AE423" s="6">
        <f ca="1">$K$423*$Y$423</f>
        <v>828280.85015267204</v>
      </c>
      <c r="AF423" s="6">
        <f ca="1">$M$423*$Z$423</f>
        <v>1035453.0523714731</v>
      </c>
      <c r="AG423" s="6">
        <f>$O$423*$AA$423</f>
        <v>1738423.8734928046</v>
      </c>
    </row>
    <row r="424" spans="1:33" ht="11.25" customHeight="1" x14ac:dyDescent="0.25">
      <c r="A424" s="4" t="s">
        <v>28</v>
      </c>
      <c r="B424" s="4" t="s">
        <v>35</v>
      </c>
      <c r="C424" s="4" t="s">
        <v>44</v>
      </c>
      <c r="D424" s="4" t="s">
        <v>42</v>
      </c>
      <c r="E424" s="4" t="s">
        <v>25</v>
      </c>
      <c r="F424" s="4" t="s">
        <v>25</v>
      </c>
      <c r="G424" s="4" t="s">
        <v>25</v>
      </c>
      <c r="H424" s="4" t="s">
        <v>38</v>
      </c>
      <c r="I424" s="5">
        <v>44287</v>
      </c>
      <c r="J424" s="6">
        <v>1340</v>
      </c>
      <c r="K424" s="6">
        <v>1340</v>
      </c>
      <c r="L424" s="6">
        <v>384.11099999999999</v>
      </c>
      <c r="M424" s="6">
        <v>384.11099999999999</v>
      </c>
      <c r="N424" s="6">
        <v>384.11099999999999</v>
      </c>
      <c r="O424" s="6">
        <v>384.11099999999999</v>
      </c>
      <c r="P424" s="6">
        <v>0</v>
      </c>
      <c r="Q424" s="4" t="s">
        <v>26</v>
      </c>
      <c r="R424" s="4">
        <v>0</v>
      </c>
      <c r="S424" s="6">
        <v>29</v>
      </c>
      <c r="T424" s="6">
        <v>30</v>
      </c>
      <c r="U424" s="6">
        <v>67</v>
      </c>
      <c r="V424" s="6">
        <f>IF(ISERROR(VLOOKUP($S$424,'TAR FIN'!$A$1:$O$95,15,0)),0,VLOOKUP($S$424,'TAR FIN'!$A$1:$O$95,15,0))</f>
        <v>28.57</v>
      </c>
      <c r="W424" s="6">
        <f>IF(ISERROR(VLOOKUP($T$424,'TAR FIN'!$A$1:$O$95,15,0)),0,VLOOKUP($T$424,'TAR FIN'!$A$1:$O$95,15,0))</f>
        <v>149.63</v>
      </c>
      <c r="X424" s="6">
        <f>IF(ISERROR(VLOOKUP($U$424,'TAR FIN'!$A$1:$O$95,15,0)),0,VLOOKUP($U$424,'TAR FIN'!$A$1:$O$95,15,0))</f>
        <v>230.03</v>
      </c>
      <c r="Y424" s="6">
        <f ca="1">('TUSD BE'!$AM$11+'TUSD BF'!$AM$11+'TUSD CVA'!$AM$11)*1</f>
        <v>31.93064187172984</v>
      </c>
      <c r="Z424" s="6">
        <f ca="1">('TUSD BE'!$AM$12+'TUSD BF'!$AM$12+'TUSD CVA'!$AM$12)*1</f>
        <v>168.51338132937991</v>
      </c>
      <c r="AA424" s="6">
        <f>('TE BE'!$AA$8+'TE BF'!$AA$8+'TE CVA'!$AA$8)*1</f>
        <v>282.91739971702214</v>
      </c>
      <c r="AB424" s="6">
        <f>$K$424*$V$424</f>
        <v>38283.800000000003</v>
      </c>
      <c r="AC424" s="6">
        <f>$M$424*$W$424</f>
        <v>57474.528929999993</v>
      </c>
      <c r="AD424" s="6">
        <f>$O$424*$X$424</f>
        <v>88357.053329999995</v>
      </c>
      <c r="AE424" s="6">
        <f ca="1">$K$424*$Y$424</f>
        <v>42787.060108117985</v>
      </c>
      <c r="AF424" s="6">
        <f ca="1">$M$424*$Z$424</f>
        <v>64727.843415809446</v>
      </c>
      <c r="AG424" s="6">
        <f>$O$424*$AA$424</f>
        <v>108671.68532270509</v>
      </c>
    </row>
    <row r="425" spans="1:33" ht="11.25" customHeight="1" x14ac:dyDescent="0.25">
      <c r="A425" s="4" t="s">
        <v>29</v>
      </c>
      <c r="B425" s="4" t="s">
        <v>35</v>
      </c>
      <c r="C425" s="4" t="s">
        <v>44</v>
      </c>
      <c r="D425" s="4" t="s">
        <v>42</v>
      </c>
      <c r="E425" s="4" t="s">
        <v>25</v>
      </c>
      <c r="F425" s="4" t="s">
        <v>25</v>
      </c>
      <c r="G425" s="4" t="s">
        <v>25</v>
      </c>
      <c r="H425" s="4" t="s">
        <v>38</v>
      </c>
      <c r="I425" s="5">
        <v>44287</v>
      </c>
      <c r="J425" s="6">
        <v>-393</v>
      </c>
      <c r="K425" s="6">
        <v>-393</v>
      </c>
      <c r="L425" s="6">
        <v>-82</v>
      </c>
      <c r="M425" s="6">
        <v>-82</v>
      </c>
      <c r="N425" s="6">
        <v>-82</v>
      </c>
      <c r="O425" s="6">
        <v>-82</v>
      </c>
      <c r="P425" s="6">
        <v>0</v>
      </c>
      <c r="Q425" s="4" t="s">
        <v>26</v>
      </c>
      <c r="R425" s="4">
        <v>0</v>
      </c>
      <c r="S425" s="6">
        <v>29</v>
      </c>
      <c r="T425" s="6">
        <v>30</v>
      </c>
      <c r="U425" s="6">
        <v>67</v>
      </c>
      <c r="V425" s="6">
        <f>IF(ISERROR(VLOOKUP($S$425,'TAR FIN'!$A$1:$O$95,15,0)),0,VLOOKUP($S$425,'TAR FIN'!$A$1:$O$95,15,0))</f>
        <v>28.57</v>
      </c>
      <c r="W425" s="6">
        <f>IF(ISERROR(VLOOKUP($T$425,'TAR FIN'!$A$1:$O$95,15,0)),0,VLOOKUP($T$425,'TAR FIN'!$A$1:$O$95,15,0))</f>
        <v>149.63</v>
      </c>
      <c r="X425" s="6">
        <f>IF(ISERROR(VLOOKUP($U$425,'TAR FIN'!$A$1:$O$95,15,0)),0,VLOOKUP($U$425,'TAR FIN'!$A$1:$O$95,15,0))</f>
        <v>230.03</v>
      </c>
      <c r="Y425" s="6">
        <f ca="1">('TUSD BE'!$AM$11+'TUSD BF'!$AM$11+'TUSD CVA'!$AM$11)*1</f>
        <v>31.93064187172984</v>
      </c>
      <c r="Z425" s="6">
        <f ca="1">('TUSD BE'!$AM$12+'TUSD BF'!$AM$12+'TUSD CVA'!$AM$12)*1</f>
        <v>168.51338132937991</v>
      </c>
      <c r="AA425" s="6">
        <f>('TE BE'!$AA$8+'TE BF'!$AA$8+'TE CVA'!$AA$8)*1</f>
        <v>282.91739971702214</v>
      </c>
      <c r="AB425" s="6">
        <f>$K$425*$V$425</f>
        <v>-11228.01</v>
      </c>
      <c r="AC425" s="6">
        <f>$M$425*$W$425</f>
        <v>-12269.66</v>
      </c>
      <c r="AD425" s="6">
        <f>$O$425*$X$425</f>
        <v>-18862.46</v>
      </c>
      <c r="AE425" s="6">
        <f ca="1">$K$425*$Y$425</f>
        <v>-12548.742255589827</v>
      </c>
      <c r="AF425" s="6">
        <f ca="1">$M$425*$Z$425</f>
        <v>-13818.097269009153</v>
      </c>
      <c r="AG425" s="6">
        <f>$O$425*$AA$425</f>
        <v>-23199.226776795815</v>
      </c>
    </row>
    <row r="426" spans="1:33" ht="11.25" customHeight="1" x14ac:dyDescent="0.25">
      <c r="A426" s="4" t="s">
        <v>30</v>
      </c>
      <c r="B426" s="4" t="s">
        <v>35</v>
      </c>
      <c r="C426" s="4" t="s">
        <v>44</v>
      </c>
      <c r="D426" s="4" t="s">
        <v>42</v>
      </c>
      <c r="E426" s="4" t="s">
        <v>25</v>
      </c>
      <c r="F426" s="4" t="s">
        <v>25</v>
      </c>
      <c r="G426" s="4" t="s">
        <v>25</v>
      </c>
      <c r="H426" s="4" t="s">
        <v>38</v>
      </c>
      <c r="I426" s="5">
        <v>44287</v>
      </c>
      <c r="J426" s="6">
        <v>1644</v>
      </c>
      <c r="K426" s="6">
        <v>1644</v>
      </c>
      <c r="L426" s="6">
        <v>801.90599999999995</v>
      </c>
      <c r="M426" s="6">
        <v>801.90599999999995</v>
      </c>
      <c r="N426" s="6">
        <v>801.90599999999995</v>
      </c>
      <c r="O426" s="6">
        <v>801.90599999999995</v>
      </c>
      <c r="P426" s="6">
        <v>0</v>
      </c>
      <c r="Q426" s="4" t="s">
        <v>26</v>
      </c>
      <c r="R426" s="4">
        <v>0</v>
      </c>
      <c r="S426" s="6">
        <v>29</v>
      </c>
      <c r="T426" s="6">
        <v>30</v>
      </c>
      <c r="U426" s="6">
        <v>67</v>
      </c>
      <c r="V426" s="6">
        <f>IF(ISERROR(VLOOKUP($S$426,'TAR FIN'!$A$1:$O$95,15,0)),0,VLOOKUP($S$426,'TAR FIN'!$A$1:$O$95,15,0))</f>
        <v>28.57</v>
      </c>
      <c r="W426" s="6">
        <f>IF(ISERROR(VLOOKUP($T$426,'TAR FIN'!$A$1:$O$95,15,0)),0,VLOOKUP($T$426,'TAR FIN'!$A$1:$O$95,15,0))</f>
        <v>149.63</v>
      </c>
      <c r="X426" s="6">
        <f>IF(ISERROR(VLOOKUP($U$426,'TAR FIN'!$A$1:$O$95,15,0)),0,VLOOKUP($U$426,'TAR FIN'!$A$1:$O$95,15,0))</f>
        <v>230.03</v>
      </c>
      <c r="Y426" s="6">
        <f ca="1">('TUSD BE'!$AM$11+'TUSD BF'!$AM$11+'TUSD CVA'!$AM$11)*1</f>
        <v>31.93064187172984</v>
      </c>
      <c r="Z426" s="6">
        <f ca="1">('TUSD BE'!$AM$12+'TUSD BF'!$AM$12+'TUSD CVA'!$AM$12)*1</f>
        <v>168.51338132937991</v>
      </c>
      <c r="AA426" s="6">
        <f>('TE BE'!$AA$8+'TE BF'!$AA$8+'TE CVA'!$AA$8)*1</f>
        <v>282.91739971702214</v>
      </c>
      <c r="AB426" s="6">
        <f>$K$426*$V$426</f>
        <v>46969.08</v>
      </c>
      <c r="AC426" s="6">
        <f>$M$426*$W$426</f>
        <v>119989.19477999999</v>
      </c>
      <c r="AD426" s="6">
        <f>$O$426*$X$426</f>
        <v>184462.43717999998</v>
      </c>
      <c r="AE426" s="6">
        <f ca="1">$K$426*$Y$426</f>
        <v>52493.975237123857</v>
      </c>
      <c r="AF426" s="6">
        <f ca="1">$M$426*$Z$426</f>
        <v>135131.89156831772</v>
      </c>
      <c r="AG426" s="6">
        <f>$O$426*$AA$426</f>
        <v>226873.16033747833</v>
      </c>
    </row>
    <row r="427" spans="1:33" ht="11.25" customHeight="1" x14ac:dyDescent="0.25">
      <c r="A427" s="4" t="s">
        <v>21</v>
      </c>
      <c r="B427" s="4" t="s">
        <v>35</v>
      </c>
      <c r="C427" s="4" t="s">
        <v>44</v>
      </c>
      <c r="D427" s="4" t="s">
        <v>42</v>
      </c>
      <c r="E427" s="4" t="s">
        <v>25</v>
      </c>
      <c r="F427" s="4" t="s">
        <v>25</v>
      </c>
      <c r="G427" s="4" t="s">
        <v>25</v>
      </c>
      <c r="H427" s="4" t="s">
        <v>38</v>
      </c>
      <c r="I427" s="5">
        <v>44287</v>
      </c>
      <c r="J427" s="6">
        <v>5962</v>
      </c>
      <c r="K427" s="6">
        <v>5962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4" t="s">
        <v>60</v>
      </c>
      <c r="R427" s="4">
        <v>0</v>
      </c>
      <c r="S427" s="6">
        <v>29</v>
      </c>
      <c r="T427" s="6">
        <v>0</v>
      </c>
      <c r="U427" s="6">
        <v>0</v>
      </c>
      <c r="V427" s="6">
        <f>IF(ISERROR(VLOOKUP($S$427,'TAR FIN'!$A$1:$O$95,15,0)),0,VLOOKUP($S$427,'TAR FIN'!$A$1:$O$95,15,0))</f>
        <v>28.57</v>
      </c>
      <c r="W427" s="6">
        <f>IF(ISERROR(VLOOKUP($T$427,'TAR FIN'!$A$1:$O$95,15,0)),0,VLOOKUP($T$427,'TAR FIN'!$A$1:$O$95,15,0))</f>
        <v>0</v>
      </c>
      <c r="X427" s="6">
        <f>IF(ISERROR(VLOOKUP($U$427,'TAR FIN'!$A$1:$O$95,15,0)),0,VLOOKUP($U$427,'TAR FIN'!$A$1:$O$95,15,0))</f>
        <v>0</v>
      </c>
      <c r="Y427" s="6">
        <f ca="1">('TUSD BE'!$AM$11+'TUSD BF'!$AM$11+'TUSD CVA'!$AM$11)*1</f>
        <v>31.93064187172984</v>
      </c>
      <c r="Z427" s="6">
        <f ca="1">('TUSD BE'!$AM$12+'TUSD BF'!$AM$12+'TUSD CVA'!$AM$12)*1</f>
        <v>168.51338132937991</v>
      </c>
      <c r="AA427" s="6"/>
      <c r="AB427" s="6">
        <f>$K$427*$V$427</f>
        <v>170334.34</v>
      </c>
      <c r="AC427" s="6">
        <f>$M$427*$W$427</f>
        <v>0</v>
      </c>
      <c r="AD427" s="6">
        <f>$O$427*$X$427</f>
        <v>0</v>
      </c>
      <c r="AE427" s="6">
        <f ca="1">$K$427*$Y$427</f>
        <v>190370.48683925331</v>
      </c>
      <c r="AF427" s="6">
        <f ca="1">$M$427*$Z$427</f>
        <v>0</v>
      </c>
      <c r="AG427" s="6">
        <f>$O$427*$AA$427</f>
        <v>0</v>
      </c>
    </row>
    <row r="428" spans="1:33" ht="11.25" customHeight="1" x14ac:dyDescent="0.25">
      <c r="A428" s="4" t="s">
        <v>21</v>
      </c>
      <c r="B428" s="4" t="s">
        <v>35</v>
      </c>
      <c r="C428" s="4" t="s">
        <v>44</v>
      </c>
      <c r="D428" s="4" t="s">
        <v>42</v>
      </c>
      <c r="E428" s="4" t="s">
        <v>25</v>
      </c>
      <c r="F428" s="4" t="s">
        <v>25</v>
      </c>
      <c r="G428" s="4" t="s">
        <v>25</v>
      </c>
      <c r="H428" s="4" t="s">
        <v>38</v>
      </c>
      <c r="I428" s="5">
        <v>44317</v>
      </c>
      <c r="J428" s="6">
        <v>23262</v>
      </c>
      <c r="K428" s="6">
        <v>23262</v>
      </c>
      <c r="L428" s="6">
        <v>5641.8639999999996</v>
      </c>
      <c r="M428" s="6">
        <v>5641.8639999999996</v>
      </c>
      <c r="N428" s="6">
        <v>5641.8639999999996</v>
      </c>
      <c r="O428" s="6">
        <v>5641.8639999999996</v>
      </c>
      <c r="P428" s="6">
        <v>0</v>
      </c>
      <c r="Q428" s="4" t="s">
        <v>26</v>
      </c>
      <c r="R428" s="4">
        <v>0</v>
      </c>
      <c r="S428" s="6">
        <v>29</v>
      </c>
      <c r="T428" s="6">
        <v>30</v>
      </c>
      <c r="U428" s="6">
        <v>67</v>
      </c>
      <c r="V428" s="6">
        <f>IF(ISERROR(VLOOKUP($S$428,'TAR FIN'!$A$1:$O$95,15,0)),0,VLOOKUP($S$428,'TAR FIN'!$A$1:$O$95,15,0))</f>
        <v>28.57</v>
      </c>
      <c r="W428" s="6">
        <f>IF(ISERROR(VLOOKUP($T$428,'TAR FIN'!$A$1:$O$95,15,0)),0,VLOOKUP($T$428,'TAR FIN'!$A$1:$O$95,15,0))</f>
        <v>149.63</v>
      </c>
      <c r="X428" s="6">
        <f>IF(ISERROR(VLOOKUP($U$428,'TAR FIN'!$A$1:$O$95,15,0)),0,VLOOKUP($U$428,'TAR FIN'!$A$1:$O$95,15,0))</f>
        <v>230.03</v>
      </c>
      <c r="Y428" s="6">
        <f ca="1">('TUSD BE'!$AM$11+'TUSD BF'!$AM$11+'TUSD CVA'!$AM$11)*1</f>
        <v>31.93064187172984</v>
      </c>
      <c r="Z428" s="6">
        <f ca="1">('TUSD BE'!$AM$12+'TUSD BF'!$AM$12+'TUSD CVA'!$AM$12)*1</f>
        <v>168.51338132937991</v>
      </c>
      <c r="AA428" s="6">
        <f>('TE BE'!$AA$8+'TE BF'!$AA$8+'TE CVA'!$AA$8)*1</f>
        <v>282.91739971702214</v>
      </c>
      <c r="AB428" s="6">
        <f>$K$428*$V$428</f>
        <v>664595.34</v>
      </c>
      <c r="AC428" s="6">
        <f>$M$428*$W$428</f>
        <v>844192.11031999986</v>
      </c>
      <c r="AD428" s="6">
        <f>$O$428*$X$428</f>
        <v>1297797.9759199999</v>
      </c>
      <c r="AE428" s="6">
        <f ca="1">$K$428*$Y$428</f>
        <v>742770.59122017957</v>
      </c>
      <c r="AF428" s="6">
        <f ca="1">$M$428*$Z$428</f>
        <v>950729.5796405006</v>
      </c>
      <c r="AG428" s="6">
        <f>$O$428*$AA$428</f>
        <v>1596181.4924370772</v>
      </c>
    </row>
    <row r="429" spans="1:33" ht="11.25" customHeight="1" x14ac:dyDescent="0.25">
      <c r="A429" s="4" t="s">
        <v>27</v>
      </c>
      <c r="B429" s="4" t="s">
        <v>35</v>
      </c>
      <c r="C429" s="4" t="s">
        <v>44</v>
      </c>
      <c r="D429" s="4" t="s">
        <v>42</v>
      </c>
      <c r="E429" s="4" t="s">
        <v>25</v>
      </c>
      <c r="F429" s="4" t="s">
        <v>25</v>
      </c>
      <c r="G429" s="4" t="s">
        <v>25</v>
      </c>
      <c r="H429" s="4" t="s">
        <v>38</v>
      </c>
      <c r="I429" s="5">
        <v>44317</v>
      </c>
      <c r="J429" s="6">
        <v>1296</v>
      </c>
      <c r="K429" s="6">
        <v>1296</v>
      </c>
      <c r="L429" s="6">
        <v>747.39</v>
      </c>
      <c r="M429" s="6">
        <v>747.39</v>
      </c>
      <c r="N429" s="6">
        <v>747.39</v>
      </c>
      <c r="O429" s="6">
        <v>747.39</v>
      </c>
      <c r="P429" s="6">
        <v>0</v>
      </c>
      <c r="Q429" s="4" t="s">
        <v>26</v>
      </c>
      <c r="R429" s="4">
        <v>0</v>
      </c>
      <c r="S429" s="6">
        <v>29</v>
      </c>
      <c r="T429" s="6">
        <v>30</v>
      </c>
      <c r="U429" s="6">
        <v>67</v>
      </c>
      <c r="V429" s="6">
        <f>IF(ISERROR(VLOOKUP($S$429,'TAR FIN'!$A$1:$O$95,15,0)),0,VLOOKUP($S$429,'TAR FIN'!$A$1:$O$95,15,0))</f>
        <v>28.57</v>
      </c>
      <c r="W429" s="6">
        <f>IF(ISERROR(VLOOKUP($T$429,'TAR FIN'!$A$1:$O$95,15,0)),0,VLOOKUP($T$429,'TAR FIN'!$A$1:$O$95,15,0))</f>
        <v>149.63</v>
      </c>
      <c r="X429" s="6">
        <f>IF(ISERROR(VLOOKUP($U$429,'TAR FIN'!$A$1:$O$95,15,0)),0,VLOOKUP($U$429,'TAR FIN'!$A$1:$O$95,15,0))</f>
        <v>230.03</v>
      </c>
      <c r="Y429" s="6">
        <f ca="1">('TUSD BE'!$AM$11+'TUSD BF'!$AM$11+'TUSD CVA'!$AM$11)*1</f>
        <v>31.93064187172984</v>
      </c>
      <c r="Z429" s="6">
        <f ca="1">('TUSD BE'!$AM$12+'TUSD BF'!$AM$12+'TUSD CVA'!$AM$12)*1</f>
        <v>168.51338132937991</v>
      </c>
      <c r="AA429" s="6">
        <f>('TE BE'!$AA$8+'TE BF'!$AA$8+'TE CVA'!$AA$8)*1</f>
        <v>282.91739971702214</v>
      </c>
      <c r="AB429" s="6">
        <f>$K$429*$V$429</f>
        <v>37026.720000000001</v>
      </c>
      <c r="AC429" s="6">
        <f>$M$429*$W$429</f>
        <v>111831.9657</v>
      </c>
      <c r="AD429" s="6">
        <f>$O$429*$X$429</f>
        <v>171922.12169999999</v>
      </c>
      <c r="AE429" s="6">
        <f ca="1">$K$429*$Y$429</f>
        <v>41382.111865761872</v>
      </c>
      <c r="AF429" s="6">
        <f ca="1">$M$429*$Z$429</f>
        <v>125945.21607176524</v>
      </c>
      <c r="AG429" s="6">
        <f>$O$429*$AA$429</f>
        <v>211449.63537450516</v>
      </c>
    </row>
    <row r="430" spans="1:33" ht="11.25" customHeight="1" x14ac:dyDescent="0.25">
      <c r="A430" s="4" t="s">
        <v>28</v>
      </c>
      <c r="B430" s="4" t="s">
        <v>35</v>
      </c>
      <c r="C430" s="4" t="s">
        <v>44</v>
      </c>
      <c r="D430" s="4" t="s">
        <v>42</v>
      </c>
      <c r="E430" s="4" t="s">
        <v>25</v>
      </c>
      <c r="F430" s="4" t="s">
        <v>25</v>
      </c>
      <c r="G430" s="4" t="s">
        <v>25</v>
      </c>
      <c r="H430" s="4" t="s">
        <v>38</v>
      </c>
      <c r="I430" s="5">
        <v>44317</v>
      </c>
      <c r="J430" s="6">
        <v>1375</v>
      </c>
      <c r="K430" s="6">
        <v>1375</v>
      </c>
      <c r="L430" s="6">
        <v>417.71600000000001</v>
      </c>
      <c r="M430" s="6">
        <v>417.71600000000001</v>
      </c>
      <c r="N430" s="6">
        <v>417.71600000000001</v>
      </c>
      <c r="O430" s="6">
        <v>417.71600000000001</v>
      </c>
      <c r="P430" s="6">
        <v>0</v>
      </c>
      <c r="Q430" s="4" t="s">
        <v>26</v>
      </c>
      <c r="R430" s="4">
        <v>0</v>
      </c>
      <c r="S430" s="6">
        <v>29</v>
      </c>
      <c r="T430" s="6">
        <v>30</v>
      </c>
      <c r="U430" s="6">
        <v>67</v>
      </c>
      <c r="V430" s="6">
        <f>IF(ISERROR(VLOOKUP($S$430,'TAR FIN'!$A$1:$O$95,15,0)),0,VLOOKUP($S$430,'TAR FIN'!$A$1:$O$95,15,0))</f>
        <v>28.57</v>
      </c>
      <c r="W430" s="6">
        <f>IF(ISERROR(VLOOKUP($T$430,'TAR FIN'!$A$1:$O$95,15,0)),0,VLOOKUP($T$430,'TAR FIN'!$A$1:$O$95,15,0))</f>
        <v>149.63</v>
      </c>
      <c r="X430" s="6">
        <f>IF(ISERROR(VLOOKUP($U$430,'TAR FIN'!$A$1:$O$95,15,0)),0,VLOOKUP($U$430,'TAR FIN'!$A$1:$O$95,15,0))</f>
        <v>230.03</v>
      </c>
      <c r="Y430" s="6">
        <f ca="1">('TUSD BE'!$AM$11+'TUSD BF'!$AM$11+'TUSD CVA'!$AM$11)*1</f>
        <v>31.93064187172984</v>
      </c>
      <c r="Z430" s="6">
        <f ca="1">('TUSD BE'!$AM$12+'TUSD BF'!$AM$12+'TUSD CVA'!$AM$12)*1</f>
        <v>168.51338132937991</v>
      </c>
      <c r="AA430" s="6">
        <f>('TE BE'!$AA$8+'TE BF'!$AA$8+'TE CVA'!$AA$8)*1</f>
        <v>282.91739971702214</v>
      </c>
      <c r="AB430" s="6">
        <f>$K$430*$V$430</f>
        <v>39283.75</v>
      </c>
      <c r="AC430" s="6">
        <f>$M$430*$W$430</f>
        <v>62502.845079999999</v>
      </c>
      <c r="AD430" s="6">
        <f>$O$430*$X$430</f>
        <v>96087.211479999998</v>
      </c>
      <c r="AE430" s="6">
        <f ca="1">$K$430*$Y$430</f>
        <v>43904.632573628529</v>
      </c>
      <c r="AF430" s="6">
        <f ca="1">$M$430*$Z$430</f>
        <v>70390.735595383259</v>
      </c>
      <c r="AG430" s="6">
        <f>$O$430*$AA$430</f>
        <v>118179.12454019563</v>
      </c>
    </row>
    <row r="431" spans="1:33" ht="11.25" customHeight="1" x14ac:dyDescent="0.25">
      <c r="A431" s="4" t="s">
        <v>30</v>
      </c>
      <c r="B431" s="4" t="s">
        <v>35</v>
      </c>
      <c r="C431" s="4" t="s">
        <v>44</v>
      </c>
      <c r="D431" s="4" t="s">
        <v>42</v>
      </c>
      <c r="E431" s="4" t="s">
        <v>25</v>
      </c>
      <c r="F431" s="4" t="s">
        <v>25</v>
      </c>
      <c r="G431" s="4" t="s">
        <v>25</v>
      </c>
      <c r="H431" s="4" t="s">
        <v>38</v>
      </c>
      <c r="I431" s="5">
        <v>44317</v>
      </c>
      <c r="J431" s="6">
        <v>1661</v>
      </c>
      <c r="K431" s="6">
        <v>1661</v>
      </c>
      <c r="L431" s="6">
        <v>758.19799999999998</v>
      </c>
      <c r="M431" s="6">
        <v>758.19799999999998</v>
      </c>
      <c r="N431" s="6">
        <v>758.19799999999998</v>
      </c>
      <c r="O431" s="6">
        <v>758.19799999999998</v>
      </c>
      <c r="P431" s="6">
        <v>0</v>
      </c>
      <c r="Q431" s="4" t="s">
        <v>26</v>
      </c>
      <c r="R431" s="4">
        <v>0</v>
      </c>
      <c r="S431" s="6">
        <v>29</v>
      </c>
      <c r="T431" s="6">
        <v>30</v>
      </c>
      <c r="U431" s="6">
        <v>67</v>
      </c>
      <c r="V431" s="6">
        <f>IF(ISERROR(VLOOKUP($S$431,'TAR FIN'!$A$1:$O$95,15,0)),0,VLOOKUP($S$431,'TAR FIN'!$A$1:$O$95,15,0))</f>
        <v>28.57</v>
      </c>
      <c r="W431" s="6">
        <f>IF(ISERROR(VLOOKUP($T$431,'TAR FIN'!$A$1:$O$95,15,0)),0,VLOOKUP($T$431,'TAR FIN'!$A$1:$O$95,15,0))</f>
        <v>149.63</v>
      </c>
      <c r="X431" s="6">
        <f>IF(ISERROR(VLOOKUP($U$431,'TAR FIN'!$A$1:$O$95,15,0)),0,VLOOKUP($U$431,'TAR FIN'!$A$1:$O$95,15,0))</f>
        <v>230.03</v>
      </c>
      <c r="Y431" s="6">
        <f ca="1">('TUSD BE'!$AM$11+'TUSD BF'!$AM$11+'TUSD CVA'!$AM$11)*1</f>
        <v>31.93064187172984</v>
      </c>
      <c r="Z431" s="6">
        <f ca="1">('TUSD BE'!$AM$12+'TUSD BF'!$AM$12+'TUSD CVA'!$AM$12)*1</f>
        <v>168.51338132937991</v>
      </c>
      <c r="AA431" s="6">
        <f>('TE BE'!$AA$8+'TE BF'!$AA$8+'TE CVA'!$AA$8)*1</f>
        <v>282.91739971702214</v>
      </c>
      <c r="AB431" s="6">
        <f>$K$431*$V$431</f>
        <v>47454.770000000004</v>
      </c>
      <c r="AC431" s="6">
        <f>$M$431*$W$431</f>
        <v>113449.16674</v>
      </c>
      <c r="AD431" s="6">
        <f>$O$431*$X$431</f>
        <v>174408.28594</v>
      </c>
      <c r="AE431" s="6">
        <f ca="1">$K$431*$Y$431</f>
        <v>53036.796148943264</v>
      </c>
      <c r="AF431" s="6">
        <f ca="1">$M$431*$Z$431</f>
        <v>127766.50869717318</v>
      </c>
      <c r="AG431" s="6">
        <f>$O$431*$AA$431</f>
        <v>214507.40663064676</v>
      </c>
    </row>
    <row r="432" spans="1:33" ht="11.25" customHeight="1" x14ac:dyDescent="0.25">
      <c r="A432" s="4" t="s">
        <v>21</v>
      </c>
      <c r="B432" s="4" t="s">
        <v>35</v>
      </c>
      <c r="C432" s="4" t="s">
        <v>44</v>
      </c>
      <c r="D432" s="4" t="s">
        <v>42</v>
      </c>
      <c r="E432" s="4" t="s">
        <v>25</v>
      </c>
      <c r="F432" s="4" t="s">
        <v>25</v>
      </c>
      <c r="G432" s="4" t="s">
        <v>25</v>
      </c>
      <c r="H432" s="4" t="s">
        <v>38</v>
      </c>
      <c r="I432" s="5">
        <v>44317</v>
      </c>
      <c r="J432" s="6">
        <v>5695</v>
      </c>
      <c r="K432" s="6">
        <v>5695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4" t="s">
        <v>60</v>
      </c>
      <c r="R432" s="4">
        <v>0</v>
      </c>
      <c r="S432" s="6">
        <v>29</v>
      </c>
      <c r="T432" s="6">
        <v>0</v>
      </c>
      <c r="U432" s="6">
        <v>0</v>
      </c>
      <c r="V432" s="6">
        <f>IF(ISERROR(VLOOKUP($S$432,'TAR FIN'!$A$1:$O$95,15,0)),0,VLOOKUP($S$432,'TAR FIN'!$A$1:$O$95,15,0))</f>
        <v>28.57</v>
      </c>
      <c r="W432" s="6">
        <f>IF(ISERROR(VLOOKUP($T$432,'TAR FIN'!$A$1:$O$95,15,0)),0,VLOOKUP($T$432,'TAR FIN'!$A$1:$O$95,15,0))</f>
        <v>0</v>
      </c>
      <c r="X432" s="6">
        <f>IF(ISERROR(VLOOKUP($U$432,'TAR FIN'!$A$1:$O$95,15,0)),0,VLOOKUP($U$432,'TAR FIN'!$A$1:$O$95,15,0))</f>
        <v>0</v>
      </c>
      <c r="Y432" s="6">
        <f ca="1">('TUSD BE'!$AM$11+'TUSD BF'!$AM$11+'TUSD CVA'!$AM$11)*1</f>
        <v>31.93064187172984</v>
      </c>
      <c r="Z432" s="6">
        <f ca="1">('TUSD BE'!$AM$12+'TUSD BF'!$AM$12+'TUSD CVA'!$AM$12)*1</f>
        <v>168.51338132937991</v>
      </c>
      <c r="AA432" s="6"/>
      <c r="AB432" s="6">
        <f>$K$432*$V$432</f>
        <v>162706.15</v>
      </c>
      <c r="AC432" s="6">
        <f>$M$432*$W$432</f>
        <v>0</v>
      </c>
      <c r="AD432" s="6">
        <f>$O$432*$X$432</f>
        <v>0</v>
      </c>
      <c r="AE432" s="6">
        <f ca="1">$K$432*$Y$432</f>
        <v>181845.00545950144</v>
      </c>
      <c r="AF432" s="6">
        <f ca="1">$M$432*$Z$432</f>
        <v>0</v>
      </c>
      <c r="AG432" s="6">
        <f>$O$432*$AA$432</f>
        <v>0</v>
      </c>
    </row>
    <row r="433" spans="1:33" ht="11.25" customHeight="1" x14ac:dyDescent="0.25">
      <c r="A433" s="4" t="s">
        <v>21</v>
      </c>
      <c r="B433" s="4" t="s">
        <v>35</v>
      </c>
      <c r="C433" s="4" t="s">
        <v>44</v>
      </c>
      <c r="D433" s="4" t="s">
        <v>42</v>
      </c>
      <c r="E433" s="4" t="s">
        <v>25</v>
      </c>
      <c r="F433" s="4" t="s">
        <v>25</v>
      </c>
      <c r="G433" s="4" t="s">
        <v>25</v>
      </c>
      <c r="H433" s="4" t="s">
        <v>38</v>
      </c>
      <c r="I433" s="5">
        <v>44348</v>
      </c>
      <c r="J433" s="6">
        <v>20035</v>
      </c>
      <c r="K433" s="6">
        <v>20035</v>
      </c>
      <c r="L433" s="6">
        <v>4770.3649999999998</v>
      </c>
      <c r="M433" s="6">
        <v>4770.3649999999998</v>
      </c>
      <c r="N433" s="6">
        <v>4770.3649999999998</v>
      </c>
      <c r="O433" s="6">
        <v>4770.3649999999998</v>
      </c>
      <c r="P433" s="6">
        <v>0</v>
      </c>
      <c r="Q433" s="4" t="s">
        <v>26</v>
      </c>
      <c r="R433" s="4">
        <v>0</v>
      </c>
      <c r="S433" s="6">
        <v>29</v>
      </c>
      <c r="T433" s="6">
        <v>30</v>
      </c>
      <c r="U433" s="6">
        <v>67</v>
      </c>
      <c r="V433" s="6">
        <f>IF(ISERROR(VLOOKUP($S$433,'TAR FIN'!$A$1:$O$95,15,0)),0,VLOOKUP($S$433,'TAR FIN'!$A$1:$O$95,15,0))</f>
        <v>28.57</v>
      </c>
      <c r="W433" s="6">
        <f>IF(ISERROR(VLOOKUP($T$433,'TAR FIN'!$A$1:$O$95,15,0)),0,VLOOKUP($T$433,'TAR FIN'!$A$1:$O$95,15,0))</f>
        <v>149.63</v>
      </c>
      <c r="X433" s="6">
        <f>IF(ISERROR(VLOOKUP($U$433,'TAR FIN'!$A$1:$O$95,15,0)),0,VLOOKUP($U$433,'TAR FIN'!$A$1:$O$95,15,0))</f>
        <v>230.03</v>
      </c>
      <c r="Y433" s="6">
        <f ca="1">('TUSD BE'!$AM$11+'TUSD BF'!$AM$11+'TUSD CVA'!$AM$11)*1</f>
        <v>31.93064187172984</v>
      </c>
      <c r="Z433" s="6">
        <f ca="1">('TUSD BE'!$AM$12+'TUSD BF'!$AM$12+'TUSD CVA'!$AM$12)*1</f>
        <v>168.51338132937991</v>
      </c>
      <c r="AA433" s="6">
        <f>('TE BE'!$AA$8+'TE BF'!$AA$8+'TE CVA'!$AA$8)*1</f>
        <v>282.91739971702214</v>
      </c>
      <c r="AB433" s="6">
        <f>$K$433*$V$433</f>
        <v>572399.94999999995</v>
      </c>
      <c r="AC433" s="6">
        <f>$M$433*$W$433</f>
        <v>713789.71494999994</v>
      </c>
      <c r="AD433" s="6">
        <f>$O$433*$X$433</f>
        <v>1097327.0609499998</v>
      </c>
      <c r="AE433" s="6">
        <f ca="1">$K$433*$Y$433</f>
        <v>639730.4099001073</v>
      </c>
      <c r="AF433" s="6">
        <f ca="1">$M$433*$Z$433</f>
        <v>803870.3363253274</v>
      </c>
      <c r="AG433" s="6">
        <f>$O$433*$AA$433</f>
        <v>1349619.2615010922</v>
      </c>
    </row>
    <row r="434" spans="1:33" ht="11.25" customHeight="1" x14ac:dyDescent="0.25">
      <c r="A434" s="4" t="s">
        <v>27</v>
      </c>
      <c r="B434" s="4" t="s">
        <v>35</v>
      </c>
      <c r="C434" s="4" t="s">
        <v>44</v>
      </c>
      <c r="D434" s="4" t="s">
        <v>42</v>
      </c>
      <c r="E434" s="4" t="s">
        <v>25</v>
      </c>
      <c r="F434" s="4" t="s">
        <v>25</v>
      </c>
      <c r="G434" s="4" t="s">
        <v>25</v>
      </c>
      <c r="H434" s="4" t="s">
        <v>38</v>
      </c>
      <c r="I434" s="5">
        <v>44348</v>
      </c>
      <c r="J434" s="6">
        <v>-2164</v>
      </c>
      <c r="K434" s="6">
        <v>-2164</v>
      </c>
      <c r="L434" s="6">
        <v>-557.60299999999995</v>
      </c>
      <c r="M434" s="6">
        <v>-557.60299999999995</v>
      </c>
      <c r="N434" s="6">
        <v>-557.60299999999995</v>
      </c>
      <c r="O434" s="6">
        <v>-557.60299999999995</v>
      </c>
      <c r="P434" s="6">
        <v>0</v>
      </c>
      <c r="Q434" s="4" t="s">
        <v>26</v>
      </c>
      <c r="R434" s="4">
        <v>0</v>
      </c>
      <c r="S434" s="6">
        <v>29</v>
      </c>
      <c r="T434" s="6">
        <v>30</v>
      </c>
      <c r="U434" s="6">
        <v>67</v>
      </c>
      <c r="V434" s="6">
        <f>IF(ISERROR(VLOOKUP($S$434,'TAR FIN'!$A$1:$O$95,15,0)),0,VLOOKUP($S$434,'TAR FIN'!$A$1:$O$95,15,0))</f>
        <v>28.57</v>
      </c>
      <c r="W434" s="6">
        <f>IF(ISERROR(VLOOKUP($T$434,'TAR FIN'!$A$1:$O$95,15,0)),0,VLOOKUP($T$434,'TAR FIN'!$A$1:$O$95,15,0))</f>
        <v>149.63</v>
      </c>
      <c r="X434" s="6">
        <f>IF(ISERROR(VLOOKUP($U$434,'TAR FIN'!$A$1:$O$95,15,0)),0,VLOOKUP($U$434,'TAR FIN'!$A$1:$O$95,15,0))</f>
        <v>230.03</v>
      </c>
      <c r="Y434" s="6">
        <f ca="1">('TUSD BE'!$AM$11+'TUSD BF'!$AM$11+'TUSD CVA'!$AM$11)*1</f>
        <v>31.93064187172984</v>
      </c>
      <c r="Z434" s="6">
        <f ca="1">('TUSD BE'!$AM$12+'TUSD BF'!$AM$12+'TUSD CVA'!$AM$12)*1</f>
        <v>168.51338132937991</v>
      </c>
      <c r="AA434" s="6">
        <f>('TE BE'!$AA$8+'TE BF'!$AA$8+'TE CVA'!$AA$8)*1</f>
        <v>282.91739971702214</v>
      </c>
      <c r="AB434" s="6">
        <f>$K$434*$V$434</f>
        <v>-61825.48</v>
      </c>
      <c r="AC434" s="6">
        <f>$M$434*$W$434</f>
        <v>-83434.136889999994</v>
      </c>
      <c r="AD434" s="6">
        <f>$O$434*$X$434</f>
        <v>-128265.41808999999</v>
      </c>
      <c r="AE434" s="6">
        <f ca="1">$K$434*$Y$434</f>
        <v>-69097.909010423376</v>
      </c>
      <c r="AF434" s="6">
        <f ca="1">$M$434*$Z$434</f>
        <v>-93963.566969406224</v>
      </c>
      <c r="AG434" s="6">
        <f>$O$434*$AA$434</f>
        <v>-157755.59083441069</v>
      </c>
    </row>
    <row r="435" spans="1:33" ht="11.25" customHeight="1" x14ac:dyDescent="0.25">
      <c r="A435" s="4" t="s">
        <v>28</v>
      </c>
      <c r="B435" s="4" t="s">
        <v>35</v>
      </c>
      <c r="C435" s="4" t="s">
        <v>44</v>
      </c>
      <c r="D435" s="4" t="s">
        <v>42</v>
      </c>
      <c r="E435" s="4" t="s">
        <v>25</v>
      </c>
      <c r="F435" s="4" t="s">
        <v>25</v>
      </c>
      <c r="G435" s="4" t="s">
        <v>25</v>
      </c>
      <c r="H435" s="4" t="s">
        <v>38</v>
      </c>
      <c r="I435" s="5">
        <v>44348</v>
      </c>
      <c r="J435" s="6">
        <v>1393</v>
      </c>
      <c r="K435" s="6">
        <v>1393</v>
      </c>
      <c r="L435" s="6">
        <v>417.62400000000002</v>
      </c>
      <c r="M435" s="6">
        <v>417.62400000000002</v>
      </c>
      <c r="N435" s="6">
        <v>417.62400000000002</v>
      </c>
      <c r="O435" s="6">
        <v>417.62400000000002</v>
      </c>
      <c r="P435" s="6">
        <v>0</v>
      </c>
      <c r="Q435" s="4" t="s">
        <v>26</v>
      </c>
      <c r="R435" s="4">
        <v>0</v>
      </c>
      <c r="S435" s="6">
        <v>29</v>
      </c>
      <c r="T435" s="6">
        <v>30</v>
      </c>
      <c r="U435" s="6">
        <v>67</v>
      </c>
      <c r="V435" s="6">
        <f>IF(ISERROR(VLOOKUP($S$435,'TAR FIN'!$A$1:$O$95,15,0)),0,VLOOKUP($S$435,'TAR FIN'!$A$1:$O$95,15,0))</f>
        <v>28.57</v>
      </c>
      <c r="W435" s="6">
        <f>IF(ISERROR(VLOOKUP($T$435,'TAR FIN'!$A$1:$O$95,15,0)),0,VLOOKUP($T$435,'TAR FIN'!$A$1:$O$95,15,0))</f>
        <v>149.63</v>
      </c>
      <c r="X435" s="6">
        <f>IF(ISERROR(VLOOKUP($U$435,'TAR FIN'!$A$1:$O$95,15,0)),0,VLOOKUP($U$435,'TAR FIN'!$A$1:$O$95,15,0))</f>
        <v>230.03</v>
      </c>
      <c r="Y435" s="6">
        <f ca="1">('TUSD BE'!$AM$11+'TUSD BF'!$AM$11+'TUSD CVA'!$AM$11)*1</f>
        <v>31.93064187172984</v>
      </c>
      <c r="Z435" s="6">
        <f ca="1">('TUSD BE'!$AM$12+'TUSD BF'!$AM$12+'TUSD CVA'!$AM$12)*1</f>
        <v>168.51338132937991</v>
      </c>
      <c r="AA435" s="6">
        <f>('TE BE'!$AA$8+'TE BF'!$AA$8+'TE CVA'!$AA$8)*1</f>
        <v>282.91739971702214</v>
      </c>
      <c r="AB435" s="6">
        <f>$K$435*$V$435</f>
        <v>39798.01</v>
      </c>
      <c r="AC435" s="6">
        <f>$M$435*$W$435</f>
        <v>62489.079120000002</v>
      </c>
      <c r="AD435" s="6">
        <f>$O$435*$X$435</f>
        <v>96066.048720000006</v>
      </c>
      <c r="AE435" s="6">
        <f ca="1">$K$435*$Y$435</f>
        <v>44479.384127319667</v>
      </c>
      <c r="AF435" s="6">
        <f ca="1">$M$435*$Z$435</f>
        <v>70375.232364300959</v>
      </c>
      <c r="AG435" s="6">
        <f>$O$435*$AA$435</f>
        <v>118153.09613942166</v>
      </c>
    </row>
    <row r="436" spans="1:33" ht="11.25" customHeight="1" x14ac:dyDescent="0.25">
      <c r="A436" s="4" t="s">
        <v>29</v>
      </c>
      <c r="B436" s="4" t="s">
        <v>35</v>
      </c>
      <c r="C436" s="4" t="s">
        <v>44</v>
      </c>
      <c r="D436" s="4" t="s">
        <v>42</v>
      </c>
      <c r="E436" s="4" t="s">
        <v>25</v>
      </c>
      <c r="F436" s="4" t="s">
        <v>25</v>
      </c>
      <c r="G436" s="4" t="s">
        <v>25</v>
      </c>
      <c r="H436" s="4" t="s">
        <v>38</v>
      </c>
      <c r="I436" s="5">
        <v>44348</v>
      </c>
      <c r="J436" s="6">
        <v>-101</v>
      </c>
      <c r="K436" s="6">
        <v>-101</v>
      </c>
      <c r="L436" s="6">
        <v>-45.182000000000002</v>
      </c>
      <c r="M436" s="6">
        <v>-45.182000000000002</v>
      </c>
      <c r="N436" s="6">
        <v>-45.182000000000002</v>
      </c>
      <c r="O436" s="6">
        <v>-45.182000000000002</v>
      </c>
      <c r="P436" s="6">
        <v>0</v>
      </c>
      <c r="Q436" s="4" t="s">
        <v>26</v>
      </c>
      <c r="R436" s="4">
        <v>0</v>
      </c>
      <c r="S436" s="6">
        <v>29</v>
      </c>
      <c r="T436" s="6">
        <v>30</v>
      </c>
      <c r="U436" s="6">
        <v>67</v>
      </c>
      <c r="V436" s="6">
        <f>IF(ISERROR(VLOOKUP($S$436,'TAR FIN'!$A$1:$O$95,15,0)),0,VLOOKUP($S$436,'TAR FIN'!$A$1:$O$95,15,0))</f>
        <v>28.57</v>
      </c>
      <c r="W436" s="6">
        <f>IF(ISERROR(VLOOKUP($T$436,'TAR FIN'!$A$1:$O$95,15,0)),0,VLOOKUP($T$436,'TAR FIN'!$A$1:$O$95,15,0))</f>
        <v>149.63</v>
      </c>
      <c r="X436" s="6">
        <f>IF(ISERROR(VLOOKUP($U$436,'TAR FIN'!$A$1:$O$95,15,0)),0,VLOOKUP($U$436,'TAR FIN'!$A$1:$O$95,15,0))</f>
        <v>230.03</v>
      </c>
      <c r="Y436" s="6">
        <f ca="1">('TUSD BE'!$AM$11+'TUSD BF'!$AM$11+'TUSD CVA'!$AM$11)*1</f>
        <v>31.93064187172984</v>
      </c>
      <c r="Z436" s="6">
        <f ca="1">('TUSD BE'!$AM$12+'TUSD BF'!$AM$12+'TUSD CVA'!$AM$12)*1</f>
        <v>168.51338132937991</v>
      </c>
      <c r="AA436" s="6">
        <f>('TE BE'!$AA$8+'TE BF'!$AA$8+'TE CVA'!$AA$8)*1</f>
        <v>282.91739971702214</v>
      </c>
      <c r="AB436" s="6">
        <f>$K$436*$V$436</f>
        <v>-2885.57</v>
      </c>
      <c r="AC436" s="6">
        <f>$M$436*$W$436</f>
        <v>-6760.58266</v>
      </c>
      <c r="AD436" s="6">
        <f>$O$436*$X$436</f>
        <v>-10393.215460000001</v>
      </c>
      <c r="AE436" s="6">
        <f ca="1">$K$436*$Y$436</f>
        <v>-3224.9948290447137</v>
      </c>
      <c r="AF436" s="6">
        <f ca="1">$M$436*$Z$436</f>
        <v>-7613.7715952240433</v>
      </c>
      <c r="AG436" s="6">
        <f>$O$436*$AA$436</f>
        <v>-12782.773954014494</v>
      </c>
    </row>
    <row r="437" spans="1:33" ht="11.25" customHeight="1" x14ac:dyDescent="0.25">
      <c r="A437" s="4" t="s">
        <v>30</v>
      </c>
      <c r="B437" s="4" t="s">
        <v>35</v>
      </c>
      <c r="C437" s="4" t="s">
        <v>44</v>
      </c>
      <c r="D437" s="4" t="s">
        <v>42</v>
      </c>
      <c r="E437" s="4" t="s">
        <v>25</v>
      </c>
      <c r="F437" s="4" t="s">
        <v>25</v>
      </c>
      <c r="G437" s="4" t="s">
        <v>25</v>
      </c>
      <c r="H437" s="4" t="s">
        <v>38</v>
      </c>
      <c r="I437" s="5">
        <v>44348</v>
      </c>
      <c r="J437" s="6">
        <v>2227</v>
      </c>
      <c r="K437" s="6">
        <v>2227</v>
      </c>
      <c r="L437" s="6">
        <v>880.93499999999995</v>
      </c>
      <c r="M437" s="6">
        <v>880.93499999999995</v>
      </c>
      <c r="N437" s="6">
        <v>880.93499999999995</v>
      </c>
      <c r="O437" s="6">
        <v>880.93499999999995</v>
      </c>
      <c r="P437" s="6">
        <v>0</v>
      </c>
      <c r="Q437" s="4" t="s">
        <v>26</v>
      </c>
      <c r="R437" s="4">
        <v>0</v>
      </c>
      <c r="S437" s="6">
        <v>29</v>
      </c>
      <c r="T437" s="6">
        <v>30</v>
      </c>
      <c r="U437" s="6">
        <v>67</v>
      </c>
      <c r="V437" s="6">
        <f>IF(ISERROR(VLOOKUP($S$437,'TAR FIN'!$A$1:$O$95,15,0)),0,VLOOKUP($S$437,'TAR FIN'!$A$1:$O$95,15,0))</f>
        <v>28.57</v>
      </c>
      <c r="W437" s="6">
        <f>IF(ISERROR(VLOOKUP($T$437,'TAR FIN'!$A$1:$O$95,15,0)),0,VLOOKUP($T$437,'TAR FIN'!$A$1:$O$95,15,0))</f>
        <v>149.63</v>
      </c>
      <c r="X437" s="6">
        <f>IF(ISERROR(VLOOKUP($U$437,'TAR FIN'!$A$1:$O$95,15,0)),0,VLOOKUP($U$437,'TAR FIN'!$A$1:$O$95,15,0))</f>
        <v>230.03</v>
      </c>
      <c r="Y437" s="6">
        <f ca="1">('TUSD BE'!$AM$11+'TUSD BF'!$AM$11+'TUSD CVA'!$AM$11)*1</f>
        <v>31.93064187172984</v>
      </c>
      <c r="Z437" s="6">
        <f ca="1">('TUSD BE'!$AM$12+'TUSD BF'!$AM$12+'TUSD CVA'!$AM$12)*1</f>
        <v>168.51338132937991</v>
      </c>
      <c r="AA437" s="6">
        <f>('TE BE'!$AA$8+'TE BF'!$AA$8+'TE CVA'!$AA$8)*1</f>
        <v>282.91739971702214</v>
      </c>
      <c r="AB437" s="6">
        <f>$K$437*$V$437</f>
        <v>63625.39</v>
      </c>
      <c r="AC437" s="6">
        <f>$M$437*$W$437</f>
        <v>131814.30404999998</v>
      </c>
      <c r="AD437" s="6">
        <f>$O$437*$X$437</f>
        <v>202641.47804999998</v>
      </c>
      <c r="AE437" s="6">
        <f ca="1">$K$437*$Y$437</f>
        <v>71109.539448342359</v>
      </c>
      <c r="AF437" s="6">
        <f ca="1">$M$437*$Z$437</f>
        <v>148449.33558139729</v>
      </c>
      <c r="AG437" s="6">
        <f>$O$437*$AA$437</f>
        <v>249231.83951971488</v>
      </c>
    </row>
    <row r="438" spans="1:33" ht="11.25" customHeight="1" x14ac:dyDescent="0.25">
      <c r="A438" s="4" t="s">
        <v>21</v>
      </c>
      <c r="B438" s="4" t="s">
        <v>35</v>
      </c>
      <c r="C438" s="4" t="s">
        <v>44</v>
      </c>
      <c r="D438" s="4" t="s">
        <v>42</v>
      </c>
      <c r="E438" s="4" t="s">
        <v>25</v>
      </c>
      <c r="F438" s="4" t="s">
        <v>25</v>
      </c>
      <c r="G438" s="4" t="s">
        <v>25</v>
      </c>
      <c r="H438" s="4" t="s">
        <v>38</v>
      </c>
      <c r="I438" s="5">
        <v>44348</v>
      </c>
      <c r="J438" s="6">
        <v>5937</v>
      </c>
      <c r="K438" s="6">
        <v>5937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4" t="s">
        <v>60</v>
      </c>
      <c r="R438" s="4">
        <v>0</v>
      </c>
      <c r="S438" s="6">
        <v>29</v>
      </c>
      <c r="T438" s="6">
        <v>0</v>
      </c>
      <c r="U438" s="6">
        <v>0</v>
      </c>
      <c r="V438" s="6">
        <f>IF(ISERROR(VLOOKUP($S$438,'TAR FIN'!$A$1:$O$95,15,0)),0,VLOOKUP($S$438,'TAR FIN'!$A$1:$O$95,15,0))</f>
        <v>28.57</v>
      </c>
      <c r="W438" s="6">
        <f>IF(ISERROR(VLOOKUP($T$438,'TAR FIN'!$A$1:$O$95,15,0)),0,VLOOKUP($T$438,'TAR FIN'!$A$1:$O$95,15,0))</f>
        <v>0</v>
      </c>
      <c r="X438" s="6">
        <f>IF(ISERROR(VLOOKUP($U$438,'TAR FIN'!$A$1:$O$95,15,0)),0,VLOOKUP($U$438,'TAR FIN'!$A$1:$O$95,15,0))</f>
        <v>0</v>
      </c>
      <c r="Y438" s="6">
        <f ca="1">('TUSD BE'!$AM$11+'TUSD BF'!$AM$11+'TUSD CVA'!$AM$11)*1</f>
        <v>31.93064187172984</v>
      </c>
      <c r="Z438" s="6">
        <f ca="1">('TUSD BE'!$AM$12+'TUSD BF'!$AM$12+'TUSD CVA'!$AM$12)*1</f>
        <v>168.51338132937991</v>
      </c>
      <c r="AA438" s="6"/>
      <c r="AB438" s="6">
        <f>$K$438*$V$438</f>
        <v>169620.09</v>
      </c>
      <c r="AC438" s="6">
        <f>$M$438*$W$438</f>
        <v>0</v>
      </c>
      <c r="AD438" s="6">
        <f>$O$438*$X$438</f>
        <v>0</v>
      </c>
      <c r="AE438" s="6">
        <f ca="1">$K$438*$Y$438</f>
        <v>189572.22079246005</v>
      </c>
      <c r="AF438" s="6">
        <f ca="1">$M$438*$Z$438</f>
        <v>0</v>
      </c>
      <c r="AG438" s="6">
        <f>$O$438*$AA$438</f>
        <v>0</v>
      </c>
    </row>
    <row r="439" spans="1:33" ht="11.25" customHeight="1" x14ac:dyDescent="0.25">
      <c r="A439" s="4" t="s">
        <v>21</v>
      </c>
      <c r="B439" s="4" t="s">
        <v>35</v>
      </c>
      <c r="C439" s="4" t="s">
        <v>44</v>
      </c>
      <c r="D439" s="4" t="s">
        <v>42</v>
      </c>
      <c r="E439" s="4" t="s">
        <v>25</v>
      </c>
      <c r="F439" s="4" t="s">
        <v>25</v>
      </c>
      <c r="G439" s="4" t="s">
        <v>25</v>
      </c>
      <c r="H439" s="4" t="s">
        <v>38</v>
      </c>
      <c r="I439" s="5">
        <v>44378</v>
      </c>
      <c r="J439" s="6">
        <v>19239</v>
      </c>
      <c r="K439" s="6">
        <v>19239</v>
      </c>
      <c r="L439" s="6">
        <v>5123.518</v>
      </c>
      <c r="M439" s="6">
        <v>5123.518</v>
      </c>
      <c r="N439" s="6">
        <v>5123.518</v>
      </c>
      <c r="O439" s="6">
        <v>5123.518</v>
      </c>
      <c r="P439" s="6">
        <v>0</v>
      </c>
      <c r="Q439" s="4" t="s">
        <v>26</v>
      </c>
      <c r="R439" s="4">
        <v>0</v>
      </c>
      <c r="S439" s="6">
        <v>29</v>
      </c>
      <c r="T439" s="6">
        <v>30</v>
      </c>
      <c r="U439" s="6">
        <v>67</v>
      </c>
      <c r="V439" s="6">
        <f>IF(ISERROR(VLOOKUP($S$439,'TAR FIN'!$A$1:$O$95,15,0)),0,VLOOKUP($S$439,'TAR FIN'!$A$1:$O$95,15,0))</f>
        <v>28.57</v>
      </c>
      <c r="W439" s="6">
        <f>IF(ISERROR(VLOOKUP($T$439,'TAR FIN'!$A$1:$O$95,15,0)),0,VLOOKUP($T$439,'TAR FIN'!$A$1:$O$95,15,0))</f>
        <v>149.63</v>
      </c>
      <c r="X439" s="6">
        <f>IF(ISERROR(VLOOKUP($U$439,'TAR FIN'!$A$1:$O$95,15,0)),0,VLOOKUP($U$439,'TAR FIN'!$A$1:$O$95,15,0))</f>
        <v>230.03</v>
      </c>
      <c r="Y439" s="6">
        <f ca="1">('TUSD BE'!$AM$11+'TUSD BF'!$AM$11+'TUSD CVA'!$AM$11)*1</f>
        <v>31.93064187172984</v>
      </c>
      <c r="Z439" s="6">
        <f ca="1">('TUSD BE'!$AM$12+'TUSD BF'!$AM$12+'TUSD CVA'!$AM$12)*1</f>
        <v>168.51338132937991</v>
      </c>
      <c r="AA439" s="6">
        <f>('TE BE'!$AA$8+'TE BF'!$AA$8+'TE CVA'!$AA$8)*1</f>
        <v>282.91739971702214</v>
      </c>
      <c r="AB439" s="6">
        <f>$K$439*$V$439</f>
        <v>549658.23</v>
      </c>
      <c r="AC439" s="6">
        <f>$M$439*$W$439</f>
        <v>766631.99833999993</v>
      </c>
      <c r="AD439" s="6">
        <f>$O$439*$X$439</f>
        <v>1178562.8455400001</v>
      </c>
      <c r="AE439" s="6">
        <f ca="1">$K$439*$Y$439</f>
        <v>614313.61897021043</v>
      </c>
      <c r="AF439" s="6">
        <f ca="1">$M$439*$Z$439</f>
        <v>863381.34248194192</v>
      </c>
      <c r="AG439" s="6">
        <f>$O$439*$AA$439</f>
        <v>1449532.3899633579</v>
      </c>
    </row>
    <row r="440" spans="1:33" ht="11.25" customHeight="1" x14ac:dyDescent="0.25">
      <c r="A440" s="4" t="s">
        <v>27</v>
      </c>
      <c r="B440" s="4" t="s">
        <v>35</v>
      </c>
      <c r="C440" s="4" t="s">
        <v>44</v>
      </c>
      <c r="D440" s="4" t="s">
        <v>42</v>
      </c>
      <c r="E440" s="4" t="s">
        <v>25</v>
      </c>
      <c r="F440" s="4" t="s">
        <v>25</v>
      </c>
      <c r="G440" s="4" t="s">
        <v>25</v>
      </c>
      <c r="H440" s="4" t="s">
        <v>38</v>
      </c>
      <c r="I440" s="5">
        <v>44378</v>
      </c>
      <c r="J440" s="6">
        <v>-1200</v>
      </c>
      <c r="K440" s="6">
        <v>-1200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4" t="s">
        <v>26</v>
      </c>
      <c r="R440" s="4">
        <v>0</v>
      </c>
      <c r="S440" s="6">
        <v>29</v>
      </c>
      <c r="T440" s="6">
        <v>0</v>
      </c>
      <c r="U440" s="6">
        <v>0</v>
      </c>
      <c r="V440" s="6">
        <f>IF(ISERROR(VLOOKUP($S$440,'TAR FIN'!$A$1:$O$95,15,0)),0,VLOOKUP($S$440,'TAR FIN'!$A$1:$O$95,15,0))</f>
        <v>28.57</v>
      </c>
      <c r="W440" s="6">
        <f>IF(ISERROR(VLOOKUP($T$440,'TAR FIN'!$A$1:$O$95,15,0)),0,VLOOKUP($T$440,'TAR FIN'!$A$1:$O$95,15,0))</f>
        <v>0</v>
      </c>
      <c r="X440" s="6">
        <f>IF(ISERROR(VLOOKUP($U$440,'TAR FIN'!$A$1:$O$95,15,0)),0,VLOOKUP($U$440,'TAR FIN'!$A$1:$O$95,15,0))</f>
        <v>0</v>
      </c>
      <c r="Y440" s="6">
        <f ca="1">('TUSD BE'!$AM$11+'TUSD BF'!$AM$11+'TUSD CVA'!$AM$11)*1</f>
        <v>31.93064187172984</v>
      </c>
      <c r="Z440" s="6">
        <f ca="1">('TUSD BE'!$AM$12+'TUSD BF'!$AM$12+'TUSD CVA'!$AM$12)*1</f>
        <v>168.51338132937991</v>
      </c>
      <c r="AA440" s="6">
        <f>('TE BE'!$AA$8+'TE BF'!$AA$8+'TE CVA'!$AA$8)*1</f>
        <v>282.91739971702214</v>
      </c>
      <c r="AB440" s="6">
        <f>$K$440*$V$440</f>
        <v>-34284</v>
      </c>
      <c r="AC440" s="6">
        <f>$M$440*$W$440</f>
        <v>0</v>
      </c>
      <c r="AD440" s="6">
        <f>$O$440*$X$440</f>
        <v>0</v>
      </c>
      <c r="AE440" s="6">
        <f ca="1">$K$440*$Y$440</f>
        <v>-38316.770246075808</v>
      </c>
      <c r="AF440" s="6">
        <f ca="1">$M$440*$Z$440</f>
        <v>0</v>
      </c>
      <c r="AG440" s="6">
        <f>$O$440*$AA$440</f>
        <v>0</v>
      </c>
    </row>
    <row r="441" spans="1:33" ht="11.25" customHeight="1" x14ac:dyDescent="0.25">
      <c r="A441" s="4" t="s">
        <v>28</v>
      </c>
      <c r="B441" s="4" t="s">
        <v>35</v>
      </c>
      <c r="C441" s="4" t="s">
        <v>44</v>
      </c>
      <c r="D441" s="4" t="s">
        <v>42</v>
      </c>
      <c r="E441" s="4" t="s">
        <v>25</v>
      </c>
      <c r="F441" s="4" t="s">
        <v>25</v>
      </c>
      <c r="G441" s="4" t="s">
        <v>25</v>
      </c>
      <c r="H441" s="4" t="s">
        <v>38</v>
      </c>
      <c r="I441" s="5">
        <v>44378</v>
      </c>
      <c r="J441" s="6">
        <v>1127</v>
      </c>
      <c r="K441" s="6">
        <v>1127</v>
      </c>
      <c r="L441" s="6">
        <v>432.959</v>
      </c>
      <c r="M441" s="6">
        <v>432.959</v>
      </c>
      <c r="N441" s="6">
        <v>432.959</v>
      </c>
      <c r="O441" s="6">
        <v>432.959</v>
      </c>
      <c r="P441" s="6">
        <v>0</v>
      </c>
      <c r="Q441" s="4" t="s">
        <v>26</v>
      </c>
      <c r="R441" s="4">
        <v>0</v>
      </c>
      <c r="S441" s="6">
        <v>29</v>
      </c>
      <c r="T441" s="6">
        <v>30</v>
      </c>
      <c r="U441" s="6">
        <v>67</v>
      </c>
      <c r="V441" s="6">
        <f>IF(ISERROR(VLOOKUP($S$441,'TAR FIN'!$A$1:$O$95,15,0)),0,VLOOKUP($S$441,'TAR FIN'!$A$1:$O$95,15,0))</f>
        <v>28.57</v>
      </c>
      <c r="W441" s="6">
        <f>IF(ISERROR(VLOOKUP($T$441,'TAR FIN'!$A$1:$O$95,15,0)),0,VLOOKUP($T$441,'TAR FIN'!$A$1:$O$95,15,0))</f>
        <v>149.63</v>
      </c>
      <c r="X441" s="6">
        <f>IF(ISERROR(VLOOKUP($U$441,'TAR FIN'!$A$1:$O$95,15,0)),0,VLOOKUP($U$441,'TAR FIN'!$A$1:$O$95,15,0))</f>
        <v>230.03</v>
      </c>
      <c r="Y441" s="6">
        <f ca="1">('TUSD BE'!$AM$11+'TUSD BF'!$AM$11+'TUSD CVA'!$AM$11)*1</f>
        <v>31.93064187172984</v>
      </c>
      <c r="Z441" s="6">
        <f ca="1">('TUSD BE'!$AM$12+'TUSD BF'!$AM$12+'TUSD CVA'!$AM$12)*1</f>
        <v>168.51338132937991</v>
      </c>
      <c r="AA441" s="6">
        <f>('TE BE'!$AA$8+'TE BF'!$AA$8+'TE CVA'!$AA$8)*1</f>
        <v>282.91739971702214</v>
      </c>
      <c r="AB441" s="6">
        <f>$K$441*$V$441</f>
        <v>32198.39</v>
      </c>
      <c r="AC441" s="6">
        <f>$M$441*$W$441</f>
        <v>64783.655169999998</v>
      </c>
      <c r="AD441" s="6">
        <f>$O$441*$X$441</f>
        <v>99593.558770000003</v>
      </c>
      <c r="AE441" s="6">
        <f ca="1">$K$441*$Y$441</f>
        <v>35985.833389439533</v>
      </c>
      <c r="AF441" s="6">
        <f ca="1">$M$441*$Z$441</f>
        <v>72959.385066987001</v>
      </c>
      <c r="AG441" s="6">
        <f>$O$441*$AA$441</f>
        <v>122491.63446408219</v>
      </c>
    </row>
    <row r="442" spans="1:33" ht="11.25" customHeight="1" x14ac:dyDescent="0.25">
      <c r="A442" s="4" t="s">
        <v>30</v>
      </c>
      <c r="B442" s="4" t="s">
        <v>35</v>
      </c>
      <c r="C442" s="4" t="s">
        <v>44</v>
      </c>
      <c r="D442" s="4" t="s">
        <v>42</v>
      </c>
      <c r="E442" s="4" t="s">
        <v>25</v>
      </c>
      <c r="F442" s="4" t="s">
        <v>25</v>
      </c>
      <c r="G442" s="4" t="s">
        <v>25</v>
      </c>
      <c r="H442" s="4" t="s">
        <v>38</v>
      </c>
      <c r="I442" s="5">
        <v>44378</v>
      </c>
      <c r="J442" s="6">
        <v>2539</v>
      </c>
      <c r="K442" s="6">
        <v>2539</v>
      </c>
      <c r="L442" s="6">
        <v>988.24300000000005</v>
      </c>
      <c r="M442" s="6">
        <v>988.24300000000005</v>
      </c>
      <c r="N442" s="6">
        <v>988.24300000000005</v>
      </c>
      <c r="O442" s="6">
        <v>988.24300000000005</v>
      </c>
      <c r="P442" s="6">
        <v>0</v>
      </c>
      <c r="Q442" s="4" t="s">
        <v>26</v>
      </c>
      <c r="R442" s="4">
        <v>0</v>
      </c>
      <c r="S442" s="6">
        <v>29</v>
      </c>
      <c r="T442" s="6">
        <v>30</v>
      </c>
      <c r="U442" s="6">
        <v>67</v>
      </c>
      <c r="V442" s="6">
        <f>IF(ISERROR(VLOOKUP($S$442,'TAR FIN'!$A$1:$O$95,15,0)),0,VLOOKUP($S$442,'TAR FIN'!$A$1:$O$95,15,0))</f>
        <v>28.57</v>
      </c>
      <c r="W442" s="6">
        <f>IF(ISERROR(VLOOKUP($T$442,'TAR FIN'!$A$1:$O$95,15,0)),0,VLOOKUP($T$442,'TAR FIN'!$A$1:$O$95,15,0))</f>
        <v>149.63</v>
      </c>
      <c r="X442" s="6">
        <f>IF(ISERROR(VLOOKUP($U$442,'TAR FIN'!$A$1:$O$95,15,0)),0,VLOOKUP($U$442,'TAR FIN'!$A$1:$O$95,15,0))</f>
        <v>230.03</v>
      </c>
      <c r="Y442" s="6">
        <f ca="1">('TUSD BE'!$AM$11+'TUSD BF'!$AM$11+'TUSD CVA'!$AM$11)*1</f>
        <v>31.93064187172984</v>
      </c>
      <c r="Z442" s="6">
        <f ca="1">('TUSD BE'!$AM$12+'TUSD BF'!$AM$12+'TUSD CVA'!$AM$12)*1</f>
        <v>168.51338132937991</v>
      </c>
      <c r="AA442" s="6">
        <f>('TE BE'!$AA$8+'TE BF'!$AA$8+'TE CVA'!$AA$8)*1</f>
        <v>282.91739971702214</v>
      </c>
      <c r="AB442" s="6">
        <f>$K$442*$V$442</f>
        <v>72539.23</v>
      </c>
      <c r="AC442" s="6">
        <f>$M$442*$W$442</f>
        <v>147870.80009</v>
      </c>
      <c r="AD442" s="6">
        <f>$O$442*$X$442</f>
        <v>227325.53729000001</v>
      </c>
      <c r="AE442" s="6">
        <f ca="1">$K$442*$Y$442</f>
        <v>81071.899712322062</v>
      </c>
      <c r="AF442" s="6">
        <f ca="1">$M$442*$Z$442</f>
        <v>166532.16950509039</v>
      </c>
      <c r="AG442" s="6">
        <f>$O$442*$AA$442</f>
        <v>279591.13984854909</v>
      </c>
    </row>
    <row r="443" spans="1:33" ht="11.25" customHeight="1" x14ac:dyDescent="0.25">
      <c r="A443" s="4" t="s">
        <v>21</v>
      </c>
      <c r="B443" s="4" t="s">
        <v>35</v>
      </c>
      <c r="C443" s="4" t="s">
        <v>44</v>
      </c>
      <c r="D443" s="4" t="s">
        <v>42</v>
      </c>
      <c r="E443" s="4" t="s">
        <v>25</v>
      </c>
      <c r="F443" s="4" t="s">
        <v>25</v>
      </c>
      <c r="G443" s="4" t="s">
        <v>25</v>
      </c>
      <c r="H443" s="4" t="s">
        <v>38</v>
      </c>
      <c r="I443" s="5">
        <v>44378</v>
      </c>
      <c r="J443" s="6">
        <v>5987</v>
      </c>
      <c r="K443" s="6">
        <v>5987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4" t="s">
        <v>60</v>
      </c>
      <c r="R443" s="4">
        <v>0</v>
      </c>
      <c r="S443" s="6">
        <v>29</v>
      </c>
      <c r="T443" s="6">
        <v>0</v>
      </c>
      <c r="U443" s="6">
        <v>0</v>
      </c>
      <c r="V443" s="6">
        <f>IF(ISERROR(VLOOKUP($S$443,'TAR FIN'!$A$1:$O$95,15,0)),0,VLOOKUP($S$443,'TAR FIN'!$A$1:$O$95,15,0))</f>
        <v>28.57</v>
      </c>
      <c r="W443" s="6">
        <f>IF(ISERROR(VLOOKUP($T$443,'TAR FIN'!$A$1:$O$95,15,0)),0,VLOOKUP($T$443,'TAR FIN'!$A$1:$O$95,15,0))</f>
        <v>0</v>
      </c>
      <c r="X443" s="6">
        <f>IF(ISERROR(VLOOKUP($U$443,'TAR FIN'!$A$1:$O$95,15,0)),0,VLOOKUP($U$443,'TAR FIN'!$A$1:$O$95,15,0))</f>
        <v>0</v>
      </c>
      <c r="Y443" s="6">
        <f ca="1">('TUSD BE'!$AM$11+'TUSD BF'!$AM$11+'TUSD CVA'!$AM$11)*1</f>
        <v>31.93064187172984</v>
      </c>
      <c r="Z443" s="6">
        <f ca="1">('TUSD BE'!$AM$12+'TUSD BF'!$AM$12+'TUSD CVA'!$AM$12)*1</f>
        <v>168.51338132937991</v>
      </c>
      <c r="AA443" s="6"/>
      <c r="AB443" s="6">
        <f>$K$443*$V$443</f>
        <v>171048.59</v>
      </c>
      <c r="AC443" s="6">
        <f>$M$443*$W$443</f>
        <v>0</v>
      </c>
      <c r="AD443" s="6">
        <f>$O$443*$X$443</f>
        <v>0</v>
      </c>
      <c r="AE443" s="6">
        <f ca="1">$K$443*$Y$443</f>
        <v>191168.75288604654</v>
      </c>
      <c r="AF443" s="6">
        <f ca="1">$M$443*$Z$443</f>
        <v>0</v>
      </c>
      <c r="AG443" s="6">
        <f>$O$443*$AA$443</f>
        <v>0</v>
      </c>
    </row>
    <row r="444" spans="1:33" ht="11.25" customHeight="1" x14ac:dyDescent="0.25">
      <c r="A444" s="4" t="s">
        <v>21</v>
      </c>
      <c r="B444" s="4" t="s">
        <v>35</v>
      </c>
      <c r="C444" s="4" t="s">
        <v>44</v>
      </c>
      <c r="D444" s="4" t="s">
        <v>42</v>
      </c>
      <c r="E444" s="4" t="s">
        <v>25</v>
      </c>
      <c r="F444" s="4" t="s">
        <v>25</v>
      </c>
      <c r="G444" s="4" t="s">
        <v>25</v>
      </c>
      <c r="H444" s="4" t="s">
        <v>38</v>
      </c>
      <c r="I444" s="5">
        <v>44409</v>
      </c>
      <c r="J444" s="6">
        <v>20507</v>
      </c>
      <c r="K444" s="6">
        <v>20507</v>
      </c>
      <c r="L444" s="6">
        <v>5742.0559999999996</v>
      </c>
      <c r="M444" s="6">
        <v>5742.0559999999996</v>
      </c>
      <c r="N444" s="6">
        <v>5742.0559999999996</v>
      </c>
      <c r="O444" s="6">
        <v>5742.0559999999996</v>
      </c>
      <c r="P444" s="6">
        <v>0</v>
      </c>
      <c r="Q444" s="4" t="s">
        <v>26</v>
      </c>
      <c r="R444" s="4">
        <v>0</v>
      </c>
      <c r="S444" s="6">
        <v>29</v>
      </c>
      <c r="T444" s="6">
        <v>30</v>
      </c>
      <c r="U444" s="6">
        <v>67</v>
      </c>
      <c r="V444" s="6">
        <f>IF(ISERROR(VLOOKUP($S$444,'TAR FIN'!$A$1:$O$95,15,0)),0,VLOOKUP($S$444,'TAR FIN'!$A$1:$O$95,15,0))</f>
        <v>28.57</v>
      </c>
      <c r="W444" s="6">
        <f>IF(ISERROR(VLOOKUP($T$444,'TAR FIN'!$A$1:$O$95,15,0)),0,VLOOKUP($T$444,'TAR FIN'!$A$1:$O$95,15,0))</f>
        <v>149.63</v>
      </c>
      <c r="X444" s="6">
        <f>IF(ISERROR(VLOOKUP($U$444,'TAR FIN'!$A$1:$O$95,15,0)),0,VLOOKUP($U$444,'TAR FIN'!$A$1:$O$95,15,0))</f>
        <v>230.03</v>
      </c>
      <c r="Y444" s="6">
        <f ca="1">('TUSD BE'!$AM$11+'TUSD BF'!$AM$11+'TUSD CVA'!$AM$11)*1</f>
        <v>31.93064187172984</v>
      </c>
      <c r="Z444" s="6">
        <f ca="1">('TUSD BE'!$AM$12+'TUSD BF'!$AM$12+'TUSD CVA'!$AM$12)*1</f>
        <v>168.51338132937991</v>
      </c>
      <c r="AA444" s="6">
        <f>('TE BE'!$AA$8+'TE BF'!$AA$8+'TE CVA'!$AA$8)*1</f>
        <v>282.91739971702214</v>
      </c>
      <c r="AB444" s="6">
        <f>$K$444*$V$444</f>
        <v>585884.99</v>
      </c>
      <c r="AC444" s="6">
        <f>$M$444*$W$444</f>
        <v>859183.83927999996</v>
      </c>
      <c r="AD444" s="6">
        <f>$O$444*$X$444</f>
        <v>1320845.1416799999</v>
      </c>
      <c r="AE444" s="6">
        <f ca="1">$K$444*$Y$444</f>
        <v>654801.67286356387</v>
      </c>
      <c r="AF444" s="6">
        <f ca="1">$M$444*$Z$444</f>
        <v>967613.27234265383</v>
      </c>
      <c r="AG444" s="6">
        <f>$O$444*$AA$444</f>
        <v>1624527.5525495252</v>
      </c>
    </row>
    <row r="445" spans="1:33" ht="11.25" customHeight="1" x14ac:dyDescent="0.25">
      <c r="A445" s="4" t="s">
        <v>27</v>
      </c>
      <c r="B445" s="4" t="s">
        <v>35</v>
      </c>
      <c r="C445" s="4" t="s">
        <v>44</v>
      </c>
      <c r="D445" s="4" t="s">
        <v>42</v>
      </c>
      <c r="E445" s="4" t="s">
        <v>25</v>
      </c>
      <c r="F445" s="4" t="s">
        <v>25</v>
      </c>
      <c r="G445" s="4" t="s">
        <v>25</v>
      </c>
      <c r="H445" s="4" t="s">
        <v>38</v>
      </c>
      <c r="I445" s="5">
        <v>44409</v>
      </c>
      <c r="J445" s="6">
        <v>-500</v>
      </c>
      <c r="K445" s="6">
        <v>-500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4" t="s">
        <v>26</v>
      </c>
      <c r="R445" s="4">
        <v>0</v>
      </c>
      <c r="S445" s="6">
        <v>29</v>
      </c>
      <c r="T445" s="6">
        <v>0</v>
      </c>
      <c r="U445" s="6">
        <v>0</v>
      </c>
      <c r="V445" s="6">
        <f>IF(ISERROR(VLOOKUP($S$445,'TAR FIN'!$A$1:$O$95,15,0)),0,VLOOKUP($S$445,'TAR FIN'!$A$1:$O$95,15,0))</f>
        <v>28.57</v>
      </c>
      <c r="W445" s="6">
        <f>IF(ISERROR(VLOOKUP($T$445,'TAR FIN'!$A$1:$O$95,15,0)),0,VLOOKUP($T$445,'TAR FIN'!$A$1:$O$95,15,0))</f>
        <v>0</v>
      </c>
      <c r="X445" s="6">
        <f>IF(ISERROR(VLOOKUP($U$445,'TAR FIN'!$A$1:$O$95,15,0)),0,VLOOKUP($U$445,'TAR FIN'!$A$1:$O$95,15,0))</f>
        <v>0</v>
      </c>
      <c r="Y445" s="6">
        <f ca="1">('TUSD BE'!$AM$11+'TUSD BF'!$AM$11+'TUSD CVA'!$AM$11)*1</f>
        <v>31.93064187172984</v>
      </c>
      <c r="Z445" s="6">
        <f ca="1">('TUSD BE'!$AM$12+'TUSD BF'!$AM$12+'TUSD CVA'!$AM$12)*1</f>
        <v>168.51338132937991</v>
      </c>
      <c r="AA445" s="6">
        <f>('TE BE'!$AA$8+'TE BF'!$AA$8+'TE CVA'!$AA$8)*1</f>
        <v>282.91739971702214</v>
      </c>
      <c r="AB445" s="6">
        <f>$K$445*$V$445</f>
        <v>-14285</v>
      </c>
      <c r="AC445" s="6">
        <f>$M$445*$W$445</f>
        <v>0</v>
      </c>
      <c r="AD445" s="6">
        <f>$O$445*$X$445</f>
        <v>0</v>
      </c>
      <c r="AE445" s="6">
        <f ca="1">$K$445*$Y$445</f>
        <v>-15965.32093586492</v>
      </c>
      <c r="AF445" s="6">
        <f ca="1">$M$445*$Z$445</f>
        <v>0</v>
      </c>
      <c r="AG445" s="6">
        <f>$O$445*$AA$445</f>
        <v>0</v>
      </c>
    </row>
    <row r="446" spans="1:33" ht="11.25" customHeight="1" x14ac:dyDescent="0.25">
      <c r="A446" s="4" t="s">
        <v>28</v>
      </c>
      <c r="B446" s="4" t="s">
        <v>35</v>
      </c>
      <c r="C446" s="4" t="s">
        <v>44</v>
      </c>
      <c r="D446" s="4" t="s">
        <v>42</v>
      </c>
      <c r="E446" s="4" t="s">
        <v>25</v>
      </c>
      <c r="F446" s="4" t="s">
        <v>25</v>
      </c>
      <c r="G446" s="4" t="s">
        <v>25</v>
      </c>
      <c r="H446" s="4" t="s">
        <v>38</v>
      </c>
      <c r="I446" s="5">
        <v>44409</v>
      </c>
      <c r="J446" s="6">
        <v>1288</v>
      </c>
      <c r="K446" s="6">
        <v>1288</v>
      </c>
      <c r="L446" s="6">
        <v>454.89800000000002</v>
      </c>
      <c r="M446" s="6">
        <v>454.89800000000002</v>
      </c>
      <c r="N446" s="6">
        <v>454.89800000000002</v>
      </c>
      <c r="O446" s="6">
        <v>454.89800000000002</v>
      </c>
      <c r="P446" s="6">
        <v>0</v>
      </c>
      <c r="Q446" s="4" t="s">
        <v>26</v>
      </c>
      <c r="R446" s="4">
        <v>0</v>
      </c>
      <c r="S446" s="6">
        <v>29</v>
      </c>
      <c r="T446" s="6">
        <v>30</v>
      </c>
      <c r="U446" s="6">
        <v>67</v>
      </c>
      <c r="V446" s="6">
        <f>IF(ISERROR(VLOOKUP($S$446,'TAR FIN'!$A$1:$O$95,15,0)),0,VLOOKUP($S$446,'TAR FIN'!$A$1:$O$95,15,0))</f>
        <v>28.57</v>
      </c>
      <c r="W446" s="6">
        <f>IF(ISERROR(VLOOKUP($T$446,'TAR FIN'!$A$1:$O$95,15,0)),0,VLOOKUP($T$446,'TAR FIN'!$A$1:$O$95,15,0))</f>
        <v>149.63</v>
      </c>
      <c r="X446" s="6">
        <f>IF(ISERROR(VLOOKUP($U$446,'TAR FIN'!$A$1:$O$95,15,0)),0,VLOOKUP($U$446,'TAR FIN'!$A$1:$O$95,15,0))</f>
        <v>230.03</v>
      </c>
      <c r="Y446" s="6">
        <f ca="1">('TUSD BE'!$AM$11+'TUSD BF'!$AM$11+'TUSD CVA'!$AM$11)*1</f>
        <v>31.93064187172984</v>
      </c>
      <c r="Z446" s="6">
        <f ca="1">('TUSD BE'!$AM$12+'TUSD BF'!$AM$12+'TUSD CVA'!$AM$12)*1</f>
        <v>168.51338132937991</v>
      </c>
      <c r="AA446" s="6">
        <f>('TE BE'!$AA$8+'TE BF'!$AA$8+'TE CVA'!$AA$8)*1</f>
        <v>282.91739971702214</v>
      </c>
      <c r="AB446" s="6">
        <f>$K$446*$V$446</f>
        <v>36798.160000000003</v>
      </c>
      <c r="AC446" s="6">
        <f>$M$446*$W$446</f>
        <v>68066.387740000006</v>
      </c>
      <c r="AD446" s="6">
        <f>$O$446*$X$446</f>
        <v>104640.18694</v>
      </c>
      <c r="AE446" s="6">
        <f ca="1">$K$446*$Y$446</f>
        <v>41126.666730788034</v>
      </c>
      <c r="AF446" s="6">
        <f ca="1">$M$446*$Z$446</f>
        <v>76656.400139972262</v>
      </c>
      <c r="AG446" s="6">
        <f>$O$446*$AA$446</f>
        <v>128698.55929647395</v>
      </c>
    </row>
    <row r="447" spans="1:33" ht="11.25" customHeight="1" x14ac:dyDescent="0.25">
      <c r="A447" s="4" t="s">
        <v>30</v>
      </c>
      <c r="B447" s="4" t="s">
        <v>35</v>
      </c>
      <c r="C447" s="4" t="s">
        <v>44</v>
      </c>
      <c r="D447" s="4" t="s">
        <v>42</v>
      </c>
      <c r="E447" s="4" t="s">
        <v>25</v>
      </c>
      <c r="F447" s="4" t="s">
        <v>25</v>
      </c>
      <c r="G447" s="4" t="s">
        <v>25</v>
      </c>
      <c r="H447" s="4" t="s">
        <v>38</v>
      </c>
      <c r="I447" s="5">
        <v>44409</v>
      </c>
      <c r="J447" s="6">
        <v>2214</v>
      </c>
      <c r="K447" s="6">
        <v>2214</v>
      </c>
      <c r="L447" s="6">
        <v>982.28200000000004</v>
      </c>
      <c r="M447" s="6">
        <v>982.28200000000004</v>
      </c>
      <c r="N447" s="6">
        <v>982.28200000000004</v>
      </c>
      <c r="O447" s="6">
        <v>982.28200000000004</v>
      </c>
      <c r="P447" s="6">
        <v>0</v>
      </c>
      <c r="Q447" s="4" t="s">
        <v>26</v>
      </c>
      <c r="R447" s="4">
        <v>0</v>
      </c>
      <c r="S447" s="6">
        <v>29</v>
      </c>
      <c r="T447" s="6">
        <v>30</v>
      </c>
      <c r="U447" s="6">
        <v>67</v>
      </c>
      <c r="V447" s="6">
        <f>IF(ISERROR(VLOOKUP($S$447,'TAR FIN'!$A$1:$O$95,15,0)),0,VLOOKUP($S$447,'TAR FIN'!$A$1:$O$95,15,0))</f>
        <v>28.57</v>
      </c>
      <c r="W447" s="6">
        <f>IF(ISERROR(VLOOKUP($T$447,'TAR FIN'!$A$1:$O$95,15,0)),0,VLOOKUP($T$447,'TAR FIN'!$A$1:$O$95,15,0))</f>
        <v>149.63</v>
      </c>
      <c r="X447" s="6">
        <f>IF(ISERROR(VLOOKUP($U$447,'TAR FIN'!$A$1:$O$95,15,0)),0,VLOOKUP($U$447,'TAR FIN'!$A$1:$O$95,15,0))</f>
        <v>230.03</v>
      </c>
      <c r="Y447" s="6">
        <f ca="1">('TUSD BE'!$AM$11+'TUSD BF'!$AM$11+'TUSD CVA'!$AM$11)*1</f>
        <v>31.93064187172984</v>
      </c>
      <c r="Z447" s="6">
        <f ca="1">('TUSD BE'!$AM$12+'TUSD BF'!$AM$12+'TUSD CVA'!$AM$12)*1</f>
        <v>168.51338132937991</v>
      </c>
      <c r="AA447" s="6">
        <f>('TE BE'!$AA$8+'TE BF'!$AA$8+'TE CVA'!$AA$8)*1</f>
        <v>282.91739971702214</v>
      </c>
      <c r="AB447" s="6">
        <f>$K$447*$V$447</f>
        <v>63253.98</v>
      </c>
      <c r="AC447" s="6">
        <f>$M$447*$W$447</f>
        <v>146978.85566</v>
      </c>
      <c r="AD447" s="6">
        <f>$O$447*$X$447</f>
        <v>225954.32846000002</v>
      </c>
      <c r="AE447" s="6">
        <f ca="1">$K$447*$Y$447</f>
        <v>70694.441104009864</v>
      </c>
      <c r="AF447" s="6">
        <f ca="1">$M$447*$Z$447</f>
        <v>165527.66123898595</v>
      </c>
      <c r="AG447" s="6">
        <f>$O$447*$AA$447</f>
        <v>277904.66922883596</v>
      </c>
    </row>
    <row r="448" spans="1:33" ht="11.25" customHeight="1" x14ac:dyDescent="0.25">
      <c r="A448" s="4" t="s">
        <v>30</v>
      </c>
      <c r="B448" s="4" t="s">
        <v>35</v>
      </c>
      <c r="C448" s="4" t="s">
        <v>44</v>
      </c>
      <c r="D448" s="4" t="s">
        <v>42</v>
      </c>
      <c r="E448" s="4" t="s">
        <v>25</v>
      </c>
      <c r="F448" s="4" t="s">
        <v>25</v>
      </c>
      <c r="G448" s="4" t="s">
        <v>25</v>
      </c>
      <c r="H448" s="4" t="s">
        <v>38</v>
      </c>
      <c r="I448" s="5">
        <v>44409</v>
      </c>
      <c r="J448" s="6">
        <v>-350</v>
      </c>
      <c r="K448" s="6">
        <v>-350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4" t="s">
        <v>26</v>
      </c>
      <c r="R448" s="4">
        <v>0</v>
      </c>
      <c r="S448" s="6">
        <v>29</v>
      </c>
      <c r="T448" s="6">
        <v>0</v>
      </c>
      <c r="U448" s="6">
        <v>0</v>
      </c>
      <c r="V448" s="6">
        <f>IF(ISERROR(VLOOKUP($S$448,'TAR FIN'!$A$1:$O$95,15,0)),0,VLOOKUP($S$448,'TAR FIN'!$A$1:$O$95,15,0))</f>
        <v>28.57</v>
      </c>
      <c r="W448" s="6">
        <f>IF(ISERROR(VLOOKUP($T$448,'TAR FIN'!$A$1:$O$95,15,0)),0,VLOOKUP($T$448,'TAR FIN'!$A$1:$O$95,15,0))</f>
        <v>0</v>
      </c>
      <c r="X448" s="6">
        <f>IF(ISERROR(VLOOKUP($U$448,'TAR FIN'!$A$1:$O$95,15,0)),0,VLOOKUP($U$448,'TAR FIN'!$A$1:$O$95,15,0))</f>
        <v>0</v>
      </c>
      <c r="Y448" s="6">
        <f ca="1">('TUSD BE'!$AM$11+'TUSD BF'!$AM$11+'TUSD CVA'!$AM$11)*1</f>
        <v>31.93064187172984</v>
      </c>
      <c r="Z448" s="6">
        <f ca="1">('TUSD BE'!$AM$12+'TUSD BF'!$AM$12+'TUSD CVA'!$AM$12)*1</f>
        <v>168.51338132937991</v>
      </c>
      <c r="AA448" s="6">
        <f>('TE BE'!$AA$8+'TE BF'!$AA$8+'TE CVA'!$AA$8)*1</f>
        <v>282.91739971702214</v>
      </c>
      <c r="AB448" s="6">
        <f>$K$448*$V$448</f>
        <v>-9999.5</v>
      </c>
      <c r="AC448" s="6">
        <f>$M$448*$W$448</f>
        <v>0</v>
      </c>
      <c r="AD448" s="6">
        <f>$O$448*$X$448</f>
        <v>0</v>
      </c>
      <c r="AE448" s="6">
        <f ca="1">$K$448*$Y$448</f>
        <v>-11175.724655105443</v>
      </c>
      <c r="AF448" s="6">
        <f ca="1">$M$448*$Z$448</f>
        <v>0</v>
      </c>
      <c r="AG448" s="6">
        <f>$O$448*$AA$448</f>
        <v>0</v>
      </c>
    </row>
    <row r="449" spans="1:33" ht="11.25" customHeight="1" x14ac:dyDescent="0.25">
      <c r="A449" s="4" t="s">
        <v>21</v>
      </c>
      <c r="B449" s="4" t="s">
        <v>35</v>
      </c>
      <c r="C449" s="4" t="s">
        <v>44</v>
      </c>
      <c r="D449" s="4" t="s">
        <v>42</v>
      </c>
      <c r="E449" s="4" t="s">
        <v>25</v>
      </c>
      <c r="F449" s="4" t="s">
        <v>25</v>
      </c>
      <c r="G449" s="4" t="s">
        <v>25</v>
      </c>
      <c r="H449" s="4" t="s">
        <v>38</v>
      </c>
      <c r="I449" s="5">
        <v>44409</v>
      </c>
      <c r="J449" s="6">
        <v>5927</v>
      </c>
      <c r="K449" s="6">
        <v>5927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4" t="s">
        <v>60</v>
      </c>
      <c r="R449" s="4">
        <v>0</v>
      </c>
      <c r="S449" s="6">
        <v>29</v>
      </c>
      <c r="T449" s="6">
        <v>0</v>
      </c>
      <c r="U449" s="6">
        <v>0</v>
      </c>
      <c r="V449" s="6">
        <f>IF(ISERROR(VLOOKUP($S$449,'TAR FIN'!$A$1:$O$95,15,0)),0,VLOOKUP($S$449,'TAR FIN'!$A$1:$O$95,15,0))</f>
        <v>28.57</v>
      </c>
      <c r="W449" s="6">
        <f>IF(ISERROR(VLOOKUP($T$449,'TAR FIN'!$A$1:$O$95,15,0)),0,VLOOKUP($T$449,'TAR FIN'!$A$1:$O$95,15,0))</f>
        <v>0</v>
      </c>
      <c r="X449" s="6">
        <f>IF(ISERROR(VLOOKUP($U$449,'TAR FIN'!$A$1:$O$95,15,0)),0,VLOOKUP($U$449,'TAR FIN'!$A$1:$O$95,15,0))</f>
        <v>0</v>
      </c>
      <c r="Y449" s="6">
        <f ca="1">('TUSD BE'!$AM$11+'TUSD BF'!$AM$11+'TUSD CVA'!$AM$11)*1</f>
        <v>31.93064187172984</v>
      </c>
      <c r="Z449" s="6">
        <f ca="1">('TUSD BE'!$AM$12+'TUSD BF'!$AM$12+'TUSD CVA'!$AM$12)*1</f>
        <v>168.51338132937991</v>
      </c>
      <c r="AA449" s="6"/>
      <c r="AB449" s="6">
        <f>$K$449*$V$449</f>
        <v>169334.39</v>
      </c>
      <c r="AC449" s="6">
        <f>$M$449*$W$449</f>
        <v>0</v>
      </c>
      <c r="AD449" s="6">
        <f>$O$449*$X$449</f>
        <v>0</v>
      </c>
      <c r="AE449" s="6">
        <f ca="1">$K$449*$Y$449</f>
        <v>189252.91437374277</v>
      </c>
      <c r="AF449" s="6">
        <f ca="1">$M$449*$Z$449</f>
        <v>0</v>
      </c>
      <c r="AG449" s="6">
        <f>$O$449*$AA$449</f>
        <v>0</v>
      </c>
    </row>
    <row r="450" spans="1:33" ht="11.25" customHeight="1" x14ac:dyDescent="0.25">
      <c r="A450" s="4" t="s">
        <v>21</v>
      </c>
      <c r="B450" s="4" t="s">
        <v>35</v>
      </c>
      <c r="C450" s="4" t="s">
        <v>44</v>
      </c>
      <c r="D450" s="4" t="s">
        <v>42</v>
      </c>
      <c r="E450" s="4" t="s">
        <v>25</v>
      </c>
      <c r="F450" s="4" t="s">
        <v>25</v>
      </c>
      <c r="G450" s="4" t="s">
        <v>25</v>
      </c>
      <c r="H450" s="4" t="s">
        <v>38</v>
      </c>
      <c r="I450" s="5">
        <v>44440</v>
      </c>
      <c r="J450" s="6">
        <v>19262</v>
      </c>
      <c r="K450" s="6">
        <v>19262</v>
      </c>
      <c r="L450" s="6">
        <v>5346.9030000000002</v>
      </c>
      <c r="M450" s="6">
        <v>5346.9030000000002</v>
      </c>
      <c r="N450" s="6">
        <v>5346.9030000000002</v>
      </c>
      <c r="O450" s="6">
        <v>5346.9030000000002</v>
      </c>
      <c r="P450" s="6">
        <v>0</v>
      </c>
      <c r="Q450" s="4" t="s">
        <v>26</v>
      </c>
      <c r="R450" s="4">
        <v>0</v>
      </c>
      <c r="S450" s="6">
        <v>29</v>
      </c>
      <c r="T450" s="6">
        <v>30</v>
      </c>
      <c r="U450" s="6">
        <v>67</v>
      </c>
      <c r="V450" s="6">
        <f>IF(ISERROR(VLOOKUP($S$450,'TAR FIN'!$A$1:$O$95,15,0)),0,VLOOKUP($S$450,'TAR FIN'!$A$1:$O$95,15,0))</f>
        <v>28.57</v>
      </c>
      <c r="W450" s="6">
        <f>IF(ISERROR(VLOOKUP($T$450,'TAR FIN'!$A$1:$O$95,15,0)),0,VLOOKUP($T$450,'TAR FIN'!$A$1:$O$95,15,0))</f>
        <v>149.63</v>
      </c>
      <c r="X450" s="6">
        <f>IF(ISERROR(VLOOKUP($U$450,'TAR FIN'!$A$1:$O$95,15,0)),0,VLOOKUP($U$450,'TAR FIN'!$A$1:$O$95,15,0))</f>
        <v>230.03</v>
      </c>
      <c r="Y450" s="6">
        <f ca="1">('TUSD BE'!$AM$11+'TUSD BF'!$AM$11+'TUSD CVA'!$AM$11)*1</f>
        <v>31.93064187172984</v>
      </c>
      <c r="Z450" s="6">
        <f ca="1">('TUSD BE'!$AM$12+'TUSD BF'!$AM$12+'TUSD CVA'!$AM$12)*1</f>
        <v>168.51338132937991</v>
      </c>
      <c r="AA450" s="6">
        <f>('TE BE'!$AA$8+'TE BF'!$AA$8+'TE CVA'!$AA$8)*1</f>
        <v>282.91739971702214</v>
      </c>
      <c r="AB450" s="6">
        <f>$K$450*$V$450</f>
        <v>550315.34</v>
      </c>
      <c r="AC450" s="6">
        <f>$M$450*$W$450</f>
        <v>800057.09589</v>
      </c>
      <c r="AD450" s="6">
        <f>$O$450*$X$450</f>
        <v>1229948.0970900001</v>
      </c>
      <c r="AE450" s="6">
        <f ca="1">$K$450*$Y$450</f>
        <v>615048.02373326023</v>
      </c>
      <c r="AF450" s="6">
        <f ca="1">$M$450*$Z$450</f>
        <v>901024.70417020551</v>
      </c>
      <c r="AG450" s="6">
        <f>$O$450*$AA$450</f>
        <v>1512731.8932991449</v>
      </c>
    </row>
    <row r="451" spans="1:33" ht="11.25" customHeight="1" x14ac:dyDescent="0.25">
      <c r="A451" s="4" t="s">
        <v>28</v>
      </c>
      <c r="B451" s="4" t="s">
        <v>35</v>
      </c>
      <c r="C451" s="4" t="s">
        <v>44</v>
      </c>
      <c r="D451" s="4" t="s">
        <v>42</v>
      </c>
      <c r="E451" s="4" t="s">
        <v>25</v>
      </c>
      <c r="F451" s="4" t="s">
        <v>25</v>
      </c>
      <c r="G451" s="4" t="s">
        <v>25</v>
      </c>
      <c r="H451" s="4" t="s">
        <v>38</v>
      </c>
      <c r="I451" s="5">
        <v>44440</v>
      </c>
      <c r="J451" s="6">
        <v>1304</v>
      </c>
      <c r="K451" s="6">
        <v>1304</v>
      </c>
      <c r="L451" s="6">
        <v>425.51400000000001</v>
      </c>
      <c r="M451" s="6">
        <v>425.51400000000001</v>
      </c>
      <c r="N451" s="6">
        <v>425.51400000000001</v>
      </c>
      <c r="O451" s="6">
        <v>425.51400000000001</v>
      </c>
      <c r="P451" s="6">
        <v>0</v>
      </c>
      <c r="Q451" s="4" t="s">
        <v>26</v>
      </c>
      <c r="R451" s="4">
        <v>0</v>
      </c>
      <c r="S451" s="6">
        <v>29</v>
      </c>
      <c r="T451" s="6">
        <v>30</v>
      </c>
      <c r="U451" s="6">
        <v>67</v>
      </c>
      <c r="V451" s="6">
        <f>IF(ISERROR(VLOOKUP($S$451,'TAR FIN'!$A$1:$O$95,15,0)),0,VLOOKUP($S$451,'TAR FIN'!$A$1:$O$95,15,0))</f>
        <v>28.57</v>
      </c>
      <c r="W451" s="6">
        <f>IF(ISERROR(VLOOKUP($T$451,'TAR FIN'!$A$1:$O$95,15,0)),0,VLOOKUP($T$451,'TAR FIN'!$A$1:$O$95,15,0))</f>
        <v>149.63</v>
      </c>
      <c r="X451" s="6">
        <f>IF(ISERROR(VLOOKUP($U$451,'TAR FIN'!$A$1:$O$95,15,0)),0,VLOOKUP($U$451,'TAR FIN'!$A$1:$O$95,15,0))</f>
        <v>230.03</v>
      </c>
      <c r="Y451" s="6">
        <f ca="1">('TUSD BE'!$AM$11+'TUSD BF'!$AM$11+'TUSD CVA'!$AM$11)*1</f>
        <v>31.93064187172984</v>
      </c>
      <c r="Z451" s="6">
        <f ca="1">('TUSD BE'!$AM$12+'TUSD BF'!$AM$12+'TUSD CVA'!$AM$12)*1</f>
        <v>168.51338132937991</v>
      </c>
      <c r="AA451" s="6">
        <f>('TE BE'!$AA$8+'TE BF'!$AA$8+'TE CVA'!$AA$8)*1</f>
        <v>282.91739971702214</v>
      </c>
      <c r="AB451" s="6">
        <f>$K$451*$V$451</f>
        <v>37255.279999999999</v>
      </c>
      <c r="AC451" s="6">
        <f>$M$451*$W$451</f>
        <v>63669.659820000001</v>
      </c>
      <c r="AD451" s="6">
        <f>$O$451*$X$451</f>
        <v>97880.985419999997</v>
      </c>
      <c r="AE451" s="6">
        <f ca="1">$K$451*$Y$451</f>
        <v>41637.557000735709</v>
      </c>
      <c r="AF451" s="6">
        <f ca="1">$M$451*$Z$451</f>
        <v>71704.802942989758</v>
      </c>
      <c r="AG451" s="6">
        <f>$O$451*$AA$451</f>
        <v>120385.31442318896</v>
      </c>
    </row>
    <row r="452" spans="1:33" ht="11.25" customHeight="1" x14ac:dyDescent="0.25">
      <c r="A452" s="4" t="s">
        <v>30</v>
      </c>
      <c r="B452" s="4" t="s">
        <v>35</v>
      </c>
      <c r="C452" s="4" t="s">
        <v>44</v>
      </c>
      <c r="D452" s="4" t="s">
        <v>42</v>
      </c>
      <c r="E452" s="4" t="s">
        <v>25</v>
      </c>
      <c r="F452" s="4" t="s">
        <v>25</v>
      </c>
      <c r="G452" s="4" t="s">
        <v>25</v>
      </c>
      <c r="H452" s="4" t="s">
        <v>38</v>
      </c>
      <c r="I452" s="5">
        <v>44440</v>
      </c>
      <c r="J452" s="6">
        <v>2208</v>
      </c>
      <c r="K452" s="6">
        <v>2208</v>
      </c>
      <c r="L452" s="6">
        <v>921.87900000000002</v>
      </c>
      <c r="M452" s="6">
        <v>921.87900000000002</v>
      </c>
      <c r="N452" s="6">
        <v>921.87900000000002</v>
      </c>
      <c r="O452" s="6">
        <v>921.87900000000002</v>
      </c>
      <c r="P452" s="6">
        <v>0</v>
      </c>
      <c r="Q452" s="4" t="s">
        <v>26</v>
      </c>
      <c r="R452" s="4">
        <v>0</v>
      </c>
      <c r="S452" s="6">
        <v>29</v>
      </c>
      <c r="T452" s="6">
        <v>30</v>
      </c>
      <c r="U452" s="6">
        <v>67</v>
      </c>
      <c r="V452" s="6">
        <f>IF(ISERROR(VLOOKUP($S$452,'TAR FIN'!$A$1:$O$95,15,0)),0,VLOOKUP($S$452,'TAR FIN'!$A$1:$O$95,15,0))</f>
        <v>28.57</v>
      </c>
      <c r="W452" s="6">
        <f>IF(ISERROR(VLOOKUP($T$452,'TAR FIN'!$A$1:$O$95,15,0)),0,VLOOKUP($T$452,'TAR FIN'!$A$1:$O$95,15,0))</f>
        <v>149.63</v>
      </c>
      <c r="X452" s="6">
        <f>IF(ISERROR(VLOOKUP($U$452,'TAR FIN'!$A$1:$O$95,15,0)),0,VLOOKUP($U$452,'TAR FIN'!$A$1:$O$95,15,0))</f>
        <v>230.03</v>
      </c>
      <c r="Y452" s="6">
        <f ca="1">('TUSD BE'!$AM$11+'TUSD BF'!$AM$11+'TUSD CVA'!$AM$11)*1</f>
        <v>31.93064187172984</v>
      </c>
      <c r="Z452" s="6">
        <f ca="1">('TUSD BE'!$AM$12+'TUSD BF'!$AM$12+'TUSD CVA'!$AM$12)*1</f>
        <v>168.51338132937991</v>
      </c>
      <c r="AA452" s="6">
        <f>('TE BE'!$AA$8+'TE BF'!$AA$8+'TE CVA'!$AA$8)*1</f>
        <v>282.91739971702214</v>
      </c>
      <c r="AB452" s="6">
        <f>$K$452*$V$452</f>
        <v>63082.559999999998</v>
      </c>
      <c r="AC452" s="6">
        <f>$M$452*$W$452</f>
        <v>137940.75477</v>
      </c>
      <c r="AD452" s="6">
        <f>$O$452*$X$452</f>
        <v>212059.82637</v>
      </c>
      <c r="AE452" s="6">
        <f ca="1">$K$452*$Y$452</f>
        <v>70502.857252779489</v>
      </c>
      <c r="AF452" s="6">
        <f ca="1">$M$452*$Z$452</f>
        <v>155348.94746654743</v>
      </c>
      <c r="AG452" s="6">
        <f>$O$452*$AA$452</f>
        <v>260815.60953372865</v>
      </c>
    </row>
    <row r="453" spans="1:33" ht="11.25" customHeight="1" x14ac:dyDescent="0.25">
      <c r="A453" s="4" t="s">
        <v>21</v>
      </c>
      <c r="B453" s="4" t="s">
        <v>35</v>
      </c>
      <c r="C453" s="4" t="s">
        <v>44</v>
      </c>
      <c r="D453" s="4" t="s">
        <v>42</v>
      </c>
      <c r="E453" s="4" t="s">
        <v>25</v>
      </c>
      <c r="F453" s="4" t="s">
        <v>25</v>
      </c>
      <c r="G453" s="4" t="s">
        <v>25</v>
      </c>
      <c r="H453" s="4" t="s">
        <v>38</v>
      </c>
      <c r="I453" s="5">
        <v>44440</v>
      </c>
      <c r="J453" s="6">
        <v>5816</v>
      </c>
      <c r="K453" s="6">
        <v>5816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4" t="s">
        <v>60</v>
      </c>
      <c r="R453" s="4">
        <v>0</v>
      </c>
      <c r="S453" s="6">
        <v>29</v>
      </c>
      <c r="T453" s="6">
        <v>0</v>
      </c>
      <c r="U453" s="6">
        <v>0</v>
      </c>
      <c r="V453" s="6">
        <f>IF(ISERROR(VLOOKUP($S$453,'TAR FIN'!$A$1:$O$95,15,0)),0,VLOOKUP($S$453,'TAR FIN'!$A$1:$O$95,15,0))</f>
        <v>28.57</v>
      </c>
      <c r="W453" s="6">
        <f>IF(ISERROR(VLOOKUP($T$453,'TAR FIN'!$A$1:$O$95,15,0)),0,VLOOKUP($T$453,'TAR FIN'!$A$1:$O$95,15,0))</f>
        <v>0</v>
      </c>
      <c r="X453" s="6">
        <f>IF(ISERROR(VLOOKUP($U$453,'TAR FIN'!$A$1:$O$95,15,0)),0,VLOOKUP($U$453,'TAR FIN'!$A$1:$O$95,15,0))</f>
        <v>0</v>
      </c>
      <c r="Y453" s="6">
        <f ca="1">('TUSD BE'!$AM$11+'TUSD BF'!$AM$11+'TUSD CVA'!$AM$11)*1</f>
        <v>31.93064187172984</v>
      </c>
      <c r="Z453" s="6">
        <f ca="1">('TUSD BE'!$AM$12+'TUSD BF'!$AM$12+'TUSD CVA'!$AM$12)*1</f>
        <v>168.51338132937991</v>
      </c>
      <c r="AA453" s="6"/>
      <c r="AB453" s="6">
        <f>$K$453*$V$453</f>
        <v>166163.12</v>
      </c>
      <c r="AC453" s="6">
        <f>$M$453*$W$453</f>
        <v>0</v>
      </c>
      <c r="AD453" s="6">
        <f>$O$453*$X$453</f>
        <v>0</v>
      </c>
      <c r="AE453" s="6">
        <f ca="1">$K$453*$Y$453</f>
        <v>185708.61312598074</v>
      </c>
      <c r="AF453" s="6">
        <f ca="1">$M$453*$Z$453</f>
        <v>0</v>
      </c>
      <c r="AG453" s="6">
        <f>$O$453*$AA$453</f>
        <v>0</v>
      </c>
    </row>
    <row r="454" spans="1:33" ht="11.25" customHeight="1" x14ac:dyDescent="0.25">
      <c r="A454" s="4" t="s">
        <v>59</v>
      </c>
      <c r="B454" s="4" t="s">
        <v>35</v>
      </c>
      <c r="C454" s="4" t="s">
        <v>44</v>
      </c>
      <c r="D454" s="4" t="s">
        <v>42</v>
      </c>
      <c r="E454" s="4" t="s">
        <v>25</v>
      </c>
      <c r="F454" s="4" t="s">
        <v>25</v>
      </c>
      <c r="G454" s="4" t="s">
        <v>25</v>
      </c>
      <c r="H454" s="4" t="s">
        <v>38</v>
      </c>
      <c r="I454" s="5">
        <v>44470</v>
      </c>
      <c r="J454" s="6">
        <v>19262</v>
      </c>
      <c r="K454" s="6">
        <v>19262</v>
      </c>
      <c r="L454" s="6">
        <v>5346.9030000000002</v>
      </c>
      <c r="M454" s="6">
        <v>5346.9030000000002</v>
      </c>
      <c r="N454" s="6">
        <v>5346.9030000000002</v>
      </c>
      <c r="O454" s="6">
        <v>5346.9030000000002</v>
      </c>
      <c r="P454" s="6">
        <v>0</v>
      </c>
      <c r="Q454" s="4" t="s">
        <v>26</v>
      </c>
      <c r="R454" s="4">
        <v>0</v>
      </c>
      <c r="S454" s="6">
        <v>29</v>
      </c>
      <c r="T454" s="6">
        <v>30</v>
      </c>
      <c r="U454" s="6">
        <v>67</v>
      </c>
      <c r="V454" s="6">
        <f>IF(ISERROR(VLOOKUP($S$454,'TAR FIN'!$A$1:$O$95,15,0)),0,VLOOKUP($S$454,'TAR FIN'!$A$1:$O$95,15,0))</f>
        <v>28.57</v>
      </c>
      <c r="W454" s="6">
        <f>IF(ISERROR(VLOOKUP($T$454,'TAR FIN'!$A$1:$O$95,15,0)),0,VLOOKUP($T$454,'TAR FIN'!$A$1:$O$95,15,0))</f>
        <v>149.63</v>
      </c>
      <c r="X454" s="6">
        <f>IF(ISERROR(VLOOKUP($U$454,'TAR FIN'!$A$1:$O$95,15,0)),0,VLOOKUP($U$454,'TAR FIN'!$A$1:$O$95,15,0))</f>
        <v>230.03</v>
      </c>
      <c r="Y454" s="6">
        <f ca="1">('TUSD BE'!$AM$11+'TUSD BF'!$AM$11+'TUSD CVA'!$AM$11)*1</f>
        <v>31.93064187172984</v>
      </c>
      <c r="Z454" s="6">
        <f ca="1">('TUSD BE'!$AM$12+'TUSD BF'!$AM$12+'TUSD CVA'!$AM$12)*1</f>
        <v>168.51338132937991</v>
      </c>
      <c r="AA454" s="6">
        <f>('TE BE'!$AA$8+'TE BF'!$AA$8+'TE CVA'!$AA$8)*1</f>
        <v>282.91739971702214</v>
      </c>
      <c r="AB454" s="6">
        <f>$K$454*$V$454</f>
        <v>550315.34</v>
      </c>
      <c r="AC454" s="6">
        <f>$M$454*$W$454</f>
        <v>800057.09589</v>
      </c>
      <c r="AD454" s="6">
        <f>$O$454*$X$454</f>
        <v>1229948.0970900001</v>
      </c>
      <c r="AE454" s="6">
        <f ca="1">$K$454*$Y$454</f>
        <v>615048.02373326023</v>
      </c>
      <c r="AF454" s="6">
        <f ca="1">$M$454*$Z$454</f>
        <v>901024.70417020551</v>
      </c>
      <c r="AG454" s="6">
        <f>$O$454*$AA$454</f>
        <v>1512731.8932991449</v>
      </c>
    </row>
    <row r="455" spans="1:33" ht="11.25" customHeight="1" x14ac:dyDescent="0.25">
      <c r="A455" s="4" t="s">
        <v>59</v>
      </c>
      <c r="B455" s="4" t="s">
        <v>35</v>
      </c>
      <c r="C455" s="4" t="s">
        <v>44</v>
      </c>
      <c r="D455" s="4" t="s">
        <v>42</v>
      </c>
      <c r="E455" s="4" t="s">
        <v>25</v>
      </c>
      <c r="F455" s="4" t="s">
        <v>25</v>
      </c>
      <c r="G455" s="4" t="s">
        <v>25</v>
      </c>
      <c r="H455" s="4" t="s">
        <v>38</v>
      </c>
      <c r="I455" s="5">
        <v>44470</v>
      </c>
      <c r="J455" s="6">
        <v>1304</v>
      </c>
      <c r="K455" s="6">
        <v>1304</v>
      </c>
      <c r="L455" s="6">
        <v>425.51400000000001</v>
      </c>
      <c r="M455" s="6">
        <v>425.51400000000001</v>
      </c>
      <c r="N455" s="6">
        <v>425.51400000000001</v>
      </c>
      <c r="O455" s="6">
        <v>425.51400000000001</v>
      </c>
      <c r="P455" s="6">
        <v>0</v>
      </c>
      <c r="Q455" s="4" t="s">
        <v>26</v>
      </c>
      <c r="R455" s="4">
        <v>0</v>
      </c>
      <c r="S455" s="6">
        <v>29</v>
      </c>
      <c r="T455" s="6">
        <v>30</v>
      </c>
      <c r="U455" s="6">
        <v>67</v>
      </c>
      <c r="V455" s="6">
        <f>IF(ISERROR(VLOOKUP($S$455,'TAR FIN'!$A$1:$O$95,15,0)),0,VLOOKUP($S$455,'TAR FIN'!$A$1:$O$95,15,0))</f>
        <v>28.57</v>
      </c>
      <c r="W455" s="6">
        <f>IF(ISERROR(VLOOKUP($T$455,'TAR FIN'!$A$1:$O$95,15,0)),0,VLOOKUP($T$455,'TAR FIN'!$A$1:$O$95,15,0))</f>
        <v>149.63</v>
      </c>
      <c r="X455" s="6">
        <f>IF(ISERROR(VLOOKUP($U$455,'TAR FIN'!$A$1:$O$95,15,0)),0,VLOOKUP($U$455,'TAR FIN'!$A$1:$O$95,15,0))</f>
        <v>230.03</v>
      </c>
      <c r="Y455" s="6">
        <f ca="1">('TUSD BE'!$AM$11+'TUSD BF'!$AM$11+'TUSD CVA'!$AM$11)*1</f>
        <v>31.93064187172984</v>
      </c>
      <c r="Z455" s="6">
        <f ca="1">('TUSD BE'!$AM$12+'TUSD BF'!$AM$12+'TUSD CVA'!$AM$12)*1</f>
        <v>168.51338132937991</v>
      </c>
      <c r="AA455" s="6">
        <f>('TE BE'!$AA$8+'TE BF'!$AA$8+'TE CVA'!$AA$8)*1</f>
        <v>282.91739971702214</v>
      </c>
      <c r="AB455" s="6">
        <f>$K$455*$V$455</f>
        <v>37255.279999999999</v>
      </c>
      <c r="AC455" s="6">
        <f>$M$455*$W$455</f>
        <v>63669.659820000001</v>
      </c>
      <c r="AD455" s="6">
        <f>$O$455*$X$455</f>
        <v>97880.985419999997</v>
      </c>
      <c r="AE455" s="6">
        <f ca="1">$K$455*$Y$455</f>
        <v>41637.557000735709</v>
      </c>
      <c r="AF455" s="6">
        <f ca="1">$M$455*$Z$455</f>
        <v>71704.802942989758</v>
      </c>
      <c r="AG455" s="6">
        <f>$O$455*$AA$455</f>
        <v>120385.31442318896</v>
      </c>
    </row>
    <row r="456" spans="1:33" ht="11.25" customHeight="1" x14ac:dyDescent="0.25">
      <c r="A456" s="4" t="s">
        <v>59</v>
      </c>
      <c r="B456" s="4" t="s">
        <v>35</v>
      </c>
      <c r="C456" s="4" t="s">
        <v>44</v>
      </c>
      <c r="D456" s="4" t="s">
        <v>42</v>
      </c>
      <c r="E456" s="4" t="s">
        <v>25</v>
      </c>
      <c r="F456" s="4" t="s">
        <v>25</v>
      </c>
      <c r="G456" s="4" t="s">
        <v>25</v>
      </c>
      <c r="H456" s="4" t="s">
        <v>38</v>
      </c>
      <c r="I456" s="5">
        <v>44470</v>
      </c>
      <c r="J456" s="6">
        <v>2208</v>
      </c>
      <c r="K456" s="6">
        <v>2208</v>
      </c>
      <c r="L456" s="6">
        <v>921.87900000000002</v>
      </c>
      <c r="M456" s="6">
        <v>921.87900000000002</v>
      </c>
      <c r="N456" s="6">
        <v>921.87900000000002</v>
      </c>
      <c r="O456" s="6">
        <v>921.87900000000002</v>
      </c>
      <c r="P456" s="6">
        <v>0</v>
      </c>
      <c r="Q456" s="4" t="s">
        <v>26</v>
      </c>
      <c r="R456" s="4">
        <v>0</v>
      </c>
      <c r="S456" s="6">
        <v>29</v>
      </c>
      <c r="T456" s="6">
        <v>30</v>
      </c>
      <c r="U456" s="6">
        <v>67</v>
      </c>
      <c r="V456" s="6">
        <f>IF(ISERROR(VLOOKUP($S$456,'TAR FIN'!$A$1:$O$95,15,0)),0,VLOOKUP($S$456,'TAR FIN'!$A$1:$O$95,15,0))</f>
        <v>28.57</v>
      </c>
      <c r="W456" s="6">
        <f>IF(ISERROR(VLOOKUP($T$456,'TAR FIN'!$A$1:$O$95,15,0)),0,VLOOKUP($T$456,'TAR FIN'!$A$1:$O$95,15,0))</f>
        <v>149.63</v>
      </c>
      <c r="X456" s="6">
        <f>IF(ISERROR(VLOOKUP($U$456,'TAR FIN'!$A$1:$O$95,15,0)),0,VLOOKUP($U$456,'TAR FIN'!$A$1:$O$95,15,0))</f>
        <v>230.03</v>
      </c>
      <c r="Y456" s="6">
        <f ca="1">('TUSD BE'!$AM$11+'TUSD BF'!$AM$11+'TUSD CVA'!$AM$11)*1</f>
        <v>31.93064187172984</v>
      </c>
      <c r="Z456" s="6">
        <f ca="1">('TUSD BE'!$AM$12+'TUSD BF'!$AM$12+'TUSD CVA'!$AM$12)*1</f>
        <v>168.51338132937991</v>
      </c>
      <c r="AA456" s="6">
        <f>('TE BE'!$AA$8+'TE BF'!$AA$8+'TE CVA'!$AA$8)*1</f>
        <v>282.91739971702214</v>
      </c>
      <c r="AB456" s="6">
        <f>$K$456*$V$456</f>
        <v>63082.559999999998</v>
      </c>
      <c r="AC456" s="6">
        <f>$M$456*$W$456</f>
        <v>137940.75477</v>
      </c>
      <c r="AD456" s="6">
        <f>$O$456*$X$456</f>
        <v>212059.82637</v>
      </c>
      <c r="AE456" s="6">
        <f ca="1">$K$456*$Y$456</f>
        <v>70502.857252779489</v>
      </c>
      <c r="AF456" s="6">
        <f ca="1">$M$456*$Z$456</f>
        <v>155348.94746654743</v>
      </c>
      <c r="AG456" s="6">
        <f>$O$456*$AA$456</f>
        <v>260815.60953372865</v>
      </c>
    </row>
    <row r="457" spans="1:33" ht="11.25" customHeight="1" x14ac:dyDescent="0.25">
      <c r="A457" s="4" t="s">
        <v>59</v>
      </c>
      <c r="B457" s="4" t="s">
        <v>35</v>
      </c>
      <c r="C457" s="4" t="s">
        <v>44</v>
      </c>
      <c r="D457" s="4" t="s">
        <v>42</v>
      </c>
      <c r="E457" s="4" t="s">
        <v>25</v>
      </c>
      <c r="F457" s="4" t="s">
        <v>25</v>
      </c>
      <c r="G457" s="4" t="s">
        <v>25</v>
      </c>
      <c r="H457" s="4" t="s">
        <v>38</v>
      </c>
      <c r="I457" s="5">
        <v>44470</v>
      </c>
      <c r="J457" s="6">
        <v>5816</v>
      </c>
      <c r="K457" s="6">
        <v>5816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4" t="s">
        <v>60</v>
      </c>
      <c r="R457" s="4">
        <v>0</v>
      </c>
      <c r="S457" s="6">
        <v>29</v>
      </c>
      <c r="T457" s="6">
        <v>0</v>
      </c>
      <c r="U457" s="6">
        <v>0</v>
      </c>
      <c r="V457" s="6">
        <f>IF(ISERROR(VLOOKUP($S$457,'TAR FIN'!$A$1:$O$95,15,0)),0,VLOOKUP($S$457,'TAR FIN'!$A$1:$O$95,15,0))</f>
        <v>28.57</v>
      </c>
      <c r="W457" s="6">
        <f>IF(ISERROR(VLOOKUP($T$457,'TAR FIN'!$A$1:$O$95,15,0)),0,VLOOKUP($T$457,'TAR FIN'!$A$1:$O$95,15,0))</f>
        <v>0</v>
      </c>
      <c r="X457" s="6">
        <f>IF(ISERROR(VLOOKUP($U$457,'TAR FIN'!$A$1:$O$95,15,0)),0,VLOOKUP($U$457,'TAR FIN'!$A$1:$O$95,15,0))</f>
        <v>0</v>
      </c>
      <c r="Y457" s="6">
        <f ca="1">('TUSD BE'!$AM$11+'TUSD BF'!$AM$11+'TUSD CVA'!$AM$11)*1</f>
        <v>31.93064187172984</v>
      </c>
      <c r="Z457" s="6">
        <f ca="1">('TUSD BE'!$AM$12+'TUSD BF'!$AM$12+'TUSD CVA'!$AM$12)*1</f>
        <v>168.51338132937991</v>
      </c>
      <c r="AA457" s="6"/>
      <c r="AB457" s="6">
        <f>$K$457*$V$457</f>
        <v>166163.12</v>
      </c>
      <c r="AC457" s="6">
        <f>$M$457*$W$457</f>
        <v>0</v>
      </c>
      <c r="AD457" s="6">
        <f>$O$457*$X$457</f>
        <v>0</v>
      </c>
      <c r="AE457" s="6">
        <f ca="1">$K$457*$Y$457</f>
        <v>185708.61312598074</v>
      </c>
      <c r="AF457" s="6">
        <f ca="1">$M$457*$Z$457</f>
        <v>0</v>
      </c>
      <c r="AG457" s="6">
        <f>$O$457*$AA$457</f>
        <v>0</v>
      </c>
    </row>
    <row r="458" spans="1:33" ht="11.25" customHeight="1" x14ac:dyDescent="0.25">
      <c r="A458" s="4" t="s">
        <v>21</v>
      </c>
      <c r="B458" s="4" t="s">
        <v>35</v>
      </c>
      <c r="C458" s="4" t="s">
        <v>44</v>
      </c>
      <c r="D458" s="4" t="s">
        <v>42</v>
      </c>
      <c r="E458" s="4" t="s">
        <v>25</v>
      </c>
      <c r="F458" s="4" t="s">
        <v>25</v>
      </c>
      <c r="G458" s="4" t="s">
        <v>25</v>
      </c>
      <c r="H458" s="4" t="s">
        <v>25</v>
      </c>
      <c r="I458" s="5">
        <v>44136</v>
      </c>
      <c r="J458" s="6">
        <v>0</v>
      </c>
      <c r="K458" s="6">
        <v>0</v>
      </c>
      <c r="L458" s="6">
        <v>3913.9380000000001</v>
      </c>
      <c r="M458" s="6">
        <v>3913.9380000000001</v>
      </c>
      <c r="N458" s="6">
        <v>0</v>
      </c>
      <c r="O458" s="6">
        <v>0</v>
      </c>
      <c r="P458" s="6">
        <v>1</v>
      </c>
      <c r="Q458" s="4" t="s">
        <v>60</v>
      </c>
      <c r="R458" s="4">
        <v>0</v>
      </c>
      <c r="S458" s="6">
        <v>0</v>
      </c>
      <c r="T458" s="6">
        <v>30</v>
      </c>
      <c r="U458" s="6">
        <v>0</v>
      </c>
      <c r="V458" s="6">
        <f>IF(ISERROR(VLOOKUP($S$458,'TAR FIN'!$A$1:$O$95,15,0)),0,VLOOKUP($S$458,'TAR FIN'!$A$1:$O$95,15,0))</f>
        <v>0</v>
      </c>
      <c r="W458" s="6">
        <f>IF(ISERROR(VLOOKUP($T$458,'TAR FIN'!$A$1:$O$95,15,0)),0,VLOOKUP($T$458,'TAR FIN'!$A$1:$O$95,15,0))</f>
        <v>149.63</v>
      </c>
      <c r="X458" s="6">
        <f>IF(ISERROR(VLOOKUP($U$458,'TAR FIN'!$A$1:$O$95,15,0)),0,VLOOKUP($U$458,'TAR FIN'!$A$1:$O$95,15,0))</f>
        <v>0</v>
      </c>
      <c r="Y458" s="6"/>
      <c r="Z458" s="6">
        <f ca="1">('TUSD BE'!$AM$12+'TUSD BF'!$AM$12+'TUSD CVA'!$AM$12)*1</f>
        <v>168.51338132937991</v>
      </c>
      <c r="AA458" s="6"/>
      <c r="AB458" s="6">
        <f>$K$458*$V$458</f>
        <v>0</v>
      </c>
      <c r="AC458" s="6">
        <f>$M$458*$W$458</f>
        <v>585642.54293999996</v>
      </c>
      <c r="AD458" s="6">
        <f>$O$458*$X$458</f>
        <v>0</v>
      </c>
      <c r="AE458" s="6">
        <f>$K$458*$Y$458</f>
        <v>0</v>
      </c>
      <c r="AF458" s="6">
        <f ca="1">$M$458*$Z$458</f>
        <v>659550.92669355054</v>
      </c>
      <c r="AG458" s="6">
        <f>$O$458*$AA$458</f>
        <v>0</v>
      </c>
    </row>
    <row r="459" spans="1:33" ht="11.25" customHeight="1" x14ac:dyDescent="0.25">
      <c r="A459" s="4" t="s">
        <v>21</v>
      </c>
      <c r="B459" s="4" t="s">
        <v>35</v>
      </c>
      <c r="C459" s="4" t="s">
        <v>44</v>
      </c>
      <c r="D459" s="4" t="s">
        <v>42</v>
      </c>
      <c r="E459" s="4" t="s">
        <v>25</v>
      </c>
      <c r="F459" s="4" t="s">
        <v>25</v>
      </c>
      <c r="G459" s="4" t="s">
        <v>25</v>
      </c>
      <c r="H459" s="4" t="s">
        <v>25</v>
      </c>
      <c r="I459" s="5">
        <v>44166</v>
      </c>
      <c r="J459" s="6">
        <v>0</v>
      </c>
      <c r="K459" s="6">
        <v>0</v>
      </c>
      <c r="L459" s="6">
        <v>3774.96</v>
      </c>
      <c r="M459" s="6">
        <v>3774.96</v>
      </c>
      <c r="N459" s="6">
        <v>0</v>
      </c>
      <c r="O459" s="6">
        <v>0</v>
      </c>
      <c r="P459" s="6">
        <v>1</v>
      </c>
      <c r="Q459" s="4" t="s">
        <v>60</v>
      </c>
      <c r="R459" s="4">
        <v>0</v>
      </c>
      <c r="S459" s="6">
        <v>0</v>
      </c>
      <c r="T459" s="6">
        <v>30</v>
      </c>
      <c r="U459" s="6">
        <v>0</v>
      </c>
      <c r="V459" s="6">
        <f>IF(ISERROR(VLOOKUP($S$459,'TAR FIN'!$A$1:$O$95,15,0)),0,VLOOKUP($S$459,'TAR FIN'!$A$1:$O$95,15,0))</f>
        <v>0</v>
      </c>
      <c r="W459" s="6">
        <f>IF(ISERROR(VLOOKUP($T$459,'TAR FIN'!$A$1:$O$95,15,0)),0,VLOOKUP($T$459,'TAR FIN'!$A$1:$O$95,15,0))</f>
        <v>149.63</v>
      </c>
      <c r="X459" s="6">
        <f>IF(ISERROR(VLOOKUP($U$459,'TAR FIN'!$A$1:$O$95,15,0)),0,VLOOKUP($U$459,'TAR FIN'!$A$1:$O$95,15,0))</f>
        <v>0</v>
      </c>
      <c r="Y459" s="6"/>
      <c r="Z459" s="6">
        <f ca="1">('TUSD BE'!$AM$12+'TUSD BF'!$AM$12+'TUSD CVA'!$AM$12)*1</f>
        <v>168.51338132937991</v>
      </c>
      <c r="AA459" s="6"/>
      <c r="AB459" s="6">
        <f>$K$459*$V$459</f>
        <v>0</v>
      </c>
      <c r="AC459" s="6">
        <f>$M$459*$W$459</f>
        <v>564847.2648</v>
      </c>
      <c r="AD459" s="6">
        <f>$O$459*$X$459</f>
        <v>0</v>
      </c>
      <c r="AE459" s="6">
        <f>$K$459*$Y$459</f>
        <v>0</v>
      </c>
      <c r="AF459" s="6">
        <f ca="1">$M$459*$Z$459</f>
        <v>636131.27398315596</v>
      </c>
      <c r="AG459" s="6">
        <f>$O$459*$AA$459</f>
        <v>0</v>
      </c>
    </row>
    <row r="460" spans="1:33" ht="11.25" customHeight="1" x14ac:dyDescent="0.25">
      <c r="A460" s="4" t="s">
        <v>21</v>
      </c>
      <c r="B460" s="4" t="s">
        <v>35</v>
      </c>
      <c r="C460" s="4" t="s">
        <v>44</v>
      </c>
      <c r="D460" s="4" t="s">
        <v>42</v>
      </c>
      <c r="E460" s="4" t="s">
        <v>25</v>
      </c>
      <c r="F460" s="4" t="s">
        <v>25</v>
      </c>
      <c r="G460" s="4" t="s">
        <v>25</v>
      </c>
      <c r="H460" s="4" t="s">
        <v>25</v>
      </c>
      <c r="I460" s="5">
        <v>44197</v>
      </c>
      <c r="J460" s="6">
        <v>0</v>
      </c>
      <c r="K460" s="6">
        <v>0</v>
      </c>
      <c r="L460" s="6">
        <v>3787.0140000000001</v>
      </c>
      <c r="M460" s="6">
        <v>3787.0140000000001</v>
      </c>
      <c r="N460" s="6">
        <v>0</v>
      </c>
      <c r="O460" s="6">
        <v>0</v>
      </c>
      <c r="P460" s="6">
        <v>1</v>
      </c>
      <c r="Q460" s="4" t="s">
        <v>60</v>
      </c>
      <c r="R460" s="4">
        <v>0</v>
      </c>
      <c r="S460" s="6">
        <v>0</v>
      </c>
      <c r="T460" s="6">
        <v>30</v>
      </c>
      <c r="U460" s="6">
        <v>0</v>
      </c>
      <c r="V460" s="6">
        <f>IF(ISERROR(VLOOKUP($S$460,'TAR FIN'!$A$1:$O$95,15,0)),0,VLOOKUP($S$460,'TAR FIN'!$A$1:$O$95,15,0))</f>
        <v>0</v>
      </c>
      <c r="W460" s="6">
        <f>IF(ISERROR(VLOOKUP($T$460,'TAR FIN'!$A$1:$O$95,15,0)),0,VLOOKUP($T$460,'TAR FIN'!$A$1:$O$95,15,0))</f>
        <v>149.63</v>
      </c>
      <c r="X460" s="6">
        <f>IF(ISERROR(VLOOKUP($U$460,'TAR FIN'!$A$1:$O$95,15,0)),0,VLOOKUP($U$460,'TAR FIN'!$A$1:$O$95,15,0))</f>
        <v>0</v>
      </c>
      <c r="Y460" s="6"/>
      <c r="Z460" s="6">
        <f ca="1">('TUSD BE'!$AM$12+'TUSD BF'!$AM$12+'TUSD CVA'!$AM$12)*1</f>
        <v>168.51338132937991</v>
      </c>
      <c r="AA460" s="6"/>
      <c r="AB460" s="6">
        <f>$K$460*$V$460</f>
        <v>0</v>
      </c>
      <c r="AC460" s="6">
        <f>$M$460*$W$460</f>
        <v>566650.90482000005</v>
      </c>
      <c r="AD460" s="6">
        <f>$O$460*$X$460</f>
        <v>0</v>
      </c>
      <c r="AE460" s="6">
        <f>$K$460*$Y$460</f>
        <v>0</v>
      </c>
      <c r="AF460" s="6">
        <f ca="1">$M$460*$Z$460</f>
        <v>638162.53428170038</v>
      </c>
      <c r="AG460" s="6">
        <f>$O$460*$AA$460</f>
        <v>0</v>
      </c>
    </row>
    <row r="461" spans="1:33" ht="11.25" customHeight="1" x14ac:dyDescent="0.25">
      <c r="A461" s="4" t="s">
        <v>21</v>
      </c>
      <c r="B461" s="4" t="s">
        <v>35</v>
      </c>
      <c r="C461" s="4" t="s">
        <v>44</v>
      </c>
      <c r="D461" s="4" t="s">
        <v>42</v>
      </c>
      <c r="E461" s="4" t="s">
        <v>25</v>
      </c>
      <c r="F461" s="4" t="s">
        <v>25</v>
      </c>
      <c r="G461" s="4" t="s">
        <v>25</v>
      </c>
      <c r="H461" s="4" t="s">
        <v>25</v>
      </c>
      <c r="I461" s="5">
        <v>44228</v>
      </c>
      <c r="J461" s="6">
        <v>0</v>
      </c>
      <c r="K461" s="6">
        <v>0</v>
      </c>
      <c r="L461" s="6">
        <v>3425.6880000000001</v>
      </c>
      <c r="M461" s="6">
        <v>3425.6880000000001</v>
      </c>
      <c r="N461" s="6">
        <v>0</v>
      </c>
      <c r="O461" s="6">
        <v>0</v>
      </c>
      <c r="P461" s="6">
        <v>1</v>
      </c>
      <c r="Q461" s="4" t="s">
        <v>60</v>
      </c>
      <c r="R461" s="4">
        <v>0</v>
      </c>
      <c r="S461" s="6">
        <v>0</v>
      </c>
      <c r="T461" s="6">
        <v>30</v>
      </c>
      <c r="U461" s="6">
        <v>0</v>
      </c>
      <c r="V461" s="6">
        <f>IF(ISERROR(VLOOKUP($S$461,'TAR FIN'!$A$1:$O$95,15,0)),0,VLOOKUP($S$461,'TAR FIN'!$A$1:$O$95,15,0))</f>
        <v>0</v>
      </c>
      <c r="W461" s="6">
        <f>IF(ISERROR(VLOOKUP($T$461,'TAR FIN'!$A$1:$O$95,15,0)),0,VLOOKUP($T$461,'TAR FIN'!$A$1:$O$95,15,0))</f>
        <v>149.63</v>
      </c>
      <c r="X461" s="6">
        <f>IF(ISERROR(VLOOKUP($U$461,'TAR FIN'!$A$1:$O$95,15,0)),0,VLOOKUP($U$461,'TAR FIN'!$A$1:$O$95,15,0))</f>
        <v>0</v>
      </c>
      <c r="Y461" s="6"/>
      <c r="Z461" s="6">
        <f ca="1">('TUSD BE'!$AM$12+'TUSD BF'!$AM$12+'TUSD CVA'!$AM$12)*1</f>
        <v>168.51338132937991</v>
      </c>
      <c r="AA461" s="6"/>
      <c r="AB461" s="6">
        <f>$K$461*$V$461</f>
        <v>0</v>
      </c>
      <c r="AC461" s="6">
        <f>$M$461*$W$461</f>
        <v>512585.69543999998</v>
      </c>
      <c r="AD461" s="6">
        <f>$O$461*$X$461</f>
        <v>0</v>
      </c>
      <c r="AE461" s="6">
        <f>$K$461*$Y$461</f>
        <v>0</v>
      </c>
      <c r="AF461" s="6">
        <f ca="1">$M$461*$Z$461</f>
        <v>577274.26825948083</v>
      </c>
      <c r="AG461" s="6">
        <f>$O$461*$AA$461</f>
        <v>0</v>
      </c>
    </row>
    <row r="462" spans="1:33" ht="11.25" customHeight="1" x14ac:dyDescent="0.25">
      <c r="A462" s="4" t="s">
        <v>21</v>
      </c>
      <c r="B462" s="4" t="s">
        <v>35</v>
      </c>
      <c r="C462" s="4" t="s">
        <v>44</v>
      </c>
      <c r="D462" s="4" t="s">
        <v>42</v>
      </c>
      <c r="E462" s="4" t="s">
        <v>25</v>
      </c>
      <c r="F462" s="4" t="s">
        <v>25</v>
      </c>
      <c r="G462" s="4" t="s">
        <v>25</v>
      </c>
      <c r="H462" s="4" t="s">
        <v>25</v>
      </c>
      <c r="I462" s="5">
        <v>44256</v>
      </c>
      <c r="J462" s="6">
        <v>0</v>
      </c>
      <c r="K462" s="6">
        <v>0</v>
      </c>
      <c r="L462" s="6">
        <v>3168.9839999999999</v>
      </c>
      <c r="M462" s="6">
        <v>3168.9839999999999</v>
      </c>
      <c r="N462" s="6">
        <v>0</v>
      </c>
      <c r="O462" s="6">
        <v>0</v>
      </c>
      <c r="P462" s="6">
        <v>1</v>
      </c>
      <c r="Q462" s="4" t="s">
        <v>60</v>
      </c>
      <c r="R462" s="4">
        <v>0</v>
      </c>
      <c r="S462" s="6">
        <v>0</v>
      </c>
      <c r="T462" s="6">
        <v>30</v>
      </c>
      <c r="U462" s="6">
        <v>0</v>
      </c>
      <c r="V462" s="6">
        <f>IF(ISERROR(VLOOKUP($S$462,'TAR FIN'!$A$1:$O$95,15,0)),0,VLOOKUP($S$462,'TAR FIN'!$A$1:$O$95,15,0))</f>
        <v>0</v>
      </c>
      <c r="W462" s="6">
        <f>IF(ISERROR(VLOOKUP($T$462,'TAR FIN'!$A$1:$O$95,15,0)),0,VLOOKUP($T$462,'TAR FIN'!$A$1:$O$95,15,0))</f>
        <v>149.63</v>
      </c>
      <c r="X462" s="6">
        <f>IF(ISERROR(VLOOKUP($U$462,'TAR FIN'!$A$1:$O$95,15,0)),0,VLOOKUP($U$462,'TAR FIN'!$A$1:$O$95,15,0))</f>
        <v>0</v>
      </c>
      <c r="Y462" s="6"/>
      <c r="Z462" s="6">
        <f ca="1">('TUSD BE'!$AM$12+'TUSD BF'!$AM$12+'TUSD CVA'!$AM$12)*1</f>
        <v>168.51338132937991</v>
      </c>
      <c r="AA462" s="6"/>
      <c r="AB462" s="6">
        <f>$K$462*$V$462</f>
        <v>0</v>
      </c>
      <c r="AC462" s="6">
        <f>$M$462*$W$462</f>
        <v>474175.07591999997</v>
      </c>
      <c r="AD462" s="6">
        <f>$O$462*$X$462</f>
        <v>0</v>
      </c>
      <c r="AE462" s="6">
        <f>$K$462*$Y$462</f>
        <v>0</v>
      </c>
      <c r="AF462" s="6">
        <f ca="1">$M$462*$Z$462</f>
        <v>534016.20921870368</v>
      </c>
      <c r="AG462" s="6">
        <f>$O$462*$AA$462</f>
        <v>0</v>
      </c>
    </row>
    <row r="463" spans="1:33" ht="11.25" customHeight="1" x14ac:dyDescent="0.25">
      <c r="A463" s="4" t="s">
        <v>21</v>
      </c>
      <c r="B463" s="4" t="s">
        <v>35</v>
      </c>
      <c r="C463" s="4" t="s">
        <v>44</v>
      </c>
      <c r="D463" s="4" t="s">
        <v>42</v>
      </c>
      <c r="E463" s="4" t="s">
        <v>25</v>
      </c>
      <c r="F463" s="4" t="s">
        <v>25</v>
      </c>
      <c r="G463" s="4" t="s">
        <v>25</v>
      </c>
      <c r="H463" s="4" t="s">
        <v>25</v>
      </c>
      <c r="I463" s="5">
        <v>44287</v>
      </c>
      <c r="J463" s="6">
        <v>0</v>
      </c>
      <c r="K463" s="6">
        <v>0</v>
      </c>
      <c r="L463" s="6">
        <v>3555.2579999999998</v>
      </c>
      <c r="M463" s="6">
        <v>3555.2579999999998</v>
      </c>
      <c r="N463" s="6">
        <v>0</v>
      </c>
      <c r="O463" s="6">
        <v>0</v>
      </c>
      <c r="P463" s="6">
        <v>1</v>
      </c>
      <c r="Q463" s="4" t="s">
        <v>60</v>
      </c>
      <c r="R463" s="4">
        <v>0</v>
      </c>
      <c r="S463" s="6">
        <v>0</v>
      </c>
      <c r="T463" s="6">
        <v>30</v>
      </c>
      <c r="U463" s="6">
        <v>0</v>
      </c>
      <c r="V463" s="6">
        <f>IF(ISERROR(VLOOKUP($S$463,'TAR FIN'!$A$1:$O$95,15,0)),0,VLOOKUP($S$463,'TAR FIN'!$A$1:$O$95,15,0))</f>
        <v>0</v>
      </c>
      <c r="W463" s="6">
        <f>IF(ISERROR(VLOOKUP($T$463,'TAR FIN'!$A$1:$O$95,15,0)),0,VLOOKUP($T$463,'TAR FIN'!$A$1:$O$95,15,0))</f>
        <v>149.63</v>
      </c>
      <c r="X463" s="6">
        <f>IF(ISERROR(VLOOKUP($U$463,'TAR FIN'!$A$1:$O$95,15,0)),0,VLOOKUP($U$463,'TAR FIN'!$A$1:$O$95,15,0))</f>
        <v>0</v>
      </c>
      <c r="Y463" s="6"/>
      <c r="Z463" s="6">
        <f ca="1">('TUSD BE'!$AM$12+'TUSD BF'!$AM$12+'TUSD CVA'!$AM$12)*1</f>
        <v>168.51338132937991</v>
      </c>
      <c r="AA463" s="6"/>
      <c r="AB463" s="6">
        <f>$K$463*$V$463</f>
        <v>0</v>
      </c>
      <c r="AC463" s="6">
        <f>$M$463*$W$463</f>
        <v>531973.25453999999</v>
      </c>
      <c r="AD463" s="6">
        <f>$O$463*$X$463</f>
        <v>0</v>
      </c>
      <c r="AE463" s="6">
        <f>$K$463*$Y$463</f>
        <v>0</v>
      </c>
      <c r="AF463" s="6">
        <f ca="1">$M$463*$Z$463</f>
        <v>599108.54707832856</v>
      </c>
      <c r="AG463" s="6">
        <f>$O$463*$AA$463</f>
        <v>0</v>
      </c>
    </row>
    <row r="464" spans="1:33" ht="11.25" customHeight="1" x14ac:dyDescent="0.25">
      <c r="A464" s="4" t="s">
        <v>21</v>
      </c>
      <c r="B464" s="4" t="s">
        <v>35</v>
      </c>
      <c r="C464" s="4" t="s">
        <v>44</v>
      </c>
      <c r="D464" s="4" t="s">
        <v>42</v>
      </c>
      <c r="E464" s="4" t="s">
        <v>25</v>
      </c>
      <c r="F464" s="4" t="s">
        <v>25</v>
      </c>
      <c r="G464" s="4" t="s">
        <v>25</v>
      </c>
      <c r="H464" s="4" t="s">
        <v>25</v>
      </c>
      <c r="I464" s="5">
        <v>44317</v>
      </c>
      <c r="J464" s="6">
        <v>0</v>
      </c>
      <c r="K464" s="6">
        <v>0</v>
      </c>
      <c r="L464" s="6">
        <v>3035.3820000000001</v>
      </c>
      <c r="M464" s="6">
        <v>3035.3820000000001</v>
      </c>
      <c r="N464" s="6">
        <v>0</v>
      </c>
      <c r="O464" s="6">
        <v>0</v>
      </c>
      <c r="P464" s="6">
        <v>1</v>
      </c>
      <c r="Q464" s="4" t="s">
        <v>60</v>
      </c>
      <c r="R464" s="4">
        <v>0</v>
      </c>
      <c r="S464" s="6">
        <v>0</v>
      </c>
      <c r="T464" s="6">
        <v>30</v>
      </c>
      <c r="U464" s="6">
        <v>0</v>
      </c>
      <c r="V464" s="6">
        <f>IF(ISERROR(VLOOKUP($S$464,'TAR FIN'!$A$1:$O$95,15,0)),0,VLOOKUP($S$464,'TAR FIN'!$A$1:$O$95,15,0))</f>
        <v>0</v>
      </c>
      <c r="W464" s="6">
        <f>IF(ISERROR(VLOOKUP($T$464,'TAR FIN'!$A$1:$O$95,15,0)),0,VLOOKUP($T$464,'TAR FIN'!$A$1:$O$95,15,0))</f>
        <v>149.63</v>
      </c>
      <c r="X464" s="6">
        <f>IF(ISERROR(VLOOKUP($U$464,'TAR FIN'!$A$1:$O$95,15,0)),0,VLOOKUP($U$464,'TAR FIN'!$A$1:$O$95,15,0))</f>
        <v>0</v>
      </c>
      <c r="Y464" s="6"/>
      <c r="Z464" s="6">
        <f ca="1">('TUSD BE'!$AM$12+'TUSD BF'!$AM$12+'TUSD CVA'!$AM$12)*1</f>
        <v>168.51338132937991</v>
      </c>
      <c r="AA464" s="6"/>
      <c r="AB464" s="6">
        <f>$K$464*$V$464</f>
        <v>0</v>
      </c>
      <c r="AC464" s="6">
        <f>$M$464*$W$464</f>
        <v>454184.20866</v>
      </c>
      <c r="AD464" s="6">
        <f>$O$464*$X$464</f>
        <v>0</v>
      </c>
      <c r="AE464" s="6">
        <f>$K$464*$Y$464</f>
        <v>0</v>
      </c>
      <c r="AF464" s="6">
        <f ca="1">$M$464*$Z$464</f>
        <v>511502.48444633587</v>
      </c>
      <c r="AG464" s="6">
        <f>$O$464*$AA$464</f>
        <v>0</v>
      </c>
    </row>
    <row r="465" spans="1:33" ht="11.25" customHeight="1" x14ac:dyDescent="0.25">
      <c r="A465" s="4" t="s">
        <v>21</v>
      </c>
      <c r="B465" s="4" t="s">
        <v>35</v>
      </c>
      <c r="C465" s="4" t="s">
        <v>44</v>
      </c>
      <c r="D465" s="4" t="s">
        <v>42</v>
      </c>
      <c r="E465" s="4" t="s">
        <v>25</v>
      </c>
      <c r="F465" s="4" t="s">
        <v>25</v>
      </c>
      <c r="G465" s="4" t="s">
        <v>25</v>
      </c>
      <c r="H465" s="4" t="s">
        <v>25</v>
      </c>
      <c r="I465" s="5">
        <v>44348</v>
      </c>
      <c r="J465" s="6">
        <v>0</v>
      </c>
      <c r="K465" s="6">
        <v>0</v>
      </c>
      <c r="L465" s="6">
        <v>3787.0140000000001</v>
      </c>
      <c r="M465" s="6">
        <v>3787.0140000000001</v>
      </c>
      <c r="N465" s="6">
        <v>0</v>
      </c>
      <c r="O465" s="6">
        <v>0</v>
      </c>
      <c r="P465" s="6">
        <v>1</v>
      </c>
      <c r="Q465" s="4" t="s">
        <v>60</v>
      </c>
      <c r="R465" s="4">
        <v>0</v>
      </c>
      <c r="S465" s="6">
        <v>0</v>
      </c>
      <c r="T465" s="6">
        <v>30</v>
      </c>
      <c r="U465" s="6">
        <v>0</v>
      </c>
      <c r="V465" s="6">
        <f>IF(ISERROR(VLOOKUP($S$465,'TAR FIN'!$A$1:$O$95,15,0)),0,VLOOKUP($S$465,'TAR FIN'!$A$1:$O$95,15,0))</f>
        <v>0</v>
      </c>
      <c r="W465" s="6">
        <f>IF(ISERROR(VLOOKUP($T$465,'TAR FIN'!$A$1:$O$95,15,0)),0,VLOOKUP($T$465,'TAR FIN'!$A$1:$O$95,15,0))</f>
        <v>149.63</v>
      </c>
      <c r="X465" s="6">
        <f>IF(ISERROR(VLOOKUP($U$465,'TAR FIN'!$A$1:$O$95,15,0)),0,VLOOKUP($U$465,'TAR FIN'!$A$1:$O$95,15,0))</f>
        <v>0</v>
      </c>
      <c r="Y465" s="6"/>
      <c r="Z465" s="6">
        <f ca="1">('TUSD BE'!$AM$12+'TUSD BF'!$AM$12+'TUSD CVA'!$AM$12)*1</f>
        <v>168.51338132937991</v>
      </c>
      <c r="AA465" s="6"/>
      <c r="AB465" s="6">
        <f>$K$465*$V$465</f>
        <v>0</v>
      </c>
      <c r="AC465" s="6">
        <f>$M$465*$W$465</f>
        <v>566650.90482000005</v>
      </c>
      <c r="AD465" s="6">
        <f>$O$465*$X$465</f>
        <v>0</v>
      </c>
      <c r="AE465" s="6">
        <f>$K$465*$Y$465</f>
        <v>0</v>
      </c>
      <c r="AF465" s="6">
        <f ca="1">$M$465*$Z$465</f>
        <v>638162.53428170038</v>
      </c>
      <c r="AG465" s="6">
        <f>$O$465*$AA$465</f>
        <v>0</v>
      </c>
    </row>
    <row r="466" spans="1:33" ht="11.25" customHeight="1" x14ac:dyDescent="0.25">
      <c r="A466" s="4" t="s">
        <v>21</v>
      </c>
      <c r="B466" s="4" t="s">
        <v>35</v>
      </c>
      <c r="C466" s="4" t="s">
        <v>44</v>
      </c>
      <c r="D466" s="4" t="s">
        <v>42</v>
      </c>
      <c r="E466" s="4" t="s">
        <v>25</v>
      </c>
      <c r="F466" s="4" t="s">
        <v>25</v>
      </c>
      <c r="G466" s="4" t="s">
        <v>25</v>
      </c>
      <c r="H466" s="4" t="s">
        <v>25</v>
      </c>
      <c r="I466" s="5">
        <v>44378</v>
      </c>
      <c r="J466" s="6">
        <v>0</v>
      </c>
      <c r="K466" s="6">
        <v>0</v>
      </c>
      <c r="L466" s="6">
        <v>3991.3440000000001</v>
      </c>
      <c r="M466" s="6">
        <v>3991.3440000000001</v>
      </c>
      <c r="N466" s="6">
        <v>0</v>
      </c>
      <c r="O466" s="6">
        <v>0</v>
      </c>
      <c r="P466" s="6">
        <v>1</v>
      </c>
      <c r="Q466" s="4" t="s">
        <v>60</v>
      </c>
      <c r="R466" s="4">
        <v>0</v>
      </c>
      <c r="S466" s="6">
        <v>0</v>
      </c>
      <c r="T466" s="6">
        <v>30</v>
      </c>
      <c r="U466" s="6">
        <v>0</v>
      </c>
      <c r="V466" s="6">
        <f>IF(ISERROR(VLOOKUP($S$466,'TAR FIN'!$A$1:$O$95,15,0)),0,VLOOKUP($S$466,'TAR FIN'!$A$1:$O$95,15,0))</f>
        <v>0</v>
      </c>
      <c r="W466" s="6">
        <f>IF(ISERROR(VLOOKUP($T$466,'TAR FIN'!$A$1:$O$95,15,0)),0,VLOOKUP($T$466,'TAR FIN'!$A$1:$O$95,15,0))</f>
        <v>149.63</v>
      </c>
      <c r="X466" s="6">
        <f>IF(ISERROR(VLOOKUP($U$466,'TAR FIN'!$A$1:$O$95,15,0)),0,VLOOKUP($U$466,'TAR FIN'!$A$1:$O$95,15,0))</f>
        <v>0</v>
      </c>
      <c r="Y466" s="6"/>
      <c r="Z466" s="6">
        <f ca="1">('TUSD BE'!$AM$12+'TUSD BF'!$AM$12+'TUSD CVA'!$AM$12)*1</f>
        <v>168.51338132937991</v>
      </c>
      <c r="AA466" s="6"/>
      <c r="AB466" s="6">
        <f>$K$466*$V$466</f>
        <v>0</v>
      </c>
      <c r="AC466" s="6">
        <f>$M$466*$W$466</f>
        <v>597224.80272000004</v>
      </c>
      <c r="AD466" s="6">
        <f>$O$466*$X$466</f>
        <v>0</v>
      </c>
      <c r="AE466" s="6">
        <f>$K$466*$Y$466</f>
        <v>0</v>
      </c>
      <c r="AF466" s="6">
        <f ca="1">$M$466*$Z$466</f>
        <v>672594.8734887325</v>
      </c>
      <c r="AG466" s="6">
        <f>$O$466*$AA$466</f>
        <v>0</v>
      </c>
    </row>
    <row r="467" spans="1:33" ht="11.25" customHeight="1" x14ac:dyDescent="0.25">
      <c r="A467" s="4" t="s">
        <v>21</v>
      </c>
      <c r="B467" s="4" t="s">
        <v>35</v>
      </c>
      <c r="C467" s="4" t="s">
        <v>44</v>
      </c>
      <c r="D467" s="4" t="s">
        <v>42</v>
      </c>
      <c r="E467" s="4" t="s">
        <v>25</v>
      </c>
      <c r="F467" s="4" t="s">
        <v>25</v>
      </c>
      <c r="G467" s="4" t="s">
        <v>25</v>
      </c>
      <c r="H467" s="4" t="s">
        <v>25</v>
      </c>
      <c r="I467" s="5">
        <v>44409</v>
      </c>
      <c r="J467" s="6">
        <v>0</v>
      </c>
      <c r="K467" s="6">
        <v>0</v>
      </c>
      <c r="L467" s="6">
        <v>3921.7919999999999</v>
      </c>
      <c r="M467" s="6">
        <v>3921.7919999999999</v>
      </c>
      <c r="N467" s="6">
        <v>0</v>
      </c>
      <c r="O467" s="6">
        <v>0</v>
      </c>
      <c r="P467" s="6">
        <v>1</v>
      </c>
      <c r="Q467" s="4" t="s">
        <v>60</v>
      </c>
      <c r="R467" s="4">
        <v>0</v>
      </c>
      <c r="S467" s="6">
        <v>0</v>
      </c>
      <c r="T467" s="6">
        <v>30</v>
      </c>
      <c r="U467" s="6">
        <v>0</v>
      </c>
      <c r="V467" s="6">
        <f>IF(ISERROR(VLOOKUP($S$467,'TAR FIN'!$A$1:$O$95,15,0)),0,VLOOKUP($S$467,'TAR FIN'!$A$1:$O$95,15,0))</f>
        <v>0</v>
      </c>
      <c r="W467" s="6">
        <f>IF(ISERROR(VLOOKUP($T$467,'TAR FIN'!$A$1:$O$95,15,0)),0,VLOOKUP($T$467,'TAR FIN'!$A$1:$O$95,15,0))</f>
        <v>149.63</v>
      </c>
      <c r="X467" s="6">
        <f>IF(ISERROR(VLOOKUP($U$467,'TAR FIN'!$A$1:$O$95,15,0)),0,VLOOKUP($U$467,'TAR FIN'!$A$1:$O$95,15,0))</f>
        <v>0</v>
      </c>
      <c r="Y467" s="6"/>
      <c r="Z467" s="6">
        <f ca="1">('TUSD BE'!$AM$12+'TUSD BF'!$AM$12+'TUSD CVA'!$AM$12)*1</f>
        <v>168.51338132937991</v>
      </c>
      <c r="AA467" s="6"/>
      <c r="AB467" s="6">
        <f>$K$467*$V$467</f>
        <v>0</v>
      </c>
      <c r="AC467" s="6">
        <f>$M$467*$W$467</f>
        <v>586817.73696000001</v>
      </c>
      <c r="AD467" s="6">
        <f>$O$467*$X$467</f>
        <v>0</v>
      </c>
      <c r="AE467" s="6">
        <f>$K$467*$Y$467</f>
        <v>0</v>
      </c>
      <c r="AF467" s="6">
        <f ca="1">$M$467*$Z$467</f>
        <v>660874.43079051154</v>
      </c>
      <c r="AG467" s="6">
        <f>$O$467*$AA$467</f>
        <v>0</v>
      </c>
    </row>
    <row r="468" spans="1:33" ht="11.25" customHeight="1" x14ac:dyDescent="0.25">
      <c r="A468" s="4" t="s">
        <v>21</v>
      </c>
      <c r="B468" s="4" t="s">
        <v>35</v>
      </c>
      <c r="C468" s="4" t="s">
        <v>44</v>
      </c>
      <c r="D468" s="4" t="s">
        <v>42</v>
      </c>
      <c r="E468" s="4" t="s">
        <v>25</v>
      </c>
      <c r="F468" s="4" t="s">
        <v>25</v>
      </c>
      <c r="G468" s="4" t="s">
        <v>25</v>
      </c>
      <c r="H468" s="4" t="s">
        <v>25</v>
      </c>
      <c r="I468" s="5">
        <v>44440</v>
      </c>
      <c r="J468" s="6">
        <v>0</v>
      </c>
      <c r="K468" s="6">
        <v>0</v>
      </c>
      <c r="L468" s="6">
        <v>3607.422</v>
      </c>
      <c r="M468" s="6">
        <v>3607.422</v>
      </c>
      <c r="N468" s="6">
        <v>0</v>
      </c>
      <c r="O468" s="6">
        <v>0</v>
      </c>
      <c r="P468" s="6">
        <v>1</v>
      </c>
      <c r="Q468" s="4" t="s">
        <v>60</v>
      </c>
      <c r="R468" s="4">
        <v>0</v>
      </c>
      <c r="S468" s="6">
        <v>0</v>
      </c>
      <c r="T468" s="6">
        <v>30</v>
      </c>
      <c r="U468" s="6">
        <v>0</v>
      </c>
      <c r="V468" s="6">
        <f>IF(ISERROR(VLOOKUP($S$468,'TAR FIN'!$A$1:$O$95,15,0)),0,VLOOKUP($S$468,'TAR FIN'!$A$1:$O$95,15,0))</f>
        <v>0</v>
      </c>
      <c r="W468" s="6">
        <f>IF(ISERROR(VLOOKUP($T$468,'TAR FIN'!$A$1:$O$95,15,0)),0,VLOOKUP($T$468,'TAR FIN'!$A$1:$O$95,15,0))</f>
        <v>149.63</v>
      </c>
      <c r="X468" s="6">
        <f>IF(ISERROR(VLOOKUP($U$468,'TAR FIN'!$A$1:$O$95,15,0)),0,VLOOKUP($U$468,'TAR FIN'!$A$1:$O$95,15,0))</f>
        <v>0</v>
      </c>
      <c r="Y468" s="6"/>
      <c r="Z468" s="6">
        <f ca="1">('TUSD BE'!$AM$12+'TUSD BF'!$AM$12+'TUSD CVA'!$AM$12)*1</f>
        <v>168.51338132937991</v>
      </c>
      <c r="AA468" s="6"/>
      <c r="AB468" s="6">
        <f>$K$468*$V$468</f>
        <v>0</v>
      </c>
      <c r="AC468" s="6">
        <f>$M$468*$W$468</f>
        <v>539778.55385999999</v>
      </c>
      <c r="AD468" s="6">
        <f>$O$468*$X$468</f>
        <v>0</v>
      </c>
      <c r="AE468" s="6">
        <f>$K$468*$Y$468</f>
        <v>0</v>
      </c>
      <c r="AF468" s="6">
        <f ca="1">$M$468*$Z$468</f>
        <v>607898.87910199433</v>
      </c>
      <c r="AG468" s="6">
        <f>$O$468*$AA$468</f>
        <v>0</v>
      </c>
    </row>
    <row r="469" spans="1:33" ht="11.25" customHeight="1" x14ac:dyDescent="0.25">
      <c r="A469" s="4" t="s">
        <v>59</v>
      </c>
      <c r="B469" s="4" t="s">
        <v>35</v>
      </c>
      <c r="C469" s="4" t="s">
        <v>44</v>
      </c>
      <c r="D469" s="4" t="s">
        <v>42</v>
      </c>
      <c r="E469" s="4" t="s">
        <v>25</v>
      </c>
      <c r="F469" s="4" t="s">
        <v>25</v>
      </c>
      <c r="G469" s="4" t="s">
        <v>25</v>
      </c>
      <c r="H469" s="4" t="s">
        <v>25</v>
      </c>
      <c r="I469" s="5">
        <v>44470</v>
      </c>
      <c r="J469" s="6">
        <v>0</v>
      </c>
      <c r="K469" s="6">
        <v>0</v>
      </c>
      <c r="L469" s="6">
        <v>3607.422</v>
      </c>
      <c r="M469" s="6">
        <v>3607.422</v>
      </c>
      <c r="N469" s="6">
        <v>0</v>
      </c>
      <c r="O469" s="6">
        <v>0</v>
      </c>
      <c r="P469" s="6">
        <v>1</v>
      </c>
      <c r="Q469" s="4" t="s">
        <v>60</v>
      </c>
      <c r="R469" s="4">
        <v>0</v>
      </c>
      <c r="S469" s="6">
        <v>0</v>
      </c>
      <c r="T469" s="6">
        <v>30</v>
      </c>
      <c r="U469" s="6">
        <v>0</v>
      </c>
      <c r="V469" s="6">
        <f>IF(ISERROR(VLOOKUP($S$469,'TAR FIN'!$A$1:$O$95,15,0)),0,VLOOKUP($S$469,'TAR FIN'!$A$1:$O$95,15,0))</f>
        <v>0</v>
      </c>
      <c r="W469" s="6">
        <f>IF(ISERROR(VLOOKUP($T$469,'TAR FIN'!$A$1:$O$95,15,0)),0,VLOOKUP($T$469,'TAR FIN'!$A$1:$O$95,15,0))</f>
        <v>149.63</v>
      </c>
      <c r="X469" s="6">
        <f>IF(ISERROR(VLOOKUP($U$469,'TAR FIN'!$A$1:$O$95,15,0)),0,VLOOKUP($U$469,'TAR FIN'!$A$1:$O$95,15,0))</f>
        <v>0</v>
      </c>
      <c r="Y469" s="6"/>
      <c r="Z469" s="6">
        <f ca="1">('TUSD BE'!$AM$12+'TUSD BF'!$AM$12+'TUSD CVA'!$AM$12)*1</f>
        <v>168.51338132937991</v>
      </c>
      <c r="AA469" s="6"/>
      <c r="AB469" s="6">
        <f>$K$469*$V$469</f>
        <v>0</v>
      </c>
      <c r="AC469" s="6">
        <f>$M$469*$W$469</f>
        <v>539778.55385999999</v>
      </c>
      <c r="AD469" s="6">
        <f>$O$469*$X$469</f>
        <v>0</v>
      </c>
      <c r="AE469" s="6">
        <f>$K$469*$Y$469</f>
        <v>0</v>
      </c>
      <c r="AF469" s="6">
        <f ca="1">$M$469*$Z$469</f>
        <v>607898.87910199433</v>
      </c>
      <c r="AG469" s="6">
        <f>$O$469*$AA$469</f>
        <v>0</v>
      </c>
    </row>
    <row r="470" spans="1:33" ht="11.25" customHeight="1" x14ac:dyDescent="0.25">
      <c r="A470" s="4" t="s">
        <v>21</v>
      </c>
      <c r="B470" s="4" t="s">
        <v>35</v>
      </c>
      <c r="C470" s="4" t="s">
        <v>44</v>
      </c>
      <c r="D470" s="4" t="s">
        <v>42</v>
      </c>
      <c r="E470" s="4" t="s">
        <v>25</v>
      </c>
      <c r="F470" s="4" t="s">
        <v>25</v>
      </c>
      <c r="G470" s="4" t="s">
        <v>25</v>
      </c>
      <c r="H470" s="4" t="s">
        <v>37</v>
      </c>
      <c r="I470" s="5">
        <v>44136</v>
      </c>
      <c r="J470" s="6">
        <v>20640</v>
      </c>
      <c r="K470" s="6">
        <v>20640</v>
      </c>
      <c r="L470" s="6">
        <v>660.10299999999995</v>
      </c>
      <c r="M470" s="6">
        <v>660.10299999999995</v>
      </c>
      <c r="N470" s="6">
        <v>660.10299999999995</v>
      </c>
      <c r="O470" s="6">
        <v>660.10299999999995</v>
      </c>
      <c r="P470" s="6">
        <v>0</v>
      </c>
      <c r="Q470" s="4" t="s">
        <v>26</v>
      </c>
      <c r="R470" s="4">
        <v>0</v>
      </c>
      <c r="S470" s="6">
        <v>28</v>
      </c>
      <c r="T470" s="6">
        <v>30</v>
      </c>
      <c r="U470" s="6">
        <v>66</v>
      </c>
      <c r="V470" s="6">
        <f>IF(ISERROR(VLOOKUP($S$470,'TAR FIN'!$A$1:$O$95,15,0)),0,VLOOKUP($S$470,'TAR FIN'!$A$1:$O$95,15,0))</f>
        <v>52.99</v>
      </c>
      <c r="W470" s="6">
        <f>IF(ISERROR(VLOOKUP($T$470,'TAR FIN'!$A$1:$O$95,15,0)),0,VLOOKUP($T$470,'TAR FIN'!$A$1:$O$95,15,0))</f>
        <v>149.63</v>
      </c>
      <c r="X470" s="6">
        <f>IF(ISERROR(VLOOKUP($U$470,'TAR FIN'!$A$1:$O$95,15,0)),0,VLOOKUP($U$470,'TAR FIN'!$A$1:$O$95,15,0))</f>
        <v>389.28</v>
      </c>
      <c r="Y470" s="6">
        <f ca="1">('TUSD BE'!$AM$10+'TUSD BF'!$AM$10+'TUSD CVA'!$AM$10)*1</f>
        <v>59.276351675174958</v>
      </c>
      <c r="Z470" s="6">
        <f ca="1">('TUSD BE'!$AM$12+'TUSD BF'!$AM$12+'TUSD CVA'!$AM$12)*1</f>
        <v>168.51338132937991</v>
      </c>
      <c r="AA470" s="6">
        <f>('TE BE'!$AA$7+'TE BF'!$AA$7+'TE CVA'!$AA$7)*1</f>
        <v>454.3285679284046</v>
      </c>
      <c r="AB470" s="6">
        <f>$K$470*$V$470</f>
        <v>1093713.6000000001</v>
      </c>
      <c r="AC470" s="6">
        <f>$M$470*$W$470</f>
        <v>98771.211889999991</v>
      </c>
      <c r="AD470" s="6">
        <f>$O$470*$X$470</f>
        <v>256964.89583999995</v>
      </c>
      <c r="AE470" s="6">
        <f ca="1">$K$470*$Y$470</f>
        <v>1223463.8985756112</v>
      </c>
      <c r="AF470" s="6">
        <f ca="1">$M$470*$Z$470</f>
        <v>111236.18855566766</v>
      </c>
      <c r="AG470" s="6">
        <f>$O$470*$AA$470</f>
        <v>299903.65067524364</v>
      </c>
    </row>
    <row r="471" spans="1:33" ht="11.25" customHeight="1" x14ac:dyDescent="0.25">
      <c r="A471" s="4" t="s">
        <v>28</v>
      </c>
      <c r="B471" s="4" t="s">
        <v>35</v>
      </c>
      <c r="C471" s="4" t="s">
        <v>44</v>
      </c>
      <c r="D471" s="4" t="s">
        <v>42</v>
      </c>
      <c r="E471" s="4" t="s">
        <v>25</v>
      </c>
      <c r="F471" s="4" t="s">
        <v>25</v>
      </c>
      <c r="G471" s="4" t="s">
        <v>25</v>
      </c>
      <c r="H471" s="4" t="s">
        <v>37</v>
      </c>
      <c r="I471" s="5">
        <v>44136</v>
      </c>
      <c r="J471" s="6">
        <v>1292</v>
      </c>
      <c r="K471" s="6">
        <v>1292</v>
      </c>
      <c r="L471" s="6">
        <v>18.126999999999999</v>
      </c>
      <c r="M471" s="6">
        <v>18.126999999999999</v>
      </c>
      <c r="N471" s="6">
        <v>18.126999999999999</v>
      </c>
      <c r="O471" s="6">
        <v>18.126999999999999</v>
      </c>
      <c r="P471" s="6">
        <v>0</v>
      </c>
      <c r="Q471" s="4" t="s">
        <v>26</v>
      </c>
      <c r="R471" s="4">
        <v>0</v>
      </c>
      <c r="S471" s="6">
        <v>28</v>
      </c>
      <c r="T471" s="6">
        <v>30</v>
      </c>
      <c r="U471" s="6">
        <v>66</v>
      </c>
      <c r="V471" s="6">
        <f>IF(ISERROR(VLOOKUP($S$471,'TAR FIN'!$A$1:$O$95,15,0)),0,VLOOKUP($S$471,'TAR FIN'!$A$1:$O$95,15,0))</f>
        <v>52.99</v>
      </c>
      <c r="W471" s="6">
        <f>IF(ISERROR(VLOOKUP($T$471,'TAR FIN'!$A$1:$O$95,15,0)),0,VLOOKUP($T$471,'TAR FIN'!$A$1:$O$95,15,0))</f>
        <v>149.63</v>
      </c>
      <c r="X471" s="6">
        <f>IF(ISERROR(VLOOKUP($U$471,'TAR FIN'!$A$1:$O$95,15,0)),0,VLOOKUP($U$471,'TAR FIN'!$A$1:$O$95,15,0))</f>
        <v>389.28</v>
      </c>
      <c r="Y471" s="6">
        <f ca="1">('TUSD BE'!$AM$10+'TUSD BF'!$AM$10+'TUSD CVA'!$AM$10)*1</f>
        <v>59.276351675174958</v>
      </c>
      <c r="Z471" s="6">
        <f ca="1">('TUSD BE'!$AM$12+'TUSD BF'!$AM$12+'TUSD CVA'!$AM$12)*1</f>
        <v>168.51338132937991</v>
      </c>
      <c r="AA471" s="6">
        <f>('TE BE'!$AA$7+'TE BF'!$AA$7+'TE CVA'!$AA$7)*1</f>
        <v>454.3285679284046</v>
      </c>
      <c r="AB471" s="6">
        <f>$K$471*$V$471</f>
        <v>68463.08</v>
      </c>
      <c r="AC471" s="6">
        <f>$M$471*$W$471</f>
        <v>2712.3430099999996</v>
      </c>
      <c r="AD471" s="6">
        <f>$O$471*$X$471</f>
        <v>7056.4785599999987</v>
      </c>
      <c r="AE471" s="6">
        <f ca="1">$K$471*$Y$471</f>
        <v>76585.046364326045</v>
      </c>
      <c r="AF471" s="6">
        <f ca="1">$M$471*$Z$471</f>
        <v>3054.6420633576695</v>
      </c>
      <c r="AG471" s="6">
        <f>$O$471*$AA$471</f>
        <v>8235.6139508381893</v>
      </c>
    </row>
    <row r="472" spans="1:33" ht="11.25" customHeight="1" x14ac:dyDescent="0.25">
      <c r="A472" s="4" t="s">
        <v>29</v>
      </c>
      <c r="B472" s="4" t="s">
        <v>35</v>
      </c>
      <c r="C472" s="4" t="s">
        <v>44</v>
      </c>
      <c r="D472" s="4" t="s">
        <v>42</v>
      </c>
      <c r="E472" s="4" t="s">
        <v>25</v>
      </c>
      <c r="F472" s="4" t="s">
        <v>25</v>
      </c>
      <c r="G472" s="4" t="s">
        <v>25</v>
      </c>
      <c r="H472" s="4" t="s">
        <v>37</v>
      </c>
      <c r="I472" s="5">
        <v>44136</v>
      </c>
      <c r="J472" s="6">
        <v>-3915</v>
      </c>
      <c r="K472" s="6">
        <v>-3915</v>
      </c>
      <c r="L472" s="6">
        <v>-0.36899999999999999</v>
      </c>
      <c r="M472" s="6">
        <v>-0.36899999999999999</v>
      </c>
      <c r="N472" s="6">
        <v>-0.36899999999999999</v>
      </c>
      <c r="O472" s="6">
        <v>-0.36899999999999999</v>
      </c>
      <c r="P472" s="6">
        <v>0</v>
      </c>
      <c r="Q472" s="4" t="s">
        <v>26</v>
      </c>
      <c r="R472" s="4">
        <v>0</v>
      </c>
      <c r="S472" s="6">
        <v>28</v>
      </c>
      <c r="T472" s="6">
        <v>30</v>
      </c>
      <c r="U472" s="6">
        <v>66</v>
      </c>
      <c r="V472" s="6">
        <f>IF(ISERROR(VLOOKUP($S$472,'TAR FIN'!$A$1:$O$95,15,0)),0,VLOOKUP($S$472,'TAR FIN'!$A$1:$O$95,15,0))</f>
        <v>52.99</v>
      </c>
      <c r="W472" s="6">
        <f>IF(ISERROR(VLOOKUP($T$472,'TAR FIN'!$A$1:$O$95,15,0)),0,VLOOKUP($T$472,'TAR FIN'!$A$1:$O$95,15,0))</f>
        <v>149.63</v>
      </c>
      <c r="X472" s="6">
        <f>IF(ISERROR(VLOOKUP($U$472,'TAR FIN'!$A$1:$O$95,15,0)),0,VLOOKUP($U$472,'TAR FIN'!$A$1:$O$95,15,0))</f>
        <v>389.28</v>
      </c>
      <c r="Y472" s="6">
        <f ca="1">('TUSD BE'!$AM$10+'TUSD BF'!$AM$10+'TUSD CVA'!$AM$10)*1</f>
        <v>59.276351675174958</v>
      </c>
      <c r="Z472" s="6">
        <f ca="1">('TUSD BE'!$AM$12+'TUSD BF'!$AM$12+'TUSD CVA'!$AM$12)*1</f>
        <v>168.51338132937991</v>
      </c>
      <c r="AA472" s="6">
        <f>('TE BE'!$AA$7+'TE BF'!$AA$7+'TE CVA'!$AA$7)*1</f>
        <v>454.3285679284046</v>
      </c>
      <c r="AB472" s="6">
        <f>$K$472*$V$472</f>
        <v>-207455.85</v>
      </c>
      <c r="AC472" s="6">
        <f>$M$472*$W$472</f>
        <v>-55.213470000000001</v>
      </c>
      <c r="AD472" s="6">
        <f>$O$472*$X$472</f>
        <v>-143.64431999999999</v>
      </c>
      <c r="AE472" s="6">
        <f ca="1">$K$472*$Y$472</f>
        <v>-232066.91680830996</v>
      </c>
      <c r="AF472" s="6">
        <f ca="1">$M$472*$Z$472</f>
        <v>-62.181437710541189</v>
      </c>
      <c r="AG472" s="6">
        <f>$O$472*$AA$472</f>
        <v>-167.64724156558128</v>
      </c>
    </row>
    <row r="473" spans="1:33" ht="11.25" customHeight="1" x14ac:dyDescent="0.25">
      <c r="A473" s="4" t="s">
        <v>30</v>
      </c>
      <c r="B473" s="4" t="s">
        <v>35</v>
      </c>
      <c r="C473" s="4" t="s">
        <v>44</v>
      </c>
      <c r="D473" s="4" t="s">
        <v>42</v>
      </c>
      <c r="E473" s="4" t="s">
        <v>25</v>
      </c>
      <c r="F473" s="4" t="s">
        <v>25</v>
      </c>
      <c r="G473" s="4" t="s">
        <v>25</v>
      </c>
      <c r="H473" s="4" t="s">
        <v>37</v>
      </c>
      <c r="I473" s="5">
        <v>44136</v>
      </c>
      <c r="J473" s="6">
        <v>1440</v>
      </c>
      <c r="K473" s="6">
        <v>1440</v>
      </c>
      <c r="L473" s="6">
        <v>80.471999999999994</v>
      </c>
      <c r="M473" s="6">
        <v>80.471999999999994</v>
      </c>
      <c r="N473" s="6">
        <v>80.471999999999994</v>
      </c>
      <c r="O473" s="6">
        <v>80.471999999999994</v>
      </c>
      <c r="P473" s="6">
        <v>0</v>
      </c>
      <c r="Q473" s="4" t="s">
        <v>26</v>
      </c>
      <c r="R473" s="4">
        <v>0</v>
      </c>
      <c r="S473" s="6">
        <v>28</v>
      </c>
      <c r="T473" s="6">
        <v>30</v>
      </c>
      <c r="U473" s="6">
        <v>66</v>
      </c>
      <c r="V473" s="6">
        <f>IF(ISERROR(VLOOKUP($S$473,'TAR FIN'!$A$1:$O$95,15,0)),0,VLOOKUP($S$473,'TAR FIN'!$A$1:$O$95,15,0))</f>
        <v>52.99</v>
      </c>
      <c r="W473" s="6">
        <f>IF(ISERROR(VLOOKUP($T$473,'TAR FIN'!$A$1:$O$95,15,0)),0,VLOOKUP($T$473,'TAR FIN'!$A$1:$O$95,15,0))</f>
        <v>149.63</v>
      </c>
      <c r="X473" s="6">
        <f>IF(ISERROR(VLOOKUP($U$473,'TAR FIN'!$A$1:$O$95,15,0)),0,VLOOKUP($U$473,'TAR FIN'!$A$1:$O$95,15,0))</f>
        <v>389.28</v>
      </c>
      <c r="Y473" s="6">
        <f ca="1">('TUSD BE'!$AM$10+'TUSD BF'!$AM$10+'TUSD CVA'!$AM$10)*1</f>
        <v>59.276351675174958</v>
      </c>
      <c r="Z473" s="6">
        <f ca="1">('TUSD BE'!$AM$12+'TUSD BF'!$AM$12+'TUSD CVA'!$AM$12)*1</f>
        <v>168.51338132937991</v>
      </c>
      <c r="AA473" s="6">
        <f>('TE BE'!$AA$7+'TE BF'!$AA$7+'TE CVA'!$AA$7)*1</f>
        <v>454.3285679284046</v>
      </c>
      <c r="AB473" s="6">
        <f>$K$473*$V$473</f>
        <v>76305.600000000006</v>
      </c>
      <c r="AC473" s="6">
        <f>$M$473*$W$473</f>
        <v>12041.02536</v>
      </c>
      <c r="AD473" s="6">
        <f>$O$473*$X$473</f>
        <v>31326.140159999995</v>
      </c>
      <c r="AE473" s="6">
        <f ca="1">$K$473*$Y$473</f>
        <v>85357.946412251942</v>
      </c>
      <c r="AF473" s="6">
        <f ca="1">$M$473*$Z$473</f>
        <v>13560.608822337859</v>
      </c>
      <c r="AG473" s="6">
        <f>$O$473*$AA$473</f>
        <v>36560.728518334574</v>
      </c>
    </row>
    <row r="474" spans="1:33" ht="11.25" customHeight="1" x14ac:dyDescent="0.25">
      <c r="A474" s="4" t="s">
        <v>21</v>
      </c>
      <c r="B474" s="4" t="s">
        <v>35</v>
      </c>
      <c r="C474" s="4" t="s">
        <v>44</v>
      </c>
      <c r="D474" s="4" t="s">
        <v>42</v>
      </c>
      <c r="E474" s="4" t="s">
        <v>25</v>
      </c>
      <c r="F474" s="4" t="s">
        <v>25</v>
      </c>
      <c r="G474" s="4" t="s">
        <v>25</v>
      </c>
      <c r="H474" s="4" t="s">
        <v>37</v>
      </c>
      <c r="I474" s="5">
        <v>44136</v>
      </c>
      <c r="J474" s="6">
        <v>6073</v>
      </c>
      <c r="K474" s="6">
        <v>6073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4" t="s">
        <v>60</v>
      </c>
      <c r="R474" s="4">
        <v>0</v>
      </c>
      <c r="S474" s="6">
        <v>28</v>
      </c>
      <c r="T474" s="6">
        <v>0</v>
      </c>
      <c r="U474" s="6">
        <v>0</v>
      </c>
      <c r="V474" s="6">
        <f>IF(ISERROR(VLOOKUP($S$474,'TAR FIN'!$A$1:$O$95,15,0)),0,VLOOKUP($S$474,'TAR FIN'!$A$1:$O$95,15,0))</f>
        <v>52.99</v>
      </c>
      <c r="W474" s="6">
        <f>IF(ISERROR(VLOOKUP($T$474,'TAR FIN'!$A$1:$O$95,15,0)),0,VLOOKUP($T$474,'TAR FIN'!$A$1:$O$95,15,0))</f>
        <v>0</v>
      </c>
      <c r="X474" s="6">
        <f>IF(ISERROR(VLOOKUP($U$474,'TAR FIN'!$A$1:$O$95,15,0)),0,VLOOKUP($U$474,'TAR FIN'!$A$1:$O$95,15,0))</f>
        <v>0</v>
      </c>
      <c r="Y474" s="6">
        <f ca="1">('TUSD BE'!$AM$10+'TUSD BF'!$AM$10+'TUSD CVA'!$AM$10)*1</f>
        <v>59.276351675174958</v>
      </c>
      <c r="Z474" s="6">
        <f ca="1">('TUSD BE'!$AM$12+'TUSD BF'!$AM$12+'TUSD CVA'!$AM$12)*1</f>
        <v>168.51338132937991</v>
      </c>
      <c r="AA474" s="6"/>
      <c r="AB474" s="6">
        <f>$K$474*$V$474</f>
        <v>321808.27</v>
      </c>
      <c r="AC474" s="6">
        <f>$M$474*$W$474</f>
        <v>0</v>
      </c>
      <c r="AD474" s="6">
        <f>$O$474*$X$474</f>
        <v>0</v>
      </c>
      <c r="AE474" s="6">
        <f ca="1">$K$474*$Y$474</f>
        <v>359985.28372333752</v>
      </c>
      <c r="AF474" s="6">
        <f ca="1">$M$474*$Z$474</f>
        <v>0</v>
      </c>
      <c r="AG474" s="6">
        <f>$O$474*$AA$474</f>
        <v>0</v>
      </c>
    </row>
    <row r="475" spans="1:33" ht="11.25" customHeight="1" x14ac:dyDescent="0.25">
      <c r="A475" s="4" t="s">
        <v>21</v>
      </c>
      <c r="B475" s="4" t="s">
        <v>35</v>
      </c>
      <c r="C475" s="4" t="s">
        <v>44</v>
      </c>
      <c r="D475" s="4" t="s">
        <v>42</v>
      </c>
      <c r="E475" s="4" t="s">
        <v>25</v>
      </c>
      <c r="F475" s="4" t="s">
        <v>25</v>
      </c>
      <c r="G475" s="4" t="s">
        <v>25</v>
      </c>
      <c r="H475" s="4" t="s">
        <v>37</v>
      </c>
      <c r="I475" s="5">
        <v>44166</v>
      </c>
      <c r="J475" s="6">
        <v>20527</v>
      </c>
      <c r="K475" s="6">
        <v>20527</v>
      </c>
      <c r="L475" s="6">
        <v>587.01700000000005</v>
      </c>
      <c r="M475" s="6">
        <v>587.01700000000005</v>
      </c>
      <c r="N475" s="6">
        <v>587.01700000000005</v>
      </c>
      <c r="O475" s="6">
        <v>587.01700000000005</v>
      </c>
      <c r="P475" s="6">
        <v>0</v>
      </c>
      <c r="Q475" s="4" t="s">
        <v>26</v>
      </c>
      <c r="R475" s="4">
        <v>0</v>
      </c>
      <c r="S475" s="6">
        <v>28</v>
      </c>
      <c r="T475" s="6">
        <v>30</v>
      </c>
      <c r="U475" s="6">
        <v>66</v>
      </c>
      <c r="V475" s="6">
        <f>IF(ISERROR(VLOOKUP($S$475,'TAR FIN'!$A$1:$O$95,15,0)),0,VLOOKUP($S$475,'TAR FIN'!$A$1:$O$95,15,0))</f>
        <v>52.99</v>
      </c>
      <c r="W475" s="6">
        <f>IF(ISERROR(VLOOKUP($T$475,'TAR FIN'!$A$1:$O$95,15,0)),0,VLOOKUP($T$475,'TAR FIN'!$A$1:$O$95,15,0))</f>
        <v>149.63</v>
      </c>
      <c r="X475" s="6">
        <f>IF(ISERROR(VLOOKUP($U$475,'TAR FIN'!$A$1:$O$95,15,0)),0,VLOOKUP($U$475,'TAR FIN'!$A$1:$O$95,15,0))</f>
        <v>389.28</v>
      </c>
      <c r="Y475" s="6">
        <f ca="1">('TUSD BE'!$AM$10+'TUSD BF'!$AM$10+'TUSD CVA'!$AM$10)*1</f>
        <v>59.276351675174958</v>
      </c>
      <c r="Z475" s="6">
        <f ca="1">('TUSD BE'!$AM$12+'TUSD BF'!$AM$12+'TUSD CVA'!$AM$12)*1</f>
        <v>168.51338132937991</v>
      </c>
      <c r="AA475" s="6">
        <f>('TE BE'!$AA$7+'TE BF'!$AA$7+'TE CVA'!$AA$7)*1</f>
        <v>454.3285679284046</v>
      </c>
      <c r="AB475" s="6">
        <f>$K$475*$V$475</f>
        <v>1087725.73</v>
      </c>
      <c r="AC475" s="6">
        <f>$M$475*$W$475</f>
        <v>87835.35371000001</v>
      </c>
      <c r="AD475" s="6">
        <f>$O$475*$X$475</f>
        <v>228513.97776000001</v>
      </c>
      <c r="AE475" s="6">
        <f ca="1">$K$475*$Y$475</f>
        <v>1216765.6708363164</v>
      </c>
      <c r="AF475" s="6">
        <f ca="1">$M$475*$Z$475</f>
        <v>98920.219567828623</v>
      </c>
      <c r="AG475" s="6">
        <f>$O$475*$AA$475</f>
        <v>266698.59295962832</v>
      </c>
    </row>
    <row r="476" spans="1:33" ht="11.25" customHeight="1" x14ac:dyDescent="0.25">
      <c r="A476" s="4" t="s">
        <v>27</v>
      </c>
      <c r="B476" s="4" t="s">
        <v>35</v>
      </c>
      <c r="C476" s="4" t="s">
        <v>44</v>
      </c>
      <c r="D476" s="4" t="s">
        <v>42</v>
      </c>
      <c r="E476" s="4" t="s">
        <v>25</v>
      </c>
      <c r="F476" s="4" t="s">
        <v>25</v>
      </c>
      <c r="G476" s="4" t="s">
        <v>25</v>
      </c>
      <c r="H476" s="4" t="s">
        <v>37</v>
      </c>
      <c r="I476" s="5">
        <v>44166</v>
      </c>
      <c r="J476" s="6">
        <v>-500</v>
      </c>
      <c r="K476" s="6">
        <v>-500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4" t="s">
        <v>26</v>
      </c>
      <c r="R476" s="4">
        <v>0</v>
      </c>
      <c r="S476" s="6">
        <v>28</v>
      </c>
      <c r="T476" s="6">
        <v>0</v>
      </c>
      <c r="U476" s="6">
        <v>0</v>
      </c>
      <c r="V476" s="6">
        <f>IF(ISERROR(VLOOKUP($S$476,'TAR FIN'!$A$1:$O$95,15,0)),0,VLOOKUP($S$476,'TAR FIN'!$A$1:$O$95,15,0))</f>
        <v>52.99</v>
      </c>
      <c r="W476" s="6">
        <f>IF(ISERROR(VLOOKUP($T$476,'TAR FIN'!$A$1:$O$95,15,0)),0,VLOOKUP($T$476,'TAR FIN'!$A$1:$O$95,15,0))</f>
        <v>0</v>
      </c>
      <c r="X476" s="6">
        <f>IF(ISERROR(VLOOKUP($U$476,'TAR FIN'!$A$1:$O$95,15,0)),0,VLOOKUP($U$476,'TAR FIN'!$A$1:$O$95,15,0))</f>
        <v>0</v>
      </c>
      <c r="Y476" s="6">
        <f ca="1">('TUSD BE'!$AM$10+'TUSD BF'!$AM$10+'TUSD CVA'!$AM$10)*1</f>
        <v>59.276351675174958</v>
      </c>
      <c r="Z476" s="6">
        <f ca="1">('TUSD BE'!$AM$12+'TUSD BF'!$AM$12+'TUSD CVA'!$AM$12)*1</f>
        <v>168.51338132937991</v>
      </c>
      <c r="AA476" s="6">
        <f>('TE BE'!$AA$7+'TE BF'!$AA$7+'TE CVA'!$AA$7)*1</f>
        <v>454.3285679284046</v>
      </c>
      <c r="AB476" s="6">
        <f>$K$476*$V$476</f>
        <v>-26495</v>
      </c>
      <c r="AC476" s="6">
        <f>$M$476*$W$476</f>
        <v>0</v>
      </c>
      <c r="AD476" s="6">
        <f>$O$476*$X$476</f>
        <v>0</v>
      </c>
      <c r="AE476" s="6">
        <f ca="1">$K$476*$Y$476</f>
        <v>-29638.175837587478</v>
      </c>
      <c r="AF476" s="6">
        <f ca="1">$M$476*$Z$476</f>
        <v>0</v>
      </c>
      <c r="AG476" s="6">
        <f>$O$476*$AA$476</f>
        <v>0</v>
      </c>
    </row>
    <row r="477" spans="1:33" ht="11.25" customHeight="1" x14ac:dyDescent="0.25">
      <c r="A477" s="4" t="s">
        <v>28</v>
      </c>
      <c r="B477" s="4" t="s">
        <v>35</v>
      </c>
      <c r="C477" s="4" t="s">
        <v>44</v>
      </c>
      <c r="D477" s="4" t="s">
        <v>42</v>
      </c>
      <c r="E477" s="4" t="s">
        <v>25</v>
      </c>
      <c r="F477" s="4" t="s">
        <v>25</v>
      </c>
      <c r="G477" s="4" t="s">
        <v>25</v>
      </c>
      <c r="H477" s="4" t="s">
        <v>37</v>
      </c>
      <c r="I477" s="5">
        <v>44166</v>
      </c>
      <c r="J477" s="6">
        <v>1196</v>
      </c>
      <c r="K477" s="6">
        <v>1196</v>
      </c>
      <c r="L477" s="6">
        <v>17.995000000000001</v>
      </c>
      <c r="M477" s="6">
        <v>17.995000000000001</v>
      </c>
      <c r="N477" s="6">
        <v>17.995000000000001</v>
      </c>
      <c r="O477" s="6">
        <v>17.995000000000001</v>
      </c>
      <c r="P477" s="6">
        <v>0</v>
      </c>
      <c r="Q477" s="4" t="s">
        <v>26</v>
      </c>
      <c r="R477" s="4">
        <v>0</v>
      </c>
      <c r="S477" s="6">
        <v>28</v>
      </c>
      <c r="T477" s="6">
        <v>30</v>
      </c>
      <c r="U477" s="6">
        <v>66</v>
      </c>
      <c r="V477" s="6">
        <f>IF(ISERROR(VLOOKUP($S$477,'TAR FIN'!$A$1:$O$95,15,0)),0,VLOOKUP($S$477,'TAR FIN'!$A$1:$O$95,15,0))</f>
        <v>52.99</v>
      </c>
      <c r="W477" s="6">
        <f>IF(ISERROR(VLOOKUP($T$477,'TAR FIN'!$A$1:$O$95,15,0)),0,VLOOKUP($T$477,'TAR FIN'!$A$1:$O$95,15,0))</f>
        <v>149.63</v>
      </c>
      <c r="X477" s="6">
        <f>IF(ISERROR(VLOOKUP($U$477,'TAR FIN'!$A$1:$O$95,15,0)),0,VLOOKUP($U$477,'TAR FIN'!$A$1:$O$95,15,0))</f>
        <v>389.28</v>
      </c>
      <c r="Y477" s="6">
        <f ca="1">('TUSD BE'!$AM$10+'TUSD BF'!$AM$10+'TUSD CVA'!$AM$10)*1</f>
        <v>59.276351675174958</v>
      </c>
      <c r="Z477" s="6">
        <f ca="1">('TUSD BE'!$AM$12+'TUSD BF'!$AM$12+'TUSD CVA'!$AM$12)*1</f>
        <v>168.51338132937991</v>
      </c>
      <c r="AA477" s="6">
        <f>('TE BE'!$AA$7+'TE BF'!$AA$7+'TE CVA'!$AA$7)*1</f>
        <v>454.3285679284046</v>
      </c>
      <c r="AB477" s="6">
        <f>$K$477*$V$477</f>
        <v>63376.04</v>
      </c>
      <c r="AC477" s="6">
        <f>$M$477*$W$477</f>
        <v>2692.5918500000002</v>
      </c>
      <c r="AD477" s="6">
        <f>$O$477*$X$477</f>
        <v>7005.0936000000002</v>
      </c>
      <c r="AE477" s="6">
        <f ca="1">$K$477*$Y$477</f>
        <v>70894.516603509255</v>
      </c>
      <c r="AF477" s="6">
        <f ca="1">$M$477*$Z$477</f>
        <v>3032.3982970221919</v>
      </c>
      <c r="AG477" s="6">
        <f>$O$477*$AA$477</f>
        <v>8175.6425798716409</v>
      </c>
    </row>
    <row r="478" spans="1:33" ht="11.25" customHeight="1" x14ac:dyDescent="0.25">
      <c r="A478" s="4" t="s">
        <v>29</v>
      </c>
      <c r="B478" s="4" t="s">
        <v>35</v>
      </c>
      <c r="C478" s="4" t="s">
        <v>44</v>
      </c>
      <c r="D478" s="4" t="s">
        <v>42</v>
      </c>
      <c r="E478" s="4" t="s">
        <v>25</v>
      </c>
      <c r="F478" s="4" t="s">
        <v>25</v>
      </c>
      <c r="G478" s="4" t="s">
        <v>25</v>
      </c>
      <c r="H478" s="4" t="s">
        <v>37</v>
      </c>
      <c r="I478" s="5">
        <v>44166</v>
      </c>
      <c r="J478" s="6">
        <v>-60</v>
      </c>
      <c r="K478" s="6">
        <v>-60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4" t="s">
        <v>26</v>
      </c>
      <c r="R478" s="4">
        <v>0</v>
      </c>
      <c r="S478" s="6">
        <v>28</v>
      </c>
      <c r="T478" s="6">
        <v>0</v>
      </c>
      <c r="U478" s="6">
        <v>0</v>
      </c>
      <c r="V478" s="6">
        <f>IF(ISERROR(VLOOKUP($S$478,'TAR FIN'!$A$1:$O$95,15,0)),0,VLOOKUP($S$478,'TAR FIN'!$A$1:$O$95,15,0))</f>
        <v>52.99</v>
      </c>
      <c r="W478" s="6">
        <f>IF(ISERROR(VLOOKUP($T$478,'TAR FIN'!$A$1:$O$95,15,0)),0,VLOOKUP($T$478,'TAR FIN'!$A$1:$O$95,15,0))</f>
        <v>0</v>
      </c>
      <c r="X478" s="6">
        <f>IF(ISERROR(VLOOKUP($U$478,'TAR FIN'!$A$1:$O$95,15,0)),0,VLOOKUP($U$478,'TAR FIN'!$A$1:$O$95,15,0))</f>
        <v>0</v>
      </c>
      <c r="Y478" s="6">
        <f ca="1">('TUSD BE'!$AM$10+'TUSD BF'!$AM$10+'TUSD CVA'!$AM$10)*1</f>
        <v>59.276351675174958</v>
      </c>
      <c r="Z478" s="6">
        <f ca="1">('TUSD BE'!$AM$12+'TUSD BF'!$AM$12+'TUSD CVA'!$AM$12)*1</f>
        <v>168.51338132937991</v>
      </c>
      <c r="AA478" s="6">
        <f>('TE BE'!$AA$7+'TE BF'!$AA$7+'TE CVA'!$AA$7)*1</f>
        <v>454.3285679284046</v>
      </c>
      <c r="AB478" s="6">
        <f>$K$478*$V$478</f>
        <v>-3179.4</v>
      </c>
      <c r="AC478" s="6">
        <f>$M$478*$W$478</f>
        <v>0</v>
      </c>
      <c r="AD478" s="6">
        <f>$O$478*$X$478</f>
        <v>0</v>
      </c>
      <c r="AE478" s="6">
        <f ca="1">$K$478*$Y$478</f>
        <v>-3556.5811005104974</v>
      </c>
      <c r="AF478" s="6">
        <f ca="1">$M$478*$Z$478</f>
        <v>0</v>
      </c>
      <c r="AG478" s="6">
        <f>$O$478*$AA$478</f>
        <v>0</v>
      </c>
    </row>
    <row r="479" spans="1:33" ht="11.25" customHeight="1" x14ac:dyDescent="0.25">
      <c r="A479" s="4" t="s">
        <v>30</v>
      </c>
      <c r="B479" s="4" t="s">
        <v>35</v>
      </c>
      <c r="C479" s="4" t="s">
        <v>44</v>
      </c>
      <c r="D479" s="4" t="s">
        <v>42</v>
      </c>
      <c r="E479" s="4" t="s">
        <v>25</v>
      </c>
      <c r="F479" s="4" t="s">
        <v>25</v>
      </c>
      <c r="G479" s="4" t="s">
        <v>25</v>
      </c>
      <c r="H479" s="4" t="s">
        <v>37</v>
      </c>
      <c r="I479" s="5">
        <v>44166</v>
      </c>
      <c r="J479" s="6">
        <v>1440</v>
      </c>
      <c r="K479" s="6">
        <v>1440</v>
      </c>
      <c r="L479" s="6">
        <v>74.578000000000003</v>
      </c>
      <c r="M479" s="6">
        <v>74.578000000000003</v>
      </c>
      <c r="N479" s="6">
        <v>74.578000000000003</v>
      </c>
      <c r="O479" s="6">
        <v>74.578000000000003</v>
      </c>
      <c r="P479" s="6">
        <v>0</v>
      </c>
      <c r="Q479" s="4" t="s">
        <v>26</v>
      </c>
      <c r="R479" s="4">
        <v>0</v>
      </c>
      <c r="S479" s="6">
        <v>28</v>
      </c>
      <c r="T479" s="6">
        <v>30</v>
      </c>
      <c r="U479" s="6">
        <v>66</v>
      </c>
      <c r="V479" s="6">
        <f>IF(ISERROR(VLOOKUP($S$479,'TAR FIN'!$A$1:$O$95,15,0)),0,VLOOKUP($S$479,'TAR FIN'!$A$1:$O$95,15,0))</f>
        <v>52.99</v>
      </c>
      <c r="W479" s="6">
        <f>IF(ISERROR(VLOOKUP($T$479,'TAR FIN'!$A$1:$O$95,15,0)),0,VLOOKUP($T$479,'TAR FIN'!$A$1:$O$95,15,0))</f>
        <v>149.63</v>
      </c>
      <c r="X479" s="6">
        <f>IF(ISERROR(VLOOKUP($U$479,'TAR FIN'!$A$1:$O$95,15,0)),0,VLOOKUP($U$479,'TAR FIN'!$A$1:$O$95,15,0))</f>
        <v>389.28</v>
      </c>
      <c r="Y479" s="6">
        <f ca="1">('TUSD BE'!$AM$10+'TUSD BF'!$AM$10+'TUSD CVA'!$AM$10)*1</f>
        <v>59.276351675174958</v>
      </c>
      <c r="Z479" s="6">
        <f ca="1">('TUSD BE'!$AM$12+'TUSD BF'!$AM$12+'TUSD CVA'!$AM$12)*1</f>
        <v>168.51338132937991</v>
      </c>
      <c r="AA479" s="6">
        <f>('TE BE'!$AA$7+'TE BF'!$AA$7+'TE CVA'!$AA$7)*1</f>
        <v>454.3285679284046</v>
      </c>
      <c r="AB479" s="6">
        <f>$K$479*$V$479</f>
        <v>76305.600000000006</v>
      </c>
      <c r="AC479" s="6">
        <f>$M$479*$W$479</f>
        <v>11159.10614</v>
      </c>
      <c r="AD479" s="6">
        <f>$O$479*$X$479</f>
        <v>29031.723839999999</v>
      </c>
      <c r="AE479" s="6">
        <f ca="1">$K$479*$Y$479</f>
        <v>85357.946412251942</v>
      </c>
      <c r="AF479" s="6">
        <f ca="1">$M$479*$Z$479</f>
        <v>12567.390952782496</v>
      </c>
      <c r="AG479" s="6">
        <f>$O$479*$AA$479</f>
        <v>33882.915938964557</v>
      </c>
    </row>
    <row r="480" spans="1:33" ht="11.25" customHeight="1" x14ac:dyDescent="0.25">
      <c r="A480" s="4" t="s">
        <v>21</v>
      </c>
      <c r="B480" s="4" t="s">
        <v>35</v>
      </c>
      <c r="C480" s="4" t="s">
        <v>44</v>
      </c>
      <c r="D480" s="4" t="s">
        <v>42</v>
      </c>
      <c r="E480" s="4" t="s">
        <v>25</v>
      </c>
      <c r="F480" s="4" t="s">
        <v>25</v>
      </c>
      <c r="G480" s="4" t="s">
        <v>25</v>
      </c>
      <c r="H480" s="4" t="s">
        <v>37</v>
      </c>
      <c r="I480" s="5">
        <v>44166</v>
      </c>
      <c r="J480" s="6">
        <v>6027</v>
      </c>
      <c r="K480" s="6">
        <v>6027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4" t="s">
        <v>60</v>
      </c>
      <c r="R480" s="4">
        <v>0</v>
      </c>
      <c r="S480" s="6">
        <v>28</v>
      </c>
      <c r="T480" s="6">
        <v>0</v>
      </c>
      <c r="U480" s="6">
        <v>0</v>
      </c>
      <c r="V480" s="6">
        <f>IF(ISERROR(VLOOKUP($S$480,'TAR FIN'!$A$1:$O$95,15,0)),0,VLOOKUP($S$480,'TAR FIN'!$A$1:$O$95,15,0))</f>
        <v>52.99</v>
      </c>
      <c r="W480" s="6">
        <f>IF(ISERROR(VLOOKUP($T$480,'TAR FIN'!$A$1:$O$95,15,0)),0,VLOOKUP($T$480,'TAR FIN'!$A$1:$O$95,15,0))</f>
        <v>0</v>
      </c>
      <c r="X480" s="6">
        <f>IF(ISERROR(VLOOKUP($U$480,'TAR FIN'!$A$1:$O$95,15,0)),0,VLOOKUP($U$480,'TAR FIN'!$A$1:$O$95,15,0))</f>
        <v>0</v>
      </c>
      <c r="Y480" s="6">
        <f ca="1">('TUSD BE'!$AM$10+'TUSD BF'!$AM$10+'TUSD CVA'!$AM$10)*1</f>
        <v>59.276351675174958</v>
      </c>
      <c r="Z480" s="6">
        <f ca="1">('TUSD BE'!$AM$12+'TUSD BF'!$AM$12+'TUSD CVA'!$AM$12)*1</f>
        <v>168.51338132937991</v>
      </c>
      <c r="AA480" s="6"/>
      <c r="AB480" s="6">
        <f>$K$480*$V$480</f>
        <v>319370.73000000004</v>
      </c>
      <c r="AC480" s="6">
        <f>$M$480*$W$480</f>
        <v>0</v>
      </c>
      <c r="AD480" s="6">
        <f>$O$480*$X$480</f>
        <v>0</v>
      </c>
      <c r="AE480" s="6">
        <f ca="1">$K$480*$Y$480</f>
        <v>357258.57154627948</v>
      </c>
      <c r="AF480" s="6">
        <f ca="1">$M$480*$Z$480</f>
        <v>0</v>
      </c>
      <c r="AG480" s="6">
        <f>$O$480*$AA$480</f>
        <v>0</v>
      </c>
    </row>
    <row r="481" spans="1:33" ht="11.25" customHeight="1" x14ac:dyDescent="0.25">
      <c r="A481" s="4" t="s">
        <v>21</v>
      </c>
      <c r="B481" s="4" t="s">
        <v>35</v>
      </c>
      <c r="C481" s="4" t="s">
        <v>44</v>
      </c>
      <c r="D481" s="4" t="s">
        <v>42</v>
      </c>
      <c r="E481" s="4" t="s">
        <v>25</v>
      </c>
      <c r="F481" s="4" t="s">
        <v>25</v>
      </c>
      <c r="G481" s="4" t="s">
        <v>25</v>
      </c>
      <c r="H481" s="4" t="s">
        <v>37</v>
      </c>
      <c r="I481" s="5">
        <v>44197</v>
      </c>
      <c r="J481" s="6">
        <v>22859</v>
      </c>
      <c r="K481" s="6">
        <v>22859</v>
      </c>
      <c r="L481" s="6">
        <v>490.97300000000001</v>
      </c>
      <c r="M481" s="6">
        <v>490.97300000000001</v>
      </c>
      <c r="N481" s="6">
        <v>490.97300000000001</v>
      </c>
      <c r="O481" s="6">
        <v>490.97300000000001</v>
      </c>
      <c r="P481" s="6">
        <v>0</v>
      </c>
      <c r="Q481" s="4" t="s">
        <v>26</v>
      </c>
      <c r="R481" s="4">
        <v>0</v>
      </c>
      <c r="S481" s="6">
        <v>28</v>
      </c>
      <c r="T481" s="6">
        <v>30</v>
      </c>
      <c r="U481" s="6">
        <v>66</v>
      </c>
      <c r="V481" s="6">
        <f>IF(ISERROR(VLOOKUP($S$481,'TAR FIN'!$A$1:$O$95,15,0)),0,VLOOKUP($S$481,'TAR FIN'!$A$1:$O$95,15,0))</f>
        <v>52.99</v>
      </c>
      <c r="W481" s="6">
        <f>IF(ISERROR(VLOOKUP($T$481,'TAR FIN'!$A$1:$O$95,15,0)),0,VLOOKUP($T$481,'TAR FIN'!$A$1:$O$95,15,0))</f>
        <v>149.63</v>
      </c>
      <c r="X481" s="6">
        <f>IF(ISERROR(VLOOKUP($U$481,'TAR FIN'!$A$1:$O$95,15,0)),0,VLOOKUP($U$481,'TAR FIN'!$A$1:$O$95,15,0))</f>
        <v>389.28</v>
      </c>
      <c r="Y481" s="6">
        <f ca="1">('TUSD BE'!$AM$10+'TUSD BF'!$AM$10+'TUSD CVA'!$AM$10)*1</f>
        <v>59.276351675174958</v>
      </c>
      <c r="Z481" s="6">
        <f ca="1">('TUSD BE'!$AM$12+'TUSD BF'!$AM$12+'TUSD CVA'!$AM$12)*1</f>
        <v>168.51338132937991</v>
      </c>
      <c r="AA481" s="6">
        <f>('TE BE'!$AA$7+'TE BF'!$AA$7+'TE CVA'!$AA$7)*1</f>
        <v>454.3285679284046</v>
      </c>
      <c r="AB481" s="6">
        <f>$K$481*$V$481</f>
        <v>1211298.4100000001</v>
      </c>
      <c r="AC481" s="6">
        <f>$M$481*$W$481</f>
        <v>73464.289990000005</v>
      </c>
      <c r="AD481" s="6">
        <f>$O$481*$X$481</f>
        <v>191125.96943999999</v>
      </c>
      <c r="AE481" s="6">
        <f ca="1">$K$481*$Y$481</f>
        <v>1354998.1229428244</v>
      </c>
      <c r="AF481" s="6">
        <f ca="1">$M$481*$Z$481</f>
        <v>82735.520371429651</v>
      </c>
      <c r="AG481" s="6">
        <f>$O$481*$AA$481</f>
        <v>223063.0599815126</v>
      </c>
    </row>
    <row r="482" spans="1:33" ht="11.25" customHeight="1" x14ac:dyDescent="0.25">
      <c r="A482" s="4" t="s">
        <v>27</v>
      </c>
      <c r="B482" s="4" t="s">
        <v>35</v>
      </c>
      <c r="C482" s="4" t="s">
        <v>44</v>
      </c>
      <c r="D482" s="4" t="s">
        <v>42</v>
      </c>
      <c r="E482" s="4" t="s">
        <v>25</v>
      </c>
      <c r="F482" s="4" t="s">
        <v>25</v>
      </c>
      <c r="G482" s="4" t="s">
        <v>25</v>
      </c>
      <c r="H482" s="4" t="s">
        <v>37</v>
      </c>
      <c r="I482" s="5">
        <v>44197</v>
      </c>
      <c r="J482" s="6">
        <v>-115</v>
      </c>
      <c r="K482" s="6">
        <v>-115</v>
      </c>
      <c r="L482" s="6">
        <v>-38.981000000000002</v>
      </c>
      <c r="M482" s="6">
        <v>-38.981000000000002</v>
      </c>
      <c r="N482" s="6">
        <v>-38.981000000000002</v>
      </c>
      <c r="O482" s="6">
        <v>-38.981000000000002</v>
      </c>
      <c r="P482" s="6">
        <v>0</v>
      </c>
      <c r="Q482" s="4" t="s">
        <v>26</v>
      </c>
      <c r="R482" s="4">
        <v>0</v>
      </c>
      <c r="S482" s="6">
        <v>28</v>
      </c>
      <c r="T482" s="6">
        <v>30</v>
      </c>
      <c r="U482" s="6">
        <v>66</v>
      </c>
      <c r="V482" s="6">
        <f>IF(ISERROR(VLOOKUP($S$482,'TAR FIN'!$A$1:$O$95,15,0)),0,VLOOKUP($S$482,'TAR FIN'!$A$1:$O$95,15,0))</f>
        <v>52.99</v>
      </c>
      <c r="W482" s="6">
        <f>IF(ISERROR(VLOOKUP($T$482,'TAR FIN'!$A$1:$O$95,15,0)),0,VLOOKUP($T$482,'TAR FIN'!$A$1:$O$95,15,0))</f>
        <v>149.63</v>
      </c>
      <c r="X482" s="6">
        <f>IF(ISERROR(VLOOKUP($U$482,'TAR FIN'!$A$1:$O$95,15,0)),0,VLOOKUP($U$482,'TAR FIN'!$A$1:$O$95,15,0))</f>
        <v>389.28</v>
      </c>
      <c r="Y482" s="6">
        <f ca="1">('TUSD BE'!$AM$10+'TUSD BF'!$AM$10+'TUSD CVA'!$AM$10)*1</f>
        <v>59.276351675174958</v>
      </c>
      <c r="Z482" s="6">
        <f ca="1">('TUSD BE'!$AM$12+'TUSD BF'!$AM$12+'TUSD CVA'!$AM$12)*1</f>
        <v>168.51338132937991</v>
      </c>
      <c r="AA482" s="6">
        <f>('TE BE'!$AA$7+'TE BF'!$AA$7+'TE CVA'!$AA$7)*1</f>
        <v>454.3285679284046</v>
      </c>
      <c r="AB482" s="6">
        <f>$K$482*$V$482</f>
        <v>-6093.85</v>
      </c>
      <c r="AC482" s="6">
        <f>$M$482*$W$482</f>
        <v>-5832.72703</v>
      </c>
      <c r="AD482" s="6">
        <f>$O$482*$X$482</f>
        <v>-15174.52368</v>
      </c>
      <c r="AE482" s="6">
        <f ca="1">$K$482*$Y$482</f>
        <v>-6816.7804426451203</v>
      </c>
      <c r="AF482" s="6">
        <f ca="1">$M$482*$Z$482</f>
        <v>-6568.8201176005587</v>
      </c>
      <c r="AG482" s="6">
        <f>$O$482*$AA$482</f>
        <v>-17710.18190641714</v>
      </c>
    </row>
    <row r="483" spans="1:33" ht="11.25" customHeight="1" x14ac:dyDescent="0.25">
      <c r="A483" s="4" t="s">
        <v>28</v>
      </c>
      <c r="B483" s="4" t="s">
        <v>35</v>
      </c>
      <c r="C483" s="4" t="s">
        <v>44</v>
      </c>
      <c r="D483" s="4" t="s">
        <v>42</v>
      </c>
      <c r="E483" s="4" t="s">
        <v>25</v>
      </c>
      <c r="F483" s="4" t="s">
        <v>25</v>
      </c>
      <c r="G483" s="4" t="s">
        <v>25</v>
      </c>
      <c r="H483" s="4" t="s">
        <v>37</v>
      </c>
      <c r="I483" s="5">
        <v>44197</v>
      </c>
      <c r="J483" s="6">
        <v>1154</v>
      </c>
      <c r="K483" s="6">
        <v>1154</v>
      </c>
      <c r="L483" s="6">
        <v>16.463000000000001</v>
      </c>
      <c r="M483" s="6">
        <v>16.463000000000001</v>
      </c>
      <c r="N483" s="6">
        <v>16.463000000000001</v>
      </c>
      <c r="O483" s="6">
        <v>16.463000000000001</v>
      </c>
      <c r="P483" s="6">
        <v>0</v>
      </c>
      <c r="Q483" s="4" t="s">
        <v>26</v>
      </c>
      <c r="R483" s="4">
        <v>0</v>
      </c>
      <c r="S483" s="6">
        <v>28</v>
      </c>
      <c r="T483" s="6">
        <v>30</v>
      </c>
      <c r="U483" s="6">
        <v>66</v>
      </c>
      <c r="V483" s="6">
        <f>IF(ISERROR(VLOOKUP($S$483,'TAR FIN'!$A$1:$O$95,15,0)),0,VLOOKUP($S$483,'TAR FIN'!$A$1:$O$95,15,0))</f>
        <v>52.99</v>
      </c>
      <c r="W483" s="6">
        <f>IF(ISERROR(VLOOKUP($T$483,'TAR FIN'!$A$1:$O$95,15,0)),0,VLOOKUP($T$483,'TAR FIN'!$A$1:$O$95,15,0))</f>
        <v>149.63</v>
      </c>
      <c r="X483" s="6">
        <f>IF(ISERROR(VLOOKUP($U$483,'TAR FIN'!$A$1:$O$95,15,0)),0,VLOOKUP($U$483,'TAR FIN'!$A$1:$O$95,15,0))</f>
        <v>389.28</v>
      </c>
      <c r="Y483" s="6">
        <f ca="1">('TUSD BE'!$AM$10+'TUSD BF'!$AM$10+'TUSD CVA'!$AM$10)*1</f>
        <v>59.276351675174958</v>
      </c>
      <c r="Z483" s="6">
        <f ca="1">('TUSD BE'!$AM$12+'TUSD BF'!$AM$12+'TUSD CVA'!$AM$12)*1</f>
        <v>168.51338132937991</v>
      </c>
      <c r="AA483" s="6">
        <f>('TE BE'!$AA$7+'TE BF'!$AA$7+'TE CVA'!$AA$7)*1</f>
        <v>454.3285679284046</v>
      </c>
      <c r="AB483" s="6">
        <f>$K$483*$V$483</f>
        <v>61150.46</v>
      </c>
      <c r="AC483" s="6">
        <f>$M$483*$W$483</f>
        <v>2463.35869</v>
      </c>
      <c r="AD483" s="6">
        <f>$O$483*$X$483</f>
        <v>6408.7166399999996</v>
      </c>
      <c r="AE483" s="6">
        <f ca="1">$K$483*$Y$483</f>
        <v>68404.909833151905</v>
      </c>
      <c r="AF483" s="6">
        <f ca="1">$M$483*$Z$483</f>
        <v>2774.2357968255815</v>
      </c>
      <c r="AG483" s="6">
        <f>$O$483*$AA$483</f>
        <v>7479.611213805325</v>
      </c>
    </row>
    <row r="484" spans="1:33" ht="11.25" customHeight="1" x14ac:dyDescent="0.25">
      <c r="A484" s="4" t="s">
        <v>30</v>
      </c>
      <c r="B484" s="4" t="s">
        <v>35</v>
      </c>
      <c r="C484" s="4" t="s">
        <v>44</v>
      </c>
      <c r="D484" s="4" t="s">
        <v>42</v>
      </c>
      <c r="E484" s="4" t="s">
        <v>25</v>
      </c>
      <c r="F484" s="4" t="s">
        <v>25</v>
      </c>
      <c r="G484" s="4" t="s">
        <v>25</v>
      </c>
      <c r="H484" s="4" t="s">
        <v>37</v>
      </c>
      <c r="I484" s="5">
        <v>44197</v>
      </c>
      <c r="J484" s="6">
        <v>1464</v>
      </c>
      <c r="K484" s="6">
        <v>1464</v>
      </c>
      <c r="L484" s="6">
        <v>76.622</v>
      </c>
      <c r="M484" s="6">
        <v>76.622</v>
      </c>
      <c r="N484" s="6">
        <v>76.622</v>
      </c>
      <c r="O484" s="6">
        <v>76.622</v>
      </c>
      <c r="P484" s="6">
        <v>0</v>
      </c>
      <c r="Q484" s="4" t="s">
        <v>26</v>
      </c>
      <c r="R484" s="4">
        <v>0</v>
      </c>
      <c r="S484" s="6">
        <v>28</v>
      </c>
      <c r="T484" s="6">
        <v>30</v>
      </c>
      <c r="U484" s="6">
        <v>66</v>
      </c>
      <c r="V484" s="6">
        <f>IF(ISERROR(VLOOKUP($S$484,'TAR FIN'!$A$1:$O$95,15,0)),0,VLOOKUP($S$484,'TAR FIN'!$A$1:$O$95,15,0))</f>
        <v>52.99</v>
      </c>
      <c r="W484" s="6">
        <f>IF(ISERROR(VLOOKUP($T$484,'TAR FIN'!$A$1:$O$95,15,0)),0,VLOOKUP($T$484,'TAR FIN'!$A$1:$O$95,15,0))</f>
        <v>149.63</v>
      </c>
      <c r="X484" s="6">
        <f>IF(ISERROR(VLOOKUP($U$484,'TAR FIN'!$A$1:$O$95,15,0)),0,VLOOKUP($U$484,'TAR FIN'!$A$1:$O$95,15,0))</f>
        <v>389.28</v>
      </c>
      <c r="Y484" s="6">
        <f ca="1">('TUSD BE'!$AM$10+'TUSD BF'!$AM$10+'TUSD CVA'!$AM$10)*1</f>
        <v>59.276351675174958</v>
      </c>
      <c r="Z484" s="6">
        <f ca="1">('TUSD BE'!$AM$12+'TUSD BF'!$AM$12+'TUSD CVA'!$AM$12)*1</f>
        <v>168.51338132937991</v>
      </c>
      <c r="AA484" s="6">
        <f>('TE BE'!$AA$7+'TE BF'!$AA$7+'TE CVA'!$AA$7)*1</f>
        <v>454.3285679284046</v>
      </c>
      <c r="AB484" s="6">
        <f>$K$484*$V$484</f>
        <v>77577.36</v>
      </c>
      <c r="AC484" s="6">
        <f>$M$484*$W$484</f>
        <v>11464.949859999999</v>
      </c>
      <c r="AD484" s="6">
        <f>$O$484*$X$484</f>
        <v>29827.412159999996</v>
      </c>
      <c r="AE484" s="6">
        <f ca="1">$K$484*$Y$484</f>
        <v>86780.578852456136</v>
      </c>
      <c r="AF484" s="6">
        <f ca="1">$M$484*$Z$484</f>
        <v>12911.832304219748</v>
      </c>
      <c r="AG484" s="6">
        <f>$O$484*$AA$484</f>
        <v>34811.563531810214</v>
      </c>
    </row>
    <row r="485" spans="1:33" ht="11.25" customHeight="1" x14ac:dyDescent="0.25">
      <c r="A485" s="4" t="s">
        <v>21</v>
      </c>
      <c r="B485" s="4" t="s">
        <v>35</v>
      </c>
      <c r="C485" s="4" t="s">
        <v>44</v>
      </c>
      <c r="D485" s="4" t="s">
        <v>42</v>
      </c>
      <c r="E485" s="4" t="s">
        <v>25</v>
      </c>
      <c r="F485" s="4" t="s">
        <v>25</v>
      </c>
      <c r="G485" s="4" t="s">
        <v>25</v>
      </c>
      <c r="H485" s="4" t="s">
        <v>37</v>
      </c>
      <c r="I485" s="5">
        <v>44197</v>
      </c>
      <c r="J485" s="6">
        <v>5932</v>
      </c>
      <c r="K485" s="6">
        <v>5932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4" t="s">
        <v>60</v>
      </c>
      <c r="R485" s="4">
        <v>0</v>
      </c>
      <c r="S485" s="6">
        <v>28</v>
      </c>
      <c r="T485" s="6">
        <v>0</v>
      </c>
      <c r="U485" s="6">
        <v>0</v>
      </c>
      <c r="V485" s="6">
        <f>IF(ISERROR(VLOOKUP($S$485,'TAR FIN'!$A$1:$O$95,15,0)),0,VLOOKUP($S$485,'TAR FIN'!$A$1:$O$95,15,0))</f>
        <v>52.99</v>
      </c>
      <c r="W485" s="6">
        <f>IF(ISERROR(VLOOKUP($T$485,'TAR FIN'!$A$1:$O$95,15,0)),0,VLOOKUP($T$485,'TAR FIN'!$A$1:$O$95,15,0))</f>
        <v>0</v>
      </c>
      <c r="X485" s="6">
        <f>IF(ISERROR(VLOOKUP($U$485,'TAR FIN'!$A$1:$O$95,15,0)),0,VLOOKUP($U$485,'TAR FIN'!$A$1:$O$95,15,0))</f>
        <v>0</v>
      </c>
      <c r="Y485" s="6">
        <f ca="1">('TUSD BE'!$AM$10+'TUSD BF'!$AM$10+'TUSD CVA'!$AM$10)*1</f>
        <v>59.276351675174958</v>
      </c>
      <c r="Z485" s="6">
        <f ca="1">('TUSD BE'!$AM$12+'TUSD BF'!$AM$12+'TUSD CVA'!$AM$12)*1</f>
        <v>168.51338132937991</v>
      </c>
      <c r="AA485" s="6"/>
      <c r="AB485" s="6">
        <f>$K$485*$V$485</f>
        <v>314336.68</v>
      </c>
      <c r="AC485" s="6">
        <f>$M$485*$W$485</f>
        <v>0</v>
      </c>
      <c r="AD485" s="6">
        <f>$O$485*$X$485</f>
        <v>0</v>
      </c>
      <c r="AE485" s="6">
        <f ca="1">$K$485*$Y$485</f>
        <v>351627.31813713786</v>
      </c>
      <c r="AF485" s="6">
        <f ca="1">$M$485*$Z$485</f>
        <v>0</v>
      </c>
      <c r="AG485" s="6">
        <f>$O$485*$AA$485</f>
        <v>0</v>
      </c>
    </row>
    <row r="486" spans="1:33" ht="11.25" customHeight="1" x14ac:dyDescent="0.25">
      <c r="A486" s="4" t="s">
        <v>21</v>
      </c>
      <c r="B486" s="4" t="s">
        <v>35</v>
      </c>
      <c r="C486" s="4" t="s">
        <v>44</v>
      </c>
      <c r="D486" s="4" t="s">
        <v>42</v>
      </c>
      <c r="E486" s="4" t="s">
        <v>25</v>
      </c>
      <c r="F486" s="4" t="s">
        <v>25</v>
      </c>
      <c r="G486" s="4" t="s">
        <v>25</v>
      </c>
      <c r="H486" s="4" t="s">
        <v>37</v>
      </c>
      <c r="I486" s="5">
        <v>44228</v>
      </c>
      <c r="J486" s="6">
        <v>21788</v>
      </c>
      <c r="K486" s="6">
        <v>21788</v>
      </c>
      <c r="L486" s="6">
        <v>490.58600000000001</v>
      </c>
      <c r="M486" s="6">
        <v>490.58600000000001</v>
      </c>
      <c r="N486" s="6">
        <v>490.58600000000001</v>
      </c>
      <c r="O486" s="6">
        <v>490.58600000000001</v>
      </c>
      <c r="P486" s="6">
        <v>0</v>
      </c>
      <c r="Q486" s="4" t="s">
        <v>26</v>
      </c>
      <c r="R486" s="4">
        <v>0</v>
      </c>
      <c r="S486" s="6">
        <v>28</v>
      </c>
      <c r="T486" s="6">
        <v>30</v>
      </c>
      <c r="U486" s="6">
        <v>66</v>
      </c>
      <c r="V486" s="6">
        <f>IF(ISERROR(VLOOKUP($S$486,'TAR FIN'!$A$1:$O$95,15,0)),0,VLOOKUP($S$486,'TAR FIN'!$A$1:$O$95,15,0))</f>
        <v>52.99</v>
      </c>
      <c r="W486" s="6">
        <f>IF(ISERROR(VLOOKUP($T$486,'TAR FIN'!$A$1:$O$95,15,0)),0,VLOOKUP($T$486,'TAR FIN'!$A$1:$O$95,15,0))</f>
        <v>149.63</v>
      </c>
      <c r="X486" s="6">
        <f>IF(ISERROR(VLOOKUP($U$486,'TAR FIN'!$A$1:$O$95,15,0)),0,VLOOKUP($U$486,'TAR FIN'!$A$1:$O$95,15,0))</f>
        <v>389.28</v>
      </c>
      <c r="Y486" s="6">
        <f ca="1">('TUSD BE'!$AM$10+'TUSD BF'!$AM$10+'TUSD CVA'!$AM$10)*1</f>
        <v>59.276351675174958</v>
      </c>
      <c r="Z486" s="6">
        <f ca="1">('TUSD BE'!$AM$12+'TUSD BF'!$AM$12+'TUSD CVA'!$AM$12)*1</f>
        <v>168.51338132937991</v>
      </c>
      <c r="AA486" s="6">
        <f>('TE BE'!$AA$7+'TE BF'!$AA$7+'TE CVA'!$AA$7)*1</f>
        <v>454.3285679284046</v>
      </c>
      <c r="AB486" s="6">
        <f>$K$486*$V$486</f>
        <v>1154546.1200000001</v>
      </c>
      <c r="AC486" s="6">
        <f>$M$486*$W$486</f>
        <v>73406.383180000004</v>
      </c>
      <c r="AD486" s="6">
        <f>$O$486*$X$486</f>
        <v>190975.31808</v>
      </c>
      <c r="AE486" s="6">
        <f ca="1">$K$486*$Y$486</f>
        <v>1291513.1502987121</v>
      </c>
      <c r="AF486" s="6">
        <f ca="1">$M$486*$Z$486</f>
        <v>82670.305692855181</v>
      </c>
      <c r="AG486" s="6">
        <f>$O$486*$AA$486</f>
        <v>222887.2348257243</v>
      </c>
    </row>
    <row r="487" spans="1:33" ht="11.25" customHeight="1" x14ac:dyDescent="0.25">
      <c r="A487" s="4" t="s">
        <v>28</v>
      </c>
      <c r="B487" s="4" t="s">
        <v>35</v>
      </c>
      <c r="C487" s="4" t="s">
        <v>44</v>
      </c>
      <c r="D487" s="4" t="s">
        <v>42</v>
      </c>
      <c r="E487" s="4" t="s">
        <v>25</v>
      </c>
      <c r="F487" s="4" t="s">
        <v>25</v>
      </c>
      <c r="G487" s="4" t="s">
        <v>25</v>
      </c>
      <c r="H487" s="4" t="s">
        <v>37</v>
      </c>
      <c r="I487" s="5">
        <v>44228</v>
      </c>
      <c r="J487" s="6">
        <v>1017</v>
      </c>
      <c r="K487" s="6">
        <v>1017</v>
      </c>
      <c r="L487" s="6">
        <v>11.180999999999999</v>
      </c>
      <c r="M487" s="6">
        <v>11.180999999999999</v>
      </c>
      <c r="N487" s="6">
        <v>11.180999999999999</v>
      </c>
      <c r="O487" s="6">
        <v>11.180999999999999</v>
      </c>
      <c r="P487" s="6">
        <v>0</v>
      </c>
      <c r="Q487" s="4" t="s">
        <v>26</v>
      </c>
      <c r="R487" s="4">
        <v>0</v>
      </c>
      <c r="S487" s="6">
        <v>28</v>
      </c>
      <c r="T487" s="6">
        <v>30</v>
      </c>
      <c r="U487" s="6">
        <v>66</v>
      </c>
      <c r="V487" s="6">
        <f>IF(ISERROR(VLOOKUP($S$487,'TAR FIN'!$A$1:$O$95,15,0)),0,VLOOKUP($S$487,'TAR FIN'!$A$1:$O$95,15,0))</f>
        <v>52.99</v>
      </c>
      <c r="W487" s="6">
        <f>IF(ISERROR(VLOOKUP($T$487,'TAR FIN'!$A$1:$O$95,15,0)),0,VLOOKUP($T$487,'TAR FIN'!$A$1:$O$95,15,0))</f>
        <v>149.63</v>
      </c>
      <c r="X487" s="6">
        <f>IF(ISERROR(VLOOKUP($U$487,'TAR FIN'!$A$1:$O$95,15,0)),0,VLOOKUP($U$487,'TAR FIN'!$A$1:$O$95,15,0))</f>
        <v>389.28</v>
      </c>
      <c r="Y487" s="6">
        <f ca="1">('TUSD BE'!$AM$10+'TUSD BF'!$AM$10+'TUSD CVA'!$AM$10)*1</f>
        <v>59.276351675174958</v>
      </c>
      <c r="Z487" s="6">
        <f ca="1">('TUSD BE'!$AM$12+'TUSD BF'!$AM$12+'TUSD CVA'!$AM$12)*1</f>
        <v>168.51338132937991</v>
      </c>
      <c r="AA487" s="6">
        <f>('TE BE'!$AA$7+'TE BF'!$AA$7+'TE CVA'!$AA$7)*1</f>
        <v>454.3285679284046</v>
      </c>
      <c r="AB487" s="6">
        <f>$K$487*$V$487</f>
        <v>53890.83</v>
      </c>
      <c r="AC487" s="6">
        <f>$M$487*$W$487</f>
        <v>1673.0130299999998</v>
      </c>
      <c r="AD487" s="6">
        <f>$O$487*$X$487</f>
        <v>4352.539679999999</v>
      </c>
      <c r="AE487" s="6">
        <f ca="1">$K$487*$Y$487</f>
        <v>60284.049653652932</v>
      </c>
      <c r="AF487" s="6">
        <f ca="1">$M$487*$Z$487</f>
        <v>1884.1481166437966</v>
      </c>
      <c r="AG487" s="6">
        <f>$O$487*$AA$487</f>
        <v>5079.8477180074915</v>
      </c>
    </row>
    <row r="488" spans="1:33" ht="11.25" customHeight="1" x14ac:dyDescent="0.25">
      <c r="A488" s="4" t="s">
        <v>29</v>
      </c>
      <c r="B488" s="4" t="s">
        <v>35</v>
      </c>
      <c r="C488" s="4" t="s">
        <v>44</v>
      </c>
      <c r="D488" s="4" t="s">
        <v>42</v>
      </c>
      <c r="E488" s="4" t="s">
        <v>25</v>
      </c>
      <c r="F488" s="4" t="s">
        <v>25</v>
      </c>
      <c r="G488" s="4" t="s">
        <v>25</v>
      </c>
      <c r="H488" s="4" t="s">
        <v>37</v>
      </c>
      <c r="I488" s="5">
        <v>44228</v>
      </c>
      <c r="J488" s="6">
        <v>-387</v>
      </c>
      <c r="K488" s="6">
        <v>-387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4" t="s">
        <v>26</v>
      </c>
      <c r="R488" s="4">
        <v>0</v>
      </c>
      <c r="S488" s="6">
        <v>28</v>
      </c>
      <c r="T488" s="6">
        <v>0</v>
      </c>
      <c r="U488" s="6">
        <v>0</v>
      </c>
      <c r="V488" s="6">
        <f>IF(ISERROR(VLOOKUP($S$488,'TAR FIN'!$A$1:$O$95,15,0)),0,VLOOKUP($S$488,'TAR FIN'!$A$1:$O$95,15,0))</f>
        <v>52.99</v>
      </c>
      <c r="W488" s="6">
        <f>IF(ISERROR(VLOOKUP($T$488,'TAR FIN'!$A$1:$O$95,15,0)),0,VLOOKUP($T$488,'TAR FIN'!$A$1:$O$95,15,0))</f>
        <v>0</v>
      </c>
      <c r="X488" s="6">
        <f>IF(ISERROR(VLOOKUP($U$488,'TAR FIN'!$A$1:$O$95,15,0)),0,VLOOKUP($U$488,'TAR FIN'!$A$1:$O$95,15,0))</f>
        <v>0</v>
      </c>
      <c r="Y488" s="6">
        <f ca="1">('TUSD BE'!$AM$10+'TUSD BF'!$AM$10+'TUSD CVA'!$AM$10)*1</f>
        <v>59.276351675174958</v>
      </c>
      <c r="Z488" s="6">
        <f ca="1">('TUSD BE'!$AM$12+'TUSD BF'!$AM$12+'TUSD CVA'!$AM$12)*1</f>
        <v>168.51338132937991</v>
      </c>
      <c r="AA488" s="6">
        <f>('TE BE'!$AA$7+'TE BF'!$AA$7+'TE CVA'!$AA$7)*1</f>
        <v>454.3285679284046</v>
      </c>
      <c r="AB488" s="6">
        <f>$K$488*$V$488</f>
        <v>-20507.13</v>
      </c>
      <c r="AC488" s="6">
        <f>$M$488*$W$488</f>
        <v>0</v>
      </c>
      <c r="AD488" s="6">
        <f>$O$488*$X$488</f>
        <v>0</v>
      </c>
      <c r="AE488" s="6">
        <f ca="1">$K$488*$Y$488</f>
        <v>-22939.948098292709</v>
      </c>
      <c r="AF488" s="6">
        <f ca="1">$M$488*$Z$488</f>
        <v>0</v>
      </c>
      <c r="AG488" s="6">
        <f>$O$488*$AA$488</f>
        <v>0</v>
      </c>
    </row>
    <row r="489" spans="1:33" ht="11.25" customHeight="1" x14ac:dyDescent="0.25">
      <c r="A489" s="4" t="s">
        <v>30</v>
      </c>
      <c r="B489" s="4" t="s">
        <v>35</v>
      </c>
      <c r="C489" s="4" t="s">
        <v>44</v>
      </c>
      <c r="D489" s="4" t="s">
        <v>42</v>
      </c>
      <c r="E489" s="4" t="s">
        <v>25</v>
      </c>
      <c r="F489" s="4" t="s">
        <v>25</v>
      </c>
      <c r="G489" s="4" t="s">
        <v>25</v>
      </c>
      <c r="H489" s="4" t="s">
        <v>37</v>
      </c>
      <c r="I489" s="5">
        <v>44228</v>
      </c>
      <c r="J489" s="6">
        <v>1523</v>
      </c>
      <c r="K489" s="6">
        <v>1523</v>
      </c>
      <c r="L489" s="6">
        <v>78.89</v>
      </c>
      <c r="M489" s="6">
        <v>78.89</v>
      </c>
      <c r="N489" s="6">
        <v>78.89</v>
      </c>
      <c r="O489" s="6">
        <v>78.89</v>
      </c>
      <c r="P489" s="6">
        <v>0</v>
      </c>
      <c r="Q489" s="4" t="s">
        <v>26</v>
      </c>
      <c r="R489" s="4">
        <v>0</v>
      </c>
      <c r="S489" s="6">
        <v>28</v>
      </c>
      <c r="T489" s="6">
        <v>30</v>
      </c>
      <c r="U489" s="6">
        <v>66</v>
      </c>
      <c r="V489" s="6">
        <f>IF(ISERROR(VLOOKUP($S$489,'TAR FIN'!$A$1:$O$95,15,0)),0,VLOOKUP($S$489,'TAR FIN'!$A$1:$O$95,15,0))</f>
        <v>52.99</v>
      </c>
      <c r="W489" s="6">
        <f>IF(ISERROR(VLOOKUP($T$489,'TAR FIN'!$A$1:$O$95,15,0)),0,VLOOKUP($T$489,'TAR FIN'!$A$1:$O$95,15,0))</f>
        <v>149.63</v>
      </c>
      <c r="X489" s="6">
        <f>IF(ISERROR(VLOOKUP($U$489,'TAR FIN'!$A$1:$O$95,15,0)),0,VLOOKUP($U$489,'TAR FIN'!$A$1:$O$95,15,0))</f>
        <v>389.28</v>
      </c>
      <c r="Y489" s="6">
        <f ca="1">('TUSD BE'!$AM$10+'TUSD BF'!$AM$10+'TUSD CVA'!$AM$10)*1</f>
        <v>59.276351675174958</v>
      </c>
      <c r="Z489" s="6">
        <f ca="1">('TUSD BE'!$AM$12+'TUSD BF'!$AM$12+'TUSD CVA'!$AM$12)*1</f>
        <v>168.51338132937991</v>
      </c>
      <c r="AA489" s="6">
        <f>('TE BE'!$AA$7+'TE BF'!$AA$7+'TE CVA'!$AA$7)*1</f>
        <v>454.3285679284046</v>
      </c>
      <c r="AB489" s="6">
        <f>$K$489*$V$489</f>
        <v>80703.77</v>
      </c>
      <c r="AC489" s="6">
        <f>$M$489*$W$489</f>
        <v>11804.3107</v>
      </c>
      <c r="AD489" s="6">
        <f>$O$489*$X$489</f>
        <v>30710.299199999998</v>
      </c>
      <c r="AE489" s="6">
        <f ca="1">$K$489*$Y$489</f>
        <v>90277.883601291454</v>
      </c>
      <c r="AF489" s="6">
        <f ca="1">$M$489*$Z$489</f>
        <v>13294.020653074782</v>
      </c>
      <c r="AG489" s="6">
        <f>$O$489*$AA$489</f>
        <v>35841.980723871842</v>
      </c>
    </row>
    <row r="490" spans="1:33" ht="11.25" customHeight="1" x14ac:dyDescent="0.25">
      <c r="A490" s="4" t="s">
        <v>21</v>
      </c>
      <c r="B490" s="4" t="s">
        <v>35</v>
      </c>
      <c r="C490" s="4" t="s">
        <v>44</v>
      </c>
      <c r="D490" s="4" t="s">
        <v>42</v>
      </c>
      <c r="E490" s="4" t="s">
        <v>25</v>
      </c>
      <c r="F490" s="4" t="s">
        <v>25</v>
      </c>
      <c r="G490" s="4" t="s">
        <v>25</v>
      </c>
      <c r="H490" s="4" t="s">
        <v>37</v>
      </c>
      <c r="I490" s="5">
        <v>44228</v>
      </c>
      <c r="J490" s="6">
        <v>5846</v>
      </c>
      <c r="K490" s="6">
        <v>5846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4" t="s">
        <v>60</v>
      </c>
      <c r="R490" s="4">
        <v>0</v>
      </c>
      <c r="S490" s="6">
        <v>28</v>
      </c>
      <c r="T490" s="6">
        <v>0</v>
      </c>
      <c r="U490" s="6">
        <v>0</v>
      </c>
      <c r="V490" s="6">
        <f>IF(ISERROR(VLOOKUP($S$490,'TAR FIN'!$A$1:$O$95,15,0)),0,VLOOKUP($S$490,'TAR FIN'!$A$1:$O$95,15,0))</f>
        <v>52.99</v>
      </c>
      <c r="W490" s="6">
        <f>IF(ISERROR(VLOOKUP($T$490,'TAR FIN'!$A$1:$O$95,15,0)),0,VLOOKUP($T$490,'TAR FIN'!$A$1:$O$95,15,0))</f>
        <v>0</v>
      </c>
      <c r="X490" s="6">
        <f>IF(ISERROR(VLOOKUP($U$490,'TAR FIN'!$A$1:$O$95,15,0)),0,VLOOKUP($U$490,'TAR FIN'!$A$1:$O$95,15,0))</f>
        <v>0</v>
      </c>
      <c r="Y490" s="6">
        <f ca="1">('TUSD BE'!$AM$10+'TUSD BF'!$AM$10+'TUSD CVA'!$AM$10)*1</f>
        <v>59.276351675174958</v>
      </c>
      <c r="Z490" s="6">
        <f ca="1">('TUSD BE'!$AM$12+'TUSD BF'!$AM$12+'TUSD CVA'!$AM$12)*1</f>
        <v>168.51338132937991</v>
      </c>
      <c r="AA490" s="6"/>
      <c r="AB490" s="6">
        <f>$K$490*$V$490</f>
        <v>309779.54000000004</v>
      </c>
      <c r="AC490" s="6">
        <f>$M$490*$W$490</f>
        <v>0</v>
      </c>
      <c r="AD490" s="6">
        <f>$O$490*$X$490</f>
        <v>0</v>
      </c>
      <c r="AE490" s="6">
        <f ca="1">$K$490*$Y$490</f>
        <v>346529.55189307278</v>
      </c>
      <c r="AF490" s="6">
        <f ca="1">$M$490*$Z$490</f>
        <v>0</v>
      </c>
      <c r="AG490" s="6">
        <f>$O$490*$AA$490</f>
        <v>0</v>
      </c>
    </row>
    <row r="491" spans="1:33" ht="11.25" customHeight="1" x14ac:dyDescent="0.25">
      <c r="A491" s="4" t="s">
        <v>21</v>
      </c>
      <c r="B491" s="4" t="s">
        <v>35</v>
      </c>
      <c r="C491" s="4" t="s">
        <v>44</v>
      </c>
      <c r="D491" s="4" t="s">
        <v>42</v>
      </c>
      <c r="E491" s="4" t="s">
        <v>25</v>
      </c>
      <c r="F491" s="4" t="s">
        <v>25</v>
      </c>
      <c r="G491" s="4" t="s">
        <v>25</v>
      </c>
      <c r="H491" s="4" t="s">
        <v>37</v>
      </c>
      <c r="I491" s="5">
        <v>44256</v>
      </c>
      <c r="J491" s="6">
        <v>21822</v>
      </c>
      <c r="K491" s="6">
        <v>21822</v>
      </c>
      <c r="L491" s="6">
        <v>700.85400000000004</v>
      </c>
      <c r="M491" s="6">
        <v>700.85400000000004</v>
      </c>
      <c r="N491" s="6">
        <v>700.85400000000004</v>
      </c>
      <c r="O491" s="6">
        <v>700.85400000000004</v>
      </c>
      <c r="P491" s="6">
        <v>0</v>
      </c>
      <c r="Q491" s="4" t="s">
        <v>26</v>
      </c>
      <c r="R491" s="4">
        <v>0</v>
      </c>
      <c r="S491" s="6">
        <v>28</v>
      </c>
      <c r="T491" s="6">
        <v>30</v>
      </c>
      <c r="U491" s="6">
        <v>66</v>
      </c>
      <c r="V491" s="6">
        <f>IF(ISERROR(VLOOKUP($S$491,'TAR FIN'!$A$1:$O$95,15,0)),0,VLOOKUP($S$491,'TAR FIN'!$A$1:$O$95,15,0))</f>
        <v>52.99</v>
      </c>
      <c r="W491" s="6">
        <f>IF(ISERROR(VLOOKUP($T$491,'TAR FIN'!$A$1:$O$95,15,0)),0,VLOOKUP($T$491,'TAR FIN'!$A$1:$O$95,15,0))</f>
        <v>149.63</v>
      </c>
      <c r="X491" s="6">
        <f>IF(ISERROR(VLOOKUP($U$491,'TAR FIN'!$A$1:$O$95,15,0)),0,VLOOKUP($U$491,'TAR FIN'!$A$1:$O$95,15,0))</f>
        <v>389.28</v>
      </c>
      <c r="Y491" s="6">
        <f ca="1">('TUSD BE'!$AM$10+'TUSD BF'!$AM$10+'TUSD CVA'!$AM$10)*1</f>
        <v>59.276351675174958</v>
      </c>
      <c r="Z491" s="6">
        <f ca="1">('TUSD BE'!$AM$12+'TUSD BF'!$AM$12+'TUSD CVA'!$AM$12)*1</f>
        <v>168.51338132937991</v>
      </c>
      <c r="AA491" s="6">
        <f>('TE BE'!$AA$7+'TE BF'!$AA$7+'TE CVA'!$AA$7)*1</f>
        <v>454.3285679284046</v>
      </c>
      <c r="AB491" s="6">
        <f>$K$491*$V$491</f>
        <v>1156347.78</v>
      </c>
      <c r="AC491" s="6">
        <f>$M$491*$W$491</f>
        <v>104868.78402000001</v>
      </c>
      <c r="AD491" s="6">
        <f>$O$491*$X$491</f>
        <v>272828.44511999999</v>
      </c>
      <c r="AE491" s="6">
        <f ca="1">$K$491*$Y$491</f>
        <v>1293528.5462556679</v>
      </c>
      <c r="AF491" s="6">
        <f ca="1">$M$491*$Z$491</f>
        <v>118103.27735822124</v>
      </c>
      <c r="AG491" s="6">
        <f>$O$491*$AA$491</f>
        <v>318417.99414689408</v>
      </c>
    </row>
    <row r="492" spans="1:33" ht="11.25" customHeight="1" x14ac:dyDescent="0.25">
      <c r="A492" s="4" t="s">
        <v>28</v>
      </c>
      <c r="B492" s="4" t="s">
        <v>35</v>
      </c>
      <c r="C492" s="4" t="s">
        <v>44</v>
      </c>
      <c r="D492" s="4" t="s">
        <v>42</v>
      </c>
      <c r="E492" s="4" t="s">
        <v>25</v>
      </c>
      <c r="F492" s="4" t="s">
        <v>25</v>
      </c>
      <c r="G492" s="4" t="s">
        <v>25</v>
      </c>
      <c r="H492" s="4" t="s">
        <v>37</v>
      </c>
      <c r="I492" s="5">
        <v>44256</v>
      </c>
      <c r="J492" s="6">
        <v>1017</v>
      </c>
      <c r="K492" s="6">
        <v>1017</v>
      </c>
      <c r="L492" s="6">
        <v>21.17</v>
      </c>
      <c r="M492" s="6">
        <v>21.17</v>
      </c>
      <c r="N492" s="6">
        <v>21.17</v>
      </c>
      <c r="O492" s="6">
        <v>21.17</v>
      </c>
      <c r="P492" s="6">
        <v>0</v>
      </c>
      <c r="Q492" s="4" t="s">
        <v>26</v>
      </c>
      <c r="R492" s="4">
        <v>0</v>
      </c>
      <c r="S492" s="6">
        <v>28</v>
      </c>
      <c r="T492" s="6">
        <v>30</v>
      </c>
      <c r="U492" s="6">
        <v>66</v>
      </c>
      <c r="V492" s="6">
        <f>IF(ISERROR(VLOOKUP($S$492,'TAR FIN'!$A$1:$O$95,15,0)),0,VLOOKUP($S$492,'TAR FIN'!$A$1:$O$95,15,0))</f>
        <v>52.99</v>
      </c>
      <c r="W492" s="6">
        <f>IF(ISERROR(VLOOKUP($T$492,'TAR FIN'!$A$1:$O$95,15,0)),0,VLOOKUP($T$492,'TAR FIN'!$A$1:$O$95,15,0))</f>
        <v>149.63</v>
      </c>
      <c r="X492" s="6">
        <f>IF(ISERROR(VLOOKUP($U$492,'TAR FIN'!$A$1:$O$95,15,0)),0,VLOOKUP($U$492,'TAR FIN'!$A$1:$O$95,15,0))</f>
        <v>389.28</v>
      </c>
      <c r="Y492" s="6">
        <f ca="1">('TUSD BE'!$AM$10+'TUSD BF'!$AM$10+'TUSD CVA'!$AM$10)*1</f>
        <v>59.276351675174958</v>
      </c>
      <c r="Z492" s="6">
        <f ca="1">('TUSD BE'!$AM$12+'TUSD BF'!$AM$12+'TUSD CVA'!$AM$12)*1</f>
        <v>168.51338132937991</v>
      </c>
      <c r="AA492" s="6">
        <f>('TE BE'!$AA$7+'TE BF'!$AA$7+'TE CVA'!$AA$7)*1</f>
        <v>454.3285679284046</v>
      </c>
      <c r="AB492" s="6">
        <f>$K$492*$V$492</f>
        <v>53890.83</v>
      </c>
      <c r="AC492" s="6">
        <f>$M$492*$W$492</f>
        <v>3167.6671000000001</v>
      </c>
      <c r="AD492" s="6">
        <f>$O$492*$X$492</f>
        <v>8241.0576000000001</v>
      </c>
      <c r="AE492" s="6">
        <f ca="1">$K$492*$Y$492</f>
        <v>60284.049653652932</v>
      </c>
      <c r="AF492" s="6">
        <f ca="1">$M$492*$Z$492</f>
        <v>3567.4282827429729</v>
      </c>
      <c r="AG492" s="6">
        <f>$O$492*$AA$492</f>
        <v>9618.1357830443267</v>
      </c>
    </row>
    <row r="493" spans="1:33" ht="11.25" customHeight="1" x14ac:dyDescent="0.25">
      <c r="A493" s="4" t="s">
        <v>30</v>
      </c>
      <c r="B493" s="4" t="s">
        <v>35</v>
      </c>
      <c r="C493" s="4" t="s">
        <v>44</v>
      </c>
      <c r="D493" s="4" t="s">
        <v>42</v>
      </c>
      <c r="E493" s="4" t="s">
        <v>25</v>
      </c>
      <c r="F493" s="4" t="s">
        <v>25</v>
      </c>
      <c r="G493" s="4" t="s">
        <v>25</v>
      </c>
      <c r="H493" s="4" t="s">
        <v>37</v>
      </c>
      <c r="I493" s="5">
        <v>44256</v>
      </c>
      <c r="J493" s="6">
        <v>1600</v>
      </c>
      <c r="K493" s="6">
        <v>1600</v>
      </c>
      <c r="L493" s="6">
        <v>97.075999999999993</v>
      </c>
      <c r="M493" s="6">
        <v>97.075999999999993</v>
      </c>
      <c r="N493" s="6">
        <v>97.075999999999993</v>
      </c>
      <c r="O493" s="6">
        <v>97.075999999999993</v>
      </c>
      <c r="P493" s="6">
        <v>0</v>
      </c>
      <c r="Q493" s="4" t="s">
        <v>26</v>
      </c>
      <c r="R493" s="4">
        <v>0</v>
      </c>
      <c r="S493" s="6">
        <v>28</v>
      </c>
      <c r="T493" s="6">
        <v>30</v>
      </c>
      <c r="U493" s="6">
        <v>66</v>
      </c>
      <c r="V493" s="6">
        <f>IF(ISERROR(VLOOKUP($S$493,'TAR FIN'!$A$1:$O$95,15,0)),0,VLOOKUP($S$493,'TAR FIN'!$A$1:$O$95,15,0))</f>
        <v>52.99</v>
      </c>
      <c r="W493" s="6">
        <f>IF(ISERROR(VLOOKUP($T$493,'TAR FIN'!$A$1:$O$95,15,0)),0,VLOOKUP($T$493,'TAR FIN'!$A$1:$O$95,15,0))</f>
        <v>149.63</v>
      </c>
      <c r="X493" s="6">
        <f>IF(ISERROR(VLOOKUP($U$493,'TAR FIN'!$A$1:$O$95,15,0)),0,VLOOKUP($U$493,'TAR FIN'!$A$1:$O$95,15,0))</f>
        <v>389.28</v>
      </c>
      <c r="Y493" s="6">
        <f ca="1">('TUSD BE'!$AM$10+'TUSD BF'!$AM$10+'TUSD CVA'!$AM$10)*1</f>
        <v>59.276351675174958</v>
      </c>
      <c r="Z493" s="6">
        <f ca="1">('TUSD BE'!$AM$12+'TUSD BF'!$AM$12+'TUSD CVA'!$AM$12)*1</f>
        <v>168.51338132937991</v>
      </c>
      <c r="AA493" s="6">
        <f>('TE BE'!$AA$7+'TE BF'!$AA$7+'TE CVA'!$AA$7)*1</f>
        <v>454.3285679284046</v>
      </c>
      <c r="AB493" s="6">
        <f>$K$493*$V$493</f>
        <v>84784</v>
      </c>
      <c r="AC493" s="6">
        <f>$M$493*$W$493</f>
        <v>14525.481879999999</v>
      </c>
      <c r="AD493" s="6">
        <f>$O$493*$X$493</f>
        <v>37789.745279999996</v>
      </c>
      <c r="AE493" s="6">
        <f ca="1">$K$493*$Y$493</f>
        <v>94842.162680279929</v>
      </c>
      <c r="AF493" s="6">
        <f ca="1">$M$493*$Z$493</f>
        <v>16358.605005930884</v>
      </c>
      <c r="AG493" s="6">
        <f>$O$493*$AA$493</f>
        <v>44104.400060217798</v>
      </c>
    </row>
    <row r="494" spans="1:33" ht="11.25" customHeight="1" x14ac:dyDescent="0.25">
      <c r="A494" s="4" t="s">
        <v>21</v>
      </c>
      <c r="B494" s="4" t="s">
        <v>35</v>
      </c>
      <c r="C494" s="4" t="s">
        <v>44</v>
      </c>
      <c r="D494" s="4" t="s">
        <v>42</v>
      </c>
      <c r="E494" s="4" t="s">
        <v>25</v>
      </c>
      <c r="F494" s="4" t="s">
        <v>25</v>
      </c>
      <c r="G494" s="4" t="s">
        <v>25</v>
      </c>
      <c r="H494" s="4" t="s">
        <v>37</v>
      </c>
      <c r="I494" s="5">
        <v>44256</v>
      </c>
      <c r="J494" s="6">
        <v>5790</v>
      </c>
      <c r="K494" s="6">
        <v>5790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4" t="s">
        <v>60</v>
      </c>
      <c r="R494" s="4">
        <v>0</v>
      </c>
      <c r="S494" s="6">
        <v>28</v>
      </c>
      <c r="T494" s="6">
        <v>0</v>
      </c>
      <c r="U494" s="6">
        <v>0</v>
      </c>
      <c r="V494" s="6">
        <f>IF(ISERROR(VLOOKUP($S$494,'TAR FIN'!$A$1:$O$95,15,0)),0,VLOOKUP($S$494,'TAR FIN'!$A$1:$O$95,15,0))</f>
        <v>52.99</v>
      </c>
      <c r="W494" s="6">
        <f>IF(ISERROR(VLOOKUP($T$494,'TAR FIN'!$A$1:$O$95,15,0)),0,VLOOKUP($T$494,'TAR FIN'!$A$1:$O$95,15,0))</f>
        <v>0</v>
      </c>
      <c r="X494" s="6">
        <f>IF(ISERROR(VLOOKUP($U$494,'TAR FIN'!$A$1:$O$95,15,0)),0,VLOOKUP($U$494,'TAR FIN'!$A$1:$O$95,15,0))</f>
        <v>0</v>
      </c>
      <c r="Y494" s="6">
        <f ca="1">('TUSD BE'!$AM$10+'TUSD BF'!$AM$10+'TUSD CVA'!$AM$10)*1</f>
        <v>59.276351675174958</v>
      </c>
      <c r="Z494" s="6">
        <f ca="1">('TUSD BE'!$AM$12+'TUSD BF'!$AM$12+'TUSD CVA'!$AM$12)*1</f>
        <v>168.51338132937991</v>
      </c>
      <c r="AA494" s="6"/>
      <c r="AB494" s="6">
        <f>$K$494*$V$494</f>
        <v>306812.10000000003</v>
      </c>
      <c r="AC494" s="6">
        <f>$M$494*$W$494</f>
        <v>0</v>
      </c>
      <c r="AD494" s="6">
        <f>$O$494*$X$494</f>
        <v>0</v>
      </c>
      <c r="AE494" s="6">
        <f ca="1">$K$494*$Y$494</f>
        <v>343210.07619926299</v>
      </c>
      <c r="AF494" s="6">
        <f ca="1">$M$494*$Z$494</f>
        <v>0</v>
      </c>
      <c r="AG494" s="6">
        <f>$O$494*$AA$494</f>
        <v>0</v>
      </c>
    </row>
    <row r="495" spans="1:33" ht="11.25" customHeight="1" x14ac:dyDescent="0.25">
      <c r="A495" s="4" t="s">
        <v>21</v>
      </c>
      <c r="B495" s="4" t="s">
        <v>35</v>
      </c>
      <c r="C495" s="4" t="s">
        <v>44</v>
      </c>
      <c r="D495" s="4" t="s">
        <v>42</v>
      </c>
      <c r="E495" s="4" t="s">
        <v>25</v>
      </c>
      <c r="F495" s="4" t="s">
        <v>25</v>
      </c>
      <c r="G495" s="4" t="s">
        <v>25</v>
      </c>
      <c r="H495" s="4" t="s">
        <v>37</v>
      </c>
      <c r="I495" s="5">
        <v>44287</v>
      </c>
      <c r="J495" s="6">
        <v>20980</v>
      </c>
      <c r="K495" s="6">
        <v>20980</v>
      </c>
      <c r="L495" s="6">
        <v>551.23099999999999</v>
      </c>
      <c r="M495" s="6">
        <v>551.23099999999999</v>
      </c>
      <c r="N495" s="6">
        <v>551.23099999999999</v>
      </c>
      <c r="O495" s="6">
        <v>551.23099999999999</v>
      </c>
      <c r="P495" s="6">
        <v>0</v>
      </c>
      <c r="Q495" s="4" t="s">
        <v>26</v>
      </c>
      <c r="R495" s="4">
        <v>0</v>
      </c>
      <c r="S495" s="6">
        <v>28</v>
      </c>
      <c r="T495" s="6">
        <v>30</v>
      </c>
      <c r="U495" s="6">
        <v>66</v>
      </c>
      <c r="V495" s="6">
        <f>IF(ISERROR(VLOOKUP($S$495,'TAR FIN'!$A$1:$O$95,15,0)),0,VLOOKUP($S$495,'TAR FIN'!$A$1:$O$95,15,0))</f>
        <v>52.99</v>
      </c>
      <c r="W495" s="6">
        <f>IF(ISERROR(VLOOKUP($T$495,'TAR FIN'!$A$1:$O$95,15,0)),0,VLOOKUP($T$495,'TAR FIN'!$A$1:$O$95,15,0))</f>
        <v>149.63</v>
      </c>
      <c r="X495" s="6">
        <f>IF(ISERROR(VLOOKUP($U$495,'TAR FIN'!$A$1:$O$95,15,0)),0,VLOOKUP($U$495,'TAR FIN'!$A$1:$O$95,15,0))</f>
        <v>389.28</v>
      </c>
      <c r="Y495" s="6">
        <f ca="1">('TUSD BE'!$AM$10+'TUSD BF'!$AM$10+'TUSD CVA'!$AM$10)*1</f>
        <v>59.276351675174958</v>
      </c>
      <c r="Z495" s="6">
        <f ca="1">('TUSD BE'!$AM$12+'TUSD BF'!$AM$12+'TUSD CVA'!$AM$12)*1</f>
        <v>168.51338132937991</v>
      </c>
      <c r="AA495" s="6">
        <f>('TE BE'!$AA$7+'TE BF'!$AA$7+'TE CVA'!$AA$7)*1</f>
        <v>454.3285679284046</v>
      </c>
      <c r="AB495" s="6">
        <f>$K$495*$V$495</f>
        <v>1111730.2</v>
      </c>
      <c r="AC495" s="6">
        <f>$M$495*$W$495</f>
        <v>82480.694529999993</v>
      </c>
      <c r="AD495" s="6">
        <f>$O$495*$X$495</f>
        <v>214583.20367999998</v>
      </c>
      <c r="AE495" s="6">
        <f ca="1">$K$495*$Y$495</f>
        <v>1243617.8581451706</v>
      </c>
      <c r="AF495" s="6">
        <f ca="1">$M$495*$Z$495</f>
        <v>92889.799703575423</v>
      </c>
      <c r="AG495" s="6">
        <f>$O$495*$AA$495</f>
        <v>250439.99082774238</v>
      </c>
    </row>
    <row r="496" spans="1:33" ht="11.25" customHeight="1" x14ac:dyDescent="0.25">
      <c r="A496" s="4" t="s">
        <v>28</v>
      </c>
      <c r="B496" s="4" t="s">
        <v>35</v>
      </c>
      <c r="C496" s="4" t="s">
        <v>44</v>
      </c>
      <c r="D496" s="4" t="s">
        <v>42</v>
      </c>
      <c r="E496" s="4" t="s">
        <v>25</v>
      </c>
      <c r="F496" s="4" t="s">
        <v>25</v>
      </c>
      <c r="G496" s="4" t="s">
        <v>25</v>
      </c>
      <c r="H496" s="4" t="s">
        <v>37</v>
      </c>
      <c r="I496" s="5">
        <v>44287</v>
      </c>
      <c r="J496" s="6">
        <v>838</v>
      </c>
      <c r="K496" s="6">
        <v>838</v>
      </c>
      <c r="L496" s="6">
        <v>19.206</v>
      </c>
      <c r="M496" s="6">
        <v>19.206</v>
      </c>
      <c r="N496" s="6">
        <v>19.206</v>
      </c>
      <c r="O496" s="6">
        <v>19.206</v>
      </c>
      <c r="P496" s="6">
        <v>0</v>
      </c>
      <c r="Q496" s="4" t="s">
        <v>26</v>
      </c>
      <c r="R496" s="4">
        <v>0</v>
      </c>
      <c r="S496" s="6">
        <v>28</v>
      </c>
      <c r="T496" s="6">
        <v>30</v>
      </c>
      <c r="U496" s="6">
        <v>66</v>
      </c>
      <c r="V496" s="6">
        <f>IF(ISERROR(VLOOKUP($S$496,'TAR FIN'!$A$1:$O$95,15,0)),0,VLOOKUP($S$496,'TAR FIN'!$A$1:$O$95,15,0))</f>
        <v>52.99</v>
      </c>
      <c r="W496" s="6">
        <f>IF(ISERROR(VLOOKUP($T$496,'TAR FIN'!$A$1:$O$95,15,0)),0,VLOOKUP($T$496,'TAR FIN'!$A$1:$O$95,15,0))</f>
        <v>149.63</v>
      </c>
      <c r="X496" s="6">
        <f>IF(ISERROR(VLOOKUP($U$496,'TAR FIN'!$A$1:$O$95,15,0)),0,VLOOKUP($U$496,'TAR FIN'!$A$1:$O$95,15,0))</f>
        <v>389.28</v>
      </c>
      <c r="Y496" s="6">
        <f ca="1">('TUSD BE'!$AM$10+'TUSD BF'!$AM$10+'TUSD CVA'!$AM$10)*1</f>
        <v>59.276351675174958</v>
      </c>
      <c r="Z496" s="6">
        <f ca="1">('TUSD BE'!$AM$12+'TUSD BF'!$AM$12+'TUSD CVA'!$AM$12)*1</f>
        <v>168.51338132937991</v>
      </c>
      <c r="AA496" s="6">
        <f>('TE BE'!$AA$7+'TE BF'!$AA$7+'TE CVA'!$AA$7)*1</f>
        <v>454.3285679284046</v>
      </c>
      <c r="AB496" s="6">
        <f>$K$496*$V$496</f>
        <v>44405.62</v>
      </c>
      <c r="AC496" s="6">
        <f>$M$496*$W$496</f>
        <v>2873.79378</v>
      </c>
      <c r="AD496" s="6">
        <f>$O$496*$X$496</f>
        <v>7476.5116799999996</v>
      </c>
      <c r="AE496" s="6">
        <f ca="1">$K$496*$Y$496</f>
        <v>49673.582703796616</v>
      </c>
      <c r="AF496" s="6">
        <f ca="1">$M$496*$Z$496</f>
        <v>3236.4680018120703</v>
      </c>
      <c r="AG496" s="6">
        <f>$O$496*$AA$496</f>
        <v>8725.8344756329388</v>
      </c>
    </row>
    <row r="497" spans="1:33" ht="11.25" customHeight="1" x14ac:dyDescent="0.25">
      <c r="A497" s="4" t="s">
        <v>29</v>
      </c>
      <c r="B497" s="4" t="s">
        <v>35</v>
      </c>
      <c r="C497" s="4" t="s">
        <v>44</v>
      </c>
      <c r="D497" s="4" t="s">
        <v>42</v>
      </c>
      <c r="E497" s="4" t="s">
        <v>25</v>
      </c>
      <c r="F497" s="4" t="s">
        <v>25</v>
      </c>
      <c r="G497" s="4" t="s">
        <v>25</v>
      </c>
      <c r="H497" s="4" t="s">
        <v>37</v>
      </c>
      <c r="I497" s="5">
        <v>44287</v>
      </c>
      <c r="J497" s="6">
        <v>0</v>
      </c>
      <c r="K497" s="6">
        <v>0</v>
      </c>
      <c r="L497" s="6">
        <v>-1</v>
      </c>
      <c r="M497" s="6">
        <v>-1</v>
      </c>
      <c r="N497" s="6">
        <v>-1</v>
      </c>
      <c r="O497" s="6">
        <v>-1</v>
      </c>
      <c r="P497" s="6">
        <v>0</v>
      </c>
      <c r="Q497" s="4" t="s">
        <v>26</v>
      </c>
      <c r="R497" s="4">
        <v>0</v>
      </c>
      <c r="S497" s="6">
        <v>0</v>
      </c>
      <c r="T497" s="6">
        <v>30</v>
      </c>
      <c r="U497" s="6">
        <v>66</v>
      </c>
      <c r="V497" s="6">
        <f>IF(ISERROR(VLOOKUP($S$497,'TAR FIN'!$A$1:$O$95,15,0)),0,VLOOKUP($S$497,'TAR FIN'!$A$1:$O$95,15,0))</f>
        <v>0</v>
      </c>
      <c r="W497" s="6">
        <f>IF(ISERROR(VLOOKUP($T$497,'TAR FIN'!$A$1:$O$95,15,0)),0,VLOOKUP($T$497,'TAR FIN'!$A$1:$O$95,15,0))</f>
        <v>149.63</v>
      </c>
      <c r="X497" s="6">
        <f>IF(ISERROR(VLOOKUP($U$497,'TAR FIN'!$A$1:$O$95,15,0)),0,VLOOKUP($U$497,'TAR FIN'!$A$1:$O$95,15,0))</f>
        <v>389.28</v>
      </c>
      <c r="Y497" s="6">
        <f ca="1">('TUSD BE'!$AM$10+'TUSD BF'!$AM$10+'TUSD CVA'!$AM$10)*1</f>
        <v>59.276351675174958</v>
      </c>
      <c r="Z497" s="6">
        <f ca="1">('TUSD BE'!$AM$12+'TUSD BF'!$AM$12+'TUSD CVA'!$AM$12)*1</f>
        <v>168.51338132937991</v>
      </c>
      <c r="AA497" s="6">
        <f>('TE BE'!$AA$7+'TE BF'!$AA$7+'TE CVA'!$AA$7)*1</f>
        <v>454.3285679284046</v>
      </c>
      <c r="AB497" s="6">
        <f>$K$497*$V$497</f>
        <v>0</v>
      </c>
      <c r="AC497" s="6">
        <f>$M$497*$W$497</f>
        <v>-149.63</v>
      </c>
      <c r="AD497" s="6">
        <f>$O$497*$X$497</f>
        <v>-389.28</v>
      </c>
      <c r="AE497" s="6">
        <f ca="1">$K$497*$Y$497</f>
        <v>0</v>
      </c>
      <c r="AF497" s="6">
        <f ca="1">$M$497*$Z$497</f>
        <v>-168.51338132937991</v>
      </c>
      <c r="AG497" s="6">
        <f>$O$497*$AA$497</f>
        <v>-454.3285679284046</v>
      </c>
    </row>
    <row r="498" spans="1:33" ht="11.25" customHeight="1" x14ac:dyDescent="0.25">
      <c r="A498" s="4" t="s">
        <v>30</v>
      </c>
      <c r="B498" s="4" t="s">
        <v>35</v>
      </c>
      <c r="C498" s="4" t="s">
        <v>44</v>
      </c>
      <c r="D498" s="4" t="s">
        <v>42</v>
      </c>
      <c r="E498" s="4" t="s">
        <v>25</v>
      </c>
      <c r="F498" s="4" t="s">
        <v>25</v>
      </c>
      <c r="G498" s="4" t="s">
        <v>25</v>
      </c>
      <c r="H498" s="4" t="s">
        <v>37</v>
      </c>
      <c r="I498" s="5">
        <v>44287</v>
      </c>
      <c r="J498" s="6">
        <v>1600</v>
      </c>
      <c r="K498" s="6">
        <v>1600</v>
      </c>
      <c r="L498" s="6">
        <v>84.293999999999997</v>
      </c>
      <c r="M498" s="6">
        <v>84.293999999999997</v>
      </c>
      <c r="N498" s="6">
        <v>84.293999999999997</v>
      </c>
      <c r="O498" s="6">
        <v>84.293999999999997</v>
      </c>
      <c r="P498" s="6">
        <v>0</v>
      </c>
      <c r="Q498" s="4" t="s">
        <v>26</v>
      </c>
      <c r="R498" s="4">
        <v>0</v>
      </c>
      <c r="S498" s="6">
        <v>28</v>
      </c>
      <c r="T498" s="6">
        <v>30</v>
      </c>
      <c r="U498" s="6">
        <v>66</v>
      </c>
      <c r="V498" s="6">
        <f>IF(ISERROR(VLOOKUP($S$498,'TAR FIN'!$A$1:$O$95,15,0)),0,VLOOKUP($S$498,'TAR FIN'!$A$1:$O$95,15,0))</f>
        <v>52.99</v>
      </c>
      <c r="W498" s="6">
        <f>IF(ISERROR(VLOOKUP($T$498,'TAR FIN'!$A$1:$O$95,15,0)),0,VLOOKUP($T$498,'TAR FIN'!$A$1:$O$95,15,0))</f>
        <v>149.63</v>
      </c>
      <c r="X498" s="6">
        <f>IF(ISERROR(VLOOKUP($U$498,'TAR FIN'!$A$1:$O$95,15,0)),0,VLOOKUP($U$498,'TAR FIN'!$A$1:$O$95,15,0))</f>
        <v>389.28</v>
      </c>
      <c r="Y498" s="6">
        <f ca="1">('TUSD BE'!$AM$10+'TUSD BF'!$AM$10+'TUSD CVA'!$AM$10)*1</f>
        <v>59.276351675174958</v>
      </c>
      <c r="Z498" s="6">
        <f ca="1">('TUSD BE'!$AM$12+'TUSD BF'!$AM$12+'TUSD CVA'!$AM$12)*1</f>
        <v>168.51338132937991</v>
      </c>
      <c r="AA498" s="6">
        <f>('TE BE'!$AA$7+'TE BF'!$AA$7+'TE CVA'!$AA$7)*1</f>
        <v>454.3285679284046</v>
      </c>
      <c r="AB498" s="6">
        <f>$K$498*$V$498</f>
        <v>84784</v>
      </c>
      <c r="AC498" s="6">
        <f>$M$498*$W$498</f>
        <v>12612.91122</v>
      </c>
      <c r="AD498" s="6">
        <f>$O$498*$X$498</f>
        <v>32813.96832</v>
      </c>
      <c r="AE498" s="6">
        <f ca="1">$K$498*$Y$498</f>
        <v>94842.162680279929</v>
      </c>
      <c r="AF498" s="6">
        <f ca="1">$M$498*$Z$498</f>
        <v>14204.66696577875</v>
      </c>
      <c r="AG498" s="6">
        <f>$O$498*$AA$498</f>
        <v>38297.172304956934</v>
      </c>
    </row>
    <row r="499" spans="1:33" ht="11.25" customHeight="1" x14ac:dyDescent="0.25">
      <c r="A499" s="4" t="s">
        <v>21</v>
      </c>
      <c r="B499" s="4" t="s">
        <v>35</v>
      </c>
      <c r="C499" s="4" t="s">
        <v>44</v>
      </c>
      <c r="D499" s="4" t="s">
        <v>42</v>
      </c>
      <c r="E499" s="4" t="s">
        <v>25</v>
      </c>
      <c r="F499" s="4" t="s">
        <v>25</v>
      </c>
      <c r="G499" s="4" t="s">
        <v>25</v>
      </c>
      <c r="H499" s="4" t="s">
        <v>37</v>
      </c>
      <c r="I499" s="5">
        <v>44287</v>
      </c>
      <c r="J499" s="6">
        <v>5982</v>
      </c>
      <c r="K499" s="6">
        <v>5982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4" t="s">
        <v>60</v>
      </c>
      <c r="R499" s="4">
        <v>0</v>
      </c>
      <c r="S499" s="6">
        <v>28</v>
      </c>
      <c r="T499" s="6">
        <v>0</v>
      </c>
      <c r="U499" s="6">
        <v>0</v>
      </c>
      <c r="V499" s="6">
        <f>IF(ISERROR(VLOOKUP($S$499,'TAR FIN'!$A$1:$O$95,15,0)),0,VLOOKUP($S$499,'TAR FIN'!$A$1:$O$95,15,0))</f>
        <v>52.99</v>
      </c>
      <c r="W499" s="6">
        <f>IF(ISERROR(VLOOKUP($T$499,'TAR FIN'!$A$1:$O$95,15,0)),0,VLOOKUP($T$499,'TAR FIN'!$A$1:$O$95,15,0))</f>
        <v>0</v>
      </c>
      <c r="X499" s="6">
        <f>IF(ISERROR(VLOOKUP($U$499,'TAR FIN'!$A$1:$O$95,15,0)),0,VLOOKUP($U$499,'TAR FIN'!$A$1:$O$95,15,0))</f>
        <v>0</v>
      </c>
      <c r="Y499" s="6">
        <f ca="1">('TUSD BE'!$AM$10+'TUSD BF'!$AM$10+'TUSD CVA'!$AM$10)*1</f>
        <v>59.276351675174958</v>
      </c>
      <c r="Z499" s="6">
        <f ca="1">('TUSD BE'!$AM$12+'TUSD BF'!$AM$12+'TUSD CVA'!$AM$12)*1</f>
        <v>168.51338132937991</v>
      </c>
      <c r="AA499" s="6"/>
      <c r="AB499" s="6">
        <f>$K$499*$V$499</f>
        <v>316986.18</v>
      </c>
      <c r="AC499" s="6">
        <f>$M$499*$W$499</f>
        <v>0</v>
      </c>
      <c r="AD499" s="6">
        <f>$O$499*$X$499</f>
        <v>0</v>
      </c>
      <c r="AE499" s="6">
        <f ca="1">$K$499*$Y$499</f>
        <v>354591.13572089659</v>
      </c>
      <c r="AF499" s="6">
        <f ca="1">$M$499*$Z$499</f>
        <v>0</v>
      </c>
      <c r="AG499" s="6">
        <f>$O$499*$AA$499</f>
        <v>0</v>
      </c>
    </row>
    <row r="500" spans="1:33" ht="11.25" customHeight="1" x14ac:dyDescent="0.25">
      <c r="A500" s="4" t="s">
        <v>21</v>
      </c>
      <c r="B500" s="4" t="s">
        <v>35</v>
      </c>
      <c r="C500" s="4" t="s">
        <v>44</v>
      </c>
      <c r="D500" s="4" t="s">
        <v>42</v>
      </c>
      <c r="E500" s="4" t="s">
        <v>25</v>
      </c>
      <c r="F500" s="4" t="s">
        <v>25</v>
      </c>
      <c r="G500" s="4" t="s">
        <v>25</v>
      </c>
      <c r="H500" s="4" t="s">
        <v>37</v>
      </c>
      <c r="I500" s="5">
        <v>44317</v>
      </c>
      <c r="J500" s="6">
        <v>17524</v>
      </c>
      <c r="K500" s="6">
        <v>17524</v>
      </c>
      <c r="L500" s="6">
        <v>482.47800000000001</v>
      </c>
      <c r="M500" s="6">
        <v>482.47800000000001</v>
      </c>
      <c r="N500" s="6">
        <v>482.47800000000001</v>
      </c>
      <c r="O500" s="6">
        <v>482.47800000000001</v>
      </c>
      <c r="P500" s="6">
        <v>0</v>
      </c>
      <c r="Q500" s="4" t="s">
        <v>26</v>
      </c>
      <c r="R500" s="4">
        <v>0</v>
      </c>
      <c r="S500" s="6">
        <v>28</v>
      </c>
      <c r="T500" s="6">
        <v>30</v>
      </c>
      <c r="U500" s="6">
        <v>66</v>
      </c>
      <c r="V500" s="6">
        <f>IF(ISERROR(VLOOKUP($S$500,'TAR FIN'!$A$1:$O$95,15,0)),0,VLOOKUP($S$500,'TAR FIN'!$A$1:$O$95,15,0))</f>
        <v>52.99</v>
      </c>
      <c r="W500" s="6">
        <f>IF(ISERROR(VLOOKUP($T$500,'TAR FIN'!$A$1:$O$95,15,0)),0,VLOOKUP($T$500,'TAR FIN'!$A$1:$O$95,15,0))</f>
        <v>149.63</v>
      </c>
      <c r="X500" s="6">
        <f>IF(ISERROR(VLOOKUP($U$500,'TAR FIN'!$A$1:$O$95,15,0)),0,VLOOKUP($U$500,'TAR FIN'!$A$1:$O$95,15,0))</f>
        <v>389.28</v>
      </c>
      <c r="Y500" s="6">
        <f ca="1">('TUSD BE'!$AM$10+'TUSD BF'!$AM$10+'TUSD CVA'!$AM$10)*1</f>
        <v>59.276351675174958</v>
      </c>
      <c r="Z500" s="6">
        <f ca="1">('TUSD BE'!$AM$12+'TUSD BF'!$AM$12+'TUSD CVA'!$AM$12)*1</f>
        <v>168.51338132937991</v>
      </c>
      <c r="AA500" s="6">
        <f>('TE BE'!$AA$7+'TE BF'!$AA$7+'TE CVA'!$AA$7)*1</f>
        <v>454.3285679284046</v>
      </c>
      <c r="AB500" s="6">
        <f>$K$500*$V$500</f>
        <v>928596.76</v>
      </c>
      <c r="AC500" s="6">
        <f>$M$500*$W$500</f>
        <v>72193.183139999994</v>
      </c>
      <c r="AD500" s="6">
        <f>$O$500*$X$500</f>
        <v>187819.03584</v>
      </c>
      <c r="AE500" s="6">
        <f ca="1">$K$500*$Y$500</f>
        <v>1038758.7867557659</v>
      </c>
      <c r="AF500" s="6">
        <f ca="1">$M$500*$Z$500</f>
        <v>81303.999197036566</v>
      </c>
      <c r="AG500" s="6">
        <f>$O$500*$AA$500</f>
        <v>219203.53879696078</v>
      </c>
    </row>
    <row r="501" spans="1:33" ht="11.25" customHeight="1" x14ac:dyDescent="0.25">
      <c r="A501" s="4" t="s">
        <v>27</v>
      </c>
      <c r="B501" s="4" t="s">
        <v>35</v>
      </c>
      <c r="C501" s="4" t="s">
        <v>44</v>
      </c>
      <c r="D501" s="4" t="s">
        <v>42</v>
      </c>
      <c r="E501" s="4" t="s">
        <v>25</v>
      </c>
      <c r="F501" s="4" t="s">
        <v>25</v>
      </c>
      <c r="G501" s="4" t="s">
        <v>25</v>
      </c>
      <c r="H501" s="4" t="s">
        <v>37</v>
      </c>
      <c r="I501" s="5">
        <v>44317</v>
      </c>
      <c r="J501" s="6">
        <v>1232</v>
      </c>
      <c r="K501" s="6">
        <v>1232</v>
      </c>
      <c r="L501" s="6">
        <v>68.334000000000003</v>
      </c>
      <c r="M501" s="6">
        <v>68.334000000000003</v>
      </c>
      <c r="N501" s="6">
        <v>68.334000000000003</v>
      </c>
      <c r="O501" s="6">
        <v>68.334000000000003</v>
      </c>
      <c r="P501" s="6">
        <v>0</v>
      </c>
      <c r="Q501" s="4" t="s">
        <v>26</v>
      </c>
      <c r="R501" s="4">
        <v>0</v>
      </c>
      <c r="S501" s="6">
        <v>28</v>
      </c>
      <c r="T501" s="6">
        <v>30</v>
      </c>
      <c r="U501" s="6">
        <v>66</v>
      </c>
      <c r="V501" s="6">
        <f>IF(ISERROR(VLOOKUP($S$501,'TAR FIN'!$A$1:$O$95,15,0)),0,VLOOKUP($S$501,'TAR FIN'!$A$1:$O$95,15,0))</f>
        <v>52.99</v>
      </c>
      <c r="W501" s="6">
        <f>IF(ISERROR(VLOOKUP($T$501,'TAR FIN'!$A$1:$O$95,15,0)),0,VLOOKUP($T$501,'TAR FIN'!$A$1:$O$95,15,0))</f>
        <v>149.63</v>
      </c>
      <c r="X501" s="6">
        <f>IF(ISERROR(VLOOKUP($U$501,'TAR FIN'!$A$1:$O$95,15,0)),0,VLOOKUP($U$501,'TAR FIN'!$A$1:$O$95,15,0))</f>
        <v>389.28</v>
      </c>
      <c r="Y501" s="6">
        <f ca="1">('TUSD BE'!$AM$10+'TUSD BF'!$AM$10+'TUSD CVA'!$AM$10)*1</f>
        <v>59.276351675174958</v>
      </c>
      <c r="Z501" s="6">
        <f ca="1">('TUSD BE'!$AM$12+'TUSD BF'!$AM$12+'TUSD CVA'!$AM$12)*1</f>
        <v>168.51338132937991</v>
      </c>
      <c r="AA501" s="6">
        <f>('TE BE'!$AA$7+'TE BF'!$AA$7+'TE CVA'!$AA$7)*1</f>
        <v>454.3285679284046</v>
      </c>
      <c r="AB501" s="6">
        <f>$K$501*$V$501</f>
        <v>65283.68</v>
      </c>
      <c r="AC501" s="6">
        <f>$M$501*$W$501</f>
        <v>10224.816420000001</v>
      </c>
      <c r="AD501" s="6">
        <f>$O$501*$X$501</f>
        <v>26601.059519999999</v>
      </c>
      <c r="AE501" s="6">
        <f ca="1">$K$501*$Y$501</f>
        <v>73028.465263815553</v>
      </c>
      <c r="AF501" s="6">
        <f ca="1">$M$501*$Z$501</f>
        <v>11515.193399761847</v>
      </c>
      <c r="AG501" s="6">
        <f>$O$501*$AA$501</f>
        <v>31046.088360819602</v>
      </c>
    </row>
    <row r="502" spans="1:33" ht="11.25" customHeight="1" x14ac:dyDescent="0.25">
      <c r="A502" s="4" t="s">
        <v>28</v>
      </c>
      <c r="B502" s="4" t="s">
        <v>35</v>
      </c>
      <c r="C502" s="4" t="s">
        <v>44</v>
      </c>
      <c r="D502" s="4" t="s">
        <v>42</v>
      </c>
      <c r="E502" s="4" t="s">
        <v>25</v>
      </c>
      <c r="F502" s="4" t="s">
        <v>25</v>
      </c>
      <c r="G502" s="4" t="s">
        <v>25</v>
      </c>
      <c r="H502" s="4" t="s">
        <v>37</v>
      </c>
      <c r="I502" s="5">
        <v>44317</v>
      </c>
      <c r="J502" s="6">
        <v>838</v>
      </c>
      <c r="K502" s="6">
        <v>838</v>
      </c>
      <c r="L502" s="6">
        <v>18.315999999999999</v>
      </c>
      <c r="M502" s="6">
        <v>18.315999999999999</v>
      </c>
      <c r="N502" s="6">
        <v>18.315999999999999</v>
      </c>
      <c r="O502" s="6">
        <v>18.315999999999999</v>
      </c>
      <c r="P502" s="6">
        <v>0</v>
      </c>
      <c r="Q502" s="4" t="s">
        <v>26</v>
      </c>
      <c r="R502" s="4">
        <v>0</v>
      </c>
      <c r="S502" s="6">
        <v>28</v>
      </c>
      <c r="T502" s="6">
        <v>30</v>
      </c>
      <c r="U502" s="6">
        <v>66</v>
      </c>
      <c r="V502" s="6">
        <f>IF(ISERROR(VLOOKUP($S$502,'TAR FIN'!$A$1:$O$95,15,0)),0,VLOOKUP($S$502,'TAR FIN'!$A$1:$O$95,15,0))</f>
        <v>52.99</v>
      </c>
      <c r="W502" s="6">
        <f>IF(ISERROR(VLOOKUP($T$502,'TAR FIN'!$A$1:$O$95,15,0)),0,VLOOKUP($T$502,'TAR FIN'!$A$1:$O$95,15,0))</f>
        <v>149.63</v>
      </c>
      <c r="X502" s="6">
        <f>IF(ISERROR(VLOOKUP($U$502,'TAR FIN'!$A$1:$O$95,15,0)),0,VLOOKUP($U$502,'TAR FIN'!$A$1:$O$95,15,0))</f>
        <v>389.28</v>
      </c>
      <c r="Y502" s="6">
        <f ca="1">('TUSD BE'!$AM$10+'TUSD BF'!$AM$10+'TUSD CVA'!$AM$10)*1</f>
        <v>59.276351675174958</v>
      </c>
      <c r="Z502" s="6">
        <f ca="1">('TUSD BE'!$AM$12+'TUSD BF'!$AM$12+'TUSD CVA'!$AM$12)*1</f>
        <v>168.51338132937991</v>
      </c>
      <c r="AA502" s="6">
        <f>('TE BE'!$AA$7+'TE BF'!$AA$7+'TE CVA'!$AA$7)*1</f>
        <v>454.3285679284046</v>
      </c>
      <c r="AB502" s="6">
        <f>$K$502*$V$502</f>
        <v>44405.62</v>
      </c>
      <c r="AC502" s="6">
        <f>$M$502*$W$502</f>
        <v>2740.6230799999998</v>
      </c>
      <c r="AD502" s="6">
        <f>$O$502*$X$502</f>
        <v>7130.0524799999994</v>
      </c>
      <c r="AE502" s="6">
        <f ca="1">$K$502*$Y$502</f>
        <v>49673.582703796616</v>
      </c>
      <c r="AF502" s="6">
        <f ca="1">$M$502*$Z$502</f>
        <v>3086.4910924289225</v>
      </c>
      <c r="AG502" s="6">
        <f>$O$502*$AA$502</f>
        <v>8321.482050176659</v>
      </c>
    </row>
    <row r="503" spans="1:33" ht="11.25" customHeight="1" x14ac:dyDescent="0.25">
      <c r="A503" s="4" t="s">
        <v>30</v>
      </c>
      <c r="B503" s="4" t="s">
        <v>35</v>
      </c>
      <c r="C503" s="4" t="s">
        <v>44</v>
      </c>
      <c r="D503" s="4" t="s">
        <v>42</v>
      </c>
      <c r="E503" s="4" t="s">
        <v>25</v>
      </c>
      <c r="F503" s="4" t="s">
        <v>25</v>
      </c>
      <c r="G503" s="4" t="s">
        <v>25</v>
      </c>
      <c r="H503" s="4" t="s">
        <v>37</v>
      </c>
      <c r="I503" s="5">
        <v>44317</v>
      </c>
      <c r="J503" s="6">
        <v>1600</v>
      </c>
      <c r="K503" s="6">
        <v>1600</v>
      </c>
      <c r="L503" s="6">
        <v>87.64</v>
      </c>
      <c r="M503" s="6">
        <v>87.64</v>
      </c>
      <c r="N503" s="6">
        <v>87.64</v>
      </c>
      <c r="O503" s="6">
        <v>87.64</v>
      </c>
      <c r="P503" s="6">
        <v>0</v>
      </c>
      <c r="Q503" s="4" t="s">
        <v>26</v>
      </c>
      <c r="R503" s="4">
        <v>0</v>
      </c>
      <c r="S503" s="6">
        <v>28</v>
      </c>
      <c r="T503" s="6">
        <v>30</v>
      </c>
      <c r="U503" s="6">
        <v>66</v>
      </c>
      <c r="V503" s="6">
        <f>IF(ISERROR(VLOOKUP($S$503,'TAR FIN'!$A$1:$O$95,15,0)),0,VLOOKUP($S$503,'TAR FIN'!$A$1:$O$95,15,0))</f>
        <v>52.99</v>
      </c>
      <c r="W503" s="6">
        <f>IF(ISERROR(VLOOKUP($T$503,'TAR FIN'!$A$1:$O$95,15,0)),0,VLOOKUP($T$503,'TAR FIN'!$A$1:$O$95,15,0))</f>
        <v>149.63</v>
      </c>
      <c r="X503" s="6">
        <f>IF(ISERROR(VLOOKUP($U$503,'TAR FIN'!$A$1:$O$95,15,0)),0,VLOOKUP($U$503,'TAR FIN'!$A$1:$O$95,15,0))</f>
        <v>389.28</v>
      </c>
      <c r="Y503" s="6">
        <f ca="1">('TUSD BE'!$AM$10+'TUSD BF'!$AM$10+'TUSD CVA'!$AM$10)*1</f>
        <v>59.276351675174958</v>
      </c>
      <c r="Z503" s="6">
        <f ca="1">('TUSD BE'!$AM$12+'TUSD BF'!$AM$12+'TUSD CVA'!$AM$12)*1</f>
        <v>168.51338132937991</v>
      </c>
      <c r="AA503" s="6">
        <f>('TE BE'!$AA$7+'TE BF'!$AA$7+'TE CVA'!$AA$7)*1</f>
        <v>454.3285679284046</v>
      </c>
      <c r="AB503" s="6">
        <f>$K$503*$V$503</f>
        <v>84784</v>
      </c>
      <c r="AC503" s="6">
        <f>$M$503*$W$503</f>
        <v>13113.573199999999</v>
      </c>
      <c r="AD503" s="6">
        <f>$O$503*$X$503</f>
        <v>34116.499199999998</v>
      </c>
      <c r="AE503" s="6">
        <f ca="1">$K$503*$Y$503</f>
        <v>94842.162680279929</v>
      </c>
      <c r="AF503" s="6">
        <f ca="1">$M$503*$Z$503</f>
        <v>14768.512739706855</v>
      </c>
      <c r="AG503" s="6">
        <f>$O$503*$AA$503</f>
        <v>39817.355693245379</v>
      </c>
    </row>
    <row r="504" spans="1:33" ht="11.25" customHeight="1" x14ac:dyDescent="0.25">
      <c r="A504" s="4" t="s">
        <v>21</v>
      </c>
      <c r="B504" s="4" t="s">
        <v>35</v>
      </c>
      <c r="C504" s="4" t="s">
        <v>44</v>
      </c>
      <c r="D504" s="4" t="s">
        <v>42</v>
      </c>
      <c r="E504" s="4" t="s">
        <v>25</v>
      </c>
      <c r="F504" s="4" t="s">
        <v>25</v>
      </c>
      <c r="G504" s="4" t="s">
        <v>25</v>
      </c>
      <c r="H504" s="4" t="s">
        <v>37</v>
      </c>
      <c r="I504" s="5">
        <v>44317</v>
      </c>
      <c r="J504" s="6">
        <v>5600</v>
      </c>
      <c r="K504" s="6">
        <v>5600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4" t="s">
        <v>60</v>
      </c>
      <c r="R504" s="4">
        <v>0</v>
      </c>
      <c r="S504" s="6">
        <v>28</v>
      </c>
      <c r="T504" s="6">
        <v>0</v>
      </c>
      <c r="U504" s="6">
        <v>0</v>
      </c>
      <c r="V504" s="6">
        <f>IF(ISERROR(VLOOKUP($S$504,'TAR FIN'!$A$1:$O$95,15,0)),0,VLOOKUP($S$504,'TAR FIN'!$A$1:$O$95,15,0))</f>
        <v>52.99</v>
      </c>
      <c r="W504" s="6">
        <f>IF(ISERROR(VLOOKUP($T$504,'TAR FIN'!$A$1:$O$95,15,0)),0,VLOOKUP($T$504,'TAR FIN'!$A$1:$O$95,15,0))</f>
        <v>0</v>
      </c>
      <c r="X504" s="6">
        <f>IF(ISERROR(VLOOKUP($U$504,'TAR FIN'!$A$1:$O$95,15,0)),0,VLOOKUP($U$504,'TAR FIN'!$A$1:$O$95,15,0))</f>
        <v>0</v>
      </c>
      <c r="Y504" s="6">
        <f ca="1">('TUSD BE'!$AM$10+'TUSD BF'!$AM$10+'TUSD CVA'!$AM$10)*1</f>
        <v>59.276351675174958</v>
      </c>
      <c r="Z504" s="6">
        <f ca="1">('TUSD BE'!$AM$12+'TUSD BF'!$AM$12+'TUSD CVA'!$AM$12)*1</f>
        <v>168.51338132937991</v>
      </c>
      <c r="AA504" s="6"/>
      <c r="AB504" s="6">
        <f>$K$504*$V$504</f>
        <v>296744</v>
      </c>
      <c r="AC504" s="6">
        <f>$M$504*$W$504</f>
        <v>0</v>
      </c>
      <c r="AD504" s="6">
        <f>$O$504*$X$504</f>
        <v>0</v>
      </c>
      <c r="AE504" s="6">
        <f ca="1">$K$504*$Y$504</f>
        <v>331947.56938097975</v>
      </c>
      <c r="AF504" s="6">
        <f ca="1">$M$504*$Z$504</f>
        <v>0</v>
      </c>
      <c r="AG504" s="6">
        <f>$O$504*$AA$504</f>
        <v>0</v>
      </c>
    </row>
    <row r="505" spans="1:33" ht="11.25" customHeight="1" x14ac:dyDescent="0.25">
      <c r="A505" s="4" t="s">
        <v>21</v>
      </c>
      <c r="B505" s="4" t="s">
        <v>35</v>
      </c>
      <c r="C505" s="4" t="s">
        <v>44</v>
      </c>
      <c r="D505" s="4" t="s">
        <v>42</v>
      </c>
      <c r="E505" s="4" t="s">
        <v>25</v>
      </c>
      <c r="F505" s="4" t="s">
        <v>25</v>
      </c>
      <c r="G505" s="4" t="s">
        <v>25</v>
      </c>
      <c r="H505" s="4" t="s">
        <v>37</v>
      </c>
      <c r="I505" s="5">
        <v>44348</v>
      </c>
      <c r="J505" s="6">
        <v>16434</v>
      </c>
      <c r="K505" s="6">
        <v>16434</v>
      </c>
      <c r="L505" s="6">
        <v>493.84199999999998</v>
      </c>
      <c r="M505" s="6">
        <v>493.84199999999998</v>
      </c>
      <c r="N505" s="6">
        <v>493.84199999999998</v>
      </c>
      <c r="O505" s="6">
        <v>493.84199999999998</v>
      </c>
      <c r="P505" s="6">
        <v>0</v>
      </c>
      <c r="Q505" s="4" t="s">
        <v>26</v>
      </c>
      <c r="R505" s="4">
        <v>0</v>
      </c>
      <c r="S505" s="6">
        <v>28</v>
      </c>
      <c r="T505" s="6">
        <v>30</v>
      </c>
      <c r="U505" s="6">
        <v>66</v>
      </c>
      <c r="V505" s="6">
        <f>IF(ISERROR(VLOOKUP($S$505,'TAR FIN'!$A$1:$O$95,15,0)),0,VLOOKUP($S$505,'TAR FIN'!$A$1:$O$95,15,0))</f>
        <v>52.99</v>
      </c>
      <c r="W505" s="6">
        <f>IF(ISERROR(VLOOKUP($T$505,'TAR FIN'!$A$1:$O$95,15,0)),0,VLOOKUP($T$505,'TAR FIN'!$A$1:$O$95,15,0))</f>
        <v>149.63</v>
      </c>
      <c r="X505" s="6">
        <f>IF(ISERROR(VLOOKUP($U$505,'TAR FIN'!$A$1:$O$95,15,0)),0,VLOOKUP($U$505,'TAR FIN'!$A$1:$O$95,15,0))</f>
        <v>389.28</v>
      </c>
      <c r="Y505" s="6">
        <f ca="1">('TUSD BE'!$AM$10+'TUSD BF'!$AM$10+'TUSD CVA'!$AM$10)*1</f>
        <v>59.276351675174958</v>
      </c>
      <c r="Z505" s="6">
        <f ca="1">('TUSD BE'!$AM$12+'TUSD BF'!$AM$12+'TUSD CVA'!$AM$12)*1</f>
        <v>168.51338132937991</v>
      </c>
      <c r="AA505" s="6">
        <f>('TE BE'!$AA$7+'TE BF'!$AA$7+'TE CVA'!$AA$7)*1</f>
        <v>454.3285679284046</v>
      </c>
      <c r="AB505" s="6">
        <f>$K$505*$V$505</f>
        <v>870837.66</v>
      </c>
      <c r="AC505" s="6">
        <f>$M$505*$W$505</f>
        <v>73893.57845999999</v>
      </c>
      <c r="AD505" s="6">
        <f>$O$505*$X$505</f>
        <v>192242.81375999999</v>
      </c>
      <c r="AE505" s="6">
        <f ca="1">$K$505*$Y$505</f>
        <v>974147.56342982524</v>
      </c>
      <c r="AF505" s="6">
        <f ca="1">$M$505*$Z$505</f>
        <v>83218.985262463626</v>
      </c>
      <c r="AG505" s="6">
        <f>$O$505*$AA$505</f>
        <v>224366.52864289918</v>
      </c>
    </row>
    <row r="506" spans="1:33" ht="11.25" customHeight="1" x14ac:dyDescent="0.25">
      <c r="A506" s="4" t="s">
        <v>27</v>
      </c>
      <c r="B506" s="4" t="s">
        <v>35</v>
      </c>
      <c r="C506" s="4" t="s">
        <v>44</v>
      </c>
      <c r="D506" s="4" t="s">
        <v>42</v>
      </c>
      <c r="E506" s="4" t="s">
        <v>25</v>
      </c>
      <c r="F506" s="4" t="s">
        <v>25</v>
      </c>
      <c r="G506" s="4" t="s">
        <v>25</v>
      </c>
      <c r="H506" s="4" t="s">
        <v>37</v>
      </c>
      <c r="I506" s="5">
        <v>44348</v>
      </c>
      <c r="J506" s="6">
        <v>-302</v>
      </c>
      <c r="K506" s="6">
        <v>-302</v>
      </c>
      <c r="L506" s="6">
        <v>-5.3730000000000002</v>
      </c>
      <c r="M506" s="6">
        <v>-5.3730000000000002</v>
      </c>
      <c r="N506" s="6">
        <v>-5.3730000000000002</v>
      </c>
      <c r="O506" s="6">
        <v>-5.3730000000000002</v>
      </c>
      <c r="P506" s="6">
        <v>0</v>
      </c>
      <c r="Q506" s="4" t="s">
        <v>26</v>
      </c>
      <c r="R506" s="4">
        <v>0</v>
      </c>
      <c r="S506" s="6">
        <v>28</v>
      </c>
      <c r="T506" s="6">
        <v>30</v>
      </c>
      <c r="U506" s="6">
        <v>66</v>
      </c>
      <c r="V506" s="6">
        <f>IF(ISERROR(VLOOKUP($S$506,'TAR FIN'!$A$1:$O$95,15,0)),0,VLOOKUP($S$506,'TAR FIN'!$A$1:$O$95,15,0))</f>
        <v>52.99</v>
      </c>
      <c r="W506" s="6">
        <f>IF(ISERROR(VLOOKUP($T$506,'TAR FIN'!$A$1:$O$95,15,0)),0,VLOOKUP($T$506,'TAR FIN'!$A$1:$O$95,15,0))</f>
        <v>149.63</v>
      </c>
      <c r="X506" s="6">
        <f>IF(ISERROR(VLOOKUP($U$506,'TAR FIN'!$A$1:$O$95,15,0)),0,VLOOKUP($U$506,'TAR FIN'!$A$1:$O$95,15,0))</f>
        <v>389.28</v>
      </c>
      <c r="Y506" s="6">
        <f ca="1">('TUSD BE'!$AM$10+'TUSD BF'!$AM$10+'TUSD CVA'!$AM$10)*1</f>
        <v>59.276351675174958</v>
      </c>
      <c r="Z506" s="6">
        <f ca="1">('TUSD BE'!$AM$12+'TUSD BF'!$AM$12+'TUSD CVA'!$AM$12)*1</f>
        <v>168.51338132937991</v>
      </c>
      <c r="AA506" s="6">
        <f>('TE BE'!$AA$7+'TE BF'!$AA$7+'TE CVA'!$AA$7)*1</f>
        <v>454.3285679284046</v>
      </c>
      <c r="AB506" s="6">
        <f>$K$506*$V$506</f>
        <v>-16002.980000000001</v>
      </c>
      <c r="AC506" s="6">
        <f>$M$506*$W$506</f>
        <v>-803.96199000000001</v>
      </c>
      <c r="AD506" s="6">
        <f>$O$506*$X$506</f>
        <v>-2091.6014399999999</v>
      </c>
      <c r="AE506" s="6">
        <f ca="1">$K$506*$Y$506</f>
        <v>-17901.458205902836</v>
      </c>
      <c r="AF506" s="6">
        <f ca="1">$M$506*$Z$506</f>
        <v>-905.42239788275833</v>
      </c>
      <c r="AG506" s="6">
        <f>$O$506*$AA$506</f>
        <v>-2441.1073954793178</v>
      </c>
    </row>
    <row r="507" spans="1:33" ht="11.25" customHeight="1" x14ac:dyDescent="0.25">
      <c r="A507" s="4" t="s">
        <v>28</v>
      </c>
      <c r="B507" s="4" t="s">
        <v>35</v>
      </c>
      <c r="C507" s="4" t="s">
        <v>44</v>
      </c>
      <c r="D507" s="4" t="s">
        <v>42</v>
      </c>
      <c r="E507" s="4" t="s">
        <v>25</v>
      </c>
      <c r="F507" s="4" t="s">
        <v>25</v>
      </c>
      <c r="G507" s="4" t="s">
        <v>25</v>
      </c>
      <c r="H507" s="4" t="s">
        <v>37</v>
      </c>
      <c r="I507" s="5">
        <v>44348</v>
      </c>
      <c r="J507" s="6">
        <v>838</v>
      </c>
      <c r="K507" s="6">
        <v>838</v>
      </c>
      <c r="L507" s="6">
        <v>20.436</v>
      </c>
      <c r="M507" s="6">
        <v>20.436</v>
      </c>
      <c r="N507" s="6">
        <v>20.436</v>
      </c>
      <c r="O507" s="6">
        <v>20.436</v>
      </c>
      <c r="P507" s="6">
        <v>0</v>
      </c>
      <c r="Q507" s="4" t="s">
        <v>26</v>
      </c>
      <c r="R507" s="4">
        <v>0</v>
      </c>
      <c r="S507" s="6">
        <v>28</v>
      </c>
      <c r="T507" s="6">
        <v>30</v>
      </c>
      <c r="U507" s="6">
        <v>66</v>
      </c>
      <c r="V507" s="6">
        <f>IF(ISERROR(VLOOKUP($S$507,'TAR FIN'!$A$1:$O$95,15,0)),0,VLOOKUP($S$507,'TAR FIN'!$A$1:$O$95,15,0))</f>
        <v>52.99</v>
      </c>
      <c r="W507" s="6">
        <f>IF(ISERROR(VLOOKUP($T$507,'TAR FIN'!$A$1:$O$95,15,0)),0,VLOOKUP($T$507,'TAR FIN'!$A$1:$O$95,15,0))</f>
        <v>149.63</v>
      </c>
      <c r="X507" s="6">
        <f>IF(ISERROR(VLOOKUP($U$507,'TAR FIN'!$A$1:$O$95,15,0)),0,VLOOKUP($U$507,'TAR FIN'!$A$1:$O$95,15,0))</f>
        <v>389.28</v>
      </c>
      <c r="Y507" s="6">
        <f ca="1">('TUSD BE'!$AM$10+'TUSD BF'!$AM$10+'TUSD CVA'!$AM$10)*1</f>
        <v>59.276351675174958</v>
      </c>
      <c r="Z507" s="6">
        <f ca="1">('TUSD BE'!$AM$12+'TUSD BF'!$AM$12+'TUSD CVA'!$AM$12)*1</f>
        <v>168.51338132937991</v>
      </c>
      <c r="AA507" s="6">
        <f>('TE BE'!$AA$7+'TE BF'!$AA$7+'TE CVA'!$AA$7)*1</f>
        <v>454.3285679284046</v>
      </c>
      <c r="AB507" s="6">
        <f>$K$507*$V$507</f>
        <v>44405.62</v>
      </c>
      <c r="AC507" s="6">
        <f>$M$507*$W$507</f>
        <v>3057.8386799999998</v>
      </c>
      <c r="AD507" s="6">
        <f>$O$507*$X$507</f>
        <v>7955.3260799999998</v>
      </c>
      <c r="AE507" s="6">
        <f ca="1">$K$507*$Y$507</f>
        <v>49673.582703796616</v>
      </c>
      <c r="AF507" s="6">
        <f ca="1">$M$507*$Z$507</f>
        <v>3443.7394608472077</v>
      </c>
      <c r="AG507" s="6">
        <f>$O$507*$AA$507</f>
        <v>9284.6586141848766</v>
      </c>
    </row>
    <row r="508" spans="1:33" ht="11.25" customHeight="1" x14ac:dyDescent="0.25">
      <c r="A508" s="4" t="s">
        <v>29</v>
      </c>
      <c r="B508" s="4" t="s">
        <v>35</v>
      </c>
      <c r="C508" s="4" t="s">
        <v>44</v>
      </c>
      <c r="D508" s="4" t="s">
        <v>42</v>
      </c>
      <c r="E508" s="4" t="s">
        <v>25</v>
      </c>
      <c r="F508" s="4" t="s">
        <v>25</v>
      </c>
      <c r="G508" s="4" t="s">
        <v>25</v>
      </c>
      <c r="H508" s="4" t="s">
        <v>37</v>
      </c>
      <c r="I508" s="5">
        <v>44348</v>
      </c>
      <c r="J508" s="6">
        <v>-50</v>
      </c>
      <c r="K508" s="6">
        <v>-50</v>
      </c>
      <c r="L508" s="6">
        <v>-1.369</v>
      </c>
      <c r="M508" s="6">
        <v>-1.369</v>
      </c>
      <c r="N508" s="6">
        <v>-1.369</v>
      </c>
      <c r="O508" s="6">
        <v>-1.369</v>
      </c>
      <c r="P508" s="6">
        <v>0</v>
      </c>
      <c r="Q508" s="4" t="s">
        <v>26</v>
      </c>
      <c r="R508" s="4">
        <v>0</v>
      </c>
      <c r="S508" s="6">
        <v>28</v>
      </c>
      <c r="T508" s="6">
        <v>30</v>
      </c>
      <c r="U508" s="6">
        <v>66</v>
      </c>
      <c r="V508" s="6">
        <f>IF(ISERROR(VLOOKUP($S$508,'TAR FIN'!$A$1:$O$95,15,0)),0,VLOOKUP($S$508,'TAR FIN'!$A$1:$O$95,15,0))</f>
        <v>52.99</v>
      </c>
      <c r="W508" s="6">
        <f>IF(ISERROR(VLOOKUP($T$508,'TAR FIN'!$A$1:$O$95,15,0)),0,VLOOKUP($T$508,'TAR FIN'!$A$1:$O$95,15,0))</f>
        <v>149.63</v>
      </c>
      <c r="X508" s="6">
        <f>IF(ISERROR(VLOOKUP($U$508,'TAR FIN'!$A$1:$O$95,15,0)),0,VLOOKUP($U$508,'TAR FIN'!$A$1:$O$95,15,0))</f>
        <v>389.28</v>
      </c>
      <c r="Y508" s="6">
        <f ca="1">('TUSD BE'!$AM$10+'TUSD BF'!$AM$10+'TUSD CVA'!$AM$10)*1</f>
        <v>59.276351675174958</v>
      </c>
      <c r="Z508" s="6">
        <f ca="1">('TUSD BE'!$AM$12+'TUSD BF'!$AM$12+'TUSD CVA'!$AM$12)*1</f>
        <v>168.51338132937991</v>
      </c>
      <c r="AA508" s="6">
        <f>('TE BE'!$AA$7+'TE BF'!$AA$7+'TE CVA'!$AA$7)*1</f>
        <v>454.3285679284046</v>
      </c>
      <c r="AB508" s="6">
        <f>$K$508*$V$508</f>
        <v>-2649.5</v>
      </c>
      <c r="AC508" s="6">
        <f>$M$508*$W$508</f>
        <v>-204.84347</v>
      </c>
      <c r="AD508" s="6">
        <f>$O$508*$X$508</f>
        <v>-532.92431999999997</v>
      </c>
      <c r="AE508" s="6">
        <f ca="1">$K$508*$Y$508</f>
        <v>-2963.8175837587478</v>
      </c>
      <c r="AF508" s="6">
        <f ca="1">$M$508*$Z$508</f>
        <v>-230.6948190399211</v>
      </c>
      <c r="AG508" s="6">
        <f>$O$508*$AA$508</f>
        <v>-621.97580949398593</v>
      </c>
    </row>
    <row r="509" spans="1:33" ht="11.25" customHeight="1" x14ac:dyDescent="0.25">
      <c r="A509" s="4" t="s">
        <v>30</v>
      </c>
      <c r="B509" s="4" t="s">
        <v>35</v>
      </c>
      <c r="C509" s="4" t="s">
        <v>44</v>
      </c>
      <c r="D509" s="4" t="s">
        <v>42</v>
      </c>
      <c r="E509" s="4" t="s">
        <v>25</v>
      </c>
      <c r="F509" s="4" t="s">
        <v>25</v>
      </c>
      <c r="G509" s="4" t="s">
        <v>25</v>
      </c>
      <c r="H509" s="4" t="s">
        <v>37</v>
      </c>
      <c r="I509" s="5">
        <v>44348</v>
      </c>
      <c r="J509" s="6">
        <v>2060</v>
      </c>
      <c r="K509" s="6">
        <v>2060</v>
      </c>
      <c r="L509" s="6">
        <v>89.927999999999997</v>
      </c>
      <c r="M509" s="6">
        <v>89.927999999999997</v>
      </c>
      <c r="N509" s="6">
        <v>89.927999999999997</v>
      </c>
      <c r="O509" s="6">
        <v>89.927999999999997</v>
      </c>
      <c r="P509" s="6">
        <v>0</v>
      </c>
      <c r="Q509" s="4" t="s">
        <v>26</v>
      </c>
      <c r="R509" s="4">
        <v>0</v>
      </c>
      <c r="S509" s="6">
        <v>28</v>
      </c>
      <c r="T509" s="6">
        <v>30</v>
      </c>
      <c r="U509" s="6">
        <v>66</v>
      </c>
      <c r="V509" s="6">
        <f>IF(ISERROR(VLOOKUP($S$509,'TAR FIN'!$A$1:$O$95,15,0)),0,VLOOKUP($S$509,'TAR FIN'!$A$1:$O$95,15,0))</f>
        <v>52.99</v>
      </c>
      <c r="W509" s="6">
        <f>IF(ISERROR(VLOOKUP($T$509,'TAR FIN'!$A$1:$O$95,15,0)),0,VLOOKUP($T$509,'TAR FIN'!$A$1:$O$95,15,0))</f>
        <v>149.63</v>
      </c>
      <c r="X509" s="6">
        <f>IF(ISERROR(VLOOKUP($U$509,'TAR FIN'!$A$1:$O$95,15,0)),0,VLOOKUP($U$509,'TAR FIN'!$A$1:$O$95,15,0))</f>
        <v>389.28</v>
      </c>
      <c r="Y509" s="6">
        <f ca="1">('TUSD BE'!$AM$10+'TUSD BF'!$AM$10+'TUSD CVA'!$AM$10)*1</f>
        <v>59.276351675174958</v>
      </c>
      <c r="Z509" s="6">
        <f ca="1">('TUSD BE'!$AM$12+'TUSD BF'!$AM$12+'TUSD CVA'!$AM$12)*1</f>
        <v>168.51338132937991</v>
      </c>
      <c r="AA509" s="6">
        <f>('TE BE'!$AA$7+'TE BF'!$AA$7+'TE CVA'!$AA$7)*1</f>
        <v>454.3285679284046</v>
      </c>
      <c r="AB509" s="6">
        <f>$K$509*$V$509</f>
        <v>109159.40000000001</v>
      </c>
      <c r="AC509" s="6">
        <f>$M$509*$W$509</f>
        <v>13455.92664</v>
      </c>
      <c r="AD509" s="6">
        <f>$O$509*$X$509</f>
        <v>35007.171839999995</v>
      </c>
      <c r="AE509" s="6">
        <f ca="1">$K$509*$Y$509</f>
        <v>122109.28445086042</v>
      </c>
      <c r="AF509" s="6">
        <f ca="1">$M$509*$Z$509</f>
        <v>15154.071356188477</v>
      </c>
      <c r="AG509" s="6">
        <f>$O$509*$AA$509</f>
        <v>40856.859456665567</v>
      </c>
    </row>
    <row r="510" spans="1:33" ht="11.25" customHeight="1" x14ac:dyDescent="0.25">
      <c r="A510" s="4" t="s">
        <v>21</v>
      </c>
      <c r="B510" s="4" t="s">
        <v>35</v>
      </c>
      <c r="C510" s="4" t="s">
        <v>44</v>
      </c>
      <c r="D510" s="4" t="s">
        <v>42</v>
      </c>
      <c r="E510" s="4" t="s">
        <v>25</v>
      </c>
      <c r="F510" s="4" t="s">
        <v>25</v>
      </c>
      <c r="G510" s="4" t="s">
        <v>25</v>
      </c>
      <c r="H510" s="4" t="s">
        <v>37</v>
      </c>
      <c r="I510" s="5">
        <v>44348</v>
      </c>
      <c r="J510" s="6">
        <v>5932</v>
      </c>
      <c r="K510" s="6">
        <v>5932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4" t="s">
        <v>60</v>
      </c>
      <c r="R510" s="4">
        <v>0</v>
      </c>
      <c r="S510" s="6">
        <v>28</v>
      </c>
      <c r="T510" s="6">
        <v>0</v>
      </c>
      <c r="U510" s="6">
        <v>0</v>
      </c>
      <c r="V510" s="6">
        <f>IF(ISERROR(VLOOKUP($S$510,'TAR FIN'!$A$1:$O$95,15,0)),0,VLOOKUP($S$510,'TAR FIN'!$A$1:$O$95,15,0))</f>
        <v>52.99</v>
      </c>
      <c r="W510" s="6">
        <f>IF(ISERROR(VLOOKUP($T$510,'TAR FIN'!$A$1:$O$95,15,0)),0,VLOOKUP($T$510,'TAR FIN'!$A$1:$O$95,15,0))</f>
        <v>0</v>
      </c>
      <c r="X510" s="6">
        <f>IF(ISERROR(VLOOKUP($U$510,'TAR FIN'!$A$1:$O$95,15,0)),0,VLOOKUP($U$510,'TAR FIN'!$A$1:$O$95,15,0))</f>
        <v>0</v>
      </c>
      <c r="Y510" s="6">
        <f ca="1">('TUSD BE'!$AM$10+'TUSD BF'!$AM$10+'TUSD CVA'!$AM$10)*1</f>
        <v>59.276351675174958</v>
      </c>
      <c r="Z510" s="6">
        <f ca="1">('TUSD BE'!$AM$12+'TUSD BF'!$AM$12+'TUSD CVA'!$AM$12)*1</f>
        <v>168.51338132937991</v>
      </c>
      <c r="AA510" s="6"/>
      <c r="AB510" s="6">
        <f>$K$510*$V$510</f>
        <v>314336.68</v>
      </c>
      <c r="AC510" s="6">
        <f>$M$510*$W$510</f>
        <v>0</v>
      </c>
      <c r="AD510" s="6">
        <f>$O$510*$X$510</f>
        <v>0</v>
      </c>
      <c r="AE510" s="6">
        <f ca="1">$K$510*$Y$510</f>
        <v>351627.31813713786</v>
      </c>
      <c r="AF510" s="6">
        <f ca="1">$M$510*$Z$510</f>
        <v>0</v>
      </c>
      <c r="AG510" s="6">
        <f>$O$510*$AA$510</f>
        <v>0</v>
      </c>
    </row>
    <row r="511" spans="1:33" ht="11.25" customHeight="1" x14ac:dyDescent="0.25">
      <c r="A511" s="4" t="s">
        <v>21</v>
      </c>
      <c r="B511" s="4" t="s">
        <v>35</v>
      </c>
      <c r="C511" s="4" t="s">
        <v>44</v>
      </c>
      <c r="D511" s="4" t="s">
        <v>42</v>
      </c>
      <c r="E511" s="4" t="s">
        <v>25</v>
      </c>
      <c r="F511" s="4" t="s">
        <v>25</v>
      </c>
      <c r="G511" s="4" t="s">
        <v>25</v>
      </c>
      <c r="H511" s="4" t="s">
        <v>37</v>
      </c>
      <c r="I511" s="5">
        <v>44378</v>
      </c>
      <c r="J511" s="6">
        <v>15321</v>
      </c>
      <c r="K511" s="6">
        <v>15321</v>
      </c>
      <c r="L511" s="6">
        <v>518.35500000000002</v>
      </c>
      <c r="M511" s="6">
        <v>518.35500000000002</v>
      </c>
      <c r="N511" s="6">
        <v>518.35500000000002</v>
      </c>
      <c r="O511" s="6">
        <v>518.35500000000002</v>
      </c>
      <c r="P511" s="6">
        <v>0</v>
      </c>
      <c r="Q511" s="4" t="s">
        <v>26</v>
      </c>
      <c r="R511" s="4">
        <v>0</v>
      </c>
      <c r="S511" s="6">
        <v>28</v>
      </c>
      <c r="T511" s="6">
        <v>30</v>
      </c>
      <c r="U511" s="6">
        <v>66</v>
      </c>
      <c r="V511" s="6">
        <f>IF(ISERROR(VLOOKUP($S$511,'TAR FIN'!$A$1:$O$95,15,0)),0,VLOOKUP($S$511,'TAR FIN'!$A$1:$O$95,15,0))</f>
        <v>52.99</v>
      </c>
      <c r="W511" s="6">
        <f>IF(ISERROR(VLOOKUP($T$511,'TAR FIN'!$A$1:$O$95,15,0)),0,VLOOKUP($T$511,'TAR FIN'!$A$1:$O$95,15,0))</f>
        <v>149.63</v>
      </c>
      <c r="X511" s="6">
        <f>IF(ISERROR(VLOOKUP($U$511,'TAR FIN'!$A$1:$O$95,15,0)),0,VLOOKUP($U$511,'TAR FIN'!$A$1:$O$95,15,0))</f>
        <v>389.28</v>
      </c>
      <c r="Y511" s="6">
        <f ca="1">('TUSD BE'!$AM$10+'TUSD BF'!$AM$10+'TUSD CVA'!$AM$10)*1</f>
        <v>59.276351675174958</v>
      </c>
      <c r="Z511" s="6">
        <f ca="1">('TUSD BE'!$AM$12+'TUSD BF'!$AM$12+'TUSD CVA'!$AM$12)*1</f>
        <v>168.51338132937991</v>
      </c>
      <c r="AA511" s="6">
        <f>('TE BE'!$AA$7+'TE BF'!$AA$7+'TE CVA'!$AA$7)*1</f>
        <v>454.3285679284046</v>
      </c>
      <c r="AB511" s="6">
        <f>$K$511*$V$511</f>
        <v>811859.79</v>
      </c>
      <c r="AC511" s="6">
        <f>$M$511*$W$511</f>
        <v>77561.45865</v>
      </c>
      <c r="AD511" s="6">
        <f>$O$511*$X$511</f>
        <v>201785.23439999999</v>
      </c>
      <c r="AE511" s="6">
        <f ca="1">$K$511*$Y$511</f>
        <v>908172.98401535559</v>
      </c>
      <c r="AF511" s="6">
        <f ca="1">$M$511*$Z$511</f>
        <v>87349.753778990722</v>
      </c>
      <c r="AG511" s="6">
        <f>$O$511*$AA$511</f>
        <v>235503.48482852816</v>
      </c>
    </row>
    <row r="512" spans="1:33" ht="11.25" customHeight="1" x14ac:dyDescent="0.25">
      <c r="A512" s="4" t="s">
        <v>27</v>
      </c>
      <c r="B512" s="4" t="s">
        <v>35</v>
      </c>
      <c r="C512" s="4" t="s">
        <v>44</v>
      </c>
      <c r="D512" s="4" t="s">
        <v>42</v>
      </c>
      <c r="E512" s="4" t="s">
        <v>25</v>
      </c>
      <c r="F512" s="4" t="s">
        <v>25</v>
      </c>
      <c r="G512" s="4" t="s">
        <v>25</v>
      </c>
      <c r="H512" s="4" t="s">
        <v>37</v>
      </c>
      <c r="I512" s="5">
        <v>44378</v>
      </c>
      <c r="J512" s="6">
        <v>-1200</v>
      </c>
      <c r="K512" s="6">
        <v>-1200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4" t="s">
        <v>26</v>
      </c>
      <c r="R512" s="4">
        <v>0</v>
      </c>
      <c r="S512" s="6">
        <v>28</v>
      </c>
      <c r="T512" s="6">
        <v>0</v>
      </c>
      <c r="U512" s="6">
        <v>0</v>
      </c>
      <c r="V512" s="6">
        <f>IF(ISERROR(VLOOKUP($S$512,'TAR FIN'!$A$1:$O$95,15,0)),0,VLOOKUP($S$512,'TAR FIN'!$A$1:$O$95,15,0))</f>
        <v>52.99</v>
      </c>
      <c r="W512" s="6">
        <f>IF(ISERROR(VLOOKUP($T$512,'TAR FIN'!$A$1:$O$95,15,0)),0,VLOOKUP($T$512,'TAR FIN'!$A$1:$O$95,15,0))</f>
        <v>0</v>
      </c>
      <c r="X512" s="6">
        <f>IF(ISERROR(VLOOKUP($U$512,'TAR FIN'!$A$1:$O$95,15,0)),0,VLOOKUP($U$512,'TAR FIN'!$A$1:$O$95,15,0))</f>
        <v>0</v>
      </c>
      <c r="Y512" s="6">
        <f ca="1">('TUSD BE'!$AM$10+'TUSD BF'!$AM$10+'TUSD CVA'!$AM$10)*1</f>
        <v>59.276351675174958</v>
      </c>
      <c r="Z512" s="6">
        <f ca="1">('TUSD BE'!$AM$12+'TUSD BF'!$AM$12+'TUSD CVA'!$AM$12)*1</f>
        <v>168.51338132937991</v>
      </c>
      <c r="AA512" s="6">
        <f>('TE BE'!$AA$7+'TE BF'!$AA$7+'TE CVA'!$AA$7)*1</f>
        <v>454.3285679284046</v>
      </c>
      <c r="AB512" s="6">
        <f>$K$512*$V$512</f>
        <v>-63588</v>
      </c>
      <c r="AC512" s="6">
        <f>$M$512*$W$512</f>
        <v>0</v>
      </c>
      <c r="AD512" s="6">
        <f>$O$512*$X$512</f>
        <v>0</v>
      </c>
      <c r="AE512" s="6">
        <f ca="1">$K$512*$Y$512</f>
        <v>-71131.622010209947</v>
      </c>
      <c r="AF512" s="6">
        <f ca="1">$M$512*$Z$512</f>
        <v>0</v>
      </c>
      <c r="AG512" s="6">
        <f>$O$512*$AA$512</f>
        <v>0</v>
      </c>
    </row>
    <row r="513" spans="1:33" ht="11.25" customHeight="1" x14ac:dyDescent="0.25">
      <c r="A513" s="4" t="s">
        <v>28</v>
      </c>
      <c r="B513" s="4" t="s">
        <v>35</v>
      </c>
      <c r="C513" s="4" t="s">
        <v>44</v>
      </c>
      <c r="D513" s="4" t="s">
        <v>42</v>
      </c>
      <c r="E513" s="4" t="s">
        <v>25</v>
      </c>
      <c r="F513" s="4" t="s">
        <v>25</v>
      </c>
      <c r="G513" s="4" t="s">
        <v>25</v>
      </c>
      <c r="H513" s="4" t="s">
        <v>37</v>
      </c>
      <c r="I513" s="5">
        <v>44378</v>
      </c>
      <c r="J513" s="6">
        <v>853</v>
      </c>
      <c r="K513" s="6">
        <v>853</v>
      </c>
      <c r="L513" s="6">
        <v>20.863</v>
      </c>
      <c r="M513" s="6">
        <v>20.863</v>
      </c>
      <c r="N513" s="6">
        <v>20.863</v>
      </c>
      <c r="O513" s="6">
        <v>20.863</v>
      </c>
      <c r="P513" s="6">
        <v>0</v>
      </c>
      <c r="Q513" s="4" t="s">
        <v>26</v>
      </c>
      <c r="R513" s="4">
        <v>0</v>
      </c>
      <c r="S513" s="6">
        <v>28</v>
      </c>
      <c r="T513" s="6">
        <v>30</v>
      </c>
      <c r="U513" s="6">
        <v>66</v>
      </c>
      <c r="V513" s="6">
        <f>IF(ISERROR(VLOOKUP($S$513,'TAR FIN'!$A$1:$O$95,15,0)),0,VLOOKUP($S$513,'TAR FIN'!$A$1:$O$95,15,0))</f>
        <v>52.99</v>
      </c>
      <c r="W513" s="6">
        <f>IF(ISERROR(VLOOKUP($T$513,'TAR FIN'!$A$1:$O$95,15,0)),0,VLOOKUP($T$513,'TAR FIN'!$A$1:$O$95,15,0))</f>
        <v>149.63</v>
      </c>
      <c r="X513" s="6">
        <f>IF(ISERROR(VLOOKUP($U$513,'TAR FIN'!$A$1:$O$95,15,0)),0,VLOOKUP($U$513,'TAR FIN'!$A$1:$O$95,15,0))</f>
        <v>389.28</v>
      </c>
      <c r="Y513" s="6">
        <f ca="1">('TUSD BE'!$AM$10+'TUSD BF'!$AM$10+'TUSD CVA'!$AM$10)*1</f>
        <v>59.276351675174958</v>
      </c>
      <c r="Z513" s="6">
        <f ca="1">('TUSD BE'!$AM$12+'TUSD BF'!$AM$12+'TUSD CVA'!$AM$12)*1</f>
        <v>168.51338132937991</v>
      </c>
      <c r="AA513" s="6">
        <f>('TE BE'!$AA$7+'TE BF'!$AA$7+'TE CVA'!$AA$7)*1</f>
        <v>454.3285679284046</v>
      </c>
      <c r="AB513" s="6">
        <f>$K$513*$V$513</f>
        <v>45200.47</v>
      </c>
      <c r="AC513" s="6">
        <f>$M$513*$W$513</f>
        <v>3121.7306899999999</v>
      </c>
      <c r="AD513" s="6">
        <f>$O$513*$X$513</f>
        <v>8121.5486399999991</v>
      </c>
      <c r="AE513" s="6">
        <f ca="1">$K$513*$Y$513</f>
        <v>50562.727978924238</v>
      </c>
      <c r="AF513" s="6">
        <f ca="1">$M$513*$Z$513</f>
        <v>3515.6946746748531</v>
      </c>
      <c r="AG513" s="6">
        <f>$O$513*$AA$513</f>
        <v>9478.656912690305</v>
      </c>
    </row>
    <row r="514" spans="1:33" ht="11.25" customHeight="1" x14ac:dyDescent="0.25">
      <c r="A514" s="4" t="s">
        <v>30</v>
      </c>
      <c r="B514" s="4" t="s">
        <v>35</v>
      </c>
      <c r="C514" s="4" t="s">
        <v>44</v>
      </c>
      <c r="D514" s="4" t="s">
        <v>42</v>
      </c>
      <c r="E514" s="4" t="s">
        <v>25</v>
      </c>
      <c r="F514" s="4" t="s">
        <v>25</v>
      </c>
      <c r="G514" s="4" t="s">
        <v>25</v>
      </c>
      <c r="H514" s="4" t="s">
        <v>37</v>
      </c>
      <c r="I514" s="5">
        <v>44378</v>
      </c>
      <c r="J514" s="6">
        <v>2430</v>
      </c>
      <c r="K514" s="6">
        <v>2430</v>
      </c>
      <c r="L514" s="6">
        <v>99.884</v>
      </c>
      <c r="M514" s="6">
        <v>99.884</v>
      </c>
      <c r="N514" s="6">
        <v>99.884</v>
      </c>
      <c r="O514" s="6">
        <v>99.884</v>
      </c>
      <c r="P514" s="6">
        <v>0</v>
      </c>
      <c r="Q514" s="4" t="s">
        <v>26</v>
      </c>
      <c r="R514" s="4">
        <v>0</v>
      </c>
      <c r="S514" s="6">
        <v>28</v>
      </c>
      <c r="T514" s="6">
        <v>30</v>
      </c>
      <c r="U514" s="6">
        <v>66</v>
      </c>
      <c r="V514" s="6">
        <f>IF(ISERROR(VLOOKUP($S$514,'TAR FIN'!$A$1:$O$95,15,0)),0,VLOOKUP($S$514,'TAR FIN'!$A$1:$O$95,15,0))</f>
        <v>52.99</v>
      </c>
      <c r="W514" s="6">
        <f>IF(ISERROR(VLOOKUP($T$514,'TAR FIN'!$A$1:$O$95,15,0)),0,VLOOKUP($T$514,'TAR FIN'!$A$1:$O$95,15,0))</f>
        <v>149.63</v>
      </c>
      <c r="X514" s="6">
        <f>IF(ISERROR(VLOOKUP($U$514,'TAR FIN'!$A$1:$O$95,15,0)),0,VLOOKUP($U$514,'TAR FIN'!$A$1:$O$95,15,0))</f>
        <v>389.28</v>
      </c>
      <c r="Y514" s="6">
        <f ca="1">('TUSD BE'!$AM$10+'TUSD BF'!$AM$10+'TUSD CVA'!$AM$10)*1</f>
        <v>59.276351675174958</v>
      </c>
      <c r="Z514" s="6">
        <f ca="1">('TUSD BE'!$AM$12+'TUSD BF'!$AM$12+'TUSD CVA'!$AM$12)*1</f>
        <v>168.51338132937991</v>
      </c>
      <c r="AA514" s="6">
        <f>('TE BE'!$AA$7+'TE BF'!$AA$7+'TE CVA'!$AA$7)*1</f>
        <v>454.3285679284046</v>
      </c>
      <c r="AB514" s="6">
        <f>$K$514*$V$514</f>
        <v>128765.70000000001</v>
      </c>
      <c r="AC514" s="6">
        <f>$M$514*$W$514</f>
        <v>14945.64292</v>
      </c>
      <c r="AD514" s="6">
        <f>$O$514*$X$514</f>
        <v>38882.843519999995</v>
      </c>
      <c r="AE514" s="6">
        <f ca="1">$K$514*$Y$514</f>
        <v>144041.53457067514</v>
      </c>
      <c r="AF514" s="6">
        <f ca="1">$M$514*$Z$514</f>
        <v>16831.790580703782</v>
      </c>
      <c r="AG514" s="6">
        <f>$O$514*$AA$514</f>
        <v>45380.154678960767</v>
      </c>
    </row>
    <row r="515" spans="1:33" ht="11.25" customHeight="1" x14ac:dyDescent="0.25">
      <c r="A515" s="4" t="s">
        <v>21</v>
      </c>
      <c r="B515" s="4" t="s">
        <v>35</v>
      </c>
      <c r="C515" s="4" t="s">
        <v>44</v>
      </c>
      <c r="D515" s="4" t="s">
        <v>42</v>
      </c>
      <c r="E515" s="4" t="s">
        <v>25</v>
      </c>
      <c r="F515" s="4" t="s">
        <v>25</v>
      </c>
      <c r="G515" s="4" t="s">
        <v>25</v>
      </c>
      <c r="H515" s="4" t="s">
        <v>37</v>
      </c>
      <c r="I515" s="5">
        <v>44378</v>
      </c>
      <c r="J515" s="6">
        <v>5901</v>
      </c>
      <c r="K515" s="6">
        <v>5901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4" t="s">
        <v>60</v>
      </c>
      <c r="R515" s="4">
        <v>0</v>
      </c>
      <c r="S515" s="6">
        <v>28</v>
      </c>
      <c r="T515" s="6">
        <v>0</v>
      </c>
      <c r="U515" s="6">
        <v>0</v>
      </c>
      <c r="V515" s="6">
        <f>IF(ISERROR(VLOOKUP($S$515,'TAR FIN'!$A$1:$O$95,15,0)),0,VLOOKUP($S$515,'TAR FIN'!$A$1:$O$95,15,0))</f>
        <v>52.99</v>
      </c>
      <c r="W515" s="6">
        <f>IF(ISERROR(VLOOKUP($T$515,'TAR FIN'!$A$1:$O$95,15,0)),0,VLOOKUP($T$515,'TAR FIN'!$A$1:$O$95,15,0))</f>
        <v>0</v>
      </c>
      <c r="X515" s="6">
        <f>IF(ISERROR(VLOOKUP($U$515,'TAR FIN'!$A$1:$O$95,15,0)),0,VLOOKUP($U$515,'TAR FIN'!$A$1:$O$95,15,0))</f>
        <v>0</v>
      </c>
      <c r="Y515" s="6">
        <f ca="1">('TUSD BE'!$AM$10+'TUSD BF'!$AM$10+'TUSD CVA'!$AM$10)*1</f>
        <v>59.276351675174958</v>
      </c>
      <c r="Z515" s="6">
        <f ca="1">('TUSD BE'!$AM$12+'TUSD BF'!$AM$12+'TUSD CVA'!$AM$12)*1</f>
        <v>168.51338132937991</v>
      </c>
      <c r="AA515" s="6"/>
      <c r="AB515" s="6">
        <f>$K$515*$V$515</f>
        <v>312693.99</v>
      </c>
      <c r="AC515" s="6">
        <f>$M$515*$W$515</f>
        <v>0</v>
      </c>
      <c r="AD515" s="6">
        <f>$O$515*$X$515</f>
        <v>0</v>
      </c>
      <c r="AE515" s="6">
        <f ca="1">$K$515*$Y$515</f>
        <v>349789.75123520743</v>
      </c>
      <c r="AF515" s="6">
        <f ca="1">$M$515*$Z$515</f>
        <v>0</v>
      </c>
      <c r="AG515" s="6">
        <f>$O$515*$AA$515</f>
        <v>0</v>
      </c>
    </row>
    <row r="516" spans="1:33" ht="11.25" customHeight="1" x14ac:dyDescent="0.25">
      <c r="A516" s="4" t="s">
        <v>21</v>
      </c>
      <c r="B516" s="4" t="s">
        <v>35</v>
      </c>
      <c r="C516" s="4" t="s">
        <v>44</v>
      </c>
      <c r="D516" s="4" t="s">
        <v>42</v>
      </c>
      <c r="E516" s="4" t="s">
        <v>25</v>
      </c>
      <c r="F516" s="4" t="s">
        <v>25</v>
      </c>
      <c r="G516" s="4" t="s">
        <v>25</v>
      </c>
      <c r="H516" s="4" t="s">
        <v>37</v>
      </c>
      <c r="I516" s="5">
        <v>44409</v>
      </c>
      <c r="J516" s="6">
        <v>16061</v>
      </c>
      <c r="K516" s="6">
        <v>16061</v>
      </c>
      <c r="L516" s="6">
        <v>537.82000000000005</v>
      </c>
      <c r="M516" s="6">
        <v>537.82000000000005</v>
      </c>
      <c r="N516" s="6">
        <v>537.82000000000005</v>
      </c>
      <c r="O516" s="6">
        <v>537.82000000000005</v>
      </c>
      <c r="P516" s="6">
        <v>0</v>
      </c>
      <c r="Q516" s="4" t="s">
        <v>26</v>
      </c>
      <c r="R516" s="4">
        <v>0</v>
      </c>
      <c r="S516" s="6">
        <v>28</v>
      </c>
      <c r="T516" s="6">
        <v>30</v>
      </c>
      <c r="U516" s="6">
        <v>66</v>
      </c>
      <c r="V516" s="6">
        <f>IF(ISERROR(VLOOKUP($S$516,'TAR FIN'!$A$1:$O$95,15,0)),0,VLOOKUP($S$516,'TAR FIN'!$A$1:$O$95,15,0))</f>
        <v>52.99</v>
      </c>
      <c r="W516" s="6">
        <f>IF(ISERROR(VLOOKUP($T$516,'TAR FIN'!$A$1:$O$95,15,0)),0,VLOOKUP($T$516,'TAR FIN'!$A$1:$O$95,15,0))</f>
        <v>149.63</v>
      </c>
      <c r="X516" s="6">
        <f>IF(ISERROR(VLOOKUP($U$516,'TAR FIN'!$A$1:$O$95,15,0)),0,VLOOKUP($U$516,'TAR FIN'!$A$1:$O$95,15,0))</f>
        <v>389.28</v>
      </c>
      <c r="Y516" s="6">
        <f ca="1">('TUSD BE'!$AM$10+'TUSD BF'!$AM$10+'TUSD CVA'!$AM$10)*1</f>
        <v>59.276351675174958</v>
      </c>
      <c r="Z516" s="6">
        <f ca="1">('TUSD BE'!$AM$12+'TUSD BF'!$AM$12+'TUSD CVA'!$AM$12)*1</f>
        <v>168.51338132937991</v>
      </c>
      <c r="AA516" s="6">
        <f>('TE BE'!$AA$7+'TE BF'!$AA$7+'TE CVA'!$AA$7)*1</f>
        <v>454.3285679284046</v>
      </c>
      <c r="AB516" s="6">
        <f>$K$516*$V$516</f>
        <v>851072.39</v>
      </c>
      <c r="AC516" s="6">
        <f>$M$516*$W$516</f>
        <v>80474.006600000008</v>
      </c>
      <c r="AD516" s="6">
        <f>$O$516*$X$516</f>
        <v>209362.56960000002</v>
      </c>
      <c r="AE516" s="6">
        <f ca="1">$K$516*$Y$516</f>
        <v>952037.484254985</v>
      </c>
      <c r="AF516" s="6">
        <f ca="1">$M$516*$Z$516</f>
        <v>90629.866746567117</v>
      </c>
      <c r="AG516" s="6">
        <f>$O$516*$AA$516</f>
        <v>244346.99040325457</v>
      </c>
    </row>
    <row r="517" spans="1:33" ht="11.25" customHeight="1" x14ac:dyDescent="0.25">
      <c r="A517" s="4" t="s">
        <v>27</v>
      </c>
      <c r="B517" s="4" t="s">
        <v>35</v>
      </c>
      <c r="C517" s="4" t="s">
        <v>44</v>
      </c>
      <c r="D517" s="4" t="s">
        <v>42</v>
      </c>
      <c r="E517" s="4" t="s">
        <v>25</v>
      </c>
      <c r="F517" s="4" t="s">
        <v>25</v>
      </c>
      <c r="G517" s="4" t="s">
        <v>25</v>
      </c>
      <c r="H517" s="4" t="s">
        <v>37</v>
      </c>
      <c r="I517" s="5">
        <v>44409</v>
      </c>
      <c r="J517" s="6">
        <v>-500</v>
      </c>
      <c r="K517" s="6">
        <v>-500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4" t="s">
        <v>26</v>
      </c>
      <c r="R517" s="4">
        <v>0</v>
      </c>
      <c r="S517" s="6">
        <v>28</v>
      </c>
      <c r="T517" s="6">
        <v>0</v>
      </c>
      <c r="U517" s="6">
        <v>0</v>
      </c>
      <c r="V517" s="6">
        <f>IF(ISERROR(VLOOKUP($S$517,'TAR FIN'!$A$1:$O$95,15,0)),0,VLOOKUP($S$517,'TAR FIN'!$A$1:$O$95,15,0))</f>
        <v>52.99</v>
      </c>
      <c r="W517" s="6">
        <f>IF(ISERROR(VLOOKUP($T$517,'TAR FIN'!$A$1:$O$95,15,0)),0,VLOOKUP($T$517,'TAR FIN'!$A$1:$O$95,15,0))</f>
        <v>0</v>
      </c>
      <c r="X517" s="6">
        <f>IF(ISERROR(VLOOKUP($U$517,'TAR FIN'!$A$1:$O$95,15,0)),0,VLOOKUP($U$517,'TAR FIN'!$A$1:$O$95,15,0))</f>
        <v>0</v>
      </c>
      <c r="Y517" s="6">
        <f ca="1">('TUSD BE'!$AM$10+'TUSD BF'!$AM$10+'TUSD CVA'!$AM$10)*1</f>
        <v>59.276351675174958</v>
      </c>
      <c r="Z517" s="6">
        <f ca="1">('TUSD BE'!$AM$12+'TUSD BF'!$AM$12+'TUSD CVA'!$AM$12)*1</f>
        <v>168.51338132937991</v>
      </c>
      <c r="AA517" s="6">
        <f>('TE BE'!$AA$7+'TE BF'!$AA$7+'TE CVA'!$AA$7)*1</f>
        <v>454.3285679284046</v>
      </c>
      <c r="AB517" s="6">
        <f>$K$517*$V$517</f>
        <v>-26495</v>
      </c>
      <c r="AC517" s="6">
        <f>$M$517*$W$517</f>
        <v>0</v>
      </c>
      <c r="AD517" s="6">
        <f>$O$517*$X$517</f>
        <v>0</v>
      </c>
      <c r="AE517" s="6">
        <f ca="1">$K$517*$Y$517</f>
        <v>-29638.175837587478</v>
      </c>
      <c r="AF517" s="6">
        <f ca="1">$M$517*$Z$517</f>
        <v>0</v>
      </c>
      <c r="AG517" s="6">
        <f>$O$517*$AA$517</f>
        <v>0</v>
      </c>
    </row>
    <row r="518" spans="1:33" ht="11.25" customHeight="1" x14ac:dyDescent="0.25">
      <c r="A518" s="4" t="s">
        <v>28</v>
      </c>
      <c r="B518" s="4" t="s">
        <v>35</v>
      </c>
      <c r="C518" s="4" t="s">
        <v>44</v>
      </c>
      <c r="D518" s="4" t="s">
        <v>42</v>
      </c>
      <c r="E518" s="4" t="s">
        <v>25</v>
      </c>
      <c r="F518" s="4" t="s">
        <v>25</v>
      </c>
      <c r="G518" s="4" t="s">
        <v>25</v>
      </c>
      <c r="H518" s="4" t="s">
        <v>37</v>
      </c>
      <c r="I518" s="5">
        <v>44409</v>
      </c>
      <c r="J518" s="6">
        <v>845</v>
      </c>
      <c r="K518" s="6">
        <v>845</v>
      </c>
      <c r="L518" s="6">
        <v>20.427</v>
      </c>
      <c r="M518" s="6">
        <v>20.427</v>
      </c>
      <c r="N518" s="6">
        <v>20.427</v>
      </c>
      <c r="O518" s="6">
        <v>20.427</v>
      </c>
      <c r="P518" s="6">
        <v>0</v>
      </c>
      <c r="Q518" s="4" t="s">
        <v>26</v>
      </c>
      <c r="R518" s="4">
        <v>0</v>
      </c>
      <c r="S518" s="6">
        <v>28</v>
      </c>
      <c r="T518" s="6">
        <v>30</v>
      </c>
      <c r="U518" s="6">
        <v>66</v>
      </c>
      <c r="V518" s="6">
        <f>IF(ISERROR(VLOOKUP($S$518,'TAR FIN'!$A$1:$O$95,15,0)),0,VLOOKUP($S$518,'TAR FIN'!$A$1:$O$95,15,0))</f>
        <v>52.99</v>
      </c>
      <c r="W518" s="6">
        <f>IF(ISERROR(VLOOKUP($T$518,'TAR FIN'!$A$1:$O$95,15,0)),0,VLOOKUP($T$518,'TAR FIN'!$A$1:$O$95,15,0))</f>
        <v>149.63</v>
      </c>
      <c r="X518" s="6">
        <f>IF(ISERROR(VLOOKUP($U$518,'TAR FIN'!$A$1:$O$95,15,0)),0,VLOOKUP($U$518,'TAR FIN'!$A$1:$O$95,15,0))</f>
        <v>389.28</v>
      </c>
      <c r="Y518" s="6">
        <f ca="1">('TUSD BE'!$AM$10+'TUSD BF'!$AM$10+'TUSD CVA'!$AM$10)*1</f>
        <v>59.276351675174958</v>
      </c>
      <c r="Z518" s="6">
        <f ca="1">('TUSD BE'!$AM$12+'TUSD BF'!$AM$12+'TUSD CVA'!$AM$12)*1</f>
        <v>168.51338132937991</v>
      </c>
      <c r="AA518" s="6">
        <f>('TE BE'!$AA$7+'TE BF'!$AA$7+'TE CVA'!$AA$7)*1</f>
        <v>454.3285679284046</v>
      </c>
      <c r="AB518" s="6">
        <f>$K$518*$V$518</f>
        <v>44776.55</v>
      </c>
      <c r="AC518" s="6">
        <f>$M$518*$W$518</f>
        <v>3056.4920099999999</v>
      </c>
      <c r="AD518" s="6">
        <f>$O$518*$X$518</f>
        <v>7951.8225599999996</v>
      </c>
      <c r="AE518" s="6">
        <f ca="1">$K$518*$Y$518</f>
        <v>50088.517165522841</v>
      </c>
      <c r="AF518" s="6">
        <f ca="1">$M$518*$Z$518</f>
        <v>3442.2228404152434</v>
      </c>
      <c r="AG518" s="6">
        <f>$O$518*$AA$518</f>
        <v>9280.5696570735199</v>
      </c>
    </row>
    <row r="519" spans="1:33" ht="11.25" customHeight="1" x14ac:dyDescent="0.25">
      <c r="A519" s="4" t="s">
        <v>30</v>
      </c>
      <c r="B519" s="4" t="s">
        <v>35</v>
      </c>
      <c r="C519" s="4" t="s">
        <v>44</v>
      </c>
      <c r="D519" s="4" t="s">
        <v>42</v>
      </c>
      <c r="E519" s="4" t="s">
        <v>25</v>
      </c>
      <c r="F519" s="4" t="s">
        <v>25</v>
      </c>
      <c r="G519" s="4" t="s">
        <v>25</v>
      </c>
      <c r="H519" s="4" t="s">
        <v>37</v>
      </c>
      <c r="I519" s="5">
        <v>44409</v>
      </c>
      <c r="J519" s="6">
        <v>2045</v>
      </c>
      <c r="K519" s="6">
        <v>2045</v>
      </c>
      <c r="L519" s="6">
        <v>103.642</v>
      </c>
      <c r="M519" s="6">
        <v>103.642</v>
      </c>
      <c r="N519" s="6">
        <v>103.642</v>
      </c>
      <c r="O519" s="6">
        <v>103.642</v>
      </c>
      <c r="P519" s="6">
        <v>0</v>
      </c>
      <c r="Q519" s="4" t="s">
        <v>26</v>
      </c>
      <c r="R519" s="4">
        <v>0</v>
      </c>
      <c r="S519" s="6">
        <v>28</v>
      </c>
      <c r="T519" s="6">
        <v>30</v>
      </c>
      <c r="U519" s="6">
        <v>66</v>
      </c>
      <c r="V519" s="6">
        <f>IF(ISERROR(VLOOKUP($S$519,'TAR FIN'!$A$1:$O$95,15,0)),0,VLOOKUP($S$519,'TAR FIN'!$A$1:$O$95,15,0))</f>
        <v>52.99</v>
      </c>
      <c r="W519" s="6">
        <f>IF(ISERROR(VLOOKUP($T$519,'TAR FIN'!$A$1:$O$95,15,0)),0,VLOOKUP($T$519,'TAR FIN'!$A$1:$O$95,15,0))</f>
        <v>149.63</v>
      </c>
      <c r="X519" s="6">
        <f>IF(ISERROR(VLOOKUP($U$519,'TAR FIN'!$A$1:$O$95,15,0)),0,VLOOKUP($U$519,'TAR FIN'!$A$1:$O$95,15,0))</f>
        <v>389.28</v>
      </c>
      <c r="Y519" s="6">
        <f ca="1">('TUSD BE'!$AM$10+'TUSD BF'!$AM$10+'TUSD CVA'!$AM$10)*1</f>
        <v>59.276351675174958</v>
      </c>
      <c r="Z519" s="6">
        <f ca="1">('TUSD BE'!$AM$12+'TUSD BF'!$AM$12+'TUSD CVA'!$AM$12)*1</f>
        <v>168.51338132937991</v>
      </c>
      <c r="AA519" s="6">
        <f>('TE BE'!$AA$7+'TE BF'!$AA$7+'TE CVA'!$AA$7)*1</f>
        <v>454.3285679284046</v>
      </c>
      <c r="AB519" s="6">
        <f>$K$519*$V$519</f>
        <v>108364.55</v>
      </c>
      <c r="AC519" s="6">
        <f>$M$519*$W$519</f>
        <v>15507.952459999999</v>
      </c>
      <c r="AD519" s="6">
        <f>$O$519*$X$519</f>
        <v>40345.757759999993</v>
      </c>
      <c r="AE519" s="6">
        <f ca="1">$K$519*$Y$519</f>
        <v>121220.13917573279</v>
      </c>
      <c r="AF519" s="6">
        <f ca="1">$M$519*$Z$519</f>
        <v>17465.063867739591</v>
      </c>
      <c r="AG519" s="6">
        <f>$O$519*$AA$519</f>
        <v>47087.521437235708</v>
      </c>
    </row>
    <row r="520" spans="1:33" ht="11.25" customHeight="1" x14ac:dyDescent="0.25">
      <c r="A520" s="4" t="s">
        <v>30</v>
      </c>
      <c r="B520" s="4" t="s">
        <v>35</v>
      </c>
      <c r="C520" s="4" t="s">
        <v>44</v>
      </c>
      <c r="D520" s="4" t="s">
        <v>42</v>
      </c>
      <c r="E520" s="4" t="s">
        <v>25</v>
      </c>
      <c r="F520" s="4" t="s">
        <v>25</v>
      </c>
      <c r="G520" s="4" t="s">
        <v>25</v>
      </c>
      <c r="H520" s="4" t="s">
        <v>37</v>
      </c>
      <c r="I520" s="5">
        <v>44409</v>
      </c>
      <c r="J520" s="6">
        <v>-383</v>
      </c>
      <c r="K520" s="6">
        <v>-383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4" t="s">
        <v>26</v>
      </c>
      <c r="R520" s="4">
        <v>0</v>
      </c>
      <c r="S520" s="6">
        <v>28</v>
      </c>
      <c r="T520" s="6">
        <v>0</v>
      </c>
      <c r="U520" s="6">
        <v>0</v>
      </c>
      <c r="V520" s="6">
        <f>IF(ISERROR(VLOOKUP($S$520,'TAR FIN'!$A$1:$O$95,15,0)),0,VLOOKUP($S$520,'TAR FIN'!$A$1:$O$95,15,0))</f>
        <v>52.99</v>
      </c>
      <c r="W520" s="6">
        <f>IF(ISERROR(VLOOKUP($T$520,'TAR FIN'!$A$1:$O$95,15,0)),0,VLOOKUP($T$520,'TAR FIN'!$A$1:$O$95,15,0))</f>
        <v>0</v>
      </c>
      <c r="X520" s="6">
        <f>IF(ISERROR(VLOOKUP($U$520,'TAR FIN'!$A$1:$O$95,15,0)),0,VLOOKUP($U$520,'TAR FIN'!$A$1:$O$95,15,0))</f>
        <v>0</v>
      </c>
      <c r="Y520" s="6">
        <f ca="1">('TUSD BE'!$AM$10+'TUSD BF'!$AM$10+'TUSD CVA'!$AM$10)*1</f>
        <v>59.276351675174958</v>
      </c>
      <c r="Z520" s="6">
        <f ca="1">('TUSD BE'!$AM$12+'TUSD BF'!$AM$12+'TUSD CVA'!$AM$12)*1</f>
        <v>168.51338132937991</v>
      </c>
      <c r="AA520" s="6">
        <f>('TE BE'!$AA$7+'TE BF'!$AA$7+'TE CVA'!$AA$7)*1</f>
        <v>454.3285679284046</v>
      </c>
      <c r="AB520" s="6">
        <f>$K$520*$V$520</f>
        <v>-20295.170000000002</v>
      </c>
      <c r="AC520" s="6">
        <f>$M$520*$W$520</f>
        <v>0</v>
      </c>
      <c r="AD520" s="6">
        <f>$O$520*$X$520</f>
        <v>0</v>
      </c>
      <c r="AE520" s="6">
        <f ca="1">$K$520*$Y$520</f>
        <v>-22702.84269159201</v>
      </c>
      <c r="AF520" s="6">
        <f ca="1">$M$520*$Z$520</f>
        <v>0</v>
      </c>
      <c r="AG520" s="6">
        <f>$O$520*$AA$520</f>
        <v>0</v>
      </c>
    </row>
    <row r="521" spans="1:33" ht="11.25" customHeight="1" x14ac:dyDescent="0.25">
      <c r="A521" s="4" t="s">
        <v>21</v>
      </c>
      <c r="B521" s="4" t="s">
        <v>35</v>
      </c>
      <c r="C521" s="4" t="s">
        <v>44</v>
      </c>
      <c r="D521" s="4" t="s">
        <v>42</v>
      </c>
      <c r="E521" s="4" t="s">
        <v>25</v>
      </c>
      <c r="F521" s="4" t="s">
        <v>25</v>
      </c>
      <c r="G521" s="4" t="s">
        <v>25</v>
      </c>
      <c r="H521" s="4" t="s">
        <v>37</v>
      </c>
      <c r="I521" s="5">
        <v>44409</v>
      </c>
      <c r="J521" s="6">
        <v>5891</v>
      </c>
      <c r="K521" s="6">
        <v>5891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4" t="s">
        <v>60</v>
      </c>
      <c r="R521" s="4">
        <v>0</v>
      </c>
      <c r="S521" s="6">
        <v>28</v>
      </c>
      <c r="T521" s="6">
        <v>0</v>
      </c>
      <c r="U521" s="6">
        <v>0</v>
      </c>
      <c r="V521" s="6">
        <f>IF(ISERROR(VLOOKUP($S$521,'TAR FIN'!$A$1:$O$95,15,0)),0,VLOOKUP($S$521,'TAR FIN'!$A$1:$O$95,15,0))</f>
        <v>52.99</v>
      </c>
      <c r="W521" s="6">
        <f>IF(ISERROR(VLOOKUP($T$521,'TAR FIN'!$A$1:$O$95,15,0)),0,VLOOKUP($T$521,'TAR FIN'!$A$1:$O$95,15,0))</f>
        <v>0</v>
      </c>
      <c r="X521" s="6">
        <f>IF(ISERROR(VLOOKUP($U$521,'TAR FIN'!$A$1:$O$95,15,0)),0,VLOOKUP($U$521,'TAR FIN'!$A$1:$O$95,15,0))</f>
        <v>0</v>
      </c>
      <c r="Y521" s="6">
        <f ca="1">('TUSD BE'!$AM$10+'TUSD BF'!$AM$10+'TUSD CVA'!$AM$10)*1</f>
        <v>59.276351675174958</v>
      </c>
      <c r="Z521" s="6">
        <f ca="1">('TUSD BE'!$AM$12+'TUSD BF'!$AM$12+'TUSD CVA'!$AM$12)*1</f>
        <v>168.51338132937991</v>
      </c>
      <c r="AA521" s="6"/>
      <c r="AB521" s="6">
        <f>$K$521*$V$521</f>
        <v>312164.09000000003</v>
      </c>
      <c r="AC521" s="6">
        <f>$M$521*$W$521</f>
        <v>0</v>
      </c>
      <c r="AD521" s="6">
        <f>$O$521*$X$521</f>
        <v>0</v>
      </c>
      <c r="AE521" s="6">
        <f ca="1">$K$521*$Y$521</f>
        <v>349196.98771845567</v>
      </c>
      <c r="AF521" s="6">
        <f ca="1">$M$521*$Z$521</f>
        <v>0</v>
      </c>
      <c r="AG521" s="6">
        <f>$O$521*$AA$521</f>
        <v>0</v>
      </c>
    </row>
    <row r="522" spans="1:33" ht="11.25" customHeight="1" x14ac:dyDescent="0.25">
      <c r="A522" s="4" t="s">
        <v>21</v>
      </c>
      <c r="B522" s="4" t="s">
        <v>35</v>
      </c>
      <c r="C522" s="4" t="s">
        <v>44</v>
      </c>
      <c r="D522" s="4" t="s">
        <v>42</v>
      </c>
      <c r="E522" s="4" t="s">
        <v>25</v>
      </c>
      <c r="F522" s="4" t="s">
        <v>25</v>
      </c>
      <c r="G522" s="4" t="s">
        <v>25</v>
      </c>
      <c r="H522" s="4" t="s">
        <v>37</v>
      </c>
      <c r="I522" s="5">
        <v>44440</v>
      </c>
      <c r="J522" s="6">
        <v>14900</v>
      </c>
      <c r="K522" s="6">
        <v>14900</v>
      </c>
      <c r="L522" s="6">
        <v>500.42399999999998</v>
      </c>
      <c r="M522" s="6">
        <v>500.42399999999998</v>
      </c>
      <c r="N522" s="6">
        <v>500.42399999999998</v>
      </c>
      <c r="O522" s="6">
        <v>500.42399999999998</v>
      </c>
      <c r="P522" s="6">
        <v>0</v>
      </c>
      <c r="Q522" s="4" t="s">
        <v>26</v>
      </c>
      <c r="R522" s="4">
        <v>0</v>
      </c>
      <c r="S522" s="6">
        <v>28</v>
      </c>
      <c r="T522" s="6">
        <v>30</v>
      </c>
      <c r="U522" s="6">
        <v>66</v>
      </c>
      <c r="V522" s="6">
        <f>IF(ISERROR(VLOOKUP($S$522,'TAR FIN'!$A$1:$O$95,15,0)),0,VLOOKUP($S$522,'TAR FIN'!$A$1:$O$95,15,0))</f>
        <v>52.99</v>
      </c>
      <c r="W522" s="6">
        <f>IF(ISERROR(VLOOKUP($T$522,'TAR FIN'!$A$1:$O$95,15,0)),0,VLOOKUP($T$522,'TAR FIN'!$A$1:$O$95,15,0))</f>
        <v>149.63</v>
      </c>
      <c r="X522" s="6">
        <f>IF(ISERROR(VLOOKUP($U$522,'TAR FIN'!$A$1:$O$95,15,0)),0,VLOOKUP($U$522,'TAR FIN'!$A$1:$O$95,15,0))</f>
        <v>389.28</v>
      </c>
      <c r="Y522" s="6">
        <f ca="1">('TUSD BE'!$AM$10+'TUSD BF'!$AM$10+'TUSD CVA'!$AM$10)*1</f>
        <v>59.276351675174958</v>
      </c>
      <c r="Z522" s="6">
        <f ca="1">('TUSD BE'!$AM$12+'TUSD BF'!$AM$12+'TUSD CVA'!$AM$12)*1</f>
        <v>168.51338132937991</v>
      </c>
      <c r="AA522" s="6">
        <f>('TE BE'!$AA$7+'TE BF'!$AA$7+'TE CVA'!$AA$7)*1</f>
        <v>454.3285679284046</v>
      </c>
      <c r="AB522" s="6">
        <f>$K$522*$V$522</f>
        <v>789551</v>
      </c>
      <c r="AC522" s="6">
        <f>$M$522*$W$522</f>
        <v>74878.443119999996</v>
      </c>
      <c r="AD522" s="6">
        <f>$O$522*$X$522</f>
        <v>194805.05471999999</v>
      </c>
      <c r="AE522" s="6">
        <f ca="1">$K$522*$Y$522</f>
        <v>883217.63996010693</v>
      </c>
      <c r="AF522" s="6">
        <f ca="1">$M$522*$Z$522</f>
        <v>84328.140338373603</v>
      </c>
      <c r="AG522" s="6">
        <f>$O$522*$AA$522</f>
        <v>227356.91927700394</v>
      </c>
    </row>
    <row r="523" spans="1:33" ht="11.25" customHeight="1" x14ac:dyDescent="0.25">
      <c r="A523" s="4" t="s">
        <v>28</v>
      </c>
      <c r="B523" s="4" t="s">
        <v>35</v>
      </c>
      <c r="C523" s="4" t="s">
        <v>44</v>
      </c>
      <c r="D523" s="4" t="s">
        <v>42</v>
      </c>
      <c r="E523" s="4" t="s">
        <v>25</v>
      </c>
      <c r="F523" s="4" t="s">
        <v>25</v>
      </c>
      <c r="G523" s="4" t="s">
        <v>25</v>
      </c>
      <c r="H523" s="4" t="s">
        <v>37</v>
      </c>
      <c r="I523" s="5">
        <v>44440</v>
      </c>
      <c r="J523" s="6">
        <v>845</v>
      </c>
      <c r="K523" s="6">
        <v>845</v>
      </c>
      <c r="L523" s="6">
        <v>20.571999999999999</v>
      </c>
      <c r="M523" s="6">
        <v>20.571999999999999</v>
      </c>
      <c r="N523" s="6">
        <v>20.571999999999999</v>
      </c>
      <c r="O523" s="6">
        <v>20.571999999999999</v>
      </c>
      <c r="P523" s="6">
        <v>0</v>
      </c>
      <c r="Q523" s="4" t="s">
        <v>26</v>
      </c>
      <c r="R523" s="4">
        <v>0</v>
      </c>
      <c r="S523" s="6">
        <v>28</v>
      </c>
      <c r="T523" s="6">
        <v>30</v>
      </c>
      <c r="U523" s="6">
        <v>66</v>
      </c>
      <c r="V523" s="6">
        <f>IF(ISERROR(VLOOKUP($S$523,'TAR FIN'!$A$1:$O$95,15,0)),0,VLOOKUP($S$523,'TAR FIN'!$A$1:$O$95,15,0))</f>
        <v>52.99</v>
      </c>
      <c r="W523" s="6">
        <f>IF(ISERROR(VLOOKUP($T$523,'TAR FIN'!$A$1:$O$95,15,0)),0,VLOOKUP($T$523,'TAR FIN'!$A$1:$O$95,15,0))</f>
        <v>149.63</v>
      </c>
      <c r="X523" s="6">
        <f>IF(ISERROR(VLOOKUP($U$523,'TAR FIN'!$A$1:$O$95,15,0)),0,VLOOKUP($U$523,'TAR FIN'!$A$1:$O$95,15,0))</f>
        <v>389.28</v>
      </c>
      <c r="Y523" s="6">
        <f ca="1">('TUSD BE'!$AM$10+'TUSD BF'!$AM$10+'TUSD CVA'!$AM$10)*1</f>
        <v>59.276351675174958</v>
      </c>
      <c r="Z523" s="6">
        <f ca="1">('TUSD BE'!$AM$12+'TUSD BF'!$AM$12+'TUSD CVA'!$AM$12)*1</f>
        <v>168.51338132937991</v>
      </c>
      <c r="AA523" s="6">
        <f>('TE BE'!$AA$7+'TE BF'!$AA$7+'TE CVA'!$AA$7)*1</f>
        <v>454.3285679284046</v>
      </c>
      <c r="AB523" s="6">
        <f>$K$523*$V$523</f>
        <v>44776.55</v>
      </c>
      <c r="AC523" s="6">
        <f>$M$523*$W$523</f>
        <v>3078.1883599999996</v>
      </c>
      <c r="AD523" s="6">
        <f>$O$523*$X$523</f>
        <v>8008.2681599999987</v>
      </c>
      <c r="AE523" s="6">
        <f ca="1">$K$523*$Y$523</f>
        <v>50088.517165522841</v>
      </c>
      <c r="AF523" s="6">
        <f ca="1">$M$523*$Z$523</f>
        <v>3466.6572807080033</v>
      </c>
      <c r="AG523" s="6">
        <f>$O$523*$AA$523</f>
        <v>9346.4472994231382</v>
      </c>
    </row>
    <row r="524" spans="1:33" ht="11.25" customHeight="1" x14ac:dyDescent="0.25">
      <c r="A524" s="4" t="s">
        <v>30</v>
      </c>
      <c r="B524" s="4" t="s">
        <v>35</v>
      </c>
      <c r="C524" s="4" t="s">
        <v>44</v>
      </c>
      <c r="D524" s="4" t="s">
        <v>42</v>
      </c>
      <c r="E524" s="4" t="s">
        <v>25</v>
      </c>
      <c r="F524" s="4" t="s">
        <v>25</v>
      </c>
      <c r="G524" s="4" t="s">
        <v>25</v>
      </c>
      <c r="H524" s="4" t="s">
        <v>37</v>
      </c>
      <c r="I524" s="5">
        <v>44440</v>
      </c>
      <c r="J524" s="6">
        <v>2150</v>
      </c>
      <c r="K524" s="6">
        <v>2150</v>
      </c>
      <c r="L524" s="6">
        <v>80.619</v>
      </c>
      <c r="M524" s="6">
        <v>80.619</v>
      </c>
      <c r="N524" s="6">
        <v>80.619</v>
      </c>
      <c r="O524" s="6">
        <v>80.619</v>
      </c>
      <c r="P524" s="6">
        <v>0</v>
      </c>
      <c r="Q524" s="4" t="s">
        <v>26</v>
      </c>
      <c r="R524" s="4">
        <v>0</v>
      </c>
      <c r="S524" s="6">
        <v>28</v>
      </c>
      <c r="T524" s="6">
        <v>30</v>
      </c>
      <c r="U524" s="6">
        <v>66</v>
      </c>
      <c r="V524" s="6">
        <f>IF(ISERROR(VLOOKUP($S$524,'TAR FIN'!$A$1:$O$95,15,0)),0,VLOOKUP($S$524,'TAR FIN'!$A$1:$O$95,15,0))</f>
        <v>52.99</v>
      </c>
      <c r="W524" s="6">
        <f>IF(ISERROR(VLOOKUP($T$524,'TAR FIN'!$A$1:$O$95,15,0)),0,VLOOKUP($T$524,'TAR FIN'!$A$1:$O$95,15,0))</f>
        <v>149.63</v>
      </c>
      <c r="X524" s="6">
        <f>IF(ISERROR(VLOOKUP($U$524,'TAR FIN'!$A$1:$O$95,15,0)),0,VLOOKUP($U$524,'TAR FIN'!$A$1:$O$95,15,0))</f>
        <v>389.28</v>
      </c>
      <c r="Y524" s="6">
        <f ca="1">('TUSD BE'!$AM$10+'TUSD BF'!$AM$10+'TUSD CVA'!$AM$10)*1</f>
        <v>59.276351675174958</v>
      </c>
      <c r="Z524" s="6">
        <f ca="1">('TUSD BE'!$AM$12+'TUSD BF'!$AM$12+'TUSD CVA'!$AM$12)*1</f>
        <v>168.51338132937991</v>
      </c>
      <c r="AA524" s="6">
        <f>('TE BE'!$AA$7+'TE BF'!$AA$7+'TE CVA'!$AA$7)*1</f>
        <v>454.3285679284046</v>
      </c>
      <c r="AB524" s="6">
        <f>$K$524*$V$524</f>
        <v>113928.5</v>
      </c>
      <c r="AC524" s="6">
        <f>$M$524*$W$524</f>
        <v>12063.02097</v>
      </c>
      <c r="AD524" s="6">
        <f>$O$524*$X$524</f>
        <v>31383.364319999997</v>
      </c>
      <c r="AE524" s="6">
        <f ca="1">$K$524*$Y$524</f>
        <v>127444.15610162615</v>
      </c>
      <c r="AF524" s="6">
        <f ca="1">$M$524*$Z$524</f>
        <v>13585.380289393279</v>
      </c>
      <c r="AG524" s="6">
        <f>$O$524*$AA$524</f>
        <v>36627.514817820047</v>
      </c>
    </row>
    <row r="525" spans="1:33" ht="11.25" customHeight="1" x14ac:dyDescent="0.25">
      <c r="A525" s="4" t="s">
        <v>21</v>
      </c>
      <c r="B525" s="4" t="s">
        <v>35</v>
      </c>
      <c r="C525" s="4" t="s">
        <v>44</v>
      </c>
      <c r="D525" s="4" t="s">
        <v>42</v>
      </c>
      <c r="E525" s="4" t="s">
        <v>25</v>
      </c>
      <c r="F525" s="4" t="s">
        <v>25</v>
      </c>
      <c r="G525" s="4" t="s">
        <v>25</v>
      </c>
      <c r="H525" s="4" t="s">
        <v>37</v>
      </c>
      <c r="I525" s="5">
        <v>44440</v>
      </c>
      <c r="J525" s="6">
        <v>5871</v>
      </c>
      <c r="K525" s="6">
        <v>5871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4" t="s">
        <v>60</v>
      </c>
      <c r="R525" s="4">
        <v>0</v>
      </c>
      <c r="S525" s="6">
        <v>28</v>
      </c>
      <c r="T525" s="6">
        <v>0</v>
      </c>
      <c r="U525" s="6">
        <v>0</v>
      </c>
      <c r="V525" s="6">
        <f>IF(ISERROR(VLOOKUP($S$525,'TAR FIN'!$A$1:$O$95,15,0)),0,VLOOKUP($S$525,'TAR FIN'!$A$1:$O$95,15,0))</f>
        <v>52.99</v>
      </c>
      <c r="W525" s="6">
        <f>IF(ISERROR(VLOOKUP($T$525,'TAR FIN'!$A$1:$O$95,15,0)),0,VLOOKUP($T$525,'TAR FIN'!$A$1:$O$95,15,0))</f>
        <v>0</v>
      </c>
      <c r="X525" s="6">
        <f>IF(ISERROR(VLOOKUP($U$525,'TAR FIN'!$A$1:$O$95,15,0)),0,VLOOKUP($U$525,'TAR FIN'!$A$1:$O$95,15,0))</f>
        <v>0</v>
      </c>
      <c r="Y525" s="6">
        <f ca="1">('TUSD BE'!$AM$10+'TUSD BF'!$AM$10+'TUSD CVA'!$AM$10)*1</f>
        <v>59.276351675174958</v>
      </c>
      <c r="Z525" s="6">
        <f ca="1">('TUSD BE'!$AM$12+'TUSD BF'!$AM$12+'TUSD CVA'!$AM$12)*1</f>
        <v>168.51338132937991</v>
      </c>
      <c r="AA525" s="6"/>
      <c r="AB525" s="6">
        <f>$K$525*$V$525</f>
        <v>311104.29000000004</v>
      </c>
      <c r="AC525" s="6">
        <f>$M$525*$W$525</f>
        <v>0</v>
      </c>
      <c r="AD525" s="6">
        <f>$O$525*$X$525</f>
        <v>0</v>
      </c>
      <c r="AE525" s="6">
        <f ca="1">$K$525*$Y$525</f>
        <v>348011.46068495215</v>
      </c>
      <c r="AF525" s="6">
        <f ca="1">$M$525*$Z$525</f>
        <v>0</v>
      </c>
      <c r="AG525" s="6">
        <f>$O$525*$AA$525</f>
        <v>0</v>
      </c>
    </row>
    <row r="526" spans="1:33" ht="11.25" customHeight="1" x14ac:dyDescent="0.25">
      <c r="A526" s="4" t="s">
        <v>59</v>
      </c>
      <c r="B526" s="4" t="s">
        <v>35</v>
      </c>
      <c r="C526" s="4" t="s">
        <v>44</v>
      </c>
      <c r="D526" s="4" t="s">
        <v>42</v>
      </c>
      <c r="E526" s="4" t="s">
        <v>25</v>
      </c>
      <c r="F526" s="4" t="s">
        <v>25</v>
      </c>
      <c r="G526" s="4" t="s">
        <v>25</v>
      </c>
      <c r="H526" s="4" t="s">
        <v>37</v>
      </c>
      <c r="I526" s="5">
        <v>44470</v>
      </c>
      <c r="J526" s="6">
        <v>14900</v>
      </c>
      <c r="K526" s="6">
        <v>14900</v>
      </c>
      <c r="L526" s="6">
        <v>500.42399999999998</v>
      </c>
      <c r="M526" s="6">
        <v>500.42399999999998</v>
      </c>
      <c r="N526" s="6">
        <v>500.42399999999998</v>
      </c>
      <c r="O526" s="6">
        <v>500.42399999999998</v>
      </c>
      <c r="P526" s="6">
        <v>0</v>
      </c>
      <c r="Q526" s="4" t="s">
        <v>26</v>
      </c>
      <c r="R526" s="4">
        <v>0</v>
      </c>
      <c r="S526" s="6">
        <v>28</v>
      </c>
      <c r="T526" s="6">
        <v>30</v>
      </c>
      <c r="U526" s="6">
        <v>66</v>
      </c>
      <c r="V526" s="6">
        <f>IF(ISERROR(VLOOKUP($S$526,'TAR FIN'!$A$1:$O$95,15,0)),0,VLOOKUP($S$526,'TAR FIN'!$A$1:$O$95,15,0))</f>
        <v>52.99</v>
      </c>
      <c r="W526" s="6">
        <f>IF(ISERROR(VLOOKUP($T$526,'TAR FIN'!$A$1:$O$95,15,0)),0,VLOOKUP($T$526,'TAR FIN'!$A$1:$O$95,15,0))</f>
        <v>149.63</v>
      </c>
      <c r="X526" s="6">
        <f>IF(ISERROR(VLOOKUP($U$526,'TAR FIN'!$A$1:$O$95,15,0)),0,VLOOKUP($U$526,'TAR FIN'!$A$1:$O$95,15,0))</f>
        <v>389.28</v>
      </c>
      <c r="Y526" s="6">
        <f ca="1">('TUSD BE'!$AM$10+'TUSD BF'!$AM$10+'TUSD CVA'!$AM$10)*1</f>
        <v>59.276351675174958</v>
      </c>
      <c r="Z526" s="6">
        <f ca="1">('TUSD BE'!$AM$12+'TUSD BF'!$AM$12+'TUSD CVA'!$AM$12)*1</f>
        <v>168.51338132937991</v>
      </c>
      <c r="AA526" s="6">
        <f>('TE BE'!$AA$7+'TE BF'!$AA$7+'TE CVA'!$AA$7)*1</f>
        <v>454.3285679284046</v>
      </c>
      <c r="AB526" s="6">
        <f>$K$526*$V$526</f>
        <v>789551</v>
      </c>
      <c r="AC526" s="6">
        <f>$M$526*$W$526</f>
        <v>74878.443119999996</v>
      </c>
      <c r="AD526" s="6">
        <f>$O$526*$X$526</f>
        <v>194805.05471999999</v>
      </c>
      <c r="AE526" s="6">
        <f ca="1">$K$526*$Y$526</f>
        <v>883217.63996010693</v>
      </c>
      <c r="AF526" s="6">
        <f ca="1">$M$526*$Z$526</f>
        <v>84328.140338373603</v>
      </c>
      <c r="AG526" s="6">
        <f>$O$526*$AA$526</f>
        <v>227356.91927700394</v>
      </c>
    </row>
    <row r="527" spans="1:33" ht="11.25" customHeight="1" x14ac:dyDescent="0.25">
      <c r="A527" s="4" t="s">
        <v>59</v>
      </c>
      <c r="B527" s="4" t="s">
        <v>35</v>
      </c>
      <c r="C527" s="4" t="s">
        <v>44</v>
      </c>
      <c r="D527" s="4" t="s">
        <v>42</v>
      </c>
      <c r="E527" s="4" t="s">
        <v>25</v>
      </c>
      <c r="F527" s="4" t="s">
        <v>25</v>
      </c>
      <c r="G527" s="4" t="s">
        <v>25</v>
      </c>
      <c r="H527" s="4" t="s">
        <v>37</v>
      </c>
      <c r="I527" s="5">
        <v>44470</v>
      </c>
      <c r="J527" s="6">
        <v>845</v>
      </c>
      <c r="K527" s="6">
        <v>845</v>
      </c>
      <c r="L527" s="6">
        <v>20.571999999999999</v>
      </c>
      <c r="M527" s="6">
        <v>20.571999999999999</v>
      </c>
      <c r="N527" s="6">
        <v>20.571999999999999</v>
      </c>
      <c r="O527" s="6">
        <v>20.571999999999999</v>
      </c>
      <c r="P527" s="6">
        <v>0</v>
      </c>
      <c r="Q527" s="4" t="s">
        <v>26</v>
      </c>
      <c r="R527" s="4">
        <v>0</v>
      </c>
      <c r="S527" s="6">
        <v>28</v>
      </c>
      <c r="T527" s="6">
        <v>30</v>
      </c>
      <c r="U527" s="6">
        <v>66</v>
      </c>
      <c r="V527" s="6">
        <f>IF(ISERROR(VLOOKUP($S$527,'TAR FIN'!$A$1:$O$95,15,0)),0,VLOOKUP($S$527,'TAR FIN'!$A$1:$O$95,15,0))</f>
        <v>52.99</v>
      </c>
      <c r="W527" s="6">
        <f>IF(ISERROR(VLOOKUP($T$527,'TAR FIN'!$A$1:$O$95,15,0)),0,VLOOKUP($T$527,'TAR FIN'!$A$1:$O$95,15,0))</f>
        <v>149.63</v>
      </c>
      <c r="X527" s="6">
        <f>IF(ISERROR(VLOOKUP($U$527,'TAR FIN'!$A$1:$O$95,15,0)),0,VLOOKUP($U$527,'TAR FIN'!$A$1:$O$95,15,0))</f>
        <v>389.28</v>
      </c>
      <c r="Y527" s="6">
        <f ca="1">('TUSD BE'!$AM$10+'TUSD BF'!$AM$10+'TUSD CVA'!$AM$10)*1</f>
        <v>59.276351675174958</v>
      </c>
      <c r="Z527" s="6">
        <f ca="1">('TUSD BE'!$AM$12+'TUSD BF'!$AM$12+'TUSD CVA'!$AM$12)*1</f>
        <v>168.51338132937991</v>
      </c>
      <c r="AA527" s="6">
        <f>('TE BE'!$AA$7+'TE BF'!$AA$7+'TE CVA'!$AA$7)*1</f>
        <v>454.3285679284046</v>
      </c>
      <c r="AB527" s="6">
        <f>$K$527*$V$527</f>
        <v>44776.55</v>
      </c>
      <c r="AC527" s="6">
        <f>$M$527*$W$527</f>
        <v>3078.1883599999996</v>
      </c>
      <c r="AD527" s="6">
        <f>$O$527*$X$527</f>
        <v>8008.2681599999987</v>
      </c>
      <c r="AE527" s="6">
        <f ca="1">$K$527*$Y$527</f>
        <v>50088.517165522841</v>
      </c>
      <c r="AF527" s="6">
        <f ca="1">$M$527*$Z$527</f>
        <v>3466.6572807080033</v>
      </c>
      <c r="AG527" s="6">
        <f>$O$527*$AA$527</f>
        <v>9346.4472994231382</v>
      </c>
    </row>
    <row r="528" spans="1:33" ht="11.25" customHeight="1" x14ac:dyDescent="0.25">
      <c r="A528" s="4" t="s">
        <v>59</v>
      </c>
      <c r="B528" s="4" t="s">
        <v>35</v>
      </c>
      <c r="C528" s="4" t="s">
        <v>44</v>
      </c>
      <c r="D528" s="4" t="s">
        <v>42</v>
      </c>
      <c r="E528" s="4" t="s">
        <v>25</v>
      </c>
      <c r="F528" s="4" t="s">
        <v>25</v>
      </c>
      <c r="G528" s="4" t="s">
        <v>25</v>
      </c>
      <c r="H528" s="4" t="s">
        <v>37</v>
      </c>
      <c r="I528" s="5">
        <v>44470</v>
      </c>
      <c r="J528" s="6">
        <v>2150</v>
      </c>
      <c r="K528" s="6">
        <v>2150</v>
      </c>
      <c r="L528" s="6">
        <v>80.619</v>
      </c>
      <c r="M528" s="6">
        <v>80.619</v>
      </c>
      <c r="N528" s="6">
        <v>80.619</v>
      </c>
      <c r="O528" s="6">
        <v>80.619</v>
      </c>
      <c r="P528" s="6">
        <v>0</v>
      </c>
      <c r="Q528" s="4" t="s">
        <v>26</v>
      </c>
      <c r="R528" s="4">
        <v>0</v>
      </c>
      <c r="S528" s="6">
        <v>28</v>
      </c>
      <c r="T528" s="6">
        <v>30</v>
      </c>
      <c r="U528" s="6">
        <v>66</v>
      </c>
      <c r="V528" s="6">
        <f>IF(ISERROR(VLOOKUP($S$528,'TAR FIN'!$A$1:$O$95,15,0)),0,VLOOKUP($S$528,'TAR FIN'!$A$1:$O$95,15,0))</f>
        <v>52.99</v>
      </c>
      <c r="W528" s="6">
        <f>IF(ISERROR(VLOOKUP($T$528,'TAR FIN'!$A$1:$O$95,15,0)),0,VLOOKUP($T$528,'TAR FIN'!$A$1:$O$95,15,0))</f>
        <v>149.63</v>
      </c>
      <c r="X528" s="6">
        <f>IF(ISERROR(VLOOKUP($U$528,'TAR FIN'!$A$1:$O$95,15,0)),0,VLOOKUP($U$528,'TAR FIN'!$A$1:$O$95,15,0))</f>
        <v>389.28</v>
      </c>
      <c r="Y528" s="6">
        <f ca="1">('TUSD BE'!$AM$10+'TUSD BF'!$AM$10+'TUSD CVA'!$AM$10)*1</f>
        <v>59.276351675174958</v>
      </c>
      <c r="Z528" s="6">
        <f ca="1">('TUSD BE'!$AM$12+'TUSD BF'!$AM$12+'TUSD CVA'!$AM$12)*1</f>
        <v>168.51338132937991</v>
      </c>
      <c r="AA528" s="6">
        <f>('TE BE'!$AA$7+'TE BF'!$AA$7+'TE CVA'!$AA$7)*1</f>
        <v>454.3285679284046</v>
      </c>
      <c r="AB528" s="6">
        <f>$K$528*$V$528</f>
        <v>113928.5</v>
      </c>
      <c r="AC528" s="6">
        <f>$M$528*$W$528</f>
        <v>12063.02097</v>
      </c>
      <c r="AD528" s="6">
        <f>$O$528*$X$528</f>
        <v>31383.364319999997</v>
      </c>
      <c r="AE528" s="6">
        <f ca="1">$K$528*$Y$528</f>
        <v>127444.15610162615</v>
      </c>
      <c r="AF528" s="6">
        <f ca="1">$M$528*$Z$528</f>
        <v>13585.380289393279</v>
      </c>
      <c r="AG528" s="6">
        <f>$O$528*$AA$528</f>
        <v>36627.514817820047</v>
      </c>
    </row>
    <row r="529" spans="1:33" ht="11.25" customHeight="1" x14ac:dyDescent="0.25">
      <c r="A529" s="4" t="s">
        <v>59</v>
      </c>
      <c r="B529" s="4" t="s">
        <v>35</v>
      </c>
      <c r="C529" s="4" t="s">
        <v>44</v>
      </c>
      <c r="D529" s="4" t="s">
        <v>42</v>
      </c>
      <c r="E529" s="4" t="s">
        <v>25</v>
      </c>
      <c r="F529" s="4" t="s">
        <v>25</v>
      </c>
      <c r="G529" s="4" t="s">
        <v>25</v>
      </c>
      <c r="H529" s="4" t="s">
        <v>37</v>
      </c>
      <c r="I529" s="5">
        <v>44470</v>
      </c>
      <c r="J529" s="6">
        <v>5871</v>
      </c>
      <c r="K529" s="6">
        <v>5871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4" t="s">
        <v>60</v>
      </c>
      <c r="R529" s="4">
        <v>0</v>
      </c>
      <c r="S529" s="6">
        <v>28</v>
      </c>
      <c r="T529" s="6">
        <v>0</v>
      </c>
      <c r="U529" s="6">
        <v>0</v>
      </c>
      <c r="V529" s="6">
        <f>IF(ISERROR(VLOOKUP($S$529,'TAR FIN'!$A$1:$O$95,15,0)),0,VLOOKUP($S$529,'TAR FIN'!$A$1:$O$95,15,0))</f>
        <v>52.99</v>
      </c>
      <c r="W529" s="6">
        <f>IF(ISERROR(VLOOKUP($T$529,'TAR FIN'!$A$1:$O$95,15,0)),0,VLOOKUP($T$529,'TAR FIN'!$A$1:$O$95,15,0))</f>
        <v>0</v>
      </c>
      <c r="X529" s="6">
        <f>IF(ISERROR(VLOOKUP($U$529,'TAR FIN'!$A$1:$O$95,15,0)),0,VLOOKUP($U$529,'TAR FIN'!$A$1:$O$95,15,0))</f>
        <v>0</v>
      </c>
      <c r="Y529" s="6">
        <f ca="1">('TUSD BE'!$AM$10+'TUSD BF'!$AM$10+'TUSD CVA'!$AM$10)*1</f>
        <v>59.276351675174958</v>
      </c>
      <c r="Z529" s="6">
        <f ca="1">('TUSD BE'!$AM$12+'TUSD BF'!$AM$12+'TUSD CVA'!$AM$12)*1</f>
        <v>168.51338132937991</v>
      </c>
      <c r="AA529" s="6"/>
      <c r="AB529" s="6">
        <f>$K$529*$V$529</f>
        <v>311104.29000000004</v>
      </c>
      <c r="AC529" s="6">
        <f>$M$529*$W$529</f>
        <v>0</v>
      </c>
      <c r="AD529" s="6">
        <f>$O$529*$X$529</f>
        <v>0</v>
      </c>
      <c r="AE529" s="6">
        <f ca="1">$K$529*$Y$529</f>
        <v>348011.46068495215</v>
      </c>
      <c r="AF529" s="6">
        <f ca="1">$M$529*$Z$529</f>
        <v>0</v>
      </c>
      <c r="AG529" s="6">
        <f>$O$529*$AA$529</f>
        <v>0</v>
      </c>
    </row>
    <row r="530" spans="1:33" ht="11.25" customHeight="1" x14ac:dyDescent="0.25">
      <c r="A530" s="4" t="s">
        <v>21</v>
      </c>
      <c r="B530" s="4" t="s">
        <v>35</v>
      </c>
      <c r="C530" s="4" t="s">
        <v>44</v>
      </c>
      <c r="D530" s="4" t="s">
        <v>48</v>
      </c>
      <c r="E530" s="4" t="s">
        <v>25</v>
      </c>
      <c r="F530" s="4" t="s">
        <v>25</v>
      </c>
      <c r="G530" s="4" t="s">
        <v>25</v>
      </c>
      <c r="H530" s="4" t="s">
        <v>38</v>
      </c>
      <c r="I530" s="5">
        <v>44136</v>
      </c>
      <c r="J530" s="6">
        <v>21353</v>
      </c>
      <c r="K530" s="6">
        <v>21353</v>
      </c>
      <c r="L530" s="6">
        <v>5635.8059999999996</v>
      </c>
      <c r="M530" s="6">
        <v>5635.8059999999996</v>
      </c>
      <c r="N530" s="6">
        <v>5635.8059999999996</v>
      </c>
      <c r="O530" s="6">
        <v>5635.8059999999996</v>
      </c>
      <c r="P530" s="6">
        <v>0</v>
      </c>
      <c r="Q530" s="4" t="s">
        <v>26</v>
      </c>
      <c r="R530" s="4">
        <v>0</v>
      </c>
      <c r="S530" s="6">
        <v>29</v>
      </c>
      <c r="T530" s="6">
        <v>30</v>
      </c>
      <c r="U530" s="6">
        <v>67</v>
      </c>
      <c r="V530" s="6">
        <f>IF(ISERROR(VLOOKUP($S$530,'TAR FIN'!$A$1:$O$95,15,0)),0,VLOOKUP($S$530,'TAR FIN'!$A$1:$O$95,15,0))</f>
        <v>28.57</v>
      </c>
      <c r="W530" s="6">
        <f>IF(ISERROR(VLOOKUP($T$530,'TAR FIN'!$A$1:$O$95,15,0)),0,VLOOKUP($T$530,'TAR FIN'!$A$1:$O$95,15,0))</f>
        <v>149.63</v>
      </c>
      <c r="X530" s="6">
        <f>IF(ISERROR(VLOOKUP($U$530,'TAR FIN'!$A$1:$O$95,15,0)),0,VLOOKUP($U$530,'TAR FIN'!$A$1:$O$95,15,0))</f>
        <v>230.03</v>
      </c>
      <c r="Y530" s="6">
        <f ca="1">('TUSD BE'!$AM$11+'TUSD BF'!$AM$11+'TUSD CVA'!$AM$11)*1</f>
        <v>31.93064187172984</v>
      </c>
      <c r="Z530" s="6">
        <f ca="1">('TUSD BE'!$AM$12+'TUSD BF'!$AM$12+'TUSD CVA'!$AM$12)*1</f>
        <v>168.51338132937991</v>
      </c>
      <c r="AA530" s="6">
        <f>('TE BE'!$AA$8+'TE BF'!$AA$8+'TE CVA'!$AA$8)*1</f>
        <v>282.91739971702214</v>
      </c>
      <c r="AB530" s="6">
        <f>$K$530*$V$530</f>
        <v>610055.21</v>
      </c>
      <c r="AC530" s="6">
        <f>$M$530*$W$530</f>
        <v>843285.65177999996</v>
      </c>
      <c r="AD530" s="6">
        <f>$O$530*$X$530</f>
        <v>1296404.4541799999</v>
      </c>
      <c r="AE530" s="6">
        <f ca="1">$K$530*$Y$530</f>
        <v>681814.99588704726</v>
      </c>
      <c r="AF530" s="6">
        <f ca="1">$M$530*$Z$530</f>
        <v>949708.72557640716</v>
      </c>
      <c r="AG530" s="6">
        <f>$O$530*$AA$530</f>
        <v>1594467.5788295916</v>
      </c>
    </row>
    <row r="531" spans="1:33" ht="11.25" customHeight="1" x14ac:dyDescent="0.25">
      <c r="A531" s="4" t="s">
        <v>27</v>
      </c>
      <c r="B531" s="4" t="s">
        <v>35</v>
      </c>
      <c r="C531" s="4" t="s">
        <v>44</v>
      </c>
      <c r="D531" s="4" t="s">
        <v>48</v>
      </c>
      <c r="E531" s="4" t="s">
        <v>25</v>
      </c>
      <c r="F531" s="4" t="s">
        <v>25</v>
      </c>
      <c r="G531" s="4" t="s">
        <v>25</v>
      </c>
      <c r="H531" s="4" t="s">
        <v>38</v>
      </c>
      <c r="I531" s="5">
        <v>44136</v>
      </c>
      <c r="J531" s="6">
        <v>26</v>
      </c>
      <c r="K531" s="6">
        <v>26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4" t="s">
        <v>26</v>
      </c>
      <c r="R531" s="4">
        <v>0</v>
      </c>
      <c r="S531" s="6">
        <v>29</v>
      </c>
      <c r="T531" s="6">
        <v>0</v>
      </c>
      <c r="U531" s="6">
        <v>0</v>
      </c>
      <c r="V531" s="6">
        <f>IF(ISERROR(VLOOKUP($S$531,'TAR FIN'!$A$1:$O$95,15,0)),0,VLOOKUP($S$531,'TAR FIN'!$A$1:$O$95,15,0))</f>
        <v>28.57</v>
      </c>
      <c r="W531" s="6">
        <f>IF(ISERROR(VLOOKUP($T$531,'TAR FIN'!$A$1:$O$95,15,0)),0,VLOOKUP($T$531,'TAR FIN'!$A$1:$O$95,15,0))</f>
        <v>0</v>
      </c>
      <c r="X531" s="6">
        <f>IF(ISERROR(VLOOKUP($U$531,'TAR FIN'!$A$1:$O$95,15,0)),0,VLOOKUP($U$531,'TAR FIN'!$A$1:$O$95,15,0))</f>
        <v>0</v>
      </c>
      <c r="Y531" s="6">
        <f ca="1">('TUSD BE'!$AM$11+'TUSD BF'!$AM$11+'TUSD CVA'!$AM$11)*1</f>
        <v>31.93064187172984</v>
      </c>
      <c r="Z531" s="6">
        <f ca="1">('TUSD BE'!$AM$12+'TUSD BF'!$AM$12+'TUSD CVA'!$AM$12)*1</f>
        <v>168.51338132937991</v>
      </c>
      <c r="AA531" s="6">
        <f>('TE BE'!$AA$8+'TE BF'!$AA$8+'TE CVA'!$AA$8)*1</f>
        <v>282.91739971702214</v>
      </c>
      <c r="AB531" s="6">
        <f>$K$531*$V$531</f>
        <v>742.82</v>
      </c>
      <c r="AC531" s="6">
        <f>$M$531*$W$531</f>
        <v>0</v>
      </c>
      <c r="AD531" s="6">
        <f>$O$531*$X$531</f>
        <v>0</v>
      </c>
      <c r="AE531" s="6">
        <f ca="1">$K$531*$Y$531</f>
        <v>830.1966886649758</v>
      </c>
      <c r="AF531" s="6">
        <f ca="1">$M$531*$Z$531</f>
        <v>0</v>
      </c>
      <c r="AG531" s="6">
        <f>$O$531*$AA$531</f>
        <v>0</v>
      </c>
    </row>
    <row r="532" spans="1:33" ht="11.25" customHeight="1" x14ac:dyDescent="0.25">
      <c r="A532" s="4" t="s">
        <v>28</v>
      </c>
      <c r="B532" s="4" t="s">
        <v>35</v>
      </c>
      <c r="C532" s="4" t="s">
        <v>44</v>
      </c>
      <c r="D532" s="4" t="s">
        <v>48</v>
      </c>
      <c r="E532" s="4" t="s">
        <v>25</v>
      </c>
      <c r="F532" s="4" t="s">
        <v>25</v>
      </c>
      <c r="G532" s="4" t="s">
        <v>25</v>
      </c>
      <c r="H532" s="4" t="s">
        <v>38</v>
      </c>
      <c r="I532" s="5">
        <v>44136</v>
      </c>
      <c r="J532" s="6">
        <v>6145</v>
      </c>
      <c r="K532" s="6">
        <v>6145</v>
      </c>
      <c r="L532" s="6">
        <v>1475.3420000000001</v>
      </c>
      <c r="M532" s="6">
        <v>1475.3420000000001</v>
      </c>
      <c r="N532" s="6">
        <v>1475.3420000000001</v>
      </c>
      <c r="O532" s="6">
        <v>1475.3420000000001</v>
      </c>
      <c r="P532" s="6">
        <v>0</v>
      </c>
      <c r="Q532" s="4" t="s">
        <v>26</v>
      </c>
      <c r="R532" s="4">
        <v>0</v>
      </c>
      <c r="S532" s="6">
        <v>29</v>
      </c>
      <c r="T532" s="6">
        <v>30</v>
      </c>
      <c r="U532" s="6">
        <v>67</v>
      </c>
      <c r="V532" s="6">
        <f>IF(ISERROR(VLOOKUP($S$532,'TAR FIN'!$A$1:$O$95,15,0)),0,VLOOKUP($S$532,'TAR FIN'!$A$1:$O$95,15,0))</f>
        <v>28.57</v>
      </c>
      <c r="W532" s="6">
        <f>IF(ISERROR(VLOOKUP($T$532,'TAR FIN'!$A$1:$O$95,15,0)),0,VLOOKUP($T$532,'TAR FIN'!$A$1:$O$95,15,0))</f>
        <v>149.63</v>
      </c>
      <c r="X532" s="6">
        <f>IF(ISERROR(VLOOKUP($U$532,'TAR FIN'!$A$1:$O$95,15,0)),0,VLOOKUP($U$532,'TAR FIN'!$A$1:$O$95,15,0))</f>
        <v>230.03</v>
      </c>
      <c r="Y532" s="6">
        <f ca="1">('TUSD BE'!$AM$11+'TUSD BF'!$AM$11+'TUSD CVA'!$AM$11)*1</f>
        <v>31.93064187172984</v>
      </c>
      <c r="Z532" s="6">
        <f ca="1">('TUSD BE'!$AM$12+'TUSD BF'!$AM$12+'TUSD CVA'!$AM$12)*1</f>
        <v>168.51338132937991</v>
      </c>
      <c r="AA532" s="6">
        <f>('TE BE'!$AA$8+'TE BF'!$AA$8+'TE CVA'!$AA$8)*1</f>
        <v>282.91739971702214</v>
      </c>
      <c r="AB532" s="6">
        <f>$K$532*$V$532</f>
        <v>175562.65</v>
      </c>
      <c r="AC532" s="6">
        <f>$M$532*$W$532</f>
        <v>220755.42346000002</v>
      </c>
      <c r="AD532" s="6">
        <f>$O$532*$X$532</f>
        <v>339372.92026000004</v>
      </c>
      <c r="AE532" s="6">
        <f ca="1">$K$532*$Y$532</f>
        <v>196213.79430177985</v>
      </c>
      <c r="AF532" s="6">
        <f ca="1">$M$532*$Z$532</f>
        <v>248614.86903725003</v>
      </c>
      <c r="AG532" s="6">
        <f>$O$532*$AA$532</f>
        <v>417399.92233331088</v>
      </c>
    </row>
    <row r="533" spans="1:33" ht="11.25" customHeight="1" x14ac:dyDescent="0.25">
      <c r="A533" s="4" t="s">
        <v>21</v>
      </c>
      <c r="B533" s="4" t="s">
        <v>35</v>
      </c>
      <c r="C533" s="4" t="s">
        <v>44</v>
      </c>
      <c r="D533" s="4" t="s">
        <v>48</v>
      </c>
      <c r="E533" s="4" t="s">
        <v>25</v>
      </c>
      <c r="F533" s="4" t="s">
        <v>25</v>
      </c>
      <c r="G533" s="4" t="s">
        <v>25</v>
      </c>
      <c r="H533" s="4" t="s">
        <v>38</v>
      </c>
      <c r="I533" s="5">
        <v>44166</v>
      </c>
      <c r="J533" s="6">
        <v>21189</v>
      </c>
      <c r="K533" s="6">
        <v>21189</v>
      </c>
      <c r="L533" s="6">
        <v>5468.9459999999999</v>
      </c>
      <c r="M533" s="6">
        <v>5468.9459999999999</v>
      </c>
      <c r="N533" s="6">
        <v>5468.9459999999999</v>
      </c>
      <c r="O533" s="6">
        <v>5468.9459999999999</v>
      </c>
      <c r="P533" s="6">
        <v>0</v>
      </c>
      <c r="Q533" s="4" t="s">
        <v>26</v>
      </c>
      <c r="R533" s="4">
        <v>0</v>
      </c>
      <c r="S533" s="6">
        <v>29</v>
      </c>
      <c r="T533" s="6">
        <v>30</v>
      </c>
      <c r="U533" s="6">
        <v>67</v>
      </c>
      <c r="V533" s="6">
        <f>IF(ISERROR(VLOOKUP($S$533,'TAR FIN'!$A$1:$O$95,15,0)),0,VLOOKUP($S$533,'TAR FIN'!$A$1:$O$95,15,0))</f>
        <v>28.57</v>
      </c>
      <c r="W533" s="6">
        <f>IF(ISERROR(VLOOKUP($T$533,'TAR FIN'!$A$1:$O$95,15,0)),0,VLOOKUP($T$533,'TAR FIN'!$A$1:$O$95,15,0))</f>
        <v>149.63</v>
      </c>
      <c r="X533" s="6">
        <f>IF(ISERROR(VLOOKUP($U$533,'TAR FIN'!$A$1:$O$95,15,0)),0,VLOOKUP($U$533,'TAR FIN'!$A$1:$O$95,15,0))</f>
        <v>230.03</v>
      </c>
      <c r="Y533" s="6">
        <f ca="1">('TUSD BE'!$AM$11+'TUSD BF'!$AM$11+'TUSD CVA'!$AM$11)*1</f>
        <v>31.93064187172984</v>
      </c>
      <c r="Z533" s="6">
        <f ca="1">('TUSD BE'!$AM$12+'TUSD BF'!$AM$12+'TUSD CVA'!$AM$12)*1</f>
        <v>168.51338132937991</v>
      </c>
      <c r="AA533" s="6">
        <f>('TE BE'!$AA$8+'TE BF'!$AA$8+'TE CVA'!$AA$8)*1</f>
        <v>282.91739971702214</v>
      </c>
      <c r="AB533" s="6">
        <f>$K$533*$V$533</f>
        <v>605369.73</v>
      </c>
      <c r="AC533" s="6">
        <f>$M$533*$W$533</f>
        <v>818318.38997999998</v>
      </c>
      <c r="AD533" s="6">
        <f>$O$533*$X$533</f>
        <v>1258021.6483799999</v>
      </c>
      <c r="AE533" s="6">
        <f ca="1">$K$533*$Y$533</f>
        <v>676578.37062008353</v>
      </c>
      <c r="AF533" s="6">
        <f ca="1">$M$533*$Z$533</f>
        <v>921590.58276778692</v>
      </c>
      <c r="AG533" s="6">
        <f>$O$533*$AA$533</f>
        <v>1547259.9815128094</v>
      </c>
    </row>
    <row r="534" spans="1:33" ht="11.25" customHeight="1" x14ac:dyDescent="0.25">
      <c r="A534" s="4" t="s">
        <v>28</v>
      </c>
      <c r="B534" s="4" t="s">
        <v>35</v>
      </c>
      <c r="C534" s="4" t="s">
        <v>44</v>
      </c>
      <c r="D534" s="4" t="s">
        <v>48</v>
      </c>
      <c r="E534" s="4" t="s">
        <v>25</v>
      </c>
      <c r="F534" s="4" t="s">
        <v>25</v>
      </c>
      <c r="G534" s="4" t="s">
        <v>25</v>
      </c>
      <c r="H534" s="4" t="s">
        <v>38</v>
      </c>
      <c r="I534" s="5">
        <v>44166</v>
      </c>
      <c r="J534" s="6">
        <v>6330</v>
      </c>
      <c r="K534" s="6">
        <v>6330</v>
      </c>
      <c r="L534" s="6">
        <v>1433.1410000000001</v>
      </c>
      <c r="M534" s="6">
        <v>1433.1410000000001</v>
      </c>
      <c r="N534" s="6">
        <v>1433.1410000000001</v>
      </c>
      <c r="O534" s="6">
        <v>1433.1410000000001</v>
      </c>
      <c r="P534" s="6">
        <v>0</v>
      </c>
      <c r="Q534" s="4" t="s">
        <v>26</v>
      </c>
      <c r="R534" s="4">
        <v>0</v>
      </c>
      <c r="S534" s="6">
        <v>29</v>
      </c>
      <c r="T534" s="6">
        <v>30</v>
      </c>
      <c r="U534" s="6">
        <v>67</v>
      </c>
      <c r="V534" s="6">
        <f>IF(ISERROR(VLOOKUP($S$534,'TAR FIN'!$A$1:$O$95,15,0)),0,VLOOKUP($S$534,'TAR FIN'!$A$1:$O$95,15,0))</f>
        <v>28.57</v>
      </c>
      <c r="W534" s="6">
        <f>IF(ISERROR(VLOOKUP($T$534,'TAR FIN'!$A$1:$O$95,15,0)),0,VLOOKUP($T$534,'TAR FIN'!$A$1:$O$95,15,0))</f>
        <v>149.63</v>
      </c>
      <c r="X534" s="6">
        <f>IF(ISERROR(VLOOKUP($U$534,'TAR FIN'!$A$1:$O$95,15,0)),0,VLOOKUP($U$534,'TAR FIN'!$A$1:$O$95,15,0))</f>
        <v>230.03</v>
      </c>
      <c r="Y534" s="6">
        <f ca="1">('TUSD BE'!$AM$11+'TUSD BF'!$AM$11+'TUSD CVA'!$AM$11)*1</f>
        <v>31.93064187172984</v>
      </c>
      <c r="Z534" s="6">
        <f ca="1">('TUSD BE'!$AM$12+'TUSD BF'!$AM$12+'TUSD CVA'!$AM$12)*1</f>
        <v>168.51338132937991</v>
      </c>
      <c r="AA534" s="6">
        <f>('TE BE'!$AA$8+'TE BF'!$AA$8+'TE CVA'!$AA$8)*1</f>
        <v>282.91739971702214</v>
      </c>
      <c r="AB534" s="6">
        <f>$K$534*$V$534</f>
        <v>180848.1</v>
      </c>
      <c r="AC534" s="6">
        <f>$M$534*$W$534</f>
        <v>214440.88782999999</v>
      </c>
      <c r="AD534" s="6">
        <f>$O$534*$X$534</f>
        <v>329665.42423</v>
      </c>
      <c r="AE534" s="6">
        <f ca="1">$K$534*$Y$534</f>
        <v>202120.96304804989</v>
      </c>
      <c r="AF534" s="6">
        <f ca="1">$M$534*$Z$534</f>
        <v>241503.43583176887</v>
      </c>
      <c r="AG534" s="6">
        <f>$O$534*$AA$534</f>
        <v>405460.52514785284</v>
      </c>
    </row>
    <row r="535" spans="1:33" ht="11.25" customHeight="1" x14ac:dyDescent="0.25">
      <c r="A535" s="4" t="s">
        <v>21</v>
      </c>
      <c r="B535" s="4" t="s">
        <v>35</v>
      </c>
      <c r="C535" s="4" t="s">
        <v>44</v>
      </c>
      <c r="D535" s="4" t="s">
        <v>48</v>
      </c>
      <c r="E535" s="4" t="s">
        <v>25</v>
      </c>
      <c r="F535" s="4" t="s">
        <v>25</v>
      </c>
      <c r="G535" s="4" t="s">
        <v>25</v>
      </c>
      <c r="H535" s="4" t="s">
        <v>38</v>
      </c>
      <c r="I535" s="5">
        <v>44197</v>
      </c>
      <c r="J535" s="6">
        <v>21194</v>
      </c>
      <c r="K535" s="6">
        <v>21194</v>
      </c>
      <c r="L535" s="6">
        <v>5112.22</v>
      </c>
      <c r="M535" s="6">
        <v>5112.22</v>
      </c>
      <c r="N535" s="6">
        <v>5112.22</v>
      </c>
      <c r="O535" s="6">
        <v>5112.22</v>
      </c>
      <c r="P535" s="6">
        <v>0</v>
      </c>
      <c r="Q535" s="4" t="s">
        <v>26</v>
      </c>
      <c r="R535" s="4">
        <v>0</v>
      </c>
      <c r="S535" s="6">
        <v>29</v>
      </c>
      <c r="T535" s="6">
        <v>30</v>
      </c>
      <c r="U535" s="6">
        <v>67</v>
      </c>
      <c r="V535" s="6">
        <f>IF(ISERROR(VLOOKUP($S$535,'TAR FIN'!$A$1:$O$95,15,0)),0,VLOOKUP($S$535,'TAR FIN'!$A$1:$O$95,15,0))</f>
        <v>28.57</v>
      </c>
      <c r="W535" s="6">
        <f>IF(ISERROR(VLOOKUP($T$535,'TAR FIN'!$A$1:$O$95,15,0)),0,VLOOKUP($T$535,'TAR FIN'!$A$1:$O$95,15,0))</f>
        <v>149.63</v>
      </c>
      <c r="X535" s="6">
        <f>IF(ISERROR(VLOOKUP($U$535,'TAR FIN'!$A$1:$O$95,15,0)),0,VLOOKUP($U$535,'TAR FIN'!$A$1:$O$95,15,0))</f>
        <v>230.03</v>
      </c>
      <c r="Y535" s="6">
        <f ca="1">('TUSD BE'!$AM$11+'TUSD BF'!$AM$11+'TUSD CVA'!$AM$11)*1</f>
        <v>31.93064187172984</v>
      </c>
      <c r="Z535" s="6">
        <f ca="1">('TUSD BE'!$AM$12+'TUSD BF'!$AM$12+'TUSD CVA'!$AM$12)*1</f>
        <v>168.51338132937991</v>
      </c>
      <c r="AA535" s="6">
        <f>('TE BE'!$AA$8+'TE BF'!$AA$8+'TE CVA'!$AA$8)*1</f>
        <v>282.91739971702214</v>
      </c>
      <c r="AB535" s="6">
        <f>$K$535*$V$535</f>
        <v>605512.57999999996</v>
      </c>
      <c r="AC535" s="6">
        <f>$M$535*$W$535</f>
        <v>764941.47860000003</v>
      </c>
      <c r="AD535" s="6">
        <f>$O$535*$X$535</f>
        <v>1175963.9666000002</v>
      </c>
      <c r="AE535" s="6">
        <f ca="1">$K$535*$Y$535</f>
        <v>676738.02382944222</v>
      </c>
      <c r="AF535" s="6">
        <f ca="1">$M$535*$Z$535</f>
        <v>861477.47829968261</v>
      </c>
      <c r="AG535" s="6">
        <f>$O$535*$AA$535</f>
        <v>1446335.9891813549</v>
      </c>
    </row>
    <row r="536" spans="1:33" ht="11.25" customHeight="1" x14ac:dyDescent="0.25">
      <c r="A536" s="4" t="s">
        <v>28</v>
      </c>
      <c r="B536" s="4" t="s">
        <v>35</v>
      </c>
      <c r="C536" s="4" t="s">
        <v>44</v>
      </c>
      <c r="D536" s="4" t="s">
        <v>48</v>
      </c>
      <c r="E536" s="4" t="s">
        <v>25</v>
      </c>
      <c r="F536" s="4" t="s">
        <v>25</v>
      </c>
      <c r="G536" s="4" t="s">
        <v>25</v>
      </c>
      <c r="H536" s="4" t="s">
        <v>38</v>
      </c>
      <c r="I536" s="5">
        <v>44197</v>
      </c>
      <c r="J536" s="6">
        <v>6098</v>
      </c>
      <c r="K536" s="6">
        <v>6098</v>
      </c>
      <c r="L536" s="6">
        <v>1402.4</v>
      </c>
      <c r="M536" s="6">
        <v>1402.4</v>
      </c>
      <c r="N536" s="6">
        <v>1402.4</v>
      </c>
      <c r="O536" s="6">
        <v>1402.4</v>
      </c>
      <c r="P536" s="6">
        <v>0</v>
      </c>
      <c r="Q536" s="4" t="s">
        <v>26</v>
      </c>
      <c r="R536" s="4">
        <v>0</v>
      </c>
      <c r="S536" s="6">
        <v>29</v>
      </c>
      <c r="T536" s="6">
        <v>30</v>
      </c>
      <c r="U536" s="6">
        <v>67</v>
      </c>
      <c r="V536" s="6">
        <f>IF(ISERROR(VLOOKUP($S$536,'TAR FIN'!$A$1:$O$95,15,0)),0,VLOOKUP($S$536,'TAR FIN'!$A$1:$O$95,15,0))</f>
        <v>28.57</v>
      </c>
      <c r="W536" s="6">
        <f>IF(ISERROR(VLOOKUP($T$536,'TAR FIN'!$A$1:$O$95,15,0)),0,VLOOKUP($T$536,'TAR FIN'!$A$1:$O$95,15,0))</f>
        <v>149.63</v>
      </c>
      <c r="X536" s="6">
        <f>IF(ISERROR(VLOOKUP($U$536,'TAR FIN'!$A$1:$O$95,15,0)),0,VLOOKUP($U$536,'TAR FIN'!$A$1:$O$95,15,0))</f>
        <v>230.03</v>
      </c>
      <c r="Y536" s="6">
        <f ca="1">('TUSD BE'!$AM$11+'TUSD BF'!$AM$11+'TUSD CVA'!$AM$11)*1</f>
        <v>31.93064187172984</v>
      </c>
      <c r="Z536" s="6">
        <f ca="1">('TUSD BE'!$AM$12+'TUSD BF'!$AM$12+'TUSD CVA'!$AM$12)*1</f>
        <v>168.51338132937991</v>
      </c>
      <c r="AA536" s="6">
        <f>('TE BE'!$AA$8+'TE BF'!$AA$8+'TE CVA'!$AA$8)*1</f>
        <v>282.91739971702214</v>
      </c>
      <c r="AB536" s="6">
        <f>$K$536*$V$536</f>
        <v>174219.86000000002</v>
      </c>
      <c r="AC536" s="6">
        <f>$M$536*$W$536</f>
        <v>209841.11199999999</v>
      </c>
      <c r="AD536" s="6">
        <f>$O$536*$X$536</f>
        <v>322594.07200000004</v>
      </c>
      <c r="AE536" s="6">
        <f ca="1">$K$536*$Y$536</f>
        <v>194713.05413380856</v>
      </c>
      <c r="AF536" s="6">
        <f ca="1">$M$536*$Z$536</f>
        <v>236323.1659763224</v>
      </c>
      <c r="AG536" s="6">
        <f>$O$536*$AA$536</f>
        <v>396763.36136315187</v>
      </c>
    </row>
    <row r="537" spans="1:33" ht="11.25" customHeight="1" x14ac:dyDescent="0.25">
      <c r="A537" s="4" t="s">
        <v>21</v>
      </c>
      <c r="B537" s="4" t="s">
        <v>35</v>
      </c>
      <c r="C537" s="4" t="s">
        <v>44</v>
      </c>
      <c r="D537" s="4" t="s">
        <v>48</v>
      </c>
      <c r="E537" s="4" t="s">
        <v>25</v>
      </c>
      <c r="F537" s="4" t="s">
        <v>25</v>
      </c>
      <c r="G537" s="4" t="s">
        <v>25</v>
      </c>
      <c r="H537" s="4" t="s">
        <v>38</v>
      </c>
      <c r="I537" s="5">
        <v>44228</v>
      </c>
      <c r="J537" s="6">
        <v>21048</v>
      </c>
      <c r="K537" s="6">
        <v>21048</v>
      </c>
      <c r="L537" s="6">
        <v>4835.0370000000003</v>
      </c>
      <c r="M537" s="6">
        <v>4835.0370000000003</v>
      </c>
      <c r="N537" s="6">
        <v>4835.0370000000003</v>
      </c>
      <c r="O537" s="6">
        <v>4835.0370000000003</v>
      </c>
      <c r="P537" s="6">
        <v>0</v>
      </c>
      <c r="Q537" s="4" t="s">
        <v>26</v>
      </c>
      <c r="R537" s="4">
        <v>0</v>
      </c>
      <c r="S537" s="6">
        <v>29</v>
      </c>
      <c r="T537" s="6">
        <v>30</v>
      </c>
      <c r="U537" s="6">
        <v>67</v>
      </c>
      <c r="V537" s="6">
        <f>IF(ISERROR(VLOOKUP($S$537,'TAR FIN'!$A$1:$O$95,15,0)),0,VLOOKUP($S$537,'TAR FIN'!$A$1:$O$95,15,0))</f>
        <v>28.57</v>
      </c>
      <c r="W537" s="6">
        <f>IF(ISERROR(VLOOKUP($T$537,'TAR FIN'!$A$1:$O$95,15,0)),0,VLOOKUP($T$537,'TAR FIN'!$A$1:$O$95,15,0))</f>
        <v>149.63</v>
      </c>
      <c r="X537" s="6">
        <f>IF(ISERROR(VLOOKUP($U$537,'TAR FIN'!$A$1:$O$95,15,0)),0,VLOOKUP($U$537,'TAR FIN'!$A$1:$O$95,15,0))</f>
        <v>230.03</v>
      </c>
      <c r="Y537" s="6">
        <f ca="1">('TUSD BE'!$AM$11+'TUSD BF'!$AM$11+'TUSD CVA'!$AM$11)*1</f>
        <v>31.93064187172984</v>
      </c>
      <c r="Z537" s="6">
        <f ca="1">('TUSD BE'!$AM$12+'TUSD BF'!$AM$12+'TUSD CVA'!$AM$12)*1</f>
        <v>168.51338132937991</v>
      </c>
      <c r="AA537" s="6">
        <f>('TE BE'!$AA$8+'TE BF'!$AA$8+'TE CVA'!$AA$8)*1</f>
        <v>282.91739971702214</v>
      </c>
      <c r="AB537" s="6">
        <f>$K$537*$V$537</f>
        <v>601341.36</v>
      </c>
      <c r="AC537" s="6">
        <f>$M$537*$W$537</f>
        <v>723466.58631000004</v>
      </c>
      <c r="AD537" s="6">
        <f>$O$537*$X$537</f>
        <v>1112203.5611100001</v>
      </c>
      <c r="AE537" s="6">
        <f ca="1">$K$537*$Y$537</f>
        <v>672076.15011616971</v>
      </c>
      <c r="AF537" s="6">
        <f ca="1">$M$537*$Z$537</f>
        <v>814768.43372266111</v>
      </c>
      <c r="AG537" s="6">
        <f>$O$537*$AA$537</f>
        <v>1367916.0955755915</v>
      </c>
    </row>
    <row r="538" spans="1:33" ht="11.25" customHeight="1" x14ac:dyDescent="0.25">
      <c r="A538" s="4" t="s">
        <v>27</v>
      </c>
      <c r="B538" s="4" t="s">
        <v>35</v>
      </c>
      <c r="C538" s="4" t="s">
        <v>44</v>
      </c>
      <c r="D538" s="4" t="s">
        <v>48</v>
      </c>
      <c r="E538" s="4" t="s">
        <v>25</v>
      </c>
      <c r="F538" s="4" t="s">
        <v>25</v>
      </c>
      <c r="G538" s="4" t="s">
        <v>25</v>
      </c>
      <c r="H538" s="4" t="s">
        <v>38</v>
      </c>
      <c r="I538" s="5">
        <v>44228</v>
      </c>
      <c r="J538" s="6">
        <v>-75</v>
      </c>
      <c r="K538" s="6">
        <v>-75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4" t="s">
        <v>26</v>
      </c>
      <c r="R538" s="4">
        <v>0</v>
      </c>
      <c r="S538" s="6">
        <v>29</v>
      </c>
      <c r="T538" s="6">
        <v>0</v>
      </c>
      <c r="U538" s="6">
        <v>0</v>
      </c>
      <c r="V538" s="6">
        <f>IF(ISERROR(VLOOKUP($S$538,'TAR FIN'!$A$1:$O$95,15,0)),0,VLOOKUP($S$538,'TAR FIN'!$A$1:$O$95,15,0))</f>
        <v>28.57</v>
      </c>
      <c r="W538" s="6">
        <f>IF(ISERROR(VLOOKUP($T$538,'TAR FIN'!$A$1:$O$95,15,0)),0,VLOOKUP($T$538,'TAR FIN'!$A$1:$O$95,15,0))</f>
        <v>0</v>
      </c>
      <c r="X538" s="6">
        <f>IF(ISERROR(VLOOKUP($U$538,'TAR FIN'!$A$1:$O$95,15,0)),0,VLOOKUP($U$538,'TAR FIN'!$A$1:$O$95,15,0))</f>
        <v>0</v>
      </c>
      <c r="Y538" s="6">
        <f ca="1">('TUSD BE'!$AM$11+'TUSD BF'!$AM$11+'TUSD CVA'!$AM$11)*1</f>
        <v>31.93064187172984</v>
      </c>
      <c r="Z538" s="6">
        <f ca="1">('TUSD BE'!$AM$12+'TUSD BF'!$AM$12+'TUSD CVA'!$AM$12)*1</f>
        <v>168.51338132937991</v>
      </c>
      <c r="AA538" s="6">
        <f>('TE BE'!$AA$8+'TE BF'!$AA$8+'TE CVA'!$AA$8)*1</f>
        <v>282.91739971702214</v>
      </c>
      <c r="AB538" s="6">
        <f>$K$538*$V$538</f>
        <v>-2142.75</v>
      </c>
      <c r="AC538" s="6">
        <f>$M$538*$W$538</f>
        <v>0</v>
      </c>
      <c r="AD538" s="6">
        <f>$O$538*$X$538</f>
        <v>0</v>
      </c>
      <c r="AE538" s="6">
        <f ca="1">$K$538*$Y$538</f>
        <v>-2394.798140379738</v>
      </c>
      <c r="AF538" s="6">
        <f ca="1">$M$538*$Z$538</f>
        <v>0</v>
      </c>
      <c r="AG538" s="6">
        <f>$O$538*$AA$538</f>
        <v>0</v>
      </c>
    </row>
    <row r="539" spans="1:33" ht="11.25" customHeight="1" x14ac:dyDescent="0.25">
      <c r="A539" s="4" t="s">
        <v>28</v>
      </c>
      <c r="B539" s="4" t="s">
        <v>35</v>
      </c>
      <c r="C539" s="4" t="s">
        <v>44</v>
      </c>
      <c r="D539" s="4" t="s">
        <v>48</v>
      </c>
      <c r="E539" s="4" t="s">
        <v>25</v>
      </c>
      <c r="F539" s="4" t="s">
        <v>25</v>
      </c>
      <c r="G539" s="4" t="s">
        <v>25</v>
      </c>
      <c r="H539" s="4" t="s">
        <v>38</v>
      </c>
      <c r="I539" s="5">
        <v>44228</v>
      </c>
      <c r="J539" s="6">
        <v>6565</v>
      </c>
      <c r="K539" s="6">
        <v>6565</v>
      </c>
      <c r="L539" s="6">
        <v>1459.3009999999999</v>
      </c>
      <c r="M539" s="6">
        <v>1459.3009999999999</v>
      </c>
      <c r="N539" s="6">
        <v>1459.3009999999999</v>
      </c>
      <c r="O539" s="6">
        <v>1459.3009999999999</v>
      </c>
      <c r="P539" s="6">
        <v>0</v>
      </c>
      <c r="Q539" s="4" t="s">
        <v>26</v>
      </c>
      <c r="R539" s="4">
        <v>0</v>
      </c>
      <c r="S539" s="6">
        <v>29</v>
      </c>
      <c r="T539" s="6">
        <v>30</v>
      </c>
      <c r="U539" s="6">
        <v>67</v>
      </c>
      <c r="V539" s="6">
        <f>IF(ISERROR(VLOOKUP($S$539,'TAR FIN'!$A$1:$O$95,15,0)),0,VLOOKUP($S$539,'TAR FIN'!$A$1:$O$95,15,0))</f>
        <v>28.57</v>
      </c>
      <c r="W539" s="6">
        <f>IF(ISERROR(VLOOKUP($T$539,'TAR FIN'!$A$1:$O$95,15,0)),0,VLOOKUP($T$539,'TAR FIN'!$A$1:$O$95,15,0))</f>
        <v>149.63</v>
      </c>
      <c r="X539" s="6">
        <f>IF(ISERROR(VLOOKUP($U$539,'TAR FIN'!$A$1:$O$95,15,0)),0,VLOOKUP($U$539,'TAR FIN'!$A$1:$O$95,15,0))</f>
        <v>230.03</v>
      </c>
      <c r="Y539" s="6">
        <f ca="1">('TUSD BE'!$AM$11+'TUSD BF'!$AM$11+'TUSD CVA'!$AM$11)*1</f>
        <v>31.93064187172984</v>
      </c>
      <c r="Z539" s="6">
        <f ca="1">('TUSD BE'!$AM$12+'TUSD BF'!$AM$12+'TUSD CVA'!$AM$12)*1</f>
        <v>168.51338132937991</v>
      </c>
      <c r="AA539" s="6">
        <f>('TE BE'!$AA$8+'TE BF'!$AA$8+'TE CVA'!$AA$8)*1</f>
        <v>282.91739971702214</v>
      </c>
      <c r="AB539" s="6">
        <f>$K$539*$V$539</f>
        <v>187562.05</v>
      </c>
      <c r="AC539" s="6">
        <f>$M$539*$W$539</f>
        <v>218355.20862999998</v>
      </c>
      <c r="AD539" s="6">
        <f>$O$539*$X$539</f>
        <v>335683.00902999996</v>
      </c>
      <c r="AE539" s="6">
        <f ca="1">$K$539*$Y$539</f>
        <v>209624.66388790641</v>
      </c>
      <c r="AF539" s="6">
        <f ca="1">$M$539*$Z$539</f>
        <v>245911.74588734543</v>
      </c>
      <c r="AG539" s="6">
        <f>$O$539*$AA$539</f>
        <v>412861.64432445011</v>
      </c>
    </row>
    <row r="540" spans="1:33" ht="11.25" customHeight="1" x14ac:dyDescent="0.25">
      <c r="A540" s="4" t="s">
        <v>29</v>
      </c>
      <c r="B540" s="4" t="s">
        <v>35</v>
      </c>
      <c r="C540" s="4" t="s">
        <v>44</v>
      </c>
      <c r="D540" s="4" t="s">
        <v>48</v>
      </c>
      <c r="E540" s="4" t="s">
        <v>25</v>
      </c>
      <c r="F540" s="4" t="s">
        <v>25</v>
      </c>
      <c r="G540" s="4" t="s">
        <v>25</v>
      </c>
      <c r="H540" s="4" t="s">
        <v>38</v>
      </c>
      <c r="I540" s="5">
        <v>44228</v>
      </c>
      <c r="J540" s="6">
        <v>-230</v>
      </c>
      <c r="K540" s="6">
        <v>-230</v>
      </c>
      <c r="L540" s="6">
        <v>20.065000000000001</v>
      </c>
      <c r="M540" s="6">
        <v>20.065000000000001</v>
      </c>
      <c r="N540" s="6">
        <v>20.065000000000001</v>
      </c>
      <c r="O540" s="6">
        <v>20.065000000000001</v>
      </c>
      <c r="P540" s="6">
        <v>0</v>
      </c>
      <c r="Q540" s="4" t="s">
        <v>26</v>
      </c>
      <c r="R540" s="4">
        <v>0</v>
      </c>
      <c r="S540" s="6">
        <v>29</v>
      </c>
      <c r="T540" s="6">
        <v>30</v>
      </c>
      <c r="U540" s="6">
        <v>67</v>
      </c>
      <c r="V540" s="6">
        <f>IF(ISERROR(VLOOKUP($S$540,'TAR FIN'!$A$1:$O$95,15,0)),0,VLOOKUP($S$540,'TAR FIN'!$A$1:$O$95,15,0))</f>
        <v>28.57</v>
      </c>
      <c r="W540" s="6">
        <f>IF(ISERROR(VLOOKUP($T$540,'TAR FIN'!$A$1:$O$95,15,0)),0,VLOOKUP($T$540,'TAR FIN'!$A$1:$O$95,15,0))</f>
        <v>149.63</v>
      </c>
      <c r="X540" s="6">
        <f>IF(ISERROR(VLOOKUP($U$540,'TAR FIN'!$A$1:$O$95,15,0)),0,VLOOKUP($U$540,'TAR FIN'!$A$1:$O$95,15,0))</f>
        <v>230.03</v>
      </c>
      <c r="Y540" s="6">
        <f ca="1">('TUSD BE'!$AM$11+'TUSD BF'!$AM$11+'TUSD CVA'!$AM$11)*1</f>
        <v>31.93064187172984</v>
      </c>
      <c r="Z540" s="6">
        <f ca="1">('TUSD BE'!$AM$12+'TUSD BF'!$AM$12+'TUSD CVA'!$AM$12)*1</f>
        <v>168.51338132937991</v>
      </c>
      <c r="AA540" s="6">
        <f>('TE BE'!$AA$8+'TE BF'!$AA$8+'TE CVA'!$AA$8)*1</f>
        <v>282.91739971702214</v>
      </c>
      <c r="AB540" s="6">
        <f>$K$540*$V$540</f>
        <v>-6571.1</v>
      </c>
      <c r="AC540" s="6">
        <f>$M$540*$W$540</f>
        <v>3002.3259499999999</v>
      </c>
      <c r="AD540" s="6">
        <f>$O$540*$X$540</f>
        <v>4615.55195</v>
      </c>
      <c r="AE540" s="6">
        <f ca="1">$K$540*$Y$540</f>
        <v>-7344.0476304978629</v>
      </c>
      <c r="AF540" s="6">
        <f ca="1">$M$540*$Z$540</f>
        <v>3381.2209963740083</v>
      </c>
      <c r="AG540" s="6">
        <f>$O$540*$AA$540</f>
        <v>5676.7376253220491</v>
      </c>
    </row>
    <row r="541" spans="1:33" ht="11.25" customHeight="1" x14ac:dyDescent="0.25">
      <c r="A541" s="4" t="s">
        <v>21</v>
      </c>
      <c r="B541" s="4" t="s">
        <v>35</v>
      </c>
      <c r="C541" s="4" t="s">
        <v>44</v>
      </c>
      <c r="D541" s="4" t="s">
        <v>48</v>
      </c>
      <c r="E541" s="4" t="s">
        <v>25</v>
      </c>
      <c r="F541" s="4" t="s">
        <v>25</v>
      </c>
      <c r="G541" s="4" t="s">
        <v>25</v>
      </c>
      <c r="H541" s="4" t="s">
        <v>38</v>
      </c>
      <c r="I541" s="5">
        <v>44256</v>
      </c>
      <c r="J541" s="6">
        <v>22070</v>
      </c>
      <c r="K541" s="6">
        <v>22070</v>
      </c>
      <c r="L541" s="6">
        <v>5257.424</v>
      </c>
      <c r="M541" s="6">
        <v>5257.424</v>
      </c>
      <c r="N541" s="6">
        <v>5257.424</v>
      </c>
      <c r="O541" s="6">
        <v>5257.424</v>
      </c>
      <c r="P541" s="6">
        <v>0</v>
      </c>
      <c r="Q541" s="4" t="s">
        <v>26</v>
      </c>
      <c r="R541" s="4">
        <v>0</v>
      </c>
      <c r="S541" s="6">
        <v>29</v>
      </c>
      <c r="T541" s="6">
        <v>30</v>
      </c>
      <c r="U541" s="6">
        <v>67</v>
      </c>
      <c r="V541" s="6">
        <f>IF(ISERROR(VLOOKUP($S$541,'TAR FIN'!$A$1:$O$95,15,0)),0,VLOOKUP($S$541,'TAR FIN'!$A$1:$O$95,15,0))</f>
        <v>28.57</v>
      </c>
      <c r="W541" s="6">
        <f>IF(ISERROR(VLOOKUP($T$541,'TAR FIN'!$A$1:$O$95,15,0)),0,VLOOKUP($T$541,'TAR FIN'!$A$1:$O$95,15,0))</f>
        <v>149.63</v>
      </c>
      <c r="X541" s="6">
        <f>IF(ISERROR(VLOOKUP($U$541,'TAR FIN'!$A$1:$O$95,15,0)),0,VLOOKUP($U$541,'TAR FIN'!$A$1:$O$95,15,0))</f>
        <v>230.03</v>
      </c>
      <c r="Y541" s="6">
        <f ca="1">('TUSD BE'!$AM$11+'TUSD BF'!$AM$11+'TUSD CVA'!$AM$11)*1</f>
        <v>31.93064187172984</v>
      </c>
      <c r="Z541" s="6">
        <f ca="1">('TUSD BE'!$AM$12+'TUSD BF'!$AM$12+'TUSD CVA'!$AM$12)*1</f>
        <v>168.51338132937991</v>
      </c>
      <c r="AA541" s="6">
        <f>('TE BE'!$AA$8+'TE BF'!$AA$8+'TE CVA'!$AA$8)*1</f>
        <v>282.91739971702214</v>
      </c>
      <c r="AB541" s="6">
        <f>$K$541*$V$541</f>
        <v>630539.9</v>
      </c>
      <c r="AC541" s="6">
        <f>$M$541*$W$541</f>
        <v>786668.35311999999</v>
      </c>
      <c r="AD541" s="6">
        <f>$O$541*$X$541</f>
        <v>1209365.24272</v>
      </c>
      <c r="AE541" s="6">
        <f ca="1">$K$541*$Y$541</f>
        <v>704709.26610907761</v>
      </c>
      <c r="AF541" s="6">
        <f ca="1">$M$541*$Z$541</f>
        <v>885946.29532223381</v>
      </c>
      <c r="AG541" s="6">
        <f>$O$541*$AA$541</f>
        <v>1487416.7272898655</v>
      </c>
    </row>
    <row r="542" spans="1:33" ht="11.25" customHeight="1" x14ac:dyDescent="0.25">
      <c r="A542" s="4" t="s">
        <v>28</v>
      </c>
      <c r="B542" s="4" t="s">
        <v>35</v>
      </c>
      <c r="C542" s="4" t="s">
        <v>44</v>
      </c>
      <c r="D542" s="4" t="s">
        <v>48</v>
      </c>
      <c r="E542" s="4" t="s">
        <v>25</v>
      </c>
      <c r="F542" s="4" t="s">
        <v>25</v>
      </c>
      <c r="G542" s="4" t="s">
        <v>25</v>
      </c>
      <c r="H542" s="4" t="s">
        <v>38</v>
      </c>
      <c r="I542" s="5">
        <v>44256</v>
      </c>
      <c r="J542" s="6">
        <v>5799</v>
      </c>
      <c r="K542" s="6">
        <v>5799</v>
      </c>
      <c r="L542" s="6">
        <v>1592.9639999999999</v>
      </c>
      <c r="M542" s="6">
        <v>1592.9639999999999</v>
      </c>
      <c r="N542" s="6">
        <v>1592.9639999999999</v>
      </c>
      <c r="O542" s="6">
        <v>1592.9639999999999</v>
      </c>
      <c r="P542" s="6">
        <v>0</v>
      </c>
      <c r="Q542" s="4" t="s">
        <v>26</v>
      </c>
      <c r="R542" s="4">
        <v>0</v>
      </c>
      <c r="S542" s="6">
        <v>29</v>
      </c>
      <c r="T542" s="6">
        <v>30</v>
      </c>
      <c r="U542" s="6">
        <v>67</v>
      </c>
      <c r="V542" s="6">
        <f>IF(ISERROR(VLOOKUP($S$542,'TAR FIN'!$A$1:$O$95,15,0)),0,VLOOKUP($S$542,'TAR FIN'!$A$1:$O$95,15,0))</f>
        <v>28.57</v>
      </c>
      <c r="W542" s="6">
        <f>IF(ISERROR(VLOOKUP($T$542,'TAR FIN'!$A$1:$O$95,15,0)),0,VLOOKUP($T$542,'TAR FIN'!$A$1:$O$95,15,0))</f>
        <v>149.63</v>
      </c>
      <c r="X542" s="6">
        <f>IF(ISERROR(VLOOKUP($U$542,'TAR FIN'!$A$1:$O$95,15,0)),0,VLOOKUP($U$542,'TAR FIN'!$A$1:$O$95,15,0))</f>
        <v>230.03</v>
      </c>
      <c r="Y542" s="6">
        <f ca="1">('TUSD BE'!$AM$11+'TUSD BF'!$AM$11+'TUSD CVA'!$AM$11)*1</f>
        <v>31.93064187172984</v>
      </c>
      <c r="Z542" s="6">
        <f ca="1">('TUSD BE'!$AM$12+'TUSD BF'!$AM$12+'TUSD CVA'!$AM$12)*1</f>
        <v>168.51338132937991</v>
      </c>
      <c r="AA542" s="6">
        <f>('TE BE'!$AA$8+'TE BF'!$AA$8+'TE CVA'!$AA$8)*1</f>
        <v>282.91739971702214</v>
      </c>
      <c r="AB542" s="6">
        <f>$K$542*$V$542</f>
        <v>165677.43</v>
      </c>
      <c r="AC542" s="6">
        <f>$M$542*$W$542</f>
        <v>238355.20331999997</v>
      </c>
      <c r="AD542" s="6">
        <f>$O$542*$X$542</f>
        <v>366429.50891999999</v>
      </c>
      <c r="AE542" s="6">
        <f ca="1">$K$542*$Y$542</f>
        <v>185165.79221416134</v>
      </c>
      <c r="AF542" s="6">
        <f ca="1">$M$542*$Z$542</f>
        <v>268435.74997597432</v>
      </c>
      <c r="AG542" s="6">
        <f>$O$542*$AA$542</f>
        <v>450677.23272282642</v>
      </c>
    </row>
    <row r="543" spans="1:33" ht="11.25" customHeight="1" x14ac:dyDescent="0.25">
      <c r="A543" s="4" t="s">
        <v>29</v>
      </c>
      <c r="B543" s="4" t="s">
        <v>35</v>
      </c>
      <c r="C543" s="4" t="s">
        <v>44</v>
      </c>
      <c r="D543" s="4" t="s">
        <v>48</v>
      </c>
      <c r="E543" s="4" t="s">
        <v>25</v>
      </c>
      <c r="F543" s="4" t="s">
        <v>25</v>
      </c>
      <c r="G543" s="4" t="s">
        <v>25</v>
      </c>
      <c r="H543" s="4" t="s">
        <v>38</v>
      </c>
      <c r="I543" s="5">
        <v>44256</v>
      </c>
      <c r="J543" s="6">
        <v>275</v>
      </c>
      <c r="K543" s="6">
        <v>275</v>
      </c>
      <c r="L543" s="6">
        <v>15.859</v>
      </c>
      <c r="M543" s="6">
        <v>15.859</v>
      </c>
      <c r="N543" s="6">
        <v>15.859</v>
      </c>
      <c r="O543" s="6">
        <v>15.859</v>
      </c>
      <c r="P543" s="6">
        <v>0</v>
      </c>
      <c r="Q543" s="4" t="s">
        <v>26</v>
      </c>
      <c r="R543" s="4">
        <v>0</v>
      </c>
      <c r="S543" s="6">
        <v>29</v>
      </c>
      <c r="T543" s="6">
        <v>30</v>
      </c>
      <c r="U543" s="6">
        <v>67</v>
      </c>
      <c r="V543" s="6">
        <f>IF(ISERROR(VLOOKUP($S$543,'TAR FIN'!$A$1:$O$95,15,0)),0,VLOOKUP($S$543,'TAR FIN'!$A$1:$O$95,15,0))</f>
        <v>28.57</v>
      </c>
      <c r="W543" s="6">
        <f>IF(ISERROR(VLOOKUP($T$543,'TAR FIN'!$A$1:$O$95,15,0)),0,VLOOKUP($T$543,'TAR FIN'!$A$1:$O$95,15,0))</f>
        <v>149.63</v>
      </c>
      <c r="X543" s="6">
        <f>IF(ISERROR(VLOOKUP($U$543,'TAR FIN'!$A$1:$O$95,15,0)),0,VLOOKUP($U$543,'TAR FIN'!$A$1:$O$95,15,0))</f>
        <v>230.03</v>
      </c>
      <c r="Y543" s="6">
        <f ca="1">('TUSD BE'!$AM$11+'TUSD BF'!$AM$11+'TUSD CVA'!$AM$11)*1</f>
        <v>31.93064187172984</v>
      </c>
      <c r="Z543" s="6">
        <f ca="1">('TUSD BE'!$AM$12+'TUSD BF'!$AM$12+'TUSD CVA'!$AM$12)*1</f>
        <v>168.51338132937991</v>
      </c>
      <c r="AA543" s="6">
        <f>('TE BE'!$AA$8+'TE BF'!$AA$8+'TE CVA'!$AA$8)*1</f>
        <v>282.91739971702214</v>
      </c>
      <c r="AB543" s="6">
        <f>$K$543*$V$543</f>
        <v>7856.75</v>
      </c>
      <c r="AC543" s="6">
        <f>$M$543*$W$543</f>
        <v>2372.9821699999998</v>
      </c>
      <c r="AD543" s="6">
        <f>$O$543*$X$543</f>
        <v>3648.0457700000002</v>
      </c>
      <c r="AE543" s="6">
        <f ca="1">$K$543*$Y$543</f>
        <v>8780.9265147257065</v>
      </c>
      <c r="AF543" s="6">
        <f ca="1">$M$543*$Z$543</f>
        <v>2672.4537145026361</v>
      </c>
      <c r="AG543" s="6">
        <f>$O$543*$AA$543</f>
        <v>4486.7870421122543</v>
      </c>
    </row>
    <row r="544" spans="1:33" ht="11.25" customHeight="1" x14ac:dyDescent="0.25">
      <c r="A544" s="4" t="s">
        <v>21</v>
      </c>
      <c r="B544" s="4" t="s">
        <v>35</v>
      </c>
      <c r="C544" s="4" t="s">
        <v>44</v>
      </c>
      <c r="D544" s="4" t="s">
        <v>48</v>
      </c>
      <c r="E544" s="4" t="s">
        <v>25</v>
      </c>
      <c r="F544" s="4" t="s">
        <v>25</v>
      </c>
      <c r="G544" s="4" t="s">
        <v>25</v>
      </c>
      <c r="H544" s="4" t="s">
        <v>38</v>
      </c>
      <c r="I544" s="5">
        <v>44287</v>
      </c>
      <c r="J544" s="6">
        <v>21384</v>
      </c>
      <c r="K544" s="6">
        <v>21384</v>
      </c>
      <c r="L544" s="6">
        <v>5382.0370000000003</v>
      </c>
      <c r="M544" s="6">
        <v>5382.0370000000003</v>
      </c>
      <c r="N544" s="6">
        <v>5382.0370000000003</v>
      </c>
      <c r="O544" s="6">
        <v>5382.0370000000003</v>
      </c>
      <c r="P544" s="6">
        <v>0</v>
      </c>
      <c r="Q544" s="4" t="s">
        <v>26</v>
      </c>
      <c r="R544" s="4">
        <v>0</v>
      </c>
      <c r="S544" s="6">
        <v>29</v>
      </c>
      <c r="T544" s="6">
        <v>30</v>
      </c>
      <c r="U544" s="6">
        <v>67</v>
      </c>
      <c r="V544" s="6">
        <f>IF(ISERROR(VLOOKUP($S$544,'TAR FIN'!$A$1:$O$95,15,0)),0,VLOOKUP($S$544,'TAR FIN'!$A$1:$O$95,15,0))</f>
        <v>28.57</v>
      </c>
      <c r="W544" s="6">
        <f>IF(ISERROR(VLOOKUP($T$544,'TAR FIN'!$A$1:$O$95,15,0)),0,VLOOKUP($T$544,'TAR FIN'!$A$1:$O$95,15,0))</f>
        <v>149.63</v>
      </c>
      <c r="X544" s="6">
        <f>IF(ISERROR(VLOOKUP($U$544,'TAR FIN'!$A$1:$O$95,15,0)),0,VLOOKUP($U$544,'TAR FIN'!$A$1:$O$95,15,0))</f>
        <v>230.03</v>
      </c>
      <c r="Y544" s="6">
        <f ca="1">('TUSD BE'!$AM$11+'TUSD BF'!$AM$11+'TUSD CVA'!$AM$11)*1</f>
        <v>31.93064187172984</v>
      </c>
      <c r="Z544" s="6">
        <f ca="1">('TUSD BE'!$AM$12+'TUSD BF'!$AM$12+'TUSD CVA'!$AM$12)*1</f>
        <v>168.51338132937991</v>
      </c>
      <c r="AA544" s="6">
        <f>('TE BE'!$AA$8+'TE BF'!$AA$8+'TE CVA'!$AA$8)*1</f>
        <v>282.91739971702214</v>
      </c>
      <c r="AB544" s="6">
        <f>$K$544*$V$544</f>
        <v>610940.88</v>
      </c>
      <c r="AC544" s="6">
        <f>$M$544*$W$544</f>
        <v>805314.19631000003</v>
      </c>
      <c r="AD544" s="6">
        <f>$O$544*$X$544</f>
        <v>1238029.97111</v>
      </c>
      <c r="AE544" s="6">
        <f ca="1">$K$544*$Y$544</f>
        <v>682804.84578507091</v>
      </c>
      <c r="AF544" s="6">
        <f ca="1">$M$544*$Z$544</f>
        <v>906945.25330983195</v>
      </c>
      <c r="AG544" s="6">
        <f>$O$544*$AA$544</f>
        <v>1522671.9132208028</v>
      </c>
    </row>
    <row r="545" spans="1:33" ht="11.25" customHeight="1" x14ac:dyDescent="0.25">
      <c r="A545" s="4" t="s">
        <v>27</v>
      </c>
      <c r="B545" s="4" t="s">
        <v>35</v>
      </c>
      <c r="C545" s="4" t="s">
        <v>44</v>
      </c>
      <c r="D545" s="4" t="s">
        <v>48</v>
      </c>
      <c r="E545" s="4" t="s">
        <v>25</v>
      </c>
      <c r="F545" s="4" t="s">
        <v>25</v>
      </c>
      <c r="G545" s="4" t="s">
        <v>25</v>
      </c>
      <c r="H545" s="4" t="s">
        <v>38</v>
      </c>
      <c r="I545" s="5">
        <v>44287</v>
      </c>
      <c r="J545" s="6">
        <v>-840</v>
      </c>
      <c r="K545" s="6">
        <v>-840</v>
      </c>
      <c r="L545" s="6">
        <v>-1.484</v>
      </c>
      <c r="M545" s="6">
        <v>-1.484</v>
      </c>
      <c r="N545" s="6">
        <v>-1.484</v>
      </c>
      <c r="O545" s="6">
        <v>-1.484</v>
      </c>
      <c r="P545" s="6">
        <v>0</v>
      </c>
      <c r="Q545" s="4" t="s">
        <v>26</v>
      </c>
      <c r="R545" s="4">
        <v>0</v>
      </c>
      <c r="S545" s="6">
        <v>29</v>
      </c>
      <c r="T545" s="6">
        <v>30</v>
      </c>
      <c r="U545" s="6">
        <v>67</v>
      </c>
      <c r="V545" s="6">
        <f>IF(ISERROR(VLOOKUP($S$545,'TAR FIN'!$A$1:$O$95,15,0)),0,VLOOKUP($S$545,'TAR FIN'!$A$1:$O$95,15,0))</f>
        <v>28.57</v>
      </c>
      <c r="W545" s="6">
        <f>IF(ISERROR(VLOOKUP($T$545,'TAR FIN'!$A$1:$O$95,15,0)),0,VLOOKUP($T$545,'TAR FIN'!$A$1:$O$95,15,0))</f>
        <v>149.63</v>
      </c>
      <c r="X545" s="6">
        <f>IF(ISERROR(VLOOKUP($U$545,'TAR FIN'!$A$1:$O$95,15,0)),0,VLOOKUP($U$545,'TAR FIN'!$A$1:$O$95,15,0))</f>
        <v>230.03</v>
      </c>
      <c r="Y545" s="6">
        <f ca="1">('TUSD BE'!$AM$11+'TUSD BF'!$AM$11+'TUSD CVA'!$AM$11)*1</f>
        <v>31.93064187172984</v>
      </c>
      <c r="Z545" s="6">
        <f ca="1">('TUSD BE'!$AM$12+'TUSD BF'!$AM$12+'TUSD CVA'!$AM$12)*1</f>
        <v>168.51338132937991</v>
      </c>
      <c r="AA545" s="6">
        <f>('TE BE'!$AA$8+'TE BF'!$AA$8+'TE CVA'!$AA$8)*1</f>
        <v>282.91739971702214</v>
      </c>
      <c r="AB545" s="6">
        <f>$K$545*$V$545</f>
        <v>-23998.799999999999</v>
      </c>
      <c r="AC545" s="6">
        <f>$M$545*$W$545</f>
        <v>-222.05091999999999</v>
      </c>
      <c r="AD545" s="6">
        <f>$O$545*$X$545</f>
        <v>-341.36451999999997</v>
      </c>
      <c r="AE545" s="6">
        <f ca="1">$K$545*$Y$545</f>
        <v>-26821.739172253066</v>
      </c>
      <c r="AF545" s="6">
        <f ca="1">$M$545*$Z$545</f>
        <v>-250.07385789279979</v>
      </c>
      <c r="AG545" s="6">
        <f>$O$545*$AA$545</f>
        <v>-419.84942118006086</v>
      </c>
    </row>
    <row r="546" spans="1:33" ht="11.25" customHeight="1" x14ac:dyDescent="0.25">
      <c r="A546" s="4" t="s">
        <v>28</v>
      </c>
      <c r="B546" s="4" t="s">
        <v>35</v>
      </c>
      <c r="C546" s="4" t="s">
        <v>44</v>
      </c>
      <c r="D546" s="4" t="s">
        <v>48</v>
      </c>
      <c r="E546" s="4" t="s">
        <v>25</v>
      </c>
      <c r="F546" s="4" t="s">
        <v>25</v>
      </c>
      <c r="G546" s="4" t="s">
        <v>25</v>
      </c>
      <c r="H546" s="4" t="s">
        <v>38</v>
      </c>
      <c r="I546" s="5">
        <v>44287</v>
      </c>
      <c r="J546" s="6">
        <v>5691</v>
      </c>
      <c r="K546" s="6">
        <v>5691</v>
      </c>
      <c r="L546" s="6">
        <v>1616.8520000000001</v>
      </c>
      <c r="M546" s="6">
        <v>1616.8520000000001</v>
      </c>
      <c r="N546" s="6">
        <v>1616.8520000000001</v>
      </c>
      <c r="O546" s="6">
        <v>1616.8520000000001</v>
      </c>
      <c r="P546" s="6">
        <v>0</v>
      </c>
      <c r="Q546" s="4" t="s">
        <v>26</v>
      </c>
      <c r="R546" s="4">
        <v>0</v>
      </c>
      <c r="S546" s="6">
        <v>29</v>
      </c>
      <c r="T546" s="6">
        <v>30</v>
      </c>
      <c r="U546" s="6">
        <v>67</v>
      </c>
      <c r="V546" s="6">
        <f>IF(ISERROR(VLOOKUP($S$546,'TAR FIN'!$A$1:$O$95,15,0)),0,VLOOKUP($S$546,'TAR FIN'!$A$1:$O$95,15,0))</f>
        <v>28.57</v>
      </c>
      <c r="W546" s="6">
        <f>IF(ISERROR(VLOOKUP($T$546,'TAR FIN'!$A$1:$O$95,15,0)),0,VLOOKUP($T$546,'TAR FIN'!$A$1:$O$95,15,0))</f>
        <v>149.63</v>
      </c>
      <c r="X546" s="6">
        <f>IF(ISERROR(VLOOKUP($U$546,'TAR FIN'!$A$1:$O$95,15,0)),0,VLOOKUP($U$546,'TAR FIN'!$A$1:$O$95,15,0))</f>
        <v>230.03</v>
      </c>
      <c r="Y546" s="6">
        <f ca="1">('TUSD BE'!$AM$11+'TUSD BF'!$AM$11+'TUSD CVA'!$AM$11)*1</f>
        <v>31.93064187172984</v>
      </c>
      <c r="Z546" s="6">
        <f ca="1">('TUSD BE'!$AM$12+'TUSD BF'!$AM$12+'TUSD CVA'!$AM$12)*1</f>
        <v>168.51338132937991</v>
      </c>
      <c r="AA546" s="6">
        <f>('TE BE'!$AA$8+'TE BF'!$AA$8+'TE CVA'!$AA$8)*1</f>
        <v>282.91739971702214</v>
      </c>
      <c r="AB546" s="6">
        <f>$K$546*$V$546</f>
        <v>162591.87</v>
      </c>
      <c r="AC546" s="6">
        <f>$M$546*$W$546</f>
        <v>241929.56476000001</v>
      </c>
      <c r="AD546" s="6">
        <f>$O$546*$X$546</f>
        <v>371924.46556000004</v>
      </c>
      <c r="AE546" s="6">
        <f ca="1">$K$546*$Y$546</f>
        <v>181717.28289201451</v>
      </c>
      <c r="AF546" s="6">
        <f ca="1">$M$546*$Z$546</f>
        <v>272461.19762917061</v>
      </c>
      <c r="AG546" s="6">
        <f>$O$546*$AA$546</f>
        <v>457435.56356726668</v>
      </c>
    </row>
    <row r="547" spans="1:33" ht="11.25" customHeight="1" x14ac:dyDescent="0.25">
      <c r="A547" s="4" t="s">
        <v>21</v>
      </c>
      <c r="B547" s="4" t="s">
        <v>35</v>
      </c>
      <c r="C547" s="4" t="s">
        <v>44</v>
      </c>
      <c r="D547" s="4" t="s">
        <v>48</v>
      </c>
      <c r="E547" s="4" t="s">
        <v>25</v>
      </c>
      <c r="F547" s="4" t="s">
        <v>25</v>
      </c>
      <c r="G547" s="4" t="s">
        <v>25</v>
      </c>
      <c r="H547" s="4" t="s">
        <v>38</v>
      </c>
      <c r="I547" s="5">
        <v>44317</v>
      </c>
      <c r="J547" s="6">
        <v>20449</v>
      </c>
      <c r="K547" s="6">
        <v>20449</v>
      </c>
      <c r="L547" s="6">
        <v>5699.848</v>
      </c>
      <c r="M547" s="6">
        <v>5699.848</v>
      </c>
      <c r="N547" s="6">
        <v>5699.848</v>
      </c>
      <c r="O547" s="6">
        <v>5699.848</v>
      </c>
      <c r="P547" s="6">
        <v>0</v>
      </c>
      <c r="Q547" s="4" t="s">
        <v>26</v>
      </c>
      <c r="R547" s="4">
        <v>0</v>
      </c>
      <c r="S547" s="6">
        <v>29</v>
      </c>
      <c r="T547" s="6">
        <v>30</v>
      </c>
      <c r="U547" s="6">
        <v>67</v>
      </c>
      <c r="V547" s="6">
        <f>IF(ISERROR(VLOOKUP($S$547,'TAR FIN'!$A$1:$O$95,15,0)),0,VLOOKUP($S$547,'TAR FIN'!$A$1:$O$95,15,0))</f>
        <v>28.57</v>
      </c>
      <c r="W547" s="6">
        <f>IF(ISERROR(VLOOKUP($T$547,'TAR FIN'!$A$1:$O$95,15,0)),0,VLOOKUP($T$547,'TAR FIN'!$A$1:$O$95,15,0))</f>
        <v>149.63</v>
      </c>
      <c r="X547" s="6">
        <f>IF(ISERROR(VLOOKUP($U$547,'TAR FIN'!$A$1:$O$95,15,0)),0,VLOOKUP($U$547,'TAR FIN'!$A$1:$O$95,15,0))</f>
        <v>230.03</v>
      </c>
      <c r="Y547" s="6">
        <f ca="1">('TUSD BE'!$AM$11+'TUSD BF'!$AM$11+'TUSD CVA'!$AM$11)*1</f>
        <v>31.93064187172984</v>
      </c>
      <c r="Z547" s="6">
        <f ca="1">('TUSD BE'!$AM$12+'TUSD BF'!$AM$12+'TUSD CVA'!$AM$12)*1</f>
        <v>168.51338132937991</v>
      </c>
      <c r="AA547" s="6">
        <f>('TE BE'!$AA$8+'TE BF'!$AA$8+'TE CVA'!$AA$8)*1</f>
        <v>282.91739971702214</v>
      </c>
      <c r="AB547" s="6">
        <f>$K$547*$V$547</f>
        <v>584227.93000000005</v>
      </c>
      <c r="AC547" s="6">
        <f>$M$547*$W$547</f>
        <v>852868.25624000002</v>
      </c>
      <c r="AD547" s="6">
        <f>$O$547*$X$547</f>
        <v>1311136.03544</v>
      </c>
      <c r="AE547" s="6">
        <f ca="1">$K$547*$Y$547</f>
        <v>652949.6956350035</v>
      </c>
      <c r="AF547" s="6">
        <f ca="1">$M$547*$Z$547</f>
        <v>960500.65954350343</v>
      </c>
      <c r="AG547" s="6">
        <f>$O$547*$AA$547</f>
        <v>1612586.1749422692</v>
      </c>
    </row>
    <row r="548" spans="1:33" ht="11.25" customHeight="1" x14ac:dyDescent="0.25">
      <c r="A548" s="4" t="s">
        <v>27</v>
      </c>
      <c r="B548" s="4" t="s">
        <v>35</v>
      </c>
      <c r="C548" s="4" t="s">
        <v>44</v>
      </c>
      <c r="D548" s="4" t="s">
        <v>48</v>
      </c>
      <c r="E548" s="4" t="s">
        <v>25</v>
      </c>
      <c r="F548" s="4" t="s">
        <v>25</v>
      </c>
      <c r="G548" s="4" t="s">
        <v>25</v>
      </c>
      <c r="H548" s="4" t="s">
        <v>38</v>
      </c>
      <c r="I548" s="5">
        <v>44317</v>
      </c>
      <c r="J548" s="6">
        <v>-2889</v>
      </c>
      <c r="K548" s="6">
        <v>-2889</v>
      </c>
      <c r="L548" s="6">
        <v>-161.61699999999999</v>
      </c>
      <c r="M548" s="6">
        <v>-161.61699999999999</v>
      </c>
      <c r="N548" s="6">
        <v>-161.61699999999999</v>
      </c>
      <c r="O548" s="6">
        <v>-161.61699999999999</v>
      </c>
      <c r="P548" s="6">
        <v>0</v>
      </c>
      <c r="Q548" s="4" t="s">
        <v>26</v>
      </c>
      <c r="R548" s="4">
        <v>0</v>
      </c>
      <c r="S548" s="6">
        <v>29</v>
      </c>
      <c r="T548" s="6">
        <v>30</v>
      </c>
      <c r="U548" s="6">
        <v>67</v>
      </c>
      <c r="V548" s="6">
        <f>IF(ISERROR(VLOOKUP($S$548,'TAR FIN'!$A$1:$O$95,15,0)),0,VLOOKUP($S$548,'TAR FIN'!$A$1:$O$95,15,0))</f>
        <v>28.57</v>
      </c>
      <c r="W548" s="6">
        <f>IF(ISERROR(VLOOKUP($T$548,'TAR FIN'!$A$1:$O$95,15,0)),0,VLOOKUP($T$548,'TAR FIN'!$A$1:$O$95,15,0))</f>
        <v>149.63</v>
      </c>
      <c r="X548" s="6">
        <f>IF(ISERROR(VLOOKUP($U$548,'TAR FIN'!$A$1:$O$95,15,0)),0,VLOOKUP($U$548,'TAR FIN'!$A$1:$O$95,15,0))</f>
        <v>230.03</v>
      </c>
      <c r="Y548" s="6">
        <f ca="1">('TUSD BE'!$AM$11+'TUSD BF'!$AM$11+'TUSD CVA'!$AM$11)*1</f>
        <v>31.93064187172984</v>
      </c>
      <c r="Z548" s="6">
        <f ca="1">('TUSD BE'!$AM$12+'TUSD BF'!$AM$12+'TUSD CVA'!$AM$12)*1</f>
        <v>168.51338132937991</v>
      </c>
      <c r="AA548" s="6">
        <f>('TE BE'!$AA$8+'TE BF'!$AA$8+'TE CVA'!$AA$8)*1</f>
        <v>282.91739971702214</v>
      </c>
      <c r="AB548" s="6">
        <f>$K$548*$V$548</f>
        <v>-82538.73</v>
      </c>
      <c r="AC548" s="6">
        <f>$M$548*$W$548</f>
        <v>-24182.751709999997</v>
      </c>
      <c r="AD548" s="6">
        <f>$O$548*$X$548</f>
        <v>-37176.75851</v>
      </c>
      <c r="AE548" s="6">
        <f ca="1">$K$548*$Y$548</f>
        <v>-92247.624367427503</v>
      </c>
      <c r="AF548" s="6">
        <f ca="1">$M$548*$Z$548</f>
        <v>-27234.627150310393</v>
      </c>
      <c r="AG548" s="6">
        <f>$O$548*$AA$548</f>
        <v>-45724.261390065963</v>
      </c>
    </row>
    <row r="549" spans="1:33" ht="11.25" customHeight="1" x14ac:dyDescent="0.25">
      <c r="A549" s="4" t="s">
        <v>28</v>
      </c>
      <c r="B549" s="4" t="s">
        <v>35</v>
      </c>
      <c r="C549" s="4" t="s">
        <v>44</v>
      </c>
      <c r="D549" s="4" t="s">
        <v>48</v>
      </c>
      <c r="E549" s="4" t="s">
        <v>25</v>
      </c>
      <c r="F549" s="4" t="s">
        <v>25</v>
      </c>
      <c r="G549" s="4" t="s">
        <v>25</v>
      </c>
      <c r="H549" s="4" t="s">
        <v>38</v>
      </c>
      <c r="I549" s="5">
        <v>44317</v>
      </c>
      <c r="J549" s="6">
        <v>6007</v>
      </c>
      <c r="K549" s="6">
        <v>6007</v>
      </c>
      <c r="L549" s="6">
        <v>1564.819</v>
      </c>
      <c r="M549" s="6">
        <v>1564.819</v>
      </c>
      <c r="N549" s="6">
        <v>1564.819</v>
      </c>
      <c r="O549" s="6">
        <v>1564.819</v>
      </c>
      <c r="P549" s="6">
        <v>0</v>
      </c>
      <c r="Q549" s="4" t="s">
        <v>26</v>
      </c>
      <c r="R549" s="4">
        <v>0</v>
      </c>
      <c r="S549" s="6">
        <v>29</v>
      </c>
      <c r="T549" s="6">
        <v>30</v>
      </c>
      <c r="U549" s="6">
        <v>67</v>
      </c>
      <c r="V549" s="6">
        <f>IF(ISERROR(VLOOKUP($S$549,'TAR FIN'!$A$1:$O$95,15,0)),0,VLOOKUP($S$549,'TAR FIN'!$A$1:$O$95,15,0))</f>
        <v>28.57</v>
      </c>
      <c r="W549" s="6">
        <f>IF(ISERROR(VLOOKUP($T$549,'TAR FIN'!$A$1:$O$95,15,0)),0,VLOOKUP($T$549,'TAR FIN'!$A$1:$O$95,15,0))</f>
        <v>149.63</v>
      </c>
      <c r="X549" s="6">
        <f>IF(ISERROR(VLOOKUP($U$549,'TAR FIN'!$A$1:$O$95,15,0)),0,VLOOKUP($U$549,'TAR FIN'!$A$1:$O$95,15,0))</f>
        <v>230.03</v>
      </c>
      <c r="Y549" s="6">
        <f ca="1">('TUSD BE'!$AM$11+'TUSD BF'!$AM$11+'TUSD CVA'!$AM$11)*1</f>
        <v>31.93064187172984</v>
      </c>
      <c r="Z549" s="6">
        <f ca="1">('TUSD BE'!$AM$12+'TUSD BF'!$AM$12+'TUSD CVA'!$AM$12)*1</f>
        <v>168.51338132937991</v>
      </c>
      <c r="AA549" s="6">
        <f>('TE BE'!$AA$8+'TE BF'!$AA$8+'TE CVA'!$AA$8)*1</f>
        <v>282.91739971702214</v>
      </c>
      <c r="AB549" s="6">
        <f>$K$549*$V$549</f>
        <v>171619.99</v>
      </c>
      <c r="AC549" s="6">
        <f>$M$549*$W$549</f>
        <v>234143.86696999997</v>
      </c>
      <c r="AD549" s="6">
        <f>$O$549*$X$549</f>
        <v>359955.31456999999</v>
      </c>
      <c r="AE549" s="6">
        <f ca="1">$K$549*$Y$549</f>
        <v>191807.36572348114</v>
      </c>
      <c r="AF549" s="6">
        <f ca="1">$M$549*$Z$549</f>
        <v>263692.94085845893</v>
      </c>
      <c r="AG549" s="6">
        <f>$O$549*$AA$549</f>
        <v>442714.52250779083</v>
      </c>
    </row>
    <row r="550" spans="1:33" ht="11.25" customHeight="1" x14ac:dyDescent="0.25">
      <c r="A550" s="4" t="s">
        <v>29</v>
      </c>
      <c r="B550" s="4" t="s">
        <v>35</v>
      </c>
      <c r="C550" s="4" t="s">
        <v>44</v>
      </c>
      <c r="D550" s="4" t="s">
        <v>48</v>
      </c>
      <c r="E550" s="4" t="s">
        <v>25</v>
      </c>
      <c r="F550" s="4" t="s">
        <v>25</v>
      </c>
      <c r="G550" s="4" t="s">
        <v>25</v>
      </c>
      <c r="H550" s="4" t="s">
        <v>38</v>
      </c>
      <c r="I550" s="5">
        <v>44317</v>
      </c>
      <c r="J550" s="6">
        <v>-2537</v>
      </c>
      <c r="K550" s="6">
        <v>-2537</v>
      </c>
      <c r="L550" s="6">
        <v>-98.445999999999998</v>
      </c>
      <c r="M550" s="6">
        <v>-98.445999999999998</v>
      </c>
      <c r="N550" s="6">
        <v>-98.445999999999998</v>
      </c>
      <c r="O550" s="6">
        <v>-98.445999999999998</v>
      </c>
      <c r="P550" s="6">
        <v>0</v>
      </c>
      <c r="Q550" s="4" t="s">
        <v>26</v>
      </c>
      <c r="R550" s="4">
        <v>0</v>
      </c>
      <c r="S550" s="6">
        <v>29</v>
      </c>
      <c r="T550" s="6">
        <v>30</v>
      </c>
      <c r="U550" s="6">
        <v>67</v>
      </c>
      <c r="V550" s="6">
        <f>IF(ISERROR(VLOOKUP($S$550,'TAR FIN'!$A$1:$O$95,15,0)),0,VLOOKUP($S$550,'TAR FIN'!$A$1:$O$95,15,0))</f>
        <v>28.57</v>
      </c>
      <c r="W550" s="6">
        <f>IF(ISERROR(VLOOKUP($T$550,'TAR FIN'!$A$1:$O$95,15,0)),0,VLOOKUP($T$550,'TAR FIN'!$A$1:$O$95,15,0))</f>
        <v>149.63</v>
      </c>
      <c r="X550" s="6">
        <f>IF(ISERROR(VLOOKUP($U$550,'TAR FIN'!$A$1:$O$95,15,0)),0,VLOOKUP($U$550,'TAR FIN'!$A$1:$O$95,15,0))</f>
        <v>230.03</v>
      </c>
      <c r="Y550" s="6">
        <f ca="1">('TUSD BE'!$AM$11+'TUSD BF'!$AM$11+'TUSD CVA'!$AM$11)*1</f>
        <v>31.93064187172984</v>
      </c>
      <c r="Z550" s="6">
        <f ca="1">('TUSD BE'!$AM$12+'TUSD BF'!$AM$12+'TUSD CVA'!$AM$12)*1</f>
        <v>168.51338132937991</v>
      </c>
      <c r="AA550" s="6">
        <f>('TE BE'!$AA$8+'TE BF'!$AA$8+'TE CVA'!$AA$8)*1</f>
        <v>282.91739971702214</v>
      </c>
      <c r="AB550" s="6">
        <f>$K$550*$V$550</f>
        <v>-72482.09</v>
      </c>
      <c r="AC550" s="6">
        <f>$M$550*$W$550</f>
        <v>-14730.474979999999</v>
      </c>
      <c r="AD550" s="6">
        <f>$O$550*$X$550</f>
        <v>-22645.533380000001</v>
      </c>
      <c r="AE550" s="6">
        <f ca="1">$K$550*$Y$550</f>
        <v>-81008.038428578599</v>
      </c>
      <c r="AF550" s="6">
        <f ca="1">$M$550*$Z$550</f>
        <v>-16589.468338352133</v>
      </c>
      <c r="AG550" s="6">
        <f>$O$550*$AA$550</f>
        <v>-27852.08633254196</v>
      </c>
    </row>
    <row r="551" spans="1:33" ht="11.25" customHeight="1" x14ac:dyDescent="0.25">
      <c r="A551" s="4" t="s">
        <v>21</v>
      </c>
      <c r="B551" s="4" t="s">
        <v>35</v>
      </c>
      <c r="C551" s="4" t="s">
        <v>44</v>
      </c>
      <c r="D551" s="4" t="s">
        <v>48</v>
      </c>
      <c r="E551" s="4" t="s">
        <v>25</v>
      </c>
      <c r="F551" s="4" t="s">
        <v>25</v>
      </c>
      <c r="G551" s="4" t="s">
        <v>25</v>
      </c>
      <c r="H551" s="4" t="s">
        <v>38</v>
      </c>
      <c r="I551" s="5">
        <v>44348</v>
      </c>
      <c r="J551" s="6">
        <v>20397</v>
      </c>
      <c r="K551" s="6">
        <v>20397</v>
      </c>
      <c r="L551" s="6">
        <v>5644.5280000000002</v>
      </c>
      <c r="M551" s="6">
        <v>5644.5280000000002</v>
      </c>
      <c r="N551" s="6">
        <v>5644.5280000000002</v>
      </c>
      <c r="O551" s="6">
        <v>5644.5280000000002</v>
      </c>
      <c r="P551" s="6">
        <v>0</v>
      </c>
      <c r="Q551" s="4" t="s">
        <v>26</v>
      </c>
      <c r="R551" s="4">
        <v>0</v>
      </c>
      <c r="S551" s="6">
        <v>29</v>
      </c>
      <c r="T551" s="6">
        <v>30</v>
      </c>
      <c r="U551" s="6">
        <v>67</v>
      </c>
      <c r="V551" s="6">
        <f>IF(ISERROR(VLOOKUP($S$551,'TAR FIN'!$A$1:$O$95,15,0)),0,VLOOKUP($S$551,'TAR FIN'!$A$1:$O$95,15,0))</f>
        <v>28.57</v>
      </c>
      <c r="W551" s="6">
        <f>IF(ISERROR(VLOOKUP($T$551,'TAR FIN'!$A$1:$O$95,15,0)),0,VLOOKUP($T$551,'TAR FIN'!$A$1:$O$95,15,0))</f>
        <v>149.63</v>
      </c>
      <c r="X551" s="6">
        <f>IF(ISERROR(VLOOKUP($U$551,'TAR FIN'!$A$1:$O$95,15,0)),0,VLOOKUP($U$551,'TAR FIN'!$A$1:$O$95,15,0))</f>
        <v>230.03</v>
      </c>
      <c r="Y551" s="6">
        <f ca="1">('TUSD BE'!$AM$11+'TUSD BF'!$AM$11+'TUSD CVA'!$AM$11)*1</f>
        <v>31.93064187172984</v>
      </c>
      <c r="Z551" s="6">
        <f ca="1">('TUSD BE'!$AM$12+'TUSD BF'!$AM$12+'TUSD CVA'!$AM$12)*1</f>
        <v>168.51338132937991</v>
      </c>
      <c r="AA551" s="6">
        <f>('TE BE'!$AA$8+'TE BF'!$AA$8+'TE CVA'!$AA$8)*1</f>
        <v>282.91739971702214</v>
      </c>
      <c r="AB551" s="6">
        <f>$K$551*$V$551</f>
        <v>582742.29</v>
      </c>
      <c r="AC551" s="6">
        <f>$M$551*$W$551</f>
        <v>844590.72464000003</v>
      </c>
      <c r="AD551" s="6">
        <f>$O$551*$X$551</f>
        <v>1298410.77584</v>
      </c>
      <c r="AE551" s="6">
        <f ca="1">$K$551*$Y$551</f>
        <v>651289.30225767358</v>
      </c>
      <c r="AF551" s="6">
        <f ca="1">$M$551*$Z$551</f>
        <v>951178.49928836222</v>
      </c>
      <c r="AG551" s="6">
        <f>$O$551*$AA$551</f>
        <v>1596935.1843899237</v>
      </c>
    </row>
    <row r="552" spans="1:33" ht="11.25" customHeight="1" x14ac:dyDescent="0.25">
      <c r="A552" s="4" t="s">
        <v>28</v>
      </c>
      <c r="B552" s="4" t="s">
        <v>35</v>
      </c>
      <c r="C552" s="4" t="s">
        <v>44</v>
      </c>
      <c r="D552" s="4" t="s">
        <v>48</v>
      </c>
      <c r="E552" s="4" t="s">
        <v>25</v>
      </c>
      <c r="F552" s="4" t="s">
        <v>25</v>
      </c>
      <c r="G552" s="4" t="s">
        <v>25</v>
      </c>
      <c r="H552" s="4" t="s">
        <v>38</v>
      </c>
      <c r="I552" s="5">
        <v>44348</v>
      </c>
      <c r="J552" s="6">
        <v>5477</v>
      </c>
      <c r="K552" s="6">
        <v>5477</v>
      </c>
      <c r="L552" s="6">
        <v>1581.47</v>
      </c>
      <c r="M552" s="6">
        <v>1581.47</v>
      </c>
      <c r="N552" s="6">
        <v>1581.47</v>
      </c>
      <c r="O552" s="6">
        <v>1581.47</v>
      </c>
      <c r="P552" s="6">
        <v>0</v>
      </c>
      <c r="Q552" s="4" t="s">
        <v>26</v>
      </c>
      <c r="R552" s="4">
        <v>0</v>
      </c>
      <c r="S552" s="6">
        <v>29</v>
      </c>
      <c r="T552" s="6">
        <v>30</v>
      </c>
      <c r="U552" s="6">
        <v>67</v>
      </c>
      <c r="V552" s="6">
        <f>IF(ISERROR(VLOOKUP($S$552,'TAR FIN'!$A$1:$O$95,15,0)),0,VLOOKUP($S$552,'TAR FIN'!$A$1:$O$95,15,0))</f>
        <v>28.57</v>
      </c>
      <c r="W552" s="6">
        <f>IF(ISERROR(VLOOKUP($T$552,'TAR FIN'!$A$1:$O$95,15,0)),0,VLOOKUP($T$552,'TAR FIN'!$A$1:$O$95,15,0))</f>
        <v>149.63</v>
      </c>
      <c r="X552" s="6">
        <f>IF(ISERROR(VLOOKUP($U$552,'TAR FIN'!$A$1:$O$95,15,0)),0,VLOOKUP($U$552,'TAR FIN'!$A$1:$O$95,15,0))</f>
        <v>230.03</v>
      </c>
      <c r="Y552" s="6">
        <f ca="1">('TUSD BE'!$AM$11+'TUSD BF'!$AM$11+'TUSD CVA'!$AM$11)*1</f>
        <v>31.93064187172984</v>
      </c>
      <c r="Z552" s="6">
        <f ca="1">('TUSD BE'!$AM$12+'TUSD BF'!$AM$12+'TUSD CVA'!$AM$12)*1</f>
        <v>168.51338132937991</v>
      </c>
      <c r="AA552" s="6">
        <f>('TE BE'!$AA$8+'TE BF'!$AA$8+'TE CVA'!$AA$8)*1</f>
        <v>282.91739971702214</v>
      </c>
      <c r="AB552" s="6">
        <f>$K$552*$V$552</f>
        <v>156477.89000000001</v>
      </c>
      <c r="AC552" s="6">
        <f>$M$552*$W$552</f>
        <v>236635.3561</v>
      </c>
      <c r="AD552" s="6">
        <f>$O$552*$X$552</f>
        <v>363785.5441</v>
      </c>
      <c r="AE552" s="6">
        <f ca="1">$K$552*$Y$552</f>
        <v>174884.12553146432</v>
      </c>
      <c r="AF552" s="6">
        <f ca="1">$M$552*$Z$552</f>
        <v>266498.85717097443</v>
      </c>
      <c r="AG552" s="6">
        <f>$O$552*$AA$552</f>
        <v>447425.380130479</v>
      </c>
    </row>
    <row r="553" spans="1:33" ht="11.25" customHeight="1" x14ac:dyDescent="0.25">
      <c r="A553" s="4" t="s">
        <v>21</v>
      </c>
      <c r="B553" s="4" t="s">
        <v>35</v>
      </c>
      <c r="C553" s="4" t="s">
        <v>44</v>
      </c>
      <c r="D553" s="4" t="s">
        <v>48</v>
      </c>
      <c r="E553" s="4" t="s">
        <v>25</v>
      </c>
      <c r="F553" s="4" t="s">
        <v>25</v>
      </c>
      <c r="G553" s="4" t="s">
        <v>25</v>
      </c>
      <c r="H553" s="4" t="s">
        <v>38</v>
      </c>
      <c r="I553" s="5">
        <v>44378</v>
      </c>
      <c r="J553" s="6">
        <v>20327</v>
      </c>
      <c r="K553" s="6">
        <v>20327</v>
      </c>
      <c r="L553" s="6">
        <v>5658.576</v>
      </c>
      <c r="M553" s="6">
        <v>5658.576</v>
      </c>
      <c r="N553" s="6">
        <v>5658.576</v>
      </c>
      <c r="O553" s="6">
        <v>5658.576</v>
      </c>
      <c r="P553" s="6">
        <v>0</v>
      </c>
      <c r="Q553" s="4" t="s">
        <v>26</v>
      </c>
      <c r="R553" s="4">
        <v>0</v>
      </c>
      <c r="S553" s="6">
        <v>29</v>
      </c>
      <c r="T553" s="6">
        <v>30</v>
      </c>
      <c r="U553" s="6">
        <v>67</v>
      </c>
      <c r="V553" s="6">
        <f>IF(ISERROR(VLOOKUP($S$553,'TAR FIN'!$A$1:$O$95,15,0)),0,VLOOKUP($S$553,'TAR FIN'!$A$1:$O$95,15,0))</f>
        <v>28.57</v>
      </c>
      <c r="W553" s="6">
        <f>IF(ISERROR(VLOOKUP($T$553,'TAR FIN'!$A$1:$O$95,15,0)),0,VLOOKUP($T$553,'TAR FIN'!$A$1:$O$95,15,0))</f>
        <v>149.63</v>
      </c>
      <c r="X553" s="6">
        <f>IF(ISERROR(VLOOKUP($U$553,'TAR FIN'!$A$1:$O$95,15,0)),0,VLOOKUP($U$553,'TAR FIN'!$A$1:$O$95,15,0))</f>
        <v>230.03</v>
      </c>
      <c r="Y553" s="6">
        <f ca="1">('TUSD BE'!$AM$11+'TUSD BF'!$AM$11+'TUSD CVA'!$AM$11)*1</f>
        <v>31.93064187172984</v>
      </c>
      <c r="Z553" s="6">
        <f ca="1">('TUSD BE'!$AM$12+'TUSD BF'!$AM$12+'TUSD CVA'!$AM$12)*1</f>
        <v>168.51338132937991</v>
      </c>
      <c r="AA553" s="6">
        <f>('TE BE'!$AA$8+'TE BF'!$AA$8+'TE CVA'!$AA$8)*1</f>
        <v>282.91739971702214</v>
      </c>
      <c r="AB553" s="6">
        <f>$K$553*$V$553</f>
        <v>580742.39</v>
      </c>
      <c r="AC553" s="6">
        <f>$M$553*$W$553</f>
        <v>846692.72687999997</v>
      </c>
      <c r="AD553" s="6">
        <f>$O$553*$X$553</f>
        <v>1301642.23728</v>
      </c>
      <c r="AE553" s="6">
        <f ca="1">$K$553*$Y$553</f>
        <v>649054.15732665244</v>
      </c>
      <c r="AF553" s="6">
        <f ca="1">$M$553*$Z$553</f>
        <v>953545.77526927728</v>
      </c>
      <c r="AG553" s="6">
        <f>$O$553*$AA$553</f>
        <v>1600909.6080211482</v>
      </c>
    </row>
    <row r="554" spans="1:33" ht="11.25" customHeight="1" x14ac:dyDescent="0.25">
      <c r="A554" s="4" t="s">
        <v>28</v>
      </c>
      <c r="B554" s="4" t="s">
        <v>35</v>
      </c>
      <c r="C554" s="4" t="s">
        <v>44</v>
      </c>
      <c r="D554" s="4" t="s">
        <v>48</v>
      </c>
      <c r="E554" s="4" t="s">
        <v>25</v>
      </c>
      <c r="F554" s="4" t="s">
        <v>25</v>
      </c>
      <c r="G554" s="4" t="s">
        <v>25</v>
      </c>
      <c r="H554" s="4" t="s">
        <v>38</v>
      </c>
      <c r="I554" s="5">
        <v>44378</v>
      </c>
      <c r="J554" s="6">
        <v>5446</v>
      </c>
      <c r="K554" s="6">
        <v>5446</v>
      </c>
      <c r="L554" s="6">
        <v>1550.462</v>
      </c>
      <c r="M554" s="6">
        <v>1550.462</v>
      </c>
      <c r="N554" s="6">
        <v>1550.462</v>
      </c>
      <c r="O554" s="6">
        <v>1550.462</v>
      </c>
      <c r="P554" s="6">
        <v>0</v>
      </c>
      <c r="Q554" s="4" t="s">
        <v>26</v>
      </c>
      <c r="R554" s="4">
        <v>0</v>
      </c>
      <c r="S554" s="6">
        <v>29</v>
      </c>
      <c r="T554" s="6">
        <v>30</v>
      </c>
      <c r="U554" s="6">
        <v>67</v>
      </c>
      <c r="V554" s="6">
        <f>IF(ISERROR(VLOOKUP($S$554,'TAR FIN'!$A$1:$O$95,15,0)),0,VLOOKUP($S$554,'TAR FIN'!$A$1:$O$95,15,0))</f>
        <v>28.57</v>
      </c>
      <c r="W554" s="6">
        <f>IF(ISERROR(VLOOKUP($T$554,'TAR FIN'!$A$1:$O$95,15,0)),0,VLOOKUP($T$554,'TAR FIN'!$A$1:$O$95,15,0))</f>
        <v>149.63</v>
      </c>
      <c r="X554" s="6">
        <f>IF(ISERROR(VLOOKUP($U$554,'TAR FIN'!$A$1:$O$95,15,0)),0,VLOOKUP($U$554,'TAR FIN'!$A$1:$O$95,15,0))</f>
        <v>230.03</v>
      </c>
      <c r="Y554" s="6">
        <f ca="1">('TUSD BE'!$AM$11+'TUSD BF'!$AM$11+'TUSD CVA'!$AM$11)*1</f>
        <v>31.93064187172984</v>
      </c>
      <c r="Z554" s="6">
        <f ca="1">('TUSD BE'!$AM$12+'TUSD BF'!$AM$12+'TUSD CVA'!$AM$12)*1</f>
        <v>168.51338132937991</v>
      </c>
      <c r="AA554" s="6">
        <f>('TE BE'!$AA$8+'TE BF'!$AA$8+'TE CVA'!$AA$8)*1</f>
        <v>282.91739971702214</v>
      </c>
      <c r="AB554" s="6">
        <f>$K$554*$V$554</f>
        <v>155592.22</v>
      </c>
      <c r="AC554" s="6">
        <f>$M$554*$W$554</f>
        <v>231995.62905999998</v>
      </c>
      <c r="AD554" s="6">
        <f>$O$554*$X$554</f>
        <v>356652.77386000002</v>
      </c>
      <c r="AE554" s="6">
        <f ca="1">$K$554*$Y$554</f>
        <v>173894.2756334407</v>
      </c>
      <c r="AF554" s="6">
        <f ca="1">$M$554*$Z$554</f>
        <v>261273.59424271304</v>
      </c>
      <c r="AG554" s="6">
        <f>$O$554*$AA$554</f>
        <v>438652.6774000536</v>
      </c>
    </row>
    <row r="555" spans="1:33" ht="11.25" customHeight="1" x14ac:dyDescent="0.25">
      <c r="A555" s="4" t="s">
        <v>21</v>
      </c>
      <c r="B555" s="4" t="s">
        <v>35</v>
      </c>
      <c r="C555" s="4" t="s">
        <v>44</v>
      </c>
      <c r="D555" s="4" t="s">
        <v>48</v>
      </c>
      <c r="E555" s="4" t="s">
        <v>25</v>
      </c>
      <c r="F555" s="4" t="s">
        <v>25</v>
      </c>
      <c r="G555" s="4" t="s">
        <v>25</v>
      </c>
      <c r="H555" s="4" t="s">
        <v>38</v>
      </c>
      <c r="I555" s="5">
        <v>44409</v>
      </c>
      <c r="J555" s="6">
        <v>21152</v>
      </c>
      <c r="K555" s="6">
        <v>21152</v>
      </c>
      <c r="L555" s="6">
        <v>6128.2690000000002</v>
      </c>
      <c r="M555" s="6">
        <v>6128.2690000000002</v>
      </c>
      <c r="N555" s="6">
        <v>6128.2690000000002</v>
      </c>
      <c r="O555" s="6">
        <v>6128.2690000000002</v>
      </c>
      <c r="P555" s="6">
        <v>0</v>
      </c>
      <c r="Q555" s="4" t="s">
        <v>26</v>
      </c>
      <c r="R555" s="4">
        <v>0</v>
      </c>
      <c r="S555" s="6">
        <v>29</v>
      </c>
      <c r="T555" s="6">
        <v>30</v>
      </c>
      <c r="U555" s="6">
        <v>67</v>
      </c>
      <c r="V555" s="6">
        <f>IF(ISERROR(VLOOKUP($S$555,'TAR FIN'!$A$1:$O$95,15,0)),0,VLOOKUP($S$555,'TAR FIN'!$A$1:$O$95,15,0))</f>
        <v>28.57</v>
      </c>
      <c r="W555" s="6">
        <f>IF(ISERROR(VLOOKUP($T$555,'TAR FIN'!$A$1:$O$95,15,0)),0,VLOOKUP($T$555,'TAR FIN'!$A$1:$O$95,15,0))</f>
        <v>149.63</v>
      </c>
      <c r="X555" s="6">
        <f>IF(ISERROR(VLOOKUP($U$555,'TAR FIN'!$A$1:$O$95,15,0)),0,VLOOKUP($U$555,'TAR FIN'!$A$1:$O$95,15,0))</f>
        <v>230.03</v>
      </c>
      <c r="Y555" s="6">
        <f ca="1">('TUSD BE'!$AM$11+'TUSD BF'!$AM$11+'TUSD CVA'!$AM$11)*1</f>
        <v>31.93064187172984</v>
      </c>
      <c r="Z555" s="6">
        <f ca="1">('TUSD BE'!$AM$12+'TUSD BF'!$AM$12+'TUSD CVA'!$AM$12)*1</f>
        <v>168.51338132937991</v>
      </c>
      <c r="AA555" s="6">
        <f>('TE BE'!$AA$8+'TE BF'!$AA$8+'TE CVA'!$AA$8)*1</f>
        <v>282.91739971702214</v>
      </c>
      <c r="AB555" s="6">
        <f>$K$555*$V$555</f>
        <v>604312.64</v>
      </c>
      <c r="AC555" s="6">
        <f>$M$555*$W$555</f>
        <v>916972.89046999998</v>
      </c>
      <c r="AD555" s="6">
        <f>$O$555*$X$555</f>
        <v>1409685.7180699999</v>
      </c>
      <c r="AE555" s="6">
        <f ca="1">$K$555*$Y$555</f>
        <v>675396.93687082955</v>
      </c>
      <c r="AF555" s="6">
        <f ca="1">$M$555*$Z$555</f>
        <v>1032695.3308860178</v>
      </c>
      <c r="AG555" s="6">
        <f>$O$555*$AA$555</f>
        <v>1733793.9302464356</v>
      </c>
    </row>
    <row r="556" spans="1:33" ht="11.25" customHeight="1" x14ac:dyDescent="0.25">
      <c r="A556" s="4" t="s">
        <v>27</v>
      </c>
      <c r="B556" s="4" t="s">
        <v>35</v>
      </c>
      <c r="C556" s="4" t="s">
        <v>44</v>
      </c>
      <c r="D556" s="4" t="s">
        <v>48</v>
      </c>
      <c r="E556" s="4" t="s">
        <v>25</v>
      </c>
      <c r="F556" s="4" t="s">
        <v>25</v>
      </c>
      <c r="G556" s="4" t="s">
        <v>25</v>
      </c>
      <c r="H556" s="4" t="s">
        <v>38</v>
      </c>
      <c r="I556" s="5">
        <v>44409</v>
      </c>
      <c r="J556" s="6">
        <v>-525</v>
      </c>
      <c r="K556" s="6">
        <v>-525</v>
      </c>
      <c r="L556" s="6">
        <v>-127.797</v>
      </c>
      <c r="M556" s="6">
        <v>-127.797</v>
      </c>
      <c r="N556" s="6">
        <v>-127.797</v>
      </c>
      <c r="O556" s="6">
        <v>-127.797</v>
      </c>
      <c r="P556" s="6">
        <v>0</v>
      </c>
      <c r="Q556" s="4" t="s">
        <v>26</v>
      </c>
      <c r="R556" s="4">
        <v>0</v>
      </c>
      <c r="S556" s="6">
        <v>29</v>
      </c>
      <c r="T556" s="6">
        <v>30</v>
      </c>
      <c r="U556" s="6">
        <v>67</v>
      </c>
      <c r="V556" s="6">
        <f>IF(ISERROR(VLOOKUP($S$556,'TAR FIN'!$A$1:$O$95,15,0)),0,VLOOKUP($S$556,'TAR FIN'!$A$1:$O$95,15,0))</f>
        <v>28.57</v>
      </c>
      <c r="W556" s="6">
        <f>IF(ISERROR(VLOOKUP($T$556,'TAR FIN'!$A$1:$O$95,15,0)),0,VLOOKUP($T$556,'TAR FIN'!$A$1:$O$95,15,0))</f>
        <v>149.63</v>
      </c>
      <c r="X556" s="6">
        <f>IF(ISERROR(VLOOKUP($U$556,'TAR FIN'!$A$1:$O$95,15,0)),0,VLOOKUP($U$556,'TAR FIN'!$A$1:$O$95,15,0))</f>
        <v>230.03</v>
      </c>
      <c r="Y556" s="6">
        <f ca="1">('TUSD BE'!$AM$11+'TUSD BF'!$AM$11+'TUSD CVA'!$AM$11)*1</f>
        <v>31.93064187172984</v>
      </c>
      <c r="Z556" s="6">
        <f ca="1">('TUSD BE'!$AM$12+'TUSD BF'!$AM$12+'TUSD CVA'!$AM$12)*1</f>
        <v>168.51338132937991</v>
      </c>
      <c r="AA556" s="6">
        <f>('TE BE'!$AA$8+'TE BF'!$AA$8+'TE CVA'!$AA$8)*1</f>
        <v>282.91739971702214</v>
      </c>
      <c r="AB556" s="6">
        <f>$K$556*$V$556</f>
        <v>-14999.25</v>
      </c>
      <c r="AC556" s="6">
        <f>$M$556*$W$556</f>
        <v>-19122.26511</v>
      </c>
      <c r="AD556" s="6">
        <f>$O$556*$X$556</f>
        <v>-29397.143909999999</v>
      </c>
      <c r="AE556" s="6">
        <f ca="1">$K$556*$Y$556</f>
        <v>-16763.586982658166</v>
      </c>
      <c r="AF556" s="6">
        <f ca="1">$M$556*$Z$556</f>
        <v>-21535.504593750764</v>
      </c>
      <c r="AG556" s="6">
        <f>$O$556*$AA$556</f>
        <v>-36155.994931636276</v>
      </c>
    </row>
    <row r="557" spans="1:33" ht="11.25" customHeight="1" x14ac:dyDescent="0.25">
      <c r="A557" s="4" t="s">
        <v>28</v>
      </c>
      <c r="B557" s="4" t="s">
        <v>35</v>
      </c>
      <c r="C557" s="4" t="s">
        <v>44</v>
      </c>
      <c r="D557" s="4" t="s">
        <v>48</v>
      </c>
      <c r="E557" s="4" t="s">
        <v>25</v>
      </c>
      <c r="F557" s="4" t="s">
        <v>25</v>
      </c>
      <c r="G557" s="4" t="s">
        <v>25</v>
      </c>
      <c r="H557" s="4" t="s">
        <v>38</v>
      </c>
      <c r="I557" s="5">
        <v>44409</v>
      </c>
      <c r="J557" s="6">
        <v>5998</v>
      </c>
      <c r="K557" s="6">
        <v>5998</v>
      </c>
      <c r="L557" s="6">
        <v>1708.4760000000001</v>
      </c>
      <c r="M557" s="6">
        <v>1708.4760000000001</v>
      </c>
      <c r="N557" s="6">
        <v>1708.4760000000001</v>
      </c>
      <c r="O557" s="6">
        <v>1708.4760000000001</v>
      </c>
      <c r="P557" s="6">
        <v>0</v>
      </c>
      <c r="Q557" s="4" t="s">
        <v>26</v>
      </c>
      <c r="R557" s="4">
        <v>0</v>
      </c>
      <c r="S557" s="6">
        <v>29</v>
      </c>
      <c r="T557" s="6">
        <v>30</v>
      </c>
      <c r="U557" s="6">
        <v>67</v>
      </c>
      <c r="V557" s="6">
        <f>IF(ISERROR(VLOOKUP($S$557,'TAR FIN'!$A$1:$O$95,15,0)),0,VLOOKUP($S$557,'TAR FIN'!$A$1:$O$95,15,0))</f>
        <v>28.57</v>
      </c>
      <c r="W557" s="6">
        <f>IF(ISERROR(VLOOKUP($T$557,'TAR FIN'!$A$1:$O$95,15,0)),0,VLOOKUP($T$557,'TAR FIN'!$A$1:$O$95,15,0))</f>
        <v>149.63</v>
      </c>
      <c r="X557" s="6">
        <f>IF(ISERROR(VLOOKUP($U$557,'TAR FIN'!$A$1:$O$95,15,0)),0,VLOOKUP($U$557,'TAR FIN'!$A$1:$O$95,15,0))</f>
        <v>230.03</v>
      </c>
      <c r="Y557" s="6">
        <f ca="1">('TUSD BE'!$AM$11+'TUSD BF'!$AM$11+'TUSD CVA'!$AM$11)*1</f>
        <v>31.93064187172984</v>
      </c>
      <c r="Z557" s="6">
        <f ca="1">('TUSD BE'!$AM$12+'TUSD BF'!$AM$12+'TUSD CVA'!$AM$12)*1</f>
        <v>168.51338132937991</v>
      </c>
      <c r="AA557" s="6">
        <f>('TE BE'!$AA$8+'TE BF'!$AA$8+'TE CVA'!$AA$8)*1</f>
        <v>282.91739971702214</v>
      </c>
      <c r="AB557" s="6">
        <f>$K$557*$V$557</f>
        <v>171362.86000000002</v>
      </c>
      <c r="AC557" s="6">
        <f>$M$557*$W$557</f>
        <v>255639.26388000001</v>
      </c>
      <c r="AD557" s="6">
        <f>$O$557*$X$557</f>
        <v>393000.73428000003</v>
      </c>
      <c r="AE557" s="6">
        <f ca="1">$K$557*$Y$557</f>
        <v>191519.98994663559</v>
      </c>
      <c r="AF557" s="6">
        <f ca="1">$M$557*$Z$557</f>
        <v>287901.06768009369</v>
      </c>
      <c r="AG557" s="6">
        <f>$O$557*$AA$557</f>
        <v>483357.58739893913</v>
      </c>
    </row>
    <row r="558" spans="1:33" ht="11.25" customHeight="1" x14ac:dyDescent="0.25">
      <c r="A558" s="4" t="s">
        <v>29</v>
      </c>
      <c r="B558" s="4" t="s">
        <v>35</v>
      </c>
      <c r="C558" s="4" t="s">
        <v>44</v>
      </c>
      <c r="D558" s="4" t="s">
        <v>48</v>
      </c>
      <c r="E558" s="4" t="s">
        <v>25</v>
      </c>
      <c r="F558" s="4" t="s">
        <v>25</v>
      </c>
      <c r="G558" s="4" t="s">
        <v>25</v>
      </c>
      <c r="H558" s="4" t="s">
        <v>38</v>
      </c>
      <c r="I558" s="5">
        <v>44409</v>
      </c>
      <c r="J558" s="6">
        <v>-98</v>
      </c>
      <c r="K558" s="6">
        <v>-98</v>
      </c>
      <c r="L558" s="6">
        <v>-30.672999999999998</v>
      </c>
      <c r="M558" s="6">
        <v>-30.672999999999998</v>
      </c>
      <c r="N558" s="6">
        <v>-30.672999999999998</v>
      </c>
      <c r="O558" s="6">
        <v>-30.672999999999998</v>
      </c>
      <c r="P558" s="6">
        <v>0</v>
      </c>
      <c r="Q558" s="4" t="s">
        <v>26</v>
      </c>
      <c r="R558" s="4">
        <v>0</v>
      </c>
      <c r="S558" s="6">
        <v>29</v>
      </c>
      <c r="T558" s="6">
        <v>30</v>
      </c>
      <c r="U558" s="6">
        <v>67</v>
      </c>
      <c r="V558" s="6">
        <f>IF(ISERROR(VLOOKUP($S$558,'TAR FIN'!$A$1:$O$95,15,0)),0,VLOOKUP($S$558,'TAR FIN'!$A$1:$O$95,15,0))</f>
        <v>28.57</v>
      </c>
      <c r="W558" s="6">
        <f>IF(ISERROR(VLOOKUP($T$558,'TAR FIN'!$A$1:$O$95,15,0)),0,VLOOKUP($T$558,'TAR FIN'!$A$1:$O$95,15,0))</f>
        <v>149.63</v>
      </c>
      <c r="X558" s="6">
        <f>IF(ISERROR(VLOOKUP($U$558,'TAR FIN'!$A$1:$O$95,15,0)),0,VLOOKUP($U$558,'TAR FIN'!$A$1:$O$95,15,0))</f>
        <v>230.03</v>
      </c>
      <c r="Y558" s="6">
        <f ca="1">('TUSD BE'!$AM$11+'TUSD BF'!$AM$11+'TUSD CVA'!$AM$11)*1</f>
        <v>31.93064187172984</v>
      </c>
      <c r="Z558" s="6">
        <f ca="1">('TUSD BE'!$AM$12+'TUSD BF'!$AM$12+'TUSD CVA'!$AM$12)*1</f>
        <v>168.51338132937991</v>
      </c>
      <c r="AA558" s="6">
        <f>('TE BE'!$AA$8+'TE BF'!$AA$8+'TE CVA'!$AA$8)*1</f>
        <v>282.91739971702214</v>
      </c>
      <c r="AB558" s="6">
        <f>$K$558*$V$558</f>
        <v>-2799.86</v>
      </c>
      <c r="AC558" s="6">
        <f>$M$558*$W$558</f>
        <v>-4589.6009899999999</v>
      </c>
      <c r="AD558" s="6">
        <f>$O$558*$X$558</f>
        <v>-7055.7101899999998</v>
      </c>
      <c r="AE558" s="6">
        <f ca="1">$K$558*$Y$558</f>
        <v>-3129.2029034295242</v>
      </c>
      <c r="AF558" s="6">
        <f ca="1">$M$558*$Z$558</f>
        <v>-5168.8109455160693</v>
      </c>
      <c r="AG558" s="6">
        <f>$O$558*$AA$558</f>
        <v>-8677.9254015202187</v>
      </c>
    </row>
    <row r="559" spans="1:33" ht="11.25" customHeight="1" x14ac:dyDescent="0.25">
      <c r="A559" s="4" t="s">
        <v>30</v>
      </c>
      <c r="B559" s="4" t="s">
        <v>35</v>
      </c>
      <c r="C559" s="4" t="s">
        <v>44</v>
      </c>
      <c r="D559" s="4" t="s">
        <v>48</v>
      </c>
      <c r="E559" s="4" t="s">
        <v>25</v>
      </c>
      <c r="F559" s="4" t="s">
        <v>25</v>
      </c>
      <c r="G559" s="4" t="s">
        <v>25</v>
      </c>
      <c r="H559" s="4" t="s">
        <v>38</v>
      </c>
      <c r="I559" s="5">
        <v>44409</v>
      </c>
      <c r="J559" s="6">
        <v>550</v>
      </c>
      <c r="K559" s="6">
        <v>550</v>
      </c>
      <c r="L559" s="6">
        <v>58.716000000000001</v>
      </c>
      <c r="M559" s="6">
        <v>58.716000000000001</v>
      </c>
      <c r="N559" s="6">
        <v>58.716000000000001</v>
      </c>
      <c r="O559" s="6">
        <v>58.716000000000001</v>
      </c>
      <c r="P559" s="6">
        <v>0</v>
      </c>
      <c r="Q559" s="4" t="s">
        <v>26</v>
      </c>
      <c r="R559" s="4">
        <v>0</v>
      </c>
      <c r="S559" s="6">
        <v>29</v>
      </c>
      <c r="T559" s="6">
        <v>30</v>
      </c>
      <c r="U559" s="6">
        <v>67</v>
      </c>
      <c r="V559" s="6">
        <f>IF(ISERROR(VLOOKUP($S$559,'TAR FIN'!$A$1:$O$95,15,0)),0,VLOOKUP($S$559,'TAR FIN'!$A$1:$O$95,15,0))</f>
        <v>28.57</v>
      </c>
      <c r="W559" s="6">
        <f>IF(ISERROR(VLOOKUP($T$559,'TAR FIN'!$A$1:$O$95,15,0)),0,VLOOKUP($T$559,'TAR FIN'!$A$1:$O$95,15,0))</f>
        <v>149.63</v>
      </c>
      <c r="X559" s="6">
        <f>IF(ISERROR(VLOOKUP($U$559,'TAR FIN'!$A$1:$O$95,15,0)),0,VLOOKUP($U$559,'TAR FIN'!$A$1:$O$95,15,0))</f>
        <v>230.03</v>
      </c>
      <c r="Y559" s="6">
        <f ca="1">('TUSD BE'!$AM$11+'TUSD BF'!$AM$11+'TUSD CVA'!$AM$11)*1</f>
        <v>31.93064187172984</v>
      </c>
      <c r="Z559" s="6">
        <f ca="1">('TUSD BE'!$AM$12+'TUSD BF'!$AM$12+'TUSD CVA'!$AM$12)*1</f>
        <v>168.51338132937991</v>
      </c>
      <c r="AA559" s="6">
        <f>('TE BE'!$AA$8+'TE BF'!$AA$8+'TE CVA'!$AA$8)*1</f>
        <v>282.91739971702214</v>
      </c>
      <c r="AB559" s="6">
        <f>$K$559*$V$559</f>
        <v>15713.5</v>
      </c>
      <c r="AC559" s="6">
        <f>$M$559*$W$559</f>
        <v>8785.6750799999991</v>
      </c>
      <c r="AD559" s="6">
        <f>$O$559*$X$559</f>
        <v>13506.44148</v>
      </c>
      <c r="AE559" s="6">
        <f ca="1">$K$559*$Y$559</f>
        <v>17561.853029451413</v>
      </c>
      <c r="AF559" s="6">
        <f ca="1">$M$559*$Z$559</f>
        <v>9894.4316981358716</v>
      </c>
      <c r="AG559" s="6">
        <f>$O$559*$AA$559</f>
        <v>16611.778041784673</v>
      </c>
    </row>
    <row r="560" spans="1:33" ht="11.25" customHeight="1" x14ac:dyDescent="0.25">
      <c r="A560" s="4" t="s">
        <v>21</v>
      </c>
      <c r="B560" s="4" t="s">
        <v>35</v>
      </c>
      <c r="C560" s="4" t="s">
        <v>44</v>
      </c>
      <c r="D560" s="4" t="s">
        <v>48</v>
      </c>
      <c r="E560" s="4" t="s">
        <v>25</v>
      </c>
      <c r="F560" s="4" t="s">
        <v>25</v>
      </c>
      <c r="G560" s="4" t="s">
        <v>25</v>
      </c>
      <c r="H560" s="4" t="s">
        <v>38</v>
      </c>
      <c r="I560" s="5">
        <v>44440</v>
      </c>
      <c r="J560" s="6">
        <v>21086</v>
      </c>
      <c r="K560" s="6">
        <v>21086</v>
      </c>
      <c r="L560" s="6">
        <v>5905.5249999999996</v>
      </c>
      <c r="M560" s="6">
        <v>5905.5249999999996</v>
      </c>
      <c r="N560" s="6">
        <v>5905.5249999999996</v>
      </c>
      <c r="O560" s="6">
        <v>5905.5249999999996</v>
      </c>
      <c r="P560" s="6">
        <v>0</v>
      </c>
      <c r="Q560" s="4" t="s">
        <v>26</v>
      </c>
      <c r="R560" s="4">
        <v>0</v>
      </c>
      <c r="S560" s="6">
        <v>29</v>
      </c>
      <c r="T560" s="6">
        <v>30</v>
      </c>
      <c r="U560" s="6">
        <v>67</v>
      </c>
      <c r="V560" s="6">
        <f>IF(ISERROR(VLOOKUP($S$560,'TAR FIN'!$A$1:$O$95,15,0)),0,VLOOKUP($S$560,'TAR FIN'!$A$1:$O$95,15,0))</f>
        <v>28.57</v>
      </c>
      <c r="W560" s="6">
        <f>IF(ISERROR(VLOOKUP($T$560,'TAR FIN'!$A$1:$O$95,15,0)),0,VLOOKUP($T$560,'TAR FIN'!$A$1:$O$95,15,0))</f>
        <v>149.63</v>
      </c>
      <c r="X560" s="6">
        <f>IF(ISERROR(VLOOKUP($U$560,'TAR FIN'!$A$1:$O$95,15,0)),0,VLOOKUP($U$560,'TAR FIN'!$A$1:$O$95,15,0))</f>
        <v>230.03</v>
      </c>
      <c r="Y560" s="6">
        <f ca="1">('TUSD BE'!$AM$11+'TUSD BF'!$AM$11+'TUSD CVA'!$AM$11)*1</f>
        <v>31.93064187172984</v>
      </c>
      <c r="Z560" s="6">
        <f ca="1">('TUSD BE'!$AM$12+'TUSD BF'!$AM$12+'TUSD CVA'!$AM$12)*1</f>
        <v>168.51338132937991</v>
      </c>
      <c r="AA560" s="6">
        <f>('TE BE'!$AA$8+'TE BF'!$AA$8+'TE CVA'!$AA$8)*1</f>
        <v>282.91739971702214</v>
      </c>
      <c r="AB560" s="6">
        <f>$K$560*$V$560</f>
        <v>602427.02</v>
      </c>
      <c r="AC560" s="6">
        <f>$M$560*$W$560</f>
        <v>883643.70574999996</v>
      </c>
      <c r="AD560" s="6">
        <f>$O$560*$X$560</f>
        <v>1358447.9157499999</v>
      </c>
      <c r="AE560" s="6">
        <f ca="1">$K$560*$Y$560</f>
        <v>673289.51450729545</v>
      </c>
      <c r="AF560" s="6">
        <f ca="1">$M$560*$Z$560</f>
        <v>995159.98627518618</v>
      </c>
      <c r="AG560" s="6">
        <f>$O$560*$AA$560</f>
        <v>1670775.776963867</v>
      </c>
    </row>
    <row r="561" spans="1:33" ht="11.25" customHeight="1" x14ac:dyDescent="0.25">
      <c r="A561" s="4" t="s">
        <v>28</v>
      </c>
      <c r="B561" s="4" t="s">
        <v>35</v>
      </c>
      <c r="C561" s="4" t="s">
        <v>44</v>
      </c>
      <c r="D561" s="4" t="s">
        <v>48</v>
      </c>
      <c r="E561" s="4" t="s">
        <v>25</v>
      </c>
      <c r="F561" s="4" t="s">
        <v>25</v>
      </c>
      <c r="G561" s="4" t="s">
        <v>25</v>
      </c>
      <c r="H561" s="4" t="s">
        <v>38</v>
      </c>
      <c r="I561" s="5">
        <v>44440</v>
      </c>
      <c r="J561" s="6">
        <v>5957</v>
      </c>
      <c r="K561" s="6">
        <v>5957</v>
      </c>
      <c r="L561" s="6">
        <v>1613.6610000000001</v>
      </c>
      <c r="M561" s="6">
        <v>1613.6610000000001</v>
      </c>
      <c r="N561" s="6">
        <v>1613.6610000000001</v>
      </c>
      <c r="O561" s="6">
        <v>1613.6610000000001</v>
      </c>
      <c r="P561" s="6">
        <v>0</v>
      </c>
      <c r="Q561" s="4" t="s">
        <v>26</v>
      </c>
      <c r="R561" s="4">
        <v>0</v>
      </c>
      <c r="S561" s="6">
        <v>29</v>
      </c>
      <c r="T561" s="6">
        <v>30</v>
      </c>
      <c r="U561" s="6">
        <v>67</v>
      </c>
      <c r="V561" s="6">
        <f>IF(ISERROR(VLOOKUP($S$561,'TAR FIN'!$A$1:$O$95,15,0)),0,VLOOKUP($S$561,'TAR FIN'!$A$1:$O$95,15,0))</f>
        <v>28.57</v>
      </c>
      <c r="W561" s="6">
        <f>IF(ISERROR(VLOOKUP($T$561,'TAR FIN'!$A$1:$O$95,15,0)),0,VLOOKUP($T$561,'TAR FIN'!$A$1:$O$95,15,0))</f>
        <v>149.63</v>
      </c>
      <c r="X561" s="6">
        <f>IF(ISERROR(VLOOKUP($U$561,'TAR FIN'!$A$1:$O$95,15,0)),0,VLOOKUP($U$561,'TAR FIN'!$A$1:$O$95,15,0))</f>
        <v>230.03</v>
      </c>
      <c r="Y561" s="6">
        <f ca="1">('TUSD BE'!$AM$11+'TUSD BF'!$AM$11+'TUSD CVA'!$AM$11)*1</f>
        <v>31.93064187172984</v>
      </c>
      <c r="Z561" s="6">
        <f ca="1">('TUSD BE'!$AM$12+'TUSD BF'!$AM$12+'TUSD CVA'!$AM$12)*1</f>
        <v>168.51338132937991</v>
      </c>
      <c r="AA561" s="6">
        <f>('TE BE'!$AA$8+'TE BF'!$AA$8+'TE CVA'!$AA$8)*1</f>
        <v>282.91739971702214</v>
      </c>
      <c r="AB561" s="6">
        <f>$K$561*$V$561</f>
        <v>170191.49</v>
      </c>
      <c r="AC561" s="6">
        <f>$M$561*$W$561</f>
        <v>241452.09543000002</v>
      </c>
      <c r="AD561" s="6">
        <f>$O$561*$X$561</f>
        <v>371190.43982999999</v>
      </c>
      <c r="AE561" s="6">
        <f ca="1">$K$561*$Y$561</f>
        <v>190210.83362989465</v>
      </c>
      <c r="AF561" s="6">
        <f ca="1">$M$561*$Z$561</f>
        <v>271923.47142934852</v>
      </c>
      <c r="AG561" s="6">
        <f>$O$561*$AA$561</f>
        <v>456532.77414476965</v>
      </c>
    </row>
    <row r="562" spans="1:33" ht="11.25" customHeight="1" x14ac:dyDescent="0.25">
      <c r="A562" s="4" t="s">
        <v>29</v>
      </c>
      <c r="B562" s="4" t="s">
        <v>35</v>
      </c>
      <c r="C562" s="4" t="s">
        <v>44</v>
      </c>
      <c r="D562" s="4" t="s">
        <v>48</v>
      </c>
      <c r="E562" s="4" t="s">
        <v>25</v>
      </c>
      <c r="F562" s="4" t="s">
        <v>25</v>
      </c>
      <c r="G562" s="4" t="s">
        <v>25</v>
      </c>
      <c r="H562" s="4" t="s">
        <v>38</v>
      </c>
      <c r="I562" s="5">
        <v>44440</v>
      </c>
      <c r="J562" s="6">
        <v>-72</v>
      </c>
      <c r="K562" s="6">
        <v>-72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4" t="s">
        <v>26</v>
      </c>
      <c r="R562" s="4">
        <v>0</v>
      </c>
      <c r="S562" s="6">
        <v>29</v>
      </c>
      <c r="T562" s="6">
        <v>0</v>
      </c>
      <c r="U562" s="6">
        <v>0</v>
      </c>
      <c r="V562" s="6">
        <f>IF(ISERROR(VLOOKUP($S$562,'TAR FIN'!$A$1:$O$95,15,0)),0,VLOOKUP($S$562,'TAR FIN'!$A$1:$O$95,15,0))</f>
        <v>28.57</v>
      </c>
      <c r="W562" s="6">
        <f>IF(ISERROR(VLOOKUP($T$562,'TAR FIN'!$A$1:$O$95,15,0)),0,VLOOKUP($T$562,'TAR FIN'!$A$1:$O$95,15,0))</f>
        <v>0</v>
      </c>
      <c r="X562" s="6">
        <f>IF(ISERROR(VLOOKUP($U$562,'TAR FIN'!$A$1:$O$95,15,0)),0,VLOOKUP($U$562,'TAR FIN'!$A$1:$O$95,15,0))</f>
        <v>0</v>
      </c>
      <c r="Y562" s="6">
        <f ca="1">('TUSD BE'!$AM$11+'TUSD BF'!$AM$11+'TUSD CVA'!$AM$11)*1</f>
        <v>31.93064187172984</v>
      </c>
      <c r="Z562" s="6">
        <f ca="1">('TUSD BE'!$AM$12+'TUSD BF'!$AM$12+'TUSD CVA'!$AM$12)*1</f>
        <v>168.51338132937991</v>
      </c>
      <c r="AA562" s="6">
        <f>('TE BE'!$AA$8+'TE BF'!$AA$8+'TE CVA'!$AA$8)*1</f>
        <v>282.91739971702214</v>
      </c>
      <c r="AB562" s="6">
        <f>$K$562*$V$562</f>
        <v>-2057.04</v>
      </c>
      <c r="AC562" s="6">
        <f>$M$562*$W$562</f>
        <v>0</v>
      </c>
      <c r="AD562" s="6">
        <f>$O$562*$X$562</f>
        <v>0</v>
      </c>
      <c r="AE562" s="6">
        <f ca="1">$K$562*$Y$562</f>
        <v>-2299.0062147645485</v>
      </c>
      <c r="AF562" s="6">
        <f ca="1">$M$562*$Z$562</f>
        <v>0</v>
      </c>
      <c r="AG562" s="6">
        <f>$O$562*$AA$562</f>
        <v>0</v>
      </c>
    </row>
    <row r="563" spans="1:33" ht="11.25" customHeight="1" x14ac:dyDescent="0.25">
      <c r="A563" s="4" t="s">
        <v>30</v>
      </c>
      <c r="B563" s="4" t="s">
        <v>35</v>
      </c>
      <c r="C563" s="4" t="s">
        <v>44</v>
      </c>
      <c r="D563" s="4" t="s">
        <v>48</v>
      </c>
      <c r="E563" s="4" t="s">
        <v>25</v>
      </c>
      <c r="F563" s="4" t="s">
        <v>25</v>
      </c>
      <c r="G563" s="4" t="s">
        <v>25</v>
      </c>
      <c r="H563" s="4" t="s">
        <v>38</v>
      </c>
      <c r="I563" s="5">
        <v>44440</v>
      </c>
      <c r="J563" s="6">
        <v>550</v>
      </c>
      <c r="K563" s="6">
        <v>550</v>
      </c>
      <c r="L563" s="6">
        <v>53.976999999999997</v>
      </c>
      <c r="M563" s="6">
        <v>53.976999999999997</v>
      </c>
      <c r="N563" s="6">
        <v>53.976999999999997</v>
      </c>
      <c r="O563" s="6">
        <v>53.976999999999997</v>
      </c>
      <c r="P563" s="6">
        <v>0</v>
      </c>
      <c r="Q563" s="4" t="s">
        <v>26</v>
      </c>
      <c r="R563" s="4">
        <v>0</v>
      </c>
      <c r="S563" s="6">
        <v>29</v>
      </c>
      <c r="T563" s="6">
        <v>30</v>
      </c>
      <c r="U563" s="6">
        <v>67</v>
      </c>
      <c r="V563" s="6">
        <f>IF(ISERROR(VLOOKUP($S$563,'TAR FIN'!$A$1:$O$95,15,0)),0,VLOOKUP($S$563,'TAR FIN'!$A$1:$O$95,15,0))</f>
        <v>28.57</v>
      </c>
      <c r="W563" s="6">
        <f>IF(ISERROR(VLOOKUP($T$563,'TAR FIN'!$A$1:$O$95,15,0)),0,VLOOKUP($T$563,'TAR FIN'!$A$1:$O$95,15,0))</f>
        <v>149.63</v>
      </c>
      <c r="X563" s="6">
        <f>IF(ISERROR(VLOOKUP($U$563,'TAR FIN'!$A$1:$O$95,15,0)),0,VLOOKUP($U$563,'TAR FIN'!$A$1:$O$95,15,0))</f>
        <v>230.03</v>
      </c>
      <c r="Y563" s="6">
        <f ca="1">('TUSD BE'!$AM$11+'TUSD BF'!$AM$11+'TUSD CVA'!$AM$11)*1</f>
        <v>31.93064187172984</v>
      </c>
      <c r="Z563" s="6">
        <f ca="1">('TUSD BE'!$AM$12+'TUSD BF'!$AM$12+'TUSD CVA'!$AM$12)*1</f>
        <v>168.51338132937991</v>
      </c>
      <c r="AA563" s="6">
        <f>('TE BE'!$AA$8+'TE BF'!$AA$8+'TE CVA'!$AA$8)*1</f>
        <v>282.91739971702214</v>
      </c>
      <c r="AB563" s="6">
        <f>$K$563*$V$563</f>
        <v>15713.5</v>
      </c>
      <c r="AC563" s="6">
        <f>$M$563*$W$563</f>
        <v>8076.5785099999994</v>
      </c>
      <c r="AD563" s="6">
        <f>$O$563*$X$563</f>
        <v>12416.329309999999</v>
      </c>
      <c r="AE563" s="6">
        <f ca="1">$K$563*$Y$563</f>
        <v>17561.853029451413</v>
      </c>
      <c r="AF563" s="6">
        <f ca="1">$M$563*$Z$563</f>
        <v>9095.8467840159392</v>
      </c>
      <c r="AG563" s="6">
        <f>$O$563*$AA$563</f>
        <v>15271.032484525704</v>
      </c>
    </row>
    <row r="564" spans="1:33" ht="11.25" customHeight="1" x14ac:dyDescent="0.25">
      <c r="A564" s="4" t="s">
        <v>59</v>
      </c>
      <c r="B564" s="4" t="s">
        <v>35</v>
      </c>
      <c r="C564" s="4" t="s">
        <v>44</v>
      </c>
      <c r="D564" s="4" t="s">
        <v>48</v>
      </c>
      <c r="E564" s="4" t="s">
        <v>25</v>
      </c>
      <c r="F564" s="4" t="s">
        <v>25</v>
      </c>
      <c r="G564" s="4" t="s">
        <v>25</v>
      </c>
      <c r="H564" s="4" t="s">
        <v>38</v>
      </c>
      <c r="I564" s="5">
        <v>44470</v>
      </c>
      <c r="J564" s="6">
        <v>21086</v>
      </c>
      <c r="K564" s="6">
        <v>21086</v>
      </c>
      <c r="L564" s="6">
        <v>5905.5249999999996</v>
      </c>
      <c r="M564" s="6">
        <v>5905.5249999999996</v>
      </c>
      <c r="N564" s="6">
        <v>5905.5249999999996</v>
      </c>
      <c r="O564" s="6">
        <v>5905.5249999999996</v>
      </c>
      <c r="P564" s="6">
        <v>0</v>
      </c>
      <c r="Q564" s="4" t="s">
        <v>26</v>
      </c>
      <c r="R564" s="4">
        <v>0</v>
      </c>
      <c r="S564" s="6">
        <v>29</v>
      </c>
      <c r="T564" s="6">
        <v>30</v>
      </c>
      <c r="U564" s="6">
        <v>67</v>
      </c>
      <c r="V564" s="6">
        <f>IF(ISERROR(VLOOKUP($S$564,'TAR FIN'!$A$1:$O$95,15,0)),0,VLOOKUP($S$564,'TAR FIN'!$A$1:$O$95,15,0))</f>
        <v>28.57</v>
      </c>
      <c r="W564" s="6">
        <f>IF(ISERROR(VLOOKUP($T$564,'TAR FIN'!$A$1:$O$95,15,0)),0,VLOOKUP($T$564,'TAR FIN'!$A$1:$O$95,15,0))</f>
        <v>149.63</v>
      </c>
      <c r="X564" s="6">
        <f>IF(ISERROR(VLOOKUP($U$564,'TAR FIN'!$A$1:$O$95,15,0)),0,VLOOKUP($U$564,'TAR FIN'!$A$1:$O$95,15,0))</f>
        <v>230.03</v>
      </c>
      <c r="Y564" s="6">
        <f ca="1">('TUSD BE'!$AM$11+'TUSD BF'!$AM$11+'TUSD CVA'!$AM$11)*1</f>
        <v>31.93064187172984</v>
      </c>
      <c r="Z564" s="6">
        <f ca="1">('TUSD BE'!$AM$12+'TUSD BF'!$AM$12+'TUSD CVA'!$AM$12)*1</f>
        <v>168.51338132937991</v>
      </c>
      <c r="AA564" s="6">
        <f>('TE BE'!$AA$8+'TE BF'!$AA$8+'TE CVA'!$AA$8)*1</f>
        <v>282.91739971702214</v>
      </c>
      <c r="AB564" s="6">
        <f>$K$564*$V$564</f>
        <v>602427.02</v>
      </c>
      <c r="AC564" s="6">
        <f>$M$564*$W$564</f>
        <v>883643.70574999996</v>
      </c>
      <c r="AD564" s="6">
        <f>$O$564*$X$564</f>
        <v>1358447.9157499999</v>
      </c>
      <c r="AE564" s="6">
        <f ca="1">$K$564*$Y$564</f>
        <v>673289.51450729545</v>
      </c>
      <c r="AF564" s="6">
        <f ca="1">$M$564*$Z$564</f>
        <v>995159.98627518618</v>
      </c>
      <c r="AG564" s="6">
        <f>$O$564*$AA$564</f>
        <v>1670775.776963867</v>
      </c>
    </row>
    <row r="565" spans="1:33" ht="11.25" customHeight="1" x14ac:dyDescent="0.25">
      <c r="A565" s="4" t="s">
        <v>59</v>
      </c>
      <c r="B565" s="4" t="s">
        <v>35</v>
      </c>
      <c r="C565" s="4" t="s">
        <v>44</v>
      </c>
      <c r="D565" s="4" t="s">
        <v>48</v>
      </c>
      <c r="E565" s="4" t="s">
        <v>25</v>
      </c>
      <c r="F565" s="4" t="s">
        <v>25</v>
      </c>
      <c r="G565" s="4" t="s">
        <v>25</v>
      </c>
      <c r="H565" s="4" t="s">
        <v>38</v>
      </c>
      <c r="I565" s="5">
        <v>44470</v>
      </c>
      <c r="J565" s="6">
        <v>5957</v>
      </c>
      <c r="K565" s="6">
        <v>5957</v>
      </c>
      <c r="L565" s="6">
        <v>1613.6610000000001</v>
      </c>
      <c r="M565" s="6">
        <v>1613.6610000000001</v>
      </c>
      <c r="N565" s="6">
        <v>1613.6610000000001</v>
      </c>
      <c r="O565" s="6">
        <v>1613.6610000000001</v>
      </c>
      <c r="P565" s="6">
        <v>0</v>
      </c>
      <c r="Q565" s="4" t="s">
        <v>26</v>
      </c>
      <c r="R565" s="4">
        <v>0</v>
      </c>
      <c r="S565" s="6">
        <v>29</v>
      </c>
      <c r="T565" s="6">
        <v>30</v>
      </c>
      <c r="U565" s="6">
        <v>67</v>
      </c>
      <c r="V565" s="6">
        <f>IF(ISERROR(VLOOKUP($S$565,'TAR FIN'!$A$1:$O$95,15,0)),0,VLOOKUP($S$565,'TAR FIN'!$A$1:$O$95,15,0))</f>
        <v>28.57</v>
      </c>
      <c r="W565" s="6">
        <f>IF(ISERROR(VLOOKUP($T$565,'TAR FIN'!$A$1:$O$95,15,0)),0,VLOOKUP($T$565,'TAR FIN'!$A$1:$O$95,15,0))</f>
        <v>149.63</v>
      </c>
      <c r="X565" s="6">
        <f>IF(ISERROR(VLOOKUP($U$565,'TAR FIN'!$A$1:$O$95,15,0)),0,VLOOKUP($U$565,'TAR FIN'!$A$1:$O$95,15,0))</f>
        <v>230.03</v>
      </c>
      <c r="Y565" s="6">
        <f ca="1">('TUSD BE'!$AM$11+'TUSD BF'!$AM$11+'TUSD CVA'!$AM$11)*1</f>
        <v>31.93064187172984</v>
      </c>
      <c r="Z565" s="6">
        <f ca="1">('TUSD BE'!$AM$12+'TUSD BF'!$AM$12+'TUSD CVA'!$AM$12)*1</f>
        <v>168.51338132937991</v>
      </c>
      <c r="AA565" s="6">
        <f>('TE BE'!$AA$8+'TE BF'!$AA$8+'TE CVA'!$AA$8)*1</f>
        <v>282.91739971702214</v>
      </c>
      <c r="AB565" s="6">
        <f>$K$565*$V$565</f>
        <v>170191.49</v>
      </c>
      <c r="AC565" s="6">
        <f>$M$565*$W$565</f>
        <v>241452.09543000002</v>
      </c>
      <c r="AD565" s="6">
        <f>$O$565*$X$565</f>
        <v>371190.43982999999</v>
      </c>
      <c r="AE565" s="6">
        <f ca="1">$K$565*$Y$565</f>
        <v>190210.83362989465</v>
      </c>
      <c r="AF565" s="6">
        <f ca="1">$M$565*$Z$565</f>
        <v>271923.47142934852</v>
      </c>
      <c r="AG565" s="6">
        <f>$O$565*$AA$565</f>
        <v>456532.77414476965</v>
      </c>
    </row>
    <row r="566" spans="1:33" ht="11.25" customHeight="1" x14ac:dyDescent="0.25">
      <c r="A566" s="4" t="s">
        <v>59</v>
      </c>
      <c r="B566" s="4" t="s">
        <v>35</v>
      </c>
      <c r="C566" s="4" t="s">
        <v>44</v>
      </c>
      <c r="D566" s="4" t="s">
        <v>48</v>
      </c>
      <c r="E566" s="4" t="s">
        <v>25</v>
      </c>
      <c r="F566" s="4" t="s">
        <v>25</v>
      </c>
      <c r="G566" s="4" t="s">
        <v>25</v>
      </c>
      <c r="H566" s="4" t="s">
        <v>38</v>
      </c>
      <c r="I566" s="5">
        <v>44470</v>
      </c>
      <c r="J566" s="6">
        <v>-72</v>
      </c>
      <c r="K566" s="6">
        <v>-72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4" t="s">
        <v>26</v>
      </c>
      <c r="R566" s="4">
        <v>0</v>
      </c>
      <c r="S566" s="6">
        <v>29</v>
      </c>
      <c r="T566" s="6">
        <v>0</v>
      </c>
      <c r="U566" s="6">
        <v>0</v>
      </c>
      <c r="V566" s="6">
        <f>IF(ISERROR(VLOOKUP($S$566,'TAR FIN'!$A$1:$O$95,15,0)),0,VLOOKUP($S$566,'TAR FIN'!$A$1:$O$95,15,0))</f>
        <v>28.57</v>
      </c>
      <c r="W566" s="6">
        <f>IF(ISERROR(VLOOKUP($T$566,'TAR FIN'!$A$1:$O$95,15,0)),0,VLOOKUP($T$566,'TAR FIN'!$A$1:$O$95,15,0))</f>
        <v>0</v>
      </c>
      <c r="X566" s="6">
        <f>IF(ISERROR(VLOOKUP($U$566,'TAR FIN'!$A$1:$O$95,15,0)),0,VLOOKUP($U$566,'TAR FIN'!$A$1:$O$95,15,0))</f>
        <v>0</v>
      </c>
      <c r="Y566" s="6">
        <f ca="1">('TUSD BE'!$AM$11+'TUSD BF'!$AM$11+'TUSD CVA'!$AM$11)*1</f>
        <v>31.93064187172984</v>
      </c>
      <c r="Z566" s="6">
        <f ca="1">('TUSD BE'!$AM$12+'TUSD BF'!$AM$12+'TUSD CVA'!$AM$12)*1</f>
        <v>168.51338132937991</v>
      </c>
      <c r="AA566" s="6">
        <f>('TE BE'!$AA$8+'TE BF'!$AA$8+'TE CVA'!$AA$8)*1</f>
        <v>282.91739971702214</v>
      </c>
      <c r="AB566" s="6">
        <f>$K$566*$V$566</f>
        <v>-2057.04</v>
      </c>
      <c r="AC566" s="6">
        <f>$M$566*$W$566</f>
        <v>0</v>
      </c>
      <c r="AD566" s="6">
        <f>$O$566*$X$566</f>
        <v>0</v>
      </c>
      <c r="AE566" s="6">
        <f ca="1">$K$566*$Y$566</f>
        <v>-2299.0062147645485</v>
      </c>
      <c r="AF566" s="6">
        <f ca="1">$M$566*$Z$566</f>
        <v>0</v>
      </c>
      <c r="AG566" s="6">
        <f>$O$566*$AA$566</f>
        <v>0</v>
      </c>
    </row>
    <row r="567" spans="1:33" ht="11.25" customHeight="1" x14ac:dyDescent="0.25">
      <c r="A567" s="4" t="s">
        <v>59</v>
      </c>
      <c r="B567" s="4" t="s">
        <v>35</v>
      </c>
      <c r="C567" s="4" t="s">
        <v>44</v>
      </c>
      <c r="D567" s="4" t="s">
        <v>48</v>
      </c>
      <c r="E567" s="4" t="s">
        <v>25</v>
      </c>
      <c r="F567" s="4" t="s">
        <v>25</v>
      </c>
      <c r="G567" s="4" t="s">
        <v>25</v>
      </c>
      <c r="H567" s="4" t="s">
        <v>38</v>
      </c>
      <c r="I567" s="5">
        <v>44470</v>
      </c>
      <c r="J567" s="6">
        <v>550</v>
      </c>
      <c r="K567" s="6">
        <v>550</v>
      </c>
      <c r="L567" s="6">
        <v>53.976999999999997</v>
      </c>
      <c r="M567" s="6">
        <v>53.976999999999997</v>
      </c>
      <c r="N567" s="6">
        <v>53.976999999999997</v>
      </c>
      <c r="O567" s="6">
        <v>53.976999999999997</v>
      </c>
      <c r="P567" s="6">
        <v>0</v>
      </c>
      <c r="Q567" s="4" t="s">
        <v>26</v>
      </c>
      <c r="R567" s="4">
        <v>0</v>
      </c>
      <c r="S567" s="6">
        <v>29</v>
      </c>
      <c r="T567" s="6">
        <v>30</v>
      </c>
      <c r="U567" s="6">
        <v>67</v>
      </c>
      <c r="V567" s="6">
        <f>IF(ISERROR(VLOOKUP($S$567,'TAR FIN'!$A$1:$O$95,15,0)),0,VLOOKUP($S$567,'TAR FIN'!$A$1:$O$95,15,0))</f>
        <v>28.57</v>
      </c>
      <c r="W567" s="6">
        <f>IF(ISERROR(VLOOKUP($T$567,'TAR FIN'!$A$1:$O$95,15,0)),0,VLOOKUP($T$567,'TAR FIN'!$A$1:$O$95,15,0))</f>
        <v>149.63</v>
      </c>
      <c r="X567" s="6">
        <f>IF(ISERROR(VLOOKUP($U$567,'TAR FIN'!$A$1:$O$95,15,0)),0,VLOOKUP($U$567,'TAR FIN'!$A$1:$O$95,15,0))</f>
        <v>230.03</v>
      </c>
      <c r="Y567" s="6">
        <f ca="1">('TUSD BE'!$AM$11+'TUSD BF'!$AM$11+'TUSD CVA'!$AM$11)*1</f>
        <v>31.93064187172984</v>
      </c>
      <c r="Z567" s="6">
        <f ca="1">('TUSD BE'!$AM$12+'TUSD BF'!$AM$12+'TUSD CVA'!$AM$12)*1</f>
        <v>168.51338132937991</v>
      </c>
      <c r="AA567" s="6">
        <f>('TE BE'!$AA$8+'TE BF'!$AA$8+'TE CVA'!$AA$8)*1</f>
        <v>282.91739971702214</v>
      </c>
      <c r="AB567" s="6">
        <f>$K$567*$V$567</f>
        <v>15713.5</v>
      </c>
      <c r="AC567" s="6">
        <f>$M$567*$W$567</f>
        <v>8076.5785099999994</v>
      </c>
      <c r="AD567" s="6">
        <f>$O$567*$X$567</f>
        <v>12416.329309999999</v>
      </c>
      <c r="AE567" s="6">
        <f ca="1">$K$567*$Y$567</f>
        <v>17561.853029451413</v>
      </c>
      <c r="AF567" s="6">
        <f ca="1">$M$567*$Z$567</f>
        <v>9095.8467840159392</v>
      </c>
      <c r="AG567" s="6">
        <f>$O$567*$AA$567</f>
        <v>15271.032484525704</v>
      </c>
    </row>
    <row r="568" spans="1:33" ht="11.25" customHeight="1" x14ac:dyDescent="0.25">
      <c r="A568" s="4" t="s">
        <v>21</v>
      </c>
      <c r="B568" s="4" t="s">
        <v>35</v>
      </c>
      <c r="C568" s="4" t="s">
        <v>44</v>
      </c>
      <c r="D568" s="4" t="s">
        <v>48</v>
      </c>
      <c r="E568" s="4" t="s">
        <v>25</v>
      </c>
      <c r="F568" s="4" t="s">
        <v>25</v>
      </c>
      <c r="G568" s="4" t="s">
        <v>25</v>
      </c>
      <c r="H568" s="4" t="s">
        <v>37</v>
      </c>
      <c r="I568" s="5">
        <v>44136</v>
      </c>
      <c r="J568" s="6">
        <v>15499</v>
      </c>
      <c r="K568" s="6">
        <v>15499</v>
      </c>
      <c r="L568" s="6">
        <v>457.48099999999999</v>
      </c>
      <c r="M568" s="6">
        <v>457.48099999999999</v>
      </c>
      <c r="N568" s="6">
        <v>457.48099999999999</v>
      </c>
      <c r="O568" s="6">
        <v>457.48099999999999</v>
      </c>
      <c r="P568" s="6">
        <v>0</v>
      </c>
      <c r="Q568" s="4" t="s">
        <v>26</v>
      </c>
      <c r="R568" s="4">
        <v>0</v>
      </c>
      <c r="S568" s="6">
        <v>28</v>
      </c>
      <c r="T568" s="6">
        <v>30</v>
      </c>
      <c r="U568" s="6">
        <v>66</v>
      </c>
      <c r="V568" s="6">
        <f>IF(ISERROR(VLOOKUP($S$568,'TAR FIN'!$A$1:$O$95,15,0)),0,VLOOKUP($S$568,'TAR FIN'!$A$1:$O$95,15,0))</f>
        <v>52.99</v>
      </c>
      <c r="W568" s="6">
        <f>IF(ISERROR(VLOOKUP($T$568,'TAR FIN'!$A$1:$O$95,15,0)),0,VLOOKUP($T$568,'TAR FIN'!$A$1:$O$95,15,0))</f>
        <v>149.63</v>
      </c>
      <c r="X568" s="6">
        <f>IF(ISERROR(VLOOKUP($U$568,'TAR FIN'!$A$1:$O$95,15,0)),0,VLOOKUP($U$568,'TAR FIN'!$A$1:$O$95,15,0))</f>
        <v>389.28</v>
      </c>
      <c r="Y568" s="6">
        <f ca="1">('TUSD BE'!$AM$10+'TUSD BF'!$AM$10+'TUSD CVA'!$AM$10)*1</f>
        <v>59.276351675174958</v>
      </c>
      <c r="Z568" s="6">
        <f ca="1">('TUSD BE'!$AM$12+'TUSD BF'!$AM$12+'TUSD CVA'!$AM$12)*1</f>
        <v>168.51338132937991</v>
      </c>
      <c r="AA568" s="6">
        <f>('TE BE'!$AA$7+'TE BF'!$AA$7+'TE CVA'!$AA$7)*1</f>
        <v>454.3285679284046</v>
      </c>
      <c r="AB568" s="6">
        <f>$K$568*$V$568</f>
        <v>821292.01</v>
      </c>
      <c r="AC568" s="6">
        <f>$M$568*$W$568</f>
        <v>68452.882029999993</v>
      </c>
      <c r="AD568" s="6">
        <f>$O$568*$X$568</f>
        <v>178088.20367999998</v>
      </c>
      <c r="AE568" s="6">
        <f ca="1">$K$568*$Y$568</f>
        <v>918724.17461353668</v>
      </c>
      <c r="AF568" s="6">
        <f ca="1">$M$568*$Z$568</f>
        <v>77091.670203946051</v>
      </c>
      <c r="AG568" s="6">
        <f>$O$568*$AA$568</f>
        <v>207846.68758445446</v>
      </c>
    </row>
    <row r="569" spans="1:33" ht="11.25" customHeight="1" x14ac:dyDescent="0.25">
      <c r="A569" s="4" t="s">
        <v>27</v>
      </c>
      <c r="B569" s="4" t="s">
        <v>35</v>
      </c>
      <c r="C569" s="4" t="s">
        <v>44</v>
      </c>
      <c r="D569" s="4" t="s">
        <v>48</v>
      </c>
      <c r="E569" s="4" t="s">
        <v>25</v>
      </c>
      <c r="F569" s="4" t="s">
        <v>25</v>
      </c>
      <c r="G569" s="4" t="s">
        <v>25</v>
      </c>
      <c r="H569" s="4" t="s">
        <v>37</v>
      </c>
      <c r="I569" s="5">
        <v>44136</v>
      </c>
      <c r="J569" s="6">
        <v>93</v>
      </c>
      <c r="K569" s="6">
        <v>93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4" t="s">
        <v>26</v>
      </c>
      <c r="R569" s="4">
        <v>0</v>
      </c>
      <c r="S569" s="6">
        <v>28</v>
      </c>
      <c r="T569" s="6">
        <v>0</v>
      </c>
      <c r="U569" s="6">
        <v>0</v>
      </c>
      <c r="V569" s="6">
        <f>IF(ISERROR(VLOOKUP($S$569,'TAR FIN'!$A$1:$O$95,15,0)),0,VLOOKUP($S$569,'TAR FIN'!$A$1:$O$95,15,0))</f>
        <v>52.99</v>
      </c>
      <c r="W569" s="6">
        <f>IF(ISERROR(VLOOKUP($T$569,'TAR FIN'!$A$1:$O$95,15,0)),0,VLOOKUP($T$569,'TAR FIN'!$A$1:$O$95,15,0))</f>
        <v>0</v>
      </c>
      <c r="X569" s="6">
        <f>IF(ISERROR(VLOOKUP($U$569,'TAR FIN'!$A$1:$O$95,15,0)),0,VLOOKUP($U$569,'TAR FIN'!$A$1:$O$95,15,0))</f>
        <v>0</v>
      </c>
      <c r="Y569" s="6">
        <f ca="1">('TUSD BE'!$AM$10+'TUSD BF'!$AM$10+'TUSD CVA'!$AM$10)*1</f>
        <v>59.276351675174958</v>
      </c>
      <c r="Z569" s="6">
        <f ca="1">('TUSD BE'!$AM$12+'TUSD BF'!$AM$12+'TUSD CVA'!$AM$12)*1</f>
        <v>168.51338132937991</v>
      </c>
      <c r="AA569" s="6">
        <f>('TE BE'!$AA$7+'TE BF'!$AA$7+'TE CVA'!$AA$7)*1</f>
        <v>454.3285679284046</v>
      </c>
      <c r="AB569" s="6">
        <f>$K$569*$V$569</f>
        <v>4928.0700000000006</v>
      </c>
      <c r="AC569" s="6">
        <f>$M$569*$W$569</f>
        <v>0</v>
      </c>
      <c r="AD569" s="6">
        <f>$O$569*$X$569</f>
        <v>0</v>
      </c>
      <c r="AE569" s="6">
        <f ca="1">$K$569*$Y$569</f>
        <v>5512.7007057912715</v>
      </c>
      <c r="AF569" s="6">
        <f ca="1">$M$569*$Z$569</f>
        <v>0</v>
      </c>
      <c r="AG569" s="6">
        <f>$O$569*$AA$569</f>
        <v>0</v>
      </c>
    </row>
    <row r="570" spans="1:33" ht="11.25" customHeight="1" x14ac:dyDescent="0.25">
      <c r="A570" s="4" t="s">
        <v>28</v>
      </c>
      <c r="B570" s="4" t="s">
        <v>35</v>
      </c>
      <c r="C570" s="4" t="s">
        <v>44</v>
      </c>
      <c r="D570" s="4" t="s">
        <v>48</v>
      </c>
      <c r="E570" s="4" t="s">
        <v>25</v>
      </c>
      <c r="F570" s="4" t="s">
        <v>25</v>
      </c>
      <c r="G570" s="4" t="s">
        <v>25</v>
      </c>
      <c r="H570" s="4" t="s">
        <v>37</v>
      </c>
      <c r="I570" s="5">
        <v>44136</v>
      </c>
      <c r="J570" s="6">
        <v>5282</v>
      </c>
      <c r="K570" s="6">
        <v>5282</v>
      </c>
      <c r="L570" s="6">
        <v>144.18899999999999</v>
      </c>
      <c r="M570" s="6">
        <v>144.18899999999999</v>
      </c>
      <c r="N570" s="6">
        <v>144.18899999999999</v>
      </c>
      <c r="O570" s="6">
        <v>144.18899999999999</v>
      </c>
      <c r="P570" s="6">
        <v>0</v>
      </c>
      <c r="Q570" s="4" t="s">
        <v>26</v>
      </c>
      <c r="R570" s="4">
        <v>0</v>
      </c>
      <c r="S570" s="6">
        <v>28</v>
      </c>
      <c r="T570" s="6">
        <v>30</v>
      </c>
      <c r="U570" s="6">
        <v>66</v>
      </c>
      <c r="V570" s="6">
        <f>IF(ISERROR(VLOOKUP($S$570,'TAR FIN'!$A$1:$O$95,15,0)),0,VLOOKUP($S$570,'TAR FIN'!$A$1:$O$95,15,0))</f>
        <v>52.99</v>
      </c>
      <c r="W570" s="6">
        <f>IF(ISERROR(VLOOKUP($T$570,'TAR FIN'!$A$1:$O$95,15,0)),0,VLOOKUP($T$570,'TAR FIN'!$A$1:$O$95,15,0))</f>
        <v>149.63</v>
      </c>
      <c r="X570" s="6">
        <f>IF(ISERROR(VLOOKUP($U$570,'TAR FIN'!$A$1:$O$95,15,0)),0,VLOOKUP($U$570,'TAR FIN'!$A$1:$O$95,15,0))</f>
        <v>389.28</v>
      </c>
      <c r="Y570" s="6">
        <f ca="1">('TUSD BE'!$AM$10+'TUSD BF'!$AM$10+'TUSD CVA'!$AM$10)*1</f>
        <v>59.276351675174958</v>
      </c>
      <c r="Z570" s="6">
        <f ca="1">('TUSD BE'!$AM$12+'TUSD BF'!$AM$12+'TUSD CVA'!$AM$12)*1</f>
        <v>168.51338132937991</v>
      </c>
      <c r="AA570" s="6">
        <f>('TE BE'!$AA$7+'TE BF'!$AA$7+'TE CVA'!$AA$7)*1</f>
        <v>454.3285679284046</v>
      </c>
      <c r="AB570" s="6">
        <f>$K$570*$V$570</f>
        <v>279893.18</v>
      </c>
      <c r="AC570" s="6">
        <f>$M$570*$W$570</f>
        <v>21575.000069999998</v>
      </c>
      <c r="AD570" s="6">
        <f>$O$570*$X$570</f>
        <v>56129.893919999995</v>
      </c>
      <c r="AE570" s="6">
        <f ca="1">$K$570*$Y$570</f>
        <v>313097.68954827415</v>
      </c>
      <c r="AF570" s="6">
        <f ca="1">$M$570*$Z$570</f>
        <v>24297.775940501961</v>
      </c>
      <c r="AG570" s="6">
        <f>$O$570*$AA$570</f>
        <v>65509.18188102873</v>
      </c>
    </row>
    <row r="571" spans="1:33" ht="11.25" customHeight="1" x14ac:dyDescent="0.25">
      <c r="A571" s="4" t="s">
        <v>29</v>
      </c>
      <c r="B571" s="4" t="s">
        <v>35</v>
      </c>
      <c r="C571" s="4" t="s">
        <v>44</v>
      </c>
      <c r="D571" s="4" t="s">
        <v>48</v>
      </c>
      <c r="E571" s="4" t="s">
        <v>25</v>
      </c>
      <c r="F571" s="4" t="s">
        <v>25</v>
      </c>
      <c r="G571" s="4" t="s">
        <v>25</v>
      </c>
      <c r="H571" s="4" t="s">
        <v>37</v>
      </c>
      <c r="I571" s="5">
        <v>44136</v>
      </c>
      <c r="J571" s="6">
        <v>43</v>
      </c>
      <c r="K571" s="6">
        <v>43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4" t="s">
        <v>26</v>
      </c>
      <c r="R571" s="4">
        <v>0</v>
      </c>
      <c r="S571" s="6">
        <v>28</v>
      </c>
      <c r="T571" s="6">
        <v>0</v>
      </c>
      <c r="U571" s="6">
        <v>0</v>
      </c>
      <c r="V571" s="6">
        <f>IF(ISERROR(VLOOKUP($S$571,'TAR FIN'!$A$1:$O$95,15,0)),0,VLOOKUP($S$571,'TAR FIN'!$A$1:$O$95,15,0))</f>
        <v>52.99</v>
      </c>
      <c r="W571" s="6">
        <f>IF(ISERROR(VLOOKUP($T$571,'TAR FIN'!$A$1:$O$95,15,0)),0,VLOOKUP($T$571,'TAR FIN'!$A$1:$O$95,15,0))</f>
        <v>0</v>
      </c>
      <c r="X571" s="6">
        <f>IF(ISERROR(VLOOKUP($U$571,'TAR FIN'!$A$1:$O$95,15,0)),0,VLOOKUP($U$571,'TAR FIN'!$A$1:$O$95,15,0))</f>
        <v>0</v>
      </c>
      <c r="Y571" s="6">
        <f ca="1">('TUSD BE'!$AM$10+'TUSD BF'!$AM$10+'TUSD CVA'!$AM$10)*1</f>
        <v>59.276351675174958</v>
      </c>
      <c r="Z571" s="6">
        <f ca="1">('TUSD BE'!$AM$12+'TUSD BF'!$AM$12+'TUSD CVA'!$AM$12)*1</f>
        <v>168.51338132937991</v>
      </c>
      <c r="AA571" s="6">
        <f>('TE BE'!$AA$7+'TE BF'!$AA$7+'TE CVA'!$AA$7)*1</f>
        <v>454.3285679284046</v>
      </c>
      <c r="AB571" s="6">
        <f>$K$571*$V$571</f>
        <v>2278.5700000000002</v>
      </c>
      <c r="AC571" s="6">
        <f>$M$571*$W$571</f>
        <v>0</v>
      </c>
      <c r="AD571" s="6">
        <f>$O$571*$X$571</f>
        <v>0</v>
      </c>
      <c r="AE571" s="6">
        <f ca="1">$K$571*$Y$571</f>
        <v>2548.8831220325233</v>
      </c>
      <c r="AF571" s="6">
        <f ca="1">$M$571*$Z$571</f>
        <v>0</v>
      </c>
      <c r="AG571" s="6">
        <f>$O$571*$AA$571</f>
        <v>0</v>
      </c>
    </row>
    <row r="572" spans="1:33" ht="11.25" customHeight="1" x14ac:dyDescent="0.25">
      <c r="A572" s="4" t="s">
        <v>21</v>
      </c>
      <c r="B572" s="4" t="s">
        <v>35</v>
      </c>
      <c r="C572" s="4" t="s">
        <v>44</v>
      </c>
      <c r="D572" s="4" t="s">
        <v>48</v>
      </c>
      <c r="E572" s="4" t="s">
        <v>25</v>
      </c>
      <c r="F572" s="4" t="s">
        <v>25</v>
      </c>
      <c r="G572" s="4" t="s">
        <v>25</v>
      </c>
      <c r="H572" s="4" t="s">
        <v>37</v>
      </c>
      <c r="I572" s="5">
        <v>44166</v>
      </c>
      <c r="J572" s="6">
        <v>15478</v>
      </c>
      <c r="K572" s="6">
        <v>15478</v>
      </c>
      <c r="L572" s="6">
        <v>478.54199999999997</v>
      </c>
      <c r="M572" s="6">
        <v>478.54199999999997</v>
      </c>
      <c r="N572" s="6">
        <v>478.54199999999997</v>
      </c>
      <c r="O572" s="6">
        <v>478.54199999999997</v>
      </c>
      <c r="P572" s="6">
        <v>0</v>
      </c>
      <c r="Q572" s="4" t="s">
        <v>26</v>
      </c>
      <c r="R572" s="4">
        <v>0</v>
      </c>
      <c r="S572" s="6">
        <v>28</v>
      </c>
      <c r="T572" s="6">
        <v>30</v>
      </c>
      <c r="U572" s="6">
        <v>66</v>
      </c>
      <c r="V572" s="6">
        <f>IF(ISERROR(VLOOKUP($S$572,'TAR FIN'!$A$1:$O$95,15,0)),0,VLOOKUP($S$572,'TAR FIN'!$A$1:$O$95,15,0))</f>
        <v>52.99</v>
      </c>
      <c r="W572" s="6">
        <f>IF(ISERROR(VLOOKUP($T$572,'TAR FIN'!$A$1:$O$95,15,0)),0,VLOOKUP($T$572,'TAR FIN'!$A$1:$O$95,15,0))</f>
        <v>149.63</v>
      </c>
      <c r="X572" s="6">
        <f>IF(ISERROR(VLOOKUP($U$572,'TAR FIN'!$A$1:$O$95,15,0)),0,VLOOKUP($U$572,'TAR FIN'!$A$1:$O$95,15,0))</f>
        <v>389.28</v>
      </c>
      <c r="Y572" s="6">
        <f ca="1">('TUSD BE'!$AM$10+'TUSD BF'!$AM$10+'TUSD CVA'!$AM$10)*1</f>
        <v>59.276351675174958</v>
      </c>
      <c r="Z572" s="6">
        <f ca="1">('TUSD BE'!$AM$12+'TUSD BF'!$AM$12+'TUSD CVA'!$AM$12)*1</f>
        <v>168.51338132937991</v>
      </c>
      <c r="AA572" s="6">
        <f>('TE BE'!$AA$7+'TE BF'!$AA$7+'TE CVA'!$AA$7)*1</f>
        <v>454.3285679284046</v>
      </c>
      <c r="AB572" s="6">
        <f>$K$572*$V$572</f>
        <v>820179.22000000009</v>
      </c>
      <c r="AC572" s="6">
        <f>$M$572*$W$572</f>
        <v>71604.239459999997</v>
      </c>
      <c r="AD572" s="6">
        <f>$O$572*$X$572</f>
        <v>186286.82975999996</v>
      </c>
      <c r="AE572" s="6">
        <f ca="1">$K$572*$Y$572</f>
        <v>917479.37122835801</v>
      </c>
      <c r="AF572" s="6">
        <f ca="1">$M$572*$Z$572</f>
        <v>80640.730528124113</v>
      </c>
      <c r="AG572" s="6">
        <f>$O$572*$AA$572</f>
        <v>217415.30155359459</v>
      </c>
    </row>
    <row r="573" spans="1:33" ht="11.25" customHeight="1" x14ac:dyDescent="0.25">
      <c r="A573" s="4" t="s">
        <v>28</v>
      </c>
      <c r="B573" s="4" t="s">
        <v>35</v>
      </c>
      <c r="C573" s="4" t="s">
        <v>44</v>
      </c>
      <c r="D573" s="4" t="s">
        <v>48</v>
      </c>
      <c r="E573" s="4" t="s">
        <v>25</v>
      </c>
      <c r="F573" s="4" t="s">
        <v>25</v>
      </c>
      <c r="G573" s="4" t="s">
        <v>25</v>
      </c>
      <c r="H573" s="4" t="s">
        <v>37</v>
      </c>
      <c r="I573" s="5">
        <v>44166</v>
      </c>
      <c r="J573" s="6">
        <v>5436</v>
      </c>
      <c r="K573" s="6">
        <v>5436</v>
      </c>
      <c r="L573" s="6">
        <v>142.98699999999999</v>
      </c>
      <c r="M573" s="6">
        <v>142.98699999999999</v>
      </c>
      <c r="N573" s="6">
        <v>142.98699999999999</v>
      </c>
      <c r="O573" s="6">
        <v>142.98699999999999</v>
      </c>
      <c r="P573" s="6">
        <v>0</v>
      </c>
      <c r="Q573" s="4" t="s">
        <v>26</v>
      </c>
      <c r="R573" s="4">
        <v>0</v>
      </c>
      <c r="S573" s="6">
        <v>28</v>
      </c>
      <c r="T573" s="6">
        <v>30</v>
      </c>
      <c r="U573" s="6">
        <v>66</v>
      </c>
      <c r="V573" s="6">
        <f>IF(ISERROR(VLOOKUP($S$573,'TAR FIN'!$A$1:$O$95,15,0)),0,VLOOKUP($S$573,'TAR FIN'!$A$1:$O$95,15,0))</f>
        <v>52.99</v>
      </c>
      <c r="W573" s="6">
        <f>IF(ISERROR(VLOOKUP($T$573,'TAR FIN'!$A$1:$O$95,15,0)),0,VLOOKUP($T$573,'TAR FIN'!$A$1:$O$95,15,0))</f>
        <v>149.63</v>
      </c>
      <c r="X573" s="6">
        <f>IF(ISERROR(VLOOKUP($U$573,'TAR FIN'!$A$1:$O$95,15,0)),0,VLOOKUP($U$573,'TAR FIN'!$A$1:$O$95,15,0))</f>
        <v>389.28</v>
      </c>
      <c r="Y573" s="6">
        <f ca="1">('TUSD BE'!$AM$10+'TUSD BF'!$AM$10+'TUSD CVA'!$AM$10)*1</f>
        <v>59.276351675174958</v>
      </c>
      <c r="Z573" s="6">
        <f ca="1">('TUSD BE'!$AM$12+'TUSD BF'!$AM$12+'TUSD CVA'!$AM$12)*1</f>
        <v>168.51338132937991</v>
      </c>
      <c r="AA573" s="6">
        <f>('TE BE'!$AA$7+'TE BF'!$AA$7+'TE CVA'!$AA$7)*1</f>
        <v>454.3285679284046</v>
      </c>
      <c r="AB573" s="6">
        <f>$K$573*$V$573</f>
        <v>288053.64</v>
      </c>
      <c r="AC573" s="6">
        <f>$M$573*$W$573</f>
        <v>21395.144809999998</v>
      </c>
      <c r="AD573" s="6">
        <f>$O$573*$X$573</f>
        <v>55661.979359999998</v>
      </c>
      <c r="AE573" s="6">
        <f ca="1">$K$573*$Y$573</f>
        <v>322226.24770625104</v>
      </c>
      <c r="AF573" s="6">
        <f ca="1">$M$573*$Z$573</f>
        <v>24095.222856144046</v>
      </c>
      <c r="AG573" s="6">
        <f>$O$573*$AA$573</f>
        <v>64963.078942378786</v>
      </c>
    </row>
    <row r="574" spans="1:33" ht="11.25" customHeight="1" x14ac:dyDescent="0.25">
      <c r="A574" s="4" t="s">
        <v>21</v>
      </c>
      <c r="B574" s="4" t="s">
        <v>35</v>
      </c>
      <c r="C574" s="4" t="s">
        <v>44</v>
      </c>
      <c r="D574" s="4" t="s">
        <v>48</v>
      </c>
      <c r="E574" s="4" t="s">
        <v>25</v>
      </c>
      <c r="F574" s="4" t="s">
        <v>25</v>
      </c>
      <c r="G574" s="4" t="s">
        <v>25</v>
      </c>
      <c r="H574" s="4" t="s">
        <v>37</v>
      </c>
      <c r="I574" s="5">
        <v>44197</v>
      </c>
      <c r="J574" s="6">
        <v>15402</v>
      </c>
      <c r="K574" s="6">
        <v>15402</v>
      </c>
      <c r="L574" s="6">
        <v>410.67</v>
      </c>
      <c r="M574" s="6">
        <v>410.67</v>
      </c>
      <c r="N574" s="6">
        <v>410.67</v>
      </c>
      <c r="O574" s="6">
        <v>410.67</v>
      </c>
      <c r="P574" s="6">
        <v>0</v>
      </c>
      <c r="Q574" s="4" t="s">
        <v>26</v>
      </c>
      <c r="R574" s="4">
        <v>0</v>
      </c>
      <c r="S574" s="6">
        <v>28</v>
      </c>
      <c r="T574" s="6">
        <v>30</v>
      </c>
      <c r="U574" s="6">
        <v>66</v>
      </c>
      <c r="V574" s="6">
        <f>IF(ISERROR(VLOOKUP($S$574,'TAR FIN'!$A$1:$O$95,15,0)),0,VLOOKUP($S$574,'TAR FIN'!$A$1:$O$95,15,0))</f>
        <v>52.99</v>
      </c>
      <c r="W574" s="6">
        <f>IF(ISERROR(VLOOKUP($T$574,'TAR FIN'!$A$1:$O$95,15,0)),0,VLOOKUP($T$574,'TAR FIN'!$A$1:$O$95,15,0))</f>
        <v>149.63</v>
      </c>
      <c r="X574" s="6">
        <f>IF(ISERROR(VLOOKUP($U$574,'TAR FIN'!$A$1:$O$95,15,0)),0,VLOOKUP($U$574,'TAR FIN'!$A$1:$O$95,15,0))</f>
        <v>389.28</v>
      </c>
      <c r="Y574" s="6">
        <f ca="1">('TUSD BE'!$AM$10+'TUSD BF'!$AM$10+'TUSD CVA'!$AM$10)*1</f>
        <v>59.276351675174958</v>
      </c>
      <c r="Z574" s="6">
        <f ca="1">('TUSD BE'!$AM$12+'TUSD BF'!$AM$12+'TUSD CVA'!$AM$12)*1</f>
        <v>168.51338132937991</v>
      </c>
      <c r="AA574" s="6">
        <f>('TE BE'!$AA$7+'TE BF'!$AA$7+'TE CVA'!$AA$7)*1</f>
        <v>454.3285679284046</v>
      </c>
      <c r="AB574" s="6">
        <f>$K$574*$V$574</f>
        <v>816151.98</v>
      </c>
      <c r="AC574" s="6">
        <f>$M$574*$W$574</f>
        <v>61448.552100000001</v>
      </c>
      <c r="AD574" s="6">
        <f>$O$574*$X$574</f>
        <v>159865.6176</v>
      </c>
      <c r="AE574" s="6">
        <f ca="1">$K$574*$Y$574</f>
        <v>912974.36850104469</v>
      </c>
      <c r="AF574" s="6">
        <f ca="1">$M$574*$Z$574</f>
        <v>69203.390310536444</v>
      </c>
      <c r="AG574" s="6">
        <f>$O$574*$AA$574</f>
        <v>186579.11299115792</v>
      </c>
    </row>
    <row r="575" spans="1:33" ht="11.25" customHeight="1" x14ac:dyDescent="0.25">
      <c r="A575" s="4" t="s">
        <v>28</v>
      </c>
      <c r="B575" s="4" t="s">
        <v>35</v>
      </c>
      <c r="C575" s="4" t="s">
        <v>44</v>
      </c>
      <c r="D575" s="4" t="s">
        <v>48</v>
      </c>
      <c r="E575" s="4" t="s">
        <v>25</v>
      </c>
      <c r="F575" s="4" t="s">
        <v>25</v>
      </c>
      <c r="G575" s="4" t="s">
        <v>25</v>
      </c>
      <c r="H575" s="4" t="s">
        <v>37</v>
      </c>
      <c r="I575" s="5">
        <v>44197</v>
      </c>
      <c r="J575" s="6">
        <v>5375</v>
      </c>
      <c r="K575" s="6">
        <v>5375</v>
      </c>
      <c r="L575" s="6">
        <v>146.24100000000001</v>
      </c>
      <c r="M575" s="6">
        <v>146.24100000000001</v>
      </c>
      <c r="N575" s="6">
        <v>146.24100000000001</v>
      </c>
      <c r="O575" s="6">
        <v>146.24100000000001</v>
      </c>
      <c r="P575" s="6">
        <v>0</v>
      </c>
      <c r="Q575" s="4" t="s">
        <v>26</v>
      </c>
      <c r="R575" s="4">
        <v>0</v>
      </c>
      <c r="S575" s="6">
        <v>28</v>
      </c>
      <c r="T575" s="6">
        <v>30</v>
      </c>
      <c r="U575" s="6">
        <v>66</v>
      </c>
      <c r="V575" s="6">
        <f>IF(ISERROR(VLOOKUP($S$575,'TAR FIN'!$A$1:$O$95,15,0)),0,VLOOKUP($S$575,'TAR FIN'!$A$1:$O$95,15,0))</f>
        <v>52.99</v>
      </c>
      <c r="W575" s="6">
        <f>IF(ISERROR(VLOOKUP($T$575,'TAR FIN'!$A$1:$O$95,15,0)),0,VLOOKUP($T$575,'TAR FIN'!$A$1:$O$95,15,0))</f>
        <v>149.63</v>
      </c>
      <c r="X575" s="6">
        <f>IF(ISERROR(VLOOKUP($U$575,'TAR FIN'!$A$1:$O$95,15,0)),0,VLOOKUP($U$575,'TAR FIN'!$A$1:$O$95,15,0))</f>
        <v>389.28</v>
      </c>
      <c r="Y575" s="6">
        <f ca="1">('TUSD BE'!$AM$10+'TUSD BF'!$AM$10+'TUSD CVA'!$AM$10)*1</f>
        <v>59.276351675174958</v>
      </c>
      <c r="Z575" s="6">
        <f ca="1">('TUSD BE'!$AM$12+'TUSD BF'!$AM$12+'TUSD CVA'!$AM$12)*1</f>
        <v>168.51338132937991</v>
      </c>
      <c r="AA575" s="6">
        <f>('TE BE'!$AA$7+'TE BF'!$AA$7+'TE CVA'!$AA$7)*1</f>
        <v>454.3285679284046</v>
      </c>
      <c r="AB575" s="6">
        <f>$K$575*$V$575</f>
        <v>284821.25</v>
      </c>
      <c r="AC575" s="6">
        <f>$M$575*$W$575</f>
        <v>21882.040830000002</v>
      </c>
      <c r="AD575" s="6">
        <f>$O$575*$X$575</f>
        <v>56928.696479999999</v>
      </c>
      <c r="AE575" s="6">
        <f ca="1">$K$575*$Y$575</f>
        <v>318610.39025406539</v>
      </c>
      <c r="AF575" s="6">
        <f ca="1">$M$575*$Z$575</f>
        <v>24643.565398989849</v>
      </c>
      <c r="AG575" s="6">
        <f>$O$575*$AA$575</f>
        <v>66441.464102417827</v>
      </c>
    </row>
    <row r="576" spans="1:33" ht="11.25" customHeight="1" x14ac:dyDescent="0.25">
      <c r="A576" s="4" t="s">
        <v>21</v>
      </c>
      <c r="B576" s="4" t="s">
        <v>35</v>
      </c>
      <c r="C576" s="4" t="s">
        <v>44</v>
      </c>
      <c r="D576" s="4" t="s">
        <v>48</v>
      </c>
      <c r="E576" s="4" t="s">
        <v>25</v>
      </c>
      <c r="F576" s="4" t="s">
        <v>25</v>
      </c>
      <c r="G576" s="4" t="s">
        <v>25</v>
      </c>
      <c r="H576" s="4" t="s">
        <v>37</v>
      </c>
      <c r="I576" s="5">
        <v>44228</v>
      </c>
      <c r="J576" s="6">
        <v>15467</v>
      </c>
      <c r="K576" s="6">
        <v>15467</v>
      </c>
      <c r="L576" s="6">
        <v>418.58300000000003</v>
      </c>
      <c r="M576" s="6">
        <v>418.58300000000003</v>
      </c>
      <c r="N576" s="6">
        <v>418.58300000000003</v>
      </c>
      <c r="O576" s="6">
        <v>418.58300000000003</v>
      </c>
      <c r="P576" s="6">
        <v>0</v>
      </c>
      <c r="Q576" s="4" t="s">
        <v>26</v>
      </c>
      <c r="R576" s="4">
        <v>0</v>
      </c>
      <c r="S576" s="6">
        <v>28</v>
      </c>
      <c r="T576" s="6">
        <v>30</v>
      </c>
      <c r="U576" s="6">
        <v>66</v>
      </c>
      <c r="V576" s="6">
        <f>IF(ISERROR(VLOOKUP($S$576,'TAR FIN'!$A$1:$O$95,15,0)),0,VLOOKUP($S$576,'TAR FIN'!$A$1:$O$95,15,0))</f>
        <v>52.99</v>
      </c>
      <c r="W576" s="6">
        <f>IF(ISERROR(VLOOKUP($T$576,'TAR FIN'!$A$1:$O$95,15,0)),0,VLOOKUP($T$576,'TAR FIN'!$A$1:$O$95,15,0))</f>
        <v>149.63</v>
      </c>
      <c r="X576" s="6">
        <f>IF(ISERROR(VLOOKUP($U$576,'TAR FIN'!$A$1:$O$95,15,0)),0,VLOOKUP($U$576,'TAR FIN'!$A$1:$O$95,15,0))</f>
        <v>389.28</v>
      </c>
      <c r="Y576" s="6">
        <f ca="1">('TUSD BE'!$AM$10+'TUSD BF'!$AM$10+'TUSD CVA'!$AM$10)*1</f>
        <v>59.276351675174958</v>
      </c>
      <c r="Z576" s="6">
        <f ca="1">('TUSD BE'!$AM$12+'TUSD BF'!$AM$12+'TUSD CVA'!$AM$12)*1</f>
        <v>168.51338132937991</v>
      </c>
      <c r="AA576" s="6">
        <f>('TE BE'!$AA$7+'TE BF'!$AA$7+'TE CVA'!$AA$7)*1</f>
        <v>454.3285679284046</v>
      </c>
      <c r="AB576" s="6">
        <f>$K$576*$V$576</f>
        <v>819596.33000000007</v>
      </c>
      <c r="AC576" s="6">
        <f>$M$576*$W$576</f>
        <v>62632.574290000004</v>
      </c>
      <c r="AD576" s="6">
        <f>$O$576*$X$576</f>
        <v>162945.99023999998</v>
      </c>
      <c r="AE576" s="6">
        <f ca="1">$K$576*$Y$576</f>
        <v>916827.33135993103</v>
      </c>
      <c r="AF576" s="6">
        <f ca="1">$M$576*$Z$576</f>
        <v>70536.83669699583</v>
      </c>
      <c r="AG576" s="6">
        <f>$O$576*$AA$576</f>
        <v>190174.2149491754</v>
      </c>
    </row>
    <row r="577" spans="1:33" ht="11.25" customHeight="1" x14ac:dyDescent="0.25">
      <c r="A577" s="4" t="s">
        <v>27</v>
      </c>
      <c r="B577" s="4" t="s">
        <v>35</v>
      </c>
      <c r="C577" s="4" t="s">
        <v>44</v>
      </c>
      <c r="D577" s="4" t="s">
        <v>48</v>
      </c>
      <c r="E577" s="4" t="s">
        <v>25</v>
      </c>
      <c r="F577" s="4" t="s">
        <v>25</v>
      </c>
      <c r="G577" s="4" t="s">
        <v>25</v>
      </c>
      <c r="H577" s="4" t="s">
        <v>37</v>
      </c>
      <c r="I577" s="5">
        <v>44228</v>
      </c>
      <c r="J577" s="6">
        <v>-75</v>
      </c>
      <c r="K577" s="6">
        <v>-75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4" t="s">
        <v>26</v>
      </c>
      <c r="R577" s="4">
        <v>0</v>
      </c>
      <c r="S577" s="6">
        <v>28</v>
      </c>
      <c r="T577" s="6">
        <v>0</v>
      </c>
      <c r="U577" s="6">
        <v>0</v>
      </c>
      <c r="V577" s="6">
        <f>IF(ISERROR(VLOOKUP($S$577,'TAR FIN'!$A$1:$O$95,15,0)),0,VLOOKUP($S$577,'TAR FIN'!$A$1:$O$95,15,0))</f>
        <v>52.99</v>
      </c>
      <c r="W577" s="6">
        <f>IF(ISERROR(VLOOKUP($T$577,'TAR FIN'!$A$1:$O$95,15,0)),0,VLOOKUP($T$577,'TAR FIN'!$A$1:$O$95,15,0))</f>
        <v>0</v>
      </c>
      <c r="X577" s="6">
        <f>IF(ISERROR(VLOOKUP($U$577,'TAR FIN'!$A$1:$O$95,15,0)),0,VLOOKUP($U$577,'TAR FIN'!$A$1:$O$95,15,0))</f>
        <v>0</v>
      </c>
      <c r="Y577" s="6">
        <f ca="1">('TUSD BE'!$AM$10+'TUSD BF'!$AM$10+'TUSD CVA'!$AM$10)*1</f>
        <v>59.276351675174958</v>
      </c>
      <c r="Z577" s="6">
        <f ca="1">('TUSD BE'!$AM$12+'TUSD BF'!$AM$12+'TUSD CVA'!$AM$12)*1</f>
        <v>168.51338132937991</v>
      </c>
      <c r="AA577" s="6">
        <f>('TE BE'!$AA$7+'TE BF'!$AA$7+'TE CVA'!$AA$7)*1</f>
        <v>454.3285679284046</v>
      </c>
      <c r="AB577" s="6">
        <f>$K$577*$V$577</f>
        <v>-3974.25</v>
      </c>
      <c r="AC577" s="6">
        <f>$M$577*$W$577</f>
        <v>0</v>
      </c>
      <c r="AD577" s="6">
        <f>$O$577*$X$577</f>
        <v>0</v>
      </c>
      <c r="AE577" s="6">
        <f ca="1">$K$577*$Y$577</f>
        <v>-4445.7263756381217</v>
      </c>
      <c r="AF577" s="6">
        <f ca="1">$M$577*$Z$577</f>
        <v>0</v>
      </c>
      <c r="AG577" s="6">
        <f>$O$577*$AA$577</f>
        <v>0</v>
      </c>
    </row>
    <row r="578" spans="1:33" ht="11.25" customHeight="1" x14ac:dyDescent="0.25">
      <c r="A578" s="4" t="s">
        <v>28</v>
      </c>
      <c r="B578" s="4" t="s">
        <v>35</v>
      </c>
      <c r="C578" s="4" t="s">
        <v>44</v>
      </c>
      <c r="D578" s="4" t="s">
        <v>48</v>
      </c>
      <c r="E578" s="4" t="s">
        <v>25</v>
      </c>
      <c r="F578" s="4" t="s">
        <v>25</v>
      </c>
      <c r="G578" s="4" t="s">
        <v>25</v>
      </c>
      <c r="H578" s="4" t="s">
        <v>37</v>
      </c>
      <c r="I578" s="5">
        <v>44228</v>
      </c>
      <c r="J578" s="6">
        <v>5445</v>
      </c>
      <c r="K578" s="6">
        <v>5445</v>
      </c>
      <c r="L578" s="6">
        <v>152.309</v>
      </c>
      <c r="M578" s="6">
        <v>152.309</v>
      </c>
      <c r="N578" s="6">
        <v>152.309</v>
      </c>
      <c r="O578" s="6">
        <v>152.309</v>
      </c>
      <c r="P578" s="6">
        <v>0</v>
      </c>
      <c r="Q578" s="4" t="s">
        <v>26</v>
      </c>
      <c r="R578" s="4">
        <v>0</v>
      </c>
      <c r="S578" s="6">
        <v>28</v>
      </c>
      <c r="T578" s="6">
        <v>30</v>
      </c>
      <c r="U578" s="6">
        <v>66</v>
      </c>
      <c r="V578" s="6">
        <f>IF(ISERROR(VLOOKUP($S$578,'TAR FIN'!$A$1:$O$95,15,0)),0,VLOOKUP($S$578,'TAR FIN'!$A$1:$O$95,15,0))</f>
        <v>52.99</v>
      </c>
      <c r="W578" s="6">
        <f>IF(ISERROR(VLOOKUP($T$578,'TAR FIN'!$A$1:$O$95,15,0)),0,VLOOKUP($T$578,'TAR FIN'!$A$1:$O$95,15,0))</f>
        <v>149.63</v>
      </c>
      <c r="X578" s="6">
        <f>IF(ISERROR(VLOOKUP($U$578,'TAR FIN'!$A$1:$O$95,15,0)),0,VLOOKUP($U$578,'TAR FIN'!$A$1:$O$95,15,0))</f>
        <v>389.28</v>
      </c>
      <c r="Y578" s="6">
        <f ca="1">('TUSD BE'!$AM$10+'TUSD BF'!$AM$10+'TUSD CVA'!$AM$10)*1</f>
        <v>59.276351675174958</v>
      </c>
      <c r="Z578" s="6">
        <f ca="1">('TUSD BE'!$AM$12+'TUSD BF'!$AM$12+'TUSD CVA'!$AM$12)*1</f>
        <v>168.51338132937991</v>
      </c>
      <c r="AA578" s="6">
        <f>('TE BE'!$AA$7+'TE BF'!$AA$7+'TE CVA'!$AA$7)*1</f>
        <v>454.3285679284046</v>
      </c>
      <c r="AB578" s="6">
        <f>$K$578*$V$578</f>
        <v>288530.55</v>
      </c>
      <c r="AC578" s="6">
        <f>$M$578*$W$578</f>
        <v>22789.99567</v>
      </c>
      <c r="AD578" s="6">
        <f>$O$578*$X$578</f>
        <v>59290.847519999996</v>
      </c>
      <c r="AE578" s="6">
        <f ca="1">$K$578*$Y$578</f>
        <v>322759.73487132764</v>
      </c>
      <c r="AF578" s="6">
        <f ca="1">$M$578*$Z$578</f>
        <v>25666.104596896523</v>
      </c>
      <c r="AG578" s="6">
        <f>$O$578*$AA$578</f>
        <v>69198.329852607378</v>
      </c>
    </row>
    <row r="579" spans="1:33" ht="11.25" customHeight="1" x14ac:dyDescent="0.25">
      <c r="A579" s="4" t="s">
        <v>29</v>
      </c>
      <c r="B579" s="4" t="s">
        <v>35</v>
      </c>
      <c r="C579" s="4" t="s">
        <v>44</v>
      </c>
      <c r="D579" s="4" t="s">
        <v>48</v>
      </c>
      <c r="E579" s="4" t="s">
        <v>25</v>
      </c>
      <c r="F579" s="4" t="s">
        <v>25</v>
      </c>
      <c r="G579" s="4" t="s">
        <v>25</v>
      </c>
      <c r="H579" s="4" t="s">
        <v>37</v>
      </c>
      <c r="I579" s="5">
        <v>44228</v>
      </c>
      <c r="J579" s="6">
        <v>-153</v>
      </c>
      <c r="K579" s="6">
        <v>-153</v>
      </c>
      <c r="L579" s="6">
        <v>1.903</v>
      </c>
      <c r="M579" s="6">
        <v>1.903</v>
      </c>
      <c r="N579" s="6">
        <v>1.903</v>
      </c>
      <c r="O579" s="6">
        <v>1.903</v>
      </c>
      <c r="P579" s="6">
        <v>0</v>
      </c>
      <c r="Q579" s="4" t="s">
        <v>26</v>
      </c>
      <c r="R579" s="4">
        <v>0</v>
      </c>
      <c r="S579" s="6">
        <v>28</v>
      </c>
      <c r="T579" s="6">
        <v>30</v>
      </c>
      <c r="U579" s="6">
        <v>66</v>
      </c>
      <c r="V579" s="6">
        <f>IF(ISERROR(VLOOKUP($S$579,'TAR FIN'!$A$1:$O$95,15,0)),0,VLOOKUP($S$579,'TAR FIN'!$A$1:$O$95,15,0))</f>
        <v>52.99</v>
      </c>
      <c r="W579" s="6">
        <f>IF(ISERROR(VLOOKUP($T$579,'TAR FIN'!$A$1:$O$95,15,0)),0,VLOOKUP($T$579,'TAR FIN'!$A$1:$O$95,15,0))</f>
        <v>149.63</v>
      </c>
      <c r="X579" s="6">
        <f>IF(ISERROR(VLOOKUP($U$579,'TAR FIN'!$A$1:$O$95,15,0)),0,VLOOKUP($U$579,'TAR FIN'!$A$1:$O$95,15,0))</f>
        <v>389.28</v>
      </c>
      <c r="Y579" s="6">
        <f ca="1">('TUSD BE'!$AM$10+'TUSD BF'!$AM$10+'TUSD CVA'!$AM$10)*1</f>
        <v>59.276351675174958</v>
      </c>
      <c r="Z579" s="6">
        <f ca="1">('TUSD BE'!$AM$12+'TUSD BF'!$AM$12+'TUSD CVA'!$AM$12)*1</f>
        <v>168.51338132937991</v>
      </c>
      <c r="AA579" s="6">
        <f>('TE BE'!$AA$7+'TE BF'!$AA$7+'TE CVA'!$AA$7)*1</f>
        <v>454.3285679284046</v>
      </c>
      <c r="AB579" s="6">
        <f>$K$579*$V$579</f>
        <v>-8107.47</v>
      </c>
      <c r="AC579" s="6">
        <f>$M$579*$W$579</f>
        <v>284.74588999999997</v>
      </c>
      <c r="AD579" s="6">
        <f>$O$579*$X$579</f>
        <v>740.7998399999999</v>
      </c>
      <c r="AE579" s="6">
        <f ca="1">$K$579*$Y$579</f>
        <v>-9069.2818063017694</v>
      </c>
      <c r="AF579" s="6">
        <f ca="1">$M$579*$Z$579</f>
        <v>320.68096466980995</v>
      </c>
      <c r="AG579" s="6">
        <f>$O$579*$AA$579</f>
        <v>864.58726476775394</v>
      </c>
    </row>
    <row r="580" spans="1:33" ht="11.25" customHeight="1" x14ac:dyDescent="0.25">
      <c r="A580" s="4" t="s">
        <v>21</v>
      </c>
      <c r="B580" s="4" t="s">
        <v>35</v>
      </c>
      <c r="C580" s="4" t="s">
        <v>44</v>
      </c>
      <c r="D580" s="4" t="s">
        <v>48</v>
      </c>
      <c r="E580" s="4" t="s">
        <v>25</v>
      </c>
      <c r="F580" s="4" t="s">
        <v>25</v>
      </c>
      <c r="G580" s="4" t="s">
        <v>25</v>
      </c>
      <c r="H580" s="4" t="s">
        <v>37</v>
      </c>
      <c r="I580" s="5">
        <v>44256</v>
      </c>
      <c r="J580" s="6">
        <v>15892</v>
      </c>
      <c r="K580" s="6">
        <v>15892</v>
      </c>
      <c r="L580" s="6">
        <v>476.66699999999997</v>
      </c>
      <c r="M580" s="6">
        <v>476.66699999999997</v>
      </c>
      <c r="N580" s="6">
        <v>476.66699999999997</v>
      </c>
      <c r="O580" s="6">
        <v>476.66699999999997</v>
      </c>
      <c r="P580" s="6">
        <v>0</v>
      </c>
      <c r="Q580" s="4" t="s">
        <v>26</v>
      </c>
      <c r="R580" s="4">
        <v>0</v>
      </c>
      <c r="S580" s="6">
        <v>28</v>
      </c>
      <c r="T580" s="6">
        <v>30</v>
      </c>
      <c r="U580" s="6">
        <v>66</v>
      </c>
      <c r="V580" s="6">
        <f>IF(ISERROR(VLOOKUP($S$580,'TAR FIN'!$A$1:$O$95,15,0)),0,VLOOKUP($S$580,'TAR FIN'!$A$1:$O$95,15,0))</f>
        <v>52.99</v>
      </c>
      <c r="W580" s="6">
        <f>IF(ISERROR(VLOOKUP($T$580,'TAR FIN'!$A$1:$O$95,15,0)),0,VLOOKUP($T$580,'TAR FIN'!$A$1:$O$95,15,0))</f>
        <v>149.63</v>
      </c>
      <c r="X580" s="6">
        <f>IF(ISERROR(VLOOKUP($U$580,'TAR FIN'!$A$1:$O$95,15,0)),0,VLOOKUP($U$580,'TAR FIN'!$A$1:$O$95,15,0))</f>
        <v>389.28</v>
      </c>
      <c r="Y580" s="6">
        <f ca="1">('TUSD BE'!$AM$10+'TUSD BF'!$AM$10+'TUSD CVA'!$AM$10)*1</f>
        <v>59.276351675174958</v>
      </c>
      <c r="Z580" s="6">
        <f ca="1">('TUSD BE'!$AM$12+'TUSD BF'!$AM$12+'TUSD CVA'!$AM$12)*1</f>
        <v>168.51338132937991</v>
      </c>
      <c r="AA580" s="6">
        <f>('TE BE'!$AA$7+'TE BF'!$AA$7+'TE CVA'!$AA$7)*1</f>
        <v>454.3285679284046</v>
      </c>
      <c r="AB580" s="6">
        <f>$K$580*$V$580</f>
        <v>842117.08000000007</v>
      </c>
      <c r="AC580" s="6">
        <f>$M$580*$W$580</f>
        <v>71323.683209999988</v>
      </c>
      <c r="AD580" s="6">
        <f>$O$580*$X$580</f>
        <v>185556.92975999997</v>
      </c>
      <c r="AE580" s="6">
        <f ca="1">$K$580*$Y$580</f>
        <v>942019.78082188044</v>
      </c>
      <c r="AF580" s="6">
        <f ca="1">$M$580*$Z$580</f>
        <v>80324.767938131525</v>
      </c>
      <c r="AG580" s="6">
        <f>$O$580*$AA$580</f>
        <v>216563.43548872884</v>
      </c>
    </row>
    <row r="581" spans="1:33" ht="11.25" customHeight="1" x14ac:dyDescent="0.25">
      <c r="A581" s="4" t="s">
        <v>28</v>
      </c>
      <c r="B581" s="4" t="s">
        <v>35</v>
      </c>
      <c r="C581" s="4" t="s">
        <v>44</v>
      </c>
      <c r="D581" s="4" t="s">
        <v>48</v>
      </c>
      <c r="E581" s="4" t="s">
        <v>25</v>
      </c>
      <c r="F581" s="4" t="s">
        <v>25</v>
      </c>
      <c r="G581" s="4" t="s">
        <v>25</v>
      </c>
      <c r="H581" s="4" t="s">
        <v>37</v>
      </c>
      <c r="I581" s="5">
        <v>44256</v>
      </c>
      <c r="J581" s="6">
        <v>5442</v>
      </c>
      <c r="K581" s="6">
        <v>5442</v>
      </c>
      <c r="L581" s="6">
        <v>165.81200000000001</v>
      </c>
      <c r="M581" s="6">
        <v>165.81200000000001</v>
      </c>
      <c r="N581" s="6">
        <v>165.81200000000001</v>
      </c>
      <c r="O581" s="6">
        <v>165.81200000000001</v>
      </c>
      <c r="P581" s="6">
        <v>0</v>
      </c>
      <c r="Q581" s="4" t="s">
        <v>26</v>
      </c>
      <c r="R581" s="4">
        <v>0</v>
      </c>
      <c r="S581" s="6">
        <v>28</v>
      </c>
      <c r="T581" s="6">
        <v>30</v>
      </c>
      <c r="U581" s="6">
        <v>66</v>
      </c>
      <c r="V581" s="6">
        <f>IF(ISERROR(VLOOKUP($S$581,'TAR FIN'!$A$1:$O$95,15,0)),0,VLOOKUP($S$581,'TAR FIN'!$A$1:$O$95,15,0))</f>
        <v>52.99</v>
      </c>
      <c r="W581" s="6">
        <f>IF(ISERROR(VLOOKUP($T$581,'TAR FIN'!$A$1:$O$95,15,0)),0,VLOOKUP($T$581,'TAR FIN'!$A$1:$O$95,15,0))</f>
        <v>149.63</v>
      </c>
      <c r="X581" s="6">
        <f>IF(ISERROR(VLOOKUP($U$581,'TAR FIN'!$A$1:$O$95,15,0)),0,VLOOKUP($U$581,'TAR FIN'!$A$1:$O$95,15,0))</f>
        <v>389.28</v>
      </c>
      <c r="Y581" s="6">
        <f ca="1">('TUSD BE'!$AM$10+'TUSD BF'!$AM$10+'TUSD CVA'!$AM$10)*1</f>
        <v>59.276351675174958</v>
      </c>
      <c r="Z581" s="6">
        <f ca="1">('TUSD BE'!$AM$12+'TUSD BF'!$AM$12+'TUSD CVA'!$AM$12)*1</f>
        <v>168.51338132937991</v>
      </c>
      <c r="AA581" s="6">
        <f>('TE BE'!$AA$7+'TE BF'!$AA$7+'TE CVA'!$AA$7)*1</f>
        <v>454.3285679284046</v>
      </c>
      <c r="AB581" s="6">
        <f>$K$581*$V$581</f>
        <v>288371.58</v>
      </c>
      <c r="AC581" s="6">
        <f>$M$581*$W$581</f>
        <v>24810.449560000001</v>
      </c>
      <c r="AD581" s="6">
        <f>$O$581*$X$581</f>
        <v>64547.295360000004</v>
      </c>
      <c r="AE581" s="6">
        <f ca="1">$K$581*$Y$581</f>
        <v>322581.90581630211</v>
      </c>
      <c r="AF581" s="6">
        <f ca="1">$M$581*$Z$581</f>
        <v>27941.540784987144</v>
      </c>
      <c r="AG581" s="6">
        <f>$O$581*$AA$581</f>
        <v>75333.128505344634</v>
      </c>
    </row>
    <row r="582" spans="1:33" ht="11.25" customHeight="1" x14ac:dyDescent="0.25">
      <c r="A582" s="4" t="s">
        <v>29</v>
      </c>
      <c r="B582" s="4" t="s">
        <v>35</v>
      </c>
      <c r="C582" s="4" t="s">
        <v>44</v>
      </c>
      <c r="D582" s="4" t="s">
        <v>48</v>
      </c>
      <c r="E582" s="4" t="s">
        <v>25</v>
      </c>
      <c r="F582" s="4" t="s">
        <v>25</v>
      </c>
      <c r="G582" s="4" t="s">
        <v>25</v>
      </c>
      <c r="H582" s="4" t="s">
        <v>37</v>
      </c>
      <c r="I582" s="5">
        <v>44256</v>
      </c>
      <c r="J582" s="6">
        <v>0</v>
      </c>
      <c r="K582" s="6">
        <v>0</v>
      </c>
      <c r="L582" s="6">
        <v>1.8</v>
      </c>
      <c r="M582" s="6">
        <v>1.8</v>
      </c>
      <c r="N582" s="6">
        <v>1.8</v>
      </c>
      <c r="O582" s="6">
        <v>1.8</v>
      </c>
      <c r="P582" s="6">
        <v>0</v>
      </c>
      <c r="Q582" s="4" t="s">
        <v>26</v>
      </c>
      <c r="R582" s="4">
        <v>0</v>
      </c>
      <c r="S582" s="6">
        <v>0</v>
      </c>
      <c r="T582" s="6">
        <v>30</v>
      </c>
      <c r="U582" s="6">
        <v>66</v>
      </c>
      <c r="V582" s="6">
        <f>IF(ISERROR(VLOOKUP($S$582,'TAR FIN'!$A$1:$O$95,15,0)),0,VLOOKUP($S$582,'TAR FIN'!$A$1:$O$95,15,0))</f>
        <v>0</v>
      </c>
      <c r="W582" s="6">
        <f>IF(ISERROR(VLOOKUP($T$582,'TAR FIN'!$A$1:$O$95,15,0)),0,VLOOKUP($T$582,'TAR FIN'!$A$1:$O$95,15,0))</f>
        <v>149.63</v>
      </c>
      <c r="X582" s="6">
        <f>IF(ISERROR(VLOOKUP($U$582,'TAR FIN'!$A$1:$O$95,15,0)),0,VLOOKUP($U$582,'TAR FIN'!$A$1:$O$95,15,0))</f>
        <v>389.28</v>
      </c>
      <c r="Y582" s="6">
        <f ca="1">('TUSD BE'!$AM$10+'TUSD BF'!$AM$10+'TUSD CVA'!$AM$10)*1</f>
        <v>59.276351675174958</v>
      </c>
      <c r="Z582" s="6">
        <f ca="1">('TUSD BE'!$AM$12+'TUSD BF'!$AM$12+'TUSD CVA'!$AM$12)*1</f>
        <v>168.51338132937991</v>
      </c>
      <c r="AA582" s="6">
        <f>('TE BE'!$AA$7+'TE BF'!$AA$7+'TE CVA'!$AA$7)*1</f>
        <v>454.3285679284046</v>
      </c>
      <c r="AB582" s="6">
        <f>$K$582*$V$582</f>
        <v>0</v>
      </c>
      <c r="AC582" s="6">
        <f>$M$582*$W$582</f>
        <v>269.334</v>
      </c>
      <c r="AD582" s="6">
        <f>$O$582*$X$582</f>
        <v>700.70399999999995</v>
      </c>
      <c r="AE582" s="6">
        <f ca="1">$K$582*$Y$582</f>
        <v>0</v>
      </c>
      <c r="AF582" s="6">
        <f ca="1">$M$582*$Z$582</f>
        <v>303.32408639288383</v>
      </c>
      <c r="AG582" s="6">
        <f>$O$582*$AA$582</f>
        <v>817.79142227112834</v>
      </c>
    </row>
    <row r="583" spans="1:33" ht="11.25" customHeight="1" x14ac:dyDescent="0.25">
      <c r="A583" s="4" t="s">
        <v>21</v>
      </c>
      <c r="B583" s="4" t="s">
        <v>35</v>
      </c>
      <c r="C583" s="4" t="s">
        <v>44</v>
      </c>
      <c r="D583" s="4" t="s">
        <v>48</v>
      </c>
      <c r="E583" s="4" t="s">
        <v>25</v>
      </c>
      <c r="F583" s="4" t="s">
        <v>25</v>
      </c>
      <c r="G583" s="4" t="s">
        <v>25</v>
      </c>
      <c r="H583" s="4" t="s">
        <v>37</v>
      </c>
      <c r="I583" s="5">
        <v>44287</v>
      </c>
      <c r="J583" s="6">
        <v>15393</v>
      </c>
      <c r="K583" s="6">
        <v>15393</v>
      </c>
      <c r="L583" s="6">
        <v>429.87799999999999</v>
      </c>
      <c r="M583" s="6">
        <v>429.87799999999999</v>
      </c>
      <c r="N583" s="6">
        <v>429.87799999999999</v>
      </c>
      <c r="O583" s="6">
        <v>429.87799999999999</v>
      </c>
      <c r="P583" s="6">
        <v>0</v>
      </c>
      <c r="Q583" s="4" t="s">
        <v>26</v>
      </c>
      <c r="R583" s="4">
        <v>0</v>
      </c>
      <c r="S583" s="6">
        <v>28</v>
      </c>
      <c r="T583" s="6">
        <v>30</v>
      </c>
      <c r="U583" s="6">
        <v>66</v>
      </c>
      <c r="V583" s="6">
        <f>IF(ISERROR(VLOOKUP($S$583,'TAR FIN'!$A$1:$O$95,15,0)),0,VLOOKUP($S$583,'TAR FIN'!$A$1:$O$95,15,0))</f>
        <v>52.99</v>
      </c>
      <c r="W583" s="6">
        <f>IF(ISERROR(VLOOKUP($T$583,'TAR FIN'!$A$1:$O$95,15,0)),0,VLOOKUP($T$583,'TAR FIN'!$A$1:$O$95,15,0))</f>
        <v>149.63</v>
      </c>
      <c r="X583" s="6">
        <f>IF(ISERROR(VLOOKUP($U$583,'TAR FIN'!$A$1:$O$95,15,0)),0,VLOOKUP($U$583,'TAR FIN'!$A$1:$O$95,15,0))</f>
        <v>389.28</v>
      </c>
      <c r="Y583" s="6">
        <f ca="1">('TUSD BE'!$AM$10+'TUSD BF'!$AM$10+'TUSD CVA'!$AM$10)*1</f>
        <v>59.276351675174958</v>
      </c>
      <c r="Z583" s="6">
        <f ca="1">('TUSD BE'!$AM$12+'TUSD BF'!$AM$12+'TUSD CVA'!$AM$12)*1</f>
        <v>168.51338132937991</v>
      </c>
      <c r="AA583" s="6">
        <f>('TE BE'!$AA$7+'TE BF'!$AA$7+'TE CVA'!$AA$7)*1</f>
        <v>454.3285679284046</v>
      </c>
      <c r="AB583" s="6">
        <f>$K$583*$V$583</f>
        <v>815675.07000000007</v>
      </c>
      <c r="AC583" s="6">
        <f>$M$583*$W$583</f>
        <v>64322.645139999993</v>
      </c>
      <c r="AD583" s="6">
        <f>$O$583*$X$583</f>
        <v>167342.90783999997</v>
      </c>
      <c r="AE583" s="6">
        <f ca="1">$K$583*$Y$583</f>
        <v>912440.88133596815</v>
      </c>
      <c r="AF583" s="6">
        <f ca="1">$M$583*$Z$583</f>
        <v>72440.195339111175</v>
      </c>
      <c r="AG583" s="6">
        <f>$O$583*$AA$583</f>
        <v>195305.8561239267</v>
      </c>
    </row>
    <row r="584" spans="1:33" ht="11.25" customHeight="1" x14ac:dyDescent="0.25">
      <c r="A584" s="4" t="s">
        <v>27</v>
      </c>
      <c r="B584" s="4" t="s">
        <v>35</v>
      </c>
      <c r="C584" s="4" t="s">
        <v>44</v>
      </c>
      <c r="D584" s="4" t="s">
        <v>48</v>
      </c>
      <c r="E584" s="4" t="s">
        <v>25</v>
      </c>
      <c r="F584" s="4" t="s">
        <v>25</v>
      </c>
      <c r="G584" s="4" t="s">
        <v>25</v>
      </c>
      <c r="H584" s="4" t="s">
        <v>37</v>
      </c>
      <c r="I584" s="5">
        <v>44287</v>
      </c>
      <c r="J584" s="6">
        <v>-555</v>
      </c>
      <c r="K584" s="6">
        <v>-555</v>
      </c>
      <c r="L584" s="6">
        <v>-0.28000000000000003</v>
      </c>
      <c r="M584" s="6">
        <v>-0.28000000000000003</v>
      </c>
      <c r="N584" s="6">
        <v>-0.28000000000000003</v>
      </c>
      <c r="O584" s="6">
        <v>-0.28000000000000003</v>
      </c>
      <c r="P584" s="6">
        <v>0</v>
      </c>
      <c r="Q584" s="4" t="s">
        <v>26</v>
      </c>
      <c r="R584" s="4">
        <v>0</v>
      </c>
      <c r="S584" s="6">
        <v>28</v>
      </c>
      <c r="T584" s="6">
        <v>30</v>
      </c>
      <c r="U584" s="6">
        <v>66</v>
      </c>
      <c r="V584" s="6">
        <f>IF(ISERROR(VLOOKUP($S$584,'TAR FIN'!$A$1:$O$95,15,0)),0,VLOOKUP($S$584,'TAR FIN'!$A$1:$O$95,15,0))</f>
        <v>52.99</v>
      </c>
      <c r="W584" s="6">
        <f>IF(ISERROR(VLOOKUP($T$584,'TAR FIN'!$A$1:$O$95,15,0)),0,VLOOKUP($T$584,'TAR FIN'!$A$1:$O$95,15,0))</f>
        <v>149.63</v>
      </c>
      <c r="X584" s="6">
        <f>IF(ISERROR(VLOOKUP($U$584,'TAR FIN'!$A$1:$O$95,15,0)),0,VLOOKUP($U$584,'TAR FIN'!$A$1:$O$95,15,0))</f>
        <v>389.28</v>
      </c>
      <c r="Y584" s="6">
        <f ca="1">('TUSD BE'!$AM$10+'TUSD BF'!$AM$10+'TUSD CVA'!$AM$10)*1</f>
        <v>59.276351675174958</v>
      </c>
      <c r="Z584" s="6">
        <f ca="1">('TUSD BE'!$AM$12+'TUSD BF'!$AM$12+'TUSD CVA'!$AM$12)*1</f>
        <v>168.51338132937991</v>
      </c>
      <c r="AA584" s="6">
        <f>('TE BE'!$AA$7+'TE BF'!$AA$7+'TE CVA'!$AA$7)*1</f>
        <v>454.3285679284046</v>
      </c>
      <c r="AB584" s="6">
        <f>$K$584*$V$584</f>
        <v>-29409.45</v>
      </c>
      <c r="AC584" s="6">
        <f>$M$584*$W$584</f>
        <v>-41.8964</v>
      </c>
      <c r="AD584" s="6">
        <f>$O$584*$X$584</f>
        <v>-108.9984</v>
      </c>
      <c r="AE584" s="6">
        <f ca="1">$K$584*$Y$584</f>
        <v>-32898.375179722105</v>
      </c>
      <c r="AF584" s="6">
        <f ca="1">$M$584*$Z$584</f>
        <v>-47.183746772226378</v>
      </c>
      <c r="AG584" s="6">
        <f>$O$584*$AA$584</f>
        <v>-127.2119990199533</v>
      </c>
    </row>
    <row r="585" spans="1:33" ht="11.25" customHeight="1" x14ac:dyDescent="0.25">
      <c r="A585" s="4" t="s">
        <v>28</v>
      </c>
      <c r="B585" s="4" t="s">
        <v>35</v>
      </c>
      <c r="C585" s="4" t="s">
        <v>44</v>
      </c>
      <c r="D585" s="4" t="s">
        <v>48</v>
      </c>
      <c r="E585" s="4" t="s">
        <v>25</v>
      </c>
      <c r="F585" s="4" t="s">
        <v>25</v>
      </c>
      <c r="G585" s="4" t="s">
        <v>25</v>
      </c>
      <c r="H585" s="4" t="s">
        <v>37</v>
      </c>
      <c r="I585" s="5">
        <v>44287</v>
      </c>
      <c r="J585" s="6">
        <v>5402</v>
      </c>
      <c r="K585" s="6">
        <v>5402</v>
      </c>
      <c r="L585" s="6">
        <v>166.22200000000001</v>
      </c>
      <c r="M585" s="6">
        <v>166.22200000000001</v>
      </c>
      <c r="N585" s="6">
        <v>166.22200000000001</v>
      </c>
      <c r="O585" s="6">
        <v>166.22200000000001</v>
      </c>
      <c r="P585" s="6">
        <v>0</v>
      </c>
      <c r="Q585" s="4" t="s">
        <v>26</v>
      </c>
      <c r="R585" s="4">
        <v>0</v>
      </c>
      <c r="S585" s="6">
        <v>28</v>
      </c>
      <c r="T585" s="6">
        <v>30</v>
      </c>
      <c r="U585" s="6">
        <v>66</v>
      </c>
      <c r="V585" s="6">
        <f>IF(ISERROR(VLOOKUP($S$585,'TAR FIN'!$A$1:$O$95,15,0)),0,VLOOKUP($S$585,'TAR FIN'!$A$1:$O$95,15,0))</f>
        <v>52.99</v>
      </c>
      <c r="W585" s="6">
        <f>IF(ISERROR(VLOOKUP($T$585,'TAR FIN'!$A$1:$O$95,15,0)),0,VLOOKUP($T$585,'TAR FIN'!$A$1:$O$95,15,0))</f>
        <v>149.63</v>
      </c>
      <c r="X585" s="6">
        <f>IF(ISERROR(VLOOKUP($U$585,'TAR FIN'!$A$1:$O$95,15,0)),0,VLOOKUP($U$585,'TAR FIN'!$A$1:$O$95,15,0))</f>
        <v>389.28</v>
      </c>
      <c r="Y585" s="6">
        <f ca="1">('TUSD BE'!$AM$10+'TUSD BF'!$AM$10+'TUSD CVA'!$AM$10)*1</f>
        <v>59.276351675174958</v>
      </c>
      <c r="Z585" s="6">
        <f ca="1">('TUSD BE'!$AM$12+'TUSD BF'!$AM$12+'TUSD CVA'!$AM$12)*1</f>
        <v>168.51338132937991</v>
      </c>
      <c r="AA585" s="6">
        <f>('TE BE'!$AA$7+'TE BF'!$AA$7+'TE CVA'!$AA$7)*1</f>
        <v>454.3285679284046</v>
      </c>
      <c r="AB585" s="6">
        <f>$K$585*$V$585</f>
        <v>286251.98000000004</v>
      </c>
      <c r="AC585" s="6">
        <f>$M$585*$W$585</f>
        <v>24871.797859999999</v>
      </c>
      <c r="AD585" s="6">
        <f>$O$585*$X$585</f>
        <v>64706.900159999997</v>
      </c>
      <c r="AE585" s="6">
        <f ca="1">$K$585*$Y$585</f>
        <v>320210.85174929514</v>
      </c>
      <c r="AF585" s="6">
        <f ca="1">$M$585*$Z$585</f>
        <v>28010.631271332189</v>
      </c>
      <c r="AG585" s="6">
        <f>$O$585*$AA$585</f>
        <v>75519.403218195279</v>
      </c>
    </row>
    <row r="586" spans="1:33" ht="11.25" customHeight="1" x14ac:dyDescent="0.25">
      <c r="A586" s="4" t="s">
        <v>21</v>
      </c>
      <c r="B586" s="4" t="s">
        <v>35</v>
      </c>
      <c r="C586" s="4" t="s">
        <v>44</v>
      </c>
      <c r="D586" s="4" t="s">
        <v>48</v>
      </c>
      <c r="E586" s="4" t="s">
        <v>25</v>
      </c>
      <c r="F586" s="4" t="s">
        <v>25</v>
      </c>
      <c r="G586" s="4" t="s">
        <v>25</v>
      </c>
      <c r="H586" s="4" t="s">
        <v>37</v>
      </c>
      <c r="I586" s="5">
        <v>44317</v>
      </c>
      <c r="J586" s="6">
        <v>14827</v>
      </c>
      <c r="K586" s="6">
        <v>14827</v>
      </c>
      <c r="L586" s="6">
        <v>457.81900000000002</v>
      </c>
      <c r="M586" s="6">
        <v>457.81900000000002</v>
      </c>
      <c r="N586" s="6">
        <v>457.81900000000002</v>
      </c>
      <c r="O586" s="6">
        <v>457.81900000000002</v>
      </c>
      <c r="P586" s="6">
        <v>0</v>
      </c>
      <c r="Q586" s="4" t="s">
        <v>26</v>
      </c>
      <c r="R586" s="4">
        <v>0</v>
      </c>
      <c r="S586" s="6">
        <v>28</v>
      </c>
      <c r="T586" s="6">
        <v>30</v>
      </c>
      <c r="U586" s="6">
        <v>66</v>
      </c>
      <c r="V586" s="6">
        <f>IF(ISERROR(VLOOKUP($S$586,'TAR FIN'!$A$1:$O$95,15,0)),0,VLOOKUP($S$586,'TAR FIN'!$A$1:$O$95,15,0))</f>
        <v>52.99</v>
      </c>
      <c r="W586" s="6">
        <f>IF(ISERROR(VLOOKUP($T$586,'TAR FIN'!$A$1:$O$95,15,0)),0,VLOOKUP($T$586,'TAR FIN'!$A$1:$O$95,15,0))</f>
        <v>149.63</v>
      </c>
      <c r="X586" s="6">
        <f>IF(ISERROR(VLOOKUP($U$586,'TAR FIN'!$A$1:$O$95,15,0)),0,VLOOKUP($U$586,'TAR FIN'!$A$1:$O$95,15,0))</f>
        <v>389.28</v>
      </c>
      <c r="Y586" s="6">
        <f ca="1">('TUSD BE'!$AM$10+'TUSD BF'!$AM$10+'TUSD CVA'!$AM$10)*1</f>
        <v>59.276351675174958</v>
      </c>
      <c r="Z586" s="6">
        <f ca="1">('TUSD BE'!$AM$12+'TUSD BF'!$AM$12+'TUSD CVA'!$AM$12)*1</f>
        <v>168.51338132937991</v>
      </c>
      <c r="AA586" s="6">
        <f>('TE BE'!$AA$7+'TE BF'!$AA$7+'TE CVA'!$AA$7)*1</f>
        <v>454.3285679284046</v>
      </c>
      <c r="AB586" s="6">
        <f>$K$586*$V$586</f>
        <v>785682.73</v>
      </c>
      <c r="AC586" s="6">
        <f>$M$586*$W$586</f>
        <v>68503.456969999999</v>
      </c>
      <c r="AD586" s="6">
        <f>$O$586*$X$586</f>
        <v>178219.78031999999</v>
      </c>
      <c r="AE586" s="6">
        <f ca="1">$K$586*$Y$586</f>
        <v>878890.46628781909</v>
      </c>
      <c r="AF586" s="6">
        <f ca="1">$M$586*$Z$586</f>
        <v>77148.627726835388</v>
      </c>
      <c r="AG586" s="6">
        <f>$O$586*$AA$586</f>
        <v>208000.25064041428</v>
      </c>
    </row>
    <row r="587" spans="1:33" ht="11.25" customHeight="1" x14ac:dyDescent="0.25">
      <c r="A587" s="4" t="s">
        <v>27</v>
      </c>
      <c r="B587" s="4" t="s">
        <v>35</v>
      </c>
      <c r="C587" s="4" t="s">
        <v>44</v>
      </c>
      <c r="D587" s="4" t="s">
        <v>48</v>
      </c>
      <c r="E587" s="4" t="s">
        <v>25</v>
      </c>
      <c r="F587" s="4" t="s">
        <v>25</v>
      </c>
      <c r="G587" s="4" t="s">
        <v>25</v>
      </c>
      <c r="H587" s="4" t="s">
        <v>37</v>
      </c>
      <c r="I587" s="5">
        <v>44317</v>
      </c>
      <c r="J587" s="6">
        <v>-2269</v>
      </c>
      <c r="K587" s="6">
        <v>-2269</v>
      </c>
      <c r="L587" s="6">
        <v>-14.282</v>
      </c>
      <c r="M587" s="6">
        <v>-14.282</v>
      </c>
      <c r="N587" s="6">
        <v>-14.282</v>
      </c>
      <c r="O587" s="6">
        <v>-14.282</v>
      </c>
      <c r="P587" s="6">
        <v>0</v>
      </c>
      <c r="Q587" s="4" t="s">
        <v>26</v>
      </c>
      <c r="R587" s="4">
        <v>0</v>
      </c>
      <c r="S587" s="6">
        <v>28</v>
      </c>
      <c r="T587" s="6">
        <v>30</v>
      </c>
      <c r="U587" s="6">
        <v>66</v>
      </c>
      <c r="V587" s="6">
        <f>IF(ISERROR(VLOOKUP($S$587,'TAR FIN'!$A$1:$O$95,15,0)),0,VLOOKUP($S$587,'TAR FIN'!$A$1:$O$95,15,0))</f>
        <v>52.99</v>
      </c>
      <c r="W587" s="6">
        <f>IF(ISERROR(VLOOKUP($T$587,'TAR FIN'!$A$1:$O$95,15,0)),0,VLOOKUP($T$587,'TAR FIN'!$A$1:$O$95,15,0))</f>
        <v>149.63</v>
      </c>
      <c r="X587" s="6">
        <f>IF(ISERROR(VLOOKUP($U$587,'TAR FIN'!$A$1:$O$95,15,0)),0,VLOOKUP($U$587,'TAR FIN'!$A$1:$O$95,15,0))</f>
        <v>389.28</v>
      </c>
      <c r="Y587" s="6">
        <f ca="1">('TUSD BE'!$AM$10+'TUSD BF'!$AM$10+'TUSD CVA'!$AM$10)*1</f>
        <v>59.276351675174958</v>
      </c>
      <c r="Z587" s="6">
        <f ca="1">('TUSD BE'!$AM$12+'TUSD BF'!$AM$12+'TUSD CVA'!$AM$12)*1</f>
        <v>168.51338132937991</v>
      </c>
      <c r="AA587" s="6">
        <f>('TE BE'!$AA$7+'TE BF'!$AA$7+'TE CVA'!$AA$7)*1</f>
        <v>454.3285679284046</v>
      </c>
      <c r="AB587" s="6">
        <f>$K$587*$V$587</f>
        <v>-120234.31</v>
      </c>
      <c r="AC587" s="6">
        <f>$M$587*$W$587</f>
        <v>-2137.01566</v>
      </c>
      <c r="AD587" s="6">
        <f>$O$587*$X$587</f>
        <v>-5559.6969599999993</v>
      </c>
      <c r="AE587" s="6">
        <f ca="1">$K$587*$Y$587</f>
        <v>-134498.04195097196</v>
      </c>
      <c r="AF587" s="6">
        <f ca="1">$M$587*$Z$587</f>
        <v>-2406.7081121462038</v>
      </c>
      <c r="AG587" s="6">
        <f>$O$587*$AA$587</f>
        <v>-6488.7206071534747</v>
      </c>
    </row>
    <row r="588" spans="1:33" ht="11.25" customHeight="1" x14ac:dyDescent="0.25">
      <c r="A588" s="4" t="s">
        <v>28</v>
      </c>
      <c r="B588" s="4" t="s">
        <v>35</v>
      </c>
      <c r="C588" s="4" t="s">
        <v>44</v>
      </c>
      <c r="D588" s="4" t="s">
        <v>48</v>
      </c>
      <c r="E588" s="4" t="s">
        <v>25</v>
      </c>
      <c r="F588" s="4" t="s">
        <v>25</v>
      </c>
      <c r="G588" s="4" t="s">
        <v>25</v>
      </c>
      <c r="H588" s="4" t="s">
        <v>37</v>
      </c>
      <c r="I588" s="5">
        <v>44317</v>
      </c>
      <c r="J588" s="6">
        <v>5277</v>
      </c>
      <c r="K588" s="6">
        <v>5277</v>
      </c>
      <c r="L588" s="6">
        <v>160.21600000000001</v>
      </c>
      <c r="M588" s="6">
        <v>160.21600000000001</v>
      </c>
      <c r="N588" s="6">
        <v>160.21600000000001</v>
      </c>
      <c r="O588" s="6">
        <v>160.21600000000001</v>
      </c>
      <c r="P588" s="6">
        <v>0</v>
      </c>
      <c r="Q588" s="4" t="s">
        <v>26</v>
      </c>
      <c r="R588" s="4">
        <v>0</v>
      </c>
      <c r="S588" s="6">
        <v>28</v>
      </c>
      <c r="T588" s="6">
        <v>30</v>
      </c>
      <c r="U588" s="6">
        <v>66</v>
      </c>
      <c r="V588" s="6">
        <f>IF(ISERROR(VLOOKUP($S$588,'TAR FIN'!$A$1:$O$95,15,0)),0,VLOOKUP($S$588,'TAR FIN'!$A$1:$O$95,15,0))</f>
        <v>52.99</v>
      </c>
      <c r="W588" s="6">
        <f>IF(ISERROR(VLOOKUP($T$588,'TAR FIN'!$A$1:$O$95,15,0)),0,VLOOKUP($T$588,'TAR FIN'!$A$1:$O$95,15,0))</f>
        <v>149.63</v>
      </c>
      <c r="X588" s="6">
        <f>IF(ISERROR(VLOOKUP($U$588,'TAR FIN'!$A$1:$O$95,15,0)),0,VLOOKUP($U$588,'TAR FIN'!$A$1:$O$95,15,0))</f>
        <v>389.28</v>
      </c>
      <c r="Y588" s="6">
        <f ca="1">('TUSD BE'!$AM$10+'TUSD BF'!$AM$10+'TUSD CVA'!$AM$10)*1</f>
        <v>59.276351675174958</v>
      </c>
      <c r="Z588" s="6">
        <f ca="1">('TUSD BE'!$AM$12+'TUSD BF'!$AM$12+'TUSD CVA'!$AM$12)*1</f>
        <v>168.51338132937991</v>
      </c>
      <c r="AA588" s="6">
        <f>('TE BE'!$AA$7+'TE BF'!$AA$7+'TE CVA'!$AA$7)*1</f>
        <v>454.3285679284046</v>
      </c>
      <c r="AB588" s="6">
        <f>$K$588*$V$588</f>
        <v>279628.23000000004</v>
      </c>
      <c r="AC588" s="6">
        <f>$M$588*$W$588</f>
        <v>23973.120080000001</v>
      </c>
      <c r="AD588" s="6">
        <f>$O$588*$X$588</f>
        <v>62368.884480000001</v>
      </c>
      <c r="AE588" s="6">
        <f ca="1">$K$588*$Y$588</f>
        <v>312801.30778989824</v>
      </c>
      <c r="AF588" s="6">
        <f ca="1">$M$588*$Z$588</f>
        <v>26998.539903067933</v>
      </c>
      <c r="AG588" s="6">
        <f>$O$588*$AA$588</f>
        <v>72790.705839217277</v>
      </c>
    </row>
    <row r="589" spans="1:33" ht="11.25" customHeight="1" x14ac:dyDescent="0.25">
      <c r="A589" s="4" t="s">
        <v>29</v>
      </c>
      <c r="B589" s="4" t="s">
        <v>35</v>
      </c>
      <c r="C589" s="4" t="s">
        <v>44</v>
      </c>
      <c r="D589" s="4" t="s">
        <v>48</v>
      </c>
      <c r="E589" s="4" t="s">
        <v>25</v>
      </c>
      <c r="F589" s="4" t="s">
        <v>25</v>
      </c>
      <c r="G589" s="4" t="s">
        <v>25</v>
      </c>
      <c r="H589" s="4" t="s">
        <v>37</v>
      </c>
      <c r="I589" s="5">
        <v>44317</v>
      </c>
      <c r="J589" s="6">
        <v>-1640</v>
      </c>
      <c r="K589" s="6">
        <v>-1640</v>
      </c>
      <c r="L589" s="6">
        <v>-11.467000000000001</v>
      </c>
      <c r="M589" s="6">
        <v>-11.467000000000001</v>
      </c>
      <c r="N589" s="6">
        <v>-11.467000000000001</v>
      </c>
      <c r="O589" s="6">
        <v>-11.467000000000001</v>
      </c>
      <c r="P589" s="6">
        <v>0</v>
      </c>
      <c r="Q589" s="4" t="s">
        <v>26</v>
      </c>
      <c r="R589" s="4">
        <v>0</v>
      </c>
      <c r="S589" s="6">
        <v>28</v>
      </c>
      <c r="T589" s="6">
        <v>30</v>
      </c>
      <c r="U589" s="6">
        <v>66</v>
      </c>
      <c r="V589" s="6">
        <f>IF(ISERROR(VLOOKUP($S$589,'TAR FIN'!$A$1:$O$95,15,0)),0,VLOOKUP($S$589,'TAR FIN'!$A$1:$O$95,15,0))</f>
        <v>52.99</v>
      </c>
      <c r="W589" s="6">
        <f>IF(ISERROR(VLOOKUP($T$589,'TAR FIN'!$A$1:$O$95,15,0)),0,VLOOKUP($T$589,'TAR FIN'!$A$1:$O$95,15,0))</f>
        <v>149.63</v>
      </c>
      <c r="X589" s="6">
        <f>IF(ISERROR(VLOOKUP($U$589,'TAR FIN'!$A$1:$O$95,15,0)),0,VLOOKUP($U$589,'TAR FIN'!$A$1:$O$95,15,0))</f>
        <v>389.28</v>
      </c>
      <c r="Y589" s="6">
        <f ca="1">('TUSD BE'!$AM$10+'TUSD BF'!$AM$10+'TUSD CVA'!$AM$10)*1</f>
        <v>59.276351675174958</v>
      </c>
      <c r="Z589" s="6">
        <f ca="1">('TUSD BE'!$AM$12+'TUSD BF'!$AM$12+'TUSD CVA'!$AM$12)*1</f>
        <v>168.51338132937991</v>
      </c>
      <c r="AA589" s="6">
        <f>('TE BE'!$AA$7+'TE BF'!$AA$7+'TE CVA'!$AA$7)*1</f>
        <v>454.3285679284046</v>
      </c>
      <c r="AB589" s="6">
        <f>$K$589*$V$589</f>
        <v>-86903.6</v>
      </c>
      <c r="AC589" s="6">
        <f>$M$589*$W$589</f>
        <v>-1715.8072099999999</v>
      </c>
      <c r="AD589" s="6">
        <f>$O$589*$X$589</f>
        <v>-4463.8737599999995</v>
      </c>
      <c r="AE589" s="6">
        <f ca="1">$K$589*$Y$589</f>
        <v>-97213.216747286933</v>
      </c>
      <c r="AF589" s="6">
        <f ca="1">$M$589*$Z$589</f>
        <v>-1932.3429437039995</v>
      </c>
      <c r="AG589" s="6">
        <f>$O$589*$AA$589</f>
        <v>-5209.7856884350158</v>
      </c>
    </row>
    <row r="590" spans="1:33" ht="11.25" customHeight="1" x14ac:dyDescent="0.25">
      <c r="A590" s="4" t="s">
        <v>21</v>
      </c>
      <c r="B590" s="4" t="s">
        <v>35</v>
      </c>
      <c r="C590" s="4" t="s">
        <v>44</v>
      </c>
      <c r="D590" s="4" t="s">
        <v>48</v>
      </c>
      <c r="E590" s="4" t="s">
        <v>25</v>
      </c>
      <c r="F590" s="4" t="s">
        <v>25</v>
      </c>
      <c r="G590" s="4" t="s">
        <v>25</v>
      </c>
      <c r="H590" s="4" t="s">
        <v>37</v>
      </c>
      <c r="I590" s="5">
        <v>44348</v>
      </c>
      <c r="J590" s="6">
        <v>14855</v>
      </c>
      <c r="K590" s="6">
        <v>14855</v>
      </c>
      <c r="L590" s="6">
        <v>462.822</v>
      </c>
      <c r="M590" s="6">
        <v>462.822</v>
      </c>
      <c r="N590" s="6">
        <v>462.822</v>
      </c>
      <c r="O590" s="6">
        <v>462.822</v>
      </c>
      <c r="P590" s="6">
        <v>0</v>
      </c>
      <c r="Q590" s="4" t="s">
        <v>26</v>
      </c>
      <c r="R590" s="4">
        <v>0</v>
      </c>
      <c r="S590" s="6">
        <v>28</v>
      </c>
      <c r="T590" s="6">
        <v>30</v>
      </c>
      <c r="U590" s="6">
        <v>66</v>
      </c>
      <c r="V590" s="6">
        <f>IF(ISERROR(VLOOKUP($S$590,'TAR FIN'!$A$1:$O$95,15,0)),0,VLOOKUP($S$590,'TAR FIN'!$A$1:$O$95,15,0))</f>
        <v>52.99</v>
      </c>
      <c r="W590" s="6">
        <f>IF(ISERROR(VLOOKUP($T$590,'TAR FIN'!$A$1:$O$95,15,0)),0,VLOOKUP($T$590,'TAR FIN'!$A$1:$O$95,15,0))</f>
        <v>149.63</v>
      </c>
      <c r="X590" s="6">
        <f>IF(ISERROR(VLOOKUP($U$590,'TAR FIN'!$A$1:$O$95,15,0)),0,VLOOKUP($U$590,'TAR FIN'!$A$1:$O$95,15,0))</f>
        <v>389.28</v>
      </c>
      <c r="Y590" s="6">
        <f ca="1">('TUSD BE'!$AM$10+'TUSD BF'!$AM$10+'TUSD CVA'!$AM$10)*1</f>
        <v>59.276351675174958</v>
      </c>
      <c r="Z590" s="6">
        <f ca="1">('TUSD BE'!$AM$12+'TUSD BF'!$AM$12+'TUSD CVA'!$AM$12)*1</f>
        <v>168.51338132937991</v>
      </c>
      <c r="AA590" s="6">
        <f>('TE BE'!$AA$7+'TE BF'!$AA$7+'TE CVA'!$AA$7)*1</f>
        <v>454.3285679284046</v>
      </c>
      <c r="AB590" s="6">
        <f>$K$590*$V$590</f>
        <v>787166.45000000007</v>
      </c>
      <c r="AC590" s="6">
        <f>$M$590*$W$590</f>
        <v>69252.055859999993</v>
      </c>
      <c r="AD590" s="6">
        <f>$O$590*$X$590</f>
        <v>180167.34815999999</v>
      </c>
      <c r="AE590" s="6">
        <f ca="1">$K$590*$Y$590</f>
        <v>880550.20413472399</v>
      </c>
      <c r="AF590" s="6">
        <f ca="1">$M$590*$Z$590</f>
        <v>77991.700173626276</v>
      </c>
      <c r="AG590" s="6">
        <f>$O$590*$AA$590</f>
        <v>210273.25646576006</v>
      </c>
    </row>
    <row r="591" spans="1:33" ht="11.25" customHeight="1" x14ac:dyDescent="0.25">
      <c r="A591" s="4" t="s">
        <v>28</v>
      </c>
      <c r="B591" s="4" t="s">
        <v>35</v>
      </c>
      <c r="C591" s="4" t="s">
        <v>44</v>
      </c>
      <c r="D591" s="4" t="s">
        <v>48</v>
      </c>
      <c r="E591" s="4" t="s">
        <v>25</v>
      </c>
      <c r="F591" s="4" t="s">
        <v>25</v>
      </c>
      <c r="G591" s="4" t="s">
        <v>25</v>
      </c>
      <c r="H591" s="4" t="s">
        <v>37</v>
      </c>
      <c r="I591" s="5">
        <v>44348</v>
      </c>
      <c r="J591" s="6">
        <v>5140</v>
      </c>
      <c r="K591" s="6">
        <v>5140</v>
      </c>
      <c r="L591" s="6">
        <v>163.92400000000001</v>
      </c>
      <c r="M591" s="6">
        <v>163.92400000000001</v>
      </c>
      <c r="N591" s="6">
        <v>163.92400000000001</v>
      </c>
      <c r="O591" s="6">
        <v>163.92400000000001</v>
      </c>
      <c r="P591" s="6">
        <v>0</v>
      </c>
      <c r="Q591" s="4" t="s">
        <v>26</v>
      </c>
      <c r="R591" s="4">
        <v>0</v>
      </c>
      <c r="S591" s="6">
        <v>28</v>
      </c>
      <c r="T591" s="6">
        <v>30</v>
      </c>
      <c r="U591" s="6">
        <v>66</v>
      </c>
      <c r="V591" s="6">
        <f>IF(ISERROR(VLOOKUP($S$591,'TAR FIN'!$A$1:$O$95,15,0)),0,VLOOKUP($S$591,'TAR FIN'!$A$1:$O$95,15,0))</f>
        <v>52.99</v>
      </c>
      <c r="W591" s="6">
        <f>IF(ISERROR(VLOOKUP($T$591,'TAR FIN'!$A$1:$O$95,15,0)),0,VLOOKUP($T$591,'TAR FIN'!$A$1:$O$95,15,0))</f>
        <v>149.63</v>
      </c>
      <c r="X591" s="6">
        <f>IF(ISERROR(VLOOKUP($U$591,'TAR FIN'!$A$1:$O$95,15,0)),0,VLOOKUP($U$591,'TAR FIN'!$A$1:$O$95,15,0))</f>
        <v>389.28</v>
      </c>
      <c r="Y591" s="6">
        <f ca="1">('TUSD BE'!$AM$10+'TUSD BF'!$AM$10+'TUSD CVA'!$AM$10)*1</f>
        <v>59.276351675174958</v>
      </c>
      <c r="Z591" s="6">
        <f ca="1">('TUSD BE'!$AM$12+'TUSD BF'!$AM$12+'TUSD CVA'!$AM$12)*1</f>
        <v>168.51338132937991</v>
      </c>
      <c r="AA591" s="6">
        <f>('TE BE'!$AA$7+'TE BF'!$AA$7+'TE CVA'!$AA$7)*1</f>
        <v>454.3285679284046</v>
      </c>
      <c r="AB591" s="6">
        <f>$K$591*$V$591</f>
        <v>272368.60000000003</v>
      </c>
      <c r="AC591" s="6">
        <f>$M$591*$W$591</f>
        <v>24527.948120000001</v>
      </c>
      <c r="AD591" s="6">
        <f>$O$591*$X$591</f>
        <v>63812.334719999999</v>
      </c>
      <c r="AE591" s="6">
        <f ca="1">$K$591*$Y$591</f>
        <v>304680.44761039928</v>
      </c>
      <c r="AF591" s="6">
        <f ca="1">$M$591*$Z$591</f>
        <v>27623.387521037275</v>
      </c>
      <c r="AG591" s="6">
        <f>$O$591*$AA$591</f>
        <v>74475.356169095801</v>
      </c>
    </row>
    <row r="592" spans="1:33" ht="11.25" customHeight="1" x14ac:dyDescent="0.25">
      <c r="A592" s="4" t="s">
        <v>21</v>
      </c>
      <c r="B592" s="4" t="s">
        <v>35</v>
      </c>
      <c r="C592" s="4" t="s">
        <v>44</v>
      </c>
      <c r="D592" s="4" t="s">
        <v>48</v>
      </c>
      <c r="E592" s="4" t="s">
        <v>25</v>
      </c>
      <c r="F592" s="4" t="s">
        <v>25</v>
      </c>
      <c r="G592" s="4" t="s">
        <v>25</v>
      </c>
      <c r="H592" s="4" t="s">
        <v>37</v>
      </c>
      <c r="I592" s="5">
        <v>44378</v>
      </c>
      <c r="J592" s="6">
        <v>14777</v>
      </c>
      <c r="K592" s="6">
        <v>14777</v>
      </c>
      <c r="L592" s="6">
        <v>479.69400000000002</v>
      </c>
      <c r="M592" s="6">
        <v>479.69400000000002</v>
      </c>
      <c r="N592" s="6">
        <v>479.69400000000002</v>
      </c>
      <c r="O592" s="6">
        <v>479.69400000000002</v>
      </c>
      <c r="P592" s="6">
        <v>0</v>
      </c>
      <c r="Q592" s="4" t="s">
        <v>26</v>
      </c>
      <c r="R592" s="4">
        <v>0</v>
      </c>
      <c r="S592" s="6">
        <v>28</v>
      </c>
      <c r="T592" s="6">
        <v>30</v>
      </c>
      <c r="U592" s="6">
        <v>66</v>
      </c>
      <c r="V592" s="6">
        <f>IF(ISERROR(VLOOKUP($S$592,'TAR FIN'!$A$1:$O$95,15,0)),0,VLOOKUP($S$592,'TAR FIN'!$A$1:$O$95,15,0))</f>
        <v>52.99</v>
      </c>
      <c r="W592" s="6">
        <f>IF(ISERROR(VLOOKUP($T$592,'TAR FIN'!$A$1:$O$95,15,0)),0,VLOOKUP($T$592,'TAR FIN'!$A$1:$O$95,15,0))</f>
        <v>149.63</v>
      </c>
      <c r="X592" s="6">
        <f>IF(ISERROR(VLOOKUP($U$592,'TAR FIN'!$A$1:$O$95,15,0)),0,VLOOKUP($U$592,'TAR FIN'!$A$1:$O$95,15,0))</f>
        <v>389.28</v>
      </c>
      <c r="Y592" s="6">
        <f ca="1">('TUSD BE'!$AM$10+'TUSD BF'!$AM$10+'TUSD CVA'!$AM$10)*1</f>
        <v>59.276351675174958</v>
      </c>
      <c r="Z592" s="6">
        <f ca="1">('TUSD BE'!$AM$12+'TUSD BF'!$AM$12+'TUSD CVA'!$AM$12)*1</f>
        <v>168.51338132937991</v>
      </c>
      <c r="AA592" s="6">
        <f>('TE BE'!$AA$7+'TE BF'!$AA$7+'TE CVA'!$AA$7)*1</f>
        <v>454.3285679284046</v>
      </c>
      <c r="AB592" s="6">
        <f>$K$592*$V$592</f>
        <v>783033.23</v>
      </c>
      <c r="AC592" s="6">
        <f>$M$592*$W$592</f>
        <v>71776.613219999999</v>
      </c>
      <c r="AD592" s="6">
        <f>$O$592*$X$592</f>
        <v>186735.28031999999</v>
      </c>
      <c r="AE592" s="6">
        <f ca="1">$K$592*$Y$592</f>
        <v>875926.64870406035</v>
      </c>
      <c r="AF592" s="6">
        <f ca="1">$M$592*$Z$592</f>
        <v>80834.857943415569</v>
      </c>
      <c r="AG592" s="6">
        <f>$O$592*$AA$592</f>
        <v>217938.68806384812</v>
      </c>
    </row>
    <row r="593" spans="1:33" ht="11.25" customHeight="1" x14ac:dyDescent="0.25">
      <c r="A593" s="4" t="s">
        <v>28</v>
      </c>
      <c r="B593" s="4" t="s">
        <v>35</v>
      </c>
      <c r="C593" s="4" t="s">
        <v>44</v>
      </c>
      <c r="D593" s="4" t="s">
        <v>48</v>
      </c>
      <c r="E593" s="4" t="s">
        <v>25</v>
      </c>
      <c r="F593" s="4" t="s">
        <v>25</v>
      </c>
      <c r="G593" s="4" t="s">
        <v>25</v>
      </c>
      <c r="H593" s="4" t="s">
        <v>37</v>
      </c>
      <c r="I593" s="5">
        <v>44378</v>
      </c>
      <c r="J593" s="6">
        <v>5170</v>
      </c>
      <c r="K593" s="6">
        <v>5170</v>
      </c>
      <c r="L593" s="6">
        <v>169.131</v>
      </c>
      <c r="M593" s="6">
        <v>169.131</v>
      </c>
      <c r="N593" s="6">
        <v>169.131</v>
      </c>
      <c r="O593" s="6">
        <v>169.131</v>
      </c>
      <c r="P593" s="6">
        <v>0</v>
      </c>
      <c r="Q593" s="4" t="s">
        <v>26</v>
      </c>
      <c r="R593" s="4">
        <v>0</v>
      </c>
      <c r="S593" s="6">
        <v>28</v>
      </c>
      <c r="T593" s="6">
        <v>30</v>
      </c>
      <c r="U593" s="6">
        <v>66</v>
      </c>
      <c r="V593" s="6">
        <f>IF(ISERROR(VLOOKUP($S$593,'TAR FIN'!$A$1:$O$95,15,0)),0,VLOOKUP($S$593,'TAR FIN'!$A$1:$O$95,15,0))</f>
        <v>52.99</v>
      </c>
      <c r="W593" s="6">
        <f>IF(ISERROR(VLOOKUP($T$593,'TAR FIN'!$A$1:$O$95,15,0)),0,VLOOKUP($T$593,'TAR FIN'!$A$1:$O$95,15,0))</f>
        <v>149.63</v>
      </c>
      <c r="X593" s="6">
        <f>IF(ISERROR(VLOOKUP($U$593,'TAR FIN'!$A$1:$O$95,15,0)),0,VLOOKUP($U$593,'TAR FIN'!$A$1:$O$95,15,0))</f>
        <v>389.28</v>
      </c>
      <c r="Y593" s="6">
        <f ca="1">('TUSD BE'!$AM$10+'TUSD BF'!$AM$10+'TUSD CVA'!$AM$10)*1</f>
        <v>59.276351675174958</v>
      </c>
      <c r="Z593" s="6">
        <f ca="1">('TUSD BE'!$AM$12+'TUSD BF'!$AM$12+'TUSD CVA'!$AM$12)*1</f>
        <v>168.51338132937991</v>
      </c>
      <c r="AA593" s="6">
        <f>('TE BE'!$AA$7+'TE BF'!$AA$7+'TE CVA'!$AA$7)*1</f>
        <v>454.3285679284046</v>
      </c>
      <c r="AB593" s="6">
        <f>$K$593*$V$593</f>
        <v>273958.3</v>
      </c>
      <c r="AC593" s="6">
        <f>$M$593*$W$593</f>
        <v>25307.071530000001</v>
      </c>
      <c r="AD593" s="6">
        <f>$O$593*$X$593</f>
        <v>65839.31568</v>
      </c>
      <c r="AE593" s="6">
        <f ca="1">$K$593*$Y$593</f>
        <v>306458.73816065455</v>
      </c>
      <c r="AF593" s="6">
        <f ca="1">$M$593*$Z$593</f>
        <v>28500.836697619354</v>
      </c>
      <c r="AG593" s="6">
        <f>$O$593*$AA$593</f>
        <v>76841.045022299004</v>
      </c>
    </row>
    <row r="594" spans="1:33" ht="11.25" customHeight="1" x14ac:dyDescent="0.25">
      <c r="A594" s="4" t="s">
        <v>21</v>
      </c>
      <c r="B594" s="4" t="s">
        <v>35</v>
      </c>
      <c r="C594" s="4" t="s">
        <v>44</v>
      </c>
      <c r="D594" s="4" t="s">
        <v>48</v>
      </c>
      <c r="E594" s="4" t="s">
        <v>25</v>
      </c>
      <c r="F594" s="4" t="s">
        <v>25</v>
      </c>
      <c r="G594" s="4" t="s">
        <v>25</v>
      </c>
      <c r="H594" s="4" t="s">
        <v>37</v>
      </c>
      <c r="I594" s="5">
        <v>44409</v>
      </c>
      <c r="J594" s="6">
        <v>19230</v>
      </c>
      <c r="K594" s="6">
        <v>19230</v>
      </c>
      <c r="L594" s="6">
        <v>510.53300000000002</v>
      </c>
      <c r="M594" s="6">
        <v>510.53300000000002</v>
      </c>
      <c r="N594" s="6">
        <v>510.53300000000002</v>
      </c>
      <c r="O594" s="6">
        <v>510.53300000000002</v>
      </c>
      <c r="P594" s="6">
        <v>0</v>
      </c>
      <c r="Q594" s="4" t="s">
        <v>26</v>
      </c>
      <c r="R594" s="4">
        <v>0</v>
      </c>
      <c r="S594" s="6">
        <v>28</v>
      </c>
      <c r="T594" s="6">
        <v>30</v>
      </c>
      <c r="U594" s="6">
        <v>66</v>
      </c>
      <c r="V594" s="6">
        <f>IF(ISERROR(VLOOKUP($S$594,'TAR FIN'!$A$1:$O$95,15,0)),0,VLOOKUP($S$594,'TAR FIN'!$A$1:$O$95,15,0))</f>
        <v>52.99</v>
      </c>
      <c r="W594" s="6">
        <f>IF(ISERROR(VLOOKUP($T$594,'TAR FIN'!$A$1:$O$95,15,0)),0,VLOOKUP($T$594,'TAR FIN'!$A$1:$O$95,15,0))</f>
        <v>149.63</v>
      </c>
      <c r="X594" s="6">
        <f>IF(ISERROR(VLOOKUP($U$594,'TAR FIN'!$A$1:$O$95,15,0)),0,VLOOKUP($U$594,'TAR FIN'!$A$1:$O$95,15,0))</f>
        <v>389.28</v>
      </c>
      <c r="Y594" s="6">
        <f ca="1">('TUSD BE'!$AM$10+'TUSD BF'!$AM$10+'TUSD CVA'!$AM$10)*1</f>
        <v>59.276351675174958</v>
      </c>
      <c r="Z594" s="6">
        <f ca="1">('TUSD BE'!$AM$12+'TUSD BF'!$AM$12+'TUSD CVA'!$AM$12)*1</f>
        <v>168.51338132937991</v>
      </c>
      <c r="AA594" s="6">
        <f>('TE BE'!$AA$7+'TE BF'!$AA$7+'TE CVA'!$AA$7)*1</f>
        <v>454.3285679284046</v>
      </c>
      <c r="AB594" s="6">
        <f>$K$594*$V$594</f>
        <v>1018997.7000000001</v>
      </c>
      <c r="AC594" s="6">
        <f>$M$594*$W$594</f>
        <v>76391.052790000002</v>
      </c>
      <c r="AD594" s="6">
        <f>$O$594*$X$594</f>
        <v>198740.28623999999</v>
      </c>
      <c r="AE594" s="6">
        <f ca="1">$K$594*$Y$594</f>
        <v>1139884.2427136144</v>
      </c>
      <c r="AF594" s="6">
        <f ca="1">$M$594*$Z$594</f>
        <v>86031.642110232322</v>
      </c>
      <c r="AG594" s="6">
        <f>$O$594*$AA$594</f>
        <v>231949.72677019218</v>
      </c>
    </row>
    <row r="595" spans="1:33" ht="11.25" customHeight="1" x14ac:dyDescent="0.25">
      <c r="A595" s="4" t="s">
        <v>27</v>
      </c>
      <c r="B595" s="4" t="s">
        <v>35</v>
      </c>
      <c r="C595" s="4" t="s">
        <v>44</v>
      </c>
      <c r="D595" s="4" t="s">
        <v>48</v>
      </c>
      <c r="E595" s="4" t="s">
        <v>25</v>
      </c>
      <c r="F595" s="4" t="s">
        <v>25</v>
      </c>
      <c r="G595" s="4" t="s">
        <v>25</v>
      </c>
      <c r="H595" s="4" t="s">
        <v>37</v>
      </c>
      <c r="I595" s="5">
        <v>44409</v>
      </c>
      <c r="J595" s="6">
        <v>-450</v>
      </c>
      <c r="K595" s="6">
        <v>-450</v>
      </c>
      <c r="L595" s="6">
        <v>-12.545</v>
      </c>
      <c r="M595" s="6">
        <v>-12.545</v>
      </c>
      <c r="N595" s="6">
        <v>-12.545</v>
      </c>
      <c r="O595" s="6">
        <v>-12.545</v>
      </c>
      <c r="P595" s="6">
        <v>0</v>
      </c>
      <c r="Q595" s="4" t="s">
        <v>26</v>
      </c>
      <c r="R595" s="4">
        <v>0</v>
      </c>
      <c r="S595" s="6">
        <v>28</v>
      </c>
      <c r="T595" s="6">
        <v>30</v>
      </c>
      <c r="U595" s="6">
        <v>66</v>
      </c>
      <c r="V595" s="6">
        <f>IF(ISERROR(VLOOKUP($S$595,'TAR FIN'!$A$1:$O$95,15,0)),0,VLOOKUP($S$595,'TAR FIN'!$A$1:$O$95,15,0))</f>
        <v>52.99</v>
      </c>
      <c r="W595" s="6">
        <f>IF(ISERROR(VLOOKUP($T$595,'TAR FIN'!$A$1:$O$95,15,0)),0,VLOOKUP($T$595,'TAR FIN'!$A$1:$O$95,15,0))</f>
        <v>149.63</v>
      </c>
      <c r="X595" s="6">
        <f>IF(ISERROR(VLOOKUP($U$595,'TAR FIN'!$A$1:$O$95,15,0)),0,VLOOKUP($U$595,'TAR FIN'!$A$1:$O$95,15,0))</f>
        <v>389.28</v>
      </c>
      <c r="Y595" s="6">
        <f ca="1">('TUSD BE'!$AM$10+'TUSD BF'!$AM$10+'TUSD CVA'!$AM$10)*1</f>
        <v>59.276351675174958</v>
      </c>
      <c r="Z595" s="6">
        <f ca="1">('TUSD BE'!$AM$12+'TUSD BF'!$AM$12+'TUSD CVA'!$AM$12)*1</f>
        <v>168.51338132937991</v>
      </c>
      <c r="AA595" s="6">
        <f>('TE BE'!$AA$7+'TE BF'!$AA$7+'TE CVA'!$AA$7)*1</f>
        <v>454.3285679284046</v>
      </c>
      <c r="AB595" s="6">
        <f>$K$595*$V$595</f>
        <v>-23845.5</v>
      </c>
      <c r="AC595" s="6">
        <f>$M$595*$W$595</f>
        <v>-1877.10835</v>
      </c>
      <c r="AD595" s="6">
        <f>$O$595*$X$595</f>
        <v>-4883.5175999999992</v>
      </c>
      <c r="AE595" s="6">
        <f ca="1">$K$595*$Y$595</f>
        <v>-26674.35825382873</v>
      </c>
      <c r="AF595" s="6">
        <f ca="1">$M$595*$Z$595</f>
        <v>-2114.0003687770709</v>
      </c>
      <c r="AG595" s="6">
        <f>$O$595*$AA$595</f>
        <v>-5699.5518846618352</v>
      </c>
    </row>
    <row r="596" spans="1:33" ht="11.25" customHeight="1" x14ac:dyDescent="0.25">
      <c r="A596" s="4" t="s">
        <v>28</v>
      </c>
      <c r="B596" s="4" t="s">
        <v>35</v>
      </c>
      <c r="C596" s="4" t="s">
        <v>44</v>
      </c>
      <c r="D596" s="4" t="s">
        <v>48</v>
      </c>
      <c r="E596" s="4" t="s">
        <v>25</v>
      </c>
      <c r="F596" s="4" t="s">
        <v>25</v>
      </c>
      <c r="G596" s="4" t="s">
        <v>25</v>
      </c>
      <c r="H596" s="4" t="s">
        <v>37</v>
      </c>
      <c r="I596" s="5">
        <v>44409</v>
      </c>
      <c r="J596" s="6">
        <v>5516</v>
      </c>
      <c r="K596" s="6">
        <v>5516</v>
      </c>
      <c r="L596" s="6">
        <v>187.358</v>
      </c>
      <c r="M596" s="6">
        <v>187.358</v>
      </c>
      <c r="N596" s="6">
        <v>187.358</v>
      </c>
      <c r="O596" s="6">
        <v>187.358</v>
      </c>
      <c r="P596" s="6">
        <v>0</v>
      </c>
      <c r="Q596" s="4" t="s">
        <v>26</v>
      </c>
      <c r="R596" s="4">
        <v>0</v>
      </c>
      <c r="S596" s="6">
        <v>28</v>
      </c>
      <c r="T596" s="6">
        <v>30</v>
      </c>
      <c r="U596" s="6">
        <v>66</v>
      </c>
      <c r="V596" s="6">
        <f>IF(ISERROR(VLOOKUP($S$596,'TAR FIN'!$A$1:$O$95,15,0)),0,VLOOKUP($S$596,'TAR FIN'!$A$1:$O$95,15,0))</f>
        <v>52.99</v>
      </c>
      <c r="W596" s="6">
        <f>IF(ISERROR(VLOOKUP($T$596,'TAR FIN'!$A$1:$O$95,15,0)),0,VLOOKUP($T$596,'TAR FIN'!$A$1:$O$95,15,0))</f>
        <v>149.63</v>
      </c>
      <c r="X596" s="6">
        <f>IF(ISERROR(VLOOKUP($U$596,'TAR FIN'!$A$1:$O$95,15,0)),0,VLOOKUP($U$596,'TAR FIN'!$A$1:$O$95,15,0))</f>
        <v>389.28</v>
      </c>
      <c r="Y596" s="6">
        <f ca="1">('TUSD BE'!$AM$10+'TUSD BF'!$AM$10+'TUSD CVA'!$AM$10)*1</f>
        <v>59.276351675174958</v>
      </c>
      <c r="Z596" s="6">
        <f ca="1">('TUSD BE'!$AM$12+'TUSD BF'!$AM$12+'TUSD CVA'!$AM$12)*1</f>
        <v>168.51338132937991</v>
      </c>
      <c r="AA596" s="6">
        <f>('TE BE'!$AA$7+'TE BF'!$AA$7+'TE CVA'!$AA$7)*1</f>
        <v>454.3285679284046</v>
      </c>
      <c r="AB596" s="6">
        <f>$K$596*$V$596</f>
        <v>292292.84000000003</v>
      </c>
      <c r="AC596" s="6">
        <f>$M$596*$W$596</f>
        <v>28034.377540000001</v>
      </c>
      <c r="AD596" s="6">
        <f>$O$596*$X$596</f>
        <v>72934.722240000003</v>
      </c>
      <c r="AE596" s="6">
        <f ca="1">$K$596*$Y$596</f>
        <v>326968.35584026505</v>
      </c>
      <c r="AF596" s="6">
        <f ca="1">$M$596*$Z$596</f>
        <v>31572.33009910996</v>
      </c>
      <c r="AG596" s="6">
        <f>$O$596*$AA$596</f>
        <v>85122.091829930025</v>
      </c>
    </row>
    <row r="597" spans="1:33" ht="11.25" customHeight="1" x14ac:dyDescent="0.25">
      <c r="A597" s="4" t="s">
        <v>29</v>
      </c>
      <c r="B597" s="4" t="s">
        <v>35</v>
      </c>
      <c r="C597" s="4" t="s">
        <v>44</v>
      </c>
      <c r="D597" s="4" t="s">
        <v>48</v>
      </c>
      <c r="E597" s="4" t="s">
        <v>25</v>
      </c>
      <c r="F597" s="4" t="s">
        <v>25</v>
      </c>
      <c r="G597" s="4" t="s">
        <v>25</v>
      </c>
      <c r="H597" s="4" t="s">
        <v>37</v>
      </c>
      <c r="I597" s="5">
        <v>44409</v>
      </c>
      <c r="J597" s="6">
        <v>-95</v>
      </c>
      <c r="K597" s="6">
        <v>-95</v>
      </c>
      <c r="L597" s="6">
        <v>-2.681</v>
      </c>
      <c r="M597" s="6">
        <v>-2.681</v>
      </c>
      <c r="N597" s="6">
        <v>-2.681</v>
      </c>
      <c r="O597" s="6">
        <v>-2.681</v>
      </c>
      <c r="P597" s="6">
        <v>0</v>
      </c>
      <c r="Q597" s="4" t="s">
        <v>26</v>
      </c>
      <c r="R597" s="4">
        <v>0</v>
      </c>
      <c r="S597" s="6">
        <v>28</v>
      </c>
      <c r="T597" s="6">
        <v>30</v>
      </c>
      <c r="U597" s="6">
        <v>66</v>
      </c>
      <c r="V597" s="6">
        <f>IF(ISERROR(VLOOKUP($S$597,'TAR FIN'!$A$1:$O$95,15,0)),0,VLOOKUP($S$597,'TAR FIN'!$A$1:$O$95,15,0))</f>
        <v>52.99</v>
      </c>
      <c r="W597" s="6">
        <f>IF(ISERROR(VLOOKUP($T$597,'TAR FIN'!$A$1:$O$95,15,0)),0,VLOOKUP($T$597,'TAR FIN'!$A$1:$O$95,15,0))</f>
        <v>149.63</v>
      </c>
      <c r="X597" s="6">
        <f>IF(ISERROR(VLOOKUP($U$597,'TAR FIN'!$A$1:$O$95,15,0)),0,VLOOKUP($U$597,'TAR FIN'!$A$1:$O$95,15,0))</f>
        <v>389.28</v>
      </c>
      <c r="Y597" s="6">
        <f ca="1">('TUSD BE'!$AM$10+'TUSD BF'!$AM$10+'TUSD CVA'!$AM$10)*1</f>
        <v>59.276351675174958</v>
      </c>
      <c r="Z597" s="6">
        <f ca="1">('TUSD BE'!$AM$12+'TUSD BF'!$AM$12+'TUSD CVA'!$AM$12)*1</f>
        <v>168.51338132937991</v>
      </c>
      <c r="AA597" s="6">
        <f>('TE BE'!$AA$7+'TE BF'!$AA$7+'TE CVA'!$AA$7)*1</f>
        <v>454.3285679284046</v>
      </c>
      <c r="AB597" s="6">
        <f>$K$597*$V$597</f>
        <v>-5034.05</v>
      </c>
      <c r="AC597" s="6">
        <f>$M$597*$W$597</f>
        <v>-401.15803</v>
      </c>
      <c r="AD597" s="6">
        <f>$O$597*$X$597</f>
        <v>-1043.65968</v>
      </c>
      <c r="AE597" s="6">
        <f ca="1">$K$597*$Y$597</f>
        <v>-5631.253409141621</v>
      </c>
      <c r="AF597" s="6">
        <f ca="1">$M$597*$Z$597</f>
        <v>-451.78437534406754</v>
      </c>
      <c r="AG597" s="6">
        <f>$O$597*$AA$597</f>
        <v>-1218.0548906160527</v>
      </c>
    </row>
    <row r="598" spans="1:33" ht="11.25" customHeight="1" x14ac:dyDescent="0.25">
      <c r="A598" s="4" t="s">
        <v>30</v>
      </c>
      <c r="B598" s="4" t="s">
        <v>35</v>
      </c>
      <c r="C598" s="4" t="s">
        <v>44</v>
      </c>
      <c r="D598" s="4" t="s">
        <v>48</v>
      </c>
      <c r="E598" s="4" t="s">
        <v>25</v>
      </c>
      <c r="F598" s="4" t="s">
        <v>25</v>
      </c>
      <c r="G598" s="4" t="s">
        <v>25</v>
      </c>
      <c r="H598" s="4" t="s">
        <v>37</v>
      </c>
      <c r="I598" s="5">
        <v>44409</v>
      </c>
      <c r="J598" s="6">
        <v>550</v>
      </c>
      <c r="K598" s="6">
        <v>550</v>
      </c>
      <c r="L598" s="6">
        <v>4.0179999999999998</v>
      </c>
      <c r="M598" s="6">
        <v>4.0179999999999998</v>
      </c>
      <c r="N598" s="6">
        <v>4.0179999999999998</v>
      </c>
      <c r="O598" s="6">
        <v>4.0179999999999998</v>
      </c>
      <c r="P598" s="6">
        <v>0</v>
      </c>
      <c r="Q598" s="4" t="s">
        <v>26</v>
      </c>
      <c r="R598" s="4">
        <v>0</v>
      </c>
      <c r="S598" s="6">
        <v>28</v>
      </c>
      <c r="T598" s="6">
        <v>30</v>
      </c>
      <c r="U598" s="6">
        <v>66</v>
      </c>
      <c r="V598" s="6">
        <f>IF(ISERROR(VLOOKUP($S$598,'TAR FIN'!$A$1:$O$95,15,0)),0,VLOOKUP($S$598,'TAR FIN'!$A$1:$O$95,15,0))</f>
        <v>52.99</v>
      </c>
      <c r="W598" s="6">
        <f>IF(ISERROR(VLOOKUP($T$598,'TAR FIN'!$A$1:$O$95,15,0)),0,VLOOKUP($T$598,'TAR FIN'!$A$1:$O$95,15,0))</f>
        <v>149.63</v>
      </c>
      <c r="X598" s="6">
        <f>IF(ISERROR(VLOOKUP($U$598,'TAR FIN'!$A$1:$O$95,15,0)),0,VLOOKUP($U$598,'TAR FIN'!$A$1:$O$95,15,0))</f>
        <v>389.28</v>
      </c>
      <c r="Y598" s="6">
        <f ca="1">('TUSD BE'!$AM$10+'TUSD BF'!$AM$10+'TUSD CVA'!$AM$10)*1</f>
        <v>59.276351675174958</v>
      </c>
      <c r="Z598" s="6">
        <f ca="1">('TUSD BE'!$AM$12+'TUSD BF'!$AM$12+'TUSD CVA'!$AM$12)*1</f>
        <v>168.51338132937991</v>
      </c>
      <c r="AA598" s="6">
        <f>('TE BE'!$AA$7+'TE BF'!$AA$7+'TE CVA'!$AA$7)*1</f>
        <v>454.3285679284046</v>
      </c>
      <c r="AB598" s="6">
        <f>$K$598*$V$598</f>
        <v>29144.5</v>
      </c>
      <c r="AC598" s="6">
        <f>$M$598*$W$598</f>
        <v>601.2133399999999</v>
      </c>
      <c r="AD598" s="6">
        <f>$O$598*$X$598</f>
        <v>1564.1270399999999</v>
      </c>
      <c r="AE598" s="6">
        <f ca="1">$K$598*$Y$598</f>
        <v>32601.993421346226</v>
      </c>
      <c r="AF598" s="6">
        <f ca="1">$M$598*$Z$598</f>
        <v>677.08676618144841</v>
      </c>
      <c r="AG598" s="6">
        <f>$O$598*$AA$598</f>
        <v>1825.4921859363296</v>
      </c>
    </row>
    <row r="599" spans="1:33" ht="11.25" customHeight="1" x14ac:dyDescent="0.25">
      <c r="A599" s="4" t="s">
        <v>21</v>
      </c>
      <c r="B599" s="4" t="s">
        <v>35</v>
      </c>
      <c r="C599" s="4" t="s">
        <v>44</v>
      </c>
      <c r="D599" s="4" t="s">
        <v>48</v>
      </c>
      <c r="E599" s="4" t="s">
        <v>25</v>
      </c>
      <c r="F599" s="4" t="s">
        <v>25</v>
      </c>
      <c r="G599" s="4" t="s">
        <v>25</v>
      </c>
      <c r="H599" s="4" t="s">
        <v>37</v>
      </c>
      <c r="I599" s="5">
        <v>44440</v>
      </c>
      <c r="J599" s="6">
        <v>19107</v>
      </c>
      <c r="K599" s="6">
        <v>19107</v>
      </c>
      <c r="L599" s="6">
        <v>478.75200000000001</v>
      </c>
      <c r="M599" s="6">
        <v>478.75200000000001</v>
      </c>
      <c r="N599" s="6">
        <v>478.75200000000001</v>
      </c>
      <c r="O599" s="6">
        <v>478.75200000000001</v>
      </c>
      <c r="P599" s="6">
        <v>0</v>
      </c>
      <c r="Q599" s="4" t="s">
        <v>26</v>
      </c>
      <c r="R599" s="4">
        <v>0</v>
      </c>
      <c r="S599" s="6">
        <v>28</v>
      </c>
      <c r="T599" s="6">
        <v>30</v>
      </c>
      <c r="U599" s="6">
        <v>66</v>
      </c>
      <c r="V599" s="6">
        <f>IF(ISERROR(VLOOKUP($S$599,'TAR FIN'!$A$1:$O$95,15,0)),0,VLOOKUP($S$599,'TAR FIN'!$A$1:$O$95,15,0))</f>
        <v>52.99</v>
      </c>
      <c r="W599" s="6">
        <f>IF(ISERROR(VLOOKUP($T$599,'TAR FIN'!$A$1:$O$95,15,0)),0,VLOOKUP($T$599,'TAR FIN'!$A$1:$O$95,15,0))</f>
        <v>149.63</v>
      </c>
      <c r="X599" s="6">
        <f>IF(ISERROR(VLOOKUP($U$599,'TAR FIN'!$A$1:$O$95,15,0)),0,VLOOKUP($U$599,'TAR FIN'!$A$1:$O$95,15,0))</f>
        <v>389.28</v>
      </c>
      <c r="Y599" s="6">
        <f ca="1">('TUSD BE'!$AM$10+'TUSD BF'!$AM$10+'TUSD CVA'!$AM$10)*1</f>
        <v>59.276351675174958</v>
      </c>
      <c r="Z599" s="6">
        <f ca="1">('TUSD BE'!$AM$12+'TUSD BF'!$AM$12+'TUSD CVA'!$AM$12)*1</f>
        <v>168.51338132937991</v>
      </c>
      <c r="AA599" s="6">
        <f>('TE BE'!$AA$7+'TE BF'!$AA$7+'TE CVA'!$AA$7)*1</f>
        <v>454.3285679284046</v>
      </c>
      <c r="AB599" s="6">
        <f>$K$599*$V$599</f>
        <v>1012479.93</v>
      </c>
      <c r="AC599" s="6">
        <f>$M$599*$W$599</f>
        <v>71635.661760000003</v>
      </c>
      <c r="AD599" s="6">
        <f>$O$599*$X$599</f>
        <v>186368.57855999999</v>
      </c>
      <c r="AE599" s="6">
        <f ca="1">$K$599*$Y$599</f>
        <v>1132593.251457568</v>
      </c>
      <c r="AF599" s="6">
        <f ca="1">$M$599*$Z$599</f>
        <v>80676.11833820329</v>
      </c>
      <c r="AG599" s="6">
        <f>$O$599*$AA$599</f>
        <v>217510.71055285956</v>
      </c>
    </row>
    <row r="600" spans="1:33" ht="11.25" customHeight="1" x14ac:dyDescent="0.25">
      <c r="A600" s="4" t="s">
        <v>28</v>
      </c>
      <c r="B600" s="4" t="s">
        <v>35</v>
      </c>
      <c r="C600" s="4" t="s">
        <v>44</v>
      </c>
      <c r="D600" s="4" t="s">
        <v>48</v>
      </c>
      <c r="E600" s="4" t="s">
        <v>25</v>
      </c>
      <c r="F600" s="4" t="s">
        <v>25</v>
      </c>
      <c r="G600" s="4" t="s">
        <v>25</v>
      </c>
      <c r="H600" s="4" t="s">
        <v>37</v>
      </c>
      <c r="I600" s="5">
        <v>44440</v>
      </c>
      <c r="J600" s="6">
        <v>5608</v>
      </c>
      <c r="K600" s="6">
        <v>5608</v>
      </c>
      <c r="L600" s="6">
        <v>166.917</v>
      </c>
      <c r="M600" s="6">
        <v>166.917</v>
      </c>
      <c r="N600" s="6">
        <v>166.917</v>
      </c>
      <c r="O600" s="6">
        <v>166.917</v>
      </c>
      <c r="P600" s="6">
        <v>0</v>
      </c>
      <c r="Q600" s="4" t="s">
        <v>26</v>
      </c>
      <c r="R600" s="4">
        <v>0</v>
      </c>
      <c r="S600" s="6">
        <v>28</v>
      </c>
      <c r="T600" s="6">
        <v>30</v>
      </c>
      <c r="U600" s="6">
        <v>66</v>
      </c>
      <c r="V600" s="6">
        <f>IF(ISERROR(VLOOKUP($S$600,'TAR FIN'!$A$1:$O$95,15,0)),0,VLOOKUP($S$600,'TAR FIN'!$A$1:$O$95,15,0))</f>
        <v>52.99</v>
      </c>
      <c r="W600" s="6">
        <f>IF(ISERROR(VLOOKUP($T$600,'TAR FIN'!$A$1:$O$95,15,0)),0,VLOOKUP($T$600,'TAR FIN'!$A$1:$O$95,15,0))</f>
        <v>149.63</v>
      </c>
      <c r="X600" s="6">
        <f>IF(ISERROR(VLOOKUP($U$600,'TAR FIN'!$A$1:$O$95,15,0)),0,VLOOKUP($U$600,'TAR FIN'!$A$1:$O$95,15,0))</f>
        <v>389.28</v>
      </c>
      <c r="Y600" s="6">
        <f ca="1">('TUSD BE'!$AM$10+'TUSD BF'!$AM$10+'TUSD CVA'!$AM$10)*1</f>
        <v>59.276351675174958</v>
      </c>
      <c r="Z600" s="6">
        <f ca="1">('TUSD BE'!$AM$12+'TUSD BF'!$AM$12+'TUSD CVA'!$AM$12)*1</f>
        <v>168.51338132937991</v>
      </c>
      <c r="AA600" s="6">
        <f>('TE BE'!$AA$7+'TE BF'!$AA$7+'TE CVA'!$AA$7)*1</f>
        <v>454.3285679284046</v>
      </c>
      <c r="AB600" s="6">
        <f>$K$600*$V$600</f>
        <v>297167.92</v>
      </c>
      <c r="AC600" s="6">
        <f>$M$600*$W$600</f>
        <v>24975.790710000001</v>
      </c>
      <c r="AD600" s="6">
        <f>$O$600*$X$600</f>
        <v>64977.449759999996</v>
      </c>
      <c r="AE600" s="6">
        <f ca="1">$K$600*$Y$600</f>
        <v>332421.78019438114</v>
      </c>
      <c r="AF600" s="6">
        <f ca="1">$M$600*$Z$600</f>
        <v>28127.748071356105</v>
      </c>
      <c r="AG600" s="6">
        <f>$O$600*$AA$600</f>
        <v>75835.161572905505</v>
      </c>
    </row>
    <row r="601" spans="1:33" ht="11.25" customHeight="1" x14ac:dyDescent="0.25">
      <c r="A601" s="4" t="s">
        <v>29</v>
      </c>
      <c r="B601" s="4" t="s">
        <v>35</v>
      </c>
      <c r="C601" s="4" t="s">
        <v>44</v>
      </c>
      <c r="D601" s="4" t="s">
        <v>48</v>
      </c>
      <c r="E601" s="4" t="s">
        <v>25</v>
      </c>
      <c r="F601" s="4" t="s">
        <v>25</v>
      </c>
      <c r="G601" s="4" t="s">
        <v>25</v>
      </c>
      <c r="H601" s="4" t="s">
        <v>37</v>
      </c>
      <c r="I601" s="5">
        <v>44440</v>
      </c>
      <c r="J601" s="6">
        <v>-42</v>
      </c>
      <c r="K601" s="6">
        <v>-42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4" t="s">
        <v>26</v>
      </c>
      <c r="R601" s="4">
        <v>0</v>
      </c>
      <c r="S601" s="6">
        <v>28</v>
      </c>
      <c r="T601" s="6">
        <v>0</v>
      </c>
      <c r="U601" s="6">
        <v>0</v>
      </c>
      <c r="V601" s="6">
        <f>IF(ISERROR(VLOOKUP($S$601,'TAR FIN'!$A$1:$O$95,15,0)),0,VLOOKUP($S$601,'TAR FIN'!$A$1:$O$95,15,0))</f>
        <v>52.99</v>
      </c>
      <c r="W601" s="6">
        <f>IF(ISERROR(VLOOKUP($T$601,'TAR FIN'!$A$1:$O$95,15,0)),0,VLOOKUP($T$601,'TAR FIN'!$A$1:$O$95,15,0))</f>
        <v>0</v>
      </c>
      <c r="X601" s="6">
        <f>IF(ISERROR(VLOOKUP($U$601,'TAR FIN'!$A$1:$O$95,15,0)),0,VLOOKUP($U$601,'TAR FIN'!$A$1:$O$95,15,0))</f>
        <v>0</v>
      </c>
      <c r="Y601" s="6">
        <f ca="1">('TUSD BE'!$AM$10+'TUSD BF'!$AM$10+'TUSD CVA'!$AM$10)*1</f>
        <v>59.276351675174958</v>
      </c>
      <c r="Z601" s="6">
        <f ca="1">('TUSD BE'!$AM$12+'TUSD BF'!$AM$12+'TUSD CVA'!$AM$12)*1</f>
        <v>168.51338132937991</v>
      </c>
      <c r="AA601" s="6">
        <f>('TE BE'!$AA$7+'TE BF'!$AA$7+'TE CVA'!$AA$7)*1</f>
        <v>454.3285679284046</v>
      </c>
      <c r="AB601" s="6">
        <f>$K$601*$V$601</f>
        <v>-2225.58</v>
      </c>
      <c r="AC601" s="6">
        <f>$M$601*$W$601</f>
        <v>0</v>
      </c>
      <c r="AD601" s="6">
        <f>$O$601*$X$601</f>
        <v>0</v>
      </c>
      <c r="AE601" s="6">
        <f ca="1">$K$601*$Y$601</f>
        <v>-2489.6067703573481</v>
      </c>
      <c r="AF601" s="6">
        <f ca="1">$M$601*$Z$601</f>
        <v>0</v>
      </c>
      <c r="AG601" s="6">
        <f>$O$601*$AA$601</f>
        <v>0</v>
      </c>
    </row>
    <row r="602" spans="1:33" ht="11.25" customHeight="1" x14ac:dyDescent="0.25">
      <c r="A602" s="4" t="s">
        <v>30</v>
      </c>
      <c r="B602" s="4" t="s">
        <v>35</v>
      </c>
      <c r="C602" s="4" t="s">
        <v>44</v>
      </c>
      <c r="D602" s="4" t="s">
        <v>48</v>
      </c>
      <c r="E602" s="4" t="s">
        <v>25</v>
      </c>
      <c r="F602" s="4" t="s">
        <v>25</v>
      </c>
      <c r="G602" s="4" t="s">
        <v>25</v>
      </c>
      <c r="H602" s="4" t="s">
        <v>37</v>
      </c>
      <c r="I602" s="5">
        <v>44440</v>
      </c>
      <c r="J602" s="6">
        <v>550</v>
      </c>
      <c r="K602" s="6">
        <v>550</v>
      </c>
      <c r="L602" s="6">
        <v>3.6680000000000001</v>
      </c>
      <c r="M602" s="6">
        <v>3.6680000000000001</v>
      </c>
      <c r="N602" s="6">
        <v>3.6680000000000001</v>
      </c>
      <c r="O602" s="6">
        <v>3.6680000000000001</v>
      </c>
      <c r="P602" s="6">
        <v>0</v>
      </c>
      <c r="Q602" s="4" t="s">
        <v>26</v>
      </c>
      <c r="R602" s="4">
        <v>0</v>
      </c>
      <c r="S602" s="6">
        <v>28</v>
      </c>
      <c r="T602" s="6">
        <v>30</v>
      </c>
      <c r="U602" s="6">
        <v>66</v>
      </c>
      <c r="V602" s="6">
        <f>IF(ISERROR(VLOOKUP($S$602,'TAR FIN'!$A$1:$O$95,15,0)),0,VLOOKUP($S$602,'TAR FIN'!$A$1:$O$95,15,0))</f>
        <v>52.99</v>
      </c>
      <c r="W602" s="6">
        <f>IF(ISERROR(VLOOKUP($T$602,'TAR FIN'!$A$1:$O$95,15,0)),0,VLOOKUP($T$602,'TAR FIN'!$A$1:$O$95,15,0))</f>
        <v>149.63</v>
      </c>
      <c r="X602" s="6">
        <f>IF(ISERROR(VLOOKUP($U$602,'TAR FIN'!$A$1:$O$95,15,0)),0,VLOOKUP($U$602,'TAR FIN'!$A$1:$O$95,15,0))</f>
        <v>389.28</v>
      </c>
      <c r="Y602" s="6">
        <f ca="1">('TUSD BE'!$AM$10+'TUSD BF'!$AM$10+'TUSD CVA'!$AM$10)*1</f>
        <v>59.276351675174958</v>
      </c>
      <c r="Z602" s="6">
        <f ca="1">('TUSD BE'!$AM$12+'TUSD BF'!$AM$12+'TUSD CVA'!$AM$12)*1</f>
        <v>168.51338132937991</v>
      </c>
      <c r="AA602" s="6">
        <f>('TE BE'!$AA$7+'TE BF'!$AA$7+'TE CVA'!$AA$7)*1</f>
        <v>454.3285679284046</v>
      </c>
      <c r="AB602" s="6">
        <f>$K$602*$V$602</f>
        <v>29144.5</v>
      </c>
      <c r="AC602" s="6">
        <f>$M$602*$W$602</f>
        <v>548.84284000000002</v>
      </c>
      <c r="AD602" s="6">
        <f>$O$602*$X$602</f>
        <v>1427.87904</v>
      </c>
      <c r="AE602" s="6">
        <f ca="1">$K$602*$Y$602</f>
        <v>32601.993421346226</v>
      </c>
      <c r="AF602" s="6">
        <f ca="1">$M$602*$Z$602</f>
        <v>618.10708271616556</v>
      </c>
      <c r="AG602" s="6">
        <f>$O$602*$AA$602</f>
        <v>1666.4771871613882</v>
      </c>
    </row>
    <row r="603" spans="1:33" ht="11.25" customHeight="1" x14ac:dyDescent="0.25">
      <c r="A603" s="4" t="s">
        <v>59</v>
      </c>
      <c r="B603" s="4" t="s">
        <v>35</v>
      </c>
      <c r="C603" s="4" t="s">
        <v>44</v>
      </c>
      <c r="D603" s="4" t="s">
        <v>48</v>
      </c>
      <c r="E603" s="4" t="s">
        <v>25</v>
      </c>
      <c r="F603" s="4" t="s">
        <v>25</v>
      </c>
      <c r="G603" s="4" t="s">
        <v>25</v>
      </c>
      <c r="H603" s="4" t="s">
        <v>37</v>
      </c>
      <c r="I603" s="5">
        <v>44470</v>
      </c>
      <c r="J603" s="6">
        <v>19107</v>
      </c>
      <c r="K603" s="6">
        <v>19107</v>
      </c>
      <c r="L603" s="6">
        <v>478.75200000000001</v>
      </c>
      <c r="M603" s="6">
        <v>478.75200000000001</v>
      </c>
      <c r="N603" s="6">
        <v>478.75200000000001</v>
      </c>
      <c r="O603" s="6">
        <v>478.75200000000001</v>
      </c>
      <c r="P603" s="6">
        <v>0</v>
      </c>
      <c r="Q603" s="4" t="s">
        <v>26</v>
      </c>
      <c r="R603" s="4">
        <v>0</v>
      </c>
      <c r="S603" s="6">
        <v>28</v>
      </c>
      <c r="T603" s="6">
        <v>30</v>
      </c>
      <c r="U603" s="6">
        <v>66</v>
      </c>
      <c r="V603" s="6">
        <f>IF(ISERROR(VLOOKUP($S$603,'TAR FIN'!$A$1:$O$95,15,0)),0,VLOOKUP($S$603,'TAR FIN'!$A$1:$O$95,15,0))</f>
        <v>52.99</v>
      </c>
      <c r="W603" s="6">
        <f>IF(ISERROR(VLOOKUP($T$603,'TAR FIN'!$A$1:$O$95,15,0)),0,VLOOKUP($T$603,'TAR FIN'!$A$1:$O$95,15,0))</f>
        <v>149.63</v>
      </c>
      <c r="X603" s="6">
        <f>IF(ISERROR(VLOOKUP($U$603,'TAR FIN'!$A$1:$O$95,15,0)),0,VLOOKUP($U$603,'TAR FIN'!$A$1:$O$95,15,0))</f>
        <v>389.28</v>
      </c>
      <c r="Y603" s="6">
        <f ca="1">('TUSD BE'!$AM$10+'TUSD BF'!$AM$10+'TUSD CVA'!$AM$10)*1</f>
        <v>59.276351675174958</v>
      </c>
      <c r="Z603" s="6">
        <f ca="1">('TUSD BE'!$AM$12+'TUSD BF'!$AM$12+'TUSD CVA'!$AM$12)*1</f>
        <v>168.51338132937991</v>
      </c>
      <c r="AA603" s="6">
        <f>('TE BE'!$AA$7+'TE BF'!$AA$7+'TE CVA'!$AA$7)*1</f>
        <v>454.3285679284046</v>
      </c>
      <c r="AB603" s="6">
        <f>$K$603*$V$603</f>
        <v>1012479.93</v>
      </c>
      <c r="AC603" s="6">
        <f>$M$603*$W$603</f>
        <v>71635.661760000003</v>
      </c>
      <c r="AD603" s="6">
        <f>$O$603*$X$603</f>
        <v>186368.57855999999</v>
      </c>
      <c r="AE603" s="6">
        <f ca="1">$K$603*$Y$603</f>
        <v>1132593.251457568</v>
      </c>
      <c r="AF603" s="6">
        <f ca="1">$M$603*$Z$603</f>
        <v>80676.11833820329</v>
      </c>
      <c r="AG603" s="6">
        <f>$O$603*$AA$603</f>
        <v>217510.71055285956</v>
      </c>
    </row>
    <row r="604" spans="1:33" ht="11.25" customHeight="1" x14ac:dyDescent="0.25">
      <c r="A604" s="4" t="s">
        <v>59</v>
      </c>
      <c r="B604" s="4" t="s">
        <v>35</v>
      </c>
      <c r="C604" s="4" t="s">
        <v>44</v>
      </c>
      <c r="D604" s="4" t="s">
        <v>48</v>
      </c>
      <c r="E604" s="4" t="s">
        <v>25</v>
      </c>
      <c r="F604" s="4" t="s">
        <v>25</v>
      </c>
      <c r="G604" s="4" t="s">
        <v>25</v>
      </c>
      <c r="H604" s="4" t="s">
        <v>37</v>
      </c>
      <c r="I604" s="5">
        <v>44470</v>
      </c>
      <c r="J604" s="6">
        <v>5608</v>
      </c>
      <c r="K604" s="6">
        <v>5608</v>
      </c>
      <c r="L604" s="6">
        <v>166.917</v>
      </c>
      <c r="M604" s="6">
        <v>166.917</v>
      </c>
      <c r="N604" s="6">
        <v>166.917</v>
      </c>
      <c r="O604" s="6">
        <v>166.917</v>
      </c>
      <c r="P604" s="6">
        <v>0</v>
      </c>
      <c r="Q604" s="4" t="s">
        <v>26</v>
      </c>
      <c r="R604" s="4">
        <v>0</v>
      </c>
      <c r="S604" s="6">
        <v>28</v>
      </c>
      <c r="T604" s="6">
        <v>30</v>
      </c>
      <c r="U604" s="6">
        <v>66</v>
      </c>
      <c r="V604" s="6">
        <f>IF(ISERROR(VLOOKUP($S$604,'TAR FIN'!$A$1:$O$95,15,0)),0,VLOOKUP($S$604,'TAR FIN'!$A$1:$O$95,15,0))</f>
        <v>52.99</v>
      </c>
      <c r="W604" s="6">
        <f>IF(ISERROR(VLOOKUP($T$604,'TAR FIN'!$A$1:$O$95,15,0)),0,VLOOKUP($T$604,'TAR FIN'!$A$1:$O$95,15,0))</f>
        <v>149.63</v>
      </c>
      <c r="X604" s="6">
        <f>IF(ISERROR(VLOOKUP($U$604,'TAR FIN'!$A$1:$O$95,15,0)),0,VLOOKUP($U$604,'TAR FIN'!$A$1:$O$95,15,0))</f>
        <v>389.28</v>
      </c>
      <c r="Y604" s="6">
        <f ca="1">('TUSD BE'!$AM$10+'TUSD BF'!$AM$10+'TUSD CVA'!$AM$10)*1</f>
        <v>59.276351675174958</v>
      </c>
      <c r="Z604" s="6">
        <f ca="1">('TUSD BE'!$AM$12+'TUSD BF'!$AM$12+'TUSD CVA'!$AM$12)*1</f>
        <v>168.51338132937991</v>
      </c>
      <c r="AA604" s="6">
        <f>('TE BE'!$AA$7+'TE BF'!$AA$7+'TE CVA'!$AA$7)*1</f>
        <v>454.3285679284046</v>
      </c>
      <c r="AB604" s="6">
        <f>$K$604*$V$604</f>
        <v>297167.92</v>
      </c>
      <c r="AC604" s="6">
        <f>$M$604*$W$604</f>
        <v>24975.790710000001</v>
      </c>
      <c r="AD604" s="6">
        <f>$O$604*$X$604</f>
        <v>64977.449759999996</v>
      </c>
      <c r="AE604" s="6">
        <f ca="1">$K$604*$Y$604</f>
        <v>332421.78019438114</v>
      </c>
      <c r="AF604" s="6">
        <f ca="1">$M$604*$Z$604</f>
        <v>28127.748071356105</v>
      </c>
      <c r="AG604" s="6">
        <f>$O$604*$AA$604</f>
        <v>75835.161572905505</v>
      </c>
    </row>
    <row r="605" spans="1:33" ht="11.25" customHeight="1" x14ac:dyDescent="0.25">
      <c r="A605" s="4" t="s">
        <v>59</v>
      </c>
      <c r="B605" s="4" t="s">
        <v>35</v>
      </c>
      <c r="C605" s="4" t="s">
        <v>44</v>
      </c>
      <c r="D605" s="4" t="s">
        <v>48</v>
      </c>
      <c r="E605" s="4" t="s">
        <v>25</v>
      </c>
      <c r="F605" s="4" t="s">
        <v>25</v>
      </c>
      <c r="G605" s="4" t="s">
        <v>25</v>
      </c>
      <c r="H605" s="4" t="s">
        <v>37</v>
      </c>
      <c r="I605" s="5">
        <v>44470</v>
      </c>
      <c r="J605" s="6">
        <v>-42</v>
      </c>
      <c r="K605" s="6">
        <v>-42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4" t="s">
        <v>26</v>
      </c>
      <c r="R605" s="4">
        <v>0</v>
      </c>
      <c r="S605" s="6">
        <v>28</v>
      </c>
      <c r="T605" s="6">
        <v>0</v>
      </c>
      <c r="U605" s="6">
        <v>0</v>
      </c>
      <c r="V605" s="6">
        <f>IF(ISERROR(VLOOKUP($S$605,'TAR FIN'!$A$1:$O$95,15,0)),0,VLOOKUP($S$605,'TAR FIN'!$A$1:$O$95,15,0))</f>
        <v>52.99</v>
      </c>
      <c r="W605" s="6">
        <f>IF(ISERROR(VLOOKUP($T$605,'TAR FIN'!$A$1:$O$95,15,0)),0,VLOOKUP($T$605,'TAR FIN'!$A$1:$O$95,15,0))</f>
        <v>0</v>
      </c>
      <c r="X605" s="6">
        <f>IF(ISERROR(VLOOKUP($U$605,'TAR FIN'!$A$1:$O$95,15,0)),0,VLOOKUP($U$605,'TAR FIN'!$A$1:$O$95,15,0))</f>
        <v>0</v>
      </c>
      <c r="Y605" s="6">
        <f ca="1">('TUSD BE'!$AM$10+'TUSD BF'!$AM$10+'TUSD CVA'!$AM$10)*1</f>
        <v>59.276351675174958</v>
      </c>
      <c r="Z605" s="6">
        <f ca="1">('TUSD BE'!$AM$12+'TUSD BF'!$AM$12+'TUSD CVA'!$AM$12)*1</f>
        <v>168.51338132937991</v>
      </c>
      <c r="AA605" s="6">
        <f>('TE BE'!$AA$7+'TE BF'!$AA$7+'TE CVA'!$AA$7)*1</f>
        <v>454.3285679284046</v>
      </c>
      <c r="AB605" s="6">
        <f>$K$605*$V$605</f>
        <v>-2225.58</v>
      </c>
      <c r="AC605" s="6">
        <f>$M$605*$W$605</f>
        <v>0</v>
      </c>
      <c r="AD605" s="6">
        <f>$O$605*$X$605</f>
        <v>0</v>
      </c>
      <c r="AE605" s="6">
        <f ca="1">$K$605*$Y$605</f>
        <v>-2489.6067703573481</v>
      </c>
      <c r="AF605" s="6">
        <f ca="1">$M$605*$Z$605</f>
        <v>0</v>
      </c>
      <c r="AG605" s="6">
        <f>$O$605*$AA$605</f>
        <v>0</v>
      </c>
    </row>
    <row r="606" spans="1:33" ht="11.25" customHeight="1" x14ac:dyDescent="0.25">
      <c r="A606" s="4" t="s">
        <v>59</v>
      </c>
      <c r="B606" s="4" t="s">
        <v>35</v>
      </c>
      <c r="C606" s="4" t="s">
        <v>44</v>
      </c>
      <c r="D606" s="4" t="s">
        <v>48</v>
      </c>
      <c r="E606" s="4" t="s">
        <v>25</v>
      </c>
      <c r="F606" s="4" t="s">
        <v>25</v>
      </c>
      <c r="G606" s="4" t="s">
        <v>25</v>
      </c>
      <c r="H606" s="4" t="s">
        <v>37</v>
      </c>
      <c r="I606" s="5">
        <v>44470</v>
      </c>
      <c r="J606" s="6">
        <v>550</v>
      </c>
      <c r="K606" s="6">
        <v>550</v>
      </c>
      <c r="L606" s="6">
        <v>3.6680000000000001</v>
      </c>
      <c r="M606" s="6">
        <v>3.6680000000000001</v>
      </c>
      <c r="N606" s="6">
        <v>3.6680000000000001</v>
      </c>
      <c r="O606" s="6">
        <v>3.6680000000000001</v>
      </c>
      <c r="P606" s="6">
        <v>0</v>
      </c>
      <c r="Q606" s="4" t="s">
        <v>26</v>
      </c>
      <c r="R606" s="4">
        <v>0</v>
      </c>
      <c r="S606" s="6">
        <v>28</v>
      </c>
      <c r="T606" s="6">
        <v>30</v>
      </c>
      <c r="U606" s="6">
        <v>66</v>
      </c>
      <c r="V606" s="6">
        <f>IF(ISERROR(VLOOKUP($S$606,'TAR FIN'!$A$1:$O$95,15,0)),0,VLOOKUP($S$606,'TAR FIN'!$A$1:$O$95,15,0))</f>
        <v>52.99</v>
      </c>
      <c r="W606" s="6">
        <f>IF(ISERROR(VLOOKUP($T$606,'TAR FIN'!$A$1:$O$95,15,0)),0,VLOOKUP($T$606,'TAR FIN'!$A$1:$O$95,15,0))</f>
        <v>149.63</v>
      </c>
      <c r="X606" s="6">
        <f>IF(ISERROR(VLOOKUP($U$606,'TAR FIN'!$A$1:$O$95,15,0)),0,VLOOKUP($U$606,'TAR FIN'!$A$1:$O$95,15,0))</f>
        <v>389.28</v>
      </c>
      <c r="Y606" s="6">
        <f ca="1">('TUSD BE'!$AM$10+'TUSD BF'!$AM$10+'TUSD CVA'!$AM$10)*1</f>
        <v>59.276351675174958</v>
      </c>
      <c r="Z606" s="6">
        <f ca="1">('TUSD BE'!$AM$12+'TUSD BF'!$AM$12+'TUSD CVA'!$AM$12)*1</f>
        <v>168.51338132937991</v>
      </c>
      <c r="AA606" s="6">
        <f>('TE BE'!$AA$7+'TE BF'!$AA$7+'TE CVA'!$AA$7)*1</f>
        <v>454.3285679284046</v>
      </c>
      <c r="AB606" s="6">
        <f>$K$606*$V$606</f>
        <v>29144.5</v>
      </c>
      <c r="AC606" s="6">
        <f>$M$606*$W$606</f>
        <v>548.84284000000002</v>
      </c>
      <c r="AD606" s="6">
        <f>$O$606*$X$606</f>
        <v>1427.87904</v>
      </c>
      <c r="AE606" s="6">
        <f ca="1">$K$606*$Y$606</f>
        <v>32601.993421346226</v>
      </c>
      <c r="AF606" s="6">
        <f ca="1">$M$606*$Z$606</f>
        <v>618.10708271616556</v>
      </c>
      <c r="AG606" s="6">
        <f>$O$606*$AA$606</f>
        <v>1666.4771871613882</v>
      </c>
    </row>
    <row r="607" spans="1:33" ht="11.25" customHeight="1" x14ac:dyDescent="0.25">
      <c r="A607" s="4" t="s">
        <v>21</v>
      </c>
      <c r="B607" s="4" t="s">
        <v>35</v>
      </c>
      <c r="C607" s="4" t="s">
        <v>44</v>
      </c>
      <c r="D607" s="4" t="s">
        <v>47</v>
      </c>
      <c r="E607" s="4" t="s">
        <v>25</v>
      </c>
      <c r="F607" s="4" t="s">
        <v>25</v>
      </c>
      <c r="G607" s="4" t="s">
        <v>25</v>
      </c>
      <c r="H607" s="4" t="s">
        <v>38</v>
      </c>
      <c r="I607" s="5">
        <v>44136</v>
      </c>
      <c r="J607" s="6">
        <v>173</v>
      </c>
      <c r="K607" s="77">
        <v>173</v>
      </c>
      <c r="L607" s="6">
        <v>37.149000000000001</v>
      </c>
      <c r="M607" s="77">
        <v>37.149000000000001</v>
      </c>
      <c r="N607" s="6">
        <v>37.149000000000001</v>
      </c>
      <c r="O607" s="77">
        <v>37.149000000000001</v>
      </c>
      <c r="P607" s="6">
        <v>0</v>
      </c>
      <c r="Q607" s="4" t="s">
        <v>26</v>
      </c>
      <c r="R607" s="4">
        <v>0</v>
      </c>
      <c r="S607" s="6">
        <v>29</v>
      </c>
      <c r="T607" s="6">
        <v>30</v>
      </c>
      <c r="U607" s="6">
        <v>67</v>
      </c>
      <c r="V607" s="77">
        <f>IF(ISERROR(VLOOKUP($S$607,'TAR FIN'!$A$1:$O$95,15,0)),0,VLOOKUP($S$607,'TAR FIN'!$A$1:$O$95,15,0))*(1-0.06)</f>
        <v>26.855799999999999</v>
      </c>
      <c r="W607" s="77">
        <f>IF(ISERROR(VLOOKUP($T$607,'TAR FIN'!$A$1:$O$95,15,0)),0,VLOOKUP($T$607,'TAR FIN'!$A$1:$O$95,15,0))*(1-0.06)</f>
        <v>140.65219999999999</v>
      </c>
      <c r="X607" s="77">
        <f>IF(ISERROR(VLOOKUP($U$607,'TAR FIN'!$A$1:$O$95,15,0)),0,VLOOKUP($U$607,'TAR FIN'!$A$1:$O$95,15,0))*(1-0.06)</f>
        <v>216.22819999999999</v>
      </c>
      <c r="Y607" s="77">
        <f ca="1">('TUSD BE'!$AM$11+'TUSD BF'!$AM$11+'TUSD CVA'!$AM$11)*1*(1-0.04)</f>
        <v>30.653416196860647</v>
      </c>
      <c r="Z607" s="77">
        <f ca="1">('TUSD BE'!$AM$12+'TUSD BF'!$AM$12+'TUSD CVA'!$AM$12)*1*(1-0.04)</f>
        <v>161.7728460762047</v>
      </c>
      <c r="AA607" s="77">
        <f>('TE BE'!$AA$8+'TE BF'!$AA$8+'TE CVA'!$AA$8)*1*(1-0.04)</f>
        <v>271.60070372834122</v>
      </c>
      <c r="AB607" s="6">
        <f>$K$607*$V$607</f>
        <v>4646.0533999999998</v>
      </c>
      <c r="AC607" s="6">
        <f>$M$607*$W$607</f>
        <v>5225.0885778000002</v>
      </c>
      <c r="AD607" s="6">
        <f>$O$607*$X$607</f>
        <v>8032.6614018</v>
      </c>
      <c r="AE607" s="6">
        <f ca="1">$K$607*$Y$607</f>
        <v>5303.0410020568916</v>
      </c>
      <c r="AF607" s="6">
        <f ca="1">$M$607*$Z$607</f>
        <v>6009.6994588849284</v>
      </c>
      <c r="AG607" s="6">
        <f>$O$607*$AA$607</f>
        <v>10089.694542804147</v>
      </c>
    </row>
    <row r="608" spans="1:33" ht="11.25" customHeight="1" x14ac:dyDescent="0.25">
      <c r="A608" s="4" t="s">
        <v>28</v>
      </c>
      <c r="B608" s="4" t="s">
        <v>35</v>
      </c>
      <c r="C608" s="4" t="s">
        <v>44</v>
      </c>
      <c r="D608" s="4" t="s">
        <v>47</v>
      </c>
      <c r="E608" s="4" t="s">
        <v>25</v>
      </c>
      <c r="F608" s="4" t="s">
        <v>25</v>
      </c>
      <c r="G608" s="4" t="s">
        <v>25</v>
      </c>
      <c r="H608" s="4" t="s">
        <v>38</v>
      </c>
      <c r="I608" s="5">
        <v>44136</v>
      </c>
      <c r="J608" s="6">
        <v>768</v>
      </c>
      <c r="K608" s="77">
        <v>768</v>
      </c>
      <c r="L608" s="6">
        <v>173.52</v>
      </c>
      <c r="M608" s="77">
        <v>173.52</v>
      </c>
      <c r="N608" s="6">
        <v>173.52</v>
      </c>
      <c r="O608" s="77">
        <v>173.52</v>
      </c>
      <c r="P608" s="6">
        <v>0</v>
      </c>
      <c r="Q608" s="4" t="s">
        <v>26</v>
      </c>
      <c r="R608" s="4">
        <v>0</v>
      </c>
      <c r="S608" s="6">
        <v>29</v>
      </c>
      <c r="T608" s="6">
        <v>30</v>
      </c>
      <c r="U608" s="6">
        <v>67</v>
      </c>
      <c r="V608" s="77">
        <f>IF(ISERROR(VLOOKUP($S$608,'TAR FIN'!$A$1:$O$95,15,0)),0,VLOOKUP($S$608,'TAR FIN'!$A$1:$O$95,15,0))*(1-0.06)</f>
        <v>26.855799999999999</v>
      </c>
      <c r="W608" s="77">
        <f>IF(ISERROR(VLOOKUP($T$608,'TAR FIN'!$A$1:$O$95,15,0)),0,VLOOKUP($T$608,'TAR FIN'!$A$1:$O$95,15,0))*(1-0.06)</f>
        <v>140.65219999999999</v>
      </c>
      <c r="X608" s="77">
        <f>IF(ISERROR(VLOOKUP($U$608,'TAR FIN'!$A$1:$O$95,15,0)),0,VLOOKUP($U$608,'TAR FIN'!$A$1:$O$95,15,0))*(1-0.06)</f>
        <v>216.22819999999999</v>
      </c>
      <c r="Y608" s="77">
        <f ca="1">('TUSD BE'!$AM$11+'TUSD BF'!$AM$11+'TUSD CVA'!$AM$11)*1*(1-0.04)</f>
        <v>30.653416196860647</v>
      </c>
      <c r="Z608" s="77">
        <f ca="1">('TUSD BE'!$AM$12+'TUSD BF'!$AM$12+'TUSD CVA'!$AM$12)*1*(1-0.04)</f>
        <v>161.7728460762047</v>
      </c>
      <c r="AA608" s="77">
        <f>('TE BE'!$AA$8+'TE BF'!$AA$8+'TE CVA'!$AA$8)*1*(1-0.04)</f>
        <v>271.60070372834122</v>
      </c>
      <c r="AB608" s="6">
        <f>$K$608*$V$608</f>
        <v>20625.254399999998</v>
      </c>
      <c r="AC608" s="6">
        <f>$M$608*$W$608</f>
        <v>24405.969744000002</v>
      </c>
      <c r="AD608" s="6">
        <f>$O$608*$X$608</f>
        <v>37519.917264000003</v>
      </c>
      <c r="AE608" s="6">
        <f ca="1">$K$608*$Y$608</f>
        <v>23541.823639188977</v>
      </c>
      <c r="AF608" s="6">
        <f ca="1">$M$608*$Z$608</f>
        <v>28070.82425114304</v>
      </c>
      <c r="AG608" s="6">
        <f>$O$608*$AA$608</f>
        <v>47128.154110941774</v>
      </c>
    </row>
    <row r="609" spans="1:33" ht="11.25" customHeight="1" x14ac:dyDescent="0.25">
      <c r="A609" s="4" t="s">
        <v>21</v>
      </c>
      <c r="B609" s="4" t="s">
        <v>35</v>
      </c>
      <c r="C609" s="4" t="s">
        <v>44</v>
      </c>
      <c r="D609" s="4" t="s">
        <v>47</v>
      </c>
      <c r="E609" s="4" t="s">
        <v>25</v>
      </c>
      <c r="F609" s="4" t="s">
        <v>25</v>
      </c>
      <c r="G609" s="4" t="s">
        <v>25</v>
      </c>
      <c r="H609" s="4" t="s">
        <v>38</v>
      </c>
      <c r="I609" s="5">
        <v>44166</v>
      </c>
      <c r="J609" s="6">
        <v>190</v>
      </c>
      <c r="K609" s="77">
        <v>190</v>
      </c>
      <c r="L609" s="6">
        <v>41.014000000000003</v>
      </c>
      <c r="M609" s="77">
        <v>41.014000000000003</v>
      </c>
      <c r="N609" s="6">
        <v>41.014000000000003</v>
      </c>
      <c r="O609" s="77">
        <v>41.014000000000003</v>
      </c>
      <c r="P609" s="6">
        <v>0</v>
      </c>
      <c r="Q609" s="4" t="s">
        <v>26</v>
      </c>
      <c r="R609" s="4">
        <v>0</v>
      </c>
      <c r="S609" s="6">
        <v>29</v>
      </c>
      <c r="T609" s="6">
        <v>30</v>
      </c>
      <c r="U609" s="6">
        <v>67</v>
      </c>
      <c r="V609" s="77">
        <f>IF(ISERROR(VLOOKUP($S$609,'TAR FIN'!$A$1:$O$95,15,0)),0,VLOOKUP($S$609,'TAR FIN'!$A$1:$O$95,15,0))*(1-0.06)</f>
        <v>26.855799999999999</v>
      </c>
      <c r="W609" s="77">
        <f>IF(ISERROR(VLOOKUP($T$609,'TAR FIN'!$A$1:$O$95,15,0)),0,VLOOKUP($T$609,'TAR FIN'!$A$1:$O$95,15,0))*(1-0.06)</f>
        <v>140.65219999999999</v>
      </c>
      <c r="X609" s="77">
        <f>IF(ISERROR(VLOOKUP($U$609,'TAR FIN'!$A$1:$O$95,15,0)),0,VLOOKUP($U$609,'TAR FIN'!$A$1:$O$95,15,0))*(1-0.06)</f>
        <v>216.22819999999999</v>
      </c>
      <c r="Y609" s="77">
        <f ca="1">('TUSD BE'!$AM$11+'TUSD BF'!$AM$11+'TUSD CVA'!$AM$11)*1*(1-0.04)</f>
        <v>30.653416196860647</v>
      </c>
      <c r="Z609" s="77">
        <f ca="1">('TUSD BE'!$AM$12+'TUSD BF'!$AM$12+'TUSD CVA'!$AM$12)*1*(1-0.04)</f>
        <v>161.7728460762047</v>
      </c>
      <c r="AA609" s="77">
        <f>('TE BE'!$AA$8+'TE BF'!$AA$8+'TE CVA'!$AA$8)*1*(1-0.04)</f>
        <v>271.60070372834122</v>
      </c>
      <c r="AB609" s="6">
        <f>$K$609*$V$609</f>
        <v>5102.6019999999999</v>
      </c>
      <c r="AC609" s="6">
        <f>$M$609*$W$609</f>
        <v>5768.7093308000003</v>
      </c>
      <c r="AD609" s="6">
        <f>$O$609*$X$609</f>
        <v>8868.3833947999992</v>
      </c>
      <c r="AE609" s="6">
        <f ca="1">$K$609*$Y$609</f>
        <v>5824.1490774035228</v>
      </c>
      <c r="AF609" s="6">
        <f ca="1">$M$609*$Z$609</f>
        <v>6634.9515089694596</v>
      </c>
      <c r="AG609" s="6">
        <f>$O$609*$AA$609</f>
        <v>11139.431262714188</v>
      </c>
    </row>
    <row r="610" spans="1:33" ht="11.25" customHeight="1" x14ac:dyDescent="0.25">
      <c r="A610" s="4" t="s">
        <v>28</v>
      </c>
      <c r="B610" s="4" t="s">
        <v>35</v>
      </c>
      <c r="C610" s="4" t="s">
        <v>44</v>
      </c>
      <c r="D610" s="4" t="s">
        <v>47</v>
      </c>
      <c r="E610" s="4" t="s">
        <v>25</v>
      </c>
      <c r="F610" s="4" t="s">
        <v>25</v>
      </c>
      <c r="G610" s="4" t="s">
        <v>25</v>
      </c>
      <c r="H610" s="4" t="s">
        <v>38</v>
      </c>
      <c r="I610" s="5">
        <v>44166</v>
      </c>
      <c r="J610" s="6">
        <v>722</v>
      </c>
      <c r="K610" s="77">
        <v>722</v>
      </c>
      <c r="L610" s="6">
        <v>136.32</v>
      </c>
      <c r="M610" s="77">
        <v>136.32</v>
      </c>
      <c r="N610" s="6">
        <v>136.32</v>
      </c>
      <c r="O610" s="77">
        <v>136.32</v>
      </c>
      <c r="P610" s="6">
        <v>0</v>
      </c>
      <c r="Q610" s="4" t="s">
        <v>26</v>
      </c>
      <c r="R610" s="4">
        <v>0</v>
      </c>
      <c r="S610" s="6">
        <v>29</v>
      </c>
      <c r="T610" s="6">
        <v>30</v>
      </c>
      <c r="U610" s="6">
        <v>67</v>
      </c>
      <c r="V610" s="77">
        <f>IF(ISERROR(VLOOKUP($S$610,'TAR FIN'!$A$1:$O$95,15,0)),0,VLOOKUP($S$610,'TAR FIN'!$A$1:$O$95,15,0))*(1-0.06)</f>
        <v>26.855799999999999</v>
      </c>
      <c r="W610" s="77">
        <f>IF(ISERROR(VLOOKUP($T$610,'TAR FIN'!$A$1:$O$95,15,0)),0,VLOOKUP($T$610,'TAR FIN'!$A$1:$O$95,15,0))*(1-0.06)</f>
        <v>140.65219999999999</v>
      </c>
      <c r="X610" s="77">
        <f>IF(ISERROR(VLOOKUP($U$610,'TAR FIN'!$A$1:$O$95,15,0)),0,VLOOKUP($U$610,'TAR FIN'!$A$1:$O$95,15,0))*(1-0.06)</f>
        <v>216.22819999999999</v>
      </c>
      <c r="Y610" s="77">
        <f ca="1">('TUSD BE'!$AM$11+'TUSD BF'!$AM$11+'TUSD CVA'!$AM$11)*1*(1-0.04)</f>
        <v>30.653416196860647</v>
      </c>
      <c r="Z610" s="77">
        <f ca="1">('TUSD BE'!$AM$12+'TUSD BF'!$AM$12+'TUSD CVA'!$AM$12)*1*(1-0.04)</f>
        <v>161.7728460762047</v>
      </c>
      <c r="AA610" s="77">
        <f>('TE BE'!$AA$8+'TE BF'!$AA$8+'TE CVA'!$AA$8)*1*(1-0.04)</f>
        <v>271.60070372834122</v>
      </c>
      <c r="AB610" s="6">
        <f>$K$610*$V$610</f>
        <v>19389.887599999998</v>
      </c>
      <c r="AC610" s="6">
        <f>$M$610*$W$610</f>
        <v>19173.707903999999</v>
      </c>
      <c r="AD610" s="6">
        <f>$O$610*$X$610</f>
        <v>29476.228223999995</v>
      </c>
      <c r="AE610" s="6">
        <f ca="1">$K$610*$Y$610</f>
        <v>22131.766494133386</v>
      </c>
      <c r="AF610" s="6">
        <f ca="1">$M$610*$Z$610</f>
        <v>22052.874377108223</v>
      </c>
      <c r="AG610" s="6">
        <f>$O$610*$AA$610</f>
        <v>37024.607932247476</v>
      </c>
    </row>
    <row r="611" spans="1:33" ht="11.25" customHeight="1" x14ac:dyDescent="0.25">
      <c r="A611" s="4" t="s">
        <v>21</v>
      </c>
      <c r="B611" s="4" t="s">
        <v>35</v>
      </c>
      <c r="C611" s="4" t="s">
        <v>44</v>
      </c>
      <c r="D611" s="4" t="s">
        <v>47</v>
      </c>
      <c r="E611" s="4" t="s">
        <v>25</v>
      </c>
      <c r="F611" s="4" t="s">
        <v>25</v>
      </c>
      <c r="G611" s="4" t="s">
        <v>25</v>
      </c>
      <c r="H611" s="4" t="s">
        <v>38</v>
      </c>
      <c r="I611" s="5">
        <v>44197</v>
      </c>
      <c r="J611" s="6">
        <v>191</v>
      </c>
      <c r="K611" s="77">
        <v>191</v>
      </c>
      <c r="L611" s="6">
        <v>40.171999999999997</v>
      </c>
      <c r="M611" s="77">
        <v>40.171999999999997</v>
      </c>
      <c r="N611" s="6">
        <v>40.171999999999997</v>
      </c>
      <c r="O611" s="77">
        <v>40.171999999999997</v>
      </c>
      <c r="P611" s="6">
        <v>0</v>
      </c>
      <c r="Q611" s="4" t="s">
        <v>26</v>
      </c>
      <c r="R611" s="4">
        <v>0</v>
      </c>
      <c r="S611" s="6">
        <v>29</v>
      </c>
      <c r="T611" s="6">
        <v>30</v>
      </c>
      <c r="U611" s="6">
        <v>67</v>
      </c>
      <c r="V611" s="77">
        <f>IF(ISERROR(VLOOKUP($S$611,'TAR FIN'!$A$1:$O$95,15,0)),0,VLOOKUP($S$611,'TAR FIN'!$A$1:$O$95,15,0))*(1-0.06)</f>
        <v>26.855799999999999</v>
      </c>
      <c r="W611" s="77">
        <f>IF(ISERROR(VLOOKUP($T$611,'TAR FIN'!$A$1:$O$95,15,0)),0,VLOOKUP($T$611,'TAR FIN'!$A$1:$O$95,15,0))*(1-0.06)</f>
        <v>140.65219999999999</v>
      </c>
      <c r="X611" s="77">
        <f>IF(ISERROR(VLOOKUP($U$611,'TAR FIN'!$A$1:$O$95,15,0)),0,VLOOKUP($U$611,'TAR FIN'!$A$1:$O$95,15,0))*(1-0.06)</f>
        <v>216.22819999999999</v>
      </c>
      <c r="Y611" s="77">
        <f ca="1">('TUSD BE'!$AM$11+'TUSD BF'!$AM$11+'TUSD CVA'!$AM$11)*1*(1-0.04)</f>
        <v>30.653416196860647</v>
      </c>
      <c r="Z611" s="77">
        <f ca="1">('TUSD BE'!$AM$12+'TUSD BF'!$AM$12+'TUSD CVA'!$AM$12)*1*(1-0.04)</f>
        <v>161.7728460762047</v>
      </c>
      <c r="AA611" s="77">
        <f>('TE BE'!$AA$8+'TE BF'!$AA$8+'TE CVA'!$AA$8)*1*(1-0.04)</f>
        <v>271.60070372834122</v>
      </c>
      <c r="AB611" s="6">
        <f>$K$611*$V$611</f>
        <v>5129.4578000000001</v>
      </c>
      <c r="AC611" s="6">
        <f>$M$611*$W$611</f>
        <v>5650.2801783999994</v>
      </c>
      <c r="AD611" s="6">
        <f>$O$611*$X$611</f>
        <v>8686.3192503999981</v>
      </c>
      <c r="AE611" s="6">
        <f ca="1">$K$611*$Y$611</f>
        <v>5854.802493600384</v>
      </c>
      <c r="AF611" s="6">
        <f ca="1">$M$611*$Z$611</f>
        <v>6498.7387725732951</v>
      </c>
      <c r="AG611" s="6">
        <f>$O$611*$AA$611</f>
        <v>10910.743470174923</v>
      </c>
    </row>
    <row r="612" spans="1:33" ht="11.25" customHeight="1" x14ac:dyDescent="0.25">
      <c r="A612" s="4" t="s">
        <v>28</v>
      </c>
      <c r="B612" s="4" t="s">
        <v>35</v>
      </c>
      <c r="C612" s="4" t="s">
        <v>44</v>
      </c>
      <c r="D612" s="4" t="s">
        <v>47</v>
      </c>
      <c r="E612" s="4" t="s">
        <v>25</v>
      </c>
      <c r="F612" s="4" t="s">
        <v>25</v>
      </c>
      <c r="G612" s="4" t="s">
        <v>25</v>
      </c>
      <c r="H612" s="4" t="s">
        <v>38</v>
      </c>
      <c r="I612" s="5">
        <v>44197</v>
      </c>
      <c r="J612" s="6">
        <v>720</v>
      </c>
      <c r="K612" s="77">
        <v>720</v>
      </c>
      <c r="L612" s="6">
        <v>147.6</v>
      </c>
      <c r="M612" s="77">
        <v>147.6</v>
      </c>
      <c r="N612" s="6">
        <v>147.6</v>
      </c>
      <c r="O612" s="77">
        <v>147.6</v>
      </c>
      <c r="P612" s="6">
        <v>0</v>
      </c>
      <c r="Q612" s="4" t="s">
        <v>26</v>
      </c>
      <c r="R612" s="4">
        <v>0</v>
      </c>
      <c r="S612" s="6">
        <v>29</v>
      </c>
      <c r="T612" s="6">
        <v>30</v>
      </c>
      <c r="U612" s="6">
        <v>67</v>
      </c>
      <c r="V612" s="77">
        <f>IF(ISERROR(VLOOKUP($S$612,'TAR FIN'!$A$1:$O$95,15,0)),0,VLOOKUP($S$612,'TAR FIN'!$A$1:$O$95,15,0))*(1-0.06)</f>
        <v>26.855799999999999</v>
      </c>
      <c r="W612" s="77">
        <f>IF(ISERROR(VLOOKUP($T$612,'TAR FIN'!$A$1:$O$95,15,0)),0,VLOOKUP($T$612,'TAR FIN'!$A$1:$O$95,15,0))*(1-0.06)</f>
        <v>140.65219999999999</v>
      </c>
      <c r="X612" s="77">
        <f>IF(ISERROR(VLOOKUP($U$612,'TAR FIN'!$A$1:$O$95,15,0)),0,VLOOKUP($U$612,'TAR FIN'!$A$1:$O$95,15,0))*(1-0.06)</f>
        <v>216.22819999999999</v>
      </c>
      <c r="Y612" s="77">
        <f ca="1">('TUSD BE'!$AM$11+'TUSD BF'!$AM$11+'TUSD CVA'!$AM$11)*1*(1-0.04)</f>
        <v>30.653416196860647</v>
      </c>
      <c r="Z612" s="77">
        <f ca="1">('TUSD BE'!$AM$12+'TUSD BF'!$AM$12+'TUSD CVA'!$AM$12)*1*(1-0.04)</f>
        <v>161.7728460762047</v>
      </c>
      <c r="AA612" s="77">
        <f>('TE BE'!$AA$8+'TE BF'!$AA$8+'TE CVA'!$AA$8)*1*(1-0.04)</f>
        <v>271.60070372834122</v>
      </c>
      <c r="AB612" s="6">
        <f>$K$612*$V$612</f>
        <v>19336.175999999999</v>
      </c>
      <c r="AC612" s="6">
        <f>$M$612*$W$612</f>
        <v>20760.264719999999</v>
      </c>
      <c r="AD612" s="6">
        <f>$O$612*$X$612</f>
        <v>31915.282319999998</v>
      </c>
      <c r="AE612" s="6">
        <f ca="1">$K$612*$Y$612</f>
        <v>22070.459661739667</v>
      </c>
      <c r="AF612" s="6">
        <f ca="1">$M$612*$Z$612</f>
        <v>23877.672080847813</v>
      </c>
      <c r="AG612" s="6">
        <f>$O$612*$AA$612</f>
        <v>40088.263870303163</v>
      </c>
    </row>
    <row r="613" spans="1:33" ht="11.25" customHeight="1" x14ac:dyDescent="0.25">
      <c r="A613" s="4" t="s">
        <v>21</v>
      </c>
      <c r="B613" s="4" t="s">
        <v>35</v>
      </c>
      <c r="C613" s="4" t="s">
        <v>44</v>
      </c>
      <c r="D613" s="4" t="s">
        <v>47</v>
      </c>
      <c r="E613" s="4" t="s">
        <v>25</v>
      </c>
      <c r="F613" s="4" t="s">
        <v>25</v>
      </c>
      <c r="G613" s="4" t="s">
        <v>25</v>
      </c>
      <c r="H613" s="4" t="s">
        <v>38</v>
      </c>
      <c r="I613" s="5">
        <v>44228</v>
      </c>
      <c r="J613" s="6">
        <v>182</v>
      </c>
      <c r="K613" s="77">
        <v>182</v>
      </c>
      <c r="L613" s="6">
        <v>44.427999999999997</v>
      </c>
      <c r="M613" s="77">
        <v>44.427999999999997</v>
      </c>
      <c r="N613" s="6">
        <v>44.427999999999997</v>
      </c>
      <c r="O613" s="77">
        <v>44.427999999999997</v>
      </c>
      <c r="P613" s="6">
        <v>0</v>
      </c>
      <c r="Q613" s="4" t="s">
        <v>26</v>
      </c>
      <c r="R613" s="4">
        <v>0</v>
      </c>
      <c r="S613" s="6">
        <v>29</v>
      </c>
      <c r="T613" s="6">
        <v>30</v>
      </c>
      <c r="U613" s="6">
        <v>67</v>
      </c>
      <c r="V613" s="77">
        <f>IF(ISERROR(VLOOKUP($S$613,'TAR FIN'!$A$1:$O$95,15,0)),0,VLOOKUP($S$613,'TAR FIN'!$A$1:$O$95,15,0))*(1-0.06)</f>
        <v>26.855799999999999</v>
      </c>
      <c r="W613" s="77">
        <f>IF(ISERROR(VLOOKUP($T$613,'TAR FIN'!$A$1:$O$95,15,0)),0,VLOOKUP($T$613,'TAR FIN'!$A$1:$O$95,15,0))*(1-0.06)</f>
        <v>140.65219999999999</v>
      </c>
      <c r="X613" s="77">
        <f>IF(ISERROR(VLOOKUP($U$613,'TAR FIN'!$A$1:$O$95,15,0)),0,VLOOKUP($U$613,'TAR FIN'!$A$1:$O$95,15,0))*(1-0.06)</f>
        <v>216.22819999999999</v>
      </c>
      <c r="Y613" s="77">
        <f ca="1">('TUSD BE'!$AM$11+'TUSD BF'!$AM$11+'TUSD CVA'!$AM$11)*1*(1-0.04)</f>
        <v>30.653416196860647</v>
      </c>
      <c r="Z613" s="77">
        <f ca="1">('TUSD BE'!$AM$12+'TUSD BF'!$AM$12+'TUSD CVA'!$AM$12)*1*(1-0.04)</f>
        <v>161.7728460762047</v>
      </c>
      <c r="AA613" s="77">
        <f>('TE BE'!$AA$8+'TE BF'!$AA$8+'TE CVA'!$AA$8)*1*(1-0.04)</f>
        <v>271.60070372834122</v>
      </c>
      <c r="AB613" s="6">
        <f>$K$613*$V$613</f>
        <v>4887.7555999999995</v>
      </c>
      <c r="AC613" s="6">
        <f>$M$613*$W$613</f>
        <v>6248.8959415999989</v>
      </c>
      <c r="AD613" s="6">
        <f>$O$613*$X$613</f>
        <v>9606.586469599999</v>
      </c>
      <c r="AE613" s="6">
        <f ca="1">$K$613*$Y$613</f>
        <v>5578.9217478286373</v>
      </c>
      <c r="AF613" s="6">
        <f ca="1">$M$613*$Z$613</f>
        <v>7187.2440054736217</v>
      </c>
      <c r="AG613" s="6">
        <f>$O$613*$AA$613</f>
        <v>12066.676065242742</v>
      </c>
    </row>
    <row r="614" spans="1:33" ht="11.25" customHeight="1" x14ac:dyDescent="0.25">
      <c r="A614" s="4" t="s">
        <v>28</v>
      </c>
      <c r="B614" s="4" t="s">
        <v>35</v>
      </c>
      <c r="C614" s="4" t="s">
        <v>44</v>
      </c>
      <c r="D614" s="4" t="s">
        <v>47</v>
      </c>
      <c r="E614" s="4" t="s">
        <v>25</v>
      </c>
      <c r="F614" s="4" t="s">
        <v>25</v>
      </c>
      <c r="G614" s="4" t="s">
        <v>25</v>
      </c>
      <c r="H614" s="4" t="s">
        <v>38</v>
      </c>
      <c r="I614" s="5">
        <v>44228</v>
      </c>
      <c r="J614" s="6">
        <v>705</v>
      </c>
      <c r="K614" s="77">
        <v>705</v>
      </c>
      <c r="L614" s="6">
        <v>154.696</v>
      </c>
      <c r="M614" s="77">
        <v>154.696</v>
      </c>
      <c r="N614" s="6">
        <v>154.696</v>
      </c>
      <c r="O614" s="77">
        <v>154.696</v>
      </c>
      <c r="P614" s="6">
        <v>0</v>
      </c>
      <c r="Q614" s="4" t="s">
        <v>26</v>
      </c>
      <c r="R614" s="4">
        <v>0</v>
      </c>
      <c r="S614" s="6">
        <v>29</v>
      </c>
      <c r="T614" s="6">
        <v>30</v>
      </c>
      <c r="U614" s="6">
        <v>67</v>
      </c>
      <c r="V614" s="77">
        <f>IF(ISERROR(VLOOKUP($S$614,'TAR FIN'!$A$1:$O$95,15,0)),0,VLOOKUP($S$614,'TAR FIN'!$A$1:$O$95,15,0))*(1-0.06)</f>
        <v>26.855799999999999</v>
      </c>
      <c r="W614" s="77">
        <f>IF(ISERROR(VLOOKUP($T$614,'TAR FIN'!$A$1:$O$95,15,0)),0,VLOOKUP($T$614,'TAR FIN'!$A$1:$O$95,15,0))*(1-0.06)</f>
        <v>140.65219999999999</v>
      </c>
      <c r="X614" s="77">
        <f>IF(ISERROR(VLOOKUP($U$614,'TAR FIN'!$A$1:$O$95,15,0)),0,VLOOKUP($U$614,'TAR FIN'!$A$1:$O$95,15,0))*(1-0.06)</f>
        <v>216.22819999999999</v>
      </c>
      <c r="Y614" s="77">
        <f ca="1">('TUSD BE'!$AM$11+'TUSD BF'!$AM$11+'TUSD CVA'!$AM$11)*1*(1-0.04)</f>
        <v>30.653416196860647</v>
      </c>
      <c r="Z614" s="77">
        <f ca="1">('TUSD BE'!$AM$12+'TUSD BF'!$AM$12+'TUSD CVA'!$AM$12)*1*(1-0.04)</f>
        <v>161.7728460762047</v>
      </c>
      <c r="AA614" s="77">
        <f>('TE BE'!$AA$8+'TE BF'!$AA$8+'TE CVA'!$AA$8)*1*(1-0.04)</f>
        <v>271.60070372834122</v>
      </c>
      <c r="AB614" s="6">
        <f>$K$614*$V$614</f>
        <v>18933.339</v>
      </c>
      <c r="AC614" s="6">
        <f>$M$614*$W$614</f>
        <v>21758.3327312</v>
      </c>
      <c r="AD614" s="6">
        <f>$O$614*$X$614</f>
        <v>33449.637627199998</v>
      </c>
      <c r="AE614" s="6">
        <f ca="1">$K$614*$Y$614</f>
        <v>21610.658418786756</v>
      </c>
      <c r="AF614" s="6">
        <f ca="1">$M$614*$Z$614</f>
        <v>25025.612196604561</v>
      </c>
      <c r="AG614" s="6">
        <f>$O$614*$AA$614</f>
        <v>42015.542463959471</v>
      </c>
    </row>
    <row r="615" spans="1:33" ht="11.25" customHeight="1" x14ac:dyDescent="0.25">
      <c r="A615" s="4" t="s">
        <v>21</v>
      </c>
      <c r="B615" s="4" t="s">
        <v>35</v>
      </c>
      <c r="C615" s="4" t="s">
        <v>44</v>
      </c>
      <c r="D615" s="4" t="s">
        <v>47</v>
      </c>
      <c r="E615" s="4" t="s">
        <v>25</v>
      </c>
      <c r="F615" s="4" t="s">
        <v>25</v>
      </c>
      <c r="G615" s="4" t="s">
        <v>25</v>
      </c>
      <c r="H615" s="4" t="s">
        <v>38</v>
      </c>
      <c r="I615" s="5">
        <v>44256</v>
      </c>
      <c r="J615" s="6">
        <v>173</v>
      </c>
      <c r="K615" s="77">
        <v>173</v>
      </c>
      <c r="L615" s="6">
        <v>40.174999999999997</v>
      </c>
      <c r="M615" s="77">
        <v>40.174999999999997</v>
      </c>
      <c r="N615" s="6">
        <v>40.174999999999997</v>
      </c>
      <c r="O615" s="77">
        <v>40.174999999999997</v>
      </c>
      <c r="P615" s="6">
        <v>0</v>
      </c>
      <c r="Q615" s="4" t="s">
        <v>26</v>
      </c>
      <c r="R615" s="4">
        <v>0</v>
      </c>
      <c r="S615" s="6">
        <v>29</v>
      </c>
      <c r="T615" s="6">
        <v>30</v>
      </c>
      <c r="U615" s="6">
        <v>67</v>
      </c>
      <c r="V615" s="77">
        <f>IF(ISERROR(VLOOKUP($S$615,'TAR FIN'!$A$1:$O$95,15,0)),0,VLOOKUP($S$615,'TAR FIN'!$A$1:$O$95,15,0))*(1-0.06)</f>
        <v>26.855799999999999</v>
      </c>
      <c r="W615" s="77">
        <f>IF(ISERROR(VLOOKUP($T$615,'TAR FIN'!$A$1:$O$95,15,0)),0,VLOOKUP($T$615,'TAR FIN'!$A$1:$O$95,15,0))*(1-0.06)</f>
        <v>140.65219999999999</v>
      </c>
      <c r="X615" s="77">
        <f>IF(ISERROR(VLOOKUP($U$615,'TAR FIN'!$A$1:$O$95,15,0)),0,VLOOKUP($U$615,'TAR FIN'!$A$1:$O$95,15,0))*(1-0.06)</f>
        <v>216.22819999999999</v>
      </c>
      <c r="Y615" s="77">
        <f ca="1">('TUSD BE'!$AM$11+'TUSD BF'!$AM$11+'TUSD CVA'!$AM$11)*1*(1-0.04)</f>
        <v>30.653416196860647</v>
      </c>
      <c r="Z615" s="77">
        <f ca="1">('TUSD BE'!$AM$12+'TUSD BF'!$AM$12+'TUSD CVA'!$AM$12)*1*(1-0.04)</f>
        <v>161.7728460762047</v>
      </c>
      <c r="AA615" s="77">
        <f>('TE BE'!$AA$8+'TE BF'!$AA$8+'TE CVA'!$AA$8)*1*(1-0.04)</f>
        <v>271.60070372834122</v>
      </c>
      <c r="AB615" s="6">
        <f>$K$615*$V$615</f>
        <v>4646.0533999999998</v>
      </c>
      <c r="AC615" s="6">
        <f>$M$615*$W$615</f>
        <v>5650.7021349999995</v>
      </c>
      <c r="AD615" s="6">
        <f>$O$615*$X$615</f>
        <v>8686.9679349999988</v>
      </c>
      <c r="AE615" s="6">
        <f ca="1">$K$615*$Y$615</f>
        <v>5303.0410020568916</v>
      </c>
      <c r="AF615" s="6">
        <f ca="1">$M$615*$Z$615</f>
        <v>6499.2240911115232</v>
      </c>
      <c r="AG615" s="6">
        <f>$O$615*$AA$615</f>
        <v>10911.558272286107</v>
      </c>
    </row>
    <row r="616" spans="1:33" ht="11.25" customHeight="1" x14ac:dyDescent="0.25">
      <c r="A616" s="4" t="s">
        <v>28</v>
      </c>
      <c r="B616" s="4" t="s">
        <v>35</v>
      </c>
      <c r="C616" s="4" t="s">
        <v>44</v>
      </c>
      <c r="D616" s="4" t="s">
        <v>47</v>
      </c>
      <c r="E616" s="4" t="s">
        <v>25</v>
      </c>
      <c r="F616" s="4" t="s">
        <v>25</v>
      </c>
      <c r="G616" s="4" t="s">
        <v>25</v>
      </c>
      <c r="H616" s="4" t="s">
        <v>38</v>
      </c>
      <c r="I616" s="5">
        <v>44256</v>
      </c>
      <c r="J616" s="6">
        <v>718</v>
      </c>
      <c r="K616" s="77">
        <v>718</v>
      </c>
      <c r="L616" s="6">
        <v>172.09200000000001</v>
      </c>
      <c r="M616" s="77">
        <v>172.09200000000001</v>
      </c>
      <c r="N616" s="6">
        <v>172.09200000000001</v>
      </c>
      <c r="O616" s="77">
        <v>172.09200000000001</v>
      </c>
      <c r="P616" s="6">
        <v>0</v>
      </c>
      <c r="Q616" s="4" t="s">
        <v>26</v>
      </c>
      <c r="R616" s="4">
        <v>0</v>
      </c>
      <c r="S616" s="6">
        <v>29</v>
      </c>
      <c r="T616" s="6">
        <v>30</v>
      </c>
      <c r="U616" s="6">
        <v>67</v>
      </c>
      <c r="V616" s="77">
        <f>IF(ISERROR(VLOOKUP($S$616,'TAR FIN'!$A$1:$O$95,15,0)),0,VLOOKUP($S$616,'TAR FIN'!$A$1:$O$95,15,0))*(1-0.06)</f>
        <v>26.855799999999999</v>
      </c>
      <c r="W616" s="77">
        <f>IF(ISERROR(VLOOKUP($T$616,'TAR FIN'!$A$1:$O$95,15,0)),0,VLOOKUP($T$616,'TAR FIN'!$A$1:$O$95,15,0))*(1-0.06)</f>
        <v>140.65219999999999</v>
      </c>
      <c r="X616" s="77">
        <f>IF(ISERROR(VLOOKUP($U$616,'TAR FIN'!$A$1:$O$95,15,0)),0,VLOOKUP($U$616,'TAR FIN'!$A$1:$O$95,15,0))*(1-0.06)</f>
        <v>216.22819999999999</v>
      </c>
      <c r="Y616" s="77">
        <f ca="1">('TUSD BE'!$AM$11+'TUSD BF'!$AM$11+'TUSD CVA'!$AM$11)*1*(1-0.04)</f>
        <v>30.653416196860647</v>
      </c>
      <c r="Z616" s="77">
        <f ca="1">('TUSD BE'!$AM$12+'TUSD BF'!$AM$12+'TUSD CVA'!$AM$12)*1*(1-0.04)</f>
        <v>161.7728460762047</v>
      </c>
      <c r="AA616" s="77">
        <f>('TE BE'!$AA$8+'TE BF'!$AA$8+'TE CVA'!$AA$8)*1*(1-0.04)</f>
        <v>271.60070372834122</v>
      </c>
      <c r="AB616" s="6">
        <f>$K$616*$V$616</f>
        <v>19282.464400000001</v>
      </c>
      <c r="AC616" s="6">
        <f>$M$616*$W$616</f>
        <v>24205.118402399999</v>
      </c>
      <c r="AD616" s="6">
        <f>$O$616*$X$616</f>
        <v>37211.143394400002</v>
      </c>
      <c r="AE616" s="6">
        <f ca="1">$K$616*$Y$616</f>
        <v>22009.152829345945</v>
      </c>
      <c r="AF616" s="6">
        <f ca="1">$M$616*$Z$616</f>
        <v>27839.812626946223</v>
      </c>
      <c r="AG616" s="6">
        <f>$O$616*$AA$616</f>
        <v>46740.308306017701</v>
      </c>
    </row>
    <row r="617" spans="1:33" ht="11.25" customHeight="1" x14ac:dyDescent="0.25">
      <c r="A617" s="4" t="s">
        <v>21</v>
      </c>
      <c r="B617" s="4" t="s">
        <v>35</v>
      </c>
      <c r="C617" s="4" t="s">
        <v>44</v>
      </c>
      <c r="D617" s="4" t="s">
        <v>47</v>
      </c>
      <c r="E617" s="4" t="s">
        <v>25</v>
      </c>
      <c r="F617" s="4" t="s">
        <v>25</v>
      </c>
      <c r="G617" s="4" t="s">
        <v>25</v>
      </c>
      <c r="H617" s="4" t="s">
        <v>38</v>
      </c>
      <c r="I617" s="5">
        <v>44287</v>
      </c>
      <c r="J617" s="6">
        <v>165</v>
      </c>
      <c r="K617" s="77">
        <v>165</v>
      </c>
      <c r="L617" s="6">
        <v>39.329000000000001</v>
      </c>
      <c r="M617" s="77">
        <v>39.329000000000001</v>
      </c>
      <c r="N617" s="6">
        <v>39.329000000000001</v>
      </c>
      <c r="O617" s="77">
        <v>39.329000000000001</v>
      </c>
      <c r="P617" s="6">
        <v>0</v>
      </c>
      <c r="Q617" s="4" t="s">
        <v>26</v>
      </c>
      <c r="R617" s="4">
        <v>0</v>
      </c>
      <c r="S617" s="6">
        <v>29</v>
      </c>
      <c r="T617" s="6">
        <v>30</v>
      </c>
      <c r="U617" s="6">
        <v>67</v>
      </c>
      <c r="V617" s="77">
        <f>IF(ISERROR(VLOOKUP($S$617,'TAR FIN'!$A$1:$O$95,15,0)),0,VLOOKUP($S$617,'TAR FIN'!$A$1:$O$95,15,0))*(1-0.06)</f>
        <v>26.855799999999999</v>
      </c>
      <c r="W617" s="77">
        <f>IF(ISERROR(VLOOKUP($T$617,'TAR FIN'!$A$1:$O$95,15,0)),0,VLOOKUP($T$617,'TAR FIN'!$A$1:$O$95,15,0))*(1-0.06)</f>
        <v>140.65219999999999</v>
      </c>
      <c r="X617" s="77">
        <f>IF(ISERROR(VLOOKUP($U$617,'TAR FIN'!$A$1:$O$95,15,0)),0,VLOOKUP($U$617,'TAR FIN'!$A$1:$O$95,15,0))*(1-0.06)</f>
        <v>216.22819999999999</v>
      </c>
      <c r="Y617" s="77">
        <f ca="1">('TUSD BE'!$AM$11+'TUSD BF'!$AM$11+'TUSD CVA'!$AM$11)*1*(1-0.04)</f>
        <v>30.653416196860647</v>
      </c>
      <c r="Z617" s="77">
        <f ca="1">('TUSD BE'!$AM$12+'TUSD BF'!$AM$12+'TUSD CVA'!$AM$12)*1*(1-0.04)</f>
        <v>161.7728460762047</v>
      </c>
      <c r="AA617" s="77">
        <f>('TE BE'!$AA$8+'TE BF'!$AA$8+'TE CVA'!$AA$8)*1*(1-0.04)</f>
        <v>271.60070372834122</v>
      </c>
      <c r="AB617" s="6">
        <f>$K$617*$V$617</f>
        <v>4431.2069999999994</v>
      </c>
      <c r="AC617" s="6">
        <f>$M$617*$W$617</f>
        <v>5531.7103737999996</v>
      </c>
      <c r="AD617" s="6">
        <f>$O$617*$X$617</f>
        <v>8504.0388777999997</v>
      </c>
      <c r="AE617" s="6">
        <f ca="1">$K$617*$Y$617</f>
        <v>5057.813672482007</v>
      </c>
      <c r="AF617" s="6">
        <f ca="1">$M$617*$Z$617</f>
        <v>6362.3642633310546</v>
      </c>
      <c r="AG617" s="6">
        <f>$O$617*$AA$617</f>
        <v>10681.784076931932</v>
      </c>
    </row>
    <row r="618" spans="1:33" ht="11.25" customHeight="1" x14ac:dyDescent="0.25">
      <c r="A618" s="4" t="s">
        <v>28</v>
      </c>
      <c r="B618" s="4" t="s">
        <v>35</v>
      </c>
      <c r="C618" s="4" t="s">
        <v>44</v>
      </c>
      <c r="D618" s="4" t="s">
        <v>47</v>
      </c>
      <c r="E618" s="4" t="s">
        <v>25</v>
      </c>
      <c r="F618" s="4" t="s">
        <v>25</v>
      </c>
      <c r="G618" s="4" t="s">
        <v>25</v>
      </c>
      <c r="H618" s="4" t="s">
        <v>38</v>
      </c>
      <c r="I618" s="5">
        <v>44287</v>
      </c>
      <c r="J618" s="6">
        <v>696</v>
      </c>
      <c r="K618" s="77">
        <v>696</v>
      </c>
      <c r="L618" s="6">
        <v>154.584</v>
      </c>
      <c r="M618" s="77">
        <v>154.584</v>
      </c>
      <c r="N618" s="6">
        <v>154.584</v>
      </c>
      <c r="O618" s="77">
        <v>154.584</v>
      </c>
      <c r="P618" s="6">
        <v>0</v>
      </c>
      <c r="Q618" s="4" t="s">
        <v>26</v>
      </c>
      <c r="R618" s="4">
        <v>0</v>
      </c>
      <c r="S618" s="6">
        <v>29</v>
      </c>
      <c r="T618" s="6">
        <v>30</v>
      </c>
      <c r="U618" s="6">
        <v>67</v>
      </c>
      <c r="V618" s="77">
        <f>IF(ISERROR(VLOOKUP($S$618,'TAR FIN'!$A$1:$O$95,15,0)),0,VLOOKUP($S$618,'TAR FIN'!$A$1:$O$95,15,0))*(1-0.06)</f>
        <v>26.855799999999999</v>
      </c>
      <c r="W618" s="77">
        <f>IF(ISERROR(VLOOKUP($T$618,'TAR FIN'!$A$1:$O$95,15,0)),0,VLOOKUP($T$618,'TAR FIN'!$A$1:$O$95,15,0))*(1-0.06)</f>
        <v>140.65219999999999</v>
      </c>
      <c r="X618" s="77">
        <f>IF(ISERROR(VLOOKUP($U$618,'TAR FIN'!$A$1:$O$95,15,0)),0,VLOOKUP($U$618,'TAR FIN'!$A$1:$O$95,15,0))*(1-0.06)</f>
        <v>216.22819999999999</v>
      </c>
      <c r="Y618" s="77">
        <f ca="1">('TUSD BE'!$AM$11+'TUSD BF'!$AM$11+'TUSD CVA'!$AM$11)*1*(1-0.04)</f>
        <v>30.653416196860647</v>
      </c>
      <c r="Z618" s="77">
        <f ca="1">('TUSD BE'!$AM$12+'TUSD BF'!$AM$12+'TUSD CVA'!$AM$12)*1*(1-0.04)</f>
        <v>161.7728460762047</v>
      </c>
      <c r="AA618" s="77">
        <f>('TE BE'!$AA$8+'TE BF'!$AA$8+'TE CVA'!$AA$8)*1*(1-0.04)</f>
        <v>271.60070372834122</v>
      </c>
      <c r="AB618" s="6">
        <f>$K$618*$V$618</f>
        <v>18691.6368</v>
      </c>
      <c r="AC618" s="6">
        <f>$M$618*$W$618</f>
        <v>21742.579684799999</v>
      </c>
      <c r="AD618" s="6">
        <f>$O$618*$X$618</f>
        <v>33425.420068799998</v>
      </c>
      <c r="AE618" s="6">
        <f ca="1">$K$618*$Y$618</f>
        <v>21334.777673015011</v>
      </c>
      <c r="AF618" s="6">
        <f ca="1">$M$618*$Z$618</f>
        <v>25007.493637844029</v>
      </c>
      <c r="AG618" s="6">
        <f>$O$618*$AA$618</f>
        <v>41985.1231851419</v>
      </c>
    </row>
    <row r="619" spans="1:33" ht="11.25" customHeight="1" x14ac:dyDescent="0.25">
      <c r="A619" s="4" t="s">
        <v>21</v>
      </c>
      <c r="B619" s="4" t="s">
        <v>35</v>
      </c>
      <c r="C619" s="4" t="s">
        <v>44</v>
      </c>
      <c r="D619" s="4" t="s">
        <v>47</v>
      </c>
      <c r="E619" s="4" t="s">
        <v>25</v>
      </c>
      <c r="F619" s="4" t="s">
        <v>25</v>
      </c>
      <c r="G619" s="4" t="s">
        <v>25</v>
      </c>
      <c r="H619" s="4" t="s">
        <v>38</v>
      </c>
      <c r="I619" s="5">
        <v>44317</v>
      </c>
      <c r="J619" s="6">
        <v>169</v>
      </c>
      <c r="K619" s="77">
        <v>169</v>
      </c>
      <c r="L619" s="6">
        <v>36.453000000000003</v>
      </c>
      <c r="M619" s="77">
        <v>36.453000000000003</v>
      </c>
      <c r="N619" s="6">
        <v>36.453000000000003</v>
      </c>
      <c r="O619" s="77">
        <v>36.453000000000003</v>
      </c>
      <c r="P619" s="6">
        <v>0</v>
      </c>
      <c r="Q619" s="4" t="s">
        <v>26</v>
      </c>
      <c r="R619" s="4">
        <v>0</v>
      </c>
      <c r="S619" s="6">
        <v>29</v>
      </c>
      <c r="T619" s="6">
        <v>30</v>
      </c>
      <c r="U619" s="6">
        <v>67</v>
      </c>
      <c r="V619" s="77">
        <f>IF(ISERROR(VLOOKUP($S$619,'TAR FIN'!$A$1:$O$95,15,0)),0,VLOOKUP($S$619,'TAR FIN'!$A$1:$O$95,15,0))*(1-0.06)</f>
        <v>26.855799999999999</v>
      </c>
      <c r="W619" s="77">
        <f>IF(ISERROR(VLOOKUP($T$619,'TAR FIN'!$A$1:$O$95,15,0)),0,VLOOKUP($T$619,'TAR FIN'!$A$1:$O$95,15,0))*(1-0.06)</f>
        <v>140.65219999999999</v>
      </c>
      <c r="X619" s="77">
        <f>IF(ISERROR(VLOOKUP($U$619,'TAR FIN'!$A$1:$O$95,15,0)),0,VLOOKUP($U$619,'TAR FIN'!$A$1:$O$95,15,0))*(1-0.06)</f>
        <v>216.22819999999999</v>
      </c>
      <c r="Y619" s="77">
        <f ca="1">('TUSD BE'!$AM$11+'TUSD BF'!$AM$11+'TUSD CVA'!$AM$11)*1*(1-0.04)</f>
        <v>30.653416196860647</v>
      </c>
      <c r="Z619" s="77">
        <f ca="1">('TUSD BE'!$AM$12+'TUSD BF'!$AM$12+'TUSD CVA'!$AM$12)*1*(1-0.04)</f>
        <v>161.7728460762047</v>
      </c>
      <c r="AA619" s="77">
        <f>('TE BE'!$AA$8+'TE BF'!$AA$8+'TE CVA'!$AA$8)*1*(1-0.04)</f>
        <v>271.60070372834122</v>
      </c>
      <c r="AB619" s="6">
        <f>$K$619*$V$619</f>
        <v>4538.6301999999996</v>
      </c>
      <c r="AC619" s="6">
        <f>$M$619*$W$619</f>
        <v>5127.1946465999999</v>
      </c>
      <c r="AD619" s="6">
        <f>$O$619*$X$619</f>
        <v>7882.1665745999999</v>
      </c>
      <c r="AE619" s="6">
        <f ca="1">$K$619*$Y$619</f>
        <v>5180.4273372694497</v>
      </c>
      <c r="AF619" s="6">
        <f ca="1">$M$619*$Z$619</f>
        <v>5897.10555801589</v>
      </c>
      <c r="AG619" s="6">
        <f>$O$619*$AA$619</f>
        <v>9900.6604530092227</v>
      </c>
    </row>
    <row r="620" spans="1:33" ht="11.25" customHeight="1" x14ac:dyDescent="0.25">
      <c r="A620" s="4" t="s">
        <v>28</v>
      </c>
      <c r="B620" s="4" t="s">
        <v>35</v>
      </c>
      <c r="C620" s="4" t="s">
        <v>44</v>
      </c>
      <c r="D620" s="4" t="s">
        <v>47</v>
      </c>
      <c r="E620" s="4" t="s">
        <v>25</v>
      </c>
      <c r="F620" s="4" t="s">
        <v>25</v>
      </c>
      <c r="G620" s="4" t="s">
        <v>25</v>
      </c>
      <c r="H620" s="4" t="s">
        <v>38</v>
      </c>
      <c r="I620" s="5">
        <v>44317</v>
      </c>
      <c r="J620" s="6">
        <v>582</v>
      </c>
      <c r="K620" s="77">
        <v>582</v>
      </c>
      <c r="L620" s="6">
        <v>189.24</v>
      </c>
      <c r="M620" s="77">
        <v>189.24</v>
      </c>
      <c r="N620" s="6">
        <v>189.24</v>
      </c>
      <c r="O620" s="77">
        <v>189.24</v>
      </c>
      <c r="P620" s="6">
        <v>0</v>
      </c>
      <c r="Q620" s="4" t="s">
        <v>26</v>
      </c>
      <c r="R620" s="4">
        <v>0</v>
      </c>
      <c r="S620" s="6">
        <v>29</v>
      </c>
      <c r="T620" s="6">
        <v>30</v>
      </c>
      <c r="U620" s="6">
        <v>67</v>
      </c>
      <c r="V620" s="77">
        <f>IF(ISERROR(VLOOKUP($S$620,'TAR FIN'!$A$1:$O$95,15,0)),0,VLOOKUP($S$620,'TAR FIN'!$A$1:$O$95,15,0))*(1-0.06)</f>
        <v>26.855799999999999</v>
      </c>
      <c r="W620" s="77">
        <f>IF(ISERROR(VLOOKUP($T$620,'TAR FIN'!$A$1:$O$95,15,0)),0,VLOOKUP($T$620,'TAR FIN'!$A$1:$O$95,15,0))*(1-0.06)</f>
        <v>140.65219999999999</v>
      </c>
      <c r="X620" s="77">
        <f>IF(ISERROR(VLOOKUP($U$620,'TAR FIN'!$A$1:$O$95,15,0)),0,VLOOKUP($U$620,'TAR FIN'!$A$1:$O$95,15,0))*(1-0.06)</f>
        <v>216.22819999999999</v>
      </c>
      <c r="Y620" s="77">
        <f ca="1">('TUSD BE'!$AM$11+'TUSD BF'!$AM$11+'TUSD CVA'!$AM$11)*1*(1-0.04)</f>
        <v>30.653416196860647</v>
      </c>
      <c r="Z620" s="77">
        <f ca="1">('TUSD BE'!$AM$12+'TUSD BF'!$AM$12+'TUSD CVA'!$AM$12)*1*(1-0.04)</f>
        <v>161.7728460762047</v>
      </c>
      <c r="AA620" s="77">
        <f>('TE BE'!$AA$8+'TE BF'!$AA$8+'TE CVA'!$AA$8)*1*(1-0.04)</f>
        <v>271.60070372834122</v>
      </c>
      <c r="AB620" s="6">
        <f>$K$620*$V$620</f>
        <v>15630.075599999998</v>
      </c>
      <c r="AC620" s="6">
        <f>$M$620*$W$620</f>
        <v>26617.022327999999</v>
      </c>
      <c r="AD620" s="6">
        <f>$O$620*$X$620</f>
        <v>40919.024568000001</v>
      </c>
      <c r="AE620" s="6">
        <f ca="1">$K$620*$Y$620</f>
        <v>17840.288226572895</v>
      </c>
      <c r="AF620" s="6">
        <f ca="1">$M$620*$Z$620</f>
        <v>30613.893391460981</v>
      </c>
      <c r="AG620" s="6">
        <f>$O$620*$AA$620</f>
        <v>51397.717173551297</v>
      </c>
    </row>
    <row r="621" spans="1:33" ht="11.25" customHeight="1" x14ac:dyDescent="0.25">
      <c r="A621" s="4" t="s">
        <v>21</v>
      </c>
      <c r="B621" s="4" t="s">
        <v>35</v>
      </c>
      <c r="C621" s="4" t="s">
        <v>44</v>
      </c>
      <c r="D621" s="4" t="s">
        <v>47</v>
      </c>
      <c r="E621" s="4" t="s">
        <v>25</v>
      </c>
      <c r="F621" s="4" t="s">
        <v>25</v>
      </c>
      <c r="G621" s="4" t="s">
        <v>25</v>
      </c>
      <c r="H621" s="4" t="s">
        <v>38</v>
      </c>
      <c r="I621" s="5">
        <v>44348</v>
      </c>
      <c r="J621" s="6">
        <v>150</v>
      </c>
      <c r="K621" s="77">
        <v>150</v>
      </c>
      <c r="L621" s="6">
        <v>35.372</v>
      </c>
      <c r="M621" s="77">
        <v>35.372</v>
      </c>
      <c r="N621" s="6">
        <v>35.372</v>
      </c>
      <c r="O621" s="77">
        <v>35.372</v>
      </c>
      <c r="P621" s="6">
        <v>0</v>
      </c>
      <c r="Q621" s="4" t="s">
        <v>26</v>
      </c>
      <c r="R621" s="4">
        <v>0</v>
      </c>
      <c r="S621" s="6">
        <v>29</v>
      </c>
      <c r="T621" s="6">
        <v>30</v>
      </c>
      <c r="U621" s="6">
        <v>67</v>
      </c>
      <c r="V621" s="77">
        <f>IF(ISERROR(VLOOKUP($S$621,'TAR FIN'!$A$1:$O$95,15,0)),0,VLOOKUP($S$621,'TAR FIN'!$A$1:$O$95,15,0))*(1-0.06)</f>
        <v>26.855799999999999</v>
      </c>
      <c r="W621" s="77">
        <f>IF(ISERROR(VLOOKUP($T$621,'TAR FIN'!$A$1:$O$95,15,0)),0,VLOOKUP($T$621,'TAR FIN'!$A$1:$O$95,15,0))*(1-0.06)</f>
        <v>140.65219999999999</v>
      </c>
      <c r="X621" s="77">
        <f>IF(ISERROR(VLOOKUP($U$621,'TAR FIN'!$A$1:$O$95,15,0)),0,VLOOKUP($U$621,'TAR FIN'!$A$1:$O$95,15,0))*(1-0.06)</f>
        <v>216.22819999999999</v>
      </c>
      <c r="Y621" s="77">
        <f ca="1">('TUSD BE'!$AM$11+'TUSD BF'!$AM$11+'TUSD CVA'!$AM$11)*1*(1-0.04)</f>
        <v>30.653416196860647</v>
      </c>
      <c r="Z621" s="77">
        <f ca="1">('TUSD BE'!$AM$12+'TUSD BF'!$AM$12+'TUSD CVA'!$AM$12)*1*(1-0.04)</f>
        <v>161.7728460762047</v>
      </c>
      <c r="AA621" s="77">
        <f>('TE BE'!$AA$8+'TE BF'!$AA$8+'TE CVA'!$AA$8)*1*(1-0.04)</f>
        <v>271.60070372834122</v>
      </c>
      <c r="AB621" s="6">
        <f>$K$621*$V$621</f>
        <v>4028.37</v>
      </c>
      <c r="AC621" s="6">
        <f>$M$621*$W$621</f>
        <v>4975.1496183999998</v>
      </c>
      <c r="AD621" s="6">
        <f>$O$621*$X$621</f>
        <v>7648.4238903999994</v>
      </c>
      <c r="AE621" s="6">
        <f ca="1">$K$621*$Y$621</f>
        <v>4598.0124295290971</v>
      </c>
      <c r="AF621" s="6">
        <f ca="1">$M$621*$Z$621</f>
        <v>5722.2291114075124</v>
      </c>
      <c r="AG621" s="6">
        <f>$O$621*$AA$621</f>
        <v>9607.0600922788853</v>
      </c>
    </row>
    <row r="622" spans="1:33" ht="11.25" customHeight="1" x14ac:dyDescent="0.25">
      <c r="A622" s="4" t="s">
        <v>28</v>
      </c>
      <c r="B622" s="4" t="s">
        <v>35</v>
      </c>
      <c r="C622" s="4" t="s">
        <v>44</v>
      </c>
      <c r="D622" s="4" t="s">
        <v>47</v>
      </c>
      <c r="E622" s="4" t="s">
        <v>25</v>
      </c>
      <c r="F622" s="4" t="s">
        <v>25</v>
      </c>
      <c r="G622" s="4" t="s">
        <v>25</v>
      </c>
      <c r="H622" s="4" t="s">
        <v>38</v>
      </c>
      <c r="I622" s="5">
        <v>44348</v>
      </c>
      <c r="J622" s="6">
        <v>741</v>
      </c>
      <c r="K622" s="77">
        <v>741</v>
      </c>
      <c r="L622" s="6">
        <v>160.12799999999999</v>
      </c>
      <c r="M622" s="77">
        <v>160.12799999999999</v>
      </c>
      <c r="N622" s="6">
        <v>160.12799999999999</v>
      </c>
      <c r="O622" s="77">
        <v>160.12799999999999</v>
      </c>
      <c r="P622" s="6">
        <v>0</v>
      </c>
      <c r="Q622" s="4" t="s">
        <v>26</v>
      </c>
      <c r="R622" s="4">
        <v>0</v>
      </c>
      <c r="S622" s="6">
        <v>29</v>
      </c>
      <c r="T622" s="6">
        <v>30</v>
      </c>
      <c r="U622" s="6">
        <v>67</v>
      </c>
      <c r="V622" s="77">
        <f>IF(ISERROR(VLOOKUP($S$622,'TAR FIN'!$A$1:$O$95,15,0)),0,VLOOKUP($S$622,'TAR FIN'!$A$1:$O$95,15,0))*(1-0.06)</f>
        <v>26.855799999999999</v>
      </c>
      <c r="W622" s="77">
        <f>IF(ISERROR(VLOOKUP($T$622,'TAR FIN'!$A$1:$O$95,15,0)),0,VLOOKUP($T$622,'TAR FIN'!$A$1:$O$95,15,0))*(1-0.06)</f>
        <v>140.65219999999999</v>
      </c>
      <c r="X622" s="77">
        <f>IF(ISERROR(VLOOKUP($U$622,'TAR FIN'!$A$1:$O$95,15,0)),0,VLOOKUP($U$622,'TAR FIN'!$A$1:$O$95,15,0))*(1-0.06)</f>
        <v>216.22819999999999</v>
      </c>
      <c r="Y622" s="77">
        <f ca="1">('TUSD BE'!$AM$11+'TUSD BF'!$AM$11+'TUSD CVA'!$AM$11)*1*(1-0.04)</f>
        <v>30.653416196860647</v>
      </c>
      <c r="Z622" s="77">
        <f ca="1">('TUSD BE'!$AM$12+'TUSD BF'!$AM$12+'TUSD CVA'!$AM$12)*1*(1-0.04)</f>
        <v>161.7728460762047</v>
      </c>
      <c r="AA622" s="77">
        <f>('TE BE'!$AA$8+'TE BF'!$AA$8+'TE CVA'!$AA$8)*1*(1-0.04)</f>
        <v>271.60070372834122</v>
      </c>
      <c r="AB622" s="6">
        <f>$K$622*$V$622</f>
        <v>19900.147799999999</v>
      </c>
      <c r="AC622" s="6">
        <f>$M$622*$W$622</f>
        <v>22522.355481599996</v>
      </c>
      <c r="AD622" s="6">
        <f>$O$622*$X$622</f>
        <v>34624.189209599994</v>
      </c>
      <c r="AE622" s="6">
        <f ca="1">$K$622*$Y$622</f>
        <v>22714.181401873739</v>
      </c>
      <c r="AF622" s="6">
        <f ca="1">$M$622*$Z$622</f>
        <v>25904.362296490504</v>
      </c>
      <c r="AG622" s="6">
        <f>$O$622*$AA$622</f>
        <v>43490.877486611818</v>
      </c>
    </row>
    <row r="623" spans="1:33" ht="11.25" customHeight="1" x14ac:dyDescent="0.25">
      <c r="A623" s="4" t="s">
        <v>21</v>
      </c>
      <c r="B623" s="4" t="s">
        <v>35</v>
      </c>
      <c r="C623" s="4" t="s">
        <v>44</v>
      </c>
      <c r="D623" s="4" t="s">
        <v>47</v>
      </c>
      <c r="E623" s="4" t="s">
        <v>25</v>
      </c>
      <c r="F623" s="4" t="s">
        <v>25</v>
      </c>
      <c r="G623" s="4" t="s">
        <v>25</v>
      </c>
      <c r="H623" s="4" t="s">
        <v>38</v>
      </c>
      <c r="I623" s="5">
        <v>44378</v>
      </c>
      <c r="J623" s="6">
        <v>175</v>
      </c>
      <c r="K623" s="77">
        <v>175</v>
      </c>
      <c r="L623" s="6">
        <v>40.423000000000002</v>
      </c>
      <c r="M623" s="77">
        <v>40.423000000000002</v>
      </c>
      <c r="N623" s="6">
        <v>40.423000000000002</v>
      </c>
      <c r="O623" s="77">
        <v>40.423000000000002</v>
      </c>
      <c r="P623" s="6">
        <v>0</v>
      </c>
      <c r="Q623" s="4" t="s">
        <v>26</v>
      </c>
      <c r="R623" s="4">
        <v>0</v>
      </c>
      <c r="S623" s="6">
        <v>29</v>
      </c>
      <c r="T623" s="6">
        <v>30</v>
      </c>
      <c r="U623" s="6">
        <v>67</v>
      </c>
      <c r="V623" s="77">
        <f>IF(ISERROR(VLOOKUP($S$623,'TAR FIN'!$A$1:$O$95,15,0)),0,VLOOKUP($S$623,'TAR FIN'!$A$1:$O$95,15,0))*(1-0.06)</f>
        <v>26.855799999999999</v>
      </c>
      <c r="W623" s="77">
        <f>IF(ISERROR(VLOOKUP($T$623,'TAR FIN'!$A$1:$O$95,15,0)),0,VLOOKUP($T$623,'TAR FIN'!$A$1:$O$95,15,0))*(1-0.06)</f>
        <v>140.65219999999999</v>
      </c>
      <c r="X623" s="77">
        <f>IF(ISERROR(VLOOKUP($U$623,'TAR FIN'!$A$1:$O$95,15,0)),0,VLOOKUP($U$623,'TAR FIN'!$A$1:$O$95,15,0))*(1-0.06)</f>
        <v>216.22819999999999</v>
      </c>
      <c r="Y623" s="77">
        <f ca="1">('TUSD BE'!$AM$11+'TUSD BF'!$AM$11+'TUSD CVA'!$AM$11)*1*(1-0.04)</f>
        <v>30.653416196860647</v>
      </c>
      <c r="Z623" s="77">
        <f ca="1">('TUSD BE'!$AM$12+'TUSD BF'!$AM$12+'TUSD CVA'!$AM$12)*1*(1-0.04)</f>
        <v>161.7728460762047</v>
      </c>
      <c r="AA623" s="77">
        <f>('TE BE'!$AA$8+'TE BF'!$AA$8+'TE CVA'!$AA$8)*1*(1-0.04)</f>
        <v>271.60070372834122</v>
      </c>
      <c r="AB623" s="6">
        <f>$K$623*$V$623</f>
        <v>4699.7649999999994</v>
      </c>
      <c r="AC623" s="6">
        <f>$M$623*$W$623</f>
        <v>5685.5838806000002</v>
      </c>
      <c r="AD623" s="6">
        <f>$O$623*$X$623</f>
        <v>8740.5925286000002</v>
      </c>
      <c r="AE623" s="6">
        <f ca="1">$K$623*$Y$623</f>
        <v>5364.3478344506129</v>
      </c>
      <c r="AF623" s="6">
        <f ca="1">$M$623*$Z$623</f>
        <v>6539.3437569384232</v>
      </c>
      <c r="AG623" s="6">
        <f>$O$623*$AA$623</f>
        <v>10978.915246810737</v>
      </c>
    </row>
    <row r="624" spans="1:33" ht="11.25" customHeight="1" x14ac:dyDescent="0.25">
      <c r="A624" s="4" t="s">
        <v>28</v>
      </c>
      <c r="B624" s="4" t="s">
        <v>35</v>
      </c>
      <c r="C624" s="4" t="s">
        <v>44</v>
      </c>
      <c r="D624" s="4" t="s">
        <v>47</v>
      </c>
      <c r="E624" s="4" t="s">
        <v>25</v>
      </c>
      <c r="F624" s="4" t="s">
        <v>25</v>
      </c>
      <c r="G624" s="4" t="s">
        <v>25</v>
      </c>
      <c r="H624" s="4" t="s">
        <v>38</v>
      </c>
      <c r="I624" s="5">
        <v>44378</v>
      </c>
      <c r="J624" s="6">
        <v>813</v>
      </c>
      <c r="K624" s="77">
        <v>813</v>
      </c>
      <c r="L624" s="6">
        <v>167.11199999999999</v>
      </c>
      <c r="M624" s="77">
        <v>167.11199999999999</v>
      </c>
      <c r="N624" s="6">
        <v>167.11199999999999</v>
      </c>
      <c r="O624" s="77">
        <v>167.11199999999999</v>
      </c>
      <c r="P624" s="6">
        <v>0</v>
      </c>
      <c r="Q624" s="4" t="s">
        <v>26</v>
      </c>
      <c r="R624" s="4">
        <v>0</v>
      </c>
      <c r="S624" s="6">
        <v>29</v>
      </c>
      <c r="T624" s="6">
        <v>30</v>
      </c>
      <c r="U624" s="6">
        <v>67</v>
      </c>
      <c r="V624" s="77">
        <f>IF(ISERROR(VLOOKUP($S$624,'TAR FIN'!$A$1:$O$95,15,0)),0,VLOOKUP($S$624,'TAR FIN'!$A$1:$O$95,15,0))*(1-0.06)</f>
        <v>26.855799999999999</v>
      </c>
      <c r="W624" s="77">
        <f>IF(ISERROR(VLOOKUP($T$624,'TAR FIN'!$A$1:$O$95,15,0)),0,VLOOKUP($T$624,'TAR FIN'!$A$1:$O$95,15,0))*(1-0.06)</f>
        <v>140.65219999999999</v>
      </c>
      <c r="X624" s="77">
        <f>IF(ISERROR(VLOOKUP($U$624,'TAR FIN'!$A$1:$O$95,15,0)),0,VLOOKUP($U$624,'TAR FIN'!$A$1:$O$95,15,0))*(1-0.06)</f>
        <v>216.22819999999999</v>
      </c>
      <c r="Y624" s="77">
        <f ca="1">('TUSD BE'!$AM$11+'TUSD BF'!$AM$11+'TUSD CVA'!$AM$11)*1*(1-0.04)</f>
        <v>30.653416196860647</v>
      </c>
      <c r="Z624" s="77">
        <f ca="1">('TUSD BE'!$AM$12+'TUSD BF'!$AM$12+'TUSD CVA'!$AM$12)*1*(1-0.04)</f>
        <v>161.7728460762047</v>
      </c>
      <c r="AA624" s="77">
        <f>('TE BE'!$AA$8+'TE BF'!$AA$8+'TE CVA'!$AA$8)*1*(1-0.04)</f>
        <v>271.60070372834122</v>
      </c>
      <c r="AB624" s="6">
        <f>$K$624*$V$624</f>
        <v>21833.7654</v>
      </c>
      <c r="AC624" s="6">
        <f>$M$624*$W$624</f>
        <v>23504.670446399999</v>
      </c>
      <c r="AD624" s="6">
        <f>$O$624*$X$624</f>
        <v>36134.326958399994</v>
      </c>
      <c r="AE624" s="6">
        <f ca="1">$K$624*$Y$624</f>
        <v>24921.227368047705</v>
      </c>
      <c r="AF624" s="6">
        <f ca="1">$M$624*$Z$624</f>
        <v>27034.18385348672</v>
      </c>
      <c r="AG624" s="6">
        <f>$O$624*$AA$624</f>
        <v>45387.736801450556</v>
      </c>
    </row>
    <row r="625" spans="1:33" ht="11.25" customHeight="1" x14ac:dyDescent="0.25">
      <c r="A625" s="4" t="s">
        <v>21</v>
      </c>
      <c r="B625" s="4" t="s">
        <v>35</v>
      </c>
      <c r="C625" s="4" t="s">
        <v>44</v>
      </c>
      <c r="D625" s="4" t="s">
        <v>47</v>
      </c>
      <c r="E625" s="4" t="s">
        <v>25</v>
      </c>
      <c r="F625" s="4" t="s">
        <v>25</v>
      </c>
      <c r="G625" s="4" t="s">
        <v>25</v>
      </c>
      <c r="H625" s="4" t="s">
        <v>38</v>
      </c>
      <c r="I625" s="5">
        <v>44409</v>
      </c>
      <c r="J625" s="6">
        <v>190</v>
      </c>
      <c r="K625" s="77">
        <v>190</v>
      </c>
      <c r="L625" s="6">
        <v>43.35</v>
      </c>
      <c r="M625" s="77">
        <v>43.35</v>
      </c>
      <c r="N625" s="6">
        <v>43.35</v>
      </c>
      <c r="O625" s="77">
        <v>43.35</v>
      </c>
      <c r="P625" s="6">
        <v>0</v>
      </c>
      <c r="Q625" s="4" t="s">
        <v>26</v>
      </c>
      <c r="R625" s="4">
        <v>0</v>
      </c>
      <c r="S625" s="6">
        <v>29</v>
      </c>
      <c r="T625" s="6">
        <v>30</v>
      </c>
      <c r="U625" s="6">
        <v>67</v>
      </c>
      <c r="V625" s="77">
        <f>IF(ISERROR(VLOOKUP($S$625,'TAR FIN'!$A$1:$O$95,15,0)),0,VLOOKUP($S$625,'TAR FIN'!$A$1:$O$95,15,0))*(1-0.06)</f>
        <v>26.855799999999999</v>
      </c>
      <c r="W625" s="77">
        <f>IF(ISERROR(VLOOKUP($T$625,'TAR FIN'!$A$1:$O$95,15,0)),0,VLOOKUP($T$625,'TAR FIN'!$A$1:$O$95,15,0))*(1-0.06)</f>
        <v>140.65219999999999</v>
      </c>
      <c r="X625" s="77">
        <f>IF(ISERROR(VLOOKUP($U$625,'TAR FIN'!$A$1:$O$95,15,0)),0,VLOOKUP($U$625,'TAR FIN'!$A$1:$O$95,15,0))*(1-0.06)</f>
        <v>216.22819999999999</v>
      </c>
      <c r="Y625" s="77">
        <f ca="1">('TUSD BE'!$AM$11+'TUSD BF'!$AM$11+'TUSD CVA'!$AM$11)*1*(1-0.04)</f>
        <v>30.653416196860647</v>
      </c>
      <c r="Z625" s="77">
        <f ca="1">('TUSD BE'!$AM$12+'TUSD BF'!$AM$12+'TUSD CVA'!$AM$12)*1*(1-0.04)</f>
        <v>161.7728460762047</v>
      </c>
      <c r="AA625" s="77">
        <f>('TE BE'!$AA$8+'TE BF'!$AA$8+'TE CVA'!$AA$8)*1*(1-0.04)</f>
        <v>271.60070372834122</v>
      </c>
      <c r="AB625" s="6">
        <f>$K$625*$V$625</f>
        <v>5102.6019999999999</v>
      </c>
      <c r="AC625" s="6">
        <f>$M$625*$W$625</f>
        <v>6097.2728699999998</v>
      </c>
      <c r="AD625" s="6">
        <f>$O$625*$X$625</f>
        <v>9373.4924699999992</v>
      </c>
      <c r="AE625" s="6">
        <f ca="1">$K$625*$Y$625</f>
        <v>5824.1490774035228</v>
      </c>
      <c r="AF625" s="6">
        <f ca="1">$M$625*$Z$625</f>
        <v>7012.8528774034739</v>
      </c>
      <c r="AG625" s="6">
        <f>$O$625*$AA$625</f>
        <v>11773.890506623593</v>
      </c>
    </row>
    <row r="626" spans="1:33" ht="11.25" customHeight="1" x14ac:dyDescent="0.25">
      <c r="A626" s="4" t="s">
        <v>28</v>
      </c>
      <c r="B626" s="4" t="s">
        <v>35</v>
      </c>
      <c r="C626" s="4" t="s">
        <v>44</v>
      </c>
      <c r="D626" s="4" t="s">
        <v>47</v>
      </c>
      <c r="E626" s="4" t="s">
        <v>25</v>
      </c>
      <c r="F626" s="4" t="s">
        <v>25</v>
      </c>
      <c r="G626" s="4" t="s">
        <v>25</v>
      </c>
      <c r="H626" s="4" t="s">
        <v>38</v>
      </c>
      <c r="I626" s="5">
        <v>44409</v>
      </c>
      <c r="J626" s="6">
        <v>804</v>
      </c>
      <c r="K626" s="77">
        <v>804</v>
      </c>
      <c r="L626" s="6">
        <v>188.06399999999999</v>
      </c>
      <c r="M626" s="77">
        <v>188.06399999999999</v>
      </c>
      <c r="N626" s="6">
        <v>188.06399999999999</v>
      </c>
      <c r="O626" s="77">
        <v>188.06399999999999</v>
      </c>
      <c r="P626" s="6">
        <v>0</v>
      </c>
      <c r="Q626" s="4" t="s">
        <v>26</v>
      </c>
      <c r="R626" s="4">
        <v>0</v>
      </c>
      <c r="S626" s="6">
        <v>29</v>
      </c>
      <c r="T626" s="6">
        <v>30</v>
      </c>
      <c r="U626" s="6">
        <v>67</v>
      </c>
      <c r="V626" s="77">
        <f>IF(ISERROR(VLOOKUP($S$626,'TAR FIN'!$A$1:$O$95,15,0)),0,VLOOKUP($S$626,'TAR FIN'!$A$1:$O$95,15,0))*(1-0.06)</f>
        <v>26.855799999999999</v>
      </c>
      <c r="W626" s="77">
        <f>IF(ISERROR(VLOOKUP($T$626,'TAR FIN'!$A$1:$O$95,15,0)),0,VLOOKUP($T$626,'TAR FIN'!$A$1:$O$95,15,0))*(1-0.06)</f>
        <v>140.65219999999999</v>
      </c>
      <c r="X626" s="77">
        <f>IF(ISERROR(VLOOKUP($U$626,'TAR FIN'!$A$1:$O$95,15,0)),0,VLOOKUP($U$626,'TAR FIN'!$A$1:$O$95,15,0))*(1-0.06)</f>
        <v>216.22819999999999</v>
      </c>
      <c r="Y626" s="77">
        <f ca="1">('TUSD BE'!$AM$11+'TUSD BF'!$AM$11+'TUSD CVA'!$AM$11)*1*(1-0.04)</f>
        <v>30.653416196860647</v>
      </c>
      <c r="Z626" s="77">
        <f ca="1">('TUSD BE'!$AM$12+'TUSD BF'!$AM$12+'TUSD CVA'!$AM$12)*1*(1-0.04)</f>
        <v>161.7728460762047</v>
      </c>
      <c r="AA626" s="77">
        <f>('TE BE'!$AA$8+'TE BF'!$AA$8+'TE CVA'!$AA$8)*1*(1-0.04)</f>
        <v>271.60070372834122</v>
      </c>
      <c r="AB626" s="6">
        <f>$K$626*$V$626</f>
        <v>21592.063200000001</v>
      </c>
      <c r="AC626" s="6">
        <f>$M$626*$W$626</f>
        <v>26451.615340799999</v>
      </c>
      <c r="AD626" s="6">
        <f>$O$626*$X$626</f>
        <v>40664.740204799993</v>
      </c>
      <c r="AE626" s="6">
        <f ca="1">$K$626*$Y$626</f>
        <v>24645.34662227596</v>
      </c>
      <c r="AF626" s="6">
        <f ca="1">$M$626*$Z$626</f>
        <v>30423.64852447536</v>
      </c>
      <c r="AG626" s="6">
        <f>$O$626*$AA$626</f>
        <v>51078.31474596676</v>
      </c>
    </row>
    <row r="627" spans="1:33" ht="11.25" customHeight="1" x14ac:dyDescent="0.25">
      <c r="A627" s="4" t="s">
        <v>21</v>
      </c>
      <c r="B627" s="4" t="s">
        <v>35</v>
      </c>
      <c r="C627" s="4" t="s">
        <v>44</v>
      </c>
      <c r="D627" s="4" t="s">
        <v>47</v>
      </c>
      <c r="E627" s="4" t="s">
        <v>25</v>
      </c>
      <c r="F627" s="4" t="s">
        <v>25</v>
      </c>
      <c r="G627" s="4" t="s">
        <v>25</v>
      </c>
      <c r="H627" s="4" t="s">
        <v>38</v>
      </c>
      <c r="I627" s="5">
        <v>44440</v>
      </c>
      <c r="J627" s="6">
        <v>509</v>
      </c>
      <c r="K627" s="77">
        <v>509</v>
      </c>
      <c r="L627" s="6">
        <v>43.2</v>
      </c>
      <c r="M627" s="77">
        <v>43.2</v>
      </c>
      <c r="N627" s="6">
        <v>43.2</v>
      </c>
      <c r="O627" s="77">
        <v>43.2</v>
      </c>
      <c r="P627" s="6">
        <v>0</v>
      </c>
      <c r="Q627" s="4" t="s">
        <v>26</v>
      </c>
      <c r="R627" s="4">
        <v>0</v>
      </c>
      <c r="S627" s="6">
        <v>29</v>
      </c>
      <c r="T627" s="6">
        <v>30</v>
      </c>
      <c r="U627" s="6">
        <v>67</v>
      </c>
      <c r="V627" s="77">
        <f>IF(ISERROR(VLOOKUP($S$627,'TAR FIN'!$A$1:$O$95,15,0)),0,VLOOKUP($S$627,'TAR FIN'!$A$1:$O$95,15,0))*(1-0.06)</f>
        <v>26.855799999999999</v>
      </c>
      <c r="W627" s="77">
        <f>IF(ISERROR(VLOOKUP($T$627,'TAR FIN'!$A$1:$O$95,15,0)),0,VLOOKUP($T$627,'TAR FIN'!$A$1:$O$95,15,0))*(1-0.06)</f>
        <v>140.65219999999999</v>
      </c>
      <c r="X627" s="77">
        <f>IF(ISERROR(VLOOKUP($U$627,'TAR FIN'!$A$1:$O$95,15,0)),0,VLOOKUP($U$627,'TAR FIN'!$A$1:$O$95,15,0))*(1-0.06)</f>
        <v>216.22819999999999</v>
      </c>
      <c r="Y627" s="77">
        <f ca="1">('TUSD BE'!$AM$11+'TUSD BF'!$AM$11+'TUSD CVA'!$AM$11)*1*(1-0.04)</f>
        <v>30.653416196860647</v>
      </c>
      <c r="Z627" s="77">
        <f ca="1">('TUSD BE'!$AM$12+'TUSD BF'!$AM$12+'TUSD CVA'!$AM$12)*1*(1-0.04)</f>
        <v>161.7728460762047</v>
      </c>
      <c r="AA627" s="77">
        <f>('TE BE'!$AA$8+'TE BF'!$AA$8+'TE CVA'!$AA$8)*1*(1-0.04)</f>
        <v>271.60070372834122</v>
      </c>
      <c r="AB627" s="6">
        <f>$K$627*$V$627</f>
        <v>13669.602199999999</v>
      </c>
      <c r="AC627" s="6">
        <f>$M$627*$W$627</f>
        <v>6076.1750400000001</v>
      </c>
      <c r="AD627" s="6">
        <f>$O$627*$X$627</f>
        <v>9341.0582400000003</v>
      </c>
      <c r="AE627" s="6">
        <f ca="1">$K$627*$Y$627</f>
        <v>15602.58884420207</v>
      </c>
      <c r="AF627" s="6">
        <f ca="1">$M$627*$Z$627</f>
        <v>6988.5869504920438</v>
      </c>
      <c r="AG627" s="6">
        <f>$O$627*$AA$627</f>
        <v>11733.150401064342</v>
      </c>
    </row>
    <row r="628" spans="1:33" ht="11.25" customHeight="1" x14ac:dyDescent="0.25">
      <c r="A628" s="4" t="s">
        <v>28</v>
      </c>
      <c r="B628" s="4" t="s">
        <v>35</v>
      </c>
      <c r="C628" s="4" t="s">
        <v>44</v>
      </c>
      <c r="D628" s="4" t="s">
        <v>47</v>
      </c>
      <c r="E628" s="4" t="s">
        <v>25</v>
      </c>
      <c r="F628" s="4" t="s">
        <v>25</v>
      </c>
      <c r="G628" s="4" t="s">
        <v>25</v>
      </c>
      <c r="H628" s="4" t="s">
        <v>38</v>
      </c>
      <c r="I628" s="5">
        <v>44440</v>
      </c>
      <c r="J628" s="6">
        <v>791</v>
      </c>
      <c r="K628" s="77">
        <v>791</v>
      </c>
      <c r="L628" s="6">
        <v>146.88</v>
      </c>
      <c r="M628" s="77">
        <v>146.88</v>
      </c>
      <c r="N628" s="6">
        <v>146.88</v>
      </c>
      <c r="O628" s="77">
        <v>146.88</v>
      </c>
      <c r="P628" s="6">
        <v>0</v>
      </c>
      <c r="Q628" s="4" t="s">
        <v>26</v>
      </c>
      <c r="R628" s="4">
        <v>0</v>
      </c>
      <c r="S628" s="6">
        <v>29</v>
      </c>
      <c r="T628" s="6">
        <v>30</v>
      </c>
      <c r="U628" s="6">
        <v>67</v>
      </c>
      <c r="V628" s="77">
        <f>IF(ISERROR(VLOOKUP($S$628,'TAR FIN'!$A$1:$O$95,15,0)),0,VLOOKUP($S$628,'TAR FIN'!$A$1:$O$95,15,0))*(1-0.06)</f>
        <v>26.855799999999999</v>
      </c>
      <c r="W628" s="77">
        <f>IF(ISERROR(VLOOKUP($T$628,'TAR FIN'!$A$1:$O$95,15,0)),0,VLOOKUP($T$628,'TAR FIN'!$A$1:$O$95,15,0))*(1-0.06)</f>
        <v>140.65219999999999</v>
      </c>
      <c r="X628" s="77">
        <f>IF(ISERROR(VLOOKUP($U$628,'TAR FIN'!$A$1:$O$95,15,0)),0,VLOOKUP($U$628,'TAR FIN'!$A$1:$O$95,15,0))*(1-0.06)</f>
        <v>216.22819999999999</v>
      </c>
      <c r="Y628" s="77">
        <f ca="1">('TUSD BE'!$AM$11+'TUSD BF'!$AM$11+'TUSD CVA'!$AM$11)*1*(1-0.04)</f>
        <v>30.653416196860647</v>
      </c>
      <c r="Z628" s="77">
        <f ca="1">('TUSD BE'!$AM$12+'TUSD BF'!$AM$12+'TUSD CVA'!$AM$12)*1*(1-0.04)</f>
        <v>161.7728460762047</v>
      </c>
      <c r="AA628" s="77">
        <f>('TE BE'!$AA$8+'TE BF'!$AA$8+'TE CVA'!$AA$8)*1*(1-0.04)</f>
        <v>271.60070372834122</v>
      </c>
      <c r="AB628" s="6">
        <f>$K$628*$V$628</f>
        <v>21242.9378</v>
      </c>
      <c r="AC628" s="6">
        <f>$M$628*$W$628</f>
        <v>20658.995135999998</v>
      </c>
      <c r="AD628" s="6">
        <f>$O$628*$X$628</f>
        <v>31759.598015999996</v>
      </c>
      <c r="AE628" s="6">
        <f ca="1">$K$628*$Y$628</f>
        <v>24246.85221171677</v>
      </c>
      <c r="AF628" s="6">
        <f ca="1">$M$628*$Z$628</f>
        <v>23761.195631672945</v>
      </c>
      <c r="AG628" s="6">
        <f>$O$628*$AA$628</f>
        <v>39892.711363618757</v>
      </c>
    </row>
    <row r="629" spans="1:33" ht="11.25" customHeight="1" x14ac:dyDescent="0.25">
      <c r="A629" s="4" t="s">
        <v>59</v>
      </c>
      <c r="B629" s="4" t="s">
        <v>35</v>
      </c>
      <c r="C629" s="4" t="s">
        <v>44</v>
      </c>
      <c r="D629" s="4" t="s">
        <v>47</v>
      </c>
      <c r="E629" s="4" t="s">
        <v>25</v>
      </c>
      <c r="F629" s="4" t="s">
        <v>25</v>
      </c>
      <c r="G629" s="4" t="s">
        <v>25</v>
      </c>
      <c r="H629" s="4" t="s">
        <v>38</v>
      </c>
      <c r="I629" s="5">
        <v>44470</v>
      </c>
      <c r="J629" s="6">
        <v>509</v>
      </c>
      <c r="K629" s="77">
        <v>509</v>
      </c>
      <c r="L629" s="6">
        <v>43.2</v>
      </c>
      <c r="M629" s="77">
        <v>43.2</v>
      </c>
      <c r="N629" s="6">
        <v>43.2</v>
      </c>
      <c r="O629" s="77">
        <v>43.2</v>
      </c>
      <c r="P629" s="6">
        <v>0</v>
      </c>
      <c r="Q629" s="4" t="s">
        <v>26</v>
      </c>
      <c r="R629" s="4">
        <v>0</v>
      </c>
      <c r="S629" s="6">
        <v>29</v>
      </c>
      <c r="T629" s="6">
        <v>30</v>
      </c>
      <c r="U629" s="6">
        <v>67</v>
      </c>
      <c r="V629" s="77">
        <f>IF(ISERROR(VLOOKUP($S$629,'TAR FIN'!$A$1:$O$95,15,0)),0,VLOOKUP($S$629,'TAR FIN'!$A$1:$O$95,15,0))*(1-0.06)</f>
        <v>26.855799999999999</v>
      </c>
      <c r="W629" s="77">
        <f>IF(ISERROR(VLOOKUP($T$629,'TAR FIN'!$A$1:$O$95,15,0)),0,VLOOKUP($T$629,'TAR FIN'!$A$1:$O$95,15,0))*(1-0.06)</f>
        <v>140.65219999999999</v>
      </c>
      <c r="X629" s="77">
        <f>IF(ISERROR(VLOOKUP($U$629,'TAR FIN'!$A$1:$O$95,15,0)),0,VLOOKUP($U$629,'TAR FIN'!$A$1:$O$95,15,0))*(1-0.06)</f>
        <v>216.22819999999999</v>
      </c>
      <c r="Y629" s="77">
        <f ca="1">('TUSD BE'!$AM$11+'TUSD BF'!$AM$11+'TUSD CVA'!$AM$11)*1*(1-0.04)</f>
        <v>30.653416196860647</v>
      </c>
      <c r="Z629" s="77">
        <f ca="1">('TUSD BE'!$AM$12+'TUSD BF'!$AM$12+'TUSD CVA'!$AM$12)*1*(1-0.04)</f>
        <v>161.7728460762047</v>
      </c>
      <c r="AA629" s="77">
        <f>('TE BE'!$AA$8+'TE BF'!$AA$8+'TE CVA'!$AA$8)*1*(1-0.04)</f>
        <v>271.60070372834122</v>
      </c>
      <c r="AB629" s="6">
        <f>$K$629*$V$629</f>
        <v>13669.602199999999</v>
      </c>
      <c r="AC629" s="6">
        <f>$M$629*$W$629</f>
        <v>6076.1750400000001</v>
      </c>
      <c r="AD629" s="6">
        <f>$O$629*$X$629</f>
        <v>9341.0582400000003</v>
      </c>
      <c r="AE629" s="6">
        <f ca="1">$K$629*$Y$629</f>
        <v>15602.58884420207</v>
      </c>
      <c r="AF629" s="6">
        <f ca="1">$M$629*$Z$629</f>
        <v>6988.5869504920438</v>
      </c>
      <c r="AG629" s="6">
        <f>$O$629*$AA$629</f>
        <v>11733.150401064342</v>
      </c>
    </row>
    <row r="630" spans="1:33" ht="11.25" customHeight="1" x14ac:dyDescent="0.25">
      <c r="A630" s="4" t="s">
        <v>59</v>
      </c>
      <c r="B630" s="4" t="s">
        <v>35</v>
      </c>
      <c r="C630" s="4" t="s">
        <v>44</v>
      </c>
      <c r="D630" s="4" t="s">
        <v>47</v>
      </c>
      <c r="E630" s="4" t="s">
        <v>25</v>
      </c>
      <c r="F630" s="4" t="s">
        <v>25</v>
      </c>
      <c r="G630" s="4" t="s">
        <v>25</v>
      </c>
      <c r="H630" s="4" t="s">
        <v>38</v>
      </c>
      <c r="I630" s="5">
        <v>44470</v>
      </c>
      <c r="J630" s="6">
        <v>791</v>
      </c>
      <c r="K630" s="77">
        <v>791</v>
      </c>
      <c r="L630" s="6">
        <v>146.88</v>
      </c>
      <c r="M630" s="77">
        <v>146.88</v>
      </c>
      <c r="N630" s="6">
        <v>146.88</v>
      </c>
      <c r="O630" s="77">
        <v>146.88</v>
      </c>
      <c r="P630" s="6">
        <v>0</v>
      </c>
      <c r="Q630" s="4" t="s">
        <v>26</v>
      </c>
      <c r="R630" s="4">
        <v>0</v>
      </c>
      <c r="S630" s="6">
        <v>29</v>
      </c>
      <c r="T630" s="6">
        <v>30</v>
      </c>
      <c r="U630" s="6">
        <v>67</v>
      </c>
      <c r="V630" s="77">
        <f>IF(ISERROR(VLOOKUP($S$630,'TAR FIN'!$A$1:$O$95,15,0)),0,VLOOKUP($S$630,'TAR FIN'!$A$1:$O$95,15,0))*(1-0.06)</f>
        <v>26.855799999999999</v>
      </c>
      <c r="W630" s="77">
        <f>IF(ISERROR(VLOOKUP($T$630,'TAR FIN'!$A$1:$O$95,15,0)),0,VLOOKUP($T$630,'TAR FIN'!$A$1:$O$95,15,0))*(1-0.06)</f>
        <v>140.65219999999999</v>
      </c>
      <c r="X630" s="77">
        <f>IF(ISERROR(VLOOKUP($U$630,'TAR FIN'!$A$1:$O$95,15,0)),0,VLOOKUP($U$630,'TAR FIN'!$A$1:$O$95,15,0))*(1-0.06)</f>
        <v>216.22819999999999</v>
      </c>
      <c r="Y630" s="77">
        <f ca="1">('TUSD BE'!$AM$11+'TUSD BF'!$AM$11+'TUSD CVA'!$AM$11)*1*(1-0.04)</f>
        <v>30.653416196860647</v>
      </c>
      <c r="Z630" s="77">
        <f ca="1">('TUSD BE'!$AM$12+'TUSD BF'!$AM$12+'TUSD CVA'!$AM$12)*1*(1-0.04)</f>
        <v>161.7728460762047</v>
      </c>
      <c r="AA630" s="77">
        <f>('TE BE'!$AA$8+'TE BF'!$AA$8+'TE CVA'!$AA$8)*1*(1-0.04)</f>
        <v>271.60070372834122</v>
      </c>
      <c r="AB630" s="6">
        <f>$K$630*$V$630</f>
        <v>21242.9378</v>
      </c>
      <c r="AC630" s="6">
        <f>$M$630*$W$630</f>
        <v>20658.995135999998</v>
      </c>
      <c r="AD630" s="6">
        <f>$O$630*$X$630</f>
        <v>31759.598015999996</v>
      </c>
      <c r="AE630" s="6">
        <f ca="1">$K$630*$Y$630</f>
        <v>24246.85221171677</v>
      </c>
      <c r="AF630" s="6">
        <f ca="1">$M$630*$Z$630</f>
        <v>23761.195631672945</v>
      </c>
      <c r="AG630" s="6">
        <f>$O$630*$AA$630</f>
        <v>39892.711363618757</v>
      </c>
    </row>
    <row r="631" spans="1:33" ht="11.25" customHeight="1" x14ac:dyDescent="0.25">
      <c r="A631" s="4" t="s">
        <v>21</v>
      </c>
      <c r="B631" s="4" t="s">
        <v>35</v>
      </c>
      <c r="C631" s="4" t="s">
        <v>44</v>
      </c>
      <c r="D631" s="4" t="s">
        <v>47</v>
      </c>
      <c r="E631" s="4" t="s">
        <v>25</v>
      </c>
      <c r="F631" s="4" t="s">
        <v>25</v>
      </c>
      <c r="G631" s="4" t="s">
        <v>25</v>
      </c>
      <c r="H631" s="4" t="s">
        <v>37</v>
      </c>
      <c r="I631" s="5">
        <v>44136</v>
      </c>
      <c r="J631" s="6">
        <v>107</v>
      </c>
      <c r="K631" s="77">
        <v>107</v>
      </c>
      <c r="L631" s="6">
        <v>3.6070000000000002</v>
      </c>
      <c r="M631" s="77">
        <v>3.6070000000000002</v>
      </c>
      <c r="N631" s="6">
        <v>3.6070000000000002</v>
      </c>
      <c r="O631" s="77">
        <v>3.6070000000000002</v>
      </c>
      <c r="P631" s="6">
        <v>0</v>
      </c>
      <c r="Q631" s="4" t="s">
        <v>26</v>
      </c>
      <c r="R631" s="4">
        <v>0</v>
      </c>
      <c r="S631" s="6">
        <v>28</v>
      </c>
      <c r="T631" s="6">
        <v>30</v>
      </c>
      <c r="U631" s="6">
        <v>66</v>
      </c>
      <c r="V631" s="77">
        <f>IF(ISERROR(VLOOKUP($S$631,'TAR FIN'!$A$1:$O$95,15,0)),0,VLOOKUP($S$631,'TAR FIN'!$A$1:$O$95,15,0))*(1-0.06)</f>
        <v>49.810600000000001</v>
      </c>
      <c r="W631" s="77">
        <f>IF(ISERROR(VLOOKUP($T$631,'TAR FIN'!$A$1:$O$95,15,0)),0,VLOOKUP($T$631,'TAR FIN'!$A$1:$O$95,15,0))*(1-0.06)</f>
        <v>140.65219999999999</v>
      </c>
      <c r="X631" s="77">
        <f>IF(ISERROR(VLOOKUP($U$631,'TAR FIN'!$A$1:$O$95,15,0)),0,VLOOKUP($U$631,'TAR FIN'!$A$1:$O$95,15,0))*(1-0.06)</f>
        <v>365.92319999999995</v>
      </c>
      <c r="Y631" s="77">
        <f ca="1">('TUSD BE'!$AM$10+'TUSD BF'!$AM$10+'TUSD CVA'!$AM$10)*1*(1-0.04)</f>
        <v>56.905297608167956</v>
      </c>
      <c r="Z631" s="77">
        <f ca="1">('TUSD BE'!$AM$12+'TUSD BF'!$AM$12+'TUSD CVA'!$AM$12)*1*(1-0.04)</f>
        <v>161.7728460762047</v>
      </c>
      <c r="AA631" s="77">
        <f>('TE BE'!$AA$7+'TE BF'!$AA$7+'TE CVA'!$AA$7)*1*(1-0.04)</f>
        <v>436.15542521126838</v>
      </c>
      <c r="AB631" s="6">
        <f>$K$631*$V$631</f>
        <v>5329.7341999999999</v>
      </c>
      <c r="AC631" s="6">
        <f>$M$631*$W$631</f>
        <v>507.3324854</v>
      </c>
      <c r="AD631" s="6">
        <f>$O$631*$X$631</f>
        <v>1319.8849823999999</v>
      </c>
      <c r="AE631" s="6">
        <f ca="1">$K$631*$Y$631</f>
        <v>6088.8668440739712</v>
      </c>
      <c r="AF631" s="6">
        <f ca="1">$M$631*$Z$631</f>
        <v>583.51465579687044</v>
      </c>
      <c r="AG631" s="6">
        <f>$O$631*$AA$631</f>
        <v>1573.2126187370452</v>
      </c>
    </row>
    <row r="632" spans="1:33" ht="11.25" customHeight="1" x14ac:dyDescent="0.25">
      <c r="A632" s="4" t="s">
        <v>28</v>
      </c>
      <c r="B632" s="4" t="s">
        <v>35</v>
      </c>
      <c r="C632" s="4" t="s">
        <v>44</v>
      </c>
      <c r="D632" s="4" t="s">
        <v>47</v>
      </c>
      <c r="E632" s="4" t="s">
        <v>25</v>
      </c>
      <c r="F632" s="4" t="s">
        <v>25</v>
      </c>
      <c r="G632" s="4" t="s">
        <v>25</v>
      </c>
      <c r="H632" s="4" t="s">
        <v>37</v>
      </c>
      <c r="I632" s="5">
        <v>44136</v>
      </c>
      <c r="J632" s="6">
        <v>741</v>
      </c>
      <c r="K632" s="77">
        <v>741</v>
      </c>
      <c r="L632" s="6">
        <v>28.32</v>
      </c>
      <c r="M632" s="77">
        <v>28.32</v>
      </c>
      <c r="N632" s="6">
        <v>28.32</v>
      </c>
      <c r="O632" s="77">
        <v>28.32</v>
      </c>
      <c r="P632" s="6">
        <v>0</v>
      </c>
      <c r="Q632" s="4" t="s">
        <v>26</v>
      </c>
      <c r="R632" s="4">
        <v>0</v>
      </c>
      <c r="S632" s="6">
        <v>28</v>
      </c>
      <c r="T632" s="6">
        <v>30</v>
      </c>
      <c r="U632" s="6">
        <v>66</v>
      </c>
      <c r="V632" s="77">
        <f>IF(ISERROR(VLOOKUP($S$632,'TAR FIN'!$A$1:$O$95,15,0)),0,VLOOKUP($S$632,'TAR FIN'!$A$1:$O$95,15,0))*(1-0.06)</f>
        <v>49.810600000000001</v>
      </c>
      <c r="W632" s="77">
        <f>IF(ISERROR(VLOOKUP($T$632,'TAR FIN'!$A$1:$O$95,15,0)),0,VLOOKUP($T$632,'TAR FIN'!$A$1:$O$95,15,0))*(1-0.06)</f>
        <v>140.65219999999999</v>
      </c>
      <c r="X632" s="77">
        <f>IF(ISERROR(VLOOKUP($U$632,'TAR FIN'!$A$1:$O$95,15,0)),0,VLOOKUP($U$632,'TAR FIN'!$A$1:$O$95,15,0))*(1-0.06)</f>
        <v>365.92319999999995</v>
      </c>
      <c r="Y632" s="77">
        <f ca="1">('TUSD BE'!$AM$10+'TUSD BF'!$AM$10+'TUSD CVA'!$AM$10)*1*(1-0.04)</f>
        <v>56.905297608167956</v>
      </c>
      <c r="Z632" s="77">
        <f ca="1">('TUSD BE'!$AM$12+'TUSD BF'!$AM$12+'TUSD CVA'!$AM$12)*1*(1-0.04)</f>
        <v>161.7728460762047</v>
      </c>
      <c r="AA632" s="77">
        <f>('TE BE'!$AA$7+'TE BF'!$AA$7+'TE CVA'!$AA$7)*1*(1-0.04)</f>
        <v>436.15542521126838</v>
      </c>
      <c r="AB632" s="6">
        <f>$K$632*$V$632</f>
        <v>36909.654600000002</v>
      </c>
      <c r="AC632" s="6">
        <f>$M$632*$W$632</f>
        <v>3983.2703039999997</v>
      </c>
      <c r="AD632" s="6">
        <f>$O$632*$X$632</f>
        <v>10362.945023999999</v>
      </c>
      <c r="AE632" s="6">
        <f ca="1">$K$632*$Y$632</f>
        <v>42166.825527652458</v>
      </c>
      <c r="AF632" s="6">
        <f ca="1">$M$632*$Z$632</f>
        <v>4581.4070008781173</v>
      </c>
      <c r="AG632" s="6">
        <f>$O$632*$AA$632</f>
        <v>12351.921641983121</v>
      </c>
    </row>
    <row r="633" spans="1:33" ht="11.25" customHeight="1" x14ac:dyDescent="0.25">
      <c r="A633" s="4" t="s">
        <v>21</v>
      </c>
      <c r="B633" s="4" t="s">
        <v>35</v>
      </c>
      <c r="C633" s="4" t="s">
        <v>44</v>
      </c>
      <c r="D633" s="4" t="s">
        <v>47</v>
      </c>
      <c r="E633" s="4" t="s">
        <v>25</v>
      </c>
      <c r="F633" s="4" t="s">
        <v>25</v>
      </c>
      <c r="G633" s="4" t="s">
        <v>25</v>
      </c>
      <c r="H633" s="4" t="s">
        <v>37</v>
      </c>
      <c r="I633" s="5">
        <v>44166</v>
      </c>
      <c r="J633" s="6">
        <v>103</v>
      </c>
      <c r="K633" s="77">
        <v>103</v>
      </c>
      <c r="L633" s="6">
        <v>3.8490000000000002</v>
      </c>
      <c r="M633" s="77">
        <v>3.8490000000000002</v>
      </c>
      <c r="N633" s="6">
        <v>3.8490000000000002</v>
      </c>
      <c r="O633" s="77">
        <v>3.8490000000000002</v>
      </c>
      <c r="P633" s="6">
        <v>0</v>
      </c>
      <c r="Q633" s="4" t="s">
        <v>26</v>
      </c>
      <c r="R633" s="4">
        <v>0</v>
      </c>
      <c r="S633" s="6">
        <v>28</v>
      </c>
      <c r="T633" s="6">
        <v>30</v>
      </c>
      <c r="U633" s="6">
        <v>66</v>
      </c>
      <c r="V633" s="77">
        <f>IF(ISERROR(VLOOKUP($S$633,'TAR FIN'!$A$1:$O$95,15,0)),0,VLOOKUP($S$633,'TAR FIN'!$A$1:$O$95,15,0))*(1-0.06)</f>
        <v>49.810600000000001</v>
      </c>
      <c r="W633" s="77">
        <f>IF(ISERROR(VLOOKUP($T$633,'TAR FIN'!$A$1:$O$95,15,0)),0,VLOOKUP($T$633,'TAR FIN'!$A$1:$O$95,15,0))*(1-0.06)</f>
        <v>140.65219999999999</v>
      </c>
      <c r="X633" s="77">
        <f>IF(ISERROR(VLOOKUP($U$633,'TAR FIN'!$A$1:$O$95,15,0)),0,VLOOKUP($U$633,'TAR FIN'!$A$1:$O$95,15,0))*(1-0.06)</f>
        <v>365.92319999999995</v>
      </c>
      <c r="Y633" s="77">
        <f ca="1">('TUSD BE'!$AM$10+'TUSD BF'!$AM$10+'TUSD CVA'!$AM$10)*1*(1-0.04)</f>
        <v>56.905297608167956</v>
      </c>
      <c r="Z633" s="77">
        <f ca="1">('TUSD BE'!$AM$12+'TUSD BF'!$AM$12+'TUSD CVA'!$AM$12)*1*(1-0.04)</f>
        <v>161.7728460762047</v>
      </c>
      <c r="AA633" s="77">
        <f>('TE BE'!$AA$7+'TE BF'!$AA$7+'TE CVA'!$AA$7)*1*(1-0.04)</f>
        <v>436.15542521126838</v>
      </c>
      <c r="AB633" s="6">
        <f>$K$633*$V$633</f>
        <v>5130.4917999999998</v>
      </c>
      <c r="AC633" s="6">
        <f>$M$633*$W$633</f>
        <v>541.37031779999995</v>
      </c>
      <c r="AD633" s="6">
        <f>$O$633*$X$633</f>
        <v>1408.4383968</v>
      </c>
      <c r="AE633" s="6">
        <f ca="1">$K$633*$Y$633</f>
        <v>5861.2456536412992</v>
      </c>
      <c r="AF633" s="6">
        <f ca="1">$M$633*$Z$633</f>
        <v>622.66368454731196</v>
      </c>
      <c r="AG633" s="6">
        <f>$O$633*$AA$633</f>
        <v>1678.7622316381721</v>
      </c>
    </row>
    <row r="634" spans="1:33" ht="11.25" customHeight="1" x14ac:dyDescent="0.25">
      <c r="A634" s="4" t="s">
        <v>28</v>
      </c>
      <c r="B634" s="4" t="s">
        <v>35</v>
      </c>
      <c r="C634" s="4" t="s">
        <v>44</v>
      </c>
      <c r="D634" s="4" t="s">
        <v>47</v>
      </c>
      <c r="E634" s="4" t="s">
        <v>25</v>
      </c>
      <c r="F634" s="4" t="s">
        <v>25</v>
      </c>
      <c r="G634" s="4" t="s">
        <v>25</v>
      </c>
      <c r="H634" s="4" t="s">
        <v>37</v>
      </c>
      <c r="I634" s="5">
        <v>44166</v>
      </c>
      <c r="J634" s="6">
        <v>703</v>
      </c>
      <c r="K634" s="77">
        <v>703</v>
      </c>
      <c r="L634" s="6">
        <v>21.36</v>
      </c>
      <c r="M634" s="77">
        <v>21.36</v>
      </c>
      <c r="N634" s="6">
        <v>21.36</v>
      </c>
      <c r="O634" s="77">
        <v>21.36</v>
      </c>
      <c r="P634" s="6">
        <v>0</v>
      </c>
      <c r="Q634" s="4" t="s">
        <v>26</v>
      </c>
      <c r="R634" s="4">
        <v>0</v>
      </c>
      <c r="S634" s="6">
        <v>28</v>
      </c>
      <c r="T634" s="6">
        <v>30</v>
      </c>
      <c r="U634" s="6">
        <v>66</v>
      </c>
      <c r="V634" s="77">
        <f>IF(ISERROR(VLOOKUP($S$634,'TAR FIN'!$A$1:$O$95,15,0)),0,VLOOKUP($S$634,'TAR FIN'!$A$1:$O$95,15,0))*(1-0.06)</f>
        <v>49.810600000000001</v>
      </c>
      <c r="W634" s="77">
        <f>IF(ISERROR(VLOOKUP($T$634,'TAR FIN'!$A$1:$O$95,15,0)),0,VLOOKUP($T$634,'TAR FIN'!$A$1:$O$95,15,0))*(1-0.06)</f>
        <v>140.65219999999999</v>
      </c>
      <c r="X634" s="77">
        <f>IF(ISERROR(VLOOKUP($U$634,'TAR FIN'!$A$1:$O$95,15,0)),0,VLOOKUP($U$634,'TAR FIN'!$A$1:$O$95,15,0))*(1-0.06)</f>
        <v>365.92319999999995</v>
      </c>
      <c r="Y634" s="77">
        <f ca="1">('TUSD BE'!$AM$10+'TUSD BF'!$AM$10+'TUSD CVA'!$AM$10)*1*(1-0.04)</f>
        <v>56.905297608167956</v>
      </c>
      <c r="Z634" s="77">
        <f ca="1">('TUSD BE'!$AM$12+'TUSD BF'!$AM$12+'TUSD CVA'!$AM$12)*1*(1-0.04)</f>
        <v>161.7728460762047</v>
      </c>
      <c r="AA634" s="77">
        <f>('TE BE'!$AA$7+'TE BF'!$AA$7+'TE CVA'!$AA$7)*1*(1-0.04)</f>
        <v>436.15542521126838</v>
      </c>
      <c r="AB634" s="6">
        <f>$K$634*$V$634</f>
        <v>35016.851800000004</v>
      </c>
      <c r="AC634" s="6">
        <f>$M$634*$W$634</f>
        <v>3004.3309919999997</v>
      </c>
      <c r="AD634" s="6">
        <f>$O$634*$X$634</f>
        <v>7816.1195519999992</v>
      </c>
      <c r="AE634" s="6">
        <f ca="1">$K$634*$Y$634</f>
        <v>40004.424218542074</v>
      </c>
      <c r="AF634" s="6">
        <f ca="1">$M$634*$Z$634</f>
        <v>3455.4679921877323</v>
      </c>
      <c r="AG634" s="6">
        <f>$O$634*$AA$634</f>
        <v>9316.279882512692</v>
      </c>
    </row>
    <row r="635" spans="1:33" ht="11.25" customHeight="1" x14ac:dyDescent="0.25">
      <c r="A635" s="4" t="s">
        <v>21</v>
      </c>
      <c r="B635" s="4" t="s">
        <v>35</v>
      </c>
      <c r="C635" s="4" t="s">
        <v>44</v>
      </c>
      <c r="D635" s="4" t="s">
        <v>47</v>
      </c>
      <c r="E635" s="4" t="s">
        <v>25</v>
      </c>
      <c r="F635" s="4" t="s">
        <v>25</v>
      </c>
      <c r="G635" s="4" t="s">
        <v>25</v>
      </c>
      <c r="H635" s="4" t="s">
        <v>37</v>
      </c>
      <c r="I635" s="5">
        <v>44197</v>
      </c>
      <c r="J635" s="6">
        <v>111</v>
      </c>
      <c r="K635" s="77">
        <v>111</v>
      </c>
      <c r="L635" s="6">
        <v>3.835</v>
      </c>
      <c r="M635" s="77">
        <v>3.835</v>
      </c>
      <c r="N635" s="6">
        <v>3.835</v>
      </c>
      <c r="O635" s="77">
        <v>3.835</v>
      </c>
      <c r="P635" s="6">
        <v>0</v>
      </c>
      <c r="Q635" s="4" t="s">
        <v>26</v>
      </c>
      <c r="R635" s="4">
        <v>0</v>
      </c>
      <c r="S635" s="6">
        <v>28</v>
      </c>
      <c r="T635" s="6">
        <v>30</v>
      </c>
      <c r="U635" s="6">
        <v>66</v>
      </c>
      <c r="V635" s="77">
        <f>IF(ISERROR(VLOOKUP($S$635,'TAR FIN'!$A$1:$O$95,15,0)),0,VLOOKUP($S$635,'TAR FIN'!$A$1:$O$95,15,0))*(1-0.06)</f>
        <v>49.810600000000001</v>
      </c>
      <c r="W635" s="77">
        <f>IF(ISERROR(VLOOKUP($T$635,'TAR FIN'!$A$1:$O$95,15,0)),0,VLOOKUP($T$635,'TAR FIN'!$A$1:$O$95,15,0))*(1-0.06)</f>
        <v>140.65219999999999</v>
      </c>
      <c r="X635" s="77">
        <f>IF(ISERROR(VLOOKUP($U$635,'TAR FIN'!$A$1:$O$95,15,0)),0,VLOOKUP($U$635,'TAR FIN'!$A$1:$O$95,15,0))*(1-0.06)</f>
        <v>365.92319999999995</v>
      </c>
      <c r="Y635" s="77">
        <f ca="1">('TUSD BE'!$AM$10+'TUSD BF'!$AM$10+'TUSD CVA'!$AM$10)*1*(1-0.04)</f>
        <v>56.905297608167956</v>
      </c>
      <c r="Z635" s="77">
        <f ca="1">('TUSD BE'!$AM$12+'TUSD BF'!$AM$12+'TUSD CVA'!$AM$12)*1*(1-0.04)</f>
        <v>161.7728460762047</v>
      </c>
      <c r="AA635" s="77">
        <f>('TE BE'!$AA$7+'TE BF'!$AA$7+'TE CVA'!$AA$7)*1*(1-0.04)</f>
        <v>436.15542521126838</v>
      </c>
      <c r="AB635" s="6">
        <f>$K$635*$V$635</f>
        <v>5528.9766</v>
      </c>
      <c r="AC635" s="6">
        <f>$M$635*$W$635</f>
        <v>539.40118699999994</v>
      </c>
      <c r="AD635" s="6">
        <f>$O$635*$X$635</f>
        <v>1403.3154719999998</v>
      </c>
      <c r="AE635" s="6">
        <f ca="1">$K$635*$Y$635</f>
        <v>6316.4880345066431</v>
      </c>
      <c r="AF635" s="6">
        <f ca="1">$M$635*$Z$635</f>
        <v>620.39886470224508</v>
      </c>
      <c r="AG635" s="6">
        <f>$O$635*$AA$635</f>
        <v>1672.6560556852141</v>
      </c>
    </row>
    <row r="636" spans="1:33" ht="11.25" customHeight="1" x14ac:dyDescent="0.25">
      <c r="A636" s="4" t="s">
        <v>28</v>
      </c>
      <c r="B636" s="4" t="s">
        <v>35</v>
      </c>
      <c r="C636" s="4" t="s">
        <v>44</v>
      </c>
      <c r="D636" s="4" t="s">
        <v>47</v>
      </c>
      <c r="E636" s="4" t="s">
        <v>25</v>
      </c>
      <c r="F636" s="4" t="s">
        <v>25</v>
      </c>
      <c r="G636" s="4" t="s">
        <v>25</v>
      </c>
      <c r="H636" s="4" t="s">
        <v>37</v>
      </c>
      <c r="I636" s="5">
        <v>44197</v>
      </c>
      <c r="J636" s="6">
        <v>712</v>
      </c>
      <c r="K636" s="77">
        <v>712</v>
      </c>
      <c r="L636" s="6">
        <v>23.76</v>
      </c>
      <c r="M636" s="77">
        <v>23.76</v>
      </c>
      <c r="N636" s="6">
        <v>23.76</v>
      </c>
      <c r="O636" s="77">
        <v>23.76</v>
      </c>
      <c r="P636" s="6">
        <v>0</v>
      </c>
      <c r="Q636" s="4" t="s">
        <v>26</v>
      </c>
      <c r="R636" s="4">
        <v>0</v>
      </c>
      <c r="S636" s="6">
        <v>28</v>
      </c>
      <c r="T636" s="6">
        <v>30</v>
      </c>
      <c r="U636" s="6">
        <v>66</v>
      </c>
      <c r="V636" s="77">
        <f>IF(ISERROR(VLOOKUP($S$636,'TAR FIN'!$A$1:$O$95,15,0)),0,VLOOKUP($S$636,'TAR FIN'!$A$1:$O$95,15,0))*(1-0.06)</f>
        <v>49.810600000000001</v>
      </c>
      <c r="W636" s="77">
        <f>IF(ISERROR(VLOOKUP($T$636,'TAR FIN'!$A$1:$O$95,15,0)),0,VLOOKUP($T$636,'TAR FIN'!$A$1:$O$95,15,0))*(1-0.06)</f>
        <v>140.65219999999999</v>
      </c>
      <c r="X636" s="77">
        <f>IF(ISERROR(VLOOKUP($U$636,'TAR FIN'!$A$1:$O$95,15,0)),0,VLOOKUP($U$636,'TAR FIN'!$A$1:$O$95,15,0))*(1-0.06)</f>
        <v>365.92319999999995</v>
      </c>
      <c r="Y636" s="77">
        <f ca="1">('TUSD BE'!$AM$10+'TUSD BF'!$AM$10+'TUSD CVA'!$AM$10)*1*(1-0.04)</f>
        <v>56.905297608167956</v>
      </c>
      <c r="Z636" s="77">
        <f ca="1">('TUSD BE'!$AM$12+'TUSD BF'!$AM$12+'TUSD CVA'!$AM$12)*1*(1-0.04)</f>
        <v>161.7728460762047</v>
      </c>
      <c r="AA636" s="77">
        <f>('TE BE'!$AA$7+'TE BF'!$AA$7+'TE CVA'!$AA$7)*1*(1-0.04)</f>
        <v>436.15542521126838</v>
      </c>
      <c r="AB636" s="6">
        <f>$K$636*$V$636</f>
        <v>35465.147199999999</v>
      </c>
      <c r="AC636" s="6">
        <f>$M$636*$W$636</f>
        <v>3341.896272</v>
      </c>
      <c r="AD636" s="6">
        <f>$O$636*$X$636</f>
        <v>8694.3352319999995</v>
      </c>
      <c r="AE636" s="6">
        <f ca="1">$K$636*$Y$636</f>
        <v>40516.571897015587</v>
      </c>
      <c r="AF636" s="6">
        <f ca="1">$M$636*$Z$636</f>
        <v>3843.7228227706241</v>
      </c>
      <c r="AG636" s="6">
        <f>$O$636*$AA$636</f>
        <v>10363.052903019738</v>
      </c>
    </row>
    <row r="637" spans="1:33" ht="11.25" customHeight="1" x14ac:dyDescent="0.25">
      <c r="A637" s="4" t="s">
        <v>21</v>
      </c>
      <c r="B637" s="4" t="s">
        <v>35</v>
      </c>
      <c r="C637" s="4" t="s">
        <v>44</v>
      </c>
      <c r="D637" s="4" t="s">
        <v>47</v>
      </c>
      <c r="E637" s="4" t="s">
        <v>25</v>
      </c>
      <c r="F637" s="4" t="s">
        <v>25</v>
      </c>
      <c r="G637" s="4" t="s">
        <v>25</v>
      </c>
      <c r="H637" s="4" t="s">
        <v>37</v>
      </c>
      <c r="I637" s="5">
        <v>44228</v>
      </c>
      <c r="J637" s="6">
        <v>103</v>
      </c>
      <c r="K637" s="77">
        <v>103</v>
      </c>
      <c r="L637" s="6">
        <v>4.008</v>
      </c>
      <c r="M637" s="77">
        <v>4.008</v>
      </c>
      <c r="N637" s="6">
        <v>4.008</v>
      </c>
      <c r="O637" s="77">
        <v>4.008</v>
      </c>
      <c r="P637" s="6">
        <v>0</v>
      </c>
      <c r="Q637" s="4" t="s">
        <v>26</v>
      </c>
      <c r="R637" s="4">
        <v>0</v>
      </c>
      <c r="S637" s="6">
        <v>28</v>
      </c>
      <c r="T637" s="6">
        <v>30</v>
      </c>
      <c r="U637" s="6">
        <v>66</v>
      </c>
      <c r="V637" s="77">
        <f>IF(ISERROR(VLOOKUP($S$637,'TAR FIN'!$A$1:$O$95,15,0)),0,VLOOKUP($S$637,'TAR FIN'!$A$1:$O$95,15,0))*(1-0.06)</f>
        <v>49.810600000000001</v>
      </c>
      <c r="W637" s="77">
        <f>IF(ISERROR(VLOOKUP($T$637,'TAR FIN'!$A$1:$O$95,15,0)),0,VLOOKUP($T$637,'TAR FIN'!$A$1:$O$95,15,0))*(1-0.06)</f>
        <v>140.65219999999999</v>
      </c>
      <c r="X637" s="77">
        <f>IF(ISERROR(VLOOKUP($U$637,'TAR FIN'!$A$1:$O$95,15,0)),0,VLOOKUP($U$637,'TAR FIN'!$A$1:$O$95,15,0))*(1-0.06)</f>
        <v>365.92319999999995</v>
      </c>
      <c r="Y637" s="77">
        <f ca="1">('TUSD BE'!$AM$10+'TUSD BF'!$AM$10+'TUSD CVA'!$AM$10)*1*(1-0.04)</f>
        <v>56.905297608167956</v>
      </c>
      <c r="Z637" s="77">
        <f ca="1">('TUSD BE'!$AM$12+'TUSD BF'!$AM$12+'TUSD CVA'!$AM$12)*1*(1-0.04)</f>
        <v>161.7728460762047</v>
      </c>
      <c r="AA637" s="77">
        <f>('TE BE'!$AA$7+'TE BF'!$AA$7+'TE CVA'!$AA$7)*1*(1-0.04)</f>
        <v>436.15542521126838</v>
      </c>
      <c r="AB637" s="6">
        <f>$K$637*$V$637</f>
        <v>5130.4917999999998</v>
      </c>
      <c r="AC637" s="6">
        <f>$M$637*$W$637</f>
        <v>563.73401760000002</v>
      </c>
      <c r="AD637" s="6">
        <f>$O$637*$X$637</f>
        <v>1466.6201855999998</v>
      </c>
      <c r="AE637" s="6">
        <f ca="1">$K$637*$Y$637</f>
        <v>5861.2456536412992</v>
      </c>
      <c r="AF637" s="6">
        <f ca="1">$M$637*$Z$637</f>
        <v>648.38556707342843</v>
      </c>
      <c r="AG637" s="6">
        <f>$O$637*$AA$637</f>
        <v>1748.1109442467637</v>
      </c>
    </row>
    <row r="638" spans="1:33" ht="11.25" customHeight="1" x14ac:dyDescent="0.25">
      <c r="A638" s="4" t="s">
        <v>28</v>
      </c>
      <c r="B638" s="4" t="s">
        <v>35</v>
      </c>
      <c r="C638" s="4" t="s">
        <v>44</v>
      </c>
      <c r="D638" s="4" t="s">
        <v>47</v>
      </c>
      <c r="E638" s="4" t="s">
        <v>25</v>
      </c>
      <c r="F638" s="4" t="s">
        <v>25</v>
      </c>
      <c r="G638" s="4" t="s">
        <v>25</v>
      </c>
      <c r="H638" s="4" t="s">
        <v>37</v>
      </c>
      <c r="I638" s="5">
        <v>44228</v>
      </c>
      <c r="J638" s="6">
        <v>688</v>
      </c>
      <c r="K638" s="77">
        <v>688</v>
      </c>
      <c r="L638" s="6">
        <v>25.777999999999999</v>
      </c>
      <c r="M638" s="77">
        <v>25.777999999999999</v>
      </c>
      <c r="N638" s="6">
        <v>25.777999999999999</v>
      </c>
      <c r="O638" s="77">
        <v>25.777999999999999</v>
      </c>
      <c r="P638" s="6">
        <v>0</v>
      </c>
      <c r="Q638" s="4" t="s">
        <v>26</v>
      </c>
      <c r="R638" s="4">
        <v>0</v>
      </c>
      <c r="S638" s="6">
        <v>28</v>
      </c>
      <c r="T638" s="6">
        <v>30</v>
      </c>
      <c r="U638" s="6">
        <v>66</v>
      </c>
      <c r="V638" s="77">
        <f>IF(ISERROR(VLOOKUP($S$638,'TAR FIN'!$A$1:$O$95,15,0)),0,VLOOKUP($S$638,'TAR FIN'!$A$1:$O$95,15,0))*(1-0.06)</f>
        <v>49.810600000000001</v>
      </c>
      <c r="W638" s="77">
        <f>IF(ISERROR(VLOOKUP($T$638,'TAR FIN'!$A$1:$O$95,15,0)),0,VLOOKUP($T$638,'TAR FIN'!$A$1:$O$95,15,0))*(1-0.06)</f>
        <v>140.65219999999999</v>
      </c>
      <c r="X638" s="77">
        <f>IF(ISERROR(VLOOKUP($U$638,'TAR FIN'!$A$1:$O$95,15,0)),0,VLOOKUP($U$638,'TAR FIN'!$A$1:$O$95,15,0))*(1-0.06)</f>
        <v>365.92319999999995</v>
      </c>
      <c r="Y638" s="77">
        <f ca="1">('TUSD BE'!$AM$10+'TUSD BF'!$AM$10+'TUSD CVA'!$AM$10)*1*(1-0.04)</f>
        <v>56.905297608167956</v>
      </c>
      <c r="Z638" s="77">
        <f ca="1">('TUSD BE'!$AM$12+'TUSD BF'!$AM$12+'TUSD CVA'!$AM$12)*1*(1-0.04)</f>
        <v>161.7728460762047</v>
      </c>
      <c r="AA638" s="77">
        <f>('TE BE'!$AA$7+'TE BF'!$AA$7+'TE CVA'!$AA$7)*1*(1-0.04)</f>
        <v>436.15542521126838</v>
      </c>
      <c r="AB638" s="6">
        <f>$K$638*$V$638</f>
        <v>34269.692799999997</v>
      </c>
      <c r="AC638" s="6">
        <f>$M$638*$W$638</f>
        <v>3625.7324115999995</v>
      </c>
      <c r="AD638" s="6">
        <f>$O$638*$X$638</f>
        <v>9432.7682495999979</v>
      </c>
      <c r="AE638" s="6">
        <f ca="1">$K$638*$Y$638</f>
        <v>39150.844754419551</v>
      </c>
      <c r="AF638" s="6">
        <f ca="1">$M$638*$Z$638</f>
        <v>4170.1804261524048</v>
      </c>
      <c r="AG638" s="6">
        <f>$O$638*$AA$638</f>
        <v>11243.214551096076</v>
      </c>
    </row>
    <row r="639" spans="1:33" ht="11.25" customHeight="1" x14ac:dyDescent="0.25">
      <c r="A639" s="4" t="s">
        <v>21</v>
      </c>
      <c r="B639" s="4" t="s">
        <v>35</v>
      </c>
      <c r="C639" s="4" t="s">
        <v>44</v>
      </c>
      <c r="D639" s="4" t="s">
        <v>47</v>
      </c>
      <c r="E639" s="4" t="s">
        <v>25</v>
      </c>
      <c r="F639" s="4" t="s">
        <v>25</v>
      </c>
      <c r="G639" s="4" t="s">
        <v>25</v>
      </c>
      <c r="H639" s="4" t="s">
        <v>37</v>
      </c>
      <c r="I639" s="5">
        <v>44256</v>
      </c>
      <c r="J639" s="6">
        <v>100</v>
      </c>
      <c r="K639" s="77">
        <v>100</v>
      </c>
      <c r="L639" s="6">
        <v>4.0199999999999996</v>
      </c>
      <c r="M639" s="77">
        <v>4.0199999999999996</v>
      </c>
      <c r="N639" s="6">
        <v>4.0199999999999996</v>
      </c>
      <c r="O639" s="77">
        <v>4.0199999999999996</v>
      </c>
      <c r="P639" s="6">
        <v>0</v>
      </c>
      <c r="Q639" s="4" t="s">
        <v>26</v>
      </c>
      <c r="R639" s="4">
        <v>0</v>
      </c>
      <c r="S639" s="6">
        <v>28</v>
      </c>
      <c r="T639" s="6">
        <v>30</v>
      </c>
      <c r="U639" s="6">
        <v>66</v>
      </c>
      <c r="V639" s="77">
        <f>IF(ISERROR(VLOOKUP($S$639,'TAR FIN'!$A$1:$O$95,15,0)),0,VLOOKUP($S$639,'TAR FIN'!$A$1:$O$95,15,0))*(1-0.06)</f>
        <v>49.810600000000001</v>
      </c>
      <c r="W639" s="77">
        <f>IF(ISERROR(VLOOKUP($T$639,'TAR FIN'!$A$1:$O$95,15,0)),0,VLOOKUP($T$639,'TAR FIN'!$A$1:$O$95,15,0))*(1-0.06)</f>
        <v>140.65219999999999</v>
      </c>
      <c r="X639" s="77">
        <f>IF(ISERROR(VLOOKUP($U$639,'TAR FIN'!$A$1:$O$95,15,0)),0,VLOOKUP($U$639,'TAR FIN'!$A$1:$O$95,15,0))*(1-0.06)</f>
        <v>365.92319999999995</v>
      </c>
      <c r="Y639" s="77">
        <f ca="1">('TUSD BE'!$AM$10+'TUSD BF'!$AM$10+'TUSD CVA'!$AM$10)*1*(1-0.04)</f>
        <v>56.905297608167956</v>
      </c>
      <c r="Z639" s="77">
        <f ca="1">('TUSD BE'!$AM$12+'TUSD BF'!$AM$12+'TUSD CVA'!$AM$12)*1*(1-0.04)</f>
        <v>161.7728460762047</v>
      </c>
      <c r="AA639" s="77">
        <f>('TE BE'!$AA$7+'TE BF'!$AA$7+'TE CVA'!$AA$7)*1*(1-0.04)</f>
        <v>436.15542521126838</v>
      </c>
      <c r="AB639" s="6">
        <f>$K$639*$V$639</f>
        <v>4981.0600000000004</v>
      </c>
      <c r="AC639" s="6">
        <f>$M$639*$W$639</f>
        <v>565.42184399999996</v>
      </c>
      <c r="AD639" s="6">
        <f>$O$639*$X$639</f>
        <v>1471.0112639999998</v>
      </c>
      <c r="AE639" s="6">
        <f ca="1">$K$639*$Y$639</f>
        <v>5690.5297608167957</v>
      </c>
      <c r="AF639" s="6">
        <f ca="1">$M$639*$Z$639</f>
        <v>650.32684122634282</v>
      </c>
      <c r="AG639" s="6">
        <f>$O$639*$AA$639</f>
        <v>1753.3448093492987</v>
      </c>
    </row>
    <row r="640" spans="1:33" ht="11.25" customHeight="1" x14ac:dyDescent="0.25">
      <c r="A640" s="4" t="s">
        <v>28</v>
      </c>
      <c r="B640" s="4" t="s">
        <v>35</v>
      </c>
      <c r="C640" s="4" t="s">
        <v>44</v>
      </c>
      <c r="D640" s="4" t="s">
        <v>47</v>
      </c>
      <c r="E640" s="4" t="s">
        <v>25</v>
      </c>
      <c r="F640" s="4" t="s">
        <v>25</v>
      </c>
      <c r="G640" s="4" t="s">
        <v>25</v>
      </c>
      <c r="H640" s="4" t="s">
        <v>37</v>
      </c>
      <c r="I640" s="5">
        <v>44256</v>
      </c>
      <c r="J640" s="6">
        <v>584</v>
      </c>
      <c r="K640" s="77">
        <v>584</v>
      </c>
      <c r="L640" s="6">
        <v>27.468</v>
      </c>
      <c r="M640" s="77">
        <v>27.468</v>
      </c>
      <c r="N640" s="6">
        <v>27.468</v>
      </c>
      <c r="O640" s="77">
        <v>27.468</v>
      </c>
      <c r="P640" s="6">
        <v>0</v>
      </c>
      <c r="Q640" s="4" t="s">
        <v>26</v>
      </c>
      <c r="R640" s="4">
        <v>0</v>
      </c>
      <c r="S640" s="6">
        <v>28</v>
      </c>
      <c r="T640" s="6">
        <v>30</v>
      </c>
      <c r="U640" s="6">
        <v>66</v>
      </c>
      <c r="V640" s="77">
        <f>IF(ISERROR(VLOOKUP($S$640,'TAR FIN'!$A$1:$O$95,15,0)),0,VLOOKUP($S$640,'TAR FIN'!$A$1:$O$95,15,0))*(1-0.06)</f>
        <v>49.810600000000001</v>
      </c>
      <c r="W640" s="77">
        <f>IF(ISERROR(VLOOKUP($T$640,'TAR FIN'!$A$1:$O$95,15,0)),0,VLOOKUP($T$640,'TAR FIN'!$A$1:$O$95,15,0))*(1-0.06)</f>
        <v>140.65219999999999</v>
      </c>
      <c r="X640" s="77">
        <f>IF(ISERROR(VLOOKUP($U$640,'TAR FIN'!$A$1:$O$95,15,0)),0,VLOOKUP($U$640,'TAR FIN'!$A$1:$O$95,15,0))*(1-0.06)</f>
        <v>365.92319999999995</v>
      </c>
      <c r="Y640" s="77">
        <f ca="1">('TUSD BE'!$AM$10+'TUSD BF'!$AM$10+'TUSD CVA'!$AM$10)*1*(1-0.04)</f>
        <v>56.905297608167956</v>
      </c>
      <c r="Z640" s="77">
        <f ca="1">('TUSD BE'!$AM$12+'TUSD BF'!$AM$12+'TUSD CVA'!$AM$12)*1*(1-0.04)</f>
        <v>161.7728460762047</v>
      </c>
      <c r="AA640" s="77">
        <f>('TE BE'!$AA$7+'TE BF'!$AA$7+'TE CVA'!$AA$7)*1*(1-0.04)</f>
        <v>436.15542521126838</v>
      </c>
      <c r="AB640" s="6">
        <f>$K$640*$V$640</f>
        <v>29089.3904</v>
      </c>
      <c r="AC640" s="6">
        <f>$M$640*$W$640</f>
        <v>3863.4346295999999</v>
      </c>
      <c r="AD640" s="6">
        <f>$O$640*$X$640</f>
        <v>10051.178457599999</v>
      </c>
      <c r="AE640" s="6">
        <f ca="1">$K$640*$Y$640</f>
        <v>33232.693803170085</v>
      </c>
      <c r="AF640" s="6">
        <f ca="1">$M$640*$Z$640</f>
        <v>4443.5765360211908</v>
      </c>
      <c r="AG640" s="6">
        <f>$O$640*$AA$640</f>
        <v>11980.31721970312</v>
      </c>
    </row>
    <row r="641" spans="1:33" ht="11.25" customHeight="1" x14ac:dyDescent="0.25">
      <c r="A641" s="4" t="s">
        <v>21</v>
      </c>
      <c r="B641" s="4" t="s">
        <v>35</v>
      </c>
      <c r="C641" s="4" t="s">
        <v>44</v>
      </c>
      <c r="D641" s="4" t="s">
        <v>47</v>
      </c>
      <c r="E641" s="4" t="s">
        <v>25</v>
      </c>
      <c r="F641" s="4" t="s">
        <v>25</v>
      </c>
      <c r="G641" s="4" t="s">
        <v>25</v>
      </c>
      <c r="H641" s="4" t="s">
        <v>37</v>
      </c>
      <c r="I641" s="5">
        <v>44287</v>
      </c>
      <c r="J641" s="6">
        <v>95</v>
      </c>
      <c r="K641" s="77">
        <v>95</v>
      </c>
      <c r="L641" s="6">
        <v>3.58</v>
      </c>
      <c r="M641" s="77">
        <v>3.58</v>
      </c>
      <c r="N641" s="6">
        <v>3.58</v>
      </c>
      <c r="O641" s="77">
        <v>3.58</v>
      </c>
      <c r="P641" s="6">
        <v>0</v>
      </c>
      <c r="Q641" s="4" t="s">
        <v>26</v>
      </c>
      <c r="R641" s="4">
        <v>0</v>
      </c>
      <c r="S641" s="6">
        <v>28</v>
      </c>
      <c r="T641" s="6">
        <v>30</v>
      </c>
      <c r="U641" s="6">
        <v>66</v>
      </c>
      <c r="V641" s="77">
        <f>IF(ISERROR(VLOOKUP($S$641,'TAR FIN'!$A$1:$O$95,15,0)),0,VLOOKUP($S$641,'TAR FIN'!$A$1:$O$95,15,0))*(1-0.06)</f>
        <v>49.810600000000001</v>
      </c>
      <c r="W641" s="77">
        <f>IF(ISERROR(VLOOKUP($T$641,'TAR FIN'!$A$1:$O$95,15,0)),0,VLOOKUP($T$641,'TAR FIN'!$A$1:$O$95,15,0))*(1-0.06)</f>
        <v>140.65219999999999</v>
      </c>
      <c r="X641" s="77">
        <f>IF(ISERROR(VLOOKUP($U$641,'TAR FIN'!$A$1:$O$95,15,0)),0,VLOOKUP($U$641,'TAR FIN'!$A$1:$O$95,15,0))*(1-0.06)</f>
        <v>365.92319999999995</v>
      </c>
      <c r="Y641" s="77">
        <f ca="1">('TUSD BE'!$AM$10+'TUSD BF'!$AM$10+'TUSD CVA'!$AM$10)*1*(1-0.04)</f>
        <v>56.905297608167956</v>
      </c>
      <c r="Z641" s="77">
        <f ca="1">('TUSD BE'!$AM$12+'TUSD BF'!$AM$12+'TUSD CVA'!$AM$12)*1*(1-0.04)</f>
        <v>161.7728460762047</v>
      </c>
      <c r="AA641" s="77">
        <f>('TE BE'!$AA$7+'TE BF'!$AA$7+'TE CVA'!$AA$7)*1*(1-0.04)</f>
        <v>436.15542521126838</v>
      </c>
      <c r="AB641" s="6">
        <f>$K$641*$V$641</f>
        <v>4732.0070000000005</v>
      </c>
      <c r="AC641" s="6">
        <f>$M$641*$W$641</f>
        <v>503.534876</v>
      </c>
      <c r="AD641" s="6">
        <f>$O$641*$X$641</f>
        <v>1310.0050559999997</v>
      </c>
      <c r="AE641" s="6">
        <f ca="1">$K$641*$Y$641</f>
        <v>5406.0032727759562</v>
      </c>
      <c r="AF641" s="6">
        <f ca="1">$M$641*$Z$641</f>
        <v>579.14678895281281</v>
      </c>
      <c r="AG641" s="6">
        <f>$O$641*$AA$641</f>
        <v>1561.4364222563408</v>
      </c>
    </row>
    <row r="642" spans="1:33" ht="11.25" customHeight="1" x14ac:dyDescent="0.25">
      <c r="A642" s="4" t="s">
        <v>28</v>
      </c>
      <c r="B642" s="4" t="s">
        <v>35</v>
      </c>
      <c r="C642" s="4" t="s">
        <v>44</v>
      </c>
      <c r="D642" s="4" t="s">
        <v>47</v>
      </c>
      <c r="E642" s="4" t="s">
        <v>25</v>
      </c>
      <c r="F642" s="4" t="s">
        <v>25</v>
      </c>
      <c r="G642" s="4" t="s">
        <v>25</v>
      </c>
      <c r="H642" s="4" t="s">
        <v>37</v>
      </c>
      <c r="I642" s="5">
        <v>44287</v>
      </c>
      <c r="J642" s="6">
        <v>702</v>
      </c>
      <c r="K642" s="77">
        <v>702</v>
      </c>
      <c r="L642" s="6">
        <v>27.431999999999999</v>
      </c>
      <c r="M642" s="77">
        <v>27.431999999999999</v>
      </c>
      <c r="N642" s="6">
        <v>27.431999999999999</v>
      </c>
      <c r="O642" s="77">
        <v>27.431999999999999</v>
      </c>
      <c r="P642" s="6">
        <v>0</v>
      </c>
      <c r="Q642" s="4" t="s">
        <v>26</v>
      </c>
      <c r="R642" s="4">
        <v>0</v>
      </c>
      <c r="S642" s="6">
        <v>28</v>
      </c>
      <c r="T642" s="6">
        <v>30</v>
      </c>
      <c r="U642" s="6">
        <v>66</v>
      </c>
      <c r="V642" s="77">
        <f>IF(ISERROR(VLOOKUP($S$642,'TAR FIN'!$A$1:$O$95,15,0)),0,VLOOKUP($S$642,'TAR FIN'!$A$1:$O$95,15,0))*(1-0.06)</f>
        <v>49.810600000000001</v>
      </c>
      <c r="W642" s="77">
        <f>IF(ISERROR(VLOOKUP($T$642,'TAR FIN'!$A$1:$O$95,15,0)),0,VLOOKUP($T$642,'TAR FIN'!$A$1:$O$95,15,0))*(1-0.06)</f>
        <v>140.65219999999999</v>
      </c>
      <c r="X642" s="77">
        <f>IF(ISERROR(VLOOKUP($U$642,'TAR FIN'!$A$1:$O$95,15,0)),0,VLOOKUP($U$642,'TAR FIN'!$A$1:$O$95,15,0))*(1-0.06)</f>
        <v>365.92319999999995</v>
      </c>
      <c r="Y642" s="77">
        <f ca="1">('TUSD BE'!$AM$10+'TUSD BF'!$AM$10+'TUSD CVA'!$AM$10)*1*(1-0.04)</f>
        <v>56.905297608167956</v>
      </c>
      <c r="Z642" s="77">
        <f ca="1">('TUSD BE'!$AM$12+'TUSD BF'!$AM$12+'TUSD CVA'!$AM$12)*1*(1-0.04)</f>
        <v>161.7728460762047</v>
      </c>
      <c r="AA642" s="77">
        <f>('TE BE'!$AA$7+'TE BF'!$AA$7+'TE CVA'!$AA$7)*1*(1-0.04)</f>
        <v>436.15542521126838</v>
      </c>
      <c r="AB642" s="6">
        <f>$K$642*$V$642</f>
        <v>34967.0412</v>
      </c>
      <c r="AC642" s="6">
        <f>$M$642*$W$642</f>
        <v>3858.3711503999998</v>
      </c>
      <c r="AD642" s="6">
        <f>$O$642*$X$642</f>
        <v>10038.005222399997</v>
      </c>
      <c r="AE642" s="6">
        <f ca="1">$K$642*$Y$642</f>
        <v>39947.518920933908</v>
      </c>
      <c r="AF642" s="6">
        <f ca="1">$M$642*$Z$642</f>
        <v>4437.7527135624468</v>
      </c>
      <c r="AG642" s="6">
        <f>$O$642*$AA$642</f>
        <v>11964.615624395514</v>
      </c>
    </row>
    <row r="643" spans="1:33" ht="11.25" customHeight="1" x14ac:dyDescent="0.25">
      <c r="A643" s="4" t="s">
        <v>21</v>
      </c>
      <c r="B643" s="4" t="s">
        <v>35</v>
      </c>
      <c r="C643" s="4" t="s">
        <v>44</v>
      </c>
      <c r="D643" s="4" t="s">
        <v>47</v>
      </c>
      <c r="E643" s="4" t="s">
        <v>25</v>
      </c>
      <c r="F643" s="4" t="s">
        <v>25</v>
      </c>
      <c r="G643" s="4" t="s">
        <v>25</v>
      </c>
      <c r="H643" s="4" t="s">
        <v>37</v>
      </c>
      <c r="I643" s="5">
        <v>44317</v>
      </c>
      <c r="J643" s="6">
        <v>94</v>
      </c>
      <c r="K643" s="77">
        <v>94</v>
      </c>
      <c r="L643" s="6">
        <v>3.7749999999999999</v>
      </c>
      <c r="M643" s="77">
        <v>3.7749999999999999</v>
      </c>
      <c r="N643" s="6">
        <v>3.7749999999999999</v>
      </c>
      <c r="O643" s="77">
        <v>3.7749999999999999</v>
      </c>
      <c r="P643" s="6">
        <v>0</v>
      </c>
      <c r="Q643" s="4" t="s">
        <v>26</v>
      </c>
      <c r="R643" s="4">
        <v>0</v>
      </c>
      <c r="S643" s="6">
        <v>28</v>
      </c>
      <c r="T643" s="6">
        <v>30</v>
      </c>
      <c r="U643" s="6">
        <v>66</v>
      </c>
      <c r="V643" s="77">
        <f>IF(ISERROR(VLOOKUP($S$643,'TAR FIN'!$A$1:$O$95,15,0)),0,VLOOKUP($S$643,'TAR FIN'!$A$1:$O$95,15,0))*(1-0.06)</f>
        <v>49.810600000000001</v>
      </c>
      <c r="W643" s="77">
        <f>IF(ISERROR(VLOOKUP($T$643,'TAR FIN'!$A$1:$O$95,15,0)),0,VLOOKUP($T$643,'TAR FIN'!$A$1:$O$95,15,0))*(1-0.06)</f>
        <v>140.65219999999999</v>
      </c>
      <c r="X643" s="77">
        <f>IF(ISERROR(VLOOKUP($U$643,'TAR FIN'!$A$1:$O$95,15,0)),0,VLOOKUP($U$643,'TAR FIN'!$A$1:$O$95,15,0))*(1-0.06)</f>
        <v>365.92319999999995</v>
      </c>
      <c r="Y643" s="77">
        <f ca="1">('TUSD BE'!$AM$10+'TUSD BF'!$AM$10+'TUSD CVA'!$AM$10)*1*(1-0.04)</f>
        <v>56.905297608167956</v>
      </c>
      <c r="Z643" s="77">
        <f ca="1">('TUSD BE'!$AM$12+'TUSD BF'!$AM$12+'TUSD CVA'!$AM$12)*1*(1-0.04)</f>
        <v>161.7728460762047</v>
      </c>
      <c r="AA643" s="77">
        <f>('TE BE'!$AA$7+'TE BF'!$AA$7+'TE CVA'!$AA$7)*1*(1-0.04)</f>
        <v>436.15542521126838</v>
      </c>
      <c r="AB643" s="6">
        <f>$K$643*$V$643</f>
        <v>4682.1963999999998</v>
      </c>
      <c r="AC643" s="6">
        <f>$M$643*$W$643</f>
        <v>530.96205499999996</v>
      </c>
      <c r="AD643" s="6">
        <f>$O$643*$X$643</f>
        <v>1381.3600799999997</v>
      </c>
      <c r="AE643" s="6">
        <f ca="1">$K$643*$Y$643</f>
        <v>5349.0979751677878</v>
      </c>
      <c r="AF643" s="6">
        <f ca="1">$M$643*$Z$643</f>
        <v>610.69249393767268</v>
      </c>
      <c r="AG643" s="6">
        <f>$O$643*$AA$643</f>
        <v>1646.486730172538</v>
      </c>
    </row>
    <row r="644" spans="1:33" ht="11.25" customHeight="1" x14ac:dyDescent="0.25">
      <c r="A644" s="4" t="s">
        <v>28</v>
      </c>
      <c r="B644" s="4" t="s">
        <v>35</v>
      </c>
      <c r="C644" s="4" t="s">
        <v>44</v>
      </c>
      <c r="D644" s="4" t="s">
        <v>47</v>
      </c>
      <c r="E644" s="4" t="s">
        <v>25</v>
      </c>
      <c r="F644" s="4" t="s">
        <v>25</v>
      </c>
      <c r="G644" s="4" t="s">
        <v>25</v>
      </c>
      <c r="H644" s="4" t="s">
        <v>37</v>
      </c>
      <c r="I644" s="5">
        <v>44317</v>
      </c>
      <c r="J644" s="6">
        <v>638</v>
      </c>
      <c r="K644" s="77">
        <v>638</v>
      </c>
      <c r="L644" s="6">
        <v>32.472000000000001</v>
      </c>
      <c r="M644" s="77">
        <v>32.472000000000001</v>
      </c>
      <c r="N644" s="6">
        <v>32.472000000000001</v>
      </c>
      <c r="O644" s="77">
        <v>32.472000000000001</v>
      </c>
      <c r="P644" s="6">
        <v>0</v>
      </c>
      <c r="Q644" s="4" t="s">
        <v>26</v>
      </c>
      <c r="R644" s="4">
        <v>0</v>
      </c>
      <c r="S644" s="6">
        <v>28</v>
      </c>
      <c r="T644" s="6">
        <v>30</v>
      </c>
      <c r="U644" s="6">
        <v>66</v>
      </c>
      <c r="V644" s="77">
        <f>IF(ISERROR(VLOOKUP($S$644,'TAR FIN'!$A$1:$O$95,15,0)),0,VLOOKUP($S$644,'TAR FIN'!$A$1:$O$95,15,0))*(1-0.06)</f>
        <v>49.810600000000001</v>
      </c>
      <c r="W644" s="77">
        <f>IF(ISERROR(VLOOKUP($T$644,'TAR FIN'!$A$1:$O$95,15,0)),0,VLOOKUP($T$644,'TAR FIN'!$A$1:$O$95,15,0))*(1-0.06)</f>
        <v>140.65219999999999</v>
      </c>
      <c r="X644" s="77">
        <f>IF(ISERROR(VLOOKUP($U$644,'TAR FIN'!$A$1:$O$95,15,0)),0,VLOOKUP($U$644,'TAR FIN'!$A$1:$O$95,15,0))*(1-0.06)</f>
        <v>365.92319999999995</v>
      </c>
      <c r="Y644" s="77">
        <f ca="1">('TUSD BE'!$AM$10+'TUSD BF'!$AM$10+'TUSD CVA'!$AM$10)*1*(1-0.04)</f>
        <v>56.905297608167956</v>
      </c>
      <c r="Z644" s="77">
        <f ca="1">('TUSD BE'!$AM$12+'TUSD BF'!$AM$12+'TUSD CVA'!$AM$12)*1*(1-0.04)</f>
        <v>161.7728460762047</v>
      </c>
      <c r="AA644" s="77">
        <f>('TE BE'!$AA$7+'TE BF'!$AA$7+'TE CVA'!$AA$7)*1*(1-0.04)</f>
        <v>436.15542521126838</v>
      </c>
      <c r="AB644" s="6">
        <f>$K$644*$V$644</f>
        <v>31779.162800000002</v>
      </c>
      <c r="AC644" s="6">
        <f>$M$644*$W$644</f>
        <v>4567.2582383999998</v>
      </c>
      <c r="AD644" s="6">
        <f>$O$644*$X$644</f>
        <v>11882.258150399999</v>
      </c>
      <c r="AE644" s="6">
        <f ca="1">$K$644*$Y$644</f>
        <v>36305.579874011157</v>
      </c>
      <c r="AF644" s="6">
        <f ca="1">$M$644*$Z$644</f>
        <v>5253.0878577865196</v>
      </c>
      <c r="AG644" s="6">
        <f>$O$644*$AA$644</f>
        <v>14162.838967460308</v>
      </c>
    </row>
    <row r="645" spans="1:33" ht="11.25" customHeight="1" x14ac:dyDescent="0.25">
      <c r="A645" s="4" t="s">
        <v>21</v>
      </c>
      <c r="B645" s="4" t="s">
        <v>35</v>
      </c>
      <c r="C645" s="4" t="s">
        <v>44</v>
      </c>
      <c r="D645" s="4" t="s">
        <v>47</v>
      </c>
      <c r="E645" s="4" t="s">
        <v>25</v>
      </c>
      <c r="F645" s="4" t="s">
        <v>25</v>
      </c>
      <c r="G645" s="4" t="s">
        <v>25</v>
      </c>
      <c r="H645" s="4" t="s">
        <v>37</v>
      </c>
      <c r="I645" s="5">
        <v>44348</v>
      </c>
      <c r="J645" s="6">
        <v>91</v>
      </c>
      <c r="K645" s="77">
        <v>91</v>
      </c>
      <c r="L645" s="6">
        <v>3.9079999999999999</v>
      </c>
      <c r="M645" s="77">
        <v>3.9079999999999999</v>
      </c>
      <c r="N645" s="6">
        <v>3.9079999999999999</v>
      </c>
      <c r="O645" s="77">
        <v>3.9079999999999999</v>
      </c>
      <c r="P645" s="6">
        <v>0</v>
      </c>
      <c r="Q645" s="4" t="s">
        <v>26</v>
      </c>
      <c r="R645" s="4">
        <v>0</v>
      </c>
      <c r="S645" s="6">
        <v>28</v>
      </c>
      <c r="T645" s="6">
        <v>30</v>
      </c>
      <c r="U645" s="6">
        <v>66</v>
      </c>
      <c r="V645" s="77">
        <f>IF(ISERROR(VLOOKUP($S$645,'TAR FIN'!$A$1:$O$95,15,0)),0,VLOOKUP($S$645,'TAR FIN'!$A$1:$O$95,15,0))*(1-0.06)</f>
        <v>49.810600000000001</v>
      </c>
      <c r="W645" s="77">
        <f>IF(ISERROR(VLOOKUP($T$645,'TAR FIN'!$A$1:$O$95,15,0)),0,VLOOKUP($T$645,'TAR FIN'!$A$1:$O$95,15,0))*(1-0.06)</f>
        <v>140.65219999999999</v>
      </c>
      <c r="X645" s="77">
        <f>IF(ISERROR(VLOOKUP($U$645,'TAR FIN'!$A$1:$O$95,15,0)),0,VLOOKUP($U$645,'TAR FIN'!$A$1:$O$95,15,0))*(1-0.06)</f>
        <v>365.92319999999995</v>
      </c>
      <c r="Y645" s="77">
        <f ca="1">('TUSD BE'!$AM$10+'TUSD BF'!$AM$10+'TUSD CVA'!$AM$10)*1*(1-0.04)</f>
        <v>56.905297608167956</v>
      </c>
      <c r="Z645" s="77">
        <f ca="1">('TUSD BE'!$AM$12+'TUSD BF'!$AM$12+'TUSD CVA'!$AM$12)*1*(1-0.04)</f>
        <v>161.7728460762047</v>
      </c>
      <c r="AA645" s="77">
        <f>('TE BE'!$AA$7+'TE BF'!$AA$7+'TE CVA'!$AA$7)*1*(1-0.04)</f>
        <v>436.15542521126838</v>
      </c>
      <c r="AB645" s="6">
        <f>$K$645*$V$645</f>
        <v>4532.7646000000004</v>
      </c>
      <c r="AC645" s="6">
        <f>$M$645*$W$645</f>
        <v>549.66879759999995</v>
      </c>
      <c r="AD645" s="6">
        <f>$O$645*$X$645</f>
        <v>1430.0278655999998</v>
      </c>
      <c r="AE645" s="6">
        <f ca="1">$K$645*$Y$645</f>
        <v>5178.3820823432843</v>
      </c>
      <c r="AF645" s="6">
        <f ca="1">$M$645*$Z$645</f>
        <v>632.208282465808</v>
      </c>
      <c r="AG645" s="6">
        <f>$O$645*$AA$645</f>
        <v>1704.4954017256368</v>
      </c>
    </row>
    <row r="646" spans="1:33" ht="11.25" customHeight="1" x14ac:dyDescent="0.25">
      <c r="A646" s="4" t="s">
        <v>28</v>
      </c>
      <c r="B646" s="4" t="s">
        <v>35</v>
      </c>
      <c r="C646" s="4" t="s">
        <v>44</v>
      </c>
      <c r="D646" s="4" t="s">
        <v>47</v>
      </c>
      <c r="E646" s="4" t="s">
        <v>25</v>
      </c>
      <c r="F646" s="4" t="s">
        <v>25</v>
      </c>
      <c r="G646" s="4" t="s">
        <v>25</v>
      </c>
      <c r="H646" s="4" t="s">
        <v>37</v>
      </c>
      <c r="I646" s="5">
        <v>44348</v>
      </c>
      <c r="J646" s="6">
        <v>615</v>
      </c>
      <c r="K646" s="77">
        <v>615</v>
      </c>
      <c r="L646" s="6">
        <v>21.815999999999999</v>
      </c>
      <c r="M646" s="77">
        <v>21.815999999999999</v>
      </c>
      <c r="N646" s="6">
        <v>21.815999999999999</v>
      </c>
      <c r="O646" s="77">
        <v>21.815999999999999</v>
      </c>
      <c r="P646" s="6">
        <v>0</v>
      </c>
      <c r="Q646" s="4" t="s">
        <v>26</v>
      </c>
      <c r="R646" s="4">
        <v>0</v>
      </c>
      <c r="S646" s="6">
        <v>28</v>
      </c>
      <c r="T646" s="6">
        <v>30</v>
      </c>
      <c r="U646" s="6">
        <v>66</v>
      </c>
      <c r="V646" s="77">
        <f>IF(ISERROR(VLOOKUP($S$646,'TAR FIN'!$A$1:$O$95,15,0)),0,VLOOKUP($S$646,'TAR FIN'!$A$1:$O$95,15,0))*(1-0.06)</f>
        <v>49.810600000000001</v>
      </c>
      <c r="W646" s="77">
        <f>IF(ISERROR(VLOOKUP($T$646,'TAR FIN'!$A$1:$O$95,15,0)),0,VLOOKUP($T$646,'TAR FIN'!$A$1:$O$95,15,0))*(1-0.06)</f>
        <v>140.65219999999999</v>
      </c>
      <c r="X646" s="77">
        <f>IF(ISERROR(VLOOKUP($U$646,'TAR FIN'!$A$1:$O$95,15,0)),0,VLOOKUP($U$646,'TAR FIN'!$A$1:$O$95,15,0))*(1-0.06)</f>
        <v>365.92319999999995</v>
      </c>
      <c r="Y646" s="77">
        <f ca="1">('TUSD BE'!$AM$10+'TUSD BF'!$AM$10+'TUSD CVA'!$AM$10)*1*(1-0.04)</f>
        <v>56.905297608167956</v>
      </c>
      <c r="Z646" s="77">
        <f ca="1">('TUSD BE'!$AM$12+'TUSD BF'!$AM$12+'TUSD CVA'!$AM$12)*1*(1-0.04)</f>
        <v>161.7728460762047</v>
      </c>
      <c r="AA646" s="77">
        <f>('TE BE'!$AA$7+'TE BF'!$AA$7+'TE CVA'!$AA$7)*1*(1-0.04)</f>
        <v>436.15542521126838</v>
      </c>
      <c r="AB646" s="6">
        <f>$K$646*$V$646</f>
        <v>30633.519</v>
      </c>
      <c r="AC646" s="6">
        <f>$M$646*$W$646</f>
        <v>3068.4683951999996</v>
      </c>
      <c r="AD646" s="6">
        <f>$O$646*$X$646</f>
        <v>7982.9805311999989</v>
      </c>
      <c r="AE646" s="6">
        <f ca="1">$K$646*$Y$646</f>
        <v>34996.758029023295</v>
      </c>
      <c r="AF646" s="6">
        <f ca="1">$M$646*$Z$646</f>
        <v>3529.2364099984816</v>
      </c>
      <c r="AG646" s="6">
        <f>$O$646*$AA$646</f>
        <v>9515.1667564090312</v>
      </c>
    </row>
    <row r="647" spans="1:33" ht="11.25" customHeight="1" x14ac:dyDescent="0.25">
      <c r="A647" s="4" t="s">
        <v>21</v>
      </c>
      <c r="B647" s="4" t="s">
        <v>35</v>
      </c>
      <c r="C647" s="4" t="s">
        <v>44</v>
      </c>
      <c r="D647" s="4" t="s">
        <v>47</v>
      </c>
      <c r="E647" s="4" t="s">
        <v>25</v>
      </c>
      <c r="F647" s="4" t="s">
        <v>25</v>
      </c>
      <c r="G647" s="4" t="s">
        <v>25</v>
      </c>
      <c r="H647" s="4" t="s">
        <v>37</v>
      </c>
      <c r="I647" s="5">
        <v>44378</v>
      </c>
      <c r="J647" s="6">
        <v>99</v>
      </c>
      <c r="K647" s="77">
        <v>99</v>
      </c>
      <c r="L647" s="6">
        <v>4.2619999999999996</v>
      </c>
      <c r="M647" s="77">
        <v>4.2619999999999996</v>
      </c>
      <c r="N647" s="6">
        <v>4.2619999999999996</v>
      </c>
      <c r="O647" s="77">
        <v>4.2619999999999996</v>
      </c>
      <c r="P647" s="6">
        <v>0</v>
      </c>
      <c r="Q647" s="4" t="s">
        <v>26</v>
      </c>
      <c r="R647" s="4">
        <v>0</v>
      </c>
      <c r="S647" s="6">
        <v>28</v>
      </c>
      <c r="T647" s="6">
        <v>30</v>
      </c>
      <c r="U647" s="6">
        <v>66</v>
      </c>
      <c r="V647" s="77">
        <f>IF(ISERROR(VLOOKUP($S$647,'TAR FIN'!$A$1:$O$95,15,0)),0,VLOOKUP($S$647,'TAR FIN'!$A$1:$O$95,15,0))*(1-0.06)</f>
        <v>49.810600000000001</v>
      </c>
      <c r="W647" s="77">
        <f>IF(ISERROR(VLOOKUP($T$647,'TAR FIN'!$A$1:$O$95,15,0)),0,VLOOKUP($T$647,'TAR FIN'!$A$1:$O$95,15,0))*(1-0.06)</f>
        <v>140.65219999999999</v>
      </c>
      <c r="X647" s="77">
        <f>IF(ISERROR(VLOOKUP($U$647,'TAR FIN'!$A$1:$O$95,15,0)),0,VLOOKUP($U$647,'TAR FIN'!$A$1:$O$95,15,0))*(1-0.06)</f>
        <v>365.92319999999995</v>
      </c>
      <c r="Y647" s="77">
        <f ca="1">('TUSD BE'!$AM$10+'TUSD BF'!$AM$10+'TUSD CVA'!$AM$10)*1*(1-0.04)</f>
        <v>56.905297608167956</v>
      </c>
      <c r="Z647" s="77">
        <f ca="1">('TUSD BE'!$AM$12+'TUSD BF'!$AM$12+'TUSD CVA'!$AM$12)*1*(1-0.04)</f>
        <v>161.7728460762047</v>
      </c>
      <c r="AA647" s="77">
        <f>('TE BE'!$AA$7+'TE BF'!$AA$7+'TE CVA'!$AA$7)*1*(1-0.04)</f>
        <v>436.15542521126838</v>
      </c>
      <c r="AB647" s="6">
        <f>$K$647*$V$647</f>
        <v>4931.2493999999997</v>
      </c>
      <c r="AC647" s="6">
        <f>$M$647*$W$647</f>
        <v>599.45967639999992</v>
      </c>
      <c r="AD647" s="6">
        <f>$O$647*$X$647</f>
        <v>1559.5646783999996</v>
      </c>
      <c r="AE647" s="6">
        <f ca="1">$K$647*$Y$647</f>
        <v>5633.6244632086273</v>
      </c>
      <c r="AF647" s="6">
        <f ca="1">$M$647*$Z$647</f>
        <v>689.47586997678434</v>
      </c>
      <c r="AG647" s="6">
        <f>$O$647*$AA$647</f>
        <v>1858.8944222504256</v>
      </c>
    </row>
    <row r="648" spans="1:33" ht="11.25" customHeight="1" x14ac:dyDescent="0.25">
      <c r="A648" s="4" t="s">
        <v>28</v>
      </c>
      <c r="B648" s="4" t="s">
        <v>35</v>
      </c>
      <c r="C648" s="4" t="s">
        <v>44</v>
      </c>
      <c r="D648" s="4" t="s">
        <v>47</v>
      </c>
      <c r="E648" s="4" t="s">
        <v>25</v>
      </c>
      <c r="F648" s="4" t="s">
        <v>25</v>
      </c>
      <c r="G648" s="4" t="s">
        <v>25</v>
      </c>
      <c r="H648" s="4" t="s">
        <v>37</v>
      </c>
      <c r="I648" s="5">
        <v>44378</v>
      </c>
      <c r="J648" s="6">
        <v>461</v>
      </c>
      <c r="K648" s="77">
        <v>461</v>
      </c>
      <c r="L648" s="6">
        <v>9.5039999999999996</v>
      </c>
      <c r="M648" s="77">
        <v>9.5039999999999996</v>
      </c>
      <c r="N648" s="6">
        <v>9.5039999999999996</v>
      </c>
      <c r="O648" s="77">
        <v>9.5039999999999996</v>
      </c>
      <c r="P648" s="6">
        <v>0</v>
      </c>
      <c r="Q648" s="4" t="s">
        <v>26</v>
      </c>
      <c r="R648" s="4">
        <v>0</v>
      </c>
      <c r="S648" s="6">
        <v>28</v>
      </c>
      <c r="T648" s="6">
        <v>30</v>
      </c>
      <c r="U648" s="6">
        <v>66</v>
      </c>
      <c r="V648" s="77">
        <f>IF(ISERROR(VLOOKUP($S$648,'TAR FIN'!$A$1:$O$95,15,0)),0,VLOOKUP($S$648,'TAR FIN'!$A$1:$O$95,15,0))*(1-0.06)</f>
        <v>49.810600000000001</v>
      </c>
      <c r="W648" s="77">
        <f>IF(ISERROR(VLOOKUP($T$648,'TAR FIN'!$A$1:$O$95,15,0)),0,VLOOKUP($T$648,'TAR FIN'!$A$1:$O$95,15,0))*(1-0.06)</f>
        <v>140.65219999999999</v>
      </c>
      <c r="X648" s="77">
        <f>IF(ISERROR(VLOOKUP($U$648,'TAR FIN'!$A$1:$O$95,15,0)),0,VLOOKUP($U$648,'TAR FIN'!$A$1:$O$95,15,0))*(1-0.06)</f>
        <v>365.92319999999995</v>
      </c>
      <c r="Y648" s="77">
        <f ca="1">('TUSD BE'!$AM$10+'TUSD BF'!$AM$10+'TUSD CVA'!$AM$10)*1*(1-0.04)</f>
        <v>56.905297608167956</v>
      </c>
      <c r="Z648" s="77">
        <f ca="1">('TUSD BE'!$AM$12+'TUSD BF'!$AM$12+'TUSD CVA'!$AM$12)*1*(1-0.04)</f>
        <v>161.7728460762047</v>
      </c>
      <c r="AA648" s="77">
        <f>('TE BE'!$AA$7+'TE BF'!$AA$7+'TE CVA'!$AA$7)*1*(1-0.04)</f>
        <v>436.15542521126838</v>
      </c>
      <c r="AB648" s="6">
        <f>$K$648*$V$648</f>
        <v>22962.686600000001</v>
      </c>
      <c r="AC648" s="6">
        <f>$M$648*$W$648</f>
        <v>1336.7585087999998</v>
      </c>
      <c r="AD648" s="6">
        <f>$O$648*$X$648</f>
        <v>3477.7340927999994</v>
      </c>
      <c r="AE648" s="6">
        <f ca="1">$K$648*$Y$648</f>
        <v>26233.342197365429</v>
      </c>
      <c r="AF648" s="6">
        <f ca="1">$M$648*$Z$648</f>
        <v>1537.4891291082495</v>
      </c>
      <c r="AG648" s="6">
        <f>$O$648*$AA$648</f>
        <v>4145.2211612078945</v>
      </c>
    </row>
    <row r="649" spans="1:33" ht="11.25" customHeight="1" x14ac:dyDescent="0.25">
      <c r="A649" s="4" t="s">
        <v>21</v>
      </c>
      <c r="B649" s="4" t="s">
        <v>35</v>
      </c>
      <c r="C649" s="4" t="s">
        <v>44</v>
      </c>
      <c r="D649" s="4" t="s">
        <v>47</v>
      </c>
      <c r="E649" s="4" t="s">
        <v>25</v>
      </c>
      <c r="F649" s="4" t="s">
        <v>25</v>
      </c>
      <c r="G649" s="4" t="s">
        <v>25</v>
      </c>
      <c r="H649" s="4" t="s">
        <v>37</v>
      </c>
      <c r="I649" s="5">
        <v>44409</v>
      </c>
      <c r="J649" s="6">
        <v>102</v>
      </c>
      <c r="K649" s="77">
        <v>102</v>
      </c>
      <c r="L649" s="6">
        <v>4.093</v>
      </c>
      <c r="M649" s="77">
        <v>4.093</v>
      </c>
      <c r="N649" s="6">
        <v>4.093</v>
      </c>
      <c r="O649" s="77">
        <v>4.093</v>
      </c>
      <c r="P649" s="6">
        <v>0</v>
      </c>
      <c r="Q649" s="4" t="s">
        <v>26</v>
      </c>
      <c r="R649" s="4">
        <v>0</v>
      </c>
      <c r="S649" s="6">
        <v>28</v>
      </c>
      <c r="T649" s="6">
        <v>30</v>
      </c>
      <c r="U649" s="6">
        <v>66</v>
      </c>
      <c r="V649" s="77">
        <f>IF(ISERROR(VLOOKUP($S$649,'TAR FIN'!$A$1:$O$95,15,0)),0,VLOOKUP($S$649,'TAR FIN'!$A$1:$O$95,15,0))*(1-0.06)</f>
        <v>49.810600000000001</v>
      </c>
      <c r="W649" s="77">
        <f>IF(ISERROR(VLOOKUP($T$649,'TAR FIN'!$A$1:$O$95,15,0)),0,VLOOKUP($T$649,'TAR FIN'!$A$1:$O$95,15,0))*(1-0.06)</f>
        <v>140.65219999999999</v>
      </c>
      <c r="X649" s="77">
        <f>IF(ISERROR(VLOOKUP($U$649,'TAR FIN'!$A$1:$O$95,15,0)),0,VLOOKUP($U$649,'TAR FIN'!$A$1:$O$95,15,0))*(1-0.06)</f>
        <v>365.92319999999995</v>
      </c>
      <c r="Y649" s="77">
        <f ca="1">('TUSD BE'!$AM$10+'TUSD BF'!$AM$10+'TUSD CVA'!$AM$10)*1*(1-0.04)</f>
        <v>56.905297608167956</v>
      </c>
      <c r="Z649" s="77">
        <f ca="1">('TUSD BE'!$AM$12+'TUSD BF'!$AM$12+'TUSD CVA'!$AM$12)*1*(1-0.04)</f>
        <v>161.7728460762047</v>
      </c>
      <c r="AA649" s="77">
        <f>('TE BE'!$AA$7+'TE BF'!$AA$7+'TE CVA'!$AA$7)*1*(1-0.04)</f>
        <v>436.15542521126838</v>
      </c>
      <c r="AB649" s="6">
        <f>$K$649*$V$649</f>
        <v>5080.6812</v>
      </c>
      <c r="AC649" s="6">
        <f>$M$649*$W$649</f>
        <v>575.68945459999998</v>
      </c>
      <c r="AD649" s="6">
        <f>$O$649*$X$649</f>
        <v>1497.7236575999998</v>
      </c>
      <c r="AE649" s="6">
        <f ca="1">$K$649*$Y$649</f>
        <v>5804.3403560331317</v>
      </c>
      <c r="AF649" s="6">
        <f ca="1">$M$649*$Z$649</f>
        <v>662.13625898990585</v>
      </c>
      <c r="AG649" s="6">
        <f>$O$649*$AA$649</f>
        <v>1785.1841553897214</v>
      </c>
    </row>
    <row r="650" spans="1:33" ht="11.25" customHeight="1" x14ac:dyDescent="0.25">
      <c r="A650" s="4" t="s">
        <v>28</v>
      </c>
      <c r="B650" s="4" t="s">
        <v>35</v>
      </c>
      <c r="C650" s="4" t="s">
        <v>44</v>
      </c>
      <c r="D650" s="4" t="s">
        <v>47</v>
      </c>
      <c r="E650" s="4" t="s">
        <v>25</v>
      </c>
      <c r="F650" s="4" t="s">
        <v>25</v>
      </c>
      <c r="G650" s="4" t="s">
        <v>25</v>
      </c>
      <c r="H650" s="4" t="s">
        <v>37</v>
      </c>
      <c r="I650" s="5">
        <v>44409</v>
      </c>
      <c r="J650" s="6">
        <v>719</v>
      </c>
      <c r="K650" s="77">
        <v>719</v>
      </c>
      <c r="L650" s="6">
        <v>10.656000000000001</v>
      </c>
      <c r="M650" s="77">
        <v>10.656000000000001</v>
      </c>
      <c r="N650" s="6">
        <v>10.656000000000001</v>
      </c>
      <c r="O650" s="77">
        <v>10.656000000000001</v>
      </c>
      <c r="P650" s="6">
        <v>0</v>
      </c>
      <c r="Q650" s="4" t="s">
        <v>26</v>
      </c>
      <c r="R650" s="4">
        <v>0</v>
      </c>
      <c r="S650" s="6">
        <v>28</v>
      </c>
      <c r="T650" s="6">
        <v>30</v>
      </c>
      <c r="U650" s="6">
        <v>66</v>
      </c>
      <c r="V650" s="77">
        <f>IF(ISERROR(VLOOKUP($S$650,'TAR FIN'!$A$1:$O$95,15,0)),0,VLOOKUP($S$650,'TAR FIN'!$A$1:$O$95,15,0))*(1-0.06)</f>
        <v>49.810600000000001</v>
      </c>
      <c r="W650" s="77">
        <f>IF(ISERROR(VLOOKUP($T$650,'TAR FIN'!$A$1:$O$95,15,0)),0,VLOOKUP($T$650,'TAR FIN'!$A$1:$O$95,15,0))*(1-0.06)</f>
        <v>140.65219999999999</v>
      </c>
      <c r="X650" s="77">
        <f>IF(ISERROR(VLOOKUP($U$650,'TAR FIN'!$A$1:$O$95,15,0)),0,VLOOKUP($U$650,'TAR FIN'!$A$1:$O$95,15,0))*(1-0.06)</f>
        <v>365.92319999999995</v>
      </c>
      <c r="Y650" s="77">
        <f ca="1">('TUSD BE'!$AM$10+'TUSD BF'!$AM$10+'TUSD CVA'!$AM$10)*1*(1-0.04)</f>
        <v>56.905297608167956</v>
      </c>
      <c r="Z650" s="77">
        <f ca="1">('TUSD BE'!$AM$12+'TUSD BF'!$AM$12+'TUSD CVA'!$AM$12)*1*(1-0.04)</f>
        <v>161.7728460762047</v>
      </c>
      <c r="AA650" s="77">
        <f>('TE BE'!$AA$7+'TE BF'!$AA$7+'TE CVA'!$AA$7)*1*(1-0.04)</f>
        <v>436.15542521126838</v>
      </c>
      <c r="AB650" s="6">
        <f>$K$650*$V$650</f>
        <v>35813.821400000001</v>
      </c>
      <c r="AC650" s="6">
        <f>$M$650*$W$650</f>
        <v>1498.7898432</v>
      </c>
      <c r="AD650" s="6">
        <f>$O$650*$X$650</f>
        <v>3899.2776191999997</v>
      </c>
      <c r="AE650" s="6">
        <f ca="1">$K$650*$Y$650</f>
        <v>40914.908980272761</v>
      </c>
      <c r="AF650" s="6">
        <f ca="1">$M$650*$Z$650</f>
        <v>1723.8514477880374</v>
      </c>
      <c r="AG650" s="6">
        <f>$O$650*$AA$650</f>
        <v>4647.6722110512765</v>
      </c>
    </row>
    <row r="651" spans="1:33" ht="11.25" customHeight="1" x14ac:dyDescent="0.25">
      <c r="A651" s="4" t="s">
        <v>21</v>
      </c>
      <c r="B651" s="4" t="s">
        <v>35</v>
      </c>
      <c r="C651" s="4" t="s">
        <v>44</v>
      </c>
      <c r="D651" s="4" t="s">
        <v>47</v>
      </c>
      <c r="E651" s="4" t="s">
        <v>25</v>
      </c>
      <c r="F651" s="4" t="s">
        <v>25</v>
      </c>
      <c r="G651" s="4" t="s">
        <v>25</v>
      </c>
      <c r="H651" s="4" t="s">
        <v>37</v>
      </c>
      <c r="I651" s="5">
        <v>44440</v>
      </c>
      <c r="J651" s="6">
        <v>660</v>
      </c>
      <c r="K651" s="77">
        <v>660</v>
      </c>
      <c r="L651" s="6">
        <v>4.327</v>
      </c>
      <c r="M651" s="77">
        <v>4.327</v>
      </c>
      <c r="N651" s="6">
        <v>4.327</v>
      </c>
      <c r="O651" s="77">
        <v>4.327</v>
      </c>
      <c r="P651" s="6">
        <v>0</v>
      </c>
      <c r="Q651" s="4" t="s">
        <v>26</v>
      </c>
      <c r="R651" s="4">
        <v>0</v>
      </c>
      <c r="S651" s="6">
        <v>28</v>
      </c>
      <c r="T651" s="6">
        <v>30</v>
      </c>
      <c r="U651" s="6">
        <v>66</v>
      </c>
      <c r="V651" s="77">
        <f>IF(ISERROR(VLOOKUP($S$651,'TAR FIN'!$A$1:$O$95,15,0)),0,VLOOKUP($S$651,'TAR FIN'!$A$1:$O$95,15,0))*(1-0.06)</f>
        <v>49.810600000000001</v>
      </c>
      <c r="W651" s="77">
        <f>IF(ISERROR(VLOOKUP($T$651,'TAR FIN'!$A$1:$O$95,15,0)),0,VLOOKUP($T$651,'TAR FIN'!$A$1:$O$95,15,0))*(1-0.06)</f>
        <v>140.65219999999999</v>
      </c>
      <c r="X651" s="77">
        <f>IF(ISERROR(VLOOKUP($U$651,'TAR FIN'!$A$1:$O$95,15,0)),0,VLOOKUP($U$651,'TAR FIN'!$A$1:$O$95,15,0))*(1-0.06)</f>
        <v>365.92319999999995</v>
      </c>
      <c r="Y651" s="77">
        <f ca="1">('TUSD BE'!$AM$10+'TUSD BF'!$AM$10+'TUSD CVA'!$AM$10)*1*(1-0.04)</f>
        <v>56.905297608167956</v>
      </c>
      <c r="Z651" s="77">
        <f ca="1">('TUSD BE'!$AM$12+'TUSD BF'!$AM$12+'TUSD CVA'!$AM$12)*1*(1-0.04)</f>
        <v>161.7728460762047</v>
      </c>
      <c r="AA651" s="77">
        <f>('TE BE'!$AA$7+'TE BF'!$AA$7+'TE CVA'!$AA$7)*1*(1-0.04)</f>
        <v>436.15542521126838</v>
      </c>
      <c r="AB651" s="6">
        <f>$K$651*$V$651</f>
        <v>32874.995999999999</v>
      </c>
      <c r="AC651" s="6">
        <f>$M$651*$W$651</f>
        <v>608.6020694</v>
      </c>
      <c r="AD651" s="6">
        <f>$O$651*$X$651</f>
        <v>1583.3496863999999</v>
      </c>
      <c r="AE651" s="6">
        <f ca="1">$K$651*$Y$651</f>
        <v>37557.496421390853</v>
      </c>
      <c r="AF651" s="6">
        <f ca="1">$M$651*$Z$651</f>
        <v>699.99110497173774</v>
      </c>
      <c r="AG651" s="6">
        <f>$O$651*$AA$651</f>
        <v>1887.2445248891584</v>
      </c>
    </row>
    <row r="652" spans="1:33" ht="11.25" customHeight="1" x14ac:dyDescent="0.25">
      <c r="A652" s="4" t="s">
        <v>28</v>
      </c>
      <c r="B652" s="4" t="s">
        <v>35</v>
      </c>
      <c r="C652" s="4" t="s">
        <v>44</v>
      </c>
      <c r="D652" s="4" t="s">
        <v>47</v>
      </c>
      <c r="E652" s="4" t="s">
        <v>25</v>
      </c>
      <c r="F652" s="4" t="s">
        <v>25</v>
      </c>
      <c r="G652" s="4" t="s">
        <v>25</v>
      </c>
      <c r="H652" s="4" t="s">
        <v>37</v>
      </c>
      <c r="I652" s="5">
        <v>44440</v>
      </c>
      <c r="J652" s="6">
        <v>671</v>
      </c>
      <c r="K652" s="77">
        <v>671</v>
      </c>
      <c r="L652" s="6">
        <v>7.6319999999999997</v>
      </c>
      <c r="M652" s="77">
        <v>7.6319999999999997</v>
      </c>
      <c r="N652" s="6">
        <v>7.6319999999999997</v>
      </c>
      <c r="O652" s="77">
        <v>7.6319999999999997</v>
      </c>
      <c r="P652" s="6">
        <v>0</v>
      </c>
      <c r="Q652" s="4" t="s">
        <v>26</v>
      </c>
      <c r="R652" s="4">
        <v>0</v>
      </c>
      <c r="S652" s="6">
        <v>28</v>
      </c>
      <c r="T652" s="6">
        <v>30</v>
      </c>
      <c r="U652" s="6">
        <v>66</v>
      </c>
      <c r="V652" s="77">
        <f>IF(ISERROR(VLOOKUP($S$652,'TAR FIN'!$A$1:$O$95,15,0)),0,VLOOKUP($S$652,'TAR FIN'!$A$1:$O$95,15,0))*(1-0.06)</f>
        <v>49.810600000000001</v>
      </c>
      <c r="W652" s="77">
        <f>IF(ISERROR(VLOOKUP($T$652,'TAR FIN'!$A$1:$O$95,15,0)),0,VLOOKUP($T$652,'TAR FIN'!$A$1:$O$95,15,0))*(1-0.06)</f>
        <v>140.65219999999999</v>
      </c>
      <c r="X652" s="77">
        <f>IF(ISERROR(VLOOKUP($U$652,'TAR FIN'!$A$1:$O$95,15,0)),0,VLOOKUP($U$652,'TAR FIN'!$A$1:$O$95,15,0))*(1-0.06)</f>
        <v>365.92319999999995</v>
      </c>
      <c r="Y652" s="77">
        <f ca="1">('TUSD BE'!$AM$10+'TUSD BF'!$AM$10+'TUSD CVA'!$AM$10)*1*(1-0.04)</f>
        <v>56.905297608167956</v>
      </c>
      <c r="Z652" s="77">
        <f ca="1">('TUSD BE'!$AM$12+'TUSD BF'!$AM$12+'TUSD CVA'!$AM$12)*1*(1-0.04)</f>
        <v>161.7728460762047</v>
      </c>
      <c r="AA652" s="77">
        <f>('TE BE'!$AA$7+'TE BF'!$AA$7+'TE CVA'!$AA$7)*1*(1-0.04)</f>
        <v>436.15542521126838</v>
      </c>
      <c r="AB652" s="6">
        <f>$K$652*$V$652</f>
        <v>33422.912600000003</v>
      </c>
      <c r="AC652" s="6">
        <f>$M$652*$W$652</f>
        <v>1073.4575903999998</v>
      </c>
      <c r="AD652" s="6">
        <f>$O$652*$X$652</f>
        <v>2792.7258623999996</v>
      </c>
      <c r="AE652" s="6">
        <f ca="1">$K$652*$Y$652</f>
        <v>38183.454695080698</v>
      </c>
      <c r="AF652" s="6">
        <f ca="1">$M$652*$Z$652</f>
        <v>1234.6503612535942</v>
      </c>
      <c r="AG652" s="6">
        <f>$O$652*$AA$652</f>
        <v>3328.7382052124003</v>
      </c>
    </row>
    <row r="653" spans="1:33" ht="11.25" customHeight="1" x14ac:dyDescent="0.25">
      <c r="A653" s="4" t="s">
        <v>59</v>
      </c>
      <c r="B653" s="4" t="s">
        <v>35</v>
      </c>
      <c r="C653" s="4" t="s">
        <v>44</v>
      </c>
      <c r="D653" s="4" t="s">
        <v>47</v>
      </c>
      <c r="E653" s="4" t="s">
        <v>25</v>
      </c>
      <c r="F653" s="4" t="s">
        <v>25</v>
      </c>
      <c r="G653" s="4" t="s">
        <v>25</v>
      </c>
      <c r="H653" s="4" t="s">
        <v>37</v>
      </c>
      <c r="I653" s="5">
        <v>44470</v>
      </c>
      <c r="J653" s="6">
        <v>660</v>
      </c>
      <c r="K653" s="77">
        <v>660</v>
      </c>
      <c r="L653" s="6">
        <v>4.327</v>
      </c>
      <c r="M653" s="77">
        <v>4.327</v>
      </c>
      <c r="N653" s="6">
        <v>4.327</v>
      </c>
      <c r="O653" s="77">
        <v>4.327</v>
      </c>
      <c r="P653" s="6">
        <v>0</v>
      </c>
      <c r="Q653" s="4" t="s">
        <v>26</v>
      </c>
      <c r="R653" s="4">
        <v>0</v>
      </c>
      <c r="S653" s="6">
        <v>28</v>
      </c>
      <c r="T653" s="6">
        <v>30</v>
      </c>
      <c r="U653" s="6">
        <v>66</v>
      </c>
      <c r="V653" s="77">
        <f>IF(ISERROR(VLOOKUP($S$653,'TAR FIN'!$A$1:$O$95,15,0)),0,VLOOKUP($S$653,'TAR FIN'!$A$1:$O$95,15,0))*(1-0.06)</f>
        <v>49.810600000000001</v>
      </c>
      <c r="W653" s="77">
        <f>IF(ISERROR(VLOOKUP($T$653,'TAR FIN'!$A$1:$O$95,15,0)),0,VLOOKUP($T$653,'TAR FIN'!$A$1:$O$95,15,0))*(1-0.06)</f>
        <v>140.65219999999999</v>
      </c>
      <c r="X653" s="77">
        <f>IF(ISERROR(VLOOKUP($U$653,'TAR FIN'!$A$1:$O$95,15,0)),0,VLOOKUP($U$653,'TAR FIN'!$A$1:$O$95,15,0))*(1-0.06)</f>
        <v>365.92319999999995</v>
      </c>
      <c r="Y653" s="77">
        <f ca="1">('TUSD BE'!$AM$10+'TUSD BF'!$AM$10+'TUSD CVA'!$AM$10)*1*(1-0.04)</f>
        <v>56.905297608167956</v>
      </c>
      <c r="Z653" s="77">
        <f ca="1">('TUSD BE'!$AM$12+'TUSD BF'!$AM$12+'TUSD CVA'!$AM$12)*1*(1-0.04)</f>
        <v>161.7728460762047</v>
      </c>
      <c r="AA653" s="77">
        <f>('TE BE'!$AA$7+'TE BF'!$AA$7+'TE CVA'!$AA$7)*1*(1-0.04)</f>
        <v>436.15542521126838</v>
      </c>
      <c r="AB653" s="6">
        <f>$K$653*$V$653</f>
        <v>32874.995999999999</v>
      </c>
      <c r="AC653" s="6">
        <f>$M$653*$W$653</f>
        <v>608.6020694</v>
      </c>
      <c r="AD653" s="6">
        <f>$O$653*$X$653</f>
        <v>1583.3496863999999</v>
      </c>
      <c r="AE653" s="6">
        <f ca="1">$K$653*$Y$653</f>
        <v>37557.496421390853</v>
      </c>
      <c r="AF653" s="6">
        <f ca="1">$M$653*$Z$653</f>
        <v>699.99110497173774</v>
      </c>
      <c r="AG653" s="6">
        <f>$O$653*$AA$653</f>
        <v>1887.2445248891584</v>
      </c>
    </row>
    <row r="654" spans="1:33" ht="11.25" customHeight="1" x14ac:dyDescent="0.25">
      <c r="A654" s="4" t="s">
        <v>59</v>
      </c>
      <c r="B654" s="4" t="s">
        <v>35</v>
      </c>
      <c r="C654" s="4" t="s">
        <v>44</v>
      </c>
      <c r="D654" s="4" t="s">
        <v>47</v>
      </c>
      <c r="E654" s="4" t="s">
        <v>25</v>
      </c>
      <c r="F654" s="4" t="s">
        <v>25</v>
      </c>
      <c r="G654" s="4" t="s">
        <v>25</v>
      </c>
      <c r="H654" s="4" t="s">
        <v>37</v>
      </c>
      <c r="I654" s="5">
        <v>44470</v>
      </c>
      <c r="J654" s="6">
        <v>671</v>
      </c>
      <c r="K654" s="77">
        <v>671</v>
      </c>
      <c r="L654" s="6">
        <v>7.6319999999999997</v>
      </c>
      <c r="M654" s="77">
        <v>7.6319999999999997</v>
      </c>
      <c r="N654" s="6">
        <v>7.6319999999999997</v>
      </c>
      <c r="O654" s="77">
        <v>7.6319999999999997</v>
      </c>
      <c r="P654" s="6">
        <v>0</v>
      </c>
      <c r="Q654" s="4" t="s">
        <v>26</v>
      </c>
      <c r="R654" s="4">
        <v>0</v>
      </c>
      <c r="S654" s="6">
        <v>28</v>
      </c>
      <c r="T654" s="6">
        <v>30</v>
      </c>
      <c r="U654" s="6">
        <v>66</v>
      </c>
      <c r="V654" s="77">
        <f>IF(ISERROR(VLOOKUP($S$654,'TAR FIN'!$A$1:$O$95,15,0)),0,VLOOKUP($S$654,'TAR FIN'!$A$1:$O$95,15,0))*(1-0.06)</f>
        <v>49.810600000000001</v>
      </c>
      <c r="W654" s="77">
        <f>IF(ISERROR(VLOOKUP($T$654,'TAR FIN'!$A$1:$O$95,15,0)),0,VLOOKUP($T$654,'TAR FIN'!$A$1:$O$95,15,0))*(1-0.06)</f>
        <v>140.65219999999999</v>
      </c>
      <c r="X654" s="77">
        <f>IF(ISERROR(VLOOKUP($U$654,'TAR FIN'!$A$1:$O$95,15,0)),0,VLOOKUP($U$654,'TAR FIN'!$A$1:$O$95,15,0))*(1-0.06)</f>
        <v>365.92319999999995</v>
      </c>
      <c r="Y654" s="77">
        <f ca="1">('TUSD BE'!$AM$10+'TUSD BF'!$AM$10+'TUSD CVA'!$AM$10)*1*(1-0.04)</f>
        <v>56.905297608167956</v>
      </c>
      <c r="Z654" s="77">
        <f ca="1">('TUSD BE'!$AM$12+'TUSD BF'!$AM$12+'TUSD CVA'!$AM$12)*1*(1-0.04)</f>
        <v>161.7728460762047</v>
      </c>
      <c r="AA654" s="77">
        <f>('TE BE'!$AA$7+'TE BF'!$AA$7+'TE CVA'!$AA$7)*1*(1-0.04)</f>
        <v>436.15542521126838</v>
      </c>
      <c r="AB654" s="6">
        <f>$K$654*$V$654</f>
        <v>33422.912600000003</v>
      </c>
      <c r="AC654" s="6">
        <f>$M$654*$W$654</f>
        <v>1073.4575903999998</v>
      </c>
      <c r="AD654" s="6">
        <f>$O$654*$X$654</f>
        <v>2792.7258623999996</v>
      </c>
      <c r="AE654" s="6">
        <f ca="1">$K$654*$Y$654</f>
        <v>38183.454695080698</v>
      </c>
      <c r="AF654" s="6">
        <f ca="1">$M$654*$Z$654</f>
        <v>1234.6503612535942</v>
      </c>
      <c r="AG654" s="6">
        <f>$O$654*$AA$654</f>
        <v>3328.7382052124003</v>
      </c>
    </row>
    <row r="655" spans="1:33" ht="11.25" customHeight="1" x14ac:dyDescent="0.25">
      <c r="A655" s="4" t="s">
        <v>21</v>
      </c>
      <c r="B655" s="4" t="s">
        <v>35</v>
      </c>
      <c r="C655" s="4" t="s">
        <v>44</v>
      </c>
      <c r="D655" s="4" t="s">
        <v>52</v>
      </c>
      <c r="E655" s="4" t="s">
        <v>53</v>
      </c>
      <c r="F655" s="4" t="s">
        <v>25</v>
      </c>
      <c r="G655" s="4" t="s">
        <v>25</v>
      </c>
      <c r="H655" s="4" t="s">
        <v>38</v>
      </c>
      <c r="I655" s="5">
        <v>44136</v>
      </c>
      <c r="J655" s="6">
        <v>1274</v>
      </c>
      <c r="K655" s="78">
        <v>1274</v>
      </c>
      <c r="L655" s="6">
        <v>446.23700000000002</v>
      </c>
      <c r="M655" s="77">
        <v>446.23700000000002</v>
      </c>
      <c r="N655" s="6">
        <v>446.23700000000002</v>
      </c>
      <c r="O655" s="77">
        <v>446.23700000000002</v>
      </c>
      <c r="P655" s="6">
        <v>0</v>
      </c>
      <c r="Q655" s="4" t="s">
        <v>26</v>
      </c>
      <c r="R655" s="4">
        <v>0</v>
      </c>
      <c r="S655" s="6">
        <v>29</v>
      </c>
      <c r="T655" s="6">
        <v>30</v>
      </c>
      <c r="U655" s="6">
        <v>67</v>
      </c>
      <c r="V655" s="77">
        <f>IF(ISERROR(VLOOKUP($S$655,'TAR FIN'!$A$1:$O$95,15,0)),0,VLOOKUP($S$655,'TAR FIN'!$A$1:$O$95,15,0))*(1-0.09)</f>
        <v>25.998699999999999</v>
      </c>
      <c r="W655" s="77">
        <f>IF(ISERROR(VLOOKUP($T$655,'TAR FIN'!$A$1:$O$95,15,0)),0,VLOOKUP($T$655,'TAR FIN'!$A$1:$O$95,15,0))*(1-0.09)</f>
        <v>136.16329999999999</v>
      </c>
      <c r="X655" s="77">
        <f>IF(ISERROR(VLOOKUP($U$655,'TAR FIN'!$A$1:$O$95,15,0)),0,VLOOKUP($U$655,'TAR FIN'!$A$1:$O$95,15,0))*(1-0.09)</f>
        <v>209.32730000000001</v>
      </c>
      <c r="Y655" s="77">
        <f ca="1">('TUSD BE'!$AM$11+'TUSD BF'!$AM$11+'TUSD CVA'!$AM$11)*1*(1-0.06)</f>
        <v>30.014803359426047</v>
      </c>
      <c r="Z655" s="77">
        <f ca="1">('TUSD BE'!$AM$12+'TUSD BF'!$AM$12+'TUSD CVA'!$AM$12)*1*(1-0.06)</f>
        <v>158.4025784496171</v>
      </c>
      <c r="AA655" s="77">
        <f>('TE BE'!$AA$8+'TE BF'!$AA$8+'TE CVA'!$AA$8)*1*(1-0.06)</f>
        <v>265.94235573400078</v>
      </c>
      <c r="AB655" s="6">
        <f>$K$655*$V$655</f>
        <v>33122.343800000002</v>
      </c>
      <c r="AC655" s="6">
        <f>$M$655*$W$655</f>
        <v>60761.102502100002</v>
      </c>
      <c r="AD655" s="6">
        <f>$O$655*$X$655</f>
        <v>93409.586370100005</v>
      </c>
      <c r="AE655" s="6">
        <f ca="1">$K$655*$Y$655</f>
        <v>38238.85947990878</v>
      </c>
      <c r="AF655" s="6">
        <f ca="1">$M$655*$Z$655</f>
        <v>70685.091399621786</v>
      </c>
      <c r="AG655" s="6">
        <f>$O$655*$AA$655</f>
        <v>118673.31899567331</v>
      </c>
    </row>
    <row r="656" spans="1:33" ht="11.25" customHeight="1" x14ac:dyDescent="0.25">
      <c r="A656" s="4" t="s">
        <v>28</v>
      </c>
      <c r="B656" s="4" t="s">
        <v>35</v>
      </c>
      <c r="C656" s="4" t="s">
        <v>44</v>
      </c>
      <c r="D656" s="4" t="s">
        <v>52</v>
      </c>
      <c r="E656" s="4" t="s">
        <v>53</v>
      </c>
      <c r="F656" s="4" t="s">
        <v>25</v>
      </c>
      <c r="G656" s="4" t="s">
        <v>25</v>
      </c>
      <c r="H656" s="4" t="s">
        <v>38</v>
      </c>
      <c r="I656" s="5">
        <v>44136</v>
      </c>
      <c r="J656" s="6">
        <v>605</v>
      </c>
      <c r="K656" s="78">
        <v>605</v>
      </c>
      <c r="L656" s="6">
        <v>261.67700000000002</v>
      </c>
      <c r="M656" s="77">
        <v>261.67700000000002</v>
      </c>
      <c r="N656" s="6">
        <v>261.67700000000002</v>
      </c>
      <c r="O656" s="77">
        <v>261.67700000000002</v>
      </c>
      <c r="P656" s="6">
        <v>0</v>
      </c>
      <c r="Q656" s="4" t="s">
        <v>26</v>
      </c>
      <c r="R656" s="4">
        <v>0</v>
      </c>
      <c r="S656" s="6">
        <v>29</v>
      </c>
      <c r="T656" s="6">
        <v>30</v>
      </c>
      <c r="U656" s="6">
        <v>67</v>
      </c>
      <c r="V656" s="77">
        <f>IF(ISERROR(VLOOKUP($S$656,'TAR FIN'!$A$1:$O$95,15,0)),0,VLOOKUP($S$656,'TAR FIN'!$A$1:$O$95,15,0))*(1-0.09)</f>
        <v>25.998699999999999</v>
      </c>
      <c r="W656" s="77">
        <f>IF(ISERROR(VLOOKUP($T$656,'TAR FIN'!$A$1:$O$95,15,0)),0,VLOOKUP($T$656,'TAR FIN'!$A$1:$O$95,15,0))*(1-0.09)</f>
        <v>136.16329999999999</v>
      </c>
      <c r="X656" s="77">
        <f>IF(ISERROR(VLOOKUP($U$656,'TAR FIN'!$A$1:$O$95,15,0)),0,VLOOKUP($U$656,'TAR FIN'!$A$1:$O$95,15,0))*(1-0.09)</f>
        <v>209.32730000000001</v>
      </c>
      <c r="Y656" s="77">
        <f ca="1">('TUSD BE'!$AM$11+'TUSD BF'!$AM$11+'TUSD CVA'!$AM$11)*1*(1-0.06)</f>
        <v>30.014803359426047</v>
      </c>
      <c r="Z656" s="77">
        <f ca="1">('TUSD BE'!$AM$12+'TUSD BF'!$AM$12+'TUSD CVA'!$AM$12)*1*(1-0.06)</f>
        <v>158.4025784496171</v>
      </c>
      <c r="AA656" s="77">
        <f>('TE BE'!$AA$8+'TE BF'!$AA$8+'TE CVA'!$AA$8)*1*(1-0.06)</f>
        <v>265.94235573400078</v>
      </c>
      <c r="AB656" s="6">
        <f>$K$656*$V$656</f>
        <v>15729.2135</v>
      </c>
      <c r="AC656" s="6">
        <f>$M$656*$W$656</f>
        <v>35630.803854099999</v>
      </c>
      <c r="AD656" s="6">
        <f>$O$656*$X$656</f>
        <v>54776.139882100004</v>
      </c>
      <c r="AE656" s="6">
        <f ca="1">$K$656*$Y$656</f>
        <v>18158.956032452759</v>
      </c>
      <c r="AF656" s="6">
        <f ca="1">$M$656*$Z$656</f>
        <v>41450.311520960458</v>
      </c>
      <c r="AG656" s="6">
        <f>$O$656*$AA$656</f>
        <v>69590.997821406127</v>
      </c>
    </row>
    <row r="657" spans="1:33" ht="11.25" customHeight="1" x14ac:dyDescent="0.25">
      <c r="A657" s="4" t="s">
        <v>21</v>
      </c>
      <c r="B657" s="4" t="s">
        <v>35</v>
      </c>
      <c r="C657" s="4" t="s">
        <v>44</v>
      </c>
      <c r="D657" s="4" t="s">
        <v>52</v>
      </c>
      <c r="E657" s="4" t="s">
        <v>53</v>
      </c>
      <c r="F657" s="4" t="s">
        <v>25</v>
      </c>
      <c r="G657" s="4" t="s">
        <v>25</v>
      </c>
      <c r="H657" s="4" t="s">
        <v>38</v>
      </c>
      <c r="I657" s="5">
        <v>44166</v>
      </c>
      <c r="J657" s="6">
        <v>1275</v>
      </c>
      <c r="K657" s="78">
        <v>1275</v>
      </c>
      <c r="L657" s="6">
        <v>462.72300000000001</v>
      </c>
      <c r="M657" s="77">
        <v>462.72300000000001</v>
      </c>
      <c r="N657" s="6">
        <v>462.72300000000001</v>
      </c>
      <c r="O657" s="77">
        <v>462.72300000000001</v>
      </c>
      <c r="P657" s="6">
        <v>0</v>
      </c>
      <c r="Q657" s="4" t="s">
        <v>26</v>
      </c>
      <c r="R657" s="4">
        <v>0</v>
      </c>
      <c r="S657" s="6">
        <v>29</v>
      </c>
      <c r="T657" s="6">
        <v>30</v>
      </c>
      <c r="U657" s="6">
        <v>67</v>
      </c>
      <c r="V657" s="77">
        <f>IF(ISERROR(VLOOKUP($S$657,'TAR FIN'!$A$1:$O$95,15,0)),0,VLOOKUP($S$657,'TAR FIN'!$A$1:$O$95,15,0))*(1-0.09)</f>
        <v>25.998699999999999</v>
      </c>
      <c r="W657" s="77">
        <f>IF(ISERROR(VLOOKUP($T$657,'TAR FIN'!$A$1:$O$95,15,0)),0,VLOOKUP($T$657,'TAR FIN'!$A$1:$O$95,15,0))*(1-0.09)</f>
        <v>136.16329999999999</v>
      </c>
      <c r="X657" s="77">
        <f>IF(ISERROR(VLOOKUP($U$657,'TAR FIN'!$A$1:$O$95,15,0)),0,VLOOKUP($U$657,'TAR FIN'!$A$1:$O$95,15,0))*(1-0.09)</f>
        <v>209.32730000000001</v>
      </c>
      <c r="Y657" s="77">
        <f ca="1">('TUSD BE'!$AM$11+'TUSD BF'!$AM$11+'TUSD CVA'!$AM$11)*1*(1-0.06)</f>
        <v>30.014803359426047</v>
      </c>
      <c r="Z657" s="77">
        <f ca="1">('TUSD BE'!$AM$12+'TUSD BF'!$AM$12+'TUSD CVA'!$AM$12)*1*(1-0.06)</f>
        <v>158.4025784496171</v>
      </c>
      <c r="AA657" s="77">
        <f>('TE BE'!$AA$8+'TE BF'!$AA$8+'TE CVA'!$AA$8)*1*(1-0.06)</f>
        <v>265.94235573400078</v>
      </c>
      <c r="AB657" s="6">
        <f>$K$657*$V$657</f>
        <v>33148.342499999999</v>
      </c>
      <c r="AC657" s="6">
        <f>$M$657*$W$657</f>
        <v>63005.890665899999</v>
      </c>
      <c r="AD657" s="6">
        <f>$O$657*$X$657</f>
        <v>96860.556237900004</v>
      </c>
      <c r="AE657" s="6">
        <f ca="1">$K$657*$Y$657</f>
        <v>38268.874283268211</v>
      </c>
      <c r="AF657" s="6">
        <f ca="1">$M$657*$Z$657</f>
        <v>73296.516307942176</v>
      </c>
      <c r="AG657" s="6">
        <f>$O$657*$AA$657</f>
        <v>123057.64467230404</v>
      </c>
    </row>
    <row r="658" spans="1:33" ht="11.25" customHeight="1" x14ac:dyDescent="0.25">
      <c r="A658" s="4" t="s">
        <v>28</v>
      </c>
      <c r="B658" s="4" t="s">
        <v>35</v>
      </c>
      <c r="C658" s="4" t="s">
        <v>44</v>
      </c>
      <c r="D658" s="4" t="s">
        <v>52</v>
      </c>
      <c r="E658" s="4" t="s">
        <v>53</v>
      </c>
      <c r="F658" s="4" t="s">
        <v>25</v>
      </c>
      <c r="G658" s="4" t="s">
        <v>25</v>
      </c>
      <c r="H658" s="4" t="s">
        <v>38</v>
      </c>
      <c r="I658" s="5">
        <v>44166</v>
      </c>
      <c r="J658" s="6">
        <v>612</v>
      </c>
      <c r="K658" s="78">
        <v>612</v>
      </c>
      <c r="L658" s="6">
        <v>299.572</v>
      </c>
      <c r="M658" s="77">
        <v>299.572</v>
      </c>
      <c r="N658" s="6">
        <v>299.572</v>
      </c>
      <c r="O658" s="77">
        <v>299.572</v>
      </c>
      <c r="P658" s="6">
        <v>0</v>
      </c>
      <c r="Q658" s="4" t="s">
        <v>26</v>
      </c>
      <c r="R658" s="4">
        <v>0</v>
      </c>
      <c r="S658" s="6">
        <v>29</v>
      </c>
      <c r="T658" s="6">
        <v>30</v>
      </c>
      <c r="U658" s="6">
        <v>67</v>
      </c>
      <c r="V658" s="77">
        <f>IF(ISERROR(VLOOKUP($S$658,'TAR FIN'!$A$1:$O$95,15,0)),0,VLOOKUP($S$658,'TAR FIN'!$A$1:$O$95,15,0))*(1-0.09)</f>
        <v>25.998699999999999</v>
      </c>
      <c r="W658" s="77">
        <f>IF(ISERROR(VLOOKUP($T$658,'TAR FIN'!$A$1:$O$95,15,0)),0,VLOOKUP($T$658,'TAR FIN'!$A$1:$O$95,15,0))*(1-0.09)</f>
        <v>136.16329999999999</v>
      </c>
      <c r="X658" s="77">
        <f>IF(ISERROR(VLOOKUP($U$658,'TAR FIN'!$A$1:$O$95,15,0)),0,VLOOKUP($U$658,'TAR FIN'!$A$1:$O$95,15,0))*(1-0.09)</f>
        <v>209.32730000000001</v>
      </c>
      <c r="Y658" s="77">
        <f ca="1">('TUSD BE'!$AM$11+'TUSD BF'!$AM$11+'TUSD CVA'!$AM$11)*1*(1-0.06)</f>
        <v>30.014803359426047</v>
      </c>
      <c r="Z658" s="77">
        <f ca="1">('TUSD BE'!$AM$12+'TUSD BF'!$AM$12+'TUSD CVA'!$AM$12)*1*(1-0.06)</f>
        <v>158.4025784496171</v>
      </c>
      <c r="AA658" s="77">
        <f>('TE BE'!$AA$8+'TE BF'!$AA$8+'TE CVA'!$AA$8)*1*(1-0.06)</f>
        <v>265.94235573400078</v>
      </c>
      <c r="AB658" s="6">
        <f>$K$658*$V$658</f>
        <v>15911.204400000001</v>
      </c>
      <c r="AC658" s="6">
        <f>$M$658*$W$658</f>
        <v>40790.712107599997</v>
      </c>
      <c r="AD658" s="6">
        <f>$O$658*$X$658</f>
        <v>62708.597915600003</v>
      </c>
      <c r="AE658" s="6">
        <f ca="1">$K$658*$Y$658</f>
        <v>18369.05965596874</v>
      </c>
      <c r="AF658" s="6">
        <f ca="1">$M$658*$Z$658</f>
        <v>47452.977231308694</v>
      </c>
      <c r="AG658" s="6">
        <f>$O$658*$AA$658</f>
        <v>79668.883391946089</v>
      </c>
    </row>
    <row r="659" spans="1:33" ht="11.25" customHeight="1" x14ac:dyDescent="0.25">
      <c r="A659" s="4" t="s">
        <v>21</v>
      </c>
      <c r="B659" s="4" t="s">
        <v>35</v>
      </c>
      <c r="C659" s="4" t="s">
        <v>44</v>
      </c>
      <c r="D659" s="4" t="s">
        <v>52</v>
      </c>
      <c r="E659" s="4" t="s">
        <v>53</v>
      </c>
      <c r="F659" s="4" t="s">
        <v>25</v>
      </c>
      <c r="G659" s="4" t="s">
        <v>25</v>
      </c>
      <c r="H659" s="4" t="s">
        <v>38</v>
      </c>
      <c r="I659" s="5">
        <v>44197</v>
      </c>
      <c r="J659" s="6">
        <v>1336</v>
      </c>
      <c r="K659" s="78">
        <v>1336</v>
      </c>
      <c r="L659" s="6">
        <v>461.69600000000003</v>
      </c>
      <c r="M659" s="77">
        <v>461.69600000000003</v>
      </c>
      <c r="N659" s="6">
        <v>461.69600000000003</v>
      </c>
      <c r="O659" s="77">
        <v>461.69600000000003</v>
      </c>
      <c r="P659" s="6">
        <v>0</v>
      </c>
      <c r="Q659" s="4" t="s">
        <v>26</v>
      </c>
      <c r="R659" s="4">
        <v>0</v>
      </c>
      <c r="S659" s="6">
        <v>29</v>
      </c>
      <c r="T659" s="6">
        <v>30</v>
      </c>
      <c r="U659" s="6">
        <v>67</v>
      </c>
      <c r="V659" s="77">
        <f>IF(ISERROR(VLOOKUP($S$659,'TAR FIN'!$A$1:$O$95,15,0)),0,VLOOKUP($S$659,'TAR FIN'!$A$1:$O$95,15,0))*(1-0.09)</f>
        <v>25.998699999999999</v>
      </c>
      <c r="W659" s="77">
        <f>IF(ISERROR(VLOOKUP($T$659,'TAR FIN'!$A$1:$O$95,15,0)),0,VLOOKUP($T$659,'TAR FIN'!$A$1:$O$95,15,0))*(1-0.09)</f>
        <v>136.16329999999999</v>
      </c>
      <c r="X659" s="77">
        <f>IF(ISERROR(VLOOKUP($U$659,'TAR FIN'!$A$1:$O$95,15,0)),0,VLOOKUP($U$659,'TAR FIN'!$A$1:$O$95,15,0))*(1-0.09)</f>
        <v>209.32730000000001</v>
      </c>
      <c r="Y659" s="77">
        <f ca="1">('TUSD BE'!$AM$11+'TUSD BF'!$AM$11+'TUSD CVA'!$AM$11)*1*(1-0.06)</f>
        <v>30.014803359426047</v>
      </c>
      <c r="Z659" s="77">
        <f ca="1">('TUSD BE'!$AM$12+'TUSD BF'!$AM$12+'TUSD CVA'!$AM$12)*1*(1-0.06)</f>
        <v>158.4025784496171</v>
      </c>
      <c r="AA659" s="77">
        <f>('TE BE'!$AA$8+'TE BF'!$AA$8+'TE CVA'!$AA$8)*1*(1-0.06)</f>
        <v>265.94235573400078</v>
      </c>
      <c r="AB659" s="6">
        <f>$K$659*$V$659</f>
        <v>34734.263200000001</v>
      </c>
      <c r="AC659" s="6">
        <f>$M$659*$W$659</f>
        <v>62866.050956799998</v>
      </c>
      <c r="AD659" s="6">
        <f>$O$659*$X$659</f>
        <v>96645.577100800016</v>
      </c>
      <c r="AE659" s="6">
        <f ca="1">$K$659*$Y$659</f>
        <v>40099.777288193196</v>
      </c>
      <c r="AF659" s="6">
        <f ca="1">$M$659*$Z$659</f>
        <v>73133.836859874413</v>
      </c>
      <c r="AG659" s="6">
        <f>$O$659*$AA$659</f>
        <v>122784.52187296523</v>
      </c>
    </row>
    <row r="660" spans="1:33" ht="11.25" customHeight="1" x14ac:dyDescent="0.25">
      <c r="A660" s="4" t="s">
        <v>28</v>
      </c>
      <c r="B660" s="4" t="s">
        <v>35</v>
      </c>
      <c r="C660" s="4" t="s">
        <v>44</v>
      </c>
      <c r="D660" s="4" t="s">
        <v>52</v>
      </c>
      <c r="E660" s="4" t="s">
        <v>53</v>
      </c>
      <c r="F660" s="4" t="s">
        <v>25</v>
      </c>
      <c r="G660" s="4" t="s">
        <v>25</v>
      </c>
      <c r="H660" s="4" t="s">
        <v>38</v>
      </c>
      <c r="I660" s="5">
        <v>44197</v>
      </c>
      <c r="J660" s="6">
        <v>611</v>
      </c>
      <c r="K660" s="78">
        <v>611</v>
      </c>
      <c r="L660" s="6">
        <v>293.57900000000001</v>
      </c>
      <c r="M660" s="77">
        <v>293.57900000000001</v>
      </c>
      <c r="N660" s="6">
        <v>293.57900000000001</v>
      </c>
      <c r="O660" s="77">
        <v>293.57900000000001</v>
      </c>
      <c r="P660" s="6">
        <v>0</v>
      </c>
      <c r="Q660" s="4" t="s">
        <v>26</v>
      </c>
      <c r="R660" s="4">
        <v>0</v>
      </c>
      <c r="S660" s="6">
        <v>29</v>
      </c>
      <c r="T660" s="6">
        <v>30</v>
      </c>
      <c r="U660" s="6">
        <v>67</v>
      </c>
      <c r="V660" s="77">
        <f>IF(ISERROR(VLOOKUP($S$660,'TAR FIN'!$A$1:$O$95,15,0)),0,VLOOKUP($S$660,'TAR FIN'!$A$1:$O$95,15,0))*(1-0.09)</f>
        <v>25.998699999999999</v>
      </c>
      <c r="W660" s="77">
        <f>IF(ISERROR(VLOOKUP($T$660,'TAR FIN'!$A$1:$O$95,15,0)),0,VLOOKUP($T$660,'TAR FIN'!$A$1:$O$95,15,0))*(1-0.09)</f>
        <v>136.16329999999999</v>
      </c>
      <c r="X660" s="77">
        <f>IF(ISERROR(VLOOKUP($U$660,'TAR FIN'!$A$1:$O$95,15,0)),0,VLOOKUP($U$660,'TAR FIN'!$A$1:$O$95,15,0))*(1-0.09)</f>
        <v>209.32730000000001</v>
      </c>
      <c r="Y660" s="77">
        <f ca="1">('TUSD BE'!$AM$11+'TUSD BF'!$AM$11+'TUSD CVA'!$AM$11)*1*(1-0.06)</f>
        <v>30.014803359426047</v>
      </c>
      <c r="Z660" s="77">
        <f ca="1">('TUSD BE'!$AM$12+'TUSD BF'!$AM$12+'TUSD CVA'!$AM$12)*1*(1-0.06)</f>
        <v>158.4025784496171</v>
      </c>
      <c r="AA660" s="77">
        <f>('TE BE'!$AA$8+'TE BF'!$AA$8+'TE CVA'!$AA$8)*1*(1-0.06)</f>
        <v>265.94235573400078</v>
      </c>
      <c r="AB660" s="6">
        <f>$K$660*$V$660</f>
        <v>15885.2057</v>
      </c>
      <c r="AC660" s="6">
        <f>$M$660*$W$660</f>
        <v>39974.685450699995</v>
      </c>
      <c r="AD660" s="6">
        <f>$O$660*$X$660</f>
        <v>61454.099406700007</v>
      </c>
      <c r="AE660" s="6">
        <f ca="1">$K$660*$Y$660</f>
        <v>18339.044852609313</v>
      </c>
      <c r="AF660" s="6">
        <f ca="1">$M$660*$Z$660</f>
        <v>46503.670578660138</v>
      </c>
      <c r="AG660" s="6">
        <f>$O$660*$AA$660</f>
        <v>78075.090854032213</v>
      </c>
    </row>
    <row r="661" spans="1:33" ht="11.25" customHeight="1" x14ac:dyDescent="0.25">
      <c r="A661" s="4" t="s">
        <v>21</v>
      </c>
      <c r="B661" s="4" t="s">
        <v>35</v>
      </c>
      <c r="C661" s="4" t="s">
        <v>44</v>
      </c>
      <c r="D661" s="4" t="s">
        <v>52</v>
      </c>
      <c r="E661" s="4" t="s">
        <v>53</v>
      </c>
      <c r="F661" s="4" t="s">
        <v>25</v>
      </c>
      <c r="G661" s="4" t="s">
        <v>25</v>
      </c>
      <c r="H661" s="4" t="s">
        <v>38</v>
      </c>
      <c r="I661" s="5">
        <v>44228</v>
      </c>
      <c r="J661" s="6">
        <v>1365</v>
      </c>
      <c r="K661" s="78">
        <v>1365</v>
      </c>
      <c r="L661" s="6">
        <v>405.6</v>
      </c>
      <c r="M661" s="77">
        <v>405.6</v>
      </c>
      <c r="N661" s="6">
        <v>405.6</v>
      </c>
      <c r="O661" s="77">
        <v>405.6</v>
      </c>
      <c r="P661" s="6">
        <v>0</v>
      </c>
      <c r="Q661" s="4" t="s">
        <v>26</v>
      </c>
      <c r="R661" s="4">
        <v>0</v>
      </c>
      <c r="S661" s="6">
        <v>29</v>
      </c>
      <c r="T661" s="6">
        <v>30</v>
      </c>
      <c r="U661" s="6">
        <v>67</v>
      </c>
      <c r="V661" s="77">
        <f>IF(ISERROR(VLOOKUP($S$661,'TAR FIN'!$A$1:$O$95,15,0)),0,VLOOKUP($S$661,'TAR FIN'!$A$1:$O$95,15,0))*(1-0.09)</f>
        <v>25.998699999999999</v>
      </c>
      <c r="W661" s="77">
        <f>IF(ISERROR(VLOOKUP($T$661,'TAR FIN'!$A$1:$O$95,15,0)),0,VLOOKUP($T$661,'TAR FIN'!$A$1:$O$95,15,0))*(1-0.09)</f>
        <v>136.16329999999999</v>
      </c>
      <c r="X661" s="77">
        <f>IF(ISERROR(VLOOKUP($U$661,'TAR FIN'!$A$1:$O$95,15,0)),0,VLOOKUP($U$661,'TAR FIN'!$A$1:$O$95,15,0))*(1-0.09)</f>
        <v>209.32730000000001</v>
      </c>
      <c r="Y661" s="77">
        <f ca="1">('TUSD BE'!$AM$11+'TUSD BF'!$AM$11+'TUSD CVA'!$AM$11)*1*(1-0.06)</f>
        <v>30.014803359426047</v>
      </c>
      <c r="Z661" s="77">
        <f ca="1">('TUSD BE'!$AM$12+'TUSD BF'!$AM$12+'TUSD CVA'!$AM$12)*1*(1-0.06)</f>
        <v>158.4025784496171</v>
      </c>
      <c r="AA661" s="77">
        <f>('TE BE'!$AA$8+'TE BF'!$AA$8+'TE CVA'!$AA$8)*1*(1-0.06)</f>
        <v>265.94235573400078</v>
      </c>
      <c r="AB661" s="6">
        <f>$K$661*$V$661</f>
        <v>35488.2255</v>
      </c>
      <c r="AC661" s="6">
        <f>$M$661*$W$661</f>
        <v>55227.834479999998</v>
      </c>
      <c r="AD661" s="6">
        <f>$O$661*$X$661</f>
        <v>84903.152880000009</v>
      </c>
      <c r="AE661" s="6">
        <f ca="1">$K$661*$Y$661</f>
        <v>40970.206585616557</v>
      </c>
      <c r="AF661" s="6">
        <f ca="1">$M$661*$Z$661</f>
        <v>64248.085819164698</v>
      </c>
      <c r="AG661" s="6">
        <f>$O$661*$AA$661</f>
        <v>107866.21948571072</v>
      </c>
    </row>
    <row r="662" spans="1:33" ht="11.25" customHeight="1" x14ac:dyDescent="0.25">
      <c r="A662" s="4" t="s">
        <v>28</v>
      </c>
      <c r="B662" s="4" t="s">
        <v>35</v>
      </c>
      <c r="C662" s="4" t="s">
        <v>44</v>
      </c>
      <c r="D662" s="4" t="s">
        <v>52</v>
      </c>
      <c r="E662" s="4" t="s">
        <v>53</v>
      </c>
      <c r="F662" s="4" t="s">
        <v>25</v>
      </c>
      <c r="G662" s="4" t="s">
        <v>25</v>
      </c>
      <c r="H662" s="4" t="s">
        <v>38</v>
      </c>
      <c r="I662" s="5">
        <v>44228</v>
      </c>
      <c r="J662" s="6">
        <v>611</v>
      </c>
      <c r="K662" s="78">
        <v>611</v>
      </c>
      <c r="L662" s="6">
        <v>256.74900000000002</v>
      </c>
      <c r="M662" s="77">
        <v>256.74900000000002</v>
      </c>
      <c r="N662" s="6">
        <v>256.74900000000002</v>
      </c>
      <c r="O662" s="77">
        <v>256.74900000000002</v>
      </c>
      <c r="P662" s="6">
        <v>0</v>
      </c>
      <c r="Q662" s="4" t="s">
        <v>26</v>
      </c>
      <c r="R662" s="4">
        <v>0</v>
      </c>
      <c r="S662" s="6">
        <v>29</v>
      </c>
      <c r="T662" s="6">
        <v>30</v>
      </c>
      <c r="U662" s="6">
        <v>67</v>
      </c>
      <c r="V662" s="77">
        <f>IF(ISERROR(VLOOKUP($S$662,'TAR FIN'!$A$1:$O$95,15,0)),0,VLOOKUP($S$662,'TAR FIN'!$A$1:$O$95,15,0))*(1-0.09)</f>
        <v>25.998699999999999</v>
      </c>
      <c r="W662" s="77">
        <f>IF(ISERROR(VLOOKUP($T$662,'TAR FIN'!$A$1:$O$95,15,0)),0,VLOOKUP($T$662,'TAR FIN'!$A$1:$O$95,15,0))*(1-0.09)</f>
        <v>136.16329999999999</v>
      </c>
      <c r="X662" s="77">
        <f>IF(ISERROR(VLOOKUP($U$662,'TAR FIN'!$A$1:$O$95,15,0)),0,VLOOKUP($U$662,'TAR FIN'!$A$1:$O$95,15,0))*(1-0.09)</f>
        <v>209.32730000000001</v>
      </c>
      <c r="Y662" s="77">
        <f ca="1">('TUSD BE'!$AM$11+'TUSD BF'!$AM$11+'TUSD CVA'!$AM$11)*1*(1-0.06)</f>
        <v>30.014803359426047</v>
      </c>
      <c r="Z662" s="77">
        <f ca="1">('TUSD BE'!$AM$12+'TUSD BF'!$AM$12+'TUSD CVA'!$AM$12)*1*(1-0.06)</f>
        <v>158.4025784496171</v>
      </c>
      <c r="AA662" s="77">
        <f>('TE BE'!$AA$8+'TE BF'!$AA$8+'TE CVA'!$AA$8)*1*(1-0.06)</f>
        <v>265.94235573400078</v>
      </c>
      <c r="AB662" s="6">
        <f>$K$662*$V$662</f>
        <v>15885.2057</v>
      </c>
      <c r="AC662" s="6">
        <f>$M$662*$W$662</f>
        <v>34959.791111700004</v>
      </c>
      <c r="AD662" s="6">
        <f>$O$662*$X$662</f>
        <v>53744.574947700006</v>
      </c>
      <c r="AE662" s="6">
        <f ca="1">$K$662*$Y$662</f>
        <v>18339.044852609313</v>
      </c>
      <c r="AF662" s="6">
        <f ca="1">$M$662*$Z$662</f>
        <v>40669.70361436074</v>
      </c>
      <c r="AG662" s="6">
        <f>$O$662*$AA$662</f>
        <v>68280.43389234897</v>
      </c>
    </row>
    <row r="663" spans="1:33" ht="11.25" customHeight="1" x14ac:dyDescent="0.25">
      <c r="A663" s="4" t="s">
        <v>21</v>
      </c>
      <c r="B663" s="4" t="s">
        <v>35</v>
      </c>
      <c r="C663" s="4" t="s">
        <v>44</v>
      </c>
      <c r="D663" s="4" t="s">
        <v>52</v>
      </c>
      <c r="E663" s="4" t="s">
        <v>53</v>
      </c>
      <c r="F663" s="4" t="s">
        <v>25</v>
      </c>
      <c r="G663" s="4" t="s">
        <v>25</v>
      </c>
      <c r="H663" s="4" t="s">
        <v>38</v>
      </c>
      <c r="I663" s="5">
        <v>44256</v>
      </c>
      <c r="J663" s="6">
        <v>1320</v>
      </c>
      <c r="K663" s="78">
        <v>1320</v>
      </c>
      <c r="L663" s="6">
        <v>418.74900000000002</v>
      </c>
      <c r="M663" s="77">
        <v>418.74900000000002</v>
      </c>
      <c r="N663" s="6">
        <v>418.74900000000002</v>
      </c>
      <c r="O663" s="77">
        <v>418.74900000000002</v>
      </c>
      <c r="P663" s="6">
        <v>0</v>
      </c>
      <c r="Q663" s="4" t="s">
        <v>26</v>
      </c>
      <c r="R663" s="4">
        <v>0</v>
      </c>
      <c r="S663" s="6">
        <v>29</v>
      </c>
      <c r="T663" s="6">
        <v>30</v>
      </c>
      <c r="U663" s="6">
        <v>67</v>
      </c>
      <c r="V663" s="77">
        <f>IF(ISERROR(VLOOKUP($S$663,'TAR FIN'!$A$1:$O$95,15,0)),0,VLOOKUP($S$663,'TAR FIN'!$A$1:$O$95,15,0))*(1-0.09)</f>
        <v>25.998699999999999</v>
      </c>
      <c r="W663" s="77">
        <f>IF(ISERROR(VLOOKUP($T$663,'TAR FIN'!$A$1:$O$95,15,0)),0,VLOOKUP($T$663,'TAR FIN'!$A$1:$O$95,15,0))*(1-0.09)</f>
        <v>136.16329999999999</v>
      </c>
      <c r="X663" s="77">
        <f>IF(ISERROR(VLOOKUP($U$663,'TAR FIN'!$A$1:$O$95,15,0)),0,VLOOKUP($U$663,'TAR FIN'!$A$1:$O$95,15,0))*(1-0.09)</f>
        <v>209.32730000000001</v>
      </c>
      <c r="Y663" s="77">
        <f ca="1">('TUSD BE'!$AM$11+'TUSD BF'!$AM$11+'TUSD CVA'!$AM$11)*1*(1-0.06)</f>
        <v>30.014803359426047</v>
      </c>
      <c r="Z663" s="77">
        <f ca="1">('TUSD BE'!$AM$12+'TUSD BF'!$AM$12+'TUSD CVA'!$AM$12)*1*(1-0.06)</f>
        <v>158.4025784496171</v>
      </c>
      <c r="AA663" s="77">
        <f>('TE BE'!$AA$8+'TE BF'!$AA$8+'TE CVA'!$AA$8)*1*(1-0.06)</f>
        <v>265.94235573400078</v>
      </c>
      <c r="AB663" s="6">
        <f>$K$663*$V$663</f>
        <v>34318.284</v>
      </c>
      <c r="AC663" s="6">
        <f>$M$663*$W$663</f>
        <v>57018.245711700001</v>
      </c>
      <c r="AD663" s="6">
        <f>$O$663*$X$663</f>
        <v>87655.597547700003</v>
      </c>
      <c r="AE663" s="6">
        <f ca="1">$K$663*$Y$663</f>
        <v>39619.540434442381</v>
      </c>
      <c r="AF663" s="6">
        <f ca="1">$M$663*$Z$663</f>
        <v>66330.921323198709</v>
      </c>
      <c r="AG663" s="6">
        <f>$O$663*$AA$663</f>
        <v>111363.0955212571</v>
      </c>
    </row>
    <row r="664" spans="1:33" ht="11.25" customHeight="1" x14ac:dyDescent="0.25">
      <c r="A664" s="4" t="s">
        <v>28</v>
      </c>
      <c r="B664" s="4" t="s">
        <v>35</v>
      </c>
      <c r="C664" s="4" t="s">
        <v>44</v>
      </c>
      <c r="D664" s="4" t="s">
        <v>52</v>
      </c>
      <c r="E664" s="4" t="s">
        <v>53</v>
      </c>
      <c r="F664" s="4" t="s">
        <v>25</v>
      </c>
      <c r="G664" s="4" t="s">
        <v>25</v>
      </c>
      <c r="H664" s="4" t="s">
        <v>38</v>
      </c>
      <c r="I664" s="5">
        <v>44256</v>
      </c>
      <c r="J664" s="6">
        <v>610</v>
      </c>
      <c r="K664" s="78">
        <v>610</v>
      </c>
      <c r="L664" s="6">
        <v>289.87400000000002</v>
      </c>
      <c r="M664" s="77">
        <v>289.87400000000002</v>
      </c>
      <c r="N664" s="6">
        <v>289.87400000000002</v>
      </c>
      <c r="O664" s="77">
        <v>289.87400000000002</v>
      </c>
      <c r="P664" s="6">
        <v>0</v>
      </c>
      <c r="Q664" s="4" t="s">
        <v>26</v>
      </c>
      <c r="R664" s="4">
        <v>0</v>
      </c>
      <c r="S664" s="6">
        <v>29</v>
      </c>
      <c r="T664" s="6">
        <v>30</v>
      </c>
      <c r="U664" s="6">
        <v>67</v>
      </c>
      <c r="V664" s="77">
        <f>IF(ISERROR(VLOOKUP($S$664,'TAR FIN'!$A$1:$O$95,15,0)),0,VLOOKUP($S$664,'TAR FIN'!$A$1:$O$95,15,0))*(1-0.09)</f>
        <v>25.998699999999999</v>
      </c>
      <c r="W664" s="77">
        <f>IF(ISERROR(VLOOKUP($T$664,'TAR FIN'!$A$1:$O$95,15,0)),0,VLOOKUP($T$664,'TAR FIN'!$A$1:$O$95,15,0))*(1-0.09)</f>
        <v>136.16329999999999</v>
      </c>
      <c r="X664" s="77">
        <f>IF(ISERROR(VLOOKUP($U$664,'TAR FIN'!$A$1:$O$95,15,0)),0,VLOOKUP($U$664,'TAR FIN'!$A$1:$O$95,15,0))*(1-0.09)</f>
        <v>209.32730000000001</v>
      </c>
      <c r="Y664" s="77">
        <f ca="1">('TUSD BE'!$AM$11+'TUSD BF'!$AM$11+'TUSD CVA'!$AM$11)*1*(1-0.06)</f>
        <v>30.014803359426047</v>
      </c>
      <c r="Z664" s="77">
        <f ca="1">('TUSD BE'!$AM$12+'TUSD BF'!$AM$12+'TUSD CVA'!$AM$12)*1*(1-0.06)</f>
        <v>158.4025784496171</v>
      </c>
      <c r="AA664" s="77">
        <f>('TE BE'!$AA$8+'TE BF'!$AA$8+'TE CVA'!$AA$8)*1*(1-0.06)</f>
        <v>265.94235573400078</v>
      </c>
      <c r="AB664" s="6">
        <f>$K$664*$V$664</f>
        <v>15859.207</v>
      </c>
      <c r="AC664" s="6">
        <f>$M$664*$W$664</f>
        <v>39470.200424200004</v>
      </c>
      <c r="AD664" s="6">
        <f>$O$664*$X$664</f>
        <v>60678.541760200009</v>
      </c>
      <c r="AE664" s="6">
        <f ca="1">$K$664*$Y$664</f>
        <v>18309.03004924989</v>
      </c>
      <c r="AF664" s="6">
        <f ca="1">$M$664*$Z$664</f>
        <v>45916.789025504309</v>
      </c>
      <c r="AG664" s="6">
        <f>$O$664*$AA$664</f>
        <v>77089.774426037751</v>
      </c>
    </row>
    <row r="665" spans="1:33" ht="11.25" customHeight="1" x14ac:dyDescent="0.25">
      <c r="A665" s="4" t="s">
        <v>21</v>
      </c>
      <c r="B665" s="4" t="s">
        <v>35</v>
      </c>
      <c r="C665" s="4" t="s">
        <v>44</v>
      </c>
      <c r="D665" s="4" t="s">
        <v>52</v>
      </c>
      <c r="E665" s="4" t="s">
        <v>53</v>
      </c>
      <c r="F665" s="4" t="s">
        <v>25</v>
      </c>
      <c r="G665" s="4" t="s">
        <v>25</v>
      </c>
      <c r="H665" s="4" t="s">
        <v>38</v>
      </c>
      <c r="I665" s="5">
        <v>44287</v>
      </c>
      <c r="J665" s="6">
        <v>938</v>
      </c>
      <c r="K665" s="78">
        <v>938</v>
      </c>
      <c r="L665" s="6">
        <v>263.48</v>
      </c>
      <c r="M665" s="77">
        <v>263.48</v>
      </c>
      <c r="N665" s="6">
        <v>263.48</v>
      </c>
      <c r="O665" s="77">
        <v>263.48</v>
      </c>
      <c r="P665" s="6">
        <v>0</v>
      </c>
      <c r="Q665" s="4" t="s">
        <v>26</v>
      </c>
      <c r="R665" s="4">
        <v>0</v>
      </c>
      <c r="S665" s="6">
        <v>29</v>
      </c>
      <c r="T665" s="6">
        <v>30</v>
      </c>
      <c r="U665" s="6">
        <v>67</v>
      </c>
      <c r="V665" s="77">
        <f>IF(ISERROR(VLOOKUP($S$665,'TAR FIN'!$A$1:$O$95,15,0)),0,VLOOKUP($S$665,'TAR FIN'!$A$1:$O$95,15,0))*(1-0.09)</f>
        <v>25.998699999999999</v>
      </c>
      <c r="W665" s="77">
        <f>IF(ISERROR(VLOOKUP($T$665,'TAR FIN'!$A$1:$O$95,15,0)),0,VLOOKUP($T$665,'TAR FIN'!$A$1:$O$95,15,0))*(1-0.09)</f>
        <v>136.16329999999999</v>
      </c>
      <c r="X665" s="77">
        <f>IF(ISERROR(VLOOKUP($U$665,'TAR FIN'!$A$1:$O$95,15,0)),0,VLOOKUP($U$665,'TAR FIN'!$A$1:$O$95,15,0))*(1-0.09)</f>
        <v>209.32730000000001</v>
      </c>
      <c r="Y665" s="77">
        <f ca="1">('TUSD BE'!$AM$11+'TUSD BF'!$AM$11+'TUSD CVA'!$AM$11)*1*(1-0.06)</f>
        <v>30.014803359426047</v>
      </c>
      <c r="Z665" s="77">
        <f ca="1">('TUSD BE'!$AM$12+'TUSD BF'!$AM$12+'TUSD CVA'!$AM$12)*1*(1-0.06)</f>
        <v>158.4025784496171</v>
      </c>
      <c r="AA665" s="77">
        <f>('TE BE'!$AA$8+'TE BF'!$AA$8+'TE CVA'!$AA$8)*1*(1-0.06)</f>
        <v>265.94235573400078</v>
      </c>
      <c r="AB665" s="6">
        <f>$K$665*$V$665</f>
        <v>24386.780599999998</v>
      </c>
      <c r="AC665" s="6">
        <f>$M$665*$W$665</f>
        <v>35876.306283999998</v>
      </c>
      <c r="AD665" s="6">
        <f>$O$665*$X$665</f>
        <v>55153.557004000009</v>
      </c>
      <c r="AE665" s="6">
        <f ca="1">$K$665*$Y$665</f>
        <v>28153.885551141633</v>
      </c>
      <c r="AF665" s="6">
        <f ca="1">$M$665*$Z$665</f>
        <v>41735.911369905116</v>
      </c>
      <c r="AG665" s="6">
        <f>$O$665*$AA$665</f>
        <v>70070.491888794539</v>
      </c>
    </row>
    <row r="666" spans="1:33" ht="11.25" customHeight="1" x14ac:dyDescent="0.25">
      <c r="A666" s="4" t="s">
        <v>28</v>
      </c>
      <c r="B666" s="4" t="s">
        <v>35</v>
      </c>
      <c r="C666" s="4" t="s">
        <v>44</v>
      </c>
      <c r="D666" s="4" t="s">
        <v>52</v>
      </c>
      <c r="E666" s="4" t="s">
        <v>53</v>
      </c>
      <c r="F666" s="4" t="s">
        <v>25</v>
      </c>
      <c r="G666" s="4" t="s">
        <v>25</v>
      </c>
      <c r="H666" s="4" t="s">
        <v>38</v>
      </c>
      <c r="I666" s="5">
        <v>44287</v>
      </c>
      <c r="J666" s="6">
        <v>616</v>
      </c>
      <c r="K666" s="78">
        <v>616</v>
      </c>
      <c r="L666" s="6">
        <v>273.05500000000001</v>
      </c>
      <c r="M666" s="77">
        <v>273.05500000000001</v>
      </c>
      <c r="N666" s="6">
        <v>273.05500000000001</v>
      </c>
      <c r="O666" s="77">
        <v>273.05500000000001</v>
      </c>
      <c r="P666" s="6">
        <v>0</v>
      </c>
      <c r="Q666" s="4" t="s">
        <v>26</v>
      </c>
      <c r="R666" s="4">
        <v>0</v>
      </c>
      <c r="S666" s="6">
        <v>29</v>
      </c>
      <c r="T666" s="6">
        <v>30</v>
      </c>
      <c r="U666" s="6">
        <v>67</v>
      </c>
      <c r="V666" s="77">
        <f>IF(ISERROR(VLOOKUP($S$666,'TAR FIN'!$A$1:$O$95,15,0)),0,VLOOKUP($S$666,'TAR FIN'!$A$1:$O$95,15,0))*(1-0.09)</f>
        <v>25.998699999999999</v>
      </c>
      <c r="W666" s="77">
        <f>IF(ISERROR(VLOOKUP($T$666,'TAR FIN'!$A$1:$O$95,15,0)),0,VLOOKUP($T$666,'TAR FIN'!$A$1:$O$95,15,0))*(1-0.09)</f>
        <v>136.16329999999999</v>
      </c>
      <c r="X666" s="77">
        <f>IF(ISERROR(VLOOKUP($U$666,'TAR FIN'!$A$1:$O$95,15,0)),0,VLOOKUP($U$666,'TAR FIN'!$A$1:$O$95,15,0))*(1-0.09)</f>
        <v>209.32730000000001</v>
      </c>
      <c r="Y666" s="77">
        <f ca="1">('TUSD BE'!$AM$11+'TUSD BF'!$AM$11+'TUSD CVA'!$AM$11)*1*(1-0.06)</f>
        <v>30.014803359426047</v>
      </c>
      <c r="Z666" s="77">
        <f ca="1">('TUSD BE'!$AM$12+'TUSD BF'!$AM$12+'TUSD CVA'!$AM$12)*1*(1-0.06)</f>
        <v>158.4025784496171</v>
      </c>
      <c r="AA666" s="77">
        <f>('TE BE'!$AA$8+'TE BF'!$AA$8+'TE CVA'!$AA$8)*1*(1-0.06)</f>
        <v>265.94235573400078</v>
      </c>
      <c r="AB666" s="6">
        <f>$K$666*$V$666</f>
        <v>16015.199199999999</v>
      </c>
      <c r="AC666" s="6">
        <f>$M$666*$W$666</f>
        <v>37180.0698815</v>
      </c>
      <c r="AD666" s="6">
        <f>$O$666*$X$666</f>
        <v>57157.865901500001</v>
      </c>
      <c r="AE666" s="6">
        <f ca="1">$K$666*$Y$666</f>
        <v>18489.118869406444</v>
      </c>
      <c r="AF666" s="6">
        <f ca="1">$M$666*$Z$666</f>
        <v>43252.616058560197</v>
      </c>
      <c r="AG666" s="6">
        <f>$O$666*$AA$666</f>
        <v>72616.889944947587</v>
      </c>
    </row>
    <row r="667" spans="1:33" ht="11.25" customHeight="1" x14ac:dyDescent="0.25">
      <c r="A667" s="4" t="s">
        <v>21</v>
      </c>
      <c r="B667" s="4" t="s">
        <v>35</v>
      </c>
      <c r="C667" s="4" t="s">
        <v>44</v>
      </c>
      <c r="D667" s="4" t="s">
        <v>52</v>
      </c>
      <c r="E667" s="4" t="s">
        <v>53</v>
      </c>
      <c r="F667" s="4" t="s">
        <v>25</v>
      </c>
      <c r="G667" s="4" t="s">
        <v>25</v>
      </c>
      <c r="H667" s="4" t="s">
        <v>38</v>
      </c>
      <c r="I667" s="5">
        <v>44317</v>
      </c>
      <c r="J667" s="6">
        <v>1114</v>
      </c>
      <c r="K667" s="78">
        <v>1114</v>
      </c>
      <c r="L667" s="6">
        <v>295.05900000000003</v>
      </c>
      <c r="M667" s="77">
        <v>295.05900000000003</v>
      </c>
      <c r="N667" s="6">
        <v>295.05900000000003</v>
      </c>
      <c r="O667" s="77">
        <v>295.05900000000003</v>
      </c>
      <c r="P667" s="6">
        <v>0</v>
      </c>
      <c r="Q667" s="4" t="s">
        <v>26</v>
      </c>
      <c r="R667" s="4">
        <v>0</v>
      </c>
      <c r="S667" s="6">
        <v>29</v>
      </c>
      <c r="T667" s="6">
        <v>30</v>
      </c>
      <c r="U667" s="6">
        <v>67</v>
      </c>
      <c r="V667" s="77">
        <f>IF(ISERROR(VLOOKUP($S$667,'TAR FIN'!$A$1:$O$95,15,0)),0,VLOOKUP($S$667,'TAR FIN'!$A$1:$O$95,15,0))*(1-0.09)</f>
        <v>25.998699999999999</v>
      </c>
      <c r="W667" s="77">
        <f>IF(ISERROR(VLOOKUP($T$667,'TAR FIN'!$A$1:$O$95,15,0)),0,VLOOKUP($T$667,'TAR FIN'!$A$1:$O$95,15,0))*(1-0.09)</f>
        <v>136.16329999999999</v>
      </c>
      <c r="X667" s="77">
        <f>IF(ISERROR(VLOOKUP($U$667,'TAR FIN'!$A$1:$O$95,15,0)),0,VLOOKUP($U$667,'TAR FIN'!$A$1:$O$95,15,0))*(1-0.09)</f>
        <v>209.32730000000001</v>
      </c>
      <c r="Y667" s="77">
        <f ca="1">('TUSD BE'!$AM$11+'TUSD BF'!$AM$11+'TUSD CVA'!$AM$11)*1*(1-0.06)</f>
        <v>30.014803359426047</v>
      </c>
      <c r="Z667" s="77">
        <f ca="1">('TUSD BE'!$AM$12+'TUSD BF'!$AM$12+'TUSD CVA'!$AM$12)*1*(1-0.06)</f>
        <v>158.4025784496171</v>
      </c>
      <c r="AA667" s="77">
        <f>('TE BE'!$AA$8+'TE BF'!$AA$8+'TE CVA'!$AA$8)*1*(1-0.06)</f>
        <v>265.94235573400078</v>
      </c>
      <c r="AB667" s="6">
        <f>$K$667*$V$667</f>
        <v>28962.551800000001</v>
      </c>
      <c r="AC667" s="6">
        <f>$M$667*$W$667</f>
        <v>40176.207134700002</v>
      </c>
      <c r="AD667" s="6">
        <f>$O$667*$X$667</f>
        <v>61763.903810700009</v>
      </c>
      <c r="AE667" s="6">
        <f ca="1">$K$667*$Y$667</f>
        <v>33436.490942400618</v>
      </c>
      <c r="AF667" s="6">
        <f ca="1">$M$667*$Z$667</f>
        <v>46738.106394765571</v>
      </c>
      <c r="AG667" s="6">
        <f>$O$667*$AA$667</f>
        <v>78468.685540518549</v>
      </c>
    </row>
    <row r="668" spans="1:33" ht="11.25" customHeight="1" x14ac:dyDescent="0.25">
      <c r="A668" s="4" t="s">
        <v>28</v>
      </c>
      <c r="B668" s="4" t="s">
        <v>35</v>
      </c>
      <c r="C668" s="4" t="s">
        <v>44</v>
      </c>
      <c r="D668" s="4" t="s">
        <v>52</v>
      </c>
      <c r="E668" s="4" t="s">
        <v>53</v>
      </c>
      <c r="F668" s="4" t="s">
        <v>25</v>
      </c>
      <c r="G668" s="4" t="s">
        <v>25</v>
      </c>
      <c r="H668" s="4" t="s">
        <v>38</v>
      </c>
      <c r="I668" s="5">
        <v>44317</v>
      </c>
      <c r="J668" s="6">
        <v>640</v>
      </c>
      <c r="K668" s="78">
        <v>640</v>
      </c>
      <c r="L668" s="6">
        <v>277.32</v>
      </c>
      <c r="M668" s="77">
        <v>277.32</v>
      </c>
      <c r="N668" s="6">
        <v>277.32</v>
      </c>
      <c r="O668" s="77">
        <v>277.32</v>
      </c>
      <c r="P668" s="6">
        <v>0</v>
      </c>
      <c r="Q668" s="4" t="s">
        <v>26</v>
      </c>
      <c r="R668" s="4">
        <v>0</v>
      </c>
      <c r="S668" s="6">
        <v>29</v>
      </c>
      <c r="T668" s="6">
        <v>30</v>
      </c>
      <c r="U668" s="6">
        <v>67</v>
      </c>
      <c r="V668" s="77">
        <f>IF(ISERROR(VLOOKUP($S$668,'TAR FIN'!$A$1:$O$95,15,0)),0,VLOOKUP($S$668,'TAR FIN'!$A$1:$O$95,15,0))*(1-0.09)</f>
        <v>25.998699999999999</v>
      </c>
      <c r="W668" s="77">
        <f>IF(ISERROR(VLOOKUP($T$668,'TAR FIN'!$A$1:$O$95,15,0)),0,VLOOKUP($T$668,'TAR FIN'!$A$1:$O$95,15,0))*(1-0.09)</f>
        <v>136.16329999999999</v>
      </c>
      <c r="X668" s="77">
        <f>IF(ISERROR(VLOOKUP($U$668,'TAR FIN'!$A$1:$O$95,15,0)),0,VLOOKUP($U$668,'TAR FIN'!$A$1:$O$95,15,0))*(1-0.09)</f>
        <v>209.32730000000001</v>
      </c>
      <c r="Y668" s="77">
        <f ca="1">('TUSD BE'!$AM$11+'TUSD BF'!$AM$11+'TUSD CVA'!$AM$11)*1*(1-0.06)</f>
        <v>30.014803359426047</v>
      </c>
      <c r="Z668" s="77">
        <f ca="1">('TUSD BE'!$AM$12+'TUSD BF'!$AM$12+'TUSD CVA'!$AM$12)*1*(1-0.06)</f>
        <v>158.4025784496171</v>
      </c>
      <c r="AA668" s="77">
        <f>('TE BE'!$AA$8+'TE BF'!$AA$8+'TE CVA'!$AA$8)*1*(1-0.06)</f>
        <v>265.94235573400078</v>
      </c>
      <c r="AB668" s="6">
        <f>$K$668*$V$668</f>
        <v>16639.167999999998</v>
      </c>
      <c r="AC668" s="6">
        <f>$M$668*$W$668</f>
        <v>37760.806355999994</v>
      </c>
      <c r="AD668" s="6">
        <f>$O$668*$X$668</f>
        <v>58050.646836</v>
      </c>
      <c r="AE668" s="6">
        <f ca="1">$K$668*$Y$668</f>
        <v>19209.474150032671</v>
      </c>
      <c r="AF668" s="6">
        <f ca="1">$M$668*$Z$668</f>
        <v>43928.203055647813</v>
      </c>
      <c r="AG668" s="6">
        <f>$O$668*$AA$668</f>
        <v>73751.134092153094</v>
      </c>
    </row>
    <row r="669" spans="1:33" ht="11.25" customHeight="1" x14ac:dyDescent="0.25">
      <c r="A669" s="4" t="s">
        <v>21</v>
      </c>
      <c r="B669" s="4" t="s">
        <v>35</v>
      </c>
      <c r="C669" s="4" t="s">
        <v>44</v>
      </c>
      <c r="D669" s="4" t="s">
        <v>52</v>
      </c>
      <c r="E669" s="4" t="s">
        <v>53</v>
      </c>
      <c r="F669" s="4" t="s">
        <v>25</v>
      </c>
      <c r="G669" s="4" t="s">
        <v>25</v>
      </c>
      <c r="H669" s="4" t="s">
        <v>38</v>
      </c>
      <c r="I669" s="5">
        <v>44348</v>
      </c>
      <c r="J669" s="6">
        <v>966</v>
      </c>
      <c r="K669" s="78">
        <v>966</v>
      </c>
      <c r="L669" s="6">
        <v>238.61199999999999</v>
      </c>
      <c r="M669" s="77">
        <v>238.61199999999999</v>
      </c>
      <c r="N669" s="6">
        <v>238.61199999999999</v>
      </c>
      <c r="O669" s="77">
        <v>238.61199999999999</v>
      </c>
      <c r="P669" s="6">
        <v>0</v>
      </c>
      <c r="Q669" s="4" t="s">
        <v>26</v>
      </c>
      <c r="R669" s="4">
        <v>0</v>
      </c>
      <c r="S669" s="6">
        <v>29</v>
      </c>
      <c r="T669" s="6">
        <v>30</v>
      </c>
      <c r="U669" s="6">
        <v>67</v>
      </c>
      <c r="V669" s="77">
        <f>IF(ISERROR(VLOOKUP($S$669,'TAR FIN'!$A$1:$O$95,15,0)),0,VLOOKUP($S$669,'TAR FIN'!$A$1:$O$95,15,0))*(1-0.09)</f>
        <v>25.998699999999999</v>
      </c>
      <c r="W669" s="77">
        <f>IF(ISERROR(VLOOKUP($T$669,'TAR FIN'!$A$1:$O$95,15,0)),0,VLOOKUP($T$669,'TAR FIN'!$A$1:$O$95,15,0))*(1-0.09)</f>
        <v>136.16329999999999</v>
      </c>
      <c r="X669" s="77">
        <f>IF(ISERROR(VLOOKUP($U$669,'TAR FIN'!$A$1:$O$95,15,0)),0,VLOOKUP($U$669,'TAR FIN'!$A$1:$O$95,15,0))*(1-0.09)</f>
        <v>209.32730000000001</v>
      </c>
      <c r="Y669" s="77">
        <f ca="1">('TUSD BE'!$AM$11+'TUSD BF'!$AM$11+'TUSD CVA'!$AM$11)*1*(1-0.06)</f>
        <v>30.014803359426047</v>
      </c>
      <c r="Z669" s="77">
        <f ca="1">('TUSD BE'!$AM$12+'TUSD BF'!$AM$12+'TUSD CVA'!$AM$12)*1*(1-0.06)</f>
        <v>158.4025784496171</v>
      </c>
      <c r="AA669" s="77">
        <f>('TE BE'!$AA$8+'TE BF'!$AA$8+'TE CVA'!$AA$8)*1*(1-0.06)</f>
        <v>265.94235573400078</v>
      </c>
      <c r="AB669" s="6">
        <f>$K$669*$V$669</f>
        <v>25114.744200000001</v>
      </c>
      <c r="AC669" s="6">
        <f>$M$669*$W$669</f>
        <v>32490.197339599996</v>
      </c>
      <c r="AD669" s="6">
        <f>$O$669*$X$669</f>
        <v>49948.005707600001</v>
      </c>
      <c r="AE669" s="6">
        <f ca="1">$K$669*$Y$669</f>
        <v>28994.30004520556</v>
      </c>
      <c r="AF669" s="6">
        <f ca="1">$M$669*$Z$669</f>
        <v>37796.756049020034</v>
      </c>
      <c r="AG669" s="6">
        <f>$O$669*$AA$669</f>
        <v>63457.037386401396</v>
      </c>
    </row>
    <row r="670" spans="1:33" ht="11.25" customHeight="1" x14ac:dyDescent="0.25">
      <c r="A670" s="4" t="s">
        <v>28</v>
      </c>
      <c r="B670" s="4" t="s">
        <v>35</v>
      </c>
      <c r="C670" s="4" t="s">
        <v>44</v>
      </c>
      <c r="D670" s="4" t="s">
        <v>52</v>
      </c>
      <c r="E670" s="4" t="s">
        <v>53</v>
      </c>
      <c r="F670" s="4" t="s">
        <v>25</v>
      </c>
      <c r="G670" s="4" t="s">
        <v>25</v>
      </c>
      <c r="H670" s="4" t="s">
        <v>38</v>
      </c>
      <c r="I670" s="5">
        <v>44348</v>
      </c>
      <c r="J670" s="6">
        <v>646</v>
      </c>
      <c r="K670" s="78">
        <v>646</v>
      </c>
      <c r="L670" s="6">
        <v>264.84899999999999</v>
      </c>
      <c r="M670" s="77">
        <v>264.84899999999999</v>
      </c>
      <c r="N670" s="6">
        <v>264.84899999999999</v>
      </c>
      <c r="O670" s="77">
        <v>264.84899999999999</v>
      </c>
      <c r="P670" s="6">
        <v>0</v>
      </c>
      <c r="Q670" s="4" t="s">
        <v>26</v>
      </c>
      <c r="R670" s="4">
        <v>0</v>
      </c>
      <c r="S670" s="6">
        <v>29</v>
      </c>
      <c r="T670" s="6">
        <v>30</v>
      </c>
      <c r="U670" s="6">
        <v>67</v>
      </c>
      <c r="V670" s="77">
        <f>IF(ISERROR(VLOOKUP($S$670,'TAR FIN'!$A$1:$O$95,15,0)),0,VLOOKUP($S$670,'TAR FIN'!$A$1:$O$95,15,0))*(1-0.09)</f>
        <v>25.998699999999999</v>
      </c>
      <c r="W670" s="77">
        <f>IF(ISERROR(VLOOKUP($T$670,'TAR FIN'!$A$1:$O$95,15,0)),0,VLOOKUP($T$670,'TAR FIN'!$A$1:$O$95,15,0))*(1-0.09)</f>
        <v>136.16329999999999</v>
      </c>
      <c r="X670" s="77">
        <f>IF(ISERROR(VLOOKUP($U$670,'TAR FIN'!$A$1:$O$95,15,0)),0,VLOOKUP($U$670,'TAR FIN'!$A$1:$O$95,15,0))*(1-0.09)</f>
        <v>209.32730000000001</v>
      </c>
      <c r="Y670" s="77">
        <f ca="1">('TUSD BE'!$AM$11+'TUSD BF'!$AM$11+'TUSD CVA'!$AM$11)*1*(1-0.06)</f>
        <v>30.014803359426047</v>
      </c>
      <c r="Z670" s="77">
        <f ca="1">('TUSD BE'!$AM$12+'TUSD BF'!$AM$12+'TUSD CVA'!$AM$12)*1*(1-0.06)</f>
        <v>158.4025784496171</v>
      </c>
      <c r="AA670" s="77">
        <f>('TE BE'!$AA$8+'TE BF'!$AA$8+'TE CVA'!$AA$8)*1*(1-0.06)</f>
        <v>265.94235573400078</v>
      </c>
      <c r="AB670" s="6">
        <f>$K$670*$V$670</f>
        <v>16795.160199999998</v>
      </c>
      <c r="AC670" s="6">
        <f>$M$670*$W$670</f>
        <v>36062.713841699995</v>
      </c>
      <c r="AD670" s="6">
        <f>$O$670*$X$670</f>
        <v>55440.126077699999</v>
      </c>
      <c r="AE670" s="6">
        <f ca="1">$K$670*$Y$670</f>
        <v>19389.562970189225</v>
      </c>
      <c r="AF670" s="6">
        <f ca="1">$M$670*$Z$670</f>
        <v>41952.764499802637</v>
      </c>
      <c r="AG670" s="6">
        <f>$O$670*$AA$670</f>
        <v>70434.566973794368</v>
      </c>
    </row>
    <row r="671" spans="1:33" ht="11.25" customHeight="1" x14ac:dyDescent="0.25">
      <c r="A671" s="4" t="s">
        <v>21</v>
      </c>
      <c r="B671" s="4" t="s">
        <v>35</v>
      </c>
      <c r="C671" s="4" t="s">
        <v>44</v>
      </c>
      <c r="D671" s="4" t="s">
        <v>52</v>
      </c>
      <c r="E671" s="4" t="s">
        <v>53</v>
      </c>
      <c r="F671" s="4" t="s">
        <v>25</v>
      </c>
      <c r="G671" s="4" t="s">
        <v>25</v>
      </c>
      <c r="H671" s="4" t="s">
        <v>38</v>
      </c>
      <c r="I671" s="5">
        <v>44378</v>
      </c>
      <c r="J671" s="6">
        <v>1746</v>
      </c>
      <c r="K671" s="78">
        <v>1746</v>
      </c>
      <c r="L671" s="6">
        <v>157.25700000000001</v>
      </c>
      <c r="M671" s="77">
        <v>157.25700000000001</v>
      </c>
      <c r="N671" s="6">
        <v>157.25700000000001</v>
      </c>
      <c r="O671" s="77">
        <v>157.25700000000001</v>
      </c>
      <c r="P671" s="6">
        <v>0</v>
      </c>
      <c r="Q671" s="4" t="s">
        <v>26</v>
      </c>
      <c r="R671" s="4">
        <v>0</v>
      </c>
      <c r="S671" s="6">
        <v>29</v>
      </c>
      <c r="T671" s="6">
        <v>30</v>
      </c>
      <c r="U671" s="6">
        <v>67</v>
      </c>
      <c r="V671" s="77">
        <f>IF(ISERROR(VLOOKUP($S$671,'TAR FIN'!$A$1:$O$95,15,0)),0,VLOOKUP($S$671,'TAR FIN'!$A$1:$O$95,15,0))*(1-0.09)</f>
        <v>25.998699999999999</v>
      </c>
      <c r="W671" s="77">
        <f>IF(ISERROR(VLOOKUP($T$671,'TAR FIN'!$A$1:$O$95,15,0)),0,VLOOKUP($T$671,'TAR FIN'!$A$1:$O$95,15,0))*(1-0.09)</f>
        <v>136.16329999999999</v>
      </c>
      <c r="X671" s="77">
        <f>IF(ISERROR(VLOOKUP($U$671,'TAR FIN'!$A$1:$O$95,15,0)),0,VLOOKUP($U$671,'TAR FIN'!$A$1:$O$95,15,0))*(1-0.09)</f>
        <v>209.32730000000001</v>
      </c>
      <c r="Y671" s="77">
        <f ca="1">('TUSD BE'!$AM$11+'TUSD BF'!$AM$11+'TUSD CVA'!$AM$11)*1*(1-0.06)</f>
        <v>30.014803359426047</v>
      </c>
      <c r="Z671" s="77">
        <f ca="1">('TUSD BE'!$AM$12+'TUSD BF'!$AM$12+'TUSD CVA'!$AM$12)*1*(1-0.06)</f>
        <v>158.4025784496171</v>
      </c>
      <c r="AA671" s="77">
        <f>('TE BE'!$AA$8+'TE BF'!$AA$8+'TE CVA'!$AA$8)*1*(1-0.06)</f>
        <v>265.94235573400078</v>
      </c>
      <c r="AB671" s="6">
        <f>$K$671*$V$671</f>
        <v>45393.730199999998</v>
      </c>
      <c r="AC671" s="6">
        <f>$M$671*$W$671</f>
        <v>21412.6320681</v>
      </c>
      <c r="AD671" s="6">
        <f>$O$671*$X$671</f>
        <v>32918.183216100006</v>
      </c>
      <c r="AE671" s="6">
        <f ca="1">$K$671*$Y$671</f>
        <v>52405.846665557881</v>
      </c>
      <c r="AF671" s="6">
        <f ca="1">$M$671*$Z$671</f>
        <v>24909.914279251436</v>
      </c>
      <c r="AG671" s="6">
        <f>$O$671*$AA$671</f>
        <v>41821.297035661766</v>
      </c>
    </row>
    <row r="672" spans="1:33" ht="11.25" customHeight="1" x14ac:dyDescent="0.25">
      <c r="A672" s="4" t="s">
        <v>28</v>
      </c>
      <c r="B672" s="4" t="s">
        <v>35</v>
      </c>
      <c r="C672" s="4" t="s">
        <v>44</v>
      </c>
      <c r="D672" s="4" t="s">
        <v>52</v>
      </c>
      <c r="E672" s="4" t="s">
        <v>53</v>
      </c>
      <c r="F672" s="4" t="s">
        <v>25</v>
      </c>
      <c r="G672" s="4" t="s">
        <v>25</v>
      </c>
      <c r="H672" s="4" t="s">
        <v>38</v>
      </c>
      <c r="I672" s="5">
        <v>44378</v>
      </c>
      <c r="J672" s="6">
        <v>624</v>
      </c>
      <c r="K672" s="78">
        <v>624</v>
      </c>
      <c r="L672" s="6">
        <v>283.92599999999999</v>
      </c>
      <c r="M672" s="77">
        <v>283.92599999999999</v>
      </c>
      <c r="N672" s="6">
        <v>283.92599999999999</v>
      </c>
      <c r="O672" s="77">
        <v>283.92599999999999</v>
      </c>
      <c r="P672" s="6">
        <v>0</v>
      </c>
      <c r="Q672" s="4" t="s">
        <v>26</v>
      </c>
      <c r="R672" s="4">
        <v>0</v>
      </c>
      <c r="S672" s="6">
        <v>29</v>
      </c>
      <c r="T672" s="6">
        <v>30</v>
      </c>
      <c r="U672" s="6">
        <v>67</v>
      </c>
      <c r="V672" s="77">
        <f>IF(ISERROR(VLOOKUP($S$672,'TAR FIN'!$A$1:$O$95,15,0)),0,VLOOKUP($S$672,'TAR FIN'!$A$1:$O$95,15,0))*(1-0.09)</f>
        <v>25.998699999999999</v>
      </c>
      <c r="W672" s="77">
        <f>IF(ISERROR(VLOOKUP($T$672,'TAR FIN'!$A$1:$O$95,15,0)),0,VLOOKUP($T$672,'TAR FIN'!$A$1:$O$95,15,0))*(1-0.09)</f>
        <v>136.16329999999999</v>
      </c>
      <c r="X672" s="77">
        <f>IF(ISERROR(VLOOKUP($U$672,'TAR FIN'!$A$1:$O$95,15,0)),0,VLOOKUP($U$672,'TAR FIN'!$A$1:$O$95,15,0))*(1-0.09)</f>
        <v>209.32730000000001</v>
      </c>
      <c r="Y672" s="77">
        <f ca="1">('TUSD BE'!$AM$11+'TUSD BF'!$AM$11+'TUSD CVA'!$AM$11)*1*(1-0.06)</f>
        <v>30.014803359426047</v>
      </c>
      <c r="Z672" s="77">
        <f ca="1">('TUSD BE'!$AM$12+'TUSD BF'!$AM$12+'TUSD CVA'!$AM$12)*1*(1-0.06)</f>
        <v>158.4025784496171</v>
      </c>
      <c r="AA672" s="77">
        <f>('TE BE'!$AA$8+'TE BF'!$AA$8+'TE CVA'!$AA$8)*1*(1-0.06)</f>
        <v>265.94235573400078</v>
      </c>
      <c r="AB672" s="6">
        <f>$K$672*$V$672</f>
        <v>16223.1888</v>
      </c>
      <c r="AC672" s="6">
        <f>$M$672*$W$672</f>
        <v>38660.301115799994</v>
      </c>
      <c r="AD672" s="6">
        <f>$O$672*$X$672</f>
        <v>59433.462979800002</v>
      </c>
      <c r="AE672" s="6">
        <f ca="1">$K$672*$Y$672</f>
        <v>18729.237296281852</v>
      </c>
      <c r="AF672" s="6">
        <f ca="1">$M$672*$Z$672</f>
        <v>44974.610488885985</v>
      </c>
      <c r="AG672" s="6">
        <f>$O$672*$AA$672</f>
        <v>75507.949294131904</v>
      </c>
    </row>
    <row r="673" spans="1:33" ht="11.25" customHeight="1" x14ac:dyDescent="0.25">
      <c r="A673" s="4" t="s">
        <v>21</v>
      </c>
      <c r="B673" s="4" t="s">
        <v>35</v>
      </c>
      <c r="C673" s="4" t="s">
        <v>44</v>
      </c>
      <c r="D673" s="4" t="s">
        <v>52</v>
      </c>
      <c r="E673" s="4" t="s">
        <v>53</v>
      </c>
      <c r="F673" s="4" t="s">
        <v>25</v>
      </c>
      <c r="G673" s="4" t="s">
        <v>25</v>
      </c>
      <c r="H673" s="4" t="s">
        <v>38</v>
      </c>
      <c r="I673" s="5">
        <v>44409</v>
      </c>
      <c r="J673" s="6">
        <v>1746</v>
      </c>
      <c r="K673" s="78">
        <v>1746</v>
      </c>
      <c r="L673" s="6">
        <v>129.04400000000001</v>
      </c>
      <c r="M673" s="77">
        <v>129.04400000000001</v>
      </c>
      <c r="N673" s="6">
        <v>129.04400000000001</v>
      </c>
      <c r="O673" s="77">
        <v>129.04400000000001</v>
      </c>
      <c r="P673" s="6">
        <v>0</v>
      </c>
      <c r="Q673" s="4" t="s">
        <v>26</v>
      </c>
      <c r="R673" s="4">
        <v>0</v>
      </c>
      <c r="S673" s="6">
        <v>29</v>
      </c>
      <c r="T673" s="6">
        <v>30</v>
      </c>
      <c r="U673" s="6">
        <v>67</v>
      </c>
      <c r="V673" s="77">
        <f>IF(ISERROR(VLOOKUP($S$673,'TAR FIN'!$A$1:$O$95,15,0)),0,VLOOKUP($S$673,'TAR FIN'!$A$1:$O$95,15,0))*(1-0.09)</f>
        <v>25.998699999999999</v>
      </c>
      <c r="W673" s="77">
        <f>IF(ISERROR(VLOOKUP($T$673,'TAR FIN'!$A$1:$O$95,15,0)),0,VLOOKUP($T$673,'TAR FIN'!$A$1:$O$95,15,0))*(1-0.09)</f>
        <v>136.16329999999999</v>
      </c>
      <c r="X673" s="77">
        <f>IF(ISERROR(VLOOKUP($U$673,'TAR FIN'!$A$1:$O$95,15,0)),0,VLOOKUP($U$673,'TAR FIN'!$A$1:$O$95,15,0))*(1-0.09)</f>
        <v>209.32730000000001</v>
      </c>
      <c r="Y673" s="77">
        <f ca="1">('TUSD BE'!$AM$11+'TUSD BF'!$AM$11+'TUSD CVA'!$AM$11)*1*(1-0.06)</f>
        <v>30.014803359426047</v>
      </c>
      <c r="Z673" s="77">
        <f ca="1">('TUSD BE'!$AM$12+'TUSD BF'!$AM$12+'TUSD CVA'!$AM$12)*1*(1-0.06)</f>
        <v>158.4025784496171</v>
      </c>
      <c r="AA673" s="77">
        <f>('TE BE'!$AA$8+'TE BF'!$AA$8+'TE CVA'!$AA$8)*1*(1-0.06)</f>
        <v>265.94235573400078</v>
      </c>
      <c r="AB673" s="6">
        <f>$K$673*$V$673</f>
        <v>45393.730199999998</v>
      </c>
      <c r="AC673" s="6">
        <f>$M$673*$W$673</f>
        <v>17571.0568852</v>
      </c>
      <c r="AD673" s="6">
        <f>$O$673*$X$673</f>
        <v>27012.432101200004</v>
      </c>
      <c r="AE673" s="6">
        <f ca="1">$K$673*$Y$673</f>
        <v>52405.846665557881</v>
      </c>
      <c r="AF673" s="6">
        <f ca="1">$M$673*$Z$673</f>
        <v>20440.902333452392</v>
      </c>
      <c r="AG673" s="6">
        <f>$O$673*$AA$673</f>
        <v>34318.2653533384</v>
      </c>
    </row>
    <row r="674" spans="1:33" ht="11.25" customHeight="1" x14ac:dyDescent="0.25">
      <c r="A674" s="4" t="s">
        <v>28</v>
      </c>
      <c r="B674" s="4" t="s">
        <v>35</v>
      </c>
      <c r="C674" s="4" t="s">
        <v>44</v>
      </c>
      <c r="D674" s="4" t="s">
        <v>52</v>
      </c>
      <c r="E674" s="4" t="s">
        <v>53</v>
      </c>
      <c r="F674" s="4" t="s">
        <v>25</v>
      </c>
      <c r="G674" s="4" t="s">
        <v>25</v>
      </c>
      <c r="H674" s="4" t="s">
        <v>38</v>
      </c>
      <c r="I674" s="5">
        <v>44409</v>
      </c>
      <c r="J674" s="6">
        <v>648</v>
      </c>
      <c r="K674" s="78">
        <v>648</v>
      </c>
      <c r="L674" s="6">
        <v>268.27699999999999</v>
      </c>
      <c r="M674" s="77">
        <v>268.27699999999999</v>
      </c>
      <c r="N674" s="6">
        <v>268.27699999999999</v>
      </c>
      <c r="O674" s="77">
        <v>268.27699999999999</v>
      </c>
      <c r="P674" s="6">
        <v>0</v>
      </c>
      <c r="Q674" s="4" t="s">
        <v>26</v>
      </c>
      <c r="R674" s="4">
        <v>0</v>
      </c>
      <c r="S674" s="6">
        <v>29</v>
      </c>
      <c r="T674" s="6">
        <v>30</v>
      </c>
      <c r="U674" s="6">
        <v>67</v>
      </c>
      <c r="V674" s="77">
        <f>IF(ISERROR(VLOOKUP($S$674,'TAR FIN'!$A$1:$O$95,15,0)),0,VLOOKUP($S$674,'TAR FIN'!$A$1:$O$95,15,0))*(1-0.09)</f>
        <v>25.998699999999999</v>
      </c>
      <c r="W674" s="77">
        <f>IF(ISERROR(VLOOKUP($T$674,'TAR FIN'!$A$1:$O$95,15,0)),0,VLOOKUP($T$674,'TAR FIN'!$A$1:$O$95,15,0))*(1-0.09)</f>
        <v>136.16329999999999</v>
      </c>
      <c r="X674" s="77">
        <f>IF(ISERROR(VLOOKUP($U$674,'TAR FIN'!$A$1:$O$95,15,0)),0,VLOOKUP($U$674,'TAR FIN'!$A$1:$O$95,15,0))*(1-0.09)</f>
        <v>209.32730000000001</v>
      </c>
      <c r="Y674" s="77">
        <f ca="1">('TUSD BE'!$AM$11+'TUSD BF'!$AM$11+'TUSD CVA'!$AM$11)*1*(1-0.06)</f>
        <v>30.014803359426047</v>
      </c>
      <c r="Z674" s="77">
        <f ca="1">('TUSD BE'!$AM$12+'TUSD BF'!$AM$12+'TUSD CVA'!$AM$12)*1*(1-0.06)</f>
        <v>158.4025784496171</v>
      </c>
      <c r="AA674" s="77">
        <f>('TE BE'!$AA$8+'TE BF'!$AA$8+'TE CVA'!$AA$8)*1*(1-0.06)</f>
        <v>265.94235573400078</v>
      </c>
      <c r="AB674" s="6">
        <f>$K$674*$V$674</f>
        <v>16847.157599999999</v>
      </c>
      <c r="AC674" s="6">
        <f>$M$674*$W$674</f>
        <v>36529.481634099997</v>
      </c>
      <c r="AD674" s="6">
        <f>$O$674*$X$674</f>
        <v>56157.700062099997</v>
      </c>
      <c r="AE674" s="6">
        <f ca="1">$K$674*$Y$674</f>
        <v>19449.592576908079</v>
      </c>
      <c r="AF674" s="6">
        <f ca="1">$M$674*$Z$674</f>
        <v>42495.768538727927</v>
      </c>
      <c r="AG674" s="6">
        <f>$O$674*$AA$674</f>
        <v>71346.217369250531</v>
      </c>
    </row>
    <row r="675" spans="1:33" ht="11.25" customHeight="1" x14ac:dyDescent="0.25">
      <c r="A675" s="4" t="s">
        <v>21</v>
      </c>
      <c r="B675" s="4" t="s">
        <v>35</v>
      </c>
      <c r="C675" s="4" t="s">
        <v>44</v>
      </c>
      <c r="D675" s="4" t="s">
        <v>52</v>
      </c>
      <c r="E675" s="4" t="s">
        <v>53</v>
      </c>
      <c r="F675" s="4" t="s">
        <v>25</v>
      </c>
      <c r="G675" s="4" t="s">
        <v>25</v>
      </c>
      <c r="H675" s="4" t="s">
        <v>38</v>
      </c>
      <c r="I675" s="5">
        <v>44440</v>
      </c>
      <c r="J675" s="6">
        <v>1952</v>
      </c>
      <c r="K675" s="78">
        <v>1952</v>
      </c>
      <c r="L675" s="6">
        <v>340.94600000000003</v>
      </c>
      <c r="M675" s="77">
        <v>340.94600000000003</v>
      </c>
      <c r="N675" s="6">
        <v>340.94600000000003</v>
      </c>
      <c r="O675" s="77">
        <v>340.94600000000003</v>
      </c>
      <c r="P675" s="6">
        <v>0</v>
      </c>
      <c r="Q675" s="4" t="s">
        <v>26</v>
      </c>
      <c r="R675" s="4">
        <v>0</v>
      </c>
      <c r="S675" s="6">
        <v>29</v>
      </c>
      <c r="T675" s="6">
        <v>30</v>
      </c>
      <c r="U675" s="6">
        <v>67</v>
      </c>
      <c r="V675" s="77">
        <f>IF(ISERROR(VLOOKUP($S$675,'TAR FIN'!$A$1:$O$95,15,0)),0,VLOOKUP($S$675,'TAR FIN'!$A$1:$O$95,15,0))*(1-0.09)</f>
        <v>25.998699999999999</v>
      </c>
      <c r="W675" s="77">
        <f>IF(ISERROR(VLOOKUP($T$675,'TAR FIN'!$A$1:$O$95,15,0)),0,VLOOKUP($T$675,'TAR FIN'!$A$1:$O$95,15,0))*(1-0.09)</f>
        <v>136.16329999999999</v>
      </c>
      <c r="X675" s="77">
        <f>IF(ISERROR(VLOOKUP($U$675,'TAR FIN'!$A$1:$O$95,15,0)),0,VLOOKUP($U$675,'TAR FIN'!$A$1:$O$95,15,0))*(1-0.09)</f>
        <v>209.32730000000001</v>
      </c>
      <c r="Y675" s="77">
        <f ca="1">('TUSD BE'!$AM$11+'TUSD BF'!$AM$11+'TUSD CVA'!$AM$11)*1*(1-0.06)</f>
        <v>30.014803359426047</v>
      </c>
      <c r="Z675" s="77">
        <f ca="1">('TUSD BE'!$AM$12+'TUSD BF'!$AM$12+'TUSD CVA'!$AM$12)*1*(1-0.06)</f>
        <v>158.4025784496171</v>
      </c>
      <c r="AA675" s="77">
        <f>('TE BE'!$AA$8+'TE BF'!$AA$8+'TE CVA'!$AA$8)*1*(1-0.06)</f>
        <v>265.94235573400078</v>
      </c>
      <c r="AB675" s="6">
        <f>$K$675*$V$675</f>
        <v>50749.462399999997</v>
      </c>
      <c r="AC675" s="6">
        <f>$M$675*$W$675</f>
        <v>46424.332481800004</v>
      </c>
      <c r="AD675" s="6">
        <f>$O$675*$X$675</f>
        <v>71369.305625800014</v>
      </c>
      <c r="AE675" s="6">
        <f ca="1">$K$675*$Y$675</f>
        <v>58588.896157599644</v>
      </c>
      <c r="AF675" s="6">
        <f ca="1">$M$675*$Z$675</f>
        <v>54006.725512083154</v>
      </c>
      <c r="AG675" s="6">
        <f>$O$675*$AA$675</f>
        <v>90671.982418084634</v>
      </c>
    </row>
    <row r="676" spans="1:33" ht="11.25" customHeight="1" x14ac:dyDescent="0.25">
      <c r="A676" s="4" t="s">
        <v>28</v>
      </c>
      <c r="B676" s="4" t="s">
        <v>35</v>
      </c>
      <c r="C676" s="4" t="s">
        <v>44</v>
      </c>
      <c r="D676" s="4" t="s">
        <v>52</v>
      </c>
      <c r="E676" s="4" t="s">
        <v>53</v>
      </c>
      <c r="F676" s="4" t="s">
        <v>25</v>
      </c>
      <c r="G676" s="4" t="s">
        <v>25</v>
      </c>
      <c r="H676" s="4" t="s">
        <v>38</v>
      </c>
      <c r="I676" s="5">
        <v>44440</v>
      </c>
      <c r="J676" s="6">
        <v>662</v>
      </c>
      <c r="K676" s="78">
        <v>662</v>
      </c>
      <c r="L676" s="6">
        <v>253.947</v>
      </c>
      <c r="M676" s="77">
        <v>253.947</v>
      </c>
      <c r="N676" s="6">
        <v>253.947</v>
      </c>
      <c r="O676" s="77">
        <v>253.947</v>
      </c>
      <c r="P676" s="6">
        <v>0</v>
      </c>
      <c r="Q676" s="4" t="s">
        <v>26</v>
      </c>
      <c r="R676" s="4">
        <v>0</v>
      </c>
      <c r="S676" s="6">
        <v>29</v>
      </c>
      <c r="T676" s="6">
        <v>30</v>
      </c>
      <c r="U676" s="6">
        <v>67</v>
      </c>
      <c r="V676" s="77">
        <f>IF(ISERROR(VLOOKUP($S$676,'TAR FIN'!$A$1:$O$95,15,0)),0,VLOOKUP($S$676,'TAR FIN'!$A$1:$O$95,15,0))*(1-0.09)</f>
        <v>25.998699999999999</v>
      </c>
      <c r="W676" s="77">
        <f>IF(ISERROR(VLOOKUP($T$676,'TAR FIN'!$A$1:$O$95,15,0)),0,VLOOKUP($T$676,'TAR FIN'!$A$1:$O$95,15,0))*(1-0.09)</f>
        <v>136.16329999999999</v>
      </c>
      <c r="X676" s="77">
        <f>IF(ISERROR(VLOOKUP($U$676,'TAR FIN'!$A$1:$O$95,15,0)),0,VLOOKUP($U$676,'TAR FIN'!$A$1:$O$95,15,0))*(1-0.09)</f>
        <v>209.32730000000001</v>
      </c>
      <c r="Y676" s="77">
        <f ca="1">('TUSD BE'!$AM$11+'TUSD BF'!$AM$11+'TUSD CVA'!$AM$11)*1*(1-0.06)</f>
        <v>30.014803359426047</v>
      </c>
      <c r="Z676" s="77">
        <f ca="1">('TUSD BE'!$AM$12+'TUSD BF'!$AM$12+'TUSD CVA'!$AM$12)*1*(1-0.06)</f>
        <v>158.4025784496171</v>
      </c>
      <c r="AA676" s="77">
        <f>('TE BE'!$AA$8+'TE BF'!$AA$8+'TE CVA'!$AA$8)*1*(1-0.06)</f>
        <v>265.94235573400078</v>
      </c>
      <c r="AB676" s="6">
        <f>$K$676*$V$676</f>
        <v>17211.1394</v>
      </c>
      <c r="AC676" s="6">
        <f>$M$676*$W$676</f>
        <v>34578.261545100002</v>
      </c>
      <c r="AD676" s="6">
        <f>$O$676*$X$676</f>
        <v>53158.039853100003</v>
      </c>
      <c r="AE676" s="6">
        <f ca="1">$K$676*$Y$676</f>
        <v>19869.799823940044</v>
      </c>
      <c r="AF676" s="6">
        <f ca="1">$M$676*$Z$676</f>
        <v>40225.859589544911</v>
      </c>
      <c r="AG676" s="6">
        <f>$O$676*$AA$676</f>
        <v>67535.263411582302</v>
      </c>
    </row>
    <row r="677" spans="1:33" ht="11.25" customHeight="1" x14ac:dyDescent="0.25">
      <c r="A677" s="4" t="s">
        <v>59</v>
      </c>
      <c r="B677" s="4" t="s">
        <v>35</v>
      </c>
      <c r="C677" s="4" t="s">
        <v>44</v>
      </c>
      <c r="D677" s="4" t="s">
        <v>52</v>
      </c>
      <c r="E677" s="4" t="s">
        <v>53</v>
      </c>
      <c r="F677" s="4" t="s">
        <v>25</v>
      </c>
      <c r="G677" s="4" t="s">
        <v>25</v>
      </c>
      <c r="H677" s="4" t="s">
        <v>38</v>
      </c>
      <c r="I677" s="5">
        <v>44470</v>
      </c>
      <c r="J677" s="6">
        <v>1952</v>
      </c>
      <c r="K677" s="78">
        <v>1952</v>
      </c>
      <c r="L677" s="6">
        <v>340.94600000000003</v>
      </c>
      <c r="M677" s="77">
        <v>340.94600000000003</v>
      </c>
      <c r="N677" s="6">
        <v>340.94600000000003</v>
      </c>
      <c r="O677" s="77">
        <v>340.94600000000003</v>
      </c>
      <c r="P677" s="6">
        <v>0</v>
      </c>
      <c r="Q677" s="4" t="s">
        <v>26</v>
      </c>
      <c r="R677" s="4">
        <v>0</v>
      </c>
      <c r="S677" s="6">
        <v>29</v>
      </c>
      <c r="T677" s="6">
        <v>30</v>
      </c>
      <c r="U677" s="6">
        <v>67</v>
      </c>
      <c r="V677" s="77">
        <f>IF(ISERROR(VLOOKUP($S$677,'TAR FIN'!$A$1:$O$95,15,0)),0,VLOOKUP($S$677,'TAR FIN'!$A$1:$O$95,15,0))*(1-0.09)</f>
        <v>25.998699999999999</v>
      </c>
      <c r="W677" s="77">
        <f>IF(ISERROR(VLOOKUP($T$677,'TAR FIN'!$A$1:$O$95,15,0)),0,VLOOKUP($T$677,'TAR FIN'!$A$1:$O$95,15,0))*(1-0.09)</f>
        <v>136.16329999999999</v>
      </c>
      <c r="X677" s="77">
        <f>IF(ISERROR(VLOOKUP($U$677,'TAR FIN'!$A$1:$O$95,15,0)),0,VLOOKUP($U$677,'TAR FIN'!$A$1:$O$95,15,0))*(1-0.09)</f>
        <v>209.32730000000001</v>
      </c>
      <c r="Y677" s="77">
        <f ca="1">('TUSD BE'!$AM$11+'TUSD BF'!$AM$11+'TUSD CVA'!$AM$11)*1*(1-0.06)</f>
        <v>30.014803359426047</v>
      </c>
      <c r="Z677" s="77">
        <f ca="1">('TUSD BE'!$AM$12+'TUSD BF'!$AM$12+'TUSD CVA'!$AM$12)*1*(1-0.06)</f>
        <v>158.4025784496171</v>
      </c>
      <c r="AA677" s="77">
        <f>('TE BE'!$AA$8+'TE BF'!$AA$8+'TE CVA'!$AA$8)*1*(1-0.06)</f>
        <v>265.94235573400078</v>
      </c>
      <c r="AB677" s="6">
        <f>$K$677*$V$677</f>
        <v>50749.462399999997</v>
      </c>
      <c r="AC677" s="6">
        <f>$M$677*$W$677</f>
        <v>46424.332481800004</v>
      </c>
      <c r="AD677" s="6">
        <f>$O$677*$X$677</f>
        <v>71369.305625800014</v>
      </c>
      <c r="AE677" s="6">
        <f ca="1">$K$677*$Y$677</f>
        <v>58588.896157599644</v>
      </c>
      <c r="AF677" s="6">
        <f ca="1">$M$677*$Z$677</f>
        <v>54006.725512083154</v>
      </c>
      <c r="AG677" s="6">
        <f>$O$677*$AA$677</f>
        <v>90671.982418084634</v>
      </c>
    </row>
    <row r="678" spans="1:33" ht="11.25" customHeight="1" x14ac:dyDescent="0.25">
      <c r="A678" s="4" t="s">
        <v>59</v>
      </c>
      <c r="B678" s="4" t="s">
        <v>35</v>
      </c>
      <c r="C678" s="4" t="s">
        <v>44</v>
      </c>
      <c r="D678" s="4" t="s">
        <v>52</v>
      </c>
      <c r="E678" s="4" t="s">
        <v>53</v>
      </c>
      <c r="F678" s="4" t="s">
        <v>25</v>
      </c>
      <c r="G678" s="4" t="s">
        <v>25</v>
      </c>
      <c r="H678" s="4" t="s">
        <v>38</v>
      </c>
      <c r="I678" s="5">
        <v>44470</v>
      </c>
      <c r="J678" s="6">
        <v>662</v>
      </c>
      <c r="K678" s="78">
        <v>662</v>
      </c>
      <c r="L678" s="6">
        <v>253.947</v>
      </c>
      <c r="M678" s="77">
        <v>253.947</v>
      </c>
      <c r="N678" s="6">
        <v>253.947</v>
      </c>
      <c r="O678" s="77">
        <v>253.947</v>
      </c>
      <c r="P678" s="6">
        <v>0</v>
      </c>
      <c r="Q678" s="4" t="s">
        <v>26</v>
      </c>
      <c r="R678" s="4">
        <v>0</v>
      </c>
      <c r="S678" s="6">
        <v>29</v>
      </c>
      <c r="T678" s="6">
        <v>30</v>
      </c>
      <c r="U678" s="6">
        <v>67</v>
      </c>
      <c r="V678" s="77">
        <f>IF(ISERROR(VLOOKUP($S$678,'TAR FIN'!$A$1:$O$95,15,0)),0,VLOOKUP($S$678,'TAR FIN'!$A$1:$O$95,15,0))*(1-0.09)</f>
        <v>25.998699999999999</v>
      </c>
      <c r="W678" s="77">
        <f>IF(ISERROR(VLOOKUP($T$678,'TAR FIN'!$A$1:$O$95,15,0)),0,VLOOKUP($T$678,'TAR FIN'!$A$1:$O$95,15,0))*(1-0.09)</f>
        <v>136.16329999999999</v>
      </c>
      <c r="X678" s="77">
        <f>IF(ISERROR(VLOOKUP($U$678,'TAR FIN'!$A$1:$O$95,15,0)),0,VLOOKUP($U$678,'TAR FIN'!$A$1:$O$95,15,0))*(1-0.09)</f>
        <v>209.32730000000001</v>
      </c>
      <c r="Y678" s="77">
        <f ca="1">('TUSD BE'!$AM$11+'TUSD BF'!$AM$11+'TUSD CVA'!$AM$11)*1*(1-0.06)</f>
        <v>30.014803359426047</v>
      </c>
      <c r="Z678" s="77">
        <f ca="1">('TUSD BE'!$AM$12+'TUSD BF'!$AM$12+'TUSD CVA'!$AM$12)*1*(1-0.06)</f>
        <v>158.4025784496171</v>
      </c>
      <c r="AA678" s="77">
        <f>('TE BE'!$AA$8+'TE BF'!$AA$8+'TE CVA'!$AA$8)*1*(1-0.06)</f>
        <v>265.94235573400078</v>
      </c>
      <c r="AB678" s="6">
        <f>$K$678*$V$678</f>
        <v>17211.1394</v>
      </c>
      <c r="AC678" s="6">
        <f>$M$678*$W$678</f>
        <v>34578.261545100002</v>
      </c>
      <c r="AD678" s="6">
        <f>$O$678*$X$678</f>
        <v>53158.039853100003</v>
      </c>
      <c r="AE678" s="6">
        <f ca="1">$K$678*$Y$678</f>
        <v>19869.799823940044</v>
      </c>
      <c r="AF678" s="6">
        <f ca="1">$M$678*$Z$678</f>
        <v>40225.859589544911</v>
      </c>
      <c r="AG678" s="6">
        <f>$O$678*$AA$678</f>
        <v>67535.263411582302</v>
      </c>
    </row>
    <row r="679" spans="1:33" ht="11.25" customHeight="1" x14ac:dyDescent="0.25">
      <c r="A679" s="4" t="s">
        <v>21</v>
      </c>
      <c r="B679" s="4" t="s">
        <v>35</v>
      </c>
      <c r="C679" s="4" t="s">
        <v>44</v>
      </c>
      <c r="D679" s="4" t="s">
        <v>52</v>
      </c>
      <c r="E679" s="4" t="s">
        <v>53</v>
      </c>
      <c r="F679" s="4" t="s">
        <v>25</v>
      </c>
      <c r="G679" s="4" t="s">
        <v>25</v>
      </c>
      <c r="H679" s="4" t="s">
        <v>37</v>
      </c>
      <c r="I679" s="5">
        <v>44136</v>
      </c>
      <c r="J679" s="6">
        <v>1264</v>
      </c>
      <c r="K679" s="78">
        <v>1264</v>
      </c>
      <c r="L679" s="6">
        <v>39.17</v>
      </c>
      <c r="M679" s="77">
        <v>39.17</v>
      </c>
      <c r="N679" s="6">
        <v>39.17</v>
      </c>
      <c r="O679" s="77">
        <v>39.17</v>
      </c>
      <c r="P679" s="6">
        <v>0</v>
      </c>
      <c r="Q679" s="4" t="s">
        <v>26</v>
      </c>
      <c r="R679" s="4">
        <v>0</v>
      </c>
      <c r="S679" s="6">
        <v>28</v>
      </c>
      <c r="T679" s="6">
        <v>30</v>
      </c>
      <c r="U679" s="6">
        <v>66</v>
      </c>
      <c r="V679" s="77">
        <f>IF(ISERROR(VLOOKUP($S$679,'TAR FIN'!$A$1:$O$95,15,0)),0,VLOOKUP($S$679,'TAR FIN'!$A$1:$O$95,15,0))*(1-0.09)</f>
        <v>48.2209</v>
      </c>
      <c r="W679" s="77">
        <f>IF(ISERROR(VLOOKUP($T$679,'TAR FIN'!$A$1:$O$95,15,0)),0,VLOOKUP($T$679,'TAR FIN'!$A$1:$O$95,15,0))*(1-0.09)</f>
        <v>136.16329999999999</v>
      </c>
      <c r="X679" s="77">
        <f>IF(ISERROR(VLOOKUP($U$679,'TAR FIN'!$A$1:$O$95,15,0)),0,VLOOKUP($U$679,'TAR FIN'!$A$1:$O$95,15,0))*(1-0.09)</f>
        <v>354.2448</v>
      </c>
      <c r="Y679" s="77">
        <f ca="1">('TUSD BE'!$AM$10+'TUSD BF'!$AM$10+'TUSD CVA'!$AM$10)*1*(1-0.06)</f>
        <v>55.719770574664459</v>
      </c>
      <c r="Z679" s="77">
        <f ca="1">('TUSD BE'!$AM$12+'TUSD BF'!$AM$12+'TUSD CVA'!$AM$12)*1*(1-0.06)</f>
        <v>158.4025784496171</v>
      </c>
      <c r="AA679" s="77">
        <f>('TE BE'!$AA$7+'TE BF'!$AA$7+'TE CVA'!$AA$7)*1*(1-0.06)</f>
        <v>427.06885385270027</v>
      </c>
      <c r="AB679" s="6">
        <f>$K$679*$V$679</f>
        <v>60951.217600000004</v>
      </c>
      <c r="AC679" s="6">
        <f>$M$679*$W$679</f>
        <v>5333.5164610000002</v>
      </c>
      <c r="AD679" s="6">
        <f>$O$679*$X$679</f>
        <v>13875.768816</v>
      </c>
      <c r="AE679" s="6">
        <f ca="1">$K$679*$Y$679</f>
        <v>70429.790006375872</v>
      </c>
      <c r="AF679" s="6">
        <f ca="1">$M$679*$Z$679</f>
        <v>6204.6289978715022</v>
      </c>
      <c r="AG679" s="6">
        <f>$O$679*$AA$679</f>
        <v>16728.287005410271</v>
      </c>
    </row>
    <row r="680" spans="1:33" ht="11.25" customHeight="1" x14ac:dyDescent="0.25">
      <c r="A680" s="4" t="s">
        <v>28</v>
      </c>
      <c r="B680" s="4" t="s">
        <v>35</v>
      </c>
      <c r="C680" s="4" t="s">
        <v>44</v>
      </c>
      <c r="D680" s="4" t="s">
        <v>52</v>
      </c>
      <c r="E680" s="4" t="s">
        <v>53</v>
      </c>
      <c r="F680" s="4" t="s">
        <v>25</v>
      </c>
      <c r="G680" s="4" t="s">
        <v>25</v>
      </c>
      <c r="H680" s="4" t="s">
        <v>37</v>
      </c>
      <c r="I680" s="5">
        <v>44136</v>
      </c>
      <c r="J680" s="6">
        <v>604</v>
      </c>
      <c r="K680" s="78">
        <v>604</v>
      </c>
      <c r="L680" s="6">
        <v>26.055</v>
      </c>
      <c r="M680" s="77">
        <v>26.055</v>
      </c>
      <c r="N680" s="6">
        <v>26.055</v>
      </c>
      <c r="O680" s="77">
        <v>26.055</v>
      </c>
      <c r="P680" s="6">
        <v>0</v>
      </c>
      <c r="Q680" s="4" t="s">
        <v>26</v>
      </c>
      <c r="R680" s="4">
        <v>0</v>
      </c>
      <c r="S680" s="6">
        <v>28</v>
      </c>
      <c r="T680" s="6">
        <v>30</v>
      </c>
      <c r="U680" s="6">
        <v>66</v>
      </c>
      <c r="V680" s="77">
        <f>IF(ISERROR(VLOOKUP($S$680,'TAR FIN'!$A$1:$O$95,15,0)),0,VLOOKUP($S$680,'TAR FIN'!$A$1:$O$95,15,0))*(1-0.09)</f>
        <v>48.2209</v>
      </c>
      <c r="W680" s="77">
        <f>IF(ISERROR(VLOOKUP($T$680,'TAR FIN'!$A$1:$O$95,15,0)),0,VLOOKUP($T$680,'TAR FIN'!$A$1:$O$95,15,0))*(1-0.09)</f>
        <v>136.16329999999999</v>
      </c>
      <c r="X680" s="77">
        <f>IF(ISERROR(VLOOKUP($U$680,'TAR FIN'!$A$1:$O$95,15,0)),0,VLOOKUP($U$680,'TAR FIN'!$A$1:$O$95,15,0))*(1-0.09)</f>
        <v>354.2448</v>
      </c>
      <c r="Y680" s="77">
        <f ca="1">('TUSD BE'!$AM$10+'TUSD BF'!$AM$10+'TUSD CVA'!$AM$10)*1*(1-0.06)</f>
        <v>55.719770574664459</v>
      </c>
      <c r="Z680" s="77">
        <f ca="1">('TUSD BE'!$AM$12+'TUSD BF'!$AM$12+'TUSD CVA'!$AM$12)*1*(1-0.06)</f>
        <v>158.4025784496171</v>
      </c>
      <c r="AA680" s="77">
        <f>('TE BE'!$AA$7+'TE BF'!$AA$7+'TE CVA'!$AA$7)*1*(1-0.06)</f>
        <v>427.06885385270027</v>
      </c>
      <c r="AB680" s="6">
        <f>$K$680*$V$680</f>
        <v>29125.423600000002</v>
      </c>
      <c r="AC680" s="6">
        <f>$M$680*$W$680</f>
        <v>3547.7347814999998</v>
      </c>
      <c r="AD680" s="6">
        <f>$O$680*$X$680</f>
        <v>9229.8482640000002</v>
      </c>
      <c r="AE680" s="6">
        <f ca="1">$K$680*$Y$680</f>
        <v>33654.741427097331</v>
      </c>
      <c r="AF680" s="6">
        <f ca="1">$M$680*$Z$680</f>
        <v>4127.1791815047736</v>
      </c>
      <c r="AG680" s="6">
        <f>$O$680*$AA$680</f>
        <v>11127.278987132106</v>
      </c>
    </row>
    <row r="681" spans="1:33" ht="11.25" customHeight="1" x14ac:dyDescent="0.25">
      <c r="A681" s="4" t="s">
        <v>21</v>
      </c>
      <c r="B681" s="4" t="s">
        <v>35</v>
      </c>
      <c r="C681" s="4" t="s">
        <v>44</v>
      </c>
      <c r="D681" s="4" t="s">
        <v>52</v>
      </c>
      <c r="E681" s="4" t="s">
        <v>53</v>
      </c>
      <c r="F681" s="4" t="s">
        <v>25</v>
      </c>
      <c r="G681" s="4" t="s">
        <v>25</v>
      </c>
      <c r="H681" s="4" t="s">
        <v>37</v>
      </c>
      <c r="I681" s="5">
        <v>44166</v>
      </c>
      <c r="J681" s="6">
        <v>1275</v>
      </c>
      <c r="K681" s="78">
        <v>1275</v>
      </c>
      <c r="L681" s="6">
        <v>40.924999999999997</v>
      </c>
      <c r="M681" s="77">
        <v>40.924999999999997</v>
      </c>
      <c r="N681" s="6">
        <v>40.924999999999997</v>
      </c>
      <c r="O681" s="77">
        <v>40.924999999999997</v>
      </c>
      <c r="P681" s="6">
        <v>0</v>
      </c>
      <c r="Q681" s="4" t="s">
        <v>26</v>
      </c>
      <c r="R681" s="4">
        <v>0</v>
      </c>
      <c r="S681" s="6">
        <v>28</v>
      </c>
      <c r="T681" s="6">
        <v>30</v>
      </c>
      <c r="U681" s="6">
        <v>66</v>
      </c>
      <c r="V681" s="77">
        <f>IF(ISERROR(VLOOKUP($S$681,'TAR FIN'!$A$1:$O$95,15,0)),0,VLOOKUP($S$681,'TAR FIN'!$A$1:$O$95,15,0))*(1-0.09)</f>
        <v>48.2209</v>
      </c>
      <c r="W681" s="77">
        <f>IF(ISERROR(VLOOKUP($T$681,'TAR FIN'!$A$1:$O$95,15,0)),0,VLOOKUP($T$681,'TAR FIN'!$A$1:$O$95,15,0))*(1-0.09)</f>
        <v>136.16329999999999</v>
      </c>
      <c r="X681" s="77">
        <f>IF(ISERROR(VLOOKUP($U$681,'TAR FIN'!$A$1:$O$95,15,0)),0,VLOOKUP($U$681,'TAR FIN'!$A$1:$O$95,15,0))*(1-0.09)</f>
        <v>354.2448</v>
      </c>
      <c r="Y681" s="77">
        <f ca="1">('TUSD BE'!$AM$10+'TUSD BF'!$AM$10+'TUSD CVA'!$AM$10)*1*(1-0.06)</f>
        <v>55.719770574664459</v>
      </c>
      <c r="Z681" s="77">
        <f ca="1">('TUSD BE'!$AM$12+'TUSD BF'!$AM$12+'TUSD CVA'!$AM$12)*1*(1-0.06)</f>
        <v>158.4025784496171</v>
      </c>
      <c r="AA681" s="77">
        <f>('TE BE'!$AA$7+'TE BF'!$AA$7+'TE CVA'!$AA$7)*1*(1-0.06)</f>
        <v>427.06885385270027</v>
      </c>
      <c r="AB681" s="6">
        <f>$K$681*$V$681</f>
        <v>61481.647499999999</v>
      </c>
      <c r="AC681" s="6">
        <f>$M$681*$W$681</f>
        <v>5572.4830524999998</v>
      </c>
      <c r="AD681" s="6">
        <f>$O$681*$X$681</f>
        <v>14497.468439999999</v>
      </c>
      <c r="AE681" s="6">
        <f ca="1">$K$681*$Y$681</f>
        <v>71042.70748269718</v>
      </c>
      <c r="AF681" s="6">
        <f ca="1">$M$681*$Z$681</f>
        <v>6482.6255230505794</v>
      </c>
      <c r="AG681" s="6">
        <f>$O$681*$AA$681</f>
        <v>17477.792843921758</v>
      </c>
    </row>
    <row r="682" spans="1:33" ht="11.25" customHeight="1" x14ac:dyDescent="0.25">
      <c r="A682" s="4" t="s">
        <v>28</v>
      </c>
      <c r="B682" s="4" t="s">
        <v>35</v>
      </c>
      <c r="C682" s="4" t="s">
        <v>44</v>
      </c>
      <c r="D682" s="4" t="s">
        <v>52</v>
      </c>
      <c r="E682" s="4" t="s">
        <v>53</v>
      </c>
      <c r="F682" s="4" t="s">
        <v>25</v>
      </c>
      <c r="G682" s="4" t="s">
        <v>25</v>
      </c>
      <c r="H682" s="4" t="s">
        <v>37</v>
      </c>
      <c r="I682" s="5">
        <v>44166</v>
      </c>
      <c r="J682" s="6">
        <v>611</v>
      </c>
      <c r="K682" s="78">
        <v>611</v>
      </c>
      <c r="L682" s="6">
        <v>30.416</v>
      </c>
      <c r="M682" s="77">
        <v>30.416</v>
      </c>
      <c r="N682" s="6">
        <v>30.416</v>
      </c>
      <c r="O682" s="77">
        <v>30.416</v>
      </c>
      <c r="P682" s="6">
        <v>0</v>
      </c>
      <c r="Q682" s="4" t="s">
        <v>26</v>
      </c>
      <c r="R682" s="4">
        <v>0</v>
      </c>
      <c r="S682" s="6">
        <v>28</v>
      </c>
      <c r="T682" s="6">
        <v>30</v>
      </c>
      <c r="U682" s="6">
        <v>66</v>
      </c>
      <c r="V682" s="77">
        <f>IF(ISERROR(VLOOKUP($S$682,'TAR FIN'!$A$1:$O$95,15,0)),0,VLOOKUP($S$682,'TAR FIN'!$A$1:$O$95,15,0))*(1-0.09)</f>
        <v>48.2209</v>
      </c>
      <c r="W682" s="77">
        <f>IF(ISERROR(VLOOKUP($T$682,'TAR FIN'!$A$1:$O$95,15,0)),0,VLOOKUP($T$682,'TAR FIN'!$A$1:$O$95,15,0))*(1-0.09)</f>
        <v>136.16329999999999</v>
      </c>
      <c r="X682" s="77">
        <f>IF(ISERROR(VLOOKUP($U$682,'TAR FIN'!$A$1:$O$95,15,0)),0,VLOOKUP($U$682,'TAR FIN'!$A$1:$O$95,15,0))*(1-0.09)</f>
        <v>354.2448</v>
      </c>
      <c r="Y682" s="77">
        <f ca="1">('TUSD BE'!$AM$10+'TUSD BF'!$AM$10+'TUSD CVA'!$AM$10)*1*(1-0.06)</f>
        <v>55.719770574664459</v>
      </c>
      <c r="Z682" s="77">
        <f ca="1">('TUSD BE'!$AM$12+'TUSD BF'!$AM$12+'TUSD CVA'!$AM$12)*1*(1-0.06)</f>
        <v>158.4025784496171</v>
      </c>
      <c r="AA682" s="77">
        <f>('TE BE'!$AA$7+'TE BF'!$AA$7+'TE CVA'!$AA$7)*1*(1-0.06)</f>
        <v>427.06885385270027</v>
      </c>
      <c r="AB682" s="6">
        <f>$K$682*$V$682</f>
        <v>29462.9699</v>
      </c>
      <c r="AC682" s="6">
        <f>$M$682*$W$682</f>
        <v>4141.5429328</v>
      </c>
      <c r="AD682" s="6">
        <f>$O$682*$X$682</f>
        <v>10774.709836800001</v>
      </c>
      <c r="AE682" s="6">
        <f ca="1">$K$682*$Y$682</f>
        <v>34044.779821119984</v>
      </c>
      <c r="AF682" s="6">
        <f ca="1">$M$682*$Z$682</f>
        <v>4817.9728261235532</v>
      </c>
      <c r="AG682" s="6">
        <f>$O$682*$AA$682</f>
        <v>12989.726258783732</v>
      </c>
    </row>
    <row r="683" spans="1:33" ht="11.25" customHeight="1" x14ac:dyDescent="0.25">
      <c r="A683" s="4" t="s">
        <v>21</v>
      </c>
      <c r="B683" s="4" t="s">
        <v>35</v>
      </c>
      <c r="C683" s="4" t="s">
        <v>44</v>
      </c>
      <c r="D683" s="4" t="s">
        <v>52</v>
      </c>
      <c r="E683" s="4" t="s">
        <v>53</v>
      </c>
      <c r="F683" s="4" t="s">
        <v>25</v>
      </c>
      <c r="G683" s="4" t="s">
        <v>25</v>
      </c>
      <c r="H683" s="4" t="s">
        <v>37</v>
      </c>
      <c r="I683" s="5">
        <v>44197</v>
      </c>
      <c r="J683" s="6">
        <v>1288</v>
      </c>
      <c r="K683" s="78">
        <v>1288</v>
      </c>
      <c r="L683" s="6">
        <v>40.505000000000003</v>
      </c>
      <c r="M683" s="77">
        <v>40.505000000000003</v>
      </c>
      <c r="N683" s="6">
        <v>40.505000000000003</v>
      </c>
      <c r="O683" s="77">
        <v>40.505000000000003</v>
      </c>
      <c r="P683" s="6">
        <v>0</v>
      </c>
      <c r="Q683" s="4" t="s">
        <v>26</v>
      </c>
      <c r="R683" s="4">
        <v>0</v>
      </c>
      <c r="S683" s="6">
        <v>28</v>
      </c>
      <c r="T683" s="6">
        <v>30</v>
      </c>
      <c r="U683" s="6">
        <v>66</v>
      </c>
      <c r="V683" s="77">
        <f>IF(ISERROR(VLOOKUP($S$683,'TAR FIN'!$A$1:$O$95,15,0)),0,VLOOKUP($S$683,'TAR FIN'!$A$1:$O$95,15,0))*(1-0.09)</f>
        <v>48.2209</v>
      </c>
      <c r="W683" s="77">
        <f>IF(ISERROR(VLOOKUP($T$683,'TAR FIN'!$A$1:$O$95,15,0)),0,VLOOKUP($T$683,'TAR FIN'!$A$1:$O$95,15,0))*(1-0.09)</f>
        <v>136.16329999999999</v>
      </c>
      <c r="X683" s="77">
        <f>IF(ISERROR(VLOOKUP($U$683,'TAR FIN'!$A$1:$O$95,15,0)),0,VLOOKUP($U$683,'TAR FIN'!$A$1:$O$95,15,0))*(1-0.09)</f>
        <v>354.2448</v>
      </c>
      <c r="Y683" s="77">
        <f ca="1">('TUSD BE'!$AM$10+'TUSD BF'!$AM$10+'TUSD CVA'!$AM$10)*1*(1-0.06)</f>
        <v>55.719770574664459</v>
      </c>
      <c r="Z683" s="77">
        <f ca="1">('TUSD BE'!$AM$12+'TUSD BF'!$AM$12+'TUSD CVA'!$AM$12)*1*(1-0.06)</f>
        <v>158.4025784496171</v>
      </c>
      <c r="AA683" s="77">
        <f>('TE BE'!$AA$7+'TE BF'!$AA$7+'TE CVA'!$AA$7)*1*(1-0.06)</f>
        <v>427.06885385270027</v>
      </c>
      <c r="AB683" s="6">
        <f>$K$683*$V$683</f>
        <v>62108.519200000002</v>
      </c>
      <c r="AC683" s="6">
        <f>$M$683*$W$683</f>
        <v>5515.2944665000005</v>
      </c>
      <c r="AD683" s="6">
        <f>$O$683*$X$683</f>
        <v>14348.685624000002</v>
      </c>
      <c r="AE683" s="6">
        <f ca="1">$K$683*$Y$683</f>
        <v>71767.06450016782</v>
      </c>
      <c r="AF683" s="6">
        <f ca="1">$M$683*$Z$683</f>
        <v>6416.0964401017409</v>
      </c>
      <c r="AG683" s="6">
        <f>$O$683*$AA$683</f>
        <v>17298.423925303625</v>
      </c>
    </row>
    <row r="684" spans="1:33" ht="11.25" customHeight="1" x14ac:dyDescent="0.25">
      <c r="A684" s="4" t="s">
        <v>28</v>
      </c>
      <c r="B684" s="4" t="s">
        <v>35</v>
      </c>
      <c r="C684" s="4" t="s">
        <v>44</v>
      </c>
      <c r="D684" s="4" t="s">
        <v>52</v>
      </c>
      <c r="E684" s="4" t="s">
        <v>53</v>
      </c>
      <c r="F684" s="4" t="s">
        <v>25</v>
      </c>
      <c r="G684" s="4" t="s">
        <v>25</v>
      </c>
      <c r="H684" s="4" t="s">
        <v>37</v>
      </c>
      <c r="I684" s="5">
        <v>44197</v>
      </c>
      <c r="J684" s="6">
        <v>610</v>
      </c>
      <c r="K684" s="78">
        <v>610</v>
      </c>
      <c r="L684" s="6">
        <v>30</v>
      </c>
      <c r="M684" s="77">
        <v>30</v>
      </c>
      <c r="N684" s="6">
        <v>30</v>
      </c>
      <c r="O684" s="77">
        <v>30</v>
      </c>
      <c r="P684" s="6">
        <v>0</v>
      </c>
      <c r="Q684" s="4" t="s">
        <v>26</v>
      </c>
      <c r="R684" s="4">
        <v>0</v>
      </c>
      <c r="S684" s="6">
        <v>28</v>
      </c>
      <c r="T684" s="6">
        <v>30</v>
      </c>
      <c r="U684" s="6">
        <v>66</v>
      </c>
      <c r="V684" s="77">
        <f>IF(ISERROR(VLOOKUP($S$684,'TAR FIN'!$A$1:$O$95,15,0)),0,VLOOKUP($S$684,'TAR FIN'!$A$1:$O$95,15,0))*(1-0.09)</f>
        <v>48.2209</v>
      </c>
      <c r="W684" s="77">
        <f>IF(ISERROR(VLOOKUP($T$684,'TAR FIN'!$A$1:$O$95,15,0)),0,VLOOKUP($T$684,'TAR FIN'!$A$1:$O$95,15,0))*(1-0.09)</f>
        <v>136.16329999999999</v>
      </c>
      <c r="X684" s="77">
        <f>IF(ISERROR(VLOOKUP($U$684,'TAR FIN'!$A$1:$O$95,15,0)),0,VLOOKUP($U$684,'TAR FIN'!$A$1:$O$95,15,0))*(1-0.09)</f>
        <v>354.2448</v>
      </c>
      <c r="Y684" s="77">
        <f ca="1">('TUSD BE'!$AM$10+'TUSD BF'!$AM$10+'TUSD CVA'!$AM$10)*1*(1-0.06)</f>
        <v>55.719770574664459</v>
      </c>
      <c r="Z684" s="77">
        <f ca="1">('TUSD BE'!$AM$12+'TUSD BF'!$AM$12+'TUSD CVA'!$AM$12)*1*(1-0.06)</f>
        <v>158.4025784496171</v>
      </c>
      <c r="AA684" s="77">
        <f>('TE BE'!$AA$7+'TE BF'!$AA$7+'TE CVA'!$AA$7)*1*(1-0.06)</f>
        <v>427.06885385270027</v>
      </c>
      <c r="AB684" s="6">
        <f>$K$684*$V$684</f>
        <v>29414.749</v>
      </c>
      <c r="AC684" s="6">
        <f>$M$684*$W$684</f>
        <v>4084.8989999999999</v>
      </c>
      <c r="AD684" s="6">
        <f>$O$684*$X$684</f>
        <v>10627.343999999999</v>
      </c>
      <c r="AE684" s="6">
        <f ca="1">$K$684*$Y$684</f>
        <v>33989.060050545319</v>
      </c>
      <c r="AF684" s="6">
        <f ca="1">$M$684*$Z$684</f>
        <v>4752.0773534885129</v>
      </c>
      <c r="AG684" s="6">
        <f>$O$684*$AA$684</f>
        <v>12812.065615581008</v>
      </c>
    </row>
    <row r="685" spans="1:33" ht="11.25" customHeight="1" x14ac:dyDescent="0.25">
      <c r="A685" s="4" t="s">
        <v>21</v>
      </c>
      <c r="B685" s="4" t="s">
        <v>35</v>
      </c>
      <c r="C685" s="4" t="s">
        <v>44</v>
      </c>
      <c r="D685" s="4" t="s">
        <v>52</v>
      </c>
      <c r="E685" s="4" t="s">
        <v>53</v>
      </c>
      <c r="F685" s="4" t="s">
        <v>25</v>
      </c>
      <c r="G685" s="4" t="s">
        <v>25</v>
      </c>
      <c r="H685" s="4" t="s">
        <v>37</v>
      </c>
      <c r="I685" s="5">
        <v>44228</v>
      </c>
      <c r="J685" s="6">
        <v>1273</v>
      </c>
      <c r="K685" s="78">
        <v>1273</v>
      </c>
      <c r="L685" s="6">
        <v>36.959000000000003</v>
      </c>
      <c r="M685" s="77">
        <v>36.959000000000003</v>
      </c>
      <c r="N685" s="6">
        <v>36.959000000000003</v>
      </c>
      <c r="O685" s="77">
        <v>36.959000000000003</v>
      </c>
      <c r="P685" s="6">
        <v>0</v>
      </c>
      <c r="Q685" s="4" t="s">
        <v>26</v>
      </c>
      <c r="R685" s="4">
        <v>0</v>
      </c>
      <c r="S685" s="6">
        <v>28</v>
      </c>
      <c r="T685" s="6">
        <v>30</v>
      </c>
      <c r="U685" s="6">
        <v>66</v>
      </c>
      <c r="V685" s="77">
        <f>IF(ISERROR(VLOOKUP($S$685,'TAR FIN'!$A$1:$O$95,15,0)),0,VLOOKUP($S$685,'TAR FIN'!$A$1:$O$95,15,0))*(1-0.09)</f>
        <v>48.2209</v>
      </c>
      <c r="W685" s="77">
        <f>IF(ISERROR(VLOOKUP($T$685,'TAR FIN'!$A$1:$O$95,15,0)),0,VLOOKUP($T$685,'TAR FIN'!$A$1:$O$95,15,0))*(1-0.09)</f>
        <v>136.16329999999999</v>
      </c>
      <c r="X685" s="77">
        <f>IF(ISERROR(VLOOKUP($U$685,'TAR FIN'!$A$1:$O$95,15,0)),0,VLOOKUP($U$685,'TAR FIN'!$A$1:$O$95,15,0))*(1-0.09)</f>
        <v>354.2448</v>
      </c>
      <c r="Y685" s="77">
        <f ca="1">('TUSD BE'!$AM$10+'TUSD BF'!$AM$10+'TUSD CVA'!$AM$10)*1*(1-0.06)</f>
        <v>55.719770574664459</v>
      </c>
      <c r="Z685" s="77">
        <f ca="1">('TUSD BE'!$AM$12+'TUSD BF'!$AM$12+'TUSD CVA'!$AM$12)*1*(1-0.06)</f>
        <v>158.4025784496171</v>
      </c>
      <c r="AA685" s="77">
        <f>('TE BE'!$AA$7+'TE BF'!$AA$7+'TE CVA'!$AA$7)*1*(1-0.06)</f>
        <v>427.06885385270027</v>
      </c>
      <c r="AB685" s="6">
        <f>$K$685*$V$685</f>
        <v>61385.205699999999</v>
      </c>
      <c r="AC685" s="6">
        <f>$M$685*$W$685</f>
        <v>5032.4594047000001</v>
      </c>
      <c r="AD685" s="6">
        <f>$O$685*$X$685</f>
        <v>13092.533563200001</v>
      </c>
      <c r="AE685" s="6">
        <f ca="1">$K$685*$Y$685</f>
        <v>70931.267941547849</v>
      </c>
      <c r="AF685" s="6">
        <f ca="1">$M$685*$Z$685</f>
        <v>5854.4008969193983</v>
      </c>
      <c r="AG685" s="6">
        <f>$O$685*$AA$685</f>
        <v>15784.03776954195</v>
      </c>
    </row>
    <row r="686" spans="1:33" ht="11.25" customHeight="1" x14ac:dyDescent="0.25">
      <c r="A686" s="4" t="s">
        <v>28</v>
      </c>
      <c r="B686" s="4" t="s">
        <v>35</v>
      </c>
      <c r="C686" s="4" t="s">
        <v>44</v>
      </c>
      <c r="D686" s="4" t="s">
        <v>52</v>
      </c>
      <c r="E686" s="4" t="s">
        <v>53</v>
      </c>
      <c r="F686" s="4" t="s">
        <v>25</v>
      </c>
      <c r="G686" s="4" t="s">
        <v>25</v>
      </c>
      <c r="H686" s="4" t="s">
        <v>37</v>
      </c>
      <c r="I686" s="5">
        <v>44228</v>
      </c>
      <c r="J686" s="6">
        <v>612</v>
      </c>
      <c r="K686" s="78">
        <v>612</v>
      </c>
      <c r="L686" s="6">
        <v>25.771999999999998</v>
      </c>
      <c r="M686" s="77">
        <v>25.771999999999998</v>
      </c>
      <c r="N686" s="6">
        <v>25.771999999999998</v>
      </c>
      <c r="O686" s="77">
        <v>25.771999999999998</v>
      </c>
      <c r="P686" s="6">
        <v>0</v>
      </c>
      <c r="Q686" s="4" t="s">
        <v>26</v>
      </c>
      <c r="R686" s="4">
        <v>0</v>
      </c>
      <c r="S686" s="6">
        <v>28</v>
      </c>
      <c r="T686" s="6">
        <v>30</v>
      </c>
      <c r="U686" s="6">
        <v>66</v>
      </c>
      <c r="V686" s="77">
        <f>IF(ISERROR(VLOOKUP($S$686,'TAR FIN'!$A$1:$O$95,15,0)),0,VLOOKUP($S$686,'TAR FIN'!$A$1:$O$95,15,0))*(1-0.09)</f>
        <v>48.2209</v>
      </c>
      <c r="W686" s="77">
        <f>IF(ISERROR(VLOOKUP($T$686,'TAR FIN'!$A$1:$O$95,15,0)),0,VLOOKUP($T$686,'TAR FIN'!$A$1:$O$95,15,0))*(1-0.09)</f>
        <v>136.16329999999999</v>
      </c>
      <c r="X686" s="77">
        <f>IF(ISERROR(VLOOKUP($U$686,'TAR FIN'!$A$1:$O$95,15,0)),0,VLOOKUP($U$686,'TAR FIN'!$A$1:$O$95,15,0))*(1-0.09)</f>
        <v>354.2448</v>
      </c>
      <c r="Y686" s="77">
        <f ca="1">('TUSD BE'!$AM$10+'TUSD BF'!$AM$10+'TUSD CVA'!$AM$10)*1*(1-0.06)</f>
        <v>55.719770574664459</v>
      </c>
      <c r="Z686" s="77">
        <f ca="1">('TUSD BE'!$AM$12+'TUSD BF'!$AM$12+'TUSD CVA'!$AM$12)*1*(1-0.06)</f>
        <v>158.4025784496171</v>
      </c>
      <c r="AA686" s="77">
        <f>('TE BE'!$AA$7+'TE BF'!$AA$7+'TE CVA'!$AA$7)*1*(1-0.06)</f>
        <v>427.06885385270027</v>
      </c>
      <c r="AB686" s="6">
        <f>$K$686*$V$686</f>
        <v>29511.1908</v>
      </c>
      <c r="AC686" s="6">
        <f>$M$686*$W$686</f>
        <v>3509.2005675999994</v>
      </c>
      <c r="AD686" s="6">
        <f>$O$686*$X$686</f>
        <v>9129.5969855999992</v>
      </c>
      <c r="AE686" s="6">
        <f ca="1">$K$686*$Y$686</f>
        <v>34100.49959169465</v>
      </c>
      <c r="AF686" s="6">
        <f ca="1">$M$686*$Z$686</f>
        <v>4082.3512518035313</v>
      </c>
      <c r="AG686" s="6">
        <f>$O$686*$AA$686</f>
        <v>11006.418501491791</v>
      </c>
    </row>
    <row r="687" spans="1:33" ht="11.25" customHeight="1" x14ac:dyDescent="0.25">
      <c r="A687" s="4" t="s">
        <v>21</v>
      </c>
      <c r="B687" s="4" t="s">
        <v>35</v>
      </c>
      <c r="C687" s="4" t="s">
        <v>44</v>
      </c>
      <c r="D687" s="4" t="s">
        <v>52</v>
      </c>
      <c r="E687" s="4" t="s">
        <v>53</v>
      </c>
      <c r="F687" s="4" t="s">
        <v>25</v>
      </c>
      <c r="G687" s="4" t="s">
        <v>25</v>
      </c>
      <c r="H687" s="4" t="s">
        <v>37</v>
      </c>
      <c r="I687" s="5">
        <v>44256</v>
      </c>
      <c r="J687" s="6">
        <v>1273</v>
      </c>
      <c r="K687" s="78">
        <v>1273</v>
      </c>
      <c r="L687" s="6">
        <v>41.055999999999997</v>
      </c>
      <c r="M687" s="77">
        <v>41.055999999999997</v>
      </c>
      <c r="N687" s="6">
        <v>41.055999999999997</v>
      </c>
      <c r="O687" s="77">
        <v>41.055999999999997</v>
      </c>
      <c r="P687" s="6">
        <v>0</v>
      </c>
      <c r="Q687" s="4" t="s">
        <v>26</v>
      </c>
      <c r="R687" s="4">
        <v>0</v>
      </c>
      <c r="S687" s="6">
        <v>28</v>
      </c>
      <c r="T687" s="6">
        <v>30</v>
      </c>
      <c r="U687" s="6">
        <v>66</v>
      </c>
      <c r="V687" s="77">
        <f>IF(ISERROR(VLOOKUP($S$687,'TAR FIN'!$A$1:$O$95,15,0)),0,VLOOKUP($S$687,'TAR FIN'!$A$1:$O$95,15,0))*(1-0.09)</f>
        <v>48.2209</v>
      </c>
      <c r="W687" s="77">
        <f>IF(ISERROR(VLOOKUP($T$687,'TAR FIN'!$A$1:$O$95,15,0)),0,VLOOKUP($T$687,'TAR FIN'!$A$1:$O$95,15,0))*(1-0.09)</f>
        <v>136.16329999999999</v>
      </c>
      <c r="X687" s="77">
        <f>IF(ISERROR(VLOOKUP($U$687,'TAR FIN'!$A$1:$O$95,15,0)),0,VLOOKUP($U$687,'TAR FIN'!$A$1:$O$95,15,0))*(1-0.09)</f>
        <v>354.2448</v>
      </c>
      <c r="Y687" s="77">
        <f ca="1">('TUSD BE'!$AM$10+'TUSD BF'!$AM$10+'TUSD CVA'!$AM$10)*1*(1-0.06)</f>
        <v>55.719770574664459</v>
      </c>
      <c r="Z687" s="77">
        <f ca="1">('TUSD BE'!$AM$12+'TUSD BF'!$AM$12+'TUSD CVA'!$AM$12)*1*(1-0.06)</f>
        <v>158.4025784496171</v>
      </c>
      <c r="AA687" s="77">
        <f>('TE BE'!$AA$7+'TE BF'!$AA$7+'TE CVA'!$AA$7)*1*(1-0.06)</f>
        <v>427.06885385270027</v>
      </c>
      <c r="AB687" s="6">
        <f>$K$687*$V$687</f>
        <v>61385.205699999999</v>
      </c>
      <c r="AC687" s="6">
        <f>$M$687*$W$687</f>
        <v>5590.3204447999997</v>
      </c>
      <c r="AD687" s="6">
        <f>$O$687*$X$687</f>
        <v>14543.8745088</v>
      </c>
      <c r="AE687" s="6">
        <f ca="1">$K$687*$Y$687</f>
        <v>70931.267941547849</v>
      </c>
      <c r="AF687" s="6">
        <f ca="1">$M$687*$Z$687</f>
        <v>6503.3762608274792</v>
      </c>
      <c r="AG687" s="6">
        <f>$O$687*$AA$687</f>
        <v>17533.73886377646</v>
      </c>
    </row>
    <row r="688" spans="1:33" ht="11.25" customHeight="1" x14ac:dyDescent="0.25">
      <c r="A688" s="4" t="s">
        <v>28</v>
      </c>
      <c r="B688" s="4" t="s">
        <v>35</v>
      </c>
      <c r="C688" s="4" t="s">
        <v>44</v>
      </c>
      <c r="D688" s="4" t="s">
        <v>52</v>
      </c>
      <c r="E688" s="4" t="s">
        <v>53</v>
      </c>
      <c r="F688" s="4" t="s">
        <v>25</v>
      </c>
      <c r="G688" s="4" t="s">
        <v>25</v>
      </c>
      <c r="H688" s="4" t="s">
        <v>37</v>
      </c>
      <c r="I688" s="5">
        <v>44256</v>
      </c>
      <c r="J688" s="6">
        <v>601</v>
      </c>
      <c r="K688" s="78">
        <v>601</v>
      </c>
      <c r="L688" s="6">
        <v>28.513000000000002</v>
      </c>
      <c r="M688" s="77">
        <v>28.513000000000002</v>
      </c>
      <c r="N688" s="6">
        <v>28.513000000000002</v>
      </c>
      <c r="O688" s="77">
        <v>28.513000000000002</v>
      </c>
      <c r="P688" s="6">
        <v>0</v>
      </c>
      <c r="Q688" s="4" t="s">
        <v>26</v>
      </c>
      <c r="R688" s="4">
        <v>0</v>
      </c>
      <c r="S688" s="6">
        <v>28</v>
      </c>
      <c r="T688" s="6">
        <v>30</v>
      </c>
      <c r="U688" s="6">
        <v>66</v>
      </c>
      <c r="V688" s="77">
        <f>IF(ISERROR(VLOOKUP($S$688,'TAR FIN'!$A$1:$O$95,15,0)),0,VLOOKUP($S$688,'TAR FIN'!$A$1:$O$95,15,0))*(1-0.09)</f>
        <v>48.2209</v>
      </c>
      <c r="W688" s="77">
        <f>IF(ISERROR(VLOOKUP($T$688,'TAR FIN'!$A$1:$O$95,15,0)),0,VLOOKUP($T$688,'TAR FIN'!$A$1:$O$95,15,0))*(1-0.09)</f>
        <v>136.16329999999999</v>
      </c>
      <c r="X688" s="77">
        <f>IF(ISERROR(VLOOKUP($U$688,'TAR FIN'!$A$1:$O$95,15,0)),0,VLOOKUP($U$688,'TAR FIN'!$A$1:$O$95,15,0))*(1-0.09)</f>
        <v>354.2448</v>
      </c>
      <c r="Y688" s="77">
        <f ca="1">('TUSD BE'!$AM$10+'TUSD BF'!$AM$10+'TUSD CVA'!$AM$10)*1*(1-0.06)</f>
        <v>55.719770574664459</v>
      </c>
      <c r="Z688" s="77">
        <f ca="1">('TUSD BE'!$AM$12+'TUSD BF'!$AM$12+'TUSD CVA'!$AM$12)*1*(1-0.06)</f>
        <v>158.4025784496171</v>
      </c>
      <c r="AA688" s="77">
        <f>('TE BE'!$AA$7+'TE BF'!$AA$7+'TE CVA'!$AA$7)*1*(1-0.06)</f>
        <v>427.06885385270027</v>
      </c>
      <c r="AB688" s="6">
        <f>$K$688*$V$688</f>
        <v>28980.760900000001</v>
      </c>
      <c r="AC688" s="6">
        <f>$M$688*$W$688</f>
        <v>3882.4241729</v>
      </c>
      <c r="AD688" s="6">
        <f>$O$688*$X$688</f>
        <v>10100.581982400001</v>
      </c>
      <c r="AE688" s="6">
        <f ca="1">$K$688*$Y$688</f>
        <v>33487.582115373341</v>
      </c>
      <c r="AF688" s="6">
        <f ca="1">$M$688*$Z$688</f>
        <v>4516.5327193339326</v>
      </c>
      <c r="AG688" s="6">
        <f>$O$688*$AA$688</f>
        <v>12177.014229902044</v>
      </c>
    </row>
    <row r="689" spans="1:33" ht="11.25" customHeight="1" x14ac:dyDescent="0.25">
      <c r="A689" s="4" t="s">
        <v>21</v>
      </c>
      <c r="B689" s="4" t="s">
        <v>35</v>
      </c>
      <c r="C689" s="4" t="s">
        <v>44</v>
      </c>
      <c r="D689" s="4" t="s">
        <v>52</v>
      </c>
      <c r="E689" s="4" t="s">
        <v>53</v>
      </c>
      <c r="F689" s="4" t="s">
        <v>25</v>
      </c>
      <c r="G689" s="4" t="s">
        <v>25</v>
      </c>
      <c r="H689" s="4" t="s">
        <v>37</v>
      </c>
      <c r="I689" s="5">
        <v>44287</v>
      </c>
      <c r="J689" s="6">
        <v>749</v>
      </c>
      <c r="K689" s="78">
        <v>749</v>
      </c>
      <c r="L689" s="6">
        <v>22.044</v>
      </c>
      <c r="M689" s="77">
        <v>22.044</v>
      </c>
      <c r="N689" s="6">
        <v>22.044</v>
      </c>
      <c r="O689" s="77">
        <v>22.044</v>
      </c>
      <c r="P689" s="6">
        <v>0</v>
      </c>
      <c r="Q689" s="4" t="s">
        <v>26</v>
      </c>
      <c r="R689" s="4">
        <v>0</v>
      </c>
      <c r="S689" s="6">
        <v>28</v>
      </c>
      <c r="T689" s="6">
        <v>30</v>
      </c>
      <c r="U689" s="6">
        <v>66</v>
      </c>
      <c r="V689" s="77">
        <f>IF(ISERROR(VLOOKUP($S$689,'TAR FIN'!$A$1:$O$95,15,0)),0,VLOOKUP($S$689,'TAR FIN'!$A$1:$O$95,15,0))*(1-0.09)</f>
        <v>48.2209</v>
      </c>
      <c r="W689" s="77">
        <f>IF(ISERROR(VLOOKUP($T$689,'TAR FIN'!$A$1:$O$95,15,0)),0,VLOOKUP($T$689,'TAR FIN'!$A$1:$O$95,15,0))*(1-0.09)</f>
        <v>136.16329999999999</v>
      </c>
      <c r="X689" s="77">
        <f>IF(ISERROR(VLOOKUP($U$689,'TAR FIN'!$A$1:$O$95,15,0)),0,VLOOKUP($U$689,'TAR FIN'!$A$1:$O$95,15,0))*(1-0.09)</f>
        <v>354.2448</v>
      </c>
      <c r="Y689" s="77">
        <f ca="1">('TUSD BE'!$AM$10+'TUSD BF'!$AM$10+'TUSD CVA'!$AM$10)*1*(1-0.06)</f>
        <v>55.719770574664459</v>
      </c>
      <c r="Z689" s="77">
        <f ca="1">('TUSD BE'!$AM$12+'TUSD BF'!$AM$12+'TUSD CVA'!$AM$12)*1*(1-0.06)</f>
        <v>158.4025784496171</v>
      </c>
      <c r="AA689" s="77">
        <f>('TE BE'!$AA$7+'TE BF'!$AA$7+'TE CVA'!$AA$7)*1*(1-0.06)</f>
        <v>427.06885385270027</v>
      </c>
      <c r="AB689" s="6">
        <f>$K$689*$V$689</f>
        <v>36117.454100000003</v>
      </c>
      <c r="AC689" s="6">
        <f>$M$689*$W$689</f>
        <v>3001.5837852</v>
      </c>
      <c r="AD689" s="6">
        <f>$O$689*$X$689</f>
        <v>7808.9723712000005</v>
      </c>
      <c r="AE689" s="6">
        <f ca="1">$K$689*$Y$689</f>
        <v>41734.108160423682</v>
      </c>
      <c r="AF689" s="6">
        <f ca="1">$M$689*$Z$689</f>
        <v>3491.8264393433592</v>
      </c>
      <c r="AG689" s="6">
        <f>$O$689*$AA$689</f>
        <v>9414.3058143289254</v>
      </c>
    </row>
    <row r="690" spans="1:33" ht="11.25" customHeight="1" x14ac:dyDescent="0.25">
      <c r="A690" s="4" t="s">
        <v>28</v>
      </c>
      <c r="B690" s="4" t="s">
        <v>35</v>
      </c>
      <c r="C690" s="4" t="s">
        <v>44</v>
      </c>
      <c r="D690" s="4" t="s">
        <v>52</v>
      </c>
      <c r="E690" s="4" t="s">
        <v>53</v>
      </c>
      <c r="F690" s="4" t="s">
        <v>25</v>
      </c>
      <c r="G690" s="4" t="s">
        <v>25</v>
      </c>
      <c r="H690" s="4" t="s">
        <v>37</v>
      </c>
      <c r="I690" s="5">
        <v>44287</v>
      </c>
      <c r="J690" s="6">
        <v>610</v>
      </c>
      <c r="K690" s="78">
        <v>610</v>
      </c>
      <c r="L690" s="6">
        <v>28.16</v>
      </c>
      <c r="M690" s="77">
        <v>28.16</v>
      </c>
      <c r="N690" s="6">
        <v>28.16</v>
      </c>
      <c r="O690" s="77">
        <v>28.16</v>
      </c>
      <c r="P690" s="6">
        <v>0</v>
      </c>
      <c r="Q690" s="4" t="s">
        <v>26</v>
      </c>
      <c r="R690" s="4">
        <v>0</v>
      </c>
      <c r="S690" s="6">
        <v>28</v>
      </c>
      <c r="T690" s="6">
        <v>30</v>
      </c>
      <c r="U690" s="6">
        <v>66</v>
      </c>
      <c r="V690" s="77">
        <f>IF(ISERROR(VLOOKUP($S$690,'TAR FIN'!$A$1:$O$95,15,0)),0,VLOOKUP($S$690,'TAR FIN'!$A$1:$O$95,15,0))*(1-0.09)</f>
        <v>48.2209</v>
      </c>
      <c r="W690" s="77">
        <f>IF(ISERROR(VLOOKUP($T$690,'TAR FIN'!$A$1:$O$95,15,0)),0,VLOOKUP($T$690,'TAR FIN'!$A$1:$O$95,15,0))*(1-0.09)</f>
        <v>136.16329999999999</v>
      </c>
      <c r="X690" s="77">
        <f>IF(ISERROR(VLOOKUP($U$690,'TAR FIN'!$A$1:$O$95,15,0)),0,VLOOKUP($U$690,'TAR FIN'!$A$1:$O$95,15,0))*(1-0.09)</f>
        <v>354.2448</v>
      </c>
      <c r="Y690" s="77">
        <f ca="1">('TUSD BE'!$AM$10+'TUSD BF'!$AM$10+'TUSD CVA'!$AM$10)*1*(1-0.06)</f>
        <v>55.719770574664459</v>
      </c>
      <c r="Z690" s="77">
        <f ca="1">('TUSD BE'!$AM$12+'TUSD BF'!$AM$12+'TUSD CVA'!$AM$12)*1*(1-0.06)</f>
        <v>158.4025784496171</v>
      </c>
      <c r="AA690" s="77">
        <f>('TE BE'!$AA$7+'TE BF'!$AA$7+'TE CVA'!$AA$7)*1*(1-0.06)</f>
        <v>427.06885385270027</v>
      </c>
      <c r="AB690" s="6">
        <f>$K$690*$V$690</f>
        <v>29414.749</v>
      </c>
      <c r="AC690" s="6">
        <f>$M$690*$W$690</f>
        <v>3834.3585279999998</v>
      </c>
      <c r="AD690" s="6">
        <f>$O$690*$X$690</f>
        <v>9975.5335680000007</v>
      </c>
      <c r="AE690" s="6">
        <f ca="1">$K$690*$Y$690</f>
        <v>33989.060050545319</v>
      </c>
      <c r="AF690" s="6">
        <f ca="1">$M$690*$Z$690</f>
        <v>4460.6166091412179</v>
      </c>
      <c r="AG690" s="6">
        <f>$O$690*$AA$690</f>
        <v>12026.25892449204</v>
      </c>
    </row>
    <row r="691" spans="1:33" ht="11.25" customHeight="1" x14ac:dyDescent="0.25">
      <c r="A691" s="4" t="s">
        <v>21</v>
      </c>
      <c r="B691" s="4" t="s">
        <v>35</v>
      </c>
      <c r="C691" s="4" t="s">
        <v>44</v>
      </c>
      <c r="D691" s="4" t="s">
        <v>52</v>
      </c>
      <c r="E691" s="4" t="s">
        <v>53</v>
      </c>
      <c r="F691" s="4" t="s">
        <v>25</v>
      </c>
      <c r="G691" s="4" t="s">
        <v>25</v>
      </c>
      <c r="H691" s="4" t="s">
        <v>37</v>
      </c>
      <c r="I691" s="5">
        <v>44317</v>
      </c>
      <c r="J691" s="6">
        <v>823</v>
      </c>
      <c r="K691" s="78">
        <v>823</v>
      </c>
      <c r="L691" s="6">
        <v>25.006</v>
      </c>
      <c r="M691" s="77">
        <v>25.006</v>
      </c>
      <c r="N691" s="6">
        <v>25.006</v>
      </c>
      <c r="O691" s="77">
        <v>25.006</v>
      </c>
      <c r="P691" s="6">
        <v>0</v>
      </c>
      <c r="Q691" s="4" t="s">
        <v>26</v>
      </c>
      <c r="R691" s="4">
        <v>0</v>
      </c>
      <c r="S691" s="6">
        <v>28</v>
      </c>
      <c r="T691" s="6">
        <v>30</v>
      </c>
      <c r="U691" s="6">
        <v>66</v>
      </c>
      <c r="V691" s="77">
        <f>IF(ISERROR(VLOOKUP($S$691,'TAR FIN'!$A$1:$O$95,15,0)),0,VLOOKUP($S$691,'TAR FIN'!$A$1:$O$95,15,0))*(1-0.09)</f>
        <v>48.2209</v>
      </c>
      <c r="W691" s="77">
        <f>IF(ISERROR(VLOOKUP($T$691,'TAR FIN'!$A$1:$O$95,15,0)),0,VLOOKUP($T$691,'TAR FIN'!$A$1:$O$95,15,0))*(1-0.09)</f>
        <v>136.16329999999999</v>
      </c>
      <c r="X691" s="77">
        <f>IF(ISERROR(VLOOKUP($U$691,'TAR FIN'!$A$1:$O$95,15,0)),0,VLOOKUP($U$691,'TAR FIN'!$A$1:$O$95,15,0))*(1-0.09)</f>
        <v>354.2448</v>
      </c>
      <c r="Y691" s="77">
        <f ca="1">('TUSD BE'!$AM$10+'TUSD BF'!$AM$10+'TUSD CVA'!$AM$10)*1*(1-0.06)</f>
        <v>55.719770574664459</v>
      </c>
      <c r="Z691" s="77">
        <f ca="1">('TUSD BE'!$AM$12+'TUSD BF'!$AM$12+'TUSD CVA'!$AM$12)*1*(1-0.06)</f>
        <v>158.4025784496171</v>
      </c>
      <c r="AA691" s="77">
        <f>('TE BE'!$AA$7+'TE BF'!$AA$7+'TE CVA'!$AA$7)*1*(1-0.06)</f>
        <v>427.06885385270027</v>
      </c>
      <c r="AB691" s="6">
        <f>$K$691*$V$691</f>
        <v>39685.8007</v>
      </c>
      <c r="AC691" s="6">
        <f>$M$691*$W$691</f>
        <v>3404.8994797999999</v>
      </c>
      <c r="AD691" s="6">
        <f>$O$691*$X$691</f>
        <v>8858.2454687999998</v>
      </c>
      <c r="AE691" s="6">
        <f ca="1">$K$691*$Y$691</f>
        <v>45857.371182948853</v>
      </c>
      <c r="AF691" s="6">
        <f ca="1">$M$691*$Z$691</f>
        <v>3961.014876711125</v>
      </c>
      <c r="AG691" s="6">
        <f>$O$691*$AA$691</f>
        <v>10679.283759440623</v>
      </c>
    </row>
    <row r="692" spans="1:33" ht="11.25" customHeight="1" x14ac:dyDescent="0.25">
      <c r="A692" s="4" t="s">
        <v>28</v>
      </c>
      <c r="B692" s="4" t="s">
        <v>35</v>
      </c>
      <c r="C692" s="4" t="s">
        <v>44</v>
      </c>
      <c r="D692" s="4" t="s">
        <v>52</v>
      </c>
      <c r="E692" s="4" t="s">
        <v>53</v>
      </c>
      <c r="F692" s="4" t="s">
        <v>25</v>
      </c>
      <c r="G692" s="4" t="s">
        <v>25</v>
      </c>
      <c r="H692" s="4" t="s">
        <v>37</v>
      </c>
      <c r="I692" s="5">
        <v>44317</v>
      </c>
      <c r="J692" s="6">
        <v>607</v>
      </c>
      <c r="K692" s="78">
        <v>607</v>
      </c>
      <c r="L692" s="6">
        <v>26.632000000000001</v>
      </c>
      <c r="M692" s="77">
        <v>26.632000000000001</v>
      </c>
      <c r="N692" s="6">
        <v>26.632000000000001</v>
      </c>
      <c r="O692" s="77">
        <v>26.632000000000001</v>
      </c>
      <c r="P692" s="6">
        <v>0</v>
      </c>
      <c r="Q692" s="4" t="s">
        <v>26</v>
      </c>
      <c r="R692" s="4">
        <v>0</v>
      </c>
      <c r="S692" s="6">
        <v>28</v>
      </c>
      <c r="T692" s="6">
        <v>30</v>
      </c>
      <c r="U692" s="6">
        <v>66</v>
      </c>
      <c r="V692" s="77">
        <f>IF(ISERROR(VLOOKUP($S$692,'TAR FIN'!$A$1:$O$95,15,0)),0,VLOOKUP($S$692,'TAR FIN'!$A$1:$O$95,15,0))*(1-0.09)</f>
        <v>48.2209</v>
      </c>
      <c r="W692" s="77">
        <f>IF(ISERROR(VLOOKUP($T$692,'TAR FIN'!$A$1:$O$95,15,0)),0,VLOOKUP($T$692,'TAR FIN'!$A$1:$O$95,15,0))*(1-0.09)</f>
        <v>136.16329999999999</v>
      </c>
      <c r="X692" s="77">
        <f>IF(ISERROR(VLOOKUP($U$692,'TAR FIN'!$A$1:$O$95,15,0)),0,VLOOKUP($U$692,'TAR FIN'!$A$1:$O$95,15,0))*(1-0.09)</f>
        <v>354.2448</v>
      </c>
      <c r="Y692" s="77">
        <f ca="1">('TUSD BE'!$AM$10+'TUSD BF'!$AM$10+'TUSD CVA'!$AM$10)*1*(1-0.06)</f>
        <v>55.719770574664459</v>
      </c>
      <c r="Z692" s="77">
        <f ca="1">('TUSD BE'!$AM$12+'TUSD BF'!$AM$12+'TUSD CVA'!$AM$12)*1*(1-0.06)</f>
        <v>158.4025784496171</v>
      </c>
      <c r="AA692" s="77">
        <f>('TE BE'!$AA$7+'TE BF'!$AA$7+'TE CVA'!$AA$7)*1*(1-0.06)</f>
        <v>427.06885385270027</v>
      </c>
      <c r="AB692" s="6">
        <f>$K$692*$V$692</f>
        <v>29270.086299999999</v>
      </c>
      <c r="AC692" s="6">
        <f>$M$692*$W$692</f>
        <v>3626.3010055999998</v>
      </c>
      <c r="AD692" s="6">
        <f>$O$692*$X$692</f>
        <v>9434.2475136000012</v>
      </c>
      <c r="AE692" s="6">
        <f ca="1">$K$692*$Y$692</f>
        <v>33821.900738821329</v>
      </c>
      <c r="AF692" s="6">
        <f ca="1">$M$692*$Z$692</f>
        <v>4218.5774692702025</v>
      </c>
      <c r="AG692" s="6">
        <f>$O$692*$AA$692</f>
        <v>11373.697715805114</v>
      </c>
    </row>
    <row r="693" spans="1:33" ht="11.25" customHeight="1" x14ac:dyDescent="0.25">
      <c r="A693" s="4" t="s">
        <v>21</v>
      </c>
      <c r="B693" s="4" t="s">
        <v>35</v>
      </c>
      <c r="C693" s="4" t="s">
        <v>44</v>
      </c>
      <c r="D693" s="4" t="s">
        <v>52</v>
      </c>
      <c r="E693" s="4" t="s">
        <v>53</v>
      </c>
      <c r="F693" s="4" t="s">
        <v>25</v>
      </c>
      <c r="G693" s="4" t="s">
        <v>25</v>
      </c>
      <c r="H693" s="4" t="s">
        <v>37</v>
      </c>
      <c r="I693" s="5">
        <v>44348</v>
      </c>
      <c r="J693" s="6">
        <v>605</v>
      </c>
      <c r="K693" s="78">
        <v>605</v>
      </c>
      <c r="L693" s="6">
        <v>22.829000000000001</v>
      </c>
      <c r="M693" s="77">
        <v>22.829000000000001</v>
      </c>
      <c r="N693" s="6">
        <v>22.829000000000001</v>
      </c>
      <c r="O693" s="77">
        <v>22.829000000000001</v>
      </c>
      <c r="P693" s="6">
        <v>0</v>
      </c>
      <c r="Q693" s="4" t="s">
        <v>26</v>
      </c>
      <c r="R693" s="4">
        <v>0</v>
      </c>
      <c r="S693" s="6">
        <v>28</v>
      </c>
      <c r="T693" s="6">
        <v>30</v>
      </c>
      <c r="U693" s="6">
        <v>66</v>
      </c>
      <c r="V693" s="77">
        <f>IF(ISERROR(VLOOKUP($S$693,'TAR FIN'!$A$1:$O$95,15,0)),0,VLOOKUP($S$693,'TAR FIN'!$A$1:$O$95,15,0))*(1-0.09)</f>
        <v>48.2209</v>
      </c>
      <c r="W693" s="77">
        <f>IF(ISERROR(VLOOKUP($T$693,'TAR FIN'!$A$1:$O$95,15,0)),0,VLOOKUP($T$693,'TAR FIN'!$A$1:$O$95,15,0))*(1-0.09)</f>
        <v>136.16329999999999</v>
      </c>
      <c r="X693" s="77">
        <f>IF(ISERROR(VLOOKUP($U$693,'TAR FIN'!$A$1:$O$95,15,0)),0,VLOOKUP($U$693,'TAR FIN'!$A$1:$O$95,15,0))*(1-0.09)</f>
        <v>354.2448</v>
      </c>
      <c r="Y693" s="77">
        <f ca="1">('TUSD BE'!$AM$10+'TUSD BF'!$AM$10+'TUSD CVA'!$AM$10)*1*(1-0.06)</f>
        <v>55.719770574664459</v>
      </c>
      <c r="Z693" s="77">
        <f ca="1">('TUSD BE'!$AM$12+'TUSD BF'!$AM$12+'TUSD CVA'!$AM$12)*1*(1-0.06)</f>
        <v>158.4025784496171</v>
      </c>
      <c r="AA693" s="77">
        <f>('TE BE'!$AA$7+'TE BF'!$AA$7+'TE CVA'!$AA$7)*1*(1-0.06)</f>
        <v>427.06885385270027</v>
      </c>
      <c r="AB693" s="6">
        <f>$K$693*$V$693</f>
        <v>29173.644499999999</v>
      </c>
      <c r="AC693" s="6">
        <f>$M$693*$W$693</f>
        <v>3108.4719756999998</v>
      </c>
      <c r="AD693" s="6">
        <f>$O$693*$X$693</f>
        <v>8087.0545392000004</v>
      </c>
      <c r="AE693" s="6">
        <f ca="1">$K$693*$Y$693</f>
        <v>33710.461197671997</v>
      </c>
      <c r="AF693" s="6">
        <f ca="1">$M$693*$Z$693</f>
        <v>3616.1724634263087</v>
      </c>
      <c r="AG693" s="6">
        <f>$O$693*$AA$693</f>
        <v>9749.5548646032948</v>
      </c>
    </row>
    <row r="694" spans="1:33" ht="11.25" customHeight="1" x14ac:dyDescent="0.25">
      <c r="A694" s="4" t="s">
        <v>28</v>
      </c>
      <c r="B694" s="4" t="s">
        <v>35</v>
      </c>
      <c r="C694" s="4" t="s">
        <v>44</v>
      </c>
      <c r="D694" s="4" t="s">
        <v>52</v>
      </c>
      <c r="E694" s="4" t="s">
        <v>53</v>
      </c>
      <c r="F694" s="4" t="s">
        <v>25</v>
      </c>
      <c r="G694" s="4" t="s">
        <v>25</v>
      </c>
      <c r="H694" s="4" t="s">
        <v>37</v>
      </c>
      <c r="I694" s="5">
        <v>44348</v>
      </c>
      <c r="J694" s="6">
        <v>615</v>
      </c>
      <c r="K694" s="78">
        <v>615</v>
      </c>
      <c r="L694" s="6">
        <v>27.882000000000001</v>
      </c>
      <c r="M694" s="77">
        <v>27.882000000000001</v>
      </c>
      <c r="N694" s="6">
        <v>27.882000000000001</v>
      </c>
      <c r="O694" s="77">
        <v>27.882000000000001</v>
      </c>
      <c r="P694" s="6">
        <v>0</v>
      </c>
      <c r="Q694" s="4" t="s">
        <v>26</v>
      </c>
      <c r="R694" s="4">
        <v>0</v>
      </c>
      <c r="S694" s="6">
        <v>28</v>
      </c>
      <c r="T694" s="6">
        <v>30</v>
      </c>
      <c r="U694" s="6">
        <v>66</v>
      </c>
      <c r="V694" s="77">
        <f>IF(ISERROR(VLOOKUP($S$694,'TAR FIN'!$A$1:$O$95,15,0)),0,VLOOKUP($S$694,'TAR FIN'!$A$1:$O$95,15,0))*(1-0.09)</f>
        <v>48.2209</v>
      </c>
      <c r="W694" s="77">
        <f>IF(ISERROR(VLOOKUP($T$694,'TAR FIN'!$A$1:$O$95,15,0)),0,VLOOKUP($T$694,'TAR FIN'!$A$1:$O$95,15,0))*(1-0.09)</f>
        <v>136.16329999999999</v>
      </c>
      <c r="X694" s="77">
        <f>IF(ISERROR(VLOOKUP($U$694,'TAR FIN'!$A$1:$O$95,15,0)),0,VLOOKUP($U$694,'TAR FIN'!$A$1:$O$95,15,0))*(1-0.09)</f>
        <v>354.2448</v>
      </c>
      <c r="Y694" s="77">
        <f ca="1">('TUSD BE'!$AM$10+'TUSD BF'!$AM$10+'TUSD CVA'!$AM$10)*1*(1-0.06)</f>
        <v>55.719770574664459</v>
      </c>
      <c r="Z694" s="77">
        <f ca="1">('TUSD BE'!$AM$12+'TUSD BF'!$AM$12+'TUSD CVA'!$AM$12)*1*(1-0.06)</f>
        <v>158.4025784496171</v>
      </c>
      <c r="AA694" s="77">
        <f>('TE BE'!$AA$7+'TE BF'!$AA$7+'TE CVA'!$AA$7)*1*(1-0.06)</f>
        <v>427.06885385270027</v>
      </c>
      <c r="AB694" s="6">
        <f>$K$694*$V$694</f>
        <v>29655.853500000001</v>
      </c>
      <c r="AC694" s="6">
        <f>$M$694*$W$694</f>
        <v>3796.5051306</v>
      </c>
      <c r="AD694" s="6">
        <f>$O$694*$X$694</f>
        <v>9877.0535135999999</v>
      </c>
      <c r="AE694" s="6">
        <f ca="1">$K$694*$Y$694</f>
        <v>34267.65890341864</v>
      </c>
      <c r="AF694" s="6">
        <f ca="1">$M$694*$Z$694</f>
        <v>4416.5806923322243</v>
      </c>
      <c r="AG694" s="6">
        <f>$O$694*$AA$694</f>
        <v>11907.533783120989</v>
      </c>
    </row>
    <row r="695" spans="1:33" ht="11.25" customHeight="1" x14ac:dyDescent="0.25">
      <c r="A695" s="4" t="s">
        <v>21</v>
      </c>
      <c r="B695" s="4" t="s">
        <v>35</v>
      </c>
      <c r="C695" s="4" t="s">
        <v>44</v>
      </c>
      <c r="D695" s="4" t="s">
        <v>52</v>
      </c>
      <c r="E695" s="4" t="s">
        <v>53</v>
      </c>
      <c r="F695" s="4" t="s">
        <v>25</v>
      </c>
      <c r="G695" s="4" t="s">
        <v>25</v>
      </c>
      <c r="H695" s="4" t="s">
        <v>37</v>
      </c>
      <c r="I695" s="5">
        <v>44378</v>
      </c>
      <c r="J695" s="6">
        <v>1715</v>
      </c>
      <c r="K695" s="78">
        <v>1715</v>
      </c>
      <c r="L695" s="6">
        <v>14.938000000000001</v>
      </c>
      <c r="M695" s="77">
        <v>14.938000000000001</v>
      </c>
      <c r="N695" s="6">
        <v>14.938000000000001</v>
      </c>
      <c r="O695" s="77">
        <v>14.938000000000001</v>
      </c>
      <c r="P695" s="6">
        <v>0</v>
      </c>
      <c r="Q695" s="4" t="s">
        <v>26</v>
      </c>
      <c r="R695" s="4">
        <v>0</v>
      </c>
      <c r="S695" s="6">
        <v>28</v>
      </c>
      <c r="T695" s="6">
        <v>30</v>
      </c>
      <c r="U695" s="6">
        <v>66</v>
      </c>
      <c r="V695" s="77">
        <f>IF(ISERROR(VLOOKUP($S$695,'TAR FIN'!$A$1:$O$95,15,0)),0,VLOOKUP($S$695,'TAR FIN'!$A$1:$O$95,15,0))*(1-0.09)</f>
        <v>48.2209</v>
      </c>
      <c r="W695" s="77">
        <f>IF(ISERROR(VLOOKUP($T$695,'TAR FIN'!$A$1:$O$95,15,0)),0,VLOOKUP($T$695,'TAR FIN'!$A$1:$O$95,15,0))*(1-0.09)</f>
        <v>136.16329999999999</v>
      </c>
      <c r="X695" s="77">
        <f>IF(ISERROR(VLOOKUP($U$695,'TAR FIN'!$A$1:$O$95,15,0)),0,VLOOKUP($U$695,'TAR FIN'!$A$1:$O$95,15,0))*(1-0.09)</f>
        <v>354.2448</v>
      </c>
      <c r="Y695" s="77">
        <f ca="1">('TUSD BE'!$AM$10+'TUSD BF'!$AM$10+'TUSD CVA'!$AM$10)*1*(1-0.06)</f>
        <v>55.719770574664459</v>
      </c>
      <c r="Z695" s="77">
        <f ca="1">('TUSD BE'!$AM$12+'TUSD BF'!$AM$12+'TUSD CVA'!$AM$12)*1*(1-0.06)</f>
        <v>158.4025784496171</v>
      </c>
      <c r="AA695" s="77">
        <f>('TE BE'!$AA$7+'TE BF'!$AA$7+'TE CVA'!$AA$7)*1*(1-0.06)</f>
        <v>427.06885385270027</v>
      </c>
      <c r="AB695" s="6">
        <f>$K$695*$V$695</f>
        <v>82698.843500000003</v>
      </c>
      <c r="AC695" s="6">
        <f>$M$695*$W$695</f>
        <v>2034.0073754</v>
      </c>
      <c r="AD695" s="6">
        <f>$O$695*$X$695</f>
        <v>5291.7088223999999</v>
      </c>
      <c r="AE695" s="6">
        <f ca="1">$K$695*$Y$695</f>
        <v>95559.40653554954</v>
      </c>
      <c r="AF695" s="6">
        <f ca="1">$M$695*$Z$695</f>
        <v>2366.2177168803801</v>
      </c>
      <c r="AG695" s="6">
        <f>$O$695*$AA$695</f>
        <v>6379.5545388516366</v>
      </c>
    </row>
    <row r="696" spans="1:33" ht="11.25" customHeight="1" x14ac:dyDescent="0.25">
      <c r="A696" s="4" t="s">
        <v>28</v>
      </c>
      <c r="B696" s="4" t="s">
        <v>35</v>
      </c>
      <c r="C696" s="4" t="s">
        <v>44</v>
      </c>
      <c r="D696" s="4" t="s">
        <v>52</v>
      </c>
      <c r="E696" s="4" t="s">
        <v>53</v>
      </c>
      <c r="F696" s="4" t="s">
        <v>25</v>
      </c>
      <c r="G696" s="4" t="s">
        <v>25</v>
      </c>
      <c r="H696" s="4" t="s">
        <v>37</v>
      </c>
      <c r="I696" s="5">
        <v>44378</v>
      </c>
      <c r="J696" s="6">
        <v>613</v>
      </c>
      <c r="K696" s="78">
        <v>613</v>
      </c>
      <c r="L696" s="6">
        <v>31.35</v>
      </c>
      <c r="M696" s="77">
        <v>31.35</v>
      </c>
      <c r="N696" s="6">
        <v>31.35</v>
      </c>
      <c r="O696" s="77">
        <v>31.35</v>
      </c>
      <c r="P696" s="6">
        <v>0</v>
      </c>
      <c r="Q696" s="4" t="s">
        <v>26</v>
      </c>
      <c r="R696" s="4">
        <v>0</v>
      </c>
      <c r="S696" s="6">
        <v>28</v>
      </c>
      <c r="T696" s="6">
        <v>30</v>
      </c>
      <c r="U696" s="6">
        <v>66</v>
      </c>
      <c r="V696" s="77">
        <f>IF(ISERROR(VLOOKUP($S$696,'TAR FIN'!$A$1:$O$95,15,0)),0,VLOOKUP($S$696,'TAR FIN'!$A$1:$O$95,15,0))*(1-0.09)</f>
        <v>48.2209</v>
      </c>
      <c r="W696" s="77">
        <f>IF(ISERROR(VLOOKUP($T$696,'TAR FIN'!$A$1:$O$95,15,0)),0,VLOOKUP($T$696,'TAR FIN'!$A$1:$O$95,15,0))*(1-0.09)</f>
        <v>136.16329999999999</v>
      </c>
      <c r="X696" s="77">
        <f>IF(ISERROR(VLOOKUP($U$696,'TAR FIN'!$A$1:$O$95,15,0)),0,VLOOKUP($U$696,'TAR FIN'!$A$1:$O$95,15,0))*(1-0.09)</f>
        <v>354.2448</v>
      </c>
      <c r="Y696" s="77">
        <f ca="1">('TUSD BE'!$AM$10+'TUSD BF'!$AM$10+'TUSD CVA'!$AM$10)*1*(1-0.06)</f>
        <v>55.719770574664459</v>
      </c>
      <c r="Z696" s="77">
        <f ca="1">('TUSD BE'!$AM$12+'TUSD BF'!$AM$12+'TUSD CVA'!$AM$12)*1*(1-0.06)</f>
        <v>158.4025784496171</v>
      </c>
      <c r="AA696" s="77">
        <f>('TE BE'!$AA$7+'TE BF'!$AA$7+'TE CVA'!$AA$7)*1*(1-0.06)</f>
        <v>427.06885385270027</v>
      </c>
      <c r="AB696" s="6">
        <f>$K$696*$V$696</f>
        <v>29559.411700000001</v>
      </c>
      <c r="AC696" s="6">
        <f>$M$696*$W$696</f>
        <v>4268.7194550000004</v>
      </c>
      <c r="AD696" s="6">
        <f>$O$696*$X$696</f>
        <v>11105.574480000001</v>
      </c>
      <c r="AE696" s="6">
        <f ca="1">$K$696*$Y$696</f>
        <v>34156.219362269316</v>
      </c>
      <c r="AF696" s="6">
        <f ca="1">$M$696*$Z$696</f>
        <v>4965.9208343954961</v>
      </c>
      <c r="AG696" s="6">
        <f>$O$696*$AA$696</f>
        <v>13388.608568282154</v>
      </c>
    </row>
    <row r="697" spans="1:33" ht="11.25" customHeight="1" x14ac:dyDescent="0.25">
      <c r="A697" s="4" t="s">
        <v>21</v>
      </c>
      <c r="B697" s="4" t="s">
        <v>35</v>
      </c>
      <c r="C697" s="4" t="s">
        <v>44</v>
      </c>
      <c r="D697" s="4" t="s">
        <v>52</v>
      </c>
      <c r="E697" s="4" t="s">
        <v>53</v>
      </c>
      <c r="F697" s="4" t="s">
        <v>25</v>
      </c>
      <c r="G697" s="4" t="s">
        <v>25</v>
      </c>
      <c r="H697" s="4" t="s">
        <v>37</v>
      </c>
      <c r="I697" s="5">
        <v>44409</v>
      </c>
      <c r="J697" s="6">
        <v>1715</v>
      </c>
      <c r="K697" s="78">
        <v>1715</v>
      </c>
      <c r="L697" s="6">
        <v>12.472</v>
      </c>
      <c r="M697" s="77">
        <v>12.472</v>
      </c>
      <c r="N697" s="6">
        <v>12.472</v>
      </c>
      <c r="O697" s="77">
        <v>12.472</v>
      </c>
      <c r="P697" s="6">
        <v>0</v>
      </c>
      <c r="Q697" s="4" t="s">
        <v>26</v>
      </c>
      <c r="R697" s="4">
        <v>0</v>
      </c>
      <c r="S697" s="6">
        <v>28</v>
      </c>
      <c r="T697" s="6">
        <v>30</v>
      </c>
      <c r="U697" s="6">
        <v>66</v>
      </c>
      <c r="V697" s="77">
        <f>IF(ISERROR(VLOOKUP($S$697,'TAR FIN'!$A$1:$O$95,15,0)),0,VLOOKUP($S$697,'TAR FIN'!$A$1:$O$95,15,0))*(1-0.09)</f>
        <v>48.2209</v>
      </c>
      <c r="W697" s="77">
        <f>IF(ISERROR(VLOOKUP($T$697,'TAR FIN'!$A$1:$O$95,15,0)),0,VLOOKUP($T$697,'TAR FIN'!$A$1:$O$95,15,0))*(1-0.09)</f>
        <v>136.16329999999999</v>
      </c>
      <c r="X697" s="77">
        <f>IF(ISERROR(VLOOKUP($U$697,'TAR FIN'!$A$1:$O$95,15,0)),0,VLOOKUP($U$697,'TAR FIN'!$A$1:$O$95,15,0))*(1-0.09)</f>
        <v>354.2448</v>
      </c>
      <c r="Y697" s="77">
        <f ca="1">('TUSD BE'!$AM$10+'TUSD BF'!$AM$10+'TUSD CVA'!$AM$10)*1*(1-0.06)</f>
        <v>55.719770574664459</v>
      </c>
      <c r="Z697" s="77">
        <f ca="1">('TUSD BE'!$AM$12+'TUSD BF'!$AM$12+'TUSD CVA'!$AM$12)*1*(1-0.06)</f>
        <v>158.4025784496171</v>
      </c>
      <c r="AA697" s="77">
        <f>('TE BE'!$AA$7+'TE BF'!$AA$7+'TE CVA'!$AA$7)*1*(1-0.06)</f>
        <v>427.06885385270027</v>
      </c>
      <c r="AB697" s="6">
        <f>$K$697*$V$697</f>
        <v>82698.843500000003</v>
      </c>
      <c r="AC697" s="6">
        <f>$M$697*$W$697</f>
        <v>1698.2286775999999</v>
      </c>
      <c r="AD697" s="6">
        <f>$O$697*$X$697</f>
        <v>4418.1411455999996</v>
      </c>
      <c r="AE697" s="6">
        <f ca="1">$K$697*$Y$697</f>
        <v>95559.40653554954</v>
      </c>
      <c r="AF697" s="6">
        <f ca="1">$M$697*$Z$697</f>
        <v>1975.5969584236243</v>
      </c>
      <c r="AG697" s="6">
        <f>$O$697*$AA$697</f>
        <v>5326.4027452508772</v>
      </c>
    </row>
    <row r="698" spans="1:33" ht="11.25" customHeight="1" x14ac:dyDescent="0.25">
      <c r="A698" s="4" t="s">
        <v>28</v>
      </c>
      <c r="B698" s="4" t="s">
        <v>35</v>
      </c>
      <c r="C698" s="4" t="s">
        <v>44</v>
      </c>
      <c r="D698" s="4" t="s">
        <v>52</v>
      </c>
      <c r="E698" s="4" t="s">
        <v>53</v>
      </c>
      <c r="F698" s="4" t="s">
        <v>25</v>
      </c>
      <c r="G698" s="4" t="s">
        <v>25</v>
      </c>
      <c r="H698" s="4" t="s">
        <v>37</v>
      </c>
      <c r="I698" s="5">
        <v>44409</v>
      </c>
      <c r="J698" s="6">
        <v>613</v>
      </c>
      <c r="K698" s="78">
        <v>613</v>
      </c>
      <c r="L698" s="6">
        <v>27.288</v>
      </c>
      <c r="M698" s="77">
        <v>27.288</v>
      </c>
      <c r="N698" s="6">
        <v>27.288</v>
      </c>
      <c r="O698" s="77">
        <v>27.288</v>
      </c>
      <c r="P698" s="6">
        <v>0</v>
      </c>
      <c r="Q698" s="4" t="s">
        <v>26</v>
      </c>
      <c r="R698" s="4">
        <v>0</v>
      </c>
      <c r="S698" s="6">
        <v>28</v>
      </c>
      <c r="T698" s="6">
        <v>30</v>
      </c>
      <c r="U698" s="6">
        <v>66</v>
      </c>
      <c r="V698" s="77">
        <f>IF(ISERROR(VLOOKUP($S$698,'TAR FIN'!$A$1:$O$95,15,0)),0,VLOOKUP($S$698,'TAR FIN'!$A$1:$O$95,15,0))*(1-0.09)</f>
        <v>48.2209</v>
      </c>
      <c r="W698" s="77">
        <f>IF(ISERROR(VLOOKUP($T$698,'TAR FIN'!$A$1:$O$95,15,0)),0,VLOOKUP($T$698,'TAR FIN'!$A$1:$O$95,15,0))*(1-0.09)</f>
        <v>136.16329999999999</v>
      </c>
      <c r="X698" s="77">
        <f>IF(ISERROR(VLOOKUP($U$698,'TAR FIN'!$A$1:$O$95,15,0)),0,VLOOKUP($U$698,'TAR FIN'!$A$1:$O$95,15,0))*(1-0.09)</f>
        <v>354.2448</v>
      </c>
      <c r="Y698" s="77">
        <f ca="1">('TUSD BE'!$AM$10+'TUSD BF'!$AM$10+'TUSD CVA'!$AM$10)*1*(1-0.06)</f>
        <v>55.719770574664459</v>
      </c>
      <c r="Z698" s="77">
        <f ca="1">('TUSD BE'!$AM$12+'TUSD BF'!$AM$12+'TUSD CVA'!$AM$12)*1*(1-0.06)</f>
        <v>158.4025784496171</v>
      </c>
      <c r="AA698" s="77">
        <f>('TE BE'!$AA$7+'TE BF'!$AA$7+'TE CVA'!$AA$7)*1*(1-0.06)</f>
        <v>427.06885385270027</v>
      </c>
      <c r="AB698" s="6">
        <f>$K$698*$V$698</f>
        <v>29559.411700000001</v>
      </c>
      <c r="AC698" s="6">
        <f>$M$698*$W$698</f>
        <v>3715.6241304</v>
      </c>
      <c r="AD698" s="6">
        <f>$O$698*$X$698</f>
        <v>9666.6321024000008</v>
      </c>
      <c r="AE698" s="6">
        <f ca="1">$K$698*$Y$698</f>
        <v>34156.219362269316</v>
      </c>
      <c r="AF698" s="6">
        <f ca="1">$M$698*$Z$698</f>
        <v>4322.4895607331509</v>
      </c>
      <c r="AG698" s="6">
        <f>$O$698*$AA$698</f>
        <v>11653.854883932485</v>
      </c>
    </row>
    <row r="699" spans="1:33" ht="11.25" customHeight="1" x14ac:dyDescent="0.25">
      <c r="A699" s="4" t="s">
        <v>21</v>
      </c>
      <c r="B699" s="4" t="s">
        <v>35</v>
      </c>
      <c r="C699" s="4" t="s">
        <v>44</v>
      </c>
      <c r="D699" s="4" t="s">
        <v>52</v>
      </c>
      <c r="E699" s="4" t="s">
        <v>53</v>
      </c>
      <c r="F699" s="4" t="s">
        <v>25</v>
      </c>
      <c r="G699" s="4" t="s">
        <v>25</v>
      </c>
      <c r="H699" s="4" t="s">
        <v>37</v>
      </c>
      <c r="I699" s="5">
        <v>44440</v>
      </c>
      <c r="J699" s="6">
        <v>1917</v>
      </c>
      <c r="K699" s="78">
        <v>1917</v>
      </c>
      <c r="L699" s="6">
        <v>33.853000000000002</v>
      </c>
      <c r="M699" s="77">
        <v>33.853000000000002</v>
      </c>
      <c r="N699" s="6">
        <v>33.853000000000002</v>
      </c>
      <c r="O699" s="77">
        <v>33.853000000000002</v>
      </c>
      <c r="P699" s="6">
        <v>0</v>
      </c>
      <c r="Q699" s="4" t="s">
        <v>26</v>
      </c>
      <c r="R699" s="4">
        <v>0</v>
      </c>
      <c r="S699" s="6">
        <v>28</v>
      </c>
      <c r="T699" s="6">
        <v>30</v>
      </c>
      <c r="U699" s="6">
        <v>66</v>
      </c>
      <c r="V699" s="77">
        <f>IF(ISERROR(VLOOKUP($S$699,'TAR FIN'!$A$1:$O$95,15,0)),0,VLOOKUP($S$699,'TAR FIN'!$A$1:$O$95,15,0))*(1-0.09)</f>
        <v>48.2209</v>
      </c>
      <c r="W699" s="77">
        <f>IF(ISERROR(VLOOKUP($T$699,'TAR FIN'!$A$1:$O$95,15,0)),0,VLOOKUP($T$699,'TAR FIN'!$A$1:$O$95,15,0))*(1-0.09)</f>
        <v>136.16329999999999</v>
      </c>
      <c r="X699" s="77">
        <f>IF(ISERROR(VLOOKUP($U$699,'TAR FIN'!$A$1:$O$95,15,0)),0,VLOOKUP($U$699,'TAR FIN'!$A$1:$O$95,15,0))*(1-0.09)</f>
        <v>354.2448</v>
      </c>
      <c r="Y699" s="77">
        <f ca="1">('TUSD BE'!$AM$10+'TUSD BF'!$AM$10+'TUSD CVA'!$AM$10)*1*(1-0.06)</f>
        <v>55.719770574664459</v>
      </c>
      <c r="Z699" s="77">
        <f ca="1">('TUSD BE'!$AM$12+'TUSD BF'!$AM$12+'TUSD CVA'!$AM$12)*1*(1-0.06)</f>
        <v>158.4025784496171</v>
      </c>
      <c r="AA699" s="77">
        <f>('TE BE'!$AA$7+'TE BF'!$AA$7+'TE CVA'!$AA$7)*1*(1-0.06)</f>
        <v>427.06885385270027</v>
      </c>
      <c r="AB699" s="6">
        <f>$K$699*$V$699</f>
        <v>92439.465299999996</v>
      </c>
      <c r="AC699" s="6">
        <f>$M$699*$W$699</f>
        <v>4609.5361948999998</v>
      </c>
      <c r="AD699" s="6">
        <f>$O$699*$X$699</f>
        <v>11992.249214400001</v>
      </c>
      <c r="AE699" s="6">
        <f ca="1">$K$699*$Y$699</f>
        <v>106814.80019163177</v>
      </c>
      <c r="AF699" s="6">
        <f ca="1">$M$699*$Z$699</f>
        <v>5362.4024882548874</v>
      </c>
      <c r="AG699" s="6">
        <f>$O$699*$AA$699</f>
        <v>14457.561909475464</v>
      </c>
    </row>
    <row r="700" spans="1:33" ht="11.25" customHeight="1" x14ac:dyDescent="0.25">
      <c r="A700" s="4" t="s">
        <v>28</v>
      </c>
      <c r="B700" s="4" t="s">
        <v>35</v>
      </c>
      <c r="C700" s="4" t="s">
        <v>44</v>
      </c>
      <c r="D700" s="4" t="s">
        <v>52</v>
      </c>
      <c r="E700" s="4" t="s">
        <v>53</v>
      </c>
      <c r="F700" s="4" t="s">
        <v>25</v>
      </c>
      <c r="G700" s="4" t="s">
        <v>25</v>
      </c>
      <c r="H700" s="4" t="s">
        <v>37</v>
      </c>
      <c r="I700" s="5">
        <v>44440</v>
      </c>
      <c r="J700" s="6">
        <v>609</v>
      </c>
      <c r="K700" s="78">
        <v>609</v>
      </c>
      <c r="L700" s="6">
        <v>27.219000000000001</v>
      </c>
      <c r="M700" s="77">
        <v>27.219000000000001</v>
      </c>
      <c r="N700" s="6">
        <v>27.219000000000001</v>
      </c>
      <c r="O700" s="77">
        <v>27.219000000000001</v>
      </c>
      <c r="P700" s="6">
        <v>0</v>
      </c>
      <c r="Q700" s="4" t="s">
        <v>26</v>
      </c>
      <c r="R700" s="4">
        <v>0</v>
      </c>
      <c r="S700" s="6">
        <v>28</v>
      </c>
      <c r="T700" s="6">
        <v>30</v>
      </c>
      <c r="U700" s="6">
        <v>66</v>
      </c>
      <c r="V700" s="77">
        <f>IF(ISERROR(VLOOKUP($S$700,'TAR FIN'!$A$1:$O$95,15,0)),0,VLOOKUP($S$700,'TAR FIN'!$A$1:$O$95,15,0))*(1-0.09)</f>
        <v>48.2209</v>
      </c>
      <c r="W700" s="77">
        <f>IF(ISERROR(VLOOKUP($T$700,'TAR FIN'!$A$1:$O$95,15,0)),0,VLOOKUP($T$700,'TAR FIN'!$A$1:$O$95,15,0))*(1-0.09)</f>
        <v>136.16329999999999</v>
      </c>
      <c r="X700" s="77">
        <f>IF(ISERROR(VLOOKUP($U$700,'TAR FIN'!$A$1:$O$95,15,0)),0,VLOOKUP($U$700,'TAR FIN'!$A$1:$O$95,15,0))*(1-0.09)</f>
        <v>354.2448</v>
      </c>
      <c r="Y700" s="77">
        <f ca="1">('TUSD BE'!$AM$10+'TUSD BF'!$AM$10+'TUSD CVA'!$AM$10)*1*(1-0.06)</f>
        <v>55.719770574664459</v>
      </c>
      <c r="Z700" s="77">
        <f ca="1">('TUSD BE'!$AM$12+'TUSD BF'!$AM$12+'TUSD CVA'!$AM$12)*1*(1-0.06)</f>
        <v>158.4025784496171</v>
      </c>
      <c r="AA700" s="77">
        <f>('TE BE'!$AA$7+'TE BF'!$AA$7+'TE CVA'!$AA$7)*1*(1-0.06)</f>
        <v>427.06885385270027</v>
      </c>
      <c r="AB700" s="6">
        <f>$K$700*$V$700</f>
        <v>29366.5281</v>
      </c>
      <c r="AC700" s="6">
        <f>$M$700*$W$700</f>
        <v>3706.2288626999998</v>
      </c>
      <c r="AD700" s="6">
        <f>$O$700*$X$700</f>
        <v>9642.1892112000005</v>
      </c>
      <c r="AE700" s="6">
        <f ca="1">$K$700*$Y$700</f>
        <v>33933.340279970653</v>
      </c>
      <c r="AF700" s="6">
        <f ca="1">$M$700*$Z$700</f>
        <v>4311.559782820128</v>
      </c>
      <c r="AG700" s="6">
        <f>$O$700*$AA$700</f>
        <v>11624.387133016649</v>
      </c>
    </row>
    <row r="701" spans="1:33" ht="11.25" customHeight="1" x14ac:dyDescent="0.25">
      <c r="A701" s="4" t="s">
        <v>59</v>
      </c>
      <c r="B701" s="4" t="s">
        <v>35</v>
      </c>
      <c r="C701" s="4" t="s">
        <v>44</v>
      </c>
      <c r="D701" s="4" t="s">
        <v>52</v>
      </c>
      <c r="E701" s="4" t="s">
        <v>53</v>
      </c>
      <c r="F701" s="4" t="s">
        <v>25</v>
      </c>
      <c r="G701" s="4" t="s">
        <v>25</v>
      </c>
      <c r="H701" s="4" t="s">
        <v>37</v>
      </c>
      <c r="I701" s="5">
        <v>44470</v>
      </c>
      <c r="J701" s="6">
        <v>1917</v>
      </c>
      <c r="K701" s="78">
        <v>1917</v>
      </c>
      <c r="L701" s="6">
        <v>33.853000000000002</v>
      </c>
      <c r="M701" s="77">
        <v>33.853000000000002</v>
      </c>
      <c r="N701" s="6">
        <v>33.853000000000002</v>
      </c>
      <c r="O701" s="77">
        <v>33.853000000000002</v>
      </c>
      <c r="P701" s="6">
        <v>0</v>
      </c>
      <c r="Q701" s="4" t="s">
        <v>26</v>
      </c>
      <c r="R701" s="4">
        <v>0</v>
      </c>
      <c r="S701" s="6">
        <v>28</v>
      </c>
      <c r="T701" s="6">
        <v>30</v>
      </c>
      <c r="U701" s="6">
        <v>66</v>
      </c>
      <c r="V701" s="77">
        <f>IF(ISERROR(VLOOKUP($S$701,'TAR FIN'!$A$1:$O$95,15,0)),0,VLOOKUP($S$701,'TAR FIN'!$A$1:$O$95,15,0))*(1-0.09)</f>
        <v>48.2209</v>
      </c>
      <c r="W701" s="77">
        <f>IF(ISERROR(VLOOKUP($T$701,'TAR FIN'!$A$1:$O$95,15,0)),0,VLOOKUP($T$701,'TAR FIN'!$A$1:$O$95,15,0))*(1-0.09)</f>
        <v>136.16329999999999</v>
      </c>
      <c r="X701" s="77">
        <f>IF(ISERROR(VLOOKUP($U$701,'TAR FIN'!$A$1:$O$95,15,0)),0,VLOOKUP($U$701,'TAR FIN'!$A$1:$O$95,15,0))*(1-0.09)</f>
        <v>354.2448</v>
      </c>
      <c r="Y701" s="77">
        <f ca="1">('TUSD BE'!$AM$10+'TUSD BF'!$AM$10+'TUSD CVA'!$AM$10)*1*(1-0.06)</f>
        <v>55.719770574664459</v>
      </c>
      <c r="Z701" s="77">
        <f ca="1">('TUSD BE'!$AM$12+'TUSD BF'!$AM$12+'TUSD CVA'!$AM$12)*1*(1-0.06)</f>
        <v>158.4025784496171</v>
      </c>
      <c r="AA701" s="77">
        <f>('TE BE'!$AA$7+'TE BF'!$AA$7+'TE CVA'!$AA$7)*1*(1-0.06)</f>
        <v>427.06885385270027</v>
      </c>
      <c r="AB701" s="6">
        <f>$K$701*$V$701</f>
        <v>92439.465299999996</v>
      </c>
      <c r="AC701" s="6">
        <f>$M$701*$W$701</f>
        <v>4609.5361948999998</v>
      </c>
      <c r="AD701" s="6">
        <f>$O$701*$X$701</f>
        <v>11992.249214400001</v>
      </c>
      <c r="AE701" s="6">
        <f ca="1">$K$701*$Y$701</f>
        <v>106814.80019163177</v>
      </c>
      <c r="AF701" s="6">
        <f ca="1">$M$701*$Z$701</f>
        <v>5362.4024882548874</v>
      </c>
      <c r="AG701" s="6">
        <f>$O$701*$AA$701</f>
        <v>14457.561909475464</v>
      </c>
    </row>
    <row r="702" spans="1:33" ht="11.25" customHeight="1" x14ac:dyDescent="0.25">
      <c r="A702" s="4" t="s">
        <v>59</v>
      </c>
      <c r="B702" s="4" t="s">
        <v>35</v>
      </c>
      <c r="C702" s="4" t="s">
        <v>44</v>
      </c>
      <c r="D702" s="4" t="s">
        <v>52</v>
      </c>
      <c r="E702" s="4" t="s">
        <v>53</v>
      </c>
      <c r="F702" s="4" t="s">
        <v>25</v>
      </c>
      <c r="G702" s="4" t="s">
        <v>25</v>
      </c>
      <c r="H702" s="4" t="s">
        <v>37</v>
      </c>
      <c r="I702" s="5">
        <v>44470</v>
      </c>
      <c r="J702" s="6">
        <v>609</v>
      </c>
      <c r="K702" s="78">
        <v>609</v>
      </c>
      <c r="L702" s="6">
        <v>27.219000000000001</v>
      </c>
      <c r="M702" s="77">
        <v>27.219000000000001</v>
      </c>
      <c r="N702" s="6">
        <v>27.219000000000001</v>
      </c>
      <c r="O702" s="77">
        <v>27.219000000000001</v>
      </c>
      <c r="P702" s="6">
        <v>0</v>
      </c>
      <c r="Q702" s="4" t="s">
        <v>26</v>
      </c>
      <c r="R702" s="4">
        <v>0</v>
      </c>
      <c r="S702" s="6">
        <v>28</v>
      </c>
      <c r="T702" s="6">
        <v>30</v>
      </c>
      <c r="U702" s="6">
        <v>66</v>
      </c>
      <c r="V702" s="77">
        <f>IF(ISERROR(VLOOKUP($S$702,'TAR FIN'!$A$1:$O$95,15,0)),0,VLOOKUP($S$702,'TAR FIN'!$A$1:$O$95,15,0))*(1-0.09)</f>
        <v>48.2209</v>
      </c>
      <c r="W702" s="77">
        <f>IF(ISERROR(VLOOKUP($T$702,'TAR FIN'!$A$1:$O$95,15,0)),0,VLOOKUP($T$702,'TAR FIN'!$A$1:$O$95,15,0))*(1-0.09)</f>
        <v>136.16329999999999</v>
      </c>
      <c r="X702" s="77">
        <f>IF(ISERROR(VLOOKUP($U$702,'TAR FIN'!$A$1:$O$95,15,0)),0,VLOOKUP($U$702,'TAR FIN'!$A$1:$O$95,15,0))*(1-0.09)</f>
        <v>354.2448</v>
      </c>
      <c r="Y702" s="77">
        <f ca="1">('TUSD BE'!$AM$10+'TUSD BF'!$AM$10+'TUSD CVA'!$AM$10)*1*(1-0.06)</f>
        <v>55.719770574664459</v>
      </c>
      <c r="Z702" s="77">
        <f ca="1">('TUSD BE'!$AM$12+'TUSD BF'!$AM$12+'TUSD CVA'!$AM$12)*1*(1-0.06)</f>
        <v>158.4025784496171</v>
      </c>
      <c r="AA702" s="77">
        <f>('TE BE'!$AA$7+'TE BF'!$AA$7+'TE CVA'!$AA$7)*1*(1-0.06)</f>
        <v>427.06885385270027</v>
      </c>
      <c r="AB702" s="6">
        <f>$K$702*$V$702</f>
        <v>29366.5281</v>
      </c>
      <c r="AC702" s="6">
        <f>$M$702*$W$702</f>
        <v>3706.2288626999998</v>
      </c>
      <c r="AD702" s="6">
        <f>$O$702*$X$702</f>
        <v>9642.1892112000005</v>
      </c>
      <c r="AE702" s="6">
        <f ca="1">$K$702*$Y$702</f>
        <v>33933.340279970653</v>
      </c>
      <c r="AF702" s="6">
        <f ca="1">$M$702*$Z$702</f>
        <v>4311.559782820128</v>
      </c>
      <c r="AG702" s="6">
        <f>$O$702*$AA$702</f>
        <v>11624.387133016649</v>
      </c>
    </row>
    <row r="703" spans="1:33" ht="11.25" customHeight="1" x14ac:dyDescent="0.25">
      <c r="A703" s="4" t="s">
        <v>21</v>
      </c>
      <c r="B703" s="4" t="s">
        <v>35</v>
      </c>
      <c r="C703" s="4" t="s">
        <v>36</v>
      </c>
      <c r="D703" s="4" t="s">
        <v>45</v>
      </c>
      <c r="E703" s="4" t="s">
        <v>25</v>
      </c>
      <c r="F703" s="4" t="s">
        <v>25</v>
      </c>
      <c r="G703" s="4" t="s">
        <v>25</v>
      </c>
      <c r="H703" s="4" t="s">
        <v>38</v>
      </c>
      <c r="I703" s="5">
        <v>44136</v>
      </c>
      <c r="J703" s="6">
        <v>0</v>
      </c>
      <c r="K703" s="6">
        <v>0</v>
      </c>
      <c r="L703" s="6">
        <v>24133.951000000001</v>
      </c>
      <c r="M703" s="6">
        <v>24133.951000000001</v>
      </c>
      <c r="N703" s="6">
        <v>24133.951000000001</v>
      </c>
      <c r="O703" s="6">
        <v>24133.951000000001</v>
      </c>
      <c r="P703" s="6">
        <v>0</v>
      </c>
      <c r="Q703" s="4" t="s">
        <v>26</v>
      </c>
      <c r="R703" s="4">
        <v>0</v>
      </c>
      <c r="S703" s="6">
        <v>0</v>
      </c>
      <c r="T703" s="6">
        <v>19</v>
      </c>
      <c r="U703" s="6">
        <v>67</v>
      </c>
      <c r="V703" s="6">
        <f>IF(ISERROR(VLOOKUP($S$703,'TAR FIN'!$A$1:$O$95,15,0)),0,VLOOKUP($S$703,'TAR FIN'!$A$1:$O$95,15,0))</f>
        <v>0</v>
      </c>
      <c r="W703" s="6">
        <f>IF(ISERROR(VLOOKUP($T$703,'TAR FIN'!$A$1:$O$95,15,0)),0,VLOOKUP($T$703,'TAR FIN'!$A$1:$O$95,15,0))</f>
        <v>149.63</v>
      </c>
      <c r="X703" s="6">
        <f>IF(ISERROR(VLOOKUP($U$703,'TAR FIN'!$A$1:$O$95,15,0)),0,VLOOKUP($U$703,'TAR FIN'!$A$1:$O$95,15,0))</f>
        <v>230.03</v>
      </c>
      <c r="Y703" s="6"/>
      <c r="Z703" s="6">
        <f ca="1">('TUSD BE'!$AM$17+'TUSD BF'!$AM$17+'TUSD CVA'!$AM$17)*1</f>
        <v>168.51338132937991</v>
      </c>
      <c r="AA703" s="6">
        <f>('TE BE'!$AA$8+'TE BF'!$AA$8+'TE CVA'!$AA$8)*1</f>
        <v>282.91739971702214</v>
      </c>
      <c r="AB703" s="6">
        <f>$K$703*$V$703</f>
        <v>0</v>
      </c>
      <c r="AC703" s="6">
        <f>$M$703*$W$703</f>
        <v>3611163.08813</v>
      </c>
      <c r="AD703" s="6">
        <f>$O$703*$X$703</f>
        <v>5551532.7485300004</v>
      </c>
      <c r="AE703" s="6">
        <f>$K$703*$Y$703</f>
        <v>0</v>
      </c>
      <c r="AF703" s="6">
        <f ca="1">$M$703*$Z$703</f>
        <v>4066893.6878475696</v>
      </c>
      <c r="AG703" s="6">
        <f>$O$703*$AA$703</f>
        <v>6827914.6618180266</v>
      </c>
    </row>
    <row r="704" spans="1:33" ht="11.25" customHeight="1" x14ac:dyDescent="0.25">
      <c r="A704" s="4" t="s">
        <v>27</v>
      </c>
      <c r="B704" s="4" t="s">
        <v>35</v>
      </c>
      <c r="C704" s="4" t="s">
        <v>36</v>
      </c>
      <c r="D704" s="4" t="s">
        <v>45</v>
      </c>
      <c r="E704" s="4" t="s">
        <v>25</v>
      </c>
      <c r="F704" s="4" t="s">
        <v>25</v>
      </c>
      <c r="G704" s="4" t="s">
        <v>25</v>
      </c>
      <c r="H704" s="4" t="s">
        <v>38</v>
      </c>
      <c r="I704" s="5">
        <v>44136</v>
      </c>
      <c r="J704" s="6">
        <v>0</v>
      </c>
      <c r="K704" s="6">
        <v>0</v>
      </c>
      <c r="L704" s="6">
        <v>75.441999999999993</v>
      </c>
      <c r="M704" s="6">
        <v>75.441999999999993</v>
      </c>
      <c r="N704" s="6">
        <v>75.441999999999993</v>
      </c>
      <c r="O704" s="6">
        <v>75.441999999999993</v>
      </c>
      <c r="P704" s="6">
        <v>0</v>
      </c>
      <c r="Q704" s="4" t="s">
        <v>26</v>
      </c>
      <c r="R704" s="4">
        <v>0</v>
      </c>
      <c r="S704" s="6">
        <v>0</v>
      </c>
      <c r="T704" s="6">
        <v>19</v>
      </c>
      <c r="U704" s="6">
        <v>67</v>
      </c>
      <c r="V704" s="6">
        <f>IF(ISERROR(VLOOKUP($S$704,'TAR FIN'!$A$1:$O$95,15,0)),0,VLOOKUP($S$704,'TAR FIN'!$A$1:$O$95,15,0))</f>
        <v>0</v>
      </c>
      <c r="W704" s="6">
        <f>IF(ISERROR(VLOOKUP($T$704,'TAR FIN'!$A$1:$O$95,15,0)),0,VLOOKUP($T$704,'TAR FIN'!$A$1:$O$95,15,0))</f>
        <v>149.63</v>
      </c>
      <c r="X704" s="6">
        <f>IF(ISERROR(VLOOKUP($U$704,'TAR FIN'!$A$1:$O$95,15,0)),0,VLOOKUP($U$704,'TAR FIN'!$A$1:$O$95,15,0))</f>
        <v>230.03</v>
      </c>
      <c r="Y704" s="6"/>
      <c r="Z704" s="6">
        <f ca="1">('TUSD BE'!$AM$17+'TUSD BF'!$AM$17+'TUSD CVA'!$AM$17)*1</f>
        <v>168.51338132937991</v>
      </c>
      <c r="AA704" s="6">
        <f>('TE BE'!$AA$8+'TE BF'!$AA$8+'TE CVA'!$AA$8)*1</f>
        <v>282.91739971702214</v>
      </c>
      <c r="AB704" s="6">
        <f>$K$704*$V$704</f>
        <v>0</v>
      </c>
      <c r="AC704" s="6">
        <f>$M$704*$W$704</f>
        <v>11288.386459999998</v>
      </c>
      <c r="AD704" s="6">
        <f>$O$704*$X$704</f>
        <v>17353.92326</v>
      </c>
      <c r="AE704" s="6">
        <f>$K$704*$Y$704</f>
        <v>0</v>
      </c>
      <c r="AF704" s="6">
        <f ca="1">$M$704*$Z$704</f>
        <v>12712.986514251079</v>
      </c>
      <c r="AG704" s="6">
        <f>$O$704*$AA$704</f>
        <v>21343.85446945158</v>
      </c>
    </row>
    <row r="705" spans="1:33" ht="11.25" customHeight="1" x14ac:dyDescent="0.25">
      <c r="A705" s="4" t="s">
        <v>28</v>
      </c>
      <c r="B705" s="4" t="s">
        <v>35</v>
      </c>
      <c r="C705" s="4" t="s">
        <v>36</v>
      </c>
      <c r="D705" s="4" t="s">
        <v>45</v>
      </c>
      <c r="E705" s="4" t="s">
        <v>25</v>
      </c>
      <c r="F705" s="4" t="s">
        <v>25</v>
      </c>
      <c r="G705" s="4" t="s">
        <v>25</v>
      </c>
      <c r="H705" s="4" t="s">
        <v>38</v>
      </c>
      <c r="I705" s="5">
        <v>44136</v>
      </c>
      <c r="J705" s="6">
        <v>0</v>
      </c>
      <c r="K705" s="6">
        <v>0</v>
      </c>
      <c r="L705" s="6">
        <v>1764.5229999999999</v>
      </c>
      <c r="M705" s="6">
        <v>1764.5229999999999</v>
      </c>
      <c r="N705" s="6">
        <v>1764.5229999999999</v>
      </c>
      <c r="O705" s="6">
        <v>1764.5229999999999</v>
      </c>
      <c r="P705" s="6">
        <v>0</v>
      </c>
      <c r="Q705" s="4" t="s">
        <v>26</v>
      </c>
      <c r="R705" s="4">
        <v>0</v>
      </c>
      <c r="S705" s="6">
        <v>0</v>
      </c>
      <c r="T705" s="6">
        <v>19</v>
      </c>
      <c r="U705" s="6">
        <v>67</v>
      </c>
      <c r="V705" s="6">
        <f>IF(ISERROR(VLOOKUP($S$705,'TAR FIN'!$A$1:$O$95,15,0)),0,VLOOKUP($S$705,'TAR FIN'!$A$1:$O$95,15,0))</f>
        <v>0</v>
      </c>
      <c r="W705" s="6">
        <f>IF(ISERROR(VLOOKUP($T$705,'TAR FIN'!$A$1:$O$95,15,0)),0,VLOOKUP($T$705,'TAR FIN'!$A$1:$O$95,15,0))</f>
        <v>149.63</v>
      </c>
      <c r="X705" s="6">
        <f>IF(ISERROR(VLOOKUP($U$705,'TAR FIN'!$A$1:$O$95,15,0)),0,VLOOKUP($U$705,'TAR FIN'!$A$1:$O$95,15,0))</f>
        <v>230.03</v>
      </c>
      <c r="Y705" s="6"/>
      <c r="Z705" s="6">
        <f ca="1">('TUSD BE'!$AM$17+'TUSD BF'!$AM$17+'TUSD CVA'!$AM$17)*1</f>
        <v>168.51338132937991</v>
      </c>
      <c r="AA705" s="6">
        <f>('TE BE'!$AA$8+'TE BF'!$AA$8+'TE CVA'!$AA$8)*1</f>
        <v>282.91739971702214</v>
      </c>
      <c r="AB705" s="6">
        <f>$K$705*$V$705</f>
        <v>0</v>
      </c>
      <c r="AC705" s="6">
        <f>$M$705*$W$705</f>
        <v>264025.57649000001</v>
      </c>
      <c r="AD705" s="6">
        <f>$O$705*$X$705</f>
        <v>405893.22568999999</v>
      </c>
      <c r="AE705" s="6">
        <f>$K$705*$Y$705</f>
        <v>0</v>
      </c>
      <c r="AF705" s="6">
        <f ca="1">$M$705*$Z$705</f>
        <v>297345.7371634614</v>
      </c>
      <c r="AG705" s="6">
        <f>$O$705*$AA$705</f>
        <v>499214.25890087901</v>
      </c>
    </row>
    <row r="706" spans="1:33" ht="11.25" customHeight="1" x14ac:dyDescent="0.25">
      <c r="A706" s="4" t="s">
        <v>30</v>
      </c>
      <c r="B706" s="4" t="s">
        <v>35</v>
      </c>
      <c r="C706" s="4" t="s">
        <v>36</v>
      </c>
      <c r="D706" s="4" t="s">
        <v>45</v>
      </c>
      <c r="E706" s="4" t="s">
        <v>25</v>
      </c>
      <c r="F706" s="4" t="s">
        <v>25</v>
      </c>
      <c r="G706" s="4" t="s">
        <v>25</v>
      </c>
      <c r="H706" s="4" t="s">
        <v>38</v>
      </c>
      <c r="I706" s="5">
        <v>44136</v>
      </c>
      <c r="J706" s="6">
        <v>0</v>
      </c>
      <c r="K706" s="6">
        <v>0</v>
      </c>
      <c r="L706" s="6">
        <v>571.38499999999999</v>
      </c>
      <c r="M706" s="6">
        <v>571.38499999999999</v>
      </c>
      <c r="N706" s="6">
        <v>571.38499999999999</v>
      </c>
      <c r="O706" s="6">
        <v>571.38499999999999</v>
      </c>
      <c r="P706" s="6">
        <v>0</v>
      </c>
      <c r="Q706" s="4" t="s">
        <v>26</v>
      </c>
      <c r="R706" s="4">
        <v>0</v>
      </c>
      <c r="S706" s="6">
        <v>0</v>
      </c>
      <c r="T706" s="6">
        <v>19</v>
      </c>
      <c r="U706" s="6">
        <v>67</v>
      </c>
      <c r="V706" s="6">
        <f>IF(ISERROR(VLOOKUP($S$706,'TAR FIN'!$A$1:$O$95,15,0)),0,VLOOKUP($S$706,'TAR FIN'!$A$1:$O$95,15,0))</f>
        <v>0</v>
      </c>
      <c r="W706" s="6">
        <f>IF(ISERROR(VLOOKUP($T$706,'TAR FIN'!$A$1:$O$95,15,0)),0,VLOOKUP($T$706,'TAR FIN'!$A$1:$O$95,15,0))</f>
        <v>149.63</v>
      </c>
      <c r="X706" s="6">
        <f>IF(ISERROR(VLOOKUP($U$706,'TAR FIN'!$A$1:$O$95,15,0)),0,VLOOKUP($U$706,'TAR FIN'!$A$1:$O$95,15,0))</f>
        <v>230.03</v>
      </c>
      <c r="Y706" s="6"/>
      <c r="Z706" s="6">
        <f ca="1">('TUSD BE'!$AM$17+'TUSD BF'!$AM$17+'TUSD CVA'!$AM$17)*1</f>
        <v>168.51338132937991</v>
      </c>
      <c r="AA706" s="6">
        <f>('TE BE'!$AA$8+'TE BF'!$AA$8+'TE CVA'!$AA$8)*1</f>
        <v>282.91739971702214</v>
      </c>
      <c r="AB706" s="6">
        <f>$K$706*$V$706</f>
        <v>0</v>
      </c>
      <c r="AC706" s="6">
        <f>$M$706*$W$706</f>
        <v>85496.337549999997</v>
      </c>
      <c r="AD706" s="6">
        <f>$O$706*$X$706</f>
        <v>131435.69154999999</v>
      </c>
      <c r="AE706" s="6">
        <f>$K$706*$Y$706</f>
        <v>0</v>
      </c>
      <c r="AF706" s="6">
        <f ca="1">$M$706*$Z$706</f>
        <v>96286.018390887737</v>
      </c>
      <c r="AG706" s="6">
        <f>$O$706*$AA$706</f>
        <v>161654.75843731069</v>
      </c>
    </row>
    <row r="707" spans="1:33" ht="11.25" customHeight="1" x14ac:dyDescent="0.25">
      <c r="A707" s="4" t="s">
        <v>21</v>
      </c>
      <c r="B707" s="4" t="s">
        <v>35</v>
      </c>
      <c r="C707" s="4" t="s">
        <v>36</v>
      </c>
      <c r="D707" s="4" t="s">
        <v>45</v>
      </c>
      <c r="E707" s="4" t="s">
        <v>25</v>
      </c>
      <c r="F707" s="4" t="s">
        <v>25</v>
      </c>
      <c r="G707" s="4" t="s">
        <v>25</v>
      </c>
      <c r="H707" s="4" t="s">
        <v>38</v>
      </c>
      <c r="I707" s="5">
        <v>44136</v>
      </c>
      <c r="J707" s="6">
        <v>0</v>
      </c>
      <c r="K707" s="6">
        <v>0</v>
      </c>
      <c r="L707" s="6">
        <v>-164.25700000000001</v>
      </c>
      <c r="M707" s="6">
        <v>-164.25700000000001</v>
      </c>
      <c r="N707" s="6">
        <v>0</v>
      </c>
      <c r="O707" s="6">
        <v>0</v>
      </c>
      <c r="P707" s="6">
        <v>0</v>
      </c>
      <c r="Q707" s="4" t="s">
        <v>60</v>
      </c>
      <c r="R707" s="4">
        <v>0</v>
      </c>
      <c r="S707" s="6">
        <v>0</v>
      </c>
      <c r="T707" s="6">
        <v>19</v>
      </c>
      <c r="U707" s="6">
        <v>0</v>
      </c>
      <c r="V707" s="6">
        <f>IF(ISERROR(VLOOKUP($S$707,'TAR FIN'!$A$1:$O$95,15,0)),0,VLOOKUP($S$707,'TAR FIN'!$A$1:$O$95,15,0))</f>
        <v>0</v>
      </c>
      <c r="W707" s="6">
        <f>IF(ISERROR(VLOOKUP($T$707,'TAR FIN'!$A$1:$O$95,15,0)),0,VLOOKUP($T$707,'TAR FIN'!$A$1:$O$95,15,0))</f>
        <v>149.63</v>
      </c>
      <c r="X707" s="6">
        <f>IF(ISERROR(VLOOKUP($U$707,'TAR FIN'!$A$1:$O$95,15,0)),0,VLOOKUP($U$707,'TAR FIN'!$A$1:$O$95,15,0))</f>
        <v>0</v>
      </c>
      <c r="Y707" s="6"/>
      <c r="Z707" s="6">
        <f ca="1">('TUSD BE'!$AM$17+'TUSD BF'!$AM$17+'TUSD CVA'!$AM$17)*1</f>
        <v>168.51338132937991</v>
      </c>
      <c r="AA707" s="6"/>
      <c r="AB707" s="6">
        <f>$K$707*$V$707</f>
        <v>0</v>
      </c>
      <c r="AC707" s="6">
        <f>$M$707*$W$707</f>
        <v>-24577.77491</v>
      </c>
      <c r="AD707" s="6">
        <f>$O$707*$X$707</f>
        <v>0</v>
      </c>
      <c r="AE707" s="6">
        <f>$K$707*$Y$707</f>
        <v>0</v>
      </c>
      <c r="AF707" s="6">
        <f ca="1">$M$707*$Z$707</f>
        <v>-27679.502477019956</v>
      </c>
      <c r="AG707" s="6">
        <f>$O$707*$AA$707</f>
        <v>0</v>
      </c>
    </row>
    <row r="708" spans="1:33" ht="11.25" customHeight="1" x14ac:dyDescent="0.25">
      <c r="A708" s="4" t="s">
        <v>21</v>
      </c>
      <c r="B708" s="4" t="s">
        <v>35</v>
      </c>
      <c r="C708" s="4" t="s">
        <v>36</v>
      </c>
      <c r="D708" s="4" t="s">
        <v>45</v>
      </c>
      <c r="E708" s="4" t="s">
        <v>25</v>
      </c>
      <c r="F708" s="4" t="s">
        <v>25</v>
      </c>
      <c r="G708" s="4" t="s">
        <v>25</v>
      </c>
      <c r="H708" s="4" t="s">
        <v>38</v>
      </c>
      <c r="I708" s="5">
        <v>44166</v>
      </c>
      <c r="J708" s="6">
        <v>0</v>
      </c>
      <c r="K708" s="6">
        <v>0</v>
      </c>
      <c r="L708" s="6">
        <v>23222.081999999999</v>
      </c>
      <c r="M708" s="6">
        <v>23222.081999999999</v>
      </c>
      <c r="N708" s="6">
        <v>23222.081999999999</v>
      </c>
      <c r="O708" s="6">
        <v>23222.081999999999</v>
      </c>
      <c r="P708" s="6">
        <v>0</v>
      </c>
      <c r="Q708" s="4" t="s">
        <v>26</v>
      </c>
      <c r="R708" s="4">
        <v>0</v>
      </c>
      <c r="S708" s="6">
        <v>0</v>
      </c>
      <c r="T708" s="6">
        <v>19</v>
      </c>
      <c r="U708" s="6">
        <v>67</v>
      </c>
      <c r="V708" s="6">
        <f>IF(ISERROR(VLOOKUP($S$708,'TAR FIN'!$A$1:$O$95,15,0)),0,VLOOKUP($S$708,'TAR FIN'!$A$1:$O$95,15,0))</f>
        <v>0</v>
      </c>
      <c r="W708" s="6">
        <f>IF(ISERROR(VLOOKUP($T$708,'TAR FIN'!$A$1:$O$95,15,0)),0,VLOOKUP($T$708,'TAR FIN'!$A$1:$O$95,15,0))</f>
        <v>149.63</v>
      </c>
      <c r="X708" s="6">
        <f>IF(ISERROR(VLOOKUP($U$708,'TAR FIN'!$A$1:$O$95,15,0)),0,VLOOKUP($U$708,'TAR FIN'!$A$1:$O$95,15,0))</f>
        <v>230.03</v>
      </c>
      <c r="Y708" s="6"/>
      <c r="Z708" s="6">
        <f ca="1">('TUSD BE'!$AM$17+'TUSD BF'!$AM$17+'TUSD CVA'!$AM$17)*1</f>
        <v>168.51338132937991</v>
      </c>
      <c r="AA708" s="6">
        <f>('TE BE'!$AA$8+'TE BF'!$AA$8+'TE CVA'!$AA$8)*1</f>
        <v>282.91739971702214</v>
      </c>
      <c r="AB708" s="6">
        <f>$K$708*$V$708</f>
        <v>0</v>
      </c>
      <c r="AC708" s="6">
        <f>$M$708*$W$708</f>
        <v>3474720.1296599996</v>
      </c>
      <c r="AD708" s="6">
        <f>$O$708*$X$708</f>
        <v>5341775.5224599997</v>
      </c>
      <c r="AE708" s="6">
        <f>$K$708*$Y$708</f>
        <v>0</v>
      </c>
      <c r="AF708" s="6">
        <f ca="1">$M$708*$Z$708</f>
        <v>3913231.559328129</v>
      </c>
      <c r="AG708" s="6">
        <f>$O$708*$AA$708</f>
        <v>6569931.0554554649</v>
      </c>
    </row>
    <row r="709" spans="1:33" ht="11.25" customHeight="1" x14ac:dyDescent="0.25">
      <c r="A709" s="4" t="s">
        <v>27</v>
      </c>
      <c r="B709" s="4" t="s">
        <v>35</v>
      </c>
      <c r="C709" s="4" t="s">
        <v>36</v>
      </c>
      <c r="D709" s="4" t="s">
        <v>45</v>
      </c>
      <c r="E709" s="4" t="s">
        <v>25</v>
      </c>
      <c r="F709" s="4" t="s">
        <v>25</v>
      </c>
      <c r="G709" s="4" t="s">
        <v>25</v>
      </c>
      <c r="H709" s="4" t="s">
        <v>38</v>
      </c>
      <c r="I709" s="5">
        <v>44166</v>
      </c>
      <c r="J709" s="6">
        <v>0</v>
      </c>
      <c r="K709" s="6">
        <v>0</v>
      </c>
      <c r="L709" s="6">
        <v>-163.30699999999999</v>
      </c>
      <c r="M709" s="6">
        <v>-163.30699999999999</v>
      </c>
      <c r="N709" s="6">
        <v>-163.30699999999999</v>
      </c>
      <c r="O709" s="6">
        <v>-163.30699999999999</v>
      </c>
      <c r="P709" s="6">
        <v>0</v>
      </c>
      <c r="Q709" s="4" t="s">
        <v>26</v>
      </c>
      <c r="R709" s="4">
        <v>0</v>
      </c>
      <c r="S709" s="6">
        <v>0</v>
      </c>
      <c r="T709" s="6">
        <v>19</v>
      </c>
      <c r="U709" s="6">
        <v>67</v>
      </c>
      <c r="V709" s="6">
        <f>IF(ISERROR(VLOOKUP($S$709,'TAR FIN'!$A$1:$O$95,15,0)),0,VLOOKUP($S$709,'TAR FIN'!$A$1:$O$95,15,0))</f>
        <v>0</v>
      </c>
      <c r="W709" s="6">
        <f>IF(ISERROR(VLOOKUP($T$709,'TAR FIN'!$A$1:$O$95,15,0)),0,VLOOKUP($T$709,'TAR FIN'!$A$1:$O$95,15,0))</f>
        <v>149.63</v>
      </c>
      <c r="X709" s="6">
        <f>IF(ISERROR(VLOOKUP($U$709,'TAR FIN'!$A$1:$O$95,15,0)),0,VLOOKUP($U$709,'TAR FIN'!$A$1:$O$95,15,0))</f>
        <v>230.03</v>
      </c>
      <c r="Y709" s="6"/>
      <c r="Z709" s="6">
        <f ca="1">('TUSD BE'!$AM$17+'TUSD BF'!$AM$17+'TUSD CVA'!$AM$17)*1</f>
        <v>168.51338132937991</v>
      </c>
      <c r="AA709" s="6">
        <f>('TE BE'!$AA$8+'TE BF'!$AA$8+'TE CVA'!$AA$8)*1</f>
        <v>282.91739971702214</v>
      </c>
      <c r="AB709" s="6">
        <f>$K$709*$V$709</f>
        <v>0</v>
      </c>
      <c r="AC709" s="6">
        <f>$M$709*$W$709</f>
        <v>-24435.626409999997</v>
      </c>
      <c r="AD709" s="6">
        <f>$O$709*$X$709</f>
        <v>-37565.509209999997</v>
      </c>
      <c r="AE709" s="6">
        <f>$K$709*$Y$709</f>
        <v>0</v>
      </c>
      <c r="AF709" s="6">
        <f ca="1">$M$709*$Z$709</f>
        <v>-27519.414764757043</v>
      </c>
      <c r="AG709" s="6">
        <f>$O$709*$AA$709</f>
        <v>-46202.391795587733</v>
      </c>
    </row>
    <row r="710" spans="1:33" ht="11.25" customHeight="1" x14ac:dyDescent="0.25">
      <c r="A710" s="4" t="s">
        <v>28</v>
      </c>
      <c r="B710" s="4" t="s">
        <v>35</v>
      </c>
      <c r="C710" s="4" t="s">
        <v>36</v>
      </c>
      <c r="D710" s="4" t="s">
        <v>45</v>
      </c>
      <c r="E710" s="4" t="s">
        <v>25</v>
      </c>
      <c r="F710" s="4" t="s">
        <v>25</v>
      </c>
      <c r="G710" s="4" t="s">
        <v>25</v>
      </c>
      <c r="H710" s="4" t="s">
        <v>38</v>
      </c>
      <c r="I710" s="5">
        <v>44166</v>
      </c>
      <c r="J710" s="6">
        <v>0</v>
      </c>
      <c r="K710" s="6">
        <v>0</v>
      </c>
      <c r="L710" s="6">
        <v>1784.136</v>
      </c>
      <c r="M710" s="6">
        <v>1784.136</v>
      </c>
      <c r="N710" s="6">
        <v>1784.136</v>
      </c>
      <c r="O710" s="6">
        <v>1784.136</v>
      </c>
      <c r="P710" s="6">
        <v>0</v>
      </c>
      <c r="Q710" s="4" t="s">
        <v>26</v>
      </c>
      <c r="R710" s="4">
        <v>0</v>
      </c>
      <c r="S710" s="6">
        <v>0</v>
      </c>
      <c r="T710" s="6">
        <v>19</v>
      </c>
      <c r="U710" s="6">
        <v>67</v>
      </c>
      <c r="V710" s="6">
        <f>IF(ISERROR(VLOOKUP($S$710,'TAR FIN'!$A$1:$O$95,15,0)),0,VLOOKUP($S$710,'TAR FIN'!$A$1:$O$95,15,0))</f>
        <v>0</v>
      </c>
      <c r="W710" s="6">
        <f>IF(ISERROR(VLOOKUP($T$710,'TAR FIN'!$A$1:$O$95,15,0)),0,VLOOKUP($T$710,'TAR FIN'!$A$1:$O$95,15,0))</f>
        <v>149.63</v>
      </c>
      <c r="X710" s="6">
        <f>IF(ISERROR(VLOOKUP($U$710,'TAR FIN'!$A$1:$O$95,15,0)),0,VLOOKUP($U$710,'TAR FIN'!$A$1:$O$95,15,0))</f>
        <v>230.03</v>
      </c>
      <c r="Y710" s="6"/>
      <c r="Z710" s="6">
        <f ca="1">('TUSD BE'!$AM$17+'TUSD BF'!$AM$17+'TUSD CVA'!$AM$17)*1</f>
        <v>168.51338132937991</v>
      </c>
      <c r="AA710" s="6">
        <f>('TE BE'!$AA$8+'TE BF'!$AA$8+'TE CVA'!$AA$8)*1</f>
        <v>282.91739971702214</v>
      </c>
      <c r="AB710" s="6">
        <f>$K$710*$V$710</f>
        <v>0</v>
      </c>
      <c r="AC710" s="6">
        <f>$M$710*$W$710</f>
        <v>266960.26967999997</v>
      </c>
      <c r="AD710" s="6">
        <f>$O$710*$X$710</f>
        <v>410404.80407999997</v>
      </c>
      <c r="AE710" s="6">
        <f>$K$710*$Y$710</f>
        <v>0</v>
      </c>
      <c r="AF710" s="6">
        <f ca="1">$M$710*$Z$710</f>
        <v>300650.79011147458</v>
      </c>
      <c r="AG710" s="6">
        <f>$O$710*$AA$710</f>
        <v>504763.117861529</v>
      </c>
    </row>
    <row r="711" spans="1:33" ht="11.25" customHeight="1" x14ac:dyDescent="0.25">
      <c r="A711" s="4" t="s">
        <v>30</v>
      </c>
      <c r="B711" s="4" t="s">
        <v>35</v>
      </c>
      <c r="C711" s="4" t="s">
        <v>36</v>
      </c>
      <c r="D711" s="4" t="s">
        <v>45</v>
      </c>
      <c r="E711" s="4" t="s">
        <v>25</v>
      </c>
      <c r="F711" s="4" t="s">
        <v>25</v>
      </c>
      <c r="G711" s="4" t="s">
        <v>25</v>
      </c>
      <c r="H711" s="4" t="s">
        <v>38</v>
      </c>
      <c r="I711" s="5">
        <v>44166</v>
      </c>
      <c r="J711" s="6">
        <v>0</v>
      </c>
      <c r="K711" s="6">
        <v>0</v>
      </c>
      <c r="L711" s="6">
        <v>621.69899999999996</v>
      </c>
      <c r="M711" s="6">
        <v>621.69899999999996</v>
      </c>
      <c r="N711" s="6">
        <v>621.69899999999996</v>
      </c>
      <c r="O711" s="6">
        <v>621.69899999999996</v>
      </c>
      <c r="P711" s="6">
        <v>0</v>
      </c>
      <c r="Q711" s="4" t="s">
        <v>26</v>
      </c>
      <c r="R711" s="4">
        <v>0</v>
      </c>
      <c r="S711" s="6">
        <v>0</v>
      </c>
      <c r="T711" s="6">
        <v>19</v>
      </c>
      <c r="U711" s="6">
        <v>67</v>
      </c>
      <c r="V711" s="6">
        <f>IF(ISERROR(VLOOKUP($S$711,'TAR FIN'!$A$1:$O$95,15,0)),0,VLOOKUP($S$711,'TAR FIN'!$A$1:$O$95,15,0))</f>
        <v>0</v>
      </c>
      <c r="W711" s="6">
        <f>IF(ISERROR(VLOOKUP($T$711,'TAR FIN'!$A$1:$O$95,15,0)),0,VLOOKUP($T$711,'TAR FIN'!$A$1:$O$95,15,0))</f>
        <v>149.63</v>
      </c>
      <c r="X711" s="6">
        <f>IF(ISERROR(VLOOKUP($U$711,'TAR FIN'!$A$1:$O$95,15,0)),0,VLOOKUP($U$711,'TAR FIN'!$A$1:$O$95,15,0))</f>
        <v>230.03</v>
      </c>
      <c r="Y711" s="6"/>
      <c r="Z711" s="6">
        <f ca="1">('TUSD BE'!$AM$17+'TUSD BF'!$AM$17+'TUSD CVA'!$AM$17)*1</f>
        <v>168.51338132937991</v>
      </c>
      <c r="AA711" s="6">
        <f>('TE BE'!$AA$8+'TE BF'!$AA$8+'TE CVA'!$AA$8)*1</f>
        <v>282.91739971702214</v>
      </c>
      <c r="AB711" s="6">
        <f>$K$711*$V$711</f>
        <v>0</v>
      </c>
      <c r="AC711" s="6">
        <f>$M$711*$W$711</f>
        <v>93024.821369999991</v>
      </c>
      <c r="AD711" s="6">
        <f>$O$711*$X$711</f>
        <v>143009.42096999998</v>
      </c>
      <c r="AE711" s="6">
        <f>$K$711*$Y$711</f>
        <v>0</v>
      </c>
      <c r="AF711" s="6">
        <f ca="1">$M$711*$Z$711</f>
        <v>104764.60065909415</v>
      </c>
      <c r="AG711" s="6">
        <f>$O$711*$AA$711</f>
        <v>175889.46448667292</v>
      </c>
    </row>
    <row r="712" spans="1:33" ht="11.25" customHeight="1" x14ac:dyDescent="0.25">
      <c r="A712" s="4" t="s">
        <v>21</v>
      </c>
      <c r="B712" s="4" t="s">
        <v>35</v>
      </c>
      <c r="C712" s="4" t="s">
        <v>36</v>
      </c>
      <c r="D712" s="4" t="s">
        <v>45</v>
      </c>
      <c r="E712" s="4" t="s">
        <v>25</v>
      </c>
      <c r="F712" s="4" t="s">
        <v>25</v>
      </c>
      <c r="G712" s="4" t="s">
        <v>25</v>
      </c>
      <c r="H712" s="4" t="s">
        <v>38</v>
      </c>
      <c r="I712" s="5">
        <v>44166</v>
      </c>
      <c r="J712" s="6">
        <v>0</v>
      </c>
      <c r="K712" s="6">
        <v>0</v>
      </c>
      <c r="L712" s="6">
        <v>417.20299999999997</v>
      </c>
      <c r="M712" s="6">
        <v>417.20299999999997</v>
      </c>
      <c r="N712" s="6">
        <v>0</v>
      </c>
      <c r="O712" s="6">
        <v>0</v>
      </c>
      <c r="P712" s="6">
        <v>0</v>
      </c>
      <c r="Q712" s="4" t="s">
        <v>60</v>
      </c>
      <c r="R712" s="4">
        <v>0</v>
      </c>
      <c r="S712" s="6">
        <v>0</v>
      </c>
      <c r="T712" s="6">
        <v>19</v>
      </c>
      <c r="U712" s="6">
        <v>0</v>
      </c>
      <c r="V712" s="6">
        <f>IF(ISERROR(VLOOKUP($S$712,'TAR FIN'!$A$1:$O$95,15,0)),0,VLOOKUP($S$712,'TAR FIN'!$A$1:$O$95,15,0))</f>
        <v>0</v>
      </c>
      <c r="W712" s="6">
        <f>IF(ISERROR(VLOOKUP($T$712,'TAR FIN'!$A$1:$O$95,15,0)),0,VLOOKUP($T$712,'TAR FIN'!$A$1:$O$95,15,0))</f>
        <v>149.63</v>
      </c>
      <c r="X712" s="6">
        <f>IF(ISERROR(VLOOKUP($U$712,'TAR FIN'!$A$1:$O$95,15,0)),0,VLOOKUP($U$712,'TAR FIN'!$A$1:$O$95,15,0))</f>
        <v>0</v>
      </c>
      <c r="Y712" s="6"/>
      <c r="Z712" s="6">
        <f ca="1">('TUSD BE'!$AM$17+'TUSD BF'!$AM$17+'TUSD CVA'!$AM$17)*1</f>
        <v>168.51338132937991</v>
      </c>
      <c r="AA712" s="6"/>
      <c r="AB712" s="6">
        <f>$K$712*$V$712</f>
        <v>0</v>
      </c>
      <c r="AC712" s="6">
        <f>$M$712*$W$712</f>
        <v>62426.084889999991</v>
      </c>
      <c r="AD712" s="6">
        <f>$O$712*$X$712</f>
        <v>0</v>
      </c>
      <c r="AE712" s="6">
        <f>$K$712*$Y$712</f>
        <v>0</v>
      </c>
      <c r="AF712" s="6">
        <f ca="1">$M$712*$Z$712</f>
        <v>70304.288230761289</v>
      </c>
      <c r="AG712" s="6">
        <f>$O$712*$AA$712</f>
        <v>0</v>
      </c>
    </row>
    <row r="713" spans="1:33" ht="11.25" customHeight="1" x14ac:dyDescent="0.25">
      <c r="A713" s="4" t="s">
        <v>21</v>
      </c>
      <c r="B713" s="4" t="s">
        <v>35</v>
      </c>
      <c r="C713" s="4" t="s">
        <v>36</v>
      </c>
      <c r="D713" s="4" t="s">
        <v>45</v>
      </c>
      <c r="E713" s="4" t="s">
        <v>25</v>
      </c>
      <c r="F713" s="4" t="s">
        <v>25</v>
      </c>
      <c r="G713" s="4" t="s">
        <v>25</v>
      </c>
      <c r="H713" s="4" t="s">
        <v>38</v>
      </c>
      <c r="I713" s="5">
        <v>44197</v>
      </c>
      <c r="J713" s="6">
        <v>0</v>
      </c>
      <c r="K713" s="6">
        <v>0</v>
      </c>
      <c r="L713" s="6">
        <v>19477.964</v>
      </c>
      <c r="M713" s="6">
        <v>19477.964</v>
      </c>
      <c r="N713" s="6">
        <v>19477.964</v>
      </c>
      <c r="O713" s="6">
        <v>19477.964</v>
      </c>
      <c r="P713" s="6">
        <v>0</v>
      </c>
      <c r="Q713" s="4" t="s">
        <v>26</v>
      </c>
      <c r="R713" s="4">
        <v>0</v>
      </c>
      <c r="S713" s="6">
        <v>0</v>
      </c>
      <c r="T713" s="6">
        <v>19</v>
      </c>
      <c r="U713" s="6">
        <v>67</v>
      </c>
      <c r="V713" s="6">
        <f>IF(ISERROR(VLOOKUP($S$713,'TAR FIN'!$A$1:$O$95,15,0)),0,VLOOKUP($S$713,'TAR FIN'!$A$1:$O$95,15,0))</f>
        <v>0</v>
      </c>
      <c r="W713" s="6">
        <f>IF(ISERROR(VLOOKUP($T$713,'TAR FIN'!$A$1:$O$95,15,0)),0,VLOOKUP($T$713,'TAR FIN'!$A$1:$O$95,15,0))</f>
        <v>149.63</v>
      </c>
      <c r="X713" s="6">
        <f>IF(ISERROR(VLOOKUP($U$713,'TAR FIN'!$A$1:$O$95,15,0)),0,VLOOKUP($U$713,'TAR FIN'!$A$1:$O$95,15,0))</f>
        <v>230.03</v>
      </c>
      <c r="Y713" s="6"/>
      <c r="Z713" s="6">
        <f ca="1">('TUSD BE'!$AM$17+'TUSD BF'!$AM$17+'TUSD CVA'!$AM$17)*1</f>
        <v>168.51338132937991</v>
      </c>
      <c r="AA713" s="6">
        <f>('TE BE'!$AA$8+'TE BF'!$AA$8+'TE CVA'!$AA$8)*1</f>
        <v>282.91739971702214</v>
      </c>
      <c r="AB713" s="6">
        <f>$K$713*$V$713</f>
        <v>0</v>
      </c>
      <c r="AC713" s="6">
        <f>$M$713*$W$713</f>
        <v>2914487.7533200001</v>
      </c>
      <c r="AD713" s="6">
        <f>$O$713*$X$713</f>
        <v>4480516.0589199997</v>
      </c>
      <c r="AE713" s="6">
        <f>$K$713*$Y$713</f>
        <v>0</v>
      </c>
      <c r="AF713" s="6">
        <f ca="1">$M$713*$Z$713</f>
        <v>3282297.575051934</v>
      </c>
      <c r="AG713" s="6">
        <f>$O$713*$AA$713</f>
        <v>5510654.9266617671</v>
      </c>
    </row>
    <row r="714" spans="1:33" ht="11.25" customHeight="1" x14ac:dyDescent="0.25">
      <c r="A714" s="4" t="s">
        <v>27</v>
      </c>
      <c r="B714" s="4" t="s">
        <v>35</v>
      </c>
      <c r="C714" s="4" t="s">
        <v>36</v>
      </c>
      <c r="D714" s="4" t="s">
        <v>45</v>
      </c>
      <c r="E714" s="4" t="s">
        <v>25</v>
      </c>
      <c r="F714" s="4" t="s">
        <v>25</v>
      </c>
      <c r="G714" s="4" t="s">
        <v>25</v>
      </c>
      <c r="H714" s="4" t="s">
        <v>38</v>
      </c>
      <c r="I714" s="5">
        <v>44197</v>
      </c>
      <c r="J714" s="6">
        <v>0</v>
      </c>
      <c r="K714" s="6">
        <v>0</v>
      </c>
      <c r="L714" s="6">
        <v>-199.67599999999999</v>
      </c>
      <c r="M714" s="6">
        <v>-199.67599999999999</v>
      </c>
      <c r="N714" s="6">
        <v>-199.67599999999999</v>
      </c>
      <c r="O714" s="6">
        <v>-199.67599999999999</v>
      </c>
      <c r="P714" s="6">
        <v>0</v>
      </c>
      <c r="Q714" s="4" t="s">
        <v>26</v>
      </c>
      <c r="R714" s="4">
        <v>0</v>
      </c>
      <c r="S714" s="6">
        <v>0</v>
      </c>
      <c r="T714" s="6">
        <v>19</v>
      </c>
      <c r="U714" s="6">
        <v>67</v>
      </c>
      <c r="V714" s="6">
        <f>IF(ISERROR(VLOOKUP($S$714,'TAR FIN'!$A$1:$O$95,15,0)),0,VLOOKUP($S$714,'TAR FIN'!$A$1:$O$95,15,0))</f>
        <v>0</v>
      </c>
      <c r="W714" s="6">
        <f>IF(ISERROR(VLOOKUP($T$714,'TAR FIN'!$A$1:$O$95,15,0)),0,VLOOKUP($T$714,'TAR FIN'!$A$1:$O$95,15,0))</f>
        <v>149.63</v>
      </c>
      <c r="X714" s="6">
        <f>IF(ISERROR(VLOOKUP($U$714,'TAR FIN'!$A$1:$O$95,15,0)),0,VLOOKUP($U$714,'TAR FIN'!$A$1:$O$95,15,0))</f>
        <v>230.03</v>
      </c>
      <c r="Y714" s="6"/>
      <c r="Z714" s="6">
        <f ca="1">('TUSD BE'!$AM$17+'TUSD BF'!$AM$17+'TUSD CVA'!$AM$17)*1</f>
        <v>168.51338132937991</v>
      </c>
      <c r="AA714" s="6">
        <f>('TE BE'!$AA$8+'TE BF'!$AA$8+'TE CVA'!$AA$8)*1</f>
        <v>282.91739971702214</v>
      </c>
      <c r="AB714" s="6">
        <f>$K$714*$V$714</f>
        <v>0</v>
      </c>
      <c r="AC714" s="6">
        <f>$M$714*$W$714</f>
        <v>-29877.519879999996</v>
      </c>
      <c r="AD714" s="6">
        <f>$O$714*$X$714</f>
        <v>-45931.470279999994</v>
      </c>
      <c r="AE714" s="6">
        <f>$K$714*$Y$714</f>
        <v>0</v>
      </c>
      <c r="AF714" s="6">
        <f ca="1">$M$714*$Z$714</f>
        <v>-33648.077930325264</v>
      </c>
      <c r="AG714" s="6">
        <f>$O$714*$AA$714</f>
        <v>-56491.814705896111</v>
      </c>
    </row>
    <row r="715" spans="1:33" ht="11.25" customHeight="1" x14ac:dyDescent="0.25">
      <c r="A715" s="4" t="s">
        <v>28</v>
      </c>
      <c r="B715" s="4" t="s">
        <v>35</v>
      </c>
      <c r="C715" s="4" t="s">
        <v>36</v>
      </c>
      <c r="D715" s="4" t="s">
        <v>45</v>
      </c>
      <c r="E715" s="4" t="s">
        <v>25</v>
      </c>
      <c r="F715" s="4" t="s">
        <v>25</v>
      </c>
      <c r="G715" s="4" t="s">
        <v>25</v>
      </c>
      <c r="H715" s="4" t="s">
        <v>38</v>
      </c>
      <c r="I715" s="5">
        <v>44197</v>
      </c>
      <c r="J715" s="6">
        <v>0</v>
      </c>
      <c r="K715" s="6">
        <v>0</v>
      </c>
      <c r="L715" s="6">
        <v>1510.17</v>
      </c>
      <c r="M715" s="6">
        <v>1510.17</v>
      </c>
      <c r="N715" s="6">
        <v>1510.17</v>
      </c>
      <c r="O715" s="6">
        <v>1510.17</v>
      </c>
      <c r="P715" s="6">
        <v>0</v>
      </c>
      <c r="Q715" s="4" t="s">
        <v>26</v>
      </c>
      <c r="R715" s="4">
        <v>0</v>
      </c>
      <c r="S715" s="6">
        <v>0</v>
      </c>
      <c r="T715" s="6">
        <v>19</v>
      </c>
      <c r="U715" s="6">
        <v>67</v>
      </c>
      <c r="V715" s="6">
        <f>IF(ISERROR(VLOOKUP($S$715,'TAR FIN'!$A$1:$O$95,15,0)),0,VLOOKUP($S$715,'TAR FIN'!$A$1:$O$95,15,0))</f>
        <v>0</v>
      </c>
      <c r="W715" s="6">
        <f>IF(ISERROR(VLOOKUP($T$715,'TAR FIN'!$A$1:$O$95,15,0)),0,VLOOKUP($T$715,'TAR FIN'!$A$1:$O$95,15,0))</f>
        <v>149.63</v>
      </c>
      <c r="X715" s="6">
        <f>IF(ISERROR(VLOOKUP($U$715,'TAR FIN'!$A$1:$O$95,15,0)),0,VLOOKUP($U$715,'TAR FIN'!$A$1:$O$95,15,0))</f>
        <v>230.03</v>
      </c>
      <c r="Y715" s="6"/>
      <c r="Z715" s="6">
        <f ca="1">('TUSD BE'!$AM$17+'TUSD BF'!$AM$17+'TUSD CVA'!$AM$17)*1</f>
        <v>168.51338132937991</v>
      </c>
      <c r="AA715" s="6">
        <f>('TE BE'!$AA$8+'TE BF'!$AA$8+'TE CVA'!$AA$8)*1</f>
        <v>282.91739971702214</v>
      </c>
      <c r="AB715" s="6">
        <f>$K$715*$V$715</f>
        <v>0</v>
      </c>
      <c r="AC715" s="6">
        <f>$M$715*$W$715</f>
        <v>225966.7371</v>
      </c>
      <c r="AD715" s="6">
        <f>$O$715*$X$715</f>
        <v>347384.40510000003</v>
      </c>
      <c r="AE715" s="6">
        <f>$K$715*$Y$715</f>
        <v>0</v>
      </c>
      <c r="AF715" s="6">
        <f ca="1">$M$715*$Z$715</f>
        <v>254483.85308218969</v>
      </c>
      <c r="AG715" s="6">
        <f>$O$715*$AA$715</f>
        <v>427253.36953065533</v>
      </c>
    </row>
    <row r="716" spans="1:33" ht="11.25" customHeight="1" x14ac:dyDescent="0.25">
      <c r="A716" s="4" t="s">
        <v>29</v>
      </c>
      <c r="B716" s="4" t="s">
        <v>35</v>
      </c>
      <c r="C716" s="4" t="s">
        <v>36</v>
      </c>
      <c r="D716" s="4" t="s">
        <v>45</v>
      </c>
      <c r="E716" s="4" t="s">
        <v>25</v>
      </c>
      <c r="F716" s="4" t="s">
        <v>25</v>
      </c>
      <c r="G716" s="4" t="s">
        <v>25</v>
      </c>
      <c r="H716" s="4" t="s">
        <v>38</v>
      </c>
      <c r="I716" s="5">
        <v>44197</v>
      </c>
      <c r="J716" s="6">
        <v>0</v>
      </c>
      <c r="K716" s="6">
        <v>0</v>
      </c>
      <c r="L716" s="6">
        <v>-3.3809999999999998</v>
      </c>
      <c r="M716" s="6">
        <v>-3.3809999999999998</v>
      </c>
      <c r="N716" s="6">
        <v>-3.3809999999999998</v>
      </c>
      <c r="O716" s="6">
        <v>-3.3809999999999998</v>
      </c>
      <c r="P716" s="6">
        <v>0</v>
      </c>
      <c r="Q716" s="4" t="s">
        <v>26</v>
      </c>
      <c r="R716" s="4">
        <v>0</v>
      </c>
      <c r="S716" s="6">
        <v>0</v>
      </c>
      <c r="T716" s="6">
        <v>19</v>
      </c>
      <c r="U716" s="6">
        <v>67</v>
      </c>
      <c r="V716" s="6">
        <f>IF(ISERROR(VLOOKUP($S$716,'TAR FIN'!$A$1:$O$95,15,0)),0,VLOOKUP($S$716,'TAR FIN'!$A$1:$O$95,15,0))</f>
        <v>0</v>
      </c>
      <c r="W716" s="6">
        <f>IF(ISERROR(VLOOKUP($T$716,'TAR FIN'!$A$1:$O$95,15,0)),0,VLOOKUP($T$716,'TAR FIN'!$A$1:$O$95,15,0))</f>
        <v>149.63</v>
      </c>
      <c r="X716" s="6">
        <f>IF(ISERROR(VLOOKUP($U$716,'TAR FIN'!$A$1:$O$95,15,0)),0,VLOOKUP($U$716,'TAR FIN'!$A$1:$O$95,15,0))</f>
        <v>230.03</v>
      </c>
      <c r="Y716" s="6"/>
      <c r="Z716" s="6">
        <f ca="1">('TUSD BE'!$AM$17+'TUSD BF'!$AM$17+'TUSD CVA'!$AM$17)*1</f>
        <v>168.51338132937991</v>
      </c>
      <c r="AA716" s="6">
        <f>('TE BE'!$AA$8+'TE BF'!$AA$8+'TE CVA'!$AA$8)*1</f>
        <v>282.91739971702214</v>
      </c>
      <c r="AB716" s="6">
        <f>$K$716*$V$716</f>
        <v>0</v>
      </c>
      <c r="AC716" s="6">
        <f>$M$716*$W$716</f>
        <v>-505.89902999999993</v>
      </c>
      <c r="AD716" s="6">
        <f>$O$716*$X$716</f>
        <v>-777.73142999999993</v>
      </c>
      <c r="AE716" s="6">
        <f>$K$716*$Y$716</f>
        <v>0</v>
      </c>
      <c r="AF716" s="6">
        <f ca="1">$M$716*$Z$716</f>
        <v>-569.74374227463341</v>
      </c>
      <c r="AG716" s="6">
        <f>$O$716*$AA$716</f>
        <v>-956.54372844325178</v>
      </c>
    </row>
    <row r="717" spans="1:33" ht="11.25" customHeight="1" x14ac:dyDescent="0.25">
      <c r="A717" s="4" t="s">
        <v>30</v>
      </c>
      <c r="B717" s="4" t="s">
        <v>35</v>
      </c>
      <c r="C717" s="4" t="s">
        <v>36</v>
      </c>
      <c r="D717" s="4" t="s">
        <v>45</v>
      </c>
      <c r="E717" s="4" t="s">
        <v>25</v>
      </c>
      <c r="F717" s="4" t="s">
        <v>25</v>
      </c>
      <c r="G717" s="4" t="s">
        <v>25</v>
      </c>
      <c r="H717" s="4" t="s">
        <v>38</v>
      </c>
      <c r="I717" s="5">
        <v>44197</v>
      </c>
      <c r="J717" s="6">
        <v>0</v>
      </c>
      <c r="K717" s="6">
        <v>0</v>
      </c>
      <c r="L717" s="6">
        <v>510.70600000000002</v>
      </c>
      <c r="M717" s="6">
        <v>510.70600000000002</v>
      </c>
      <c r="N717" s="6">
        <v>510.70600000000002</v>
      </c>
      <c r="O717" s="6">
        <v>510.70600000000002</v>
      </c>
      <c r="P717" s="6">
        <v>0</v>
      </c>
      <c r="Q717" s="4" t="s">
        <v>26</v>
      </c>
      <c r="R717" s="4">
        <v>0</v>
      </c>
      <c r="S717" s="6">
        <v>0</v>
      </c>
      <c r="T717" s="6">
        <v>19</v>
      </c>
      <c r="U717" s="6">
        <v>67</v>
      </c>
      <c r="V717" s="6">
        <f>IF(ISERROR(VLOOKUP($S$717,'TAR FIN'!$A$1:$O$95,15,0)),0,VLOOKUP($S$717,'TAR FIN'!$A$1:$O$95,15,0))</f>
        <v>0</v>
      </c>
      <c r="W717" s="6">
        <f>IF(ISERROR(VLOOKUP($T$717,'TAR FIN'!$A$1:$O$95,15,0)),0,VLOOKUP($T$717,'TAR FIN'!$A$1:$O$95,15,0))</f>
        <v>149.63</v>
      </c>
      <c r="X717" s="6">
        <f>IF(ISERROR(VLOOKUP($U$717,'TAR FIN'!$A$1:$O$95,15,0)),0,VLOOKUP($U$717,'TAR FIN'!$A$1:$O$95,15,0))</f>
        <v>230.03</v>
      </c>
      <c r="Y717" s="6"/>
      <c r="Z717" s="6">
        <f ca="1">('TUSD BE'!$AM$17+'TUSD BF'!$AM$17+'TUSD CVA'!$AM$17)*1</f>
        <v>168.51338132937991</v>
      </c>
      <c r="AA717" s="6">
        <f>('TE BE'!$AA$8+'TE BF'!$AA$8+'TE CVA'!$AA$8)*1</f>
        <v>282.91739971702214</v>
      </c>
      <c r="AB717" s="6">
        <f>$K$717*$V$717</f>
        <v>0</v>
      </c>
      <c r="AC717" s="6">
        <f>$M$717*$W$717</f>
        <v>76416.938779999997</v>
      </c>
      <c r="AD717" s="6">
        <f>$O$717*$X$717</f>
        <v>117477.70118</v>
      </c>
      <c r="AE717" s="6">
        <f>$K$717*$Y$717</f>
        <v>0</v>
      </c>
      <c r="AF717" s="6">
        <f ca="1">$M$717*$Z$717</f>
        <v>86060.794925202295</v>
      </c>
      <c r="AG717" s="6">
        <f>$O$717*$AA$717</f>
        <v>144487.61353988151</v>
      </c>
    </row>
    <row r="718" spans="1:33" ht="11.25" customHeight="1" x14ac:dyDescent="0.25">
      <c r="A718" s="4" t="s">
        <v>21</v>
      </c>
      <c r="B718" s="4" t="s">
        <v>35</v>
      </c>
      <c r="C718" s="4" t="s">
        <v>36</v>
      </c>
      <c r="D718" s="4" t="s">
        <v>45</v>
      </c>
      <c r="E718" s="4" t="s">
        <v>25</v>
      </c>
      <c r="F718" s="4" t="s">
        <v>25</v>
      </c>
      <c r="G718" s="4" t="s">
        <v>25</v>
      </c>
      <c r="H718" s="4" t="s">
        <v>38</v>
      </c>
      <c r="I718" s="5">
        <v>44197</v>
      </c>
      <c r="J718" s="6">
        <v>0</v>
      </c>
      <c r="K718" s="6">
        <v>0</v>
      </c>
      <c r="L718" s="6">
        <v>73.08</v>
      </c>
      <c r="M718" s="6">
        <v>73.08</v>
      </c>
      <c r="N718" s="6">
        <v>0</v>
      </c>
      <c r="O718" s="6">
        <v>0</v>
      </c>
      <c r="P718" s="6">
        <v>0</v>
      </c>
      <c r="Q718" s="4" t="s">
        <v>60</v>
      </c>
      <c r="R718" s="4">
        <v>0</v>
      </c>
      <c r="S718" s="6">
        <v>0</v>
      </c>
      <c r="T718" s="6">
        <v>19</v>
      </c>
      <c r="U718" s="6">
        <v>0</v>
      </c>
      <c r="V718" s="6">
        <f>IF(ISERROR(VLOOKUP($S$718,'TAR FIN'!$A$1:$O$95,15,0)),0,VLOOKUP($S$718,'TAR FIN'!$A$1:$O$95,15,0))</f>
        <v>0</v>
      </c>
      <c r="W718" s="6">
        <f>IF(ISERROR(VLOOKUP($T$718,'TAR FIN'!$A$1:$O$95,15,0)),0,VLOOKUP($T$718,'TAR FIN'!$A$1:$O$95,15,0))</f>
        <v>149.63</v>
      </c>
      <c r="X718" s="6">
        <f>IF(ISERROR(VLOOKUP($U$718,'TAR FIN'!$A$1:$O$95,15,0)),0,VLOOKUP($U$718,'TAR FIN'!$A$1:$O$95,15,0))</f>
        <v>0</v>
      </c>
      <c r="Y718" s="6"/>
      <c r="Z718" s="6">
        <f ca="1">('TUSD BE'!$AM$17+'TUSD BF'!$AM$17+'TUSD CVA'!$AM$17)*1</f>
        <v>168.51338132937991</v>
      </c>
      <c r="AA718" s="6"/>
      <c r="AB718" s="6">
        <f>$K$718*$V$718</f>
        <v>0</v>
      </c>
      <c r="AC718" s="6">
        <f>$M$718*$W$718</f>
        <v>10934.9604</v>
      </c>
      <c r="AD718" s="6">
        <f>$O$718*$X$718</f>
        <v>0</v>
      </c>
      <c r="AE718" s="6">
        <f>$K$718*$Y$718</f>
        <v>0</v>
      </c>
      <c r="AF718" s="6">
        <f ca="1">$M$718*$Z$718</f>
        <v>12314.957907551083</v>
      </c>
      <c r="AG718" s="6">
        <f>$O$718*$AA$718</f>
        <v>0</v>
      </c>
    </row>
    <row r="719" spans="1:33" ht="11.25" customHeight="1" x14ac:dyDescent="0.25">
      <c r="A719" s="4" t="s">
        <v>21</v>
      </c>
      <c r="B719" s="4" t="s">
        <v>35</v>
      </c>
      <c r="C719" s="4" t="s">
        <v>36</v>
      </c>
      <c r="D719" s="4" t="s">
        <v>45</v>
      </c>
      <c r="E719" s="4" t="s">
        <v>25</v>
      </c>
      <c r="F719" s="4" t="s">
        <v>25</v>
      </c>
      <c r="G719" s="4" t="s">
        <v>25</v>
      </c>
      <c r="H719" s="4" t="s">
        <v>38</v>
      </c>
      <c r="I719" s="5">
        <v>44228</v>
      </c>
      <c r="J719" s="6">
        <v>0</v>
      </c>
      <c r="K719" s="6">
        <v>0</v>
      </c>
      <c r="L719" s="6">
        <v>18552.884999999998</v>
      </c>
      <c r="M719" s="6">
        <v>18552.884999999998</v>
      </c>
      <c r="N719" s="6">
        <v>18552.884999999998</v>
      </c>
      <c r="O719" s="6">
        <v>18552.884999999998</v>
      </c>
      <c r="P719" s="6">
        <v>0</v>
      </c>
      <c r="Q719" s="4" t="s">
        <v>26</v>
      </c>
      <c r="R719" s="4">
        <v>0</v>
      </c>
      <c r="S719" s="6">
        <v>0</v>
      </c>
      <c r="T719" s="6">
        <v>19</v>
      </c>
      <c r="U719" s="6">
        <v>67</v>
      </c>
      <c r="V719" s="6">
        <f>IF(ISERROR(VLOOKUP($S$719,'TAR FIN'!$A$1:$O$95,15,0)),0,VLOOKUP($S$719,'TAR FIN'!$A$1:$O$95,15,0))</f>
        <v>0</v>
      </c>
      <c r="W719" s="6">
        <f>IF(ISERROR(VLOOKUP($T$719,'TAR FIN'!$A$1:$O$95,15,0)),0,VLOOKUP($T$719,'TAR FIN'!$A$1:$O$95,15,0))</f>
        <v>149.63</v>
      </c>
      <c r="X719" s="6">
        <f>IF(ISERROR(VLOOKUP($U$719,'TAR FIN'!$A$1:$O$95,15,0)),0,VLOOKUP($U$719,'TAR FIN'!$A$1:$O$95,15,0))</f>
        <v>230.03</v>
      </c>
      <c r="Y719" s="6"/>
      <c r="Z719" s="6">
        <f ca="1">('TUSD BE'!$AM$17+'TUSD BF'!$AM$17+'TUSD CVA'!$AM$17)*1</f>
        <v>168.51338132937991</v>
      </c>
      <c r="AA719" s="6">
        <f>('TE BE'!$AA$8+'TE BF'!$AA$8+'TE CVA'!$AA$8)*1</f>
        <v>282.91739971702214</v>
      </c>
      <c r="AB719" s="6">
        <f>$K$719*$V$719</f>
        <v>0</v>
      </c>
      <c r="AC719" s="6">
        <f>$M$719*$W$719</f>
        <v>2776068.1825499996</v>
      </c>
      <c r="AD719" s="6">
        <f>$O$719*$X$719</f>
        <v>4267720.1365499999</v>
      </c>
      <c r="AE719" s="6">
        <f>$K$719*$Y$719</f>
        <v>0</v>
      </c>
      <c r="AF719" s="6">
        <f ca="1">$M$719*$Z$719</f>
        <v>3126409.3847651323</v>
      </c>
      <c r="AG719" s="6">
        <f>$O$719*$AA$719</f>
        <v>5248933.9814489437</v>
      </c>
    </row>
    <row r="720" spans="1:33" ht="11.25" customHeight="1" x14ac:dyDescent="0.25">
      <c r="A720" s="4" t="s">
        <v>27</v>
      </c>
      <c r="B720" s="4" t="s">
        <v>35</v>
      </c>
      <c r="C720" s="4" t="s">
        <v>36</v>
      </c>
      <c r="D720" s="4" t="s">
        <v>45</v>
      </c>
      <c r="E720" s="4" t="s">
        <v>25</v>
      </c>
      <c r="F720" s="4" t="s">
        <v>25</v>
      </c>
      <c r="G720" s="4" t="s">
        <v>25</v>
      </c>
      <c r="H720" s="4" t="s">
        <v>38</v>
      </c>
      <c r="I720" s="5">
        <v>44228</v>
      </c>
      <c r="J720" s="6">
        <v>0</v>
      </c>
      <c r="K720" s="6">
        <v>0</v>
      </c>
      <c r="L720" s="6">
        <v>-0.96899999999999997</v>
      </c>
      <c r="M720" s="6">
        <v>-0.96899999999999997</v>
      </c>
      <c r="N720" s="6">
        <v>-0.96899999999999997</v>
      </c>
      <c r="O720" s="6">
        <v>-0.96899999999999997</v>
      </c>
      <c r="P720" s="6">
        <v>0</v>
      </c>
      <c r="Q720" s="4" t="s">
        <v>26</v>
      </c>
      <c r="R720" s="4">
        <v>0</v>
      </c>
      <c r="S720" s="6">
        <v>0</v>
      </c>
      <c r="T720" s="6">
        <v>19</v>
      </c>
      <c r="U720" s="6">
        <v>67</v>
      </c>
      <c r="V720" s="6">
        <f>IF(ISERROR(VLOOKUP($S$720,'TAR FIN'!$A$1:$O$95,15,0)),0,VLOOKUP($S$720,'TAR FIN'!$A$1:$O$95,15,0))</f>
        <v>0</v>
      </c>
      <c r="W720" s="6">
        <f>IF(ISERROR(VLOOKUP($T$720,'TAR FIN'!$A$1:$O$95,15,0)),0,VLOOKUP($T$720,'TAR FIN'!$A$1:$O$95,15,0))</f>
        <v>149.63</v>
      </c>
      <c r="X720" s="6">
        <f>IF(ISERROR(VLOOKUP($U$720,'TAR FIN'!$A$1:$O$95,15,0)),0,VLOOKUP($U$720,'TAR FIN'!$A$1:$O$95,15,0))</f>
        <v>230.03</v>
      </c>
      <c r="Y720" s="6"/>
      <c r="Z720" s="6">
        <f ca="1">('TUSD BE'!$AM$17+'TUSD BF'!$AM$17+'TUSD CVA'!$AM$17)*1</f>
        <v>168.51338132937991</v>
      </c>
      <c r="AA720" s="6">
        <f>('TE BE'!$AA$8+'TE BF'!$AA$8+'TE CVA'!$AA$8)*1</f>
        <v>282.91739971702214</v>
      </c>
      <c r="AB720" s="6">
        <f>$K$720*$V$720</f>
        <v>0</v>
      </c>
      <c r="AC720" s="6">
        <f>$M$720*$W$720</f>
        <v>-144.99146999999999</v>
      </c>
      <c r="AD720" s="6">
        <f>$O$720*$X$720</f>
        <v>-222.89906999999999</v>
      </c>
      <c r="AE720" s="6">
        <f>$K$720*$Y$720</f>
        <v>0</v>
      </c>
      <c r="AF720" s="6">
        <f ca="1">$M$720*$Z$720</f>
        <v>-163.28946650816914</v>
      </c>
      <c r="AG720" s="6">
        <f>$O$720*$AA$720</f>
        <v>-274.14696032579445</v>
      </c>
    </row>
    <row r="721" spans="1:33" ht="11.25" customHeight="1" x14ac:dyDescent="0.25">
      <c r="A721" s="4" t="s">
        <v>28</v>
      </c>
      <c r="B721" s="4" t="s">
        <v>35</v>
      </c>
      <c r="C721" s="4" t="s">
        <v>36</v>
      </c>
      <c r="D721" s="4" t="s">
        <v>45</v>
      </c>
      <c r="E721" s="4" t="s">
        <v>25</v>
      </c>
      <c r="F721" s="4" t="s">
        <v>25</v>
      </c>
      <c r="G721" s="4" t="s">
        <v>25</v>
      </c>
      <c r="H721" s="4" t="s">
        <v>38</v>
      </c>
      <c r="I721" s="5">
        <v>44228</v>
      </c>
      <c r="J721" s="6">
        <v>0</v>
      </c>
      <c r="K721" s="6">
        <v>0</v>
      </c>
      <c r="L721" s="6">
        <v>1338.557</v>
      </c>
      <c r="M721" s="6">
        <v>1338.557</v>
      </c>
      <c r="N721" s="6">
        <v>1338.557</v>
      </c>
      <c r="O721" s="6">
        <v>1338.557</v>
      </c>
      <c r="P721" s="6">
        <v>0</v>
      </c>
      <c r="Q721" s="4" t="s">
        <v>26</v>
      </c>
      <c r="R721" s="4">
        <v>0</v>
      </c>
      <c r="S721" s="6">
        <v>0</v>
      </c>
      <c r="T721" s="6">
        <v>19</v>
      </c>
      <c r="U721" s="6">
        <v>67</v>
      </c>
      <c r="V721" s="6">
        <f>IF(ISERROR(VLOOKUP($S$721,'TAR FIN'!$A$1:$O$95,15,0)),0,VLOOKUP($S$721,'TAR FIN'!$A$1:$O$95,15,0))</f>
        <v>0</v>
      </c>
      <c r="W721" s="6">
        <f>IF(ISERROR(VLOOKUP($T$721,'TAR FIN'!$A$1:$O$95,15,0)),0,VLOOKUP($T$721,'TAR FIN'!$A$1:$O$95,15,0))</f>
        <v>149.63</v>
      </c>
      <c r="X721" s="6">
        <f>IF(ISERROR(VLOOKUP($U$721,'TAR FIN'!$A$1:$O$95,15,0)),0,VLOOKUP($U$721,'TAR FIN'!$A$1:$O$95,15,0))</f>
        <v>230.03</v>
      </c>
      <c r="Y721" s="6"/>
      <c r="Z721" s="6">
        <f ca="1">('TUSD BE'!$AM$17+'TUSD BF'!$AM$17+'TUSD CVA'!$AM$17)*1</f>
        <v>168.51338132937991</v>
      </c>
      <c r="AA721" s="6">
        <f>('TE BE'!$AA$8+'TE BF'!$AA$8+'TE CVA'!$AA$8)*1</f>
        <v>282.91739971702214</v>
      </c>
      <c r="AB721" s="6">
        <f>$K$721*$V$721</f>
        <v>0</v>
      </c>
      <c r="AC721" s="6">
        <f>$M$721*$W$721</f>
        <v>200288.28391</v>
      </c>
      <c r="AD721" s="6">
        <f>$O$721*$X$721</f>
        <v>307908.26671</v>
      </c>
      <c r="AE721" s="6">
        <f>$K$721*$Y$721</f>
        <v>0</v>
      </c>
      <c r="AF721" s="6">
        <f ca="1">$M$721*$Z$721</f>
        <v>225564.7661721108</v>
      </c>
      <c r="AG721" s="6">
        <f>$O$721*$AA$721</f>
        <v>378701.06581301801</v>
      </c>
    </row>
    <row r="722" spans="1:33" ht="11.25" customHeight="1" x14ac:dyDescent="0.25">
      <c r="A722" s="4" t="s">
        <v>29</v>
      </c>
      <c r="B722" s="4" t="s">
        <v>35</v>
      </c>
      <c r="C722" s="4" t="s">
        <v>36</v>
      </c>
      <c r="D722" s="4" t="s">
        <v>45</v>
      </c>
      <c r="E722" s="4" t="s">
        <v>25</v>
      </c>
      <c r="F722" s="4" t="s">
        <v>25</v>
      </c>
      <c r="G722" s="4" t="s">
        <v>25</v>
      </c>
      <c r="H722" s="4" t="s">
        <v>38</v>
      </c>
      <c r="I722" s="5">
        <v>44228</v>
      </c>
      <c r="J722" s="6">
        <v>0</v>
      </c>
      <c r="K722" s="6">
        <v>0</v>
      </c>
      <c r="L722" s="6">
        <v>-11.875999999999999</v>
      </c>
      <c r="M722" s="6">
        <v>-11.875999999999999</v>
      </c>
      <c r="N722" s="6">
        <v>-11.875999999999999</v>
      </c>
      <c r="O722" s="6">
        <v>-11.875999999999999</v>
      </c>
      <c r="P722" s="6">
        <v>0</v>
      </c>
      <c r="Q722" s="4" t="s">
        <v>26</v>
      </c>
      <c r="R722" s="4">
        <v>0</v>
      </c>
      <c r="S722" s="6">
        <v>0</v>
      </c>
      <c r="T722" s="6">
        <v>19</v>
      </c>
      <c r="U722" s="6">
        <v>67</v>
      </c>
      <c r="V722" s="6">
        <f>IF(ISERROR(VLOOKUP($S$722,'TAR FIN'!$A$1:$O$95,15,0)),0,VLOOKUP($S$722,'TAR FIN'!$A$1:$O$95,15,0))</f>
        <v>0</v>
      </c>
      <c r="W722" s="6">
        <f>IF(ISERROR(VLOOKUP($T$722,'TAR FIN'!$A$1:$O$95,15,0)),0,VLOOKUP($T$722,'TAR FIN'!$A$1:$O$95,15,0))</f>
        <v>149.63</v>
      </c>
      <c r="X722" s="6">
        <f>IF(ISERROR(VLOOKUP($U$722,'TAR FIN'!$A$1:$O$95,15,0)),0,VLOOKUP($U$722,'TAR FIN'!$A$1:$O$95,15,0))</f>
        <v>230.03</v>
      </c>
      <c r="Y722" s="6"/>
      <c r="Z722" s="6">
        <f ca="1">('TUSD BE'!$AM$17+'TUSD BF'!$AM$17+'TUSD CVA'!$AM$17)*1</f>
        <v>168.51338132937991</v>
      </c>
      <c r="AA722" s="6">
        <f>('TE BE'!$AA$8+'TE BF'!$AA$8+'TE CVA'!$AA$8)*1</f>
        <v>282.91739971702214</v>
      </c>
      <c r="AB722" s="6">
        <f>$K$722*$V$722</f>
        <v>0</v>
      </c>
      <c r="AC722" s="6">
        <f>$M$722*$W$722</f>
        <v>-1777.0058799999999</v>
      </c>
      <c r="AD722" s="6">
        <f>$O$722*$X$722</f>
        <v>-2731.83628</v>
      </c>
      <c r="AE722" s="6">
        <f>$K$722*$Y$722</f>
        <v>0</v>
      </c>
      <c r="AF722" s="6">
        <f ca="1">$M$722*$Z$722</f>
        <v>-2001.2649166677156</v>
      </c>
      <c r="AG722" s="6">
        <f>$O$722*$AA$722</f>
        <v>-3359.9270390393549</v>
      </c>
    </row>
    <row r="723" spans="1:33" ht="11.25" customHeight="1" x14ac:dyDescent="0.25">
      <c r="A723" s="4" t="s">
        <v>30</v>
      </c>
      <c r="B723" s="4" t="s">
        <v>35</v>
      </c>
      <c r="C723" s="4" t="s">
        <v>36</v>
      </c>
      <c r="D723" s="4" t="s">
        <v>45</v>
      </c>
      <c r="E723" s="4" t="s">
        <v>25</v>
      </c>
      <c r="F723" s="4" t="s">
        <v>25</v>
      </c>
      <c r="G723" s="4" t="s">
        <v>25</v>
      </c>
      <c r="H723" s="4" t="s">
        <v>38</v>
      </c>
      <c r="I723" s="5">
        <v>44228</v>
      </c>
      <c r="J723" s="6">
        <v>0</v>
      </c>
      <c r="K723" s="6">
        <v>0</v>
      </c>
      <c r="L723" s="6">
        <v>603.31399999999996</v>
      </c>
      <c r="M723" s="6">
        <v>603.31399999999996</v>
      </c>
      <c r="N723" s="6">
        <v>603.31399999999996</v>
      </c>
      <c r="O723" s="6">
        <v>603.31399999999996</v>
      </c>
      <c r="P723" s="6">
        <v>0</v>
      </c>
      <c r="Q723" s="4" t="s">
        <v>26</v>
      </c>
      <c r="R723" s="4">
        <v>0</v>
      </c>
      <c r="S723" s="6">
        <v>0</v>
      </c>
      <c r="T723" s="6">
        <v>19</v>
      </c>
      <c r="U723" s="6">
        <v>67</v>
      </c>
      <c r="V723" s="6">
        <f>IF(ISERROR(VLOOKUP($S$723,'TAR FIN'!$A$1:$O$95,15,0)),0,VLOOKUP($S$723,'TAR FIN'!$A$1:$O$95,15,0))</f>
        <v>0</v>
      </c>
      <c r="W723" s="6">
        <f>IF(ISERROR(VLOOKUP($T$723,'TAR FIN'!$A$1:$O$95,15,0)),0,VLOOKUP($T$723,'TAR FIN'!$A$1:$O$95,15,0))</f>
        <v>149.63</v>
      </c>
      <c r="X723" s="6">
        <f>IF(ISERROR(VLOOKUP($U$723,'TAR FIN'!$A$1:$O$95,15,0)),0,VLOOKUP($U$723,'TAR FIN'!$A$1:$O$95,15,0))</f>
        <v>230.03</v>
      </c>
      <c r="Y723" s="6"/>
      <c r="Z723" s="6">
        <f ca="1">('TUSD BE'!$AM$17+'TUSD BF'!$AM$17+'TUSD CVA'!$AM$17)*1</f>
        <v>168.51338132937991</v>
      </c>
      <c r="AA723" s="6">
        <f>('TE BE'!$AA$8+'TE BF'!$AA$8+'TE CVA'!$AA$8)*1</f>
        <v>282.91739971702214</v>
      </c>
      <c r="AB723" s="6">
        <f>$K$723*$V$723</f>
        <v>0</v>
      </c>
      <c r="AC723" s="6">
        <f>$M$723*$W$723</f>
        <v>90273.873819999993</v>
      </c>
      <c r="AD723" s="6">
        <f>$O$723*$X$723</f>
        <v>138780.31941999999</v>
      </c>
      <c r="AE723" s="6">
        <f>$K$723*$Y$723</f>
        <v>0</v>
      </c>
      <c r="AF723" s="6">
        <f ca="1">$M$723*$Z$723</f>
        <v>101666.48214335351</v>
      </c>
      <c r="AG723" s="6">
        <f>$O$723*$AA$723</f>
        <v>170688.02809287549</v>
      </c>
    </row>
    <row r="724" spans="1:33" ht="11.25" customHeight="1" x14ac:dyDescent="0.25">
      <c r="A724" s="4" t="s">
        <v>21</v>
      </c>
      <c r="B724" s="4" t="s">
        <v>35</v>
      </c>
      <c r="C724" s="4" t="s">
        <v>36</v>
      </c>
      <c r="D724" s="4" t="s">
        <v>45</v>
      </c>
      <c r="E724" s="4" t="s">
        <v>25</v>
      </c>
      <c r="F724" s="4" t="s">
        <v>25</v>
      </c>
      <c r="G724" s="4" t="s">
        <v>25</v>
      </c>
      <c r="H724" s="4" t="s">
        <v>38</v>
      </c>
      <c r="I724" s="5">
        <v>44228</v>
      </c>
      <c r="J724" s="6">
        <v>0</v>
      </c>
      <c r="K724" s="6">
        <v>0</v>
      </c>
      <c r="L724" s="6">
        <v>64.665999999999997</v>
      </c>
      <c r="M724" s="6">
        <v>64.665999999999997</v>
      </c>
      <c r="N724" s="6">
        <v>0</v>
      </c>
      <c r="O724" s="6">
        <v>0</v>
      </c>
      <c r="P724" s="6">
        <v>0</v>
      </c>
      <c r="Q724" s="4" t="s">
        <v>60</v>
      </c>
      <c r="R724" s="4">
        <v>0</v>
      </c>
      <c r="S724" s="6">
        <v>0</v>
      </c>
      <c r="T724" s="6">
        <v>19</v>
      </c>
      <c r="U724" s="6">
        <v>0</v>
      </c>
      <c r="V724" s="6">
        <f>IF(ISERROR(VLOOKUP($S$724,'TAR FIN'!$A$1:$O$95,15,0)),0,VLOOKUP($S$724,'TAR FIN'!$A$1:$O$95,15,0))</f>
        <v>0</v>
      </c>
      <c r="W724" s="6">
        <f>IF(ISERROR(VLOOKUP($T$724,'TAR FIN'!$A$1:$O$95,15,0)),0,VLOOKUP($T$724,'TAR FIN'!$A$1:$O$95,15,0))</f>
        <v>149.63</v>
      </c>
      <c r="X724" s="6">
        <f>IF(ISERROR(VLOOKUP($U$724,'TAR FIN'!$A$1:$O$95,15,0)),0,VLOOKUP($U$724,'TAR FIN'!$A$1:$O$95,15,0))</f>
        <v>0</v>
      </c>
      <c r="Y724" s="6"/>
      <c r="Z724" s="6">
        <f ca="1">('TUSD BE'!$AM$17+'TUSD BF'!$AM$17+'TUSD CVA'!$AM$17)*1</f>
        <v>168.51338132937991</v>
      </c>
      <c r="AA724" s="6"/>
      <c r="AB724" s="6">
        <f>$K$724*$V$724</f>
        <v>0</v>
      </c>
      <c r="AC724" s="6">
        <f>$M$724*$W$724</f>
        <v>9675.9735799999999</v>
      </c>
      <c r="AD724" s="6">
        <f>$O$724*$X$724</f>
        <v>0</v>
      </c>
      <c r="AE724" s="6">
        <f>$K$724*$Y$724</f>
        <v>0</v>
      </c>
      <c r="AF724" s="6">
        <f ca="1">$M$724*$Z$724</f>
        <v>10897.086317045681</v>
      </c>
      <c r="AG724" s="6">
        <f>$O$724*$AA$724</f>
        <v>0</v>
      </c>
    </row>
    <row r="725" spans="1:33" ht="11.25" customHeight="1" x14ac:dyDescent="0.25">
      <c r="A725" s="4" t="s">
        <v>21</v>
      </c>
      <c r="B725" s="4" t="s">
        <v>35</v>
      </c>
      <c r="C725" s="4" t="s">
        <v>36</v>
      </c>
      <c r="D725" s="4" t="s">
        <v>45</v>
      </c>
      <c r="E725" s="4" t="s">
        <v>25</v>
      </c>
      <c r="F725" s="4" t="s">
        <v>25</v>
      </c>
      <c r="G725" s="4" t="s">
        <v>25</v>
      </c>
      <c r="H725" s="4" t="s">
        <v>38</v>
      </c>
      <c r="I725" s="5">
        <v>44256</v>
      </c>
      <c r="J725" s="6">
        <v>0</v>
      </c>
      <c r="K725" s="6">
        <v>0</v>
      </c>
      <c r="L725" s="6">
        <v>21758.094000000001</v>
      </c>
      <c r="M725" s="6">
        <v>21758.094000000001</v>
      </c>
      <c r="N725" s="6">
        <v>21758.094000000001</v>
      </c>
      <c r="O725" s="6">
        <v>21758.094000000001</v>
      </c>
      <c r="P725" s="6">
        <v>0</v>
      </c>
      <c r="Q725" s="4" t="s">
        <v>26</v>
      </c>
      <c r="R725" s="4">
        <v>0</v>
      </c>
      <c r="S725" s="6">
        <v>0</v>
      </c>
      <c r="T725" s="6">
        <v>19</v>
      </c>
      <c r="U725" s="6">
        <v>67</v>
      </c>
      <c r="V725" s="6">
        <f>IF(ISERROR(VLOOKUP($S$725,'TAR FIN'!$A$1:$O$95,15,0)),0,VLOOKUP($S$725,'TAR FIN'!$A$1:$O$95,15,0))</f>
        <v>0</v>
      </c>
      <c r="W725" s="6">
        <f>IF(ISERROR(VLOOKUP($T$725,'TAR FIN'!$A$1:$O$95,15,0)),0,VLOOKUP($T$725,'TAR FIN'!$A$1:$O$95,15,0))</f>
        <v>149.63</v>
      </c>
      <c r="X725" s="6">
        <f>IF(ISERROR(VLOOKUP($U$725,'TAR FIN'!$A$1:$O$95,15,0)),0,VLOOKUP($U$725,'TAR FIN'!$A$1:$O$95,15,0))</f>
        <v>230.03</v>
      </c>
      <c r="Y725" s="6"/>
      <c r="Z725" s="6">
        <f ca="1">('TUSD BE'!$AM$17+'TUSD BF'!$AM$17+'TUSD CVA'!$AM$17)*1</f>
        <v>168.51338132937991</v>
      </c>
      <c r="AA725" s="6">
        <f>('TE BE'!$AA$8+'TE BF'!$AA$8+'TE CVA'!$AA$8)*1</f>
        <v>282.91739971702214</v>
      </c>
      <c r="AB725" s="6">
        <f>$K$725*$V$725</f>
        <v>0</v>
      </c>
      <c r="AC725" s="6">
        <f>$M$725*$W$725</f>
        <v>3255663.6052200003</v>
      </c>
      <c r="AD725" s="6">
        <f>$O$725*$X$725</f>
        <v>5005014.3628200004</v>
      </c>
      <c r="AE725" s="6">
        <f>$K$725*$Y$725</f>
        <v>0</v>
      </c>
      <c r="AF725" s="6">
        <f ca="1">$M$725*$Z$725</f>
        <v>3666529.9912224934</v>
      </c>
      <c r="AG725" s="6">
        <f>$O$725*$AA$725</f>
        <v>6155743.3772785412</v>
      </c>
    </row>
    <row r="726" spans="1:33" ht="11.25" customHeight="1" x14ac:dyDescent="0.25">
      <c r="A726" s="4" t="s">
        <v>27</v>
      </c>
      <c r="B726" s="4" t="s">
        <v>35</v>
      </c>
      <c r="C726" s="4" t="s">
        <v>36</v>
      </c>
      <c r="D726" s="4" t="s">
        <v>45</v>
      </c>
      <c r="E726" s="4" t="s">
        <v>25</v>
      </c>
      <c r="F726" s="4" t="s">
        <v>25</v>
      </c>
      <c r="G726" s="4" t="s">
        <v>25</v>
      </c>
      <c r="H726" s="4" t="s">
        <v>38</v>
      </c>
      <c r="I726" s="5">
        <v>44256</v>
      </c>
      <c r="J726" s="6">
        <v>0</v>
      </c>
      <c r="K726" s="6">
        <v>0</v>
      </c>
      <c r="L726" s="6">
        <v>-97.486999999999995</v>
      </c>
      <c r="M726" s="6">
        <v>-97.486999999999995</v>
      </c>
      <c r="N726" s="6">
        <v>-97.486999999999995</v>
      </c>
      <c r="O726" s="6">
        <v>-97.486999999999995</v>
      </c>
      <c r="P726" s="6">
        <v>0</v>
      </c>
      <c r="Q726" s="4" t="s">
        <v>26</v>
      </c>
      <c r="R726" s="4">
        <v>0</v>
      </c>
      <c r="S726" s="6">
        <v>0</v>
      </c>
      <c r="T726" s="6">
        <v>19</v>
      </c>
      <c r="U726" s="6">
        <v>67</v>
      </c>
      <c r="V726" s="6">
        <f>IF(ISERROR(VLOOKUP($S$726,'TAR FIN'!$A$1:$O$95,15,0)),0,VLOOKUP($S$726,'TAR FIN'!$A$1:$O$95,15,0))</f>
        <v>0</v>
      </c>
      <c r="W726" s="6">
        <f>IF(ISERROR(VLOOKUP($T$726,'TAR FIN'!$A$1:$O$95,15,0)),0,VLOOKUP($T$726,'TAR FIN'!$A$1:$O$95,15,0))</f>
        <v>149.63</v>
      </c>
      <c r="X726" s="6">
        <f>IF(ISERROR(VLOOKUP($U$726,'TAR FIN'!$A$1:$O$95,15,0)),0,VLOOKUP($U$726,'TAR FIN'!$A$1:$O$95,15,0))</f>
        <v>230.03</v>
      </c>
      <c r="Y726" s="6"/>
      <c r="Z726" s="6">
        <f ca="1">('TUSD BE'!$AM$17+'TUSD BF'!$AM$17+'TUSD CVA'!$AM$17)*1</f>
        <v>168.51338132937991</v>
      </c>
      <c r="AA726" s="6">
        <f>('TE BE'!$AA$8+'TE BF'!$AA$8+'TE CVA'!$AA$8)*1</f>
        <v>282.91739971702214</v>
      </c>
      <c r="AB726" s="6">
        <f>$K$726*$V$726</f>
        <v>0</v>
      </c>
      <c r="AC726" s="6">
        <f>$M$726*$W$726</f>
        <v>-14586.979809999999</v>
      </c>
      <c r="AD726" s="6">
        <f>$O$726*$X$726</f>
        <v>-22424.93461</v>
      </c>
      <c r="AE726" s="6">
        <f>$K$726*$Y$726</f>
        <v>0</v>
      </c>
      <c r="AF726" s="6">
        <f ca="1">$M$726*$Z$726</f>
        <v>-16427.864005657259</v>
      </c>
      <c r="AG726" s="6">
        <f>$O$726*$AA$726</f>
        <v>-27580.768546213334</v>
      </c>
    </row>
    <row r="727" spans="1:33" ht="11.25" customHeight="1" x14ac:dyDescent="0.25">
      <c r="A727" s="4" t="s">
        <v>28</v>
      </c>
      <c r="B727" s="4" t="s">
        <v>35</v>
      </c>
      <c r="C727" s="4" t="s">
        <v>36</v>
      </c>
      <c r="D727" s="4" t="s">
        <v>45</v>
      </c>
      <c r="E727" s="4" t="s">
        <v>25</v>
      </c>
      <c r="F727" s="4" t="s">
        <v>25</v>
      </c>
      <c r="G727" s="4" t="s">
        <v>25</v>
      </c>
      <c r="H727" s="4" t="s">
        <v>38</v>
      </c>
      <c r="I727" s="5">
        <v>44256</v>
      </c>
      <c r="J727" s="6">
        <v>0</v>
      </c>
      <c r="K727" s="6">
        <v>0</v>
      </c>
      <c r="L727" s="6">
        <v>1447.2159999999999</v>
      </c>
      <c r="M727" s="6">
        <v>1447.2159999999999</v>
      </c>
      <c r="N727" s="6">
        <v>1447.2159999999999</v>
      </c>
      <c r="O727" s="6">
        <v>1447.2159999999999</v>
      </c>
      <c r="P727" s="6">
        <v>0</v>
      </c>
      <c r="Q727" s="4" t="s">
        <v>26</v>
      </c>
      <c r="R727" s="4">
        <v>0</v>
      </c>
      <c r="S727" s="6">
        <v>0</v>
      </c>
      <c r="T727" s="6">
        <v>19</v>
      </c>
      <c r="U727" s="6">
        <v>67</v>
      </c>
      <c r="V727" s="6">
        <f>IF(ISERROR(VLOOKUP($S$727,'TAR FIN'!$A$1:$O$95,15,0)),0,VLOOKUP($S$727,'TAR FIN'!$A$1:$O$95,15,0))</f>
        <v>0</v>
      </c>
      <c r="W727" s="6">
        <f>IF(ISERROR(VLOOKUP($T$727,'TAR FIN'!$A$1:$O$95,15,0)),0,VLOOKUP($T$727,'TAR FIN'!$A$1:$O$95,15,0))</f>
        <v>149.63</v>
      </c>
      <c r="X727" s="6">
        <f>IF(ISERROR(VLOOKUP($U$727,'TAR FIN'!$A$1:$O$95,15,0)),0,VLOOKUP($U$727,'TAR FIN'!$A$1:$O$95,15,0))</f>
        <v>230.03</v>
      </c>
      <c r="Y727" s="6"/>
      <c r="Z727" s="6">
        <f ca="1">('TUSD BE'!$AM$17+'TUSD BF'!$AM$17+'TUSD CVA'!$AM$17)*1</f>
        <v>168.51338132937991</v>
      </c>
      <c r="AA727" s="6">
        <f>('TE BE'!$AA$8+'TE BF'!$AA$8+'TE CVA'!$AA$8)*1</f>
        <v>282.91739971702214</v>
      </c>
      <c r="AB727" s="6">
        <f>$K$727*$V$727</f>
        <v>0</v>
      </c>
      <c r="AC727" s="6">
        <f>$M$727*$W$727</f>
        <v>216546.93007999999</v>
      </c>
      <c r="AD727" s="6">
        <f>$O$727*$X$727</f>
        <v>332903.09647999995</v>
      </c>
      <c r="AE727" s="6">
        <f>$K$727*$Y$727</f>
        <v>0</v>
      </c>
      <c r="AF727" s="6">
        <f ca="1">$M$727*$Z$727</f>
        <v>243875.26167397987</v>
      </c>
      <c r="AG727" s="6">
        <f>$O$727*$AA$727</f>
        <v>409442.58754886989</v>
      </c>
    </row>
    <row r="728" spans="1:33" ht="11.25" customHeight="1" x14ac:dyDescent="0.25">
      <c r="A728" s="4" t="s">
        <v>30</v>
      </c>
      <c r="B728" s="4" t="s">
        <v>35</v>
      </c>
      <c r="C728" s="4" t="s">
        <v>36</v>
      </c>
      <c r="D728" s="4" t="s">
        <v>45</v>
      </c>
      <c r="E728" s="4" t="s">
        <v>25</v>
      </c>
      <c r="F728" s="4" t="s">
        <v>25</v>
      </c>
      <c r="G728" s="4" t="s">
        <v>25</v>
      </c>
      <c r="H728" s="4" t="s">
        <v>38</v>
      </c>
      <c r="I728" s="5">
        <v>44256</v>
      </c>
      <c r="J728" s="6">
        <v>0</v>
      </c>
      <c r="K728" s="6">
        <v>0</v>
      </c>
      <c r="L728" s="6">
        <v>739.28099999999995</v>
      </c>
      <c r="M728" s="6">
        <v>739.28099999999995</v>
      </c>
      <c r="N728" s="6">
        <v>739.28099999999995</v>
      </c>
      <c r="O728" s="6">
        <v>739.28099999999995</v>
      </c>
      <c r="P728" s="6">
        <v>0</v>
      </c>
      <c r="Q728" s="4" t="s">
        <v>26</v>
      </c>
      <c r="R728" s="4">
        <v>0</v>
      </c>
      <c r="S728" s="6">
        <v>0</v>
      </c>
      <c r="T728" s="6">
        <v>19</v>
      </c>
      <c r="U728" s="6">
        <v>67</v>
      </c>
      <c r="V728" s="6">
        <f>IF(ISERROR(VLOOKUP($S$728,'TAR FIN'!$A$1:$O$95,15,0)),0,VLOOKUP($S$728,'TAR FIN'!$A$1:$O$95,15,0))</f>
        <v>0</v>
      </c>
      <c r="W728" s="6">
        <f>IF(ISERROR(VLOOKUP($T$728,'TAR FIN'!$A$1:$O$95,15,0)),0,VLOOKUP($T$728,'TAR FIN'!$A$1:$O$95,15,0))</f>
        <v>149.63</v>
      </c>
      <c r="X728" s="6">
        <f>IF(ISERROR(VLOOKUP($U$728,'TAR FIN'!$A$1:$O$95,15,0)),0,VLOOKUP($U$728,'TAR FIN'!$A$1:$O$95,15,0))</f>
        <v>230.03</v>
      </c>
      <c r="Y728" s="6"/>
      <c r="Z728" s="6">
        <f ca="1">('TUSD BE'!$AM$17+'TUSD BF'!$AM$17+'TUSD CVA'!$AM$17)*1</f>
        <v>168.51338132937991</v>
      </c>
      <c r="AA728" s="6">
        <f>('TE BE'!$AA$8+'TE BF'!$AA$8+'TE CVA'!$AA$8)*1</f>
        <v>282.91739971702214</v>
      </c>
      <c r="AB728" s="6">
        <f>$K$728*$V$728</f>
        <v>0</v>
      </c>
      <c r="AC728" s="6">
        <f>$M$728*$W$728</f>
        <v>110618.61602999999</v>
      </c>
      <c r="AD728" s="6">
        <f>$O$728*$X$728</f>
        <v>170056.80842999998</v>
      </c>
      <c r="AE728" s="6">
        <f>$K$728*$Y$728</f>
        <v>0</v>
      </c>
      <c r="AF728" s="6">
        <f ca="1">$M$728*$Z$728</f>
        <v>124578.7410625653</v>
      </c>
      <c r="AG728" s="6">
        <f>$O$728*$AA$728</f>
        <v>209155.45818019981</v>
      </c>
    </row>
    <row r="729" spans="1:33" ht="11.25" customHeight="1" x14ac:dyDescent="0.25">
      <c r="A729" s="4" t="s">
        <v>21</v>
      </c>
      <c r="B729" s="4" t="s">
        <v>35</v>
      </c>
      <c r="C729" s="4" t="s">
        <v>36</v>
      </c>
      <c r="D729" s="4" t="s">
        <v>45</v>
      </c>
      <c r="E729" s="4" t="s">
        <v>25</v>
      </c>
      <c r="F729" s="4" t="s">
        <v>25</v>
      </c>
      <c r="G729" s="4" t="s">
        <v>25</v>
      </c>
      <c r="H729" s="4" t="s">
        <v>38</v>
      </c>
      <c r="I729" s="5">
        <v>44256</v>
      </c>
      <c r="J729" s="6">
        <v>0</v>
      </c>
      <c r="K729" s="6">
        <v>0</v>
      </c>
      <c r="L729" s="6">
        <v>101.53400000000001</v>
      </c>
      <c r="M729" s="6">
        <v>101.53400000000001</v>
      </c>
      <c r="N729" s="6">
        <v>0</v>
      </c>
      <c r="O729" s="6">
        <v>0</v>
      </c>
      <c r="P729" s="6">
        <v>0</v>
      </c>
      <c r="Q729" s="4" t="s">
        <v>60</v>
      </c>
      <c r="R729" s="4">
        <v>0</v>
      </c>
      <c r="S729" s="6">
        <v>0</v>
      </c>
      <c r="T729" s="6">
        <v>19</v>
      </c>
      <c r="U729" s="6">
        <v>0</v>
      </c>
      <c r="V729" s="6">
        <f>IF(ISERROR(VLOOKUP($S$729,'TAR FIN'!$A$1:$O$95,15,0)),0,VLOOKUP($S$729,'TAR FIN'!$A$1:$O$95,15,0))</f>
        <v>0</v>
      </c>
      <c r="W729" s="6">
        <f>IF(ISERROR(VLOOKUP($T$729,'TAR FIN'!$A$1:$O$95,15,0)),0,VLOOKUP($T$729,'TAR FIN'!$A$1:$O$95,15,0))</f>
        <v>149.63</v>
      </c>
      <c r="X729" s="6">
        <f>IF(ISERROR(VLOOKUP($U$729,'TAR FIN'!$A$1:$O$95,15,0)),0,VLOOKUP($U$729,'TAR FIN'!$A$1:$O$95,15,0))</f>
        <v>0</v>
      </c>
      <c r="Y729" s="6"/>
      <c r="Z729" s="6">
        <f ca="1">('TUSD BE'!$AM$17+'TUSD BF'!$AM$17+'TUSD CVA'!$AM$17)*1</f>
        <v>168.51338132937991</v>
      </c>
      <c r="AA729" s="6"/>
      <c r="AB729" s="6">
        <f>$K$729*$V$729</f>
        <v>0</v>
      </c>
      <c r="AC729" s="6">
        <f>$M$729*$W$729</f>
        <v>15192.53242</v>
      </c>
      <c r="AD729" s="6">
        <f>$O$729*$X$729</f>
        <v>0</v>
      </c>
      <c r="AE729" s="6">
        <f>$K$729*$Y$729</f>
        <v>0</v>
      </c>
      <c r="AF729" s="6">
        <f ca="1">$M$729*$Z$729</f>
        <v>17109.837659897261</v>
      </c>
      <c r="AG729" s="6">
        <f>$O$729*$AA$729</f>
        <v>0</v>
      </c>
    </row>
    <row r="730" spans="1:33" ht="11.25" customHeight="1" x14ac:dyDescent="0.25">
      <c r="A730" s="4" t="s">
        <v>21</v>
      </c>
      <c r="B730" s="4" t="s">
        <v>35</v>
      </c>
      <c r="C730" s="4" t="s">
        <v>36</v>
      </c>
      <c r="D730" s="4" t="s">
        <v>45</v>
      </c>
      <c r="E730" s="4" t="s">
        <v>25</v>
      </c>
      <c r="F730" s="4" t="s">
        <v>25</v>
      </c>
      <c r="G730" s="4" t="s">
        <v>25</v>
      </c>
      <c r="H730" s="4" t="s">
        <v>38</v>
      </c>
      <c r="I730" s="5">
        <v>44287</v>
      </c>
      <c r="J730" s="6">
        <v>0</v>
      </c>
      <c r="K730" s="6">
        <v>0</v>
      </c>
      <c r="L730" s="6">
        <v>22047.66</v>
      </c>
      <c r="M730" s="6">
        <v>22047.66</v>
      </c>
      <c r="N730" s="6">
        <v>22047.66</v>
      </c>
      <c r="O730" s="6">
        <v>22047.66</v>
      </c>
      <c r="P730" s="6">
        <v>0</v>
      </c>
      <c r="Q730" s="4" t="s">
        <v>26</v>
      </c>
      <c r="R730" s="4">
        <v>0</v>
      </c>
      <c r="S730" s="6">
        <v>0</v>
      </c>
      <c r="T730" s="6">
        <v>19</v>
      </c>
      <c r="U730" s="6">
        <v>67</v>
      </c>
      <c r="V730" s="6">
        <f>IF(ISERROR(VLOOKUP($S$730,'TAR FIN'!$A$1:$O$95,15,0)),0,VLOOKUP($S$730,'TAR FIN'!$A$1:$O$95,15,0))</f>
        <v>0</v>
      </c>
      <c r="W730" s="6">
        <f>IF(ISERROR(VLOOKUP($T$730,'TAR FIN'!$A$1:$O$95,15,0)),0,VLOOKUP($T$730,'TAR FIN'!$A$1:$O$95,15,0))</f>
        <v>149.63</v>
      </c>
      <c r="X730" s="6">
        <f>IF(ISERROR(VLOOKUP($U$730,'TAR FIN'!$A$1:$O$95,15,0)),0,VLOOKUP($U$730,'TAR FIN'!$A$1:$O$95,15,0))</f>
        <v>230.03</v>
      </c>
      <c r="Y730" s="6"/>
      <c r="Z730" s="6">
        <f ca="1">('TUSD BE'!$AM$17+'TUSD BF'!$AM$17+'TUSD CVA'!$AM$17)*1</f>
        <v>168.51338132937991</v>
      </c>
      <c r="AA730" s="6">
        <f>('TE BE'!$AA$8+'TE BF'!$AA$8+'TE CVA'!$AA$8)*1</f>
        <v>282.91739971702214</v>
      </c>
      <c r="AB730" s="6">
        <f>$K$730*$V$730</f>
        <v>0</v>
      </c>
      <c r="AC730" s="6">
        <f>$M$730*$W$730</f>
        <v>3298991.3657999998</v>
      </c>
      <c r="AD730" s="6">
        <f>$O$730*$X$730</f>
        <v>5071623.2297999999</v>
      </c>
      <c r="AE730" s="6">
        <f>$K$730*$Y$730</f>
        <v>0</v>
      </c>
      <c r="AF730" s="6">
        <f ca="1">$M$730*$Z$730</f>
        <v>3715325.7370005162</v>
      </c>
      <c r="AG730" s="6">
        <f>$O$730*$AA$730</f>
        <v>6237666.6370450007</v>
      </c>
    </row>
    <row r="731" spans="1:33" ht="11.25" customHeight="1" x14ac:dyDescent="0.25">
      <c r="A731" s="4" t="s">
        <v>27</v>
      </c>
      <c r="B731" s="4" t="s">
        <v>35</v>
      </c>
      <c r="C731" s="4" t="s">
        <v>36</v>
      </c>
      <c r="D731" s="4" t="s">
        <v>45</v>
      </c>
      <c r="E731" s="4" t="s">
        <v>25</v>
      </c>
      <c r="F731" s="4" t="s">
        <v>25</v>
      </c>
      <c r="G731" s="4" t="s">
        <v>25</v>
      </c>
      <c r="H731" s="4" t="s">
        <v>38</v>
      </c>
      <c r="I731" s="5">
        <v>44287</v>
      </c>
      <c r="J731" s="6">
        <v>0</v>
      </c>
      <c r="K731" s="6">
        <v>0</v>
      </c>
      <c r="L731" s="6">
        <v>-459.62099999999998</v>
      </c>
      <c r="M731" s="6">
        <v>-459.62099999999998</v>
      </c>
      <c r="N731" s="6">
        <v>-459.62099999999998</v>
      </c>
      <c r="O731" s="6">
        <v>-459.62099999999998</v>
      </c>
      <c r="P731" s="6">
        <v>0</v>
      </c>
      <c r="Q731" s="4" t="s">
        <v>26</v>
      </c>
      <c r="R731" s="4">
        <v>0</v>
      </c>
      <c r="S731" s="6">
        <v>0</v>
      </c>
      <c r="T731" s="6">
        <v>19</v>
      </c>
      <c r="U731" s="6">
        <v>67</v>
      </c>
      <c r="V731" s="6">
        <f>IF(ISERROR(VLOOKUP($S$731,'TAR FIN'!$A$1:$O$95,15,0)),0,VLOOKUP($S$731,'TAR FIN'!$A$1:$O$95,15,0))</f>
        <v>0</v>
      </c>
      <c r="W731" s="6">
        <f>IF(ISERROR(VLOOKUP($T$731,'TAR FIN'!$A$1:$O$95,15,0)),0,VLOOKUP($T$731,'TAR FIN'!$A$1:$O$95,15,0))</f>
        <v>149.63</v>
      </c>
      <c r="X731" s="6">
        <f>IF(ISERROR(VLOOKUP($U$731,'TAR FIN'!$A$1:$O$95,15,0)),0,VLOOKUP($U$731,'TAR FIN'!$A$1:$O$95,15,0))</f>
        <v>230.03</v>
      </c>
      <c r="Y731" s="6"/>
      <c r="Z731" s="6">
        <f ca="1">('TUSD BE'!$AM$17+'TUSD BF'!$AM$17+'TUSD CVA'!$AM$17)*1</f>
        <v>168.51338132937991</v>
      </c>
      <c r="AA731" s="6">
        <f>('TE BE'!$AA$8+'TE BF'!$AA$8+'TE CVA'!$AA$8)*1</f>
        <v>282.91739971702214</v>
      </c>
      <c r="AB731" s="6">
        <f>$K$731*$V$731</f>
        <v>0</v>
      </c>
      <c r="AC731" s="6">
        <f>$M$731*$W$731</f>
        <v>-68773.090230000002</v>
      </c>
      <c r="AD731" s="6">
        <f>$O$731*$X$731</f>
        <v>-105726.61863</v>
      </c>
      <c r="AE731" s="6">
        <f>$K$731*$Y$731</f>
        <v>0</v>
      </c>
      <c r="AF731" s="6">
        <f ca="1">$M$731*$Z$731</f>
        <v>-77452.288839990928</v>
      </c>
      <c r="AG731" s="6">
        <f>$O$731*$AA$731</f>
        <v>-130034.77817533743</v>
      </c>
    </row>
    <row r="732" spans="1:33" ht="11.25" customHeight="1" x14ac:dyDescent="0.25">
      <c r="A732" s="4" t="s">
        <v>28</v>
      </c>
      <c r="B732" s="4" t="s">
        <v>35</v>
      </c>
      <c r="C732" s="4" t="s">
        <v>36</v>
      </c>
      <c r="D732" s="4" t="s">
        <v>45</v>
      </c>
      <c r="E732" s="4" t="s">
        <v>25</v>
      </c>
      <c r="F732" s="4" t="s">
        <v>25</v>
      </c>
      <c r="G732" s="4" t="s">
        <v>25</v>
      </c>
      <c r="H732" s="4" t="s">
        <v>38</v>
      </c>
      <c r="I732" s="5">
        <v>44287</v>
      </c>
      <c r="J732" s="6">
        <v>0</v>
      </c>
      <c r="K732" s="6">
        <v>0</v>
      </c>
      <c r="L732" s="6">
        <v>1515.8989999999999</v>
      </c>
      <c r="M732" s="6">
        <v>1515.8989999999999</v>
      </c>
      <c r="N732" s="6">
        <v>1515.8989999999999</v>
      </c>
      <c r="O732" s="6">
        <v>1515.8989999999999</v>
      </c>
      <c r="P732" s="6">
        <v>0</v>
      </c>
      <c r="Q732" s="4" t="s">
        <v>26</v>
      </c>
      <c r="R732" s="4">
        <v>0</v>
      </c>
      <c r="S732" s="6">
        <v>0</v>
      </c>
      <c r="T732" s="6">
        <v>19</v>
      </c>
      <c r="U732" s="6">
        <v>67</v>
      </c>
      <c r="V732" s="6">
        <f>IF(ISERROR(VLOOKUP($S$732,'TAR FIN'!$A$1:$O$95,15,0)),0,VLOOKUP($S$732,'TAR FIN'!$A$1:$O$95,15,0))</f>
        <v>0</v>
      </c>
      <c r="W732" s="6">
        <f>IF(ISERROR(VLOOKUP($T$732,'TAR FIN'!$A$1:$O$95,15,0)),0,VLOOKUP($T$732,'TAR FIN'!$A$1:$O$95,15,0))</f>
        <v>149.63</v>
      </c>
      <c r="X732" s="6">
        <f>IF(ISERROR(VLOOKUP($U$732,'TAR FIN'!$A$1:$O$95,15,0)),0,VLOOKUP($U$732,'TAR FIN'!$A$1:$O$95,15,0))</f>
        <v>230.03</v>
      </c>
      <c r="Y732" s="6"/>
      <c r="Z732" s="6">
        <f ca="1">('TUSD BE'!$AM$17+'TUSD BF'!$AM$17+'TUSD CVA'!$AM$17)*1</f>
        <v>168.51338132937991</v>
      </c>
      <c r="AA732" s="6">
        <f>('TE BE'!$AA$8+'TE BF'!$AA$8+'TE CVA'!$AA$8)*1</f>
        <v>282.91739971702214</v>
      </c>
      <c r="AB732" s="6">
        <f>$K$732*$V$732</f>
        <v>0</v>
      </c>
      <c r="AC732" s="6">
        <f>$M$732*$W$732</f>
        <v>226823.96736999997</v>
      </c>
      <c r="AD732" s="6">
        <f>$O$732*$X$732</f>
        <v>348702.24696999998</v>
      </c>
      <c r="AE732" s="6">
        <f>$K$732*$Y$732</f>
        <v>0</v>
      </c>
      <c r="AF732" s="6">
        <f ca="1">$M$732*$Z$732</f>
        <v>255449.26624382567</v>
      </c>
      <c r="AG732" s="6">
        <f>$O$732*$AA$732</f>
        <v>428874.20331363409</v>
      </c>
    </row>
    <row r="733" spans="1:33" ht="11.25" customHeight="1" x14ac:dyDescent="0.25">
      <c r="A733" s="4" t="s">
        <v>30</v>
      </c>
      <c r="B733" s="4" t="s">
        <v>35</v>
      </c>
      <c r="C733" s="4" t="s">
        <v>36</v>
      </c>
      <c r="D733" s="4" t="s">
        <v>45</v>
      </c>
      <c r="E733" s="4" t="s">
        <v>25</v>
      </c>
      <c r="F733" s="4" t="s">
        <v>25</v>
      </c>
      <c r="G733" s="4" t="s">
        <v>25</v>
      </c>
      <c r="H733" s="4" t="s">
        <v>38</v>
      </c>
      <c r="I733" s="5">
        <v>44287</v>
      </c>
      <c r="J733" s="6">
        <v>0</v>
      </c>
      <c r="K733" s="6">
        <v>0</v>
      </c>
      <c r="L733" s="6">
        <v>757.69600000000003</v>
      </c>
      <c r="M733" s="6">
        <v>757.69600000000003</v>
      </c>
      <c r="N733" s="6">
        <v>757.69600000000003</v>
      </c>
      <c r="O733" s="6">
        <v>757.69600000000003</v>
      </c>
      <c r="P733" s="6">
        <v>0</v>
      </c>
      <c r="Q733" s="4" t="s">
        <v>26</v>
      </c>
      <c r="R733" s="4">
        <v>0</v>
      </c>
      <c r="S733" s="6">
        <v>0</v>
      </c>
      <c r="T733" s="6">
        <v>19</v>
      </c>
      <c r="U733" s="6">
        <v>67</v>
      </c>
      <c r="V733" s="6">
        <f>IF(ISERROR(VLOOKUP($S$733,'TAR FIN'!$A$1:$O$95,15,0)),0,VLOOKUP($S$733,'TAR FIN'!$A$1:$O$95,15,0))</f>
        <v>0</v>
      </c>
      <c r="W733" s="6">
        <f>IF(ISERROR(VLOOKUP($T$733,'TAR FIN'!$A$1:$O$95,15,0)),0,VLOOKUP($T$733,'TAR FIN'!$A$1:$O$95,15,0))</f>
        <v>149.63</v>
      </c>
      <c r="X733" s="6">
        <f>IF(ISERROR(VLOOKUP($U$733,'TAR FIN'!$A$1:$O$95,15,0)),0,VLOOKUP($U$733,'TAR FIN'!$A$1:$O$95,15,0))</f>
        <v>230.03</v>
      </c>
      <c r="Y733" s="6"/>
      <c r="Z733" s="6">
        <f ca="1">('TUSD BE'!$AM$17+'TUSD BF'!$AM$17+'TUSD CVA'!$AM$17)*1</f>
        <v>168.51338132937991</v>
      </c>
      <c r="AA733" s="6">
        <f>('TE BE'!$AA$8+'TE BF'!$AA$8+'TE CVA'!$AA$8)*1</f>
        <v>282.91739971702214</v>
      </c>
      <c r="AB733" s="6">
        <f>$K$733*$V$733</f>
        <v>0</v>
      </c>
      <c r="AC733" s="6">
        <f>$M$733*$W$733</f>
        <v>113374.05248</v>
      </c>
      <c r="AD733" s="6">
        <f>$O$733*$X$733</f>
        <v>174292.81088</v>
      </c>
      <c r="AE733" s="6">
        <f>$K$733*$Y$733</f>
        <v>0</v>
      </c>
      <c r="AF733" s="6">
        <f ca="1">$M$733*$Z$733</f>
        <v>127681.91497974585</v>
      </c>
      <c r="AG733" s="6">
        <f>$O$733*$AA$733</f>
        <v>214365.38209598881</v>
      </c>
    </row>
    <row r="734" spans="1:33" ht="11.25" customHeight="1" x14ac:dyDescent="0.25">
      <c r="A734" s="4" t="s">
        <v>21</v>
      </c>
      <c r="B734" s="4" t="s">
        <v>35</v>
      </c>
      <c r="C734" s="4" t="s">
        <v>36</v>
      </c>
      <c r="D734" s="4" t="s">
        <v>45</v>
      </c>
      <c r="E734" s="4" t="s">
        <v>25</v>
      </c>
      <c r="F734" s="4" t="s">
        <v>25</v>
      </c>
      <c r="G734" s="4" t="s">
        <v>25</v>
      </c>
      <c r="H734" s="4" t="s">
        <v>38</v>
      </c>
      <c r="I734" s="5">
        <v>44287</v>
      </c>
      <c r="J734" s="6">
        <v>0</v>
      </c>
      <c r="K734" s="6">
        <v>0</v>
      </c>
      <c r="L734" s="6">
        <v>101.349</v>
      </c>
      <c r="M734" s="6">
        <v>101.349</v>
      </c>
      <c r="N734" s="6">
        <v>0</v>
      </c>
      <c r="O734" s="6">
        <v>0</v>
      </c>
      <c r="P734" s="6">
        <v>0</v>
      </c>
      <c r="Q734" s="4" t="s">
        <v>60</v>
      </c>
      <c r="R734" s="4">
        <v>0</v>
      </c>
      <c r="S734" s="6">
        <v>0</v>
      </c>
      <c r="T734" s="6">
        <v>19</v>
      </c>
      <c r="U734" s="6">
        <v>0</v>
      </c>
      <c r="V734" s="6">
        <f>IF(ISERROR(VLOOKUP($S$734,'TAR FIN'!$A$1:$O$95,15,0)),0,VLOOKUP($S$734,'TAR FIN'!$A$1:$O$95,15,0))</f>
        <v>0</v>
      </c>
      <c r="W734" s="6">
        <f>IF(ISERROR(VLOOKUP($T$734,'TAR FIN'!$A$1:$O$95,15,0)),0,VLOOKUP($T$734,'TAR FIN'!$A$1:$O$95,15,0))</f>
        <v>149.63</v>
      </c>
      <c r="X734" s="6">
        <f>IF(ISERROR(VLOOKUP($U$734,'TAR FIN'!$A$1:$O$95,15,0)),0,VLOOKUP($U$734,'TAR FIN'!$A$1:$O$95,15,0))</f>
        <v>0</v>
      </c>
      <c r="Y734" s="6"/>
      <c r="Z734" s="6">
        <f ca="1">('TUSD BE'!$AM$17+'TUSD BF'!$AM$17+'TUSD CVA'!$AM$17)*1</f>
        <v>168.51338132937991</v>
      </c>
      <c r="AA734" s="6"/>
      <c r="AB734" s="6">
        <f>$K$734*$V$734</f>
        <v>0</v>
      </c>
      <c r="AC734" s="6">
        <f>$M$734*$W$734</f>
        <v>15164.85087</v>
      </c>
      <c r="AD734" s="6">
        <f>$O$734*$X$734</f>
        <v>0</v>
      </c>
      <c r="AE734" s="6">
        <f>$K$734*$Y$734</f>
        <v>0</v>
      </c>
      <c r="AF734" s="6">
        <f ca="1">$M$734*$Z$734</f>
        <v>17078.662684351326</v>
      </c>
      <c r="AG734" s="6">
        <f>$O$734*$AA$734</f>
        <v>0</v>
      </c>
    </row>
    <row r="735" spans="1:33" ht="11.25" customHeight="1" x14ac:dyDescent="0.25">
      <c r="A735" s="4" t="s">
        <v>21</v>
      </c>
      <c r="B735" s="4" t="s">
        <v>35</v>
      </c>
      <c r="C735" s="4" t="s">
        <v>36</v>
      </c>
      <c r="D735" s="4" t="s">
        <v>45</v>
      </c>
      <c r="E735" s="4" t="s">
        <v>25</v>
      </c>
      <c r="F735" s="4" t="s">
        <v>25</v>
      </c>
      <c r="G735" s="4" t="s">
        <v>25</v>
      </c>
      <c r="H735" s="4" t="s">
        <v>38</v>
      </c>
      <c r="I735" s="5">
        <v>44317</v>
      </c>
      <c r="J735" s="6">
        <v>0</v>
      </c>
      <c r="K735" s="6">
        <v>0</v>
      </c>
      <c r="L735" s="6">
        <v>23072.761999999999</v>
      </c>
      <c r="M735" s="6">
        <v>23072.761999999999</v>
      </c>
      <c r="N735" s="6">
        <v>23072.761999999999</v>
      </c>
      <c r="O735" s="6">
        <v>23072.761999999999</v>
      </c>
      <c r="P735" s="6">
        <v>0</v>
      </c>
      <c r="Q735" s="4" t="s">
        <v>26</v>
      </c>
      <c r="R735" s="4">
        <v>0</v>
      </c>
      <c r="S735" s="6">
        <v>0</v>
      </c>
      <c r="T735" s="6">
        <v>19</v>
      </c>
      <c r="U735" s="6">
        <v>67</v>
      </c>
      <c r="V735" s="6">
        <f>IF(ISERROR(VLOOKUP($S$735,'TAR FIN'!$A$1:$O$95,15,0)),0,VLOOKUP($S$735,'TAR FIN'!$A$1:$O$95,15,0))</f>
        <v>0</v>
      </c>
      <c r="W735" s="6">
        <f>IF(ISERROR(VLOOKUP($T$735,'TAR FIN'!$A$1:$O$95,15,0)),0,VLOOKUP($T$735,'TAR FIN'!$A$1:$O$95,15,0))</f>
        <v>149.63</v>
      </c>
      <c r="X735" s="6">
        <f>IF(ISERROR(VLOOKUP($U$735,'TAR FIN'!$A$1:$O$95,15,0)),0,VLOOKUP($U$735,'TAR FIN'!$A$1:$O$95,15,0))</f>
        <v>230.03</v>
      </c>
      <c r="Y735" s="6"/>
      <c r="Z735" s="6">
        <f ca="1">('TUSD BE'!$AM$17+'TUSD BF'!$AM$17+'TUSD CVA'!$AM$17)*1</f>
        <v>168.51338132937991</v>
      </c>
      <c r="AA735" s="6">
        <f>('TE BE'!$AA$8+'TE BF'!$AA$8+'TE CVA'!$AA$8)*1</f>
        <v>282.91739971702214</v>
      </c>
      <c r="AB735" s="6">
        <f>$K$735*$V$735</f>
        <v>0</v>
      </c>
      <c r="AC735" s="6">
        <f>$M$735*$W$735</f>
        <v>3452377.3780599996</v>
      </c>
      <c r="AD735" s="6">
        <f>$O$735*$X$735</f>
        <v>5307427.4428599998</v>
      </c>
      <c r="AE735" s="6">
        <f>$K$735*$Y$735</f>
        <v>0</v>
      </c>
      <c r="AF735" s="6">
        <f ca="1">$M$735*$Z$735</f>
        <v>3888069.1412280262</v>
      </c>
      <c r="AG735" s="6">
        <f>$O$735*$AA$735</f>
        <v>6527685.8293297188</v>
      </c>
    </row>
    <row r="736" spans="1:33" ht="11.25" customHeight="1" x14ac:dyDescent="0.25">
      <c r="A736" s="4" t="s">
        <v>27</v>
      </c>
      <c r="B736" s="4" t="s">
        <v>35</v>
      </c>
      <c r="C736" s="4" t="s">
        <v>36</v>
      </c>
      <c r="D736" s="4" t="s">
        <v>45</v>
      </c>
      <c r="E736" s="4" t="s">
        <v>25</v>
      </c>
      <c r="F736" s="4" t="s">
        <v>25</v>
      </c>
      <c r="G736" s="4" t="s">
        <v>25</v>
      </c>
      <c r="H736" s="4" t="s">
        <v>38</v>
      </c>
      <c r="I736" s="5">
        <v>44317</v>
      </c>
      <c r="J736" s="6">
        <v>0</v>
      </c>
      <c r="K736" s="6">
        <v>0</v>
      </c>
      <c r="L736" s="6">
        <v>-19.039000000000001</v>
      </c>
      <c r="M736" s="6">
        <v>-19.039000000000001</v>
      </c>
      <c r="N736" s="6">
        <v>-19.039000000000001</v>
      </c>
      <c r="O736" s="6">
        <v>-19.039000000000001</v>
      </c>
      <c r="P736" s="6">
        <v>0</v>
      </c>
      <c r="Q736" s="4" t="s">
        <v>26</v>
      </c>
      <c r="R736" s="4">
        <v>0</v>
      </c>
      <c r="S736" s="6">
        <v>0</v>
      </c>
      <c r="T736" s="6">
        <v>19</v>
      </c>
      <c r="U736" s="6">
        <v>67</v>
      </c>
      <c r="V736" s="6">
        <f>IF(ISERROR(VLOOKUP($S$736,'TAR FIN'!$A$1:$O$95,15,0)),0,VLOOKUP($S$736,'TAR FIN'!$A$1:$O$95,15,0))</f>
        <v>0</v>
      </c>
      <c r="W736" s="6">
        <f>IF(ISERROR(VLOOKUP($T$736,'TAR FIN'!$A$1:$O$95,15,0)),0,VLOOKUP($T$736,'TAR FIN'!$A$1:$O$95,15,0))</f>
        <v>149.63</v>
      </c>
      <c r="X736" s="6">
        <f>IF(ISERROR(VLOOKUP($U$736,'TAR FIN'!$A$1:$O$95,15,0)),0,VLOOKUP($U$736,'TAR FIN'!$A$1:$O$95,15,0))</f>
        <v>230.03</v>
      </c>
      <c r="Y736" s="6"/>
      <c r="Z736" s="6">
        <f ca="1">('TUSD BE'!$AM$17+'TUSD BF'!$AM$17+'TUSD CVA'!$AM$17)*1</f>
        <v>168.51338132937991</v>
      </c>
      <c r="AA736" s="6">
        <f>('TE BE'!$AA$8+'TE BF'!$AA$8+'TE CVA'!$AA$8)*1</f>
        <v>282.91739971702214</v>
      </c>
      <c r="AB736" s="6">
        <f>$K$736*$V$736</f>
        <v>0</v>
      </c>
      <c r="AC736" s="6">
        <f>$M$736*$W$736</f>
        <v>-2848.80557</v>
      </c>
      <c r="AD736" s="6">
        <f>$O$736*$X$736</f>
        <v>-4379.5411700000004</v>
      </c>
      <c r="AE736" s="6">
        <f>$K$736*$Y$736</f>
        <v>0</v>
      </c>
      <c r="AF736" s="6">
        <f ca="1">$M$736*$Z$736</f>
        <v>-3208.3262671300645</v>
      </c>
      <c r="AG736" s="6">
        <f>$O$736*$AA$736</f>
        <v>-5386.464373212385</v>
      </c>
    </row>
    <row r="737" spans="1:33" ht="11.25" customHeight="1" x14ac:dyDescent="0.25">
      <c r="A737" s="4" t="s">
        <v>28</v>
      </c>
      <c r="B737" s="4" t="s">
        <v>35</v>
      </c>
      <c r="C737" s="4" t="s">
        <v>36</v>
      </c>
      <c r="D737" s="4" t="s">
        <v>45</v>
      </c>
      <c r="E737" s="4" t="s">
        <v>25</v>
      </c>
      <c r="F737" s="4" t="s">
        <v>25</v>
      </c>
      <c r="G737" s="4" t="s">
        <v>25</v>
      </c>
      <c r="H737" s="4" t="s">
        <v>38</v>
      </c>
      <c r="I737" s="5">
        <v>44317</v>
      </c>
      <c r="J737" s="6">
        <v>0</v>
      </c>
      <c r="K737" s="6">
        <v>0</v>
      </c>
      <c r="L737" s="6">
        <v>1611.606</v>
      </c>
      <c r="M737" s="6">
        <v>1611.606</v>
      </c>
      <c r="N737" s="6">
        <v>1611.606</v>
      </c>
      <c r="O737" s="6">
        <v>1611.606</v>
      </c>
      <c r="P737" s="6">
        <v>0</v>
      </c>
      <c r="Q737" s="4" t="s">
        <v>26</v>
      </c>
      <c r="R737" s="4">
        <v>0</v>
      </c>
      <c r="S737" s="6">
        <v>0</v>
      </c>
      <c r="T737" s="6">
        <v>19</v>
      </c>
      <c r="U737" s="6">
        <v>67</v>
      </c>
      <c r="V737" s="6">
        <f>IF(ISERROR(VLOOKUP($S$737,'TAR FIN'!$A$1:$O$95,15,0)),0,VLOOKUP($S$737,'TAR FIN'!$A$1:$O$95,15,0))</f>
        <v>0</v>
      </c>
      <c r="W737" s="6">
        <f>IF(ISERROR(VLOOKUP($T$737,'TAR FIN'!$A$1:$O$95,15,0)),0,VLOOKUP($T$737,'TAR FIN'!$A$1:$O$95,15,0))</f>
        <v>149.63</v>
      </c>
      <c r="X737" s="6">
        <f>IF(ISERROR(VLOOKUP($U$737,'TAR FIN'!$A$1:$O$95,15,0)),0,VLOOKUP($U$737,'TAR FIN'!$A$1:$O$95,15,0))</f>
        <v>230.03</v>
      </c>
      <c r="Y737" s="6"/>
      <c r="Z737" s="6">
        <f ca="1">('TUSD BE'!$AM$17+'TUSD BF'!$AM$17+'TUSD CVA'!$AM$17)*1</f>
        <v>168.51338132937991</v>
      </c>
      <c r="AA737" s="6">
        <f>('TE BE'!$AA$8+'TE BF'!$AA$8+'TE CVA'!$AA$8)*1</f>
        <v>282.91739971702214</v>
      </c>
      <c r="AB737" s="6">
        <f>$K$737*$V$737</f>
        <v>0</v>
      </c>
      <c r="AC737" s="6">
        <f>$M$737*$W$737</f>
        <v>241144.60577999998</v>
      </c>
      <c r="AD737" s="6">
        <f>$O$737*$X$737</f>
        <v>370717.72817999998</v>
      </c>
      <c r="AE737" s="6">
        <f>$K$737*$Y$737</f>
        <v>0</v>
      </c>
      <c r="AF737" s="6">
        <f ca="1">$M$737*$Z$737</f>
        <v>271577.17643071664</v>
      </c>
      <c r="AG737" s="6">
        <f>$O$737*$AA$737</f>
        <v>455951.3788883512</v>
      </c>
    </row>
    <row r="738" spans="1:33" ht="11.25" customHeight="1" x14ac:dyDescent="0.25">
      <c r="A738" s="4" t="s">
        <v>30</v>
      </c>
      <c r="B738" s="4" t="s">
        <v>35</v>
      </c>
      <c r="C738" s="4" t="s">
        <v>36</v>
      </c>
      <c r="D738" s="4" t="s">
        <v>45</v>
      </c>
      <c r="E738" s="4" t="s">
        <v>25</v>
      </c>
      <c r="F738" s="4" t="s">
        <v>25</v>
      </c>
      <c r="G738" s="4" t="s">
        <v>25</v>
      </c>
      <c r="H738" s="4" t="s">
        <v>38</v>
      </c>
      <c r="I738" s="5">
        <v>44317</v>
      </c>
      <c r="J738" s="6">
        <v>0</v>
      </c>
      <c r="K738" s="6">
        <v>0</v>
      </c>
      <c r="L738" s="6">
        <v>805.21500000000003</v>
      </c>
      <c r="M738" s="6">
        <v>805.21500000000003</v>
      </c>
      <c r="N738" s="6">
        <v>805.21500000000003</v>
      </c>
      <c r="O738" s="6">
        <v>805.21500000000003</v>
      </c>
      <c r="P738" s="6">
        <v>0</v>
      </c>
      <c r="Q738" s="4" t="s">
        <v>26</v>
      </c>
      <c r="R738" s="4">
        <v>0</v>
      </c>
      <c r="S738" s="6">
        <v>0</v>
      </c>
      <c r="T738" s="6">
        <v>19</v>
      </c>
      <c r="U738" s="6">
        <v>67</v>
      </c>
      <c r="V738" s="6">
        <f>IF(ISERROR(VLOOKUP($S$738,'TAR FIN'!$A$1:$O$95,15,0)),0,VLOOKUP($S$738,'TAR FIN'!$A$1:$O$95,15,0))</f>
        <v>0</v>
      </c>
      <c r="W738" s="6">
        <f>IF(ISERROR(VLOOKUP($T$738,'TAR FIN'!$A$1:$O$95,15,0)),0,VLOOKUP($T$738,'TAR FIN'!$A$1:$O$95,15,0))</f>
        <v>149.63</v>
      </c>
      <c r="X738" s="6">
        <f>IF(ISERROR(VLOOKUP($U$738,'TAR FIN'!$A$1:$O$95,15,0)),0,VLOOKUP($U$738,'TAR FIN'!$A$1:$O$95,15,0))</f>
        <v>230.03</v>
      </c>
      <c r="Y738" s="6"/>
      <c r="Z738" s="6">
        <f ca="1">('TUSD BE'!$AM$17+'TUSD BF'!$AM$17+'TUSD CVA'!$AM$17)*1</f>
        <v>168.51338132937991</v>
      </c>
      <c r="AA738" s="6">
        <f>('TE BE'!$AA$8+'TE BF'!$AA$8+'TE CVA'!$AA$8)*1</f>
        <v>282.91739971702214</v>
      </c>
      <c r="AB738" s="6">
        <f>$K$738*$V$738</f>
        <v>0</v>
      </c>
      <c r="AC738" s="6">
        <f>$M$738*$W$738</f>
        <v>120484.32045</v>
      </c>
      <c r="AD738" s="6">
        <f>$O$738*$X$738</f>
        <v>185223.60645000002</v>
      </c>
      <c r="AE738" s="6">
        <f>$K$738*$Y$738</f>
        <v>0</v>
      </c>
      <c r="AF738" s="6">
        <f ca="1">$M$738*$Z$738</f>
        <v>135689.50234713664</v>
      </c>
      <c r="AG738" s="6">
        <f>$O$738*$AA$738</f>
        <v>227809.33401314198</v>
      </c>
    </row>
    <row r="739" spans="1:33" ht="11.25" customHeight="1" x14ac:dyDescent="0.25">
      <c r="A739" s="4" t="s">
        <v>21</v>
      </c>
      <c r="B739" s="4" t="s">
        <v>35</v>
      </c>
      <c r="C739" s="4" t="s">
        <v>36</v>
      </c>
      <c r="D739" s="4" t="s">
        <v>45</v>
      </c>
      <c r="E739" s="4" t="s">
        <v>25</v>
      </c>
      <c r="F739" s="4" t="s">
        <v>25</v>
      </c>
      <c r="G739" s="4" t="s">
        <v>25</v>
      </c>
      <c r="H739" s="4" t="s">
        <v>38</v>
      </c>
      <c r="I739" s="5">
        <v>44317</v>
      </c>
      <c r="J739" s="6">
        <v>0</v>
      </c>
      <c r="K739" s="6">
        <v>0</v>
      </c>
      <c r="L739" s="6">
        <v>115.354</v>
      </c>
      <c r="M739" s="6">
        <v>115.354</v>
      </c>
      <c r="N739" s="6">
        <v>0</v>
      </c>
      <c r="O739" s="6">
        <v>0</v>
      </c>
      <c r="P739" s="6">
        <v>0</v>
      </c>
      <c r="Q739" s="4" t="s">
        <v>60</v>
      </c>
      <c r="R739" s="4">
        <v>0</v>
      </c>
      <c r="S739" s="6">
        <v>0</v>
      </c>
      <c r="T739" s="6">
        <v>19</v>
      </c>
      <c r="U739" s="6">
        <v>0</v>
      </c>
      <c r="V739" s="6">
        <f>IF(ISERROR(VLOOKUP($S$739,'TAR FIN'!$A$1:$O$95,15,0)),0,VLOOKUP($S$739,'TAR FIN'!$A$1:$O$95,15,0))</f>
        <v>0</v>
      </c>
      <c r="W739" s="6">
        <f>IF(ISERROR(VLOOKUP($T$739,'TAR FIN'!$A$1:$O$95,15,0)),0,VLOOKUP($T$739,'TAR FIN'!$A$1:$O$95,15,0))</f>
        <v>149.63</v>
      </c>
      <c r="X739" s="6">
        <f>IF(ISERROR(VLOOKUP($U$739,'TAR FIN'!$A$1:$O$95,15,0)),0,VLOOKUP($U$739,'TAR FIN'!$A$1:$O$95,15,0))</f>
        <v>0</v>
      </c>
      <c r="Y739" s="6"/>
      <c r="Z739" s="6">
        <f ca="1">('TUSD BE'!$AM$17+'TUSD BF'!$AM$17+'TUSD CVA'!$AM$17)*1</f>
        <v>168.51338132937991</v>
      </c>
      <c r="AA739" s="6"/>
      <c r="AB739" s="6">
        <f>$K$739*$V$739</f>
        <v>0</v>
      </c>
      <c r="AC739" s="6">
        <f>$M$739*$W$739</f>
        <v>17260.419019999998</v>
      </c>
      <c r="AD739" s="6">
        <f>$O$739*$X$739</f>
        <v>0</v>
      </c>
      <c r="AE739" s="6">
        <f>$K$739*$Y$739</f>
        <v>0</v>
      </c>
      <c r="AF739" s="6">
        <f ca="1">$M$739*$Z$739</f>
        <v>19438.69258986929</v>
      </c>
      <c r="AG739" s="6">
        <f>$O$739*$AA$739</f>
        <v>0</v>
      </c>
    </row>
    <row r="740" spans="1:33" ht="11.25" customHeight="1" x14ac:dyDescent="0.25">
      <c r="A740" s="4" t="s">
        <v>21</v>
      </c>
      <c r="B740" s="4" t="s">
        <v>35</v>
      </c>
      <c r="C740" s="4" t="s">
        <v>36</v>
      </c>
      <c r="D740" s="4" t="s">
        <v>45</v>
      </c>
      <c r="E740" s="4" t="s">
        <v>25</v>
      </c>
      <c r="F740" s="4" t="s">
        <v>25</v>
      </c>
      <c r="G740" s="4" t="s">
        <v>25</v>
      </c>
      <c r="H740" s="4" t="s">
        <v>38</v>
      </c>
      <c r="I740" s="5">
        <v>44348</v>
      </c>
      <c r="J740" s="6">
        <v>0</v>
      </c>
      <c r="K740" s="6">
        <v>0</v>
      </c>
      <c r="L740" s="6">
        <v>22187.151999999998</v>
      </c>
      <c r="M740" s="6">
        <v>22187.151999999998</v>
      </c>
      <c r="N740" s="6">
        <v>22187.151999999998</v>
      </c>
      <c r="O740" s="6">
        <v>22187.151999999998</v>
      </c>
      <c r="P740" s="6">
        <v>0</v>
      </c>
      <c r="Q740" s="4" t="s">
        <v>26</v>
      </c>
      <c r="R740" s="4">
        <v>0</v>
      </c>
      <c r="S740" s="6">
        <v>0</v>
      </c>
      <c r="T740" s="6">
        <v>19</v>
      </c>
      <c r="U740" s="6">
        <v>67</v>
      </c>
      <c r="V740" s="6">
        <f>IF(ISERROR(VLOOKUP($S$740,'TAR FIN'!$A$1:$O$95,15,0)),0,VLOOKUP($S$740,'TAR FIN'!$A$1:$O$95,15,0))</f>
        <v>0</v>
      </c>
      <c r="W740" s="6">
        <f>IF(ISERROR(VLOOKUP($T$740,'TAR FIN'!$A$1:$O$95,15,0)),0,VLOOKUP($T$740,'TAR FIN'!$A$1:$O$95,15,0))</f>
        <v>149.63</v>
      </c>
      <c r="X740" s="6">
        <f>IF(ISERROR(VLOOKUP($U$740,'TAR FIN'!$A$1:$O$95,15,0)),0,VLOOKUP($U$740,'TAR FIN'!$A$1:$O$95,15,0))</f>
        <v>230.03</v>
      </c>
      <c r="Y740" s="6"/>
      <c r="Z740" s="6">
        <f ca="1">('TUSD BE'!$AM$17+'TUSD BF'!$AM$17+'TUSD CVA'!$AM$17)*1</f>
        <v>168.51338132937991</v>
      </c>
      <c r="AA740" s="6">
        <f>('TE BE'!$AA$8+'TE BF'!$AA$8+'TE CVA'!$AA$8)*1</f>
        <v>282.91739971702214</v>
      </c>
      <c r="AB740" s="6">
        <f>$K$740*$V$740</f>
        <v>0</v>
      </c>
      <c r="AC740" s="6">
        <f>$M$740*$W$740</f>
        <v>3319863.5537599996</v>
      </c>
      <c r="AD740" s="6">
        <f>$O$740*$X$740</f>
        <v>5103710.5745599996</v>
      </c>
      <c r="AE740" s="6">
        <f>$K$740*$Y$740</f>
        <v>0</v>
      </c>
      <c r="AF740" s="6">
        <f ca="1">$M$740*$Z$740</f>
        <v>3738832.0055889138</v>
      </c>
      <c r="AG740" s="6">
        <f>$O$740*$AA$740</f>
        <v>6277131.3509663269</v>
      </c>
    </row>
    <row r="741" spans="1:33" ht="11.25" customHeight="1" x14ac:dyDescent="0.25">
      <c r="A741" s="4" t="s">
        <v>27</v>
      </c>
      <c r="B741" s="4" t="s">
        <v>35</v>
      </c>
      <c r="C741" s="4" t="s">
        <v>36</v>
      </c>
      <c r="D741" s="4" t="s">
        <v>45</v>
      </c>
      <c r="E741" s="4" t="s">
        <v>25</v>
      </c>
      <c r="F741" s="4" t="s">
        <v>25</v>
      </c>
      <c r="G741" s="4" t="s">
        <v>25</v>
      </c>
      <c r="H741" s="4" t="s">
        <v>38</v>
      </c>
      <c r="I741" s="5">
        <v>44348</v>
      </c>
      <c r="J741" s="6">
        <v>0</v>
      </c>
      <c r="K741" s="6">
        <v>0</v>
      </c>
      <c r="L741" s="6">
        <v>-33.576999999999998</v>
      </c>
      <c r="M741" s="6">
        <v>-33.576999999999998</v>
      </c>
      <c r="N741" s="6">
        <v>-33.576999999999998</v>
      </c>
      <c r="O741" s="6">
        <v>-33.576999999999998</v>
      </c>
      <c r="P741" s="6">
        <v>0</v>
      </c>
      <c r="Q741" s="4" t="s">
        <v>26</v>
      </c>
      <c r="R741" s="4">
        <v>0</v>
      </c>
      <c r="S741" s="6">
        <v>0</v>
      </c>
      <c r="T741" s="6">
        <v>19</v>
      </c>
      <c r="U741" s="6">
        <v>67</v>
      </c>
      <c r="V741" s="6">
        <f>IF(ISERROR(VLOOKUP($S$741,'TAR FIN'!$A$1:$O$95,15,0)),0,VLOOKUP($S$741,'TAR FIN'!$A$1:$O$95,15,0))</f>
        <v>0</v>
      </c>
      <c r="W741" s="6">
        <f>IF(ISERROR(VLOOKUP($T$741,'TAR FIN'!$A$1:$O$95,15,0)),0,VLOOKUP($T$741,'TAR FIN'!$A$1:$O$95,15,0))</f>
        <v>149.63</v>
      </c>
      <c r="X741" s="6">
        <f>IF(ISERROR(VLOOKUP($U$741,'TAR FIN'!$A$1:$O$95,15,0)),0,VLOOKUP($U$741,'TAR FIN'!$A$1:$O$95,15,0))</f>
        <v>230.03</v>
      </c>
      <c r="Y741" s="6"/>
      <c r="Z741" s="6">
        <f ca="1">('TUSD BE'!$AM$17+'TUSD BF'!$AM$17+'TUSD CVA'!$AM$17)*1</f>
        <v>168.51338132937991</v>
      </c>
      <c r="AA741" s="6">
        <f>('TE BE'!$AA$8+'TE BF'!$AA$8+'TE CVA'!$AA$8)*1</f>
        <v>282.91739971702214</v>
      </c>
      <c r="AB741" s="6">
        <f>$K$741*$V$741</f>
        <v>0</v>
      </c>
      <c r="AC741" s="6">
        <f>$M$741*$W$741</f>
        <v>-5024.1265099999991</v>
      </c>
      <c r="AD741" s="6">
        <f>$O$741*$X$741</f>
        <v>-7723.71731</v>
      </c>
      <c r="AE741" s="6">
        <f>$K$741*$Y$741</f>
        <v>0</v>
      </c>
      <c r="AF741" s="6">
        <f ca="1">$M$741*$Z$741</f>
        <v>-5658.173804896589</v>
      </c>
      <c r="AG741" s="6">
        <f>$O$741*$AA$741</f>
        <v>-9499.5175302984517</v>
      </c>
    </row>
    <row r="742" spans="1:33" ht="11.25" customHeight="1" x14ac:dyDescent="0.25">
      <c r="A742" s="4" t="s">
        <v>28</v>
      </c>
      <c r="B742" s="4" t="s">
        <v>35</v>
      </c>
      <c r="C742" s="4" t="s">
        <v>36</v>
      </c>
      <c r="D742" s="4" t="s">
        <v>45</v>
      </c>
      <c r="E742" s="4" t="s">
        <v>25</v>
      </c>
      <c r="F742" s="4" t="s">
        <v>25</v>
      </c>
      <c r="G742" s="4" t="s">
        <v>25</v>
      </c>
      <c r="H742" s="4" t="s">
        <v>38</v>
      </c>
      <c r="I742" s="5">
        <v>44348</v>
      </c>
      <c r="J742" s="6">
        <v>0</v>
      </c>
      <c r="K742" s="6">
        <v>0</v>
      </c>
      <c r="L742" s="6">
        <v>1434.345</v>
      </c>
      <c r="M742" s="6">
        <v>1434.345</v>
      </c>
      <c r="N742" s="6">
        <v>1434.345</v>
      </c>
      <c r="O742" s="6">
        <v>1434.345</v>
      </c>
      <c r="P742" s="6">
        <v>0</v>
      </c>
      <c r="Q742" s="4" t="s">
        <v>26</v>
      </c>
      <c r="R742" s="4">
        <v>0</v>
      </c>
      <c r="S742" s="6">
        <v>0</v>
      </c>
      <c r="T742" s="6">
        <v>19</v>
      </c>
      <c r="U742" s="6">
        <v>67</v>
      </c>
      <c r="V742" s="6">
        <f>IF(ISERROR(VLOOKUP($S$742,'TAR FIN'!$A$1:$O$95,15,0)),0,VLOOKUP($S$742,'TAR FIN'!$A$1:$O$95,15,0))</f>
        <v>0</v>
      </c>
      <c r="W742" s="6">
        <f>IF(ISERROR(VLOOKUP($T$742,'TAR FIN'!$A$1:$O$95,15,0)),0,VLOOKUP($T$742,'TAR FIN'!$A$1:$O$95,15,0))</f>
        <v>149.63</v>
      </c>
      <c r="X742" s="6">
        <f>IF(ISERROR(VLOOKUP($U$742,'TAR FIN'!$A$1:$O$95,15,0)),0,VLOOKUP($U$742,'TAR FIN'!$A$1:$O$95,15,0))</f>
        <v>230.03</v>
      </c>
      <c r="Y742" s="6"/>
      <c r="Z742" s="6">
        <f ca="1">('TUSD BE'!$AM$17+'TUSD BF'!$AM$17+'TUSD CVA'!$AM$17)*1</f>
        <v>168.51338132937991</v>
      </c>
      <c r="AA742" s="6">
        <f>('TE BE'!$AA$8+'TE BF'!$AA$8+'TE CVA'!$AA$8)*1</f>
        <v>282.91739971702214</v>
      </c>
      <c r="AB742" s="6">
        <f>$K$742*$V$742</f>
        <v>0</v>
      </c>
      <c r="AC742" s="6">
        <f>$M$742*$W$742</f>
        <v>214621.04235</v>
      </c>
      <c r="AD742" s="6">
        <f>$O$742*$X$742</f>
        <v>329942.38034999999</v>
      </c>
      <c r="AE742" s="6">
        <f>$K$742*$Y$742</f>
        <v>0</v>
      </c>
      <c r="AF742" s="6">
        <f ca="1">$M$742*$Z$742</f>
        <v>241706.32594288944</v>
      </c>
      <c r="AG742" s="6">
        <f>$O$742*$AA$742</f>
        <v>405801.15769711212</v>
      </c>
    </row>
    <row r="743" spans="1:33" ht="11.25" customHeight="1" x14ac:dyDescent="0.25">
      <c r="A743" s="4" t="s">
        <v>29</v>
      </c>
      <c r="B743" s="4" t="s">
        <v>35</v>
      </c>
      <c r="C743" s="4" t="s">
        <v>36</v>
      </c>
      <c r="D743" s="4" t="s">
        <v>45</v>
      </c>
      <c r="E743" s="4" t="s">
        <v>25</v>
      </c>
      <c r="F743" s="4" t="s">
        <v>25</v>
      </c>
      <c r="G743" s="4" t="s">
        <v>25</v>
      </c>
      <c r="H743" s="4" t="s">
        <v>38</v>
      </c>
      <c r="I743" s="5">
        <v>44348</v>
      </c>
      <c r="J743" s="6">
        <v>0</v>
      </c>
      <c r="K743" s="6">
        <v>0</v>
      </c>
      <c r="L743" s="6">
        <v>-8.1059999999999999</v>
      </c>
      <c r="M743" s="6">
        <v>-8.1059999999999999</v>
      </c>
      <c r="N743" s="6">
        <v>-8.1059999999999999</v>
      </c>
      <c r="O743" s="6">
        <v>-8.1059999999999999</v>
      </c>
      <c r="P743" s="6">
        <v>0</v>
      </c>
      <c r="Q743" s="4" t="s">
        <v>26</v>
      </c>
      <c r="R743" s="4">
        <v>0</v>
      </c>
      <c r="S743" s="6">
        <v>0</v>
      </c>
      <c r="T743" s="6">
        <v>19</v>
      </c>
      <c r="U743" s="6">
        <v>67</v>
      </c>
      <c r="V743" s="6">
        <f>IF(ISERROR(VLOOKUP($S$743,'TAR FIN'!$A$1:$O$95,15,0)),0,VLOOKUP($S$743,'TAR FIN'!$A$1:$O$95,15,0))</f>
        <v>0</v>
      </c>
      <c r="W743" s="6">
        <f>IF(ISERROR(VLOOKUP($T$743,'TAR FIN'!$A$1:$O$95,15,0)),0,VLOOKUP($T$743,'TAR FIN'!$A$1:$O$95,15,0))</f>
        <v>149.63</v>
      </c>
      <c r="X743" s="6">
        <f>IF(ISERROR(VLOOKUP($U$743,'TAR FIN'!$A$1:$O$95,15,0)),0,VLOOKUP($U$743,'TAR FIN'!$A$1:$O$95,15,0))</f>
        <v>230.03</v>
      </c>
      <c r="Y743" s="6"/>
      <c r="Z743" s="6">
        <f ca="1">('TUSD BE'!$AM$17+'TUSD BF'!$AM$17+'TUSD CVA'!$AM$17)*1</f>
        <v>168.51338132937991</v>
      </c>
      <c r="AA743" s="6">
        <f>('TE BE'!$AA$8+'TE BF'!$AA$8+'TE CVA'!$AA$8)*1</f>
        <v>282.91739971702214</v>
      </c>
      <c r="AB743" s="6">
        <f>$K$743*$V$743</f>
        <v>0</v>
      </c>
      <c r="AC743" s="6">
        <f>$M$743*$W$743</f>
        <v>-1212.9007799999999</v>
      </c>
      <c r="AD743" s="6">
        <f>$O$743*$X$743</f>
        <v>-1864.62318</v>
      </c>
      <c r="AE743" s="6">
        <f>$K$743*$Y$743</f>
        <v>0</v>
      </c>
      <c r="AF743" s="6">
        <f ca="1">$M$743*$Z$743</f>
        <v>-1365.9694690559536</v>
      </c>
      <c r="AG743" s="6">
        <f>$O$743*$AA$743</f>
        <v>-2293.3284421061812</v>
      </c>
    </row>
    <row r="744" spans="1:33" ht="11.25" customHeight="1" x14ac:dyDescent="0.25">
      <c r="A744" s="4" t="s">
        <v>30</v>
      </c>
      <c r="B744" s="4" t="s">
        <v>35</v>
      </c>
      <c r="C744" s="4" t="s">
        <v>36</v>
      </c>
      <c r="D744" s="4" t="s">
        <v>45</v>
      </c>
      <c r="E744" s="4" t="s">
        <v>25</v>
      </c>
      <c r="F744" s="4" t="s">
        <v>25</v>
      </c>
      <c r="G744" s="4" t="s">
        <v>25</v>
      </c>
      <c r="H744" s="4" t="s">
        <v>38</v>
      </c>
      <c r="I744" s="5">
        <v>44348</v>
      </c>
      <c r="J744" s="6">
        <v>0</v>
      </c>
      <c r="K744" s="6">
        <v>0</v>
      </c>
      <c r="L744" s="6">
        <v>843.98400000000004</v>
      </c>
      <c r="M744" s="6">
        <v>843.98400000000004</v>
      </c>
      <c r="N744" s="6">
        <v>843.98400000000004</v>
      </c>
      <c r="O744" s="6">
        <v>843.98400000000004</v>
      </c>
      <c r="P744" s="6">
        <v>0</v>
      </c>
      <c r="Q744" s="4" t="s">
        <v>26</v>
      </c>
      <c r="R744" s="4">
        <v>0</v>
      </c>
      <c r="S744" s="6">
        <v>0</v>
      </c>
      <c r="T744" s="6">
        <v>19</v>
      </c>
      <c r="U744" s="6">
        <v>67</v>
      </c>
      <c r="V744" s="6">
        <f>IF(ISERROR(VLOOKUP($S$744,'TAR FIN'!$A$1:$O$95,15,0)),0,VLOOKUP($S$744,'TAR FIN'!$A$1:$O$95,15,0))</f>
        <v>0</v>
      </c>
      <c r="W744" s="6">
        <f>IF(ISERROR(VLOOKUP($T$744,'TAR FIN'!$A$1:$O$95,15,0)),0,VLOOKUP($T$744,'TAR FIN'!$A$1:$O$95,15,0))</f>
        <v>149.63</v>
      </c>
      <c r="X744" s="6">
        <f>IF(ISERROR(VLOOKUP($U$744,'TAR FIN'!$A$1:$O$95,15,0)),0,VLOOKUP($U$744,'TAR FIN'!$A$1:$O$95,15,0))</f>
        <v>230.03</v>
      </c>
      <c r="Y744" s="6"/>
      <c r="Z744" s="6">
        <f ca="1">('TUSD BE'!$AM$17+'TUSD BF'!$AM$17+'TUSD CVA'!$AM$17)*1</f>
        <v>168.51338132937991</v>
      </c>
      <c r="AA744" s="6">
        <f>('TE BE'!$AA$8+'TE BF'!$AA$8+'TE CVA'!$AA$8)*1</f>
        <v>282.91739971702214</v>
      </c>
      <c r="AB744" s="6">
        <f>$K$744*$V$744</f>
        <v>0</v>
      </c>
      <c r="AC744" s="6">
        <f>$M$744*$W$744</f>
        <v>126285.32592</v>
      </c>
      <c r="AD744" s="6">
        <f>$O$744*$X$744</f>
        <v>194141.63952</v>
      </c>
      <c r="AE744" s="6">
        <f>$K$744*$Y$744</f>
        <v>0</v>
      </c>
      <c r="AF744" s="6">
        <f ca="1">$M$744*$Z$744</f>
        <v>142222.59762789539</v>
      </c>
      <c r="AG744" s="6">
        <f>$O$744*$AA$744</f>
        <v>238777.75868277121</v>
      </c>
    </row>
    <row r="745" spans="1:33" ht="11.25" customHeight="1" x14ac:dyDescent="0.25">
      <c r="A745" s="4" t="s">
        <v>21</v>
      </c>
      <c r="B745" s="4" t="s">
        <v>35</v>
      </c>
      <c r="C745" s="4" t="s">
        <v>36</v>
      </c>
      <c r="D745" s="4" t="s">
        <v>45</v>
      </c>
      <c r="E745" s="4" t="s">
        <v>25</v>
      </c>
      <c r="F745" s="4" t="s">
        <v>25</v>
      </c>
      <c r="G745" s="4" t="s">
        <v>25</v>
      </c>
      <c r="H745" s="4" t="s">
        <v>38</v>
      </c>
      <c r="I745" s="5">
        <v>44348</v>
      </c>
      <c r="J745" s="6">
        <v>0</v>
      </c>
      <c r="K745" s="6">
        <v>0</v>
      </c>
      <c r="L745" s="6">
        <v>73.08</v>
      </c>
      <c r="M745" s="6">
        <v>73.08</v>
      </c>
      <c r="N745" s="6">
        <v>0</v>
      </c>
      <c r="O745" s="6">
        <v>0</v>
      </c>
      <c r="P745" s="6">
        <v>0</v>
      </c>
      <c r="Q745" s="4" t="s">
        <v>60</v>
      </c>
      <c r="R745" s="4">
        <v>0</v>
      </c>
      <c r="S745" s="6">
        <v>0</v>
      </c>
      <c r="T745" s="6">
        <v>19</v>
      </c>
      <c r="U745" s="6">
        <v>0</v>
      </c>
      <c r="V745" s="6">
        <f>IF(ISERROR(VLOOKUP($S$745,'TAR FIN'!$A$1:$O$95,15,0)),0,VLOOKUP($S$745,'TAR FIN'!$A$1:$O$95,15,0))</f>
        <v>0</v>
      </c>
      <c r="W745" s="6">
        <f>IF(ISERROR(VLOOKUP($T$745,'TAR FIN'!$A$1:$O$95,15,0)),0,VLOOKUP($T$745,'TAR FIN'!$A$1:$O$95,15,0))</f>
        <v>149.63</v>
      </c>
      <c r="X745" s="6">
        <f>IF(ISERROR(VLOOKUP($U$745,'TAR FIN'!$A$1:$O$95,15,0)),0,VLOOKUP($U$745,'TAR FIN'!$A$1:$O$95,15,0))</f>
        <v>0</v>
      </c>
      <c r="Y745" s="6"/>
      <c r="Z745" s="6">
        <f ca="1">('TUSD BE'!$AM$17+'TUSD BF'!$AM$17+'TUSD CVA'!$AM$17)*1</f>
        <v>168.51338132937991</v>
      </c>
      <c r="AA745" s="6"/>
      <c r="AB745" s="6">
        <f>$K$745*$V$745</f>
        <v>0</v>
      </c>
      <c r="AC745" s="6">
        <f>$M$745*$W$745</f>
        <v>10934.9604</v>
      </c>
      <c r="AD745" s="6">
        <f>$O$745*$X$745</f>
        <v>0</v>
      </c>
      <c r="AE745" s="6">
        <f>$K$745*$Y$745</f>
        <v>0</v>
      </c>
      <c r="AF745" s="6">
        <f ca="1">$M$745*$Z$745</f>
        <v>12314.957907551083</v>
      </c>
      <c r="AG745" s="6">
        <f>$O$745*$AA$745</f>
        <v>0</v>
      </c>
    </row>
    <row r="746" spans="1:33" ht="11.25" customHeight="1" x14ac:dyDescent="0.25">
      <c r="A746" s="4" t="s">
        <v>21</v>
      </c>
      <c r="B746" s="4" t="s">
        <v>35</v>
      </c>
      <c r="C746" s="4" t="s">
        <v>36</v>
      </c>
      <c r="D746" s="4" t="s">
        <v>45</v>
      </c>
      <c r="E746" s="4" t="s">
        <v>25</v>
      </c>
      <c r="F746" s="4" t="s">
        <v>25</v>
      </c>
      <c r="G746" s="4" t="s">
        <v>25</v>
      </c>
      <c r="H746" s="4" t="s">
        <v>38</v>
      </c>
      <c r="I746" s="5">
        <v>44378</v>
      </c>
      <c r="J746" s="6">
        <v>0</v>
      </c>
      <c r="K746" s="6">
        <v>0</v>
      </c>
      <c r="L746" s="6">
        <v>23023.66</v>
      </c>
      <c r="M746" s="6">
        <v>23023.66</v>
      </c>
      <c r="N746" s="6">
        <v>23023.66</v>
      </c>
      <c r="O746" s="6">
        <v>23023.66</v>
      </c>
      <c r="P746" s="6">
        <v>0</v>
      </c>
      <c r="Q746" s="4" t="s">
        <v>26</v>
      </c>
      <c r="R746" s="4">
        <v>0</v>
      </c>
      <c r="S746" s="6">
        <v>0</v>
      </c>
      <c r="T746" s="6">
        <v>19</v>
      </c>
      <c r="U746" s="6">
        <v>67</v>
      </c>
      <c r="V746" s="6">
        <f>IF(ISERROR(VLOOKUP($S$746,'TAR FIN'!$A$1:$O$95,15,0)),0,VLOOKUP($S$746,'TAR FIN'!$A$1:$O$95,15,0))</f>
        <v>0</v>
      </c>
      <c r="W746" s="6">
        <f>IF(ISERROR(VLOOKUP($T$746,'TAR FIN'!$A$1:$O$95,15,0)),0,VLOOKUP($T$746,'TAR FIN'!$A$1:$O$95,15,0))</f>
        <v>149.63</v>
      </c>
      <c r="X746" s="6">
        <f>IF(ISERROR(VLOOKUP($U$746,'TAR FIN'!$A$1:$O$95,15,0)),0,VLOOKUP($U$746,'TAR FIN'!$A$1:$O$95,15,0))</f>
        <v>230.03</v>
      </c>
      <c r="Y746" s="6"/>
      <c r="Z746" s="6">
        <f ca="1">('TUSD BE'!$AM$17+'TUSD BF'!$AM$17+'TUSD CVA'!$AM$17)*1</f>
        <v>168.51338132937991</v>
      </c>
      <c r="AA746" s="6">
        <f>('TE BE'!$AA$8+'TE BF'!$AA$8+'TE CVA'!$AA$8)*1</f>
        <v>282.91739971702214</v>
      </c>
      <c r="AB746" s="6">
        <f>$K$746*$V$746</f>
        <v>0</v>
      </c>
      <c r="AC746" s="6">
        <f>$M$746*$W$746</f>
        <v>3445030.2457999997</v>
      </c>
      <c r="AD746" s="6">
        <f>$O$746*$X$746</f>
        <v>5296132.5098000001</v>
      </c>
      <c r="AE746" s="6">
        <f>$K$746*$Y$746</f>
        <v>0</v>
      </c>
      <c r="AF746" s="6">
        <f ca="1">$M$746*$Z$746</f>
        <v>3879794.7971779909</v>
      </c>
      <c r="AG746" s="6">
        <f>$O$746*$AA$746</f>
        <v>6513794.0191688137</v>
      </c>
    </row>
    <row r="747" spans="1:33" ht="11.25" customHeight="1" x14ac:dyDescent="0.25">
      <c r="A747" s="4" t="s">
        <v>27</v>
      </c>
      <c r="B747" s="4" t="s">
        <v>35</v>
      </c>
      <c r="C747" s="4" t="s">
        <v>36</v>
      </c>
      <c r="D747" s="4" t="s">
        <v>45</v>
      </c>
      <c r="E747" s="4" t="s">
        <v>25</v>
      </c>
      <c r="F747" s="4" t="s">
        <v>25</v>
      </c>
      <c r="G747" s="4" t="s">
        <v>25</v>
      </c>
      <c r="H747" s="4" t="s">
        <v>38</v>
      </c>
      <c r="I747" s="5">
        <v>44378</v>
      </c>
      <c r="J747" s="6">
        <v>0</v>
      </c>
      <c r="K747" s="6">
        <v>0</v>
      </c>
      <c r="L747" s="6">
        <v>-59.619</v>
      </c>
      <c r="M747" s="6">
        <v>-59.619</v>
      </c>
      <c r="N747" s="6">
        <v>-59.619</v>
      </c>
      <c r="O747" s="6">
        <v>-59.619</v>
      </c>
      <c r="P747" s="6">
        <v>0</v>
      </c>
      <c r="Q747" s="4" t="s">
        <v>26</v>
      </c>
      <c r="R747" s="4">
        <v>0</v>
      </c>
      <c r="S747" s="6">
        <v>0</v>
      </c>
      <c r="T747" s="6">
        <v>19</v>
      </c>
      <c r="U747" s="6">
        <v>67</v>
      </c>
      <c r="V747" s="6">
        <f>IF(ISERROR(VLOOKUP($S$747,'TAR FIN'!$A$1:$O$95,15,0)),0,VLOOKUP($S$747,'TAR FIN'!$A$1:$O$95,15,0))</f>
        <v>0</v>
      </c>
      <c r="W747" s="6">
        <f>IF(ISERROR(VLOOKUP($T$747,'TAR FIN'!$A$1:$O$95,15,0)),0,VLOOKUP($T$747,'TAR FIN'!$A$1:$O$95,15,0))</f>
        <v>149.63</v>
      </c>
      <c r="X747" s="6">
        <f>IF(ISERROR(VLOOKUP($U$747,'TAR FIN'!$A$1:$O$95,15,0)),0,VLOOKUP($U$747,'TAR FIN'!$A$1:$O$95,15,0))</f>
        <v>230.03</v>
      </c>
      <c r="Y747" s="6"/>
      <c r="Z747" s="6">
        <f ca="1">('TUSD BE'!$AM$17+'TUSD BF'!$AM$17+'TUSD CVA'!$AM$17)*1</f>
        <v>168.51338132937991</v>
      </c>
      <c r="AA747" s="6">
        <f>('TE BE'!$AA$8+'TE BF'!$AA$8+'TE CVA'!$AA$8)*1</f>
        <v>282.91739971702214</v>
      </c>
      <c r="AB747" s="6">
        <f>$K$747*$V$747</f>
        <v>0</v>
      </c>
      <c r="AC747" s="6">
        <f>$M$747*$W$747</f>
        <v>-8920.79097</v>
      </c>
      <c r="AD747" s="6">
        <f>$O$747*$X$747</f>
        <v>-13714.15857</v>
      </c>
      <c r="AE747" s="6">
        <f>$K$747*$Y$747</f>
        <v>0</v>
      </c>
      <c r="AF747" s="6">
        <f ca="1">$M$747*$Z$747</f>
        <v>-10046.599281476301</v>
      </c>
      <c r="AG747" s="6">
        <f>$O$747*$AA$747</f>
        <v>-16867.252453729143</v>
      </c>
    </row>
    <row r="748" spans="1:33" ht="11.25" customHeight="1" x14ac:dyDescent="0.25">
      <c r="A748" s="4" t="s">
        <v>28</v>
      </c>
      <c r="B748" s="4" t="s">
        <v>35</v>
      </c>
      <c r="C748" s="4" t="s">
        <v>36</v>
      </c>
      <c r="D748" s="4" t="s">
        <v>45</v>
      </c>
      <c r="E748" s="4" t="s">
        <v>25</v>
      </c>
      <c r="F748" s="4" t="s">
        <v>25</v>
      </c>
      <c r="G748" s="4" t="s">
        <v>25</v>
      </c>
      <c r="H748" s="4" t="s">
        <v>38</v>
      </c>
      <c r="I748" s="5">
        <v>44378</v>
      </c>
      <c r="J748" s="6">
        <v>0</v>
      </c>
      <c r="K748" s="6">
        <v>0</v>
      </c>
      <c r="L748" s="6">
        <v>1559.309</v>
      </c>
      <c r="M748" s="6">
        <v>1559.309</v>
      </c>
      <c r="N748" s="6">
        <v>1559.309</v>
      </c>
      <c r="O748" s="6">
        <v>1559.309</v>
      </c>
      <c r="P748" s="6">
        <v>0</v>
      </c>
      <c r="Q748" s="4" t="s">
        <v>26</v>
      </c>
      <c r="R748" s="4">
        <v>0</v>
      </c>
      <c r="S748" s="6">
        <v>0</v>
      </c>
      <c r="T748" s="6">
        <v>19</v>
      </c>
      <c r="U748" s="6">
        <v>67</v>
      </c>
      <c r="V748" s="6">
        <f>IF(ISERROR(VLOOKUP($S$748,'TAR FIN'!$A$1:$O$95,15,0)),0,VLOOKUP($S$748,'TAR FIN'!$A$1:$O$95,15,0))</f>
        <v>0</v>
      </c>
      <c r="W748" s="6">
        <f>IF(ISERROR(VLOOKUP($T$748,'TAR FIN'!$A$1:$O$95,15,0)),0,VLOOKUP($T$748,'TAR FIN'!$A$1:$O$95,15,0))</f>
        <v>149.63</v>
      </c>
      <c r="X748" s="6">
        <f>IF(ISERROR(VLOOKUP($U$748,'TAR FIN'!$A$1:$O$95,15,0)),0,VLOOKUP($U$748,'TAR FIN'!$A$1:$O$95,15,0))</f>
        <v>230.03</v>
      </c>
      <c r="Y748" s="6"/>
      <c r="Z748" s="6">
        <f ca="1">('TUSD BE'!$AM$17+'TUSD BF'!$AM$17+'TUSD CVA'!$AM$17)*1</f>
        <v>168.51338132937991</v>
      </c>
      <c r="AA748" s="6">
        <f>('TE BE'!$AA$8+'TE BF'!$AA$8+'TE CVA'!$AA$8)*1</f>
        <v>282.91739971702214</v>
      </c>
      <c r="AB748" s="6">
        <f>$K$748*$V$748</f>
        <v>0</v>
      </c>
      <c r="AC748" s="6">
        <f>$M$748*$W$748</f>
        <v>233319.40566999998</v>
      </c>
      <c r="AD748" s="6">
        <f>$O$748*$X$748</f>
        <v>358687.84927000001</v>
      </c>
      <c r="AE748" s="6">
        <f>$K$748*$Y$748</f>
        <v>0</v>
      </c>
      <c r="AF748" s="6">
        <f ca="1">$M$748*$Z$748</f>
        <v>262764.43212733406</v>
      </c>
      <c r="AG748" s="6">
        <f>$O$748*$AA$748</f>
        <v>441155.64763535006</v>
      </c>
    </row>
    <row r="749" spans="1:33" ht="11.25" customHeight="1" x14ac:dyDescent="0.25">
      <c r="A749" s="4" t="s">
        <v>29</v>
      </c>
      <c r="B749" s="4" t="s">
        <v>35</v>
      </c>
      <c r="C749" s="4" t="s">
        <v>36</v>
      </c>
      <c r="D749" s="4" t="s">
        <v>45</v>
      </c>
      <c r="E749" s="4" t="s">
        <v>25</v>
      </c>
      <c r="F749" s="4" t="s">
        <v>25</v>
      </c>
      <c r="G749" s="4" t="s">
        <v>25</v>
      </c>
      <c r="H749" s="4" t="s">
        <v>38</v>
      </c>
      <c r="I749" s="5">
        <v>44378</v>
      </c>
      <c r="J749" s="6">
        <v>0</v>
      </c>
      <c r="K749" s="6">
        <v>0</v>
      </c>
      <c r="L749" s="6">
        <v>81.710999999999999</v>
      </c>
      <c r="M749" s="6">
        <v>81.710999999999999</v>
      </c>
      <c r="N749" s="6">
        <v>81.710999999999999</v>
      </c>
      <c r="O749" s="6">
        <v>81.710999999999999</v>
      </c>
      <c r="P749" s="6">
        <v>0</v>
      </c>
      <c r="Q749" s="4" t="s">
        <v>26</v>
      </c>
      <c r="R749" s="4">
        <v>0</v>
      </c>
      <c r="S749" s="6">
        <v>0</v>
      </c>
      <c r="T749" s="6">
        <v>19</v>
      </c>
      <c r="U749" s="6">
        <v>67</v>
      </c>
      <c r="V749" s="6">
        <f>IF(ISERROR(VLOOKUP($S$749,'TAR FIN'!$A$1:$O$95,15,0)),0,VLOOKUP($S$749,'TAR FIN'!$A$1:$O$95,15,0))</f>
        <v>0</v>
      </c>
      <c r="W749" s="6">
        <f>IF(ISERROR(VLOOKUP($T$749,'TAR FIN'!$A$1:$O$95,15,0)),0,VLOOKUP($T$749,'TAR FIN'!$A$1:$O$95,15,0))</f>
        <v>149.63</v>
      </c>
      <c r="X749" s="6">
        <f>IF(ISERROR(VLOOKUP($U$749,'TAR FIN'!$A$1:$O$95,15,0)),0,VLOOKUP($U$749,'TAR FIN'!$A$1:$O$95,15,0))</f>
        <v>230.03</v>
      </c>
      <c r="Y749" s="6"/>
      <c r="Z749" s="6">
        <f ca="1">('TUSD BE'!$AM$17+'TUSD BF'!$AM$17+'TUSD CVA'!$AM$17)*1</f>
        <v>168.51338132937991</v>
      </c>
      <c r="AA749" s="6">
        <f>('TE BE'!$AA$8+'TE BF'!$AA$8+'TE CVA'!$AA$8)*1</f>
        <v>282.91739971702214</v>
      </c>
      <c r="AB749" s="6">
        <f>$K$749*$V$749</f>
        <v>0</v>
      </c>
      <c r="AC749" s="6">
        <f>$M$749*$W$749</f>
        <v>12226.416929999999</v>
      </c>
      <c r="AD749" s="6">
        <f>$O$749*$X$749</f>
        <v>18795.981329999999</v>
      </c>
      <c r="AE749" s="6">
        <f>$K$749*$Y$749</f>
        <v>0</v>
      </c>
      <c r="AF749" s="6">
        <f ca="1">$M$749*$Z$749</f>
        <v>13769.396901804961</v>
      </c>
      <c r="AG749" s="6">
        <f>$O$749*$AA$749</f>
        <v>23117.463648277597</v>
      </c>
    </row>
    <row r="750" spans="1:33" ht="11.25" customHeight="1" x14ac:dyDescent="0.25">
      <c r="A750" s="4" t="s">
        <v>30</v>
      </c>
      <c r="B750" s="4" t="s">
        <v>35</v>
      </c>
      <c r="C750" s="4" t="s">
        <v>36</v>
      </c>
      <c r="D750" s="4" t="s">
        <v>45</v>
      </c>
      <c r="E750" s="4" t="s">
        <v>25</v>
      </c>
      <c r="F750" s="4" t="s">
        <v>25</v>
      </c>
      <c r="G750" s="4" t="s">
        <v>25</v>
      </c>
      <c r="H750" s="4" t="s">
        <v>38</v>
      </c>
      <c r="I750" s="5">
        <v>44378</v>
      </c>
      <c r="J750" s="6">
        <v>0</v>
      </c>
      <c r="K750" s="6">
        <v>0</v>
      </c>
      <c r="L750" s="6">
        <v>872.72299999999996</v>
      </c>
      <c r="M750" s="6">
        <v>872.72299999999996</v>
      </c>
      <c r="N750" s="6">
        <v>872.72299999999996</v>
      </c>
      <c r="O750" s="6">
        <v>872.72299999999996</v>
      </c>
      <c r="P750" s="6">
        <v>0</v>
      </c>
      <c r="Q750" s="4" t="s">
        <v>26</v>
      </c>
      <c r="R750" s="4">
        <v>0</v>
      </c>
      <c r="S750" s="6">
        <v>0</v>
      </c>
      <c r="T750" s="6">
        <v>19</v>
      </c>
      <c r="U750" s="6">
        <v>67</v>
      </c>
      <c r="V750" s="6">
        <f>IF(ISERROR(VLOOKUP($S$750,'TAR FIN'!$A$1:$O$95,15,0)),0,VLOOKUP($S$750,'TAR FIN'!$A$1:$O$95,15,0))</f>
        <v>0</v>
      </c>
      <c r="W750" s="6">
        <f>IF(ISERROR(VLOOKUP($T$750,'TAR FIN'!$A$1:$O$95,15,0)),0,VLOOKUP($T$750,'TAR FIN'!$A$1:$O$95,15,0))</f>
        <v>149.63</v>
      </c>
      <c r="X750" s="6">
        <f>IF(ISERROR(VLOOKUP($U$750,'TAR FIN'!$A$1:$O$95,15,0)),0,VLOOKUP($U$750,'TAR FIN'!$A$1:$O$95,15,0))</f>
        <v>230.03</v>
      </c>
      <c r="Y750" s="6"/>
      <c r="Z750" s="6">
        <f ca="1">('TUSD BE'!$AM$17+'TUSD BF'!$AM$17+'TUSD CVA'!$AM$17)*1</f>
        <v>168.51338132937991</v>
      </c>
      <c r="AA750" s="6">
        <f>('TE BE'!$AA$8+'TE BF'!$AA$8+'TE CVA'!$AA$8)*1</f>
        <v>282.91739971702214</v>
      </c>
      <c r="AB750" s="6">
        <f>$K$750*$V$750</f>
        <v>0</v>
      </c>
      <c r="AC750" s="6">
        <f>$M$750*$W$750</f>
        <v>130585.54248999999</v>
      </c>
      <c r="AD750" s="6">
        <f>$O$750*$X$750</f>
        <v>200752.47168999998</v>
      </c>
      <c r="AE750" s="6">
        <f>$K$750*$Y$750</f>
        <v>0</v>
      </c>
      <c r="AF750" s="6">
        <f ca="1">$M$750*$Z$750</f>
        <v>147065.50369392041</v>
      </c>
      <c r="AG750" s="6">
        <f>$O$750*$AA$750</f>
        <v>246908.52183323869</v>
      </c>
    </row>
    <row r="751" spans="1:33" ht="11.25" customHeight="1" x14ac:dyDescent="0.25">
      <c r="A751" s="4" t="s">
        <v>30</v>
      </c>
      <c r="B751" s="4" t="s">
        <v>35</v>
      </c>
      <c r="C751" s="4" t="s">
        <v>36</v>
      </c>
      <c r="D751" s="4" t="s">
        <v>45</v>
      </c>
      <c r="E751" s="4" t="s">
        <v>25</v>
      </c>
      <c r="F751" s="4" t="s">
        <v>25</v>
      </c>
      <c r="G751" s="4" t="s">
        <v>25</v>
      </c>
      <c r="H751" s="4" t="s">
        <v>38</v>
      </c>
      <c r="I751" s="5">
        <v>44378</v>
      </c>
      <c r="J751" s="6">
        <v>0</v>
      </c>
      <c r="K751" s="6">
        <v>0</v>
      </c>
      <c r="L751" s="6">
        <v>-32.326999999999998</v>
      </c>
      <c r="M751" s="6">
        <v>-32.326999999999998</v>
      </c>
      <c r="N751" s="6">
        <v>-32.326999999999998</v>
      </c>
      <c r="O751" s="6">
        <v>-32.326999999999998</v>
      </c>
      <c r="P751" s="6">
        <v>0</v>
      </c>
      <c r="Q751" s="4" t="s">
        <v>26</v>
      </c>
      <c r="R751" s="4">
        <v>0</v>
      </c>
      <c r="S751" s="6">
        <v>0</v>
      </c>
      <c r="T751" s="6">
        <v>19</v>
      </c>
      <c r="U751" s="6">
        <v>67</v>
      </c>
      <c r="V751" s="6">
        <f>IF(ISERROR(VLOOKUP($S$751,'TAR FIN'!$A$1:$O$95,15,0)),0,VLOOKUP($S$751,'TAR FIN'!$A$1:$O$95,15,0))</f>
        <v>0</v>
      </c>
      <c r="W751" s="6">
        <f>IF(ISERROR(VLOOKUP($T$751,'TAR FIN'!$A$1:$O$95,15,0)),0,VLOOKUP($T$751,'TAR FIN'!$A$1:$O$95,15,0))</f>
        <v>149.63</v>
      </c>
      <c r="X751" s="6">
        <f>IF(ISERROR(VLOOKUP($U$751,'TAR FIN'!$A$1:$O$95,15,0)),0,VLOOKUP($U$751,'TAR FIN'!$A$1:$O$95,15,0))</f>
        <v>230.03</v>
      </c>
      <c r="Y751" s="6"/>
      <c r="Z751" s="6">
        <f ca="1">('TUSD BE'!$AM$17+'TUSD BF'!$AM$17+'TUSD CVA'!$AM$17)*1</f>
        <v>168.51338132937991</v>
      </c>
      <c r="AA751" s="6">
        <f>('TE BE'!$AA$8+'TE BF'!$AA$8+'TE CVA'!$AA$8)*1</f>
        <v>282.91739971702214</v>
      </c>
      <c r="AB751" s="6">
        <f>$K$751*$V$751</f>
        <v>0</v>
      </c>
      <c r="AC751" s="6">
        <f>$M$751*$W$751</f>
        <v>-4837.0890099999997</v>
      </c>
      <c r="AD751" s="6">
        <f>$O$751*$X$751</f>
        <v>-7436.1798099999996</v>
      </c>
      <c r="AE751" s="6">
        <f>$K$751*$Y$751</f>
        <v>0</v>
      </c>
      <c r="AF751" s="6">
        <f ca="1">$M$751*$Z$751</f>
        <v>-5447.5320782348645</v>
      </c>
      <c r="AG751" s="6">
        <f>$O$751*$AA$751</f>
        <v>-9145.8707806521743</v>
      </c>
    </row>
    <row r="752" spans="1:33" ht="11.25" customHeight="1" x14ac:dyDescent="0.25">
      <c r="A752" s="4" t="s">
        <v>21</v>
      </c>
      <c r="B752" s="4" t="s">
        <v>35</v>
      </c>
      <c r="C752" s="4" t="s">
        <v>36</v>
      </c>
      <c r="D752" s="4" t="s">
        <v>45</v>
      </c>
      <c r="E752" s="4" t="s">
        <v>25</v>
      </c>
      <c r="F752" s="4" t="s">
        <v>25</v>
      </c>
      <c r="G752" s="4" t="s">
        <v>25</v>
      </c>
      <c r="H752" s="4" t="s">
        <v>38</v>
      </c>
      <c r="I752" s="5">
        <v>44378</v>
      </c>
      <c r="J752" s="6">
        <v>0</v>
      </c>
      <c r="K752" s="6">
        <v>0</v>
      </c>
      <c r="L752" s="6">
        <v>113.667</v>
      </c>
      <c r="M752" s="6">
        <v>113.667</v>
      </c>
      <c r="N752" s="6">
        <v>0</v>
      </c>
      <c r="O752" s="6">
        <v>0</v>
      </c>
      <c r="P752" s="6">
        <v>0</v>
      </c>
      <c r="Q752" s="4" t="s">
        <v>60</v>
      </c>
      <c r="R752" s="4">
        <v>0</v>
      </c>
      <c r="S752" s="6">
        <v>0</v>
      </c>
      <c r="T752" s="6">
        <v>19</v>
      </c>
      <c r="U752" s="6">
        <v>0</v>
      </c>
      <c r="V752" s="6">
        <f>IF(ISERROR(VLOOKUP($S$752,'TAR FIN'!$A$1:$O$95,15,0)),0,VLOOKUP($S$752,'TAR FIN'!$A$1:$O$95,15,0))</f>
        <v>0</v>
      </c>
      <c r="W752" s="6">
        <f>IF(ISERROR(VLOOKUP($T$752,'TAR FIN'!$A$1:$O$95,15,0)),0,VLOOKUP($T$752,'TAR FIN'!$A$1:$O$95,15,0))</f>
        <v>149.63</v>
      </c>
      <c r="X752" s="6">
        <f>IF(ISERROR(VLOOKUP($U$752,'TAR FIN'!$A$1:$O$95,15,0)),0,VLOOKUP($U$752,'TAR FIN'!$A$1:$O$95,15,0))</f>
        <v>0</v>
      </c>
      <c r="Y752" s="6"/>
      <c r="Z752" s="6">
        <f ca="1">('TUSD BE'!$AM$17+'TUSD BF'!$AM$17+'TUSD CVA'!$AM$17)*1</f>
        <v>168.51338132937991</v>
      </c>
      <c r="AA752" s="6"/>
      <c r="AB752" s="6">
        <f>$K$752*$V$752</f>
        <v>0</v>
      </c>
      <c r="AC752" s="6">
        <f>$M$752*$W$752</f>
        <v>17007.993210000001</v>
      </c>
      <c r="AD752" s="6">
        <f>$O$752*$X$752</f>
        <v>0</v>
      </c>
      <c r="AE752" s="6">
        <f>$K$752*$Y$752</f>
        <v>0</v>
      </c>
      <c r="AF752" s="6">
        <f ca="1">$M$752*$Z$752</f>
        <v>19154.410515566626</v>
      </c>
      <c r="AG752" s="6">
        <f>$O$752*$AA$752</f>
        <v>0</v>
      </c>
    </row>
    <row r="753" spans="1:33" ht="11.25" customHeight="1" x14ac:dyDescent="0.25">
      <c r="A753" s="4" t="s">
        <v>21</v>
      </c>
      <c r="B753" s="4" t="s">
        <v>35</v>
      </c>
      <c r="C753" s="4" t="s">
        <v>36</v>
      </c>
      <c r="D753" s="4" t="s">
        <v>45</v>
      </c>
      <c r="E753" s="4" t="s">
        <v>25</v>
      </c>
      <c r="F753" s="4" t="s">
        <v>25</v>
      </c>
      <c r="G753" s="4" t="s">
        <v>25</v>
      </c>
      <c r="H753" s="4" t="s">
        <v>38</v>
      </c>
      <c r="I753" s="5">
        <v>44409</v>
      </c>
      <c r="J753" s="6">
        <v>0</v>
      </c>
      <c r="K753" s="6">
        <v>0</v>
      </c>
      <c r="L753" s="6">
        <v>24700.725999999999</v>
      </c>
      <c r="M753" s="6">
        <v>24700.725999999999</v>
      </c>
      <c r="N753" s="6">
        <v>24700.725999999999</v>
      </c>
      <c r="O753" s="6">
        <v>24700.725999999999</v>
      </c>
      <c r="P753" s="6">
        <v>0</v>
      </c>
      <c r="Q753" s="4" t="s">
        <v>26</v>
      </c>
      <c r="R753" s="4">
        <v>0</v>
      </c>
      <c r="S753" s="6">
        <v>0</v>
      </c>
      <c r="T753" s="6">
        <v>19</v>
      </c>
      <c r="U753" s="6">
        <v>67</v>
      </c>
      <c r="V753" s="6">
        <f>IF(ISERROR(VLOOKUP($S$753,'TAR FIN'!$A$1:$O$95,15,0)),0,VLOOKUP($S$753,'TAR FIN'!$A$1:$O$95,15,0))</f>
        <v>0</v>
      </c>
      <c r="W753" s="6">
        <f>IF(ISERROR(VLOOKUP($T$753,'TAR FIN'!$A$1:$O$95,15,0)),0,VLOOKUP($T$753,'TAR FIN'!$A$1:$O$95,15,0))</f>
        <v>149.63</v>
      </c>
      <c r="X753" s="6">
        <f>IF(ISERROR(VLOOKUP($U$753,'TAR FIN'!$A$1:$O$95,15,0)),0,VLOOKUP($U$753,'TAR FIN'!$A$1:$O$95,15,0))</f>
        <v>230.03</v>
      </c>
      <c r="Y753" s="6"/>
      <c r="Z753" s="6">
        <f ca="1">('TUSD BE'!$AM$17+'TUSD BF'!$AM$17+'TUSD CVA'!$AM$17)*1</f>
        <v>168.51338132937991</v>
      </c>
      <c r="AA753" s="6">
        <f>('TE BE'!$AA$8+'TE BF'!$AA$8+'TE CVA'!$AA$8)*1</f>
        <v>282.91739971702214</v>
      </c>
      <c r="AB753" s="6">
        <f>$K$753*$V$753</f>
        <v>0</v>
      </c>
      <c r="AC753" s="6">
        <f>$M$753*$W$753</f>
        <v>3695969.6313799997</v>
      </c>
      <c r="AD753" s="6">
        <f>$O$753*$X$753</f>
        <v>5681908.0017799996</v>
      </c>
      <c r="AE753" s="6">
        <f>$K$753*$Y$753</f>
        <v>0</v>
      </c>
      <c r="AF753" s="6">
        <f ca="1">$M$753*$Z$753</f>
        <v>4162402.8595505287</v>
      </c>
      <c r="AG753" s="6">
        <f>$O$753*$AA$753</f>
        <v>6988265.1710426407</v>
      </c>
    </row>
    <row r="754" spans="1:33" ht="11.25" customHeight="1" x14ac:dyDescent="0.25">
      <c r="A754" s="4" t="s">
        <v>27</v>
      </c>
      <c r="B754" s="4" t="s">
        <v>35</v>
      </c>
      <c r="C754" s="4" t="s">
        <v>36</v>
      </c>
      <c r="D754" s="4" t="s">
        <v>45</v>
      </c>
      <c r="E754" s="4" t="s">
        <v>25</v>
      </c>
      <c r="F754" s="4" t="s">
        <v>25</v>
      </c>
      <c r="G754" s="4" t="s">
        <v>25</v>
      </c>
      <c r="H754" s="4" t="s">
        <v>38</v>
      </c>
      <c r="I754" s="5">
        <v>44409</v>
      </c>
      <c r="J754" s="6">
        <v>0</v>
      </c>
      <c r="K754" s="6">
        <v>0</v>
      </c>
      <c r="L754" s="6">
        <v>22808.315999999999</v>
      </c>
      <c r="M754" s="6">
        <v>22808.315999999999</v>
      </c>
      <c r="N754" s="6">
        <v>22808.315999999999</v>
      </c>
      <c r="O754" s="6">
        <v>22808.315999999999</v>
      </c>
      <c r="P754" s="6">
        <v>0</v>
      </c>
      <c r="Q754" s="4" t="s">
        <v>26</v>
      </c>
      <c r="R754" s="4">
        <v>0</v>
      </c>
      <c r="S754" s="6">
        <v>0</v>
      </c>
      <c r="T754" s="6">
        <v>19</v>
      </c>
      <c r="U754" s="6">
        <v>67</v>
      </c>
      <c r="V754" s="6">
        <f>IF(ISERROR(VLOOKUP($S$754,'TAR FIN'!$A$1:$O$95,15,0)),0,VLOOKUP($S$754,'TAR FIN'!$A$1:$O$95,15,0))</f>
        <v>0</v>
      </c>
      <c r="W754" s="6">
        <f>IF(ISERROR(VLOOKUP($T$754,'TAR FIN'!$A$1:$O$95,15,0)),0,VLOOKUP($T$754,'TAR FIN'!$A$1:$O$95,15,0))</f>
        <v>149.63</v>
      </c>
      <c r="X754" s="6">
        <f>IF(ISERROR(VLOOKUP($U$754,'TAR FIN'!$A$1:$O$95,15,0)),0,VLOOKUP($U$754,'TAR FIN'!$A$1:$O$95,15,0))</f>
        <v>230.03</v>
      </c>
      <c r="Y754" s="6"/>
      <c r="Z754" s="6">
        <f ca="1">('TUSD BE'!$AM$17+'TUSD BF'!$AM$17+'TUSD CVA'!$AM$17)*1</f>
        <v>168.51338132937991</v>
      </c>
      <c r="AA754" s="6">
        <f>('TE BE'!$AA$8+'TE BF'!$AA$8+'TE CVA'!$AA$8)*1</f>
        <v>282.91739971702214</v>
      </c>
      <c r="AB754" s="6">
        <f>$K$754*$V$754</f>
        <v>0</v>
      </c>
      <c r="AC754" s="6">
        <f>$M$754*$W$754</f>
        <v>3412808.3230799995</v>
      </c>
      <c r="AD754" s="6">
        <f>$O$754*$X$754</f>
        <v>5246596.9294799995</v>
      </c>
      <c r="AE754" s="6">
        <f>$K$754*$Y$754</f>
        <v>0</v>
      </c>
      <c r="AF754" s="6">
        <f ca="1">$M$754*$Z$754</f>
        <v>3843506.4515889967</v>
      </c>
      <c r="AG754" s="6">
        <f>$O$754*$AA$754</f>
        <v>6452869.454644151</v>
      </c>
    </row>
    <row r="755" spans="1:33" ht="11.25" customHeight="1" x14ac:dyDescent="0.25">
      <c r="A755" s="4" t="s">
        <v>28</v>
      </c>
      <c r="B755" s="4" t="s">
        <v>35</v>
      </c>
      <c r="C755" s="4" t="s">
        <v>36</v>
      </c>
      <c r="D755" s="4" t="s">
        <v>45</v>
      </c>
      <c r="E755" s="4" t="s">
        <v>25</v>
      </c>
      <c r="F755" s="4" t="s">
        <v>25</v>
      </c>
      <c r="G755" s="4" t="s">
        <v>25</v>
      </c>
      <c r="H755" s="4" t="s">
        <v>38</v>
      </c>
      <c r="I755" s="5">
        <v>44409</v>
      </c>
      <c r="J755" s="6">
        <v>0</v>
      </c>
      <c r="K755" s="6">
        <v>0</v>
      </c>
      <c r="L755" s="6">
        <v>1806.8689999999999</v>
      </c>
      <c r="M755" s="6">
        <v>1806.8689999999999</v>
      </c>
      <c r="N755" s="6">
        <v>1806.8689999999999</v>
      </c>
      <c r="O755" s="6">
        <v>1806.8689999999999</v>
      </c>
      <c r="P755" s="6">
        <v>0</v>
      </c>
      <c r="Q755" s="4" t="s">
        <v>26</v>
      </c>
      <c r="R755" s="4">
        <v>0</v>
      </c>
      <c r="S755" s="6">
        <v>0</v>
      </c>
      <c r="T755" s="6">
        <v>19</v>
      </c>
      <c r="U755" s="6">
        <v>67</v>
      </c>
      <c r="V755" s="6">
        <f>IF(ISERROR(VLOOKUP($S$755,'TAR FIN'!$A$1:$O$95,15,0)),0,VLOOKUP($S$755,'TAR FIN'!$A$1:$O$95,15,0))</f>
        <v>0</v>
      </c>
      <c r="W755" s="6">
        <f>IF(ISERROR(VLOOKUP($T$755,'TAR FIN'!$A$1:$O$95,15,0)),0,VLOOKUP($T$755,'TAR FIN'!$A$1:$O$95,15,0))</f>
        <v>149.63</v>
      </c>
      <c r="X755" s="6">
        <f>IF(ISERROR(VLOOKUP($U$755,'TAR FIN'!$A$1:$O$95,15,0)),0,VLOOKUP($U$755,'TAR FIN'!$A$1:$O$95,15,0))</f>
        <v>230.03</v>
      </c>
      <c r="Y755" s="6"/>
      <c r="Z755" s="6">
        <f ca="1">('TUSD BE'!$AM$17+'TUSD BF'!$AM$17+'TUSD CVA'!$AM$17)*1</f>
        <v>168.51338132937991</v>
      </c>
      <c r="AA755" s="6">
        <f>('TE BE'!$AA$8+'TE BF'!$AA$8+'TE CVA'!$AA$8)*1</f>
        <v>282.91739971702214</v>
      </c>
      <c r="AB755" s="6">
        <f>$K$755*$V$755</f>
        <v>0</v>
      </c>
      <c r="AC755" s="6">
        <f>$M$755*$W$755</f>
        <v>270361.80846999999</v>
      </c>
      <c r="AD755" s="6">
        <f>$O$755*$X$755</f>
        <v>415634.07607000001</v>
      </c>
      <c r="AE755" s="6">
        <f>$K$755*$Y$755</f>
        <v>0</v>
      </c>
      <c r="AF755" s="6">
        <f ca="1">$M$755*$Z$755</f>
        <v>304481.60480923532</v>
      </c>
      <c r="AG755" s="6">
        <f>$O$755*$AA$755</f>
        <v>511194.67910929606</v>
      </c>
    </row>
    <row r="756" spans="1:33" ht="11.25" customHeight="1" x14ac:dyDescent="0.25">
      <c r="A756" s="4" t="s">
        <v>30</v>
      </c>
      <c r="B756" s="4" t="s">
        <v>35</v>
      </c>
      <c r="C756" s="4" t="s">
        <v>36</v>
      </c>
      <c r="D756" s="4" t="s">
        <v>45</v>
      </c>
      <c r="E756" s="4" t="s">
        <v>25</v>
      </c>
      <c r="F756" s="4" t="s">
        <v>25</v>
      </c>
      <c r="G756" s="4" t="s">
        <v>25</v>
      </c>
      <c r="H756" s="4" t="s">
        <v>38</v>
      </c>
      <c r="I756" s="5">
        <v>44409</v>
      </c>
      <c r="J756" s="6">
        <v>0</v>
      </c>
      <c r="K756" s="6">
        <v>0</v>
      </c>
      <c r="L756" s="6">
        <v>905.57799999999997</v>
      </c>
      <c r="M756" s="6">
        <v>905.57799999999997</v>
      </c>
      <c r="N756" s="6">
        <v>905.57799999999997</v>
      </c>
      <c r="O756" s="6">
        <v>905.57799999999997</v>
      </c>
      <c r="P756" s="6">
        <v>0</v>
      </c>
      <c r="Q756" s="4" t="s">
        <v>26</v>
      </c>
      <c r="R756" s="4">
        <v>0</v>
      </c>
      <c r="S756" s="6">
        <v>0</v>
      </c>
      <c r="T756" s="6">
        <v>19</v>
      </c>
      <c r="U756" s="6">
        <v>67</v>
      </c>
      <c r="V756" s="6">
        <f>IF(ISERROR(VLOOKUP($S$756,'TAR FIN'!$A$1:$O$95,15,0)),0,VLOOKUP($S$756,'TAR FIN'!$A$1:$O$95,15,0))</f>
        <v>0</v>
      </c>
      <c r="W756" s="6">
        <f>IF(ISERROR(VLOOKUP($T$756,'TAR FIN'!$A$1:$O$95,15,0)),0,VLOOKUP($T$756,'TAR FIN'!$A$1:$O$95,15,0))</f>
        <v>149.63</v>
      </c>
      <c r="X756" s="6">
        <f>IF(ISERROR(VLOOKUP($U$756,'TAR FIN'!$A$1:$O$95,15,0)),0,VLOOKUP($U$756,'TAR FIN'!$A$1:$O$95,15,0))</f>
        <v>230.03</v>
      </c>
      <c r="Y756" s="6"/>
      <c r="Z756" s="6">
        <f ca="1">('TUSD BE'!$AM$17+'TUSD BF'!$AM$17+'TUSD CVA'!$AM$17)*1</f>
        <v>168.51338132937991</v>
      </c>
      <c r="AA756" s="6">
        <f>('TE BE'!$AA$8+'TE BF'!$AA$8+'TE CVA'!$AA$8)*1</f>
        <v>282.91739971702214</v>
      </c>
      <c r="AB756" s="6">
        <f>$K$756*$V$756</f>
        <v>0</v>
      </c>
      <c r="AC756" s="6">
        <f>$M$756*$W$756</f>
        <v>135501.63613999999</v>
      </c>
      <c r="AD756" s="6">
        <f>$O$756*$X$756</f>
        <v>208310.10733999999</v>
      </c>
      <c r="AE756" s="6">
        <f>$K$756*$Y$756</f>
        <v>0</v>
      </c>
      <c r="AF756" s="6">
        <f ca="1">$M$756*$Z$756</f>
        <v>152602.01083749719</v>
      </c>
      <c r="AG756" s="6">
        <f>$O$756*$AA$756</f>
        <v>256203.77300094147</v>
      </c>
    </row>
    <row r="757" spans="1:33" ht="11.25" customHeight="1" x14ac:dyDescent="0.25">
      <c r="A757" s="4" t="s">
        <v>30</v>
      </c>
      <c r="B757" s="4" t="s">
        <v>35</v>
      </c>
      <c r="C757" s="4" t="s">
        <v>36</v>
      </c>
      <c r="D757" s="4" t="s">
        <v>45</v>
      </c>
      <c r="E757" s="4" t="s">
        <v>25</v>
      </c>
      <c r="F757" s="4" t="s">
        <v>25</v>
      </c>
      <c r="G757" s="4" t="s">
        <v>25</v>
      </c>
      <c r="H757" s="4" t="s">
        <v>38</v>
      </c>
      <c r="I757" s="5">
        <v>44409</v>
      </c>
      <c r="J757" s="6">
        <v>0</v>
      </c>
      <c r="K757" s="6">
        <v>0</v>
      </c>
      <c r="L757" s="6">
        <v>-1E-3</v>
      </c>
      <c r="M757" s="6">
        <v>-1E-3</v>
      </c>
      <c r="N757" s="6">
        <v>-1E-3</v>
      </c>
      <c r="O757" s="6">
        <v>-1E-3</v>
      </c>
      <c r="P757" s="6">
        <v>0</v>
      </c>
      <c r="Q757" s="4" t="s">
        <v>26</v>
      </c>
      <c r="R757" s="4">
        <v>0</v>
      </c>
      <c r="S757" s="6">
        <v>0</v>
      </c>
      <c r="T757" s="6">
        <v>19</v>
      </c>
      <c r="U757" s="6">
        <v>67</v>
      </c>
      <c r="V757" s="6">
        <f>IF(ISERROR(VLOOKUP($S$757,'TAR FIN'!$A$1:$O$95,15,0)),0,VLOOKUP($S$757,'TAR FIN'!$A$1:$O$95,15,0))</f>
        <v>0</v>
      </c>
      <c r="W757" s="6">
        <f>IF(ISERROR(VLOOKUP($T$757,'TAR FIN'!$A$1:$O$95,15,0)),0,VLOOKUP($T$757,'TAR FIN'!$A$1:$O$95,15,0))</f>
        <v>149.63</v>
      </c>
      <c r="X757" s="6">
        <f>IF(ISERROR(VLOOKUP($U$757,'TAR FIN'!$A$1:$O$95,15,0)),0,VLOOKUP($U$757,'TAR FIN'!$A$1:$O$95,15,0))</f>
        <v>230.03</v>
      </c>
      <c r="Y757" s="6"/>
      <c r="Z757" s="6">
        <f ca="1">('TUSD BE'!$AM$17+'TUSD BF'!$AM$17+'TUSD CVA'!$AM$17)*1</f>
        <v>168.51338132937991</v>
      </c>
      <c r="AA757" s="6">
        <f>('TE BE'!$AA$8+'TE BF'!$AA$8+'TE CVA'!$AA$8)*1</f>
        <v>282.91739971702214</v>
      </c>
      <c r="AB757" s="6">
        <f>$K$757*$V$757</f>
        <v>0</v>
      </c>
      <c r="AC757" s="6">
        <f>$M$757*$W$757</f>
        <v>-0.14962999999999999</v>
      </c>
      <c r="AD757" s="6">
        <f>$O$757*$X$757</f>
        <v>-0.23003000000000001</v>
      </c>
      <c r="AE757" s="6">
        <f>$K$757*$Y$757</f>
        <v>0</v>
      </c>
      <c r="AF757" s="6">
        <f ca="1">$M$757*$Z$757</f>
        <v>-0.1685133813293799</v>
      </c>
      <c r="AG757" s="6">
        <f>$O$757*$AA$757</f>
        <v>-0.28291739971702212</v>
      </c>
    </row>
    <row r="758" spans="1:33" ht="11.25" customHeight="1" x14ac:dyDescent="0.25">
      <c r="A758" s="4" t="s">
        <v>21</v>
      </c>
      <c r="B758" s="4" t="s">
        <v>35</v>
      </c>
      <c r="C758" s="4" t="s">
        <v>36</v>
      </c>
      <c r="D758" s="4" t="s">
        <v>45</v>
      </c>
      <c r="E758" s="4" t="s">
        <v>25</v>
      </c>
      <c r="F758" s="4" t="s">
        <v>25</v>
      </c>
      <c r="G758" s="4" t="s">
        <v>25</v>
      </c>
      <c r="H758" s="4" t="s">
        <v>38</v>
      </c>
      <c r="I758" s="5">
        <v>44409</v>
      </c>
      <c r="J758" s="6">
        <v>0</v>
      </c>
      <c r="K758" s="6">
        <v>0</v>
      </c>
      <c r="L758" s="6">
        <v>127.48</v>
      </c>
      <c r="M758" s="6">
        <v>127.48</v>
      </c>
      <c r="N758" s="6">
        <v>0</v>
      </c>
      <c r="O758" s="6">
        <v>0</v>
      </c>
      <c r="P758" s="6">
        <v>0</v>
      </c>
      <c r="Q758" s="4" t="s">
        <v>60</v>
      </c>
      <c r="R758" s="4">
        <v>0</v>
      </c>
      <c r="S758" s="6">
        <v>0</v>
      </c>
      <c r="T758" s="6">
        <v>19</v>
      </c>
      <c r="U758" s="6">
        <v>0</v>
      </c>
      <c r="V758" s="6">
        <f>IF(ISERROR(VLOOKUP($S$758,'TAR FIN'!$A$1:$O$95,15,0)),0,VLOOKUP($S$758,'TAR FIN'!$A$1:$O$95,15,0))</f>
        <v>0</v>
      </c>
      <c r="W758" s="6">
        <f>IF(ISERROR(VLOOKUP($T$758,'TAR FIN'!$A$1:$O$95,15,0)),0,VLOOKUP($T$758,'TAR FIN'!$A$1:$O$95,15,0))</f>
        <v>149.63</v>
      </c>
      <c r="X758" s="6">
        <f>IF(ISERROR(VLOOKUP($U$758,'TAR FIN'!$A$1:$O$95,15,0)),0,VLOOKUP($U$758,'TAR FIN'!$A$1:$O$95,15,0))</f>
        <v>0</v>
      </c>
      <c r="Y758" s="6"/>
      <c r="Z758" s="6">
        <f ca="1">('TUSD BE'!$AM$17+'TUSD BF'!$AM$17+'TUSD CVA'!$AM$17)*1</f>
        <v>168.51338132937991</v>
      </c>
      <c r="AA758" s="6"/>
      <c r="AB758" s="6">
        <f>$K$758*$V$758</f>
        <v>0</v>
      </c>
      <c r="AC758" s="6">
        <f>$M$758*$W$758</f>
        <v>19074.832399999999</v>
      </c>
      <c r="AD758" s="6">
        <f>$O$758*$X$758</f>
        <v>0</v>
      </c>
      <c r="AE758" s="6">
        <f>$K$758*$Y$758</f>
        <v>0</v>
      </c>
      <c r="AF758" s="6">
        <f ca="1">$M$758*$Z$758</f>
        <v>21482.085851869353</v>
      </c>
      <c r="AG758" s="6">
        <f>$O$758*$AA$758</f>
        <v>0</v>
      </c>
    </row>
    <row r="759" spans="1:33" ht="11.25" customHeight="1" x14ac:dyDescent="0.25">
      <c r="A759" s="4" t="s">
        <v>21</v>
      </c>
      <c r="B759" s="4" t="s">
        <v>35</v>
      </c>
      <c r="C759" s="4" t="s">
        <v>36</v>
      </c>
      <c r="D759" s="4" t="s">
        <v>45</v>
      </c>
      <c r="E759" s="4" t="s">
        <v>25</v>
      </c>
      <c r="F759" s="4" t="s">
        <v>25</v>
      </c>
      <c r="G759" s="4" t="s">
        <v>25</v>
      </c>
      <c r="H759" s="4" t="s">
        <v>38</v>
      </c>
      <c r="I759" s="5">
        <v>44440</v>
      </c>
      <c r="J759" s="6">
        <v>0</v>
      </c>
      <c r="K759" s="6">
        <v>0</v>
      </c>
      <c r="L759" s="6">
        <v>24012.271000000001</v>
      </c>
      <c r="M759" s="6">
        <v>24012.271000000001</v>
      </c>
      <c r="N759" s="6">
        <v>24012.271000000001</v>
      </c>
      <c r="O759" s="6">
        <v>24012.271000000001</v>
      </c>
      <c r="P759" s="6">
        <v>0</v>
      </c>
      <c r="Q759" s="4" t="s">
        <v>26</v>
      </c>
      <c r="R759" s="4">
        <v>0</v>
      </c>
      <c r="S759" s="6">
        <v>0</v>
      </c>
      <c r="T759" s="6">
        <v>19</v>
      </c>
      <c r="U759" s="6">
        <v>67</v>
      </c>
      <c r="V759" s="6">
        <f>IF(ISERROR(VLOOKUP($S$759,'TAR FIN'!$A$1:$O$95,15,0)),0,VLOOKUP($S$759,'TAR FIN'!$A$1:$O$95,15,0))</f>
        <v>0</v>
      </c>
      <c r="W759" s="6">
        <f>IF(ISERROR(VLOOKUP($T$759,'TAR FIN'!$A$1:$O$95,15,0)),0,VLOOKUP($T$759,'TAR FIN'!$A$1:$O$95,15,0))</f>
        <v>149.63</v>
      </c>
      <c r="X759" s="6">
        <f>IF(ISERROR(VLOOKUP($U$759,'TAR FIN'!$A$1:$O$95,15,0)),0,VLOOKUP($U$759,'TAR FIN'!$A$1:$O$95,15,0))</f>
        <v>230.03</v>
      </c>
      <c r="Y759" s="6"/>
      <c r="Z759" s="6">
        <f ca="1">('TUSD BE'!$AM$17+'TUSD BF'!$AM$17+'TUSD CVA'!$AM$17)*1</f>
        <v>168.51338132937991</v>
      </c>
      <c r="AA759" s="6">
        <f>('TE BE'!$AA$8+'TE BF'!$AA$8+'TE CVA'!$AA$8)*1</f>
        <v>282.91739971702214</v>
      </c>
      <c r="AB759" s="6">
        <f>$K$759*$V$759</f>
        <v>0</v>
      </c>
      <c r="AC759" s="6">
        <f>$M$759*$W$759</f>
        <v>3592956.1097300001</v>
      </c>
      <c r="AD759" s="6">
        <f>$O$759*$X$759</f>
        <v>5523542.6981300004</v>
      </c>
      <c r="AE759" s="6">
        <f>$K$759*$Y$759</f>
        <v>0</v>
      </c>
      <c r="AF759" s="6">
        <f ca="1">$M$759*$Z$759</f>
        <v>4046388.9796074107</v>
      </c>
      <c r="AG759" s="6">
        <f>$O$759*$AA$759</f>
        <v>6793489.2726204591</v>
      </c>
    </row>
    <row r="760" spans="1:33" ht="11.25" customHeight="1" x14ac:dyDescent="0.25">
      <c r="A760" s="4" t="s">
        <v>27</v>
      </c>
      <c r="B760" s="4" t="s">
        <v>35</v>
      </c>
      <c r="C760" s="4" t="s">
        <v>36</v>
      </c>
      <c r="D760" s="4" t="s">
        <v>45</v>
      </c>
      <c r="E760" s="4" t="s">
        <v>25</v>
      </c>
      <c r="F760" s="4" t="s">
        <v>25</v>
      </c>
      <c r="G760" s="4" t="s">
        <v>25</v>
      </c>
      <c r="H760" s="4" t="s">
        <v>38</v>
      </c>
      <c r="I760" s="5">
        <v>44440</v>
      </c>
      <c r="J760" s="6">
        <v>0</v>
      </c>
      <c r="K760" s="6">
        <v>0</v>
      </c>
      <c r="L760" s="6">
        <v>-39.322000000000003</v>
      </c>
      <c r="M760" s="6">
        <v>-39.322000000000003</v>
      </c>
      <c r="N760" s="6">
        <v>-39.322000000000003</v>
      </c>
      <c r="O760" s="6">
        <v>-39.322000000000003</v>
      </c>
      <c r="P760" s="6">
        <v>0</v>
      </c>
      <c r="Q760" s="4" t="s">
        <v>26</v>
      </c>
      <c r="R760" s="4">
        <v>0</v>
      </c>
      <c r="S760" s="6">
        <v>0</v>
      </c>
      <c r="T760" s="6">
        <v>19</v>
      </c>
      <c r="U760" s="6">
        <v>67</v>
      </c>
      <c r="V760" s="6">
        <f>IF(ISERROR(VLOOKUP($S$760,'TAR FIN'!$A$1:$O$95,15,0)),0,VLOOKUP($S$760,'TAR FIN'!$A$1:$O$95,15,0))</f>
        <v>0</v>
      </c>
      <c r="W760" s="6">
        <f>IF(ISERROR(VLOOKUP($T$760,'TAR FIN'!$A$1:$O$95,15,0)),0,VLOOKUP($T$760,'TAR FIN'!$A$1:$O$95,15,0))</f>
        <v>149.63</v>
      </c>
      <c r="X760" s="6">
        <f>IF(ISERROR(VLOOKUP($U$760,'TAR FIN'!$A$1:$O$95,15,0)),0,VLOOKUP($U$760,'TAR FIN'!$A$1:$O$95,15,0))</f>
        <v>230.03</v>
      </c>
      <c r="Y760" s="6"/>
      <c r="Z760" s="6">
        <f ca="1">('TUSD BE'!$AM$17+'TUSD BF'!$AM$17+'TUSD CVA'!$AM$17)*1</f>
        <v>168.51338132937991</v>
      </c>
      <c r="AA760" s="6">
        <f>('TE BE'!$AA$8+'TE BF'!$AA$8+'TE CVA'!$AA$8)*1</f>
        <v>282.91739971702214</v>
      </c>
      <c r="AB760" s="6">
        <f>$K$760*$V$760</f>
        <v>0</v>
      </c>
      <c r="AC760" s="6">
        <f>$M$760*$W$760</f>
        <v>-5883.7508600000001</v>
      </c>
      <c r="AD760" s="6">
        <f>$O$760*$X$760</f>
        <v>-9045.2396600000011</v>
      </c>
      <c r="AE760" s="6">
        <f>$K$760*$Y$760</f>
        <v>0</v>
      </c>
      <c r="AF760" s="6">
        <f ca="1">$M$760*$Z$760</f>
        <v>-6626.2831806338772</v>
      </c>
      <c r="AG760" s="6">
        <f>$O$760*$AA$760</f>
        <v>-11124.877991672745</v>
      </c>
    </row>
    <row r="761" spans="1:33" ht="11.25" customHeight="1" x14ac:dyDescent="0.25">
      <c r="A761" s="4" t="s">
        <v>28</v>
      </c>
      <c r="B761" s="4" t="s">
        <v>35</v>
      </c>
      <c r="C761" s="4" t="s">
        <v>36</v>
      </c>
      <c r="D761" s="4" t="s">
        <v>45</v>
      </c>
      <c r="E761" s="4" t="s">
        <v>25</v>
      </c>
      <c r="F761" s="4" t="s">
        <v>25</v>
      </c>
      <c r="G761" s="4" t="s">
        <v>25</v>
      </c>
      <c r="H761" s="4" t="s">
        <v>38</v>
      </c>
      <c r="I761" s="5">
        <v>44440</v>
      </c>
      <c r="J761" s="6">
        <v>0</v>
      </c>
      <c r="K761" s="6">
        <v>0</v>
      </c>
      <c r="L761" s="6">
        <v>1914.962</v>
      </c>
      <c r="M761" s="6">
        <v>1914.962</v>
      </c>
      <c r="N761" s="6">
        <v>1914.962</v>
      </c>
      <c r="O761" s="6">
        <v>1914.962</v>
      </c>
      <c r="P761" s="6">
        <v>0</v>
      </c>
      <c r="Q761" s="4" t="s">
        <v>26</v>
      </c>
      <c r="R761" s="4">
        <v>0</v>
      </c>
      <c r="S761" s="6">
        <v>0</v>
      </c>
      <c r="T761" s="6">
        <v>19</v>
      </c>
      <c r="U761" s="6">
        <v>67</v>
      </c>
      <c r="V761" s="6">
        <f>IF(ISERROR(VLOOKUP($S$761,'TAR FIN'!$A$1:$O$95,15,0)),0,VLOOKUP($S$761,'TAR FIN'!$A$1:$O$95,15,0))</f>
        <v>0</v>
      </c>
      <c r="W761" s="6">
        <f>IF(ISERROR(VLOOKUP($T$761,'TAR FIN'!$A$1:$O$95,15,0)),0,VLOOKUP($T$761,'TAR FIN'!$A$1:$O$95,15,0))</f>
        <v>149.63</v>
      </c>
      <c r="X761" s="6">
        <f>IF(ISERROR(VLOOKUP($U$761,'TAR FIN'!$A$1:$O$95,15,0)),0,VLOOKUP($U$761,'TAR FIN'!$A$1:$O$95,15,0))</f>
        <v>230.03</v>
      </c>
      <c r="Y761" s="6"/>
      <c r="Z761" s="6">
        <f ca="1">('TUSD BE'!$AM$17+'TUSD BF'!$AM$17+'TUSD CVA'!$AM$17)*1</f>
        <v>168.51338132937991</v>
      </c>
      <c r="AA761" s="6">
        <f>('TE BE'!$AA$8+'TE BF'!$AA$8+'TE CVA'!$AA$8)*1</f>
        <v>282.91739971702214</v>
      </c>
      <c r="AB761" s="6">
        <f>$K$761*$V$761</f>
        <v>0</v>
      </c>
      <c r="AC761" s="6">
        <f>$M$761*$W$761</f>
        <v>286535.76406000002</v>
      </c>
      <c r="AD761" s="6">
        <f>$O$761*$X$761</f>
        <v>440498.70886000001</v>
      </c>
      <c r="AE761" s="6">
        <f>$K$761*$Y$761</f>
        <v>0</v>
      </c>
      <c r="AF761" s="6">
        <f ca="1">$M$761*$Z$761</f>
        <v>322696.72173727199</v>
      </c>
      <c r="AG761" s="6">
        <f>$O$761*$AA$761</f>
        <v>541776.06959690817</v>
      </c>
    </row>
    <row r="762" spans="1:33" ht="11.25" customHeight="1" x14ac:dyDescent="0.25">
      <c r="A762" s="4" t="s">
        <v>30</v>
      </c>
      <c r="B762" s="4" t="s">
        <v>35</v>
      </c>
      <c r="C762" s="4" t="s">
        <v>36</v>
      </c>
      <c r="D762" s="4" t="s">
        <v>45</v>
      </c>
      <c r="E762" s="4" t="s">
        <v>25</v>
      </c>
      <c r="F762" s="4" t="s">
        <v>25</v>
      </c>
      <c r="G762" s="4" t="s">
        <v>25</v>
      </c>
      <c r="H762" s="4" t="s">
        <v>38</v>
      </c>
      <c r="I762" s="5">
        <v>44440</v>
      </c>
      <c r="J762" s="6">
        <v>0</v>
      </c>
      <c r="K762" s="6">
        <v>0</v>
      </c>
      <c r="L762" s="6">
        <v>910.15099999999995</v>
      </c>
      <c r="M762" s="6">
        <v>910.15099999999995</v>
      </c>
      <c r="N762" s="6">
        <v>910.15099999999995</v>
      </c>
      <c r="O762" s="6">
        <v>910.15099999999995</v>
      </c>
      <c r="P762" s="6">
        <v>0</v>
      </c>
      <c r="Q762" s="4" t="s">
        <v>26</v>
      </c>
      <c r="R762" s="4">
        <v>0</v>
      </c>
      <c r="S762" s="6">
        <v>0</v>
      </c>
      <c r="T762" s="6">
        <v>19</v>
      </c>
      <c r="U762" s="6">
        <v>67</v>
      </c>
      <c r="V762" s="6">
        <f>IF(ISERROR(VLOOKUP($S$762,'TAR FIN'!$A$1:$O$95,15,0)),0,VLOOKUP($S$762,'TAR FIN'!$A$1:$O$95,15,0))</f>
        <v>0</v>
      </c>
      <c r="W762" s="6">
        <f>IF(ISERROR(VLOOKUP($T$762,'TAR FIN'!$A$1:$O$95,15,0)),0,VLOOKUP($T$762,'TAR FIN'!$A$1:$O$95,15,0))</f>
        <v>149.63</v>
      </c>
      <c r="X762" s="6">
        <f>IF(ISERROR(VLOOKUP($U$762,'TAR FIN'!$A$1:$O$95,15,0)),0,VLOOKUP($U$762,'TAR FIN'!$A$1:$O$95,15,0))</f>
        <v>230.03</v>
      </c>
      <c r="Y762" s="6"/>
      <c r="Z762" s="6">
        <f ca="1">('TUSD BE'!$AM$17+'TUSD BF'!$AM$17+'TUSD CVA'!$AM$17)*1</f>
        <v>168.51338132937991</v>
      </c>
      <c r="AA762" s="6">
        <f>('TE BE'!$AA$8+'TE BF'!$AA$8+'TE CVA'!$AA$8)*1</f>
        <v>282.91739971702214</v>
      </c>
      <c r="AB762" s="6">
        <f>$K$762*$V$762</f>
        <v>0</v>
      </c>
      <c r="AC762" s="6">
        <f>$M$762*$W$762</f>
        <v>136185.89413</v>
      </c>
      <c r="AD762" s="6">
        <f>$O$762*$X$762</f>
        <v>209362.03453</v>
      </c>
      <c r="AE762" s="6">
        <f>$K$762*$Y$762</f>
        <v>0</v>
      </c>
      <c r="AF762" s="6">
        <f ca="1">$M$762*$Z$762</f>
        <v>153372.62253031644</v>
      </c>
      <c r="AG762" s="6">
        <f>$O$762*$AA$762</f>
        <v>257497.5542698474</v>
      </c>
    </row>
    <row r="763" spans="1:33" ht="11.25" customHeight="1" x14ac:dyDescent="0.25">
      <c r="A763" s="4" t="s">
        <v>21</v>
      </c>
      <c r="B763" s="4" t="s">
        <v>35</v>
      </c>
      <c r="C763" s="4" t="s">
        <v>36</v>
      </c>
      <c r="D763" s="4" t="s">
        <v>45</v>
      </c>
      <c r="E763" s="4" t="s">
        <v>25</v>
      </c>
      <c r="F763" s="4" t="s">
        <v>25</v>
      </c>
      <c r="G763" s="4" t="s">
        <v>25</v>
      </c>
      <c r="H763" s="4" t="s">
        <v>38</v>
      </c>
      <c r="I763" s="5">
        <v>44440</v>
      </c>
      <c r="J763" s="6">
        <v>0</v>
      </c>
      <c r="K763" s="6">
        <v>0</v>
      </c>
      <c r="L763" s="6">
        <v>128.90899999999999</v>
      </c>
      <c r="M763" s="6">
        <v>128.90899999999999</v>
      </c>
      <c r="N763" s="6">
        <v>0</v>
      </c>
      <c r="O763" s="6">
        <v>0</v>
      </c>
      <c r="P763" s="6">
        <v>0</v>
      </c>
      <c r="Q763" s="4" t="s">
        <v>60</v>
      </c>
      <c r="R763" s="4">
        <v>0</v>
      </c>
      <c r="S763" s="6">
        <v>0</v>
      </c>
      <c r="T763" s="6">
        <v>19</v>
      </c>
      <c r="U763" s="6">
        <v>0</v>
      </c>
      <c r="V763" s="6">
        <f>IF(ISERROR(VLOOKUP($S$763,'TAR FIN'!$A$1:$O$95,15,0)),0,VLOOKUP($S$763,'TAR FIN'!$A$1:$O$95,15,0))</f>
        <v>0</v>
      </c>
      <c r="W763" s="6">
        <f>IF(ISERROR(VLOOKUP($T$763,'TAR FIN'!$A$1:$O$95,15,0)),0,VLOOKUP($T$763,'TAR FIN'!$A$1:$O$95,15,0))</f>
        <v>149.63</v>
      </c>
      <c r="X763" s="6">
        <f>IF(ISERROR(VLOOKUP($U$763,'TAR FIN'!$A$1:$O$95,15,0)),0,VLOOKUP($U$763,'TAR FIN'!$A$1:$O$95,15,0))</f>
        <v>0</v>
      </c>
      <c r="Y763" s="6"/>
      <c r="Z763" s="6">
        <f ca="1">('TUSD BE'!$AM$17+'TUSD BF'!$AM$17+'TUSD CVA'!$AM$17)*1</f>
        <v>168.51338132937991</v>
      </c>
      <c r="AA763" s="6"/>
      <c r="AB763" s="6">
        <f>$K$763*$V$763</f>
        <v>0</v>
      </c>
      <c r="AC763" s="6">
        <f>$M$763*$W$763</f>
        <v>19288.65367</v>
      </c>
      <c r="AD763" s="6">
        <f>$O$763*$X$763</f>
        <v>0</v>
      </c>
      <c r="AE763" s="6">
        <f>$K$763*$Y$763</f>
        <v>0</v>
      </c>
      <c r="AF763" s="6">
        <f ca="1">$M$763*$Z$763</f>
        <v>21722.891473789034</v>
      </c>
      <c r="AG763" s="6">
        <f>$O$763*$AA$763</f>
        <v>0</v>
      </c>
    </row>
    <row r="764" spans="1:33" ht="11.25" customHeight="1" x14ac:dyDescent="0.25">
      <c r="A764" s="4" t="s">
        <v>59</v>
      </c>
      <c r="B764" s="4" t="s">
        <v>35</v>
      </c>
      <c r="C764" s="4" t="s">
        <v>36</v>
      </c>
      <c r="D764" s="4" t="s">
        <v>45</v>
      </c>
      <c r="E764" s="4" t="s">
        <v>25</v>
      </c>
      <c r="F764" s="4" t="s">
        <v>25</v>
      </c>
      <c r="G764" s="4" t="s">
        <v>25</v>
      </c>
      <c r="H764" s="4" t="s">
        <v>38</v>
      </c>
      <c r="I764" s="5">
        <v>44470</v>
      </c>
      <c r="J764" s="6">
        <v>0</v>
      </c>
      <c r="K764" s="6">
        <v>0</v>
      </c>
      <c r="L764" s="6">
        <v>24012.271000000001</v>
      </c>
      <c r="M764" s="6">
        <v>24012.271000000001</v>
      </c>
      <c r="N764" s="6">
        <v>24012.271000000001</v>
      </c>
      <c r="O764" s="6">
        <v>24012.271000000001</v>
      </c>
      <c r="P764" s="6">
        <v>0</v>
      </c>
      <c r="Q764" s="4" t="s">
        <v>26</v>
      </c>
      <c r="R764" s="4">
        <v>0</v>
      </c>
      <c r="S764" s="6">
        <v>0</v>
      </c>
      <c r="T764" s="6">
        <v>19</v>
      </c>
      <c r="U764" s="6">
        <v>67</v>
      </c>
      <c r="V764" s="6">
        <f>IF(ISERROR(VLOOKUP($S$764,'TAR FIN'!$A$1:$O$95,15,0)),0,VLOOKUP($S$764,'TAR FIN'!$A$1:$O$95,15,0))</f>
        <v>0</v>
      </c>
      <c r="W764" s="6">
        <f>IF(ISERROR(VLOOKUP($T$764,'TAR FIN'!$A$1:$O$95,15,0)),0,VLOOKUP($T$764,'TAR FIN'!$A$1:$O$95,15,0))</f>
        <v>149.63</v>
      </c>
      <c r="X764" s="6">
        <f>IF(ISERROR(VLOOKUP($U$764,'TAR FIN'!$A$1:$O$95,15,0)),0,VLOOKUP($U$764,'TAR FIN'!$A$1:$O$95,15,0))</f>
        <v>230.03</v>
      </c>
      <c r="Y764" s="6"/>
      <c r="Z764" s="6">
        <f ca="1">('TUSD BE'!$AM$17+'TUSD BF'!$AM$17+'TUSD CVA'!$AM$17)*1</f>
        <v>168.51338132937991</v>
      </c>
      <c r="AA764" s="6">
        <f>('TE BE'!$AA$8+'TE BF'!$AA$8+'TE CVA'!$AA$8)*1</f>
        <v>282.91739971702214</v>
      </c>
      <c r="AB764" s="6">
        <f>$K$764*$V$764</f>
        <v>0</v>
      </c>
      <c r="AC764" s="6">
        <f>$M$764*$W$764</f>
        <v>3592956.1097300001</v>
      </c>
      <c r="AD764" s="6">
        <f>$O$764*$X$764</f>
        <v>5523542.6981300004</v>
      </c>
      <c r="AE764" s="6">
        <f>$K$764*$Y$764</f>
        <v>0</v>
      </c>
      <c r="AF764" s="6">
        <f ca="1">$M$764*$Z$764</f>
        <v>4046388.9796074107</v>
      </c>
      <c r="AG764" s="6">
        <f>$O$764*$AA$764</f>
        <v>6793489.2726204591</v>
      </c>
    </row>
    <row r="765" spans="1:33" ht="11.25" customHeight="1" x14ac:dyDescent="0.25">
      <c r="A765" s="4" t="s">
        <v>59</v>
      </c>
      <c r="B765" s="4" t="s">
        <v>35</v>
      </c>
      <c r="C765" s="4" t="s">
        <v>36</v>
      </c>
      <c r="D765" s="4" t="s">
        <v>45</v>
      </c>
      <c r="E765" s="4" t="s">
        <v>25</v>
      </c>
      <c r="F765" s="4" t="s">
        <v>25</v>
      </c>
      <c r="G765" s="4" t="s">
        <v>25</v>
      </c>
      <c r="H765" s="4" t="s">
        <v>38</v>
      </c>
      <c r="I765" s="5">
        <v>44470</v>
      </c>
      <c r="J765" s="6">
        <v>0</v>
      </c>
      <c r="K765" s="6">
        <v>0</v>
      </c>
      <c r="L765" s="6">
        <v>-39.322000000000003</v>
      </c>
      <c r="M765" s="6">
        <v>-39.322000000000003</v>
      </c>
      <c r="N765" s="6">
        <v>-39.322000000000003</v>
      </c>
      <c r="O765" s="6">
        <v>-39.322000000000003</v>
      </c>
      <c r="P765" s="6">
        <v>0</v>
      </c>
      <c r="Q765" s="4" t="s">
        <v>26</v>
      </c>
      <c r="R765" s="4">
        <v>0</v>
      </c>
      <c r="S765" s="6">
        <v>0</v>
      </c>
      <c r="T765" s="6">
        <v>19</v>
      </c>
      <c r="U765" s="6">
        <v>67</v>
      </c>
      <c r="V765" s="6">
        <f>IF(ISERROR(VLOOKUP($S$765,'TAR FIN'!$A$1:$O$95,15,0)),0,VLOOKUP($S$765,'TAR FIN'!$A$1:$O$95,15,0))</f>
        <v>0</v>
      </c>
      <c r="W765" s="6">
        <f>IF(ISERROR(VLOOKUP($T$765,'TAR FIN'!$A$1:$O$95,15,0)),0,VLOOKUP($T$765,'TAR FIN'!$A$1:$O$95,15,0))</f>
        <v>149.63</v>
      </c>
      <c r="X765" s="6">
        <f>IF(ISERROR(VLOOKUP($U$765,'TAR FIN'!$A$1:$O$95,15,0)),0,VLOOKUP($U$765,'TAR FIN'!$A$1:$O$95,15,0))</f>
        <v>230.03</v>
      </c>
      <c r="Y765" s="6"/>
      <c r="Z765" s="6">
        <f ca="1">('TUSD BE'!$AM$17+'TUSD BF'!$AM$17+'TUSD CVA'!$AM$17)*1</f>
        <v>168.51338132937991</v>
      </c>
      <c r="AA765" s="6">
        <f>('TE BE'!$AA$8+'TE BF'!$AA$8+'TE CVA'!$AA$8)*1</f>
        <v>282.91739971702214</v>
      </c>
      <c r="AB765" s="6">
        <f>$K$765*$V$765</f>
        <v>0</v>
      </c>
      <c r="AC765" s="6">
        <f>$M$765*$W$765</f>
        <v>-5883.7508600000001</v>
      </c>
      <c r="AD765" s="6">
        <f>$O$765*$X$765</f>
        <v>-9045.2396600000011</v>
      </c>
      <c r="AE765" s="6">
        <f>$K$765*$Y$765</f>
        <v>0</v>
      </c>
      <c r="AF765" s="6">
        <f ca="1">$M$765*$Z$765</f>
        <v>-6626.2831806338772</v>
      </c>
      <c r="AG765" s="6">
        <f>$O$765*$AA$765</f>
        <v>-11124.877991672745</v>
      </c>
    </row>
    <row r="766" spans="1:33" ht="11.25" customHeight="1" x14ac:dyDescent="0.25">
      <c r="A766" s="4" t="s">
        <v>59</v>
      </c>
      <c r="B766" s="4" t="s">
        <v>35</v>
      </c>
      <c r="C766" s="4" t="s">
        <v>36</v>
      </c>
      <c r="D766" s="4" t="s">
        <v>45</v>
      </c>
      <c r="E766" s="4" t="s">
        <v>25</v>
      </c>
      <c r="F766" s="4" t="s">
        <v>25</v>
      </c>
      <c r="G766" s="4" t="s">
        <v>25</v>
      </c>
      <c r="H766" s="4" t="s">
        <v>38</v>
      </c>
      <c r="I766" s="5">
        <v>44470</v>
      </c>
      <c r="J766" s="6">
        <v>0</v>
      </c>
      <c r="K766" s="6">
        <v>0</v>
      </c>
      <c r="L766" s="6">
        <v>1914.962</v>
      </c>
      <c r="M766" s="6">
        <v>1914.962</v>
      </c>
      <c r="N766" s="6">
        <v>1914.962</v>
      </c>
      <c r="O766" s="6">
        <v>1914.962</v>
      </c>
      <c r="P766" s="6">
        <v>0</v>
      </c>
      <c r="Q766" s="4" t="s">
        <v>26</v>
      </c>
      <c r="R766" s="4">
        <v>0</v>
      </c>
      <c r="S766" s="6">
        <v>0</v>
      </c>
      <c r="T766" s="6">
        <v>19</v>
      </c>
      <c r="U766" s="6">
        <v>67</v>
      </c>
      <c r="V766" s="6">
        <f>IF(ISERROR(VLOOKUP($S$766,'TAR FIN'!$A$1:$O$95,15,0)),0,VLOOKUP($S$766,'TAR FIN'!$A$1:$O$95,15,0))</f>
        <v>0</v>
      </c>
      <c r="W766" s="6">
        <f>IF(ISERROR(VLOOKUP($T$766,'TAR FIN'!$A$1:$O$95,15,0)),0,VLOOKUP($T$766,'TAR FIN'!$A$1:$O$95,15,0))</f>
        <v>149.63</v>
      </c>
      <c r="X766" s="6">
        <f>IF(ISERROR(VLOOKUP($U$766,'TAR FIN'!$A$1:$O$95,15,0)),0,VLOOKUP($U$766,'TAR FIN'!$A$1:$O$95,15,0))</f>
        <v>230.03</v>
      </c>
      <c r="Y766" s="6"/>
      <c r="Z766" s="6">
        <f ca="1">('TUSD BE'!$AM$17+'TUSD BF'!$AM$17+'TUSD CVA'!$AM$17)*1</f>
        <v>168.51338132937991</v>
      </c>
      <c r="AA766" s="6">
        <f>('TE BE'!$AA$8+'TE BF'!$AA$8+'TE CVA'!$AA$8)*1</f>
        <v>282.91739971702214</v>
      </c>
      <c r="AB766" s="6">
        <f>$K$766*$V$766</f>
        <v>0</v>
      </c>
      <c r="AC766" s="6">
        <f>$M$766*$W$766</f>
        <v>286535.76406000002</v>
      </c>
      <c r="AD766" s="6">
        <f>$O$766*$X$766</f>
        <v>440498.70886000001</v>
      </c>
      <c r="AE766" s="6">
        <f>$K$766*$Y$766</f>
        <v>0</v>
      </c>
      <c r="AF766" s="6">
        <f ca="1">$M$766*$Z$766</f>
        <v>322696.72173727199</v>
      </c>
      <c r="AG766" s="6">
        <f>$O$766*$AA$766</f>
        <v>541776.06959690817</v>
      </c>
    </row>
    <row r="767" spans="1:33" ht="11.25" customHeight="1" x14ac:dyDescent="0.25">
      <c r="A767" s="4" t="s">
        <v>59</v>
      </c>
      <c r="B767" s="4" t="s">
        <v>35</v>
      </c>
      <c r="C767" s="4" t="s">
        <v>36</v>
      </c>
      <c r="D767" s="4" t="s">
        <v>45</v>
      </c>
      <c r="E767" s="4" t="s">
        <v>25</v>
      </c>
      <c r="F767" s="4" t="s">
        <v>25</v>
      </c>
      <c r="G767" s="4" t="s">
        <v>25</v>
      </c>
      <c r="H767" s="4" t="s">
        <v>38</v>
      </c>
      <c r="I767" s="5">
        <v>44470</v>
      </c>
      <c r="J767" s="6">
        <v>0</v>
      </c>
      <c r="K767" s="6">
        <v>0</v>
      </c>
      <c r="L767" s="6">
        <v>910.15099999999995</v>
      </c>
      <c r="M767" s="6">
        <v>910.15099999999995</v>
      </c>
      <c r="N767" s="6">
        <v>910.15099999999995</v>
      </c>
      <c r="O767" s="6">
        <v>910.15099999999995</v>
      </c>
      <c r="P767" s="6">
        <v>0</v>
      </c>
      <c r="Q767" s="4" t="s">
        <v>26</v>
      </c>
      <c r="R767" s="4">
        <v>0</v>
      </c>
      <c r="S767" s="6">
        <v>0</v>
      </c>
      <c r="T767" s="6">
        <v>19</v>
      </c>
      <c r="U767" s="6">
        <v>67</v>
      </c>
      <c r="V767" s="6">
        <f>IF(ISERROR(VLOOKUP($S$767,'TAR FIN'!$A$1:$O$95,15,0)),0,VLOOKUP($S$767,'TAR FIN'!$A$1:$O$95,15,0))</f>
        <v>0</v>
      </c>
      <c r="W767" s="6">
        <f>IF(ISERROR(VLOOKUP($T$767,'TAR FIN'!$A$1:$O$95,15,0)),0,VLOOKUP($T$767,'TAR FIN'!$A$1:$O$95,15,0))</f>
        <v>149.63</v>
      </c>
      <c r="X767" s="6">
        <f>IF(ISERROR(VLOOKUP($U$767,'TAR FIN'!$A$1:$O$95,15,0)),0,VLOOKUP($U$767,'TAR FIN'!$A$1:$O$95,15,0))</f>
        <v>230.03</v>
      </c>
      <c r="Y767" s="6"/>
      <c r="Z767" s="6">
        <f ca="1">('TUSD BE'!$AM$17+'TUSD BF'!$AM$17+'TUSD CVA'!$AM$17)*1</f>
        <v>168.51338132937991</v>
      </c>
      <c r="AA767" s="6">
        <f>('TE BE'!$AA$8+'TE BF'!$AA$8+'TE CVA'!$AA$8)*1</f>
        <v>282.91739971702214</v>
      </c>
      <c r="AB767" s="6">
        <f>$K$767*$V$767</f>
        <v>0</v>
      </c>
      <c r="AC767" s="6">
        <f>$M$767*$W$767</f>
        <v>136185.89413</v>
      </c>
      <c r="AD767" s="6">
        <f>$O$767*$X$767</f>
        <v>209362.03453</v>
      </c>
      <c r="AE767" s="6">
        <f>$K$767*$Y$767</f>
        <v>0</v>
      </c>
      <c r="AF767" s="6">
        <f ca="1">$M$767*$Z$767</f>
        <v>153372.62253031644</v>
      </c>
      <c r="AG767" s="6">
        <f>$O$767*$AA$767</f>
        <v>257497.5542698474</v>
      </c>
    </row>
    <row r="768" spans="1:33" ht="11.25" customHeight="1" x14ac:dyDescent="0.25">
      <c r="A768" s="4" t="s">
        <v>59</v>
      </c>
      <c r="B768" s="4" t="s">
        <v>35</v>
      </c>
      <c r="C768" s="4" t="s">
        <v>36</v>
      </c>
      <c r="D768" s="4" t="s">
        <v>45</v>
      </c>
      <c r="E768" s="4" t="s">
        <v>25</v>
      </c>
      <c r="F768" s="4" t="s">
        <v>25</v>
      </c>
      <c r="G768" s="4" t="s">
        <v>25</v>
      </c>
      <c r="H768" s="4" t="s">
        <v>38</v>
      </c>
      <c r="I768" s="5">
        <v>44470</v>
      </c>
      <c r="J768" s="6">
        <v>0</v>
      </c>
      <c r="K768" s="6">
        <v>0</v>
      </c>
      <c r="L768" s="6">
        <v>128.90899999999999</v>
      </c>
      <c r="M768" s="6">
        <v>128.90899999999999</v>
      </c>
      <c r="N768" s="6">
        <v>0</v>
      </c>
      <c r="O768" s="6">
        <v>0</v>
      </c>
      <c r="P768" s="6">
        <v>0</v>
      </c>
      <c r="Q768" s="4" t="s">
        <v>60</v>
      </c>
      <c r="R768" s="4">
        <v>0</v>
      </c>
      <c r="S768" s="6">
        <v>0</v>
      </c>
      <c r="T768" s="6">
        <v>19</v>
      </c>
      <c r="U768" s="6">
        <v>0</v>
      </c>
      <c r="V768" s="6">
        <f>IF(ISERROR(VLOOKUP($S$768,'TAR FIN'!$A$1:$O$95,15,0)),0,VLOOKUP($S$768,'TAR FIN'!$A$1:$O$95,15,0))</f>
        <v>0</v>
      </c>
      <c r="W768" s="6">
        <f>IF(ISERROR(VLOOKUP($T$768,'TAR FIN'!$A$1:$O$95,15,0)),0,VLOOKUP($T$768,'TAR FIN'!$A$1:$O$95,15,0))</f>
        <v>149.63</v>
      </c>
      <c r="X768" s="6">
        <f>IF(ISERROR(VLOOKUP($U$768,'TAR FIN'!$A$1:$O$95,15,0)),0,VLOOKUP($U$768,'TAR FIN'!$A$1:$O$95,15,0))</f>
        <v>0</v>
      </c>
      <c r="Y768" s="6"/>
      <c r="Z768" s="6">
        <f ca="1">('TUSD BE'!$AM$17+'TUSD BF'!$AM$17+'TUSD CVA'!$AM$17)*1</f>
        <v>168.51338132937991</v>
      </c>
      <c r="AA768" s="6"/>
      <c r="AB768" s="6">
        <f>$K$768*$V$768</f>
        <v>0</v>
      </c>
      <c r="AC768" s="6">
        <f>$M$768*$W$768</f>
        <v>19288.65367</v>
      </c>
      <c r="AD768" s="6">
        <f>$O$768*$X$768</f>
        <v>0</v>
      </c>
      <c r="AE768" s="6">
        <f>$K$768*$Y$768</f>
        <v>0</v>
      </c>
      <c r="AF768" s="6">
        <f ca="1">$M$768*$Z$768</f>
        <v>21722.891473789034</v>
      </c>
      <c r="AG768" s="6">
        <f>$O$768*$AA$768</f>
        <v>0</v>
      </c>
    </row>
    <row r="769" spans="1:33" ht="11.25" customHeight="1" x14ac:dyDescent="0.25">
      <c r="A769" s="4" t="s">
        <v>21</v>
      </c>
      <c r="B769" s="4" t="s">
        <v>35</v>
      </c>
      <c r="C769" s="4" t="s">
        <v>36</v>
      </c>
      <c r="D769" s="4" t="s">
        <v>45</v>
      </c>
      <c r="E769" s="4" t="s">
        <v>25</v>
      </c>
      <c r="F769" s="4" t="s">
        <v>25</v>
      </c>
      <c r="G769" s="4" t="s">
        <v>25</v>
      </c>
      <c r="H769" s="4" t="s">
        <v>25</v>
      </c>
      <c r="I769" s="5">
        <v>44136</v>
      </c>
      <c r="J769" s="6">
        <v>138718</v>
      </c>
      <c r="K769" s="6">
        <v>138718</v>
      </c>
      <c r="L769" s="6">
        <v>0</v>
      </c>
      <c r="M769" s="6">
        <v>0</v>
      </c>
      <c r="N769" s="6">
        <v>0</v>
      </c>
      <c r="O769" s="6">
        <v>0</v>
      </c>
      <c r="P769" s="6">
        <v>844</v>
      </c>
      <c r="Q769" s="4" t="s">
        <v>26</v>
      </c>
      <c r="R769" s="4">
        <v>0</v>
      </c>
      <c r="S769" s="6">
        <v>23</v>
      </c>
      <c r="T769" s="6">
        <v>0</v>
      </c>
      <c r="U769" s="6">
        <v>0</v>
      </c>
      <c r="V769" s="6">
        <f>IF(ISERROR(VLOOKUP($S$769,'TAR FIN'!$A$1:$O$95,15,0)),0,VLOOKUP($S$769,'TAR FIN'!$A$1:$O$95,15,0))</f>
        <v>28.57</v>
      </c>
      <c r="W769" s="6">
        <f>IF(ISERROR(VLOOKUP($T$769,'TAR FIN'!$A$1:$O$95,15,0)),0,VLOOKUP($T$769,'TAR FIN'!$A$1:$O$95,15,0))</f>
        <v>0</v>
      </c>
      <c r="X769" s="6">
        <f>IF(ISERROR(VLOOKUP($U$769,'TAR FIN'!$A$1:$O$95,15,0)),0,VLOOKUP($U$769,'TAR FIN'!$A$1:$O$95,15,0))</f>
        <v>0</v>
      </c>
      <c r="Y769" s="6">
        <f ca="1">('TUSD BE'!$AM$15+'TUSD BF'!$AM$15+'TUSD CVA'!$AM$15)*1</f>
        <v>31.93064187172984</v>
      </c>
      <c r="Z769" s="6"/>
      <c r="AA769" s="6"/>
      <c r="AB769" s="6">
        <f>$K$769*$V$769</f>
        <v>3963173.2600000002</v>
      </c>
      <c r="AC769" s="6">
        <f>$M$769*$W$769</f>
        <v>0</v>
      </c>
      <c r="AD769" s="6">
        <f>$O$769*$X$769</f>
        <v>0</v>
      </c>
      <c r="AE769" s="6">
        <f ca="1">$K$769*$Y$769</f>
        <v>4429354.7791626202</v>
      </c>
      <c r="AF769" s="6">
        <f>$M$769*$Z$769</f>
        <v>0</v>
      </c>
      <c r="AG769" s="6">
        <f>$O$769*$AA$769</f>
        <v>0</v>
      </c>
    </row>
    <row r="770" spans="1:33" ht="11.25" customHeight="1" x14ac:dyDescent="0.25">
      <c r="A770" s="4" t="s">
        <v>27</v>
      </c>
      <c r="B770" s="4" t="s">
        <v>35</v>
      </c>
      <c r="C770" s="4" t="s">
        <v>36</v>
      </c>
      <c r="D770" s="4" t="s">
        <v>45</v>
      </c>
      <c r="E770" s="4" t="s">
        <v>25</v>
      </c>
      <c r="F770" s="4" t="s">
        <v>25</v>
      </c>
      <c r="G770" s="4" t="s">
        <v>25</v>
      </c>
      <c r="H770" s="4" t="s">
        <v>25</v>
      </c>
      <c r="I770" s="5">
        <v>44136</v>
      </c>
      <c r="J770" s="6">
        <v>-231</v>
      </c>
      <c r="K770" s="6">
        <v>-231</v>
      </c>
      <c r="L770" s="6">
        <v>0</v>
      </c>
      <c r="M770" s="6">
        <v>0</v>
      </c>
      <c r="N770" s="6">
        <v>0</v>
      </c>
      <c r="O770" s="6">
        <v>0</v>
      </c>
      <c r="P770" s="6">
        <v>-1</v>
      </c>
      <c r="Q770" s="4" t="s">
        <v>26</v>
      </c>
      <c r="R770" s="4">
        <v>0</v>
      </c>
      <c r="S770" s="6">
        <v>23</v>
      </c>
      <c r="T770" s="6">
        <v>0</v>
      </c>
      <c r="U770" s="6">
        <v>0</v>
      </c>
      <c r="V770" s="6">
        <f>IF(ISERROR(VLOOKUP($S$770,'TAR FIN'!$A$1:$O$95,15,0)),0,VLOOKUP($S$770,'TAR FIN'!$A$1:$O$95,15,0))</f>
        <v>28.57</v>
      </c>
      <c r="W770" s="6">
        <f>IF(ISERROR(VLOOKUP($T$770,'TAR FIN'!$A$1:$O$95,15,0)),0,VLOOKUP($T$770,'TAR FIN'!$A$1:$O$95,15,0))</f>
        <v>0</v>
      </c>
      <c r="X770" s="6">
        <f>IF(ISERROR(VLOOKUP($U$770,'TAR FIN'!$A$1:$O$95,15,0)),0,VLOOKUP($U$770,'TAR FIN'!$A$1:$O$95,15,0))</f>
        <v>0</v>
      </c>
      <c r="Y770" s="6">
        <f ca="1">('TUSD BE'!$AM$15+'TUSD BF'!$AM$15+'TUSD CVA'!$AM$15)*1</f>
        <v>31.93064187172984</v>
      </c>
      <c r="Z770" s="6"/>
      <c r="AA770" s="6"/>
      <c r="AB770" s="6">
        <f>$K$770*$V$770</f>
        <v>-6599.67</v>
      </c>
      <c r="AC770" s="6">
        <f>$M$770*$W$770</f>
        <v>0</v>
      </c>
      <c r="AD770" s="6">
        <f>$O$770*$X$770</f>
        <v>0</v>
      </c>
      <c r="AE770" s="6">
        <f ca="1">$K$770*$Y$770</f>
        <v>-7375.9782723695935</v>
      </c>
      <c r="AF770" s="6">
        <f>$M$770*$Z$770</f>
        <v>0</v>
      </c>
      <c r="AG770" s="6">
        <f>$O$770*$AA$770</f>
        <v>0</v>
      </c>
    </row>
    <row r="771" spans="1:33" ht="11.25" customHeight="1" x14ac:dyDescent="0.25">
      <c r="A771" s="4" t="s">
        <v>28</v>
      </c>
      <c r="B771" s="4" t="s">
        <v>35</v>
      </c>
      <c r="C771" s="4" t="s">
        <v>36</v>
      </c>
      <c r="D771" s="4" t="s">
        <v>45</v>
      </c>
      <c r="E771" s="4" t="s">
        <v>25</v>
      </c>
      <c r="F771" s="4" t="s">
        <v>25</v>
      </c>
      <c r="G771" s="4" t="s">
        <v>25</v>
      </c>
      <c r="H771" s="4" t="s">
        <v>25</v>
      </c>
      <c r="I771" s="5">
        <v>44136</v>
      </c>
      <c r="J771" s="6">
        <v>9121</v>
      </c>
      <c r="K771" s="6">
        <v>9121</v>
      </c>
      <c r="L771" s="6">
        <v>0</v>
      </c>
      <c r="M771" s="6">
        <v>0</v>
      </c>
      <c r="N771" s="6">
        <v>0</v>
      </c>
      <c r="O771" s="6">
        <v>0</v>
      </c>
      <c r="P771" s="6">
        <v>110</v>
      </c>
      <c r="Q771" s="4" t="s">
        <v>26</v>
      </c>
      <c r="R771" s="4">
        <v>0</v>
      </c>
      <c r="S771" s="6">
        <v>23</v>
      </c>
      <c r="T771" s="6">
        <v>0</v>
      </c>
      <c r="U771" s="6">
        <v>0</v>
      </c>
      <c r="V771" s="6">
        <f>IF(ISERROR(VLOOKUP($S$771,'TAR FIN'!$A$1:$O$95,15,0)),0,VLOOKUP($S$771,'TAR FIN'!$A$1:$O$95,15,0))</f>
        <v>28.57</v>
      </c>
      <c r="W771" s="6">
        <f>IF(ISERROR(VLOOKUP($T$771,'TAR FIN'!$A$1:$O$95,15,0)),0,VLOOKUP($T$771,'TAR FIN'!$A$1:$O$95,15,0))</f>
        <v>0</v>
      </c>
      <c r="X771" s="6">
        <f>IF(ISERROR(VLOOKUP($U$771,'TAR FIN'!$A$1:$O$95,15,0)),0,VLOOKUP($U$771,'TAR FIN'!$A$1:$O$95,15,0))</f>
        <v>0</v>
      </c>
      <c r="Y771" s="6">
        <f ca="1">('TUSD BE'!$AM$15+'TUSD BF'!$AM$15+'TUSD CVA'!$AM$15)*1</f>
        <v>31.93064187172984</v>
      </c>
      <c r="Z771" s="6"/>
      <c r="AA771" s="6"/>
      <c r="AB771" s="6">
        <f>$K$771*$V$771</f>
        <v>260586.97</v>
      </c>
      <c r="AC771" s="6">
        <f>$M$771*$W$771</f>
        <v>0</v>
      </c>
      <c r="AD771" s="6">
        <f>$O$771*$X$771</f>
        <v>0</v>
      </c>
      <c r="AE771" s="6">
        <f ca="1">$K$771*$Y$771</f>
        <v>291239.38451204787</v>
      </c>
      <c r="AF771" s="6">
        <f>$M$771*$Z$771</f>
        <v>0</v>
      </c>
      <c r="AG771" s="6">
        <f>$O$771*$AA$771</f>
        <v>0</v>
      </c>
    </row>
    <row r="772" spans="1:33" ht="11.25" customHeight="1" x14ac:dyDescent="0.25">
      <c r="A772" s="4" t="s">
        <v>30</v>
      </c>
      <c r="B772" s="4" t="s">
        <v>35</v>
      </c>
      <c r="C772" s="4" t="s">
        <v>36</v>
      </c>
      <c r="D772" s="4" t="s">
        <v>45</v>
      </c>
      <c r="E772" s="4" t="s">
        <v>25</v>
      </c>
      <c r="F772" s="4" t="s">
        <v>25</v>
      </c>
      <c r="G772" s="4" t="s">
        <v>25</v>
      </c>
      <c r="H772" s="4" t="s">
        <v>25</v>
      </c>
      <c r="I772" s="5">
        <v>44136</v>
      </c>
      <c r="J772" s="6">
        <v>5781</v>
      </c>
      <c r="K772" s="6">
        <v>5781</v>
      </c>
      <c r="L772" s="6">
        <v>0</v>
      </c>
      <c r="M772" s="6">
        <v>0</v>
      </c>
      <c r="N772" s="6">
        <v>0</v>
      </c>
      <c r="O772" s="6">
        <v>0</v>
      </c>
      <c r="P772" s="6">
        <v>29</v>
      </c>
      <c r="Q772" s="4" t="s">
        <v>26</v>
      </c>
      <c r="R772" s="4">
        <v>0</v>
      </c>
      <c r="S772" s="6">
        <v>23</v>
      </c>
      <c r="T772" s="6">
        <v>0</v>
      </c>
      <c r="U772" s="6">
        <v>0</v>
      </c>
      <c r="V772" s="6">
        <f>IF(ISERROR(VLOOKUP($S$772,'TAR FIN'!$A$1:$O$95,15,0)),0,VLOOKUP($S$772,'TAR FIN'!$A$1:$O$95,15,0))</f>
        <v>28.57</v>
      </c>
      <c r="W772" s="6">
        <f>IF(ISERROR(VLOOKUP($T$772,'TAR FIN'!$A$1:$O$95,15,0)),0,VLOOKUP($T$772,'TAR FIN'!$A$1:$O$95,15,0))</f>
        <v>0</v>
      </c>
      <c r="X772" s="6">
        <f>IF(ISERROR(VLOOKUP($U$772,'TAR FIN'!$A$1:$O$95,15,0)),0,VLOOKUP($U$772,'TAR FIN'!$A$1:$O$95,15,0))</f>
        <v>0</v>
      </c>
      <c r="Y772" s="6">
        <f ca="1">('TUSD BE'!$AM$15+'TUSD BF'!$AM$15+'TUSD CVA'!$AM$15)*1</f>
        <v>31.93064187172984</v>
      </c>
      <c r="Z772" s="6"/>
      <c r="AA772" s="6"/>
      <c r="AB772" s="6">
        <f>$K$772*$V$772</f>
        <v>165163.17000000001</v>
      </c>
      <c r="AC772" s="6">
        <f>$M$772*$W$772</f>
        <v>0</v>
      </c>
      <c r="AD772" s="6">
        <f>$O$772*$X$772</f>
        <v>0</v>
      </c>
      <c r="AE772" s="6">
        <f ca="1">$K$772*$Y$772</f>
        <v>184591.0406604702</v>
      </c>
      <c r="AF772" s="6">
        <f>$M$772*$Z$772</f>
        <v>0</v>
      </c>
      <c r="AG772" s="6">
        <f>$O$772*$AA$772</f>
        <v>0</v>
      </c>
    </row>
    <row r="773" spans="1:33" ht="11.25" customHeight="1" x14ac:dyDescent="0.25">
      <c r="A773" s="4" t="s">
        <v>21</v>
      </c>
      <c r="B773" s="4" t="s">
        <v>35</v>
      </c>
      <c r="C773" s="4" t="s">
        <v>36</v>
      </c>
      <c r="D773" s="4" t="s">
        <v>45</v>
      </c>
      <c r="E773" s="4" t="s">
        <v>25</v>
      </c>
      <c r="F773" s="4" t="s">
        <v>25</v>
      </c>
      <c r="G773" s="4" t="s">
        <v>25</v>
      </c>
      <c r="H773" s="4" t="s">
        <v>25</v>
      </c>
      <c r="I773" s="5">
        <v>44136</v>
      </c>
      <c r="J773" s="6">
        <v>295</v>
      </c>
      <c r="K773" s="6">
        <v>295</v>
      </c>
      <c r="L773" s="6">
        <v>0</v>
      </c>
      <c r="M773" s="6">
        <v>0</v>
      </c>
      <c r="N773" s="6">
        <v>0</v>
      </c>
      <c r="O773" s="6">
        <v>0</v>
      </c>
      <c r="P773" s="6">
        <v>1</v>
      </c>
      <c r="Q773" s="4" t="s">
        <v>60</v>
      </c>
      <c r="R773" s="4">
        <v>0</v>
      </c>
      <c r="S773" s="6">
        <v>23</v>
      </c>
      <c r="T773" s="6">
        <v>0</v>
      </c>
      <c r="U773" s="6">
        <v>0</v>
      </c>
      <c r="V773" s="6">
        <f>IF(ISERROR(VLOOKUP($S$773,'TAR FIN'!$A$1:$O$95,15,0)),0,VLOOKUP($S$773,'TAR FIN'!$A$1:$O$95,15,0))</f>
        <v>28.57</v>
      </c>
      <c r="W773" s="6">
        <f>IF(ISERROR(VLOOKUP($T$773,'TAR FIN'!$A$1:$O$95,15,0)),0,VLOOKUP($T$773,'TAR FIN'!$A$1:$O$95,15,0))</f>
        <v>0</v>
      </c>
      <c r="X773" s="6">
        <f>IF(ISERROR(VLOOKUP($U$773,'TAR FIN'!$A$1:$O$95,15,0)),0,VLOOKUP($U$773,'TAR FIN'!$A$1:$O$95,15,0))</f>
        <v>0</v>
      </c>
      <c r="Y773" s="6">
        <f ca="1">('TUSD BE'!$AM$15+'TUSD BF'!$AM$15+'TUSD CVA'!$AM$15)*1</f>
        <v>31.93064187172984</v>
      </c>
      <c r="Z773" s="6"/>
      <c r="AA773" s="6"/>
      <c r="AB773" s="6">
        <f>$K$773*$V$773</f>
        <v>8428.15</v>
      </c>
      <c r="AC773" s="6">
        <f>$M$773*$W$773</f>
        <v>0</v>
      </c>
      <c r="AD773" s="6">
        <f>$O$773*$X$773</f>
        <v>0</v>
      </c>
      <c r="AE773" s="6">
        <f ca="1">$K$773*$Y$773</f>
        <v>9419.5393521603037</v>
      </c>
      <c r="AF773" s="6">
        <f>$M$773*$Z$773</f>
        <v>0</v>
      </c>
      <c r="AG773" s="6">
        <f>$O$773*$AA$773</f>
        <v>0</v>
      </c>
    </row>
    <row r="774" spans="1:33" ht="11.25" customHeight="1" x14ac:dyDescent="0.25">
      <c r="A774" s="4" t="s">
        <v>21</v>
      </c>
      <c r="B774" s="4" t="s">
        <v>35</v>
      </c>
      <c r="C774" s="4" t="s">
        <v>36</v>
      </c>
      <c r="D774" s="4" t="s">
        <v>45</v>
      </c>
      <c r="E774" s="4" t="s">
        <v>25</v>
      </c>
      <c r="F774" s="4" t="s">
        <v>25</v>
      </c>
      <c r="G774" s="4" t="s">
        <v>25</v>
      </c>
      <c r="H774" s="4" t="s">
        <v>25</v>
      </c>
      <c r="I774" s="5">
        <v>44166</v>
      </c>
      <c r="J774" s="6">
        <v>135147</v>
      </c>
      <c r="K774" s="6">
        <v>135147</v>
      </c>
      <c r="L774" s="6">
        <v>0</v>
      </c>
      <c r="M774" s="6">
        <v>0</v>
      </c>
      <c r="N774" s="6">
        <v>0</v>
      </c>
      <c r="O774" s="6">
        <v>0</v>
      </c>
      <c r="P774" s="6">
        <v>847</v>
      </c>
      <c r="Q774" s="4" t="s">
        <v>26</v>
      </c>
      <c r="R774" s="4">
        <v>0</v>
      </c>
      <c r="S774" s="6">
        <v>23</v>
      </c>
      <c r="T774" s="6">
        <v>0</v>
      </c>
      <c r="U774" s="6">
        <v>0</v>
      </c>
      <c r="V774" s="6">
        <f>IF(ISERROR(VLOOKUP($S$774,'TAR FIN'!$A$1:$O$95,15,0)),0,VLOOKUP($S$774,'TAR FIN'!$A$1:$O$95,15,0))</f>
        <v>28.57</v>
      </c>
      <c r="W774" s="6">
        <f>IF(ISERROR(VLOOKUP($T$774,'TAR FIN'!$A$1:$O$95,15,0)),0,VLOOKUP($T$774,'TAR FIN'!$A$1:$O$95,15,0))</f>
        <v>0</v>
      </c>
      <c r="X774" s="6">
        <f>IF(ISERROR(VLOOKUP($U$774,'TAR FIN'!$A$1:$O$95,15,0)),0,VLOOKUP($U$774,'TAR FIN'!$A$1:$O$95,15,0))</f>
        <v>0</v>
      </c>
      <c r="Y774" s="6">
        <f ca="1">('TUSD BE'!$AM$15+'TUSD BF'!$AM$15+'TUSD CVA'!$AM$15)*1</f>
        <v>31.93064187172984</v>
      </c>
      <c r="Z774" s="6"/>
      <c r="AA774" s="6"/>
      <c r="AB774" s="6">
        <f>$K$774*$V$774</f>
        <v>3861149.79</v>
      </c>
      <c r="AC774" s="6">
        <f>$M$774*$W$774</f>
        <v>0</v>
      </c>
      <c r="AD774" s="6">
        <f>$O$774*$X$774</f>
        <v>0</v>
      </c>
      <c r="AE774" s="6">
        <f ca="1">$K$774*$Y$774</f>
        <v>4315330.4570386726</v>
      </c>
      <c r="AF774" s="6">
        <f>$M$774*$Z$774</f>
        <v>0</v>
      </c>
      <c r="AG774" s="6">
        <f>$O$774*$AA$774</f>
        <v>0</v>
      </c>
    </row>
    <row r="775" spans="1:33" ht="11.25" customHeight="1" x14ac:dyDescent="0.25">
      <c r="A775" s="4" t="s">
        <v>27</v>
      </c>
      <c r="B775" s="4" t="s">
        <v>35</v>
      </c>
      <c r="C775" s="4" t="s">
        <v>36</v>
      </c>
      <c r="D775" s="4" t="s">
        <v>45</v>
      </c>
      <c r="E775" s="4" t="s">
        <v>25</v>
      </c>
      <c r="F775" s="4" t="s">
        <v>25</v>
      </c>
      <c r="G775" s="4" t="s">
        <v>25</v>
      </c>
      <c r="H775" s="4" t="s">
        <v>25</v>
      </c>
      <c r="I775" s="5">
        <v>44166</v>
      </c>
      <c r="J775" s="6">
        <v>-6756</v>
      </c>
      <c r="K775" s="6">
        <v>-6756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4" t="s">
        <v>26</v>
      </c>
      <c r="R775" s="4">
        <v>0</v>
      </c>
      <c r="S775" s="6">
        <v>23</v>
      </c>
      <c r="T775" s="6">
        <v>0</v>
      </c>
      <c r="U775" s="6">
        <v>0</v>
      </c>
      <c r="V775" s="6">
        <f>IF(ISERROR(VLOOKUP($S$775,'TAR FIN'!$A$1:$O$95,15,0)),0,VLOOKUP($S$775,'TAR FIN'!$A$1:$O$95,15,0))</f>
        <v>28.57</v>
      </c>
      <c r="W775" s="6">
        <f>IF(ISERROR(VLOOKUP($T$775,'TAR FIN'!$A$1:$O$95,15,0)),0,VLOOKUP($T$775,'TAR FIN'!$A$1:$O$95,15,0))</f>
        <v>0</v>
      </c>
      <c r="X775" s="6">
        <f>IF(ISERROR(VLOOKUP($U$775,'TAR FIN'!$A$1:$O$95,15,0)),0,VLOOKUP($U$775,'TAR FIN'!$A$1:$O$95,15,0))</f>
        <v>0</v>
      </c>
      <c r="Y775" s="6">
        <f ca="1">('TUSD BE'!$AM$15+'TUSD BF'!$AM$15+'TUSD CVA'!$AM$15)*1</f>
        <v>31.93064187172984</v>
      </c>
      <c r="Z775" s="6"/>
      <c r="AA775" s="6"/>
      <c r="AB775" s="6">
        <f>$K$775*$V$775</f>
        <v>-193018.92</v>
      </c>
      <c r="AC775" s="6">
        <f>$M$775*$W$775</f>
        <v>0</v>
      </c>
      <c r="AD775" s="6">
        <f>$O$775*$X$775</f>
        <v>0</v>
      </c>
      <c r="AE775" s="6">
        <f ca="1">$K$775*$Y$775</f>
        <v>-215723.41648540681</v>
      </c>
      <c r="AF775" s="6">
        <f>$M$775*$Z$775</f>
        <v>0</v>
      </c>
      <c r="AG775" s="6">
        <f>$O$775*$AA$775</f>
        <v>0</v>
      </c>
    </row>
    <row r="776" spans="1:33" ht="11.25" customHeight="1" x14ac:dyDescent="0.25">
      <c r="A776" s="4" t="s">
        <v>28</v>
      </c>
      <c r="B776" s="4" t="s">
        <v>35</v>
      </c>
      <c r="C776" s="4" t="s">
        <v>36</v>
      </c>
      <c r="D776" s="4" t="s">
        <v>45</v>
      </c>
      <c r="E776" s="4" t="s">
        <v>25</v>
      </c>
      <c r="F776" s="4" t="s">
        <v>25</v>
      </c>
      <c r="G776" s="4" t="s">
        <v>25</v>
      </c>
      <c r="H776" s="4" t="s">
        <v>25</v>
      </c>
      <c r="I776" s="5">
        <v>44166</v>
      </c>
      <c r="J776" s="6">
        <v>9253</v>
      </c>
      <c r="K776" s="6">
        <v>9253</v>
      </c>
      <c r="L776" s="6">
        <v>0</v>
      </c>
      <c r="M776" s="6">
        <v>0</v>
      </c>
      <c r="N776" s="6">
        <v>0</v>
      </c>
      <c r="O776" s="6">
        <v>0</v>
      </c>
      <c r="P776" s="6">
        <v>111</v>
      </c>
      <c r="Q776" s="4" t="s">
        <v>26</v>
      </c>
      <c r="R776" s="4">
        <v>0</v>
      </c>
      <c r="S776" s="6">
        <v>23</v>
      </c>
      <c r="T776" s="6">
        <v>0</v>
      </c>
      <c r="U776" s="6">
        <v>0</v>
      </c>
      <c r="V776" s="6">
        <f>IF(ISERROR(VLOOKUP($S$776,'TAR FIN'!$A$1:$O$95,15,0)),0,VLOOKUP($S$776,'TAR FIN'!$A$1:$O$95,15,0))</f>
        <v>28.57</v>
      </c>
      <c r="W776" s="6">
        <f>IF(ISERROR(VLOOKUP($T$776,'TAR FIN'!$A$1:$O$95,15,0)),0,VLOOKUP($T$776,'TAR FIN'!$A$1:$O$95,15,0))</f>
        <v>0</v>
      </c>
      <c r="X776" s="6">
        <f>IF(ISERROR(VLOOKUP($U$776,'TAR FIN'!$A$1:$O$95,15,0)),0,VLOOKUP($U$776,'TAR FIN'!$A$1:$O$95,15,0))</f>
        <v>0</v>
      </c>
      <c r="Y776" s="6">
        <f ca="1">('TUSD BE'!$AM$15+'TUSD BF'!$AM$15+'TUSD CVA'!$AM$15)*1</f>
        <v>31.93064187172984</v>
      </c>
      <c r="Z776" s="6"/>
      <c r="AA776" s="6"/>
      <c r="AB776" s="6">
        <f>$K$776*$V$776</f>
        <v>264358.21000000002</v>
      </c>
      <c r="AC776" s="6">
        <f>$M$776*$W$776</f>
        <v>0</v>
      </c>
      <c r="AD776" s="6">
        <f>$O$776*$X$776</f>
        <v>0</v>
      </c>
      <c r="AE776" s="6">
        <f ca="1">$K$776*$Y$776</f>
        <v>295454.22923911619</v>
      </c>
      <c r="AF776" s="6">
        <f>$M$776*$Z$776</f>
        <v>0</v>
      </c>
      <c r="AG776" s="6">
        <f>$O$776*$AA$776</f>
        <v>0</v>
      </c>
    </row>
    <row r="777" spans="1:33" ht="11.25" customHeight="1" x14ac:dyDescent="0.25">
      <c r="A777" s="4" t="s">
        <v>30</v>
      </c>
      <c r="B777" s="4" t="s">
        <v>35</v>
      </c>
      <c r="C777" s="4" t="s">
        <v>36</v>
      </c>
      <c r="D777" s="4" t="s">
        <v>45</v>
      </c>
      <c r="E777" s="4" t="s">
        <v>25</v>
      </c>
      <c r="F777" s="4" t="s">
        <v>25</v>
      </c>
      <c r="G777" s="4" t="s">
        <v>25</v>
      </c>
      <c r="H777" s="4" t="s">
        <v>25</v>
      </c>
      <c r="I777" s="5">
        <v>44166</v>
      </c>
      <c r="J777" s="6">
        <v>6097</v>
      </c>
      <c r="K777" s="6">
        <v>6097</v>
      </c>
      <c r="L777" s="6">
        <v>0</v>
      </c>
      <c r="M777" s="6">
        <v>0</v>
      </c>
      <c r="N777" s="6">
        <v>0</v>
      </c>
      <c r="O777" s="6">
        <v>0</v>
      </c>
      <c r="P777" s="6">
        <v>32</v>
      </c>
      <c r="Q777" s="4" t="s">
        <v>26</v>
      </c>
      <c r="R777" s="4">
        <v>0</v>
      </c>
      <c r="S777" s="6">
        <v>23</v>
      </c>
      <c r="T777" s="6">
        <v>0</v>
      </c>
      <c r="U777" s="6">
        <v>0</v>
      </c>
      <c r="V777" s="6">
        <f>IF(ISERROR(VLOOKUP($S$777,'TAR FIN'!$A$1:$O$95,15,0)),0,VLOOKUP($S$777,'TAR FIN'!$A$1:$O$95,15,0))</f>
        <v>28.57</v>
      </c>
      <c r="W777" s="6">
        <f>IF(ISERROR(VLOOKUP($T$777,'TAR FIN'!$A$1:$O$95,15,0)),0,VLOOKUP($T$777,'TAR FIN'!$A$1:$O$95,15,0))</f>
        <v>0</v>
      </c>
      <c r="X777" s="6">
        <f>IF(ISERROR(VLOOKUP($U$777,'TAR FIN'!$A$1:$O$95,15,0)),0,VLOOKUP($U$777,'TAR FIN'!$A$1:$O$95,15,0))</f>
        <v>0</v>
      </c>
      <c r="Y777" s="6">
        <f ca="1">('TUSD BE'!$AM$15+'TUSD BF'!$AM$15+'TUSD CVA'!$AM$15)*1</f>
        <v>31.93064187172984</v>
      </c>
      <c r="Z777" s="6"/>
      <c r="AA777" s="6"/>
      <c r="AB777" s="6">
        <f>$K$777*$V$777</f>
        <v>174191.29</v>
      </c>
      <c r="AC777" s="6">
        <f>$M$777*$W$777</f>
        <v>0</v>
      </c>
      <c r="AD777" s="6">
        <f>$O$777*$X$777</f>
        <v>0</v>
      </c>
      <c r="AE777" s="6">
        <f ca="1">$K$777*$Y$777</f>
        <v>194681.12349193683</v>
      </c>
      <c r="AF777" s="6">
        <f>$M$777*$Z$777</f>
        <v>0</v>
      </c>
      <c r="AG777" s="6">
        <f>$O$777*$AA$777</f>
        <v>0</v>
      </c>
    </row>
    <row r="778" spans="1:33" ht="11.25" customHeight="1" x14ac:dyDescent="0.25">
      <c r="A778" s="4" t="s">
        <v>21</v>
      </c>
      <c r="B778" s="4" t="s">
        <v>35</v>
      </c>
      <c r="C778" s="4" t="s">
        <v>36</v>
      </c>
      <c r="D778" s="4" t="s">
        <v>45</v>
      </c>
      <c r="E778" s="4" t="s">
        <v>25</v>
      </c>
      <c r="F778" s="4" t="s">
        <v>25</v>
      </c>
      <c r="G778" s="4" t="s">
        <v>25</v>
      </c>
      <c r="H778" s="4" t="s">
        <v>25</v>
      </c>
      <c r="I778" s="5">
        <v>44166</v>
      </c>
      <c r="J778" s="6">
        <v>2165</v>
      </c>
      <c r="K778" s="6">
        <v>2165</v>
      </c>
      <c r="L778" s="6">
        <v>0</v>
      </c>
      <c r="M778" s="6">
        <v>0</v>
      </c>
      <c r="N778" s="6">
        <v>0</v>
      </c>
      <c r="O778" s="6">
        <v>0</v>
      </c>
      <c r="P778" s="6">
        <v>3</v>
      </c>
      <c r="Q778" s="4" t="s">
        <v>60</v>
      </c>
      <c r="R778" s="4">
        <v>0</v>
      </c>
      <c r="S778" s="6">
        <v>23</v>
      </c>
      <c r="T778" s="6">
        <v>0</v>
      </c>
      <c r="U778" s="6">
        <v>0</v>
      </c>
      <c r="V778" s="6">
        <f>IF(ISERROR(VLOOKUP($S$778,'TAR FIN'!$A$1:$O$95,15,0)),0,VLOOKUP($S$778,'TAR FIN'!$A$1:$O$95,15,0))</f>
        <v>28.57</v>
      </c>
      <c r="W778" s="6">
        <f>IF(ISERROR(VLOOKUP($T$778,'TAR FIN'!$A$1:$O$95,15,0)),0,VLOOKUP($T$778,'TAR FIN'!$A$1:$O$95,15,0))</f>
        <v>0</v>
      </c>
      <c r="X778" s="6">
        <f>IF(ISERROR(VLOOKUP($U$778,'TAR FIN'!$A$1:$O$95,15,0)),0,VLOOKUP($U$778,'TAR FIN'!$A$1:$O$95,15,0))</f>
        <v>0</v>
      </c>
      <c r="Y778" s="6">
        <f ca="1">('TUSD BE'!$AM$15+'TUSD BF'!$AM$15+'TUSD CVA'!$AM$15)*1</f>
        <v>31.93064187172984</v>
      </c>
      <c r="Z778" s="6"/>
      <c r="AA778" s="6"/>
      <c r="AB778" s="6">
        <f>$K$778*$V$778</f>
        <v>61854.05</v>
      </c>
      <c r="AC778" s="6">
        <f>$M$778*$W$778</f>
        <v>0</v>
      </c>
      <c r="AD778" s="6">
        <f>$O$778*$X$778</f>
        <v>0</v>
      </c>
      <c r="AE778" s="6">
        <f ca="1">$K$778*$Y$778</f>
        <v>69129.839652295108</v>
      </c>
      <c r="AF778" s="6">
        <f>$M$778*$Z$778</f>
        <v>0</v>
      </c>
      <c r="AG778" s="6">
        <f>$O$778*$AA$778</f>
        <v>0</v>
      </c>
    </row>
    <row r="779" spans="1:33" ht="11.25" customHeight="1" x14ac:dyDescent="0.25">
      <c r="A779" s="4" t="s">
        <v>21</v>
      </c>
      <c r="B779" s="4" t="s">
        <v>35</v>
      </c>
      <c r="C779" s="4" t="s">
        <v>36</v>
      </c>
      <c r="D779" s="4" t="s">
        <v>45</v>
      </c>
      <c r="E779" s="4" t="s">
        <v>25</v>
      </c>
      <c r="F779" s="4" t="s">
        <v>25</v>
      </c>
      <c r="G779" s="4" t="s">
        <v>25</v>
      </c>
      <c r="H779" s="4" t="s">
        <v>25</v>
      </c>
      <c r="I779" s="5">
        <v>44197</v>
      </c>
      <c r="J779" s="6">
        <v>133860</v>
      </c>
      <c r="K779" s="6">
        <v>133860</v>
      </c>
      <c r="L779" s="6">
        <v>0</v>
      </c>
      <c r="M779" s="6">
        <v>0</v>
      </c>
      <c r="N779" s="6">
        <v>0</v>
      </c>
      <c r="O779" s="6">
        <v>0</v>
      </c>
      <c r="P779" s="6">
        <v>846</v>
      </c>
      <c r="Q779" s="4" t="s">
        <v>26</v>
      </c>
      <c r="R779" s="4">
        <v>0</v>
      </c>
      <c r="S779" s="6">
        <v>23</v>
      </c>
      <c r="T779" s="6">
        <v>0</v>
      </c>
      <c r="U779" s="6">
        <v>0</v>
      </c>
      <c r="V779" s="6">
        <f>IF(ISERROR(VLOOKUP($S$779,'TAR FIN'!$A$1:$O$95,15,0)),0,VLOOKUP($S$779,'TAR FIN'!$A$1:$O$95,15,0))</f>
        <v>28.57</v>
      </c>
      <c r="W779" s="6">
        <f>IF(ISERROR(VLOOKUP($T$779,'TAR FIN'!$A$1:$O$95,15,0)),0,VLOOKUP($T$779,'TAR FIN'!$A$1:$O$95,15,0))</f>
        <v>0</v>
      </c>
      <c r="X779" s="6">
        <f>IF(ISERROR(VLOOKUP($U$779,'TAR FIN'!$A$1:$O$95,15,0)),0,VLOOKUP($U$779,'TAR FIN'!$A$1:$O$95,15,0))</f>
        <v>0</v>
      </c>
      <c r="Y779" s="6">
        <f ca="1">('TUSD BE'!$AM$15+'TUSD BF'!$AM$15+'TUSD CVA'!$AM$15)*1</f>
        <v>31.93064187172984</v>
      </c>
      <c r="Z779" s="6"/>
      <c r="AA779" s="6"/>
      <c r="AB779" s="6">
        <f>$K$779*$V$779</f>
        <v>3824380.2</v>
      </c>
      <c r="AC779" s="6">
        <f>$M$779*$W$779</f>
        <v>0</v>
      </c>
      <c r="AD779" s="6">
        <f>$O$779*$X$779</f>
        <v>0</v>
      </c>
      <c r="AE779" s="6">
        <f ca="1">$K$779*$Y$779</f>
        <v>4274235.720949756</v>
      </c>
      <c r="AF779" s="6">
        <f>$M$779*$Z$779</f>
        <v>0</v>
      </c>
      <c r="AG779" s="6">
        <f>$O$779*$AA$779</f>
        <v>0</v>
      </c>
    </row>
    <row r="780" spans="1:33" ht="11.25" customHeight="1" x14ac:dyDescent="0.25">
      <c r="A780" s="4" t="s">
        <v>27</v>
      </c>
      <c r="B780" s="4" t="s">
        <v>35</v>
      </c>
      <c r="C780" s="4" t="s">
        <v>36</v>
      </c>
      <c r="D780" s="4" t="s">
        <v>45</v>
      </c>
      <c r="E780" s="4" t="s">
        <v>25</v>
      </c>
      <c r="F780" s="4" t="s">
        <v>25</v>
      </c>
      <c r="G780" s="4" t="s">
        <v>25</v>
      </c>
      <c r="H780" s="4" t="s">
        <v>25</v>
      </c>
      <c r="I780" s="5">
        <v>44197</v>
      </c>
      <c r="J780" s="6">
        <v>-609</v>
      </c>
      <c r="K780" s="6">
        <v>-609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4" t="s">
        <v>26</v>
      </c>
      <c r="R780" s="4">
        <v>0</v>
      </c>
      <c r="S780" s="6">
        <v>23</v>
      </c>
      <c r="T780" s="6">
        <v>0</v>
      </c>
      <c r="U780" s="6">
        <v>0</v>
      </c>
      <c r="V780" s="6">
        <f>IF(ISERROR(VLOOKUP($S$780,'TAR FIN'!$A$1:$O$95,15,0)),0,VLOOKUP($S$780,'TAR FIN'!$A$1:$O$95,15,0))</f>
        <v>28.57</v>
      </c>
      <c r="W780" s="6">
        <f>IF(ISERROR(VLOOKUP($T$780,'TAR FIN'!$A$1:$O$95,15,0)),0,VLOOKUP($T$780,'TAR FIN'!$A$1:$O$95,15,0))</f>
        <v>0</v>
      </c>
      <c r="X780" s="6">
        <f>IF(ISERROR(VLOOKUP($U$780,'TAR FIN'!$A$1:$O$95,15,0)),0,VLOOKUP($U$780,'TAR FIN'!$A$1:$O$95,15,0))</f>
        <v>0</v>
      </c>
      <c r="Y780" s="6">
        <f ca="1">('TUSD BE'!$AM$15+'TUSD BF'!$AM$15+'TUSD CVA'!$AM$15)*1</f>
        <v>31.93064187172984</v>
      </c>
      <c r="Z780" s="6"/>
      <c r="AA780" s="6"/>
      <c r="AB780" s="6">
        <f>$K$780*$V$780</f>
        <v>-17399.13</v>
      </c>
      <c r="AC780" s="6">
        <f>$M$780*$W$780</f>
        <v>0</v>
      </c>
      <c r="AD780" s="6">
        <f>$O$780*$X$780</f>
        <v>0</v>
      </c>
      <c r="AE780" s="6">
        <f ca="1">$K$780*$Y$780</f>
        <v>-19445.760899883473</v>
      </c>
      <c r="AF780" s="6">
        <f>$M$780*$Z$780</f>
        <v>0</v>
      </c>
      <c r="AG780" s="6">
        <f>$O$780*$AA$780</f>
        <v>0</v>
      </c>
    </row>
    <row r="781" spans="1:33" ht="11.25" customHeight="1" x14ac:dyDescent="0.25">
      <c r="A781" s="4" t="s">
        <v>28</v>
      </c>
      <c r="B781" s="4" t="s">
        <v>35</v>
      </c>
      <c r="C781" s="4" t="s">
        <v>36</v>
      </c>
      <c r="D781" s="4" t="s">
        <v>45</v>
      </c>
      <c r="E781" s="4" t="s">
        <v>25</v>
      </c>
      <c r="F781" s="4" t="s">
        <v>25</v>
      </c>
      <c r="G781" s="4" t="s">
        <v>25</v>
      </c>
      <c r="H781" s="4" t="s">
        <v>25</v>
      </c>
      <c r="I781" s="5">
        <v>44197</v>
      </c>
      <c r="J781" s="6">
        <v>9132</v>
      </c>
      <c r="K781" s="6">
        <v>9132</v>
      </c>
      <c r="L781" s="6">
        <v>0</v>
      </c>
      <c r="M781" s="6">
        <v>0</v>
      </c>
      <c r="N781" s="6">
        <v>0</v>
      </c>
      <c r="O781" s="6">
        <v>0</v>
      </c>
      <c r="P781" s="6">
        <v>109</v>
      </c>
      <c r="Q781" s="4" t="s">
        <v>26</v>
      </c>
      <c r="R781" s="4">
        <v>0</v>
      </c>
      <c r="S781" s="6">
        <v>23</v>
      </c>
      <c r="T781" s="6">
        <v>0</v>
      </c>
      <c r="U781" s="6">
        <v>0</v>
      </c>
      <c r="V781" s="6">
        <f>IF(ISERROR(VLOOKUP($S$781,'TAR FIN'!$A$1:$O$95,15,0)),0,VLOOKUP($S$781,'TAR FIN'!$A$1:$O$95,15,0))</f>
        <v>28.57</v>
      </c>
      <c r="W781" s="6">
        <f>IF(ISERROR(VLOOKUP($T$781,'TAR FIN'!$A$1:$O$95,15,0)),0,VLOOKUP($T$781,'TAR FIN'!$A$1:$O$95,15,0))</f>
        <v>0</v>
      </c>
      <c r="X781" s="6">
        <f>IF(ISERROR(VLOOKUP($U$781,'TAR FIN'!$A$1:$O$95,15,0)),0,VLOOKUP($U$781,'TAR FIN'!$A$1:$O$95,15,0))</f>
        <v>0</v>
      </c>
      <c r="Y781" s="6">
        <f ca="1">('TUSD BE'!$AM$15+'TUSD BF'!$AM$15+'TUSD CVA'!$AM$15)*1</f>
        <v>31.93064187172984</v>
      </c>
      <c r="Z781" s="6"/>
      <c r="AA781" s="6"/>
      <c r="AB781" s="6">
        <f>$K$781*$V$781</f>
        <v>260901.24</v>
      </c>
      <c r="AC781" s="6">
        <f>$M$781*$W$781</f>
        <v>0</v>
      </c>
      <c r="AD781" s="6">
        <f>$O$781*$X$781</f>
        <v>0</v>
      </c>
      <c r="AE781" s="6">
        <f ca="1">$K$781*$Y$781</f>
        <v>291590.62157263688</v>
      </c>
      <c r="AF781" s="6">
        <f>$M$781*$Z$781</f>
        <v>0</v>
      </c>
      <c r="AG781" s="6">
        <f>$O$781*$AA$781</f>
        <v>0</v>
      </c>
    </row>
    <row r="782" spans="1:33" ht="11.25" customHeight="1" x14ac:dyDescent="0.25">
      <c r="A782" s="4" t="s">
        <v>29</v>
      </c>
      <c r="B782" s="4" t="s">
        <v>35</v>
      </c>
      <c r="C782" s="4" t="s">
        <v>36</v>
      </c>
      <c r="D782" s="4" t="s">
        <v>45</v>
      </c>
      <c r="E782" s="4" t="s">
        <v>25</v>
      </c>
      <c r="F782" s="4" t="s">
        <v>25</v>
      </c>
      <c r="G782" s="4" t="s">
        <v>25</v>
      </c>
      <c r="H782" s="4" t="s">
        <v>25</v>
      </c>
      <c r="I782" s="5">
        <v>44197</v>
      </c>
      <c r="J782" s="6">
        <v>-396</v>
      </c>
      <c r="K782" s="6">
        <v>-396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4" t="s">
        <v>26</v>
      </c>
      <c r="R782" s="4">
        <v>0</v>
      </c>
      <c r="S782" s="6">
        <v>23</v>
      </c>
      <c r="T782" s="6">
        <v>0</v>
      </c>
      <c r="U782" s="6">
        <v>0</v>
      </c>
      <c r="V782" s="6">
        <f>IF(ISERROR(VLOOKUP($S$782,'TAR FIN'!$A$1:$O$95,15,0)),0,VLOOKUP($S$782,'TAR FIN'!$A$1:$O$95,15,0))</f>
        <v>28.57</v>
      </c>
      <c r="W782" s="6">
        <f>IF(ISERROR(VLOOKUP($T$782,'TAR FIN'!$A$1:$O$95,15,0)),0,VLOOKUP($T$782,'TAR FIN'!$A$1:$O$95,15,0))</f>
        <v>0</v>
      </c>
      <c r="X782" s="6">
        <f>IF(ISERROR(VLOOKUP($U$782,'TAR FIN'!$A$1:$O$95,15,0)),0,VLOOKUP($U$782,'TAR FIN'!$A$1:$O$95,15,0))</f>
        <v>0</v>
      </c>
      <c r="Y782" s="6">
        <f ca="1">('TUSD BE'!$AM$15+'TUSD BF'!$AM$15+'TUSD CVA'!$AM$15)*1</f>
        <v>31.93064187172984</v>
      </c>
      <c r="Z782" s="6"/>
      <c r="AA782" s="6"/>
      <c r="AB782" s="6">
        <f>$K$782*$V$782</f>
        <v>-11313.72</v>
      </c>
      <c r="AC782" s="6">
        <f>$M$782*$W$782</f>
        <v>0</v>
      </c>
      <c r="AD782" s="6">
        <f>$O$782*$X$782</f>
        <v>0</v>
      </c>
      <c r="AE782" s="6">
        <f ca="1">$K$782*$Y$782</f>
        <v>-12644.534181205017</v>
      </c>
      <c r="AF782" s="6">
        <f>$M$782*$Z$782</f>
        <v>0</v>
      </c>
      <c r="AG782" s="6">
        <f>$O$782*$AA$782</f>
        <v>0</v>
      </c>
    </row>
    <row r="783" spans="1:33" ht="11.25" customHeight="1" x14ac:dyDescent="0.25">
      <c r="A783" s="4" t="s">
        <v>30</v>
      </c>
      <c r="B783" s="4" t="s">
        <v>35</v>
      </c>
      <c r="C783" s="4" t="s">
        <v>36</v>
      </c>
      <c r="D783" s="4" t="s">
        <v>45</v>
      </c>
      <c r="E783" s="4" t="s">
        <v>25</v>
      </c>
      <c r="F783" s="4" t="s">
        <v>25</v>
      </c>
      <c r="G783" s="4" t="s">
        <v>25</v>
      </c>
      <c r="H783" s="4" t="s">
        <v>25</v>
      </c>
      <c r="I783" s="5">
        <v>44197</v>
      </c>
      <c r="J783" s="6">
        <v>6196</v>
      </c>
      <c r="K783" s="6">
        <v>6196</v>
      </c>
      <c r="L783" s="6">
        <v>0</v>
      </c>
      <c r="M783" s="6">
        <v>0</v>
      </c>
      <c r="N783" s="6">
        <v>0</v>
      </c>
      <c r="O783" s="6">
        <v>0</v>
      </c>
      <c r="P783" s="6">
        <v>32</v>
      </c>
      <c r="Q783" s="4" t="s">
        <v>26</v>
      </c>
      <c r="R783" s="4">
        <v>0</v>
      </c>
      <c r="S783" s="6">
        <v>23</v>
      </c>
      <c r="T783" s="6">
        <v>0</v>
      </c>
      <c r="U783" s="6">
        <v>0</v>
      </c>
      <c r="V783" s="6">
        <f>IF(ISERROR(VLOOKUP($S$783,'TAR FIN'!$A$1:$O$95,15,0)),0,VLOOKUP($S$783,'TAR FIN'!$A$1:$O$95,15,0))</f>
        <v>28.57</v>
      </c>
      <c r="W783" s="6">
        <f>IF(ISERROR(VLOOKUP($T$783,'TAR FIN'!$A$1:$O$95,15,0)),0,VLOOKUP($T$783,'TAR FIN'!$A$1:$O$95,15,0))</f>
        <v>0</v>
      </c>
      <c r="X783" s="6">
        <f>IF(ISERROR(VLOOKUP($U$783,'TAR FIN'!$A$1:$O$95,15,0)),0,VLOOKUP($U$783,'TAR FIN'!$A$1:$O$95,15,0))</f>
        <v>0</v>
      </c>
      <c r="Y783" s="6">
        <f ca="1">('TUSD BE'!$AM$15+'TUSD BF'!$AM$15+'TUSD CVA'!$AM$15)*1</f>
        <v>31.93064187172984</v>
      </c>
      <c r="Z783" s="6"/>
      <c r="AA783" s="6"/>
      <c r="AB783" s="6">
        <f>$K$783*$V$783</f>
        <v>177019.72</v>
      </c>
      <c r="AC783" s="6">
        <f>$M$783*$W$783</f>
        <v>0</v>
      </c>
      <c r="AD783" s="6">
        <f>$O$783*$X$783</f>
        <v>0</v>
      </c>
      <c r="AE783" s="6">
        <f ca="1">$K$783*$Y$783</f>
        <v>197842.2570372381</v>
      </c>
      <c r="AF783" s="6">
        <f>$M$783*$Z$783</f>
        <v>0</v>
      </c>
      <c r="AG783" s="6">
        <f>$O$783*$AA$783</f>
        <v>0</v>
      </c>
    </row>
    <row r="784" spans="1:33" ht="11.25" customHeight="1" x14ac:dyDescent="0.25">
      <c r="A784" s="4" t="s">
        <v>21</v>
      </c>
      <c r="B784" s="4" t="s">
        <v>35</v>
      </c>
      <c r="C784" s="4" t="s">
        <v>36</v>
      </c>
      <c r="D784" s="4" t="s">
        <v>45</v>
      </c>
      <c r="E784" s="4" t="s">
        <v>25</v>
      </c>
      <c r="F784" s="4" t="s">
        <v>25</v>
      </c>
      <c r="G784" s="4" t="s">
        <v>25</v>
      </c>
      <c r="H784" s="4" t="s">
        <v>25</v>
      </c>
      <c r="I784" s="5">
        <v>44197</v>
      </c>
      <c r="J784" s="6">
        <v>575</v>
      </c>
      <c r="K784" s="6">
        <v>575</v>
      </c>
      <c r="L784" s="6">
        <v>0</v>
      </c>
      <c r="M784" s="6">
        <v>0</v>
      </c>
      <c r="N784" s="6">
        <v>0</v>
      </c>
      <c r="O784" s="6">
        <v>0</v>
      </c>
      <c r="P784" s="6">
        <v>2</v>
      </c>
      <c r="Q784" s="4" t="s">
        <v>60</v>
      </c>
      <c r="R784" s="4">
        <v>0</v>
      </c>
      <c r="S784" s="6">
        <v>23</v>
      </c>
      <c r="T784" s="6">
        <v>0</v>
      </c>
      <c r="U784" s="6">
        <v>0</v>
      </c>
      <c r="V784" s="6">
        <f>IF(ISERROR(VLOOKUP($S$784,'TAR FIN'!$A$1:$O$95,15,0)),0,VLOOKUP($S$784,'TAR FIN'!$A$1:$O$95,15,0))</f>
        <v>28.57</v>
      </c>
      <c r="W784" s="6">
        <f>IF(ISERROR(VLOOKUP($T$784,'TAR FIN'!$A$1:$O$95,15,0)),0,VLOOKUP($T$784,'TAR FIN'!$A$1:$O$95,15,0))</f>
        <v>0</v>
      </c>
      <c r="X784" s="6">
        <f>IF(ISERROR(VLOOKUP($U$784,'TAR FIN'!$A$1:$O$95,15,0)),0,VLOOKUP($U$784,'TAR FIN'!$A$1:$O$95,15,0))</f>
        <v>0</v>
      </c>
      <c r="Y784" s="6">
        <f ca="1">('TUSD BE'!$AM$15+'TUSD BF'!$AM$15+'TUSD CVA'!$AM$15)*1</f>
        <v>31.93064187172984</v>
      </c>
      <c r="Z784" s="6"/>
      <c r="AA784" s="6"/>
      <c r="AB784" s="6">
        <f>$K$784*$V$784</f>
        <v>16427.75</v>
      </c>
      <c r="AC784" s="6">
        <f>$M$784*$W$784</f>
        <v>0</v>
      </c>
      <c r="AD784" s="6">
        <f>$O$784*$X$784</f>
        <v>0</v>
      </c>
      <c r="AE784" s="6">
        <f ca="1">$K$784*$Y$784</f>
        <v>18360.119076244657</v>
      </c>
      <c r="AF784" s="6">
        <f>$M$784*$Z$784</f>
        <v>0</v>
      </c>
      <c r="AG784" s="6">
        <f>$O$784*$AA$784</f>
        <v>0</v>
      </c>
    </row>
    <row r="785" spans="1:33" ht="11.25" customHeight="1" x14ac:dyDescent="0.25">
      <c r="A785" s="4" t="s">
        <v>21</v>
      </c>
      <c r="B785" s="4" t="s">
        <v>35</v>
      </c>
      <c r="C785" s="4" t="s">
        <v>36</v>
      </c>
      <c r="D785" s="4" t="s">
        <v>45</v>
      </c>
      <c r="E785" s="4" t="s">
        <v>25</v>
      </c>
      <c r="F785" s="4" t="s">
        <v>25</v>
      </c>
      <c r="G785" s="4" t="s">
        <v>25</v>
      </c>
      <c r="H785" s="4" t="s">
        <v>25</v>
      </c>
      <c r="I785" s="5">
        <v>44228</v>
      </c>
      <c r="J785" s="6">
        <v>133057</v>
      </c>
      <c r="K785" s="6">
        <v>133057</v>
      </c>
      <c r="L785" s="6">
        <v>0</v>
      </c>
      <c r="M785" s="6">
        <v>0</v>
      </c>
      <c r="N785" s="6">
        <v>0</v>
      </c>
      <c r="O785" s="6">
        <v>0</v>
      </c>
      <c r="P785" s="6">
        <v>847</v>
      </c>
      <c r="Q785" s="4" t="s">
        <v>26</v>
      </c>
      <c r="R785" s="4">
        <v>0</v>
      </c>
      <c r="S785" s="6">
        <v>23</v>
      </c>
      <c r="T785" s="6">
        <v>0</v>
      </c>
      <c r="U785" s="6">
        <v>0</v>
      </c>
      <c r="V785" s="6">
        <f>IF(ISERROR(VLOOKUP($S$785,'TAR FIN'!$A$1:$O$95,15,0)),0,VLOOKUP($S$785,'TAR FIN'!$A$1:$O$95,15,0))</f>
        <v>28.57</v>
      </c>
      <c r="W785" s="6">
        <f>IF(ISERROR(VLOOKUP($T$785,'TAR FIN'!$A$1:$O$95,15,0)),0,VLOOKUP($T$785,'TAR FIN'!$A$1:$O$95,15,0))</f>
        <v>0</v>
      </c>
      <c r="X785" s="6">
        <f>IF(ISERROR(VLOOKUP($U$785,'TAR FIN'!$A$1:$O$95,15,0)),0,VLOOKUP($U$785,'TAR FIN'!$A$1:$O$95,15,0))</f>
        <v>0</v>
      </c>
      <c r="Y785" s="6">
        <f ca="1">('TUSD BE'!$AM$15+'TUSD BF'!$AM$15+'TUSD CVA'!$AM$15)*1</f>
        <v>31.93064187172984</v>
      </c>
      <c r="Z785" s="6"/>
      <c r="AA785" s="6"/>
      <c r="AB785" s="6">
        <f>$K$785*$V$785</f>
        <v>3801438.49</v>
      </c>
      <c r="AC785" s="6">
        <f>$M$785*$W$785</f>
        <v>0</v>
      </c>
      <c r="AD785" s="6">
        <f>$O$785*$X$785</f>
        <v>0</v>
      </c>
      <c r="AE785" s="6">
        <f ca="1">$K$785*$Y$785</f>
        <v>4248595.415526757</v>
      </c>
      <c r="AF785" s="6">
        <f>$M$785*$Z$785</f>
        <v>0</v>
      </c>
      <c r="AG785" s="6">
        <f>$O$785*$AA$785</f>
        <v>0</v>
      </c>
    </row>
    <row r="786" spans="1:33" ht="11.25" customHeight="1" x14ac:dyDescent="0.25">
      <c r="A786" s="4" t="s">
        <v>27</v>
      </c>
      <c r="B786" s="4" t="s">
        <v>35</v>
      </c>
      <c r="C786" s="4" t="s">
        <v>36</v>
      </c>
      <c r="D786" s="4" t="s">
        <v>45</v>
      </c>
      <c r="E786" s="4" t="s">
        <v>25</v>
      </c>
      <c r="F786" s="4" t="s">
        <v>25</v>
      </c>
      <c r="G786" s="4" t="s">
        <v>25</v>
      </c>
      <c r="H786" s="4" t="s">
        <v>25</v>
      </c>
      <c r="I786" s="5">
        <v>44228</v>
      </c>
      <c r="J786" s="6">
        <v>-384</v>
      </c>
      <c r="K786" s="6">
        <v>-384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4" t="s">
        <v>26</v>
      </c>
      <c r="R786" s="4">
        <v>0</v>
      </c>
      <c r="S786" s="6">
        <v>23</v>
      </c>
      <c r="T786" s="6">
        <v>0</v>
      </c>
      <c r="U786" s="6">
        <v>0</v>
      </c>
      <c r="V786" s="6">
        <f>IF(ISERROR(VLOOKUP($S$786,'TAR FIN'!$A$1:$O$95,15,0)),0,VLOOKUP($S$786,'TAR FIN'!$A$1:$O$95,15,0))</f>
        <v>28.57</v>
      </c>
      <c r="W786" s="6">
        <f>IF(ISERROR(VLOOKUP($T$786,'TAR FIN'!$A$1:$O$95,15,0)),0,VLOOKUP($T$786,'TAR FIN'!$A$1:$O$95,15,0))</f>
        <v>0</v>
      </c>
      <c r="X786" s="6">
        <f>IF(ISERROR(VLOOKUP($U$786,'TAR FIN'!$A$1:$O$95,15,0)),0,VLOOKUP($U$786,'TAR FIN'!$A$1:$O$95,15,0))</f>
        <v>0</v>
      </c>
      <c r="Y786" s="6">
        <f ca="1">('TUSD BE'!$AM$15+'TUSD BF'!$AM$15+'TUSD CVA'!$AM$15)*1</f>
        <v>31.93064187172984</v>
      </c>
      <c r="Z786" s="6"/>
      <c r="AA786" s="6"/>
      <c r="AB786" s="6">
        <f>$K$786*$V$786</f>
        <v>-10970.880000000001</v>
      </c>
      <c r="AC786" s="6">
        <f>$M$786*$W$786</f>
        <v>0</v>
      </c>
      <c r="AD786" s="6">
        <f>$O$786*$X$786</f>
        <v>0</v>
      </c>
      <c r="AE786" s="6">
        <f ca="1">$K$786*$Y$786</f>
        <v>-12261.366478744258</v>
      </c>
      <c r="AF786" s="6">
        <f>$M$786*$Z$786</f>
        <v>0</v>
      </c>
      <c r="AG786" s="6">
        <f>$O$786*$AA$786</f>
        <v>0</v>
      </c>
    </row>
    <row r="787" spans="1:33" ht="11.25" customHeight="1" x14ac:dyDescent="0.25">
      <c r="A787" s="4" t="s">
        <v>28</v>
      </c>
      <c r="B787" s="4" t="s">
        <v>35</v>
      </c>
      <c r="C787" s="4" t="s">
        <v>36</v>
      </c>
      <c r="D787" s="4" t="s">
        <v>45</v>
      </c>
      <c r="E787" s="4" t="s">
        <v>25</v>
      </c>
      <c r="F787" s="4" t="s">
        <v>25</v>
      </c>
      <c r="G787" s="4" t="s">
        <v>25</v>
      </c>
      <c r="H787" s="4" t="s">
        <v>25</v>
      </c>
      <c r="I787" s="5">
        <v>44228</v>
      </c>
      <c r="J787" s="6">
        <v>8936</v>
      </c>
      <c r="K787" s="6">
        <v>8936</v>
      </c>
      <c r="L787" s="6">
        <v>0</v>
      </c>
      <c r="M787" s="6">
        <v>0</v>
      </c>
      <c r="N787" s="6">
        <v>0</v>
      </c>
      <c r="O787" s="6">
        <v>0</v>
      </c>
      <c r="P787" s="6">
        <v>110</v>
      </c>
      <c r="Q787" s="4" t="s">
        <v>26</v>
      </c>
      <c r="R787" s="4">
        <v>0</v>
      </c>
      <c r="S787" s="6">
        <v>23</v>
      </c>
      <c r="T787" s="6">
        <v>0</v>
      </c>
      <c r="U787" s="6">
        <v>0</v>
      </c>
      <c r="V787" s="6">
        <f>IF(ISERROR(VLOOKUP($S$787,'TAR FIN'!$A$1:$O$95,15,0)),0,VLOOKUP($S$787,'TAR FIN'!$A$1:$O$95,15,0))</f>
        <v>28.57</v>
      </c>
      <c r="W787" s="6">
        <f>IF(ISERROR(VLOOKUP($T$787,'TAR FIN'!$A$1:$O$95,15,0)),0,VLOOKUP($T$787,'TAR FIN'!$A$1:$O$95,15,0))</f>
        <v>0</v>
      </c>
      <c r="X787" s="6">
        <f>IF(ISERROR(VLOOKUP($U$787,'TAR FIN'!$A$1:$O$95,15,0)),0,VLOOKUP($U$787,'TAR FIN'!$A$1:$O$95,15,0))</f>
        <v>0</v>
      </c>
      <c r="Y787" s="6">
        <f ca="1">('TUSD BE'!$AM$15+'TUSD BF'!$AM$15+'TUSD CVA'!$AM$15)*1</f>
        <v>31.93064187172984</v>
      </c>
      <c r="Z787" s="6"/>
      <c r="AA787" s="6"/>
      <c r="AB787" s="6">
        <f>$K$787*$V$787</f>
        <v>255301.52</v>
      </c>
      <c r="AC787" s="6">
        <f>$M$787*$W$787</f>
        <v>0</v>
      </c>
      <c r="AD787" s="6">
        <f>$O$787*$X$787</f>
        <v>0</v>
      </c>
      <c r="AE787" s="6">
        <f ca="1">$K$787*$Y$787</f>
        <v>285332.21576577786</v>
      </c>
      <c r="AF787" s="6">
        <f>$M$787*$Z$787</f>
        <v>0</v>
      </c>
      <c r="AG787" s="6">
        <f>$O$787*$AA$787</f>
        <v>0</v>
      </c>
    </row>
    <row r="788" spans="1:33" ht="11.25" customHeight="1" x14ac:dyDescent="0.25">
      <c r="A788" s="4" t="s">
        <v>29</v>
      </c>
      <c r="B788" s="4" t="s">
        <v>35</v>
      </c>
      <c r="C788" s="4" t="s">
        <v>36</v>
      </c>
      <c r="D788" s="4" t="s">
        <v>45</v>
      </c>
      <c r="E788" s="4" t="s">
        <v>25</v>
      </c>
      <c r="F788" s="4" t="s">
        <v>25</v>
      </c>
      <c r="G788" s="4" t="s">
        <v>25</v>
      </c>
      <c r="H788" s="4" t="s">
        <v>25</v>
      </c>
      <c r="I788" s="5">
        <v>44228</v>
      </c>
      <c r="J788" s="6">
        <v>-232</v>
      </c>
      <c r="K788" s="6">
        <v>-232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4" t="s">
        <v>26</v>
      </c>
      <c r="R788" s="4">
        <v>0</v>
      </c>
      <c r="S788" s="6">
        <v>23</v>
      </c>
      <c r="T788" s="6">
        <v>0</v>
      </c>
      <c r="U788" s="6">
        <v>0</v>
      </c>
      <c r="V788" s="6">
        <f>IF(ISERROR(VLOOKUP($S$788,'TAR FIN'!$A$1:$O$95,15,0)),0,VLOOKUP($S$788,'TAR FIN'!$A$1:$O$95,15,0))</f>
        <v>28.57</v>
      </c>
      <c r="W788" s="6">
        <f>IF(ISERROR(VLOOKUP($T$788,'TAR FIN'!$A$1:$O$95,15,0)),0,VLOOKUP($T$788,'TAR FIN'!$A$1:$O$95,15,0))</f>
        <v>0</v>
      </c>
      <c r="X788" s="6">
        <f>IF(ISERROR(VLOOKUP($U$788,'TAR FIN'!$A$1:$O$95,15,0)),0,VLOOKUP($U$788,'TAR FIN'!$A$1:$O$95,15,0))</f>
        <v>0</v>
      </c>
      <c r="Y788" s="6">
        <f ca="1">('TUSD BE'!$AM$15+'TUSD BF'!$AM$15+'TUSD CVA'!$AM$15)*1</f>
        <v>31.93064187172984</v>
      </c>
      <c r="Z788" s="6"/>
      <c r="AA788" s="6"/>
      <c r="AB788" s="6">
        <f>$K$788*$V$788</f>
        <v>-6628.24</v>
      </c>
      <c r="AC788" s="6">
        <f>$M$788*$W$788</f>
        <v>0</v>
      </c>
      <c r="AD788" s="6">
        <f>$O$788*$X$788</f>
        <v>0</v>
      </c>
      <c r="AE788" s="6">
        <f ca="1">$K$788*$Y$788</f>
        <v>-7407.9089142413231</v>
      </c>
      <c r="AF788" s="6">
        <f>$M$788*$Z$788</f>
        <v>0</v>
      </c>
      <c r="AG788" s="6">
        <f>$O$788*$AA$788</f>
        <v>0</v>
      </c>
    </row>
    <row r="789" spans="1:33" ht="11.25" customHeight="1" x14ac:dyDescent="0.25">
      <c r="A789" s="4" t="s">
        <v>30</v>
      </c>
      <c r="B789" s="4" t="s">
        <v>35</v>
      </c>
      <c r="C789" s="4" t="s">
        <v>36</v>
      </c>
      <c r="D789" s="4" t="s">
        <v>45</v>
      </c>
      <c r="E789" s="4" t="s">
        <v>25</v>
      </c>
      <c r="F789" s="4" t="s">
        <v>25</v>
      </c>
      <c r="G789" s="4" t="s">
        <v>25</v>
      </c>
      <c r="H789" s="4" t="s">
        <v>25</v>
      </c>
      <c r="I789" s="5">
        <v>44228</v>
      </c>
      <c r="J789" s="6">
        <v>7621</v>
      </c>
      <c r="K789" s="6">
        <v>7621</v>
      </c>
      <c r="L789" s="6">
        <v>0</v>
      </c>
      <c r="M789" s="6">
        <v>0</v>
      </c>
      <c r="N789" s="6">
        <v>0</v>
      </c>
      <c r="O789" s="6">
        <v>0</v>
      </c>
      <c r="P789" s="6">
        <v>34</v>
      </c>
      <c r="Q789" s="4" t="s">
        <v>26</v>
      </c>
      <c r="R789" s="4">
        <v>0</v>
      </c>
      <c r="S789" s="6">
        <v>23</v>
      </c>
      <c r="T789" s="6">
        <v>0</v>
      </c>
      <c r="U789" s="6">
        <v>0</v>
      </c>
      <c r="V789" s="6">
        <f>IF(ISERROR(VLOOKUP($S$789,'TAR FIN'!$A$1:$O$95,15,0)),0,VLOOKUP($S$789,'TAR FIN'!$A$1:$O$95,15,0))</f>
        <v>28.57</v>
      </c>
      <c r="W789" s="6">
        <f>IF(ISERROR(VLOOKUP($T$789,'TAR FIN'!$A$1:$O$95,15,0)),0,VLOOKUP($T$789,'TAR FIN'!$A$1:$O$95,15,0))</f>
        <v>0</v>
      </c>
      <c r="X789" s="6">
        <f>IF(ISERROR(VLOOKUP($U$789,'TAR FIN'!$A$1:$O$95,15,0)),0,VLOOKUP($U$789,'TAR FIN'!$A$1:$O$95,15,0))</f>
        <v>0</v>
      </c>
      <c r="Y789" s="6">
        <f ca="1">('TUSD BE'!$AM$15+'TUSD BF'!$AM$15+'TUSD CVA'!$AM$15)*1</f>
        <v>31.93064187172984</v>
      </c>
      <c r="Z789" s="6"/>
      <c r="AA789" s="6"/>
      <c r="AB789" s="6">
        <f>$K$789*$V$789</f>
        <v>217731.97</v>
      </c>
      <c r="AC789" s="6">
        <f>$M$789*$W$789</f>
        <v>0</v>
      </c>
      <c r="AD789" s="6">
        <f>$O$789*$X$789</f>
        <v>0</v>
      </c>
      <c r="AE789" s="6">
        <f ca="1">$K$789*$Y$789</f>
        <v>243343.4217044531</v>
      </c>
      <c r="AF789" s="6">
        <f>$M$789*$Z$789</f>
        <v>0</v>
      </c>
      <c r="AG789" s="6">
        <f>$O$789*$AA$789</f>
        <v>0</v>
      </c>
    </row>
    <row r="790" spans="1:33" ht="11.25" customHeight="1" x14ac:dyDescent="0.25">
      <c r="A790" s="4" t="s">
        <v>21</v>
      </c>
      <c r="B790" s="4" t="s">
        <v>35</v>
      </c>
      <c r="C790" s="4" t="s">
        <v>36</v>
      </c>
      <c r="D790" s="4" t="s">
        <v>45</v>
      </c>
      <c r="E790" s="4" t="s">
        <v>25</v>
      </c>
      <c r="F790" s="4" t="s">
        <v>25</v>
      </c>
      <c r="G790" s="4" t="s">
        <v>25</v>
      </c>
      <c r="H790" s="4" t="s">
        <v>25</v>
      </c>
      <c r="I790" s="5">
        <v>44228</v>
      </c>
      <c r="J790" s="6">
        <v>575</v>
      </c>
      <c r="K790" s="6">
        <v>575</v>
      </c>
      <c r="L790" s="6">
        <v>0</v>
      </c>
      <c r="M790" s="6">
        <v>0</v>
      </c>
      <c r="N790" s="6">
        <v>0</v>
      </c>
      <c r="O790" s="6">
        <v>0</v>
      </c>
      <c r="P790" s="6">
        <v>2</v>
      </c>
      <c r="Q790" s="4" t="s">
        <v>60</v>
      </c>
      <c r="R790" s="4">
        <v>0</v>
      </c>
      <c r="S790" s="6">
        <v>23</v>
      </c>
      <c r="T790" s="6">
        <v>0</v>
      </c>
      <c r="U790" s="6">
        <v>0</v>
      </c>
      <c r="V790" s="6">
        <f>IF(ISERROR(VLOOKUP($S$790,'TAR FIN'!$A$1:$O$95,15,0)),0,VLOOKUP($S$790,'TAR FIN'!$A$1:$O$95,15,0))</f>
        <v>28.57</v>
      </c>
      <c r="W790" s="6">
        <f>IF(ISERROR(VLOOKUP($T$790,'TAR FIN'!$A$1:$O$95,15,0)),0,VLOOKUP($T$790,'TAR FIN'!$A$1:$O$95,15,0))</f>
        <v>0</v>
      </c>
      <c r="X790" s="6">
        <f>IF(ISERROR(VLOOKUP($U$790,'TAR FIN'!$A$1:$O$95,15,0)),0,VLOOKUP($U$790,'TAR FIN'!$A$1:$O$95,15,0))</f>
        <v>0</v>
      </c>
      <c r="Y790" s="6">
        <f ca="1">('TUSD BE'!$AM$15+'TUSD BF'!$AM$15+'TUSD CVA'!$AM$15)*1</f>
        <v>31.93064187172984</v>
      </c>
      <c r="Z790" s="6"/>
      <c r="AA790" s="6"/>
      <c r="AB790" s="6">
        <f>$K$790*$V$790</f>
        <v>16427.75</v>
      </c>
      <c r="AC790" s="6">
        <f>$M$790*$W$790</f>
        <v>0</v>
      </c>
      <c r="AD790" s="6">
        <f>$O$790*$X$790</f>
        <v>0</v>
      </c>
      <c r="AE790" s="6">
        <f ca="1">$K$790*$Y$790</f>
        <v>18360.119076244657</v>
      </c>
      <c r="AF790" s="6">
        <f>$M$790*$Z$790</f>
        <v>0</v>
      </c>
      <c r="AG790" s="6">
        <f>$O$790*$AA$790</f>
        <v>0</v>
      </c>
    </row>
    <row r="791" spans="1:33" ht="11.25" customHeight="1" x14ac:dyDescent="0.25">
      <c r="A791" s="4" t="s">
        <v>21</v>
      </c>
      <c r="B791" s="4" t="s">
        <v>35</v>
      </c>
      <c r="C791" s="4" t="s">
        <v>36</v>
      </c>
      <c r="D791" s="4" t="s">
        <v>45</v>
      </c>
      <c r="E791" s="4" t="s">
        <v>25</v>
      </c>
      <c r="F791" s="4" t="s">
        <v>25</v>
      </c>
      <c r="G791" s="4" t="s">
        <v>25</v>
      </c>
      <c r="H791" s="4" t="s">
        <v>25</v>
      </c>
      <c r="I791" s="5">
        <v>44256</v>
      </c>
      <c r="J791" s="6">
        <v>133333</v>
      </c>
      <c r="K791" s="6">
        <v>133333</v>
      </c>
      <c r="L791" s="6">
        <v>0</v>
      </c>
      <c r="M791" s="6">
        <v>0</v>
      </c>
      <c r="N791" s="6">
        <v>0</v>
      </c>
      <c r="O791" s="6">
        <v>0</v>
      </c>
      <c r="P791" s="6">
        <v>848</v>
      </c>
      <c r="Q791" s="4" t="s">
        <v>26</v>
      </c>
      <c r="R791" s="4">
        <v>0</v>
      </c>
      <c r="S791" s="6">
        <v>23</v>
      </c>
      <c r="T791" s="6">
        <v>0</v>
      </c>
      <c r="U791" s="6">
        <v>0</v>
      </c>
      <c r="V791" s="6">
        <f>IF(ISERROR(VLOOKUP($S$791,'TAR FIN'!$A$1:$O$95,15,0)),0,VLOOKUP($S$791,'TAR FIN'!$A$1:$O$95,15,0))</f>
        <v>28.57</v>
      </c>
      <c r="W791" s="6">
        <f>IF(ISERROR(VLOOKUP($T$791,'TAR FIN'!$A$1:$O$95,15,0)),0,VLOOKUP($T$791,'TAR FIN'!$A$1:$O$95,15,0))</f>
        <v>0</v>
      </c>
      <c r="X791" s="6">
        <f>IF(ISERROR(VLOOKUP($U$791,'TAR FIN'!$A$1:$O$95,15,0)),0,VLOOKUP($U$791,'TAR FIN'!$A$1:$O$95,15,0))</f>
        <v>0</v>
      </c>
      <c r="Y791" s="6">
        <f ca="1">('TUSD BE'!$AM$15+'TUSD BF'!$AM$15+'TUSD CVA'!$AM$15)*1</f>
        <v>31.93064187172984</v>
      </c>
      <c r="Z791" s="6"/>
      <c r="AA791" s="6"/>
      <c r="AB791" s="6">
        <f>$K$791*$V$791</f>
        <v>3809323.81</v>
      </c>
      <c r="AC791" s="6">
        <f>$M$791*$W$791</f>
        <v>0</v>
      </c>
      <c r="AD791" s="6">
        <f>$O$791*$X$791</f>
        <v>0</v>
      </c>
      <c r="AE791" s="6">
        <f ca="1">$K$791*$Y$791</f>
        <v>4257408.272683355</v>
      </c>
      <c r="AF791" s="6">
        <f>$M$791*$Z$791</f>
        <v>0</v>
      </c>
      <c r="AG791" s="6">
        <f>$O$791*$AA$791</f>
        <v>0</v>
      </c>
    </row>
    <row r="792" spans="1:33" ht="11.25" customHeight="1" x14ac:dyDescent="0.25">
      <c r="A792" s="4" t="s">
        <v>27</v>
      </c>
      <c r="B792" s="4" t="s">
        <v>35</v>
      </c>
      <c r="C792" s="4" t="s">
        <v>36</v>
      </c>
      <c r="D792" s="4" t="s">
        <v>45</v>
      </c>
      <c r="E792" s="4" t="s">
        <v>25</v>
      </c>
      <c r="F792" s="4" t="s">
        <v>25</v>
      </c>
      <c r="G792" s="4" t="s">
        <v>25</v>
      </c>
      <c r="H792" s="4" t="s">
        <v>25</v>
      </c>
      <c r="I792" s="5">
        <v>44256</v>
      </c>
      <c r="J792" s="6">
        <v>-1044</v>
      </c>
      <c r="K792" s="6">
        <v>-1044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4" t="s">
        <v>26</v>
      </c>
      <c r="R792" s="4">
        <v>0</v>
      </c>
      <c r="S792" s="6">
        <v>23</v>
      </c>
      <c r="T792" s="6">
        <v>0</v>
      </c>
      <c r="U792" s="6">
        <v>0</v>
      </c>
      <c r="V792" s="6">
        <f>IF(ISERROR(VLOOKUP($S$792,'TAR FIN'!$A$1:$O$95,15,0)),0,VLOOKUP($S$792,'TAR FIN'!$A$1:$O$95,15,0))</f>
        <v>28.57</v>
      </c>
      <c r="W792" s="6">
        <f>IF(ISERROR(VLOOKUP($T$792,'TAR FIN'!$A$1:$O$95,15,0)),0,VLOOKUP($T$792,'TAR FIN'!$A$1:$O$95,15,0))</f>
        <v>0</v>
      </c>
      <c r="X792" s="6">
        <f>IF(ISERROR(VLOOKUP($U$792,'TAR FIN'!$A$1:$O$95,15,0)),0,VLOOKUP($U$792,'TAR FIN'!$A$1:$O$95,15,0))</f>
        <v>0</v>
      </c>
      <c r="Y792" s="6">
        <f ca="1">('TUSD BE'!$AM$15+'TUSD BF'!$AM$15+'TUSD CVA'!$AM$15)*1</f>
        <v>31.93064187172984</v>
      </c>
      <c r="Z792" s="6"/>
      <c r="AA792" s="6"/>
      <c r="AB792" s="6">
        <f>$K$792*$V$792</f>
        <v>-29827.08</v>
      </c>
      <c r="AC792" s="6">
        <f>$M$792*$W$792</f>
        <v>0</v>
      </c>
      <c r="AD792" s="6">
        <f>$O$792*$X$792</f>
        <v>0</v>
      </c>
      <c r="AE792" s="6">
        <f ca="1">$K$792*$Y$792</f>
        <v>-33335.59011408595</v>
      </c>
      <c r="AF792" s="6">
        <f>$M$792*$Z$792</f>
        <v>0</v>
      </c>
      <c r="AG792" s="6">
        <f>$O$792*$AA$792</f>
        <v>0</v>
      </c>
    </row>
    <row r="793" spans="1:33" ht="11.25" customHeight="1" x14ac:dyDescent="0.25">
      <c r="A793" s="4" t="s">
        <v>28</v>
      </c>
      <c r="B793" s="4" t="s">
        <v>35</v>
      </c>
      <c r="C793" s="4" t="s">
        <v>36</v>
      </c>
      <c r="D793" s="4" t="s">
        <v>45</v>
      </c>
      <c r="E793" s="4" t="s">
        <v>25</v>
      </c>
      <c r="F793" s="4" t="s">
        <v>25</v>
      </c>
      <c r="G793" s="4" t="s">
        <v>25</v>
      </c>
      <c r="H793" s="4" t="s">
        <v>25</v>
      </c>
      <c r="I793" s="5">
        <v>44256</v>
      </c>
      <c r="J793" s="6">
        <v>9060</v>
      </c>
      <c r="K793" s="6">
        <v>9060</v>
      </c>
      <c r="L793" s="6">
        <v>0</v>
      </c>
      <c r="M793" s="6">
        <v>0</v>
      </c>
      <c r="N793" s="6">
        <v>0</v>
      </c>
      <c r="O793" s="6">
        <v>0</v>
      </c>
      <c r="P793" s="6">
        <v>109</v>
      </c>
      <c r="Q793" s="4" t="s">
        <v>26</v>
      </c>
      <c r="R793" s="4">
        <v>0</v>
      </c>
      <c r="S793" s="6">
        <v>23</v>
      </c>
      <c r="T793" s="6">
        <v>0</v>
      </c>
      <c r="U793" s="6">
        <v>0</v>
      </c>
      <c r="V793" s="6">
        <f>IF(ISERROR(VLOOKUP($S$793,'TAR FIN'!$A$1:$O$95,15,0)),0,VLOOKUP($S$793,'TAR FIN'!$A$1:$O$95,15,0))</f>
        <v>28.57</v>
      </c>
      <c r="W793" s="6">
        <f>IF(ISERROR(VLOOKUP($T$793,'TAR FIN'!$A$1:$O$95,15,0)),0,VLOOKUP($T$793,'TAR FIN'!$A$1:$O$95,15,0))</f>
        <v>0</v>
      </c>
      <c r="X793" s="6">
        <f>IF(ISERROR(VLOOKUP($U$793,'TAR FIN'!$A$1:$O$95,15,0)),0,VLOOKUP($U$793,'TAR FIN'!$A$1:$O$95,15,0))</f>
        <v>0</v>
      </c>
      <c r="Y793" s="6">
        <f ca="1">('TUSD BE'!$AM$15+'TUSD BF'!$AM$15+'TUSD CVA'!$AM$15)*1</f>
        <v>31.93064187172984</v>
      </c>
      <c r="Z793" s="6"/>
      <c r="AA793" s="6"/>
      <c r="AB793" s="6">
        <f>$K$793*$V$793</f>
        <v>258844.2</v>
      </c>
      <c r="AC793" s="6">
        <f>$M$793*$W$793</f>
        <v>0</v>
      </c>
      <c r="AD793" s="6">
        <f>$O$793*$X$793</f>
        <v>0</v>
      </c>
      <c r="AE793" s="6">
        <f ca="1">$K$793*$Y$793</f>
        <v>289291.61535787233</v>
      </c>
      <c r="AF793" s="6">
        <f>$M$793*$Z$793</f>
        <v>0</v>
      </c>
      <c r="AG793" s="6">
        <f>$O$793*$AA$793</f>
        <v>0</v>
      </c>
    </row>
    <row r="794" spans="1:33" ht="11.25" customHeight="1" x14ac:dyDescent="0.25">
      <c r="A794" s="4" t="s">
        <v>30</v>
      </c>
      <c r="B794" s="4" t="s">
        <v>35</v>
      </c>
      <c r="C794" s="4" t="s">
        <v>36</v>
      </c>
      <c r="D794" s="4" t="s">
        <v>45</v>
      </c>
      <c r="E794" s="4" t="s">
        <v>25</v>
      </c>
      <c r="F794" s="4" t="s">
        <v>25</v>
      </c>
      <c r="G794" s="4" t="s">
        <v>25</v>
      </c>
      <c r="H794" s="4" t="s">
        <v>25</v>
      </c>
      <c r="I794" s="5">
        <v>44256</v>
      </c>
      <c r="J794" s="6">
        <v>7700</v>
      </c>
      <c r="K794" s="6">
        <v>7700</v>
      </c>
      <c r="L794" s="6">
        <v>0</v>
      </c>
      <c r="M794" s="6">
        <v>0</v>
      </c>
      <c r="N794" s="6">
        <v>0</v>
      </c>
      <c r="O794" s="6">
        <v>0</v>
      </c>
      <c r="P794" s="6">
        <v>34</v>
      </c>
      <c r="Q794" s="4" t="s">
        <v>26</v>
      </c>
      <c r="R794" s="4">
        <v>0</v>
      </c>
      <c r="S794" s="6">
        <v>23</v>
      </c>
      <c r="T794" s="6">
        <v>0</v>
      </c>
      <c r="U794" s="6">
        <v>0</v>
      </c>
      <c r="V794" s="6">
        <f>IF(ISERROR(VLOOKUP($S$794,'TAR FIN'!$A$1:$O$95,15,0)),0,VLOOKUP($S$794,'TAR FIN'!$A$1:$O$95,15,0))</f>
        <v>28.57</v>
      </c>
      <c r="W794" s="6">
        <f>IF(ISERROR(VLOOKUP($T$794,'TAR FIN'!$A$1:$O$95,15,0)),0,VLOOKUP($T$794,'TAR FIN'!$A$1:$O$95,15,0))</f>
        <v>0</v>
      </c>
      <c r="X794" s="6">
        <f>IF(ISERROR(VLOOKUP($U$794,'TAR FIN'!$A$1:$O$95,15,0)),0,VLOOKUP($U$794,'TAR FIN'!$A$1:$O$95,15,0))</f>
        <v>0</v>
      </c>
      <c r="Y794" s="6">
        <f ca="1">('TUSD BE'!$AM$15+'TUSD BF'!$AM$15+'TUSD CVA'!$AM$15)*1</f>
        <v>31.93064187172984</v>
      </c>
      <c r="Z794" s="6"/>
      <c r="AA794" s="6"/>
      <c r="AB794" s="6">
        <f>$K$794*$V$794</f>
        <v>219989</v>
      </c>
      <c r="AC794" s="6">
        <f>$M$794*$W$794</f>
        <v>0</v>
      </c>
      <c r="AD794" s="6">
        <f>$O$794*$X$794</f>
        <v>0</v>
      </c>
      <c r="AE794" s="6">
        <f ca="1">$K$794*$Y$794</f>
        <v>245865.94241231977</v>
      </c>
      <c r="AF794" s="6">
        <f>$M$794*$Z$794</f>
        <v>0</v>
      </c>
      <c r="AG794" s="6">
        <f>$O$794*$AA$794</f>
        <v>0</v>
      </c>
    </row>
    <row r="795" spans="1:33" ht="11.25" customHeight="1" x14ac:dyDescent="0.25">
      <c r="A795" s="4" t="s">
        <v>21</v>
      </c>
      <c r="B795" s="4" t="s">
        <v>35</v>
      </c>
      <c r="C795" s="4" t="s">
        <v>36</v>
      </c>
      <c r="D795" s="4" t="s">
        <v>45</v>
      </c>
      <c r="E795" s="4" t="s">
        <v>25</v>
      </c>
      <c r="F795" s="4" t="s">
        <v>25</v>
      </c>
      <c r="G795" s="4" t="s">
        <v>25</v>
      </c>
      <c r="H795" s="4" t="s">
        <v>25</v>
      </c>
      <c r="I795" s="5">
        <v>44256</v>
      </c>
      <c r="J795" s="6">
        <v>575</v>
      </c>
      <c r="K795" s="6">
        <v>575</v>
      </c>
      <c r="L795" s="6">
        <v>0</v>
      </c>
      <c r="M795" s="6">
        <v>0</v>
      </c>
      <c r="N795" s="6">
        <v>0</v>
      </c>
      <c r="O795" s="6">
        <v>0</v>
      </c>
      <c r="P795" s="6">
        <v>2</v>
      </c>
      <c r="Q795" s="4" t="s">
        <v>60</v>
      </c>
      <c r="R795" s="4">
        <v>0</v>
      </c>
      <c r="S795" s="6">
        <v>23</v>
      </c>
      <c r="T795" s="6">
        <v>0</v>
      </c>
      <c r="U795" s="6">
        <v>0</v>
      </c>
      <c r="V795" s="6">
        <f>IF(ISERROR(VLOOKUP($S$795,'TAR FIN'!$A$1:$O$95,15,0)),0,VLOOKUP($S$795,'TAR FIN'!$A$1:$O$95,15,0))</f>
        <v>28.57</v>
      </c>
      <c r="W795" s="6">
        <f>IF(ISERROR(VLOOKUP($T$795,'TAR FIN'!$A$1:$O$95,15,0)),0,VLOOKUP($T$795,'TAR FIN'!$A$1:$O$95,15,0))</f>
        <v>0</v>
      </c>
      <c r="X795" s="6">
        <f>IF(ISERROR(VLOOKUP($U$795,'TAR FIN'!$A$1:$O$95,15,0)),0,VLOOKUP($U$795,'TAR FIN'!$A$1:$O$95,15,0))</f>
        <v>0</v>
      </c>
      <c r="Y795" s="6">
        <f ca="1">('TUSD BE'!$AM$15+'TUSD BF'!$AM$15+'TUSD CVA'!$AM$15)*1</f>
        <v>31.93064187172984</v>
      </c>
      <c r="Z795" s="6"/>
      <c r="AA795" s="6"/>
      <c r="AB795" s="6">
        <f>$K$795*$V$795</f>
        <v>16427.75</v>
      </c>
      <c r="AC795" s="6">
        <f>$M$795*$W$795</f>
        <v>0</v>
      </c>
      <c r="AD795" s="6">
        <f>$O$795*$X$795</f>
        <v>0</v>
      </c>
      <c r="AE795" s="6">
        <f ca="1">$K$795*$Y$795</f>
        <v>18360.119076244657</v>
      </c>
      <c r="AF795" s="6">
        <f>$M$795*$Z$795</f>
        <v>0</v>
      </c>
      <c r="AG795" s="6">
        <f>$O$795*$AA$795</f>
        <v>0</v>
      </c>
    </row>
    <row r="796" spans="1:33" ht="11.25" customHeight="1" x14ac:dyDescent="0.25">
      <c r="A796" s="4" t="s">
        <v>21</v>
      </c>
      <c r="B796" s="4" t="s">
        <v>35</v>
      </c>
      <c r="C796" s="4" t="s">
        <v>36</v>
      </c>
      <c r="D796" s="4" t="s">
        <v>45</v>
      </c>
      <c r="E796" s="4" t="s">
        <v>25</v>
      </c>
      <c r="F796" s="4" t="s">
        <v>25</v>
      </c>
      <c r="G796" s="4" t="s">
        <v>25</v>
      </c>
      <c r="H796" s="4" t="s">
        <v>25</v>
      </c>
      <c r="I796" s="5">
        <v>44287</v>
      </c>
      <c r="J796" s="6">
        <v>132153</v>
      </c>
      <c r="K796" s="6">
        <v>132153</v>
      </c>
      <c r="L796" s="6">
        <v>0</v>
      </c>
      <c r="M796" s="6">
        <v>0</v>
      </c>
      <c r="N796" s="6">
        <v>0</v>
      </c>
      <c r="O796" s="6">
        <v>0</v>
      </c>
      <c r="P796" s="6">
        <v>840</v>
      </c>
      <c r="Q796" s="4" t="s">
        <v>26</v>
      </c>
      <c r="R796" s="4">
        <v>0</v>
      </c>
      <c r="S796" s="6">
        <v>23</v>
      </c>
      <c r="T796" s="6">
        <v>0</v>
      </c>
      <c r="U796" s="6">
        <v>0</v>
      </c>
      <c r="V796" s="6">
        <f>IF(ISERROR(VLOOKUP($S$796,'TAR FIN'!$A$1:$O$95,15,0)),0,VLOOKUP($S$796,'TAR FIN'!$A$1:$O$95,15,0))</f>
        <v>28.57</v>
      </c>
      <c r="W796" s="6">
        <f>IF(ISERROR(VLOOKUP($T$796,'TAR FIN'!$A$1:$O$95,15,0)),0,VLOOKUP($T$796,'TAR FIN'!$A$1:$O$95,15,0))</f>
        <v>0</v>
      </c>
      <c r="X796" s="6">
        <f>IF(ISERROR(VLOOKUP($U$796,'TAR FIN'!$A$1:$O$95,15,0)),0,VLOOKUP($U$796,'TAR FIN'!$A$1:$O$95,15,0))</f>
        <v>0</v>
      </c>
      <c r="Y796" s="6">
        <f ca="1">('TUSD BE'!$AM$15+'TUSD BF'!$AM$15+'TUSD CVA'!$AM$15)*1</f>
        <v>31.93064187172984</v>
      </c>
      <c r="Z796" s="6"/>
      <c r="AA796" s="6"/>
      <c r="AB796" s="6">
        <f>$K$796*$V$796</f>
        <v>3775611.21</v>
      </c>
      <c r="AC796" s="6">
        <f>$M$796*$W$796</f>
        <v>0</v>
      </c>
      <c r="AD796" s="6">
        <f>$O$796*$X$796</f>
        <v>0</v>
      </c>
      <c r="AE796" s="6">
        <f ca="1">$K$796*$Y$796</f>
        <v>4219730.1152747134</v>
      </c>
      <c r="AF796" s="6">
        <f>$M$796*$Z$796</f>
        <v>0</v>
      </c>
      <c r="AG796" s="6">
        <f>$O$796*$AA$796</f>
        <v>0</v>
      </c>
    </row>
    <row r="797" spans="1:33" ht="11.25" customHeight="1" x14ac:dyDescent="0.25">
      <c r="A797" s="4" t="s">
        <v>27</v>
      </c>
      <c r="B797" s="4" t="s">
        <v>35</v>
      </c>
      <c r="C797" s="4" t="s">
        <v>36</v>
      </c>
      <c r="D797" s="4" t="s">
        <v>45</v>
      </c>
      <c r="E797" s="4" t="s">
        <v>25</v>
      </c>
      <c r="F797" s="4" t="s">
        <v>25</v>
      </c>
      <c r="G797" s="4" t="s">
        <v>25</v>
      </c>
      <c r="H797" s="4" t="s">
        <v>25</v>
      </c>
      <c r="I797" s="5">
        <v>44287</v>
      </c>
      <c r="J797" s="6">
        <v>-3761</v>
      </c>
      <c r="K797" s="6">
        <v>-3761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4" t="s">
        <v>26</v>
      </c>
      <c r="R797" s="4">
        <v>0</v>
      </c>
      <c r="S797" s="6">
        <v>23</v>
      </c>
      <c r="T797" s="6">
        <v>0</v>
      </c>
      <c r="U797" s="6">
        <v>0</v>
      </c>
      <c r="V797" s="6">
        <f>IF(ISERROR(VLOOKUP($S$797,'TAR FIN'!$A$1:$O$95,15,0)),0,VLOOKUP($S$797,'TAR FIN'!$A$1:$O$95,15,0))</f>
        <v>28.57</v>
      </c>
      <c r="W797" s="6">
        <f>IF(ISERROR(VLOOKUP($T$797,'TAR FIN'!$A$1:$O$95,15,0)),0,VLOOKUP($T$797,'TAR FIN'!$A$1:$O$95,15,0))</f>
        <v>0</v>
      </c>
      <c r="X797" s="6">
        <f>IF(ISERROR(VLOOKUP($U$797,'TAR FIN'!$A$1:$O$95,15,0)),0,VLOOKUP($U$797,'TAR FIN'!$A$1:$O$95,15,0))</f>
        <v>0</v>
      </c>
      <c r="Y797" s="6">
        <f ca="1">('TUSD BE'!$AM$15+'TUSD BF'!$AM$15+'TUSD CVA'!$AM$15)*1</f>
        <v>31.93064187172984</v>
      </c>
      <c r="Z797" s="6"/>
      <c r="AA797" s="6"/>
      <c r="AB797" s="6">
        <f>$K$797*$V$797</f>
        <v>-107451.77</v>
      </c>
      <c r="AC797" s="6">
        <f>$M$797*$W$797</f>
        <v>0</v>
      </c>
      <c r="AD797" s="6">
        <f>$O$797*$X$797</f>
        <v>0</v>
      </c>
      <c r="AE797" s="6">
        <f ca="1">$K$797*$Y$797</f>
        <v>-120091.14407957593</v>
      </c>
      <c r="AF797" s="6">
        <f>$M$797*$Z$797</f>
        <v>0</v>
      </c>
      <c r="AG797" s="6">
        <f>$O$797*$AA$797</f>
        <v>0</v>
      </c>
    </row>
    <row r="798" spans="1:33" ht="11.25" customHeight="1" x14ac:dyDescent="0.25">
      <c r="A798" s="4" t="s">
        <v>28</v>
      </c>
      <c r="B798" s="4" t="s">
        <v>35</v>
      </c>
      <c r="C798" s="4" t="s">
        <v>36</v>
      </c>
      <c r="D798" s="4" t="s">
        <v>45</v>
      </c>
      <c r="E798" s="4" t="s">
        <v>25</v>
      </c>
      <c r="F798" s="4" t="s">
        <v>25</v>
      </c>
      <c r="G798" s="4" t="s">
        <v>25</v>
      </c>
      <c r="H798" s="4" t="s">
        <v>25</v>
      </c>
      <c r="I798" s="5">
        <v>44287</v>
      </c>
      <c r="J798" s="6">
        <v>8227</v>
      </c>
      <c r="K798" s="6">
        <v>8227</v>
      </c>
      <c r="L798" s="6">
        <v>0</v>
      </c>
      <c r="M798" s="6">
        <v>0</v>
      </c>
      <c r="N798" s="6">
        <v>0</v>
      </c>
      <c r="O798" s="6">
        <v>0</v>
      </c>
      <c r="P798" s="6">
        <v>108</v>
      </c>
      <c r="Q798" s="4" t="s">
        <v>26</v>
      </c>
      <c r="R798" s="4">
        <v>0</v>
      </c>
      <c r="S798" s="6">
        <v>23</v>
      </c>
      <c r="T798" s="6">
        <v>0</v>
      </c>
      <c r="U798" s="6">
        <v>0</v>
      </c>
      <c r="V798" s="6">
        <f>IF(ISERROR(VLOOKUP($S$798,'TAR FIN'!$A$1:$O$95,15,0)),0,VLOOKUP($S$798,'TAR FIN'!$A$1:$O$95,15,0))</f>
        <v>28.57</v>
      </c>
      <c r="W798" s="6">
        <f>IF(ISERROR(VLOOKUP($T$798,'TAR FIN'!$A$1:$O$95,15,0)),0,VLOOKUP($T$798,'TAR FIN'!$A$1:$O$95,15,0))</f>
        <v>0</v>
      </c>
      <c r="X798" s="6">
        <f>IF(ISERROR(VLOOKUP($U$798,'TAR FIN'!$A$1:$O$95,15,0)),0,VLOOKUP($U$798,'TAR FIN'!$A$1:$O$95,15,0))</f>
        <v>0</v>
      </c>
      <c r="Y798" s="6">
        <f ca="1">('TUSD BE'!$AM$15+'TUSD BF'!$AM$15+'TUSD CVA'!$AM$15)*1</f>
        <v>31.93064187172984</v>
      </c>
      <c r="Z798" s="6"/>
      <c r="AA798" s="6"/>
      <c r="AB798" s="6">
        <f>$K$798*$V$798</f>
        <v>235045.39</v>
      </c>
      <c r="AC798" s="6">
        <f>$M$798*$W$798</f>
        <v>0</v>
      </c>
      <c r="AD798" s="6">
        <f>$O$798*$X$798</f>
        <v>0</v>
      </c>
      <c r="AE798" s="6">
        <f ca="1">$K$798*$Y$798</f>
        <v>262693.39067872142</v>
      </c>
      <c r="AF798" s="6">
        <f>$M$798*$Z$798</f>
        <v>0</v>
      </c>
      <c r="AG798" s="6">
        <f>$O$798*$AA$798</f>
        <v>0</v>
      </c>
    </row>
    <row r="799" spans="1:33" ht="11.25" customHeight="1" x14ac:dyDescent="0.25">
      <c r="A799" s="4" t="s">
        <v>30</v>
      </c>
      <c r="B799" s="4" t="s">
        <v>35</v>
      </c>
      <c r="C799" s="4" t="s">
        <v>36</v>
      </c>
      <c r="D799" s="4" t="s">
        <v>45</v>
      </c>
      <c r="E799" s="4" t="s">
        <v>25</v>
      </c>
      <c r="F799" s="4" t="s">
        <v>25</v>
      </c>
      <c r="G799" s="4" t="s">
        <v>25</v>
      </c>
      <c r="H799" s="4" t="s">
        <v>25</v>
      </c>
      <c r="I799" s="5">
        <v>44287</v>
      </c>
      <c r="J799" s="6">
        <v>7873</v>
      </c>
      <c r="K799" s="6">
        <v>7873</v>
      </c>
      <c r="L799" s="6">
        <v>0</v>
      </c>
      <c r="M799" s="6">
        <v>0</v>
      </c>
      <c r="N799" s="6">
        <v>0</v>
      </c>
      <c r="O799" s="6">
        <v>0</v>
      </c>
      <c r="P799" s="6">
        <v>37</v>
      </c>
      <c r="Q799" s="4" t="s">
        <v>26</v>
      </c>
      <c r="R799" s="4">
        <v>0</v>
      </c>
      <c r="S799" s="6">
        <v>23</v>
      </c>
      <c r="T799" s="6">
        <v>0</v>
      </c>
      <c r="U799" s="6">
        <v>0</v>
      </c>
      <c r="V799" s="6">
        <f>IF(ISERROR(VLOOKUP($S$799,'TAR FIN'!$A$1:$O$95,15,0)),0,VLOOKUP($S$799,'TAR FIN'!$A$1:$O$95,15,0))</f>
        <v>28.57</v>
      </c>
      <c r="W799" s="6">
        <f>IF(ISERROR(VLOOKUP($T$799,'TAR FIN'!$A$1:$O$95,15,0)),0,VLOOKUP($T$799,'TAR FIN'!$A$1:$O$95,15,0))</f>
        <v>0</v>
      </c>
      <c r="X799" s="6">
        <f>IF(ISERROR(VLOOKUP($U$799,'TAR FIN'!$A$1:$O$95,15,0)),0,VLOOKUP($U$799,'TAR FIN'!$A$1:$O$95,15,0))</f>
        <v>0</v>
      </c>
      <c r="Y799" s="6">
        <f ca="1">('TUSD BE'!$AM$15+'TUSD BF'!$AM$15+'TUSD CVA'!$AM$15)*1</f>
        <v>31.93064187172984</v>
      </c>
      <c r="Z799" s="6"/>
      <c r="AA799" s="6"/>
      <c r="AB799" s="6">
        <f>$K$799*$V$799</f>
        <v>224931.61000000002</v>
      </c>
      <c r="AC799" s="6">
        <f>$M$799*$W$799</f>
        <v>0</v>
      </c>
      <c r="AD799" s="6">
        <f>$O$799*$X$799</f>
        <v>0</v>
      </c>
      <c r="AE799" s="6">
        <f ca="1">$K$799*$Y$799</f>
        <v>251389.94345612903</v>
      </c>
      <c r="AF799" s="6">
        <f>$M$799*$Z$799</f>
        <v>0</v>
      </c>
      <c r="AG799" s="6">
        <f>$O$799*$AA$799</f>
        <v>0</v>
      </c>
    </row>
    <row r="800" spans="1:33" ht="11.25" customHeight="1" x14ac:dyDescent="0.25">
      <c r="A800" s="4" t="s">
        <v>21</v>
      </c>
      <c r="B800" s="4" t="s">
        <v>35</v>
      </c>
      <c r="C800" s="4" t="s">
        <v>36</v>
      </c>
      <c r="D800" s="4" t="s">
        <v>45</v>
      </c>
      <c r="E800" s="4" t="s">
        <v>25</v>
      </c>
      <c r="F800" s="4" t="s">
        <v>25</v>
      </c>
      <c r="G800" s="4" t="s">
        <v>25</v>
      </c>
      <c r="H800" s="4" t="s">
        <v>25</v>
      </c>
      <c r="I800" s="5">
        <v>44287</v>
      </c>
      <c r="J800" s="6">
        <v>575</v>
      </c>
      <c r="K800" s="6">
        <v>575</v>
      </c>
      <c r="L800" s="6">
        <v>0</v>
      </c>
      <c r="M800" s="6">
        <v>0</v>
      </c>
      <c r="N800" s="6">
        <v>0</v>
      </c>
      <c r="O800" s="6">
        <v>0</v>
      </c>
      <c r="P800" s="6">
        <v>2</v>
      </c>
      <c r="Q800" s="4" t="s">
        <v>60</v>
      </c>
      <c r="R800" s="4">
        <v>0</v>
      </c>
      <c r="S800" s="6">
        <v>23</v>
      </c>
      <c r="T800" s="6">
        <v>0</v>
      </c>
      <c r="U800" s="6">
        <v>0</v>
      </c>
      <c r="V800" s="6">
        <f>IF(ISERROR(VLOOKUP($S$800,'TAR FIN'!$A$1:$O$95,15,0)),0,VLOOKUP($S$800,'TAR FIN'!$A$1:$O$95,15,0))</f>
        <v>28.57</v>
      </c>
      <c r="W800" s="6">
        <f>IF(ISERROR(VLOOKUP($T$800,'TAR FIN'!$A$1:$O$95,15,0)),0,VLOOKUP($T$800,'TAR FIN'!$A$1:$O$95,15,0))</f>
        <v>0</v>
      </c>
      <c r="X800" s="6">
        <f>IF(ISERROR(VLOOKUP($U$800,'TAR FIN'!$A$1:$O$95,15,0)),0,VLOOKUP($U$800,'TAR FIN'!$A$1:$O$95,15,0))</f>
        <v>0</v>
      </c>
      <c r="Y800" s="6">
        <f ca="1">('TUSD BE'!$AM$15+'TUSD BF'!$AM$15+'TUSD CVA'!$AM$15)*1</f>
        <v>31.93064187172984</v>
      </c>
      <c r="Z800" s="6"/>
      <c r="AA800" s="6"/>
      <c r="AB800" s="6">
        <f>$K$800*$V$800</f>
        <v>16427.75</v>
      </c>
      <c r="AC800" s="6">
        <f>$M$800*$W$800</f>
        <v>0</v>
      </c>
      <c r="AD800" s="6">
        <f>$O$800*$X$800</f>
        <v>0</v>
      </c>
      <c r="AE800" s="6">
        <f ca="1">$K$800*$Y$800</f>
        <v>18360.119076244657</v>
      </c>
      <c r="AF800" s="6">
        <f>$M$800*$Z$800</f>
        <v>0</v>
      </c>
      <c r="AG800" s="6">
        <f>$O$800*$AA$800</f>
        <v>0</v>
      </c>
    </row>
    <row r="801" spans="1:33" ht="11.25" customHeight="1" x14ac:dyDescent="0.25">
      <c r="A801" s="4" t="s">
        <v>21</v>
      </c>
      <c r="B801" s="4" t="s">
        <v>35</v>
      </c>
      <c r="C801" s="4" t="s">
        <v>36</v>
      </c>
      <c r="D801" s="4" t="s">
        <v>45</v>
      </c>
      <c r="E801" s="4" t="s">
        <v>25</v>
      </c>
      <c r="F801" s="4" t="s">
        <v>25</v>
      </c>
      <c r="G801" s="4" t="s">
        <v>25</v>
      </c>
      <c r="H801" s="4" t="s">
        <v>25</v>
      </c>
      <c r="I801" s="5">
        <v>44317</v>
      </c>
      <c r="J801" s="6">
        <v>131251</v>
      </c>
      <c r="K801" s="6">
        <v>131251</v>
      </c>
      <c r="L801" s="6">
        <v>0</v>
      </c>
      <c r="M801" s="6">
        <v>0</v>
      </c>
      <c r="N801" s="6">
        <v>0</v>
      </c>
      <c r="O801" s="6">
        <v>0</v>
      </c>
      <c r="P801" s="6">
        <v>840</v>
      </c>
      <c r="Q801" s="4" t="s">
        <v>26</v>
      </c>
      <c r="R801" s="4">
        <v>0</v>
      </c>
      <c r="S801" s="6">
        <v>23</v>
      </c>
      <c r="T801" s="6">
        <v>0</v>
      </c>
      <c r="U801" s="6">
        <v>0</v>
      </c>
      <c r="V801" s="6">
        <f>IF(ISERROR(VLOOKUP($S$801,'TAR FIN'!$A$1:$O$95,15,0)),0,VLOOKUP($S$801,'TAR FIN'!$A$1:$O$95,15,0))</f>
        <v>28.57</v>
      </c>
      <c r="W801" s="6">
        <f>IF(ISERROR(VLOOKUP($T$801,'TAR FIN'!$A$1:$O$95,15,0)),0,VLOOKUP($T$801,'TAR FIN'!$A$1:$O$95,15,0))</f>
        <v>0</v>
      </c>
      <c r="X801" s="6">
        <f>IF(ISERROR(VLOOKUP($U$801,'TAR FIN'!$A$1:$O$95,15,0)),0,VLOOKUP($U$801,'TAR FIN'!$A$1:$O$95,15,0))</f>
        <v>0</v>
      </c>
      <c r="Y801" s="6">
        <f ca="1">('TUSD BE'!$AM$15+'TUSD BF'!$AM$15+'TUSD CVA'!$AM$15)*1</f>
        <v>31.93064187172984</v>
      </c>
      <c r="Z801" s="6"/>
      <c r="AA801" s="6"/>
      <c r="AB801" s="6">
        <f>$K$801*$V$801</f>
        <v>3749841.07</v>
      </c>
      <c r="AC801" s="6">
        <f>$M$801*$W$801</f>
        <v>0</v>
      </c>
      <c r="AD801" s="6">
        <f>$O$801*$X$801</f>
        <v>0</v>
      </c>
      <c r="AE801" s="6">
        <f ca="1">$K$801*$Y$801</f>
        <v>4190928.676306413</v>
      </c>
      <c r="AF801" s="6">
        <f>$M$801*$Z$801</f>
        <v>0</v>
      </c>
      <c r="AG801" s="6">
        <f>$O$801*$AA$801</f>
        <v>0</v>
      </c>
    </row>
    <row r="802" spans="1:33" ht="11.25" customHeight="1" x14ac:dyDescent="0.25">
      <c r="A802" s="4" t="s">
        <v>27</v>
      </c>
      <c r="B802" s="4" t="s">
        <v>35</v>
      </c>
      <c r="C802" s="4" t="s">
        <v>36</v>
      </c>
      <c r="D802" s="4" t="s">
        <v>45</v>
      </c>
      <c r="E802" s="4" t="s">
        <v>25</v>
      </c>
      <c r="F802" s="4" t="s">
        <v>25</v>
      </c>
      <c r="G802" s="4" t="s">
        <v>25</v>
      </c>
      <c r="H802" s="4" t="s">
        <v>25</v>
      </c>
      <c r="I802" s="5">
        <v>44317</v>
      </c>
      <c r="J802" s="6">
        <v>-1464</v>
      </c>
      <c r="K802" s="6">
        <v>-1464</v>
      </c>
      <c r="L802" s="6">
        <v>0</v>
      </c>
      <c r="M802" s="6">
        <v>0</v>
      </c>
      <c r="N802" s="6">
        <v>0</v>
      </c>
      <c r="O802" s="6">
        <v>0</v>
      </c>
      <c r="P802" s="6">
        <v>0</v>
      </c>
      <c r="Q802" s="4" t="s">
        <v>26</v>
      </c>
      <c r="R802" s="4">
        <v>0</v>
      </c>
      <c r="S802" s="6">
        <v>23</v>
      </c>
      <c r="T802" s="6">
        <v>0</v>
      </c>
      <c r="U802" s="6">
        <v>0</v>
      </c>
      <c r="V802" s="6">
        <f>IF(ISERROR(VLOOKUP($S$802,'TAR FIN'!$A$1:$O$95,15,0)),0,VLOOKUP($S$802,'TAR FIN'!$A$1:$O$95,15,0))</f>
        <v>28.57</v>
      </c>
      <c r="W802" s="6">
        <f>IF(ISERROR(VLOOKUP($T$802,'TAR FIN'!$A$1:$O$95,15,0)),0,VLOOKUP($T$802,'TAR FIN'!$A$1:$O$95,15,0))</f>
        <v>0</v>
      </c>
      <c r="X802" s="6">
        <f>IF(ISERROR(VLOOKUP($U$802,'TAR FIN'!$A$1:$O$95,15,0)),0,VLOOKUP($U$802,'TAR FIN'!$A$1:$O$95,15,0))</f>
        <v>0</v>
      </c>
      <c r="Y802" s="6">
        <f ca="1">('TUSD BE'!$AM$15+'TUSD BF'!$AM$15+'TUSD CVA'!$AM$15)*1</f>
        <v>31.93064187172984</v>
      </c>
      <c r="Z802" s="6"/>
      <c r="AA802" s="6"/>
      <c r="AB802" s="6">
        <f>$K$802*$V$802</f>
        <v>-41826.480000000003</v>
      </c>
      <c r="AC802" s="6">
        <f>$M$802*$W$802</f>
        <v>0</v>
      </c>
      <c r="AD802" s="6">
        <f>$O$802*$X$802</f>
        <v>0</v>
      </c>
      <c r="AE802" s="6">
        <f ca="1">$K$802*$Y$802</f>
        <v>-46746.459700212486</v>
      </c>
      <c r="AF802" s="6">
        <f>$M$802*$Z$802</f>
        <v>0</v>
      </c>
      <c r="AG802" s="6">
        <f>$O$802*$AA$802</f>
        <v>0</v>
      </c>
    </row>
    <row r="803" spans="1:33" ht="11.25" customHeight="1" x14ac:dyDescent="0.25">
      <c r="A803" s="4" t="s">
        <v>28</v>
      </c>
      <c r="B803" s="4" t="s">
        <v>35</v>
      </c>
      <c r="C803" s="4" t="s">
        <v>36</v>
      </c>
      <c r="D803" s="4" t="s">
        <v>45</v>
      </c>
      <c r="E803" s="4" t="s">
        <v>25</v>
      </c>
      <c r="F803" s="4" t="s">
        <v>25</v>
      </c>
      <c r="G803" s="4" t="s">
        <v>25</v>
      </c>
      <c r="H803" s="4" t="s">
        <v>25</v>
      </c>
      <c r="I803" s="5">
        <v>44317</v>
      </c>
      <c r="J803" s="6">
        <v>8698</v>
      </c>
      <c r="K803" s="6">
        <v>8698</v>
      </c>
      <c r="L803" s="6">
        <v>0</v>
      </c>
      <c r="M803" s="6">
        <v>0</v>
      </c>
      <c r="N803" s="6">
        <v>0</v>
      </c>
      <c r="O803" s="6">
        <v>0</v>
      </c>
      <c r="P803" s="6">
        <v>108</v>
      </c>
      <c r="Q803" s="4" t="s">
        <v>26</v>
      </c>
      <c r="R803" s="4">
        <v>0</v>
      </c>
      <c r="S803" s="6">
        <v>23</v>
      </c>
      <c r="T803" s="6">
        <v>0</v>
      </c>
      <c r="U803" s="6">
        <v>0</v>
      </c>
      <c r="V803" s="6">
        <f>IF(ISERROR(VLOOKUP($S$803,'TAR FIN'!$A$1:$O$95,15,0)),0,VLOOKUP($S$803,'TAR FIN'!$A$1:$O$95,15,0))</f>
        <v>28.57</v>
      </c>
      <c r="W803" s="6">
        <f>IF(ISERROR(VLOOKUP($T$803,'TAR FIN'!$A$1:$O$95,15,0)),0,VLOOKUP($T$803,'TAR FIN'!$A$1:$O$95,15,0))</f>
        <v>0</v>
      </c>
      <c r="X803" s="6">
        <f>IF(ISERROR(VLOOKUP($U$803,'TAR FIN'!$A$1:$O$95,15,0)),0,VLOOKUP($U$803,'TAR FIN'!$A$1:$O$95,15,0))</f>
        <v>0</v>
      </c>
      <c r="Y803" s="6">
        <f ca="1">('TUSD BE'!$AM$15+'TUSD BF'!$AM$15+'TUSD CVA'!$AM$15)*1</f>
        <v>31.93064187172984</v>
      </c>
      <c r="Z803" s="6"/>
      <c r="AA803" s="6"/>
      <c r="AB803" s="6">
        <f>$K$803*$V$803</f>
        <v>248501.86000000002</v>
      </c>
      <c r="AC803" s="6">
        <f>$M$803*$W$803</f>
        <v>0</v>
      </c>
      <c r="AD803" s="6">
        <f>$O$803*$X$803</f>
        <v>0</v>
      </c>
      <c r="AE803" s="6">
        <f ca="1">$K$803*$Y$803</f>
        <v>277732.72300030617</v>
      </c>
      <c r="AF803" s="6">
        <f>$M$803*$Z$803</f>
        <v>0</v>
      </c>
      <c r="AG803" s="6">
        <f>$O$803*$AA$803</f>
        <v>0</v>
      </c>
    </row>
    <row r="804" spans="1:33" ht="11.25" customHeight="1" x14ac:dyDescent="0.25">
      <c r="A804" s="4" t="s">
        <v>30</v>
      </c>
      <c r="B804" s="4" t="s">
        <v>35</v>
      </c>
      <c r="C804" s="4" t="s">
        <v>36</v>
      </c>
      <c r="D804" s="4" t="s">
        <v>45</v>
      </c>
      <c r="E804" s="4" t="s">
        <v>25</v>
      </c>
      <c r="F804" s="4" t="s">
        <v>25</v>
      </c>
      <c r="G804" s="4" t="s">
        <v>25</v>
      </c>
      <c r="H804" s="4" t="s">
        <v>25</v>
      </c>
      <c r="I804" s="5">
        <v>44317</v>
      </c>
      <c r="J804" s="6">
        <v>8672</v>
      </c>
      <c r="K804" s="6">
        <v>8672</v>
      </c>
      <c r="L804" s="6">
        <v>0</v>
      </c>
      <c r="M804" s="6">
        <v>0</v>
      </c>
      <c r="N804" s="6">
        <v>0</v>
      </c>
      <c r="O804" s="6">
        <v>0</v>
      </c>
      <c r="P804" s="6">
        <v>39</v>
      </c>
      <c r="Q804" s="4" t="s">
        <v>26</v>
      </c>
      <c r="R804" s="4">
        <v>0</v>
      </c>
      <c r="S804" s="6">
        <v>23</v>
      </c>
      <c r="T804" s="6">
        <v>0</v>
      </c>
      <c r="U804" s="6">
        <v>0</v>
      </c>
      <c r="V804" s="6">
        <f>IF(ISERROR(VLOOKUP($S$804,'TAR FIN'!$A$1:$O$95,15,0)),0,VLOOKUP($S$804,'TAR FIN'!$A$1:$O$95,15,0))</f>
        <v>28.57</v>
      </c>
      <c r="W804" s="6">
        <f>IF(ISERROR(VLOOKUP($T$804,'TAR FIN'!$A$1:$O$95,15,0)),0,VLOOKUP($T$804,'TAR FIN'!$A$1:$O$95,15,0))</f>
        <v>0</v>
      </c>
      <c r="X804" s="6">
        <f>IF(ISERROR(VLOOKUP($U$804,'TAR FIN'!$A$1:$O$95,15,0)),0,VLOOKUP($U$804,'TAR FIN'!$A$1:$O$95,15,0))</f>
        <v>0</v>
      </c>
      <c r="Y804" s="6">
        <f ca="1">('TUSD BE'!$AM$15+'TUSD BF'!$AM$15+'TUSD CVA'!$AM$15)*1</f>
        <v>31.93064187172984</v>
      </c>
      <c r="Z804" s="6"/>
      <c r="AA804" s="6"/>
      <c r="AB804" s="6">
        <f>$K$804*$V$804</f>
        <v>247759.04</v>
      </c>
      <c r="AC804" s="6">
        <f>$M$804*$W$804</f>
        <v>0</v>
      </c>
      <c r="AD804" s="6">
        <f>$O$804*$X$804</f>
        <v>0</v>
      </c>
      <c r="AE804" s="6">
        <f ca="1">$K$804*$Y$804</f>
        <v>276902.52631164115</v>
      </c>
      <c r="AF804" s="6">
        <f>$M$804*$Z$804</f>
        <v>0</v>
      </c>
      <c r="AG804" s="6">
        <f>$O$804*$AA$804</f>
        <v>0</v>
      </c>
    </row>
    <row r="805" spans="1:33" ht="11.25" customHeight="1" x14ac:dyDescent="0.25">
      <c r="A805" s="4" t="s">
        <v>21</v>
      </c>
      <c r="B805" s="4" t="s">
        <v>35</v>
      </c>
      <c r="C805" s="4" t="s">
        <v>36</v>
      </c>
      <c r="D805" s="4" t="s">
        <v>45</v>
      </c>
      <c r="E805" s="4" t="s">
        <v>25</v>
      </c>
      <c r="F805" s="4" t="s">
        <v>25</v>
      </c>
      <c r="G805" s="4" t="s">
        <v>25</v>
      </c>
      <c r="H805" s="4" t="s">
        <v>25</v>
      </c>
      <c r="I805" s="5">
        <v>44317</v>
      </c>
      <c r="J805" s="6">
        <v>575</v>
      </c>
      <c r="K805" s="6">
        <v>575</v>
      </c>
      <c r="L805" s="6">
        <v>0</v>
      </c>
      <c r="M805" s="6">
        <v>0</v>
      </c>
      <c r="N805" s="6">
        <v>0</v>
      </c>
      <c r="O805" s="6">
        <v>0</v>
      </c>
      <c r="P805" s="6">
        <v>2</v>
      </c>
      <c r="Q805" s="4" t="s">
        <v>60</v>
      </c>
      <c r="R805" s="4">
        <v>0</v>
      </c>
      <c r="S805" s="6">
        <v>23</v>
      </c>
      <c r="T805" s="6">
        <v>0</v>
      </c>
      <c r="U805" s="6">
        <v>0</v>
      </c>
      <c r="V805" s="6">
        <f>IF(ISERROR(VLOOKUP($S$805,'TAR FIN'!$A$1:$O$95,15,0)),0,VLOOKUP($S$805,'TAR FIN'!$A$1:$O$95,15,0))</f>
        <v>28.57</v>
      </c>
      <c r="W805" s="6">
        <f>IF(ISERROR(VLOOKUP($T$805,'TAR FIN'!$A$1:$O$95,15,0)),0,VLOOKUP($T$805,'TAR FIN'!$A$1:$O$95,15,0))</f>
        <v>0</v>
      </c>
      <c r="X805" s="6">
        <f>IF(ISERROR(VLOOKUP($U$805,'TAR FIN'!$A$1:$O$95,15,0)),0,VLOOKUP($U$805,'TAR FIN'!$A$1:$O$95,15,0))</f>
        <v>0</v>
      </c>
      <c r="Y805" s="6">
        <f ca="1">('TUSD BE'!$AM$15+'TUSD BF'!$AM$15+'TUSD CVA'!$AM$15)*1</f>
        <v>31.93064187172984</v>
      </c>
      <c r="Z805" s="6"/>
      <c r="AA805" s="6"/>
      <c r="AB805" s="6">
        <f>$K$805*$V$805</f>
        <v>16427.75</v>
      </c>
      <c r="AC805" s="6">
        <f>$M$805*$W$805</f>
        <v>0</v>
      </c>
      <c r="AD805" s="6">
        <f>$O$805*$X$805</f>
        <v>0</v>
      </c>
      <c r="AE805" s="6">
        <f ca="1">$K$805*$Y$805</f>
        <v>18360.119076244657</v>
      </c>
      <c r="AF805" s="6">
        <f>$M$805*$Z$805</f>
        <v>0</v>
      </c>
      <c r="AG805" s="6">
        <f>$O$805*$AA$805</f>
        <v>0</v>
      </c>
    </row>
    <row r="806" spans="1:33" ht="11.25" customHeight="1" x14ac:dyDescent="0.25">
      <c r="A806" s="4" t="s">
        <v>21</v>
      </c>
      <c r="B806" s="4" t="s">
        <v>35</v>
      </c>
      <c r="C806" s="4" t="s">
        <v>36</v>
      </c>
      <c r="D806" s="4" t="s">
        <v>45</v>
      </c>
      <c r="E806" s="4" t="s">
        <v>25</v>
      </c>
      <c r="F806" s="4" t="s">
        <v>25</v>
      </c>
      <c r="G806" s="4" t="s">
        <v>25</v>
      </c>
      <c r="H806" s="4" t="s">
        <v>25</v>
      </c>
      <c r="I806" s="5">
        <v>44348</v>
      </c>
      <c r="J806" s="6">
        <v>130281</v>
      </c>
      <c r="K806" s="6">
        <v>130281</v>
      </c>
      <c r="L806" s="6">
        <v>0</v>
      </c>
      <c r="M806" s="6">
        <v>0</v>
      </c>
      <c r="N806" s="6">
        <v>0</v>
      </c>
      <c r="O806" s="6">
        <v>0</v>
      </c>
      <c r="P806" s="6">
        <v>837</v>
      </c>
      <c r="Q806" s="4" t="s">
        <v>26</v>
      </c>
      <c r="R806" s="4">
        <v>0</v>
      </c>
      <c r="S806" s="6">
        <v>23</v>
      </c>
      <c r="T806" s="6">
        <v>0</v>
      </c>
      <c r="U806" s="6">
        <v>0</v>
      </c>
      <c r="V806" s="6">
        <f>IF(ISERROR(VLOOKUP($S$806,'TAR FIN'!$A$1:$O$95,15,0)),0,VLOOKUP($S$806,'TAR FIN'!$A$1:$O$95,15,0))</f>
        <v>28.57</v>
      </c>
      <c r="W806" s="6">
        <f>IF(ISERROR(VLOOKUP($T$806,'TAR FIN'!$A$1:$O$95,15,0)),0,VLOOKUP($T$806,'TAR FIN'!$A$1:$O$95,15,0))</f>
        <v>0</v>
      </c>
      <c r="X806" s="6">
        <f>IF(ISERROR(VLOOKUP($U$806,'TAR FIN'!$A$1:$O$95,15,0)),0,VLOOKUP($U$806,'TAR FIN'!$A$1:$O$95,15,0))</f>
        <v>0</v>
      </c>
      <c r="Y806" s="6">
        <f ca="1">('TUSD BE'!$AM$15+'TUSD BF'!$AM$15+'TUSD CVA'!$AM$15)*1</f>
        <v>31.93064187172984</v>
      </c>
      <c r="Z806" s="6"/>
      <c r="AA806" s="6"/>
      <c r="AB806" s="6">
        <f>$K$806*$V$806</f>
        <v>3722128.17</v>
      </c>
      <c r="AC806" s="6">
        <f>$M$806*$W$806</f>
        <v>0</v>
      </c>
      <c r="AD806" s="6">
        <f>$O$806*$X$806</f>
        <v>0</v>
      </c>
      <c r="AE806" s="6">
        <f ca="1">$K$806*$Y$806</f>
        <v>4159955.9536908353</v>
      </c>
      <c r="AF806" s="6">
        <f>$M$806*$Z$806</f>
        <v>0</v>
      </c>
      <c r="AG806" s="6">
        <f>$O$806*$AA$806</f>
        <v>0</v>
      </c>
    </row>
    <row r="807" spans="1:33" ht="11.25" customHeight="1" x14ac:dyDescent="0.25">
      <c r="A807" s="4" t="s">
        <v>27</v>
      </c>
      <c r="B807" s="4" t="s">
        <v>35</v>
      </c>
      <c r="C807" s="4" t="s">
        <v>36</v>
      </c>
      <c r="D807" s="4" t="s">
        <v>45</v>
      </c>
      <c r="E807" s="4" t="s">
        <v>25</v>
      </c>
      <c r="F807" s="4" t="s">
        <v>25</v>
      </c>
      <c r="G807" s="4" t="s">
        <v>25</v>
      </c>
      <c r="H807" s="4" t="s">
        <v>25</v>
      </c>
      <c r="I807" s="5">
        <v>44348</v>
      </c>
      <c r="J807" s="6">
        <v>-540</v>
      </c>
      <c r="K807" s="6">
        <v>-540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4" t="s">
        <v>26</v>
      </c>
      <c r="R807" s="4">
        <v>0</v>
      </c>
      <c r="S807" s="6">
        <v>23</v>
      </c>
      <c r="T807" s="6">
        <v>0</v>
      </c>
      <c r="U807" s="6">
        <v>0</v>
      </c>
      <c r="V807" s="6">
        <f>IF(ISERROR(VLOOKUP($S$807,'TAR FIN'!$A$1:$O$95,15,0)),0,VLOOKUP($S$807,'TAR FIN'!$A$1:$O$95,15,0))</f>
        <v>28.57</v>
      </c>
      <c r="W807" s="6">
        <f>IF(ISERROR(VLOOKUP($T$807,'TAR FIN'!$A$1:$O$95,15,0)),0,VLOOKUP($T$807,'TAR FIN'!$A$1:$O$95,15,0))</f>
        <v>0</v>
      </c>
      <c r="X807" s="6">
        <f>IF(ISERROR(VLOOKUP($U$807,'TAR FIN'!$A$1:$O$95,15,0)),0,VLOOKUP($U$807,'TAR FIN'!$A$1:$O$95,15,0))</f>
        <v>0</v>
      </c>
      <c r="Y807" s="6">
        <f ca="1">('TUSD BE'!$AM$15+'TUSD BF'!$AM$15+'TUSD CVA'!$AM$15)*1</f>
        <v>31.93064187172984</v>
      </c>
      <c r="Z807" s="6"/>
      <c r="AA807" s="6"/>
      <c r="AB807" s="6">
        <f>$K$807*$V$807</f>
        <v>-15427.8</v>
      </c>
      <c r="AC807" s="6">
        <f>$M$807*$W$807</f>
        <v>0</v>
      </c>
      <c r="AD807" s="6">
        <f>$O$807*$X$807</f>
        <v>0</v>
      </c>
      <c r="AE807" s="6">
        <f ca="1">$K$807*$Y$807</f>
        <v>-17242.546610734113</v>
      </c>
      <c r="AF807" s="6">
        <f>$M$807*$Z$807</f>
        <v>0</v>
      </c>
      <c r="AG807" s="6">
        <f>$O$807*$AA$807</f>
        <v>0</v>
      </c>
    </row>
    <row r="808" spans="1:33" ht="11.25" customHeight="1" x14ac:dyDescent="0.25">
      <c r="A808" s="4" t="s">
        <v>28</v>
      </c>
      <c r="B808" s="4" t="s">
        <v>35</v>
      </c>
      <c r="C808" s="4" t="s">
        <v>36</v>
      </c>
      <c r="D808" s="4" t="s">
        <v>45</v>
      </c>
      <c r="E808" s="4" t="s">
        <v>25</v>
      </c>
      <c r="F808" s="4" t="s">
        <v>25</v>
      </c>
      <c r="G808" s="4" t="s">
        <v>25</v>
      </c>
      <c r="H808" s="4" t="s">
        <v>25</v>
      </c>
      <c r="I808" s="5">
        <v>44348</v>
      </c>
      <c r="J808" s="6">
        <v>8950</v>
      </c>
      <c r="K808" s="6">
        <v>8950</v>
      </c>
      <c r="L808" s="6">
        <v>0</v>
      </c>
      <c r="M808" s="6">
        <v>0</v>
      </c>
      <c r="N808" s="6">
        <v>0</v>
      </c>
      <c r="O808" s="6">
        <v>0</v>
      </c>
      <c r="P808" s="6">
        <v>108</v>
      </c>
      <c r="Q808" s="4" t="s">
        <v>26</v>
      </c>
      <c r="R808" s="4">
        <v>0</v>
      </c>
      <c r="S808" s="6">
        <v>23</v>
      </c>
      <c r="T808" s="6">
        <v>0</v>
      </c>
      <c r="U808" s="6">
        <v>0</v>
      </c>
      <c r="V808" s="6">
        <f>IF(ISERROR(VLOOKUP($S$808,'TAR FIN'!$A$1:$O$95,15,0)),0,VLOOKUP($S$808,'TAR FIN'!$A$1:$O$95,15,0))</f>
        <v>28.57</v>
      </c>
      <c r="W808" s="6">
        <f>IF(ISERROR(VLOOKUP($T$808,'TAR FIN'!$A$1:$O$95,15,0)),0,VLOOKUP($T$808,'TAR FIN'!$A$1:$O$95,15,0))</f>
        <v>0</v>
      </c>
      <c r="X808" s="6">
        <f>IF(ISERROR(VLOOKUP($U$808,'TAR FIN'!$A$1:$O$95,15,0)),0,VLOOKUP($U$808,'TAR FIN'!$A$1:$O$95,15,0))</f>
        <v>0</v>
      </c>
      <c r="Y808" s="6">
        <f ca="1">('TUSD BE'!$AM$15+'TUSD BF'!$AM$15+'TUSD CVA'!$AM$15)*1</f>
        <v>31.93064187172984</v>
      </c>
      <c r="Z808" s="6"/>
      <c r="AA808" s="6"/>
      <c r="AB808" s="6">
        <f>$K$808*$V$808</f>
        <v>255701.5</v>
      </c>
      <c r="AC808" s="6">
        <f>$M$808*$W$808</f>
        <v>0</v>
      </c>
      <c r="AD808" s="6">
        <f>$O$808*$X$808</f>
        <v>0</v>
      </c>
      <c r="AE808" s="6">
        <f ca="1">$K$808*$Y$808</f>
        <v>285779.24475198204</v>
      </c>
      <c r="AF808" s="6">
        <f>$M$808*$Z$808</f>
        <v>0</v>
      </c>
      <c r="AG808" s="6">
        <f>$O$808*$AA$808</f>
        <v>0</v>
      </c>
    </row>
    <row r="809" spans="1:33" ht="11.25" customHeight="1" x14ac:dyDescent="0.25">
      <c r="A809" s="4" t="s">
        <v>29</v>
      </c>
      <c r="B809" s="4" t="s">
        <v>35</v>
      </c>
      <c r="C809" s="4" t="s">
        <v>36</v>
      </c>
      <c r="D809" s="4" t="s">
        <v>45</v>
      </c>
      <c r="E809" s="4" t="s">
        <v>25</v>
      </c>
      <c r="F809" s="4" t="s">
        <v>25</v>
      </c>
      <c r="G809" s="4" t="s">
        <v>25</v>
      </c>
      <c r="H809" s="4" t="s">
        <v>25</v>
      </c>
      <c r="I809" s="5">
        <v>44348</v>
      </c>
      <c r="J809" s="6">
        <v>-568</v>
      </c>
      <c r="K809" s="6">
        <v>-568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4" t="s">
        <v>26</v>
      </c>
      <c r="R809" s="4">
        <v>0</v>
      </c>
      <c r="S809" s="6">
        <v>23</v>
      </c>
      <c r="T809" s="6">
        <v>0</v>
      </c>
      <c r="U809" s="6">
        <v>0</v>
      </c>
      <c r="V809" s="6">
        <f>IF(ISERROR(VLOOKUP($S$809,'TAR FIN'!$A$1:$O$95,15,0)),0,VLOOKUP($S$809,'TAR FIN'!$A$1:$O$95,15,0))</f>
        <v>28.57</v>
      </c>
      <c r="W809" s="6">
        <f>IF(ISERROR(VLOOKUP($T$809,'TAR FIN'!$A$1:$O$95,15,0)),0,VLOOKUP($T$809,'TAR FIN'!$A$1:$O$95,15,0))</f>
        <v>0</v>
      </c>
      <c r="X809" s="6">
        <f>IF(ISERROR(VLOOKUP($U$809,'TAR FIN'!$A$1:$O$95,15,0)),0,VLOOKUP($U$809,'TAR FIN'!$A$1:$O$95,15,0))</f>
        <v>0</v>
      </c>
      <c r="Y809" s="6">
        <f ca="1">('TUSD BE'!$AM$15+'TUSD BF'!$AM$15+'TUSD CVA'!$AM$15)*1</f>
        <v>31.93064187172984</v>
      </c>
      <c r="Z809" s="6"/>
      <c r="AA809" s="6"/>
      <c r="AB809" s="6">
        <f>$K$809*$V$809</f>
        <v>-16227.76</v>
      </c>
      <c r="AC809" s="6">
        <f>$M$809*$W$809</f>
        <v>0</v>
      </c>
      <c r="AD809" s="6">
        <f>$O$809*$X$809</f>
        <v>0</v>
      </c>
      <c r="AE809" s="6">
        <f ca="1">$K$809*$Y$809</f>
        <v>-18136.604583142551</v>
      </c>
      <c r="AF809" s="6">
        <f>$M$809*$Z$809</f>
        <v>0</v>
      </c>
      <c r="AG809" s="6">
        <f>$O$809*$AA$809</f>
        <v>0</v>
      </c>
    </row>
    <row r="810" spans="1:33" ht="11.25" customHeight="1" x14ac:dyDescent="0.25">
      <c r="A810" s="4" t="s">
        <v>30</v>
      </c>
      <c r="B810" s="4" t="s">
        <v>35</v>
      </c>
      <c r="C810" s="4" t="s">
        <v>36</v>
      </c>
      <c r="D810" s="4" t="s">
        <v>45</v>
      </c>
      <c r="E810" s="4" t="s">
        <v>25</v>
      </c>
      <c r="F810" s="4" t="s">
        <v>25</v>
      </c>
      <c r="G810" s="4" t="s">
        <v>25</v>
      </c>
      <c r="H810" s="4" t="s">
        <v>25</v>
      </c>
      <c r="I810" s="5">
        <v>44348</v>
      </c>
      <c r="J810" s="6">
        <v>9028</v>
      </c>
      <c r="K810" s="6">
        <v>9028</v>
      </c>
      <c r="L810" s="6">
        <v>0</v>
      </c>
      <c r="M810" s="6">
        <v>0</v>
      </c>
      <c r="N810" s="6">
        <v>0</v>
      </c>
      <c r="O810" s="6">
        <v>0</v>
      </c>
      <c r="P810" s="6">
        <v>41</v>
      </c>
      <c r="Q810" s="4" t="s">
        <v>26</v>
      </c>
      <c r="R810" s="4">
        <v>0</v>
      </c>
      <c r="S810" s="6">
        <v>23</v>
      </c>
      <c r="T810" s="6">
        <v>0</v>
      </c>
      <c r="U810" s="6">
        <v>0</v>
      </c>
      <c r="V810" s="6">
        <f>IF(ISERROR(VLOOKUP($S$810,'TAR FIN'!$A$1:$O$95,15,0)),0,VLOOKUP($S$810,'TAR FIN'!$A$1:$O$95,15,0))</f>
        <v>28.57</v>
      </c>
      <c r="W810" s="6">
        <f>IF(ISERROR(VLOOKUP($T$810,'TAR FIN'!$A$1:$O$95,15,0)),0,VLOOKUP($T$810,'TAR FIN'!$A$1:$O$95,15,0))</f>
        <v>0</v>
      </c>
      <c r="X810" s="6">
        <f>IF(ISERROR(VLOOKUP($U$810,'TAR FIN'!$A$1:$O$95,15,0)),0,VLOOKUP($U$810,'TAR FIN'!$A$1:$O$95,15,0))</f>
        <v>0</v>
      </c>
      <c r="Y810" s="6">
        <f ca="1">('TUSD BE'!$AM$15+'TUSD BF'!$AM$15+'TUSD CVA'!$AM$15)*1</f>
        <v>31.93064187172984</v>
      </c>
      <c r="Z810" s="6"/>
      <c r="AA810" s="6"/>
      <c r="AB810" s="6">
        <f>$K$810*$V$810</f>
        <v>257929.96</v>
      </c>
      <c r="AC810" s="6">
        <f>$M$810*$W$810</f>
        <v>0</v>
      </c>
      <c r="AD810" s="6">
        <f>$O$810*$X$810</f>
        <v>0</v>
      </c>
      <c r="AE810" s="6">
        <f ca="1">$K$810*$Y$810</f>
        <v>288269.83481797698</v>
      </c>
      <c r="AF810" s="6">
        <f>$M$810*$Z$810</f>
        <v>0</v>
      </c>
      <c r="AG810" s="6">
        <f>$O$810*$AA$810</f>
        <v>0</v>
      </c>
    </row>
    <row r="811" spans="1:33" ht="11.25" customHeight="1" x14ac:dyDescent="0.25">
      <c r="A811" s="4" t="s">
        <v>21</v>
      </c>
      <c r="B811" s="4" t="s">
        <v>35</v>
      </c>
      <c r="C811" s="4" t="s">
        <v>36</v>
      </c>
      <c r="D811" s="4" t="s">
        <v>45</v>
      </c>
      <c r="E811" s="4" t="s">
        <v>25</v>
      </c>
      <c r="F811" s="4" t="s">
        <v>25</v>
      </c>
      <c r="G811" s="4" t="s">
        <v>25</v>
      </c>
      <c r="H811" s="4" t="s">
        <v>25</v>
      </c>
      <c r="I811" s="5">
        <v>44348</v>
      </c>
      <c r="J811" s="6">
        <v>575</v>
      </c>
      <c r="K811" s="6">
        <v>575</v>
      </c>
      <c r="L811" s="6">
        <v>0</v>
      </c>
      <c r="M811" s="6">
        <v>0</v>
      </c>
      <c r="N811" s="6">
        <v>0</v>
      </c>
      <c r="O811" s="6">
        <v>0</v>
      </c>
      <c r="P811" s="6">
        <v>2</v>
      </c>
      <c r="Q811" s="4" t="s">
        <v>60</v>
      </c>
      <c r="R811" s="4">
        <v>0</v>
      </c>
      <c r="S811" s="6">
        <v>23</v>
      </c>
      <c r="T811" s="6">
        <v>0</v>
      </c>
      <c r="U811" s="6">
        <v>0</v>
      </c>
      <c r="V811" s="6">
        <f>IF(ISERROR(VLOOKUP($S$811,'TAR FIN'!$A$1:$O$95,15,0)),0,VLOOKUP($S$811,'TAR FIN'!$A$1:$O$95,15,0))</f>
        <v>28.57</v>
      </c>
      <c r="W811" s="6">
        <f>IF(ISERROR(VLOOKUP($T$811,'TAR FIN'!$A$1:$O$95,15,0)),0,VLOOKUP($T$811,'TAR FIN'!$A$1:$O$95,15,0))</f>
        <v>0</v>
      </c>
      <c r="X811" s="6">
        <f>IF(ISERROR(VLOOKUP($U$811,'TAR FIN'!$A$1:$O$95,15,0)),0,VLOOKUP($U$811,'TAR FIN'!$A$1:$O$95,15,0))</f>
        <v>0</v>
      </c>
      <c r="Y811" s="6">
        <f ca="1">('TUSD BE'!$AM$15+'TUSD BF'!$AM$15+'TUSD CVA'!$AM$15)*1</f>
        <v>31.93064187172984</v>
      </c>
      <c r="Z811" s="6"/>
      <c r="AA811" s="6"/>
      <c r="AB811" s="6">
        <f>$K$811*$V$811</f>
        <v>16427.75</v>
      </c>
      <c r="AC811" s="6">
        <f>$M$811*$W$811</f>
        <v>0</v>
      </c>
      <c r="AD811" s="6">
        <f>$O$811*$X$811</f>
        <v>0</v>
      </c>
      <c r="AE811" s="6">
        <f ca="1">$K$811*$Y$811</f>
        <v>18360.119076244657</v>
      </c>
      <c r="AF811" s="6">
        <f>$M$811*$Z$811</f>
        <v>0</v>
      </c>
      <c r="AG811" s="6">
        <f>$O$811*$AA$811</f>
        <v>0</v>
      </c>
    </row>
    <row r="812" spans="1:33" ht="11.25" customHeight="1" x14ac:dyDescent="0.25">
      <c r="A812" s="4" t="s">
        <v>21</v>
      </c>
      <c r="B812" s="4" t="s">
        <v>35</v>
      </c>
      <c r="C812" s="4" t="s">
        <v>36</v>
      </c>
      <c r="D812" s="4" t="s">
        <v>45</v>
      </c>
      <c r="E812" s="4" t="s">
        <v>25</v>
      </c>
      <c r="F812" s="4" t="s">
        <v>25</v>
      </c>
      <c r="G812" s="4" t="s">
        <v>25</v>
      </c>
      <c r="H812" s="4" t="s">
        <v>25</v>
      </c>
      <c r="I812" s="5">
        <v>44378</v>
      </c>
      <c r="J812" s="6">
        <v>135022</v>
      </c>
      <c r="K812" s="6">
        <v>135022</v>
      </c>
      <c r="L812" s="6">
        <v>0</v>
      </c>
      <c r="M812" s="6">
        <v>0</v>
      </c>
      <c r="N812" s="6">
        <v>0</v>
      </c>
      <c r="O812" s="6">
        <v>0</v>
      </c>
      <c r="P812" s="6">
        <v>838</v>
      </c>
      <c r="Q812" s="4" t="s">
        <v>26</v>
      </c>
      <c r="R812" s="4">
        <v>0</v>
      </c>
      <c r="S812" s="6">
        <v>23</v>
      </c>
      <c r="T812" s="6">
        <v>0</v>
      </c>
      <c r="U812" s="6">
        <v>0</v>
      </c>
      <c r="V812" s="6">
        <f>IF(ISERROR(VLOOKUP($S$812,'TAR FIN'!$A$1:$O$95,15,0)),0,VLOOKUP($S$812,'TAR FIN'!$A$1:$O$95,15,0))</f>
        <v>28.57</v>
      </c>
      <c r="W812" s="6">
        <f>IF(ISERROR(VLOOKUP($T$812,'TAR FIN'!$A$1:$O$95,15,0)),0,VLOOKUP($T$812,'TAR FIN'!$A$1:$O$95,15,0))</f>
        <v>0</v>
      </c>
      <c r="X812" s="6">
        <f>IF(ISERROR(VLOOKUP($U$812,'TAR FIN'!$A$1:$O$95,15,0)),0,VLOOKUP($U$812,'TAR FIN'!$A$1:$O$95,15,0))</f>
        <v>0</v>
      </c>
      <c r="Y812" s="6">
        <f ca="1">('TUSD BE'!$AM$15+'TUSD BF'!$AM$15+'TUSD CVA'!$AM$15)*1</f>
        <v>31.93064187172984</v>
      </c>
      <c r="Z812" s="6"/>
      <c r="AA812" s="6"/>
      <c r="AB812" s="6">
        <f>$K$812*$V$812</f>
        <v>3857578.54</v>
      </c>
      <c r="AC812" s="6">
        <f>$M$812*$W$812</f>
        <v>0</v>
      </c>
      <c r="AD812" s="6">
        <f>$O$812*$X$812</f>
        <v>0</v>
      </c>
      <c r="AE812" s="6">
        <f ca="1">$K$812*$Y$812</f>
        <v>4311339.1268047066</v>
      </c>
      <c r="AF812" s="6">
        <f>$M$812*$Z$812</f>
        <v>0</v>
      </c>
      <c r="AG812" s="6">
        <f>$O$812*$AA$812</f>
        <v>0</v>
      </c>
    </row>
    <row r="813" spans="1:33" ht="11.25" customHeight="1" x14ac:dyDescent="0.25">
      <c r="A813" s="4" t="s">
        <v>27</v>
      </c>
      <c r="B813" s="4" t="s">
        <v>35</v>
      </c>
      <c r="C813" s="4" t="s">
        <v>36</v>
      </c>
      <c r="D813" s="4" t="s">
        <v>45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44378</v>
      </c>
      <c r="J813" s="6">
        <v>-271</v>
      </c>
      <c r="K813" s="6">
        <v>-271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4" t="s">
        <v>26</v>
      </c>
      <c r="R813" s="4">
        <v>0</v>
      </c>
      <c r="S813" s="6">
        <v>23</v>
      </c>
      <c r="T813" s="6">
        <v>0</v>
      </c>
      <c r="U813" s="6">
        <v>0</v>
      </c>
      <c r="V813" s="6">
        <f>IF(ISERROR(VLOOKUP($S$813,'TAR FIN'!$A$1:$O$95,15,0)),0,VLOOKUP($S$813,'TAR FIN'!$A$1:$O$95,15,0))</f>
        <v>28.57</v>
      </c>
      <c r="W813" s="6">
        <f>IF(ISERROR(VLOOKUP($T$813,'TAR FIN'!$A$1:$O$95,15,0)),0,VLOOKUP($T$813,'TAR FIN'!$A$1:$O$95,15,0))</f>
        <v>0</v>
      </c>
      <c r="X813" s="6">
        <f>IF(ISERROR(VLOOKUP($U$813,'TAR FIN'!$A$1:$O$95,15,0)),0,VLOOKUP($U$813,'TAR FIN'!$A$1:$O$95,15,0))</f>
        <v>0</v>
      </c>
      <c r="Y813" s="6">
        <f ca="1">('TUSD BE'!$AM$15+'TUSD BF'!$AM$15+'TUSD CVA'!$AM$15)*1</f>
        <v>31.93064187172984</v>
      </c>
      <c r="Z813" s="6"/>
      <c r="AA813" s="6"/>
      <c r="AB813" s="6">
        <f>$K$813*$V$813</f>
        <v>-7742.47</v>
      </c>
      <c r="AC813" s="6">
        <f>$M$813*$W$813</f>
        <v>0</v>
      </c>
      <c r="AD813" s="6">
        <f>$O$813*$X$813</f>
        <v>0</v>
      </c>
      <c r="AE813" s="6">
        <f ca="1">$K$813*$Y$813</f>
        <v>-8653.203947238786</v>
      </c>
      <c r="AF813" s="6">
        <f>$M$813*$Z$813</f>
        <v>0</v>
      </c>
      <c r="AG813" s="6">
        <f>$O$813*$AA$813</f>
        <v>0</v>
      </c>
    </row>
    <row r="814" spans="1:33" ht="11.25" customHeight="1" x14ac:dyDescent="0.25">
      <c r="A814" s="4" t="s">
        <v>28</v>
      </c>
      <c r="B814" s="4" t="s">
        <v>35</v>
      </c>
      <c r="C814" s="4" t="s">
        <v>36</v>
      </c>
      <c r="D814" s="4" t="s">
        <v>45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44378</v>
      </c>
      <c r="J814" s="6">
        <v>9665</v>
      </c>
      <c r="K814" s="6">
        <v>9665</v>
      </c>
      <c r="L814" s="6">
        <v>0</v>
      </c>
      <c r="M814" s="6">
        <v>0</v>
      </c>
      <c r="N814" s="6">
        <v>0</v>
      </c>
      <c r="O814" s="6">
        <v>0</v>
      </c>
      <c r="P814" s="6">
        <v>110</v>
      </c>
      <c r="Q814" s="4" t="s">
        <v>26</v>
      </c>
      <c r="R814" s="4">
        <v>0</v>
      </c>
      <c r="S814" s="6">
        <v>23</v>
      </c>
      <c r="T814" s="6">
        <v>0</v>
      </c>
      <c r="U814" s="6">
        <v>0</v>
      </c>
      <c r="V814" s="6">
        <f>IF(ISERROR(VLOOKUP($S$814,'TAR FIN'!$A$1:$O$95,15,0)),0,VLOOKUP($S$814,'TAR FIN'!$A$1:$O$95,15,0))</f>
        <v>28.57</v>
      </c>
      <c r="W814" s="6">
        <f>IF(ISERROR(VLOOKUP($T$814,'TAR FIN'!$A$1:$O$95,15,0)),0,VLOOKUP($T$814,'TAR FIN'!$A$1:$O$95,15,0))</f>
        <v>0</v>
      </c>
      <c r="X814" s="6">
        <f>IF(ISERROR(VLOOKUP($U$814,'TAR FIN'!$A$1:$O$95,15,0)),0,VLOOKUP($U$814,'TAR FIN'!$A$1:$O$95,15,0))</f>
        <v>0</v>
      </c>
      <c r="Y814" s="6">
        <f ca="1">('TUSD BE'!$AM$15+'TUSD BF'!$AM$15+'TUSD CVA'!$AM$15)*1</f>
        <v>31.93064187172984</v>
      </c>
      <c r="Z814" s="6"/>
      <c r="AA814" s="6"/>
      <c r="AB814" s="6">
        <f>$K$814*$V$814</f>
        <v>276129.05</v>
      </c>
      <c r="AC814" s="6">
        <f>$M$814*$W$814</f>
        <v>0</v>
      </c>
      <c r="AD814" s="6">
        <f>$O$814*$X$814</f>
        <v>0</v>
      </c>
      <c r="AE814" s="6">
        <f ca="1">$K$814*$Y$814</f>
        <v>308609.65369026893</v>
      </c>
      <c r="AF814" s="6">
        <f>$M$814*$Z$814</f>
        <v>0</v>
      </c>
      <c r="AG814" s="6">
        <f>$O$814*$AA$814</f>
        <v>0</v>
      </c>
    </row>
    <row r="815" spans="1:33" ht="11.25" customHeight="1" x14ac:dyDescent="0.25">
      <c r="A815" s="4" t="s">
        <v>29</v>
      </c>
      <c r="B815" s="4" t="s">
        <v>35</v>
      </c>
      <c r="C815" s="4" t="s">
        <v>36</v>
      </c>
      <c r="D815" s="4" t="s">
        <v>45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44378</v>
      </c>
      <c r="J815" s="6">
        <v>6</v>
      </c>
      <c r="K815" s="6">
        <v>6</v>
      </c>
      <c r="L815" s="6">
        <v>0</v>
      </c>
      <c r="M815" s="6">
        <v>0</v>
      </c>
      <c r="N815" s="6">
        <v>0</v>
      </c>
      <c r="O815" s="6">
        <v>0</v>
      </c>
      <c r="P815" s="6">
        <v>0</v>
      </c>
      <c r="Q815" s="4" t="s">
        <v>26</v>
      </c>
      <c r="R815" s="4">
        <v>0</v>
      </c>
      <c r="S815" s="6">
        <v>23</v>
      </c>
      <c r="T815" s="6">
        <v>0</v>
      </c>
      <c r="U815" s="6">
        <v>0</v>
      </c>
      <c r="V815" s="6">
        <f>IF(ISERROR(VLOOKUP($S$815,'TAR FIN'!$A$1:$O$95,15,0)),0,VLOOKUP($S$815,'TAR FIN'!$A$1:$O$95,15,0))</f>
        <v>28.57</v>
      </c>
      <c r="W815" s="6">
        <f>IF(ISERROR(VLOOKUP($T$815,'TAR FIN'!$A$1:$O$95,15,0)),0,VLOOKUP($T$815,'TAR FIN'!$A$1:$O$95,15,0))</f>
        <v>0</v>
      </c>
      <c r="X815" s="6">
        <f>IF(ISERROR(VLOOKUP($U$815,'TAR FIN'!$A$1:$O$95,15,0)),0,VLOOKUP($U$815,'TAR FIN'!$A$1:$O$95,15,0))</f>
        <v>0</v>
      </c>
      <c r="Y815" s="6">
        <f ca="1">('TUSD BE'!$AM$15+'TUSD BF'!$AM$15+'TUSD CVA'!$AM$15)*1</f>
        <v>31.93064187172984</v>
      </c>
      <c r="Z815" s="6"/>
      <c r="AA815" s="6"/>
      <c r="AB815" s="6">
        <f>$K$815*$V$815</f>
        <v>171.42000000000002</v>
      </c>
      <c r="AC815" s="6">
        <f>$M$815*$W$815</f>
        <v>0</v>
      </c>
      <c r="AD815" s="6">
        <f>$O$815*$X$815</f>
        <v>0</v>
      </c>
      <c r="AE815" s="6">
        <f ca="1">$K$815*$Y$815</f>
        <v>191.58385123037903</v>
      </c>
      <c r="AF815" s="6">
        <f>$M$815*$Z$815</f>
        <v>0</v>
      </c>
      <c r="AG815" s="6">
        <f>$O$815*$AA$815</f>
        <v>0</v>
      </c>
    </row>
    <row r="816" spans="1:33" ht="11.25" customHeight="1" x14ac:dyDescent="0.25">
      <c r="A816" s="4" t="s">
        <v>30</v>
      </c>
      <c r="B816" s="4" t="s">
        <v>35</v>
      </c>
      <c r="C816" s="4" t="s">
        <v>36</v>
      </c>
      <c r="D816" s="4" t="s">
        <v>45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44378</v>
      </c>
      <c r="J816" s="6">
        <v>9213</v>
      </c>
      <c r="K816" s="6">
        <v>9213</v>
      </c>
      <c r="L816" s="6">
        <v>0</v>
      </c>
      <c r="M816" s="6">
        <v>0</v>
      </c>
      <c r="N816" s="6">
        <v>0</v>
      </c>
      <c r="O816" s="6">
        <v>0</v>
      </c>
      <c r="P816" s="6">
        <v>44</v>
      </c>
      <c r="Q816" s="4" t="s">
        <v>26</v>
      </c>
      <c r="R816" s="4">
        <v>0</v>
      </c>
      <c r="S816" s="6">
        <v>23</v>
      </c>
      <c r="T816" s="6">
        <v>0</v>
      </c>
      <c r="U816" s="6">
        <v>0</v>
      </c>
      <c r="V816" s="6">
        <f>IF(ISERROR(VLOOKUP($S$816,'TAR FIN'!$A$1:$O$95,15,0)),0,VLOOKUP($S$816,'TAR FIN'!$A$1:$O$95,15,0))</f>
        <v>28.57</v>
      </c>
      <c r="W816" s="6">
        <f>IF(ISERROR(VLOOKUP($T$816,'TAR FIN'!$A$1:$O$95,15,0)),0,VLOOKUP($T$816,'TAR FIN'!$A$1:$O$95,15,0))</f>
        <v>0</v>
      </c>
      <c r="X816" s="6">
        <f>IF(ISERROR(VLOOKUP($U$816,'TAR FIN'!$A$1:$O$95,15,0)),0,VLOOKUP($U$816,'TAR FIN'!$A$1:$O$95,15,0))</f>
        <v>0</v>
      </c>
      <c r="Y816" s="6">
        <f ca="1">('TUSD BE'!$AM$15+'TUSD BF'!$AM$15+'TUSD CVA'!$AM$15)*1</f>
        <v>31.93064187172984</v>
      </c>
      <c r="Z816" s="6"/>
      <c r="AA816" s="6"/>
      <c r="AB816" s="6">
        <f>$K$816*$V$816</f>
        <v>263215.40999999997</v>
      </c>
      <c r="AC816" s="6">
        <f>$M$816*$W$816</f>
        <v>0</v>
      </c>
      <c r="AD816" s="6">
        <f>$O$816*$X$816</f>
        <v>0</v>
      </c>
      <c r="AE816" s="6">
        <f ca="1">$K$816*$Y$816</f>
        <v>294177.00356424699</v>
      </c>
      <c r="AF816" s="6">
        <f>$M$816*$Z$816</f>
        <v>0</v>
      </c>
      <c r="AG816" s="6">
        <f>$O$816*$AA$816</f>
        <v>0</v>
      </c>
    </row>
    <row r="817" spans="1:33" ht="11.25" customHeight="1" x14ac:dyDescent="0.25">
      <c r="A817" s="4" t="s">
        <v>30</v>
      </c>
      <c r="B817" s="4" t="s">
        <v>35</v>
      </c>
      <c r="C817" s="4" t="s">
        <v>36</v>
      </c>
      <c r="D817" s="4" t="s">
        <v>45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44378</v>
      </c>
      <c r="J817" s="6">
        <v>-95</v>
      </c>
      <c r="K817" s="6">
        <v>-95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4" t="s">
        <v>26</v>
      </c>
      <c r="R817" s="4">
        <v>0</v>
      </c>
      <c r="S817" s="6">
        <v>23</v>
      </c>
      <c r="T817" s="6">
        <v>0</v>
      </c>
      <c r="U817" s="6">
        <v>0</v>
      </c>
      <c r="V817" s="6">
        <f>IF(ISERROR(VLOOKUP($S$817,'TAR FIN'!$A$1:$O$95,15,0)),0,VLOOKUP($S$817,'TAR FIN'!$A$1:$O$95,15,0))</f>
        <v>28.57</v>
      </c>
      <c r="W817" s="6">
        <f>IF(ISERROR(VLOOKUP($T$817,'TAR FIN'!$A$1:$O$95,15,0)),0,VLOOKUP($T$817,'TAR FIN'!$A$1:$O$95,15,0))</f>
        <v>0</v>
      </c>
      <c r="X817" s="6">
        <f>IF(ISERROR(VLOOKUP($U$817,'TAR FIN'!$A$1:$O$95,15,0)),0,VLOOKUP($U$817,'TAR FIN'!$A$1:$O$95,15,0))</f>
        <v>0</v>
      </c>
      <c r="Y817" s="6">
        <f ca="1">('TUSD BE'!$AM$15+'TUSD BF'!$AM$15+'TUSD CVA'!$AM$15)*1</f>
        <v>31.93064187172984</v>
      </c>
      <c r="Z817" s="6"/>
      <c r="AA817" s="6"/>
      <c r="AB817" s="6">
        <f>$K$817*$V$817</f>
        <v>-2714.15</v>
      </c>
      <c r="AC817" s="6">
        <f>$M$817*$W$817</f>
        <v>0</v>
      </c>
      <c r="AD817" s="6">
        <f>$O$817*$X$817</f>
        <v>0</v>
      </c>
      <c r="AE817" s="6">
        <f ca="1">$K$817*$Y$817</f>
        <v>-3033.4109778143347</v>
      </c>
      <c r="AF817" s="6">
        <f>$M$817*$Z$817</f>
        <v>0</v>
      </c>
      <c r="AG817" s="6">
        <f>$O$817*$AA$817</f>
        <v>0</v>
      </c>
    </row>
    <row r="818" spans="1:33" ht="11.25" customHeight="1" x14ac:dyDescent="0.25">
      <c r="A818" s="4" t="s">
        <v>21</v>
      </c>
      <c r="B818" s="4" t="s">
        <v>35</v>
      </c>
      <c r="C818" s="4" t="s">
        <v>36</v>
      </c>
      <c r="D818" s="4" t="s">
        <v>45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44378</v>
      </c>
      <c r="J818" s="6">
        <v>575</v>
      </c>
      <c r="K818" s="6">
        <v>575</v>
      </c>
      <c r="L818" s="6">
        <v>0</v>
      </c>
      <c r="M818" s="6">
        <v>0</v>
      </c>
      <c r="N818" s="6">
        <v>0</v>
      </c>
      <c r="O818" s="6">
        <v>0</v>
      </c>
      <c r="P818" s="6">
        <v>2</v>
      </c>
      <c r="Q818" s="4" t="s">
        <v>60</v>
      </c>
      <c r="R818" s="4">
        <v>0</v>
      </c>
      <c r="S818" s="6">
        <v>23</v>
      </c>
      <c r="T818" s="6">
        <v>0</v>
      </c>
      <c r="U818" s="6">
        <v>0</v>
      </c>
      <c r="V818" s="6">
        <f>IF(ISERROR(VLOOKUP($S$818,'TAR FIN'!$A$1:$O$95,15,0)),0,VLOOKUP($S$818,'TAR FIN'!$A$1:$O$95,15,0))</f>
        <v>28.57</v>
      </c>
      <c r="W818" s="6">
        <f>IF(ISERROR(VLOOKUP($T$818,'TAR FIN'!$A$1:$O$95,15,0)),0,VLOOKUP($T$818,'TAR FIN'!$A$1:$O$95,15,0))</f>
        <v>0</v>
      </c>
      <c r="X818" s="6">
        <f>IF(ISERROR(VLOOKUP($U$818,'TAR FIN'!$A$1:$O$95,15,0)),0,VLOOKUP($U$818,'TAR FIN'!$A$1:$O$95,15,0))</f>
        <v>0</v>
      </c>
      <c r="Y818" s="6">
        <f ca="1">('TUSD BE'!$AM$15+'TUSD BF'!$AM$15+'TUSD CVA'!$AM$15)*1</f>
        <v>31.93064187172984</v>
      </c>
      <c r="Z818" s="6"/>
      <c r="AA818" s="6"/>
      <c r="AB818" s="6">
        <f>$K$818*$V$818</f>
        <v>16427.75</v>
      </c>
      <c r="AC818" s="6">
        <f>$M$818*$W$818</f>
        <v>0</v>
      </c>
      <c r="AD818" s="6">
        <f>$O$818*$X$818</f>
        <v>0</v>
      </c>
      <c r="AE818" s="6">
        <f ca="1">$K$818*$Y$818</f>
        <v>18360.119076244657</v>
      </c>
      <c r="AF818" s="6">
        <f>$M$818*$Z$818</f>
        <v>0</v>
      </c>
      <c r="AG818" s="6">
        <f>$O$818*$AA$818</f>
        <v>0</v>
      </c>
    </row>
    <row r="819" spans="1:33" ht="11.25" customHeight="1" x14ac:dyDescent="0.25">
      <c r="A819" s="4" t="s">
        <v>21</v>
      </c>
      <c r="B819" s="4" t="s">
        <v>35</v>
      </c>
      <c r="C819" s="4" t="s">
        <v>36</v>
      </c>
      <c r="D819" s="4" t="s">
        <v>45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44409</v>
      </c>
      <c r="J819" s="6">
        <v>134734</v>
      </c>
      <c r="K819" s="6">
        <v>134734</v>
      </c>
      <c r="L819" s="6">
        <v>0</v>
      </c>
      <c r="M819" s="6">
        <v>0</v>
      </c>
      <c r="N819" s="6">
        <v>0</v>
      </c>
      <c r="O819" s="6">
        <v>0</v>
      </c>
      <c r="P819" s="6">
        <v>844</v>
      </c>
      <c r="Q819" s="4" t="s">
        <v>26</v>
      </c>
      <c r="R819" s="4">
        <v>0</v>
      </c>
      <c r="S819" s="6">
        <v>23</v>
      </c>
      <c r="T819" s="6">
        <v>0</v>
      </c>
      <c r="U819" s="6">
        <v>0</v>
      </c>
      <c r="V819" s="6">
        <f>IF(ISERROR(VLOOKUP($S$819,'TAR FIN'!$A$1:$O$95,15,0)),0,VLOOKUP($S$819,'TAR FIN'!$A$1:$O$95,15,0))</f>
        <v>28.57</v>
      </c>
      <c r="W819" s="6">
        <f>IF(ISERROR(VLOOKUP($T$819,'TAR FIN'!$A$1:$O$95,15,0)),0,VLOOKUP($T$819,'TAR FIN'!$A$1:$O$95,15,0))</f>
        <v>0</v>
      </c>
      <c r="X819" s="6">
        <f>IF(ISERROR(VLOOKUP($U$819,'TAR FIN'!$A$1:$O$95,15,0)),0,VLOOKUP($U$819,'TAR FIN'!$A$1:$O$95,15,0))</f>
        <v>0</v>
      </c>
      <c r="Y819" s="6">
        <f ca="1">('TUSD BE'!$AM$15+'TUSD BF'!$AM$15+'TUSD CVA'!$AM$15)*1</f>
        <v>31.93064187172984</v>
      </c>
      <c r="Z819" s="6"/>
      <c r="AA819" s="6"/>
      <c r="AB819" s="6">
        <f>$K$819*$V$819</f>
        <v>3849350.38</v>
      </c>
      <c r="AC819" s="6">
        <f>$M$819*$W$819</f>
        <v>0</v>
      </c>
      <c r="AD819" s="6">
        <f>$O$819*$X$819</f>
        <v>0</v>
      </c>
      <c r="AE819" s="6">
        <f ca="1">$K$819*$Y$819</f>
        <v>4302143.101945648</v>
      </c>
      <c r="AF819" s="6">
        <f>$M$819*$Z$819</f>
        <v>0</v>
      </c>
      <c r="AG819" s="6">
        <f>$O$819*$AA$819</f>
        <v>0</v>
      </c>
    </row>
    <row r="820" spans="1:33" ht="11.25" customHeight="1" x14ac:dyDescent="0.25">
      <c r="A820" s="4" t="s">
        <v>27</v>
      </c>
      <c r="B820" s="4" t="s">
        <v>35</v>
      </c>
      <c r="C820" s="4" t="s">
        <v>36</v>
      </c>
      <c r="D820" s="4" t="s">
        <v>45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44409</v>
      </c>
      <c r="J820" s="6">
        <v>45432</v>
      </c>
      <c r="K820" s="6">
        <v>45432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4" t="s">
        <v>26</v>
      </c>
      <c r="R820" s="4">
        <v>0</v>
      </c>
      <c r="S820" s="6">
        <v>23</v>
      </c>
      <c r="T820" s="6">
        <v>0</v>
      </c>
      <c r="U820" s="6">
        <v>0</v>
      </c>
      <c r="V820" s="6">
        <f>IF(ISERROR(VLOOKUP($S$820,'TAR FIN'!$A$1:$O$95,15,0)),0,VLOOKUP($S$820,'TAR FIN'!$A$1:$O$95,15,0))</f>
        <v>28.57</v>
      </c>
      <c r="W820" s="6">
        <f>IF(ISERROR(VLOOKUP($T$820,'TAR FIN'!$A$1:$O$95,15,0)),0,VLOOKUP($T$820,'TAR FIN'!$A$1:$O$95,15,0))</f>
        <v>0</v>
      </c>
      <c r="X820" s="6">
        <f>IF(ISERROR(VLOOKUP($U$820,'TAR FIN'!$A$1:$O$95,15,0)),0,VLOOKUP($U$820,'TAR FIN'!$A$1:$O$95,15,0))</f>
        <v>0</v>
      </c>
      <c r="Y820" s="6">
        <f ca="1">('TUSD BE'!$AM$15+'TUSD BF'!$AM$15+'TUSD CVA'!$AM$15)*1</f>
        <v>31.93064187172984</v>
      </c>
      <c r="Z820" s="6"/>
      <c r="AA820" s="6"/>
      <c r="AB820" s="6">
        <f>$K$820*$V$820</f>
        <v>1297992.24</v>
      </c>
      <c r="AC820" s="6">
        <f>$M$820*$W$820</f>
        <v>0</v>
      </c>
      <c r="AD820" s="6">
        <f>$O$820*$X$820</f>
        <v>0</v>
      </c>
      <c r="AE820" s="6">
        <f ca="1">$K$820*$Y$820</f>
        <v>1450672.9215164301</v>
      </c>
      <c r="AF820" s="6">
        <f>$M$820*$Z$820</f>
        <v>0</v>
      </c>
      <c r="AG820" s="6">
        <f>$O$820*$AA$820</f>
        <v>0</v>
      </c>
    </row>
    <row r="821" spans="1:33" ht="11.25" customHeight="1" x14ac:dyDescent="0.25">
      <c r="A821" s="4" t="s">
        <v>28</v>
      </c>
      <c r="B821" s="4" t="s">
        <v>35</v>
      </c>
      <c r="C821" s="4" t="s">
        <v>36</v>
      </c>
      <c r="D821" s="4" t="s">
        <v>45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44409</v>
      </c>
      <c r="J821" s="6">
        <v>10027</v>
      </c>
      <c r="K821" s="6">
        <v>10027</v>
      </c>
      <c r="L821" s="6">
        <v>0</v>
      </c>
      <c r="M821" s="6">
        <v>0</v>
      </c>
      <c r="N821" s="6">
        <v>0</v>
      </c>
      <c r="O821" s="6">
        <v>0</v>
      </c>
      <c r="P821" s="6">
        <v>111</v>
      </c>
      <c r="Q821" s="4" t="s">
        <v>26</v>
      </c>
      <c r="R821" s="4">
        <v>0</v>
      </c>
      <c r="S821" s="6">
        <v>23</v>
      </c>
      <c r="T821" s="6">
        <v>0</v>
      </c>
      <c r="U821" s="6">
        <v>0</v>
      </c>
      <c r="V821" s="6">
        <f>IF(ISERROR(VLOOKUP($S$821,'TAR FIN'!$A$1:$O$95,15,0)),0,VLOOKUP($S$821,'TAR FIN'!$A$1:$O$95,15,0))</f>
        <v>28.57</v>
      </c>
      <c r="W821" s="6">
        <f>IF(ISERROR(VLOOKUP($T$821,'TAR FIN'!$A$1:$O$95,15,0)),0,VLOOKUP($T$821,'TAR FIN'!$A$1:$O$95,15,0))</f>
        <v>0</v>
      </c>
      <c r="X821" s="6">
        <f>IF(ISERROR(VLOOKUP($U$821,'TAR FIN'!$A$1:$O$95,15,0)),0,VLOOKUP($U$821,'TAR FIN'!$A$1:$O$95,15,0))</f>
        <v>0</v>
      </c>
      <c r="Y821" s="6">
        <f ca="1">('TUSD BE'!$AM$15+'TUSD BF'!$AM$15+'TUSD CVA'!$AM$15)*1</f>
        <v>31.93064187172984</v>
      </c>
      <c r="Z821" s="6"/>
      <c r="AA821" s="6"/>
      <c r="AB821" s="6">
        <f>$K$821*$V$821</f>
        <v>286471.39</v>
      </c>
      <c r="AC821" s="6">
        <f>$M$821*$W$821</f>
        <v>0</v>
      </c>
      <c r="AD821" s="6">
        <f>$O$821*$X$821</f>
        <v>0</v>
      </c>
      <c r="AE821" s="6">
        <f ca="1">$K$821*$Y$821</f>
        <v>320168.54604783509</v>
      </c>
      <c r="AF821" s="6">
        <f>$M$821*$Z$821</f>
        <v>0</v>
      </c>
      <c r="AG821" s="6">
        <f>$O$821*$AA$821</f>
        <v>0</v>
      </c>
    </row>
    <row r="822" spans="1:33" ht="11.25" customHeight="1" x14ac:dyDescent="0.25">
      <c r="A822" s="4" t="s">
        <v>30</v>
      </c>
      <c r="B822" s="4" t="s">
        <v>35</v>
      </c>
      <c r="C822" s="4" t="s">
        <v>36</v>
      </c>
      <c r="D822" s="4" t="s">
        <v>45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44409</v>
      </c>
      <c r="J822" s="6">
        <v>9734</v>
      </c>
      <c r="K822" s="6">
        <v>9734</v>
      </c>
      <c r="L822" s="6">
        <v>0</v>
      </c>
      <c r="M822" s="6">
        <v>0</v>
      </c>
      <c r="N822" s="6">
        <v>0</v>
      </c>
      <c r="O822" s="6">
        <v>0</v>
      </c>
      <c r="P822" s="6">
        <v>47</v>
      </c>
      <c r="Q822" s="4" t="s">
        <v>26</v>
      </c>
      <c r="R822" s="4">
        <v>0</v>
      </c>
      <c r="S822" s="6">
        <v>23</v>
      </c>
      <c r="T822" s="6">
        <v>0</v>
      </c>
      <c r="U822" s="6">
        <v>0</v>
      </c>
      <c r="V822" s="6">
        <f>IF(ISERROR(VLOOKUP($S$822,'TAR FIN'!$A$1:$O$95,15,0)),0,VLOOKUP($S$822,'TAR FIN'!$A$1:$O$95,15,0))</f>
        <v>28.57</v>
      </c>
      <c r="W822" s="6">
        <f>IF(ISERROR(VLOOKUP($T$822,'TAR FIN'!$A$1:$O$95,15,0)),0,VLOOKUP($T$822,'TAR FIN'!$A$1:$O$95,15,0))</f>
        <v>0</v>
      </c>
      <c r="X822" s="6">
        <f>IF(ISERROR(VLOOKUP($U$822,'TAR FIN'!$A$1:$O$95,15,0)),0,VLOOKUP($U$822,'TAR FIN'!$A$1:$O$95,15,0))</f>
        <v>0</v>
      </c>
      <c r="Y822" s="6">
        <f ca="1">('TUSD BE'!$AM$15+'TUSD BF'!$AM$15+'TUSD CVA'!$AM$15)*1</f>
        <v>31.93064187172984</v>
      </c>
      <c r="Z822" s="6"/>
      <c r="AA822" s="6"/>
      <c r="AB822" s="6">
        <f>$K$822*$V$822</f>
        <v>278100.38</v>
      </c>
      <c r="AC822" s="6">
        <f>$M$822*$W$822</f>
        <v>0</v>
      </c>
      <c r="AD822" s="6">
        <f>$O$822*$X$822</f>
        <v>0</v>
      </c>
      <c r="AE822" s="6">
        <f ca="1">$K$822*$Y$822</f>
        <v>310812.86797941825</v>
      </c>
      <c r="AF822" s="6">
        <f>$M$822*$Z$822</f>
        <v>0</v>
      </c>
      <c r="AG822" s="6">
        <f>$O$822*$AA$822</f>
        <v>0</v>
      </c>
    </row>
    <row r="823" spans="1:33" ht="11.25" customHeight="1" x14ac:dyDescent="0.25">
      <c r="A823" s="4" t="s">
        <v>30</v>
      </c>
      <c r="B823" s="4" t="s">
        <v>35</v>
      </c>
      <c r="C823" s="4" t="s">
        <v>36</v>
      </c>
      <c r="D823" s="4" t="s">
        <v>45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44409</v>
      </c>
      <c r="J823" s="6">
        <v>-5</v>
      </c>
      <c r="K823" s="6">
        <v>-5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4" t="s">
        <v>26</v>
      </c>
      <c r="R823" s="4">
        <v>0</v>
      </c>
      <c r="S823" s="6">
        <v>23</v>
      </c>
      <c r="T823" s="6">
        <v>0</v>
      </c>
      <c r="U823" s="6">
        <v>0</v>
      </c>
      <c r="V823" s="6">
        <f>IF(ISERROR(VLOOKUP($S$823,'TAR FIN'!$A$1:$O$95,15,0)),0,VLOOKUP($S$823,'TAR FIN'!$A$1:$O$95,15,0))</f>
        <v>28.57</v>
      </c>
      <c r="W823" s="6">
        <f>IF(ISERROR(VLOOKUP($T$823,'TAR FIN'!$A$1:$O$95,15,0)),0,VLOOKUP($T$823,'TAR FIN'!$A$1:$O$95,15,0))</f>
        <v>0</v>
      </c>
      <c r="X823" s="6">
        <f>IF(ISERROR(VLOOKUP($U$823,'TAR FIN'!$A$1:$O$95,15,0)),0,VLOOKUP($U$823,'TAR FIN'!$A$1:$O$95,15,0))</f>
        <v>0</v>
      </c>
      <c r="Y823" s="6">
        <f ca="1">('TUSD BE'!$AM$15+'TUSD BF'!$AM$15+'TUSD CVA'!$AM$15)*1</f>
        <v>31.93064187172984</v>
      </c>
      <c r="Z823" s="6"/>
      <c r="AA823" s="6"/>
      <c r="AB823" s="6">
        <f>$K$823*$V$823</f>
        <v>-142.85</v>
      </c>
      <c r="AC823" s="6">
        <f>$M$823*$W$823</f>
        <v>0</v>
      </c>
      <c r="AD823" s="6">
        <f>$O$823*$X$823</f>
        <v>0</v>
      </c>
      <c r="AE823" s="6">
        <f ca="1">$K$823*$Y$823</f>
        <v>-159.65320935864921</v>
      </c>
      <c r="AF823" s="6">
        <f>$M$823*$Z$823</f>
        <v>0</v>
      </c>
      <c r="AG823" s="6">
        <f>$O$823*$AA$823</f>
        <v>0</v>
      </c>
    </row>
    <row r="824" spans="1:33" ht="11.25" customHeight="1" x14ac:dyDescent="0.25">
      <c r="A824" s="4" t="s">
        <v>21</v>
      </c>
      <c r="B824" s="4" t="s">
        <v>35</v>
      </c>
      <c r="C824" s="4" t="s">
        <v>36</v>
      </c>
      <c r="D824" s="4" t="s">
        <v>45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44409</v>
      </c>
      <c r="J824" s="6">
        <v>575</v>
      </c>
      <c r="K824" s="6">
        <v>575</v>
      </c>
      <c r="L824" s="6">
        <v>0</v>
      </c>
      <c r="M824" s="6">
        <v>0</v>
      </c>
      <c r="N824" s="6">
        <v>0</v>
      </c>
      <c r="O824" s="6">
        <v>0</v>
      </c>
      <c r="P824" s="6">
        <v>2</v>
      </c>
      <c r="Q824" s="4" t="s">
        <v>60</v>
      </c>
      <c r="R824" s="4">
        <v>0</v>
      </c>
      <c r="S824" s="6">
        <v>23</v>
      </c>
      <c r="T824" s="6">
        <v>0</v>
      </c>
      <c r="U824" s="6">
        <v>0</v>
      </c>
      <c r="V824" s="6">
        <f>IF(ISERROR(VLOOKUP($S$824,'TAR FIN'!$A$1:$O$95,15,0)),0,VLOOKUP($S$824,'TAR FIN'!$A$1:$O$95,15,0))</f>
        <v>28.57</v>
      </c>
      <c r="W824" s="6">
        <f>IF(ISERROR(VLOOKUP($T$824,'TAR FIN'!$A$1:$O$95,15,0)),0,VLOOKUP($T$824,'TAR FIN'!$A$1:$O$95,15,0))</f>
        <v>0</v>
      </c>
      <c r="X824" s="6">
        <f>IF(ISERROR(VLOOKUP($U$824,'TAR FIN'!$A$1:$O$95,15,0)),0,VLOOKUP($U$824,'TAR FIN'!$A$1:$O$95,15,0))</f>
        <v>0</v>
      </c>
      <c r="Y824" s="6">
        <f ca="1">('TUSD BE'!$AM$15+'TUSD BF'!$AM$15+'TUSD CVA'!$AM$15)*1</f>
        <v>31.93064187172984</v>
      </c>
      <c r="Z824" s="6"/>
      <c r="AA824" s="6"/>
      <c r="AB824" s="6">
        <f>$K$824*$V$824</f>
        <v>16427.75</v>
      </c>
      <c r="AC824" s="6">
        <f>$M$824*$W$824</f>
        <v>0</v>
      </c>
      <c r="AD824" s="6">
        <f>$O$824*$X$824</f>
        <v>0</v>
      </c>
      <c r="AE824" s="6">
        <f ca="1">$K$824*$Y$824</f>
        <v>18360.119076244657</v>
      </c>
      <c r="AF824" s="6">
        <f>$M$824*$Z$824</f>
        <v>0</v>
      </c>
      <c r="AG824" s="6">
        <f>$O$824*$AA$824</f>
        <v>0</v>
      </c>
    </row>
    <row r="825" spans="1:33" ht="11.25" customHeight="1" x14ac:dyDescent="0.25">
      <c r="A825" s="4" t="s">
        <v>21</v>
      </c>
      <c r="B825" s="4" t="s">
        <v>35</v>
      </c>
      <c r="C825" s="4" t="s">
        <v>36</v>
      </c>
      <c r="D825" s="4" t="s">
        <v>45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44440</v>
      </c>
      <c r="J825" s="6">
        <v>133872</v>
      </c>
      <c r="K825" s="6">
        <v>133872</v>
      </c>
      <c r="L825" s="6">
        <v>0</v>
      </c>
      <c r="M825" s="6">
        <v>0</v>
      </c>
      <c r="N825" s="6">
        <v>0</v>
      </c>
      <c r="O825" s="6">
        <v>0</v>
      </c>
      <c r="P825" s="6">
        <v>845</v>
      </c>
      <c r="Q825" s="4" t="s">
        <v>26</v>
      </c>
      <c r="R825" s="4">
        <v>0</v>
      </c>
      <c r="S825" s="6">
        <v>23</v>
      </c>
      <c r="T825" s="6">
        <v>0</v>
      </c>
      <c r="U825" s="6">
        <v>0</v>
      </c>
      <c r="V825" s="6">
        <f>IF(ISERROR(VLOOKUP($S$825,'TAR FIN'!$A$1:$O$95,15,0)),0,VLOOKUP($S$825,'TAR FIN'!$A$1:$O$95,15,0))</f>
        <v>28.57</v>
      </c>
      <c r="W825" s="6">
        <f>IF(ISERROR(VLOOKUP($T$825,'TAR FIN'!$A$1:$O$95,15,0)),0,VLOOKUP($T$825,'TAR FIN'!$A$1:$O$95,15,0))</f>
        <v>0</v>
      </c>
      <c r="X825" s="6">
        <f>IF(ISERROR(VLOOKUP($U$825,'TAR FIN'!$A$1:$O$95,15,0)),0,VLOOKUP($U$825,'TAR FIN'!$A$1:$O$95,15,0))</f>
        <v>0</v>
      </c>
      <c r="Y825" s="6">
        <f ca="1">('TUSD BE'!$AM$15+'TUSD BF'!$AM$15+'TUSD CVA'!$AM$15)*1</f>
        <v>31.93064187172984</v>
      </c>
      <c r="Z825" s="6"/>
      <c r="AA825" s="6"/>
      <c r="AB825" s="6">
        <f>$K$825*$V$825</f>
        <v>3824723.04</v>
      </c>
      <c r="AC825" s="6">
        <f>$M$825*$W$825</f>
        <v>0</v>
      </c>
      <c r="AD825" s="6">
        <f>$O$825*$X$825</f>
        <v>0</v>
      </c>
      <c r="AE825" s="6">
        <f ca="1">$K$825*$Y$825</f>
        <v>4274618.8886522176</v>
      </c>
      <c r="AF825" s="6">
        <f>$M$825*$Z$825</f>
        <v>0</v>
      </c>
      <c r="AG825" s="6">
        <f>$O$825*$AA$825</f>
        <v>0</v>
      </c>
    </row>
    <row r="826" spans="1:33" ht="11.25" customHeight="1" x14ac:dyDescent="0.25">
      <c r="A826" s="4" t="s">
        <v>27</v>
      </c>
      <c r="B826" s="4" t="s">
        <v>35</v>
      </c>
      <c r="C826" s="4" t="s">
        <v>36</v>
      </c>
      <c r="D826" s="4" t="s">
        <v>45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44440</v>
      </c>
      <c r="J826" s="6">
        <v>-1682</v>
      </c>
      <c r="K826" s="6">
        <v>-1682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4" t="s">
        <v>26</v>
      </c>
      <c r="R826" s="4">
        <v>0</v>
      </c>
      <c r="S826" s="6">
        <v>23</v>
      </c>
      <c r="T826" s="6">
        <v>0</v>
      </c>
      <c r="U826" s="6">
        <v>0</v>
      </c>
      <c r="V826" s="6">
        <f>IF(ISERROR(VLOOKUP($S$826,'TAR FIN'!$A$1:$O$95,15,0)),0,VLOOKUP($S$826,'TAR FIN'!$A$1:$O$95,15,0))</f>
        <v>28.57</v>
      </c>
      <c r="W826" s="6">
        <f>IF(ISERROR(VLOOKUP($T$826,'TAR FIN'!$A$1:$O$95,15,0)),0,VLOOKUP($T$826,'TAR FIN'!$A$1:$O$95,15,0))</f>
        <v>0</v>
      </c>
      <c r="X826" s="6">
        <f>IF(ISERROR(VLOOKUP($U$826,'TAR FIN'!$A$1:$O$95,15,0)),0,VLOOKUP($U$826,'TAR FIN'!$A$1:$O$95,15,0))</f>
        <v>0</v>
      </c>
      <c r="Y826" s="6">
        <f ca="1">('TUSD BE'!$AM$15+'TUSD BF'!$AM$15+'TUSD CVA'!$AM$15)*1</f>
        <v>31.93064187172984</v>
      </c>
      <c r="Z826" s="6"/>
      <c r="AA826" s="6"/>
      <c r="AB826" s="6">
        <f>$K$826*$V$826</f>
        <v>-48054.74</v>
      </c>
      <c r="AC826" s="6">
        <f>$M$826*$W$826</f>
        <v>0</v>
      </c>
      <c r="AD826" s="6">
        <f>$O$826*$X$826</f>
        <v>0</v>
      </c>
      <c r="AE826" s="6">
        <f ca="1">$K$826*$Y$826</f>
        <v>-53707.339628249589</v>
      </c>
      <c r="AF826" s="6">
        <f>$M$826*$Z$826</f>
        <v>0</v>
      </c>
      <c r="AG826" s="6">
        <f>$O$826*$AA$826</f>
        <v>0</v>
      </c>
    </row>
    <row r="827" spans="1:33" ht="11.25" customHeight="1" x14ac:dyDescent="0.25">
      <c r="A827" s="4" t="s">
        <v>28</v>
      </c>
      <c r="B827" s="4" t="s">
        <v>35</v>
      </c>
      <c r="C827" s="4" t="s">
        <v>36</v>
      </c>
      <c r="D827" s="4" t="s">
        <v>45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44440</v>
      </c>
      <c r="J827" s="6">
        <v>10401</v>
      </c>
      <c r="K827" s="6">
        <v>10401</v>
      </c>
      <c r="L827" s="6">
        <v>0</v>
      </c>
      <c r="M827" s="6">
        <v>0</v>
      </c>
      <c r="N827" s="6">
        <v>0</v>
      </c>
      <c r="O827" s="6">
        <v>0</v>
      </c>
      <c r="P827" s="6">
        <v>115</v>
      </c>
      <c r="Q827" s="4" t="s">
        <v>26</v>
      </c>
      <c r="R827" s="4">
        <v>0</v>
      </c>
      <c r="S827" s="6">
        <v>23</v>
      </c>
      <c r="T827" s="6">
        <v>0</v>
      </c>
      <c r="U827" s="6">
        <v>0</v>
      </c>
      <c r="V827" s="6">
        <f>IF(ISERROR(VLOOKUP($S$827,'TAR FIN'!$A$1:$O$95,15,0)),0,VLOOKUP($S$827,'TAR FIN'!$A$1:$O$95,15,0))</f>
        <v>28.57</v>
      </c>
      <c r="W827" s="6">
        <f>IF(ISERROR(VLOOKUP($T$827,'TAR FIN'!$A$1:$O$95,15,0)),0,VLOOKUP($T$827,'TAR FIN'!$A$1:$O$95,15,0))</f>
        <v>0</v>
      </c>
      <c r="X827" s="6">
        <f>IF(ISERROR(VLOOKUP($U$827,'TAR FIN'!$A$1:$O$95,15,0)),0,VLOOKUP($U$827,'TAR FIN'!$A$1:$O$95,15,0))</f>
        <v>0</v>
      </c>
      <c r="Y827" s="6">
        <f ca="1">('TUSD BE'!$AM$15+'TUSD BF'!$AM$15+'TUSD CVA'!$AM$15)*1</f>
        <v>31.93064187172984</v>
      </c>
      <c r="Z827" s="6"/>
      <c r="AA827" s="6"/>
      <c r="AB827" s="6">
        <f>$K$827*$V$827</f>
        <v>297156.57</v>
      </c>
      <c r="AC827" s="6">
        <f>$M$827*$W$827</f>
        <v>0</v>
      </c>
      <c r="AD827" s="6">
        <f>$O$827*$X$827</f>
        <v>0</v>
      </c>
      <c r="AE827" s="6">
        <f ca="1">$K$827*$Y$827</f>
        <v>332110.60610786208</v>
      </c>
      <c r="AF827" s="6">
        <f>$M$827*$Z$827</f>
        <v>0</v>
      </c>
      <c r="AG827" s="6">
        <f>$O$827*$AA$827</f>
        <v>0</v>
      </c>
    </row>
    <row r="828" spans="1:33" ht="11.25" customHeight="1" x14ac:dyDescent="0.25">
      <c r="A828" s="4" t="s">
        <v>30</v>
      </c>
      <c r="B828" s="4" t="s">
        <v>35</v>
      </c>
      <c r="C828" s="4" t="s">
        <v>36</v>
      </c>
      <c r="D828" s="4" t="s">
        <v>45</v>
      </c>
      <c r="E828" s="4" t="s">
        <v>25</v>
      </c>
      <c r="F828" s="4" t="s">
        <v>25</v>
      </c>
      <c r="G828" s="4" t="s">
        <v>25</v>
      </c>
      <c r="H828" s="4" t="s">
        <v>25</v>
      </c>
      <c r="I828" s="5">
        <v>44440</v>
      </c>
      <c r="J828" s="6">
        <v>9639</v>
      </c>
      <c r="K828" s="6">
        <v>9639</v>
      </c>
      <c r="L828" s="6">
        <v>0</v>
      </c>
      <c r="M828" s="6">
        <v>0</v>
      </c>
      <c r="N828" s="6">
        <v>0</v>
      </c>
      <c r="O828" s="6">
        <v>0</v>
      </c>
      <c r="P828" s="6">
        <v>47</v>
      </c>
      <c r="Q828" s="4" t="s">
        <v>26</v>
      </c>
      <c r="R828" s="4">
        <v>0</v>
      </c>
      <c r="S828" s="6">
        <v>23</v>
      </c>
      <c r="T828" s="6">
        <v>0</v>
      </c>
      <c r="U828" s="6">
        <v>0</v>
      </c>
      <c r="V828" s="6">
        <f>IF(ISERROR(VLOOKUP($S$828,'TAR FIN'!$A$1:$O$95,15,0)),0,VLOOKUP($S$828,'TAR FIN'!$A$1:$O$95,15,0))</f>
        <v>28.57</v>
      </c>
      <c r="W828" s="6">
        <f>IF(ISERROR(VLOOKUP($T$828,'TAR FIN'!$A$1:$O$95,15,0)),0,VLOOKUP($T$828,'TAR FIN'!$A$1:$O$95,15,0))</f>
        <v>0</v>
      </c>
      <c r="X828" s="6">
        <f>IF(ISERROR(VLOOKUP($U$828,'TAR FIN'!$A$1:$O$95,15,0)),0,VLOOKUP($U$828,'TAR FIN'!$A$1:$O$95,15,0))</f>
        <v>0</v>
      </c>
      <c r="Y828" s="6">
        <f ca="1">('TUSD BE'!$AM$15+'TUSD BF'!$AM$15+'TUSD CVA'!$AM$15)*1</f>
        <v>31.93064187172984</v>
      </c>
      <c r="Z828" s="6"/>
      <c r="AA828" s="6"/>
      <c r="AB828" s="6">
        <f>$K$828*$V$828</f>
        <v>275386.23</v>
      </c>
      <c r="AC828" s="6">
        <f>$M$828*$W$828</f>
        <v>0</v>
      </c>
      <c r="AD828" s="6">
        <f>$O$828*$X$828</f>
        <v>0</v>
      </c>
      <c r="AE828" s="6">
        <f ca="1">$K$828*$Y$828</f>
        <v>307779.45700160391</v>
      </c>
      <c r="AF828" s="6">
        <f>$M$828*$Z$828</f>
        <v>0</v>
      </c>
      <c r="AG828" s="6">
        <f>$O$828*$AA$828</f>
        <v>0</v>
      </c>
    </row>
    <row r="829" spans="1:33" ht="11.25" customHeight="1" x14ac:dyDescent="0.25">
      <c r="A829" s="4" t="s">
        <v>21</v>
      </c>
      <c r="B829" s="4" t="s">
        <v>35</v>
      </c>
      <c r="C829" s="4" t="s">
        <v>36</v>
      </c>
      <c r="D829" s="4" t="s">
        <v>45</v>
      </c>
      <c r="E829" s="4" t="s">
        <v>25</v>
      </c>
      <c r="F829" s="4" t="s">
        <v>25</v>
      </c>
      <c r="G829" s="4" t="s">
        <v>25</v>
      </c>
      <c r="H829" s="4" t="s">
        <v>25</v>
      </c>
      <c r="I829" s="5">
        <v>44440</v>
      </c>
      <c r="J829" s="6">
        <v>575</v>
      </c>
      <c r="K829" s="6">
        <v>575</v>
      </c>
      <c r="L829" s="6">
        <v>0</v>
      </c>
      <c r="M829" s="6">
        <v>0</v>
      </c>
      <c r="N829" s="6">
        <v>0</v>
      </c>
      <c r="O829" s="6">
        <v>0</v>
      </c>
      <c r="P829" s="6">
        <v>2</v>
      </c>
      <c r="Q829" s="4" t="s">
        <v>60</v>
      </c>
      <c r="R829" s="4">
        <v>0</v>
      </c>
      <c r="S829" s="6">
        <v>23</v>
      </c>
      <c r="T829" s="6">
        <v>0</v>
      </c>
      <c r="U829" s="6">
        <v>0</v>
      </c>
      <c r="V829" s="6">
        <f>IF(ISERROR(VLOOKUP($S$829,'TAR FIN'!$A$1:$O$95,15,0)),0,VLOOKUP($S$829,'TAR FIN'!$A$1:$O$95,15,0))</f>
        <v>28.57</v>
      </c>
      <c r="W829" s="6">
        <f>IF(ISERROR(VLOOKUP($T$829,'TAR FIN'!$A$1:$O$95,15,0)),0,VLOOKUP($T$829,'TAR FIN'!$A$1:$O$95,15,0))</f>
        <v>0</v>
      </c>
      <c r="X829" s="6">
        <f>IF(ISERROR(VLOOKUP($U$829,'TAR FIN'!$A$1:$O$95,15,0)),0,VLOOKUP($U$829,'TAR FIN'!$A$1:$O$95,15,0))</f>
        <v>0</v>
      </c>
      <c r="Y829" s="6">
        <f ca="1">('TUSD BE'!$AM$15+'TUSD BF'!$AM$15+'TUSD CVA'!$AM$15)*1</f>
        <v>31.93064187172984</v>
      </c>
      <c r="Z829" s="6"/>
      <c r="AA829" s="6"/>
      <c r="AB829" s="6">
        <f>$K$829*$V$829</f>
        <v>16427.75</v>
      </c>
      <c r="AC829" s="6">
        <f>$M$829*$W$829</f>
        <v>0</v>
      </c>
      <c r="AD829" s="6">
        <f>$O$829*$X$829</f>
        <v>0</v>
      </c>
      <c r="AE829" s="6">
        <f ca="1">$K$829*$Y$829</f>
        <v>18360.119076244657</v>
      </c>
      <c r="AF829" s="6">
        <f>$M$829*$Z$829</f>
        <v>0</v>
      </c>
      <c r="AG829" s="6">
        <f>$O$829*$AA$829</f>
        <v>0</v>
      </c>
    </row>
    <row r="830" spans="1:33" ht="11.25" customHeight="1" x14ac:dyDescent="0.25">
      <c r="A830" s="4" t="s">
        <v>59</v>
      </c>
      <c r="B830" s="4" t="s">
        <v>35</v>
      </c>
      <c r="C830" s="4" t="s">
        <v>36</v>
      </c>
      <c r="D830" s="4" t="s">
        <v>45</v>
      </c>
      <c r="E830" s="4" t="s">
        <v>25</v>
      </c>
      <c r="F830" s="4" t="s">
        <v>25</v>
      </c>
      <c r="G830" s="4" t="s">
        <v>25</v>
      </c>
      <c r="H830" s="4" t="s">
        <v>25</v>
      </c>
      <c r="I830" s="5">
        <v>44470</v>
      </c>
      <c r="J830" s="6">
        <v>133872</v>
      </c>
      <c r="K830" s="6">
        <v>133872</v>
      </c>
      <c r="L830" s="6">
        <v>0</v>
      </c>
      <c r="M830" s="6">
        <v>0</v>
      </c>
      <c r="N830" s="6">
        <v>0</v>
      </c>
      <c r="O830" s="6">
        <v>0</v>
      </c>
      <c r="P830" s="6">
        <v>845</v>
      </c>
      <c r="Q830" s="4" t="s">
        <v>26</v>
      </c>
      <c r="R830" s="4">
        <v>0</v>
      </c>
      <c r="S830" s="6">
        <v>23</v>
      </c>
      <c r="T830" s="6">
        <v>0</v>
      </c>
      <c r="U830" s="6">
        <v>0</v>
      </c>
      <c r="V830" s="6">
        <f>IF(ISERROR(VLOOKUP($S$830,'TAR FIN'!$A$1:$O$95,15,0)),0,VLOOKUP($S$830,'TAR FIN'!$A$1:$O$95,15,0))</f>
        <v>28.57</v>
      </c>
      <c r="W830" s="6">
        <f>IF(ISERROR(VLOOKUP($T$830,'TAR FIN'!$A$1:$O$95,15,0)),0,VLOOKUP($T$830,'TAR FIN'!$A$1:$O$95,15,0))</f>
        <v>0</v>
      </c>
      <c r="X830" s="6">
        <f>IF(ISERROR(VLOOKUP($U$830,'TAR FIN'!$A$1:$O$95,15,0)),0,VLOOKUP($U$830,'TAR FIN'!$A$1:$O$95,15,0))</f>
        <v>0</v>
      </c>
      <c r="Y830" s="6">
        <f ca="1">('TUSD BE'!$AM$15+'TUSD BF'!$AM$15+'TUSD CVA'!$AM$15)*1</f>
        <v>31.93064187172984</v>
      </c>
      <c r="Z830" s="6"/>
      <c r="AA830" s="6"/>
      <c r="AB830" s="6">
        <f>$K$830*$V$830</f>
        <v>3824723.04</v>
      </c>
      <c r="AC830" s="6">
        <f>$M$830*$W$830</f>
        <v>0</v>
      </c>
      <c r="AD830" s="6">
        <f>$O$830*$X$830</f>
        <v>0</v>
      </c>
      <c r="AE830" s="6">
        <f ca="1">$K$830*$Y$830</f>
        <v>4274618.8886522176</v>
      </c>
      <c r="AF830" s="6">
        <f>$M$830*$Z$830</f>
        <v>0</v>
      </c>
      <c r="AG830" s="6">
        <f>$O$830*$AA$830</f>
        <v>0</v>
      </c>
    </row>
    <row r="831" spans="1:33" ht="11.25" customHeight="1" x14ac:dyDescent="0.25">
      <c r="A831" s="4" t="s">
        <v>59</v>
      </c>
      <c r="B831" s="4" t="s">
        <v>35</v>
      </c>
      <c r="C831" s="4" t="s">
        <v>36</v>
      </c>
      <c r="D831" s="4" t="s">
        <v>45</v>
      </c>
      <c r="E831" s="4" t="s">
        <v>25</v>
      </c>
      <c r="F831" s="4" t="s">
        <v>25</v>
      </c>
      <c r="G831" s="4" t="s">
        <v>25</v>
      </c>
      <c r="H831" s="4" t="s">
        <v>25</v>
      </c>
      <c r="I831" s="5">
        <v>44470</v>
      </c>
      <c r="J831" s="6">
        <v>-1682</v>
      </c>
      <c r="K831" s="6">
        <v>-1682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4" t="s">
        <v>26</v>
      </c>
      <c r="R831" s="4">
        <v>0</v>
      </c>
      <c r="S831" s="6">
        <v>23</v>
      </c>
      <c r="T831" s="6">
        <v>0</v>
      </c>
      <c r="U831" s="6">
        <v>0</v>
      </c>
      <c r="V831" s="6">
        <f>IF(ISERROR(VLOOKUP($S$831,'TAR FIN'!$A$1:$O$95,15,0)),0,VLOOKUP($S$831,'TAR FIN'!$A$1:$O$95,15,0))</f>
        <v>28.57</v>
      </c>
      <c r="W831" s="6">
        <f>IF(ISERROR(VLOOKUP($T$831,'TAR FIN'!$A$1:$O$95,15,0)),0,VLOOKUP($T$831,'TAR FIN'!$A$1:$O$95,15,0))</f>
        <v>0</v>
      </c>
      <c r="X831" s="6">
        <f>IF(ISERROR(VLOOKUP($U$831,'TAR FIN'!$A$1:$O$95,15,0)),0,VLOOKUP($U$831,'TAR FIN'!$A$1:$O$95,15,0))</f>
        <v>0</v>
      </c>
      <c r="Y831" s="6">
        <f ca="1">('TUSD BE'!$AM$15+'TUSD BF'!$AM$15+'TUSD CVA'!$AM$15)*1</f>
        <v>31.93064187172984</v>
      </c>
      <c r="Z831" s="6"/>
      <c r="AA831" s="6"/>
      <c r="AB831" s="6">
        <f>$K$831*$V$831</f>
        <v>-48054.74</v>
      </c>
      <c r="AC831" s="6">
        <f>$M$831*$W$831</f>
        <v>0</v>
      </c>
      <c r="AD831" s="6">
        <f>$O$831*$X$831</f>
        <v>0</v>
      </c>
      <c r="AE831" s="6">
        <f ca="1">$K$831*$Y$831</f>
        <v>-53707.339628249589</v>
      </c>
      <c r="AF831" s="6">
        <f>$M$831*$Z$831</f>
        <v>0</v>
      </c>
      <c r="AG831" s="6">
        <f>$O$831*$AA$831</f>
        <v>0</v>
      </c>
    </row>
    <row r="832" spans="1:33" ht="11.25" customHeight="1" x14ac:dyDescent="0.25">
      <c r="A832" s="4" t="s">
        <v>59</v>
      </c>
      <c r="B832" s="4" t="s">
        <v>35</v>
      </c>
      <c r="C832" s="4" t="s">
        <v>36</v>
      </c>
      <c r="D832" s="4" t="s">
        <v>45</v>
      </c>
      <c r="E832" s="4" t="s">
        <v>25</v>
      </c>
      <c r="F832" s="4" t="s">
        <v>25</v>
      </c>
      <c r="G832" s="4" t="s">
        <v>25</v>
      </c>
      <c r="H832" s="4" t="s">
        <v>25</v>
      </c>
      <c r="I832" s="5">
        <v>44470</v>
      </c>
      <c r="J832" s="6">
        <v>10401</v>
      </c>
      <c r="K832" s="6">
        <v>10401</v>
      </c>
      <c r="L832" s="6">
        <v>0</v>
      </c>
      <c r="M832" s="6">
        <v>0</v>
      </c>
      <c r="N832" s="6">
        <v>0</v>
      </c>
      <c r="O832" s="6">
        <v>0</v>
      </c>
      <c r="P832" s="6">
        <v>115</v>
      </c>
      <c r="Q832" s="4" t="s">
        <v>26</v>
      </c>
      <c r="R832" s="4">
        <v>0</v>
      </c>
      <c r="S832" s="6">
        <v>23</v>
      </c>
      <c r="T832" s="6">
        <v>0</v>
      </c>
      <c r="U832" s="6">
        <v>0</v>
      </c>
      <c r="V832" s="6">
        <f>IF(ISERROR(VLOOKUP($S$832,'TAR FIN'!$A$1:$O$95,15,0)),0,VLOOKUP($S$832,'TAR FIN'!$A$1:$O$95,15,0))</f>
        <v>28.57</v>
      </c>
      <c r="W832" s="6">
        <f>IF(ISERROR(VLOOKUP($T$832,'TAR FIN'!$A$1:$O$95,15,0)),0,VLOOKUP($T$832,'TAR FIN'!$A$1:$O$95,15,0))</f>
        <v>0</v>
      </c>
      <c r="X832" s="6">
        <f>IF(ISERROR(VLOOKUP($U$832,'TAR FIN'!$A$1:$O$95,15,0)),0,VLOOKUP($U$832,'TAR FIN'!$A$1:$O$95,15,0))</f>
        <v>0</v>
      </c>
      <c r="Y832" s="6">
        <f ca="1">('TUSD BE'!$AM$15+'TUSD BF'!$AM$15+'TUSD CVA'!$AM$15)*1</f>
        <v>31.93064187172984</v>
      </c>
      <c r="Z832" s="6"/>
      <c r="AA832" s="6"/>
      <c r="AB832" s="6">
        <f>$K$832*$V$832</f>
        <v>297156.57</v>
      </c>
      <c r="AC832" s="6">
        <f>$M$832*$W$832</f>
        <v>0</v>
      </c>
      <c r="AD832" s="6">
        <f>$O$832*$X$832</f>
        <v>0</v>
      </c>
      <c r="AE832" s="6">
        <f ca="1">$K$832*$Y$832</f>
        <v>332110.60610786208</v>
      </c>
      <c r="AF832" s="6">
        <f>$M$832*$Z$832</f>
        <v>0</v>
      </c>
      <c r="AG832" s="6">
        <f>$O$832*$AA$832</f>
        <v>0</v>
      </c>
    </row>
    <row r="833" spans="1:33" ht="11.25" customHeight="1" x14ac:dyDescent="0.25">
      <c r="A833" s="4" t="s">
        <v>59</v>
      </c>
      <c r="B833" s="4" t="s">
        <v>35</v>
      </c>
      <c r="C833" s="4" t="s">
        <v>36</v>
      </c>
      <c r="D833" s="4" t="s">
        <v>45</v>
      </c>
      <c r="E833" s="4" t="s">
        <v>25</v>
      </c>
      <c r="F833" s="4" t="s">
        <v>25</v>
      </c>
      <c r="G833" s="4" t="s">
        <v>25</v>
      </c>
      <c r="H833" s="4" t="s">
        <v>25</v>
      </c>
      <c r="I833" s="5">
        <v>44470</v>
      </c>
      <c r="J833" s="6">
        <v>9639</v>
      </c>
      <c r="K833" s="6">
        <v>9639</v>
      </c>
      <c r="L833" s="6">
        <v>0</v>
      </c>
      <c r="M833" s="6">
        <v>0</v>
      </c>
      <c r="N833" s="6">
        <v>0</v>
      </c>
      <c r="O833" s="6">
        <v>0</v>
      </c>
      <c r="P833" s="6">
        <v>47</v>
      </c>
      <c r="Q833" s="4" t="s">
        <v>26</v>
      </c>
      <c r="R833" s="4">
        <v>0</v>
      </c>
      <c r="S833" s="6">
        <v>23</v>
      </c>
      <c r="T833" s="6">
        <v>0</v>
      </c>
      <c r="U833" s="6">
        <v>0</v>
      </c>
      <c r="V833" s="6">
        <f>IF(ISERROR(VLOOKUP($S$833,'TAR FIN'!$A$1:$O$95,15,0)),0,VLOOKUP($S$833,'TAR FIN'!$A$1:$O$95,15,0))</f>
        <v>28.57</v>
      </c>
      <c r="W833" s="6">
        <f>IF(ISERROR(VLOOKUP($T$833,'TAR FIN'!$A$1:$O$95,15,0)),0,VLOOKUP($T$833,'TAR FIN'!$A$1:$O$95,15,0))</f>
        <v>0</v>
      </c>
      <c r="X833" s="6">
        <f>IF(ISERROR(VLOOKUP($U$833,'TAR FIN'!$A$1:$O$95,15,0)),0,VLOOKUP($U$833,'TAR FIN'!$A$1:$O$95,15,0))</f>
        <v>0</v>
      </c>
      <c r="Y833" s="6">
        <f ca="1">('TUSD BE'!$AM$15+'TUSD BF'!$AM$15+'TUSD CVA'!$AM$15)*1</f>
        <v>31.93064187172984</v>
      </c>
      <c r="Z833" s="6"/>
      <c r="AA833" s="6"/>
      <c r="AB833" s="6">
        <f>$K$833*$V$833</f>
        <v>275386.23</v>
      </c>
      <c r="AC833" s="6">
        <f>$M$833*$W$833</f>
        <v>0</v>
      </c>
      <c r="AD833" s="6">
        <f>$O$833*$X$833</f>
        <v>0</v>
      </c>
      <c r="AE833" s="6">
        <f ca="1">$K$833*$Y$833</f>
        <v>307779.45700160391</v>
      </c>
      <c r="AF833" s="6">
        <f>$M$833*$Z$833</f>
        <v>0</v>
      </c>
      <c r="AG833" s="6">
        <f>$O$833*$AA$833</f>
        <v>0</v>
      </c>
    </row>
    <row r="834" spans="1:33" ht="11.25" customHeight="1" x14ac:dyDescent="0.25">
      <c r="A834" s="4" t="s">
        <v>59</v>
      </c>
      <c r="B834" s="4" t="s">
        <v>35</v>
      </c>
      <c r="C834" s="4" t="s">
        <v>36</v>
      </c>
      <c r="D834" s="4" t="s">
        <v>45</v>
      </c>
      <c r="E834" s="4" t="s">
        <v>25</v>
      </c>
      <c r="F834" s="4" t="s">
        <v>25</v>
      </c>
      <c r="G834" s="4" t="s">
        <v>25</v>
      </c>
      <c r="H834" s="4" t="s">
        <v>25</v>
      </c>
      <c r="I834" s="5">
        <v>44470</v>
      </c>
      <c r="J834" s="6">
        <v>575</v>
      </c>
      <c r="K834" s="6">
        <v>575</v>
      </c>
      <c r="L834" s="6">
        <v>0</v>
      </c>
      <c r="M834" s="6">
        <v>0</v>
      </c>
      <c r="N834" s="6">
        <v>0</v>
      </c>
      <c r="O834" s="6">
        <v>0</v>
      </c>
      <c r="P834" s="6">
        <v>2</v>
      </c>
      <c r="Q834" s="4" t="s">
        <v>60</v>
      </c>
      <c r="R834" s="4">
        <v>0</v>
      </c>
      <c r="S834" s="6">
        <v>23</v>
      </c>
      <c r="T834" s="6">
        <v>0</v>
      </c>
      <c r="U834" s="6">
        <v>0</v>
      </c>
      <c r="V834" s="6">
        <f>IF(ISERROR(VLOOKUP($S$834,'TAR FIN'!$A$1:$O$95,15,0)),0,VLOOKUP($S$834,'TAR FIN'!$A$1:$O$95,15,0))</f>
        <v>28.57</v>
      </c>
      <c r="W834" s="6">
        <f>IF(ISERROR(VLOOKUP($T$834,'TAR FIN'!$A$1:$O$95,15,0)),0,VLOOKUP($T$834,'TAR FIN'!$A$1:$O$95,15,0))</f>
        <v>0</v>
      </c>
      <c r="X834" s="6">
        <f>IF(ISERROR(VLOOKUP($U$834,'TAR FIN'!$A$1:$O$95,15,0)),0,VLOOKUP($U$834,'TAR FIN'!$A$1:$O$95,15,0))</f>
        <v>0</v>
      </c>
      <c r="Y834" s="6">
        <f ca="1">('TUSD BE'!$AM$15+'TUSD BF'!$AM$15+'TUSD CVA'!$AM$15)*1</f>
        <v>31.93064187172984</v>
      </c>
      <c r="Z834" s="6"/>
      <c r="AA834" s="6"/>
      <c r="AB834" s="6">
        <f>$K$834*$V$834</f>
        <v>16427.75</v>
      </c>
      <c r="AC834" s="6">
        <f>$M$834*$W$834</f>
        <v>0</v>
      </c>
      <c r="AD834" s="6">
        <f>$O$834*$X$834</f>
        <v>0</v>
      </c>
      <c r="AE834" s="6">
        <f ca="1">$K$834*$Y$834</f>
        <v>18360.119076244657</v>
      </c>
      <c r="AF834" s="6">
        <f>$M$834*$Z$834</f>
        <v>0</v>
      </c>
      <c r="AG834" s="6">
        <f>$O$834*$AA$834</f>
        <v>0</v>
      </c>
    </row>
    <row r="835" spans="1:33" ht="11.25" customHeight="1" x14ac:dyDescent="0.25">
      <c r="A835" s="4" t="s">
        <v>21</v>
      </c>
      <c r="B835" s="4" t="s">
        <v>35</v>
      </c>
      <c r="C835" s="4" t="s">
        <v>36</v>
      </c>
      <c r="D835" s="4" t="s">
        <v>45</v>
      </c>
      <c r="E835" s="4" t="s">
        <v>25</v>
      </c>
      <c r="F835" s="4" t="s">
        <v>25</v>
      </c>
      <c r="G835" s="4" t="s">
        <v>25</v>
      </c>
      <c r="H835" s="4" t="s">
        <v>37</v>
      </c>
      <c r="I835" s="5">
        <v>44136</v>
      </c>
      <c r="J835" s="6">
        <v>0</v>
      </c>
      <c r="K835" s="6">
        <v>0</v>
      </c>
      <c r="L835" s="6">
        <v>1768.345</v>
      </c>
      <c r="M835" s="6">
        <v>1768.345</v>
      </c>
      <c r="N835" s="6">
        <v>1768.345</v>
      </c>
      <c r="O835" s="6">
        <v>1768.345</v>
      </c>
      <c r="P835" s="6">
        <v>0</v>
      </c>
      <c r="Q835" s="4" t="s">
        <v>26</v>
      </c>
      <c r="R835" s="4">
        <v>0</v>
      </c>
      <c r="S835" s="6">
        <v>0</v>
      </c>
      <c r="T835" s="6">
        <v>24</v>
      </c>
      <c r="U835" s="6">
        <v>66</v>
      </c>
      <c r="V835" s="6">
        <f>IF(ISERROR(VLOOKUP($S$835,'TAR FIN'!$A$1:$O$95,15,0)),0,VLOOKUP($S$835,'TAR FIN'!$A$1:$O$95,15,0))</f>
        <v>0</v>
      </c>
      <c r="W835" s="6">
        <f>IF(ISERROR(VLOOKUP($T$835,'TAR FIN'!$A$1:$O$95,15,0)),0,VLOOKUP($T$835,'TAR FIN'!$A$1:$O$95,15,0))</f>
        <v>1434.79</v>
      </c>
      <c r="X835" s="6">
        <f>IF(ISERROR(VLOOKUP($U$835,'TAR FIN'!$A$1:$O$95,15,0)),0,VLOOKUP($U$835,'TAR FIN'!$A$1:$O$95,15,0))</f>
        <v>389.28</v>
      </c>
      <c r="Y835" s="6"/>
      <c r="Z835" s="6">
        <f ca="1">('TUSD BE'!$AM$16+'TUSD BF'!$AM$16+'TUSD CVA'!$AM$16)*1</f>
        <v>1605.9916314233351</v>
      </c>
      <c r="AA835" s="6">
        <f>('TE BE'!$AA$7+'TE BF'!$AA$7+'TE CVA'!$AA$7)*1</f>
        <v>454.3285679284046</v>
      </c>
      <c r="AB835" s="6">
        <f>$K$835*$V$835</f>
        <v>0</v>
      </c>
      <c r="AC835" s="6">
        <f>$M$835*$W$835</f>
        <v>2537203.7225500001</v>
      </c>
      <c r="AD835" s="6">
        <f>$O$835*$X$835</f>
        <v>688381.34159999993</v>
      </c>
      <c r="AE835" s="6">
        <f>$K$835*$Y$835</f>
        <v>0</v>
      </c>
      <c r="AF835" s="6">
        <f ca="1">$M$835*$Z$835</f>
        <v>2839947.2714692974</v>
      </c>
      <c r="AG835" s="6">
        <f>$O$835*$AA$835</f>
        <v>803409.65145335463</v>
      </c>
    </row>
    <row r="836" spans="1:33" ht="11.25" customHeight="1" x14ac:dyDescent="0.25">
      <c r="A836" s="4" t="s">
        <v>27</v>
      </c>
      <c r="B836" s="4" t="s">
        <v>35</v>
      </c>
      <c r="C836" s="4" t="s">
        <v>36</v>
      </c>
      <c r="D836" s="4" t="s">
        <v>45</v>
      </c>
      <c r="E836" s="4" t="s">
        <v>25</v>
      </c>
      <c r="F836" s="4" t="s">
        <v>25</v>
      </c>
      <c r="G836" s="4" t="s">
        <v>25</v>
      </c>
      <c r="H836" s="4" t="s">
        <v>37</v>
      </c>
      <c r="I836" s="5">
        <v>44136</v>
      </c>
      <c r="J836" s="6">
        <v>0</v>
      </c>
      <c r="K836" s="6">
        <v>0</v>
      </c>
      <c r="L836" s="6">
        <v>3.0609999999999999</v>
      </c>
      <c r="M836" s="6">
        <v>3.0609999999999999</v>
      </c>
      <c r="N836" s="6">
        <v>3.0609999999999999</v>
      </c>
      <c r="O836" s="6">
        <v>3.0609999999999999</v>
      </c>
      <c r="P836" s="6">
        <v>0</v>
      </c>
      <c r="Q836" s="4" t="s">
        <v>26</v>
      </c>
      <c r="R836" s="4">
        <v>0</v>
      </c>
      <c r="S836" s="6">
        <v>0</v>
      </c>
      <c r="T836" s="6">
        <v>24</v>
      </c>
      <c r="U836" s="6">
        <v>66</v>
      </c>
      <c r="V836" s="6">
        <f>IF(ISERROR(VLOOKUP($S$836,'TAR FIN'!$A$1:$O$95,15,0)),0,VLOOKUP($S$836,'TAR FIN'!$A$1:$O$95,15,0))</f>
        <v>0</v>
      </c>
      <c r="W836" s="6">
        <f>IF(ISERROR(VLOOKUP($T$836,'TAR FIN'!$A$1:$O$95,15,0)),0,VLOOKUP($T$836,'TAR FIN'!$A$1:$O$95,15,0))</f>
        <v>1434.79</v>
      </c>
      <c r="X836" s="6">
        <f>IF(ISERROR(VLOOKUP($U$836,'TAR FIN'!$A$1:$O$95,15,0)),0,VLOOKUP($U$836,'TAR FIN'!$A$1:$O$95,15,0))</f>
        <v>389.28</v>
      </c>
      <c r="Y836" s="6"/>
      <c r="Z836" s="6">
        <f ca="1">('TUSD BE'!$AM$16+'TUSD BF'!$AM$16+'TUSD CVA'!$AM$16)*1</f>
        <v>1605.9916314233351</v>
      </c>
      <c r="AA836" s="6">
        <f>('TE BE'!$AA$7+'TE BF'!$AA$7+'TE CVA'!$AA$7)*1</f>
        <v>454.3285679284046</v>
      </c>
      <c r="AB836" s="6">
        <f>$K$836*$V$836</f>
        <v>0</v>
      </c>
      <c r="AC836" s="6">
        <f>$M$836*$W$836</f>
        <v>4391.8921899999996</v>
      </c>
      <c r="AD836" s="6">
        <f>$O$836*$X$836</f>
        <v>1191.5860799999998</v>
      </c>
      <c r="AE836" s="6">
        <f>$K$836*$Y$836</f>
        <v>0</v>
      </c>
      <c r="AF836" s="6">
        <f ca="1">$M$836*$Z$836</f>
        <v>4915.9403837868285</v>
      </c>
      <c r="AG836" s="6">
        <f>$O$836*$AA$836</f>
        <v>1390.6997464288465</v>
      </c>
    </row>
    <row r="837" spans="1:33" ht="11.25" customHeight="1" x14ac:dyDescent="0.25">
      <c r="A837" s="4" t="s">
        <v>28</v>
      </c>
      <c r="B837" s="4" t="s">
        <v>35</v>
      </c>
      <c r="C837" s="4" t="s">
        <v>36</v>
      </c>
      <c r="D837" s="4" t="s">
        <v>45</v>
      </c>
      <c r="E837" s="4" t="s">
        <v>25</v>
      </c>
      <c r="F837" s="4" t="s">
        <v>25</v>
      </c>
      <c r="G837" s="4" t="s">
        <v>25</v>
      </c>
      <c r="H837" s="4" t="s">
        <v>37</v>
      </c>
      <c r="I837" s="5">
        <v>44136</v>
      </c>
      <c r="J837" s="6">
        <v>0</v>
      </c>
      <c r="K837" s="6">
        <v>0</v>
      </c>
      <c r="L837" s="6">
        <v>141.45599999999999</v>
      </c>
      <c r="M837" s="6">
        <v>141.45599999999999</v>
      </c>
      <c r="N837" s="6">
        <v>141.45599999999999</v>
      </c>
      <c r="O837" s="6">
        <v>141.45599999999999</v>
      </c>
      <c r="P837" s="6">
        <v>0</v>
      </c>
      <c r="Q837" s="4" t="s">
        <v>26</v>
      </c>
      <c r="R837" s="4">
        <v>0</v>
      </c>
      <c r="S837" s="6">
        <v>0</v>
      </c>
      <c r="T837" s="6">
        <v>24</v>
      </c>
      <c r="U837" s="6">
        <v>66</v>
      </c>
      <c r="V837" s="6">
        <f>IF(ISERROR(VLOOKUP($S$837,'TAR FIN'!$A$1:$O$95,15,0)),0,VLOOKUP($S$837,'TAR FIN'!$A$1:$O$95,15,0))</f>
        <v>0</v>
      </c>
      <c r="W837" s="6">
        <f>IF(ISERROR(VLOOKUP($T$837,'TAR FIN'!$A$1:$O$95,15,0)),0,VLOOKUP($T$837,'TAR FIN'!$A$1:$O$95,15,0))</f>
        <v>1434.79</v>
      </c>
      <c r="X837" s="6">
        <f>IF(ISERROR(VLOOKUP($U$837,'TAR FIN'!$A$1:$O$95,15,0)),0,VLOOKUP($U$837,'TAR FIN'!$A$1:$O$95,15,0))</f>
        <v>389.28</v>
      </c>
      <c r="Y837" s="6"/>
      <c r="Z837" s="6">
        <f ca="1">('TUSD BE'!$AM$16+'TUSD BF'!$AM$16+'TUSD CVA'!$AM$16)*1</f>
        <v>1605.9916314233351</v>
      </c>
      <c r="AA837" s="6">
        <f>('TE BE'!$AA$7+'TE BF'!$AA$7+'TE CVA'!$AA$7)*1</f>
        <v>454.3285679284046</v>
      </c>
      <c r="AB837" s="6">
        <f>$K$837*$V$837</f>
        <v>0</v>
      </c>
      <c r="AC837" s="6">
        <f>$M$837*$W$837</f>
        <v>202959.65423999997</v>
      </c>
      <c r="AD837" s="6">
        <f>$O$837*$X$837</f>
        <v>55065.991679999992</v>
      </c>
      <c r="AE837" s="6">
        <f>$K$837*$Y$837</f>
        <v>0</v>
      </c>
      <c r="AF837" s="6">
        <f ca="1">$M$837*$Z$837</f>
        <v>227177.15221461927</v>
      </c>
      <c r="AG837" s="6">
        <f>$O$837*$AA$837</f>
        <v>64267.501904880395</v>
      </c>
    </row>
    <row r="838" spans="1:33" ht="11.25" customHeight="1" x14ac:dyDescent="0.25">
      <c r="A838" s="4" t="s">
        <v>30</v>
      </c>
      <c r="B838" s="4" t="s">
        <v>35</v>
      </c>
      <c r="C838" s="4" t="s">
        <v>36</v>
      </c>
      <c r="D838" s="4" t="s">
        <v>45</v>
      </c>
      <c r="E838" s="4" t="s">
        <v>25</v>
      </c>
      <c r="F838" s="4" t="s">
        <v>25</v>
      </c>
      <c r="G838" s="4" t="s">
        <v>25</v>
      </c>
      <c r="H838" s="4" t="s">
        <v>37</v>
      </c>
      <c r="I838" s="5">
        <v>44136</v>
      </c>
      <c r="J838" s="6">
        <v>0</v>
      </c>
      <c r="K838" s="6">
        <v>0</v>
      </c>
      <c r="L838" s="6">
        <v>44.008000000000003</v>
      </c>
      <c r="M838" s="6">
        <v>44.008000000000003</v>
      </c>
      <c r="N838" s="6">
        <v>44.008000000000003</v>
      </c>
      <c r="O838" s="6">
        <v>44.008000000000003</v>
      </c>
      <c r="P838" s="6">
        <v>0</v>
      </c>
      <c r="Q838" s="4" t="s">
        <v>26</v>
      </c>
      <c r="R838" s="4">
        <v>0</v>
      </c>
      <c r="S838" s="6">
        <v>0</v>
      </c>
      <c r="T838" s="6">
        <v>24</v>
      </c>
      <c r="U838" s="6">
        <v>66</v>
      </c>
      <c r="V838" s="6">
        <f>IF(ISERROR(VLOOKUP($S$838,'TAR FIN'!$A$1:$O$95,15,0)),0,VLOOKUP($S$838,'TAR FIN'!$A$1:$O$95,15,0))</f>
        <v>0</v>
      </c>
      <c r="W838" s="6">
        <f>IF(ISERROR(VLOOKUP($T$838,'TAR FIN'!$A$1:$O$95,15,0)),0,VLOOKUP($T$838,'TAR FIN'!$A$1:$O$95,15,0))</f>
        <v>1434.79</v>
      </c>
      <c r="X838" s="6">
        <f>IF(ISERROR(VLOOKUP($U$838,'TAR FIN'!$A$1:$O$95,15,0)),0,VLOOKUP($U$838,'TAR FIN'!$A$1:$O$95,15,0))</f>
        <v>389.28</v>
      </c>
      <c r="Y838" s="6"/>
      <c r="Z838" s="6">
        <f ca="1">('TUSD BE'!$AM$16+'TUSD BF'!$AM$16+'TUSD CVA'!$AM$16)*1</f>
        <v>1605.9916314233351</v>
      </c>
      <c r="AA838" s="6">
        <f>('TE BE'!$AA$7+'TE BF'!$AA$7+'TE CVA'!$AA$7)*1</f>
        <v>454.3285679284046</v>
      </c>
      <c r="AB838" s="6">
        <f>$K$838*$V$838</f>
        <v>0</v>
      </c>
      <c r="AC838" s="6">
        <f>$M$838*$W$838</f>
        <v>63142.238320000004</v>
      </c>
      <c r="AD838" s="6">
        <f>$O$838*$X$838</f>
        <v>17131.434239999999</v>
      </c>
      <c r="AE838" s="6">
        <f>$K$838*$Y$838</f>
        <v>0</v>
      </c>
      <c r="AF838" s="6">
        <f ca="1">$M$838*$Z$838</f>
        <v>70676.479715678128</v>
      </c>
      <c r="AG838" s="6">
        <f>$O$838*$AA$838</f>
        <v>19994.091617393231</v>
      </c>
    </row>
    <row r="839" spans="1:33" ht="11.25" customHeight="1" x14ac:dyDescent="0.25">
      <c r="A839" s="4" t="s">
        <v>21</v>
      </c>
      <c r="B839" s="4" t="s">
        <v>35</v>
      </c>
      <c r="C839" s="4" t="s">
        <v>36</v>
      </c>
      <c r="D839" s="4" t="s">
        <v>45</v>
      </c>
      <c r="E839" s="4" t="s">
        <v>25</v>
      </c>
      <c r="F839" s="4" t="s">
        <v>25</v>
      </c>
      <c r="G839" s="4" t="s">
        <v>25</v>
      </c>
      <c r="H839" s="4" t="s">
        <v>37</v>
      </c>
      <c r="I839" s="5">
        <v>44136</v>
      </c>
      <c r="J839" s="6">
        <v>0</v>
      </c>
      <c r="K839" s="6">
        <v>0</v>
      </c>
      <c r="L839" s="6">
        <v>-21.004999999999999</v>
      </c>
      <c r="M839" s="6">
        <v>-21.004999999999999</v>
      </c>
      <c r="N839" s="6">
        <v>0</v>
      </c>
      <c r="O839" s="6">
        <v>0</v>
      </c>
      <c r="P839" s="6">
        <v>0</v>
      </c>
      <c r="Q839" s="4" t="s">
        <v>60</v>
      </c>
      <c r="R839" s="4">
        <v>0</v>
      </c>
      <c r="S839" s="6">
        <v>0</v>
      </c>
      <c r="T839" s="6">
        <v>24</v>
      </c>
      <c r="U839" s="6">
        <v>0</v>
      </c>
      <c r="V839" s="6">
        <f>IF(ISERROR(VLOOKUP($S$839,'TAR FIN'!$A$1:$O$95,15,0)),0,VLOOKUP($S$839,'TAR FIN'!$A$1:$O$95,15,0))</f>
        <v>0</v>
      </c>
      <c r="W839" s="6">
        <f>IF(ISERROR(VLOOKUP($T$839,'TAR FIN'!$A$1:$O$95,15,0)),0,VLOOKUP($T$839,'TAR FIN'!$A$1:$O$95,15,0))</f>
        <v>1434.79</v>
      </c>
      <c r="X839" s="6">
        <f>IF(ISERROR(VLOOKUP($U$839,'TAR FIN'!$A$1:$O$95,15,0)),0,VLOOKUP($U$839,'TAR FIN'!$A$1:$O$95,15,0))</f>
        <v>0</v>
      </c>
      <c r="Y839" s="6"/>
      <c r="Z839" s="6">
        <f ca="1">('TUSD BE'!$AM$16+'TUSD BF'!$AM$16+'TUSD CVA'!$AM$16)*1</f>
        <v>1605.9916314233351</v>
      </c>
      <c r="AA839" s="6"/>
      <c r="AB839" s="6">
        <f>$K$839*$V$839</f>
        <v>0</v>
      </c>
      <c r="AC839" s="6">
        <f>$M$839*$W$839</f>
        <v>-30137.763949999997</v>
      </c>
      <c r="AD839" s="6">
        <f>$O$839*$X$839</f>
        <v>0</v>
      </c>
      <c r="AE839" s="6">
        <f>$K$839*$Y$839</f>
        <v>0</v>
      </c>
      <c r="AF839" s="6">
        <f ca="1">$M$839*$Z$839</f>
        <v>-33733.854218047149</v>
      </c>
      <c r="AG839" s="6">
        <f>$O$839*$AA$839</f>
        <v>0</v>
      </c>
    </row>
    <row r="840" spans="1:33" ht="11.25" customHeight="1" x14ac:dyDescent="0.25">
      <c r="A840" s="4" t="s">
        <v>21</v>
      </c>
      <c r="B840" s="4" t="s">
        <v>35</v>
      </c>
      <c r="C840" s="4" t="s">
        <v>36</v>
      </c>
      <c r="D840" s="4" t="s">
        <v>45</v>
      </c>
      <c r="E840" s="4" t="s">
        <v>25</v>
      </c>
      <c r="F840" s="4" t="s">
        <v>25</v>
      </c>
      <c r="G840" s="4" t="s">
        <v>25</v>
      </c>
      <c r="H840" s="4" t="s">
        <v>37</v>
      </c>
      <c r="I840" s="5">
        <v>44166</v>
      </c>
      <c r="J840" s="6">
        <v>0</v>
      </c>
      <c r="K840" s="6">
        <v>0</v>
      </c>
      <c r="L840" s="6">
        <v>1788.2909999999999</v>
      </c>
      <c r="M840" s="6">
        <v>1788.2909999999999</v>
      </c>
      <c r="N840" s="6">
        <v>1788.2909999999999</v>
      </c>
      <c r="O840" s="6">
        <v>1788.2909999999999</v>
      </c>
      <c r="P840" s="6">
        <v>0</v>
      </c>
      <c r="Q840" s="4" t="s">
        <v>26</v>
      </c>
      <c r="R840" s="4">
        <v>0</v>
      </c>
      <c r="S840" s="6">
        <v>0</v>
      </c>
      <c r="T840" s="6">
        <v>24</v>
      </c>
      <c r="U840" s="6">
        <v>66</v>
      </c>
      <c r="V840" s="6">
        <f>IF(ISERROR(VLOOKUP($S$840,'TAR FIN'!$A$1:$O$95,15,0)),0,VLOOKUP($S$840,'TAR FIN'!$A$1:$O$95,15,0))</f>
        <v>0</v>
      </c>
      <c r="W840" s="6">
        <f>IF(ISERROR(VLOOKUP($T$840,'TAR FIN'!$A$1:$O$95,15,0)),0,VLOOKUP($T$840,'TAR FIN'!$A$1:$O$95,15,0))</f>
        <v>1434.79</v>
      </c>
      <c r="X840" s="6">
        <f>IF(ISERROR(VLOOKUP($U$840,'TAR FIN'!$A$1:$O$95,15,0)),0,VLOOKUP($U$840,'TAR FIN'!$A$1:$O$95,15,0))</f>
        <v>389.28</v>
      </c>
      <c r="Y840" s="6"/>
      <c r="Z840" s="6">
        <f ca="1">('TUSD BE'!$AM$16+'TUSD BF'!$AM$16+'TUSD CVA'!$AM$16)*1</f>
        <v>1605.9916314233351</v>
      </c>
      <c r="AA840" s="6">
        <f>('TE BE'!$AA$7+'TE BF'!$AA$7+'TE CVA'!$AA$7)*1</f>
        <v>454.3285679284046</v>
      </c>
      <c r="AB840" s="6">
        <f>$K$840*$V$840</f>
        <v>0</v>
      </c>
      <c r="AC840" s="6">
        <f>$M$840*$W$840</f>
        <v>2565822.0438899999</v>
      </c>
      <c r="AD840" s="6">
        <f>$O$840*$X$840</f>
        <v>696145.92047999997</v>
      </c>
      <c r="AE840" s="6">
        <f>$K$840*$Y$840</f>
        <v>0</v>
      </c>
      <c r="AF840" s="6">
        <f ca="1">$M$840*$Z$840</f>
        <v>2871980.3805496674</v>
      </c>
      <c r="AG840" s="6">
        <f>$O$840*$AA$840</f>
        <v>812471.68906925456</v>
      </c>
    </row>
    <row r="841" spans="1:33" ht="11.25" customHeight="1" x14ac:dyDescent="0.25">
      <c r="A841" s="4" t="s">
        <v>27</v>
      </c>
      <c r="B841" s="4" t="s">
        <v>35</v>
      </c>
      <c r="C841" s="4" t="s">
        <v>36</v>
      </c>
      <c r="D841" s="4" t="s">
        <v>45</v>
      </c>
      <c r="E841" s="4" t="s">
        <v>25</v>
      </c>
      <c r="F841" s="4" t="s">
        <v>25</v>
      </c>
      <c r="G841" s="4" t="s">
        <v>25</v>
      </c>
      <c r="H841" s="4" t="s">
        <v>37</v>
      </c>
      <c r="I841" s="5">
        <v>44166</v>
      </c>
      <c r="J841" s="6">
        <v>0</v>
      </c>
      <c r="K841" s="6">
        <v>0</v>
      </c>
      <c r="L841" s="6">
        <v>-20.244</v>
      </c>
      <c r="M841" s="6">
        <v>-20.244</v>
      </c>
      <c r="N841" s="6">
        <v>-20.244</v>
      </c>
      <c r="O841" s="6">
        <v>-20.244</v>
      </c>
      <c r="P841" s="6">
        <v>0</v>
      </c>
      <c r="Q841" s="4" t="s">
        <v>26</v>
      </c>
      <c r="R841" s="4">
        <v>0</v>
      </c>
      <c r="S841" s="6">
        <v>0</v>
      </c>
      <c r="T841" s="6">
        <v>24</v>
      </c>
      <c r="U841" s="6">
        <v>66</v>
      </c>
      <c r="V841" s="6">
        <f>IF(ISERROR(VLOOKUP($S$841,'TAR FIN'!$A$1:$O$95,15,0)),0,VLOOKUP($S$841,'TAR FIN'!$A$1:$O$95,15,0))</f>
        <v>0</v>
      </c>
      <c r="W841" s="6">
        <f>IF(ISERROR(VLOOKUP($T$841,'TAR FIN'!$A$1:$O$95,15,0)),0,VLOOKUP($T$841,'TAR FIN'!$A$1:$O$95,15,0))</f>
        <v>1434.79</v>
      </c>
      <c r="X841" s="6">
        <f>IF(ISERROR(VLOOKUP($U$841,'TAR FIN'!$A$1:$O$95,15,0)),0,VLOOKUP($U$841,'TAR FIN'!$A$1:$O$95,15,0))</f>
        <v>389.28</v>
      </c>
      <c r="Y841" s="6"/>
      <c r="Z841" s="6">
        <f ca="1">('TUSD BE'!$AM$16+'TUSD BF'!$AM$16+'TUSD CVA'!$AM$16)*1</f>
        <v>1605.9916314233351</v>
      </c>
      <c r="AA841" s="6">
        <f>('TE BE'!$AA$7+'TE BF'!$AA$7+'TE CVA'!$AA$7)*1</f>
        <v>454.3285679284046</v>
      </c>
      <c r="AB841" s="6">
        <f>$K$841*$V$841</f>
        <v>0</v>
      </c>
      <c r="AC841" s="6">
        <f>$M$841*$W$841</f>
        <v>-29045.888759999998</v>
      </c>
      <c r="AD841" s="6">
        <f>$O$841*$X$841</f>
        <v>-7880.584319999999</v>
      </c>
      <c r="AE841" s="6">
        <f>$K$841*$Y$841</f>
        <v>0</v>
      </c>
      <c r="AF841" s="6">
        <f ca="1">$M$841*$Z$841</f>
        <v>-32511.694586533995</v>
      </c>
      <c r="AG841" s="6">
        <f>$O$841*$AA$841</f>
        <v>-9197.427529142622</v>
      </c>
    </row>
    <row r="842" spans="1:33" ht="11.25" customHeight="1" x14ac:dyDescent="0.25">
      <c r="A842" s="4" t="s">
        <v>28</v>
      </c>
      <c r="B842" s="4" t="s">
        <v>35</v>
      </c>
      <c r="C842" s="4" t="s">
        <v>36</v>
      </c>
      <c r="D842" s="4" t="s">
        <v>45</v>
      </c>
      <c r="E842" s="4" t="s">
        <v>25</v>
      </c>
      <c r="F842" s="4" t="s">
        <v>25</v>
      </c>
      <c r="G842" s="4" t="s">
        <v>25</v>
      </c>
      <c r="H842" s="4" t="s">
        <v>37</v>
      </c>
      <c r="I842" s="5">
        <v>44166</v>
      </c>
      <c r="J842" s="6">
        <v>0</v>
      </c>
      <c r="K842" s="6">
        <v>0</v>
      </c>
      <c r="L842" s="6">
        <v>146.922</v>
      </c>
      <c r="M842" s="6">
        <v>146.922</v>
      </c>
      <c r="N842" s="6">
        <v>146.922</v>
      </c>
      <c r="O842" s="6">
        <v>146.922</v>
      </c>
      <c r="P842" s="6">
        <v>0</v>
      </c>
      <c r="Q842" s="4" t="s">
        <v>26</v>
      </c>
      <c r="R842" s="4">
        <v>0</v>
      </c>
      <c r="S842" s="6">
        <v>0</v>
      </c>
      <c r="T842" s="6">
        <v>24</v>
      </c>
      <c r="U842" s="6">
        <v>66</v>
      </c>
      <c r="V842" s="6">
        <f>IF(ISERROR(VLOOKUP($S$842,'TAR FIN'!$A$1:$O$95,15,0)),0,VLOOKUP($S$842,'TAR FIN'!$A$1:$O$95,15,0))</f>
        <v>0</v>
      </c>
      <c r="W842" s="6">
        <f>IF(ISERROR(VLOOKUP($T$842,'TAR FIN'!$A$1:$O$95,15,0)),0,VLOOKUP($T$842,'TAR FIN'!$A$1:$O$95,15,0))</f>
        <v>1434.79</v>
      </c>
      <c r="X842" s="6">
        <f>IF(ISERROR(VLOOKUP($U$842,'TAR FIN'!$A$1:$O$95,15,0)),0,VLOOKUP($U$842,'TAR FIN'!$A$1:$O$95,15,0))</f>
        <v>389.28</v>
      </c>
      <c r="Y842" s="6"/>
      <c r="Z842" s="6">
        <f ca="1">('TUSD BE'!$AM$16+'TUSD BF'!$AM$16+'TUSD CVA'!$AM$16)*1</f>
        <v>1605.9916314233351</v>
      </c>
      <c r="AA842" s="6">
        <f>('TE BE'!$AA$7+'TE BF'!$AA$7+'TE CVA'!$AA$7)*1</f>
        <v>454.3285679284046</v>
      </c>
      <c r="AB842" s="6">
        <f>$K$842*$V$842</f>
        <v>0</v>
      </c>
      <c r="AC842" s="6">
        <f>$M$842*$W$842</f>
        <v>210802.21638</v>
      </c>
      <c r="AD842" s="6">
        <f>$O$842*$X$842</f>
        <v>57193.796159999998</v>
      </c>
      <c r="AE842" s="6">
        <f>$K$842*$Y$842</f>
        <v>0</v>
      </c>
      <c r="AF842" s="6">
        <f ca="1">$M$842*$Z$842</f>
        <v>235955.50247197924</v>
      </c>
      <c r="AG842" s="6">
        <f>$O$842*$AA$842</f>
        <v>66750.861857177064</v>
      </c>
    </row>
    <row r="843" spans="1:33" ht="11.25" customHeight="1" x14ac:dyDescent="0.25">
      <c r="A843" s="4" t="s">
        <v>30</v>
      </c>
      <c r="B843" s="4" t="s">
        <v>35</v>
      </c>
      <c r="C843" s="4" t="s">
        <v>36</v>
      </c>
      <c r="D843" s="4" t="s">
        <v>45</v>
      </c>
      <c r="E843" s="4" t="s">
        <v>25</v>
      </c>
      <c r="F843" s="4" t="s">
        <v>25</v>
      </c>
      <c r="G843" s="4" t="s">
        <v>25</v>
      </c>
      <c r="H843" s="4" t="s">
        <v>37</v>
      </c>
      <c r="I843" s="5">
        <v>44166</v>
      </c>
      <c r="J843" s="6">
        <v>0</v>
      </c>
      <c r="K843" s="6">
        <v>0</v>
      </c>
      <c r="L843" s="6">
        <v>53.268000000000001</v>
      </c>
      <c r="M843" s="6">
        <v>53.268000000000001</v>
      </c>
      <c r="N843" s="6">
        <v>53.268000000000001</v>
      </c>
      <c r="O843" s="6">
        <v>53.268000000000001</v>
      </c>
      <c r="P843" s="6">
        <v>0</v>
      </c>
      <c r="Q843" s="4" t="s">
        <v>26</v>
      </c>
      <c r="R843" s="4">
        <v>0</v>
      </c>
      <c r="S843" s="6">
        <v>0</v>
      </c>
      <c r="T843" s="6">
        <v>24</v>
      </c>
      <c r="U843" s="6">
        <v>66</v>
      </c>
      <c r="V843" s="6">
        <f>IF(ISERROR(VLOOKUP($S$843,'TAR FIN'!$A$1:$O$95,15,0)),0,VLOOKUP($S$843,'TAR FIN'!$A$1:$O$95,15,0))</f>
        <v>0</v>
      </c>
      <c r="W843" s="6">
        <f>IF(ISERROR(VLOOKUP($T$843,'TAR FIN'!$A$1:$O$95,15,0)),0,VLOOKUP($T$843,'TAR FIN'!$A$1:$O$95,15,0))</f>
        <v>1434.79</v>
      </c>
      <c r="X843" s="6">
        <f>IF(ISERROR(VLOOKUP($U$843,'TAR FIN'!$A$1:$O$95,15,0)),0,VLOOKUP($U$843,'TAR FIN'!$A$1:$O$95,15,0))</f>
        <v>389.28</v>
      </c>
      <c r="Y843" s="6"/>
      <c r="Z843" s="6">
        <f ca="1">('TUSD BE'!$AM$16+'TUSD BF'!$AM$16+'TUSD CVA'!$AM$16)*1</f>
        <v>1605.9916314233351</v>
      </c>
      <c r="AA843" s="6">
        <f>('TE BE'!$AA$7+'TE BF'!$AA$7+'TE CVA'!$AA$7)*1</f>
        <v>454.3285679284046</v>
      </c>
      <c r="AB843" s="6">
        <f>$K$843*$V$843</f>
        <v>0</v>
      </c>
      <c r="AC843" s="6">
        <f>$M$843*$W$843</f>
        <v>76428.393719999993</v>
      </c>
      <c r="AD843" s="6">
        <f>$O$843*$X$843</f>
        <v>20736.16704</v>
      </c>
      <c r="AE843" s="6">
        <f>$K$843*$Y$843</f>
        <v>0</v>
      </c>
      <c r="AF843" s="6">
        <f ca="1">$M$843*$Z$843</f>
        <v>85547.962222658214</v>
      </c>
      <c r="AG843" s="6">
        <f>$O$843*$AA$843</f>
        <v>24201.174156410256</v>
      </c>
    </row>
    <row r="844" spans="1:33" ht="11.25" customHeight="1" x14ac:dyDescent="0.25">
      <c r="A844" s="4" t="s">
        <v>21</v>
      </c>
      <c r="B844" s="4" t="s">
        <v>35</v>
      </c>
      <c r="C844" s="4" t="s">
        <v>36</v>
      </c>
      <c r="D844" s="4" t="s">
        <v>45</v>
      </c>
      <c r="E844" s="4" t="s">
        <v>25</v>
      </c>
      <c r="F844" s="4" t="s">
        <v>25</v>
      </c>
      <c r="G844" s="4" t="s">
        <v>25</v>
      </c>
      <c r="H844" s="4" t="s">
        <v>37</v>
      </c>
      <c r="I844" s="5">
        <v>44166</v>
      </c>
      <c r="J844" s="6">
        <v>0</v>
      </c>
      <c r="K844" s="6">
        <v>0</v>
      </c>
      <c r="L844" s="6">
        <v>26.468</v>
      </c>
      <c r="M844" s="6">
        <v>26.468</v>
      </c>
      <c r="N844" s="6">
        <v>0</v>
      </c>
      <c r="O844" s="6">
        <v>0</v>
      </c>
      <c r="P844" s="6">
        <v>0</v>
      </c>
      <c r="Q844" s="4" t="s">
        <v>60</v>
      </c>
      <c r="R844" s="4">
        <v>0</v>
      </c>
      <c r="S844" s="6">
        <v>0</v>
      </c>
      <c r="T844" s="6">
        <v>24</v>
      </c>
      <c r="U844" s="6">
        <v>0</v>
      </c>
      <c r="V844" s="6">
        <f>IF(ISERROR(VLOOKUP($S$844,'TAR FIN'!$A$1:$O$95,15,0)),0,VLOOKUP($S$844,'TAR FIN'!$A$1:$O$95,15,0))</f>
        <v>0</v>
      </c>
      <c r="W844" s="6">
        <f>IF(ISERROR(VLOOKUP($T$844,'TAR FIN'!$A$1:$O$95,15,0)),0,VLOOKUP($T$844,'TAR FIN'!$A$1:$O$95,15,0))</f>
        <v>1434.79</v>
      </c>
      <c r="X844" s="6">
        <f>IF(ISERROR(VLOOKUP($U$844,'TAR FIN'!$A$1:$O$95,15,0)),0,VLOOKUP($U$844,'TAR FIN'!$A$1:$O$95,15,0))</f>
        <v>0</v>
      </c>
      <c r="Y844" s="6"/>
      <c r="Z844" s="6">
        <f ca="1">('TUSD BE'!$AM$16+'TUSD BF'!$AM$16+'TUSD CVA'!$AM$16)*1</f>
        <v>1605.9916314233351</v>
      </c>
      <c r="AA844" s="6"/>
      <c r="AB844" s="6">
        <f>$K$844*$V$844</f>
        <v>0</v>
      </c>
      <c r="AC844" s="6">
        <f>$M$844*$W$844</f>
        <v>37976.021719999997</v>
      </c>
      <c r="AD844" s="6">
        <f>$O$844*$X$844</f>
        <v>0</v>
      </c>
      <c r="AE844" s="6">
        <f>$K$844*$Y$844</f>
        <v>0</v>
      </c>
      <c r="AF844" s="6">
        <f ca="1">$M$844*$Z$844</f>
        <v>42507.386500512832</v>
      </c>
      <c r="AG844" s="6">
        <f>$O$844*$AA$844</f>
        <v>0</v>
      </c>
    </row>
    <row r="845" spans="1:33" ht="11.25" customHeight="1" x14ac:dyDescent="0.25">
      <c r="A845" s="4" t="s">
        <v>21</v>
      </c>
      <c r="B845" s="4" t="s">
        <v>35</v>
      </c>
      <c r="C845" s="4" t="s">
        <v>36</v>
      </c>
      <c r="D845" s="4" t="s">
        <v>45</v>
      </c>
      <c r="E845" s="4" t="s">
        <v>25</v>
      </c>
      <c r="F845" s="4" t="s">
        <v>25</v>
      </c>
      <c r="G845" s="4" t="s">
        <v>25</v>
      </c>
      <c r="H845" s="4" t="s">
        <v>37</v>
      </c>
      <c r="I845" s="5">
        <v>44197</v>
      </c>
      <c r="J845" s="6">
        <v>0</v>
      </c>
      <c r="K845" s="6">
        <v>0</v>
      </c>
      <c r="L845" s="6">
        <v>1314.9590000000001</v>
      </c>
      <c r="M845" s="6">
        <v>1314.9590000000001</v>
      </c>
      <c r="N845" s="6">
        <v>1314.9590000000001</v>
      </c>
      <c r="O845" s="6">
        <v>1314.9590000000001</v>
      </c>
      <c r="P845" s="6">
        <v>0</v>
      </c>
      <c r="Q845" s="4" t="s">
        <v>26</v>
      </c>
      <c r="R845" s="4">
        <v>0</v>
      </c>
      <c r="S845" s="6">
        <v>0</v>
      </c>
      <c r="T845" s="6">
        <v>24</v>
      </c>
      <c r="U845" s="6">
        <v>66</v>
      </c>
      <c r="V845" s="6">
        <f>IF(ISERROR(VLOOKUP($S$845,'TAR FIN'!$A$1:$O$95,15,0)),0,VLOOKUP($S$845,'TAR FIN'!$A$1:$O$95,15,0))</f>
        <v>0</v>
      </c>
      <c r="W845" s="6">
        <f>IF(ISERROR(VLOOKUP($T$845,'TAR FIN'!$A$1:$O$95,15,0)),0,VLOOKUP($T$845,'TAR FIN'!$A$1:$O$95,15,0))</f>
        <v>1434.79</v>
      </c>
      <c r="X845" s="6">
        <f>IF(ISERROR(VLOOKUP($U$845,'TAR FIN'!$A$1:$O$95,15,0)),0,VLOOKUP($U$845,'TAR FIN'!$A$1:$O$95,15,0))</f>
        <v>389.28</v>
      </c>
      <c r="Y845" s="6"/>
      <c r="Z845" s="6">
        <f ca="1">('TUSD BE'!$AM$16+'TUSD BF'!$AM$16+'TUSD CVA'!$AM$16)*1</f>
        <v>1605.9916314233351</v>
      </c>
      <c r="AA845" s="6">
        <f>('TE BE'!$AA$7+'TE BF'!$AA$7+'TE CVA'!$AA$7)*1</f>
        <v>454.3285679284046</v>
      </c>
      <c r="AB845" s="6">
        <f>$K$845*$V$845</f>
        <v>0</v>
      </c>
      <c r="AC845" s="6">
        <f>$M$845*$W$845</f>
        <v>1886690.02361</v>
      </c>
      <c r="AD845" s="6">
        <f>$O$845*$X$845</f>
        <v>511887.23952</v>
      </c>
      <c r="AE845" s="6">
        <f>$K$845*$Y$845</f>
        <v>0</v>
      </c>
      <c r="AF845" s="6">
        <f ca="1">$M$845*$Z$845</f>
        <v>2111813.1496647974</v>
      </c>
      <c r="AG845" s="6">
        <f>$O$845*$AA$845</f>
        <v>597423.43935456697</v>
      </c>
    </row>
    <row r="846" spans="1:33" ht="11.25" customHeight="1" x14ac:dyDescent="0.25">
      <c r="A846" s="4" t="s">
        <v>27</v>
      </c>
      <c r="B846" s="4" t="s">
        <v>35</v>
      </c>
      <c r="C846" s="4" t="s">
        <v>36</v>
      </c>
      <c r="D846" s="4" t="s">
        <v>45</v>
      </c>
      <c r="E846" s="4" t="s">
        <v>25</v>
      </c>
      <c r="F846" s="4" t="s">
        <v>25</v>
      </c>
      <c r="G846" s="4" t="s">
        <v>25</v>
      </c>
      <c r="H846" s="4" t="s">
        <v>37</v>
      </c>
      <c r="I846" s="5">
        <v>44197</v>
      </c>
      <c r="J846" s="6">
        <v>0</v>
      </c>
      <c r="K846" s="6">
        <v>0</v>
      </c>
      <c r="L846" s="6">
        <v>-18.911000000000001</v>
      </c>
      <c r="M846" s="6">
        <v>-18.911000000000001</v>
      </c>
      <c r="N846" s="6">
        <v>-18.911000000000001</v>
      </c>
      <c r="O846" s="6">
        <v>-18.911000000000001</v>
      </c>
      <c r="P846" s="6">
        <v>0</v>
      </c>
      <c r="Q846" s="4" t="s">
        <v>26</v>
      </c>
      <c r="R846" s="4">
        <v>0</v>
      </c>
      <c r="S846" s="6">
        <v>0</v>
      </c>
      <c r="T846" s="6">
        <v>24</v>
      </c>
      <c r="U846" s="6">
        <v>66</v>
      </c>
      <c r="V846" s="6">
        <f>IF(ISERROR(VLOOKUP($S$846,'TAR FIN'!$A$1:$O$95,15,0)),0,VLOOKUP($S$846,'TAR FIN'!$A$1:$O$95,15,0))</f>
        <v>0</v>
      </c>
      <c r="W846" s="6">
        <f>IF(ISERROR(VLOOKUP($T$846,'TAR FIN'!$A$1:$O$95,15,0)),0,VLOOKUP($T$846,'TAR FIN'!$A$1:$O$95,15,0))</f>
        <v>1434.79</v>
      </c>
      <c r="X846" s="6">
        <f>IF(ISERROR(VLOOKUP($U$846,'TAR FIN'!$A$1:$O$95,15,0)),0,VLOOKUP($U$846,'TAR FIN'!$A$1:$O$95,15,0))</f>
        <v>389.28</v>
      </c>
      <c r="Y846" s="6"/>
      <c r="Z846" s="6">
        <f ca="1">('TUSD BE'!$AM$16+'TUSD BF'!$AM$16+'TUSD CVA'!$AM$16)*1</f>
        <v>1605.9916314233351</v>
      </c>
      <c r="AA846" s="6">
        <f>('TE BE'!$AA$7+'TE BF'!$AA$7+'TE CVA'!$AA$7)*1</f>
        <v>454.3285679284046</v>
      </c>
      <c r="AB846" s="6">
        <f>$K$846*$V$846</f>
        <v>0</v>
      </c>
      <c r="AC846" s="6">
        <f>$M$846*$W$846</f>
        <v>-27133.313690000003</v>
      </c>
      <c r="AD846" s="6">
        <f>$O$846*$X$846</f>
        <v>-7361.6740799999998</v>
      </c>
      <c r="AE846" s="6">
        <f>$K$846*$Y$846</f>
        <v>0</v>
      </c>
      <c r="AF846" s="6">
        <f ca="1">$M$846*$Z$846</f>
        <v>-30370.907741846691</v>
      </c>
      <c r="AG846" s="6">
        <f>$O$846*$AA$846</f>
        <v>-8591.8075480940606</v>
      </c>
    </row>
    <row r="847" spans="1:33" ht="11.25" customHeight="1" x14ac:dyDescent="0.25">
      <c r="A847" s="4" t="s">
        <v>28</v>
      </c>
      <c r="B847" s="4" t="s">
        <v>35</v>
      </c>
      <c r="C847" s="4" t="s">
        <v>36</v>
      </c>
      <c r="D847" s="4" t="s">
        <v>45</v>
      </c>
      <c r="E847" s="4" t="s">
        <v>25</v>
      </c>
      <c r="F847" s="4" t="s">
        <v>25</v>
      </c>
      <c r="G847" s="4" t="s">
        <v>25</v>
      </c>
      <c r="H847" s="4" t="s">
        <v>37</v>
      </c>
      <c r="I847" s="5">
        <v>44197</v>
      </c>
      <c r="J847" s="6">
        <v>0</v>
      </c>
      <c r="K847" s="6">
        <v>0</v>
      </c>
      <c r="L847" s="6">
        <v>120.947</v>
      </c>
      <c r="M847" s="6">
        <v>120.947</v>
      </c>
      <c r="N847" s="6">
        <v>120.947</v>
      </c>
      <c r="O847" s="6">
        <v>120.947</v>
      </c>
      <c r="P847" s="6">
        <v>0</v>
      </c>
      <c r="Q847" s="4" t="s">
        <v>26</v>
      </c>
      <c r="R847" s="4">
        <v>0</v>
      </c>
      <c r="S847" s="6">
        <v>0</v>
      </c>
      <c r="T847" s="6">
        <v>24</v>
      </c>
      <c r="U847" s="6">
        <v>66</v>
      </c>
      <c r="V847" s="6">
        <f>IF(ISERROR(VLOOKUP($S$847,'TAR FIN'!$A$1:$O$95,15,0)),0,VLOOKUP($S$847,'TAR FIN'!$A$1:$O$95,15,0))</f>
        <v>0</v>
      </c>
      <c r="W847" s="6">
        <f>IF(ISERROR(VLOOKUP($T$847,'TAR FIN'!$A$1:$O$95,15,0)),0,VLOOKUP($T$847,'TAR FIN'!$A$1:$O$95,15,0))</f>
        <v>1434.79</v>
      </c>
      <c r="X847" s="6">
        <f>IF(ISERROR(VLOOKUP($U$847,'TAR FIN'!$A$1:$O$95,15,0)),0,VLOOKUP($U$847,'TAR FIN'!$A$1:$O$95,15,0))</f>
        <v>389.28</v>
      </c>
      <c r="Y847" s="6"/>
      <c r="Z847" s="6">
        <f ca="1">('TUSD BE'!$AM$16+'TUSD BF'!$AM$16+'TUSD CVA'!$AM$16)*1</f>
        <v>1605.9916314233351</v>
      </c>
      <c r="AA847" s="6">
        <f>('TE BE'!$AA$7+'TE BF'!$AA$7+'TE CVA'!$AA$7)*1</f>
        <v>454.3285679284046</v>
      </c>
      <c r="AB847" s="6">
        <f>$K$847*$V$847</f>
        <v>0</v>
      </c>
      <c r="AC847" s="6">
        <f>$M$847*$W$847</f>
        <v>173533.54613</v>
      </c>
      <c r="AD847" s="6">
        <f>$O$847*$X$847</f>
        <v>47082.248159999996</v>
      </c>
      <c r="AE847" s="6">
        <f>$K$847*$Y$847</f>
        <v>0</v>
      </c>
      <c r="AF847" s="6">
        <f ca="1">$M$847*$Z$847</f>
        <v>194239.8698457581</v>
      </c>
      <c r="AG847" s="6">
        <f>$O$847*$AA$847</f>
        <v>54949.67730523675</v>
      </c>
    </row>
    <row r="848" spans="1:33" ht="11.25" customHeight="1" x14ac:dyDescent="0.25">
      <c r="A848" s="4" t="s">
        <v>29</v>
      </c>
      <c r="B848" s="4" t="s">
        <v>35</v>
      </c>
      <c r="C848" s="4" t="s">
        <v>36</v>
      </c>
      <c r="D848" s="4" t="s">
        <v>45</v>
      </c>
      <c r="E848" s="4" t="s">
        <v>25</v>
      </c>
      <c r="F848" s="4" t="s">
        <v>25</v>
      </c>
      <c r="G848" s="4" t="s">
        <v>25</v>
      </c>
      <c r="H848" s="4" t="s">
        <v>37</v>
      </c>
      <c r="I848" s="5">
        <v>44197</v>
      </c>
      <c r="J848" s="6">
        <v>0</v>
      </c>
      <c r="K848" s="6">
        <v>0</v>
      </c>
      <c r="L848" s="6">
        <v>-14.73</v>
      </c>
      <c r="M848" s="6">
        <v>-14.73</v>
      </c>
      <c r="N848" s="6">
        <v>-14.73</v>
      </c>
      <c r="O848" s="6">
        <v>-14.73</v>
      </c>
      <c r="P848" s="6">
        <v>0</v>
      </c>
      <c r="Q848" s="4" t="s">
        <v>26</v>
      </c>
      <c r="R848" s="4">
        <v>0</v>
      </c>
      <c r="S848" s="6">
        <v>0</v>
      </c>
      <c r="T848" s="6">
        <v>24</v>
      </c>
      <c r="U848" s="6">
        <v>66</v>
      </c>
      <c r="V848" s="6">
        <f>IF(ISERROR(VLOOKUP($S$848,'TAR FIN'!$A$1:$O$95,15,0)),0,VLOOKUP($S$848,'TAR FIN'!$A$1:$O$95,15,0))</f>
        <v>0</v>
      </c>
      <c r="W848" s="6">
        <f>IF(ISERROR(VLOOKUP($T$848,'TAR FIN'!$A$1:$O$95,15,0)),0,VLOOKUP($T$848,'TAR FIN'!$A$1:$O$95,15,0))</f>
        <v>1434.79</v>
      </c>
      <c r="X848" s="6">
        <f>IF(ISERROR(VLOOKUP($U$848,'TAR FIN'!$A$1:$O$95,15,0)),0,VLOOKUP($U$848,'TAR FIN'!$A$1:$O$95,15,0))</f>
        <v>389.28</v>
      </c>
      <c r="Y848" s="6"/>
      <c r="Z848" s="6">
        <f ca="1">('TUSD BE'!$AM$16+'TUSD BF'!$AM$16+'TUSD CVA'!$AM$16)*1</f>
        <v>1605.9916314233351</v>
      </c>
      <c r="AA848" s="6">
        <f>('TE BE'!$AA$7+'TE BF'!$AA$7+'TE CVA'!$AA$7)*1</f>
        <v>454.3285679284046</v>
      </c>
      <c r="AB848" s="6">
        <f>$K$848*$V$848</f>
        <v>0</v>
      </c>
      <c r="AC848" s="6">
        <f>$M$848*$W$848</f>
        <v>-21134.456699999999</v>
      </c>
      <c r="AD848" s="6">
        <f>$O$848*$X$848</f>
        <v>-5734.0944</v>
      </c>
      <c r="AE848" s="6">
        <f>$K$848*$Y$848</f>
        <v>0</v>
      </c>
      <c r="AF848" s="6">
        <f ca="1">$M$848*$Z$848</f>
        <v>-23656.256730865727</v>
      </c>
      <c r="AG848" s="6">
        <f>$O$848*$AA$848</f>
        <v>-6692.2598055853996</v>
      </c>
    </row>
    <row r="849" spans="1:33" ht="11.25" customHeight="1" x14ac:dyDescent="0.25">
      <c r="A849" s="4" t="s">
        <v>30</v>
      </c>
      <c r="B849" s="4" t="s">
        <v>35</v>
      </c>
      <c r="C849" s="4" t="s">
        <v>36</v>
      </c>
      <c r="D849" s="4" t="s">
        <v>45</v>
      </c>
      <c r="E849" s="4" t="s">
        <v>25</v>
      </c>
      <c r="F849" s="4" t="s">
        <v>25</v>
      </c>
      <c r="G849" s="4" t="s">
        <v>25</v>
      </c>
      <c r="H849" s="4" t="s">
        <v>37</v>
      </c>
      <c r="I849" s="5">
        <v>44197</v>
      </c>
      <c r="J849" s="6">
        <v>0</v>
      </c>
      <c r="K849" s="6">
        <v>0</v>
      </c>
      <c r="L849" s="6">
        <v>41.4</v>
      </c>
      <c r="M849" s="6">
        <v>41.4</v>
      </c>
      <c r="N849" s="6">
        <v>41.4</v>
      </c>
      <c r="O849" s="6">
        <v>41.4</v>
      </c>
      <c r="P849" s="6">
        <v>0</v>
      </c>
      <c r="Q849" s="4" t="s">
        <v>26</v>
      </c>
      <c r="R849" s="4">
        <v>0</v>
      </c>
      <c r="S849" s="6">
        <v>0</v>
      </c>
      <c r="T849" s="6">
        <v>24</v>
      </c>
      <c r="U849" s="6">
        <v>66</v>
      </c>
      <c r="V849" s="6">
        <f>IF(ISERROR(VLOOKUP($S$849,'TAR FIN'!$A$1:$O$95,15,0)),0,VLOOKUP($S$849,'TAR FIN'!$A$1:$O$95,15,0))</f>
        <v>0</v>
      </c>
      <c r="W849" s="6">
        <f>IF(ISERROR(VLOOKUP($T$849,'TAR FIN'!$A$1:$O$95,15,0)),0,VLOOKUP($T$849,'TAR FIN'!$A$1:$O$95,15,0))</f>
        <v>1434.79</v>
      </c>
      <c r="X849" s="6">
        <f>IF(ISERROR(VLOOKUP($U$849,'TAR FIN'!$A$1:$O$95,15,0)),0,VLOOKUP($U$849,'TAR FIN'!$A$1:$O$95,15,0))</f>
        <v>389.28</v>
      </c>
      <c r="Y849" s="6"/>
      <c r="Z849" s="6">
        <f ca="1">('TUSD BE'!$AM$16+'TUSD BF'!$AM$16+'TUSD CVA'!$AM$16)*1</f>
        <v>1605.9916314233351</v>
      </c>
      <c r="AA849" s="6">
        <f>('TE BE'!$AA$7+'TE BF'!$AA$7+'TE CVA'!$AA$7)*1</f>
        <v>454.3285679284046</v>
      </c>
      <c r="AB849" s="6">
        <f>$K$849*$V$849</f>
        <v>0</v>
      </c>
      <c r="AC849" s="6">
        <f>$M$849*$W$849</f>
        <v>59400.305999999997</v>
      </c>
      <c r="AD849" s="6">
        <f>$O$849*$X$849</f>
        <v>16116.191999999999</v>
      </c>
      <c r="AE849" s="6">
        <f>$K$849*$Y$849</f>
        <v>0</v>
      </c>
      <c r="AF849" s="6">
        <f ca="1">$M$849*$Z$849</f>
        <v>66488.053540926077</v>
      </c>
      <c r="AG849" s="6">
        <f>$O$849*$AA$849</f>
        <v>18809.20271223595</v>
      </c>
    </row>
    <row r="850" spans="1:33" ht="11.25" customHeight="1" x14ac:dyDescent="0.25">
      <c r="A850" s="4" t="s">
        <v>21</v>
      </c>
      <c r="B850" s="4" t="s">
        <v>35</v>
      </c>
      <c r="C850" s="4" t="s">
        <v>36</v>
      </c>
      <c r="D850" s="4" t="s">
        <v>45</v>
      </c>
      <c r="E850" s="4" t="s">
        <v>25</v>
      </c>
      <c r="F850" s="4" t="s">
        <v>25</v>
      </c>
      <c r="G850" s="4" t="s">
        <v>25</v>
      </c>
      <c r="H850" s="4" t="s">
        <v>37</v>
      </c>
      <c r="I850" s="5">
        <v>44197</v>
      </c>
      <c r="J850" s="6">
        <v>0</v>
      </c>
      <c r="K850" s="6">
        <v>0</v>
      </c>
      <c r="L850" s="6">
        <v>2.7559999999999998</v>
      </c>
      <c r="M850" s="6">
        <v>2.7559999999999998</v>
      </c>
      <c r="N850" s="6">
        <v>0</v>
      </c>
      <c r="O850" s="6">
        <v>0</v>
      </c>
      <c r="P850" s="6">
        <v>0</v>
      </c>
      <c r="Q850" s="4" t="s">
        <v>60</v>
      </c>
      <c r="R850" s="4">
        <v>0</v>
      </c>
      <c r="S850" s="6">
        <v>0</v>
      </c>
      <c r="T850" s="6">
        <v>24</v>
      </c>
      <c r="U850" s="6">
        <v>0</v>
      </c>
      <c r="V850" s="6">
        <f>IF(ISERROR(VLOOKUP($S$850,'TAR FIN'!$A$1:$O$95,15,0)),0,VLOOKUP($S$850,'TAR FIN'!$A$1:$O$95,15,0))</f>
        <v>0</v>
      </c>
      <c r="W850" s="6">
        <f>IF(ISERROR(VLOOKUP($T$850,'TAR FIN'!$A$1:$O$95,15,0)),0,VLOOKUP($T$850,'TAR FIN'!$A$1:$O$95,15,0))</f>
        <v>1434.79</v>
      </c>
      <c r="X850" s="6">
        <f>IF(ISERROR(VLOOKUP($U$850,'TAR FIN'!$A$1:$O$95,15,0)),0,VLOOKUP($U$850,'TAR FIN'!$A$1:$O$95,15,0))</f>
        <v>0</v>
      </c>
      <c r="Y850" s="6"/>
      <c r="Z850" s="6">
        <f ca="1">('TUSD BE'!$AM$16+'TUSD BF'!$AM$16+'TUSD CVA'!$AM$16)*1</f>
        <v>1605.9916314233351</v>
      </c>
      <c r="AA850" s="6"/>
      <c r="AB850" s="6">
        <f>$K$850*$V$850</f>
        <v>0</v>
      </c>
      <c r="AC850" s="6">
        <f>$M$850*$W$850</f>
        <v>3954.2812399999998</v>
      </c>
      <c r="AD850" s="6">
        <f>$O$850*$X$850</f>
        <v>0</v>
      </c>
      <c r="AE850" s="6">
        <f>$K$850*$Y$850</f>
        <v>0</v>
      </c>
      <c r="AF850" s="6">
        <f ca="1">$M$850*$Z$850</f>
        <v>4426.1129362027114</v>
      </c>
      <c r="AG850" s="6">
        <f>$O$850*$AA$850</f>
        <v>0</v>
      </c>
    </row>
    <row r="851" spans="1:33" ht="11.25" customHeight="1" x14ac:dyDescent="0.25">
      <c r="A851" s="4" t="s">
        <v>21</v>
      </c>
      <c r="B851" s="4" t="s">
        <v>35</v>
      </c>
      <c r="C851" s="4" t="s">
        <v>36</v>
      </c>
      <c r="D851" s="4" t="s">
        <v>45</v>
      </c>
      <c r="E851" s="4" t="s">
        <v>25</v>
      </c>
      <c r="F851" s="4" t="s">
        <v>25</v>
      </c>
      <c r="G851" s="4" t="s">
        <v>25</v>
      </c>
      <c r="H851" s="4" t="s">
        <v>37</v>
      </c>
      <c r="I851" s="5">
        <v>44228</v>
      </c>
      <c r="J851" s="6">
        <v>0</v>
      </c>
      <c r="K851" s="6">
        <v>0</v>
      </c>
      <c r="L851" s="6">
        <v>1264.748</v>
      </c>
      <c r="M851" s="6">
        <v>1264.748</v>
      </c>
      <c r="N851" s="6">
        <v>1264.748</v>
      </c>
      <c r="O851" s="6">
        <v>1264.748</v>
      </c>
      <c r="P851" s="6">
        <v>0</v>
      </c>
      <c r="Q851" s="4" t="s">
        <v>26</v>
      </c>
      <c r="R851" s="4">
        <v>0</v>
      </c>
      <c r="S851" s="6">
        <v>0</v>
      </c>
      <c r="T851" s="6">
        <v>24</v>
      </c>
      <c r="U851" s="6">
        <v>66</v>
      </c>
      <c r="V851" s="6">
        <f>IF(ISERROR(VLOOKUP($S$851,'TAR FIN'!$A$1:$O$95,15,0)),0,VLOOKUP($S$851,'TAR FIN'!$A$1:$O$95,15,0))</f>
        <v>0</v>
      </c>
      <c r="W851" s="6">
        <f>IF(ISERROR(VLOOKUP($T$851,'TAR FIN'!$A$1:$O$95,15,0)),0,VLOOKUP($T$851,'TAR FIN'!$A$1:$O$95,15,0))</f>
        <v>1434.79</v>
      </c>
      <c r="X851" s="6">
        <f>IF(ISERROR(VLOOKUP($U$851,'TAR FIN'!$A$1:$O$95,15,0)),0,VLOOKUP($U$851,'TAR FIN'!$A$1:$O$95,15,0))</f>
        <v>389.28</v>
      </c>
      <c r="Y851" s="6"/>
      <c r="Z851" s="6">
        <f ca="1">('TUSD BE'!$AM$16+'TUSD BF'!$AM$16+'TUSD CVA'!$AM$16)*1</f>
        <v>1605.9916314233351</v>
      </c>
      <c r="AA851" s="6">
        <f>('TE BE'!$AA$7+'TE BF'!$AA$7+'TE CVA'!$AA$7)*1</f>
        <v>454.3285679284046</v>
      </c>
      <c r="AB851" s="6">
        <f>$K$851*$V$851</f>
        <v>0</v>
      </c>
      <c r="AC851" s="6">
        <f>$M$851*$W$851</f>
        <v>1814647.7829199999</v>
      </c>
      <c r="AD851" s="6">
        <f>$O$851*$X$851</f>
        <v>492341.10144</v>
      </c>
      <c r="AE851" s="6">
        <f>$K$851*$Y$851</f>
        <v>0</v>
      </c>
      <c r="AF851" s="6">
        <f ca="1">$M$851*$Z$851</f>
        <v>2031174.7038594002</v>
      </c>
      <c r="AG851" s="6">
        <f>$O$851*$AA$851</f>
        <v>574611.14763031388</v>
      </c>
    </row>
    <row r="852" spans="1:33" ht="11.25" customHeight="1" x14ac:dyDescent="0.25">
      <c r="A852" s="4" t="s">
        <v>27</v>
      </c>
      <c r="B852" s="4" t="s">
        <v>35</v>
      </c>
      <c r="C852" s="4" t="s">
        <v>36</v>
      </c>
      <c r="D852" s="4" t="s">
        <v>45</v>
      </c>
      <c r="E852" s="4" t="s">
        <v>25</v>
      </c>
      <c r="F852" s="4" t="s">
        <v>25</v>
      </c>
      <c r="G852" s="4" t="s">
        <v>25</v>
      </c>
      <c r="H852" s="4" t="s">
        <v>37</v>
      </c>
      <c r="I852" s="5">
        <v>44228</v>
      </c>
      <c r="J852" s="6">
        <v>0</v>
      </c>
      <c r="K852" s="6">
        <v>0</v>
      </c>
      <c r="L852" s="6">
        <v>-0.06</v>
      </c>
      <c r="M852" s="6">
        <v>-0.06</v>
      </c>
      <c r="N852" s="6">
        <v>-0.06</v>
      </c>
      <c r="O852" s="6">
        <v>-0.06</v>
      </c>
      <c r="P852" s="6">
        <v>0</v>
      </c>
      <c r="Q852" s="4" t="s">
        <v>26</v>
      </c>
      <c r="R852" s="4">
        <v>0</v>
      </c>
      <c r="S852" s="6">
        <v>0</v>
      </c>
      <c r="T852" s="6">
        <v>24</v>
      </c>
      <c r="U852" s="6">
        <v>66</v>
      </c>
      <c r="V852" s="6">
        <f>IF(ISERROR(VLOOKUP($S$852,'TAR FIN'!$A$1:$O$95,15,0)),0,VLOOKUP($S$852,'TAR FIN'!$A$1:$O$95,15,0))</f>
        <v>0</v>
      </c>
      <c r="W852" s="6">
        <f>IF(ISERROR(VLOOKUP($T$852,'TAR FIN'!$A$1:$O$95,15,0)),0,VLOOKUP($T$852,'TAR FIN'!$A$1:$O$95,15,0))</f>
        <v>1434.79</v>
      </c>
      <c r="X852" s="6">
        <f>IF(ISERROR(VLOOKUP($U$852,'TAR FIN'!$A$1:$O$95,15,0)),0,VLOOKUP($U$852,'TAR FIN'!$A$1:$O$95,15,0))</f>
        <v>389.28</v>
      </c>
      <c r="Y852" s="6"/>
      <c r="Z852" s="6">
        <f ca="1">('TUSD BE'!$AM$16+'TUSD BF'!$AM$16+'TUSD CVA'!$AM$16)*1</f>
        <v>1605.9916314233351</v>
      </c>
      <c r="AA852" s="6">
        <f>('TE BE'!$AA$7+'TE BF'!$AA$7+'TE CVA'!$AA$7)*1</f>
        <v>454.3285679284046</v>
      </c>
      <c r="AB852" s="6">
        <f>$K$852*$V$852</f>
        <v>0</v>
      </c>
      <c r="AC852" s="6">
        <f>$M$852*$W$852</f>
        <v>-86.087399999999988</v>
      </c>
      <c r="AD852" s="6">
        <f>$O$852*$X$852</f>
        <v>-23.356799999999996</v>
      </c>
      <c r="AE852" s="6">
        <f>$K$852*$Y$852</f>
        <v>0</v>
      </c>
      <c r="AF852" s="6">
        <f ca="1">$M$852*$Z$852</f>
        <v>-96.359497885400103</v>
      </c>
      <c r="AG852" s="6">
        <f>$O$852*$AA$852</f>
        <v>-27.259714075704274</v>
      </c>
    </row>
    <row r="853" spans="1:33" ht="11.25" customHeight="1" x14ac:dyDescent="0.25">
      <c r="A853" s="4" t="s">
        <v>28</v>
      </c>
      <c r="B853" s="4" t="s">
        <v>35</v>
      </c>
      <c r="C853" s="4" t="s">
        <v>36</v>
      </c>
      <c r="D853" s="4" t="s">
        <v>45</v>
      </c>
      <c r="E853" s="4" t="s">
        <v>25</v>
      </c>
      <c r="F853" s="4" t="s">
        <v>25</v>
      </c>
      <c r="G853" s="4" t="s">
        <v>25</v>
      </c>
      <c r="H853" s="4" t="s">
        <v>37</v>
      </c>
      <c r="I853" s="5">
        <v>44228</v>
      </c>
      <c r="J853" s="6">
        <v>0</v>
      </c>
      <c r="K853" s="6">
        <v>0</v>
      </c>
      <c r="L853" s="6">
        <v>98.628</v>
      </c>
      <c r="M853" s="6">
        <v>98.628</v>
      </c>
      <c r="N853" s="6">
        <v>98.628</v>
      </c>
      <c r="O853" s="6">
        <v>98.628</v>
      </c>
      <c r="P853" s="6">
        <v>0</v>
      </c>
      <c r="Q853" s="4" t="s">
        <v>26</v>
      </c>
      <c r="R853" s="4">
        <v>0</v>
      </c>
      <c r="S853" s="6">
        <v>0</v>
      </c>
      <c r="T853" s="6">
        <v>24</v>
      </c>
      <c r="U853" s="6">
        <v>66</v>
      </c>
      <c r="V853" s="6">
        <f>IF(ISERROR(VLOOKUP($S$853,'TAR FIN'!$A$1:$O$95,15,0)),0,VLOOKUP($S$853,'TAR FIN'!$A$1:$O$95,15,0))</f>
        <v>0</v>
      </c>
      <c r="W853" s="6">
        <f>IF(ISERROR(VLOOKUP($T$853,'TAR FIN'!$A$1:$O$95,15,0)),0,VLOOKUP($T$853,'TAR FIN'!$A$1:$O$95,15,0))</f>
        <v>1434.79</v>
      </c>
      <c r="X853" s="6">
        <f>IF(ISERROR(VLOOKUP($U$853,'TAR FIN'!$A$1:$O$95,15,0)),0,VLOOKUP($U$853,'TAR FIN'!$A$1:$O$95,15,0))</f>
        <v>389.28</v>
      </c>
      <c r="Y853" s="6"/>
      <c r="Z853" s="6">
        <f ca="1">('TUSD BE'!$AM$16+'TUSD BF'!$AM$16+'TUSD CVA'!$AM$16)*1</f>
        <v>1605.9916314233351</v>
      </c>
      <c r="AA853" s="6">
        <f>('TE BE'!$AA$7+'TE BF'!$AA$7+'TE CVA'!$AA$7)*1</f>
        <v>454.3285679284046</v>
      </c>
      <c r="AB853" s="6">
        <f>$K$853*$V$853</f>
        <v>0</v>
      </c>
      <c r="AC853" s="6">
        <f>$M$853*$W$853</f>
        <v>141510.46812000001</v>
      </c>
      <c r="AD853" s="6">
        <f>$O$853*$X$853</f>
        <v>38393.90784</v>
      </c>
      <c r="AE853" s="6">
        <f>$K$853*$Y$853</f>
        <v>0</v>
      </c>
      <c r="AF853" s="6">
        <f ca="1">$M$853*$Z$853</f>
        <v>158395.7426240207</v>
      </c>
      <c r="AG853" s="6">
        <f>$O$853*$AA$853</f>
        <v>44809.517997642688</v>
      </c>
    </row>
    <row r="854" spans="1:33" ht="11.25" customHeight="1" x14ac:dyDescent="0.25">
      <c r="A854" s="4" t="s">
        <v>29</v>
      </c>
      <c r="B854" s="4" t="s">
        <v>35</v>
      </c>
      <c r="C854" s="4" t="s">
        <v>36</v>
      </c>
      <c r="D854" s="4" t="s">
        <v>45</v>
      </c>
      <c r="E854" s="4" t="s">
        <v>25</v>
      </c>
      <c r="F854" s="4" t="s">
        <v>25</v>
      </c>
      <c r="G854" s="4" t="s">
        <v>25</v>
      </c>
      <c r="H854" s="4" t="s">
        <v>37</v>
      </c>
      <c r="I854" s="5">
        <v>44228</v>
      </c>
      <c r="J854" s="6">
        <v>0</v>
      </c>
      <c r="K854" s="6">
        <v>0</v>
      </c>
      <c r="L854" s="6">
        <v>-0.77400000000000002</v>
      </c>
      <c r="M854" s="6">
        <v>-0.77400000000000002</v>
      </c>
      <c r="N854" s="6">
        <v>-0.77400000000000002</v>
      </c>
      <c r="O854" s="6">
        <v>-0.77400000000000002</v>
      </c>
      <c r="P854" s="6">
        <v>0</v>
      </c>
      <c r="Q854" s="4" t="s">
        <v>26</v>
      </c>
      <c r="R854" s="4">
        <v>0</v>
      </c>
      <c r="S854" s="6">
        <v>0</v>
      </c>
      <c r="T854" s="6">
        <v>24</v>
      </c>
      <c r="U854" s="6">
        <v>66</v>
      </c>
      <c r="V854" s="6">
        <f>IF(ISERROR(VLOOKUP($S$854,'TAR FIN'!$A$1:$O$95,15,0)),0,VLOOKUP($S$854,'TAR FIN'!$A$1:$O$95,15,0))</f>
        <v>0</v>
      </c>
      <c r="W854" s="6">
        <f>IF(ISERROR(VLOOKUP($T$854,'TAR FIN'!$A$1:$O$95,15,0)),0,VLOOKUP($T$854,'TAR FIN'!$A$1:$O$95,15,0))</f>
        <v>1434.79</v>
      </c>
      <c r="X854" s="6">
        <f>IF(ISERROR(VLOOKUP($U$854,'TAR FIN'!$A$1:$O$95,15,0)),0,VLOOKUP($U$854,'TAR FIN'!$A$1:$O$95,15,0))</f>
        <v>389.28</v>
      </c>
      <c r="Y854" s="6"/>
      <c r="Z854" s="6">
        <f ca="1">('TUSD BE'!$AM$16+'TUSD BF'!$AM$16+'TUSD CVA'!$AM$16)*1</f>
        <v>1605.9916314233351</v>
      </c>
      <c r="AA854" s="6">
        <f>('TE BE'!$AA$7+'TE BF'!$AA$7+'TE CVA'!$AA$7)*1</f>
        <v>454.3285679284046</v>
      </c>
      <c r="AB854" s="6">
        <f>$K$854*$V$854</f>
        <v>0</v>
      </c>
      <c r="AC854" s="6">
        <f>$M$854*$W$854</f>
        <v>-1110.52746</v>
      </c>
      <c r="AD854" s="6">
        <f>$O$854*$X$854</f>
        <v>-301.30271999999997</v>
      </c>
      <c r="AE854" s="6">
        <f>$K$854*$Y$854</f>
        <v>0</v>
      </c>
      <c r="AF854" s="6">
        <f ca="1">$M$854*$Z$854</f>
        <v>-1243.0375227216614</v>
      </c>
      <c r="AG854" s="6">
        <f>$O$854*$AA$854</f>
        <v>-351.65031157658518</v>
      </c>
    </row>
    <row r="855" spans="1:33" ht="11.25" customHeight="1" x14ac:dyDescent="0.25">
      <c r="A855" s="4" t="s">
        <v>30</v>
      </c>
      <c r="B855" s="4" t="s">
        <v>35</v>
      </c>
      <c r="C855" s="4" t="s">
        <v>36</v>
      </c>
      <c r="D855" s="4" t="s">
        <v>45</v>
      </c>
      <c r="E855" s="4" t="s">
        <v>25</v>
      </c>
      <c r="F855" s="4" t="s">
        <v>25</v>
      </c>
      <c r="G855" s="4" t="s">
        <v>25</v>
      </c>
      <c r="H855" s="4" t="s">
        <v>37</v>
      </c>
      <c r="I855" s="5">
        <v>44228</v>
      </c>
      <c r="J855" s="6">
        <v>0</v>
      </c>
      <c r="K855" s="6">
        <v>0</v>
      </c>
      <c r="L855" s="6">
        <v>43.920999999999999</v>
      </c>
      <c r="M855" s="6">
        <v>43.920999999999999</v>
      </c>
      <c r="N855" s="6">
        <v>43.920999999999999</v>
      </c>
      <c r="O855" s="6">
        <v>43.920999999999999</v>
      </c>
      <c r="P855" s="6">
        <v>0</v>
      </c>
      <c r="Q855" s="4" t="s">
        <v>26</v>
      </c>
      <c r="R855" s="4">
        <v>0</v>
      </c>
      <c r="S855" s="6">
        <v>0</v>
      </c>
      <c r="T855" s="6">
        <v>24</v>
      </c>
      <c r="U855" s="6">
        <v>66</v>
      </c>
      <c r="V855" s="6">
        <f>IF(ISERROR(VLOOKUP($S$855,'TAR FIN'!$A$1:$O$95,15,0)),0,VLOOKUP($S$855,'TAR FIN'!$A$1:$O$95,15,0))</f>
        <v>0</v>
      </c>
      <c r="W855" s="6">
        <f>IF(ISERROR(VLOOKUP($T$855,'TAR FIN'!$A$1:$O$95,15,0)),0,VLOOKUP($T$855,'TAR FIN'!$A$1:$O$95,15,0))</f>
        <v>1434.79</v>
      </c>
      <c r="X855" s="6">
        <f>IF(ISERROR(VLOOKUP($U$855,'TAR FIN'!$A$1:$O$95,15,0)),0,VLOOKUP($U$855,'TAR FIN'!$A$1:$O$95,15,0))</f>
        <v>389.28</v>
      </c>
      <c r="Y855" s="6"/>
      <c r="Z855" s="6">
        <f ca="1">('TUSD BE'!$AM$16+'TUSD BF'!$AM$16+'TUSD CVA'!$AM$16)*1</f>
        <v>1605.9916314233351</v>
      </c>
      <c r="AA855" s="6">
        <f>('TE BE'!$AA$7+'TE BF'!$AA$7+'TE CVA'!$AA$7)*1</f>
        <v>454.3285679284046</v>
      </c>
      <c r="AB855" s="6">
        <f>$K$855*$V$855</f>
        <v>0</v>
      </c>
      <c r="AC855" s="6">
        <f>$M$855*$W$855</f>
        <v>63017.411589999996</v>
      </c>
      <c r="AD855" s="6">
        <f>$O$855*$X$855</f>
        <v>17097.566879999998</v>
      </c>
      <c r="AE855" s="6">
        <f>$K$855*$Y$855</f>
        <v>0</v>
      </c>
      <c r="AF855" s="6">
        <f ca="1">$M$855*$Z$855</f>
        <v>70536.7584437443</v>
      </c>
      <c r="AG855" s="6">
        <f>$O$855*$AA$855</f>
        <v>19954.565031983457</v>
      </c>
    </row>
    <row r="856" spans="1:33" ht="11.25" customHeight="1" x14ac:dyDescent="0.25">
      <c r="A856" s="4" t="s">
        <v>21</v>
      </c>
      <c r="B856" s="4" t="s">
        <v>35</v>
      </c>
      <c r="C856" s="4" t="s">
        <v>36</v>
      </c>
      <c r="D856" s="4" t="s">
        <v>45</v>
      </c>
      <c r="E856" s="4" t="s">
        <v>25</v>
      </c>
      <c r="F856" s="4" t="s">
        <v>25</v>
      </c>
      <c r="G856" s="4" t="s">
        <v>25</v>
      </c>
      <c r="H856" s="4" t="s">
        <v>37</v>
      </c>
      <c r="I856" s="5">
        <v>44228</v>
      </c>
      <c r="J856" s="6">
        <v>0</v>
      </c>
      <c r="K856" s="6">
        <v>0</v>
      </c>
      <c r="L856" s="6">
        <v>2.5259999999999998</v>
      </c>
      <c r="M856" s="6">
        <v>2.5259999999999998</v>
      </c>
      <c r="N856" s="6">
        <v>0</v>
      </c>
      <c r="O856" s="6">
        <v>0</v>
      </c>
      <c r="P856" s="6">
        <v>0</v>
      </c>
      <c r="Q856" s="4" t="s">
        <v>60</v>
      </c>
      <c r="R856" s="4">
        <v>0</v>
      </c>
      <c r="S856" s="6">
        <v>0</v>
      </c>
      <c r="T856" s="6">
        <v>24</v>
      </c>
      <c r="U856" s="6">
        <v>0</v>
      </c>
      <c r="V856" s="6">
        <f>IF(ISERROR(VLOOKUP($S$856,'TAR FIN'!$A$1:$O$95,15,0)),0,VLOOKUP($S$856,'TAR FIN'!$A$1:$O$95,15,0))</f>
        <v>0</v>
      </c>
      <c r="W856" s="6">
        <f>IF(ISERROR(VLOOKUP($T$856,'TAR FIN'!$A$1:$O$95,15,0)),0,VLOOKUP($T$856,'TAR FIN'!$A$1:$O$95,15,0))</f>
        <v>1434.79</v>
      </c>
      <c r="X856" s="6">
        <f>IF(ISERROR(VLOOKUP($U$856,'TAR FIN'!$A$1:$O$95,15,0)),0,VLOOKUP($U$856,'TAR FIN'!$A$1:$O$95,15,0))</f>
        <v>0</v>
      </c>
      <c r="Y856" s="6"/>
      <c r="Z856" s="6">
        <f ca="1">('TUSD BE'!$AM$16+'TUSD BF'!$AM$16+'TUSD CVA'!$AM$16)*1</f>
        <v>1605.9916314233351</v>
      </c>
      <c r="AA856" s="6"/>
      <c r="AB856" s="6">
        <f>$K$856*$V$856</f>
        <v>0</v>
      </c>
      <c r="AC856" s="6">
        <f>$M$856*$W$856</f>
        <v>3624.2795399999995</v>
      </c>
      <c r="AD856" s="6">
        <f>$O$856*$X$856</f>
        <v>0</v>
      </c>
      <c r="AE856" s="6">
        <f>$K$856*$Y$856</f>
        <v>0</v>
      </c>
      <c r="AF856" s="6">
        <f ca="1">$M$856*$Z$856</f>
        <v>4056.734860975344</v>
      </c>
      <c r="AG856" s="6">
        <f>$O$856*$AA$856</f>
        <v>0</v>
      </c>
    </row>
    <row r="857" spans="1:33" ht="11.25" customHeight="1" x14ac:dyDescent="0.25">
      <c r="A857" s="4" t="s">
        <v>21</v>
      </c>
      <c r="B857" s="4" t="s">
        <v>35</v>
      </c>
      <c r="C857" s="4" t="s">
        <v>36</v>
      </c>
      <c r="D857" s="4" t="s">
        <v>45</v>
      </c>
      <c r="E857" s="4" t="s">
        <v>25</v>
      </c>
      <c r="F857" s="4" t="s">
        <v>25</v>
      </c>
      <c r="G857" s="4" t="s">
        <v>25</v>
      </c>
      <c r="H857" s="4" t="s">
        <v>37</v>
      </c>
      <c r="I857" s="5">
        <v>44256</v>
      </c>
      <c r="J857" s="6">
        <v>0</v>
      </c>
      <c r="K857" s="6">
        <v>0</v>
      </c>
      <c r="L857" s="6">
        <v>1545.633</v>
      </c>
      <c r="M857" s="6">
        <v>1545.633</v>
      </c>
      <c r="N857" s="6">
        <v>1545.633</v>
      </c>
      <c r="O857" s="6">
        <v>1545.633</v>
      </c>
      <c r="P857" s="6">
        <v>0</v>
      </c>
      <c r="Q857" s="4" t="s">
        <v>26</v>
      </c>
      <c r="R857" s="4">
        <v>0</v>
      </c>
      <c r="S857" s="6">
        <v>0</v>
      </c>
      <c r="T857" s="6">
        <v>24</v>
      </c>
      <c r="U857" s="6">
        <v>66</v>
      </c>
      <c r="V857" s="6">
        <f>IF(ISERROR(VLOOKUP($S$857,'TAR FIN'!$A$1:$O$95,15,0)),0,VLOOKUP($S$857,'TAR FIN'!$A$1:$O$95,15,0))</f>
        <v>0</v>
      </c>
      <c r="W857" s="6">
        <f>IF(ISERROR(VLOOKUP($T$857,'TAR FIN'!$A$1:$O$95,15,0)),0,VLOOKUP($T$857,'TAR FIN'!$A$1:$O$95,15,0))</f>
        <v>1434.79</v>
      </c>
      <c r="X857" s="6">
        <f>IF(ISERROR(VLOOKUP($U$857,'TAR FIN'!$A$1:$O$95,15,0)),0,VLOOKUP($U$857,'TAR FIN'!$A$1:$O$95,15,0))</f>
        <v>389.28</v>
      </c>
      <c r="Y857" s="6"/>
      <c r="Z857" s="6">
        <f ca="1">('TUSD BE'!$AM$16+'TUSD BF'!$AM$16+'TUSD CVA'!$AM$16)*1</f>
        <v>1605.9916314233351</v>
      </c>
      <c r="AA857" s="6">
        <f>('TE BE'!$AA$7+'TE BF'!$AA$7+'TE CVA'!$AA$7)*1</f>
        <v>454.3285679284046</v>
      </c>
      <c r="AB857" s="6">
        <f>$K$857*$V$857</f>
        <v>0</v>
      </c>
      <c r="AC857" s="6">
        <f>$M$857*$W$857</f>
        <v>2217658.7720699999</v>
      </c>
      <c r="AD857" s="6">
        <f>$O$857*$X$857</f>
        <v>601684.01423999993</v>
      </c>
      <c r="AE857" s="6">
        <f>$K$857*$Y$857</f>
        <v>0</v>
      </c>
      <c r="AF857" s="6">
        <f ca="1">$M$857*$Z$857</f>
        <v>2482273.6632517437</v>
      </c>
      <c r="AG857" s="6">
        <f>$O$857*$AA$857</f>
        <v>702225.22743288381</v>
      </c>
    </row>
    <row r="858" spans="1:33" ht="11.25" customHeight="1" x14ac:dyDescent="0.25">
      <c r="A858" s="4" t="s">
        <v>27</v>
      </c>
      <c r="B858" s="4" t="s">
        <v>35</v>
      </c>
      <c r="C858" s="4" t="s">
        <v>36</v>
      </c>
      <c r="D858" s="4" t="s">
        <v>45</v>
      </c>
      <c r="E858" s="4" t="s">
        <v>25</v>
      </c>
      <c r="F858" s="4" t="s">
        <v>25</v>
      </c>
      <c r="G858" s="4" t="s">
        <v>25</v>
      </c>
      <c r="H858" s="4" t="s">
        <v>37</v>
      </c>
      <c r="I858" s="5">
        <v>44256</v>
      </c>
      <c r="J858" s="6">
        <v>0</v>
      </c>
      <c r="K858" s="6">
        <v>0</v>
      </c>
      <c r="L858" s="6">
        <v>-12.581</v>
      </c>
      <c r="M858" s="6">
        <v>-12.581</v>
      </c>
      <c r="N858" s="6">
        <v>-12.581</v>
      </c>
      <c r="O858" s="6">
        <v>-12.581</v>
      </c>
      <c r="P858" s="6">
        <v>0</v>
      </c>
      <c r="Q858" s="4" t="s">
        <v>26</v>
      </c>
      <c r="R858" s="4">
        <v>0</v>
      </c>
      <c r="S858" s="6">
        <v>0</v>
      </c>
      <c r="T858" s="6">
        <v>24</v>
      </c>
      <c r="U858" s="6">
        <v>66</v>
      </c>
      <c r="V858" s="6">
        <f>IF(ISERROR(VLOOKUP($S$858,'TAR FIN'!$A$1:$O$95,15,0)),0,VLOOKUP($S$858,'TAR FIN'!$A$1:$O$95,15,0))</f>
        <v>0</v>
      </c>
      <c r="W858" s="6">
        <f>IF(ISERROR(VLOOKUP($T$858,'TAR FIN'!$A$1:$O$95,15,0)),0,VLOOKUP($T$858,'TAR FIN'!$A$1:$O$95,15,0))</f>
        <v>1434.79</v>
      </c>
      <c r="X858" s="6">
        <f>IF(ISERROR(VLOOKUP($U$858,'TAR FIN'!$A$1:$O$95,15,0)),0,VLOOKUP($U$858,'TAR FIN'!$A$1:$O$95,15,0))</f>
        <v>389.28</v>
      </c>
      <c r="Y858" s="6"/>
      <c r="Z858" s="6">
        <f ca="1">('TUSD BE'!$AM$16+'TUSD BF'!$AM$16+'TUSD CVA'!$AM$16)*1</f>
        <v>1605.9916314233351</v>
      </c>
      <c r="AA858" s="6">
        <f>('TE BE'!$AA$7+'TE BF'!$AA$7+'TE CVA'!$AA$7)*1</f>
        <v>454.3285679284046</v>
      </c>
      <c r="AB858" s="6">
        <f>$K$858*$V$858</f>
        <v>0</v>
      </c>
      <c r="AC858" s="6">
        <f>$M$858*$W$858</f>
        <v>-18051.092989999997</v>
      </c>
      <c r="AD858" s="6">
        <f>$O$858*$X$858</f>
        <v>-4897.5316799999991</v>
      </c>
      <c r="AE858" s="6">
        <f>$K$858*$Y$858</f>
        <v>0</v>
      </c>
      <c r="AF858" s="6">
        <f ca="1">$M$858*$Z$858</f>
        <v>-20204.980714936977</v>
      </c>
      <c r="AG858" s="6">
        <f>$O$858*$AA$858</f>
        <v>-5715.9077131072581</v>
      </c>
    </row>
    <row r="859" spans="1:33" ht="11.25" customHeight="1" x14ac:dyDescent="0.25">
      <c r="A859" s="4" t="s">
        <v>28</v>
      </c>
      <c r="B859" s="4" t="s">
        <v>35</v>
      </c>
      <c r="C859" s="4" t="s">
        <v>36</v>
      </c>
      <c r="D859" s="4" t="s">
        <v>45</v>
      </c>
      <c r="E859" s="4" t="s">
        <v>25</v>
      </c>
      <c r="F859" s="4" t="s">
        <v>25</v>
      </c>
      <c r="G859" s="4" t="s">
        <v>25</v>
      </c>
      <c r="H859" s="4" t="s">
        <v>37</v>
      </c>
      <c r="I859" s="5">
        <v>44256</v>
      </c>
      <c r="J859" s="6">
        <v>0</v>
      </c>
      <c r="K859" s="6">
        <v>0</v>
      </c>
      <c r="L859" s="6">
        <v>109.23399999999999</v>
      </c>
      <c r="M859" s="6">
        <v>109.23399999999999</v>
      </c>
      <c r="N859" s="6">
        <v>109.23399999999999</v>
      </c>
      <c r="O859" s="6">
        <v>109.23399999999999</v>
      </c>
      <c r="P859" s="6">
        <v>0</v>
      </c>
      <c r="Q859" s="4" t="s">
        <v>26</v>
      </c>
      <c r="R859" s="4">
        <v>0</v>
      </c>
      <c r="S859" s="6">
        <v>0</v>
      </c>
      <c r="T859" s="6">
        <v>24</v>
      </c>
      <c r="U859" s="6">
        <v>66</v>
      </c>
      <c r="V859" s="6">
        <f>IF(ISERROR(VLOOKUP($S$859,'TAR FIN'!$A$1:$O$95,15,0)),0,VLOOKUP($S$859,'TAR FIN'!$A$1:$O$95,15,0))</f>
        <v>0</v>
      </c>
      <c r="W859" s="6">
        <f>IF(ISERROR(VLOOKUP($T$859,'TAR FIN'!$A$1:$O$95,15,0)),0,VLOOKUP($T$859,'TAR FIN'!$A$1:$O$95,15,0))</f>
        <v>1434.79</v>
      </c>
      <c r="X859" s="6">
        <f>IF(ISERROR(VLOOKUP($U$859,'TAR FIN'!$A$1:$O$95,15,0)),0,VLOOKUP($U$859,'TAR FIN'!$A$1:$O$95,15,0))</f>
        <v>389.28</v>
      </c>
      <c r="Y859" s="6"/>
      <c r="Z859" s="6">
        <f ca="1">('TUSD BE'!$AM$16+'TUSD BF'!$AM$16+'TUSD CVA'!$AM$16)*1</f>
        <v>1605.9916314233351</v>
      </c>
      <c r="AA859" s="6">
        <f>('TE BE'!$AA$7+'TE BF'!$AA$7+'TE CVA'!$AA$7)*1</f>
        <v>454.3285679284046</v>
      </c>
      <c r="AB859" s="6">
        <f>$K$859*$V$859</f>
        <v>0</v>
      </c>
      <c r="AC859" s="6">
        <f>$M$859*$W$859</f>
        <v>156727.85085999998</v>
      </c>
      <c r="AD859" s="6">
        <f>$O$859*$X$859</f>
        <v>42522.611519999999</v>
      </c>
      <c r="AE859" s="6">
        <f>$K$859*$Y$859</f>
        <v>0</v>
      </c>
      <c r="AF859" s="6">
        <f ca="1">$M$859*$Z$859</f>
        <v>175428.88986689658</v>
      </c>
      <c r="AG859" s="6">
        <f>$O$859*$AA$859</f>
        <v>49628.126789091344</v>
      </c>
    </row>
    <row r="860" spans="1:33" ht="11.25" customHeight="1" x14ac:dyDescent="0.25">
      <c r="A860" s="4" t="s">
        <v>30</v>
      </c>
      <c r="B860" s="4" t="s">
        <v>35</v>
      </c>
      <c r="C860" s="4" t="s">
        <v>36</v>
      </c>
      <c r="D860" s="4" t="s">
        <v>45</v>
      </c>
      <c r="E860" s="4" t="s">
        <v>25</v>
      </c>
      <c r="F860" s="4" t="s">
        <v>25</v>
      </c>
      <c r="G860" s="4" t="s">
        <v>25</v>
      </c>
      <c r="H860" s="4" t="s">
        <v>37</v>
      </c>
      <c r="I860" s="5">
        <v>44256</v>
      </c>
      <c r="J860" s="6">
        <v>0</v>
      </c>
      <c r="K860" s="6">
        <v>0</v>
      </c>
      <c r="L860" s="6">
        <v>66.132000000000005</v>
      </c>
      <c r="M860" s="6">
        <v>66.132000000000005</v>
      </c>
      <c r="N860" s="6">
        <v>66.132000000000005</v>
      </c>
      <c r="O860" s="6">
        <v>66.132000000000005</v>
      </c>
      <c r="P860" s="6">
        <v>0</v>
      </c>
      <c r="Q860" s="4" t="s">
        <v>26</v>
      </c>
      <c r="R860" s="4">
        <v>0</v>
      </c>
      <c r="S860" s="6">
        <v>0</v>
      </c>
      <c r="T860" s="6">
        <v>24</v>
      </c>
      <c r="U860" s="6">
        <v>66</v>
      </c>
      <c r="V860" s="6">
        <f>IF(ISERROR(VLOOKUP($S$860,'TAR FIN'!$A$1:$O$95,15,0)),0,VLOOKUP($S$860,'TAR FIN'!$A$1:$O$95,15,0))</f>
        <v>0</v>
      </c>
      <c r="W860" s="6">
        <f>IF(ISERROR(VLOOKUP($T$860,'TAR FIN'!$A$1:$O$95,15,0)),0,VLOOKUP($T$860,'TAR FIN'!$A$1:$O$95,15,0))</f>
        <v>1434.79</v>
      </c>
      <c r="X860" s="6">
        <f>IF(ISERROR(VLOOKUP($U$860,'TAR FIN'!$A$1:$O$95,15,0)),0,VLOOKUP($U$860,'TAR FIN'!$A$1:$O$95,15,0))</f>
        <v>389.28</v>
      </c>
      <c r="Y860" s="6"/>
      <c r="Z860" s="6">
        <f ca="1">('TUSD BE'!$AM$16+'TUSD BF'!$AM$16+'TUSD CVA'!$AM$16)*1</f>
        <v>1605.9916314233351</v>
      </c>
      <c r="AA860" s="6">
        <f>('TE BE'!$AA$7+'TE BF'!$AA$7+'TE CVA'!$AA$7)*1</f>
        <v>454.3285679284046</v>
      </c>
      <c r="AB860" s="6">
        <f>$K$860*$V$860</f>
        <v>0</v>
      </c>
      <c r="AC860" s="6">
        <f>$M$860*$W$860</f>
        <v>94885.532279999999</v>
      </c>
      <c r="AD860" s="6">
        <f>$O$860*$X$860</f>
        <v>25743.864959999999</v>
      </c>
      <c r="AE860" s="6">
        <f>$K$860*$Y$860</f>
        <v>0</v>
      </c>
      <c r="AF860" s="6">
        <f ca="1">$M$860*$Z$860</f>
        <v>106207.438569288</v>
      </c>
      <c r="AG860" s="6">
        <f>$O$860*$AA$860</f>
        <v>30045.656854241253</v>
      </c>
    </row>
    <row r="861" spans="1:33" ht="11.25" customHeight="1" x14ac:dyDescent="0.25">
      <c r="A861" s="4" t="s">
        <v>21</v>
      </c>
      <c r="B861" s="4" t="s">
        <v>35</v>
      </c>
      <c r="C861" s="4" t="s">
        <v>36</v>
      </c>
      <c r="D861" s="4" t="s">
        <v>45</v>
      </c>
      <c r="E861" s="4" t="s">
        <v>25</v>
      </c>
      <c r="F861" s="4" t="s">
        <v>25</v>
      </c>
      <c r="G861" s="4" t="s">
        <v>25</v>
      </c>
      <c r="H861" s="4" t="s">
        <v>37</v>
      </c>
      <c r="I861" s="5">
        <v>44256</v>
      </c>
      <c r="J861" s="6">
        <v>0</v>
      </c>
      <c r="K861" s="6">
        <v>0</v>
      </c>
      <c r="L861" s="6">
        <v>3.2829999999999999</v>
      </c>
      <c r="M861" s="6">
        <v>3.2829999999999999</v>
      </c>
      <c r="N861" s="6">
        <v>0</v>
      </c>
      <c r="O861" s="6">
        <v>0</v>
      </c>
      <c r="P861" s="6">
        <v>0</v>
      </c>
      <c r="Q861" s="4" t="s">
        <v>60</v>
      </c>
      <c r="R861" s="4">
        <v>0</v>
      </c>
      <c r="S861" s="6">
        <v>0</v>
      </c>
      <c r="T861" s="6">
        <v>24</v>
      </c>
      <c r="U861" s="6">
        <v>0</v>
      </c>
      <c r="V861" s="6">
        <f>IF(ISERROR(VLOOKUP($S$861,'TAR FIN'!$A$1:$O$95,15,0)),0,VLOOKUP($S$861,'TAR FIN'!$A$1:$O$95,15,0))</f>
        <v>0</v>
      </c>
      <c r="W861" s="6">
        <f>IF(ISERROR(VLOOKUP($T$861,'TAR FIN'!$A$1:$O$95,15,0)),0,VLOOKUP($T$861,'TAR FIN'!$A$1:$O$95,15,0))</f>
        <v>1434.79</v>
      </c>
      <c r="X861" s="6">
        <f>IF(ISERROR(VLOOKUP($U$861,'TAR FIN'!$A$1:$O$95,15,0)),0,VLOOKUP($U$861,'TAR FIN'!$A$1:$O$95,15,0))</f>
        <v>0</v>
      </c>
      <c r="Y861" s="6"/>
      <c r="Z861" s="6">
        <f ca="1">('TUSD BE'!$AM$16+'TUSD BF'!$AM$16+'TUSD CVA'!$AM$16)*1</f>
        <v>1605.9916314233351</v>
      </c>
      <c r="AA861" s="6"/>
      <c r="AB861" s="6">
        <f>$K$861*$V$861</f>
        <v>0</v>
      </c>
      <c r="AC861" s="6">
        <f>$M$861*$W$861</f>
        <v>4710.4155700000001</v>
      </c>
      <c r="AD861" s="6">
        <f>$O$861*$X$861</f>
        <v>0</v>
      </c>
      <c r="AE861" s="6">
        <f>$K$861*$Y$861</f>
        <v>0</v>
      </c>
      <c r="AF861" s="6">
        <f ca="1">$M$861*$Z$861</f>
        <v>5272.470525962809</v>
      </c>
      <c r="AG861" s="6">
        <f>$O$861*$AA$861</f>
        <v>0</v>
      </c>
    </row>
    <row r="862" spans="1:33" ht="11.25" customHeight="1" x14ac:dyDescent="0.25">
      <c r="A862" s="4" t="s">
        <v>21</v>
      </c>
      <c r="B862" s="4" t="s">
        <v>35</v>
      </c>
      <c r="C862" s="4" t="s">
        <v>36</v>
      </c>
      <c r="D862" s="4" t="s">
        <v>45</v>
      </c>
      <c r="E862" s="4" t="s">
        <v>25</v>
      </c>
      <c r="F862" s="4" t="s">
        <v>25</v>
      </c>
      <c r="G862" s="4" t="s">
        <v>25</v>
      </c>
      <c r="H862" s="4" t="s">
        <v>37</v>
      </c>
      <c r="I862" s="5">
        <v>44287</v>
      </c>
      <c r="J862" s="6">
        <v>0</v>
      </c>
      <c r="K862" s="6">
        <v>0</v>
      </c>
      <c r="L862" s="6">
        <v>1457.0530000000001</v>
      </c>
      <c r="M862" s="6">
        <v>1457.0530000000001</v>
      </c>
      <c r="N862" s="6">
        <v>1457.0530000000001</v>
      </c>
      <c r="O862" s="6">
        <v>1457.0530000000001</v>
      </c>
      <c r="P862" s="6">
        <v>0</v>
      </c>
      <c r="Q862" s="4" t="s">
        <v>26</v>
      </c>
      <c r="R862" s="4">
        <v>0</v>
      </c>
      <c r="S862" s="6">
        <v>0</v>
      </c>
      <c r="T862" s="6">
        <v>24</v>
      </c>
      <c r="U862" s="6">
        <v>66</v>
      </c>
      <c r="V862" s="6">
        <f>IF(ISERROR(VLOOKUP($S$862,'TAR FIN'!$A$1:$O$95,15,0)),0,VLOOKUP($S$862,'TAR FIN'!$A$1:$O$95,15,0))</f>
        <v>0</v>
      </c>
      <c r="W862" s="6">
        <f>IF(ISERROR(VLOOKUP($T$862,'TAR FIN'!$A$1:$O$95,15,0)),0,VLOOKUP($T$862,'TAR FIN'!$A$1:$O$95,15,0))</f>
        <v>1434.79</v>
      </c>
      <c r="X862" s="6">
        <f>IF(ISERROR(VLOOKUP($U$862,'TAR FIN'!$A$1:$O$95,15,0)),0,VLOOKUP($U$862,'TAR FIN'!$A$1:$O$95,15,0))</f>
        <v>389.28</v>
      </c>
      <c r="Y862" s="6"/>
      <c r="Z862" s="6">
        <f ca="1">('TUSD BE'!$AM$16+'TUSD BF'!$AM$16+'TUSD CVA'!$AM$16)*1</f>
        <v>1605.9916314233351</v>
      </c>
      <c r="AA862" s="6">
        <f>('TE BE'!$AA$7+'TE BF'!$AA$7+'TE CVA'!$AA$7)*1</f>
        <v>454.3285679284046</v>
      </c>
      <c r="AB862" s="6">
        <f>$K$862*$V$862</f>
        <v>0</v>
      </c>
      <c r="AC862" s="6">
        <f>$M$862*$W$862</f>
        <v>2090565.0738700002</v>
      </c>
      <c r="AD862" s="6">
        <f>$O$862*$X$862</f>
        <v>567201.59184000001</v>
      </c>
      <c r="AE862" s="6">
        <f>$K$862*$Y$862</f>
        <v>0</v>
      </c>
      <c r="AF862" s="6">
        <f ca="1">$M$862*$Z$862</f>
        <v>2340014.924540265</v>
      </c>
      <c r="AG862" s="6">
        <f>$O$862*$AA$862</f>
        <v>661980.8028857857</v>
      </c>
    </row>
    <row r="863" spans="1:33" ht="11.25" customHeight="1" x14ac:dyDescent="0.25">
      <c r="A863" s="4" t="s">
        <v>27</v>
      </c>
      <c r="B863" s="4" t="s">
        <v>35</v>
      </c>
      <c r="C863" s="4" t="s">
        <v>36</v>
      </c>
      <c r="D863" s="4" t="s">
        <v>45</v>
      </c>
      <c r="E863" s="4" t="s">
        <v>25</v>
      </c>
      <c r="F863" s="4" t="s">
        <v>25</v>
      </c>
      <c r="G863" s="4" t="s">
        <v>25</v>
      </c>
      <c r="H863" s="4" t="s">
        <v>37</v>
      </c>
      <c r="I863" s="5">
        <v>44287</v>
      </c>
      <c r="J863" s="6">
        <v>0</v>
      </c>
      <c r="K863" s="6">
        <v>0</v>
      </c>
      <c r="L863" s="6">
        <v>-56.198</v>
      </c>
      <c r="M863" s="6">
        <v>-56.198</v>
      </c>
      <c r="N863" s="6">
        <v>-56.198</v>
      </c>
      <c r="O863" s="6">
        <v>-56.198</v>
      </c>
      <c r="P863" s="6">
        <v>0</v>
      </c>
      <c r="Q863" s="4" t="s">
        <v>26</v>
      </c>
      <c r="R863" s="4">
        <v>0</v>
      </c>
      <c r="S863" s="6">
        <v>0</v>
      </c>
      <c r="T863" s="6">
        <v>24</v>
      </c>
      <c r="U863" s="6">
        <v>66</v>
      </c>
      <c r="V863" s="6">
        <f>IF(ISERROR(VLOOKUP($S$863,'TAR FIN'!$A$1:$O$95,15,0)),0,VLOOKUP($S$863,'TAR FIN'!$A$1:$O$95,15,0))</f>
        <v>0</v>
      </c>
      <c r="W863" s="6">
        <f>IF(ISERROR(VLOOKUP($T$863,'TAR FIN'!$A$1:$O$95,15,0)),0,VLOOKUP($T$863,'TAR FIN'!$A$1:$O$95,15,0))</f>
        <v>1434.79</v>
      </c>
      <c r="X863" s="6">
        <f>IF(ISERROR(VLOOKUP($U$863,'TAR FIN'!$A$1:$O$95,15,0)),0,VLOOKUP($U$863,'TAR FIN'!$A$1:$O$95,15,0))</f>
        <v>389.28</v>
      </c>
      <c r="Y863" s="6"/>
      <c r="Z863" s="6">
        <f ca="1">('TUSD BE'!$AM$16+'TUSD BF'!$AM$16+'TUSD CVA'!$AM$16)*1</f>
        <v>1605.9916314233351</v>
      </c>
      <c r="AA863" s="6">
        <f>('TE BE'!$AA$7+'TE BF'!$AA$7+'TE CVA'!$AA$7)*1</f>
        <v>454.3285679284046</v>
      </c>
      <c r="AB863" s="6">
        <f>$K$863*$V$863</f>
        <v>0</v>
      </c>
      <c r="AC863" s="6">
        <f>$M$863*$W$863</f>
        <v>-80632.328420000005</v>
      </c>
      <c r="AD863" s="6">
        <f>$O$863*$X$863</f>
        <v>-21876.757439999998</v>
      </c>
      <c r="AE863" s="6">
        <f>$K$863*$Y$863</f>
        <v>0</v>
      </c>
      <c r="AF863" s="6">
        <f ca="1">$M$863*$Z$863</f>
        <v>-90253.517702728583</v>
      </c>
      <c r="AG863" s="6">
        <f>$O$863*$AA$863</f>
        <v>-25532.356860440483</v>
      </c>
    </row>
    <row r="864" spans="1:33" ht="11.25" customHeight="1" x14ac:dyDescent="0.25">
      <c r="A864" s="4" t="s">
        <v>28</v>
      </c>
      <c r="B864" s="4" t="s">
        <v>35</v>
      </c>
      <c r="C864" s="4" t="s">
        <v>36</v>
      </c>
      <c r="D864" s="4" t="s">
        <v>45</v>
      </c>
      <c r="E864" s="4" t="s">
        <v>25</v>
      </c>
      <c r="F864" s="4" t="s">
        <v>25</v>
      </c>
      <c r="G864" s="4" t="s">
        <v>25</v>
      </c>
      <c r="H864" s="4" t="s">
        <v>37</v>
      </c>
      <c r="I864" s="5">
        <v>44287</v>
      </c>
      <c r="J864" s="6">
        <v>0</v>
      </c>
      <c r="K864" s="6">
        <v>0</v>
      </c>
      <c r="L864" s="6">
        <v>119.91800000000001</v>
      </c>
      <c r="M864" s="6">
        <v>119.91800000000001</v>
      </c>
      <c r="N864" s="6">
        <v>119.91800000000001</v>
      </c>
      <c r="O864" s="6">
        <v>119.91800000000001</v>
      </c>
      <c r="P864" s="6">
        <v>0</v>
      </c>
      <c r="Q864" s="4" t="s">
        <v>26</v>
      </c>
      <c r="R864" s="4">
        <v>0</v>
      </c>
      <c r="S864" s="6">
        <v>0</v>
      </c>
      <c r="T864" s="6">
        <v>24</v>
      </c>
      <c r="U864" s="6">
        <v>66</v>
      </c>
      <c r="V864" s="6">
        <f>IF(ISERROR(VLOOKUP($S$864,'TAR FIN'!$A$1:$O$95,15,0)),0,VLOOKUP($S$864,'TAR FIN'!$A$1:$O$95,15,0))</f>
        <v>0</v>
      </c>
      <c r="W864" s="6">
        <f>IF(ISERROR(VLOOKUP($T$864,'TAR FIN'!$A$1:$O$95,15,0)),0,VLOOKUP($T$864,'TAR FIN'!$A$1:$O$95,15,0))</f>
        <v>1434.79</v>
      </c>
      <c r="X864" s="6">
        <f>IF(ISERROR(VLOOKUP($U$864,'TAR FIN'!$A$1:$O$95,15,0)),0,VLOOKUP($U$864,'TAR FIN'!$A$1:$O$95,15,0))</f>
        <v>389.28</v>
      </c>
      <c r="Y864" s="6"/>
      <c r="Z864" s="6">
        <f ca="1">('TUSD BE'!$AM$16+'TUSD BF'!$AM$16+'TUSD CVA'!$AM$16)*1</f>
        <v>1605.9916314233351</v>
      </c>
      <c r="AA864" s="6">
        <f>('TE BE'!$AA$7+'TE BF'!$AA$7+'TE CVA'!$AA$7)*1</f>
        <v>454.3285679284046</v>
      </c>
      <c r="AB864" s="6">
        <f>$K$864*$V$864</f>
        <v>0</v>
      </c>
      <c r="AC864" s="6">
        <f>$M$864*$W$864</f>
        <v>172057.14722000001</v>
      </c>
      <c r="AD864" s="6">
        <f>$O$864*$X$864</f>
        <v>46681.679040000003</v>
      </c>
      <c r="AE864" s="6">
        <f>$K$864*$Y$864</f>
        <v>0</v>
      </c>
      <c r="AF864" s="6">
        <f ca="1">$M$864*$Z$864</f>
        <v>192587.30445702351</v>
      </c>
      <c r="AG864" s="6">
        <f>$O$864*$AA$864</f>
        <v>54482.173208838423</v>
      </c>
    </row>
    <row r="865" spans="1:33" ht="11.25" customHeight="1" x14ac:dyDescent="0.25">
      <c r="A865" s="4" t="s">
        <v>30</v>
      </c>
      <c r="B865" s="4" t="s">
        <v>35</v>
      </c>
      <c r="C865" s="4" t="s">
        <v>36</v>
      </c>
      <c r="D865" s="4" t="s">
        <v>45</v>
      </c>
      <c r="E865" s="4" t="s">
        <v>25</v>
      </c>
      <c r="F865" s="4" t="s">
        <v>25</v>
      </c>
      <c r="G865" s="4" t="s">
        <v>25</v>
      </c>
      <c r="H865" s="4" t="s">
        <v>37</v>
      </c>
      <c r="I865" s="5">
        <v>44287</v>
      </c>
      <c r="J865" s="6">
        <v>0</v>
      </c>
      <c r="K865" s="6">
        <v>0</v>
      </c>
      <c r="L865" s="6">
        <v>63.927999999999997</v>
      </c>
      <c r="M865" s="6">
        <v>63.927999999999997</v>
      </c>
      <c r="N865" s="6">
        <v>63.927999999999997</v>
      </c>
      <c r="O865" s="6">
        <v>63.927999999999997</v>
      </c>
      <c r="P865" s="6">
        <v>0</v>
      </c>
      <c r="Q865" s="4" t="s">
        <v>26</v>
      </c>
      <c r="R865" s="4">
        <v>0</v>
      </c>
      <c r="S865" s="6">
        <v>0</v>
      </c>
      <c r="T865" s="6">
        <v>24</v>
      </c>
      <c r="U865" s="6">
        <v>66</v>
      </c>
      <c r="V865" s="6">
        <f>IF(ISERROR(VLOOKUP($S$865,'TAR FIN'!$A$1:$O$95,15,0)),0,VLOOKUP($S$865,'TAR FIN'!$A$1:$O$95,15,0))</f>
        <v>0</v>
      </c>
      <c r="W865" s="6">
        <f>IF(ISERROR(VLOOKUP($T$865,'TAR FIN'!$A$1:$O$95,15,0)),0,VLOOKUP($T$865,'TAR FIN'!$A$1:$O$95,15,0))</f>
        <v>1434.79</v>
      </c>
      <c r="X865" s="6">
        <f>IF(ISERROR(VLOOKUP($U$865,'TAR FIN'!$A$1:$O$95,15,0)),0,VLOOKUP($U$865,'TAR FIN'!$A$1:$O$95,15,0))</f>
        <v>389.28</v>
      </c>
      <c r="Y865" s="6"/>
      <c r="Z865" s="6">
        <f ca="1">('TUSD BE'!$AM$16+'TUSD BF'!$AM$16+'TUSD CVA'!$AM$16)*1</f>
        <v>1605.9916314233351</v>
      </c>
      <c r="AA865" s="6">
        <f>('TE BE'!$AA$7+'TE BF'!$AA$7+'TE CVA'!$AA$7)*1</f>
        <v>454.3285679284046</v>
      </c>
      <c r="AB865" s="6">
        <f>$K$865*$V$865</f>
        <v>0</v>
      </c>
      <c r="AC865" s="6">
        <f>$M$865*$W$865</f>
        <v>91723.255119999987</v>
      </c>
      <c r="AD865" s="6">
        <f>$O$865*$X$865</f>
        <v>24885.891839999997</v>
      </c>
      <c r="AE865" s="6">
        <f>$K$865*$Y$865</f>
        <v>0</v>
      </c>
      <c r="AF865" s="6">
        <f ca="1">$M$865*$Z$865</f>
        <v>102667.83301363097</v>
      </c>
      <c r="AG865" s="6">
        <f>$O$865*$AA$865</f>
        <v>29044.316690527048</v>
      </c>
    </row>
    <row r="866" spans="1:33" ht="11.25" customHeight="1" x14ac:dyDescent="0.25">
      <c r="A866" s="4" t="s">
        <v>21</v>
      </c>
      <c r="B866" s="4" t="s">
        <v>35</v>
      </c>
      <c r="C866" s="4" t="s">
        <v>36</v>
      </c>
      <c r="D866" s="4" t="s">
        <v>45</v>
      </c>
      <c r="E866" s="4" t="s">
        <v>25</v>
      </c>
      <c r="F866" s="4" t="s">
        <v>25</v>
      </c>
      <c r="G866" s="4" t="s">
        <v>25</v>
      </c>
      <c r="H866" s="4" t="s">
        <v>37</v>
      </c>
      <c r="I866" s="5">
        <v>44287</v>
      </c>
      <c r="J866" s="6">
        <v>0</v>
      </c>
      <c r="K866" s="6">
        <v>0</v>
      </c>
      <c r="L866" s="6">
        <v>2.911</v>
      </c>
      <c r="M866" s="6">
        <v>2.911</v>
      </c>
      <c r="N866" s="6">
        <v>0</v>
      </c>
      <c r="O866" s="6">
        <v>0</v>
      </c>
      <c r="P866" s="6">
        <v>0</v>
      </c>
      <c r="Q866" s="4" t="s">
        <v>60</v>
      </c>
      <c r="R866" s="4">
        <v>0</v>
      </c>
      <c r="S866" s="6">
        <v>0</v>
      </c>
      <c r="T866" s="6">
        <v>24</v>
      </c>
      <c r="U866" s="6">
        <v>0</v>
      </c>
      <c r="V866" s="6">
        <f>IF(ISERROR(VLOOKUP($S$866,'TAR FIN'!$A$1:$O$95,15,0)),0,VLOOKUP($S$866,'TAR FIN'!$A$1:$O$95,15,0))</f>
        <v>0</v>
      </c>
      <c r="W866" s="6">
        <f>IF(ISERROR(VLOOKUP($T$866,'TAR FIN'!$A$1:$O$95,15,0)),0,VLOOKUP($T$866,'TAR FIN'!$A$1:$O$95,15,0))</f>
        <v>1434.79</v>
      </c>
      <c r="X866" s="6">
        <f>IF(ISERROR(VLOOKUP($U$866,'TAR FIN'!$A$1:$O$95,15,0)),0,VLOOKUP($U$866,'TAR FIN'!$A$1:$O$95,15,0))</f>
        <v>0</v>
      </c>
      <c r="Y866" s="6"/>
      <c r="Z866" s="6">
        <f ca="1">('TUSD BE'!$AM$16+'TUSD BF'!$AM$16+'TUSD CVA'!$AM$16)*1</f>
        <v>1605.9916314233351</v>
      </c>
      <c r="AA866" s="6"/>
      <c r="AB866" s="6">
        <f>$K$866*$V$866</f>
        <v>0</v>
      </c>
      <c r="AC866" s="6">
        <f>$M$866*$W$866</f>
        <v>4176.6736899999996</v>
      </c>
      <c r="AD866" s="6">
        <f>$O$866*$X$866</f>
        <v>0</v>
      </c>
      <c r="AE866" s="6">
        <f>$K$866*$Y$866</f>
        <v>0</v>
      </c>
      <c r="AF866" s="6">
        <f ca="1">$M$866*$Z$866</f>
        <v>4675.041639073329</v>
      </c>
      <c r="AG866" s="6">
        <f>$O$866*$AA$866</f>
        <v>0</v>
      </c>
    </row>
    <row r="867" spans="1:33" ht="11.25" customHeight="1" x14ac:dyDescent="0.25">
      <c r="A867" s="4" t="s">
        <v>21</v>
      </c>
      <c r="B867" s="4" t="s">
        <v>35</v>
      </c>
      <c r="C867" s="4" t="s">
        <v>36</v>
      </c>
      <c r="D867" s="4" t="s">
        <v>45</v>
      </c>
      <c r="E867" s="4" t="s">
        <v>25</v>
      </c>
      <c r="F867" s="4" t="s">
        <v>25</v>
      </c>
      <c r="G867" s="4" t="s">
        <v>25</v>
      </c>
      <c r="H867" s="4" t="s">
        <v>37</v>
      </c>
      <c r="I867" s="5">
        <v>44317</v>
      </c>
      <c r="J867" s="6">
        <v>0</v>
      </c>
      <c r="K867" s="6">
        <v>0</v>
      </c>
      <c r="L867" s="6">
        <v>1616.25</v>
      </c>
      <c r="M867" s="6">
        <v>1616.25</v>
      </c>
      <c r="N867" s="6">
        <v>1616.25</v>
      </c>
      <c r="O867" s="6">
        <v>1616.25</v>
      </c>
      <c r="P867" s="6">
        <v>0</v>
      </c>
      <c r="Q867" s="4" t="s">
        <v>26</v>
      </c>
      <c r="R867" s="4">
        <v>0</v>
      </c>
      <c r="S867" s="6">
        <v>0</v>
      </c>
      <c r="T867" s="6">
        <v>24</v>
      </c>
      <c r="U867" s="6">
        <v>66</v>
      </c>
      <c r="V867" s="6">
        <f>IF(ISERROR(VLOOKUP($S$867,'TAR FIN'!$A$1:$O$95,15,0)),0,VLOOKUP($S$867,'TAR FIN'!$A$1:$O$95,15,0))</f>
        <v>0</v>
      </c>
      <c r="W867" s="6">
        <f>IF(ISERROR(VLOOKUP($T$867,'TAR FIN'!$A$1:$O$95,15,0)),0,VLOOKUP($T$867,'TAR FIN'!$A$1:$O$95,15,0))</f>
        <v>1434.79</v>
      </c>
      <c r="X867" s="6">
        <f>IF(ISERROR(VLOOKUP($U$867,'TAR FIN'!$A$1:$O$95,15,0)),0,VLOOKUP($U$867,'TAR FIN'!$A$1:$O$95,15,0))</f>
        <v>389.28</v>
      </c>
      <c r="Y867" s="6"/>
      <c r="Z867" s="6">
        <f ca="1">('TUSD BE'!$AM$16+'TUSD BF'!$AM$16+'TUSD CVA'!$AM$16)*1</f>
        <v>1605.9916314233351</v>
      </c>
      <c r="AA867" s="6">
        <f>('TE BE'!$AA$7+'TE BF'!$AA$7+'TE CVA'!$AA$7)*1</f>
        <v>454.3285679284046</v>
      </c>
      <c r="AB867" s="6">
        <f>$K$867*$V$867</f>
        <v>0</v>
      </c>
      <c r="AC867" s="6">
        <f>$M$867*$W$867</f>
        <v>2318979.3374999999</v>
      </c>
      <c r="AD867" s="6">
        <f>$O$867*$X$867</f>
        <v>629173.79999999993</v>
      </c>
      <c r="AE867" s="6">
        <f>$K$867*$Y$867</f>
        <v>0</v>
      </c>
      <c r="AF867" s="6">
        <f ca="1">$M$867*$Z$867</f>
        <v>2595683.9742879653</v>
      </c>
      <c r="AG867" s="6">
        <f>$O$867*$AA$867</f>
        <v>734308.54791428393</v>
      </c>
    </row>
    <row r="868" spans="1:33" ht="11.25" customHeight="1" x14ac:dyDescent="0.25">
      <c r="A868" s="4" t="s">
        <v>27</v>
      </c>
      <c r="B868" s="4" t="s">
        <v>35</v>
      </c>
      <c r="C868" s="4" t="s">
        <v>36</v>
      </c>
      <c r="D868" s="4" t="s">
        <v>45</v>
      </c>
      <c r="E868" s="4" t="s">
        <v>25</v>
      </c>
      <c r="F868" s="4" t="s">
        <v>25</v>
      </c>
      <c r="G868" s="4" t="s">
        <v>25</v>
      </c>
      <c r="H868" s="4" t="s">
        <v>37</v>
      </c>
      <c r="I868" s="5">
        <v>44317</v>
      </c>
      <c r="J868" s="6">
        <v>0</v>
      </c>
      <c r="K868" s="6">
        <v>0</v>
      </c>
      <c r="L868" s="6">
        <v>-2.1890000000000001</v>
      </c>
      <c r="M868" s="6">
        <v>-2.1890000000000001</v>
      </c>
      <c r="N868" s="6">
        <v>-2.1890000000000001</v>
      </c>
      <c r="O868" s="6">
        <v>-2.1890000000000001</v>
      </c>
      <c r="P868" s="6">
        <v>0</v>
      </c>
      <c r="Q868" s="4" t="s">
        <v>26</v>
      </c>
      <c r="R868" s="4">
        <v>0</v>
      </c>
      <c r="S868" s="6">
        <v>0</v>
      </c>
      <c r="T868" s="6">
        <v>24</v>
      </c>
      <c r="U868" s="6">
        <v>66</v>
      </c>
      <c r="V868" s="6">
        <f>IF(ISERROR(VLOOKUP($S$868,'TAR FIN'!$A$1:$O$95,15,0)),0,VLOOKUP($S$868,'TAR FIN'!$A$1:$O$95,15,0))</f>
        <v>0</v>
      </c>
      <c r="W868" s="6">
        <f>IF(ISERROR(VLOOKUP($T$868,'TAR FIN'!$A$1:$O$95,15,0)),0,VLOOKUP($T$868,'TAR FIN'!$A$1:$O$95,15,0))</f>
        <v>1434.79</v>
      </c>
      <c r="X868" s="6">
        <f>IF(ISERROR(VLOOKUP($U$868,'TAR FIN'!$A$1:$O$95,15,0)),0,VLOOKUP($U$868,'TAR FIN'!$A$1:$O$95,15,0))</f>
        <v>389.28</v>
      </c>
      <c r="Y868" s="6"/>
      <c r="Z868" s="6">
        <f ca="1">('TUSD BE'!$AM$16+'TUSD BF'!$AM$16+'TUSD CVA'!$AM$16)*1</f>
        <v>1605.9916314233351</v>
      </c>
      <c r="AA868" s="6">
        <f>('TE BE'!$AA$7+'TE BF'!$AA$7+'TE CVA'!$AA$7)*1</f>
        <v>454.3285679284046</v>
      </c>
      <c r="AB868" s="6">
        <f>$K$868*$V$868</f>
        <v>0</v>
      </c>
      <c r="AC868" s="6">
        <f>$M$868*$W$868</f>
        <v>-3140.75531</v>
      </c>
      <c r="AD868" s="6">
        <f>$O$868*$X$868</f>
        <v>-852.13391999999999</v>
      </c>
      <c r="AE868" s="6">
        <f>$K$868*$Y$868</f>
        <v>0</v>
      </c>
      <c r="AF868" s="6">
        <f ca="1">$M$868*$Z$868</f>
        <v>-3515.5156811856805</v>
      </c>
      <c r="AG868" s="6">
        <f>$O$868*$AA$868</f>
        <v>-994.52523519527767</v>
      </c>
    </row>
    <row r="869" spans="1:33" ht="11.25" customHeight="1" x14ac:dyDescent="0.25">
      <c r="A869" s="4" t="s">
        <v>28</v>
      </c>
      <c r="B869" s="4" t="s">
        <v>35</v>
      </c>
      <c r="C869" s="4" t="s">
        <v>36</v>
      </c>
      <c r="D869" s="4" t="s">
        <v>45</v>
      </c>
      <c r="E869" s="4" t="s">
        <v>25</v>
      </c>
      <c r="F869" s="4" t="s">
        <v>25</v>
      </c>
      <c r="G869" s="4" t="s">
        <v>25</v>
      </c>
      <c r="H869" s="4" t="s">
        <v>37</v>
      </c>
      <c r="I869" s="5">
        <v>44317</v>
      </c>
      <c r="J869" s="6">
        <v>0</v>
      </c>
      <c r="K869" s="6">
        <v>0</v>
      </c>
      <c r="L869" s="6">
        <v>121.998</v>
      </c>
      <c r="M869" s="6">
        <v>121.998</v>
      </c>
      <c r="N869" s="6">
        <v>121.998</v>
      </c>
      <c r="O869" s="6">
        <v>121.998</v>
      </c>
      <c r="P869" s="6">
        <v>0</v>
      </c>
      <c r="Q869" s="4" t="s">
        <v>26</v>
      </c>
      <c r="R869" s="4">
        <v>0</v>
      </c>
      <c r="S869" s="6">
        <v>0</v>
      </c>
      <c r="T869" s="6">
        <v>24</v>
      </c>
      <c r="U869" s="6">
        <v>66</v>
      </c>
      <c r="V869" s="6">
        <f>IF(ISERROR(VLOOKUP($S$869,'TAR FIN'!$A$1:$O$95,15,0)),0,VLOOKUP($S$869,'TAR FIN'!$A$1:$O$95,15,0))</f>
        <v>0</v>
      </c>
      <c r="W869" s="6">
        <f>IF(ISERROR(VLOOKUP($T$869,'TAR FIN'!$A$1:$O$95,15,0)),0,VLOOKUP($T$869,'TAR FIN'!$A$1:$O$95,15,0))</f>
        <v>1434.79</v>
      </c>
      <c r="X869" s="6">
        <f>IF(ISERROR(VLOOKUP($U$869,'TAR FIN'!$A$1:$O$95,15,0)),0,VLOOKUP($U$869,'TAR FIN'!$A$1:$O$95,15,0))</f>
        <v>389.28</v>
      </c>
      <c r="Y869" s="6"/>
      <c r="Z869" s="6">
        <f ca="1">('TUSD BE'!$AM$16+'TUSD BF'!$AM$16+'TUSD CVA'!$AM$16)*1</f>
        <v>1605.9916314233351</v>
      </c>
      <c r="AA869" s="6">
        <f>('TE BE'!$AA$7+'TE BF'!$AA$7+'TE CVA'!$AA$7)*1</f>
        <v>454.3285679284046</v>
      </c>
      <c r="AB869" s="6">
        <f>$K$869*$V$869</f>
        <v>0</v>
      </c>
      <c r="AC869" s="6">
        <f>$M$869*$W$869</f>
        <v>175041.51042000001</v>
      </c>
      <c r="AD869" s="6">
        <f>$O$869*$X$869</f>
        <v>47491.381439999997</v>
      </c>
      <c r="AE869" s="6">
        <f>$K$869*$Y$869</f>
        <v>0</v>
      </c>
      <c r="AF869" s="6">
        <f ca="1">$M$869*$Z$869</f>
        <v>195927.76705038405</v>
      </c>
      <c r="AG869" s="6">
        <f>$O$869*$AA$869</f>
        <v>55427.176630129507</v>
      </c>
    </row>
    <row r="870" spans="1:33" ht="11.25" customHeight="1" x14ac:dyDescent="0.25">
      <c r="A870" s="4" t="s">
        <v>30</v>
      </c>
      <c r="B870" s="4" t="s">
        <v>35</v>
      </c>
      <c r="C870" s="4" t="s">
        <v>36</v>
      </c>
      <c r="D870" s="4" t="s">
        <v>45</v>
      </c>
      <c r="E870" s="4" t="s">
        <v>25</v>
      </c>
      <c r="F870" s="4" t="s">
        <v>25</v>
      </c>
      <c r="G870" s="4" t="s">
        <v>25</v>
      </c>
      <c r="H870" s="4" t="s">
        <v>37</v>
      </c>
      <c r="I870" s="5">
        <v>44317</v>
      </c>
      <c r="J870" s="6">
        <v>0</v>
      </c>
      <c r="K870" s="6">
        <v>0</v>
      </c>
      <c r="L870" s="6">
        <v>71.709000000000003</v>
      </c>
      <c r="M870" s="6">
        <v>71.709000000000003</v>
      </c>
      <c r="N870" s="6">
        <v>71.709000000000003</v>
      </c>
      <c r="O870" s="6">
        <v>71.709000000000003</v>
      </c>
      <c r="P870" s="6">
        <v>0</v>
      </c>
      <c r="Q870" s="4" t="s">
        <v>26</v>
      </c>
      <c r="R870" s="4">
        <v>0</v>
      </c>
      <c r="S870" s="6">
        <v>0</v>
      </c>
      <c r="T870" s="6">
        <v>24</v>
      </c>
      <c r="U870" s="6">
        <v>66</v>
      </c>
      <c r="V870" s="6">
        <f>IF(ISERROR(VLOOKUP($S$870,'TAR FIN'!$A$1:$O$95,15,0)),0,VLOOKUP($S$870,'TAR FIN'!$A$1:$O$95,15,0))</f>
        <v>0</v>
      </c>
      <c r="W870" s="6">
        <f>IF(ISERROR(VLOOKUP($T$870,'TAR FIN'!$A$1:$O$95,15,0)),0,VLOOKUP($T$870,'TAR FIN'!$A$1:$O$95,15,0))</f>
        <v>1434.79</v>
      </c>
      <c r="X870" s="6">
        <f>IF(ISERROR(VLOOKUP($U$870,'TAR FIN'!$A$1:$O$95,15,0)),0,VLOOKUP($U$870,'TAR FIN'!$A$1:$O$95,15,0))</f>
        <v>389.28</v>
      </c>
      <c r="Y870" s="6"/>
      <c r="Z870" s="6">
        <f ca="1">('TUSD BE'!$AM$16+'TUSD BF'!$AM$16+'TUSD CVA'!$AM$16)*1</f>
        <v>1605.9916314233351</v>
      </c>
      <c r="AA870" s="6">
        <f>('TE BE'!$AA$7+'TE BF'!$AA$7+'TE CVA'!$AA$7)*1</f>
        <v>454.3285679284046</v>
      </c>
      <c r="AB870" s="6">
        <f>$K$870*$V$870</f>
        <v>0</v>
      </c>
      <c r="AC870" s="6">
        <f>$M$870*$W$870</f>
        <v>102887.35611000001</v>
      </c>
      <c r="AD870" s="6">
        <f>$O$870*$X$870</f>
        <v>27914.879519999999</v>
      </c>
      <c r="AE870" s="6">
        <f>$K$870*$Y$870</f>
        <v>0</v>
      </c>
      <c r="AF870" s="6">
        <f ca="1">$M$870*$Z$870</f>
        <v>115164.05389773594</v>
      </c>
      <c r="AG870" s="6">
        <f>$O$870*$AA$870</f>
        <v>32579.447277577965</v>
      </c>
    </row>
    <row r="871" spans="1:33" ht="11.25" customHeight="1" x14ac:dyDescent="0.25">
      <c r="A871" s="4" t="s">
        <v>21</v>
      </c>
      <c r="B871" s="4" t="s">
        <v>35</v>
      </c>
      <c r="C871" s="4" t="s">
        <v>36</v>
      </c>
      <c r="D871" s="4" t="s">
        <v>45</v>
      </c>
      <c r="E871" s="4" t="s">
        <v>25</v>
      </c>
      <c r="F871" s="4" t="s">
        <v>25</v>
      </c>
      <c r="G871" s="4" t="s">
        <v>25</v>
      </c>
      <c r="H871" s="4" t="s">
        <v>37</v>
      </c>
      <c r="I871" s="5">
        <v>44317</v>
      </c>
      <c r="J871" s="6">
        <v>0</v>
      </c>
      <c r="K871" s="6">
        <v>0</v>
      </c>
      <c r="L871" s="6">
        <v>2.6680000000000001</v>
      </c>
      <c r="M871" s="6">
        <v>2.6680000000000001</v>
      </c>
      <c r="N871" s="6">
        <v>0</v>
      </c>
      <c r="O871" s="6">
        <v>0</v>
      </c>
      <c r="P871" s="6">
        <v>0</v>
      </c>
      <c r="Q871" s="4" t="s">
        <v>60</v>
      </c>
      <c r="R871" s="4">
        <v>0</v>
      </c>
      <c r="S871" s="6">
        <v>0</v>
      </c>
      <c r="T871" s="6">
        <v>24</v>
      </c>
      <c r="U871" s="6">
        <v>0</v>
      </c>
      <c r="V871" s="6">
        <f>IF(ISERROR(VLOOKUP($S$871,'TAR FIN'!$A$1:$O$95,15,0)),0,VLOOKUP($S$871,'TAR FIN'!$A$1:$O$95,15,0))</f>
        <v>0</v>
      </c>
      <c r="W871" s="6">
        <f>IF(ISERROR(VLOOKUP($T$871,'TAR FIN'!$A$1:$O$95,15,0)),0,VLOOKUP($T$871,'TAR FIN'!$A$1:$O$95,15,0))</f>
        <v>1434.79</v>
      </c>
      <c r="X871" s="6">
        <f>IF(ISERROR(VLOOKUP($U$871,'TAR FIN'!$A$1:$O$95,15,0)),0,VLOOKUP($U$871,'TAR FIN'!$A$1:$O$95,15,0))</f>
        <v>0</v>
      </c>
      <c r="Y871" s="6"/>
      <c r="Z871" s="6">
        <f ca="1">('TUSD BE'!$AM$16+'TUSD BF'!$AM$16+'TUSD CVA'!$AM$16)*1</f>
        <v>1605.9916314233351</v>
      </c>
      <c r="AA871" s="6"/>
      <c r="AB871" s="6">
        <f>$K$871*$V$871</f>
        <v>0</v>
      </c>
      <c r="AC871" s="6">
        <f>$M$871*$W$871</f>
        <v>3828.0197200000002</v>
      </c>
      <c r="AD871" s="6">
        <f>$O$871*$X$871</f>
        <v>0</v>
      </c>
      <c r="AE871" s="6">
        <f>$K$871*$Y$871</f>
        <v>0</v>
      </c>
      <c r="AF871" s="6">
        <f ca="1">$M$871*$Z$871</f>
        <v>4284.7856726374584</v>
      </c>
      <c r="AG871" s="6">
        <f>$O$871*$AA$871</f>
        <v>0</v>
      </c>
    </row>
    <row r="872" spans="1:33" ht="11.25" customHeight="1" x14ac:dyDescent="0.25">
      <c r="A872" s="4" t="s">
        <v>21</v>
      </c>
      <c r="B872" s="4" t="s">
        <v>35</v>
      </c>
      <c r="C872" s="4" t="s">
        <v>36</v>
      </c>
      <c r="D872" s="4" t="s">
        <v>45</v>
      </c>
      <c r="E872" s="4" t="s">
        <v>25</v>
      </c>
      <c r="F872" s="4" t="s">
        <v>25</v>
      </c>
      <c r="G872" s="4" t="s">
        <v>25</v>
      </c>
      <c r="H872" s="4" t="s">
        <v>37</v>
      </c>
      <c r="I872" s="5">
        <v>44348</v>
      </c>
      <c r="J872" s="6">
        <v>0</v>
      </c>
      <c r="K872" s="6">
        <v>0</v>
      </c>
      <c r="L872" s="6">
        <v>1578</v>
      </c>
      <c r="M872" s="6">
        <v>1578</v>
      </c>
      <c r="N872" s="6">
        <v>1578</v>
      </c>
      <c r="O872" s="6">
        <v>1578</v>
      </c>
      <c r="P872" s="6">
        <v>0</v>
      </c>
      <c r="Q872" s="4" t="s">
        <v>26</v>
      </c>
      <c r="R872" s="4">
        <v>0</v>
      </c>
      <c r="S872" s="6">
        <v>0</v>
      </c>
      <c r="T872" s="6">
        <v>24</v>
      </c>
      <c r="U872" s="6">
        <v>66</v>
      </c>
      <c r="V872" s="6">
        <f>IF(ISERROR(VLOOKUP($S$872,'TAR FIN'!$A$1:$O$95,15,0)),0,VLOOKUP($S$872,'TAR FIN'!$A$1:$O$95,15,0))</f>
        <v>0</v>
      </c>
      <c r="W872" s="6">
        <f>IF(ISERROR(VLOOKUP($T$872,'TAR FIN'!$A$1:$O$95,15,0)),0,VLOOKUP($T$872,'TAR FIN'!$A$1:$O$95,15,0))</f>
        <v>1434.79</v>
      </c>
      <c r="X872" s="6">
        <f>IF(ISERROR(VLOOKUP($U$872,'TAR FIN'!$A$1:$O$95,15,0)),0,VLOOKUP($U$872,'TAR FIN'!$A$1:$O$95,15,0))</f>
        <v>389.28</v>
      </c>
      <c r="Y872" s="6"/>
      <c r="Z872" s="6">
        <f ca="1">('TUSD BE'!$AM$16+'TUSD BF'!$AM$16+'TUSD CVA'!$AM$16)*1</f>
        <v>1605.9916314233351</v>
      </c>
      <c r="AA872" s="6">
        <f>('TE BE'!$AA$7+'TE BF'!$AA$7+'TE CVA'!$AA$7)*1</f>
        <v>454.3285679284046</v>
      </c>
      <c r="AB872" s="6">
        <f>$K$872*$V$872</f>
        <v>0</v>
      </c>
      <c r="AC872" s="6">
        <f>$M$872*$W$872</f>
        <v>2264098.62</v>
      </c>
      <c r="AD872" s="6">
        <f>$O$872*$X$872</f>
        <v>614283.84</v>
      </c>
      <c r="AE872" s="6">
        <f>$K$872*$Y$872</f>
        <v>0</v>
      </c>
      <c r="AF872" s="6">
        <f ca="1">$M$872*$Z$872</f>
        <v>2534254.7943860227</v>
      </c>
      <c r="AG872" s="6">
        <f>$O$872*$AA$872</f>
        <v>716930.48019102251</v>
      </c>
    </row>
    <row r="873" spans="1:33" ht="11.25" customHeight="1" x14ac:dyDescent="0.25">
      <c r="A873" s="4" t="s">
        <v>27</v>
      </c>
      <c r="B873" s="4" t="s">
        <v>35</v>
      </c>
      <c r="C873" s="4" t="s">
        <v>36</v>
      </c>
      <c r="D873" s="4" t="s">
        <v>45</v>
      </c>
      <c r="E873" s="4" t="s">
        <v>25</v>
      </c>
      <c r="F873" s="4" t="s">
        <v>25</v>
      </c>
      <c r="G873" s="4" t="s">
        <v>25</v>
      </c>
      <c r="H873" s="4" t="s">
        <v>37</v>
      </c>
      <c r="I873" s="5">
        <v>44348</v>
      </c>
      <c r="J873" s="6">
        <v>0</v>
      </c>
      <c r="K873" s="6">
        <v>0</v>
      </c>
      <c r="L873" s="6">
        <v>-2.8220000000000001</v>
      </c>
      <c r="M873" s="6">
        <v>-2.8220000000000001</v>
      </c>
      <c r="N873" s="6">
        <v>-2.8220000000000001</v>
      </c>
      <c r="O873" s="6">
        <v>-2.8220000000000001</v>
      </c>
      <c r="P873" s="6">
        <v>0</v>
      </c>
      <c r="Q873" s="4" t="s">
        <v>26</v>
      </c>
      <c r="R873" s="4">
        <v>0</v>
      </c>
      <c r="S873" s="6">
        <v>0</v>
      </c>
      <c r="T873" s="6">
        <v>24</v>
      </c>
      <c r="U873" s="6">
        <v>66</v>
      </c>
      <c r="V873" s="6">
        <f>IF(ISERROR(VLOOKUP($S$873,'TAR FIN'!$A$1:$O$95,15,0)),0,VLOOKUP($S$873,'TAR FIN'!$A$1:$O$95,15,0))</f>
        <v>0</v>
      </c>
      <c r="W873" s="6">
        <f>IF(ISERROR(VLOOKUP($T$873,'TAR FIN'!$A$1:$O$95,15,0)),0,VLOOKUP($T$873,'TAR FIN'!$A$1:$O$95,15,0))</f>
        <v>1434.79</v>
      </c>
      <c r="X873" s="6">
        <f>IF(ISERROR(VLOOKUP($U$873,'TAR FIN'!$A$1:$O$95,15,0)),0,VLOOKUP($U$873,'TAR FIN'!$A$1:$O$95,15,0))</f>
        <v>389.28</v>
      </c>
      <c r="Y873" s="6"/>
      <c r="Z873" s="6">
        <f ca="1">('TUSD BE'!$AM$16+'TUSD BF'!$AM$16+'TUSD CVA'!$AM$16)*1</f>
        <v>1605.9916314233351</v>
      </c>
      <c r="AA873" s="6">
        <f>('TE BE'!$AA$7+'TE BF'!$AA$7+'TE CVA'!$AA$7)*1</f>
        <v>454.3285679284046</v>
      </c>
      <c r="AB873" s="6">
        <f>$K$873*$V$873</f>
        <v>0</v>
      </c>
      <c r="AC873" s="6">
        <f>$M$873*$W$873</f>
        <v>-4048.9773799999998</v>
      </c>
      <c r="AD873" s="6">
        <f>$O$873*$X$873</f>
        <v>-1098.5481600000001</v>
      </c>
      <c r="AE873" s="6">
        <f>$K$873*$Y$873</f>
        <v>0</v>
      </c>
      <c r="AF873" s="6">
        <f ca="1">$M$873*$Z$873</f>
        <v>-4532.1083838766517</v>
      </c>
      <c r="AG873" s="6">
        <f>$O$873*$AA$873</f>
        <v>-1282.1152186939578</v>
      </c>
    </row>
    <row r="874" spans="1:33" ht="11.25" customHeight="1" x14ac:dyDescent="0.25">
      <c r="A874" s="4" t="s">
        <v>28</v>
      </c>
      <c r="B874" s="4" t="s">
        <v>35</v>
      </c>
      <c r="C874" s="4" t="s">
        <v>36</v>
      </c>
      <c r="D874" s="4" t="s">
        <v>45</v>
      </c>
      <c r="E874" s="4" t="s">
        <v>25</v>
      </c>
      <c r="F874" s="4" t="s">
        <v>25</v>
      </c>
      <c r="G874" s="4" t="s">
        <v>25</v>
      </c>
      <c r="H874" s="4" t="s">
        <v>37</v>
      </c>
      <c r="I874" s="5">
        <v>44348</v>
      </c>
      <c r="J874" s="6">
        <v>0</v>
      </c>
      <c r="K874" s="6">
        <v>0</v>
      </c>
      <c r="L874" s="6">
        <v>114.40600000000001</v>
      </c>
      <c r="M874" s="6">
        <v>114.40600000000001</v>
      </c>
      <c r="N874" s="6">
        <v>114.40600000000001</v>
      </c>
      <c r="O874" s="6">
        <v>114.40600000000001</v>
      </c>
      <c r="P874" s="6">
        <v>0</v>
      </c>
      <c r="Q874" s="4" t="s">
        <v>26</v>
      </c>
      <c r="R874" s="4">
        <v>0</v>
      </c>
      <c r="S874" s="6">
        <v>0</v>
      </c>
      <c r="T874" s="6">
        <v>24</v>
      </c>
      <c r="U874" s="6">
        <v>66</v>
      </c>
      <c r="V874" s="6">
        <f>IF(ISERROR(VLOOKUP($S$874,'TAR FIN'!$A$1:$O$95,15,0)),0,VLOOKUP($S$874,'TAR FIN'!$A$1:$O$95,15,0))</f>
        <v>0</v>
      </c>
      <c r="W874" s="6">
        <f>IF(ISERROR(VLOOKUP($T$874,'TAR FIN'!$A$1:$O$95,15,0)),0,VLOOKUP($T$874,'TAR FIN'!$A$1:$O$95,15,0))</f>
        <v>1434.79</v>
      </c>
      <c r="X874" s="6">
        <f>IF(ISERROR(VLOOKUP($U$874,'TAR FIN'!$A$1:$O$95,15,0)),0,VLOOKUP($U$874,'TAR FIN'!$A$1:$O$95,15,0))</f>
        <v>389.28</v>
      </c>
      <c r="Y874" s="6"/>
      <c r="Z874" s="6">
        <f ca="1">('TUSD BE'!$AM$16+'TUSD BF'!$AM$16+'TUSD CVA'!$AM$16)*1</f>
        <v>1605.9916314233351</v>
      </c>
      <c r="AA874" s="6">
        <f>('TE BE'!$AA$7+'TE BF'!$AA$7+'TE CVA'!$AA$7)*1</f>
        <v>454.3285679284046</v>
      </c>
      <c r="AB874" s="6">
        <f>$K$874*$V$874</f>
        <v>0</v>
      </c>
      <c r="AC874" s="6">
        <f>$M$874*$W$874</f>
        <v>164148.58473999999</v>
      </c>
      <c r="AD874" s="6">
        <f>$O$874*$X$874</f>
        <v>44535.967680000002</v>
      </c>
      <c r="AE874" s="6">
        <f>$K$874*$Y$874</f>
        <v>0</v>
      </c>
      <c r="AF874" s="6">
        <f ca="1">$M$874*$Z$874</f>
        <v>183735.07858461808</v>
      </c>
      <c r="AG874" s="6">
        <f>$O$874*$AA$874</f>
        <v>51977.914142417059</v>
      </c>
    </row>
    <row r="875" spans="1:33" ht="11.25" customHeight="1" x14ac:dyDescent="0.25">
      <c r="A875" s="4" t="s">
        <v>29</v>
      </c>
      <c r="B875" s="4" t="s">
        <v>35</v>
      </c>
      <c r="C875" s="4" t="s">
        <v>36</v>
      </c>
      <c r="D875" s="4" t="s">
        <v>45</v>
      </c>
      <c r="E875" s="4" t="s">
        <v>25</v>
      </c>
      <c r="F875" s="4" t="s">
        <v>25</v>
      </c>
      <c r="G875" s="4" t="s">
        <v>25</v>
      </c>
      <c r="H875" s="4" t="s">
        <v>37</v>
      </c>
      <c r="I875" s="5">
        <v>44348</v>
      </c>
      <c r="J875" s="6">
        <v>0</v>
      </c>
      <c r="K875" s="6">
        <v>0</v>
      </c>
      <c r="L875" s="6">
        <v>-2.8380000000000001</v>
      </c>
      <c r="M875" s="6">
        <v>-2.8380000000000001</v>
      </c>
      <c r="N875" s="6">
        <v>-2.8380000000000001</v>
      </c>
      <c r="O875" s="6">
        <v>-2.8380000000000001</v>
      </c>
      <c r="P875" s="6">
        <v>0</v>
      </c>
      <c r="Q875" s="4" t="s">
        <v>26</v>
      </c>
      <c r="R875" s="4">
        <v>0</v>
      </c>
      <c r="S875" s="6">
        <v>0</v>
      </c>
      <c r="T875" s="6">
        <v>24</v>
      </c>
      <c r="U875" s="6">
        <v>66</v>
      </c>
      <c r="V875" s="6">
        <f>IF(ISERROR(VLOOKUP($S$875,'TAR FIN'!$A$1:$O$95,15,0)),0,VLOOKUP($S$875,'TAR FIN'!$A$1:$O$95,15,0))</f>
        <v>0</v>
      </c>
      <c r="W875" s="6">
        <f>IF(ISERROR(VLOOKUP($T$875,'TAR FIN'!$A$1:$O$95,15,0)),0,VLOOKUP($T$875,'TAR FIN'!$A$1:$O$95,15,0))</f>
        <v>1434.79</v>
      </c>
      <c r="X875" s="6">
        <f>IF(ISERROR(VLOOKUP($U$875,'TAR FIN'!$A$1:$O$95,15,0)),0,VLOOKUP($U$875,'TAR FIN'!$A$1:$O$95,15,0))</f>
        <v>389.28</v>
      </c>
      <c r="Y875" s="6"/>
      <c r="Z875" s="6">
        <f ca="1">('TUSD BE'!$AM$16+'TUSD BF'!$AM$16+'TUSD CVA'!$AM$16)*1</f>
        <v>1605.9916314233351</v>
      </c>
      <c r="AA875" s="6">
        <f>('TE BE'!$AA$7+'TE BF'!$AA$7+'TE CVA'!$AA$7)*1</f>
        <v>454.3285679284046</v>
      </c>
      <c r="AB875" s="6">
        <f>$K$875*$V$875</f>
        <v>0</v>
      </c>
      <c r="AC875" s="6">
        <f>$M$875*$W$875</f>
        <v>-4071.9340200000001</v>
      </c>
      <c r="AD875" s="6">
        <f>$O$875*$X$875</f>
        <v>-1104.77664</v>
      </c>
      <c r="AE875" s="6">
        <f>$K$875*$Y$875</f>
        <v>0</v>
      </c>
      <c r="AF875" s="6">
        <f ca="1">$M$875*$Z$875</f>
        <v>-4557.8042499794255</v>
      </c>
      <c r="AG875" s="6">
        <f>$O$875*$AA$875</f>
        <v>-1289.3844757808122</v>
      </c>
    </row>
    <row r="876" spans="1:33" ht="11.25" customHeight="1" x14ac:dyDescent="0.25">
      <c r="A876" s="4" t="s">
        <v>30</v>
      </c>
      <c r="B876" s="4" t="s">
        <v>35</v>
      </c>
      <c r="C876" s="4" t="s">
        <v>36</v>
      </c>
      <c r="D876" s="4" t="s">
        <v>45</v>
      </c>
      <c r="E876" s="4" t="s">
        <v>25</v>
      </c>
      <c r="F876" s="4" t="s">
        <v>25</v>
      </c>
      <c r="G876" s="4" t="s">
        <v>25</v>
      </c>
      <c r="H876" s="4" t="s">
        <v>37</v>
      </c>
      <c r="I876" s="5">
        <v>44348</v>
      </c>
      <c r="J876" s="6">
        <v>0</v>
      </c>
      <c r="K876" s="6">
        <v>0</v>
      </c>
      <c r="L876" s="6">
        <v>80.149000000000001</v>
      </c>
      <c r="M876" s="6">
        <v>80.149000000000001</v>
      </c>
      <c r="N876" s="6">
        <v>80.149000000000001</v>
      </c>
      <c r="O876" s="6">
        <v>80.149000000000001</v>
      </c>
      <c r="P876" s="6">
        <v>0</v>
      </c>
      <c r="Q876" s="4" t="s">
        <v>26</v>
      </c>
      <c r="R876" s="4">
        <v>0</v>
      </c>
      <c r="S876" s="6">
        <v>0</v>
      </c>
      <c r="T876" s="6">
        <v>24</v>
      </c>
      <c r="U876" s="6">
        <v>66</v>
      </c>
      <c r="V876" s="6">
        <f>IF(ISERROR(VLOOKUP($S$876,'TAR FIN'!$A$1:$O$95,15,0)),0,VLOOKUP($S$876,'TAR FIN'!$A$1:$O$95,15,0))</f>
        <v>0</v>
      </c>
      <c r="W876" s="6">
        <f>IF(ISERROR(VLOOKUP($T$876,'TAR FIN'!$A$1:$O$95,15,0)),0,VLOOKUP($T$876,'TAR FIN'!$A$1:$O$95,15,0))</f>
        <v>1434.79</v>
      </c>
      <c r="X876" s="6">
        <f>IF(ISERROR(VLOOKUP($U$876,'TAR FIN'!$A$1:$O$95,15,0)),0,VLOOKUP($U$876,'TAR FIN'!$A$1:$O$95,15,0))</f>
        <v>389.28</v>
      </c>
      <c r="Y876" s="6"/>
      <c r="Z876" s="6">
        <f ca="1">('TUSD BE'!$AM$16+'TUSD BF'!$AM$16+'TUSD CVA'!$AM$16)*1</f>
        <v>1605.9916314233351</v>
      </c>
      <c r="AA876" s="6">
        <f>('TE BE'!$AA$7+'TE BF'!$AA$7+'TE CVA'!$AA$7)*1</f>
        <v>454.3285679284046</v>
      </c>
      <c r="AB876" s="6">
        <f>$K$876*$V$876</f>
        <v>0</v>
      </c>
      <c r="AC876" s="6">
        <f>$M$876*$W$876</f>
        <v>114996.98371</v>
      </c>
      <c r="AD876" s="6">
        <f>$O$876*$X$876</f>
        <v>31200.402719999998</v>
      </c>
      <c r="AE876" s="6">
        <f>$K$876*$Y$876</f>
        <v>0</v>
      </c>
      <c r="AF876" s="6">
        <f ca="1">$M$876*$Z$876</f>
        <v>128718.62326694888</v>
      </c>
      <c r="AG876" s="6">
        <f>$O$876*$AA$876</f>
        <v>36413.980390893703</v>
      </c>
    </row>
    <row r="877" spans="1:33" ht="11.25" customHeight="1" x14ac:dyDescent="0.25">
      <c r="A877" s="4" t="s">
        <v>21</v>
      </c>
      <c r="B877" s="4" t="s">
        <v>35</v>
      </c>
      <c r="C877" s="4" t="s">
        <v>36</v>
      </c>
      <c r="D877" s="4" t="s">
        <v>45</v>
      </c>
      <c r="E877" s="4" t="s">
        <v>25</v>
      </c>
      <c r="F877" s="4" t="s">
        <v>25</v>
      </c>
      <c r="G877" s="4" t="s">
        <v>25</v>
      </c>
      <c r="H877" s="4" t="s">
        <v>37</v>
      </c>
      <c r="I877" s="5">
        <v>44348</v>
      </c>
      <c r="J877" s="6">
        <v>0</v>
      </c>
      <c r="K877" s="6">
        <v>0</v>
      </c>
      <c r="L877" s="6">
        <v>2.7559999999999998</v>
      </c>
      <c r="M877" s="6">
        <v>2.7559999999999998</v>
      </c>
      <c r="N877" s="6">
        <v>0</v>
      </c>
      <c r="O877" s="6">
        <v>0</v>
      </c>
      <c r="P877" s="6">
        <v>0</v>
      </c>
      <c r="Q877" s="4" t="s">
        <v>60</v>
      </c>
      <c r="R877" s="4">
        <v>0</v>
      </c>
      <c r="S877" s="6">
        <v>0</v>
      </c>
      <c r="T877" s="6">
        <v>24</v>
      </c>
      <c r="U877" s="6">
        <v>0</v>
      </c>
      <c r="V877" s="6">
        <f>IF(ISERROR(VLOOKUP($S$877,'TAR FIN'!$A$1:$O$95,15,0)),0,VLOOKUP($S$877,'TAR FIN'!$A$1:$O$95,15,0))</f>
        <v>0</v>
      </c>
      <c r="W877" s="6">
        <f>IF(ISERROR(VLOOKUP($T$877,'TAR FIN'!$A$1:$O$95,15,0)),0,VLOOKUP($T$877,'TAR FIN'!$A$1:$O$95,15,0))</f>
        <v>1434.79</v>
      </c>
      <c r="X877" s="6">
        <f>IF(ISERROR(VLOOKUP($U$877,'TAR FIN'!$A$1:$O$95,15,0)),0,VLOOKUP($U$877,'TAR FIN'!$A$1:$O$95,15,0))</f>
        <v>0</v>
      </c>
      <c r="Y877" s="6"/>
      <c r="Z877" s="6">
        <f ca="1">('TUSD BE'!$AM$16+'TUSD BF'!$AM$16+'TUSD CVA'!$AM$16)*1</f>
        <v>1605.9916314233351</v>
      </c>
      <c r="AA877" s="6"/>
      <c r="AB877" s="6">
        <f>$K$877*$V$877</f>
        <v>0</v>
      </c>
      <c r="AC877" s="6">
        <f>$M$877*$W$877</f>
        <v>3954.2812399999998</v>
      </c>
      <c r="AD877" s="6">
        <f>$O$877*$X$877</f>
        <v>0</v>
      </c>
      <c r="AE877" s="6">
        <f>$K$877*$Y$877</f>
        <v>0</v>
      </c>
      <c r="AF877" s="6">
        <f ca="1">$M$877*$Z$877</f>
        <v>4426.1129362027114</v>
      </c>
      <c r="AG877" s="6">
        <f>$O$877*$AA$877</f>
        <v>0</v>
      </c>
    </row>
    <row r="878" spans="1:33" ht="11.25" customHeight="1" x14ac:dyDescent="0.25">
      <c r="A878" s="4" t="s">
        <v>21</v>
      </c>
      <c r="B878" s="4" t="s">
        <v>35</v>
      </c>
      <c r="C878" s="4" t="s">
        <v>36</v>
      </c>
      <c r="D878" s="4" t="s">
        <v>45</v>
      </c>
      <c r="E878" s="4" t="s">
        <v>25</v>
      </c>
      <c r="F878" s="4" t="s">
        <v>25</v>
      </c>
      <c r="G878" s="4" t="s">
        <v>25</v>
      </c>
      <c r="H878" s="4" t="s">
        <v>37</v>
      </c>
      <c r="I878" s="5">
        <v>44378</v>
      </c>
      <c r="J878" s="6">
        <v>0</v>
      </c>
      <c r="K878" s="6">
        <v>0</v>
      </c>
      <c r="L878" s="6">
        <v>1673.9010000000001</v>
      </c>
      <c r="M878" s="6">
        <v>1673.9010000000001</v>
      </c>
      <c r="N878" s="6">
        <v>1673.9010000000001</v>
      </c>
      <c r="O878" s="6">
        <v>1673.9010000000001</v>
      </c>
      <c r="P878" s="6">
        <v>0</v>
      </c>
      <c r="Q878" s="4" t="s">
        <v>26</v>
      </c>
      <c r="R878" s="4">
        <v>0</v>
      </c>
      <c r="S878" s="6">
        <v>0</v>
      </c>
      <c r="T878" s="6">
        <v>24</v>
      </c>
      <c r="U878" s="6">
        <v>66</v>
      </c>
      <c r="V878" s="6">
        <f>IF(ISERROR(VLOOKUP($S$878,'TAR FIN'!$A$1:$O$95,15,0)),0,VLOOKUP($S$878,'TAR FIN'!$A$1:$O$95,15,0))</f>
        <v>0</v>
      </c>
      <c r="W878" s="6">
        <f>IF(ISERROR(VLOOKUP($T$878,'TAR FIN'!$A$1:$O$95,15,0)),0,VLOOKUP($T$878,'TAR FIN'!$A$1:$O$95,15,0))</f>
        <v>1434.79</v>
      </c>
      <c r="X878" s="6">
        <f>IF(ISERROR(VLOOKUP($U$878,'TAR FIN'!$A$1:$O$95,15,0)),0,VLOOKUP($U$878,'TAR FIN'!$A$1:$O$95,15,0))</f>
        <v>389.28</v>
      </c>
      <c r="Y878" s="6"/>
      <c r="Z878" s="6">
        <f ca="1">('TUSD BE'!$AM$16+'TUSD BF'!$AM$16+'TUSD CVA'!$AM$16)*1</f>
        <v>1605.9916314233351</v>
      </c>
      <c r="AA878" s="6">
        <f>('TE BE'!$AA$7+'TE BF'!$AA$7+'TE CVA'!$AA$7)*1</f>
        <v>454.3285679284046</v>
      </c>
      <c r="AB878" s="6">
        <f>$K$878*$V$878</f>
        <v>0</v>
      </c>
      <c r="AC878" s="6">
        <f>$M$878*$W$878</f>
        <v>2401696.41579</v>
      </c>
      <c r="AD878" s="6">
        <f>$O$878*$X$878</f>
        <v>651616.18128000002</v>
      </c>
      <c r="AE878" s="6">
        <f>$K$878*$Y$878</f>
        <v>0</v>
      </c>
      <c r="AF878" s="6">
        <f ca="1">$M$878*$Z$878</f>
        <v>2688270.9978311523</v>
      </c>
      <c r="AG878" s="6">
        <f>$O$878*$AA$878</f>
        <v>760501.04418392444</v>
      </c>
    </row>
    <row r="879" spans="1:33" ht="11.25" customHeight="1" x14ac:dyDescent="0.25">
      <c r="A879" s="4" t="s">
        <v>27</v>
      </c>
      <c r="B879" s="4" t="s">
        <v>35</v>
      </c>
      <c r="C879" s="4" t="s">
        <v>36</v>
      </c>
      <c r="D879" s="4" t="s">
        <v>45</v>
      </c>
      <c r="E879" s="4" t="s">
        <v>25</v>
      </c>
      <c r="F879" s="4" t="s">
        <v>25</v>
      </c>
      <c r="G879" s="4" t="s">
        <v>25</v>
      </c>
      <c r="H879" s="4" t="s">
        <v>37</v>
      </c>
      <c r="I879" s="5">
        <v>44378</v>
      </c>
      <c r="J879" s="6">
        <v>0</v>
      </c>
      <c r="K879" s="6">
        <v>0</v>
      </c>
      <c r="L879" s="6">
        <v>-6.1520000000000001</v>
      </c>
      <c r="M879" s="6">
        <v>-6.1520000000000001</v>
      </c>
      <c r="N879" s="6">
        <v>-6.1520000000000001</v>
      </c>
      <c r="O879" s="6">
        <v>-6.1520000000000001</v>
      </c>
      <c r="P879" s="6">
        <v>0</v>
      </c>
      <c r="Q879" s="4" t="s">
        <v>26</v>
      </c>
      <c r="R879" s="4">
        <v>0</v>
      </c>
      <c r="S879" s="6">
        <v>0</v>
      </c>
      <c r="T879" s="6">
        <v>24</v>
      </c>
      <c r="U879" s="6">
        <v>66</v>
      </c>
      <c r="V879" s="6">
        <f>IF(ISERROR(VLOOKUP($S$879,'TAR FIN'!$A$1:$O$95,15,0)),0,VLOOKUP($S$879,'TAR FIN'!$A$1:$O$95,15,0))</f>
        <v>0</v>
      </c>
      <c r="W879" s="6">
        <f>IF(ISERROR(VLOOKUP($T$879,'TAR FIN'!$A$1:$O$95,15,0)),0,VLOOKUP($T$879,'TAR FIN'!$A$1:$O$95,15,0))</f>
        <v>1434.79</v>
      </c>
      <c r="X879" s="6">
        <f>IF(ISERROR(VLOOKUP($U$879,'TAR FIN'!$A$1:$O$95,15,0)),0,VLOOKUP($U$879,'TAR FIN'!$A$1:$O$95,15,0))</f>
        <v>389.28</v>
      </c>
      <c r="Y879" s="6"/>
      <c r="Z879" s="6">
        <f ca="1">('TUSD BE'!$AM$16+'TUSD BF'!$AM$16+'TUSD CVA'!$AM$16)*1</f>
        <v>1605.9916314233351</v>
      </c>
      <c r="AA879" s="6">
        <f>('TE BE'!$AA$7+'TE BF'!$AA$7+'TE CVA'!$AA$7)*1</f>
        <v>454.3285679284046</v>
      </c>
      <c r="AB879" s="6">
        <f>$K$879*$V$879</f>
        <v>0</v>
      </c>
      <c r="AC879" s="6">
        <f>$M$879*$W$879</f>
        <v>-8826.8280799999993</v>
      </c>
      <c r="AD879" s="6">
        <f>$O$879*$X$879</f>
        <v>-2394.8505599999999</v>
      </c>
      <c r="AE879" s="6">
        <f>$K$879*$Y$879</f>
        <v>0</v>
      </c>
      <c r="AF879" s="6">
        <f ca="1">$M$879*$Z$879</f>
        <v>-9880.0605165163579</v>
      </c>
      <c r="AG879" s="6">
        <f>$O$879*$AA$879</f>
        <v>-2795.0293498955452</v>
      </c>
    </row>
    <row r="880" spans="1:33" ht="11.25" customHeight="1" x14ac:dyDescent="0.25">
      <c r="A880" s="4" t="s">
        <v>28</v>
      </c>
      <c r="B880" s="4" t="s">
        <v>35</v>
      </c>
      <c r="C880" s="4" t="s">
        <v>36</v>
      </c>
      <c r="D880" s="4" t="s">
        <v>45</v>
      </c>
      <c r="E880" s="4" t="s">
        <v>25</v>
      </c>
      <c r="F880" s="4" t="s">
        <v>25</v>
      </c>
      <c r="G880" s="4" t="s">
        <v>25</v>
      </c>
      <c r="H880" s="4" t="s">
        <v>37</v>
      </c>
      <c r="I880" s="5">
        <v>44378</v>
      </c>
      <c r="J880" s="6">
        <v>0</v>
      </c>
      <c r="K880" s="6">
        <v>0</v>
      </c>
      <c r="L880" s="6">
        <v>133.15299999999999</v>
      </c>
      <c r="M880" s="6">
        <v>133.15299999999999</v>
      </c>
      <c r="N880" s="6">
        <v>133.15299999999999</v>
      </c>
      <c r="O880" s="6">
        <v>133.15299999999999</v>
      </c>
      <c r="P880" s="6">
        <v>0</v>
      </c>
      <c r="Q880" s="4" t="s">
        <v>26</v>
      </c>
      <c r="R880" s="4">
        <v>0</v>
      </c>
      <c r="S880" s="6">
        <v>0</v>
      </c>
      <c r="T880" s="6">
        <v>24</v>
      </c>
      <c r="U880" s="6">
        <v>66</v>
      </c>
      <c r="V880" s="6">
        <f>IF(ISERROR(VLOOKUP($S$880,'TAR FIN'!$A$1:$O$95,15,0)),0,VLOOKUP($S$880,'TAR FIN'!$A$1:$O$95,15,0))</f>
        <v>0</v>
      </c>
      <c r="W880" s="6">
        <f>IF(ISERROR(VLOOKUP($T$880,'TAR FIN'!$A$1:$O$95,15,0)),0,VLOOKUP($T$880,'TAR FIN'!$A$1:$O$95,15,0))</f>
        <v>1434.79</v>
      </c>
      <c r="X880" s="6">
        <f>IF(ISERROR(VLOOKUP($U$880,'TAR FIN'!$A$1:$O$95,15,0)),0,VLOOKUP($U$880,'TAR FIN'!$A$1:$O$95,15,0))</f>
        <v>389.28</v>
      </c>
      <c r="Y880" s="6"/>
      <c r="Z880" s="6">
        <f ca="1">('TUSD BE'!$AM$16+'TUSD BF'!$AM$16+'TUSD CVA'!$AM$16)*1</f>
        <v>1605.9916314233351</v>
      </c>
      <c r="AA880" s="6">
        <f>('TE BE'!$AA$7+'TE BF'!$AA$7+'TE CVA'!$AA$7)*1</f>
        <v>454.3285679284046</v>
      </c>
      <c r="AB880" s="6">
        <f>$K$880*$V$880</f>
        <v>0</v>
      </c>
      <c r="AC880" s="6">
        <f>$M$880*$W$880</f>
        <v>191046.59286999999</v>
      </c>
      <c r="AD880" s="6">
        <f>$O$880*$X$880</f>
        <v>51833.799839999992</v>
      </c>
      <c r="AE880" s="6">
        <f>$K$880*$Y$880</f>
        <v>0</v>
      </c>
      <c r="AF880" s="6">
        <f ca="1">$M$880*$Z$880</f>
        <v>213842.60369891132</v>
      </c>
      <c r="AG880" s="6">
        <f>$O$880*$AA$880</f>
        <v>60495.211805370855</v>
      </c>
    </row>
    <row r="881" spans="1:33" ht="11.25" customHeight="1" x14ac:dyDescent="0.25">
      <c r="A881" s="4" t="s">
        <v>29</v>
      </c>
      <c r="B881" s="4" t="s">
        <v>35</v>
      </c>
      <c r="C881" s="4" t="s">
        <v>36</v>
      </c>
      <c r="D881" s="4" t="s">
        <v>45</v>
      </c>
      <c r="E881" s="4" t="s">
        <v>25</v>
      </c>
      <c r="F881" s="4" t="s">
        <v>25</v>
      </c>
      <c r="G881" s="4" t="s">
        <v>25</v>
      </c>
      <c r="H881" s="4" t="s">
        <v>37</v>
      </c>
      <c r="I881" s="5">
        <v>44378</v>
      </c>
      <c r="J881" s="6">
        <v>0</v>
      </c>
      <c r="K881" s="6">
        <v>0</v>
      </c>
      <c r="L881" s="6">
        <v>6.3360000000000003</v>
      </c>
      <c r="M881" s="6">
        <v>6.3360000000000003</v>
      </c>
      <c r="N881" s="6">
        <v>6.3360000000000003</v>
      </c>
      <c r="O881" s="6">
        <v>6.3360000000000003</v>
      </c>
      <c r="P881" s="6">
        <v>0</v>
      </c>
      <c r="Q881" s="4" t="s">
        <v>26</v>
      </c>
      <c r="R881" s="4">
        <v>0</v>
      </c>
      <c r="S881" s="6">
        <v>0</v>
      </c>
      <c r="T881" s="6">
        <v>24</v>
      </c>
      <c r="U881" s="6">
        <v>66</v>
      </c>
      <c r="V881" s="6">
        <f>IF(ISERROR(VLOOKUP($S$881,'TAR FIN'!$A$1:$O$95,15,0)),0,VLOOKUP($S$881,'TAR FIN'!$A$1:$O$95,15,0))</f>
        <v>0</v>
      </c>
      <c r="W881" s="6">
        <f>IF(ISERROR(VLOOKUP($T$881,'TAR FIN'!$A$1:$O$95,15,0)),0,VLOOKUP($T$881,'TAR FIN'!$A$1:$O$95,15,0))</f>
        <v>1434.79</v>
      </c>
      <c r="X881" s="6">
        <f>IF(ISERROR(VLOOKUP($U$881,'TAR FIN'!$A$1:$O$95,15,0)),0,VLOOKUP($U$881,'TAR FIN'!$A$1:$O$95,15,0))</f>
        <v>389.28</v>
      </c>
      <c r="Y881" s="6"/>
      <c r="Z881" s="6">
        <f ca="1">('TUSD BE'!$AM$16+'TUSD BF'!$AM$16+'TUSD CVA'!$AM$16)*1</f>
        <v>1605.9916314233351</v>
      </c>
      <c r="AA881" s="6">
        <f>('TE BE'!$AA$7+'TE BF'!$AA$7+'TE CVA'!$AA$7)*1</f>
        <v>454.3285679284046</v>
      </c>
      <c r="AB881" s="6">
        <f>$K$881*$V$881</f>
        <v>0</v>
      </c>
      <c r="AC881" s="6">
        <f>$M$881*$W$881</f>
        <v>9090.8294399999995</v>
      </c>
      <c r="AD881" s="6">
        <f>$O$881*$X$881</f>
        <v>2466.4780799999999</v>
      </c>
      <c r="AE881" s="6">
        <f>$K$881*$Y$881</f>
        <v>0</v>
      </c>
      <c r="AF881" s="6">
        <f ca="1">$M$881*$Z$881</f>
        <v>10175.562976698251</v>
      </c>
      <c r="AG881" s="6">
        <f>$O$881*$AA$881</f>
        <v>2878.6258063943715</v>
      </c>
    </row>
    <row r="882" spans="1:33" ht="11.25" customHeight="1" x14ac:dyDescent="0.25">
      <c r="A882" s="4" t="s">
        <v>30</v>
      </c>
      <c r="B882" s="4" t="s">
        <v>35</v>
      </c>
      <c r="C882" s="4" t="s">
        <v>36</v>
      </c>
      <c r="D882" s="4" t="s">
        <v>45</v>
      </c>
      <c r="E882" s="4" t="s">
        <v>25</v>
      </c>
      <c r="F882" s="4" t="s">
        <v>25</v>
      </c>
      <c r="G882" s="4" t="s">
        <v>25</v>
      </c>
      <c r="H882" s="4" t="s">
        <v>37</v>
      </c>
      <c r="I882" s="5">
        <v>44378</v>
      </c>
      <c r="J882" s="6">
        <v>0</v>
      </c>
      <c r="K882" s="6">
        <v>0</v>
      </c>
      <c r="L882" s="6">
        <v>88.462000000000003</v>
      </c>
      <c r="M882" s="6">
        <v>88.462000000000003</v>
      </c>
      <c r="N882" s="6">
        <v>88.462000000000003</v>
      </c>
      <c r="O882" s="6">
        <v>88.462000000000003</v>
      </c>
      <c r="P882" s="6">
        <v>0</v>
      </c>
      <c r="Q882" s="4" t="s">
        <v>26</v>
      </c>
      <c r="R882" s="4">
        <v>0</v>
      </c>
      <c r="S882" s="6">
        <v>0</v>
      </c>
      <c r="T882" s="6">
        <v>24</v>
      </c>
      <c r="U882" s="6">
        <v>66</v>
      </c>
      <c r="V882" s="6">
        <f>IF(ISERROR(VLOOKUP($S$882,'TAR FIN'!$A$1:$O$95,15,0)),0,VLOOKUP($S$882,'TAR FIN'!$A$1:$O$95,15,0))</f>
        <v>0</v>
      </c>
      <c r="W882" s="6">
        <f>IF(ISERROR(VLOOKUP($T$882,'TAR FIN'!$A$1:$O$95,15,0)),0,VLOOKUP($T$882,'TAR FIN'!$A$1:$O$95,15,0))</f>
        <v>1434.79</v>
      </c>
      <c r="X882" s="6">
        <f>IF(ISERROR(VLOOKUP($U$882,'TAR FIN'!$A$1:$O$95,15,0)),0,VLOOKUP($U$882,'TAR FIN'!$A$1:$O$95,15,0))</f>
        <v>389.28</v>
      </c>
      <c r="Y882" s="6"/>
      <c r="Z882" s="6">
        <f ca="1">('TUSD BE'!$AM$16+'TUSD BF'!$AM$16+'TUSD CVA'!$AM$16)*1</f>
        <v>1605.9916314233351</v>
      </c>
      <c r="AA882" s="6">
        <f>('TE BE'!$AA$7+'TE BF'!$AA$7+'TE CVA'!$AA$7)*1</f>
        <v>454.3285679284046</v>
      </c>
      <c r="AB882" s="6">
        <f>$K$882*$V$882</f>
        <v>0</v>
      </c>
      <c r="AC882" s="6">
        <f>$M$882*$W$882</f>
        <v>126924.39298</v>
      </c>
      <c r="AD882" s="6">
        <f>$O$882*$X$882</f>
        <v>34436.487359999999</v>
      </c>
      <c r="AE882" s="6">
        <f>$K$882*$Y$882</f>
        <v>0</v>
      </c>
      <c r="AF882" s="6">
        <f ca="1">$M$882*$Z$882</f>
        <v>142069.23169897107</v>
      </c>
      <c r="AG882" s="6">
        <f>$O$882*$AA$882</f>
        <v>40190.813776082527</v>
      </c>
    </row>
    <row r="883" spans="1:33" ht="11.25" customHeight="1" x14ac:dyDescent="0.25">
      <c r="A883" s="4" t="s">
        <v>30</v>
      </c>
      <c r="B883" s="4" t="s">
        <v>35</v>
      </c>
      <c r="C883" s="4" t="s">
        <v>36</v>
      </c>
      <c r="D883" s="4" t="s">
        <v>45</v>
      </c>
      <c r="E883" s="4" t="s">
        <v>25</v>
      </c>
      <c r="F883" s="4" t="s">
        <v>25</v>
      </c>
      <c r="G883" s="4" t="s">
        <v>25</v>
      </c>
      <c r="H883" s="4" t="s">
        <v>37</v>
      </c>
      <c r="I883" s="5">
        <v>44378</v>
      </c>
      <c r="J883" s="6">
        <v>0</v>
      </c>
      <c r="K883" s="6">
        <v>0</v>
      </c>
      <c r="L883" s="6">
        <v>-1.02</v>
      </c>
      <c r="M883" s="6">
        <v>-1.02</v>
      </c>
      <c r="N883" s="6">
        <v>-1.02</v>
      </c>
      <c r="O883" s="6">
        <v>-1.02</v>
      </c>
      <c r="P883" s="6">
        <v>0</v>
      </c>
      <c r="Q883" s="4" t="s">
        <v>26</v>
      </c>
      <c r="R883" s="4">
        <v>0</v>
      </c>
      <c r="S883" s="6">
        <v>0</v>
      </c>
      <c r="T883" s="6">
        <v>24</v>
      </c>
      <c r="U883" s="6">
        <v>66</v>
      </c>
      <c r="V883" s="6">
        <f>IF(ISERROR(VLOOKUP($S$883,'TAR FIN'!$A$1:$O$95,15,0)),0,VLOOKUP($S$883,'TAR FIN'!$A$1:$O$95,15,0))</f>
        <v>0</v>
      </c>
      <c r="W883" s="6">
        <f>IF(ISERROR(VLOOKUP($T$883,'TAR FIN'!$A$1:$O$95,15,0)),0,VLOOKUP($T$883,'TAR FIN'!$A$1:$O$95,15,0))</f>
        <v>1434.79</v>
      </c>
      <c r="X883" s="6">
        <f>IF(ISERROR(VLOOKUP($U$883,'TAR FIN'!$A$1:$O$95,15,0)),0,VLOOKUP($U$883,'TAR FIN'!$A$1:$O$95,15,0))</f>
        <v>389.28</v>
      </c>
      <c r="Y883" s="6"/>
      <c r="Z883" s="6">
        <f ca="1">('TUSD BE'!$AM$16+'TUSD BF'!$AM$16+'TUSD CVA'!$AM$16)*1</f>
        <v>1605.9916314233351</v>
      </c>
      <c r="AA883" s="6">
        <f>('TE BE'!$AA$7+'TE BF'!$AA$7+'TE CVA'!$AA$7)*1</f>
        <v>454.3285679284046</v>
      </c>
      <c r="AB883" s="6">
        <f>$K$883*$V$883</f>
        <v>0</v>
      </c>
      <c r="AC883" s="6">
        <f>$M$883*$W$883</f>
        <v>-1463.4857999999999</v>
      </c>
      <c r="AD883" s="6">
        <f>$O$883*$X$883</f>
        <v>-397.06559999999996</v>
      </c>
      <c r="AE883" s="6">
        <f>$K$883*$Y$883</f>
        <v>0</v>
      </c>
      <c r="AF883" s="6">
        <f ca="1">$M$883*$Z$883</f>
        <v>-1638.1114640518019</v>
      </c>
      <c r="AG883" s="6">
        <f>$O$883*$AA$883</f>
        <v>-463.4151392869727</v>
      </c>
    </row>
    <row r="884" spans="1:33" ht="11.25" customHeight="1" x14ac:dyDescent="0.25">
      <c r="A884" s="4" t="s">
        <v>21</v>
      </c>
      <c r="B884" s="4" t="s">
        <v>35</v>
      </c>
      <c r="C884" s="4" t="s">
        <v>36</v>
      </c>
      <c r="D884" s="4" t="s">
        <v>45</v>
      </c>
      <c r="E884" s="4" t="s">
        <v>25</v>
      </c>
      <c r="F884" s="4" t="s">
        <v>25</v>
      </c>
      <c r="G884" s="4" t="s">
        <v>25</v>
      </c>
      <c r="H884" s="4" t="s">
        <v>37</v>
      </c>
      <c r="I884" s="5">
        <v>44378</v>
      </c>
      <c r="J884" s="6">
        <v>0</v>
      </c>
      <c r="K884" s="6">
        <v>0</v>
      </c>
      <c r="L884" s="6">
        <v>2.746</v>
      </c>
      <c r="M884" s="6">
        <v>2.746</v>
      </c>
      <c r="N884" s="6">
        <v>0</v>
      </c>
      <c r="O884" s="6">
        <v>0</v>
      </c>
      <c r="P884" s="6">
        <v>0</v>
      </c>
      <c r="Q884" s="4" t="s">
        <v>60</v>
      </c>
      <c r="R884" s="4">
        <v>0</v>
      </c>
      <c r="S884" s="6">
        <v>0</v>
      </c>
      <c r="T884" s="6">
        <v>24</v>
      </c>
      <c r="U884" s="6">
        <v>0</v>
      </c>
      <c r="V884" s="6">
        <f>IF(ISERROR(VLOOKUP($S$884,'TAR FIN'!$A$1:$O$95,15,0)),0,VLOOKUP($S$884,'TAR FIN'!$A$1:$O$95,15,0))</f>
        <v>0</v>
      </c>
      <c r="W884" s="6">
        <f>IF(ISERROR(VLOOKUP($T$884,'TAR FIN'!$A$1:$O$95,15,0)),0,VLOOKUP($T$884,'TAR FIN'!$A$1:$O$95,15,0))</f>
        <v>1434.79</v>
      </c>
      <c r="X884" s="6">
        <f>IF(ISERROR(VLOOKUP($U$884,'TAR FIN'!$A$1:$O$95,15,0)),0,VLOOKUP($U$884,'TAR FIN'!$A$1:$O$95,15,0))</f>
        <v>0</v>
      </c>
      <c r="Y884" s="6"/>
      <c r="Z884" s="6">
        <f ca="1">('TUSD BE'!$AM$16+'TUSD BF'!$AM$16+'TUSD CVA'!$AM$16)*1</f>
        <v>1605.9916314233351</v>
      </c>
      <c r="AA884" s="6"/>
      <c r="AB884" s="6">
        <f>$K$884*$V$884</f>
        <v>0</v>
      </c>
      <c r="AC884" s="6">
        <f>$M$884*$W$884</f>
        <v>3939.93334</v>
      </c>
      <c r="AD884" s="6">
        <f>$O$884*$X$884</f>
        <v>0</v>
      </c>
      <c r="AE884" s="6">
        <f>$K$884*$Y$884</f>
        <v>0</v>
      </c>
      <c r="AF884" s="6">
        <f ca="1">$M$884*$Z$884</f>
        <v>4410.053019888478</v>
      </c>
      <c r="AG884" s="6">
        <f>$O$884*$AA$884</f>
        <v>0</v>
      </c>
    </row>
    <row r="885" spans="1:33" ht="11.25" customHeight="1" x14ac:dyDescent="0.25">
      <c r="A885" s="4" t="s">
        <v>21</v>
      </c>
      <c r="B885" s="4" t="s">
        <v>35</v>
      </c>
      <c r="C885" s="4" t="s">
        <v>36</v>
      </c>
      <c r="D885" s="4" t="s">
        <v>45</v>
      </c>
      <c r="E885" s="4" t="s">
        <v>25</v>
      </c>
      <c r="F885" s="4" t="s">
        <v>25</v>
      </c>
      <c r="G885" s="4" t="s">
        <v>25</v>
      </c>
      <c r="H885" s="4" t="s">
        <v>37</v>
      </c>
      <c r="I885" s="5">
        <v>44409</v>
      </c>
      <c r="J885" s="6">
        <v>0</v>
      </c>
      <c r="K885" s="6">
        <v>0</v>
      </c>
      <c r="L885" s="6">
        <v>1782.7270000000001</v>
      </c>
      <c r="M885" s="6">
        <v>1782.7270000000001</v>
      </c>
      <c r="N885" s="6">
        <v>1782.7270000000001</v>
      </c>
      <c r="O885" s="6">
        <v>1782.7270000000001</v>
      </c>
      <c r="P885" s="6">
        <v>0</v>
      </c>
      <c r="Q885" s="4" t="s">
        <v>26</v>
      </c>
      <c r="R885" s="4">
        <v>0</v>
      </c>
      <c r="S885" s="6">
        <v>0</v>
      </c>
      <c r="T885" s="6">
        <v>24</v>
      </c>
      <c r="U885" s="6">
        <v>66</v>
      </c>
      <c r="V885" s="6">
        <f>IF(ISERROR(VLOOKUP($S$885,'TAR FIN'!$A$1:$O$95,15,0)),0,VLOOKUP($S$885,'TAR FIN'!$A$1:$O$95,15,0))</f>
        <v>0</v>
      </c>
      <c r="W885" s="6">
        <f>IF(ISERROR(VLOOKUP($T$885,'TAR FIN'!$A$1:$O$95,15,0)),0,VLOOKUP($T$885,'TAR FIN'!$A$1:$O$95,15,0))</f>
        <v>1434.79</v>
      </c>
      <c r="X885" s="6">
        <f>IF(ISERROR(VLOOKUP($U$885,'TAR FIN'!$A$1:$O$95,15,0)),0,VLOOKUP($U$885,'TAR FIN'!$A$1:$O$95,15,0))</f>
        <v>389.28</v>
      </c>
      <c r="Y885" s="6"/>
      <c r="Z885" s="6">
        <f ca="1">('TUSD BE'!$AM$16+'TUSD BF'!$AM$16+'TUSD CVA'!$AM$16)*1</f>
        <v>1605.9916314233351</v>
      </c>
      <c r="AA885" s="6">
        <f>('TE BE'!$AA$7+'TE BF'!$AA$7+'TE CVA'!$AA$7)*1</f>
        <v>454.3285679284046</v>
      </c>
      <c r="AB885" s="6">
        <f>$K$885*$V$885</f>
        <v>0</v>
      </c>
      <c r="AC885" s="6">
        <f>$M$885*$W$885</f>
        <v>2557838.8723300002</v>
      </c>
      <c r="AD885" s="6">
        <f>$O$885*$X$885</f>
        <v>693979.96655999997</v>
      </c>
      <c r="AE885" s="6">
        <f>$K$885*$Y$885</f>
        <v>0</v>
      </c>
      <c r="AF885" s="6">
        <f ca="1">$M$885*$Z$885</f>
        <v>2863044.643112428</v>
      </c>
      <c r="AG885" s="6">
        <f>$O$885*$AA$885</f>
        <v>809943.80491730093</v>
      </c>
    </row>
    <row r="886" spans="1:33" ht="11.25" customHeight="1" x14ac:dyDescent="0.25">
      <c r="A886" s="4" t="s">
        <v>27</v>
      </c>
      <c r="B886" s="4" t="s">
        <v>35</v>
      </c>
      <c r="C886" s="4" t="s">
        <v>36</v>
      </c>
      <c r="D886" s="4" t="s">
        <v>45</v>
      </c>
      <c r="E886" s="4" t="s">
        <v>25</v>
      </c>
      <c r="F886" s="4" t="s">
        <v>25</v>
      </c>
      <c r="G886" s="4" t="s">
        <v>25</v>
      </c>
      <c r="H886" s="4" t="s">
        <v>37</v>
      </c>
      <c r="I886" s="5">
        <v>44409</v>
      </c>
      <c r="J886" s="6">
        <v>0</v>
      </c>
      <c r="K886" s="6">
        <v>0</v>
      </c>
      <c r="L886" s="6">
        <v>2138.2089999999998</v>
      </c>
      <c r="M886" s="6">
        <v>2138.2089999999998</v>
      </c>
      <c r="N886" s="6">
        <v>2138.2089999999998</v>
      </c>
      <c r="O886" s="6">
        <v>2138.2089999999998</v>
      </c>
      <c r="P886" s="6">
        <v>0</v>
      </c>
      <c r="Q886" s="4" t="s">
        <v>26</v>
      </c>
      <c r="R886" s="4">
        <v>0</v>
      </c>
      <c r="S886" s="6">
        <v>0</v>
      </c>
      <c r="T886" s="6">
        <v>24</v>
      </c>
      <c r="U886" s="6">
        <v>66</v>
      </c>
      <c r="V886" s="6">
        <f>IF(ISERROR(VLOOKUP($S$886,'TAR FIN'!$A$1:$O$95,15,0)),0,VLOOKUP($S$886,'TAR FIN'!$A$1:$O$95,15,0))</f>
        <v>0</v>
      </c>
      <c r="W886" s="6">
        <f>IF(ISERROR(VLOOKUP($T$886,'TAR FIN'!$A$1:$O$95,15,0)),0,VLOOKUP($T$886,'TAR FIN'!$A$1:$O$95,15,0))</f>
        <v>1434.79</v>
      </c>
      <c r="X886" s="6">
        <f>IF(ISERROR(VLOOKUP($U$886,'TAR FIN'!$A$1:$O$95,15,0)),0,VLOOKUP($U$886,'TAR FIN'!$A$1:$O$95,15,0))</f>
        <v>389.28</v>
      </c>
      <c r="Y886" s="6"/>
      <c r="Z886" s="6">
        <f ca="1">('TUSD BE'!$AM$16+'TUSD BF'!$AM$16+'TUSD CVA'!$AM$16)*1</f>
        <v>1605.9916314233351</v>
      </c>
      <c r="AA886" s="6">
        <f>('TE BE'!$AA$7+'TE BF'!$AA$7+'TE CVA'!$AA$7)*1</f>
        <v>454.3285679284046</v>
      </c>
      <c r="AB886" s="6">
        <f>$K$886*$V$886</f>
        <v>0</v>
      </c>
      <c r="AC886" s="6">
        <f>$M$886*$W$886</f>
        <v>3067880.8911099997</v>
      </c>
      <c r="AD886" s="6">
        <f>$O$886*$X$886</f>
        <v>832361.99951999984</v>
      </c>
      <c r="AE886" s="6">
        <f>$K$886*$Y$886</f>
        <v>0</v>
      </c>
      <c r="AF886" s="6">
        <f ca="1">$M$886*$Z$886</f>
        <v>3433945.7602340574</v>
      </c>
      <c r="AG886" s="6">
        <f>$O$886*$AA$886</f>
        <v>971449.43290162599</v>
      </c>
    </row>
    <row r="887" spans="1:33" ht="11.25" customHeight="1" x14ac:dyDescent="0.25">
      <c r="A887" s="4" t="s">
        <v>28</v>
      </c>
      <c r="B887" s="4" t="s">
        <v>35</v>
      </c>
      <c r="C887" s="4" t="s">
        <v>36</v>
      </c>
      <c r="D887" s="4" t="s">
        <v>45</v>
      </c>
      <c r="E887" s="4" t="s">
        <v>25</v>
      </c>
      <c r="F887" s="4" t="s">
        <v>25</v>
      </c>
      <c r="G887" s="4" t="s">
        <v>25</v>
      </c>
      <c r="H887" s="4" t="s">
        <v>37</v>
      </c>
      <c r="I887" s="5">
        <v>44409</v>
      </c>
      <c r="J887" s="6">
        <v>0</v>
      </c>
      <c r="K887" s="6">
        <v>0</v>
      </c>
      <c r="L887" s="6">
        <v>141.84800000000001</v>
      </c>
      <c r="M887" s="6">
        <v>141.84800000000001</v>
      </c>
      <c r="N887" s="6">
        <v>141.84800000000001</v>
      </c>
      <c r="O887" s="6">
        <v>141.84800000000001</v>
      </c>
      <c r="P887" s="6">
        <v>0</v>
      </c>
      <c r="Q887" s="4" t="s">
        <v>26</v>
      </c>
      <c r="R887" s="4">
        <v>0</v>
      </c>
      <c r="S887" s="6">
        <v>0</v>
      </c>
      <c r="T887" s="6">
        <v>24</v>
      </c>
      <c r="U887" s="6">
        <v>66</v>
      </c>
      <c r="V887" s="6">
        <f>IF(ISERROR(VLOOKUP($S$887,'TAR FIN'!$A$1:$O$95,15,0)),0,VLOOKUP($S$887,'TAR FIN'!$A$1:$O$95,15,0))</f>
        <v>0</v>
      </c>
      <c r="W887" s="6">
        <f>IF(ISERROR(VLOOKUP($T$887,'TAR FIN'!$A$1:$O$95,15,0)),0,VLOOKUP($T$887,'TAR FIN'!$A$1:$O$95,15,0))</f>
        <v>1434.79</v>
      </c>
      <c r="X887" s="6">
        <f>IF(ISERROR(VLOOKUP($U$887,'TAR FIN'!$A$1:$O$95,15,0)),0,VLOOKUP($U$887,'TAR FIN'!$A$1:$O$95,15,0))</f>
        <v>389.28</v>
      </c>
      <c r="Y887" s="6"/>
      <c r="Z887" s="6">
        <f ca="1">('TUSD BE'!$AM$16+'TUSD BF'!$AM$16+'TUSD CVA'!$AM$16)*1</f>
        <v>1605.9916314233351</v>
      </c>
      <c r="AA887" s="6">
        <f>('TE BE'!$AA$7+'TE BF'!$AA$7+'TE CVA'!$AA$7)*1</f>
        <v>454.3285679284046</v>
      </c>
      <c r="AB887" s="6">
        <f>$K$887*$V$887</f>
        <v>0</v>
      </c>
      <c r="AC887" s="6">
        <f>$M$887*$W$887</f>
        <v>203522.09192000001</v>
      </c>
      <c r="AD887" s="6">
        <f>$O$887*$X$887</f>
        <v>55218.589440000003</v>
      </c>
      <c r="AE887" s="6">
        <f>$K$887*$Y$887</f>
        <v>0</v>
      </c>
      <c r="AF887" s="6">
        <f ca="1">$M$887*$Z$887</f>
        <v>227806.70093413725</v>
      </c>
      <c r="AG887" s="6">
        <f>$O$887*$AA$887</f>
        <v>64445.598703508338</v>
      </c>
    </row>
    <row r="888" spans="1:33" ht="11.25" customHeight="1" x14ac:dyDescent="0.25">
      <c r="A888" s="4" t="s">
        <v>30</v>
      </c>
      <c r="B888" s="4" t="s">
        <v>35</v>
      </c>
      <c r="C888" s="4" t="s">
        <v>36</v>
      </c>
      <c r="D888" s="4" t="s">
        <v>45</v>
      </c>
      <c r="E888" s="4" t="s">
        <v>25</v>
      </c>
      <c r="F888" s="4" t="s">
        <v>25</v>
      </c>
      <c r="G888" s="4" t="s">
        <v>25</v>
      </c>
      <c r="H888" s="4" t="s">
        <v>37</v>
      </c>
      <c r="I888" s="5">
        <v>44409</v>
      </c>
      <c r="J888" s="6">
        <v>0</v>
      </c>
      <c r="K888" s="6">
        <v>0</v>
      </c>
      <c r="L888" s="6">
        <v>99.721000000000004</v>
      </c>
      <c r="M888" s="6">
        <v>99.721000000000004</v>
      </c>
      <c r="N888" s="6">
        <v>99.721000000000004</v>
      </c>
      <c r="O888" s="6">
        <v>99.721000000000004</v>
      </c>
      <c r="P888" s="6">
        <v>0</v>
      </c>
      <c r="Q888" s="4" t="s">
        <v>26</v>
      </c>
      <c r="R888" s="4">
        <v>0</v>
      </c>
      <c r="S888" s="6">
        <v>0</v>
      </c>
      <c r="T888" s="6">
        <v>24</v>
      </c>
      <c r="U888" s="6">
        <v>66</v>
      </c>
      <c r="V888" s="6">
        <f>IF(ISERROR(VLOOKUP($S$888,'TAR FIN'!$A$1:$O$95,15,0)),0,VLOOKUP($S$888,'TAR FIN'!$A$1:$O$95,15,0))</f>
        <v>0</v>
      </c>
      <c r="W888" s="6">
        <f>IF(ISERROR(VLOOKUP($T$888,'TAR FIN'!$A$1:$O$95,15,0)),0,VLOOKUP($T$888,'TAR FIN'!$A$1:$O$95,15,0))</f>
        <v>1434.79</v>
      </c>
      <c r="X888" s="6">
        <f>IF(ISERROR(VLOOKUP($U$888,'TAR FIN'!$A$1:$O$95,15,0)),0,VLOOKUP($U$888,'TAR FIN'!$A$1:$O$95,15,0))</f>
        <v>389.28</v>
      </c>
      <c r="Y888" s="6"/>
      <c r="Z888" s="6">
        <f ca="1">('TUSD BE'!$AM$16+'TUSD BF'!$AM$16+'TUSD CVA'!$AM$16)*1</f>
        <v>1605.9916314233351</v>
      </c>
      <c r="AA888" s="6">
        <f>('TE BE'!$AA$7+'TE BF'!$AA$7+'TE CVA'!$AA$7)*1</f>
        <v>454.3285679284046</v>
      </c>
      <c r="AB888" s="6">
        <f>$K$888*$V$888</f>
        <v>0</v>
      </c>
      <c r="AC888" s="6">
        <f>$M$888*$W$888</f>
        <v>143078.69359000001</v>
      </c>
      <c r="AD888" s="6">
        <f>$O$888*$X$888</f>
        <v>38819.390879999999</v>
      </c>
      <c r="AE888" s="6">
        <f>$K$888*$Y$888</f>
        <v>0</v>
      </c>
      <c r="AF888" s="6">
        <f ca="1">$M$888*$Z$888</f>
        <v>160151.0914771664</v>
      </c>
      <c r="AG888" s="6">
        <f>$O$888*$AA$888</f>
        <v>45306.099122388434</v>
      </c>
    </row>
    <row r="889" spans="1:33" ht="11.25" customHeight="1" x14ac:dyDescent="0.25">
      <c r="A889" s="4" t="s">
        <v>30</v>
      </c>
      <c r="B889" s="4" t="s">
        <v>35</v>
      </c>
      <c r="C889" s="4" t="s">
        <v>36</v>
      </c>
      <c r="D889" s="4" t="s">
        <v>45</v>
      </c>
      <c r="E889" s="4" t="s">
        <v>25</v>
      </c>
      <c r="F889" s="4" t="s">
        <v>25</v>
      </c>
      <c r="G889" s="4" t="s">
        <v>25</v>
      </c>
      <c r="H889" s="4" t="s">
        <v>37</v>
      </c>
      <c r="I889" s="5">
        <v>44409</v>
      </c>
      <c r="J889" s="6">
        <v>0</v>
      </c>
      <c r="K889" s="6">
        <v>0</v>
      </c>
      <c r="L889" s="6">
        <v>-1E-3</v>
      </c>
      <c r="M889" s="6">
        <v>-1E-3</v>
      </c>
      <c r="N889" s="6">
        <v>-1E-3</v>
      </c>
      <c r="O889" s="6">
        <v>-1E-3</v>
      </c>
      <c r="P889" s="6">
        <v>0</v>
      </c>
      <c r="Q889" s="4" t="s">
        <v>26</v>
      </c>
      <c r="R889" s="4">
        <v>0</v>
      </c>
      <c r="S889" s="6">
        <v>0</v>
      </c>
      <c r="T889" s="6">
        <v>24</v>
      </c>
      <c r="U889" s="6">
        <v>66</v>
      </c>
      <c r="V889" s="6">
        <f>IF(ISERROR(VLOOKUP($S$889,'TAR FIN'!$A$1:$O$95,15,0)),0,VLOOKUP($S$889,'TAR FIN'!$A$1:$O$95,15,0))</f>
        <v>0</v>
      </c>
      <c r="W889" s="6">
        <f>IF(ISERROR(VLOOKUP($T$889,'TAR FIN'!$A$1:$O$95,15,0)),0,VLOOKUP($T$889,'TAR FIN'!$A$1:$O$95,15,0))</f>
        <v>1434.79</v>
      </c>
      <c r="X889" s="6">
        <f>IF(ISERROR(VLOOKUP($U$889,'TAR FIN'!$A$1:$O$95,15,0)),0,VLOOKUP($U$889,'TAR FIN'!$A$1:$O$95,15,0))</f>
        <v>389.28</v>
      </c>
      <c r="Y889" s="6"/>
      <c r="Z889" s="6">
        <f ca="1">('TUSD BE'!$AM$16+'TUSD BF'!$AM$16+'TUSD CVA'!$AM$16)*1</f>
        <v>1605.9916314233351</v>
      </c>
      <c r="AA889" s="6">
        <f>('TE BE'!$AA$7+'TE BF'!$AA$7+'TE CVA'!$AA$7)*1</f>
        <v>454.3285679284046</v>
      </c>
      <c r="AB889" s="6">
        <f>$K$889*$V$889</f>
        <v>0</v>
      </c>
      <c r="AC889" s="6">
        <f>$M$889*$W$889</f>
        <v>-1.43479</v>
      </c>
      <c r="AD889" s="6">
        <f>$O$889*$X$889</f>
        <v>-0.38927999999999996</v>
      </c>
      <c r="AE889" s="6">
        <f>$K$889*$Y$889</f>
        <v>0</v>
      </c>
      <c r="AF889" s="6">
        <f ca="1">$M$889*$Z$889</f>
        <v>-1.6059916314233351</v>
      </c>
      <c r="AG889" s="6">
        <f>$O$889*$AA$889</f>
        <v>-0.45432856792840459</v>
      </c>
    </row>
    <row r="890" spans="1:33" ht="11.25" customHeight="1" x14ac:dyDescent="0.25">
      <c r="A890" s="4" t="s">
        <v>21</v>
      </c>
      <c r="B890" s="4" t="s">
        <v>35</v>
      </c>
      <c r="C890" s="4" t="s">
        <v>36</v>
      </c>
      <c r="D890" s="4" t="s">
        <v>45</v>
      </c>
      <c r="E890" s="4" t="s">
        <v>25</v>
      </c>
      <c r="F890" s="4" t="s">
        <v>25</v>
      </c>
      <c r="G890" s="4" t="s">
        <v>25</v>
      </c>
      <c r="H890" s="4" t="s">
        <v>37</v>
      </c>
      <c r="I890" s="5">
        <v>44409</v>
      </c>
      <c r="J890" s="6">
        <v>0</v>
      </c>
      <c r="K890" s="6">
        <v>0</v>
      </c>
      <c r="L890" s="6">
        <v>3.0569999999999999</v>
      </c>
      <c r="M890" s="6">
        <v>3.0569999999999999</v>
      </c>
      <c r="N890" s="6">
        <v>0</v>
      </c>
      <c r="O890" s="6">
        <v>0</v>
      </c>
      <c r="P890" s="6">
        <v>0</v>
      </c>
      <c r="Q890" s="4" t="s">
        <v>60</v>
      </c>
      <c r="R890" s="4">
        <v>0</v>
      </c>
      <c r="S890" s="6">
        <v>0</v>
      </c>
      <c r="T890" s="6">
        <v>24</v>
      </c>
      <c r="U890" s="6">
        <v>0</v>
      </c>
      <c r="V890" s="6">
        <f>IF(ISERROR(VLOOKUP($S$890,'TAR FIN'!$A$1:$O$95,15,0)),0,VLOOKUP($S$890,'TAR FIN'!$A$1:$O$95,15,0))</f>
        <v>0</v>
      </c>
      <c r="W890" s="6">
        <f>IF(ISERROR(VLOOKUP($T$890,'TAR FIN'!$A$1:$O$95,15,0)),0,VLOOKUP($T$890,'TAR FIN'!$A$1:$O$95,15,0))</f>
        <v>1434.79</v>
      </c>
      <c r="X890" s="6">
        <f>IF(ISERROR(VLOOKUP($U$890,'TAR FIN'!$A$1:$O$95,15,0)),0,VLOOKUP($U$890,'TAR FIN'!$A$1:$O$95,15,0))</f>
        <v>0</v>
      </c>
      <c r="Y890" s="6"/>
      <c r="Z890" s="6">
        <f ca="1">('TUSD BE'!$AM$16+'TUSD BF'!$AM$16+'TUSD CVA'!$AM$16)*1</f>
        <v>1605.9916314233351</v>
      </c>
      <c r="AA890" s="6"/>
      <c r="AB890" s="6">
        <f>$K$890*$V$890</f>
        <v>0</v>
      </c>
      <c r="AC890" s="6">
        <f>$M$890*$W$890</f>
        <v>4386.1530299999995</v>
      </c>
      <c r="AD890" s="6">
        <f>$O$890*$X$890</f>
        <v>0</v>
      </c>
      <c r="AE890" s="6">
        <f>$K$890*$Y$890</f>
        <v>0</v>
      </c>
      <c r="AF890" s="6">
        <f ca="1">$M$890*$Z$890</f>
        <v>4909.5164172611348</v>
      </c>
      <c r="AG890" s="6">
        <f>$O$890*$AA$890</f>
        <v>0</v>
      </c>
    </row>
    <row r="891" spans="1:33" ht="11.25" customHeight="1" x14ac:dyDescent="0.25">
      <c r="A891" s="4" t="s">
        <v>21</v>
      </c>
      <c r="B891" s="4" t="s">
        <v>35</v>
      </c>
      <c r="C891" s="4" t="s">
        <v>36</v>
      </c>
      <c r="D891" s="4" t="s">
        <v>45</v>
      </c>
      <c r="E891" s="4" t="s">
        <v>25</v>
      </c>
      <c r="F891" s="4" t="s">
        <v>25</v>
      </c>
      <c r="G891" s="4" t="s">
        <v>25</v>
      </c>
      <c r="H891" s="4" t="s">
        <v>37</v>
      </c>
      <c r="I891" s="5">
        <v>44440</v>
      </c>
      <c r="J891" s="6">
        <v>0</v>
      </c>
      <c r="K891" s="6">
        <v>0</v>
      </c>
      <c r="L891" s="6">
        <v>1713.297</v>
      </c>
      <c r="M891" s="6">
        <v>1713.297</v>
      </c>
      <c r="N891" s="6">
        <v>1713.297</v>
      </c>
      <c r="O891" s="6">
        <v>1713.297</v>
      </c>
      <c r="P891" s="6">
        <v>0</v>
      </c>
      <c r="Q891" s="4" t="s">
        <v>26</v>
      </c>
      <c r="R891" s="4">
        <v>0</v>
      </c>
      <c r="S891" s="6">
        <v>0</v>
      </c>
      <c r="T891" s="6">
        <v>24</v>
      </c>
      <c r="U891" s="6">
        <v>66</v>
      </c>
      <c r="V891" s="6">
        <f>IF(ISERROR(VLOOKUP($S$891,'TAR FIN'!$A$1:$O$95,15,0)),0,VLOOKUP($S$891,'TAR FIN'!$A$1:$O$95,15,0))</f>
        <v>0</v>
      </c>
      <c r="W891" s="6">
        <f>IF(ISERROR(VLOOKUP($T$891,'TAR FIN'!$A$1:$O$95,15,0)),0,VLOOKUP($T$891,'TAR FIN'!$A$1:$O$95,15,0))</f>
        <v>1434.79</v>
      </c>
      <c r="X891" s="6">
        <f>IF(ISERROR(VLOOKUP($U$891,'TAR FIN'!$A$1:$O$95,15,0)),0,VLOOKUP($U$891,'TAR FIN'!$A$1:$O$95,15,0))</f>
        <v>389.28</v>
      </c>
      <c r="Y891" s="6"/>
      <c r="Z891" s="6">
        <f ca="1">('TUSD BE'!$AM$16+'TUSD BF'!$AM$16+'TUSD CVA'!$AM$16)*1</f>
        <v>1605.9916314233351</v>
      </c>
      <c r="AA891" s="6">
        <f>('TE BE'!$AA$7+'TE BF'!$AA$7+'TE CVA'!$AA$7)*1</f>
        <v>454.3285679284046</v>
      </c>
      <c r="AB891" s="6">
        <f>$K$891*$V$891</f>
        <v>0</v>
      </c>
      <c r="AC891" s="6">
        <f>$M$891*$W$891</f>
        <v>2458221.4026299999</v>
      </c>
      <c r="AD891" s="6">
        <f>$O$891*$X$891</f>
        <v>666952.25615999999</v>
      </c>
      <c r="AE891" s="6">
        <f>$K$891*$Y$891</f>
        <v>0</v>
      </c>
      <c r="AF891" s="6">
        <f ca="1">$M$891*$Z$891</f>
        <v>2751540.6441427059</v>
      </c>
      <c r="AG891" s="6">
        <f>$O$891*$AA$891</f>
        <v>778399.7724460318</v>
      </c>
    </row>
    <row r="892" spans="1:33" ht="11.25" customHeight="1" x14ac:dyDescent="0.25">
      <c r="A892" s="4" t="s">
        <v>27</v>
      </c>
      <c r="B892" s="4" t="s">
        <v>35</v>
      </c>
      <c r="C892" s="4" t="s">
        <v>36</v>
      </c>
      <c r="D892" s="4" t="s">
        <v>45</v>
      </c>
      <c r="E892" s="4" t="s">
        <v>25</v>
      </c>
      <c r="F892" s="4" t="s">
        <v>25</v>
      </c>
      <c r="G892" s="4" t="s">
        <v>25</v>
      </c>
      <c r="H892" s="4" t="s">
        <v>37</v>
      </c>
      <c r="I892" s="5">
        <v>44440</v>
      </c>
      <c r="J892" s="6">
        <v>0</v>
      </c>
      <c r="K892" s="6">
        <v>0</v>
      </c>
      <c r="L892" s="6">
        <v>-6.5650000000000004</v>
      </c>
      <c r="M892" s="6">
        <v>-6.5650000000000004</v>
      </c>
      <c r="N892" s="6">
        <v>-6.5650000000000004</v>
      </c>
      <c r="O892" s="6">
        <v>-6.5650000000000004</v>
      </c>
      <c r="P892" s="6">
        <v>0</v>
      </c>
      <c r="Q892" s="4" t="s">
        <v>26</v>
      </c>
      <c r="R892" s="4">
        <v>0</v>
      </c>
      <c r="S892" s="6">
        <v>0</v>
      </c>
      <c r="T892" s="6">
        <v>24</v>
      </c>
      <c r="U892" s="6">
        <v>66</v>
      </c>
      <c r="V892" s="6">
        <f>IF(ISERROR(VLOOKUP($S$892,'TAR FIN'!$A$1:$O$95,15,0)),0,VLOOKUP($S$892,'TAR FIN'!$A$1:$O$95,15,0))</f>
        <v>0</v>
      </c>
      <c r="W892" s="6">
        <f>IF(ISERROR(VLOOKUP($T$892,'TAR FIN'!$A$1:$O$95,15,0)),0,VLOOKUP($T$892,'TAR FIN'!$A$1:$O$95,15,0))</f>
        <v>1434.79</v>
      </c>
      <c r="X892" s="6">
        <f>IF(ISERROR(VLOOKUP($U$892,'TAR FIN'!$A$1:$O$95,15,0)),0,VLOOKUP($U$892,'TAR FIN'!$A$1:$O$95,15,0))</f>
        <v>389.28</v>
      </c>
      <c r="Y892" s="6"/>
      <c r="Z892" s="6">
        <f ca="1">('TUSD BE'!$AM$16+'TUSD BF'!$AM$16+'TUSD CVA'!$AM$16)*1</f>
        <v>1605.9916314233351</v>
      </c>
      <c r="AA892" s="6">
        <f>('TE BE'!$AA$7+'TE BF'!$AA$7+'TE CVA'!$AA$7)*1</f>
        <v>454.3285679284046</v>
      </c>
      <c r="AB892" s="6">
        <f>$K$892*$V$892</f>
        <v>0</v>
      </c>
      <c r="AC892" s="6">
        <f>$M$892*$W$892</f>
        <v>-9419.3963500000009</v>
      </c>
      <c r="AD892" s="6">
        <f>$O$892*$X$892</f>
        <v>-2555.6232</v>
      </c>
      <c r="AE892" s="6">
        <f>$K$892*$Y$892</f>
        <v>0</v>
      </c>
      <c r="AF892" s="6">
        <f ca="1">$M$892*$Z$892</f>
        <v>-10543.335060294196</v>
      </c>
      <c r="AG892" s="6">
        <f>$O$892*$AA$892</f>
        <v>-2982.6670484499764</v>
      </c>
    </row>
    <row r="893" spans="1:33" ht="11.25" customHeight="1" x14ac:dyDescent="0.25">
      <c r="A893" s="4" t="s">
        <v>28</v>
      </c>
      <c r="B893" s="4" t="s">
        <v>35</v>
      </c>
      <c r="C893" s="4" t="s">
        <v>36</v>
      </c>
      <c r="D893" s="4" t="s">
        <v>45</v>
      </c>
      <c r="E893" s="4" t="s">
        <v>25</v>
      </c>
      <c r="F893" s="4" t="s">
        <v>25</v>
      </c>
      <c r="G893" s="4" t="s">
        <v>25</v>
      </c>
      <c r="H893" s="4" t="s">
        <v>37</v>
      </c>
      <c r="I893" s="5">
        <v>44440</v>
      </c>
      <c r="J893" s="6">
        <v>0</v>
      </c>
      <c r="K893" s="6">
        <v>0</v>
      </c>
      <c r="L893" s="6">
        <v>161.34399999999999</v>
      </c>
      <c r="M893" s="6">
        <v>161.34399999999999</v>
      </c>
      <c r="N893" s="6">
        <v>161.34399999999999</v>
      </c>
      <c r="O893" s="6">
        <v>161.34399999999999</v>
      </c>
      <c r="P893" s="6">
        <v>0</v>
      </c>
      <c r="Q893" s="4" t="s">
        <v>26</v>
      </c>
      <c r="R893" s="4">
        <v>0</v>
      </c>
      <c r="S893" s="6">
        <v>0</v>
      </c>
      <c r="T893" s="6">
        <v>24</v>
      </c>
      <c r="U893" s="6">
        <v>66</v>
      </c>
      <c r="V893" s="6">
        <f>IF(ISERROR(VLOOKUP($S$893,'TAR FIN'!$A$1:$O$95,15,0)),0,VLOOKUP($S$893,'TAR FIN'!$A$1:$O$95,15,0))</f>
        <v>0</v>
      </c>
      <c r="W893" s="6">
        <f>IF(ISERROR(VLOOKUP($T$893,'TAR FIN'!$A$1:$O$95,15,0)),0,VLOOKUP($T$893,'TAR FIN'!$A$1:$O$95,15,0))</f>
        <v>1434.79</v>
      </c>
      <c r="X893" s="6">
        <f>IF(ISERROR(VLOOKUP($U$893,'TAR FIN'!$A$1:$O$95,15,0)),0,VLOOKUP($U$893,'TAR FIN'!$A$1:$O$95,15,0))</f>
        <v>389.28</v>
      </c>
      <c r="Y893" s="6"/>
      <c r="Z893" s="6">
        <f ca="1">('TUSD BE'!$AM$16+'TUSD BF'!$AM$16+'TUSD CVA'!$AM$16)*1</f>
        <v>1605.9916314233351</v>
      </c>
      <c r="AA893" s="6">
        <f>('TE BE'!$AA$7+'TE BF'!$AA$7+'TE CVA'!$AA$7)*1</f>
        <v>454.3285679284046</v>
      </c>
      <c r="AB893" s="6">
        <f>$K$893*$V$893</f>
        <v>0</v>
      </c>
      <c r="AC893" s="6">
        <f>$M$893*$W$893</f>
        <v>231494.75775999998</v>
      </c>
      <c r="AD893" s="6">
        <f>$O$893*$X$893</f>
        <v>62807.99231999999</v>
      </c>
      <c r="AE893" s="6">
        <f>$K$893*$Y$893</f>
        <v>0</v>
      </c>
      <c r="AF893" s="6">
        <f ca="1">$M$893*$Z$893</f>
        <v>259117.11378036658</v>
      </c>
      <c r="AG893" s="6">
        <f>$O$893*$AA$893</f>
        <v>73303.188463840503</v>
      </c>
    </row>
    <row r="894" spans="1:33" ht="11.25" customHeight="1" x14ac:dyDescent="0.25">
      <c r="A894" s="4" t="s">
        <v>30</v>
      </c>
      <c r="B894" s="4" t="s">
        <v>35</v>
      </c>
      <c r="C894" s="4" t="s">
        <v>36</v>
      </c>
      <c r="D894" s="4" t="s">
        <v>45</v>
      </c>
      <c r="E894" s="4" t="s">
        <v>25</v>
      </c>
      <c r="F894" s="4" t="s">
        <v>25</v>
      </c>
      <c r="G894" s="4" t="s">
        <v>25</v>
      </c>
      <c r="H894" s="4" t="s">
        <v>37</v>
      </c>
      <c r="I894" s="5">
        <v>44440</v>
      </c>
      <c r="J894" s="6">
        <v>0</v>
      </c>
      <c r="K894" s="6">
        <v>0</v>
      </c>
      <c r="L894" s="6">
        <v>96.26</v>
      </c>
      <c r="M894" s="6">
        <v>96.26</v>
      </c>
      <c r="N894" s="6">
        <v>96.26</v>
      </c>
      <c r="O894" s="6">
        <v>96.26</v>
      </c>
      <c r="P894" s="6">
        <v>0</v>
      </c>
      <c r="Q894" s="4" t="s">
        <v>26</v>
      </c>
      <c r="R894" s="4">
        <v>0</v>
      </c>
      <c r="S894" s="6">
        <v>0</v>
      </c>
      <c r="T894" s="6">
        <v>24</v>
      </c>
      <c r="U894" s="6">
        <v>66</v>
      </c>
      <c r="V894" s="6">
        <f>IF(ISERROR(VLOOKUP($S$894,'TAR FIN'!$A$1:$O$95,15,0)),0,VLOOKUP($S$894,'TAR FIN'!$A$1:$O$95,15,0))</f>
        <v>0</v>
      </c>
      <c r="W894" s="6">
        <f>IF(ISERROR(VLOOKUP($T$894,'TAR FIN'!$A$1:$O$95,15,0)),0,VLOOKUP($T$894,'TAR FIN'!$A$1:$O$95,15,0))</f>
        <v>1434.79</v>
      </c>
      <c r="X894" s="6">
        <f>IF(ISERROR(VLOOKUP($U$894,'TAR FIN'!$A$1:$O$95,15,0)),0,VLOOKUP($U$894,'TAR FIN'!$A$1:$O$95,15,0))</f>
        <v>389.28</v>
      </c>
      <c r="Y894" s="6"/>
      <c r="Z894" s="6">
        <f ca="1">('TUSD BE'!$AM$16+'TUSD BF'!$AM$16+'TUSD CVA'!$AM$16)*1</f>
        <v>1605.9916314233351</v>
      </c>
      <c r="AA894" s="6">
        <f>('TE BE'!$AA$7+'TE BF'!$AA$7+'TE CVA'!$AA$7)*1</f>
        <v>454.3285679284046</v>
      </c>
      <c r="AB894" s="6">
        <f>$K$894*$V$894</f>
        <v>0</v>
      </c>
      <c r="AC894" s="6">
        <f>$M$894*$W$894</f>
        <v>138112.8854</v>
      </c>
      <c r="AD894" s="6">
        <f>$O$894*$X$894</f>
        <v>37472.092799999999</v>
      </c>
      <c r="AE894" s="6">
        <f>$K$894*$Y$894</f>
        <v>0</v>
      </c>
      <c r="AF894" s="6">
        <f ca="1">$M$894*$Z$894</f>
        <v>154592.75444081024</v>
      </c>
      <c r="AG894" s="6">
        <f>$O$894*$AA$894</f>
        <v>43733.667948788228</v>
      </c>
    </row>
    <row r="895" spans="1:33" ht="11.25" customHeight="1" x14ac:dyDescent="0.25">
      <c r="A895" s="4" t="s">
        <v>21</v>
      </c>
      <c r="B895" s="4" t="s">
        <v>35</v>
      </c>
      <c r="C895" s="4" t="s">
        <v>36</v>
      </c>
      <c r="D895" s="4" t="s">
        <v>45</v>
      </c>
      <c r="E895" s="4" t="s">
        <v>25</v>
      </c>
      <c r="F895" s="4" t="s">
        <v>25</v>
      </c>
      <c r="G895" s="4" t="s">
        <v>25</v>
      </c>
      <c r="H895" s="4" t="s">
        <v>37</v>
      </c>
      <c r="I895" s="5">
        <v>44440</v>
      </c>
      <c r="J895" s="6">
        <v>0</v>
      </c>
      <c r="K895" s="6">
        <v>0</v>
      </c>
      <c r="L895" s="6">
        <v>2.75</v>
      </c>
      <c r="M895" s="6">
        <v>2.75</v>
      </c>
      <c r="N895" s="6">
        <v>0</v>
      </c>
      <c r="O895" s="6">
        <v>0</v>
      </c>
      <c r="P895" s="6">
        <v>0</v>
      </c>
      <c r="Q895" s="4" t="s">
        <v>60</v>
      </c>
      <c r="R895" s="4">
        <v>0</v>
      </c>
      <c r="S895" s="6">
        <v>0</v>
      </c>
      <c r="T895" s="6">
        <v>24</v>
      </c>
      <c r="U895" s="6">
        <v>0</v>
      </c>
      <c r="V895" s="6">
        <f>IF(ISERROR(VLOOKUP($S$895,'TAR FIN'!$A$1:$O$95,15,0)),0,VLOOKUP($S$895,'TAR FIN'!$A$1:$O$95,15,0))</f>
        <v>0</v>
      </c>
      <c r="W895" s="6">
        <f>IF(ISERROR(VLOOKUP($T$895,'TAR FIN'!$A$1:$O$95,15,0)),0,VLOOKUP($T$895,'TAR FIN'!$A$1:$O$95,15,0))</f>
        <v>1434.79</v>
      </c>
      <c r="X895" s="6">
        <f>IF(ISERROR(VLOOKUP($U$895,'TAR FIN'!$A$1:$O$95,15,0)),0,VLOOKUP($U$895,'TAR FIN'!$A$1:$O$95,15,0))</f>
        <v>0</v>
      </c>
      <c r="Y895" s="6"/>
      <c r="Z895" s="6">
        <f ca="1">('TUSD BE'!$AM$16+'TUSD BF'!$AM$16+'TUSD CVA'!$AM$16)*1</f>
        <v>1605.9916314233351</v>
      </c>
      <c r="AA895" s="6"/>
      <c r="AB895" s="6">
        <f>$K$895*$V$895</f>
        <v>0</v>
      </c>
      <c r="AC895" s="6">
        <f>$M$895*$W$895</f>
        <v>3945.6724999999997</v>
      </c>
      <c r="AD895" s="6">
        <f>$O$895*$X$895</f>
        <v>0</v>
      </c>
      <c r="AE895" s="6">
        <f>$K$895*$Y$895</f>
        <v>0</v>
      </c>
      <c r="AF895" s="6">
        <f ca="1">$M$895*$Z$895</f>
        <v>4416.4769864141717</v>
      </c>
      <c r="AG895" s="6">
        <f>$O$895*$AA$895</f>
        <v>0</v>
      </c>
    </row>
    <row r="896" spans="1:33" ht="11.25" customHeight="1" x14ac:dyDescent="0.25">
      <c r="A896" s="4" t="s">
        <v>59</v>
      </c>
      <c r="B896" s="4" t="s">
        <v>35</v>
      </c>
      <c r="C896" s="4" t="s">
        <v>36</v>
      </c>
      <c r="D896" s="4" t="s">
        <v>45</v>
      </c>
      <c r="E896" s="4" t="s">
        <v>25</v>
      </c>
      <c r="F896" s="4" t="s">
        <v>25</v>
      </c>
      <c r="G896" s="4" t="s">
        <v>25</v>
      </c>
      <c r="H896" s="4" t="s">
        <v>37</v>
      </c>
      <c r="I896" s="5">
        <v>44470</v>
      </c>
      <c r="J896" s="6">
        <v>0</v>
      </c>
      <c r="K896" s="6">
        <v>0</v>
      </c>
      <c r="L896" s="6">
        <v>1713.297</v>
      </c>
      <c r="M896" s="6">
        <v>1713.297</v>
      </c>
      <c r="N896" s="6">
        <v>1713.297</v>
      </c>
      <c r="O896" s="6">
        <v>1713.297</v>
      </c>
      <c r="P896" s="6">
        <v>0</v>
      </c>
      <c r="Q896" s="4" t="s">
        <v>26</v>
      </c>
      <c r="R896" s="4">
        <v>0</v>
      </c>
      <c r="S896" s="6">
        <v>0</v>
      </c>
      <c r="T896" s="6">
        <v>24</v>
      </c>
      <c r="U896" s="6">
        <v>66</v>
      </c>
      <c r="V896" s="6">
        <f>IF(ISERROR(VLOOKUP($S$896,'TAR FIN'!$A$1:$O$95,15,0)),0,VLOOKUP($S$896,'TAR FIN'!$A$1:$O$95,15,0))</f>
        <v>0</v>
      </c>
      <c r="W896" s="6">
        <f>IF(ISERROR(VLOOKUP($T$896,'TAR FIN'!$A$1:$O$95,15,0)),0,VLOOKUP($T$896,'TAR FIN'!$A$1:$O$95,15,0))</f>
        <v>1434.79</v>
      </c>
      <c r="X896" s="6">
        <f>IF(ISERROR(VLOOKUP($U$896,'TAR FIN'!$A$1:$O$95,15,0)),0,VLOOKUP($U$896,'TAR FIN'!$A$1:$O$95,15,0))</f>
        <v>389.28</v>
      </c>
      <c r="Y896" s="6"/>
      <c r="Z896" s="6">
        <f ca="1">('TUSD BE'!$AM$16+'TUSD BF'!$AM$16+'TUSD CVA'!$AM$16)*1</f>
        <v>1605.9916314233351</v>
      </c>
      <c r="AA896" s="6">
        <f>('TE BE'!$AA$7+'TE BF'!$AA$7+'TE CVA'!$AA$7)*1</f>
        <v>454.3285679284046</v>
      </c>
      <c r="AB896" s="6">
        <f>$K$896*$V$896</f>
        <v>0</v>
      </c>
      <c r="AC896" s="6">
        <f>$M$896*$W$896</f>
        <v>2458221.4026299999</v>
      </c>
      <c r="AD896" s="6">
        <f>$O$896*$X$896</f>
        <v>666952.25615999999</v>
      </c>
      <c r="AE896" s="6">
        <f>$K$896*$Y$896</f>
        <v>0</v>
      </c>
      <c r="AF896" s="6">
        <f ca="1">$M$896*$Z$896</f>
        <v>2751540.6441427059</v>
      </c>
      <c r="AG896" s="6">
        <f>$O$896*$AA$896</f>
        <v>778399.7724460318</v>
      </c>
    </row>
    <row r="897" spans="1:33" ht="11.25" customHeight="1" x14ac:dyDescent="0.25">
      <c r="A897" s="4" t="s">
        <v>59</v>
      </c>
      <c r="B897" s="4" t="s">
        <v>35</v>
      </c>
      <c r="C897" s="4" t="s">
        <v>36</v>
      </c>
      <c r="D897" s="4" t="s">
        <v>45</v>
      </c>
      <c r="E897" s="4" t="s">
        <v>25</v>
      </c>
      <c r="F897" s="4" t="s">
        <v>25</v>
      </c>
      <c r="G897" s="4" t="s">
        <v>25</v>
      </c>
      <c r="H897" s="4" t="s">
        <v>37</v>
      </c>
      <c r="I897" s="5">
        <v>44470</v>
      </c>
      <c r="J897" s="6">
        <v>0</v>
      </c>
      <c r="K897" s="6">
        <v>0</v>
      </c>
      <c r="L897" s="6">
        <v>-6.5650000000000004</v>
      </c>
      <c r="M897" s="6">
        <v>-6.5650000000000004</v>
      </c>
      <c r="N897" s="6">
        <v>-6.5650000000000004</v>
      </c>
      <c r="O897" s="6">
        <v>-6.5650000000000004</v>
      </c>
      <c r="P897" s="6">
        <v>0</v>
      </c>
      <c r="Q897" s="4" t="s">
        <v>26</v>
      </c>
      <c r="R897" s="4">
        <v>0</v>
      </c>
      <c r="S897" s="6">
        <v>0</v>
      </c>
      <c r="T897" s="6">
        <v>24</v>
      </c>
      <c r="U897" s="6">
        <v>66</v>
      </c>
      <c r="V897" s="6">
        <f>IF(ISERROR(VLOOKUP($S$897,'TAR FIN'!$A$1:$O$95,15,0)),0,VLOOKUP($S$897,'TAR FIN'!$A$1:$O$95,15,0))</f>
        <v>0</v>
      </c>
      <c r="W897" s="6">
        <f>IF(ISERROR(VLOOKUP($T$897,'TAR FIN'!$A$1:$O$95,15,0)),0,VLOOKUP($T$897,'TAR FIN'!$A$1:$O$95,15,0))</f>
        <v>1434.79</v>
      </c>
      <c r="X897" s="6">
        <f>IF(ISERROR(VLOOKUP($U$897,'TAR FIN'!$A$1:$O$95,15,0)),0,VLOOKUP($U$897,'TAR FIN'!$A$1:$O$95,15,0))</f>
        <v>389.28</v>
      </c>
      <c r="Y897" s="6"/>
      <c r="Z897" s="6">
        <f ca="1">('TUSD BE'!$AM$16+'TUSD BF'!$AM$16+'TUSD CVA'!$AM$16)*1</f>
        <v>1605.9916314233351</v>
      </c>
      <c r="AA897" s="6">
        <f>('TE BE'!$AA$7+'TE BF'!$AA$7+'TE CVA'!$AA$7)*1</f>
        <v>454.3285679284046</v>
      </c>
      <c r="AB897" s="6">
        <f>$K$897*$V$897</f>
        <v>0</v>
      </c>
      <c r="AC897" s="6">
        <f>$M$897*$W$897</f>
        <v>-9419.3963500000009</v>
      </c>
      <c r="AD897" s="6">
        <f>$O$897*$X$897</f>
        <v>-2555.6232</v>
      </c>
      <c r="AE897" s="6">
        <f>$K$897*$Y$897</f>
        <v>0</v>
      </c>
      <c r="AF897" s="6">
        <f ca="1">$M$897*$Z$897</f>
        <v>-10543.335060294196</v>
      </c>
      <c r="AG897" s="6">
        <f>$O$897*$AA$897</f>
        <v>-2982.6670484499764</v>
      </c>
    </row>
    <row r="898" spans="1:33" ht="11.25" customHeight="1" x14ac:dyDescent="0.25">
      <c r="A898" s="4" t="s">
        <v>59</v>
      </c>
      <c r="B898" s="4" t="s">
        <v>35</v>
      </c>
      <c r="C898" s="4" t="s">
        <v>36</v>
      </c>
      <c r="D898" s="4" t="s">
        <v>45</v>
      </c>
      <c r="E898" s="4" t="s">
        <v>25</v>
      </c>
      <c r="F898" s="4" t="s">
        <v>25</v>
      </c>
      <c r="G898" s="4" t="s">
        <v>25</v>
      </c>
      <c r="H898" s="4" t="s">
        <v>37</v>
      </c>
      <c r="I898" s="5">
        <v>44470</v>
      </c>
      <c r="J898" s="6">
        <v>0</v>
      </c>
      <c r="K898" s="6">
        <v>0</v>
      </c>
      <c r="L898" s="6">
        <v>161.34399999999999</v>
      </c>
      <c r="M898" s="6">
        <v>161.34399999999999</v>
      </c>
      <c r="N898" s="6">
        <v>161.34399999999999</v>
      </c>
      <c r="O898" s="6">
        <v>161.34399999999999</v>
      </c>
      <c r="P898" s="6">
        <v>0</v>
      </c>
      <c r="Q898" s="4" t="s">
        <v>26</v>
      </c>
      <c r="R898" s="4">
        <v>0</v>
      </c>
      <c r="S898" s="6">
        <v>0</v>
      </c>
      <c r="T898" s="6">
        <v>24</v>
      </c>
      <c r="U898" s="6">
        <v>66</v>
      </c>
      <c r="V898" s="6">
        <f>IF(ISERROR(VLOOKUP($S$898,'TAR FIN'!$A$1:$O$95,15,0)),0,VLOOKUP($S$898,'TAR FIN'!$A$1:$O$95,15,0))</f>
        <v>0</v>
      </c>
      <c r="W898" s="6">
        <f>IF(ISERROR(VLOOKUP($T$898,'TAR FIN'!$A$1:$O$95,15,0)),0,VLOOKUP($T$898,'TAR FIN'!$A$1:$O$95,15,0))</f>
        <v>1434.79</v>
      </c>
      <c r="X898" s="6">
        <f>IF(ISERROR(VLOOKUP($U$898,'TAR FIN'!$A$1:$O$95,15,0)),0,VLOOKUP($U$898,'TAR FIN'!$A$1:$O$95,15,0))</f>
        <v>389.28</v>
      </c>
      <c r="Y898" s="6"/>
      <c r="Z898" s="6">
        <f ca="1">('TUSD BE'!$AM$16+'TUSD BF'!$AM$16+'TUSD CVA'!$AM$16)*1</f>
        <v>1605.9916314233351</v>
      </c>
      <c r="AA898" s="6">
        <f>('TE BE'!$AA$7+'TE BF'!$AA$7+'TE CVA'!$AA$7)*1</f>
        <v>454.3285679284046</v>
      </c>
      <c r="AB898" s="6">
        <f>$K$898*$V$898</f>
        <v>0</v>
      </c>
      <c r="AC898" s="6">
        <f>$M$898*$W$898</f>
        <v>231494.75775999998</v>
      </c>
      <c r="AD898" s="6">
        <f>$O$898*$X$898</f>
        <v>62807.99231999999</v>
      </c>
      <c r="AE898" s="6">
        <f>$K$898*$Y$898</f>
        <v>0</v>
      </c>
      <c r="AF898" s="6">
        <f ca="1">$M$898*$Z$898</f>
        <v>259117.11378036658</v>
      </c>
      <c r="AG898" s="6">
        <f>$O$898*$AA$898</f>
        <v>73303.188463840503</v>
      </c>
    </row>
    <row r="899" spans="1:33" ht="11.25" customHeight="1" x14ac:dyDescent="0.25">
      <c r="A899" s="4" t="s">
        <v>59</v>
      </c>
      <c r="B899" s="4" t="s">
        <v>35</v>
      </c>
      <c r="C899" s="4" t="s">
        <v>36</v>
      </c>
      <c r="D899" s="4" t="s">
        <v>45</v>
      </c>
      <c r="E899" s="4" t="s">
        <v>25</v>
      </c>
      <c r="F899" s="4" t="s">
        <v>25</v>
      </c>
      <c r="G899" s="4" t="s">
        <v>25</v>
      </c>
      <c r="H899" s="4" t="s">
        <v>37</v>
      </c>
      <c r="I899" s="5">
        <v>44470</v>
      </c>
      <c r="J899" s="6">
        <v>0</v>
      </c>
      <c r="K899" s="6">
        <v>0</v>
      </c>
      <c r="L899" s="6">
        <v>96.26</v>
      </c>
      <c r="M899" s="6">
        <v>96.26</v>
      </c>
      <c r="N899" s="6">
        <v>96.26</v>
      </c>
      <c r="O899" s="6">
        <v>96.26</v>
      </c>
      <c r="P899" s="6">
        <v>0</v>
      </c>
      <c r="Q899" s="4" t="s">
        <v>26</v>
      </c>
      <c r="R899" s="4">
        <v>0</v>
      </c>
      <c r="S899" s="6">
        <v>0</v>
      </c>
      <c r="T899" s="6">
        <v>24</v>
      </c>
      <c r="U899" s="6">
        <v>66</v>
      </c>
      <c r="V899" s="6">
        <f>IF(ISERROR(VLOOKUP($S$899,'TAR FIN'!$A$1:$O$95,15,0)),0,VLOOKUP($S$899,'TAR FIN'!$A$1:$O$95,15,0))</f>
        <v>0</v>
      </c>
      <c r="W899" s="6">
        <f>IF(ISERROR(VLOOKUP($T$899,'TAR FIN'!$A$1:$O$95,15,0)),0,VLOOKUP($T$899,'TAR FIN'!$A$1:$O$95,15,0))</f>
        <v>1434.79</v>
      </c>
      <c r="X899" s="6">
        <f>IF(ISERROR(VLOOKUP($U$899,'TAR FIN'!$A$1:$O$95,15,0)),0,VLOOKUP($U$899,'TAR FIN'!$A$1:$O$95,15,0))</f>
        <v>389.28</v>
      </c>
      <c r="Y899" s="6"/>
      <c r="Z899" s="6">
        <f ca="1">('TUSD BE'!$AM$16+'TUSD BF'!$AM$16+'TUSD CVA'!$AM$16)*1</f>
        <v>1605.9916314233351</v>
      </c>
      <c r="AA899" s="6">
        <f>('TE BE'!$AA$7+'TE BF'!$AA$7+'TE CVA'!$AA$7)*1</f>
        <v>454.3285679284046</v>
      </c>
      <c r="AB899" s="6">
        <f>$K$899*$V$899</f>
        <v>0</v>
      </c>
      <c r="AC899" s="6">
        <f>$M$899*$W$899</f>
        <v>138112.8854</v>
      </c>
      <c r="AD899" s="6">
        <f>$O$899*$X$899</f>
        <v>37472.092799999999</v>
      </c>
      <c r="AE899" s="6">
        <f>$K$899*$Y$899</f>
        <v>0</v>
      </c>
      <c r="AF899" s="6">
        <f ca="1">$M$899*$Z$899</f>
        <v>154592.75444081024</v>
      </c>
      <c r="AG899" s="6">
        <f>$O$899*$AA$899</f>
        <v>43733.667948788228</v>
      </c>
    </row>
    <row r="900" spans="1:33" ht="11.25" customHeight="1" x14ac:dyDescent="0.25">
      <c r="A900" s="4" t="s">
        <v>59</v>
      </c>
      <c r="B900" s="4" t="s">
        <v>35</v>
      </c>
      <c r="C900" s="4" t="s">
        <v>36</v>
      </c>
      <c r="D900" s="4" t="s">
        <v>45</v>
      </c>
      <c r="E900" s="4" t="s">
        <v>25</v>
      </c>
      <c r="F900" s="4" t="s">
        <v>25</v>
      </c>
      <c r="G900" s="4" t="s">
        <v>25</v>
      </c>
      <c r="H900" s="4" t="s">
        <v>37</v>
      </c>
      <c r="I900" s="5">
        <v>44470</v>
      </c>
      <c r="J900" s="6">
        <v>0</v>
      </c>
      <c r="K900" s="6">
        <v>0</v>
      </c>
      <c r="L900" s="6">
        <v>2.75</v>
      </c>
      <c r="M900" s="6">
        <v>2.75</v>
      </c>
      <c r="N900" s="6">
        <v>0</v>
      </c>
      <c r="O900" s="6">
        <v>0</v>
      </c>
      <c r="P900" s="6">
        <v>0</v>
      </c>
      <c r="Q900" s="4" t="s">
        <v>60</v>
      </c>
      <c r="R900" s="4">
        <v>0</v>
      </c>
      <c r="S900" s="6">
        <v>0</v>
      </c>
      <c r="T900" s="6">
        <v>24</v>
      </c>
      <c r="U900" s="6">
        <v>0</v>
      </c>
      <c r="V900" s="6">
        <f>IF(ISERROR(VLOOKUP($S$900,'TAR FIN'!$A$1:$O$95,15,0)),0,VLOOKUP($S$900,'TAR FIN'!$A$1:$O$95,15,0))</f>
        <v>0</v>
      </c>
      <c r="W900" s="6">
        <f>IF(ISERROR(VLOOKUP($T$900,'TAR FIN'!$A$1:$O$95,15,0)),0,VLOOKUP($T$900,'TAR FIN'!$A$1:$O$95,15,0))</f>
        <v>1434.79</v>
      </c>
      <c r="X900" s="6">
        <f>IF(ISERROR(VLOOKUP($U$900,'TAR FIN'!$A$1:$O$95,15,0)),0,VLOOKUP($U$900,'TAR FIN'!$A$1:$O$95,15,0))</f>
        <v>0</v>
      </c>
      <c r="Y900" s="6"/>
      <c r="Z900" s="6">
        <f ca="1">('TUSD BE'!$AM$16+'TUSD BF'!$AM$16+'TUSD CVA'!$AM$16)*1</f>
        <v>1605.9916314233351</v>
      </c>
      <c r="AA900" s="6"/>
      <c r="AB900" s="6">
        <f>$K$900*$V$900</f>
        <v>0</v>
      </c>
      <c r="AC900" s="6">
        <f>$M$900*$W$900</f>
        <v>3945.6724999999997</v>
      </c>
      <c r="AD900" s="6">
        <f>$O$900*$X$900</f>
        <v>0</v>
      </c>
      <c r="AE900" s="6">
        <f>$K$900*$Y$900</f>
        <v>0</v>
      </c>
      <c r="AF900" s="6">
        <f ca="1">$M$900*$Z$900</f>
        <v>4416.4769864141717</v>
      </c>
      <c r="AG900" s="6">
        <f>$O$900*$AA$900</f>
        <v>0</v>
      </c>
    </row>
    <row r="901" spans="1:33" ht="11.25" customHeight="1" x14ac:dyDescent="0.25">
      <c r="A901" s="4" t="s">
        <v>21</v>
      </c>
      <c r="B901" s="4" t="s">
        <v>35</v>
      </c>
      <c r="C901" s="4" t="s">
        <v>36</v>
      </c>
      <c r="D901" s="4" t="s">
        <v>54</v>
      </c>
      <c r="E901" s="4" t="s">
        <v>25</v>
      </c>
      <c r="F901" s="4" t="s">
        <v>25</v>
      </c>
      <c r="G901" s="4" t="s">
        <v>25</v>
      </c>
      <c r="H901" s="4" t="s">
        <v>38</v>
      </c>
      <c r="I901" s="5">
        <v>44136</v>
      </c>
      <c r="J901" s="6">
        <v>0</v>
      </c>
      <c r="K901" s="6">
        <v>0</v>
      </c>
      <c r="L901" s="6">
        <v>200.82300000000001</v>
      </c>
      <c r="M901" s="6">
        <v>200.82300000000001</v>
      </c>
      <c r="N901" s="6">
        <v>200.82300000000001</v>
      </c>
      <c r="O901" s="6">
        <v>200.82300000000001</v>
      </c>
      <c r="P901" s="6">
        <v>0</v>
      </c>
      <c r="Q901" s="4" t="s">
        <v>26</v>
      </c>
      <c r="R901" s="4">
        <v>0</v>
      </c>
      <c r="S901" s="6">
        <v>0</v>
      </c>
      <c r="T901" s="6">
        <v>19</v>
      </c>
      <c r="U901" s="6">
        <v>67</v>
      </c>
      <c r="V901" s="6">
        <f>IF(ISERROR(VLOOKUP($S$901,'TAR FIN'!$A$1:$O$95,15,0)),0,VLOOKUP($S$901,'TAR FIN'!$A$1:$O$95,15,0))</f>
        <v>0</v>
      </c>
      <c r="W901" s="6">
        <f>IF(ISERROR(VLOOKUP($T$901,'TAR FIN'!$A$1:$O$95,15,0)),0,VLOOKUP($T$901,'TAR FIN'!$A$1:$O$95,15,0))</f>
        <v>149.63</v>
      </c>
      <c r="X901" s="6">
        <f>IF(ISERROR(VLOOKUP($U$901,'TAR FIN'!$A$1:$O$95,15,0)),0,VLOOKUP($U$901,'TAR FIN'!$A$1:$O$95,15,0))</f>
        <v>230.03</v>
      </c>
      <c r="Y901" s="6"/>
      <c r="Z901" s="6">
        <f ca="1">('TUSD BE'!$AM$17+'TUSD BF'!$AM$17+'TUSD CVA'!$AM$17)*1</f>
        <v>168.51338132937991</v>
      </c>
      <c r="AA901" s="6">
        <f>('TE BE'!$AA$8+'TE BF'!$AA$8+'TE CVA'!$AA$8)*1</f>
        <v>282.91739971702214</v>
      </c>
      <c r="AB901" s="6">
        <f>$K$901*$V$901</f>
        <v>0</v>
      </c>
      <c r="AC901" s="6">
        <f>$M$901*$W$901</f>
        <v>30049.145489999999</v>
      </c>
      <c r="AD901" s="6">
        <f>$O$901*$X$901</f>
        <v>46195.314689999999</v>
      </c>
      <c r="AE901" s="6">
        <f>$K$901*$Y$901</f>
        <v>0</v>
      </c>
      <c r="AF901" s="6">
        <f ca="1">$M$901*$Z$901</f>
        <v>33841.362778710063</v>
      </c>
      <c r="AG901" s="6">
        <f>$O$901*$AA$901</f>
        <v>56816.320963371538</v>
      </c>
    </row>
    <row r="902" spans="1:33" ht="11.25" customHeight="1" x14ac:dyDescent="0.25">
      <c r="A902" s="4" t="s">
        <v>21</v>
      </c>
      <c r="B902" s="4" t="s">
        <v>35</v>
      </c>
      <c r="C902" s="4" t="s">
        <v>36</v>
      </c>
      <c r="D902" s="4" t="s">
        <v>54</v>
      </c>
      <c r="E902" s="4" t="s">
        <v>25</v>
      </c>
      <c r="F902" s="4" t="s">
        <v>25</v>
      </c>
      <c r="G902" s="4" t="s">
        <v>25</v>
      </c>
      <c r="H902" s="4" t="s">
        <v>38</v>
      </c>
      <c r="I902" s="5">
        <v>44166</v>
      </c>
      <c r="J902" s="6">
        <v>0</v>
      </c>
      <c r="K902" s="6">
        <v>0</v>
      </c>
      <c r="L902" s="6">
        <v>192.61099999999999</v>
      </c>
      <c r="M902" s="6">
        <v>192.61099999999999</v>
      </c>
      <c r="N902" s="6">
        <v>192.61099999999999</v>
      </c>
      <c r="O902" s="6">
        <v>192.61099999999999</v>
      </c>
      <c r="P902" s="6">
        <v>0</v>
      </c>
      <c r="Q902" s="4" t="s">
        <v>26</v>
      </c>
      <c r="R902" s="4">
        <v>0</v>
      </c>
      <c r="S902" s="6">
        <v>0</v>
      </c>
      <c r="T902" s="6">
        <v>19</v>
      </c>
      <c r="U902" s="6">
        <v>67</v>
      </c>
      <c r="V902" s="6">
        <f>IF(ISERROR(VLOOKUP($S$902,'TAR FIN'!$A$1:$O$95,15,0)),0,VLOOKUP($S$902,'TAR FIN'!$A$1:$O$95,15,0))</f>
        <v>0</v>
      </c>
      <c r="W902" s="6">
        <f>IF(ISERROR(VLOOKUP($T$902,'TAR FIN'!$A$1:$O$95,15,0)),0,VLOOKUP($T$902,'TAR FIN'!$A$1:$O$95,15,0))</f>
        <v>149.63</v>
      </c>
      <c r="X902" s="6">
        <f>IF(ISERROR(VLOOKUP($U$902,'TAR FIN'!$A$1:$O$95,15,0)),0,VLOOKUP($U$902,'TAR FIN'!$A$1:$O$95,15,0))</f>
        <v>230.03</v>
      </c>
      <c r="Y902" s="6"/>
      <c r="Z902" s="6">
        <f ca="1">('TUSD BE'!$AM$17+'TUSD BF'!$AM$17+'TUSD CVA'!$AM$17)*1</f>
        <v>168.51338132937991</v>
      </c>
      <c r="AA902" s="6">
        <f>('TE BE'!$AA$8+'TE BF'!$AA$8+'TE CVA'!$AA$8)*1</f>
        <v>282.91739971702214</v>
      </c>
      <c r="AB902" s="6">
        <f>$K$902*$V$902</f>
        <v>0</v>
      </c>
      <c r="AC902" s="6">
        <f>$M$902*$W$902</f>
        <v>28820.383929999996</v>
      </c>
      <c r="AD902" s="6">
        <f>$O$902*$X$902</f>
        <v>44306.30833</v>
      </c>
      <c r="AE902" s="6">
        <f>$K$902*$Y$902</f>
        <v>0</v>
      </c>
      <c r="AF902" s="6">
        <f ca="1">$M$902*$Z$902</f>
        <v>32457.530891233193</v>
      </c>
      <c r="AG902" s="6">
        <f>$O$902*$AA$902</f>
        <v>54493.003276895346</v>
      </c>
    </row>
    <row r="903" spans="1:33" ht="11.25" customHeight="1" x14ac:dyDescent="0.25">
      <c r="A903" s="4" t="s">
        <v>21</v>
      </c>
      <c r="B903" s="4" t="s">
        <v>35</v>
      </c>
      <c r="C903" s="4" t="s">
        <v>36</v>
      </c>
      <c r="D903" s="4" t="s">
        <v>54</v>
      </c>
      <c r="E903" s="4" t="s">
        <v>25</v>
      </c>
      <c r="F903" s="4" t="s">
        <v>25</v>
      </c>
      <c r="G903" s="4" t="s">
        <v>25</v>
      </c>
      <c r="H903" s="4" t="s">
        <v>38</v>
      </c>
      <c r="I903" s="5">
        <v>44197</v>
      </c>
      <c r="J903" s="6">
        <v>0</v>
      </c>
      <c r="K903" s="6">
        <v>0</v>
      </c>
      <c r="L903" s="6">
        <v>171.77500000000001</v>
      </c>
      <c r="M903" s="6">
        <v>171.77500000000001</v>
      </c>
      <c r="N903" s="6">
        <v>171.77500000000001</v>
      </c>
      <c r="O903" s="6">
        <v>171.77500000000001</v>
      </c>
      <c r="P903" s="6">
        <v>0</v>
      </c>
      <c r="Q903" s="4" t="s">
        <v>26</v>
      </c>
      <c r="R903" s="4">
        <v>0</v>
      </c>
      <c r="S903" s="6">
        <v>0</v>
      </c>
      <c r="T903" s="6">
        <v>19</v>
      </c>
      <c r="U903" s="6">
        <v>67</v>
      </c>
      <c r="V903" s="6">
        <f>IF(ISERROR(VLOOKUP($S$903,'TAR FIN'!$A$1:$O$95,15,0)),0,VLOOKUP($S$903,'TAR FIN'!$A$1:$O$95,15,0))</f>
        <v>0</v>
      </c>
      <c r="W903" s="6">
        <f>IF(ISERROR(VLOOKUP($T$903,'TAR FIN'!$A$1:$O$95,15,0)),0,VLOOKUP($T$903,'TAR FIN'!$A$1:$O$95,15,0))</f>
        <v>149.63</v>
      </c>
      <c r="X903" s="6">
        <f>IF(ISERROR(VLOOKUP($U$903,'TAR FIN'!$A$1:$O$95,15,0)),0,VLOOKUP($U$903,'TAR FIN'!$A$1:$O$95,15,0))</f>
        <v>230.03</v>
      </c>
      <c r="Y903" s="6"/>
      <c r="Z903" s="6">
        <f ca="1">('TUSD BE'!$AM$17+'TUSD BF'!$AM$17+'TUSD CVA'!$AM$17)*1</f>
        <v>168.51338132937991</v>
      </c>
      <c r="AA903" s="6">
        <f>('TE BE'!$AA$8+'TE BF'!$AA$8+'TE CVA'!$AA$8)*1</f>
        <v>282.91739971702214</v>
      </c>
      <c r="AB903" s="6">
        <f>$K$903*$V$903</f>
        <v>0</v>
      </c>
      <c r="AC903" s="6">
        <f>$M$903*$W$903</f>
        <v>25702.69325</v>
      </c>
      <c r="AD903" s="6">
        <f>$O$903*$X$903</f>
        <v>39513.403250000003</v>
      </c>
      <c r="AE903" s="6">
        <f>$K$903*$Y$903</f>
        <v>0</v>
      </c>
      <c r="AF903" s="6">
        <f ca="1">$M$903*$Z$903</f>
        <v>28946.386077854237</v>
      </c>
      <c r="AG903" s="6">
        <f>$O$903*$AA$903</f>
        <v>48598.136336391479</v>
      </c>
    </row>
    <row r="904" spans="1:33" ht="11.25" customHeight="1" x14ac:dyDescent="0.25">
      <c r="A904" s="4" t="s">
        <v>21</v>
      </c>
      <c r="B904" s="4" t="s">
        <v>35</v>
      </c>
      <c r="C904" s="4" t="s">
        <v>36</v>
      </c>
      <c r="D904" s="4" t="s">
        <v>54</v>
      </c>
      <c r="E904" s="4" t="s">
        <v>25</v>
      </c>
      <c r="F904" s="4" t="s">
        <v>25</v>
      </c>
      <c r="G904" s="4" t="s">
        <v>25</v>
      </c>
      <c r="H904" s="4" t="s">
        <v>38</v>
      </c>
      <c r="I904" s="5">
        <v>44228</v>
      </c>
      <c r="J904" s="6">
        <v>0</v>
      </c>
      <c r="K904" s="6">
        <v>0</v>
      </c>
      <c r="L904" s="6">
        <v>170.74100000000001</v>
      </c>
      <c r="M904" s="6">
        <v>170.74100000000001</v>
      </c>
      <c r="N904" s="6">
        <v>170.74100000000001</v>
      </c>
      <c r="O904" s="6">
        <v>170.74100000000001</v>
      </c>
      <c r="P904" s="6">
        <v>0</v>
      </c>
      <c r="Q904" s="4" t="s">
        <v>26</v>
      </c>
      <c r="R904" s="4">
        <v>0</v>
      </c>
      <c r="S904" s="6">
        <v>0</v>
      </c>
      <c r="T904" s="6">
        <v>19</v>
      </c>
      <c r="U904" s="6">
        <v>67</v>
      </c>
      <c r="V904" s="6">
        <f>IF(ISERROR(VLOOKUP($S$904,'TAR FIN'!$A$1:$O$95,15,0)),0,VLOOKUP($S$904,'TAR FIN'!$A$1:$O$95,15,0))</f>
        <v>0</v>
      </c>
      <c r="W904" s="6">
        <f>IF(ISERROR(VLOOKUP($T$904,'TAR FIN'!$A$1:$O$95,15,0)),0,VLOOKUP($T$904,'TAR FIN'!$A$1:$O$95,15,0))</f>
        <v>149.63</v>
      </c>
      <c r="X904" s="6">
        <f>IF(ISERROR(VLOOKUP($U$904,'TAR FIN'!$A$1:$O$95,15,0)),0,VLOOKUP($U$904,'TAR FIN'!$A$1:$O$95,15,0))</f>
        <v>230.03</v>
      </c>
      <c r="Y904" s="6"/>
      <c r="Z904" s="6">
        <f ca="1">('TUSD BE'!$AM$17+'TUSD BF'!$AM$17+'TUSD CVA'!$AM$17)*1</f>
        <v>168.51338132937991</v>
      </c>
      <c r="AA904" s="6">
        <f>('TE BE'!$AA$8+'TE BF'!$AA$8+'TE CVA'!$AA$8)*1</f>
        <v>282.91739971702214</v>
      </c>
      <c r="AB904" s="6">
        <f>$K$904*$V$904</f>
        <v>0</v>
      </c>
      <c r="AC904" s="6">
        <f>$M$904*$W$904</f>
        <v>25547.975830000003</v>
      </c>
      <c r="AD904" s="6">
        <f>$O$904*$X$904</f>
        <v>39275.552230000001</v>
      </c>
      <c r="AE904" s="6">
        <f>$K$904*$Y$904</f>
        <v>0</v>
      </c>
      <c r="AF904" s="6">
        <f ca="1">$M$904*$Z$904</f>
        <v>28772.143241559657</v>
      </c>
      <c r="AG904" s="6">
        <f>$O$904*$AA$904</f>
        <v>48305.59974508408</v>
      </c>
    </row>
    <row r="905" spans="1:33" ht="11.25" customHeight="1" x14ac:dyDescent="0.25">
      <c r="A905" s="4" t="s">
        <v>21</v>
      </c>
      <c r="B905" s="4" t="s">
        <v>35</v>
      </c>
      <c r="C905" s="4" t="s">
        <v>36</v>
      </c>
      <c r="D905" s="4" t="s">
        <v>54</v>
      </c>
      <c r="E905" s="4" t="s">
        <v>25</v>
      </c>
      <c r="F905" s="4" t="s">
        <v>25</v>
      </c>
      <c r="G905" s="4" t="s">
        <v>25</v>
      </c>
      <c r="H905" s="4" t="s">
        <v>38</v>
      </c>
      <c r="I905" s="5">
        <v>44256</v>
      </c>
      <c r="J905" s="6">
        <v>0</v>
      </c>
      <c r="K905" s="6">
        <v>0</v>
      </c>
      <c r="L905" s="6">
        <v>195.67099999999999</v>
      </c>
      <c r="M905" s="6">
        <v>195.67099999999999</v>
      </c>
      <c r="N905" s="6">
        <v>195.67099999999999</v>
      </c>
      <c r="O905" s="6">
        <v>195.67099999999999</v>
      </c>
      <c r="P905" s="6">
        <v>0</v>
      </c>
      <c r="Q905" s="4" t="s">
        <v>26</v>
      </c>
      <c r="R905" s="4">
        <v>0</v>
      </c>
      <c r="S905" s="6">
        <v>0</v>
      </c>
      <c r="T905" s="6">
        <v>19</v>
      </c>
      <c r="U905" s="6">
        <v>67</v>
      </c>
      <c r="V905" s="6">
        <f>IF(ISERROR(VLOOKUP($S$905,'TAR FIN'!$A$1:$O$95,15,0)),0,VLOOKUP($S$905,'TAR FIN'!$A$1:$O$95,15,0))</f>
        <v>0</v>
      </c>
      <c r="W905" s="6">
        <f>IF(ISERROR(VLOOKUP($T$905,'TAR FIN'!$A$1:$O$95,15,0)),0,VLOOKUP($T$905,'TAR FIN'!$A$1:$O$95,15,0))</f>
        <v>149.63</v>
      </c>
      <c r="X905" s="6">
        <f>IF(ISERROR(VLOOKUP($U$905,'TAR FIN'!$A$1:$O$95,15,0)),0,VLOOKUP($U$905,'TAR FIN'!$A$1:$O$95,15,0))</f>
        <v>230.03</v>
      </c>
      <c r="Y905" s="6"/>
      <c r="Z905" s="6">
        <f ca="1">('TUSD BE'!$AM$17+'TUSD BF'!$AM$17+'TUSD CVA'!$AM$17)*1</f>
        <v>168.51338132937991</v>
      </c>
      <c r="AA905" s="6">
        <f>('TE BE'!$AA$8+'TE BF'!$AA$8+'TE CVA'!$AA$8)*1</f>
        <v>282.91739971702214</v>
      </c>
      <c r="AB905" s="6">
        <f>$K$905*$V$905</f>
        <v>0</v>
      </c>
      <c r="AC905" s="6">
        <f>$M$905*$W$905</f>
        <v>29278.251729999996</v>
      </c>
      <c r="AD905" s="6">
        <f>$O$905*$X$905</f>
        <v>45010.200129999997</v>
      </c>
      <c r="AE905" s="6">
        <f>$K$905*$Y$905</f>
        <v>0</v>
      </c>
      <c r="AF905" s="6">
        <f ca="1">$M$905*$Z$905</f>
        <v>32973.181838101096</v>
      </c>
      <c r="AG905" s="6">
        <f>$O$905*$AA$905</f>
        <v>55358.730520029436</v>
      </c>
    </row>
    <row r="906" spans="1:33" ht="11.25" customHeight="1" x14ac:dyDescent="0.25">
      <c r="A906" s="4" t="s">
        <v>21</v>
      </c>
      <c r="B906" s="4" t="s">
        <v>35</v>
      </c>
      <c r="C906" s="4" t="s">
        <v>36</v>
      </c>
      <c r="D906" s="4" t="s">
        <v>54</v>
      </c>
      <c r="E906" s="4" t="s">
        <v>25</v>
      </c>
      <c r="F906" s="4" t="s">
        <v>25</v>
      </c>
      <c r="G906" s="4" t="s">
        <v>25</v>
      </c>
      <c r="H906" s="4" t="s">
        <v>38</v>
      </c>
      <c r="I906" s="5">
        <v>44287</v>
      </c>
      <c r="J906" s="6">
        <v>0</v>
      </c>
      <c r="K906" s="6">
        <v>0</v>
      </c>
      <c r="L906" s="6">
        <v>197.00399999999999</v>
      </c>
      <c r="M906" s="6">
        <v>197.00399999999999</v>
      </c>
      <c r="N906" s="6">
        <v>197.00399999999999</v>
      </c>
      <c r="O906" s="6">
        <v>197.00399999999999</v>
      </c>
      <c r="P906" s="6">
        <v>0</v>
      </c>
      <c r="Q906" s="4" t="s">
        <v>26</v>
      </c>
      <c r="R906" s="4">
        <v>0</v>
      </c>
      <c r="S906" s="6">
        <v>0</v>
      </c>
      <c r="T906" s="6">
        <v>19</v>
      </c>
      <c r="U906" s="6">
        <v>67</v>
      </c>
      <c r="V906" s="6">
        <f>IF(ISERROR(VLOOKUP($S$906,'TAR FIN'!$A$1:$O$95,15,0)),0,VLOOKUP($S$906,'TAR FIN'!$A$1:$O$95,15,0))</f>
        <v>0</v>
      </c>
      <c r="W906" s="6">
        <f>IF(ISERROR(VLOOKUP($T$906,'TAR FIN'!$A$1:$O$95,15,0)),0,VLOOKUP($T$906,'TAR FIN'!$A$1:$O$95,15,0))</f>
        <v>149.63</v>
      </c>
      <c r="X906" s="6">
        <f>IF(ISERROR(VLOOKUP($U$906,'TAR FIN'!$A$1:$O$95,15,0)),0,VLOOKUP($U$906,'TAR FIN'!$A$1:$O$95,15,0))</f>
        <v>230.03</v>
      </c>
      <c r="Y906" s="6"/>
      <c r="Z906" s="6">
        <f ca="1">('TUSD BE'!$AM$17+'TUSD BF'!$AM$17+'TUSD CVA'!$AM$17)*1</f>
        <v>168.51338132937991</v>
      </c>
      <c r="AA906" s="6">
        <f>('TE BE'!$AA$8+'TE BF'!$AA$8+'TE CVA'!$AA$8)*1</f>
        <v>282.91739971702214</v>
      </c>
      <c r="AB906" s="6">
        <f>$K$906*$V$906</f>
        <v>0</v>
      </c>
      <c r="AC906" s="6">
        <f>$M$906*$W$906</f>
        <v>29477.708519999996</v>
      </c>
      <c r="AD906" s="6">
        <f>$O$906*$X$906</f>
        <v>45316.830119999999</v>
      </c>
      <c r="AE906" s="6">
        <f>$K$906*$Y$906</f>
        <v>0</v>
      </c>
      <c r="AF906" s="6">
        <f ca="1">$M$906*$Z$906</f>
        <v>33197.810175413157</v>
      </c>
      <c r="AG906" s="6">
        <f>$O$906*$AA$906</f>
        <v>55735.859413852224</v>
      </c>
    </row>
    <row r="907" spans="1:33" ht="11.25" customHeight="1" x14ac:dyDescent="0.25">
      <c r="A907" s="4" t="s">
        <v>21</v>
      </c>
      <c r="B907" s="4" t="s">
        <v>35</v>
      </c>
      <c r="C907" s="4" t="s">
        <v>36</v>
      </c>
      <c r="D907" s="4" t="s">
        <v>54</v>
      </c>
      <c r="E907" s="4" t="s">
        <v>25</v>
      </c>
      <c r="F907" s="4" t="s">
        <v>25</v>
      </c>
      <c r="G907" s="4" t="s">
        <v>25</v>
      </c>
      <c r="H907" s="4" t="s">
        <v>38</v>
      </c>
      <c r="I907" s="5">
        <v>44317</v>
      </c>
      <c r="J907" s="6">
        <v>0</v>
      </c>
      <c r="K907" s="6">
        <v>0</v>
      </c>
      <c r="L907" s="6">
        <v>211.381</v>
      </c>
      <c r="M907" s="6">
        <v>211.381</v>
      </c>
      <c r="N907" s="6">
        <v>211.381</v>
      </c>
      <c r="O907" s="6">
        <v>211.381</v>
      </c>
      <c r="P907" s="6">
        <v>0</v>
      </c>
      <c r="Q907" s="4" t="s">
        <v>26</v>
      </c>
      <c r="R907" s="4">
        <v>0</v>
      </c>
      <c r="S907" s="6">
        <v>0</v>
      </c>
      <c r="T907" s="6">
        <v>19</v>
      </c>
      <c r="U907" s="6">
        <v>67</v>
      </c>
      <c r="V907" s="6">
        <f>IF(ISERROR(VLOOKUP($S$907,'TAR FIN'!$A$1:$O$95,15,0)),0,VLOOKUP($S$907,'TAR FIN'!$A$1:$O$95,15,0))</f>
        <v>0</v>
      </c>
      <c r="W907" s="6">
        <f>IF(ISERROR(VLOOKUP($T$907,'TAR FIN'!$A$1:$O$95,15,0)),0,VLOOKUP($T$907,'TAR FIN'!$A$1:$O$95,15,0))</f>
        <v>149.63</v>
      </c>
      <c r="X907" s="6">
        <f>IF(ISERROR(VLOOKUP($U$907,'TAR FIN'!$A$1:$O$95,15,0)),0,VLOOKUP($U$907,'TAR FIN'!$A$1:$O$95,15,0))</f>
        <v>230.03</v>
      </c>
      <c r="Y907" s="6"/>
      <c r="Z907" s="6">
        <f ca="1">('TUSD BE'!$AM$17+'TUSD BF'!$AM$17+'TUSD CVA'!$AM$17)*1</f>
        <v>168.51338132937991</v>
      </c>
      <c r="AA907" s="6">
        <f>('TE BE'!$AA$8+'TE BF'!$AA$8+'TE CVA'!$AA$8)*1</f>
        <v>282.91739971702214</v>
      </c>
      <c r="AB907" s="6">
        <f>$K$907*$V$907</f>
        <v>0</v>
      </c>
      <c r="AC907" s="6">
        <f>$M$907*$W$907</f>
        <v>31628.939029999998</v>
      </c>
      <c r="AD907" s="6">
        <f>$O$907*$X$907</f>
        <v>48623.971429999998</v>
      </c>
      <c r="AE907" s="6">
        <f>$K$907*$Y$907</f>
        <v>0</v>
      </c>
      <c r="AF907" s="6">
        <f ca="1">$M$907*$Z$907</f>
        <v>35620.527058785658</v>
      </c>
      <c r="AG907" s="6">
        <f>$O$907*$AA$907</f>
        <v>59803.362869583856</v>
      </c>
    </row>
    <row r="908" spans="1:33" ht="11.25" customHeight="1" x14ac:dyDescent="0.25">
      <c r="A908" s="4" t="s">
        <v>21</v>
      </c>
      <c r="B908" s="4" t="s">
        <v>35</v>
      </c>
      <c r="C908" s="4" t="s">
        <v>36</v>
      </c>
      <c r="D908" s="4" t="s">
        <v>54</v>
      </c>
      <c r="E908" s="4" t="s">
        <v>25</v>
      </c>
      <c r="F908" s="4" t="s">
        <v>25</v>
      </c>
      <c r="G908" s="4" t="s">
        <v>25</v>
      </c>
      <c r="H908" s="4" t="s">
        <v>38</v>
      </c>
      <c r="I908" s="5">
        <v>44348</v>
      </c>
      <c r="J908" s="6">
        <v>0</v>
      </c>
      <c r="K908" s="6">
        <v>0</v>
      </c>
      <c r="L908" s="6">
        <v>203.55699999999999</v>
      </c>
      <c r="M908" s="6">
        <v>203.55699999999999</v>
      </c>
      <c r="N908" s="6">
        <v>203.55699999999999</v>
      </c>
      <c r="O908" s="6">
        <v>203.55699999999999</v>
      </c>
      <c r="P908" s="6">
        <v>0</v>
      </c>
      <c r="Q908" s="4" t="s">
        <v>26</v>
      </c>
      <c r="R908" s="4">
        <v>0</v>
      </c>
      <c r="S908" s="6">
        <v>0</v>
      </c>
      <c r="T908" s="6">
        <v>19</v>
      </c>
      <c r="U908" s="6">
        <v>67</v>
      </c>
      <c r="V908" s="6">
        <f>IF(ISERROR(VLOOKUP($S$908,'TAR FIN'!$A$1:$O$95,15,0)),0,VLOOKUP($S$908,'TAR FIN'!$A$1:$O$95,15,0))</f>
        <v>0</v>
      </c>
      <c r="W908" s="6">
        <f>IF(ISERROR(VLOOKUP($T$908,'TAR FIN'!$A$1:$O$95,15,0)),0,VLOOKUP($T$908,'TAR FIN'!$A$1:$O$95,15,0))</f>
        <v>149.63</v>
      </c>
      <c r="X908" s="6">
        <f>IF(ISERROR(VLOOKUP($U$908,'TAR FIN'!$A$1:$O$95,15,0)),0,VLOOKUP($U$908,'TAR FIN'!$A$1:$O$95,15,0))</f>
        <v>230.03</v>
      </c>
      <c r="Y908" s="6"/>
      <c r="Z908" s="6">
        <f ca="1">('TUSD BE'!$AM$17+'TUSD BF'!$AM$17+'TUSD CVA'!$AM$17)*1</f>
        <v>168.51338132937991</v>
      </c>
      <c r="AA908" s="6">
        <f>('TE BE'!$AA$8+'TE BF'!$AA$8+'TE CVA'!$AA$8)*1</f>
        <v>282.91739971702214</v>
      </c>
      <c r="AB908" s="6">
        <f>$K$908*$V$908</f>
        <v>0</v>
      </c>
      <c r="AC908" s="6">
        <f>$M$908*$W$908</f>
        <v>30458.233909999999</v>
      </c>
      <c r="AD908" s="6">
        <f>$O$908*$X$908</f>
        <v>46824.216710000001</v>
      </c>
      <c r="AE908" s="6">
        <f>$K$908*$Y$908</f>
        <v>0</v>
      </c>
      <c r="AF908" s="6">
        <f ca="1">$M$908*$Z$908</f>
        <v>34302.078363264583</v>
      </c>
      <c r="AG908" s="6">
        <f>$O$908*$AA$908</f>
        <v>57589.817134197874</v>
      </c>
    </row>
    <row r="909" spans="1:33" ht="11.25" customHeight="1" x14ac:dyDescent="0.25">
      <c r="A909" s="4" t="s">
        <v>21</v>
      </c>
      <c r="B909" s="4" t="s">
        <v>35</v>
      </c>
      <c r="C909" s="4" t="s">
        <v>36</v>
      </c>
      <c r="D909" s="4" t="s">
        <v>54</v>
      </c>
      <c r="E909" s="4" t="s">
        <v>25</v>
      </c>
      <c r="F909" s="4" t="s">
        <v>25</v>
      </c>
      <c r="G909" s="4" t="s">
        <v>25</v>
      </c>
      <c r="H909" s="4" t="s">
        <v>38</v>
      </c>
      <c r="I909" s="5">
        <v>44378</v>
      </c>
      <c r="J909" s="6">
        <v>0</v>
      </c>
      <c r="K909" s="6">
        <v>0</v>
      </c>
      <c r="L909" s="6">
        <v>210.88900000000001</v>
      </c>
      <c r="M909" s="6">
        <v>210.88900000000001</v>
      </c>
      <c r="N909" s="6">
        <v>210.88900000000001</v>
      </c>
      <c r="O909" s="6">
        <v>210.88900000000001</v>
      </c>
      <c r="P909" s="6">
        <v>0</v>
      </c>
      <c r="Q909" s="4" t="s">
        <v>26</v>
      </c>
      <c r="R909" s="4">
        <v>0</v>
      </c>
      <c r="S909" s="6">
        <v>0</v>
      </c>
      <c r="T909" s="6">
        <v>19</v>
      </c>
      <c r="U909" s="6">
        <v>67</v>
      </c>
      <c r="V909" s="6">
        <f>IF(ISERROR(VLOOKUP($S$909,'TAR FIN'!$A$1:$O$95,15,0)),0,VLOOKUP($S$909,'TAR FIN'!$A$1:$O$95,15,0))</f>
        <v>0</v>
      </c>
      <c r="W909" s="6">
        <f>IF(ISERROR(VLOOKUP($T$909,'TAR FIN'!$A$1:$O$95,15,0)),0,VLOOKUP($T$909,'TAR FIN'!$A$1:$O$95,15,0))</f>
        <v>149.63</v>
      </c>
      <c r="X909" s="6">
        <f>IF(ISERROR(VLOOKUP($U$909,'TAR FIN'!$A$1:$O$95,15,0)),0,VLOOKUP($U$909,'TAR FIN'!$A$1:$O$95,15,0))</f>
        <v>230.03</v>
      </c>
      <c r="Y909" s="6"/>
      <c r="Z909" s="6">
        <f ca="1">('TUSD BE'!$AM$17+'TUSD BF'!$AM$17+'TUSD CVA'!$AM$17)*1</f>
        <v>168.51338132937991</v>
      </c>
      <c r="AA909" s="6">
        <f>('TE BE'!$AA$8+'TE BF'!$AA$8+'TE CVA'!$AA$8)*1</f>
        <v>282.91739971702214</v>
      </c>
      <c r="AB909" s="6">
        <f>$K$909*$V$909</f>
        <v>0</v>
      </c>
      <c r="AC909" s="6">
        <f>$M$909*$W$909</f>
        <v>31555.321070000002</v>
      </c>
      <c r="AD909" s="6">
        <f>$O$909*$X$909</f>
        <v>48510.796670000003</v>
      </c>
      <c r="AE909" s="6">
        <f>$K$909*$Y$909</f>
        <v>0</v>
      </c>
      <c r="AF909" s="6">
        <f ca="1">$M$909*$Z$909</f>
        <v>35537.618475171599</v>
      </c>
      <c r="AG909" s="6">
        <f>$O$909*$AA$909</f>
        <v>59664.167508923085</v>
      </c>
    </row>
    <row r="910" spans="1:33" ht="11.25" customHeight="1" x14ac:dyDescent="0.25">
      <c r="A910" s="4" t="s">
        <v>21</v>
      </c>
      <c r="B910" s="4" t="s">
        <v>35</v>
      </c>
      <c r="C910" s="4" t="s">
        <v>36</v>
      </c>
      <c r="D910" s="4" t="s">
        <v>54</v>
      </c>
      <c r="E910" s="4" t="s">
        <v>25</v>
      </c>
      <c r="F910" s="4" t="s">
        <v>25</v>
      </c>
      <c r="G910" s="4" t="s">
        <v>25</v>
      </c>
      <c r="H910" s="4" t="s">
        <v>38</v>
      </c>
      <c r="I910" s="5">
        <v>44409</v>
      </c>
      <c r="J910" s="6">
        <v>0</v>
      </c>
      <c r="K910" s="6">
        <v>0</v>
      </c>
      <c r="L910" s="6">
        <v>223.595</v>
      </c>
      <c r="M910" s="6">
        <v>223.595</v>
      </c>
      <c r="N910" s="6">
        <v>223.595</v>
      </c>
      <c r="O910" s="6">
        <v>223.595</v>
      </c>
      <c r="P910" s="6">
        <v>0</v>
      </c>
      <c r="Q910" s="4" t="s">
        <v>26</v>
      </c>
      <c r="R910" s="4">
        <v>0</v>
      </c>
      <c r="S910" s="6">
        <v>0</v>
      </c>
      <c r="T910" s="6">
        <v>19</v>
      </c>
      <c r="U910" s="6">
        <v>67</v>
      </c>
      <c r="V910" s="6">
        <f>IF(ISERROR(VLOOKUP($S$910,'TAR FIN'!$A$1:$O$95,15,0)),0,VLOOKUP($S$910,'TAR FIN'!$A$1:$O$95,15,0))</f>
        <v>0</v>
      </c>
      <c r="W910" s="6">
        <f>IF(ISERROR(VLOOKUP($T$910,'TAR FIN'!$A$1:$O$95,15,0)),0,VLOOKUP($T$910,'TAR FIN'!$A$1:$O$95,15,0))</f>
        <v>149.63</v>
      </c>
      <c r="X910" s="6">
        <f>IF(ISERROR(VLOOKUP($U$910,'TAR FIN'!$A$1:$O$95,15,0)),0,VLOOKUP($U$910,'TAR FIN'!$A$1:$O$95,15,0))</f>
        <v>230.03</v>
      </c>
      <c r="Y910" s="6"/>
      <c r="Z910" s="6">
        <f ca="1">('TUSD BE'!$AM$17+'TUSD BF'!$AM$17+'TUSD CVA'!$AM$17)*1</f>
        <v>168.51338132937991</v>
      </c>
      <c r="AA910" s="6">
        <f>('TE BE'!$AA$8+'TE BF'!$AA$8+'TE CVA'!$AA$8)*1</f>
        <v>282.91739971702214</v>
      </c>
      <c r="AB910" s="6">
        <f>$K$910*$V$910</f>
        <v>0</v>
      </c>
      <c r="AC910" s="6">
        <f>$M$910*$W$910</f>
        <v>33456.519849999997</v>
      </c>
      <c r="AD910" s="6">
        <f>$O$910*$X$910</f>
        <v>51433.557849999997</v>
      </c>
      <c r="AE910" s="6">
        <f>$K$910*$Y$910</f>
        <v>0</v>
      </c>
      <c r="AF910" s="6">
        <f ca="1">$M$910*$Z$910</f>
        <v>37678.749498342702</v>
      </c>
      <c r="AG910" s="6">
        <f>$O$910*$AA$910</f>
        <v>63258.915989727568</v>
      </c>
    </row>
    <row r="911" spans="1:33" ht="11.25" customHeight="1" x14ac:dyDescent="0.25">
      <c r="A911" s="4" t="s">
        <v>21</v>
      </c>
      <c r="B911" s="4" t="s">
        <v>35</v>
      </c>
      <c r="C911" s="4" t="s">
        <v>36</v>
      </c>
      <c r="D911" s="4" t="s">
        <v>54</v>
      </c>
      <c r="E911" s="4" t="s">
        <v>25</v>
      </c>
      <c r="F911" s="4" t="s">
        <v>25</v>
      </c>
      <c r="G911" s="4" t="s">
        <v>25</v>
      </c>
      <c r="H911" s="4" t="s">
        <v>38</v>
      </c>
      <c r="I911" s="5">
        <v>44440</v>
      </c>
      <c r="J911" s="6">
        <v>0</v>
      </c>
      <c r="K911" s="6">
        <v>0</v>
      </c>
      <c r="L911" s="6">
        <v>209.81800000000001</v>
      </c>
      <c r="M911" s="6">
        <v>209.81800000000001</v>
      </c>
      <c r="N911" s="6">
        <v>209.81800000000001</v>
      </c>
      <c r="O911" s="6">
        <v>209.81800000000001</v>
      </c>
      <c r="P911" s="6">
        <v>0</v>
      </c>
      <c r="Q911" s="4" t="s">
        <v>26</v>
      </c>
      <c r="R911" s="4">
        <v>0</v>
      </c>
      <c r="S911" s="6">
        <v>0</v>
      </c>
      <c r="T911" s="6">
        <v>19</v>
      </c>
      <c r="U911" s="6">
        <v>67</v>
      </c>
      <c r="V911" s="6">
        <f>IF(ISERROR(VLOOKUP($S$911,'TAR FIN'!$A$1:$O$95,15,0)),0,VLOOKUP($S$911,'TAR FIN'!$A$1:$O$95,15,0))</f>
        <v>0</v>
      </c>
      <c r="W911" s="6">
        <f>IF(ISERROR(VLOOKUP($T$911,'TAR FIN'!$A$1:$O$95,15,0)),0,VLOOKUP($T$911,'TAR FIN'!$A$1:$O$95,15,0))</f>
        <v>149.63</v>
      </c>
      <c r="X911" s="6">
        <f>IF(ISERROR(VLOOKUP($U$911,'TAR FIN'!$A$1:$O$95,15,0)),0,VLOOKUP($U$911,'TAR FIN'!$A$1:$O$95,15,0))</f>
        <v>230.03</v>
      </c>
      <c r="Y911" s="6"/>
      <c r="Z911" s="6">
        <f ca="1">('TUSD BE'!$AM$17+'TUSD BF'!$AM$17+'TUSD CVA'!$AM$17)*1</f>
        <v>168.51338132937991</v>
      </c>
      <c r="AA911" s="6">
        <f>('TE BE'!$AA$8+'TE BF'!$AA$8+'TE CVA'!$AA$8)*1</f>
        <v>282.91739971702214</v>
      </c>
      <c r="AB911" s="6">
        <f>$K$911*$V$911</f>
        <v>0</v>
      </c>
      <c r="AC911" s="6">
        <f>$M$911*$W$911</f>
        <v>31395.067340000001</v>
      </c>
      <c r="AD911" s="6">
        <f>$O$911*$X$911</f>
        <v>48264.434540000002</v>
      </c>
      <c r="AE911" s="6">
        <f>$K$911*$Y$911</f>
        <v>0</v>
      </c>
      <c r="AF911" s="6">
        <f ca="1">$M$911*$Z$911</f>
        <v>35357.140643767838</v>
      </c>
      <c r="AG911" s="6">
        <f>$O$911*$AA$911</f>
        <v>59361.162973826154</v>
      </c>
    </row>
    <row r="912" spans="1:33" ht="11.25" customHeight="1" x14ac:dyDescent="0.25">
      <c r="A912" s="4" t="s">
        <v>59</v>
      </c>
      <c r="B912" s="4" t="s">
        <v>35</v>
      </c>
      <c r="C912" s="4" t="s">
        <v>36</v>
      </c>
      <c r="D912" s="4" t="s">
        <v>54</v>
      </c>
      <c r="E912" s="4" t="s">
        <v>25</v>
      </c>
      <c r="F912" s="4" t="s">
        <v>25</v>
      </c>
      <c r="G912" s="4" t="s">
        <v>25</v>
      </c>
      <c r="H912" s="4" t="s">
        <v>38</v>
      </c>
      <c r="I912" s="5">
        <v>44470</v>
      </c>
      <c r="J912" s="6">
        <v>0</v>
      </c>
      <c r="K912" s="6">
        <v>0</v>
      </c>
      <c r="L912" s="6">
        <v>209.81800000000001</v>
      </c>
      <c r="M912" s="6">
        <v>209.81800000000001</v>
      </c>
      <c r="N912" s="6">
        <v>209.81800000000001</v>
      </c>
      <c r="O912" s="6">
        <v>209.81800000000001</v>
      </c>
      <c r="P912" s="6">
        <v>0</v>
      </c>
      <c r="Q912" s="4" t="s">
        <v>26</v>
      </c>
      <c r="R912" s="4">
        <v>0</v>
      </c>
      <c r="S912" s="6">
        <v>0</v>
      </c>
      <c r="T912" s="6">
        <v>19</v>
      </c>
      <c r="U912" s="6">
        <v>67</v>
      </c>
      <c r="V912" s="6">
        <f>IF(ISERROR(VLOOKUP($S$912,'TAR FIN'!$A$1:$O$95,15,0)),0,VLOOKUP($S$912,'TAR FIN'!$A$1:$O$95,15,0))</f>
        <v>0</v>
      </c>
      <c r="W912" s="6">
        <f>IF(ISERROR(VLOOKUP($T$912,'TAR FIN'!$A$1:$O$95,15,0)),0,VLOOKUP($T$912,'TAR FIN'!$A$1:$O$95,15,0))</f>
        <v>149.63</v>
      </c>
      <c r="X912" s="6">
        <f>IF(ISERROR(VLOOKUP($U$912,'TAR FIN'!$A$1:$O$95,15,0)),0,VLOOKUP($U$912,'TAR FIN'!$A$1:$O$95,15,0))</f>
        <v>230.03</v>
      </c>
      <c r="Y912" s="6"/>
      <c r="Z912" s="6">
        <f ca="1">('TUSD BE'!$AM$17+'TUSD BF'!$AM$17+'TUSD CVA'!$AM$17)*1</f>
        <v>168.51338132937991</v>
      </c>
      <c r="AA912" s="6">
        <f>('TE BE'!$AA$8+'TE BF'!$AA$8+'TE CVA'!$AA$8)*1</f>
        <v>282.91739971702214</v>
      </c>
      <c r="AB912" s="6">
        <f>$K$912*$V$912</f>
        <v>0</v>
      </c>
      <c r="AC912" s="6">
        <f>$M$912*$W$912</f>
        <v>31395.067340000001</v>
      </c>
      <c r="AD912" s="6">
        <f>$O$912*$X$912</f>
        <v>48264.434540000002</v>
      </c>
      <c r="AE912" s="6">
        <f>$K$912*$Y$912</f>
        <v>0</v>
      </c>
      <c r="AF912" s="6">
        <f ca="1">$M$912*$Z$912</f>
        <v>35357.140643767838</v>
      </c>
      <c r="AG912" s="6">
        <f>$O$912*$AA$912</f>
        <v>59361.162973826154</v>
      </c>
    </row>
    <row r="913" spans="1:33" ht="11.25" customHeight="1" x14ac:dyDescent="0.25">
      <c r="A913" s="4" t="s">
        <v>21</v>
      </c>
      <c r="B913" s="4" t="s">
        <v>35</v>
      </c>
      <c r="C913" s="4" t="s">
        <v>36</v>
      </c>
      <c r="D913" s="4" t="s">
        <v>54</v>
      </c>
      <c r="E913" s="4" t="s">
        <v>25</v>
      </c>
      <c r="F913" s="4" t="s">
        <v>25</v>
      </c>
      <c r="G913" s="4" t="s">
        <v>25</v>
      </c>
      <c r="H913" s="4" t="s">
        <v>25</v>
      </c>
      <c r="I913" s="5">
        <v>44136</v>
      </c>
      <c r="J913" s="6">
        <v>898</v>
      </c>
      <c r="K913" s="6">
        <v>898</v>
      </c>
      <c r="L913" s="6">
        <v>0</v>
      </c>
      <c r="M913" s="6">
        <v>0</v>
      </c>
      <c r="N913" s="6">
        <v>0</v>
      </c>
      <c r="O913" s="6">
        <v>0</v>
      </c>
      <c r="P913" s="6">
        <v>7</v>
      </c>
      <c r="Q913" s="4" t="s">
        <v>26</v>
      </c>
      <c r="R913" s="4">
        <v>0</v>
      </c>
      <c r="S913" s="6">
        <v>23</v>
      </c>
      <c r="T913" s="6">
        <v>0</v>
      </c>
      <c r="U913" s="6">
        <v>0</v>
      </c>
      <c r="V913" s="6">
        <f>IF(ISERROR(VLOOKUP($S$913,'TAR FIN'!$A$1:$O$95,15,0)),0,VLOOKUP($S$913,'TAR FIN'!$A$1:$O$95,15,0))</f>
        <v>28.57</v>
      </c>
      <c r="W913" s="6">
        <f>IF(ISERROR(VLOOKUP($T$913,'TAR FIN'!$A$1:$O$95,15,0)),0,VLOOKUP($T$913,'TAR FIN'!$A$1:$O$95,15,0))</f>
        <v>0</v>
      </c>
      <c r="X913" s="6">
        <f>IF(ISERROR(VLOOKUP($U$913,'TAR FIN'!$A$1:$O$95,15,0)),0,VLOOKUP($U$913,'TAR FIN'!$A$1:$O$95,15,0))</f>
        <v>0</v>
      </c>
      <c r="Y913" s="6">
        <f ca="1">('TUSD BE'!$AM$15+'TUSD BF'!$AM$15+'TUSD CVA'!$AM$15)*1</f>
        <v>31.93064187172984</v>
      </c>
      <c r="Z913" s="6"/>
      <c r="AA913" s="6"/>
      <c r="AB913" s="6">
        <f>$K$913*$V$913</f>
        <v>25655.86</v>
      </c>
      <c r="AC913" s="6">
        <f>$M$913*$W$913</f>
        <v>0</v>
      </c>
      <c r="AD913" s="6">
        <f>$O$913*$X$913</f>
        <v>0</v>
      </c>
      <c r="AE913" s="6">
        <f ca="1">$K$913*$Y$913</f>
        <v>28673.716400813395</v>
      </c>
      <c r="AF913" s="6">
        <f>$M$913*$Z$913</f>
        <v>0</v>
      </c>
      <c r="AG913" s="6">
        <f>$O$913*$AA$913</f>
        <v>0</v>
      </c>
    </row>
    <row r="914" spans="1:33" ht="11.25" customHeight="1" x14ac:dyDescent="0.25">
      <c r="A914" s="4" t="s">
        <v>21</v>
      </c>
      <c r="B914" s="4" t="s">
        <v>35</v>
      </c>
      <c r="C914" s="4" t="s">
        <v>36</v>
      </c>
      <c r="D914" s="4" t="s">
        <v>54</v>
      </c>
      <c r="E914" s="4" t="s">
        <v>25</v>
      </c>
      <c r="F914" s="4" t="s">
        <v>25</v>
      </c>
      <c r="G914" s="4" t="s">
        <v>25</v>
      </c>
      <c r="H914" s="4" t="s">
        <v>25</v>
      </c>
      <c r="I914" s="5">
        <v>44166</v>
      </c>
      <c r="J914" s="6">
        <v>879</v>
      </c>
      <c r="K914" s="6">
        <v>879</v>
      </c>
      <c r="L914" s="6">
        <v>0</v>
      </c>
      <c r="M914" s="6">
        <v>0</v>
      </c>
      <c r="N914" s="6">
        <v>0</v>
      </c>
      <c r="O914" s="6">
        <v>0</v>
      </c>
      <c r="P914" s="6">
        <v>7</v>
      </c>
      <c r="Q914" s="4" t="s">
        <v>26</v>
      </c>
      <c r="R914" s="4">
        <v>0</v>
      </c>
      <c r="S914" s="6">
        <v>23</v>
      </c>
      <c r="T914" s="6">
        <v>0</v>
      </c>
      <c r="U914" s="6">
        <v>0</v>
      </c>
      <c r="V914" s="6">
        <f>IF(ISERROR(VLOOKUP($S$914,'TAR FIN'!$A$1:$O$95,15,0)),0,VLOOKUP($S$914,'TAR FIN'!$A$1:$O$95,15,0))</f>
        <v>28.57</v>
      </c>
      <c r="W914" s="6">
        <f>IF(ISERROR(VLOOKUP($T$914,'TAR FIN'!$A$1:$O$95,15,0)),0,VLOOKUP($T$914,'TAR FIN'!$A$1:$O$95,15,0))</f>
        <v>0</v>
      </c>
      <c r="X914" s="6">
        <f>IF(ISERROR(VLOOKUP($U$914,'TAR FIN'!$A$1:$O$95,15,0)),0,VLOOKUP($U$914,'TAR FIN'!$A$1:$O$95,15,0))</f>
        <v>0</v>
      </c>
      <c r="Y914" s="6">
        <f ca="1">('TUSD BE'!$AM$15+'TUSD BF'!$AM$15+'TUSD CVA'!$AM$15)*1</f>
        <v>31.93064187172984</v>
      </c>
      <c r="Z914" s="6"/>
      <c r="AA914" s="6"/>
      <c r="AB914" s="6">
        <f>$K$914*$V$914</f>
        <v>25113.03</v>
      </c>
      <c r="AC914" s="6">
        <f>$M$914*$W$914</f>
        <v>0</v>
      </c>
      <c r="AD914" s="6">
        <f>$O$914*$X$914</f>
        <v>0</v>
      </c>
      <c r="AE914" s="6">
        <f ca="1">$K$914*$Y$914</f>
        <v>28067.034205250529</v>
      </c>
      <c r="AF914" s="6">
        <f>$M$914*$Z$914</f>
        <v>0</v>
      </c>
      <c r="AG914" s="6">
        <f>$O$914*$AA$914</f>
        <v>0</v>
      </c>
    </row>
    <row r="915" spans="1:33" ht="11.25" customHeight="1" x14ac:dyDescent="0.25">
      <c r="A915" s="4" t="s">
        <v>21</v>
      </c>
      <c r="B915" s="4" t="s">
        <v>35</v>
      </c>
      <c r="C915" s="4" t="s">
        <v>36</v>
      </c>
      <c r="D915" s="4" t="s">
        <v>54</v>
      </c>
      <c r="E915" s="4" t="s">
        <v>25</v>
      </c>
      <c r="F915" s="4" t="s">
        <v>25</v>
      </c>
      <c r="G915" s="4" t="s">
        <v>25</v>
      </c>
      <c r="H915" s="4" t="s">
        <v>25</v>
      </c>
      <c r="I915" s="5">
        <v>44197</v>
      </c>
      <c r="J915" s="6">
        <v>798</v>
      </c>
      <c r="K915" s="6">
        <v>798</v>
      </c>
      <c r="L915" s="6">
        <v>0</v>
      </c>
      <c r="M915" s="6">
        <v>0</v>
      </c>
      <c r="N915" s="6">
        <v>0</v>
      </c>
      <c r="O915" s="6">
        <v>0</v>
      </c>
      <c r="P915" s="6">
        <v>7</v>
      </c>
      <c r="Q915" s="4" t="s">
        <v>26</v>
      </c>
      <c r="R915" s="4">
        <v>0</v>
      </c>
      <c r="S915" s="6">
        <v>23</v>
      </c>
      <c r="T915" s="6">
        <v>0</v>
      </c>
      <c r="U915" s="6">
        <v>0</v>
      </c>
      <c r="V915" s="6">
        <f>IF(ISERROR(VLOOKUP($S$915,'TAR FIN'!$A$1:$O$95,15,0)),0,VLOOKUP($S$915,'TAR FIN'!$A$1:$O$95,15,0))</f>
        <v>28.57</v>
      </c>
      <c r="W915" s="6">
        <f>IF(ISERROR(VLOOKUP($T$915,'TAR FIN'!$A$1:$O$95,15,0)),0,VLOOKUP($T$915,'TAR FIN'!$A$1:$O$95,15,0))</f>
        <v>0</v>
      </c>
      <c r="X915" s="6">
        <f>IF(ISERROR(VLOOKUP($U$915,'TAR FIN'!$A$1:$O$95,15,0)),0,VLOOKUP($U$915,'TAR FIN'!$A$1:$O$95,15,0))</f>
        <v>0</v>
      </c>
      <c r="Y915" s="6">
        <f ca="1">('TUSD BE'!$AM$15+'TUSD BF'!$AM$15+'TUSD CVA'!$AM$15)*1</f>
        <v>31.93064187172984</v>
      </c>
      <c r="Z915" s="6"/>
      <c r="AA915" s="6"/>
      <c r="AB915" s="6">
        <f>$K$915*$V$915</f>
        <v>22798.86</v>
      </c>
      <c r="AC915" s="6">
        <f>$M$915*$W$915</f>
        <v>0</v>
      </c>
      <c r="AD915" s="6">
        <f>$O$915*$X$915</f>
        <v>0</v>
      </c>
      <c r="AE915" s="6">
        <f ca="1">$K$915*$Y$915</f>
        <v>25480.652213640413</v>
      </c>
      <c r="AF915" s="6">
        <f>$M$915*$Z$915</f>
        <v>0</v>
      </c>
      <c r="AG915" s="6">
        <f>$O$915*$AA$915</f>
        <v>0</v>
      </c>
    </row>
    <row r="916" spans="1:33" ht="11.25" customHeight="1" x14ac:dyDescent="0.25">
      <c r="A916" s="4" t="s">
        <v>21</v>
      </c>
      <c r="B916" s="4" t="s">
        <v>35</v>
      </c>
      <c r="C916" s="4" t="s">
        <v>36</v>
      </c>
      <c r="D916" s="4" t="s">
        <v>54</v>
      </c>
      <c r="E916" s="4" t="s">
        <v>25</v>
      </c>
      <c r="F916" s="4" t="s">
        <v>25</v>
      </c>
      <c r="G916" s="4" t="s">
        <v>25</v>
      </c>
      <c r="H916" s="4" t="s">
        <v>25</v>
      </c>
      <c r="I916" s="5">
        <v>44228</v>
      </c>
      <c r="J916" s="6">
        <v>827</v>
      </c>
      <c r="K916" s="6">
        <v>827</v>
      </c>
      <c r="L916" s="6">
        <v>0</v>
      </c>
      <c r="M916" s="6">
        <v>0</v>
      </c>
      <c r="N916" s="6">
        <v>0</v>
      </c>
      <c r="O916" s="6">
        <v>0</v>
      </c>
      <c r="P916" s="6">
        <v>7</v>
      </c>
      <c r="Q916" s="4" t="s">
        <v>26</v>
      </c>
      <c r="R916" s="4">
        <v>0</v>
      </c>
      <c r="S916" s="6">
        <v>23</v>
      </c>
      <c r="T916" s="6">
        <v>0</v>
      </c>
      <c r="U916" s="6">
        <v>0</v>
      </c>
      <c r="V916" s="6">
        <f>IF(ISERROR(VLOOKUP($S$916,'TAR FIN'!$A$1:$O$95,15,0)),0,VLOOKUP($S$916,'TAR FIN'!$A$1:$O$95,15,0))</f>
        <v>28.57</v>
      </c>
      <c r="W916" s="6">
        <f>IF(ISERROR(VLOOKUP($T$916,'TAR FIN'!$A$1:$O$95,15,0)),0,VLOOKUP($T$916,'TAR FIN'!$A$1:$O$95,15,0))</f>
        <v>0</v>
      </c>
      <c r="X916" s="6">
        <f>IF(ISERROR(VLOOKUP($U$916,'TAR FIN'!$A$1:$O$95,15,0)),0,VLOOKUP($U$916,'TAR FIN'!$A$1:$O$95,15,0))</f>
        <v>0</v>
      </c>
      <c r="Y916" s="6">
        <f ca="1">('TUSD BE'!$AM$15+'TUSD BF'!$AM$15+'TUSD CVA'!$AM$15)*1</f>
        <v>31.93064187172984</v>
      </c>
      <c r="Z916" s="6"/>
      <c r="AA916" s="6"/>
      <c r="AB916" s="6">
        <f>$K$916*$V$916</f>
        <v>23627.39</v>
      </c>
      <c r="AC916" s="6">
        <f>$M$916*$W$916</f>
        <v>0</v>
      </c>
      <c r="AD916" s="6">
        <f>$O$916*$X$916</f>
        <v>0</v>
      </c>
      <c r="AE916" s="6">
        <f ca="1">$K$916*$Y$916</f>
        <v>26406.640827920579</v>
      </c>
      <c r="AF916" s="6">
        <f>$M$916*$Z$916</f>
        <v>0</v>
      </c>
      <c r="AG916" s="6">
        <f>$O$916*$AA$916</f>
        <v>0</v>
      </c>
    </row>
    <row r="917" spans="1:33" ht="11.25" customHeight="1" x14ac:dyDescent="0.25">
      <c r="A917" s="4" t="s">
        <v>21</v>
      </c>
      <c r="B917" s="4" t="s">
        <v>35</v>
      </c>
      <c r="C917" s="4" t="s">
        <v>36</v>
      </c>
      <c r="D917" s="4" t="s">
        <v>54</v>
      </c>
      <c r="E917" s="4" t="s">
        <v>25</v>
      </c>
      <c r="F917" s="4" t="s">
        <v>25</v>
      </c>
      <c r="G917" s="4" t="s">
        <v>25</v>
      </c>
      <c r="H917" s="4" t="s">
        <v>25</v>
      </c>
      <c r="I917" s="5">
        <v>44256</v>
      </c>
      <c r="J917" s="6">
        <v>843</v>
      </c>
      <c r="K917" s="6">
        <v>843</v>
      </c>
      <c r="L917" s="6">
        <v>0</v>
      </c>
      <c r="M917" s="6">
        <v>0</v>
      </c>
      <c r="N917" s="6">
        <v>0</v>
      </c>
      <c r="O917" s="6">
        <v>0</v>
      </c>
      <c r="P917" s="6">
        <v>7</v>
      </c>
      <c r="Q917" s="4" t="s">
        <v>26</v>
      </c>
      <c r="R917" s="4">
        <v>0</v>
      </c>
      <c r="S917" s="6">
        <v>23</v>
      </c>
      <c r="T917" s="6">
        <v>0</v>
      </c>
      <c r="U917" s="6">
        <v>0</v>
      </c>
      <c r="V917" s="6">
        <f>IF(ISERROR(VLOOKUP($S$917,'TAR FIN'!$A$1:$O$95,15,0)),0,VLOOKUP($S$917,'TAR FIN'!$A$1:$O$95,15,0))</f>
        <v>28.57</v>
      </c>
      <c r="W917" s="6">
        <f>IF(ISERROR(VLOOKUP($T$917,'TAR FIN'!$A$1:$O$95,15,0)),0,VLOOKUP($T$917,'TAR FIN'!$A$1:$O$95,15,0))</f>
        <v>0</v>
      </c>
      <c r="X917" s="6">
        <f>IF(ISERROR(VLOOKUP($U$917,'TAR FIN'!$A$1:$O$95,15,0)),0,VLOOKUP($U$917,'TAR FIN'!$A$1:$O$95,15,0))</f>
        <v>0</v>
      </c>
      <c r="Y917" s="6">
        <f ca="1">('TUSD BE'!$AM$15+'TUSD BF'!$AM$15+'TUSD CVA'!$AM$15)*1</f>
        <v>31.93064187172984</v>
      </c>
      <c r="Z917" s="6"/>
      <c r="AA917" s="6"/>
      <c r="AB917" s="6">
        <f>$K$917*$V$917</f>
        <v>24084.510000000002</v>
      </c>
      <c r="AC917" s="6">
        <f>$M$917*$W$917</f>
        <v>0</v>
      </c>
      <c r="AD917" s="6">
        <f>$O$917*$X$917</f>
        <v>0</v>
      </c>
      <c r="AE917" s="6">
        <f ca="1">$K$917*$Y$917</f>
        <v>26917.531097868254</v>
      </c>
      <c r="AF917" s="6">
        <f>$M$917*$Z$917</f>
        <v>0</v>
      </c>
      <c r="AG917" s="6">
        <f>$O$917*$AA$917</f>
        <v>0</v>
      </c>
    </row>
    <row r="918" spans="1:33" ht="11.25" customHeight="1" x14ac:dyDescent="0.25">
      <c r="A918" s="4" t="s">
        <v>21</v>
      </c>
      <c r="B918" s="4" t="s">
        <v>35</v>
      </c>
      <c r="C918" s="4" t="s">
        <v>36</v>
      </c>
      <c r="D918" s="4" t="s">
        <v>54</v>
      </c>
      <c r="E918" s="4" t="s">
        <v>25</v>
      </c>
      <c r="F918" s="4" t="s">
        <v>25</v>
      </c>
      <c r="G918" s="4" t="s">
        <v>25</v>
      </c>
      <c r="H918" s="4" t="s">
        <v>25</v>
      </c>
      <c r="I918" s="5">
        <v>44287</v>
      </c>
      <c r="J918" s="6">
        <v>865</v>
      </c>
      <c r="K918" s="6">
        <v>865</v>
      </c>
      <c r="L918" s="6">
        <v>0</v>
      </c>
      <c r="M918" s="6">
        <v>0</v>
      </c>
      <c r="N918" s="6">
        <v>0</v>
      </c>
      <c r="O918" s="6">
        <v>0</v>
      </c>
      <c r="P918" s="6">
        <v>7</v>
      </c>
      <c r="Q918" s="4" t="s">
        <v>26</v>
      </c>
      <c r="R918" s="4">
        <v>0</v>
      </c>
      <c r="S918" s="6">
        <v>23</v>
      </c>
      <c r="T918" s="6">
        <v>0</v>
      </c>
      <c r="U918" s="6">
        <v>0</v>
      </c>
      <c r="V918" s="6">
        <f>IF(ISERROR(VLOOKUP($S$918,'TAR FIN'!$A$1:$O$95,15,0)),0,VLOOKUP($S$918,'TAR FIN'!$A$1:$O$95,15,0))</f>
        <v>28.57</v>
      </c>
      <c r="W918" s="6">
        <f>IF(ISERROR(VLOOKUP($T$918,'TAR FIN'!$A$1:$O$95,15,0)),0,VLOOKUP($T$918,'TAR FIN'!$A$1:$O$95,15,0))</f>
        <v>0</v>
      </c>
      <c r="X918" s="6">
        <f>IF(ISERROR(VLOOKUP($U$918,'TAR FIN'!$A$1:$O$95,15,0)),0,VLOOKUP($U$918,'TAR FIN'!$A$1:$O$95,15,0))</f>
        <v>0</v>
      </c>
      <c r="Y918" s="6">
        <f ca="1">('TUSD BE'!$AM$15+'TUSD BF'!$AM$15+'TUSD CVA'!$AM$15)*1</f>
        <v>31.93064187172984</v>
      </c>
      <c r="Z918" s="6"/>
      <c r="AA918" s="6"/>
      <c r="AB918" s="6">
        <f>$K$918*$V$918</f>
        <v>24713.05</v>
      </c>
      <c r="AC918" s="6">
        <f>$M$918*$W$918</f>
        <v>0</v>
      </c>
      <c r="AD918" s="6">
        <f>$O$918*$X$918</f>
        <v>0</v>
      </c>
      <c r="AE918" s="6">
        <f ca="1">$K$918*$Y$918</f>
        <v>27620.00521904631</v>
      </c>
      <c r="AF918" s="6">
        <f>$M$918*$Z$918</f>
        <v>0</v>
      </c>
      <c r="AG918" s="6">
        <f>$O$918*$AA$918</f>
        <v>0</v>
      </c>
    </row>
    <row r="919" spans="1:33" ht="11.25" customHeight="1" x14ac:dyDescent="0.25">
      <c r="A919" s="4" t="s">
        <v>21</v>
      </c>
      <c r="B919" s="4" t="s">
        <v>35</v>
      </c>
      <c r="C919" s="4" t="s">
        <v>36</v>
      </c>
      <c r="D919" s="4" t="s">
        <v>54</v>
      </c>
      <c r="E919" s="4" t="s">
        <v>25</v>
      </c>
      <c r="F919" s="4" t="s">
        <v>25</v>
      </c>
      <c r="G919" s="4" t="s">
        <v>25</v>
      </c>
      <c r="H919" s="4" t="s">
        <v>25</v>
      </c>
      <c r="I919" s="5">
        <v>44317</v>
      </c>
      <c r="J919" s="6">
        <v>888</v>
      </c>
      <c r="K919" s="6">
        <v>888</v>
      </c>
      <c r="L919" s="6">
        <v>0</v>
      </c>
      <c r="M919" s="6">
        <v>0</v>
      </c>
      <c r="N919" s="6">
        <v>0</v>
      </c>
      <c r="O919" s="6">
        <v>0</v>
      </c>
      <c r="P919" s="6">
        <v>7</v>
      </c>
      <c r="Q919" s="4" t="s">
        <v>26</v>
      </c>
      <c r="R919" s="4">
        <v>0</v>
      </c>
      <c r="S919" s="6">
        <v>23</v>
      </c>
      <c r="T919" s="6">
        <v>0</v>
      </c>
      <c r="U919" s="6">
        <v>0</v>
      </c>
      <c r="V919" s="6">
        <f>IF(ISERROR(VLOOKUP($S$919,'TAR FIN'!$A$1:$O$95,15,0)),0,VLOOKUP($S$919,'TAR FIN'!$A$1:$O$95,15,0))</f>
        <v>28.57</v>
      </c>
      <c r="W919" s="6">
        <f>IF(ISERROR(VLOOKUP($T$919,'TAR FIN'!$A$1:$O$95,15,0)),0,VLOOKUP($T$919,'TAR FIN'!$A$1:$O$95,15,0))</f>
        <v>0</v>
      </c>
      <c r="X919" s="6">
        <f>IF(ISERROR(VLOOKUP($U$919,'TAR FIN'!$A$1:$O$95,15,0)),0,VLOOKUP($U$919,'TAR FIN'!$A$1:$O$95,15,0))</f>
        <v>0</v>
      </c>
      <c r="Y919" s="6">
        <f ca="1">('TUSD BE'!$AM$15+'TUSD BF'!$AM$15+'TUSD CVA'!$AM$15)*1</f>
        <v>31.93064187172984</v>
      </c>
      <c r="Z919" s="6"/>
      <c r="AA919" s="6"/>
      <c r="AB919" s="6">
        <f>$K$919*$V$919</f>
        <v>25370.16</v>
      </c>
      <c r="AC919" s="6">
        <f>$M$919*$W$919</f>
        <v>0</v>
      </c>
      <c r="AD919" s="6">
        <f>$O$919*$X$919</f>
        <v>0</v>
      </c>
      <c r="AE919" s="6">
        <f ca="1">$K$919*$Y$919</f>
        <v>28354.409982096098</v>
      </c>
      <c r="AF919" s="6">
        <f>$M$919*$Z$919</f>
        <v>0</v>
      </c>
      <c r="AG919" s="6">
        <f>$O$919*$AA$919</f>
        <v>0</v>
      </c>
    </row>
    <row r="920" spans="1:33" ht="11.25" customHeight="1" x14ac:dyDescent="0.25">
      <c r="A920" s="4" t="s">
        <v>21</v>
      </c>
      <c r="B920" s="4" t="s">
        <v>35</v>
      </c>
      <c r="C920" s="4" t="s">
        <v>36</v>
      </c>
      <c r="D920" s="4" t="s">
        <v>54</v>
      </c>
      <c r="E920" s="4" t="s">
        <v>25</v>
      </c>
      <c r="F920" s="4" t="s">
        <v>25</v>
      </c>
      <c r="G920" s="4" t="s">
        <v>25</v>
      </c>
      <c r="H920" s="4" t="s">
        <v>25</v>
      </c>
      <c r="I920" s="5">
        <v>44348</v>
      </c>
      <c r="J920" s="6">
        <v>891</v>
      </c>
      <c r="K920" s="6">
        <v>891</v>
      </c>
      <c r="L920" s="6">
        <v>0</v>
      </c>
      <c r="M920" s="6">
        <v>0</v>
      </c>
      <c r="N920" s="6">
        <v>0</v>
      </c>
      <c r="O920" s="6">
        <v>0</v>
      </c>
      <c r="P920" s="6">
        <v>7</v>
      </c>
      <c r="Q920" s="4" t="s">
        <v>26</v>
      </c>
      <c r="R920" s="4">
        <v>0</v>
      </c>
      <c r="S920" s="6">
        <v>23</v>
      </c>
      <c r="T920" s="6">
        <v>0</v>
      </c>
      <c r="U920" s="6">
        <v>0</v>
      </c>
      <c r="V920" s="6">
        <f>IF(ISERROR(VLOOKUP($S$920,'TAR FIN'!$A$1:$O$95,15,0)),0,VLOOKUP($S$920,'TAR FIN'!$A$1:$O$95,15,0))</f>
        <v>28.57</v>
      </c>
      <c r="W920" s="6">
        <f>IF(ISERROR(VLOOKUP($T$920,'TAR FIN'!$A$1:$O$95,15,0)),0,VLOOKUP($T$920,'TAR FIN'!$A$1:$O$95,15,0))</f>
        <v>0</v>
      </c>
      <c r="X920" s="6">
        <f>IF(ISERROR(VLOOKUP($U$920,'TAR FIN'!$A$1:$O$95,15,0)),0,VLOOKUP($U$920,'TAR FIN'!$A$1:$O$95,15,0))</f>
        <v>0</v>
      </c>
      <c r="Y920" s="6">
        <f ca="1">('TUSD BE'!$AM$15+'TUSD BF'!$AM$15+'TUSD CVA'!$AM$15)*1</f>
        <v>31.93064187172984</v>
      </c>
      <c r="Z920" s="6"/>
      <c r="AA920" s="6"/>
      <c r="AB920" s="6">
        <f>$K$920*$V$920</f>
        <v>25455.87</v>
      </c>
      <c r="AC920" s="6">
        <f>$M$920*$W$920</f>
        <v>0</v>
      </c>
      <c r="AD920" s="6">
        <f>$O$920*$X$920</f>
        <v>0</v>
      </c>
      <c r="AE920" s="6">
        <f ca="1">$K$920*$Y$920</f>
        <v>28450.201907711289</v>
      </c>
      <c r="AF920" s="6">
        <f>$M$920*$Z$920</f>
        <v>0</v>
      </c>
      <c r="AG920" s="6">
        <f>$O$920*$AA$920</f>
        <v>0</v>
      </c>
    </row>
    <row r="921" spans="1:33" ht="11.25" customHeight="1" x14ac:dyDescent="0.25">
      <c r="A921" s="4" t="s">
        <v>21</v>
      </c>
      <c r="B921" s="4" t="s">
        <v>35</v>
      </c>
      <c r="C921" s="4" t="s">
        <v>36</v>
      </c>
      <c r="D921" s="4" t="s">
        <v>54</v>
      </c>
      <c r="E921" s="4" t="s">
        <v>25</v>
      </c>
      <c r="F921" s="4" t="s">
        <v>25</v>
      </c>
      <c r="G921" s="4" t="s">
        <v>25</v>
      </c>
      <c r="H921" s="4" t="s">
        <v>25</v>
      </c>
      <c r="I921" s="5">
        <v>44378</v>
      </c>
      <c r="J921" s="6">
        <v>873</v>
      </c>
      <c r="K921" s="6">
        <v>873</v>
      </c>
      <c r="L921" s="6">
        <v>0</v>
      </c>
      <c r="M921" s="6">
        <v>0</v>
      </c>
      <c r="N921" s="6">
        <v>0</v>
      </c>
      <c r="O921" s="6">
        <v>0</v>
      </c>
      <c r="P921" s="6">
        <v>7</v>
      </c>
      <c r="Q921" s="4" t="s">
        <v>26</v>
      </c>
      <c r="R921" s="4">
        <v>0</v>
      </c>
      <c r="S921" s="6">
        <v>23</v>
      </c>
      <c r="T921" s="6">
        <v>0</v>
      </c>
      <c r="U921" s="6">
        <v>0</v>
      </c>
      <c r="V921" s="6">
        <f>IF(ISERROR(VLOOKUP($S$921,'TAR FIN'!$A$1:$O$95,15,0)),0,VLOOKUP($S$921,'TAR FIN'!$A$1:$O$95,15,0))</f>
        <v>28.57</v>
      </c>
      <c r="W921" s="6">
        <f>IF(ISERROR(VLOOKUP($T$921,'TAR FIN'!$A$1:$O$95,15,0)),0,VLOOKUP($T$921,'TAR FIN'!$A$1:$O$95,15,0))</f>
        <v>0</v>
      </c>
      <c r="X921" s="6">
        <f>IF(ISERROR(VLOOKUP($U$921,'TAR FIN'!$A$1:$O$95,15,0)),0,VLOOKUP($U$921,'TAR FIN'!$A$1:$O$95,15,0))</f>
        <v>0</v>
      </c>
      <c r="Y921" s="6">
        <f ca="1">('TUSD BE'!$AM$15+'TUSD BF'!$AM$15+'TUSD CVA'!$AM$15)*1</f>
        <v>31.93064187172984</v>
      </c>
      <c r="Z921" s="6"/>
      <c r="AA921" s="6"/>
      <c r="AB921" s="6">
        <f>$K$921*$V$921</f>
        <v>24941.61</v>
      </c>
      <c r="AC921" s="6">
        <f>$M$921*$W$921</f>
        <v>0</v>
      </c>
      <c r="AD921" s="6">
        <f>$O$921*$X$921</f>
        <v>0</v>
      </c>
      <c r="AE921" s="6">
        <f ca="1">$K$921*$Y$921</f>
        <v>27875.450354020151</v>
      </c>
      <c r="AF921" s="6">
        <f>$M$921*$Z$921</f>
        <v>0</v>
      </c>
      <c r="AG921" s="6">
        <f>$O$921*$AA$921</f>
        <v>0</v>
      </c>
    </row>
    <row r="922" spans="1:33" ht="11.25" customHeight="1" x14ac:dyDescent="0.25">
      <c r="A922" s="4" t="s">
        <v>21</v>
      </c>
      <c r="B922" s="4" t="s">
        <v>35</v>
      </c>
      <c r="C922" s="4" t="s">
        <v>36</v>
      </c>
      <c r="D922" s="4" t="s">
        <v>54</v>
      </c>
      <c r="E922" s="4" t="s">
        <v>25</v>
      </c>
      <c r="F922" s="4" t="s">
        <v>25</v>
      </c>
      <c r="G922" s="4" t="s">
        <v>25</v>
      </c>
      <c r="H922" s="4" t="s">
        <v>25</v>
      </c>
      <c r="I922" s="5">
        <v>44409</v>
      </c>
      <c r="J922" s="6">
        <v>914</v>
      </c>
      <c r="K922" s="6">
        <v>914</v>
      </c>
      <c r="L922" s="6">
        <v>0</v>
      </c>
      <c r="M922" s="6">
        <v>0</v>
      </c>
      <c r="N922" s="6">
        <v>0</v>
      </c>
      <c r="O922" s="6">
        <v>0</v>
      </c>
      <c r="P922" s="6">
        <v>7</v>
      </c>
      <c r="Q922" s="4" t="s">
        <v>26</v>
      </c>
      <c r="R922" s="4">
        <v>0</v>
      </c>
      <c r="S922" s="6">
        <v>23</v>
      </c>
      <c r="T922" s="6">
        <v>0</v>
      </c>
      <c r="U922" s="6">
        <v>0</v>
      </c>
      <c r="V922" s="6">
        <f>IF(ISERROR(VLOOKUP($S$922,'TAR FIN'!$A$1:$O$95,15,0)),0,VLOOKUP($S$922,'TAR FIN'!$A$1:$O$95,15,0))</f>
        <v>28.57</v>
      </c>
      <c r="W922" s="6">
        <f>IF(ISERROR(VLOOKUP($T$922,'TAR FIN'!$A$1:$O$95,15,0)),0,VLOOKUP($T$922,'TAR FIN'!$A$1:$O$95,15,0))</f>
        <v>0</v>
      </c>
      <c r="X922" s="6">
        <f>IF(ISERROR(VLOOKUP($U$922,'TAR FIN'!$A$1:$O$95,15,0)),0,VLOOKUP($U$922,'TAR FIN'!$A$1:$O$95,15,0))</f>
        <v>0</v>
      </c>
      <c r="Y922" s="6">
        <f ca="1">('TUSD BE'!$AM$15+'TUSD BF'!$AM$15+'TUSD CVA'!$AM$15)*1</f>
        <v>31.93064187172984</v>
      </c>
      <c r="Z922" s="6"/>
      <c r="AA922" s="6"/>
      <c r="AB922" s="6">
        <f>$K$922*$V$922</f>
        <v>26112.98</v>
      </c>
      <c r="AC922" s="6">
        <f>$M$922*$W$922</f>
        <v>0</v>
      </c>
      <c r="AD922" s="6">
        <f>$O$922*$X$922</f>
        <v>0</v>
      </c>
      <c r="AE922" s="6">
        <f ca="1">$K$922*$Y$922</f>
        <v>29184.606670761073</v>
      </c>
      <c r="AF922" s="6">
        <f>$M$922*$Z$922</f>
        <v>0</v>
      </c>
      <c r="AG922" s="6">
        <f>$O$922*$AA$922</f>
        <v>0</v>
      </c>
    </row>
    <row r="923" spans="1:33" ht="11.25" customHeight="1" x14ac:dyDescent="0.25">
      <c r="A923" s="4" t="s">
        <v>21</v>
      </c>
      <c r="B923" s="4" t="s">
        <v>35</v>
      </c>
      <c r="C923" s="4" t="s">
        <v>36</v>
      </c>
      <c r="D923" s="4" t="s">
        <v>54</v>
      </c>
      <c r="E923" s="4" t="s">
        <v>25</v>
      </c>
      <c r="F923" s="4" t="s">
        <v>25</v>
      </c>
      <c r="G923" s="4" t="s">
        <v>25</v>
      </c>
      <c r="H923" s="4" t="s">
        <v>25</v>
      </c>
      <c r="I923" s="5">
        <v>44440</v>
      </c>
      <c r="J923" s="6">
        <v>895</v>
      </c>
      <c r="K923" s="6">
        <v>895</v>
      </c>
      <c r="L923" s="6">
        <v>0</v>
      </c>
      <c r="M923" s="6">
        <v>0</v>
      </c>
      <c r="N923" s="6">
        <v>0</v>
      </c>
      <c r="O923" s="6">
        <v>0</v>
      </c>
      <c r="P923" s="6">
        <v>7</v>
      </c>
      <c r="Q923" s="4" t="s">
        <v>26</v>
      </c>
      <c r="R923" s="4">
        <v>0</v>
      </c>
      <c r="S923" s="6">
        <v>23</v>
      </c>
      <c r="T923" s="6">
        <v>0</v>
      </c>
      <c r="U923" s="6">
        <v>0</v>
      </c>
      <c r="V923" s="6">
        <f>IF(ISERROR(VLOOKUP($S$923,'TAR FIN'!$A$1:$O$95,15,0)),0,VLOOKUP($S$923,'TAR FIN'!$A$1:$O$95,15,0))</f>
        <v>28.57</v>
      </c>
      <c r="W923" s="6">
        <f>IF(ISERROR(VLOOKUP($T$923,'TAR FIN'!$A$1:$O$95,15,0)),0,VLOOKUP($T$923,'TAR FIN'!$A$1:$O$95,15,0))</f>
        <v>0</v>
      </c>
      <c r="X923" s="6">
        <f>IF(ISERROR(VLOOKUP($U$923,'TAR FIN'!$A$1:$O$95,15,0)),0,VLOOKUP($U$923,'TAR FIN'!$A$1:$O$95,15,0))</f>
        <v>0</v>
      </c>
      <c r="Y923" s="6">
        <f ca="1">('TUSD BE'!$AM$15+'TUSD BF'!$AM$15+'TUSD CVA'!$AM$15)*1</f>
        <v>31.93064187172984</v>
      </c>
      <c r="Z923" s="6"/>
      <c r="AA923" s="6"/>
      <c r="AB923" s="6">
        <f>$K$923*$V$923</f>
        <v>25570.15</v>
      </c>
      <c r="AC923" s="6">
        <f>$M$923*$W$923</f>
        <v>0</v>
      </c>
      <c r="AD923" s="6">
        <f>$O$923*$X$923</f>
        <v>0</v>
      </c>
      <c r="AE923" s="6">
        <f ca="1">$K$923*$Y$923</f>
        <v>28577.924475198208</v>
      </c>
      <c r="AF923" s="6">
        <f>$M$923*$Z$923</f>
        <v>0</v>
      </c>
      <c r="AG923" s="6">
        <f>$O$923*$AA$923</f>
        <v>0</v>
      </c>
    </row>
    <row r="924" spans="1:33" ht="11.25" customHeight="1" x14ac:dyDescent="0.25">
      <c r="A924" s="4" t="s">
        <v>59</v>
      </c>
      <c r="B924" s="4" t="s">
        <v>35</v>
      </c>
      <c r="C924" s="4" t="s">
        <v>36</v>
      </c>
      <c r="D924" s="4" t="s">
        <v>54</v>
      </c>
      <c r="E924" s="4" t="s">
        <v>25</v>
      </c>
      <c r="F924" s="4" t="s">
        <v>25</v>
      </c>
      <c r="G924" s="4" t="s">
        <v>25</v>
      </c>
      <c r="H924" s="4" t="s">
        <v>25</v>
      </c>
      <c r="I924" s="5">
        <v>44470</v>
      </c>
      <c r="J924" s="6">
        <v>895</v>
      </c>
      <c r="K924" s="6">
        <v>895</v>
      </c>
      <c r="L924" s="6">
        <v>0</v>
      </c>
      <c r="M924" s="6">
        <v>0</v>
      </c>
      <c r="N924" s="6">
        <v>0</v>
      </c>
      <c r="O924" s="6">
        <v>0</v>
      </c>
      <c r="P924" s="6">
        <v>7</v>
      </c>
      <c r="Q924" s="4" t="s">
        <v>26</v>
      </c>
      <c r="R924" s="4">
        <v>0</v>
      </c>
      <c r="S924" s="6">
        <v>23</v>
      </c>
      <c r="T924" s="6">
        <v>0</v>
      </c>
      <c r="U924" s="6">
        <v>0</v>
      </c>
      <c r="V924" s="6">
        <f>IF(ISERROR(VLOOKUP($S$924,'TAR FIN'!$A$1:$O$95,15,0)),0,VLOOKUP($S$924,'TAR FIN'!$A$1:$O$95,15,0))</f>
        <v>28.57</v>
      </c>
      <c r="W924" s="6">
        <f>IF(ISERROR(VLOOKUP($T$924,'TAR FIN'!$A$1:$O$95,15,0)),0,VLOOKUP($T$924,'TAR FIN'!$A$1:$O$95,15,0))</f>
        <v>0</v>
      </c>
      <c r="X924" s="6">
        <f>IF(ISERROR(VLOOKUP($U$924,'TAR FIN'!$A$1:$O$95,15,0)),0,VLOOKUP($U$924,'TAR FIN'!$A$1:$O$95,15,0))</f>
        <v>0</v>
      </c>
      <c r="Y924" s="6">
        <f ca="1">('TUSD BE'!$AM$15+'TUSD BF'!$AM$15+'TUSD CVA'!$AM$15)*1</f>
        <v>31.93064187172984</v>
      </c>
      <c r="Z924" s="6"/>
      <c r="AA924" s="6"/>
      <c r="AB924" s="6">
        <f>$K$924*$V$924</f>
        <v>25570.15</v>
      </c>
      <c r="AC924" s="6">
        <f>$M$924*$W$924</f>
        <v>0</v>
      </c>
      <c r="AD924" s="6">
        <f>$O$924*$X$924</f>
        <v>0</v>
      </c>
      <c r="AE924" s="6">
        <f ca="1">$K$924*$Y$924</f>
        <v>28577.924475198208</v>
      </c>
      <c r="AF924" s="6">
        <f>$M$924*$Z$924</f>
        <v>0</v>
      </c>
      <c r="AG924" s="6">
        <f>$O$924*$AA$924</f>
        <v>0</v>
      </c>
    </row>
    <row r="925" spans="1:33" ht="11.25" customHeight="1" x14ac:dyDescent="0.25">
      <c r="A925" s="4" t="s">
        <v>21</v>
      </c>
      <c r="B925" s="4" t="s">
        <v>35</v>
      </c>
      <c r="C925" s="4" t="s">
        <v>36</v>
      </c>
      <c r="D925" s="4" t="s">
        <v>54</v>
      </c>
      <c r="E925" s="4" t="s">
        <v>25</v>
      </c>
      <c r="F925" s="4" t="s">
        <v>25</v>
      </c>
      <c r="G925" s="4" t="s">
        <v>25</v>
      </c>
      <c r="H925" s="4" t="s">
        <v>37</v>
      </c>
      <c r="I925" s="5">
        <v>44136</v>
      </c>
      <c r="J925" s="6">
        <v>0</v>
      </c>
      <c r="K925" s="6">
        <v>0</v>
      </c>
      <c r="L925" s="6">
        <v>10.016</v>
      </c>
      <c r="M925" s="6">
        <v>10.016</v>
      </c>
      <c r="N925" s="6">
        <v>10.016</v>
      </c>
      <c r="O925" s="6">
        <v>10.016</v>
      </c>
      <c r="P925" s="6">
        <v>0</v>
      </c>
      <c r="Q925" s="4" t="s">
        <v>26</v>
      </c>
      <c r="R925" s="4">
        <v>0</v>
      </c>
      <c r="S925" s="6">
        <v>0</v>
      </c>
      <c r="T925" s="6">
        <v>24</v>
      </c>
      <c r="U925" s="6">
        <v>66</v>
      </c>
      <c r="V925" s="6">
        <f>IF(ISERROR(VLOOKUP($S$925,'TAR FIN'!$A$1:$O$95,15,0)),0,VLOOKUP($S$925,'TAR FIN'!$A$1:$O$95,15,0))</f>
        <v>0</v>
      </c>
      <c r="W925" s="6">
        <f>IF(ISERROR(VLOOKUP($T$925,'TAR FIN'!$A$1:$O$95,15,0)),0,VLOOKUP($T$925,'TAR FIN'!$A$1:$O$95,15,0))</f>
        <v>1434.79</v>
      </c>
      <c r="X925" s="6">
        <f>IF(ISERROR(VLOOKUP($U$925,'TAR FIN'!$A$1:$O$95,15,0)),0,VLOOKUP($U$925,'TAR FIN'!$A$1:$O$95,15,0))</f>
        <v>389.28</v>
      </c>
      <c r="Y925" s="6"/>
      <c r="Z925" s="6">
        <f ca="1">('TUSD BE'!$AM$16+'TUSD BF'!$AM$16+'TUSD CVA'!$AM$16)*1</f>
        <v>1605.9916314233351</v>
      </c>
      <c r="AA925" s="6">
        <f>('TE BE'!$AA$7+'TE BF'!$AA$7+'TE CVA'!$AA$7)*1</f>
        <v>454.3285679284046</v>
      </c>
      <c r="AB925" s="6">
        <f>$K$925*$V$925</f>
        <v>0</v>
      </c>
      <c r="AC925" s="6">
        <f>$M$925*$W$925</f>
        <v>14370.85664</v>
      </c>
      <c r="AD925" s="6">
        <f>$O$925*$X$925</f>
        <v>3899.0284799999999</v>
      </c>
      <c r="AE925" s="6">
        <f>$K$925*$Y$925</f>
        <v>0</v>
      </c>
      <c r="AF925" s="6">
        <f ca="1">$M$925*$Z$925</f>
        <v>16085.612180336124</v>
      </c>
      <c r="AG925" s="6">
        <f>$O$925*$AA$925</f>
        <v>4550.5549363709006</v>
      </c>
    </row>
    <row r="926" spans="1:33" ht="11.25" customHeight="1" x14ac:dyDescent="0.25">
      <c r="A926" s="4" t="s">
        <v>21</v>
      </c>
      <c r="B926" s="4" t="s">
        <v>35</v>
      </c>
      <c r="C926" s="4" t="s">
        <v>36</v>
      </c>
      <c r="D926" s="4" t="s">
        <v>54</v>
      </c>
      <c r="E926" s="4" t="s">
        <v>25</v>
      </c>
      <c r="F926" s="4" t="s">
        <v>25</v>
      </c>
      <c r="G926" s="4" t="s">
        <v>25</v>
      </c>
      <c r="H926" s="4" t="s">
        <v>37</v>
      </c>
      <c r="I926" s="5">
        <v>44166</v>
      </c>
      <c r="J926" s="6">
        <v>0</v>
      </c>
      <c r="K926" s="6">
        <v>0</v>
      </c>
      <c r="L926" s="6">
        <v>11.084</v>
      </c>
      <c r="M926" s="6">
        <v>11.084</v>
      </c>
      <c r="N926" s="6">
        <v>11.084</v>
      </c>
      <c r="O926" s="6">
        <v>11.084</v>
      </c>
      <c r="P926" s="6">
        <v>0</v>
      </c>
      <c r="Q926" s="4" t="s">
        <v>26</v>
      </c>
      <c r="R926" s="4">
        <v>0</v>
      </c>
      <c r="S926" s="6">
        <v>0</v>
      </c>
      <c r="T926" s="6">
        <v>24</v>
      </c>
      <c r="U926" s="6">
        <v>66</v>
      </c>
      <c r="V926" s="6">
        <f>IF(ISERROR(VLOOKUP($S$926,'TAR FIN'!$A$1:$O$95,15,0)),0,VLOOKUP($S$926,'TAR FIN'!$A$1:$O$95,15,0))</f>
        <v>0</v>
      </c>
      <c r="W926" s="6">
        <f>IF(ISERROR(VLOOKUP($T$926,'TAR FIN'!$A$1:$O$95,15,0)),0,VLOOKUP($T$926,'TAR FIN'!$A$1:$O$95,15,0))</f>
        <v>1434.79</v>
      </c>
      <c r="X926" s="6">
        <f>IF(ISERROR(VLOOKUP($U$926,'TAR FIN'!$A$1:$O$95,15,0)),0,VLOOKUP($U$926,'TAR FIN'!$A$1:$O$95,15,0))</f>
        <v>389.28</v>
      </c>
      <c r="Y926" s="6"/>
      <c r="Z926" s="6">
        <f ca="1">('TUSD BE'!$AM$16+'TUSD BF'!$AM$16+'TUSD CVA'!$AM$16)*1</f>
        <v>1605.9916314233351</v>
      </c>
      <c r="AA926" s="6">
        <f>('TE BE'!$AA$7+'TE BF'!$AA$7+'TE CVA'!$AA$7)*1</f>
        <v>454.3285679284046</v>
      </c>
      <c r="AB926" s="6">
        <f>$K$926*$V$926</f>
        <v>0</v>
      </c>
      <c r="AC926" s="6">
        <f>$M$926*$W$926</f>
        <v>15903.21236</v>
      </c>
      <c r="AD926" s="6">
        <f>$O$926*$X$926</f>
        <v>4314.7795199999991</v>
      </c>
      <c r="AE926" s="6">
        <f>$K$926*$Y$926</f>
        <v>0</v>
      </c>
      <c r="AF926" s="6">
        <f ca="1">$M$926*$Z$926</f>
        <v>17800.811242696247</v>
      </c>
      <c r="AG926" s="6">
        <f>$O$926*$AA$926</f>
        <v>5035.7778469184368</v>
      </c>
    </row>
    <row r="927" spans="1:33" ht="11.25" customHeight="1" x14ac:dyDescent="0.25">
      <c r="A927" s="4" t="s">
        <v>21</v>
      </c>
      <c r="B927" s="4" t="s">
        <v>35</v>
      </c>
      <c r="C927" s="4" t="s">
        <v>36</v>
      </c>
      <c r="D927" s="4" t="s">
        <v>54</v>
      </c>
      <c r="E927" s="4" t="s">
        <v>25</v>
      </c>
      <c r="F927" s="4" t="s">
        <v>25</v>
      </c>
      <c r="G927" s="4" t="s">
        <v>25</v>
      </c>
      <c r="H927" s="4" t="s">
        <v>37</v>
      </c>
      <c r="I927" s="5">
        <v>44197</v>
      </c>
      <c r="J927" s="6">
        <v>0</v>
      </c>
      <c r="K927" s="6">
        <v>0</v>
      </c>
      <c r="L927" s="6">
        <v>9.4049999999999994</v>
      </c>
      <c r="M927" s="6">
        <v>9.4049999999999994</v>
      </c>
      <c r="N927" s="6">
        <v>9.4049999999999994</v>
      </c>
      <c r="O927" s="6">
        <v>9.4049999999999994</v>
      </c>
      <c r="P927" s="6">
        <v>0</v>
      </c>
      <c r="Q927" s="4" t="s">
        <v>26</v>
      </c>
      <c r="R927" s="4">
        <v>0</v>
      </c>
      <c r="S927" s="6">
        <v>0</v>
      </c>
      <c r="T927" s="6">
        <v>24</v>
      </c>
      <c r="U927" s="6">
        <v>66</v>
      </c>
      <c r="V927" s="6">
        <f>IF(ISERROR(VLOOKUP($S$927,'TAR FIN'!$A$1:$O$95,15,0)),0,VLOOKUP($S$927,'TAR FIN'!$A$1:$O$95,15,0))</f>
        <v>0</v>
      </c>
      <c r="W927" s="6">
        <f>IF(ISERROR(VLOOKUP($T$927,'TAR FIN'!$A$1:$O$95,15,0)),0,VLOOKUP($T$927,'TAR FIN'!$A$1:$O$95,15,0))</f>
        <v>1434.79</v>
      </c>
      <c r="X927" s="6">
        <f>IF(ISERROR(VLOOKUP($U$927,'TAR FIN'!$A$1:$O$95,15,0)),0,VLOOKUP($U$927,'TAR FIN'!$A$1:$O$95,15,0))</f>
        <v>389.28</v>
      </c>
      <c r="Y927" s="6"/>
      <c r="Z927" s="6">
        <f ca="1">('TUSD BE'!$AM$16+'TUSD BF'!$AM$16+'TUSD CVA'!$AM$16)*1</f>
        <v>1605.9916314233351</v>
      </c>
      <c r="AA927" s="6">
        <f>('TE BE'!$AA$7+'TE BF'!$AA$7+'TE CVA'!$AA$7)*1</f>
        <v>454.3285679284046</v>
      </c>
      <c r="AB927" s="6">
        <f>$K$927*$V$927</f>
        <v>0</v>
      </c>
      <c r="AC927" s="6">
        <f>$M$927*$W$927</f>
        <v>13494.199949999998</v>
      </c>
      <c r="AD927" s="6">
        <f>$O$927*$X$927</f>
        <v>3661.1783999999993</v>
      </c>
      <c r="AE927" s="6">
        <f>$K$927*$Y$927</f>
        <v>0</v>
      </c>
      <c r="AF927" s="6">
        <f ca="1">$M$927*$Z$927</f>
        <v>15104.351293536465</v>
      </c>
      <c r="AG927" s="6">
        <f>$O$927*$AA$927</f>
        <v>4272.960181366645</v>
      </c>
    </row>
    <row r="928" spans="1:33" ht="11.25" customHeight="1" x14ac:dyDescent="0.25">
      <c r="A928" s="4" t="s">
        <v>21</v>
      </c>
      <c r="B928" s="4" t="s">
        <v>35</v>
      </c>
      <c r="C928" s="4" t="s">
        <v>36</v>
      </c>
      <c r="D928" s="4" t="s">
        <v>54</v>
      </c>
      <c r="E928" s="4" t="s">
        <v>25</v>
      </c>
      <c r="F928" s="4" t="s">
        <v>25</v>
      </c>
      <c r="G928" s="4" t="s">
        <v>25</v>
      </c>
      <c r="H928" s="4" t="s">
        <v>37</v>
      </c>
      <c r="I928" s="5">
        <v>44228</v>
      </c>
      <c r="J928" s="6">
        <v>0</v>
      </c>
      <c r="K928" s="6">
        <v>0</v>
      </c>
      <c r="L928" s="6">
        <v>9.5660000000000007</v>
      </c>
      <c r="M928" s="6">
        <v>9.5660000000000007</v>
      </c>
      <c r="N928" s="6">
        <v>9.5660000000000007</v>
      </c>
      <c r="O928" s="6">
        <v>9.5660000000000007</v>
      </c>
      <c r="P928" s="6">
        <v>0</v>
      </c>
      <c r="Q928" s="4" t="s">
        <v>26</v>
      </c>
      <c r="R928" s="4">
        <v>0</v>
      </c>
      <c r="S928" s="6">
        <v>0</v>
      </c>
      <c r="T928" s="6">
        <v>24</v>
      </c>
      <c r="U928" s="6">
        <v>66</v>
      </c>
      <c r="V928" s="6">
        <f>IF(ISERROR(VLOOKUP($S$928,'TAR FIN'!$A$1:$O$95,15,0)),0,VLOOKUP($S$928,'TAR FIN'!$A$1:$O$95,15,0))</f>
        <v>0</v>
      </c>
      <c r="W928" s="6">
        <f>IF(ISERROR(VLOOKUP($T$928,'TAR FIN'!$A$1:$O$95,15,0)),0,VLOOKUP($T$928,'TAR FIN'!$A$1:$O$95,15,0))</f>
        <v>1434.79</v>
      </c>
      <c r="X928" s="6">
        <f>IF(ISERROR(VLOOKUP($U$928,'TAR FIN'!$A$1:$O$95,15,0)),0,VLOOKUP($U$928,'TAR FIN'!$A$1:$O$95,15,0))</f>
        <v>389.28</v>
      </c>
      <c r="Y928" s="6"/>
      <c r="Z928" s="6">
        <f ca="1">('TUSD BE'!$AM$16+'TUSD BF'!$AM$16+'TUSD CVA'!$AM$16)*1</f>
        <v>1605.9916314233351</v>
      </c>
      <c r="AA928" s="6">
        <f>('TE BE'!$AA$7+'TE BF'!$AA$7+'TE CVA'!$AA$7)*1</f>
        <v>454.3285679284046</v>
      </c>
      <c r="AB928" s="6">
        <f>$K$928*$V$928</f>
        <v>0</v>
      </c>
      <c r="AC928" s="6">
        <f>$M$928*$W$928</f>
        <v>13725.201140000001</v>
      </c>
      <c r="AD928" s="6">
        <f>$O$928*$X$928</f>
        <v>3723.85248</v>
      </c>
      <c r="AE928" s="6">
        <f>$K$928*$Y$928</f>
        <v>0</v>
      </c>
      <c r="AF928" s="6">
        <f ca="1">$M$928*$Z$928</f>
        <v>15362.915946195624</v>
      </c>
      <c r="AG928" s="6">
        <f>$O$928*$AA$928</f>
        <v>4346.1070808031191</v>
      </c>
    </row>
    <row r="929" spans="1:33" ht="11.25" customHeight="1" x14ac:dyDescent="0.25">
      <c r="A929" s="4" t="s">
        <v>21</v>
      </c>
      <c r="B929" s="4" t="s">
        <v>35</v>
      </c>
      <c r="C929" s="4" t="s">
        <v>36</v>
      </c>
      <c r="D929" s="4" t="s">
        <v>54</v>
      </c>
      <c r="E929" s="4" t="s">
        <v>25</v>
      </c>
      <c r="F929" s="4" t="s">
        <v>25</v>
      </c>
      <c r="G929" s="4" t="s">
        <v>25</v>
      </c>
      <c r="H929" s="4" t="s">
        <v>37</v>
      </c>
      <c r="I929" s="5">
        <v>44256</v>
      </c>
      <c r="J929" s="6">
        <v>0</v>
      </c>
      <c r="K929" s="6">
        <v>0</v>
      </c>
      <c r="L929" s="6">
        <v>11.2</v>
      </c>
      <c r="M929" s="6">
        <v>11.2</v>
      </c>
      <c r="N929" s="6">
        <v>11.2</v>
      </c>
      <c r="O929" s="6">
        <v>11.2</v>
      </c>
      <c r="P929" s="6">
        <v>0</v>
      </c>
      <c r="Q929" s="4" t="s">
        <v>26</v>
      </c>
      <c r="R929" s="4">
        <v>0</v>
      </c>
      <c r="S929" s="6">
        <v>0</v>
      </c>
      <c r="T929" s="6">
        <v>24</v>
      </c>
      <c r="U929" s="6">
        <v>66</v>
      </c>
      <c r="V929" s="6">
        <f>IF(ISERROR(VLOOKUP($S$929,'TAR FIN'!$A$1:$O$95,15,0)),0,VLOOKUP($S$929,'TAR FIN'!$A$1:$O$95,15,0))</f>
        <v>0</v>
      </c>
      <c r="W929" s="6">
        <f>IF(ISERROR(VLOOKUP($T$929,'TAR FIN'!$A$1:$O$95,15,0)),0,VLOOKUP($T$929,'TAR FIN'!$A$1:$O$95,15,0))</f>
        <v>1434.79</v>
      </c>
      <c r="X929" s="6">
        <f>IF(ISERROR(VLOOKUP($U$929,'TAR FIN'!$A$1:$O$95,15,0)),0,VLOOKUP($U$929,'TAR FIN'!$A$1:$O$95,15,0))</f>
        <v>389.28</v>
      </c>
      <c r="Y929" s="6"/>
      <c r="Z929" s="6">
        <f ca="1">('TUSD BE'!$AM$16+'TUSD BF'!$AM$16+'TUSD CVA'!$AM$16)*1</f>
        <v>1605.9916314233351</v>
      </c>
      <c r="AA929" s="6">
        <f>('TE BE'!$AA$7+'TE BF'!$AA$7+'TE CVA'!$AA$7)*1</f>
        <v>454.3285679284046</v>
      </c>
      <c r="AB929" s="6">
        <f>$K$929*$V$929</f>
        <v>0</v>
      </c>
      <c r="AC929" s="6">
        <f>$M$929*$W$929</f>
        <v>16069.647999999999</v>
      </c>
      <c r="AD929" s="6">
        <f>$O$929*$X$929</f>
        <v>4359.9359999999997</v>
      </c>
      <c r="AE929" s="6">
        <f>$K$929*$Y$929</f>
        <v>0</v>
      </c>
      <c r="AF929" s="6">
        <f ca="1">$M$929*$Z$929</f>
        <v>17987.106271941353</v>
      </c>
      <c r="AG929" s="6">
        <f>$O$929*$AA$929</f>
        <v>5088.4799607981313</v>
      </c>
    </row>
    <row r="930" spans="1:33" ht="11.25" customHeight="1" x14ac:dyDescent="0.25">
      <c r="A930" s="4" t="s">
        <v>21</v>
      </c>
      <c r="B930" s="4" t="s">
        <v>35</v>
      </c>
      <c r="C930" s="4" t="s">
        <v>36</v>
      </c>
      <c r="D930" s="4" t="s">
        <v>54</v>
      </c>
      <c r="E930" s="4" t="s">
        <v>25</v>
      </c>
      <c r="F930" s="4" t="s">
        <v>25</v>
      </c>
      <c r="G930" s="4" t="s">
        <v>25</v>
      </c>
      <c r="H930" s="4" t="s">
        <v>37</v>
      </c>
      <c r="I930" s="5">
        <v>44287</v>
      </c>
      <c r="J930" s="6">
        <v>0</v>
      </c>
      <c r="K930" s="6">
        <v>0</v>
      </c>
      <c r="L930" s="6">
        <v>10.715999999999999</v>
      </c>
      <c r="M930" s="6">
        <v>10.715999999999999</v>
      </c>
      <c r="N930" s="6">
        <v>10.715999999999999</v>
      </c>
      <c r="O930" s="6">
        <v>10.715999999999999</v>
      </c>
      <c r="P930" s="6">
        <v>0</v>
      </c>
      <c r="Q930" s="4" t="s">
        <v>26</v>
      </c>
      <c r="R930" s="4">
        <v>0</v>
      </c>
      <c r="S930" s="6">
        <v>0</v>
      </c>
      <c r="T930" s="6">
        <v>24</v>
      </c>
      <c r="U930" s="6">
        <v>66</v>
      </c>
      <c r="V930" s="6">
        <f>IF(ISERROR(VLOOKUP($S$930,'TAR FIN'!$A$1:$O$95,15,0)),0,VLOOKUP($S$930,'TAR FIN'!$A$1:$O$95,15,0))</f>
        <v>0</v>
      </c>
      <c r="W930" s="6">
        <f>IF(ISERROR(VLOOKUP($T$930,'TAR FIN'!$A$1:$O$95,15,0)),0,VLOOKUP($T$930,'TAR FIN'!$A$1:$O$95,15,0))</f>
        <v>1434.79</v>
      </c>
      <c r="X930" s="6">
        <f>IF(ISERROR(VLOOKUP($U$930,'TAR FIN'!$A$1:$O$95,15,0)),0,VLOOKUP($U$930,'TAR FIN'!$A$1:$O$95,15,0))</f>
        <v>389.28</v>
      </c>
      <c r="Y930" s="6"/>
      <c r="Z930" s="6">
        <f ca="1">('TUSD BE'!$AM$16+'TUSD BF'!$AM$16+'TUSD CVA'!$AM$16)*1</f>
        <v>1605.9916314233351</v>
      </c>
      <c r="AA930" s="6">
        <f>('TE BE'!$AA$7+'TE BF'!$AA$7+'TE CVA'!$AA$7)*1</f>
        <v>454.3285679284046</v>
      </c>
      <c r="AB930" s="6">
        <f>$K$930*$V$930</f>
        <v>0</v>
      </c>
      <c r="AC930" s="6">
        <f>$M$930*$W$930</f>
        <v>15375.209639999999</v>
      </c>
      <c r="AD930" s="6">
        <f>$O$930*$X$930</f>
        <v>4171.5244799999991</v>
      </c>
      <c r="AE930" s="6">
        <f>$K$930*$Y$930</f>
        <v>0</v>
      </c>
      <c r="AF930" s="6">
        <f ca="1">$M$930*$Z$930</f>
        <v>17209.806322332457</v>
      </c>
      <c r="AG930" s="6">
        <f>$O$930*$AA$930</f>
        <v>4868.5849339207834</v>
      </c>
    </row>
    <row r="931" spans="1:33" ht="11.25" customHeight="1" x14ac:dyDescent="0.25">
      <c r="A931" s="4" t="s">
        <v>21</v>
      </c>
      <c r="B931" s="4" t="s">
        <v>35</v>
      </c>
      <c r="C931" s="4" t="s">
        <v>36</v>
      </c>
      <c r="D931" s="4" t="s">
        <v>54</v>
      </c>
      <c r="E931" s="4" t="s">
        <v>25</v>
      </c>
      <c r="F931" s="4" t="s">
        <v>25</v>
      </c>
      <c r="G931" s="4" t="s">
        <v>25</v>
      </c>
      <c r="H931" s="4" t="s">
        <v>37</v>
      </c>
      <c r="I931" s="5">
        <v>44317</v>
      </c>
      <c r="J931" s="6">
        <v>0</v>
      </c>
      <c r="K931" s="6">
        <v>0</v>
      </c>
      <c r="L931" s="6">
        <v>12.023</v>
      </c>
      <c r="M931" s="6">
        <v>12.023</v>
      </c>
      <c r="N931" s="6">
        <v>12.023</v>
      </c>
      <c r="O931" s="6">
        <v>12.023</v>
      </c>
      <c r="P931" s="6">
        <v>0</v>
      </c>
      <c r="Q931" s="4" t="s">
        <v>26</v>
      </c>
      <c r="R931" s="4">
        <v>0</v>
      </c>
      <c r="S931" s="6">
        <v>0</v>
      </c>
      <c r="T931" s="6">
        <v>24</v>
      </c>
      <c r="U931" s="6">
        <v>66</v>
      </c>
      <c r="V931" s="6">
        <f>IF(ISERROR(VLOOKUP($S$931,'TAR FIN'!$A$1:$O$95,15,0)),0,VLOOKUP($S$931,'TAR FIN'!$A$1:$O$95,15,0))</f>
        <v>0</v>
      </c>
      <c r="W931" s="6">
        <f>IF(ISERROR(VLOOKUP($T$931,'TAR FIN'!$A$1:$O$95,15,0)),0,VLOOKUP($T$931,'TAR FIN'!$A$1:$O$95,15,0))</f>
        <v>1434.79</v>
      </c>
      <c r="X931" s="6">
        <f>IF(ISERROR(VLOOKUP($U$931,'TAR FIN'!$A$1:$O$95,15,0)),0,VLOOKUP($U$931,'TAR FIN'!$A$1:$O$95,15,0))</f>
        <v>389.28</v>
      </c>
      <c r="Y931" s="6"/>
      <c r="Z931" s="6">
        <f ca="1">('TUSD BE'!$AM$16+'TUSD BF'!$AM$16+'TUSD CVA'!$AM$16)*1</f>
        <v>1605.9916314233351</v>
      </c>
      <c r="AA931" s="6">
        <f>('TE BE'!$AA$7+'TE BF'!$AA$7+'TE CVA'!$AA$7)*1</f>
        <v>454.3285679284046</v>
      </c>
      <c r="AB931" s="6">
        <f>$K$931*$V$931</f>
        <v>0</v>
      </c>
      <c r="AC931" s="6">
        <f>$M$931*$W$931</f>
        <v>17250.480169999999</v>
      </c>
      <c r="AD931" s="6">
        <f>$O$931*$X$931</f>
        <v>4680.3134399999999</v>
      </c>
      <c r="AE931" s="6">
        <f>$K$931*$Y$931</f>
        <v>0</v>
      </c>
      <c r="AF931" s="6">
        <f ca="1">$M$931*$Z$931</f>
        <v>19308.837384602757</v>
      </c>
      <c r="AG931" s="6">
        <f>$O$931*$AA$931</f>
        <v>5462.3923722032087</v>
      </c>
    </row>
    <row r="932" spans="1:33" ht="11.25" customHeight="1" x14ac:dyDescent="0.25">
      <c r="A932" s="4" t="s">
        <v>21</v>
      </c>
      <c r="B932" s="4" t="s">
        <v>35</v>
      </c>
      <c r="C932" s="4" t="s">
        <v>36</v>
      </c>
      <c r="D932" s="4" t="s">
        <v>54</v>
      </c>
      <c r="E932" s="4" t="s">
        <v>25</v>
      </c>
      <c r="F932" s="4" t="s">
        <v>25</v>
      </c>
      <c r="G932" s="4" t="s">
        <v>25</v>
      </c>
      <c r="H932" s="4" t="s">
        <v>37</v>
      </c>
      <c r="I932" s="5">
        <v>44348</v>
      </c>
      <c r="J932" s="6">
        <v>0</v>
      </c>
      <c r="K932" s="6">
        <v>0</v>
      </c>
      <c r="L932" s="6">
        <v>11.859</v>
      </c>
      <c r="M932" s="6">
        <v>11.859</v>
      </c>
      <c r="N932" s="6">
        <v>11.859</v>
      </c>
      <c r="O932" s="6">
        <v>11.859</v>
      </c>
      <c r="P932" s="6">
        <v>0</v>
      </c>
      <c r="Q932" s="4" t="s">
        <v>26</v>
      </c>
      <c r="R932" s="4">
        <v>0</v>
      </c>
      <c r="S932" s="6">
        <v>0</v>
      </c>
      <c r="T932" s="6">
        <v>24</v>
      </c>
      <c r="U932" s="6">
        <v>66</v>
      </c>
      <c r="V932" s="6">
        <f>IF(ISERROR(VLOOKUP($S$932,'TAR FIN'!$A$1:$O$95,15,0)),0,VLOOKUP($S$932,'TAR FIN'!$A$1:$O$95,15,0))</f>
        <v>0</v>
      </c>
      <c r="W932" s="6">
        <f>IF(ISERROR(VLOOKUP($T$932,'TAR FIN'!$A$1:$O$95,15,0)),0,VLOOKUP($T$932,'TAR FIN'!$A$1:$O$95,15,0))</f>
        <v>1434.79</v>
      </c>
      <c r="X932" s="6">
        <f>IF(ISERROR(VLOOKUP($U$932,'TAR FIN'!$A$1:$O$95,15,0)),0,VLOOKUP($U$932,'TAR FIN'!$A$1:$O$95,15,0))</f>
        <v>389.28</v>
      </c>
      <c r="Y932" s="6"/>
      <c r="Z932" s="6">
        <f ca="1">('TUSD BE'!$AM$16+'TUSD BF'!$AM$16+'TUSD CVA'!$AM$16)*1</f>
        <v>1605.9916314233351</v>
      </c>
      <c r="AA932" s="6">
        <f>('TE BE'!$AA$7+'TE BF'!$AA$7+'TE CVA'!$AA$7)*1</f>
        <v>454.3285679284046</v>
      </c>
      <c r="AB932" s="6">
        <f>$K$932*$V$932</f>
        <v>0</v>
      </c>
      <c r="AC932" s="6">
        <f>$M$932*$W$932</f>
        <v>17015.174609999998</v>
      </c>
      <c r="AD932" s="6">
        <f>$O$932*$X$932</f>
        <v>4616.4715200000001</v>
      </c>
      <c r="AE932" s="6">
        <f>$K$932*$Y$932</f>
        <v>0</v>
      </c>
      <c r="AF932" s="6">
        <f ca="1">$M$932*$Z$932</f>
        <v>19045.454757049331</v>
      </c>
      <c r="AG932" s="6">
        <f>$O$932*$AA$932</f>
        <v>5387.8824870629505</v>
      </c>
    </row>
    <row r="933" spans="1:33" ht="11.25" customHeight="1" x14ac:dyDescent="0.25">
      <c r="A933" s="4" t="s">
        <v>21</v>
      </c>
      <c r="B933" s="4" t="s">
        <v>35</v>
      </c>
      <c r="C933" s="4" t="s">
        <v>36</v>
      </c>
      <c r="D933" s="4" t="s">
        <v>54</v>
      </c>
      <c r="E933" s="4" t="s">
        <v>25</v>
      </c>
      <c r="F933" s="4" t="s">
        <v>25</v>
      </c>
      <c r="G933" s="4" t="s">
        <v>25</v>
      </c>
      <c r="H933" s="4" t="s">
        <v>37</v>
      </c>
      <c r="I933" s="5">
        <v>44378</v>
      </c>
      <c r="J933" s="6">
        <v>0</v>
      </c>
      <c r="K933" s="6">
        <v>0</v>
      </c>
      <c r="L933" s="6">
        <v>11.95</v>
      </c>
      <c r="M933" s="6">
        <v>11.95</v>
      </c>
      <c r="N933" s="6">
        <v>11.95</v>
      </c>
      <c r="O933" s="6">
        <v>11.95</v>
      </c>
      <c r="P933" s="6">
        <v>0</v>
      </c>
      <c r="Q933" s="4" t="s">
        <v>26</v>
      </c>
      <c r="R933" s="4">
        <v>0</v>
      </c>
      <c r="S933" s="6">
        <v>0</v>
      </c>
      <c r="T933" s="6">
        <v>24</v>
      </c>
      <c r="U933" s="6">
        <v>66</v>
      </c>
      <c r="V933" s="6">
        <f>IF(ISERROR(VLOOKUP($S$933,'TAR FIN'!$A$1:$O$95,15,0)),0,VLOOKUP($S$933,'TAR FIN'!$A$1:$O$95,15,0))</f>
        <v>0</v>
      </c>
      <c r="W933" s="6">
        <f>IF(ISERROR(VLOOKUP($T$933,'TAR FIN'!$A$1:$O$95,15,0)),0,VLOOKUP($T$933,'TAR FIN'!$A$1:$O$95,15,0))</f>
        <v>1434.79</v>
      </c>
      <c r="X933" s="6">
        <f>IF(ISERROR(VLOOKUP($U$933,'TAR FIN'!$A$1:$O$95,15,0)),0,VLOOKUP($U$933,'TAR FIN'!$A$1:$O$95,15,0))</f>
        <v>389.28</v>
      </c>
      <c r="Y933" s="6"/>
      <c r="Z933" s="6">
        <f ca="1">('TUSD BE'!$AM$16+'TUSD BF'!$AM$16+'TUSD CVA'!$AM$16)*1</f>
        <v>1605.9916314233351</v>
      </c>
      <c r="AA933" s="6">
        <f>('TE BE'!$AA$7+'TE BF'!$AA$7+'TE CVA'!$AA$7)*1</f>
        <v>454.3285679284046</v>
      </c>
      <c r="AB933" s="6">
        <f>$K$933*$V$933</f>
        <v>0</v>
      </c>
      <c r="AC933" s="6">
        <f>$M$933*$W$933</f>
        <v>17145.7405</v>
      </c>
      <c r="AD933" s="6">
        <f>$O$933*$X$933</f>
        <v>4651.8959999999997</v>
      </c>
      <c r="AE933" s="6">
        <f>$K$933*$Y$933</f>
        <v>0</v>
      </c>
      <c r="AF933" s="6">
        <f ca="1">$M$933*$Z$933</f>
        <v>19191.599995508852</v>
      </c>
      <c r="AG933" s="6">
        <f>$O$933*$AA$933</f>
        <v>5429.2263867444344</v>
      </c>
    </row>
    <row r="934" spans="1:33" ht="11.25" customHeight="1" x14ac:dyDescent="0.25">
      <c r="A934" s="4" t="s">
        <v>21</v>
      </c>
      <c r="B934" s="4" t="s">
        <v>35</v>
      </c>
      <c r="C934" s="4" t="s">
        <v>36</v>
      </c>
      <c r="D934" s="4" t="s">
        <v>54</v>
      </c>
      <c r="E934" s="4" t="s">
        <v>25</v>
      </c>
      <c r="F934" s="4" t="s">
        <v>25</v>
      </c>
      <c r="G934" s="4" t="s">
        <v>25</v>
      </c>
      <c r="H934" s="4" t="s">
        <v>37</v>
      </c>
      <c r="I934" s="5">
        <v>44409</v>
      </c>
      <c r="J934" s="6">
        <v>0</v>
      </c>
      <c r="K934" s="6">
        <v>0</v>
      </c>
      <c r="L934" s="6">
        <v>12.388</v>
      </c>
      <c r="M934" s="6">
        <v>12.388</v>
      </c>
      <c r="N934" s="6">
        <v>12.388</v>
      </c>
      <c r="O934" s="6">
        <v>12.388</v>
      </c>
      <c r="P934" s="6">
        <v>0</v>
      </c>
      <c r="Q934" s="4" t="s">
        <v>26</v>
      </c>
      <c r="R934" s="4">
        <v>0</v>
      </c>
      <c r="S934" s="6">
        <v>0</v>
      </c>
      <c r="T934" s="6">
        <v>24</v>
      </c>
      <c r="U934" s="6">
        <v>66</v>
      </c>
      <c r="V934" s="6">
        <f>IF(ISERROR(VLOOKUP($S$934,'TAR FIN'!$A$1:$O$95,15,0)),0,VLOOKUP($S$934,'TAR FIN'!$A$1:$O$95,15,0))</f>
        <v>0</v>
      </c>
      <c r="W934" s="6">
        <f>IF(ISERROR(VLOOKUP($T$934,'TAR FIN'!$A$1:$O$95,15,0)),0,VLOOKUP($T$934,'TAR FIN'!$A$1:$O$95,15,0))</f>
        <v>1434.79</v>
      </c>
      <c r="X934" s="6">
        <f>IF(ISERROR(VLOOKUP($U$934,'TAR FIN'!$A$1:$O$95,15,0)),0,VLOOKUP($U$934,'TAR FIN'!$A$1:$O$95,15,0))</f>
        <v>389.28</v>
      </c>
      <c r="Y934" s="6"/>
      <c r="Z934" s="6">
        <f ca="1">('TUSD BE'!$AM$16+'TUSD BF'!$AM$16+'TUSD CVA'!$AM$16)*1</f>
        <v>1605.9916314233351</v>
      </c>
      <c r="AA934" s="6">
        <f>('TE BE'!$AA$7+'TE BF'!$AA$7+'TE CVA'!$AA$7)*1</f>
        <v>454.3285679284046</v>
      </c>
      <c r="AB934" s="6">
        <f>$K$934*$V$934</f>
        <v>0</v>
      </c>
      <c r="AC934" s="6">
        <f>$M$934*$W$934</f>
        <v>17774.178519999998</v>
      </c>
      <c r="AD934" s="6">
        <f>$O$934*$X$934</f>
        <v>4822.4006399999998</v>
      </c>
      <c r="AE934" s="6">
        <f>$K$934*$Y$934</f>
        <v>0</v>
      </c>
      <c r="AF934" s="6">
        <f ca="1">$M$934*$Z$934</f>
        <v>19895.024330072276</v>
      </c>
      <c r="AG934" s="6">
        <f>$O$934*$AA$934</f>
        <v>5628.2222994970762</v>
      </c>
    </row>
    <row r="935" spans="1:33" ht="11.25" customHeight="1" x14ac:dyDescent="0.25">
      <c r="A935" s="4" t="s">
        <v>21</v>
      </c>
      <c r="B935" s="4" t="s">
        <v>35</v>
      </c>
      <c r="C935" s="4" t="s">
        <v>36</v>
      </c>
      <c r="D935" s="4" t="s">
        <v>54</v>
      </c>
      <c r="E935" s="4" t="s">
        <v>25</v>
      </c>
      <c r="F935" s="4" t="s">
        <v>25</v>
      </c>
      <c r="G935" s="4" t="s">
        <v>25</v>
      </c>
      <c r="H935" s="4" t="s">
        <v>37</v>
      </c>
      <c r="I935" s="5">
        <v>44440</v>
      </c>
      <c r="J935" s="6">
        <v>0</v>
      </c>
      <c r="K935" s="6">
        <v>0</v>
      </c>
      <c r="L935" s="6">
        <v>11.398999999999999</v>
      </c>
      <c r="M935" s="6">
        <v>11.398999999999999</v>
      </c>
      <c r="N935" s="6">
        <v>11.398999999999999</v>
      </c>
      <c r="O935" s="6">
        <v>11.398999999999999</v>
      </c>
      <c r="P935" s="6">
        <v>0</v>
      </c>
      <c r="Q935" s="4" t="s">
        <v>26</v>
      </c>
      <c r="R935" s="4">
        <v>0</v>
      </c>
      <c r="S935" s="6">
        <v>0</v>
      </c>
      <c r="T935" s="6">
        <v>24</v>
      </c>
      <c r="U935" s="6">
        <v>66</v>
      </c>
      <c r="V935" s="6">
        <f>IF(ISERROR(VLOOKUP($S$935,'TAR FIN'!$A$1:$O$95,15,0)),0,VLOOKUP($S$935,'TAR FIN'!$A$1:$O$95,15,0))</f>
        <v>0</v>
      </c>
      <c r="W935" s="6">
        <f>IF(ISERROR(VLOOKUP($T$935,'TAR FIN'!$A$1:$O$95,15,0)),0,VLOOKUP($T$935,'TAR FIN'!$A$1:$O$95,15,0))</f>
        <v>1434.79</v>
      </c>
      <c r="X935" s="6">
        <f>IF(ISERROR(VLOOKUP($U$935,'TAR FIN'!$A$1:$O$95,15,0)),0,VLOOKUP($U$935,'TAR FIN'!$A$1:$O$95,15,0))</f>
        <v>389.28</v>
      </c>
      <c r="Y935" s="6"/>
      <c r="Z935" s="6">
        <f ca="1">('TUSD BE'!$AM$16+'TUSD BF'!$AM$16+'TUSD CVA'!$AM$16)*1</f>
        <v>1605.9916314233351</v>
      </c>
      <c r="AA935" s="6">
        <f>('TE BE'!$AA$7+'TE BF'!$AA$7+'TE CVA'!$AA$7)*1</f>
        <v>454.3285679284046</v>
      </c>
      <c r="AB935" s="6">
        <f>$K$935*$V$935</f>
        <v>0</v>
      </c>
      <c r="AC935" s="6">
        <f>$M$935*$W$935</f>
        <v>16355.171209999999</v>
      </c>
      <c r="AD935" s="6">
        <f>$O$935*$X$935</f>
        <v>4437.4027199999991</v>
      </c>
      <c r="AE935" s="6">
        <f>$K$935*$Y$935</f>
        <v>0</v>
      </c>
      <c r="AF935" s="6">
        <f ca="1">$M$935*$Z$935</f>
        <v>18306.698606594597</v>
      </c>
      <c r="AG935" s="6">
        <f>$O$935*$AA$935</f>
        <v>5178.8913458158831</v>
      </c>
    </row>
    <row r="936" spans="1:33" ht="11.25" customHeight="1" x14ac:dyDescent="0.25">
      <c r="A936" s="4" t="s">
        <v>59</v>
      </c>
      <c r="B936" s="4" t="s">
        <v>35</v>
      </c>
      <c r="C936" s="4" t="s">
        <v>36</v>
      </c>
      <c r="D936" s="4" t="s">
        <v>54</v>
      </c>
      <c r="E936" s="4" t="s">
        <v>25</v>
      </c>
      <c r="F936" s="4" t="s">
        <v>25</v>
      </c>
      <c r="G936" s="4" t="s">
        <v>25</v>
      </c>
      <c r="H936" s="4" t="s">
        <v>37</v>
      </c>
      <c r="I936" s="5">
        <v>44470</v>
      </c>
      <c r="J936" s="6">
        <v>0</v>
      </c>
      <c r="K936" s="6">
        <v>0</v>
      </c>
      <c r="L936" s="6">
        <v>11.398999999999999</v>
      </c>
      <c r="M936" s="6">
        <v>11.398999999999999</v>
      </c>
      <c r="N936" s="6">
        <v>11.398999999999999</v>
      </c>
      <c r="O936" s="6">
        <v>11.398999999999999</v>
      </c>
      <c r="P936" s="6">
        <v>0</v>
      </c>
      <c r="Q936" s="4" t="s">
        <v>26</v>
      </c>
      <c r="R936" s="4">
        <v>0</v>
      </c>
      <c r="S936" s="6">
        <v>0</v>
      </c>
      <c r="T936" s="6">
        <v>24</v>
      </c>
      <c r="U936" s="6">
        <v>66</v>
      </c>
      <c r="V936" s="6">
        <f>IF(ISERROR(VLOOKUP($S$936,'TAR FIN'!$A$1:$O$95,15,0)),0,VLOOKUP($S$936,'TAR FIN'!$A$1:$O$95,15,0))</f>
        <v>0</v>
      </c>
      <c r="W936" s="6">
        <f>IF(ISERROR(VLOOKUP($T$936,'TAR FIN'!$A$1:$O$95,15,0)),0,VLOOKUP($T$936,'TAR FIN'!$A$1:$O$95,15,0))</f>
        <v>1434.79</v>
      </c>
      <c r="X936" s="6">
        <f>IF(ISERROR(VLOOKUP($U$936,'TAR FIN'!$A$1:$O$95,15,0)),0,VLOOKUP($U$936,'TAR FIN'!$A$1:$O$95,15,0))</f>
        <v>389.28</v>
      </c>
      <c r="Y936" s="6"/>
      <c r="Z936" s="6">
        <f ca="1">('TUSD BE'!$AM$16+'TUSD BF'!$AM$16+'TUSD CVA'!$AM$16)*1</f>
        <v>1605.9916314233351</v>
      </c>
      <c r="AA936" s="6">
        <f>('TE BE'!$AA$7+'TE BF'!$AA$7+'TE CVA'!$AA$7)*1</f>
        <v>454.3285679284046</v>
      </c>
      <c r="AB936" s="6">
        <f>$K$936*$V$936</f>
        <v>0</v>
      </c>
      <c r="AC936" s="6">
        <f>$M$936*$W$936</f>
        <v>16355.171209999999</v>
      </c>
      <c r="AD936" s="6">
        <f>$O$936*$X$936</f>
        <v>4437.4027199999991</v>
      </c>
      <c r="AE936" s="6">
        <f>$K$936*$Y$936</f>
        <v>0</v>
      </c>
      <c r="AF936" s="6">
        <f ca="1">$M$936*$Z$936</f>
        <v>18306.698606594597</v>
      </c>
      <c r="AG936" s="6">
        <f>$O$936*$AA$936</f>
        <v>5178.8913458158831</v>
      </c>
    </row>
    <row r="937" spans="1:33" ht="11.25" customHeight="1" x14ac:dyDescent="0.25">
      <c r="A937" s="4" t="s">
        <v>21</v>
      </c>
      <c r="B937" s="4" t="s">
        <v>35</v>
      </c>
      <c r="C937" s="4" t="s">
        <v>36</v>
      </c>
      <c r="D937" s="4" t="s">
        <v>42</v>
      </c>
      <c r="E937" s="4" t="s">
        <v>25</v>
      </c>
      <c r="F937" s="4" t="s">
        <v>62</v>
      </c>
      <c r="G937" s="4" t="s">
        <v>25</v>
      </c>
      <c r="H937" s="4" t="s">
        <v>38</v>
      </c>
      <c r="I937" s="5">
        <v>44136</v>
      </c>
      <c r="J937" s="6">
        <v>0</v>
      </c>
      <c r="K937" s="6">
        <v>0</v>
      </c>
      <c r="L937" s="6">
        <v>27701.027999999998</v>
      </c>
      <c r="M937" s="6">
        <v>27701.027999999998</v>
      </c>
      <c r="N937" s="6">
        <v>0</v>
      </c>
      <c r="O937" s="6">
        <v>0</v>
      </c>
      <c r="P937" s="6">
        <v>0</v>
      </c>
      <c r="Q937" s="4" t="s">
        <v>60</v>
      </c>
      <c r="R937" s="4">
        <v>0</v>
      </c>
      <c r="S937" s="6">
        <v>0</v>
      </c>
      <c r="T937" s="6">
        <v>19</v>
      </c>
      <c r="U937" s="6">
        <v>0</v>
      </c>
      <c r="V937" s="6">
        <f>IF(ISERROR(VLOOKUP($S$937,'TAR FIN'!$A$1:$O$95,15,0)),0,VLOOKUP($S$937,'TAR FIN'!$A$1:$O$95,15,0))</f>
        <v>0</v>
      </c>
      <c r="W937" s="6">
        <f>IF(ISERROR(VLOOKUP($T$937,'TAR FIN'!$A$1:$O$95,15,0)),0,VLOOKUP($T$937,'TAR FIN'!$A$1:$O$95,15,0))</f>
        <v>149.63</v>
      </c>
      <c r="X937" s="6">
        <f>IF(ISERROR(VLOOKUP($U$937,'TAR FIN'!$A$1:$O$95,15,0)),0,VLOOKUP($U$937,'TAR FIN'!$A$1:$O$95,15,0))</f>
        <v>0</v>
      </c>
      <c r="Y937" s="6"/>
      <c r="Z937" s="6">
        <f ca="1">('TUSD BE'!$AM$17+'TUSD BF'!$AM$17+'TUSD CVA'!$AM$17)*1</f>
        <v>168.51338132937991</v>
      </c>
      <c r="AA937" s="6"/>
      <c r="AB937" s="6">
        <f>$K$937*$V$937</f>
        <v>0</v>
      </c>
      <c r="AC937" s="6">
        <f>$M$937*$W$937</f>
        <v>4144904.8196399994</v>
      </c>
      <c r="AD937" s="6">
        <f>$O$937*$X$937</f>
        <v>0</v>
      </c>
      <c r="AE937" s="6">
        <f>$K$937*$Y$937</f>
        <v>0</v>
      </c>
      <c r="AF937" s="6">
        <f ca="1">$M$937*$Z$937</f>
        <v>4667993.8945798296</v>
      </c>
      <c r="AG937" s="6">
        <f>$O$937*$AA$937</f>
        <v>0</v>
      </c>
    </row>
    <row r="938" spans="1:33" ht="11.25" customHeight="1" x14ac:dyDescent="0.25">
      <c r="A938" s="4" t="s">
        <v>21</v>
      </c>
      <c r="B938" s="4" t="s">
        <v>35</v>
      </c>
      <c r="C938" s="4" t="s">
        <v>36</v>
      </c>
      <c r="D938" s="4" t="s">
        <v>42</v>
      </c>
      <c r="E938" s="4" t="s">
        <v>25</v>
      </c>
      <c r="F938" s="4" t="s">
        <v>62</v>
      </c>
      <c r="G938" s="4" t="s">
        <v>25</v>
      </c>
      <c r="H938" s="4" t="s">
        <v>38</v>
      </c>
      <c r="I938" s="5">
        <v>44166</v>
      </c>
      <c r="J938" s="6">
        <v>0</v>
      </c>
      <c r="K938" s="6">
        <v>0</v>
      </c>
      <c r="L938" s="6">
        <v>25931.152999999998</v>
      </c>
      <c r="M938" s="6">
        <v>25931.152999999998</v>
      </c>
      <c r="N938" s="6">
        <v>0</v>
      </c>
      <c r="O938" s="6">
        <v>0</v>
      </c>
      <c r="P938" s="6">
        <v>0</v>
      </c>
      <c r="Q938" s="4" t="s">
        <v>60</v>
      </c>
      <c r="R938" s="4">
        <v>0</v>
      </c>
      <c r="S938" s="6">
        <v>0</v>
      </c>
      <c r="T938" s="6">
        <v>19</v>
      </c>
      <c r="U938" s="6">
        <v>0</v>
      </c>
      <c r="V938" s="6">
        <f>IF(ISERROR(VLOOKUP($S$938,'TAR FIN'!$A$1:$O$95,15,0)),0,VLOOKUP($S$938,'TAR FIN'!$A$1:$O$95,15,0))</f>
        <v>0</v>
      </c>
      <c r="W938" s="6">
        <f>IF(ISERROR(VLOOKUP($T$938,'TAR FIN'!$A$1:$O$95,15,0)),0,VLOOKUP($T$938,'TAR FIN'!$A$1:$O$95,15,0))</f>
        <v>149.63</v>
      </c>
      <c r="X938" s="6">
        <f>IF(ISERROR(VLOOKUP($U$938,'TAR FIN'!$A$1:$O$95,15,0)),0,VLOOKUP($U$938,'TAR FIN'!$A$1:$O$95,15,0))</f>
        <v>0</v>
      </c>
      <c r="Y938" s="6"/>
      <c r="Z938" s="6">
        <f ca="1">('TUSD BE'!$AM$17+'TUSD BF'!$AM$17+'TUSD CVA'!$AM$17)*1</f>
        <v>168.51338132937991</v>
      </c>
      <c r="AA938" s="6"/>
      <c r="AB938" s="6">
        <f>$K$938*$V$938</f>
        <v>0</v>
      </c>
      <c r="AC938" s="6">
        <f>$M$938*$W$938</f>
        <v>3880078.4233899997</v>
      </c>
      <c r="AD938" s="6">
        <f>$O$938*$X$938</f>
        <v>0</v>
      </c>
      <c r="AE938" s="6">
        <f>$K$938*$Y$938</f>
        <v>0</v>
      </c>
      <c r="AF938" s="6">
        <f ca="1">$M$938*$Z$938</f>
        <v>4369746.2737994939</v>
      </c>
      <c r="AG938" s="6">
        <f>$O$938*$AA$938</f>
        <v>0</v>
      </c>
    </row>
    <row r="939" spans="1:33" ht="11.25" customHeight="1" x14ac:dyDescent="0.25">
      <c r="A939" s="4" t="s">
        <v>21</v>
      </c>
      <c r="B939" s="4" t="s">
        <v>35</v>
      </c>
      <c r="C939" s="4" t="s">
        <v>36</v>
      </c>
      <c r="D939" s="4" t="s">
        <v>42</v>
      </c>
      <c r="E939" s="4" t="s">
        <v>25</v>
      </c>
      <c r="F939" s="4" t="s">
        <v>62</v>
      </c>
      <c r="G939" s="4" t="s">
        <v>25</v>
      </c>
      <c r="H939" s="4" t="s">
        <v>38</v>
      </c>
      <c r="I939" s="5">
        <v>44197</v>
      </c>
      <c r="J939" s="6">
        <v>0</v>
      </c>
      <c r="K939" s="6">
        <v>0</v>
      </c>
      <c r="L939" s="6">
        <v>21403.15</v>
      </c>
      <c r="M939" s="6">
        <v>21403.15</v>
      </c>
      <c r="N939" s="6">
        <v>0</v>
      </c>
      <c r="O939" s="6">
        <v>0</v>
      </c>
      <c r="P939" s="6">
        <v>0</v>
      </c>
      <c r="Q939" s="4" t="s">
        <v>60</v>
      </c>
      <c r="R939" s="4">
        <v>0</v>
      </c>
      <c r="S939" s="6">
        <v>0</v>
      </c>
      <c r="T939" s="6">
        <v>19</v>
      </c>
      <c r="U939" s="6">
        <v>0</v>
      </c>
      <c r="V939" s="6">
        <f>IF(ISERROR(VLOOKUP($S$939,'TAR FIN'!$A$1:$O$95,15,0)),0,VLOOKUP($S$939,'TAR FIN'!$A$1:$O$95,15,0))</f>
        <v>0</v>
      </c>
      <c r="W939" s="6">
        <f>IF(ISERROR(VLOOKUP($T$939,'TAR FIN'!$A$1:$O$95,15,0)),0,VLOOKUP($T$939,'TAR FIN'!$A$1:$O$95,15,0))</f>
        <v>149.63</v>
      </c>
      <c r="X939" s="6">
        <f>IF(ISERROR(VLOOKUP($U$939,'TAR FIN'!$A$1:$O$95,15,0)),0,VLOOKUP($U$939,'TAR FIN'!$A$1:$O$95,15,0))</f>
        <v>0</v>
      </c>
      <c r="Y939" s="6"/>
      <c r="Z939" s="6">
        <f ca="1">('TUSD BE'!$AM$17+'TUSD BF'!$AM$17+'TUSD CVA'!$AM$17)*1</f>
        <v>168.51338132937991</v>
      </c>
      <c r="AA939" s="6"/>
      <c r="AB939" s="6">
        <f>$K$939*$V$939</f>
        <v>0</v>
      </c>
      <c r="AC939" s="6">
        <f>$M$939*$W$939</f>
        <v>3202553.3345000003</v>
      </c>
      <c r="AD939" s="6">
        <f>$O$939*$X$939</f>
        <v>0</v>
      </c>
      <c r="AE939" s="6">
        <f>$K$939*$Y$939</f>
        <v>0</v>
      </c>
      <c r="AF939" s="6">
        <f ca="1">$M$939*$Z$939</f>
        <v>3606717.1775999181</v>
      </c>
      <c r="AG939" s="6">
        <f>$O$939*$AA$939</f>
        <v>0</v>
      </c>
    </row>
    <row r="940" spans="1:33" ht="11.25" customHeight="1" x14ac:dyDescent="0.25">
      <c r="A940" s="4" t="s">
        <v>21</v>
      </c>
      <c r="B940" s="4" t="s">
        <v>35</v>
      </c>
      <c r="C940" s="4" t="s">
        <v>36</v>
      </c>
      <c r="D940" s="4" t="s">
        <v>42</v>
      </c>
      <c r="E940" s="4" t="s">
        <v>25</v>
      </c>
      <c r="F940" s="4" t="s">
        <v>62</v>
      </c>
      <c r="G940" s="4" t="s">
        <v>25</v>
      </c>
      <c r="H940" s="4" t="s">
        <v>38</v>
      </c>
      <c r="I940" s="5">
        <v>44228</v>
      </c>
      <c r="J940" s="6">
        <v>0</v>
      </c>
      <c r="K940" s="6">
        <v>0</v>
      </c>
      <c r="L940" s="6">
        <v>22032.32</v>
      </c>
      <c r="M940" s="6">
        <v>22032.32</v>
      </c>
      <c r="N940" s="6">
        <v>0</v>
      </c>
      <c r="O940" s="6">
        <v>0</v>
      </c>
      <c r="P940" s="6">
        <v>0</v>
      </c>
      <c r="Q940" s="4" t="s">
        <v>60</v>
      </c>
      <c r="R940" s="4">
        <v>0</v>
      </c>
      <c r="S940" s="6">
        <v>0</v>
      </c>
      <c r="T940" s="6">
        <v>19</v>
      </c>
      <c r="U940" s="6">
        <v>0</v>
      </c>
      <c r="V940" s="6">
        <f>IF(ISERROR(VLOOKUP($S$940,'TAR FIN'!$A$1:$O$95,15,0)),0,VLOOKUP($S$940,'TAR FIN'!$A$1:$O$95,15,0))</f>
        <v>0</v>
      </c>
      <c r="W940" s="6">
        <f>IF(ISERROR(VLOOKUP($T$940,'TAR FIN'!$A$1:$O$95,15,0)),0,VLOOKUP($T$940,'TAR FIN'!$A$1:$O$95,15,0))</f>
        <v>149.63</v>
      </c>
      <c r="X940" s="6">
        <f>IF(ISERROR(VLOOKUP($U$940,'TAR FIN'!$A$1:$O$95,15,0)),0,VLOOKUP($U$940,'TAR FIN'!$A$1:$O$95,15,0))</f>
        <v>0</v>
      </c>
      <c r="Y940" s="6"/>
      <c r="Z940" s="6">
        <f ca="1">('TUSD BE'!$AM$17+'TUSD BF'!$AM$17+'TUSD CVA'!$AM$17)*1</f>
        <v>168.51338132937991</v>
      </c>
      <c r="AA940" s="6"/>
      <c r="AB940" s="6">
        <f>$K$940*$V$940</f>
        <v>0</v>
      </c>
      <c r="AC940" s="6">
        <f>$M$940*$W$940</f>
        <v>3296696.0415999996</v>
      </c>
      <c r="AD940" s="6">
        <f>$O$940*$X$940</f>
        <v>0</v>
      </c>
      <c r="AE940" s="6">
        <f>$K$940*$Y$940</f>
        <v>0</v>
      </c>
      <c r="AF940" s="6">
        <f ca="1">$M$940*$Z$940</f>
        <v>3712740.7417309238</v>
      </c>
      <c r="AG940" s="6">
        <f>$O$940*$AA$940</f>
        <v>0</v>
      </c>
    </row>
    <row r="941" spans="1:33" ht="11.25" customHeight="1" x14ac:dyDescent="0.25">
      <c r="A941" s="4" t="s">
        <v>21</v>
      </c>
      <c r="B941" s="4" t="s">
        <v>35</v>
      </c>
      <c r="C941" s="4" t="s">
        <v>36</v>
      </c>
      <c r="D941" s="4" t="s">
        <v>42</v>
      </c>
      <c r="E941" s="4" t="s">
        <v>25</v>
      </c>
      <c r="F941" s="4" t="s">
        <v>62</v>
      </c>
      <c r="G941" s="4" t="s">
        <v>25</v>
      </c>
      <c r="H941" s="4" t="s">
        <v>38</v>
      </c>
      <c r="I941" s="5">
        <v>44256</v>
      </c>
      <c r="J941" s="6">
        <v>0</v>
      </c>
      <c r="K941" s="6">
        <v>0</v>
      </c>
      <c r="L941" s="6">
        <v>28997.48</v>
      </c>
      <c r="M941" s="6">
        <v>28997.48</v>
      </c>
      <c r="N941" s="6">
        <v>0</v>
      </c>
      <c r="O941" s="6">
        <v>0</v>
      </c>
      <c r="P941" s="6">
        <v>0</v>
      </c>
      <c r="Q941" s="4" t="s">
        <v>60</v>
      </c>
      <c r="R941" s="4">
        <v>0</v>
      </c>
      <c r="S941" s="6">
        <v>0</v>
      </c>
      <c r="T941" s="6">
        <v>19</v>
      </c>
      <c r="U941" s="6">
        <v>0</v>
      </c>
      <c r="V941" s="6">
        <f>IF(ISERROR(VLOOKUP($S$941,'TAR FIN'!$A$1:$O$95,15,0)),0,VLOOKUP($S$941,'TAR FIN'!$A$1:$O$95,15,0))</f>
        <v>0</v>
      </c>
      <c r="W941" s="6">
        <f>IF(ISERROR(VLOOKUP($T$941,'TAR FIN'!$A$1:$O$95,15,0)),0,VLOOKUP($T$941,'TAR FIN'!$A$1:$O$95,15,0))</f>
        <v>149.63</v>
      </c>
      <c r="X941" s="6">
        <f>IF(ISERROR(VLOOKUP($U$941,'TAR FIN'!$A$1:$O$95,15,0)),0,VLOOKUP($U$941,'TAR FIN'!$A$1:$O$95,15,0))</f>
        <v>0</v>
      </c>
      <c r="Y941" s="6"/>
      <c r="Z941" s="6">
        <f ca="1">('TUSD BE'!$AM$17+'TUSD BF'!$AM$17+'TUSD CVA'!$AM$17)*1</f>
        <v>168.51338132937991</v>
      </c>
      <c r="AA941" s="6"/>
      <c r="AB941" s="6">
        <f>$K$941*$V$941</f>
        <v>0</v>
      </c>
      <c r="AC941" s="6">
        <f>$M$941*$W$941</f>
        <v>4338892.9323999994</v>
      </c>
      <c r="AD941" s="6">
        <f>$O$941*$X$941</f>
        <v>0</v>
      </c>
      <c r="AE941" s="6">
        <f>$K$941*$Y$941</f>
        <v>0</v>
      </c>
      <c r="AF941" s="6">
        <f ca="1">$M$941*$Z$941</f>
        <v>4886463.4048310677</v>
      </c>
      <c r="AG941" s="6">
        <f>$O$941*$AA$941</f>
        <v>0</v>
      </c>
    </row>
    <row r="942" spans="1:33" ht="11.25" customHeight="1" x14ac:dyDescent="0.25">
      <c r="A942" s="4" t="s">
        <v>21</v>
      </c>
      <c r="B942" s="4" t="s">
        <v>35</v>
      </c>
      <c r="C942" s="4" t="s">
        <v>36</v>
      </c>
      <c r="D942" s="4" t="s">
        <v>42</v>
      </c>
      <c r="E942" s="4" t="s">
        <v>25</v>
      </c>
      <c r="F942" s="4" t="s">
        <v>62</v>
      </c>
      <c r="G942" s="4" t="s">
        <v>25</v>
      </c>
      <c r="H942" s="4" t="s">
        <v>38</v>
      </c>
      <c r="I942" s="5">
        <v>44287</v>
      </c>
      <c r="J942" s="6">
        <v>0</v>
      </c>
      <c r="K942" s="6">
        <v>0</v>
      </c>
      <c r="L942" s="6">
        <v>28943.581999999999</v>
      </c>
      <c r="M942" s="6">
        <v>28943.581999999999</v>
      </c>
      <c r="N942" s="6">
        <v>0</v>
      </c>
      <c r="O942" s="6">
        <v>0</v>
      </c>
      <c r="P942" s="6">
        <v>0</v>
      </c>
      <c r="Q942" s="4" t="s">
        <v>60</v>
      </c>
      <c r="R942" s="4">
        <v>0</v>
      </c>
      <c r="S942" s="6">
        <v>0</v>
      </c>
      <c r="T942" s="6">
        <v>19</v>
      </c>
      <c r="U942" s="6">
        <v>0</v>
      </c>
      <c r="V942" s="6">
        <f>IF(ISERROR(VLOOKUP($S$942,'TAR FIN'!$A$1:$O$95,15,0)),0,VLOOKUP($S$942,'TAR FIN'!$A$1:$O$95,15,0))</f>
        <v>0</v>
      </c>
      <c r="W942" s="6">
        <f>IF(ISERROR(VLOOKUP($T$942,'TAR FIN'!$A$1:$O$95,15,0)),0,VLOOKUP($T$942,'TAR FIN'!$A$1:$O$95,15,0))</f>
        <v>149.63</v>
      </c>
      <c r="X942" s="6">
        <f>IF(ISERROR(VLOOKUP($U$942,'TAR FIN'!$A$1:$O$95,15,0)),0,VLOOKUP($U$942,'TAR FIN'!$A$1:$O$95,15,0))</f>
        <v>0</v>
      </c>
      <c r="Y942" s="6"/>
      <c r="Z942" s="6">
        <f ca="1">('TUSD BE'!$AM$17+'TUSD BF'!$AM$17+'TUSD CVA'!$AM$17)*1</f>
        <v>168.51338132937991</v>
      </c>
      <c r="AA942" s="6"/>
      <c r="AB942" s="6">
        <f>$K$942*$V$942</f>
        <v>0</v>
      </c>
      <c r="AC942" s="6">
        <f>$M$942*$W$942</f>
        <v>4330828.17466</v>
      </c>
      <c r="AD942" s="6">
        <f>$O$942*$X$942</f>
        <v>0</v>
      </c>
      <c r="AE942" s="6">
        <f>$K$942*$Y$942</f>
        <v>0</v>
      </c>
      <c r="AF942" s="6">
        <f ca="1">$M$942*$Z$942</f>
        <v>4877380.8706041761</v>
      </c>
      <c r="AG942" s="6">
        <f>$O$942*$AA$942</f>
        <v>0</v>
      </c>
    </row>
    <row r="943" spans="1:33" ht="11.25" customHeight="1" x14ac:dyDescent="0.25">
      <c r="A943" s="4" t="s">
        <v>21</v>
      </c>
      <c r="B943" s="4" t="s">
        <v>35</v>
      </c>
      <c r="C943" s="4" t="s">
        <v>36</v>
      </c>
      <c r="D943" s="4" t="s">
        <v>42</v>
      </c>
      <c r="E943" s="4" t="s">
        <v>25</v>
      </c>
      <c r="F943" s="4" t="s">
        <v>62</v>
      </c>
      <c r="G943" s="4" t="s">
        <v>25</v>
      </c>
      <c r="H943" s="4" t="s">
        <v>38</v>
      </c>
      <c r="I943" s="5">
        <v>44317</v>
      </c>
      <c r="J943" s="6">
        <v>0</v>
      </c>
      <c r="K943" s="6">
        <v>0</v>
      </c>
      <c r="L943" s="6">
        <v>30874.821</v>
      </c>
      <c r="M943" s="6">
        <v>30874.821</v>
      </c>
      <c r="N943" s="6">
        <v>0</v>
      </c>
      <c r="O943" s="6">
        <v>0</v>
      </c>
      <c r="P943" s="6">
        <v>0</v>
      </c>
      <c r="Q943" s="4" t="s">
        <v>60</v>
      </c>
      <c r="R943" s="4">
        <v>0</v>
      </c>
      <c r="S943" s="6">
        <v>0</v>
      </c>
      <c r="T943" s="6">
        <v>19</v>
      </c>
      <c r="U943" s="6">
        <v>0</v>
      </c>
      <c r="V943" s="6">
        <f>IF(ISERROR(VLOOKUP($S$943,'TAR FIN'!$A$1:$O$95,15,0)),0,VLOOKUP($S$943,'TAR FIN'!$A$1:$O$95,15,0))</f>
        <v>0</v>
      </c>
      <c r="W943" s="6">
        <f>IF(ISERROR(VLOOKUP($T$943,'TAR FIN'!$A$1:$O$95,15,0)),0,VLOOKUP($T$943,'TAR FIN'!$A$1:$O$95,15,0))</f>
        <v>149.63</v>
      </c>
      <c r="X943" s="6">
        <f>IF(ISERROR(VLOOKUP($U$943,'TAR FIN'!$A$1:$O$95,15,0)),0,VLOOKUP($U$943,'TAR FIN'!$A$1:$O$95,15,0))</f>
        <v>0</v>
      </c>
      <c r="Y943" s="6"/>
      <c r="Z943" s="6">
        <f ca="1">('TUSD BE'!$AM$17+'TUSD BF'!$AM$17+'TUSD CVA'!$AM$17)*1</f>
        <v>168.51338132937991</v>
      </c>
      <c r="AA943" s="6"/>
      <c r="AB943" s="6">
        <f>$K$943*$V$943</f>
        <v>0</v>
      </c>
      <c r="AC943" s="6">
        <f>$M$943*$W$943</f>
        <v>4619799.4662299994</v>
      </c>
      <c r="AD943" s="6">
        <f>$O$943*$X$943</f>
        <v>0</v>
      </c>
      <c r="AE943" s="6">
        <f>$K$943*$Y$943</f>
        <v>0</v>
      </c>
      <c r="AF943" s="6">
        <f ca="1">$M$943*$Z$943</f>
        <v>5202820.4846493471</v>
      </c>
      <c r="AG943" s="6">
        <f>$O$943*$AA$943</f>
        <v>0</v>
      </c>
    </row>
    <row r="944" spans="1:33" ht="11.25" customHeight="1" x14ac:dyDescent="0.25">
      <c r="A944" s="4" t="s">
        <v>21</v>
      </c>
      <c r="B944" s="4" t="s">
        <v>35</v>
      </c>
      <c r="C944" s="4" t="s">
        <v>36</v>
      </c>
      <c r="D944" s="4" t="s">
        <v>42</v>
      </c>
      <c r="E944" s="4" t="s">
        <v>25</v>
      </c>
      <c r="F944" s="4" t="s">
        <v>62</v>
      </c>
      <c r="G944" s="4" t="s">
        <v>25</v>
      </c>
      <c r="H944" s="4" t="s">
        <v>38</v>
      </c>
      <c r="I944" s="5">
        <v>44348</v>
      </c>
      <c r="J944" s="6">
        <v>0</v>
      </c>
      <c r="K944" s="6">
        <v>0</v>
      </c>
      <c r="L944" s="6">
        <v>21403.15</v>
      </c>
      <c r="M944" s="6">
        <v>21403.15</v>
      </c>
      <c r="N944" s="6">
        <v>0</v>
      </c>
      <c r="O944" s="6">
        <v>0</v>
      </c>
      <c r="P944" s="6">
        <v>0</v>
      </c>
      <c r="Q944" s="4" t="s">
        <v>60</v>
      </c>
      <c r="R944" s="4">
        <v>0</v>
      </c>
      <c r="S944" s="6">
        <v>0</v>
      </c>
      <c r="T944" s="6">
        <v>19</v>
      </c>
      <c r="U944" s="6">
        <v>0</v>
      </c>
      <c r="V944" s="6">
        <f>IF(ISERROR(VLOOKUP($S$944,'TAR FIN'!$A$1:$O$95,15,0)),0,VLOOKUP($S$944,'TAR FIN'!$A$1:$O$95,15,0))</f>
        <v>0</v>
      </c>
      <c r="W944" s="6">
        <f>IF(ISERROR(VLOOKUP($T$944,'TAR FIN'!$A$1:$O$95,15,0)),0,VLOOKUP($T$944,'TAR FIN'!$A$1:$O$95,15,0))</f>
        <v>149.63</v>
      </c>
      <c r="X944" s="6">
        <f>IF(ISERROR(VLOOKUP($U$944,'TAR FIN'!$A$1:$O$95,15,0)),0,VLOOKUP($U$944,'TAR FIN'!$A$1:$O$95,15,0))</f>
        <v>0</v>
      </c>
      <c r="Y944" s="6"/>
      <c r="Z944" s="6">
        <f ca="1">('TUSD BE'!$AM$17+'TUSD BF'!$AM$17+'TUSD CVA'!$AM$17)*1</f>
        <v>168.51338132937991</v>
      </c>
      <c r="AA944" s="6"/>
      <c r="AB944" s="6">
        <f>$K$944*$V$944</f>
        <v>0</v>
      </c>
      <c r="AC944" s="6">
        <f>$M$944*$W$944</f>
        <v>3202553.3345000003</v>
      </c>
      <c r="AD944" s="6">
        <f>$O$944*$X$944</f>
        <v>0</v>
      </c>
      <c r="AE944" s="6">
        <f>$K$944*$Y$944</f>
        <v>0</v>
      </c>
      <c r="AF944" s="6">
        <f ca="1">$M$944*$Z$944</f>
        <v>3606717.1775999181</v>
      </c>
      <c r="AG944" s="6">
        <f>$O$944*$AA$944</f>
        <v>0</v>
      </c>
    </row>
    <row r="945" spans="1:33" ht="11.25" customHeight="1" x14ac:dyDescent="0.25">
      <c r="A945" s="4" t="s">
        <v>21</v>
      </c>
      <c r="B945" s="4" t="s">
        <v>35</v>
      </c>
      <c r="C945" s="4" t="s">
        <v>36</v>
      </c>
      <c r="D945" s="4" t="s">
        <v>42</v>
      </c>
      <c r="E945" s="4" t="s">
        <v>25</v>
      </c>
      <c r="F945" s="4" t="s">
        <v>62</v>
      </c>
      <c r="G945" s="4" t="s">
        <v>25</v>
      </c>
      <c r="H945" s="4" t="s">
        <v>38</v>
      </c>
      <c r="I945" s="5">
        <v>44378</v>
      </c>
      <c r="J945" s="6">
        <v>0</v>
      </c>
      <c r="K945" s="6">
        <v>0</v>
      </c>
      <c r="L945" s="6">
        <v>31734.306</v>
      </c>
      <c r="M945" s="6">
        <v>31734.306</v>
      </c>
      <c r="N945" s="6">
        <v>0</v>
      </c>
      <c r="O945" s="6">
        <v>0</v>
      </c>
      <c r="P945" s="6">
        <v>0</v>
      </c>
      <c r="Q945" s="4" t="s">
        <v>60</v>
      </c>
      <c r="R945" s="4">
        <v>0</v>
      </c>
      <c r="S945" s="6">
        <v>0</v>
      </c>
      <c r="T945" s="6">
        <v>19</v>
      </c>
      <c r="U945" s="6">
        <v>0</v>
      </c>
      <c r="V945" s="6">
        <f>IF(ISERROR(VLOOKUP($S$945,'TAR FIN'!$A$1:$O$95,15,0)),0,VLOOKUP($S$945,'TAR FIN'!$A$1:$O$95,15,0))</f>
        <v>0</v>
      </c>
      <c r="W945" s="6">
        <f>IF(ISERROR(VLOOKUP($T$945,'TAR FIN'!$A$1:$O$95,15,0)),0,VLOOKUP($T$945,'TAR FIN'!$A$1:$O$95,15,0))</f>
        <v>149.63</v>
      </c>
      <c r="X945" s="6">
        <f>IF(ISERROR(VLOOKUP($U$945,'TAR FIN'!$A$1:$O$95,15,0)),0,VLOOKUP($U$945,'TAR FIN'!$A$1:$O$95,15,0))</f>
        <v>0</v>
      </c>
      <c r="Y945" s="6"/>
      <c r="Z945" s="6">
        <f ca="1">('TUSD BE'!$AM$17+'TUSD BF'!$AM$17+'TUSD CVA'!$AM$17)*1</f>
        <v>168.51338132937991</v>
      </c>
      <c r="AA945" s="6"/>
      <c r="AB945" s="6">
        <f>$K$945*$V$945</f>
        <v>0</v>
      </c>
      <c r="AC945" s="6">
        <f>$M$945*$W$945</f>
        <v>4748404.2067799997</v>
      </c>
      <c r="AD945" s="6">
        <f>$O$945*$X$945</f>
        <v>0</v>
      </c>
      <c r="AE945" s="6">
        <f>$K$945*$Y$945</f>
        <v>0</v>
      </c>
      <c r="AF945" s="6">
        <f ca="1">$M$945*$Z$945</f>
        <v>5347655.2082012286</v>
      </c>
      <c r="AG945" s="6">
        <f>$O$945*$AA$945</f>
        <v>0</v>
      </c>
    </row>
    <row r="946" spans="1:33" ht="11.25" customHeight="1" x14ac:dyDescent="0.25">
      <c r="A946" s="4" t="s">
        <v>21</v>
      </c>
      <c r="B946" s="4" t="s">
        <v>35</v>
      </c>
      <c r="C946" s="4" t="s">
        <v>36</v>
      </c>
      <c r="D946" s="4" t="s">
        <v>42</v>
      </c>
      <c r="E946" s="4" t="s">
        <v>25</v>
      </c>
      <c r="F946" s="4" t="s">
        <v>62</v>
      </c>
      <c r="G946" s="4" t="s">
        <v>25</v>
      </c>
      <c r="H946" s="4" t="s">
        <v>38</v>
      </c>
      <c r="I946" s="5">
        <v>44409</v>
      </c>
      <c r="J946" s="6">
        <v>0</v>
      </c>
      <c r="K946" s="6">
        <v>0</v>
      </c>
      <c r="L946" s="6">
        <v>32571.826000000001</v>
      </c>
      <c r="M946" s="6">
        <v>32571.826000000001</v>
      </c>
      <c r="N946" s="6">
        <v>0</v>
      </c>
      <c r="O946" s="6">
        <v>0</v>
      </c>
      <c r="P946" s="6">
        <v>0</v>
      </c>
      <c r="Q946" s="4" t="s">
        <v>60</v>
      </c>
      <c r="R946" s="4">
        <v>0</v>
      </c>
      <c r="S946" s="6">
        <v>0</v>
      </c>
      <c r="T946" s="6">
        <v>19</v>
      </c>
      <c r="U946" s="6">
        <v>0</v>
      </c>
      <c r="V946" s="6">
        <f>IF(ISERROR(VLOOKUP($S$946,'TAR FIN'!$A$1:$O$95,15,0)),0,VLOOKUP($S$946,'TAR FIN'!$A$1:$O$95,15,0))</f>
        <v>0</v>
      </c>
      <c r="W946" s="6">
        <f>IF(ISERROR(VLOOKUP($T$946,'TAR FIN'!$A$1:$O$95,15,0)),0,VLOOKUP($T$946,'TAR FIN'!$A$1:$O$95,15,0))</f>
        <v>149.63</v>
      </c>
      <c r="X946" s="6">
        <f>IF(ISERROR(VLOOKUP($U$946,'TAR FIN'!$A$1:$O$95,15,0)),0,VLOOKUP($U$946,'TAR FIN'!$A$1:$O$95,15,0))</f>
        <v>0</v>
      </c>
      <c r="Y946" s="6"/>
      <c r="Z946" s="6">
        <f ca="1">('TUSD BE'!$AM$17+'TUSD BF'!$AM$17+'TUSD CVA'!$AM$17)*1</f>
        <v>168.51338132937991</v>
      </c>
      <c r="AA946" s="6"/>
      <c r="AB946" s="6">
        <f>$K$946*$V$946</f>
        <v>0</v>
      </c>
      <c r="AC946" s="6">
        <f>$M$946*$W$946</f>
        <v>4873722.3243800001</v>
      </c>
      <c r="AD946" s="6">
        <f>$O$946*$X$946</f>
        <v>0</v>
      </c>
      <c r="AE946" s="6">
        <f>$K$946*$Y$946</f>
        <v>0</v>
      </c>
      <c r="AF946" s="6">
        <f ca="1">$M$946*$Z$946</f>
        <v>5488788.5353322113</v>
      </c>
      <c r="AG946" s="6">
        <f>$O$946*$AA$946</f>
        <v>0</v>
      </c>
    </row>
    <row r="947" spans="1:33" ht="11.25" customHeight="1" x14ac:dyDescent="0.25">
      <c r="A947" s="4" t="s">
        <v>21</v>
      </c>
      <c r="B947" s="4" t="s">
        <v>35</v>
      </c>
      <c r="C947" s="4" t="s">
        <v>36</v>
      </c>
      <c r="D947" s="4" t="s">
        <v>42</v>
      </c>
      <c r="E947" s="4" t="s">
        <v>25</v>
      </c>
      <c r="F947" s="4" t="s">
        <v>62</v>
      </c>
      <c r="G947" s="4" t="s">
        <v>25</v>
      </c>
      <c r="H947" s="4" t="s">
        <v>38</v>
      </c>
      <c r="I947" s="5">
        <v>44440</v>
      </c>
      <c r="J947" s="6">
        <v>0</v>
      </c>
      <c r="K947" s="6">
        <v>0</v>
      </c>
      <c r="L947" s="6">
        <v>32074.414000000001</v>
      </c>
      <c r="M947" s="6">
        <v>32074.414000000001</v>
      </c>
      <c r="N947" s="6">
        <v>0</v>
      </c>
      <c r="O947" s="6">
        <v>0</v>
      </c>
      <c r="P947" s="6">
        <v>0</v>
      </c>
      <c r="Q947" s="4" t="s">
        <v>60</v>
      </c>
      <c r="R947" s="4">
        <v>0</v>
      </c>
      <c r="S947" s="6">
        <v>0</v>
      </c>
      <c r="T947" s="6">
        <v>19</v>
      </c>
      <c r="U947" s="6">
        <v>0</v>
      </c>
      <c r="V947" s="6">
        <f>IF(ISERROR(VLOOKUP($S$947,'TAR FIN'!$A$1:$O$95,15,0)),0,VLOOKUP($S$947,'TAR FIN'!$A$1:$O$95,15,0))</f>
        <v>0</v>
      </c>
      <c r="W947" s="6">
        <f>IF(ISERROR(VLOOKUP($T$947,'TAR FIN'!$A$1:$O$95,15,0)),0,VLOOKUP($T$947,'TAR FIN'!$A$1:$O$95,15,0))</f>
        <v>149.63</v>
      </c>
      <c r="X947" s="6">
        <f>IF(ISERROR(VLOOKUP($U$947,'TAR FIN'!$A$1:$O$95,15,0)),0,VLOOKUP($U$947,'TAR FIN'!$A$1:$O$95,15,0))</f>
        <v>0</v>
      </c>
      <c r="Y947" s="6"/>
      <c r="Z947" s="6">
        <f ca="1">('TUSD BE'!$AM$17+'TUSD BF'!$AM$17+'TUSD CVA'!$AM$17)*1</f>
        <v>168.51338132937991</v>
      </c>
      <c r="AA947" s="6"/>
      <c r="AB947" s="6">
        <f>$K$947*$V$947</f>
        <v>0</v>
      </c>
      <c r="AC947" s="6">
        <f>$M$947*$W$947</f>
        <v>4799294.5668200003</v>
      </c>
      <c r="AD947" s="6">
        <f>$O$947*$X$947</f>
        <v>0</v>
      </c>
      <c r="AE947" s="6">
        <f>$K$947*$Y$947</f>
        <v>0</v>
      </c>
      <c r="AF947" s="6">
        <f ca="1">$M$947*$Z$947</f>
        <v>5404967.9572984017</v>
      </c>
      <c r="AG947" s="6">
        <f>$O$947*$AA$947</f>
        <v>0</v>
      </c>
    </row>
    <row r="948" spans="1:33" ht="11.25" customHeight="1" x14ac:dyDescent="0.25">
      <c r="A948" s="4" t="s">
        <v>59</v>
      </c>
      <c r="B948" s="4" t="s">
        <v>35</v>
      </c>
      <c r="C948" s="4" t="s">
        <v>36</v>
      </c>
      <c r="D948" s="4" t="s">
        <v>42</v>
      </c>
      <c r="E948" s="4" t="s">
        <v>25</v>
      </c>
      <c r="F948" s="4" t="s">
        <v>62</v>
      </c>
      <c r="G948" s="4" t="s">
        <v>25</v>
      </c>
      <c r="H948" s="4" t="s">
        <v>38</v>
      </c>
      <c r="I948" s="5">
        <v>44470</v>
      </c>
      <c r="J948" s="6">
        <v>0</v>
      </c>
      <c r="K948" s="6">
        <v>0</v>
      </c>
      <c r="L948" s="6">
        <v>32074.414000000001</v>
      </c>
      <c r="M948" s="6">
        <v>32074.414000000001</v>
      </c>
      <c r="N948" s="6">
        <v>0</v>
      </c>
      <c r="O948" s="6">
        <v>0</v>
      </c>
      <c r="P948" s="6">
        <v>0</v>
      </c>
      <c r="Q948" s="4" t="s">
        <v>60</v>
      </c>
      <c r="R948" s="4">
        <v>0</v>
      </c>
      <c r="S948" s="6">
        <v>0</v>
      </c>
      <c r="T948" s="6">
        <v>19</v>
      </c>
      <c r="U948" s="6">
        <v>0</v>
      </c>
      <c r="V948" s="6">
        <f>IF(ISERROR(VLOOKUP($S$948,'TAR FIN'!$A$1:$O$95,15,0)),0,VLOOKUP($S$948,'TAR FIN'!$A$1:$O$95,15,0))</f>
        <v>0</v>
      </c>
      <c r="W948" s="6">
        <f>IF(ISERROR(VLOOKUP($T$948,'TAR FIN'!$A$1:$O$95,15,0)),0,VLOOKUP($T$948,'TAR FIN'!$A$1:$O$95,15,0))</f>
        <v>149.63</v>
      </c>
      <c r="X948" s="6">
        <f>IF(ISERROR(VLOOKUP($U$948,'TAR FIN'!$A$1:$O$95,15,0)),0,VLOOKUP($U$948,'TAR FIN'!$A$1:$O$95,15,0))</f>
        <v>0</v>
      </c>
      <c r="Y948" s="6"/>
      <c r="Z948" s="6">
        <f ca="1">('TUSD BE'!$AM$17+'TUSD BF'!$AM$17+'TUSD CVA'!$AM$17)*1</f>
        <v>168.51338132937991</v>
      </c>
      <c r="AA948" s="6"/>
      <c r="AB948" s="6">
        <f>$K$948*$V$948</f>
        <v>0</v>
      </c>
      <c r="AC948" s="6">
        <f>$M$948*$W$948</f>
        <v>4799294.5668200003</v>
      </c>
      <c r="AD948" s="6">
        <f>$O$948*$X$948</f>
        <v>0</v>
      </c>
      <c r="AE948" s="6">
        <f>$K$948*$Y$948</f>
        <v>0</v>
      </c>
      <c r="AF948" s="6">
        <f ca="1">$M$948*$Z$948</f>
        <v>5404967.9572984017</v>
      </c>
      <c r="AG948" s="6">
        <f>$O$948*$AA$948</f>
        <v>0</v>
      </c>
    </row>
    <row r="949" spans="1:33" ht="11.25" customHeight="1" x14ac:dyDescent="0.25">
      <c r="A949" s="4" t="s">
        <v>21</v>
      </c>
      <c r="B949" s="4" t="s">
        <v>35</v>
      </c>
      <c r="C949" s="4" t="s">
        <v>36</v>
      </c>
      <c r="D949" s="4" t="s">
        <v>42</v>
      </c>
      <c r="E949" s="4" t="s">
        <v>25</v>
      </c>
      <c r="F949" s="4" t="s">
        <v>62</v>
      </c>
      <c r="G949" s="4" t="s">
        <v>25</v>
      </c>
      <c r="H949" s="4" t="s">
        <v>25</v>
      </c>
      <c r="I949" s="5">
        <v>44136</v>
      </c>
      <c r="J949" s="6">
        <v>101900</v>
      </c>
      <c r="K949" s="6">
        <v>52060.71</v>
      </c>
      <c r="L949" s="6">
        <v>0</v>
      </c>
      <c r="M949" s="6">
        <v>0</v>
      </c>
      <c r="N949" s="6">
        <v>0</v>
      </c>
      <c r="O949" s="6">
        <v>0</v>
      </c>
      <c r="P949" s="6">
        <v>123</v>
      </c>
      <c r="Q949" s="4" t="s">
        <v>60</v>
      </c>
      <c r="R949" s="4">
        <v>0</v>
      </c>
      <c r="S949" s="6">
        <v>23</v>
      </c>
      <c r="T949" s="6">
        <v>0</v>
      </c>
      <c r="U949" s="6">
        <v>0</v>
      </c>
      <c r="V949" s="6">
        <f>IF(ISERROR(VLOOKUP($S$949,'TAR FIN'!$A$1:$O$95,15,0)),0,VLOOKUP($S$949,'TAR FIN'!$A$1:$O$95,15,0))</f>
        <v>28.57</v>
      </c>
      <c r="W949" s="6">
        <f>IF(ISERROR(VLOOKUP($T$949,'TAR FIN'!$A$1:$O$95,15,0)),0,VLOOKUP($T$949,'TAR FIN'!$A$1:$O$95,15,0))</f>
        <v>0</v>
      </c>
      <c r="X949" s="6">
        <f>IF(ISERROR(VLOOKUP($U$949,'TAR FIN'!$A$1:$O$95,15,0)),0,VLOOKUP($U$949,'TAR FIN'!$A$1:$O$95,15,0))</f>
        <v>0</v>
      </c>
      <c r="Y949" s="6">
        <f ca="1">('TUSD BE'!$AM$15+'TUSD BF'!$AM$15+'TUSD CVA'!$AM$15)*1</f>
        <v>31.93064187172984</v>
      </c>
      <c r="Z949" s="6"/>
      <c r="AA949" s="6"/>
      <c r="AB949" s="6">
        <f>$K$949*$V$949</f>
        <v>1487374.4846999999</v>
      </c>
      <c r="AC949" s="6">
        <f>$M$949*$W$949</f>
        <v>0</v>
      </c>
      <c r="AD949" s="6">
        <f>$O$949*$X$949</f>
        <v>0</v>
      </c>
      <c r="AE949" s="6">
        <f ca="1">$K$949*$Y$949</f>
        <v>1662331.8865979845</v>
      </c>
      <c r="AF949" s="6">
        <f>$M$949*$Z$949</f>
        <v>0</v>
      </c>
      <c r="AG949" s="6">
        <f>$O$949*$AA$949</f>
        <v>0</v>
      </c>
    </row>
    <row r="950" spans="1:33" ht="11.25" customHeight="1" x14ac:dyDescent="0.25">
      <c r="A950" s="4" t="s">
        <v>21</v>
      </c>
      <c r="B950" s="4" t="s">
        <v>35</v>
      </c>
      <c r="C950" s="4" t="s">
        <v>36</v>
      </c>
      <c r="D950" s="4" t="s">
        <v>42</v>
      </c>
      <c r="E950" s="4" t="s">
        <v>25</v>
      </c>
      <c r="F950" s="4" t="s">
        <v>62</v>
      </c>
      <c r="G950" s="4" t="s">
        <v>25</v>
      </c>
      <c r="H950" s="4" t="s">
        <v>25</v>
      </c>
      <c r="I950" s="5">
        <v>44166</v>
      </c>
      <c r="J950" s="6">
        <v>97385</v>
      </c>
      <c r="K950" s="6">
        <v>47932.896999999997</v>
      </c>
      <c r="L950" s="6">
        <v>0</v>
      </c>
      <c r="M950" s="6">
        <v>0</v>
      </c>
      <c r="N950" s="6">
        <v>0</v>
      </c>
      <c r="O950" s="6">
        <v>0</v>
      </c>
      <c r="P950" s="6">
        <v>123</v>
      </c>
      <c r="Q950" s="4" t="s">
        <v>60</v>
      </c>
      <c r="R950" s="4">
        <v>0</v>
      </c>
      <c r="S950" s="6">
        <v>23</v>
      </c>
      <c r="T950" s="6">
        <v>0</v>
      </c>
      <c r="U950" s="6">
        <v>0</v>
      </c>
      <c r="V950" s="6">
        <f>IF(ISERROR(VLOOKUP($S$950,'TAR FIN'!$A$1:$O$95,15,0)),0,VLOOKUP($S$950,'TAR FIN'!$A$1:$O$95,15,0))</f>
        <v>28.57</v>
      </c>
      <c r="W950" s="6">
        <f>IF(ISERROR(VLOOKUP($T$950,'TAR FIN'!$A$1:$O$95,15,0)),0,VLOOKUP($T$950,'TAR FIN'!$A$1:$O$95,15,0))</f>
        <v>0</v>
      </c>
      <c r="X950" s="6">
        <f>IF(ISERROR(VLOOKUP($U$950,'TAR FIN'!$A$1:$O$95,15,0)),0,VLOOKUP($U$950,'TAR FIN'!$A$1:$O$95,15,0))</f>
        <v>0</v>
      </c>
      <c r="Y950" s="6">
        <f ca="1">('TUSD BE'!$AM$15+'TUSD BF'!$AM$15+'TUSD CVA'!$AM$15)*1</f>
        <v>31.93064187172984</v>
      </c>
      <c r="Z950" s="6"/>
      <c r="AA950" s="6"/>
      <c r="AB950" s="6">
        <f>$K$950*$V$950</f>
        <v>1369442.86729</v>
      </c>
      <c r="AC950" s="6">
        <f>$M$950*$W$950</f>
        <v>0</v>
      </c>
      <c r="AD950" s="6">
        <f>$O$950*$X$950</f>
        <v>0</v>
      </c>
      <c r="AE950" s="6">
        <f ca="1">$K$950*$Y$950</f>
        <v>1530528.1679815135</v>
      </c>
      <c r="AF950" s="6">
        <f>$M$950*$Z$950</f>
        <v>0</v>
      </c>
      <c r="AG950" s="6">
        <f>$O$950*$AA$950</f>
        <v>0</v>
      </c>
    </row>
    <row r="951" spans="1:33" ht="11.25" customHeight="1" x14ac:dyDescent="0.25">
      <c r="A951" s="4" t="s">
        <v>21</v>
      </c>
      <c r="B951" s="4" t="s">
        <v>35</v>
      </c>
      <c r="C951" s="4" t="s">
        <v>36</v>
      </c>
      <c r="D951" s="4" t="s">
        <v>42</v>
      </c>
      <c r="E951" s="4" t="s">
        <v>25</v>
      </c>
      <c r="F951" s="4" t="s">
        <v>62</v>
      </c>
      <c r="G951" s="4" t="s">
        <v>25</v>
      </c>
      <c r="H951" s="4" t="s">
        <v>25</v>
      </c>
      <c r="I951" s="5">
        <v>44197</v>
      </c>
      <c r="J951" s="6">
        <v>97560</v>
      </c>
      <c r="K951" s="6">
        <v>49140.972000000002</v>
      </c>
      <c r="L951" s="6">
        <v>0</v>
      </c>
      <c r="M951" s="6">
        <v>0</v>
      </c>
      <c r="N951" s="6">
        <v>0</v>
      </c>
      <c r="O951" s="6">
        <v>0</v>
      </c>
      <c r="P951" s="6">
        <v>124</v>
      </c>
      <c r="Q951" s="4" t="s">
        <v>60</v>
      </c>
      <c r="R951" s="4">
        <v>0</v>
      </c>
      <c r="S951" s="6">
        <v>23</v>
      </c>
      <c r="T951" s="6">
        <v>0</v>
      </c>
      <c r="U951" s="6">
        <v>0</v>
      </c>
      <c r="V951" s="6">
        <f>IF(ISERROR(VLOOKUP($S$951,'TAR FIN'!$A$1:$O$95,15,0)),0,VLOOKUP($S$951,'TAR FIN'!$A$1:$O$95,15,0))</f>
        <v>28.57</v>
      </c>
      <c r="W951" s="6">
        <f>IF(ISERROR(VLOOKUP($T$951,'TAR FIN'!$A$1:$O$95,15,0)),0,VLOOKUP($T$951,'TAR FIN'!$A$1:$O$95,15,0))</f>
        <v>0</v>
      </c>
      <c r="X951" s="6">
        <f>IF(ISERROR(VLOOKUP($U$951,'TAR FIN'!$A$1:$O$95,15,0)),0,VLOOKUP($U$951,'TAR FIN'!$A$1:$O$95,15,0))</f>
        <v>0</v>
      </c>
      <c r="Y951" s="6">
        <f ca="1">('TUSD BE'!$AM$15+'TUSD BF'!$AM$15+'TUSD CVA'!$AM$15)*1</f>
        <v>31.93064187172984</v>
      </c>
      <c r="Z951" s="6"/>
      <c r="AA951" s="6"/>
      <c r="AB951" s="6">
        <f>$K$951*$V$951</f>
        <v>1403957.5700400001</v>
      </c>
      <c r="AC951" s="6">
        <f>$M$951*$W$951</f>
        <v>0</v>
      </c>
      <c r="AD951" s="6">
        <f>$O$951*$X$951</f>
        <v>0</v>
      </c>
      <c r="AE951" s="6">
        <f ca="1">$K$951*$Y$951</f>
        <v>1569102.7781607036</v>
      </c>
      <c r="AF951" s="6">
        <f>$M$951*$Z$951</f>
        <v>0</v>
      </c>
      <c r="AG951" s="6">
        <f>$O$951*$AA$951</f>
        <v>0</v>
      </c>
    </row>
    <row r="952" spans="1:33" ht="11.25" customHeight="1" x14ac:dyDescent="0.25">
      <c r="A952" s="4" t="s">
        <v>21</v>
      </c>
      <c r="B952" s="4" t="s">
        <v>35</v>
      </c>
      <c r="C952" s="4" t="s">
        <v>36</v>
      </c>
      <c r="D952" s="4" t="s">
        <v>42</v>
      </c>
      <c r="E952" s="4" t="s">
        <v>25</v>
      </c>
      <c r="F952" s="4" t="s">
        <v>62</v>
      </c>
      <c r="G952" s="4" t="s">
        <v>25</v>
      </c>
      <c r="H952" s="4" t="s">
        <v>25</v>
      </c>
      <c r="I952" s="5">
        <v>44228</v>
      </c>
      <c r="J952" s="6">
        <v>101350</v>
      </c>
      <c r="K952" s="6">
        <v>50279.735000000001</v>
      </c>
      <c r="L952" s="6">
        <v>0</v>
      </c>
      <c r="M952" s="6">
        <v>0</v>
      </c>
      <c r="N952" s="6">
        <v>0</v>
      </c>
      <c r="O952" s="6">
        <v>0</v>
      </c>
      <c r="P952" s="6">
        <v>127</v>
      </c>
      <c r="Q952" s="4" t="s">
        <v>60</v>
      </c>
      <c r="R952" s="4">
        <v>0</v>
      </c>
      <c r="S952" s="6">
        <v>23</v>
      </c>
      <c r="T952" s="6">
        <v>0</v>
      </c>
      <c r="U952" s="6">
        <v>0</v>
      </c>
      <c r="V952" s="6">
        <f>IF(ISERROR(VLOOKUP($S$952,'TAR FIN'!$A$1:$O$95,15,0)),0,VLOOKUP($S$952,'TAR FIN'!$A$1:$O$95,15,0))</f>
        <v>28.57</v>
      </c>
      <c r="W952" s="6">
        <f>IF(ISERROR(VLOOKUP($T$952,'TAR FIN'!$A$1:$O$95,15,0)),0,VLOOKUP($T$952,'TAR FIN'!$A$1:$O$95,15,0))</f>
        <v>0</v>
      </c>
      <c r="X952" s="6">
        <f>IF(ISERROR(VLOOKUP($U$952,'TAR FIN'!$A$1:$O$95,15,0)),0,VLOOKUP($U$952,'TAR FIN'!$A$1:$O$95,15,0))</f>
        <v>0</v>
      </c>
      <c r="Y952" s="6">
        <f ca="1">('TUSD BE'!$AM$15+'TUSD BF'!$AM$15+'TUSD CVA'!$AM$15)*1</f>
        <v>31.93064187172984</v>
      </c>
      <c r="Z952" s="6"/>
      <c r="AA952" s="6"/>
      <c r="AB952" s="6">
        <f>$K$952*$V$952</f>
        <v>1436492.0289499999</v>
      </c>
      <c r="AC952" s="6">
        <f>$M$952*$W$952</f>
        <v>0</v>
      </c>
      <c r="AD952" s="6">
        <f>$O$952*$X$952</f>
        <v>0</v>
      </c>
      <c r="AE952" s="6">
        <f ca="1">$K$952*$Y$952</f>
        <v>1605464.2116904804</v>
      </c>
      <c r="AF952" s="6">
        <f>$M$952*$Z$952</f>
        <v>0</v>
      </c>
      <c r="AG952" s="6">
        <f>$O$952*$AA$952</f>
        <v>0</v>
      </c>
    </row>
    <row r="953" spans="1:33" ht="11.25" customHeight="1" x14ac:dyDescent="0.25">
      <c r="A953" s="4" t="s">
        <v>21</v>
      </c>
      <c r="B953" s="4" t="s">
        <v>35</v>
      </c>
      <c r="C953" s="4" t="s">
        <v>36</v>
      </c>
      <c r="D953" s="4" t="s">
        <v>42</v>
      </c>
      <c r="E953" s="4" t="s">
        <v>25</v>
      </c>
      <c r="F953" s="4" t="s">
        <v>62</v>
      </c>
      <c r="G953" s="4" t="s">
        <v>25</v>
      </c>
      <c r="H953" s="4" t="s">
        <v>25</v>
      </c>
      <c r="I953" s="5">
        <v>44256</v>
      </c>
      <c r="J953" s="6">
        <v>102537</v>
      </c>
      <c r="K953" s="6">
        <v>49709.937599999997</v>
      </c>
      <c r="L953" s="6">
        <v>0</v>
      </c>
      <c r="M953" s="6">
        <v>0</v>
      </c>
      <c r="N953" s="6">
        <v>0</v>
      </c>
      <c r="O953" s="6">
        <v>0</v>
      </c>
      <c r="P953" s="6">
        <v>129</v>
      </c>
      <c r="Q953" s="4" t="s">
        <v>60</v>
      </c>
      <c r="R953" s="4">
        <v>0</v>
      </c>
      <c r="S953" s="6">
        <v>23</v>
      </c>
      <c r="T953" s="6">
        <v>0</v>
      </c>
      <c r="U953" s="6">
        <v>0</v>
      </c>
      <c r="V953" s="6">
        <f>IF(ISERROR(VLOOKUP($S$953,'TAR FIN'!$A$1:$O$95,15,0)),0,VLOOKUP($S$953,'TAR FIN'!$A$1:$O$95,15,0))</f>
        <v>28.57</v>
      </c>
      <c r="W953" s="6">
        <f>IF(ISERROR(VLOOKUP($T$953,'TAR FIN'!$A$1:$O$95,15,0)),0,VLOOKUP($T$953,'TAR FIN'!$A$1:$O$95,15,0))</f>
        <v>0</v>
      </c>
      <c r="X953" s="6">
        <f>IF(ISERROR(VLOOKUP($U$953,'TAR FIN'!$A$1:$O$95,15,0)),0,VLOOKUP($U$953,'TAR FIN'!$A$1:$O$95,15,0))</f>
        <v>0</v>
      </c>
      <c r="Y953" s="6">
        <f ca="1">('TUSD BE'!$AM$15+'TUSD BF'!$AM$15+'TUSD CVA'!$AM$15)*1</f>
        <v>31.93064187172984</v>
      </c>
      <c r="Z953" s="6"/>
      <c r="AA953" s="6"/>
      <c r="AB953" s="6">
        <f>$K$953*$V$953</f>
        <v>1420212.917232</v>
      </c>
      <c r="AC953" s="6">
        <f>$M$953*$W$953</f>
        <v>0</v>
      </c>
      <c r="AD953" s="6">
        <f>$O$953*$X$953</f>
        <v>0</v>
      </c>
      <c r="AE953" s="6">
        <f ca="1">$K$953*$Y$953</f>
        <v>1587270.2149716374</v>
      </c>
      <c r="AF953" s="6">
        <f>$M$953*$Z$953</f>
        <v>0</v>
      </c>
      <c r="AG953" s="6">
        <f>$O$953*$AA$953</f>
        <v>0</v>
      </c>
    </row>
    <row r="954" spans="1:33" ht="11.25" customHeight="1" x14ac:dyDescent="0.25">
      <c r="A954" s="4" t="s">
        <v>21</v>
      </c>
      <c r="B954" s="4" t="s">
        <v>35</v>
      </c>
      <c r="C954" s="4" t="s">
        <v>36</v>
      </c>
      <c r="D954" s="4" t="s">
        <v>42</v>
      </c>
      <c r="E954" s="4" t="s">
        <v>25</v>
      </c>
      <c r="F954" s="4" t="s">
        <v>62</v>
      </c>
      <c r="G954" s="4" t="s">
        <v>25</v>
      </c>
      <c r="H954" s="4" t="s">
        <v>25</v>
      </c>
      <c r="I954" s="5">
        <v>44287</v>
      </c>
      <c r="J954" s="6">
        <v>108267</v>
      </c>
      <c r="K954" s="6">
        <v>51318.557999999997</v>
      </c>
      <c r="L954" s="6">
        <v>0</v>
      </c>
      <c r="M954" s="6">
        <v>0</v>
      </c>
      <c r="N954" s="6">
        <v>0</v>
      </c>
      <c r="O954" s="6">
        <v>0</v>
      </c>
      <c r="P954" s="6">
        <v>134</v>
      </c>
      <c r="Q954" s="4" t="s">
        <v>60</v>
      </c>
      <c r="R954" s="4">
        <v>0</v>
      </c>
      <c r="S954" s="6">
        <v>23</v>
      </c>
      <c r="T954" s="6">
        <v>0</v>
      </c>
      <c r="U954" s="6">
        <v>0</v>
      </c>
      <c r="V954" s="6">
        <f>IF(ISERROR(VLOOKUP($S$954,'TAR FIN'!$A$1:$O$95,15,0)),0,VLOOKUP($S$954,'TAR FIN'!$A$1:$O$95,15,0))</f>
        <v>28.57</v>
      </c>
      <c r="W954" s="6">
        <f>IF(ISERROR(VLOOKUP($T$954,'TAR FIN'!$A$1:$O$95,15,0)),0,VLOOKUP($T$954,'TAR FIN'!$A$1:$O$95,15,0))</f>
        <v>0</v>
      </c>
      <c r="X954" s="6">
        <f>IF(ISERROR(VLOOKUP($U$954,'TAR FIN'!$A$1:$O$95,15,0)),0,VLOOKUP($U$954,'TAR FIN'!$A$1:$O$95,15,0))</f>
        <v>0</v>
      </c>
      <c r="Y954" s="6">
        <f ca="1">('TUSD BE'!$AM$15+'TUSD BF'!$AM$15+'TUSD CVA'!$AM$15)*1</f>
        <v>31.93064187172984</v>
      </c>
      <c r="Z954" s="6"/>
      <c r="AA954" s="6"/>
      <c r="AB954" s="6">
        <f>$K$954*$V$954</f>
        <v>1466171.20206</v>
      </c>
      <c r="AC954" s="6">
        <f>$M$954*$W$954</f>
        <v>0</v>
      </c>
      <c r="AD954" s="6">
        <f>$O$954*$X$954</f>
        <v>0</v>
      </c>
      <c r="AE954" s="6">
        <f ca="1">$K$954*$Y$954</f>
        <v>1638634.4968715962</v>
      </c>
      <c r="AF954" s="6">
        <f>$M$954*$Z$954</f>
        <v>0</v>
      </c>
      <c r="AG954" s="6">
        <f>$O$954*$AA$954</f>
        <v>0</v>
      </c>
    </row>
    <row r="955" spans="1:33" ht="11.25" customHeight="1" x14ac:dyDescent="0.25">
      <c r="A955" s="4" t="s">
        <v>21</v>
      </c>
      <c r="B955" s="4" t="s">
        <v>35</v>
      </c>
      <c r="C955" s="4" t="s">
        <v>36</v>
      </c>
      <c r="D955" s="4" t="s">
        <v>42</v>
      </c>
      <c r="E955" s="4" t="s">
        <v>25</v>
      </c>
      <c r="F955" s="4" t="s">
        <v>62</v>
      </c>
      <c r="G955" s="4" t="s">
        <v>25</v>
      </c>
      <c r="H955" s="4" t="s">
        <v>25</v>
      </c>
      <c r="I955" s="5">
        <v>44317</v>
      </c>
      <c r="J955" s="6">
        <v>110368</v>
      </c>
      <c r="K955" s="6">
        <v>52766.940799999997</v>
      </c>
      <c r="L955" s="6">
        <v>0</v>
      </c>
      <c r="M955" s="6">
        <v>0</v>
      </c>
      <c r="N955" s="6">
        <v>0</v>
      </c>
      <c r="O955" s="6">
        <v>0</v>
      </c>
      <c r="P955" s="6">
        <v>136</v>
      </c>
      <c r="Q955" s="4" t="s">
        <v>60</v>
      </c>
      <c r="R955" s="4">
        <v>0</v>
      </c>
      <c r="S955" s="6">
        <v>23</v>
      </c>
      <c r="T955" s="6">
        <v>0</v>
      </c>
      <c r="U955" s="6">
        <v>0</v>
      </c>
      <c r="V955" s="6">
        <f>IF(ISERROR(VLOOKUP($S$955,'TAR FIN'!$A$1:$O$95,15,0)),0,VLOOKUP($S$955,'TAR FIN'!$A$1:$O$95,15,0))</f>
        <v>28.57</v>
      </c>
      <c r="W955" s="6">
        <f>IF(ISERROR(VLOOKUP($T$955,'TAR FIN'!$A$1:$O$95,15,0)),0,VLOOKUP($T$955,'TAR FIN'!$A$1:$O$95,15,0))</f>
        <v>0</v>
      </c>
      <c r="X955" s="6">
        <f>IF(ISERROR(VLOOKUP($U$955,'TAR FIN'!$A$1:$O$95,15,0)),0,VLOOKUP($U$955,'TAR FIN'!$A$1:$O$95,15,0))</f>
        <v>0</v>
      </c>
      <c r="Y955" s="6">
        <f ca="1">('TUSD BE'!$AM$15+'TUSD BF'!$AM$15+'TUSD CVA'!$AM$15)*1</f>
        <v>31.93064187172984</v>
      </c>
      <c r="Z955" s="6"/>
      <c r="AA955" s="6"/>
      <c r="AB955" s="6">
        <f>$K$955*$V$955</f>
        <v>1507551.498656</v>
      </c>
      <c r="AC955" s="6">
        <f>$M$955*$W$955</f>
        <v>0</v>
      </c>
      <c r="AD955" s="6">
        <f>$O$955*$X$955</f>
        <v>0</v>
      </c>
      <c r="AE955" s="6">
        <f ca="1">$K$955*$Y$955</f>
        <v>1684882.2893515695</v>
      </c>
      <c r="AF955" s="6">
        <f>$M$955*$Z$955</f>
        <v>0</v>
      </c>
      <c r="AG955" s="6">
        <f>$O$955*$AA$955</f>
        <v>0</v>
      </c>
    </row>
    <row r="956" spans="1:33" ht="11.25" customHeight="1" x14ac:dyDescent="0.25">
      <c r="A956" s="4" t="s">
        <v>21</v>
      </c>
      <c r="B956" s="4" t="s">
        <v>35</v>
      </c>
      <c r="C956" s="4" t="s">
        <v>36</v>
      </c>
      <c r="D956" s="4" t="s">
        <v>42</v>
      </c>
      <c r="E956" s="4" t="s">
        <v>25</v>
      </c>
      <c r="F956" s="4" t="s">
        <v>62</v>
      </c>
      <c r="G956" s="4" t="s">
        <v>25</v>
      </c>
      <c r="H956" s="4" t="s">
        <v>25</v>
      </c>
      <c r="I956" s="5">
        <v>44348</v>
      </c>
      <c r="J956" s="6">
        <v>97560</v>
      </c>
      <c r="K956" s="6">
        <v>49140.972000000002</v>
      </c>
      <c r="L956" s="6">
        <v>0</v>
      </c>
      <c r="M956" s="6">
        <v>0</v>
      </c>
      <c r="N956" s="6">
        <v>0</v>
      </c>
      <c r="O956" s="6">
        <v>0</v>
      </c>
      <c r="P956" s="6">
        <v>124</v>
      </c>
      <c r="Q956" s="4" t="s">
        <v>60</v>
      </c>
      <c r="R956" s="4">
        <v>0</v>
      </c>
      <c r="S956" s="6">
        <v>23</v>
      </c>
      <c r="T956" s="6">
        <v>0</v>
      </c>
      <c r="U956" s="6">
        <v>0</v>
      </c>
      <c r="V956" s="6">
        <f>IF(ISERROR(VLOOKUP($S$956,'TAR FIN'!$A$1:$O$95,15,0)),0,VLOOKUP($S$956,'TAR FIN'!$A$1:$O$95,15,0))</f>
        <v>28.57</v>
      </c>
      <c r="W956" s="6">
        <f>IF(ISERROR(VLOOKUP($T$956,'TAR FIN'!$A$1:$O$95,15,0)),0,VLOOKUP($T$956,'TAR FIN'!$A$1:$O$95,15,0))</f>
        <v>0</v>
      </c>
      <c r="X956" s="6">
        <f>IF(ISERROR(VLOOKUP($U$956,'TAR FIN'!$A$1:$O$95,15,0)),0,VLOOKUP($U$956,'TAR FIN'!$A$1:$O$95,15,0))</f>
        <v>0</v>
      </c>
      <c r="Y956" s="6">
        <f ca="1">('TUSD BE'!$AM$15+'TUSD BF'!$AM$15+'TUSD CVA'!$AM$15)*1</f>
        <v>31.93064187172984</v>
      </c>
      <c r="Z956" s="6"/>
      <c r="AA956" s="6"/>
      <c r="AB956" s="6">
        <f>$K$956*$V$956</f>
        <v>1403957.5700400001</v>
      </c>
      <c r="AC956" s="6">
        <f>$M$956*$W$956</f>
        <v>0</v>
      </c>
      <c r="AD956" s="6">
        <f>$O$956*$X$956</f>
        <v>0</v>
      </c>
      <c r="AE956" s="6">
        <f ca="1">$K$956*$Y$956</f>
        <v>1569102.7781607036</v>
      </c>
      <c r="AF956" s="6">
        <f>$M$956*$Z$956</f>
        <v>0</v>
      </c>
      <c r="AG956" s="6">
        <f>$O$956*$AA$956</f>
        <v>0</v>
      </c>
    </row>
    <row r="957" spans="1:33" ht="11.25" customHeight="1" x14ac:dyDescent="0.25">
      <c r="A957" s="4" t="s">
        <v>21</v>
      </c>
      <c r="B957" s="4" t="s">
        <v>35</v>
      </c>
      <c r="C957" s="4" t="s">
        <v>36</v>
      </c>
      <c r="D957" s="4" t="s">
        <v>42</v>
      </c>
      <c r="E957" s="4" t="s">
        <v>25</v>
      </c>
      <c r="F957" s="4" t="s">
        <v>62</v>
      </c>
      <c r="G957" s="4" t="s">
        <v>25</v>
      </c>
      <c r="H957" s="4" t="s">
        <v>25</v>
      </c>
      <c r="I957" s="5">
        <v>44378</v>
      </c>
      <c r="J957" s="6">
        <v>107052</v>
      </c>
      <c r="K957" s="6">
        <v>50742.648000000001</v>
      </c>
      <c r="L957" s="6">
        <v>0</v>
      </c>
      <c r="M957" s="6">
        <v>0</v>
      </c>
      <c r="N957" s="6">
        <v>0</v>
      </c>
      <c r="O957" s="6">
        <v>0</v>
      </c>
      <c r="P957" s="6">
        <v>138</v>
      </c>
      <c r="Q957" s="4" t="s">
        <v>60</v>
      </c>
      <c r="R957" s="4">
        <v>0</v>
      </c>
      <c r="S957" s="6">
        <v>23</v>
      </c>
      <c r="T957" s="6">
        <v>0</v>
      </c>
      <c r="U957" s="6">
        <v>0</v>
      </c>
      <c r="V957" s="6">
        <f>IF(ISERROR(VLOOKUP($S$957,'TAR FIN'!$A$1:$O$95,15,0)),0,VLOOKUP($S$957,'TAR FIN'!$A$1:$O$95,15,0))</f>
        <v>28.57</v>
      </c>
      <c r="W957" s="6">
        <f>IF(ISERROR(VLOOKUP($T$957,'TAR FIN'!$A$1:$O$95,15,0)),0,VLOOKUP($T$957,'TAR FIN'!$A$1:$O$95,15,0))</f>
        <v>0</v>
      </c>
      <c r="X957" s="6">
        <f>IF(ISERROR(VLOOKUP($U$957,'TAR FIN'!$A$1:$O$95,15,0)),0,VLOOKUP($U$957,'TAR FIN'!$A$1:$O$95,15,0))</f>
        <v>0</v>
      </c>
      <c r="Y957" s="6">
        <f ca="1">('TUSD BE'!$AM$15+'TUSD BF'!$AM$15+'TUSD CVA'!$AM$15)*1</f>
        <v>31.93064187172984</v>
      </c>
      <c r="Z957" s="6"/>
      <c r="AA957" s="6"/>
      <c r="AB957" s="6">
        <f>$K$957*$V$957</f>
        <v>1449717.4533600002</v>
      </c>
      <c r="AC957" s="6">
        <f>$M$957*$W$957</f>
        <v>0</v>
      </c>
      <c r="AD957" s="6">
        <f>$O$957*$X$957</f>
        <v>0</v>
      </c>
      <c r="AE957" s="6">
        <f ca="1">$K$957*$Y$957</f>
        <v>1620245.3209112484</v>
      </c>
      <c r="AF957" s="6">
        <f>$M$957*$Z$957</f>
        <v>0</v>
      </c>
      <c r="AG957" s="6">
        <f>$O$957*$AA$957</f>
        <v>0</v>
      </c>
    </row>
    <row r="958" spans="1:33" ht="11.25" customHeight="1" x14ac:dyDescent="0.25">
      <c r="A958" s="4" t="s">
        <v>21</v>
      </c>
      <c r="B958" s="4" t="s">
        <v>35</v>
      </c>
      <c r="C958" s="4" t="s">
        <v>36</v>
      </c>
      <c r="D958" s="4" t="s">
        <v>42</v>
      </c>
      <c r="E958" s="4" t="s">
        <v>25</v>
      </c>
      <c r="F958" s="4" t="s">
        <v>62</v>
      </c>
      <c r="G958" s="4" t="s">
        <v>25</v>
      </c>
      <c r="H958" s="4" t="s">
        <v>25</v>
      </c>
      <c r="I958" s="5">
        <v>44409</v>
      </c>
      <c r="J958" s="6">
        <v>106883</v>
      </c>
      <c r="K958" s="6">
        <v>48610.388400000003</v>
      </c>
      <c r="L958" s="6">
        <v>0</v>
      </c>
      <c r="M958" s="6">
        <v>0</v>
      </c>
      <c r="N958" s="6">
        <v>0</v>
      </c>
      <c r="O958" s="6">
        <v>0</v>
      </c>
      <c r="P958" s="6">
        <v>138</v>
      </c>
      <c r="Q958" s="4" t="s">
        <v>60</v>
      </c>
      <c r="R958" s="4">
        <v>0</v>
      </c>
      <c r="S958" s="6">
        <v>23</v>
      </c>
      <c r="T958" s="6">
        <v>0</v>
      </c>
      <c r="U958" s="6">
        <v>0</v>
      </c>
      <c r="V958" s="6">
        <f>IF(ISERROR(VLOOKUP($S$958,'TAR FIN'!$A$1:$O$95,15,0)),0,VLOOKUP($S$958,'TAR FIN'!$A$1:$O$95,15,0))</f>
        <v>28.57</v>
      </c>
      <c r="W958" s="6">
        <f>IF(ISERROR(VLOOKUP($T$958,'TAR FIN'!$A$1:$O$95,15,0)),0,VLOOKUP($T$958,'TAR FIN'!$A$1:$O$95,15,0))</f>
        <v>0</v>
      </c>
      <c r="X958" s="6">
        <f>IF(ISERROR(VLOOKUP($U$958,'TAR FIN'!$A$1:$O$95,15,0)),0,VLOOKUP($U$958,'TAR FIN'!$A$1:$O$95,15,0))</f>
        <v>0</v>
      </c>
      <c r="Y958" s="6">
        <f ca="1">('TUSD BE'!$AM$15+'TUSD BF'!$AM$15+'TUSD CVA'!$AM$15)*1</f>
        <v>31.93064187172984</v>
      </c>
      <c r="Z958" s="6"/>
      <c r="AA958" s="6"/>
      <c r="AB958" s="6">
        <f>$K$958*$V$958</f>
        <v>1388798.7965880001</v>
      </c>
      <c r="AC958" s="6">
        <f>$M$958*$W$958</f>
        <v>0</v>
      </c>
      <c r="AD958" s="6">
        <f>$O$958*$X$958</f>
        <v>0</v>
      </c>
      <c r="AE958" s="6">
        <f ca="1">$K$958*$Y$958</f>
        <v>1552160.9032460905</v>
      </c>
      <c r="AF958" s="6">
        <f>$M$958*$Z$958</f>
        <v>0</v>
      </c>
      <c r="AG958" s="6">
        <f>$O$958*$AA$958</f>
        <v>0</v>
      </c>
    </row>
    <row r="959" spans="1:33" ht="11.25" customHeight="1" x14ac:dyDescent="0.25">
      <c r="A959" s="4" t="s">
        <v>21</v>
      </c>
      <c r="B959" s="4" t="s">
        <v>35</v>
      </c>
      <c r="C959" s="4" t="s">
        <v>36</v>
      </c>
      <c r="D959" s="4" t="s">
        <v>42</v>
      </c>
      <c r="E959" s="4" t="s">
        <v>25</v>
      </c>
      <c r="F959" s="4" t="s">
        <v>62</v>
      </c>
      <c r="G959" s="4" t="s">
        <v>25</v>
      </c>
      <c r="H959" s="4" t="s">
        <v>25</v>
      </c>
      <c r="I959" s="5">
        <v>44440</v>
      </c>
      <c r="J959" s="6">
        <v>109926</v>
      </c>
      <c r="K959" s="6">
        <v>51621.249600000003</v>
      </c>
      <c r="L959" s="6">
        <v>0</v>
      </c>
      <c r="M959" s="6">
        <v>0</v>
      </c>
      <c r="N959" s="6">
        <v>0</v>
      </c>
      <c r="O959" s="6">
        <v>0</v>
      </c>
      <c r="P959" s="6">
        <v>140</v>
      </c>
      <c r="Q959" s="4" t="s">
        <v>60</v>
      </c>
      <c r="R959" s="4">
        <v>0</v>
      </c>
      <c r="S959" s="6">
        <v>23</v>
      </c>
      <c r="T959" s="6">
        <v>0</v>
      </c>
      <c r="U959" s="6">
        <v>0</v>
      </c>
      <c r="V959" s="6">
        <f>IF(ISERROR(VLOOKUP($S$959,'TAR FIN'!$A$1:$O$95,15,0)),0,VLOOKUP($S$959,'TAR FIN'!$A$1:$O$95,15,0))</f>
        <v>28.57</v>
      </c>
      <c r="W959" s="6">
        <f>IF(ISERROR(VLOOKUP($T$959,'TAR FIN'!$A$1:$O$95,15,0)),0,VLOOKUP($T$959,'TAR FIN'!$A$1:$O$95,15,0))</f>
        <v>0</v>
      </c>
      <c r="X959" s="6">
        <f>IF(ISERROR(VLOOKUP($U$959,'TAR FIN'!$A$1:$O$95,15,0)),0,VLOOKUP($U$959,'TAR FIN'!$A$1:$O$95,15,0))</f>
        <v>0</v>
      </c>
      <c r="Y959" s="6">
        <f ca="1">('TUSD BE'!$AM$15+'TUSD BF'!$AM$15+'TUSD CVA'!$AM$15)*1</f>
        <v>31.93064187172984</v>
      </c>
      <c r="Z959" s="6"/>
      <c r="AA959" s="6"/>
      <c r="AB959" s="6">
        <f>$K$959*$V$959</f>
        <v>1474819.1010720001</v>
      </c>
      <c r="AC959" s="6">
        <f>$M$959*$W$959</f>
        <v>0</v>
      </c>
      <c r="AD959" s="6">
        <f>$O$959*$X$959</f>
        <v>0</v>
      </c>
      <c r="AE959" s="6">
        <f ca="1">$K$959*$Y$959</f>
        <v>1648299.6339487773</v>
      </c>
      <c r="AF959" s="6">
        <f>$M$959*$Z$959</f>
        <v>0</v>
      </c>
      <c r="AG959" s="6">
        <f>$O$959*$AA$959</f>
        <v>0</v>
      </c>
    </row>
    <row r="960" spans="1:33" ht="11.25" customHeight="1" x14ac:dyDescent="0.25">
      <c r="A960" s="4" t="s">
        <v>59</v>
      </c>
      <c r="B960" s="4" t="s">
        <v>35</v>
      </c>
      <c r="C960" s="4" t="s">
        <v>36</v>
      </c>
      <c r="D960" s="4" t="s">
        <v>42</v>
      </c>
      <c r="E960" s="4" t="s">
        <v>25</v>
      </c>
      <c r="F960" s="4" t="s">
        <v>62</v>
      </c>
      <c r="G960" s="4" t="s">
        <v>25</v>
      </c>
      <c r="H960" s="4" t="s">
        <v>25</v>
      </c>
      <c r="I960" s="5">
        <v>44470</v>
      </c>
      <c r="J960" s="6">
        <v>109926</v>
      </c>
      <c r="K960" s="6">
        <v>51621.249600000003</v>
      </c>
      <c r="L960" s="6">
        <v>0</v>
      </c>
      <c r="M960" s="6">
        <v>0</v>
      </c>
      <c r="N960" s="6">
        <v>0</v>
      </c>
      <c r="O960" s="6">
        <v>0</v>
      </c>
      <c r="P960" s="6">
        <v>140</v>
      </c>
      <c r="Q960" s="4" t="s">
        <v>60</v>
      </c>
      <c r="R960" s="4">
        <v>0</v>
      </c>
      <c r="S960" s="6">
        <v>23</v>
      </c>
      <c r="T960" s="6">
        <v>0</v>
      </c>
      <c r="U960" s="6">
        <v>0</v>
      </c>
      <c r="V960" s="6">
        <f>IF(ISERROR(VLOOKUP($S$960,'TAR FIN'!$A$1:$O$95,15,0)),0,VLOOKUP($S$960,'TAR FIN'!$A$1:$O$95,15,0))</f>
        <v>28.57</v>
      </c>
      <c r="W960" s="6">
        <f>IF(ISERROR(VLOOKUP($T$960,'TAR FIN'!$A$1:$O$95,15,0)),0,VLOOKUP($T$960,'TAR FIN'!$A$1:$O$95,15,0))</f>
        <v>0</v>
      </c>
      <c r="X960" s="6">
        <f>IF(ISERROR(VLOOKUP($U$960,'TAR FIN'!$A$1:$O$95,15,0)),0,VLOOKUP($U$960,'TAR FIN'!$A$1:$O$95,15,0))</f>
        <v>0</v>
      </c>
      <c r="Y960" s="6">
        <f ca="1">('TUSD BE'!$AM$15+'TUSD BF'!$AM$15+'TUSD CVA'!$AM$15)*1</f>
        <v>31.93064187172984</v>
      </c>
      <c r="Z960" s="6"/>
      <c r="AA960" s="6"/>
      <c r="AB960" s="6">
        <f>$K$960*$V$960</f>
        <v>1474819.1010720001</v>
      </c>
      <c r="AC960" s="6">
        <f>$M$960*$W$960</f>
        <v>0</v>
      </c>
      <c r="AD960" s="6">
        <f>$O$960*$X$960</f>
        <v>0</v>
      </c>
      <c r="AE960" s="6">
        <f ca="1">$K$960*$Y$960</f>
        <v>1648299.6339487773</v>
      </c>
      <c r="AF960" s="6">
        <f>$M$960*$Z$960</f>
        <v>0</v>
      </c>
      <c r="AG960" s="6">
        <f>$O$960*$AA$960</f>
        <v>0</v>
      </c>
    </row>
    <row r="961" spans="1:33" ht="11.25" customHeight="1" x14ac:dyDescent="0.25">
      <c r="A961" s="4" t="s">
        <v>21</v>
      </c>
      <c r="B961" s="4" t="s">
        <v>35</v>
      </c>
      <c r="C961" s="4" t="s">
        <v>36</v>
      </c>
      <c r="D961" s="4" t="s">
        <v>42</v>
      </c>
      <c r="E961" s="4" t="s">
        <v>25</v>
      </c>
      <c r="F961" s="4" t="s">
        <v>62</v>
      </c>
      <c r="G961" s="4" t="s">
        <v>25</v>
      </c>
      <c r="H961" s="4" t="s">
        <v>37</v>
      </c>
      <c r="I961" s="5">
        <v>44136</v>
      </c>
      <c r="J961" s="6">
        <v>0</v>
      </c>
      <c r="K961" s="6">
        <v>0</v>
      </c>
      <c r="L961" s="6">
        <v>2704.8609999999999</v>
      </c>
      <c r="M961" s="6">
        <v>1360.2745969</v>
      </c>
      <c r="N961" s="6">
        <v>0</v>
      </c>
      <c r="O961" s="6">
        <v>0</v>
      </c>
      <c r="P961" s="6">
        <v>0</v>
      </c>
      <c r="Q961" s="4" t="s">
        <v>60</v>
      </c>
      <c r="R961" s="4">
        <v>0</v>
      </c>
      <c r="S961" s="6">
        <v>0</v>
      </c>
      <c r="T961" s="6">
        <v>24</v>
      </c>
      <c r="U961" s="6">
        <v>0</v>
      </c>
      <c r="V961" s="6">
        <f>IF(ISERROR(VLOOKUP($S$961,'TAR FIN'!$A$1:$O$95,15,0)),0,VLOOKUP($S$961,'TAR FIN'!$A$1:$O$95,15,0))</f>
        <v>0</v>
      </c>
      <c r="W961" s="6">
        <f>IF(ISERROR(VLOOKUP($T$961,'TAR FIN'!$A$1:$O$95,15,0)),0,VLOOKUP($T$961,'TAR FIN'!$A$1:$O$95,15,0))</f>
        <v>1434.79</v>
      </c>
      <c r="X961" s="6">
        <f>IF(ISERROR(VLOOKUP($U$961,'TAR FIN'!$A$1:$O$95,15,0)),0,VLOOKUP($U$961,'TAR FIN'!$A$1:$O$95,15,0))</f>
        <v>0</v>
      </c>
      <c r="Y961" s="6"/>
      <c r="Z961" s="6">
        <f ca="1">('TUSD BE'!$AM$16+'TUSD BF'!$AM$16+'TUSD CVA'!$AM$16)*1</f>
        <v>1605.9916314233351</v>
      </c>
      <c r="AA961" s="6"/>
      <c r="AB961" s="6">
        <f>$K$961*$V$961</f>
        <v>0</v>
      </c>
      <c r="AC961" s="6">
        <f>$M$961*$W$961</f>
        <v>1951708.3888861509</v>
      </c>
      <c r="AD961" s="6">
        <f>$O$961*$X$961</f>
        <v>0</v>
      </c>
      <c r="AE961" s="6">
        <f>$K$961*$Y$961</f>
        <v>0</v>
      </c>
      <c r="AF961" s="6">
        <f ca="1">$M$961*$Z$961</f>
        <v>2184589.6190591506</v>
      </c>
      <c r="AG961" s="6">
        <f>$O$961*$AA$961</f>
        <v>0</v>
      </c>
    </row>
    <row r="962" spans="1:33" ht="11.25" customHeight="1" x14ac:dyDescent="0.25">
      <c r="A962" s="4" t="s">
        <v>21</v>
      </c>
      <c r="B962" s="4" t="s">
        <v>35</v>
      </c>
      <c r="C962" s="4" t="s">
        <v>36</v>
      </c>
      <c r="D962" s="4" t="s">
        <v>42</v>
      </c>
      <c r="E962" s="4" t="s">
        <v>25</v>
      </c>
      <c r="F962" s="4" t="s">
        <v>62</v>
      </c>
      <c r="G962" s="4" t="s">
        <v>25</v>
      </c>
      <c r="H962" s="4" t="s">
        <v>37</v>
      </c>
      <c r="I962" s="5">
        <v>44166</v>
      </c>
      <c r="J962" s="6">
        <v>0</v>
      </c>
      <c r="K962" s="6">
        <v>0</v>
      </c>
      <c r="L962" s="6">
        <v>2518.8159999999998</v>
      </c>
      <c r="M962" s="6">
        <v>1343.0326912</v>
      </c>
      <c r="N962" s="6">
        <v>0</v>
      </c>
      <c r="O962" s="6">
        <v>0</v>
      </c>
      <c r="P962" s="6">
        <v>0</v>
      </c>
      <c r="Q962" s="4" t="s">
        <v>60</v>
      </c>
      <c r="R962" s="4">
        <v>0</v>
      </c>
      <c r="S962" s="6">
        <v>0</v>
      </c>
      <c r="T962" s="6">
        <v>24</v>
      </c>
      <c r="U962" s="6">
        <v>0</v>
      </c>
      <c r="V962" s="6">
        <f>IF(ISERROR(VLOOKUP($S$962,'TAR FIN'!$A$1:$O$95,15,0)),0,VLOOKUP($S$962,'TAR FIN'!$A$1:$O$95,15,0))</f>
        <v>0</v>
      </c>
      <c r="W962" s="6">
        <f>IF(ISERROR(VLOOKUP($T$962,'TAR FIN'!$A$1:$O$95,15,0)),0,VLOOKUP($T$962,'TAR FIN'!$A$1:$O$95,15,0))</f>
        <v>1434.79</v>
      </c>
      <c r="X962" s="6">
        <f>IF(ISERROR(VLOOKUP($U$962,'TAR FIN'!$A$1:$O$95,15,0)),0,VLOOKUP($U$962,'TAR FIN'!$A$1:$O$95,15,0))</f>
        <v>0</v>
      </c>
      <c r="Y962" s="6"/>
      <c r="Z962" s="6">
        <f ca="1">('TUSD BE'!$AM$16+'TUSD BF'!$AM$16+'TUSD CVA'!$AM$16)*1</f>
        <v>1605.9916314233351</v>
      </c>
      <c r="AA962" s="6"/>
      <c r="AB962" s="6">
        <f>$K$962*$V$962</f>
        <v>0</v>
      </c>
      <c r="AC962" s="6">
        <f>$M$962*$W$962</f>
        <v>1926969.875006848</v>
      </c>
      <c r="AD962" s="6">
        <f>$O$962*$X$962</f>
        <v>0</v>
      </c>
      <c r="AE962" s="6">
        <f>$K$962*$Y$962</f>
        <v>0</v>
      </c>
      <c r="AF962" s="6">
        <f ca="1">$M$962*$Z$962</f>
        <v>2156899.2627951601</v>
      </c>
      <c r="AG962" s="6">
        <f>$O$962*$AA$962</f>
        <v>0</v>
      </c>
    </row>
    <row r="963" spans="1:33" ht="11.25" customHeight="1" x14ac:dyDescent="0.25">
      <c r="A963" s="4" t="s">
        <v>21</v>
      </c>
      <c r="B963" s="4" t="s">
        <v>35</v>
      </c>
      <c r="C963" s="4" t="s">
        <v>36</v>
      </c>
      <c r="D963" s="4" t="s">
        <v>42</v>
      </c>
      <c r="E963" s="4" t="s">
        <v>25</v>
      </c>
      <c r="F963" s="4" t="s">
        <v>62</v>
      </c>
      <c r="G963" s="4" t="s">
        <v>25</v>
      </c>
      <c r="H963" s="4" t="s">
        <v>37</v>
      </c>
      <c r="I963" s="5">
        <v>44197</v>
      </c>
      <c r="J963" s="6">
        <v>0</v>
      </c>
      <c r="K963" s="6">
        <v>0</v>
      </c>
      <c r="L963" s="6">
        <v>1639.9290000000001</v>
      </c>
      <c r="M963" s="6">
        <v>866.70247649999999</v>
      </c>
      <c r="N963" s="6">
        <v>0</v>
      </c>
      <c r="O963" s="6">
        <v>0</v>
      </c>
      <c r="P963" s="6">
        <v>0</v>
      </c>
      <c r="Q963" s="4" t="s">
        <v>60</v>
      </c>
      <c r="R963" s="4">
        <v>0</v>
      </c>
      <c r="S963" s="6">
        <v>0</v>
      </c>
      <c r="T963" s="6">
        <v>24</v>
      </c>
      <c r="U963" s="6">
        <v>0</v>
      </c>
      <c r="V963" s="6">
        <f>IF(ISERROR(VLOOKUP($S$963,'TAR FIN'!$A$1:$O$95,15,0)),0,VLOOKUP($S$963,'TAR FIN'!$A$1:$O$95,15,0))</f>
        <v>0</v>
      </c>
      <c r="W963" s="6">
        <f>IF(ISERROR(VLOOKUP($T$963,'TAR FIN'!$A$1:$O$95,15,0)),0,VLOOKUP($T$963,'TAR FIN'!$A$1:$O$95,15,0))</f>
        <v>1434.79</v>
      </c>
      <c r="X963" s="6">
        <f>IF(ISERROR(VLOOKUP($U$963,'TAR FIN'!$A$1:$O$95,15,0)),0,VLOOKUP($U$963,'TAR FIN'!$A$1:$O$95,15,0))</f>
        <v>0</v>
      </c>
      <c r="Y963" s="6"/>
      <c r="Z963" s="6">
        <f ca="1">('TUSD BE'!$AM$16+'TUSD BF'!$AM$16+'TUSD CVA'!$AM$16)*1</f>
        <v>1605.9916314233351</v>
      </c>
      <c r="AA963" s="6"/>
      <c r="AB963" s="6">
        <f>$K$963*$V$963</f>
        <v>0</v>
      </c>
      <c r="AC963" s="6">
        <f>$M$963*$W$963</f>
        <v>1243536.0462574349</v>
      </c>
      <c r="AD963" s="6">
        <f>$O$963*$X$963</f>
        <v>0</v>
      </c>
      <c r="AE963" s="6">
        <f>$K$963*$Y$963</f>
        <v>0</v>
      </c>
      <c r="AF963" s="6">
        <f ca="1">$M$963*$Z$963</f>
        <v>1391916.9241928798</v>
      </c>
      <c r="AG963" s="6">
        <f>$O$963*$AA$963</f>
        <v>0</v>
      </c>
    </row>
    <row r="964" spans="1:33" ht="11.25" customHeight="1" x14ac:dyDescent="0.25">
      <c r="A964" s="4" t="s">
        <v>21</v>
      </c>
      <c r="B964" s="4" t="s">
        <v>35</v>
      </c>
      <c r="C964" s="4" t="s">
        <v>36</v>
      </c>
      <c r="D964" s="4" t="s">
        <v>42</v>
      </c>
      <c r="E964" s="4" t="s">
        <v>25</v>
      </c>
      <c r="F964" s="4" t="s">
        <v>62</v>
      </c>
      <c r="G964" s="4" t="s">
        <v>25</v>
      </c>
      <c r="H964" s="4" t="s">
        <v>37</v>
      </c>
      <c r="I964" s="5">
        <v>44228</v>
      </c>
      <c r="J964" s="6">
        <v>0</v>
      </c>
      <c r="K964" s="6">
        <v>0</v>
      </c>
      <c r="L964" s="6">
        <v>1712.6179999999999</v>
      </c>
      <c r="M964" s="6">
        <v>906.65996919999998</v>
      </c>
      <c r="N964" s="6">
        <v>0</v>
      </c>
      <c r="O964" s="6">
        <v>0</v>
      </c>
      <c r="P964" s="6">
        <v>0</v>
      </c>
      <c r="Q964" s="4" t="s">
        <v>60</v>
      </c>
      <c r="R964" s="4">
        <v>0</v>
      </c>
      <c r="S964" s="6">
        <v>0</v>
      </c>
      <c r="T964" s="6">
        <v>24</v>
      </c>
      <c r="U964" s="6">
        <v>0</v>
      </c>
      <c r="V964" s="6">
        <f>IF(ISERROR(VLOOKUP($S$964,'TAR FIN'!$A$1:$O$95,15,0)),0,VLOOKUP($S$964,'TAR FIN'!$A$1:$O$95,15,0))</f>
        <v>0</v>
      </c>
      <c r="W964" s="6">
        <f>IF(ISERROR(VLOOKUP($T$964,'TAR FIN'!$A$1:$O$95,15,0)),0,VLOOKUP($T$964,'TAR FIN'!$A$1:$O$95,15,0))</f>
        <v>1434.79</v>
      </c>
      <c r="X964" s="6">
        <f>IF(ISERROR(VLOOKUP($U$964,'TAR FIN'!$A$1:$O$95,15,0)),0,VLOOKUP($U$964,'TAR FIN'!$A$1:$O$95,15,0))</f>
        <v>0</v>
      </c>
      <c r="Y964" s="6"/>
      <c r="Z964" s="6">
        <f ca="1">('TUSD BE'!$AM$16+'TUSD BF'!$AM$16+'TUSD CVA'!$AM$16)*1</f>
        <v>1605.9916314233351</v>
      </c>
      <c r="AA964" s="6"/>
      <c r="AB964" s="6">
        <f>$K$964*$V$964</f>
        <v>0</v>
      </c>
      <c r="AC964" s="6">
        <f>$M$964*$W$964</f>
        <v>1300866.6572084678</v>
      </c>
      <c r="AD964" s="6">
        <f>$O$964*$X$964</f>
        <v>0</v>
      </c>
      <c r="AE964" s="6">
        <f>$K$964*$Y$964</f>
        <v>0</v>
      </c>
      <c r="AF964" s="6">
        <f ca="1">$M$964*$Z$964</f>
        <v>1456088.3230817388</v>
      </c>
      <c r="AG964" s="6">
        <f>$O$964*$AA$964</f>
        <v>0</v>
      </c>
    </row>
    <row r="965" spans="1:33" ht="11.25" customHeight="1" x14ac:dyDescent="0.25">
      <c r="A965" s="4" t="s">
        <v>21</v>
      </c>
      <c r="B965" s="4" t="s">
        <v>35</v>
      </c>
      <c r="C965" s="4" t="s">
        <v>36</v>
      </c>
      <c r="D965" s="4" t="s">
        <v>42</v>
      </c>
      <c r="E965" s="4" t="s">
        <v>25</v>
      </c>
      <c r="F965" s="4" t="s">
        <v>62</v>
      </c>
      <c r="G965" s="4" t="s">
        <v>25</v>
      </c>
      <c r="H965" s="4" t="s">
        <v>37</v>
      </c>
      <c r="I965" s="5">
        <v>44256</v>
      </c>
      <c r="J965" s="6">
        <v>0</v>
      </c>
      <c r="K965" s="6">
        <v>0</v>
      </c>
      <c r="L965" s="6">
        <v>2639.7460000000001</v>
      </c>
      <c r="M965" s="6">
        <v>1410.6802623999999</v>
      </c>
      <c r="N965" s="6">
        <v>0</v>
      </c>
      <c r="O965" s="6">
        <v>0</v>
      </c>
      <c r="P965" s="6">
        <v>0</v>
      </c>
      <c r="Q965" s="4" t="s">
        <v>60</v>
      </c>
      <c r="R965" s="4">
        <v>0</v>
      </c>
      <c r="S965" s="6">
        <v>0</v>
      </c>
      <c r="T965" s="6">
        <v>24</v>
      </c>
      <c r="U965" s="6">
        <v>0</v>
      </c>
      <c r="V965" s="6">
        <f>IF(ISERROR(VLOOKUP($S$965,'TAR FIN'!$A$1:$O$95,15,0)),0,VLOOKUP($S$965,'TAR FIN'!$A$1:$O$95,15,0))</f>
        <v>0</v>
      </c>
      <c r="W965" s="6">
        <f>IF(ISERROR(VLOOKUP($T$965,'TAR FIN'!$A$1:$O$95,15,0)),0,VLOOKUP($T$965,'TAR FIN'!$A$1:$O$95,15,0))</f>
        <v>1434.79</v>
      </c>
      <c r="X965" s="6">
        <f>IF(ISERROR(VLOOKUP($U$965,'TAR FIN'!$A$1:$O$95,15,0)),0,VLOOKUP($U$965,'TAR FIN'!$A$1:$O$95,15,0))</f>
        <v>0</v>
      </c>
      <c r="Y965" s="6"/>
      <c r="Z965" s="6">
        <f ca="1">('TUSD BE'!$AM$16+'TUSD BF'!$AM$16+'TUSD CVA'!$AM$16)*1</f>
        <v>1605.9916314233351</v>
      </c>
      <c r="AA965" s="6"/>
      <c r="AB965" s="6">
        <f>$K$965*$V$965</f>
        <v>0</v>
      </c>
      <c r="AC965" s="6">
        <f>$M$965*$W$965</f>
        <v>2024029.9336888958</v>
      </c>
      <c r="AD965" s="6">
        <f>$O$965*$X$965</f>
        <v>0</v>
      </c>
      <c r="AE965" s="6">
        <f>$K$965*$Y$965</f>
        <v>0</v>
      </c>
      <c r="AF965" s="6">
        <f ca="1">$M$965*$Z$965</f>
        <v>2265540.6960284743</v>
      </c>
      <c r="AG965" s="6">
        <f>$O$965*$AA$965</f>
        <v>0</v>
      </c>
    </row>
    <row r="966" spans="1:33" ht="11.25" customHeight="1" x14ac:dyDescent="0.25">
      <c r="A966" s="4" t="s">
        <v>21</v>
      </c>
      <c r="B966" s="4" t="s">
        <v>35</v>
      </c>
      <c r="C966" s="4" t="s">
        <v>36</v>
      </c>
      <c r="D966" s="4" t="s">
        <v>42</v>
      </c>
      <c r="E966" s="4" t="s">
        <v>25</v>
      </c>
      <c r="F966" s="4" t="s">
        <v>62</v>
      </c>
      <c r="G966" s="4" t="s">
        <v>25</v>
      </c>
      <c r="H966" s="4" t="s">
        <v>37</v>
      </c>
      <c r="I966" s="5">
        <v>44287</v>
      </c>
      <c r="J966" s="6">
        <v>0</v>
      </c>
      <c r="K966" s="6">
        <v>0</v>
      </c>
      <c r="L966" s="6">
        <v>2612.0300000000002</v>
      </c>
      <c r="M966" s="6">
        <v>1390.1223660000001</v>
      </c>
      <c r="N966" s="6">
        <v>0</v>
      </c>
      <c r="O966" s="6">
        <v>0</v>
      </c>
      <c r="P966" s="6">
        <v>0</v>
      </c>
      <c r="Q966" s="4" t="s">
        <v>60</v>
      </c>
      <c r="R966" s="4">
        <v>0</v>
      </c>
      <c r="S966" s="6">
        <v>0</v>
      </c>
      <c r="T966" s="6">
        <v>24</v>
      </c>
      <c r="U966" s="6">
        <v>0</v>
      </c>
      <c r="V966" s="6">
        <f>IF(ISERROR(VLOOKUP($S$966,'TAR FIN'!$A$1:$O$95,15,0)),0,VLOOKUP($S$966,'TAR FIN'!$A$1:$O$95,15,0))</f>
        <v>0</v>
      </c>
      <c r="W966" s="6">
        <f>IF(ISERROR(VLOOKUP($T$966,'TAR FIN'!$A$1:$O$95,15,0)),0,VLOOKUP($T$966,'TAR FIN'!$A$1:$O$95,15,0))</f>
        <v>1434.79</v>
      </c>
      <c r="X966" s="6">
        <f>IF(ISERROR(VLOOKUP($U$966,'TAR FIN'!$A$1:$O$95,15,0)),0,VLOOKUP($U$966,'TAR FIN'!$A$1:$O$95,15,0))</f>
        <v>0</v>
      </c>
      <c r="Y966" s="6"/>
      <c r="Z966" s="6">
        <f ca="1">('TUSD BE'!$AM$16+'TUSD BF'!$AM$16+'TUSD CVA'!$AM$16)*1</f>
        <v>1605.9916314233351</v>
      </c>
      <c r="AA966" s="6"/>
      <c r="AB966" s="6">
        <f>$K$966*$V$966</f>
        <v>0</v>
      </c>
      <c r="AC966" s="6">
        <f>$M$966*$W$966</f>
        <v>1994533.6695131401</v>
      </c>
      <c r="AD966" s="6">
        <f>$O$966*$X$966</f>
        <v>0</v>
      </c>
      <c r="AE966" s="6">
        <f>$K$966*$Y$966</f>
        <v>0</v>
      </c>
      <c r="AF966" s="6">
        <f ca="1">$M$966*$Z$966</f>
        <v>2232524.8864504066</v>
      </c>
      <c r="AG966" s="6">
        <f>$O$966*$AA$966</f>
        <v>0</v>
      </c>
    </row>
    <row r="967" spans="1:33" ht="11.25" customHeight="1" x14ac:dyDescent="0.25">
      <c r="A967" s="4" t="s">
        <v>21</v>
      </c>
      <c r="B967" s="4" t="s">
        <v>35</v>
      </c>
      <c r="C967" s="4" t="s">
        <v>36</v>
      </c>
      <c r="D967" s="4" t="s">
        <v>42</v>
      </c>
      <c r="E967" s="4" t="s">
        <v>25</v>
      </c>
      <c r="F967" s="4" t="s">
        <v>62</v>
      </c>
      <c r="G967" s="4" t="s">
        <v>25</v>
      </c>
      <c r="H967" s="4" t="s">
        <v>37</v>
      </c>
      <c r="I967" s="5">
        <v>44317</v>
      </c>
      <c r="J967" s="6">
        <v>0</v>
      </c>
      <c r="K967" s="6">
        <v>0</v>
      </c>
      <c r="L967" s="6">
        <v>2902.4670000000001</v>
      </c>
      <c r="M967" s="6">
        <v>1564.429713</v>
      </c>
      <c r="N967" s="6">
        <v>0</v>
      </c>
      <c r="O967" s="6">
        <v>0</v>
      </c>
      <c r="P967" s="6">
        <v>0</v>
      </c>
      <c r="Q967" s="4" t="s">
        <v>60</v>
      </c>
      <c r="R967" s="4">
        <v>0</v>
      </c>
      <c r="S967" s="6">
        <v>0</v>
      </c>
      <c r="T967" s="6">
        <v>24</v>
      </c>
      <c r="U967" s="6">
        <v>0</v>
      </c>
      <c r="V967" s="6">
        <f>IF(ISERROR(VLOOKUP($S$967,'TAR FIN'!$A$1:$O$95,15,0)),0,VLOOKUP($S$967,'TAR FIN'!$A$1:$O$95,15,0))</f>
        <v>0</v>
      </c>
      <c r="W967" s="6">
        <f>IF(ISERROR(VLOOKUP($T$967,'TAR FIN'!$A$1:$O$95,15,0)),0,VLOOKUP($T$967,'TAR FIN'!$A$1:$O$95,15,0))</f>
        <v>1434.79</v>
      </c>
      <c r="X967" s="6">
        <f>IF(ISERROR(VLOOKUP($U$967,'TAR FIN'!$A$1:$O$95,15,0)),0,VLOOKUP($U$967,'TAR FIN'!$A$1:$O$95,15,0))</f>
        <v>0</v>
      </c>
      <c r="Y967" s="6"/>
      <c r="Z967" s="6">
        <f ca="1">('TUSD BE'!$AM$16+'TUSD BF'!$AM$16+'TUSD CVA'!$AM$16)*1</f>
        <v>1605.9916314233351</v>
      </c>
      <c r="AA967" s="6"/>
      <c r="AB967" s="6">
        <f>$K$967*$V$967</f>
        <v>0</v>
      </c>
      <c r="AC967" s="6">
        <f>$M$967*$W$967</f>
        <v>2244628.1079152701</v>
      </c>
      <c r="AD967" s="6">
        <f>$O$967*$X$967</f>
        <v>0</v>
      </c>
      <c r="AE967" s="6">
        <f>$K$967*$Y$967</f>
        <v>0</v>
      </c>
      <c r="AF967" s="6">
        <f ca="1">$M$967*$Z$967</f>
        <v>2512461.0270280098</v>
      </c>
      <c r="AG967" s="6">
        <f>$O$967*$AA$967</f>
        <v>0</v>
      </c>
    </row>
    <row r="968" spans="1:33" ht="11.25" customHeight="1" x14ac:dyDescent="0.25">
      <c r="A968" s="4" t="s">
        <v>21</v>
      </c>
      <c r="B968" s="4" t="s">
        <v>35</v>
      </c>
      <c r="C968" s="4" t="s">
        <v>36</v>
      </c>
      <c r="D968" s="4" t="s">
        <v>42</v>
      </c>
      <c r="E968" s="4" t="s">
        <v>25</v>
      </c>
      <c r="F968" s="4" t="s">
        <v>62</v>
      </c>
      <c r="G968" s="4" t="s">
        <v>25</v>
      </c>
      <c r="H968" s="4" t="s">
        <v>37</v>
      </c>
      <c r="I968" s="5">
        <v>44348</v>
      </c>
      <c r="J968" s="6">
        <v>0</v>
      </c>
      <c r="K968" s="6">
        <v>0</v>
      </c>
      <c r="L968" s="6">
        <v>1639.9290000000001</v>
      </c>
      <c r="M968" s="6">
        <v>866.70247649999999</v>
      </c>
      <c r="N968" s="6">
        <v>0</v>
      </c>
      <c r="O968" s="6">
        <v>0</v>
      </c>
      <c r="P968" s="6">
        <v>0</v>
      </c>
      <c r="Q968" s="4" t="s">
        <v>60</v>
      </c>
      <c r="R968" s="4">
        <v>0</v>
      </c>
      <c r="S968" s="6">
        <v>0</v>
      </c>
      <c r="T968" s="6">
        <v>24</v>
      </c>
      <c r="U968" s="6">
        <v>0</v>
      </c>
      <c r="V968" s="6">
        <f>IF(ISERROR(VLOOKUP($S$968,'TAR FIN'!$A$1:$O$95,15,0)),0,VLOOKUP($S$968,'TAR FIN'!$A$1:$O$95,15,0))</f>
        <v>0</v>
      </c>
      <c r="W968" s="6">
        <f>IF(ISERROR(VLOOKUP($T$968,'TAR FIN'!$A$1:$O$95,15,0)),0,VLOOKUP($T$968,'TAR FIN'!$A$1:$O$95,15,0))</f>
        <v>1434.79</v>
      </c>
      <c r="X968" s="6">
        <f>IF(ISERROR(VLOOKUP($U$968,'TAR FIN'!$A$1:$O$95,15,0)),0,VLOOKUP($U$968,'TAR FIN'!$A$1:$O$95,15,0))</f>
        <v>0</v>
      </c>
      <c r="Y968" s="6"/>
      <c r="Z968" s="6">
        <f ca="1">('TUSD BE'!$AM$16+'TUSD BF'!$AM$16+'TUSD CVA'!$AM$16)*1</f>
        <v>1605.9916314233351</v>
      </c>
      <c r="AA968" s="6"/>
      <c r="AB968" s="6">
        <f>$K$968*$V$968</f>
        <v>0</v>
      </c>
      <c r="AC968" s="6">
        <f>$M$968*$W$968</f>
        <v>1243536.0462574349</v>
      </c>
      <c r="AD968" s="6">
        <f>$O$968*$X$968</f>
        <v>0</v>
      </c>
      <c r="AE968" s="6">
        <f>$K$968*$Y$968</f>
        <v>0</v>
      </c>
      <c r="AF968" s="6">
        <f ca="1">$M$968*$Z$968</f>
        <v>1391916.9241928798</v>
      </c>
      <c r="AG968" s="6">
        <f>$O$968*$AA$968</f>
        <v>0</v>
      </c>
    </row>
    <row r="969" spans="1:33" ht="11.25" customHeight="1" x14ac:dyDescent="0.25">
      <c r="A969" s="4" t="s">
        <v>21</v>
      </c>
      <c r="B969" s="4" t="s">
        <v>35</v>
      </c>
      <c r="C969" s="4" t="s">
        <v>36</v>
      </c>
      <c r="D969" s="4" t="s">
        <v>42</v>
      </c>
      <c r="E969" s="4" t="s">
        <v>25</v>
      </c>
      <c r="F969" s="4" t="s">
        <v>62</v>
      </c>
      <c r="G969" s="4" t="s">
        <v>25</v>
      </c>
      <c r="H969" s="4" t="s">
        <v>37</v>
      </c>
      <c r="I969" s="5">
        <v>44378</v>
      </c>
      <c r="J969" s="6">
        <v>0</v>
      </c>
      <c r="K969" s="6">
        <v>0</v>
      </c>
      <c r="L969" s="6">
        <v>3131.4769999999999</v>
      </c>
      <c r="M969" s="6">
        <v>1666.5720593999999</v>
      </c>
      <c r="N969" s="6">
        <v>0</v>
      </c>
      <c r="O969" s="6">
        <v>0</v>
      </c>
      <c r="P969" s="6">
        <v>0</v>
      </c>
      <c r="Q969" s="4" t="s">
        <v>60</v>
      </c>
      <c r="R969" s="4">
        <v>0</v>
      </c>
      <c r="S969" s="6">
        <v>0</v>
      </c>
      <c r="T969" s="6">
        <v>24</v>
      </c>
      <c r="U969" s="6">
        <v>0</v>
      </c>
      <c r="V969" s="6">
        <f>IF(ISERROR(VLOOKUP($S$969,'TAR FIN'!$A$1:$O$95,15,0)),0,VLOOKUP($S$969,'TAR FIN'!$A$1:$O$95,15,0))</f>
        <v>0</v>
      </c>
      <c r="W969" s="6">
        <f>IF(ISERROR(VLOOKUP($T$969,'TAR FIN'!$A$1:$O$95,15,0)),0,VLOOKUP($T$969,'TAR FIN'!$A$1:$O$95,15,0))</f>
        <v>1434.79</v>
      </c>
      <c r="X969" s="6">
        <f>IF(ISERROR(VLOOKUP($U$969,'TAR FIN'!$A$1:$O$95,15,0)),0,VLOOKUP($U$969,'TAR FIN'!$A$1:$O$95,15,0))</f>
        <v>0</v>
      </c>
      <c r="Y969" s="6"/>
      <c r="Z969" s="6">
        <f ca="1">('TUSD BE'!$AM$16+'TUSD BF'!$AM$16+'TUSD CVA'!$AM$16)*1</f>
        <v>1605.9916314233351</v>
      </c>
      <c r="AA969" s="6"/>
      <c r="AB969" s="6">
        <f>$K$969*$V$969</f>
        <v>0</v>
      </c>
      <c r="AC969" s="6">
        <f>$M$969*$W$969</f>
        <v>2391180.9251065259</v>
      </c>
      <c r="AD969" s="6">
        <f>$O$969*$X$969</f>
        <v>0</v>
      </c>
      <c r="AE969" s="6">
        <f>$K$969*$Y$969</f>
        <v>0</v>
      </c>
      <c r="AF969" s="6">
        <f ca="1">$M$969*$Z$969</f>
        <v>2676500.7805603533</v>
      </c>
      <c r="AG969" s="6">
        <f>$O$969*$AA$969</f>
        <v>0</v>
      </c>
    </row>
    <row r="970" spans="1:33" ht="11.25" customHeight="1" x14ac:dyDescent="0.25">
      <c r="A970" s="4" t="s">
        <v>21</v>
      </c>
      <c r="B970" s="4" t="s">
        <v>35</v>
      </c>
      <c r="C970" s="4" t="s">
        <v>36</v>
      </c>
      <c r="D970" s="4" t="s">
        <v>42</v>
      </c>
      <c r="E970" s="4" t="s">
        <v>25</v>
      </c>
      <c r="F970" s="4" t="s">
        <v>62</v>
      </c>
      <c r="G970" s="4" t="s">
        <v>25</v>
      </c>
      <c r="H970" s="4" t="s">
        <v>37</v>
      </c>
      <c r="I970" s="5">
        <v>44409</v>
      </c>
      <c r="J970" s="6">
        <v>0</v>
      </c>
      <c r="K970" s="6">
        <v>0</v>
      </c>
      <c r="L970" s="6">
        <v>3242.9160000000002</v>
      </c>
      <c r="M970" s="6">
        <v>1669.4531568</v>
      </c>
      <c r="N970" s="6">
        <v>0</v>
      </c>
      <c r="O970" s="6">
        <v>0</v>
      </c>
      <c r="P970" s="6">
        <v>0</v>
      </c>
      <c r="Q970" s="4" t="s">
        <v>60</v>
      </c>
      <c r="R970" s="4">
        <v>0</v>
      </c>
      <c r="S970" s="6">
        <v>0</v>
      </c>
      <c r="T970" s="6">
        <v>24</v>
      </c>
      <c r="U970" s="6">
        <v>0</v>
      </c>
      <c r="V970" s="6">
        <f>IF(ISERROR(VLOOKUP($S$970,'TAR FIN'!$A$1:$O$95,15,0)),0,VLOOKUP($S$970,'TAR FIN'!$A$1:$O$95,15,0))</f>
        <v>0</v>
      </c>
      <c r="W970" s="6">
        <f>IF(ISERROR(VLOOKUP($T$970,'TAR FIN'!$A$1:$O$95,15,0)),0,VLOOKUP($T$970,'TAR FIN'!$A$1:$O$95,15,0))</f>
        <v>1434.79</v>
      </c>
      <c r="X970" s="6">
        <f>IF(ISERROR(VLOOKUP($U$970,'TAR FIN'!$A$1:$O$95,15,0)),0,VLOOKUP($U$970,'TAR FIN'!$A$1:$O$95,15,0))</f>
        <v>0</v>
      </c>
      <c r="Y970" s="6"/>
      <c r="Z970" s="6">
        <f ca="1">('TUSD BE'!$AM$16+'TUSD BF'!$AM$16+'TUSD CVA'!$AM$16)*1</f>
        <v>1605.9916314233351</v>
      </c>
      <c r="AA970" s="6"/>
      <c r="AB970" s="6">
        <f>$K$970*$V$970</f>
        <v>0</v>
      </c>
      <c r="AC970" s="6">
        <f>$M$970*$W$970</f>
        <v>2395314.694845072</v>
      </c>
      <c r="AD970" s="6">
        <f>$O$970*$X$970</f>
        <v>0</v>
      </c>
      <c r="AE970" s="6">
        <f>$K$970*$Y$970</f>
        <v>0</v>
      </c>
      <c r="AF970" s="6">
        <f ca="1">$M$970*$Z$970</f>
        <v>2681127.798874069</v>
      </c>
      <c r="AG970" s="6">
        <f>$O$970*$AA$970</f>
        <v>0</v>
      </c>
    </row>
    <row r="971" spans="1:33" ht="11.25" customHeight="1" x14ac:dyDescent="0.25">
      <c r="A971" s="4" t="s">
        <v>21</v>
      </c>
      <c r="B971" s="4" t="s">
        <v>35</v>
      </c>
      <c r="C971" s="4" t="s">
        <v>36</v>
      </c>
      <c r="D971" s="4" t="s">
        <v>42</v>
      </c>
      <c r="E971" s="4" t="s">
        <v>25</v>
      </c>
      <c r="F971" s="4" t="s">
        <v>62</v>
      </c>
      <c r="G971" s="4" t="s">
        <v>25</v>
      </c>
      <c r="H971" s="4" t="s">
        <v>37</v>
      </c>
      <c r="I971" s="5">
        <v>44440</v>
      </c>
      <c r="J971" s="6">
        <v>0</v>
      </c>
      <c r="K971" s="6">
        <v>0</v>
      </c>
      <c r="L971" s="6">
        <v>3049.5859999999998</v>
      </c>
      <c r="M971" s="6">
        <v>1533.3318408</v>
      </c>
      <c r="N971" s="6">
        <v>0</v>
      </c>
      <c r="O971" s="6">
        <v>0</v>
      </c>
      <c r="P971" s="6">
        <v>0</v>
      </c>
      <c r="Q971" s="4" t="s">
        <v>60</v>
      </c>
      <c r="R971" s="4">
        <v>0</v>
      </c>
      <c r="S971" s="6">
        <v>0</v>
      </c>
      <c r="T971" s="6">
        <v>24</v>
      </c>
      <c r="U971" s="6">
        <v>0</v>
      </c>
      <c r="V971" s="6">
        <f>IF(ISERROR(VLOOKUP($S$971,'TAR FIN'!$A$1:$O$95,15,0)),0,VLOOKUP($S$971,'TAR FIN'!$A$1:$O$95,15,0))</f>
        <v>0</v>
      </c>
      <c r="W971" s="6">
        <f>IF(ISERROR(VLOOKUP($T$971,'TAR FIN'!$A$1:$O$95,15,0)),0,VLOOKUP($T$971,'TAR FIN'!$A$1:$O$95,15,0))</f>
        <v>1434.79</v>
      </c>
      <c r="X971" s="6">
        <f>IF(ISERROR(VLOOKUP($U$971,'TAR FIN'!$A$1:$O$95,15,0)),0,VLOOKUP($U$971,'TAR FIN'!$A$1:$O$95,15,0))</f>
        <v>0</v>
      </c>
      <c r="Y971" s="6"/>
      <c r="Z971" s="6">
        <f ca="1">('TUSD BE'!$AM$16+'TUSD BF'!$AM$16+'TUSD CVA'!$AM$16)*1</f>
        <v>1605.9916314233351</v>
      </c>
      <c r="AA971" s="6"/>
      <c r="AB971" s="6">
        <f>$K$971*$V$971</f>
        <v>0</v>
      </c>
      <c r="AC971" s="6">
        <f>$M$971*$W$971</f>
        <v>2200009.191861432</v>
      </c>
      <c r="AD971" s="6">
        <f>$O$971*$X$971</f>
        <v>0</v>
      </c>
      <c r="AE971" s="6">
        <f>$K$971*$Y$971</f>
        <v>0</v>
      </c>
      <c r="AF971" s="6">
        <f ca="1">$M$971*$Z$971</f>
        <v>2462518.1045197374</v>
      </c>
      <c r="AG971" s="6">
        <f>$O$971*$AA$971</f>
        <v>0</v>
      </c>
    </row>
    <row r="972" spans="1:33" ht="11.25" customHeight="1" x14ac:dyDescent="0.25">
      <c r="A972" s="4" t="s">
        <v>59</v>
      </c>
      <c r="B972" s="4" t="s">
        <v>35</v>
      </c>
      <c r="C972" s="4" t="s">
        <v>36</v>
      </c>
      <c r="D972" s="4" t="s">
        <v>42</v>
      </c>
      <c r="E972" s="4" t="s">
        <v>25</v>
      </c>
      <c r="F972" s="4" t="s">
        <v>62</v>
      </c>
      <c r="G972" s="4" t="s">
        <v>25</v>
      </c>
      <c r="H972" s="4" t="s">
        <v>37</v>
      </c>
      <c r="I972" s="5">
        <v>44470</v>
      </c>
      <c r="J972" s="6">
        <v>0</v>
      </c>
      <c r="K972" s="6">
        <v>0</v>
      </c>
      <c r="L972" s="6">
        <v>3049.5859999999998</v>
      </c>
      <c r="M972" s="6">
        <v>1533.3318408</v>
      </c>
      <c r="N972" s="6">
        <v>0</v>
      </c>
      <c r="O972" s="6">
        <v>0</v>
      </c>
      <c r="P972" s="6">
        <v>0</v>
      </c>
      <c r="Q972" s="4" t="s">
        <v>60</v>
      </c>
      <c r="R972" s="4">
        <v>0</v>
      </c>
      <c r="S972" s="6">
        <v>0</v>
      </c>
      <c r="T972" s="6">
        <v>24</v>
      </c>
      <c r="U972" s="6">
        <v>0</v>
      </c>
      <c r="V972" s="6">
        <f>IF(ISERROR(VLOOKUP($S$972,'TAR FIN'!$A$1:$O$95,15,0)),0,VLOOKUP($S$972,'TAR FIN'!$A$1:$O$95,15,0))</f>
        <v>0</v>
      </c>
      <c r="W972" s="6">
        <f>IF(ISERROR(VLOOKUP($T$972,'TAR FIN'!$A$1:$O$95,15,0)),0,VLOOKUP($T$972,'TAR FIN'!$A$1:$O$95,15,0))</f>
        <v>1434.79</v>
      </c>
      <c r="X972" s="6">
        <f>IF(ISERROR(VLOOKUP($U$972,'TAR FIN'!$A$1:$O$95,15,0)),0,VLOOKUP($U$972,'TAR FIN'!$A$1:$O$95,15,0))</f>
        <v>0</v>
      </c>
      <c r="Y972" s="6"/>
      <c r="Z972" s="6">
        <f ca="1">('TUSD BE'!$AM$16+'TUSD BF'!$AM$16+'TUSD CVA'!$AM$16)*1</f>
        <v>1605.9916314233351</v>
      </c>
      <c r="AA972" s="6"/>
      <c r="AB972" s="6">
        <f>$K$972*$V$972</f>
        <v>0</v>
      </c>
      <c r="AC972" s="6">
        <f>$M$972*$W$972</f>
        <v>2200009.191861432</v>
      </c>
      <c r="AD972" s="6">
        <f>$O$972*$X$972</f>
        <v>0</v>
      </c>
      <c r="AE972" s="6">
        <f>$K$972*$Y$972</f>
        <v>0</v>
      </c>
      <c r="AF972" s="6">
        <f ca="1">$M$972*$Z$972</f>
        <v>2462518.1045197374</v>
      </c>
      <c r="AG972" s="6">
        <f>$O$972*$AA$972</f>
        <v>0</v>
      </c>
    </row>
    <row r="973" spans="1:33" ht="11.25" customHeight="1" x14ac:dyDescent="0.25">
      <c r="A973" s="4" t="s">
        <v>21</v>
      </c>
      <c r="B973" s="4" t="s">
        <v>35</v>
      </c>
      <c r="C973" s="4" t="s">
        <v>36</v>
      </c>
      <c r="D973" s="4" t="s">
        <v>42</v>
      </c>
      <c r="E973" s="4" t="s">
        <v>25</v>
      </c>
      <c r="F973" s="4" t="s">
        <v>25</v>
      </c>
      <c r="G973" s="4" t="s">
        <v>25</v>
      </c>
      <c r="H973" s="4" t="s">
        <v>38</v>
      </c>
      <c r="I973" s="5">
        <v>44136</v>
      </c>
      <c r="J973" s="6">
        <v>0</v>
      </c>
      <c r="K973" s="6">
        <v>0</v>
      </c>
      <c r="L973" s="6">
        <v>21322.179</v>
      </c>
      <c r="M973" s="6">
        <v>21322.179</v>
      </c>
      <c r="N973" s="6">
        <v>21322.179</v>
      </c>
      <c r="O973" s="6">
        <v>21322.179</v>
      </c>
      <c r="P973" s="6">
        <v>0</v>
      </c>
      <c r="Q973" s="4" t="s">
        <v>26</v>
      </c>
      <c r="R973" s="4">
        <v>0</v>
      </c>
      <c r="S973" s="6">
        <v>0</v>
      </c>
      <c r="T973" s="6">
        <v>19</v>
      </c>
      <c r="U973" s="6">
        <v>67</v>
      </c>
      <c r="V973" s="6">
        <f>IF(ISERROR(VLOOKUP($S$973,'TAR FIN'!$A$1:$O$95,15,0)),0,VLOOKUP($S$973,'TAR FIN'!$A$1:$O$95,15,0))</f>
        <v>0</v>
      </c>
      <c r="W973" s="6">
        <f>IF(ISERROR(VLOOKUP($T$973,'TAR FIN'!$A$1:$O$95,15,0)),0,VLOOKUP($T$973,'TAR FIN'!$A$1:$O$95,15,0))</f>
        <v>149.63</v>
      </c>
      <c r="X973" s="6">
        <f>IF(ISERROR(VLOOKUP($U$973,'TAR FIN'!$A$1:$O$95,15,0)),0,VLOOKUP($U$973,'TAR FIN'!$A$1:$O$95,15,0))</f>
        <v>230.03</v>
      </c>
      <c r="Y973" s="6"/>
      <c r="Z973" s="6">
        <f ca="1">('TUSD BE'!$AM$17+'TUSD BF'!$AM$17+'TUSD CVA'!$AM$17)*1</f>
        <v>168.51338132937991</v>
      </c>
      <c r="AA973" s="6">
        <f>('TE BE'!$AA$8+'TE BF'!$AA$8+'TE CVA'!$AA$8)*1</f>
        <v>282.91739971702214</v>
      </c>
      <c r="AB973" s="6">
        <f>$K$973*$V$973</f>
        <v>0</v>
      </c>
      <c r="AC973" s="6">
        <f>$M$973*$W$973</f>
        <v>3190437.64377</v>
      </c>
      <c r="AD973" s="6">
        <f>$O$973*$X$973</f>
        <v>4904740.8353700005</v>
      </c>
      <c r="AE973" s="6">
        <f>$K$973*$Y$973</f>
        <v>0</v>
      </c>
      <c r="AF973" s="6">
        <f ca="1">$M$973*$Z$973</f>
        <v>3593072.4806002965</v>
      </c>
      <c r="AG973" s="6">
        <f>$O$973*$AA$973</f>
        <v>6032415.4389808951</v>
      </c>
    </row>
    <row r="974" spans="1:33" ht="11.25" customHeight="1" x14ac:dyDescent="0.25">
      <c r="A974" s="4" t="s">
        <v>27</v>
      </c>
      <c r="B974" s="4" t="s">
        <v>35</v>
      </c>
      <c r="C974" s="4" t="s">
        <v>36</v>
      </c>
      <c r="D974" s="4" t="s">
        <v>42</v>
      </c>
      <c r="E974" s="4" t="s">
        <v>25</v>
      </c>
      <c r="F974" s="4" t="s">
        <v>25</v>
      </c>
      <c r="G974" s="4" t="s">
        <v>25</v>
      </c>
      <c r="H974" s="4" t="s">
        <v>38</v>
      </c>
      <c r="I974" s="5">
        <v>44136</v>
      </c>
      <c r="J974" s="6">
        <v>0</v>
      </c>
      <c r="K974" s="6">
        <v>0</v>
      </c>
      <c r="L974" s="6">
        <v>-117.988</v>
      </c>
      <c r="M974" s="6">
        <v>-117.988</v>
      </c>
      <c r="N974" s="6">
        <v>-117.988</v>
      </c>
      <c r="O974" s="6">
        <v>-117.988</v>
      </c>
      <c r="P974" s="6">
        <v>0</v>
      </c>
      <c r="Q974" s="4" t="s">
        <v>26</v>
      </c>
      <c r="R974" s="4">
        <v>0</v>
      </c>
      <c r="S974" s="6">
        <v>0</v>
      </c>
      <c r="T974" s="6">
        <v>19</v>
      </c>
      <c r="U974" s="6">
        <v>67</v>
      </c>
      <c r="V974" s="6">
        <f>IF(ISERROR(VLOOKUP($S$974,'TAR FIN'!$A$1:$O$95,15,0)),0,VLOOKUP($S$974,'TAR FIN'!$A$1:$O$95,15,0))</f>
        <v>0</v>
      </c>
      <c r="W974" s="6">
        <f>IF(ISERROR(VLOOKUP($T$974,'TAR FIN'!$A$1:$O$95,15,0)),0,VLOOKUP($T$974,'TAR FIN'!$A$1:$O$95,15,0))</f>
        <v>149.63</v>
      </c>
      <c r="X974" s="6">
        <f>IF(ISERROR(VLOOKUP($U$974,'TAR FIN'!$A$1:$O$95,15,0)),0,VLOOKUP($U$974,'TAR FIN'!$A$1:$O$95,15,0))</f>
        <v>230.03</v>
      </c>
      <c r="Y974" s="6"/>
      <c r="Z974" s="6">
        <f ca="1">('TUSD BE'!$AM$17+'TUSD BF'!$AM$17+'TUSD CVA'!$AM$17)*1</f>
        <v>168.51338132937991</v>
      </c>
      <c r="AA974" s="6">
        <f>('TE BE'!$AA$8+'TE BF'!$AA$8+'TE CVA'!$AA$8)*1</f>
        <v>282.91739971702214</v>
      </c>
      <c r="AB974" s="6">
        <f>$K$974*$V$974</f>
        <v>0</v>
      </c>
      <c r="AC974" s="6">
        <f>$M$974*$W$974</f>
        <v>-17654.544439999998</v>
      </c>
      <c r="AD974" s="6">
        <f>$O$974*$X$974</f>
        <v>-27140.779640000001</v>
      </c>
      <c r="AE974" s="6">
        <f>$K$974*$Y$974</f>
        <v>0</v>
      </c>
      <c r="AF974" s="6">
        <f ca="1">$M$974*$Z$974</f>
        <v>-19882.556836290878</v>
      </c>
      <c r="AG974" s="6">
        <f>$O$974*$AA$974</f>
        <v>-33380.858157812007</v>
      </c>
    </row>
    <row r="975" spans="1:33" ht="11.25" customHeight="1" x14ac:dyDescent="0.25">
      <c r="A975" s="4" t="s">
        <v>28</v>
      </c>
      <c r="B975" s="4" t="s">
        <v>35</v>
      </c>
      <c r="C975" s="4" t="s">
        <v>36</v>
      </c>
      <c r="D975" s="4" t="s">
        <v>42</v>
      </c>
      <c r="E975" s="4" t="s">
        <v>25</v>
      </c>
      <c r="F975" s="4" t="s">
        <v>25</v>
      </c>
      <c r="G975" s="4" t="s">
        <v>25</v>
      </c>
      <c r="H975" s="4" t="s">
        <v>38</v>
      </c>
      <c r="I975" s="5">
        <v>44136</v>
      </c>
      <c r="J975" s="6">
        <v>0</v>
      </c>
      <c r="K975" s="6">
        <v>0</v>
      </c>
      <c r="L975" s="6">
        <v>2113.6280000000002</v>
      </c>
      <c r="M975" s="6">
        <v>2113.6280000000002</v>
      </c>
      <c r="N975" s="6">
        <v>2113.6280000000002</v>
      </c>
      <c r="O975" s="6">
        <v>2113.6280000000002</v>
      </c>
      <c r="P975" s="6">
        <v>0</v>
      </c>
      <c r="Q975" s="4" t="s">
        <v>26</v>
      </c>
      <c r="R975" s="4">
        <v>0</v>
      </c>
      <c r="S975" s="6">
        <v>0</v>
      </c>
      <c r="T975" s="6">
        <v>19</v>
      </c>
      <c r="U975" s="6">
        <v>67</v>
      </c>
      <c r="V975" s="6">
        <f>IF(ISERROR(VLOOKUP($S$975,'TAR FIN'!$A$1:$O$95,15,0)),0,VLOOKUP($S$975,'TAR FIN'!$A$1:$O$95,15,0))</f>
        <v>0</v>
      </c>
      <c r="W975" s="6">
        <f>IF(ISERROR(VLOOKUP($T$975,'TAR FIN'!$A$1:$O$95,15,0)),0,VLOOKUP($T$975,'TAR FIN'!$A$1:$O$95,15,0))</f>
        <v>149.63</v>
      </c>
      <c r="X975" s="6">
        <f>IF(ISERROR(VLOOKUP($U$975,'TAR FIN'!$A$1:$O$95,15,0)),0,VLOOKUP($U$975,'TAR FIN'!$A$1:$O$95,15,0))</f>
        <v>230.03</v>
      </c>
      <c r="Y975" s="6"/>
      <c r="Z975" s="6">
        <f ca="1">('TUSD BE'!$AM$17+'TUSD BF'!$AM$17+'TUSD CVA'!$AM$17)*1</f>
        <v>168.51338132937991</v>
      </c>
      <c r="AA975" s="6">
        <f>('TE BE'!$AA$8+'TE BF'!$AA$8+'TE CVA'!$AA$8)*1</f>
        <v>282.91739971702214</v>
      </c>
      <c r="AB975" s="6">
        <f>$K$975*$V$975</f>
        <v>0</v>
      </c>
      <c r="AC975" s="6">
        <f>$M$975*$W$975</f>
        <v>316262.15763999999</v>
      </c>
      <c r="AD975" s="6">
        <f>$O$975*$X$975</f>
        <v>486197.84884000005</v>
      </c>
      <c r="AE975" s="6">
        <f>$K$975*$Y$975</f>
        <v>0</v>
      </c>
      <c r="AF975" s="6">
        <f ca="1">$M$975*$Z$975</f>
        <v>356174.60115245462</v>
      </c>
      <c r="AG975" s="6">
        <f>$O$975*$AA$975</f>
        <v>597982.13772909006</v>
      </c>
    </row>
    <row r="976" spans="1:33" ht="11.25" customHeight="1" x14ac:dyDescent="0.25">
      <c r="A976" s="4" t="s">
        <v>30</v>
      </c>
      <c r="B976" s="4" t="s">
        <v>35</v>
      </c>
      <c r="C976" s="4" t="s">
        <v>36</v>
      </c>
      <c r="D976" s="4" t="s">
        <v>42</v>
      </c>
      <c r="E976" s="4" t="s">
        <v>25</v>
      </c>
      <c r="F976" s="4" t="s">
        <v>25</v>
      </c>
      <c r="G976" s="4" t="s">
        <v>25</v>
      </c>
      <c r="H976" s="4" t="s">
        <v>38</v>
      </c>
      <c r="I976" s="5">
        <v>44136</v>
      </c>
      <c r="J976" s="6">
        <v>0</v>
      </c>
      <c r="K976" s="6">
        <v>0</v>
      </c>
      <c r="L976" s="6">
        <v>470.30399999999997</v>
      </c>
      <c r="M976" s="6">
        <v>470.30399999999997</v>
      </c>
      <c r="N976" s="6">
        <v>470.30399999999997</v>
      </c>
      <c r="O976" s="6">
        <v>470.30399999999997</v>
      </c>
      <c r="P976" s="6">
        <v>0</v>
      </c>
      <c r="Q976" s="4" t="s">
        <v>26</v>
      </c>
      <c r="R976" s="4">
        <v>0</v>
      </c>
      <c r="S976" s="6">
        <v>0</v>
      </c>
      <c r="T976" s="6">
        <v>19</v>
      </c>
      <c r="U976" s="6">
        <v>67</v>
      </c>
      <c r="V976" s="6">
        <f>IF(ISERROR(VLOOKUP($S$976,'TAR FIN'!$A$1:$O$95,15,0)),0,VLOOKUP($S$976,'TAR FIN'!$A$1:$O$95,15,0))</f>
        <v>0</v>
      </c>
      <c r="W976" s="6">
        <f>IF(ISERROR(VLOOKUP($T$976,'TAR FIN'!$A$1:$O$95,15,0)),0,VLOOKUP($T$976,'TAR FIN'!$A$1:$O$95,15,0))</f>
        <v>149.63</v>
      </c>
      <c r="X976" s="6">
        <f>IF(ISERROR(VLOOKUP($U$976,'TAR FIN'!$A$1:$O$95,15,0)),0,VLOOKUP($U$976,'TAR FIN'!$A$1:$O$95,15,0))</f>
        <v>230.03</v>
      </c>
      <c r="Y976" s="6"/>
      <c r="Z976" s="6">
        <f ca="1">('TUSD BE'!$AM$17+'TUSD BF'!$AM$17+'TUSD CVA'!$AM$17)*1</f>
        <v>168.51338132937991</v>
      </c>
      <c r="AA976" s="6">
        <f>('TE BE'!$AA$8+'TE BF'!$AA$8+'TE CVA'!$AA$8)*1</f>
        <v>282.91739971702214</v>
      </c>
      <c r="AB976" s="6">
        <f>$K$976*$V$976</f>
        <v>0</v>
      </c>
      <c r="AC976" s="6">
        <f>$M$976*$W$976</f>
        <v>70371.587520000001</v>
      </c>
      <c r="AD976" s="6">
        <f>$O$976*$X$976</f>
        <v>108184.02911999999</v>
      </c>
      <c r="AE976" s="6">
        <f>$K$976*$Y$976</f>
        <v>0</v>
      </c>
      <c r="AF976" s="6">
        <f ca="1">$M$976*$Z$976</f>
        <v>79252.517292732678</v>
      </c>
      <c r="AG976" s="6">
        <f>$O$976*$AA$976</f>
        <v>133057.18475651438</v>
      </c>
    </row>
    <row r="977" spans="1:33" ht="11.25" customHeight="1" x14ac:dyDescent="0.25">
      <c r="A977" s="4" t="s">
        <v>21</v>
      </c>
      <c r="B977" s="4" t="s">
        <v>35</v>
      </c>
      <c r="C977" s="4" t="s">
        <v>36</v>
      </c>
      <c r="D977" s="4" t="s">
        <v>42</v>
      </c>
      <c r="E977" s="4" t="s">
        <v>25</v>
      </c>
      <c r="F977" s="4" t="s">
        <v>25</v>
      </c>
      <c r="G977" s="4" t="s">
        <v>25</v>
      </c>
      <c r="H977" s="4" t="s">
        <v>38</v>
      </c>
      <c r="I977" s="5">
        <v>44166</v>
      </c>
      <c r="J977" s="6">
        <v>0</v>
      </c>
      <c r="K977" s="6">
        <v>0</v>
      </c>
      <c r="L977" s="6">
        <v>19935.892</v>
      </c>
      <c r="M977" s="6">
        <v>19935.892</v>
      </c>
      <c r="N977" s="6">
        <v>19935.892</v>
      </c>
      <c r="O977" s="6">
        <v>19935.892</v>
      </c>
      <c r="P977" s="6">
        <v>0</v>
      </c>
      <c r="Q977" s="4" t="s">
        <v>26</v>
      </c>
      <c r="R977" s="4">
        <v>0</v>
      </c>
      <c r="S977" s="6">
        <v>0</v>
      </c>
      <c r="T977" s="6">
        <v>19</v>
      </c>
      <c r="U977" s="6">
        <v>67</v>
      </c>
      <c r="V977" s="6">
        <f>IF(ISERROR(VLOOKUP($S$977,'TAR FIN'!$A$1:$O$95,15,0)),0,VLOOKUP($S$977,'TAR FIN'!$A$1:$O$95,15,0))</f>
        <v>0</v>
      </c>
      <c r="W977" s="6">
        <f>IF(ISERROR(VLOOKUP($T$977,'TAR FIN'!$A$1:$O$95,15,0)),0,VLOOKUP($T$977,'TAR FIN'!$A$1:$O$95,15,0))</f>
        <v>149.63</v>
      </c>
      <c r="X977" s="6">
        <f>IF(ISERROR(VLOOKUP($U$977,'TAR FIN'!$A$1:$O$95,15,0)),0,VLOOKUP($U$977,'TAR FIN'!$A$1:$O$95,15,0))</f>
        <v>230.03</v>
      </c>
      <c r="Y977" s="6"/>
      <c r="Z977" s="6">
        <f ca="1">('TUSD BE'!$AM$17+'TUSD BF'!$AM$17+'TUSD CVA'!$AM$17)*1</f>
        <v>168.51338132937991</v>
      </c>
      <c r="AA977" s="6">
        <f>('TE BE'!$AA$8+'TE BF'!$AA$8+'TE CVA'!$AA$8)*1</f>
        <v>282.91739971702214</v>
      </c>
      <c r="AB977" s="6">
        <f>$K$977*$V$977</f>
        <v>0</v>
      </c>
      <c r="AC977" s="6">
        <f>$M$977*$W$977</f>
        <v>2983007.5199599997</v>
      </c>
      <c r="AD977" s="6">
        <f>$O$977*$X$977</f>
        <v>4585853.2367599998</v>
      </c>
      <c r="AE977" s="6">
        <f>$K$977*$Y$977</f>
        <v>0</v>
      </c>
      <c r="AF977" s="6">
        <f ca="1">$M$977*$Z$977</f>
        <v>3359464.5707373344</v>
      </c>
      <c r="AG977" s="6">
        <f>$O$977*$AA$977</f>
        <v>5640210.7256793836</v>
      </c>
    </row>
    <row r="978" spans="1:33" ht="11.25" customHeight="1" x14ac:dyDescent="0.25">
      <c r="A978" s="4" t="s">
        <v>28</v>
      </c>
      <c r="B978" s="4" t="s">
        <v>35</v>
      </c>
      <c r="C978" s="4" t="s">
        <v>36</v>
      </c>
      <c r="D978" s="4" t="s">
        <v>42</v>
      </c>
      <c r="E978" s="4" t="s">
        <v>25</v>
      </c>
      <c r="F978" s="4" t="s">
        <v>25</v>
      </c>
      <c r="G978" s="4" t="s">
        <v>25</v>
      </c>
      <c r="H978" s="4" t="s">
        <v>38</v>
      </c>
      <c r="I978" s="5">
        <v>44166</v>
      </c>
      <c r="J978" s="6">
        <v>0</v>
      </c>
      <c r="K978" s="6">
        <v>0</v>
      </c>
      <c r="L978" s="6">
        <v>1960.7460000000001</v>
      </c>
      <c r="M978" s="6">
        <v>1960.7460000000001</v>
      </c>
      <c r="N978" s="6">
        <v>1960.7460000000001</v>
      </c>
      <c r="O978" s="6">
        <v>1960.7460000000001</v>
      </c>
      <c r="P978" s="6">
        <v>0</v>
      </c>
      <c r="Q978" s="4" t="s">
        <v>26</v>
      </c>
      <c r="R978" s="4">
        <v>0</v>
      </c>
      <c r="S978" s="6">
        <v>0</v>
      </c>
      <c r="T978" s="6">
        <v>19</v>
      </c>
      <c r="U978" s="6">
        <v>67</v>
      </c>
      <c r="V978" s="6">
        <f>IF(ISERROR(VLOOKUP($S$978,'TAR FIN'!$A$1:$O$95,15,0)),0,VLOOKUP($S$978,'TAR FIN'!$A$1:$O$95,15,0))</f>
        <v>0</v>
      </c>
      <c r="W978" s="6">
        <f>IF(ISERROR(VLOOKUP($T$978,'TAR FIN'!$A$1:$O$95,15,0)),0,VLOOKUP($T$978,'TAR FIN'!$A$1:$O$95,15,0))</f>
        <v>149.63</v>
      </c>
      <c r="X978" s="6">
        <f>IF(ISERROR(VLOOKUP($U$978,'TAR FIN'!$A$1:$O$95,15,0)),0,VLOOKUP($U$978,'TAR FIN'!$A$1:$O$95,15,0))</f>
        <v>230.03</v>
      </c>
      <c r="Y978" s="6"/>
      <c r="Z978" s="6">
        <f ca="1">('TUSD BE'!$AM$17+'TUSD BF'!$AM$17+'TUSD CVA'!$AM$17)*1</f>
        <v>168.51338132937991</v>
      </c>
      <c r="AA978" s="6">
        <f>('TE BE'!$AA$8+'TE BF'!$AA$8+'TE CVA'!$AA$8)*1</f>
        <v>282.91739971702214</v>
      </c>
      <c r="AB978" s="6">
        <f>$K$978*$V$978</f>
        <v>0</v>
      </c>
      <c r="AC978" s="6">
        <f>$M$978*$W$978</f>
        <v>293386.42398000002</v>
      </c>
      <c r="AD978" s="6">
        <f>$O$978*$X$978</f>
        <v>451030.40238000004</v>
      </c>
      <c r="AE978" s="6">
        <f>$K$978*$Y$978</f>
        <v>0</v>
      </c>
      <c r="AF978" s="6">
        <f ca="1">$M$978*$Z$978</f>
        <v>330411.93838805635</v>
      </c>
      <c r="AG978" s="6">
        <f>$O$978*$AA$978</f>
        <v>554729.15982555225</v>
      </c>
    </row>
    <row r="979" spans="1:33" ht="11.25" customHeight="1" x14ac:dyDescent="0.25">
      <c r="A979" s="4" t="s">
        <v>30</v>
      </c>
      <c r="B979" s="4" t="s">
        <v>35</v>
      </c>
      <c r="C979" s="4" t="s">
        <v>36</v>
      </c>
      <c r="D979" s="4" t="s">
        <v>42</v>
      </c>
      <c r="E979" s="4" t="s">
        <v>25</v>
      </c>
      <c r="F979" s="4" t="s">
        <v>25</v>
      </c>
      <c r="G979" s="4" t="s">
        <v>25</v>
      </c>
      <c r="H979" s="4" t="s">
        <v>38</v>
      </c>
      <c r="I979" s="5">
        <v>44166</v>
      </c>
      <c r="J979" s="6">
        <v>0</v>
      </c>
      <c r="K979" s="6">
        <v>0</v>
      </c>
      <c r="L979" s="6">
        <v>441.44499999999999</v>
      </c>
      <c r="M979" s="6">
        <v>441.44499999999999</v>
      </c>
      <c r="N979" s="6">
        <v>441.44499999999999</v>
      </c>
      <c r="O979" s="6">
        <v>441.44499999999999</v>
      </c>
      <c r="P979" s="6">
        <v>0</v>
      </c>
      <c r="Q979" s="4" t="s">
        <v>26</v>
      </c>
      <c r="R979" s="4">
        <v>0</v>
      </c>
      <c r="S979" s="6">
        <v>0</v>
      </c>
      <c r="T979" s="6">
        <v>19</v>
      </c>
      <c r="U979" s="6">
        <v>67</v>
      </c>
      <c r="V979" s="6">
        <f>IF(ISERROR(VLOOKUP($S$979,'TAR FIN'!$A$1:$O$95,15,0)),0,VLOOKUP($S$979,'TAR FIN'!$A$1:$O$95,15,0))</f>
        <v>0</v>
      </c>
      <c r="W979" s="6">
        <f>IF(ISERROR(VLOOKUP($T$979,'TAR FIN'!$A$1:$O$95,15,0)),0,VLOOKUP($T$979,'TAR FIN'!$A$1:$O$95,15,0))</f>
        <v>149.63</v>
      </c>
      <c r="X979" s="6">
        <f>IF(ISERROR(VLOOKUP($U$979,'TAR FIN'!$A$1:$O$95,15,0)),0,VLOOKUP($U$979,'TAR FIN'!$A$1:$O$95,15,0))</f>
        <v>230.03</v>
      </c>
      <c r="Y979" s="6"/>
      <c r="Z979" s="6">
        <f ca="1">('TUSD BE'!$AM$17+'TUSD BF'!$AM$17+'TUSD CVA'!$AM$17)*1</f>
        <v>168.51338132937991</v>
      </c>
      <c r="AA979" s="6">
        <f>('TE BE'!$AA$8+'TE BF'!$AA$8+'TE CVA'!$AA$8)*1</f>
        <v>282.91739971702214</v>
      </c>
      <c r="AB979" s="6">
        <f>$K$979*$V$979</f>
        <v>0</v>
      </c>
      <c r="AC979" s="6">
        <f>$M$979*$W$979</f>
        <v>66053.415349999996</v>
      </c>
      <c r="AD979" s="6">
        <f>$O$979*$X$979</f>
        <v>101545.59335</v>
      </c>
      <c r="AE979" s="6">
        <f>$K$979*$Y$979</f>
        <v>0</v>
      </c>
      <c r="AF979" s="6">
        <f ca="1">$M$979*$Z$979</f>
        <v>74389.389620948117</v>
      </c>
      <c r="AG979" s="6">
        <f>$O$979*$AA$979</f>
        <v>124892.47151808084</v>
      </c>
    </row>
    <row r="980" spans="1:33" ht="11.25" customHeight="1" x14ac:dyDescent="0.25">
      <c r="A980" s="4" t="s">
        <v>21</v>
      </c>
      <c r="B980" s="4" t="s">
        <v>35</v>
      </c>
      <c r="C980" s="4" t="s">
        <v>36</v>
      </c>
      <c r="D980" s="4" t="s">
        <v>42</v>
      </c>
      <c r="E980" s="4" t="s">
        <v>25</v>
      </c>
      <c r="F980" s="4" t="s">
        <v>25</v>
      </c>
      <c r="G980" s="4" t="s">
        <v>25</v>
      </c>
      <c r="H980" s="4" t="s">
        <v>38</v>
      </c>
      <c r="I980" s="5">
        <v>44197</v>
      </c>
      <c r="J980" s="6">
        <v>0</v>
      </c>
      <c r="K980" s="6">
        <v>0</v>
      </c>
      <c r="L980" s="6">
        <v>18655.61</v>
      </c>
      <c r="M980" s="6">
        <v>18655.61</v>
      </c>
      <c r="N980" s="6">
        <v>18655.61</v>
      </c>
      <c r="O980" s="6">
        <v>18655.61</v>
      </c>
      <c r="P980" s="6">
        <v>0</v>
      </c>
      <c r="Q980" s="4" t="s">
        <v>26</v>
      </c>
      <c r="R980" s="4">
        <v>0</v>
      </c>
      <c r="S980" s="6">
        <v>0</v>
      </c>
      <c r="T980" s="6">
        <v>19</v>
      </c>
      <c r="U980" s="6">
        <v>67</v>
      </c>
      <c r="V980" s="6">
        <f>IF(ISERROR(VLOOKUP($S$980,'TAR FIN'!$A$1:$O$95,15,0)),0,VLOOKUP($S$980,'TAR FIN'!$A$1:$O$95,15,0))</f>
        <v>0</v>
      </c>
      <c r="W980" s="6">
        <f>IF(ISERROR(VLOOKUP($T$980,'TAR FIN'!$A$1:$O$95,15,0)),0,VLOOKUP($T$980,'TAR FIN'!$A$1:$O$95,15,0))</f>
        <v>149.63</v>
      </c>
      <c r="X980" s="6">
        <f>IF(ISERROR(VLOOKUP($U$980,'TAR FIN'!$A$1:$O$95,15,0)),0,VLOOKUP($U$980,'TAR FIN'!$A$1:$O$95,15,0))</f>
        <v>230.03</v>
      </c>
      <c r="Y980" s="6"/>
      <c r="Z980" s="6">
        <f ca="1">('TUSD BE'!$AM$17+'TUSD BF'!$AM$17+'TUSD CVA'!$AM$17)*1</f>
        <v>168.51338132937991</v>
      </c>
      <c r="AA980" s="6">
        <f>('TE BE'!$AA$8+'TE BF'!$AA$8+'TE CVA'!$AA$8)*1</f>
        <v>282.91739971702214</v>
      </c>
      <c r="AB980" s="6">
        <f>$K$980*$V$980</f>
        <v>0</v>
      </c>
      <c r="AC980" s="6">
        <f>$M$980*$W$980</f>
        <v>2791438.9243000001</v>
      </c>
      <c r="AD980" s="6">
        <f>$O$980*$X$980</f>
        <v>4291349.9682999998</v>
      </c>
      <c r="AE980" s="6">
        <f>$K$980*$Y$980</f>
        <v>0</v>
      </c>
      <c r="AF980" s="6">
        <f ca="1">$M$980*$Z$980</f>
        <v>3143719.9218621934</v>
      </c>
      <c r="AG980" s="6">
        <f>$O$980*$AA$980</f>
        <v>5277996.6713348757</v>
      </c>
    </row>
    <row r="981" spans="1:33" ht="11.25" customHeight="1" x14ac:dyDescent="0.25">
      <c r="A981" s="4" t="s">
        <v>27</v>
      </c>
      <c r="B981" s="4" t="s">
        <v>35</v>
      </c>
      <c r="C981" s="4" t="s">
        <v>36</v>
      </c>
      <c r="D981" s="4" t="s">
        <v>42</v>
      </c>
      <c r="E981" s="4" t="s">
        <v>25</v>
      </c>
      <c r="F981" s="4" t="s">
        <v>25</v>
      </c>
      <c r="G981" s="4" t="s">
        <v>25</v>
      </c>
      <c r="H981" s="4" t="s">
        <v>38</v>
      </c>
      <c r="I981" s="5">
        <v>44197</v>
      </c>
      <c r="J981" s="6">
        <v>0</v>
      </c>
      <c r="K981" s="6">
        <v>0</v>
      </c>
      <c r="L981" s="6">
        <v>-40.768000000000001</v>
      </c>
      <c r="M981" s="6">
        <v>-40.768000000000001</v>
      </c>
      <c r="N981" s="6">
        <v>-40.768000000000001</v>
      </c>
      <c r="O981" s="6">
        <v>-40.768000000000001</v>
      </c>
      <c r="P981" s="6">
        <v>0</v>
      </c>
      <c r="Q981" s="4" t="s">
        <v>26</v>
      </c>
      <c r="R981" s="4">
        <v>0</v>
      </c>
      <c r="S981" s="6">
        <v>0</v>
      </c>
      <c r="T981" s="6">
        <v>19</v>
      </c>
      <c r="U981" s="6">
        <v>67</v>
      </c>
      <c r="V981" s="6">
        <f>IF(ISERROR(VLOOKUP($S$981,'TAR FIN'!$A$1:$O$95,15,0)),0,VLOOKUP($S$981,'TAR FIN'!$A$1:$O$95,15,0))</f>
        <v>0</v>
      </c>
      <c r="W981" s="6">
        <f>IF(ISERROR(VLOOKUP($T$981,'TAR FIN'!$A$1:$O$95,15,0)),0,VLOOKUP($T$981,'TAR FIN'!$A$1:$O$95,15,0))</f>
        <v>149.63</v>
      </c>
      <c r="X981" s="6">
        <f>IF(ISERROR(VLOOKUP($U$981,'TAR FIN'!$A$1:$O$95,15,0)),0,VLOOKUP($U$981,'TAR FIN'!$A$1:$O$95,15,0))</f>
        <v>230.03</v>
      </c>
      <c r="Y981" s="6"/>
      <c r="Z981" s="6">
        <f ca="1">('TUSD BE'!$AM$17+'TUSD BF'!$AM$17+'TUSD CVA'!$AM$17)*1</f>
        <v>168.51338132937991</v>
      </c>
      <c r="AA981" s="6">
        <f>('TE BE'!$AA$8+'TE BF'!$AA$8+'TE CVA'!$AA$8)*1</f>
        <v>282.91739971702214</v>
      </c>
      <c r="AB981" s="6">
        <f>$K$981*$V$981</f>
        <v>0</v>
      </c>
      <c r="AC981" s="6">
        <f>$M$981*$W$981</f>
        <v>-6100.1158399999995</v>
      </c>
      <c r="AD981" s="6">
        <f>$O$981*$X$981</f>
        <v>-9377.8630400000002</v>
      </c>
      <c r="AE981" s="6">
        <f>$K$981*$Y$981</f>
        <v>0</v>
      </c>
      <c r="AF981" s="6">
        <f ca="1">$M$981*$Z$981</f>
        <v>-6869.9535300361604</v>
      </c>
      <c r="AG981" s="6">
        <f>$O$981*$AA$981</f>
        <v>-11533.976551663558</v>
      </c>
    </row>
    <row r="982" spans="1:33" ht="11.25" customHeight="1" x14ac:dyDescent="0.25">
      <c r="A982" s="4" t="s">
        <v>28</v>
      </c>
      <c r="B982" s="4" t="s">
        <v>35</v>
      </c>
      <c r="C982" s="4" t="s">
        <v>36</v>
      </c>
      <c r="D982" s="4" t="s">
        <v>42</v>
      </c>
      <c r="E982" s="4" t="s">
        <v>25</v>
      </c>
      <c r="F982" s="4" t="s">
        <v>25</v>
      </c>
      <c r="G982" s="4" t="s">
        <v>25</v>
      </c>
      <c r="H982" s="4" t="s">
        <v>38</v>
      </c>
      <c r="I982" s="5">
        <v>44197</v>
      </c>
      <c r="J982" s="6">
        <v>0</v>
      </c>
      <c r="K982" s="6">
        <v>0</v>
      </c>
      <c r="L982" s="6">
        <v>1792.346</v>
      </c>
      <c r="M982" s="6">
        <v>1792.346</v>
      </c>
      <c r="N982" s="6">
        <v>1792.346</v>
      </c>
      <c r="O982" s="6">
        <v>1792.346</v>
      </c>
      <c r="P982" s="6">
        <v>0</v>
      </c>
      <c r="Q982" s="4" t="s">
        <v>26</v>
      </c>
      <c r="R982" s="4">
        <v>0</v>
      </c>
      <c r="S982" s="6">
        <v>0</v>
      </c>
      <c r="T982" s="6">
        <v>19</v>
      </c>
      <c r="U982" s="6">
        <v>67</v>
      </c>
      <c r="V982" s="6">
        <f>IF(ISERROR(VLOOKUP($S$982,'TAR FIN'!$A$1:$O$95,15,0)),0,VLOOKUP($S$982,'TAR FIN'!$A$1:$O$95,15,0))</f>
        <v>0</v>
      </c>
      <c r="W982" s="6">
        <f>IF(ISERROR(VLOOKUP($T$982,'TAR FIN'!$A$1:$O$95,15,0)),0,VLOOKUP($T$982,'TAR FIN'!$A$1:$O$95,15,0))</f>
        <v>149.63</v>
      </c>
      <c r="X982" s="6">
        <f>IF(ISERROR(VLOOKUP($U$982,'TAR FIN'!$A$1:$O$95,15,0)),0,VLOOKUP($U$982,'TAR FIN'!$A$1:$O$95,15,0))</f>
        <v>230.03</v>
      </c>
      <c r="Y982" s="6"/>
      <c r="Z982" s="6">
        <f ca="1">('TUSD BE'!$AM$17+'TUSD BF'!$AM$17+'TUSD CVA'!$AM$17)*1</f>
        <v>168.51338132937991</v>
      </c>
      <c r="AA982" s="6">
        <f>('TE BE'!$AA$8+'TE BF'!$AA$8+'TE CVA'!$AA$8)*1</f>
        <v>282.91739971702214</v>
      </c>
      <c r="AB982" s="6">
        <f>$K$982*$V$982</f>
        <v>0</v>
      </c>
      <c r="AC982" s="6">
        <f>$M$982*$W$982</f>
        <v>268188.73197999998</v>
      </c>
      <c r="AD982" s="6">
        <f>$O$982*$X$982</f>
        <v>412293.35038000002</v>
      </c>
      <c r="AE982" s="6">
        <f>$K$982*$Y$982</f>
        <v>0</v>
      </c>
      <c r="AF982" s="6">
        <f ca="1">$M$982*$Z$982</f>
        <v>302034.28497218876</v>
      </c>
      <c r="AG982" s="6">
        <f>$O$982*$AA$982</f>
        <v>507085.86971320579</v>
      </c>
    </row>
    <row r="983" spans="1:33" ht="11.25" customHeight="1" x14ac:dyDescent="0.25">
      <c r="A983" s="4" t="s">
        <v>29</v>
      </c>
      <c r="B983" s="4" t="s">
        <v>35</v>
      </c>
      <c r="C983" s="4" t="s">
        <v>36</v>
      </c>
      <c r="D983" s="4" t="s">
        <v>42</v>
      </c>
      <c r="E983" s="4" t="s">
        <v>25</v>
      </c>
      <c r="F983" s="4" t="s">
        <v>25</v>
      </c>
      <c r="G983" s="4" t="s">
        <v>25</v>
      </c>
      <c r="H983" s="4" t="s">
        <v>38</v>
      </c>
      <c r="I983" s="5">
        <v>44197</v>
      </c>
      <c r="J983" s="6">
        <v>0</v>
      </c>
      <c r="K983" s="6">
        <v>0</v>
      </c>
      <c r="L983" s="6">
        <v>-89.811000000000007</v>
      </c>
      <c r="M983" s="6">
        <v>-89.811000000000007</v>
      </c>
      <c r="N983" s="6">
        <v>-89.811000000000007</v>
      </c>
      <c r="O983" s="6">
        <v>-89.811000000000007</v>
      </c>
      <c r="P983" s="6">
        <v>0</v>
      </c>
      <c r="Q983" s="4" t="s">
        <v>26</v>
      </c>
      <c r="R983" s="4">
        <v>0</v>
      </c>
      <c r="S983" s="6">
        <v>0</v>
      </c>
      <c r="T983" s="6">
        <v>19</v>
      </c>
      <c r="U983" s="6">
        <v>67</v>
      </c>
      <c r="V983" s="6">
        <f>IF(ISERROR(VLOOKUP($S$983,'TAR FIN'!$A$1:$O$95,15,0)),0,VLOOKUP($S$983,'TAR FIN'!$A$1:$O$95,15,0))</f>
        <v>0</v>
      </c>
      <c r="W983" s="6">
        <f>IF(ISERROR(VLOOKUP($T$983,'TAR FIN'!$A$1:$O$95,15,0)),0,VLOOKUP($T$983,'TAR FIN'!$A$1:$O$95,15,0))</f>
        <v>149.63</v>
      </c>
      <c r="X983" s="6">
        <f>IF(ISERROR(VLOOKUP($U$983,'TAR FIN'!$A$1:$O$95,15,0)),0,VLOOKUP($U$983,'TAR FIN'!$A$1:$O$95,15,0))</f>
        <v>230.03</v>
      </c>
      <c r="Y983" s="6"/>
      <c r="Z983" s="6">
        <f ca="1">('TUSD BE'!$AM$17+'TUSD BF'!$AM$17+'TUSD CVA'!$AM$17)*1</f>
        <v>168.51338132937991</v>
      </c>
      <c r="AA983" s="6">
        <f>('TE BE'!$AA$8+'TE BF'!$AA$8+'TE CVA'!$AA$8)*1</f>
        <v>282.91739971702214</v>
      </c>
      <c r="AB983" s="6">
        <f>$K$983*$V$983</f>
        <v>0</v>
      </c>
      <c r="AC983" s="6">
        <f>$M$983*$W$983</f>
        <v>-13438.41993</v>
      </c>
      <c r="AD983" s="6">
        <f>$O$983*$X$983</f>
        <v>-20659.224330000001</v>
      </c>
      <c r="AE983" s="6">
        <f>$K$983*$Y$983</f>
        <v>0</v>
      </c>
      <c r="AF983" s="6">
        <f ca="1">$M$983*$Z$983</f>
        <v>-15134.355290572941</v>
      </c>
      <c r="AG983" s="6">
        <f>$O$983*$AA$983</f>
        <v>-25409.094585985476</v>
      </c>
    </row>
    <row r="984" spans="1:33" ht="11.25" customHeight="1" x14ac:dyDescent="0.25">
      <c r="A984" s="4" t="s">
        <v>30</v>
      </c>
      <c r="B984" s="4" t="s">
        <v>35</v>
      </c>
      <c r="C984" s="4" t="s">
        <v>36</v>
      </c>
      <c r="D984" s="4" t="s">
        <v>42</v>
      </c>
      <c r="E984" s="4" t="s">
        <v>25</v>
      </c>
      <c r="F984" s="4" t="s">
        <v>25</v>
      </c>
      <c r="G984" s="4" t="s">
        <v>25</v>
      </c>
      <c r="H984" s="4" t="s">
        <v>38</v>
      </c>
      <c r="I984" s="5">
        <v>44197</v>
      </c>
      <c r="J984" s="6">
        <v>0</v>
      </c>
      <c r="K984" s="6">
        <v>0</v>
      </c>
      <c r="L984" s="6">
        <v>393.58699999999999</v>
      </c>
      <c r="M984" s="6">
        <v>393.58699999999999</v>
      </c>
      <c r="N984" s="6">
        <v>393.58699999999999</v>
      </c>
      <c r="O984" s="6">
        <v>393.58699999999999</v>
      </c>
      <c r="P984" s="6">
        <v>0</v>
      </c>
      <c r="Q984" s="4" t="s">
        <v>26</v>
      </c>
      <c r="R984" s="4">
        <v>0</v>
      </c>
      <c r="S984" s="6">
        <v>0</v>
      </c>
      <c r="T984" s="6">
        <v>19</v>
      </c>
      <c r="U984" s="6">
        <v>67</v>
      </c>
      <c r="V984" s="6">
        <f>IF(ISERROR(VLOOKUP($S$984,'TAR FIN'!$A$1:$O$95,15,0)),0,VLOOKUP($S$984,'TAR FIN'!$A$1:$O$95,15,0))</f>
        <v>0</v>
      </c>
      <c r="W984" s="6">
        <f>IF(ISERROR(VLOOKUP($T$984,'TAR FIN'!$A$1:$O$95,15,0)),0,VLOOKUP($T$984,'TAR FIN'!$A$1:$O$95,15,0))</f>
        <v>149.63</v>
      </c>
      <c r="X984" s="6">
        <f>IF(ISERROR(VLOOKUP($U$984,'TAR FIN'!$A$1:$O$95,15,0)),0,VLOOKUP($U$984,'TAR FIN'!$A$1:$O$95,15,0))</f>
        <v>230.03</v>
      </c>
      <c r="Y984" s="6"/>
      <c r="Z984" s="6">
        <f ca="1">('TUSD BE'!$AM$17+'TUSD BF'!$AM$17+'TUSD CVA'!$AM$17)*1</f>
        <v>168.51338132937991</v>
      </c>
      <c r="AA984" s="6">
        <f>('TE BE'!$AA$8+'TE BF'!$AA$8+'TE CVA'!$AA$8)*1</f>
        <v>282.91739971702214</v>
      </c>
      <c r="AB984" s="6">
        <f>$K$984*$V$984</f>
        <v>0</v>
      </c>
      <c r="AC984" s="6">
        <f>$M$984*$W$984</f>
        <v>58892.422809999996</v>
      </c>
      <c r="AD984" s="6">
        <f>$O$984*$X$984</f>
        <v>90536.817609999998</v>
      </c>
      <c r="AE984" s="6">
        <f>$K$984*$Y$984</f>
        <v>0</v>
      </c>
      <c r="AF984" s="6">
        <f ca="1">$M$984*$Z$984</f>
        <v>66324.676217286644</v>
      </c>
      <c r="AG984" s="6">
        <f>$O$984*$AA$984</f>
        <v>111352.61060242359</v>
      </c>
    </row>
    <row r="985" spans="1:33" ht="11.25" customHeight="1" x14ac:dyDescent="0.25">
      <c r="A985" s="4" t="s">
        <v>21</v>
      </c>
      <c r="B985" s="4" t="s">
        <v>35</v>
      </c>
      <c r="C985" s="4" t="s">
        <v>36</v>
      </c>
      <c r="D985" s="4" t="s">
        <v>42</v>
      </c>
      <c r="E985" s="4" t="s">
        <v>25</v>
      </c>
      <c r="F985" s="4" t="s">
        <v>25</v>
      </c>
      <c r="G985" s="4" t="s">
        <v>25</v>
      </c>
      <c r="H985" s="4" t="s">
        <v>38</v>
      </c>
      <c r="I985" s="5">
        <v>44228</v>
      </c>
      <c r="J985" s="6">
        <v>0</v>
      </c>
      <c r="K985" s="6">
        <v>0</v>
      </c>
      <c r="L985" s="6">
        <v>18739.04</v>
      </c>
      <c r="M985" s="6">
        <v>18739.04</v>
      </c>
      <c r="N985" s="6">
        <v>18739.04</v>
      </c>
      <c r="O985" s="6">
        <v>18739.04</v>
      </c>
      <c r="P985" s="6">
        <v>0</v>
      </c>
      <c r="Q985" s="4" t="s">
        <v>26</v>
      </c>
      <c r="R985" s="4">
        <v>0</v>
      </c>
      <c r="S985" s="6">
        <v>0</v>
      </c>
      <c r="T985" s="6">
        <v>19</v>
      </c>
      <c r="U985" s="6">
        <v>67</v>
      </c>
      <c r="V985" s="6">
        <f>IF(ISERROR(VLOOKUP($S$985,'TAR FIN'!$A$1:$O$95,15,0)),0,VLOOKUP($S$985,'TAR FIN'!$A$1:$O$95,15,0))</f>
        <v>0</v>
      </c>
      <c r="W985" s="6">
        <f>IF(ISERROR(VLOOKUP($T$985,'TAR FIN'!$A$1:$O$95,15,0)),0,VLOOKUP($T$985,'TAR FIN'!$A$1:$O$95,15,0))</f>
        <v>149.63</v>
      </c>
      <c r="X985" s="6">
        <f>IF(ISERROR(VLOOKUP($U$985,'TAR FIN'!$A$1:$O$95,15,0)),0,VLOOKUP($U$985,'TAR FIN'!$A$1:$O$95,15,0))</f>
        <v>230.03</v>
      </c>
      <c r="Y985" s="6"/>
      <c r="Z985" s="6">
        <f ca="1">('TUSD BE'!$AM$17+'TUSD BF'!$AM$17+'TUSD CVA'!$AM$17)*1</f>
        <v>168.51338132937991</v>
      </c>
      <c r="AA985" s="6">
        <f>('TE BE'!$AA$8+'TE BF'!$AA$8+'TE CVA'!$AA$8)*1</f>
        <v>282.91739971702214</v>
      </c>
      <c r="AB985" s="6">
        <f>$K$985*$V$985</f>
        <v>0</v>
      </c>
      <c r="AC985" s="6">
        <f>$M$985*$W$985</f>
        <v>2803922.5551999998</v>
      </c>
      <c r="AD985" s="6">
        <f>$O$985*$X$985</f>
        <v>4310541.3711999999</v>
      </c>
      <c r="AE985" s="6">
        <f>$K$985*$Y$985</f>
        <v>0</v>
      </c>
      <c r="AF985" s="6">
        <f ca="1">$M$985*$Z$985</f>
        <v>3157778.9932665033</v>
      </c>
      <c r="AG985" s="6">
        <f>$O$985*$AA$985</f>
        <v>5301600.4699932663</v>
      </c>
    </row>
    <row r="986" spans="1:33" ht="11.25" customHeight="1" x14ac:dyDescent="0.25">
      <c r="A986" s="4" t="s">
        <v>27</v>
      </c>
      <c r="B986" s="4" t="s">
        <v>35</v>
      </c>
      <c r="C986" s="4" t="s">
        <v>36</v>
      </c>
      <c r="D986" s="4" t="s">
        <v>42</v>
      </c>
      <c r="E986" s="4" t="s">
        <v>25</v>
      </c>
      <c r="F986" s="4" t="s">
        <v>25</v>
      </c>
      <c r="G986" s="4" t="s">
        <v>25</v>
      </c>
      <c r="H986" s="4" t="s">
        <v>38</v>
      </c>
      <c r="I986" s="5">
        <v>44228</v>
      </c>
      <c r="J986" s="6">
        <v>0</v>
      </c>
      <c r="K986" s="6">
        <v>0</v>
      </c>
      <c r="L986" s="6">
        <v>-721.37</v>
      </c>
      <c r="M986" s="6">
        <v>-721.37</v>
      </c>
      <c r="N986" s="6">
        <v>-721.37</v>
      </c>
      <c r="O986" s="6">
        <v>-721.37</v>
      </c>
      <c r="P986" s="6">
        <v>0</v>
      </c>
      <c r="Q986" s="4" t="s">
        <v>26</v>
      </c>
      <c r="R986" s="4">
        <v>0</v>
      </c>
      <c r="S986" s="6">
        <v>0</v>
      </c>
      <c r="T986" s="6">
        <v>19</v>
      </c>
      <c r="U986" s="6">
        <v>67</v>
      </c>
      <c r="V986" s="6">
        <f>IF(ISERROR(VLOOKUP($S$986,'TAR FIN'!$A$1:$O$95,15,0)),0,VLOOKUP($S$986,'TAR FIN'!$A$1:$O$95,15,0))</f>
        <v>0</v>
      </c>
      <c r="W986" s="6">
        <f>IF(ISERROR(VLOOKUP($T$986,'TAR FIN'!$A$1:$O$95,15,0)),0,VLOOKUP($T$986,'TAR FIN'!$A$1:$O$95,15,0))</f>
        <v>149.63</v>
      </c>
      <c r="X986" s="6">
        <f>IF(ISERROR(VLOOKUP($U$986,'TAR FIN'!$A$1:$O$95,15,0)),0,VLOOKUP($U$986,'TAR FIN'!$A$1:$O$95,15,0))</f>
        <v>230.03</v>
      </c>
      <c r="Y986" s="6"/>
      <c r="Z986" s="6">
        <f ca="1">('TUSD BE'!$AM$17+'TUSD BF'!$AM$17+'TUSD CVA'!$AM$17)*1</f>
        <v>168.51338132937991</v>
      </c>
      <c r="AA986" s="6">
        <f>('TE BE'!$AA$8+'TE BF'!$AA$8+'TE CVA'!$AA$8)*1</f>
        <v>282.91739971702214</v>
      </c>
      <c r="AB986" s="6">
        <f>$K$986*$V$986</f>
        <v>0</v>
      </c>
      <c r="AC986" s="6">
        <f>$M$986*$W$986</f>
        <v>-107938.5931</v>
      </c>
      <c r="AD986" s="6">
        <f>$O$986*$X$986</f>
        <v>-165936.74110000001</v>
      </c>
      <c r="AE986" s="6">
        <f>$K$986*$Y$986</f>
        <v>0</v>
      </c>
      <c r="AF986" s="6">
        <f ca="1">$M$986*$Z$986</f>
        <v>-121560.49788957479</v>
      </c>
      <c r="AG986" s="6">
        <f>$O$986*$AA$986</f>
        <v>-204088.12463386825</v>
      </c>
    </row>
    <row r="987" spans="1:33" ht="11.25" customHeight="1" x14ac:dyDescent="0.25">
      <c r="A987" s="4" t="s">
        <v>28</v>
      </c>
      <c r="B987" s="4" t="s">
        <v>35</v>
      </c>
      <c r="C987" s="4" t="s">
        <v>36</v>
      </c>
      <c r="D987" s="4" t="s">
        <v>42</v>
      </c>
      <c r="E987" s="4" t="s">
        <v>25</v>
      </c>
      <c r="F987" s="4" t="s">
        <v>25</v>
      </c>
      <c r="G987" s="4" t="s">
        <v>25</v>
      </c>
      <c r="H987" s="4" t="s">
        <v>38</v>
      </c>
      <c r="I987" s="5">
        <v>44228</v>
      </c>
      <c r="J987" s="6">
        <v>0</v>
      </c>
      <c r="K987" s="6">
        <v>0</v>
      </c>
      <c r="L987" s="6">
        <v>1665.7329999999999</v>
      </c>
      <c r="M987" s="6">
        <v>1665.7329999999999</v>
      </c>
      <c r="N987" s="6">
        <v>1665.7329999999999</v>
      </c>
      <c r="O987" s="6">
        <v>1665.7329999999999</v>
      </c>
      <c r="P987" s="6">
        <v>0</v>
      </c>
      <c r="Q987" s="4" t="s">
        <v>26</v>
      </c>
      <c r="R987" s="4">
        <v>0</v>
      </c>
      <c r="S987" s="6">
        <v>0</v>
      </c>
      <c r="T987" s="6">
        <v>19</v>
      </c>
      <c r="U987" s="6">
        <v>67</v>
      </c>
      <c r="V987" s="6">
        <f>IF(ISERROR(VLOOKUP($S$987,'TAR FIN'!$A$1:$O$95,15,0)),0,VLOOKUP($S$987,'TAR FIN'!$A$1:$O$95,15,0))</f>
        <v>0</v>
      </c>
      <c r="W987" s="6">
        <f>IF(ISERROR(VLOOKUP($T$987,'TAR FIN'!$A$1:$O$95,15,0)),0,VLOOKUP($T$987,'TAR FIN'!$A$1:$O$95,15,0))</f>
        <v>149.63</v>
      </c>
      <c r="X987" s="6">
        <f>IF(ISERROR(VLOOKUP($U$987,'TAR FIN'!$A$1:$O$95,15,0)),0,VLOOKUP($U$987,'TAR FIN'!$A$1:$O$95,15,0))</f>
        <v>230.03</v>
      </c>
      <c r="Y987" s="6"/>
      <c r="Z987" s="6">
        <f ca="1">('TUSD BE'!$AM$17+'TUSD BF'!$AM$17+'TUSD CVA'!$AM$17)*1</f>
        <v>168.51338132937991</v>
      </c>
      <c r="AA987" s="6">
        <f>('TE BE'!$AA$8+'TE BF'!$AA$8+'TE CVA'!$AA$8)*1</f>
        <v>282.91739971702214</v>
      </c>
      <c r="AB987" s="6">
        <f>$K$987*$V$987</f>
        <v>0</v>
      </c>
      <c r="AC987" s="6">
        <f>$M$987*$W$987</f>
        <v>249243.62878999999</v>
      </c>
      <c r="AD987" s="6">
        <f>$O$987*$X$987</f>
        <v>383168.56199000002</v>
      </c>
      <c r="AE987" s="6">
        <f>$K$987*$Y$987</f>
        <v>0</v>
      </c>
      <c r="AF987" s="6">
        <f ca="1">$M$987*$Z$987</f>
        <v>280698.300221932</v>
      </c>
      <c r="AG987" s="6">
        <f>$O$987*$AA$987</f>
        <v>471264.84898283443</v>
      </c>
    </row>
    <row r="988" spans="1:33" ht="11.25" customHeight="1" x14ac:dyDescent="0.25">
      <c r="A988" s="4" t="s">
        <v>30</v>
      </c>
      <c r="B988" s="4" t="s">
        <v>35</v>
      </c>
      <c r="C988" s="4" t="s">
        <v>36</v>
      </c>
      <c r="D988" s="4" t="s">
        <v>42</v>
      </c>
      <c r="E988" s="4" t="s">
        <v>25</v>
      </c>
      <c r="F988" s="4" t="s">
        <v>25</v>
      </c>
      <c r="G988" s="4" t="s">
        <v>25</v>
      </c>
      <c r="H988" s="4" t="s">
        <v>38</v>
      </c>
      <c r="I988" s="5">
        <v>44228</v>
      </c>
      <c r="J988" s="6">
        <v>0</v>
      </c>
      <c r="K988" s="6">
        <v>0</v>
      </c>
      <c r="L988" s="6">
        <v>418.28300000000002</v>
      </c>
      <c r="M988" s="6">
        <v>418.28300000000002</v>
      </c>
      <c r="N988" s="6">
        <v>418.28300000000002</v>
      </c>
      <c r="O988" s="6">
        <v>418.28300000000002</v>
      </c>
      <c r="P988" s="6">
        <v>0</v>
      </c>
      <c r="Q988" s="4" t="s">
        <v>26</v>
      </c>
      <c r="R988" s="4">
        <v>0</v>
      </c>
      <c r="S988" s="6">
        <v>0</v>
      </c>
      <c r="T988" s="6">
        <v>19</v>
      </c>
      <c r="U988" s="6">
        <v>67</v>
      </c>
      <c r="V988" s="6">
        <f>IF(ISERROR(VLOOKUP($S$988,'TAR FIN'!$A$1:$O$95,15,0)),0,VLOOKUP($S$988,'TAR FIN'!$A$1:$O$95,15,0))</f>
        <v>0</v>
      </c>
      <c r="W988" s="6">
        <f>IF(ISERROR(VLOOKUP($T$988,'TAR FIN'!$A$1:$O$95,15,0)),0,VLOOKUP($T$988,'TAR FIN'!$A$1:$O$95,15,0))</f>
        <v>149.63</v>
      </c>
      <c r="X988" s="6">
        <f>IF(ISERROR(VLOOKUP($U$988,'TAR FIN'!$A$1:$O$95,15,0)),0,VLOOKUP($U$988,'TAR FIN'!$A$1:$O$95,15,0))</f>
        <v>230.03</v>
      </c>
      <c r="Y988" s="6"/>
      <c r="Z988" s="6">
        <f ca="1">('TUSD BE'!$AM$17+'TUSD BF'!$AM$17+'TUSD CVA'!$AM$17)*1</f>
        <v>168.51338132937991</v>
      </c>
      <c r="AA988" s="6">
        <f>('TE BE'!$AA$8+'TE BF'!$AA$8+'TE CVA'!$AA$8)*1</f>
        <v>282.91739971702214</v>
      </c>
      <c r="AB988" s="6">
        <f>$K$988*$V$988</f>
        <v>0</v>
      </c>
      <c r="AC988" s="6">
        <f>$M$988*$W$988</f>
        <v>62587.685290000001</v>
      </c>
      <c r="AD988" s="6">
        <f>$O$988*$X$988</f>
        <v>96217.638489999998</v>
      </c>
      <c r="AE988" s="6">
        <f>$K$988*$Y$988</f>
        <v>0</v>
      </c>
      <c r="AF988" s="6">
        <f ca="1">$M$988*$Z$988</f>
        <v>70486.282682597026</v>
      </c>
      <c r="AG988" s="6">
        <f>$O$988*$AA$988</f>
        <v>118339.53870583518</v>
      </c>
    </row>
    <row r="989" spans="1:33" ht="11.25" customHeight="1" x14ac:dyDescent="0.25">
      <c r="A989" s="4" t="s">
        <v>21</v>
      </c>
      <c r="B989" s="4" t="s">
        <v>35</v>
      </c>
      <c r="C989" s="4" t="s">
        <v>36</v>
      </c>
      <c r="D989" s="4" t="s">
        <v>42</v>
      </c>
      <c r="E989" s="4" t="s">
        <v>25</v>
      </c>
      <c r="F989" s="4" t="s">
        <v>25</v>
      </c>
      <c r="G989" s="4" t="s">
        <v>25</v>
      </c>
      <c r="H989" s="4" t="s">
        <v>38</v>
      </c>
      <c r="I989" s="5">
        <v>44256</v>
      </c>
      <c r="J989" s="6">
        <v>0</v>
      </c>
      <c r="K989" s="6">
        <v>0</v>
      </c>
      <c r="L989" s="6">
        <v>21912.107</v>
      </c>
      <c r="M989" s="6">
        <v>21912.107</v>
      </c>
      <c r="N989" s="6">
        <v>21912.107</v>
      </c>
      <c r="O989" s="6">
        <v>21912.107</v>
      </c>
      <c r="P989" s="6">
        <v>0</v>
      </c>
      <c r="Q989" s="4" t="s">
        <v>26</v>
      </c>
      <c r="R989" s="4">
        <v>0</v>
      </c>
      <c r="S989" s="6">
        <v>0</v>
      </c>
      <c r="T989" s="6">
        <v>19</v>
      </c>
      <c r="U989" s="6">
        <v>67</v>
      </c>
      <c r="V989" s="6">
        <f>IF(ISERROR(VLOOKUP($S$989,'TAR FIN'!$A$1:$O$95,15,0)),0,VLOOKUP($S$989,'TAR FIN'!$A$1:$O$95,15,0))</f>
        <v>0</v>
      </c>
      <c r="W989" s="6">
        <f>IF(ISERROR(VLOOKUP($T$989,'TAR FIN'!$A$1:$O$95,15,0)),0,VLOOKUP($T$989,'TAR FIN'!$A$1:$O$95,15,0))</f>
        <v>149.63</v>
      </c>
      <c r="X989" s="6">
        <f>IF(ISERROR(VLOOKUP($U$989,'TAR FIN'!$A$1:$O$95,15,0)),0,VLOOKUP($U$989,'TAR FIN'!$A$1:$O$95,15,0))</f>
        <v>230.03</v>
      </c>
      <c r="Y989" s="6"/>
      <c r="Z989" s="6">
        <f ca="1">('TUSD BE'!$AM$17+'TUSD BF'!$AM$17+'TUSD CVA'!$AM$17)*1</f>
        <v>168.51338132937991</v>
      </c>
      <c r="AA989" s="6">
        <f>('TE BE'!$AA$8+'TE BF'!$AA$8+'TE CVA'!$AA$8)*1</f>
        <v>282.91739971702214</v>
      </c>
      <c r="AB989" s="6">
        <f>$K$989*$V$989</f>
        <v>0</v>
      </c>
      <c r="AC989" s="6">
        <f>$M$989*$W$989</f>
        <v>3278708.5704099997</v>
      </c>
      <c r="AD989" s="6">
        <f>$O$989*$X$989</f>
        <v>5040441.9732100004</v>
      </c>
      <c r="AE989" s="6">
        <f>$K$989*$Y$989</f>
        <v>0</v>
      </c>
      <c r="AF989" s="6">
        <f ca="1">$M$989*$Z$989</f>
        <v>3692483.242621175</v>
      </c>
      <c r="AG989" s="6">
        <f>$O$989*$AA$989</f>
        <v>6199316.3347611586</v>
      </c>
    </row>
    <row r="990" spans="1:33" ht="11.25" customHeight="1" x14ac:dyDescent="0.25">
      <c r="A990" s="4" t="s">
        <v>27</v>
      </c>
      <c r="B990" s="4" t="s">
        <v>35</v>
      </c>
      <c r="C990" s="4" t="s">
        <v>36</v>
      </c>
      <c r="D990" s="4" t="s">
        <v>42</v>
      </c>
      <c r="E990" s="4" t="s">
        <v>25</v>
      </c>
      <c r="F990" s="4" t="s">
        <v>25</v>
      </c>
      <c r="G990" s="4" t="s">
        <v>25</v>
      </c>
      <c r="H990" s="4" t="s">
        <v>38</v>
      </c>
      <c r="I990" s="5">
        <v>44256</v>
      </c>
      <c r="J990" s="6">
        <v>0</v>
      </c>
      <c r="K990" s="6">
        <v>0</v>
      </c>
      <c r="L990" s="6">
        <v>-598.60599999999999</v>
      </c>
      <c r="M990" s="6">
        <v>-598.60599999999999</v>
      </c>
      <c r="N990" s="6">
        <v>-598.60599999999999</v>
      </c>
      <c r="O990" s="6">
        <v>-598.60599999999999</v>
      </c>
      <c r="P990" s="6">
        <v>0</v>
      </c>
      <c r="Q990" s="4" t="s">
        <v>26</v>
      </c>
      <c r="R990" s="4">
        <v>0</v>
      </c>
      <c r="S990" s="6">
        <v>0</v>
      </c>
      <c r="T990" s="6">
        <v>19</v>
      </c>
      <c r="U990" s="6">
        <v>67</v>
      </c>
      <c r="V990" s="6">
        <f>IF(ISERROR(VLOOKUP($S$990,'TAR FIN'!$A$1:$O$95,15,0)),0,VLOOKUP($S$990,'TAR FIN'!$A$1:$O$95,15,0))</f>
        <v>0</v>
      </c>
      <c r="W990" s="6">
        <f>IF(ISERROR(VLOOKUP($T$990,'TAR FIN'!$A$1:$O$95,15,0)),0,VLOOKUP($T$990,'TAR FIN'!$A$1:$O$95,15,0))</f>
        <v>149.63</v>
      </c>
      <c r="X990" s="6">
        <f>IF(ISERROR(VLOOKUP($U$990,'TAR FIN'!$A$1:$O$95,15,0)),0,VLOOKUP($U$990,'TAR FIN'!$A$1:$O$95,15,0))</f>
        <v>230.03</v>
      </c>
      <c r="Y990" s="6"/>
      <c r="Z990" s="6">
        <f ca="1">('TUSD BE'!$AM$17+'TUSD BF'!$AM$17+'TUSD CVA'!$AM$17)*1</f>
        <v>168.51338132937991</v>
      </c>
      <c r="AA990" s="6">
        <f>('TE BE'!$AA$8+'TE BF'!$AA$8+'TE CVA'!$AA$8)*1</f>
        <v>282.91739971702214</v>
      </c>
      <c r="AB990" s="6">
        <f>$K$990*$V$990</f>
        <v>0</v>
      </c>
      <c r="AC990" s="6">
        <f>$M$990*$W$990</f>
        <v>-89569.415779999996</v>
      </c>
      <c r="AD990" s="6">
        <f>$O$990*$X$990</f>
        <v>-137697.33817999999</v>
      </c>
      <c r="AE990" s="6">
        <f>$K$990*$Y$990</f>
        <v>0</v>
      </c>
      <c r="AF990" s="6">
        <f ca="1">$M$990*$Z$990</f>
        <v>-100873.12114405479</v>
      </c>
      <c r="AG990" s="6">
        <f>$O$990*$AA$990</f>
        <v>-169356.05297500774</v>
      </c>
    </row>
    <row r="991" spans="1:33" ht="11.25" customHeight="1" x14ac:dyDescent="0.25">
      <c r="A991" s="4" t="s">
        <v>28</v>
      </c>
      <c r="B991" s="4" t="s">
        <v>35</v>
      </c>
      <c r="C991" s="4" t="s">
        <v>36</v>
      </c>
      <c r="D991" s="4" t="s">
        <v>42</v>
      </c>
      <c r="E991" s="4" t="s">
        <v>25</v>
      </c>
      <c r="F991" s="4" t="s">
        <v>25</v>
      </c>
      <c r="G991" s="4" t="s">
        <v>25</v>
      </c>
      <c r="H991" s="4" t="s">
        <v>38</v>
      </c>
      <c r="I991" s="5">
        <v>44256</v>
      </c>
      <c r="J991" s="6">
        <v>0</v>
      </c>
      <c r="K991" s="6">
        <v>0</v>
      </c>
      <c r="L991" s="6">
        <v>1907.5360000000001</v>
      </c>
      <c r="M991" s="6">
        <v>1907.5360000000001</v>
      </c>
      <c r="N991" s="6">
        <v>1907.5360000000001</v>
      </c>
      <c r="O991" s="6">
        <v>1907.5360000000001</v>
      </c>
      <c r="P991" s="6">
        <v>0</v>
      </c>
      <c r="Q991" s="4" t="s">
        <v>26</v>
      </c>
      <c r="R991" s="4">
        <v>0</v>
      </c>
      <c r="S991" s="6">
        <v>0</v>
      </c>
      <c r="T991" s="6">
        <v>19</v>
      </c>
      <c r="U991" s="6">
        <v>67</v>
      </c>
      <c r="V991" s="6">
        <f>IF(ISERROR(VLOOKUP($S$991,'TAR FIN'!$A$1:$O$95,15,0)),0,VLOOKUP($S$991,'TAR FIN'!$A$1:$O$95,15,0))</f>
        <v>0</v>
      </c>
      <c r="W991" s="6">
        <f>IF(ISERROR(VLOOKUP($T$991,'TAR FIN'!$A$1:$O$95,15,0)),0,VLOOKUP($T$991,'TAR FIN'!$A$1:$O$95,15,0))</f>
        <v>149.63</v>
      </c>
      <c r="X991" s="6">
        <f>IF(ISERROR(VLOOKUP($U$991,'TAR FIN'!$A$1:$O$95,15,0)),0,VLOOKUP($U$991,'TAR FIN'!$A$1:$O$95,15,0))</f>
        <v>230.03</v>
      </c>
      <c r="Y991" s="6"/>
      <c r="Z991" s="6">
        <f ca="1">('TUSD BE'!$AM$17+'TUSD BF'!$AM$17+'TUSD CVA'!$AM$17)*1</f>
        <v>168.51338132937991</v>
      </c>
      <c r="AA991" s="6">
        <f>('TE BE'!$AA$8+'TE BF'!$AA$8+'TE CVA'!$AA$8)*1</f>
        <v>282.91739971702214</v>
      </c>
      <c r="AB991" s="6">
        <f>$K$991*$V$991</f>
        <v>0</v>
      </c>
      <c r="AC991" s="6">
        <f>$M$991*$W$991</f>
        <v>285424.61167999997</v>
      </c>
      <c r="AD991" s="6">
        <f>$O$991*$X$991</f>
        <v>438790.50608000002</v>
      </c>
      <c r="AE991" s="6">
        <f>$K$991*$Y$991</f>
        <v>0</v>
      </c>
      <c r="AF991" s="6">
        <f ca="1">$M$991*$Z$991</f>
        <v>321445.34136752004</v>
      </c>
      <c r="AG991" s="6">
        <f>$O$991*$AA$991</f>
        <v>539675.12498660956</v>
      </c>
    </row>
    <row r="992" spans="1:33" ht="11.25" customHeight="1" x14ac:dyDescent="0.25">
      <c r="A992" s="4" t="s">
        <v>30</v>
      </c>
      <c r="B992" s="4" t="s">
        <v>35</v>
      </c>
      <c r="C992" s="4" t="s">
        <v>36</v>
      </c>
      <c r="D992" s="4" t="s">
        <v>42</v>
      </c>
      <c r="E992" s="4" t="s">
        <v>25</v>
      </c>
      <c r="F992" s="4" t="s">
        <v>25</v>
      </c>
      <c r="G992" s="4" t="s">
        <v>25</v>
      </c>
      <c r="H992" s="4" t="s">
        <v>38</v>
      </c>
      <c r="I992" s="5">
        <v>44256</v>
      </c>
      <c r="J992" s="6">
        <v>0</v>
      </c>
      <c r="K992" s="6">
        <v>0</v>
      </c>
      <c r="L992" s="6">
        <v>499.84500000000003</v>
      </c>
      <c r="M992" s="6">
        <v>499.84500000000003</v>
      </c>
      <c r="N992" s="6">
        <v>499.84500000000003</v>
      </c>
      <c r="O992" s="6">
        <v>499.84500000000003</v>
      </c>
      <c r="P992" s="6">
        <v>0</v>
      </c>
      <c r="Q992" s="4" t="s">
        <v>26</v>
      </c>
      <c r="R992" s="4">
        <v>0</v>
      </c>
      <c r="S992" s="6">
        <v>0</v>
      </c>
      <c r="T992" s="6">
        <v>19</v>
      </c>
      <c r="U992" s="6">
        <v>67</v>
      </c>
      <c r="V992" s="6">
        <f>IF(ISERROR(VLOOKUP($S$992,'TAR FIN'!$A$1:$O$95,15,0)),0,VLOOKUP($S$992,'TAR FIN'!$A$1:$O$95,15,0))</f>
        <v>0</v>
      </c>
      <c r="W992" s="6">
        <f>IF(ISERROR(VLOOKUP($T$992,'TAR FIN'!$A$1:$O$95,15,0)),0,VLOOKUP($T$992,'TAR FIN'!$A$1:$O$95,15,0))</f>
        <v>149.63</v>
      </c>
      <c r="X992" s="6">
        <f>IF(ISERROR(VLOOKUP($U$992,'TAR FIN'!$A$1:$O$95,15,0)),0,VLOOKUP($U$992,'TAR FIN'!$A$1:$O$95,15,0))</f>
        <v>230.03</v>
      </c>
      <c r="Y992" s="6"/>
      <c r="Z992" s="6">
        <f ca="1">('TUSD BE'!$AM$17+'TUSD BF'!$AM$17+'TUSD CVA'!$AM$17)*1</f>
        <v>168.51338132937991</v>
      </c>
      <c r="AA992" s="6">
        <f>('TE BE'!$AA$8+'TE BF'!$AA$8+'TE CVA'!$AA$8)*1</f>
        <v>282.91739971702214</v>
      </c>
      <c r="AB992" s="6">
        <f>$K$992*$V$992</f>
        <v>0</v>
      </c>
      <c r="AC992" s="6">
        <f>$M$992*$W$992</f>
        <v>74791.807350000003</v>
      </c>
      <c r="AD992" s="6">
        <f>$O$992*$X$992</f>
        <v>114979.34535</v>
      </c>
      <c r="AE992" s="6">
        <f>$K$992*$Y$992</f>
        <v>0</v>
      </c>
      <c r="AF992" s="6">
        <f ca="1">$M$992*$Z$992</f>
        <v>84230.571090583908</v>
      </c>
      <c r="AG992" s="6">
        <f>$O$992*$AA$992</f>
        <v>141414.84766155493</v>
      </c>
    </row>
    <row r="993" spans="1:33" ht="11.25" customHeight="1" x14ac:dyDescent="0.25">
      <c r="A993" s="4" t="s">
        <v>21</v>
      </c>
      <c r="B993" s="4" t="s">
        <v>35</v>
      </c>
      <c r="C993" s="4" t="s">
        <v>36</v>
      </c>
      <c r="D993" s="4" t="s">
        <v>42</v>
      </c>
      <c r="E993" s="4" t="s">
        <v>25</v>
      </c>
      <c r="F993" s="4" t="s">
        <v>25</v>
      </c>
      <c r="G993" s="4" t="s">
        <v>25</v>
      </c>
      <c r="H993" s="4" t="s">
        <v>38</v>
      </c>
      <c r="I993" s="5">
        <v>44287</v>
      </c>
      <c r="J993" s="6">
        <v>0</v>
      </c>
      <c r="K993" s="6">
        <v>0</v>
      </c>
      <c r="L993" s="6">
        <v>20272.514999999999</v>
      </c>
      <c r="M993" s="6">
        <v>20272.514999999999</v>
      </c>
      <c r="N993" s="6">
        <v>20272.514999999999</v>
      </c>
      <c r="O993" s="6">
        <v>20272.514999999999</v>
      </c>
      <c r="P993" s="6">
        <v>0</v>
      </c>
      <c r="Q993" s="4" t="s">
        <v>26</v>
      </c>
      <c r="R993" s="4">
        <v>0</v>
      </c>
      <c r="S993" s="6">
        <v>0</v>
      </c>
      <c r="T993" s="6">
        <v>19</v>
      </c>
      <c r="U993" s="6">
        <v>67</v>
      </c>
      <c r="V993" s="6">
        <f>IF(ISERROR(VLOOKUP($S$993,'TAR FIN'!$A$1:$O$95,15,0)),0,VLOOKUP($S$993,'TAR FIN'!$A$1:$O$95,15,0))</f>
        <v>0</v>
      </c>
      <c r="W993" s="6">
        <f>IF(ISERROR(VLOOKUP($T$993,'TAR FIN'!$A$1:$O$95,15,0)),0,VLOOKUP($T$993,'TAR FIN'!$A$1:$O$95,15,0))</f>
        <v>149.63</v>
      </c>
      <c r="X993" s="6">
        <f>IF(ISERROR(VLOOKUP($U$993,'TAR FIN'!$A$1:$O$95,15,0)),0,VLOOKUP($U$993,'TAR FIN'!$A$1:$O$95,15,0))</f>
        <v>230.03</v>
      </c>
      <c r="Y993" s="6"/>
      <c r="Z993" s="6">
        <f ca="1">('TUSD BE'!$AM$17+'TUSD BF'!$AM$17+'TUSD CVA'!$AM$17)*1</f>
        <v>168.51338132937991</v>
      </c>
      <c r="AA993" s="6">
        <f>('TE BE'!$AA$8+'TE BF'!$AA$8+'TE CVA'!$AA$8)*1</f>
        <v>282.91739971702214</v>
      </c>
      <c r="AB993" s="6">
        <f>$K$993*$V$993</f>
        <v>0</v>
      </c>
      <c r="AC993" s="6">
        <f>$M$993*$W$993</f>
        <v>3033376.4194499999</v>
      </c>
      <c r="AD993" s="6">
        <f>$O$993*$X$993</f>
        <v>4663286.6254500002</v>
      </c>
      <c r="AE993" s="6">
        <f>$K$993*$Y$993</f>
        <v>0</v>
      </c>
      <c r="AF993" s="6">
        <f ca="1">$M$993*$Z$993</f>
        <v>3416190.0507005742</v>
      </c>
      <c r="AG993" s="6">
        <f>$O$993*$AA$993</f>
        <v>5735447.2295243265</v>
      </c>
    </row>
    <row r="994" spans="1:33" ht="11.25" customHeight="1" x14ac:dyDescent="0.25">
      <c r="A994" s="4" t="s">
        <v>27</v>
      </c>
      <c r="B994" s="4" t="s">
        <v>35</v>
      </c>
      <c r="C994" s="4" t="s">
        <v>36</v>
      </c>
      <c r="D994" s="4" t="s">
        <v>42</v>
      </c>
      <c r="E994" s="4" t="s">
        <v>25</v>
      </c>
      <c r="F994" s="4" t="s">
        <v>25</v>
      </c>
      <c r="G994" s="4" t="s">
        <v>25</v>
      </c>
      <c r="H994" s="4" t="s">
        <v>38</v>
      </c>
      <c r="I994" s="5">
        <v>44287</v>
      </c>
      <c r="J994" s="6">
        <v>0</v>
      </c>
      <c r="K994" s="6">
        <v>0</v>
      </c>
      <c r="L994" s="6">
        <v>-16.161999999999999</v>
      </c>
      <c r="M994" s="6">
        <v>-16.161999999999999</v>
      </c>
      <c r="N994" s="6">
        <v>-16.161999999999999</v>
      </c>
      <c r="O994" s="6">
        <v>-16.161999999999999</v>
      </c>
      <c r="P994" s="6">
        <v>0</v>
      </c>
      <c r="Q994" s="4" t="s">
        <v>26</v>
      </c>
      <c r="R994" s="4">
        <v>0</v>
      </c>
      <c r="S994" s="6">
        <v>0</v>
      </c>
      <c r="T994" s="6">
        <v>19</v>
      </c>
      <c r="U994" s="6">
        <v>67</v>
      </c>
      <c r="V994" s="6">
        <f>IF(ISERROR(VLOOKUP($S$994,'TAR FIN'!$A$1:$O$95,15,0)),0,VLOOKUP($S$994,'TAR FIN'!$A$1:$O$95,15,0))</f>
        <v>0</v>
      </c>
      <c r="W994" s="6">
        <f>IF(ISERROR(VLOOKUP($T$994,'TAR FIN'!$A$1:$O$95,15,0)),0,VLOOKUP($T$994,'TAR FIN'!$A$1:$O$95,15,0))</f>
        <v>149.63</v>
      </c>
      <c r="X994" s="6">
        <f>IF(ISERROR(VLOOKUP($U$994,'TAR FIN'!$A$1:$O$95,15,0)),0,VLOOKUP($U$994,'TAR FIN'!$A$1:$O$95,15,0))</f>
        <v>230.03</v>
      </c>
      <c r="Y994" s="6"/>
      <c r="Z994" s="6">
        <f ca="1">('TUSD BE'!$AM$17+'TUSD BF'!$AM$17+'TUSD CVA'!$AM$17)*1</f>
        <v>168.51338132937991</v>
      </c>
      <c r="AA994" s="6">
        <f>('TE BE'!$AA$8+'TE BF'!$AA$8+'TE CVA'!$AA$8)*1</f>
        <v>282.91739971702214</v>
      </c>
      <c r="AB994" s="6">
        <f>$K$994*$V$994</f>
        <v>0</v>
      </c>
      <c r="AC994" s="6">
        <f>$M$994*$W$994</f>
        <v>-2418.3200599999996</v>
      </c>
      <c r="AD994" s="6">
        <f>$O$994*$X$994</f>
        <v>-3717.7448599999998</v>
      </c>
      <c r="AE994" s="6">
        <f>$K$994*$Y$994</f>
        <v>0</v>
      </c>
      <c r="AF994" s="6">
        <f ca="1">$M$994*$Z$994</f>
        <v>-2723.5132690454379</v>
      </c>
      <c r="AG994" s="6">
        <f>$O$994*$AA$994</f>
        <v>-4572.5110142265112</v>
      </c>
    </row>
    <row r="995" spans="1:33" ht="11.25" customHeight="1" x14ac:dyDescent="0.25">
      <c r="A995" s="4" t="s">
        <v>28</v>
      </c>
      <c r="B995" s="4" t="s">
        <v>35</v>
      </c>
      <c r="C995" s="4" t="s">
        <v>36</v>
      </c>
      <c r="D995" s="4" t="s">
        <v>42</v>
      </c>
      <c r="E995" s="4" t="s">
        <v>25</v>
      </c>
      <c r="F995" s="4" t="s">
        <v>25</v>
      </c>
      <c r="G995" s="4" t="s">
        <v>25</v>
      </c>
      <c r="H995" s="4" t="s">
        <v>38</v>
      </c>
      <c r="I995" s="5">
        <v>44287</v>
      </c>
      <c r="J995" s="6">
        <v>0</v>
      </c>
      <c r="K995" s="6">
        <v>0</v>
      </c>
      <c r="L995" s="6">
        <v>2100.3609999999999</v>
      </c>
      <c r="M995" s="6">
        <v>2100.3609999999999</v>
      </c>
      <c r="N995" s="6">
        <v>2100.3609999999999</v>
      </c>
      <c r="O995" s="6">
        <v>2100.3609999999999</v>
      </c>
      <c r="P995" s="6">
        <v>0</v>
      </c>
      <c r="Q995" s="4" t="s">
        <v>26</v>
      </c>
      <c r="R995" s="4">
        <v>0</v>
      </c>
      <c r="S995" s="6">
        <v>0</v>
      </c>
      <c r="T995" s="6">
        <v>19</v>
      </c>
      <c r="U995" s="6">
        <v>67</v>
      </c>
      <c r="V995" s="6">
        <f>IF(ISERROR(VLOOKUP($S$995,'TAR FIN'!$A$1:$O$95,15,0)),0,VLOOKUP($S$995,'TAR FIN'!$A$1:$O$95,15,0))</f>
        <v>0</v>
      </c>
      <c r="W995" s="6">
        <f>IF(ISERROR(VLOOKUP($T$995,'TAR FIN'!$A$1:$O$95,15,0)),0,VLOOKUP($T$995,'TAR FIN'!$A$1:$O$95,15,0))</f>
        <v>149.63</v>
      </c>
      <c r="X995" s="6">
        <f>IF(ISERROR(VLOOKUP($U$995,'TAR FIN'!$A$1:$O$95,15,0)),0,VLOOKUP($U$995,'TAR FIN'!$A$1:$O$95,15,0))</f>
        <v>230.03</v>
      </c>
      <c r="Y995" s="6"/>
      <c r="Z995" s="6">
        <f ca="1">('TUSD BE'!$AM$17+'TUSD BF'!$AM$17+'TUSD CVA'!$AM$17)*1</f>
        <v>168.51338132937991</v>
      </c>
      <c r="AA995" s="6">
        <f>('TE BE'!$AA$8+'TE BF'!$AA$8+'TE CVA'!$AA$8)*1</f>
        <v>282.91739971702214</v>
      </c>
      <c r="AB995" s="6">
        <f>$K$995*$V$995</f>
        <v>0</v>
      </c>
      <c r="AC995" s="6">
        <f>$M$995*$W$995</f>
        <v>314277.01642999996</v>
      </c>
      <c r="AD995" s="6">
        <f>$O$995*$X$995</f>
        <v>483146.04082999995</v>
      </c>
      <c r="AE995" s="6">
        <f>$K$995*$Y$995</f>
        <v>0</v>
      </c>
      <c r="AF995" s="6">
        <f ca="1">$M$995*$Z$995</f>
        <v>353938.93412235769</v>
      </c>
      <c r="AG995" s="6">
        <f>$O$995*$AA$995</f>
        <v>594228.6725870443</v>
      </c>
    </row>
    <row r="996" spans="1:33" ht="11.25" customHeight="1" x14ac:dyDescent="0.25">
      <c r="A996" s="4" t="s">
        <v>29</v>
      </c>
      <c r="B996" s="4" t="s">
        <v>35</v>
      </c>
      <c r="C996" s="4" t="s">
        <v>36</v>
      </c>
      <c r="D996" s="4" t="s">
        <v>42</v>
      </c>
      <c r="E996" s="4" t="s">
        <v>25</v>
      </c>
      <c r="F996" s="4" t="s">
        <v>25</v>
      </c>
      <c r="G996" s="4" t="s">
        <v>25</v>
      </c>
      <c r="H996" s="4" t="s">
        <v>38</v>
      </c>
      <c r="I996" s="5">
        <v>44287</v>
      </c>
      <c r="J996" s="6">
        <v>0</v>
      </c>
      <c r="K996" s="6">
        <v>0</v>
      </c>
      <c r="L996" s="6">
        <v>-217.69800000000001</v>
      </c>
      <c r="M996" s="6">
        <v>-217.69800000000001</v>
      </c>
      <c r="N996" s="6">
        <v>-217.69800000000001</v>
      </c>
      <c r="O996" s="6">
        <v>-217.69800000000001</v>
      </c>
      <c r="P996" s="6">
        <v>0</v>
      </c>
      <c r="Q996" s="4" t="s">
        <v>26</v>
      </c>
      <c r="R996" s="4">
        <v>0</v>
      </c>
      <c r="S996" s="6">
        <v>0</v>
      </c>
      <c r="T996" s="6">
        <v>19</v>
      </c>
      <c r="U996" s="6">
        <v>67</v>
      </c>
      <c r="V996" s="6">
        <f>IF(ISERROR(VLOOKUP($S$996,'TAR FIN'!$A$1:$O$95,15,0)),0,VLOOKUP($S$996,'TAR FIN'!$A$1:$O$95,15,0))</f>
        <v>0</v>
      </c>
      <c r="W996" s="6">
        <f>IF(ISERROR(VLOOKUP($T$996,'TAR FIN'!$A$1:$O$95,15,0)),0,VLOOKUP($T$996,'TAR FIN'!$A$1:$O$95,15,0))</f>
        <v>149.63</v>
      </c>
      <c r="X996" s="6">
        <f>IF(ISERROR(VLOOKUP($U$996,'TAR FIN'!$A$1:$O$95,15,0)),0,VLOOKUP($U$996,'TAR FIN'!$A$1:$O$95,15,0))</f>
        <v>230.03</v>
      </c>
      <c r="Y996" s="6"/>
      <c r="Z996" s="6">
        <f ca="1">('TUSD BE'!$AM$17+'TUSD BF'!$AM$17+'TUSD CVA'!$AM$17)*1</f>
        <v>168.51338132937991</v>
      </c>
      <c r="AA996" s="6">
        <f>('TE BE'!$AA$8+'TE BF'!$AA$8+'TE CVA'!$AA$8)*1</f>
        <v>282.91739971702214</v>
      </c>
      <c r="AB996" s="6">
        <f>$K$996*$V$996</f>
        <v>0</v>
      </c>
      <c r="AC996" s="6">
        <f>$M$996*$W$996</f>
        <v>-32574.151740000001</v>
      </c>
      <c r="AD996" s="6">
        <f>$O$996*$X$996</f>
        <v>-50077.070940000005</v>
      </c>
      <c r="AE996" s="6">
        <f>$K$996*$Y$996</f>
        <v>0</v>
      </c>
      <c r="AF996" s="6">
        <f ca="1">$M$996*$Z$996</f>
        <v>-36685.026088643346</v>
      </c>
      <c r="AG996" s="6">
        <f>$O$996*$AA$996</f>
        <v>-61590.552083596289</v>
      </c>
    </row>
    <row r="997" spans="1:33" ht="11.25" customHeight="1" x14ac:dyDescent="0.25">
      <c r="A997" s="4" t="s">
        <v>30</v>
      </c>
      <c r="B997" s="4" t="s">
        <v>35</v>
      </c>
      <c r="C997" s="4" t="s">
        <v>36</v>
      </c>
      <c r="D997" s="4" t="s">
        <v>42</v>
      </c>
      <c r="E997" s="4" t="s">
        <v>25</v>
      </c>
      <c r="F997" s="4" t="s">
        <v>25</v>
      </c>
      <c r="G997" s="4" t="s">
        <v>25</v>
      </c>
      <c r="H997" s="4" t="s">
        <v>38</v>
      </c>
      <c r="I997" s="5">
        <v>44287</v>
      </c>
      <c r="J997" s="6">
        <v>0</v>
      </c>
      <c r="K997" s="6">
        <v>0</v>
      </c>
      <c r="L997" s="6">
        <v>648.23699999999997</v>
      </c>
      <c r="M997" s="6">
        <v>648.23699999999997</v>
      </c>
      <c r="N997" s="6">
        <v>648.23699999999997</v>
      </c>
      <c r="O997" s="6">
        <v>648.23699999999997</v>
      </c>
      <c r="P997" s="6">
        <v>0</v>
      </c>
      <c r="Q997" s="4" t="s">
        <v>26</v>
      </c>
      <c r="R997" s="4">
        <v>0</v>
      </c>
      <c r="S997" s="6">
        <v>0</v>
      </c>
      <c r="T997" s="6">
        <v>19</v>
      </c>
      <c r="U997" s="6">
        <v>67</v>
      </c>
      <c r="V997" s="6">
        <f>IF(ISERROR(VLOOKUP($S$997,'TAR FIN'!$A$1:$O$95,15,0)),0,VLOOKUP($S$997,'TAR FIN'!$A$1:$O$95,15,0))</f>
        <v>0</v>
      </c>
      <c r="W997" s="6">
        <f>IF(ISERROR(VLOOKUP($T$997,'TAR FIN'!$A$1:$O$95,15,0)),0,VLOOKUP($T$997,'TAR FIN'!$A$1:$O$95,15,0))</f>
        <v>149.63</v>
      </c>
      <c r="X997" s="6">
        <f>IF(ISERROR(VLOOKUP($U$997,'TAR FIN'!$A$1:$O$95,15,0)),0,VLOOKUP($U$997,'TAR FIN'!$A$1:$O$95,15,0))</f>
        <v>230.03</v>
      </c>
      <c r="Y997" s="6"/>
      <c r="Z997" s="6">
        <f ca="1">('TUSD BE'!$AM$17+'TUSD BF'!$AM$17+'TUSD CVA'!$AM$17)*1</f>
        <v>168.51338132937991</v>
      </c>
      <c r="AA997" s="6">
        <f>('TE BE'!$AA$8+'TE BF'!$AA$8+'TE CVA'!$AA$8)*1</f>
        <v>282.91739971702214</v>
      </c>
      <c r="AB997" s="6">
        <f>$K$997*$V$997</f>
        <v>0</v>
      </c>
      <c r="AC997" s="6">
        <f>$M$997*$W$997</f>
        <v>96995.702309999993</v>
      </c>
      <c r="AD997" s="6">
        <f>$O$997*$X$997</f>
        <v>149113.95710999999</v>
      </c>
      <c r="AE997" s="6">
        <f>$K$997*$Y$997</f>
        <v>0</v>
      </c>
      <c r="AF997" s="6">
        <f ca="1">$M$997*$Z$997</f>
        <v>109236.60877281324</v>
      </c>
      <c r="AG997" s="6">
        <f>$O$997*$AA$997</f>
        <v>183397.52644036326</v>
      </c>
    </row>
    <row r="998" spans="1:33" ht="11.25" customHeight="1" x14ac:dyDescent="0.25">
      <c r="A998" s="4" t="s">
        <v>21</v>
      </c>
      <c r="B998" s="4" t="s">
        <v>35</v>
      </c>
      <c r="C998" s="4" t="s">
        <v>36</v>
      </c>
      <c r="D998" s="4" t="s">
        <v>42</v>
      </c>
      <c r="E998" s="4" t="s">
        <v>25</v>
      </c>
      <c r="F998" s="4" t="s">
        <v>25</v>
      </c>
      <c r="G998" s="4" t="s">
        <v>25</v>
      </c>
      <c r="H998" s="4" t="s">
        <v>38</v>
      </c>
      <c r="I998" s="5">
        <v>44317</v>
      </c>
      <c r="J998" s="6">
        <v>0</v>
      </c>
      <c r="K998" s="6">
        <v>0</v>
      </c>
      <c r="L998" s="6">
        <v>20632.148000000001</v>
      </c>
      <c r="M998" s="6">
        <v>20632.148000000001</v>
      </c>
      <c r="N998" s="6">
        <v>20632.148000000001</v>
      </c>
      <c r="O998" s="6">
        <v>20632.148000000001</v>
      </c>
      <c r="P998" s="6">
        <v>0</v>
      </c>
      <c r="Q998" s="4" t="s">
        <v>26</v>
      </c>
      <c r="R998" s="4">
        <v>0</v>
      </c>
      <c r="S998" s="6">
        <v>0</v>
      </c>
      <c r="T998" s="6">
        <v>19</v>
      </c>
      <c r="U998" s="6">
        <v>67</v>
      </c>
      <c r="V998" s="6">
        <f>IF(ISERROR(VLOOKUP($S$998,'TAR FIN'!$A$1:$O$95,15,0)),0,VLOOKUP($S$998,'TAR FIN'!$A$1:$O$95,15,0))</f>
        <v>0</v>
      </c>
      <c r="W998" s="6">
        <f>IF(ISERROR(VLOOKUP($T$998,'TAR FIN'!$A$1:$O$95,15,0)),0,VLOOKUP($T$998,'TAR FIN'!$A$1:$O$95,15,0))</f>
        <v>149.63</v>
      </c>
      <c r="X998" s="6">
        <f>IF(ISERROR(VLOOKUP($U$998,'TAR FIN'!$A$1:$O$95,15,0)),0,VLOOKUP($U$998,'TAR FIN'!$A$1:$O$95,15,0))</f>
        <v>230.03</v>
      </c>
      <c r="Y998" s="6"/>
      <c r="Z998" s="6">
        <f ca="1">('TUSD BE'!$AM$17+'TUSD BF'!$AM$17+'TUSD CVA'!$AM$17)*1</f>
        <v>168.51338132937991</v>
      </c>
      <c r="AA998" s="6">
        <f>('TE BE'!$AA$8+'TE BF'!$AA$8+'TE CVA'!$AA$8)*1</f>
        <v>282.91739971702214</v>
      </c>
      <c r="AB998" s="6">
        <f>$K$998*$V$998</f>
        <v>0</v>
      </c>
      <c r="AC998" s="6">
        <f>$M$998*$W$998</f>
        <v>3087188.3052400001</v>
      </c>
      <c r="AD998" s="6">
        <f>$O$998*$X$998</f>
        <v>4746013.0044400003</v>
      </c>
      <c r="AE998" s="6">
        <f>$K$998*$Y$998</f>
        <v>0</v>
      </c>
      <c r="AF998" s="6">
        <f ca="1">$M$998*$Z$998</f>
        <v>3476793.0235682032</v>
      </c>
      <c r="AG998" s="6">
        <f>$O$998*$AA$998</f>
        <v>5837193.6627367595</v>
      </c>
    </row>
    <row r="999" spans="1:33" ht="11.25" customHeight="1" x14ac:dyDescent="0.25">
      <c r="A999" s="4" t="s">
        <v>27</v>
      </c>
      <c r="B999" s="4" t="s">
        <v>35</v>
      </c>
      <c r="C999" s="4" t="s">
        <v>36</v>
      </c>
      <c r="D999" s="4" t="s">
        <v>42</v>
      </c>
      <c r="E999" s="4" t="s">
        <v>25</v>
      </c>
      <c r="F999" s="4" t="s">
        <v>25</v>
      </c>
      <c r="G999" s="4" t="s">
        <v>25</v>
      </c>
      <c r="H999" s="4" t="s">
        <v>38</v>
      </c>
      <c r="I999" s="5">
        <v>44317</v>
      </c>
      <c r="J999" s="6">
        <v>0</v>
      </c>
      <c r="K999" s="6">
        <v>0</v>
      </c>
      <c r="L999" s="6">
        <v>-747.39</v>
      </c>
      <c r="M999" s="6">
        <v>-747.39</v>
      </c>
      <c r="N999" s="6">
        <v>-747.39</v>
      </c>
      <c r="O999" s="6">
        <v>-747.39</v>
      </c>
      <c r="P999" s="6">
        <v>0</v>
      </c>
      <c r="Q999" s="4" t="s">
        <v>26</v>
      </c>
      <c r="R999" s="4">
        <v>0</v>
      </c>
      <c r="S999" s="6">
        <v>0</v>
      </c>
      <c r="T999" s="6">
        <v>19</v>
      </c>
      <c r="U999" s="6">
        <v>67</v>
      </c>
      <c r="V999" s="6">
        <f>IF(ISERROR(VLOOKUP($S$999,'TAR FIN'!$A$1:$O$95,15,0)),0,VLOOKUP($S$999,'TAR FIN'!$A$1:$O$95,15,0))</f>
        <v>0</v>
      </c>
      <c r="W999" s="6">
        <f>IF(ISERROR(VLOOKUP($T$999,'TAR FIN'!$A$1:$O$95,15,0)),0,VLOOKUP($T$999,'TAR FIN'!$A$1:$O$95,15,0))</f>
        <v>149.63</v>
      </c>
      <c r="X999" s="6">
        <f>IF(ISERROR(VLOOKUP($U$999,'TAR FIN'!$A$1:$O$95,15,0)),0,VLOOKUP($U$999,'TAR FIN'!$A$1:$O$95,15,0))</f>
        <v>230.03</v>
      </c>
      <c r="Y999" s="6"/>
      <c r="Z999" s="6">
        <f ca="1">('TUSD BE'!$AM$17+'TUSD BF'!$AM$17+'TUSD CVA'!$AM$17)*1</f>
        <v>168.51338132937991</v>
      </c>
      <c r="AA999" s="6">
        <f>('TE BE'!$AA$8+'TE BF'!$AA$8+'TE CVA'!$AA$8)*1</f>
        <v>282.91739971702214</v>
      </c>
      <c r="AB999" s="6">
        <f>$K$999*$V$999</f>
        <v>0</v>
      </c>
      <c r="AC999" s="6">
        <f>$M$999*$W$999</f>
        <v>-111831.9657</v>
      </c>
      <c r="AD999" s="6">
        <f>$O$999*$X$999</f>
        <v>-171922.12169999999</v>
      </c>
      <c r="AE999" s="6">
        <f>$K$999*$Y$999</f>
        <v>0</v>
      </c>
      <c r="AF999" s="6">
        <f ca="1">$M$999*$Z$999</f>
        <v>-125945.21607176524</v>
      </c>
      <c r="AG999" s="6">
        <f>$O$999*$AA$999</f>
        <v>-211449.63537450516</v>
      </c>
    </row>
    <row r="1000" spans="1:33" ht="11.25" customHeight="1" x14ac:dyDescent="0.25">
      <c r="A1000" s="4" t="s">
        <v>28</v>
      </c>
      <c r="B1000" s="4" t="s">
        <v>35</v>
      </c>
      <c r="C1000" s="4" t="s">
        <v>36</v>
      </c>
      <c r="D1000" s="4" t="s">
        <v>42</v>
      </c>
      <c r="E1000" s="4" t="s">
        <v>25</v>
      </c>
      <c r="F1000" s="4" t="s">
        <v>25</v>
      </c>
      <c r="G1000" s="4" t="s">
        <v>25</v>
      </c>
      <c r="H1000" s="4" t="s">
        <v>38</v>
      </c>
      <c r="I1000" s="5">
        <v>44317</v>
      </c>
      <c r="J1000" s="6">
        <v>0</v>
      </c>
      <c r="K1000" s="6">
        <v>0</v>
      </c>
      <c r="L1000" s="6">
        <v>2120.6309999999999</v>
      </c>
      <c r="M1000" s="6">
        <v>2120.6309999999999</v>
      </c>
      <c r="N1000" s="6">
        <v>2120.6309999999999</v>
      </c>
      <c r="O1000" s="6">
        <v>2120.6309999999999</v>
      </c>
      <c r="P1000" s="6">
        <v>0</v>
      </c>
      <c r="Q1000" s="4" t="s">
        <v>26</v>
      </c>
      <c r="R1000" s="4">
        <v>0</v>
      </c>
      <c r="S1000" s="6">
        <v>0</v>
      </c>
      <c r="T1000" s="6">
        <v>19</v>
      </c>
      <c r="U1000" s="6">
        <v>67</v>
      </c>
      <c r="V1000" s="6">
        <f>IF(ISERROR(VLOOKUP($S$1000,'TAR FIN'!$A$1:$O$95,15,0)),0,VLOOKUP($S$1000,'TAR FIN'!$A$1:$O$95,15,0))</f>
        <v>0</v>
      </c>
      <c r="W1000" s="6">
        <f>IF(ISERROR(VLOOKUP($T$1000,'TAR FIN'!$A$1:$O$95,15,0)),0,VLOOKUP($T$1000,'TAR FIN'!$A$1:$O$95,15,0))</f>
        <v>149.63</v>
      </c>
      <c r="X1000" s="6">
        <f>IF(ISERROR(VLOOKUP($U$1000,'TAR FIN'!$A$1:$O$95,15,0)),0,VLOOKUP($U$1000,'TAR FIN'!$A$1:$O$95,15,0))</f>
        <v>230.03</v>
      </c>
      <c r="Y1000" s="6"/>
      <c r="Z1000" s="6">
        <f ca="1">('TUSD BE'!$AM$17+'TUSD BF'!$AM$17+'TUSD CVA'!$AM$17)*1</f>
        <v>168.51338132937991</v>
      </c>
      <c r="AA1000" s="6">
        <f>('TE BE'!$AA$8+'TE BF'!$AA$8+'TE CVA'!$AA$8)*1</f>
        <v>282.91739971702214</v>
      </c>
      <c r="AB1000" s="6">
        <f>$K$1000*$V$1000</f>
        <v>0</v>
      </c>
      <c r="AC1000" s="6">
        <f>$M$1000*$W$1000</f>
        <v>317310.01652999996</v>
      </c>
      <c r="AD1000" s="6">
        <f>$O$1000*$X$1000</f>
        <v>487808.74892999994</v>
      </c>
      <c r="AE1000" s="6">
        <f>$K$1000*$Y$1000</f>
        <v>0</v>
      </c>
      <c r="AF1000" s="6">
        <f ca="1">$M$1000*$Z$1000</f>
        <v>357354.70036190422</v>
      </c>
      <c r="AG1000" s="6">
        <f>$O$1000*$AA$1000</f>
        <v>599963.40827930835</v>
      </c>
    </row>
    <row r="1001" spans="1:33" ht="11.25" customHeight="1" x14ac:dyDescent="0.25">
      <c r="A1001" s="4" t="s">
        <v>29</v>
      </c>
      <c r="B1001" s="4" t="s">
        <v>35</v>
      </c>
      <c r="C1001" s="4" t="s">
        <v>36</v>
      </c>
      <c r="D1001" s="4" t="s">
        <v>42</v>
      </c>
      <c r="E1001" s="4" t="s">
        <v>25</v>
      </c>
      <c r="F1001" s="4" t="s">
        <v>25</v>
      </c>
      <c r="G1001" s="4" t="s">
        <v>25</v>
      </c>
      <c r="H1001" s="4" t="s">
        <v>38</v>
      </c>
      <c r="I1001" s="5">
        <v>44317</v>
      </c>
      <c r="J1001" s="6">
        <v>0</v>
      </c>
      <c r="K1001" s="6">
        <v>0</v>
      </c>
      <c r="L1001" s="6">
        <v>-201.69900000000001</v>
      </c>
      <c r="M1001" s="6">
        <v>-201.69900000000001</v>
      </c>
      <c r="N1001" s="6">
        <v>-201.69900000000001</v>
      </c>
      <c r="O1001" s="6">
        <v>-201.69900000000001</v>
      </c>
      <c r="P1001" s="6">
        <v>0</v>
      </c>
      <c r="Q1001" s="4" t="s">
        <v>26</v>
      </c>
      <c r="R1001" s="4">
        <v>0</v>
      </c>
      <c r="S1001" s="6">
        <v>0</v>
      </c>
      <c r="T1001" s="6">
        <v>19</v>
      </c>
      <c r="U1001" s="6">
        <v>67</v>
      </c>
      <c r="V1001" s="6">
        <f>IF(ISERROR(VLOOKUP($S$1001,'TAR FIN'!$A$1:$O$95,15,0)),0,VLOOKUP($S$1001,'TAR FIN'!$A$1:$O$95,15,0))</f>
        <v>0</v>
      </c>
      <c r="W1001" s="6">
        <f>IF(ISERROR(VLOOKUP($T$1001,'TAR FIN'!$A$1:$O$95,15,0)),0,VLOOKUP($T$1001,'TAR FIN'!$A$1:$O$95,15,0))</f>
        <v>149.63</v>
      </c>
      <c r="X1001" s="6">
        <f>IF(ISERROR(VLOOKUP($U$1001,'TAR FIN'!$A$1:$O$95,15,0)),0,VLOOKUP($U$1001,'TAR FIN'!$A$1:$O$95,15,0))</f>
        <v>230.03</v>
      </c>
      <c r="Y1001" s="6"/>
      <c r="Z1001" s="6">
        <f ca="1">('TUSD BE'!$AM$17+'TUSD BF'!$AM$17+'TUSD CVA'!$AM$17)*1</f>
        <v>168.51338132937991</v>
      </c>
      <c r="AA1001" s="6">
        <f>('TE BE'!$AA$8+'TE BF'!$AA$8+'TE CVA'!$AA$8)*1</f>
        <v>282.91739971702214</v>
      </c>
      <c r="AB1001" s="6">
        <f>$K$1001*$V$1001</f>
        <v>0</v>
      </c>
      <c r="AC1001" s="6">
        <f>$M$1001*$W$1001</f>
        <v>-30180.221369999999</v>
      </c>
      <c r="AD1001" s="6">
        <f>$O$1001*$X$1001</f>
        <v>-46396.820970000001</v>
      </c>
      <c r="AE1001" s="6">
        <f>$K$1001*$Y$1001</f>
        <v>0</v>
      </c>
      <c r="AF1001" s="6">
        <f ca="1">$M$1001*$Z$1001</f>
        <v>-33988.980500754602</v>
      </c>
      <c r="AG1001" s="6">
        <f>$O$1001*$AA$1001</f>
        <v>-57064.156605523654</v>
      </c>
    </row>
    <row r="1002" spans="1:33" ht="11.25" customHeight="1" x14ac:dyDescent="0.25">
      <c r="A1002" s="4" t="s">
        <v>30</v>
      </c>
      <c r="B1002" s="4" t="s">
        <v>35</v>
      </c>
      <c r="C1002" s="4" t="s">
        <v>36</v>
      </c>
      <c r="D1002" s="4" t="s">
        <v>42</v>
      </c>
      <c r="E1002" s="4" t="s">
        <v>25</v>
      </c>
      <c r="F1002" s="4" t="s">
        <v>25</v>
      </c>
      <c r="G1002" s="4" t="s">
        <v>25</v>
      </c>
      <c r="H1002" s="4" t="s">
        <v>38</v>
      </c>
      <c r="I1002" s="5">
        <v>44317</v>
      </c>
      <c r="J1002" s="6">
        <v>0</v>
      </c>
      <c r="K1002" s="6">
        <v>0</v>
      </c>
      <c r="L1002" s="6">
        <v>668.11699999999996</v>
      </c>
      <c r="M1002" s="6">
        <v>668.11699999999996</v>
      </c>
      <c r="N1002" s="6">
        <v>668.11699999999996</v>
      </c>
      <c r="O1002" s="6">
        <v>668.11699999999996</v>
      </c>
      <c r="P1002" s="6">
        <v>0</v>
      </c>
      <c r="Q1002" s="4" t="s">
        <v>26</v>
      </c>
      <c r="R1002" s="4">
        <v>0</v>
      </c>
      <c r="S1002" s="6">
        <v>0</v>
      </c>
      <c r="T1002" s="6">
        <v>19</v>
      </c>
      <c r="U1002" s="6">
        <v>67</v>
      </c>
      <c r="V1002" s="6">
        <f>IF(ISERROR(VLOOKUP($S$1002,'TAR FIN'!$A$1:$O$95,15,0)),0,VLOOKUP($S$1002,'TAR FIN'!$A$1:$O$95,15,0))</f>
        <v>0</v>
      </c>
      <c r="W1002" s="6">
        <f>IF(ISERROR(VLOOKUP($T$1002,'TAR FIN'!$A$1:$O$95,15,0)),0,VLOOKUP($T$1002,'TAR FIN'!$A$1:$O$95,15,0))</f>
        <v>149.63</v>
      </c>
      <c r="X1002" s="6">
        <f>IF(ISERROR(VLOOKUP($U$1002,'TAR FIN'!$A$1:$O$95,15,0)),0,VLOOKUP($U$1002,'TAR FIN'!$A$1:$O$95,15,0))</f>
        <v>230.03</v>
      </c>
      <c r="Y1002" s="6"/>
      <c r="Z1002" s="6">
        <f ca="1">('TUSD BE'!$AM$17+'TUSD BF'!$AM$17+'TUSD CVA'!$AM$17)*1</f>
        <v>168.51338132937991</v>
      </c>
      <c r="AA1002" s="6">
        <f>('TE BE'!$AA$8+'TE BF'!$AA$8+'TE CVA'!$AA$8)*1</f>
        <v>282.91739971702214</v>
      </c>
      <c r="AB1002" s="6">
        <f>$K$1002*$V$1002</f>
        <v>0</v>
      </c>
      <c r="AC1002" s="6">
        <f>$M$1002*$W$1002</f>
        <v>99970.346709999998</v>
      </c>
      <c r="AD1002" s="6">
        <f>$O$1002*$X$1002</f>
        <v>153686.95350999999</v>
      </c>
      <c r="AE1002" s="6">
        <f>$K$1002*$Y$1002</f>
        <v>0</v>
      </c>
      <c r="AF1002" s="6">
        <f ca="1">$M$1002*$Z$1002</f>
        <v>112586.65479364131</v>
      </c>
      <c r="AG1002" s="6">
        <f>$O$1002*$AA$1002</f>
        <v>189021.92434673768</v>
      </c>
    </row>
    <row r="1003" spans="1:33" ht="11.25" customHeight="1" x14ac:dyDescent="0.25">
      <c r="A1003" s="4" t="s">
        <v>21</v>
      </c>
      <c r="B1003" s="4" t="s">
        <v>35</v>
      </c>
      <c r="C1003" s="4" t="s">
        <v>36</v>
      </c>
      <c r="D1003" s="4" t="s">
        <v>42</v>
      </c>
      <c r="E1003" s="4" t="s">
        <v>25</v>
      </c>
      <c r="F1003" s="4" t="s">
        <v>25</v>
      </c>
      <c r="G1003" s="4" t="s">
        <v>25</v>
      </c>
      <c r="H1003" s="4" t="s">
        <v>38</v>
      </c>
      <c r="I1003" s="5">
        <v>44317</v>
      </c>
      <c r="J1003" s="6">
        <v>0</v>
      </c>
      <c r="K1003" s="6">
        <v>0</v>
      </c>
      <c r="L1003" s="6">
        <v>47.298999999999999</v>
      </c>
      <c r="M1003" s="6">
        <v>47.298999999999999</v>
      </c>
      <c r="N1003" s="6">
        <v>0</v>
      </c>
      <c r="O1003" s="6">
        <v>0</v>
      </c>
      <c r="P1003" s="6">
        <v>0</v>
      </c>
      <c r="Q1003" s="4" t="s">
        <v>60</v>
      </c>
      <c r="R1003" s="4">
        <v>0</v>
      </c>
      <c r="S1003" s="6">
        <v>0</v>
      </c>
      <c r="T1003" s="6">
        <v>19</v>
      </c>
      <c r="U1003" s="6">
        <v>0</v>
      </c>
      <c r="V1003" s="6">
        <f>IF(ISERROR(VLOOKUP($S$1003,'TAR FIN'!$A$1:$O$95,15,0)),0,VLOOKUP($S$1003,'TAR FIN'!$A$1:$O$95,15,0))</f>
        <v>0</v>
      </c>
      <c r="W1003" s="6">
        <f>IF(ISERROR(VLOOKUP($T$1003,'TAR FIN'!$A$1:$O$95,15,0)),0,VLOOKUP($T$1003,'TAR FIN'!$A$1:$O$95,15,0))</f>
        <v>149.63</v>
      </c>
      <c r="X1003" s="6">
        <f>IF(ISERROR(VLOOKUP($U$1003,'TAR FIN'!$A$1:$O$95,15,0)),0,VLOOKUP($U$1003,'TAR FIN'!$A$1:$O$95,15,0))</f>
        <v>0</v>
      </c>
      <c r="Y1003" s="6"/>
      <c r="Z1003" s="6">
        <f ca="1">('TUSD BE'!$AM$17+'TUSD BF'!$AM$17+'TUSD CVA'!$AM$17)*1</f>
        <v>168.51338132937991</v>
      </c>
      <c r="AA1003" s="6"/>
      <c r="AB1003" s="6">
        <f>$K$1003*$V$1003</f>
        <v>0</v>
      </c>
      <c r="AC1003" s="6">
        <f>$M$1003*$W$1003</f>
        <v>7077.3493699999999</v>
      </c>
      <c r="AD1003" s="6">
        <f>$O$1003*$X$1003</f>
        <v>0</v>
      </c>
      <c r="AE1003" s="6">
        <f>$K$1003*$Y$1003</f>
        <v>0</v>
      </c>
      <c r="AF1003" s="6">
        <f ca="1">$M$1003*$Z$1003</f>
        <v>7970.51442349834</v>
      </c>
      <c r="AG1003" s="6">
        <f>$O$1003*$AA$1003</f>
        <v>0</v>
      </c>
    </row>
    <row r="1004" spans="1:33" ht="11.25" customHeight="1" x14ac:dyDescent="0.25">
      <c r="A1004" s="4" t="s">
        <v>21</v>
      </c>
      <c r="B1004" s="4" t="s">
        <v>35</v>
      </c>
      <c r="C1004" s="4" t="s">
        <v>36</v>
      </c>
      <c r="D1004" s="4" t="s">
        <v>42</v>
      </c>
      <c r="E1004" s="4" t="s">
        <v>25</v>
      </c>
      <c r="F1004" s="4" t="s">
        <v>25</v>
      </c>
      <c r="G1004" s="4" t="s">
        <v>25</v>
      </c>
      <c r="H1004" s="4" t="s">
        <v>38</v>
      </c>
      <c r="I1004" s="5">
        <v>44348</v>
      </c>
      <c r="J1004" s="6">
        <v>0</v>
      </c>
      <c r="K1004" s="6">
        <v>0</v>
      </c>
      <c r="L1004" s="6">
        <v>20769.954000000002</v>
      </c>
      <c r="M1004" s="6">
        <v>20769.954000000002</v>
      </c>
      <c r="N1004" s="6">
        <v>20769.954000000002</v>
      </c>
      <c r="O1004" s="6">
        <v>20769.954000000002</v>
      </c>
      <c r="P1004" s="6">
        <v>0</v>
      </c>
      <c r="Q1004" s="4" t="s">
        <v>26</v>
      </c>
      <c r="R1004" s="4">
        <v>0</v>
      </c>
      <c r="S1004" s="6">
        <v>0</v>
      </c>
      <c r="T1004" s="6">
        <v>19</v>
      </c>
      <c r="U1004" s="6">
        <v>67</v>
      </c>
      <c r="V1004" s="6">
        <f>IF(ISERROR(VLOOKUP($S$1004,'TAR FIN'!$A$1:$O$95,15,0)),0,VLOOKUP($S$1004,'TAR FIN'!$A$1:$O$95,15,0))</f>
        <v>0</v>
      </c>
      <c r="W1004" s="6">
        <f>IF(ISERROR(VLOOKUP($T$1004,'TAR FIN'!$A$1:$O$95,15,0)),0,VLOOKUP($T$1004,'TAR FIN'!$A$1:$O$95,15,0))</f>
        <v>149.63</v>
      </c>
      <c r="X1004" s="6">
        <f>IF(ISERROR(VLOOKUP($U$1004,'TAR FIN'!$A$1:$O$95,15,0)),0,VLOOKUP($U$1004,'TAR FIN'!$A$1:$O$95,15,0))</f>
        <v>230.03</v>
      </c>
      <c r="Y1004" s="6"/>
      <c r="Z1004" s="6">
        <f ca="1">('TUSD BE'!$AM$17+'TUSD BF'!$AM$17+'TUSD CVA'!$AM$17)*1</f>
        <v>168.51338132937991</v>
      </c>
      <c r="AA1004" s="6">
        <f>('TE BE'!$AA$8+'TE BF'!$AA$8+'TE CVA'!$AA$8)*1</f>
        <v>282.91739971702214</v>
      </c>
      <c r="AB1004" s="6">
        <f>$K$1004*$V$1004</f>
        <v>0</v>
      </c>
      <c r="AC1004" s="6">
        <f>$M$1004*$W$1004</f>
        <v>3107808.2170200003</v>
      </c>
      <c r="AD1004" s="6">
        <f>$O$1004*$X$1004</f>
        <v>4777712.5186200002</v>
      </c>
      <c r="AE1004" s="6">
        <f>$K$1004*$Y$1004</f>
        <v>0</v>
      </c>
      <c r="AF1004" s="6">
        <f ca="1">$M$1004*$Z$1004</f>
        <v>3500015.1785956798</v>
      </c>
      <c r="AG1004" s="6">
        <f>$O$1004*$AA$1004</f>
        <v>5876181.3779221633</v>
      </c>
    </row>
    <row r="1005" spans="1:33" ht="11.25" customHeight="1" x14ac:dyDescent="0.25">
      <c r="A1005" s="4" t="s">
        <v>27</v>
      </c>
      <c r="B1005" s="4" t="s">
        <v>35</v>
      </c>
      <c r="C1005" s="4" t="s">
        <v>36</v>
      </c>
      <c r="D1005" s="4" t="s">
        <v>42</v>
      </c>
      <c r="E1005" s="4" t="s">
        <v>25</v>
      </c>
      <c r="F1005" s="4" t="s">
        <v>25</v>
      </c>
      <c r="G1005" s="4" t="s">
        <v>25</v>
      </c>
      <c r="H1005" s="4" t="s">
        <v>38</v>
      </c>
      <c r="I1005" s="5">
        <v>44348</v>
      </c>
      <c r="J1005" s="6">
        <v>0</v>
      </c>
      <c r="K1005" s="6">
        <v>0</v>
      </c>
      <c r="L1005" s="6">
        <v>142.99199999999999</v>
      </c>
      <c r="M1005" s="6">
        <v>142.99199999999999</v>
      </c>
      <c r="N1005" s="6">
        <v>142.99199999999999</v>
      </c>
      <c r="O1005" s="6">
        <v>142.99199999999999</v>
      </c>
      <c r="P1005" s="6">
        <v>0</v>
      </c>
      <c r="Q1005" s="4" t="s">
        <v>26</v>
      </c>
      <c r="R1005" s="4">
        <v>0</v>
      </c>
      <c r="S1005" s="6">
        <v>0</v>
      </c>
      <c r="T1005" s="6">
        <v>19</v>
      </c>
      <c r="U1005" s="6">
        <v>67</v>
      </c>
      <c r="V1005" s="6">
        <f>IF(ISERROR(VLOOKUP($S$1005,'TAR FIN'!$A$1:$O$95,15,0)),0,VLOOKUP($S$1005,'TAR FIN'!$A$1:$O$95,15,0))</f>
        <v>0</v>
      </c>
      <c r="W1005" s="6">
        <f>IF(ISERROR(VLOOKUP($T$1005,'TAR FIN'!$A$1:$O$95,15,0)),0,VLOOKUP($T$1005,'TAR FIN'!$A$1:$O$95,15,0))</f>
        <v>149.63</v>
      </c>
      <c r="X1005" s="6">
        <f>IF(ISERROR(VLOOKUP($U$1005,'TAR FIN'!$A$1:$O$95,15,0)),0,VLOOKUP($U$1005,'TAR FIN'!$A$1:$O$95,15,0))</f>
        <v>230.03</v>
      </c>
      <c r="Y1005" s="6"/>
      <c r="Z1005" s="6">
        <f ca="1">('TUSD BE'!$AM$17+'TUSD BF'!$AM$17+'TUSD CVA'!$AM$17)*1</f>
        <v>168.51338132937991</v>
      </c>
      <c r="AA1005" s="6">
        <f>('TE BE'!$AA$8+'TE BF'!$AA$8+'TE CVA'!$AA$8)*1</f>
        <v>282.91739971702214</v>
      </c>
      <c r="AB1005" s="6">
        <f>$K$1005*$V$1005</f>
        <v>0</v>
      </c>
      <c r="AC1005" s="6">
        <f>$M$1005*$W$1005</f>
        <v>21395.892959999997</v>
      </c>
      <c r="AD1005" s="6">
        <f>$O$1005*$X$1005</f>
        <v>32892.449759999996</v>
      </c>
      <c r="AE1005" s="6">
        <f>$K$1005*$Y$1005</f>
        <v>0</v>
      </c>
      <c r="AF1005" s="6">
        <f ca="1">$M$1005*$Z$1005</f>
        <v>24096.065423050692</v>
      </c>
      <c r="AG1005" s="6">
        <f>$O$1005*$AA$1005</f>
        <v>40454.924820336426</v>
      </c>
    </row>
    <row r="1006" spans="1:33" ht="11.25" customHeight="1" x14ac:dyDescent="0.25">
      <c r="A1006" s="4" t="s">
        <v>28</v>
      </c>
      <c r="B1006" s="4" t="s">
        <v>35</v>
      </c>
      <c r="C1006" s="4" t="s">
        <v>36</v>
      </c>
      <c r="D1006" s="4" t="s">
        <v>42</v>
      </c>
      <c r="E1006" s="4" t="s">
        <v>25</v>
      </c>
      <c r="F1006" s="4" t="s">
        <v>25</v>
      </c>
      <c r="G1006" s="4" t="s">
        <v>25</v>
      </c>
      <c r="H1006" s="4" t="s">
        <v>38</v>
      </c>
      <c r="I1006" s="5">
        <v>44348</v>
      </c>
      <c r="J1006" s="6">
        <v>0</v>
      </c>
      <c r="K1006" s="6">
        <v>0</v>
      </c>
      <c r="L1006" s="6">
        <v>1769.5450000000001</v>
      </c>
      <c r="M1006" s="6">
        <v>1769.5450000000001</v>
      </c>
      <c r="N1006" s="6">
        <v>1769.5450000000001</v>
      </c>
      <c r="O1006" s="6">
        <v>1769.5450000000001</v>
      </c>
      <c r="P1006" s="6">
        <v>0</v>
      </c>
      <c r="Q1006" s="4" t="s">
        <v>26</v>
      </c>
      <c r="R1006" s="4">
        <v>0</v>
      </c>
      <c r="S1006" s="6">
        <v>0</v>
      </c>
      <c r="T1006" s="6">
        <v>19</v>
      </c>
      <c r="U1006" s="6">
        <v>67</v>
      </c>
      <c r="V1006" s="6">
        <f>IF(ISERROR(VLOOKUP($S$1006,'TAR FIN'!$A$1:$O$95,15,0)),0,VLOOKUP($S$1006,'TAR FIN'!$A$1:$O$95,15,0))</f>
        <v>0</v>
      </c>
      <c r="W1006" s="6">
        <f>IF(ISERROR(VLOOKUP($T$1006,'TAR FIN'!$A$1:$O$95,15,0)),0,VLOOKUP($T$1006,'TAR FIN'!$A$1:$O$95,15,0))</f>
        <v>149.63</v>
      </c>
      <c r="X1006" s="6">
        <f>IF(ISERROR(VLOOKUP($U$1006,'TAR FIN'!$A$1:$O$95,15,0)),0,VLOOKUP($U$1006,'TAR FIN'!$A$1:$O$95,15,0))</f>
        <v>230.03</v>
      </c>
      <c r="Y1006" s="6"/>
      <c r="Z1006" s="6">
        <f ca="1">('TUSD BE'!$AM$17+'TUSD BF'!$AM$17+'TUSD CVA'!$AM$17)*1</f>
        <v>168.51338132937991</v>
      </c>
      <c r="AA1006" s="6">
        <f>('TE BE'!$AA$8+'TE BF'!$AA$8+'TE CVA'!$AA$8)*1</f>
        <v>282.91739971702214</v>
      </c>
      <c r="AB1006" s="6">
        <f>$K$1006*$V$1006</f>
        <v>0</v>
      </c>
      <c r="AC1006" s="6">
        <f>$M$1006*$W$1006</f>
        <v>264777.01835000003</v>
      </c>
      <c r="AD1006" s="6">
        <f>$O$1006*$X$1006</f>
        <v>407048.43635000003</v>
      </c>
      <c r="AE1006" s="6">
        <f>$K$1006*$Y$1006</f>
        <v>0</v>
      </c>
      <c r="AF1006" s="6">
        <f ca="1">$M$1006*$Z$1006</f>
        <v>298192.01136449759</v>
      </c>
      <c r="AG1006" s="6">
        <f>$O$1006*$AA$1006</f>
        <v>500635.07008225797</v>
      </c>
    </row>
    <row r="1007" spans="1:33" ht="11.25" customHeight="1" x14ac:dyDescent="0.25">
      <c r="A1007" s="4" t="s">
        <v>30</v>
      </c>
      <c r="B1007" s="4" t="s">
        <v>35</v>
      </c>
      <c r="C1007" s="4" t="s">
        <v>36</v>
      </c>
      <c r="D1007" s="4" t="s">
        <v>42</v>
      </c>
      <c r="E1007" s="4" t="s">
        <v>25</v>
      </c>
      <c r="F1007" s="4" t="s">
        <v>25</v>
      </c>
      <c r="G1007" s="4" t="s">
        <v>25</v>
      </c>
      <c r="H1007" s="4" t="s">
        <v>38</v>
      </c>
      <c r="I1007" s="5">
        <v>44348</v>
      </c>
      <c r="J1007" s="6">
        <v>0</v>
      </c>
      <c r="K1007" s="6">
        <v>0</v>
      </c>
      <c r="L1007" s="6">
        <v>505.024</v>
      </c>
      <c r="M1007" s="6">
        <v>505.024</v>
      </c>
      <c r="N1007" s="6">
        <v>505.024</v>
      </c>
      <c r="O1007" s="6">
        <v>505.024</v>
      </c>
      <c r="P1007" s="6">
        <v>0</v>
      </c>
      <c r="Q1007" s="4" t="s">
        <v>26</v>
      </c>
      <c r="R1007" s="4">
        <v>0</v>
      </c>
      <c r="S1007" s="6">
        <v>0</v>
      </c>
      <c r="T1007" s="6">
        <v>19</v>
      </c>
      <c r="U1007" s="6">
        <v>67</v>
      </c>
      <c r="V1007" s="6">
        <f>IF(ISERROR(VLOOKUP($S$1007,'TAR FIN'!$A$1:$O$95,15,0)),0,VLOOKUP($S$1007,'TAR FIN'!$A$1:$O$95,15,0))</f>
        <v>0</v>
      </c>
      <c r="W1007" s="6">
        <f>IF(ISERROR(VLOOKUP($T$1007,'TAR FIN'!$A$1:$O$95,15,0)),0,VLOOKUP($T$1007,'TAR FIN'!$A$1:$O$95,15,0))</f>
        <v>149.63</v>
      </c>
      <c r="X1007" s="6">
        <f>IF(ISERROR(VLOOKUP($U$1007,'TAR FIN'!$A$1:$O$95,15,0)),0,VLOOKUP($U$1007,'TAR FIN'!$A$1:$O$95,15,0))</f>
        <v>230.03</v>
      </c>
      <c r="Y1007" s="6"/>
      <c r="Z1007" s="6">
        <f ca="1">('TUSD BE'!$AM$17+'TUSD BF'!$AM$17+'TUSD CVA'!$AM$17)*1</f>
        <v>168.51338132937991</v>
      </c>
      <c r="AA1007" s="6">
        <f>('TE BE'!$AA$8+'TE BF'!$AA$8+'TE CVA'!$AA$8)*1</f>
        <v>282.91739971702214</v>
      </c>
      <c r="AB1007" s="6">
        <f>$K$1007*$V$1007</f>
        <v>0</v>
      </c>
      <c r="AC1007" s="6">
        <f>$M$1007*$W$1007</f>
        <v>75566.741119999991</v>
      </c>
      <c r="AD1007" s="6">
        <f>$O$1007*$X$1007</f>
        <v>116170.67071999999</v>
      </c>
      <c r="AE1007" s="6">
        <f>$K$1007*$Y$1007</f>
        <v>0</v>
      </c>
      <c r="AF1007" s="6">
        <f ca="1">$M$1007*$Z$1007</f>
        <v>85103.301892488758</v>
      </c>
      <c r="AG1007" s="6">
        <f>$O$1007*$AA$1007</f>
        <v>142880.07687468937</v>
      </c>
    </row>
    <row r="1008" spans="1:33" ht="11.25" customHeight="1" x14ac:dyDescent="0.25">
      <c r="A1008" s="4" t="s">
        <v>21</v>
      </c>
      <c r="B1008" s="4" t="s">
        <v>35</v>
      </c>
      <c r="C1008" s="4" t="s">
        <v>36</v>
      </c>
      <c r="D1008" s="4" t="s">
        <v>42</v>
      </c>
      <c r="E1008" s="4" t="s">
        <v>25</v>
      </c>
      <c r="F1008" s="4" t="s">
        <v>25</v>
      </c>
      <c r="G1008" s="4" t="s">
        <v>25</v>
      </c>
      <c r="H1008" s="4" t="s">
        <v>38</v>
      </c>
      <c r="I1008" s="5">
        <v>44378</v>
      </c>
      <c r="J1008" s="6">
        <v>0</v>
      </c>
      <c r="K1008" s="6">
        <v>0</v>
      </c>
      <c r="L1008" s="6">
        <v>22052.966</v>
      </c>
      <c r="M1008" s="6">
        <v>22052.966</v>
      </c>
      <c r="N1008" s="6">
        <v>22052.966</v>
      </c>
      <c r="O1008" s="6">
        <v>22052.966</v>
      </c>
      <c r="P1008" s="6">
        <v>0</v>
      </c>
      <c r="Q1008" s="4" t="s">
        <v>26</v>
      </c>
      <c r="R1008" s="4">
        <v>0</v>
      </c>
      <c r="S1008" s="6">
        <v>0</v>
      </c>
      <c r="T1008" s="6">
        <v>19</v>
      </c>
      <c r="U1008" s="6">
        <v>67</v>
      </c>
      <c r="V1008" s="6">
        <f>IF(ISERROR(VLOOKUP($S$1008,'TAR FIN'!$A$1:$O$95,15,0)),0,VLOOKUP($S$1008,'TAR FIN'!$A$1:$O$95,15,0))</f>
        <v>0</v>
      </c>
      <c r="W1008" s="6">
        <f>IF(ISERROR(VLOOKUP($T$1008,'TAR FIN'!$A$1:$O$95,15,0)),0,VLOOKUP($T$1008,'TAR FIN'!$A$1:$O$95,15,0))</f>
        <v>149.63</v>
      </c>
      <c r="X1008" s="6">
        <f>IF(ISERROR(VLOOKUP($U$1008,'TAR FIN'!$A$1:$O$95,15,0)),0,VLOOKUP($U$1008,'TAR FIN'!$A$1:$O$95,15,0))</f>
        <v>230.03</v>
      </c>
      <c r="Y1008" s="6"/>
      <c r="Z1008" s="6">
        <f ca="1">('TUSD BE'!$AM$17+'TUSD BF'!$AM$17+'TUSD CVA'!$AM$17)*1</f>
        <v>168.51338132937991</v>
      </c>
      <c r="AA1008" s="6">
        <f>('TE BE'!$AA$8+'TE BF'!$AA$8+'TE CVA'!$AA$8)*1</f>
        <v>282.91739971702214</v>
      </c>
      <c r="AB1008" s="6">
        <f>$K$1008*$V$1008</f>
        <v>0</v>
      </c>
      <c r="AC1008" s="6">
        <f>$M$1008*$W$1008</f>
        <v>3299785.3025799999</v>
      </c>
      <c r="AD1008" s="6">
        <f>$O$1008*$X$1008</f>
        <v>5072843.7689800002</v>
      </c>
      <c r="AE1008" s="6">
        <f>$K$1008*$Y$1008</f>
        <v>0</v>
      </c>
      <c r="AF1008" s="6">
        <f ca="1">$M$1008*$Z$1008</f>
        <v>3716219.86900185</v>
      </c>
      <c r="AG1008" s="6">
        <f>$O$1008*$AA$1008</f>
        <v>6239167.7967678988</v>
      </c>
    </row>
    <row r="1009" spans="1:33" ht="11.25" customHeight="1" x14ac:dyDescent="0.25">
      <c r="A1009" s="4" t="s">
        <v>28</v>
      </c>
      <c r="B1009" s="4" t="s">
        <v>35</v>
      </c>
      <c r="C1009" s="4" t="s">
        <v>36</v>
      </c>
      <c r="D1009" s="4" t="s">
        <v>42</v>
      </c>
      <c r="E1009" s="4" t="s">
        <v>25</v>
      </c>
      <c r="F1009" s="4" t="s">
        <v>25</v>
      </c>
      <c r="G1009" s="4" t="s">
        <v>25</v>
      </c>
      <c r="H1009" s="4" t="s">
        <v>38</v>
      </c>
      <c r="I1009" s="5">
        <v>44378</v>
      </c>
      <c r="J1009" s="6">
        <v>0</v>
      </c>
      <c r="K1009" s="6">
        <v>0</v>
      </c>
      <c r="L1009" s="6">
        <v>1522.942</v>
      </c>
      <c r="M1009" s="6">
        <v>1522.942</v>
      </c>
      <c r="N1009" s="6">
        <v>1522.942</v>
      </c>
      <c r="O1009" s="6">
        <v>1522.942</v>
      </c>
      <c r="P1009" s="6">
        <v>0</v>
      </c>
      <c r="Q1009" s="4" t="s">
        <v>26</v>
      </c>
      <c r="R1009" s="4">
        <v>0</v>
      </c>
      <c r="S1009" s="6">
        <v>0</v>
      </c>
      <c r="T1009" s="6">
        <v>19</v>
      </c>
      <c r="U1009" s="6">
        <v>67</v>
      </c>
      <c r="V1009" s="6">
        <f>IF(ISERROR(VLOOKUP($S$1009,'TAR FIN'!$A$1:$O$95,15,0)),0,VLOOKUP($S$1009,'TAR FIN'!$A$1:$O$95,15,0))</f>
        <v>0</v>
      </c>
      <c r="W1009" s="6">
        <f>IF(ISERROR(VLOOKUP($T$1009,'TAR FIN'!$A$1:$O$95,15,0)),0,VLOOKUP($T$1009,'TAR FIN'!$A$1:$O$95,15,0))</f>
        <v>149.63</v>
      </c>
      <c r="X1009" s="6">
        <f>IF(ISERROR(VLOOKUP($U$1009,'TAR FIN'!$A$1:$O$95,15,0)),0,VLOOKUP($U$1009,'TAR FIN'!$A$1:$O$95,15,0))</f>
        <v>230.03</v>
      </c>
      <c r="Y1009" s="6"/>
      <c r="Z1009" s="6">
        <f ca="1">('TUSD BE'!$AM$17+'TUSD BF'!$AM$17+'TUSD CVA'!$AM$17)*1</f>
        <v>168.51338132937991</v>
      </c>
      <c r="AA1009" s="6">
        <f>('TE BE'!$AA$8+'TE BF'!$AA$8+'TE CVA'!$AA$8)*1</f>
        <v>282.91739971702214</v>
      </c>
      <c r="AB1009" s="6">
        <f>$K$1009*$V$1009</f>
        <v>0</v>
      </c>
      <c r="AC1009" s="6">
        <f>$M$1009*$W$1009</f>
        <v>227877.81146</v>
      </c>
      <c r="AD1009" s="6">
        <f>$O$1009*$X$1009</f>
        <v>350322.34826</v>
      </c>
      <c r="AE1009" s="6">
        <f>$K$1009*$Y$1009</f>
        <v>0</v>
      </c>
      <c r="AF1009" s="6">
        <f ca="1">$M$1009*$Z$1009</f>
        <v>256636.10598852849</v>
      </c>
      <c r="AG1009" s="6">
        <f>$O$1009*$AA$1009</f>
        <v>430866.79055984115</v>
      </c>
    </row>
    <row r="1010" spans="1:33" ht="11.25" customHeight="1" x14ac:dyDescent="0.25">
      <c r="A1010" s="4" t="s">
        <v>30</v>
      </c>
      <c r="B1010" s="4" t="s">
        <v>35</v>
      </c>
      <c r="C1010" s="4" t="s">
        <v>36</v>
      </c>
      <c r="D1010" s="4" t="s">
        <v>42</v>
      </c>
      <c r="E1010" s="4" t="s">
        <v>25</v>
      </c>
      <c r="F1010" s="4" t="s">
        <v>25</v>
      </c>
      <c r="G1010" s="4" t="s">
        <v>25</v>
      </c>
      <c r="H1010" s="4" t="s">
        <v>38</v>
      </c>
      <c r="I1010" s="5">
        <v>44378</v>
      </c>
      <c r="J1010" s="6">
        <v>0</v>
      </c>
      <c r="K1010" s="6">
        <v>0</v>
      </c>
      <c r="L1010" s="6">
        <v>525.94200000000001</v>
      </c>
      <c r="M1010" s="6">
        <v>525.94200000000001</v>
      </c>
      <c r="N1010" s="6">
        <v>525.94200000000001</v>
      </c>
      <c r="O1010" s="6">
        <v>525.94200000000001</v>
      </c>
      <c r="P1010" s="6">
        <v>0</v>
      </c>
      <c r="Q1010" s="4" t="s">
        <v>26</v>
      </c>
      <c r="R1010" s="4">
        <v>0</v>
      </c>
      <c r="S1010" s="6">
        <v>0</v>
      </c>
      <c r="T1010" s="6">
        <v>19</v>
      </c>
      <c r="U1010" s="6">
        <v>67</v>
      </c>
      <c r="V1010" s="6">
        <f>IF(ISERROR(VLOOKUP($S$1010,'TAR FIN'!$A$1:$O$95,15,0)),0,VLOOKUP($S$1010,'TAR FIN'!$A$1:$O$95,15,0))</f>
        <v>0</v>
      </c>
      <c r="W1010" s="6">
        <f>IF(ISERROR(VLOOKUP($T$1010,'TAR FIN'!$A$1:$O$95,15,0)),0,VLOOKUP($T$1010,'TAR FIN'!$A$1:$O$95,15,0))</f>
        <v>149.63</v>
      </c>
      <c r="X1010" s="6">
        <f>IF(ISERROR(VLOOKUP($U$1010,'TAR FIN'!$A$1:$O$95,15,0)),0,VLOOKUP($U$1010,'TAR FIN'!$A$1:$O$95,15,0))</f>
        <v>230.03</v>
      </c>
      <c r="Y1010" s="6"/>
      <c r="Z1010" s="6">
        <f ca="1">('TUSD BE'!$AM$17+'TUSD BF'!$AM$17+'TUSD CVA'!$AM$17)*1</f>
        <v>168.51338132937991</v>
      </c>
      <c r="AA1010" s="6">
        <f>('TE BE'!$AA$8+'TE BF'!$AA$8+'TE CVA'!$AA$8)*1</f>
        <v>282.91739971702214</v>
      </c>
      <c r="AB1010" s="6">
        <f>$K$1010*$V$1010</f>
        <v>0</v>
      </c>
      <c r="AC1010" s="6">
        <f>$M$1010*$W$1010</f>
        <v>78696.701459999997</v>
      </c>
      <c r="AD1010" s="6">
        <f>$O$1010*$X$1010</f>
        <v>120982.43826</v>
      </c>
      <c r="AE1010" s="6">
        <f>$K$1010*$Y$1010</f>
        <v>0</v>
      </c>
      <c r="AF1010" s="6">
        <f ca="1">$M$1010*$Z$1010</f>
        <v>88628.264803136728</v>
      </c>
      <c r="AG1010" s="6">
        <f>$O$1010*$AA$1010</f>
        <v>148798.14304197006</v>
      </c>
    </row>
    <row r="1011" spans="1:33" ht="11.25" customHeight="1" x14ac:dyDescent="0.25">
      <c r="A1011" s="4" t="s">
        <v>21</v>
      </c>
      <c r="B1011" s="4" t="s">
        <v>35</v>
      </c>
      <c r="C1011" s="4" t="s">
        <v>36</v>
      </c>
      <c r="D1011" s="4" t="s">
        <v>42</v>
      </c>
      <c r="E1011" s="4" t="s">
        <v>25</v>
      </c>
      <c r="F1011" s="4" t="s">
        <v>25</v>
      </c>
      <c r="G1011" s="4" t="s">
        <v>25</v>
      </c>
      <c r="H1011" s="4" t="s">
        <v>38</v>
      </c>
      <c r="I1011" s="5">
        <v>44378</v>
      </c>
      <c r="J1011" s="6">
        <v>0</v>
      </c>
      <c r="K1011" s="6">
        <v>0</v>
      </c>
      <c r="L1011" s="6">
        <v>532.75599999999997</v>
      </c>
      <c r="M1011" s="6">
        <v>532.75599999999997</v>
      </c>
      <c r="N1011" s="6">
        <v>0</v>
      </c>
      <c r="O1011" s="6">
        <v>0</v>
      </c>
      <c r="P1011" s="6">
        <v>0</v>
      </c>
      <c r="Q1011" s="4" t="s">
        <v>60</v>
      </c>
      <c r="R1011" s="4">
        <v>0</v>
      </c>
      <c r="S1011" s="6">
        <v>0</v>
      </c>
      <c r="T1011" s="6">
        <v>19</v>
      </c>
      <c r="U1011" s="6">
        <v>0</v>
      </c>
      <c r="V1011" s="6">
        <f>IF(ISERROR(VLOOKUP($S$1011,'TAR FIN'!$A$1:$O$95,15,0)),0,VLOOKUP($S$1011,'TAR FIN'!$A$1:$O$95,15,0))</f>
        <v>0</v>
      </c>
      <c r="W1011" s="6">
        <f>IF(ISERROR(VLOOKUP($T$1011,'TAR FIN'!$A$1:$O$95,15,0)),0,VLOOKUP($T$1011,'TAR FIN'!$A$1:$O$95,15,0))</f>
        <v>149.63</v>
      </c>
      <c r="X1011" s="6">
        <f>IF(ISERROR(VLOOKUP($U$1011,'TAR FIN'!$A$1:$O$95,15,0)),0,VLOOKUP($U$1011,'TAR FIN'!$A$1:$O$95,15,0))</f>
        <v>0</v>
      </c>
      <c r="Y1011" s="6"/>
      <c r="Z1011" s="6">
        <f ca="1">('TUSD BE'!$AM$17+'TUSD BF'!$AM$17+'TUSD CVA'!$AM$17)*1</f>
        <v>168.51338132937991</v>
      </c>
      <c r="AA1011" s="6"/>
      <c r="AB1011" s="6">
        <f>$K$1011*$V$1011</f>
        <v>0</v>
      </c>
      <c r="AC1011" s="6">
        <f>$M$1011*$W$1011</f>
        <v>79716.280279999992</v>
      </c>
      <c r="AD1011" s="6">
        <f>$O$1011*$X$1011</f>
        <v>0</v>
      </c>
      <c r="AE1011" s="6">
        <f>$K$1011*$Y$1011</f>
        <v>0</v>
      </c>
      <c r="AF1011" s="6">
        <f ca="1">$M$1011*$Z$1011</f>
        <v>89776.514983515124</v>
      </c>
      <c r="AG1011" s="6">
        <f>$O$1011*$AA$1011</f>
        <v>0</v>
      </c>
    </row>
    <row r="1012" spans="1:33" ht="11.25" customHeight="1" x14ac:dyDescent="0.25">
      <c r="A1012" s="4" t="s">
        <v>21</v>
      </c>
      <c r="B1012" s="4" t="s">
        <v>35</v>
      </c>
      <c r="C1012" s="4" t="s">
        <v>36</v>
      </c>
      <c r="D1012" s="4" t="s">
        <v>42</v>
      </c>
      <c r="E1012" s="4" t="s">
        <v>25</v>
      </c>
      <c r="F1012" s="4" t="s">
        <v>25</v>
      </c>
      <c r="G1012" s="4" t="s">
        <v>25</v>
      </c>
      <c r="H1012" s="4" t="s">
        <v>38</v>
      </c>
      <c r="I1012" s="5">
        <v>44409</v>
      </c>
      <c r="J1012" s="6">
        <v>0</v>
      </c>
      <c r="K1012" s="6">
        <v>0</v>
      </c>
      <c r="L1012" s="6">
        <v>22740.772000000001</v>
      </c>
      <c r="M1012" s="6">
        <v>22740.772000000001</v>
      </c>
      <c r="N1012" s="6">
        <v>22740.772000000001</v>
      </c>
      <c r="O1012" s="6">
        <v>22740.772000000001</v>
      </c>
      <c r="P1012" s="6">
        <v>0</v>
      </c>
      <c r="Q1012" s="4" t="s">
        <v>26</v>
      </c>
      <c r="R1012" s="4">
        <v>0</v>
      </c>
      <c r="S1012" s="6">
        <v>0</v>
      </c>
      <c r="T1012" s="6">
        <v>19</v>
      </c>
      <c r="U1012" s="6">
        <v>67</v>
      </c>
      <c r="V1012" s="6">
        <f>IF(ISERROR(VLOOKUP($S$1012,'TAR FIN'!$A$1:$O$95,15,0)),0,VLOOKUP($S$1012,'TAR FIN'!$A$1:$O$95,15,0))</f>
        <v>0</v>
      </c>
      <c r="W1012" s="6">
        <f>IF(ISERROR(VLOOKUP($T$1012,'TAR FIN'!$A$1:$O$95,15,0)),0,VLOOKUP($T$1012,'TAR FIN'!$A$1:$O$95,15,0))</f>
        <v>149.63</v>
      </c>
      <c r="X1012" s="6">
        <f>IF(ISERROR(VLOOKUP($U$1012,'TAR FIN'!$A$1:$O$95,15,0)),0,VLOOKUP($U$1012,'TAR FIN'!$A$1:$O$95,15,0))</f>
        <v>230.03</v>
      </c>
      <c r="Y1012" s="6"/>
      <c r="Z1012" s="6">
        <f ca="1">('TUSD BE'!$AM$17+'TUSD BF'!$AM$17+'TUSD CVA'!$AM$17)*1</f>
        <v>168.51338132937991</v>
      </c>
      <c r="AA1012" s="6">
        <f>('TE BE'!$AA$8+'TE BF'!$AA$8+'TE CVA'!$AA$8)*1</f>
        <v>282.91739971702214</v>
      </c>
      <c r="AB1012" s="6">
        <f>$K$1012*$V$1012</f>
        <v>0</v>
      </c>
      <c r="AC1012" s="6">
        <f>$M$1012*$W$1012</f>
        <v>3402701.7143600001</v>
      </c>
      <c r="AD1012" s="6">
        <f>$O$1012*$X$1012</f>
        <v>5231059.7831600001</v>
      </c>
      <c r="AE1012" s="6">
        <f>$K$1012*$Y$1012</f>
        <v>0</v>
      </c>
      <c r="AF1012" s="6">
        <f ca="1">$M$1012*$Z$1012</f>
        <v>3832124.3837604858</v>
      </c>
      <c r="AG1012" s="6">
        <f>$O$1012*$AA$1012</f>
        <v>6433760.081797665</v>
      </c>
    </row>
    <row r="1013" spans="1:33" ht="11.25" customHeight="1" x14ac:dyDescent="0.25">
      <c r="A1013" s="4" t="s">
        <v>27</v>
      </c>
      <c r="B1013" s="4" t="s">
        <v>35</v>
      </c>
      <c r="C1013" s="4" t="s">
        <v>36</v>
      </c>
      <c r="D1013" s="4" t="s">
        <v>42</v>
      </c>
      <c r="E1013" s="4" t="s">
        <v>25</v>
      </c>
      <c r="F1013" s="4" t="s">
        <v>25</v>
      </c>
      <c r="G1013" s="4" t="s">
        <v>25</v>
      </c>
      <c r="H1013" s="4" t="s">
        <v>38</v>
      </c>
      <c r="I1013" s="5">
        <v>44409</v>
      </c>
      <c r="J1013" s="6">
        <v>0</v>
      </c>
      <c r="K1013" s="6">
        <v>0</v>
      </c>
      <c r="L1013" s="6">
        <v>-9.6590000000000007</v>
      </c>
      <c r="M1013" s="6">
        <v>-9.6590000000000007</v>
      </c>
      <c r="N1013" s="6">
        <v>-9.6590000000000007</v>
      </c>
      <c r="O1013" s="6">
        <v>-9.6590000000000007</v>
      </c>
      <c r="P1013" s="6">
        <v>0</v>
      </c>
      <c r="Q1013" s="4" t="s">
        <v>26</v>
      </c>
      <c r="R1013" s="4">
        <v>0</v>
      </c>
      <c r="S1013" s="6">
        <v>0</v>
      </c>
      <c r="T1013" s="6">
        <v>19</v>
      </c>
      <c r="U1013" s="6">
        <v>67</v>
      </c>
      <c r="V1013" s="6">
        <f>IF(ISERROR(VLOOKUP($S$1013,'TAR FIN'!$A$1:$O$95,15,0)),0,VLOOKUP($S$1013,'TAR FIN'!$A$1:$O$95,15,0))</f>
        <v>0</v>
      </c>
      <c r="W1013" s="6">
        <f>IF(ISERROR(VLOOKUP($T$1013,'TAR FIN'!$A$1:$O$95,15,0)),0,VLOOKUP($T$1013,'TAR FIN'!$A$1:$O$95,15,0))</f>
        <v>149.63</v>
      </c>
      <c r="X1013" s="6">
        <f>IF(ISERROR(VLOOKUP($U$1013,'TAR FIN'!$A$1:$O$95,15,0)),0,VLOOKUP($U$1013,'TAR FIN'!$A$1:$O$95,15,0))</f>
        <v>230.03</v>
      </c>
      <c r="Y1013" s="6"/>
      <c r="Z1013" s="6">
        <f ca="1">('TUSD BE'!$AM$17+'TUSD BF'!$AM$17+'TUSD CVA'!$AM$17)*1</f>
        <v>168.51338132937991</v>
      </c>
      <c r="AA1013" s="6">
        <f>('TE BE'!$AA$8+'TE BF'!$AA$8+'TE CVA'!$AA$8)*1</f>
        <v>282.91739971702214</v>
      </c>
      <c r="AB1013" s="6">
        <f>$K$1013*$V$1013</f>
        <v>0</v>
      </c>
      <c r="AC1013" s="6">
        <f>$M$1013*$W$1013</f>
        <v>-1445.2761700000001</v>
      </c>
      <c r="AD1013" s="6">
        <f>$O$1013*$X$1013</f>
        <v>-2221.85977</v>
      </c>
      <c r="AE1013" s="6">
        <f>$K$1013*$Y$1013</f>
        <v>0</v>
      </c>
      <c r="AF1013" s="6">
        <f ca="1">$M$1013*$Z$1013</f>
        <v>-1627.6707502604806</v>
      </c>
      <c r="AG1013" s="6">
        <f>$O$1013*$AA$1013</f>
        <v>-2732.6991638667168</v>
      </c>
    </row>
    <row r="1014" spans="1:33" ht="11.25" customHeight="1" x14ac:dyDescent="0.25">
      <c r="A1014" s="4" t="s">
        <v>28</v>
      </c>
      <c r="B1014" s="4" t="s">
        <v>35</v>
      </c>
      <c r="C1014" s="4" t="s">
        <v>36</v>
      </c>
      <c r="D1014" s="4" t="s">
        <v>42</v>
      </c>
      <c r="E1014" s="4" t="s">
        <v>25</v>
      </c>
      <c r="F1014" s="4" t="s">
        <v>25</v>
      </c>
      <c r="G1014" s="4" t="s">
        <v>25</v>
      </c>
      <c r="H1014" s="4" t="s">
        <v>38</v>
      </c>
      <c r="I1014" s="5">
        <v>44409</v>
      </c>
      <c r="J1014" s="6">
        <v>0</v>
      </c>
      <c r="K1014" s="6">
        <v>0</v>
      </c>
      <c r="L1014" s="6">
        <v>1745.923</v>
      </c>
      <c r="M1014" s="6">
        <v>1745.923</v>
      </c>
      <c r="N1014" s="6">
        <v>1745.923</v>
      </c>
      <c r="O1014" s="6">
        <v>1745.923</v>
      </c>
      <c r="P1014" s="6">
        <v>0</v>
      </c>
      <c r="Q1014" s="4" t="s">
        <v>26</v>
      </c>
      <c r="R1014" s="4">
        <v>0</v>
      </c>
      <c r="S1014" s="6">
        <v>0</v>
      </c>
      <c r="T1014" s="6">
        <v>19</v>
      </c>
      <c r="U1014" s="6">
        <v>67</v>
      </c>
      <c r="V1014" s="6">
        <f>IF(ISERROR(VLOOKUP($S$1014,'TAR FIN'!$A$1:$O$95,15,0)),0,VLOOKUP($S$1014,'TAR FIN'!$A$1:$O$95,15,0))</f>
        <v>0</v>
      </c>
      <c r="W1014" s="6">
        <f>IF(ISERROR(VLOOKUP($T$1014,'TAR FIN'!$A$1:$O$95,15,0)),0,VLOOKUP($T$1014,'TAR FIN'!$A$1:$O$95,15,0))</f>
        <v>149.63</v>
      </c>
      <c r="X1014" s="6">
        <f>IF(ISERROR(VLOOKUP($U$1014,'TAR FIN'!$A$1:$O$95,15,0)),0,VLOOKUP($U$1014,'TAR FIN'!$A$1:$O$95,15,0))</f>
        <v>230.03</v>
      </c>
      <c r="Y1014" s="6"/>
      <c r="Z1014" s="6">
        <f ca="1">('TUSD BE'!$AM$17+'TUSD BF'!$AM$17+'TUSD CVA'!$AM$17)*1</f>
        <v>168.51338132937991</v>
      </c>
      <c r="AA1014" s="6">
        <f>('TE BE'!$AA$8+'TE BF'!$AA$8+'TE CVA'!$AA$8)*1</f>
        <v>282.91739971702214</v>
      </c>
      <c r="AB1014" s="6">
        <f>$K$1014*$V$1014</f>
        <v>0</v>
      </c>
      <c r="AC1014" s="6">
        <f>$M$1014*$W$1014</f>
        <v>261242.45848999999</v>
      </c>
      <c r="AD1014" s="6">
        <f>$O$1014*$X$1014</f>
        <v>401614.66769000003</v>
      </c>
      <c r="AE1014" s="6">
        <f>$K$1014*$Y$1014</f>
        <v>0</v>
      </c>
      <c r="AF1014" s="6">
        <f ca="1">$M$1014*$Z$1014</f>
        <v>294211.38827073498</v>
      </c>
      <c r="AG1014" s="6">
        <f>$O$1014*$AA$1014</f>
        <v>493951.99526614242</v>
      </c>
    </row>
    <row r="1015" spans="1:33" ht="11.25" customHeight="1" x14ac:dyDescent="0.25">
      <c r="A1015" s="4" t="s">
        <v>30</v>
      </c>
      <c r="B1015" s="4" t="s">
        <v>35</v>
      </c>
      <c r="C1015" s="4" t="s">
        <v>36</v>
      </c>
      <c r="D1015" s="4" t="s">
        <v>42</v>
      </c>
      <c r="E1015" s="4" t="s">
        <v>25</v>
      </c>
      <c r="F1015" s="4" t="s">
        <v>25</v>
      </c>
      <c r="G1015" s="4" t="s">
        <v>25</v>
      </c>
      <c r="H1015" s="4" t="s">
        <v>38</v>
      </c>
      <c r="I1015" s="5">
        <v>44409</v>
      </c>
      <c r="J1015" s="6">
        <v>0</v>
      </c>
      <c r="K1015" s="6">
        <v>0</v>
      </c>
      <c r="L1015" s="6">
        <v>527.851</v>
      </c>
      <c r="M1015" s="6">
        <v>527.851</v>
      </c>
      <c r="N1015" s="6">
        <v>527.851</v>
      </c>
      <c r="O1015" s="6">
        <v>527.851</v>
      </c>
      <c r="P1015" s="6">
        <v>0</v>
      </c>
      <c r="Q1015" s="4" t="s">
        <v>26</v>
      </c>
      <c r="R1015" s="4">
        <v>0</v>
      </c>
      <c r="S1015" s="6">
        <v>0</v>
      </c>
      <c r="T1015" s="6">
        <v>19</v>
      </c>
      <c r="U1015" s="6">
        <v>67</v>
      </c>
      <c r="V1015" s="6">
        <f>IF(ISERROR(VLOOKUP($S$1015,'TAR FIN'!$A$1:$O$95,15,0)),0,VLOOKUP($S$1015,'TAR FIN'!$A$1:$O$95,15,0))</f>
        <v>0</v>
      </c>
      <c r="W1015" s="6">
        <f>IF(ISERROR(VLOOKUP($T$1015,'TAR FIN'!$A$1:$O$95,15,0)),0,VLOOKUP($T$1015,'TAR FIN'!$A$1:$O$95,15,0))</f>
        <v>149.63</v>
      </c>
      <c r="X1015" s="6">
        <f>IF(ISERROR(VLOOKUP($U$1015,'TAR FIN'!$A$1:$O$95,15,0)),0,VLOOKUP($U$1015,'TAR FIN'!$A$1:$O$95,15,0))</f>
        <v>230.03</v>
      </c>
      <c r="Y1015" s="6"/>
      <c r="Z1015" s="6">
        <f ca="1">('TUSD BE'!$AM$17+'TUSD BF'!$AM$17+'TUSD CVA'!$AM$17)*1</f>
        <v>168.51338132937991</v>
      </c>
      <c r="AA1015" s="6">
        <f>('TE BE'!$AA$8+'TE BF'!$AA$8+'TE CVA'!$AA$8)*1</f>
        <v>282.91739971702214</v>
      </c>
      <c r="AB1015" s="6">
        <f>$K$1015*$V$1015</f>
        <v>0</v>
      </c>
      <c r="AC1015" s="6">
        <f>$M$1015*$W$1015</f>
        <v>78982.345130000002</v>
      </c>
      <c r="AD1015" s="6">
        <f>$O$1015*$X$1015</f>
        <v>121421.56553000001</v>
      </c>
      <c r="AE1015" s="6">
        <f>$K$1015*$Y$1015</f>
        <v>0</v>
      </c>
      <c r="AF1015" s="6">
        <f ca="1">$M$1015*$Z$1015</f>
        <v>88949.956848094516</v>
      </c>
      <c r="AG1015" s="6">
        <f>$O$1015*$AA$1015</f>
        <v>149338.23235802984</v>
      </c>
    </row>
    <row r="1016" spans="1:33" ht="11.25" customHeight="1" x14ac:dyDescent="0.25">
      <c r="A1016" s="4" t="s">
        <v>21</v>
      </c>
      <c r="B1016" s="4" t="s">
        <v>35</v>
      </c>
      <c r="C1016" s="4" t="s">
        <v>36</v>
      </c>
      <c r="D1016" s="4" t="s">
        <v>42</v>
      </c>
      <c r="E1016" s="4" t="s">
        <v>25</v>
      </c>
      <c r="F1016" s="4" t="s">
        <v>25</v>
      </c>
      <c r="G1016" s="4" t="s">
        <v>25</v>
      </c>
      <c r="H1016" s="4" t="s">
        <v>38</v>
      </c>
      <c r="I1016" s="5">
        <v>44409</v>
      </c>
      <c r="J1016" s="6">
        <v>0</v>
      </c>
      <c r="K1016" s="6">
        <v>0</v>
      </c>
      <c r="L1016" s="6">
        <v>541.78599999999994</v>
      </c>
      <c r="M1016" s="6">
        <v>541.78599999999994</v>
      </c>
      <c r="N1016" s="6">
        <v>0</v>
      </c>
      <c r="O1016" s="6">
        <v>0</v>
      </c>
      <c r="P1016" s="6">
        <v>0</v>
      </c>
      <c r="Q1016" s="4" t="s">
        <v>60</v>
      </c>
      <c r="R1016" s="4">
        <v>0</v>
      </c>
      <c r="S1016" s="6">
        <v>0</v>
      </c>
      <c r="T1016" s="6">
        <v>19</v>
      </c>
      <c r="U1016" s="6">
        <v>0</v>
      </c>
      <c r="V1016" s="6">
        <f>IF(ISERROR(VLOOKUP($S$1016,'TAR FIN'!$A$1:$O$95,15,0)),0,VLOOKUP($S$1016,'TAR FIN'!$A$1:$O$95,15,0))</f>
        <v>0</v>
      </c>
      <c r="W1016" s="6">
        <f>IF(ISERROR(VLOOKUP($T$1016,'TAR FIN'!$A$1:$O$95,15,0)),0,VLOOKUP($T$1016,'TAR FIN'!$A$1:$O$95,15,0))</f>
        <v>149.63</v>
      </c>
      <c r="X1016" s="6">
        <f>IF(ISERROR(VLOOKUP($U$1016,'TAR FIN'!$A$1:$O$95,15,0)),0,VLOOKUP($U$1016,'TAR FIN'!$A$1:$O$95,15,0))</f>
        <v>0</v>
      </c>
      <c r="Y1016" s="6"/>
      <c r="Z1016" s="6">
        <f ca="1">('TUSD BE'!$AM$17+'TUSD BF'!$AM$17+'TUSD CVA'!$AM$17)*1</f>
        <v>168.51338132937991</v>
      </c>
      <c r="AA1016" s="6"/>
      <c r="AB1016" s="6">
        <f>$K$1016*$V$1016</f>
        <v>0</v>
      </c>
      <c r="AC1016" s="6">
        <f>$M$1016*$W$1016</f>
        <v>81067.439179999987</v>
      </c>
      <c r="AD1016" s="6">
        <f>$O$1016*$X$1016</f>
        <v>0</v>
      </c>
      <c r="AE1016" s="6">
        <f>$K$1016*$Y$1016</f>
        <v>0</v>
      </c>
      <c r="AF1016" s="6">
        <f ca="1">$M$1016*$Z$1016</f>
        <v>91298.190816919421</v>
      </c>
      <c r="AG1016" s="6">
        <f>$O$1016*$AA$1016</f>
        <v>0</v>
      </c>
    </row>
    <row r="1017" spans="1:33" ht="11.25" customHeight="1" x14ac:dyDescent="0.25">
      <c r="A1017" s="4" t="s">
        <v>21</v>
      </c>
      <c r="B1017" s="4" t="s">
        <v>35</v>
      </c>
      <c r="C1017" s="4" t="s">
        <v>36</v>
      </c>
      <c r="D1017" s="4" t="s">
        <v>42</v>
      </c>
      <c r="E1017" s="4" t="s">
        <v>25</v>
      </c>
      <c r="F1017" s="4" t="s">
        <v>25</v>
      </c>
      <c r="G1017" s="4" t="s">
        <v>25</v>
      </c>
      <c r="H1017" s="4" t="s">
        <v>38</v>
      </c>
      <c r="I1017" s="5">
        <v>44440</v>
      </c>
      <c r="J1017" s="6">
        <v>0</v>
      </c>
      <c r="K1017" s="6">
        <v>0</v>
      </c>
      <c r="L1017" s="6">
        <v>20569.343000000001</v>
      </c>
      <c r="M1017" s="6">
        <v>20569.343000000001</v>
      </c>
      <c r="N1017" s="6">
        <v>20569.343000000001</v>
      </c>
      <c r="O1017" s="6">
        <v>20569.343000000001</v>
      </c>
      <c r="P1017" s="6">
        <v>0</v>
      </c>
      <c r="Q1017" s="4" t="s">
        <v>26</v>
      </c>
      <c r="R1017" s="4">
        <v>0</v>
      </c>
      <c r="S1017" s="6">
        <v>0</v>
      </c>
      <c r="T1017" s="6">
        <v>19</v>
      </c>
      <c r="U1017" s="6">
        <v>67</v>
      </c>
      <c r="V1017" s="6">
        <f>IF(ISERROR(VLOOKUP($S$1017,'TAR FIN'!$A$1:$O$95,15,0)),0,VLOOKUP($S$1017,'TAR FIN'!$A$1:$O$95,15,0))</f>
        <v>0</v>
      </c>
      <c r="W1017" s="6">
        <f>IF(ISERROR(VLOOKUP($T$1017,'TAR FIN'!$A$1:$O$95,15,0)),0,VLOOKUP($T$1017,'TAR FIN'!$A$1:$O$95,15,0))</f>
        <v>149.63</v>
      </c>
      <c r="X1017" s="6">
        <f>IF(ISERROR(VLOOKUP($U$1017,'TAR FIN'!$A$1:$O$95,15,0)),0,VLOOKUP($U$1017,'TAR FIN'!$A$1:$O$95,15,0))</f>
        <v>230.03</v>
      </c>
      <c r="Y1017" s="6"/>
      <c r="Z1017" s="6">
        <f ca="1">('TUSD BE'!$AM$17+'TUSD BF'!$AM$17+'TUSD CVA'!$AM$17)*1</f>
        <v>168.51338132937991</v>
      </c>
      <c r="AA1017" s="6">
        <f>('TE BE'!$AA$8+'TE BF'!$AA$8+'TE CVA'!$AA$8)*1</f>
        <v>282.91739971702214</v>
      </c>
      <c r="AB1017" s="6">
        <f>$K$1017*$V$1017</f>
        <v>0</v>
      </c>
      <c r="AC1017" s="6">
        <f>$M$1017*$W$1017</f>
        <v>3077790.7930899998</v>
      </c>
      <c r="AD1017" s="6">
        <f>$O$1017*$X$1017</f>
        <v>4731565.9702900006</v>
      </c>
      <c r="AE1017" s="6">
        <f>$K$1017*$Y$1017</f>
        <v>0</v>
      </c>
      <c r="AF1017" s="6">
        <f ca="1">$M$1017*$Z$1017</f>
        <v>3466209.5406538113</v>
      </c>
      <c r="AG1017" s="6">
        <f>$O$1017*$AA$1017</f>
        <v>5819425.0354475314</v>
      </c>
    </row>
    <row r="1018" spans="1:33" ht="11.25" customHeight="1" x14ac:dyDescent="0.25">
      <c r="A1018" s="4" t="s">
        <v>27</v>
      </c>
      <c r="B1018" s="4" t="s">
        <v>35</v>
      </c>
      <c r="C1018" s="4" t="s">
        <v>36</v>
      </c>
      <c r="D1018" s="4" t="s">
        <v>42</v>
      </c>
      <c r="E1018" s="4" t="s">
        <v>25</v>
      </c>
      <c r="F1018" s="4" t="s">
        <v>25</v>
      </c>
      <c r="G1018" s="4" t="s">
        <v>25</v>
      </c>
      <c r="H1018" s="4" t="s">
        <v>38</v>
      </c>
      <c r="I1018" s="5">
        <v>44440</v>
      </c>
      <c r="J1018" s="6">
        <v>0</v>
      </c>
      <c r="K1018" s="6">
        <v>0</v>
      </c>
      <c r="L1018" s="6">
        <v>-35.49</v>
      </c>
      <c r="M1018" s="6">
        <v>-35.49</v>
      </c>
      <c r="N1018" s="6">
        <v>-35.49</v>
      </c>
      <c r="O1018" s="6">
        <v>-35.49</v>
      </c>
      <c r="P1018" s="6">
        <v>0</v>
      </c>
      <c r="Q1018" s="4" t="s">
        <v>26</v>
      </c>
      <c r="R1018" s="4">
        <v>0</v>
      </c>
      <c r="S1018" s="6">
        <v>0</v>
      </c>
      <c r="T1018" s="6">
        <v>19</v>
      </c>
      <c r="U1018" s="6">
        <v>67</v>
      </c>
      <c r="V1018" s="6">
        <f>IF(ISERROR(VLOOKUP($S$1018,'TAR FIN'!$A$1:$O$95,15,0)),0,VLOOKUP($S$1018,'TAR FIN'!$A$1:$O$95,15,0))</f>
        <v>0</v>
      </c>
      <c r="W1018" s="6">
        <f>IF(ISERROR(VLOOKUP($T$1018,'TAR FIN'!$A$1:$O$95,15,0)),0,VLOOKUP($T$1018,'TAR FIN'!$A$1:$O$95,15,0))</f>
        <v>149.63</v>
      </c>
      <c r="X1018" s="6">
        <f>IF(ISERROR(VLOOKUP($U$1018,'TAR FIN'!$A$1:$O$95,15,0)),0,VLOOKUP($U$1018,'TAR FIN'!$A$1:$O$95,15,0))</f>
        <v>230.03</v>
      </c>
      <c r="Y1018" s="6"/>
      <c r="Z1018" s="6">
        <f ca="1">('TUSD BE'!$AM$17+'TUSD BF'!$AM$17+'TUSD CVA'!$AM$17)*1</f>
        <v>168.51338132937991</v>
      </c>
      <c r="AA1018" s="6">
        <f>('TE BE'!$AA$8+'TE BF'!$AA$8+'TE CVA'!$AA$8)*1</f>
        <v>282.91739971702214</v>
      </c>
      <c r="AB1018" s="6">
        <f>$K$1018*$V$1018</f>
        <v>0</v>
      </c>
      <c r="AC1018" s="6">
        <f>$M$1018*$W$1018</f>
        <v>-5310.3687</v>
      </c>
      <c r="AD1018" s="6">
        <f>$O$1018*$X$1018</f>
        <v>-8163.7647000000006</v>
      </c>
      <c r="AE1018" s="6">
        <f>$K$1018*$Y$1018</f>
        <v>0</v>
      </c>
      <c r="AF1018" s="6">
        <f ca="1">$M$1018*$Z$1018</f>
        <v>-5980.539903379693</v>
      </c>
      <c r="AG1018" s="6">
        <f>$O$1018*$AA$1018</f>
        <v>-10040.738515957117</v>
      </c>
    </row>
    <row r="1019" spans="1:33" ht="11.25" customHeight="1" x14ac:dyDescent="0.25">
      <c r="A1019" s="4" t="s">
        <v>28</v>
      </c>
      <c r="B1019" s="4" t="s">
        <v>35</v>
      </c>
      <c r="C1019" s="4" t="s">
        <v>36</v>
      </c>
      <c r="D1019" s="4" t="s">
        <v>42</v>
      </c>
      <c r="E1019" s="4" t="s">
        <v>25</v>
      </c>
      <c r="F1019" s="4" t="s">
        <v>25</v>
      </c>
      <c r="G1019" s="4" t="s">
        <v>25</v>
      </c>
      <c r="H1019" s="4" t="s">
        <v>38</v>
      </c>
      <c r="I1019" s="5">
        <v>44440</v>
      </c>
      <c r="J1019" s="6">
        <v>0</v>
      </c>
      <c r="K1019" s="6">
        <v>0</v>
      </c>
      <c r="L1019" s="6">
        <v>2086.9160000000002</v>
      </c>
      <c r="M1019" s="6">
        <v>2086.9160000000002</v>
      </c>
      <c r="N1019" s="6">
        <v>2086.9160000000002</v>
      </c>
      <c r="O1019" s="6">
        <v>2086.9160000000002</v>
      </c>
      <c r="P1019" s="6">
        <v>0</v>
      </c>
      <c r="Q1019" s="4" t="s">
        <v>26</v>
      </c>
      <c r="R1019" s="4">
        <v>0</v>
      </c>
      <c r="S1019" s="6">
        <v>0</v>
      </c>
      <c r="T1019" s="6">
        <v>19</v>
      </c>
      <c r="U1019" s="6">
        <v>67</v>
      </c>
      <c r="V1019" s="6">
        <f>IF(ISERROR(VLOOKUP($S$1019,'TAR FIN'!$A$1:$O$95,15,0)),0,VLOOKUP($S$1019,'TAR FIN'!$A$1:$O$95,15,0))</f>
        <v>0</v>
      </c>
      <c r="W1019" s="6">
        <f>IF(ISERROR(VLOOKUP($T$1019,'TAR FIN'!$A$1:$O$95,15,0)),0,VLOOKUP($T$1019,'TAR FIN'!$A$1:$O$95,15,0))</f>
        <v>149.63</v>
      </c>
      <c r="X1019" s="6">
        <f>IF(ISERROR(VLOOKUP($U$1019,'TAR FIN'!$A$1:$O$95,15,0)),0,VLOOKUP($U$1019,'TAR FIN'!$A$1:$O$95,15,0))</f>
        <v>230.03</v>
      </c>
      <c r="Y1019" s="6"/>
      <c r="Z1019" s="6">
        <f ca="1">('TUSD BE'!$AM$17+'TUSD BF'!$AM$17+'TUSD CVA'!$AM$17)*1</f>
        <v>168.51338132937991</v>
      </c>
      <c r="AA1019" s="6">
        <f>('TE BE'!$AA$8+'TE BF'!$AA$8+'TE CVA'!$AA$8)*1</f>
        <v>282.91739971702214</v>
      </c>
      <c r="AB1019" s="6">
        <f>$K$1019*$V$1019</f>
        <v>0</v>
      </c>
      <c r="AC1019" s="6">
        <f>$M$1019*$W$1019</f>
        <v>312265.24108000001</v>
      </c>
      <c r="AD1019" s="6">
        <f>$O$1019*$X$1019</f>
        <v>480053.28748000006</v>
      </c>
      <c r="AE1019" s="6">
        <f>$K$1019*$Y$1019</f>
        <v>0</v>
      </c>
      <c r="AF1019" s="6">
        <f ca="1">$M$1019*$Z$1019</f>
        <v>351673.27171038423</v>
      </c>
      <c r="AG1019" s="6">
        <f>$O$1019*$AA$1019</f>
        <v>590424.84814784897</v>
      </c>
    </row>
    <row r="1020" spans="1:33" ht="11.25" customHeight="1" x14ac:dyDescent="0.25">
      <c r="A1020" s="4" t="s">
        <v>29</v>
      </c>
      <c r="B1020" s="4" t="s">
        <v>35</v>
      </c>
      <c r="C1020" s="4" t="s">
        <v>36</v>
      </c>
      <c r="D1020" s="4" t="s">
        <v>42</v>
      </c>
      <c r="E1020" s="4" t="s">
        <v>25</v>
      </c>
      <c r="F1020" s="4" t="s">
        <v>25</v>
      </c>
      <c r="G1020" s="4" t="s">
        <v>25</v>
      </c>
      <c r="H1020" s="4" t="s">
        <v>38</v>
      </c>
      <c r="I1020" s="5">
        <v>44440</v>
      </c>
      <c r="J1020" s="6">
        <v>0</v>
      </c>
      <c r="K1020" s="6">
        <v>0</v>
      </c>
      <c r="L1020" s="6">
        <v>-5.0209999999999999</v>
      </c>
      <c r="M1020" s="6">
        <v>-5.0209999999999999</v>
      </c>
      <c r="N1020" s="6">
        <v>-5.0209999999999999</v>
      </c>
      <c r="O1020" s="6">
        <v>-5.0209999999999999</v>
      </c>
      <c r="P1020" s="6">
        <v>0</v>
      </c>
      <c r="Q1020" s="4" t="s">
        <v>26</v>
      </c>
      <c r="R1020" s="4">
        <v>0</v>
      </c>
      <c r="S1020" s="6">
        <v>0</v>
      </c>
      <c r="T1020" s="6">
        <v>19</v>
      </c>
      <c r="U1020" s="6">
        <v>67</v>
      </c>
      <c r="V1020" s="6">
        <f>IF(ISERROR(VLOOKUP($S$1020,'TAR FIN'!$A$1:$O$95,15,0)),0,VLOOKUP($S$1020,'TAR FIN'!$A$1:$O$95,15,0))</f>
        <v>0</v>
      </c>
      <c r="W1020" s="6">
        <f>IF(ISERROR(VLOOKUP($T$1020,'TAR FIN'!$A$1:$O$95,15,0)),0,VLOOKUP($T$1020,'TAR FIN'!$A$1:$O$95,15,0))</f>
        <v>149.63</v>
      </c>
      <c r="X1020" s="6">
        <f>IF(ISERROR(VLOOKUP($U$1020,'TAR FIN'!$A$1:$O$95,15,0)),0,VLOOKUP($U$1020,'TAR FIN'!$A$1:$O$95,15,0))</f>
        <v>230.03</v>
      </c>
      <c r="Y1020" s="6"/>
      <c r="Z1020" s="6">
        <f ca="1">('TUSD BE'!$AM$17+'TUSD BF'!$AM$17+'TUSD CVA'!$AM$17)*1</f>
        <v>168.51338132937991</v>
      </c>
      <c r="AA1020" s="6">
        <f>('TE BE'!$AA$8+'TE BF'!$AA$8+'TE CVA'!$AA$8)*1</f>
        <v>282.91739971702214</v>
      </c>
      <c r="AB1020" s="6">
        <f>$K$1020*$V$1020</f>
        <v>0</v>
      </c>
      <c r="AC1020" s="6">
        <f>$M$1020*$W$1020</f>
        <v>-751.29223000000002</v>
      </c>
      <c r="AD1020" s="6">
        <f>$O$1020*$X$1020</f>
        <v>-1154.98063</v>
      </c>
      <c r="AE1020" s="6">
        <f>$K$1020*$Y$1020</f>
        <v>0</v>
      </c>
      <c r="AF1020" s="6">
        <f ca="1">$M$1020*$Z$1020</f>
        <v>-846.10568765481651</v>
      </c>
      <c r="AG1020" s="6">
        <f>$O$1020*$AA$1020</f>
        <v>-1420.5282639791681</v>
      </c>
    </row>
    <row r="1021" spans="1:33" ht="11.25" customHeight="1" x14ac:dyDescent="0.25">
      <c r="A1021" s="4" t="s">
        <v>30</v>
      </c>
      <c r="B1021" s="4" t="s">
        <v>35</v>
      </c>
      <c r="C1021" s="4" t="s">
        <v>36</v>
      </c>
      <c r="D1021" s="4" t="s">
        <v>42</v>
      </c>
      <c r="E1021" s="4" t="s">
        <v>25</v>
      </c>
      <c r="F1021" s="4" t="s">
        <v>25</v>
      </c>
      <c r="G1021" s="4" t="s">
        <v>25</v>
      </c>
      <c r="H1021" s="4" t="s">
        <v>38</v>
      </c>
      <c r="I1021" s="5">
        <v>44440</v>
      </c>
      <c r="J1021" s="6">
        <v>0</v>
      </c>
      <c r="K1021" s="6">
        <v>0</v>
      </c>
      <c r="L1021" s="6">
        <v>519.255</v>
      </c>
      <c r="M1021" s="6">
        <v>519.255</v>
      </c>
      <c r="N1021" s="6">
        <v>519.255</v>
      </c>
      <c r="O1021" s="6">
        <v>519.255</v>
      </c>
      <c r="P1021" s="6">
        <v>0</v>
      </c>
      <c r="Q1021" s="4" t="s">
        <v>26</v>
      </c>
      <c r="R1021" s="4">
        <v>0</v>
      </c>
      <c r="S1021" s="6">
        <v>0</v>
      </c>
      <c r="T1021" s="6">
        <v>19</v>
      </c>
      <c r="U1021" s="6">
        <v>67</v>
      </c>
      <c r="V1021" s="6">
        <f>IF(ISERROR(VLOOKUP($S$1021,'TAR FIN'!$A$1:$O$95,15,0)),0,VLOOKUP($S$1021,'TAR FIN'!$A$1:$O$95,15,0))</f>
        <v>0</v>
      </c>
      <c r="W1021" s="6">
        <f>IF(ISERROR(VLOOKUP($T$1021,'TAR FIN'!$A$1:$O$95,15,0)),0,VLOOKUP($T$1021,'TAR FIN'!$A$1:$O$95,15,0))</f>
        <v>149.63</v>
      </c>
      <c r="X1021" s="6">
        <f>IF(ISERROR(VLOOKUP($U$1021,'TAR FIN'!$A$1:$O$95,15,0)),0,VLOOKUP($U$1021,'TAR FIN'!$A$1:$O$95,15,0))</f>
        <v>230.03</v>
      </c>
      <c r="Y1021" s="6"/>
      <c r="Z1021" s="6">
        <f ca="1">('TUSD BE'!$AM$17+'TUSD BF'!$AM$17+'TUSD CVA'!$AM$17)*1</f>
        <v>168.51338132937991</v>
      </c>
      <c r="AA1021" s="6">
        <f>('TE BE'!$AA$8+'TE BF'!$AA$8+'TE CVA'!$AA$8)*1</f>
        <v>282.91739971702214</v>
      </c>
      <c r="AB1021" s="6">
        <f>$K$1021*$V$1021</f>
        <v>0</v>
      </c>
      <c r="AC1021" s="6">
        <f>$M$1021*$W$1021</f>
        <v>77696.125650000002</v>
      </c>
      <c r="AD1021" s="6">
        <f>$O$1021*$X$1021</f>
        <v>119444.22765</v>
      </c>
      <c r="AE1021" s="6">
        <f>$K$1021*$Y$1021</f>
        <v>0</v>
      </c>
      <c r="AF1021" s="6">
        <f ca="1">$M$1021*$Z$1021</f>
        <v>87501.415822187162</v>
      </c>
      <c r="AG1021" s="6">
        <f>$O$1021*$AA$1021</f>
        <v>146906.27439006232</v>
      </c>
    </row>
    <row r="1022" spans="1:33" ht="11.25" customHeight="1" x14ac:dyDescent="0.25">
      <c r="A1022" s="4" t="s">
        <v>21</v>
      </c>
      <c r="B1022" s="4" t="s">
        <v>35</v>
      </c>
      <c r="C1022" s="4" t="s">
        <v>36</v>
      </c>
      <c r="D1022" s="4" t="s">
        <v>42</v>
      </c>
      <c r="E1022" s="4" t="s">
        <v>25</v>
      </c>
      <c r="F1022" s="4" t="s">
        <v>25</v>
      </c>
      <c r="G1022" s="4" t="s">
        <v>25</v>
      </c>
      <c r="H1022" s="4" t="s">
        <v>38</v>
      </c>
      <c r="I1022" s="5">
        <v>44440</v>
      </c>
      <c r="J1022" s="6">
        <v>0</v>
      </c>
      <c r="K1022" s="6">
        <v>0</v>
      </c>
      <c r="L1022" s="6">
        <v>979.41499999999996</v>
      </c>
      <c r="M1022" s="6">
        <v>979.41499999999996</v>
      </c>
      <c r="N1022" s="6">
        <v>0</v>
      </c>
      <c r="O1022" s="6">
        <v>0</v>
      </c>
      <c r="P1022" s="6">
        <v>0</v>
      </c>
      <c r="Q1022" s="4" t="s">
        <v>60</v>
      </c>
      <c r="R1022" s="4">
        <v>0</v>
      </c>
      <c r="S1022" s="6">
        <v>0</v>
      </c>
      <c r="T1022" s="6">
        <v>19</v>
      </c>
      <c r="U1022" s="6">
        <v>0</v>
      </c>
      <c r="V1022" s="6">
        <f>IF(ISERROR(VLOOKUP($S$1022,'TAR FIN'!$A$1:$O$95,15,0)),0,VLOOKUP($S$1022,'TAR FIN'!$A$1:$O$95,15,0))</f>
        <v>0</v>
      </c>
      <c r="W1022" s="6">
        <f>IF(ISERROR(VLOOKUP($T$1022,'TAR FIN'!$A$1:$O$95,15,0)),0,VLOOKUP($T$1022,'TAR FIN'!$A$1:$O$95,15,0))</f>
        <v>149.63</v>
      </c>
      <c r="X1022" s="6">
        <f>IF(ISERROR(VLOOKUP($U$1022,'TAR FIN'!$A$1:$O$95,15,0)),0,VLOOKUP($U$1022,'TAR FIN'!$A$1:$O$95,15,0))</f>
        <v>0</v>
      </c>
      <c r="Y1022" s="6"/>
      <c r="Z1022" s="6">
        <f ca="1">('TUSD BE'!$AM$17+'TUSD BF'!$AM$17+'TUSD CVA'!$AM$17)*1</f>
        <v>168.51338132937991</v>
      </c>
      <c r="AA1022" s="6"/>
      <c r="AB1022" s="6">
        <f>$K$1022*$V$1022</f>
        <v>0</v>
      </c>
      <c r="AC1022" s="6">
        <f>$M$1022*$W$1022</f>
        <v>146549.86645</v>
      </c>
      <c r="AD1022" s="6">
        <f>$O$1022*$X$1022</f>
        <v>0</v>
      </c>
      <c r="AE1022" s="6">
        <f>$K$1022*$Y$1022</f>
        <v>0</v>
      </c>
      <c r="AF1022" s="6">
        <f ca="1">$M$1022*$Z$1022</f>
        <v>165044.53337471461</v>
      </c>
      <c r="AG1022" s="6">
        <f>$O$1022*$AA$1022</f>
        <v>0</v>
      </c>
    </row>
    <row r="1023" spans="1:33" ht="11.25" customHeight="1" x14ac:dyDescent="0.25">
      <c r="A1023" s="4" t="s">
        <v>59</v>
      </c>
      <c r="B1023" s="4" t="s">
        <v>35</v>
      </c>
      <c r="C1023" s="4" t="s">
        <v>36</v>
      </c>
      <c r="D1023" s="4" t="s">
        <v>42</v>
      </c>
      <c r="E1023" s="4" t="s">
        <v>25</v>
      </c>
      <c r="F1023" s="4" t="s">
        <v>25</v>
      </c>
      <c r="G1023" s="4" t="s">
        <v>25</v>
      </c>
      <c r="H1023" s="4" t="s">
        <v>38</v>
      </c>
      <c r="I1023" s="5">
        <v>44470</v>
      </c>
      <c r="J1023" s="6">
        <v>0</v>
      </c>
      <c r="K1023" s="6">
        <v>0</v>
      </c>
      <c r="L1023" s="6">
        <v>20569.343000000001</v>
      </c>
      <c r="M1023" s="6">
        <v>20569.343000000001</v>
      </c>
      <c r="N1023" s="6">
        <v>20569.343000000001</v>
      </c>
      <c r="O1023" s="6">
        <v>20569.343000000001</v>
      </c>
      <c r="P1023" s="6">
        <v>0</v>
      </c>
      <c r="Q1023" s="4" t="s">
        <v>26</v>
      </c>
      <c r="R1023" s="4">
        <v>0</v>
      </c>
      <c r="S1023" s="6">
        <v>0</v>
      </c>
      <c r="T1023" s="6">
        <v>19</v>
      </c>
      <c r="U1023" s="6">
        <v>67</v>
      </c>
      <c r="V1023" s="6">
        <f>IF(ISERROR(VLOOKUP($S$1023,'TAR FIN'!$A$1:$O$95,15,0)),0,VLOOKUP($S$1023,'TAR FIN'!$A$1:$O$95,15,0))</f>
        <v>0</v>
      </c>
      <c r="W1023" s="6">
        <f>IF(ISERROR(VLOOKUP($T$1023,'TAR FIN'!$A$1:$O$95,15,0)),0,VLOOKUP($T$1023,'TAR FIN'!$A$1:$O$95,15,0))</f>
        <v>149.63</v>
      </c>
      <c r="X1023" s="6">
        <f>IF(ISERROR(VLOOKUP($U$1023,'TAR FIN'!$A$1:$O$95,15,0)),0,VLOOKUP($U$1023,'TAR FIN'!$A$1:$O$95,15,0))</f>
        <v>230.03</v>
      </c>
      <c r="Y1023" s="6"/>
      <c r="Z1023" s="6">
        <f ca="1">('TUSD BE'!$AM$17+'TUSD BF'!$AM$17+'TUSD CVA'!$AM$17)*1</f>
        <v>168.51338132937991</v>
      </c>
      <c r="AA1023" s="6">
        <f>('TE BE'!$AA$8+'TE BF'!$AA$8+'TE CVA'!$AA$8)*1</f>
        <v>282.91739971702214</v>
      </c>
      <c r="AB1023" s="6">
        <f>$K$1023*$V$1023</f>
        <v>0</v>
      </c>
      <c r="AC1023" s="6">
        <f>$M$1023*$W$1023</f>
        <v>3077790.7930899998</v>
      </c>
      <c r="AD1023" s="6">
        <f>$O$1023*$X$1023</f>
        <v>4731565.9702900006</v>
      </c>
      <c r="AE1023" s="6">
        <f>$K$1023*$Y$1023</f>
        <v>0</v>
      </c>
      <c r="AF1023" s="6">
        <f ca="1">$M$1023*$Z$1023</f>
        <v>3466209.5406538113</v>
      </c>
      <c r="AG1023" s="6">
        <f>$O$1023*$AA$1023</f>
        <v>5819425.0354475314</v>
      </c>
    </row>
    <row r="1024" spans="1:33" ht="11.25" customHeight="1" x14ac:dyDescent="0.25">
      <c r="A1024" s="4" t="s">
        <v>59</v>
      </c>
      <c r="B1024" s="4" t="s">
        <v>35</v>
      </c>
      <c r="C1024" s="4" t="s">
        <v>36</v>
      </c>
      <c r="D1024" s="4" t="s">
        <v>42</v>
      </c>
      <c r="E1024" s="4" t="s">
        <v>25</v>
      </c>
      <c r="F1024" s="4" t="s">
        <v>25</v>
      </c>
      <c r="G1024" s="4" t="s">
        <v>25</v>
      </c>
      <c r="H1024" s="4" t="s">
        <v>38</v>
      </c>
      <c r="I1024" s="5">
        <v>44470</v>
      </c>
      <c r="J1024" s="6">
        <v>0</v>
      </c>
      <c r="K1024" s="6">
        <v>0</v>
      </c>
      <c r="L1024" s="6">
        <v>-35.49</v>
      </c>
      <c r="M1024" s="6">
        <v>-35.49</v>
      </c>
      <c r="N1024" s="6">
        <v>-35.49</v>
      </c>
      <c r="O1024" s="6">
        <v>-35.49</v>
      </c>
      <c r="P1024" s="6">
        <v>0</v>
      </c>
      <c r="Q1024" s="4" t="s">
        <v>26</v>
      </c>
      <c r="R1024" s="4">
        <v>0</v>
      </c>
      <c r="S1024" s="6">
        <v>0</v>
      </c>
      <c r="T1024" s="6">
        <v>19</v>
      </c>
      <c r="U1024" s="6">
        <v>67</v>
      </c>
      <c r="V1024" s="6">
        <f>IF(ISERROR(VLOOKUP($S$1024,'TAR FIN'!$A$1:$O$95,15,0)),0,VLOOKUP($S$1024,'TAR FIN'!$A$1:$O$95,15,0))</f>
        <v>0</v>
      </c>
      <c r="W1024" s="6">
        <f>IF(ISERROR(VLOOKUP($T$1024,'TAR FIN'!$A$1:$O$95,15,0)),0,VLOOKUP($T$1024,'TAR FIN'!$A$1:$O$95,15,0))</f>
        <v>149.63</v>
      </c>
      <c r="X1024" s="6">
        <f>IF(ISERROR(VLOOKUP($U$1024,'TAR FIN'!$A$1:$O$95,15,0)),0,VLOOKUP($U$1024,'TAR FIN'!$A$1:$O$95,15,0))</f>
        <v>230.03</v>
      </c>
      <c r="Y1024" s="6"/>
      <c r="Z1024" s="6">
        <f ca="1">('TUSD BE'!$AM$17+'TUSD BF'!$AM$17+'TUSD CVA'!$AM$17)*1</f>
        <v>168.51338132937991</v>
      </c>
      <c r="AA1024" s="6">
        <f>('TE BE'!$AA$8+'TE BF'!$AA$8+'TE CVA'!$AA$8)*1</f>
        <v>282.91739971702214</v>
      </c>
      <c r="AB1024" s="6">
        <f>$K$1024*$V$1024</f>
        <v>0</v>
      </c>
      <c r="AC1024" s="6">
        <f>$M$1024*$W$1024</f>
        <v>-5310.3687</v>
      </c>
      <c r="AD1024" s="6">
        <f>$O$1024*$X$1024</f>
        <v>-8163.7647000000006</v>
      </c>
      <c r="AE1024" s="6">
        <f>$K$1024*$Y$1024</f>
        <v>0</v>
      </c>
      <c r="AF1024" s="6">
        <f ca="1">$M$1024*$Z$1024</f>
        <v>-5980.539903379693</v>
      </c>
      <c r="AG1024" s="6">
        <f>$O$1024*$AA$1024</f>
        <v>-10040.738515957117</v>
      </c>
    </row>
    <row r="1025" spans="1:33" ht="11.25" customHeight="1" x14ac:dyDescent="0.25">
      <c r="A1025" s="4" t="s">
        <v>59</v>
      </c>
      <c r="B1025" s="4" t="s">
        <v>35</v>
      </c>
      <c r="C1025" s="4" t="s">
        <v>36</v>
      </c>
      <c r="D1025" s="4" t="s">
        <v>42</v>
      </c>
      <c r="E1025" s="4" t="s">
        <v>25</v>
      </c>
      <c r="F1025" s="4" t="s">
        <v>25</v>
      </c>
      <c r="G1025" s="4" t="s">
        <v>25</v>
      </c>
      <c r="H1025" s="4" t="s">
        <v>38</v>
      </c>
      <c r="I1025" s="5">
        <v>44470</v>
      </c>
      <c r="J1025" s="6">
        <v>0</v>
      </c>
      <c r="K1025" s="6">
        <v>0</v>
      </c>
      <c r="L1025" s="6">
        <v>2086.9160000000002</v>
      </c>
      <c r="M1025" s="6">
        <v>2086.9160000000002</v>
      </c>
      <c r="N1025" s="6">
        <v>2086.9160000000002</v>
      </c>
      <c r="O1025" s="6">
        <v>2086.9160000000002</v>
      </c>
      <c r="P1025" s="6">
        <v>0</v>
      </c>
      <c r="Q1025" s="4" t="s">
        <v>26</v>
      </c>
      <c r="R1025" s="4">
        <v>0</v>
      </c>
      <c r="S1025" s="6">
        <v>0</v>
      </c>
      <c r="T1025" s="6">
        <v>19</v>
      </c>
      <c r="U1025" s="6">
        <v>67</v>
      </c>
      <c r="V1025" s="6">
        <f>IF(ISERROR(VLOOKUP($S$1025,'TAR FIN'!$A$1:$O$95,15,0)),0,VLOOKUP($S$1025,'TAR FIN'!$A$1:$O$95,15,0))</f>
        <v>0</v>
      </c>
      <c r="W1025" s="6">
        <f>IF(ISERROR(VLOOKUP($T$1025,'TAR FIN'!$A$1:$O$95,15,0)),0,VLOOKUP($T$1025,'TAR FIN'!$A$1:$O$95,15,0))</f>
        <v>149.63</v>
      </c>
      <c r="X1025" s="6">
        <f>IF(ISERROR(VLOOKUP($U$1025,'TAR FIN'!$A$1:$O$95,15,0)),0,VLOOKUP($U$1025,'TAR FIN'!$A$1:$O$95,15,0))</f>
        <v>230.03</v>
      </c>
      <c r="Y1025" s="6"/>
      <c r="Z1025" s="6">
        <f ca="1">('TUSD BE'!$AM$17+'TUSD BF'!$AM$17+'TUSD CVA'!$AM$17)*1</f>
        <v>168.51338132937991</v>
      </c>
      <c r="AA1025" s="6">
        <f>('TE BE'!$AA$8+'TE BF'!$AA$8+'TE CVA'!$AA$8)*1</f>
        <v>282.91739971702214</v>
      </c>
      <c r="AB1025" s="6">
        <f>$K$1025*$V$1025</f>
        <v>0</v>
      </c>
      <c r="AC1025" s="6">
        <f>$M$1025*$W$1025</f>
        <v>312265.24108000001</v>
      </c>
      <c r="AD1025" s="6">
        <f>$O$1025*$X$1025</f>
        <v>480053.28748000006</v>
      </c>
      <c r="AE1025" s="6">
        <f>$K$1025*$Y$1025</f>
        <v>0</v>
      </c>
      <c r="AF1025" s="6">
        <f ca="1">$M$1025*$Z$1025</f>
        <v>351673.27171038423</v>
      </c>
      <c r="AG1025" s="6">
        <f>$O$1025*$AA$1025</f>
        <v>590424.84814784897</v>
      </c>
    </row>
    <row r="1026" spans="1:33" ht="11.25" customHeight="1" x14ac:dyDescent="0.25">
      <c r="A1026" s="4" t="s">
        <v>59</v>
      </c>
      <c r="B1026" s="4" t="s">
        <v>35</v>
      </c>
      <c r="C1026" s="4" t="s">
        <v>36</v>
      </c>
      <c r="D1026" s="4" t="s">
        <v>42</v>
      </c>
      <c r="E1026" s="4" t="s">
        <v>25</v>
      </c>
      <c r="F1026" s="4" t="s">
        <v>25</v>
      </c>
      <c r="G1026" s="4" t="s">
        <v>25</v>
      </c>
      <c r="H1026" s="4" t="s">
        <v>38</v>
      </c>
      <c r="I1026" s="5">
        <v>44470</v>
      </c>
      <c r="J1026" s="6">
        <v>0</v>
      </c>
      <c r="K1026" s="6">
        <v>0</v>
      </c>
      <c r="L1026" s="6">
        <v>-5.0209999999999999</v>
      </c>
      <c r="M1026" s="6">
        <v>-5.0209999999999999</v>
      </c>
      <c r="N1026" s="6">
        <v>-5.0209999999999999</v>
      </c>
      <c r="O1026" s="6">
        <v>-5.0209999999999999</v>
      </c>
      <c r="P1026" s="6">
        <v>0</v>
      </c>
      <c r="Q1026" s="4" t="s">
        <v>26</v>
      </c>
      <c r="R1026" s="4">
        <v>0</v>
      </c>
      <c r="S1026" s="6">
        <v>0</v>
      </c>
      <c r="T1026" s="6">
        <v>19</v>
      </c>
      <c r="U1026" s="6">
        <v>67</v>
      </c>
      <c r="V1026" s="6">
        <f>IF(ISERROR(VLOOKUP($S$1026,'TAR FIN'!$A$1:$O$95,15,0)),0,VLOOKUP($S$1026,'TAR FIN'!$A$1:$O$95,15,0))</f>
        <v>0</v>
      </c>
      <c r="W1026" s="6">
        <f>IF(ISERROR(VLOOKUP($T$1026,'TAR FIN'!$A$1:$O$95,15,0)),0,VLOOKUP($T$1026,'TAR FIN'!$A$1:$O$95,15,0))</f>
        <v>149.63</v>
      </c>
      <c r="X1026" s="6">
        <f>IF(ISERROR(VLOOKUP($U$1026,'TAR FIN'!$A$1:$O$95,15,0)),0,VLOOKUP($U$1026,'TAR FIN'!$A$1:$O$95,15,0))</f>
        <v>230.03</v>
      </c>
      <c r="Y1026" s="6"/>
      <c r="Z1026" s="6">
        <f ca="1">('TUSD BE'!$AM$17+'TUSD BF'!$AM$17+'TUSD CVA'!$AM$17)*1</f>
        <v>168.51338132937991</v>
      </c>
      <c r="AA1026" s="6">
        <f>('TE BE'!$AA$8+'TE BF'!$AA$8+'TE CVA'!$AA$8)*1</f>
        <v>282.91739971702214</v>
      </c>
      <c r="AB1026" s="6">
        <f>$K$1026*$V$1026</f>
        <v>0</v>
      </c>
      <c r="AC1026" s="6">
        <f>$M$1026*$W$1026</f>
        <v>-751.29223000000002</v>
      </c>
      <c r="AD1026" s="6">
        <f>$O$1026*$X$1026</f>
        <v>-1154.98063</v>
      </c>
      <c r="AE1026" s="6">
        <f>$K$1026*$Y$1026</f>
        <v>0</v>
      </c>
      <c r="AF1026" s="6">
        <f ca="1">$M$1026*$Z$1026</f>
        <v>-846.10568765481651</v>
      </c>
      <c r="AG1026" s="6">
        <f>$O$1026*$AA$1026</f>
        <v>-1420.5282639791681</v>
      </c>
    </row>
    <row r="1027" spans="1:33" ht="11.25" customHeight="1" x14ac:dyDescent="0.25">
      <c r="A1027" s="4" t="s">
        <v>59</v>
      </c>
      <c r="B1027" s="4" t="s">
        <v>35</v>
      </c>
      <c r="C1027" s="4" t="s">
        <v>36</v>
      </c>
      <c r="D1027" s="4" t="s">
        <v>42</v>
      </c>
      <c r="E1027" s="4" t="s">
        <v>25</v>
      </c>
      <c r="F1027" s="4" t="s">
        <v>25</v>
      </c>
      <c r="G1027" s="4" t="s">
        <v>25</v>
      </c>
      <c r="H1027" s="4" t="s">
        <v>38</v>
      </c>
      <c r="I1027" s="5">
        <v>44470</v>
      </c>
      <c r="J1027" s="6">
        <v>0</v>
      </c>
      <c r="K1027" s="6">
        <v>0</v>
      </c>
      <c r="L1027" s="6">
        <v>519.255</v>
      </c>
      <c r="M1027" s="6">
        <v>519.255</v>
      </c>
      <c r="N1027" s="6">
        <v>519.255</v>
      </c>
      <c r="O1027" s="6">
        <v>519.255</v>
      </c>
      <c r="P1027" s="6">
        <v>0</v>
      </c>
      <c r="Q1027" s="4" t="s">
        <v>26</v>
      </c>
      <c r="R1027" s="4">
        <v>0</v>
      </c>
      <c r="S1027" s="6">
        <v>0</v>
      </c>
      <c r="T1027" s="6">
        <v>19</v>
      </c>
      <c r="U1027" s="6">
        <v>67</v>
      </c>
      <c r="V1027" s="6">
        <f>IF(ISERROR(VLOOKUP($S$1027,'TAR FIN'!$A$1:$O$95,15,0)),0,VLOOKUP($S$1027,'TAR FIN'!$A$1:$O$95,15,0))</f>
        <v>0</v>
      </c>
      <c r="W1027" s="6">
        <f>IF(ISERROR(VLOOKUP($T$1027,'TAR FIN'!$A$1:$O$95,15,0)),0,VLOOKUP($T$1027,'TAR FIN'!$A$1:$O$95,15,0))</f>
        <v>149.63</v>
      </c>
      <c r="X1027" s="6">
        <f>IF(ISERROR(VLOOKUP($U$1027,'TAR FIN'!$A$1:$O$95,15,0)),0,VLOOKUP($U$1027,'TAR FIN'!$A$1:$O$95,15,0))</f>
        <v>230.03</v>
      </c>
      <c r="Y1027" s="6"/>
      <c r="Z1027" s="6">
        <f ca="1">('TUSD BE'!$AM$17+'TUSD BF'!$AM$17+'TUSD CVA'!$AM$17)*1</f>
        <v>168.51338132937991</v>
      </c>
      <c r="AA1027" s="6">
        <f>('TE BE'!$AA$8+'TE BF'!$AA$8+'TE CVA'!$AA$8)*1</f>
        <v>282.91739971702214</v>
      </c>
      <c r="AB1027" s="6">
        <f>$K$1027*$V$1027</f>
        <v>0</v>
      </c>
      <c r="AC1027" s="6">
        <f>$M$1027*$W$1027</f>
        <v>77696.125650000002</v>
      </c>
      <c r="AD1027" s="6">
        <f>$O$1027*$X$1027</f>
        <v>119444.22765</v>
      </c>
      <c r="AE1027" s="6">
        <f>$K$1027*$Y$1027</f>
        <v>0</v>
      </c>
      <c r="AF1027" s="6">
        <f ca="1">$M$1027*$Z$1027</f>
        <v>87501.415822187162</v>
      </c>
      <c r="AG1027" s="6">
        <f>$O$1027*$AA$1027</f>
        <v>146906.27439006232</v>
      </c>
    </row>
    <row r="1028" spans="1:33" ht="11.25" customHeight="1" x14ac:dyDescent="0.25">
      <c r="A1028" s="4" t="s">
        <v>59</v>
      </c>
      <c r="B1028" s="4" t="s">
        <v>35</v>
      </c>
      <c r="C1028" s="4" t="s">
        <v>36</v>
      </c>
      <c r="D1028" s="4" t="s">
        <v>42</v>
      </c>
      <c r="E1028" s="4" t="s">
        <v>25</v>
      </c>
      <c r="F1028" s="4" t="s">
        <v>25</v>
      </c>
      <c r="G1028" s="4" t="s">
        <v>25</v>
      </c>
      <c r="H1028" s="4" t="s">
        <v>38</v>
      </c>
      <c r="I1028" s="5">
        <v>44470</v>
      </c>
      <c r="J1028" s="6">
        <v>0</v>
      </c>
      <c r="K1028" s="6">
        <v>0</v>
      </c>
      <c r="L1028" s="6">
        <v>979.41499999999996</v>
      </c>
      <c r="M1028" s="6">
        <v>979.41499999999996</v>
      </c>
      <c r="N1028" s="6">
        <v>0</v>
      </c>
      <c r="O1028" s="6">
        <v>0</v>
      </c>
      <c r="P1028" s="6">
        <v>0</v>
      </c>
      <c r="Q1028" s="4" t="s">
        <v>60</v>
      </c>
      <c r="R1028" s="4">
        <v>0</v>
      </c>
      <c r="S1028" s="6">
        <v>0</v>
      </c>
      <c r="T1028" s="6">
        <v>19</v>
      </c>
      <c r="U1028" s="6">
        <v>0</v>
      </c>
      <c r="V1028" s="6">
        <f>IF(ISERROR(VLOOKUP($S$1028,'TAR FIN'!$A$1:$O$95,15,0)),0,VLOOKUP($S$1028,'TAR FIN'!$A$1:$O$95,15,0))</f>
        <v>0</v>
      </c>
      <c r="W1028" s="6">
        <f>IF(ISERROR(VLOOKUP($T$1028,'TAR FIN'!$A$1:$O$95,15,0)),0,VLOOKUP($T$1028,'TAR FIN'!$A$1:$O$95,15,0))</f>
        <v>149.63</v>
      </c>
      <c r="X1028" s="6">
        <f>IF(ISERROR(VLOOKUP($U$1028,'TAR FIN'!$A$1:$O$95,15,0)),0,VLOOKUP($U$1028,'TAR FIN'!$A$1:$O$95,15,0))</f>
        <v>0</v>
      </c>
      <c r="Y1028" s="6"/>
      <c r="Z1028" s="6">
        <f ca="1">('TUSD BE'!$AM$17+'TUSD BF'!$AM$17+'TUSD CVA'!$AM$17)*1</f>
        <v>168.51338132937991</v>
      </c>
      <c r="AA1028" s="6"/>
      <c r="AB1028" s="6">
        <f>$K$1028*$V$1028</f>
        <v>0</v>
      </c>
      <c r="AC1028" s="6">
        <f>$M$1028*$W$1028</f>
        <v>146549.86645</v>
      </c>
      <c r="AD1028" s="6">
        <f>$O$1028*$X$1028</f>
        <v>0</v>
      </c>
      <c r="AE1028" s="6">
        <f>$K$1028*$Y$1028</f>
        <v>0</v>
      </c>
      <c r="AF1028" s="6">
        <f ca="1">$M$1028*$Z$1028</f>
        <v>165044.53337471461</v>
      </c>
      <c r="AG1028" s="6">
        <f>$O$1028*$AA$1028</f>
        <v>0</v>
      </c>
    </row>
    <row r="1029" spans="1:33" ht="11.25" customHeight="1" x14ac:dyDescent="0.25">
      <c r="A1029" s="4" t="s">
        <v>21</v>
      </c>
      <c r="B1029" s="4" t="s">
        <v>35</v>
      </c>
      <c r="C1029" s="4" t="s">
        <v>36</v>
      </c>
      <c r="D1029" s="4" t="s">
        <v>42</v>
      </c>
      <c r="E1029" s="4" t="s">
        <v>25</v>
      </c>
      <c r="F1029" s="4" t="s">
        <v>25</v>
      </c>
      <c r="G1029" s="4" t="s">
        <v>25</v>
      </c>
      <c r="H1029" s="4" t="s">
        <v>25</v>
      </c>
      <c r="I1029" s="5">
        <v>44136</v>
      </c>
      <c r="J1029" s="6">
        <v>101891</v>
      </c>
      <c r="K1029" s="6">
        <v>101891</v>
      </c>
      <c r="L1029" s="6">
        <v>0</v>
      </c>
      <c r="M1029" s="6">
        <v>0</v>
      </c>
      <c r="N1029" s="6">
        <v>0</v>
      </c>
      <c r="O1029" s="6">
        <v>0</v>
      </c>
      <c r="P1029" s="6">
        <v>343</v>
      </c>
      <c r="Q1029" s="4" t="s">
        <v>26</v>
      </c>
      <c r="R1029" s="4">
        <v>0</v>
      </c>
      <c r="S1029" s="6">
        <v>23</v>
      </c>
      <c r="T1029" s="6">
        <v>0</v>
      </c>
      <c r="U1029" s="6">
        <v>0</v>
      </c>
      <c r="V1029" s="6">
        <f>IF(ISERROR(VLOOKUP($S$1029,'TAR FIN'!$A$1:$O$95,15,0)),0,VLOOKUP($S$1029,'TAR FIN'!$A$1:$O$95,15,0))</f>
        <v>28.57</v>
      </c>
      <c r="W1029" s="6">
        <f>IF(ISERROR(VLOOKUP($T$1029,'TAR FIN'!$A$1:$O$95,15,0)),0,VLOOKUP($T$1029,'TAR FIN'!$A$1:$O$95,15,0))</f>
        <v>0</v>
      </c>
      <c r="X1029" s="6">
        <f>IF(ISERROR(VLOOKUP($U$1029,'TAR FIN'!$A$1:$O$95,15,0)),0,VLOOKUP($U$1029,'TAR FIN'!$A$1:$O$95,15,0))</f>
        <v>0</v>
      </c>
      <c r="Y1029" s="6">
        <f ca="1">('TUSD BE'!$AM$15+'TUSD BF'!$AM$15+'TUSD CVA'!$AM$15)*1</f>
        <v>31.93064187172984</v>
      </c>
      <c r="Z1029" s="6"/>
      <c r="AA1029" s="6"/>
      <c r="AB1029" s="6">
        <f>$K$1029*$V$1029</f>
        <v>2911025.87</v>
      </c>
      <c r="AC1029" s="6">
        <f>$M$1029*$W$1029</f>
        <v>0</v>
      </c>
      <c r="AD1029" s="6">
        <f>$O$1029*$X$1029</f>
        <v>0</v>
      </c>
      <c r="AE1029" s="6">
        <f ca="1">$K$1029*$Y$1029</f>
        <v>3253445.0309524252</v>
      </c>
      <c r="AF1029" s="6">
        <f>$M$1029*$Z$1029</f>
        <v>0</v>
      </c>
      <c r="AG1029" s="6">
        <f>$O$1029*$AA$1029</f>
        <v>0</v>
      </c>
    </row>
    <row r="1030" spans="1:33" ht="11.25" customHeight="1" x14ac:dyDescent="0.25">
      <c r="A1030" s="4" t="s">
        <v>27</v>
      </c>
      <c r="B1030" s="4" t="s">
        <v>35</v>
      </c>
      <c r="C1030" s="4" t="s">
        <v>36</v>
      </c>
      <c r="D1030" s="4" t="s">
        <v>42</v>
      </c>
      <c r="E1030" s="4" t="s">
        <v>25</v>
      </c>
      <c r="F1030" s="4" t="s">
        <v>25</v>
      </c>
      <c r="G1030" s="4" t="s">
        <v>25</v>
      </c>
      <c r="H1030" s="4" t="s">
        <v>25</v>
      </c>
      <c r="I1030" s="5">
        <v>44136</v>
      </c>
      <c r="J1030" s="6">
        <v>-6</v>
      </c>
      <c r="K1030" s="6">
        <v>-6</v>
      </c>
      <c r="L1030" s="6">
        <v>0</v>
      </c>
      <c r="M1030" s="6">
        <v>0</v>
      </c>
      <c r="N1030" s="6">
        <v>0</v>
      </c>
      <c r="O1030" s="6">
        <v>0</v>
      </c>
      <c r="P1030" s="6">
        <v>-1</v>
      </c>
      <c r="Q1030" s="4" t="s">
        <v>26</v>
      </c>
      <c r="R1030" s="4">
        <v>0</v>
      </c>
      <c r="S1030" s="6">
        <v>23</v>
      </c>
      <c r="T1030" s="6">
        <v>0</v>
      </c>
      <c r="U1030" s="6">
        <v>0</v>
      </c>
      <c r="V1030" s="6">
        <f>IF(ISERROR(VLOOKUP($S$1030,'TAR FIN'!$A$1:$O$95,15,0)),0,VLOOKUP($S$1030,'TAR FIN'!$A$1:$O$95,15,0))</f>
        <v>28.57</v>
      </c>
      <c r="W1030" s="6">
        <f>IF(ISERROR(VLOOKUP($T$1030,'TAR FIN'!$A$1:$O$95,15,0)),0,VLOOKUP($T$1030,'TAR FIN'!$A$1:$O$95,15,0))</f>
        <v>0</v>
      </c>
      <c r="X1030" s="6">
        <f>IF(ISERROR(VLOOKUP($U$1030,'TAR FIN'!$A$1:$O$95,15,0)),0,VLOOKUP($U$1030,'TAR FIN'!$A$1:$O$95,15,0))</f>
        <v>0</v>
      </c>
      <c r="Y1030" s="6">
        <f ca="1">('TUSD BE'!$AM$15+'TUSD BF'!$AM$15+'TUSD CVA'!$AM$15)*1</f>
        <v>31.93064187172984</v>
      </c>
      <c r="Z1030" s="6"/>
      <c r="AA1030" s="6"/>
      <c r="AB1030" s="6">
        <f>$K$1030*$V$1030</f>
        <v>-171.42000000000002</v>
      </c>
      <c r="AC1030" s="6">
        <f>$M$1030*$W$1030</f>
        <v>0</v>
      </c>
      <c r="AD1030" s="6">
        <f>$O$1030*$X$1030</f>
        <v>0</v>
      </c>
      <c r="AE1030" s="6">
        <f ca="1">$K$1030*$Y$1030</f>
        <v>-191.58385123037903</v>
      </c>
      <c r="AF1030" s="6">
        <f>$M$1030*$Z$1030</f>
        <v>0</v>
      </c>
      <c r="AG1030" s="6">
        <f>$O$1030*$AA$1030</f>
        <v>0</v>
      </c>
    </row>
    <row r="1031" spans="1:33" ht="11.25" customHeight="1" x14ac:dyDescent="0.25">
      <c r="A1031" s="4" t="s">
        <v>28</v>
      </c>
      <c r="B1031" s="4" t="s">
        <v>35</v>
      </c>
      <c r="C1031" s="4" t="s">
        <v>36</v>
      </c>
      <c r="D1031" s="4" t="s">
        <v>42</v>
      </c>
      <c r="E1031" s="4" t="s">
        <v>25</v>
      </c>
      <c r="F1031" s="4" t="s">
        <v>25</v>
      </c>
      <c r="G1031" s="4" t="s">
        <v>25</v>
      </c>
      <c r="H1031" s="4" t="s">
        <v>25</v>
      </c>
      <c r="I1031" s="5">
        <v>44136</v>
      </c>
      <c r="J1031" s="6">
        <v>11895</v>
      </c>
      <c r="K1031" s="6">
        <v>11895</v>
      </c>
      <c r="L1031" s="6">
        <v>0</v>
      </c>
      <c r="M1031" s="6">
        <v>0</v>
      </c>
      <c r="N1031" s="6">
        <v>0</v>
      </c>
      <c r="O1031" s="6">
        <v>0</v>
      </c>
      <c r="P1031" s="6">
        <v>71</v>
      </c>
      <c r="Q1031" s="4" t="s">
        <v>26</v>
      </c>
      <c r="R1031" s="4">
        <v>0</v>
      </c>
      <c r="S1031" s="6">
        <v>23</v>
      </c>
      <c r="T1031" s="6">
        <v>0</v>
      </c>
      <c r="U1031" s="6">
        <v>0</v>
      </c>
      <c r="V1031" s="6">
        <f>IF(ISERROR(VLOOKUP($S$1031,'TAR FIN'!$A$1:$O$95,15,0)),0,VLOOKUP($S$1031,'TAR FIN'!$A$1:$O$95,15,0))</f>
        <v>28.57</v>
      </c>
      <c r="W1031" s="6">
        <f>IF(ISERROR(VLOOKUP($T$1031,'TAR FIN'!$A$1:$O$95,15,0)),0,VLOOKUP($T$1031,'TAR FIN'!$A$1:$O$95,15,0))</f>
        <v>0</v>
      </c>
      <c r="X1031" s="6">
        <f>IF(ISERROR(VLOOKUP($U$1031,'TAR FIN'!$A$1:$O$95,15,0)),0,VLOOKUP($U$1031,'TAR FIN'!$A$1:$O$95,15,0))</f>
        <v>0</v>
      </c>
      <c r="Y1031" s="6">
        <f ca="1">('TUSD BE'!$AM$15+'TUSD BF'!$AM$15+'TUSD CVA'!$AM$15)*1</f>
        <v>31.93064187172984</v>
      </c>
      <c r="Z1031" s="6"/>
      <c r="AA1031" s="6"/>
      <c r="AB1031" s="6">
        <f>$K$1031*$V$1031</f>
        <v>339840.15</v>
      </c>
      <c r="AC1031" s="6">
        <f>$M$1031*$W$1031</f>
        <v>0</v>
      </c>
      <c r="AD1031" s="6">
        <f>$O$1031*$X$1031</f>
        <v>0</v>
      </c>
      <c r="AE1031" s="6">
        <f ca="1">$K$1031*$Y$1031</f>
        <v>379814.98506422644</v>
      </c>
      <c r="AF1031" s="6">
        <f>$M$1031*$Z$1031</f>
        <v>0</v>
      </c>
      <c r="AG1031" s="6">
        <f>$O$1031*$AA$1031</f>
        <v>0</v>
      </c>
    </row>
    <row r="1032" spans="1:33" ht="11.25" customHeight="1" x14ac:dyDescent="0.25">
      <c r="A1032" s="4" t="s">
        <v>29</v>
      </c>
      <c r="B1032" s="4" t="s">
        <v>35</v>
      </c>
      <c r="C1032" s="4" t="s">
        <v>36</v>
      </c>
      <c r="D1032" s="4" t="s">
        <v>42</v>
      </c>
      <c r="E1032" s="4" t="s">
        <v>25</v>
      </c>
      <c r="F1032" s="4" t="s">
        <v>25</v>
      </c>
      <c r="G1032" s="4" t="s">
        <v>25</v>
      </c>
      <c r="H1032" s="4" t="s">
        <v>25</v>
      </c>
      <c r="I1032" s="5">
        <v>44136</v>
      </c>
      <c r="J1032" s="6">
        <v>-94</v>
      </c>
      <c r="K1032" s="6">
        <v>-94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4" t="s">
        <v>26</v>
      </c>
      <c r="R1032" s="4">
        <v>0</v>
      </c>
      <c r="S1032" s="6">
        <v>23</v>
      </c>
      <c r="T1032" s="6">
        <v>0</v>
      </c>
      <c r="U1032" s="6">
        <v>0</v>
      </c>
      <c r="V1032" s="6">
        <f>IF(ISERROR(VLOOKUP($S$1032,'TAR FIN'!$A$1:$O$95,15,0)),0,VLOOKUP($S$1032,'TAR FIN'!$A$1:$O$95,15,0))</f>
        <v>28.57</v>
      </c>
      <c r="W1032" s="6">
        <f>IF(ISERROR(VLOOKUP($T$1032,'TAR FIN'!$A$1:$O$95,15,0)),0,VLOOKUP($T$1032,'TAR FIN'!$A$1:$O$95,15,0))</f>
        <v>0</v>
      </c>
      <c r="X1032" s="6">
        <f>IF(ISERROR(VLOOKUP($U$1032,'TAR FIN'!$A$1:$O$95,15,0)),0,VLOOKUP($U$1032,'TAR FIN'!$A$1:$O$95,15,0))</f>
        <v>0</v>
      </c>
      <c r="Y1032" s="6">
        <f ca="1">('TUSD BE'!$AM$15+'TUSD BF'!$AM$15+'TUSD CVA'!$AM$15)*1</f>
        <v>31.93064187172984</v>
      </c>
      <c r="Z1032" s="6"/>
      <c r="AA1032" s="6"/>
      <c r="AB1032" s="6">
        <f>$K$1032*$V$1032</f>
        <v>-2685.58</v>
      </c>
      <c r="AC1032" s="6">
        <f>$M$1032*$W$1032</f>
        <v>0</v>
      </c>
      <c r="AD1032" s="6">
        <f>$O$1032*$X$1032</f>
        <v>0</v>
      </c>
      <c r="AE1032" s="6">
        <f ca="1">$K$1032*$Y$1032</f>
        <v>-3001.4803359426051</v>
      </c>
      <c r="AF1032" s="6">
        <f>$M$1032*$Z$1032</f>
        <v>0</v>
      </c>
      <c r="AG1032" s="6">
        <f>$O$1032*$AA$1032</f>
        <v>0</v>
      </c>
    </row>
    <row r="1033" spans="1:33" ht="11.25" customHeight="1" x14ac:dyDescent="0.25">
      <c r="A1033" s="4" t="s">
        <v>30</v>
      </c>
      <c r="B1033" s="4" t="s">
        <v>35</v>
      </c>
      <c r="C1033" s="4" t="s">
        <v>36</v>
      </c>
      <c r="D1033" s="4" t="s">
        <v>42</v>
      </c>
      <c r="E1033" s="4" t="s">
        <v>25</v>
      </c>
      <c r="F1033" s="4" t="s">
        <v>25</v>
      </c>
      <c r="G1033" s="4" t="s">
        <v>25</v>
      </c>
      <c r="H1033" s="4" t="s">
        <v>25</v>
      </c>
      <c r="I1033" s="5">
        <v>44136</v>
      </c>
      <c r="J1033" s="6">
        <v>1719</v>
      </c>
      <c r="K1033" s="6">
        <v>1719</v>
      </c>
      <c r="L1033" s="6">
        <v>0</v>
      </c>
      <c r="M1033" s="6">
        <v>0</v>
      </c>
      <c r="N1033" s="6">
        <v>0</v>
      </c>
      <c r="O1033" s="6">
        <v>0</v>
      </c>
      <c r="P1033" s="6">
        <v>6</v>
      </c>
      <c r="Q1033" s="4" t="s">
        <v>26</v>
      </c>
      <c r="R1033" s="4">
        <v>0</v>
      </c>
      <c r="S1033" s="6">
        <v>23</v>
      </c>
      <c r="T1033" s="6">
        <v>0</v>
      </c>
      <c r="U1033" s="6">
        <v>0</v>
      </c>
      <c r="V1033" s="6">
        <f>IF(ISERROR(VLOOKUP($S$1033,'TAR FIN'!$A$1:$O$95,15,0)),0,VLOOKUP($S$1033,'TAR FIN'!$A$1:$O$95,15,0))</f>
        <v>28.57</v>
      </c>
      <c r="W1033" s="6">
        <f>IF(ISERROR(VLOOKUP($T$1033,'TAR FIN'!$A$1:$O$95,15,0)),0,VLOOKUP($T$1033,'TAR FIN'!$A$1:$O$95,15,0))</f>
        <v>0</v>
      </c>
      <c r="X1033" s="6">
        <f>IF(ISERROR(VLOOKUP($U$1033,'TAR FIN'!$A$1:$O$95,15,0)),0,VLOOKUP($U$1033,'TAR FIN'!$A$1:$O$95,15,0))</f>
        <v>0</v>
      </c>
      <c r="Y1033" s="6">
        <f ca="1">('TUSD BE'!$AM$15+'TUSD BF'!$AM$15+'TUSD CVA'!$AM$15)*1</f>
        <v>31.93064187172984</v>
      </c>
      <c r="Z1033" s="6"/>
      <c r="AA1033" s="6"/>
      <c r="AB1033" s="6">
        <f>$K$1033*$V$1033</f>
        <v>49111.83</v>
      </c>
      <c r="AC1033" s="6">
        <f>$M$1033*$W$1033</f>
        <v>0</v>
      </c>
      <c r="AD1033" s="6">
        <f>$O$1033*$X$1033</f>
        <v>0</v>
      </c>
      <c r="AE1033" s="6">
        <f ca="1">$K$1033*$Y$1033</f>
        <v>54888.773377503596</v>
      </c>
      <c r="AF1033" s="6">
        <f>$M$1033*$Z$1033</f>
        <v>0</v>
      </c>
      <c r="AG1033" s="6">
        <f>$O$1033*$AA$1033</f>
        <v>0</v>
      </c>
    </row>
    <row r="1034" spans="1:33" ht="11.25" customHeight="1" x14ac:dyDescent="0.25">
      <c r="A1034" s="4" t="s">
        <v>21</v>
      </c>
      <c r="B1034" s="4" t="s">
        <v>35</v>
      </c>
      <c r="C1034" s="4" t="s">
        <v>36</v>
      </c>
      <c r="D1034" s="4" t="s">
        <v>42</v>
      </c>
      <c r="E1034" s="4" t="s">
        <v>25</v>
      </c>
      <c r="F1034" s="4" t="s">
        <v>25</v>
      </c>
      <c r="G1034" s="4" t="s">
        <v>25</v>
      </c>
      <c r="H1034" s="4" t="s">
        <v>25</v>
      </c>
      <c r="I1034" s="5">
        <v>44166</v>
      </c>
      <c r="J1034" s="6">
        <v>102849</v>
      </c>
      <c r="K1034" s="6">
        <v>102849</v>
      </c>
      <c r="L1034" s="6">
        <v>0</v>
      </c>
      <c r="M1034" s="6">
        <v>0</v>
      </c>
      <c r="N1034" s="6">
        <v>0</v>
      </c>
      <c r="O1034" s="6">
        <v>0</v>
      </c>
      <c r="P1034" s="6">
        <v>346</v>
      </c>
      <c r="Q1034" s="4" t="s">
        <v>26</v>
      </c>
      <c r="R1034" s="4">
        <v>0</v>
      </c>
      <c r="S1034" s="6">
        <v>23</v>
      </c>
      <c r="T1034" s="6">
        <v>0</v>
      </c>
      <c r="U1034" s="6">
        <v>0</v>
      </c>
      <c r="V1034" s="6">
        <f>IF(ISERROR(VLOOKUP($S$1034,'TAR FIN'!$A$1:$O$95,15,0)),0,VLOOKUP($S$1034,'TAR FIN'!$A$1:$O$95,15,0))</f>
        <v>28.57</v>
      </c>
      <c r="W1034" s="6">
        <f>IF(ISERROR(VLOOKUP($T$1034,'TAR FIN'!$A$1:$O$95,15,0)),0,VLOOKUP($T$1034,'TAR FIN'!$A$1:$O$95,15,0))</f>
        <v>0</v>
      </c>
      <c r="X1034" s="6">
        <f>IF(ISERROR(VLOOKUP($U$1034,'TAR FIN'!$A$1:$O$95,15,0)),0,VLOOKUP($U$1034,'TAR FIN'!$A$1:$O$95,15,0))</f>
        <v>0</v>
      </c>
      <c r="Y1034" s="6">
        <f ca="1">('TUSD BE'!$AM$15+'TUSD BF'!$AM$15+'TUSD CVA'!$AM$15)*1</f>
        <v>31.93064187172984</v>
      </c>
      <c r="Z1034" s="6"/>
      <c r="AA1034" s="6"/>
      <c r="AB1034" s="6">
        <f>$K$1034*$V$1034</f>
        <v>2938395.93</v>
      </c>
      <c r="AC1034" s="6">
        <f>$M$1034*$W$1034</f>
        <v>0</v>
      </c>
      <c r="AD1034" s="6">
        <f>$O$1034*$X$1034</f>
        <v>0</v>
      </c>
      <c r="AE1034" s="6">
        <f ca="1">$K$1034*$Y$1034</f>
        <v>3284034.5858655423</v>
      </c>
      <c r="AF1034" s="6">
        <f>$M$1034*$Z$1034</f>
        <v>0</v>
      </c>
      <c r="AG1034" s="6">
        <f>$O$1034*$AA$1034</f>
        <v>0</v>
      </c>
    </row>
    <row r="1035" spans="1:33" ht="11.25" customHeight="1" x14ac:dyDescent="0.25">
      <c r="A1035" s="4" t="s">
        <v>27</v>
      </c>
      <c r="B1035" s="4" t="s">
        <v>35</v>
      </c>
      <c r="C1035" s="4" t="s">
        <v>36</v>
      </c>
      <c r="D1035" s="4" t="s">
        <v>42</v>
      </c>
      <c r="E1035" s="4" t="s">
        <v>25</v>
      </c>
      <c r="F1035" s="4" t="s">
        <v>25</v>
      </c>
      <c r="G1035" s="4" t="s">
        <v>25</v>
      </c>
      <c r="H1035" s="4" t="s">
        <v>25</v>
      </c>
      <c r="I1035" s="5">
        <v>44166</v>
      </c>
      <c r="J1035" s="6">
        <v>-808</v>
      </c>
      <c r="K1035" s="6">
        <v>-808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4" t="s">
        <v>26</v>
      </c>
      <c r="R1035" s="4">
        <v>0</v>
      </c>
      <c r="S1035" s="6">
        <v>23</v>
      </c>
      <c r="T1035" s="6">
        <v>0</v>
      </c>
      <c r="U1035" s="6">
        <v>0</v>
      </c>
      <c r="V1035" s="6">
        <f>IF(ISERROR(VLOOKUP($S$1035,'TAR FIN'!$A$1:$O$95,15,0)),0,VLOOKUP($S$1035,'TAR FIN'!$A$1:$O$95,15,0))</f>
        <v>28.57</v>
      </c>
      <c r="W1035" s="6">
        <f>IF(ISERROR(VLOOKUP($T$1035,'TAR FIN'!$A$1:$O$95,15,0)),0,VLOOKUP($T$1035,'TAR FIN'!$A$1:$O$95,15,0))</f>
        <v>0</v>
      </c>
      <c r="X1035" s="6">
        <f>IF(ISERROR(VLOOKUP($U$1035,'TAR FIN'!$A$1:$O$95,15,0)),0,VLOOKUP($U$1035,'TAR FIN'!$A$1:$O$95,15,0))</f>
        <v>0</v>
      </c>
      <c r="Y1035" s="6">
        <f ca="1">('TUSD BE'!$AM$15+'TUSD BF'!$AM$15+'TUSD CVA'!$AM$15)*1</f>
        <v>31.93064187172984</v>
      </c>
      <c r="Z1035" s="6"/>
      <c r="AA1035" s="6"/>
      <c r="AB1035" s="6">
        <f>$K$1035*$V$1035</f>
        <v>-23084.560000000001</v>
      </c>
      <c r="AC1035" s="6">
        <f>$M$1035*$W$1035</f>
        <v>0</v>
      </c>
      <c r="AD1035" s="6">
        <f>$O$1035*$X$1035</f>
        <v>0</v>
      </c>
      <c r="AE1035" s="6">
        <f ca="1">$K$1035*$Y$1035</f>
        <v>-25799.95863235771</v>
      </c>
      <c r="AF1035" s="6">
        <f>$M$1035*$Z$1035</f>
        <v>0</v>
      </c>
      <c r="AG1035" s="6">
        <f>$O$1035*$AA$1035</f>
        <v>0</v>
      </c>
    </row>
    <row r="1036" spans="1:33" ht="11.25" customHeight="1" x14ac:dyDescent="0.25">
      <c r="A1036" s="4" t="s">
        <v>28</v>
      </c>
      <c r="B1036" s="4" t="s">
        <v>35</v>
      </c>
      <c r="C1036" s="4" t="s">
        <v>36</v>
      </c>
      <c r="D1036" s="4" t="s">
        <v>42</v>
      </c>
      <c r="E1036" s="4" t="s">
        <v>25</v>
      </c>
      <c r="F1036" s="4" t="s">
        <v>25</v>
      </c>
      <c r="G1036" s="4" t="s">
        <v>25</v>
      </c>
      <c r="H1036" s="4" t="s">
        <v>25</v>
      </c>
      <c r="I1036" s="5">
        <v>44166</v>
      </c>
      <c r="J1036" s="6">
        <v>12157</v>
      </c>
      <c r="K1036" s="6">
        <v>12157</v>
      </c>
      <c r="L1036" s="6">
        <v>0</v>
      </c>
      <c r="M1036" s="6">
        <v>0</v>
      </c>
      <c r="N1036" s="6">
        <v>0</v>
      </c>
      <c r="O1036" s="6">
        <v>0</v>
      </c>
      <c r="P1036" s="6">
        <v>72</v>
      </c>
      <c r="Q1036" s="4" t="s">
        <v>26</v>
      </c>
      <c r="R1036" s="4">
        <v>0</v>
      </c>
      <c r="S1036" s="6">
        <v>23</v>
      </c>
      <c r="T1036" s="6">
        <v>0</v>
      </c>
      <c r="U1036" s="6">
        <v>0</v>
      </c>
      <c r="V1036" s="6">
        <f>IF(ISERROR(VLOOKUP($S$1036,'TAR FIN'!$A$1:$O$95,15,0)),0,VLOOKUP($S$1036,'TAR FIN'!$A$1:$O$95,15,0))</f>
        <v>28.57</v>
      </c>
      <c r="W1036" s="6">
        <f>IF(ISERROR(VLOOKUP($T$1036,'TAR FIN'!$A$1:$O$95,15,0)),0,VLOOKUP($T$1036,'TAR FIN'!$A$1:$O$95,15,0))</f>
        <v>0</v>
      </c>
      <c r="X1036" s="6">
        <f>IF(ISERROR(VLOOKUP($U$1036,'TAR FIN'!$A$1:$O$95,15,0)),0,VLOOKUP($U$1036,'TAR FIN'!$A$1:$O$95,15,0))</f>
        <v>0</v>
      </c>
      <c r="Y1036" s="6">
        <f ca="1">('TUSD BE'!$AM$15+'TUSD BF'!$AM$15+'TUSD CVA'!$AM$15)*1</f>
        <v>31.93064187172984</v>
      </c>
      <c r="Z1036" s="6"/>
      <c r="AA1036" s="6"/>
      <c r="AB1036" s="6">
        <f>$K$1036*$V$1036</f>
        <v>347325.49</v>
      </c>
      <c r="AC1036" s="6">
        <f>$M$1036*$W$1036</f>
        <v>0</v>
      </c>
      <c r="AD1036" s="6">
        <f>$O$1036*$X$1036</f>
        <v>0</v>
      </c>
      <c r="AE1036" s="6">
        <f ca="1">$K$1036*$Y$1036</f>
        <v>388180.81323461968</v>
      </c>
      <c r="AF1036" s="6">
        <f>$M$1036*$Z$1036</f>
        <v>0</v>
      </c>
      <c r="AG1036" s="6">
        <f>$O$1036*$AA$1036</f>
        <v>0</v>
      </c>
    </row>
    <row r="1037" spans="1:33" ht="11.25" customHeight="1" x14ac:dyDescent="0.25">
      <c r="A1037" s="4" t="s">
        <v>30</v>
      </c>
      <c r="B1037" s="4" t="s">
        <v>35</v>
      </c>
      <c r="C1037" s="4" t="s">
        <v>36</v>
      </c>
      <c r="D1037" s="4" t="s">
        <v>42</v>
      </c>
      <c r="E1037" s="4" t="s">
        <v>25</v>
      </c>
      <c r="F1037" s="4" t="s">
        <v>25</v>
      </c>
      <c r="G1037" s="4" t="s">
        <v>25</v>
      </c>
      <c r="H1037" s="4" t="s">
        <v>25</v>
      </c>
      <c r="I1037" s="5">
        <v>44166</v>
      </c>
      <c r="J1037" s="6">
        <v>1662</v>
      </c>
      <c r="K1037" s="6">
        <v>1662</v>
      </c>
      <c r="L1037" s="6">
        <v>0</v>
      </c>
      <c r="M1037" s="6">
        <v>0</v>
      </c>
      <c r="N1037" s="6">
        <v>0</v>
      </c>
      <c r="O1037" s="6">
        <v>0</v>
      </c>
      <c r="P1037" s="6">
        <v>6</v>
      </c>
      <c r="Q1037" s="4" t="s">
        <v>26</v>
      </c>
      <c r="R1037" s="4">
        <v>0</v>
      </c>
      <c r="S1037" s="6">
        <v>23</v>
      </c>
      <c r="T1037" s="6">
        <v>0</v>
      </c>
      <c r="U1037" s="6">
        <v>0</v>
      </c>
      <c r="V1037" s="6">
        <f>IF(ISERROR(VLOOKUP($S$1037,'TAR FIN'!$A$1:$O$95,15,0)),0,VLOOKUP($S$1037,'TAR FIN'!$A$1:$O$95,15,0))</f>
        <v>28.57</v>
      </c>
      <c r="W1037" s="6">
        <f>IF(ISERROR(VLOOKUP($T$1037,'TAR FIN'!$A$1:$O$95,15,0)),0,VLOOKUP($T$1037,'TAR FIN'!$A$1:$O$95,15,0))</f>
        <v>0</v>
      </c>
      <c r="X1037" s="6">
        <f>IF(ISERROR(VLOOKUP($U$1037,'TAR FIN'!$A$1:$O$95,15,0)),0,VLOOKUP($U$1037,'TAR FIN'!$A$1:$O$95,15,0))</f>
        <v>0</v>
      </c>
      <c r="Y1037" s="6">
        <f ca="1">('TUSD BE'!$AM$15+'TUSD BF'!$AM$15+'TUSD CVA'!$AM$15)*1</f>
        <v>31.93064187172984</v>
      </c>
      <c r="Z1037" s="6"/>
      <c r="AA1037" s="6"/>
      <c r="AB1037" s="6">
        <f>$K$1037*$V$1037</f>
        <v>47483.340000000004</v>
      </c>
      <c r="AC1037" s="6">
        <f>$M$1037*$W$1037</f>
        <v>0</v>
      </c>
      <c r="AD1037" s="6">
        <f>$O$1037*$X$1037</f>
        <v>0</v>
      </c>
      <c r="AE1037" s="6">
        <f ca="1">$K$1037*$Y$1037</f>
        <v>53068.726790814995</v>
      </c>
      <c r="AF1037" s="6">
        <f>$M$1037*$Z$1037</f>
        <v>0</v>
      </c>
      <c r="AG1037" s="6">
        <f>$O$1037*$AA$1037</f>
        <v>0</v>
      </c>
    </row>
    <row r="1038" spans="1:33" ht="11.25" customHeight="1" x14ac:dyDescent="0.25">
      <c r="A1038" s="4" t="s">
        <v>21</v>
      </c>
      <c r="B1038" s="4" t="s">
        <v>35</v>
      </c>
      <c r="C1038" s="4" t="s">
        <v>36</v>
      </c>
      <c r="D1038" s="4" t="s">
        <v>42</v>
      </c>
      <c r="E1038" s="4" t="s">
        <v>25</v>
      </c>
      <c r="F1038" s="4" t="s">
        <v>25</v>
      </c>
      <c r="G1038" s="4" t="s">
        <v>25</v>
      </c>
      <c r="H1038" s="4" t="s">
        <v>25</v>
      </c>
      <c r="I1038" s="5">
        <v>44197</v>
      </c>
      <c r="J1038" s="6">
        <v>102774</v>
      </c>
      <c r="K1038" s="6">
        <v>102774</v>
      </c>
      <c r="L1038" s="6">
        <v>0</v>
      </c>
      <c r="M1038" s="6">
        <v>0</v>
      </c>
      <c r="N1038" s="6">
        <v>0</v>
      </c>
      <c r="O1038" s="6">
        <v>0</v>
      </c>
      <c r="P1038" s="6">
        <v>343</v>
      </c>
      <c r="Q1038" s="4" t="s">
        <v>26</v>
      </c>
      <c r="R1038" s="4">
        <v>0</v>
      </c>
      <c r="S1038" s="6">
        <v>23</v>
      </c>
      <c r="T1038" s="6">
        <v>0</v>
      </c>
      <c r="U1038" s="6">
        <v>0</v>
      </c>
      <c r="V1038" s="6">
        <f>IF(ISERROR(VLOOKUP($S$1038,'TAR FIN'!$A$1:$O$95,15,0)),0,VLOOKUP($S$1038,'TAR FIN'!$A$1:$O$95,15,0))</f>
        <v>28.57</v>
      </c>
      <c r="W1038" s="6">
        <f>IF(ISERROR(VLOOKUP($T$1038,'TAR FIN'!$A$1:$O$95,15,0)),0,VLOOKUP($T$1038,'TAR FIN'!$A$1:$O$95,15,0))</f>
        <v>0</v>
      </c>
      <c r="X1038" s="6">
        <f>IF(ISERROR(VLOOKUP($U$1038,'TAR FIN'!$A$1:$O$95,15,0)),0,VLOOKUP($U$1038,'TAR FIN'!$A$1:$O$95,15,0))</f>
        <v>0</v>
      </c>
      <c r="Y1038" s="6">
        <f ca="1">('TUSD BE'!$AM$15+'TUSD BF'!$AM$15+'TUSD CVA'!$AM$15)*1</f>
        <v>31.93064187172984</v>
      </c>
      <c r="Z1038" s="6"/>
      <c r="AA1038" s="6"/>
      <c r="AB1038" s="6">
        <f>$K$1038*$V$1038</f>
        <v>2936253.18</v>
      </c>
      <c r="AC1038" s="6">
        <f>$M$1038*$W$1038</f>
        <v>0</v>
      </c>
      <c r="AD1038" s="6">
        <f>$O$1038*$X$1038</f>
        <v>0</v>
      </c>
      <c r="AE1038" s="6">
        <f ca="1">$K$1038*$Y$1038</f>
        <v>3281639.7877251627</v>
      </c>
      <c r="AF1038" s="6">
        <f>$M$1038*$Z$1038</f>
        <v>0</v>
      </c>
      <c r="AG1038" s="6">
        <f>$O$1038*$AA$1038</f>
        <v>0</v>
      </c>
    </row>
    <row r="1039" spans="1:33" ht="11.25" customHeight="1" x14ac:dyDescent="0.25">
      <c r="A1039" s="4" t="s">
        <v>27</v>
      </c>
      <c r="B1039" s="4" t="s">
        <v>35</v>
      </c>
      <c r="C1039" s="4" t="s">
        <v>36</v>
      </c>
      <c r="D1039" s="4" t="s">
        <v>42</v>
      </c>
      <c r="E1039" s="4" t="s">
        <v>25</v>
      </c>
      <c r="F1039" s="4" t="s">
        <v>25</v>
      </c>
      <c r="G1039" s="4" t="s">
        <v>25</v>
      </c>
      <c r="H1039" s="4" t="s">
        <v>25</v>
      </c>
      <c r="I1039" s="5">
        <v>44197</v>
      </c>
      <c r="J1039" s="6">
        <v>-235</v>
      </c>
      <c r="K1039" s="6">
        <v>-235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4" t="s">
        <v>26</v>
      </c>
      <c r="R1039" s="4">
        <v>0</v>
      </c>
      <c r="S1039" s="6">
        <v>23</v>
      </c>
      <c r="T1039" s="6">
        <v>0</v>
      </c>
      <c r="U1039" s="6">
        <v>0</v>
      </c>
      <c r="V1039" s="6">
        <f>IF(ISERROR(VLOOKUP($S$1039,'TAR FIN'!$A$1:$O$95,15,0)),0,VLOOKUP($S$1039,'TAR FIN'!$A$1:$O$95,15,0))</f>
        <v>28.57</v>
      </c>
      <c r="W1039" s="6">
        <f>IF(ISERROR(VLOOKUP($T$1039,'TAR FIN'!$A$1:$O$95,15,0)),0,VLOOKUP($T$1039,'TAR FIN'!$A$1:$O$95,15,0))</f>
        <v>0</v>
      </c>
      <c r="X1039" s="6">
        <f>IF(ISERROR(VLOOKUP($U$1039,'TAR FIN'!$A$1:$O$95,15,0)),0,VLOOKUP($U$1039,'TAR FIN'!$A$1:$O$95,15,0))</f>
        <v>0</v>
      </c>
      <c r="Y1039" s="6">
        <f ca="1">('TUSD BE'!$AM$15+'TUSD BF'!$AM$15+'TUSD CVA'!$AM$15)*1</f>
        <v>31.93064187172984</v>
      </c>
      <c r="Z1039" s="6"/>
      <c r="AA1039" s="6"/>
      <c r="AB1039" s="6">
        <f>$K$1039*$V$1039</f>
        <v>-6713.95</v>
      </c>
      <c r="AC1039" s="6">
        <f>$M$1039*$W$1039</f>
        <v>0</v>
      </c>
      <c r="AD1039" s="6">
        <f>$O$1039*$X$1039</f>
        <v>0</v>
      </c>
      <c r="AE1039" s="6">
        <f ca="1">$K$1039*$Y$1039</f>
        <v>-7503.7008398565122</v>
      </c>
      <c r="AF1039" s="6">
        <f>$M$1039*$Z$1039</f>
        <v>0</v>
      </c>
      <c r="AG1039" s="6">
        <f>$O$1039*$AA$1039</f>
        <v>0</v>
      </c>
    </row>
    <row r="1040" spans="1:33" ht="11.25" customHeight="1" x14ac:dyDescent="0.25">
      <c r="A1040" s="4" t="s">
        <v>28</v>
      </c>
      <c r="B1040" s="4" t="s">
        <v>35</v>
      </c>
      <c r="C1040" s="4" t="s">
        <v>36</v>
      </c>
      <c r="D1040" s="4" t="s">
        <v>42</v>
      </c>
      <c r="E1040" s="4" t="s">
        <v>25</v>
      </c>
      <c r="F1040" s="4" t="s">
        <v>25</v>
      </c>
      <c r="G1040" s="4" t="s">
        <v>25</v>
      </c>
      <c r="H1040" s="4" t="s">
        <v>25</v>
      </c>
      <c r="I1040" s="5">
        <v>44197</v>
      </c>
      <c r="J1040" s="6">
        <v>12493</v>
      </c>
      <c r="K1040" s="6">
        <v>12493</v>
      </c>
      <c r="L1040" s="6">
        <v>0</v>
      </c>
      <c r="M1040" s="6">
        <v>0</v>
      </c>
      <c r="N1040" s="6">
        <v>0</v>
      </c>
      <c r="O1040" s="6">
        <v>0</v>
      </c>
      <c r="P1040" s="6">
        <v>73</v>
      </c>
      <c r="Q1040" s="4" t="s">
        <v>26</v>
      </c>
      <c r="R1040" s="4">
        <v>0</v>
      </c>
      <c r="S1040" s="6">
        <v>23</v>
      </c>
      <c r="T1040" s="6">
        <v>0</v>
      </c>
      <c r="U1040" s="6">
        <v>0</v>
      </c>
      <c r="V1040" s="6">
        <f>IF(ISERROR(VLOOKUP($S$1040,'TAR FIN'!$A$1:$O$95,15,0)),0,VLOOKUP($S$1040,'TAR FIN'!$A$1:$O$95,15,0))</f>
        <v>28.57</v>
      </c>
      <c r="W1040" s="6">
        <f>IF(ISERROR(VLOOKUP($T$1040,'TAR FIN'!$A$1:$O$95,15,0)),0,VLOOKUP($T$1040,'TAR FIN'!$A$1:$O$95,15,0))</f>
        <v>0</v>
      </c>
      <c r="X1040" s="6">
        <f>IF(ISERROR(VLOOKUP($U$1040,'TAR FIN'!$A$1:$O$95,15,0)),0,VLOOKUP($U$1040,'TAR FIN'!$A$1:$O$95,15,0))</f>
        <v>0</v>
      </c>
      <c r="Y1040" s="6">
        <f ca="1">('TUSD BE'!$AM$15+'TUSD BF'!$AM$15+'TUSD CVA'!$AM$15)*1</f>
        <v>31.93064187172984</v>
      </c>
      <c r="Z1040" s="6"/>
      <c r="AA1040" s="6"/>
      <c r="AB1040" s="6">
        <f>$K$1040*$V$1040</f>
        <v>356925.01</v>
      </c>
      <c r="AC1040" s="6">
        <f>$M$1040*$W$1040</f>
        <v>0</v>
      </c>
      <c r="AD1040" s="6">
        <f>$O$1040*$X$1040</f>
        <v>0</v>
      </c>
      <c r="AE1040" s="6">
        <f ca="1">$K$1040*$Y$1040</f>
        <v>398909.50890352088</v>
      </c>
      <c r="AF1040" s="6">
        <f>$M$1040*$Z$1040</f>
        <v>0</v>
      </c>
      <c r="AG1040" s="6">
        <f>$O$1040*$AA$1040</f>
        <v>0</v>
      </c>
    </row>
    <row r="1041" spans="1:33" ht="11.25" customHeight="1" x14ac:dyDescent="0.25">
      <c r="A1041" s="4" t="s">
        <v>29</v>
      </c>
      <c r="B1041" s="4" t="s">
        <v>35</v>
      </c>
      <c r="C1041" s="4" t="s">
        <v>36</v>
      </c>
      <c r="D1041" s="4" t="s">
        <v>42</v>
      </c>
      <c r="E1041" s="4" t="s">
        <v>25</v>
      </c>
      <c r="F1041" s="4" t="s">
        <v>25</v>
      </c>
      <c r="G1041" s="4" t="s">
        <v>25</v>
      </c>
      <c r="H1041" s="4" t="s">
        <v>25</v>
      </c>
      <c r="I1041" s="5">
        <v>44197</v>
      </c>
      <c r="J1041" s="6">
        <v>-3717</v>
      </c>
      <c r="K1041" s="6">
        <v>-3717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4" t="s">
        <v>26</v>
      </c>
      <c r="R1041" s="4">
        <v>0</v>
      </c>
      <c r="S1041" s="6">
        <v>23</v>
      </c>
      <c r="T1041" s="6">
        <v>0</v>
      </c>
      <c r="U1041" s="6">
        <v>0</v>
      </c>
      <c r="V1041" s="6">
        <f>IF(ISERROR(VLOOKUP($S$1041,'TAR FIN'!$A$1:$O$95,15,0)),0,VLOOKUP($S$1041,'TAR FIN'!$A$1:$O$95,15,0))</f>
        <v>28.57</v>
      </c>
      <c r="W1041" s="6">
        <f>IF(ISERROR(VLOOKUP($T$1041,'TAR FIN'!$A$1:$O$95,15,0)),0,VLOOKUP($T$1041,'TAR FIN'!$A$1:$O$95,15,0))</f>
        <v>0</v>
      </c>
      <c r="X1041" s="6">
        <f>IF(ISERROR(VLOOKUP($U$1041,'TAR FIN'!$A$1:$O$95,15,0)),0,VLOOKUP($U$1041,'TAR FIN'!$A$1:$O$95,15,0))</f>
        <v>0</v>
      </c>
      <c r="Y1041" s="6">
        <f ca="1">('TUSD BE'!$AM$15+'TUSD BF'!$AM$15+'TUSD CVA'!$AM$15)*1</f>
        <v>31.93064187172984</v>
      </c>
      <c r="Z1041" s="6"/>
      <c r="AA1041" s="6"/>
      <c r="AB1041" s="6">
        <f>$K$1041*$V$1041</f>
        <v>-106194.69</v>
      </c>
      <c r="AC1041" s="6">
        <f>$M$1041*$W$1041</f>
        <v>0</v>
      </c>
      <c r="AD1041" s="6">
        <f>$O$1041*$X$1041</f>
        <v>0</v>
      </c>
      <c r="AE1041" s="6">
        <f ca="1">$K$1041*$Y$1041</f>
        <v>-118686.19583721981</v>
      </c>
      <c r="AF1041" s="6">
        <f>$M$1041*$Z$1041</f>
        <v>0</v>
      </c>
      <c r="AG1041" s="6">
        <f>$O$1041*$AA$1041</f>
        <v>0</v>
      </c>
    </row>
    <row r="1042" spans="1:33" ht="11.25" customHeight="1" x14ac:dyDescent="0.25">
      <c r="A1042" s="4" t="s">
        <v>30</v>
      </c>
      <c r="B1042" s="4" t="s">
        <v>35</v>
      </c>
      <c r="C1042" s="4" t="s">
        <v>36</v>
      </c>
      <c r="D1042" s="4" t="s">
        <v>42</v>
      </c>
      <c r="E1042" s="4" t="s">
        <v>25</v>
      </c>
      <c r="F1042" s="4" t="s">
        <v>25</v>
      </c>
      <c r="G1042" s="4" t="s">
        <v>25</v>
      </c>
      <c r="H1042" s="4" t="s">
        <v>25</v>
      </c>
      <c r="I1042" s="5">
        <v>44197</v>
      </c>
      <c r="J1042" s="6">
        <v>1673</v>
      </c>
      <c r="K1042" s="6">
        <v>1673</v>
      </c>
      <c r="L1042" s="6">
        <v>0</v>
      </c>
      <c r="M1042" s="6">
        <v>0</v>
      </c>
      <c r="N1042" s="6">
        <v>0</v>
      </c>
      <c r="O1042" s="6">
        <v>0</v>
      </c>
      <c r="P1042" s="6">
        <v>6</v>
      </c>
      <c r="Q1042" s="4" t="s">
        <v>26</v>
      </c>
      <c r="R1042" s="4">
        <v>0</v>
      </c>
      <c r="S1042" s="6">
        <v>23</v>
      </c>
      <c r="T1042" s="6">
        <v>0</v>
      </c>
      <c r="U1042" s="6">
        <v>0</v>
      </c>
      <c r="V1042" s="6">
        <f>IF(ISERROR(VLOOKUP($S$1042,'TAR FIN'!$A$1:$O$95,15,0)),0,VLOOKUP($S$1042,'TAR FIN'!$A$1:$O$95,15,0))</f>
        <v>28.57</v>
      </c>
      <c r="W1042" s="6">
        <f>IF(ISERROR(VLOOKUP($T$1042,'TAR FIN'!$A$1:$O$95,15,0)),0,VLOOKUP($T$1042,'TAR FIN'!$A$1:$O$95,15,0))</f>
        <v>0</v>
      </c>
      <c r="X1042" s="6">
        <f>IF(ISERROR(VLOOKUP($U$1042,'TAR FIN'!$A$1:$O$95,15,0)),0,VLOOKUP($U$1042,'TAR FIN'!$A$1:$O$95,15,0))</f>
        <v>0</v>
      </c>
      <c r="Y1042" s="6">
        <f ca="1">('TUSD BE'!$AM$15+'TUSD BF'!$AM$15+'TUSD CVA'!$AM$15)*1</f>
        <v>31.93064187172984</v>
      </c>
      <c r="Z1042" s="6"/>
      <c r="AA1042" s="6"/>
      <c r="AB1042" s="6">
        <f>$K$1042*$V$1042</f>
        <v>47797.61</v>
      </c>
      <c r="AC1042" s="6">
        <f>$M$1042*$W$1042</f>
        <v>0</v>
      </c>
      <c r="AD1042" s="6">
        <f>$O$1042*$X$1042</f>
        <v>0</v>
      </c>
      <c r="AE1042" s="6">
        <f ca="1">$K$1042*$Y$1042</f>
        <v>53419.96385140402</v>
      </c>
      <c r="AF1042" s="6">
        <f>$M$1042*$Z$1042</f>
        <v>0</v>
      </c>
      <c r="AG1042" s="6">
        <f>$O$1042*$AA$1042</f>
        <v>0</v>
      </c>
    </row>
    <row r="1043" spans="1:33" ht="11.25" customHeight="1" x14ac:dyDescent="0.25">
      <c r="A1043" s="4" t="s">
        <v>21</v>
      </c>
      <c r="B1043" s="4" t="s">
        <v>35</v>
      </c>
      <c r="C1043" s="4" t="s">
        <v>36</v>
      </c>
      <c r="D1043" s="4" t="s">
        <v>42</v>
      </c>
      <c r="E1043" s="4" t="s">
        <v>25</v>
      </c>
      <c r="F1043" s="4" t="s">
        <v>25</v>
      </c>
      <c r="G1043" s="4" t="s">
        <v>25</v>
      </c>
      <c r="H1043" s="4" t="s">
        <v>25</v>
      </c>
      <c r="I1043" s="5">
        <v>44228</v>
      </c>
      <c r="J1043" s="6">
        <v>101003</v>
      </c>
      <c r="K1043" s="6">
        <v>101003</v>
      </c>
      <c r="L1043" s="6">
        <v>0</v>
      </c>
      <c r="M1043" s="6">
        <v>0</v>
      </c>
      <c r="N1043" s="6">
        <v>0</v>
      </c>
      <c r="O1043" s="6">
        <v>0</v>
      </c>
      <c r="P1043" s="6">
        <v>347</v>
      </c>
      <c r="Q1043" s="4" t="s">
        <v>26</v>
      </c>
      <c r="R1043" s="4">
        <v>0</v>
      </c>
      <c r="S1043" s="6">
        <v>23</v>
      </c>
      <c r="T1043" s="6">
        <v>0</v>
      </c>
      <c r="U1043" s="6">
        <v>0</v>
      </c>
      <c r="V1043" s="6">
        <f>IF(ISERROR(VLOOKUP($S$1043,'TAR FIN'!$A$1:$O$95,15,0)),0,VLOOKUP($S$1043,'TAR FIN'!$A$1:$O$95,15,0))</f>
        <v>28.57</v>
      </c>
      <c r="W1043" s="6">
        <f>IF(ISERROR(VLOOKUP($T$1043,'TAR FIN'!$A$1:$O$95,15,0)),0,VLOOKUP($T$1043,'TAR FIN'!$A$1:$O$95,15,0))</f>
        <v>0</v>
      </c>
      <c r="X1043" s="6">
        <f>IF(ISERROR(VLOOKUP($U$1043,'TAR FIN'!$A$1:$O$95,15,0)),0,VLOOKUP($U$1043,'TAR FIN'!$A$1:$O$95,15,0))</f>
        <v>0</v>
      </c>
      <c r="Y1043" s="6">
        <f ca="1">('TUSD BE'!$AM$15+'TUSD BF'!$AM$15+'TUSD CVA'!$AM$15)*1</f>
        <v>31.93064187172984</v>
      </c>
      <c r="Z1043" s="6"/>
      <c r="AA1043" s="6"/>
      <c r="AB1043" s="6">
        <f>$K$1043*$V$1043</f>
        <v>2885655.71</v>
      </c>
      <c r="AC1043" s="6">
        <f>$M$1043*$W$1043</f>
        <v>0</v>
      </c>
      <c r="AD1043" s="6">
        <f>$O$1043*$X$1043</f>
        <v>0</v>
      </c>
      <c r="AE1043" s="6">
        <f ca="1">$K$1043*$Y$1043</f>
        <v>3225090.6209703288</v>
      </c>
      <c r="AF1043" s="6">
        <f>$M$1043*$Z$1043</f>
        <v>0</v>
      </c>
      <c r="AG1043" s="6">
        <f>$O$1043*$AA$1043</f>
        <v>0</v>
      </c>
    </row>
    <row r="1044" spans="1:33" ht="11.25" customHeight="1" x14ac:dyDescent="0.25">
      <c r="A1044" s="4" t="s">
        <v>27</v>
      </c>
      <c r="B1044" s="4" t="s">
        <v>35</v>
      </c>
      <c r="C1044" s="4" t="s">
        <v>36</v>
      </c>
      <c r="D1044" s="4" t="s">
        <v>42</v>
      </c>
      <c r="E1044" s="4" t="s">
        <v>25</v>
      </c>
      <c r="F1044" s="4" t="s">
        <v>25</v>
      </c>
      <c r="G1044" s="4" t="s">
        <v>25</v>
      </c>
      <c r="H1044" s="4" t="s">
        <v>25</v>
      </c>
      <c r="I1044" s="5">
        <v>44228</v>
      </c>
      <c r="J1044" s="6">
        <v>-2862</v>
      </c>
      <c r="K1044" s="6">
        <v>-2862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4" t="s">
        <v>26</v>
      </c>
      <c r="R1044" s="4">
        <v>0</v>
      </c>
      <c r="S1044" s="6">
        <v>23</v>
      </c>
      <c r="T1044" s="6">
        <v>0</v>
      </c>
      <c r="U1044" s="6">
        <v>0</v>
      </c>
      <c r="V1044" s="6">
        <f>IF(ISERROR(VLOOKUP($S$1044,'TAR FIN'!$A$1:$O$95,15,0)),0,VLOOKUP($S$1044,'TAR FIN'!$A$1:$O$95,15,0))</f>
        <v>28.57</v>
      </c>
      <c r="W1044" s="6">
        <f>IF(ISERROR(VLOOKUP($T$1044,'TAR FIN'!$A$1:$O$95,15,0)),0,VLOOKUP($T$1044,'TAR FIN'!$A$1:$O$95,15,0))</f>
        <v>0</v>
      </c>
      <c r="X1044" s="6">
        <f>IF(ISERROR(VLOOKUP($U$1044,'TAR FIN'!$A$1:$O$95,15,0)),0,VLOOKUP($U$1044,'TAR FIN'!$A$1:$O$95,15,0))</f>
        <v>0</v>
      </c>
      <c r="Y1044" s="6">
        <f ca="1">('TUSD BE'!$AM$15+'TUSD BF'!$AM$15+'TUSD CVA'!$AM$15)*1</f>
        <v>31.93064187172984</v>
      </c>
      <c r="Z1044" s="6"/>
      <c r="AA1044" s="6"/>
      <c r="AB1044" s="6">
        <f>$K$1044*$V$1044</f>
        <v>-81767.34</v>
      </c>
      <c r="AC1044" s="6">
        <f>$M$1044*$W$1044</f>
        <v>0</v>
      </c>
      <c r="AD1044" s="6">
        <f>$O$1044*$X$1044</f>
        <v>0</v>
      </c>
      <c r="AE1044" s="6">
        <f ca="1">$K$1044*$Y$1044</f>
        <v>-91385.497036890796</v>
      </c>
      <c r="AF1044" s="6">
        <f>$M$1044*$Z$1044</f>
        <v>0</v>
      </c>
      <c r="AG1044" s="6">
        <f>$O$1044*$AA$1044</f>
        <v>0</v>
      </c>
    </row>
    <row r="1045" spans="1:33" ht="11.25" customHeight="1" x14ac:dyDescent="0.25">
      <c r="A1045" s="4" t="s">
        <v>28</v>
      </c>
      <c r="B1045" s="4" t="s">
        <v>35</v>
      </c>
      <c r="C1045" s="4" t="s">
        <v>36</v>
      </c>
      <c r="D1045" s="4" t="s">
        <v>42</v>
      </c>
      <c r="E1045" s="4" t="s">
        <v>25</v>
      </c>
      <c r="F1045" s="4" t="s">
        <v>25</v>
      </c>
      <c r="G1045" s="4" t="s">
        <v>25</v>
      </c>
      <c r="H1045" s="4" t="s">
        <v>25</v>
      </c>
      <c r="I1045" s="5">
        <v>44228</v>
      </c>
      <c r="J1045" s="6">
        <v>11986</v>
      </c>
      <c r="K1045" s="6">
        <v>11986</v>
      </c>
      <c r="L1045" s="6">
        <v>0</v>
      </c>
      <c r="M1045" s="6">
        <v>0</v>
      </c>
      <c r="N1045" s="6">
        <v>0</v>
      </c>
      <c r="O1045" s="6">
        <v>0</v>
      </c>
      <c r="P1045" s="6">
        <v>71</v>
      </c>
      <c r="Q1045" s="4" t="s">
        <v>26</v>
      </c>
      <c r="R1045" s="4">
        <v>0</v>
      </c>
      <c r="S1045" s="6">
        <v>23</v>
      </c>
      <c r="T1045" s="6">
        <v>0</v>
      </c>
      <c r="U1045" s="6">
        <v>0</v>
      </c>
      <c r="V1045" s="6">
        <f>IF(ISERROR(VLOOKUP($S$1045,'TAR FIN'!$A$1:$O$95,15,0)),0,VLOOKUP($S$1045,'TAR FIN'!$A$1:$O$95,15,0))</f>
        <v>28.57</v>
      </c>
      <c r="W1045" s="6">
        <f>IF(ISERROR(VLOOKUP($T$1045,'TAR FIN'!$A$1:$O$95,15,0)),0,VLOOKUP($T$1045,'TAR FIN'!$A$1:$O$95,15,0))</f>
        <v>0</v>
      </c>
      <c r="X1045" s="6">
        <f>IF(ISERROR(VLOOKUP($U$1045,'TAR FIN'!$A$1:$O$95,15,0)),0,VLOOKUP($U$1045,'TAR FIN'!$A$1:$O$95,15,0))</f>
        <v>0</v>
      </c>
      <c r="Y1045" s="6">
        <f ca="1">('TUSD BE'!$AM$15+'TUSD BF'!$AM$15+'TUSD CVA'!$AM$15)*1</f>
        <v>31.93064187172984</v>
      </c>
      <c r="Z1045" s="6"/>
      <c r="AA1045" s="6"/>
      <c r="AB1045" s="6">
        <f>$K$1045*$V$1045</f>
        <v>342440.02</v>
      </c>
      <c r="AC1045" s="6">
        <f>$M$1045*$W$1045</f>
        <v>0</v>
      </c>
      <c r="AD1045" s="6">
        <f>$O$1045*$X$1045</f>
        <v>0</v>
      </c>
      <c r="AE1045" s="6">
        <f ca="1">$K$1045*$Y$1045</f>
        <v>382720.67347455386</v>
      </c>
      <c r="AF1045" s="6">
        <f>$M$1045*$Z$1045</f>
        <v>0</v>
      </c>
      <c r="AG1045" s="6">
        <f>$O$1045*$AA$1045</f>
        <v>0</v>
      </c>
    </row>
    <row r="1046" spans="1:33" ht="11.25" customHeight="1" x14ac:dyDescent="0.25">
      <c r="A1046" s="4" t="s">
        <v>29</v>
      </c>
      <c r="B1046" s="4" t="s">
        <v>35</v>
      </c>
      <c r="C1046" s="4" t="s">
        <v>36</v>
      </c>
      <c r="D1046" s="4" t="s">
        <v>42</v>
      </c>
      <c r="E1046" s="4" t="s">
        <v>25</v>
      </c>
      <c r="F1046" s="4" t="s">
        <v>25</v>
      </c>
      <c r="G1046" s="4" t="s">
        <v>25</v>
      </c>
      <c r="H1046" s="4" t="s">
        <v>25</v>
      </c>
      <c r="I1046" s="5">
        <v>44228</v>
      </c>
      <c r="J1046" s="6">
        <v>-511</v>
      </c>
      <c r="K1046" s="6">
        <v>-511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4" t="s">
        <v>26</v>
      </c>
      <c r="R1046" s="4">
        <v>0</v>
      </c>
      <c r="S1046" s="6">
        <v>23</v>
      </c>
      <c r="T1046" s="6">
        <v>0</v>
      </c>
      <c r="U1046" s="6">
        <v>0</v>
      </c>
      <c r="V1046" s="6">
        <f>IF(ISERROR(VLOOKUP($S$1046,'TAR FIN'!$A$1:$O$95,15,0)),0,VLOOKUP($S$1046,'TAR FIN'!$A$1:$O$95,15,0))</f>
        <v>28.57</v>
      </c>
      <c r="W1046" s="6">
        <f>IF(ISERROR(VLOOKUP($T$1046,'TAR FIN'!$A$1:$O$95,15,0)),0,VLOOKUP($T$1046,'TAR FIN'!$A$1:$O$95,15,0))</f>
        <v>0</v>
      </c>
      <c r="X1046" s="6">
        <f>IF(ISERROR(VLOOKUP($U$1046,'TAR FIN'!$A$1:$O$95,15,0)),0,VLOOKUP($U$1046,'TAR FIN'!$A$1:$O$95,15,0))</f>
        <v>0</v>
      </c>
      <c r="Y1046" s="6">
        <f ca="1">('TUSD BE'!$AM$15+'TUSD BF'!$AM$15+'TUSD CVA'!$AM$15)*1</f>
        <v>31.93064187172984</v>
      </c>
      <c r="Z1046" s="6"/>
      <c r="AA1046" s="6"/>
      <c r="AB1046" s="6">
        <f>$K$1046*$V$1046</f>
        <v>-14599.27</v>
      </c>
      <c r="AC1046" s="6">
        <f>$M$1046*$W$1046</f>
        <v>0</v>
      </c>
      <c r="AD1046" s="6">
        <f>$O$1046*$X$1046</f>
        <v>0</v>
      </c>
      <c r="AE1046" s="6">
        <f ca="1">$K$1046*$Y$1046</f>
        <v>-16316.557996453948</v>
      </c>
      <c r="AF1046" s="6">
        <f>$M$1046*$Z$1046</f>
        <v>0</v>
      </c>
      <c r="AG1046" s="6">
        <f>$O$1046*$AA$1046</f>
        <v>0</v>
      </c>
    </row>
    <row r="1047" spans="1:33" ht="11.25" customHeight="1" x14ac:dyDescent="0.25">
      <c r="A1047" s="4" t="s">
        <v>30</v>
      </c>
      <c r="B1047" s="4" t="s">
        <v>35</v>
      </c>
      <c r="C1047" s="4" t="s">
        <v>36</v>
      </c>
      <c r="D1047" s="4" t="s">
        <v>42</v>
      </c>
      <c r="E1047" s="4" t="s">
        <v>25</v>
      </c>
      <c r="F1047" s="4" t="s">
        <v>25</v>
      </c>
      <c r="G1047" s="4" t="s">
        <v>25</v>
      </c>
      <c r="H1047" s="4" t="s">
        <v>25</v>
      </c>
      <c r="I1047" s="5">
        <v>44228</v>
      </c>
      <c r="J1047" s="6">
        <v>1706</v>
      </c>
      <c r="K1047" s="6">
        <v>1706</v>
      </c>
      <c r="L1047" s="6">
        <v>0</v>
      </c>
      <c r="M1047" s="6">
        <v>0</v>
      </c>
      <c r="N1047" s="6">
        <v>0</v>
      </c>
      <c r="O1047" s="6">
        <v>0</v>
      </c>
      <c r="P1047" s="6">
        <v>7</v>
      </c>
      <c r="Q1047" s="4" t="s">
        <v>26</v>
      </c>
      <c r="R1047" s="4">
        <v>0</v>
      </c>
      <c r="S1047" s="6">
        <v>23</v>
      </c>
      <c r="T1047" s="6">
        <v>0</v>
      </c>
      <c r="U1047" s="6">
        <v>0</v>
      </c>
      <c r="V1047" s="6">
        <f>IF(ISERROR(VLOOKUP($S$1047,'TAR FIN'!$A$1:$O$95,15,0)),0,VLOOKUP($S$1047,'TAR FIN'!$A$1:$O$95,15,0))</f>
        <v>28.57</v>
      </c>
      <c r="W1047" s="6">
        <f>IF(ISERROR(VLOOKUP($T$1047,'TAR FIN'!$A$1:$O$95,15,0)),0,VLOOKUP($T$1047,'TAR FIN'!$A$1:$O$95,15,0))</f>
        <v>0</v>
      </c>
      <c r="X1047" s="6">
        <f>IF(ISERROR(VLOOKUP($U$1047,'TAR FIN'!$A$1:$O$95,15,0)),0,VLOOKUP($U$1047,'TAR FIN'!$A$1:$O$95,15,0))</f>
        <v>0</v>
      </c>
      <c r="Y1047" s="6">
        <f ca="1">('TUSD BE'!$AM$15+'TUSD BF'!$AM$15+'TUSD CVA'!$AM$15)*1</f>
        <v>31.93064187172984</v>
      </c>
      <c r="Z1047" s="6"/>
      <c r="AA1047" s="6"/>
      <c r="AB1047" s="6">
        <f>$K$1047*$V$1047</f>
        <v>48740.42</v>
      </c>
      <c r="AC1047" s="6">
        <f>$M$1047*$W$1047</f>
        <v>0</v>
      </c>
      <c r="AD1047" s="6">
        <f>$O$1047*$X$1047</f>
        <v>0</v>
      </c>
      <c r="AE1047" s="6">
        <f ca="1">$K$1047*$Y$1047</f>
        <v>54473.675033171108</v>
      </c>
      <c r="AF1047" s="6">
        <f>$M$1047*$Z$1047</f>
        <v>0</v>
      </c>
      <c r="AG1047" s="6">
        <f>$O$1047*$AA$1047</f>
        <v>0</v>
      </c>
    </row>
    <row r="1048" spans="1:33" ht="11.25" customHeight="1" x14ac:dyDescent="0.25">
      <c r="A1048" s="4" t="s">
        <v>21</v>
      </c>
      <c r="B1048" s="4" t="s">
        <v>35</v>
      </c>
      <c r="C1048" s="4" t="s">
        <v>36</v>
      </c>
      <c r="D1048" s="4" t="s">
        <v>42</v>
      </c>
      <c r="E1048" s="4" t="s">
        <v>25</v>
      </c>
      <c r="F1048" s="4" t="s">
        <v>25</v>
      </c>
      <c r="G1048" s="4" t="s">
        <v>25</v>
      </c>
      <c r="H1048" s="4" t="s">
        <v>25</v>
      </c>
      <c r="I1048" s="5">
        <v>44256</v>
      </c>
      <c r="J1048" s="6">
        <v>101006</v>
      </c>
      <c r="K1048" s="6">
        <v>101006</v>
      </c>
      <c r="L1048" s="6">
        <v>0</v>
      </c>
      <c r="M1048" s="6">
        <v>0</v>
      </c>
      <c r="N1048" s="6">
        <v>0</v>
      </c>
      <c r="O1048" s="6">
        <v>0</v>
      </c>
      <c r="P1048" s="6">
        <v>345</v>
      </c>
      <c r="Q1048" s="4" t="s">
        <v>26</v>
      </c>
      <c r="R1048" s="4">
        <v>0</v>
      </c>
      <c r="S1048" s="6">
        <v>23</v>
      </c>
      <c r="T1048" s="6">
        <v>0</v>
      </c>
      <c r="U1048" s="6">
        <v>0</v>
      </c>
      <c r="V1048" s="6">
        <f>IF(ISERROR(VLOOKUP($S$1048,'TAR FIN'!$A$1:$O$95,15,0)),0,VLOOKUP($S$1048,'TAR FIN'!$A$1:$O$95,15,0))</f>
        <v>28.57</v>
      </c>
      <c r="W1048" s="6">
        <f>IF(ISERROR(VLOOKUP($T$1048,'TAR FIN'!$A$1:$O$95,15,0)),0,VLOOKUP($T$1048,'TAR FIN'!$A$1:$O$95,15,0))</f>
        <v>0</v>
      </c>
      <c r="X1048" s="6">
        <f>IF(ISERROR(VLOOKUP($U$1048,'TAR FIN'!$A$1:$O$95,15,0)),0,VLOOKUP($U$1048,'TAR FIN'!$A$1:$O$95,15,0))</f>
        <v>0</v>
      </c>
      <c r="Y1048" s="6">
        <f ca="1">('TUSD BE'!$AM$15+'TUSD BF'!$AM$15+'TUSD CVA'!$AM$15)*1</f>
        <v>31.93064187172984</v>
      </c>
      <c r="Z1048" s="6"/>
      <c r="AA1048" s="6"/>
      <c r="AB1048" s="6">
        <f>$K$1048*$V$1048</f>
        <v>2885741.42</v>
      </c>
      <c r="AC1048" s="6">
        <f>$M$1048*$W$1048</f>
        <v>0</v>
      </c>
      <c r="AD1048" s="6">
        <f>$O$1048*$X$1048</f>
        <v>0</v>
      </c>
      <c r="AE1048" s="6">
        <f ca="1">$K$1048*$Y$1048</f>
        <v>3225186.4128959444</v>
      </c>
      <c r="AF1048" s="6">
        <f>$M$1048*$Z$1048</f>
        <v>0</v>
      </c>
      <c r="AG1048" s="6">
        <f>$O$1048*$AA$1048</f>
        <v>0</v>
      </c>
    </row>
    <row r="1049" spans="1:33" ht="11.25" customHeight="1" x14ac:dyDescent="0.25">
      <c r="A1049" s="4" t="s">
        <v>28</v>
      </c>
      <c r="B1049" s="4" t="s">
        <v>35</v>
      </c>
      <c r="C1049" s="4" t="s">
        <v>36</v>
      </c>
      <c r="D1049" s="4" t="s">
        <v>42</v>
      </c>
      <c r="E1049" s="4" t="s">
        <v>25</v>
      </c>
      <c r="F1049" s="4" t="s">
        <v>25</v>
      </c>
      <c r="G1049" s="4" t="s">
        <v>25</v>
      </c>
      <c r="H1049" s="4" t="s">
        <v>25</v>
      </c>
      <c r="I1049" s="5">
        <v>44256</v>
      </c>
      <c r="J1049" s="6">
        <v>12321</v>
      </c>
      <c r="K1049" s="6">
        <v>12321</v>
      </c>
      <c r="L1049" s="6">
        <v>0</v>
      </c>
      <c r="M1049" s="6">
        <v>0</v>
      </c>
      <c r="N1049" s="6">
        <v>0</v>
      </c>
      <c r="O1049" s="6">
        <v>0</v>
      </c>
      <c r="P1049" s="6">
        <v>71</v>
      </c>
      <c r="Q1049" s="4" t="s">
        <v>26</v>
      </c>
      <c r="R1049" s="4">
        <v>0</v>
      </c>
      <c r="S1049" s="6">
        <v>23</v>
      </c>
      <c r="T1049" s="6">
        <v>0</v>
      </c>
      <c r="U1049" s="6">
        <v>0</v>
      </c>
      <c r="V1049" s="6">
        <f>IF(ISERROR(VLOOKUP($S$1049,'TAR FIN'!$A$1:$O$95,15,0)),0,VLOOKUP($S$1049,'TAR FIN'!$A$1:$O$95,15,0))</f>
        <v>28.57</v>
      </c>
      <c r="W1049" s="6">
        <f>IF(ISERROR(VLOOKUP($T$1049,'TAR FIN'!$A$1:$O$95,15,0)),0,VLOOKUP($T$1049,'TAR FIN'!$A$1:$O$95,15,0))</f>
        <v>0</v>
      </c>
      <c r="X1049" s="6">
        <f>IF(ISERROR(VLOOKUP($U$1049,'TAR FIN'!$A$1:$O$95,15,0)),0,VLOOKUP($U$1049,'TAR FIN'!$A$1:$O$95,15,0))</f>
        <v>0</v>
      </c>
      <c r="Y1049" s="6">
        <f ca="1">('TUSD BE'!$AM$15+'TUSD BF'!$AM$15+'TUSD CVA'!$AM$15)*1</f>
        <v>31.93064187172984</v>
      </c>
      <c r="Z1049" s="6"/>
      <c r="AA1049" s="6"/>
      <c r="AB1049" s="6">
        <f>$K$1049*$V$1049</f>
        <v>352010.97000000003</v>
      </c>
      <c r="AC1049" s="6">
        <f>$M$1049*$W$1049</f>
        <v>0</v>
      </c>
      <c r="AD1049" s="6">
        <f>$O$1049*$X$1049</f>
        <v>0</v>
      </c>
      <c r="AE1049" s="6">
        <f ca="1">$K$1049*$Y$1049</f>
        <v>393417.43850158335</v>
      </c>
      <c r="AF1049" s="6">
        <f>$M$1049*$Z$1049</f>
        <v>0</v>
      </c>
      <c r="AG1049" s="6">
        <f>$O$1049*$AA$1049</f>
        <v>0</v>
      </c>
    </row>
    <row r="1050" spans="1:33" ht="11.25" customHeight="1" x14ac:dyDescent="0.25">
      <c r="A1050" s="4" t="s">
        <v>29</v>
      </c>
      <c r="B1050" s="4" t="s">
        <v>35</v>
      </c>
      <c r="C1050" s="4" t="s">
        <v>36</v>
      </c>
      <c r="D1050" s="4" t="s">
        <v>42</v>
      </c>
      <c r="E1050" s="4" t="s">
        <v>25</v>
      </c>
      <c r="F1050" s="4" t="s">
        <v>25</v>
      </c>
      <c r="G1050" s="4" t="s">
        <v>25</v>
      </c>
      <c r="H1050" s="4" t="s">
        <v>25</v>
      </c>
      <c r="I1050" s="5">
        <v>44256</v>
      </c>
      <c r="J1050" s="6">
        <v>-275</v>
      </c>
      <c r="K1050" s="6">
        <v>-275</v>
      </c>
      <c r="L1050" s="6">
        <v>0</v>
      </c>
      <c r="M1050" s="6">
        <v>0</v>
      </c>
      <c r="N1050" s="6">
        <v>0</v>
      </c>
      <c r="O1050" s="6">
        <v>0</v>
      </c>
      <c r="P1050" s="6">
        <v>0</v>
      </c>
      <c r="Q1050" s="4" t="s">
        <v>26</v>
      </c>
      <c r="R1050" s="4">
        <v>0</v>
      </c>
      <c r="S1050" s="6">
        <v>23</v>
      </c>
      <c r="T1050" s="6">
        <v>0</v>
      </c>
      <c r="U1050" s="6">
        <v>0</v>
      </c>
      <c r="V1050" s="6">
        <f>IF(ISERROR(VLOOKUP($S$1050,'TAR FIN'!$A$1:$O$95,15,0)),0,VLOOKUP($S$1050,'TAR FIN'!$A$1:$O$95,15,0))</f>
        <v>28.57</v>
      </c>
      <c r="W1050" s="6">
        <f>IF(ISERROR(VLOOKUP($T$1050,'TAR FIN'!$A$1:$O$95,15,0)),0,VLOOKUP($T$1050,'TAR FIN'!$A$1:$O$95,15,0))</f>
        <v>0</v>
      </c>
      <c r="X1050" s="6">
        <f>IF(ISERROR(VLOOKUP($U$1050,'TAR FIN'!$A$1:$O$95,15,0)),0,VLOOKUP($U$1050,'TAR FIN'!$A$1:$O$95,15,0))</f>
        <v>0</v>
      </c>
      <c r="Y1050" s="6">
        <f ca="1">('TUSD BE'!$AM$15+'TUSD BF'!$AM$15+'TUSD CVA'!$AM$15)*1</f>
        <v>31.93064187172984</v>
      </c>
      <c r="Z1050" s="6"/>
      <c r="AA1050" s="6"/>
      <c r="AB1050" s="6">
        <f>$K$1050*$V$1050</f>
        <v>-7856.75</v>
      </c>
      <c r="AC1050" s="6">
        <f>$M$1050*$W$1050</f>
        <v>0</v>
      </c>
      <c r="AD1050" s="6">
        <f>$O$1050*$X$1050</f>
        <v>0</v>
      </c>
      <c r="AE1050" s="6">
        <f ca="1">$K$1050*$Y$1050</f>
        <v>-8780.9265147257065</v>
      </c>
      <c r="AF1050" s="6">
        <f>$M$1050*$Z$1050</f>
        <v>0</v>
      </c>
      <c r="AG1050" s="6">
        <f>$O$1050*$AA$1050</f>
        <v>0</v>
      </c>
    </row>
    <row r="1051" spans="1:33" ht="11.25" customHeight="1" x14ac:dyDescent="0.25">
      <c r="A1051" s="4" t="s">
        <v>30</v>
      </c>
      <c r="B1051" s="4" t="s">
        <v>35</v>
      </c>
      <c r="C1051" s="4" t="s">
        <v>36</v>
      </c>
      <c r="D1051" s="4" t="s">
        <v>42</v>
      </c>
      <c r="E1051" s="4" t="s">
        <v>25</v>
      </c>
      <c r="F1051" s="4" t="s">
        <v>25</v>
      </c>
      <c r="G1051" s="4" t="s">
        <v>25</v>
      </c>
      <c r="H1051" s="4" t="s">
        <v>25</v>
      </c>
      <c r="I1051" s="5">
        <v>44256</v>
      </c>
      <c r="J1051" s="6">
        <v>1745</v>
      </c>
      <c r="K1051" s="6">
        <v>1745</v>
      </c>
      <c r="L1051" s="6">
        <v>0</v>
      </c>
      <c r="M1051" s="6">
        <v>0</v>
      </c>
      <c r="N1051" s="6">
        <v>0</v>
      </c>
      <c r="O1051" s="6">
        <v>0</v>
      </c>
      <c r="P1051" s="6">
        <v>8</v>
      </c>
      <c r="Q1051" s="4" t="s">
        <v>26</v>
      </c>
      <c r="R1051" s="4">
        <v>0</v>
      </c>
      <c r="S1051" s="6">
        <v>23</v>
      </c>
      <c r="T1051" s="6">
        <v>0</v>
      </c>
      <c r="U1051" s="6">
        <v>0</v>
      </c>
      <c r="V1051" s="6">
        <f>IF(ISERROR(VLOOKUP($S$1051,'TAR FIN'!$A$1:$O$95,15,0)),0,VLOOKUP($S$1051,'TAR FIN'!$A$1:$O$95,15,0))</f>
        <v>28.57</v>
      </c>
      <c r="W1051" s="6">
        <f>IF(ISERROR(VLOOKUP($T$1051,'TAR FIN'!$A$1:$O$95,15,0)),0,VLOOKUP($T$1051,'TAR FIN'!$A$1:$O$95,15,0))</f>
        <v>0</v>
      </c>
      <c r="X1051" s="6">
        <f>IF(ISERROR(VLOOKUP($U$1051,'TAR FIN'!$A$1:$O$95,15,0)),0,VLOOKUP($U$1051,'TAR FIN'!$A$1:$O$95,15,0))</f>
        <v>0</v>
      </c>
      <c r="Y1051" s="6">
        <f ca="1">('TUSD BE'!$AM$15+'TUSD BF'!$AM$15+'TUSD CVA'!$AM$15)*1</f>
        <v>31.93064187172984</v>
      </c>
      <c r="Z1051" s="6"/>
      <c r="AA1051" s="6"/>
      <c r="AB1051" s="6">
        <f>$K$1051*$V$1051</f>
        <v>49854.65</v>
      </c>
      <c r="AC1051" s="6">
        <f>$M$1051*$W$1051</f>
        <v>0</v>
      </c>
      <c r="AD1051" s="6">
        <f>$O$1051*$X$1051</f>
        <v>0</v>
      </c>
      <c r="AE1051" s="6">
        <f ca="1">$K$1051*$Y$1051</f>
        <v>55718.970066168571</v>
      </c>
      <c r="AF1051" s="6">
        <f>$M$1051*$Z$1051</f>
        <v>0</v>
      </c>
      <c r="AG1051" s="6">
        <f>$O$1051*$AA$1051</f>
        <v>0</v>
      </c>
    </row>
    <row r="1052" spans="1:33" ht="11.25" customHeight="1" x14ac:dyDescent="0.25">
      <c r="A1052" s="4" t="s">
        <v>21</v>
      </c>
      <c r="B1052" s="4" t="s">
        <v>35</v>
      </c>
      <c r="C1052" s="4" t="s">
        <v>36</v>
      </c>
      <c r="D1052" s="4" t="s">
        <v>42</v>
      </c>
      <c r="E1052" s="4" t="s">
        <v>25</v>
      </c>
      <c r="F1052" s="4" t="s">
        <v>25</v>
      </c>
      <c r="G1052" s="4" t="s">
        <v>25</v>
      </c>
      <c r="H1052" s="4" t="s">
        <v>25</v>
      </c>
      <c r="I1052" s="5">
        <v>44287</v>
      </c>
      <c r="J1052" s="6">
        <v>100295</v>
      </c>
      <c r="K1052" s="6">
        <v>100295</v>
      </c>
      <c r="L1052" s="6">
        <v>0</v>
      </c>
      <c r="M1052" s="6">
        <v>0</v>
      </c>
      <c r="N1052" s="6">
        <v>0</v>
      </c>
      <c r="O1052" s="6">
        <v>0</v>
      </c>
      <c r="P1052" s="6">
        <v>341</v>
      </c>
      <c r="Q1052" s="4" t="s">
        <v>26</v>
      </c>
      <c r="R1052" s="4">
        <v>0</v>
      </c>
      <c r="S1052" s="6">
        <v>23</v>
      </c>
      <c r="T1052" s="6">
        <v>0</v>
      </c>
      <c r="U1052" s="6">
        <v>0</v>
      </c>
      <c r="V1052" s="6">
        <f>IF(ISERROR(VLOOKUP($S$1052,'TAR FIN'!$A$1:$O$95,15,0)),0,VLOOKUP($S$1052,'TAR FIN'!$A$1:$O$95,15,0))</f>
        <v>28.57</v>
      </c>
      <c r="W1052" s="6">
        <f>IF(ISERROR(VLOOKUP($T$1052,'TAR FIN'!$A$1:$O$95,15,0)),0,VLOOKUP($T$1052,'TAR FIN'!$A$1:$O$95,15,0))</f>
        <v>0</v>
      </c>
      <c r="X1052" s="6">
        <f>IF(ISERROR(VLOOKUP($U$1052,'TAR FIN'!$A$1:$O$95,15,0)),0,VLOOKUP($U$1052,'TAR FIN'!$A$1:$O$95,15,0))</f>
        <v>0</v>
      </c>
      <c r="Y1052" s="6">
        <f ca="1">('TUSD BE'!$AM$15+'TUSD BF'!$AM$15+'TUSD CVA'!$AM$15)*1</f>
        <v>31.93064187172984</v>
      </c>
      <c r="Z1052" s="6"/>
      <c r="AA1052" s="6"/>
      <c r="AB1052" s="6">
        <f>$K$1052*$V$1052</f>
        <v>2865428.15</v>
      </c>
      <c r="AC1052" s="6">
        <f>$M$1052*$W$1052</f>
        <v>0</v>
      </c>
      <c r="AD1052" s="6">
        <f>$O$1052*$X$1052</f>
        <v>0</v>
      </c>
      <c r="AE1052" s="6">
        <f ca="1">$K$1052*$Y$1052</f>
        <v>3202483.7265251442</v>
      </c>
      <c r="AF1052" s="6">
        <f>$M$1052*$Z$1052</f>
        <v>0</v>
      </c>
      <c r="AG1052" s="6">
        <f>$O$1052*$AA$1052</f>
        <v>0</v>
      </c>
    </row>
    <row r="1053" spans="1:33" ht="11.25" customHeight="1" x14ac:dyDescent="0.25">
      <c r="A1053" s="4" t="s">
        <v>27</v>
      </c>
      <c r="B1053" s="4" t="s">
        <v>35</v>
      </c>
      <c r="C1053" s="4" t="s">
        <v>36</v>
      </c>
      <c r="D1053" s="4" t="s">
        <v>42</v>
      </c>
      <c r="E1053" s="4" t="s">
        <v>25</v>
      </c>
      <c r="F1053" s="4" t="s">
        <v>25</v>
      </c>
      <c r="G1053" s="4" t="s">
        <v>25</v>
      </c>
      <c r="H1053" s="4" t="s">
        <v>25</v>
      </c>
      <c r="I1053" s="5">
        <v>44287</v>
      </c>
      <c r="J1053" s="6">
        <v>-156</v>
      </c>
      <c r="K1053" s="6">
        <v>-156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4" t="s">
        <v>26</v>
      </c>
      <c r="R1053" s="4">
        <v>0</v>
      </c>
      <c r="S1053" s="6">
        <v>23</v>
      </c>
      <c r="T1053" s="6">
        <v>0</v>
      </c>
      <c r="U1053" s="6">
        <v>0</v>
      </c>
      <c r="V1053" s="6">
        <f>IF(ISERROR(VLOOKUP($S$1053,'TAR FIN'!$A$1:$O$95,15,0)),0,VLOOKUP($S$1053,'TAR FIN'!$A$1:$O$95,15,0))</f>
        <v>28.57</v>
      </c>
      <c r="W1053" s="6">
        <f>IF(ISERROR(VLOOKUP($T$1053,'TAR FIN'!$A$1:$O$95,15,0)),0,VLOOKUP($T$1053,'TAR FIN'!$A$1:$O$95,15,0))</f>
        <v>0</v>
      </c>
      <c r="X1053" s="6">
        <f>IF(ISERROR(VLOOKUP($U$1053,'TAR FIN'!$A$1:$O$95,15,0)),0,VLOOKUP($U$1053,'TAR FIN'!$A$1:$O$95,15,0))</f>
        <v>0</v>
      </c>
      <c r="Y1053" s="6">
        <f ca="1">('TUSD BE'!$AM$15+'TUSD BF'!$AM$15+'TUSD CVA'!$AM$15)*1</f>
        <v>31.93064187172984</v>
      </c>
      <c r="Z1053" s="6"/>
      <c r="AA1053" s="6"/>
      <c r="AB1053" s="6">
        <f>$K$1053*$V$1053</f>
        <v>-4456.92</v>
      </c>
      <c r="AC1053" s="6">
        <f>$M$1053*$W$1053</f>
        <v>0</v>
      </c>
      <c r="AD1053" s="6">
        <f>$O$1053*$X$1053</f>
        <v>0</v>
      </c>
      <c r="AE1053" s="6">
        <f ca="1">$K$1053*$Y$1053</f>
        <v>-4981.180131989855</v>
      </c>
      <c r="AF1053" s="6">
        <f>$M$1053*$Z$1053</f>
        <v>0</v>
      </c>
      <c r="AG1053" s="6">
        <f>$O$1053*$AA$1053</f>
        <v>0</v>
      </c>
    </row>
    <row r="1054" spans="1:33" ht="11.25" customHeight="1" x14ac:dyDescent="0.25">
      <c r="A1054" s="4" t="s">
        <v>28</v>
      </c>
      <c r="B1054" s="4" t="s">
        <v>35</v>
      </c>
      <c r="C1054" s="4" t="s">
        <v>36</v>
      </c>
      <c r="D1054" s="4" t="s">
        <v>42</v>
      </c>
      <c r="E1054" s="4" t="s">
        <v>25</v>
      </c>
      <c r="F1054" s="4" t="s">
        <v>25</v>
      </c>
      <c r="G1054" s="4" t="s">
        <v>25</v>
      </c>
      <c r="H1054" s="4" t="s">
        <v>25</v>
      </c>
      <c r="I1054" s="5">
        <v>44287</v>
      </c>
      <c r="J1054" s="6">
        <v>10978</v>
      </c>
      <c r="K1054" s="6">
        <v>10978</v>
      </c>
      <c r="L1054" s="6">
        <v>0</v>
      </c>
      <c r="M1054" s="6">
        <v>0</v>
      </c>
      <c r="N1054" s="6">
        <v>0</v>
      </c>
      <c r="O1054" s="6">
        <v>0</v>
      </c>
      <c r="P1054" s="6">
        <v>70</v>
      </c>
      <c r="Q1054" s="4" t="s">
        <v>26</v>
      </c>
      <c r="R1054" s="4">
        <v>0</v>
      </c>
      <c r="S1054" s="6">
        <v>23</v>
      </c>
      <c r="T1054" s="6">
        <v>0</v>
      </c>
      <c r="U1054" s="6">
        <v>0</v>
      </c>
      <c r="V1054" s="6">
        <f>IF(ISERROR(VLOOKUP($S$1054,'TAR FIN'!$A$1:$O$95,15,0)),0,VLOOKUP($S$1054,'TAR FIN'!$A$1:$O$95,15,0))</f>
        <v>28.57</v>
      </c>
      <c r="W1054" s="6">
        <f>IF(ISERROR(VLOOKUP($T$1054,'TAR FIN'!$A$1:$O$95,15,0)),0,VLOOKUP($T$1054,'TAR FIN'!$A$1:$O$95,15,0))</f>
        <v>0</v>
      </c>
      <c r="X1054" s="6">
        <f>IF(ISERROR(VLOOKUP($U$1054,'TAR FIN'!$A$1:$O$95,15,0)),0,VLOOKUP($U$1054,'TAR FIN'!$A$1:$O$95,15,0))</f>
        <v>0</v>
      </c>
      <c r="Y1054" s="6">
        <f ca="1">('TUSD BE'!$AM$15+'TUSD BF'!$AM$15+'TUSD CVA'!$AM$15)*1</f>
        <v>31.93064187172984</v>
      </c>
      <c r="Z1054" s="6"/>
      <c r="AA1054" s="6"/>
      <c r="AB1054" s="6">
        <f>$K$1054*$V$1054</f>
        <v>313641.46000000002</v>
      </c>
      <c r="AC1054" s="6">
        <f>$M$1054*$W$1054</f>
        <v>0</v>
      </c>
      <c r="AD1054" s="6">
        <f>$O$1054*$X$1054</f>
        <v>0</v>
      </c>
      <c r="AE1054" s="6">
        <f ca="1">$K$1054*$Y$1054</f>
        <v>350534.5864678502</v>
      </c>
      <c r="AF1054" s="6">
        <f>$M$1054*$Z$1054</f>
        <v>0</v>
      </c>
      <c r="AG1054" s="6">
        <f>$O$1054*$AA$1054</f>
        <v>0</v>
      </c>
    </row>
    <row r="1055" spans="1:33" ht="11.25" customHeight="1" x14ac:dyDescent="0.25">
      <c r="A1055" s="4" t="s">
        <v>29</v>
      </c>
      <c r="B1055" s="4" t="s">
        <v>35</v>
      </c>
      <c r="C1055" s="4" t="s">
        <v>36</v>
      </c>
      <c r="D1055" s="4" t="s">
        <v>42</v>
      </c>
      <c r="E1055" s="4" t="s">
        <v>25</v>
      </c>
      <c r="F1055" s="4" t="s">
        <v>25</v>
      </c>
      <c r="G1055" s="4" t="s">
        <v>25</v>
      </c>
      <c r="H1055" s="4" t="s">
        <v>25</v>
      </c>
      <c r="I1055" s="5">
        <v>44287</v>
      </c>
      <c r="J1055" s="6">
        <v>-7976</v>
      </c>
      <c r="K1055" s="6">
        <v>-7976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4" t="s">
        <v>26</v>
      </c>
      <c r="R1055" s="4">
        <v>0</v>
      </c>
      <c r="S1055" s="6">
        <v>23</v>
      </c>
      <c r="T1055" s="6">
        <v>0</v>
      </c>
      <c r="U1055" s="6">
        <v>0</v>
      </c>
      <c r="V1055" s="6">
        <f>IF(ISERROR(VLOOKUP($S$1055,'TAR FIN'!$A$1:$O$95,15,0)),0,VLOOKUP($S$1055,'TAR FIN'!$A$1:$O$95,15,0))</f>
        <v>28.57</v>
      </c>
      <c r="W1055" s="6">
        <f>IF(ISERROR(VLOOKUP($T$1055,'TAR FIN'!$A$1:$O$95,15,0)),0,VLOOKUP($T$1055,'TAR FIN'!$A$1:$O$95,15,0))</f>
        <v>0</v>
      </c>
      <c r="X1055" s="6">
        <f>IF(ISERROR(VLOOKUP($U$1055,'TAR FIN'!$A$1:$O$95,15,0)),0,VLOOKUP($U$1055,'TAR FIN'!$A$1:$O$95,15,0))</f>
        <v>0</v>
      </c>
      <c r="Y1055" s="6">
        <f ca="1">('TUSD BE'!$AM$15+'TUSD BF'!$AM$15+'TUSD CVA'!$AM$15)*1</f>
        <v>31.93064187172984</v>
      </c>
      <c r="Z1055" s="6"/>
      <c r="AA1055" s="6"/>
      <c r="AB1055" s="6">
        <f>$K$1055*$V$1055</f>
        <v>-227874.32</v>
      </c>
      <c r="AC1055" s="6">
        <f>$M$1055*$W$1055</f>
        <v>0</v>
      </c>
      <c r="AD1055" s="6">
        <f>$O$1055*$X$1055</f>
        <v>0</v>
      </c>
      <c r="AE1055" s="6">
        <f ca="1">$K$1055*$Y$1055</f>
        <v>-254678.79956891719</v>
      </c>
      <c r="AF1055" s="6">
        <f>$M$1055*$Z$1055</f>
        <v>0</v>
      </c>
      <c r="AG1055" s="6">
        <f>$O$1055*$AA$1055</f>
        <v>0</v>
      </c>
    </row>
    <row r="1056" spans="1:33" ht="11.25" customHeight="1" x14ac:dyDescent="0.25">
      <c r="A1056" s="4" t="s">
        <v>30</v>
      </c>
      <c r="B1056" s="4" t="s">
        <v>35</v>
      </c>
      <c r="C1056" s="4" t="s">
        <v>36</v>
      </c>
      <c r="D1056" s="4" t="s">
        <v>42</v>
      </c>
      <c r="E1056" s="4" t="s">
        <v>25</v>
      </c>
      <c r="F1056" s="4" t="s">
        <v>25</v>
      </c>
      <c r="G1056" s="4" t="s">
        <v>25</v>
      </c>
      <c r="H1056" s="4" t="s">
        <v>25</v>
      </c>
      <c r="I1056" s="5">
        <v>44287</v>
      </c>
      <c r="J1056" s="6">
        <v>2533</v>
      </c>
      <c r="K1056" s="6">
        <v>2533</v>
      </c>
      <c r="L1056" s="6">
        <v>0</v>
      </c>
      <c r="M1056" s="6">
        <v>0</v>
      </c>
      <c r="N1056" s="6">
        <v>0</v>
      </c>
      <c r="O1056" s="6">
        <v>0</v>
      </c>
      <c r="P1056" s="6">
        <v>9</v>
      </c>
      <c r="Q1056" s="4" t="s">
        <v>26</v>
      </c>
      <c r="R1056" s="4">
        <v>0</v>
      </c>
      <c r="S1056" s="6">
        <v>23</v>
      </c>
      <c r="T1056" s="6">
        <v>0</v>
      </c>
      <c r="U1056" s="6">
        <v>0</v>
      </c>
      <c r="V1056" s="6">
        <f>IF(ISERROR(VLOOKUP($S$1056,'TAR FIN'!$A$1:$O$95,15,0)),0,VLOOKUP($S$1056,'TAR FIN'!$A$1:$O$95,15,0))</f>
        <v>28.57</v>
      </c>
      <c r="W1056" s="6">
        <f>IF(ISERROR(VLOOKUP($T$1056,'TAR FIN'!$A$1:$O$95,15,0)),0,VLOOKUP($T$1056,'TAR FIN'!$A$1:$O$95,15,0))</f>
        <v>0</v>
      </c>
      <c r="X1056" s="6">
        <f>IF(ISERROR(VLOOKUP($U$1056,'TAR FIN'!$A$1:$O$95,15,0)),0,VLOOKUP($U$1056,'TAR FIN'!$A$1:$O$95,15,0))</f>
        <v>0</v>
      </c>
      <c r="Y1056" s="6">
        <f ca="1">('TUSD BE'!$AM$15+'TUSD BF'!$AM$15+'TUSD CVA'!$AM$15)*1</f>
        <v>31.93064187172984</v>
      </c>
      <c r="Z1056" s="6"/>
      <c r="AA1056" s="6"/>
      <c r="AB1056" s="6">
        <f>$K$1056*$V$1056</f>
        <v>72367.81</v>
      </c>
      <c r="AC1056" s="6">
        <f>$M$1056*$W$1056</f>
        <v>0</v>
      </c>
      <c r="AD1056" s="6">
        <f>$O$1056*$X$1056</f>
        <v>0</v>
      </c>
      <c r="AE1056" s="6">
        <f ca="1">$K$1056*$Y$1056</f>
        <v>80880.315861091687</v>
      </c>
      <c r="AF1056" s="6">
        <f>$M$1056*$Z$1056</f>
        <v>0</v>
      </c>
      <c r="AG1056" s="6">
        <f>$O$1056*$AA$1056</f>
        <v>0</v>
      </c>
    </row>
    <row r="1057" spans="1:33" ht="11.25" customHeight="1" x14ac:dyDescent="0.25">
      <c r="A1057" s="4" t="s">
        <v>21</v>
      </c>
      <c r="B1057" s="4" t="s">
        <v>35</v>
      </c>
      <c r="C1057" s="4" t="s">
        <v>36</v>
      </c>
      <c r="D1057" s="4" t="s">
        <v>42</v>
      </c>
      <c r="E1057" s="4" t="s">
        <v>25</v>
      </c>
      <c r="F1057" s="4" t="s">
        <v>25</v>
      </c>
      <c r="G1057" s="4" t="s">
        <v>25</v>
      </c>
      <c r="H1057" s="4" t="s">
        <v>25</v>
      </c>
      <c r="I1057" s="5">
        <v>44317</v>
      </c>
      <c r="J1057" s="6">
        <v>99403</v>
      </c>
      <c r="K1057" s="6">
        <v>99403</v>
      </c>
      <c r="L1057" s="6">
        <v>0</v>
      </c>
      <c r="M1057" s="6">
        <v>0</v>
      </c>
      <c r="N1057" s="6">
        <v>0</v>
      </c>
      <c r="O1057" s="6">
        <v>0</v>
      </c>
      <c r="P1057" s="6">
        <v>339</v>
      </c>
      <c r="Q1057" s="4" t="s">
        <v>26</v>
      </c>
      <c r="R1057" s="4">
        <v>0</v>
      </c>
      <c r="S1057" s="6">
        <v>23</v>
      </c>
      <c r="T1057" s="6">
        <v>0</v>
      </c>
      <c r="U1057" s="6">
        <v>0</v>
      </c>
      <c r="V1057" s="6">
        <f>IF(ISERROR(VLOOKUP($S$1057,'TAR FIN'!$A$1:$O$95,15,0)),0,VLOOKUP($S$1057,'TAR FIN'!$A$1:$O$95,15,0))</f>
        <v>28.57</v>
      </c>
      <c r="W1057" s="6">
        <f>IF(ISERROR(VLOOKUP($T$1057,'TAR FIN'!$A$1:$O$95,15,0)),0,VLOOKUP($T$1057,'TAR FIN'!$A$1:$O$95,15,0))</f>
        <v>0</v>
      </c>
      <c r="X1057" s="6">
        <f>IF(ISERROR(VLOOKUP($U$1057,'TAR FIN'!$A$1:$O$95,15,0)),0,VLOOKUP($U$1057,'TAR FIN'!$A$1:$O$95,15,0))</f>
        <v>0</v>
      </c>
      <c r="Y1057" s="6">
        <f ca="1">('TUSD BE'!$AM$15+'TUSD BF'!$AM$15+'TUSD CVA'!$AM$15)*1</f>
        <v>31.93064187172984</v>
      </c>
      <c r="Z1057" s="6"/>
      <c r="AA1057" s="6"/>
      <c r="AB1057" s="6">
        <f>$K$1057*$V$1057</f>
        <v>2839943.71</v>
      </c>
      <c r="AC1057" s="6">
        <f>$M$1057*$W$1057</f>
        <v>0</v>
      </c>
      <c r="AD1057" s="6">
        <f>$O$1057*$X$1057</f>
        <v>0</v>
      </c>
      <c r="AE1057" s="6">
        <f ca="1">$K$1057*$Y$1057</f>
        <v>3174001.5939755612</v>
      </c>
      <c r="AF1057" s="6">
        <f>$M$1057*$Z$1057</f>
        <v>0</v>
      </c>
      <c r="AG1057" s="6">
        <f>$O$1057*$AA$1057</f>
        <v>0</v>
      </c>
    </row>
    <row r="1058" spans="1:33" ht="11.25" customHeight="1" x14ac:dyDescent="0.25">
      <c r="A1058" s="4" t="s">
        <v>27</v>
      </c>
      <c r="B1058" s="4" t="s">
        <v>35</v>
      </c>
      <c r="C1058" s="4" t="s">
        <v>36</v>
      </c>
      <c r="D1058" s="4" t="s">
        <v>42</v>
      </c>
      <c r="E1058" s="4" t="s">
        <v>25</v>
      </c>
      <c r="F1058" s="4" t="s">
        <v>25</v>
      </c>
      <c r="G1058" s="4" t="s">
        <v>25</v>
      </c>
      <c r="H1058" s="4" t="s">
        <v>25</v>
      </c>
      <c r="I1058" s="5">
        <v>44317</v>
      </c>
      <c r="J1058" s="6">
        <v>-1366</v>
      </c>
      <c r="K1058" s="6">
        <v>-1366</v>
      </c>
      <c r="L1058" s="6">
        <v>0</v>
      </c>
      <c r="M1058" s="6">
        <v>0</v>
      </c>
      <c r="N1058" s="6">
        <v>0</v>
      </c>
      <c r="O1058" s="6">
        <v>0</v>
      </c>
      <c r="P1058" s="6">
        <v>0</v>
      </c>
      <c r="Q1058" s="4" t="s">
        <v>26</v>
      </c>
      <c r="R1058" s="4">
        <v>0</v>
      </c>
      <c r="S1058" s="6">
        <v>23</v>
      </c>
      <c r="T1058" s="6">
        <v>0</v>
      </c>
      <c r="U1058" s="6">
        <v>0</v>
      </c>
      <c r="V1058" s="6">
        <f>IF(ISERROR(VLOOKUP($S$1058,'TAR FIN'!$A$1:$O$95,15,0)),0,VLOOKUP($S$1058,'TAR FIN'!$A$1:$O$95,15,0))</f>
        <v>28.57</v>
      </c>
      <c r="W1058" s="6">
        <f>IF(ISERROR(VLOOKUP($T$1058,'TAR FIN'!$A$1:$O$95,15,0)),0,VLOOKUP($T$1058,'TAR FIN'!$A$1:$O$95,15,0))</f>
        <v>0</v>
      </c>
      <c r="X1058" s="6">
        <f>IF(ISERROR(VLOOKUP($U$1058,'TAR FIN'!$A$1:$O$95,15,0)),0,VLOOKUP($U$1058,'TAR FIN'!$A$1:$O$95,15,0))</f>
        <v>0</v>
      </c>
      <c r="Y1058" s="6">
        <f ca="1">('TUSD BE'!$AM$15+'TUSD BF'!$AM$15+'TUSD CVA'!$AM$15)*1</f>
        <v>31.93064187172984</v>
      </c>
      <c r="Z1058" s="6"/>
      <c r="AA1058" s="6"/>
      <c r="AB1058" s="6">
        <f>$K$1058*$V$1058</f>
        <v>-39026.620000000003</v>
      </c>
      <c r="AC1058" s="6">
        <f>$M$1058*$W$1058</f>
        <v>0</v>
      </c>
      <c r="AD1058" s="6">
        <f>$O$1058*$X$1058</f>
        <v>0</v>
      </c>
      <c r="AE1058" s="6">
        <f ca="1">$K$1058*$Y$1058</f>
        <v>-43617.25679678296</v>
      </c>
      <c r="AF1058" s="6">
        <f>$M$1058*$Z$1058</f>
        <v>0</v>
      </c>
      <c r="AG1058" s="6">
        <f>$O$1058*$AA$1058</f>
        <v>0</v>
      </c>
    </row>
    <row r="1059" spans="1:33" ht="11.25" customHeight="1" x14ac:dyDescent="0.25">
      <c r="A1059" s="4" t="s">
        <v>28</v>
      </c>
      <c r="B1059" s="4" t="s">
        <v>35</v>
      </c>
      <c r="C1059" s="4" t="s">
        <v>36</v>
      </c>
      <c r="D1059" s="4" t="s">
        <v>42</v>
      </c>
      <c r="E1059" s="4" t="s">
        <v>25</v>
      </c>
      <c r="F1059" s="4" t="s">
        <v>25</v>
      </c>
      <c r="G1059" s="4" t="s">
        <v>25</v>
      </c>
      <c r="H1059" s="4" t="s">
        <v>25</v>
      </c>
      <c r="I1059" s="5">
        <v>44317</v>
      </c>
      <c r="J1059" s="6">
        <v>10533</v>
      </c>
      <c r="K1059" s="6">
        <v>10533</v>
      </c>
      <c r="L1059" s="6">
        <v>0</v>
      </c>
      <c r="M1059" s="6">
        <v>0</v>
      </c>
      <c r="N1059" s="6">
        <v>0</v>
      </c>
      <c r="O1059" s="6">
        <v>0</v>
      </c>
      <c r="P1059" s="6">
        <v>69</v>
      </c>
      <c r="Q1059" s="4" t="s">
        <v>26</v>
      </c>
      <c r="R1059" s="4">
        <v>0</v>
      </c>
      <c r="S1059" s="6">
        <v>23</v>
      </c>
      <c r="T1059" s="6">
        <v>0</v>
      </c>
      <c r="U1059" s="6">
        <v>0</v>
      </c>
      <c r="V1059" s="6">
        <f>IF(ISERROR(VLOOKUP($S$1059,'TAR FIN'!$A$1:$O$95,15,0)),0,VLOOKUP($S$1059,'TAR FIN'!$A$1:$O$95,15,0))</f>
        <v>28.57</v>
      </c>
      <c r="W1059" s="6">
        <f>IF(ISERROR(VLOOKUP($T$1059,'TAR FIN'!$A$1:$O$95,15,0)),0,VLOOKUP($T$1059,'TAR FIN'!$A$1:$O$95,15,0))</f>
        <v>0</v>
      </c>
      <c r="X1059" s="6">
        <f>IF(ISERROR(VLOOKUP($U$1059,'TAR FIN'!$A$1:$O$95,15,0)),0,VLOOKUP($U$1059,'TAR FIN'!$A$1:$O$95,15,0))</f>
        <v>0</v>
      </c>
      <c r="Y1059" s="6">
        <f ca="1">('TUSD BE'!$AM$15+'TUSD BF'!$AM$15+'TUSD CVA'!$AM$15)*1</f>
        <v>31.93064187172984</v>
      </c>
      <c r="Z1059" s="6"/>
      <c r="AA1059" s="6"/>
      <c r="AB1059" s="6">
        <f>$K$1059*$V$1059</f>
        <v>300927.81</v>
      </c>
      <c r="AC1059" s="6">
        <f>$M$1059*$W$1059</f>
        <v>0</v>
      </c>
      <c r="AD1059" s="6">
        <f>$O$1059*$X$1059</f>
        <v>0</v>
      </c>
      <c r="AE1059" s="6">
        <f ca="1">$K$1059*$Y$1059</f>
        <v>336325.45083493041</v>
      </c>
      <c r="AF1059" s="6">
        <f>$M$1059*$Z$1059</f>
        <v>0</v>
      </c>
      <c r="AG1059" s="6">
        <f>$O$1059*$AA$1059</f>
        <v>0</v>
      </c>
    </row>
    <row r="1060" spans="1:33" ht="11.25" customHeight="1" x14ac:dyDescent="0.25">
      <c r="A1060" s="4" t="s">
        <v>29</v>
      </c>
      <c r="B1060" s="4" t="s">
        <v>35</v>
      </c>
      <c r="C1060" s="4" t="s">
        <v>36</v>
      </c>
      <c r="D1060" s="4" t="s">
        <v>42</v>
      </c>
      <c r="E1060" s="4" t="s">
        <v>25</v>
      </c>
      <c r="F1060" s="4" t="s">
        <v>25</v>
      </c>
      <c r="G1060" s="4" t="s">
        <v>25</v>
      </c>
      <c r="H1060" s="4" t="s">
        <v>25</v>
      </c>
      <c r="I1060" s="5">
        <v>44317</v>
      </c>
      <c r="J1060" s="6">
        <v>-257</v>
      </c>
      <c r="K1060" s="6">
        <v>-257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4" t="s">
        <v>26</v>
      </c>
      <c r="R1060" s="4">
        <v>0</v>
      </c>
      <c r="S1060" s="6">
        <v>23</v>
      </c>
      <c r="T1060" s="6">
        <v>0</v>
      </c>
      <c r="U1060" s="6">
        <v>0</v>
      </c>
      <c r="V1060" s="6">
        <f>IF(ISERROR(VLOOKUP($S$1060,'TAR FIN'!$A$1:$O$95,15,0)),0,VLOOKUP($S$1060,'TAR FIN'!$A$1:$O$95,15,0))</f>
        <v>28.57</v>
      </c>
      <c r="W1060" s="6">
        <f>IF(ISERROR(VLOOKUP($T$1060,'TAR FIN'!$A$1:$O$95,15,0)),0,VLOOKUP($T$1060,'TAR FIN'!$A$1:$O$95,15,0))</f>
        <v>0</v>
      </c>
      <c r="X1060" s="6">
        <f>IF(ISERROR(VLOOKUP($U$1060,'TAR FIN'!$A$1:$O$95,15,0)),0,VLOOKUP($U$1060,'TAR FIN'!$A$1:$O$95,15,0))</f>
        <v>0</v>
      </c>
      <c r="Y1060" s="6">
        <f ca="1">('TUSD BE'!$AM$15+'TUSD BF'!$AM$15+'TUSD CVA'!$AM$15)*1</f>
        <v>31.93064187172984</v>
      </c>
      <c r="Z1060" s="6"/>
      <c r="AA1060" s="6"/>
      <c r="AB1060" s="6">
        <f>$K$1060*$V$1060</f>
        <v>-7342.49</v>
      </c>
      <c r="AC1060" s="6">
        <f>$M$1060*$W$1060</f>
        <v>0</v>
      </c>
      <c r="AD1060" s="6">
        <f>$O$1060*$X$1060</f>
        <v>0</v>
      </c>
      <c r="AE1060" s="6">
        <f ca="1">$K$1060*$Y$1060</f>
        <v>-8206.1749610345687</v>
      </c>
      <c r="AF1060" s="6">
        <f>$M$1060*$Z$1060</f>
        <v>0</v>
      </c>
      <c r="AG1060" s="6">
        <f>$O$1060*$AA$1060</f>
        <v>0</v>
      </c>
    </row>
    <row r="1061" spans="1:33" ht="11.25" customHeight="1" x14ac:dyDescent="0.25">
      <c r="A1061" s="4" t="s">
        <v>30</v>
      </c>
      <c r="B1061" s="4" t="s">
        <v>35</v>
      </c>
      <c r="C1061" s="4" t="s">
        <v>36</v>
      </c>
      <c r="D1061" s="4" t="s">
        <v>42</v>
      </c>
      <c r="E1061" s="4" t="s">
        <v>25</v>
      </c>
      <c r="F1061" s="4" t="s">
        <v>25</v>
      </c>
      <c r="G1061" s="4" t="s">
        <v>25</v>
      </c>
      <c r="H1061" s="4" t="s">
        <v>25</v>
      </c>
      <c r="I1061" s="5">
        <v>44317</v>
      </c>
      <c r="J1061" s="6">
        <v>2511</v>
      </c>
      <c r="K1061" s="6">
        <v>2511</v>
      </c>
      <c r="L1061" s="6">
        <v>0</v>
      </c>
      <c r="M1061" s="6">
        <v>0</v>
      </c>
      <c r="N1061" s="6">
        <v>0</v>
      </c>
      <c r="O1061" s="6">
        <v>0</v>
      </c>
      <c r="P1061" s="6">
        <v>9</v>
      </c>
      <c r="Q1061" s="4" t="s">
        <v>26</v>
      </c>
      <c r="R1061" s="4">
        <v>0</v>
      </c>
      <c r="S1061" s="6">
        <v>23</v>
      </c>
      <c r="T1061" s="6">
        <v>0</v>
      </c>
      <c r="U1061" s="6">
        <v>0</v>
      </c>
      <c r="V1061" s="6">
        <f>IF(ISERROR(VLOOKUP($S$1061,'TAR FIN'!$A$1:$O$95,15,0)),0,VLOOKUP($S$1061,'TAR FIN'!$A$1:$O$95,15,0))</f>
        <v>28.57</v>
      </c>
      <c r="W1061" s="6">
        <f>IF(ISERROR(VLOOKUP($T$1061,'TAR FIN'!$A$1:$O$95,15,0)),0,VLOOKUP($T$1061,'TAR FIN'!$A$1:$O$95,15,0))</f>
        <v>0</v>
      </c>
      <c r="X1061" s="6">
        <f>IF(ISERROR(VLOOKUP($U$1061,'TAR FIN'!$A$1:$O$95,15,0)),0,VLOOKUP($U$1061,'TAR FIN'!$A$1:$O$95,15,0))</f>
        <v>0</v>
      </c>
      <c r="Y1061" s="6">
        <f ca="1">('TUSD BE'!$AM$15+'TUSD BF'!$AM$15+'TUSD CVA'!$AM$15)*1</f>
        <v>31.93064187172984</v>
      </c>
      <c r="Z1061" s="6"/>
      <c r="AA1061" s="6"/>
      <c r="AB1061" s="6">
        <f>$K$1061*$V$1061</f>
        <v>71739.27</v>
      </c>
      <c r="AC1061" s="6">
        <f>$M$1061*$W$1061</f>
        <v>0</v>
      </c>
      <c r="AD1061" s="6">
        <f>$O$1061*$X$1061</f>
        <v>0</v>
      </c>
      <c r="AE1061" s="6">
        <f ca="1">$K$1061*$Y$1061</f>
        <v>80177.841739913623</v>
      </c>
      <c r="AF1061" s="6">
        <f>$M$1061*$Z$1061</f>
        <v>0</v>
      </c>
      <c r="AG1061" s="6">
        <f>$O$1061*$AA$1061</f>
        <v>0</v>
      </c>
    </row>
    <row r="1062" spans="1:33" ht="11.25" customHeight="1" x14ac:dyDescent="0.25">
      <c r="A1062" s="4" t="s">
        <v>21</v>
      </c>
      <c r="B1062" s="4" t="s">
        <v>35</v>
      </c>
      <c r="C1062" s="4" t="s">
        <v>36</v>
      </c>
      <c r="D1062" s="4" t="s">
        <v>42</v>
      </c>
      <c r="E1062" s="4" t="s">
        <v>25</v>
      </c>
      <c r="F1062" s="4" t="s">
        <v>25</v>
      </c>
      <c r="G1062" s="4" t="s">
        <v>25</v>
      </c>
      <c r="H1062" s="4" t="s">
        <v>25</v>
      </c>
      <c r="I1062" s="5">
        <v>44317</v>
      </c>
      <c r="J1062" s="6">
        <v>185</v>
      </c>
      <c r="K1062" s="6">
        <v>185</v>
      </c>
      <c r="L1062" s="6">
        <v>0</v>
      </c>
      <c r="M1062" s="6">
        <v>0</v>
      </c>
      <c r="N1062" s="6">
        <v>0</v>
      </c>
      <c r="O1062" s="6">
        <v>0</v>
      </c>
      <c r="P1062" s="6">
        <v>1</v>
      </c>
      <c r="Q1062" s="4" t="s">
        <v>60</v>
      </c>
      <c r="R1062" s="4">
        <v>0</v>
      </c>
      <c r="S1062" s="6">
        <v>23</v>
      </c>
      <c r="T1062" s="6">
        <v>0</v>
      </c>
      <c r="U1062" s="6">
        <v>0</v>
      </c>
      <c r="V1062" s="6">
        <f>IF(ISERROR(VLOOKUP($S$1062,'TAR FIN'!$A$1:$O$95,15,0)),0,VLOOKUP($S$1062,'TAR FIN'!$A$1:$O$95,15,0))</f>
        <v>28.57</v>
      </c>
      <c r="W1062" s="6">
        <f>IF(ISERROR(VLOOKUP($T$1062,'TAR FIN'!$A$1:$O$95,15,0)),0,VLOOKUP($T$1062,'TAR FIN'!$A$1:$O$95,15,0))</f>
        <v>0</v>
      </c>
      <c r="X1062" s="6">
        <f>IF(ISERROR(VLOOKUP($U$1062,'TAR FIN'!$A$1:$O$95,15,0)),0,VLOOKUP($U$1062,'TAR FIN'!$A$1:$O$95,15,0))</f>
        <v>0</v>
      </c>
      <c r="Y1062" s="6">
        <f ca="1">('TUSD BE'!$AM$15+'TUSD BF'!$AM$15+'TUSD CVA'!$AM$15)*1</f>
        <v>31.93064187172984</v>
      </c>
      <c r="Z1062" s="6"/>
      <c r="AA1062" s="6"/>
      <c r="AB1062" s="6">
        <f>$K$1062*$V$1062</f>
        <v>5285.45</v>
      </c>
      <c r="AC1062" s="6">
        <f>$M$1062*$W$1062</f>
        <v>0</v>
      </c>
      <c r="AD1062" s="6">
        <f>$O$1062*$X$1062</f>
        <v>0</v>
      </c>
      <c r="AE1062" s="6">
        <f ca="1">$K$1062*$Y$1062</f>
        <v>5907.1687462700202</v>
      </c>
      <c r="AF1062" s="6">
        <f>$M$1062*$Z$1062</f>
        <v>0</v>
      </c>
      <c r="AG1062" s="6">
        <f>$O$1062*$AA$1062</f>
        <v>0</v>
      </c>
    </row>
    <row r="1063" spans="1:33" ht="11.25" customHeight="1" x14ac:dyDescent="0.25">
      <c r="A1063" s="4" t="s">
        <v>21</v>
      </c>
      <c r="B1063" s="4" t="s">
        <v>35</v>
      </c>
      <c r="C1063" s="4" t="s">
        <v>36</v>
      </c>
      <c r="D1063" s="4" t="s">
        <v>42</v>
      </c>
      <c r="E1063" s="4" t="s">
        <v>25</v>
      </c>
      <c r="F1063" s="4" t="s">
        <v>25</v>
      </c>
      <c r="G1063" s="4" t="s">
        <v>25</v>
      </c>
      <c r="H1063" s="4" t="s">
        <v>25</v>
      </c>
      <c r="I1063" s="5">
        <v>44348</v>
      </c>
      <c r="J1063" s="6">
        <v>102103</v>
      </c>
      <c r="K1063" s="6">
        <v>102103</v>
      </c>
      <c r="L1063" s="6">
        <v>0</v>
      </c>
      <c r="M1063" s="6">
        <v>0</v>
      </c>
      <c r="N1063" s="6">
        <v>0</v>
      </c>
      <c r="O1063" s="6">
        <v>0</v>
      </c>
      <c r="P1063" s="6">
        <v>349</v>
      </c>
      <c r="Q1063" s="4" t="s">
        <v>26</v>
      </c>
      <c r="R1063" s="4">
        <v>0</v>
      </c>
      <c r="S1063" s="6">
        <v>23</v>
      </c>
      <c r="T1063" s="6">
        <v>0</v>
      </c>
      <c r="U1063" s="6">
        <v>0</v>
      </c>
      <c r="V1063" s="6">
        <f>IF(ISERROR(VLOOKUP($S$1063,'TAR FIN'!$A$1:$O$95,15,0)),0,VLOOKUP($S$1063,'TAR FIN'!$A$1:$O$95,15,0))</f>
        <v>28.57</v>
      </c>
      <c r="W1063" s="6">
        <f>IF(ISERROR(VLOOKUP($T$1063,'TAR FIN'!$A$1:$O$95,15,0)),0,VLOOKUP($T$1063,'TAR FIN'!$A$1:$O$95,15,0))</f>
        <v>0</v>
      </c>
      <c r="X1063" s="6">
        <f>IF(ISERROR(VLOOKUP($U$1063,'TAR FIN'!$A$1:$O$95,15,0)),0,VLOOKUP($U$1063,'TAR FIN'!$A$1:$O$95,15,0))</f>
        <v>0</v>
      </c>
      <c r="Y1063" s="6">
        <f ca="1">('TUSD BE'!$AM$15+'TUSD BF'!$AM$15+'TUSD CVA'!$AM$15)*1</f>
        <v>31.93064187172984</v>
      </c>
      <c r="Z1063" s="6"/>
      <c r="AA1063" s="6"/>
      <c r="AB1063" s="6">
        <f>$K$1063*$V$1063</f>
        <v>2917082.71</v>
      </c>
      <c r="AC1063" s="6">
        <f>$M$1063*$W$1063</f>
        <v>0</v>
      </c>
      <c r="AD1063" s="6">
        <f>$O$1063*$X$1063</f>
        <v>0</v>
      </c>
      <c r="AE1063" s="6">
        <f ca="1">$K$1063*$Y$1063</f>
        <v>3260214.3270292319</v>
      </c>
      <c r="AF1063" s="6">
        <f>$M$1063*$Z$1063</f>
        <v>0</v>
      </c>
      <c r="AG1063" s="6">
        <f>$O$1063*$AA$1063</f>
        <v>0</v>
      </c>
    </row>
    <row r="1064" spans="1:33" ht="11.25" customHeight="1" x14ac:dyDescent="0.25">
      <c r="A1064" s="4" t="s">
        <v>27</v>
      </c>
      <c r="B1064" s="4" t="s">
        <v>35</v>
      </c>
      <c r="C1064" s="4" t="s">
        <v>36</v>
      </c>
      <c r="D1064" s="4" t="s">
        <v>42</v>
      </c>
      <c r="E1064" s="4" t="s">
        <v>25</v>
      </c>
      <c r="F1064" s="4" t="s">
        <v>25</v>
      </c>
      <c r="G1064" s="4" t="s">
        <v>25</v>
      </c>
      <c r="H1064" s="4" t="s">
        <v>25</v>
      </c>
      <c r="I1064" s="5">
        <v>44348</v>
      </c>
      <c r="J1064" s="6">
        <v>1895</v>
      </c>
      <c r="K1064" s="6">
        <v>1895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4" t="s">
        <v>26</v>
      </c>
      <c r="R1064" s="4">
        <v>0</v>
      </c>
      <c r="S1064" s="6">
        <v>23</v>
      </c>
      <c r="T1064" s="6">
        <v>0</v>
      </c>
      <c r="U1064" s="6">
        <v>0</v>
      </c>
      <c r="V1064" s="6">
        <f>IF(ISERROR(VLOOKUP($S$1064,'TAR FIN'!$A$1:$O$95,15,0)),0,VLOOKUP($S$1064,'TAR FIN'!$A$1:$O$95,15,0))</f>
        <v>28.57</v>
      </c>
      <c r="W1064" s="6">
        <f>IF(ISERROR(VLOOKUP($T$1064,'TAR FIN'!$A$1:$O$95,15,0)),0,VLOOKUP($T$1064,'TAR FIN'!$A$1:$O$95,15,0))</f>
        <v>0</v>
      </c>
      <c r="X1064" s="6">
        <f>IF(ISERROR(VLOOKUP($U$1064,'TAR FIN'!$A$1:$O$95,15,0)),0,VLOOKUP($U$1064,'TAR FIN'!$A$1:$O$95,15,0))</f>
        <v>0</v>
      </c>
      <c r="Y1064" s="6">
        <f ca="1">('TUSD BE'!$AM$15+'TUSD BF'!$AM$15+'TUSD CVA'!$AM$15)*1</f>
        <v>31.93064187172984</v>
      </c>
      <c r="Z1064" s="6"/>
      <c r="AA1064" s="6"/>
      <c r="AB1064" s="6">
        <f>$K$1064*$V$1064</f>
        <v>54140.15</v>
      </c>
      <c r="AC1064" s="6">
        <f>$M$1064*$W$1064</f>
        <v>0</v>
      </c>
      <c r="AD1064" s="6">
        <f>$O$1064*$X$1064</f>
        <v>0</v>
      </c>
      <c r="AE1064" s="6">
        <f ca="1">$K$1064*$Y$1064</f>
        <v>60508.566346928048</v>
      </c>
      <c r="AF1064" s="6">
        <f>$M$1064*$Z$1064</f>
        <v>0</v>
      </c>
      <c r="AG1064" s="6">
        <f>$O$1064*$AA$1064</f>
        <v>0</v>
      </c>
    </row>
    <row r="1065" spans="1:33" ht="11.25" customHeight="1" x14ac:dyDescent="0.25">
      <c r="A1065" s="4" t="s">
        <v>28</v>
      </c>
      <c r="B1065" s="4" t="s">
        <v>35</v>
      </c>
      <c r="C1065" s="4" t="s">
        <v>36</v>
      </c>
      <c r="D1065" s="4" t="s">
        <v>42</v>
      </c>
      <c r="E1065" s="4" t="s">
        <v>25</v>
      </c>
      <c r="F1065" s="4" t="s">
        <v>25</v>
      </c>
      <c r="G1065" s="4" t="s">
        <v>25</v>
      </c>
      <c r="H1065" s="4" t="s">
        <v>25</v>
      </c>
      <c r="I1065" s="5">
        <v>44348</v>
      </c>
      <c r="J1065" s="6">
        <v>10615</v>
      </c>
      <c r="K1065" s="6">
        <v>10615</v>
      </c>
      <c r="L1065" s="6">
        <v>0</v>
      </c>
      <c r="M1065" s="6">
        <v>0</v>
      </c>
      <c r="N1065" s="6">
        <v>0</v>
      </c>
      <c r="O1065" s="6">
        <v>0</v>
      </c>
      <c r="P1065" s="6">
        <v>69</v>
      </c>
      <c r="Q1065" s="4" t="s">
        <v>26</v>
      </c>
      <c r="R1065" s="4">
        <v>0</v>
      </c>
      <c r="S1065" s="6">
        <v>23</v>
      </c>
      <c r="T1065" s="6">
        <v>0</v>
      </c>
      <c r="U1065" s="6">
        <v>0</v>
      </c>
      <c r="V1065" s="6">
        <f>IF(ISERROR(VLOOKUP($S$1065,'TAR FIN'!$A$1:$O$95,15,0)),0,VLOOKUP($S$1065,'TAR FIN'!$A$1:$O$95,15,0))</f>
        <v>28.57</v>
      </c>
      <c r="W1065" s="6">
        <f>IF(ISERROR(VLOOKUP($T$1065,'TAR FIN'!$A$1:$O$95,15,0)),0,VLOOKUP($T$1065,'TAR FIN'!$A$1:$O$95,15,0))</f>
        <v>0</v>
      </c>
      <c r="X1065" s="6">
        <f>IF(ISERROR(VLOOKUP($U$1065,'TAR FIN'!$A$1:$O$95,15,0)),0,VLOOKUP($U$1065,'TAR FIN'!$A$1:$O$95,15,0))</f>
        <v>0</v>
      </c>
      <c r="Y1065" s="6">
        <f ca="1">('TUSD BE'!$AM$15+'TUSD BF'!$AM$15+'TUSD CVA'!$AM$15)*1</f>
        <v>31.93064187172984</v>
      </c>
      <c r="Z1065" s="6"/>
      <c r="AA1065" s="6"/>
      <c r="AB1065" s="6">
        <f>$K$1065*$V$1065</f>
        <v>303270.55</v>
      </c>
      <c r="AC1065" s="6">
        <f>$M$1065*$W$1065</f>
        <v>0</v>
      </c>
      <c r="AD1065" s="6">
        <f>$O$1065*$X$1065</f>
        <v>0</v>
      </c>
      <c r="AE1065" s="6">
        <f ca="1">$K$1065*$Y$1065</f>
        <v>338943.76346841227</v>
      </c>
      <c r="AF1065" s="6">
        <f>$M$1065*$Z$1065</f>
        <v>0</v>
      </c>
      <c r="AG1065" s="6">
        <f>$O$1065*$AA$1065</f>
        <v>0</v>
      </c>
    </row>
    <row r="1066" spans="1:33" ht="11.25" customHeight="1" x14ac:dyDescent="0.25">
      <c r="A1066" s="4" t="s">
        <v>29</v>
      </c>
      <c r="B1066" s="4" t="s">
        <v>35</v>
      </c>
      <c r="C1066" s="4" t="s">
        <v>36</v>
      </c>
      <c r="D1066" s="4" t="s">
        <v>42</v>
      </c>
      <c r="E1066" s="4" t="s">
        <v>25</v>
      </c>
      <c r="F1066" s="4" t="s">
        <v>25</v>
      </c>
      <c r="G1066" s="4" t="s">
        <v>25</v>
      </c>
      <c r="H1066" s="4" t="s">
        <v>25</v>
      </c>
      <c r="I1066" s="5">
        <v>44348</v>
      </c>
      <c r="J1066" s="6">
        <v>-49</v>
      </c>
      <c r="K1066" s="6">
        <v>-49</v>
      </c>
      <c r="L1066" s="6">
        <v>0</v>
      </c>
      <c r="M1066" s="6">
        <v>0</v>
      </c>
      <c r="N1066" s="6">
        <v>0</v>
      </c>
      <c r="O1066" s="6">
        <v>0</v>
      </c>
      <c r="P1066" s="6">
        <v>0</v>
      </c>
      <c r="Q1066" s="4" t="s">
        <v>26</v>
      </c>
      <c r="R1066" s="4">
        <v>0</v>
      </c>
      <c r="S1066" s="6">
        <v>23</v>
      </c>
      <c r="T1066" s="6">
        <v>0</v>
      </c>
      <c r="U1066" s="6">
        <v>0</v>
      </c>
      <c r="V1066" s="6">
        <f>IF(ISERROR(VLOOKUP($S$1066,'TAR FIN'!$A$1:$O$95,15,0)),0,VLOOKUP($S$1066,'TAR FIN'!$A$1:$O$95,15,0))</f>
        <v>28.57</v>
      </c>
      <c r="W1066" s="6">
        <f>IF(ISERROR(VLOOKUP($T$1066,'TAR FIN'!$A$1:$O$95,15,0)),0,VLOOKUP($T$1066,'TAR FIN'!$A$1:$O$95,15,0))</f>
        <v>0</v>
      </c>
      <c r="X1066" s="6">
        <f>IF(ISERROR(VLOOKUP($U$1066,'TAR FIN'!$A$1:$O$95,15,0)),0,VLOOKUP($U$1066,'TAR FIN'!$A$1:$O$95,15,0))</f>
        <v>0</v>
      </c>
      <c r="Y1066" s="6">
        <f ca="1">('TUSD BE'!$AM$15+'TUSD BF'!$AM$15+'TUSD CVA'!$AM$15)*1</f>
        <v>31.93064187172984</v>
      </c>
      <c r="Z1066" s="6"/>
      <c r="AA1066" s="6"/>
      <c r="AB1066" s="6">
        <f>$K$1066*$V$1066</f>
        <v>-1399.93</v>
      </c>
      <c r="AC1066" s="6">
        <f>$M$1066*$W$1066</f>
        <v>0</v>
      </c>
      <c r="AD1066" s="6">
        <f>$O$1066*$X$1066</f>
        <v>0</v>
      </c>
      <c r="AE1066" s="6">
        <f ca="1">$K$1066*$Y$1066</f>
        <v>-1564.6014517147621</v>
      </c>
      <c r="AF1066" s="6">
        <f>$M$1066*$Z$1066</f>
        <v>0</v>
      </c>
      <c r="AG1066" s="6">
        <f>$O$1066*$AA$1066</f>
        <v>0</v>
      </c>
    </row>
    <row r="1067" spans="1:33" ht="11.25" customHeight="1" x14ac:dyDescent="0.25">
      <c r="A1067" s="4" t="s">
        <v>30</v>
      </c>
      <c r="B1067" s="4" t="s">
        <v>35</v>
      </c>
      <c r="C1067" s="4" t="s">
        <v>36</v>
      </c>
      <c r="D1067" s="4" t="s">
        <v>42</v>
      </c>
      <c r="E1067" s="4" t="s">
        <v>25</v>
      </c>
      <c r="F1067" s="4" t="s">
        <v>25</v>
      </c>
      <c r="G1067" s="4" t="s">
        <v>25</v>
      </c>
      <c r="H1067" s="4" t="s">
        <v>25</v>
      </c>
      <c r="I1067" s="5">
        <v>44348</v>
      </c>
      <c r="J1067" s="6">
        <v>1730</v>
      </c>
      <c r="K1067" s="6">
        <v>1730</v>
      </c>
      <c r="L1067" s="6">
        <v>0</v>
      </c>
      <c r="M1067" s="6">
        <v>0</v>
      </c>
      <c r="N1067" s="6">
        <v>0</v>
      </c>
      <c r="O1067" s="6">
        <v>0</v>
      </c>
      <c r="P1067" s="6">
        <v>8</v>
      </c>
      <c r="Q1067" s="4" t="s">
        <v>26</v>
      </c>
      <c r="R1067" s="4">
        <v>0</v>
      </c>
      <c r="S1067" s="6">
        <v>23</v>
      </c>
      <c r="T1067" s="6">
        <v>0</v>
      </c>
      <c r="U1067" s="6">
        <v>0</v>
      </c>
      <c r="V1067" s="6">
        <f>IF(ISERROR(VLOOKUP($S$1067,'TAR FIN'!$A$1:$O$95,15,0)),0,VLOOKUP($S$1067,'TAR FIN'!$A$1:$O$95,15,0))</f>
        <v>28.57</v>
      </c>
      <c r="W1067" s="6">
        <f>IF(ISERROR(VLOOKUP($T$1067,'TAR FIN'!$A$1:$O$95,15,0)),0,VLOOKUP($T$1067,'TAR FIN'!$A$1:$O$95,15,0))</f>
        <v>0</v>
      </c>
      <c r="X1067" s="6">
        <f>IF(ISERROR(VLOOKUP($U$1067,'TAR FIN'!$A$1:$O$95,15,0)),0,VLOOKUP($U$1067,'TAR FIN'!$A$1:$O$95,15,0))</f>
        <v>0</v>
      </c>
      <c r="Y1067" s="6">
        <f ca="1">('TUSD BE'!$AM$15+'TUSD BF'!$AM$15+'TUSD CVA'!$AM$15)*1</f>
        <v>31.93064187172984</v>
      </c>
      <c r="Z1067" s="6"/>
      <c r="AA1067" s="6"/>
      <c r="AB1067" s="6">
        <f>$K$1067*$V$1067</f>
        <v>49426.1</v>
      </c>
      <c r="AC1067" s="6">
        <f>$M$1067*$W$1067</f>
        <v>0</v>
      </c>
      <c r="AD1067" s="6">
        <f>$O$1067*$X$1067</f>
        <v>0</v>
      </c>
      <c r="AE1067" s="6">
        <f ca="1">$K$1067*$Y$1067</f>
        <v>55240.01043809262</v>
      </c>
      <c r="AF1067" s="6">
        <f>$M$1067*$Z$1067</f>
        <v>0</v>
      </c>
      <c r="AG1067" s="6">
        <f>$O$1067*$AA$1067</f>
        <v>0</v>
      </c>
    </row>
    <row r="1068" spans="1:33" ht="11.25" customHeight="1" x14ac:dyDescent="0.25">
      <c r="A1068" s="4" t="s">
        <v>30</v>
      </c>
      <c r="B1068" s="4" t="s">
        <v>35</v>
      </c>
      <c r="C1068" s="4" t="s">
        <v>36</v>
      </c>
      <c r="D1068" s="4" t="s">
        <v>42</v>
      </c>
      <c r="E1068" s="4" t="s">
        <v>25</v>
      </c>
      <c r="F1068" s="4" t="s">
        <v>25</v>
      </c>
      <c r="G1068" s="4" t="s">
        <v>25</v>
      </c>
      <c r="H1068" s="4" t="s">
        <v>25</v>
      </c>
      <c r="I1068" s="5">
        <v>44348</v>
      </c>
      <c r="J1068" s="6">
        <v>30</v>
      </c>
      <c r="K1068" s="6">
        <v>30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4" t="s">
        <v>26</v>
      </c>
      <c r="R1068" s="4">
        <v>0</v>
      </c>
      <c r="S1068" s="6">
        <v>23</v>
      </c>
      <c r="T1068" s="6">
        <v>0</v>
      </c>
      <c r="U1068" s="6">
        <v>0</v>
      </c>
      <c r="V1068" s="6">
        <f>IF(ISERROR(VLOOKUP($S$1068,'TAR FIN'!$A$1:$O$95,15,0)),0,VLOOKUP($S$1068,'TAR FIN'!$A$1:$O$95,15,0))</f>
        <v>28.57</v>
      </c>
      <c r="W1068" s="6">
        <f>IF(ISERROR(VLOOKUP($T$1068,'TAR FIN'!$A$1:$O$95,15,0)),0,VLOOKUP($T$1068,'TAR FIN'!$A$1:$O$95,15,0))</f>
        <v>0</v>
      </c>
      <c r="X1068" s="6">
        <f>IF(ISERROR(VLOOKUP($U$1068,'TAR FIN'!$A$1:$O$95,15,0)),0,VLOOKUP($U$1068,'TAR FIN'!$A$1:$O$95,15,0))</f>
        <v>0</v>
      </c>
      <c r="Y1068" s="6">
        <f ca="1">('TUSD BE'!$AM$15+'TUSD BF'!$AM$15+'TUSD CVA'!$AM$15)*1</f>
        <v>31.93064187172984</v>
      </c>
      <c r="Z1068" s="6"/>
      <c r="AA1068" s="6"/>
      <c r="AB1068" s="6">
        <f>$K$1068*$V$1068</f>
        <v>857.1</v>
      </c>
      <c r="AC1068" s="6">
        <f>$M$1068*$W$1068</f>
        <v>0</v>
      </c>
      <c r="AD1068" s="6">
        <f>$O$1068*$X$1068</f>
        <v>0</v>
      </c>
      <c r="AE1068" s="6">
        <f ca="1">$K$1068*$Y$1068</f>
        <v>957.91925615189518</v>
      </c>
      <c r="AF1068" s="6">
        <f>$M$1068*$Z$1068</f>
        <v>0</v>
      </c>
      <c r="AG1068" s="6">
        <f>$O$1068*$AA$1068</f>
        <v>0</v>
      </c>
    </row>
    <row r="1069" spans="1:33" ht="11.25" customHeight="1" x14ac:dyDescent="0.25">
      <c r="A1069" s="4" t="s">
        <v>21</v>
      </c>
      <c r="B1069" s="4" t="s">
        <v>35</v>
      </c>
      <c r="C1069" s="4" t="s">
        <v>36</v>
      </c>
      <c r="D1069" s="4" t="s">
        <v>42</v>
      </c>
      <c r="E1069" s="4" t="s">
        <v>25</v>
      </c>
      <c r="F1069" s="4" t="s">
        <v>25</v>
      </c>
      <c r="G1069" s="4" t="s">
        <v>25</v>
      </c>
      <c r="H1069" s="4" t="s">
        <v>25</v>
      </c>
      <c r="I1069" s="5">
        <v>44378</v>
      </c>
      <c r="J1069" s="6">
        <v>101848</v>
      </c>
      <c r="K1069" s="6">
        <v>101848</v>
      </c>
      <c r="L1069" s="6">
        <v>0</v>
      </c>
      <c r="M1069" s="6">
        <v>0</v>
      </c>
      <c r="N1069" s="6">
        <v>0</v>
      </c>
      <c r="O1069" s="6">
        <v>0</v>
      </c>
      <c r="P1069" s="6">
        <v>348</v>
      </c>
      <c r="Q1069" s="4" t="s">
        <v>26</v>
      </c>
      <c r="R1069" s="4">
        <v>0</v>
      </c>
      <c r="S1069" s="6">
        <v>23</v>
      </c>
      <c r="T1069" s="6">
        <v>0</v>
      </c>
      <c r="U1069" s="6">
        <v>0</v>
      </c>
      <c r="V1069" s="6">
        <f>IF(ISERROR(VLOOKUP($S$1069,'TAR FIN'!$A$1:$O$95,15,0)),0,VLOOKUP($S$1069,'TAR FIN'!$A$1:$O$95,15,0))</f>
        <v>28.57</v>
      </c>
      <c r="W1069" s="6">
        <f>IF(ISERROR(VLOOKUP($T$1069,'TAR FIN'!$A$1:$O$95,15,0)),0,VLOOKUP($T$1069,'TAR FIN'!$A$1:$O$95,15,0))</f>
        <v>0</v>
      </c>
      <c r="X1069" s="6">
        <f>IF(ISERROR(VLOOKUP($U$1069,'TAR FIN'!$A$1:$O$95,15,0)),0,VLOOKUP($U$1069,'TAR FIN'!$A$1:$O$95,15,0))</f>
        <v>0</v>
      </c>
      <c r="Y1069" s="6">
        <f ca="1">('TUSD BE'!$AM$15+'TUSD BF'!$AM$15+'TUSD CVA'!$AM$15)*1</f>
        <v>31.93064187172984</v>
      </c>
      <c r="Z1069" s="6"/>
      <c r="AA1069" s="6"/>
      <c r="AB1069" s="6">
        <f>$K$1069*$V$1069</f>
        <v>2909797.36</v>
      </c>
      <c r="AC1069" s="6">
        <f>$M$1069*$W$1069</f>
        <v>0</v>
      </c>
      <c r="AD1069" s="6">
        <f>$O$1069*$X$1069</f>
        <v>0</v>
      </c>
      <c r="AE1069" s="6">
        <f ca="1">$K$1069*$Y$1069</f>
        <v>3252072.0133519405</v>
      </c>
      <c r="AF1069" s="6">
        <f>$M$1069*$Z$1069</f>
        <v>0</v>
      </c>
      <c r="AG1069" s="6">
        <f>$O$1069*$AA$1069</f>
        <v>0</v>
      </c>
    </row>
    <row r="1070" spans="1:33" ht="11.25" customHeight="1" x14ac:dyDescent="0.25">
      <c r="A1070" s="4" t="s">
        <v>28</v>
      </c>
      <c r="B1070" s="4" t="s">
        <v>35</v>
      </c>
      <c r="C1070" s="4" t="s">
        <v>36</v>
      </c>
      <c r="D1070" s="4" t="s">
        <v>42</v>
      </c>
      <c r="E1070" s="4" t="s">
        <v>25</v>
      </c>
      <c r="F1070" s="4" t="s">
        <v>25</v>
      </c>
      <c r="G1070" s="4" t="s">
        <v>25</v>
      </c>
      <c r="H1070" s="4" t="s">
        <v>25</v>
      </c>
      <c r="I1070" s="5">
        <v>44378</v>
      </c>
      <c r="J1070" s="6">
        <v>10467</v>
      </c>
      <c r="K1070" s="6">
        <v>10467</v>
      </c>
      <c r="L1070" s="6">
        <v>0</v>
      </c>
      <c r="M1070" s="6">
        <v>0</v>
      </c>
      <c r="N1070" s="6">
        <v>0</v>
      </c>
      <c r="O1070" s="6">
        <v>0</v>
      </c>
      <c r="P1070" s="6">
        <v>69</v>
      </c>
      <c r="Q1070" s="4" t="s">
        <v>26</v>
      </c>
      <c r="R1070" s="4">
        <v>0</v>
      </c>
      <c r="S1070" s="6">
        <v>23</v>
      </c>
      <c r="T1070" s="6">
        <v>0</v>
      </c>
      <c r="U1070" s="6">
        <v>0</v>
      </c>
      <c r="V1070" s="6">
        <f>IF(ISERROR(VLOOKUP($S$1070,'TAR FIN'!$A$1:$O$95,15,0)),0,VLOOKUP($S$1070,'TAR FIN'!$A$1:$O$95,15,0))</f>
        <v>28.57</v>
      </c>
      <c r="W1070" s="6">
        <f>IF(ISERROR(VLOOKUP($T$1070,'TAR FIN'!$A$1:$O$95,15,0)),0,VLOOKUP($T$1070,'TAR FIN'!$A$1:$O$95,15,0))</f>
        <v>0</v>
      </c>
      <c r="X1070" s="6">
        <f>IF(ISERROR(VLOOKUP($U$1070,'TAR FIN'!$A$1:$O$95,15,0)),0,VLOOKUP($U$1070,'TAR FIN'!$A$1:$O$95,15,0))</f>
        <v>0</v>
      </c>
      <c r="Y1070" s="6">
        <f ca="1">('TUSD BE'!$AM$15+'TUSD BF'!$AM$15+'TUSD CVA'!$AM$15)*1</f>
        <v>31.93064187172984</v>
      </c>
      <c r="Z1070" s="6"/>
      <c r="AA1070" s="6"/>
      <c r="AB1070" s="6">
        <f>$K$1070*$V$1070</f>
        <v>299042.19</v>
      </c>
      <c r="AC1070" s="6">
        <f>$M$1070*$W$1070</f>
        <v>0</v>
      </c>
      <c r="AD1070" s="6">
        <f>$O$1070*$X$1070</f>
        <v>0</v>
      </c>
      <c r="AE1070" s="6">
        <f ca="1">$K$1070*$Y$1070</f>
        <v>334218.02847139625</v>
      </c>
      <c r="AF1070" s="6">
        <f>$M$1070*$Z$1070</f>
        <v>0</v>
      </c>
      <c r="AG1070" s="6">
        <f>$O$1070*$AA$1070</f>
        <v>0</v>
      </c>
    </row>
    <row r="1071" spans="1:33" ht="11.25" customHeight="1" x14ac:dyDescent="0.25">
      <c r="A1071" s="4" t="s">
        <v>30</v>
      </c>
      <c r="B1071" s="4" t="s">
        <v>35</v>
      </c>
      <c r="C1071" s="4" t="s">
        <v>36</v>
      </c>
      <c r="D1071" s="4" t="s">
        <v>42</v>
      </c>
      <c r="E1071" s="4" t="s">
        <v>25</v>
      </c>
      <c r="F1071" s="4" t="s">
        <v>25</v>
      </c>
      <c r="G1071" s="4" t="s">
        <v>25</v>
      </c>
      <c r="H1071" s="4" t="s">
        <v>25</v>
      </c>
      <c r="I1071" s="5">
        <v>44378</v>
      </c>
      <c r="J1071" s="6">
        <v>1816</v>
      </c>
      <c r="K1071" s="6">
        <v>1816</v>
      </c>
      <c r="L1071" s="6">
        <v>0</v>
      </c>
      <c r="M1071" s="6">
        <v>0</v>
      </c>
      <c r="N1071" s="6">
        <v>0</v>
      </c>
      <c r="O1071" s="6">
        <v>0</v>
      </c>
      <c r="P1071" s="6">
        <v>8</v>
      </c>
      <c r="Q1071" s="4" t="s">
        <v>26</v>
      </c>
      <c r="R1071" s="4">
        <v>0</v>
      </c>
      <c r="S1071" s="6">
        <v>23</v>
      </c>
      <c r="T1071" s="6">
        <v>0</v>
      </c>
      <c r="U1071" s="6">
        <v>0</v>
      </c>
      <c r="V1071" s="6">
        <f>IF(ISERROR(VLOOKUP($S$1071,'TAR FIN'!$A$1:$O$95,15,0)),0,VLOOKUP($S$1071,'TAR FIN'!$A$1:$O$95,15,0))</f>
        <v>28.57</v>
      </c>
      <c r="W1071" s="6">
        <f>IF(ISERROR(VLOOKUP($T$1071,'TAR FIN'!$A$1:$O$95,15,0)),0,VLOOKUP($T$1071,'TAR FIN'!$A$1:$O$95,15,0))</f>
        <v>0</v>
      </c>
      <c r="X1071" s="6">
        <f>IF(ISERROR(VLOOKUP($U$1071,'TAR FIN'!$A$1:$O$95,15,0)),0,VLOOKUP($U$1071,'TAR FIN'!$A$1:$O$95,15,0))</f>
        <v>0</v>
      </c>
      <c r="Y1071" s="6">
        <f ca="1">('TUSD BE'!$AM$15+'TUSD BF'!$AM$15+'TUSD CVA'!$AM$15)*1</f>
        <v>31.93064187172984</v>
      </c>
      <c r="Z1071" s="6"/>
      <c r="AA1071" s="6"/>
      <c r="AB1071" s="6">
        <f>$K$1071*$V$1071</f>
        <v>51883.12</v>
      </c>
      <c r="AC1071" s="6">
        <f>$M$1071*$W$1071</f>
        <v>0</v>
      </c>
      <c r="AD1071" s="6">
        <f>$O$1071*$X$1071</f>
        <v>0</v>
      </c>
      <c r="AE1071" s="6">
        <f ca="1">$K$1071*$Y$1071</f>
        <v>57986.045639061391</v>
      </c>
      <c r="AF1071" s="6">
        <f>$M$1071*$Z$1071</f>
        <v>0</v>
      </c>
      <c r="AG1071" s="6">
        <f>$O$1071*$AA$1071</f>
        <v>0</v>
      </c>
    </row>
    <row r="1072" spans="1:33" ht="11.25" customHeight="1" x14ac:dyDescent="0.25">
      <c r="A1072" s="4" t="s">
        <v>21</v>
      </c>
      <c r="B1072" s="4" t="s">
        <v>35</v>
      </c>
      <c r="C1072" s="4" t="s">
        <v>36</v>
      </c>
      <c r="D1072" s="4" t="s">
        <v>42</v>
      </c>
      <c r="E1072" s="4" t="s">
        <v>25</v>
      </c>
      <c r="F1072" s="4" t="s">
        <v>25</v>
      </c>
      <c r="G1072" s="4" t="s">
        <v>25</v>
      </c>
      <c r="H1072" s="4" t="s">
        <v>25</v>
      </c>
      <c r="I1072" s="5">
        <v>44378</v>
      </c>
      <c r="J1072" s="6">
        <v>1885</v>
      </c>
      <c r="K1072" s="6">
        <v>1885</v>
      </c>
      <c r="L1072" s="6">
        <v>0</v>
      </c>
      <c r="M1072" s="6">
        <v>0</v>
      </c>
      <c r="N1072" s="6">
        <v>0</v>
      </c>
      <c r="O1072" s="6">
        <v>0</v>
      </c>
      <c r="P1072" s="6">
        <v>2</v>
      </c>
      <c r="Q1072" s="4" t="s">
        <v>60</v>
      </c>
      <c r="R1072" s="4">
        <v>0</v>
      </c>
      <c r="S1072" s="6">
        <v>23</v>
      </c>
      <c r="T1072" s="6">
        <v>0</v>
      </c>
      <c r="U1072" s="6">
        <v>0</v>
      </c>
      <c r="V1072" s="6">
        <f>IF(ISERROR(VLOOKUP($S$1072,'TAR FIN'!$A$1:$O$95,15,0)),0,VLOOKUP($S$1072,'TAR FIN'!$A$1:$O$95,15,0))</f>
        <v>28.57</v>
      </c>
      <c r="W1072" s="6">
        <f>IF(ISERROR(VLOOKUP($T$1072,'TAR FIN'!$A$1:$O$95,15,0)),0,VLOOKUP($T$1072,'TAR FIN'!$A$1:$O$95,15,0))</f>
        <v>0</v>
      </c>
      <c r="X1072" s="6">
        <f>IF(ISERROR(VLOOKUP($U$1072,'TAR FIN'!$A$1:$O$95,15,0)),0,VLOOKUP($U$1072,'TAR FIN'!$A$1:$O$95,15,0))</f>
        <v>0</v>
      </c>
      <c r="Y1072" s="6">
        <f ca="1">('TUSD BE'!$AM$15+'TUSD BF'!$AM$15+'TUSD CVA'!$AM$15)*1</f>
        <v>31.93064187172984</v>
      </c>
      <c r="Z1072" s="6"/>
      <c r="AA1072" s="6"/>
      <c r="AB1072" s="6">
        <f>$K$1072*$V$1072</f>
        <v>53854.45</v>
      </c>
      <c r="AC1072" s="6">
        <f>$M$1072*$W$1072</f>
        <v>0</v>
      </c>
      <c r="AD1072" s="6">
        <f>$O$1072*$X$1072</f>
        <v>0</v>
      </c>
      <c r="AE1072" s="6">
        <f ca="1">$K$1072*$Y$1072</f>
        <v>60189.259928210748</v>
      </c>
      <c r="AF1072" s="6">
        <f>$M$1072*$Z$1072</f>
        <v>0</v>
      </c>
      <c r="AG1072" s="6">
        <f>$O$1072*$AA$1072</f>
        <v>0</v>
      </c>
    </row>
    <row r="1073" spans="1:33" ht="11.25" customHeight="1" x14ac:dyDescent="0.25">
      <c r="A1073" s="4" t="s">
        <v>21</v>
      </c>
      <c r="B1073" s="4" t="s">
        <v>35</v>
      </c>
      <c r="C1073" s="4" t="s">
        <v>36</v>
      </c>
      <c r="D1073" s="4" t="s">
        <v>42</v>
      </c>
      <c r="E1073" s="4" t="s">
        <v>25</v>
      </c>
      <c r="F1073" s="4" t="s">
        <v>25</v>
      </c>
      <c r="G1073" s="4" t="s">
        <v>25</v>
      </c>
      <c r="H1073" s="4" t="s">
        <v>25</v>
      </c>
      <c r="I1073" s="5">
        <v>44409</v>
      </c>
      <c r="J1073" s="6">
        <v>103748</v>
      </c>
      <c r="K1073" s="6">
        <v>103748</v>
      </c>
      <c r="L1073" s="6">
        <v>0</v>
      </c>
      <c r="M1073" s="6">
        <v>0</v>
      </c>
      <c r="N1073" s="6">
        <v>0</v>
      </c>
      <c r="O1073" s="6">
        <v>0</v>
      </c>
      <c r="P1073" s="6">
        <v>350</v>
      </c>
      <c r="Q1073" s="4" t="s">
        <v>26</v>
      </c>
      <c r="R1073" s="4">
        <v>0</v>
      </c>
      <c r="S1073" s="6">
        <v>23</v>
      </c>
      <c r="T1073" s="6">
        <v>0</v>
      </c>
      <c r="U1073" s="6">
        <v>0</v>
      </c>
      <c r="V1073" s="6">
        <f>IF(ISERROR(VLOOKUP($S$1073,'TAR FIN'!$A$1:$O$95,15,0)),0,VLOOKUP($S$1073,'TAR FIN'!$A$1:$O$95,15,0))</f>
        <v>28.57</v>
      </c>
      <c r="W1073" s="6">
        <f>IF(ISERROR(VLOOKUP($T$1073,'TAR FIN'!$A$1:$O$95,15,0)),0,VLOOKUP($T$1073,'TAR FIN'!$A$1:$O$95,15,0))</f>
        <v>0</v>
      </c>
      <c r="X1073" s="6">
        <f>IF(ISERROR(VLOOKUP($U$1073,'TAR FIN'!$A$1:$O$95,15,0)),0,VLOOKUP($U$1073,'TAR FIN'!$A$1:$O$95,15,0))</f>
        <v>0</v>
      </c>
      <c r="Y1073" s="6">
        <f ca="1">('TUSD BE'!$AM$15+'TUSD BF'!$AM$15+'TUSD CVA'!$AM$15)*1</f>
        <v>31.93064187172984</v>
      </c>
      <c r="Z1073" s="6"/>
      <c r="AA1073" s="6"/>
      <c r="AB1073" s="6">
        <f>$K$1073*$V$1073</f>
        <v>2964080.36</v>
      </c>
      <c r="AC1073" s="6">
        <f>$M$1073*$W$1073</f>
        <v>0</v>
      </c>
      <c r="AD1073" s="6">
        <f>$O$1073*$X$1073</f>
        <v>0</v>
      </c>
      <c r="AE1073" s="6">
        <f ca="1">$K$1073*$Y$1073</f>
        <v>3312740.2329082275</v>
      </c>
      <c r="AF1073" s="6">
        <f>$M$1073*$Z$1073</f>
        <v>0</v>
      </c>
      <c r="AG1073" s="6">
        <f>$O$1073*$AA$1073</f>
        <v>0</v>
      </c>
    </row>
    <row r="1074" spans="1:33" ht="11.25" customHeight="1" x14ac:dyDescent="0.25">
      <c r="A1074" s="4" t="s">
        <v>27</v>
      </c>
      <c r="B1074" s="4" t="s">
        <v>35</v>
      </c>
      <c r="C1074" s="4" t="s">
        <v>36</v>
      </c>
      <c r="D1074" s="4" t="s">
        <v>42</v>
      </c>
      <c r="E1074" s="4" t="s">
        <v>25</v>
      </c>
      <c r="F1074" s="4" t="s">
        <v>25</v>
      </c>
      <c r="G1074" s="4" t="s">
        <v>25</v>
      </c>
      <c r="H1074" s="4" t="s">
        <v>25</v>
      </c>
      <c r="I1074" s="5">
        <v>44409</v>
      </c>
      <c r="J1074" s="6">
        <v>-561</v>
      </c>
      <c r="K1074" s="6">
        <v>-561</v>
      </c>
      <c r="L1074" s="6">
        <v>0</v>
      </c>
      <c r="M1074" s="6">
        <v>0</v>
      </c>
      <c r="N1074" s="6">
        <v>0</v>
      </c>
      <c r="O1074" s="6">
        <v>0</v>
      </c>
      <c r="P1074" s="6">
        <v>0</v>
      </c>
      <c r="Q1074" s="4" t="s">
        <v>26</v>
      </c>
      <c r="R1074" s="4">
        <v>0</v>
      </c>
      <c r="S1074" s="6">
        <v>23</v>
      </c>
      <c r="T1074" s="6">
        <v>0</v>
      </c>
      <c r="U1074" s="6">
        <v>0</v>
      </c>
      <c r="V1074" s="6">
        <f>IF(ISERROR(VLOOKUP($S$1074,'TAR FIN'!$A$1:$O$95,15,0)),0,VLOOKUP($S$1074,'TAR FIN'!$A$1:$O$95,15,0))</f>
        <v>28.57</v>
      </c>
      <c r="W1074" s="6">
        <f>IF(ISERROR(VLOOKUP($T$1074,'TAR FIN'!$A$1:$O$95,15,0)),0,VLOOKUP($T$1074,'TAR FIN'!$A$1:$O$95,15,0))</f>
        <v>0</v>
      </c>
      <c r="X1074" s="6">
        <f>IF(ISERROR(VLOOKUP($U$1074,'TAR FIN'!$A$1:$O$95,15,0)),0,VLOOKUP($U$1074,'TAR FIN'!$A$1:$O$95,15,0))</f>
        <v>0</v>
      </c>
      <c r="Y1074" s="6">
        <f ca="1">('TUSD BE'!$AM$15+'TUSD BF'!$AM$15+'TUSD CVA'!$AM$15)*1</f>
        <v>31.93064187172984</v>
      </c>
      <c r="Z1074" s="6"/>
      <c r="AA1074" s="6"/>
      <c r="AB1074" s="6">
        <f>$K$1074*$V$1074</f>
        <v>-16027.77</v>
      </c>
      <c r="AC1074" s="6">
        <f>$M$1074*$W$1074</f>
        <v>0</v>
      </c>
      <c r="AD1074" s="6">
        <f>$O$1074*$X$1074</f>
        <v>0</v>
      </c>
      <c r="AE1074" s="6">
        <f ca="1">$K$1074*$Y$1074</f>
        <v>-17913.090090040441</v>
      </c>
      <c r="AF1074" s="6">
        <f>$M$1074*$Z$1074</f>
        <v>0</v>
      </c>
      <c r="AG1074" s="6">
        <f>$O$1074*$AA$1074</f>
        <v>0</v>
      </c>
    </row>
    <row r="1075" spans="1:33" ht="11.25" customHeight="1" x14ac:dyDescent="0.25">
      <c r="A1075" s="4" t="s">
        <v>28</v>
      </c>
      <c r="B1075" s="4" t="s">
        <v>35</v>
      </c>
      <c r="C1075" s="4" t="s">
        <v>36</v>
      </c>
      <c r="D1075" s="4" t="s">
        <v>42</v>
      </c>
      <c r="E1075" s="4" t="s">
        <v>25</v>
      </c>
      <c r="F1075" s="4" t="s">
        <v>25</v>
      </c>
      <c r="G1075" s="4" t="s">
        <v>25</v>
      </c>
      <c r="H1075" s="4" t="s">
        <v>25</v>
      </c>
      <c r="I1075" s="5">
        <v>44409</v>
      </c>
      <c r="J1075" s="6">
        <v>11533</v>
      </c>
      <c r="K1075" s="6">
        <v>11533</v>
      </c>
      <c r="L1075" s="6">
        <v>0</v>
      </c>
      <c r="M1075" s="6">
        <v>0</v>
      </c>
      <c r="N1075" s="6">
        <v>0</v>
      </c>
      <c r="O1075" s="6">
        <v>0</v>
      </c>
      <c r="P1075" s="6">
        <v>69</v>
      </c>
      <c r="Q1075" s="4" t="s">
        <v>26</v>
      </c>
      <c r="R1075" s="4">
        <v>0</v>
      </c>
      <c r="S1075" s="6">
        <v>23</v>
      </c>
      <c r="T1075" s="6">
        <v>0</v>
      </c>
      <c r="U1075" s="6">
        <v>0</v>
      </c>
      <c r="V1075" s="6">
        <f>IF(ISERROR(VLOOKUP($S$1075,'TAR FIN'!$A$1:$O$95,15,0)),0,VLOOKUP($S$1075,'TAR FIN'!$A$1:$O$95,15,0))</f>
        <v>28.57</v>
      </c>
      <c r="W1075" s="6">
        <f>IF(ISERROR(VLOOKUP($T$1075,'TAR FIN'!$A$1:$O$95,15,0)),0,VLOOKUP($T$1075,'TAR FIN'!$A$1:$O$95,15,0))</f>
        <v>0</v>
      </c>
      <c r="X1075" s="6">
        <f>IF(ISERROR(VLOOKUP($U$1075,'TAR FIN'!$A$1:$O$95,15,0)),0,VLOOKUP($U$1075,'TAR FIN'!$A$1:$O$95,15,0))</f>
        <v>0</v>
      </c>
      <c r="Y1075" s="6">
        <f ca="1">('TUSD BE'!$AM$15+'TUSD BF'!$AM$15+'TUSD CVA'!$AM$15)*1</f>
        <v>31.93064187172984</v>
      </c>
      <c r="Z1075" s="6"/>
      <c r="AA1075" s="6"/>
      <c r="AB1075" s="6">
        <f>$K$1075*$V$1075</f>
        <v>329497.81</v>
      </c>
      <c r="AC1075" s="6">
        <f>$M$1075*$W$1075</f>
        <v>0</v>
      </c>
      <c r="AD1075" s="6">
        <f>$O$1075*$X$1075</f>
        <v>0</v>
      </c>
      <c r="AE1075" s="6">
        <f ca="1">$K$1075*$Y$1075</f>
        <v>368256.09270666022</v>
      </c>
      <c r="AF1075" s="6">
        <f>$M$1075*$Z$1075</f>
        <v>0</v>
      </c>
      <c r="AG1075" s="6">
        <f>$O$1075*$AA$1075</f>
        <v>0</v>
      </c>
    </row>
    <row r="1076" spans="1:33" ht="11.25" customHeight="1" x14ac:dyDescent="0.25">
      <c r="A1076" s="4" t="s">
        <v>30</v>
      </c>
      <c r="B1076" s="4" t="s">
        <v>35</v>
      </c>
      <c r="C1076" s="4" t="s">
        <v>36</v>
      </c>
      <c r="D1076" s="4" t="s">
        <v>42</v>
      </c>
      <c r="E1076" s="4" t="s">
        <v>25</v>
      </c>
      <c r="F1076" s="4" t="s">
        <v>25</v>
      </c>
      <c r="G1076" s="4" t="s">
        <v>25</v>
      </c>
      <c r="H1076" s="4" t="s">
        <v>25</v>
      </c>
      <c r="I1076" s="5">
        <v>44409</v>
      </c>
      <c r="J1076" s="6">
        <v>2142</v>
      </c>
      <c r="K1076" s="6">
        <v>2142</v>
      </c>
      <c r="L1076" s="6">
        <v>0</v>
      </c>
      <c r="M1076" s="6">
        <v>0</v>
      </c>
      <c r="N1076" s="6">
        <v>0</v>
      </c>
      <c r="O1076" s="6">
        <v>0</v>
      </c>
      <c r="P1076" s="6">
        <v>9</v>
      </c>
      <c r="Q1076" s="4" t="s">
        <v>26</v>
      </c>
      <c r="R1076" s="4">
        <v>0</v>
      </c>
      <c r="S1076" s="6">
        <v>23</v>
      </c>
      <c r="T1076" s="6">
        <v>0</v>
      </c>
      <c r="U1076" s="6">
        <v>0</v>
      </c>
      <c r="V1076" s="6">
        <f>IF(ISERROR(VLOOKUP($S$1076,'TAR FIN'!$A$1:$O$95,15,0)),0,VLOOKUP($S$1076,'TAR FIN'!$A$1:$O$95,15,0))</f>
        <v>28.57</v>
      </c>
      <c r="W1076" s="6">
        <f>IF(ISERROR(VLOOKUP($T$1076,'TAR FIN'!$A$1:$O$95,15,0)),0,VLOOKUP($T$1076,'TAR FIN'!$A$1:$O$95,15,0))</f>
        <v>0</v>
      </c>
      <c r="X1076" s="6">
        <f>IF(ISERROR(VLOOKUP($U$1076,'TAR FIN'!$A$1:$O$95,15,0)),0,VLOOKUP($U$1076,'TAR FIN'!$A$1:$O$95,15,0))</f>
        <v>0</v>
      </c>
      <c r="Y1076" s="6">
        <f ca="1">('TUSD BE'!$AM$15+'TUSD BF'!$AM$15+'TUSD CVA'!$AM$15)*1</f>
        <v>31.93064187172984</v>
      </c>
      <c r="Z1076" s="6"/>
      <c r="AA1076" s="6"/>
      <c r="AB1076" s="6">
        <f>$K$1076*$V$1076</f>
        <v>61196.94</v>
      </c>
      <c r="AC1076" s="6">
        <f>$M$1076*$W$1076</f>
        <v>0</v>
      </c>
      <c r="AD1076" s="6">
        <f>$O$1076*$X$1076</f>
        <v>0</v>
      </c>
      <c r="AE1076" s="6">
        <f ca="1">$K$1076*$Y$1076</f>
        <v>68395.434889245313</v>
      </c>
      <c r="AF1076" s="6">
        <f>$M$1076*$Z$1076</f>
        <v>0</v>
      </c>
      <c r="AG1076" s="6">
        <f>$O$1076*$AA$1076</f>
        <v>0</v>
      </c>
    </row>
    <row r="1077" spans="1:33" ht="11.25" customHeight="1" x14ac:dyDescent="0.25">
      <c r="A1077" s="4" t="s">
        <v>21</v>
      </c>
      <c r="B1077" s="4" t="s">
        <v>35</v>
      </c>
      <c r="C1077" s="4" t="s">
        <v>36</v>
      </c>
      <c r="D1077" s="4" t="s">
        <v>42</v>
      </c>
      <c r="E1077" s="4" t="s">
        <v>25</v>
      </c>
      <c r="F1077" s="4" t="s">
        <v>25</v>
      </c>
      <c r="G1077" s="4" t="s">
        <v>25</v>
      </c>
      <c r="H1077" s="4" t="s">
        <v>25</v>
      </c>
      <c r="I1077" s="5">
        <v>44409</v>
      </c>
      <c r="J1077" s="6">
        <v>1885</v>
      </c>
      <c r="K1077" s="6">
        <v>1885</v>
      </c>
      <c r="L1077" s="6">
        <v>0</v>
      </c>
      <c r="M1077" s="6">
        <v>0</v>
      </c>
      <c r="N1077" s="6">
        <v>0</v>
      </c>
      <c r="O1077" s="6">
        <v>0</v>
      </c>
      <c r="P1077" s="6">
        <v>2</v>
      </c>
      <c r="Q1077" s="4" t="s">
        <v>60</v>
      </c>
      <c r="R1077" s="4">
        <v>0</v>
      </c>
      <c r="S1077" s="6">
        <v>23</v>
      </c>
      <c r="T1077" s="6">
        <v>0</v>
      </c>
      <c r="U1077" s="6">
        <v>0</v>
      </c>
      <c r="V1077" s="6">
        <f>IF(ISERROR(VLOOKUP($S$1077,'TAR FIN'!$A$1:$O$95,15,0)),0,VLOOKUP($S$1077,'TAR FIN'!$A$1:$O$95,15,0))</f>
        <v>28.57</v>
      </c>
      <c r="W1077" s="6">
        <f>IF(ISERROR(VLOOKUP($T$1077,'TAR FIN'!$A$1:$O$95,15,0)),0,VLOOKUP($T$1077,'TAR FIN'!$A$1:$O$95,15,0))</f>
        <v>0</v>
      </c>
      <c r="X1077" s="6">
        <f>IF(ISERROR(VLOOKUP($U$1077,'TAR FIN'!$A$1:$O$95,15,0)),0,VLOOKUP($U$1077,'TAR FIN'!$A$1:$O$95,15,0))</f>
        <v>0</v>
      </c>
      <c r="Y1077" s="6">
        <f ca="1">('TUSD BE'!$AM$15+'TUSD BF'!$AM$15+'TUSD CVA'!$AM$15)*1</f>
        <v>31.93064187172984</v>
      </c>
      <c r="Z1077" s="6"/>
      <c r="AA1077" s="6"/>
      <c r="AB1077" s="6">
        <f>$K$1077*$V$1077</f>
        <v>53854.45</v>
      </c>
      <c r="AC1077" s="6">
        <f>$M$1077*$W$1077</f>
        <v>0</v>
      </c>
      <c r="AD1077" s="6">
        <f>$O$1077*$X$1077</f>
        <v>0</v>
      </c>
      <c r="AE1077" s="6">
        <f ca="1">$K$1077*$Y$1077</f>
        <v>60189.259928210748</v>
      </c>
      <c r="AF1077" s="6">
        <f>$M$1077*$Z$1077</f>
        <v>0</v>
      </c>
      <c r="AG1077" s="6">
        <f>$O$1077*$AA$1077</f>
        <v>0</v>
      </c>
    </row>
    <row r="1078" spans="1:33" ht="11.25" customHeight="1" x14ac:dyDescent="0.25">
      <c r="A1078" s="4" t="s">
        <v>21</v>
      </c>
      <c r="B1078" s="4" t="s">
        <v>35</v>
      </c>
      <c r="C1078" s="4" t="s">
        <v>36</v>
      </c>
      <c r="D1078" s="4" t="s">
        <v>42</v>
      </c>
      <c r="E1078" s="4" t="s">
        <v>25</v>
      </c>
      <c r="F1078" s="4" t="s">
        <v>25</v>
      </c>
      <c r="G1078" s="4" t="s">
        <v>25</v>
      </c>
      <c r="H1078" s="4" t="s">
        <v>25</v>
      </c>
      <c r="I1078" s="5">
        <v>44440</v>
      </c>
      <c r="J1078" s="6">
        <v>98518</v>
      </c>
      <c r="K1078" s="6">
        <v>98518</v>
      </c>
      <c r="L1078" s="6">
        <v>0</v>
      </c>
      <c r="M1078" s="6">
        <v>0</v>
      </c>
      <c r="N1078" s="6">
        <v>0</v>
      </c>
      <c r="O1078" s="6">
        <v>0</v>
      </c>
      <c r="P1078" s="6">
        <v>342</v>
      </c>
      <c r="Q1078" s="4" t="s">
        <v>26</v>
      </c>
      <c r="R1078" s="4">
        <v>0</v>
      </c>
      <c r="S1078" s="6">
        <v>23</v>
      </c>
      <c r="T1078" s="6">
        <v>0</v>
      </c>
      <c r="U1078" s="6">
        <v>0</v>
      </c>
      <c r="V1078" s="6">
        <f>IF(ISERROR(VLOOKUP($S$1078,'TAR FIN'!$A$1:$O$95,15,0)),0,VLOOKUP($S$1078,'TAR FIN'!$A$1:$O$95,15,0))</f>
        <v>28.57</v>
      </c>
      <c r="W1078" s="6">
        <f>IF(ISERROR(VLOOKUP($T$1078,'TAR FIN'!$A$1:$O$95,15,0)),0,VLOOKUP($T$1078,'TAR FIN'!$A$1:$O$95,15,0))</f>
        <v>0</v>
      </c>
      <c r="X1078" s="6">
        <f>IF(ISERROR(VLOOKUP($U$1078,'TAR FIN'!$A$1:$O$95,15,0)),0,VLOOKUP($U$1078,'TAR FIN'!$A$1:$O$95,15,0))</f>
        <v>0</v>
      </c>
      <c r="Y1078" s="6">
        <f ca="1">('TUSD BE'!$AM$15+'TUSD BF'!$AM$15+'TUSD CVA'!$AM$15)*1</f>
        <v>31.93064187172984</v>
      </c>
      <c r="Z1078" s="6"/>
      <c r="AA1078" s="6"/>
      <c r="AB1078" s="6">
        <f>$K$1078*$V$1078</f>
        <v>2814659.2600000002</v>
      </c>
      <c r="AC1078" s="6">
        <f>$M$1078*$W$1078</f>
        <v>0</v>
      </c>
      <c r="AD1078" s="6">
        <f>$O$1078*$X$1078</f>
        <v>0</v>
      </c>
      <c r="AE1078" s="6">
        <f ca="1">$K$1078*$Y$1078</f>
        <v>3145742.9759190804</v>
      </c>
      <c r="AF1078" s="6">
        <f>$M$1078*$Z$1078</f>
        <v>0</v>
      </c>
      <c r="AG1078" s="6">
        <f>$O$1078*$AA$1078</f>
        <v>0</v>
      </c>
    </row>
    <row r="1079" spans="1:33" ht="11.25" customHeight="1" x14ac:dyDescent="0.25">
      <c r="A1079" s="4" t="s">
        <v>27</v>
      </c>
      <c r="B1079" s="4" t="s">
        <v>35</v>
      </c>
      <c r="C1079" s="4" t="s">
        <v>36</v>
      </c>
      <c r="D1079" s="4" t="s">
        <v>42</v>
      </c>
      <c r="E1079" s="4" t="s">
        <v>25</v>
      </c>
      <c r="F1079" s="4" t="s">
        <v>25</v>
      </c>
      <c r="G1079" s="4" t="s">
        <v>25</v>
      </c>
      <c r="H1079" s="4" t="s">
        <v>25</v>
      </c>
      <c r="I1079" s="5">
        <v>44440</v>
      </c>
      <c r="J1079" s="6">
        <v>-180</v>
      </c>
      <c r="K1079" s="6">
        <v>-180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4" t="s">
        <v>26</v>
      </c>
      <c r="R1079" s="4">
        <v>0</v>
      </c>
      <c r="S1079" s="6">
        <v>23</v>
      </c>
      <c r="T1079" s="6">
        <v>0</v>
      </c>
      <c r="U1079" s="6">
        <v>0</v>
      </c>
      <c r="V1079" s="6">
        <f>IF(ISERROR(VLOOKUP($S$1079,'TAR FIN'!$A$1:$O$95,15,0)),0,VLOOKUP($S$1079,'TAR FIN'!$A$1:$O$95,15,0))</f>
        <v>28.57</v>
      </c>
      <c r="W1079" s="6">
        <f>IF(ISERROR(VLOOKUP($T$1079,'TAR FIN'!$A$1:$O$95,15,0)),0,VLOOKUP($T$1079,'TAR FIN'!$A$1:$O$95,15,0))</f>
        <v>0</v>
      </c>
      <c r="X1079" s="6">
        <f>IF(ISERROR(VLOOKUP($U$1079,'TAR FIN'!$A$1:$O$95,15,0)),0,VLOOKUP($U$1079,'TAR FIN'!$A$1:$O$95,15,0))</f>
        <v>0</v>
      </c>
      <c r="Y1079" s="6">
        <f ca="1">('TUSD BE'!$AM$15+'TUSD BF'!$AM$15+'TUSD CVA'!$AM$15)*1</f>
        <v>31.93064187172984</v>
      </c>
      <c r="Z1079" s="6"/>
      <c r="AA1079" s="6"/>
      <c r="AB1079" s="6">
        <f>$K$1079*$V$1079</f>
        <v>-5142.6000000000004</v>
      </c>
      <c r="AC1079" s="6">
        <f>$M$1079*$W$1079</f>
        <v>0</v>
      </c>
      <c r="AD1079" s="6">
        <f>$O$1079*$X$1079</f>
        <v>0</v>
      </c>
      <c r="AE1079" s="6">
        <f ca="1">$K$1079*$Y$1079</f>
        <v>-5747.5155369113709</v>
      </c>
      <c r="AF1079" s="6">
        <f>$M$1079*$Z$1079</f>
        <v>0</v>
      </c>
      <c r="AG1079" s="6">
        <f>$O$1079*$AA$1079</f>
        <v>0</v>
      </c>
    </row>
    <row r="1080" spans="1:33" ht="11.25" customHeight="1" x14ac:dyDescent="0.25">
      <c r="A1080" s="4" t="s">
        <v>28</v>
      </c>
      <c r="B1080" s="4" t="s">
        <v>35</v>
      </c>
      <c r="C1080" s="4" t="s">
        <v>36</v>
      </c>
      <c r="D1080" s="4" t="s">
        <v>42</v>
      </c>
      <c r="E1080" s="4" t="s">
        <v>25</v>
      </c>
      <c r="F1080" s="4" t="s">
        <v>25</v>
      </c>
      <c r="G1080" s="4" t="s">
        <v>25</v>
      </c>
      <c r="H1080" s="4" t="s">
        <v>25</v>
      </c>
      <c r="I1080" s="5">
        <v>44440</v>
      </c>
      <c r="J1080" s="6">
        <v>11701</v>
      </c>
      <c r="K1080" s="6">
        <v>11701</v>
      </c>
      <c r="L1080" s="6">
        <v>0</v>
      </c>
      <c r="M1080" s="6">
        <v>0</v>
      </c>
      <c r="N1080" s="6">
        <v>0</v>
      </c>
      <c r="O1080" s="6">
        <v>0</v>
      </c>
      <c r="P1080" s="6">
        <v>69</v>
      </c>
      <c r="Q1080" s="4" t="s">
        <v>26</v>
      </c>
      <c r="R1080" s="4">
        <v>0</v>
      </c>
      <c r="S1080" s="6">
        <v>23</v>
      </c>
      <c r="T1080" s="6">
        <v>0</v>
      </c>
      <c r="U1080" s="6">
        <v>0</v>
      </c>
      <c r="V1080" s="6">
        <f>IF(ISERROR(VLOOKUP($S$1080,'TAR FIN'!$A$1:$O$95,15,0)),0,VLOOKUP($S$1080,'TAR FIN'!$A$1:$O$95,15,0))</f>
        <v>28.57</v>
      </c>
      <c r="W1080" s="6">
        <f>IF(ISERROR(VLOOKUP($T$1080,'TAR FIN'!$A$1:$O$95,15,0)),0,VLOOKUP($T$1080,'TAR FIN'!$A$1:$O$95,15,0))</f>
        <v>0</v>
      </c>
      <c r="X1080" s="6">
        <f>IF(ISERROR(VLOOKUP($U$1080,'TAR FIN'!$A$1:$O$95,15,0)),0,VLOOKUP($U$1080,'TAR FIN'!$A$1:$O$95,15,0))</f>
        <v>0</v>
      </c>
      <c r="Y1080" s="6">
        <f ca="1">('TUSD BE'!$AM$15+'TUSD BF'!$AM$15+'TUSD CVA'!$AM$15)*1</f>
        <v>31.93064187172984</v>
      </c>
      <c r="Z1080" s="6"/>
      <c r="AA1080" s="6"/>
      <c r="AB1080" s="6">
        <f>$K$1080*$V$1080</f>
        <v>334297.57</v>
      </c>
      <c r="AC1080" s="6">
        <f>$M$1080*$W$1080</f>
        <v>0</v>
      </c>
      <c r="AD1080" s="6">
        <f>$O$1080*$X$1080</f>
        <v>0</v>
      </c>
      <c r="AE1080" s="6">
        <f ca="1">$K$1080*$Y$1080</f>
        <v>373620.44054111087</v>
      </c>
      <c r="AF1080" s="6">
        <f>$M$1080*$Z$1080</f>
        <v>0</v>
      </c>
      <c r="AG1080" s="6">
        <f>$O$1080*$AA$1080</f>
        <v>0</v>
      </c>
    </row>
    <row r="1081" spans="1:33" ht="11.25" customHeight="1" x14ac:dyDescent="0.25">
      <c r="A1081" s="4" t="s">
        <v>29</v>
      </c>
      <c r="B1081" s="4" t="s">
        <v>35</v>
      </c>
      <c r="C1081" s="4" t="s">
        <v>36</v>
      </c>
      <c r="D1081" s="4" t="s">
        <v>42</v>
      </c>
      <c r="E1081" s="4" t="s">
        <v>25</v>
      </c>
      <c r="F1081" s="4" t="s">
        <v>25</v>
      </c>
      <c r="G1081" s="4" t="s">
        <v>25</v>
      </c>
      <c r="H1081" s="4" t="s">
        <v>25</v>
      </c>
      <c r="I1081" s="5">
        <v>44440</v>
      </c>
      <c r="J1081" s="6">
        <v>-14</v>
      </c>
      <c r="K1081" s="6">
        <v>-14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4" t="s">
        <v>26</v>
      </c>
      <c r="R1081" s="4">
        <v>0</v>
      </c>
      <c r="S1081" s="6">
        <v>23</v>
      </c>
      <c r="T1081" s="6">
        <v>0</v>
      </c>
      <c r="U1081" s="6">
        <v>0</v>
      </c>
      <c r="V1081" s="6">
        <f>IF(ISERROR(VLOOKUP($S$1081,'TAR FIN'!$A$1:$O$95,15,0)),0,VLOOKUP($S$1081,'TAR FIN'!$A$1:$O$95,15,0))</f>
        <v>28.57</v>
      </c>
      <c r="W1081" s="6">
        <f>IF(ISERROR(VLOOKUP($T$1081,'TAR FIN'!$A$1:$O$95,15,0)),0,VLOOKUP($T$1081,'TAR FIN'!$A$1:$O$95,15,0))</f>
        <v>0</v>
      </c>
      <c r="X1081" s="6">
        <f>IF(ISERROR(VLOOKUP($U$1081,'TAR FIN'!$A$1:$O$95,15,0)),0,VLOOKUP($U$1081,'TAR FIN'!$A$1:$O$95,15,0))</f>
        <v>0</v>
      </c>
      <c r="Y1081" s="6">
        <f ca="1">('TUSD BE'!$AM$15+'TUSD BF'!$AM$15+'TUSD CVA'!$AM$15)*1</f>
        <v>31.93064187172984</v>
      </c>
      <c r="Z1081" s="6"/>
      <c r="AA1081" s="6"/>
      <c r="AB1081" s="6">
        <f>$K$1081*$V$1081</f>
        <v>-399.98</v>
      </c>
      <c r="AC1081" s="6">
        <f>$M$1081*$W$1081</f>
        <v>0</v>
      </c>
      <c r="AD1081" s="6">
        <f>$O$1081*$X$1081</f>
        <v>0</v>
      </c>
      <c r="AE1081" s="6">
        <f ca="1">$K$1081*$Y$1081</f>
        <v>-447.02898620421774</v>
      </c>
      <c r="AF1081" s="6">
        <f>$M$1081*$Z$1081</f>
        <v>0</v>
      </c>
      <c r="AG1081" s="6">
        <f>$O$1081*$AA$1081</f>
        <v>0</v>
      </c>
    </row>
    <row r="1082" spans="1:33" ht="11.25" customHeight="1" x14ac:dyDescent="0.25">
      <c r="A1082" s="4" t="s">
        <v>30</v>
      </c>
      <c r="B1082" s="4" t="s">
        <v>35</v>
      </c>
      <c r="C1082" s="4" t="s">
        <v>36</v>
      </c>
      <c r="D1082" s="4" t="s">
        <v>42</v>
      </c>
      <c r="E1082" s="4" t="s">
        <v>25</v>
      </c>
      <c r="F1082" s="4" t="s">
        <v>25</v>
      </c>
      <c r="G1082" s="4" t="s">
        <v>25</v>
      </c>
      <c r="H1082" s="4" t="s">
        <v>25</v>
      </c>
      <c r="I1082" s="5">
        <v>44440</v>
      </c>
      <c r="J1082" s="6">
        <v>2502</v>
      </c>
      <c r="K1082" s="6">
        <v>2502</v>
      </c>
      <c r="L1082" s="6">
        <v>0</v>
      </c>
      <c r="M1082" s="6">
        <v>0</v>
      </c>
      <c r="N1082" s="6">
        <v>0</v>
      </c>
      <c r="O1082" s="6">
        <v>0</v>
      </c>
      <c r="P1082" s="6">
        <v>11</v>
      </c>
      <c r="Q1082" s="4" t="s">
        <v>26</v>
      </c>
      <c r="R1082" s="4">
        <v>0</v>
      </c>
      <c r="S1082" s="6">
        <v>23</v>
      </c>
      <c r="T1082" s="6">
        <v>0</v>
      </c>
      <c r="U1082" s="6">
        <v>0</v>
      </c>
      <c r="V1082" s="6">
        <f>IF(ISERROR(VLOOKUP($S$1082,'TAR FIN'!$A$1:$O$95,15,0)),0,VLOOKUP($S$1082,'TAR FIN'!$A$1:$O$95,15,0))</f>
        <v>28.57</v>
      </c>
      <c r="W1082" s="6">
        <f>IF(ISERROR(VLOOKUP($T$1082,'TAR FIN'!$A$1:$O$95,15,0)),0,VLOOKUP($T$1082,'TAR FIN'!$A$1:$O$95,15,0))</f>
        <v>0</v>
      </c>
      <c r="X1082" s="6">
        <f>IF(ISERROR(VLOOKUP($U$1082,'TAR FIN'!$A$1:$O$95,15,0)),0,VLOOKUP($U$1082,'TAR FIN'!$A$1:$O$95,15,0))</f>
        <v>0</v>
      </c>
      <c r="Y1082" s="6">
        <f ca="1">('TUSD BE'!$AM$15+'TUSD BF'!$AM$15+'TUSD CVA'!$AM$15)*1</f>
        <v>31.93064187172984</v>
      </c>
      <c r="Z1082" s="6"/>
      <c r="AA1082" s="6"/>
      <c r="AB1082" s="6">
        <f>$K$1082*$V$1082</f>
        <v>71482.14</v>
      </c>
      <c r="AC1082" s="6">
        <f>$M$1082*$W$1082</f>
        <v>0</v>
      </c>
      <c r="AD1082" s="6">
        <f>$O$1082*$X$1082</f>
        <v>0</v>
      </c>
      <c r="AE1082" s="6">
        <f ca="1">$K$1082*$Y$1082</f>
        <v>79890.465963068054</v>
      </c>
      <c r="AF1082" s="6">
        <f>$M$1082*$Z$1082</f>
        <v>0</v>
      </c>
      <c r="AG1082" s="6">
        <f>$O$1082*$AA$1082</f>
        <v>0</v>
      </c>
    </row>
    <row r="1083" spans="1:33" ht="11.25" customHeight="1" x14ac:dyDescent="0.25">
      <c r="A1083" s="4" t="s">
        <v>21</v>
      </c>
      <c r="B1083" s="4" t="s">
        <v>35</v>
      </c>
      <c r="C1083" s="4" t="s">
        <v>36</v>
      </c>
      <c r="D1083" s="4" t="s">
        <v>42</v>
      </c>
      <c r="E1083" s="4" t="s">
        <v>25</v>
      </c>
      <c r="F1083" s="4" t="s">
        <v>25</v>
      </c>
      <c r="G1083" s="4" t="s">
        <v>25</v>
      </c>
      <c r="H1083" s="4" t="s">
        <v>25</v>
      </c>
      <c r="I1083" s="5">
        <v>44440</v>
      </c>
      <c r="J1083" s="6">
        <v>3085</v>
      </c>
      <c r="K1083" s="6">
        <v>3085</v>
      </c>
      <c r="L1083" s="6">
        <v>0</v>
      </c>
      <c r="M1083" s="6">
        <v>0</v>
      </c>
      <c r="N1083" s="6">
        <v>0</v>
      </c>
      <c r="O1083" s="6">
        <v>0</v>
      </c>
      <c r="P1083" s="6">
        <v>3</v>
      </c>
      <c r="Q1083" s="4" t="s">
        <v>60</v>
      </c>
      <c r="R1083" s="4">
        <v>0</v>
      </c>
      <c r="S1083" s="6">
        <v>23</v>
      </c>
      <c r="T1083" s="6">
        <v>0</v>
      </c>
      <c r="U1083" s="6">
        <v>0</v>
      </c>
      <c r="V1083" s="6">
        <f>IF(ISERROR(VLOOKUP($S$1083,'TAR FIN'!$A$1:$O$95,15,0)),0,VLOOKUP($S$1083,'TAR FIN'!$A$1:$O$95,15,0))</f>
        <v>28.57</v>
      </c>
      <c r="W1083" s="6">
        <f>IF(ISERROR(VLOOKUP($T$1083,'TAR FIN'!$A$1:$O$95,15,0)),0,VLOOKUP($T$1083,'TAR FIN'!$A$1:$O$95,15,0))</f>
        <v>0</v>
      </c>
      <c r="X1083" s="6">
        <f>IF(ISERROR(VLOOKUP($U$1083,'TAR FIN'!$A$1:$O$95,15,0)),0,VLOOKUP($U$1083,'TAR FIN'!$A$1:$O$95,15,0))</f>
        <v>0</v>
      </c>
      <c r="Y1083" s="6">
        <f ca="1">('TUSD BE'!$AM$15+'TUSD BF'!$AM$15+'TUSD CVA'!$AM$15)*1</f>
        <v>31.93064187172984</v>
      </c>
      <c r="Z1083" s="6"/>
      <c r="AA1083" s="6"/>
      <c r="AB1083" s="6">
        <f>$K$1083*$V$1083</f>
        <v>88138.45</v>
      </c>
      <c r="AC1083" s="6">
        <f>$M$1083*$W$1083</f>
        <v>0</v>
      </c>
      <c r="AD1083" s="6">
        <f>$O$1083*$X$1083</f>
        <v>0</v>
      </c>
      <c r="AE1083" s="6">
        <f ca="1">$K$1083*$Y$1083</f>
        <v>98506.030174286556</v>
      </c>
      <c r="AF1083" s="6">
        <f>$M$1083*$Z$1083</f>
        <v>0</v>
      </c>
      <c r="AG1083" s="6">
        <f>$O$1083*$AA$1083</f>
        <v>0</v>
      </c>
    </row>
    <row r="1084" spans="1:33" ht="11.25" customHeight="1" x14ac:dyDescent="0.25">
      <c r="A1084" s="4" t="s">
        <v>59</v>
      </c>
      <c r="B1084" s="4" t="s">
        <v>35</v>
      </c>
      <c r="C1084" s="4" t="s">
        <v>36</v>
      </c>
      <c r="D1084" s="4" t="s">
        <v>42</v>
      </c>
      <c r="E1084" s="4" t="s">
        <v>25</v>
      </c>
      <c r="F1084" s="4" t="s">
        <v>25</v>
      </c>
      <c r="G1084" s="4" t="s">
        <v>25</v>
      </c>
      <c r="H1084" s="4" t="s">
        <v>25</v>
      </c>
      <c r="I1084" s="5">
        <v>44470</v>
      </c>
      <c r="J1084" s="6">
        <v>98518</v>
      </c>
      <c r="K1084" s="6">
        <v>98518</v>
      </c>
      <c r="L1084" s="6">
        <v>0</v>
      </c>
      <c r="M1084" s="6">
        <v>0</v>
      </c>
      <c r="N1084" s="6">
        <v>0</v>
      </c>
      <c r="O1084" s="6">
        <v>0</v>
      </c>
      <c r="P1084" s="6">
        <v>342</v>
      </c>
      <c r="Q1084" s="4" t="s">
        <v>26</v>
      </c>
      <c r="R1084" s="4">
        <v>0</v>
      </c>
      <c r="S1084" s="6">
        <v>23</v>
      </c>
      <c r="T1084" s="6">
        <v>0</v>
      </c>
      <c r="U1084" s="6">
        <v>0</v>
      </c>
      <c r="V1084" s="6">
        <f>IF(ISERROR(VLOOKUP($S$1084,'TAR FIN'!$A$1:$O$95,15,0)),0,VLOOKUP($S$1084,'TAR FIN'!$A$1:$O$95,15,0))</f>
        <v>28.57</v>
      </c>
      <c r="W1084" s="6">
        <f>IF(ISERROR(VLOOKUP($T$1084,'TAR FIN'!$A$1:$O$95,15,0)),0,VLOOKUP($T$1084,'TAR FIN'!$A$1:$O$95,15,0))</f>
        <v>0</v>
      </c>
      <c r="X1084" s="6">
        <f>IF(ISERROR(VLOOKUP($U$1084,'TAR FIN'!$A$1:$O$95,15,0)),0,VLOOKUP($U$1084,'TAR FIN'!$A$1:$O$95,15,0))</f>
        <v>0</v>
      </c>
      <c r="Y1084" s="6">
        <f ca="1">('TUSD BE'!$AM$15+'TUSD BF'!$AM$15+'TUSD CVA'!$AM$15)*1</f>
        <v>31.93064187172984</v>
      </c>
      <c r="Z1084" s="6"/>
      <c r="AA1084" s="6"/>
      <c r="AB1084" s="6">
        <f>$K$1084*$V$1084</f>
        <v>2814659.2600000002</v>
      </c>
      <c r="AC1084" s="6">
        <f>$M$1084*$W$1084</f>
        <v>0</v>
      </c>
      <c r="AD1084" s="6">
        <f>$O$1084*$X$1084</f>
        <v>0</v>
      </c>
      <c r="AE1084" s="6">
        <f ca="1">$K$1084*$Y$1084</f>
        <v>3145742.9759190804</v>
      </c>
      <c r="AF1084" s="6">
        <f>$M$1084*$Z$1084</f>
        <v>0</v>
      </c>
      <c r="AG1084" s="6">
        <f>$O$1084*$AA$1084</f>
        <v>0</v>
      </c>
    </row>
    <row r="1085" spans="1:33" ht="11.25" customHeight="1" x14ac:dyDescent="0.25">
      <c r="A1085" s="4" t="s">
        <v>59</v>
      </c>
      <c r="B1085" s="4" t="s">
        <v>35</v>
      </c>
      <c r="C1085" s="4" t="s">
        <v>36</v>
      </c>
      <c r="D1085" s="4" t="s">
        <v>42</v>
      </c>
      <c r="E1085" s="4" t="s">
        <v>25</v>
      </c>
      <c r="F1085" s="4" t="s">
        <v>25</v>
      </c>
      <c r="G1085" s="4" t="s">
        <v>25</v>
      </c>
      <c r="H1085" s="4" t="s">
        <v>25</v>
      </c>
      <c r="I1085" s="5">
        <v>44470</v>
      </c>
      <c r="J1085" s="6">
        <v>-180</v>
      </c>
      <c r="K1085" s="6">
        <v>-180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4" t="s">
        <v>26</v>
      </c>
      <c r="R1085" s="4">
        <v>0</v>
      </c>
      <c r="S1085" s="6">
        <v>23</v>
      </c>
      <c r="T1085" s="6">
        <v>0</v>
      </c>
      <c r="U1085" s="6">
        <v>0</v>
      </c>
      <c r="V1085" s="6">
        <f>IF(ISERROR(VLOOKUP($S$1085,'TAR FIN'!$A$1:$O$95,15,0)),0,VLOOKUP($S$1085,'TAR FIN'!$A$1:$O$95,15,0))</f>
        <v>28.57</v>
      </c>
      <c r="W1085" s="6">
        <f>IF(ISERROR(VLOOKUP($T$1085,'TAR FIN'!$A$1:$O$95,15,0)),0,VLOOKUP($T$1085,'TAR FIN'!$A$1:$O$95,15,0))</f>
        <v>0</v>
      </c>
      <c r="X1085" s="6">
        <f>IF(ISERROR(VLOOKUP($U$1085,'TAR FIN'!$A$1:$O$95,15,0)),0,VLOOKUP($U$1085,'TAR FIN'!$A$1:$O$95,15,0))</f>
        <v>0</v>
      </c>
      <c r="Y1085" s="6">
        <f ca="1">('TUSD BE'!$AM$15+'TUSD BF'!$AM$15+'TUSD CVA'!$AM$15)*1</f>
        <v>31.93064187172984</v>
      </c>
      <c r="Z1085" s="6"/>
      <c r="AA1085" s="6"/>
      <c r="AB1085" s="6">
        <f>$K$1085*$V$1085</f>
        <v>-5142.6000000000004</v>
      </c>
      <c r="AC1085" s="6">
        <f>$M$1085*$W$1085</f>
        <v>0</v>
      </c>
      <c r="AD1085" s="6">
        <f>$O$1085*$X$1085</f>
        <v>0</v>
      </c>
      <c r="AE1085" s="6">
        <f ca="1">$K$1085*$Y$1085</f>
        <v>-5747.5155369113709</v>
      </c>
      <c r="AF1085" s="6">
        <f>$M$1085*$Z$1085</f>
        <v>0</v>
      </c>
      <c r="AG1085" s="6">
        <f>$O$1085*$AA$1085</f>
        <v>0</v>
      </c>
    </row>
    <row r="1086" spans="1:33" ht="11.25" customHeight="1" x14ac:dyDescent="0.25">
      <c r="A1086" s="4" t="s">
        <v>59</v>
      </c>
      <c r="B1086" s="4" t="s">
        <v>35</v>
      </c>
      <c r="C1086" s="4" t="s">
        <v>36</v>
      </c>
      <c r="D1086" s="4" t="s">
        <v>42</v>
      </c>
      <c r="E1086" s="4" t="s">
        <v>25</v>
      </c>
      <c r="F1086" s="4" t="s">
        <v>25</v>
      </c>
      <c r="G1086" s="4" t="s">
        <v>25</v>
      </c>
      <c r="H1086" s="4" t="s">
        <v>25</v>
      </c>
      <c r="I1086" s="5">
        <v>44470</v>
      </c>
      <c r="J1086" s="6">
        <v>11701</v>
      </c>
      <c r="K1086" s="6">
        <v>11701</v>
      </c>
      <c r="L1086" s="6">
        <v>0</v>
      </c>
      <c r="M1086" s="6">
        <v>0</v>
      </c>
      <c r="N1086" s="6">
        <v>0</v>
      </c>
      <c r="O1086" s="6">
        <v>0</v>
      </c>
      <c r="P1086" s="6">
        <v>69</v>
      </c>
      <c r="Q1086" s="4" t="s">
        <v>26</v>
      </c>
      <c r="R1086" s="4">
        <v>0</v>
      </c>
      <c r="S1086" s="6">
        <v>23</v>
      </c>
      <c r="T1086" s="6">
        <v>0</v>
      </c>
      <c r="U1086" s="6">
        <v>0</v>
      </c>
      <c r="V1086" s="6">
        <f>IF(ISERROR(VLOOKUP($S$1086,'TAR FIN'!$A$1:$O$95,15,0)),0,VLOOKUP($S$1086,'TAR FIN'!$A$1:$O$95,15,0))</f>
        <v>28.57</v>
      </c>
      <c r="W1086" s="6">
        <f>IF(ISERROR(VLOOKUP($T$1086,'TAR FIN'!$A$1:$O$95,15,0)),0,VLOOKUP($T$1086,'TAR FIN'!$A$1:$O$95,15,0))</f>
        <v>0</v>
      </c>
      <c r="X1086" s="6">
        <f>IF(ISERROR(VLOOKUP($U$1086,'TAR FIN'!$A$1:$O$95,15,0)),0,VLOOKUP($U$1086,'TAR FIN'!$A$1:$O$95,15,0))</f>
        <v>0</v>
      </c>
      <c r="Y1086" s="6">
        <f ca="1">('TUSD BE'!$AM$15+'TUSD BF'!$AM$15+'TUSD CVA'!$AM$15)*1</f>
        <v>31.93064187172984</v>
      </c>
      <c r="Z1086" s="6"/>
      <c r="AA1086" s="6"/>
      <c r="AB1086" s="6">
        <f>$K$1086*$V$1086</f>
        <v>334297.57</v>
      </c>
      <c r="AC1086" s="6">
        <f>$M$1086*$W$1086</f>
        <v>0</v>
      </c>
      <c r="AD1086" s="6">
        <f>$O$1086*$X$1086</f>
        <v>0</v>
      </c>
      <c r="AE1086" s="6">
        <f ca="1">$K$1086*$Y$1086</f>
        <v>373620.44054111087</v>
      </c>
      <c r="AF1086" s="6">
        <f>$M$1086*$Z$1086</f>
        <v>0</v>
      </c>
      <c r="AG1086" s="6">
        <f>$O$1086*$AA$1086</f>
        <v>0</v>
      </c>
    </row>
    <row r="1087" spans="1:33" ht="11.25" customHeight="1" x14ac:dyDescent="0.25">
      <c r="A1087" s="4" t="s">
        <v>59</v>
      </c>
      <c r="B1087" s="4" t="s">
        <v>35</v>
      </c>
      <c r="C1087" s="4" t="s">
        <v>36</v>
      </c>
      <c r="D1087" s="4" t="s">
        <v>42</v>
      </c>
      <c r="E1087" s="4" t="s">
        <v>25</v>
      </c>
      <c r="F1087" s="4" t="s">
        <v>25</v>
      </c>
      <c r="G1087" s="4" t="s">
        <v>25</v>
      </c>
      <c r="H1087" s="4" t="s">
        <v>25</v>
      </c>
      <c r="I1087" s="5">
        <v>44470</v>
      </c>
      <c r="J1087" s="6">
        <v>-14</v>
      </c>
      <c r="K1087" s="6">
        <v>-14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4" t="s">
        <v>26</v>
      </c>
      <c r="R1087" s="4">
        <v>0</v>
      </c>
      <c r="S1087" s="6">
        <v>23</v>
      </c>
      <c r="T1087" s="6">
        <v>0</v>
      </c>
      <c r="U1087" s="6">
        <v>0</v>
      </c>
      <c r="V1087" s="6">
        <f>IF(ISERROR(VLOOKUP($S$1087,'TAR FIN'!$A$1:$O$95,15,0)),0,VLOOKUP($S$1087,'TAR FIN'!$A$1:$O$95,15,0))</f>
        <v>28.57</v>
      </c>
      <c r="W1087" s="6">
        <f>IF(ISERROR(VLOOKUP($T$1087,'TAR FIN'!$A$1:$O$95,15,0)),0,VLOOKUP($T$1087,'TAR FIN'!$A$1:$O$95,15,0))</f>
        <v>0</v>
      </c>
      <c r="X1087" s="6">
        <f>IF(ISERROR(VLOOKUP($U$1087,'TAR FIN'!$A$1:$O$95,15,0)),0,VLOOKUP($U$1087,'TAR FIN'!$A$1:$O$95,15,0))</f>
        <v>0</v>
      </c>
      <c r="Y1087" s="6">
        <f ca="1">('TUSD BE'!$AM$15+'TUSD BF'!$AM$15+'TUSD CVA'!$AM$15)*1</f>
        <v>31.93064187172984</v>
      </c>
      <c r="Z1087" s="6"/>
      <c r="AA1087" s="6"/>
      <c r="AB1087" s="6">
        <f>$K$1087*$V$1087</f>
        <v>-399.98</v>
      </c>
      <c r="AC1087" s="6">
        <f>$M$1087*$W$1087</f>
        <v>0</v>
      </c>
      <c r="AD1087" s="6">
        <f>$O$1087*$X$1087</f>
        <v>0</v>
      </c>
      <c r="AE1087" s="6">
        <f ca="1">$K$1087*$Y$1087</f>
        <v>-447.02898620421774</v>
      </c>
      <c r="AF1087" s="6">
        <f>$M$1087*$Z$1087</f>
        <v>0</v>
      </c>
      <c r="AG1087" s="6">
        <f>$O$1087*$AA$1087</f>
        <v>0</v>
      </c>
    </row>
    <row r="1088" spans="1:33" ht="11.25" customHeight="1" x14ac:dyDescent="0.25">
      <c r="A1088" s="4" t="s">
        <v>59</v>
      </c>
      <c r="B1088" s="4" t="s">
        <v>35</v>
      </c>
      <c r="C1088" s="4" t="s">
        <v>36</v>
      </c>
      <c r="D1088" s="4" t="s">
        <v>42</v>
      </c>
      <c r="E1088" s="4" t="s">
        <v>25</v>
      </c>
      <c r="F1088" s="4" t="s">
        <v>25</v>
      </c>
      <c r="G1088" s="4" t="s">
        <v>25</v>
      </c>
      <c r="H1088" s="4" t="s">
        <v>25</v>
      </c>
      <c r="I1088" s="5">
        <v>44470</v>
      </c>
      <c r="J1088" s="6">
        <v>2502</v>
      </c>
      <c r="K1088" s="6">
        <v>2502</v>
      </c>
      <c r="L1088" s="6">
        <v>0</v>
      </c>
      <c r="M1088" s="6">
        <v>0</v>
      </c>
      <c r="N1088" s="6">
        <v>0</v>
      </c>
      <c r="O1088" s="6">
        <v>0</v>
      </c>
      <c r="P1088" s="6">
        <v>11</v>
      </c>
      <c r="Q1088" s="4" t="s">
        <v>26</v>
      </c>
      <c r="R1088" s="4">
        <v>0</v>
      </c>
      <c r="S1088" s="6">
        <v>23</v>
      </c>
      <c r="T1088" s="6">
        <v>0</v>
      </c>
      <c r="U1088" s="6">
        <v>0</v>
      </c>
      <c r="V1088" s="6">
        <f>IF(ISERROR(VLOOKUP($S$1088,'TAR FIN'!$A$1:$O$95,15,0)),0,VLOOKUP($S$1088,'TAR FIN'!$A$1:$O$95,15,0))</f>
        <v>28.57</v>
      </c>
      <c r="W1088" s="6">
        <f>IF(ISERROR(VLOOKUP($T$1088,'TAR FIN'!$A$1:$O$95,15,0)),0,VLOOKUP($T$1088,'TAR FIN'!$A$1:$O$95,15,0))</f>
        <v>0</v>
      </c>
      <c r="X1088" s="6">
        <f>IF(ISERROR(VLOOKUP($U$1088,'TAR FIN'!$A$1:$O$95,15,0)),0,VLOOKUP($U$1088,'TAR FIN'!$A$1:$O$95,15,0))</f>
        <v>0</v>
      </c>
      <c r="Y1088" s="6">
        <f ca="1">('TUSD BE'!$AM$15+'TUSD BF'!$AM$15+'TUSD CVA'!$AM$15)*1</f>
        <v>31.93064187172984</v>
      </c>
      <c r="Z1088" s="6"/>
      <c r="AA1088" s="6"/>
      <c r="AB1088" s="6">
        <f>$K$1088*$V$1088</f>
        <v>71482.14</v>
      </c>
      <c r="AC1088" s="6">
        <f>$M$1088*$W$1088</f>
        <v>0</v>
      </c>
      <c r="AD1088" s="6">
        <f>$O$1088*$X$1088</f>
        <v>0</v>
      </c>
      <c r="AE1088" s="6">
        <f ca="1">$K$1088*$Y$1088</f>
        <v>79890.465963068054</v>
      </c>
      <c r="AF1088" s="6">
        <f>$M$1088*$Z$1088</f>
        <v>0</v>
      </c>
      <c r="AG1088" s="6">
        <f>$O$1088*$AA$1088</f>
        <v>0</v>
      </c>
    </row>
    <row r="1089" spans="1:33" ht="11.25" customHeight="1" x14ac:dyDescent="0.25">
      <c r="A1089" s="4" t="s">
        <v>59</v>
      </c>
      <c r="B1089" s="4" t="s">
        <v>35</v>
      </c>
      <c r="C1089" s="4" t="s">
        <v>36</v>
      </c>
      <c r="D1089" s="4" t="s">
        <v>42</v>
      </c>
      <c r="E1089" s="4" t="s">
        <v>25</v>
      </c>
      <c r="F1089" s="4" t="s">
        <v>25</v>
      </c>
      <c r="G1089" s="4" t="s">
        <v>25</v>
      </c>
      <c r="H1089" s="4" t="s">
        <v>25</v>
      </c>
      <c r="I1089" s="5">
        <v>44470</v>
      </c>
      <c r="J1089" s="6">
        <v>3085</v>
      </c>
      <c r="K1089" s="6">
        <v>3085</v>
      </c>
      <c r="L1089" s="6">
        <v>0</v>
      </c>
      <c r="M1089" s="6">
        <v>0</v>
      </c>
      <c r="N1089" s="6">
        <v>0</v>
      </c>
      <c r="O1089" s="6">
        <v>0</v>
      </c>
      <c r="P1089" s="6">
        <v>3</v>
      </c>
      <c r="Q1089" s="4" t="s">
        <v>60</v>
      </c>
      <c r="R1089" s="4">
        <v>0</v>
      </c>
      <c r="S1089" s="6">
        <v>23</v>
      </c>
      <c r="T1089" s="6">
        <v>0</v>
      </c>
      <c r="U1089" s="6">
        <v>0</v>
      </c>
      <c r="V1089" s="6">
        <f>IF(ISERROR(VLOOKUP($S$1089,'TAR FIN'!$A$1:$O$95,15,0)),0,VLOOKUP($S$1089,'TAR FIN'!$A$1:$O$95,15,0))</f>
        <v>28.57</v>
      </c>
      <c r="W1089" s="6">
        <f>IF(ISERROR(VLOOKUP($T$1089,'TAR FIN'!$A$1:$O$95,15,0)),0,VLOOKUP($T$1089,'TAR FIN'!$A$1:$O$95,15,0))</f>
        <v>0</v>
      </c>
      <c r="X1089" s="6">
        <f>IF(ISERROR(VLOOKUP($U$1089,'TAR FIN'!$A$1:$O$95,15,0)),0,VLOOKUP($U$1089,'TAR FIN'!$A$1:$O$95,15,0))</f>
        <v>0</v>
      </c>
      <c r="Y1089" s="6">
        <f ca="1">('TUSD BE'!$AM$15+'TUSD BF'!$AM$15+'TUSD CVA'!$AM$15)*1</f>
        <v>31.93064187172984</v>
      </c>
      <c r="Z1089" s="6"/>
      <c r="AA1089" s="6"/>
      <c r="AB1089" s="6">
        <f>$K$1089*$V$1089</f>
        <v>88138.45</v>
      </c>
      <c r="AC1089" s="6">
        <f>$M$1089*$W$1089</f>
        <v>0</v>
      </c>
      <c r="AD1089" s="6">
        <f>$O$1089*$X$1089</f>
        <v>0</v>
      </c>
      <c r="AE1089" s="6">
        <f ca="1">$K$1089*$Y$1089</f>
        <v>98506.030174286556</v>
      </c>
      <c r="AF1089" s="6">
        <f>$M$1089*$Z$1089</f>
        <v>0</v>
      </c>
      <c r="AG1089" s="6">
        <f>$O$1089*$AA$1089</f>
        <v>0</v>
      </c>
    </row>
    <row r="1090" spans="1:33" ht="11.25" customHeight="1" x14ac:dyDescent="0.25">
      <c r="A1090" s="4" t="s">
        <v>21</v>
      </c>
      <c r="B1090" s="4" t="s">
        <v>35</v>
      </c>
      <c r="C1090" s="4" t="s">
        <v>36</v>
      </c>
      <c r="D1090" s="4" t="s">
        <v>42</v>
      </c>
      <c r="E1090" s="4" t="s">
        <v>25</v>
      </c>
      <c r="F1090" s="4" t="s">
        <v>25</v>
      </c>
      <c r="G1090" s="4" t="s">
        <v>25</v>
      </c>
      <c r="H1090" s="4" t="s">
        <v>37</v>
      </c>
      <c r="I1090" s="5">
        <v>44136</v>
      </c>
      <c r="J1090" s="6">
        <v>0</v>
      </c>
      <c r="K1090" s="6">
        <v>0</v>
      </c>
      <c r="L1090" s="6">
        <v>1762.345</v>
      </c>
      <c r="M1090" s="6">
        <v>1762.345</v>
      </c>
      <c r="N1090" s="6">
        <v>1762.345</v>
      </c>
      <c r="O1090" s="6">
        <v>1762.345</v>
      </c>
      <c r="P1090" s="6">
        <v>0</v>
      </c>
      <c r="Q1090" s="4" t="s">
        <v>26</v>
      </c>
      <c r="R1090" s="4">
        <v>0</v>
      </c>
      <c r="S1090" s="6">
        <v>0</v>
      </c>
      <c r="T1090" s="6">
        <v>24</v>
      </c>
      <c r="U1090" s="6">
        <v>66</v>
      </c>
      <c r="V1090" s="6">
        <f>IF(ISERROR(VLOOKUP($S$1090,'TAR FIN'!$A$1:$O$95,15,0)),0,VLOOKUP($S$1090,'TAR FIN'!$A$1:$O$95,15,0))</f>
        <v>0</v>
      </c>
      <c r="W1090" s="6">
        <f>IF(ISERROR(VLOOKUP($T$1090,'TAR FIN'!$A$1:$O$95,15,0)),0,VLOOKUP($T$1090,'TAR FIN'!$A$1:$O$95,15,0))</f>
        <v>1434.79</v>
      </c>
      <c r="X1090" s="6">
        <f>IF(ISERROR(VLOOKUP($U$1090,'TAR FIN'!$A$1:$O$95,15,0)),0,VLOOKUP($U$1090,'TAR FIN'!$A$1:$O$95,15,0))</f>
        <v>389.28</v>
      </c>
      <c r="Y1090" s="6"/>
      <c r="Z1090" s="6">
        <f ca="1">('TUSD BE'!$AM$16+'TUSD BF'!$AM$16+'TUSD CVA'!$AM$16)*1</f>
        <v>1605.9916314233351</v>
      </c>
      <c r="AA1090" s="6">
        <f>('TE BE'!$AA$7+'TE BF'!$AA$7+'TE CVA'!$AA$7)*1</f>
        <v>454.3285679284046</v>
      </c>
      <c r="AB1090" s="6">
        <f>$K$1090*$V$1090</f>
        <v>0</v>
      </c>
      <c r="AC1090" s="6">
        <f>$M$1090*$W$1090</f>
        <v>2528594.9825499998</v>
      </c>
      <c r="AD1090" s="6">
        <f>$O$1090*$X$1090</f>
        <v>686045.66159999999</v>
      </c>
      <c r="AE1090" s="6">
        <f>$K$1090*$Y$1090</f>
        <v>0</v>
      </c>
      <c r="AF1090" s="6">
        <f ca="1">$M$1090*$Z$1090</f>
        <v>2830311.3216807577</v>
      </c>
      <c r="AG1090" s="6">
        <f>$O$1090*$AA$1090</f>
        <v>800683.68004578422</v>
      </c>
    </row>
    <row r="1091" spans="1:33" ht="11.25" customHeight="1" x14ac:dyDescent="0.25">
      <c r="A1091" s="4" t="s">
        <v>27</v>
      </c>
      <c r="B1091" s="4" t="s">
        <v>35</v>
      </c>
      <c r="C1091" s="4" t="s">
        <v>36</v>
      </c>
      <c r="D1091" s="4" t="s">
        <v>42</v>
      </c>
      <c r="E1091" s="4" t="s">
        <v>25</v>
      </c>
      <c r="F1091" s="4" t="s">
        <v>25</v>
      </c>
      <c r="G1091" s="4" t="s">
        <v>25</v>
      </c>
      <c r="H1091" s="4" t="s">
        <v>37</v>
      </c>
      <c r="I1091" s="5">
        <v>44136</v>
      </c>
      <c r="J1091" s="6">
        <v>0</v>
      </c>
      <c r="K1091" s="6">
        <v>0</v>
      </c>
      <c r="L1091" s="6">
        <v>-3.488</v>
      </c>
      <c r="M1091" s="6">
        <v>-3.488</v>
      </c>
      <c r="N1091" s="6">
        <v>-3.488</v>
      </c>
      <c r="O1091" s="6">
        <v>-3.488</v>
      </c>
      <c r="P1091" s="6">
        <v>0</v>
      </c>
      <c r="Q1091" s="4" t="s">
        <v>26</v>
      </c>
      <c r="R1091" s="4">
        <v>0</v>
      </c>
      <c r="S1091" s="6">
        <v>0</v>
      </c>
      <c r="T1091" s="6">
        <v>24</v>
      </c>
      <c r="U1091" s="6">
        <v>66</v>
      </c>
      <c r="V1091" s="6">
        <f>IF(ISERROR(VLOOKUP($S$1091,'TAR FIN'!$A$1:$O$95,15,0)),0,VLOOKUP($S$1091,'TAR FIN'!$A$1:$O$95,15,0))</f>
        <v>0</v>
      </c>
      <c r="W1091" s="6">
        <f>IF(ISERROR(VLOOKUP($T$1091,'TAR FIN'!$A$1:$O$95,15,0)),0,VLOOKUP($T$1091,'TAR FIN'!$A$1:$O$95,15,0))</f>
        <v>1434.79</v>
      </c>
      <c r="X1091" s="6">
        <f>IF(ISERROR(VLOOKUP($U$1091,'TAR FIN'!$A$1:$O$95,15,0)),0,VLOOKUP($U$1091,'TAR FIN'!$A$1:$O$95,15,0))</f>
        <v>389.28</v>
      </c>
      <c r="Y1091" s="6"/>
      <c r="Z1091" s="6">
        <f ca="1">('TUSD BE'!$AM$16+'TUSD BF'!$AM$16+'TUSD CVA'!$AM$16)*1</f>
        <v>1605.9916314233351</v>
      </c>
      <c r="AA1091" s="6">
        <f>('TE BE'!$AA$7+'TE BF'!$AA$7+'TE CVA'!$AA$7)*1</f>
        <v>454.3285679284046</v>
      </c>
      <c r="AB1091" s="6">
        <f>$K$1091*$V$1091</f>
        <v>0</v>
      </c>
      <c r="AC1091" s="6">
        <f>$M$1091*$W$1091</f>
        <v>-5004.5475200000001</v>
      </c>
      <c r="AD1091" s="6">
        <f>$O$1091*$X$1091</f>
        <v>-1357.80864</v>
      </c>
      <c r="AE1091" s="6">
        <f>$K$1091*$Y$1091</f>
        <v>0</v>
      </c>
      <c r="AF1091" s="6">
        <f ca="1">$M$1091*$Z$1091</f>
        <v>-5601.6988104045931</v>
      </c>
      <c r="AG1091" s="6">
        <f>$O$1091*$AA$1091</f>
        <v>-1584.6980449342752</v>
      </c>
    </row>
    <row r="1092" spans="1:33" ht="11.25" customHeight="1" x14ac:dyDescent="0.25">
      <c r="A1092" s="4" t="s">
        <v>28</v>
      </c>
      <c r="B1092" s="4" t="s">
        <v>35</v>
      </c>
      <c r="C1092" s="4" t="s">
        <v>36</v>
      </c>
      <c r="D1092" s="4" t="s">
        <v>42</v>
      </c>
      <c r="E1092" s="4" t="s">
        <v>25</v>
      </c>
      <c r="F1092" s="4" t="s">
        <v>25</v>
      </c>
      <c r="G1092" s="4" t="s">
        <v>25</v>
      </c>
      <c r="H1092" s="4" t="s">
        <v>37</v>
      </c>
      <c r="I1092" s="5">
        <v>44136</v>
      </c>
      <c r="J1092" s="6">
        <v>0</v>
      </c>
      <c r="K1092" s="6">
        <v>0</v>
      </c>
      <c r="L1092" s="6">
        <v>161.99</v>
      </c>
      <c r="M1092" s="6">
        <v>161.99</v>
      </c>
      <c r="N1092" s="6">
        <v>161.99</v>
      </c>
      <c r="O1092" s="6">
        <v>161.99</v>
      </c>
      <c r="P1092" s="6">
        <v>0</v>
      </c>
      <c r="Q1092" s="4" t="s">
        <v>26</v>
      </c>
      <c r="R1092" s="4">
        <v>0</v>
      </c>
      <c r="S1092" s="6">
        <v>0</v>
      </c>
      <c r="T1092" s="6">
        <v>24</v>
      </c>
      <c r="U1092" s="6">
        <v>66</v>
      </c>
      <c r="V1092" s="6">
        <f>IF(ISERROR(VLOOKUP($S$1092,'TAR FIN'!$A$1:$O$95,15,0)),0,VLOOKUP($S$1092,'TAR FIN'!$A$1:$O$95,15,0))</f>
        <v>0</v>
      </c>
      <c r="W1092" s="6">
        <f>IF(ISERROR(VLOOKUP($T$1092,'TAR FIN'!$A$1:$O$95,15,0)),0,VLOOKUP($T$1092,'TAR FIN'!$A$1:$O$95,15,0))</f>
        <v>1434.79</v>
      </c>
      <c r="X1092" s="6">
        <f>IF(ISERROR(VLOOKUP($U$1092,'TAR FIN'!$A$1:$O$95,15,0)),0,VLOOKUP($U$1092,'TAR FIN'!$A$1:$O$95,15,0))</f>
        <v>389.28</v>
      </c>
      <c r="Y1092" s="6"/>
      <c r="Z1092" s="6">
        <f ca="1">('TUSD BE'!$AM$16+'TUSD BF'!$AM$16+'TUSD CVA'!$AM$16)*1</f>
        <v>1605.9916314233351</v>
      </c>
      <c r="AA1092" s="6">
        <f>('TE BE'!$AA$7+'TE BF'!$AA$7+'TE CVA'!$AA$7)*1</f>
        <v>454.3285679284046</v>
      </c>
      <c r="AB1092" s="6">
        <f>$K$1092*$V$1092</f>
        <v>0</v>
      </c>
      <c r="AC1092" s="6">
        <f>$M$1092*$W$1092</f>
        <v>232421.63210000002</v>
      </c>
      <c r="AD1092" s="6">
        <f>$O$1092*$X$1092</f>
        <v>63059.467199999999</v>
      </c>
      <c r="AE1092" s="6">
        <f>$K$1092*$Y$1092</f>
        <v>0</v>
      </c>
      <c r="AF1092" s="6">
        <f ca="1">$M$1092*$Z$1092</f>
        <v>260154.58437426607</v>
      </c>
      <c r="AG1092" s="6">
        <f>$O$1092*$AA$1092</f>
        <v>73596.684718722259</v>
      </c>
    </row>
    <row r="1093" spans="1:33" ht="11.25" customHeight="1" x14ac:dyDescent="0.25">
      <c r="A1093" s="4" t="s">
        <v>30</v>
      </c>
      <c r="B1093" s="4" t="s">
        <v>35</v>
      </c>
      <c r="C1093" s="4" t="s">
        <v>36</v>
      </c>
      <c r="D1093" s="4" t="s">
        <v>42</v>
      </c>
      <c r="E1093" s="4" t="s">
        <v>25</v>
      </c>
      <c r="F1093" s="4" t="s">
        <v>25</v>
      </c>
      <c r="G1093" s="4" t="s">
        <v>25</v>
      </c>
      <c r="H1093" s="4" t="s">
        <v>37</v>
      </c>
      <c r="I1093" s="5">
        <v>44136</v>
      </c>
      <c r="J1093" s="6">
        <v>0</v>
      </c>
      <c r="K1093" s="6">
        <v>0</v>
      </c>
      <c r="L1093" s="6">
        <v>37.658000000000001</v>
      </c>
      <c r="M1093" s="6">
        <v>37.658000000000001</v>
      </c>
      <c r="N1093" s="6">
        <v>37.658000000000001</v>
      </c>
      <c r="O1093" s="6">
        <v>37.658000000000001</v>
      </c>
      <c r="P1093" s="6">
        <v>0</v>
      </c>
      <c r="Q1093" s="4" t="s">
        <v>26</v>
      </c>
      <c r="R1093" s="4">
        <v>0</v>
      </c>
      <c r="S1093" s="6">
        <v>0</v>
      </c>
      <c r="T1093" s="6">
        <v>24</v>
      </c>
      <c r="U1093" s="6">
        <v>66</v>
      </c>
      <c r="V1093" s="6">
        <f>IF(ISERROR(VLOOKUP($S$1093,'TAR FIN'!$A$1:$O$95,15,0)),0,VLOOKUP($S$1093,'TAR FIN'!$A$1:$O$95,15,0))</f>
        <v>0</v>
      </c>
      <c r="W1093" s="6">
        <f>IF(ISERROR(VLOOKUP($T$1093,'TAR FIN'!$A$1:$O$95,15,0)),0,VLOOKUP($T$1093,'TAR FIN'!$A$1:$O$95,15,0))</f>
        <v>1434.79</v>
      </c>
      <c r="X1093" s="6">
        <f>IF(ISERROR(VLOOKUP($U$1093,'TAR FIN'!$A$1:$O$95,15,0)),0,VLOOKUP($U$1093,'TAR FIN'!$A$1:$O$95,15,0))</f>
        <v>389.28</v>
      </c>
      <c r="Y1093" s="6"/>
      <c r="Z1093" s="6">
        <f ca="1">('TUSD BE'!$AM$16+'TUSD BF'!$AM$16+'TUSD CVA'!$AM$16)*1</f>
        <v>1605.9916314233351</v>
      </c>
      <c r="AA1093" s="6">
        <f>('TE BE'!$AA$7+'TE BF'!$AA$7+'TE CVA'!$AA$7)*1</f>
        <v>454.3285679284046</v>
      </c>
      <c r="AB1093" s="6">
        <f>$K$1093*$V$1093</f>
        <v>0</v>
      </c>
      <c r="AC1093" s="6">
        <f>$M$1093*$W$1093</f>
        <v>54031.321819999997</v>
      </c>
      <c r="AD1093" s="6">
        <f>$O$1093*$X$1093</f>
        <v>14659.506239999999</v>
      </c>
      <c r="AE1093" s="6">
        <f>$K$1093*$Y$1093</f>
        <v>0</v>
      </c>
      <c r="AF1093" s="6">
        <f ca="1">$M$1093*$Z$1093</f>
        <v>60478.432856139952</v>
      </c>
      <c r="AG1093" s="6">
        <f>$O$1093*$AA$1093</f>
        <v>17109.105211047859</v>
      </c>
    </row>
    <row r="1094" spans="1:33" ht="11.25" customHeight="1" x14ac:dyDescent="0.25">
      <c r="A1094" s="4" t="s">
        <v>21</v>
      </c>
      <c r="B1094" s="4" t="s">
        <v>35</v>
      </c>
      <c r="C1094" s="4" t="s">
        <v>36</v>
      </c>
      <c r="D1094" s="4" t="s">
        <v>42</v>
      </c>
      <c r="E1094" s="4" t="s">
        <v>25</v>
      </c>
      <c r="F1094" s="4" t="s">
        <v>25</v>
      </c>
      <c r="G1094" s="4" t="s">
        <v>25</v>
      </c>
      <c r="H1094" s="4" t="s">
        <v>37</v>
      </c>
      <c r="I1094" s="5">
        <v>44166</v>
      </c>
      <c r="J1094" s="6">
        <v>0</v>
      </c>
      <c r="K1094" s="6">
        <v>0</v>
      </c>
      <c r="L1094" s="6">
        <v>1650.701</v>
      </c>
      <c r="M1094" s="6">
        <v>1650.701</v>
      </c>
      <c r="N1094" s="6">
        <v>1650.701</v>
      </c>
      <c r="O1094" s="6">
        <v>1650.701</v>
      </c>
      <c r="P1094" s="6">
        <v>0</v>
      </c>
      <c r="Q1094" s="4" t="s">
        <v>26</v>
      </c>
      <c r="R1094" s="4">
        <v>0</v>
      </c>
      <c r="S1094" s="6">
        <v>0</v>
      </c>
      <c r="T1094" s="6">
        <v>24</v>
      </c>
      <c r="U1094" s="6">
        <v>66</v>
      </c>
      <c r="V1094" s="6">
        <f>IF(ISERROR(VLOOKUP($S$1094,'TAR FIN'!$A$1:$O$95,15,0)),0,VLOOKUP($S$1094,'TAR FIN'!$A$1:$O$95,15,0))</f>
        <v>0</v>
      </c>
      <c r="W1094" s="6">
        <f>IF(ISERROR(VLOOKUP($T$1094,'TAR FIN'!$A$1:$O$95,15,0)),0,VLOOKUP($T$1094,'TAR FIN'!$A$1:$O$95,15,0))</f>
        <v>1434.79</v>
      </c>
      <c r="X1094" s="6">
        <f>IF(ISERROR(VLOOKUP($U$1094,'TAR FIN'!$A$1:$O$95,15,0)),0,VLOOKUP($U$1094,'TAR FIN'!$A$1:$O$95,15,0))</f>
        <v>389.28</v>
      </c>
      <c r="Y1094" s="6"/>
      <c r="Z1094" s="6">
        <f ca="1">('TUSD BE'!$AM$16+'TUSD BF'!$AM$16+'TUSD CVA'!$AM$16)*1</f>
        <v>1605.9916314233351</v>
      </c>
      <c r="AA1094" s="6">
        <f>('TE BE'!$AA$7+'TE BF'!$AA$7+'TE CVA'!$AA$7)*1</f>
        <v>454.3285679284046</v>
      </c>
      <c r="AB1094" s="6">
        <f>$K$1094*$V$1094</f>
        <v>0</v>
      </c>
      <c r="AC1094" s="6">
        <f>$M$1094*$W$1094</f>
        <v>2368409.28779</v>
      </c>
      <c r="AD1094" s="6">
        <f>$O$1094*$X$1094</f>
        <v>642584.88527999993</v>
      </c>
      <c r="AE1094" s="6">
        <f>$K$1094*$Y$1094</f>
        <v>0</v>
      </c>
      <c r="AF1094" s="6">
        <f ca="1">$M$1094*$Z$1094</f>
        <v>2651011.9919821308</v>
      </c>
      <c r="AG1094" s="6">
        <f>$O$1094*$AA$1094</f>
        <v>749960.62140798545</v>
      </c>
    </row>
    <row r="1095" spans="1:33" ht="11.25" customHeight="1" x14ac:dyDescent="0.25">
      <c r="A1095" s="4" t="s">
        <v>28</v>
      </c>
      <c r="B1095" s="4" t="s">
        <v>35</v>
      </c>
      <c r="C1095" s="4" t="s">
        <v>36</v>
      </c>
      <c r="D1095" s="4" t="s">
        <v>42</v>
      </c>
      <c r="E1095" s="4" t="s">
        <v>25</v>
      </c>
      <c r="F1095" s="4" t="s">
        <v>25</v>
      </c>
      <c r="G1095" s="4" t="s">
        <v>25</v>
      </c>
      <c r="H1095" s="4" t="s">
        <v>37</v>
      </c>
      <c r="I1095" s="5">
        <v>44166</v>
      </c>
      <c r="J1095" s="6">
        <v>0</v>
      </c>
      <c r="K1095" s="6">
        <v>0</v>
      </c>
      <c r="L1095" s="6">
        <v>152.63800000000001</v>
      </c>
      <c r="M1095" s="6">
        <v>152.63800000000001</v>
      </c>
      <c r="N1095" s="6">
        <v>152.63800000000001</v>
      </c>
      <c r="O1095" s="6">
        <v>152.63800000000001</v>
      </c>
      <c r="P1095" s="6">
        <v>0</v>
      </c>
      <c r="Q1095" s="4" t="s">
        <v>26</v>
      </c>
      <c r="R1095" s="4">
        <v>0</v>
      </c>
      <c r="S1095" s="6">
        <v>0</v>
      </c>
      <c r="T1095" s="6">
        <v>24</v>
      </c>
      <c r="U1095" s="6">
        <v>66</v>
      </c>
      <c r="V1095" s="6">
        <f>IF(ISERROR(VLOOKUP($S$1095,'TAR FIN'!$A$1:$O$95,15,0)),0,VLOOKUP($S$1095,'TAR FIN'!$A$1:$O$95,15,0))</f>
        <v>0</v>
      </c>
      <c r="W1095" s="6">
        <f>IF(ISERROR(VLOOKUP($T$1095,'TAR FIN'!$A$1:$O$95,15,0)),0,VLOOKUP($T$1095,'TAR FIN'!$A$1:$O$95,15,0))</f>
        <v>1434.79</v>
      </c>
      <c r="X1095" s="6">
        <f>IF(ISERROR(VLOOKUP($U$1095,'TAR FIN'!$A$1:$O$95,15,0)),0,VLOOKUP($U$1095,'TAR FIN'!$A$1:$O$95,15,0))</f>
        <v>389.28</v>
      </c>
      <c r="Y1095" s="6"/>
      <c r="Z1095" s="6">
        <f ca="1">('TUSD BE'!$AM$16+'TUSD BF'!$AM$16+'TUSD CVA'!$AM$16)*1</f>
        <v>1605.9916314233351</v>
      </c>
      <c r="AA1095" s="6">
        <f>('TE BE'!$AA$7+'TE BF'!$AA$7+'TE CVA'!$AA$7)*1</f>
        <v>454.3285679284046</v>
      </c>
      <c r="AB1095" s="6">
        <f>$K$1095*$V$1095</f>
        <v>0</v>
      </c>
      <c r="AC1095" s="6">
        <f>$M$1095*$W$1095</f>
        <v>219003.47602</v>
      </c>
      <c r="AD1095" s="6">
        <f>$O$1095*$X$1095</f>
        <v>59418.920639999997</v>
      </c>
      <c r="AE1095" s="6">
        <f>$K$1095*$Y$1095</f>
        <v>0</v>
      </c>
      <c r="AF1095" s="6">
        <f ca="1">$M$1095*$Z$1095</f>
        <v>245135.35063719502</v>
      </c>
      <c r="AG1095" s="6">
        <f>$O$1095*$AA$1095</f>
        <v>69347.803951455819</v>
      </c>
    </row>
    <row r="1096" spans="1:33" ht="11.25" customHeight="1" x14ac:dyDescent="0.25">
      <c r="A1096" s="4" t="s">
        <v>30</v>
      </c>
      <c r="B1096" s="4" t="s">
        <v>35</v>
      </c>
      <c r="C1096" s="4" t="s">
        <v>36</v>
      </c>
      <c r="D1096" s="4" t="s">
        <v>42</v>
      </c>
      <c r="E1096" s="4" t="s">
        <v>25</v>
      </c>
      <c r="F1096" s="4" t="s">
        <v>25</v>
      </c>
      <c r="G1096" s="4" t="s">
        <v>25</v>
      </c>
      <c r="H1096" s="4" t="s">
        <v>37</v>
      </c>
      <c r="I1096" s="5">
        <v>44166</v>
      </c>
      <c r="J1096" s="6">
        <v>0</v>
      </c>
      <c r="K1096" s="6">
        <v>0</v>
      </c>
      <c r="L1096" s="6">
        <v>34.484000000000002</v>
      </c>
      <c r="M1096" s="6">
        <v>34.484000000000002</v>
      </c>
      <c r="N1096" s="6">
        <v>34.484000000000002</v>
      </c>
      <c r="O1096" s="6">
        <v>34.484000000000002</v>
      </c>
      <c r="P1096" s="6">
        <v>0</v>
      </c>
      <c r="Q1096" s="4" t="s">
        <v>26</v>
      </c>
      <c r="R1096" s="4">
        <v>0</v>
      </c>
      <c r="S1096" s="6">
        <v>0</v>
      </c>
      <c r="T1096" s="6">
        <v>24</v>
      </c>
      <c r="U1096" s="6">
        <v>66</v>
      </c>
      <c r="V1096" s="6">
        <f>IF(ISERROR(VLOOKUP($S$1096,'TAR FIN'!$A$1:$O$95,15,0)),0,VLOOKUP($S$1096,'TAR FIN'!$A$1:$O$95,15,0))</f>
        <v>0</v>
      </c>
      <c r="W1096" s="6">
        <f>IF(ISERROR(VLOOKUP($T$1096,'TAR FIN'!$A$1:$O$95,15,0)),0,VLOOKUP($T$1096,'TAR FIN'!$A$1:$O$95,15,0))</f>
        <v>1434.79</v>
      </c>
      <c r="X1096" s="6">
        <f>IF(ISERROR(VLOOKUP($U$1096,'TAR FIN'!$A$1:$O$95,15,0)),0,VLOOKUP($U$1096,'TAR FIN'!$A$1:$O$95,15,0))</f>
        <v>389.28</v>
      </c>
      <c r="Y1096" s="6"/>
      <c r="Z1096" s="6">
        <f ca="1">('TUSD BE'!$AM$16+'TUSD BF'!$AM$16+'TUSD CVA'!$AM$16)*1</f>
        <v>1605.9916314233351</v>
      </c>
      <c r="AA1096" s="6">
        <f>('TE BE'!$AA$7+'TE BF'!$AA$7+'TE CVA'!$AA$7)*1</f>
        <v>454.3285679284046</v>
      </c>
      <c r="AB1096" s="6">
        <f>$K$1096*$V$1096</f>
        <v>0</v>
      </c>
      <c r="AC1096" s="6">
        <f>$M$1096*$W$1096</f>
        <v>49477.298360000001</v>
      </c>
      <c r="AD1096" s="6">
        <f>$O$1096*$X$1096</f>
        <v>13423.93152</v>
      </c>
      <c r="AE1096" s="6">
        <f>$K$1096*$Y$1096</f>
        <v>0</v>
      </c>
      <c r="AF1096" s="6">
        <f ca="1">$M$1096*$Z$1096</f>
        <v>55381.015418002287</v>
      </c>
      <c r="AG1096" s="6">
        <f>$O$1096*$AA$1096</f>
        <v>15667.066336443106</v>
      </c>
    </row>
    <row r="1097" spans="1:33" ht="11.25" customHeight="1" x14ac:dyDescent="0.25">
      <c r="A1097" s="4" t="s">
        <v>21</v>
      </c>
      <c r="B1097" s="4" t="s">
        <v>35</v>
      </c>
      <c r="C1097" s="4" t="s">
        <v>36</v>
      </c>
      <c r="D1097" s="4" t="s">
        <v>42</v>
      </c>
      <c r="E1097" s="4" t="s">
        <v>25</v>
      </c>
      <c r="F1097" s="4" t="s">
        <v>25</v>
      </c>
      <c r="G1097" s="4" t="s">
        <v>25</v>
      </c>
      <c r="H1097" s="4" t="s">
        <v>37</v>
      </c>
      <c r="I1097" s="5">
        <v>44197</v>
      </c>
      <c r="J1097" s="6">
        <v>0</v>
      </c>
      <c r="K1097" s="6">
        <v>0</v>
      </c>
      <c r="L1097" s="6">
        <v>1289.5060000000001</v>
      </c>
      <c r="M1097" s="6">
        <v>1289.5060000000001</v>
      </c>
      <c r="N1097" s="6">
        <v>1289.5060000000001</v>
      </c>
      <c r="O1097" s="6">
        <v>1289.5060000000001</v>
      </c>
      <c r="P1097" s="6">
        <v>0</v>
      </c>
      <c r="Q1097" s="4" t="s">
        <v>26</v>
      </c>
      <c r="R1097" s="4">
        <v>0</v>
      </c>
      <c r="S1097" s="6">
        <v>0</v>
      </c>
      <c r="T1097" s="6">
        <v>24</v>
      </c>
      <c r="U1097" s="6">
        <v>66</v>
      </c>
      <c r="V1097" s="6">
        <f>IF(ISERROR(VLOOKUP($S$1097,'TAR FIN'!$A$1:$O$95,15,0)),0,VLOOKUP($S$1097,'TAR FIN'!$A$1:$O$95,15,0))</f>
        <v>0</v>
      </c>
      <c r="W1097" s="6">
        <f>IF(ISERROR(VLOOKUP($T$1097,'TAR FIN'!$A$1:$O$95,15,0)),0,VLOOKUP($T$1097,'TAR FIN'!$A$1:$O$95,15,0))</f>
        <v>1434.79</v>
      </c>
      <c r="X1097" s="6">
        <f>IF(ISERROR(VLOOKUP($U$1097,'TAR FIN'!$A$1:$O$95,15,0)),0,VLOOKUP($U$1097,'TAR FIN'!$A$1:$O$95,15,0))</f>
        <v>389.28</v>
      </c>
      <c r="Y1097" s="6"/>
      <c r="Z1097" s="6">
        <f ca="1">('TUSD BE'!$AM$16+'TUSD BF'!$AM$16+'TUSD CVA'!$AM$16)*1</f>
        <v>1605.9916314233351</v>
      </c>
      <c r="AA1097" s="6">
        <f>('TE BE'!$AA$7+'TE BF'!$AA$7+'TE CVA'!$AA$7)*1</f>
        <v>454.3285679284046</v>
      </c>
      <c r="AB1097" s="6">
        <f>$K$1097*$V$1097</f>
        <v>0</v>
      </c>
      <c r="AC1097" s="6">
        <f>$M$1097*$W$1097</f>
        <v>1850170.3137400001</v>
      </c>
      <c r="AD1097" s="6">
        <f>$O$1097*$X$1097</f>
        <v>501978.89568000002</v>
      </c>
      <c r="AE1097" s="6">
        <f>$K$1097*$Y$1097</f>
        <v>0</v>
      </c>
      <c r="AF1097" s="6">
        <f ca="1">$M$1097*$Z$1097</f>
        <v>2070935.8446701793</v>
      </c>
      <c r="AG1097" s="6">
        <f>$O$1097*$AA$1097</f>
        <v>585859.41431508539</v>
      </c>
    </row>
    <row r="1098" spans="1:33" ht="11.25" customHeight="1" x14ac:dyDescent="0.25">
      <c r="A1098" s="4" t="s">
        <v>27</v>
      </c>
      <c r="B1098" s="4" t="s">
        <v>35</v>
      </c>
      <c r="C1098" s="4" t="s">
        <v>36</v>
      </c>
      <c r="D1098" s="4" t="s">
        <v>42</v>
      </c>
      <c r="E1098" s="4" t="s">
        <v>25</v>
      </c>
      <c r="F1098" s="4" t="s">
        <v>25</v>
      </c>
      <c r="G1098" s="4" t="s">
        <v>25</v>
      </c>
      <c r="H1098" s="4" t="s">
        <v>37</v>
      </c>
      <c r="I1098" s="5">
        <v>44197</v>
      </c>
      <c r="J1098" s="6">
        <v>0</v>
      </c>
      <c r="K1098" s="6">
        <v>0</v>
      </c>
      <c r="L1098" s="6">
        <v>-0.59699999999999998</v>
      </c>
      <c r="M1098" s="6">
        <v>-0.59699999999999998</v>
      </c>
      <c r="N1098" s="6">
        <v>-0.59699999999999998</v>
      </c>
      <c r="O1098" s="6">
        <v>-0.59699999999999998</v>
      </c>
      <c r="P1098" s="6">
        <v>0</v>
      </c>
      <c r="Q1098" s="4" t="s">
        <v>26</v>
      </c>
      <c r="R1098" s="4">
        <v>0</v>
      </c>
      <c r="S1098" s="6">
        <v>0</v>
      </c>
      <c r="T1098" s="6">
        <v>24</v>
      </c>
      <c r="U1098" s="6">
        <v>66</v>
      </c>
      <c r="V1098" s="6">
        <f>IF(ISERROR(VLOOKUP($S$1098,'TAR FIN'!$A$1:$O$95,15,0)),0,VLOOKUP($S$1098,'TAR FIN'!$A$1:$O$95,15,0))</f>
        <v>0</v>
      </c>
      <c r="W1098" s="6">
        <f>IF(ISERROR(VLOOKUP($T$1098,'TAR FIN'!$A$1:$O$95,15,0)),0,VLOOKUP($T$1098,'TAR FIN'!$A$1:$O$95,15,0))</f>
        <v>1434.79</v>
      </c>
      <c r="X1098" s="6">
        <f>IF(ISERROR(VLOOKUP($U$1098,'TAR FIN'!$A$1:$O$95,15,0)),0,VLOOKUP($U$1098,'TAR FIN'!$A$1:$O$95,15,0))</f>
        <v>389.28</v>
      </c>
      <c r="Y1098" s="6"/>
      <c r="Z1098" s="6">
        <f ca="1">('TUSD BE'!$AM$16+'TUSD BF'!$AM$16+'TUSD CVA'!$AM$16)*1</f>
        <v>1605.9916314233351</v>
      </c>
      <c r="AA1098" s="6">
        <f>('TE BE'!$AA$7+'TE BF'!$AA$7+'TE CVA'!$AA$7)*1</f>
        <v>454.3285679284046</v>
      </c>
      <c r="AB1098" s="6">
        <f>$K$1098*$V$1098</f>
        <v>0</v>
      </c>
      <c r="AC1098" s="6">
        <f>$M$1098*$W$1098</f>
        <v>-856.56962999999996</v>
      </c>
      <c r="AD1098" s="6">
        <f>$O$1098*$X$1098</f>
        <v>-232.40015999999997</v>
      </c>
      <c r="AE1098" s="6">
        <f>$K$1098*$Y$1098</f>
        <v>0</v>
      </c>
      <c r="AF1098" s="6">
        <f ca="1">$M$1098*$Z$1098</f>
        <v>-958.77700395973102</v>
      </c>
      <c r="AG1098" s="6">
        <f>$O$1098*$AA$1098</f>
        <v>-271.23415505325755</v>
      </c>
    </row>
    <row r="1099" spans="1:33" ht="11.25" customHeight="1" x14ac:dyDescent="0.25">
      <c r="A1099" s="4" t="s">
        <v>28</v>
      </c>
      <c r="B1099" s="4" t="s">
        <v>35</v>
      </c>
      <c r="C1099" s="4" t="s">
        <v>36</v>
      </c>
      <c r="D1099" s="4" t="s">
        <v>42</v>
      </c>
      <c r="E1099" s="4" t="s">
        <v>25</v>
      </c>
      <c r="F1099" s="4" t="s">
        <v>25</v>
      </c>
      <c r="G1099" s="4" t="s">
        <v>25</v>
      </c>
      <c r="H1099" s="4" t="s">
        <v>37</v>
      </c>
      <c r="I1099" s="5">
        <v>44197</v>
      </c>
      <c r="J1099" s="6">
        <v>0</v>
      </c>
      <c r="K1099" s="6">
        <v>0</v>
      </c>
      <c r="L1099" s="6">
        <v>125.721</v>
      </c>
      <c r="M1099" s="6">
        <v>125.721</v>
      </c>
      <c r="N1099" s="6">
        <v>125.721</v>
      </c>
      <c r="O1099" s="6">
        <v>125.721</v>
      </c>
      <c r="P1099" s="6">
        <v>0</v>
      </c>
      <c r="Q1099" s="4" t="s">
        <v>26</v>
      </c>
      <c r="R1099" s="4">
        <v>0</v>
      </c>
      <c r="S1099" s="6">
        <v>0</v>
      </c>
      <c r="T1099" s="6">
        <v>24</v>
      </c>
      <c r="U1099" s="6">
        <v>66</v>
      </c>
      <c r="V1099" s="6">
        <f>IF(ISERROR(VLOOKUP($S$1099,'TAR FIN'!$A$1:$O$95,15,0)),0,VLOOKUP($S$1099,'TAR FIN'!$A$1:$O$95,15,0))</f>
        <v>0</v>
      </c>
      <c r="W1099" s="6">
        <f>IF(ISERROR(VLOOKUP($T$1099,'TAR FIN'!$A$1:$O$95,15,0)),0,VLOOKUP($T$1099,'TAR FIN'!$A$1:$O$95,15,0))</f>
        <v>1434.79</v>
      </c>
      <c r="X1099" s="6">
        <f>IF(ISERROR(VLOOKUP($U$1099,'TAR FIN'!$A$1:$O$95,15,0)),0,VLOOKUP($U$1099,'TAR FIN'!$A$1:$O$95,15,0))</f>
        <v>389.28</v>
      </c>
      <c r="Y1099" s="6"/>
      <c r="Z1099" s="6">
        <f ca="1">('TUSD BE'!$AM$16+'TUSD BF'!$AM$16+'TUSD CVA'!$AM$16)*1</f>
        <v>1605.9916314233351</v>
      </c>
      <c r="AA1099" s="6">
        <f>('TE BE'!$AA$7+'TE BF'!$AA$7+'TE CVA'!$AA$7)*1</f>
        <v>454.3285679284046</v>
      </c>
      <c r="AB1099" s="6">
        <f>$K$1099*$V$1099</f>
        <v>0</v>
      </c>
      <c r="AC1099" s="6">
        <f>$M$1099*$W$1099</f>
        <v>180383.23358999999</v>
      </c>
      <c r="AD1099" s="6">
        <f>$O$1099*$X$1099</f>
        <v>48940.670879999998</v>
      </c>
      <c r="AE1099" s="6">
        <f>$K$1099*$Y$1099</f>
        <v>0</v>
      </c>
      <c r="AF1099" s="6">
        <f ca="1">$M$1099*$Z$1099</f>
        <v>201906.87389417313</v>
      </c>
      <c r="AG1099" s="6">
        <f>$O$1099*$AA$1099</f>
        <v>57118.641888526952</v>
      </c>
    </row>
    <row r="1100" spans="1:33" ht="11.25" customHeight="1" x14ac:dyDescent="0.25">
      <c r="A1100" s="4" t="s">
        <v>29</v>
      </c>
      <c r="B1100" s="4" t="s">
        <v>35</v>
      </c>
      <c r="C1100" s="4" t="s">
        <v>36</v>
      </c>
      <c r="D1100" s="4" t="s">
        <v>42</v>
      </c>
      <c r="E1100" s="4" t="s">
        <v>25</v>
      </c>
      <c r="F1100" s="4" t="s">
        <v>25</v>
      </c>
      <c r="G1100" s="4" t="s">
        <v>25</v>
      </c>
      <c r="H1100" s="4" t="s">
        <v>37</v>
      </c>
      <c r="I1100" s="5">
        <v>44197</v>
      </c>
      <c r="J1100" s="6">
        <v>0</v>
      </c>
      <c r="K1100" s="6">
        <v>0</v>
      </c>
      <c r="L1100" s="6">
        <v>-12.753</v>
      </c>
      <c r="M1100" s="6">
        <v>-12.753</v>
      </c>
      <c r="N1100" s="6">
        <v>-12.753</v>
      </c>
      <c r="O1100" s="6">
        <v>-12.753</v>
      </c>
      <c r="P1100" s="6">
        <v>0</v>
      </c>
      <c r="Q1100" s="4" t="s">
        <v>26</v>
      </c>
      <c r="R1100" s="4">
        <v>0</v>
      </c>
      <c r="S1100" s="6">
        <v>0</v>
      </c>
      <c r="T1100" s="6">
        <v>24</v>
      </c>
      <c r="U1100" s="6">
        <v>66</v>
      </c>
      <c r="V1100" s="6">
        <f>IF(ISERROR(VLOOKUP($S$1100,'TAR FIN'!$A$1:$O$95,15,0)),0,VLOOKUP($S$1100,'TAR FIN'!$A$1:$O$95,15,0))</f>
        <v>0</v>
      </c>
      <c r="W1100" s="6">
        <f>IF(ISERROR(VLOOKUP($T$1100,'TAR FIN'!$A$1:$O$95,15,0)),0,VLOOKUP($T$1100,'TAR FIN'!$A$1:$O$95,15,0))</f>
        <v>1434.79</v>
      </c>
      <c r="X1100" s="6">
        <f>IF(ISERROR(VLOOKUP($U$1100,'TAR FIN'!$A$1:$O$95,15,0)),0,VLOOKUP($U$1100,'TAR FIN'!$A$1:$O$95,15,0))</f>
        <v>389.28</v>
      </c>
      <c r="Y1100" s="6"/>
      <c r="Z1100" s="6">
        <f ca="1">('TUSD BE'!$AM$16+'TUSD BF'!$AM$16+'TUSD CVA'!$AM$16)*1</f>
        <v>1605.9916314233351</v>
      </c>
      <c r="AA1100" s="6">
        <f>('TE BE'!$AA$7+'TE BF'!$AA$7+'TE CVA'!$AA$7)*1</f>
        <v>454.3285679284046</v>
      </c>
      <c r="AB1100" s="6">
        <f>$K$1100*$V$1100</f>
        <v>0</v>
      </c>
      <c r="AC1100" s="6">
        <f>$M$1100*$W$1100</f>
        <v>-18297.87687</v>
      </c>
      <c r="AD1100" s="6">
        <f>$O$1100*$X$1100</f>
        <v>-4964.4878399999998</v>
      </c>
      <c r="AE1100" s="6">
        <f>$K$1100*$Y$1100</f>
        <v>0</v>
      </c>
      <c r="AF1100" s="6">
        <f ca="1">$M$1100*$Z$1100</f>
        <v>-20481.211275541791</v>
      </c>
      <c r="AG1100" s="6">
        <f>$O$1100*$AA$1100</f>
        <v>-5794.0522267909437</v>
      </c>
    </row>
    <row r="1101" spans="1:33" ht="11.25" customHeight="1" x14ac:dyDescent="0.25">
      <c r="A1101" s="4" t="s">
        <v>30</v>
      </c>
      <c r="B1101" s="4" t="s">
        <v>35</v>
      </c>
      <c r="C1101" s="4" t="s">
        <v>36</v>
      </c>
      <c r="D1101" s="4" t="s">
        <v>42</v>
      </c>
      <c r="E1101" s="4" t="s">
        <v>25</v>
      </c>
      <c r="F1101" s="4" t="s">
        <v>25</v>
      </c>
      <c r="G1101" s="4" t="s">
        <v>25</v>
      </c>
      <c r="H1101" s="4" t="s">
        <v>37</v>
      </c>
      <c r="I1101" s="5">
        <v>44197</v>
      </c>
      <c r="J1101" s="6">
        <v>0</v>
      </c>
      <c r="K1101" s="6">
        <v>0</v>
      </c>
      <c r="L1101" s="6">
        <v>25.818000000000001</v>
      </c>
      <c r="M1101" s="6">
        <v>25.818000000000001</v>
      </c>
      <c r="N1101" s="6">
        <v>25.818000000000001</v>
      </c>
      <c r="O1101" s="6">
        <v>25.818000000000001</v>
      </c>
      <c r="P1101" s="6">
        <v>0</v>
      </c>
      <c r="Q1101" s="4" t="s">
        <v>26</v>
      </c>
      <c r="R1101" s="4">
        <v>0</v>
      </c>
      <c r="S1101" s="6">
        <v>0</v>
      </c>
      <c r="T1101" s="6">
        <v>24</v>
      </c>
      <c r="U1101" s="6">
        <v>66</v>
      </c>
      <c r="V1101" s="6">
        <f>IF(ISERROR(VLOOKUP($S$1101,'TAR FIN'!$A$1:$O$95,15,0)),0,VLOOKUP($S$1101,'TAR FIN'!$A$1:$O$95,15,0))</f>
        <v>0</v>
      </c>
      <c r="W1101" s="6">
        <f>IF(ISERROR(VLOOKUP($T$1101,'TAR FIN'!$A$1:$O$95,15,0)),0,VLOOKUP($T$1101,'TAR FIN'!$A$1:$O$95,15,0))</f>
        <v>1434.79</v>
      </c>
      <c r="X1101" s="6">
        <f>IF(ISERROR(VLOOKUP($U$1101,'TAR FIN'!$A$1:$O$95,15,0)),0,VLOOKUP($U$1101,'TAR FIN'!$A$1:$O$95,15,0))</f>
        <v>389.28</v>
      </c>
      <c r="Y1101" s="6"/>
      <c r="Z1101" s="6">
        <f ca="1">('TUSD BE'!$AM$16+'TUSD BF'!$AM$16+'TUSD CVA'!$AM$16)*1</f>
        <v>1605.9916314233351</v>
      </c>
      <c r="AA1101" s="6">
        <f>('TE BE'!$AA$7+'TE BF'!$AA$7+'TE CVA'!$AA$7)*1</f>
        <v>454.3285679284046</v>
      </c>
      <c r="AB1101" s="6">
        <f>$K$1101*$V$1101</f>
        <v>0</v>
      </c>
      <c r="AC1101" s="6">
        <f>$M$1101*$W$1101</f>
        <v>37043.408219999998</v>
      </c>
      <c r="AD1101" s="6">
        <f>$O$1101*$X$1101</f>
        <v>10050.431039999999</v>
      </c>
      <c r="AE1101" s="6">
        <f>$K$1101*$Y$1101</f>
        <v>0</v>
      </c>
      <c r="AF1101" s="6">
        <f ca="1">$M$1101*$Z$1101</f>
        <v>41463.491940087668</v>
      </c>
      <c r="AG1101" s="6">
        <f>$O$1101*$AA$1101</f>
        <v>11729.854966775551</v>
      </c>
    </row>
    <row r="1102" spans="1:33" ht="11.25" customHeight="1" x14ac:dyDescent="0.25">
      <c r="A1102" s="4" t="s">
        <v>21</v>
      </c>
      <c r="B1102" s="4" t="s">
        <v>35</v>
      </c>
      <c r="C1102" s="4" t="s">
        <v>36</v>
      </c>
      <c r="D1102" s="4" t="s">
        <v>42</v>
      </c>
      <c r="E1102" s="4" t="s">
        <v>25</v>
      </c>
      <c r="F1102" s="4" t="s">
        <v>25</v>
      </c>
      <c r="G1102" s="4" t="s">
        <v>25</v>
      </c>
      <c r="H1102" s="4" t="s">
        <v>37</v>
      </c>
      <c r="I1102" s="5">
        <v>44228</v>
      </c>
      <c r="J1102" s="6">
        <v>0</v>
      </c>
      <c r="K1102" s="6">
        <v>0</v>
      </c>
      <c r="L1102" s="6">
        <v>1299.403</v>
      </c>
      <c r="M1102" s="6">
        <v>1299.403</v>
      </c>
      <c r="N1102" s="6">
        <v>1299.403</v>
      </c>
      <c r="O1102" s="6">
        <v>1299.403</v>
      </c>
      <c r="P1102" s="6">
        <v>0</v>
      </c>
      <c r="Q1102" s="4" t="s">
        <v>26</v>
      </c>
      <c r="R1102" s="4">
        <v>0</v>
      </c>
      <c r="S1102" s="6">
        <v>0</v>
      </c>
      <c r="T1102" s="6">
        <v>24</v>
      </c>
      <c r="U1102" s="6">
        <v>66</v>
      </c>
      <c r="V1102" s="6">
        <f>IF(ISERROR(VLOOKUP($S$1102,'TAR FIN'!$A$1:$O$95,15,0)),0,VLOOKUP($S$1102,'TAR FIN'!$A$1:$O$95,15,0))</f>
        <v>0</v>
      </c>
      <c r="W1102" s="6">
        <f>IF(ISERROR(VLOOKUP($T$1102,'TAR FIN'!$A$1:$O$95,15,0)),0,VLOOKUP($T$1102,'TAR FIN'!$A$1:$O$95,15,0))</f>
        <v>1434.79</v>
      </c>
      <c r="X1102" s="6">
        <f>IF(ISERROR(VLOOKUP($U$1102,'TAR FIN'!$A$1:$O$95,15,0)),0,VLOOKUP($U$1102,'TAR FIN'!$A$1:$O$95,15,0))</f>
        <v>389.28</v>
      </c>
      <c r="Y1102" s="6"/>
      <c r="Z1102" s="6">
        <f ca="1">('TUSD BE'!$AM$16+'TUSD BF'!$AM$16+'TUSD CVA'!$AM$16)*1</f>
        <v>1605.9916314233351</v>
      </c>
      <c r="AA1102" s="6">
        <f>('TE BE'!$AA$7+'TE BF'!$AA$7+'TE CVA'!$AA$7)*1</f>
        <v>454.3285679284046</v>
      </c>
      <c r="AB1102" s="6">
        <f>$K$1102*$V$1102</f>
        <v>0</v>
      </c>
      <c r="AC1102" s="6">
        <f>$M$1102*$W$1102</f>
        <v>1864370.43037</v>
      </c>
      <c r="AD1102" s="6">
        <f>$O$1102*$X$1102</f>
        <v>505831.59983999998</v>
      </c>
      <c r="AE1102" s="6">
        <f>$K$1102*$Y$1102</f>
        <v>0</v>
      </c>
      <c r="AF1102" s="6">
        <f ca="1">$M$1102*$Z$1102</f>
        <v>2086830.3438463758</v>
      </c>
      <c r="AG1102" s="6">
        <f>$O$1102*$AA$1102</f>
        <v>590355.90415187273</v>
      </c>
    </row>
    <row r="1103" spans="1:33" ht="11.25" customHeight="1" x14ac:dyDescent="0.25">
      <c r="A1103" s="4" t="s">
        <v>27</v>
      </c>
      <c r="B1103" s="4" t="s">
        <v>35</v>
      </c>
      <c r="C1103" s="4" t="s">
        <v>36</v>
      </c>
      <c r="D1103" s="4" t="s">
        <v>42</v>
      </c>
      <c r="E1103" s="4" t="s">
        <v>25</v>
      </c>
      <c r="F1103" s="4" t="s">
        <v>25</v>
      </c>
      <c r="G1103" s="4" t="s">
        <v>25</v>
      </c>
      <c r="H1103" s="4" t="s">
        <v>37</v>
      </c>
      <c r="I1103" s="5">
        <v>44228</v>
      </c>
      <c r="J1103" s="6">
        <v>0</v>
      </c>
      <c r="K1103" s="6">
        <v>0</v>
      </c>
      <c r="L1103" s="6">
        <v>-137.392</v>
      </c>
      <c r="M1103" s="6">
        <v>-137.392</v>
      </c>
      <c r="N1103" s="6">
        <v>-137.392</v>
      </c>
      <c r="O1103" s="6">
        <v>-137.392</v>
      </c>
      <c r="P1103" s="6">
        <v>0</v>
      </c>
      <c r="Q1103" s="4" t="s">
        <v>26</v>
      </c>
      <c r="R1103" s="4">
        <v>0</v>
      </c>
      <c r="S1103" s="6">
        <v>0</v>
      </c>
      <c r="T1103" s="6">
        <v>24</v>
      </c>
      <c r="U1103" s="6">
        <v>66</v>
      </c>
      <c r="V1103" s="6">
        <f>IF(ISERROR(VLOOKUP($S$1103,'TAR FIN'!$A$1:$O$95,15,0)),0,VLOOKUP($S$1103,'TAR FIN'!$A$1:$O$95,15,0))</f>
        <v>0</v>
      </c>
      <c r="W1103" s="6">
        <f>IF(ISERROR(VLOOKUP($T$1103,'TAR FIN'!$A$1:$O$95,15,0)),0,VLOOKUP($T$1103,'TAR FIN'!$A$1:$O$95,15,0))</f>
        <v>1434.79</v>
      </c>
      <c r="X1103" s="6">
        <f>IF(ISERROR(VLOOKUP($U$1103,'TAR FIN'!$A$1:$O$95,15,0)),0,VLOOKUP($U$1103,'TAR FIN'!$A$1:$O$95,15,0))</f>
        <v>389.28</v>
      </c>
      <c r="Y1103" s="6"/>
      <c r="Z1103" s="6">
        <f ca="1">('TUSD BE'!$AM$16+'TUSD BF'!$AM$16+'TUSD CVA'!$AM$16)*1</f>
        <v>1605.9916314233351</v>
      </c>
      <c r="AA1103" s="6">
        <f>('TE BE'!$AA$7+'TE BF'!$AA$7+'TE CVA'!$AA$7)*1</f>
        <v>454.3285679284046</v>
      </c>
      <c r="AB1103" s="6">
        <f>$K$1103*$V$1103</f>
        <v>0</v>
      </c>
      <c r="AC1103" s="6">
        <f>$M$1103*$W$1103</f>
        <v>-197128.66767999998</v>
      </c>
      <c r="AD1103" s="6">
        <f>$O$1103*$X$1103</f>
        <v>-53483.957759999998</v>
      </c>
      <c r="AE1103" s="6">
        <f>$K$1103*$Y$1103</f>
        <v>0</v>
      </c>
      <c r="AF1103" s="6">
        <f ca="1">$M$1103*$Z$1103</f>
        <v>-220650.40222451484</v>
      </c>
      <c r="AG1103" s="6">
        <f>$O$1103*$AA$1103</f>
        <v>-62421.110604819361</v>
      </c>
    </row>
    <row r="1104" spans="1:33" ht="11.25" customHeight="1" x14ac:dyDescent="0.25">
      <c r="A1104" s="4" t="s">
        <v>28</v>
      </c>
      <c r="B1104" s="4" t="s">
        <v>35</v>
      </c>
      <c r="C1104" s="4" t="s">
        <v>36</v>
      </c>
      <c r="D1104" s="4" t="s">
        <v>42</v>
      </c>
      <c r="E1104" s="4" t="s">
        <v>25</v>
      </c>
      <c r="F1104" s="4" t="s">
        <v>25</v>
      </c>
      <c r="G1104" s="4" t="s">
        <v>25</v>
      </c>
      <c r="H1104" s="4" t="s">
        <v>37</v>
      </c>
      <c r="I1104" s="5">
        <v>44228</v>
      </c>
      <c r="J1104" s="6">
        <v>0</v>
      </c>
      <c r="K1104" s="6">
        <v>0</v>
      </c>
      <c r="L1104" s="6">
        <v>123.121</v>
      </c>
      <c r="M1104" s="6">
        <v>123.121</v>
      </c>
      <c r="N1104" s="6">
        <v>123.121</v>
      </c>
      <c r="O1104" s="6">
        <v>123.121</v>
      </c>
      <c r="P1104" s="6">
        <v>0</v>
      </c>
      <c r="Q1104" s="4" t="s">
        <v>26</v>
      </c>
      <c r="R1104" s="4">
        <v>0</v>
      </c>
      <c r="S1104" s="6">
        <v>0</v>
      </c>
      <c r="T1104" s="6">
        <v>24</v>
      </c>
      <c r="U1104" s="6">
        <v>66</v>
      </c>
      <c r="V1104" s="6">
        <f>IF(ISERROR(VLOOKUP($S$1104,'TAR FIN'!$A$1:$O$95,15,0)),0,VLOOKUP($S$1104,'TAR FIN'!$A$1:$O$95,15,0))</f>
        <v>0</v>
      </c>
      <c r="W1104" s="6">
        <f>IF(ISERROR(VLOOKUP($T$1104,'TAR FIN'!$A$1:$O$95,15,0)),0,VLOOKUP($T$1104,'TAR FIN'!$A$1:$O$95,15,0))</f>
        <v>1434.79</v>
      </c>
      <c r="X1104" s="6">
        <f>IF(ISERROR(VLOOKUP($U$1104,'TAR FIN'!$A$1:$O$95,15,0)),0,VLOOKUP($U$1104,'TAR FIN'!$A$1:$O$95,15,0))</f>
        <v>389.28</v>
      </c>
      <c r="Y1104" s="6"/>
      <c r="Z1104" s="6">
        <f ca="1">('TUSD BE'!$AM$16+'TUSD BF'!$AM$16+'TUSD CVA'!$AM$16)*1</f>
        <v>1605.9916314233351</v>
      </c>
      <c r="AA1104" s="6">
        <f>('TE BE'!$AA$7+'TE BF'!$AA$7+'TE CVA'!$AA$7)*1</f>
        <v>454.3285679284046</v>
      </c>
      <c r="AB1104" s="6">
        <f>$K$1104*$V$1104</f>
        <v>0</v>
      </c>
      <c r="AC1104" s="6">
        <f>$M$1104*$W$1104</f>
        <v>176652.77958999999</v>
      </c>
      <c r="AD1104" s="6">
        <f>$O$1104*$X$1104</f>
        <v>47928.542879999994</v>
      </c>
      <c r="AE1104" s="6">
        <f>$K$1104*$Y$1104</f>
        <v>0</v>
      </c>
      <c r="AF1104" s="6">
        <f ca="1">$M$1104*$Z$1104</f>
        <v>197731.29565247244</v>
      </c>
      <c r="AG1104" s="6">
        <f>$O$1104*$AA$1104</f>
        <v>55937.387611913102</v>
      </c>
    </row>
    <row r="1105" spans="1:33" ht="11.25" customHeight="1" x14ac:dyDescent="0.25">
      <c r="A1105" s="4" t="s">
        <v>30</v>
      </c>
      <c r="B1105" s="4" t="s">
        <v>35</v>
      </c>
      <c r="C1105" s="4" t="s">
        <v>36</v>
      </c>
      <c r="D1105" s="4" t="s">
        <v>42</v>
      </c>
      <c r="E1105" s="4" t="s">
        <v>25</v>
      </c>
      <c r="F1105" s="4" t="s">
        <v>25</v>
      </c>
      <c r="G1105" s="4" t="s">
        <v>25</v>
      </c>
      <c r="H1105" s="4" t="s">
        <v>37</v>
      </c>
      <c r="I1105" s="5">
        <v>44228</v>
      </c>
      <c r="J1105" s="6">
        <v>0</v>
      </c>
      <c r="K1105" s="6">
        <v>0</v>
      </c>
      <c r="L1105" s="6">
        <v>36.865000000000002</v>
      </c>
      <c r="M1105" s="6">
        <v>36.865000000000002</v>
      </c>
      <c r="N1105" s="6">
        <v>36.865000000000002</v>
      </c>
      <c r="O1105" s="6">
        <v>36.865000000000002</v>
      </c>
      <c r="P1105" s="6">
        <v>0</v>
      </c>
      <c r="Q1105" s="4" t="s">
        <v>26</v>
      </c>
      <c r="R1105" s="4">
        <v>0</v>
      </c>
      <c r="S1105" s="6">
        <v>0</v>
      </c>
      <c r="T1105" s="6">
        <v>24</v>
      </c>
      <c r="U1105" s="6">
        <v>66</v>
      </c>
      <c r="V1105" s="6">
        <f>IF(ISERROR(VLOOKUP($S$1105,'TAR FIN'!$A$1:$O$95,15,0)),0,VLOOKUP($S$1105,'TAR FIN'!$A$1:$O$95,15,0))</f>
        <v>0</v>
      </c>
      <c r="W1105" s="6">
        <f>IF(ISERROR(VLOOKUP($T$1105,'TAR FIN'!$A$1:$O$95,15,0)),0,VLOOKUP($T$1105,'TAR FIN'!$A$1:$O$95,15,0))</f>
        <v>1434.79</v>
      </c>
      <c r="X1105" s="6">
        <f>IF(ISERROR(VLOOKUP($U$1105,'TAR FIN'!$A$1:$O$95,15,0)),0,VLOOKUP($U$1105,'TAR FIN'!$A$1:$O$95,15,0))</f>
        <v>389.28</v>
      </c>
      <c r="Y1105" s="6"/>
      <c r="Z1105" s="6">
        <f ca="1">('TUSD BE'!$AM$16+'TUSD BF'!$AM$16+'TUSD CVA'!$AM$16)*1</f>
        <v>1605.9916314233351</v>
      </c>
      <c r="AA1105" s="6">
        <f>('TE BE'!$AA$7+'TE BF'!$AA$7+'TE CVA'!$AA$7)*1</f>
        <v>454.3285679284046</v>
      </c>
      <c r="AB1105" s="6">
        <f>$K$1105*$V$1105</f>
        <v>0</v>
      </c>
      <c r="AC1105" s="6">
        <f>$M$1105*$W$1105</f>
        <v>52893.533349999998</v>
      </c>
      <c r="AD1105" s="6">
        <f>$O$1105*$X$1105</f>
        <v>14350.807199999999</v>
      </c>
      <c r="AE1105" s="6">
        <f>$K$1105*$Y$1105</f>
        <v>0</v>
      </c>
      <c r="AF1105" s="6">
        <f ca="1">$M$1105*$Z$1105</f>
        <v>59204.881492421249</v>
      </c>
      <c r="AG1105" s="6">
        <f>$O$1105*$AA$1105</f>
        <v>16748.822656680637</v>
      </c>
    </row>
    <row r="1106" spans="1:33" ht="11.25" customHeight="1" x14ac:dyDescent="0.25">
      <c r="A1106" s="4" t="s">
        <v>21</v>
      </c>
      <c r="B1106" s="4" t="s">
        <v>35</v>
      </c>
      <c r="C1106" s="4" t="s">
        <v>36</v>
      </c>
      <c r="D1106" s="4" t="s">
        <v>42</v>
      </c>
      <c r="E1106" s="4" t="s">
        <v>25</v>
      </c>
      <c r="F1106" s="4" t="s">
        <v>25</v>
      </c>
      <c r="G1106" s="4" t="s">
        <v>25</v>
      </c>
      <c r="H1106" s="4" t="s">
        <v>37</v>
      </c>
      <c r="I1106" s="5">
        <v>44256</v>
      </c>
      <c r="J1106" s="6">
        <v>0</v>
      </c>
      <c r="K1106" s="6">
        <v>0</v>
      </c>
      <c r="L1106" s="6">
        <v>1823.8440000000001</v>
      </c>
      <c r="M1106" s="6">
        <v>1823.8440000000001</v>
      </c>
      <c r="N1106" s="6">
        <v>1823.8440000000001</v>
      </c>
      <c r="O1106" s="6">
        <v>1823.8440000000001</v>
      </c>
      <c r="P1106" s="6">
        <v>0</v>
      </c>
      <c r="Q1106" s="4" t="s">
        <v>26</v>
      </c>
      <c r="R1106" s="4">
        <v>0</v>
      </c>
      <c r="S1106" s="6">
        <v>0</v>
      </c>
      <c r="T1106" s="6">
        <v>24</v>
      </c>
      <c r="U1106" s="6">
        <v>66</v>
      </c>
      <c r="V1106" s="6">
        <f>IF(ISERROR(VLOOKUP($S$1106,'TAR FIN'!$A$1:$O$95,15,0)),0,VLOOKUP($S$1106,'TAR FIN'!$A$1:$O$95,15,0))</f>
        <v>0</v>
      </c>
      <c r="W1106" s="6">
        <f>IF(ISERROR(VLOOKUP($T$1106,'TAR FIN'!$A$1:$O$95,15,0)),0,VLOOKUP($T$1106,'TAR FIN'!$A$1:$O$95,15,0))</f>
        <v>1434.79</v>
      </c>
      <c r="X1106" s="6">
        <f>IF(ISERROR(VLOOKUP($U$1106,'TAR FIN'!$A$1:$O$95,15,0)),0,VLOOKUP($U$1106,'TAR FIN'!$A$1:$O$95,15,0))</f>
        <v>389.28</v>
      </c>
      <c r="Y1106" s="6"/>
      <c r="Z1106" s="6">
        <f ca="1">('TUSD BE'!$AM$16+'TUSD BF'!$AM$16+'TUSD CVA'!$AM$16)*1</f>
        <v>1605.9916314233351</v>
      </c>
      <c r="AA1106" s="6">
        <f>('TE BE'!$AA$7+'TE BF'!$AA$7+'TE CVA'!$AA$7)*1</f>
        <v>454.3285679284046</v>
      </c>
      <c r="AB1106" s="6">
        <f>$K$1106*$V$1106</f>
        <v>0</v>
      </c>
      <c r="AC1106" s="6">
        <f>$M$1106*$W$1106</f>
        <v>2616833.1327599999</v>
      </c>
      <c r="AD1106" s="6">
        <f>$O$1106*$X$1106</f>
        <v>709985.99231999996</v>
      </c>
      <c r="AE1106" s="6">
        <f>$K$1106*$Y$1106</f>
        <v>0</v>
      </c>
      <c r="AF1106" s="6">
        <f ca="1">$M$1106*$Z$1106</f>
        <v>2929078.2010216611</v>
      </c>
      <c r="AG1106" s="6">
        <f>$O$1106*$AA$1106</f>
        <v>828624.43264481321</v>
      </c>
    </row>
    <row r="1107" spans="1:33" ht="11.25" customHeight="1" x14ac:dyDescent="0.25">
      <c r="A1107" s="4" t="s">
        <v>28</v>
      </c>
      <c r="B1107" s="4" t="s">
        <v>35</v>
      </c>
      <c r="C1107" s="4" t="s">
        <v>36</v>
      </c>
      <c r="D1107" s="4" t="s">
        <v>42</v>
      </c>
      <c r="E1107" s="4" t="s">
        <v>25</v>
      </c>
      <c r="F1107" s="4" t="s">
        <v>25</v>
      </c>
      <c r="G1107" s="4" t="s">
        <v>25</v>
      </c>
      <c r="H1107" s="4" t="s">
        <v>37</v>
      </c>
      <c r="I1107" s="5">
        <v>44256</v>
      </c>
      <c r="J1107" s="6">
        <v>0</v>
      </c>
      <c r="K1107" s="6">
        <v>0</v>
      </c>
      <c r="L1107" s="6">
        <v>130.07300000000001</v>
      </c>
      <c r="M1107" s="6">
        <v>130.07300000000001</v>
      </c>
      <c r="N1107" s="6">
        <v>130.07300000000001</v>
      </c>
      <c r="O1107" s="6">
        <v>130.07300000000001</v>
      </c>
      <c r="P1107" s="6">
        <v>0</v>
      </c>
      <c r="Q1107" s="4" t="s">
        <v>26</v>
      </c>
      <c r="R1107" s="4">
        <v>0</v>
      </c>
      <c r="S1107" s="6">
        <v>0</v>
      </c>
      <c r="T1107" s="6">
        <v>24</v>
      </c>
      <c r="U1107" s="6">
        <v>66</v>
      </c>
      <c r="V1107" s="6">
        <f>IF(ISERROR(VLOOKUP($S$1107,'TAR FIN'!$A$1:$O$95,15,0)),0,VLOOKUP($S$1107,'TAR FIN'!$A$1:$O$95,15,0))</f>
        <v>0</v>
      </c>
      <c r="W1107" s="6">
        <f>IF(ISERROR(VLOOKUP($T$1107,'TAR FIN'!$A$1:$O$95,15,0)),0,VLOOKUP($T$1107,'TAR FIN'!$A$1:$O$95,15,0))</f>
        <v>1434.79</v>
      </c>
      <c r="X1107" s="6">
        <f>IF(ISERROR(VLOOKUP($U$1107,'TAR FIN'!$A$1:$O$95,15,0)),0,VLOOKUP($U$1107,'TAR FIN'!$A$1:$O$95,15,0))</f>
        <v>389.28</v>
      </c>
      <c r="Y1107" s="6"/>
      <c r="Z1107" s="6">
        <f ca="1">('TUSD BE'!$AM$16+'TUSD BF'!$AM$16+'TUSD CVA'!$AM$16)*1</f>
        <v>1605.9916314233351</v>
      </c>
      <c r="AA1107" s="6">
        <f>('TE BE'!$AA$7+'TE BF'!$AA$7+'TE CVA'!$AA$7)*1</f>
        <v>454.3285679284046</v>
      </c>
      <c r="AB1107" s="6">
        <f>$K$1107*$V$1107</f>
        <v>0</v>
      </c>
      <c r="AC1107" s="6">
        <f>$M$1107*$W$1107</f>
        <v>186627.43966999999</v>
      </c>
      <c r="AD1107" s="6">
        <f>$O$1107*$X$1107</f>
        <v>50634.817439999999</v>
      </c>
      <c r="AE1107" s="6">
        <f>$K$1107*$Y$1107</f>
        <v>0</v>
      </c>
      <c r="AF1107" s="6">
        <f ca="1">$M$1107*$Z$1107</f>
        <v>208896.14947412748</v>
      </c>
      <c r="AG1107" s="6">
        <f>$O$1107*$AA$1107</f>
        <v>59095.879816151377</v>
      </c>
    </row>
    <row r="1108" spans="1:33" ht="11.25" customHeight="1" x14ac:dyDescent="0.25">
      <c r="A1108" s="4" t="s">
        <v>30</v>
      </c>
      <c r="B1108" s="4" t="s">
        <v>35</v>
      </c>
      <c r="C1108" s="4" t="s">
        <v>36</v>
      </c>
      <c r="D1108" s="4" t="s">
        <v>42</v>
      </c>
      <c r="E1108" s="4" t="s">
        <v>25</v>
      </c>
      <c r="F1108" s="4" t="s">
        <v>25</v>
      </c>
      <c r="G1108" s="4" t="s">
        <v>25</v>
      </c>
      <c r="H1108" s="4" t="s">
        <v>37</v>
      </c>
      <c r="I1108" s="5">
        <v>44256</v>
      </c>
      <c r="J1108" s="6">
        <v>0</v>
      </c>
      <c r="K1108" s="6">
        <v>0</v>
      </c>
      <c r="L1108" s="6">
        <v>49.954999999999998</v>
      </c>
      <c r="M1108" s="6">
        <v>49.954999999999998</v>
      </c>
      <c r="N1108" s="6">
        <v>49.954999999999998</v>
      </c>
      <c r="O1108" s="6">
        <v>49.954999999999998</v>
      </c>
      <c r="P1108" s="6">
        <v>0</v>
      </c>
      <c r="Q1108" s="4" t="s">
        <v>26</v>
      </c>
      <c r="R1108" s="4">
        <v>0</v>
      </c>
      <c r="S1108" s="6">
        <v>0</v>
      </c>
      <c r="T1108" s="6">
        <v>24</v>
      </c>
      <c r="U1108" s="6">
        <v>66</v>
      </c>
      <c r="V1108" s="6">
        <f>IF(ISERROR(VLOOKUP($S$1108,'TAR FIN'!$A$1:$O$95,15,0)),0,VLOOKUP($S$1108,'TAR FIN'!$A$1:$O$95,15,0))</f>
        <v>0</v>
      </c>
      <c r="W1108" s="6">
        <f>IF(ISERROR(VLOOKUP($T$1108,'TAR FIN'!$A$1:$O$95,15,0)),0,VLOOKUP($T$1108,'TAR FIN'!$A$1:$O$95,15,0))</f>
        <v>1434.79</v>
      </c>
      <c r="X1108" s="6">
        <f>IF(ISERROR(VLOOKUP($U$1108,'TAR FIN'!$A$1:$O$95,15,0)),0,VLOOKUP($U$1108,'TAR FIN'!$A$1:$O$95,15,0))</f>
        <v>389.28</v>
      </c>
      <c r="Y1108" s="6"/>
      <c r="Z1108" s="6">
        <f ca="1">('TUSD BE'!$AM$16+'TUSD BF'!$AM$16+'TUSD CVA'!$AM$16)*1</f>
        <v>1605.9916314233351</v>
      </c>
      <c r="AA1108" s="6">
        <f>('TE BE'!$AA$7+'TE BF'!$AA$7+'TE CVA'!$AA$7)*1</f>
        <v>454.3285679284046</v>
      </c>
      <c r="AB1108" s="6">
        <f>$K$1108*$V$1108</f>
        <v>0</v>
      </c>
      <c r="AC1108" s="6">
        <f>$M$1108*$W$1108</f>
        <v>71674.934450000001</v>
      </c>
      <c r="AD1108" s="6">
        <f>$O$1108*$X$1108</f>
        <v>19446.482399999997</v>
      </c>
      <c r="AE1108" s="6">
        <f>$K$1108*$Y$1108</f>
        <v>0</v>
      </c>
      <c r="AF1108" s="6">
        <f ca="1">$M$1108*$Z$1108</f>
        <v>80227.311947752707</v>
      </c>
      <c r="AG1108" s="6">
        <f>$O$1108*$AA$1108</f>
        <v>22695.983610863452</v>
      </c>
    </row>
    <row r="1109" spans="1:33" ht="11.25" customHeight="1" x14ac:dyDescent="0.25">
      <c r="A1109" s="4" t="s">
        <v>21</v>
      </c>
      <c r="B1109" s="4" t="s">
        <v>35</v>
      </c>
      <c r="C1109" s="4" t="s">
        <v>36</v>
      </c>
      <c r="D1109" s="4" t="s">
        <v>42</v>
      </c>
      <c r="E1109" s="4" t="s">
        <v>25</v>
      </c>
      <c r="F1109" s="4" t="s">
        <v>25</v>
      </c>
      <c r="G1109" s="4" t="s">
        <v>25</v>
      </c>
      <c r="H1109" s="4" t="s">
        <v>37</v>
      </c>
      <c r="I1109" s="5">
        <v>44287</v>
      </c>
      <c r="J1109" s="6">
        <v>0</v>
      </c>
      <c r="K1109" s="6">
        <v>0</v>
      </c>
      <c r="L1109" s="6">
        <v>1559.2639999999999</v>
      </c>
      <c r="M1109" s="6">
        <v>1559.2639999999999</v>
      </c>
      <c r="N1109" s="6">
        <v>1559.2639999999999</v>
      </c>
      <c r="O1109" s="6">
        <v>1559.2639999999999</v>
      </c>
      <c r="P1109" s="6">
        <v>0</v>
      </c>
      <c r="Q1109" s="4" t="s">
        <v>26</v>
      </c>
      <c r="R1109" s="4">
        <v>0</v>
      </c>
      <c r="S1109" s="6">
        <v>0</v>
      </c>
      <c r="T1109" s="6">
        <v>24</v>
      </c>
      <c r="U1109" s="6">
        <v>66</v>
      </c>
      <c r="V1109" s="6">
        <f>IF(ISERROR(VLOOKUP($S$1109,'TAR FIN'!$A$1:$O$95,15,0)),0,VLOOKUP($S$1109,'TAR FIN'!$A$1:$O$95,15,0))</f>
        <v>0</v>
      </c>
      <c r="W1109" s="6">
        <f>IF(ISERROR(VLOOKUP($T$1109,'TAR FIN'!$A$1:$O$95,15,0)),0,VLOOKUP($T$1109,'TAR FIN'!$A$1:$O$95,15,0))</f>
        <v>1434.79</v>
      </c>
      <c r="X1109" s="6">
        <f>IF(ISERROR(VLOOKUP($U$1109,'TAR FIN'!$A$1:$O$95,15,0)),0,VLOOKUP($U$1109,'TAR FIN'!$A$1:$O$95,15,0))</f>
        <v>389.28</v>
      </c>
      <c r="Y1109" s="6"/>
      <c r="Z1109" s="6">
        <f ca="1">('TUSD BE'!$AM$16+'TUSD BF'!$AM$16+'TUSD CVA'!$AM$16)*1</f>
        <v>1605.9916314233351</v>
      </c>
      <c r="AA1109" s="6">
        <f>('TE BE'!$AA$7+'TE BF'!$AA$7+'TE CVA'!$AA$7)*1</f>
        <v>454.3285679284046</v>
      </c>
      <c r="AB1109" s="6">
        <f>$K$1109*$V$1109</f>
        <v>0</v>
      </c>
      <c r="AC1109" s="6">
        <f>$M$1109*$W$1109</f>
        <v>2237216.3945599999</v>
      </c>
      <c r="AD1109" s="6">
        <f>$O$1109*$X$1109</f>
        <v>606990.28991999989</v>
      </c>
      <c r="AE1109" s="6">
        <f>$K$1109*$Y$1109</f>
        <v>0</v>
      </c>
      <c r="AF1109" s="6">
        <f ca="1">$M$1109*$Z$1109</f>
        <v>2504164.935179675</v>
      </c>
      <c r="AG1109" s="6">
        <f>$O$1109*$AA$1109</f>
        <v>708418.1801423158</v>
      </c>
    </row>
    <row r="1110" spans="1:33" ht="11.25" customHeight="1" x14ac:dyDescent="0.25">
      <c r="A1110" s="4" t="s">
        <v>27</v>
      </c>
      <c r="B1110" s="4" t="s">
        <v>35</v>
      </c>
      <c r="C1110" s="4" t="s">
        <v>36</v>
      </c>
      <c r="D1110" s="4" t="s">
        <v>42</v>
      </c>
      <c r="E1110" s="4" t="s">
        <v>25</v>
      </c>
      <c r="F1110" s="4" t="s">
        <v>25</v>
      </c>
      <c r="G1110" s="4" t="s">
        <v>25</v>
      </c>
      <c r="H1110" s="4" t="s">
        <v>37</v>
      </c>
      <c r="I1110" s="5">
        <v>44287</v>
      </c>
      <c r="J1110" s="6">
        <v>0</v>
      </c>
      <c r="K1110" s="6">
        <v>0</v>
      </c>
      <c r="L1110" s="6">
        <v>-0.72599999999999998</v>
      </c>
      <c r="M1110" s="6">
        <v>-0.72599999999999998</v>
      </c>
      <c r="N1110" s="6">
        <v>-0.72599999999999998</v>
      </c>
      <c r="O1110" s="6">
        <v>-0.72599999999999998</v>
      </c>
      <c r="P1110" s="6">
        <v>0</v>
      </c>
      <c r="Q1110" s="4" t="s">
        <v>26</v>
      </c>
      <c r="R1110" s="4">
        <v>0</v>
      </c>
      <c r="S1110" s="6">
        <v>0</v>
      </c>
      <c r="T1110" s="6">
        <v>24</v>
      </c>
      <c r="U1110" s="6">
        <v>66</v>
      </c>
      <c r="V1110" s="6">
        <f>IF(ISERROR(VLOOKUP($S$1110,'TAR FIN'!$A$1:$O$95,15,0)),0,VLOOKUP($S$1110,'TAR FIN'!$A$1:$O$95,15,0))</f>
        <v>0</v>
      </c>
      <c r="W1110" s="6">
        <f>IF(ISERROR(VLOOKUP($T$1110,'TAR FIN'!$A$1:$O$95,15,0)),0,VLOOKUP($T$1110,'TAR FIN'!$A$1:$O$95,15,0))</f>
        <v>1434.79</v>
      </c>
      <c r="X1110" s="6">
        <f>IF(ISERROR(VLOOKUP($U$1110,'TAR FIN'!$A$1:$O$95,15,0)),0,VLOOKUP($U$1110,'TAR FIN'!$A$1:$O$95,15,0))</f>
        <v>389.28</v>
      </c>
      <c r="Y1110" s="6"/>
      <c r="Z1110" s="6">
        <f ca="1">('TUSD BE'!$AM$16+'TUSD BF'!$AM$16+'TUSD CVA'!$AM$16)*1</f>
        <v>1605.9916314233351</v>
      </c>
      <c r="AA1110" s="6">
        <f>('TE BE'!$AA$7+'TE BF'!$AA$7+'TE CVA'!$AA$7)*1</f>
        <v>454.3285679284046</v>
      </c>
      <c r="AB1110" s="6">
        <f>$K$1110*$V$1110</f>
        <v>0</v>
      </c>
      <c r="AC1110" s="6">
        <f>$M$1110*$W$1110</f>
        <v>-1041.6575399999999</v>
      </c>
      <c r="AD1110" s="6">
        <f>$O$1110*$X$1110</f>
        <v>-282.61727999999999</v>
      </c>
      <c r="AE1110" s="6">
        <f>$K$1110*$Y$1110</f>
        <v>0</v>
      </c>
      <c r="AF1110" s="6">
        <f ca="1">$M$1110*$Z$1110</f>
        <v>-1165.9499244133413</v>
      </c>
      <c r="AG1110" s="6">
        <f>$O$1110*$AA$1110</f>
        <v>-329.84254031602171</v>
      </c>
    </row>
    <row r="1111" spans="1:33" ht="11.25" customHeight="1" x14ac:dyDescent="0.25">
      <c r="A1111" s="4" t="s">
        <v>28</v>
      </c>
      <c r="B1111" s="4" t="s">
        <v>35</v>
      </c>
      <c r="C1111" s="4" t="s">
        <v>36</v>
      </c>
      <c r="D1111" s="4" t="s">
        <v>42</v>
      </c>
      <c r="E1111" s="4" t="s">
        <v>25</v>
      </c>
      <c r="F1111" s="4" t="s">
        <v>25</v>
      </c>
      <c r="G1111" s="4" t="s">
        <v>25</v>
      </c>
      <c r="H1111" s="4" t="s">
        <v>37</v>
      </c>
      <c r="I1111" s="5">
        <v>44287</v>
      </c>
      <c r="J1111" s="6">
        <v>0</v>
      </c>
      <c r="K1111" s="6">
        <v>0</v>
      </c>
      <c r="L1111" s="6">
        <v>153.97800000000001</v>
      </c>
      <c r="M1111" s="6">
        <v>153.97800000000001</v>
      </c>
      <c r="N1111" s="6">
        <v>153.97800000000001</v>
      </c>
      <c r="O1111" s="6">
        <v>153.97800000000001</v>
      </c>
      <c r="P1111" s="6">
        <v>0</v>
      </c>
      <c r="Q1111" s="4" t="s">
        <v>26</v>
      </c>
      <c r="R1111" s="4">
        <v>0</v>
      </c>
      <c r="S1111" s="6">
        <v>0</v>
      </c>
      <c r="T1111" s="6">
        <v>24</v>
      </c>
      <c r="U1111" s="6">
        <v>66</v>
      </c>
      <c r="V1111" s="6">
        <f>IF(ISERROR(VLOOKUP($S$1111,'TAR FIN'!$A$1:$O$95,15,0)),0,VLOOKUP($S$1111,'TAR FIN'!$A$1:$O$95,15,0))</f>
        <v>0</v>
      </c>
      <c r="W1111" s="6">
        <f>IF(ISERROR(VLOOKUP($T$1111,'TAR FIN'!$A$1:$O$95,15,0)),0,VLOOKUP($T$1111,'TAR FIN'!$A$1:$O$95,15,0))</f>
        <v>1434.79</v>
      </c>
      <c r="X1111" s="6">
        <f>IF(ISERROR(VLOOKUP($U$1111,'TAR FIN'!$A$1:$O$95,15,0)),0,VLOOKUP($U$1111,'TAR FIN'!$A$1:$O$95,15,0))</f>
        <v>389.28</v>
      </c>
      <c r="Y1111" s="6"/>
      <c r="Z1111" s="6">
        <f ca="1">('TUSD BE'!$AM$16+'TUSD BF'!$AM$16+'TUSD CVA'!$AM$16)*1</f>
        <v>1605.9916314233351</v>
      </c>
      <c r="AA1111" s="6">
        <f>('TE BE'!$AA$7+'TE BF'!$AA$7+'TE CVA'!$AA$7)*1</f>
        <v>454.3285679284046</v>
      </c>
      <c r="AB1111" s="6">
        <f>$K$1111*$V$1111</f>
        <v>0</v>
      </c>
      <c r="AC1111" s="6">
        <f>$M$1111*$W$1111</f>
        <v>220926.09462000002</v>
      </c>
      <c r="AD1111" s="6">
        <f>$O$1111*$X$1111</f>
        <v>59940.555840000001</v>
      </c>
      <c r="AE1111" s="6">
        <f>$K$1111*$Y$1111</f>
        <v>0</v>
      </c>
      <c r="AF1111" s="6">
        <f ca="1">$M$1111*$Z$1111</f>
        <v>247287.37942330231</v>
      </c>
      <c r="AG1111" s="6">
        <f>$O$1111*$AA$1111</f>
        <v>69956.604232479891</v>
      </c>
    </row>
    <row r="1112" spans="1:33" ht="11.25" customHeight="1" x14ac:dyDescent="0.25">
      <c r="A1112" s="4" t="s">
        <v>29</v>
      </c>
      <c r="B1112" s="4" t="s">
        <v>35</v>
      </c>
      <c r="C1112" s="4" t="s">
        <v>36</v>
      </c>
      <c r="D1112" s="4" t="s">
        <v>42</v>
      </c>
      <c r="E1112" s="4" t="s">
        <v>25</v>
      </c>
      <c r="F1112" s="4" t="s">
        <v>25</v>
      </c>
      <c r="G1112" s="4" t="s">
        <v>25</v>
      </c>
      <c r="H1112" s="4" t="s">
        <v>37</v>
      </c>
      <c r="I1112" s="5">
        <v>44287</v>
      </c>
      <c r="J1112" s="6">
        <v>0</v>
      </c>
      <c r="K1112" s="6">
        <v>0</v>
      </c>
      <c r="L1112" s="6">
        <v>-31.096</v>
      </c>
      <c r="M1112" s="6">
        <v>-31.096</v>
      </c>
      <c r="N1112" s="6">
        <v>-31.096</v>
      </c>
      <c r="O1112" s="6">
        <v>-31.096</v>
      </c>
      <c r="P1112" s="6">
        <v>0</v>
      </c>
      <c r="Q1112" s="4" t="s">
        <v>26</v>
      </c>
      <c r="R1112" s="4">
        <v>0</v>
      </c>
      <c r="S1112" s="6">
        <v>0</v>
      </c>
      <c r="T1112" s="6">
        <v>24</v>
      </c>
      <c r="U1112" s="6">
        <v>66</v>
      </c>
      <c r="V1112" s="6">
        <f>IF(ISERROR(VLOOKUP($S$1112,'TAR FIN'!$A$1:$O$95,15,0)),0,VLOOKUP($S$1112,'TAR FIN'!$A$1:$O$95,15,0))</f>
        <v>0</v>
      </c>
      <c r="W1112" s="6">
        <f>IF(ISERROR(VLOOKUP($T$1112,'TAR FIN'!$A$1:$O$95,15,0)),0,VLOOKUP($T$1112,'TAR FIN'!$A$1:$O$95,15,0))</f>
        <v>1434.79</v>
      </c>
      <c r="X1112" s="6">
        <f>IF(ISERROR(VLOOKUP($U$1112,'TAR FIN'!$A$1:$O$95,15,0)),0,VLOOKUP($U$1112,'TAR FIN'!$A$1:$O$95,15,0))</f>
        <v>389.28</v>
      </c>
      <c r="Y1112" s="6"/>
      <c r="Z1112" s="6">
        <f ca="1">('TUSD BE'!$AM$16+'TUSD BF'!$AM$16+'TUSD CVA'!$AM$16)*1</f>
        <v>1605.9916314233351</v>
      </c>
      <c r="AA1112" s="6">
        <f>('TE BE'!$AA$7+'TE BF'!$AA$7+'TE CVA'!$AA$7)*1</f>
        <v>454.3285679284046</v>
      </c>
      <c r="AB1112" s="6">
        <f>$K$1112*$V$1112</f>
        <v>0</v>
      </c>
      <c r="AC1112" s="6">
        <f>$M$1112*$W$1112</f>
        <v>-44616.22984</v>
      </c>
      <c r="AD1112" s="6">
        <f>$O$1112*$X$1112</f>
        <v>-12105.050879999999</v>
      </c>
      <c r="AE1112" s="6">
        <f>$K$1112*$Y$1112</f>
        <v>0</v>
      </c>
      <c r="AF1112" s="6">
        <f ca="1">$M$1112*$Z$1112</f>
        <v>-49939.91577074003</v>
      </c>
      <c r="AG1112" s="6">
        <f>$O$1112*$AA$1112</f>
        <v>-14127.801148301669</v>
      </c>
    </row>
    <row r="1113" spans="1:33" ht="11.25" customHeight="1" x14ac:dyDescent="0.25">
      <c r="A1113" s="4" t="s">
        <v>30</v>
      </c>
      <c r="B1113" s="4" t="s">
        <v>35</v>
      </c>
      <c r="C1113" s="4" t="s">
        <v>36</v>
      </c>
      <c r="D1113" s="4" t="s">
        <v>42</v>
      </c>
      <c r="E1113" s="4" t="s">
        <v>25</v>
      </c>
      <c r="F1113" s="4" t="s">
        <v>25</v>
      </c>
      <c r="G1113" s="4" t="s">
        <v>25</v>
      </c>
      <c r="H1113" s="4" t="s">
        <v>37</v>
      </c>
      <c r="I1113" s="5">
        <v>44287</v>
      </c>
      <c r="J1113" s="6">
        <v>0</v>
      </c>
      <c r="K1113" s="6">
        <v>0</v>
      </c>
      <c r="L1113" s="6">
        <v>54.634</v>
      </c>
      <c r="M1113" s="6">
        <v>54.634</v>
      </c>
      <c r="N1113" s="6">
        <v>54.634</v>
      </c>
      <c r="O1113" s="6">
        <v>54.634</v>
      </c>
      <c r="P1113" s="6">
        <v>0</v>
      </c>
      <c r="Q1113" s="4" t="s">
        <v>26</v>
      </c>
      <c r="R1113" s="4">
        <v>0</v>
      </c>
      <c r="S1113" s="6">
        <v>0</v>
      </c>
      <c r="T1113" s="6">
        <v>24</v>
      </c>
      <c r="U1113" s="6">
        <v>66</v>
      </c>
      <c r="V1113" s="6">
        <f>IF(ISERROR(VLOOKUP($S$1113,'TAR FIN'!$A$1:$O$95,15,0)),0,VLOOKUP($S$1113,'TAR FIN'!$A$1:$O$95,15,0))</f>
        <v>0</v>
      </c>
      <c r="W1113" s="6">
        <f>IF(ISERROR(VLOOKUP($T$1113,'TAR FIN'!$A$1:$O$95,15,0)),0,VLOOKUP($T$1113,'TAR FIN'!$A$1:$O$95,15,0))</f>
        <v>1434.79</v>
      </c>
      <c r="X1113" s="6">
        <f>IF(ISERROR(VLOOKUP($U$1113,'TAR FIN'!$A$1:$O$95,15,0)),0,VLOOKUP($U$1113,'TAR FIN'!$A$1:$O$95,15,0))</f>
        <v>389.28</v>
      </c>
      <c r="Y1113" s="6"/>
      <c r="Z1113" s="6">
        <f ca="1">('TUSD BE'!$AM$16+'TUSD BF'!$AM$16+'TUSD CVA'!$AM$16)*1</f>
        <v>1605.9916314233351</v>
      </c>
      <c r="AA1113" s="6">
        <f>('TE BE'!$AA$7+'TE BF'!$AA$7+'TE CVA'!$AA$7)*1</f>
        <v>454.3285679284046</v>
      </c>
      <c r="AB1113" s="6">
        <f>$K$1113*$V$1113</f>
        <v>0</v>
      </c>
      <c r="AC1113" s="6">
        <f>$M$1113*$W$1113</f>
        <v>78388.316859999992</v>
      </c>
      <c r="AD1113" s="6">
        <f>$O$1113*$X$1113</f>
        <v>21267.92352</v>
      </c>
      <c r="AE1113" s="6">
        <f>$K$1113*$Y$1113</f>
        <v>0</v>
      </c>
      <c r="AF1113" s="6">
        <f ca="1">$M$1113*$Z$1113</f>
        <v>87741.746791182493</v>
      </c>
      <c r="AG1113" s="6">
        <f>$O$1113*$AA$1113</f>
        <v>24821.786980200457</v>
      </c>
    </row>
    <row r="1114" spans="1:33" ht="11.25" customHeight="1" x14ac:dyDescent="0.25">
      <c r="A1114" s="4" t="s">
        <v>21</v>
      </c>
      <c r="B1114" s="4" t="s">
        <v>35</v>
      </c>
      <c r="C1114" s="4" t="s">
        <v>36</v>
      </c>
      <c r="D1114" s="4" t="s">
        <v>42</v>
      </c>
      <c r="E1114" s="4" t="s">
        <v>25</v>
      </c>
      <c r="F1114" s="4" t="s">
        <v>25</v>
      </c>
      <c r="G1114" s="4" t="s">
        <v>25</v>
      </c>
      <c r="H1114" s="4" t="s">
        <v>37</v>
      </c>
      <c r="I1114" s="5">
        <v>44317</v>
      </c>
      <c r="J1114" s="6">
        <v>0</v>
      </c>
      <c r="K1114" s="6">
        <v>0</v>
      </c>
      <c r="L1114" s="6">
        <v>1611.5139999999999</v>
      </c>
      <c r="M1114" s="6">
        <v>1611.5139999999999</v>
      </c>
      <c r="N1114" s="6">
        <v>1611.5139999999999</v>
      </c>
      <c r="O1114" s="6">
        <v>1611.5139999999999</v>
      </c>
      <c r="P1114" s="6">
        <v>0</v>
      </c>
      <c r="Q1114" s="4" t="s">
        <v>26</v>
      </c>
      <c r="R1114" s="4">
        <v>0</v>
      </c>
      <c r="S1114" s="6">
        <v>0</v>
      </c>
      <c r="T1114" s="6">
        <v>24</v>
      </c>
      <c r="U1114" s="6">
        <v>66</v>
      </c>
      <c r="V1114" s="6">
        <f>IF(ISERROR(VLOOKUP($S$1114,'TAR FIN'!$A$1:$O$95,15,0)),0,VLOOKUP($S$1114,'TAR FIN'!$A$1:$O$95,15,0))</f>
        <v>0</v>
      </c>
      <c r="W1114" s="6">
        <f>IF(ISERROR(VLOOKUP($T$1114,'TAR FIN'!$A$1:$O$95,15,0)),0,VLOOKUP($T$1114,'TAR FIN'!$A$1:$O$95,15,0))</f>
        <v>1434.79</v>
      </c>
      <c r="X1114" s="6">
        <f>IF(ISERROR(VLOOKUP($U$1114,'TAR FIN'!$A$1:$O$95,15,0)),0,VLOOKUP($U$1114,'TAR FIN'!$A$1:$O$95,15,0))</f>
        <v>389.28</v>
      </c>
      <c r="Y1114" s="6"/>
      <c r="Z1114" s="6">
        <f ca="1">('TUSD BE'!$AM$16+'TUSD BF'!$AM$16+'TUSD CVA'!$AM$16)*1</f>
        <v>1605.9916314233351</v>
      </c>
      <c r="AA1114" s="6">
        <f>('TE BE'!$AA$7+'TE BF'!$AA$7+'TE CVA'!$AA$7)*1</f>
        <v>454.3285679284046</v>
      </c>
      <c r="AB1114" s="6">
        <f>$K$1114*$V$1114</f>
        <v>0</v>
      </c>
      <c r="AC1114" s="6">
        <f>$M$1114*$W$1114</f>
        <v>2312184.1720599998</v>
      </c>
      <c r="AD1114" s="6">
        <f>$O$1114*$X$1114</f>
        <v>627330.1699199999</v>
      </c>
      <c r="AE1114" s="6">
        <f>$K$1114*$Y$1114</f>
        <v>0</v>
      </c>
      <c r="AF1114" s="6">
        <f ca="1">$M$1114*$Z$1114</f>
        <v>2588077.9979215441</v>
      </c>
      <c r="AG1114" s="6">
        <f>$O$1114*$AA$1114</f>
        <v>732156.84781657497</v>
      </c>
    </row>
    <row r="1115" spans="1:33" ht="11.25" customHeight="1" x14ac:dyDescent="0.25">
      <c r="A1115" s="4" t="s">
        <v>27</v>
      </c>
      <c r="B1115" s="4" t="s">
        <v>35</v>
      </c>
      <c r="C1115" s="4" t="s">
        <v>36</v>
      </c>
      <c r="D1115" s="4" t="s">
        <v>42</v>
      </c>
      <c r="E1115" s="4" t="s">
        <v>25</v>
      </c>
      <c r="F1115" s="4" t="s">
        <v>25</v>
      </c>
      <c r="G1115" s="4" t="s">
        <v>25</v>
      </c>
      <c r="H1115" s="4" t="s">
        <v>37</v>
      </c>
      <c r="I1115" s="5">
        <v>44317</v>
      </c>
      <c r="J1115" s="6">
        <v>0</v>
      </c>
      <c r="K1115" s="6">
        <v>0</v>
      </c>
      <c r="L1115" s="6">
        <v>-68.334000000000003</v>
      </c>
      <c r="M1115" s="6">
        <v>-68.334000000000003</v>
      </c>
      <c r="N1115" s="6">
        <v>-68.334000000000003</v>
      </c>
      <c r="O1115" s="6">
        <v>-68.334000000000003</v>
      </c>
      <c r="P1115" s="6">
        <v>0</v>
      </c>
      <c r="Q1115" s="4" t="s">
        <v>26</v>
      </c>
      <c r="R1115" s="4">
        <v>0</v>
      </c>
      <c r="S1115" s="6">
        <v>0</v>
      </c>
      <c r="T1115" s="6">
        <v>24</v>
      </c>
      <c r="U1115" s="6">
        <v>66</v>
      </c>
      <c r="V1115" s="6">
        <f>IF(ISERROR(VLOOKUP($S$1115,'TAR FIN'!$A$1:$O$95,15,0)),0,VLOOKUP($S$1115,'TAR FIN'!$A$1:$O$95,15,0))</f>
        <v>0</v>
      </c>
      <c r="W1115" s="6">
        <f>IF(ISERROR(VLOOKUP($T$1115,'TAR FIN'!$A$1:$O$95,15,0)),0,VLOOKUP($T$1115,'TAR FIN'!$A$1:$O$95,15,0))</f>
        <v>1434.79</v>
      </c>
      <c r="X1115" s="6">
        <f>IF(ISERROR(VLOOKUP($U$1115,'TAR FIN'!$A$1:$O$95,15,0)),0,VLOOKUP($U$1115,'TAR FIN'!$A$1:$O$95,15,0))</f>
        <v>389.28</v>
      </c>
      <c r="Y1115" s="6"/>
      <c r="Z1115" s="6">
        <f ca="1">('TUSD BE'!$AM$16+'TUSD BF'!$AM$16+'TUSD CVA'!$AM$16)*1</f>
        <v>1605.9916314233351</v>
      </c>
      <c r="AA1115" s="6">
        <f>('TE BE'!$AA$7+'TE BF'!$AA$7+'TE CVA'!$AA$7)*1</f>
        <v>454.3285679284046</v>
      </c>
      <c r="AB1115" s="6">
        <f>$K$1115*$V$1115</f>
        <v>0</v>
      </c>
      <c r="AC1115" s="6">
        <f>$M$1115*$W$1115</f>
        <v>-98044.939859999999</v>
      </c>
      <c r="AD1115" s="6">
        <f>$O$1115*$X$1115</f>
        <v>-26601.059519999999</v>
      </c>
      <c r="AE1115" s="6">
        <f>$K$1115*$Y$1115</f>
        <v>0</v>
      </c>
      <c r="AF1115" s="6">
        <f ca="1">$M$1115*$Z$1115</f>
        <v>-109743.83214168219</v>
      </c>
      <c r="AG1115" s="6">
        <f>$O$1115*$AA$1115</f>
        <v>-31046.088360819602</v>
      </c>
    </row>
    <row r="1116" spans="1:33" ht="11.25" customHeight="1" x14ac:dyDescent="0.25">
      <c r="A1116" s="4" t="s">
        <v>28</v>
      </c>
      <c r="B1116" s="4" t="s">
        <v>35</v>
      </c>
      <c r="C1116" s="4" t="s">
        <v>36</v>
      </c>
      <c r="D1116" s="4" t="s">
        <v>42</v>
      </c>
      <c r="E1116" s="4" t="s">
        <v>25</v>
      </c>
      <c r="F1116" s="4" t="s">
        <v>25</v>
      </c>
      <c r="G1116" s="4" t="s">
        <v>25</v>
      </c>
      <c r="H1116" s="4" t="s">
        <v>37</v>
      </c>
      <c r="I1116" s="5">
        <v>44317</v>
      </c>
      <c r="J1116" s="6">
        <v>0</v>
      </c>
      <c r="K1116" s="6">
        <v>0</v>
      </c>
      <c r="L1116" s="6">
        <v>161.38900000000001</v>
      </c>
      <c r="M1116" s="6">
        <v>161.38900000000001</v>
      </c>
      <c r="N1116" s="6">
        <v>161.38900000000001</v>
      </c>
      <c r="O1116" s="6">
        <v>161.38900000000001</v>
      </c>
      <c r="P1116" s="6">
        <v>0</v>
      </c>
      <c r="Q1116" s="4" t="s">
        <v>26</v>
      </c>
      <c r="R1116" s="4">
        <v>0</v>
      </c>
      <c r="S1116" s="6">
        <v>0</v>
      </c>
      <c r="T1116" s="6">
        <v>24</v>
      </c>
      <c r="U1116" s="6">
        <v>66</v>
      </c>
      <c r="V1116" s="6">
        <f>IF(ISERROR(VLOOKUP($S$1116,'TAR FIN'!$A$1:$O$95,15,0)),0,VLOOKUP($S$1116,'TAR FIN'!$A$1:$O$95,15,0))</f>
        <v>0</v>
      </c>
      <c r="W1116" s="6">
        <f>IF(ISERROR(VLOOKUP($T$1116,'TAR FIN'!$A$1:$O$95,15,0)),0,VLOOKUP($T$1116,'TAR FIN'!$A$1:$O$95,15,0))</f>
        <v>1434.79</v>
      </c>
      <c r="X1116" s="6">
        <f>IF(ISERROR(VLOOKUP($U$1116,'TAR FIN'!$A$1:$O$95,15,0)),0,VLOOKUP($U$1116,'TAR FIN'!$A$1:$O$95,15,0))</f>
        <v>389.28</v>
      </c>
      <c r="Y1116" s="6"/>
      <c r="Z1116" s="6">
        <f ca="1">('TUSD BE'!$AM$16+'TUSD BF'!$AM$16+'TUSD CVA'!$AM$16)*1</f>
        <v>1605.9916314233351</v>
      </c>
      <c r="AA1116" s="6">
        <f>('TE BE'!$AA$7+'TE BF'!$AA$7+'TE CVA'!$AA$7)*1</f>
        <v>454.3285679284046</v>
      </c>
      <c r="AB1116" s="6">
        <f>$K$1116*$V$1116</f>
        <v>0</v>
      </c>
      <c r="AC1116" s="6">
        <f>$M$1116*$W$1116</f>
        <v>231559.32331000001</v>
      </c>
      <c r="AD1116" s="6">
        <f>$O$1116*$X$1116</f>
        <v>62825.509919999997</v>
      </c>
      <c r="AE1116" s="6">
        <f>$K$1116*$Y$1116</f>
        <v>0</v>
      </c>
      <c r="AF1116" s="6">
        <f ca="1">$M$1116*$Z$1116</f>
        <v>259189.38340378064</v>
      </c>
      <c r="AG1116" s="6">
        <f>$O$1116*$AA$1116</f>
        <v>73323.633249397288</v>
      </c>
    </row>
    <row r="1117" spans="1:33" ht="11.25" customHeight="1" x14ac:dyDescent="0.25">
      <c r="A1117" s="4" t="s">
        <v>29</v>
      </c>
      <c r="B1117" s="4" t="s">
        <v>35</v>
      </c>
      <c r="C1117" s="4" t="s">
        <v>36</v>
      </c>
      <c r="D1117" s="4" t="s">
        <v>42</v>
      </c>
      <c r="E1117" s="4" t="s">
        <v>25</v>
      </c>
      <c r="F1117" s="4" t="s">
        <v>25</v>
      </c>
      <c r="G1117" s="4" t="s">
        <v>25</v>
      </c>
      <c r="H1117" s="4" t="s">
        <v>37</v>
      </c>
      <c r="I1117" s="5">
        <v>44317</v>
      </c>
      <c r="J1117" s="6">
        <v>0</v>
      </c>
      <c r="K1117" s="6">
        <v>0</v>
      </c>
      <c r="L1117" s="6">
        <v>-17.904</v>
      </c>
      <c r="M1117" s="6">
        <v>-17.904</v>
      </c>
      <c r="N1117" s="6">
        <v>-17.904</v>
      </c>
      <c r="O1117" s="6">
        <v>-17.904</v>
      </c>
      <c r="P1117" s="6">
        <v>0</v>
      </c>
      <c r="Q1117" s="4" t="s">
        <v>26</v>
      </c>
      <c r="R1117" s="4">
        <v>0</v>
      </c>
      <c r="S1117" s="6">
        <v>0</v>
      </c>
      <c r="T1117" s="6">
        <v>24</v>
      </c>
      <c r="U1117" s="6">
        <v>66</v>
      </c>
      <c r="V1117" s="6">
        <f>IF(ISERROR(VLOOKUP($S$1117,'TAR FIN'!$A$1:$O$95,15,0)),0,VLOOKUP($S$1117,'TAR FIN'!$A$1:$O$95,15,0))</f>
        <v>0</v>
      </c>
      <c r="W1117" s="6">
        <f>IF(ISERROR(VLOOKUP($T$1117,'TAR FIN'!$A$1:$O$95,15,0)),0,VLOOKUP($T$1117,'TAR FIN'!$A$1:$O$95,15,0))</f>
        <v>1434.79</v>
      </c>
      <c r="X1117" s="6">
        <f>IF(ISERROR(VLOOKUP($U$1117,'TAR FIN'!$A$1:$O$95,15,0)),0,VLOOKUP($U$1117,'TAR FIN'!$A$1:$O$95,15,0))</f>
        <v>389.28</v>
      </c>
      <c r="Y1117" s="6"/>
      <c r="Z1117" s="6">
        <f ca="1">('TUSD BE'!$AM$16+'TUSD BF'!$AM$16+'TUSD CVA'!$AM$16)*1</f>
        <v>1605.9916314233351</v>
      </c>
      <c r="AA1117" s="6">
        <f>('TE BE'!$AA$7+'TE BF'!$AA$7+'TE CVA'!$AA$7)*1</f>
        <v>454.3285679284046</v>
      </c>
      <c r="AB1117" s="6">
        <f>$K$1117*$V$1117</f>
        <v>0</v>
      </c>
      <c r="AC1117" s="6">
        <f>$M$1117*$W$1117</f>
        <v>-25688.480159999999</v>
      </c>
      <c r="AD1117" s="6">
        <f>$O$1117*$X$1117</f>
        <v>-6969.6691199999996</v>
      </c>
      <c r="AE1117" s="6">
        <f>$K$1117*$Y$1117</f>
        <v>0</v>
      </c>
      <c r="AF1117" s="6">
        <f ca="1">$M$1117*$Z$1117</f>
        <v>-28753.674169003392</v>
      </c>
      <c r="AG1117" s="6">
        <f>$O$1117*$AA$1117</f>
        <v>-8134.2986801901561</v>
      </c>
    </row>
    <row r="1118" spans="1:33" ht="11.25" customHeight="1" x14ac:dyDescent="0.25">
      <c r="A1118" s="4" t="s">
        <v>30</v>
      </c>
      <c r="B1118" s="4" t="s">
        <v>35</v>
      </c>
      <c r="C1118" s="4" t="s">
        <v>36</v>
      </c>
      <c r="D1118" s="4" t="s">
        <v>42</v>
      </c>
      <c r="E1118" s="4" t="s">
        <v>25</v>
      </c>
      <c r="F1118" s="4" t="s">
        <v>25</v>
      </c>
      <c r="G1118" s="4" t="s">
        <v>25</v>
      </c>
      <c r="H1118" s="4" t="s">
        <v>37</v>
      </c>
      <c r="I1118" s="5">
        <v>44317</v>
      </c>
      <c r="J1118" s="6">
        <v>0</v>
      </c>
      <c r="K1118" s="6">
        <v>0</v>
      </c>
      <c r="L1118" s="6">
        <v>59.680999999999997</v>
      </c>
      <c r="M1118" s="6">
        <v>59.680999999999997</v>
      </c>
      <c r="N1118" s="6">
        <v>59.680999999999997</v>
      </c>
      <c r="O1118" s="6">
        <v>59.680999999999997</v>
      </c>
      <c r="P1118" s="6">
        <v>0</v>
      </c>
      <c r="Q1118" s="4" t="s">
        <v>26</v>
      </c>
      <c r="R1118" s="4">
        <v>0</v>
      </c>
      <c r="S1118" s="6">
        <v>0</v>
      </c>
      <c r="T1118" s="6">
        <v>24</v>
      </c>
      <c r="U1118" s="6">
        <v>66</v>
      </c>
      <c r="V1118" s="6">
        <f>IF(ISERROR(VLOOKUP($S$1118,'TAR FIN'!$A$1:$O$95,15,0)),0,VLOOKUP($S$1118,'TAR FIN'!$A$1:$O$95,15,0))</f>
        <v>0</v>
      </c>
      <c r="W1118" s="6">
        <f>IF(ISERROR(VLOOKUP($T$1118,'TAR FIN'!$A$1:$O$95,15,0)),0,VLOOKUP($T$1118,'TAR FIN'!$A$1:$O$95,15,0))</f>
        <v>1434.79</v>
      </c>
      <c r="X1118" s="6">
        <f>IF(ISERROR(VLOOKUP($U$1118,'TAR FIN'!$A$1:$O$95,15,0)),0,VLOOKUP($U$1118,'TAR FIN'!$A$1:$O$95,15,0))</f>
        <v>389.28</v>
      </c>
      <c r="Y1118" s="6"/>
      <c r="Z1118" s="6">
        <f ca="1">('TUSD BE'!$AM$16+'TUSD BF'!$AM$16+'TUSD CVA'!$AM$16)*1</f>
        <v>1605.9916314233351</v>
      </c>
      <c r="AA1118" s="6">
        <f>('TE BE'!$AA$7+'TE BF'!$AA$7+'TE CVA'!$AA$7)*1</f>
        <v>454.3285679284046</v>
      </c>
      <c r="AB1118" s="6">
        <f>$K$1118*$V$1118</f>
        <v>0</v>
      </c>
      <c r="AC1118" s="6">
        <f>$M$1118*$W$1118</f>
        <v>85629.701989999987</v>
      </c>
      <c r="AD1118" s="6">
        <f>$O$1118*$X$1118</f>
        <v>23232.619679999996</v>
      </c>
      <c r="AE1118" s="6">
        <f>$K$1118*$Y$1118</f>
        <v>0</v>
      </c>
      <c r="AF1118" s="6">
        <f ca="1">$M$1118*$Z$1118</f>
        <v>95847.186554976055</v>
      </c>
      <c r="AG1118" s="6">
        <f>$O$1118*$AA$1118</f>
        <v>27114.783262535115</v>
      </c>
    </row>
    <row r="1119" spans="1:33" ht="11.25" customHeight="1" x14ac:dyDescent="0.25">
      <c r="A1119" s="4" t="s">
        <v>21</v>
      </c>
      <c r="B1119" s="4" t="s">
        <v>35</v>
      </c>
      <c r="C1119" s="4" t="s">
        <v>36</v>
      </c>
      <c r="D1119" s="4" t="s">
        <v>42</v>
      </c>
      <c r="E1119" s="4" t="s">
        <v>25</v>
      </c>
      <c r="F1119" s="4" t="s">
        <v>25</v>
      </c>
      <c r="G1119" s="4" t="s">
        <v>25</v>
      </c>
      <c r="H1119" s="4" t="s">
        <v>37</v>
      </c>
      <c r="I1119" s="5">
        <v>44317</v>
      </c>
      <c r="J1119" s="6">
        <v>0</v>
      </c>
      <c r="K1119" s="6">
        <v>0</v>
      </c>
      <c r="L1119" s="6">
        <v>3.069</v>
      </c>
      <c r="M1119" s="6">
        <v>3.069</v>
      </c>
      <c r="N1119" s="6">
        <v>0</v>
      </c>
      <c r="O1119" s="6">
        <v>0</v>
      </c>
      <c r="P1119" s="6">
        <v>0</v>
      </c>
      <c r="Q1119" s="4" t="s">
        <v>60</v>
      </c>
      <c r="R1119" s="4">
        <v>0</v>
      </c>
      <c r="S1119" s="6">
        <v>0</v>
      </c>
      <c r="T1119" s="6">
        <v>24</v>
      </c>
      <c r="U1119" s="6">
        <v>0</v>
      </c>
      <c r="V1119" s="6">
        <f>IF(ISERROR(VLOOKUP($S$1119,'TAR FIN'!$A$1:$O$95,15,0)),0,VLOOKUP($S$1119,'TAR FIN'!$A$1:$O$95,15,0))</f>
        <v>0</v>
      </c>
      <c r="W1119" s="6">
        <f>IF(ISERROR(VLOOKUP($T$1119,'TAR FIN'!$A$1:$O$95,15,0)),0,VLOOKUP($T$1119,'TAR FIN'!$A$1:$O$95,15,0))</f>
        <v>1434.79</v>
      </c>
      <c r="X1119" s="6">
        <f>IF(ISERROR(VLOOKUP($U$1119,'TAR FIN'!$A$1:$O$95,15,0)),0,VLOOKUP($U$1119,'TAR FIN'!$A$1:$O$95,15,0))</f>
        <v>0</v>
      </c>
      <c r="Y1119" s="6"/>
      <c r="Z1119" s="6">
        <f ca="1">('TUSD BE'!$AM$16+'TUSD BF'!$AM$16+'TUSD CVA'!$AM$16)*1</f>
        <v>1605.9916314233351</v>
      </c>
      <c r="AA1119" s="6"/>
      <c r="AB1119" s="6">
        <f>$K$1119*$V$1119</f>
        <v>0</v>
      </c>
      <c r="AC1119" s="6">
        <f>$M$1119*$W$1119</f>
        <v>4403.3705099999997</v>
      </c>
      <c r="AD1119" s="6">
        <f>$O$1119*$X$1119</f>
        <v>0</v>
      </c>
      <c r="AE1119" s="6">
        <f>$K$1119*$Y$1119</f>
        <v>0</v>
      </c>
      <c r="AF1119" s="6">
        <f ca="1">$M$1119*$Z$1119</f>
        <v>4928.788316838215</v>
      </c>
      <c r="AG1119" s="6">
        <f>$O$1119*$AA$1119</f>
        <v>0</v>
      </c>
    </row>
    <row r="1120" spans="1:33" ht="11.25" customHeight="1" x14ac:dyDescent="0.25">
      <c r="A1120" s="4" t="s">
        <v>21</v>
      </c>
      <c r="B1120" s="4" t="s">
        <v>35</v>
      </c>
      <c r="C1120" s="4" t="s">
        <v>36</v>
      </c>
      <c r="D1120" s="4" t="s">
        <v>42</v>
      </c>
      <c r="E1120" s="4" t="s">
        <v>25</v>
      </c>
      <c r="F1120" s="4" t="s">
        <v>25</v>
      </c>
      <c r="G1120" s="4" t="s">
        <v>25</v>
      </c>
      <c r="H1120" s="4" t="s">
        <v>37</v>
      </c>
      <c r="I1120" s="5">
        <v>44348</v>
      </c>
      <c r="J1120" s="6">
        <v>0</v>
      </c>
      <c r="K1120" s="6">
        <v>0</v>
      </c>
      <c r="L1120" s="6">
        <v>1537.4860000000001</v>
      </c>
      <c r="M1120" s="6">
        <v>1537.4860000000001</v>
      </c>
      <c r="N1120" s="6">
        <v>1537.4860000000001</v>
      </c>
      <c r="O1120" s="6">
        <v>1537.4860000000001</v>
      </c>
      <c r="P1120" s="6">
        <v>0</v>
      </c>
      <c r="Q1120" s="4" t="s">
        <v>26</v>
      </c>
      <c r="R1120" s="4">
        <v>0</v>
      </c>
      <c r="S1120" s="6">
        <v>0</v>
      </c>
      <c r="T1120" s="6">
        <v>24</v>
      </c>
      <c r="U1120" s="6">
        <v>66</v>
      </c>
      <c r="V1120" s="6">
        <f>IF(ISERROR(VLOOKUP($S$1120,'TAR FIN'!$A$1:$O$95,15,0)),0,VLOOKUP($S$1120,'TAR FIN'!$A$1:$O$95,15,0))</f>
        <v>0</v>
      </c>
      <c r="W1120" s="6">
        <f>IF(ISERROR(VLOOKUP($T$1120,'TAR FIN'!$A$1:$O$95,15,0)),0,VLOOKUP($T$1120,'TAR FIN'!$A$1:$O$95,15,0))</f>
        <v>1434.79</v>
      </c>
      <c r="X1120" s="6">
        <f>IF(ISERROR(VLOOKUP($U$1120,'TAR FIN'!$A$1:$O$95,15,0)),0,VLOOKUP($U$1120,'TAR FIN'!$A$1:$O$95,15,0))</f>
        <v>389.28</v>
      </c>
      <c r="Y1120" s="6"/>
      <c r="Z1120" s="6">
        <f ca="1">('TUSD BE'!$AM$16+'TUSD BF'!$AM$16+'TUSD CVA'!$AM$16)*1</f>
        <v>1605.9916314233351</v>
      </c>
      <c r="AA1120" s="6">
        <f>('TE BE'!$AA$7+'TE BF'!$AA$7+'TE CVA'!$AA$7)*1</f>
        <v>454.3285679284046</v>
      </c>
      <c r="AB1120" s="6">
        <f>$K$1120*$V$1120</f>
        <v>0</v>
      </c>
      <c r="AC1120" s="6">
        <f>$M$1120*$W$1120</f>
        <v>2205969.5379400002</v>
      </c>
      <c r="AD1120" s="6">
        <f>$O$1120*$X$1120</f>
        <v>598512.55007999996</v>
      </c>
      <c r="AE1120" s="6">
        <f>$K$1120*$Y$1120</f>
        <v>0</v>
      </c>
      <c r="AF1120" s="6">
        <f ca="1">$M$1120*$Z$1120</f>
        <v>2469189.6494305381</v>
      </c>
      <c r="AG1120" s="6">
        <f>$O$1120*$AA$1120</f>
        <v>698523.81258997112</v>
      </c>
    </row>
    <row r="1121" spans="1:33" ht="11.25" customHeight="1" x14ac:dyDescent="0.25">
      <c r="A1121" s="4" t="s">
        <v>27</v>
      </c>
      <c r="B1121" s="4" t="s">
        <v>35</v>
      </c>
      <c r="C1121" s="4" t="s">
        <v>36</v>
      </c>
      <c r="D1121" s="4" t="s">
        <v>42</v>
      </c>
      <c r="E1121" s="4" t="s">
        <v>25</v>
      </c>
      <c r="F1121" s="4" t="s">
        <v>25</v>
      </c>
      <c r="G1121" s="4" t="s">
        <v>25</v>
      </c>
      <c r="H1121" s="4" t="s">
        <v>37</v>
      </c>
      <c r="I1121" s="5">
        <v>44348</v>
      </c>
      <c r="J1121" s="6">
        <v>0</v>
      </c>
      <c r="K1121" s="6">
        <v>0</v>
      </c>
      <c r="L1121" s="6">
        <v>-28.067</v>
      </c>
      <c r="M1121" s="6">
        <v>-28.067</v>
      </c>
      <c r="N1121" s="6">
        <v>-28.067</v>
      </c>
      <c r="O1121" s="6">
        <v>-28.067</v>
      </c>
      <c r="P1121" s="6">
        <v>0</v>
      </c>
      <c r="Q1121" s="4" t="s">
        <v>26</v>
      </c>
      <c r="R1121" s="4">
        <v>0</v>
      </c>
      <c r="S1121" s="6">
        <v>0</v>
      </c>
      <c r="T1121" s="6">
        <v>24</v>
      </c>
      <c r="U1121" s="6">
        <v>66</v>
      </c>
      <c r="V1121" s="6">
        <f>IF(ISERROR(VLOOKUP($S$1121,'TAR FIN'!$A$1:$O$95,15,0)),0,VLOOKUP($S$1121,'TAR FIN'!$A$1:$O$95,15,0))</f>
        <v>0</v>
      </c>
      <c r="W1121" s="6">
        <f>IF(ISERROR(VLOOKUP($T$1121,'TAR FIN'!$A$1:$O$95,15,0)),0,VLOOKUP($T$1121,'TAR FIN'!$A$1:$O$95,15,0))</f>
        <v>1434.79</v>
      </c>
      <c r="X1121" s="6">
        <f>IF(ISERROR(VLOOKUP($U$1121,'TAR FIN'!$A$1:$O$95,15,0)),0,VLOOKUP($U$1121,'TAR FIN'!$A$1:$O$95,15,0))</f>
        <v>389.28</v>
      </c>
      <c r="Y1121" s="6"/>
      <c r="Z1121" s="6">
        <f ca="1">('TUSD BE'!$AM$16+'TUSD BF'!$AM$16+'TUSD CVA'!$AM$16)*1</f>
        <v>1605.9916314233351</v>
      </c>
      <c r="AA1121" s="6">
        <f>('TE BE'!$AA$7+'TE BF'!$AA$7+'TE CVA'!$AA$7)*1</f>
        <v>454.3285679284046</v>
      </c>
      <c r="AB1121" s="6">
        <f>$K$1121*$V$1121</f>
        <v>0</v>
      </c>
      <c r="AC1121" s="6">
        <f>$M$1121*$W$1121</f>
        <v>-40270.250930000002</v>
      </c>
      <c r="AD1121" s="6">
        <f>$O$1121*$X$1121</f>
        <v>-10925.921759999999</v>
      </c>
      <c r="AE1121" s="6">
        <f>$K$1121*$Y$1121</f>
        <v>0</v>
      </c>
      <c r="AF1121" s="6">
        <f ca="1">$M$1121*$Z$1121</f>
        <v>-45075.367119158749</v>
      </c>
      <c r="AG1121" s="6">
        <f>$O$1121*$AA$1121</f>
        <v>-12751.639916046532</v>
      </c>
    </row>
    <row r="1122" spans="1:33" ht="11.25" customHeight="1" x14ac:dyDescent="0.25">
      <c r="A1122" s="4" t="s">
        <v>28</v>
      </c>
      <c r="B1122" s="4" t="s">
        <v>35</v>
      </c>
      <c r="C1122" s="4" t="s">
        <v>36</v>
      </c>
      <c r="D1122" s="4" t="s">
        <v>42</v>
      </c>
      <c r="E1122" s="4" t="s">
        <v>25</v>
      </c>
      <c r="F1122" s="4" t="s">
        <v>25</v>
      </c>
      <c r="G1122" s="4" t="s">
        <v>25</v>
      </c>
      <c r="H1122" s="4" t="s">
        <v>37</v>
      </c>
      <c r="I1122" s="5">
        <v>44348</v>
      </c>
      <c r="J1122" s="6">
        <v>0</v>
      </c>
      <c r="K1122" s="6">
        <v>0</v>
      </c>
      <c r="L1122" s="6">
        <v>120.002</v>
      </c>
      <c r="M1122" s="6">
        <v>120.002</v>
      </c>
      <c r="N1122" s="6">
        <v>120.002</v>
      </c>
      <c r="O1122" s="6">
        <v>120.002</v>
      </c>
      <c r="P1122" s="6">
        <v>0</v>
      </c>
      <c r="Q1122" s="4" t="s">
        <v>26</v>
      </c>
      <c r="R1122" s="4">
        <v>0</v>
      </c>
      <c r="S1122" s="6">
        <v>0</v>
      </c>
      <c r="T1122" s="6">
        <v>24</v>
      </c>
      <c r="U1122" s="6">
        <v>66</v>
      </c>
      <c r="V1122" s="6">
        <f>IF(ISERROR(VLOOKUP($S$1122,'TAR FIN'!$A$1:$O$95,15,0)),0,VLOOKUP($S$1122,'TAR FIN'!$A$1:$O$95,15,0))</f>
        <v>0</v>
      </c>
      <c r="W1122" s="6">
        <f>IF(ISERROR(VLOOKUP($T$1122,'TAR FIN'!$A$1:$O$95,15,0)),0,VLOOKUP($T$1122,'TAR FIN'!$A$1:$O$95,15,0))</f>
        <v>1434.79</v>
      </c>
      <c r="X1122" s="6">
        <f>IF(ISERROR(VLOOKUP($U$1122,'TAR FIN'!$A$1:$O$95,15,0)),0,VLOOKUP($U$1122,'TAR FIN'!$A$1:$O$95,15,0))</f>
        <v>389.28</v>
      </c>
      <c r="Y1122" s="6"/>
      <c r="Z1122" s="6">
        <f ca="1">('TUSD BE'!$AM$16+'TUSD BF'!$AM$16+'TUSD CVA'!$AM$16)*1</f>
        <v>1605.9916314233351</v>
      </c>
      <c r="AA1122" s="6">
        <f>('TE BE'!$AA$7+'TE BF'!$AA$7+'TE CVA'!$AA$7)*1</f>
        <v>454.3285679284046</v>
      </c>
      <c r="AB1122" s="6">
        <f>$K$1122*$V$1122</f>
        <v>0</v>
      </c>
      <c r="AC1122" s="6">
        <f>$M$1122*$W$1122</f>
        <v>172177.66957999999</v>
      </c>
      <c r="AD1122" s="6">
        <f>$O$1122*$X$1122</f>
        <v>46714.378559999997</v>
      </c>
      <c r="AE1122" s="6">
        <f>$K$1122*$Y$1122</f>
        <v>0</v>
      </c>
      <c r="AF1122" s="6">
        <f ca="1">$M$1122*$Z$1122</f>
        <v>192722.20775406304</v>
      </c>
      <c r="AG1122" s="6">
        <f>$O$1122*$AA$1122</f>
        <v>54520.336808544409</v>
      </c>
    </row>
    <row r="1123" spans="1:33" ht="11.25" customHeight="1" x14ac:dyDescent="0.25">
      <c r="A1123" s="4" t="s">
        <v>30</v>
      </c>
      <c r="B1123" s="4" t="s">
        <v>35</v>
      </c>
      <c r="C1123" s="4" t="s">
        <v>36</v>
      </c>
      <c r="D1123" s="4" t="s">
        <v>42</v>
      </c>
      <c r="E1123" s="4" t="s">
        <v>25</v>
      </c>
      <c r="F1123" s="4" t="s">
        <v>25</v>
      </c>
      <c r="G1123" s="4" t="s">
        <v>25</v>
      </c>
      <c r="H1123" s="4" t="s">
        <v>37</v>
      </c>
      <c r="I1123" s="5">
        <v>44348</v>
      </c>
      <c r="J1123" s="6">
        <v>0</v>
      </c>
      <c r="K1123" s="6">
        <v>0</v>
      </c>
      <c r="L1123" s="6">
        <v>45.491</v>
      </c>
      <c r="M1123" s="6">
        <v>45.491</v>
      </c>
      <c r="N1123" s="6">
        <v>45.491</v>
      </c>
      <c r="O1123" s="6">
        <v>45.491</v>
      </c>
      <c r="P1123" s="6">
        <v>0</v>
      </c>
      <c r="Q1123" s="4" t="s">
        <v>26</v>
      </c>
      <c r="R1123" s="4">
        <v>0</v>
      </c>
      <c r="S1123" s="6">
        <v>0</v>
      </c>
      <c r="T1123" s="6">
        <v>24</v>
      </c>
      <c r="U1123" s="6">
        <v>66</v>
      </c>
      <c r="V1123" s="6">
        <f>IF(ISERROR(VLOOKUP($S$1123,'TAR FIN'!$A$1:$O$95,15,0)),0,VLOOKUP($S$1123,'TAR FIN'!$A$1:$O$95,15,0))</f>
        <v>0</v>
      </c>
      <c r="W1123" s="6">
        <f>IF(ISERROR(VLOOKUP($T$1123,'TAR FIN'!$A$1:$O$95,15,0)),0,VLOOKUP($T$1123,'TAR FIN'!$A$1:$O$95,15,0))</f>
        <v>1434.79</v>
      </c>
      <c r="X1123" s="6">
        <f>IF(ISERROR(VLOOKUP($U$1123,'TAR FIN'!$A$1:$O$95,15,0)),0,VLOOKUP($U$1123,'TAR FIN'!$A$1:$O$95,15,0))</f>
        <v>389.28</v>
      </c>
      <c r="Y1123" s="6"/>
      <c r="Z1123" s="6">
        <f ca="1">('TUSD BE'!$AM$16+'TUSD BF'!$AM$16+'TUSD CVA'!$AM$16)*1</f>
        <v>1605.9916314233351</v>
      </c>
      <c r="AA1123" s="6">
        <f>('TE BE'!$AA$7+'TE BF'!$AA$7+'TE CVA'!$AA$7)*1</f>
        <v>454.3285679284046</v>
      </c>
      <c r="AB1123" s="6">
        <f>$K$1123*$V$1123</f>
        <v>0</v>
      </c>
      <c r="AC1123" s="6">
        <f>$M$1123*$W$1123</f>
        <v>65270.031889999998</v>
      </c>
      <c r="AD1123" s="6">
        <f>$O$1123*$X$1123</f>
        <v>17708.73648</v>
      </c>
      <c r="AE1123" s="6">
        <f>$K$1123*$Y$1123</f>
        <v>0</v>
      </c>
      <c r="AF1123" s="6">
        <f ca="1">$M$1123*$Z$1123</f>
        <v>73058.165305078932</v>
      </c>
      <c r="AG1123" s="6">
        <f>$O$1123*$AA$1123</f>
        <v>20667.860883631052</v>
      </c>
    </row>
    <row r="1124" spans="1:33" ht="11.25" customHeight="1" x14ac:dyDescent="0.25">
      <c r="A1124" s="4" t="s">
        <v>21</v>
      </c>
      <c r="B1124" s="4" t="s">
        <v>35</v>
      </c>
      <c r="C1124" s="4" t="s">
        <v>36</v>
      </c>
      <c r="D1124" s="4" t="s">
        <v>42</v>
      </c>
      <c r="E1124" s="4" t="s">
        <v>25</v>
      </c>
      <c r="F1124" s="4" t="s">
        <v>25</v>
      </c>
      <c r="G1124" s="4" t="s">
        <v>25</v>
      </c>
      <c r="H1124" s="4" t="s">
        <v>37</v>
      </c>
      <c r="I1124" s="5">
        <v>44378</v>
      </c>
      <c r="J1124" s="6">
        <v>0</v>
      </c>
      <c r="K1124" s="6">
        <v>0</v>
      </c>
      <c r="L1124" s="6">
        <v>1693.818</v>
      </c>
      <c r="M1124" s="6">
        <v>1693.818</v>
      </c>
      <c r="N1124" s="6">
        <v>1693.818</v>
      </c>
      <c r="O1124" s="6">
        <v>1693.818</v>
      </c>
      <c r="P1124" s="6">
        <v>0</v>
      </c>
      <c r="Q1124" s="4" t="s">
        <v>26</v>
      </c>
      <c r="R1124" s="4">
        <v>0</v>
      </c>
      <c r="S1124" s="6">
        <v>0</v>
      </c>
      <c r="T1124" s="6">
        <v>24</v>
      </c>
      <c r="U1124" s="6">
        <v>66</v>
      </c>
      <c r="V1124" s="6">
        <f>IF(ISERROR(VLOOKUP($S$1124,'TAR FIN'!$A$1:$O$95,15,0)),0,VLOOKUP($S$1124,'TAR FIN'!$A$1:$O$95,15,0))</f>
        <v>0</v>
      </c>
      <c r="W1124" s="6">
        <f>IF(ISERROR(VLOOKUP($T$1124,'TAR FIN'!$A$1:$O$95,15,0)),0,VLOOKUP($T$1124,'TAR FIN'!$A$1:$O$95,15,0))</f>
        <v>1434.79</v>
      </c>
      <c r="X1124" s="6">
        <f>IF(ISERROR(VLOOKUP($U$1124,'TAR FIN'!$A$1:$O$95,15,0)),0,VLOOKUP($U$1124,'TAR FIN'!$A$1:$O$95,15,0))</f>
        <v>389.28</v>
      </c>
      <c r="Y1124" s="6"/>
      <c r="Z1124" s="6">
        <f ca="1">('TUSD BE'!$AM$16+'TUSD BF'!$AM$16+'TUSD CVA'!$AM$16)*1</f>
        <v>1605.9916314233351</v>
      </c>
      <c r="AA1124" s="6">
        <f>('TE BE'!$AA$7+'TE BF'!$AA$7+'TE CVA'!$AA$7)*1</f>
        <v>454.3285679284046</v>
      </c>
      <c r="AB1124" s="6">
        <f>$K$1124*$V$1124</f>
        <v>0</v>
      </c>
      <c r="AC1124" s="6">
        <f>$M$1124*$W$1124</f>
        <v>2430273.1282199998</v>
      </c>
      <c r="AD1124" s="6">
        <f>$O$1124*$X$1124</f>
        <v>659369.47103999997</v>
      </c>
      <c r="AE1124" s="6">
        <f>$K$1124*$Y$1124</f>
        <v>0</v>
      </c>
      <c r="AF1124" s="6">
        <f ca="1">$M$1124*$Z$1124</f>
        <v>2720257.5331542105</v>
      </c>
      <c r="AG1124" s="6">
        <f>$O$1124*$AA$1124</f>
        <v>769549.90627135441</v>
      </c>
    </row>
    <row r="1125" spans="1:33" ht="11.25" customHeight="1" x14ac:dyDescent="0.25">
      <c r="A1125" s="4" t="s">
        <v>28</v>
      </c>
      <c r="B1125" s="4" t="s">
        <v>35</v>
      </c>
      <c r="C1125" s="4" t="s">
        <v>36</v>
      </c>
      <c r="D1125" s="4" t="s">
        <v>42</v>
      </c>
      <c r="E1125" s="4" t="s">
        <v>25</v>
      </c>
      <c r="F1125" s="4" t="s">
        <v>25</v>
      </c>
      <c r="G1125" s="4" t="s">
        <v>25</v>
      </c>
      <c r="H1125" s="4" t="s">
        <v>37</v>
      </c>
      <c r="I1125" s="5">
        <v>44378</v>
      </c>
      <c r="J1125" s="6">
        <v>0</v>
      </c>
      <c r="K1125" s="6">
        <v>0</v>
      </c>
      <c r="L1125" s="6">
        <v>113.124</v>
      </c>
      <c r="M1125" s="6">
        <v>113.124</v>
      </c>
      <c r="N1125" s="6">
        <v>113.124</v>
      </c>
      <c r="O1125" s="6">
        <v>113.124</v>
      </c>
      <c r="P1125" s="6">
        <v>0</v>
      </c>
      <c r="Q1125" s="4" t="s">
        <v>26</v>
      </c>
      <c r="R1125" s="4">
        <v>0</v>
      </c>
      <c r="S1125" s="6">
        <v>0</v>
      </c>
      <c r="T1125" s="6">
        <v>24</v>
      </c>
      <c r="U1125" s="6">
        <v>66</v>
      </c>
      <c r="V1125" s="6">
        <f>IF(ISERROR(VLOOKUP($S$1125,'TAR FIN'!$A$1:$O$95,15,0)),0,VLOOKUP($S$1125,'TAR FIN'!$A$1:$O$95,15,0))</f>
        <v>0</v>
      </c>
      <c r="W1125" s="6">
        <f>IF(ISERROR(VLOOKUP($T$1125,'TAR FIN'!$A$1:$O$95,15,0)),0,VLOOKUP($T$1125,'TAR FIN'!$A$1:$O$95,15,0))</f>
        <v>1434.79</v>
      </c>
      <c r="X1125" s="6">
        <f>IF(ISERROR(VLOOKUP($U$1125,'TAR FIN'!$A$1:$O$95,15,0)),0,VLOOKUP($U$1125,'TAR FIN'!$A$1:$O$95,15,0))</f>
        <v>389.28</v>
      </c>
      <c r="Y1125" s="6"/>
      <c r="Z1125" s="6">
        <f ca="1">('TUSD BE'!$AM$16+'TUSD BF'!$AM$16+'TUSD CVA'!$AM$16)*1</f>
        <v>1605.9916314233351</v>
      </c>
      <c r="AA1125" s="6">
        <f>('TE BE'!$AA$7+'TE BF'!$AA$7+'TE CVA'!$AA$7)*1</f>
        <v>454.3285679284046</v>
      </c>
      <c r="AB1125" s="6">
        <f>$K$1125*$V$1125</f>
        <v>0</v>
      </c>
      <c r="AC1125" s="6">
        <f>$M$1125*$W$1125</f>
        <v>162309.18395999999</v>
      </c>
      <c r="AD1125" s="6">
        <f>$O$1125*$X$1125</f>
        <v>44036.910719999993</v>
      </c>
      <c r="AE1125" s="6">
        <f>$K$1125*$Y$1125</f>
        <v>0</v>
      </c>
      <c r="AF1125" s="6">
        <f ca="1">$M$1125*$Z$1125</f>
        <v>181676.19731313337</v>
      </c>
      <c r="AG1125" s="6">
        <f>$O$1125*$AA$1125</f>
        <v>51395.464918332837</v>
      </c>
    </row>
    <row r="1126" spans="1:33" ht="11.25" customHeight="1" x14ac:dyDescent="0.25">
      <c r="A1126" s="4" t="s">
        <v>30</v>
      </c>
      <c r="B1126" s="4" t="s">
        <v>35</v>
      </c>
      <c r="C1126" s="4" t="s">
        <v>36</v>
      </c>
      <c r="D1126" s="4" t="s">
        <v>42</v>
      </c>
      <c r="E1126" s="4" t="s">
        <v>25</v>
      </c>
      <c r="F1126" s="4" t="s">
        <v>25</v>
      </c>
      <c r="G1126" s="4" t="s">
        <v>25</v>
      </c>
      <c r="H1126" s="4" t="s">
        <v>37</v>
      </c>
      <c r="I1126" s="5">
        <v>44378</v>
      </c>
      <c r="J1126" s="6">
        <v>0</v>
      </c>
      <c r="K1126" s="6">
        <v>0</v>
      </c>
      <c r="L1126" s="6">
        <v>46.540999999999997</v>
      </c>
      <c r="M1126" s="6">
        <v>46.540999999999997</v>
      </c>
      <c r="N1126" s="6">
        <v>46.540999999999997</v>
      </c>
      <c r="O1126" s="6">
        <v>46.540999999999997</v>
      </c>
      <c r="P1126" s="6">
        <v>0</v>
      </c>
      <c r="Q1126" s="4" t="s">
        <v>26</v>
      </c>
      <c r="R1126" s="4">
        <v>0</v>
      </c>
      <c r="S1126" s="6">
        <v>0</v>
      </c>
      <c r="T1126" s="6">
        <v>24</v>
      </c>
      <c r="U1126" s="6">
        <v>66</v>
      </c>
      <c r="V1126" s="6">
        <f>IF(ISERROR(VLOOKUP($S$1126,'TAR FIN'!$A$1:$O$95,15,0)),0,VLOOKUP($S$1126,'TAR FIN'!$A$1:$O$95,15,0))</f>
        <v>0</v>
      </c>
      <c r="W1126" s="6">
        <f>IF(ISERROR(VLOOKUP($T$1126,'TAR FIN'!$A$1:$O$95,15,0)),0,VLOOKUP($T$1126,'TAR FIN'!$A$1:$O$95,15,0))</f>
        <v>1434.79</v>
      </c>
      <c r="X1126" s="6">
        <f>IF(ISERROR(VLOOKUP($U$1126,'TAR FIN'!$A$1:$O$95,15,0)),0,VLOOKUP($U$1126,'TAR FIN'!$A$1:$O$95,15,0))</f>
        <v>389.28</v>
      </c>
      <c r="Y1126" s="6"/>
      <c r="Z1126" s="6">
        <f ca="1">('TUSD BE'!$AM$16+'TUSD BF'!$AM$16+'TUSD CVA'!$AM$16)*1</f>
        <v>1605.9916314233351</v>
      </c>
      <c r="AA1126" s="6">
        <f>('TE BE'!$AA$7+'TE BF'!$AA$7+'TE CVA'!$AA$7)*1</f>
        <v>454.3285679284046</v>
      </c>
      <c r="AB1126" s="6">
        <f>$K$1126*$V$1126</f>
        <v>0</v>
      </c>
      <c r="AC1126" s="6">
        <f>$M$1126*$W$1126</f>
        <v>66776.561389999988</v>
      </c>
      <c r="AD1126" s="6">
        <f>$O$1126*$X$1126</f>
        <v>18117.480479999998</v>
      </c>
      <c r="AE1126" s="6">
        <f>$K$1126*$Y$1126</f>
        <v>0</v>
      </c>
      <c r="AF1126" s="6">
        <f ca="1">$M$1126*$Z$1126</f>
        <v>74744.456518073435</v>
      </c>
      <c r="AG1126" s="6">
        <f>$O$1126*$AA$1126</f>
        <v>21144.905879955877</v>
      </c>
    </row>
    <row r="1127" spans="1:33" ht="11.25" customHeight="1" x14ac:dyDescent="0.25">
      <c r="A1127" s="4" t="s">
        <v>21</v>
      </c>
      <c r="B1127" s="4" t="s">
        <v>35</v>
      </c>
      <c r="C1127" s="4" t="s">
        <v>36</v>
      </c>
      <c r="D1127" s="4" t="s">
        <v>42</v>
      </c>
      <c r="E1127" s="4" t="s">
        <v>25</v>
      </c>
      <c r="F1127" s="4" t="s">
        <v>25</v>
      </c>
      <c r="G1127" s="4" t="s">
        <v>25</v>
      </c>
      <c r="H1127" s="4" t="s">
        <v>37</v>
      </c>
      <c r="I1127" s="5">
        <v>44378</v>
      </c>
      <c r="J1127" s="6">
        <v>0</v>
      </c>
      <c r="K1127" s="6">
        <v>0</v>
      </c>
      <c r="L1127" s="6">
        <v>55.079000000000001</v>
      </c>
      <c r="M1127" s="6">
        <v>55.079000000000001</v>
      </c>
      <c r="N1127" s="6">
        <v>0</v>
      </c>
      <c r="O1127" s="6">
        <v>0</v>
      </c>
      <c r="P1127" s="6">
        <v>0</v>
      </c>
      <c r="Q1127" s="4" t="s">
        <v>60</v>
      </c>
      <c r="R1127" s="4">
        <v>0</v>
      </c>
      <c r="S1127" s="6">
        <v>0</v>
      </c>
      <c r="T1127" s="6">
        <v>24</v>
      </c>
      <c r="U1127" s="6">
        <v>0</v>
      </c>
      <c r="V1127" s="6">
        <f>IF(ISERROR(VLOOKUP($S$1127,'TAR FIN'!$A$1:$O$95,15,0)),0,VLOOKUP($S$1127,'TAR FIN'!$A$1:$O$95,15,0))</f>
        <v>0</v>
      </c>
      <c r="W1127" s="6">
        <f>IF(ISERROR(VLOOKUP($T$1127,'TAR FIN'!$A$1:$O$95,15,0)),0,VLOOKUP($T$1127,'TAR FIN'!$A$1:$O$95,15,0))</f>
        <v>1434.79</v>
      </c>
      <c r="X1127" s="6">
        <f>IF(ISERROR(VLOOKUP($U$1127,'TAR FIN'!$A$1:$O$95,15,0)),0,VLOOKUP($U$1127,'TAR FIN'!$A$1:$O$95,15,0))</f>
        <v>0</v>
      </c>
      <c r="Y1127" s="6"/>
      <c r="Z1127" s="6">
        <f ca="1">('TUSD BE'!$AM$16+'TUSD BF'!$AM$16+'TUSD CVA'!$AM$16)*1</f>
        <v>1605.9916314233351</v>
      </c>
      <c r="AA1127" s="6"/>
      <c r="AB1127" s="6">
        <f>$K$1127*$V$1127</f>
        <v>0</v>
      </c>
      <c r="AC1127" s="6">
        <f>$M$1127*$W$1127</f>
        <v>79026.798410000003</v>
      </c>
      <c r="AD1127" s="6">
        <f>$O$1127*$X$1127</f>
        <v>0</v>
      </c>
      <c r="AE1127" s="6">
        <f>$K$1127*$Y$1127</f>
        <v>0</v>
      </c>
      <c r="AF1127" s="6">
        <f ca="1">$M$1127*$Z$1127</f>
        <v>88456.413067165879</v>
      </c>
      <c r="AG1127" s="6">
        <f>$O$1127*$AA$1127</f>
        <v>0</v>
      </c>
    </row>
    <row r="1128" spans="1:33" ht="11.25" customHeight="1" x14ac:dyDescent="0.25">
      <c r="A1128" s="4" t="s">
        <v>21</v>
      </c>
      <c r="B1128" s="4" t="s">
        <v>35</v>
      </c>
      <c r="C1128" s="4" t="s">
        <v>36</v>
      </c>
      <c r="D1128" s="4" t="s">
        <v>42</v>
      </c>
      <c r="E1128" s="4" t="s">
        <v>25</v>
      </c>
      <c r="F1128" s="4" t="s">
        <v>25</v>
      </c>
      <c r="G1128" s="4" t="s">
        <v>25</v>
      </c>
      <c r="H1128" s="4" t="s">
        <v>37</v>
      </c>
      <c r="I1128" s="5">
        <v>44409</v>
      </c>
      <c r="J1128" s="6">
        <v>0</v>
      </c>
      <c r="K1128" s="6">
        <v>0</v>
      </c>
      <c r="L1128" s="6">
        <v>1822.175</v>
      </c>
      <c r="M1128" s="6">
        <v>1822.175</v>
      </c>
      <c r="N1128" s="6">
        <v>1822.175</v>
      </c>
      <c r="O1128" s="6">
        <v>1822.175</v>
      </c>
      <c r="P1128" s="6">
        <v>0</v>
      </c>
      <c r="Q1128" s="4" t="s">
        <v>26</v>
      </c>
      <c r="R1128" s="4">
        <v>0</v>
      </c>
      <c r="S1128" s="6">
        <v>0</v>
      </c>
      <c r="T1128" s="6">
        <v>24</v>
      </c>
      <c r="U1128" s="6">
        <v>66</v>
      </c>
      <c r="V1128" s="6">
        <f>IF(ISERROR(VLOOKUP($S$1128,'TAR FIN'!$A$1:$O$95,15,0)),0,VLOOKUP($S$1128,'TAR FIN'!$A$1:$O$95,15,0))</f>
        <v>0</v>
      </c>
      <c r="W1128" s="6">
        <f>IF(ISERROR(VLOOKUP($T$1128,'TAR FIN'!$A$1:$O$95,15,0)),0,VLOOKUP($T$1128,'TAR FIN'!$A$1:$O$95,15,0))</f>
        <v>1434.79</v>
      </c>
      <c r="X1128" s="6">
        <f>IF(ISERROR(VLOOKUP($U$1128,'TAR FIN'!$A$1:$O$95,15,0)),0,VLOOKUP($U$1128,'TAR FIN'!$A$1:$O$95,15,0))</f>
        <v>389.28</v>
      </c>
      <c r="Y1128" s="6"/>
      <c r="Z1128" s="6">
        <f ca="1">('TUSD BE'!$AM$16+'TUSD BF'!$AM$16+'TUSD CVA'!$AM$16)*1</f>
        <v>1605.9916314233351</v>
      </c>
      <c r="AA1128" s="6">
        <f>('TE BE'!$AA$7+'TE BF'!$AA$7+'TE CVA'!$AA$7)*1</f>
        <v>454.3285679284046</v>
      </c>
      <c r="AB1128" s="6">
        <f>$K$1128*$V$1128</f>
        <v>0</v>
      </c>
      <c r="AC1128" s="6">
        <f>$M$1128*$W$1128</f>
        <v>2614438.4682499999</v>
      </c>
      <c r="AD1128" s="6">
        <f>$O$1128*$X$1128</f>
        <v>709336.28399999999</v>
      </c>
      <c r="AE1128" s="6">
        <f>$K$1128*$Y$1128</f>
        <v>0</v>
      </c>
      <c r="AF1128" s="6">
        <f ca="1">$M$1128*$Z$1128</f>
        <v>2926397.8009888157</v>
      </c>
      <c r="AG1128" s="6">
        <f>$O$1128*$AA$1128</f>
        <v>827866.1582649406</v>
      </c>
    </row>
    <row r="1129" spans="1:33" ht="11.25" customHeight="1" x14ac:dyDescent="0.25">
      <c r="A1129" s="4" t="s">
        <v>27</v>
      </c>
      <c r="B1129" s="4" t="s">
        <v>35</v>
      </c>
      <c r="C1129" s="4" t="s">
        <v>36</v>
      </c>
      <c r="D1129" s="4" t="s">
        <v>42</v>
      </c>
      <c r="E1129" s="4" t="s">
        <v>25</v>
      </c>
      <c r="F1129" s="4" t="s">
        <v>25</v>
      </c>
      <c r="G1129" s="4" t="s">
        <v>25</v>
      </c>
      <c r="H1129" s="4" t="s">
        <v>37</v>
      </c>
      <c r="I1129" s="5">
        <v>44409</v>
      </c>
      <c r="J1129" s="6">
        <v>0</v>
      </c>
      <c r="K1129" s="6">
        <v>0</v>
      </c>
      <c r="L1129" s="6">
        <v>-0.23400000000000001</v>
      </c>
      <c r="M1129" s="6">
        <v>-0.23400000000000001</v>
      </c>
      <c r="N1129" s="6">
        <v>-0.23400000000000001</v>
      </c>
      <c r="O1129" s="6">
        <v>-0.23400000000000001</v>
      </c>
      <c r="P1129" s="6">
        <v>0</v>
      </c>
      <c r="Q1129" s="4" t="s">
        <v>26</v>
      </c>
      <c r="R1129" s="4">
        <v>0</v>
      </c>
      <c r="S1129" s="6">
        <v>0</v>
      </c>
      <c r="T1129" s="6">
        <v>24</v>
      </c>
      <c r="U1129" s="6">
        <v>66</v>
      </c>
      <c r="V1129" s="6">
        <f>IF(ISERROR(VLOOKUP($S$1129,'TAR FIN'!$A$1:$O$95,15,0)),0,VLOOKUP($S$1129,'TAR FIN'!$A$1:$O$95,15,0))</f>
        <v>0</v>
      </c>
      <c r="W1129" s="6">
        <f>IF(ISERROR(VLOOKUP($T$1129,'TAR FIN'!$A$1:$O$95,15,0)),0,VLOOKUP($T$1129,'TAR FIN'!$A$1:$O$95,15,0))</f>
        <v>1434.79</v>
      </c>
      <c r="X1129" s="6">
        <f>IF(ISERROR(VLOOKUP($U$1129,'TAR FIN'!$A$1:$O$95,15,0)),0,VLOOKUP($U$1129,'TAR FIN'!$A$1:$O$95,15,0))</f>
        <v>389.28</v>
      </c>
      <c r="Y1129" s="6"/>
      <c r="Z1129" s="6">
        <f ca="1">('TUSD BE'!$AM$16+'TUSD BF'!$AM$16+'TUSD CVA'!$AM$16)*1</f>
        <v>1605.9916314233351</v>
      </c>
      <c r="AA1129" s="6">
        <f>('TE BE'!$AA$7+'TE BF'!$AA$7+'TE CVA'!$AA$7)*1</f>
        <v>454.3285679284046</v>
      </c>
      <c r="AB1129" s="6">
        <f>$K$1129*$V$1129</f>
        <v>0</v>
      </c>
      <c r="AC1129" s="6">
        <f>$M$1129*$W$1129</f>
        <v>-335.74086</v>
      </c>
      <c r="AD1129" s="6">
        <f>$O$1129*$X$1129</f>
        <v>-91.091520000000003</v>
      </c>
      <c r="AE1129" s="6">
        <f>$K$1129*$Y$1129</f>
        <v>0</v>
      </c>
      <c r="AF1129" s="6">
        <f ca="1">$M$1129*$Z$1129</f>
        <v>-375.80204175306045</v>
      </c>
      <c r="AG1129" s="6">
        <f>$O$1129*$AA$1129</f>
        <v>-106.31288489524668</v>
      </c>
    </row>
    <row r="1130" spans="1:33" ht="11.25" customHeight="1" x14ac:dyDescent="0.25">
      <c r="A1130" s="4" t="s">
        <v>28</v>
      </c>
      <c r="B1130" s="4" t="s">
        <v>35</v>
      </c>
      <c r="C1130" s="4" t="s">
        <v>36</v>
      </c>
      <c r="D1130" s="4" t="s">
        <v>42</v>
      </c>
      <c r="E1130" s="4" t="s">
        <v>25</v>
      </c>
      <c r="F1130" s="4" t="s">
        <v>25</v>
      </c>
      <c r="G1130" s="4" t="s">
        <v>25</v>
      </c>
      <c r="H1130" s="4" t="s">
        <v>37</v>
      </c>
      <c r="I1130" s="5">
        <v>44409</v>
      </c>
      <c r="J1130" s="6">
        <v>0</v>
      </c>
      <c r="K1130" s="6">
        <v>0</v>
      </c>
      <c r="L1130" s="6">
        <v>125.10899999999999</v>
      </c>
      <c r="M1130" s="6">
        <v>125.10899999999999</v>
      </c>
      <c r="N1130" s="6">
        <v>125.10899999999999</v>
      </c>
      <c r="O1130" s="6">
        <v>125.10899999999999</v>
      </c>
      <c r="P1130" s="6">
        <v>0</v>
      </c>
      <c r="Q1130" s="4" t="s">
        <v>26</v>
      </c>
      <c r="R1130" s="4">
        <v>0</v>
      </c>
      <c r="S1130" s="6">
        <v>0</v>
      </c>
      <c r="T1130" s="6">
        <v>24</v>
      </c>
      <c r="U1130" s="6">
        <v>66</v>
      </c>
      <c r="V1130" s="6">
        <f>IF(ISERROR(VLOOKUP($S$1130,'TAR FIN'!$A$1:$O$95,15,0)),0,VLOOKUP($S$1130,'TAR FIN'!$A$1:$O$95,15,0))</f>
        <v>0</v>
      </c>
      <c r="W1130" s="6">
        <f>IF(ISERROR(VLOOKUP($T$1130,'TAR FIN'!$A$1:$O$95,15,0)),0,VLOOKUP($T$1130,'TAR FIN'!$A$1:$O$95,15,0))</f>
        <v>1434.79</v>
      </c>
      <c r="X1130" s="6">
        <f>IF(ISERROR(VLOOKUP($U$1130,'TAR FIN'!$A$1:$O$95,15,0)),0,VLOOKUP($U$1130,'TAR FIN'!$A$1:$O$95,15,0))</f>
        <v>389.28</v>
      </c>
      <c r="Y1130" s="6"/>
      <c r="Z1130" s="6">
        <f ca="1">('TUSD BE'!$AM$16+'TUSD BF'!$AM$16+'TUSD CVA'!$AM$16)*1</f>
        <v>1605.9916314233351</v>
      </c>
      <c r="AA1130" s="6">
        <f>('TE BE'!$AA$7+'TE BF'!$AA$7+'TE CVA'!$AA$7)*1</f>
        <v>454.3285679284046</v>
      </c>
      <c r="AB1130" s="6">
        <f>$K$1130*$V$1130</f>
        <v>0</v>
      </c>
      <c r="AC1130" s="6">
        <f>$M$1130*$W$1130</f>
        <v>179505.14210999999</v>
      </c>
      <c r="AD1130" s="6">
        <f>$O$1130*$X$1130</f>
        <v>48702.431519999991</v>
      </c>
      <c r="AE1130" s="6">
        <f>$K$1130*$Y$1130</f>
        <v>0</v>
      </c>
      <c r="AF1130" s="6">
        <f ca="1">$M$1130*$Z$1130</f>
        <v>200924.00701574201</v>
      </c>
      <c r="AG1130" s="6">
        <f>$O$1130*$AA$1130</f>
        <v>56840.592804954766</v>
      </c>
    </row>
    <row r="1131" spans="1:33" ht="11.25" customHeight="1" x14ac:dyDescent="0.25">
      <c r="A1131" s="4" t="s">
        <v>30</v>
      </c>
      <c r="B1131" s="4" t="s">
        <v>35</v>
      </c>
      <c r="C1131" s="4" t="s">
        <v>36</v>
      </c>
      <c r="D1131" s="4" t="s">
        <v>42</v>
      </c>
      <c r="E1131" s="4" t="s">
        <v>25</v>
      </c>
      <c r="F1131" s="4" t="s">
        <v>25</v>
      </c>
      <c r="G1131" s="4" t="s">
        <v>25</v>
      </c>
      <c r="H1131" s="4" t="s">
        <v>37</v>
      </c>
      <c r="I1131" s="5">
        <v>44409</v>
      </c>
      <c r="J1131" s="6">
        <v>0</v>
      </c>
      <c r="K1131" s="6">
        <v>0</v>
      </c>
      <c r="L1131" s="6">
        <v>48.753</v>
      </c>
      <c r="M1131" s="6">
        <v>48.753</v>
      </c>
      <c r="N1131" s="6">
        <v>48.753</v>
      </c>
      <c r="O1131" s="6">
        <v>48.753</v>
      </c>
      <c r="P1131" s="6">
        <v>0</v>
      </c>
      <c r="Q1131" s="4" t="s">
        <v>26</v>
      </c>
      <c r="R1131" s="4">
        <v>0</v>
      </c>
      <c r="S1131" s="6">
        <v>0</v>
      </c>
      <c r="T1131" s="6">
        <v>24</v>
      </c>
      <c r="U1131" s="6">
        <v>66</v>
      </c>
      <c r="V1131" s="6">
        <f>IF(ISERROR(VLOOKUP($S$1131,'TAR FIN'!$A$1:$O$95,15,0)),0,VLOOKUP($S$1131,'TAR FIN'!$A$1:$O$95,15,0))</f>
        <v>0</v>
      </c>
      <c r="W1131" s="6">
        <f>IF(ISERROR(VLOOKUP($T$1131,'TAR FIN'!$A$1:$O$95,15,0)),0,VLOOKUP($T$1131,'TAR FIN'!$A$1:$O$95,15,0))</f>
        <v>1434.79</v>
      </c>
      <c r="X1131" s="6">
        <f>IF(ISERROR(VLOOKUP($U$1131,'TAR FIN'!$A$1:$O$95,15,0)),0,VLOOKUP($U$1131,'TAR FIN'!$A$1:$O$95,15,0))</f>
        <v>389.28</v>
      </c>
      <c r="Y1131" s="6"/>
      <c r="Z1131" s="6">
        <f ca="1">('TUSD BE'!$AM$16+'TUSD BF'!$AM$16+'TUSD CVA'!$AM$16)*1</f>
        <v>1605.9916314233351</v>
      </c>
      <c r="AA1131" s="6">
        <f>('TE BE'!$AA$7+'TE BF'!$AA$7+'TE CVA'!$AA$7)*1</f>
        <v>454.3285679284046</v>
      </c>
      <c r="AB1131" s="6">
        <f>$K$1131*$V$1131</f>
        <v>0</v>
      </c>
      <c r="AC1131" s="6">
        <f>$M$1131*$W$1131</f>
        <v>69950.316869999995</v>
      </c>
      <c r="AD1131" s="6">
        <f>$O$1131*$X$1131</f>
        <v>18978.56784</v>
      </c>
      <c r="AE1131" s="6">
        <f>$K$1131*$Y$1131</f>
        <v>0</v>
      </c>
      <c r="AF1131" s="6">
        <f ca="1">$M$1131*$Z$1131</f>
        <v>78296.910006781851</v>
      </c>
      <c r="AG1131" s="6">
        <f>$O$1131*$AA$1131</f>
        <v>22149.880672213509</v>
      </c>
    </row>
    <row r="1132" spans="1:33" ht="11.25" customHeight="1" x14ac:dyDescent="0.25">
      <c r="A1132" s="4" t="s">
        <v>21</v>
      </c>
      <c r="B1132" s="4" t="s">
        <v>35</v>
      </c>
      <c r="C1132" s="4" t="s">
        <v>36</v>
      </c>
      <c r="D1132" s="4" t="s">
        <v>42</v>
      </c>
      <c r="E1132" s="4" t="s">
        <v>25</v>
      </c>
      <c r="F1132" s="4" t="s">
        <v>25</v>
      </c>
      <c r="G1132" s="4" t="s">
        <v>25</v>
      </c>
      <c r="H1132" s="4" t="s">
        <v>37</v>
      </c>
      <c r="I1132" s="5">
        <v>44409</v>
      </c>
      <c r="J1132" s="6">
        <v>0</v>
      </c>
      <c r="K1132" s="6">
        <v>0</v>
      </c>
      <c r="L1132" s="6">
        <v>54.908000000000001</v>
      </c>
      <c r="M1132" s="6">
        <v>54.908000000000001</v>
      </c>
      <c r="N1132" s="6">
        <v>0</v>
      </c>
      <c r="O1132" s="6">
        <v>0</v>
      </c>
      <c r="P1132" s="6">
        <v>0</v>
      </c>
      <c r="Q1132" s="4" t="s">
        <v>60</v>
      </c>
      <c r="R1132" s="4">
        <v>0</v>
      </c>
      <c r="S1132" s="6">
        <v>0</v>
      </c>
      <c r="T1132" s="6">
        <v>24</v>
      </c>
      <c r="U1132" s="6">
        <v>0</v>
      </c>
      <c r="V1132" s="6">
        <f>IF(ISERROR(VLOOKUP($S$1132,'TAR FIN'!$A$1:$O$95,15,0)),0,VLOOKUP($S$1132,'TAR FIN'!$A$1:$O$95,15,0))</f>
        <v>0</v>
      </c>
      <c r="W1132" s="6">
        <f>IF(ISERROR(VLOOKUP($T$1132,'TAR FIN'!$A$1:$O$95,15,0)),0,VLOOKUP($T$1132,'TAR FIN'!$A$1:$O$95,15,0))</f>
        <v>1434.79</v>
      </c>
      <c r="X1132" s="6">
        <f>IF(ISERROR(VLOOKUP($U$1132,'TAR FIN'!$A$1:$O$95,15,0)),0,VLOOKUP($U$1132,'TAR FIN'!$A$1:$O$95,15,0))</f>
        <v>0</v>
      </c>
      <c r="Y1132" s="6"/>
      <c r="Z1132" s="6">
        <f ca="1">('TUSD BE'!$AM$16+'TUSD BF'!$AM$16+'TUSD CVA'!$AM$16)*1</f>
        <v>1605.9916314233351</v>
      </c>
      <c r="AA1132" s="6"/>
      <c r="AB1132" s="6">
        <f>$K$1132*$V$1132</f>
        <v>0</v>
      </c>
      <c r="AC1132" s="6">
        <f>$M$1132*$W$1132</f>
        <v>78781.44932</v>
      </c>
      <c r="AD1132" s="6">
        <f>$O$1132*$X$1132</f>
        <v>0</v>
      </c>
      <c r="AE1132" s="6">
        <f>$K$1132*$Y$1132</f>
        <v>0</v>
      </c>
      <c r="AF1132" s="6">
        <f ca="1">$M$1132*$Z$1132</f>
        <v>88181.788498192487</v>
      </c>
      <c r="AG1132" s="6">
        <f>$O$1132*$AA$1132</f>
        <v>0</v>
      </c>
    </row>
    <row r="1133" spans="1:33" ht="11.25" customHeight="1" x14ac:dyDescent="0.25">
      <c r="A1133" s="4" t="s">
        <v>21</v>
      </c>
      <c r="B1133" s="4" t="s">
        <v>35</v>
      </c>
      <c r="C1133" s="4" t="s">
        <v>36</v>
      </c>
      <c r="D1133" s="4" t="s">
        <v>42</v>
      </c>
      <c r="E1133" s="4" t="s">
        <v>25</v>
      </c>
      <c r="F1133" s="4" t="s">
        <v>25</v>
      </c>
      <c r="G1133" s="4" t="s">
        <v>25</v>
      </c>
      <c r="H1133" s="4" t="s">
        <v>37</v>
      </c>
      <c r="I1133" s="5">
        <v>44440</v>
      </c>
      <c r="J1133" s="6">
        <v>0</v>
      </c>
      <c r="K1133" s="6">
        <v>0</v>
      </c>
      <c r="L1133" s="6">
        <v>1583.3430000000001</v>
      </c>
      <c r="M1133" s="6">
        <v>1583.3430000000001</v>
      </c>
      <c r="N1133" s="6">
        <v>1583.3430000000001</v>
      </c>
      <c r="O1133" s="6">
        <v>1583.3430000000001</v>
      </c>
      <c r="P1133" s="6">
        <v>0</v>
      </c>
      <c r="Q1133" s="4" t="s">
        <v>26</v>
      </c>
      <c r="R1133" s="4">
        <v>0</v>
      </c>
      <c r="S1133" s="6">
        <v>0</v>
      </c>
      <c r="T1133" s="6">
        <v>24</v>
      </c>
      <c r="U1133" s="6">
        <v>66</v>
      </c>
      <c r="V1133" s="6">
        <f>IF(ISERROR(VLOOKUP($S$1133,'TAR FIN'!$A$1:$O$95,15,0)),0,VLOOKUP($S$1133,'TAR FIN'!$A$1:$O$95,15,0))</f>
        <v>0</v>
      </c>
      <c r="W1133" s="6">
        <f>IF(ISERROR(VLOOKUP($T$1133,'TAR FIN'!$A$1:$O$95,15,0)),0,VLOOKUP($T$1133,'TAR FIN'!$A$1:$O$95,15,0))</f>
        <v>1434.79</v>
      </c>
      <c r="X1133" s="6">
        <f>IF(ISERROR(VLOOKUP($U$1133,'TAR FIN'!$A$1:$O$95,15,0)),0,VLOOKUP($U$1133,'TAR FIN'!$A$1:$O$95,15,0))</f>
        <v>389.28</v>
      </c>
      <c r="Y1133" s="6"/>
      <c r="Z1133" s="6">
        <f ca="1">('TUSD BE'!$AM$16+'TUSD BF'!$AM$16+'TUSD CVA'!$AM$16)*1</f>
        <v>1605.9916314233351</v>
      </c>
      <c r="AA1133" s="6">
        <f>('TE BE'!$AA$7+'TE BF'!$AA$7+'TE CVA'!$AA$7)*1</f>
        <v>454.3285679284046</v>
      </c>
      <c r="AB1133" s="6">
        <f>$K$1133*$V$1133</f>
        <v>0</v>
      </c>
      <c r="AC1133" s="6">
        <f>$M$1133*$W$1133</f>
        <v>2271764.70297</v>
      </c>
      <c r="AD1133" s="6">
        <f>$O$1133*$X$1133</f>
        <v>616363.76303999999</v>
      </c>
      <c r="AE1133" s="6">
        <f>$K$1133*$Y$1133</f>
        <v>0</v>
      </c>
      <c r="AF1133" s="6">
        <f ca="1">$M$1133*$Z$1133</f>
        <v>2542835.6076727179</v>
      </c>
      <c r="AG1133" s="6">
        <f>$O$1133*$AA$1133</f>
        <v>719357.95772946393</v>
      </c>
    </row>
    <row r="1134" spans="1:33" ht="11.25" customHeight="1" x14ac:dyDescent="0.25">
      <c r="A1134" s="4" t="s">
        <v>27</v>
      </c>
      <c r="B1134" s="4" t="s">
        <v>35</v>
      </c>
      <c r="C1134" s="4" t="s">
        <v>36</v>
      </c>
      <c r="D1134" s="4" t="s">
        <v>42</v>
      </c>
      <c r="E1134" s="4" t="s">
        <v>25</v>
      </c>
      <c r="F1134" s="4" t="s">
        <v>25</v>
      </c>
      <c r="G1134" s="4" t="s">
        <v>25</v>
      </c>
      <c r="H1134" s="4" t="s">
        <v>37</v>
      </c>
      <c r="I1134" s="5">
        <v>44440</v>
      </c>
      <c r="J1134" s="6">
        <v>0</v>
      </c>
      <c r="K1134" s="6">
        <v>0</v>
      </c>
      <c r="L1134" s="6">
        <v>-11.44</v>
      </c>
      <c r="M1134" s="6">
        <v>-11.44</v>
      </c>
      <c r="N1134" s="6">
        <v>-11.44</v>
      </c>
      <c r="O1134" s="6">
        <v>-11.44</v>
      </c>
      <c r="P1134" s="6">
        <v>0</v>
      </c>
      <c r="Q1134" s="4" t="s">
        <v>26</v>
      </c>
      <c r="R1134" s="4">
        <v>0</v>
      </c>
      <c r="S1134" s="6">
        <v>0</v>
      </c>
      <c r="T1134" s="6">
        <v>24</v>
      </c>
      <c r="U1134" s="6">
        <v>66</v>
      </c>
      <c r="V1134" s="6">
        <f>IF(ISERROR(VLOOKUP($S$1134,'TAR FIN'!$A$1:$O$95,15,0)),0,VLOOKUP($S$1134,'TAR FIN'!$A$1:$O$95,15,0))</f>
        <v>0</v>
      </c>
      <c r="W1134" s="6">
        <f>IF(ISERROR(VLOOKUP($T$1134,'TAR FIN'!$A$1:$O$95,15,0)),0,VLOOKUP($T$1134,'TAR FIN'!$A$1:$O$95,15,0))</f>
        <v>1434.79</v>
      </c>
      <c r="X1134" s="6">
        <f>IF(ISERROR(VLOOKUP($U$1134,'TAR FIN'!$A$1:$O$95,15,0)),0,VLOOKUP($U$1134,'TAR FIN'!$A$1:$O$95,15,0))</f>
        <v>389.28</v>
      </c>
      <c r="Y1134" s="6"/>
      <c r="Z1134" s="6">
        <f ca="1">('TUSD BE'!$AM$16+'TUSD BF'!$AM$16+'TUSD CVA'!$AM$16)*1</f>
        <v>1605.9916314233351</v>
      </c>
      <c r="AA1134" s="6">
        <f>('TE BE'!$AA$7+'TE BF'!$AA$7+'TE CVA'!$AA$7)*1</f>
        <v>454.3285679284046</v>
      </c>
      <c r="AB1134" s="6">
        <f>$K$1134*$V$1134</f>
        <v>0</v>
      </c>
      <c r="AC1134" s="6">
        <f>$M$1134*$W$1134</f>
        <v>-16413.997599999999</v>
      </c>
      <c r="AD1134" s="6">
        <f>$O$1134*$X$1134</f>
        <v>-4453.3631999999998</v>
      </c>
      <c r="AE1134" s="6">
        <f>$K$1134*$Y$1134</f>
        <v>0</v>
      </c>
      <c r="AF1134" s="6">
        <f ca="1">$M$1134*$Z$1134</f>
        <v>-18372.544263482952</v>
      </c>
      <c r="AG1134" s="6">
        <f>$O$1134*$AA$1134</f>
        <v>-5197.5188171009486</v>
      </c>
    </row>
    <row r="1135" spans="1:33" ht="11.25" customHeight="1" x14ac:dyDescent="0.25">
      <c r="A1135" s="4" t="s">
        <v>28</v>
      </c>
      <c r="B1135" s="4" t="s">
        <v>35</v>
      </c>
      <c r="C1135" s="4" t="s">
        <v>36</v>
      </c>
      <c r="D1135" s="4" t="s">
        <v>42</v>
      </c>
      <c r="E1135" s="4" t="s">
        <v>25</v>
      </c>
      <c r="F1135" s="4" t="s">
        <v>25</v>
      </c>
      <c r="G1135" s="4" t="s">
        <v>25</v>
      </c>
      <c r="H1135" s="4" t="s">
        <v>37</v>
      </c>
      <c r="I1135" s="5">
        <v>44440</v>
      </c>
      <c r="J1135" s="6">
        <v>0</v>
      </c>
      <c r="K1135" s="6">
        <v>0</v>
      </c>
      <c r="L1135" s="6">
        <v>164.79599999999999</v>
      </c>
      <c r="M1135" s="6">
        <v>164.79599999999999</v>
      </c>
      <c r="N1135" s="6">
        <v>164.79599999999999</v>
      </c>
      <c r="O1135" s="6">
        <v>164.79599999999999</v>
      </c>
      <c r="P1135" s="6">
        <v>0</v>
      </c>
      <c r="Q1135" s="4" t="s">
        <v>26</v>
      </c>
      <c r="R1135" s="4">
        <v>0</v>
      </c>
      <c r="S1135" s="6">
        <v>0</v>
      </c>
      <c r="T1135" s="6">
        <v>24</v>
      </c>
      <c r="U1135" s="6">
        <v>66</v>
      </c>
      <c r="V1135" s="6">
        <f>IF(ISERROR(VLOOKUP($S$1135,'TAR FIN'!$A$1:$O$95,15,0)),0,VLOOKUP($S$1135,'TAR FIN'!$A$1:$O$95,15,0))</f>
        <v>0</v>
      </c>
      <c r="W1135" s="6">
        <f>IF(ISERROR(VLOOKUP($T$1135,'TAR FIN'!$A$1:$O$95,15,0)),0,VLOOKUP($T$1135,'TAR FIN'!$A$1:$O$95,15,0))</f>
        <v>1434.79</v>
      </c>
      <c r="X1135" s="6">
        <f>IF(ISERROR(VLOOKUP($U$1135,'TAR FIN'!$A$1:$O$95,15,0)),0,VLOOKUP($U$1135,'TAR FIN'!$A$1:$O$95,15,0))</f>
        <v>389.28</v>
      </c>
      <c r="Y1135" s="6"/>
      <c r="Z1135" s="6">
        <f ca="1">('TUSD BE'!$AM$16+'TUSD BF'!$AM$16+'TUSD CVA'!$AM$16)*1</f>
        <v>1605.9916314233351</v>
      </c>
      <c r="AA1135" s="6">
        <f>('TE BE'!$AA$7+'TE BF'!$AA$7+'TE CVA'!$AA$7)*1</f>
        <v>454.3285679284046</v>
      </c>
      <c r="AB1135" s="6">
        <f>$K$1135*$V$1135</f>
        <v>0</v>
      </c>
      <c r="AC1135" s="6">
        <f>$M$1135*$W$1135</f>
        <v>236447.65284</v>
      </c>
      <c r="AD1135" s="6">
        <f>$O$1135*$X$1135</f>
        <v>64151.786879999992</v>
      </c>
      <c r="AE1135" s="6">
        <f>$K$1135*$Y$1135</f>
        <v>0</v>
      </c>
      <c r="AF1135" s="6">
        <f ca="1">$M$1135*$Z$1135</f>
        <v>264660.9968920399</v>
      </c>
      <c r="AG1135" s="6">
        <f>$O$1135*$AA$1135</f>
        <v>74871.530680329364</v>
      </c>
    </row>
    <row r="1136" spans="1:33" ht="11.25" customHeight="1" x14ac:dyDescent="0.25">
      <c r="A1136" s="4" t="s">
        <v>29</v>
      </c>
      <c r="B1136" s="4" t="s">
        <v>35</v>
      </c>
      <c r="C1136" s="4" t="s">
        <v>36</v>
      </c>
      <c r="D1136" s="4" t="s">
        <v>42</v>
      </c>
      <c r="E1136" s="4" t="s">
        <v>25</v>
      </c>
      <c r="F1136" s="4" t="s">
        <v>25</v>
      </c>
      <c r="G1136" s="4" t="s">
        <v>25</v>
      </c>
      <c r="H1136" s="4" t="s">
        <v>37</v>
      </c>
      <c r="I1136" s="5">
        <v>44440</v>
      </c>
      <c r="J1136" s="6">
        <v>0</v>
      </c>
      <c r="K1136" s="6">
        <v>0</v>
      </c>
      <c r="L1136" s="6">
        <v>-0.1</v>
      </c>
      <c r="M1136" s="6">
        <v>-0.1</v>
      </c>
      <c r="N1136" s="6">
        <v>-0.1</v>
      </c>
      <c r="O1136" s="6">
        <v>-0.1</v>
      </c>
      <c r="P1136" s="6">
        <v>0</v>
      </c>
      <c r="Q1136" s="4" t="s">
        <v>26</v>
      </c>
      <c r="R1136" s="4">
        <v>0</v>
      </c>
      <c r="S1136" s="6">
        <v>0</v>
      </c>
      <c r="T1136" s="6">
        <v>24</v>
      </c>
      <c r="U1136" s="6">
        <v>66</v>
      </c>
      <c r="V1136" s="6">
        <f>IF(ISERROR(VLOOKUP($S$1136,'TAR FIN'!$A$1:$O$95,15,0)),0,VLOOKUP($S$1136,'TAR FIN'!$A$1:$O$95,15,0))</f>
        <v>0</v>
      </c>
      <c r="W1136" s="6">
        <f>IF(ISERROR(VLOOKUP($T$1136,'TAR FIN'!$A$1:$O$95,15,0)),0,VLOOKUP($T$1136,'TAR FIN'!$A$1:$O$95,15,0))</f>
        <v>1434.79</v>
      </c>
      <c r="X1136" s="6">
        <f>IF(ISERROR(VLOOKUP($U$1136,'TAR FIN'!$A$1:$O$95,15,0)),0,VLOOKUP($U$1136,'TAR FIN'!$A$1:$O$95,15,0))</f>
        <v>389.28</v>
      </c>
      <c r="Y1136" s="6"/>
      <c r="Z1136" s="6">
        <f ca="1">('TUSD BE'!$AM$16+'TUSD BF'!$AM$16+'TUSD CVA'!$AM$16)*1</f>
        <v>1605.9916314233351</v>
      </c>
      <c r="AA1136" s="6">
        <f>('TE BE'!$AA$7+'TE BF'!$AA$7+'TE CVA'!$AA$7)*1</f>
        <v>454.3285679284046</v>
      </c>
      <c r="AB1136" s="6">
        <f>$K$1136*$V$1136</f>
        <v>0</v>
      </c>
      <c r="AC1136" s="6">
        <f>$M$1136*$W$1136</f>
        <v>-143.47900000000001</v>
      </c>
      <c r="AD1136" s="6">
        <f>$O$1136*$X$1136</f>
        <v>-38.927999999999997</v>
      </c>
      <c r="AE1136" s="6">
        <f>$K$1136*$Y$1136</f>
        <v>0</v>
      </c>
      <c r="AF1136" s="6">
        <f ca="1">$M$1136*$Z$1136</f>
        <v>-160.59916314233351</v>
      </c>
      <c r="AG1136" s="6">
        <f>$O$1136*$AA$1136</f>
        <v>-45.432856792840461</v>
      </c>
    </row>
    <row r="1137" spans="1:33" ht="11.25" customHeight="1" x14ac:dyDescent="0.25">
      <c r="A1137" s="4" t="s">
        <v>30</v>
      </c>
      <c r="B1137" s="4" t="s">
        <v>35</v>
      </c>
      <c r="C1137" s="4" t="s">
        <v>36</v>
      </c>
      <c r="D1137" s="4" t="s">
        <v>42</v>
      </c>
      <c r="E1137" s="4" t="s">
        <v>25</v>
      </c>
      <c r="F1137" s="4" t="s">
        <v>25</v>
      </c>
      <c r="G1137" s="4" t="s">
        <v>25</v>
      </c>
      <c r="H1137" s="4" t="s">
        <v>37</v>
      </c>
      <c r="I1137" s="5">
        <v>44440</v>
      </c>
      <c r="J1137" s="6">
        <v>0</v>
      </c>
      <c r="K1137" s="6">
        <v>0</v>
      </c>
      <c r="L1137" s="6">
        <v>47.02</v>
      </c>
      <c r="M1137" s="6">
        <v>47.02</v>
      </c>
      <c r="N1137" s="6">
        <v>47.02</v>
      </c>
      <c r="O1137" s="6">
        <v>47.02</v>
      </c>
      <c r="P1137" s="6">
        <v>0</v>
      </c>
      <c r="Q1137" s="4" t="s">
        <v>26</v>
      </c>
      <c r="R1137" s="4">
        <v>0</v>
      </c>
      <c r="S1137" s="6">
        <v>0</v>
      </c>
      <c r="T1137" s="6">
        <v>24</v>
      </c>
      <c r="U1137" s="6">
        <v>66</v>
      </c>
      <c r="V1137" s="6">
        <f>IF(ISERROR(VLOOKUP($S$1137,'TAR FIN'!$A$1:$O$95,15,0)),0,VLOOKUP($S$1137,'TAR FIN'!$A$1:$O$95,15,0))</f>
        <v>0</v>
      </c>
      <c r="W1137" s="6">
        <f>IF(ISERROR(VLOOKUP($T$1137,'TAR FIN'!$A$1:$O$95,15,0)),0,VLOOKUP($T$1137,'TAR FIN'!$A$1:$O$95,15,0))</f>
        <v>1434.79</v>
      </c>
      <c r="X1137" s="6">
        <f>IF(ISERROR(VLOOKUP($U$1137,'TAR FIN'!$A$1:$O$95,15,0)),0,VLOOKUP($U$1137,'TAR FIN'!$A$1:$O$95,15,0))</f>
        <v>389.28</v>
      </c>
      <c r="Y1137" s="6"/>
      <c r="Z1137" s="6">
        <f ca="1">('TUSD BE'!$AM$16+'TUSD BF'!$AM$16+'TUSD CVA'!$AM$16)*1</f>
        <v>1605.9916314233351</v>
      </c>
      <c r="AA1137" s="6">
        <f>('TE BE'!$AA$7+'TE BF'!$AA$7+'TE CVA'!$AA$7)*1</f>
        <v>454.3285679284046</v>
      </c>
      <c r="AB1137" s="6">
        <f>$K$1137*$V$1137</f>
        <v>0</v>
      </c>
      <c r="AC1137" s="6">
        <f>$M$1137*$W$1137</f>
        <v>67463.825800000006</v>
      </c>
      <c r="AD1137" s="6">
        <f>$O$1137*$X$1137</f>
        <v>18303.945599999999</v>
      </c>
      <c r="AE1137" s="6">
        <f>$K$1137*$Y$1137</f>
        <v>0</v>
      </c>
      <c r="AF1137" s="6">
        <f ca="1">$M$1137*$Z$1137</f>
        <v>75513.726509525222</v>
      </c>
      <c r="AG1137" s="6">
        <f>$O$1137*$AA$1137</f>
        <v>21362.529263993587</v>
      </c>
    </row>
    <row r="1138" spans="1:33" ht="11.25" customHeight="1" x14ac:dyDescent="0.25">
      <c r="A1138" s="4" t="s">
        <v>21</v>
      </c>
      <c r="B1138" s="4" t="s">
        <v>35</v>
      </c>
      <c r="C1138" s="4" t="s">
        <v>36</v>
      </c>
      <c r="D1138" s="4" t="s">
        <v>42</v>
      </c>
      <c r="E1138" s="4" t="s">
        <v>25</v>
      </c>
      <c r="F1138" s="4" t="s">
        <v>25</v>
      </c>
      <c r="G1138" s="4" t="s">
        <v>25</v>
      </c>
      <c r="H1138" s="4" t="s">
        <v>37</v>
      </c>
      <c r="I1138" s="5">
        <v>44440</v>
      </c>
      <c r="J1138" s="6">
        <v>0</v>
      </c>
      <c r="K1138" s="6">
        <v>0</v>
      </c>
      <c r="L1138" s="6">
        <v>98.802000000000007</v>
      </c>
      <c r="M1138" s="6">
        <v>98.802000000000007</v>
      </c>
      <c r="N1138" s="6">
        <v>0</v>
      </c>
      <c r="O1138" s="6">
        <v>0</v>
      </c>
      <c r="P1138" s="6">
        <v>0</v>
      </c>
      <c r="Q1138" s="4" t="s">
        <v>60</v>
      </c>
      <c r="R1138" s="4">
        <v>0</v>
      </c>
      <c r="S1138" s="6">
        <v>0</v>
      </c>
      <c r="T1138" s="6">
        <v>24</v>
      </c>
      <c r="U1138" s="6">
        <v>0</v>
      </c>
      <c r="V1138" s="6">
        <f>IF(ISERROR(VLOOKUP($S$1138,'TAR FIN'!$A$1:$O$95,15,0)),0,VLOOKUP($S$1138,'TAR FIN'!$A$1:$O$95,15,0))</f>
        <v>0</v>
      </c>
      <c r="W1138" s="6">
        <f>IF(ISERROR(VLOOKUP($T$1138,'TAR FIN'!$A$1:$O$95,15,0)),0,VLOOKUP($T$1138,'TAR FIN'!$A$1:$O$95,15,0))</f>
        <v>1434.79</v>
      </c>
      <c r="X1138" s="6">
        <f>IF(ISERROR(VLOOKUP($U$1138,'TAR FIN'!$A$1:$O$95,15,0)),0,VLOOKUP($U$1138,'TAR FIN'!$A$1:$O$95,15,0))</f>
        <v>0</v>
      </c>
      <c r="Y1138" s="6"/>
      <c r="Z1138" s="6">
        <f ca="1">('TUSD BE'!$AM$16+'TUSD BF'!$AM$16+'TUSD CVA'!$AM$16)*1</f>
        <v>1605.9916314233351</v>
      </c>
      <c r="AA1138" s="6"/>
      <c r="AB1138" s="6">
        <f>$K$1138*$V$1138</f>
        <v>0</v>
      </c>
      <c r="AC1138" s="6">
        <f>$M$1138*$W$1138</f>
        <v>141760.12158000001</v>
      </c>
      <c r="AD1138" s="6">
        <f>$O$1138*$X$1138</f>
        <v>0</v>
      </c>
      <c r="AE1138" s="6">
        <f>$K$1138*$Y$1138</f>
        <v>0</v>
      </c>
      <c r="AF1138" s="6">
        <f ca="1">$M$1138*$Z$1138</f>
        <v>158675.18516788835</v>
      </c>
      <c r="AG1138" s="6">
        <f>$O$1138*$AA$1138</f>
        <v>0</v>
      </c>
    </row>
    <row r="1139" spans="1:33" ht="11.25" customHeight="1" x14ac:dyDescent="0.25">
      <c r="A1139" s="4" t="s">
        <v>59</v>
      </c>
      <c r="B1139" s="4" t="s">
        <v>35</v>
      </c>
      <c r="C1139" s="4" t="s">
        <v>36</v>
      </c>
      <c r="D1139" s="4" t="s">
        <v>42</v>
      </c>
      <c r="E1139" s="4" t="s">
        <v>25</v>
      </c>
      <c r="F1139" s="4" t="s">
        <v>25</v>
      </c>
      <c r="G1139" s="4" t="s">
        <v>25</v>
      </c>
      <c r="H1139" s="4" t="s">
        <v>37</v>
      </c>
      <c r="I1139" s="5">
        <v>44470</v>
      </c>
      <c r="J1139" s="6">
        <v>0</v>
      </c>
      <c r="K1139" s="6">
        <v>0</v>
      </c>
      <c r="L1139" s="6">
        <v>1583.3430000000001</v>
      </c>
      <c r="M1139" s="6">
        <v>1583.3430000000001</v>
      </c>
      <c r="N1139" s="6">
        <v>1583.3430000000001</v>
      </c>
      <c r="O1139" s="6">
        <v>1583.3430000000001</v>
      </c>
      <c r="P1139" s="6">
        <v>0</v>
      </c>
      <c r="Q1139" s="4" t="s">
        <v>26</v>
      </c>
      <c r="R1139" s="4">
        <v>0</v>
      </c>
      <c r="S1139" s="6">
        <v>0</v>
      </c>
      <c r="T1139" s="6">
        <v>24</v>
      </c>
      <c r="U1139" s="6">
        <v>66</v>
      </c>
      <c r="V1139" s="6">
        <f>IF(ISERROR(VLOOKUP($S$1139,'TAR FIN'!$A$1:$O$95,15,0)),0,VLOOKUP($S$1139,'TAR FIN'!$A$1:$O$95,15,0))</f>
        <v>0</v>
      </c>
      <c r="W1139" s="6">
        <f>IF(ISERROR(VLOOKUP($T$1139,'TAR FIN'!$A$1:$O$95,15,0)),0,VLOOKUP($T$1139,'TAR FIN'!$A$1:$O$95,15,0))</f>
        <v>1434.79</v>
      </c>
      <c r="X1139" s="6">
        <f>IF(ISERROR(VLOOKUP($U$1139,'TAR FIN'!$A$1:$O$95,15,0)),0,VLOOKUP($U$1139,'TAR FIN'!$A$1:$O$95,15,0))</f>
        <v>389.28</v>
      </c>
      <c r="Y1139" s="6"/>
      <c r="Z1139" s="6">
        <f ca="1">('TUSD BE'!$AM$16+'TUSD BF'!$AM$16+'TUSD CVA'!$AM$16)*1</f>
        <v>1605.9916314233351</v>
      </c>
      <c r="AA1139" s="6">
        <f>('TE BE'!$AA$7+'TE BF'!$AA$7+'TE CVA'!$AA$7)*1</f>
        <v>454.3285679284046</v>
      </c>
      <c r="AB1139" s="6">
        <f>$K$1139*$V$1139</f>
        <v>0</v>
      </c>
      <c r="AC1139" s="6">
        <f>$M$1139*$W$1139</f>
        <v>2271764.70297</v>
      </c>
      <c r="AD1139" s="6">
        <f>$O$1139*$X$1139</f>
        <v>616363.76303999999</v>
      </c>
      <c r="AE1139" s="6">
        <f>$K$1139*$Y$1139</f>
        <v>0</v>
      </c>
      <c r="AF1139" s="6">
        <f ca="1">$M$1139*$Z$1139</f>
        <v>2542835.6076727179</v>
      </c>
      <c r="AG1139" s="6">
        <f>$O$1139*$AA$1139</f>
        <v>719357.95772946393</v>
      </c>
    </row>
    <row r="1140" spans="1:33" ht="11.25" customHeight="1" x14ac:dyDescent="0.25">
      <c r="A1140" s="4" t="s">
        <v>59</v>
      </c>
      <c r="B1140" s="4" t="s">
        <v>35</v>
      </c>
      <c r="C1140" s="4" t="s">
        <v>36</v>
      </c>
      <c r="D1140" s="4" t="s">
        <v>42</v>
      </c>
      <c r="E1140" s="4" t="s">
        <v>25</v>
      </c>
      <c r="F1140" s="4" t="s">
        <v>25</v>
      </c>
      <c r="G1140" s="4" t="s">
        <v>25</v>
      </c>
      <c r="H1140" s="4" t="s">
        <v>37</v>
      </c>
      <c r="I1140" s="5">
        <v>44470</v>
      </c>
      <c r="J1140" s="6">
        <v>0</v>
      </c>
      <c r="K1140" s="6">
        <v>0</v>
      </c>
      <c r="L1140" s="6">
        <v>-11.44</v>
      </c>
      <c r="M1140" s="6">
        <v>-11.44</v>
      </c>
      <c r="N1140" s="6">
        <v>-11.44</v>
      </c>
      <c r="O1140" s="6">
        <v>-11.44</v>
      </c>
      <c r="P1140" s="6">
        <v>0</v>
      </c>
      <c r="Q1140" s="4" t="s">
        <v>26</v>
      </c>
      <c r="R1140" s="4">
        <v>0</v>
      </c>
      <c r="S1140" s="6">
        <v>0</v>
      </c>
      <c r="T1140" s="6">
        <v>24</v>
      </c>
      <c r="U1140" s="6">
        <v>66</v>
      </c>
      <c r="V1140" s="6">
        <f>IF(ISERROR(VLOOKUP($S$1140,'TAR FIN'!$A$1:$O$95,15,0)),0,VLOOKUP($S$1140,'TAR FIN'!$A$1:$O$95,15,0))</f>
        <v>0</v>
      </c>
      <c r="W1140" s="6">
        <f>IF(ISERROR(VLOOKUP($T$1140,'TAR FIN'!$A$1:$O$95,15,0)),0,VLOOKUP($T$1140,'TAR FIN'!$A$1:$O$95,15,0))</f>
        <v>1434.79</v>
      </c>
      <c r="X1140" s="6">
        <f>IF(ISERROR(VLOOKUP($U$1140,'TAR FIN'!$A$1:$O$95,15,0)),0,VLOOKUP($U$1140,'TAR FIN'!$A$1:$O$95,15,0))</f>
        <v>389.28</v>
      </c>
      <c r="Y1140" s="6"/>
      <c r="Z1140" s="6">
        <f ca="1">('TUSD BE'!$AM$16+'TUSD BF'!$AM$16+'TUSD CVA'!$AM$16)*1</f>
        <v>1605.9916314233351</v>
      </c>
      <c r="AA1140" s="6">
        <f>('TE BE'!$AA$7+'TE BF'!$AA$7+'TE CVA'!$AA$7)*1</f>
        <v>454.3285679284046</v>
      </c>
      <c r="AB1140" s="6">
        <f>$K$1140*$V$1140</f>
        <v>0</v>
      </c>
      <c r="AC1140" s="6">
        <f>$M$1140*$W$1140</f>
        <v>-16413.997599999999</v>
      </c>
      <c r="AD1140" s="6">
        <f>$O$1140*$X$1140</f>
        <v>-4453.3631999999998</v>
      </c>
      <c r="AE1140" s="6">
        <f>$K$1140*$Y$1140</f>
        <v>0</v>
      </c>
      <c r="AF1140" s="6">
        <f ca="1">$M$1140*$Z$1140</f>
        <v>-18372.544263482952</v>
      </c>
      <c r="AG1140" s="6">
        <f>$O$1140*$AA$1140</f>
        <v>-5197.5188171009486</v>
      </c>
    </row>
    <row r="1141" spans="1:33" ht="11.25" customHeight="1" x14ac:dyDescent="0.25">
      <c r="A1141" s="4" t="s">
        <v>59</v>
      </c>
      <c r="B1141" s="4" t="s">
        <v>35</v>
      </c>
      <c r="C1141" s="4" t="s">
        <v>36</v>
      </c>
      <c r="D1141" s="4" t="s">
        <v>42</v>
      </c>
      <c r="E1141" s="4" t="s">
        <v>25</v>
      </c>
      <c r="F1141" s="4" t="s">
        <v>25</v>
      </c>
      <c r="G1141" s="4" t="s">
        <v>25</v>
      </c>
      <c r="H1141" s="4" t="s">
        <v>37</v>
      </c>
      <c r="I1141" s="5">
        <v>44470</v>
      </c>
      <c r="J1141" s="6">
        <v>0</v>
      </c>
      <c r="K1141" s="6">
        <v>0</v>
      </c>
      <c r="L1141" s="6">
        <v>164.79599999999999</v>
      </c>
      <c r="M1141" s="6">
        <v>164.79599999999999</v>
      </c>
      <c r="N1141" s="6">
        <v>164.79599999999999</v>
      </c>
      <c r="O1141" s="6">
        <v>164.79599999999999</v>
      </c>
      <c r="P1141" s="6">
        <v>0</v>
      </c>
      <c r="Q1141" s="4" t="s">
        <v>26</v>
      </c>
      <c r="R1141" s="4">
        <v>0</v>
      </c>
      <c r="S1141" s="6">
        <v>0</v>
      </c>
      <c r="T1141" s="6">
        <v>24</v>
      </c>
      <c r="U1141" s="6">
        <v>66</v>
      </c>
      <c r="V1141" s="6">
        <f>IF(ISERROR(VLOOKUP($S$1141,'TAR FIN'!$A$1:$O$95,15,0)),0,VLOOKUP($S$1141,'TAR FIN'!$A$1:$O$95,15,0))</f>
        <v>0</v>
      </c>
      <c r="W1141" s="6">
        <f>IF(ISERROR(VLOOKUP($T$1141,'TAR FIN'!$A$1:$O$95,15,0)),0,VLOOKUP($T$1141,'TAR FIN'!$A$1:$O$95,15,0))</f>
        <v>1434.79</v>
      </c>
      <c r="X1141" s="6">
        <f>IF(ISERROR(VLOOKUP($U$1141,'TAR FIN'!$A$1:$O$95,15,0)),0,VLOOKUP($U$1141,'TAR FIN'!$A$1:$O$95,15,0))</f>
        <v>389.28</v>
      </c>
      <c r="Y1141" s="6"/>
      <c r="Z1141" s="6">
        <f ca="1">('TUSD BE'!$AM$16+'TUSD BF'!$AM$16+'TUSD CVA'!$AM$16)*1</f>
        <v>1605.9916314233351</v>
      </c>
      <c r="AA1141" s="6">
        <f>('TE BE'!$AA$7+'TE BF'!$AA$7+'TE CVA'!$AA$7)*1</f>
        <v>454.3285679284046</v>
      </c>
      <c r="AB1141" s="6">
        <f>$K$1141*$V$1141</f>
        <v>0</v>
      </c>
      <c r="AC1141" s="6">
        <f>$M$1141*$W$1141</f>
        <v>236447.65284</v>
      </c>
      <c r="AD1141" s="6">
        <f>$O$1141*$X$1141</f>
        <v>64151.786879999992</v>
      </c>
      <c r="AE1141" s="6">
        <f>$K$1141*$Y$1141</f>
        <v>0</v>
      </c>
      <c r="AF1141" s="6">
        <f ca="1">$M$1141*$Z$1141</f>
        <v>264660.9968920399</v>
      </c>
      <c r="AG1141" s="6">
        <f>$O$1141*$AA$1141</f>
        <v>74871.530680329364</v>
      </c>
    </row>
    <row r="1142" spans="1:33" ht="11.25" customHeight="1" x14ac:dyDescent="0.25">
      <c r="A1142" s="4" t="s">
        <v>59</v>
      </c>
      <c r="B1142" s="4" t="s">
        <v>35</v>
      </c>
      <c r="C1142" s="4" t="s">
        <v>36</v>
      </c>
      <c r="D1142" s="4" t="s">
        <v>42</v>
      </c>
      <c r="E1142" s="4" t="s">
        <v>25</v>
      </c>
      <c r="F1142" s="4" t="s">
        <v>25</v>
      </c>
      <c r="G1142" s="4" t="s">
        <v>25</v>
      </c>
      <c r="H1142" s="4" t="s">
        <v>37</v>
      </c>
      <c r="I1142" s="5">
        <v>44470</v>
      </c>
      <c r="J1142" s="6">
        <v>0</v>
      </c>
      <c r="K1142" s="6">
        <v>0</v>
      </c>
      <c r="L1142" s="6">
        <v>-0.1</v>
      </c>
      <c r="M1142" s="6">
        <v>-0.1</v>
      </c>
      <c r="N1142" s="6">
        <v>-0.1</v>
      </c>
      <c r="O1142" s="6">
        <v>-0.1</v>
      </c>
      <c r="P1142" s="6">
        <v>0</v>
      </c>
      <c r="Q1142" s="4" t="s">
        <v>26</v>
      </c>
      <c r="R1142" s="4">
        <v>0</v>
      </c>
      <c r="S1142" s="6">
        <v>0</v>
      </c>
      <c r="T1142" s="6">
        <v>24</v>
      </c>
      <c r="U1142" s="6">
        <v>66</v>
      </c>
      <c r="V1142" s="6">
        <f>IF(ISERROR(VLOOKUP($S$1142,'TAR FIN'!$A$1:$O$95,15,0)),0,VLOOKUP($S$1142,'TAR FIN'!$A$1:$O$95,15,0))</f>
        <v>0</v>
      </c>
      <c r="W1142" s="6">
        <f>IF(ISERROR(VLOOKUP($T$1142,'TAR FIN'!$A$1:$O$95,15,0)),0,VLOOKUP($T$1142,'TAR FIN'!$A$1:$O$95,15,0))</f>
        <v>1434.79</v>
      </c>
      <c r="X1142" s="6">
        <f>IF(ISERROR(VLOOKUP($U$1142,'TAR FIN'!$A$1:$O$95,15,0)),0,VLOOKUP($U$1142,'TAR FIN'!$A$1:$O$95,15,0))</f>
        <v>389.28</v>
      </c>
      <c r="Y1142" s="6"/>
      <c r="Z1142" s="6">
        <f ca="1">('TUSD BE'!$AM$16+'TUSD BF'!$AM$16+'TUSD CVA'!$AM$16)*1</f>
        <v>1605.9916314233351</v>
      </c>
      <c r="AA1142" s="6">
        <f>('TE BE'!$AA$7+'TE BF'!$AA$7+'TE CVA'!$AA$7)*1</f>
        <v>454.3285679284046</v>
      </c>
      <c r="AB1142" s="6">
        <f>$K$1142*$V$1142</f>
        <v>0</v>
      </c>
      <c r="AC1142" s="6">
        <f>$M$1142*$W$1142</f>
        <v>-143.47900000000001</v>
      </c>
      <c r="AD1142" s="6">
        <f>$O$1142*$X$1142</f>
        <v>-38.927999999999997</v>
      </c>
      <c r="AE1142" s="6">
        <f>$K$1142*$Y$1142</f>
        <v>0</v>
      </c>
      <c r="AF1142" s="6">
        <f ca="1">$M$1142*$Z$1142</f>
        <v>-160.59916314233351</v>
      </c>
      <c r="AG1142" s="6">
        <f>$O$1142*$AA$1142</f>
        <v>-45.432856792840461</v>
      </c>
    </row>
    <row r="1143" spans="1:33" ht="11.25" customHeight="1" x14ac:dyDescent="0.25">
      <c r="A1143" s="4" t="s">
        <v>59</v>
      </c>
      <c r="B1143" s="4" t="s">
        <v>35</v>
      </c>
      <c r="C1143" s="4" t="s">
        <v>36</v>
      </c>
      <c r="D1143" s="4" t="s">
        <v>42</v>
      </c>
      <c r="E1143" s="4" t="s">
        <v>25</v>
      </c>
      <c r="F1143" s="4" t="s">
        <v>25</v>
      </c>
      <c r="G1143" s="4" t="s">
        <v>25</v>
      </c>
      <c r="H1143" s="4" t="s">
        <v>37</v>
      </c>
      <c r="I1143" s="5">
        <v>44470</v>
      </c>
      <c r="J1143" s="6">
        <v>0</v>
      </c>
      <c r="K1143" s="6">
        <v>0</v>
      </c>
      <c r="L1143" s="6">
        <v>47.02</v>
      </c>
      <c r="M1143" s="6">
        <v>47.02</v>
      </c>
      <c r="N1143" s="6">
        <v>47.02</v>
      </c>
      <c r="O1143" s="6">
        <v>47.02</v>
      </c>
      <c r="P1143" s="6">
        <v>0</v>
      </c>
      <c r="Q1143" s="4" t="s">
        <v>26</v>
      </c>
      <c r="R1143" s="4">
        <v>0</v>
      </c>
      <c r="S1143" s="6">
        <v>0</v>
      </c>
      <c r="T1143" s="6">
        <v>24</v>
      </c>
      <c r="U1143" s="6">
        <v>66</v>
      </c>
      <c r="V1143" s="6">
        <f>IF(ISERROR(VLOOKUP($S$1143,'TAR FIN'!$A$1:$O$95,15,0)),0,VLOOKUP($S$1143,'TAR FIN'!$A$1:$O$95,15,0))</f>
        <v>0</v>
      </c>
      <c r="W1143" s="6">
        <f>IF(ISERROR(VLOOKUP($T$1143,'TAR FIN'!$A$1:$O$95,15,0)),0,VLOOKUP($T$1143,'TAR FIN'!$A$1:$O$95,15,0))</f>
        <v>1434.79</v>
      </c>
      <c r="X1143" s="6">
        <f>IF(ISERROR(VLOOKUP($U$1143,'TAR FIN'!$A$1:$O$95,15,0)),0,VLOOKUP($U$1143,'TAR FIN'!$A$1:$O$95,15,0))</f>
        <v>389.28</v>
      </c>
      <c r="Y1143" s="6"/>
      <c r="Z1143" s="6">
        <f ca="1">('TUSD BE'!$AM$16+'TUSD BF'!$AM$16+'TUSD CVA'!$AM$16)*1</f>
        <v>1605.9916314233351</v>
      </c>
      <c r="AA1143" s="6">
        <f>('TE BE'!$AA$7+'TE BF'!$AA$7+'TE CVA'!$AA$7)*1</f>
        <v>454.3285679284046</v>
      </c>
      <c r="AB1143" s="6">
        <f>$K$1143*$V$1143</f>
        <v>0</v>
      </c>
      <c r="AC1143" s="6">
        <f>$M$1143*$W$1143</f>
        <v>67463.825800000006</v>
      </c>
      <c r="AD1143" s="6">
        <f>$O$1143*$X$1143</f>
        <v>18303.945599999999</v>
      </c>
      <c r="AE1143" s="6">
        <f>$K$1143*$Y$1143</f>
        <v>0</v>
      </c>
      <c r="AF1143" s="6">
        <f ca="1">$M$1143*$Z$1143</f>
        <v>75513.726509525222</v>
      </c>
      <c r="AG1143" s="6">
        <f>$O$1143*$AA$1143</f>
        <v>21362.529263993587</v>
      </c>
    </row>
    <row r="1144" spans="1:33" ht="11.25" customHeight="1" x14ac:dyDescent="0.25">
      <c r="A1144" s="4" t="s">
        <v>59</v>
      </c>
      <c r="B1144" s="4" t="s">
        <v>35</v>
      </c>
      <c r="C1144" s="4" t="s">
        <v>36</v>
      </c>
      <c r="D1144" s="4" t="s">
        <v>42</v>
      </c>
      <c r="E1144" s="4" t="s">
        <v>25</v>
      </c>
      <c r="F1144" s="4" t="s">
        <v>25</v>
      </c>
      <c r="G1144" s="4" t="s">
        <v>25</v>
      </c>
      <c r="H1144" s="4" t="s">
        <v>37</v>
      </c>
      <c r="I1144" s="5">
        <v>44470</v>
      </c>
      <c r="J1144" s="6">
        <v>0</v>
      </c>
      <c r="K1144" s="6">
        <v>0</v>
      </c>
      <c r="L1144" s="6">
        <v>98.802000000000007</v>
      </c>
      <c r="M1144" s="6">
        <v>98.802000000000007</v>
      </c>
      <c r="N1144" s="6">
        <v>0</v>
      </c>
      <c r="O1144" s="6">
        <v>0</v>
      </c>
      <c r="P1144" s="6">
        <v>0</v>
      </c>
      <c r="Q1144" s="4" t="s">
        <v>60</v>
      </c>
      <c r="R1144" s="4">
        <v>0</v>
      </c>
      <c r="S1144" s="6">
        <v>0</v>
      </c>
      <c r="T1144" s="6">
        <v>24</v>
      </c>
      <c r="U1144" s="6">
        <v>0</v>
      </c>
      <c r="V1144" s="6">
        <f>IF(ISERROR(VLOOKUP($S$1144,'TAR FIN'!$A$1:$O$95,15,0)),0,VLOOKUP($S$1144,'TAR FIN'!$A$1:$O$95,15,0))</f>
        <v>0</v>
      </c>
      <c r="W1144" s="6">
        <f>IF(ISERROR(VLOOKUP($T$1144,'TAR FIN'!$A$1:$O$95,15,0)),0,VLOOKUP($T$1144,'TAR FIN'!$A$1:$O$95,15,0))</f>
        <v>1434.79</v>
      </c>
      <c r="X1144" s="6">
        <f>IF(ISERROR(VLOOKUP($U$1144,'TAR FIN'!$A$1:$O$95,15,0)),0,VLOOKUP($U$1144,'TAR FIN'!$A$1:$O$95,15,0))</f>
        <v>0</v>
      </c>
      <c r="Y1144" s="6"/>
      <c r="Z1144" s="6">
        <f ca="1">('TUSD BE'!$AM$16+'TUSD BF'!$AM$16+'TUSD CVA'!$AM$16)*1</f>
        <v>1605.9916314233351</v>
      </c>
      <c r="AA1144" s="6"/>
      <c r="AB1144" s="6">
        <f>$K$1144*$V$1144</f>
        <v>0</v>
      </c>
      <c r="AC1144" s="6">
        <f>$M$1144*$W$1144</f>
        <v>141760.12158000001</v>
      </c>
      <c r="AD1144" s="6">
        <f>$O$1144*$X$1144</f>
        <v>0</v>
      </c>
      <c r="AE1144" s="6">
        <f>$K$1144*$Y$1144</f>
        <v>0</v>
      </c>
      <c r="AF1144" s="6">
        <f ca="1">$M$1144*$Z$1144</f>
        <v>158675.18516788835</v>
      </c>
      <c r="AG1144" s="6">
        <f>$O$1144*$AA$1144</f>
        <v>0</v>
      </c>
    </row>
    <row r="1145" spans="1:33" ht="11.25" customHeight="1" x14ac:dyDescent="0.25">
      <c r="A1145" s="4" t="s">
        <v>21</v>
      </c>
      <c r="B1145" s="4" t="s">
        <v>35</v>
      </c>
      <c r="C1145" s="4" t="s">
        <v>36</v>
      </c>
      <c r="D1145" s="4" t="s">
        <v>48</v>
      </c>
      <c r="E1145" s="4" t="s">
        <v>25</v>
      </c>
      <c r="F1145" s="4" t="s">
        <v>25</v>
      </c>
      <c r="G1145" s="4" t="s">
        <v>25</v>
      </c>
      <c r="H1145" s="4" t="s">
        <v>38</v>
      </c>
      <c r="I1145" s="5">
        <v>44136</v>
      </c>
      <c r="J1145" s="6">
        <v>0</v>
      </c>
      <c r="K1145" s="6">
        <v>0</v>
      </c>
      <c r="L1145" s="6">
        <v>13749.628000000001</v>
      </c>
      <c r="M1145" s="6">
        <v>13749.628000000001</v>
      </c>
      <c r="N1145" s="6">
        <v>13749.628000000001</v>
      </c>
      <c r="O1145" s="6">
        <v>13749.628000000001</v>
      </c>
      <c r="P1145" s="6">
        <v>0</v>
      </c>
      <c r="Q1145" s="4" t="s">
        <v>26</v>
      </c>
      <c r="R1145" s="4">
        <v>0</v>
      </c>
      <c r="S1145" s="6">
        <v>0</v>
      </c>
      <c r="T1145" s="6">
        <v>19</v>
      </c>
      <c r="U1145" s="6">
        <v>67</v>
      </c>
      <c r="V1145" s="6">
        <f>IF(ISERROR(VLOOKUP($S$1145,'TAR FIN'!$A$1:$O$95,15,0)),0,VLOOKUP($S$1145,'TAR FIN'!$A$1:$O$95,15,0))</f>
        <v>0</v>
      </c>
      <c r="W1145" s="6">
        <f>IF(ISERROR(VLOOKUP($T$1145,'TAR FIN'!$A$1:$O$95,15,0)),0,VLOOKUP($T$1145,'TAR FIN'!$A$1:$O$95,15,0))</f>
        <v>149.63</v>
      </c>
      <c r="X1145" s="6">
        <f>IF(ISERROR(VLOOKUP($U$1145,'TAR FIN'!$A$1:$O$95,15,0)),0,VLOOKUP($U$1145,'TAR FIN'!$A$1:$O$95,15,0))</f>
        <v>230.03</v>
      </c>
      <c r="Y1145" s="6"/>
      <c r="Z1145" s="6">
        <f ca="1">('TUSD BE'!$AM$17+'TUSD BF'!$AM$17+'TUSD CVA'!$AM$17)*1</f>
        <v>168.51338132937991</v>
      </c>
      <c r="AA1145" s="6">
        <f>('TE BE'!$AA$8+'TE BF'!$AA$8+'TE CVA'!$AA$8)*1</f>
        <v>282.91739971702214</v>
      </c>
      <c r="AB1145" s="6">
        <f>$K$1145*$V$1145</f>
        <v>0</v>
      </c>
      <c r="AC1145" s="6">
        <f>$M$1145*$W$1145</f>
        <v>2057356.83764</v>
      </c>
      <c r="AD1145" s="6">
        <f>$O$1145*$X$1145</f>
        <v>3162826.9288400002</v>
      </c>
      <c r="AE1145" s="6">
        <f>$K$1145*$Y$1145</f>
        <v>0</v>
      </c>
      <c r="AF1145" s="6">
        <f ca="1">$M$1145*$Z$1145</f>
        <v>2316996.3063011193</v>
      </c>
      <c r="AG1145" s="6">
        <f>$O$1145*$AA$1145</f>
        <v>3890009.0008363598</v>
      </c>
    </row>
    <row r="1146" spans="1:33" ht="11.25" customHeight="1" x14ac:dyDescent="0.25">
      <c r="A1146" s="4" t="s">
        <v>27</v>
      </c>
      <c r="B1146" s="4" t="s">
        <v>35</v>
      </c>
      <c r="C1146" s="4" t="s">
        <v>36</v>
      </c>
      <c r="D1146" s="4" t="s">
        <v>48</v>
      </c>
      <c r="E1146" s="4" t="s">
        <v>25</v>
      </c>
      <c r="F1146" s="4" t="s">
        <v>25</v>
      </c>
      <c r="G1146" s="4" t="s">
        <v>25</v>
      </c>
      <c r="H1146" s="4" t="s">
        <v>38</v>
      </c>
      <c r="I1146" s="5">
        <v>44136</v>
      </c>
      <c r="J1146" s="6">
        <v>0</v>
      </c>
      <c r="K1146" s="6">
        <v>0</v>
      </c>
      <c r="L1146" s="6">
        <v>133.392</v>
      </c>
      <c r="M1146" s="6">
        <v>133.392</v>
      </c>
      <c r="N1146" s="6">
        <v>133.392</v>
      </c>
      <c r="O1146" s="6">
        <v>133.392</v>
      </c>
      <c r="P1146" s="6">
        <v>0</v>
      </c>
      <c r="Q1146" s="4" t="s">
        <v>26</v>
      </c>
      <c r="R1146" s="4">
        <v>0</v>
      </c>
      <c r="S1146" s="6">
        <v>0</v>
      </c>
      <c r="T1146" s="6">
        <v>19</v>
      </c>
      <c r="U1146" s="6">
        <v>67</v>
      </c>
      <c r="V1146" s="6">
        <f>IF(ISERROR(VLOOKUP($S$1146,'TAR FIN'!$A$1:$O$95,15,0)),0,VLOOKUP($S$1146,'TAR FIN'!$A$1:$O$95,15,0))</f>
        <v>0</v>
      </c>
      <c r="W1146" s="6">
        <f>IF(ISERROR(VLOOKUP($T$1146,'TAR FIN'!$A$1:$O$95,15,0)),0,VLOOKUP($T$1146,'TAR FIN'!$A$1:$O$95,15,0))</f>
        <v>149.63</v>
      </c>
      <c r="X1146" s="6">
        <f>IF(ISERROR(VLOOKUP($U$1146,'TAR FIN'!$A$1:$O$95,15,0)),0,VLOOKUP($U$1146,'TAR FIN'!$A$1:$O$95,15,0))</f>
        <v>230.03</v>
      </c>
      <c r="Y1146" s="6"/>
      <c r="Z1146" s="6">
        <f ca="1">('TUSD BE'!$AM$17+'TUSD BF'!$AM$17+'TUSD CVA'!$AM$17)*1</f>
        <v>168.51338132937991</v>
      </c>
      <c r="AA1146" s="6">
        <f>('TE BE'!$AA$8+'TE BF'!$AA$8+'TE CVA'!$AA$8)*1</f>
        <v>282.91739971702214</v>
      </c>
      <c r="AB1146" s="6">
        <f>$K$1146*$V$1146</f>
        <v>0</v>
      </c>
      <c r="AC1146" s="6">
        <f>$M$1146*$W$1146</f>
        <v>19959.444959999997</v>
      </c>
      <c r="AD1146" s="6">
        <f>$O$1146*$X$1146</f>
        <v>30684.161759999999</v>
      </c>
      <c r="AE1146" s="6">
        <f>$K$1146*$Y$1146</f>
        <v>0</v>
      </c>
      <c r="AF1146" s="6">
        <f ca="1">$M$1146*$Z$1146</f>
        <v>22478.336962288646</v>
      </c>
      <c r="AG1146" s="6">
        <f>$O$1146*$AA$1146</f>
        <v>37738.917783053017</v>
      </c>
    </row>
    <row r="1147" spans="1:33" ht="11.25" customHeight="1" x14ac:dyDescent="0.25">
      <c r="A1147" s="4" t="s">
        <v>28</v>
      </c>
      <c r="B1147" s="4" t="s">
        <v>35</v>
      </c>
      <c r="C1147" s="4" t="s">
        <v>36</v>
      </c>
      <c r="D1147" s="4" t="s">
        <v>48</v>
      </c>
      <c r="E1147" s="4" t="s">
        <v>25</v>
      </c>
      <c r="F1147" s="4" t="s">
        <v>25</v>
      </c>
      <c r="G1147" s="4" t="s">
        <v>25</v>
      </c>
      <c r="H1147" s="4" t="s">
        <v>38</v>
      </c>
      <c r="I1147" s="5">
        <v>44136</v>
      </c>
      <c r="J1147" s="6">
        <v>0</v>
      </c>
      <c r="K1147" s="6">
        <v>0</v>
      </c>
      <c r="L1147" s="6">
        <v>2743.3609999999999</v>
      </c>
      <c r="M1147" s="6">
        <v>2743.3609999999999</v>
      </c>
      <c r="N1147" s="6">
        <v>2743.3609999999999</v>
      </c>
      <c r="O1147" s="6">
        <v>2743.3609999999999</v>
      </c>
      <c r="P1147" s="6">
        <v>0</v>
      </c>
      <c r="Q1147" s="4" t="s">
        <v>26</v>
      </c>
      <c r="R1147" s="4">
        <v>0</v>
      </c>
      <c r="S1147" s="6">
        <v>0</v>
      </c>
      <c r="T1147" s="6">
        <v>19</v>
      </c>
      <c r="U1147" s="6">
        <v>67</v>
      </c>
      <c r="V1147" s="6">
        <f>IF(ISERROR(VLOOKUP($S$1147,'TAR FIN'!$A$1:$O$95,15,0)),0,VLOOKUP($S$1147,'TAR FIN'!$A$1:$O$95,15,0))</f>
        <v>0</v>
      </c>
      <c r="W1147" s="6">
        <f>IF(ISERROR(VLOOKUP($T$1147,'TAR FIN'!$A$1:$O$95,15,0)),0,VLOOKUP($T$1147,'TAR FIN'!$A$1:$O$95,15,0))</f>
        <v>149.63</v>
      </c>
      <c r="X1147" s="6">
        <f>IF(ISERROR(VLOOKUP($U$1147,'TAR FIN'!$A$1:$O$95,15,0)),0,VLOOKUP($U$1147,'TAR FIN'!$A$1:$O$95,15,0))</f>
        <v>230.03</v>
      </c>
      <c r="Y1147" s="6"/>
      <c r="Z1147" s="6">
        <f ca="1">('TUSD BE'!$AM$17+'TUSD BF'!$AM$17+'TUSD CVA'!$AM$17)*1</f>
        <v>168.51338132937991</v>
      </c>
      <c r="AA1147" s="6">
        <f>('TE BE'!$AA$8+'TE BF'!$AA$8+'TE CVA'!$AA$8)*1</f>
        <v>282.91739971702214</v>
      </c>
      <c r="AB1147" s="6">
        <f>$K$1147*$V$1147</f>
        <v>0</v>
      </c>
      <c r="AC1147" s="6">
        <f>$M$1147*$W$1147</f>
        <v>410489.10642999999</v>
      </c>
      <c r="AD1147" s="6">
        <f>$O$1147*$X$1147</f>
        <v>631055.33082999999</v>
      </c>
      <c r="AE1147" s="6">
        <f>$K$1147*$Y$1147</f>
        <v>0</v>
      </c>
      <c r="AF1147" s="6">
        <f ca="1">$M$1147*$Z$1147</f>
        <v>462293.03831714898</v>
      </c>
      <c r="AG1147" s="6">
        <f>$O$1147*$AA$1147</f>
        <v>776144.56060508953</v>
      </c>
    </row>
    <row r="1148" spans="1:33" ht="11.25" customHeight="1" x14ac:dyDescent="0.25">
      <c r="A1148" s="4" t="s">
        <v>30</v>
      </c>
      <c r="B1148" s="4" t="s">
        <v>35</v>
      </c>
      <c r="C1148" s="4" t="s">
        <v>36</v>
      </c>
      <c r="D1148" s="4" t="s">
        <v>48</v>
      </c>
      <c r="E1148" s="4" t="s">
        <v>25</v>
      </c>
      <c r="F1148" s="4" t="s">
        <v>25</v>
      </c>
      <c r="G1148" s="4" t="s">
        <v>25</v>
      </c>
      <c r="H1148" s="4" t="s">
        <v>38</v>
      </c>
      <c r="I1148" s="5">
        <v>44136</v>
      </c>
      <c r="J1148" s="6">
        <v>0</v>
      </c>
      <c r="K1148" s="6">
        <v>0</v>
      </c>
      <c r="L1148" s="6">
        <v>47.103000000000002</v>
      </c>
      <c r="M1148" s="6">
        <v>47.103000000000002</v>
      </c>
      <c r="N1148" s="6">
        <v>47.103000000000002</v>
      </c>
      <c r="O1148" s="6">
        <v>47.103000000000002</v>
      </c>
      <c r="P1148" s="6">
        <v>0</v>
      </c>
      <c r="Q1148" s="4" t="s">
        <v>26</v>
      </c>
      <c r="R1148" s="4">
        <v>0</v>
      </c>
      <c r="S1148" s="6">
        <v>0</v>
      </c>
      <c r="T1148" s="6">
        <v>19</v>
      </c>
      <c r="U1148" s="6">
        <v>67</v>
      </c>
      <c r="V1148" s="6">
        <f>IF(ISERROR(VLOOKUP($S$1148,'TAR FIN'!$A$1:$O$95,15,0)),0,VLOOKUP($S$1148,'TAR FIN'!$A$1:$O$95,15,0))</f>
        <v>0</v>
      </c>
      <c r="W1148" s="6">
        <f>IF(ISERROR(VLOOKUP($T$1148,'TAR FIN'!$A$1:$O$95,15,0)),0,VLOOKUP($T$1148,'TAR FIN'!$A$1:$O$95,15,0))</f>
        <v>149.63</v>
      </c>
      <c r="X1148" s="6">
        <f>IF(ISERROR(VLOOKUP($U$1148,'TAR FIN'!$A$1:$O$95,15,0)),0,VLOOKUP($U$1148,'TAR FIN'!$A$1:$O$95,15,0))</f>
        <v>230.03</v>
      </c>
      <c r="Y1148" s="6"/>
      <c r="Z1148" s="6">
        <f ca="1">('TUSD BE'!$AM$17+'TUSD BF'!$AM$17+'TUSD CVA'!$AM$17)*1</f>
        <v>168.51338132937991</v>
      </c>
      <c r="AA1148" s="6">
        <f>('TE BE'!$AA$8+'TE BF'!$AA$8+'TE CVA'!$AA$8)*1</f>
        <v>282.91739971702214</v>
      </c>
      <c r="AB1148" s="6">
        <f>$K$1148*$V$1148</f>
        <v>0</v>
      </c>
      <c r="AC1148" s="6">
        <f>$M$1148*$W$1148</f>
        <v>7048.02189</v>
      </c>
      <c r="AD1148" s="6">
        <f>$O$1148*$X$1148</f>
        <v>10835.103090000001</v>
      </c>
      <c r="AE1148" s="6">
        <f>$K$1148*$Y$1148</f>
        <v>0</v>
      </c>
      <c r="AF1148" s="6">
        <f ca="1">$M$1148*$Z$1148</f>
        <v>7937.4858007577823</v>
      </c>
      <c r="AG1148" s="6">
        <f>$O$1148*$AA$1148</f>
        <v>13326.258278870893</v>
      </c>
    </row>
    <row r="1149" spans="1:33" ht="11.25" customHeight="1" x14ac:dyDescent="0.25">
      <c r="A1149" s="4" t="s">
        <v>21</v>
      </c>
      <c r="B1149" s="4" t="s">
        <v>35</v>
      </c>
      <c r="C1149" s="4" t="s">
        <v>36</v>
      </c>
      <c r="D1149" s="4" t="s">
        <v>48</v>
      </c>
      <c r="E1149" s="4" t="s">
        <v>25</v>
      </c>
      <c r="F1149" s="4" t="s">
        <v>25</v>
      </c>
      <c r="G1149" s="4" t="s">
        <v>25</v>
      </c>
      <c r="H1149" s="4" t="s">
        <v>38</v>
      </c>
      <c r="I1149" s="5">
        <v>44166</v>
      </c>
      <c r="J1149" s="6">
        <v>0</v>
      </c>
      <c r="K1149" s="6">
        <v>0</v>
      </c>
      <c r="L1149" s="6">
        <v>12342.635</v>
      </c>
      <c r="M1149" s="6">
        <v>12342.635</v>
      </c>
      <c r="N1149" s="6">
        <v>12342.635</v>
      </c>
      <c r="O1149" s="6">
        <v>12342.635</v>
      </c>
      <c r="P1149" s="6">
        <v>0</v>
      </c>
      <c r="Q1149" s="4" t="s">
        <v>26</v>
      </c>
      <c r="R1149" s="4">
        <v>0</v>
      </c>
      <c r="S1149" s="6">
        <v>0</v>
      </c>
      <c r="T1149" s="6">
        <v>19</v>
      </c>
      <c r="U1149" s="6">
        <v>67</v>
      </c>
      <c r="V1149" s="6">
        <f>IF(ISERROR(VLOOKUP($S$1149,'TAR FIN'!$A$1:$O$95,15,0)),0,VLOOKUP($S$1149,'TAR FIN'!$A$1:$O$95,15,0))</f>
        <v>0</v>
      </c>
      <c r="W1149" s="6">
        <f>IF(ISERROR(VLOOKUP($T$1149,'TAR FIN'!$A$1:$O$95,15,0)),0,VLOOKUP($T$1149,'TAR FIN'!$A$1:$O$95,15,0))</f>
        <v>149.63</v>
      </c>
      <c r="X1149" s="6">
        <f>IF(ISERROR(VLOOKUP($U$1149,'TAR FIN'!$A$1:$O$95,15,0)),0,VLOOKUP($U$1149,'TAR FIN'!$A$1:$O$95,15,0))</f>
        <v>230.03</v>
      </c>
      <c r="Y1149" s="6"/>
      <c r="Z1149" s="6">
        <f ca="1">('TUSD BE'!$AM$17+'TUSD BF'!$AM$17+'TUSD CVA'!$AM$17)*1</f>
        <v>168.51338132937991</v>
      </c>
      <c r="AA1149" s="6">
        <f>('TE BE'!$AA$8+'TE BF'!$AA$8+'TE CVA'!$AA$8)*1</f>
        <v>282.91739971702214</v>
      </c>
      <c r="AB1149" s="6">
        <f>$K$1149*$V$1149</f>
        <v>0</v>
      </c>
      <c r="AC1149" s="6">
        <f>$M$1149*$W$1149</f>
        <v>1846828.47505</v>
      </c>
      <c r="AD1149" s="6">
        <f>$O$1149*$X$1149</f>
        <v>2839176.3290500003</v>
      </c>
      <c r="AE1149" s="6">
        <f>$K$1149*$Y$1149</f>
        <v>0</v>
      </c>
      <c r="AF1149" s="6">
        <f ca="1">$M$1149*$Z$1149</f>
        <v>2079899.1583643511</v>
      </c>
      <c r="AG1149" s="6">
        <f>$O$1149*$AA$1149</f>
        <v>3491946.1998563074</v>
      </c>
    </row>
    <row r="1150" spans="1:33" ht="11.25" customHeight="1" x14ac:dyDescent="0.25">
      <c r="A1150" s="4" t="s">
        <v>27</v>
      </c>
      <c r="B1150" s="4" t="s">
        <v>35</v>
      </c>
      <c r="C1150" s="4" t="s">
        <v>36</v>
      </c>
      <c r="D1150" s="4" t="s">
        <v>48</v>
      </c>
      <c r="E1150" s="4" t="s">
        <v>25</v>
      </c>
      <c r="F1150" s="4" t="s">
        <v>25</v>
      </c>
      <c r="G1150" s="4" t="s">
        <v>25</v>
      </c>
      <c r="H1150" s="4" t="s">
        <v>38</v>
      </c>
      <c r="I1150" s="5">
        <v>44166</v>
      </c>
      <c r="J1150" s="6">
        <v>0</v>
      </c>
      <c r="K1150" s="6">
        <v>0</v>
      </c>
      <c r="L1150" s="6">
        <v>8.6739999999999995</v>
      </c>
      <c r="M1150" s="6">
        <v>8.6739999999999995</v>
      </c>
      <c r="N1150" s="6">
        <v>8.6739999999999995</v>
      </c>
      <c r="O1150" s="6">
        <v>8.6739999999999995</v>
      </c>
      <c r="P1150" s="6">
        <v>0</v>
      </c>
      <c r="Q1150" s="4" t="s">
        <v>26</v>
      </c>
      <c r="R1150" s="4">
        <v>0</v>
      </c>
      <c r="S1150" s="6">
        <v>0</v>
      </c>
      <c r="T1150" s="6">
        <v>19</v>
      </c>
      <c r="U1150" s="6">
        <v>67</v>
      </c>
      <c r="V1150" s="6">
        <f>IF(ISERROR(VLOOKUP($S$1150,'TAR FIN'!$A$1:$O$95,15,0)),0,VLOOKUP($S$1150,'TAR FIN'!$A$1:$O$95,15,0))</f>
        <v>0</v>
      </c>
      <c r="W1150" s="6">
        <f>IF(ISERROR(VLOOKUP($T$1150,'TAR FIN'!$A$1:$O$95,15,0)),0,VLOOKUP($T$1150,'TAR FIN'!$A$1:$O$95,15,0))</f>
        <v>149.63</v>
      </c>
      <c r="X1150" s="6">
        <f>IF(ISERROR(VLOOKUP($U$1150,'TAR FIN'!$A$1:$O$95,15,0)),0,VLOOKUP($U$1150,'TAR FIN'!$A$1:$O$95,15,0))</f>
        <v>230.03</v>
      </c>
      <c r="Y1150" s="6"/>
      <c r="Z1150" s="6">
        <f ca="1">('TUSD BE'!$AM$17+'TUSD BF'!$AM$17+'TUSD CVA'!$AM$17)*1</f>
        <v>168.51338132937991</v>
      </c>
      <c r="AA1150" s="6">
        <f>('TE BE'!$AA$8+'TE BF'!$AA$8+'TE CVA'!$AA$8)*1</f>
        <v>282.91739971702214</v>
      </c>
      <c r="AB1150" s="6">
        <f>$K$1150*$V$1150</f>
        <v>0</v>
      </c>
      <c r="AC1150" s="6">
        <f>$M$1150*$W$1150</f>
        <v>1297.8906199999999</v>
      </c>
      <c r="AD1150" s="6">
        <f>$O$1150*$X$1150</f>
        <v>1995.2802199999999</v>
      </c>
      <c r="AE1150" s="6">
        <f>$K$1150*$Y$1150</f>
        <v>0</v>
      </c>
      <c r="AF1150" s="6">
        <f ca="1">$M$1150*$Z$1150</f>
        <v>1461.6850696510412</v>
      </c>
      <c r="AG1150" s="6">
        <f>$O$1150*$AA$1150</f>
        <v>2454.02552514545</v>
      </c>
    </row>
    <row r="1151" spans="1:33" ht="11.25" customHeight="1" x14ac:dyDescent="0.25">
      <c r="A1151" s="4" t="s">
        <v>28</v>
      </c>
      <c r="B1151" s="4" t="s">
        <v>35</v>
      </c>
      <c r="C1151" s="4" t="s">
        <v>36</v>
      </c>
      <c r="D1151" s="4" t="s">
        <v>48</v>
      </c>
      <c r="E1151" s="4" t="s">
        <v>25</v>
      </c>
      <c r="F1151" s="4" t="s">
        <v>25</v>
      </c>
      <c r="G1151" s="4" t="s">
        <v>25</v>
      </c>
      <c r="H1151" s="4" t="s">
        <v>38</v>
      </c>
      <c r="I1151" s="5">
        <v>44166</v>
      </c>
      <c r="J1151" s="6">
        <v>0</v>
      </c>
      <c r="K1151" s="6">
        <v>0</v>
      </c>
      <c r="L1151" s="6">
        <v>3710.2339999999999</v>
      </c>
      <c r="M1151" s="6">
        <v>3710.2339999999999</v>
      </c>
      <c r="N1151" s="6">
        <v>3710.2339999999999</v>
      </c>
      <c r="O1151" s="6">
        <v>3710.2339999999999</v>
      </c>
      <c r="P1151" s="6">
        <v>0</v>
      </c>
      <c r="Q1151" s="4" t="s">
        <v>26</v>
      </c>
      <c r="R1151" s="4">
        <v>0</v>
      </c>
      <c r="S1151" s="6">
        <v>0</v>
      </c>
      <c r="T1151" s="6">
        <v>19</v>
      </c>
      <c r="U1151" s="6">
        <v>67</v>
      </c>
      <c r="V1151" s="6">
        <f>IF(ISERROR(VLOOKUP($S$1151,'TAR FIN'!$A$1:$O$95,15,0)),0,VLOOKUP($S$1151,'TAR FIN'!$A$1:$O$95,15,0))</f>
        <v>0</v>
      </c>
      <c r="W1151" s="6">
        <f>IF(ISERROR(VLOOKUP($T$1151,'TAR FIN'!$A$1:$O$95,15,0)),0,VLOOKUP($T$1151,'TAR FIN'!$A$1:$O$95,15,0))</f>
        <v>149.63</v>
      </c>
      <c r="X1151" s="6">
        <f>IF(ISERROR(VLOOKUP($U$1151,'TAR FIN'!$A$1:$O$95,15,0)),0,VLOOKUP($U$1151,'TAR FIN'!$A$1:$O$95,15,0))</f>
        <v>230.03</v>
      </c>
      <c r="Y1151" s="6"/>
      <c r="Z1151" s="6">
        <f ca="1">('TUSD BE'!$AM$17+'TUSD BF'!$AM$17+'TUSD CVA'!$AM$17)*1</f>
        <v>168.51338132937991</v>
      </c>
      <c r="AA1151" s="6">
        <f>('TE BE'!$AA$8+'TE BF'!$AA$8+'TE CVA'!$AA$8)*1</f>
        <v>282.91739971702214</v>
      </c>
      <c r="AB1151" s="6">
        <f>$K$1151*$V$1151</f>
        <v>0</v>
      </c>
      <c r="AC1151" s="6">
        <f>$M$1151*$W$1151</f>
        <v>555162.31342000002</v>
      </c>
      <c r="AD1151" s="6">
        <f>$O$1151*$X$1151</f>
        <v>853465.12702000001</v>
      </c>
      <c r="AE1151" s="6">
        <f>$K$1151*$Y$1151</f>
        <v>0</v>
      </c>
      <c r="AF1151" s="6">
        <f ca="1">$M$1151*$Z$1151</f>
        <v>625224.07686323056</v>
      </c>
      <c r="AG1151" s="6">
        <f>$O$1151*$AA$1151</f>
        <v>1049689.7556216859</v>
      </c>
    </row>
    <row r="1152" spans="1:33" ht="11.25" customHeight="1" x14ac:dyDescent="0.25">
      <c r="A1152" s="4" t="s">
        <v>30</v>
      </c>
      <c r="B1152" s="4" t="s">
        <v>35</v>
      </c>
      <c r="C1152" s="4" t="s">
        <v>36</v>
      </c>
      <c r="D1152" s="4" t="s">
        <v>48</v>
      </c>
      <c r="E1152" s="4" t="s">
        <v>25</v>
      </c>
      <c r="F1152" s="4" t="s">
        <v>25</v>
      </c>
      <c r="G1152" s="4" t="s">
        <v>25</v>
      </c>
      <c r="H1152" s="4" t="s">
        <v>38</v>
      </c>
      <c r="I1152" s="5">
        <v>44166</v>
      </c>
      <c r="J1152" s="6">
        <v>0</v>
      </c>
      <c r="K1152" s="6">
        <v>0</v>
      </c>
      <c r="L1152" s="6">
        <v>45.444000000000003</v>
      </c>
      <c r="M1152" s="6">
        <v>45.444000000000003</v>
      </c>
      <c r="N1152" s="6">
        <v>45.444000000000003</v>
      </c>
      <c r="O1152" s="6">
        <v>45.444000000000003</v>
      </c>
      <c r="P1152" s="6">
        <v>0</v>
      </c>
      <c r="Q1152" s="4" t="s">
        <v>26</v>
      </c>
      <c r="R1152" s="4">
        <v>0</v>
      </c>
      <c r="S1152" s="6">
        <v>0</v>
      </c>
      <c r="T1152" s="6">
        <v>19</v>
      </c>
      <c r="U1152" s="6">
        <v>67</v>
      </c>
      <c r="V1152" s="6">
        <f>IF(ISERROR(VLOOKUP($S$1152,'TAR FIN'!$A$1:$O$95,15,0)),0,VLOOKUP($S$1152,'TAR FIN'!$A$1:$O$95,15,0))</f>
        <v>0</v>
      </c>
      <c r="W1152" s="6">
        <f>IF(ISERROR(VLOOKUP($T$1152,'TAR FIN'!$A$1:$O$95,15,0)),0,VLOOKUP($T$1152,'TAR FIN'!$A$1:$O$95,15,0))</f>
        <v>149.63</v>
      </c>
      <c r="X1152" s="6">
        <f>IF(ISERROR(VLOOKUP($U$1152,'TAR FIN'!$A$1:$O$95,15,0)),0,VLOOKUP($U$1152,'TAR FIN'!$A$1:$O$95,15,0))</f>
        <v>230.03</v>
      </c>
      <c r="Y1152" s="6"/>
      <c r="Z1152" s="6">
        <f ca="1">('TUSD BE'!$AM$17+'TUSD BF'!$AM$17+'TUSD CVA'!$AM$17)*1</f>
        <v>168.51338132937991</v>
      </c>
      <c r="AA1152" s="6">
        <f>('TE BE'!$AA$8+'TE BF'!$AA$8+'TE CVA'!$AA$8)*1</f>
        <v>282.91739971702214</v>
      </c>
      <c r="AB1152" s="6">
        <f>$K$1152*$V$1152</f>
        <v>0</v>
      </c>
      <c r="AC1152" s="6">
        <f>$M$1152*$W$1152</f>
        <v>6799.7857199999999</v>
      </c>
      <c r="AD1152" s="6">
        <f>$O$1152*$X$1152</f>
        <v>10453.483320000001</v>
      </c>
      <c r="AE1152" s="6">
        <f>$K$1152*$Y$1152</f>
        <v>0</v>
      </c>
      <c r="AF1152" s="6">
        <f ca="1">$M$1152*$Z$1152</f>
        <v>7657.9221011323407</v>
      </c>
      <c r="AG1152" s="6">
        <f>$O$1152*$AA$1152</f>
        <v>12856.898312740355</v>
      </c>
    </row>
    <row r="1153" spans="1:33" ht="11.25" customHeight="1" x14ac:dyDescent="0.25">
      <c r="A1153" s="4" t="s">
        <v>21</v>
      </c>
      <c r="B1153" s="4" t="s">
        <v>35</v>
      </c>
      <c r="C1153" s="4" t="s">
        <v>36</v>
      </c>
      <c r="D1153" s="4" t="s">
        <v>48</v>
      </c>
      <c r="E1153" s="4" t="s">
        <v>25</v>
      </c>
      <c r="F1153" s="4" t="s">
        <v>25</v>
      </c>
      <c r="G1153" s="4" t="s">
        <v>25</v>
      </c>
      <c r="H1153" s="4" t="s">
        <v>38</v>
      </c>
      <c r="I1153" s="5">
        <v>44197</v>
      </c>
      <c r="J1153" s="6">
        <v>0</v>
      </c>
      <c r="K1153" s="6">
        <v>0</v>
      </c>
      <c r="L1153" s="6">
        <v>9522.723</v>
      </c>
      <c r="M1153" s="6">
        <v>9522.723</v>
      </c>
      <c r="N1153" s="6">
        <v>9522.723</v>
      </c>
      <c r="O1153" s="6">
        <v>9522.723</v>
      </c>
      <c r="P1153" s="6">
        <v>0</v>
      </c>
      <c r="Q1153" s="4" t="s">
        <v>26</v>
      </c>
      <c r="R1153" s="4">
        <v>0</v>
      </c>
      <c r="S1153" s="6">
        <v>0</v>
      </c>
      <c r="T1153" s="6">
        <v>19</v>
      </c>
      <c r="U1153" s="6">
        <v>67</v>
      </c>
      <c r="V1153" s="6">
        <f>IF(ISERROR(VLOOKUP($S$1153,'TAR FIN'!$A$1:$O$95,15,0)),0,VLOOKUP($S$1153,'TAR FIN'!$A$1:$O$95,15,0))</f>
        <v>0</v>
      </c>
      <c r="W1153" s="6">
        <f>IF(ISERROR(VLOOKUP($T$1153,'TAR FIN'!$A$1:$O$95,15,0)),0,VLOOKUP($T$1153,'TAR FIN'!$A$1:$O$95,15,0))</f>
        <v>149.63</v>
      </c>
      <c r="X1153" s="6">
        <f>IF(ISERROR(VLOOKUP($U$1153,'TAR FIN'!$A$1:$O$95,15,0)),0,VLOOKUP($U$1153,'TAR FIN'!$A$1:$O$95,15,0))</f>
        <v>230.03</v>
      </c>
      <c r="Y1153" s="6"/>
      <c r="Z1153" s="6">
        <f ca="1">('TUSD BE'!$AM$17+'TUSD BF'!$AM$17+'TUSD CVA'!$AM$17)*1</f>
        <v>168.51338132937991</v>
      </c>
      <c r="AA1153" s="6">
        <f>('TE BE'!$AA$8+'TE BF'!$AA$8+'TE CVA'!$AA$8)*1</f>
        <v>282.91739971702214</v>
      </c>
      <c r="AB1153" s="6">
        <f>$K$1153*$V$1153</f>
        <v>0</v>
      </c>
      <c r="AC1153" s="6">
        <f>$M$1153*$W$1153</f>
        <v>1424885.0424899999</v>
      </c>
      <c r="AD1153" s="6">
        <f>$O$1153*$X$1153</f>
        <v>2190511.97169</v>
      </c>
      <c r="AE1153" s="6">
        <f>$K$1153*$Y$1153</f>
        <v>0</v>
      </c>
      <c r="AF1153" s="6">
        <f ca="1">$M$1153*$Z$1153</f>
        <v>1604706.2521930567</v>
      </c>
      <c r="AG1153" s="6">
        <f>$O$1153*$AA$1153</f>
        <v>2694144.0293854801</v>
      </c>
    </row>
    <row r="1154" spans="1:33" ht="11.25" customHeight="1" x14ac:dyDescent="0.25">
      <c r="A1154" s="4" t="s">
        <v>28</v>
      </c>
      <c r="B1154" s="4" t="s">
        <v>35</v>
      </c>
      <c r="C1154" s="4" t="s">
        <v>36</v>
      </c>
      <c r="D1154" s="4" t="s">
        <v>48</v>
      </c>
      <c r="E1154" s="4" t="s">
        <v>25</v>
      </c>
      <c r="F1154" s="4" t="s">
        <v>25</v>
      </c>
      <c r="G1154" s="4" t="s">
        <v>25</v>
      </c>
      <c r="H1154" s="4" t="s">
        <v>38</v>
      </c>
      <c r="I1154" s="5">
        <v>44197</v>
      </c>
      <c r="J1154" s="6">
        <v>0</v>
      </c>
      <c r="K1154" s="6">
        <v>0</v>
      </c>
      <c r="L1154" s="6">
        <v>2086.9589999999998</v>
      </c>
      <c r="M1154" s="6">
        <v>2086.9589999999998</v>
      </c>
      <c r="N1154" s="6">
        <v>2086.9589999999998</v>
      </c>
      <c r="O1154" s="6">
        <v>2086.9589999999998</v>
      </c>
      <c r="P1154" s="6">
        <v>0</v>
      </c>
      <c r="Q1154" s="4" t="s">
        <v>26</v>
      </c>
      <c r="R1154" s="4">
        <v>0</v>
      </c>
      <c r="S1154" s="6">
        <v>0</v>
      </c>
      <c r="T1154" s="6">
        <v>19</v>
      </c>
      <c r="U1154" s="6">
        <v>67</v>
      </c>
      <c r="V1154" s="6">
        <f>IF(ISERROR(VLOOKUP($S$1154,'TAR FIN'!$A$1:$O$95,15,0)),0,VLOOKUP($S$1154,'TAR FIN'!$A$1:$O$95,15,0))</f>
        <v>0</v>
      </c>
      <c r="W1154" s="6">
        <f>IF(ISERROR(VLOOKUP($T$1154,'TAR FIN'!$A$1:$O$95,15,0)),0,VLOOKUP($T$1154,'TAR FIN'!$A$1:$O$95,15,0))</f>
        <v>149.63</v>
      </c>
      <c r="X1154" s="6">
        <f>IF(ISERROR(VLOOKUP($U$1154,'TAR FIN'!$A$1:$O$95,15,0)),0,VLOOKUP($U$1154,'TAR FIN'!$A$1:$O$95,15,0))</f>
        <v>230.03</v>
      </c>
      <c r="Y1154" s="6"/>
      <c r="Z1154" s="6">
        <f ca="1">('TUSD BE'!$AM$17+'TUSD BF'!$AM$17+'TUSD CVA'!$AM$17)*1</f>
        <v>168.51338132937991</v>
      </c>
      <c r="AA1154" s="6">
        <f>('TE BE'!$AA$8+'TE BF'!$AA$8+'TE CVA'!$AA$8)*1</f>
        <v>282.91739971702214</v>
      </c>
      <c r="AB1154" s="6">
        <f>$K$1154*$V$1154</f>
        <v>0</v>
      </c>
      <c r="AC1154" s="6">
        <f>$M$1154*$W$1154</f>
        <v>312271.67516999994</v>
      </c>
      <c r="AD1154" s="6">
        <f>$O$1154*$X$1154</f>
        <v>480063.17876999994</v>
      </c>
      <c r="AE1154" s="6">
        <f>$K$1154*$Y$1154</f>
        <v>0</v>
      </c>
      <c r="AF1154" s="6">
        <f ca="1">$M$1154*$Z$1154</f>
        <v>351680.51778578135</v>
      </c>
      <c r="AG1154" s="6">
        <f>$O$1154*$AA$1154</f>
        <v>590437.0135960367</v>
      </c>
    </row>
    <row r="1155" spans="1:33" ht="11.25" customHeight="1" x14ac:dyDescent="0.25">
      <c r="A1155" s="4" t="s">
        <v>30</v>
      </c>
      <c r="B1155" s="4" t="s">
        <v>35</v>
      </c>
      <c r="C1155" s="4" t="s">
        <v>36</v>
      </c>
      <c r="D1155" s="4" t="s">
        <v>48</v>
      </c>
      <c r="E1155" s="4" t="s">
        <v>25</v>
      </c>
      <c r="F1155" s="4" t="s">
        <v>25</v>
      </c>
      <c r="G1155" s="4" t="s">
        <v>25</v>
      </c>
      <c r="H1155" s="4" t="s">
        <v>38</v>
      </c>
      <c r="I1155" s="5">
        <v>44197</v>
      </c>
      <c r="J1155" s="6">
        <v>0</v>
      </c>
      <c r="K1155" s="6">
        <v>0</v>
      </c>
      <c r="L1155" s="6">
        <v>30.46</v>
      </c>
      <c r="M1155" s="6">
        <v>30.46</v>
      </c>
      <c r="N1155" s="6">
        <v>30.46</v>
      </c>
      <c r="O1155" s="6">
        <v>30.46</v>
      </c>
      <c r="P1155" s="6">
        <v>0</v>
      </c>
      <c r="Q1155" s="4" t="s">
        <v>26</v>
      </c>
      <c r="R1155" s="4">
        <v>0</v>
      </c>
      <c r="S1155" s="6">
        <v>0</v>
      </c>
      <c r="T1155" s="6">
        <v>19</v>
      </c>
      <c r="U1155" s="6">
        <v>67</v>
      </c>
      <c r="V1155" s="6">
        <f>IF(ISERROR(VLOOKUP($S$1155,'TAR FIN'!$A$1:$O$95,15,0)),0,VLOOKUP($S$1155,'TAR FIN'!$A$1:$O$95,15,0))</f>
        <v>0</v>
      </c>
      <c r="W1155" s="6">
        <f>IF(ISERROR(VLOOKUP($T$1155,'TAR FIN'!$A$1:$O$95,15,0)),0,VLOOKUP($T$1155,'TAR FIN'!$A$1:$O$95,15,0))</f>
        <v>149.63</v>
      </c>
      <c r="X1155" s="6">
        <f>IF(ISERROR(VLOOKUP($U$1155,'TAR FIN'!$A$1:$O$95,15,0)),0,VLOOKUP($U$1155,'TAR FIN'!$A$1:$O$95,15,0))</f>
        <v>230.03</v>
      </c>
      <c r="Y1155" s="6"/>
      <c r="Z1155" s="6">
        <f ca="1">('TUSD BE'!$AM$17+'TUSD BF'!$AM$17+'TUSD CVA'!$AM$17)*1</f>
        <v>168.51338132937991</v>
      </c>
      <c r="AA1155" s="6">
        <f>('TE BE'!$AA$8+'TE BF'!$AA$8+'TE CVA'!$AA$8)*1</f>
        <v>282.91739971702214</v>
      </c>
      <c r="AB1155" s="6">
        <f>$K$1155*$V$1155</f>
        <v>0</v>
      </c>
      <c r="AC1155" s="6">
        <f>$M$1155*$W$1155</f>
        <v>4557.7298000000001</v>
      </c>
      <c r="AD1155" s="6">
        <f>$O$1155*$X$1155</f>
        <v>7006.7138000000004</v>
      </c>
      <c r="AE1155" s="6">
        <f>$K$1155*$Y$1155</f>
        <v>0</v>
      </c>
      <c r="AF1155" s="6">
        <f ca="1">$M$1155*$Z$1155</f>
        <v>5132.9175952929127</v>
      </c>
      <c r="AG1155" s="6">
        <f>$O$1155*$AA$1155</f>
        <v>8617.6639953804952</v>
      </c>
    </row>
    <row r="1156" spans="1:33" ht="11.25" customHeight="1" x14ac:dyDescent="0.25">
      <c r="A1156" s="4" t="s">
        <v>21</v>
      </c>
      <c r="B1156" s="4" t="s">
        <v>35</v>
      </c>
      <c r="C1156" s="4" t="s">
        <v>36</v>
      </c>
      <c r="D1156" s="4" t="s">
        <v>48</v>
      </c>
      <c r="E1156" s="4" t="s">
        <v>25</v>
      </c>
      <c r="F1156" s="4" t="s">
        <v>25</v>
      </c>
      <c r="G1156" s="4" t="s">
        <v>25</v>
      </c>
      <c r="H1156" s="4" t="s">
        <v>38</v>
      </c>
      <c r="I1156" s="5">
        <v>44228</v>
      </c>
      <c r="J1156" s="6">
        <v>0</v>
      </c>
      <c r="K1156" s="6">
        <v>0</v>
      </c>
      <c r="L1156" s="6">
        <v>9429.6170000000002</v>
      </c>
      <c r="M1156" s="6">
        <v>9429.6170000000002</v>
      </c>
      <c r="N1156" s="6">
        <v>9429.6170000000002</v>
      </c>
      <c r="O1156" s="6">
        <v>9429.6170000000002</v>
      </c>
      <c r="P1156" s="6">
        <v>0</v>
      </c>
      <c r="Q1156" s="4" t="s">
        <v>26</v>
      </c>
      <c r="R1156" s="4">
        <v>0</v>
      </c>
      <c r="S1156" s="6">
        <v>0</v>
      </c>
      <c r="T1156" s="6">
        <v>19</v>
      </c>
      <c r="U1156" s="6">
        <v>67</v>
      </c>
      <c r="V1156" s="6">
        <f>IF(ISERROR(VLOOKUP($S$1156,'TAR FIN'!$A$1:$O$95,15,0)),0,VLOOKUP($S$1156,'TAR FIN'!$A$1:$O$95,15,0))</f>
        <v>0</v>
      </c>
      <c r="W1156" s="6">
        <f>IF(ISERROR(VLOOKUP($T$1156,'TAR FIN'!$A$1:$O$95,15,0)),0,VLOOKUP($T$1156,'TAR FIN'!$A$1:$O$95,15,0))</f>
        <v>149.63</v>
      </c>
      <c r="X1156" s="6">
        <f>IF(ISERROR(VLOOKUP($U$1156,'TAR FIN'!$A$1:$O$95,15,0)),0,VLOOKUP($U$1156,'TAR FIN'!$A$1:$O$95,15,0))</f>
        <v>230.03</v>
      </c>
      <c r="Y1156" s="6"/>
      <c r="Z1156" s="6">
        <f ca="1">('TUSD BE'!$AM$17+'TUSD BF'!$AM$17+'TUSD CVA'!$AM$17)*1</f>
        <v>168.51338132937991</v>
      </c>
      <c r="AA1156" s="6">
        <f>('TE BE'!$AA$8+'TE BF'!$AA$8+'TE CVA'!$AA$8)*1</f>
        <v>282.91739971702214</v>
      </c>
      <c r="AB1156" s="6">
        <f>$K$1156*$V$1156</f>
        <v>0</v>
      </c>
      <c r="AC1156" s="6">
        <f>$M$1156*$W$1156</f>
        <v>1410953.5917100001</v>
      </c>
      <c r="AD1156" s="6">
        <f>$O$1156*$X$1156</f>
        <v>2169094.7985100001</v>
      </c>
      <c r="AE1156" s="6">
        <f>$K$1156*$Y$1156</f>
        <v>0</v>
      </c>
      <c r="AF1156" s="6">
        <f ca="1">$M$1156*$Z$1156</f>
        <v>1589016.6453110036</v>
      </c>
      <c r="AG1156" s="6">
        <f>$O$1156*$AA$1156</f>
        <v>2667802.7219674271</v>
      </c>
    </row>
    <row r="1157" spans="1:33" ht="11.25" customHeight="1" x14ac:dyDescent="0.25">
      <c r="A1157" s="4" t="s">
        <v>28</v>
      </c>
      <c r="B1157" s="4" t="s">
        <v>35</v>
      </c>
      <c r="C1157" s="4" t="s">
        <v>36</v>
      </c>
      <c r="D1157" s="4" t="s">
        <v>48</v>
      </c>
      <c r="E1157" s="4" t="s">
        <v>25</v>
      </c>
      <c r="F1157" s="4" t="s">
        <v>25</v>
      </c>
      <c r="G1157" s="4" t="s">
        <v>25</v>
      </c>
      <c r="H1157" s="4" t="s">
        <v>38</v>
      </c>
      <c r="I1157" s="5">
        <v>44228</v>
      </c>
      <c r="J1157" s="6">
        <v>0</v>
      </c>
      <c r="K1157" s="6">
        <v>0</v>
      </c>
      <c r="L1157" s="6">
        <v>2130.9340000000002</v>
      </c>
      <c r="M1157" s="6">
        <v>2130.9340000000002</v>
      </c>
      <c r="N1157" s="6">
        <v>2130.9340000000002</v>
      </c>
      <c r="O1157" s="6">
        <v>2130.9340000000002</v>
      </c>
      <c r="P1157" s="6">
        <v>0</v>
      </c>
      <c r="Q1157" s="4" t="s">
        <v>26</v>
      </c>
      <c r="R1157" s="4">
        <v>0</v>
      </c>
      <c r="S1157" s="6">
        <v>0</v>
      </c>
      <c r="T1157" s="6">
        <v>19</v>
      </c>
      <c r="U1157" s="6">
        <v>67</v>
      </c>
      <c r="V1157" s="6">
        <f>IF(ISERROR(VLOOKUP($S$1157,'TAR FIN'!$A$1:$O$95,15,0)),0,VLOOKUP($S$1157,'TAR FIN'!$A$1:$O$95,15,0))</f>
        <v>0</v>
      </c>
      <c r="W1157" s="6">
        <f>IF(ISERROR(VLOOKUP($T$1157,'TAR FIN'!$A$1:$O$95,15,0)),0,VLOOKUP($T$1157,'TAR FIN'!$A$1:$O$95,15,0))</f>
        <v>149.63</v>
      </c>
      <c r="X1157" s="6">
        <f>IF(ISERROR(VLOOKUP($U$1157,'TAR FIN'!$A$1:$O$95,15,0)),0,VLOOKUP($U$1157,'TAR FIN'!$A$1:$O$95,15,0))</f>
        <v>230.03</v>
      </c>
      <c r="Y1157" s="6"/>
      <c r="Z1157" s="6">
        <f ca="1">('TUSD BE'!$AM$17+'TUSD BF'!$AM$17+'TUSD CVA'!$AM$17)*1</f>
        <v>168.51338132937991</v>
      </c>
      <c r="AA1157" s="6">
        <f>('TE BE'!$AA$8+'TE BF'!$AA$8+'TE CVA'!$AA$8)*1</f>
        <v>282.91739971702214</v>
      </c>
      <c r="AB1157" s="6">
        <f>$K$1157*$V$1157</f>
        <v>0</v>
      </c>
      <c r="AC1157" s="6">
        <f>$M$1157*$W$1157</f>
        <v>318851.65442000004</v>
      </c>
      <c r="AD1157" s="6">
        <f>$O$1157*$X$1157</f>
        <v>490178.74802000006</v>
      </c>
      <c r="AE1157" s="6">
        <f>$K$1157*$Y$1157</f>
        <v>0</v>
      </c>
      <c r="AF1157" s="6">
        <f ca="1">$M$1157*$Z$1157</f>
        <v>359090.89372974087</v>
      </c>
      <c r="AG1157" s="6">
        <f>$O$1157*$AA$1157</f>
        <v>602878.30624859291</v>
      </c>
    </row>
    <row r="1158" spans="1:33" ht="11.25" customHeight="1" x14ac:dyDescent="0.25">
      <c r="A1158" s="4" t="s">
        <v>30</v>
      </c>
      <c r="B1158" s="4" t="s">
        <v>35</v>
      </c>
      <c r="C1158" s="4" t="s">
        <v>36</v>
      </c>
      <c r="D1158" s="4" t="s">
        <v>48</v>
      </c>
      <c r="E1158" s="4" t="s">
        <v>25</v>
      </c>
      <c r="F1158" s="4" t="s">
        <v>25</v>
      </c>
      <c r="G1158" s="4" t="s">
        <v>25</v>
      </c>
      <c r="H1158" s="4" t="s">
        <v>38</v>
      </c>
      <c r="I1158" s="5">
        <v>44228</v>
      </c>
      <c r="J1158" s="6">
        <v>0</v>
      </c>
      <c r="K1158" s="6">
        <v>0</v>
      </c>
      <c r="L1158" s="6">
        <v>30.219000000000001</v>
      </c>
      <c r="M1158" s="6">
        <v>30.219000000000001</v>
      </c>
      <c r="N1158" s="6">
        <v>30.219000000000001</v>
      </c>
      <c r="O1158" s="6">
        <v>30.219000000000001</v>
      </c>
      <c r="P1158" s="6">
        <v>0</v>
      </c>
      <c r="Q1158" s="4" t="s">
        <v>26</v>
      </c>
      <c r="R1158" s="4">
        <v>0</v>
      </c>
      <c r="S1158" s="6">
        <v>0</v>
      </c>
      <c r="T1158" s="6">
        <v>19</v>
      </c>
      <c r="U1158" s="6">
        <v>67</v>
      </c>
      <c r="V1158" s="6">
        <f>IF(ISERROR(VLOOKUP($S$1158,'TAR FIN'!$A$1:$O$95,15,0)),0,VLOOKUP($S$1158,'TAR FIN'!$A$1:$O$95,15,0))</f>
        <v>0</v>
      </c>
      <c r="W1158" s="6">
        <f>IF(ISERROR(VLOOKUP($T$1158,'TAR FIN'!$A$1:$O$95,15,0)),0,VLOOKUP($T$1158,'TAR FIN'!$A$1:$O$95,15,0))</f>
        <v>149.63</v>
      </c>
      <c r="X1158" s="6">
        <f>IF(ISERROR(VLOOKUP($U$1158,'TAR FIN'!$A$1:$O$95,15,0)),0,VLOOKUP($U$1158,'TAR FIN'!$A$1:$O$95,15,0))</f>
        <v>230.03</v>
      </c>
      <c r="Y1158" s="6"/>
      <c r="Z1158" s="6">
        <f ca="1">('TUSD BE'!$AM$17+'TUSD BF'!$AM$17+'TUSD CVA'!$AM$17)*1</f>
        <v>168.51338132937991</v>
      </c>
      <c r="AA1158" s="6">
        <f>('TE BE'!$AA$8+'TE BF'!$AA$8+'TE CVA'!$AA$8)*1</f>
        <v>282.91739971702214</v>
      </c>
      <c r="AB1158" s="6">
        <f>$K$1158*$V$1158</f>
        <v>0</v>
      </c>
      <c r="AC1158" s="6">
        <f>$M$1158*$W$1158</f>
        <v>4521.6689699999997</v>
      </c>
      <c r="AD1158" s="6">
        <f>$O$1158*$X$1158</f>
        <v>6951.27657</v>
      </c>
      <c r="AE1158" s="6">
        <f>$K$1158*$Y$1158</f>
        <v>0</v>
      </c>
      <c r="AF1158" s="6">
        <f ca="1">$M$1158*$Z$1158</f>
        <v>5092.3058703925317</v>
      </c>
      <c r="AG1158" s="6">
        <f>$O$1158*$AA$1158</f>
        <v>8549.4809020486919</v>
      </c>
    </row>
    <row r="1159" spans="1:33" ht="11.25" customHeight="1" x14ac:dyDescent="0.25">
      <c r="A1159" s="4" t="s">
        <v>21</v>
      </c>
      <c r="B1159" s="4" t="s">
        <v>35</v>
      </c>
      <c r="C1159" s="4" t="s">
        <v>36</v>
      </c>
      <c r="D1159" s="4" t="s">
        <v>48</v>
      </c>
      <c r="E1159" s="4" t="s">
        <v>25</v>
      </c>
      <c r="F1159" s="4" t="s">
        <v>25</v>
      </c>
      <c r="G1159" s="4" t="s">
        <v>25</v>
      </c>
      <c r="H1159" s="4" t="s">
        <v>38</v>
      </c>
      <c r="I1159" s="5">
        <v>44256</v>
      </c>
      <c r="J1159" s="6">
        <v>0</v>
      </c>
      <c r="K1159" s="6">
        <v>0</v>
      </c>
      <c r="L1159" s="6">
        <v>10456.519</v>
      </c>
      <c r="M1159" s="6">
        <v>10456.519</v>
      </c>
      <c r="N1159" s="6">
        <v>10456.519</v>
      </c>
      <c r="O1159" s="6">
        <v>10456.519</v>
      </c>
      <c r="P1159" s="6">
        <v>0</v>
      </c>
      <c r="Q1159" s="4" t="s">
        <v>26</v>
      </c>
      <c r="R1159" s="4">
        <v>0</v>
      </c>
      <c r="S1159" s="6">
        <v>0</v>
      </c>
      <c r="T1159" s="6">
        <v>19</v>
      </c>
      <c r="U1159" s="6">
        <v>67</v>
      </c>
      <c r="V1159" s="6">
        <f>IF(ISERROR(VLOOKUP($S$1159,'TAR FIN'!$A$1:$O$95,15,0)),0,VLOOKUP($S$1159,'TAR FIN'!$A$1:$O$95,15,0))</f>
        <v>0</v>
      </c>
      <c r="W1159" s="6">
        <f>IF(ISERROR(VLOOKUP($T$1159,'TAR FIN'!$A$1:$O$95,15,0)),0,VLOOKUP($T$1159,'TAR FIN'!$A$1:$O$95,15,0))</f>
        <v>149.63</v>
      </c>
      <c r="X1159" s="6">
        <f>IF(ISERROR(VLOOKUP($U$1159,'TAR FIN'!$A$1:$O$95,15,0)),0,VLOOKUP($U$1159,'TAR FIN'!$A$1:$O$95,15,0))</f>
        <v>230.03</v>
      </c>
      <c r="Y1159" s="6"/>
      <c r="Z1159" s="6">
        <f ca="1">('TUSD BE'!$AM$17+'TUSD BF'!$AM$17+'TUSD CVA'!$AM$17)*1</f>
        <v>168.51338132937991</v>
      </c>
      <c r="AA1159" s="6">
        <f>('TE BE'!$AA$8+'TE BF'!$AA$8+'TE CVA'!$AA$8)*1</f>
        <v>282.91739971702214</v>
      </c>
      <c r="AB1159" s="6">
        <f>$K$1159*$V$1159</f>
        <v>0</v>
      </c>
      <c r="AC1159" s="6">
        <f>$M$1159*$W$1159</f>
        <v>1564608.9379700001</v>
      </c>
      <c r="AD1159" s="6">
        <f>$O$1159*$X$1159</f>
        <v>2405313.0655700001</v>
      </c>
      <c r="AE1159" s="6">
        <f>$K$1159*$Y$1159</f>
        <v>0</v>
      </c>
      <c r="AF1159" s="6">
        <f ca="1">$M$1159*$Z$1159</f>
        <v>1762063.3736249064</v>
      </c>
      <c r="AG1159" s="6">
        <f>$O$1159*$AA$1159</f>
        <v>2958331.1655716365</v>
      </c>
    </row>
    <row r="1160" spans="1:33" ht="11.25" customHeight="1" x14ac:dyDescent="0.25">
      <c r="A1160" s="4" t="s">
        <v>27</v>
      </c>
      <c r="B1160" s="4" t="s">
        <v>35</v>
      </c>
      <c r="C1160" s="4" t="s">
        <v>36</v>
      </c>
      <c r="D1160" s="4" t="s">
        <v>48</v>
      </c>
      <c r="E1160" s="4" t="s">
        <v>25</v>
      </c>
      <c r="F1160" s="4" t="s">
        <v>25</v>
      </c>
      <c r="G1160" s="4" t="s">
        <v>25</v>
      </c>
      <c r="H1160" s="4" t="s">
        <v>38</v>
      </c>
      <c r="I1160" s="5">
        <v>44256</v>
      </c>
      <c r="J1160" s="6">
        <v>0</v>
      </c>
      <c r="K1160" s="6">
        <v>0</v>
      </c>
      <c r="L1160" s="6">
        <v>-1.3380000000000001</v>
      </c>
      <c r="M1160" s="6">
        <v>-1.3380000000000001</v>
      </c>
      <c r="N1160" s="6">
        <v>-1.3380000000000001</v>
      </c>
      <c r="O1160" s="6">
        <v>-1.3380000000000001</v>
      </c>
      <c r="P1160" s="6">
        <v>0</v>
      </c>
      <c r="Q1160" s="4" t="s">
        <v>26</v>
      </c>
      <c r="R1160" s="4">
        <v>0</v>
      </c>
      <c r="S1160" s="6">
        <v>0</v>
      </c>
      <c r="T1160" s="6">
        <v>19</v>
      </c>
      <c r="U1160" s="6">
        <v>67</v>
      </c>
      <c r="V1160" s="6">
        <f>IF(ISERROR(VLOOKUP($S$1160,'TAR FIN'!$A$1:$O$95,15,0)),0,VLOOKUP($S$1160,'TAR FIN'!$A$1:$O$95,15,0))</f>
        <v>0</v>
      </c>
      <c r="W1160" s="6">
        <f>IF(ISERROR(VLOOKUP($T$1160,'TAR FIN'!$A$1:$O$95,15,0)),0,VLOOKUP($T$1160,'TAR FIN'!$A$1:$O$95,15,0))</f>
        <v>149.63</v>
      </c>
      <c r="X1160" s="6">
        <f>IF(ISERROR(VLOOKUP($U$1160,'TAR FIN'!$A$1:$O$95,15,0)),0,VLOOKUP($U$1160,'TAR FIN'!$A$1:$O$95,15,0))</f>
        <v>230.03</v>
      </c>
      <c r="Y1160" s="6"/>
      <c r="Z1160" s="6">
        <f ca="1">('TUSD BE'!$AM$17+'TUSD BF'!$AM$17+'TUSD CVA'!$AM$17)*1</f>
        <v>168.51338132937991</v>
      </c>
      <c r="AA1160" s="6">
        <f>('TE BE'!$AA$8+'TE BF'!$AA$8+'TE CVA'!$AA$8)*1</f>
        <v>282.91739971702214</v>
      </c>
      <c r="AB1160" s="6">
        <f>$K$1160*$V$1160</f>
        <v>0</v>
      </c>
      <c r="AC1160" s="6">
        <f>$M$1160*$W$1160</f>
        <v>-200.20493999999999</v>
      </c>
      <c r="AD1160" s="6">
        <f>$O$1160*$X$1160</f>
        <v>-307.78014000000002</v>
      </c>
      <c r="AE1160" s="6">
        <f>$K$1160*$Y$1160</f>
        <v>0</v>
      </c>
      <c r="AF1160" s="6">
        <f ca="1">$M$1160*$Z$1160</f>
        <v>-225.47090421871033</v>
      </c>
      <c r="AG1160" s="6">
        <f>$O$1160*$AA$1160</f>
        <v>-378.54348082137562</v>
      </c>
    </row>
    <row r="1161" spans="1:33" ht="11.25" customHeight="1" x14ac:dyDescent="0.25">
      <c r="A1161" s="4" t="s">
        <v>28</v>
      </c>
      <c r="B1161" s="4" t="s">
        <v>35</v>
      </c>
      <c r="C1161" s="4" t="s">
        <v>36</v>
      </c>
      <c r="D1161" s="4" t="s">
        <v>48</v>
      </c>
      <c r="E1161" s="4" t="s">
        <v>25</v>
      </c>
      <c r="F1161" s="4" t="s">
        <v>25</v>
      </c>
      <c r="G1161" s="4" t="s">
        <v>25</v>
      </c>
      <c r="H1161" s="4" t="s">
        <v>38</v>
      </c>
      <c r="I1161" s="5">
        <v>44256</v>
      </c>
      <c r="J1161" s="6">
        <v>0</v>
      </c>
      <c r="K1161" s="6">
        <v>0</v>
      </c>
      <c r="L1161" s="6">
        <v>2162.2710000000002</v>
      </c>
      <c r="M1161" s="6">
        <v>2162.2710000000002</v>
      </c>
      <c r="N1161" s="6">
        <v>2162.2710000000002</v>
      </c>
      <c r="O1161" s="6">
        <v>2162.2710000000002</v>
      </c>
      <c r="P1161" s="6">
        <v>0</v>
      </c>
      <c r="Q1161" s="4" t="s">
        <v>26</v>
      </c>
      <c r="R1161" s="4">
        <v>0</v>
      </c>
      <c r="S1161" s="6">
        <v>0</v>
      </c>
      <c r="T1161" s="6">
        <v>19</v>
      </c>
      <c r="U1161" s="6">
        <v>67</v>
      </c>
      <c r="V1161" s="6">
        <f>IF(ISERROR(VLOOKUP($S$1161,'TAR FIN'!$A$1:$O$95,15,0)),0,VLOOKUP($S$1161,'TAR FIN'!$A$1:$O$95,15,0))</f>
        <v>0</v>
      </c>
      <c r="W1161" s="6">
        <f>IF(ISERROR(VLOOKUP($T$1161,'TAR FIN'!$A$1:$O$95,15,0)),0,VLOOKUP($T$1161,'TAR FIN'!$A$1:$O$95,15,0))</f>
        <v>149.63</v>
      </c>
      <c r="X1161" s="6">
        <f>IF(ISERROR(VLOOKUP($U$1161,'TAR FIN'!$A$1:$O$95,15,0)),0,VLOOKUP($U$1161,'TAR FIN'!$A$1:$O$95,15,0))</f>
        <v>230.03</v>
      </c>
      <c r="Y1161" s="6"/>
      <c r="Z1161" s="6">
        <f ca="1">('TUSD BE'!$AM$17+'TUSD BF'!$AM$17+'TUSD CVA'!$AM$17)*1</f>
        <v>168.51338132937991</v>
      </c>
      <c r="AA1161" s="6">
        <f>('TE BE'!$AA$8+'TE BF'!$AA$8+'TE CVA'!$AA$8)*1</f>
        <v>282.91739971702214</v>
      </c>
      <c r="AB1161" s="6">
        <f>$K$1161*$V$1161</f>
        <v>0</v>
      </c>
      <c r="AC1161" s="6">
        <f>$M$1161*$W$1161</f>
        <v>323540.60973000003</v>
      </c>
      <c r="AD1161" s="6">
        <f>$O$1161*$X$1161</f>
        <v>497387.19813000003</v>
      </c>
      <c r="AE1161" s="6">
        <f>$K$1161*$Y$1161</f>
        <v>0</v>
      </c>
      <c r="AF1161" s="6">
        <f ca="1">$M$1161*$Z$1161</f>
        <v>364371.59756045963</v>
      </c>
      <c r="AG1161" s="6">
        <f>$O$1161*$AA$1161</f>
        <v>611744.0888035252</v>
      </c>
    </row>
    <row r="1162" spans="1:33" ht="11.25" customHeight="1" x14ac:dyDescent="0.25">
      <c r="A1162" s="4" t="s">
        <v>29</v>
      </c>
      <c r="B1162" s="4" t="s">
        <v>35</v>
      </c>
      <c r="C1162" s="4" t="s">
        <v>36</v>
      </c>
      <c r="D1162" s="4" t="s">
        <v>48</v>
      </c>
      <c r="E1162" s="4" t="s">
        <v>25</v>
      </c>
      <c r="F1162" s="4" t="s">
        <v>25</v>
      </c>
      <c r="G1162" s="4" t="s">
        <v>25</v>
      </c>
      <c r="H1162" s="4" t="s">
        <v>38</v>
      </c>
      <c r="I1162" s="5">
        <v>44256</v>
      </c>
      <c r="J1162" s="6">
        <v>0</v>
      </c>
      <c r="K1162" s="6">
        <v>0</v>
      </c>
      <c r="L1162" s="6">
        <v>-2.3010000000000002</v>
      </c>
      <c r="M1162" s="6">
        <v>-2.3010000000000002</v>
      </c>
      <c r="N1162" s="6">
        <v>-2.3010000000000002</v>
      </c>
      <c r="O1162" s="6">
        <v>-2.3010000000000002</v>
      </c>
      <c r="P1162" s="6">
        <v>0</v>
      </c>
      <c r="Q1162" s="4" t="s">
        <v>26</v>
      </c>
      <c r="R1162" s="4">
        <v>0</v>
      </c>
      <c r="S1162" s="6">
        <v>0</v>
      </c>
      <c r="T1162" s="6">
        <v>19</v>
      </c>
      <c r="U1162" s="6">
        <v>67</v>
      </c>
      <c r="V1162" s="6">
        <f>IF(ISERROR(VLOOKUP($S$1162,'TAR FIN'!$A$1:$O$95,15,0)),0,VLOOKUP($S$1162,'TAR FIN'!$A$1:$O$95,15,0))</f>
        <v>0</v>
      </c>
      <c r="W1162" s="6">
        <f>IF(ISERROR(VLOOKUP($T$1162,'TAR FIN'!$A$1:$O$95,15,0)),0,VLOOKUP($T$1162,'TAR FIN'!$A$1:$O$95,15,0))</f>
        <v>149.63</v>
      </c>
      <c r="X1162" s="6">
        <f>IF(ISERROR(VLOOKUP($U$1162,'TAR FIN'!$A$1:$O$95,15,0)),0,VLOOKUP($U$1162,'TAR FIN'!$A$1:$O$95,15,0))</f>
        <v>230.03</v>
      </c>
      <c r="Y1162" s="6"/>
      <c r="Z1162" s="6">
        <f ca="1">('TUSD BE'!$AM$17+'TUSD BF'!$AM$17+'TUSD CVA'!$AM$17)*1</f>
        <v>168.51338132937991</v>
      </c>
      <c r="AA1162" s="6">
        <f>('TE BE'!$AA$8+'TE BF'!$AA$8+'TE CVA'!$AA$8)*1</f>
        <v>282.91739971702214</v>
      </c>
      <c r="AB1162" s="6">
        <f>$K$1162*$V$1162</f>
        <v>0</v>
      </c>
      <c r="AC1162" s="6">
        <f>$M$1162*$W$1162</f>
        <v>-344.29863</v>
      </c>
      <c r="AD1162" s="6">
        <f>$O$1162*$X$1162</f>
        <v>-529.29903000000002</v>
      </c>
      <c r="AE1162" s="6">
        <f>$K$1162*$Y$1162</f>
        <v>0</v>
      </c>
      <c r="AF1162" s="6">
        <f ca="1">$M$1162*$Z$1162</f>
        <v>-387.74929043890319</v>
      </c>
      <c r="AG1162" s="6">
        <f>$O$1162*$AA$1162</f>
        <v>-650.99293674886803</v>
      </c>
    </row>
    <row r="1163" spans="1:33" ht="11.25" customHeight="1" x14ac:dyDescent="0.25">
      <c r="A1163" s="4" t="s">
        <v>30</v>
      </c>
      <c r="B1163" s="4" t="s">
        <v>35</v>
      </c>
      <c r="C1163" s="4" t="s">
        <v>36</v>
      </c>
      <c r="D1163" s="4" t="s">
        <v>48</v>
      </c>
      <c r="E1163" s="4" t="s">
        <v>25</v>
      </c>
      <c r="F1163" s="4" t="s">
        <v>25</v>
      </c>
      <c r="G1163" s="4" t="s">
        <v>25</v>
      </c>
      <c r="H1163" s="4" t="s">
        <v>38</v>
      </c>
      <c r="I1163" s="5">
        <v>44256</v>
      </c>
      <c r="J1163" s="6">
        <v>0</v>
      </c>
      <c r="K1163" s="6">
        <v>0</v>
      </c>
      <c r="L1163" s="6">
        <v>33.862000000000002</v>
      </c>
      <c r="M1163" s="6">
        <v>33.862000000000002</v>
      </c>
      <c r="N1163" s="6">
        <v>33.862000000000002</v>
      </c>
      <c r="O1163" s="6">
        <v>33.862000000000002</v>
      </c>
      <c r="P1163" s="6">
        <v>0</v>
      </c>
      <c r="Q1163" s="4" t="s">
        <v>26</v>
      </c>
      <c r="R1163" s="4">
        <v>0</v>
      </c>
      <c r="S1163" s="6">
        <v>0</v>
      </c>
      <c r="T1163" s="6">
        <v>19</v>
      </c>
      <c r="U1163" s="6">
        <v>67</v>
      </c>
      <c r="V1163" s="6">
        <f>IF(ISERROR(VLOOKUP($S$1163,'TAR FIN'!$A$1:$O$95,15,0)),0,VLOOKUP($S$1163,'TAR FIN'!$A$1:$O$95,15,0))</f>
        <v>0</v>
      </c>
      <c r="W1163" s="6">
        <f>IF(ISERROR(VLOOKUP($T$1163,'TAR FIN'!$A$1:$O$95,15,0)),0,VLOOKUP($T$1163,'TAR FIN'!$A$1:$O$95,15,0))</f>
        <v>149.63</v>
      </c>
      <c r="X1163" s="6">
        <f>IF(ISERROR(VLOOKUP($U$1163,'TAR FIN'!$A$1:$O$95,15,0)),0,VLOOKUP($U$1163,'TAR FIN'!$A$1:$O$95,15,0))</f>
        <v>230.03</v>
      </c>
      <c r="Y1163" s="6"/>
      <c r="Z1163" s="6">
        <f ca="1">('TUSD BE'!$AM$17+'TUSD BF'!$AM$17+'TUSD CVA'!$AM$17)*1</f>
        <v>168.51338132937991</v>
      </c>
      <c r="AA1163" s="6">
        <f>('TE BE'!$AA$8+'TE BF'!$AA$8+'TE CVA'!$AA$8)*1</f>
        <v>282.91739971702214</v>
      </c>
      <c r="AB1163" s="6">
        <f>$K$1163*$V$1163</f>
        <v>0</v>
      </c>
      <c r="AC1163" s="6">
        <f>$M$1163*$W$1163</f>
        <v>5066.77106</v>
      </c>
      <c r="AD1163" s="6">
        <f>$O$1163*$X$1163</f>
        <v>7789.2758600000006</v>
      </c>
      <c r="AE1163" s="6">
        <f>$K$1163*$Y$1163</f>
        <v>0</v>
      </c>
      <c r="AF1163" s="6">
        <f ca="1">$M$1163*$Z$1163</f>
        <v>5706.2001185754625</v>
      </c>
      <c r="AG1163" s="6">
        <f>$O$1163*$AA$1163</f>
        <v>9580.1489892178033</v>
      </c>
    </row>
    <row r="1164" spans="1:33" ht="11.25" customHeight="1" x14ac:dyDescent="0.25">
      <c r="A1164" s="4" t="s">
        <v>21</v>
      </c>
      <c r="B1164" s="4" t="s">
        <v>35</v>
      </c>
      <c r="C1164" s="4" t="s">
        <v>36</v>
      </c>
      <c r="D1164" s="4" t="s">
        <v>48</v>
      </c>
      <c r="E1164" s="4" t="s">
        <v>25</v>
      </c>
      <c r="F1164" s="4" t="s">
        <v>25</v>
      </c>
      <c r="G1164" s="4" t="s">
        <v>25</v>
      </c>
      <c r="H1164" s="4" t="s">
        <v>38</v>
      </c>
      <c r="I1164" s="5">
        <v>44287</v>
      </c>
      <c r="J1164" s="6">
        <v>0</v>
      </c>
      <c r="K1164" s="6">
        <v>0</v>
      </c>
      <c r="L1164" s="6">
        <v>10825.665999999999</v>
      </c>
      <c r="M1164" s="6">
        <v>10825.665999999999</v>
      </c>
      <c r="N1164" s="6">
        <v>10825.665999999999</v>
      </c>
      <c r="O1164" s="6">
        <v>10825.665999999999</v>
      </c>
      <c r="P1164" s="6">
        <v>0</v>
      </c>
      <c r="Q1164" s="4" t="s">
        <v>26</v>
      </c>
      <c r="R1164" s="4">
        <v>0</v>
      </c>
      <c r="S1164" s="6">
        <v>0</v>
      </c>
      <c r="T1164" s="6">
        <v>19</v>
      </c>
      <c r="U1164" s="6">
        <v>67</v>
      </c>
      <c r="V1164" s="6">
        <f>IF(ISERROR(VLOOKUP($S$1164,'TAR FIN'!$A$1:$O$95,15,0)),0,VLOOKUP($S$1164,'TAR FIN'!$A$1:$O$95,15,0))</f>
        <v>0</v>
      </c>
      <c r="W1164" s="6">
        <f>IF(ISERROR(VLOOKUP($T$1164,'TAR FIN'!$A$1:$O$95,15,0)),0,VLOOKUP($T$1164,'TAR FIN'!$A$1:$O$95,15,0))</f>
        <v>149.63</v>
      </c>
      <c r="X1164" s="6">
        <f>IF(ISERROR(VLOOKUP($U$1164,'TAR FIN'!$A$1:$O$95,15,0)),0,VLOOKUP($U$1164,'TAR FIN'!$A$1:$O$95,15,0))</f>
        <v>230.03</v>
      </c>
      <c r="Y1164" s="6"/>
      <c r="Z1164" s="6">
        <f ca="1">('TUSD BE'!$AM$17+'TUSD BF'!$AM$17+'TUSD CVA'!$AM$17)*1</f>
        <v>168.51338132937991</v>
      </c>
      <c r="AA1164" s="6">
        <f>('TE BE'!$AA$8+'TE BF'!$AA$8+'TE CVA'!$AA$8)*1</f>
        <v>282.91739971702214</v>
      </c>
      <c r="AB1164" s="6">
        <f>$K$1164*$V$1164</f>
        <v>0</v>
      </c>
      <c r="AC1164" s="6">
        <f>$M$1164*$W$1164</f>
        <v>1619844.4035799999</v>
      </c>
      <c r="AD1164" s="6">
        <f>$O$1164*$X$1164</f>
        <v>2490227.94998</v>
      </c>
      <c r="AE1164" s="6">
        <f>$K$1164*$Y$1164</f>
        <v>0</v>
      </c>
      <c r="AF1164" s="6">
        <f ca="1">$M$1164*$Z$1164</f>
        <v>1824269.5828025027</v>
      </c>
      <c r="AG1164" s="6">
        <f>$O$1164*$AA$1164</f>
        <v>3062769.2749249758</v>
      </c>
    </row>
    <row r="1165" spans="1:33" ht="11.25" customHeight="1" x14ac:dyDescent="0.25">
      <c r="A1165" s="4" t="s">
        <v>27</v>
      </c>
      <c r="B1165" s="4" t="s">
        <v>35</v>
      </c>
      <c r="C1165" s="4" t="s">
        <v>36</v>
      </c>
      <c r="D1165" s="4" t="s">
        <v>48</v>
      </c>
      <c r="E1165" s="4" t="s">
        <v>25</v>
      </c>
      <c r="F1165" s="4" t="s">
        <v>25</v>
      </c>
      <c r="G1165" s="4" t="s">
        <v>25</v>
      </c>
      <c r="H1165" s="4" t="s">
        <v>38</v>
      </c>
      <c r="I1165" s="5">
        <v>44287</v>
      </c>
      <c r="J1165" s="6">
        <v>0</v>
      </c>
      <c r="K1165" s="6">
        <v>0</v>
      </c>
      <c r="L1165" s="6">
        <v>-0.97699999999999998</v>
      </c>
      <c r="M1165" s="6">
        <v>-0.97699999999999998</v>
      </c>
      <c r="N1165" s="6">
        <v>-0.97699999999999998</v>
      </c>
      <c r="O1165" s="6">
        <v>-0.97699999999999998</v>
      </c>
      <c r="P1165" s="6">
        <v>0</v>
      </c>
      <c r="Q1165" s="4" t="s">
        <v>26</v>
      </c>
      <c r="R1165" s="4">
        <v>0</v>
      </c>
      <c r="S1165" s="6">
        <v>0</v>
      </c>
      <c r="T1165" s="6">
        <v>19</v>
      </c>
      <c r="U1165" s="6">
        <v>67</v>
      </c>
      <c r="V1165" s="6">
        <f>IF(ISERROR(VLOOKUP($S$1165,'TAR FIN'!$A$1:$O$95,15,0)),0,VLOOKUP($S$1165,'TAR FIN'!$A$1:$O$95,15,0))</f>
        <v>0</v>
      </c>
      <c r="W1165" s="6">
        <f>IF(ISERROR(VLOOKUP($T$1165,'TAR FIN'!$A$1:$O$95,15,0)),0,VLOOKUP($T$1165,'TAR FIN'!$A$1:$O$95,15,0))</f>
        <v>149.63</v>
      </c>
      <c r="X1165" s="6">
        <f>IF(ISERROR(VLOOKUP($U$1165,'TAR FIN'!$A$1:$O$95,15,0)),0,VLOOKUP($U$1165,'TAR FIN'!$A$1:$O$95,15,0))</f>
        <v>230.03</v>
      </c>
      <c r="Y1165" s="6"/>
      <c r="Z1165" s="6">
        <f ca="1">('TUSD BE'!$AM$17+'TUSD BF'!$AM$17+'TUSD CVA'!$AM$17)*1</f>
        <v>168.51338132937991</v>
      </c>
      <c r="AA1165" s="6">
        <f>('TE BE'!$AA$8+'TE BF'!$AA$8+'TE CVA'!$AA$8)*1</f>
        <v>282.91739971702214</v>
      </c>
      <c r="AB1165" s="6">
        <f>$K$1165*$V$1165</f>
        <v>0</v>
      </c>
      <c r="AC1165" s="6">
        <f>$M$1165*$W$1165</f>
        <v>-146.18850999999998</v>
      </c>
      <c r="AD1165" s="6">
        <f>$O$1165*$X$1165</f>
        <v>-224.73930999999999</v>
      </c>
      <c r="AE1165" s="6">
        <f>$K$1165*$Y$1165</f>
        <v>0</v>
      </c>
      <c r="AF1165" s="6">
        <f ca="1">$M$1165*$Z$1165</f>
        <v>-164.63757355880418</v>
      </c>
      <c r="AG1165" s="6">
        <f>$O$1165*$AA$1165</f>
        <v>-276.41029952353063</v>
      </c>
    </row>
    <row r="1166" spans="1:33" ht="11.25" customHeight="1" x14ac:dyDescent="0.25">
      <c r="A1166" s="4" t="s">
        <v>28</v>
      </c>
      <c r="B1166" s="4" t="s">
        <v>35</v>
      </c>
      <c r="C1166" s="4" t="s">
        <v>36</v>
      </c>
      <c r="D1166" s="4" t="s">
        <v>48</v>
      </c>
      <c r="E1166" s="4" t="s">
        <v>25</v>
      </c>
      <c r="F1166" s="4" t="s">
        <v>25</v>
      </c>
      <c r="G1166" s="4" t="s">
        <v>25</v>
      </c>
      <c r="H1166" s="4" t="s">
        <v>38</v>
      </c>
      <c r="I1166" s="5">
        <v>44287</v>
      </c>
      <c r="J1166" s="6">
        <v>0</v>
      </c>
      <c r="K1166" s="6">
        <v>0</v>
      </c>
      <c r="L1166" s="6">
        <v>2196.944</v>
      </c>
      <c r="M1166" s="6">
        <v>2196.944</v>
      </c>
      <c r="N1166" s="6">
        <v>2196.944</v>
      </c>
      <c r="O1166" s="6">
        <v>2196.944</v>
      </c>
      <c r="P1166" s="6">
        <v>0</v>
      </c>
      <c r="Q1166" s="4" t="s">
        <v>26</v>
      </c>
      <c r="R1166" s="4">
        <v>0</v>
      </c>
      <c r="S1166" s="6">
        <v>0</v>
      </c>
      <c r="T1166" s="6">
        <v>19</v>
      </c>
      <c r="U1166" s="6">
        <v>67</v>
      </c>
      <c r="V1166" s="6">
        <f>IF(ISERROR(VLOOKUP($S$1166,'TAR FIN'!$A$1:$O$95,15,0)),0,VLOOKUP($S$1166,'TAR FIN'!$A$1:$O$95,15,0))</f>
        <v>0</v>
      </c>
      <c r="W1166" s="6">
        <f>IF(ISERROR(VLOOKUP($T$1166,'TAR FIN'!$A$1:$O$95,15,0)),0,VLOOKUP($T$1166,'TAR FIN'!$A$1:$O$95,15,0))</f>
        <v>149.63</v>
      </c>
      <c r="X1166" s="6">
        <f>IF(ISERROR(VLOOKUP($U$1166,'TAR FIN'!$A$1:$O$95,15,0)),0,VLOOKUP($U$1166,'TAR FIN'!$A$1:$O$95,15,0))</f>
        <v>230.03</v>
      </c>
      <c r="Y1166" s="6"/>
      <c r="Z1166" s="6">
        <f ca="1">('TUSD BE'!$AM$17+'TUSD BF'!$AM$17+'TUSD CVA'!$AM$17)*1</f>
        <v>168.51338132937991</v>
      </c>
      <c r="AA1166" s="6">
        <f>('TE BE'!$AA$8+'TE BF'!$AA$8+'TE CVA'!$AA$8)*1</f>
        <v>282.91739971702214</v>
      </c>
      <c r="AB1166" s="6">
        <f>$K$1166*$V$1166</f>
        <v>0</v>
      </c>
      <c r="AC1166" s="6">
        <f>$M$1166*$W$1166</f>
        <v>328728.73071999999</v>
      </c>
      <c r="AD1166" s="6">
        <f>$O$1166*$X$1166</f>
        <v>505363.02831999998</v>
      </c>
      <c r="AE1166" s="6">
        <f>$K$1166*$Y$1166</f>
        <v>0</v>
      </c>
      <c r="AF1166" s="6">
        <f ca="1">$M$1166*$Z$1166</f>
        <v>370214.46203129319</v>
      </c>
      <c r="AG1166" s="6">
        <f>$O$1166*$AA$1166</f>
        <v>621553.68380391342</v>
      </c>
    </row>
    <row r="1167" spans="1:33" ht="11.25" customHeight="1" x14ac:dyDescent="0.25">
      <c r="A1167" s="4" t="s">
        <v>29</v>
      </c>
      <c r="B1167" s="4" t="s">
        <v>35</v>
      </c>
      <c r="C1167" s="4" t="s">
        <v>36</v>
      </c>
      <c r="D1167" s="4" t="s">
        <v>48</v>
      </c>
      <c r="E1167" s="4" t="s">
        <v>25</v>
      </c>
      <c r="F1167" s="4" t="s">
        <v>25</v>
      </c>
      <c r="G1167" s="4" t="s">
        <v>25</v>
      </c>
      <c r="H1167" s="4" t="s">
        <v>38</v>
      </c>
      <c r="I1167" s="5">
        <v>44287</v>
      </c>
      <c r="J1167" s="6">
        <v>0</v>
      </c>
      <c r="K1167" s="6">
        <v>0</v>
      </c>
      <c r="L1167" s="6">
        <v>-5.3639999999999999</v>
      </c>
      <c r="M1167" s="6">
        <v>-5.3639999999999999</v>
      </c>
      <c r="N1167" s="6">
        <v>-5.3639999999999999</v>
      </c>
      <c r="O1167" s="6">
        <v>-5.3639999999999999</v>
      </c>
      <c r="P1167" s="6">
        <v>0</v>
      </c>
      <c r="Q1167" s="4" t="s">
        <v>26</v>
      </c>
      <c r="R1167" s="4">
        <v>0</v>
      </c>
      <c r="S1167" s="6">
        <v>0</v>
      </c>
      <c r="T1167" s="6">
        <v>19</v>
      </c>
      <c r="U1167" s="6">
        <v>67</v>
      </c>
      <c r="V1167" s="6">
        <f>IF(ISERROR(VLOOKUP($S$1167,'TAR FIN'!$A$1:$O$95,15,0)),0,VLOOKUP($S$1167,'TAR FIN'!$A$1:$O$95,15,0))</f>
        <v>0</v>
      </c>
      <c r="W1167" s="6">
        <f>IF(ISERROR(VLOOKUP($T$1167,'TAR FIN'!$A$1:$O$95,15,0)),0,VLOOKUP($T$1167,'TAR FIN'!$A$1:$O$95,15,0))</f>
        <v>149.63</v>
      </c>
      <c r="X1167" s="6">
        <f>IF(ISERROR(VLOOKUP($U$1167,'TAR FIN'!$A$1:$O$95,15,0)),0,VLOOKUP($U$1167,'TAR FIN'!$A$1:$O$95,15,0))</f>
        <v>230.03</v>
      </c>
      <c r="Y1167" s="6"/>
      <c r="Z1167" s="6">
        <f ca="1">('TUSD BE'!$AM$17+'TUSD BF'!$AM$17+'TUSD CVA'!$AM$17)*1</f>
        <v>168.51338132937991</v>
      </c>
      <c r="AA1167" s="6">
        <f>('TE BE'!$AA$8+'TE BF'!$AA$8+'TE CVA'!$AA$8)*1</f>
        <v>282.91739971702214</v>
      </c>
      <c r="AB1167" s="6">
        <f>$K$1167*$V$1167</f>
        <v>0</v>
      </c>
      <c r="AC1167" s="6">
        <f>$M$1167*$W$1167</f>
        <v>-802.61532</v>
      </c>
      <c r="AD1167" s="6">
        <f>$O$1167*$X$1167</f>
        <v>-1233.8809200000001</v>
      </c>
      <c r="AE1167" s="6">
        <f>$K$1167*$Y$1167</f>
        <v>0</v>
      </c>
      <c r="AF1167" s="6">
        <f ca="1">$M$1167*$Z$1167</f>
        <v>-903.90577745079383</v>
      </c>
      <c r="AG1167" s="6">
        <f>$O$1167*$AA$1167</f>
        <v>-1517.5689320821068</v>
      </c>
    </row>
    <row r="1168" spans="1:33" ht="11.25" customHeight="1" x14ac:dyDescent="0.25">
      <c r="A1168" s="4" t="s">
        <v>30</v>
      </c>
      <c r="B1168" s="4" t="s">
        <v>35</v>
      </c>
      <c r="C1168" s="4" t="s">
        <v>36</v>
      </c>
      <c r="D1168" s="4" t="s">
        <v>48</v>
      </c>
      <c r="E1168" s="4" t="s">
        <v>25</v>
      </c>
      <c r="F1168" s="4" t="s">
        <v>25</v>
      </c>
      <c r="G1168" s="4" t="s">
        <v>25</v>
      </c>
      <c r="H1168" s="4" t="s">
        <v>38</v>
      </c>
      <c r="I1168" s="5">
        <v>44287</v>
      </c>
      <c r="J1168" s="6">
        <v>0</v>
      </c>
      <c r="K1168" s="6">
        <v>0</v>
      </c>
      <c r="L1168" s="6">
        <v>42.994</v>
      </c>
      <c r="M1168" s="6">
        <v>42.994</v>
      </c>
      <c r="N1168" s="6">
        <v>42.994</v>
      </c>
      <c r="O1168" s="6">
        <v>42.994</v>
      </c>
      <c r="P1168" s="6">
        <v>0</v>
      </c>
      <c r="Q1168" s="4" t="s">
        <v>26</v>
      </c>
      <c r="R1168" s="4">
        <v>0</v>
      </c>
      <c r="S1168" s="6">
        <v>0</v>
      </c>
      <c r="T1168" s="6">
        <v>19</v>
      </c>
      <c r="U1168" s="6">
        <v>67</v>
      </c>
      <c r="V1168" s="6">
        <f>IF(ISERROR(VLOOKUP($S$1168,'TAR FIN'!$A$1:$O$95,15,0)),0,VLOOKUP($S$1168,'TAR FIN'!$A$1:$O$95,15,0))</f>
        <v>0</v>
      </c>
      <c r="W1168" s="6">
        <f>IF(ISERROR(VLOOKUP($T$1168,'TAR FIN'!$A$1:$O$95,15,0)),0,VLOOKUP($T$1168,'TAR FIN'!$A$1:$O$95,15,0))</f>
        <v>149.63</v>
      </c>
      <c r="X1168" s="6">
        <f>IF(ISERROR(VLOOKUP($U$1168,'TAR FIN'!$A$1:$O$95,15,0)),0,VLOOKUP($U$1168,'TAR FIN'!$A$1:$O$95,15,0))</f>
        <v>230.03</v>
      </c>
      <c r="Y1168" s="6"/>
      <c r="Z1168" s="6">
        <f ca="1">('TUSD BE'!$AM$17+'TUSD BF'!$AM$17+'TUSD CVA'!$AM$17)*1</f>
        <v>168.51338132937991</v>
      </c>
      <c r="AA1168" s="6">
        <f>('TE BE'!$AA$8+'TE BF'!$AA$8+'TE CVA'!$AA$8)*1</f>
        <v>282.91739971702214</v>
      </c>
      <c r="AB1168" s="6">
        <f>$K$1168*$V$1168</f>
        <v>0</v>
      </c>
      <c r="AC1168" s="6">
        <f>$M$1168*$W$1168</f>
        <v>6433.1922199999999</v>
      </c>
      <c r="AD1168" s="6">
        <f>$O$1168*$X$1168</f>
        <v>9889.9098200000008</v>
      </c>
      <c r="AE1168" s="6">
        <f>$K$1168*$Y$1168</f>
        <v>0</v>
      </c>
      <c r="AF1168" s="6">
        <f ca="1">$M$1168*$Z$1168</f>
        <v>7245.0643168753595</v>
      </c>
      <c r="AG1168" s="6">
        <f>$O$1168*$AA$1168</f>
        <v>12163.750683433649</v>
      </c>
    </row>
    <row r="1169" spans="1:33" ht="11.25" customHeight="1" x14ac:dyDescent="0.25">
      <c r="A1169" s="4" t="s">
        <v>21</v>
      </c>
      <c r="B1169" s="4" t="s">
        <v>35</v>
      </c>
      <c r="C1169" s="4" t="s">
        <v>36</v>
      </c>
      <c r="D1169" s="4" t="s">
        <v>48</v>
      </c>
      <c r="E1169" s="4" t="s">
        <v>25</v>
      </c>
      <c r="F1169" s="4" t="s">
        <v>25</v>
      </c>
      <c r="G1169" s="4" t="s">
        <v>25</v>
      </c>
      <c r="H1169" s="4" t="s">
        <v>38</v>
      </c>
      <c r="I1169" s="5">
        <v>44317</v>
      </c>
      <c r="J1169" s="6">
        <v>0</v>
      </c>
      <c r="K1169" s="6">
        <v>0</v>
      </c>
      <c r="L1169" s="6">
        <v>12160.052</v>
      </c>
      <c r="M1169" s="6">
        <v>12160.052</v>
      </c>
      <c r="N1169" s="6">
        <v>12160.052</v>
      </c>
      <c r="O1169" s="6">
        <v>12160.052</v>
      </c>
      <c r="P1169" s="6">
        <v>0</v>
      </c>
      <c r="Q1169" s="4" t="s">
        <v>26</v>
      </c>
      <c r="R1169" s="4">
        <v>0</v>
      </c>
      <c r="S1169" s="6">
        <v>0</v>
      </c>
      <c r="T1169" s="6">
        <v>19</v>
      </c>
      <c r="U1169" s="6">
        <v>67</v>
      </c>
      <c r="V1169" s="6">
        <f>IF(ISERROR(VLOOKUP($S$1169,'TAR FIN'!$A$1:$O$95,15,0)),0,VLOOKUP($S$1169,'TAR FIN'!$A$1:$O$95,15,0))</f>
        <v>0</v>
      </c>
      <c r="W1169" s="6">
        <f>IF(ISERROR(VLOOKUP($T$1169,'TAR FIN'!$A$1:$O$95,15,0)),0,VLOOKUP($T$1169,'TAR FIN'!$A$1:$O$95,15,0))</f>
        <v>149.63</v>
      </c>
      <c r="X1169" s="6">
        <f>IF(ISERROR(VLOOKUP($U$1169,'TAR FIN'!$A$1:$O$95,15,0)),0,VLOOKUP($U$1169,'TAR FIN'!$A$1:$O$95,15,0))</f>
        <v>230.03</v>
      </c>
      <c r="Y1169" s="6"/>
      <c r="Z1169" s="6">
        <f ca="1">('TUSD BE'!$AM$17+'TUSD BF'!$AM$17+'TUSD CVA'!$AM$17)*1</f>
        <v>168.51338132937991</v>
      </c>
      <c r="AA1169" s="6">
        <f>('TE BE'!$AA$8+'TE BF'!$AA$8+'TE CVA'!$AA$8)*1</f>
        <v>282.91739971702214</v>
      </c>
      <c r="AB1169" s="6">
        <f>$K$1169*$V$1169</f>
        <v>0</v>
      </c>
      <c r="AC1169" s="6">
        <f>$M$1169*$W$1169</f>
        <v>1819508.5807599998</v>
      </c>
      <c r="AD1169" s="6">
        <f>$O$1169*$X$1169</f>
        <v>2797176.76156</v>
      </c>
      <c r="AE1169" s="6">
        <f>$K$1169*$Y$1169</f>
        <v>0</v>
      </c>
      <c r="AF1169" s="6">
        <f ca="1">$M$1169*$Z$1169</f>
        <v>2049131.4796610889</v>
      </c>
      <c r="AG1169" s="6">
        <f>$O$1169*$AA$1169</f>
        <v>3440290.2922637742</v>
      </c>
    </row>
    <row r="1170" spans="1:33" ht="11.25" customHeight="1" x14ac:dyDescent="0.25">
      <c r="A1170" s="4" t="s">
        <v>27</v>
      </c>
      <c r="B1170" s="4" t="s">
        <v>35</v>
      </c>
      <c r="C1170" s="4" t="s">
        <v>36</v>
      </c>
      <c r="D1170" s="4" t="s">
        <v>48</v>
      </c>
      <c r="E1170" s="4" t="s">
        <v>25</v>
      </c>
      <c r="F1170" s="4" t="s">
        <v>25</v>
      </c>
      <c r="G1170" s="4" t="s">
        <v>25</v>
      </c>
      <c r="H1170" s="4" t="s">
        <v>38</v>
      </c>
      <c r="I1170" s="5">
        <v>44317</v>
      </c>
      <c r="J1170" s="6">
        <v>0</v>
      </c>
      <c r="K1170" s="6">
        <v>0</v>
      </c>
      <c r="L1170" s="6">
        <v>161.61699999999999</v>
      </c>
      <c r="M1170" s="6">
        <v>161.61699999999999</v>
      </c>
      <c r="N1170" s="6">
        <v>161.61699999999999</v>
      </c>
      <c r="O1170" s="6">
        <v>161.61699999999999</v>
      </c>
      <c r="P1170" s="6">
        <v>0</v>
      </c>
      <c r="Q1170" s="4" t="s">
        <v>26</v>
      </c>
      <c r="R1170" s="4">
        <v>0</v>
      </c>
      <c r="S1170" s="6">
        <v>0</v>
      </c>
      <c r="T1170" s="6">
        <v>19</v>
      </c>
      <c r="U1170" s="6">
        <v>67</v>
      </c>
      <c r="V1170" s="6">
        <f>IF(ISERROR(VLOOKUP($S$1170,'TAR FIN'!$A$1:$O$95,15,0)),0,VLOOKUP($S$1170,'TAR FIN'!$A$1:$O$95,15,0))</f>
        <v>0</v>
      </c>
      <c r="W1170" s="6">
        <f>IF(ISERROR(VLOOKUP($T$1170,'TAR FIN'!$A$1:$O$95,15,0)),0,VLOOKUP($T$1170,'TAR FIN'!$A$1:$O$95,15,0))</f>
        <v>149.63</v>
      </c>
      <c r="X1170" s="6">
        <f>IF(ISERROR(VLOOKUP($U$1170,'TAR FIN'!$A$1:$O$95,15,0)),0,VLOOKUP($U$1170,'TAR FIN'!$A$1:$O$95,15,0))</f>
        <v>230.03</v>
      </c>
      <c r="Y1170" s="6"/>
      <c r="Z1170" s="6">
        <f ca="1">('TUSD BE'!$AM$17+'TUSD BF'!$AM$17+'TUSD CVA'!$AM$17)*1</f>
        <v>168.51338132937991</v>
      </c>
      <c r="AA1170" s="6">
        <f>('TE BE'!$AA$8+'TE BF'!$AA$8+'TE CVA'!$AA$8)*1</f>
        <v>282.91739971702214</v>
      </c>
      <c r="AB1170" s="6">
        <f>$K$1170*$V$1170</f>
        <v>0</v>
      </c>
      <c r="AC1170" s="6">
        <f>$M$1170*$W$1170</f>
        <v>24182.751709999997</v>
      </c>
      <c r="AD1170" s="6">
        <f>$O$1170*$X$1170</f>
        <v>37176.75851</v>
      </c>
      <c r="AE1170" s="6">
        <f>$K$1170*$Y$1170</f>
        <v>0</v>
      </c>
      <c r="AF1170" s="6">
        <f ca="1">$M$1170*$Z$1170</f>
        <v>27234.627150310393</v>
      </c>
      <c r="AG1170" s="6">
        <f>$O$1170*$AA$1170</f>
        <v>45724.261390065963</v>
      </c>
    </row>
    <row r="1171" spans="1:33" ht="11.25" customHeight="1" x14ac:dyDescent="0.25">
      <c r="A1171" s="4" t="s">
        <v>28</v>
      </c>
      <c r="B1171" s="4" t="s">
        <v>35</v>
      </c>
      <c r="C1171" s="4" t="s">
        <v>36</v>
      </c>
      <c r="D1171" s="4" t="s">
        <v>48</v>
      </c>
      <c r="E1171" s="4" t="s">
        <v>25</v>
      </c>
      <c r="F1171" s="4" t="s">
        <v>25</v>
      </c>
      <c r="G1171" s="4" t="s">
        <v>25</v>
      </c>
      <c r="H1171" s="4" t="s">
        <v>38</v>
      </c>
      <c r="I1171" s="5">
        <v>44317</v>
      </c>
      <c r="J1171" s="6">
        <v>0</v>
      </c>
      <c r="K1171" s="6">
        <v>0</v>
      </c>
      <c r="L1171" s="6">
        <v>2797.5050000000001</v>
      </c>
      <c r="M1171" s="6">
        <v>2797.5050000000001</v>
      </c>
      <c r="N1171" s="6">
        <v>2797.5050000000001</v>
      </c>
      <c r="O1171" s="6">
        <v>2797.5050000000001</v>
      </c>
      <c r="P1171" s="6">
        <v>0</v>
      </c>
      <c r="Q1171" s="4" t="s">
        <v>26</v>
      </c>
      <c r="R1171" s="4">
        <v>0</v>
      </c>
      <c r="S1171" s="6">
        <v>0</v>
      </c>
      <c r="T1171" s="6">
        <v>19</v>
      </c>
      <c r="U1171" s="6">
        <v>67</v>
      </c>
      <c r="V1171" s="6">
        <f>IF(ISERROR(VLOOKUP($S$1171,'TAR FIN'!$A$1:$O$95,15,0)),0,VLOOKUP($S$1171,'TAR FIN'!$A$1:$O$95,15,0))</f>
        <v>0</v>
      </c>
      <c r="W1171" s="6">
        <f>IF(ISERROR(VLOOKUP($T$1171,'TAR FIN'!$A$1:$O$95,15,0)),0,VLOOKUP($T$1171,'TAR FIN'!$A$1:$O$95,15,0))</f>
        <v>149.63</v>
      </c>
      <c r="X1171" s="6">
        <f>IF(ISERROR(VLOOKUP($U$1171,'TAR FIN'!$A$1:$O$95,15,0)),0,VLOOKUP($U$1171,'TAR FIN'!$A$1:$O$95,15,0))</f>
        <v>230.03</v>
      </c>
      <c r="Y1171" s="6"/>
      <c r="Z1171" s="6">
        <f ca="1">('TUSD BE'!$AM$17+'TUSD BF'!$AM$17+'TUSD CVA'!$AM$17)*1</f>
        <v>168.51338132937991</v>
      </c>
      <c r="AA1171" s="6">
        <f>('TE BE'!$AA$8+'TE BF'!$AA$8+'TE CVA'!$AA$8)*1</f>
        <v>282.91739971702214</v>
      </c>
      <c r="AB1171" s="6">
        <f>$K$1171*$V$1171</f>
        <v>0</v>
      </c>
      <c r="AC1171" s="6">
        <f>$M$1171*$W$1171</f>
        <v>418590.67314999999</v>
      </c>
      <c r="AD1171" s="6">
        <f>$O$1171*$X$1171</f>
        <v>643510.07515000005</v>
      </c>
      <c r="AE1171" s="6">
        <f>$K$1171*$Y$1171</f>
        <v>0</v>
      </c>
      <c r="AF1171" s="6">
        <f ca="1">$M$1171*$Z$1171</f>
        <v>471417.02683584695</v>
      </c>
      <c r="AG1171" s="6">
        <f>$O$1171*$AA$1171</f>
        <v>791462.84029536799</v>
      </c>
    </row>
    <row r="1172" spans="1:33" ht="11.25" customHeight="1" x14ac:dyDescent="0.25">
      <c r="A1172" s="4" t="s">
        <v>29</v>
      </c>
      <c r="B1172" s="4" t="s">
        <v>35</v>
      </c>
      <c r="C1172" s="4" t="s">
        <v>36</v>
      </c>
      <c r="D1172" s="4" t="s">
        <v>48</v>
      </c>
      <c r="E1172" s="4" t="s">
        <v>25</v>
      </c>
      <c r="F1172" s="4" t="s">
        <v>25</v>
      </c>
      <c r="G1172" s="4" t="s">
        <v>25</v>
      </c>
      <c r="H1172" s="4" t="s">
        <v>38</v>
      </c>
      <c r="I1172" s="5">
        <v>44317</v>
      </c>
      <c r="J1172" s="6">
        <v>0</v>
      </c>
      <c r="K1172" s="6">
        <v>0</v>
      </c>
      <c r="L1172" s="6">
        <v>-35.921999999999997</v>
      </c>
      <c r="M1172" s="6">
        <v>-35.921999999999997</v>
      </c>
      <c r="N1172" s="6">
        <v>-35.921999999999997</v>
      </c>
      <c r="O1172" s="6">
        <v>-35.921999999999997</v>
      </c>
      <c r="P1172" s="6">
        <v>0</v>
      </c>
      <c r="Q1172" s="4" t="s">
        <v>26</v>
      </c>
      <c r="R1172" s="4">
        <v>0</v>
      </c>
      <c r="S1172" s="6">
        <v>0</v>
      </c>
      <c r="T1172" s="6">
        <v>19</v>
      </c>
      <c r="U1172" s="6">
        <v>67</v>
      </c>
      <c r="V1172" s="6">
        <f>IF(ISERROR(VLOOKUP($S$1172,'TAR FIN'!$A$1:$O$95,15,0)),0,VLOOKUP($S$1172,'TAR FIN'!$A$1:$O$95,15,0))</f>
        <v>0</v>
      </c>
      <c r="W1172" s="6">
        <f>IF(ISERROR(VLOOKUP($T$1172,'TAR FIN'!$A$1:$O$95,15,0)),0,VLOOKUP($T$1172,'TAR FIN'!$A$1:$O$95,15,0))</f>
        <v>149.63</v>
      </c>
      <c r="X1172" s="6">
        <f>IF(ISERROR(VLOOKUP($U$1172,'TAR FIN'!$A$1:$O$95,15,0)),0,VLOOKUP($U$1172,'TAR FIN'!$A$1:$O$95,15,0))</f>
        <v>230.03</v>
      </c>
      <c r="Y1172" s="6"/>
      <c r="Z1172" s="6">
        <f ca="1">('TUSD BE'!$AM$17+'TUSD BF'!$AM$17+'TUSD CVA'!$AM$17)*1</f>
        <v>168.51338132937991</v>
      </c>
      <c r="AA1172" s="6">
        <f>('TE BE'!$AA$8+'TE BF'!$AA$8+'TE CVA'!$AA$8)*1</f>
        <v>282.91739971702214</v>
      </c>
      <c r="AB1172" s="6">
        <f>$K$1172*$V$1172</f>
        <v>0</v>
      </c>
      <c r="AC1172" s="6">
        <f>$M$1172*$W$1172</f>
        <v>-5375.008859999999</v>
      </c>
      <c r="AD1172" s="6">
        <f>$O$1172*$X$1172</f>
        <v>-8263.1376599999985</v>
      </c>
      <c r="AE1172" s="6">
        <f>$K$1172*$Y$1172</f>
        <v>0</v>
      </c>
      <c r="AF1172" s="6">
        <f ca="1">$M$1172*$Z$1172</f>
        <v>-6053.3376841139843</v>
      </c>
      <c r="AG1172" s="6">
        <f>$O$1172*$AA$1172</f>
        <v>-10162.958832634868</v>
      </c>
    </row>
    <row r="1173" spans="1:33" ht="11.25" customHeight="1" x14ac:dyDescent="0.25">
      <c r="A1173" s="4" t="s">
        <v>30</v>
      </c>
      <c r="B1173" s="4" t="s">
        <v>35</v>
      </c>
      <c r="C1173" s="4" t="s">
        <v>36</v>
      </c>
      <c r="D1173" s="4" t="s">
        <v>48</v>
      </c>
      <c r="E1173" s="4" t="s">
        <v>25</v>
      </c>
      <c r="F1173" s="4" t="s">
        <v>25</v>
      </c>
      <c r="G1173" s="4" t="s">
        <v>25</v>
      </c>
      <c r="H1173" s="4" t="s">
        <v>38</v>
      </c>
      <c r="I1173" s="5">
        <v>44317</v>
      </c>
      <c r="J1173" s="6">
        <v>0</v>
      </c>
      <c r="K1173" s="6">
        <v>0</v>
      </c>
      <c r="L1173" s="6">
        <v>51.936</v>
      </c>
      <c r="M1173" s="6">
        <v>51.936</v>
      </c>
      <c r="N1173" s="6">
        <v>51.936</v>
      </c>
      <c r="O1173" s="6">
        <v>51.936</v>
      </c>
      <c r="P1173" s="6">
        <v>0</v>
      </c>
      <c r="Q1173" s="4" t="s">
        <v>26</v>
      </c>
      <c r="R1173" s="4">
        <v>0</v>
      </c>
      <c r="S1173" s="6">
        <v>0</v>
      </c>
      <c r="T1173" s="6">
        <v>19</v>
      </c>
      <c r="U1173" s="6">
        <v>67</v>
      </c>
      <c r="V1173" s="6">
        <f>IF(ISERROR(VLOOKUP($S$1173,'TAR FIN'!$A$1:$O$95,15,0)),0,VLOOKUP($S$1173,'TAR FIN'!$A$1:$O$95,15,0))</f>
        <v>0</v>
      </c>
      <c r="W1173" s="6">
        <f>IF(ISERROR(VLOOKUP($T$1173,'TAR FIN'!$A$1:$O$95,15,0)),0,VLOOKUP($T$1173,'TAR FIN'!$A$1:$O$95,15,0))</f>
        <v>149.63</v>
      </c>
      <c r="X1173" s="6">
        <f>IF(ISERROR(VLOOKUP($U$1173,'TAR FIN'!$A$1:$O$95,15,0)),0,VLOOKUP($U$1173,'TAR FIN'!$A$1:$O$95,15,0))</f>
        <v>230.03</v>
      </c>
      <c r="Y1173" s="6"/>
      <c r="Z1173" s="6">
        <f ca="1">('TUSD BE'!$AM$17+'TUSD BF'!$AM$17+'TUSD CVA'!$AM$17)*1</f>
        <v>168.51338132937991</v>
      </c>
      <c r="AA1173" s="6">
        <f>('TE BE'!$AA$8+'TE BF'!$AA$8+'TE CVA'!$AA$8)*1</f>
        <v>282.91739971702214</v>
      </c>
      <c r="AB1173" s="6">
        <f>$K$1173*$V$1173</f>
        <v>0</v>
      </c>
      <c r="AC1173" s="6">
        <f>$M$1173*$W$1173</f>
        <v>7771.1836800000001</v>
      </c>
      <c r="AD1173" s="6">
        <f>$O$1173*$X$1173</f>
        <v>11946.83808</v>
      </c>
      <c r="AE1173" s="6">
        <f>$K$1173*$Y$1173</f>
        <v>0</v>
      </c>
      <c r="AF1173" s="6">
        <f ca="1">$M$1173*$Z$1173</f>
        <v>8751.9109727226751</v>
      </c>
      <c r="AG1173" s="6">
        <f>$O$1173*$AA$1173</f>
        <v>14693.598071703262</v>
      </c>
    </row>
    <row r="1174" spans="1:33" ht="11.25" customHeight="1" x14ac:dyDescent="0.25">
      <c r="A1174" s="4" t="s">
        <v>21</v>
      </c>
      <c r="B1174" s="4" t="s">
        <v>35</v>
      </c>
      <c r="C1174" s="4" t="s">
        <v>36</v>
      </c>
      <c r="D1174" s="4" t="s">
        <v>48</v>
      </c>
      <c r="E1174" s="4" t="s">
        <v>25</v>
      </c>
      <c r="F1174" s="4" t="s">
        <v>25</v>
      </c>
      <c r="G1174" s="4" t="s">
        <v>25</v>
      </c>
      <c r="H1174" s="4" t="s">
        <v>38</v>
      </c>
      <c r="I1174" s="5">
        <v>44348</v>
      </c>
      <c r="J1174" s="6">
        <v>0</v>
      </c>
      <c r="K1174" s="6">
        <v>0</v>
      </c>
      <c r="L1174" s="6">
        <v>14051.075000000001</v>
      </c>
      <c r="M1174" s="6">
        <v>14051.075000000001</v>
      </c>
      <c r="N1174" s="6">
        <v>14051.075000000001</v>
      </c>
      <c r="O1174" s="6">
        <v>14051.075000000001</v>
      </c>
      <c r="P1174" s="6">
        <v>0</v>
      </c>
      <c r="Q1174" s="4" t="s">
        <v>26</v>
      </c>
      <c r="R1174" s="4">
        <v>0</v>
      </c>
      <c r="S1174" s="6">
        <v>0</v>
      </c>
      <c r="T1174" s="6">
        <v>19</v>
      </c>
      <c r="U1174" s="6">
        <v>67</v>
      </c>
      <c r="V1174" s="6">
        <f>IF(ISERROR(VLOOKUP($S$1174,'TAR FIN'!$A$1:$O$95,15,0)),0,VLOOKUP($S$1174,'TAR FIN'!$A$1:$O$95,15,0))</f>
        <v>0</v>
      </c>
      <c r="W1174" s="6">
        <f>IF(ISERROR(VLOOKUP($T$1174,'TAR FIN'!$A$1:$O$95,15,0)),0,VLOOKUP($T$1174,'TAR FIN'!$A$1:$O$95,15,0))</f>
        <v>149.63</v>
      </c>
      <c r="X1174" s="6">
        <f>IF(ISERROR(VLOOKUP($U$1174,'TAR FIN'!$A$1:$O$95,15,0)),0,VLOOKUP($U$1174,'TAR FIN'!$A$1:$O$95,15,0))</f>
        <v>230.03</v>
      </c>
      <c r="Y1174" s="6"/>
      <c r="Z1174" s="6">
        <f ca="1">('TUSD BE'!$AM$17+'TUSD BF'!$AM$17+'TUSD CVA'!$AM$17)*1</f>
        <v>168.51338132937991</v>
      </c>
      <c r="AA1174" s="6">
        <f>('TE BE'!$AA$8+'TE BF'!$AA$8+'TE CVA'!$AA$8)*1</f>
        <v>282.91739971702214</v>
      </c>
      <c r="AB1174" s="6">
        <f>$K$1174*$V$1174</f>
        <v>0</v>
      </c>
      <c r="AC1174" s="6">
        <f>$M$1174*$W$1174</f>
        <v>2102462.35225</v>
      </c>
      <c r="AD1174" s="6">
        <f>$O$1174*$X$1174</f>
        <v>3232168.7822500002</v>
      </c>
      <c r="AE1174" s="6">
        <f>$K$1174*$Y$1174</f>
        <v>0</v>
      </c>
      <c r="AF1174" s="6">
        <f ca="1">$M$1174*$Z$1174</f>
        <v>2367794.1595627167</v>
      </c>
      <c r="AG1174" s="6">
        <f>$O$1174*$AA$1174</f>
        <v>3975293.6022288571</v>
      </c>
    </row>
    <row r="1175" spans="1:33" ht="11.25" customHeight="1" x14ac:dyDescent="0.25">
      <c r="A1175" s="4" t="s">
        <v>27</v>
      </c>
      <c r="B1175" s="4" t="s">
        <v>35</v>
      </c>
      <c r="C1175" s="4" t="s">
        <v>36</v>
      </c>
      <c r="D1175" s="4" t="s">
        <v>48</v>
      </c>
      <c r="E1175" s="4" t="s">
        <v>25</v>
      </c>
      <c r="F1175" s="4" t="s">
        <v>25</v>
      </c>
      <c r="G1175" s="4" t="s">
        <v>25</v>
      </c>
      <c r="H1175" s="4" t="s">
        <v>38</v>
      </c>
      <c r="I1175" s="5">
        <v>44348</v>
      </c>
      <c r="J1175" s="6">
        <v>0</v>
      </c>
      <c r="K1175" s="6">
        <v>0</v>
      </c>
      <c r="L1175" s="6">
        <v>-1.635</v>
      </c>
      <c r="M1175" s="6">
        <v>-1.635</v>
      </c>
      <c r="N1175" s="6">
        <v>-1.635</v>
      </c>
      <c r="O1175" s="6">
        <v>-1.635</v>
      </c>
      <c r="P1175" s="6">
        <v>0</v>
      </c>
      <c r="Q1175" s="4" t="s">
        <v>26</v>
      </c>
      <c r="R1175" s="4">
        <v>0</v>
      </c>
      <c r="S1175" s="6">
        <v>0</v>
      </c>
      <c r="T1175" s="6">
        <v>19</v>
      </c>
      <c r="U1175" s="6">
        <v>67</v>
      </c>
      <c r="V1175" s="6">
        <f>IF(ISERROR(VLOOKUP($S$1175,'TAR FIN'!$A$1:$O$95,15,0)),0,VLOOKUP($S$1175,'TAR FIN'!$A$1:$O$95,15,0))</f>
        <v>0</v>
      </c>
      <c r="W1175" s="6">
        <f>IF(ISERROR(VLOOKUP($T$1175,'TAR FIN'!$A$1:$O$95,15,0)),0,VLOOKUP($T$1175,'TAR FIN'!$A$1:$O$95,15,0))</f>
        <v>149.63</v>
      </c>
      <c r="X1175" s="6">
        <f>IF(ISERROR(VLOOKUP($U$1175,'TAR FIN'!$A$1:$O$95,15,0)),0,VLOOKUP($U$1175,'TAR FIN'!$A$1:$O$95,15,0))</f>
        <v>230.03</v>
      </c>
      <c r="Y1175" s="6"/>
      <c r="Z1175" s="6">
        <f ca="1">('TUSD BE'!$AM$17+'TUSD BF'!$AM$17+'TUSD CVA'!$AM$17)*1</f>
        <v>168.51338132937991</v>
      </c>
      <c r="AA1175" s="6">
        <f>('TE BE'!$AA$8+'TE BF'!$AA$8+'TE CVA'!$AA$8)*1</f>
        <v>282.91739971702214</v>
      </c>
      <c r="AB1175" s="6">
        <f>$K$1175*$V$1175</f>
        <v>0</v>
      </c>
      <c r="AC1175" s="6">
        <f>$M$1175*$W$1175</f>
        <v>-244.64505</v>
      </c>
      <c r="AD1175" s="6">
        <f>$O$1175*$X$1175</f>
        <v>-376.09904999999998</v>
      </c>
      <c r="AE1175" s="6">
        <f>$K$1175*$Y$1175</f>
        <v>0</v>
      </c>
      <c r="AF1175" s="6">
        <f ca="1">$M$1175*$Z$1175</f>
        <v>-275.51937847353616</v>
      </c>
      <c r="AG1175" s="6">
        <f>$O$1175*$AA$1175</f>
        <v>-462.56994853733119</v>
      </c>
    </row>
    <row r="1176" spans="1:33" ht="11.25" customHeight="1" x14ac:dyDescent="0.25">
      <c r="A1176" s="4" t="s">
        <v>28</v>
      </c>
      <c r="B1176" s="4" t="s">
        <v>35</v>
      </c>
      <c r="C1176" s="4" t="s">
        <v>36</v>
      </c>
      <c r="D1176" s="4" t="s">
        <v>48</v>
      </c>
      <c r="E1176" s="4" t="s">
        <v>25</v>
      </c>
      <c r="F1176" s="4" t="s">
        <v>25</v>
      </c>
      <c r="G1176" s="4" t="s">
        <v>25</v>
      </c>
      <c r="H1176" s="4" t="s">
        <v>38</v>
      </c>
      <c r="I1176" s="5">
        <v>44348</v>
      </c>
      <c r="J1176" s="6">
        <v>0</v>
      </c>
      <c r="K1176" s="6">
        <v>0</v>
      </c>
      <c r="L1176" s="6">
        <v>3416.154</v>
      </c>
      <c r="M1176" s="6">
        <v>3416.154</v>
      </c>
      <c r="N1176" s="6">
        <v>3416.154</v>
      </c>
      <c r="O1176" s="6">
        <v>3416.154</v>
      </c>
      <c r="P1176" s="6">
        <v>0</v>
      </c>
      <c r="Q1176" s="4" t="s">
        <v>26</v>
      </c>
      <c r="R1176" s="4">
        <v>0</v>
      </c>
      <c r="S1176" s="6">
        <v>0</v>
      </c>
      <c r="T1176" s="6">
        <v>19</v>
      </c>
      <c r="U1176" s="6">
        <v>67</v>
      </c>
      <c r="V1176" s="6">
        <f>IF(ISERROR(VLOOKUP($S$1176,'TAR FIN'!$A$1:$O$95,15,0)),0,VLOOKUP($S$1176,'TAR FIN'!$A$1:$O$95,15,0))</f>
        <v>0</v>
      </c>
      <c r="W1176" s="6">
        <f>IF(ISERROR(VLOOKUP($T$1176,'TAR FIN'!$A$1:$O$95,15,0)),0,VLOOKUP($T$1176,'TAR FIN'!$A$1:$O$95,15,0))</f>
        <v>149.63</v>
      </c>
      <c r="X1176" s="6">
        <f>IF(ISERROR(VLOOKUP($U$1176,'TAR FIN'!$A$1:$O$95,15,0)),0,VLOOKUP($U$1176,'TAR FIN'!$A$1:$O$95,15,0))</f>
        <v>230.03</v>
      </c>
      <c r="Y1176" s="6"/>
      <c r="Z1176" s="6">
        <f ca="1">('TUSD BE'!$AM$17+'TUSD BF'!$AM$17+'TUSD CVA'!$AM$17)*1</f>
        <v>168.51338132937991</v>
      </c>
      <c r="AA1176" s="6">
        <f>('TE BE'!$AA$8+'TE BF'!$AA$8+'TE CVA'!$AA$8)*1</f>
        <v>282.91739971702214</v>
      </c>
      <c r="AB1176" s="6">
        <f>$K$1176*$V$1176</f>
        <v>0</v>
      </c>
      <c r="AC1176" s="6">
        <f>$M$1176*$W$1176</f>
        <v>511159.12302</v>
      </c>
      <c r="AD1176" s="6">
        <f>$O$1176*$X$1176</f>
        <v>785817.90462000004</v>
      </c>
      <c r="AE1176" s="6">
        <f>$K$1176*$Y$1176</f>
        <v>0</v>
      </c>
      <c r="AF1176" s="6">
        <f ca="1">$M$1176*$Z$1176</f>
        <v>575667.66168188653</v>
      </c>
      <c r="AG1176" s="6">
        <f>$O$1176*$AA$1176</f>
        <v>966489.40671290399</v>
      </c>
    </row>
    <row r="1177" spans="1:33" ht="11.25" customHeight="1" x14ac:dyDescent="0.25">
      <c r="A1177" s="4" t="s">
        <v>29</v>
      </c>
      <c r="B1177" s="4" t="s">
        <v>35</v>
      </c>
      <c r="C1177" s="4" t="s">
        <v>36</v>
      </c>
      <c r="D1177" s="4" t="s">
        <v>48</v>
      </c>
      <c r="E1177" s="4" t="s">
        <v>25</v>
      </c>
      <c r="F1177" s="4" t="s">
        <v>25</v>
      </c>
      <c r="G1177" s="4" t="s">
        <v>25</v>
      </c>
      <c r="H1177" s="4" t="s">
        <v>38</v>
      </c>
      <c r="I1177" s="5">
        <v>44348</v>
      </c>
      <c r="J1177" s="6">
        <v>0</v>
      </c>
      <c r="K1177" s="6">
        <v>0</v>
      </c>
      <c r="L1177" s="6">
        <v>8.1059999999999999</v>
      </c>
      <c r="M1177" s="6">
        <v>8.1059999999999999</v>
      </c>
      <c r="N1177" s="6">
        <v>8.1059999999999999</v>
      </c>
      <c r="O1177" s="6">
        <v>8.1059999999999999</v>
      </c>
      <c r="P1177" s="6">
        <v>0</v>
      </c>
      <c r="Q1177" s="4" t="s">
        <v>26</v>
      </c>
      <c r="R1177" s="4">
        <v>0</v>
      </c>
      <c r="S1177" s="6">
        <v>0</v>
      </c>
      <c r="T1177" s="6">
        <v>19</v>
      </c>
      <c r="U1177" s="6">
        <v>67</v>
      </c>
      <c r="V1177" s="6">
        <f>IF(ISERROR(VLOOKUP($S$1177,'TAR FIN'!$A$1:$O$95,15,0)),0,VLOOKUP($S$1177,'TAR FIN'!$A$1:$O$95,15,0))</f>
        <v>0</v>
      </c>
      <c r="W1177" s="6">
        <f>IF(ISERROR(VLOOKUP($T$1177,'TAR FIN'!$A$1:$O$95,15,0)),0,VLOOKUP($T$1177,'TAR FIN'!$A$1:$O$95,15,0))</f>
        <v>149.63</v>
      </c>
      <c r="X1177" s="6">
        <f>IF(ISERROR(VLOOKUP($U$1177,'TAR FIN'!$A$1:$O$95,15,0)),0,VLOOKUP($U$1177,'TAR FIN'!$A$1:$O$95,15,0))</f>
        <v>230.03</v>
      </c>
      <c r="Y1177" s="6"/>
      <c r="Z1177" s="6">
        <f ca="1">('TUSD BE'!$AM$17+'TUSD BF'!$AM$17+'TUSD CVA'!$AM$17)*1</f>
        <v>168.51338132937991</v>
      </c>
      <c r="AA1177" s="6">
        <f>('TE BE'!$AA$8+'TE BF'!$AA$8+'TE CVA'!$AA$8)*1</f>
        <v>282.91739971702214</v>
      </c>
      <c r="AB1177" s="6">
        <f>$K$1177*$V$1177</f>
        <v>0</v>
      </c>
      <c r="AC1177" s="6">
        <f>$M$1177*$W$1177</f>
        <v>1212.9007799999999</v>
      </c>
      <c r="AD1177" s="6">
        <f>$O$1177*$X$1177</f>
        <v>1864.62318</v>
      </c>
      <c r="AE1177" s="6">
        <f>$K$1177*$Y$1177</f>
        <v>0</v>
      </c>
      <c r="AF1177" s="6">
        <f ca="1">$M$1177*$Z$1177</f>
        <v>1365.9694690559536</v>
      </c>
      <c r="AG1177" s="6">
        <f>$O$1177*$AA$1177</f>
        <v>2293.3284421061812</v>
      </c>
    </row>
    <row r="1178" spans="1:33" ht="11.25" customHeight="1" x14ac:dyDescent="0.25">
      <c r="A1178" s="4" t="s">
        <v>30</v>
      </c>
      <c r="B1178" s="4" t="s">
        <v>35</v>
      </c>
      <c r="C1178" s="4" t="s">
        <v>36</v>
      </c>
      <c r="D1178" s="4" t="s">
        <v>48</v>
      </c>
      <c r="E1178" s="4" t="s">
        <v>25</v>
      </c>
      <c r="F1178" s="4" t="s">
        <v>25</v>
      </c>
      <c r="G1178" s="4" t="s">
        <v>25</v>
      </c>
      <c r="H1178" s="4" t="s">
        <v>38</v>
      </c>
      <c r="I1178" s="5">
        <v>44348</v>
      </c>
      <c r="J1178" s="6">
        <v>0</v>
      </c>
      <c r="K1178" s="6">
        <v>0</v>
      </c>
      <c r="L1178" s="6">
        <v>48.914999999999999</v>
      </c>
      <c r="M1178" s="6">
        <v>48.914999999999999</v>
      </c>
      <c r="N1178" s="6">
        <v>48.914999999999999</v>
      </c>
      <c r="O1178" s="6">
        <v>48.914999999999999</v>
      </c>
      <c r="P1178" s="6">
        <v>0</v>
      </c>
      <c r="Q1178" s="4" t="s">
        <v>26</v>
      </c>
      <c r="R1178" s="4">
        <v>0</v>
      </c>
      <c r="S1178" s="6">
        <v>0</v>
      </c>
      <c r="T1178" s="6">
        <v>19</v>
      </c>
      <c r="U1178" s="6">
        <v>67</v>
      </c>
      <c r="V1178" s="6">
        <f>IF(ISERROR(VLOOKUP($S$1178,'TAR FIN'!$A$1:$O$95,15,0)),0,VLOOKUP($S$1178,'TAR FIN'!$A$1:$O$95,15,0))</f>
        <v>0</v>
      </c>
      <c r="W1178" s="6">
        <f>IF(ISERROR(VLOOKUP($T$1178,'TAR FIN'!$A$1:$O$95,15,0)),0,VLOOKUP($T$1178,'TAR FIN'!$A$1:$O$95,15,0))</f>
        <v>149.63</v>
      </c>
      <c r="X1178" s="6">
        <f>IF(ISERROR(VLOOKUP($U$1178,'TAR FIN'!$A$1:$O$95,15,0)),0,VLOOKUP($U$1178,'TAR FIN'!$A$1:$O$95,15,0))</f>
        <v>230.03</v>
      </c>
      <c r="Y1178" s="6"/>
      <c r="Z1178" s="6">
        <f ca="1">('TUSD BE'!$AM$17+'TUSD BF'!$AM$17+'TUSD CVA'!$AM$17)*1</f>
        <v>168.51338132937991</v>
      </c>
      <c r="AA1178" s="6">
        <f>('TE BE'!$AA$8+'TE BF'!$AA$8+'TE CVA'!$AA$8)*1</f>
        <v>282.91739971702214</v>
      </c>
      <c r="AB1178" s="6">
        <f>$K$1178*$V$1178</f>
        <v>0</v>
      </c>
      <c r="AC1178" s="6">
        <f>$M$1178*$W$1178</f>
        <v>7319.1514499999994</v>
      </c>
      <c r="AD1178" s="6">
        <f>$O$1178*$X$1178</f>
        <v>11251.917449999999</v>
      </c>
      <c r="AE1178" s="6">
        <f>$K$1178*$Y$1178</f>
        <v>0</v>
      </c>
      <c r="AF1178" s="6">
        <f ca="1">$M$1178*$Z$1178</f>
        <v>8242.8320477266188</v>
      </c>
      <c r="AG1178" s="6">
        <f>$O$1178*$AA$1178</f>
        <v>13838.904607158138</v>
      </c>
    </row>
    <row r="1179" spans="1:33" ht="11.25" customHeight="1" x14ac:dyDescent="0.25">
      <c r="A1179" s="4" t="s">
        <v>21</v>
      </c>
      <c r="B1179" s="4" t="s">
        <v>35</v>
      </c>
      <c r="C1179" s="4" t="s">
        <v>36</v>
      </c>
      <c r="D1179" s="4" t="s">
        <v>48</v>
      </c>
      <c r="E1179" s="4" t="s">
        <v>25</v>
      </c>
      <c r="F1179" s="4" t="s">
        <v>25</v>
      </c>
      <c r="G1179" s="4" t="s">
        <v>25</v>
      </c>
      <c r="H1179" s="4" t="s">
        <v>38</v>
      </c>
      <c r="I1179" s="5">
        <v>44378</v>
      </c>
      <c r="J1179" s="6">
        <v>0</v>
      </c>
      <c r="K1179" s="6">
        <v>0</v>
      </c>
      <c r="L1179" s="6">
        <v>15580.68</v>
      </c>
      <c r="M1179" s="6">
        <v>15580.68</v>
      </c>
      <c r="N1179" s="6">
        <v>15580.68</v>
      </c>
      <c r="O1179" s="6">
        <v>15580.68</v>
      </c>
      <c r="P1179" s="6">
        <v>0</v>
      </c>
      <c r="Q1179" s="4" t="s">
        <v>26</v>
      </c>
      <c r="R1179" s="4">
        <v>0</v>
      </c>
      <c r="S1179" s="6">
        <v>0</v>
      </c>
      <c r="T1179" s="6">
        <v>19</v>
      </c>
      <c r="U1179" s="6">
        <v>67</v>
      </c>
      <c r="V1179" s="6">
        <f>IF(ISERROR(VLOOKUP($S$1179,'TAR FIN'!$A$1:$O$95,15,0)),0,VLOOKUP($S$1179,'TAR FIN'!$A$1:$O$95,15,0))</f>
        <v>0</v>
      </c>
      <c r="W1179" s="6">
        <f>IF(ISERROR(VLOOKUP($T$1179,'TAR FIN'!$A$1:$O$95,15,0)),0,VLOOKUP($T$1179,'TAR FIN'!$A$1:$O$95,15,0))</f>
        <v>149.63</v>
      </c>
      <c r="X1179" s="6">
        <f>IF(ISERROR(VLOOKUP($U$1179,'TAR FIN'!$A$1:$O$95,15,0)),0,VLOOKUP($U$1179,'TAR FIN'!$A$1:$O$95,15,0))</f>
        <v>230.03</v>
      </c>
      <c r="Y1179" s="6"/>
      <c r="Z1179" s="6">
        <f ca="1">('TUSD BE'!$AM$17+'TUSD BF'!$AM$17+'TUSD CVA'!$AM$17)*1</f>
        <v>168.51338132937991</v>
      </c>
      <c r="AA1179" s="6">
        <f>('TE BE'!$AA$8+'TE BF'!$AA$8+'TE CVA'!$AA$8)*1</f>
        <v>282.91739971702214</v>
      </c>
      <c r="AB1179" s="6">
        <f>$K$1179*$V$1179</f>
        <v>0</v>
      </c>
      <c r="AC1179" s="6">
        <f>$M$1179*$W$1179</f>
        <v>2331337.1483999998</v>
      </c>
      <c r="AD1179" s="6">
        <f>$O$1179*$X$1179</f>
        <v>3584023.8204000001</v>
      </c>
      <c r="AE1179" s="6">
        <f>$K$1179*$Y$1179</f>
        <v>0</v>
      </c>
      <c r="AF1179" s="6">
        <f ca="1">$M$1179*$Z$1179</f>
        <v>2625553.0702110431</v>
      </c>
      <c r="AG1179" s="6">
        <f>$O$1179*$AA$1179</f>
        <v>4408045.4714230122</v>
      </c>
    </row>
    <row r="1180" spans="1:33" ht="11.25" customHeight="1" x14ac:dyDescent="0.25">
      <c r="A1180" s="4" t="s">
        <v>28</v>
      </c>
      <c r="B1180" s="4" t="s">
        <v>35</v>
      </c>
      <c r="C1180" s="4" t="s">
        <v>36</v>
      </c>
      <c r="D1180" s="4" t="s">
        <v>48</v>
      </c>
      <c r="E1180" s="4" t="s">
        <v>25</v>
      </c>
      <c r="F1180" s="4" t="s">
        <v>25</v>
      </c>
      <c r="G1180" s="4" t="s">
        <v>25</v>
      </c>
      <c r="H1180" s="4" t="s">
        <v>38</v>
      </c>
      <c r="I1180" s="5">
        <v>44378</v>
      </c>
      <c r="J1180" s="6">
        <v>0</v>
      </c>
      <c r="K1180" s="6">
        <v>0</v>
      </c>
      <c r="L1180" s="6">
        <v>3726.6419999999998</v>
      </c>
      <c r="M1180" s="6">
        <v>3726.6419999999998</v>
      </c>
      <c r="N1180" s="6">
        <v>3726.6419999999998</v>
      </c>
      <c r="O1180" s="6">
        <v>3726.6419999999998</v>
      </c>
      <c r="P1180" s="6">
        <v>0</v>
      </c>
      <c r="Q1180" s="4" t="s">
        <v>26</v>
      </c>
      <c r="R1180" s="4">
        <v>0</v>
      </c>
      <c r="S1180" s="6">
        <v>0</v>
      </c>
      <c r="T1180" s="6">
        <v>19</v>
      </c>
      <c r="U1180" s="6">
        <v>67</v>
      </c>
      <c r="V1180" s="6">
        <f>IF(ISERROR(VLOOKUP($S$1180,'TAR FIN'!$A$1:$O$95,15,0)),0,VLOOKUP($S$1180,'TAR FIN'!$A$1:$O$95,15,0))</f>
        <v>0</v>
      </c>
      <c r="W1180" s="6">
        <f>IF(ISERROR(VLOOKUP($T$1180,'TAR FIN'!$A$1:$O$95,15,0)),0,VLOOKUP($T$1180,'TAR FIN'!$A$1:$O$95,15,0))</f>
        <v>149.63</v>
      </c>
      <c r="X1180" s="6">
        <f>IF(ISERROR(VLOOKUP($U$1180,'TAR FIN'!$A$1:$O$95,15,0)),0,VLOOKUP($U$1180,'TAR FIN'!$A$1:$O$95,15,0))</f>
        <v>230.03</v>
      </c>
      <c r="Y1180" s="6"/>
      <c r="Z1180" s="6">
        <f ca="1">('TUSD BE'!$AM$17+'TUSD BF'!$AM$17+'TUSD CVA'!$AM$17)*1</f>
        <v>168.51338132937991</v>
      </c>
      <c r="AA1180" s="6">
        <f>('TE BE'!$AA$8+'TE BF'!$AA$8+'TE CVA'!$AA$8)*1</f>
        <v>282.91739971702214</v>
      </c>
      <c r="AB1180" s="6">
        <f>$K$1180*$V$1180</f>
        <v>0</v>
      </c>
      <c r="AC1180" s="6">
        <f>$M$1180*$W$1180</f>
        <v>557617.44245999993</v>
      </c>
      <c r="AD1180" s="6">
        <f>$O$1180*$X$1180</f>
        <v>857239.45925999992</v>
      </c>
      <c r="AE1180" s="6">
        <f>$K$1180*$Y$1180</f>
        <v>0</v>
      </c>
      <c r="AF1180" s="6">
        <f ca="1">$M$1180*$Z$1180</f>
        <v>627989.04442408297</v>
      </c>
      <c r="AG1180" s="6">
        <f>$O$1180*$AA$1180</f>
        <v>1054331.8643162427</v>
      </c>
    </row>
    <row r="1181" spans="1:33" ht="11.25" customHeight="1" x14ac:dyDescent="0.25">
      <c r="A1181" s="4" t="s">
        <v>30</v>
      </c>
      <c r="B1181" s="4" t="s">
        <v>35</v>
      </c>
      <c r="C1181" s="4" t="s">
        <v>36</v>
      </c>
      <c r="D1181" s="4" t="s">
        <v>48</v>
      </c>
      <c r="E1181" s="4" t="s">
        <v>25</v>
      </c>
      <c r="F1181" s="4" t="s">
        <v>25</v>
      </c>
      <c r="G1181" s="4" t="s">
        <v>25</v>
      </c>
      <c r="H1181" s="4" t="s">
        <v>38</v>
      </c>
      <c r="I1181" s="5">
        <v>44378</v>
      </c>
      <c r="J1181" s="6">
        <v>0</v>
      </c>
      <c r="K1181" s="6">
        <v>0</v>
      </c>
      <c r="L1181" s="6">
        <v>52.664999999999999</v>
      </c>
      <c r="M1181" s="6">
        <v>52.664999999999999</v>
      </c>
      <c r="N1181" s="6">
        <v>52.664999999999999</v>
      </c>
      <c r="O1181" s="6">
        <v>52.664999999999999</v>
      </c>
      <c r="P1181" s="6">
        <v>0</v>
      </c>
      <c r="Q1181" s="4" t="s">
        <v>26</v>
      </c>
      <c r="R1181" s="4">
        <v>0</v>
      </c>
      <c r="S1181" s="6">
        <v>0</v>
      </c>
      <c r="T1181" s="6">
        <v>19</v>
      </c>
      <c r="U1181" s="6">
        <v>67</v>
      </c>
      <c r="V1181" s="6">
        <f>IF(ISERROR(VLOOKUP($S$1181,'TAR FIN'!$A$1:$O$95,15,0)),0,VLOOKUP($S$1181,'TAR FIN'!$A$1:$O$95,15,0))</f>
        <v>0</v>
      </c>
      <c r="W1181" s="6">
        <f>IF(ISERROR(VLOOKUP($T$1181,'TAR FIN'!$A$1:$O$95,15,0)),0,VLOOKUP($T$1181,'TAR FIN'!$A$1:$O$95,15,0))</f>
        <v>149.63</v>
      </c>
      <c r="X1181" s="6">
        <f>IF(ISERROR(VLOOKUP($U$1181,'TAR FIN'!$A$1:$O$95,15,0)),0,VLOOKUP($U$1181,'TAR FIN'!$A$1:$O$95,15,0))</f>
        <v>230.03</v>
      </c>
      <c r="Y1181" s="6"/>
      <c r="Z1181" s="6">
        <f ca="1">('TUSD BE'!$AM$17+'TUSD BF'!$AM$17+'TUSD CVA'!$AM$17)*1</f>
        <v>168.51338132937991</v>
      </c>
      <c r="AA1181" s="6">
        <f>('TE BE'!$AA$8+'TE BF'!$AA$8+'TE CVA'!$AA$8)*1</f>
        <v>282.91739971702214</v>
      </c>
      <c r="AB1181" s="6">
        <f>$K$1181*$V$1181</f>
        <v>0</v>
      </c>
      <c r="AC1181" s="6">
        <f>$M$1181*$W$1181</f>
        <v>7880.2639499999996</v>
      </c>
      <c r="AD1181" s="6">
        <f>$O$1181*$X$1181</f>
        <v>12114.52995</v>
      </c>
      <c r="AE1181" s="6">
        <f>$K$1181*$Y$1181</f>
        <v>0</v>
      </c>
      <c r="AF1181" s="6">
        <f ca="1">$M$1181*$Z$1181</f>
        <v>8874.7572277117924</v>
      </c>
      <c r="AG1181" s="6">
        <f>$O$1181*$AA$1181</f>
        <v>14899.84485609697</v>
      </c>
    </row>
    <row r="1182" spans="1:33" ht="11.25" customHeight="1" x14ac:dyDescent="0.25">
      <c r="A1182" s="4" t="s">
        <v>21</v>
      </c>
      <c r="B1182" s="4" t="s">
        <v>35</v>
      </c>
      <c r="C1182" s="4" t="s">
        <v>36</v>
      </c>
      <c r="D1182" s="4" t="s">
        <v>48</v>
      </c>
      <c r="E1182" s="4" t="s">
        <v>25</v>
      </c>
      <c r="F1182" s="4" t="s">
        <v>25</v>
      </c>
      <c r="G1182" s="4" t="s">
        <v>25</v>
      </c>
      <c r="H1182" s="4" t="s">
        <v>38</v>
      </c>
      <c r="I1182" s="5">
        <v>44409</v>
      </c>
      <c r="J1182" s="6">
        <v>0</v>
      </c>
      <c r="K1182" s="6">
        <v>0</v>
      </c>
      <c r="L1182" s="6">
        <v>15985.593999999999</v>
      </c>
      <c r="M1182" s="6">
        <v>15985.593999999999</v>
      </c>
      <c r="N1182" s="6">
        <v>15985.593999999999</v>
      </c>
      <c r="O1182" s="6">
        <v>15985.593999999999</v>
      </c>
      <c r="P1182" s="6">
        <v>0</v>
      </c>
      <c r="Q1182" s="4" t="s">
        <v>26</v>
      </c>
      <c r="R1182" s="4">
        <v>0</v>
      </c>
      <c r="S1182" s="6">
        <v>0</v>
      </c>
      <c r="T1182" s="6">
        <v>19</v>
      </c>
      <c r="U1182" s="6">
        <v>67</v>
      </c>
      <c r="V1182" s="6">
        <f>IF(ISERROR(VLOOKUP($S$1182,'TAR FIN'!$A$1:$O$95,15,0)),0,VLOOKUP($S$1182,'TAR FIN'!$A$1:$O$95,15,0))</f>
        <v>0</v>
      </c>
      <c r="W1182" s="6">
        <f>IF(ISERROR(VLOOKUP($T$1182,'TAR FIN'!$A$1:$O$95,15,0)),0,VLOOKUP($T$1182,'TAR FIN'!$A$1:$O$95,15,0))</f>
        <v>149.63</v>
      </c>
      <c r="X1182" s="6">
        <f>IF(ISERROR(VLOOKUP($U$1182,'TAR FIN'!$A$1:$O$95,15,0)),0,VLOOKUP($U$1182,'TAR FIN'!$A$1:$O$95,15,0))</f>
        <v>230.03</v>
      </c>
      <c r="Y1182" s="6"/>
      <c r="Z1182" s="6">
        <f ca="1">('TUSD BE'!$AM$17+'TUSD BF'!$AM$17+'TUSD CVA'!$AM$17)*1</f>
        <v>168.51338132937991</v>
      </c>
      <c r="AA1182" s="6">
        <f>('TE BE'!$AA$8+'TE BF'!$AA$8+'TE CVA'!$AA$8)*1</f>
        <v>282.91739971702214</v>
      </c>
      <c r="AB1182" s="6">
        <f>$K$1182*$V$1182</f>
        <v>0</v>
      </c>
      <c r="AC1182" s="6">
        <f>$M$1182*$W$1182</f>
        <v>2391924.43022</v>
      </c>
      <c r="AD1182" s="6">
        <f>$O$1182*$X$1182</f>
        <v>3677166.1878199996</v>
      </c>
      <c r="AE1182" s="6">
        <f>$K$1182*$Y$1182</f>
        <v>0</v>
      </c>
      <c r="AF1182" s="6">
        <f ca="1">$M$1182*$Z$1182</f>
        <v>2693786.4974986473</v>
      </c>
      <c r="AG1182" s="6">
        <f>$O$1182*$AA$1182</f>
        <v>4522602.6874120301</v>
      </c>
    </row>
    <row r="1183" spans="1:33" ht="11.25" customHeight="1" x14ac:dyDescent="0.25">
      <c r="A1183" s="4" t="s">
        <v>27</v>
      </c>
      <c r="B1183" s="4" t="s">
        <v>35</v>
      </c>
      <c r="C1183" s="4" t="s">
        <v>36</v>
      </c>
      <c r="D1183" s="4" t="s">
        <v>48</v>
      </c>
      <c r="E1183" s="4" t="s">
        <v>25</v>
      </c>
      <c r="F1183" s="4" t="s">
        <v>25</v>
      </c>
      <c r="G1183" s="4" t="s">
        <v>25</v>
      </c>
      <c r="H1183" s="4" t="s">
        <v>38</v>
      </c>
      <c r="I1183" s="5">
        <v>44409</v>
      </c>
      <c r="J1183" s="6">
        <v>0</v>
      </c>
      <c r="K1183" s="6">
        <v>0</v>
      </c>
      <c r="L1183" s="6">
        <v>-22839.87</v>
      </c>
      <c r="M1183" s="6">
        <v>-22839.87</v>
      </c>
      <c r="N1183" s="6">
        <v>-22839.87</v>
      </c>
      <c r="O1183" s="6">
        <v>-22839.87</v>
      </c>
      <c r="P1183" s="6">
        <v>0</v>
      </c>
      <c r="Q1183" s="4" t="s">
        <v>26</v>
      </c>
      <c r="R1183" s="4">
        <v>0</v>
      </c>
      <c r="S1183" s="6">
        <v>0</v>
      </c>
      <c r="T1183" s="6">
        <v>19</v>
      </c>
      <c r="U1183" s="6">
        <v>67</v>
      </c>
      <c r="V1183" s="6">
        <f>IF(ISERROR(VLOOKUP($S$1183,'TAR FIN'!$A$1:$O$95,15,0)),0,VLOOKUP($S$1183,'TAR FIN'!$A$1:$O$95,15,0))</f>
        <v>0</v>
      </c>
      <c r="W1183" s="6">
        <f>IF(ISERROR(VLOOKUP($T$1183,'TAR FIN'!$A$1:$O$95,15,0)),0,VLOOKUP($T$1183,'TAR FIN'!$A$1:$O$95,15,0))</f>
        <v>149.63</v>
      </c>
      <c r="X1183" s="6">
        <f>IF(ISERROR(VLOOKUP($U$1183,'TAR FIN'!$A$1:$O$95,15,0)),0,VLOOKUP($U$1183,'TAR FIN'!$A$1:$O$95,15,0))</f>
        <v>230.03</v>
      </c>
      <c r="Y1183" s="6"/>
      <c r="Z1183" s="6">
        <f ca="1">('TUSD BE'!$AM$17+'TUSD BF'!$AM$17+'TUSD CVA'!$AM$17)*1</f>
        <v>168.51338132937991</v>
      </c>
      <c r="AA1183" s="6">
        <f>('TE BE'!$AA$8+'TE BF'!$AA$8+'TE CVA'!$AA$8)*1</f>
        <v>282.91739971702214</v>
      </c>
      <c r="AB1183" s="6">
        <f>$K$1183*$V$1183</f>
        <v>0</v>
      </c>
      <c r="AC1183" s="6">
        <f>$M$1183*$W$1183</f>
        <v>-3417529.7481</v>
      </c>
      <c r="AD1183" s="6">
        <f>$O$1183*$X$1183</f>
        <v>-5253855.2960999999</v>
      </c>
      <c r="AE1183" s="6">
        <f>$K$1183*$Y$1183</f>
        <v>0</v>
      </c>
      <c r="AF1183" s="6">
        <f ca="1">$M$1183*$Z$1183</f>
        <v>-3848823.7228234643</v>
      </c>
      <c r="AG1183" s="6">
        <f>$O$1183*$AA$1183</f>
        <v>-6461796.630274822</v>
      </c>
    </row>
    <row r="1184" spans="1:33" ht="11.25" customHeight="1" x14ac:dyDescent="0.25">
      <c r="A1184" s="4" t="s">
        <v>28</v>
      </c>
      <c r="B1184" s="4" t="s">
        <v>35</v>
      </c>
      <c r="C1184" s="4" t="s">
        <v>36</v>
      </c>
      <c r="D1184" s="4" t="s">
        <v>48</v>
      </c>
      <c r="E1184" s="4" t="s">
        <v>25</v>
      </c>
      <c r="F1184" s="4" t="s">
        <v>25</v>
      </c>
      <c r="G1184" s="4" t="s">
        <v>25</v>
      </c>
      <c r="H1184" s="4" t="s">
        <v>38</v>
      </c>
      <c r="I1184" s="5">
        <v>44409</v>
      </c>
      <c r="J1184" s="6">
        <v>0</v>
      </c>
      <c r="K1184" s="6">
        <v>0</v>
      </c>
      <c r="L1184" s="6">
        <v>3410.8530000000001</v>
      </c>
      <c r="M1184" s="6">
        <v>3410.8530000000001</v>
      </c>
      <c r="N1184" s="6">
        <v>3410.8530000000001</v>
      </c>
      <c r="O1184" s="6">
        <v>3410.8530000000001</v>
      </c>
      <c r="P1184" s="6">
        <v>0</v>
      </c>
      <c r="Q1184" s="4" t="s">
        <v>26</v>
      </c>
      <c r="R1184" s="4">
        <v>0</v>
      </c>
      <c r="S1184" s="6">
        <v>0</v>
      </c>
      <c r="T1184" s="6">
        <v>19</v>
      </c>
      <c r="U1184" s="6">
        <v>67</v>
      </c>
      <c r="V1184" s="6">
        <f>IF(ISERROR(VLOOKUP($S$1184,'TAR FIN'!$A$1:$O$95,15,0)),0,VLOOKUP($S$1184,'TAR FIN'!$A$1:$O$95,15,0))</f>
        <v>0</v>
      </c>
      <c r="W1184" s="6">
        <f>IF(ISERROR(VLOOKUP($T$1184,'TAR FIN'!$A$1:$O$95,15,0)),0,VLOOKUP($T$1184,'TAR FIN'!$A$1:$O$95,15,0))</f>
        <v>149.63</v>
      </c>
      <c r="X1184" s="6">
        <f>IF(ISERROR(VLOOKUP($U$1184,'TAR FIN'!$A$1:$O$95,15,0)),0,VLOOKUP($U$1184,'TAR FIN'!$A$1:$O$95,15,0))</f>
        <v>230.03</v>
      </c>
      <c r="Y1184" s="6"/>
      <c r="Z1184" s="6">
        <f ca="1">('TUSD BE'!$AM$17+'TUSD BF'!$AM$17+'TUSD CVA'!$AM$17)*1</f>
        <v>168.51338132937991</v>
      </c>
      <c r="AA1184" s="6">
        <f>('TE BE'!$AA$8+'TE BF'!$AA$8+'TE CVA'!$AA$8)*1</f>
        <v>282.91739971702214</v>
      </c>
      <c r="AB1184" s="6">
        <f>$K$1184*$V$1184</f>
        <v>0</v>
      </c>
      <c r="AC1184" s="6">
        <f>$M$1184*$W$1184</f>
        <v>510365.93439000001</v>
      </c>
      <c r="AD1184" s="6">
        <f>$O$1184*$X$1184</f>
        <v>784598.51558999997</v>
      </c>
      <c r="AE1184" s="6">
        <f>$K$1184*$Y$1184</f>
        <v>0</v>
      </c>
      <c r="AF1184" s="6">
        <f ca="1">$M$1184*$Z$1184</f>
        <v>574774.37224745948</v>
      </c>
      <c r="AG1184" s="6">
        <f>$O$1184*$AA$1184</f>
        <v>964989.66157700412</v>
      </c>
    </row>
    <row r="1185" spans="1:33" ht="11.25" customHeight="1" x14ac:dyDescent="0.25">
      <c r="A1185" s="4" t="s">
        <v>29</v>
      </c>
      <c r="B1185" s="4" t="s">
        <v>35</v>
      </c>
      <c r="C1185" s="4" t="s">
        <v>36</v>
      </c>
      <c r="D1185" s="4" t="s">
        <v>48</v>
      </c>
      <c r="E1185" s="4" t="s">
        <v>25</v>
      </c>
      <c r="F1185" s="4" t="s">
        <v>25</v>
      </c>
      <c r="G1185" s="4" t="s">
        <v>25</v>
      </c>
      <c r="H1185" s="4" t="s">
        <v>38</v>
      </c>
      <c r="I1185" s="5">
        <v>44409</v>
      </c>
      <c r="J1185" s="6">
        <v>0</v>
      </c>
      <c r="K1185" s="6">
        <v>0</v>
      </c>
      <c r="L1185" s="6">
        <v>-8.2089999999999996</v>
      </c>
      <c r="M1185" s="6">
        <v>-8.2089999999999996</v>
      </c>
      <c r="N1185" s="6">
        <v>-8.2089999999999996</v>
      </c>
      <c r="O1185" s="6">
        <v>-8.2089999999999996</v>
      </c>
      <c r="P1185" s="6">
        <v>0</v>
      </c>
      <c r="Q1185" s="4" t="s">
        <v>26</v>
      </c>
      <c r="R1185" s="4">
        <v>0</v>
      </c>
      <c r="S1185" s="6">
        <v>0</v>
      </c>
      <c r="T1185" s="6">
        <v>19</v>
      </c>
      <c r="U1185" s="6">
        <v>67</v>
      </c>
      <c r="V1185" s="6">
        <f>IF(ISERROR(VLOOKUP($S$1185,'TAR FIN'!$A$1:$O$95,15,0)),0,VLOOKUP($S$1185,'TAR FIN'!$A$1:$O$95,15,0))</f>
        <v>0</v>
      </c>
      <c r="W1185" s="6">
        <f>IF(ISERROR(VLOOKUP($T$1185,'TAR FIN'!$A$1:$O$95,15,0)),0,VLOOKUP($T$1185,'TAR FIN'!$A$1:$O$95,15,0))</f>
        <v>149.63</v>
      </c>
      <c r="X1185" s="6">
        <f>IF(ISERROR(VLOOKUP($U$1185,'TAR FIN'!$A$1:$O$95,15,0)),0,VLOOKUP($U$1185,'TAR FIN'!$A$1:$O$95,15,0))</f>
        <v>230.03</v>
      </c>
      <c r="Y1185" s="6"/>
      <c r="Z1185" s="6">
        <f ca="1">('TUSD BE'!$AM$17+'TUSD BF'!$AM$17+'TUSD CVA'!$AM$17)*1</f>
        <v>168.51338132937991</v>
      </c>
      <c r="AA1185" s="6">
        <f>('TE BE'!$AA$8+'TE BF'!$AA$8+'TE CVA'!$AA$8)*1</f>
        <v>282.91739971702214</v>
      </c>
      <c r="AB1185" s="6">
        <f>$K$1185*$V$1185</f>
        <v>0</v>
      </c>
      <c r="AC1185" s="6">
        <f>$M$1185*$W$1185</f>
        <v>-1228.3126699999998</v>
      </c>
      <c r="AD1185" s="6">
        <f>$O$1185*$X$1185</f>
        <v>-1888.31627</v>
      </c>
      <c r="AE1185" s="6">
        <f>$K$1185*$Y$1185</f>
        <v>0</v>
      </c>
      <c r="AF1185" s="6">
        <f ca="1">$M$1185*$Z$1185</f>
        <v>-1383.3263473328795</v>
      </c>
      <c r="AG1185" s="6">
        <f>$O$1185*$AA$1185</f>
        <v>-2322.4689342770348</v>
      </c>
    </row>
    <row r="1186" spans="1:33" ht="11.25" customHeight="1" x14ac:dyDescent="0.25">
      <c r="A1186" s="4" t="s">
        <v>30</v>
      </c>
      <c r="B1186" s="4" t="s">
        <v>35</v>
      </c>
      <c r="C1186" s="4" t="s">
        <v>36</v>
      </c>
      <c r="D1186" s="4" t="s">
        <v>48</v>
      </c>
      <c r="E1186" s="4" t="s">
        <v>25</v>
      </c>
      <c r="F1186" s="4" t="s">
        <v>25</v>
      </c>
      <c r="G1186" s="4" t="s">
        <v>25</v>
      </c>
      <c r="H1186" s="4" t="s">
        <v>38</v>
      </c>
      <c r="I1186" s="5">
        <v>44409</v>
      </c>
      <c r="J1186" s="6">
        <v>0</v>
      </c>
      <c r="K1186" s="6">
        <v>0</v>
      </c>
      <c r="L1186" s="6">
        <v>5.4240000000000004</v>
      </c>
      <c r="M1186" s="6">
        <v>5.4240000000000004</v>
      </c>
      <c r="N1186" s="6">
        <v>5.4240000000000004</v>
      </c>
      <c r="O1186" s="6">
        <v>5.4240000000000004</v>
      </c>
      <c r="P1186" s="6">
        <v>0</v>
      </c>
      <c r="Q1186" s="4" t="s">
        <v>26</v>
      </c>
      <c r="R1186" s="4">
        <v>0</v>
      </c>
      <c r="S1186" s="6">
        <v>0</v>
      </c>
      <c r="T1186" s="6">
        <v>19</v>
      </c>
      <c r="U1186" s="6">
        <v>67</v>
      </c>
      <c r="V1186" s="6">
        <f>IF(ISERROR(VLOOKUP($S$1186,'TAR FIN'!$A$1:$O$95,15,0)),0,VLOOKUP($S$1186,'TAR FIN'!$A$1:$O$95,15,0))</f>
        <v>0</v>
      </c>
      <c r="W1186" s="6">
        <f>IF(ISERROR(VLOOKUP($T$1186,'TAR FIN'!$A$1:$O$95,15,0)),0,VLOOKUP($T$1186,'TAR FIN'!$A$1:$O$95,15,0))</f>
        <v>149.63</v>
      </c>
      <c r="X1186" s="6">
        <f>IF(ISERROR(VLOOKUP($U$1186,'TAR FIN'!$A$1:$O$95,15,0)),0,VLOOKUP($U$1186,'TAR FIN'!$A$1:$O$95,15,0))</f>
        <v>230.03</v>
      </c>
      <c r="Y1186" s="6"/>
      <c r="Z1186" s="6">
        <f ca="1">('TUSD BE'!$AM$17+'TUSD BF'!$AM$17+'TUSD CVA'!$AM$17)*1</f>
        <v>168.51338132937991</v>
      </c>
      <c r="AA1186" s="6">
        <f>('TE BE'!$AA$8+'TE BF'!$AA$8+'TE CVA'!$AA$8)*1</f>
        <v>282.91739971702214</v>
      </c>
      <c r="AB1186" s="6">
        <f>$K$1186*$V$1186</f>
        <v>0</v>
      </c>
      <c r="AC1186" s="6">
        <f>$M$1186*$W$1186</f>
        <v>811.59312</v>
      </c>
      <c r="AD1186" s="6">
        <f>$O$1186*$X$1186</f>
        <v>1247.68272</v>
      </c>
      <c r="AE1186" s="6">
        <f>$K$1186*$Y$1186</f>
        <v>0</v>
      </c>
      <c r="AF1186" s="6">
        <f ca="1">$M$1186*$Z$1186</f>
        <v>914.01658033055674</v>
      </c>
      <c r="AG1186" s="6">
        <f>$O$1186*$AA$1186</f>
        <v>1534.5439760651282</v>
      </c>
    </row>
    <row r="1187" spans="1:33" ht="11.25" customHeight="1" x14ac:dyDescent="0.25">
      <c r="A1187" s="4" t="s">
        <v>21</v>
      </c>
      <c r="B1187" s="4" t="s">
        <v>35</v>
      </c>
      <c r="C1187" s="4" t="s">
        <v>36</v>
      </c>
      <c r="D1187" s="4" t="s">
        <v>48</v>
      </c>
      <c r="E1187" s="4" t="s">
        <v>25</v>
      </c>
      <c r="F1187" s="4" t="s">
        <v>25</v>
      </c>
      <c r="G1187" s="4" t="s">
        <v>25</v>
      </c>
      <c r="H1187" s="4" t="s">
        <v>38</v>
      </c>
      <c r="I1187" s="5">
        <v>44440</v>
      </c>
      <c r="J1187" s="6">
        <v>0</v>
      </c>
      <c r="K1187" s="6">
        <v>0</v>
      </c>
      <c r="L1187" s="6">
        <v>15783.975</v>
      </c>
      <c r="M1187" s="6">
        <v>15783.975</v>
      </c>
      <c r="N1187" s="6">
        <v>15783.975</v>
      </c>
      <c r="O1187" s="6">
        <v>15783.975</v>
      </c>
      <c r="P1187" s="6">
        <v>0</v>
      </c>
      <c r="Q1187" s="4" t="s">
        <v>26</v>
      </c>
      <c r="R1187" s="4">
        <v>0</v>
      </c>
      <c r="S1187" s="6">
        <v>0</v>
      </c>
      <c r="T1187" s="6">
        <v>19</v>
      </c>
      <c r="U1187" s="6">
        <v>67</v>
      </c>
      <c r="V1187" s="6">
        <f>IF(ISERROR(VLOOKUP($S$1187,'TAR FIN'!$A$1:$O$95,15,0)),0,VLOOKUP($S$1187,'TAR FIN'!$A$1:$O$95,15,0))</f>
        <v>0</v>
      </c>
      <c r="W1187" s="6">
        <f>IF(ISERROR(VLOOKUP($T$1187,'TAR FIN'!$A$1:$O$95,15,0)),0,VLOOKUP($T$1187,'TAR FIN'!$A$1:$O$95,15,0))</f>
        <v>149.63</v>
      </c>
      <c r="X1187" s="6">
        <f>IF(ISERROR(VLOOKUP($U$1187,'TAR FIN'!$A$1:$O$95,15,0)),0,VLOOKUP($U$1187,'TAR FIN'!$A$1:$O$95,15,0))</f>
        <v>230.03</v>
      </c>
      <c r="Y1187" s="6"/>
      <c r="Z1187" s="6">
        <f ca="1">('TUSD BE'!$AM$17+'TUSD BF'!$AM$17+'TUSD CVA'!$AM$17)*1</f>
        <v>168.51338132937991</v>
      </c>
      <c r="AA1187" s="6">
        <f>('TE BE'!$AA$8+'TE BF'!$AA$8+'TE CVA'!$AA$8)*1</f>
        <v>282.91739971702214</v>
      </c>
      <c r="AB1187" s="6">
        <f>$K$1187*$V$1187</f>
        <v>0</v>
      </c>
      <c r="AC1187" s="6">
        <f>$M$1187*$W$1187</f>
        <v>2361756.17925</v>
      </c>
      <c r="AD1187" s="6">
        <f>$O$1187*$X$1187</f>
        <v>3630787.7692499999</v>
      </c>
      <c r="AE1187" s="6">
        <f>$K$1187*$Y$1187</f>
        <v>0</v>
      </c>
      <c r="AF1187" s="6">
        <f ca="1">$M$1187*$Z$1187</f>
        <v>2659810.9980683993</v>
      </c>
      <c r="AG1187" s="6">
        <f>$O$1187*$AA$1187</f>
        <v>4465561.1641984843</v>
      </c>
    </row>
    <row r="1188" spans="1:33" ht="11.25" customHeight="1" x14ac:dyDescent="0.25">
      <c r="A1188" s="4" t="s">
        <v>27</v>
      </c>
      <c r="B1188" s="4" t="s">
        <v>35</v>
      </c>
      <c r="C1188" s="4" t="s">
        <v>36</v>
      </c>
      <c r="D1188" s="4" t="s">
        <v>48</v>
      </c>
      <c r="E1188" s="4" t="s">
        <v>25</v>
      </c>
      <c r="F1188" s="4" t="s">
        <v>25</v>
      </c>
      <c r="G1188" s="4" t="s">
        <v>25</v>
      </c>
      <c r="H1188" s="4" t="s">
        <v>38</v>
      </c>
      <c r="I1188" s="5">
        <v>44440</v>
      </c>
      <c r="J1188" s="6">
        <v>0</v>
      </c>
      <c r="K1188" s="6">
        <v>0</v>
      </c>
      <c r="L1188" s="6">
        <v>-3.69</v>
      </c>
      <c r="M1188" s="6">
        <v>-3.69</v>
      </c>
      <c r="N1188" s="6">
        <v>-3.69</v>
      </c>
      <c r="O1188" s="6">
        <v>-3.69</v>
      </c>
      <c r="P1188" s="6">
        <v>0</v>
      </c>
      <c r="Q1188" s="4" t="s">
        <v>26</v>
      </c>
      <c r="R1188" s="4">
        <v>0</v>
      </c>
      <c r="S1188" s="6">
        <v>0</v>
      </c>
      <c r="T1188" s="6">
        <v>19</v>
      </c>
      <c r="U1188" s="6">
        <v>67</v>
      </c>
      <c r="V1188" s="6">
        <f>IF(ISERROR(VLOOKUP($S$1188,'TAR FIN'!$A$1:$O$95,15,0)),0,VLOOKUP($S$1188,'TAR FIN'!$A$1:$O$95,15,0))</f>
        <v>0</v>
      </c>
      <c r="W1188" s="6">
        <f>IF(ISERROR(VLOOKUP($T$1188,'TAR FIN'!$A$1:$O$95,15,0)),0,VLOOKUP($T$1188,'TAR FIN'!$A$1:$O$95,15,0))</f>
        <v>149.63</v>
      </c>
      <c r="X1188" s="6">
        <f>IF(ISERROR(VLOOKUP($U$1188,'TAR FIN'!$A$1:$O$95,15,0)),0,VLOOKUP($U$1188,'TAR FIN'!$A$1:$O$95,15,0))</f>
        <v>230.03</v>
      </c>
      <c r="Y1188" s="6"/>
      <c r="Z1188" s="6">
        <f ca="1">('TUSD BE'!$AM$17+'TUSD BF'!$AM$17+'TUSD CVA'!$AM$17)*1</f>
        <v>168.51338132937991</v>
      </c>
      <c r="AA1188" s="6">
        <f>('TE BE'!$AA$8+'TE BF'!$AA$8+'TE CVA'!$AA$8)*1</f>
        <v>282.91739971702214</v>
      </c>
      <c r="AB1188" s="6">
        <f>$K$1188*$V$1188</f>
        <v>0</v>
      </c>
      <c r="AC1188" s="6">
        <f>$M$1188*$W$1188</f>
        <v>-552.13469999999995</v>
      </c>
      <c r="AD1188" s="6">
        <f>$O$1188*$X$1188</f>
        <v>-848.8107</v>
      </c>
      <c r="AE1188" s="6">
        <f>$K$1188*$Y$1188</f>
        <v>0</v>
      </c>
      <c r="AF1188" s="6">
        <f ca="1">$M$1188*$Z$1188</f>
        <v>-621.81437710541184</v>
      </c>
      <c r="AG1188" s="6">
        <f>$O$1188*$AA$1188</f>
        <v>-1043.9652049558117</v>
      </c>
    </row>
    <row r="1189" spans="1:33" ht="11.25" customHeight="1" x14ac:dyDescent="0.25">
      <c r="A1189" s="4" t="s">
        <v>28</v>
      </c>
      <c r="B1189" s="4" t="s">
        <v>35</v>
      </c>
      <c r="C1189" s="4" t="s">
        <v>36</v>
      </c>
      <c r="D1189" s="4" t="s">
        <v>48</v>
      </c>
      <c r="E1189" s="4" t="s">
        <v>25</v>
      </c>
      <c r="F1189" s="4" t="s">
        <v>25</v>
      </c>
      <c r="G1189" s="4" t="s">
        <v>25</v>
      </c>
      <c r="H1189" s="4" t="s">
        <v>38</v>
      </c>
      <c r="I1189" s="5">
        <v>44440</v>
      </c>
      <c r="J1189" s="6">
        <v>0</v>
      </c>
      <c r="K1189" s="6">
        <v>0</v>
      </c>
      <c r="L1189" s="6">
        <v>3515.1869999999999</v>
      </c>
      <c r="M1189" s="6">
        <v>3515.1869999999999</v>
      </c>
      <c r="N1189" s="6">
        <v>3515.1869999999999</v>
      </c>
      <c r="O1189" s="6">
        <v>3515.1869999999999</v>
      </c>
      <c r="P1189" s="6">
        <v>0</v>
      </c>
      <c r="Q1189" s="4" t="s">
        <v>26</v>
      </c>
      <c r="R1189" s="4">
        <v>0</v>
      </c>
      <c r="S1189" s="6">
        <v>0</v>
      </c>
      <c r="T1189" s="6">
        <v>19</v>
      </c>
      <c r="U1189" s="6">
        <v>67</v>
      </c>
      <c r="V1189" s="6">
        <f>IF(ISERROR(VLOOKUP($S$1189,'TAR FIN'!$A$1:$O$95,15,0)),0,VLOOKUP($S$1189,'TAR FIN'!$A$1:$O$95,15,0))</f>
        <v>0</v>
      </c>
      <c r="W1189" s="6">
        <f>IF(ISERROR(VLOOKUP($T$1189,'TAR FIN'!$A$1:$O$95,15,0)),0,VLOOKUP($T$1189,'TAR FIN'!$A$1:$O$95,15,0))</f>
        <v>149.63</v>
      </c>
      <c r="X1189" s="6">
        <f>IF(ISERROR(VLOOKUP($U$1189,'TAR FIN'!$A$1:$O$95,15,0)),0,VLOOKUP($U$1189,'TAR FIN'!$A$1:$O$95,15,0))</f>
        <v>230.03</v>
      </c>
      <c r="Y1189" s="6"/>
      <c r="Z1189" s="6">
        <f ca="1">('TUSD BE'!$AM$17+'TUSD BF'!$AM$17+'TUSD CVA'!$AM$17)*1</f>
        <v>168.51338132937991</v>
      </c>
      <c r="AA1189" s="6">
        <f>('TE BE'!$AA$8+'TE BF'!$AA$8+'TE CVA'!$AA$8)*1</f>
        <v>282.91739971702214</v>
      </c>
      <c r="AB1189" s="6">
        <f>$K$1189*$V$1189</f>
        <v>0</v>
      </c>
      <c r="AC1189" s="6">
        <f>$M$1189*$W$1189</f>
        <v>525977.43080999993</v>
      </c>
      <c r="AD1189" s="6">
        <f>$O$1189*$X$1189</f>
        <v>808598.46560999996</v>
      </c>
      <c r="AE1189" s="6">
        <f>$K$1189*$Y$1189</f>
        <v>0</v>
      </c>
      <c r="AF1189" s="6">
        <f ca="1">$M$1189*$Z$1189</f>
        <v>592356.04737507901</v>
      </c>
      <c r="AG1189" s="6">
        <f>$O$1189*$AA$1189</f>
        <v>994507.56555907987</v>
      </c>
    </row>
    <row r="1190" spans="1:33" ht="11.25" customHeight="1" x14ac:dyDescent="0.25">
      <c r="A1190" s="4" t="s">
        <v>30</v>
      </c>
      <c r="B1190" s="4" t="s">
        <v>35</v>
      </c>
      <c r="C1190" s="4" t="s">
        <v>36</v>
      </c>
      <c r="D1190" s="4" t="s">
        <v>48</v>
      </c>
      <c r="E1190" s="4" t="s">
        <v>25</v>
      </c>
      <c r="F1190" s="4" t="s">
        <v>25</v>
      </c>
      <c r="G1190" s="4" t="s">
        <v>25</v>
      </c>
      <c r="H1190" s="4" t="s">
        <v>38</v>
      </c>
      <c r="I1190" s="5">
        <v>44440</v>
      </c>
      <c r="J1190" s="6">
        <v>0</v>
      </c>
      <c r="K1190" s="6">
        <v>0</v>
      </c>
      <c r="L1190" s="6">
        <v>5.6639999999999997</v>
      </c>
      <c r="M1190" s="6">
        <v>5.6639999999999997</v>
      </c>
      <c r="N1190" s="6">
        <v>5.6639999999999997</v>
      </c>
      <c r="O1190" s="6">
        <v>5.6639999999999997</v>
      </c>
      <c r="P1190" s="6">
        <v>0</v>
      </c>
      <c r="Q1190" s="4" t="s">
        <v>26</v>
      </c>
      <c r="R1190" s="4">
        <v>0</v>
      </c>
      <c r="S1190" s="6">
        <v>0</v>
      </c>
      <c r="T1190" s="6">
        <v>19</v>
      </c>
      <c r="U1190" s="6">
        <v>67</v>
      </c>
      <c r="V1190" s="6">
        <f>IF(ISERROR(VLOOKUP($S$1190,'TAR FIN'!$A$1:$O$95,15,0)),0,VLOOKUP($S$1190,'TAR FIN'!$A$1:$O$95,15,0))</f>
        <v>0</v>
      </c>
      <c r="W1190" s="6">
        <f>IF(ISERROR(VLOOKUP($T$1190,'TAR FIN'!$A$1:$O$95,15,0)),0,VLOOKUP($T$1190,'TAR FIN'!$A$1:$O$95,15,0))</f>
        <v>149.63</v>
      </c>
      <c r="X1190" s="6">
        <f>IF(ISERROR(VLOOKUP($U$1190,'TAR FIN'!$A$1:$O$95,15,0)),0,VLOOKUP($U$1190,'TAR FIN'!$A$1:$O$95,15,0))</f>
        <v>230.03</v>
      </c>
      <c r="Y1190" s="6"/>
      <c r="Z1190" s="6">
        <f ca="1">('TUSD BE'!$AM$17+'TUSD BF'!$AM$17+'TUSD CVA'!$AM$17)*1</f>
        <v>168.51338132937991</v>
      </c>
      <c r="AA1190" s="6">
        <f>('TE BE'!$AA$8+'TE BF'!$AA$8+'TE CVA'!$AA$8)*1</f>
        <v>282.91739971702214</v>
      </c>
      <c r="AB1190" s="6">
        <f>$K$1190*$V$1190</f>
        <v>0</v>
      </c>
      <c r="AC1190" s="6">
        <f>$M$1190*$W$1190</f>
        <v>847.50431999999989</v>
      </c>
      <c r="AD1190" s="6">
        <f>$O$1190*$X$1190</f>
        <v>1302.8899199999998</v>
      </c>
      <c r="AE1190" s="6">
        <f>$K$1190*$Y$1190</f>
        <v>0</v>
      </c>
      <c r="AF1190" s="6">
        <f ca="1">$M$1190*$Z$1190</f>
        <v>954.45979184960777</v>
      </c>
      <c r="AG1190" s="6">
        <f>$O$1190*$AA$1190</f>
        <v>1602.4441519972133</v>
      </c>
    </row>
    <row r="1191" spans="1:33" ht="11.25" customHeight="1" x14ac:dyDescent="0.25">
      <c r="A1191" s="4" t="s">
        <v>59</v>
      </c>
      <c r="B1191" s="4" t="s">
        <v>35</v>
      </c>
      <c r="C1191" s="4" t="s">
        <v>36</v>
      </c>
      <c r="D1191" s="4" t="s">
        <v>48</v>
      </c>
      <c r="E1191" s="4" t="s">
        <v>25</v>
      </c>
      <c r="F1191" s="4" t="s">
        <v>25</v>
      </c>
      <c r="G1191" s="4" t="s">
        <v>25</v>
      </c>
      <c r="H1191" s="4" t="s">
        <v>38</v>
      </c>
      <c r="I1191" s="5">
        <v>44470</v>
      </c>
      <c r="J1191" s="6">
        <v>0</v>
      </c>
      <c r="K1191" s="6">
        <v>0</v>
      </c>
      <c r="L1191" s="6">
        <v>15783.975</v>
      </c>
      <c r="M1191" s="6">
        <v>15783.975</v>
      </c>
      <c r="N1191" s="6">
        <v>15783.975</v>
      </c>
      <c r="O1191" s="6">
        <v>15783.975</v>
      </c>
      <c r="P1191" s="6">
        <v>0</v>
      </c>
      <c r="Q1191" s="4" t="s">
        <v>26</v>
      </c>
      <c r="R1191" s="4">
        <v>0</v>
      </c>
      <c r="S1191" s="6">
        <v>0</v>
      </c>
      <c r="T1191" s="6">
        <v>19</v>
      </c>
      <c r="U1191" s="6">
        <v>67</v>
      </c>
      <c r="V1191" s="6">
        <f>IF(ISERROR(VLOOKUP($S$1191,'TAR FIN'!$A$1:$O$95,15,0)),0,VLOOKUP($S$1191,'TAR FIN'!$A$1:$O$95,15,0))</f>
        <v>0</v>
      </c>
      <c r="W1191" s="6">
        <f>IF(ISERROR(VLOOKUP($T$1191,'TAR FIN'!$A$1:$O$95,15,0)),0,VLOOKUP($T$1191,'TAR FIN'!$A$1:$O$95,15,0))</f>
        <v>149.63</v>
      </c>
      <c r="X1191" s="6">
        <f>IF(ISERROR(VLOOKUP($U$1191,'TAR FIN'!$A$1:$O$95,15,0)),0,VLOOKUP($U$1191,'TAR FIN'!$A$1:$O$95,15,0))</f>
        <v>230.03</v>
      </c>
      <c r="Y1191" s="6"/>
      <c r="Z1191" s="6">
        <f ca="1">('TUSD BE'!$AM$17+'TUSD BF'!$AM$17+'TUSD CVA'!$AM$17)*1</f>
        <v>168.51338132937991</v>
      </c>
      <c r="AA1191" s="6">
        <f>('TE BE'!$AA$8+'TE BF'!$AA$8+'TE CVA'!$AA$8)*1</f>
        <v>282.91739971702214</v>
      </c>
      <c r="AB1191" s="6">
        <f>$K$1191*$V$1191</f>
        <v>0</v>
      </c>
      <c r="AC1191" s="6">
        <f>$M$1191*$W$1191</f>
        <v>2361756.17925</v>
      </c>
      <c r="AD1191" s="6">
        <f>$O$1191*$X$1191</f>
        <v>3630787.7692499999</v>
      </c>
      <c r="AE1191" s="6">
        <f>$K$1191*$Y$1191</f>
        <v>0</v>
      </c>
      <c r="AF1191" s="6">
        <f ca="1">$M$1191*$Z$1191</f>
        <v>2659810.9980683993</v>
      </c>
      <c r="AG1191" s="6">
        <f>$O$1191*$AA$1191</f>
        <v>4465561.1641984843</v>
      </c>
    </row>
    <row r="1192" spans="1:33" ht="11.25" customHeight="1" x14ac:dyDescent="0.25">
      <c r="A1192" s="4" t="s">
        <v>59</v>
      </c>
      <c r="B1192" s="4" t="s">
        <v>35</v>
      </c>
      <c r="C1192" s="4" t="s">
        <v>36</v>
      </c>
      <c r="D1192" s="4" t="s">
        <v>48</v>
      </c>
      <c r="E1192" s="4" t="s">
        <v>25</v>
      </c>
      <c r="F1192" s="4" t="s">
        <v>25</v>
      </c>
      <c r="G1192" s="4" t="s">
        <v>25</v>
      </c>
      <c r="H1192" s="4" t="s">
        <v>38</v>
      </c>
      <c r="I1192" s="5">
        <v>44470</v>
      </c>
      <c r="J1192" s="6">
        <v>0</v>
      </c>
      <c r="K1192" s="6">
        <v>0</v>
      </c>
      <c r="L1192" s="6">
        <v>-3.69</v>
      </c>
      <c r="M1192" s="6">
        <v>-3.69</v>
      </c>
      <c r="N1192" s="6">
        <v>-3.69</v>
      </c>
      <c r="O1192" s="6">
        <v>-3.69</v>
      </c>
      <c r="P1192" s="6">
        <v>0</v>
      </c>
      <c r="Q1192" s="4" t="s">
        <v>26</v>
      </c>
      <c r="R1192" s="4">
        <v>0</v>
      </c>
      <c r="S1192" s="6">
        <v>0</v>
      </c>
      <c r="T1192" s="6">
        <v>19</v>
      </c>
      <c r="U1192" s="6">
        <v>67</v>
      </c>
      <c r="V1192" s="6">
        <f>IF(ISERROR(VLOOKUP($S$1192,'TAR FIN'!$A$1:$O$95,15,0)),0,VLOOKUP($S$1192,'TAR FIN'!$A$1:$O$95,15,0))</f>
        <v>0</v>
      </c>
      <c r="W1192" s="6">
        <f>IF(ISERROR(VLOOKUP($T$1192,'TAR FIN'!$A$1:$O$95,15,0)),0,VLOOKUP($T$1192,'TAR FIN'!$A$1:$O$95,15,0))</f>
        <v>149.63</v>
      </c>
      <c r="X1192" s="6">
        <f>IF(ISERROR(VLOOKUP($U$1192,'TAR FIN'!$A$1:$O$95,15,0)),0,VLOOKUP($U$1192,'TAR FIN'!$A$1:$O$95,15,0))</f>
        <v>230.03</v>
      </c>
      <c r="Y1192" s="6"/>
      <c r="Z1192" s="6">
        <f ca="1">('TUSD BE'!$AM$17+'TUSD BF'!$AM$17+'TUSD CVA'!$AM$17)*1</f>
        <v>168.51338132937991</v>
      </c>
      <c r="AA1192" s="6">
        <f>('TE BE'!$AA$8+'TE BF'!$AA$8+'TE CVA'!$AA$8)*1</f>
        <v>282.91739971702214</v>
      </c>
      <c r="AB1192" s="6">
        <f>$K$1192*$V$1192</f>
        <v>0</v>
      </c>
      <c r="AC1192" s="6">
        <f>$M$1192*$W$1192</f>
        <v>-552.13469999999995</v>
      </c>
      <c r="AD1192" s="6">
        <f>$O$1192*$X$1192</f>
        <v>-848.8107</v>
      </c>
      <c r="AE1192" s="6">
        <f>$K$1192*$Y$1192</f>
        <v>0</v>
      </c>
      <c r="AF1192" s="6">
        <f ca="1">$M$1192*$Z$1192</f>
        <v>-621.81437710541184</v>
      </c>
      <c r="AG1192" s="6">
        <f>$O$1192*$AA$1192</f>
        <v>-1043.9652049558117</v>
      </c>
    </row>
    <row r="1193" spans="1:33" ht="11.25" customHeight="1" x14ac:dyDescent="0.25">
      <c r="A1193" s="4" t="s">
        <v>59</v>
      </c>
      <c r="B1193" s="4" t="s">
        <v>35</v>
      </c>
      <c r="C1193" s="4" t="s">
        <v>36</v>
      </c>
      <c r="D1193" s="4" t="s">
        <v>48</v>
      </c>
      <c r="E1193" s="4" t="s">
        <v>25</v>
      </c>
      <c r="F1193" s="4" t="s">
        <v>25</v>
      </c>
      <c r="G1193" s="4" t="s">
        <v>25</v>
      </c>
      <c r="H1193" s="4" t="s">
        <v>38</v>
      </c>
      <c r="I1193" s="5">
        <v>44470</v>
      </c>
      <c r="J1193" s="6">
        <v>0</v>
      </c>
      <c r="K1193" s="6">
        <v>0</v>
      </c>
      <c r="L1193" s="6">
        <v>3515.1869999999999</v>
      </c>
      <c r="M1193" s="6">
        <v>3515.1869999999999</v>
      </c>
      <c r="N1193" s="6">
        <v>3515.1869999999999</v>
      </c>
      <c r="O1193" s="6">
        <v>3515.1869999999999</v>
      </c>
      <c r="P1193" s="6">
        <v>0</v>
      </c>
      <c r="Q1193" s="4" t="s">
        <v>26</v>
      </c>
      <c r="R1193" s="4">
        <v>0</v>
      </c>
      <c r="S1193" s="6">
        <v>0</v>
      </c>
      <c r="T1193" s="6">
        <v>19</v>
      </c>
      <c r="U1193" s="6">
        <v>67</v>
      </c>
      <c r="V1193" s="6">
        <f>IF(ISERROR(VLOOKUP($S$1193,'TAR FIN'!$A$1:$O$95,15,0)),0,VLOOKUP($S$1193,'TAR FIN'!$A$1:$O$95,15,0))</f>
        <v>0</v>
      </c>
      <c r="W1193" s="6">
        <f>IF(ISERROR(VLOOKUP($T$1193,'TAR FIN'!$A$1:$O$95,15,0)),0,VLOOKUP($T$1193,'TAR FIN'!$A$1:$O$95,15,0))</f>
        <v>149.63</v>
      </c>
      <c r="X1193" s="6">
        <f>IF(ISERROR(VLOOKUP($U$1193,'TAR FIN'!$A$1:$O$95,15,0)),0,VLOOKUP($U$1193,'TAR FIN'!$A$1:$O$95,15,0))</f>
        <v>230.03</v>
      </c>
      <c r="Y1193" s="6"/>
      <c r="Z1193" s="6">
        <f ca="1">('TUSD BE'!$AM$17+'TUSD BF'!$AM$17+'TUSD CVA'!$AM$17)*1</f>
        <v>168.51338132937991</v>
      </c>
      <c r="AA1193" s="6">
        <f>('TE BE'!$AA$8+'TE BF'!$AA$8+'TE CVA'!$AA$8)*1</f>
        <v>282.91739971702214</v>
      </c>
      <c r="AB1193" s="6">
        <f>$K$1193*$V$1193</f>
        <v>0</v>
      </c>
      <c r="AC1193" s="6">
        <f>$M$1193*$W$1193</f>
        <v>525977.43080999993</v>
      </c>
      <c r="AD1193" s="6">
        <f>$O$1193*$X$1193</f>
        <v>808598.46560999996</v>
      </c>
      <c r="AE1193" s="6">
        <f>$K$1193*$Y$1193</f>
        <v>0</v>
      </c>
      <c r="AF1193" s="6">
        <f ca="1">$M$1193*$Z$1193</f>
        <v>592356.04737507901</v>
      </c>
      <c r="AG1193" s="6">
        <f>$O$1193*$AA$1193</f>
        <v>994507.56555907987</v>
      </c>
    </row>
    <row r="1194" spans="1:33" ht="11.25" customHeight="1" x14ac:dyDescent="0.25">
      <c r="A1194" s="4" t="s">
        <v>59</v>
      </c>
      <c r="B1194" s="4" t="s">
        <v>35</v>
      </c>
      <c r="C1194" s="4" t="s">
        <v>36</v>
      </c>
      <c r="D1194" s="4" t="s">
        <v>48</v>
      </c>
      <c r="E1194" s="4" t="s">
        <v>25</v>
      </c>
      <c r="F1194" s="4" t="s">
        <v>25</v>
      </c>
      <c r="G1194" s="4" t="s">
        <v>25</v>
      </c>
      <c r="H1194" s="4" t="s">
        <v>38</v>
      </c>
      <c r="I1194" s="5">
        <v>44470</v>
      </c>
      <c r="J1194" s="6">
        <v>0</v>
      </c>
      <c r="K1194" s="6">
        <v>0</v>
      </c>
      <c r="L1194" s="6">
        <v>5.6639999999999997</v>
      </c>
      <c r="M1194" s="6">
        <v>5.6639999999999997</v>
      </c>
      <c r="N1194" s="6">
        <v>5.6639999999999997</v>
      </c>
      <c r="O1194" s="6">
        <v>5.6639999999999997</v>
      </c>
      <c r="P1194" s="6">
        <v>0</v>
      </c>
      <c r="Q1194" s="4" t="s">
        <v>26</v>
      </c>
      <c r="R1194" s="4">
        <v>0</v>
      </c>
      <c r="S1194" s="6">
        <v>0</v>
      </c>
      <c r="T1194" s="6">
        <v>19</v>
      </c>
      <c r="U1194" s="6">
        <v>67</v>
      </c>
      <c r="V1194" s="6">
        <f>IF(ISERROR(VLOOKUP($S$1194,'TAR FIN'!$A$1:$O$95,15,0)),0,VLOOKUP($S$1194,'TAR FIN'!$A$1:$O$95,15,0))</f>
        <v>0</v>
      </c>
      <c r="W1194" s="6">
        <f>IF(ISERROR(VLOOKUP($T$1194,'TAR FIN'!$A$1:$O$95,15,0)),0,VLOOKUP($T$1194,'TAR FIN'!$A$1:$O$95,15,0))</f>
        <v>149.63</v>
      </c>
      <c r="X1194" s="6">
        <f>IF(ISERROR(VLOOKUP($U$1194,'TAR FIN'!$A$1:$O$95,15,0)),0,VLOOKUP($U$1194,'TAR FIN'!$A$1:$O$95,15,0))</f>
        <v>230.03</v>
      </c>
      <c r="Y1194" s="6"/>
      <c r="Z1194" s="6">
        <f ca="1">('TUSD BE'!$AM$17+'TUSD BF'!$AM$17+'TUSD CVA'!$AM$17)*1</f>
        <v>168.51338132937991</v>
      </c>
      <c r="AA1194" s="6">
        <f>('TE BE'!$AA$8+'TE BF'!$AA$8+'TE CVA'!$AA$8)*1</f>
        <v>282.91739971702214</v>
      </c>
      <c r="AB1194" s="6">
        <f>$K$1194*$V$1194</f>
        <v>0</v>
      </c>
      <c r="AC1194" s="6">
        <f>$M$1194*$W$1194</f>
        <v>847.50431999999989</v>
      </c>
      <c r="AD1194" s="6">
        <f>$O$1194*$X$1194</f>
        <v>1302.8899199999998</v>
      </c>
      <c r="AE1194" s="6">
        <f>$K$1194*$Y$1194</f>
        <v>0</v>
      </c>
      <c r="AF1194" s="6">
        <f ca="1">$M$1194*$Z$1194</f>
        <v>954.45979184960777</v>
      </c>
      <c r="AG1194" s="6">
        <f>$O$1194*$AA$1194</f>
        <v>1602.4441519972133</v>
      </c>
    </row>
    <row r="1195" spans="1:33" ht="11.25" customHeight="1" x14ac:dyDescent="0.25">
      <c r="A1195" s="4" t="s">
        <v>21</v>
      </c>
      <c r="B1195" s="4" t="s">
        <v>35</v>
      </c>
      <c r="C1195" s="4" t="s">
        <v>36</v>
      </c>
      <c r="D1195" s="4" t="s">
        <v>48</v>
      </c>
      <c r="E1195" s="4" t="s">
        <v>25</v>
      </c>
      <c r="F1195" s="4" t="s">
        <v>25</v>
      </c>
      <c r="G1195" s="4" t="s">
        <v>25</v>
      </c>
      <c r="H1195" s="4" t="s">
        <v>25</v>
      </c>
      <c r="I1195" s="5">
        <v>44136</v>
      </c>
      <c r="J1195" s="6">
        <v>108570</v>
      </c>
      <c r="K1195" s="6">
        <v>108570</v>
      </c>
      <c r="L1195" s="6">
        <v>0</v>
      </c>
      <c r="M1195" s="6">
        <v>0</v>
      </c>
      <c r="N1195" s="6">
        <v>0</v>
      </c>
      <c r="O1195" s="6">
        <v>0</v>
      </c>
      <c r="P1195" s="6">
        <v>666</v>
      </c>
      <c r="Q1195" s="4" t="s">
        <v>26</v>
      </c>
      <c r="R1195" s="4">
        <v>0</v>
      </c>
      <c r="S1195" s="6">
        <v>23</v>
      </c>
      <c r="T1195" s="6">
        <v>0</v>
      </c>
      <c r="U1195" s="6">
        <v>0</v>
      </c>
      <c r="V1195" s="6">
        <f>IF(ISERROR(VLOOKUP($S$1195,'TAR FIN'!$A$1:$O$95,15,0)),0,VLOOKUP($S$1195,'TAR FIN'!$A$1:$O$95,15,0))</f>
        <v>28.57</v>
      </c>
      <c r="W1195" s="6">
        <f>IF(ISERROR(VLOOKUP($T$1195,'TAR FIN'!$A$1:$O$95,15,0)),0,VLOOKUP($T$1195,'TAR FIN'!$A$1:$O$95,15,0))</f>
        <v>0</v>
      </c>
      <c r="X1195" s="6">
        <f>IF(ISERROR(VLOOKUP($U$1195,'TAR FIN'!$A$1:$O$95,15,0)),0,VLOOKUP($U$1195,'TAR FIN'!$A$1:$O$95,15,0))</f>
        <v>0</v>
      </c>
      <c r="Y1195" s="6">
        <f ca="1">('TUSD BE'!$AM$15+'TUSD BF'!$AM$15+'TUSD CVA'!$AM$15)*1</f>
        <v>31.93064187172984</v>
      </c>
      <c r="Z1195" s="6"/>
      <c r="AA1195" s="6"/>
      <c r="AB1195" s="6">
        <f>$K$1195*$V$1195</f>
        <v>3101844.9</v>
      </c>
      <c r="AC1195" s="6">
        <f>$M$1195*$W$1195</f>
        <v>0</v>
      </c>
      <c r="AD1195" s="6">
        <f>$O$1195*$X$1195</f>
        <v>0</v>
      </c>
      <c r="AE1195" s="6">
        <f ca="1">$K$1195*$Y$1195</f>
        <v>3466709.7880137088</v>
      </c>
      <c r="AF1195" s="6">
        <f>$M$1195*$Z$1195</f>
        <v>0</v>
      </c>
      <c r="AG1195" s="6">
        <f>$O$1195*$AA$1195</f>
        <v>0</v>
      </c>
    </row>
    <row r="1196" spans="1:33" ht="11.25" customHeight="1" x14ac:dyDescent="0.25">
      <c r="A1196" s="4" t="s">
        <v>27</v>
      </c>
      <c r="B1196" s="4" t="s">
        <v>35</v>
      </c>
      <c r="C1196" s="4" t="s">
        <v>36</v>
      </c>
      <c r="D1196" s="4" t="s">
        <v>48</v>
      </c>
      <c r="E1196" s="4" t="s">
        <v>25</v>
      </c>
      <c r="F1196" s="4" t="s">
        <v>25</v>
      </c>
      <c r="G1196" s="4" t="s">
        <v>25</v>
      </c>
      <c r="H1196" s="4" t="s">
        <v>25</v>
      </c>
      <c r="I1196" s="5">
        <v>44136</v>
      </c>
      <c r="J1196" s="6">
        <v>106</v>
      </c>
      <c r="K1196" s="6">
        <v>106</v>
      </c>
      <c r="L1196" s="6">
        <v>0</v>
      </c>
      <c r="M1196" s="6">
        <v>0</v>
      </c>
      <c r="N1196" s="6">
        <v>0</v>
      </c>
      <c r="O1196" s="6">
        <v>0</v>
      </c>
      <c r="P1196" s="6">
        <v>2</v>
      </c>
      <c r="Q1196" s="4" t="s">
        <v>26</v>
      </c>
      <c r="R1196" s="4">
        <v>0</v>
      </c>
      <c r="S1196" s="6">
        <v>23</v>
      </c>
      <c r="T1196" s="6">
        <v>0</v>
      </c>
      <c r="U1196" s="6">
        <v>0</v>
      </c>
      <c r="V1196" s="6">
        <f>IF(ISERROR(VLOOKUP($S$1196,'TAR FIN'!$A$1:$O$95,15,0)),0,VLOOKUP($S$1196,'TAR FIN'!$A$1:$O$95,15,0))</f>
        <v>28.57</v>
      </c>
      <c r="W1196" s="6">
        <f>IF(ISERROR(VLOOKUP($T$1196,'TAR FIN'!$A$1:$O$95,15,0)),0,VLOOKUP($T$1196,'TAR FIN'!$A$1:$O$95,15,0))</f>
        <v>0</v>
      </c>
      <c r="X1196" s="6">
        <f>IF(ISERROR(VLOOKUP($U$1196,'TAR FIN'!$A$1:$O$95,15,0)),0,VLOOKUP($U$1196,'TAR FIN'!$A$1:$O$95,15,0))</f>
        <v>0</v>
      </c>
      <c r="Y1196" s="6">
        <f ca="1">('TUSD BE'!$AM$15+'TUSD BF'!$AM$15+'TUSD CVA'!$AM$15)*1</f>
        <v>31.93064187172984</v>
      </c>
      <c r="Z1196" s="6"/>
      <c r="AA1196" s="6"/>
      <c r="AB1196" s="6">
        <f>$K$1196*$V$1196</f>
        <v>3028.42</v>
      </c>
      <c r="AC1196" s="6">
        <f>$M$1196*$W$1196</f>
        <v>0</v>
      </c>
      <c r="AD1196" s="6">
        <f>$O$1196*$X$1196</f>
        <v>0</v>
      </c>
      <c r="AE1196" s="6">
        <f ca="1">$K$1196*$Y$1196</f>
        <v>3384.648038403363</v>
      </c>
      <c r="AF1196" s="6">
        <f>$M$1196*$Z$1196</f>
        <v>0</v>
      </c>
      <c r="AG1196" s="6">
        <f>$O$1196*$AA$1196</f>
        <v>0</v>
      </c>
    </row>
    <row r="1197" spans="1:33" ht="11.25" customHeight="1" x14ac:dyDescent="0.25">
      <c r="A1197" s="4" t="s">
        <v>28</v>
      </c>
      <c r="B1197" s="4" t="s">
        <v>35</v>
      </c>
      <c r="C1197" s="4" t="s">
        <v>36</v>
      </c>
      <c r="D1197" s="4" t="s">
        <v>48</v>
      </c>
      <c r="E1197" s="4" t="s">
        <v>25</v>
      </c>
      <c r="F1197" s="4" t="s">
        <v>25</v>
      </c>
      <c r="G1197" s="4" t="s">
        <v>25</v>
      </c>
      <c r="H1197" s="4" t="s">
        <v>25</v>
      </c>
      <c r="I1197" s="5">
        <v>44136</v>
      </c>
      <c r="J1197" s="6">
        <v>33228</v>
      </c>
      <c r="K1197" s="6">
        <v>33228</v>
      </c>
      <c r="L1197" s="6">
        <v>0</v>
      </c>
      <c r="M1197" s="6">
        <v>0</v>
      </c>
      <c r="N1197" s="6">
        <v>0</v>
      </c>
      <c r="O1197" s="6">
        <v>0</v>
      </c>
      <c r="P1197" s="6">
        <v>401</v>
      </c>
      <c r="Q1197" s="4" t="s">
        <v>26</v>
      </c>
      <c r="R1197" s="4">
        <v>0</v>
      </c>
      <c r="S1197" s="6">
        <v>23</v>
      </c>
      <c r="T1197" s="6">
        <v>0</v>
      </c>
      <c r="U1197" s="6">
        <v>0</v>
      </c>
      <c r="V1197" s="6">
        <f>IF(ISERROR(VLOOKUP($S$1197,'TAR FIN'!$A$1:$O$95,15,0)),0,VLOOKUP($S$1197,'TAR FIN'!$A$1:$O$95,15,0))</f>
        <v>28.57</v>
      </c>
      <c r="W1197" s="6">
        <f>IF(ISERROR(VLOOKUP($T$1197,'TAR FIN'!$A$1:$O$95,15,0)),0,VLOOKUP($T$1197,'TAR FIN'!$A$1:$O$95,15,0))</f>
        <v>0</v>
      </c>
      <c r="X1197" s="6">
        <f>IF(ISERROR(VLOOKUP($U$1197,'TAR FIN'!$A$1:$O$95,15,0)),0,VLOOKUP($U$1197,'TAR FIN'!$A$1:$O$95,15,0))</f>
        <v>0</v>
      </c>
      <c r="Y1197" s="6">
        <f ca="1">('TUSD BE'!$AM$15+'TUSD BF'!$AM$15+'TUSD CVA'!$AM$15)*1</f>
        <v>31.93064187172984</v>
      </c>
      <c r="Z1197" s="6"/>
      <c r="AA1197" s="6"/>
      <c r="AB1197" s="6">
        <f>$K$1197*$V$1197</f>
        <v>949323.96</v>
      </c>
      <c r="AC1197" s="6">
        <f>$M$1197*$W$1197</f>
        <v>0</v>
      </c>
      <c r="AD1197" s="6">
        <f>$O$1197*$X$1197</f>
        <v>0</v>
      </c>
      <c r="AE1197" s="6">
        <f ca="1">$K$1197*$Y$1197</f>
        <v>1060991.3681138391</v>
      </c>
      <c r="AF1197" s="6">
        <f>$M$1197*$Z$1197</f>
        <v>0</v>
      </c>
      <c r="AG1197" s="6">
        <f>$O$1197*$AA$1197</f>
        <v>0</v>
      </c>
    </row>
    <row r="1198" spans="1:33" ht="11.25" customHeight="1" x14ac:dyDescent="0.25">
      <c r="A1198" s="4" t="s">
        <v>30</v>
      </c>
      <c r="B1198" s="4" t="s">
        <v>35</v>
      </c>
      <c r="C1198" s="4" t="s">
        <v>36</v>
      </c>
      <c r="D1198" s="4" t="s">
        <v>48</v>
      </c>
      <c r="E1198" s="4" t="s">
        <v>25</v>
      </c>
      <c r="F1198" s="4" t="s">
        <v>25</v>
      </c>
      <c r="G1198" s="4" t="s">
        <v>25</v>
      </c>
      <c r="H1198" s="4" t="s">
        <v>25</v>
      </c>
      <c r="I1198" s="5">
        <v>44136</v>
      </c>
      <c r="J1198" s="6">
        <v>550</v>
      </c>
      <c r="K1198" s="6">
        <v>550</v>
      </c>
      <c r="L1198" s="6">
        <v>0</v>
      </c>
      <c r="M1198" s="6">
        <v>0</v>
      </c>
      <c r="N1198" s="6">
        <v>0</v>
      </c>
      <c r="O1198" s="6">
        <v>0</v>
      </c>
      <c r="P1198" s="6">
        <v>1</v>
      </c>
      <c r="Q1198" s="4" t="s">
        <v>26</v>
      </c>
      <c r="R1198" s="4">
        <v>0</v>
      </c>
      <c r="S1198" s="6">
        <v>23</v>
      </c>
      <c r="T1198" s="6">
        <v>0</v>
      </c>
      <c r="U1198" s="6">
        <v>0</v>
      </c>
      <c r="V1198" s="6">
        <f>IF(ISERROR(VLOOKUP($S$1198,'TAR FIN'!$A$1:$O$95,15,0)),0,VLOOKUP($S$1198,'TAR FIN'!$A$1:$O$95,15,0))</f>
        <v>28.57</v>
      </c>
      <c r="W1198" s="6">
        <f>IF(ISERROR(VLOOKUP($T$1198,'TAR FIN'!$A$1:$O$95,15,0)),0,VLOOKUP($T$1198,'TAR FIN'!$A$1:$O$95,15,0))</f>
        <v>0</v>
      </c>
      <c r="X1198" s="6">
        <f>IF(ISERROR(VLOOKUP($U$1198,'TAR FIN'!$A$1:$O$95,15,0)),0,VLOOKUP($U$1198,'TAR FIN'!$A$1:$O$95,15,0))</f>
        <v>0</v>
      </c>
      <c r="Y1198" s="6">
        <f ca="1">('TUSD BE'!$AM$15+'TUSD BF'!$AM$15+'TUSD CVA'!$AM$15)*1</f>
        <v>31.93064187172984</v>
      </c>
      <c r="Z1198" s="6"/>
      <c r="AA1198" s="6"/>
      <c r="AB1198" s="6">
        <f>$K$1198*$V$1198</f>
        <v>15713.5</v>
      </c>
      <c r="AC1198" s="6">
        <f>$M$1198*$W$1198</f>
        <v>0</v>
      </c>
      <c r="AD1198" s="6">
        <f>$O$1198*$X$1198</f>
        <v>0</v>
      </c>
      <c r="AE1198" s="6">
        <f ca="1">$K$1198*$Y$1198</f>
        <v>17561.853029451413</v>
      </c>
      <c r="AF1198" s="6">
        <f>$M$1198*$Z$1198</f>
        <v>0</v>
      </c>
      <c r="AG1198" s="6">
        <f>$O$1198*$AA$1198</f>
        <v>0</v>
      </c>
    </row>
    <row r="1199" spans="1:33" ht="11.25" customHeight="1" x14ac:dyDescent="0.25">
      <c r="A1199" s="4" t="s">
        <v>21</v>
      </c>
      <c r="B1199" s="4" t="s">
        <v>35</v>
      </c>
      <c r="C1199" s="4" t="s">
        <v>36</v>
      </c>
      <c r="D1199" s="4" t="s">
        <v>48</v>
      </c>
      <c r="E1199" s="4" t="s">
        <v>25</v>
      </c>
      <c r="F1199" s="4" t="s">
        <v>25</v>
      </c>
      <c r="G1199" s="4" t="s">
        <v>25</v>
      </c>
      <c r="H1199" s="4" t="s">
        <v>25</v>
      </c>
      <c r="I1199" s="5">
        <v>44166</v>
      </c>
      <c r="J1199" s="6">
        <v>108382</v>
      </c>
      <c r="K1199" s="6">
        <v>108382</v>
      </c>
      <c r="L1199" s="6">
        <v>0</v>
      </c>
      <c r="M1199" s="6">
        <v>0</v>
      </c>
      <c r="N1199" s="6">
        <v>0</v>
      </c>
      <c r="O1199" s="6">
        <v>0</v>
      </c>
      <c r="P1199" s="6">
        <v>663</v>
      </c>
      <c r="Q1199" s="4" t="s">
        <v>26</v>
      </c>
      <c r="R1199" s="4">
        <v>0</v>
      </c>
      <c r="S1199" s="6">
        <v>23</v>
      </c>
      <c r="T1199" s="6">
        <v>0</v>
      </c>
      <c r="U1199" s="6">
        <v>0</v>
      </c>
      <c r="V1199" s="6">
        <f>IF(ISERROR(VLOOKUP($S$1199,'TAR FIN'!$A$1:$O$95,15,0)),0,VLOOKUP($S$1199,'TAR FIN'!$A$1:$O$95,15,0))</f>
        <v>28.57</v>
      </c>
      <c r="W1199" s="6">
        <f>IF(ISERROR(VLOOKUP($T$1199,'TAR FIN'!$A$1:$O$95,15,0)),0,VLOOKUP($T$1199,'TAR FIN'!$A$1:$O$95,15,0))</f>
        <v>0</v>
      </c>
      <c r="X1199" s="6">
        <f>IF(ISERROR(VLOOKUP($U$1199,'TAR FIN'!$A$1:$O$95,15,0)),0,VLOOKUP($U$1199,'TAR FIN'!$A$1:$O$95,15,0))</f>
        <v>0</v>
      </c>
      <c r="Y1199" s="6">
        <f ca="1">('TUSD BE'!$AM$15+'TUSD BF'!$AM$15+'TUSD CVA'!$AM$15)*1</f>
        <v>31.93064187172984</v>
      </c>
      <c r="Z1199" s="6"/>
      <c r="AA1199" s="6"/>
      <c r="AB1199" s="6">
        <f>$K$1199*$V$1199</f>
        <v>3096473.74</v>
      </c>
      <c r="AC1199" s="6">
        <f>$M$1199*$W$1199</f>
        <v>0</v>
      </c>
      <c r="AD1199" s="6">
        <f>$O$1199*$X$1199</f>
        <v>0</v>
      </c>
      <c r="AE1199" s="6">
        <f ca="1">$K$1199*$Y$1199</f>
        <v>3460706.8273418234</v>
      </c>
      <c r="AF1199" s="6">
        <f>$M$1199*$Z$1199</f>
        <v>0</v>
      </c>
      <c r="AG1199" s="6">
        <f>$O$1199*$AA$1199</f>
        <v>0</v>
      </c>
    </row>
    <row r="1200" spans="1:33" ht="11.25" customHeight="1" x14ac:dyDescent="0.25">
      <c r="A1200" s="4" t="s">
        <v>27</v>
      </c>
      <c r="B1200" s="4" t="s">
        <v>35</v>
      </c>
      <c r="C1200" s="4" t="s">
        <v>36</v>
      </c>
      <c r="D1200" s="4" t="s">
        <v>48</v>
      </c>
      <c r="E1200" s="4" t="s">
        <v>25</v>
      </c>
      <c r="F1200" s="4" t="s">
        <v>25</v>
      </c>
      <c r="G1200" s="4" t="s">
        <v>25</v>
      </c>
      <c r="H1200" s="4" t="s">
        <v>25</v>
      </c>
      <c r="I1200" s="5">
        <v>44166</v>
      </c>
      <c r="J1200" s="6">
        <v>3267</v>
      </c>
      <c r="K1200" s="6">
        <v>3267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4" t="s">
        <v>26</v>
      </c>
      <c r="R1200" s="4">
        <v>0</v>
      </c>
      <c r="S1200" s="6">
        <v>23</v>
      </c>
      <c r="T1200" s="6">
        <v>0</v>
      </c>
      <c r="U1200" s="6">
        <v>0</v>
      </c>
      <c r="V1200" s="6">
        <f>IF(ISERROR(VLOOKUP($S$1200,'TAR FIN'!$A$1:$O$95,15,0)),0,VLOOKUP($S$1200,'TAR FIN'!$A$1:$O$95,15,0))</f>
        <v>28.57</v>
      </c>
      <c r="W1200" s="6">
        <f>IF(ISERROR(VLOOKUP($T$1200,'TAR FIN'!$A$1:$O$95,15,0)),0,VLOOKUP($T$1200,'TAR FIN'!$A$1:$O$95,15,0))</f>
        <v>0</v>
      </c>
      <c r="X1200" s="6">
        <f>IF(ISERROR(VLOOKUP($U$1200,'TAR FIN'!$A$1:$O$95,15,0)),0,VLOOKUP($U$1200,'TAR FIN'!$A$1:$O$95,15,0))</f>
        <v>0</v>
      </c>
      <c r="Y1200" s="6">
        <f ca="1">('TUSD BE'!$AM$15+'TUSD BF'!$AM$15+'TUSD CVA'!$AM$15)*1</f>
        <v>31.93064187172984</v>
      </c>
      <c r="Z1200" s="6"/>
      <c r="AA1200" s="6"/>
      <c r="AB1200" s="6">
        <f>$K$1200*$V$1200</f>
        <v>93338.19</v>
      </c>
      <c r="AC1200" s="6">
        <f>$M$1200*$W$1200</f>
        <v>0</v>
      </c>
      <c r="AD1200" s="6">
        <f>$O$1200*$X$1200</f>
        <v>0</v>
      </c>
      <c r="AE1200" s="6">
        <f ca="1">$K$1200*$Y$1200</f>
        <v>104317.40699494138</v>
      </c>
      <c r="AF1200" s="6">
        <f>$M$1200*$Z$1200</f>
        <v>0</v>
      </c>
      <c r="AG1200" s="6">
        <f>$O$1200*$AA$1200</f>
        <v>0</v>
      </c>
    </row>
    <row r="1201" spans="1:33" ht="11.25" customHeight="1" x14ac:dyDescent="0.25">
      <c r="A1201" s="4" t="s">
        <v>28</v>
      </c>
      <c r="B1201" s="4" t="s">
        <v>35</v>
      </c>
      <c r="C1201" s="4" t="s">
        <v>36</v>
      </c>
      <c r="D1201" s="4" t="s">
        <v>48</v>
      </c>
      <c r="E1201" s="4" t="s">
        <v>25</v>
      </c>
      <c r="F1201" s="4" t="s">
        <v>25</v>
      </c>
      <c r="G1201" s="4" t="s">
        <v>25</v>
      </c>
      <c r="H1201" s="4" t="s">
        <v>25</v>
      </c>
      <c r="I1201" s="5">
        <v>44166</v>
      </c>
      <c r="J1201" s="6">
        <v>33366</v>
      </c>
      <c r="K1201" s="6">
        <v>33366</v>
      </c>
      <c r="L1201" s="6">
        <v>0</v>
      </c>
      <c r="M1201" s="6">
        <v>0</v>
      </c>
      <c r="N1201" s="6">
        <v>0</v>
      </c>
      <c r="O1201" s="6">
        <v>0</v>
      </c>
      <c r="P1201" s="6">
        <v>402</v>
      </c>
      <c r="Q1201" s="4" t="s">
        <v>26</v>
      </c>
      <c r="R1201" s="4">
        <v>0</v>
      </c>
      <c r="S1201" s="6">
        <v>23</v>
      </c>
      <c r="T1201" s="6">
        <v>0</v>
      </c>
      <c r="U1201" s="6">
        <v>0</v>
      </c>
      <c r="V1201" s="6">
        <f>IF(ISERROR(VLOOKUP($S$1201,'TAR FIN'!$A$1:$O$95,15,0)),0,VLOOKUP($S$1201,'TAR FIN'!$A$1:$O$95,15,0))</f>
        <v>28.57</v>
      </c>
      <c r="W1201" s="6">
        <f>IF(ISERROR(VLOOKUP($T$1201,'TAR FIN'!$A$1:$O$95,15,0)),0,VLOOKUP($T$1201,'TAR FIN'!$A$1:$O$95,15,0))</f>
        <v>0</v>
      </c>
      <c r="X1201" s="6">
        <f>IF(ISERROR(VLOOKUP($U$1201,'TAR FIN'!$A$1:$O$95,15,0)),0,VLOOKUP($U$1201,'TAR FIN'!$A$1:$O$95,15,0))</f>
        <v>0</v>
      </c>
      <c r="Y1201" s="6">
        <f ca="1">('TUSD BE'!$AM$15+'TUSD BF'!$AM$15+'TUSD CVA'!$AM$15)*1</f>
        <v>31.93064187172984</v>
      </c>
      <c r="Z1201" s="6"/>
      <c r="AA1201" s="6"/>
      <c r="AB1201" s="6">
        <f>$K$1201*$V$1201</f>
        <v>953266.62</v>
      </c>
      <c r="AC1201" s="6">
        <f>$M$1201*$W$1201</f>
        <v>0</v>
      </c>
      <c r="AD1201" s="6">
        <f>$O$1201*$X$1201</f>
        <v>0</v>
      </c>
      <c r="AE1201" s="6">
        <f ca="1">$K$1201*$Y$1201</f>
        <v>1065397.7966921378</v>
      </c>
      <c r="AF1201" s="6">
        <f>$M$1201*$Z$1201</f>
        <v>0</v>
      </c>
      <c r="AG1201" s="6">
        <f>$O$1201*$AA$1201</f>
        <v>0</v>
      </c>
    </row>
    <row r="1202" spans="1:33" ht="11.25" customHeight="1" x14ac:dyDescent="0.25">
      <c r="A1202" s="4" t="s">
        <v>29</v>
      </c>
      <c r="B1202" s="4" t="s">
        <v>35</v>
      </c>
      <c r="C1202" s="4" t="s">
        <v>36</v>
      </c>
      <c r="D1202" s="4" t="s">
        <v>48</v>
      </c>
      <c r="E1202" s="4" t="s">
        <v>25</v>
      </c>
      <c r="F1202" s="4" t="s">
        <v>25</v>
      </c>
      <c r="G1202" s="4" t="s">
        <v>25</v>
      </c>
      <c r="H1202" s="4" t="s">
        <v>25</v>
      </c>
      <c r="I1202" s="5">
        <v>44166</v>
      </c>
      <c r="J1202" s="6">
        <v>2736</v>
      </c>
      <c r="K1202" s="6">
        <v>2736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4" t="s">
        <v>26</v>
      </c>
      <c r="R1202" s="4">
        <v>0</v>
      </c>
      <c r="S1202" s="6">
        <v>23</v>
      </c>
      <c r="T1202" s="6">
        <v>0</v>
      </c>
      <c r="U1202" s="6">
        <v>0</v>
      </c>
      <c r="V1202" s="6">
        <f>IF(ISERROR(VLOOKUP($S$1202,'TAR FIN'!$A$1:$O$95,15,0)),0,VLOOKUP($S$1202,'TAR FIN'!$A$1:$O$95,15,0))</f>
        <v>28.57</v>
      </c>
      <c r="W1202" s="6">
        <f>IF(ISERROR(VLOOKUP($T$1202,'TAR FIN'!$A$1:$O$95,15,0)),0,VLOOKUP($T$1202,'TAR FIN'!$A$1:$O$95,15,0))</f>
        <v>0</v>
      </c>
      <c r="X1202" s="6">
        <f>IF(ISERROR(VLOOKUP($U$1202,'TAR FIN'!$A$1:$O$95,15,0)),0,VLOOKUP($U$1202,'TAR FIN'!$A$1:$O$95,15,0))</f>
        <v>0</v>
      </c>
      <c r="Y1202" s="6">
        <f ca="1">('TUSD BE'!$AM$15+'TUSD BF'!$AM$15+'TUSD CVA'!$AM$15)*1</f>
        <v>31.93064187172984</v>
      </c>
      <c r="Z1202" s="6"/>
      <c r="AA1202" s="6"/>
      <c r="AB1202" s="6">
        <f>$K$1202*$V$1202</f>
        <v>78167.520000000004</v>
      </c>
      <c r="AC1202" s="6">
        <f>$M$1202*$W$1202</f>
        <v>0</v>
      </c>
      <c r="AD1202" s="6">
        <f>$O$1202*$X$1202</f>
        <v>0</v>
      </c>
      <c r="AE1202" s="6">
        <f ca="1">$K$1202*$Y$1202</f>
        <v>87362.236161052846</v>
      </c>
      <c r="AF1202" s="6">
        <f>$M$1202*$Z$1202</f>
        <v>0</v>
      </c>
      <c r="AG1202" s="6">
        <f>$O$1202*$AA$1202</f>
        <v>0</v>
      </c>
    </row>
    <row r="1203" spans="1:33" ht="11.25" customHeight="1" x14ac:dyDescent="0.25">
      <c r="A1203" s="4" t="s">
        <v>30</v>
      </c>
      <c r="B1203" s="4" t="s">
        <v>35</v>
      </c>
      <c r="C1203" s="4" t="s">
        <v>36</v>
      </c>
      <c r="D1203" s="4" t="s">
        <v>48</v>
      </c>
      <c r="E1203" s="4" t="s">
        <v>25</v>
      </c>
      <c r="F1203" s="4" t="s">
        <v>25</v>
      </c>
      <c r="G1203" s="4" t="s">
        <v>25</v>
      </c>
      <c r="H1203" s="4" t="s">
        <v>25</v>
      </c>
      <c r="I1203" s="5">
        <v>44166</v>
      </c>
      <c r="J1203" s="6">
        <v>550</v>
      </c>
      <c r="K1203" s="6">
        <v>550</v>
      </c>
      <c r="L1203" s="6">
        <v>0</v>
      </c>
      <c r="M1203" s="6">
        <v>0</v>
      </c>
      <c r="N1203" s="6">
        <v>0</v>
      </c>
      <c r="O1203" s="6">
        <v>0</v>
      </c>
      <c r="P1203" s="6">
        <v>1</v>
      </c>
      <c r="Q1203" s="4" t="s">
        <v>26</v>
      </c>
      <c r="R1203" s="4">
        <v>0</v>
      </c>
      <c r="S1203" s="6">
        <v>23</v>
      </c>
      <c r="T1203" s="6">
        <v>0</v>
      </c>
      <c r="U1203" s="6">
        <v>0</v>
      </c>
      <c r="V1203" s="6">
        <f>IF(ISERROR(VLOOKUP($S$1203,'TAR FIN'!$A$1:$O$95,15,0)),0,VLOOKUP($S$1203,'TAR FIN'!$A$1:$O$95,15,0))</f>
        <v>28.57</v>
      </c>
      <c r="W1203" s="6">
        <f>IF(ISERROR(VLOOKUP($T$1203,'TAR FIN'!$A$1:$O$95,15,0)),0,VLOOKUP($T$1203,'TAR FIN'!$A$1:$O$95,15,0))</f>
        <v>0</v>
      </c>
      <c r="X1203" s="6">
        <f>IF(ISERROR(VLOOKUP($U$1203,'TAR FIN'!$A$1:$O$95,15,0)),0,VLOOKUP($U$1203,'TAR FIN'!$A$1:$O$95,15,0))</f>
        <v>0</v>
      </c>
      <c r="Y1203" s="6">
        <f ca="1">('TUSD BE'!$AM$15+'TUSD BF'!$AM$15+'TUSD CVA'!$AM$15)*1</f>
        <v>31.93064187172984</v>
      </c>
      <c r="Z1203" s="6"/>
      <c r="AA1203" s="6"/>
      <c r="AB1203" s="6">
        <f>$K$1203*$V$1203</f>
        <v>15713.5</v>
      </c>
      <c r="AC1203" s="6">
        <f>$M$1203*$W$1203</f>
        <v>0</v>
      </c>
      <c r="AD1203" s="6">
        <f>$O$1203*$X$1203</f>
        <v>0</v>
      </c>
      <c r="AE1203" s="6">
        <f ca="1">$K$1203*$Y$1203</f>
        <v>17561.853029451413</v>
      </c>
      <c r="AF1203" s="6">
        <f>$M$1203*$Z$1203</f>
        <v>0</v>
      </c>
      <c r="AG1203" s="6">
        <f>$O$1203*$AA$1203</f>
        <v>0</v>
      </c>
    </row>
    <row r="1204" spans="1:33" ht="11.25" customHeight="1" x14ac:dyDescent="0.25">
      <c r="A1204" s="4" t="s">
        <v>21</v>
      </c>
      <c r="B1204" s="4" t="s">
        <v>35</v>
      </c>
      <c r="C1204" s="4" t="s">
        <v>36</v>
      </c>
      <c r="D1204" s="4" t="s">
        <v>48</v>
      </c>
      <c r="E1204" s="4" t="s">
        <v>25</v>
      </c>
      <c r="F1204" s="4" t="s">
        <v>25</v>
      </c>
      <c r="G1204" s="4" t="s">
        <v>25</v>
      </c>
      <c r="H1204" s="4" t="s">
        <v>25</v>
      </c>
      <c r="I1204" s="5">
        <v>44197</v>
      </c>
      <c r="J1204" s="6">
        <v>107023</v>
      </c>
      <c r="K1204" s="6">
        <v>107023</v>
      </c>
      <c r="L1204" s="6">
        <v>0</v>
      </c>
      <c r="M1204" s="6">
        <v>0</v>
      </c>
      <c r="N1204" s="6">
        <v>0</v>
      </c>
      <c r="O1204" s="6">
        <v>0</v>
      </c>
      <c r="P1204" s="6">
        <v>670</v>
      </c>
      <c r="Q1204" s="4" t="s">
        <v>26</v>
      </c>
      <c r="R1204" s="4">
        <v>0</v>
      </c>
      <c r="S1204" s="6">
        <v>23</v>
      </c>
      <c r="T1204" s="6">
        <v>0</v>
      </c>
      <c r="U1204" s="6">
        <v>0</v>
      </c>
      <c r="V1204" s="6">
        <f>IF(ISERROR(VLOOKUP($S$1204,'TAR FIN'!$A$1:$O$95,15,0)),0,VLOOKUP($S$1204,'TAR FIN'!$A$1:$O$95,15,0))</f>
        <v>28.57</v>
      </c>
      <c r="W1204" s="6">
        <f>IF(ISERROR(VLOOKUP($T$1204,'TAR FIN'!$A$1:$O$95,15,0)),0,VLOOKUP($T$1204,'TAR FIN'!$A$1:$O$95,15,0))</f>
        <v>0</v>
      </c>
      <c r="X1204" s="6">
        <f>IF(ISERROR(VLOOKUP($U$1204,'TAR FIN'!$A$1:$O$95,15,0)),0,VLOOKUP($U$1204,'TAR FIN'!$A$1:$O$95,15,0))</f>
        <v>0</v>
      </c>
      <c r="Y1204" s="6">
        <f ca="1">('TUSD BE'!$AM$15+'TUSD BF'!$AM$15+'TUSD CVA'!$AM$15)*1</f>
        <v>31.93064187172984</v>
      </c>
      <c r="Z1204" s="6"/>
      <c r="AA1204" s="6"/>
      <c r="AB1204" s="6">
        <f>$K$1204*$V$1204</f>
        <v>3057647.11</v>
      </c>
      <c r="AC1204" s="6">
        <f>$M$1204*$W$1204</f>
        <v>0</v>
      </c>
      <c r="AD1204" s="6">
        <f>$O$1204*$X$1204</f>
        <v>0</v>
      </c>
      <c r="AE1204" s="6">
        <f ca="1">$K$1204*$Y$1204</f>
        <v>3417313.0850381427</v>
      </c>
      <c r="AF1204" s="6">
        <f>$M$1204*$Z$1204</f>
        <v>0</v>
      </c>
      <c r="AG1204" s="6">
        <f>$O$1204*$AA$1204</f>
        <v>0</v>
      </c>
    </row>
    <row r="1205" spans="1:33" ht="11.25" customHeight="1" x14ac:dyDescent="0.25">
      <c r="A1205" s="4" t="s">
        <v>27</v>
      </c>
      <c r="B1205" s="4" t="s">
        <v>35</v>
      </c>
      <c r="C1205" s="4" t="s">
        <v>36</v>
      </c>
      <c r="D1205" s="4" t="s">
        <v>48</v>
      </c>
      <c r="E1205" s="4" t="s">
        <v>25</v>
      </c>
      <c r="F1205" s="4" t="s">
        <v>25</v>
      </c>
      <c r="G1205" s="4" t="s">
        <v>25</v>
      </c>
      <c r="H1205" s="4" t="s">
        <v>25</v>
      </c>
      <c r="I1205" s="5">
        <v>44197</v>
      </c>
      <c r="J1205" s="6">
        <v>-3744</v>
      </c>
      <c r="K1205" s="6">
        <v>-3744</v>
      </c>
      <c r="L1205" s="6">
        <v>0</v>
      </c>
      <c r="M1205" s="6">
        <v>0</v>
      </c>
      <c r="N1205" s="6">
        <v>0</v>
      </c>
      <c r="O1205" s="6">
        <v>0</v>
      </c>
      <c r="P1205" s="6">
        <v>0</v>
      </c>
      <c r="Q1205" s="4" t="s">
        <v>26</v>
      </c>
      <c r="R1205" s="4">
        <v>0</v>
      </c>
      <c r="S1205" s="6">
        <v>23</v>
      </c>
      <c r="T1205" s="6">
        <v>0</v>
      </c>
      <c r="U1205" s="6">
        <v>0</v>
      </c>
      <c r="V1205" s="6">
        <f>IF(ISERROR(VLOOKUP($S$1205,'TAR FIN'!$A$1:$O$95,15,0)),0,VLOOKUP($S$1205,'TAR FIN'!$A$1:$O$95,15,0))</f>
        <v>28.57</v>
      </c>
      <c r="W1205" s="6">
        <f>IF(ISERROR(VLOOKUP($T$1205,'TAR FIN'!$A$1:$O$95,15,0)),0,VLOOKUP($T$1205,'TAR FIN'!$A$1:$O$95,15,0))</f>
        <v>0</v>
      </c>
      <c r="X1205" s="6">
        <f>IF(ISERROR(VLOOKUP($U$1205,'TAR FIN'!$A$1:$O$95,15,0)),0,VLOOKUP($U$1205,'TAR FIN'!$A$1:$O$95,15,0))</f>
        <v>0</v>
      </c>
      <c r="Y1205" s="6">
        <f ca="1">('TUSD BE'!$AM$15+'TUSD BF'!$AM$15+'TUSD CVA'!$AM$15)*1</f>
        <v>31.93064187172984</v>
      </c>
      <c r="Z1205" s="6"/>
      <c r="AA1205" s="6"/>
      <c r="AB1205" s="6">
        <f>$K$1205*$V$1205</f>
        <v>-106966.08</v>
      </c>
      <c r="AC1205" s="6">
        <f>$M$1205*$W$1205</f>
        <v>0</v>
      </c>
      <c r="AD1205" s="6">
        <f>$O$1205*$X$1205</f>
        <v>0</v>
      </c>
      <c r="AE1205" s="6">
        <f ca="1">$K$1205*$Y$1205</f>
        <v>-119548.32316775652</v>
      </c>
      <c r="AF1205" s="6">
        <f>$M$1205*$Z$1205</f>
        <v>0</v>
      </c>
      <c r="AG1205" s="6">
        <f>$O$1205*$AA$1205</f>
        <v>0</v>
      </c>
    </row>
    <row r="1206" spans="1:33" ht="11.25" customHeight="1" x14ac:dyDescent="0.25">
      <c r="A1206" s="4" t="s">
        <v>28</v>
      </c>
      <c r="B1206" s="4" t="s">
        <v>35</v>
      </c>
      <c r="C1206" s="4" t="s">
        <v>36</v>
      </c>
      <c r="D1206" s="4" t="s">
        <v>48</v>
      </c>
      <c r="E1206" s="4" t="s">
        <v>25</v>
      </c>
      <c r="F1206" s="4" t="s">
        <v>25</v>
      </c>
      <c r="G1206" s="4" t="s">
        <v>25</v>
      </c>
      <c r="H1206" s="4" t="s">
        <v>25</v>
      </c>
      <c r="I1206" s="5">
        <v>44197</v>
      </c>
      <c r="J1206" s="6">
        <v>32842</v>
      </c>
      <c r="K1206" s="6">
        <v>32842</v>
      </c>
      <c r="L1206" s="6">
        <v>0</v>
      </c>
      <c r="M1206" s="6">
        <v>0</v>
      </c>
      <c r="N1206" s="6">
        <v>0</v>
      </c>
      <c r="O1206" s="6">
        <v>0</v>
      </c>
      <c r="P1206" s="6">
        <v>403</v>
      </c>
      <c r="Q1206" s="4" t="s">
        <v>26</v>
      </c>
      <c r="R1206" s="4">
        <v>0</v>
      </c>
      <c r="S1206" s="6">
        <v>23</v>
      </c>
      <c r="T1206" s="6">
        <v>0</v>
      </c>
      <c r="U1206" s="6">
        <v>0</v>
      </c>
      <c r="V1206" s="6">
        <f>IF(ISERROR(VLOOKUP($S$1206,'TAR FIN'!$A$1:$O$95,15,0)),0,VLOOKUP($S$1206,'TAR FIN'!$A$1:$O$95,15,0))</f>
        <v>28.57</v>
      </c>
      <c r="W1206" s="6">
        <f>IF(ISERROR(VLOOKUP($T$1206,'TAR FIN'!$A$1:$O$95,15,0)),0,VLOOKUP($T$1206,'TAR FIN'!$A$1:$O$95,15,0))</f>
        <v>0</v>
      </c>
      <c r="X1206" s="6">
        <f>IF(ISERROR(VLOOKUP($U$1206,'TAR FIN'!$A$1:$O$95,15,0)),0,VLOOKUP($U$1206,'TAR FIN'!$A$1:$O$95,15,0))</f>
        <v>0</v>
      </c>
      <c r="Y1206" s="6">
        <f ca="1">('TUSD BE'!$AM$15+'TUSD BF'!$AM$15+'TUSD CVA'!$AM$15)*1</f>
        <v>31.93064187172984</v>
      </c>
      <c r="Z1206" s="6"/>
      <c r="AA1206" s="6"/>
      <c r="AB1206" s="6">
        <f>$K$1206*$V$1206</f>
        <v>938295.94000000006</v>
      </c>
      <c r="AC1206" s="6">
        <f>$M$1206*$W$1206</f>
        <v>0</v>
      </c>
      <c r="AD1206" s="6">
        <f>$O$1206*$X$1206</f>
        <v>0</v>
      </c>
      <c r="AE1206" s="6">
        <f ca="1">$K$1206*$Y$1206</f>
        <v>1048666.1403513514</v>
      </c>
      <c r="AF1206" s="6">
        <f>$M$1206*$Z$1206</f>
        <v>0</v>
      </c>
      <c r="AG1206" s="6">
        <f>$O$1206*$AA$1206</f>
        <v>0</v>
      </c>
    </row>
    <row r="1207" spans="1:33" ht="11.25" customHeight="1" x14ac:dyDescent="0.25">
      <c r="A1207" s="4" t="s">
        <v>29</v>
      </c>
      <c r="B1207" s="4" t="s">
        <v>35</v>
      </c>
      <c r="C1207" s="4" t="s">
        <v>36</v>
      </c>
      <c r="D1207" s="4" t="s">
        <v>48</v>
      </c>
      <c r="E1207" s="4" t="s">
        <v>25</v>
      </c>
      <c r="F1207" s="4" t="s">
        <v>25</v>
      </c>
      <c r="G1207" s="4" t="s">
        <v>25</v>
      </c>
      <c r="H1207" s="4" t="s">
        <v>25</v>
      </c>
      <c r="I1207" s="5">
        <v>44197</v>
      </c>
      <c r="J1207" s="6">
        <v>-2942</v>
      </c>
      <c r="K1207" s="6">
        <v>-2942</v>
      </c>
      <c r="L1207" s="6">
        <v>0</v>
      </c>
      <c r="M1207" s="6">
        <v>0</v>
      </c>
      <c r="N1207" s="6">
        <v>0</v>
      </c>
      <c r="O1207" s="6">
        <v>0</v>
      </c>
      <c r="P1207" s="6">
        <v>0</v>
      </c>
      <c r="Q1207" s="4" t="s">
        <v>26</v>
      </c>
      <c r="R1207" s="4">
        <v>0</v>
      </c>
      <c r="S1207" s="6">
        <v>23</v>
      </c>
      <c r="T1207" s="6">
        <v>0</v>
      </c>
      <c r="U1207" s="6">
        <v>0</v>
      </c>
      <c r="V1207" s="6">
        <f>IF(ISERROR(VLOOKUP($S$1207,'TAR FIN'!$A$1:$O$95,15,0)),0,VLOOKUP($S$1207,'TAR FIN'!$A$1:$O$95,15,0))</f>
        <v>28.57</v>
      </c>
      <c r="W1207" s="6">
        <f>IF(ISERROR(VLOOKUP($T$1207,'TAR FIN'!$A$1:$O$95,15,0)),0,VLOOKUP($T$1207,'TAR FIN'!$A$1:$O$95,15,0))</f>
        <v>0</v>
      </c>
      <c r="X1207" s="6">
        <f>IF(ISERROR(VLOOKUP($U$1207,'TAR FIN'!$A$1:$O$95,15,0)),0,VLOOKUP($U$1207,'TAR FIN'!$A$1:$O$95,15,0))</f>
        <v>0</v>
      </c>
      <c r="Y1207" s="6">
        <f ca="1">('TUSD BE'!$AM$15+'TUSD BF'!$AM$15+'TUSD CVA'!$AM$15)*1</f>
        <v>31.93064187172984</v>
      </c>
      <c r="Z1207" s="6"/>
      <c r="AA1207" s="6"/>
      <c r="AB1207" s="6">
        <f>$K$1207*$V$1207</f>
        <v>-84052.94</v>
      </c>
      <c r="AC1207" s="6">
        <f>$M$1207*$W$1207</f>
        <v>0</v>
      </c>
      <c r="AD1207" s="6">
        <f>$O$1207*$X$1207</f>
        <v>0</v>
      </c>
      <c r="AE1207" s="6">
        <f ca="1">$K$1207*$Y$1207</f>
        <v>-93939.948386629185</v>
      </c>
      <c r="AF1207" s="6">
        <f>$M$1207*$Z$1207</f>
        <v>0</v>
      </c>
      <c r="AG1207" s="6">
        <f>$O$1207*$AA$1207</f>
        <v>0</v>
      </c>
    </row>
    <row r="1208" spans="1:33" ht="11.25" customHeight="1" x14ac:dyDescent="0.25">
      <c r="A1208" s="4" t="s">
        <v>30</v>
      </c>
      <c r="B1208" s="4" t="s">
        <v>35</v>
      </c>
      <c r="C1208" s="4" t="s">
        <v>36</v>
      </c>
      <c r="D1208" s="4" t="s">
        <v>48</v>
      </c>
      <c r="E1208" s="4" t="s">
        <v>25</v>
      </c>
      <c r="F1208" s="4" t="s">
        <v>25</v>
      </c>
      <c r="G1208" s="4" t="s">
        <v>25</v>
      </c>
      <c r="H1208" s="4" t="s">
        <v>25</v>
      </c>
      <c r="I1208" s="5">
        <v>44197</v>
      </c>
      <c r="J1208" s="6">
        <v>550</v>
      </c>
      <c r="K1208" s="6">
        <v>550</v>
      </c>
      <c r="L1208" s="6">
        <v>0</v>
      </c>
      <c r="M1208" s="6">
        <v>0</v>
      </c>
      <c r="N1208" s="6">
        <v>0</v>
      </c>
      <c r="O1208" s="6">
        <v>0</v>
      </c>
      <c r="P1208" s="6">
        <v>1</v>
      </c>
      <c r="Q1208" s="4" t="s">
        <v>26</v>
      </c>
      <c r="R1208" s="4">
        <v>0</v>
      </c>
      <c r="S1208" s="6">
        <v>23</v>
      </c>
      <c r="T1208" s="6">
        <v>0</v>
      </c>
      <c r="U1208" s="6">
        <v>0</v>
      </c>
      <c r="V1208" s="6">
        <f>IF(ISERROR(VLOOKUP($S$1208,'TAR FIN'!$A$1:$O$95,15,0)),0,VLOOKUP($S$1208,'TAR FIN'!$A$1:$O$95,15,0))</f>
        <v>28.57</v>
      </c>
      <c r="W1208" s="6">
        <f>IF(ISERROR(VLOOKUP($T$1208,'TAR FIN'!$A$1:$O$95,15,0)),0,VLOOKUP($T$1208,'TAR FIN'!$A$1:$O$95,15,0))</f>
        <v>0</v>
      </c>
      <c r="X1208" s="6">
        <f>IF(ISERROR(VLOOKUP($U$1208,'TAR FIN'!$A$1:$O$95,15,0)),0,VLOOKUP($U$1208,'TAR FIN'!$A$1:$O$95,15,0))</f>
        <v>0</v>
      </c>
      <c r="Y1208" s="6">
        <f ca="1">('TUSD BE'!$AM$15+'TUSD BF'!$AM$15+'TUSD CVA'!$AM$15)*1</f>
        <v>31.93064187172984</v>
      </c>
      <c r="Z1208" s="6"/>
      <c r="AA1208" s="6"/>
      <c r="AB1208" s="6">
        <f>$K$1208*$V$1208</f>
        <v>15713.5</v>
      </c>
      <c r="AC1208" s="6">
        <f>$M$1208*$W$1208</f>
        <v>0</v>
      </c>
      <c r="AD1208" s="6">
        <f>$O$1208*$X$1208</f>
        <v>0</v>
      </c>
      <c r="AE1208" s="6">
        <f ca="1">$K$1208*$Y$1208</f>
        <v>17561.853029451413</v>
      </c>
      <c r="AF1208" s="6">
        <f>$M$1208*$Z$1208</f>
        <v>0</v>
      </c>
      <c r="AG1208" s="6">
        <f>$O$1208*$AA$1208</f>
        <v>0</v>
      </c>
    </row>
    <row r="1209" spans="1:33" ht="11.25" customHeight="1" x14ac:dyDescent="0.25">
      <c r="A1209" s="4" t="s">
        <v>21</v>
      </c>
      <c r="B1209" s="4" t="s">
        <v>35</v>
      </c>
      <c r="C1209" s="4" t="s">
        <v>36</v>
      </c>
      <c r="D1209" s="4" t="s">
        <v>48</v>
      </c>
      <c r="E1209" s="4" t="s">
        <v>25</v>
      </c>
      <c r="F1209" s="4" t="s">
        <v>25</v>
      </c>
      <c r="G1209" s="4" t="s">
        <v>25</v>
      </c>
      <c r="H1209" s="4" t="s">
        <v>25</v>
      </c>
      <c r="I1209" s="5">
        <v>44228</v>
      </c>
      <c r="J1209" s="6">
        <v>104624</v>
      </c>
      <c r="K1209" s="6">
        <v>104624</v>
      </c>
      <c r="L1209" s="6">
        <v>0</v>
      </c>
      <c r="M1209" s="6">
        <v>0</v>
      </c>
      <c r="N1209" s="6">
        <v>0</v>
      </c>
      <c r="O1209" s="6">
        <v>0</v>
      </c>
      <c r="P1209" s="6">
        <v>670</v>
      </c>
      <c r="Q1209" s="4" t="s">
        <v>26</v>
      </c>
      <c r="R1209" s="4">
        <v>0</v>
      </c>
      <c r="S1209" s="6">
        <v>23</v>
      </c>
      <c r="T1209" s="6">
        <v>0</v>
      </c>
      <c r="U1209" s="6">
        <v>0</v>
      </c>
      <c r="V1209" s="6">
        <f>IF(ISERROR(VLOOKUP($S$1209,'TAR FIN'!$A$1:$O$95,15,0)),0,VLOOKUP($S$1209,'TAR FIN'!$A$1:$O$95,15,0))</f>
        <v>28.57</v>
      </c>
      <c r="W1209" s="6">
        <f>IF(ISERROR(VLOOKUP($T$1209,'TAR FIN'!$A$1:$O$95,15,0)),0,VLOOKUP($T$1209,'TAR FIN'!$A$1:$O$95,15,0))</f>
        <v>0</v>
      </c>
      <c r="X1209" s="6">
        <f>IF(ISERROR(VLOOKUP($U$1209,'TAR FIN'!$A$1:$O$95,15,0)),0,VLOOKUP($U$1209,'TAR FIN'!$A$1:$O$95,15,0))</f>
        <v>0</v>
      </c>
      <c r="Y1209" s="6">
        <f ca="1">('TUSD BE'!$AM$15+'TUSD BF'!$AM$15+'TUSD CVA'!$AM$15)*1</f>
        <v>31.93064187172984</v>
      </c>
      <c r="Z1209" s="6"/>
      <c r="AA1209" s="6"/>
      <c r="AB1209" s="6">
        <f>$K$1209*$V$1209</f>
        <v>2989107.68</v>
      </c>
      <c r="AC1209" s="6">
        <f>$M$1209*$W$1209</f>
        <v>0</v>
      </c>
      <c r="AD1209" s="6">
        <f>$O$1209*$X$1209</f>
        <v>0</v>
      </c>
      <c r="AE1209" s="6">
        <f ca="1">$K$1209*$Y$1209</f>
        <v>3340711.4751878628</v>
      </c>
      <c r="AF1209" s="6">
        <f>$M$1209*$Z$1209</f>
        <v>0</v>
      </c>
      <c r="AG1209" s="6">
        <f>$O$1209*$AA$1209</f>
        <v>0</v>
      </c>
    </row>
    <row r="1210" spans="1:33" ht="11.25" customHeight="1" x14ac:dyDescent="0.25">
      <c r="A1210" s="4" t="s">
        <v>27</v>
      </c>
      <c r="B1210" s="4" t="s">
        <v>35</v>
      </c>
      <c r="C1210" s="4" t="s">
        <v>36</v>
      </c>
      <c r="D1210" s="4" t="s">
        <v>48</v>
      </c>
      <c r="E1210" s="4" t="s">
        <v>25</v>
      </c>
      <c r="F1210" s="4" t="s">
        <v>25</v>
      </c>
      <c r="G1210" s="4" t="s">
        <v>25</v>
      </c>
      <c r="H1210" s="4" t="s">
        <v>25</v>
      </c>
      <c r="I1210" s="5">
        <v>44228</v>
      </c>
      <c r="J1210" s="6">
        <v>-4047</v>
      </c>
      <c r="K1210" s="6">
        <v>-4047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4" t="s">
        <v>26</v>
      </c>
      <c r="R1210" s="4">
        <v>0</v>
      </c>
      <c r="S1210" s="6">
        <v>23</v>
      </c>
      <c r="T1210" s="6">
        <v>0</v>
      </c>
      <c r="U1210" s="6">
        <v>0</v>
      </c>
      <c r="V1210" s="6">
        <f>IF(ISERROR(VLOOKUP($S$1210,'TAR FIN'!$A$1:$O$95,15,0)),0,VLOOKUP($S$1210,'TAR FIN'!$A$1:$O$95,15,0))</f>
        <v>28.57</v>
      </c>
      <c r="W1210" s="6">
        <f>IF(ISERROR(VLOOKUP($T$1210,'TAR FIN'!$A$1:$O$95,15,0)),0,VLOOKUP($T$1210,'TAR FIN'!$A$1:$O$95,15,0))</f>
        <v>0</v>
      </c>
      <c r="X1210" s="6">
        <f>IF(ISERROR(VLOOKUP($U$1210,'TAR FIN'!$A$1:$O$95,15,0)),0,VLOOKUP($U$1210,'TAR FIN'!$A$1:$O$95,15,0))</f>
        <v>0</v>
      </c>
      <c r="Y1210" s="6">
        <f ca="1">('TUSD BE'!$AM$15+'TUSD BF'!$AM$15+'TUSD CVA'!$AM$15)*1</f>
        <v>31.93064187172984</v>
      </c>
      <c r="Z1210" s="6"/>
      <c r="AA1210" s="6"/>
      <c r="AB1210" s="6">
        <f>$K$1210*$V$1210</f>
        <v>-115622.79000000001</v>
      </c>
      <c r="AC1210" s="6">
        <f>$M$1210*$W$1210</f>
        <v>0</v>
      </c>
      <c r="AD1210" s="6">
        <f>$O$1210*$X$1210</f>
        <v>0</v>
      </c>
      <c r="AE1210" s="6">
        <f ca="1">$K$1210*$Y$1210</f>
        <v>-129223.30765489067</v>
      </c>
      <c r="AF1210" s="6">
        <f>$M$1210*$Z$1210</f>
        <v>0</v>
      </c>
      <c r="AG1210" s="6">
        <f>$O$1210*$AA$1210</f>
        <v>0</v>
      </c>
    </row>
    <row r="1211" spans="1:33" ht="11.25" customHeight="1" x14ac:dyDescent="0.25">
      <c r="A1211" s="4" t="s">
        <v>28</v>
      </c>
      <c r="B1211" s="4" t="s">
        <v>35</v>
      </c>
      <c r="C1211" s="4" t="s">
        <v>36</v>
      </c>
      <c r="D1211" s="4" t="s">
        <v>48</v>
      </c>
      <c r="E1211" s="4" t="s">
        <v>25</v>
      </c>
      <c r="F1211" s="4" t="s">
        <v>25</v>
      </c>
      <c r="G1211" s="4" t="s">
        <v>25</v>
      </c>
      <c r="H1211" s="4" t="s">
        <v>25</v>
      </c>
      <c r="I1211" s="5">
        <v>44228</v>
      </c>
      <c r="J1211" s="6">
        <v>32156</v>
      </c>
      <c r="K1211" s="6">
        <v>32156</v>
      </c>
      <c r="L1211" s="6">
        <v>0</v>
      </c>
      <c r="M1211" s="6">
        <v>0</v>
      </c>
      <c r="N1211" s="6">
        <v>0</v>
      </c>
      <c r="O1211" s="6">
        <v>0</v>
      </c>
      <c r="P1211" s="6">
        <v>400</v>
      </c>
      <c r="Q1211" s="4" t="s">
        <v>26</v>
      </c>
      <c r="R1211" s="4">
        <v>0</v>
      </c>
      <c r="S1211" s="6">
        <v>23</v>
      </c>
      <c r="T1211" s="6">
        <v>0</v>
      </c>
      <c r="U1211" s="6">
        <v>0</v>
      </c>
      <c r="V1211" s="6">
        <f>IF(ISERROR(VLOOKUP($S$1211,'TAR FIN'!$A$1:$O$95,15,0)),0,VLOOKUP($S$1211,'TAR FIN'!$A$1:$O$95,15,0))</f>
        <v>28.57</v>
      </c>
      <c r="W1211" s="6">
        <f>IF(ISERROR(VLOOKUP($T$1211,'TAR FIN'!$A$1:$O$95,15,0)),0,VLOOKUP($T$1211,'TAR FIN'!$A$1:$O$95,15,0))</f>
        <v>0</v>
      </c>
      <c r="X1211" s="6">
        <f>IF(ISERROR(VLOOKUP($U$1211,'TAR FIN'!$A$1:$O$95,15,0)),0,VLOOKUP($U$1211,'TAR FIN'!$A$1:$O$95,15,0))</f>
        <v>0</v>
      </c>
      <c r="Y1211" s="6">
        <f ca="1">('TUSD BE'!$AM$15+'TUSD BF'!$AM$15+'TUSD CVA'!$AM$15)*1</f>
        <v>31.93064187172984</v>
      </c>
      <c r="Z1211" s="6"/>
      <c r="AA1211" s="6"/>
      <c r="AB1211" s="6">
        <f>$K$1211*$V$1211</f>
        <v>918696.92</v>
      </c>
      <c r="AC1211" s="6">
        <f>$M$1211*$W$1211</f>
        <v>0</v>
      </c>
      <c r="AD1211" s="6">
        <f>$O$1211*$X$1211</f>
        <v>0</v>
      </c>
      <c r="AE1211" s="6">
        <f ca="1">$K$1211*$Y$1211</f>
        <v>1026761.7200273448</v>
      </c>
      <c r="AF1211" s="6">
        <f>$M$1211*$Z$1211</f>
        <v>0</v>
      </c>
      <c r="AG1211" s="6">
        <f>$O$1211*$AA$1211</f>
        <v>0</v>
      </c>
    </row>
    <row r="1212" spans="1:33" ht="11.25" customHeight="1" x14ac:dyDescent="0.25">
      <c r="A1212" s="4" t="s">
        <v>29</v>
      </c>
      <c r="B1212" s="4" t="s">
        <v>35</v>
      </c>
      <c r="C1212" s="4" t="s">
        <v>36</v>
      </c>
      <c r="D1212" s="4" t="s">
        <v>48</v>
      </c>
      <c r="E1212" s="4" t="s">
        <v>25</v>
      </c>
      <c r="F1212" s="4" t="s">
        <v>25</v>
      </c>
      <c r="G1212" s="4" t="s">
        <v>25</v>
      </c>
      <c r="H1212" s="4" t="s">
        <v>25</v>
      </c>
      <c r="I1212" s="5">
        <v>44228</v>
      </c>
      <c r="J1212" s="6">
        <v>-1590</v>
      </c>
      <c r="K1212" s="6">
        <v>-1590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4" t="s">
        <v>26</v>
      </c>
      <c r="R1212" s="4">
        <v>0</v>
      </c>
      <c r="S1212" s="6">
        <v>23</v>
      </c>
      <c r="T1212" s="6">
        <v>0</v>
      </c>
      <c r="U1212" s="6">
        <v>0</v>
      </c>
      <c r="V1212" s="6">
        <f>IF(ISERROR(VLOOKUP($S$1212,'TAR FIN'!$A$1:$O$95,15,0)),0,VLOOKUP($S$1212,'TAR FIN'!$A$1:$O$95,15,0))</f>
        <v>28.57</v>
      </c>
      <c r="W1212" s="6">
        <f>IF(ISERROR(VLOOKUP($T$1212,'TAR FIN'!$A$1:$O$95,15,0)),0,VLOOKUP($T$1212,'TAR FIN'!$A$1:$O$95,15,0))</f>
        <v>0</v>
      </c>
      <c r="X1212" s="6">
        <f>IF(ISERROR(VLOOKUP($U$1212,'TAR FIN'!$A$1:$O$95,15,0)),0,VLOOKUP($U$1212,'TAR FIN'!$A$1:$O$95,15,0))</f>
        <v>0</v>
      </c>
      <c r="Y1212" s="6">
        <f ca="1">('TUSD BE'!$AM$15+'TUSD BF'!$AM$15+'TUSD CVA'!$AM$15)*1</f>
        <v>31.93064187172984</v>
      </c>
      <c r="Z1212" s="6"/>
      <c r="AA1212" s="6"/>
      <c r="AB1212" s="6">
        <f>$K$1212*$V$1212</f>
        <v>-45426.3</v>
      </c>
      <c r="AC1212" s="6">
        <f>$M$1212*$W$1212</f>
        <v>0</v>
      </c>
      <c r="AD1212" s="6">
        <f>$O$1212*$X$1212</f>
        <v>0</v>
      </c>
      <c r="AE1212" s="6">
        <f ca="1">$K$1212*$Y$1212</f>
        <v>-50769.720576050444</v>
      </c>
      <c r="AF1212" s="6">
        <f>$M$1212*$Z$1212</f>
        <v>0</v>
      </c>
      <c r="AG1212" s="6">
        <f>$O$1212*$AA$1212</f>
        <v>0</v>
      </c>
    </row>
    <row r="1213" spans="1:33" ht="11.25" customHeight="1" x14ac:dyDescent="0.25">
      <c r="A1213" s="4" t="s">
        <v>30</v>
      </c>
      <c r="B1213" s="4" t="s">
        <v>35</v>
      </c>
      <c r="C1213" s="4" t="s">
        <v>36</v>
      </c>
      <c r="D1213" s="4" t="s">
        <v>48</v>
      </c>
      <c r="E1213" s="4" t="s">
        <v>25</v>
      </c>
      <c r="F1213" s="4" t="s">
        <v>25</v>
      </c>
      <c r="G1213" s="4" t="s">
        <v>25</v>
      </c>
      <c r="H1213" s="4" t="s">
        <v>25</v>
      </c>
      <c r="I1213" s="5">
        <v>44228</v>
      </c>
      <c r="J1213" s="6">
        <v>550</v>
      </c>
      <c r="K1213" s="6">
        <v>550</v>
      </c>
      <c r="L1213" s="6">
        <v>0</v>
      </c>
      <c r="M1213" s="6">
        <v>0</v>
      </c>
      <c r="N1213" s="6">
        <v>0</v>
      </c>
      <c r="O1213" s="6">
        <v>0</v>
      </c>
      <c r="P1213" s="6">
        <v>1</v>
      </c>
      <c r="Q1213" s="4" t="s">
        <v>26</v>
      </c>
      <c r="R1213" s="4">
        <v>0</v>
      </c>
      <c r="S1213" s="6">
        <v>23</v>
      </c>
      <c r="T1213" s="6">
        <v>0</v>
      </c>
      <c r="U1213" s="6">
        <v>0</v>
      </c>
      <c r="V1213" s="6">
        <f>IF(ISERROR(VLOOKUP($S$1213,'TAR FIN'!$A$1:$O$95,15,0)),0,VLOOKUP($S$1213,'TAR FIN'!$A$1:$O$95,15,0))</f>
        <v>28.57</v>
      </c>
      <c r="W1213" s="6">
        <f>IF(ISERROR(VLOOKUP($T$1213,'TAR FIN'!$A$1:$O$95,15,0)),0,VLOOKUP($T$1213,'TAR FIN'!$A$1:$O$95,15,0))</f>
        <v>0</v>
      </c>
      <c r="X1213" s="6">
        <f>IF(ISERROR(VLOOKUP($U$1213,'TAR FIN'!$A$1:$O$95,15,0)),0,VLOOKUP($U$1213,'TAR FIN'!$A$1:$O$95,15,0))</f>
        <v>0</v>
      </c>
      <c r="Y1213" s="6">
        <f ca="1">('TUSD BE'!$AM$15+'TUSD BF'!$AM$15+'TUSD CVA'!$AM$15)*1</f>
        <v>31.93064187172984</v>
      </c>
      <c r="Z1213" s="6"/>
      <c r="AA1213" s="6"/>
      <c r="AB1213" s="6">
        <f>$K$1213*$V$1213</f>
        <v>15713.5</v>
      </c>
      <c r="AC1213" s="6">
        <f>$M$1213*$W$1213</f>
        <v>0</v>
      </c>
      <c r="AD1213" s="6">
        <f>$O$1213*$X$1213</f>
        <v>0</v>
      </c>
      <c r="AE1213" s="6">
        <f ca="1">$K$1213*$Y$1213</f>
        <v>17561.853029451413</v>
      </c>
      <c r="AF1213" s="6">
        <f>$M$1213*$Z$1213</f>
        <v>0</v>
      </c>
      <c r="AG1213" s="6">
        <f>$O$1213*$AA$1213</f>
        <v>0</v>
      </c>
    </row>
    <row r="1214" spans="1:33" ht="11.25" customHeight="1" x14ac:dyDescent="0.25">
      <c r="A1214" s="4" t="s">
        <v>21</v>
      </c>
      <c r="B1214" s="4" t="s">
        <v>35</v>
      </c>
      <c r="C1214" s="4" t="s">
        <v>36</v>
      </c>
      <c r="D1214" s="4" t="s">
        <v>48</v>
      </c>
      <c r="E1214" s="4" t="s">
        <v>25</v>
      </c>
      <c r="F1214" s="4" t="s">
        <v>25</v>
      </c>
      <c r="G1214" s="4" t="s">
        <v>25</v>
      </c>
      <c r="H1214" s="4" t="s">
        <v>25</v>
      </c>
      <c r="I1214" s="5">
        <v>44256</v>
      </c>
      <c r="J1214" s="6">
        <v>94984</v>
      </c>
      <c r="K1214" s="6">
        <v>94984</v>
      </c>
      <c r="L1214" s="6">
        <v>0</v>
      </c>
      <c r="M1214" s="6">
        <v>0</v>
      </c>
      <c r="N1214" s="6">
        <v>0</v>
      </c>
      <c r="O1214" s="6">
        <v>0</v>
      </c>
      <c r="P1214" s="6">
        <v>669</v>
      </c>
      <c r="Q1214" s="4" t="s">
        <v>26</v>
      </c>
      <c r="R1214" s="4">
        <v>0</v>
      </c>
      <c r="S1214" s="6">
        <v>23</v>
      </c>
      <c r="T1214" s="6">
        <v>0</v>
      </c>
      <c r="U1214" s="6">
        <v>0</v>
      </c>
      <c r="V1214" s="6">
        <f>IF(ISERROR(VLOOKUP($S$1214,'TAR FIN'!$A$1:$O$95,15,0)),0,VLOOKUP($S$1214,'TAR FIN'!$A$1:$O$95,15,0))</f>
        <v>28.57</v>
      </c>
      <c r="W1214" s="6">
        <f>IF(ISERROR(VLOOKUP($T$1214,'TAR FIN'!$A$1:$O$95,15,0)),0,VLOOKUP($T$1214,'TAR FIN'!$A$1:$O$95,15,0))</f>
        <v>0</v>
      </c>
      <c r="X1214" s="6">
        <f>IF(ISERROR(VLOOKUP($U$1214,'TAR FIN'!$A$1:$O$95,15,0)),0,VLOOKUP($U$1214,'TAR FIN'!$A$1:$O$95,15,0))</f>
        <v>0</v>
      </c>
      <c r="Y1214" s="6">
        <f ca="1">('TUSD BE'!$AM$15+'TUSD BF'!$AM$15+'TUSD CVA'!$AM$15)*1</f>
        <v>31.93064187172984</v>
      </c>
      <c r="Z1214" s="6"/>
      <c r="AA1214" s="6"/>
      <c r="AB1214" s="6">
        <f>$K$1214*$V$1214</f>
        <v>2713692.88</v>
      </c>
      <c r="AC1214" s="6">
        <f>$M$1214*$W$1214</f>
        <v>0</v>
      </c>
      <c r="AD1214" s="6">
        <f>$O$1214*$X$1214</f>
        <v>0</v>
      </c>
      <c r="AE1214" s="6">
        <f ca="1">$K$1214*$Y$1214</f>
        <v>3032900.0875443872</v>
      </c>
      <c r="AF1214" s="6">
        <f>$M$1214*$Z$1214</f>
        <v>0</v>
      </c>
      <c r="AG1214" s="6">
        <f>$O$1214*$AA$1214</f>
        <v>0</v>
      </c>
    </row>
    <row r="1215" spans="1:33" ht="11.25" customHeight="1" x14ac:dyDescent="0.25">
      <c r="A1215" s="4" t="s">
        <v>27</v>
      </c>
      <c r="B1215" s="4" t="s">
        <v>35</v>
      </c>
      <c r="C1215" s="4" t="s">
        <v>36</v>
      </c>
      <c r="D1215" s="4" t="s">
        <v>48</v>
      </c>
      <c r="E1215" s="4" t="s">
        <v>25</v>
      </c>
      <c r="F1215" s="4" t="s">
        <v>25</v>
      </c>
      <c r="G1215" s="4" t="s">
        <v>25</v>
      </c>
      <c r="H1215" s="4" t="s">
        <v>25</v>
      </c>
      <c r="I1215" s="5">
        <v>44256</v>
      </c>
      <c r="J1215" s="6">
        <v>-739</v>
      </c>
      <c r="K1215" s="6">
        <v>-739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4" t="s">
        <v>26</v>
      </c>
      <c r="R1215" s="4">
        <v>0</v>
      </c>
      <c r="S1215" s="6">
        <v>23</v>
      </c>
      <c r="T1215" s="6">
        <v>0</v>
      </c>
      <c r="U1215" s="6">
        <v>0</v>
      </c>
      <c r="V1215" s="6">
        <f>IF(ISERROR(VLOOKUP($S$1215,'TAR FIN'!$A$1:$O$95,15,0)),0,VLOOKUP($S$1215,'TAR FIN'!$A$1:$O$95,15,0))</f>
        <v>28.57</v>
      </c>
      <c r="W1215" s="6">
        <f>IF(ISERROR(VLOOKUP($T$1215,'TAR FIN'!$A$1:$O$95,15,0)),0,VLOOKUP($T$1215,'TAR FIN'!$A$1:$O$95,15,0))</f>
        <v>0</v>
      </c>
      <c r="X1215" s="6">
        <f>IF(ISERROR(VLOOKUP($U$1215,'TAR FIN'!$A$1:$O$95,15,0)),0,VLOOKUP($U$1215,'TAR FIN'!$A$1:$O$95,15,0))</f>
        <v>0</v>
      </c>
      <c r="Y1215" s="6">
        <f ca="1">('TUSD BE'!$AM$15+'TUSD BF'!$AM$15+'TUSD CVA'!$AM$15)*1</f>
        <v>31.93064187172984</v>
      </c>
      <c r="Z1215" s="6"/>
      <c r="AA1215" s="6"/>
      <c r="AB1215" s="6">
        <f>$K$1215*$V$1215</f>
        <v>-21113.23</v>
      </c>
      <c r="AC1215" s="6">
        <f>$M$1215*$W$1215</f>
        <v>0</v>
      </c>
      <c r="AD1215" s="6">
        <f>$O$1215*$X$1215</f>
        <v>0</v>
      </c>
      <c r="AE1215" s="6">
        <f ca="1">$K$1215*$Y$1215</f>
        <v>-23596.744343208353</v>
      </c>
      <c r="AF1215" s="6">
        <f>$M$1215*$Z$1215</f>
        <v>0</v>
      </c>
      <c r="AG1215" s="6">
        <f>$O$1215*$AA$1215</f>
        <v>0</v>
      </c>
    </row>
    <row r="1216" spans="1:33" ht="11.25" customHeight="1" x14ac:dyDescent="0.25">
      <c r="A1216" s="4" t="s">
        <v>28</v>
      </c>
      <c r="B1216" s="4" t="s">
        <v>35</v>
      </c>
      <c r="C1216" s="4" t="s">
        <v>36</v>
      </c>
      <c r="D1216" s="4" t="s">
        <v>48</v>
      </c>
      <c r="E1216" s="4" t="s">
        <v>25</v>
      </c>
      <c r="F1216" s="4" t="s">
        <v>25</v>
      </c>
      <c r="G1216" s="4" t="s">
        <v>25</v>
      </c>
      <c r="H1216" s="4" t="s">
        <v>25</v>
      </c>
      <c r="I1216" s="5">
        <v>44256</v>
      </c>
      <c r="J1216" s="6">
        <v>25874</v>
      </c>
      <c r="K1216" s="6">
        <v>25874</v>
      </c>
      <c r="L1216" s="6">
        <v>0</v>
      </c>
      <c r="M1216" s="6">
        <v>0</v>
      </c>
      <c r="N1216" s="6">
        <v>0</v>
      </c>
      <c r="O1216" s="6">
        <v>0</v>
      </c>
      <c r="P1216" s="6">
        <v>397</v>
      </c>
      <c r="Q1216" s="4" t="s">
        <v>26</v>
      </c>
      <c r="R1216" s="4">
        <v>0</v>
      </c>
      <c r="S1216" s="6">
        <v>23</v>
      </c>
      <c r="T1216" s="6">
        <v>0</v>
      </c>
      <c r="U1216" s="6">
        <v>0</v>
      </c>
      <c r="V1216" s="6">
        <f>IF(ISERROR(VLOOKUP($S$1216,'TAR FIN'!$A$1:$O$95,15,0)),0,VLOOKUP($S$1216,'TAR FIN'!$A$1:$O$95,15,0))</f>
        <v>28.57</v>
      </c>
      <c r="W1216" s="6">
        <f>IF(ISERROR(VLOOKUP($T$1216,'TAR FIN'!$A$1:$O$95,15,0)),0,VLOOKUP($T$1216,'TAR FIN'!$A$1:$O$95,15,0))</f>
        <v>0</v>
      </c>
      <c r="X1216" s="6">
        <f>IF(ISERROR(VLOOKUP($U$1216,'TAR FIN'!$A$1:$O$95,15,0)),0,VLOOKUP($U$1216,'TAR FIN'!$A$1:$O$95,15,0))</f>
        <v>0</v>
      </c>
      <c r="Y1216" s="6">
        <f ca="1">('TUSD BE'!$AM$15+'TUSD BF'!$AM$15+'TUSD CVA'!$AM$15)*1</f>
        <v>31.93064187172984</v>
      </c>
      <c r="Z1216" s="6"/>
      <c r="AA1216" s="6"/>
      <c r="AB1216" s="6">
        <f>$K$1216*$V$1216</f>
        <v>739220.18</v>
      </c>
      <c r="AC1216" s="6">
        <f>$M$1216*$W$1216</f>
        <v>0</v>
      </c>
      <c r="AD1216" s="6">
        <f>$O$1216*$X$1216</f>
        <v>0</v>
      </c>
      <c r="AE1216" s="6">
        <f ca="1">$K$1216*$Y$1216</f>
        <v>826173.42778913793</v>
      </c>
      <c r="AF1216" s="6">
        <f>$M$1216*$Z$1216</f>
        <v>0</v>
      </c>
      <c r="AG1216" s="6">
        <f>$O$1216*$AA$1216</f>
        <v>0</v>
      </c>
    </row>
    <row r="1217" spans="1:33" ht="11.25" customHeight="1" x14ac:dyDescent="0.25">
      <c r="A1217" s="4" t="s">
        <v>29</v>
      </c>
      <c r="B1217" s="4" t="s">
        <v>35</v>
      </c>
      <c r="C1217" s="4" t="s">
        <v>36</v>
      </c>
      <c r="D1217" s="4" t="s">
        <v>48</v>
      </c>
      <c r="E1217" s="4" t="s">
        <v>25</v>
      </c>
      <c r="F1217" s="4" t="s">
        <v>25</v>
      </c>
      <c r="G1217" s="4" t="s">
        <v>25</v>
      </c>
      <c r="H1217" s="4" t="s">
        <v>25</v>
      </c>
      <c r="I1217" s="5">
        <v>44256</v>
      </c>
      <c r="J1217" s="6">
        <v>-17097</v>
      </c>
      <c r="K1217" s="6">
        <v>-17097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4" t="s">
        <v>26</v>
      </c>
      <c r="R1217" s="4">
        <v>0</v>
      </c>
      <c r="S1217" s="6">
        <v>23</v>
      </c>
      <c r="T1217" s="6">
        <v>0</v>
      </c>
      <c r="U1217" s="6">
        <v>0</v>
      </c>
      <c r="V1217" s="6">
        <f>IF(ISERROR(VLOOKUP($S$1217,'TAR FIN'!$A$1:$O$95,15,0)),0,VLOOKUP($S$1217,'TAR FIN'!$A$1:$O$95,15,0))</f>
        <v>28.57</v>
      </c>
      <c r="W1217" s="6">
        <f>IF(ISERROR(VLOOKUP($T$1217,'TAR FIN'!$A$1:$O$95,15,0)),0,VLOOKUP($T$1217,'TAR FIN'!$A$1:$O$95,15,0))</f>
        <v>0</v>
      </c>
      <c r="X1217" s="6">
        <f>IF(ISERROR(VLOOKUP($U$1217,'TAR FIN'!$A$1:$O$95,15,0)),0,VLOOKUP($U$1217,'TAR FIN'!$A$1:$O$95,15,0))</f>
        <v>0</v>
      </c>
      <c r="Y1217" s="6">
        <f ca="1">('TUSD BE'!$AM$15+'TUSD BF'!$AM$15+'TUSD CVA'!$AM$15)*1</f>
        <v>31.93064187172984</v>
      </c>
      <c r="Z1217" s="6"/>
      <c r="AA1217" s="6"/>
      <c r="AB1217" s="6">
        <f>$K$1217*$V$1217</f>
        <v>-488461.29</v>
      </c>
      <c r="AC1217" s="6">
        <f>$M$1217*$W$1217</f>
        <v>0</v>
      </c>
      <c r="AD1217" s="6">
        <f>$O$1217*$X$1217</f>
        <v>0</v>
      </c>
      <c r="AE1217" s="6">
        <f ca="1">$K$1217*$Y$1217</f>
        <v>-545918.18408096512</v>
      </c>
      <c r="AF1217" s="6">
        <f>$M$1217*$Z$1217</f>
        <v>0</v>
      </c>
      <c r="AG1217" s="6">
        <f>$O$1217*$AA$1217</f>
        <v>0</v>
      </c>
    </row>
    <row r="1218" spans="1:33" ht="11.25" customHeight="1" x14ac:dyDescent="0.25">
      <c r="A1218" s="4" t="s">
        <v>30</v>
      </c>
      <c r="B1218" s="4" t="s">
        <v>35</v>
      </c>
      <c r="C1218" s="4" t="s">
        <v>36</v>
      </c>
      <c r="D1218" s="4" t="s">
        <v>48</v>
      </c>
      <c r="E1218" s="4" t="s">
        <v>25</v>
      </c>
      <c r="F1218" s="4" t="s">
        <v>25</v>
      </c>
      <c r="G1218" s="4" t="s">
        <v>25</v>
      </c>
      <c r="H1218" s="4" t="s">
        <v>25</v>
      </c>
      <c r="I1218" s="5">
        <v>44256</v>
      </c>
      <c r="J1218" s="6">
        <v>550</v>
      </c>
      <c r="K1218" s="6">
        <v>550</v>
      </c>
      <c r="L1218" s="6">
        <v>0</v>
      </c>
      <c r="M1218" s="6">
        <v>0</v>
      </c>
      <c r="N1218" s="6">
        <v>0</v>
      </c>
      <c r="O1218" s="6">
        <v>0</v>
      </c>
      <c r="P1218" s="6">
        <v>1</v>
      </c>
      <c r="Q1218" s="4" t="s">
        <v>26</v>
      </c>
      <c r="R1218" s="4">
        <v>0</v>
      </c>
      <c r="S1218" s="6">
        <v>23</v>
      </c>
      <c r="T1218" s="6">
        <v>0</v>
      </c>
      <c r="U1218" s="6">
        <v>0</v>
      </c>
      <c r="V1218" s="6">
        <f>IF(ISERROR(VLOOKUP($S$1218,'TAR FIN'!$A$1:$O$95,15,0)),0,VLOOKUP($S$1218,'TAR FIN'!$A$1:$O$95,15,0))</f>
        <v>28.57</v>
      </c>
      <c r="W1218" s="6">
        <f>IF(ISERROR(VLOOKUP($T$1218,'TAR FIN'!$A$1:$O$95,15,0)),0,VLOOKUP($T$1218,'TAR FIN'!$A$1:$O$95,15,0))</f>
        <v>0</v>
      </c>
      <c r="X1218" s="6">
        <f>IF(ISERROR(VLOOKUP($U$1218,'TAR FIN'!$A$1:$O$95,15,0)),0,VLOOKUP($U$1218,'TAR FIN'!$A$1:$O$95,15,0))</f>
        <v>0</v>
      </c>
      <c r="Y1218" s="6">
        <f ca="1">('TUSD BE'!$AM$15+'TUSD BF'!$AM$15+'TUSD CVA'!$AM$15)*1</f>
        <v>31.93064187172984</v>
      </c>
      <c r="Z1218" s="6"/>
      <c r="AA1218" s="6"/>
      <c r="AB1218" s="6">
        <f>$K$1218*$V$1218</f>
        <v>15713.5</v>
      </c>
      <c r="AC1218" s="6">
        <f>$M$1218*$W$1218</f>
        <v>0</v>
      </c>
      <c r="AD1218" s="6">
        <f>$O$1218*$X$1218</f>
        <v>0</v>
      </c>
      <c r="AE1218" s="6">
        <f ca="1">$K$1218*$Y$1218</f>
        <v>17561.853029451413</v>
      </c>
      <c r="AF1218" s="6">
        <f>$M$1218*$Z$1218</f>
        <v>0</v>
      </c>
      <c r="AG1218" s="6">
        <f>$O$1218*$AA$1218</f>
        <v>0</v>
      </c>
    </row>
    <row r="1219" spans="1:33" ht="11.25" customHeight="1" x14ac:dyDescent="0.25">
      <c r="A1219" s="4" t="s">
        <v>21</v>
      </c>
      <c r="B1219" s="4" t="s">
        <v>35</v>
      </c>
      <c r="C1219" s="4" t="s">
        <v>36</v>
      </c>
      <c r="D1219" s="4" t="s">
        <v>48</v>
      </c>
      <c r="E1219" s="4" t="s">
        <v>25</v>
      </c>
      <c r="F1219" s="4" t="s">
        <v>25</v>
      </c>
      <c r="G1219" s="4" t="s">
        <v>25</v>
      </c>
      <c r="H1219" s="4" t="s">
        <v>25</v>
      </c>
      <c r="I1219" s="5">
        <v>44287</v>
      </c>
      <c r="J1219" s="6">
        <v>94388</v>
      </c>
      <c r="K1219" s="6">
        <v>94388</v>
      </c>
      <c r="L1219" s="6">
        <v>0</v>
      </c>
      <c r="M1219" s="6">
        <v>0</v>
      </c>
      <c r="N1219" s="6">
        <v>0</v>
      </c>
      <c r="O1219" s="6">
        <v>0</v>
      </c>
      <c r="P1219" s="6">
        <v>668</v>
      </c>
      <c r="Q1219" s="4" t="s">
        <v>26</v>
      </c>
      <c r="R1219" s="4">
        <v>0</v>
      </c>
      <c r="S1219" s="6">
        <v>23</v>
      </c>
      <c r="T1219" s="6">
        <v>0</v>
      </c>
      <c r="U1219" s="6">
        <v>0</v>
      </c>
      <c r="V1219" s="6">
        <f>IF(ISERROR(VLOOKUP($S$1219,'TAR FIN'!$A$1:$O$95,15,0)),0,VLOOKUP($S$1219,'TAR FIN'!$A$1:$O$95,15,0))</f>
        <v>28.57</v>
      </c>
      <c r="W1219" s="6">
        <f>IF(ISERROR(VLOOKUP($T$1219,'TAR FIN'!$A$1:$O$95,15,0)),0,VLOOKUP($T$1219,'TAR FIN'!$A$1:$O$95,15,0))</f>
        <v>0</v>
      </c>
      <c r="X1219" s="6">
        <f>IF(ISERROR(VLOOKUP($U$1219,'TAR FIN'!$A$1:$O$95,15,0)),0,VLOOKUP($U$1219,'TAR FIN'!$A$1:$O$95,15,0))</f>
        <v>0</v>
      </c>
      <c r="Y1219" s="6">
        <f ca="1">('TUSD BE'!$AM$15+'TUSD BF'!$AM$15+'TUSD CVA'!$AM$15)*1</f>
        <v>31.93064187172984</v>
      </c>
      <c r="Z1219" s="6"/>
      <c r="AA1219" s="6"/>
      <c r="AB1219" s="6">
        <f>$K$1219*$V$1219</f>
        <v>2696665.16</v>
      </c>
      <c r="AC1219" s="6">
        <f>$M$1219*$W$1219</f>
        <v>0</v>
      </c>
      <c r="AD1219" s="6">
        <f>$O$1219*$X$1219</f>
        <v>0</v>
      </c>
      <c r="AE1219" s="6">
        <f ca="1">$K$1219*$Y$1219</f>
        <v>3013869.4249888361</v>
      </c>
      <c r="AF1219" s="6">
        <f>$M$1219*$Z$1219</f>
        <v>0</v>
      </c>
      <c r="AG1219" s="6">
        <f>$O$1219*$AA$1219</f>
        <v>0</v>
      </c>
    </row>
    <row r="1220" spans="1:33" ht="11.25" customHeight="1" x14ac:dyDescent="0.25">
      <c r="A1220" s="4" t="s">
        <v>27</v>
      </c>
      <c r="B1220" s="4" t="s">
        <v>35</v>
      </c>
      <c r="C1220" s="4" t="s">
        <v>36</v>
      </c>
      <c r="D1220" s="4" t="s">
        <v>48</v>
      </c>
      <c r="E1220" s="4" t="s">
        <v>25</v>
      </c>
      <c r="F1220" s="4" t="s">
        <v>25</v>
      </c>
      <c r="G1220" s="4" t="s">
        <v>25</v>
      </c>
      <c r="H1220" s="4" t="s">
        <v>25</v>
      </c>
      <c r="I1220" s="5">
        <v>44287</v>
      </c>
      <c r="J1220" s="6">
        <v>-1547</v>
      </c>
      <c r="K1220" s="6">
        <v>-1547</v>
      </c>
      <c r="L1220" s="6">
        <v>0</v>
      </c>
      <c r="M1220" s="6">
        <v>0</v>
      </c>
      <c r="N1220" s="6">
        <v>0</v>
      </c>
      <c r="O1220" s="6">
        <v>0</v>
      </c>
      <c r="P1220" s="6">
        <v>0</v>
      </c>
      <c r="Q1220" s="4" t="s">
        <v>26</v>
      </c>
      <c r="R1220" s="4">
        <v>0</v>
      </c>
      <c r="S1220" s="6">
        <v>23</v>
      </c>
      <c r="T1220" s="6">
        <v>0</v>
      </c>
      <c r="U1220" s="6">
        <v>0</v>
      </c>
      <c r="V1220" s="6">
        <f>IF(ISERROR(VLOOKUP($S$1220,'TAR FIN'!$A$1:$O$95,15,0)),0,VLOOKUP($S$1220,'TAR FIN'!$A$1:$O$95,15,0))</f>
        <v>28.57</v>
      </c>
      <c r="W1220" s="6">
        <f>IF(ISERROR(VLOOKUP($T$1220,'TAR FIN'!$A$1:$O$95,15,0)),0,VLOOKUP($T$1220,'TAR FIN'!$A$1:$O$95,15,0))</f>
        <v>0</v>
      </c>
      <c r="X1220" s="6">
        <f>IF(ISERROR(VLOOKUP($U$1220,'TAR FIN'!$A$1:$O$95,15,0)),0,VLOOKUP($U$1220,'TAR FIN'!$A$1:$O$95,15,0))</f>
        <v>0</v>
      </c>
      <c r="Y1220" s="6">
        <f ca="1">('TUSD BE'!$AM$15+'TUSD BF'!$AM$15+'TUSD CVA'!$AM$15)*1</f>
        <v>31.93064187172984</v>
      </c>
      <c r="Z1220" s="6"/>
      <c r="AA1220" s="6"/>
      <c r="AB1220" s="6">
        <f>$K$1220*$V$1220</f>
        <v>-44197.79</v>
      </c>
      <c r="AC1220" s="6">
        <f>$M$1220*$W$1220</f>
        <v>0</v>
      </c>
      <c r="AD1220" s="6">
        <f>$O$1220*$X$1220</f>
        <v>0</v>
      </c>
      <c r="AE1220" s="6">
        <f ca="1">$K$1220*$Y$1220</f>
        <v>-49396.702975566062</v>
      </c>
      <c r="AF1220" s="6">
        <f>$M$1220*$Z$1220</f>
        <v>0</v>
      </c>
      <c r="AG1220" s="6">
        <f>$O$1220*$AA$1220</f>
        <v>0</v>
      </c>
    </row>
    <row r="1221" spans="1:33" ht="11.25" customHeight="1" x14ac:dyDescent="0.25">
      <c r="A1221" s="4" t="s">
        <v>28</v>
      </c>
      <c r="B1221" s="4" t="s">
        <v>35</v>
      </c>
      <c r="C1221" s="4" t="s">
        <v>36</v>
      </c>
      <c r="D1221" s="4" t="s">
        <v>48</v>
      </c>
      <c r="E1221" s="4" t="s">
        <v>25</v>
      </c>
      <c r="F1221" s="4" t="s">
        <v>25</v>
      </c>
      <c r="G1221" s="4" t="s">
        <v>25</v>
      </c>
      <c r="H1221" s="4" t="s">
        <v>25</v>
      </c>
      <c r="I1221" s="5">
        <v>44287</v>
      </c>
      <c r="J1221" s="6">
        <v>25739</v>
      </c>
      <c r="K1221" s="6">
        <v>25739</v>
      </c>
      <c r="L1221" s="6">
        <v>0</v>
      </c>
      <c r="M1221" s="6">
        <v>0</v>
      </c>
      <c r="N1221" s="6">
        <v>0</v>
      </c>
      <c r="O1221" s="6">
        <v>0</v>
      </c>
      <c r="P1221" s="6">
        <v>397</v>
      </c>
      <c r="Q1221" s="4" t="s">
        <v>26</v>
      </c>
      <c r="R1221" s="4">
        <v>0</v>
      </c>
      <c r="S1221" s="6">
        <v>23</v>
      </c>
      <c r="T1221" s="6">
        <v>0</v>
      </c>
      <c r="U1221" s="6">
        <v>0</v>
      </c>
      <c r="V1221" s="6">
        <f>IF(ISERROR(VLOOKUP($S$1221,'TAR FIN'!$A$1:$O$95,15,0)),0,VLOOKUP($S$1221,'TAR FIN'!$A$1:$O$95,15,0))</f>
        <v>28.57</v>
      </c>
      <c r="W1221" s="6">
        <f>IF(ISERROR(VLOOKUP($T$1221,'TAR FIN'!$A$1:$O$95,15,0)),0,VLOOKUP($T$1221,'TAR FIN'!$A$1:$O$95,15,0))</f>
        <v>0</v>
      </c>
      <c r="X1221" s="6">
        <f>IF(ISERROR(VLOOKUP($U$1221,'TAR FIN'!$A$1:$O$95,15,0)),0,VLOOKUP($U$1221,'TAR FIN'!$A$1:$O$95,15,0))</f>
        <v>0</v>
      </c>
      <c r="Y1221" s="6">
        <f ca="1">('TUSD BE'!$AM$15+'TUSD BF'!$AM$15+'TUSD CVA'!$AM$15)*1</f>
        <v>31.93064187172984</v>
      </c>
      <c r="Z1221" s="6"/>
      <c r="AA1221" s="6"/>
      <c r="AB1221" s="6">
        <f>$K$1221*$V$1221</f>
        <v>735363.23</v>
      </c>
      <c r="AC1221" s="6">
        <f>$M$1221*$W$1221</f>
        <v>0</v>
      </c>
      <c r="AD1221" s="6">
        <f>$O$1221*$X$1221</f>
        <v>0</v>
      </c>
      <c r="AE1221" s="6">
        <f ca="1">$K$1221*$Y$1221</f>
        <v>821862.79113645433</v>
      </c>
      <c r="AF1221" s="6">
        <f>$M$1221*$Z$1221</f>
        <v>0</v>
      </c>
      <c r="AG1221" s="6">
        <f>$O$1221*$AA$1221</f>
        <v>0</v>
      </c>
    </row>
    <row r="1222" spans="1:33" ht="11.25" customHeight="1" x14ac:dyDescent="0.25">
      <c r="A1222" s="4" t="s">
        <v>30</v>
      </c>
      <c r="B1222" s="4" t="s">
        <v>35</v>
      </c>
      <c r="C1222" s="4" t="s">
        <v>36</v>
      </c>
      <c r="D1222" s="4" t="s">
        <v>48</v>
      </c>
      <c r="E1222" s="4" t="s">
        <v>25</v>
      </c>
      <c r="F1222" s="4" t="s">
        <v>25</v>
      </c>
      <c r="G1222" s="4" t="s">
        <v>25</v>
      </c>
      <c r="H1222" s="4" t="s">
        <v>25</v>
      </c>
      <c r="I1222" s="5">
        <v>44287</v>
      </c>
      <c r="J1222" s="6">
        <v>550</v>
      </c>
      <c r="K1222" s="6">
        <v>550</v>
      </c>
      <c r="L1222" s="6">
        <v>0</v>
      </c>
      <c r="M1222" s="6">
        <v>0</v>
      </c>
      <c r="N1222" s="6">
        <v>0</v>
      </c>
      <c r="O1222" s="6">
        <v>0</v>
      </c>
      <c r="P1222" s="6">
        <v>1</v>
      </c>
      <c r="Q1222" s="4" t="s">
        <v>26</v>
      </c>
      <c r="R1222" s="4">
        <v>0</v>
      </c>
      <c r="S1222" s="6">
        <v>23</v>
      </c>
      <c r="T1222" s="6">
        <v>0</v>
      </c>
      <c r="U1222" s="6">
        <v>0</v>
      </c>
      <c r="V1222" s="6">
        <f>IF(ISERROR(VLOOKUP($S$1222,'TAR FIN'!$A$1:$O$95,15,0)),0,VLOOKUP($S$1222,'TAR FIN'!$A$1:$O$95,15,0))</f>
        <v>28.57</v>
      </c>
      <c r="W1222" s="6">
        <f>IF(ISERROR(VLOOKUP($T$1222,'TAR FIN'!$A$1:$O$95,15,0)),0,VLOOKUP($T$1222,'TAR FIN'!$A$1:$O$95,15,0))</f>
        <v>0</v>
      </c>
      <c r="X1222" s="6">
        <f>IF(ISERROR(VLOOKUP($U$1222,'TAR FIN'!$A$1:$O$95,15,0)),0,VLOOKUP($U$1222,'TAR FIN'!$A$1:$O$95,15,0))</f>
        <v>0</v>
      </c>
      <c r="Y1222" s="6">
        <f ca="1">('TUSD BE'!$AM$15+'TUSD BF'!$AM$15+'TUSD CVA'!$AM$15)*1</f>
        <v>31.93064187172984</v>
      </c>
      <c r="Z1222" s="6"/>
      <c r="AA1222" s="6"/>
      <c r="AB1222" s="6">
        <f>$K$1222*$V$1222</f>
        <v>15713.5</v>
      </c>
      <c r="AC1222" s="6">
        <f>$M$1222*$W$1222</f>
        <v>0</v>
      </c>
      <c r="AD1222" s="6">
        <f>$O$1222*$X$1222</f>
        <v>0</v>
      </c>
      <c r="AE1222" s="6">
        <f ca="1">$K$1222*$Y$1222</f>
        <v>17561.853029451413</v>
      </c>
      <c r="AF1222" s="6">
        <f>$M$1222*$Z$1222</f>
        <v>0</v>
      </c>
      <c r="AG1222" s="6">
        <f>$O$1222*$AA$1222</f>
        <v>0</v>
      </c>
    </row>
    <row r="1223" spans="1:33" ht="11.25" customHeight="1" x14ac:dyDescent="0.25">
      <c r="A1223" s="4" t="s">
        <v>21</v>
      </c>
      <c r="B1223" s="4" t="s">
        <v>35</v>
      </c>
      <c r="C1223" s="4" t="s">
        <v>36</v>
      </c>
      <c r="D1223" s="4" t="s">
        <v>48</v>
      </c>
      <c r="E1223" s="4" t="s">
        <v>25</v>
      </c>
      <c r="F1223" s="4" t="s">
        <v>25</v>
      </c>
      <c r="G1223" s="4" t="s">
        <v>25</v>
      </c>
      <c r="H1223" s="4" t="s">
        <v>25</v>
      </c>
      <c r="I1223" s="5">
        <v>44317</v>
      </c>
      <c r="J1223" s="6">
        <v>100383</v>
      </c>
      <c r="K1223" s="6">
        <v>100383</v>
      </c>
      <c r="L1223" s="6">
        <v>0</v>
      </c>
      <c r="M1223" s="6">
        <v>0</v>
      </c>
      <c r="N1223" s="6">
        <v>0</v>
      </c>
      <c r="O1223" s="6">
        <v>0</v>
      </c>
      <c r="P1223" s="6">
        <v>668</v>
      </c>
      <c r="Q1223" s="4" t="s">
        <v>26</v>
      </c>
      <c r="R1223" s="4">
        <v>0</v>
      </c>
      <c r="S1223" s="6">
        <v>23</v>
      </c>
      <c r="T1223" s="6">
        <v>0</v>
      </c>
      <c r="U1223" s="6">
        <v>0</v>
      </c>
      <c r="V1223" s="6">
        <f>IF(ISERROR(VLOOKUP($S$1223,'TAR FIN'!$A$1:$O$95,15,0)),0,VLOOKUP($S$1223,'TAR FIN'!$A$1:$O$95,15,0))</f>
        <v>28.57</v>
      </c>
      <c r="W1223" s="6">
        <f>IF(ISERROR(VLOOKUP($T$1223,'TAR FIN'!$A$1:$O$95,15,0)),0,VLOOKUP($T$1223,'TAR FIN'!$A$1:$O$95,15,0))</f>
        <v>0</v>
      </c>
      <c r="X1223" s="6">
        <f>IF(ISERROR(VLOOKUP($U$1223,'TAR FIN'!$A$1:$O$95,15,0)),0,VLOOKUP($U$1223,'TAR FIN'!$A$1:$O$95,15,0))</f>
        <v>0</v>
      </c>
      <c r="Y1223" s="6">
        <f ca="1">('TUSD BE'!$AM$15+'TUSD BF'!$AM$15+'TUSD CVA'!$AM$15)*1</f>
        <v>31.93064187172984</v>
      </c>
      <c r="Z1223" s="6"/>
      <c r="AA1223" s="6"/>
      <c r="AB1223" s="6">
        <f>$K$1223*$V$1223</f>
        <v>2867942.31</v>
      </c>
      <c r="AC1223" s="6">
        <f>$M$1223*$W$1223</f>
        <v>0</v>
      </c>
      <c r="AD1223" s="6">
        <f>$O$1223*$X$1223</f>
        <v>0</v>
      </c>
      <c r="AE1223" s="6">
        <f ca="1">$K$1223*$Y$1223</f>
        <v>3205293.6230098563</v>
      </c>
      <c r="AF1223" s="6">
        <f>$M$1223*$Z$1223</f>
        <v>0</v>
      </c>
      <c r="AG1223" s="6">
        <f>$O$1223*$AA$1223</f>
        <v>0</v>
      </c>
    </row>
    <row r="1224" spans="1:33" ht="11.25" customHeight="1" x14ac:dyDescent="0.25">
      <c r="A1224" s="4" t="s">
        <v>27</v>
      </c>
      <c r="B1224" s="4" t="s">
        <v>35</v>
      </c>
      <c r="C1224" s="4" t="s">
        <v>36</v>
      </c>
      <c r="D1224" s="4" t="s">
        <v>48</v>
      </c>
      <c r="E1224" s="4" t="s">
        <v>25</v>
      </c>
      <c r="F1224" s="4" t="s">
        <v>25</v>
      </c>
      <c r="G1224" s="4" t="s">
        <v>25</v>
      </c>
      <c r="H1224" s="4" t="s">
        <v>25</v>
      </c>
      <c r="I1224" s="5">
        <v>44317</v>
      </c>
      <c r="J1224" s="6">
        <v>873</v>
      </c>
      <c r="K1224" s="6">
        <v>873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4" t="s">
        <v>26</v>
      </c>
      <c r="R1224" s="4">
        <v>0</v>
      </c>
      <c r="S1224" s="6">
        <v>23</v>
      </c>
      <c r="T1224" s="6">
        <v>0</v>
      </c>
      <c r="U1224" s="6">
        <v>0</v>
      </c>
      <c r="V1224" s="6">
        <f>IF(ISERROR(VLOOKUP($S$1224,'TAR FIN'!$A$1:$O$95,15,0)),0,VLOOKUP($S$1224,'TAR FIN'!$A$1:$O$95,15,0))</f>
        <v>28.57</v>
      </c>
      <c r="W1224" s="6">
        <f>IF(ISERROR(VLOOKUP($T$1224,'TAR FIN'!$A$1:$O$95,15,0)),0,VLOOKUP($T$1224,'TAR FIN'!$A$1:$O$95,15,0))</f>
        <v>0</v>
      </c>
      <c r="X1224" s="6">
        <f>IF(ISERROR(VLOOKUP($U$1224,'TAR FIN'!$A$1:$O$95,15,0)),0,VLOOKUP($U$1224,'TAR FIN'!$A$1:$O$95,15,0))</f>
        <v>0</v>
      </c>
      <c r="Y1224" s="6">
        <f ca="1">('TUSD BE'!$AM$15+'TUSD BF'!$AM$15+'TUSD CVA'!$AM$15)*1</f>
        <v>31.93064187172984</v>
      </c>
      <c r="Z1224" s="6"/>
      <c r="AA1224" s="6"/>
      <c r="AB1224" s="6">
        <f>$K$1224*$V$1224</f>
        <v>24941.61</v>
      </c>
      <c r="AC1224" s="6">
        <f>$M$1224*$W$1224</f>
        <v>0</v>
      </c>
      <c r="AD1224" s="6">
        <f>$O$1224*$X$1224</f>
        <v>0</v>
      </c>
      <c r="AE1224" s="6">
        <f ca="1">$K$1224*$Y$1224</f>
        <v>27875.450354020151</v>
      </c>
      <c r="AF1224" s="6">
        <f>$M$1224*$Z$1224</f>
        <v>0</v>
      </c>
      <c r="AG1224" s="6">
        <f>$O$1224*$AA$1224</f>
        <v>0</v>
      </c>
    </row>
    <row r="1225" spans="1:33" ht="11.25" customHeight="1" x14ac:dyDescent="0.25">
      <c r="A1225" s="4" t="s">
        <v>28</v>
      </c>
      <c r="B1225" s="4" t="s">
        <v>35</v>
      </c>
      <c r="C1225" s="4" t="s">
        <v>36</v>
      </c>
      <c r="D1225" s="4" t="s">
        <v>48</v>
      </c>
      <c r="E1225" s="4" t="s">
        <v>25</v>
      </c>
      <c r="F1225" s="4" t="s">
        <v>25</v>
      </c>
      <c r="G1225" s="4" t="s">
        <v>25</v>
      </c>
      <c r="H1225" s="4" t="s">
        <v>25</v>
      </c>
      <c r="I1225" s="5">
        <v>44317</v>
      </c>
      <c r="J1225" s="6">
        <v>27940</v>
      </c>
      <c r="K1225" s="6">
        <v>27940</v>
      </c>
      <c r="L1225" s="6">
        <v>0</v>
      </c>
      <c r="M1225" s="6">
        <v>0</v>
      </c>
      <c r="N1225" s="6">
        <v>0</v>
      </c>
      <c r="O1225" s="6">
        <v>0</v>
      </c>
      <c r="P1225" s="6">
        <v>402</v>
      </c>
      <c r="Q1225" s="4" t="s">
        <v>26</v>
      </c>
      <c r="R1225" s="4">
        <v>0</v>
      </c>
      <c r="S1225" s="6">
        <v>23</v>
      </c>
      <c r="T1225" s="6">
        <v>0</v>
      </c>
      <c r="U1225" s="6">
        <v>0</v>
      </c>
      <c r="V1225" s="6">
        <f>IF(ISERROR(VLOOKUP($S$1225,'TAR FIN'!$A$1:$O$95,15,0)),0,VLOOKUP($S$1225,'TAR FIN'!$A$1:$O$95,15,0))</f>
        <v>28.57</v>
      </c>
      <c r="W1225" s="6">
        <f>IF(ISERROR(VLOOKUP($T$1225,'TAR FIN'!$A$1:$O$95,15,0)),0,VLOOKUP($T$1225,'TAR FIN'!$A$1:$O$95,15,0))</f>
        <v>0</v>
      </c>
      <c r="X1225" s="6">
        <f>IF(ISERROR(VLOOKUP($U$1225,'TAR FIN'!$A$1:$O$95,15,0)),0,VLOOKUP($U$1225,'TAR FIN'!$A$1:$O$95,15,0))</f>
        <v>0</v>
      </c>
      <c r="Y1225" s="6">
        <f ca="1">('TUSD BE'!$AM$15+'TUSD BF'!$AM$15+'TUSD CVA'!$AM$15)*1</f>
        <v>31.93064187172984</v>
      </c>
      <c r="Z1225" s="6"/>
      <c r="AA1225" s="6"/>
      <c r="AB1225" s="6">
        <f>$K$1225*$V$1225</f>
        <v>798245.8</v>
      </c>
      <c r="AC1225" s="6">
        <f>$M$1225*$W$1225</f>
        <v>0</v>
      </c>
      <c r="AD1225" s="6">
        <f>$O$1225*$X$1225</f>
        <v>0</v>
      </c>
      <c r="AE1225" s="6">
        <f ca="1">$K$1225*$Y$1225</f>
        <v>892142.13389613177</v>
      </c>
      <c r="AF1225" s="6">
        <f>$M$1225*$Z$1225</f>
        <v>0</v>
      </c>
      <c r="AG1225" s="6">
        <f>$O$1225*$AA$1225</f>
        <v>0</v>
      </c>
    </row>
    <row r="1226" spans="1:33" ht="11.25" customHeight="1" x14ac:dyDescent="0.25">
      <c r="A1226" s="4" t="s">
        <v>29</v>
      </c>
      <c r="B1226" s="4" t="s">
        <v>35</v>
      </c>
      <c r="C1226" s="4" t="s">
        <v>36</v>
      </c>
      <c r="D1226" s="4" t="s">
        <v>48</v>
      </c>
      <c r="E1226" s="4" t="s">
        <v>25</v>
      </c>
      <c r="F1226" s="4" t="s">
        <v>25</v>
      </c>
      <c r="G1226" s="4" t="s">
        <v>25</v>
      </c>
      <c r="H1226" s="4" t="s">
        <v>25</v>
      </c>
      <c r="I1226" s="5">
        <v>44317</v>
      </c>
      <c r="J1226" s="6">
        <v>-991</v>
      </c>
      <c r="K1226" s="6">
        <v>-991</v>
      </c>
      <c r="L1226" s="6">
        <v>0</v>
      </c>
      <c r="M1226" s="6">
        <v>0</v>
      </c>
      <c r="N1226" s="6">
        <v>0</v>
      </c>
      <c r="O1226" s="6">
        <v>0</v>
      </c>
      <c r="P1226" s="6">
        <v>0</v>
      </c>
      <c r="Q1226" s="4" t="s">
        <v>26</v>
      </c>
      <c r="R1226" s="4">
        <v>0</v>
      </c>
      <c r="S1226" s="6">
        <v>23</v>
      </c>
      <c r="T1226" s="6">
        <v>0</v>
      </c>
      <c r="U1226" s="6">
        <v>0</v>
      </c>
      <c r="V1226" s="6">
        <f>IF(ISERROR(VLOOKUP($S$1226,'TAR FIN'!$A$1:$O$95,15,0)),0,VLOOKUP($S$1226,'TAR FIN'!$A$1:$O$95,15,0))</f>
        <v>28.57</v>
      </c>
      <c r="W1226" s="6">
        <f>IF(ISERROR(VLOOKUP($T$1226,'TAR FIN'!$A$1:$O$95,15,0)),0,VLOOKUP($T$1226,'TAR FIN'!$A$1:$O$95,15,0))</f>
        <v>0</v>
      </c>
      <c r="X1226" s="6">
        <f>IF(ISERROR(VLOOKUP($U$1226,'TAR FIN'!$A$1:$O$95,15,0)),0,VLOOKUP($U$1226,'TAR FIN'!$A$1:$O$95,15,0))</f>
        <v>0</v>
      </c>
      <c r="Y1226" s="6">
        <f ca="1">('TUSD BE'!$AM$15+'TUSD BF'!$AM$15+'TUSD CVA'!$AM$15)*1</f>
        <v>31.93064187172984</v>
      </c>
      <c r="Z1226" s="6"/>
      <c r="AA1226" s="6"/>
      <c r="AB1226" s="6">
        <f>$K$1226*$V$1226</f>
        <v>-28312.87</v>
      </c>
      <c r="AC1226" s="6">
        <f>$M$1226*$W$1226</f>
        <v>0</v>
      </c>
      <c r="AD1226" s="6">
        <f>$O$1226*$X$1226</f>
        <v>0</v>
      </c>
      <c r="AE1226" s="6">
        <f ca="1">$K$1226*$Y$1226</f>
        <v>-31643.266094884271</v>
      </c>
      <c r="AF1226" s="6">
        <f>$M$1226*$Z$1226</f>
        <v>0</v>
      </c>
      <c r="AG1226" s="6">
        <f>$O$1226*$AA$1226</f>
        <v>0</v>
      </c>
    </row>
    <row r="1227" spans="1:33" ht="11.25" customHeight="1" x14ac:dyDescent="0.25">
      <c r="A1227" s="4" t="s">
        <v>30</v>
      </c>
      <c r="B1227" s="4" t="s">
        <v>35</v>
      </c>
      <c r="C1227" s="4" t="s">
        <v>36</v>
      </c>
      <c r="D1227" s="4" t="s">
        <v>48</v>
      </c>
      <c r="E1227" s="4" t="s">
        <v>25</v>
      </c>
      <c r="F1227" s="4" t="s">
        <v>25</v>
      </c>
      <c r="G1227" s="4" t="s">
        <v>25</v>
      </c>
      <c r="H1227" s="4" t="s">
        <v>25</v>
      </c>
      <c r="I1227" s="5">
        <v>44317</v>
      </c>
      <c r="J1227" s="6">
        <v>690</v>
      </c>
      <c r="K1227" s="6">
        <v>690</v>
      </c>
      <c r="L1227" s="6">
        <v>0</v>
      </c>
      <c r="M1227" s="6">
        <v>0</v>
      </c>
      <c r="N1227" s="6">
        <v>0</v>
      </c>
      <c r="O1227" s="6">
        <v>0</v>
      </c>
      <c r="P1227" s="6">
        <v>2</v>
      </c>
      <c r="Q1227" s="4" t="s">
        <v>26</v>
      </c>
      <c r="R1227" s="4">
        <v>0</v>
      </c>
      <c r="S1227" s="6">
        <v>23</v>
      </c>
      <c r="T1227" s="6">
        <v>0</v>
      </c>
      <c r="U1227" s="6">
        <v>0</v>
      </c>
      <c r="V1227" s="6">
        <f>IF(ISERROR(VLOOKUP($S$1227,'TAR FIN'!$A$1:$O$95,15,0)),0,VLOOKUP($S$1227,'TAR FIN'!$A$1:$O$95,15,0))</f>
        <v>28.57</v>
      </c>
      <c r="W1227" s="6">
        <f>IF(ISERROR(VLOOKUP($T$1227,'TAR FIN'!$A$1:$O$95,15,0)),0,VLOOKUP($T$1227,'TAR FIN'!$A$1:$O$95,15,0))</f>
        <v>0</v>
      </c>
      <c r="X1227" s="6">
        <f>IF(ISERROR(VLOOKUP($U$1227,'TAR FIN'!$A$1:$O$95,15,0)),0,VLOOKUP($U$1227,'TAR FIN'!$A$1:$O$95,15,0))</f>
        <v>0</v>
      </c>
      <c r="Y1227" s="6">
        <f ca="1">('TUSD BE'!$AM$15+'TUSD BF'!$AM$15+'TUSD CVA'!$AM$15)*1</f>
        <v>31.93064187172984</v>
      </c>
      <c r="Z1227" s="6"/>
      <c r="AA1227" s="6"/>
      <c r="AB1227" s="6">
        <f>$K$1227*$V$1227</f>
        <v>19713.3</v>
      </c>
      <c r="AC1227" s="6">
        <f>$M$1227*$W$1227</f>
        <v>0</v>
      </c>
      <c r="AD1227" s="6">
        <f>$O$1227*$X$1227</f>
        <v>0</v>
      </c>
      <c r="AE1227" s="6">
        <f ca="1">$K$1227*$Y$1227</f>
        <v>22032.14289149359</v>
      </c>
      <c r="AF1227" s="6">
        <f>$M$1227*$Z$1227</f>
        <v>0</v>
      </c>
      <c r="AG1227" s="6">
        <f>$O$1227*$AA$1227</f>
        <v>0</v>
      </c>
    </row>
    <row r="1228" spans="1:33" ht="11.25" customHeight="1" x14ac:dyDescent="0.25">
      <c r="A1228" s="4" t="s">
        <v>21</v>
      </c>
      <c r="B1228" s="4" t="s">
        <v>35</v>
      </c>
      <c r="C1228" s="4" t="s">
        <v>36</v>
      </c>
      <c r="D1228" s="4" t="s">
        <v>48</v>
      </c>
      <c r="E1228" s="4" t="s">
        <v>25</v>
      </c>
      <c r="F1228" s="4" t="s">
        <v>25</v>
      </c>
      <c r="G1228" s="4" t="s">
        <v>25</v>
      </c>
      <c r="H1228" s="4" t="s">
        <v>25</v>
      </c>
      <c r="I1228" s="5">
        <v>44348</v>
      </c>
      <c r="J1228" s="6">
        <v>104845</v>
      </c>
      <c r="K1228" s="6">
        <v>104845</v>
      </c>
      <c r="L1228" s="6">
        <v>0</v>
      </c>
      <c r="M1228" s="6">
        <v>0</v>
      </c>
      <c r="N1228" s="6">
        <v>0</v>
      </c>
      <c r="O1228" s="6">
        <v>0</v>
      </c>
      <c r="P1228" s="6">
        <v>677</v>
      </c>
      <c r="Q1228" s="4" t="s">
        <v>26</v>
      </c>
      <c r="R1228" s="4">
        <v>0</v>
      </c>
      <c r="S1228" s="6">
        <v>23</v>
      </c>
      <c r="T1228" s="6">
        <v>0</v>
      </c>
      <c r="U1228" s="6">
        <v>0</v>
      </c>
      <c r="V1228" s="6">
        <f>IF(ISERROR(VLOOKUP($S$1228,'TAR FIN'!$A$1:$O$95,15,0)),0,VLOOKUP($S$1228,'TAR FIN'!$A$1:$O$95,15,0))</f>
        <v>28.57</v>
      </c>
      <c r="W1228" s="6">
        <f>IF(ISERROR(VLOOKUP($T$1228,'TAR FIN'!$A$1:$O$95,15,0)),0,VLOOKUP($T$1228,'TAR FIN'!$A$1:$O$95,15,0))</f>
        <v>0</v>
      </c>
      <c r="X1228" s="6">
        <f>IF(ISERROR(VLOOKUP($U$1228,'TAR FIN'!$A$1:$O$95,15,0)),0,VLOOKUP($U$1228,'TAR FIN'!$A$1:$O$95,15,0))</f>
        <v>0</v>
      </c>
      <c r="Y1228" s="6">
        <f ca="1">('TUSD BE'!$AM$15+'TUSD BF'!$AM$15+'TUSD CVA'!$AM$15)*1</f>
        <v>31.93064187172984</v>
      </c>
      <c r="Z1228" s="6"/>
      <c r="AA1228" s="6"/>
      <c r="AB1228" s="6">
        <f>$K$1228*$V$1228</f>
        <v>2995421.65</v>
      </c>
      <c r="AC1228" s="6">
        <f>$M$1228*$W$1228</f>
        <v>0</v>
      </c>
      <c r="AD1228" s="6">
        <f>$O$1228*$X$1228</f>
        <v>0</v>
      </c>
      <c r="AE1228" s="6">
        <f ca="1">$K$1228*$Y$1228</f>
        <v>3347768.147041515</v>
      </c>
      <c r="AF1228" s="6">
        <f>$M$1228*$Z$1228</f>
        <v>0</v>
      </c>
      <c r="AG1228" s="6">
        <f>$O$1228*$AA$1228</f>
        <v>0</v>
      </c>
    </row>
    <row r="1229" spans="1:33" ht="11.25" customHeight="1" x14ac:dyDescent="0.25">
      <c r="A1229" s="4" t="s">
        <v>27</v>
      </c>
      <c r="B1229" s="4" t="s">
        <v>35</v>
      </c>
      <c r="C1229" s="4" t="s">
        <v>36</v>
      </c>
      <c r="D1229" s="4" t="s">
        <v>48</v>
      </c>
      <c r="E1229" s="4" t="s">
        <v>25</v>
      </c>
      <c r="F1229" s="4" t="s">
        <v>25</v>
      </c>
      <c r="G1229" s="4" t="s">
        <v>25</v>
      </c>
      <c r="H1229" s="4" t="s">
        <v>25</v>
      </c>
      <c r="I1229" s="5">
        <v>44348</v>
      </c>
      <c r="J1229" s="6">
        <v>-556</v>
      </c>
      <c r="K1229" s="6">
        <v>-556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4" t="s">
        <v>26</v>
      </c>
      <c r="R1229" s="4">
        <v>0</v>
      </c>
      <c r="S1229" s="6">
        <v>23</v>
      </c>
      <c r="T1229" s="6">
        <v>0</v>
      </c>
      <c r="U1229" s="6">
        <v>0</v>
      </c>
      <c r="V1229" s="6">
        <f>IF(ISERROR(VLOOKUP($S$1229,'TAR FIN'!$A$1:$O$95,15,0)),0,VLOOKUP($S$1229,'TAR FIN'!$A$1:$O$95,15,0))</f>
        <v>28.57</v>
      </c>
      <c r="W1229" s="6">
        <f>IF(ISERROR(VLOOKUP($T$1229,'TAR FIN'!$A$1:$O$95,15,0)),0,VLOOKUP($T$1229,'TAR FIN'!$A$1:$O$95,15,0))</f>
        <v>0</v>
      </c>
      <c r="X1229" s="6">
        <f>IF(ISERROR(VLOOKUP($U$1229,'TAR FIN'!$A$1:$O$95,15,0)),0,VLOOKUP($U$1229,'TAR FIN'!$A$1:$O$95,15,0))</f>
        <v>0</v>
      </c>
      <c r="Y1229" s="6">
        <f ca="1">('TUSD BE'!$AM$15+'TUSD BF'!$AM$15+'TUSD CVA'!$AM$15)*1</f>
        <v>31.93064187172984</v>
      </c>
      <c r="Z1229" s="6"/>
      <c r="AA1229" s="6"/>
      <c r="AB1229" s="6">
        <f>$K$1229*$V$1229</f>
        <v>-15884.92</v>
      </c>
      <c r="AC1229" s="6">
        <f>$M$1229*$W$1229</f>
        <v>0</v>
      </c>
      <c r="AD1229" s="6">
        <f>$O$1229*$X$1229</f>
        <v>0</v>
      </c>
      <c r="AE1229" s="6">
        <f ca="1">$K$1229*$Y$1229</f>
        <v>-17753.436880681791</v>
      </c>
      <c r="AF1229" s="6">
        <f>$M$1229*$Z$1229</f>
        <v>0</v>
      </c>
      <c r="AG1229" s="6">
        <f>$O$1229*$AA$1229</f>
        <v>0</v>
      </c>
    </row>
    <row r="1230" spans="1:33" ht="11.25" customHeight="1" x14ac:dyDescent="0.25">
      <c r="A1230" s="4" t="s">
        <v>28</v>
      </c>
      <c r="B1230" s="4" t="s">
        <v>35</v>
      </c>
      <c r="C1230" s="4" t="s">
        <v>36</v>
      </c>
      <c r="D1230" s="4" t="s">
        <v>48</v>
      </c>
      <c r="E1230" s="4" t="s">
        <v>25</v>
      </c>
      <c r="F1230" s="4" t="s">
        <v>25</v>
      </c>
      <c r="G1230" s="4" t="s">
        <v>25</v>
      </c>
      <c r="H1230" s="4" t="s">
        <v>25</v>
      </c>
      <c r="I1230" s="5">
        <v>44348</v>
      </c>
      <c r="J1230" s="6">
        <v>28880</v>
      </c>
      <c r="K1230" s="6">
        <v>28880</v>
      </c>
      <c r="L1230" s="6">
        <v>0</v>
      </c>
      <c r="M1230" s="6">
        <v>0</v>
      </c>
      <c r="N1230" s="6">
        <v>0</v>
      </c>
      <c r="O1230" s="6">
        <v>0</v>
      </c>
      <c r="P1230" s="6">
        <v>403</v>
      </c>
      <c r="Q1230" s="4" t="s">
        <v>26</v>
      </c>
      <c r="R1230" s="4">
        <v>0</v>
      </c>
      <c r="S1230" s="6">
        <v>23</v>
      </c>
      <c r="T1230" s="6">
        <v>0</v>
      </c>
      <c r="U1230" s="6">
        <v>0</v>
      </c>
      <c r="V1230" s="6">
        <f>IF(ISERROR(VLOOKUP($S$1230,'TAR FIN'!$A$1:$O$95,15,0)),0,VLOOKUP($S$1230,'TAR FIN'!$A$1:$O$95,15,0))</f>
        <v>28.57</v>
      </c>
      <c r="W1230" s="6">
        <f>IF(ISERROR(VLOOKUP($T$1230,'TAR FIN'!$A$1:$O$95,15,0)),0,VLOOKUP($T$1230,'TAR FIN'!$A$1:$O$95,15,0))</f>
        <v>0</v>
      </c>
      <c r="X1230" s="6">
        <f>IF(ISERROR(VLOOKUP($U$1230,'TAR FIN'!$A$1:$O$95,15,0)),0,VLOOKUP($U$1230,'TAR FIN'!$A$1:$O$95,15,0))</f>
        <v>0</v>
      </c>
      <c r="Y1230" s="6">
        <f ca="1">('TUSD BE'!$AM$15+'TUSD BF'!$AM$15+'TUSD CVA'!$AM$15)*1</f>
        <v>31.93064187172984</v>
      </c>
      <c r="Z1230" s="6"/>
      <c r="AA1230" s="6"/>
      <c r="AB1230" s="6">
        <f>$K$1230*$V$1230</f>
        <v>825101.6</v>
      </c>
      <c r="AC1230" s="6">
        <f>$M$1230*$W$1230</f>
        <v>0</v>
      </c>
      <c r="AD1230" s="6">
        <f>$O$1230*$X$1230</f>
        <v>0</v>
      </c>
      <c r="AE1230" s="6">
        <f ca="1">$K$1230*$Y$1230</f>
        <v>922156.93725555774</v>
      </c>
      <c r="AF1230" s="6">
        <f>$M$1230*$Z$1230</f>
        <v>0</v>
      </c>
      <c r="AG1230" s="6">
        <f>$O$1230*$AA$1230</f>
        <v>0</v>
      </c>
    </row>
    <row r="1231" spans="1:33" ht="11.25" customHeight="1" x14ac:dyDescent="0.25">
      <c r="A1231" s="4" t="s">
        <v>29</v>
      </c>
      <c r="B1231" s="4" t="s">
        <v>35</v>
      </c>
      <c r="C1231" s="4" t="s">
        <v>36</v>
      </c>
      <c r="D1231" s="4" t="s">
        <v>48</v>
      </c>
      <c r="E1231" s="4" t="s">
        <v>25</v>
      </c>
      <c r="F1231" s="4" t="s">
        <v>25</v>
      </c>
      <c r="G1231" s="4" t="s">
        <v>25</v>
      </c>
      <c r="H1231" s="4" t="s">
        <v>25</v>
      </c>
      <c r="I1231" s="5">
        <v>44348</v>
      </c>
      <c r="J1231" s="6">
        <v>42</v>
      </c>
      <c r="K1231" s="6">
        <v>42</v>
      </c>
      <c r="L1231" s="6">
        <v>0</v>
      </c>
      <c r="M1231" s="6">
        <v>0</v>
      </c>
      <c r="N1231" s="6">
        <v>0</v>
      </c>
      <c r="O1231" s="6">
        <v>0</v>
      </c>
      <c r="P1231" s="6">
        <v>0</v>
      </c>
      <c r="Q1231" s="4" t="s">
        <v>26</v>
      </c>
      <c r="R1231" s="4">
        <v>0</v>
      </c>
      <c r="S1231" s="6">
        <v>23</v>
      </c>
      <c r="T1231" s="6">
        <v>0</v>
      </c>
      <c r="U1231" s="6">
        <v>0</v>
      </c>
      <c r="V1231" s="6">
        <f>IF(ISERROR(VLOOKUP($S$1231,'TAR FIN'!$A$1:$O$95,15,0)),0,VLOOKUP($S$1231,'TAR FIN'!$A$1:$O$95,15,0))</f>
        <v>28.57</v>
      </c>
      <c r="W1231" s="6">
        <f>IF(ISERROR(VLOOKUP($T$1231,'TAR FIN'!$A$1:$O$95,15,0)),0,VLOOKUP($T$1231,'TAR FIN'!$A$1:$O$95,15,0))</f>
        <v>0</v>
      </c>
      <c r="X1231" s="6">
        <f>IF(ISERROR(VLOOKUP($U$1231,'TAR FIN'!$A$1:$O$95,15,0)),0,VLOOKUP($U$1231,'TAR FIN'!$A$1:$O$95,15,0))</f>
        <v>0</v>
      </c>
      <c r="Y1231" s="6">
        <f ca="1">('TUSD BE'!$AM$15+'TUSD BF'!$AM$15+'TUSD CVA'!$AM$15)*1</f>
        <v>31.93064187172984</v>
      </c>
      <c r="Z1231" s="6"/>
      <c r="AA1231" s="6"/>
      <c r="AB1231" s="6">
        <f>$K$1231*$V$1231</f>
        <v>1199.94</v>
      </c>
      <c r="AC1231" s="6">
        <f>$M$1231*$W$1231</f>
        <v>0</v>
      </c>
      <c r="AD1231" s="6">
        <f>$O$1231*$X$1231</f>
        <v>0</v>
      </c>
      <c r="AE1231" s="6">
        <f ca="1">$K$1231*$Y$1231</f>
        <v>1341.0869586126532</v>
      </c>
      <c r="AF1231" s="6">
        <f>$M$1231*$Z$1231</f>
        <v>0</v>
      </c>
      <c r="AG1231" s="6">
        <f>$O$1231*$AA$1231</f>
        <v>0</v>
      </c>
    </row>
    <row r="1232" spans="1:33" ht="11.25" customHeight="1" x14ac:dyDescent="0.25">
      <c r="A1232" s="4" t="s">
        <v>30</v>
      </c>
      <c r="B1232" s="4" t="s">
        <v>35</v>
      </c>
      <c r="C1232" s="4" t="s">
        <v>36</v>
      </c>
      <c r="D1232" s="4" t="s">
        <v>48</v>
      </c>
      <c r="E1232" s="4" t="s">
        <v>25</v>
      </c>
      <c r="F1232" s="4" t="s">
        <v>25</v>
      </c>
      <c r="G1232" s="4" t="s">
        <v>25</v>
      </c>
      <c r="H1232" s="4" t="s">
        <v>25</v>
      </c>
      <c r="I1232" s="5">
        <v>44348</v>
      </c>
      <c r="J1232" s="6">
        <v>690</v>
      </c>
      <c r="K1232" s="6">
        <v>690</v>
      </c>
      <c r="L1232" s="6">
        <v>0</v>
      </c>
      <c r="M1232" s="6">
        <v>0</v>
      </c>
      <c r="N1232" s="6">
        <v>0</v>
      </c>
      <c r="O1232" s="6">
        <v>0</v>
      </c>
      <c r="P1232" s="6">
        <v>2</v>
      </c>
      <c r="Q1232" s="4" t="s">
        <v>26</v>
      </c>
      <c r="R1232" s="4">
        <v>0</v>
      </c>
      <c r="S1232" s="6">
        <v>23</v>
      </c>
      <c r="T1232" s="6">
        <v>0</v>
      </c>
      <c r="U1232" s="6">
        <v>0</v>
      </c>
      <c r="V1232" s="6">
        <f>IF(ISERROR(VLOOKUP($S$1232,'TAR FIN'!$A$1:$O$95,15,0)),0,VLOOKUP($S$1232,'TAR FIN'!$A$1:$O$95,15,0))</f>
        <v>28.57</v>
      </c>
      <c r="W1232" s="6">
        <f>IF(ISERROR(VLOOKUP($T$1232,'TAR FIN'!$A$1:$O$95,15,0)),0,VLOOKUP($T$1232,'TAR FIN'!$A$1:$O$95,15,0))</f>
        <v>0</v>
      </c>
      <c r="X1232" s="6">
        <f>IF(ISERROR(VLOOKUP($U$1232,'TAR FIN'!$A$1:$O$95,15,0)),0,VLOOKUP($U$1232,'TAR FIN'!$A$1:$O$95,15,0))</f>
        <v>0</v>
      </c>
      <c r="Y1232" s="6">
        <f ca="1">('TUSD BE'!$AM$15+'TUSD BF'!$AM$15+'TUSD CVA'!$AM$15)*1</f>
        <v>31.93064187172984</v>
      </c>
      <c r="Z1232" s="6"/>
      <c r="AA1232" s="6"/>
      <c r="AB1232" s="6">
        <f>$K$1232*$V$1232</f>
        <v>19713.3</v>
      </c>
      <c r="AC1232" s="6">
        <f>$M$1232*$W$1232</f>
        <v>0</v>
      </c>
      <c r="AD1232" s="6">
        <f>$O$1232*$X$1232</f>
        <v>0</v>
      </c>
      <c r="AE1232" s="6">
        <f ca="1">$K$1232*$Y$1232</f>
        <v>22032.14289149359</v>
      </c>
      <c r="AF1232" s="6">
        <f>$M$1232*$Z$1232</f>
        <v>0</v>
      </c>
      <c r="AG1232" s="6">
        <f>$O$1232*$AA$1232</f>
        <v>0</v>
      </c>
    </row>
    <row r="1233" spans="1:33" ht="11.25" customHeight="1" x14ac:dyDescent="0.25">
      <c r="A1233" s="4" t="s">
        <v>21</v>
      </c>
      <c r="B1233" s="4" t="s">
        <v>35</v>
      </c>
      <c r="C1233" s="4" t="s">
        <v>36</v>
      </c>
      <c r="D1233" s="4" t="s">
        <v>48</v>
      </c>
      <c r="E1233" s="4" t="s">
        <v>25</v>
      </c>
      <c r="F1233" s="4" t="s">
        <v>25</v>
      </c>
      <c r="G1233" s="4" t="s">
        <v>25</v>
      </c>
      <c r="H1233" s="4" t="s">
        <v>25</v>
      </c>
      <c r="I1233" s="5">
        <v>44378</v>
      </c>
      <c r="J1233" s="6">
        <v>105502</v>
      </c>
      <c r="K1233" s="6">
        <v>105502</v>
      </c>
      <c r="L1233" s="6">
        <v>0</v>
      </c>
      <c r="M1233" s="6">
        <v>0</v>
      </c>
      <c r="N1233" s="6">
        <v>0</v>
      </c>
      <c r="O1233" s="6">
        <v>0</v>
      </c>
      <c r="P1233" s="6">
        <v>677</v>
      </c>
      <c r="Q1233" s="4" t="s">
        <v>26</v>
      </c>
      <c r="R1233" s="4">
        <v>0</v>
      </c>
      <c r="S1233" s="6">
        <v>23</v>
      </c>
      <c r="T1233" s="6">
        <v>0</v>
      </c>
      <c r="U1233" s="6">
        <v>0</v>
      </c>
      <c r="V1233" s="6">
        <f>IF(ISERROR(VLOOKUP($S$1233,'TAR FIN'!$A$1:$O$95,15,0)),0,VLOOKUP($S$1233,'TAR FIN'!$A$1:$O$95,15,0))</f>
        <v>28.57</v>
      </c>
      <c r="W1233" s="6">
        <f>IF(ISERROR(VLOOKUP($T$1233,'TAR FIN'!$A$1:$O$95,15,0)),0,VLOOKUP($T$1233,'TAR FIN'!$A$1:$O$95,15,0))</f>
        <v>0</v>
      </c>
      <c r="X1233" s="6">
        <f>IF(ISERROR(VLOOKUP($U$1233,'TAR FIN'!$A$1:$O$95,15,0)),0,VLOOKUP($U$1233,'TAR FIN'!$A$1:$O$95,15,0))</f>
        <v>0</v>
      </c>
      <c r="Y1233" s="6">
        <f ca="1">('TUSD BE'!$AM$15+'TUSD BF'!$AM$15+'TUSD CVA'!$AM$15)*1</f>
        <v>31.93064187172984</v>
      </c>
      <c r="Z1233" s="6"/>
      <c r="AA1233" s="6"/>
      <c r="AB1233" s="6">
        <f>$K$1233*$V$1233</f>
        <v>3014192.14</v>
      </c>
      <c r="AC1233" s="6">
        <f>$M$1233*$W$1233</f>
        <v>0</v>
      </c>
      <c r="AD1233" s="6">
        <f>$O$1233*$X$1233</f>
        <v>0</v>
      </c>
      <c r="AE1233" s="6">
        <f ca="1">$K$1233*$Y$1233</f>
        <v>3368746.5787512418</v>
      </c>
      <c r="AF1233" s="6">
        <f>$M$1233*$Z$1233</f>
        <v>0</v>
      </c>
      <c r="AG1233" s="6">
        <f>$O$1233*$AA$1233</f>
        <v>0</v>
      </c>
    </row>
    <row r="1234" spans="1:33" ht="11.25" customHeight="1" x14ac:dyDescent="0.25">
      <c r="A1234" s="4" t="s">
        <v>27</v>
      </c>
      <c r="B1234" s="4" t="s">
        <v>35</v>
      </c>
      <c r="C1234" s="4" t="s">
        <v>36</v>
      </c>
      <c r="D1234" s="4" t="s">
        <v>48</v>
      </c>
      <c r="E1234" s="4" t="s">
        <v>25</v>
      </c>
      <c r="F1234" s="4" t="s">
        <v>25</v>
      </c>
      <c r="G1234" s="4" t="s">
        <v>25</v>
      </c>
      <c r="H1234" s="4" t="s">
        <v>25</v>
      </c>
      <c r="I1234" s="5">
        <v>44378</v>
      </c>
      <c r="J1234" s="6">
        <v>-121</v>
      </c>
      <c r="K1234" s="6">
        <v>-121</v>
      </c>
      <c r="L1234" s="6">
        <v>0</v>
      </c>
      <c r="M1234" s="6">
        <v>0</v>
      </c>
      <c r="N1234" s="6">
        <v>0</v>
      </c>
      <c r="O1234" s="6">
        <v>0</v>
      </c>
      <c r="P1234" s="6">
        <v>0</v>
      </c>
      <c r="Q1234" s="4" t="s">
        <v>26</v>
      </c>
      <c r="R1234" s="4">
        <v>0</v>
      </c>
      <c r="S1234" s="6">
        <v>23</v>
      </c>
      <c r="T1234" s="6">
        <v>0</v>
      </c>
      <c r="U1234" s="6">
        <v>0</v>
      </c>
      <c r="V1234" s="6">
        <f>IF(ISERROR(VLOOKUP($S$1234,'TAR FIN'!$A$1:$O$95,15,0)),0,VLOOKUP($S$1234,'TAR FIN'!$A$1:$O$95,15,0))</f>
        <v>28.57</v>
      </c>
      <c r="W1234" s="6">
        <f>IF(ISERROR(VLOOKUP($T$1234,'TAR FIN'!$A$1:$O$95,15,0)),0,VLOOKUP($T$1234,'TAR FIN'!$A$1:$O$95,15,0))</f>
        <v>0</v>
      </c>
      <c r="X1234" s="6">
        <f>IF(ISERROR(VLOOKUP($U$1234,'TAR FIN'!$A$1:$O$95,15,0)),0,VLOOKUP($U$1234,'TAR FIN'!$A$1:$O$95,15,0))</f>
        <v>0</v>
      </c>
      <c r="Y1234" s="6">
        <f ca="1">('TUSD BE'!$AM$15+'TUSD BF'!$AM$15+'TUSD CVA'!$AM$15)*1</f>
        <v>31.93064187172984</v>
      </c>
      <c r="Z1234" s="6"/>
      <c r="AA1234" s="6"/>
      <c r="AB1234" s="6">
        <f>$K$1234*$V$1234</f>
        <v>-3456.9700000000003</v>
      </c>
      <c r="AC1234" s="6">
        <f>$M$1234*$W$1234</f>
        <v>0</v>
      </c>
      <c r="AD1234" s="6">
        <f>$O$1234*$X$1234</f>
        <v>0</v>
      </c>
      <c r="AE1234" s="6">
        <f ca="1">$K$1234*$Y$1234</f>
        <v>-3863.6076664793104</v>
      </c>
      <c r="AF1234" s="6">
        <f>$M$1234*$Z$1234</f>
        <v>0</v>
      </c>
      <c r="AG1234" s="6">
        <f>$O$1234*$AA$1234</f>
        <v>0</v>
      </c>
    </row>
    <row r="1235" spans="1:33" ht="11.25" customHeight="1" x14ac:dyDescent="0.25">
      <c r="A1235" s="4" t="s">
        <v>28</v>
      </c>
      <c r="B1235" s="4" t="s">
        <v>35</v>
      </c>
      <c r="C1235" s="4" t="s">
        <v>36</v>
      </c>
      <c r="D1235" s="4" t="s">
        <v>48</v>
      </c>
      <c r="E1235" s="4" t="s">
        <v>25</v>
      </c>
      <c r="F1235" s="4" t="s">
        <v>25</v>
      </c>
      <c r="G1235" s="4" t="s">
        <v>25</v>
      </c>
      <c r="H1235" s="4" t="s">
        <v>25</v>
      </c>
      <c r="I1235" s="5">
        <v>44378</v>
      </c>
      <c r="J1235" s="6">
        <v>29225</v>
      </c>
      <c r="K1235" s="6">
        <v>29225</v>
      </c>
      <c r="L1235" s="6">
        <v>0</v>
      </c>
      <c r="M1235" s="6">
        <v>0</v>
      </c>
      <c r="N1235" s="6">
        <v>0</v>
      </c>
      <c r="O1235" s="6">
        <v>0</v>
      </c>
      <c r="P1235" s="6">
        <v>403</v>
      </c>
      <c r="Q1235" s="4" t="s">
        <v>26</v>
      </c>
      <c r="R1235" s="4">
        <v>0</v>
      </c>
      <c r="S1235" s="6">
        <v>23</v>
      </c>
      <c r="T1235" s="6">
        <v>0</v>
      </c>
      <c r="U1235" s="6">
        <v>0</v>
      </c>
      <c r="V1235" s="6">
        <f>IF(ISERROR(VLOOKUP($S$1235,'TAR FIN'!$A$1:$O$95,15,0)),0,VLOOKUP($S$1235,'TAR FIN'!$A$1:$O$95,15,0))</f>
        <v>28.57</v>
      </c>
      <c r="W1235" s="6">
        <f>IF(ISERROR(VLOOKUP($T$1235,'TAR FIN'!$A$1:$O$95,15,0)),0,VLOOKUP($T$1235,'TAR FIN'!$A$1:$O$95,15,0))</f>
        <v>0</v>
      </c>
      <c r="X1235" s="6">
        <f>IF(ISERROR(VLOOKUP($U$1235,'TAR FIN'!$A$1:$O$95,15,0)),0,VLOOKUP($U$1235,'TAR FIN'!$A$1:$O$95,15,0))</f>
        <v>0</v>
      </c>
      <c r="Y1235" s="6">
        <f ca="1">('TUSD BE'!$AM$15+'TUSD BF'!$AM$15+'TUSD CVA'!$AM$15)*1</f>
        <v>31.93064187172984</v>
      </c>
      <c r="Z1235" s="6"/>
      <c r="AA1235" s="6"/>
      <c r="AB1235" s="6">
        <f>$K$1235*$V$1235</f>
        <v>834958.25</v>
      </c>
      <c r="AC1235" s="6">
        <f>$M$1235*$W$1235</f>
        <v>0</v>
      </c>
      <c r="AD1235" s="6">
        <f>$O$1235*$X$1235</f>
        <v>0</v>
      </c>
      <c r="AE1235" s="6">
        <f ca="1">$K$1235*$Y$1235</f>
        <v>933173.00870130456</v>
      </c>
      <c r="AF1235" s="6">
        <f>$M$1235*$Z$1235</f>
        <v>0</v>
      </c>
      <c r="AG1235" s="6">
        <f>$O$1235*$AA$1235</f>
        <v>0</v>
      </c>
    </row>
    <row r="1236" spans="1:33" ht="11.25" customHeight="1" x14ac:dyDescent="0.25">
      <c r="A1236" s="4" t="s">
        <v>30</v>
      </c>
      <c r="B1236" s="4" t="s">
        <v>35</v>
      </c>
      <c r="C1236" s="4" t="s">
        <v>36</v>
      </c>
      <c r="D1236" s="4" t="s">
        <v>48</v>
      </c>
      <c r="E1236" s="4" t="s">
        <v>25</v>
      </c>
      <c r="F1236" s="4" t="s">
        <v>25</v>
      </c>
      <c r="G1236" s="4" t="s">
        <v>25</v>
      </c>
      <c r="H1236" s="4" t="s">
        <v>25</v>
      </c>
      <c r="I1236" s="5">
        <v>44378</v>
      </c>
      <c r="J1236" s="6">
        <v>690</v>
      </c>
      <c r="K1236" s="6">
        <v>690</v>
      </c>
      <c r="L1236" s="6">
        <v>0</v>
      </c>
      <c r="M1236" s="6">
        <v>0</v>
      </c>
      <c r="N1236" s="6">
        <v>0</v>
      </c>
      <c r="O1236" s="6">
        <v>0</v>
      </c>
      <c r="P1236" s="6">
        <v>2</v>
      </c>
      <c r="Q1236" s="4" t="s">
        <v>26</v>
      </c>
      <c r="R1236" s="4">
        <v>0</v>
      </c>
      <c r="S1236" s="6">
        <v>23</v>
      </c>
      <c r="T1236" s="6">
        <v>0</v>
      </c>
      <c r="U1236" s="6">
        <v>0</v>
      </c>
      <c r="V1236" s="6">
        <f>IF(ISERROR(VLOOKUP($S$1236,'TAR FIN'!$A$1:$O$95,15,0)),0,VLOOKUP($S$1236,'TAR FIN'!$A$1:$O$95,15,0))</f>
        <v>28.57</v>
      </c>
      <c r="W1236" s="6">
        <f>IF(ISERROR(VLOOKUP($T$1236,'TAR FIN'!$A$1:$O$95,15,0)),0,VLOOKUP($T$1236,'TAR FIN'!$A$1:$O$95,15,0))</f>
        <v>0</v>
      </c>
      <c r="X1236" s="6">
        <f>IF(ISERROR(VLOOKUP($U$1236,'TAR FIN'!$A$1:$O$95,15,0)),0,VLOOKUP($U$1236,'TAR FIN'!$A$1:$O$95,15,0))</f>
        <v>0</v>
      </c>
      <c r="Y1236" s="6">
        <f ca="1">('TUSD BE'!$AM$15+'TUSD BF'!$AM$15+'TUSD CVA'!$AM$15)*1</f>
        <v>31.93064187172984</v>
      </c>
      <c r="Z1236" s="6"/>
      <c r="AA1236" s="6"/>
      <c r="AB1236" s="6">
        <f>$K$1236*$V$1236</f>
        <v>19713.3</v>
      </c>
      <c r="AC1236" s="6">
        <f>$M$1236*$W$1236</f>
        <v>0</v>
      </c>
      <c r="AD1236" s="6">
        <f>$O$1236*$X$1236</f>
        <v>0</v>
      </c>
      <c r="AE1236" s="6">
        <f ca="1">$K$1236*$Y$1236</f>
        <v>22032.14289149359</v>
      </c>
      <c r="AF1236" s="6">
        <f>$M$1236*$Z$1236</f>
        <v>0</v>
      </c>
      <c r="AG1236" s="6">
        <f>$O$1236*$AA$1236</f>
        <v>0</v>
      </c>
    </row>
    <row r="1237" spans="1:33" ht="11.25" customHeight="1" x14ac:dyDescent="0.25">
      <c r="A1237" s="4" t="s">
        <v>21</v>
      </c>
      <c r="B1237" s="4" t="s">
        <v>35</v>
      </c>
      <c r="C1237" s="4" t="s">
        <v>36</v>
      </c>
      <c r="D1237" s="4" t="s">
        <v>48</v>
      </c>
      <c r="E1237" s="4" t="s">
        <v>25</v>
      </c>
      <c r="F1237" s="4" t="s">
        <v>25</v>
      </c>
      <c r="G1237" s="4" t="s">
        <v>25</v>
      </c>
      <c r="H1237" s="4" t="s">
        <v>25</v>
      </c>
      <c r="I1237" s="5">
        <v>44409</v>
      </c>
      <c r="J1237" s="6">
        <v>100019</v>
      </c>
      <c r="K1237" s="6">
        <v>100019</v>
      </c>
      <c r="L1237" s="6">
        <v>0</v>
      </c>
      <c r="M1237" s="6">
        <v>0</v>
      </c>
      <c r="N1237" s="6">
        <v>0</v>
      </c>
      <c r="O1237" s="6">
        <v>0</v>
      </c>
      <c r="P1237" s="6">
        <v>629</v>
      </c>
      <c r="Q1237" s="4" t="s">
        <v>26</v>
      </c>
      <c r="R1237" s="4">
        <v>0</v>
      </c>
      <c r="S1237" s="6">
        <v>23</v>
      </c>
      <c r="T1237" s="6">
        <v>0</v>
      </c>
      <c r="U1237" s="6">
        <v>0</v>
      </c>
      <c r="V1237" s="6">
        <f>IF(ISERROR(VLOOKUP($S$1237,'TAR FIN'!$A$1:$O$95,15,0)),0,VLOOKUP($S$1237,'TAR FIN'!$A$1:$O$95,15,0))</f>
        <v>28.57</v>
      </c>
      <c r="W1237" s="6">
        <f>IF(ISERROR(VLOOKUP($T$1237,'TAR FIN'!$A$1:$O$95,15,0)),0,VLOOKUP($T$1237,'TAR FIN'!$A$1:$O$95,15,0))</f>
        <v>0</v>
      </c>
      <c r="X1237" s="6">
        <f>IF(ISERROR(VLOOKUP($U$1237,'TAR FIN'!$A$1:$O$95,15,0)),0,VLOOKUP($U$1237,'TAR FIN'!$A$1:$O$95,15,0))</f>
        <v>0</v>
      </c>
      <c r="Y1237" s="6">
        <f ca="1">('TUSD BE'!$AM$15+'TUSD BF'!$AM$15+'TUSD CVA'!$AM$15)*1</f>
        <v>31.93064187172984</v>
      </c>
      <c r="Z1237" s="6"/>
      <c r="AA1237" s="6"/>
      <c r="AB1237" s="6">
        <f>$K$1237*$V$1237</f>
        <v>2857542.83</v>
      </c>
      <c r="AC1237" s="6">
        <f>$M$1237*$W$1237</f>
        <v>0</v>
      </c>
      <c r="AD1237" s="6">
        <f>$O$1237*$X$1237</f>
        <v>0</v>
      </c>
      <c r="AE1237" s="6">
        <f ca="1">$K$1237*$Y$1237</f>
        <v>3193670.8693685466</v>
      </c>
      <c r="AF1237" s="6">
        <f>$M$1237*$Z$1237</f>
        <v>0</v>
      </c>
      <c r="AG1237" s="6">
        <f>$O$1237*$AA$1237</f>
        <v>0</v>
      </c>
    </row>
    <row r="1238" spans="1:33" ht="11.25" customHeight="1" x14ac:dyDescent="0.25">
      <c r="A1238" s="4" t="s">
        <v>27</v>
      </c>
      <c r="B1238" s="4" t="s">
        <v>35</v>
      </c>
      <c r="C1238" s="4" t="s">
        <v>36</v>
      </c>
      <c r="D1238" s="4" t="s">
        <v>48</v>
      </c>
      <c r="E1238" s="4" t="s">
        <v>25</v>
      </c>
      <c r="F1238" s="4" t="s">
        <v>25</v>
      </c>
      <c r="G1238" s="4" t="s">
        <v>25</v>
      </c>
      <c r="H1238" s="4" t="s">
        <v>25</v>
      </c>
      <c r="I1238" s="5">
        <v>44409</v>
      </c>
      <c r="J1238" s="6">
        <v>-45976</v>
      </c>
      <c r="K1238" s="6">
        <v>-45976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4" t="s">
        <v>26</v>
      </c>
      <c r="R1238" s="4">
        <v>0</v>
      </c>
      <c r="S1238" s="6">
        <v>23</v>
      </c>
      <c r="T1238" s="6">
        <v>0</v>
      </c>
      <c r="U1238" s="6">
        <v>0</v>
      </c>
      <c r="V1238" s="6">
        <f>IF(ISERROR(VLOOKUP($S$1238,'TAR FIN'!$A$1:$O$95,15,0)),0,VLOOKUP($S$1238,'TAR FIN'!$A$1:$O$95,15,0))</f>
        <v>28.57</v>
      </c>
      <c r="W1238" s="6">
        <f>IF(ISERROR(VLOOKUP($T$1238,'TAR FIN'!$A$1:$O$95,15,0)),0,VLOOKUP($T$1238,'TAR FIN'!$A$1:$O$95,15,0))</f>
        <v>0</v>
      </c>
      <c r="X1238" s="6">
        <f>IF(ISERROR(VLOOKUP($U$1238,'TAR FIN'!$A$1:$O$95,15,0)),0,VLOOKUP($U$1238,'TAR FIN'!$A$1:$O$95,15,0))</f>
        <v>0</v>
      </c>
      <c r="Y1238" s="6">
        <f ca="1">('TUSD BE'!$AM$15+'TUSD BF'!$AM$15+'TUSD CVA'!$AM$15)*1</f>
        <v>31.93064187172984</v>
      </c>
      <c r="Z1238" s="6"/>
      <c r="AA1238" s="6"/>
      <c r="AB1238" s="6">
        <f>$K$1238*$V$1238</f>
        <v>-1313534.32</v>
      </c>
      <c r="AC1238" s="6">
        <f>$M$1238*$W$1238</f>
        <v>0</v>
      </c>
      <c r="AD1238" s="6">
        <f>$O$1238*$X$1238</f>
        <v>0</v>
      </c>
      <c r="AE1238" s="6">
        <f ca="1">$K$1238*$Y$1238</f>
        <v>-1468043.1906946511</v>
      </c>
      <c r="AF1238" s="6">
        <f>$M$1238*$Z$1238</f>
        <v>0</v>
      </c>
      <c r="AG1238" s="6">
        <f>$O$1238*$AA$1238</f>
        <v>0</v>
      </c>
    </row>
    <row r="1239" spans="1:33" ht="11.25" customHeight="1" x14ac:dyDescent="0.25">
      <c r="A1239" s="4" t="s">
        <v>28</v>
      </c>
      <c r="B1239" s="4" t="s">
        <v>35</v>
      </c>
      <c r="C1239" s="4" t="s">
        <v>36</v>
      </c>
      <c r="D1239" s="4" t="s">
        <v>48</v>
      </c>
      <c r="E1239" s="4" t="s">
        <v>25</v>
      </c>
      <c r="F1239" s="4" t="s">
        <v>25</v>
      </c>
      <c r="G1239" s="4" t="s">
        <v>25</v>
      </c>
      <c r="H1239" s="4" t="s">
        <v>25</v>
      </c>
      <c r="I1239" s="5">
        <v>44409</v>
      </c>
      <c r="J1239" s="6">
        <v>25152</v>
      </c>
      <c r="K1239" s="6">
        <v>25152</v>
      </c>
      <c r="L1239" s="6">
        <v>0</v>
      </c>
      <c r="M1239" s="6">
        <v>0</v>
      </c>
      <c r="N1239" s="6">
        <v>0</v>
      </c>
      <c r="O1239" s="6">
        <v>0</v>
      </c>
      <c r="P1239" s="6">
        <v>304</v>
      </c>
      <c r="Q1239" s="4" t="s">
        <v>26</v>
      </c>
      <c r="R1239" s="4">
        <v>0</v>
      </c>
      <c r="S1239" s="6">
        <v>23</v>
      </c>
      <c r="T1239" s="6">
        <v>0</v>
      </c>
      <c r="U1239" s="6">
        <v>0</v>
      </c>
      <c r="V1239" s="6">
        <f>IF(ISERROR(VLOOKUP($S$1239,'TAR FIN'!$A$1:$O$95,15,0)),0,VLOOKUP($S$1239,'TAR FIN'!$A$1:$O$95,15,0))</f>
        <v>28.57</v>
      </c>
      <c r="W1239" s="6">
        <f>IF(ISERROR(VLOOKUP($T$1239,'TAR FIN'!$A$1:$O$95,15,0)),0,VLOOKUP($T$1239,'TAR FIN'!$A$1:$O$95,15,0))</f>
        <v>0</v>
      </c>
      <c r="X1239" s="6">
        <f>IF(ISERROR(VLOOKUP($U$1239,'TAR FIN'!$A$1:$O$95,15,0)),0,VLOOKUP($U$1239,'TAR FIN'!$A$1:$O$95,15,0))</f>
        <v>0</v>
      </c>
      <c r="Y1239" s="6">
        <f ca="1">('TUSD BE'!$AM$15+'TUSD BF'!$AM$15+'TUSD CVA'!$AM$15)*1</f>
        <v>31.93064187172984</v>
      </c>
      <c r="Z1239" s="6"/>
      <c r="AA1239" s="6"/>
      <c r="AB1239" s="6">
        <f>$K$1239*$V$1239</f>
        <v>718592.64</v>
      </c>
      <c r="AC1239" s="6">
        <f>$M$1239*$W$1239</f>
        <v>0</v>
      </c>
      <c r="AD1239" s="6">
        <f>$O$1239*$X$1239</f>
        <v>0</v>
      </c>
      <c r="AE1239" s="6">
        <f ca="1">$K$1239*$Y$1239</f>
        <v>803119.5043577489</v>
      </c>
      <c r="AF1239" s="6">
        <f>$M$1239*$Z$1239</f>
        <v>0</v>
      </c>
      <c r="AG1239" s="6">
        <f>$O$1239*$AA$1239</f>
        <v>0</v>
      </c>
    </row>
    <row r="1240" spans="1:33" ht="11.25" customHeight="1" x14ac:dyDescent="0.25">
      <c r="A1240" s="4" t="s">
        <v>29</v>
      </c>
      <c r="B1240" s="4" t="s">
        <v>35</v>
      </c>
      <c r="C1240" s="4" t="s">
        <v>36</v>
      </c>
      <c r="D1240" s="4" t="s">
        <v>48</v>
      </c>
      <c r="E1240" s="4" t="s">
        <v>25</v>
      </c>
      <c r="F1240" s="4" t="s">
        <v>25</v>
      </c>
      <c r="G1240" s="4" t="s">
        <v>25</v>
      </c>
      <c r="H1240" s="4" t="s">
        <v>25</v>
      </c>
      <c r="I1240" s="5">
        <v>44409</v>
      </c>
      <c r="J1240" s="6">
        <v>-232</v>
      </c>
      <c r="K1240" s="6">
        <v>-232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4" t="s">
        <v>26</v>
      </c>
      <c r="R1240" s="4">
        <v>0</v>
      </c>
      <c r="S1240" s="6">
        <v>23</v>
      </c>
      <c r="T1240" s="6">
        <v>0</v>
      </c>
      <c r="U1240" s="6">
        <v>0</v>
      </c>
      <c r="V1240" s="6">
        <f>IF(ISERROR(VLOOKUP($S$1240,'TAR FIN'!$A$1:$O$95,15,0)),0,VLOOKUP($S$1240,'TAR FIN'!$A$1:$O$95,15,0))</f>
        <v>28.57</v>
      </c>
      <c r="W1240" s="6">
        <f>IF(ISERROR(VLOOKUP($T$1240,'TAR FIN'!$A$1:$O$95,15,0)),0,VLOOKUP($T$1240,'TAR FIN'!$A$1:$O$95,15,0))</f>
        <v>0</v>
      </c>
      <c r="X1240" s="6">
        <f>IF(ISERROR(VLOOKUP($U$1240,'TAR FIN'!$A$1:$O$95,15,0)),0,VLOOKUP($U$1240,'TAR FIN'!$A$1:$O$95,15,0))</f>
        <v>0</v>
      </c>
      <c r="Y1240" s="6">
        <f ca="1">('TUSD BE'!$AM$15+'TUSD BF'!$AM$15+'TUSD CVA'!$AM$15)*1</f>
        <v>31.93064187172984</v>
      </c>
      <c r="Z1240" s="6"/>
      <c r="AA1240" s="6"/>
      <c r="AB1240" s="6">
        <f>$K$1240*$V$1240</f>
        <v>-6628.24</v>
      </c>
      <c r="AC1240" s="6">
        <f>$M$1240*$W$1240</f>
        <v>0</v>
      </c>
      <c r="AD1240" s="6">
        <f>$O$1240*$X$1240</f>
        <v>0</v>
      </c>
      <c r="AE1240" s="6">
        <f ca="1">$K$1240*$Y$1240</f>
        <v>-7407.9089142413231</v>
      </c>
      <c r="AF1240" s="6">
        <f>$M$1240*$Z$1240</f>
        <v>0</v>
      </c>
      <c r="AG1240" s="6">
        <f>$O$1240*$AA$1240</f>
        <v>0</v>
      </c>
    </row>
    <row r="1241" spans="1:33" ht="11.25" customHeight="1" x14ac:dyDescent="0.25">
      <c r="A1241" s="4" t="s">
        <v>30</v>
      </c>
      <c r="B1241" s="4" t="s">
        <v>35</v>
      </c>
      <c r="C1241" s="4" t="s">
        <v>36</v>
      </c>
      <c r="D1241" s="4" t="s">
        <v>48</v>
      </c>
      <c r="E1241" s="4" t="s">
        <v>25</v>
      </c>
      <c r="F1241" s="4" t="s">
        <v>25</v>
      </c>
      <c r="G1241" s="4" t="s">
        <v>25</v>
      </c>
      <c r="H1241" s="4" t="s">
        <v>25</v>
      </c>
      <c r="I1241" s="5">
        <v>44409</v>
      </c>
      <c r="J1241" s="6">
        <v>140</v>
      </c>
      <c r="K1241" s="6">
        <v>140</v>
      </c>
      <c r="L1241" s="6">
        <v>0</v>
      </c>
      <c r="M1241" s="6">
        <v>0</v>
      </c>
      <c r="N1241" s="6">
        <v>0</v>
      </c>
      <c r="O1241" s="6">
        <v>0</v>
      </c>
      <c r="P1241" s="6">
        <v>1</v>
      </c>
      <c r="Q1241" s="4" t="s">
        <v>26</v>
      </c>
      <c r="R1241" s="4">
        <v>0</v>
      </c>
      <c r="S1241" s="6">
        <v>23</v>
      </c>
      <c r="T1241" s="6">
        <v>0</v>
      </c>
      <c r="U1241" s="6">
        <v>0</v>
      </c>
      <c r="V1241" s="6">
        <f>IF(ISERROR(VLOOKUP($S$1241,'TAR FIN'!$A$1:$O$95,15,0)),0,VLOOKUP($S$1241,'TAR FIN'!$A$1:$O$95,15,0))</f>
        <v>28.57</v>
      </c>
      <c r="W1241" s="6">
        <f>IF(ISERROR(VLOOKUP($T$1241,'TAR FIN'!$A$1:$O$95,15,0)),0,VLOOKUP($T$1241,'TAR FIN'!$A$1:$O$95,15,0))</f>
        <v>0</v>
      </c>
      <c r="X1241" s="6">
        <f>IF(ISERROR(VLOOKUP($U$1241,'TAR FIN'!$A$1:$O$95,15,0)),0,VLOOKUP($U$1241,'TAR FIN'!$A$1:$O$95,15,0))</f>
        <v>0</v>
      </c>
      <c r="Y1241" s="6">
        <f ca="1">('TUSD BE'!$AM$15+'TUSD BF'!$AM$15+'TUSD CVA'!$AM$15)*1</f>
        <v>31.93064187172984</v>
      </c>
      <c r="Z1241" s="6"/>
      <c r="AA1241" s="6"/>
      <c r="AB1241" s="6">
        <f>$K$1241*$V$1241</f>
        <v>3999.8</v>
      </c>
      <c r="AC1241" s="6">
        <f>$M$1241*$W$1241</f>
        <v>0</v>
      </c>
      <c r="AD1241" s="6">
        <f>$O$1241*$X$1241</f>
        <v>0</v>
      </c>
      <c r="AE1241" s="6">
        <f ca="1">$K$1241*$Y$1241</f>
        <v>4470.2898620421774</v>
      </c>
      <c r="AF1241" s="6">
        <f>$M$1241*$Z$1241</f>
        <v>0</v>
      </c>
      <c r="AG1241" s="6">
        <f>$O$1241*$AA$1241</f>
        <v>0</v>
      </c>
    </row>
    <row r="1242" spans="1:33" ht="11.25" customHeight="1" x14ac:dyDescent="0.25">
      <c r="A1242" s="4" t="s">
        <v>21</v>
      </c>
      <c r="B1242" s="4" t="s">
        <v>35</v>
      </c>
      <c r="C1242" s="4" t="s">
        <v>36</v>
      </c>
      <c r="D1242" s="4" t="s">
        <v>48</v>
      </c>
      <c r="E1242" s="4" t="s">
        <v>25</v>
      </c>
      <c r="F1242" s="4" t="s">
        <v>25</v>
      </c>
      <c r="G1242" s="4" t="s">
        <v>25</v>
      </c>
      <c r="H1242" s="4" t="s">
        <v>25</v>
      </c>
      <c r="I1242" s="5">
        <v>44440</v>
      </c>
      <c r="J1242" s="6">
        <v>100447</v>
      </c>
      <c r="K1242" s="6">
        <v>100447</v>
      </c>
      <c r="L1242" s="6">
        <v>0</v>
      </c>
      <c r="M1242" s="6">
        <v>0</v>
      </c>
      <c r="N1242" s="6">
        <v>0</v>
      </c>
      <c r="O1242" s="6">
        <v>0</v>
      </c>
      <c r="P1242" s="6">
        <v>630</v>
      </c>
      <c r="Q1242" s="4" t="s">
        <v>26</v>
      </c>
      <c r="R1242" s="4">
        <v>0</v>
      </c>
      <c r="S1242" s="6">
        <v>23</v>
      </c>
      <c r="T1242" s="6">
        <v>0</v>
      </c>
      <c r="U1242" s="6">
        <v>0</v>
      </c>
      <c r="V1242" s="6">
        <f>IF(ISERROR(VLOOKUP($S$1242,'TAR FIN'!$A$1:$O$95,15,0)),0,VLOOKUP($S$1242,'TAR FIN'!$A$1:$O$95,15,0))</f>
        <v>28.57</v>
      </c>
      <c r="W1242" s="6">
        <f>IF(ISERROR(VLOOKUP($T$1242,'TAR FIN'!$A$1:$O$95,15,0)),0,VLOOKUP($T$1242,'TAR FIN'!$A$1:$O$95,15,0))</f>
        <v>0</v>
      </c>
      <c r="X1242" s="6">
        <f>IF(ISERROR(VLOOKUP($U$1242,'TAR FIN'!$A$1:$O$95,15,0)),0,VLOOKUP($U$1242,'TAR FIN'!$A$1:$O$95,15,0))</f>
        <v>0</v>
      </c>
      <c r="Y1242" s="6">
        <f ca="1">('TUSD BE'!$AM$15+'TUSD BF'!$AM$15+'TUSD CVA'!$AM$15)*1</f>
        <v>31.93064187172984</v>
      </c>
      <c r="Z1242" s="6"/>
      <c r="AA1242" s="6"/>
      <c r="AB1242" s="6">
        <f>$K$1242*$V$1242</f>
        <v>2869770.79</v>
      </c>
      <c r="AC1242" s="6">
        <f>$M$1242*$W$1242</f>
        <v>0</v>
      </c>
      <c r="AD1242" s="6">
        <f>$O$1242*$X$1242</f>
        <v>0</v>
      </c>
      <c r="AE1242" s="6">
        <f ca="1">$K$1242*$Y$1242</f>
        <v>3207337.1840896471</v>
      </c>
      <c r="AF1242" s="6">
        <f>$M$1242*$Z$1242</f>
        <v>0</v>
      </c>
      <c r="AG1242" s="6">
        <f>$O$1242*$AA$1242</f>
        <v>0</v>
      </c>
    </row>
    <row r="1243" spans="1:33" ht="11.25" customHeight="1" x14ac:dyDescent="0.25">
      <c r="A1243" s="4" t="s">
        <v>28</v>
      </c>
      <c r="B1243" s="4" t="s">
        <v>35</v>
      </c>
      <c r="C1243" s="4" t="s">
        <v>36</v>
      </c>
      <c r="D1243" s="4" t="s">
        <v>48</v>
      </c>
      <c r="E1243" s="4" t="s">
        <v>25</v>
      </c>
      <c r="F1243" s="4" t="s">
        <v>25</v>
      </c>
      <c r="G1243" s="4" t="s">
        <v>25</v>
      </c>
      <c r="H1243" s="4" t="s">
        <v>25</v>
      </c>
      <c r="I1243" s="5">
        <v>44440</v>
      </c>
      <c r="J1243" s="6">
        <v>25603</v>
      </c>
      <c r="K1243" s="6">
        <v>25603</v>
      </c>
      <c r="L1243" s="6">
        <v>0</v>
      </c>
      <c r="M1243" s="6">
        <v>0</v>
      </c>
      <c r="N1243" s="6">
        <v>0</v>
      </c>
      <c r="O1243" s="6">
        <v>0</v>
      </c>
      <c r="P1243" s="6">
        <v>306</v>
      </c>
      <c r="Q1243" s="4" t="s">
        <v>26</v>
      </c>
      <c r="R1243" s="4">
        <v>0</v>
      </c>
      <c r="S1243" s="6">
        <v>23</v>
      </c>
      <c r="T1243" s="6">
        <v>0</v>
      </c>
      <c r="U1243" s="6">
        <v>0</v>
      </c>
      <c r="V1243" s="6">
        <f>IF(ISERROR(VLOOKUP($S$1243,'TAR FIN'!$A$1:$O$95,15,0)),0,VLOOKUP($S$1243,'TAR FIN'!$A$1:$O$95,15,0))</f>
        <v>28.57</v>
      </c>
      <c r="W1243" s="6">
        <f>IF(ISERROR(VLOOKUP($T$1243,'TAR FIN'!$A$1:$O$95,15,0)),0,VLOOKUP($T$1243,'TAR FIN'!$A$1:$O$95,15,0))</f>
        <v>0</v>
      </c>
      <c r="X1243" s="6">
        <f>IF(ISERROR(VLOOKUP($U$1243,'TAR FIN'!$A$1:$O$95,15,0)),0,VLOOKUP($U$1243,'TAR FIN'!$A$1:$O$95,15,0))</f>
        <v>0</v>
      </c>
      <c r="Y1243" s="6">
        <f ca="1">('TUSD BE'!$AM$15+'TUSD BF'!$AM$15+'TUSD CVA'!$AM$15)*1</f>
        <v>31.93064187172984</v>
      </c>
      <c r="Z1243" s="6"/>
      <c r="AA1243" s="6"/>
      <c r="AB1243" s="6">
        <f>$K$1243*$V$1243</f>
        <v>731477.71</v>
      </c>
      <c r="AC1243" s="6">
        <f>$M$1243*$W$1243</f>
        <v>0</v>
      </c>
      <c r="AD1243" s="6">
        <f>$O$1243*$X$1243</f>
        <v>0</v>
      </c>
      <c r="AE1243" s="6">
        <f ca="1">$K$1243*$Y$1243</f>
        <v>817520.22384189907</v>
      </c>
      <c r="AF1243" s="6">
        <f>$M$1243*$Z$1243</f>
        <v>0</v>
      </c>
      <c r="AG1243" s="6">
        <f>$O$1243*$AA$1243</f>
        <v>0</v>
      </c>
    </row>
    <row r="1244" spans="1:33" ht="11.25" customHeight="1" x14ac:dyDescent="0.25">
      <c r="A1244" s="4" t="s">
        <v>30</v>
      </c>
      <c r="B1244" s="4" t="s">
        <v>35</v>
      </c>
      <c r="C1244" s="4" t="s">
        <v>36</v>
      </c>
      <c r="D1244" s="4" t="s">
        <v>48</v>
      </c>
      <c r="E1244" s="4" t="s">
        <v>25</v>
      </c>
      <c r="F1244" s="4" t="s">
        <v>25</v>
      </c>
      <c r="G1244" s="4" t="s">
        <v>25</v>
      </c>
      <c r="H1244" s="4" t="s">
        <v>25</v>
      </c>
      <c r="I1244" s="5">
        <v>44440</v>
      </c>
      <c r="J1244" s="6">
        <v>125</v>
      </c>
      <c r="K1244" s="6">
        <v>125</v>
      </c>
      <c r="L1244" s="6">
        <v>0</v>
      </c>
      <c r="M1244" s="6">
        <v>0</v>
      </c>
      <c r="N1244" s="6">
        <v>0</v>
      </c>
      <c r="O1244" s="6">
        <v>0</v>
      </c>
      <c r="P1244" s="6">
        <v>1</v>
      </c>
      <c r="Q1244" s="4" t="s">
        <v>26</v>
      </c>
      <c r="R1244" s="4">
        <v>0</v>
      </c>
      <c r="S1244" s="6">
        <v>23</v>
      </c>
      <c r="T1244" s="6">
        <v>0</v>
      </c>
      <c r="U1244" s="6">
        <v>0</v>
      </c>
      <c r="V1244" s="6">
        <f>IF(ISERROR(VLOOKUP($S$1244,'TAR FIN'!$A$1:$O$95,15,0)),0,VLOOKUP($S$1244,'TAR FIN'!$A$1:$O$95,15,0))</f>
        <v>28.57</v>
      </c>
      <c r="W1244" s="6">
        <f>IF(ISERROR(VLOOKUP($T$1244,'TAR FIN'!$A$1:$O$95,15,0)),0,VLOOKUP($T$1244,'TAR FIN'!$A$1:$O$95,15,0))</f>
        <v>0</v>
      </c>
      <c r="X1244" s="6">
        <f>IF(ISERROR(VLOOKUP($U$1244,'TAR FIN'!$A$1:$O$95,15,0)),0,VLOOKUP($U$1244,'TAR FIN'!$A$1:$O$95,15,0))</f>
        <v>0</v>
      </c>
      <c r="Y1244" s="6">
        <f ca="1">('TUSD BE'!$AM$15+'TUSD BF'!$AM$15+'TUSD CVA'!$AM$15)*1</f>
        <v>31.93064187172984</v>
      </c>
      <c r="Z1244" s="6"/>
      <c r="AA1244" s="6"/>
      <c r="AB1244" s="6">
        <f>$K$1244*$V$1244</f>
        <v>3571.25</v>
      </c>
      <c r="AC1244" s="6">
        <f>$M$1244*$W$1244</f>
        <v>0</v>
      </c>
      <c r="AD1244" s="6">
        <f>$O$1244*$X$1244</f>
        <v>0</v>
      </c>
      <c r="AE1244" s="6">
        <f ca="1">$K$1244*$Y$1244</f>
        <v>3991.33023396623</v>
      </c>
      <c r="AF1244" s="6">
        <f>$M$1244*$Z$1244</f>
        <v>0</v>
      </c>
      <c r="AG1244" s="6">
        <f>$O$1244*$AA$1244</f>
        <v>0</v>
      </c>
    </row>
    <row r="1245" spans="1:33" ht="11.25" customHeight="1" x14ac:dyDescent="0.25">
      <c r="A1245" s="4" t="s">
        <v>59</v>
      </c>
      <c r="B1245" s="4" t="s">
        <v>35</v>
      </c>
      <c r="C1245" s="4" t="s">
        <v>36</v>
      </c>
      <c r="D1245" s="4" t="s">
        <v>48</v>
      </c>
      <c r="E1245" s="4" t="s">
        <v>25</v>
      </c>
      <c r="F1245" s="4" t="s">
        <v>25</v>
      </c>
      <c r="G1245" s="4" t="s">
        <v>25</v>
      </c>
      <c r="H1245" s="4" t="s">
        <v>25</v>
      </c>
      <c r="I1245" s="5">
        <v>44470</v>
      </c>
      <c r="J1245" s="6">
        <v>100447</v>
      </c>
      <c r="K1245" s="6">
        <v>100447</v>
      </c>
      <c r="L1245" s="6">
        <v>0</v>
      </c>
      <c r="M1245" s="6">
        <v>0</v>
      </c>
      <c r="N1245" s="6">
        <v>0</v>
      </c>
      <c r="O1245" s="6">
        <v>0</v>
      </c>
      <c r="P1245" s="6">
        <v>630</v>
      </c>
      <c r="Q1245" s="4" t="s">
        <v>26</v>
      </c>
      <c r="R1245" s="4">
        <v>0</v>
      </c>
      <c r="S1245" s="6">
        <v>23</v>
      </c>
      <c r="T1245" s="6">
        <v>0</v>
      </c>
      <c r="U1245" s="6">
        <v>0</v>
      </c>
      <c r="V1245" s="6">
        <f>IF(ISERROR(VLOOKUP($S$1245,'TAR FIN'!$A$1:$O$95,15,0)),0,VLOOKUP($S$1245,'TAR FIN'!$A$1:$O$95,15,0))</f>
        <v>28.57</v>
      </c>
      <c r="W1245" s="6">
        <f>IF(ISERROR(VLOOKUP($T$1245,'TAR FIN'!$A$1:$O$95,15,0)),0,VLOOKUP($T$1245,'TAR FIN'!$A$1:$O$95,15,0))</f>
        <v>0</v>
      </c>
      <c r="X1245" s="6">
        <f>IF(ISERROR(VLOOKUP($U$1245,'TAR FIN'!$A$1:$O$95,15,0)),0,VLOOKUP($U$1245,'TAR FIN'!$A$1:$O$95,15,0))</f>
        <v>0</v>
      </c>
      <c r="Y1245" s="6">
        <f ca="1">('TUSD BE'!$AM$15+'TUSD BF'!$AM$15+'TUSD CVA'!$AM$15)*1</f>
        <v>31.93064187172984</v>
      </c>
      <c r="Z1245" s="6"/>
      <c r="AA1245" s="6"/>
      <c r="AB1245" s="6">
        <f>$K$1245*$V$1245</f>
        <v>2869770.79</v>
      </c>
      <c r="AC1245" s="6">
        <f>$M$1245*$W$1245</f>
        <v>0</v>
      </c>
      <c r="AD1245" s="6">
        <f>$O$1245*$X$1245</f>
        <v>0</v>
      </c>
      <c r="AE1245" s="6">
        <f ca="1">$K$1245*$Y$1245</f>
        <v>3207337.1840896471</v>
      </c>
      <c r="AF1245" s="6">
        <f>$M$1245*$Z$1245</f>
        <v>0</v>
      </c>
      <c r="AG1245" s="6">
        <f>$O$1245*$AA$1245</f>
        <v>0</v>
      </c>
    </row>
    <row r="1246" spans="1:33" ht="11.25" customHeight="1" x14ac:dyDescent="0.25">
      <c r="A1246" s="4" t="s">
        <v>59</v>
      </c>
      <c r="B1246" s="4" t="s">
        <v>35</v>
      </c>
      <c r="C1246" s="4" t="s">
        <v>36</v>
      </c>
      <c r="D1246" s="4" t="s">
        <v>48</v>
      </c>
      <c r="E1246" s="4" t="s">
        <v>25</v>
      </c>
      <c r="F1246" s="4" t="s">
        <v>25</v>
      </c>
      <c r="G1246" s="4" t="s">
        <v>25</v>
      </c>
      <c r="H1246" s="4" t="s">
        <v>25</v>
      </c>
      <c r="I1246" s="5">
        <v>44470</v>
      </c>
      <c r="J1246" s="6">
        <v>25603</v>
      </c>
      <c r="K1246" s="6">
        <v>25603</v>
      </c>
      <c r="L1246" s="6">
        <v>0</v>
      </c>
      <c r="M1246" s="6">
        <v>0</v>
      </c>
      <c r="N1246" s="6">
        <v>0</v>
      </c>
      <c r="O1246" s="6">
        <v>0</v>
      </c>
      <c r="P1246" s="6">
        <v>306</v>
      </c>
      <c r="Q1246" s="4" t="s">
        <v>26</v>
      </c>
      <c r="R1246" s="4">
        <v>0</v>
      </c>
      <c r="S1246" s="6">
        <v>23</v>
      </c>
      <c r="T1246" s="6">
        <v>0</v>
      </c>
      <c r="U1246" s="6">
        <v>0</v>
      </c>
      <c r="V1246" s="6">
        <f>IF(ISERROR(VLOOKUP($S$1246,'TAR FIN'!$A$1:$O$95,15,0)),0,VLOOKUP($S$1246,'TAR FIN'!$A$1:$O$95,15,0))</f>
        <v>28.57</v>
      </c>
      <c r="W1246" s="6">
        <f>IF(ISERROR(VLOOKUP($T$1246,'TAR FIN'!$A$1:$O$95,15,0)),0,VLOOKUP($T$1246,'TAR FIN'!$A$1:$O$95,15,0))</f>
        <v>0</v>
      </c>
      <c r="X1246" s="6">
        <f>IF(ISERROR(VLOOKUP($U$1246,'TAR FIN'!$A$1:$O$95,15,0)),0,VLOOKUP($U$1246,'TAR FIN'!$A$1:$O$95,15,0))</f>
        <v>0</v>
      </c>
      <c r="Y1246" s="6">
        <f ca="1">('TUSD BE'!$AM$15+'TUSD BF'!$AM$15+'TUSD CVA'!$AM$15)*1</f>
        <v>31.93064187172984</v>
      </c>
      <c r="Z1246" s="6"/>
      <c r="AA1246" s="6"/>
      <c r="AB1246" s="6">
        <f>$K$1246*$V$1246</f>
        <v>731477.71</v>
      </c>
      <c r="AC1246" s="6">
        <f>$M$1246*$W$1246</f>
        <v>0</v>
      </c>
      <c r="AD1246" s="6">
        <f>$O$1246*$X$1246</f>
        <v>0</v>
      </c>
      <c r="AE1246" s="6">
        <f ca="1">$K$1246*$Y$1246</f>
        <v>817520.22384189907</v>
      </c>
      <c r="AF1246" s="6">
        <f>$M$1246*$Z$1246</f>
        <v>0</v>
      </c>
      <c r="AG1246" s="6">
        <f>$O$1246*$AA$1246</f>
        <v>0</v>
      </c>
    </row>
    <row r="1247" spans="1:33" ht="11.25" customHeight="1" x14ac:dyDescent="0.25">
      <c r="A1247" s="4" t="s">
        <v>59</v>
      </c>
      <c r="B1247" s="4" t="s">
        <v>35</v>
      </c>
      <c r="C1247" s="4" t="s">
        <v>36</v>
      </c>
      <c r="D1247" s="4" t="s">
        <v>48</v>
      </c>
      <c r="E1247" s="4" t="s">
        <v>25</v>
      </c>
      <c r="F1247" s="4" t="s">
        <v>25</v>
      </c>
      <c r="G1247" s="4" t="s">
        <v>25</v>
      </c>
      <c r="H1247" s="4" t="s">
        <v>25</v>
      </c>
      <c r="I1247" s="5">
        <v>44470</v>
      </c>
      <c r="J1247" s="6">
        <v>125</v>
      </c>
      <c r="K1247" s="6">
        <v>125</v>
      </c>
      <c r="L1247" s="6">
        <v>0</v>
      </c>
      <c r="M1247" s="6">
        <v>0</v>
      </c>
      <c r="N1247" s="6">
        <v>0</v>
      </c>
      <c r="O1247" s="6">
        <v>0</v>
      </c>
      <c r="P1247" s="6">
        <v>1</v>
      </c>
      <c r="Q1247" s="4" t="s">
        <v>26</v>
      </c>
      <c r="R1247" s="4">
        <v>0</v>
      </c>
      <c r="S1247" s="6">
        <v>23</v>
      </c>
      <c r="T1247" s="6">
        <v>0</v>
      </c>
      <c r="U1247" s="6">
        <v>0</v>
      </c>
      <c r="V1247" s="6">
        <f>IF(ISERROR(VLOOKUP($S$1247,'TAR FIN'!$A$1:$O$95,15,0)),0,VLOOKUP($S$1247,'TAR FIN'!$A$1:$O$95,15,0))</f>
        <v>28.57</v>
      </c>
      <c r="W1247" s="6">
        <f>IF(ISERROR(VLOOKUP($T$1247,'TAR FIN'!$A$1:$O$95,15,0)),0,VLOOKUP($T$1247,'TAR FIN'!$A$1:$O$95,15,0))</f>
        <v>0</v>
      </c>
      <c r="X1247" s="6">
        <f>IF(ISERROR(VLOOKUP($U$1247,'TAR FIN'!$A$1:$O$95,15,0)),0,VLOOKUP($U$1247,'TAR FIN'!$A$1:$O$95,15,0))</f>
        <v>0</v>
      </c>
      <c r="Y1247" s="6">
        <f ca="1">('TUSD BE'!$AM$15+'TUSD BF'!$AM$15+'TUSD CVA'!$AM$15)*1</f>
        <v>31.93064187172984</v>
      </c>
      <c r="Z1247" s="6"/>
      <c r="AA1247" s="6"/>
      <c r="AB1247" s="6">
        <f>$K$1247*$V$1247</f>
        <v>3571.25</v>
      </c>
      <c r="AC1247" s="6">
        <f>$M$1247*$W$1247</f>
        <v>0</v>
      </c>
      <c r="AD1247" s="6">
        <f>$O$1247*$X$1247</f>
        <v>0</v>
      </c>
      <c r="AE1247" s="6">
        <f ca="1">$K$1247*$Y$1247</f>
        <v>3991.33023396623</v>
      </c>
      <c r="AF1247" s="6">
        <f>$M$1247*$Z$1247</f>
        <v>0</v>
      </c>
      <c r="AG1247" s="6">
        <f>$O$1247*$AA$1247</f>
        <v>0</v>
      </c>
    </row>
    <row r="1248" spans="1:33" ht="11.25" customHeight="1" x14ac:dyDescent="0.25">
      <c r="A1248" s="4" t="s">
        <v>21</v>
      </c>
      <c r="B1248" s="4" t="s">
        <v>35</v>
      </c>
      <c r="C1248" s="4" t="s">
        <v>36</v>
      </c>
      <c r="D1248" s="4" t="s">
        <v>48</v>
      </c>
      <c r="E1248" s="4" t="s">
        <v>25</v>
      </c>
      <c r="F1248" s="4" t="s">
        <v>25</v>
      </c>
      <c r="G1248" s="4" t="s">
        <v>25</v>
      </c>
      <c r="H1248" s="4" t="s">
        <v>37</v>
      </c>
      <c r="I1248" s="5">
        <v>44136</v>
      </c>
      <c r="J1248" s="6">
        <v>0</v>
      </c>
      <c r="K1248" s="6">
        <v>0</v>
      </c>
      <c r="L1248" s="6">
        <v>911.37599999999998</v>
      </c>
      <c r="M1248" s="6">
        <v>911.37599999999998</v>
      </c>
      <c r="N1248" s="6">
        <v>911.37599999999998</v>
      </c>
      <c r="O1248" s="6">
        <v>911.37599999999998</v>
      </c>
      <c r="P1248" s="6">
        <v>0</v>
      </c>
      <c r="Q1248" s="4" t="s">
        <v>26</v>
      </c>
      <c r="R1248" s="4">
        <v>0</v>
      </c>
      <c r="S1248" s="6">
        <v>0</v>
      </c>
      <c r="T1248" s="6">
        <v>24</v>
      </c>
      <c r="U1248" s="6">
        <v>66</v>
      </c>
      <c r="V1248" s="6">
        <f>IF(ISERROR(VLOOKUP($S$1248,'TAR FIN'!$A$1:$O$95,15,0)),0,VLOOKUP($S$1248,'TAR FIN'!$A$1:$O$95,15,0))</f>
        <v>0</v>
      </c>
      <c r="W1248" s="6">
        <f>IF(ISERROR(VLOOKUP($T$1248,'TAR FIN'!$A$1:$O$95,15,0)),0,VLOOKUP($T$1248,'TAR FIN'!$A$1:$O$95,15,0))</f>
        <v>1434.79</v>
      </c>
      <c r="X1248" s="6">
        <f>IF(ISERROR(VLOOKUP($U$1248,'TAR FIN'!$A$1:$O$95,15,0)),0,VLOOKUP($U$1248,'TAR FIN'!$A$1:$O$95,15,0))</f>
        <v>389.28</v>
      </c>
      <c r="Y1248" s="6"/>
      <c r="Z1248" s="6">
        <f ca="1">('TUSD BE'!$AM$16+'TUSD BF'!$AM$16+'TUSD CVA'!$AM$16)*1</f>
        <v>1605.9916314233351</v>
      </c>
      <c r="AA1248" s="6">
        <f>('TE BE'!$AA$7+'TE BF'!$AA$7+'TE CVA'!$AA$7)*1</f>
        <v>454.3285679284046</v>
      </c>
      <c r="AB1248" s="6">
        <f>$K$1248*$V$1248</f>
        <v>0</v>
      </c>
      <c r="AC1248" s="6">
        <f>$M$1248*$W$1248</f>
        <v>1307633.1710399999</v>
      </c>
      <c r="AD1248" s="6">
        <f>$O$1248*$X$1248</f>
        <v>354780.44927999994</v>
      </c>
      <c r="AE1248" s="6">
        <f>$K$1248*$Y$1248</f>
        <v>0</v>
      </c>
      <c r="AF1248" s="6">
        <f ca="1">$M$1248*$Z$1248</f>
        <v>1463662.2290800733</v>
      </c>
      <c r="AG1248" s="6">
        <f>$O$1248*$AA$1248</f>
        <v>414064.15292431763</v>
      </c>
    </row>
    <row r="1249" spans="1:33" ht="11.25" customHeight="1" x14ac:dyDescent="0.25">
      <c r="A1249" s="4" t="s">
        <v>27</v>
      </c>
      <c r="B1249" s="4" t="s">
        <v>35</v>
      </c>
      <c r="C1249" s="4" t="s">
        <v>36</v>
      </c>
      <c r="D1249" s="4" t="s">
        <v>48</v>
      </c>
      <c r="E1249" s="4" t="s">
        <v>25</v>
      </c>
      <c r="F1249" s="4" t="s">
        <v>25</v>
      </c>
      <c r="G1249" s="4" t="s">
        <v>25</v>
      </c>
      <c r="H1249" s="4" t="s">
        <v>37</v>
      </c>
      <c r="I1249" s="5">
        <v>44136</v>
      </c>
      <c r="J1249" s="6">
        <v>0</v>
      </c>
      <c r="K1249" s="6">
        <v>0</v>
      </c>
      <c r="L1249" s="6">
        <v>7.2590000000000003</v>
      </c>
      <c r="M1249" s="6">
        <v>7.2590000000000003</v>
      </c>
      <c r="N1249" s="6">
        <v>7.2590000000000003</v>
      </c>
      <c r="O1249" s="6">
        <v>7.2590000000000003</v>
      </c>
      <c r="P1249" s="6">
        <v>0</v>
      </c>
      <c r="Q1249" s="4" t="s">
        <v>26</v>
      </c>
      <c r="R1249" s="4">
        <v>0</v>
      </c>
      <c r="S1249" s="6">
        <v>0</v>
      </c>
      <c r="T1249" s="6">
        <v>24</v>
      </c>
      <c r="U1249" s="6">
        <v>66</v>
      </c>
      <c r="V1249" s="6">
        <f>IF(ISERROR(VLOOKUP($S$1249,'TAR FIN'!$A$1:$O$95,15,0)),0,VLOOKUP($S$1249,'TAR FIN'!$A$1:$O$95,15,0))</f>
        <v>0</v>
      </c>
      <c r="W1249" s="6">
        <f>IF(ISERROR(VLOOKUP($T$1249,'TAR FIN'!$A$1:$O$95,15,0)),0,VLOOKUP($T$1249,'TAR FIN'!$A$1:$O$95,15,0))</f>
        <v>1434.79</v>
      </c>
      <c r="X1249" s="6">
        <f>IF(ISERROR(VLOOKUP($U$1249,'TAR FIN'!$A$1:$O$95,15,0)),0,VLOOKUP($U$1249,'TAR FIN'!$A$1:$O$95,15,0))</f>
        <v>389.28</v>
      </c>
      <c r="Y1249" s="6"/>
      <c r="Z1249" s="6">
        <f ca="1">('TUSD BE'!$AM$16+'TUSD BF'!$AM$16+'TUSD CVA'!$AM$16)*1</f>
        <v>1605.9916314233351</v>
      </c>
      <c r="AA1249" s="6">
        <f>('TE BE'!$AA$7+'TE BF'!$AA$7+'TE CVA'!$AA$7)*1</f>
        <v>454.3285679284046</v>
      </c>
      <c r="AB1249" s="6">
        <f>$K$1249*$V$1249</f>
        <v>0</v>
      </c>
      <c r="AC1249" s="6">
        <f>$M$1249*$W$1249</f>
        <v>10415.14061</v>
      </c>
      <c r="AD1249" s="6">
        <f>$O$1249*$X$1249</f>
        <v>2825.78352</v>
      </c>
      <c r="AE1249" s="6">
        <f>$K$1249*$Y$1249</f>
        <v>0</v>
      </c>
      <c r="AF1249" s="6">
        <f ca="1">$M$1249*$Z$1249</f>
        <v>11657.89325250199</v>
      </c>
      <c r="AG1249" s="6">
        <f>$O$1249*$AA$1249</f>
        <v>3297.9710745922889</v>
      </c>
    </row>
    <row r="1250" spans="1:33" ht="11.25" customHeight="1" x14ac:dyDescent="0.25">
      <c r="A1250" s="4" t="s">
        <v>28</v>
      </c>
      <c r="B1250" s="4" t="s">
        <v>35</v>
      </c>
      <c r="C1250" s="4" t="s">
        <v>36</v>
      </c>
      <c r="D1250" s="4" t="s">
        <v>48</v>
      </c>
      <c r="E1250" s="4" t="s">
        <v>25</v>
      </c>
      <c r="F1250" s="4" t="s">
        <v>25</v>
      </c>
      <c r="G1250" s="4" t="s">
        <v>25</v>
      </c>
      <c r="H1250" s="4" t="s">
        <v>37</v>
      </c>
      <c r="I1250" s="5">
        <v>44136</v>
      </c>
      <c r="J1250" s="6">
        <v>0</v>
      </c>
      <c r="K1250" s="6">
        <v>0</v>
      </c>
      <c r="L1250" s="6">
        <v>249.249</v>
      </c>
      <c r="M1250" s="6">
        <v>249.249</v>
      </c>
      <c r="N1250" s="6">
        <v>249.249</v>
      </c>
      <c r="O1250" s="6">
        <v>249.249</v>
      </c>
      <c r="P1250" s="6">
        <v>0</v>
      </c>
      <c r="Q1250" s="4" t="s">
        <v>26</v>
      </c>
      <c r="R1250" s="4">
        <v>0</v>
      </c>
      <c r="S1250" s="6">
        <v>0</v>
      </c>
      <c r="T1250" s="6">
        <v>24</v>
      </c>
      <c r="U1250" s="6">
        <v>66</v>
      </c>
      <c r="V1250" s="6">
        <f>IF(ISERROR(VLOOKUP($S$1250,'TAR FIN'!$A$1:$O$95,15,0)),0,VLOOKUP($S$1250,'TAR FIN'!$A$1:$O$95,15,0))</f>
        <v>0</v>
      </c>
      <c r="W1250" s="6">
        <f>IF(ISERROR(VLOOKUP($T$1250,'TAR FIN'!$A$1:$O$95,15,0)),0,VLOOKUP($T$1250,'TAR FIN'!$A$1:$O$95,15,0))</f>
        <v>1434.79</v>
      </c>
      <c r="X1250" s="6">
        <f>IF(ISERROR(VLOOKUP($U$1250,'TAR FIN'!$A$1:$O$95,15,0)),0,VLOOKUP($U$1250,'TAR FIN'!$A$1:$O$95,15,0))</f>
        <v>389.28</v>
      </c>
      <c r="Y1250" s="6"/>
      <c r="Z1250" s="6">
        <f ca="1">('TUSD BE'!$AM$16+'TUSD BF'!$AM$16+'TUSD CVA'!$AM$16)*1</f>
        <v>1605.9916314233351</v>
      </c>
      <c r="AA1250" s="6">
        <f>('TE BE'!$AA$7+'TE BF'!$AA$7+'TE CVA'!$AA$7)*1</f>
        <v>454.3285679284046</v>
      </c>
      <c r="AB1250" s="6">
        <f>$K$1250*$V$1250</f>
        <v>0</v>
      </c>
      <c r="AC1250" s="6">
        <f>$M$1250*$W$1250</f>
        <v>357619.97271</v>
      </c>
      <c r="AD1250" s="6">
        <f>$O$1250*$X$1250</f>
        <v>97027.650719999991</v>
      </c>
      <c r="AE1250" s="6">
        <f>$K$1250*$Y$1250</f>
        <v>0</v>
      </c>
      <c r="AF1250" s="6">
        <f ca="1">$M$1250*$Z$1250</f>
        <v>400291.80814063485</v>
      </c>
      <c r="AG1250" s="6">
        <f>$O$1250*$AA$1250</f>
        <v>113240.94122758691</v>
      </c>
    </row>
    <row r="1251" spans="1:33" ht="11.25" customHeight="1" x14ac:dyDescent="0.25">
      <c r="A1251" s="4" t="s">
        <v>30</v>
      </c>
      <c r="B1251" s="4" t="s">
        <v>35</v>
      </c>
      <c r="C1251" s="4" t="s">
        <v>36</v>
      </c>
      <c r="D1251" s="4" t="s">
        <v>48</v>
      </c>
      <c r="E1251" s="4" t="s">
        <v>25</v>
      </c>
      <c r="F1251" s="4" t="s">
        <v>25</v>
      </c>
      <c r="G1251" s="4" t="s">
        <v>25</v>
      </c>
      <c r="H1251" s="4" t="s">
        <v>37</v>
      </c>
      <c r="I1251" s="5">
        <v>44136</v>
      </c>
      <c r="J1251" s="6">
        <v>0</v>
      </c>
      <c r="K1251" s="6">
        <v>0</v>
      </c>
      <c r="L1251" s="6">
        <v>3.2130000000000001</v>
      </c>
      <c r="M1251" s="6">
        <v>3.2130000000000001</v>
      </c>
      <c r="N1251" s="6">
        <v>3.2130000000000001</v>
      </c>
      <c r="O1251" s="6">
        <v>3.2130000000000001</v>
      </c>
      <c r="P1251" s="6">
        <v>0</v>
      </c>
      <c r="Q1251" s="4" t="s">
        <v>26</v>
      </c>
      <c r="R1251" s="4">
        <v>0</v>
      </c>
      <c r="S1251" s="6">
        <v>0</v>
      </c>
      <c r="T1251" s="6">
        <v>24</v>
      </c>
      <c r="U1251" s="6">
        <v>66</v>
      </c>
      <c r="V1251" s="6">
        <f>IF(ISERROR(VLOOKUP($S$1251,'TAR FIN'!$A$1:$O$95,15,0)),0,VLOOKUP($S$1251,'TAR FIN'!$A$1:$O$95,15,0))</f>
        <v>0</v>
      </c>
      <c r="W1251" s="6">
        <f>IF(ISERROR(VLOOKUP($T$1251,'TAR FIN'!$A$1:$O$95,15,0)),0,VLOOKUP($T$1251,'TAR FIN'!$A$1:$O$95,15,0))</f>
        <v>1434.79</v>
      </c>
      <c r="X1251" s="6">
        <f>IF(ISERROR(VLOOKUP($U$1251,'TAR FIN'!$A$1:$O$95,15,0)),0,VLOOKUP($U$1251,'TAR FIN'!$A$1:$O$95,15,0))</f>
        <v>389.28</v>
      </c>
      <c r="Y1251" s="6"/>
      <c r="Z1251" s="6">
        <f ca="1">('TUSD BE'!$AM$16+'TUSD BF'!$AM$16+'TUSD CVA'!$AM$16)*1</f>
        <v>1605.9916314233351</v>
      </c>
      <c r="AA1251" s="6">
        <f>('TE BE'!$AA$7+'TE BF'!$AA$7+'TE CVA'!$AA$7)*1</f>
        <v>454.3285679284046</v>
      </c>
      <c r="AB1251" s="6">
        <f>$K$1251*$V$1251</f>
        <v>0</v>
      </c>
      <c r="AC1251" s="6">
        <f>$M$1251*$W$1251</f>
        <v>4609.98027</v>
      </c>
      <c r="AD1251" s="6">
        <f>$O$1251*$X$1251</f>
        <v>1250.7566399999998</v>
      </c>
      <c r="AE1251" s="6">
        <f>$K$1251*$Y$1251</f>
        <v>0</v>
      </c>
      <c r="AF1251" s="6">
        <f ca="1">$M$1251*$Z$1251</f>
        <v>5160.0511117631759</v>
      </c>
      <c r="AG1251" s="6">
        <f>$O$1251*$AA$1251</f>
        <v>1459.757688753964</v>
      </c>
    </row>
    <row r="1252" spans="1:33" ht="11.25" customHeight="1" x14ac:dyDescent="0.25">
      <c r="A1252" s="4" t="s">
        <v>21</v>
      </c>
      <c r="B1252" s="4" t="s">
        <v>35</v>
      </c>
      <c r="C1252" s="4" t="s">
        <v>36</v>
      </c>
      <c r="D1252" s="4" t="s">
        <v>48</v>
      </c>
      <c r="E1252" s="4" t="s">
        <v>25</v>
      </c>
      <c r="F1252" s="4" t="s">
        <v>25</v>
      </c>
      <c r="G1252" s="4" t="s">
        <v>25</v>
      </c>
      <c r="H1252" s="4" t="s">
        <v>37</v>
      </c>
      <c r="I1252" s="5">
        <v>44166</v>
      </c>
      <c r="J1252" s="6">
        <v>0</v>
      </c>
      <c r="K1252" s="6">
        <v>0</v>
      </c>
      <c r="L1252" s="6">
        <v>936.32</v>
      </c>
      <c r="M1252" s="6">
        <v>936.32</v>
      </c>
      <c r="N1252" s="6">
        <v>936.32</v>
      </c>
      <c r="O1252" s="6">
        <v>936.32</v>
      </c>
      <c r="P1252" s="6">
        <v>0</v>
      </c>
      <c r="Q1252" s="4" t="s">
        <v>26</v>
      </c>
      <c r="R1252" s="4">
        <v>0</v>
      </c>
      <c r="S1252" s="6">
        <v>0</v>
      </c>
      <c r="T1252" s="6">
        <v>24</v>
      </c>
      <c r="U1252" s="6">
        <v>66</v>
      </c>
      <c r="V1252" s="6">
        <f>IF(ISERROR(VLOOKUP($S$1252,'TAR FIN'!$A$1:$O$95,15,0)),0,VLOOKUP($S$1252,'TAR FIN'!$A$1:$O$95,15,0))</f>
        <v>0</v>
      </c>
      <c r="W1252" s="6">
        <f>IF(ISERROR(VLOOKUP($T$1252,'TAR FIN'!$A$1:$O$95,15,0)),0,VLOOKUP($T$1252,'TAR FIN'!$A$1:$O$95,15,0))</f>
        <v>1434.79</v>
      </c>
      <c r="X1252" s="6">
        <f>IF(ISERROR(VLOOKUP($U$1252,'TAR FIN'!$A$1:$O$95,15,0)),0,VLOOKUP($U$1252,'TAR FIN'!$A$1:$O$95,15,0))</f>
        <v>389.28</v>
      </c>
      <c r="Y1252" s="6"/>
      <c r="Z1252" s="6">
        <f ca="1">('TUSD BE'!$AM$16+'TUSD BF'!$AM$16+'TUSD CVA'!$AM$16)*1</f>
        <v>1605.9916314233351</v>
      </c>
      <c r="AA1252" s="6">
        <f>('TE BE'!$AA$7+'TE BF'!$AA$7+'TE CVA'!$AA$7)*1</f>
        <v>454.3285679284046</v>
      </c>
      <c r="AB1252" s="6">
        <f>$K$1252*$V$1252</f>
        <v>0</v>
      </c>
      <c r="AC1252" s="6">
        <f>$M$1252*$W$1252</f>
        <v>1343422.5728</v>
      </c>
      <c r="AD1252" s="6">
        <f>$O$1252*$X$1252</f>
        <v>364490.6496</v>
      </c>
      <c r="AE1252" s="6">
        <f>$K$1252*$Y$1252</f>
        <v>0</v>
      </c>
      <c r="AF1252" s="6">
        <f ca="1">$M$1252*$Z$1252</f>
        <v>1503722.0843342971</v>
      </c>
      <c r="AG1252" s="6">
        <f>$O$1252*$AA$1252</f>
        <v>425396.92472272384</v>
      </c>
    </row>
    <row r="1253" spans="1:33" ht="11.25" customHeight="1" x14ac:dyDescent="0.25">
      <c r="A1253" s="4" t="s">
        <v>27</v>
      </c>
      <c r="B1253" s="4" t="s">
        <v>35</v>
      </c>
      <c r="C1253" s="4" t="s">
        <v>36</v>
      </c>
      <c r="D1253" s="4" t="s">
        <v>48</v>
      </c>
      <c r="E1253" s="4" t="s">
        <v>25</v>
      </c>
      <c r="F1253" s="4" t="s">
        <v>25</v>
      </c>
      <c r="G1253" s="4" t="s">
        <v>25</v>
      </c>
      <c r="H1253" s="4" t="s">
        <v>37</v>
      </c>
      <c r="I1253" s="5">
        <v>44166</v>
      </c>
      <c r="J1253" s="6">
        <v>0</v>
      </c>
      <c r="K1253" s="6">
        <v>0</v>
      </c>
      <c r="L1253" s="6">
        <v>0.47199999999999998</v>
      </c>
      <c r="M1253" s="6">
        <v>0.47199999999999998</v>
      </c>
      <c r="N1253" s="6">
        <v>0.47199999999999998</v>
      </c>
      <c r="O1253" s="6">
        <v>0.47199999999999998</v>
      </c>
      <c r="P1253" s="6">
        <v>0</v>
      </c>
      <c r="Q1253" s="4" t="s">
        <v>26</v>
      </c>
      <c r="R1253" s="4">
        <v>0</v>
      </c>
      <c r="S1253" s="6">
        <v>0</v>
      </c>
      <c r="T1253" s="6">
        <v>24</v>
      </c>
      <c r="U1253" s="6">
        <v>66</v>
      </c>
      <c r="V1253" s="6">
        <f>IF(ISERROR(VLOOKUP($S$1253,'TAR FIN'!$A$1:$O$95,15,0)),0,VLOOKUP($S$1253,'TAR FIN'!$A$1:$O$95,15,0))</f>
        <v>0</v>
      </c>
      <c r="W1253" s="6">
        <f>IF(ISERROR(VLOOKUP($T$1253,'TAR FIN'!$A$1:$O$95,15,0)),0,VLOOKUP($T$1253,'TAR FIN'!$A$1:$O$95,15,0))</f>
        <v>1434.79</v>
      </c>
      <c r="X1253" s="6">
        <f>IF(ISERROR(VLOOKUP($U$1253,'TAR FIN'!$A$1:$O$95,15,0)),0,VLOOKUP($U$1253,'TAR FIN'!$A$1:$O$95,15,0))</f>
        <v>389.28</v>
      </c>
      <c r="Y1253" s="6"/>
      <c r="Z1253" s="6">
        <f ca="1">('TUSD BE'!$AM$16+'TUSD BF'!$AM$16+'TUSD CVA'!$AM$16)*1</f>
        <v>1605.9916314233351</v>
      </c>
      <c r="AA1253" s="6">
        <f>('TE BE'!$AA$7+'TE BF'!$AA$7+'TE CVA'!$AA$7)*1</f>
        <v>454.3285679284046</v>
      </c>
      <c r="AB1253" s="6">
        <f>$K$1253*$V$1253</f>
        <v>0</v>
      </c>
      <c r="AC1253" s="6">
        <f>$M$1253*$W$1253</f>
        <v>677.22087999999997</v>
      </c>
      <c r="AD1253" s="6">
        <f>$O$1253*$X$1253</f>
        <v>183.74015999999997</v>
      </c>
      <c r="AE1253" s="6">
        <f>$K$1253*$Y$1253</f>
        <v>0</v>
      </c>
      <c r="AF1253" s="6">
        <f ca="1">$M$1253*$Z$1253</f>
        <v>758.02805003181413</v>
      </c>
      <c r="AG1253" s="6">
        <f>$O$1253*$AA$1253</f>
        <v>214.44308406220696</v>
      </c>
    </row>
    <row r="1254" spans="1:33" ht="11.25" customHeight="1" x14ac:dyDescent="0.25">
      <c r="A1254" s="4" t="s">
        <v>28</v>
      </c>
      <c r="B1254" s="4" t="s">
        <v>35</v>
      </c>
      <c r="C1254" s="4" t="s">
        <v>36</v>
      </c>
      <c r="D1254" s="4" t="s">
        <v>48</v>
      </c>
      <c r="E1254" s="4" t="s">
        <v>25</v>
      </c>
      <c r="F1254" s="4" t="s">
        <v>25</v>
      </c>
      <c r="G1254" s="4" t="s">
        <v>25</v>
      </c>
      <c r="H1254" s="4" t="s">
        <v>37</v>
      </c>
      <c r="I1254" s="5">
        <v>44166</v>
      </c>
      <c r="J1254" s="6">
        <v>0</v>
      </c>
      <c r="K1254" s="6">
        <v>0</v>
      </c>
      <c r="L1254" s="6">
        <v>337.07499999999999</v>
      </c>
      <c r="M1254" s="6">
        <v>337.07499999999999</v>
      </c>
      <c r="N1254" s="6">
        <v>337.07499999999999</v>
      </c>
      <c r="O1254" s="6">
        <v>337.07499999999999</v>
      </c>
      <c r="P1254" s="6">
        <v>0</v>
      </c>
      <c r="Q1254" s="4" t="s">
        <v>26</v>
      </c>
      <c r="R1254" s="4">
        <v>0</v>
      </c>
      <c r="S1254" s="6">
        <v>0</v>
      </c>
      <c r="T1254" s="6">
        <v>24</v>
      </c>
      <c r="U1254" s="6">
        <v>66</v>
      </c>
      <c r="V1254" s="6">
        <f>IF(ISERROR(VLOOKUP($S$1254,'TAR FIN'!$A$1:$O$95,15,0)),0,VLOOKUP($S$1254,'TAR FIN'!$A$1:$O$95,15,0))</f>
        <v>0</v>
      </c>
      <c r="W1254" s="6">
        <f>IF(ISERROR(VLOOKUP($T$1254,'TAR FIN'!$A$1:$O$95,15,0)),0,VLOOKUP($T$1254,'TAR FIN'!$A$1:$O$95,15,0))</f>
        <v>1434.79</v>
      </c>
      <c r="X1254" s="6">
        <f>IF(ISERROR(VLOOKUP($U$1254,'TAR FIN'!$A$1:$O$95,15,0)),0,VLOOKUP($U$1254,'TAR FIN'!$A$1:$O$95,15,0))</f>
        <v>389.28</v>
      </c>
      <c r="Y1254" s="6"/>
      <c r="Z1254" s="6">
        <f ca="1">('TUSD BE'!$AM$16+'TUSD BF'!$AM$16+'TUSD CVA'!$AM$16)*1</f>
        <v>1605.9916314233351</v>
      </c>
      <c r="AA1254" s="6">
        <f>('TE BE'!$AA$7+'TE BF'!$AA$7+'TE CVA'!$AA$7)*1</f>
        <v>454.3285679284046</v>
      </c>
      <c r="AB1254" s="6">
        <f>$K$1254*$V$1254</f>
        <v>0</v>
      </c>
      <c r="AC1254" s="6">
        <f>$M$1254*$W$1254</f>
        <v>483631.83924999996</v>
      </c>
      <c r="AD1254" s="6">
        <f>$O$1254*$X$1254</f>
        <v>131216.55599999998</v>
      </c>
      <c r="AE1254" s="6">
        <f>$K$1254*$Y$1254</f>
        <v>0</v>
      </c>
      <c r="AF1254" s="6">
        <f ca="1">$M$1254*$Z$1254</f>
        <v>541339.62916202063</v>
      </c>
      <c r="AG1254" s="6">
        <f>$O$1254*$AA$1254</f>
        <v>153142.80203446696</v>
      </c>
    </row>
    <row r="1255" spans="1:33" ht="11.25" customHeight="1" x14ac:dyDescent="0.25">
      <c r="A1255" s="4" t="s">
        <v>29</v>
      </c>
      <c r="B1255" s="4" t="s">
        <v>35</v>
      </c>
      <c r="C1255" s="4" t="s">
        <v>36</v>
      </c>
      <c r="D1255" s="4" t="s">
        <v>48</v>
      </c>
      <c r="E1255" s="4" t="s">
        <v>25</v>
      </c>
      <c r="F1255" s="4" t="s">
        <v>25</v>
      </c>
      <c r="G1255" s="4" t="s">
        <v>25</v>
      </c>
      <c r="H1255" s="4" t="s">
        <v>37</v>
      </c>
      <c r="I1255" s="5">
        <v>44166</v>
      </c>
      <c r="J1255" s="6">
        <v>0</v>
      </c>
      <c r="K1255" s="6">
        <v>0</v>
      </c>
      <c r="L1255" s="6">
        <v>2.8719999999999999</v>
      </c>
      <c r="M1255" s="6">
        <v>2.8719999999999999</v>
      </c>
      <c r="N1255" s="6">
        <v>2.8719999999999999</v>
      </c>
      <c r="O1255" s="6">
        <v>2.8719999999999999</v>
      </c>
      <c r="P1255" s="6">
        <v>0</v>
      </c>
      <c r="Q1255" s="4" t="s">
        <v>26</v>
      </c>
      <c r="R1255" s="4">
        <v>0</v>
      </c>
      <c r="S1255" s="6">
        <v>0</v>
      </c>
      <c r="T1255" s="6">
        <v>24</v>
      </c>
      <c r="U1255" s="6">
        <v>66</v>
      </c>
      <c r="V1255" s="6">
        <f>IF(ISERROR(VLOOKUP($S$1255,'TAR FIN'!$A$1:$O$95,15,0)),0,VLOOKUP($S$1255,'TAR FIN'!$A$1:$O$95,15,0))</f>
        <v>0</v>
      </c>
      <c r="W1255" s="6">
        <f>IF(ISERROR(VLOOKUP($T$1255,'TAR FIN'!$A$1:$O$95,15,0)),0,VLOOKUP($T$1255,'TAR FIN'!$A$1:$O$95,15,0))</f>
        <v>1434.79</v>
      </c>
      <c r="X1255" s="6">
        <f>IF(ISERROR(VLOOKUP($U$1255,'TAR FIN'!$A$1:$O$95,15,0)),0,VLOOKUP($U$1255,'TAR FIN'!$A$1:$O$95,15,0))</f>
        <v>389.28</v>
      </c>
      <c r="Y1255" s="6"/>
      <c r="Z1255" s="6">
        <f ca="1">('TUSD BE'!$AM$16+'TUSD BF'!$AM$16+'TUSD CVA'!$AM$16)*1</f>
        <v>1605.9916314233351</v>
      </c>
      <c r="AA1255" s="6">
        <f>('TE BE'!$AA$7+'TE BF'!$AA$7+'TE CVA'!$AA$7)*1</f>
        <v>454.3285679284046</v>
      </c>
      <c r="AB1255" s="6">
        <f>$K$1255*$V$1255</f>
        <v>0</v>
      </c>
      <c r="AC1255" s="6">
        <f>$M$1255*$W$1255</f>
        <v>4120.7168799999999</v>
      </c>
      <c r="AD1255" s="6">
        <f>$O$1255*$X$1255</f>
        <v>1118.0121599999998</v>
      </c>
      <c r="AE1255" s="6">
        <f>$K$1255*$Y$1255</f>
        <v>0</v>
      </c>
      <c r="AF1255" s="6">
        <f ca="1">$M$1255*$Z$1255</f>
        <v>4612.4079654478182</v>
      </c>
      <c r="AG1255" s="6">
        <f>$O$1255*$AA$1255</f>
        <v>1304.8316470903781</v>
      </c>
    </row>
    <row r="1256" spans="1:33" ht="11.25" customHeight="1" x14ac:dyDescent="0.25">
      <c r="A1256" s="4" t="s">
        <v>30</v>
      </c>
      <c r="B1256" s="4" t="s">
        <v>35</v>
      </c>
      <c r="C1256" s="4" t="s">
        <v>36</v>
      </c>
      <c r="D1256" s="4" t="s">
        <v>48</v>
      </c>
      <c r="E1256" s="4" t="s">
        <v>25</v>
      </c>
      <c r="F1256" s="4" t="s">
        <v>25</v>
      </c>
      <c r="G1256" s="4" t="s">
        <v>25</v>
      </c>
      <c r="H1256" s="4" t="s">
        <v>37</v>
      </c>
      <c r="I1256" s="5">
        <v>44166</v>
      </c>
      <c r="J1256" s="6">
        <v>0</v>
      </c>
      <c r="K1256" s="6">
        <v>0</v>
      </c>
      <c r="L1256" s="6">
        <v>3.58</v>
      </c>
      <c r="M1256" s="6">
        <v>3.58</v>
      </c>
      <c r="N1256" s="6">
        <v>3.58</v>
      </c>
      <c r="O1256" s="6">
        <v>3.58</v>
      </c>
      <c r="P1256" s="6">
        <v>0</v>
      </c>
      <c r="Q1256" s="4" t="s">
        <v>26</v>
      </c>
      <c r="R1256" s="4">
        <v>0</v>
      </c>
      <c r="S1256" s="6">
        <v>0</v>
      </c>
      <c r="T1256" s="6">
        <v>24</v>
      </c>
      <c r="U1256" s="6">
        <v>66</v>
      </c>
      <c r="V1256" s="6">
        <f>IF(ISERROR(VLOOKUP($S$1256,'TAR FIN'!$A$1:$O$95,15,0)),0,VLOOKUP($S$1256,'TAR FIN'!$A$1:$O$95,15,0))</f>
        <v>0</v>
      </c>
      <c r="W1256" s="6">
        <f>IF(ISERROR(VLOOKUP($T$1256,'TAR FIN'!$A$1:$O$95,15,0)),0,VLOOKUP($T$1256,'TAR FIN'!$A$1:$O$95,15,0))</f>
        <v>1434.79</v>
      </c>
      <c r="X1256" s="6">
        <f>IF(ISERROR(VLOOKUP($U$1256,'TAR FIN'!$A$1:$O$95,15,0)),0,VLOOKUP($U$1256,'TAR FIN'!$A$1:$O$95,15,0))</f>
        <v>389.28</v>
      </c>
      <c r="Y1256" s="6"/>
      <c r="Z1256" s="6">
        <f ca="1">('TUSD BE'!$AM$16+'TUSD BF'!$AM$16+'TUSD CVA'!$AM$16)*1</f>
        <v>1605.9916314233351</v>
      </c>
      <c r="AA1256" s="6">
        <f>('TE BE'!$AA$7+'TE BF'!$AA$7+'TE CVA'!$AA$7)*1</f>
        <v>454.3285679284046</v>
      </c>
      <c r="AB1256" s="6">
        <f>$K$1256*$V$1256</f>
        <v>0</v>
      </c>
      <c r="AC1256" s="6">
        <f>$M$1256*$W$1256</f>
        <v>5136.5482000000002</v>
      </c>
      <c r="AD1256" s="6">
        <f>$O$1256*$X$1256</f>
        <v>1393.6224</v>
      </c>
      <c r="AE1256" s="6">
        <f>$K$1256*$Y$1256</f>
        <v>0</v>
      </c>
      <c r="AF1256" s="6">
        <f ca="1">$M$1256*$Z$1256</f>
        <v>5749.4500404955397</v>
      </c>
      <c r="AG1256" s="6">
        <f>$O$1256*$AA$1256</f>
        <v>1626.4962731836886</v>
      </c>
    </row>
    <row r="1257" spans="1:33" ht="11.25" customHeight="1" x14ac:dyDescent="0.25">
      <c r="A1257" s="4" t="s">
        <v>21</v>
      </c>
      <c r="B1257" s="4" t="s">
        <v>35</v>
      </c>
      <c r="C1257" s="4" t="s">
        <v>36</v>
      </c>
      <c r="D1257" s="4" t="s">
        <v>48</v>
      </c>
      <c r="E1257" s="4" t="s">
        <v>25</v>
      </c>
      <c r="F1257" s="4" t="s">
        <v>25</v>
      </c>
      <c r="G1257" s="4" t="s">
        <v>25</v>
      </c>
      <c r="H1257" s="4" t="s">
        <v>37</v>
      </c>
      <c r="I1257" s="5">
        <v>44197</v>
      </c>
      <c r="J1257" s="6">
        <v>0</v>
      </c>
      <c r="K1257" s="6">
        <v>0</v>
      </c>
      <c r="L1257" s="6">
        <v>742.05799999999999</v>
      </c>
      <c r="M1257" s="6">
        <v>742.05799999999999</v>
      </c>
      <c r="N1257" s="6">
        <v>742.05799999999999</v>
      </c>
      <c r="O1257" s="6">
        <v>742.05799999999999</v>
      </c>
      <c r="P1257" s="6">
        <v>0</v>
      </c>
      <c r="Q1257" s="4" t="s">
        <v>26</v>
      </c>
      <c r="R1257" s="4">
        <v>0</v>
      </c>
      <c r="S1257" s="6">
        <v>0</v>
      </c>
      <c r="T1257" s="6">
        <v>24</v>
      </c>
      <c r="U1257" s="6">
        <v>66</v>
      </c>
      <c r="V1257" s="6">
        <f>IF(ISERROR(VLOOKUP($S$1257,'TAR FIN'!$A$1:$O$95,15,0)),0,VLOOKUP($S$1257,'TAR FIN'!$A$1:$O$95,15,0))</f>
        <v>0</v>
      </c>
      <c r="W1257" s="6">
        <f>IF(ISERROR(VLOOKUP($T$1257,'TAR FIN'!$A$1:$O$95,15,0)),0,VLOOKUP($T$1257,'TAR FIN'!$A$1:$O$95,15,0))</f>
        <v>1434.79</v>
      </c>
      <c r="X1257" s="6">
        <f>IF(ISERROR(VLOOKUP($U$1257,'TAR FIN'!$A$1:$O$95,15,0)),0,VLOOKUP($U$1257,'TAR FIN'!$A$1:$O$95,15,0))</f>
        <v>389.28</v>
      </c>
      <c r="Y1257" s="6"/>
      <c r="Z1257" s="6">
        <f ca="1">('TUSD BE'!$AM$16+'TUSD BF'!$AM$16+'TUSD CVA'!$AM$16)*1</f>
        <v>1605.9916314233351</v>
      </c>
      <c r="AA1257" s="6">
        <f>('TE BE'!$AA$7+'TE BF'!$AA$7+'TE CVA'!$AA$7)*1</f>
        <v>454.3285679284046</v>
      </c>
      <c r="AB1257" s="6">
        <f>$K$1257*$V$1257</f>
        <v>0</v>
      </c>
      <c r="AC1257" s="6">
        <f>$M$1257*$W$1257</f>
        <v>1064697.3978200001</v>
      </c>
      <c r="AD1257" s="6">
        <f>$O$1257*$X$1257</f>
        <v>288868.33823999995</v>
      </c>
      <c r="AE1257" s="6">
        <f>$K$1257*$Y$1257</f>
        <v>0</v>
      </c>
      <c r="AF1257" s="6">
        <f ca="1">$M$1257*$Z$1257</f>
        <v>1191738.9380307372</v>
      </c>
      <c r="AG1257" s="6">
        <f>$O$1257*$AA$1257</f>
        <v>337138.14845981606</v>
      </c>
    </row>
    <row r="1258" spans="1:33" ht="11.25" customHeight="1" x14ac:dyDescent="0.25">
      <c r="A1258" s="4" t="s">
        <v>28</v>
      </c>
      <c r="B1258" s="4" t="s">
        <v>35</v>
      </c>
      <c r="C1258" s="4" t="s">
        <v>36</v>
      </c>
      <c r="D1258" s="4" t="s">
        <v>48</v>
      </c>
      <c r="E1258" s="4" t="s">
        <v>25</v>
      </c>
      <c r="F1258" s="4" t="s">
        <v>25</v>
      </c>
      <c r="G1258" s="4" t="s">
        <v>25</v>
      </c>
      <c r="H1258" s="4" t="s">
        <v>37</v>
      </c>
      <c r="I1258" s="5">
        <v>44197</v>
      </c>
      <c r="J1258" s="6">
        <v>0</v>
      </c>
      <c r="K1258" s="6">
        <v>0</v>
      </c>
      <c r="L1258" s="6">
        <v>220.649</v>
      </c>
      <c r="M1258" s="6">
        <v>220.649</v>
      </c>
      <c r="N1258" s="6">
        <v>220.649</v>
      </c>
      <c r="O1258" s="6">
        <v>220.649</v>
      </c>
      <c r="P1258" s="6">
        <v>0</v>
      </c>
      <c r="Q1258" s="4" t="s">
        <v>26</v>
      </c>
      <c r="R1258" s="4">
        <v>0</v>
      </c>
      <c r="S1258" s="6">
        <v>0</v>
      </c>
      <c r="T1258" s="6">
        <v>24</v>
      </c>
      <c r="U1258" s="6">
        <v>66</v>
      </c>
      <c r="V1258" s="6">
        <f>IF(ISERROR(VLOOKUP($S$1258,'TAR FIN'!$A$1:$O$95,15,0)),0,VLOOKUP($S$1258,'TAR FIN'!$A$1:$O$95,15,0))</f>
        <v>0</v>
      </c>
      <c r="W1258" s="6">
        <f>IF(ISERROR(VLOOKUP($T$1258,'TAR FIN'!$A$1:$O$95,15,0)),0,VLOOKUP($T$1258,'TAR FIN'!$A$1:$O$95,15,0))</f>
        <v>1434.79</v>
      </c>
      <c r="X1258" s="6">
        <f>IF(ISERROR(VLOOKUP($U$1258,'TAR FIN'!$A$1:$O$95,15,0)),0,VLOOKUP($U$1258,'TAR FIN'!$A$1:$O$95,15,0))</f>
        <v>389.28</v>
      </c>
      <c r="Y1258" s="6"/>
      <c r="Z1258" s="6">
        <f ca="1">('TUSD BE'!$AM$16+'TUSD BF'!$AM$16+'TUSD CVA'!$AM$16)*1</f>
        <v>1605.9916314233351</v>
      </c>
      <c r="AA1258" s="6">
        <f>('TE BE'!$AA$7+'TE BF'!$AA$7+'TE CVA'!$AA$7)*1</f>
        <v>454.3285679284046</v>
      </c>
      <c r="AB1258" s="6">
        <f>$K$1258*$V$1258</f>
        <v>0</v>
      </c>
      <c r="AC1258" s="6">
        <f>$M$1258*$W$1258</f>
        <v>316584.97871</v>
      </c>
      <c r="AD1258" s="6">
        <f>$O$1258*$X$1258</f>
        <v>85894.242719999995</v>
      </c>
      <c r="AE1258" s="6">
        <f>$K$1258*$Y$1258</f>
        <v>0</v>
      </c>
      <c r="AF1258" s="6">
        <f ca="1">$M$1258*$Z$1258</f>
        <v>354360.44748192746</v>
      </c>
      <c r="AG1258" s="6">
        <f>$O$1258*$AA$1258</f>
        <v>100247.14418483454</v>
      </c>
    </row>
    <row r="1259" spans="1:33" ht="11.25" customHeight="1" x14ac:dyDescent="0.25">
      <c r="A1259" s="4" t="s">
        <v>29</v>
      </c>
      <c r="B1259" s="4" t="s">
        <v>35</v>
      </c>
      <c r="C1259" s="4" t="s">
        <v>36</v>
      </c>
      <c r="D1259" s="4" t="s">
        <v>48</v>
      </c>
      <c r="E1259" s="4" t="s">
        <v>25</v>
      </c>
      <c r="F1259" s="4" t="s">
        <v>25</v>
      </c>
      <c r="G1259" s="4" t="s">
        <v>25</v>
      </c>
      <c r="H1259" s="4" t="s">
        <v>37</v>
      </c>
      <c r="I1259" s="5">
        <v>44197</v>
      </c>
      <c r="J1259" s="6">
        <v>0</v>
      </c>
      <c r="K1259" s="6">
        <v>0</v>
      </c>
      <c r="L1259" s="6">
        <v>-2.8719999999999999</v>
      </c>
      <c r="M1259" s="6">
        <v>-2.8719999999999999</v>
      </c>
      <c r="N1259" s="6">
        <v>-2.8719999999999999</v>
      </c>
      <c r="O1259" s="6">
        <v>-2.8719999999999999</v>
      </c>
      <c r="P1259" s="6">
        <v>0</v>
      </c>
      <c r="Q1259" s="4" t="s">
        <v>26</v>
      </c>
      <c r="R1259" s="4">
        <v>0</v>
      </c>
      <c r="S1259" s="6">
        <v>0</v>
      </c>
      <c r="T1259" s="6">
        <v>24</v>
      </c>
      <c r="U1259" s="6">
        <v>66</v>
      </c>
      <c r="V1259" s="6">
        <f>IF(ISERROR(VLOOKUP($S$1259,'TAR FIN'!$A$1:$O$95,15,0)),0,VLOOKUP($S$1259,'TAR FIN'!$A$1:$O$95,15,0))</f>
        <v>0</v>
      </c>
      <c r="W1259" s="6">
        <f>IF(ISERROR(VLOOKUP($T$1259,'TAR FIN'!$A$1:$O$95,15,0)),0,VLOOKUP($T$1259,'TAR FIN'!$A$1:$O$95,15,0))</f>
        <v>1434.79</v>
      </c>
      <c r="X1259" s="6">
        <f>IF(ISERROR(VLOOKUP($U$1259,'TAR FIN'!$A$1:$O$95,15,0)),0,VLOOKUP($U$1259,'TAR FIN'!$A$1:$O$95,15,0))</f>
        <v>389.28</v>
      </c>
      <c r="Y1259" s="6"/>
      <c r="Z1259" s="6">
        <f ca="1">('TUSD BE'!$AM$16+'TUSD BF'!$AM$16+'TUSD CVA'!$AM$16)*1</f>
        <v>1605.9916314233351</v>
      </c>
      <c r="AA1259" s="6">
        <f>('TE BE'!$AA$7+'TE BF'!$AA$7+'TE CVA'!$AA$7)*1</f>
        <v>454.3285679284046</v>
      </c>
      <c r="AB1259" s="6">
        <f>$K$1259*$V$1259</f>
        <v>0</v>
      </c>
      <c r="AC1259" s="6">
        <f>$M$1259*$W$1259</f>
        <v>-4120.7168799999999</v>
      </c>
      <c r="AD1259" s="6">
        <f>$O$1259*$X$1259</f>
        <v>-1118.0121599999998</v>
      </c>
      <c r="AE1259" s="6">
        <f>$K$1259*$Y$1259</f>
        <v>0</v>
      </c>
      <c r="AF1259" s="6">
        <f ca="1">$M$1259*$Z$1259</f>
        <v>-4612.4079654478182</v>
      </c>
      <c r="AG1259" s="6">
        <f>$O$1259*$AA$1259</f>
        <v>-1304.8316470903781</v>
      </c>
    </row>
    <row r="1260" spans="1:33" ht="11.25" customHeight="1" x14ac:dyDescent="0.25">
      <c r="A1260" s="4" t="s">
        <v>30</v>
      </c>
      <c r="B1260" s="4" t="s">
        <v>35</v>
      </c>
      <c r="C1260" s="4" t="s">
        <v>36</v>
      </c>
      <c r="D1260" s="4" t="s">
        <v>48</v>
      </c>
      <c r="E1260" s="4" t="s">
        <v>25</v>
      </c>
      <c r="F1260" s="4" t="s">
        <v>25</v>
      </c>
      <c r="G1260" s="4" t="s">
        <v>25</v>
      </c>
      <c r="H1260" s="4" t="s">
        <v>37</v>
      </c>
      <c r="I1260" s="5">
        <v>44197</v>
      </c>
      <c r="J1260" s="6">
        <v>0</v>
      </c>
      <c r="K1260" s="6">
        <v>0</v>
      </c>
      <c r="L1260" s="6">
        <v>2.8660000000000001</v>
      </c>
      <c r="M1260" s="6">
        <v>2.8660000000000001</v>
      </c>
      <c r="N1260" s="6">
        <v>2.8660000000000001</v>
      </c>
      <c r="O1260" s="6">
        <v>2.8660000000000001</v>
      </c>
      <c r="P1260" s="6">
        <v>0</v>
      </c>
      <c r="Q1260" s="4" t="s">
        <v>26</v>
      </c>
      <c r="R1260" s="4">
        <v>0</v>
      </c>
      <c r="S1260" s="6">
        <v>0</v>
      </c>
      <c r="T1260" s="6">
        <v>24</v>
      </c>
      <c r="U1260" s="6">
        <v>66</v>
      </c>
      <c r="V1260" s="6">
        <f>IF(ISERROR(VLOOKUP($S$1260,'TAR FIN'!$A$1:$O$95,15,0)),0,VLOOKUP($S$1260,'TAR FIN'!$A$1:$O$95,15,0))</f>
        <v>0</v>
      </c>
      <c r="W1260" s="6">
        <f>IF(ISERROR(VLOOKUP($T$1260,'TAR FIN'!$A$1:$O$95,15,0)),0,VLOOKUP($T$1260,'TAR FIN'!$A$1:$O$95,15,0))</f>
        <v>1434.79</v>
      </c>
      <c r="X1260" s="6">
        <f>IF(ISERROR(VLOOKUP($U$1260,'TAR FIN'!$A$1:$O$95,15,0)),0,VLOOKUP($U$1260,'TAR FIN'!$A$1:$O$95,15,0))</f>
        <v>389.28</v>
      </c>
      <c r="Y1260" s="6"/>
      <c r="Z1260" s="6">
        <f ca="1">('TUSD BE'!$AM$16+'TUSD BF'!$AM$16+'TUSD CVA'!$AM$16)*1</f>
        <v>1605.9916314233351</v>
      </c>
      <c r="AA1260" s="6">
        <f>('TE BE'!$AA$7+'TE BF'!$AA$7+'TE CVA'!$AA$7)*1</f>
        <v>454.3285679284046</v>
      </c>
      <c r="AB1260" s="6">
        <f>$K$1260*$V$1260</f>
        <v>0</v>
      </c>
      <c r="AC1260" s="6">
        <f>$M$1260*$W$1260</f>
        <v>4112.1081400000003</v>
      </c>
      <c r="AD1260" s="6">
        <f>$O$1260*$X$1260</f>
        <v>1115.6764799999999</v>
      </c>
      <c r="AE1260" s="6">
        <f>$K$1260*$Y$1260</f>
        <v>0</v>
      </c>
      <c r="AF1260" s="6">
        <f ca="1">$M$1260*$Z$1260</f>
        <v>4602.7720156592786</v>
      </c>
      <c r="AG1260" s="6">
        <f>$O$1260*$AA$1260</f>
        <v>1302.1056756828077</v>
      </c>
    </row>
    <row r="1261" spans="1:33" ht="11.25" customHeight="1" x14ac:dyDescent="0.25">
      <c r="A1261" s="4" t="s">
        <v>21</v>
      </c>
      <c r="B1261" s="4" t="s">
        <v>35</v>
      </c>
      <c r="C1261" s="4" t="s">
        <v>36</v>
      </c>
      <c r="D1261" s="4" t="s">
        <v>48</v>
      </c>
      <c r="E1261" s="4" t="s">
        <v>25</v>
      </c>
      <c r="F1261" s="4" t="s">
        <v>25</v>
      </c>
      <c r="G1261" s="4" t="s">
        <v>25</v>
      </c>
      <c r="H1261" s="4" t="s">
        <v>37</v>
      </c>
      <c r="I1261" s="5">
        <v>44228</v>
      </c>
      <c r="J1261" s="6">
        <v>0</v>
      </c>
      <c r="K1261" s="6">
        <v>0</v>
      </c>
      <c r="L1261" s="6">
        <v>735.00199999999995</v>
      </c>
      <c r="M1261" s="6">
        <v>735.00199999999995</v>
      </c>
      <c r="N1261" s="6">
        <v>735.00199999999995</v>
      </c>
      <c r="O1261" s="6">
        <v>735.00199999999995</v>
      </c>
      <c r="P1261" s="6">
        <v>0</v>
      </c>
      <c r="Q1261" s="4" t="s">
        <v>26</v>
      </c>
      <c r="R1261" s="4">
        <v>0</v>
      </c>
      <c r="S1261" s="6">
        <v>0</v>
      </c>
      <c r="T1261" s="6">
        <v>24</v>
      </c>
      <c r="U1261" s="6">
        <v>66</v>
      </c>
      <c r="V1261" s="6">
        <f>IF(ISERROR(VLOOKUP($S$1261,'TAR FIN'!$A$1:$O$95,15,0)),0,VLOOKUP($S$1261,'TAR FIN'!$A$1:$O$95,15,0))</f>
        <v>0</v>
      </c>
      <c r="W1261" s="6">
        <f>IF(ISERROR(VLOOKUP($T$1261,'TAR FIN'!$A$1:$O$95,15,0)),0,VLOOKUP($T$1261,'TAR FIN'!$A$1:$O$95,15,0))</f>
        <v>1434.79</v>
      </c>
      <c r="X1261" s="6">
        <f>IF(ISERROR(VLOOKUP($U$1261,'TAR FIN'!$A$1:$O$95,15,0)),0,VLOOKUP($U$1261,'TAR FIN'!$A$1:$O$95,15,0))</f>
        <v>389.28</v>
      </c>
      <c r="Y1261" s="6"/>
      <c r="Z1261" s="6">
        <f ca="1">('TUSD BE'!$AM$16+'TUSD BF'!$AM$16+'TUSD CVA'!$AM$16)*1</f>
        <v>1605.9916314233351</v>
      </c>
      <c r="AA1261" s="6">
        <f>('TE BE'!$AA$7+'TE BF'!$AA$7+'TE CVA'!$AA$7)*1</f>
        <v>454.3285679284046</v>
      </c>
      <c r="AB1261" s="6">
        <f>$K$1261*$V$1261</f>
        <v>0</v>
      </c>
      <c r="AC1261" s="6">
        <f>$M$1261*$W$1261</f>
        <v>1054573.5195799998</v>
      </c>
      <c r="AD1261" s="6">
        <f>$O$1261*$X$1261</f>
        <v>286121.57855999994</v>
      </c>
      <c r="AE1261" s="6">
        <f>$K$1261*$Y$1261</f>
        <v>0</v>
      </c>
      <c r="AF1261" s="6">
        <f ca="1">$M$1261*$Z$1261</f>
        <v>1180407.0610794141</v>
      </c>
      <c r="AG1261" s="6">
        <f>$O$1261*$AA$1261</f>
        <v>333932.40608451323</v>
      </c>
    </row>
    <row r="1262" spans="1:33" ht="11.25" customHeight="1" x14ac:dyDescent="0.25">
      <c r="A1262" s="4" t="s">
        <v>28</v>
      </c>
      <c r="B1262" s="4" t="s">
        <v>35</v>
      </c>
      <c r="C1262" s="4" t="s">
        <v>36</v>
      </c>
      <c r="D1262" s="4" t="s">
        <v>48</v>
      </c>
      <c r="E1262" s="4" t="s">
        <v>25</v>
      </c>
      <c r="F1262" s="4" t="s">
        <v>25</v>
      </c>
      <c r="G1262" s="4" t="s">
        <v>25</v>
      </c>
      <c r="H1262" s="4" t="s">
        <v>37</v>
      </c>
      <c r="I1262" s="5">
        <v>44228</v>
      </c>
      <c r="J1262" s="6">
        <v>0</v>
      </c>
      <c r="K1262" s="6">
        <v>0</v>
      </c>
      <c r="L1262" s="6">
        <v>198.77500000000001</v>
      </c>
      <c r="M1262" s="6">
        <v>198.77500000000001</v>
      </c>
      <c r="N1262" s="6">
        <v>198.77500000000001</v>
      </c>
      <c r="O1262" s="6">
        <v>198.77500000000001</v>
      </c>
      <c r="P1262" s="6">
        <v>0</v>
      </c>
      <c r="Q1262" s="4" t="s">
        <v>26</v>
      </c>
      <c r="R1262" s="4">
        <v>0</v>
      </c>
      <c r="S1262" s="6">
        <v>0</v>
      </c>
      <c r="T1262" s="6">
        <v>24</v>
      </c>
      <c r="U1262" s="6">
        <v>66</v>
      </c>
      <c r="V1262" s="6">
        <f>IF(ISERROR(VLOOKUP($S$1262,'TAR FIN'!$A$1:$O$95,15,0)),0,VLOOKUP($S$1262,'TAR FIN'!$A$1:$O$95,15,0))</f>
        <v>0</v>
      </c>
      <c r="W1262" s="6">
        <f>IF(ISERROR(VLOOKUP($T$1262,'TAR FIN'!$A$1:$O$95,15,0)),0,VLOOKUP($T$1262,'TAR FIN'!$A$1:$O$95,15,0))</f>
        <v>1434.79</v>
      </c>
      <c r="X1262" s="6">
        <f>IF(ISERROR(VLOOKUP($U$1262,'TAR FIN'!$A$1:$O$95,15,0)),0,VLOOKUP($U$1262,'TAR FIN'!$A$1:$O$95,15,0))</f>
        <v>389.28</v>
      </c>
      <c r="Y1262" s="6"/>
      <c r="Z1262" s="6">
        <f ca="1">('TUSD BE'!$AM$16+'TUSD BF'!$AM$16+'TUSD CVA'!$AM$16)*1</f>
        <v>1605.9916314233351</v>
      </c>
      <c r="AA1262" s="6">
        <f>('TE BE'!$AA$7+'TE BF'!$AA$7+'TE CVA'!$AA$7)*1</f>
        <v>454.3285679284046</v>
      </c>
      <c r="AB1262" s="6">
        <f>$K$1262*$V$1262</f>
        <v>0</v>
      </c>
      <c r="AC1262" s="6">
        <f>$M$1262*$W$1262</f>
        <v>285200.38225000002</v>
      </c>
      <c r="AD1262" s="6">
        <f>$O$1262*$X$1262</f>
        <v>77379.131999999998</v>
      </c>
      <c r="AE1262" s="6">
        <f>$K$1262*$Y$1262</f>
        <v>0</v>
      </c>
      <c r="AF1262" s="6">
        <f ca="1">$M$1262*$Z$1262</f>
        <v>319230.98653617344</v>
      </c>
      <c r="AG1262" s="6">
        <f>$O$1262*$AA$1262</f>
        <v>90309.16108996862</v>
      </c>
    </row>
    <row r="1263" spans="1:33" ht="11.25" customHeight="1" x14ac:dyDescent="0.25">
      <c r="A1263" s="4" t="s">
        <v>30</v>
      </c>
      <c r="B1263" s="4" t="s">
        <v>35</v>
      </c>
      <c r="C1263" s="4" t="s">
        <v>36</v>
      </c>
      <c r="D1263" s="4" t="s">
        <v>48</v>
      </c>
      <c r="E1263" s="4" t="s">
        <v>25</v>
      </c>
      <c r="F1263" s="4" t="s">
        <v>25</v>
      </c>
      <c r="G1263" s="4" t="s">
        <v>25</v>
      </c>
      <c r="H1263" s="4" t="s">
        <v>37</v>
      </c>
      <c r="I1263" s="5">
        <v>44228</v>
      </c>
      <c r="J1263" s="6">
        <v>0</v>
      </c>
      <c r="K1263" s="6">
        <v>0</v>
      </c>
      <c r="L1263" s="6">
        <v>2.7509999999999999</v>
      </c>
      <c r="M1263" s="6">
        <v>2.7509999999999999</v>
      </c>
      <c r="N1263" s="6">
        <v>2.7509999999999999</v>
      </c>
      <c r="O1263" s="6">
        <v>2.7509999999999999</v>
      </c>
      <c r="P1263" s="6">
        <v>0</v>
      </c>
      <c r="Q1263" s="4" t="s">
        <v>26</v>
      </c>
      <c r="R1263" s="4">
        <v>0</v>
      </c>
      <c r="S1263" s="6">
        <v>0</v>
      </c>
      <c r="T1263" s="6">
        <v>24</v>
      </c>
      <c r="U1263" s="6">
        <v>66</v>
      </c>
      <c r="V1263" s="6">
        <f>IF(ISERROR(VLOOKUP($S$1263,'TAR FIN'!$A$1:$O$95,15,0)),0,VLOOKUP($S$1263,'TAR FIN'!$A$1:$O$95,15,0))</f>
        <v>0</v>
      </c>
      <c r="W1263" s="6">
        <f>IF(ISERROR(VLOOKUP($T$1263,'TAR FIN'!$A$1:$O$95,15,0)),0,VLOOKUP($T$1263,'TAR FIN'!$A$1:$O$95,15,0))</f>
        <v>1434.79</v>
      </c>
      <c r="X1263" s="6">
        <f>IF(ISERROR(VLOOKUP($U$1263,'TAR FIN'!$A$1:$O$95,15,0)),0,VLOOKUP($U$1263,'TAR FIN'!$A$1:$O$95,15,0))</f>
        <v>389.28</v>
      </c>
      <c r="Y1263" s="6"/>
      <c r="Z1263" s="6">
        <f ca="1">('TUSD BE'!$AM$16+'TUSD BF'!$AM$16+'TUSD CVA'!$AM$16)*1</f>
        <v>1605.9916314233351</v>
      </c>
      <c r="AA1263" s="6">
        <f>('TE BE'!$AA$7+'TE BF'!$AA$7+'TE CVA'!$AA$7)*1</f>
        <v>454.3285679284046</v>
      </c>
      <c r="AB1263" s="6">
        <f>$K$1263*$V$1263</f>
        <v>0</v>
      </c>
      <c r="AC1263" s="6">
        <f>$M$1263*$W$1263</f>
        <v>3947.1072899999999</v>
      </c>
      <c r="AD1263" s="6">
        <f>$O$1263*$X$1263</f>
        <v>1070.9092799999999</v>
      </c>
      <c r="AE1263" s="6">
        <f>$K$1263*$Y$1263</f>
        <v>0</v>
      </c>
      <c r="AF1263" s="6">
        <f ca="1">$M$1263*$Z$1263</f>
        <v>4418.0829780455942</v>
      </c>
      <c r="AG1263" s="6">
        <f>$O$1263*$AA$1263</f>
        <v>1249.8578903710411</v>
      </c>
    </row>
    <row r="1264" spans="1:33" ht="11.25" customHeight="1" x14ac:dyDescent="0.25">
      <c r="A1264" s="4" t="s">
        <v>21</v>
      </c>
      <c r="B1264" s="4" t="s">
        <v>35</v>
      </c>
      <c r="C1264" s="4" t="s">
        <v>36</v>
      </c>
      <c r="D1264" s="4" t="s">
        <v>48</v>
      </c>
      <c r="E1264" s="4" t="s">
        <v>25</v>
      </c>
      <c r="F1264" s="4" t="s">
        <v>25</v>
      </c>
      <c r="G1264" s="4" t="s">
        <v>25</v>
      </c>
      <c r="H1264" s="4" t="s">
        <v>37</v>
      </c>
      <c r="I1264" s="5">
        <v>44256</v>
      </c>
      <c r="J1264" s="6">
        <v>0</v>
      </c>
      <c r="K1264" s="6">
        <v>0</v>
      </c>
      <c r="L1264" s="6">
        <v>848.99099999999999</v>
      </c>
      <c r="M1264" s="6">
        <v>848.99099999999999</v>
      </c>
      <c r="N1264" s="6">
        <v>848.99099999999999</v>
      </c>
      <c r="O1264" s="6">
        <v>848.99099999999999</v>
      </c>
      <c r="P1264" s="6">
        <v>0</v>
      </c>
      <c r="Q1264" s="4" t="s">
        <v>26</v>
      </c>
      <c r="R1264" s="4">
        <v>0</v>
      </c>
      <c r="S1264" s="6">
        <v>0</v>
      </c>
      <c r="T1264" s="6">
        <v>24</v>
      </c>
      <c r="U1264" s="6">
        <v>66</v>
      </c>
      <c r="V1264" s="6">
        <f>IF(ISERROR(VLOOKUP($S$1264,'TAR FIN'!$A$1:$O$95,15,0)),0,VLOOKUP($S$1264,'TAR FIN'!$A$1:$O$95,15,0))</f>
        <v>0</v>
      </c>
      <c r="W1264" s="6">
        <f>IF(ISERROR(VLOOKUP($T$1264,'TAR FIN'!$A$1:$O$95,15,0)),0,VLOOKUP($T$1264,'TAR FIN'!$A$1:$O$95,15,0))</f>
        <v>1434.79</v>
      </c>
      <c r="X1264" s="6">
        <f>IF(ISERROR(VLOOKUP($U$1264,'TAR FIN'!$A$1:$O$95,15,0)),0,VLOOKUP($U$1264,'TAR FIN'!$A$1:$O$95,15,0))</f>
        <v>389.28</v>
      </c>
      <c r="Y1264" s="6"/>
      <c r="Z1264" s="6">
        <f ca="1">('TUSD BE'!$AM$16+'TUSD BF'!$AM$16+'TUSD CVA'!$AM$16)*1</f>
        <v>1605.9916314233351</v>
      </c>
      <c r="AA1264" s="6">
        <f>('TE BE'!$AA$7+'TE BF'!$AA$7+'TE CVA'!$AA$7)*1</f>
        <v>454.3285679284046</v>
      </c>
      <c r="AB1264" s="6">
        <f>$K$1264*$V$1264</f>
        <v>0</v>
      </c>
      <c r="AC1264" s="6">
        <f>$M$1264*$W$1264</f>
        <v>1218123.7968899999</v>
      </c>
      <c r="AD1264" s="6">
        <f>$O$1264*$X$1264</f>
        <v>330495.21647999994</v>
      </c>
      <c r="AE1264" s="6">
        <f>$K$1264*$Y$1264</f>
        <v>0</v>
      </c>
      <c r="AF1264" s="6">
        <f ca="1">$M$1264*$Z$1264</f>
        <v>1363472.4411537286</v>
      </c>
      <c r="AG1264" s="6">
        <f>$O$1264*$AA$1264</f>
        <v>385720.86521410412</v>
      </c>
    </row>
    <row r="1265" spans="1:33" ht="11.25" customHeight="1" x14ac:dyDescent="0.25">
      <c r="A1265" s="4" t="s">
        <v>27</v>
      </c>
      <c r="B1265" s="4" t="s">
        <v>35</v>
      </c>
      <c r="C1265" s="4" t="s">
        <v>36</v>
      </c>
      <c r="D1265" s="4" t="s">
        <v>48</v>
      </c>
      <c r="E1265" s="4" t="s">
        <v>25</v>
      </c>
      <c r="F1265" s="4" t="s">
        <v>25</v>
      </c>
      <c r="G1265" s="4" t="s">
        <v>25</v>
      </c>
      <c r="H1265" s="4" t="s">
        <v>37</v>
      </c>
      <c r="I1265" s="5">
        <v>44256</v>
      </c>
      <c r="J1265" s="6">
        <v>0</v>
      </c>
      <c r="K1265" s="6">
        <v>0</v>
      </c>
      <c r="L1265" s="6">
        <v>-0.106</v>
      </c>
      <c r="M1265" s="6">
        <v>-0.106</v>
      </c>
      <c r="N1265" s="6">
        <v>-0.106</v>
      </c>
      <c r="O1265" s="6">
        <v>-0.106</v>
      </c>
      <c r="P1265" s="6">
        <v>0</v>
      </c>
      <c r="Q1265" s="4" t="s">
        <v>26</v>
      </c>
      <c r="R1265" s="4">
        <v>0</v>
      </c>
      <c r="S1265" s="6">
        <v>0</v>
      </c>
      <c r="T1265" s="6">
        <v>24</v>
      </c>
      <c r="U1265" s="6">
        <v>66</v>
      </c>
      <c r="V1265" s="6">
        <f>IF(ISERROR(VLOOKUP($S$1265,'TAR FIN'!$A$1:$O$95,15,0)),0,VLOOKUP($S$1265,'TAR FIN'!$A$1:$O$95,15,0))</f>
        <v>0</v>
      </c>
      <c r="W1265" s="6">
        <f>IF(ISERROR(VLOOKUP($T$1265,'TAR FIN'!$A$1:$O$95,15,0)),0,VLOOKUP($T$1265,'TAR FIN'!$A$1:$O$95,15,0))</f>
        <v>1434.79</v>
      </c>
      <c r="X1265" s="6">
        <f>IF(ISERROR(VLOOKUP($U$1265,'TAR FIN'!$A$1:$O$95,15,0)),0,VLOOKUP($U$1265,'TAR FIN'!$A$1:$O$95,15,0))</f>
        <v>389.28</v>
      </c>
      <c r="Y1265" s="6"/>
      <c r="Z1265" s="6">
        <f ca="1">('TUSD BE'!$AM$16+'TUSD BF'!$AM$16+'TUSD CVA'!$AM$16)*1</f>
        <v>1605.9916314233351</v>
      </c>
      <c r="AA1265" s="6">
        <f>('TE BE'!$AA$7+'TE BF'!$AA$7+'TE CVA'!$AA$7)*1</f>
        <v>454.3285679284046</v>
      </c>
      <c r="AB1265" s="6">
        <f>$K$1265*$V$1265</f>
        <v>0</v>
      </c>
      <c r="AC1265" s="6">
        <f>$M$1265*$W$1265</f>
        <v>-152.08774</v>
      </c>
      <c r="AD1265" s="6">
        <f>$O$1265*$X$1265</f>
        <v>-41.263679999999994</v>
      </c>
      <c r="AE1265" s="6">
        <f>$K$1265*$Y$1265</f>
        <v>0</v>
      </c>
      <c r="AF1265" s="6">
        <f ca="1">$M$1265*$Z$1265</f>
        <v>-170.23511293087353</v>
      </c>
      <c r="AG1265" s="6">
        <f>$O$1265*$AA$1265</f>
        <v>-48.158828200410888</v>
      </c>
    </row>
    <row r="1266" spans="1:33" ht="11.25" customHeight="1" x14ac:dyDescent="0.25">
      <c r="A1266" s="4" t="s">
        <v>28</v>
      </c>
      <c r="B1266" s="4" t="s">
        <v>35</v>
      </c>
      <c r="C1266" s="4" t="s">
        <v>36</v>
      </c>
      <c r="D1266" s="4" t="s">
        <v>48</v>
      </c>
      <c r="E1266" s="4" t="s">
        <v>25</v>
      </c>
      <c r="F1266" s="4" t="s">
        <v>25</v>
      </c>
      <c r="G1266" s="4" t="s">
        <v>25</v>
      </c>
      <c r="H1266" s="4" t="s">
        <v>37</v>
      </c>
      <c r="I1266" s="5">
        <v>44256</v>
      </c>
      <c r="J1266" s="6">
        <v>0</v>
      </c>
      <c r="K1266" s="6">
        <v>0</v>
      </c>
      <c r="L1266" s="6">
        <v>213.41499999999999</v>
      </c>
      <c r="M1266" s="6">
        <v>213.41499999999999</v>
      </c>
      <c r="N1266" s="6">
        <v>213.41499999999999</v>
      </c>
      <c r="O1266" s="6">
        <v>213.41499999999999</v>
      </c>
      <c r="P1266" s="6">
        <v>0</v>
      </c>
      <c r="Q1266" s="4" t="s">
        <v>26</v>
      </c>
      <c r="R1266" s="4">
        <v>0</v>
      </c>
      <c r="S1266" s="6">
        <v>0</v>
      </c>
      <c r="T1266" s="6">
        <v>24</v>
      </c>
      <c r="U1266" s="6">
        <v>66</v>
      </c>
      <c r="V1266" s="6">
        <f>IF(ISERROR(VLOOKUP($S$1266,'TAR FIN'!$A$1:$O$95,15,0)),0,VLOOKUP($S$1266,'TAR FIN'!$A$1:$O$95,15,0))</f>
        <v>0</v>
      </c>
      <c r="W1266" s="6">
        <f>IF(ISERROR(VLOOKUP($T$1266,'TAR FIN'!$A$1:$O$95,15,0)),0,VLOOKUP($T$1266,'TAR FIN'!$A$1:$O$95,15,0))</f>
        <v>1434.79</v>
      </c>
      <c r="X1266" s="6">
        <f>IF(ISERROR(VLOOKUP($U$1266,'TAR FIN'!$A$1:$O$95,15,0)),0,VLOOKUP($U$1266,'TAR FIN'!$A$1:$O$95,15,0))</f>
        <v>389.28</v>
      </c>
      <c r="Y1266" s="6"/>
      <c r="Z1266" s="6">
        <f ca="1">('TUSD BE'!$AM$16+'TUSD BF'!$AM$16+'TUSD CVA'!$AM$16)*1</f>
        <v>1605.9916314233351</v>
      </c>
      <c r="AA1266" s="6">
        <f>('TE BE'!$AA$7+'TE BF'!$AA$7+'TE CVA'!$AA$7)*1</f>
        <v>454.3285679284046</v>
      </c>
      <c r="AB1266" s="6">
        <f>$K$1266*$V$1266</f>
        <v>0</v>
      </c>
      <c r="AC1266" s="6">
        <f>$M$1266*$W$1266</f>
        <v>306205.70785000001</v>
      </c>
      <c r="AD1266" s="6">
        <f>$O$1266*$X$1266</f>
        <v>83078.191199999987</v>
      </c>
      <c r="AE1266" s="6">
        <f>$K$1266*$Y$1266</f>
        <v>0</v>
      </c>
      <c r="AF1266" s="6">
        <f ca="1">$M$1266*$Z$1266</f>
        <v>342742.70402021107</v>
      </c>
      <c r="AG1266" s="6">
        <f>$O$1266*$AA$1266</f>
        <v>96960.531324440468</v>
      </c>
    </row>
    <row r="1267" spans="1:33" ht="11.25" customHeight="1" x14ac:dyDescent="0.25">
      <c r="A1267" s="4" t="s">
        <v>29</v>
      </c>
      <c r="B1267" s="4" t="s">
        <v>35</v>
      </c>
      <c r="C1267" s="4" t="s">
        <v>36</v>
      </c>
      <c r="D1267" s="4" t="s">
        <v>48</v>
      </c>
      <c r="E1267" s="4" t="s">
        <v>25</v>
      </c>
      <c r="F1267" s="4" t="s">
        <v>25</v>
      </c>
      <c r="G1267" s="4" t="s">
        <v>25</v>
      </c>
      <c r="H1267" s="4" t="s">
        <v>37</v>
      </c>
      <c r="I1267" s="5">
        <v>44256</v>
      </c>
      <c r="J1267" s="6">
        <v>0</v>
      </c>
      <c r="K1267" s="6">
        <v>0</v>
      </c>
      <c r="L1267" s="6">
        <v>-0.73899999999999999</v>
      </c>
      <c r="M1267" s="6">
        <v>-0.73899999999999999</v>
      </c>
      <c r="N1267" s="6">
        <v>-0.73899999999999999</v>
      </c>
      <c r="O1267" s="6">
        <v>-0.73899999999999999</v>
      </c>
      <c r="P1267" s="6">
        <v>0</v>
      </c>
      <c r="Q1267" s="4" t="s">
        <v>26</v>
      </c>
      <c r="R1267" s="4">
        <v>0</v>
      </c>
      <c r="S1267" s="6">
        <v>0</v>
      </c>
      <c r="T1267" s="6">
        <v>24</v>
      </c>
      <c r="U1267" s="6">
        <v>66</v>
      </c>
      <c r="V1267" s="6">
        <f>IF(ISERROR(VLOOKUP($S$1267,'TAR FIN'!$A$1:$O$95,15,0)),0,VLOOKUP($S$1267,'TAR FIN'!$A$1:$O$95,15,0))</f>
        <v>0</v>
      </c>
      <c r="W1267" s="6">
        <f>IF(ISERROR(VLOOKUP($T$1267,'TAR FIN'!$A$1:$O$95,15,0)),0,VLOOKUP($T$1267,'TAR FIN'!$A$1:$O$95,15,0))</f>
        <v>1434.79</v>
      </c>
      <c r="X1267" s="6">
        <f>IF(ISERROR(VLOOKUP($U$1267,'TAR FIN'!$A$1:$O$95,15,0)),0,VLOOKUP($U$1267,'TAR FIN'!$A$1:$O$95,15,0))</f>
        <v>389.28</v>
      </c>
      <c r="Y1267" s="6"/>
      <c r="Z1267" s="6">
        <f ca="1">('TUSD BE'!$AM$16+'TUSD BF'!$AM$16+'TUSD CVA'!$AM$16)*1</f>
        <v>1605.9916314233351</v>
      </c>
      <c r="AA1267" s="6">
        <f>('TE BE'!$AA$7+'TE BF'!$AA$7+'TE CVA'!$AA$7)*1</f>
        <v>454.3285679284046</v>
      </c>
      <c r="AB1267" s="6">
        <f>$K$1267*$V$1267</f>
        <v>0</v>
      </c>
      <c r="AC1267" s="6">
        <f>$M$1267*$W$1267</f>
        <v>-1060.30981</v>
      </c>
      <c r="AD1267" s="6">
        <f>$O$1267*$X$1267</f>
        <v>-287.67791999999997</v>
      </c>
      <c r="AE1267" s="6">
        <f>$K$1267*$Y$1267</f>
        <v>0</v>
      </c>
      <c r="AF1267" s="6">
        <f ca="1">$M$1267*$Z$1267</f>
        <v>-1186.8278156218446</v>
      </c>
      <c r="AG1267" s="6">
        <f>$O$1267*$AA$1267</f>
        <v>-335.74881169909099</v>
      </c>
    </row>
    <row r="1268" spans="1:33" ht="11.25" customHeight="1" x14ac:dyDescent="0.25">
      <c r="A1268" s="4" t="s">
        <v>30</v>
      </c>
      <c r="B1268" s="4" t="s">
        <v>35</v>
      </c>
      <c r="C1268" s="4" t="s">
        <v>36</v>
      </c>
      <c r="D1268" s="4" t="s">
        <v>48</v>
      </c>
      <c r="E1268" s="4" t="s">
        <v>25</v>
      </c>
      <c r="F1268" s="4" t="s">
        <v>25</v>
      </c>
      <c r="G1268" s="4" t="s">
        <v>25</v>
      </c>
      <c r="H1268" s="4" t="s">
        <v>37</v>
      </c>
      <c r="I1268" s="5">
        <v>44256</v>
      </c>
      <c r="J1268" s="6">
        <v>0</v>
      </c>
      <c r="K1268" s="6">
        <v>0</v>
      </c>
      <c r="L1268" s="6">
        <v>3.0550000000000002</v>
      </c>
      <c r="M1268" s="6">
        <v>3.0550000000000002</v>
      </c>
      <c r="N1268" s="6">
        <v>3.0550000000000002</v>
      </c>
      <c r="O1268" s="6">
        <v>3.0550000000000002</v>
      </c>
      <c r="P1268" s="6">
        <v>0</v>
      </c>
      <c r="Q1268" s="4" t="s">
        <v>26</v>
      </c>
      <c r="R1268" s="4">
        <v>0</v>
      </c>
      <c r="S1268" s="6">
        <v>0</v>
      </c>
      <c r="T1268" s="6">
        <v>24</v>
      </c>
      <c r="U1268" s="6">
        <v>66</v>
      </c>
      <c r="V1268" s="6">
        <f>IF(ISERROR(VLOOKUP($S$1268,'TAR FIN'!$A$1:$O$95,15,0)),0,VLOOKUP($S$1268,'TAR FIN'!$A$1:$O$95,15,0))</f>
        <v>0</v>
      </c>
      <c r="W1268" s="6">
        <f>IF(ISERROR(VLOOKUP($T$1268,'TAR FIN'!$A$1:$O$95,15,0)),0,VLOOKUP($T$1268,'TAR FIN'!$A$1:$O$95,15,0))</f>
        <v>1434.79</v>
      </c>
      <c r="X1268" s="6">
        <f>IF(ISERROR(VLOOKUP($U$1268,'TAR FIN'!$A$1:$O$95,15,0)),0,VLOOKUP($U$1268,'TAR FIN'!$A$1:$O$95,15,0))</f>
        <v>389.28</v>
      </c>
      <c r="Y1268" s="6"/>
      <c r="Z1268" s="6">
        <f ca="1">('TUSD BE'!$AM$16+'TUSD BF'!$AM$16+'TUSD CVA'!$AM$16)*1</f>
        <v>1605.9916314233351</v>
      </c>
      <c r="AA1268" s="6">
        <f>('TE BE'!$AA$7+'TE BF'!$AA$7+'TE CVA'!$AA$7)*1</f>
        <v>454.3285679284046</v>
      </c>
      <c r="AB1268" s="6">
        <f>$K$1268*$V$1268</f>
        <v>0</v>
      </c>
      <c r="AC1268" s="6">
        <f>$M$1268*$W$1268</f>
        <v>4383.2834499999999</v>
      </c>
      <c r="AD1268" s="6">
        <f>$O$1268*$X$1268</f>
        <v>1189.2503999999999</v>
      </c>
      <c r="AE1268" s="6">
        <f>$K$1268*$Y$1268</f>
        <v>0</v>
      </c>
      <c r="AF1268" s="6">
        <f ca="1">$M$1268*$Z$1268</f>
        <v>4906.3044339982889</v>
      </c>
      <c r="AG1268" s="6">
        <f>$O$1268*$AA$1268</f>
        <v>1387.9737750212762</v>
      </c>
    </row>
    <row r="1269" spans="1:33" ht="11.25" customHeight="1" x14ac:dyDescent="0.25">
      <c r="A1269" s="4" t="s">
        <v>21</v>
      </c>
      <c r="B1269" s="4" t="s">
        <v>35</v>
      </c>
      <c r="C1269" s="4" t="s">
        <v>36</v>
      </c>
      <c r="D1269" s="4" t="s">
        <v>48</v>
      </c>
      <c r="E1269" s="4" t="s">
        <v>25</v>
      </c>
      <c r="F1269" s="4" t="s">
        <v>25</v>
      </c>
      <c r="G1269" s="4" t="s">
        <v>25</v>
      </c>
      <c r="H1269" s="4" t="s">
        <v>37</v>
      </c>
      <c r="I1269" s="5">
        <v>44287</v>
      </c>
      <c r="J1269" s="6">
        <v>0</v>
      </c>
      <c r="K1269" s="6">
        <v>0</v>
      </c>
      <c r="L1269" s="6">
        <v>787.827</v>
      </c>
      <c r="M1269" s="6">
        <v>787.827</v>
      </c>
      <c r="N1269" s="6">
        <v>787.827</v>
      </c>
      <c r="O1269" s="6">
        <v>787.827</v>
      </c>
      <c r="P1269" s="6">
        <v>0</v>
      </c>
      <c r="Q1269" s="4" t="s">
        <v>26</v>
      </c>
      <c r="R1269" s="4">
        <v>0</v>
      </c>
      <c r="S1269" s="6">
        <v>0</v>
      </c>
      <c r="T1269" s="6">
        <v>24</v>
      </c>
      <c r="U1269" s="6">
        <v>66</v>
      </c>
      <c r="V1269" s="6">
        <f>IF(ISERROR(VLOOKUP($S$1269,'TAR FIN'!$A$1:$O$95,15,0)),0,VLOOKUP($S$1269,'TAR FIN'!$A$1:$O$95,15,0))</f>
        <v>0</v>
      </c>
      <c r="W1269" s="6">
        <f>IF(ISERROR(VLOOKUP($T$1269,'TAR FIN'!$A$1:$O$95,15,0)),0,VLOOKUP($T$1269,'TAR FIN'!$A$1:$O$95,15,0))</f>
        <v>1434.79</v>
      </c>
      <c r="X1269" s="6">
        <f>IF(ISERROR(VLOOKUP($U$1269,'TAR FIN'!$A$1:$O$95,15,0)),0,VLOOKUP($U$1269,'TAR FIN'!$A$1:$O$95,15,0))</f>
        <v>389.28</v>
      </c>
      <c r="Y1269" s="6"/>
      <c r="Z1269" s="6">
        <f ca="1">('TUSD BE'!$AM$16+'TUSD BF'!$AM$16+'TUSD CVA'!$AM$16)*1</f>
        <v>1605.9916314233351</v>
      </c>
      <c r="AA1269" s="6">
        <f>('TE BE'!$AA$7+'TE BF'!$AA$7+'TE CVA'!$AA$7)*1</f>
        <v>454.3285679284046</v>
      </c>
      <c r="AB1269" s="6">
        <f>$K$1269*$V$1269</f>
        <v>0</v>
      </c>
      <c r="AC1269" s="6">
        <f>$M$1269*$W$1269</f>
        <v>1130366.3013299999</v>
      </c>
      <c r="AD1269" s="6">
        <f>$O$1269*$X$1269</f>
        <v>306685.29455999995</v>
      </c>
      <c r="AE1269" s="6">
        <f>$K$1269*$Y$1269</f>
        <v>0</v>
      </c>
      <c r="AF1269" s="6">
        <f ca="1">$M$1269*$Z$1269</f>
        <v>1265243.5690093518</v>
      </c>
      <c r="AG1269" s="6">
        <f>$O$1269*$AA$1269</f>
        <v>357932.31268533121</v>
      </c>
    </row>
    <row r="1270" spans="1:33" ht="11.25" customHeight="1" x14ac:dyDescent="0.25">
      <c r="A1270" s="4" t="s">
        <v>27</v>
      </c>
      <c r="B1270" s="4" t="s">
        <v>35</v>
      </c>
      <c r="C1270" s="4" t="s">
        <v>36</v>
      </c>
      <c r="D1270" s="4" t="s">
        <v>48</v>
      </c>
      <c r="E1270" s="4" t="s">
        <v>25</v>
      </c>
      <c r="F1270" s="4" t="s">
        <v>25</v>
      </c>
      <c r="G1270" s="4" t="s">
        <v>25</v>
      </c>
      <c r="H1270" s="4" t="s">
        <v>37</v>
      </c>
      <c r="I1270" s="5">
        <v>44287</v>
      </c>
      <c r="J1270" s="6">
        <v>0</v>
      </c>
      <c r="K1270" s="6">
        <v>0</v>
      </c>
      <c r="L1270" s="6">
        <v>-0.113</v>
      </c>
      <c r="M1270" s="6">
        <v>-0.113</v>
      </c>
      <c r="N1270" s="6">
        <v>-0.113</v>
      </c>
      <c r="O1270" s="6">
        <v>-0.113</v>
      </c>
      <c r="P1270" s="6">
        <v>0</v>
      </c>
      <c r="Q1270" s="4" t="s">
        <v>26</v>
      </c>
      <c r="R1270" s="4">
        <v>0</v>
      </c>
      <c r="S1270" s="6">
        <v>0</v>
      </c>
      <c r="T1270" s="6">
        <v>24</v>
      </c>
      <c r="U1270" s="6">
        <v>66</v>
      </c>
      <c r="V1270" s="6">
        <f>IF(ISERROR(VLOOKUP($S$1270,'TAR FIN'!$A$1:$O$95,15,0)),0,VLOOKUP($S$1270,'TAR FIN'!$A$1:$O$95,15,0))</f>
        <v>0</v>
      </c>
      <c r="W1270" s="6">
        <f>IF(ISERROR(VLOOKUP($T$1270,'TAR FIN'!$A$1:$O$95,15,0)),0,VLOOKUP($T$1270,'TAR FIN'!$A$1:$O$95,15,0))</f>
        <v>1434.79</v>
      </c>
      <c r="X1270" s="6">
        <f>IF(ISERROR(VLOOKUP($U$1270,'TAR FIN'!$A$1:$O$95,15,0)),0,VLOOKUP($U$1270,'TAR FIN'!$A$1:$O$95,15,0))</f>
        <v>389.28</v>
      </c>
      <c r="Y1270" s="6"/>
      <c r="Z1270" s="6">
        <f ca="1">('TUSD BE'!$AM$16+'TUSD BF'!$AM$16+'TUSD CVA'!$AM$16)*1</f>
        <v>1605.9916314233351</v>
      </c>
      <c r="AA1270" s="6">
        <f>('TE BE'!$AA$7+'TE BF'!$AA$7+'TE CVA'!$AA$7)*1</f>
        <v>454.3285679284046</v>
      </c>
      <c r="AB1270" s="6">
        <f>$K$1270*$V$1270</f>
        <v>0</v>
      </c>
      <c r="AC1270" s="6">
        <f>$M$1270*$W$1270</f>
        <v>-162.13127</v>
      </c>
      <c r="AD1270" s="6">
        <f>$O$1270*$X$1270</f>
        <v>-43.988639999999997</v>
      </c>
      <c r="AE1270" s="6">
        <f>$K$1270*$Y$1270</f>
        <v>0</v>
      </c>
      <c r="AF1270" s="6">
        <f ca="1">$M$1270*$Z$1270</f>
        <v>-181.47705435083688</v>
      </c>
      <c r="AG1270" s="6">
        <f>$O$1270*$AA$1270</f>
        <v>-51.339128175909721</v>
      </c>
    </row>
    <row r="1271" spans="1:33" ht="11.25" customHeight="1" x14ac:dyDescent="0.25">
      <c r="A1271" s="4" t="s">
        <v>28</v>
      </c>
      <c r="B1271" s="4" t="s">
        <v>35</v>
      </c>
      <c r="C1271" s="4" t="s">
        <v>36</v>
      </c>
      <c r="D1271" s="4" t="s">
        <v>48</v>
      </c>
      <c r="E1271" s="4" t="s">
        <v>25</v>
      </c>
      <c r="F1271" s="4" t="s">
        <v>25</v>
      </c>
      <c r="G1271" s="4" t="s">
        <v>25</v>
      </c>
      <c r="H1271" s="4" t="s">
        <v>37</v>
      </c>
      <c r="I1271" s="5">
        <v>44287</v>
      </c>
      <c r="J1271" s="6">
        <v>0</v>
      </c>
      <c r="K1271" s="6">
        <v>0</v>
      </c>
      <c r="L1271" s="6">
        <v>208.245</v>
      </c>
      <c r="M1271" s="6">
        <v>208.245</v>
      </c>
      <c r="N1271" s="6">
        <v>208.245</v>
      </c>
      <c r="O1271" s="6">
        <v>208.245</v>
      </c>
      <c r="P1271" s="6">
        <v>0</v>
      </c>
      <c r="Q1271" s="4" t="s">
        <v>26</v>
      </c>
      <c r="R1271" s="4">
        <v>0</v>
      </c>
      <c r="S1271" s="6">
        <v>0</v>
      </c>
      <c r="T1271" s="6">
        <v>24</v>
      </c>
      <c r="U1271" s="6">
        <v>66</v>
      </c>
      <c r="V1271" s="6">
        <f>IF(ISERROR(VLOOKUP($S$1271,'TAR FIN'!$A$1:$O$95,15,0)),0,VLOOKUP($S$1271,'TAR FIN'!$A$1:$O$95,15,0))</f>
        <v>0</v>
      </c>
      <c r="W1271" s="6">
        <f>IF(ISERROR(VLOOKUP($T$1271,'TAR FIN'!$A$1:$O$95,15,0)),0,VLOOKUP($T$1271,'TAR FIN'!$A$1:$O$95,15,0))</f>
        <v>1434.79</v>
      </c>
      <c r="X1271" s="6">
        <f>IF(ISERROR(VLOOKUP($U$1271,'TAR FIN'!$A$1:$O$95,15,0)),0,VLOOKUP($U$1271,'TAR FIN'!$A$1:$O$95,15,0))</f>
        <v>389.28</v>
      </c>
      <c r="Y1271" s="6"/>
      <c r="Z1271" s="6">
        <f ca="1">('TUSD BE'!$AM$16+'TUSD BF'!$AM$16+'TUSD CVA'!$AM$16)*1</f>
        <v>1605.9916314233351</v>
      </c>
      <c r="AA1271" s="6">
        <f>('TE BE'!$AA$7+'TE BF'!$AA$7+'TE CVA'!$AA$7)*1</f>
        <v>454.3285679284046</v>
      </c>
      <c r="AB1271" s="6">
        <f>$K$1271*$V$1271</f>
        <v>0</v>
      </c>
      <c r="AC1271" s="6">
        <f>$M$1271*$W$1271</f>
        <v>298787.84354999999</v>
      </c>
      <c r="AD1271" s="6">
        <f>$O$1271*$X$1271</f>
        <v>81065.613599999997</v>
      </c>
      <c r="AE1271" s="6">
        <f>$K$1271*$Y$1271</f>
        <v>0</v>
      </c>
      <c r="AF1271" s="6">
        <f ca="1">$M$1271*$Z$1271</f>
        <v>334439.72728575242</v>
      </c>
      <c r="AG1271" s="6">
        <f>$O$1271*$AA$1271</f>
        <v>94611.652628250624</v>
      </c>
    </row>
    <row r="1272" spans="1:33" ht="11.25" customHeight="1" x14ac:dyDescent="0.25">
      <c r="A1272" s="4" t="s">
        <v>29</v>
      </c>
      <c r="B1272" s="4" t="s">
        <v>35</v>
      </c>
      <c r="C1272" s="4" t="s">
        <v>36</v>
      </c>
      <c r="D1272" s="4" t="s">
        <v>48</v>
      </c>
      <c r="E1272" s="4" t="s">
        <v>25</v>
      </c>
      <c r="F1272" s="4" t="s">
        <v>25</v>
      </c>
      <c r="G1272" s="4" t="s">
        <v>25</v>
      </c>
      <c r="H1272" s="4" t="s">
        <v>37</v>
      </c>
      <c r="I1272" s="5">
        <v>44287</v>
      </c>
      <c r="J1272" s="6">
        <v>0</v>
      </c>
      <c r="K1272" s="6">
        <v>0</v>
      </c>
      <c r="L1272" s="6">
        <v>-0.64</v>
      </c>
      <c r="M1272" s="6">
        <v>-0.64</v>
      </c>
      <c r="N1272" s="6">
        <v>-0.64</v>
      </c>
      <c r="O1272" s="6">
        <v>-0.64</v>
      </c>
      <c r="P1272" s="6">
        <v>0</v>
      </c>
      <c r="Q1272" s="4" t="s">
        <v>26</v>
      </c>
      <c r="R1272" s="4">
        <v>0</v>
      </c>
      <c r="S1272" s="6">
        <v>0</v>
      </c>
      <c r="T1272" s="6">
        <v>24</v>
      </c>
      <c r="U1272" s="6">
        <v>66</v>
      </c>
      <c r="V1272" s="6">
        <f>IF(ISERROR(VLOOKUP($S$1272,'TAR FIN'!$A$1:$O$95,15,0)),0,VLOOKUP($S$1272,'TAR FIN'!$A$1:$O$95,15,0))</f>
        <v>0</v>
      </c>
      <c r="W1272" s="6">
        <f>IF(ISERROR(VLOOKUP($T$1272,'TAR FIN'!$A$1:$O$95,15,0)),0,VLOOKUP($T$1272,'TAR FIN'!$A$1:$O$95,15,0))</f>
        <v>1434.79</v>
      </c>
      <c r="X1272" s="6">
        <f>IF(ISERROR(VLOOKUP($U$1272,'TAR FIN'!$A$1:$O$95,15,0)),0,VLOOKUP($U$1272,'TAR FIN'!$A$1:$O$95,15,0))</f>
        <v>389.28</v>
      </c>
      <c r="Y1272" s="6"/>
      <c r="Z1272" s="6">
        <f ca="1">('TUSD BE'!$AM$16+'TUSD BF'!$AM$16+'TUSD CVA'!$AM$16)*1</f>
        <v>1605.9916314233351</v>
      </c>
      <c r="AA1272" s="6">
        <f>('TE BE'!$AA$7+'TE BF'!$AA$7+'TE CVA'!$AA$7)*1</f>
        <v>454.3285679284046</v>
      </c>
      <c r="AB1272" s="6">
        <f>$K$1272*$V$1272</f>
        <v>0</v>
      </c>
      <c r="AC1272" s="6">
        <f>$M$1272*$W$1272</f>
        <v>-918.26559999999995</v>
      </c>
      <c r="AD1272" s="6">
        <f>$O$1272*$X$1272</f>
        <v>-249.13919999999999</v>
      </c>
      <c r="AE1272" s="6">
        <f>$K$1272*$Y$1272</f>
        <v>0</v>
      </c>
      <c r="AF1272" s="6">
        <f ca="1">$M$1272*$Z$1272</f>
        <v>-1027.8346441109345</v>
      </c>
      <c r="AG1272" s="6">
        <f>$O$1272*$AA$1272</f>
        <v>-290.77028347417894</v>
      </c>
    </row>
    <row r="1273" spans="1:33" ht="11.25" customHeight="1" x14ac:dyDescent="0.25">
      <c r="A1273" s="4" t="s">
        <v>30</v>
      </c>
      <c r="B1273" s="4" t="s">
        <v>35</v>
      </c>
      <c r="C1273" s="4" t="s">
        <v>36</v>
      </c>
      <c r="D1273" s="4" t="s">
        <v>48</v>
      </c>
      <c r="E1273" s="4" t="s">
        <v>25</v>
      </c>
      <c r="F1273" s="4" t="s">
        <v>25</v>
      </c>
      <c r="G1273" s="4" t="s">
        <v>25</v>
      </c>
      <c r="H1273" s="4" t="s">
        <v>37</v>
      </c>
      <c r="I1273" s="5">
        <v>44287</v>
      </c>
      <c r="J1273" s="6">
        <v>0</v>
      </c>
      <c r="K1273" s="6">
        <v>0</v>
      </c>
      <c r="L1273" s="6">
        <v>3.3809999999999998</v>
      </c>
      <c r="M1273" s="6">
        <v>3.3809999999999998</v>
      </c>
      <c r="N1273" s="6">
        <v>3.3809999999999998</v>
      </c>
      <c r="O1273" s="6">
        <v>3.3809999999999998</v>
      </c>
      <c r="P1273" s="6">
        <v>0</v>
      </c>
      <c r="Q1273" s="4" t="s">
        <v>26</v>
      </c>
      <c r="R1273" s="4">
        <v>0</v>
      </c>
      <c r="S1273" s="6">
        <v>0</v>
      </c>
      <c r="T1273" s="6">
        <v>24</v>
      </c>
      <c r="U1273" s="6">
        <v>66</v>
      </c>
      <c r="V1273" s="6">
        <f>IF(ISERROR(VLOOKUP($S$1273,'TAR FIN'!$A$1:$O$95,15,0)),0,VLOOKUP($S$1273,'TAR FIN'!$A$1:$O$95,15,0))</f>
        <v>0</v>
      </c>
      <c r="W1273" s="6">
        <f>IF(ISERROR(VLOOKUP($T$1273,'TAR FIN'!$A$1:$O$95,15,0)),0,VLOOKUP($T$1273,'TAR FIN'!$A$1:$O$95,15,0))</f>
        <v>1434.79</v>
      </c>
      <c r="X1273" s="6">
        <f>IF(ISERROR(VLOOKUP($U$1273,'TAR FIN'!$A$1:$O$95,15,0)),0,VLOOKUP($U$1273,'TAR FIN'!$A$1:$O$95,15,0))</f>
        <v>389.28</v>
      </c>
      <c r="Y1273" s="6"/>
      <c r="Z1273" s="6">
        <f ca="1">('TUSD BE'!$AM$16+'TUSD BF'!$AM$16+'TUSD CVA'!$AM$16)*1</f>
        <v>1605.9916314233351</v>
      </c>
      <c r="AA1273" s="6">
        <f>('TE BE'!$AA$7+'TE BF'!$AA$7+'TE CVA'!$AA$7)*1</f>
        <v>454.3285679284046</v>
      </c>
      <c r="AB1273" s="6">
        <f>$K$1273*$V$1273</f>
        <v>0</v>
      </c>
      <c r="AC1273" s="6">
        <f>$M$1273*$W$1273</f>
        <v>4851.0249899999999</v>
      </c>
      <c r="AD1273" s="6">
        <f>$O$1273*$X$1273</f>
        <v>1316.1556799999998</v>
      </c>
      <c r="AE1273" s="6">
        <f>$K$1273*$Y$1273</f>
        <v>0</v>
      </c>
      <c r="AF1273" s="6">
        <f ca="1">$M$1273*$Z$1273</f>
        <v>5429.8577058422952</v>
      </c>
      <c r="AG1273" s="6">
        <f>$O$1273*$AA$1273</f>
        <v>1536.0848881659358</v>
      </c>
    </row>
    <row r="1274" spans="1:33" ht="11.25" customHeight="1" x14ac:dyDescent="0.25">
      <c r="A1274" s="4" t="s">
        <v>21</v>
      </c>
      <c r="B1274" s="4" t="s">
        <v>35</v>
      </c>
      <c r="C1274" s="4" t="s">
        <v>36</v>
      </c>
      <c r="D1274" s="4" t="s">
        <v>48</v>
      </c>
      <c r="E1274" s="4" t="s">
        <v>25</v>
      </c>
      <c r="F1274" s="4" t="s">
        <v>25</v>
      </c>
      <c r="G1274" s="4" t="s">
        <v>25</v>
      </c>
      <c r="H1274" s="4" t="s">
        <v>37</v>
      </c>
      <c r="I1274" s="5">
        <v>44317</v>
      </c>
      <c r="J1274" s="6">
        <v>0</v>
      </c>
      <c r="K1274" s="6">
        <v>0</v>
      </c>
      <c r="L1274" s="6">
        <v>844.34100000000001</v>
      </c>
      <c r="M1274" s="6">
        <v>844.34100000000001</v>
      </c>
      <c r="N1274" s="6">
        <v>844.34100000000001</v>
      </c>
      <c r="O1274" s="6">
        <v>844.34100000000001</v>
      </c>
      <c r="P1274" s="6">
        <v>0</v>
      </c>
      <c r="Q1274" s="4" t="s">
        <v>26</v>
      </c>
      <c r="R1274" s="4">
        <v>0</v>
      </c>
      <c r="S1274" s="6">
        <v>0</v>
      </c>
      <c r="T1274" s="6">
        <v>24</v>
      </c>
      <c r="U1274" s="6">
        <v>66</v>
      </c>
      <c r="V1274" s="6">
        <f>IF(ISERROR(VLOOKUP($S$1274,'TAR FIN'!$A$1:$O$95,15,0)),0,VLOOKUP($S$1274,'TAR FIN'!$A$1:$O$95,15,0))</f>
        <v>0</v>
      </c>
      <c r="W1274" s="6">
        <f>IF(ISERROR(VLOOKUP($T$1274,'TAR FIN'!$A$1:$O$95,15,0)),0,VLOOKUP($T$1274,'TAR FIN'!$A$1:$O$95,15,0))</f>
        <v>1434.79</v>
      </c>
      <c r="X1274" s="6">
        <f>IF(ISERROR(VLOOKUP($U$1274,'TAR FIN'!$A$1:$O$95,15,0)),0,VLOOKUP($U$1274,'TAR FIN'!$A$1:$O$95,15,0))</f>
        <v>389.28</v>
      </c>
      <c r="Y1274" s="6"/>
      <c r="Z1274" s="6">
        <f ca="1">('TUSD BE'!$AM$16+'TUSD BF'!$AM$16+'TUSD CVA'!$AM$16)*1</f>
        <v>1605.9916314233351</v>
      </c>
      <c r="AA1274" s="6">
        <f>('TE BE'!$AA$7+'TE BF'!$AA$7+'TE CVA'!$AA$7)*1</f>
        <v>454.3285679284046</v>
      </c>
      <c r="AB1274" s="6">
        <f>$K$1274*$V$1274</f>
        <v>0</v>
      </c>
      <c r="AC1274" s="6">
        <f>$M$1274*$W$1274</f>
        <v>1211452.02339</v>
      </c>
      <c r="AD1274" s="6">
        <f>$O$1274*$X$1274</f>
        <v>328685.06448</v>
      </c>
      <c r="AE1274" s="6">
        <f>$K$1274*$Y$1274</f>
        <v>0</v>
      </c>
      <c r="AF1274" s="6">
        <f ca="1">$M$1274*$Z$1274</f>
        <v>1356004.5800676101</v>
      </c>
      <c r="AG1274" s="6">
        <f>$O$1274*$AA$1274</f>
        <v>383608.23737323709</v>
      </c>
    </row>
    <row r="1275" spans="1:33" ht="11.25" customHeight="1" x14ac:dyDescent="0.25">
      <c r="A1275" s="4" t="s">
        <v>27</v>
      </c>
      <c r="B1275" s="4" t="s">
        <v>35</v>
      </c>
      <c r="C1275" s="4" t="s">
        <v>36</v>
      </c>
      <c r="D1275" s="4" t="s">
        <v>48</v>
      </c>
      <c r="E1275" s="4" t="s">
        <v>25</v>
      </c>
      <c r="F1275" s="4" t="s">
        <v>25</v>
      </c>
      <c r="G1275" s="4" t="s">
        <v>25</v>
      </c>
      <c r="H1275" s="4" t="s">
        <v>37</v>
      </c>
      <c r="I1275" s="5">
        <v>44317</v>
      </c>
      <c r="J1275" s="6">
        <v>0</v>
      </c>
      <c r="K1275" s="6">
        <v>0</v>
      </c>
      <c r="L1275" s="6">
        <v>14.282</v>
      </c>
      <c r="M1275" s="6">
        <v>14.282</v>
      </c>
      <c r="N1275" s="6">
        <v>14.282</v>
      </c>
      <c r="O1275" s="6">
        <v>14.282</v>
      </c>
      <c r="P1275" s="6">
        <v>0</v>
      </c>
      <c r="Q1275" s="4" t="s">
        <v>26</v>
      </c>
      <c r="R1275" s="4">
        <v>0</v>
      </c>
      <c r="S1275" s="6">
        <v>0</v>
      </c>
      <c r="T1275" s="6">
        <v>24</v>
      </c>
      <c r="U1275" s="6">
        <v>66</v>
      </c>
      <c r="V1275" s="6">
        <f>IF(ISERROR(VLOOKUP($S$1275,'TAR FIN'!$A$1:$O$95,15,0)),0,VLOOKUP($S$1275,'TAR FIN'!$A$1:$O$95,15,0))</f>
        <v>0</v>
      </c>
      <c r="W1275" s="6">
        <f>IF(ISERROR(VLOOKUP($T$1275,'TAR FIN'!$A$1:$O$95,15,0)),0,VLOOKUP($T$1275,'TAR FIN'!$A$1:$O$95,15,0))</f>
        <v>1434.79</v>
      </c>
      <c r="X1275" s="6">
        <f>IF(ISERROR(VLOOKUP($U$1275,'TAR FIN'!$A$1:$O$95,15,0)),0,VLOOKUP($U$1275,'TAR FIN'!$A$1:$O$95,15,0))</f>
        <v>389.28</v>
      </c>
      <c r="Y1275" s="6"/>
      <c r="Z1275" s="6">
        <f ca="1">('TUSD BE'!$AM$16+'TUSD BF'!$AM$16+'TUSD CVA'!$AM$16)*1</f>
        <v>1605.9916314233351</v>
      </c>
      <c r="AA1275" s="6">
        <f>('TE BE'!$AA$7+'TE BF'!$AA$7+'TE CVA'!$AA$7)*1</f>
        <v>454.3285679284046</v>
      </c>
      <c r="AB1275" s="6">
        <f>$K$1275*$V$1275</f>
        <v>0</v>
      </c>
      <c r="AC1275" s="6">
        <f>$M$1275*$W$1275</f>
        <v>20491.67078</v>
      </c>
      <c r="AD1275" s="6">
        <f>$O$1275*$X$1275</f>
        <v>5559.6969599999993</v>
      </c>
      <c r="AE1275" s="6">
        <f>$K$1275*$Y$1275</f>
        <v>0</v>
      </c>
      <c r="AF1275" s="6">
        <f ca="1">$M$1275*$Z$1275</f>
        <v>22936.772479988071</v>
      </c>
      <c r="AG1275" s="6">
        <f>$O$1275*$AA$1275</f>
        <v>6488.7206071534747</v>
      </c>
    </row>
    <row r="1276" spans="1:33" ht="11.25" customHeight="1" x14ac:dyDescent="0.25">
      <c r="A1276" s="4" t="s">
        <v>28</v>
      </c>
      <c r="B1276" s="4" t="s">
        <v>35</v>
      </c>
      <c r="C1276" s="4" t="s">
        <v>36</v>
      </c>
      <c r="D1276" s="4" t="s">
        <v>48</v>
      </c>
      <c r="E1276" s="4" t="s">
        <v>25</v>
      </c>
      <c r="F1276" s="4" t="s">
        <v>25</v>
      </c>
      <c r="G1276" s="4" t="s">
        <v>25</v>
      </c>
      <c r="H1276" s="4" t="s">
        <v>37</v>
      </c>
      <c r="I1276" s="5">
        <v>44317</v>
      </c>
      <c r="J1276" s="6">
        <v>0</v>
      </c>
      <c r="K1276" s="6">
        <v>0</v>
      </c>
      <c r="L1276" s="6">
        <v>254.05699999999999</v>
      </c>
      <c r="M1276" s="6">
        <v>254.05699999999999</v>
      </c>
      <c r="N1276" s="6">
        <v>254.05699999999999</v>
      </c>
      <c r="O1276" s="6">
        <v>254.05699999999999</v>
      </c>
      <c r="P1276" s="6">
        <v>0</v>
      </c>
      <c r="Q1276" s="4" t="s">
        <v>26</v>
      </c>
      <c r="R1276" s="4">
        <v>0</v>
      </c>
      <c r="S1276" s="6">
        <v>0</v>
      </c>
      <c r="T1276" s="6">
        <v>24</v>
      </c>
      <c r="U1276" s="6">
        <v>66</v>
      </c>
      <c r="V1276" s="6">
        <f>IF(ISERROR(VLOOKUP($S$1276,'TAR FIN'!$A$1:$O$95,15,0)),0,VLOOKUP($S$1276,'TAR FIN'!$A$1:$O$95,15,0))</f>
        <v>0</v>
      </c>
      <c r="W1276" s="6">
        <f>IF(ISERROR(VLOOKUP($T$1276,'TAR FIN'!$A$1:$O$95,15,0)),0,VLOOKUP($T$1276,'TAR FIN'!$A$1:$O$95,15,0))</f>
        <v>1434.79</v>
      </c>
      <c r="X1276" s="6">
        <f>IF(ISERROR(VLOOKUP($U$1276,'TAR FIN'!$A$1:$O$95,15,0)),0,VLOOKUP($U$1276,'TAR FIN'!$A$1:$O$95,15,0))</f>
        <v>389.28</v>
      </c>
      <c r="Y1276" s="6"/>
      <c r="Z1276" s="6">
        <f ca="1">('TUSD BE'!$AM$16+'TUSD BF'!$AM$16+'TUSD CVA'!$AM$16)*1</f>
        <v>1605.9916314233351</v>
      </c>
      <c r="AA1276" s="6">
        <f>('TE BE'!$AA$7+'TE BF'!$AA$7+'TE CVA'!$AA$7)*1</f>
        <v>454.3285679284046</v>
      </c>
      <c r="AB1276" s="6">
        <f>$K$1276*$V$1276</f>
        <v>0</v>
      </c>
      <c r="AC1276" s="6">
        <f>$M$1276*$W$1276</f>
        <v>364518.44302999997</v>
      </c>
      <c r="AD1276" s="6">
        <f>$O$1276*$X$1276</f>
        <v>98899.308959999995</v>
      </c>
      <c r="AE1276" s="6">
        <f>$K$1276*$Y$1276</f>
        <v>0</v>
      </c>
      <c r="AF1276" s="6">
        <f ca="1">$M$1276*$Z$1276</f>
        <v>408013.41590451822</v>
      </c>
      <c r="AG1276" s="6">
        <f>$O$1276*$AA$1276</f>
        <v>115425.35298218668</v>
      </c>
    </row>
    <row r="1277" spans="1:33" ht="11.25" customHeight="1" x14ac:dyDescent="0.25">
      <c r="A1277" s="4" t="s">
        <v>29</v>
      </c>
      <c r="B1277" s="4" t="s">
        <v>35</v>
      </c>
      <c r="C1277" s="4" t="s">
        <v>36</v>
      </c>
      <c r="D1277" s="4" t="s">
        <v>48</v>
      </c>
      <c r="E1277" s="4" t="s">
        <v>25</v>
      </c>
      <c r="F1277" s="4" t="s">
        <v>25</v>
      </c>
      <c r="G1277" s="4" t="s">
        <v>25</v>
      </c>
      <c r="H1277" s="4" t="s">
        <v>37</v>
      </c>
      <c r="I1277" s="5">
        <v>44317</v>
      </c>
      <c r="J1277" s="6">
        <v>0</v>
      </c>
      <c r="K1277" s="6">
        <v>0</v>
      </c>
      <c r="L1277" s="6">
        <v>-3.988</v>
      </c>
      <c r="M1277" s="6">
        <v>-3.988</v>
      </c>
      <c r="N1277" s="6">
        <v>-3.988</v>
      </c>
      <c r="O1277" s="6">
        <v>-3.988</v>
      </c>
      <c r="P1277" s="6">
        <v>0</v>
      </c>
      <c r="Q1277" s="4" t="s">
        <v>26</v>
      </c>
      <c r="R1277" s="4">
        <v>0</v>
      </c>
      <c r="S1277" s="6">
        <v>0</v>
      </c>
      <c r="T1277" s="6">
        <v>24</v>
      </c>
      <c r="U1277" s="6">
        <v>66</v>
      </c>
      <c r="V1277" s="6">
        <f>IF(ISERROR(VLOOKUP($S$1277,'TAR FIN'!$A$1:$O$95,15,0)),0,VLOOKUP($S$1277,'TAR FIN'!$A$1:$O$95,15,0))</f>
        <v>0</v>
      </c>
      <c r="W1277" s="6">
        <f>IF(ISERROR(VLOOKUP($T$1277,'TAR FIN'!$A$1:$O$95,15,0)),0,VLOOKUP($T$1277,'TAR FIN'!$A$1:$O$95,15,0))</f>
        <v>1434.79</v>
      </c>
      <c r="X1277" s="6">
        <f>IF(ISERROR(VLOOKUP($U$1277,'TAR FIN'!$A$1:$O$95,15,0)),0,VLOOKUP($U$1277,'TAR FIN'!$A$1:$O$95,15,0))</f>
        <v>389.28</v>
      </c>
      <c r="Y1277" s="6"/>
      <c r="Z1277" s="6">
        <f ca="1">('TUSD BE'!$AM$16+'TUSD BF'!$AM$16+'TUSD CVA'!$AM$16)*1</f>
        <v>1605.9916314233351</v>
      </c>
      <c r="AA1277" s="6">
        <f>('TE BE'!$AA$7+'TE BF'!$AA$7+'TE CVA'!$AA$7)*1</f>
        <v>454.3285679284046</v>
      </c>
      <c r="AB1277" s="6">
        <f>$K$1277*$V$1277</f>
        <v>0</v>
      </c>
      <c r="AC1277" s="6">
        <f>$M$1277*$W$1277</f>
        <v>-5721.9425199999996</v>
      </c>
      <c r="AD1277" s="6">
        <f>$O$1277*$X$1277</f>
        <v>-1552.4486399999998</v>
      </c>
      <c r="AE1277" s="6">
        <f>$K$1277*$Y$1277</f>
        <v>0</v>
      </c>
      <c r="AF1277" s="6">
        <f ca="1">$M$1277*$Z$1277</f>
        <v>-6404.6946261162602</v>
      </c>
      <c r="AG1277" s="6">
        <f>$O$1277*$AA$1277</f>
        <v>-1811.8623288984775</v>
      </c>
    </row>
    <row r="1278" spans="1:33" ht="11.25" customHeight="1" x14ac:dyDescent="0.25">
      <c r="A1278" s="4" t="s">
        <v>30</v>
      </c>
      <c r="B1278" s="4" t="s">
        <v>35</v>
      </c>
      <c r="C1278" s="4" t="s">
        <v>36</v>
      </c>
      <c r="D1278" s="4" t="s">
        <v>48</v>
      </c>
      <c r="E1278" s="4" t="s">
        <v>25</v>
      </c>
      <c r="F1278" s="4" t="s">
        <v>25</v>
      </c>
      <c r="G1278" s="4" t="s">
        <v>25</v>
      </c>
      <c r="H1278" s="4" t="s">
        <v>37</v>
      </c>
      <c r="I1278" s="5">
        <v>44317</v>
      </c>
      <c r="J1278" s="6">
        <v>0</v>
      </c>
      <c r="K1278" s="6">
        <v>0</v>
      </c>
      <c r="L1278" s="6">
        <v>4.1360000000000001</v>
      </c>
      <c r="M1278" s="6">
        <v>4.1360000000000001</v>
      </c>
      <c r="N1278" s="6">
        <v>4.1360000000000001</v>
      </c>
      <c r="O1278" s="6">
        <v>4.1360000000000001</v>
      </c>
      <c r="P1278" s="6">
        <v>0</v>
      </c>
      <c r="Q1278" s="4" t="s">
        <v>26</v>
      </c>
      <c r="R1278" s="4">
        <v>0</v>
      </c>
      <c r="S1278" s="6">
        <v>0</v>
      </c>
      <c r="T1278" s="6">
        <v>24</v>
      </c>
      <c r="U1278" s="6">
        <v>66</v>
      </c>
      <c r="V1278" s="6">
        <f>IF(ISERROR(VLOOKUP($S$1278,'TAR FIN'!$A$1:$O$95,15,0)),0,VLOOKUP($S$1278,'TAR FIN'!$A$1:$O$95,15,0))</f>
        <v>0</v>
      </c>
      <c r="W1278" s="6">
        <f>IF(ISERROR(VLOOKUP($T$1278,'TAR FIN'!$A$1:$O$95,15,0)),0,VLOOKUP($T$1278,'TAR FIN'!$A$1:$O$95,15,0))</f>
        <v>1434.79</v>
      </c>
      <c r="X1278" s="6">
        <f>IF(ISERROR(VLOOKUP($U$1278,'TAR FIN'!$A$1:$O$95,15,0)),0,VLOOKUP($U$1278,'TAR FIN'!$A$1:$O$95,15,0))</f>
        <v>389.28</v>
      </c>
      <c r="Y1278" s="6"/>
      <c r="Z1278" s="6">
        <f ca="1">('TUSD BE'!$AM$16+'TUSD BF'!$AM$16+'TUSD CVA'!$AM$16)*1</f>
        <v>1605.9916314233351</v>
      </c>
      <c r="AA1278" s="6">
        <f>('TE BE'!$AA$7+'TE BF'!$AA$7+'TE CVA'!$AA$7)*1</f>
        <v>454.3285679284046</v>
      </c>
      <c r="AB1278" s="6">
        <f>$K$1278*$V$1278</f>
        <v>0</v>
      </c>
      <c r="AC1278" s="6">
        <f>$M$1278*$W$1278</f>
        <v>5934.29144</v>
      </c>
      <c r="AD1278" s="6">
        <f>$O$1278*$X$1278</f>
        <v>1610.0620799999999</v>
      </c>
      <c r="AE1278" s="6">
        <f>$K$1278*$Y$1278</f>
        <v>0</v>
      </c>
      <c r="AF1278" s="6">
        <f ca="1">$M$1278*$Z$1278</f>
        <v>6642.3813875669139</v>
      </c>
      <c r="AG1278" s="6">
        <f>$O$1278*$AA$1278</f>
        <v>1879.1029569518814</v>
      </c>
    </row>
    <row r="1279" spans="1:33" ht="11.25" customHeight="1" x14ac:dyDescent="0.25">
      <c r="A1279" s="4" t="s">
        <v>21</v>
      </c>
      <c r="B1279" s="4" t="s">
        <v>35</v>
      </c>
      <c r="C1279" s="4" t="s">
        <v>36</v>
      </c>
      <c r="D1279" s="4" t="s">
        <v>48</v>
      </c>
      <c r="E1279" s="4" t="s">
        <v>25</v>
      </c>
      <c r="F1279" s="4" t="s">
        <v>25</v>
      </c>
      <c r="G1279" s="4" t="s">
        <v>25</v>
      </c>
      <c r="H1279" s="4" t="s">
        <v>37</v>
      </c>
      <c r="I1279" s="5">
        <v>44348</v>
      </c>
      <c r="J1279" s="6">
        <v>0</v>
      </c>
      <c r="K1279" s="6">
        <v>0</v>
      </c>
      <c r="L1279" s="6">
        <v>957.69600000000003</v>
      </c>
      <c r="M1279" s="6">
        <v>957.69600000000003</v>
      </c>
      <c r="N1279" s="6">
        <v>957.69600000000003</v>
      </c>
      <c r="O1279" s="6">
        <v>957.69600000000003</v>
      </c>
      <c r="P1279" s="6">
        <v>0</v>
      </c>
      <c r="Q1279" s="4" t="s">
        <v>26</v>
      </c>
      <c r="R1279" s="4">
        <v>0</v>
      </c>
      <c r="S1279" s="6">
        <v>0</v>
      </c>
      <c r="T1279" s="6">
        <v>24</v>
      </c>
      <c r="U1279" s="6">
        <v>66</v>
      </c>
      <c r="V1279" s="6">
        <f>IF(ISERROR(VLOOKUP($S$1279,'TAR FIN'!$A$1:$O$95,15,0)),0,VLOOKUP($S$1279,'TAR FIN'!$A$1:$O$95,15,0))</f>
        <v>0</v>
      </c>
      <c r="W1279" s="6">
        <f>IF(ISERROR(VLOOKUP($T$1279,'TAR FIN'!$A$1:$O$95,15,0)),0,VLOOKUP($T$1279,'TAR FIN'!$A$1:$O$95,15,0))</f>
        <v>1434.79</v>
      </c>
      <c r="X1279" s="6">
        <f>IF(ISERROR(VLOOKUP($U$1279,'TAR FIN'!$A$1:$O$95,15,0)),0,VLOOKUP($U$1279,'TAR FIN'!$A$1:$O$95,15,0))</f>
        <v>389.28</v>
      </c>
      <c r="Y1279" s="6"/>
      <c r="Z1279" s="6">
        <f ca="1">('TUSD BE'!$AM$16+'TUSD BF'!$AM$16+'TUSD CVA'!$AM$16)*1</f>
        <v>1605.9916314233351</v>
      </c>
      <c r="AA1279" s="6">
        <f>('TE BE'!$AA$7+'TE BF'!$AA$7+'TE CVA'!$AA$7)*1</f>
        <v>454.3285679284046</v>
      </c>
      <c r="AB1279" s="6">
        <f>$K$1279*$V$1279</f>
        <v>0</v>
      </c>
      <c r="AC1279" s="6">
        <f>$M$1279*$W$1279</f>
        <v>1374092.64384</v>
      </c>
      <c r="AD1279" s="6">
        <f>$O$1279*$X$1279</f>
        <v>372811.89887999999</v>
      </c>
      <c r="AE1279" s="6">
        <f>$K$1279*$Y$1279</f>
        <v>0</v>
      </c>
      <c r="AF1279" s="6">
        <f ca="1">$M$1279*$Z$1279</f>
        <v>1538051.7614476024</v>
      </c>
      <c r="AG1279" s="6">
        <f>$O$1279*$AA$1279</f>
        <v>435108.65219076141</v>
      </c>
    </row>
    <row r="1280" spans="1:33" ht="11.25" customHeight="1" x14ac:dyDescent="0.25">
      <c r="A1280" s="4" t="s">
        <v>27</v>
      </c>
      <c r="B1280" s="4" t="s">
        <v>35</v>
      </c>
      <c r="C1280" s="4" t="s">
        <v>36</v>
      </c>
      <c r="D1280" s="4" t="s">
        <v>48</v>
      </c>
      <c r="E1280" s="4" t="s">
        <v>25</v>
      </c>
      <c r="F1280" s="4" t="s">
        <v>25</v>
      </c>
      <c r="G1280" s="4" t="s">
        <v>25</v>
      </c>
      <c r="H1280" s="4" t="s">
        <v>37</v>
      </c>
      <c r="I1280" s="5">
        <v>44348</v>
      </c>
      <c r="J1280" s="6">
        <v>0</v>
      </c>
      <c r="K1280" s="6">
        <v>0</v>
      </c>
      <c r="L1280" s="6">
        <v>-8.4000000000000005E-2</v>
      </c>
      <c r="M1280" s="6">
        <v>-8.4000000000000005E-2</v>
      </c>
      <c r="N1280" s="6">
        <v>-8.4000000000000005E-2</v>
      </c>
      <c r="O1280" s="6">
        <v>-8.4000000000000005E-2</v>
      </c>
      <c r="P1280" s="6">
        <v>0</v>
      </c>
      <c r="Q1280" s="4" t="s">
        <v>26</v>
      </c>
      <c r="R1280" s="4">
        <v>0</v>
      </c>
      <c r="S1280" s="6">
        <v>0</v>
      </c>
      <c r="T1280" s="6">
        <v>24</v>
      </c>
      <c r="U1280" s="6">
        <v>66</v>
      </c>
      <c r="V1280" s="6">
        <f>IF(ISERROR(VLOOKUP($S$1280,'TAR FIN'!$A$1:$O$95,15,0)),0,VLOOKUP($S$1280,'TAR FIN'!$A$1:$O$95,15,0))</f>
        <v>0</v>
      </c>
      <c r="W1280" s="6">
        <f>IF(ISERROR(VLOOKUP($T$1280,'TAR FIN'!$A$1:$O$95,15,0)),0,VLOOKUP($T$1280,'TAR FIN'!$A$1:$O$95,15,0))</f>
        <v>1434.79</v>
      </c>
      <c r="X1280" s="6">
        <f>IF(ISERROR(VLOOKUP($U$1280,'TAR FIN'!$A$1:$O$95,15,0)),0,VLOOKUP($U$1280,'TAR FIN'!$A$1:$O$95,15,0))</f>
        <v>389.28</v>
      </c>
      <c r="Y1280" s="6"/>
      <c r="Z1280" s="6">
        <f ca="1">('TUSD BE'!$AM$16+'TUSD BF'!$AM$16+'TUSD CVA'!$AM$16)*1</f>
        <v>1605.9916314233351</v>
      </c>
      <c r="AA1280" s="6">
        <f>('TE BE'!$AA$7+'TE BF'!$AA$7+'TE CVA'!$AA$7)*1</f>
        <v>454.3285679284046</v>
      </c>
      <c r="AB1280" s="6">
        <f>$K$1280*$V$1280</f>
        <v>0</v>
      </c>
      <c r="AC1280" s="6">
        <f>$M$1280*$W$1280</f>
        <v>-120.52236000000001</v>
      </c>
      <c r="AD1280" s="6">
        <f>$O$1280*$X$1280</f>
        <v>-32.69952</v>
      </c>
      <c r="AE1280" s="6">
        <f>$K$1280*$Y$1280</f>
        <v>0</v>
      </c>
      <c r="AF1280" s="6">
        <f ca="1">$M$1280*$Z$1280</f>
        <v>-134.90329703956016</v>
      </c>
      <c r="AG1280" s="6">
        <f>$O$1280*$AA$1280</f>
        <v>-38.163599705985987</v>
      </c>
    </row>
    <row r="1281" spans="1:33" ht="11.25" customHeight="1" x14ac:dyDescent="0.25">
      <c r="A1281" s="4" t="s">
        <v>28</v>
      </c>
      <c r="B1281" s="4" t="s">
        <v>35</v>
      </c>
      <c r="C1281" s="4" t="s">
        <v>36</v>
      </c>
      <c r="D1281" s="4" t="s">
        <v>48</v>
      </c>
      <c r="E1281" s="4" t="s">
        <v>25</v>
      </c>
      <c r="F1281" s="4" t="s">
        <v>25</v>
      </c>
      <c r="G1281" s="4" t="s">
        <v>25</v>
      </c>
      <c r="H1281" s="4" t="s">
        <v>37</v>
      </c>
      <c r="I1281" s="5">
        <v>44348</v>
      </c>
      <c r="J1281" s="6">
        <v>0</v>
      </c>
      <c r="K1281" s="6">
        <v>0</v>
      </c>
      <c r="L1281" s="6">
        <v>302.089</v>
      </c>
      <c r="M1281" s="6">
        <v>302.089</v>
      </c>
      <c r="N1281" s="6">
        <v>302.089</v>
      </c>
      <c r="O1281" s="6">
        <v>302.089</v>
      </c>
      <c r="P1281" s="6">
        <v>0</v>
      </c>
      <c r="Q1281" s="4" t="s">
        <v>26</v>
      </c>
      <c r="R1281" s="4">
        <v>0</v>
      </c>
      <c r="S1281" s="6">
        <v>0</v>
      </c>
      <c r="T1281" s="6">
        <v>24</v>
      </c>
      <c r="U1281" s="6">
        <v>66</v>
      </c>
      <c r="V1281" s="6">
        <f>IF(ISERROR(VLOOKUP($S$1281,'TAR FIN'!$A$1:$O$95,15,0)),0,VLOOKUP($S$1281,'TAR FIN'!$A$1:$O$95,15,0))</f>
        <v>0</v>
      </c>
      <c r="W1281" s="6">
        <f>IF(ISERROR(VLOOKUP($T$1281,'TAR FIN'!$A$1:$O$95,15,0)),0,VLOOKUP($T$1281,'TAR FIN'!$A$1:$O$95,15,0))</f>
        <v>1434.79</v>
      </c>
      <c r="X1281" s="6">
        <f>IF(ISERROR(VLOOKUP($U$1281,'TAR FIN'!$A$1:$O$95,15,0)),0,VLOOKUP($U$1281,'TAR FIN'!$A$1:$O$95,15,0))</f>
        <v>389.28</v>
      </c>
      <c r="Y1281" s="6"/>
      <c r="Z1281" s="6">
        <f ca="1">('TUSD BE'!$AM$16+'TUSD BF'!$AM$16+'TUSD CVA'!$AM$16)*1</f>
        <v>1605.9916314233351</v>
      </c>
      <c r="AA1281" s="6">
        <f>('TE BE'!$AA$7+'TE BF'!$AA$7+'TE CVA'!$AA$7)*1</f>
        <v>454.3285679284046</v>
      </c>
      <c r="AB1281" s="6">
        <f>$K$1281*$V$1281</f>
        <v>0</v>
      </c>
      <c r="AC1281" s="6">
        <f>$M$1281*$W$1281</f>
        <v>433434.27630999999</v>
      </c>
      <c r="AD1281" s="6">
        <f>$O$1281*$X$1281</f>
        <v>117597.20591999999</v>
      </c>
      <c r="AE1281" s="6">
        <f>$K$1281*$Y$1281</f>
        <v>0</v>
      </c>
      <c r="AF1281" s="6">
        <f ca="1">$M$1281*$Z$1281</f>
        <v>485152.40594504389</v>
      </c>
      <c r="AG1281" s="6">
        <f>$O$1281*$AA$1281</f>
        <v>137247.66275692382</v>
      </c>
    </row>
    <row r="1282" spans="1:33" ht="11.25" customHeight="1" x14ac:dyDescent="0.25">
      <c r="A1282" s="4" t="s">
        <v>29</v>
      </c>
      <c r="B1282" s="4" t="s">
        <v>35</v>
      </c>
      <c r="C1282" s="4" t="s">
        <v>36</v>
      </c>
      <c r="D1282" s="4" t="s">
        <v>48</v>
      </c>
      <c r="E1282" s="4" t="s">
        <v>25</v>
      </c>
      <c r="F1282" s="4" t="s">
        <v>25</v>
      </c>
      <c r="G1282" s="4" t="s">
        <v>25</v>
      </c>
      <c r="H1282" s="4" t="s">
        <v>37</v>
      </c>
      <c r="I1282" s="5">
        <v>44348</v>
      </c>
      <c r="J1282" s="6">
        <v>0</v>
      </c>
      <c r="K1282" s="6">
        <v>0</v>
      </c>
      <c r="L1282" s="6">
        <v>0.378</v>
      </c>
      <c r="M1282" s="6">
        <v>0.378</v>
      </c>
      <c r="N1282" s="6">
        <v>0.378</v>
      </c>
      <c r="O1282" s="6">
        <v>0.378</v>
      </c>
      <c r="P1282" s="6">
        <v>0</v>
      </c>
      <c r="Q1282" s="4" t="s">
        <v>26</v>
      </c>
      <c r="R1282" s="4">
        <v>0</v>
      </c>
      <c r="S1282" s="6">
        <v>0</v>
      </c>
      <c r="T1282" s="6">
        <v>24</v>
      </c>
      <c r="U1282" s="6">
        <v>66</v>
      </c>
      <c r="V1282" s="6">
        <f>IF(ISERROR(VLOOKUP($S$1282,'TAR FIN'!$A$1:$O$95,15,0)),0,VLOOKUP($S$1282,'TAR FIN'!$A$1:$O$95,15,0))</f>
        <v>0</v>
      </c>
      <c r="W1282" s="6">
        <f>IF(ISERROR(VLOOKUP($T$1282,'TAR FIN'!$A$1:$O$95,15,0)),0,VLOOKUP($T$1282,'TAR FIN'!$A$1:$O$95,15,0))</f>
        <v>1434.79</v>
      </c>
      <c r="X1282" s="6">
        <f>IF(ISERROR(VLOOKUP($U$1282,'TAR FIN'!$A$1:$O$95,15,0)),0,VLOOKUP($U$1282,'TAR FIN'!$A$1:$O$95,15,0))</f>
        <v>389.28</v>
      </c>
      <c r="Y1282" s="6"/>
      <c r="Z1282" s="6">
        <f ca="1">('TUSD BE'!$AM$16+'TUSD BF'!$AM$16+'TUSD CVA'!$AM$16)*1</f>
        <v>1605.9916314233351</v>
      </c>
      <c r="AA1282" s="6">
        <f>('TE BE'!$AA$7+'TE BF'!$AA$7+'TE CVA'!$AA$7)*1</f>
        <v>454.3285679284046</v>
      </c>
      <c r="AB1282" s="6">
        <f>$K$1282*$V$1282</f>
        <v>0</v>
      </c>
      <c r="AC1282" s="6">
        <f>$M$1282*$W$1282</f>
        <v>542.35061999999994</v>
      </c>
      <c r="AD1282" s="6">
        <f>$O$1282*$X$1282</f>
        <v>147.14784</v>
      </c>
      <c r="AE1282" s="6">
        <f>$K$1282*$Y$1282</f>
        <v>0</v>
      </c>
      <c r="AF1282" s="6">
        <f ca="1">$M$1282*$Z$1282</f>
        <v>607.0648366780207</v>
      </c>
      <c r="AG1282" s="6">
        <f>$O$1282*$AA$1282</f>
        <v>171.73619867693694</v>
      </c>
    </row>
    <row r="1283" spans="1:33" ht="11.25" customHeight="1" x14ac:dyDescent="0.25">
      <c r="A1283" s="4" t="s">
        <v>30</v>
      </c>
      <c r="B1283" s="4" t="s">
        <v>35</v>
      </c>
      <c r="C1283" s="4" t="s">
        <v>36</v>
      </c>
      <c r="D1283" s="4" t="s">
        <v>48</v>
      </c>
      <c r="E1283" s="4" t="s">
        <v>25</v>
      </c>
      <c r="F1283" s="4" t="s">
        <v>25</v>
      </c>
      <c r="G1283" s="4" t="s">
        <v>25</v>
      </c>
      <c r="H1283" s="4" t="s">
        <v>37</v>
      </c>
      <c r="I1283" s="5">
        <v>44348</v>
      </c>
      <c r="J1283" s="6">
        <v>0</v>
      </c>
      <c r="K1283" s="6">
        <v>0</v>
      </c>
      <c r="L1283" s="6">
        <v>4.0369999999999999</v>
      </c>
      <c r="M1283" s="6">
        <v>4.0369999999999999</v>
      </c>
      <c r="N1283" s="6">
        <v>4.0369999999999999</v>
      </c>
      <c r="O1283" s="6">
        <v>4.0369999999999999</v>
      </c>
      <c r="P1283" s="6">
        <v>0</v>
      </c>
      <c r="Q1283" s="4" t="s">
        <v>26</v>
      </c>
      <c r="R1283" s="4">
        <v>0</v>
      </c>
      <c r="S1283" s="6">
        <v>0</v>
      </c>
      <c r="T1283" s="6">
        <v>24</v>
      </c>
      <c r="U1283" s="6">
        <v>66</v>
      </c>
      <c r="V1283" s="6">
        <f>IF(ISERROR(VLOOKUP($S$1283,'TAR FIN'!$A$1:$O$95,15,0)),0,VLOOKUP($S$1283,'TAR FIN'!$A$1:$O$95,15,0))</f>
        <v>0</v>
      </c>
      <c r="W1283" s="6">
        <f>IF(ISERROR(VLOOKUP($T$1283,'TAR FIN'!$A$1:$O$95,15,0)),0,VLOOKUP($T$1283,'TAR FIN'!$A$1:$O$95,15,0))</f>
        <v>1434.79</v>
      </c>
      <c r="X1283" s="6">
        <f>IF(ISERROR(VLOOKUP($U$1283,'TAR FIN'!$A$1:$O$95,15,0)),0,VLOOKUP($U$1283,'TAR FIN'!$A$1:$O$95,15,0))</f>
        <v>389.28</v>
      </c>
      <c r="Y1283" s="6"/>
      <c r="Z1283" s="6">
        <f ca="1">('TUSD BE'!$AM$16+'TUSD BF'!$AM$16+'TUSD CVA'!$AM$16)*1</f>
        <v>1605.9916314233351</v>
      </c>
      <c r="AA1283" s="6">
        <f>('TE BE'!$AA$7+'TE BF'!$AA$7+'TE CVA'!$AA$7)*1</f>
        <v>454.3285679284046</v>
      </c>
      <c r="AB1283" s="6">
        <f>$K$1283*$V$1283</f>
        <v>0</v>
      </c>
      <c r="AC1283" s="6">
        <f>$M$1283*$W$1283</f>
        <v>5792.2472299999999</v>
      </c>
      <c r="AD1283" s="6">
        <f>$O$1283*$X$1283</f>
        <v>1571.5233599999999</v>
      </c>
      <c r="AE1283" s="6">
        <f>$K$1283*$Y$1283</f>
        <v>0</v>
      </c>
      <c r="AF1283" s="6">
        <f ca="1">$M$1283*$Z$1283</f>
        <v>6483.3882160560033</v>
      </c>
      <c r="AG1283" s="6">
        <f>$O$1283*$AA$1283</f>
        <v>1834.1244287269694</v>
      </c>
    </row>
    <row r="1284" spans="1:33" ht="11.25" customHeight="1" x14ac:dyDescent="0.25">
      <c r="A1284" s="4" t="s">
        <v>21</v>
      </c>
      <c r="B1284" s="4" t="s">
        <v>35</v>
      </c>
      <c r="C1284" s="4" t="s">
        <v>36</v>
      </c>
      <c r="D1284" s="4" t="s">
        <v>48</v>
      </c>
      <c r="E1284" s="4" t="s">
        <v>25</v>
      </c>
      <c r="F1284" s="4" t="s">
        <v>25</v>
      </c>
      <c r="G1284" s="4" t="s">
        <v>25</v>
      </c>
      <c r="H1284" s="4" t="s">
        <v>37</v>
      </c>
      <c r="I1284" s="5">
        <v>44378</v>
      </c>
      <c r="J1284" s="6">
        <v>0</v>
      </c>
      <c r="K1284" s="6">
        <v>0</v>
      </c>
      <c r="L1284" s="6">
        <v>1032.9469999999999</v>
      </c>
      <c r="M1284" s="6">
        <v>1032.9469999999999</v>
      </c>
      <c r="N1284" s="6">
        <v>1032.9469999999999</v>
      </c>
      <c r="O1284" s="6">
        <v>1032.9469999999999</v>
      </c>
      <c r="P1284" s="6">
        <v>0</v>
      </c>
      <c r="Q1284" s="4" t="s">
        <v>26</v>
      </c>
      <c r="R1284" s="4">
        <v>0</v>
      </c>
      <c r="S1284" s="6">
        <v>0</v>
      </c>
      <c r="T1284" s="6">
        <v>24</v>
      </c>
      <c r="U1284" s="6">
        <v>66</v>
      </c>
      <c r="V1284" s="6">
        <f>IF(ISERROR(VLOOKUP($S$1284,'TAR FIN'!$A$1:$O$95,15,0)),0,VLOOKUP($S$1284,'TAR FIN'!$A$1:$O$95,15,0))</f>
        <v>0</v>
      </c>
      <c r="W1284" s="6">
        <f>IF(ISERROR(VLOOKUP($T$1284,'TAR FIN'!$A$1:$O$95,15,0)),0,VLOOKUP($T$1284,'TAR FIN'!$A$1:$O$95,15,0))</f>
        <v>1434.79</v>
      </c>
      <c r="X1284" s="6">
        <f>IF(ISERROR(VLOOKUP($U$1284,'TAR FIN'!$A$1:$O$95,15,0)),0,VLOOKUP($U$1284,'TAR FIN'!$A$1:$O$95,15,0))</f>
        <v>389.28</v>
      </c>
      <c r="Y1284" s="6"/>
      <c r="Z1284" s="6">
        <f ca="1">('TUSD BE'!$AM$16+'TUSD BF'!$AM$16+'TUSD CVA'!$AM$16)*1</f>
        <v>1605.9916314233351</v>
      </c>
      <c r="AA1284" s="6">
        <f>('TE BE'!$AA$7+'TE BF'!$AA$7+'TE CVA'!$AA$7)*1</f>
        <v>454.3285679284046</v>
      </c>
      <c r="AB1284" s="6">
        <f>$K$1284*$V$1284</f>
        <v>0</v>
      </c>
      <c r="AC1284" s="6">
        <f>$M$1284*$W$1284</f>
        <v>1482062.0261299999</v>
      </c>
      <c r="AD1284" s="6">
        <f>$O$1284*$X$1284</f>
        <v>402105.60815999995</v>
      </c>
      <c r="AE1284" s="6">
        <f>$K$1284*$Y$1284</f>
        <v>0</v>
      </c>
      <c r="AF1284" s="6">
        <f ca="1">$M$1284*$Z$1284</f>
        <v>1658904.2377038395</v>
      </c>
      <c r="AG1284" s="6">
        <f>$O$1284*$AA$1284</f>
        <v>469297.33125594171</v>
      </c>
    </row>
    <row r="1285" spans="1:33" ht="11.25" customHeight="1" x14ac:dyDescent="0.25">
      <c r="A1285" s="4" t="s">
        <v>28</v>
      </c>
      <c r="B1285" s="4" t="s">
        <v>35</v>
      </c>
      <c r="C1285" s="4" t="s">
        <v>36</v>
      </c>
      <c r="D1285" s="4" t="s">
        <v>48</v>
      </c>
      <c r="E1285" s="4" t="s">
        <v>25</v>
      </c>
      <c r="F1285" s="4" t="s">
        <v>25</v>
      </c>
      <c r="G1285" s="4" t="s">
        <v>25</v>
      </c>
      <c r="H1285" s="4" t="s">
        <v>37</v>
      </c>
      <c r="I1285" s="5">
        <v>44378</v>
      </c>
      <c r="J1285" s="6">
        <v>0</v>
      </c>
      <c r="K1285" s="6">
        <v>0</v>
      </c>
      <c r="L1285" s="6">
        <v>320.89999999999998</v>
      </c>
      <c r="M1285" s="6">
        <v>320.89999999999998</v>
      </c>
      <c r="N1285" s="6">
        <v>320.89999999999998</v>
      </c>
      <c r="O1285" s="6">
        <v>320.89999999999998</v>
      </c>
      <c r="P1285" s="6">
        <v>0</v>
      </c>
      <c r="Q1285" s="4" t="s">
        <v>26</v>
      </c>
      <c r="R1285" s="4">
        <v>0</v>
      </c>
      <c r="S1285" s="6">
        <v>0</v>
      </c>
      <c r="T1285" s="6">
        <v>24</v>
      </c>
      <c r="U1285" s="6">
        <v>66</v>
      </c>
      <c r="V1285" s="6">
        <f>IF(ISERROR(VLOOKUP($S$1285,'TAR FIN'!$A$1:$O$95,15,0)),0,VLOOKUP($S$1285,'TAR FIN'!$A$1:$O$95,15,0))</f>
        <v>0</v>
      </c>
      <c r="W1285" s="6">
        <f>IF(ISERROR(VLOOKUP($T$1285,'TAR FIN'!$A$1:$O$95,15,0)),0,VLOOKUP($T$1285,'TAR FIN'!$A$1:$O$95,15,0))</f>
        <v>1434.79</v>
      </c>
      <c r="X1285" s="6">
        <f>IF(ISERROR(VLOOKUP($U$1285,'TAR FIN'!$A$1:$O$95,15,0)),0,VLOOKUP($U$1285,'TAR FIN'!$A$1:$O$95,15,0))</f>
        <v>389.28</v>
      </c>
      <c r="Y1285" s="6"/>
      <c r="Z1285" s="6">
        <f ca="1">('TUSD BE'!$AM$16+'TUSD BF'!$AM$16+'TUSD CVA'!$AM$16)*1</f>
        <v>1605.9916314233351</v>
      </c>
      <c r="AA1285" s="6">
        <f>('TE BE'!$AA$7+'TE BF'!$AA$7+'TE CVA'!$AA$7)*1</f>
        <v>454.3285679284046</v>
      </c>
      <c r="AB1285" s="6">
        <f>$K$1285*$V$1285</f>
        <v>0</v>
      </c>
      <c r="AC1285" s="6">
        <f>$M$1285*$W$1285</f>
        <v>460424.11099999998</v>
      </c>
      <c r="AD1285" s="6">
        <f>$O$1285*$X$1285</f>
        <v>124919.95199999998</v>
      </c>
      <c r="AE1285" s="6">
        <f>$K$1285*$Y$1285</f>
        <v>0</v>
      </c>
      <c r="AF1285" s="6">
        <f ca="1">$M$1285*$Z$1285</f>
        <v>515362.7145237482</v>
      </c>
      <c r="AG1285" s="6">
        <f>$O$1285*$AA$1285</f>
        <v>145794.03744822502</v>
      </c>
    </row>
    <row r="1286" spans="1:33" ht="11.25" customHeight="1" x14ac:dyDescent="0.25">
      <c r="A1286" s="4" t="s">
        <v>30</v>
      </c>
      <c r="B1286" s="4" t="s">
        <v>35</v>
      </c>
      <c r="C1286" s="4" t="s">
        <v>36</v>
      </c>
      <c r="D1286" s="4" t="s">
        <v>48</v>
      </c>
      <c r="E1286" s="4" t="s">
        <v>25</v>
      </c>
      <c r="F1286" s="4" t="s">
        <v>25</v>
      </c>
      <c r="G1286" s="4" t="s">
        <v>25</v>
      </c>
      <c r="H1286" s="4" t="s">
        <v>37</v>
      </c>
      <c r="I1286" s="5">
        <v>44378</v>
      </c>
      <c r="J1286" s="6">
        <v>0</v>
      </c>
      <c r="K1286" s="6">
        <v>0</v>
      </c>
      <c r="L1286" s="6">
        <v>4.2830000000000004</v>
      </c>
      <c r="M1286" s="6">
        <v>4.2830000000000004</v>
      </c>
      <c r="N1286" s="6">
        <v>4.2830000000000004</v>
      </c>
      <c r="O1286" s="6">
        <v>4.2830000000000004</v>
      </c>
      <c r="P1286" s="6">
        <v>0</v>
      </c>
      <c r="Q1286" s="4" t="s">
        <v>26</v>
      </c>
      <c r="R1286" s="4">
        <v>0</v>
      </c>
      <c r="S1286" s="6">
        <v>0</v>
      </c>
      <c r="T1286" s="6">
        <v>24</v>
      </c>
      <c r="U1286" s="6">
        <v>66</v>
      </c>
      <c r="V1286" s="6">
        <f>IF(ISERROR(VLOOKUP($S$1286,'TAR FIN'!$A$1:$O$95,15,0)),0,VLOOKUP($S$1286,'TAR FIN'!$A$1:$O$95,15,0))</f>
        <v>0</v>
      </c>
      <c r="W1286" s="6">
        <f>IF(ISERROR(VLOOKUP($T$1286,'TAR FIN'!$A$1:$O$95,15,0)),0,VLOOKUP($T$1286,'TAR FIN'!$A$1:$O$95,15,0))</f>
        <v>1434.79</v>
      </c>
      <c r="X1286" s="6">
        <f>IF(ISERROR(VLOOKUP($U$1286,'TAR FIN'!$A$1:$O$95,15,0)),0,VLOOKUP($U$1286,'TAR FIN'!$A$1:$O$95,15,0))</f>
        <v>389.28</v>
      </c>
      <c r="Y1286" s="6"/>
      <c r="Z1286" s="6">
        <f ca="1">('TUSD BE'!$AM$16+'TUSD BF'!$AM$16+'TUSD CVA'!$AM$16)*1</f>
        <v>1605.9916314233351</v>
      </c>
      <c r="AA1286" s="6">
        <f>('TE BE'!$AA$7+'TE BF'!$AA$7+'TE CVA'!$AA$7)*1</f>
        <v>454.3285679284046</v>
      </c>
      <c r="AB1286" s="6">
        <f>$K$1286*$V$1286</f>
        <v>0</v>
      </c>
      <c r="AC1286" s="6">
        <f>$M$1286*$W$1286</f>
        <v>6145.2055700000001</v>
      </c>
      <c r="AD1286" s="6">
        <f>$O$1286*$X$1286</f>
        <v>1667.2862400000001</v>
      </c>
      <c r="AE1286" s="6">
        <f>$K$1286*$Y$1286</f>
        <v>0</v>
      </c>
      <c r="AF1286" s="6">
        <f ca="1">$M$1286*$Z$1286</f>
        <v>6878.462157386145</v>
      </c>
      <c r="AG1286" s="6">
        <f>$O$1286*$AA$1286</f>
        <v>1945.8892564373571</v>
      </c>
    </row>
    <row r="1287" spans="1:33" ht="11.25" customHeight="1" x14ac:dyDescent="0.25">
      <c r="A1287" s="4" t="s">
        <v>21</v>
      </c>
      <c r="B1287" s="4" t="s">
        <v>35</v>
      </c>
      <c r="C1287" s="4" t="s">
        <v>36</v>
      </c>
      <c r="D1287" s="4" t="s">
        <v>48</v>
      </c>
      <c r="E1287" s="4" t="s">
        <v>25</v>
      </c>
      <c r="F1287" s="4" t="s">
        <v>25</v>
      </c>
      <c r="G1287" s="4" t="s">
        <v>25</v>
      </c>
      <c r="H1287" s="4" t="s">
        <v>37</v>
      </c>
      <c r="I1287" s="5">
        <v>44409</v>
      </c>
      <c r="J1287" s="6">
        <v>0</v>
      </c>
      <c r="K1287" s="6">
        <v>0</v>
      </c>
      <c r="L1287" s="6">
        <v>979.41399999999999</v>
      </c>
      <c r="M1287" s="6">
        <v>979.41399999999999</v>
      </c>
      <c r="N1287" s="6">
        <v>979.41399999999999</v>
      </c>
      <c r="O1287" s="6">
        <v>979.41399999999999</v>
      </c>
      <c r="P1287" s="6">
        <v>0</v>
      </c>
      <c r="Q1287" s="4" t="s">
        <v>26</v>
      </c>
      <c r="R1287" s="4">
        <v>0</v>
      </c>
      <c r="S1287" s="6">
        <v>0</v>
      </c>
      <c r="T1287" s="6">
        <v>24</v>
      </c>
      <c r="U1287" s="6">
        <v>66</v>
      </c>
      <c r="V1287" s="6">
        <f>IF(ISERROR(VLOOKUP($S$1287,'TAR FIN'!$A$1:$O$95,15,0)),0,VLOOKUP($S$1287,'TAR FIN'!$A$1:$O$95,15,0))</f>
        <v>0</v>
      </c>
      <c r="W1287" s="6">
        <f>IF(ISERROR(VLOOKUP($T$1287,'TAR FIN'!$A$1:$O$95,15,0)),0,VLOOKUP($T$1287,'TAR FIN'!$A$1:$O$95,15,0))</f>
        <v>1434.79</v>
      </c>
      <c r="X1287" s="6">
        <f>IF(ISERROR(VLOOKUP($U$1287,'TAR FIN'!$A$1:$O$95,15,0)),0,VLOOKUP($U$1287,'TAR FIN'!$A$1:$O$95,15,0))</f>
        <v>389.28</v>
      </c>
      <c r="Y1287" s="6"/>
      <c r="Z1287" s="6">
        <f ca="1">('TUSD BE'!$AM$16+'TUSD BF'!$AM$16+'TUSD CVA'!$AM$16)*1</f>
        <v>1605.9916314233351</v>
      </c>
      <c r="AA1287" s="6">
        <f>('TE BE'!$AA$7+'TE BF'!$AA$7+'TE CVA'!$AA$7)*1</f>
        <v>454.3285679284046</v>
      </c>
      <c r="AB1287" s="6">
        <f>$K$1287*$V$1287</f>
        <v>0</v>
      </c>
      <c r="AC1287" s="6">
        <f>$M$1287*$W$1287</f>
        <v>1405253.4130599999</v>
      </c>
      <c r="AD1287" s="6">
        <f>$O$1287*$X$1287</f>
        <v>381266.28191999998</v>
      </c>
      <c r="AE1287" s="6">
        <f>$K$1287*$Y$1287</f>
        <v>0</v>
      </c>
      <c r="AF1287" s="6">
        <f ca="1">$M$1287*$Z$1287</f>
        <v>1572930.6876988544</v>
      </c>
      <c r="AG1287" s="6">
        <f>$O$1287*$AA$1287</f>
        <v>444975.76002903044</v>
      </c>
    </row>
    <row r="1288" spans="1:33" ht="11.25" customHeight="1" x14ac:dyDescent="0.25">
      <c r="A1288" s="4" t="s">
        <v>27</v>
      </c>
      <c r="B1288" s="4" t="s">
        <v>35</v>
      </c>
      <c r="C1288" s="4" t="s">
        <v>36</v>
      </c>
      <c r="D1288" s="4" t="s">
        <v>48</v>
      </c>
      <c r="E1288" s="4" t="s">
        <v>25</v>
      </c>
      <c r="F1288" s="4" t="s">
        <v>25</v>
      </c>
      <c r="G1288" s="4" t="s">
        <v>25</v>
      </c>
      <c r="H1288" s="4" t="s">
        <v>37</v>
      </c>
      <c r="I1288" s="5">
        <v>44409</v>
      </c>
      <c r="J1288" s="6">
        <v>0</v>
      </c>
      <c r="K1288" s="6">
        <v>0</v>
      </c>
      <c r="L1288" s="6">
        <v>-2143.2049999999999</v>
      </c>
      <c r="M1288" s="6">
        <v>-2143.2049999999999</v>
      </c>
      <c r="N1288" s="6">
        <v>-2143.2049999999999</v>
      </c>
      <c r="O1288" s="6">
        <v>-2143.2049999999999</v>
      </c>
      <c r="P1288" s="6">
        <v>0</v>
      </c>
      <c r="Q1288" s="4" t="s">
        <v>26</v>
      </c>
      <c r="R1288" s="4">
        <v>0</v>
      </c>
      <c r="S1288" s="6">
        <v>0</v>
      </c>
      <c r="T1288" s="6">
        <v>24</v>
      </c>
      <c r="U1288" s="6">
        <v>66</v>
      </c>
      <c r="V1288" s="6">
        <f>IF(ISERROR(VLOOKUP($S$1288,'TAR FIN'!$A$1:$O$95,15,0)),0,VLOOKUP($S$1288,'TAR FIN'!$A$1:$O$95,15,0))</f>
        <v>0</v>
      </c>
      <c r="W1288" s="6">
        <f>IF(ISERROR(VLOOKUP($T$1288,'TAR FIN'!$A$1:$O$95,15,0)),0,VLOOKUP($T$1288,'TAR FIN'!$A$1:$O$95,15,0))</f>
        <v>1434.79</v>
      </c>
      <c r="X1288" s="6">
        <f>IF(ISERROR(VLOOKUP($U$1288,'TAR FIN'!$A$1:$O$95,15,0)),0,VLOOKUP($U$1288,'TAR FIN'!$A$1:$O$95,15,0))</f>
        <v>389.28</v>
      </c>
      <c r="Y1288" s="6"/>
      <c r="Z1288" s="6">
        <f ca="1">('TUSD BE'!$AM$16+'TUSD BF'!$AM$16+'TUSD CVA'!$AM$16)*1</f>
        <v>1605.9916314233351</v>
      </c>
      <c r="AA1288" s="6">
        <f>('TE BE'!$AA$7+'TE BF'!$AA$7+'TE CVA'!$AA$7)*1</f>
        <v>454.3285679284046</v>
      </c>
      <c r="AB1288" s="6">
        <f>$K$1288*$V$1288</f>
        <v>0</v>
      </c>
      <c r="AC1288" s="6">
        <f>$M$1288*$W$1288</f>
        <v>-3075049.10195</v>
      </c>
      <c r="AD1288" s="6">
        <f>$O$1288*$X$1288</f>
        <v>-834306.84239999996</v>
      </c>
      <c r="AE1288" s="6">
        <f>$K$1288*$Y$1288</f>
        <v>0</v>
      </c>
      <c r="AF1288" s="6">
        <f ca="1">$M$1288*$Z$1288</f>
        <v>-3441969.2944246489</v>
      </c>
      <c r="AG1288" s="6">
        <f>$O$1288*$AA$1288</f>
        <v>-973719.2584269963</v>
      </c>
    </row>
    <row r="1289" spans="1:33" ht="11.25" customHeight="1" x14ac:dyDescent="0.25">
      <c r="A1289" s="4" t="s">
        <v>28</v>
      </c>
      <c r="B1289" s="4" t="s">
        <v>35</v>
      </c>
      <c r="C1289" s="4" t="s">
        <v>36</v>
      </c>
      <c r="D1289" s="4" t="s">
        <v>48</v>
      </c>
      <c r="E1289" s="4" t="s">
        <v>25</v>
      </c>
      <c r="F1289" s="4" t="s">
        <v>25</v>
      </c>
      <c r="G1289" s="4" t="s">
        <v>25</v>
      </c>
      <c r="H1289" s="4" t="s">
        <v>37</v>
      </c>
      <c r="I1289" s="5">
        <v>44409</v>
      </c>
      <c r="J1289" s="6">
        <v>0</v>
      </c>
      <c r="K1289" s="6">
        <v>0</v>
      </c>
      <c r="L1289" s="6">
        <v>297.65699999999998</v>
      </c>
      <c r="M1289" s="6">
        <v>297.65699999999998</v>
      </c>
      <c r="N1289" s="6">
        <v>297.65699999999998</v>
      </c>
      <c r="O1289" s="6">
        <v>297.65699999999998</v>
      </c>
      <c r="P1289" s="6">
        <v>0</v>
      </c>
      <c r="Q1289" s="4" t="s">
        <v>26</v>
      </c>
      <c r="R1289" s="4">
        <v>0</v>
      </c>
      <c r="S1289" s="6">
        <v>0</v>
      </c>
      <c r="T1289" s="6">
        <v>24</v>
      </c>
      <c r="U1289" s="6">
        <v>66</v>
      </c>
      <c r="V1289" s="6">
        <f>IF(ISERROR(VLOOKUP($S$1289,'TAR FIN'!$A$1:$O$95,15,0)),0,VLOOKUP($S$1289,'TAR FIN'!$A$1:$O$95,15,0))</f>
        <v>0</v>
      </c>
      <c r="W1289" s="6">
        <f>IF(ISERROR(VLOOKUP($T$1289,'TAR FIN'!$A$1:$O$95,15,0)),0,VLOOKUP($T$1289,'TAR FIN'!$A$1:$O$95,15,0))</f>
        <v>1434.79</v>
      </c>
      <c r="X1289" s="6">
        <f>IF(ISERROR(VLOOKUP($U$1289,'TAR FIN'!$A$1:$O$95,15,0)),0,VLOOKUP($U$1289,'TAR FIN'!$A$1:$O$95,15,0))</f>
        <v>389.28</v>
      </c>
      <c r="Y1289" s="6"/>
      <c r="Z1289" s="6">
        <f ca="1">('TUSD BE'!$AM$16+'TUSD BF'!$AM$16+'TUSD CVA'!$AM$16)*1</f>
        <v>1605.9916314233351</v>
      </c>
      <c r="AA1289" s="6">
        <f>('TE BE'!$AA$7+'TE BF'!$AA$7+'TE CVA'!$AA$7)*1</f>
        <v>454.3285679284046</v>
      </c>
      <c r="AB1289" s="6">
        <f>$K$1289*$V$1289</f>
        <v>0</v>
      </c>
      <c r="AC1289" s="6">
        <f>$M$1289*$W$1289</f>
        <v>427075.28702999995</v>
      </c>
      <c r="AD1289" s="6">
        <f>$O$1289*$X$1289</f>
        <v>115871.91695999999</v>
      </c>
      <c r="AE1289" s="6">
        <f>$K$1289*$Y$1289</f>
        <v>0</v>
      </c>
      <c r="AF1289" s="6">
        <f ca="1">$M$1289*$Z$1289</f>
        <v>478034.65103457565</v>
      </c>
      <c r="AG1289" s="6">
        <f>$O$1289*$AA$1289</f>
        <v>135234.07854386512</v>
      </c>
    </row>
    <row r="1290" spans="1:33" ht="11.25" customHeight="1" x14ac:dyDescent="0.25">
      <c r="A1290" s="4" t="s">
        <v>30</v>
      </c>
      <c r="B1290" s="4" t="s">
        <v>35</v>
      </c>
      <c r="C1290" s="4" t="s">
        <v>36</v>
      </c>
      <c r="D1290" s="4" t="s">
        <v>48</v>
      </c>
      <c r="E1290" s="4" t="s">
        <v>25</v>
      </c>
      <c r="F1290" s="4" t="s">
        <v>25</v>
      </c>
      <c r="G1290" s="4" t="s">
        <v>25</v>
      </c>
      <c r="H1290" s="4" t="s">
        <v>37</v>
      </c>
      <c r="I1290" s="5">
        <v>44409</v>
      </c>
      <c r="J1290" s="6">
        <v>0</v>
      </c>
      <c r="K1290" s="6">
        <v>0</v>
      </c>
      <c r="L1290" s="6">
        <v>0.72</v>
      </c>
      <c r="M1290" s="6">
        <v>0.72</v>
      </c>
      <c r="N1290" s="6">
        <v>0.72</v>
      </c>
      <c r="O1290" s="6">
        <v>0.72</v>
      </c>
      <c r="P1290" s="6">
        <v>0</v>
      </c>
      <c r="Q1290" s="4" t="s">
        <v>26</v>
      </c>
      <c r="R1290" s="4">
        <v>0</v>
      </c>
      <c r="S1290" s="6">
        <v>0</v>
      </c>
      <c r="T1290" s="6">
        <v>24</v>
      </c>
      <c r="U1290" s="6">
        <v>66</v>
      </c>
      <c r="V1290" s="6">
        <f>IF(ISERROR(VLOOKUP($S$1290,'TAR FIN'!$A$1:$O$95,15,0)),0,VLOOKUP($S$1290,'TAR FIN'!$A$1:$O$95,15,0))</f>
        <v>0</v>
      </c>
      <c r="W1290" s="6">
        <f>IF(ISERROR(VLOOKUP($T$1290,'TAR FIN'!$A$1:$O$95,15,0)),0,VLOOKUP($T$1290,'TAR FIN'!$A$1:$O$95,15,0))</f>
        <v>1434.79</v>
      </c>
      <c r="X1290" s="6">
        <f>IF(ISERROR(VLOOKUP($U$1290,'TAR FIN'!$A$1:$O$95,15,0)),0,VLOOKUP($U$1290,'TAR FIN'!$A$1:$O$95,15,0))</f>
        <v>389.28</v>
      </c>
      <c r="Y1290" s="6"/>
      <c r="Z1290" s="6">
        <f ca="1">('TUSD BE'!$AM$16+'TUSD BF'!$AM$16+'TUSD CVA'!$AM$16)*1</f>
        <v>1605.9916314233351</v>
      </c>
      <c r="AA1290" s="6">
        <f>('TE BE'!$AA$7+'TE BF'!$AA$7+'TE CVA'!$AA$7)*1</f>
        <v>454.3285679284046</v>
      </c>
      <c r="AB1290" s="6">
        <f>$K$1290*$V$1290</f>
        <v>0</v>
      </c>
      <c r="AC1290" s="6">
        <f>$M$1290*$W$1290</f>
        <v>1033.0488</v>
      </c>
      <c r="AD1290" s="6">
        <f>$O$1290*$X$1290</f>
        <v>280.28159999999997</v>
      </c>
      <c r="AE1290" s="6">
        <f>$K$1290*$Y$1290</f>
        <v>0</v>
      </c>
      <c r="AF1290" s="6">
        <f ca="1">$M$1290*$Z$1290</f>
        <v>1156.3139746248012</v>
      </c>
      <c r="AG1290" s="6">
        <f>$O$1290*$AA$1290</f>
        <v>327.11656890845131</v>
      </c>
    </row>
    <row r="1291" spans="1:33" ht="11.25" customHeight="1" x14ac:dyDescent="0.25">
      <c r="A1291" s="4" t="s">
        <v>21</v>
      </c>
      <c r="B1291" s="4" t="s">
        <v>35</v>
      </c>
      <c r="C1291" s="4" t="s">
        <v>36</v>
      </c>
      <c r="D1291" s="4" t="s">
        <v>48</v>
      </c>
      <c r="E1291" s="4" t="s">
        <v>25</v>
      </c>
      <c r="F1291" s="4" t="s">
        <v>25</v>
      </c>
      <c r="G1291" s="4" t="s">
        <v>25</v>
      </c>
      <c r="H1291" s="4" t="s">
        <v>37</v>
      </c>
      <c r="I1291" s="5">
        <v>44440</v>
      </c>
      <c r="J1291" s="6">
        <v>0</v>
      </c>
      <c r="K1291" s="6">
        <v>0</v>
      </c>
      <c r="L1291" s="6">
        <v>932.279</v>
      </c>
      <c r="M1291" s="6">
        <v>932.279</v>
      </c>
      <c r="N1291" s="6">
        <v>932.279</v>
      </c>
      <c r="O1291" s="6">
        <v>932.279</v>
      </c>
      <c r="P1291" s="6">
        <v>0</v>
      </c>
      <c r="Q1291" s="4" t="s">
        <v>26</v>
      </c>
      <c r="R1291" s="4">
        <v>0</v>
      </c>
      <c r="S1291" s="6">
        <v>0</v>
      </c>
      <c r="T1291" s="6">
        <v>24</v>
      </c>
      <c r="U1291" s="6">
        <v>66</v>
      </c>
      <c r="V1291" s="6">
        <f>IF(ISERROR(VLOOKUP($S$1291,'TAR FIN'!$A$1:$O$95,15,0)),0,VLOOKUP($S$1291,'TAR FIN'!$A$1:$O$95,15,0))</f>
        <v>0</v>
      </c>
      <c r="W1291" s="6">
        <f>IF(ISERROR(VLOOKUP($T$1291,'TAR FIN'!$A$1:$O$95,15,0)),0,VLOOKUP($T$1291,'TAR FIN'!$A$1:$O$95,15,0))</f>
        <v>1434.79</v>
      </c>
      <c r="X1291" s="6">
        <f>IF(ISERROR(VLOOKUP($U$1291,'TAR FIN'!$A$1:$O$95,15,0)),0,VLOOKUP($U$1291,'TAR FIN'!$A$1:$O$95,15,0))</f>
        <v>389.28</v>
      </c>
      <c r="Y1291" s="6"/>
      <c r="Z1291" s="6">
        <f ca="1">('TUSD BE'!$AM$16+'TUSD BF'!$AM$16+'TUSD CVA'!$AM$16)*1</f>
        <v>1605.9916314233351</v>
      </c>
      <c r="AA1291" s="6">
        <f>('TE BE'!$AA$7+'TE BF'!$AA$7+'TE CVA'!$AA$7)*1</f>
        <v>454.3285679284046</v>
      </c>
      <c r="AB1291" s="6">
        <f>$K$1291*$V$1291</f>
        <v>0</v>
      </c>
      <c r="AC1291" s="6">
        <f>$M$1291*$W$1291</f>
        <v>1337624.58641</v>
      </c>
      <c r="AD1291" s="6">
        <f>$O$1291*$X$1291</f>
        <v>362917.56912</v>
      </c>
      <c r="AE1291" s="6">
        <f>$K$1291*$Y$1291</f>
        <v>0</v>
      </c>
      <c r="AF1291" s="6">
        <f ca="1">$M$1291*$Z$1291</f>
        <v>1497232.2721517154</v>
      </c>
      <c r="AG1291" s="6">
        <f>$O$1291*$AA$1291</f>
        <v>423560.98297972512</v>
      </c>
    </row>
    <row r="1292" spans="1:33" ht="11.25" customHeight="1" x14ac:dyDescent="0.25">
      <c r="A1292" s="4" t="s">
        <v>27</v>
      </c>
      <c r="B1292" s="4" t="s">
        <v>35</v>
      </c>
      <c r="C1292" s="4" t="s">
        <v>36</v>
      </c>
      <c r="D1292" s="4" t="s">
        <v>48</v>
      </c>
      <c r="E1292" s="4" t="s">
        <v>25</v>
      </c>
      <c r="F1292" s="4" t="s">
        <v>25</v>
      </c>
      <c r="G1292" s="4" t="s">
        <v>25</v>
      </c>
      <c r="H1292" s="4" t="s">
        <v>37</v>
      </c>
      <c r="I1292" s="5">
        <v>44440</v>
      </c>
      <c r="J1292" s="6">
        <v>0</v>
      </c>
      <c r="K1292" s="6">
        <v>0</v>
      </c>
      <c r="L1292" s="6">
        <v>-0.73799999999999999</v>
      </c>
      <c r="M1292" s="6">
        <v>-0.73799999999999999</v>
      </c>
      <c r="N1292" s="6">
        <v>-0.73799999999999999</v>
      </c>
      <c r="O1292" s="6">
        <v>-0.73799999999999999</v>
      </c>
      <c r="P1292" s="6">
        <v>0</v>
      </c>
      <c r="Q1292" s="4" t="s">
        <v>26</v>
      </c>
      <c r="R1292" s="4">
        <v>0</v>
      </c>
      <c r="S1292" s="6">
        <v>0</v>
      </c>
      <c r="T1292" s="6">
        <v>24</v>
      </c>
      <c r="U1292" s="6">
        <v>66</v>
      </c>
      <c r="V1292" s="6">
        <f>IF(ISERROR(VLOOKUP($S$1292,'TAR FIN'!$A$1:$O$95,15,0)),0,VLOOKUP($S$1292,'TAR FIN'!$A$1:$O$95,15,0))</f>
        <v>0</v>
      </c>
      <c r="W1292" s="6">
        <f>IF(ISERROR(VLOOKUP($T$1292,'TAR FIN'!$A$1:$O$95,15,0)),0,VLOOKUP($T$1292,'TAR FIN'!$A$1:$O$95,15,0))</f>
        <v>1434.79</v>
      </c>
      <c r="X1292" s="6">
        <f>IF(ISERROR(VLOOKUP($U$1292,'TAR FIN'!$A$1:$O$95,15,0)),0,VLOOKUP($U$1292,'TAR FIN'!$A$1:$O$95,15,0))</f>
        <v>389.28</v>
      </c>
      <c r="Y1292" s="6"/>
      <c r="Z1292" s="6">
        <f ca="1">('TUSD BE'!$AM$16+'TUSD BF'!$AM$16+'TUSD CVA'!$AM$16)*1</f>
        <v>1605.9916314233351</v>
      </c>
      <c r="AA1292" s="6">
        <f>('TE BE'!$AA$7+'TE BF'!$AA$7+'TE CVA'!$AA$7)*1</f>
        <v>454.3285679284046</v>
      </c>
      <c r="AB1292" s="6">
        <f>$K$1292*$V$1292</f>
        <v>0</v>
      </c>
      <c r="AC1292" s="6">
        <f>$M$1292*$W$1292</f>
        <v>-1058.8750199999999</v>
      </c>
      <c r="AD1292" s="6">
        <f>$O$1292*$X$1292</f>
        <v>-287.28863999999999</v>
      </c>
      <c r="AE1292" s="6">
        <f>$K$1292*$Y$1292</f>
        <v>0</v>
      </c>
      <c r="AF1292" s="6">
        <f ca="1">$M$1292*$Z$1292</f>
        <v>-1185.2218239904212</v>
      </c>
      <c r="AG1292" s="6">
        <f>$O$1292*$AA$1292</f>
        <v>-335.29448313116256</v>
      </c>
    </row>
    <row r="1293" spans="1:33" ht="11.25" customHeight="1" x14ac:dyDescent="0.25">
      <c r="A1293" s="4" t="s">
        <v>28</v>
      </c>
      <c r="B1293" s="4" t="s">
        <v>35</v>
      </c>
      <c r="C1293" s="4" t="s">
        <v>36</v>
      </c>
      <c r="D1293" s="4" t="s">
        <v>48</v>
      </c>
      <c r="E1293" s="4" t="s">
        <v>25</v>
      </c>
      <c r="F1293" s="4" t="s">
        <v>25</v>
      </c>
      <c r="G1293" s="4" t="s">
        <v>25</v>
      </c>
      <c r="H1293" s="4" t="s">
        <v>37</v>
      </c>
      <c r="I1293" s="5">
        <v>44440</v>
      </c>
      <c r="J1293" s="6">
        <v>0</v>
      </c>
      <c r="K1293" s="6">
        <v>0</v>
      </c>
      <c r="L1293" s="6">
        <v>309.04500000000002</v>
      </c>
      <c r="M1293" s="6">
        <v>309.04500000000002</v>
      </c>
      <c r="N1293" s="6">
        <v>309.04500000000002</v>
      </c>
      <c r="O1293" s="6">
        <v>309.04500000000002</v>
      </c>
      <c r="P1293" s="6">
        <v>0</v>
      </c>
      <c r="Q1293" s="4" t="s">
        <v>26</v>
      </c>
      <c r="R1293" s="4">
        <v>0</v>
      </c>
      <c r="S1293" s="6">
        <v>0</v>
      </c>
      <c r="T1293" s="6">
        <v>24</v>
      </c>
      <c r="U1293" s="6">
        <v>66</v>
      </c>
      <c r="V1293" s="6">
        <f>IF(ISERROR(VLOOKUP($S$1293,'TAR FIN'!$A$1:$O$95,15,0)),0,VLOOKUP($S$1293,'TAR FIN'!$A$1:$O$95,15,0))</f>
        <v>0</v>
      </c>
      <c r="W1293" s="6">
        <f>IF(ISERROR(VLOOKUP($T$1293,'TAR FIN'!$A$1:$O$95,15,0)),0,VLOOKUP($T$1293,'TAR FIN'!$A$1:$O$95,15,0))</f>
        <v>1434.79</v>
      </c>
      <c r="X1293" s="6">
        <f>IF(ISERROR(VLOOKUP($U$1293,'TAR FIN'!$A$1:$O$95,15,0)),0,VLOOKUP($U$1293,'TAR FIN'!$A$1:$O$95,15,0))</f>
        <v>389.28</v>
      </c>
      <c r="Y1293" s="6"/>
      <c r="Z1293" s="6">
        <f ca="1">('TUSD BE'!$AM$16+'TUSD BF'!$AM$16+'TUSD CVA'!$AM$16)*1</f>
        <v>1605.9916314233351</v>
      </c>
      <c r="AA1293" s="6">
        <f>('TE BE'!$AA$7+'TE BF'!$AA$7+'TE CVA'!$AA$7)*1</f>
        <v>454.3285679284046</v>
      </c>
      <c r="AB1293" s="6">
        <f>$K$1293*$V$1293</f>
        <v>0</v>
      </c>
      <c r="AC1293" s="6">
        <f>$M$1293*$W$1293</f>
        <v>443414.67554999999</v>
      </c>
      <c r="AD1293" s="6">
        <f>$O$1293*$X$1293</f>
        <v>120305.0376</v>
      </c>
      <c r="AE1293" s="6">
        <f>$K$1293*$Y$1293</f>
        <v>0</v>
      </c>
      <c r="AF1293" s="6">
        <f ca="1">$M$1293*$Z$1293</f>
        <v>496323.68373322464</v>
      </c>
      <c r="AG1293" s="6">
        <f>$O$1293*$AA$1293</f>
        <v>140407.9722754338</v>
      </c>
    </row>
    <row r="1294" spans="1:33" ht="11.25" customHeight="1" x14ac:dyDescent="0.25">
      <c r="A1294" s="4" t="s">
        <v>30</v>
      </c>
      <c r="B1294" s="4" t="s">
        <v>35</v>
      </c>
      <c r="C1294" s="4" t="s">
        <v>36</v>
      </c>
      <c r="D1294" s="4" t="s">
        <v>48</v>
      </c>
      <c r="E1294" s="4" t="s">
        <v>25</v>
      </c>
      <c r="F1294" s="4" t="s">
        <v>25</v>
      </c>
      <c r="G1294" s="4" t="s">
        <v>25</v>
      </c>
      <c r="H1294" s="4" t="s">
        <v>37</v>
      </c>
      <c r="I1294" s="5">
        <v>44440</v>
      </c>
      <c r="J1294" s="6">
        <v>0</v>
      </c>
      <c r="K1294" s="6">
        <v>0</v>
      </c>
      <c r="L1294" s="6">
        <v>0.67200000000000004</v>
      </c>
      <c r="M1294" s="6">
        <v>0.67200000000000004</v>
      </c>
      <c r="N1294" s="6">
        <v>0.67200000000000004</v>
      </c>
      <c r="O1294" s="6">
        <v>0.67200000000000004</v>
      </c>
      <c r="P1294" s="6">
        <v>0</v>
      </c>
      <c r="Q1294" s="4" t="s">
        <v>26</v>
      </c>
      <c r="R1294" s="4">
        <v>0</v>
      </c>
      <c r="S1294" s="6">
        <v>0</v>
      </c>
      <c r="T1294" s="6">
        <v>24</v>
      </c>
      <c r="U1294" s="6">
        <v>66</v>
      </c>
      <c r="V1294" s="6">
        <f>IF(ISERROR(VLOOKUP($S$1294,'TAR FIN'!$A$1:$O$95,15,0)),0,VLOOKUP($S$1294,'TAR FIN'!$A$1:$O$95,15,0))</f>
        <v>0</v>
      </c>
      <c r="W1294" s="6">
        <f>IF(ISERROR(VLOOKUP($T$1294,'TAR FIN'!$A$1:$O$95,15,0)),0,VLOOKUP($T$1294,'TAR FIN'!$A$1:$O$95,15,0))</f>
        <v>1434.79</v>
      </c>
      <c r="X1294" s="6">
        <f>IF(ISERROR(VLOOKUP($U$1294,'TAR FIN'!$A$1:$O$95,15,0)),0,VLOOKUP($U$1294,'TAR FIN'!$A$1:$O$95,15,0))</f>
        <v>389.28</v>
      </c>
      <c r="Y1294" s="6"/>
      <c r="Z1294" s="6">
        <f ca="1">('TUSD BE'!$AM$16+'TUSD BF'!$AM$16+'TUSD CVA'!$AM$16)*1</f>
        <v>1605.9916314233351</v>
      </c>
      <c r="AA1294" s="6">
        <f>('TE BE'!$AA$7+'TE BF'!$AA$7+'TE CVA'!$AA$7)*1</f>
        <v>454.3285679284046</v>
      </c>
      <c r="AB1294" s="6">
        <f>$K$1294*$V$1294</f>
        <v>0</v>
      </c>
      <c r="AC1294" s="6">
        <f>$M$1294*$W$1294</f>
        <v>964.17888000000005</v>
      </c>
      <c r="AD1294" s="6">
        <f>$O$1294*$X$1294</f>
        <v>261.59616</v>
      </c>
      <c r="AE1294" s="6">
        <f>$K$1294*$Y$1294</f>
        <v>0</v>
      </c>
      <c r="AF1294" s="6">
        <f ca="1">$M$1294*$Z$1294</f>
        <v>1079.2263763164813</v>
      </c>
      <c r="AG1294" s="6">
        <f>$O$1294*$AA$1294</f>
        <v>305.3087976478879</v>
      </c>
    </row>
    <row r="1295" spans="1:33" ht="11.25" customHeight="1" x14ac:dyDescent="0.25">
      <c r="A1295" s="4" t="s">
        <v>59</v>
      </c>
      <c r="B1295" s="4" t="s">
        <v>35</v>
      </c>
      <c r="C1295" s="4" t="s">
        <v>36</v>
      </c>
      <c r="D1295" s="4" t="s">
        <v>48</v>
      </c>
      <c r="E1295" s="4" t="s">
        <v>25</v>
      </c>
      <c r="F1295" s="4" t="s">
        <v>25</v>
      </c>
      <c r="G1295" s="4" t="s">
        <v>25</v>
      </c>
      <c r="H1295" s="4" t="s">
        <v>37</v>
      </c>
      <c r="I1295" s="5">
        <v>44470</v>
      </c>
      <c r="J1295" s="6">
        <v>0</v>
      </c>
      <c r="K1295" s="6">
        <v>0</v>
      </c>
      <c r="L1295" s="6">
        <v>932.279</v>
      </c>
      <c r="M1295" s="6">
        <v>932.279</v>
      </c>
      <c r="N1295" s="6">
        <v>932.279</v>
      </c>
      <c r="O1295" s="6">
        <v>932.279</v>
      </c>
      <c r="P1295" s="6">
        <v>0</v>
      </c>
      <c r="Q1295" s="4" t="s">
        <v>26</v>
      </c>
      <c r="R1295" s="4">
        <v>0</v>
      </c>
      <c r="S1295" s="6">
        <v>0</v>
      </c>
      <c r="T1295" s="6">
        <v>24</v>
      </c>
      <c r="U1295" s="6">
        <v>66</v>
      </c>
      <c r="V1295" s="6">
        <f>IF(ISERROR(VLOOKUP($S$1295,'TAR FIN'!$A$1:$O$95,15,0)),0,VLOOKUP($S$1295,'TAR FIN'!$A$1:$O$95,15,0))</f>
        <v>0</v>
      </c>
      <c r="W1295" s="6">
        <f>IF(ISERROR(VLOOKUP($T$1295,'TAR FIN'!$A$1:$O$95,15,0)),0,VLOOKUP($T$1295,'TAR FIN'!$A$1:$O$95,15,0))</f>
        <v>1434.79</v>
      </c>
      <c r="X1295" s="6">
        <f>IF(ISERROR(VLOOKUP($U$1295,'TAR FIN'!$A$1:$O$95,15,0)),0,VLOOKUP($U$1295,'TAR FIN'!$A$1:$O$95,15,0))</f>
        <v>389.28</v>
      </c>
      <c r="Y1295" s="6"/>
      <c r="Z1295" s="6">
        <f ca="1">('TUSD BE'!$AM$16+'TUSD BF'!$AM$16+'TUSD CVA'!$AM$16)*1</f>
        <v>1605.9916314233351</v>
      </c>
      <c r="AA1295" s="6">
        <f>('TE BE'!$AA$7+'TE BF'!$AA$7+'TE CVA'!$AA$7)*1</f>
        <v>454.3285679284046</v>
      </c>
      <c r="AB1295" s="6">
        <f>$K$1295*$V$1295</f>
        <v>0</v>
      </c>
      <c r="AC1295" s="6">
        <f>$M$1295*$W$1295</f>
        <v>1337624.58641</v>
      </c>
      <c r="AD1295" s="6">
        <f>$O$1295*$X$1295</f>
        <v>362917.56912</v>
      </c>
      <c r="AE1295" s="6">
        <f>$K$1295*$Y$1295</f>
        <v>0</v>
      </c>
      <c r="AF1295" s="6">
        <f ca="1">$M$1295*$Z$1295</f>
        <v>1497232.2721517154</v>
      </c>
      <c r="AG1295" s="6">
        <f>$O$1295*$AA$1295</f>
        <v>423560.98297972512</v>
      </c>
    </row>
    <row r="1296" spans="1:33" ht="11.25" customHeight="1" x14ac:dyDescent="0.25">
      <c r="A1296" s="4" t="s">
        <v>59</v>
      </c>
      <c r="B1296" s="4" t="s">
        <v>35</v>
      </c>
      <c r="C1296" s="4" t="s">
        <v>36</v>
      </c>
      <c r="D1296" s="4" t="s">
        <v>48</v>
      </c>
      <c r="E1296" s="4" t="s">
        <v>25</v>
      </c>
      <c r="F1296" s="4" t="s">
        <v>25</v>
      </c>
      <c r="G1296" s="4" t="s">
        <v>25</v>
      </c>
      <c r="H1296" s="4" t="s">
        <v>37</v>
      </c>
      <c r="I1296" s="5">
        <v>44470</v>
      </c>
      <c r="J1296" s="6">
        <v>0</v>
      </c>
      <c r="K1296" s="6">
        <v>0</v>
      </c>
      <c r="L1296" s="6">
        <v>-0.73799999999999999</v>
      </c>
      <c r="M1296" s="6">
        <v>-0.73799999999999999</v>
      </c>
      <c r="N1296" s="6">
        <v>-0.73799999999999999</v>
      </c>
      <c r="O1296" s="6">
        <v>-0.73799999999999999</v>
      </c>
      <c r="P1296" s="6">
        <v>0</v>
      </c>
      <c r="Q1296" s="4" t="s">
        <v>26</v>
      </c>
      <c r="R1296" s="4">
        <v>0</v>
      </c>
      <c r="S1296" s="6">
        <v>0</v>
      </c>
      <c r="T1296" s="6">
        <v>24</v>
      </c>
      <c r="U1296" s="6">
        <v>66</v>
      </c>
      <c r="V1296" s="6">
        <f>IF(ISERROR(VLOOKUP($S$1296,'TAR FIN'!$A$1:$O$95,15,0)),0,VLOOKUP($S$1296,'TAR FIN'!$A$1:$O$95,15,0))</f>
        <v>0</v>
      </c>
      <c r="W1296" s="6">
        <f>IF(ISERROR(VLOOKUP($T$1296,'TAR FIN'!$A$1:$O$95,15,0)),0,VLOOKUP($T$1296,'TAR FIN'!$A$1:$O$95,15,0))</f>
        <v>1434.79</v>
      </c>
      <c r="X1296" s="6">
        <f>IF(ISERROR(VLOOKUP($U$1296,'TAR FIN'!$A$1:$O$95,15,0)),0,VLOOKUP($U$1296,'TAR FIN'!$A$1:$O$95,15,0))</f>
        <v>389.28</v>
      </c>
      <c r="Y1296" s="6"/>
      <c r="Z1296" s="6">
        <f ca="1">('TUSD BE'!$AM$16+'TUSD BF'!$AM$16+'TUSD CVA'!$AM$16)*1</f>
        <v>1605.9916314233351</v>
      </c>
      <c r="AA1296" s="6">
        <f>('TE BE'!$AA$7+'TE BF'!$AA$7+'TE CVA'!$AA$7)*1</f>
        <v>454.3285679284046</v>
      </c>
      <c r="AB1296" s="6">
        <f>$K$1296*$V$1296</f>
        <v>0</v>
      </c>
      <c r="AC1296" s="6">
        <f>$M$1296*$W$1296</f>
        <v>-1058.8750199999999</v>
      </c>
      <c r="AD1296" s="6">
        <f>$O$1296*$X$1296</f>
        <v>-287.28863999999999</v>
      </c>
      <c r="AE1296" s="6">
        <f>$K$1296*$Y$1296</f>
        <v>0</v>
      </c>
      <c r="AF1296" s="6">
        <f ca="1">$M$1296*$Z$1296</f>
        <v>-1185.2218239904212</v>
      </c>
      <c r="AG1296" s="6">
        <f>$O$1296*$AA$1296</f>
        <v>-335.29448313116256</v>
      </c>
    </row>
    <row r="1297" spans="1:33" ht="11.25" customHeight="1" x14ac:dyDescent="0.25">
      <c r="A1297" s="4" t="s">
        <v>59</v>
      </c>
      <c r="B1297" s="4" t="s">
        <v>35</v>
      </c>
      <c r="C1297" s="4" t="s">
        <v>36</v>
      </c>
      <c r="D1297" s="4" t="s">
        <v>48</v>
      </c>
      <c r="E1297" s="4" t="s">
        <v>25</v>
      </c>
      <c r="F1297" s="4" t="s">
        <v>25</v>
      </c>
      <c r="G1297" s="4" t="s">
        <v>25</v>
      </c>
      <c r="H1297" s="4" t="s">
        <v>37</v>
      </c>
      <c r="I1297" s="5">
        <v>44470</v>
      </c>
      <c r="J1297" s="6">
        <v>0</v>
      </c>
      <c r="K1297" s="6">
        <v>0</v>
      </c>
      <c r="L1297" s="6">
        <v>309.04500000000002</v>
      </c>
      <c r="M1297" s="6">
        <v>309.04500000000002</v>
      </c>
      <c r="N1297" s="6">
        <v>309.04500000000002</v>
      </c>
      <c r="O1297" s="6">
        <v>309.04500000000002</v>
      </c>
      <c r="P1297" s="6">
        <v>0</v>
      </c>
      <c r="Q1297" s="4" t="s">
        <v>26</v>
      </c>
      <c r="R1297" s="4">
        <v>0</v>
      </c>
      <c r="S1297" s="6">
        <v>0</v>
      </c>
      <c r="T1297" s="6">
        <v>24</v>
      </c>
      <c r="U1297" s="6">
        <v>66</v>
      </c>
      <c r="V1297" s="6">
        <f>IF(ISERROR(VLOOKUP($S$1297,'TAR FIN'!$A$1:$O$95,15,0)),0,VLOOKUP($S$1297,'TAR FIN'!$A$1:$O$95,15,0))</f>
        <v>0</v>
      </c>
      <c r="W1297" s="6">
        <f>IF(ISERROR(VLOOKUP($T$1297,'TAR FIN'!$A$1:$O$95,15,0)),0,VLOOKUP($T$1297,'TAR FIN'!$A$1:$O$95,15,0))</f>
        <v>1434.79</v>
      </c>
      <c r="X1297" s="6">
        <f>IF(ISERROR(VLOOKUP($U$1297,'TAR FIN'!$A$1:$O$95,15,0)),0,VLOOKUP($U$1297,'TAR FIN'!$A$1:$O$95,15,0))</f>
        <v>389.28</v>
      </c>
      <c r="Y1297" s="6"/>
      <c r="Z1297" s="6">
        <f ca="1">('TUSD BE'!$AM$16+'TUSD BF'!$AM$16+'TUSD CVA'!$AM$16)*1</f>
        <v>1605.9916314233351</v>
      </c>
      <c r="AA1297" s="6">
        <f>('TE BE'!$AA$7+'TE BF'!$AA$7+'TE CVA'!$AA$7)*1</f>
        <v>454.3285679284046</v>
      </c>
      <c r="AB1297" s="6">
        <f>$K$1297*$V$1297</f>
        <v>0</v>
      </c>
      <c r="AC1297" s="6">
        <f>$M$1297*$W$1297</f>
        <v>443414.67554999999</v>
      </c>
      <c r="AD1297" s="6">
        <f>$O$1297*$X$1297</f>
        <v>120305.0376</v>
      </c>
      <c r="AE1297" s="6">
        <f>$K$1297*$Y$1297</f>
        <v>0</v>
      </c>
      <c r="AF1297" s="6">
        <f ca="1">$M$1297*$Z$1297</f>
        <v>496323.68373322464</v>
      </c>
      <c r="AG1297" s="6">
        <f>$O$1297*$AA$1297</f>
        <v>140407.9722754338</v>
      </c>
    </row>
    <row r="1298" spans="1:33" ht="11.25" customHeight="1" x14ac:dyDescent="0.25">
      <c r="A1298" s="4" t="s">
        <v>59</v>
      </c>
      <c r="B1298" s="4" t="s">
        <v>35</v>
      </c>
      <c r="C1298" s="4" t="s">
        <v>36</v>
      </c>
      <c r="D1298" s="4" t="s">
        <v>48</v>
      </c>
      <c r="E1298" s="4" t="s">
        <v>25</v>
      </c>
      <c r="F1298" s="4" t="s">
        <v>25</v>
      </c>
      <c r="G1298" s="4" t="s">
        <v>25</v>
      </c>
      <c r="H1298" s="4" t="s">
        <v>37</v>
      </c>
      <c r="I1298" s="5">
        <v>44470</v>
      </c>
      <c r="J1298" s="6">
        <v>0</v>
      </c>
      <c r="K1298" s="6">
        <v>0</v>
      </c>
      <c r="L1298" s="6">
        <v>0.67200000000000004</v>
      </c>
      <c r="M1298" s="6">
        <v>0.67200000000000004</v>
      </c>
      <c r="N1298" s="6">
        <v>0.67200000000000004</v>
      </c>
      <c r="O1298" s="6">
        <v>0.67200000000000004</v>
      </c>
      <c r="P1298" s="6">
        <v>0</v>
      </c>
      <c r="Q1298" s="4" t="s">
        <v>26</v>
      </c>
      <c r="R1298" s="4">
        <v>0</v>
      </c>
      <c r="S1298" s="6">
        <v>0</v>
      </c>
      <c r="T1298" s="6">
        <v>24</v>
      </c>
      <c r="U1298" s="6">
        <v>66</v>
      </c>
      <c r="V1298" s="6">
        <f>IF(ISERROR(VLOOKUP($S$1298,'TAR FIN'!$A$1:$O$95,15,0)),0,VLOOKUP($S$1298,'TAR FIN'!$A$1:$O$95,15,0))</f>
        <v>0</v>
      </c>
      <c r="W1298" s="6">
        <f>IF(ISERROR(VLOOKUP($T$1298,'TAR FIN'!$A$1:$O$95,15,0)),0,VLOOKUP($T$1298,'TAR FIN'!$A$1:$O$95,15,0))</f>
        <v>1434.79</v>
      </c>
      <c r="X1298" s="6">
        <f>IF(ISERROR(VLOOKUP($U$1298,'TAR FIN'!$A$1:$O$95,15,0)),0,VLOOKUP($U$1298,'TAR FIN'!$A$1:$O$95,15,0))</f>
        <v>389.28</v>
      </c>
      <c r="Y1298" s="6"/>
      <c r="Z1298" s="6">
        <f ca="1">('TUSD BE'!$AM$16+'TUSD BF'!$AM$16+'TUSD CVA'!$AM$16)*1</f>
        <v>1605.9916314233351</v>
      </c>
      <c r="AA1298" s="6">
        <f>('TE BE'!$AA$7+'TE BF'!$AA$7+'TE CVA'!$AA$7)*1</f>
        <v>454.3285679284046</v>
      </c>
      <c r="AB1298" s="6">
        <f>$K$1298*$V$1298</f>
        <v>0</v>
      </c>
      <c r="AC1298" s="6">
        <f>$M$1298*$W$1298</f>
        <v>964.17888000000005</v>
      </c>
      <c r="AD1298" s="6">
        <f>$O$1298*$X$1298</f>
        <v>261.59616</v>
      </c>
      <c r="AE1298" s="6">
        <f>$K$1298*$Y$1298</f>
        <v>0</v>
      </c>
      <c r="AF1298" s="6">
        <f ca="1">$M$1298*$Z$1298</f>
        <v>1079.2263763164813</v>
      </c>
      <c r="AG1298" s="6">
        <f>$O$1298*$AA$1298</f>
        <v>305.3087976478879</v>
      </c>
    </row>
    <row r="1299" spans="1:33" ht="11.25" customHeight="1" x14ac:dyDescent="0.25">
      <c r="A1299" s="4" t="s">
        <v>21</v>
      </c>
      <c r="B1299" s="4" t="s">
        <v>35</v>
      </c>
      <c r="C1299" s="4" t="s">
        <v>36</v>
      </c>
      <c r="D1299" s="4" t="s">
        <v>24</v>
      </c>
      <c r="E1299" s="4" t="s">
        <v>24</v>
      </c>
      <c r="F1299" s="4" t="s">
        <v>25</v>
      </c>
      <c r="G1299" s="4" t="s">
        <v>25</v>
      </c>
      <c r="H1299" s="4" t="s">
        <v>38</v>
      </c>
      <c r="I1299" s="5">
        <v>44136</v>
      </c>
      <c r="J1299" s="6">
        <v>0</v>
      </c>
      <c r="K1299" s="6">
        <v>0</v>
      </c>
      <c r="L1299" s="6">
        <v>412.899</v>
      </c>
      <c r="M1299" s="6">
        <v>412.899</v>
      </c>
      <c r="N1299" s="6">
        <v>412.899</v>
      </c>
      <c r="O1299" s="6">
        <v>412.899</v>
      </c>
      <c r="P1299" s="6">
        <v>0</v>
      </c>
      <c r="Q1299" s="4" t="s">
        <v>26</v>
      </c>
      <c r="R1299" s="4">
        <v>0</v>
      </c>
      <c r="S1299" s="6">
        <v>0</v>
      </c>
      <c r="T1299" s="6">
        <v>19</v>
      </c>
      <c r="U1299" s="6">
        <v>67</v>
      </c>
      <c r="V1299" s="6">
        <f>IF(ISERROR(VLOOKUP($S$1299,'TAR FIN'!$A$1:$O$95,15,0)),0,VLOOKUP($S$1299,'TAR FIN'!$A$1:$O$95,15,0))</f>
        <v>0</v>
      </c>
      <c r="W1299" s="6">
        <f>IF(ISERROR(VLOOKUP($T$1299,'TAR FIN'!$A$1:$O$95,15,0)),0,VLOOKUP($T$1299,'TAR FIN'!$A$1:$O$95,15,0))</f>
        <v>149.63</v>
      </c>
      <c r="X1299" s="6">
        <f>IF(ISERROR(VLOOKUP($U$1299,'TAR FIN'!$A$1:$O$95,15,0)),0,VLOOKUP($U$1299,'TAR FIN'!$A$1:$O$95,15,0))</f>
        <v>230.03</v>
      </c>
      <c r="Y1299" s="6"/>
      <c r="Z1299" s="6">
        <f ca="1">('TUSD BE'!$AM$17+'TUSD BF'!$AM$17+'TUSD CVA'!$AM$17)*1</f>
        <v>168.51338132937991</v>
      </c>
      <c r="AA1299" s="6">
        <f>('TE BE'!$AA$8+'TE BF'!$AA$8+'TE CVA'!$AA$8)*1</f>
        <v>282.91739971702214</v>
      </c>
      <c r="AB1299" s="6">
        <f>$K$1299*$V$1299</f>
        <v>0</v>
      </c>
      <c r="AC1299" s="6">
        <f>$M$1299*$W$1299</f>
        <v>61782.077369999999</v>
      </c>
      <c r="AD1299" s="6">
        <f>$O$1299*$X$1299</f>
        <v>94979.156969999996</v>
      </c>
      <c r="AE1299" s="6">
        <f>$K$1299*$Y$1299</f>
        <v>0</v>
      </c>
      <c r="AF1299" s="6">
        <f ca="1">$M$1299*$Z$1299</f>
        <v>69579.006637519633</v>
      </c>
      <c r="AG1299" s="6">
        <f>$O$1299*$AA$1299</f>
        <v>116816.31142575873</v>
      </c>
    </row>
    <row r="1300" spans="1:33" ht="11.25" customHeight="1" x14ac:dyDescent="0.25">
      <c r="A1300" s="4" t="s">
        <v>21</v>
      </c>
      <c r="B1300" s="4" t="s">
        <v>35</v>
      </c>
      <c r="C1300" s="4" t="s">
        <v>36</v>
      </c>
      <c r="D1300" s="4" t="s">
        <v>24</v>
      </c>
      <c r="E1300" s="4" t="s">
        <v>24</v>
      </c>
      <c r="F1300" s="4" t="s">
        <v>25</v>
      </c>
      <c r="G1300" s="4" t="s">
        <v>25</v>
      </c>
      <c r="H1300" s="4" t="s">
        <v>38</v>
      </c>
      <c r="I1300" s="5">
        <v>44166</v>
      </c>
      <c r="J1300" s="6">
        <v>0</v>
      </c>
      <c r="K1300" s="6">
        <v>0</v>
      </c>
      <c r="L1300" s="6">
        <v>414.23399999999998</v>
      </c>
      <c r="M1300" s="6">
        <v>414.23399999999998</v>
      </c>
      <c r="N1300" s="6">
        <v>414.23399999999998</v>
      </c>
      <c r="O1300" s="6">
        <v>414.23399999999998</v>
      </c>
      <c r="P1300" s="6">
        <v>0</v>
      </c>
      <c r="Q1300" s="4" t="s">
        <v>26</v>
      </c>
      <c r="R1300" s="4">
        <v>0</v>
      </c>
      <c r="S1300" s="6">
        <v>0</v>
      </c>
      <c r="T1300" s="6">
        <v>19</v>
      </c>
      <c r="U1300" s="6">
        <v>67</v>
      </c>
      <c r="V1300" s="6">
        <f>IF(ISERROR(VLOOKUP($S$1300,'TAR FIN'!$A$1:$O$95,15,0)),0,VLOOKUP($S$1300,'TAR FIN'!$A$1:$O$95,15,0))</f>
        <v>0</v>
      </c>
      <c r="W1300" s="6">
        <f>IF(ISERROR(VLOOKUP($T$1300,'TAR FIN'!$A$1:$O$95,15,0)),0,VLOOKUP($T$1300,'TAR FIN'!$A$1:$O$95,15,0))</f>
        <v>149.63</v>
      </c>
      <c r="X1300" s="6">
        <f>IF(ISERROR(VLOOKUP($U$1300,'TAR FIN'!$A$1:$O$95,15,0)),0,VLOOKUP($U$1300,'TAR FIN'!$A$1:$O$95,15,0))</f>
        <v>230.03</v>
      </c>
      <c r="Y1300" s="6"/>
      <c r="Z1300" s="6">
        <f ca="1">('TUSD BE'!$AM$17+'TUSD BF'!$AM$17+'TUSD CVA'!$AM$17)*1</f>
        <v>168.51338132937991</v>
      </c>
      <c r="AA1300" s="6">
        <f>('TE BE'!$AA$8+'TE BF'!$AA$8+'TE CVA'!$AA$8)*1</f>
        <v>282.91739971702214</v>
      </c>
      <c r="AB1300" s="6">
        <f>$K$1300*$V$1300</f>
        <v>0</v>
      </c>
      <c r="AC1300" s="6">
        <f>$M$1300*$W$1300</f>
        <v>61981.833419999995</v>
      </c>
      <c r="AD1300" s="6">
        <f>$O$1300*$X$1300</f>
        <v>95286.247019999995</v>
      </c>
      <c r="AE1300" s="6">
        <f>$K$1300*$Y$1300</f>
        <v>0</v>
      </c>
      <c r="AF1300" s="6">
        <f ca="1">$M$1300*$Z$1300</f>
        <v>69803.97200159436</v>
      </c>
      <c r="AG1300" s="6">
        <f>$O$1300*$AA$1300</f>
        <v>117194.00615438094</v>
      </c>
    </row>
    <row r="1301" spans="1:33" ht="11.25" customHeight="1" x14ac:dyDescent="0.25">
      <c r="A1301" s="4" t="s">
        <v>21</v>
      </c>
      <c r="B1301" s="4" t="s">
        <v>35</v>
      </c>
      <c r="C1301" s="4" t="s">
        <v>36</v>
      </c>
      <c r="D1301" s="4" t="s">
        <v>24</v>
      </c>
      <c r="E1301" s="4" t="s">
        <v>24</v>
      </c>
      <c r="F1301" s="4" t="s">
        <v>25</v>
      </c>
      <c r="G1301" s="4" t="s">
        <v>25</v>
      </c>
      <c r="H1301" s="4" t="s">
        <v>38</v>
      </c>
      <c r="I1301" s="5">
        <v>44197</v>
      </c>
      <c r="J1301" s="6">
        <v>0</v>
      </c>
      <c r="K1301" s="6">
        <v>0</v>
      </c>
      <c r="L1301" s="6">
        <v>357.72500000000002</v>
      </c>
      <c r="M1301" s="6">
        <v>357.72500000000002</v>
      </c>
      <c r="N1301" s="6">
        <v>357.72500000000002</v>
      </c>
      <c r="O1301" s="6">
        <v>357.72500000000002</v>
      </c>
      <c r="P1301" s="6">
        <v>0</v>
      </c>
      <c r="Q1301" s="4" t="s">
        <v>26</v>
      </c>
      <c r="R1301" s="4">
        <v>0</v>
      </c>
      <c r="S1301" s="6">
        <v>0</v>
      </c>
      <c r="T1301" s="6">
        <v>19</v>
      </c>
      <c r="U1301" s="6">
        <v>67</v>
      </c>
      <c r="V1301" s="6">
        <f>IF(ISERROR(VLOOKUP($S$1301,'TAR FIN'!$A$1:$O$95,15,0)),0,VLOOKUP($S$1301,'TAR FIN'!$A$1:$O$95,15,0))</f>
        <v>0</v>
      </c>
      <c r="W1301" s="6">
        <f>IF(ISERROR(VLOOKUP($T$1301,'TAR FIN'!$A$1:$O$95,15,0)),0,VLOOKUP($T$1301,'TAR FIN'!$A$1:$O$95,15,0))</f>
        <v>149.63</v>
      </c>
      <c r="X1301" s="6">
        <f>IF(ISERROR(VLOOKUP($U$1301,'TAR FIN'!$A$1:$O$95,15,0)),0,VLOOKUP($U$1301,'TAR FIN'!$A$1:$O$95,15,0))</f>
        <v>230.03</v>
      </c>
      <c r="Y1301" s="6"/>
      <c r="Z1301" s="6">
        <f ca="1">('TUSD BE'!$AM$17+'TUSD BF'!$AM$17+'TUSD CVA'!$AM$17)*1</f>
        <v>168.51338132937991</v>
      </c>
      <c r="AA1301" s="6">
        <f>('TE BE'!$AA$8+'TE BF'!$AA$8+'TE CVA'!$AA$8)*1</f>
        <v>282.91739971702214</v>
      </c>
      <c r="AB1301" s="6">
        <f>$K$1301*$V$1301</f>
        <v>0</v>
      </c>
      <c r="AC1301" s="6">
        <f>$M$1301*$W$1301</f>
        <v>53526.391750000003</v>
      </c>
      <c r="AD1301" s="6">
        <f>$O$1301*$X$1301</f>
        <v>82287.481750000006</v>
      </c>
      <c r="AE1301" s="6">
        <f>$K$1301*$Y$1301</f>
        <v>0</v>
      </c>
      <c r="AF1301" s="6">
        <f ca="1">$M$1301*$Z$1301</f>
        <v>60281.449336052436</v>
      </c>
      <c r="AG1301" s="6">
        <f>$O$1301*$AA$1301</f>
        <v>101206.62681377176</v>
      </c>
    </row>
    <row r="1302" spans="1:33" ht="11.25" customHeight="1" x14ac:dyDescent="0.25">
      <c r="A1302" s="4" t="s">
        <v>21</v>
      </c>
      <c r="B1302" s="4" t="s">
        <v>35</v>
      </c>
      <c r="C1302" s="4" t="s">
        <v>36</v>
      </c>
      <c r="D1302" s="4" t="s">
        <v>24</v>
      </c>
      <c r="E1302" s="4" t="s">
        <v>24</v>
      </c>
      <c r="F1302" s="4" t="s">
        <v>25</v>
      </c>
      <c r="G1302" s="4" t="s">
        <v>25</v>
      </c>
      <c r="H1302" s="4" t="s">
        <v>38</v>
      </c>
      <c r="I1302" s="5">
        <v>44228</v>
      </c>
      <c r="J1302" s="6">
        <v>0</v>
      </c>
      <c r="K1302" s="6">
        <v>0</v>
      </c>
      <c r="L1302" s="6">
        <v>327.81700000000001</v>
      </c>
      <c r="M1302" s="6">
        <v>327.81700000000001</v>
      </c>
      <c r="N1302" s="6">
        <v>327.81700000000001</v>
      </c>
      <c r="O1302" s="6">
        <v>327.81700000000001</v>
      </c>
      <c r="P1302" s="6">
        <v>0</v>
      </c>
      <c r="Q1302" s="4" t="s">
        <v>26</v>
      </c>
      <c r="R1302" s="4">
        <v>0</v>
      </c>
      <c r="S1302" s="6">
        <v>0</v>
      </c>
      <c r="T1302" s="6">
        <v>19</v>
      </c>
      <c r="U1302" s="6">
        <v>67</v>
      </c>
      <c r="V1302" s="6">
        <f>IF(ISERROR(VLOOKUP($S$1302,'TAR FIN'!$A$1:$O$95,15,0)),0,VLOOKUP($S$1302,'TAR FIN'!$A$1:$O$95,15,0))</f>
        <v>0</v>
      </c>
      <c r="W1302" s="6">
        <f>IF(ISERROR(VLOOKUP($T$1302,'TAR FIN'!$A$1:$O$95,15,0)),0,VLOOKUP($T$1302,'TAR FIN'!$A$1:$O$95,15,0))</f>
        <v>149.63</v>
      </c>
      <c r="X1302" s="6">
        <f>IF(ISERROR(VLOOKUP($U$1302,'TAR FIN'!$A$1:$O$95,15,0)),0,VLOOKUP($U$1302,'TAR FIN'!$A$1:$O$95,15,0))</f>
        <v>230.03</v>
      </c>
      <c r="Y1302" s="6"/>
      <c r="Z1302" s="6">
        <f ca="1">('TUSD BE'!$AM$17+'TUSD BF'!$AM$17+'TUSD CVA'!$AM$17)*1</f>
        <v>168.51338132937991</v>
      </c>
      <c r="AA1302" s="6">
        <f>('TE BE'!$AA$8+'TE BF'!$AA$8+'TE CVA'!$AA$8)*1</f>
        <v>282.91739971702214</v>
      </c>
      <c r="AB1302" s="6">
        <f>$K$1302*$V$1302</f>
        <v>0</v>
      </c>
      <c r="AC1302" s="6">
        <f>$M$1302*$W$1302</f>
        <v>49051.257709999998</v>
      </c>
      <c r="AD1302" s="6">
        <f>$O$1302*$X$1302</f>
        <v>75407.744510000004</v>
      </c>
      <c r="AE1302" s="6">
        <f>$K$1302*$Y$1302</f>
        <v>0</v>
      </c>
      <c r="AF1302" s="6">
        <f ca="1">$M$1302*$Z$1302</f>
        <v>55241.551127253333</v>
      </c>
      <c r="AG1302" s="6">
        <f>$O$1302*$AA$1302</f>
        <v>92745.133223035053</v>
      </c>
    </row>
    <row r="1303" spans="1:33" ht="11.25" customHeight="1" x14ac:dyDescent="0.25">
      <c r="A1303" s="4" t="s">
        <v>21</v>
      </c>
      <c r="B1303" s="4" t="s">
        <v>35</v>
      </c>
      <c r="C1303" s="4" t="s">
        <v>36</v>
      </c>
      <c r="D1303" s="4" t="s">
        <v>24</v>
      </c>
      <c r="E1303" s="4" t="s">
        <v>24</v>
      </c>
      <c r="F1303" s="4" t="s">
        <v>25</v>
      </c>
      <c r="G1303" s="4" t="s">
        <v>25</v>
      </c>
      <c r="H1303" s="4" t="s">
        <v>38</v>
      </c>
      <c r="I1303" s="5">
        <v>44256</v>
      </c>
      <c r="J1303" s="6">
        <v>0</v>
      </c>
      <c r="K1303" s="6">
        <v>0</v>
      </c>
      <c r="L1303" s="6">
        <v>402.77100000000002</v>
      </c>
      <c r="M1303" s="6">
        <v>402.77100000000002</v>
      </c>
      <c r="N1303" s="6">
        <v>402.77100000000002</v>
      </c>
      <c r="O1303" s="6">
        <v>402.77100000000002</v>
      </c>
      <c r="P1303" s="6">
        <v>0</v>
      </c>
      <c r="Q1303" s="4" t="s">
        <v>26</v>
      </c>
      <c r="R1303" s="4">
        <v>0</v>
      </c>
      <c r="S1303" s="6">
        <v>0</v>
      </c>
      <c r="T1303" s="6">
        <v>19</v>
      </c>
      <c r="U1303" s="6">
        <v>67</v>
      </c>
      <c r="V1303" s="6">
        <f>IF(ISERROR(VLOOKUP($S$1303,'TAR FIN'!$A$1:$O$95,15,0)),0,VLOOKUP($S$1303,'TAR FIN'!$A$1:$O$95,15,0))</f>
        <v>0</v>
      </c>
      <c r="W1303" s="6">
        <f>IF(ISERROR(VLOOKUP($T$1303,'TAR FIN'!$A$1:$O$95,15,0)),0,VLOOKUP($T$1303,'TAR FIN'!$A$1:$O$95,15,0))</f>
        <v>149.63</v>
      </c>
      <c r="X1303" s="6">
        <f>IF(ISERROR(VLOOKUP($U$1303,'TAR FIN'!$A$1:$O$95,15,0)),0,VLOOKUP($U$1303,'TAR FIN'!$A$1:$O$95,15,0))</f>
        <v>230.03</v>
      </c>
      <c r="Y1303" s="6"/>
      <c r="Z1303" s="6">
        <f ca="1">('TUSD BE'!$AM$17+'TUSD BF'!$AM$17+'TUSD CVA'!$AM$17)*1</f>
        <v>168.51338132937991</v>
      </c>
      <c r="AA1303" s="6">
        <f>('TE BE'!$AA$8+'TE BF'!$AA$8+'TE CVA'!$AA$8)*1</f>
        <v>282.91739971702214</v>
      </c>
      <c r="AB1303" s="6">
        <f>$K$1303*$V$1303</f>
        <v>0</v>
      </c>
      <c r="AC1303" s="6">
        <f>$M$1303*$W$1303</f>
        <v>60266.624730000003</v>
      </c>
      <c r="AD1303" s="6">
        <f>$O$1303*$X$1303</f>
        <v>92649.413130000001</v>
      </c>
      <c r="AE1303" s="6">
        <f>$K$1303*$Y$1303</f>
        <v>0</v>
      </c>
      <c r="AF1303" s="6">
        <f ca="1">$M$1303*$Z$1303</f>
        <v>67872.303111415677</v>
      </c>
      <c r="AG1303" s="6">
        <f>$O$1303*$AA$1303</f>
        <v>113950.92400142473</v>
      </c>
    </row>
    <row r="1304" spans="1:33" ht="11.25" customHeight="1" x14ac:dyDescent="0.25">
      <c r="A1304" s="4" t="s">
        <v>21</v>
      </c>
      <c r="B1304" s="4" t="s">
        <v>35</v>
      </c>
      <c r="C1304" s="4" t="s">
        <v>36</v>
      </c>
      <c r="D1304" s="4" t="s">
        <v>24</v>
      </c>
      <c r="E1304" s="4" t="s">
        <v>24</v>
      </c>
      <c r="F1304" s="4" t="s">
        <v>25</v>
      </c>
      <c r="G1304" s="4" t="s">
        <v>25</v>
      </c>
      <c r="H1304" s="4" t="s">
        <v>38</v>
      </c>
      <c r="I1304" s="5">
        <v>44287</v>
      </c>
      <c r="J1304" s="6">
        <v>0</v>
      </c>
      <c r="K1304" s="6">
        <v>0</v>
      </c>
      <c r="L1304" s="6">
        <v>390.07900000000001</v>
      </c>
      <c r="M1304" s="6">
        <v>390.07900000000001</v>
      </c>
      <c r="N1304" s="6">
        <v>390.07900000000001</v>
      </c>
      <c r="O1304" s="6">
        <v>390.07900000000001</v>
      </c>
      <c r="P1304" s="6">
        <v>0</v>
      </c>
      <c r="Q1304" s="4" t="s">
        <v>26</v>
      </c>
      <c r="R1304" s="4">
        <v>0</v>
      </c>
      <c r="S1304" s="6">
        <v>0</v>
      </c>
      <c r="T1304" s="6">
        <v>19</v>
      </c>
      <c r="U1304" s="6">
        <v>67</v>
      </c>
      <c r="V1304" s="6">
        <f>IF(ISERROR(VLOOKUP($S$1304,'TAR FIN'!$A$1:$O$95,15,0)),0,VLOOKUP($S$1304,'TAR FIN'!$A$1:$O$95,15,0))</f>
        <v>0</v>
      </c>
      <c r="W1304" s="6">
        <f>IF(ISERROR(VLOOKUP($T$1304,'TAR FIN'!$A$1:$O$95,15,0)),0,VLOOKUP($T$1304,'TAR FIN'!$A$1:$O$95,15,0))</f>
        <v>149.63</v>
      </c>
      <c r="X1304" s="6">
        <f>IF(ISERROR(VLOOKUP($U$1304,'TAR FIN'!$A$1:$O$95,15,0)),0,VLOOKUP($U$1304,'TAR FIN'!$A$1:$O$95,15,0))</f>
        <v>230.03</v>
      </c>
      <c r="Y1304" s="6"/>
      <c r="Z1304" s="6">
        <f ca="1">('TUSD BE'!$AM$17+'TUSD BF'!$AM$17+'TUSD CVA'!$AM$17)*1</f>
        <v>168.51338132937991</v>
      </c>
      <c r="AA1304" s="6">
        <f>('TE BE'!$AA$8+'TE BF'!$AA$8+'TE CVA'!$AA$8)*1</f>
        <v>282.91739971702214</v>
      </c>
      <c r="AB1304" s="6">
        <f>$K$1304*$V$1304</f>
        <v>0</v>
      </c>
      <c r="AC1304" s="6">
        <f>$M$1304*$W$1304</f>
        <v>58367.520770000003</v>
      </c>
      <c r="AD1304" s="6">
        <f>$O$1304*$X$1304</f>
        <v>89729.872369999997</v>
      </c>
      <c r="AE1304" s="6">
        <f>$K$1304*$Y$1304</f>
        <v>0</v>
      </c>
      <c r="AF1304" s="6">
        <f ca="1">$M$1304*$Z$1304</f>
        <v>65733.531275583184</v>
      </c>
      <c r="AG1304" s="6">
        <f>$O$1304*$AA$1304</f>
        <v>110360.13636421628</v>
      </c>
    </row>
    <row r="1305" spans="1:33" ht="11.25" customHeight="1" x14ac:dyDescent="0.25">
      <c r="A1305" s="4" t="s">
        <v>28</v>
      </c>
      <c r="B1305" s="4" t="s">
        <v>35</v>
      </c>
      <c r="C1305" s="4" t="s">
        <v>36</v>
      </c>
      <c r="D1305" s="4" t="s">
        <v>24</v>
      </c>
      <c r="E1305" s="4" t="s">
        <v>24</v>
      </c>
      <c r="F1305" s="4" t="s">
        <v>25</v>
      </c>
      <c r="G1305" s="4" t="s">
        <v>25</v>
      </c>
      <c r="H1305" s="4" t="s">
        <v>38</v>
      </c>
      <c r="I1305" s="5">
        <v>44287</v>
      </c>
      <c r="J1305" s="6">
        <v>0</v>
      </c>
      <c r="K1305" s="6">
        <v>0</v>
      </c>
      <c r="L1305" s="6">
        <v>8.2409999999999997</v>
      </c>
      <c r="M1305" s="6">
        <v>8.2409999999999997</v>
      </c>
      <c r="N1305" s="6">
        <v>8.2409999999999997</v>
      </c>
      <c r="O1305" s="6">
        <v>8.2409999999999997</v>
      </c>
      <c r="P1305" s="6">
        <v>0</v>
      </c>
      <c r="Q1305" s="4" t="s">
        <v>26</v>
      </c>
      <c r="R1305" s="4">
        <v>0</v>
      </c>
      <c r="S1305" s="6">
        <v>0</v>
      </c>
      <c r="T1305" s="6">
        <v>19</v>
      </c>
      <c r="U1305" s="6">
        <v>67</v>
      </c>
      <c r="V1305" s="6">
        <f>IF(ISERROR(VLOOKUP($S$1305,'TAR FIN'!$A$1:$O$95,15,0)),0,VLOOKUP($S$1305,'TAR FIN'!$A$1:$O$95,15,0))</f>
        <v>0</v>
      </c>
      <c r="W1305" s="6">
        <f>IF(ISERROR(VLOOKUP($T$1305,'TAR FIN'!$A$1:$O$95,15,0)),0,VLOOKUP($T$1305,'TAR FIN'!$A$1:$O$95,15,0))</f>
        <v>149.63</v>
      </c>
      <c r="X1305" s="6">
        <f>IF(ISERROR(VLOOKUP($U$1305,'TAR FIN'!$A$1:$O$95,15,0)),0,VLOOKUP($U$1305,'TAR FIN'!$A$1:$O$95,15,0))</f>
        <v>230.03</v>
      </c>
      <c r="Y1305" s="6"/>
      <c r="Z1305" s="6">
        <f ca="1">('TUSD BE'!$AM$17+'TUSD BF'!$AM$17+'TUSD CVA'!$AM$17)*1</f>
        <v>168.51338132937991</v>
      </c>
      <c r="AA1305" s="6">
        <f>('TE BE'!$AA$8+'TE BF'!$AA$8+'TE CVA'!$AA$8)*1</f>
        <v>282.91739971702214</v>
      </c>
      <c r="AB1305" s="6">
        <f>$K$1305*$V$1305</f>
        <v>0</v>
      </c>
      <c r="AC1305" s="6">
        <f>$M$1305*$W$1305</f>
        <v>1233.1008299999999</v>
      </c>
      <c r="AD1305" s="6">
        <f>$O$1305*$X$1305</f>
        <v>1895.67723</v>
      </c>
      <c r="AE1305" s="6">
        <f>$K$1305*$Y$1305</f>
        <v>0</v>
      </c>
      <c r="AF1305" s="6">
        <f ca="1">$M$1305*$Z$1305</f>
        <v>1388.7187755354198</v>
      </c>
      <c r="AG1305" s="6">
        <f>$O$1305*$AA$1305</f>
        <v>2331.5222910679795</v>
      </c>
    </row>
    <row r="1306" spans="1:33" ht="11.25" customHeight="1" x14ac:dyDescent="0.25">
      <c r="A1306" s="4" t="s">
        <v>21</v>
      </c>
      <c r="B1306" s="4" t="s">
        <v>35</v>
      </c>
      <c r="C1306" s="4" t="s">
        <v>36</v>
      </c>
      <c r="D1306" s="4" t="s">
        <v>24</v>
      </c>
      <c r="E1306" s="4" t="s">
        <v>24</v>
      </c>
      <c r="F1306" s="4" t="s">
        <v>25</v>
      </c>
      <c r="G1306" s="4" t="s">
        <v>25</v>
      </c>
      <c r="H1306" s="4" t="s">
        <v>38</v>
      </c>
      <c r="I1306" s="5">
        <v>44317</v>
      </c>
      <c r="J1306" s="6">
        <v>0</v>
      </c>
      <c r="K1306" s="6">
        <v>0</v>
      </c>
      <c r="L1306" s="6">
        <v>394.95100000000002</v>
      </c>
      <c r="M1306" s="6">
        <v>394.95100000000002</v>
      </c>
      <c r="N1306" s="6">
        <v>394.95100000000002</v>
      </c>
      <c r="O1306" s="6">
        <v>394.95100000000002</v>
      </c>
      <c r="P1306" s="6">
        <v>0</v>
      </c>
      <c r="Q1306" s="4" t="s">
        <v>26</v>
      </c>
      <c r="R1306" s="4">
        <v>0</v>
      </c>
      <c r="S1306" s="6">
        <v>0</v>
      </c>
      <c r="T1306" s="6">
        <v>19</v>
      </c>
      <c r="U1306" s="6">
        <v>67</v>
      </c>
      <c r="V1306" s="6">
        <f>IF(ISERROR(VLOOKUP($S$1306,'TAR FIN'!$A$1:$O$95,15,0)),0,VLOOKUP($S$1306,'TAR FIN'!$A$1:$O$95,15,0))</f>
        <v>0</v>
      </c>
      <c r="W1306" s="6">
        <f>IF(ISERROR(VLOOKUP($T$1306,'TAR FIN'!$A$1:$O$95,15,0)),0,VLOOKUP($T$1306,'TAR FIN'!$A$1:$O$95,15,0))</f>
        <v>149.63</v>
      </c>
      <c r="X1306" s="6">
        <f>IF(ISERROR(VLOOKUP($U$1306,'TAR FIN'!$A$1:$O$95,15,0)),0,VLOOKUP($U$1306,'TAR FIN'!$A$1:$O$95,15,0))</f>
        <v>230.03</v>
      </c>
      <c r="Y1306" s="6"/>
      <c r="Z1306" s="6">
        <f ca="1">('TUSD BE'!$AM$17+'TUSD BF'!$AM$17+'TUSD CVA'!$AM$17)*1</f>
        <v>168.51338132937991</v>
      </c>
      <c r="AA1306" s="6">
        <f>('TE BE'!$AA$8+'TE BF'!$AA$8+'TE CVA'!$AA$8)*1</f>
        <v>282.91739971702214</v>
      </c>
      <c r="AB1306" s="6">
        <f>$K$1306*$V$1306</f>
        <v>0</v>
      </c>
      <c r="AC1306" s="6">
        <f>$M$1306*$W$1306</f>
        <v>59096.518130000004</v>
      </c>
      <c r="AD1306" s="6">
        <f>$O$1306*$X$1306</f>
        <v>90850.578529999999</v>
      </c>
      <c r="AE1306" s="6">
        <f>$K$1306*$Y$1306</f>
        <v>0</v>
      </c>
      <c r="AF1306" s="6">
        <f ca="1">$M$1306*$Z$1306</f>
        <v>66554.528469419922</v>
      </c>
      <c r="AG1306" s="6">
        <f>$O$1306*$AA$1306</f>
        <v>111738.50993563762</v>
      </c>
    </row>
    <row r="1307" spans="1:33" ht="11.25" customHeight="1" x14ac:dyDescent="0.25">
      <c r="A1307" s="4" t="s">
        <v>28</v>
      </c>
      <c r="B1307" s="4" t="s">
        <v>35</v>
      </c>
      <c r="C1307" s="4" t="s">
        <v>36</v>
      </c>
      <c r="D1307" s="4" t="s">
        <v>24</v>
      </c>
      <c r="E1307" s="4" t="s">
        <v>24</v>
      </c>
      <c r="F1307" s="4" t="s">
        <v>25</v>
      </c>
      <c r="G1307" s="4" t="s">
        <v>25</v>
      </c>
      <c r="H1307" s="4" t="s">
        <v>38</v>
      </c>
      <c r="I1307" s="5">
        <v>44317</v>
      </c>
      <c r="J1307" s="6">
        <v>0</v>
      </c>
      <c r="K1307" s="6">
        <v>0</v>
      </c>
      <c r="L1307" s="6">
        <v>5.51</v>
      </c>
      <c r="M1307" s="6">
        <v>5.51</v>
      </c>
      <c r="N1307" s="6">
        <v>5.51</v>
      </c>
      <c r="O1307" s="6">
        <v>5.51</v>
      </c>
      <c r="P1307" s="6">
        <v>0</v>
      </c>
      <c r="Q1307" s="4" t="s">
        <v>26</v>
      </c>
      <c r="R1307" s="4">
        <v>0</v>
      </c>
      <c r="S1307" s="6">
        <v>0</v>
      </c>
      <c r="T1307" s="6">
        <v>19</v>
      </c>
      <c r="U1307" s="6">
        <v>67</v>
      </c>
      <c r="V1307" s="6">
        <f>IF(ISERROR(VLOOKUP($S$1307,'TAR FIN'!$A$1:$O$95,15,0)),0,VLOOKUP($S$1307,'TAR FIN'!$A$1:$O$95,15,0))</f>
        <v>0</v>
      </c>
      <c r="W1307" s="6">
        <f>IF(ISERROR(VLOOKUP($T$1307,'TAR FIN'!$A$1:$O$95,15,0)),0,VLOOKUP($T$1307,'TAR FIN'!$A$1:$O$95,15,0))</f>
        <v>149.63</v>
      </c>
      <c r="X1307" s="6">
        <f>IF(ISERROR(VLOOKUP($U$1307,'TAR FIN'!$A$1:$O$95,15,0)),0,VLOOKUP($U$1307,'TAR FIN'!$A$1:$O$95,15,0))</f>
        <v>230.03</v>
      </c>
      <c r="Y1307" s="6"/>
      <c r="Z1307" s="6">
        <f ca="1">('TUSD BE'!$AM$17+'TUSD BF'!$AM$17+'TUSD CVA'!$AM$17)*1</f>
        <v>168.51338132937991</v>
      </c>
      <c r="AA1307" s="6">
        <f>('TE BE'!$AA$8+'TE BF'!$AA$8+'TE CVA'!$AA$8)*1</f>
        <v>282.91739971702214</v>
      </c>
      <c r="AB1307" s="6">
        <f>$K$1307*$V$1307</f>
        <v>0</v>
      </c>
      <c r="AC1307" s="6">
        <f>$M$1307*$W$1307</f>
        <v>824.46129999999994</v>
      </c>
      <c r="AD1307" s="6">
        <f>$O$1307*$X$1307</f>
        <v>1267.4653000000001</v>
      </c>
      <c r="AE1307" s="6">
        <f>$K$1307*$Y$1307</f>
        <v>0</v>
      </c>
      <c r="AF1307" s="6">
        <f ca="1">$M$1307*$Z$1307</f>
        <v>928.5087311248833</v>
      </c>
      <c r="AG1307" s="6">
        <f>$O$1307*$AA$1307</f>
        <v>1558.8748724407919</v>
      </c>
    </row>
    <row r="1308" spans="1:33" ht="11.25" customHeight="1" x14ac:dyDescent="0.25">
      <c r="A1308" s="4" t="s">
        <v>21</v>
      </c>
      <c r="B1308" s="4" t="s">
        <v>35</v>
      </c>
      <c r="C1308" s="4" t="s">
        <v>36</v>
      </c>
      <c r="D1308" s="4" t="s">
        <v>24</v>
      </c>
      <c r="E1308" s="4" t="s">
        <v>24</v>
      </c>
      <c r="F1308" s="4" t="s">
        <v>25</v>
      </c>
      <c r="G1308" s="4" t="s">
        <v>25</v>
      </c>
      <c r="H1308" s="4" t="s">
        <v>38</v>
      </c>
      <c r="I1308" s="5">
        <v>44348</v>
      </c>
      <c r="J1308" s="6">
        <v>0</v>
      </c>
      <c r="K1308" s="6">
        <v>0</v>
      </c>
      <c r="L1308" s="6">
        <v>366.95400000000001</v>
      </c>
      <c r="M1308" s="6">
        <v>366.95400000000001</v>
      </c>
      <c r="N1308" s="6">
        <v>366.95400000000001</v>
      </c>
      <c r="O1308" s="6">
        <v>366.95400000000001</v>
      </c>
      <c r="P1308" s="6">
        <v>0</v>
      </c>
      <c r="Q1308" s="4" t="s">
        <v>26</v>
      </c>
      <c r="R1308" s="4">
        <v>0</v>
      </c>
      <c r="S1308" s="6">
        <v>0</v>
      </c>
      <c r="T1308" s="6">
        <v>19</v>
      </c>
      <c r="U1308" s="6">
        <v>67</v>
      </c>
      <c r="V1308" s="6">
        <f>IF(ISERROR(VLOOKUP($S$1308,'TAR FIN'!$A$1:$O$95,15,0)),0,VLOOKUP($S$1308,'TAR FIN'!$A$1:$O$95,15,0))</f>
        <v>0</v>
      </c>
      <c r="W1308" s="6">
        <f>IF(ISERROR(VLOOKUP($T$1308,'TAR FIN'!$A$1:$O$95,15,0)),0,VLOOKUP($T$1308,'TAR FIN'!$A$1:$O$95,15,0))</f>
        <v>149.63</v>
      </c>
      <c r="X1308" s="6">
        <f>IF(ISERROR(VLOOKUP($U$1308,'TAR FIN'!$A$1:$O$95,15,0)),0,VLOOKUP($U$1308,'TAR FIN'!$A$1:$O$95,15,0))</f>
        <v>230.03</v>
      </c>
      <c r="Y1308" s="6"/>
      <c r="Z1308" s="6">
        <f ca="1">('TUSD BE'!$AM$17+'TUSD BF'!$AM$17+'TUSD CVA'!$AM$17)*1</f>
        <v>168.51338132937991</v>
      </c>
      <c r="AA1308" s="6">
        <f>('TE BE'!$AA$8+'TE BF'!$AA$8+'TE CVA'!$AA$8)*1</f>
        <v>282.91739971702214</v>
      </c>
      <c r="AB1308" s="6">
        <f>$K$1308*$V$1308</f>
        <v>0</v>
      </c>
      <c r="AC1308" s="6">
        <f>$M$1308*$W$1308</f>
        <v>54907.327019999997</v>
      </c>
      <c r="AD1308" s="6">
        <f>$O$1308*$X$1308</f>
        <v>84410.428620000006</v>
      </c>
      <c r="AE1308" s="6">
        <f>$K$1308*$Y$1308</f>
        <v>0</v>
      </c>
      <c r="AF1308" s="6">
        <f ca="1">$M$1308*$Z$1308</f>
        <v>61836.659332341274</v>
      </c>
      <c r="AG1308" s="6">
        <f>$O$1308*$AA$1308</f>
        <v>103817.67149576014</v>
      </c>
    </row>
    <row r="1309" spans="1:33" ht="11.25" customHeight="1" x14ac:dyDescent="0.25">
      <c r="A1309" s="4" t="s">
        <v>28</v>
      </c>
      <c r="B1309" s="4" t="s">
        <v>35</v>
      </c>
      <c r="C1309" s="4" t="s">
        <v>36</v>
      </c>
      <c r="D1309" s="4" t="s">
        <v>24</v>
      </c>
      <c r="E1309" s="4" t="s">
        <v>24</v>
      </c>
      <c r="F1309" s="4" t="s">
        <v>25</v>
      </c>
      <c r="G1309" s="4" t="s">
        <v>25</v>
      </c>
      <c r="H1309" s="4" t="s">
        <v>38</v>
      </c>
      <c r="I1309" s="5">
        <v>44348</v>
      </c>
      <c r="J1309" s="6">
        <v>0</v>
      </c>
      <c r="K1309" s="6">
        <v>0</v>
      </c>
      <c r="L1309" s="6">
        <v>5.8789999999999996</v>
      </c>
      <c r="M1309" s="6">
        <v>5.8789999999999996</v>
      </c>
      <c r="N1309" s="6">
        <v>5.8789999999999996</v>
      </c>
      <c r="O1309" s="6">
        <v>5.8789999999999996</v>
      </c>
      <c r="P1309" s="6">
        <v>0</v>
      </c>
      <c r="Q1309" s="4" t="s">
        <v>26</v>
      </c>
      <c r="R1309" s="4">
        <v>0</v>
      </c>
      <c r="S1309" s="6">
        <v>0</v>
      </c>
      <c r="T1309" s="6">
        <v>19</v>
      </c>
      <c r="U1309" s="6">
        <v>67</v>
      </c>
      <c r="V1309" s="6">
        <f>IF(ISERROR(VLOOKUP($S$1309,'TAR FIN'!$A$1:$O$95,15,0)),0,VLOOKUP($S$1309,'TAR FIN'!$A$1:$O$95,15,0))</f>
        <v>0</v>
      </c>
      <c r="W1309" s="6">
        <f>IF(ISERROR(VLOOKUP($T$1309,'TAR FIN'!$A$1:$O$95,15,0)),0,VLOOKUP($T$1309,'TAR FIN'!$A$1:$O$95,15,0))</f>
        <v>149.63</v>
      </c>
      <c r="X1309" s="6">
        <f>IF(ISERROR(VLOOKUP($U$1309,'TAR FIN'!$A$1:$O$95,15,0)),0,VLOOKUP($U$1309,'TAR FIN'!$A$1:$O$95,15,0))</f>
        <v>230.03</v>
      </c>
      <c r="Y1309" s="6"/>
      <c r="Z1309" s="6">
        <f ca="1">('TUSD BE'!$AM$17+'TUSD BF'!$AM$17+'TUSD CVA'!$AM$17)*1</f>
        <v>168.51338132937991</v>
      </c>
      <c r="AA1309" s="6">
        <f>('TE BE'!$AA$8+'TE BF'!$AA$8+'TE CVA'!$AA$8)*1</f>
        <v>282.91739971702214</v>
      </c>
      <c r="AB1309" s="6">
        <f>$K$1309*$V$1309</f>
        <v>0</v>
      </c>
      <c r="AC1309" s="6">
        <f>$M$1309*$W$1309</f>
        <v>879.67476999999985</v>
      </c>
      <c r="AD1309" s="6">
        <f>$O$1309*$X$1309</f>
        <v>1352.34637</v>
      </c>
      <c r="AE1309" s="6">
        <f>$K$1309*$Y$1309</f>
        <v>0</v>
      </c>
      <c r="AF1309" s="6">
        <f ca="1">$M$1309*$Z$1309</f>
        <v>990.6901688354244</v>
      </c>
      <c r="AG1309" s="6">
        <f>$O$1309*$AA$1309</f>
        <v>1663.2713929363731</v>
      </c>
    </row>
    <row r="1310" spans="1:33" ht="11.25" customHeight="1" x14ac:dyDescent="0.25">
      <c r="A1310" s="4" t="s">
        <v>21</v>
      </c>
      <c r="B1310" s="4" t="s">
        <v>35</v>
      </c>
      <c r="C1310" s="4" t="s">
        <v>36</v>
      </c>
      <c r="D1310" s="4" t="s">
        <v>24</v>
      </c>
      <c r="E1310" s="4" t="s">
        <v>24</v>
      </c>
      <c r="F1310" s="4" t="s">
        <v>25</v>
      </c>
      <c r="G1310" s="4" t="s">
        <v>25</v>
      </c>
      <c r="H1310" s="4" t="s">
        <v>38</v>
      </c>
      <c r="I1310" s="5">
        <v>44378</v>
      </c>
      <c r="J1310" s="6">
        <v>0</v>
      </c>
      <c r="K1310" s="6">
        <v>0</v>
      </c>
      <c r="L1310" s="6">
        <v>378.87599999999998</v>
      </c>
      <c r="M1310" s="6">
        <v>378.87599999999998</v>
      </c>
      <c r="N1310" s="6">
        <v>378.87599999999998</v>
      </c>
      <c r="O1310" s="6">
        <v>378.87599999999998</v>
      </c>
      <c r="P1310" s="6">
        <v>0</v>
      </c>
      <c r="Q1310" s="4" t="s">
        <v>26</v>
      </c>
      <c r="R1310" s="4">
        <v>0</v>
      </c>
      <c r="S1310" s="6">
        <v>0</v>
      </c>
      <c r="T1310" s="6">
        <v>19</v>
      </c>
      <c r="U1310" s="6">
        <v>67</v>
      </c>
      <c r="V1310" s="6">
        <f>IF(ISERROR(VLOOKUP($S$1310,'TAR FIN'!$A$1:$O$95,15,0)),0,VLOOKUP($S$1310,'TAR FIN'!$A$1:$O$95,15,0))</f>
        <v>0</v>
      </c>
      <c r="W1310" s="6">
        <f>IF(ISERROR(VLOOKUP($T$1310,'TAR FIN'!$A$1:$O$95,15,0)),0,VLOOKUP($T$1310,'TAR FIN'!$A$1:$O$95,15,0))</f>
        <v>149.63</v>
      </c>
      <c r="X1310" s="6">
        <f>IF(ISERROR(VLOOKUP($U$1310,'TAR FIN'!$A$1:$O$95,15,0)),0,VLOOKUP($U$1310,'TAR FIN'!$A$1:$O$95,15,0))</f>
        <v>230.03</v>
      </c>
      <c r="Y1310" s="6"/>
      <c r="Z1310" s="6">
        <f ca="1">('TUSD BE'!$AM$17+'TUSD BF'!$AM$17+'TUSD CVA'!$AM$17)*1</f>
        <v>168.51338132937991</v>
      </c>
      <c r="AA1310" s="6">
        <f>('TE BE'!$AA$8+'TE BF'!$AA$8+'TE CVA'!$AA$8)*1</f>
        <v>282.91739971702214</v>
      </c>
      <c r="AB1310" s="6">
        <f>$K$1310*$V$1310</f>
        <v>0</v>
      </c>
      <c r="AC1310" s="6">
        <f>$M$1310*$W$1310</f>
        <v>56691.215879999996</v>
      </c>
      <c r="AD1310" s="6">
        <f>$O$1310*$X$1310</f>
        <v>87152.846279999998</v>
      </c>
      <c r="AE1310" s="6">
        <f>$K$1310*$Y$1310</f>
        <v>0</v>
      </c>
      <c r="AF1310" s="6">
        <f ca="1">$M$1310*$Z$1310</f>
        <v>63845.67586455014</v>
      </c>
      <c r="AG1310" s="6">
        <f>$O$1310*$AA$1310</f>
        <v>107190.61273518647</v>
      </c>
    </row>
    <row r="1311" spans="1:33" ht="11.25" customHeight="1" x14ac:dyDescent="0.25">
      <c r="A1311" s="4" t="s">
        <v>28</v>
      </c>
      <c r="B1311" s="4" t="s">
        <v>35</v>
      </c>
      <c r="C1311" s="4" t="s">
        <v>36</v>
      </c>
      <c r="D1311" s="4" t="s">
        <v>24</v>
      </c>
      <c r="E1311" s="4" t="s">
        <v>24</v>
      </c>
      <c r="F1311" s="4" t="s">
        <v>25</v>
      </c>
      <c r="G1311" s="4" t="s">
        <v>25</v>
      </c>
      <c r="H1311" s="4" t="s">
        <v>38</v>
      </c>
      <c r="I1311" s="5">
        <v>44378</v>
      </c>
      <c r="J1311" s="6">
        <v>0</v>
      </c>
      <c r="K1311" s="6">
        <v>0</v>
      </c>
      <c r="L1311" s="6">
        <v>7.0110000000000001</v>
      </c>
      <c r="M1311" s="6">
        <v>7.0110000000000001</v>
      </c>
      <c r="N1311" s="6">
        <v>7.0110000000000001</v>
      </c>
      <c r="O1311" s="6">
        <v>7.0110000000000001</v>
      </c>
      <c r="P1311" s="6">
        <v>0</v>
      </c>
      <c r="Q1311" s="4" t="s">
        <v>26</v>
      </c>
      <c r="R1311" s="4">
        <v>0</v>
      </c>
      <c r="S1311" s="6">
        <v>0</v>
      </c>
      <c r="T1311" s="6">
        <v>19</v>
      </c>
      <c r="U1311" s="6">
        <v>67</v>
      </c>
      <c r="V1311" s="6">
        <f>IF(ISERROR(VLOOKUP($S$1311,'TAR FIN'!$A$1:$O$95,15,0)),0,VLOOKUP($S$1311,'TAR FIN'!$A$1:$O$95,15,0))</f>
        <v>0</v>
      </c>
      <c r="W1311" s="6">
        <f>IF(ISERROR(VLOOKUP($T$1311,'TAR FIN'!$A$1:$O$95,15,0)),0,VLOOKUP($T$1311,'TAR FIN'!$A$1:$O$95,15,0))</f>
        <v>149.63</v>
      </c>
      <c r="X1311" s="6">
        <f>IF(ISERROR(VLOOKUP($U$1311,'TAR FIN'!$A$1:$O$95,15,0)),0,VLOOKUP($U$1311,'TAR FIN'!$A$1:$O$95,15,0))</f>
        <v>230.03</v>
      </c>
      <c r="Y1311" s="6"/>
      <c r="Z1311" s="6">
        <f ca="1">('TUSD BE'!$AM$17+'TUSD BF'!$AM$17+'TUSD CVA'!$AM$17)*1</f>
        <v>168.51338132937991</v>
      </c>
      <c r="AA1311" s="6">
        <f>('TE BE'!$AA$8+'TE BF'!$AA$8+'TE CVA'!$AA$8)*1</f>
        <v>282.91739971702214</v>
      </c>
      <c r="AB1311" s="6">
        <f>$K$1311*$V$1311</f>
        <v>0</v>
      </c>
      <c r="AC1311" s="6">
        <f>$M$1311*$W$1311</f>
        <v>1049.05593</v>
      </c>
      <c r="AD1311" s="6">
        <f>$O$1311*$X$1311</f>
        <v>1612.7403300000001</v>
      </c>
      <c r="AE1311" s="6">
        <f>$K$1311*$Y$1311</f>
        <v>0</v>
      </c>
      <c r="AF1311" s="6">
        <f ca="1">$M$1311*$Z$1311</f>
        <v>1181.4473165002826</v>
      </c>
      <c r="AG1311" s="6">
        <f>$O$1311*$AA$1311</f>
        <v>1983.5338894160423</v>
      </c>
    </row>
    <row r="1312" spans="1:33" ht="11.25" customHeight="1" x14ac:dyDescent="0.25">
      <c r="A1312" s="4" t="s">
        <v>21</v>
      </c>
      <c r="B1312" s="4" t="s">
        <v>35</v>
      </c>
      <c r="C1312" s="4" t="s">
        <v>36</v>
      </c>
      <c r="D1312" s="4" t="s">
        <v>24</v>
      </c>
      <c r="E1312" s="4" t="s">
        <v>24</v>
      </c>
      <c r="F1312" s="4" t="s">
        <v>25</v>
      </c>
      <c r="G1312" s="4" t="s">
        <v>25</v>
      </c>
      <c r="H1312" s="4" t="s">
        <v>38</v>
      </c>
      <c r="I1312" s="5">
        <v>44409</v>
      </c>
      <c r="J1312" s="6">
        <v>0</v>
      </c>
      <c r="K1312" s="6">
        <v>0</v>
      </c>
      <c r="L1312" s="6">
        <v>407.428</v>
      </c>
      <c r="M1312" s="6">
        <v>407.428</v>
      </c>
      <c r="N1312" s="6">
        <v>407.428</v>
      </c>
      <c r="O1312" s="6">
        <v>407.428</v>
      </c>
      <c r="P1312" s="6">
        <v>0</v>
      </c>
      <c r="Q1312" s="4" t="s">
        <v>26</v>
      </c>
      <c r="R1312" s="4">
        <v>0</v>
      </c>
      <c r="S1312" s="6">
        <v>0</v>
      </c>
      <c r="T1312" s="6">
        <v>19</v>
      </c>
      <c r="U1312" s="6">
        <v>67</v>
      </c>
      <c r="V1312" s="6">
        <f>IF(ISERROR(VLOOKUP($S$1312,'TAR FIN'!$A$1:$O$95,15,0)),0,VLOOKUP($S$1312,'TAR FIN'!$A$1:$O$95,15,0))</f>
        <v>0</v>
      </c>
      <c r="W1312" s="6">
        <f>IF(ISERROR(VLOOKUP($T$1312,'TAR FIN'!$A$1:$O$95,15,0)),0,VLOOKUP($T$1312,'TAR FIN'!$A$1:$O$95,15,0))</f>
        <v>149.63</v>
      </c>
      <c r="X1312" s="6">
        <f>IF(ISERROR(VLOOKUP($U$1312,'TAR FIN'!$A$1:$O$95,15,0)),0,VLOOKUP($U$1312,'TAR FIN'!$A$1:$O$95,15,0))</f>
        <v>230.03</v>
      </c>
      <c r="Y1312" s="6"/>
      <c r="Z1312" s="6">
        <f ca="1">('TUSD BE'!$AM$17+'TUSD BF'!$AM$17+'TUSD CVA'!$AM$17)*1</f>
        <v>168.51338132937991</v>
      </c>
      <c r="AA1312" s="6">
        <f>('TE BE'!$AA$8+'TE BF'!$AA$8+'TE CVA'!$AA$8)*1</f>
        <v>282.91739971702214</v>
      </c>
      <c r="AB1312" s="6">
        <f>$K$1312*$V$1312</f>
        <v>0</v>
      </c>
      <c r="AC1312" s="6">
        <f>$M$1312*$W$1312</f>
        <v>60963.451639999999</v>
      </c>
      <c r="AD1312" s="6">
        <f>$O$1312*$X$1312</f>
        <v>93720.662840000005</v>
      </c>
      <c r="AE1312" s="6">
        <f>$K$1312*$Y$1312</f>
        <v>0</v>
      </c>
      <c r="AF1312" s="6">
        <f ca="1">$M$1312*$Z$1312</f>
        <v>68657.069928266603</v>
      </c>
      <c r="AG1312" s="6">
        <f>$O$1312*$AA$1312</f>
        <v>115268.47033190689</v>
      </c>
    </row>
    <row r="1313" spans="1:33" ht="11.25" customHeight="1" x14ac:dyDescent="0.25">
      <c r="A1313" s="4" t="s">
        <v>28</v>
      </c>
      <c r="B1313" s="4" t="s">
        <v>35</v>
      </c>
      <c r="C1313" s="4" t="s">
        <v>36</v>
      </c>
      <c r="D1313" s="4" t="s">
        <v>24</v>
      </c>
      <c r="E1313" s="4" t="s">
        <v>24</v>
      </c>
      <c r="F1313" s="4" t="s">
        <v>25</v>
      </c>
      <c r="G1313" s="4" t="s">
        <v>25</v>
      </c>
      <c r="H1313" s="4" t="s">
        <v>38</v>
      </c>
      <c r="I1313" s="5">
        <v>44409</v>
      </c>
      <c r="J1313" s="6">
        <v>0</v>
      </c>
      <c r="K1313" s="6">
        <v>0</v>
      </c>
      <c r="L1313" s="6">
        <v>7.9950000000000001</v>
      </c>
      <c r="M1313" s="6">
        <v>7.9950000000000001</v>
      </c>
      <c r="N1313" s="6">
        <v>7.9950000000000001</v>
      </c>
      <c r="O1313" s="6">
        <v>7.9950000000000001</v>
      </c>
      <c r="P1313" s="6">
        <v>0</v>
      </c>
      <c r="Q1313" s="4" t="s">
        <v>26</v>
      </c>
      <c r="R1313" s="4">
        <v>0</v>
      </c>
      <c r="S1313" s="6">
        <v>0</v>
      </c>
      <c r="T1313" s="6">
        <v>19</v>
      </c>
      <c r="U1313" s="6">
        <v>67</v>
      </c>
      <c r="V1313" s="6">
        <f>IF(ISERROR(VLOOKUP($S$1313,'TAR FIN'!$A$1:$O$95,15,0)),0,VLOOKUP($S$1313,'TAR FIN'!$A$1:$O$95,15,0))</f>
        <v>0</v>
      </c>
      <c r="W1313" s="6">
        <f>IF(ISERROR(VLOOKUP($T$1313,'TAR FIN'!$A$1:$O$95,15,0)),0,VLOOKUP($T$1313,'TAR FIN'!$A$1:$O$95,15,0))</f>
        <v>149.63</v>
      </c>
      <c r="X1313" s="6">
        <f>IF(ISERROR(VLOOKUP($U$1313,'TAR FIN'!$A$1:$O$95,15,0)),0,VLOOKUP($U$1313,'TAR FIN'!$A$1:$O$95,15,0))</f>
        <v>230.03</v>
      </c>
      <c r="Y1313" s="6"/>
      <c r="Z1313" s="6">
        <f ca="1">('TUSD BE'!$AM$17+'TUSD BF'!$AM$17+'TUSD CVA'!$AM$17)*1</f>
        <v>168.51338132937991</v>
      </c>
      <c r="AA1313" s="6">
        <f>('TE BE'!$AA$8+'TE BF'!$AA$8+'TE CVA'!$AA$8)*1</f>
        <v>282.91739971702214</v>
      </c>
      <c r="AB1313" s="6">
        <f>$K$1313*$V$1313</f>
        <v>0</v>
      </c>
      <c r="AC1313" s="6">
        <f>$M$1313*$W$1313</f>
        <v>1196.2918500000001</v>
      </c>
      <c r="AD1313" s="6">
        <f>$O$1313*$X$1313</f>
        <v>1839.0898500000001</v>
      </c>
      <c r="AE1313" s="6">
        <f>$K$1313*$Y$1313</f>
        <v>0</v>
      </c>
      <c r="AF1313" s="6">
        <f ca="1">$M$1313*$Z$1313</f>
        <v>1347.2644837283924</v>
      </c>
      <c r="AG1313" s="6">
        <f>$O$1313*$AA$1313</f>
        <v>2261.924610737592</v>
      </c>
    </row>
    <row r="1314" spans="1:33" ht="11.25" customHeight="1" x14ac:dyDescent="0.25">
      <c r="A1314" s="4" t="s">
        <v>21</v>
      </c>
      <c r="B1314" s="4" t="s">
        <v>35</v>
      </c>
      <c r="C1314" s="4" t="s">
        <v>36</v>
      </c>
      <c r="D1314" s="4" t="s">
        <v>24</v>
      </c>
      <c r="E1314" s="4" t="s">
        <v>24</v>
      </c>
      <c r="F1314" s="4" t="s">
        <v>25</v>
      </c>
      <c r="G1314" s="4" t="s">
        <v>25</v>
      </c>
      <c r="H1314" s="4" t="s">
        <v>38</v>
      </c>
      <c r="I1314" s="5">
        <v>44440</v>
      </c>
      <c r="J1314" s="6">
        <v>0</v>
      </c>
      <c r="K1314" s="6">
        <v>0</v>
      </c>
      <c r="L1314" s="6">
        <v>381.166</v>
      </c>
      <c r="M1314" s="6">
        <v>381.166</v>
      </c>
      <c r="N1314" s="6">
        <v>381.166</v>
      </c>
      <c r="O1314" s="6">
        <v>381.166</v>
      </c>
      <c r="P1314" s="6">
        <v>0</v>
      </c>
      <c r="Q1314" s="4" t="s">
        <v>26</v>
      </c>
      <c r="R1314" s="4">
        <v>0</v>
      </c>
      <c r="S1314" s="6">
        <v>0</v>
      </c>
      <c r="T1314" s="6">
        <v>19</v>
      </c>
      <c r="U1314" s="6">
        <v>67</v>
      </c>
      <c r="V1314" s="6">
        <f>IF(ISERROR(VLOOKUP($S$1314,'TAR FIN'!$A$1:$O$95,15,0)),0,VLOOKUP($S$1314,'TAR FIN'!$A$1:$O$95,15,0))</f>
        <v>0</v>
      </c>
      <c r="W1314" s="6">
        <f>IF(ISERROR(VLOOKUP($T$1314,'TAR FIN'!$A$1:$O$95,15,0)),0,VLOOKUP($T$1314,'TAR FIN'!$A$1:$O$95,15,0))</f>
        <v>149.63</v>
      </c>
      <c r="X1314" s="6">
        <f>IF(ISERROR(VLOOKUP($U$1314,'TAR FIN'!$A$1:$O$95,15,0)),0,VLOOKUP($U$1314,'TAR FIN'!$A$1:$O$95,15,0))</f>
        <v>230.03</v>
      </c>
      <c r="Y1314" s="6"/>
      <c r="Z1314" s="6">
        <f ca="1">('TUSD BE'!$AM$17+'TUSD BF'!$AM$17+'TUSD CVA'!$AM$17)*1</f>
        <v>168.51338132937991</v>
      </c>
      <c r="AA1314" s="6">
        <f>('TE BE'!$AA$8+'TE BF'!$AA$8+'TE CVA'!$AA$8)*1</f>
        <v>282.91739971702214</v>
      </c>
      <c r="AB1314" s="6">
        <f>$K$1314*$V$1314</f>
        <v>0</v>
      </c>
      <c r="AC1314" s="6">
        <f>$M$1314*$W$1314</f>
        <v>57033.868579999995</v>
      </c>
      <c r="AD1314" s="6">
        <f>$O$1314*$X$1314</f>
        <v>87679.614979999998</v>
      </c>
      <c r="AE1314" s="6">
        <f>$K$1314*$Y$1314</f>
        <v>0</v>
      </c>
      <c r="AF1314" s="6">
        <f ca="1">$M$1314*$Z$1314</f>
        <v>64231.571507794426</v>
      </c>
      <c r="AG1314" s="6">
        <f>$O$1314*$AA$1314</f>
        <v>107838.49358053846</v>
      </c>
    </row>
    <row r="1315" spans="1:33" ht="11.25" customHeight="1" x14ac:dyDescent="0.25">
      <c r="A1315" s="4" t="s">
        <v>28</v>
      </c>
      <c r="B1315" s="4" t="s">
        <v>35</v>
      </c>
      <c r="C1315" s="4" t="s">
        <v>36</v>
      </c>
      <c r="D1315" s="4" t="s">
        <v>24</v>
      </c>
      <c r="E1315" s="4" t="s">
        <v>24</v>
      </c>
      <c r="F1315" s="4" t="s">
        <v>25</v>
      </c>
      <c r="G1315" s="4" t="s">
        <v>25</v>
      </c>
      <c r="H1315" s="4" t="s">
        <v>38</v>
      </c>
      <c r="I1315" s="5">
        <v>44440</v>
      </c>
      <c r="J1315" s="6">
        <v>0</v>
      </c>
      <c r="K1315" s="6">
        <v>0</v>
      </c>
      <c r="L1315" s="6">
        <v>7.6870000000000003</v>
      </c>
      <c r="M1315" s="6">
        <v>7.6870000000000003</v>
      </c>
      <c r="N1315" s="6">
        <v>7.6870000000000003</v>
      </c>
      <c r="O1315" s="6">
        <v>7.6870000000000003</v>
      </c>
      <c r="P1315" s="6">
        <v>0</v>
      </c>
      <c r="Q1315" s="4" t="s">
        <v>26</v>
      </c>
      <c r="R1315" s="4">
        <v>0</v>
      </c>
      <c r="S1315" s="6">
        <v>0</v>
      </c>
      <c r="T1315" s="6">
        <v>19</v>
      </c>
      <c r="U1315" s="6">
        <v>67</v>
      </c>
      <c r="V1315" s="6">
        <f>IF(ISERROR(VLOOKUP($S$1315,'TAR FIN'!$A$1:$O$95,15,0)),0,VLOOKUP($S$1315,'TAR FIN'!$A$1:$O$95,15,0))</f>
        <v>0</v>
      </c>
      <c r="W1315" s="6">
        <f>IF(ISERROR(VLOOKUP($T$1315,'TAR FIN'!$A$1:$O$95,15,0)),0,VLOOKUP($T$1315,'TAR FIN'!$A$1:$O$95,15,0))</f>
        <v>149.63</v>
      </c>
      <c r="X1315" s="6">
        <f>IF(ISERROR(VLOOKUP($U$1315,'TAR FIN'!$A$1:$O$95,15,0)),0,VLOOKUP($U$1315,'TAR FIN'!$A$1:$O$95,15,0))</f>
        <v>230.03</v>
      </c>
      <c r="Y1315" s="6"/>
      <c r="Z1315" s="6">
        <f ca="1">('TUSD BE'!$AM$17+'TUSD BF'!$AM$17+'TUSD CVA'!$AM$17)*1</f>
        <v>168.51338132937991</v>
      </c>
      <c r="AA1315" s="6">
        <f>('TE BE'!$AA$8+'TE BF'!$AA$8+'TE CVA'!$AA$8)*1</f>
        <v>282.91739971702214</v>
      </c>
      <c r="AB1315" s="6">
        <f>$K$1315*$V$1315</f>
        <v>0</v>
      </c>
      <c r="AC1315" s="6">
        <f>$M$1315*$W$1315</f>
        <v>1150.2058099999999</v>
      </c>
      <c r="AD1315" s="6">
        <f>$O$1315*$X$1315</f>
        <v>1768.2406100000001</v>
      </c>
      <c r="AE1315" s="6">
        <f>$K$1315*$Y$1315</f>
        <v>0</v>
      </c>
      <c r="AF1315" s="6">
        <f ca="1">$M$1315*$Z$1315</f>
        <v>1295.3623622789435</v>
      </c>
      <c r="AG1315" s="6">
        <f>$O$1315*$AA$1315</f>
        <v>2174.7860516247492</v>
      </c>
    </row>
    <row r="1316" spans="1:33" ht="11.25" customHeight="1" x14ac:dyDescent="0.25">
      <c r="A1316" s="4" t="s">
        <v>59</v>
      </c>
      <c r="B1316" s="4" t="s">
        <v>35</v>
      </c>
      <c r="C1316" s="4" t="s">
        <v>36</v>
      </c>
      <c r="D1316" s="4" t="s">
        <v>24</v>
      </c>
      <c r="E1316" s="4" t="s">
        <v>24</v>
      </c>
      <c r="F1316" s="4" t="s">
        <v>25</v>
      </c>
      <c r="G1316" s="4" t="s">
        <v>25</v>
      </c>
      <c r="H1316" s="4" t="s">
        <v>38</v>
      </c>
      <c r="I1316" s="5">
        <v>44470</v>
      </c>
      <c r="J1316" s="6">
        <v>0</v>
      </c>
      <c r="K1316" s="6">
        <v>0</v>
      </c>
      <c r="L1316" s="6">
        <v>381.166</v>
      </c>
      <c r="M1316" s="6">
        <v>381.166</v>
      </c>
      <c r="N1316" s="6">
        <v>381.166</v>
      </c>
      <c r="O1316" s="6">
        <v>381.166</v>
      </c>
      <c r="P1316" s="6">
        <v>0</v>
      </c>
      <c r="Q1316" s="4" t="s">
        <v>26</v>
      </c>
      <c r="R1316" s="4">
        <v>0</v>
      </c>
      <c r="S1316" s="6">
        <v>0</v>
      </c>
      <c r="T1316" s="6">
        <v>19</v>
      </c>
      <c r="U1316" s="6">
        <v>67</v>
      </c>
      <c r="V1316" s="6">
        <f>IF(ISERROR(VLOOKUP($S$1316,'TAR FIN'!$A$1:$O$95,15,0)),0,VLOOKUP($S$1316,'TAR FIN'!$A$1:$O$95,15,0))</f>
        <v>0</v>
      </c>
      <c r="W1316" s="6">
        <f>IF(ISERROR(VLOOKUP($T$1316,'TAR FIN'!$A$1:$O$95,15,0)),0,VLOOKUP($T$1316,'TAR FIN'!$A$1:$O$95,15,0))</f>
        <v>149.63</v>
      </c>
      <c r="X1316" s="6">
        <f>IF(ISERROR(VLOOKUP($U$1316,'TAR FIN'!$A$1:$O$95,15,0)),0,VLOOKUP($U$1316,'TAR FIN'!$A$1:$O$95,15,0))</f>
        <v>230.03</v>
      </c>
      <c r="Y1316" s="6"/>
      <c r="Z1316" s="6">
        <f ca="1">('TUSD BE'!$AM$17+'TUSD BF'!$AM$17+'TUSD CVA'!$AM$17)*1</f>
        <v>168.51338132937991</v>
      </c>
      <c r="AA1316" s="6">
        <f>('TE BE'!$AA$8+'TE BF'!$AA$8+'TE CVA'!$AA$8)*1</f>
        <v>282.91739971702214</v>
      </c>
      <c r="AB1316" s="6">
        <f>$K$1316*$V$1316</f>
        <v>0</v>
      </c>
      <c r="AC1316" s="6">
        <f>$M$1316*$W$1316</f>
        <v>57033.868579999995</v>
      </c>
      <c r="AD1316" s="6">
        <f>$O$1316*$X$1316</f>
        <v>87679.614979999998</v>
      </c>
      <c r="AE1316" s="6">
        <f>$K$1316*$Y$1316</f>
        <v>0</v>
      </c>
      <c r="AF1316" s="6">
        <f ca="1">$M$1316*$Z$1316</f>
        <v>64231.571507794426</v>
      </c>
      <c r="AG1316" s="6">
        <f>$O$1316*$AA$1316</f>
        <v>107838.49358053846</v>
      </c>
    </row>
    <row r="1317" spans="1:33" ht="11.25" customHeight="1" x14ac:dyDescent="0.25">
      <c r="A1317" s="4" t="s">
        <v>59</v>
      </c>
      <c r="B1317" s="4" t="s">
        <v>35</v>
      </c>
      <c r="C1317" s="4" t="s">
        <v>36</v>
      </c>
      <c r="D1317" s="4" t="s">
        <v>24</v>
      </c>
      <c r="E1317" s="4" t="s">
        <v>24</v>
      </c>
      <c r="F1317" s="4" t="s">
        <v>25</v>
      </c>
      <c r="G1317" s="4" t="s">
        <v>25</v>
      </c>
      <c r="H1317" s="4" t="s">
        <v>38</v>
      </c>
      <c r="I1317" s="5">
        <v>44470</v>
      </c>
      <c r="J1317" s="6">
        <v>0</v>
      </c>
      <c r="K1317" s="6">
        <v>0</v>
      </c>
      <c r="L1317" s="6">
        <v>7.6870000000000003</v>
      </c>
      <c r="M1317" s="6">
        <v>7.6870000000000003</v>
      </c>
      <c r="N1317" s="6">
        <v>7.6870000000000003</v>
      </c>
      <c r="O1317" s="6">
        <v>7.6870000000000003</v>
      </c>
      <c r="P1317" s="6">
        <v>0</v>
      </c>
      <c r="Q1317" s="4" t="s">
        <v>26</v>
      </c>
      <c r="R1317" s="4">
        <v>0</v>
      </c>
      <c r="S1317" s="6">
        <v>0</v>
      </c>
      <c r="T1317" s="6">
        <v>19</v>
      </c>
      <c r="U1317" s="6">
        <v>67</v>
      </c>
      <c r="V1317" s="6">
        <f>IF(ISERROR(VLOOKUP($S$1317,'TAR FIN'!$A$1:$O$95,15,0)),0,VLOOKUP($S$1317,'TAR FIN'!$A$1:$O$95,15,0))</f>
        <v>0</v>
      </c>
      <c r="W1317" s="6">
        <f>IF(ISERROR(VLOOKUP($T$1317,'TAR FIN'!$A$1:$O$95,15,0)),0,VLOOKUP($T$1317,'TAR FIN'!$A$1:$O$95,15,0))</f>
        <v>149.63</v>
      </c>
      <c r="X1317" s="6">
        <f>IF(ISERROR(VLOOKUP($U$1317,'TAR FIN'!$A$1:$O$95,15,0)),0,VLOOKUP($U$1317,'TAR FIN'!$A$1:$O$95,15,0))</f>
        <v>230.03</v>
      </c>
      <c r="Y1317" s="6"/>
      <c r="Z1317" s="6">
        <f ca="1">('TUSD BE'!$AM$17+'TUSD BF'!$AM$17+'TUSD CVA'!$AM$17)*1</f>
        <v>168.51338132937991</v>
      </c>
      <c r="AA1317" s="6">
        <f>('TE BE'!$AA$8+'TE BF'!$AA$8+'TE CVA'!$AA$8)*1</f>
        <v>282.91739971702214</v>
      </c>
      <c r="AB1317" s="6">
        <f>$K$1317*$V$1317</f>
        <v>0</v>
      </c>
      <c r="AC1317" s="6">
        <f>$M$1317*$W$1317</f>
        <v>1150.2058099999999</v>
      </c>
      <c r="AD1317" s="6">
        <f>$O$1317*$X$1317</f>
        <v>1768.2406100000001</v>
      </c>
      <c r="AE1317" s="6">
        <f>$K$1317*$Y$1317</f>
        <v>0</v>
      </c>
      <c r="AF1317" s="6">
        <f ca="1">$M$1317*$Z$1317</f>
        <v>1295.3623622789435</v>
      </c>
      <c r="AG1317" s="6">
        <f>$O$1317*$AA$1317</f>
        <v>2174.7860516247492</v>
      </c>
    </row>
    <row r="1318" spans="1:33" ht="11.25" customHeight="1" x14ac:dyDescent="0.25">
      <c r="A1318" s="4" t="s">
        <v>21</v>
      </c>
      <c r="B1318" s="4" t="s">
        <v>35</v>
      </c>
      <c r="C1318" s="4" t="s">
        <v>36</v>
      </c>
      <c r="D1318" s="4" t="s">
        <v>24</v>
      </c>
      <c r="E1318" s="4" t="s">
        <v>24</v>
      </c>
      <c r="F1318" s="4" t="s">
        <v>25</v>
      </c>
      <c r="G1318" s="4" t="s">
        <v>25</v>
      </c>
      <c r="H1318" s="4" t="s">
        <v>25</v>
      </c>
      <c r="I1318" s="5">
        <v>44136</v>
      </c>
      <c r="J1318" s="6">
        <v>2965</v>
      </c>
      <c r="K1318" s="6">
        <v>2965</v>
      </c>
      <c r="L1318" s="6">
        <v>0</v>
      </c>
      <c r="M1318" s="6">
        <v>0</v>
      </c>
      <c r="N1318" s="6">
        <v>0</v>
      </c>
      <c r="O1318" s="6">
        <v>0</v>
      </c>
      <c r="P1318" s="6">
        <v>46</v>
      </c>
      <c r="Q1318" s="4" t="s">
        <v>26</v>
      </c>
      <c r="R1318" s="4">
        <v>0</v>
      </c>
      <c r="S1318" s="6">
        <v>23</v>
      </c>
      <c r="T1318" s="6">
        <v>0</v>
      </c>
      <c r="U1318" s="6">
        <v>0</v>
      </c>
      <c r="V1318" s="6">
        <f>IF(ISERROR(VLOOKUP($S$1318,'TAR FIN'!$A$1:$O$95,15,0)),0,VLOOKUP($S$1318,'TAR FIN'!$A$1:$O$95,15,0))</f>
        <v>28.57</v>
      </c>
      <c r="W1318" s="6">
        <f>IF(ISERROR(VLOOKUP($T$1318,'TAR FIN'!$A$1:$O$95,15,0)),0,VLOOKUP($T$1318,'TAR FIN'!$A$1:$O$95,15,0))</f>
        <v>0</v>
      </c>
      <c r="X1318" s="6">
        <f>IF(ISERROR(VLOOKUP($U$1318,'TAR FIN'!$A$1:$O$95,15,0)),0,VLOOKUP($U$1318,'TAR FIN'!$A$1:$O$95,15,0))</f>
        <v>0</v>
      </c>
      <c r="Y1318" s="6">
        <f ca="1">('TUSD BE'!$AM$15+'TUSD BF'!$AM$15+'TUSD CVA'!$AM$15)*1</f>
        <v>31.93064187172984</v>
      </c>
      <c r="Z1318" s="6"/>
      <c r="AA1318" s="6"/>
      <c r="AB1318" s="6">
        <f>$K$1318*$V$1318</f>
        <v>84710.05</v>
      </c>
      <c r="AC1318" s="6">
        <f>$M$1318*$W$1318</f>
        <v>0</v>
      </c>
      <c r="AD1318" s="6">
        <f>$O$1318*$X$1318</f>
        <v>0</v>
      </c>
      <c r="AE1318" s="6">
        <f ca="1">$K$1318*$Y$1318</f>
        <v>94674.35314967898</v>
      </c>
      <c r="AF1318" s="6">
        <f>$M$1318*$Z$1318</f>
        <v>0</v>
      </c>
      <c r="AG1318" s="6">
        <f>$O$1318*$AA$1318</f>
        <v>0</v>
      </c>
    </row>
    <row r="1319" spans="1:33" ht="11.25" customHeight="1" x14ac:dyDescent="0.25">
      <c r="A1319" s="4" t="s">
        <v>21</v>
      </c>
      <c r="B1319" s="4" t="s">
        <v>35</v>
      </c>
      <c r="C1319" s="4" t="s">
        <v>36</v>
      </c>
      <c r="D1319" s="4" t="s">
        <v>24</v>
      </c>
      <c r="E1319" s="4" t="s">
        <v>24</v>
      </c>
      <c r="F1319" s="4" t="s">
        <v>25</v>
      </c>
      <c r="G1319" s="4" t="s">
        <v>25</v>
      </c>
      <c r="H1319" s="4" t="s">
        <v>25</v>
      </c>
      <c r="I1319" s="5">
        <v>44166</v>
      </c>
      <c r="J1319" s="6">
        <v>2963</v>
      </c>
      <c r="K1319" s="6">
        <v>2963</v>
      </c>
      <c r="L1319" s="6">
        <v>0</v>
      </c>
      <c r="M1319" s="6">
        <v>0</v>
      </c>
      <c r="N1319" s="6">
        <v>0</v>
      </c>
      <c r="O1319" s="6">
        <v>0</v>
      </c>
      <c r="P1319" s="6">
        <v>46</v>
      </c>
      <c r="Q1319" s="4" t="s">
        <v>26</v>
      </c>
      <c r="R1319" s="4">
        <v>0</v>
      </c>
      <c r="S1319" s="6">
        <v>23</v>
      </c>
      <c r="T1319" s="6">
        <v>0</v>
      </c>
      <c r="U1319" s="6">
        <v>0</v>
      </c>
      <c r="V1319" s="6">
        <f>IF(ISERROR(VLOOKUP($S$1319,'TAR FIN'!$A$1:$O$95,15,0)),0,VLOOKUP($S$1319,'TAR FIN'!$A$1:$O$95,15,0))</f>
        <v>28.57</v>
      </c>
      <c r="W1319" s="6">
        <f>IF(ISERROR(VLOOKUP($T$1319,'TAR FIN'!$A$1:$O$95,15,0)),0,VLOOKUP($T$1319,'TAR FIN'!$A$1:$O$95,15,0))</f>
        <v>0</v>
      </c>
      <c r="X1319" s="6">
        <f>IF(ISERROR(VLOOKUP($U$1319,'TAR FIN'!$A$1:$O$95,15,0)),0,VLOOKUP($U$1319,'TAR FIN'!$A$1:$O$95,15,0))</f>
        <v>0</v>
      </c>
      <c r="Y1319" s="6">
        <f ca="1">('TUSD BE'!$AM$15+'TUSD BF'!$AM$15+'TUSD CVA'!$AM$15)*1</f>
        <v>31.93064187172984</v>
      </c>
      <c r="Z1319" s="6"/>
      <c r="AA1319" s="6"/>
      <c r="AB1319" s="6">
        <f>$K$1319*$V$1319</f>
        <v>84652.91</v>
      </c>
      <c r="AC1319" s="6">
        <f>$M$1319*$W$1319</f>
        <v>0</v>
      </c>
      <c r="AD1319" s="6">
        <f>$O$1319*$X$1319</f>
        <v>0</v>
      </c>
      <c r="AE1319" s="6">
        <f ca="1">$K$1319*$Y$1319</f>
        <v>94610.491865935517</v>
      </c>
      <c r="AF1319" s="6">
        <f>$M$1319*$Z$1319</f>
        <v>0</v>
      </c>
      <c r="AG1319" s="6">
        <f>$O$1319*$AA$1319</f>
        <v>0</v>
      </c>
    </row>
    <row r="1320" spans="1:33" ht="11.25" customHeight="1" x14ac:dyDescent="0.25">
      <c r="A1320" s="4" t="s">
        <v>21</v>
      </c>
      <c r="B1320" s="4" t="s">
        <v>35</v>
      </c>
      <c r="C1320" s="4" t="s">
        <v>36</v>
      </c>
      <c r="D1320" s="4" t="s">
        <v>24</v>
      </c>
      <c r="E1320" s="4" t="s">
        <v>24</v>
      </c>
      <c r="F1320" s="4" t="s">
        <v>25</v>
      </c>
      <c r="G1320" s="4" t="s">
        <v>25</v>
      </c>
      <c r="H1320" s="4" t="s">
        <v>25</v>
      </c>
      <c r="I1320" s="5">
        <v>44197</v>
      </c>
      <c r="J1320" s="6">
        <v>2961</v>
      </c>
      <c r="K1320" s="6">
        <v>2961</v>
      </c>
      <c r="L1320" s="6">
        <v>0</v>
      </c>
      <c r="M1320" s="6">
        <v>0</v>
      </c>
      <c r="N1320" s="6">
        <v>0</v>
      </c>
      <c r="O1320" s="6">
        <v>0</v>
      </c>
      <c r="P1320" s="6">
        <v>46</v>
      </c>
      <c r="Q1320" s="4" t="s">
        <v>26</v>
      </c>
      <c r="R1320" s="4">
        <v>0</v>
      </c>
      <c r="S1320" s="6">
        <v>23</v>
      </c>
      <c r="T1320" s="6">
        <v>0</v>
      </c>
      <c r="U1320" s="6">
        <v>0</v>
      </c>
      <c r="V1320" s="6">
        <f>IF(ISERROR(VLOOKUP($S$1320,'TAR FIN'!$A$1:$O$95,15,0)),0,VLOOKUP($S$1320,'TAR FIN'!$A$1:$O$95,15,0))</f>
        <v>28.57</v>
      </c>
      <c r="W1320" s="6">
        <f>IF(ISERROR(VLOOKUP($T$1320,'TAR FIN'!$A$1:$O$95,15,0)),0,VLOOKUP($T$1320,'TAR FIN'!$A$1:$O$95,15,0))</f>
        <v>0</v>
      </c>
      <c r="X1320" s="6">
        <f>IF(ISERROR(VLOOKUP($U$1320,'TAR FIN'!$A$1:$O$95,15,0)),0,VLOOKUP($U$1320,'TAR FIN'!$A$1:$O$95,15,0))</f>
        <v>0</v>
      </c>
      <c r="Y1320" s="6">
        <f ca="1">('TUSD BE'!$AM$15+'TUSD BF'!$AM$15+'TUSD CVA'!$AM$15)*1</f>
        <v>31.93064187172984</v>
      </c>
      <c r="Z1320" s="6"/>
      <c r="AA1320" s="6"/>
      <c r="AB1320" s="6">
        <f>$K$1320*$V$1320</f>
        <v>84595.77</v>
      </c>
      <c r="AC1320" s="6">
        <f>$M$1320*$W$1320</f>
        <v>0</v>
      </c>
      <c r="AD1320" s="6">
        <f>$O$1320*$X$1320</f>
        <v>0</v>
      </c>
      <c r="AE1320" s="6">
        <f ca="1">$K$1320*$Y$1320</f>
        <v>94546.630582192054</v>
      </c>
      <c r="AF1320" s="6">
        <f>$M$1320*$Z$1320</f>
        <v>0</v>
      </c>
      <c r="AG1320" s="6">
        <f>$O$1320*$AA$1320</f>
        <v>0</v>
      </c>
    </row>
    <row r="1321" spans="1:33" ht="11.25" customHeight="1" x14ac:dyDescent="0.25">
      <c r="A1321" s="4" t="s">
        <v>21</v>
      </c>
      <c r="B1321" s="4" t="s">
        <v>35</v>
      </c>
      <c r="C1321" s="4" t="s">
        <v>36</v>
      </c>
      <c r="D1321" s="4" t="s">
        <v>24</v>
      </c>
      <c r="E1321" s="4" t="s">
        <v>24</v>
      </c>
      <c r="F1321" s="4" t="s">
        <v>25</v>
      </c>
      <c r="G1321" s="4" t="s">
        <v>25</v>
      </c>
      <c r="H1321" s="4" t="s">
        <v>25</v>
      </c>
      <c r="I1321" s="5">
        <v>44228</v>
      </c>
      <c r="J1321" s="6">
        <v>2964</v>
      </c>
      <c r="K1321" s="6">
        <v>2964</v>
      </c>
      <c r="L1321" s="6">
        <v>0</v>
      </c>
      <c r="M1321" s="6">
        <v>0</v>
      </c>
      <c r="N1321" s="6">
        <v>0</v>
      </c>
      <c r="O1321" s="6">
        <v>0</v>
      </c>
      <c r="P1321" s="6">
        <v>46</v>
      </c>
      <c r="Q1321" s="4" t="s">
        <v>26</v>
      </c>
      <c r="R1321" s="4">
        <v>0</v>
      </c>
      <c r="S1321" s="6">
        <v>23</v>
      </c>
      <c r="T1321" s="6">
        <v>0</v>
      </c>
      <c r="U1321" s="6">
        <v>0</v>
      </c>
      <c r="V1321" s="6">
        <f>IF(ISERROR(VLOOKUP($S$1321,'TAR FIN'!$A$1:$O$95,15,0)),0,VLOOKUP($S$1321,'TAR FIN'!$A$1:$O$95,15,0))</f>
        <v>28.57</v>
      </c>
      <c r="W1321" s="6">
        <f>IF(ISERROR(VLOOKUP($T$1321,'TAR FIN'!$A$1:$O$95,15,0)),0,VLOOKUP($T$1321,'TAR FIN'!$A$1:$O$95,15,0))</f>
        <v>0</v>
      </c>
      <c r="X1321" s="6">
        <f>IF(ISERROR(VLOOKUP($U$1321,'TAR FIN'!$A$1:$O$95,15,0)),0,VLOOKUP($U$1321,'TAR FIN'!$A$1:$O$95,15,0))</f>
        <v>0</v>
      </c>
      <c r="Y1321" s="6">
        <f ca="1">('TUSD BE'!$AM$15+'TUSD BF'!$AM$15+'TUSD CVA'!$AM$15)*1</f>
        <v>31.93064187172984</v>
      </c>
      <c r="Z1321" s="6"/>
      <c r="AA1321" s="6"/>
      <c r="AB1321" s="6">
        <f>$K$1321*$V$1321</f>
        <v>84681.48</v>
      </c>
      <c r="AC1321" s="6">
        <f>$M$1321*$W$1321</f>
        <v>0</v>
      </c>
      <c r="AD1321" s="6">
        <f>$O$1321*$X$1321</f>
        <v>0</v>
      </c>
      <c r="AE1321" s="6">
        <f ca="1">$K$1321*$Y$1321</f>
        <v>94642.422507807249</v>
      </c>
      <c r="AF1321" s="6">
        <f>$M$1321*$Z$1321</f>
        <v>0</v>
      </c>
      <c r="AG1321" s="6">
        <f>$O$1321*$AA$1321</f>
        <v>0</v>
      </c>
    </row>
    <row r="1322" spans="1:33" ht="11.25" customHeight="1" x14ac:dyDescent="0.25">
      <c r="A1322" s="4" t="s">
        <v>21</v>
      </c>
      <c r="B1322" s="4" t="s">
        <v>35</v>
      </c>
      <c r="C1322" s="4" t="s">
        <v>36</v>
      </c>
      <c r="D1322" s="4" t="s">
        <v>24</v>
      </c>
      <c r="E1322" s="4" t="s">
        <v>24</v>
      </c>
      <c r="F1322" s="4" t="s">
        <v>25</v>
      </c>
      <c r="G1322" s="4" t="s">
        <v>25</v>
      </c>
      <c r="H1322" s="4" t="s">
        <v>25</v>
      </c>
      <c r="I1322" s="5">
        <v>44256</v>
      </c>
      <c r="J1322" s="6">
        <v>2963</v>
      </c>
      <c r="K1322" s="6">
        <v>2963</v>
      </c>
      <c r="L1322" s="6">
        <v>0</v>
      </c>
      <c r="M1322" s="6">
        <v>0</v>
      </c>
      <c r="N1322" s="6">
        <v>0</v>
      </c>
      <c r="O1322" s="6">
        <v>0</v>
      </c>
      <c r="P1322" s="6">
        <v>46</v>
      </c>
      <c r="Q1322" s="4" t="s">
        <v>26</v>
      </c>
      <c r="R1322" s="4">
        <v>0</v>
      </c>
      <c r="S1322" s="6">
        <v>23</v>
      </c>
      <c r="T1322" s="6">
        <v>0</v>
      </c>
      <c r="U1322" s="6">
        <v>0</v>
      </c>
      <c r="V1322" s="6">
        <f>IF(ISERROR(VLOOKUP($S$1322,'TAR FIN'!$A$1:$O$95,15,0)),0,VLOOKUP($S$1322,'TAR FIN'!$A$1:$O$95,15,0))</f>
        <v>28.57</v>
      </c>
      <c r="W1322" s="6">
        <f>IF(ISERROR(VLOOKUP($T$1322,'TAR FIN'!$A$1:$O$95,15,0)),0,VLOOKUP($T$1322,'TAR FIN'!$A$1:$O$95,15,0))</f>
        <v>0</v>
      </c>
      <c r="X1322" s="6">
        <f>IF(ISERROR(VLOOKUP($U$1322,'TAR FIN'!$A$1:$O$95,15,0)),0,VLOOKUP($U$1322,'TAR FIN'!$A$1:$O$95,15,0))</f>
        <v>0</v>
      </c>
      <c r="Y1322" s="6">
        <f ca="1">('TUSD BE'!$AM$15+'TUSD BF'!$AM$15+'TUSD CVA'!$AM$15)*1</f>
        <v>31.93064187172984</v>
      </c>
      <c r="Z1322" s="6"/>
      <c r="AA1322" s="6"/>
      <c r="AB1322" s="6">
        <f>$K$1322*$V$1322</f>
        <v>84652.91</v>
      </c>
      <c r="AC1322" s="6">
        <f>$M$1322*$W$1322</f>
        <v>0</v>
      </c>
      <c r="AD1322" s="6">
        <f>$O$1322*$X$1322</f>
        <v>0</v>
      </c>
      <c r="AE1322" s="6">
        <f ca="1">$K$1322*$Y$1322</f>
        <v>94610.491865935517</v>
      </c>
      <c r="AF1322" s="6">
        <f>$M$1322*$Z$1322</f>
        <v>0</v>
      </c>
      <c r="AG1322" s="6">
        <f>$O$1322*$AA$1322</f>
        <v>0</v>
      </c>
    </row>
    <row r="1323" spans="1:33" ht="11.25" customHeight="1" x14ac:dyDescent="0.25">
      <c r="A1323" s="4" t="s">
        <v>21</v>
      </c>
      <c r="B1323" s="4" t="s">
        <v>35</v>
      </c>
      <c r="C1323" s="4" t="s">
        <v>36</v>
      </c>
      <c r="D1323" s="4" t="s">
        <v>24</v>
      </c>
      <c r="E1323" s="4" t="s">
        <v>24</v>
      </c>
      <c r="F1323" s="4" t="s">
        <v>25</v>
      </c>
      <c r="G1323" s="4" t="s">
        <v>25</v>
      </c>
      <c r="H1323" s="4" t="s">
        <v>25</v>
      </c>
      <c r="I1323" s="5">
        <v>44287</v>
      </c>
      <c r="J1323" s="6">
        <v>2890</v>
      </c>
      <c r="K1323" s="6">
        <v>2890</v>
      </c>
      <c r="L1323" s="6">
        <v>0</v>
      </c>
      <c r="M1323" s="6">
        <v>0</v>
      </c>
      <c r="N1323" s="6">
        <v>0</v>
      </c>
      <c r="O1323" s="6">
        <v>0</v>
      </c>
      <c r="P1323" s="6">
        <v>44</v>
      </c>
      <c r="Q1323" s="4" t="s">
        <v>26</v>
      </c>
      <c r="R1323" s="4">
        <v>0</v>
      </c>
      <c r="S1323" s="6">
        <v>23</v>
      </c>
      <c r="T1323" s="6">
        <v>0</v>
      </c>
      <c r="U1323" s="6">
        <v>0</v>
      </c>
      <c r="V1323" s="6">
        <f>IF(ISERROR(VLOOKUP($S$1323,'TAR FIN'!$A$1:$O$95,15,0)),0,VLOOKUP($S$1323,'TAR FIN'!$A$1:$O$95,15,0))</f>
        <v>28.57</v>
      </c>
      <c r="W1323" s="6">
        <f>IF(ISERROR(VLOOKUP($T$1323,'TAR FIN'!$A$1:$O$95,15,0)),0,VLOOKUP($T$1323,'TAR FIN'!$A$1:$O$95,15,0))</f>
        <v>0</v>
      </c>
      <c r="X1323" s="6">
        <f>IF(ISERROR(VLOOKUP($U$1323,'TAR FIN'!$A$1:$O$95,15,0)),0,VLOOKUP($U$1323,'TAR FIN'!$A$1:$O$95,15,0))</f>
        <v>0</v>
      </c>
      <c r="Y1323" s="6">
        <f ca="1">('TUSD BE'!$AM$15+'TUSD BF'!$AM$15+'TUSD CVA'!$AM$15)*1</f>
        <v>31.93064187172984</v>
      </c>
      <c r="Z1323" s="6"/>
      <c r="AA1323" s="6"/>
      <c r="AB1323" s="6">
        <f>$K$1323*$V$1323</f>
        <v>82567.3</v>
      </c>
      <c r="AC1323" s="6">
        <f>$M$1323*$W$1323</f>
        <v>0</v>
      </c>
      <c r="AD1323" s="6">
        <f>$O$1323*$X$1323</f>
        <v>0</v>
      </c>
      <c r="AE1323" s="6">
        <f ca="1">$K$1323*$Y$1323</f>
        <v>92279.555009299234</v>
      </c>
      <c r="AF1323" s="6">
        <f>$M$1323*$Z$1323</f>
        <v>0</v>
      </c>
      <c r="AG1323" s="6">
        <f>$O$1323*$AA$1323</f>
        <v>0</v>
      </c>
    </row>
    <row r="1324" spans="1:33" ht="11.25" customHeight="1" x14ac:dyDescent="0.25">
      <c r="A1324" s="4" t="s">
        <v>28</v>
      </c>
      <c r="B1324" s="4" t="s">
        <v>35</v>
      </c>
      <c r="C1324" s="4" t="s">
        <v>36</v>
      </c>
      <c r="D1324" s="4" t="s">
        <v>24</v>
      </c>
      <c r="E1324" s="4" t="s">
        <v>24</v>
      </c>
      <c r="F1324" s="4" t="s">
        <v>25</v>
      </c>
      <c r="G1324" s="4" t="s">
        <v>25</v>
      </c>
      <c r="H1324" s="4" t="s">
        <v>25</v>
      </c>
      <c r="I1324" s="5">
        <v>44287</v>
      </c>
      <c r="J1324" s="6">
        <v>57</v>
      </c>
      <c r="K1324" s="6">
        <v>57</v>
      </c>
      <c r="L1324" s="6">
        <v>0</v>
      </c>
      <c r="M1324" s="6">
        <v>0</v>
      </c>
      <c r="N1324" s="6">
        <v>0</v>
      </c>
      <c r="O1324" s="6">
        <v>0</v>
      </c>
      <c r="P1324" s="6">
        <v>1</v>
      </c>
      <c r="Q1324" s="4" t="s">
        <v>26</v>
      </c>
      <c r="R1324" s="4">
        <v>0</v>
      </c>
      <c r="S1324" s="6">
        <v>23</v>
      </c>
      <c r="T1324" s="6">
        <v>0</v>
      </c>
      <c r="U1324" s="6">
        <v>0</v>
      </c>
      <c r="V1324" s="6">
        <f>IF(ISERROR(VLOOKUP($S$1324,'TAR FIN'!$A$1:$O$95,15,0)),0,VLOOKUP($S$1324,'TAR FIN'!$A$1:$O$95,15,0))</f>
        <v>28.57</v>
      </c>
      <c r="W1324" s="6">
        <f>IF(ISERROR(VLOOKUP($T$1324,'TAR FIN'!$A$1:$O$95,15,0)),0,VLOOKUP($T$1324,'TAR FIN'!$A$1:$O$95,15,0))</f>
        <v>0</v>
      </c>
      <c r="X1324" s="6">
        <f>IF(ISERROR(VLOOKUP($U$1324,'TAR FIN'!$A$1:$O$95,15,0)),0,VLOOKUP($U$1324,'TAR FIN'!$A$1:$O$95,15,0))</f>
        <v>0</v>
      </c>
      <c r="Y1324" s="6">
        <f ca="1">('TUSD BE'!$AM$15+'TUSD BF'!$AM$15+'TUSD CVA'!$AM$15)*1</f>
        <v>31.93064187172984</v>
      </c>
      <c r="Z1324" s="6"/>
      <c r="AA1324" s="6"/>
      <c r="AB1324" s="6">
        <f>$K$1324*$V$1324</f>
        <v>1628.49</v>
      </c>
      <c r="AC1324" s="6">
        <f>$M$1324*$W$1324</f>
        <v>0</v>
      </c>
      <c r="AD1324" s="6">
        <f>$O$1324*$X$1324</f>
        <v>0</v>
      </c>
      <c r="AE1324" s="6">
        <f ca="1">$K$1324*$Y$1324</f>
        <v>1820.0465866886009</v>
      </c>
      <c r="AF1324" s="6">
        <f>$M$1324*$Z$1324</f>
        <v>0</v>
      </c>
      <c r="AG1324" s="6">
        <f>$O$1324*$AA$1324</f>
        <v>0</v>
      </c>
    </row>
    <row r="1325" spans="1:33" ht="11.25" customHeight="1" x14ac:dyDescent="0.25">
      <c r="A1325" s="4" t="s">
        <v>21</v>
      </c>
      <c r="B1325" s="4" t="s">
        <v>35</v>
      </c>
      <c r="C1325" s="4" t="s">
        <v>36</v>
      </c>
      <c r="D1325" s="4" t="s">
        <v>24</v>
      </c>
      <c r="E1325" s="4" t="s">
        <v>24</v>
      </c>
      <c r="F1325" s="4" t="s">
        <v>25</v>
      </c>
      <c r="G1325" s="4" t="s">
        <v>25</v>
      </c>
      <c r="H1325" s="4" t="s">
        <v>25</v>
      </c>
      <c r="I1325" s="5">
        <v>44317</v>
      </c>
      <c r="J1325" s="6">
        <v>2827</v>
      </c>
      <c r="K1325" s="6">
        <v>2827</v>
      </c>
      <c r="L1325" s="6">
        <v>0</v>
      </c>
      <c r="M1325" s="6">
        <v>0</v>
      </c>
      <c r="N1325" s="6">
        <v>0</v>
      </c>
      <c r="O1325" s="6">
        <v>0</v>
      </c>
      <c r="P1325" s="6">
        <v>43</v>
      </c>
      <c r="Q1325" s="4" t="s">
        <v>26</v>
      </c>
      <c r="R1325" s="4">
        <v>0</v>
      </c>
      <c r="S1325" s="6">
        <v>23</v>
      </c>
      <c r="T1325" s="6">
        <v>0</v>
      </c>
      <c r="U1325" s="6">
        <v>0</v>
      </c>
      <c r="V1325" s="6">
        <f>IF(ISERROR(VLOOKUP($S$1325,'TAR FIN'!$A$1:$O$95,15,0)),0,VLOOKUP($S$1325,'TAR FIN'!$A$1:$O$95,15,0))</f>
        <v>28.57</v>
      </c>
      <c r="W1325" s="6">
        <f>IF(ISERROR(VLOOKUP($T$1325,'TAR FIN'!$A$1:$O$95,15,0)),0,VLOOKUP($T$1325,'TAR FIN'!$A$1:$O$95,15,0))</f>
        <v>0</v>
      </c>
      <c r="X1325" s="6">
        <f>IF(ISERROR(VLOOKUP($U$1325,'TAR FIN'!$A$1:$O$95,15,0)),0,VLOOKUP($U$1325,'TAR FIN'!$A$1:$O$95,15,0))</f>
        <v>0</v>
      </c>
      <c r="Y1325" s="6">
        <f ca="1">('TUSD BE'!$AM$15+'TUSD BF'!$AM$15+'TUSD CVA'!$AM$15)*1</f>
        <v>31.93064187172984</v>
      </c>
      <c r="Z1325" s="6"/>
      <c r="AA1325" s="6"/>
      <c r="AB1325" s="6">
        <f>$K$1325*$V$1325</f>
        <v>80767.39</v>
      </c>
      <c r="AC1325" s="6">
        <f>$M$1325*$W$1325</f>
        <v>0</v>
      </c>
      <c r="AD1325" s="6">
        <f>$O$1325*$X$1325</f>
        <v>0</v>
      </c>
      <c r="AE1325" s="6">
        <f ca="1">$K$1325*$Y$1325</f>
        <v>90267.924571380252</v>
      </c>
      <c r="AF1325" s="6">
        <f>$M$1325*$Z$1325</f>
        <v>0</v>
      </c>
      <c r="AG1325" s="6">
        <f>$O$1325*$AA$1325</f>
        <v>0</v>
      </c>
    </row>
    <row r="1326" spans="1:33" ht="11.25" customHeight="1" x14ac:dyDescent="0.25">
      <c r="A1326" s="4" t="s">
        <v>28</v>
      </c>
      <c r="B1326" s="4" t="s">
        <v>35</v>
      </c>
      <c r="C1326" s="4" t="s">
        <v>36</v>
      </c>
      <c r="D1326" s="4" t="s">
        <v>24</v>
      </c>
      <c r="E1326" s="4" t="s">
        <v>24</v>
      </c>
      <c r="F1326" s="4" t="s">
        <v>25</v>
      </c>
      <c r="G1326" s="4" t="s">
        <v>25</v>
      </c>
      <c r="H1326" s="4" t="s">
        <v>25</v>
      </c>
      <c r="I1326" s="5">
        <v>44317</v>
      </c>
      <c r="J1326" s="6">
        <v>57</v>
      </c>
      <c r="K1326" s="6">
        <v>57</v>
      </c>
      <c r="L1326" s="6">
        <v>0</v>
      </c>
      <c r="M1326" s="6">
        <v>0</v>
      </c>
      <c r="N1326" s="6">
        <v>0</v>
      </c>
      <c r="O1326" s="6">
        <v>0</v>
      </c>
      <c r="P1326" s="6">
        <v>1</v>
      </c>
      <c r="Q1326" s="4" t="s">
        <v>26</v>
      </c>
      <c r="R1326" s="4">
        <v>0</v>
      </c>
      <c r="S1326" s="6">
        <v>23</v>
      </c>
      <c r="T1326" s="6">
        <v>0</v>
      </c>
      <c r="U1326" s="6">
        <v>0</v>
      </c>
      <c r="V1326" s="6">
        <f>IF(ISERROR(VLOOKUP($S$1326,'TAR FIN'!$A$1:$O$95,15,0)),0,VLOOKUP($S$1326,'TAR FIN'!$A$1:$O$95,15,0))</f>
        <v>28.57</v>
      </c>
      <c r="W1326" s="6">
        <f>IF(ISERROR(VLOOKUP($T$1326,'TAR FIN'!$A$1:$O$95,15,0)),0,VLOOKUP($T$1326,'TAR FIN'!$A$1:$O$95,15,0))</f>
        <v>0</v>
      </c>
      <c r="X1326" s="6">
        <f>IF(ISERROR(VLOOKUP($U$1326,'TAR FIN'!$A$1:$O$95,15,0)),0,VLOOKUP($U$1326,'TAR FIN'!$A$1:$O$95,15,0))</f>
        <v>0</v>
      </c>
      <c r="Y1326" s="6">
        <f ca="1">('TUSD BE'!$AM$15+'TUSD BF'!$AM$15+'TUSD CVA'!$AM$15)*1</f>
        <v>31.93064187172984</v>
      </c>
      <c r="Z1326" s="6"/>
      <c r="AA1326" s="6"/>
      <c r="AB1326" s="6">
        <f>$K$1326*$V$1326</f>
        <v>1628.49</v>
      </c>
      <c r="AC1326" s="6">
        <f>$M$1326*$W$1326</f>
        <v>0</v>
      </c>
      <c r="AD1326" s="6">
        <f>$O$1326*$X$1326</f>
        <v>0</v>
      </c>
      <c r="AE1326" s="6">
        <f ca="1">$K$1326*$Y$1326</f>
        <v>1820.0465866886009</v>
      </c>
      <c r="AF1326" s="6">
        <f>$M$1326*$Z$1326</f>
        <v>0</v>
      </c>
      <c r="AG1326" s="6">
        <f>$O$1326*$AA$1326</f>
        <v>0</v>
      </c>
    </row>
    <row r="1327" spans="1:33" ht="11.25" customHeight="1" x14ac:dyDescent="0.25">
      <c r="A1327" s="4" t="s">
        <v>21</v>
      </c>
      <c r="B1327" s="4" t="s">
        <v>35</v>
      </c>
      <c r="C1327" s="4" t="s">
        <v>36</v>
      </c>
      <c r="D1327" s="4" t="s">
        <v>24</v>
      </c>
      <c r="E1327" s="4" t="s">
        <v>24</v>
      </c>
      <c r="F1327" s="4" t="s">
        <v>25</v>
      </c>
      <c r="G1327" s="4" t="s">
        <v>25</v>
      </c>
      <c r="H1327" s="4" t="s">
        <v>25</v>
      </c>
      <c r="I1327" s="5">
        <v>44348</v>
      </c>
      <c r="J1327" s="6">
        <v>2706</v>
      </c>
      <c r="K1327" s="6">
        <v>2706</v>
      </c>
      <c r="L1327" s="6">
        <v>0</v>
      </c>
      <c r="M1327" s="6">
        <v>0</v>
      </c>
      <c r="N1327" s="6">
        <v>0</v>
      </c>
      <c r="O1327" s="6">
        <v>0</v>
      </c>
      <c r="P1327" s="6">
        <v>42</v>
      </c>
      <c r="Q1327" s="4" t="s">
        <v>26</v>
      </c>
      <c r="R1327" s="4">
        <v>0</v>
      </c>
      <c r="S1327" s="6">
        <v>23</v>
      </c>
      <c r="T1327" s="6">
        <v>0</v>
      </c>
      <c r="U1327" s="6">
        <v>0</v>
      </c>
      <c r="V1327" s="6">
        <f>IF(ISERROR(VLOOKUP($S$1327,'TAR FIN'!$A$1:$O$95,15,0)),0,VLOOKUP($S$1327,'TAR FIN'!$A$1:$O$95,15,0))</f>
        <v>28.57</v>
      </c>
      <c r="W1327" s="6">
        <f>IF(ISERROR(VLOOKUP($T$1327,'TAR FIN'!$A$1:$O$95,15,0)),0,VLOOKUP($T$1327,'TAR FIN'!$A$1:$O$95,15,0))</f>
        <v>0</v>
      </c>
      <c r="X1327" s="6">
        <f>IF(ISERROR(VLOOKUP($U$1327,'TAR FIN'!$A$1:$O$95,15,0)),0,VLOOKUP($U$1327,'TAR FIN'!$A$1:$O$95,15,0))</f>
        <v>0</v>
      </c>
      <c r="Y1327" s="6">
        <f ca="1">('TUSD BE'!$AM$15+'TUSD BF'!$AM$15+'TUSD CVA'!$AM$15)*1</f>
        <v>31.93064187172984</v>
      </c>
      <c r="Z1327" s="6"/>
      <c r="AA1327" s="6"/>
      <c r="AB1327" s="6">
        <f>$K$1327*$V$1327</f>
        <v>77310.42</v>
      </c>
      <c r="AC1327" s="6">
        <f>$M$1327*$W$1327</f>
        <v>0</v>
      </c>
      <c r="AD1327" s="6">
        <f>$O$1327*$X$1327</f>
        <v>0</v>
      </c>
      <c r="AE1327" s="6">
        <f ca="1">$K$1327*$Y$1327</f>
        <v>86404.316904900945</v>
      </c>
      <c r="AF1327" s="6">
        <f>$M$1327*$Z$1327</f>
        <v>0</v>
      </c>
      <c r="AG1327" s="6">
        <f>$O$1327*$AA$1327</f>
        <v>0</v>
      </c>
    </row>
    <row r="1328" spans="1:33" ht="11.25" customHeight="1" x14ac:dyDescent="0.25">
      <c r="A1328" s="4" t="s">
        <v>28</v>
      </c>
      <c r="B1328" s="4" t="s">
        <v>35</v>
      </c>
      <c r="C1328" s="4" t="s">
        <v>36</v>
      </c>
      <c r="D1328" s="4" t="s">
        <v>24</v>
      </c>
      <c r="E1328" s="4" t="s">
        <v>24</v>
      </c>
      <c r="F1328" s="4" t="s">
        <v>25</v>
      </c>
      <c r="G1328" s="4" t="s">
        <v>25</v>
      </c>
      <c r="H1328" s="4" t="s">
        <v>25</v>
      </c>
      <c r="I1328" s="5">
        <v>44348</v>
      </c>
      <c r="J1328" s="6">
        <v>64</v>
      </c>
      <c r="K1328" s="6">
        <v>64</v>
      </c>
      <c r="L1328" s="6">
        <v>0</v>
      </c>
      <c r="M1328" s="6">
        <v>0</v>
      </c>
      <c r="N1328" s="6">
        <v>0</v>
      </c>
      <c r="O1328" s="6">
        <v>0</v>
      </c>
      <c r="P1328" s="6">
        <v>1</v>
      </c>
      <c r="Q1328" s="4" t="s">
        <v>26</v>
      </c>
      <c r="R1328" s="4">
        <v>0</v>
      </c>
      <c r="S1328" s="6">
        <v>23</v>
      </c>
      <c r="T1328" s="6">
        <v>0</v>
      </c>
      <c r="U1328" s="6">
        <v>0</v>
      </c>
      <c r="V1328" s="6">
        <f>IF(ISERROR(VLOOKUP($S$1328,'TAR FIN'!$A$1:$O$95,15,0)),0,VLOOKUP($S$1328,'TAR FIN'!$A$1:$O$95,15,0))</f>
        <v>28.57</v>
      </c>
      <c r="W1328" s="6">
        <f>IF(ISERROR(VLOOKUP($T$1328,'TAR FIN'!$A$1:$O$95,15,0)),0,VLOOKUP($T$1328,'TAR FIN'!$A$1:$O$95,15,0))</f>
        <v>0</v>
      </c>
      <c r="X1328" s="6">
        <f>IF(ISERROR(VLOOKUP($U$1328,'TAR FIN'!$A$1:$O$95,15,0)),0,VLOOKUP($U$1328,'TAR FIN'!$A$1:$O$95,15,0))</f>
        <v>0</v>
      </c>
      <c r="Y1328" s="6">
        <f ca="1">('TUSD BE'!$AM$15+'TUSD BF'!$AM$15+'TUSD CVA'!$AM$15)*1</f>
        <v>31.93064187172984</v>
      </c>
      <c r="Z1328" s="6"/>
      <c r="AA1328" s="6"/>
      <c r="AB1328" s="6">
        <f>$K$1328*$V$1328</f>
        <v>1828.48</v>
      </c>
      <c r="AC1328" s="6">
        <f>$M$1328*$W$1328</f>
        <v>0</v>
      </c>
      <c r="AD1328" s="6">
        <f>$O$1328*$X$1328</f>
        <v>0</v>
      </c>
      <c r="AE1328" s="6">
        <f ca="1">$K$1328*$Y$1328</f>
        <v>2043.5610797907098</v>
      </c>
      <c r="AF1328" s="6">
        <f>$M$1328*$Z$1328</f>
        <v>0</v>
      </c>
      <c r="AG1328" s="6">
        <f>$O$1328*$AA$1328</f>
        <v>0</v>
      </c>
    </row>
    <row r="1329" spans="1:33" ht="11.25" customHeight="1" x14ac:dyDescent="0.25">
      <c r="A1329" s="4" t="s">
        <v>21</v>
      </c>
      <c r="B1329" s="4" t="s">
        <v>35</v>
      </c>
      <c r="C1329" s="4" t="s">
        <v>36</v>
      </c>
      <c r="D1329" s="4" t="s">
        <v>24</v>
      </c>
      <c r="E1329" s="4" t="s">
        <v>24</v>
      </c>
      <c r="F1329" s="4" t="s">
        <v>25</v>
      </c>
      <c r="G1329" s="4" t="s">
        <v>25</v>
      </c>
      <c r="H1329" s="4" t="s">
        <v>25</v>
      </c>
      <c r="I1329" s="5">
        <v>44378</v>
      </c>
      <c r="J1329" s="6">
        <v>2727</v>
      </c>
      <c r="K1329" s="6">
        <v>2727</v>
      </c>
      <c r="L1329" s="6">
        <v>0</v>
      </c>
      <c r="M1329" s="6">
        <v>0</v>
      </c>
      <c r="N1329" s="6">
        <v>0</v>
      </c>
      <c r="O1329" s="6">
        <v>0</v>
      </c>
      <c r="P1329" s="6">
        <v>42</v>
      </c>
      <c r="Q1329" s="4" t="s">
        <v>26</v>
      </c>
      <c r="R1329" s="4">
        <v>0</v>
      </c>
      <c r="S1329" s="6">
        <v>23</v>
      </c>
      <c r="T1329" s="6">
        <v>0</v>
      </c>
      <c r="U1329" s="6">
        <v>0</v>
      </c>
      <c r="V1329" s="6">
        <f>IF(ISERROR(VLOOKUP($S$1329,'TAR FIN'!$A$1:$O$95,15,0)),0,VLOOKUP($S$1329,'TAR FIN'!$A$1:$O$95,15,0))</f>
        <v>28.57</v>
      </c>
      <c r="W1329" s="6">
        <f>IF(ISERROR(VLOOKUP($T$1329,'TAR FIN'!$A$1:$O$95,15,0)),0,VLOOKUP($T$1329,'TAR FIN'!$A$1:$O$95,15,0))</f>
        <v>0</v>
      </c>
      <c r="X1329" s="6">
        <f>IF(ISERROR(VLOOKUP($U$1329,'TAR FIN'!$A$1:$O$95,15,0)),0,VLOOKUP($U$1329,'TAR FIN'!$A$1:$O$95,15,0))</f>
        <v>0</v>
      </c>
      <c r="Y1329" s="6">
        <f ca="1">('TUSD BE'!$AM$15+'TUSD BF'!$AM$15+'TUSD CVA'!$AM$15)*1</f>
        <v>31.93064187172984</v>
      </c>
      <c r="Z1329" s="6"/>
      <c r="AA1329" s="6"/>
      <c r="AB1329" s="6">
        <f>$K$1329*$V$1329</f>
        <v>77910.39</v>
      </c>
      <c r="AC1329" s="6">
        <f>$M$1329*$W$1329</f>
        <v>0</v>
      </c>
      <c r="AD1329" s="6">
        <f>$O$1329*$X$1329</f>
        <v>0</v>
      </c>
      <c r="AE1329" s="6">
        <f ca="1">$K$1329*$Y$1329</f>
        <v>87074.860384207277</v>
      </c>
      <c r="AF1329" s="6">
        <f>$M$1329*$Z$1329</f>
        <v>0</v>
      </c>
      <c r="AG1329" s="6">
        <f>$O$1329*$AA$1329</f>
        <v>0</v>
      </c>
    </row>
    <row r="1330" spans="1:33" ht="11.25" customHeight="1" x14ac:dyDescent="0.25">
      <c r="A1330" s="4" t="s">
        <v>28</v>
      </c>
      <c r="B1330" s="4" t="s">
        <v>35</v>
      </c>
      <c r="C1330" s="4" t="s">
        <v>36</v>
      </c>
      <c r="D1330" s="4" t="s">
        <v>24</v>
      </c>
      <c r="E1330" s="4" t="s">
        <v>24</v>
      </c>
      <c r="F1330" s="4" t="s">
        <v>25</v>
      </c>
      <c r="G1330" s="4" t="s">
        <v>25</v>
      </c>
      <c r="H1330" s="4" t="s">
        <v>25</v>
      </c>
      <c r="I1330" s="5">
        <v>44378</v>
      </c>
      <c r="J1330" s="6">
        <v>65</v>
      </c>
      <c r="K1330" s="6">
        <v>65</v>
      </c>
      <c r="L1330" s="6">
        <v>0</v>
      </c>
      <c r="M1330" s="6">
        <v>0</v>
      </c>
      <c r="N1330" s="6">
        <v>0</v>
      </c>
      <c r="O1330" s="6">
        <v>0</v>
      </c>
      <c r="P1330" s="6">
        <v>1</v>
      </c>
      <c r="Q1330" s="4" t="s">
        <v>26</v>
      </c>
      <c r="R1330" s="4">
        <v>0</v>
      </c>
      <c r="S1330" s="6">
        <v>23</v>
      </c>
      <c r="T1330" s="6">
        <v>0</v>
      </c>
      <c r="U1330" s="6">
        <v>0</v>
      </c>
      <c r="V1330" s="6">
        <f>IF(ISERROR(VLOOKUP($S$1330,'TAR FIN'!$A$1:$O$95,15,0)),0,VLOOKUP($S$1330,'TAR FIN'!$A$1:$O$95,15,0))</f>
        <v>28.57</v>
      </c>
      <c r="W1330" s="6">
        <f>IF(ISERROR(VLOOKUP($T$1330,'TAR FIN'!$A$1:$O$95,15,0)),0,VLOOKUP($T$1330,'TAR FIN'!$A$1:$O$95,15,0))</f>
        <v>0</v>
      </c>
      <c r="X1330" s="6">
        <f>IF(ISERROR(VLOOKUP($U$1330,'TAR FIN'!$A$1:$O$95,15,0)),0,VLOOKUP($U$1330,'TAR FIN'!$A$1:$O$95,15,0))</f>
        <v>0</v>
      </c>
      <c r="Y1330" s="6">
        <f ca="1">('TUSD BE'!$AM$15+'TUSD BF'!$AM$15+'TUSD CVA'!$AM$15)*1</f>
        <v>31.93064187172984</v>
      </c>
      <c r="Z1330" s="6"/>
      <c r="AA1330" s="6"/>
      <c r="AB1330" s="6">
        <f>$K$1330*$V$1330</f>
        <v>1857.05</v>
      </c>
      <c r="AC1330" s="6">
        <f>$M$1330*$W$1330</f>
        <v>0</v>
      </c>
      <c r="AD1330" s="6">
        <f>$O$1330*$X$1330</f>
        <v>0</v>
      </c>
      <c r="AE1330" s="6">
        <f ca="1">$K$1330*$Y$1330</f>
        <v>2075.4917216624394</v>
      </c>
      <c r="AF1330" s="6">
        <f>$M$1330*$Z$1330</f>
        <v>0</v>
      </c>
      <c r="AG1330" s="6">
        <f>$O$1330*$AA$1330</f>
        <v>0</v>
      </c>
    </row>
    <row r="1331" spans="1:33" ht="11.25" customHeight="1" x14ac:dyDescent="0.25">
      <c r="A1331" s="4" t="s">
        <v>21</v>
      </c>
      <c r="B1331" s="4" t="s">
        <v>35</v>
      </c>
      <c r="C1331" s="4" t="s">
        <v>36</v>
      </c>
      <c r="D1331" s="4" t="s">
        <v>24</v>
      </c>
      <c r="E1331" s="4" t="s">
        <v>24</v>
      </c>
      <c r="F1331" s="4" t="s">
        <v>25</v>
      </c>
      <c r="G1331" s="4" t="s">
        <v>25</v>
      </c>
      <c r="H1331" s="4" t="s">
        <v>25</v>
      </c>
      <c r="I1331" s="5">
        <v>44409</v>
      </c>
      <c r="J1331" s="6">
        <v>2708</v>
      </c>
      <c r="K1331" s="6">
        <v>2708</v>
      </c>
      <c r="L1331" s="6">
        <v>0</v>
      </c>
      <c r="M1331" s="6">
        <v>0</v>
      </c>
      <c r="N1331" s="6">
        <v>0</v>
      </c>
      <c r="O1331" s="6">
        <v>0</v>
      </c>
      <c r="P1331" s="6">
        <v>42</v>
      </c>
      <c r="Q1331" s="4" t="s">
        <v>26</v>
      </c>
      <c r="R1331" s="4">
        <v>0</v>
      </c>
      <c r="S1331" s="6">
        <v>23</v>
      </c>
      <c r="T1331" s="6">
        <v>0</v>
      </c>
      <c r="U1331" s="6">
        <v>0</v>
      </c>
      <c r="V1331" s="6">
        <f>IF(ISERROR(VLOOKUP($S$1331,'TAR FIN'!$A$1:$O$95,15,0)),0,VLOOKUP($S$1331,'TAR FIN'!$A$1:$O$95,15,0))</f>
        <v>28.57</v>
      </c>
      <c r="W1331" s="6">
        <f>IF(ISERROR(VLOOKUP($T$1331,'TAR FIN'!$A$1:$O$95,15,0)),0,VLOOKUP($T$1331,'TAR FIN'!$A$1:$O$95,15,0))</f>
        <v>0</v>
      </c>
      <c r="X1331" s="6">
        <f>IF(ISERROR(VLOOKUP($U$1331,'TAR FIN'!$A$1:$O$95,15,0)),0,VLOOKUP($U$1331,'TAR FIN'!$A$1:$O$95,15,0))</f>
        <v>0</v>
      </c>
      <c r="Y1331" s="6">
        <f ca="1">('TUSD BE'!$AM$15+'TUSD BF'!$AM$15+'TUSD CVA'!$AM$15)*1</f>
        <v>31.93064187172984</v>
      </c>
      <c r="Z1331" s="6"/>
      <c r="AA1331" s="6"/>
      <c r="AB1331" s="6">
        <f>$K$1331*$V$1331</f>
        <v>77367.56</v>
      </c>
      <c r="AC1331" s="6">
        <f>$M$1331*$W$1331</f>
        <v>0</v>
      </c>
      <c r="AD1331" s="6">
        <f>$O$1331*$X$1331</f>
        <v>0</v>
      </c>
      <c r="AE1331" s="6">
        <f ca="1">$K$1331*$Y$1331</f>
        <v>86468.178188644408</v>
      </c>
      <c r="AF1331" s="6">
        <f>$M$1331*$Z$1331</f>
        <v>0</v>
      </c>
      <c r="AG1331" s="6">
        <f>$O$1331*$AA$1331</f>
        <v>0</v>
      </c>
    </row>
    <row r="1332" spans="1:33" ht="11.25" customHeight="1" x14ac:dyDescent="0.25">
      <c r="A1332" s="4" t="s">
        <v>28</v>
      </c>
      <c r="B1332" s="4" t="s">
        <v>35</v>
      </c>
      <c r="C1332" s="4" t="s">
        <v>36</v>
      </c>
      <c r="D1332" s="4" t="s">
        <v>24</v>
      </c>
      <c r="E1332" s="4" t="s">
        <v>24</v>
      </c>
      <c r="F1332" s="4" t="s">
        <v>25</v>
      </c>
      <c r="G1332" s="4" t="s">
        <v>25</v>
      </c>
      <c r="H1332" s="4" t="s">
        <v>25</v>
      </c>
      <c r="I1332" s="5">
        <v>44409</v>
      </c>
      <c r="J1332" s="6">
        <v>73</v>
      </c>
      <c r="K1332" s="6">
        <v>73</v>
      </c>
      <c r="L1332" s="6">
        <v>0</v>
      </c>
      <c r="M1332" s="6">
        <v>0</v>
      </c>
      <c r="N1332" s="6">
        <v>0</v>
      </c>
      <c r="O1332" s="6">
        <v>0</v>
      </c>
      <c r="P1332" s="6">
        <v>1</v>
      </c>
      <c r="Q1332" s="4" t="s">
        <v>26</v>
      </c>
      <c r="R1332" s="4">
        <v>0</v>
      </c>
      <c r="S1332" s="6">
        <v>23</v>
      </c>
      <c r="T1332" s="6">
        <v>0</v>
      </c>
      <c r="U1332" s="6">
        <v>0</v>
      </c>
      <c r="V1332" s="6">
        <f>IF(ISERROR(VLOOKUP($S$1332,'TAR FIN'!$A$1:$O$95,15,0)),0,VLOOKUP($S$1332,'TAR FIN'!$A$1:$O$95,15,0))</f>
        <v>28.57</v>
      </c>
      <c r="W1332" s="6">
        <f>IF(ISERROR(VLOOKUP($T$1332,'TAR FIN'!$A$1:$O$95,15,0)),0,VLOOKUP($T$1332,'TAR FIN'!$A$1:$O$95,15,0))</f>
        <v>0</v>
      </c>
      <c r="X1332" s="6">
        <f>IF(ISERROR(VLOOKUP($U$1332,'TAR FIN'!$A$1:$O$95,15,0)),0,VLOOKUP($U$1332,'TAR FIN'!$A$1:$O$95,15,0))</f>
        <v>0</v>
      </c>
      <c r="Y1332" s="6">
        <f ca="1">('TUSD BE'!$AM$15+'TUSD BF'!$AM$15+'TUSD CVA'!$AM$15)*1</f>
        <v>31.93064187172984</v>
      </c>
      <c r="Z1332" s="6"/>
      <c r="AA1332" s="6"/>
      <c r="AB1332" s="6">
        <f>$K$1332*$V$1332</f>
        <v>2085.61</v>
      </c>
      <c r="AC1332" s="6">
        <f>$M$1332*$W$1332</f>
        <v>0</v>
      </c>
      <c r="AD1332" s="6">
        <f>$O$1332*$X$1332</f>
        <v>0</v>
      </c>
      <c r="AE1332" s="6">
        <f ca="1">$K$1332*$Y$1332</f>
        <v>2330.9368566362782</v>
      </c>
      <c r="AF1332" s="6">
        <f>$M$1332*$Z$1332</f>
        <v>0</v>
      </c>
      <c r="AG1332" s="6">
        <f>$O$1332*$AA$1332</f>
        <v>0</v>
      </c>
    </row>
    <row r="1333" spans="1:33" ht="11.25" customHeight="1" x14ac:dyDescent="0.25">
      <c r="A1333" s="4" t="s">
        <v>21</v>
      </c>
      <c r="B1333" s="4" t="s">
        <v>35</v>
      </c>
      <c r="C1333" s="4" t="s">
        <v>36</v>
      </c>
      <c r="D1333" s="4" t="s">
        <v>24</v>
      </c>
      <c r="E1333" s="4" t="s">
        <v>24</v>
      </c>
      <c r="F1333" s="4" t="s">
        <v>25</v>
      </c>
      <c r="G1333" s="4" t="s">
        <v>25</v>
      </c>
      <c r="H1333" s="4" t="s">
        <v>25</v>
      </c>
      <c r="I1333" s="5">
        <v>44440</v>
      </c>
      <c r="J1333" s="6">
        <v>2710</v>
      </c>
      <c r="K1333" s="6">
        <v>2710</v>
      </c>
      <c r="L1333" s="6">
        <v>0</v>
      </c>
      <c r="M1333" s="6">
        <v>0</v>
      </c>
      <c r="N1333" s="6">
        <v>0</v>
      </c>
      <c r="O1333" s="6">
        <v>0</v>
      </c>
      <c r="P1333" s="6">
        <v>42</v>
      </c>
      <c r="Q1333" s="4" t="s">
        <v>26</v>
      </c>
      <c r="R1333" s="4">
        <v>0</v>
      </c>
      <c r="S1333" s="6">
        <v>23</v>
      </c>
      <c r="T1333" s="6">
        <v>0</v>
      </c>
      <c r="U1333" s="6">
        <v>0</v>
      </c>
      <c r="V1333" s="6">
        <f>IF(ISERROR(VLOOKUP($S$1333,'TAR FIN'!$A$1:$O$95,15,0)),0,VLOOKUP($S$1333,'TAR FIN'!$A$1:$O$95,15,0))</f>
        <v>28.57</v>
      </c>
      <c r="W1333" s="6">
        <f>IF(ISERROR(VLOOKUP($T$1333,'TAR FIN'!$A$1:$O$95,15,0)),0,VLOOKUP($T$1333,'TAR FIN'!$A$1:$O$95,15,0))</f>
        <v>0</v>
      </c>
      <c r="X1333" s="6">
        <f>IF(ISERROR(VLOOKUP($U$1333,'TAR FIN'!$A$1:$O$95,15,0)),0,VLOOKUP($U$1333,'TAR FIN'!$A$1:$O$95,15,0))</f>
        <v>0</v>
      </c>
      <c r="Y1333" s="6">
        <f ca="1">('TUSD BE'!$AM$15+'TUSD BF'!$AM$15+'TUSD CVA'!$AM$15)*1</f>
        <v>31.93064187172984</v>
      </c>
      <c r="Z1333" s="6"/>
      <c r="AA1333" s="6"/>
      <c r="AB1333" s="6">
        <f>$K$1333*$V$1333</f>
        <v>77424.7</v>
      </c>
      <c r="AC1333" s="6">
        <f>$M$1333*$W$1333</f>
        <v>0</v>
      </c>
      <c r="AD1333" s="6">
        <f>$O$1333*$X$1333</f>
        <v>0</v>
      </c>
      <c r="AE1333" s="6">
        <f ca="1">$K$1333*$Y$1333</f>
        <v>86532.039472387871</v>
      </c>
      <c r="AF1333" s="6">
        <f>$M$1333*$Z$1333</f>
        <v>0</v>
      </c>
      <c r="AG1333" s="6">
        <f>$O$1333*$AA$1333</f>
        <v>0</v>
      </c>
    </row>
    <row r="1334" spans="1:33" ht="11.25" customHeight="1" x14ac:dyDescent="0.25">
      <c r="A1334" s="4" t="s">
        <v>28</v>
      </c>
      <c r="B1334" s="4" t="s">
        <v>35</v>
      </c>
      <c r="C1334" s="4" t="s">
        <v>36</v>
      </c>
      <c r="D1334" s="4" t="s">
        <v>24</v>
      </c>
      <c r="E1334" s="4" t="s">
        <v>24</v>
      </c>
      <c r="F1334" s="4" t="s">
        <v>25</v>
      </c>
      <c r="G1334" s="4" t="s">
        <v>25</v>
      </c>
      <c r="H1334" s="4" t="s">
        <v>25</v>
      </c>
      <c r="I1334" s="5">
        <v>44440</v>
      </c>
      <c r="J1334" s="6">
        <v>73</v>
      </c>
      <c r="K1334" s="6">
        <v>73</v>
      </c>
      <c r="L1334" s="6">
        <v>0</v>
      </c>
      <c r="M1334" s="6">
        <v>0</v>
      </c>
      <c r="N1334" s="6">
        <v>0</v>
      </c>
      <c r="O1334" s="6">
        <v>0</v>
      </c>
      <c r="P1334" s="6">
        <v>1</v>
      </c>
      <c r="Q1334" s="4" t="s">
        <v>26</v>
      </c>
      <c r="R1334" s="4">
        <v>0</v>
      </c>
      <c r="S1334" s="6">
        <v>23</v>
      </c>
      <c r="T1334" s="6">
        <v>0</v>
      </c>
      <c r="U1334" s="6">
        <v>0</v>
      </c>
      <c r="V1334" s="6">
        <f>IF(ISERROR(VLOOKUP($S$1334,'TAR FIN'!$A$1:$O$95,15,0)),0,VLOOKUP($S$1334,'TAR FIN'!$A$1:$O$95,15,0))</f>
        <v>28.57</v>
      </c>
      <c r="W1334" s="6">
        <f>IF(ISERROR(VLOOKUP($T$1334,'TAR FIN'!$A$1:$O$95,15,0)),0,VLOOKUP($T$1334,'TAR FIN'!$A$1:$O$95,15,0))</f>
        <v>0</v>
      </c>
      <c r="X1334" s="6">
        <f>IF(ISERROR(VLOOKUP($U$1334,'TAR FIN'!$A$1:$O$95,15,0)),0,VLOOKUP($U$1334,'TAR FIN'!$A$1:$O$95,15,0))</f>
        <v>0</v>
      </c>
      <c r="Y1334" s="6">
        <f ca="1">('TUSD BE'!$AM$15+'TUSD BF'!$AM$15+'TUSD CVA'!$AM$15)*1</f>
        <v>31.93064187172984</v>
      </c>
      <c r="Z1334" s="6"/>
      <c r="AA1334" s="6"/>
      <c r="AB1334" s="6">
        <f>$K$1334*$V$1334</f>
        <v>2085.61</v>
      </c>
      <c r="AC1334" s="6">
        <f>$M$1334*$W$1334</f>
        <v>0</v>
      </c>
      <c r="AD1334" s="6">
        <f>$O$1334*$X$1334</f>
        <v>0</v>
      </c>
      <c r="AE1334" s="6">
        <f ca="1">$K$1334*$Y$1334</f>
        <v>2330.9368566362782</v>
      </c>
      <c r="AF1334" s="6">
        <f>$M$1334*$Z$1334</f>
        <v>0</v>
      </c>
      <c r="AG1334" s="6">
        <f>$O$1334*$AA$1334</f>
        <v>0</v>
      </c>
    </row>
    <row r="1335" spans="1:33" ht="11.25" customHeight="1" x14ac:dyDescent="0.25">
      <c r="A1335" s="4" t="s">
        <v>59</v>
      </c>
      <c r="B1335" s="4" t="s">
        <v>35</v>
      </c>
      <c r="C1335" s="4" t="s">
        <v>36</v>
      </c>
      <c r="D1335" s="4" t="s">
        <v>24</v>
      </c>
      <c r="E1335" s="4" t="s">
        <v>24</v>
      </c>
      <c r="F1335" s="4" t="s">
        <v>25</v>
      </c>
      <c r="G1335" s="4" t="s">
        <v>25</v>
      </c>
      <c r="H1335" s="4" t="s">
        <v>25</v>
      </c>
      <c r="I1335" s="5">
        <v>44470</v>
      </c>
      <c r="J1335" s="6">
        <v>2710</v>
      </c>
      <c r="K1335" s="6">
        <v>2710</v>
      </c>
      <c r="L1335" s="6">
        <v>0</v>
      </c>
      <c r="M1335" s="6">
        <v>0</v>
      </c>
      <c r="N1335" s="6">
        <v>0</v>
      </c>
      <c r="O1335" s="6">
        <v>0</v>
      </c>
      <c r="P1335" s="6">
        <v>42</v>
      </c>
      <c r="Q1335" s="4" t="s">
        <v>26</v>
      </c>
      <c r="R1335" s="4">
        <v>0</v>
      </c>
      <c r="S1335" s="6">
        <v>23</v>
      </c>
      <c r="T1335" s="6">
        <v>0</v>
      </c>
      <c r="U1335" s="6">
        <v>0</v>
      </c>
      <c r="V1335" s="6">
        <f>IF(ISERROR(VLOOKUP($S$1335,'TAR FIN'!$A$1:$O$95,15,0)),0,VLOOKUP($S$1335,'TAR FIN'!$A$1:$O$95,15,0))</f>
        <v>28.57</v>
      </c>
      <c r="W1335" s="6">
        <f>IF(ISERROR(VLOOKUP($T$1335,'TAR FIN'!$A$1:$O$95,15,0)),0,VLOOKUP($T$1335,'TAR FIN'!$A$1:$O$95,15,0))</f>
        <v>0</v>
      </c>
      <c r="X1335" s="6">
        <f>IF(ISERROR(VLOOKUP($U$1335,'TAR FIN'!$A$1:$O$95,15,0)),0,VLOOKUP($U$1335,'TAR FIN'!$A$1:$O$95,15,0))</f>
        <v>0</v>
      </c>
      <c r="Y1335" s="6">
        <f ca="1">('TUSD BE'!$AM$15+'TUSD BF'!$AM$15+'TUSD CVA'!$AM$15)*1</f>
        <v>31.93064187172984</v>
      </c>
      <c r="Z1335" s="6"/>
      <c r="AA1335" s="6"/>
      <c r="AB1335" s="6">
        <f>$K$1335*$V$1335</f>
        <v>77424.7</v>
      </c>
      <c r="AC1335" s="6">
        <f>$M$1335*$W$1335</f>
        <v>0</v>
      </c>
      <c r="AD1335" s="6">
        <f>$O$1335*$X$1335</f>
        <v>0</v>
      </c>
      <c r="AE1335" s="6">
        <f ca="1">$K$1335*$Y$1335</f>
        <v>86532.039472387871</v>
      </c>
      <c r="AF1335" s="6">
        <f>$M$1335*$Z$1335</f>
        <v>0</v>
      </c>
      <c r="AG1335" s="6">
        <f>$O$1335*$AA$1335</f>
        <v>0</v>
      </c>
    </row>
    <row r="1336" spans="1:33" ht="11.25" customHeight="1" x14ac:dyDescent="0.25">
      <c r="A1336" s="4" t="s">
        <v>59</v>
      </c>
      <c r="B1336" s="4" t="s">
        <v>35</v>
      </c>
      <c r="C1336" s="4" t="s">
        <v>36</v>
      </c>
      <c r="D1336" s="4" t="s">
        <v>24</v>
      </c>
      <c r="E1336" s="4" t="s">
        <v>24</v>
      </c>
      <c r="F1336" s="4" t="s">
        <v>25</v>
      </c>
      <c r="G1336" s="4" t="s">
        <v>25</v>
      </c>
      <c r="H1336" s="4" t="s">
        <v>25</v>
      </c>
      <c r="I1336" s="5">
        <v>44470</v>
      </c>
      <c r="J1336" s="6">
        <v>73</v>
      </c>
      <c r="K1336" s="6">
        <v>73</v>
      </c>
      <c r="L1336" s="6">
        <v>0</v>
      </c>
      <c r="M1336" s="6">
        <v>0</v>
      </c>
      <c r="N1336" s="6">
        <v>0</v>
      </c>
      <c r="O1336" s="6">
        <v>0</v>
      </c>
      <c r="P1336" s="6">
        <v>1</v>
      </c>
      <c r="Q1336" s="4" t="s">
        <v>26</v>
      </c>
      <c r="R1336" s="4">
        <v>0</v>
      </c>
      <c r="S1336" s="6">
        <v>23</v>
      </c>
      <c r="T1336" s="6">
        <v>0</v>
      </c>
      <c r="U1336" s="6">
        <v>0</v>
      </c>
      <c r="V1336" s="6">
        <f>IF(ISERROR(VLOOKUP($S$1336,'TAR FIN'!$A$1:$O$95,15,0)),0,VLOOKUP($S$1336,'TAR FIN'!$A$1:$O$95,15,0))</f>
        <v>28.57</v>
      </c>
      <c r="W1336" s="6">
        <f>IF(ISERROR(VLOOKUP($T$1336,'TAR FIN'!$A$1:$O$95,15,0)),0,VLOOKUP($T$1336,'TAR FIN'!$A$1:$O$95,15,0))</f>
        <v>0</v>
      </c>
      <c r="X1336" s="6">
        <f>IF(ISERROR(VLOOKUP($U$1336,'TAR FIN'!$A$1:$O$95,15,0)),0,VLOOKUP($U$1336,'TAR FIN'!$A$1:$O$95,15,0))</f>
        <v>0</v>
      </c>
      <c r="Y1336" s="6">
        <f ca="1">('TUSD BE'!$AM$15+'TUSD BF'!$AM$15+'TUSD CVA'!$AM$15)*1</f>
        <v>31.93064187172984</v>
      </c>
      <c r="Z1336" s="6"/>
      <c r="AA1336" s="6"/>
      <c r="AB1336" s="6">
        <f>$K$1336*$V$1336</f>
        <v>2085.61</v>
      </c>
      <c r="AC1336" s="6">
        <f>$M$1336*$W$1336</f>
        <v>0</v>
      </c>
      <c r="AD1336" s="6">
        <f>$O$1336*$X$1336</f>
        <v>0</v>
      </c>
      <c r="AE1336" s="6">
        <f ca="1">$K$1336*$Y$1336</f>
        <v>2330.9368566362782</v>
      </c>
      <c r="AF1336" s="6">
        <f>$M$1336*$Z$1336</f>
        <v>0</v>
      </c>
      <c r="AG1336" s="6">
        <f>$O$1336*$AA$1336</f>
        <v>0</v>
      </c>
    </row>
    <row r="1337" spans="1:33" ht="11.25" customHeight="1" x14ac:dyDescent="0.25">
      <c r="A1337" s="4" t="s">
        <v>21</v>
      </c>
      <c r="B1337" s="4" t="s">
        <v>35</v>
      </c>
      <c r="C1337" s="4" t="s">
        <v>36</v>
      </c>
      <c r="D1337" s="4" t="s">
        <v>24</v>
      </c>
      <c r="E1337" s="4" t="s">
        <v>24</v>
      </c>
      <c r="F1337" s="4" t="s">
        <v>25</v>
      </c>
      <c r="G1337" s="4" t="s">
        <v>25</v>
      </c>
      <c r="H1337" s="4" t="s">
        <v>37</v>
      </c>
      <c r="I1337" s="5">
        <v>44136</v>
      </c>
      <c r="J1337" s="6">
        <v>0</v>
      </c>
      <c r="K1337" s="6">
        <v>0</v>
      </c>
      <c r="L1337" s="6">
        <v>34.767000000000003</v>
      </c>
      <c r="M1337" s="6">
        <v>34.767000000000003</v>
      </c>
      <c r="N1337" s="6">
        <v>34.767000000000003</v>
      </c>
      <c r="O1337" s="6">
        <v>34.767000000000003</v>
      </c>
      <c r="P1337" s="6">
        <v>0</v>
      </c>
      <c r="Q1337" s="4" t="s">
        <v>26</v>
      </c>
      <c r="R1337" s="4">
        <v>0</v>
      </c>
      <c r="S1337" s="6">
        <v>0</v>
      </c>
      <c r="T1337" s="6">
        <v>24</v>
      </c>
      <c r="U1337" s="6">
        <v>66</v>
      </c>
      <c r="V1337" s="6">
        <f>IF(ISERROR(VLOOKUP($S$1337,'TAR FIN'!$A$1:$O$95,15,0)),0,VLOOKUP($S$1337,'TAR FIN'!$A$1:$O$95,15,0))</f>
        <v>0</v>
      </c>
      <c r="W1337" s="6">
        <f>IF(ISERROR(VLOOKUP($T$1337,'TAR FIN'!$A$1:$O$95,15,0)),0,VLOOKUP($T$1337,'TAR FIN'!$A$1:$O$95,15,0))</f>
        <v>1434.79</v>
      </c>
      <c r="X1337" s="6">
        <f>IF(ISERROR(VLOOKUP($U$1337,'TAR FIN'!$A$1:$O$95,15,0)),0,VLOOKUP($U$1337,'TAR FIN'!$A$1:$O$95,15,0))</f>
        <v>389.28</v>
      </c>
      <c r="Y1337" s="6"/>
      <c r="Z1337" s="6">
        <f ca="1">('TUSD BE'!$AM$16+'TUSD BF'!$AM$16+'TUSD CVA'!$AM$16)*1</f>
        <v>1605.9916314233351</v>
      </c>
      <c r="AA1337" s="6">
        <f>('TE BE'!$AA$7+'TE BF'!$AA$7+'TE CVA'!$AA$7)*1</f>
        <v>454.3285679284046</v>
      </c>
      <c r="AB1337" s="6">
        <f>$K$1337*$V$1337</f>
        <v>0</v>
      </c>
      <c r="AC1337" s="6">
        <f>$M$1337*$W$1337</f>
        <v>49883.343930000003</v>
      </c>
      <c r="AD1337" s="6">
        <f>$O$1337*$X$1337</f>
        <v>13534.097760000001</v>
      </c>
      <c r="AE1337" s="6">
        <f>$K$1337*$Y$1337</f>
        <v>0</v>
      </c>
      <c r="AF1337" s="6">
        <f ca="1">$M$1337*$Z$1337</f>
        <v>55835.511049695095</v>
      </c>
      <c r="AG1337" s="6">
        <f>$O$1337*$AA$1337</f>
        <v>15795.641321166844</v>
      </c>
    </row>
    <row r="1338" spans="1:33" ht="11.25" customHeight="1" x14ac:dyDescent="0.25">
      <c r="A1338" s="4" t="s">
        <v>21</v>
      </c>
      <c r="B1338" s="4" t="s">
        <v>35</v>
      </c>
      <c r="C1338" s="4" t="s">
        <v>36</v>
      </c>
      <c r="D1338" s="4" t="s">
        <v>24</v>
      </c>
      <c r="E1338" s="4" t="s">
        <v>24</v>
      </c>
      <c r="F1338" s="4" t="s">
        <v>25</v>
      </c>
      <c r="G1338" s="4" t="s">
        <v>25</v>
      </c>
      <c r="H1338" s="4" t="s">
        <v>37</v>
      </c>
      <c r="I1338" s="5">
        <v>44166</v>
      </c>
      <c r="J1338" s="6">
        <v>0</v>
      </c>
      <c r="K1338" s="6">
        <v>0</v>
      </c>
      <c r="L1338" s="6">
        <v>37.703000000000003</v>
      </c>
      <c r="M1338" s="6">
        <v>37.703000000000003</v>
      </c>
      <c r="N1338" s="6">
        <v>37.703000000000003</v>
      </c>
      <c r="O1338" s="6">
        <v>37.703000000000003</v>
      </c>
      <c r="P1338" s="6">
        <v>0</v>
      </c>
      <c r="Q1338" s="4" t="s">
        <v>26</v>
      </c>
      <c r="R1338" s="4">
        <v>0</v>
      </c>
      <c r="S1338" s="6">
        <v>0</v>
      </c>
      <c r="T1338" s="6">
        <v>24</v>
      </c>
      <c r="U1338" s="6">
        <v>66</v>
      </c>
      <c r="V1338" s="6">
        <f>IF(ISERROR(VLOOKUP($S$1338,'TAR FIN'!$A$1:$O$95,15,0)),0,VLOOKUP($S$1338,'TAR FIN'!$A$1:$O$95,15,0))</f>
        <v>0</v>
      </c>
      <c r="W1338" s="6">
        <f>IF(ISERROR(VLOOKUP($T$1338,'TAR FIN'!$A$1:$O$95,15,0)),0,VLOOKUP($T$1338,'TAR FIN'!$A$1:$O$95,15,0))</f>
        <v>1434.79</v>
      </c>
      <c r="X1338" s="6">
        <f>IF(ISERROR(VLOOKUP($U$1338,'TAR FIN'!$A$1:$O$95,15,0)),0,VLOOKUP($U$1338,'TAR FIN'!$A$1:$O$95,15,0))</f>
        <v>389.28</v>
      </c>
      <c r="Y1338" s="6"/>
      <c r="Z1338" s="6">
        <f ca="1">('TUSD BE'!$AM$16+'TUSD BF'!$AM$16+'TUSD CVA'!$AM$16)*1</f>
        <v>1605.9916314233351</v>
      </c>
      <c r="AA1338" s="6">
        <f>('TE BE'!$AA$7+'TE BF'!$AA$7+'TE CVA'!$AA$7)*1</f>
        <v>454.3285679284046</v>
      </c>
      <c r="AB1338" s="6">
        <f>$K$1338*$V$1338</f>
        <v>0</v>
      </c>
      <c r="AC1338" s="6">
        <f>$M$1338*$W$1338</f>
        <v>54095.887370000004</v>
      </c>
      <c r="AD1338" s="6">
        <f>$O$1338*$X$1338</f>
        <v>14677.02384</v>
      </c>
      <c r="AE1338" s="6">
        <f>$K$1338*$Y$1338</f>
        <v>0</v>
      </c>
      <c r="AF1338" s="6">
        <f ca="1">$M$1338*$Z$1338</f>
        <v>60550.702479554006</v>
      </c>
      <c r="AG1338" s="6">
        <f>$O$1338*$AA$1338</f>
        <v>17129.549996604641</v>
      </c>
    </row>
    <row r="1339" spans="1:33" ht="11.25" customHeight="1" x14ac:dyDescent="0.25">
      <c r="A1339" s="4" t="s">
        <v>21</v>
      </c>
      <c r="B1339" s="4" t="s">
        <v>35</v>
      </c>
      <c r="C1339" s="4" t="s">
        <v>36</v>
      </c>
      <c r="D1339" s="4" t="s">
        <v>24</v>
      </c>
      <c r="E1339" s="4" t="s">
        <v>24</v>
      </c>
      <c r="F1339" s="4" t="s">
        <v>25</v>
      </c>
      <c r="G1339" s="4" t="s">
        <v>25</v>
      </c>
      <c r="H1339" s="4" t="s">
        <v>37</v>
      </c>
      <c r="I1339" s="5">
        <v>44197</v>
      </c>
      <c r="J1339" s="6">
        <v>0</v>
      </c>
      <c r="K1339" s="6">
        <v>0</v>
      </c>
      <c r="L1339" s="6">
        <v>30.234000000000002</v>
      </c>
      <c r="M1339" s="6">
        <v>30.234000000000002</v>
      </c>
      <c r="N1339" s="6">
        <v>30.234000000000002</v>
      </c>
      <c r="O1339" s="6">
        <v>30.234000000000002</v>
      </c>
      <c r="P1339" s="6">
        <v>0</v>
      </c>
      <c r="Q1339" s="4" t="s">
        <v>26</v>
      </c>
      <c r="R1339" s="4">
        <v>0</v>
      </c>
      <c r="S1339" s="6">
        <v>0</v>
      </c>
      <c r="T1339" s="6">
        <v>24</v>
      </c>
      <c r="U1339" s="6">
        <v>66</v>
      </c>
      <c r="V1339" s="6">
        <f>IF(ISERROR(VLOOKUP($S$1339,'TAR FIN'!$A$1:$O$95,15,0)),0,VLOOKUP($S$1339,'TAR FIN'!$A$1:$O$95,15,0))</f>
        <v>0</v>
      </c>
      <c r="W1339" s="6">
        <f>IF(ISERROR(VLOOKUP($T$1339,'TAR FIN'!$A$1:$O$95,15,0)),0,VLOOKUP($T$1339,'TAR FIN'!$A$1:$O$95,15,0))</f>
        <v>1434.79</v>
      </c>
      <c r="X1339" s="6">
        <f>IF(ISERROR(VLOOKUP($U$1339,'TAR FIN'!$A$1:$O$95,15,0)),0,VLOOKUP($U$1339,'TAR FIN'!$A$1:$O$95,15,0))</f>
        <v>389.28</v>
      </c>
      <c r="Y1339" s="6"/>
      <c r="Z1339" s="6">
        <f ca="1">('TUSD BE'!$AM$16+'TUSD BF'!$AM$16+'TUSD CVA'!$AM$16)*1</f>
        <v>1605.9916314233351</v>
      </c>
      <c r="AA1339" s="6">
        <f>('TE BE'!$AA$7+'TE BF'!$AA$7+'TE CVA'!$AA$7)*1</f>
        <v>454.3285679284046</v>
      </c>
      <c r="AB1339" s="6">
        <f>$K$1339*$V$1339</f>
        <v>0</v>
      </c>
      <c r="AC1339" s="6">
        <f>$M$1339*$W$1339</f>
        <v>43379.440860000002</v>
      </c>
      <c r="AD1339" s="6">
        <f>$O$1339*$X$1339</f>
        <v>11769.49152</v>
      </c>
      <c r="AE1339" s="6">
        <f>$K$1339*$Y$1339</f>
        <v>0</v>
      </c>
      <c r="AF1339" s="6">
        <f ca="1">$M$1339*$Z$1339</f>
        <v>48555.550984453119</v>
      </c>
      <c r="AG1339" s="6">
        <f>$O$1339*$AA$1339</f>
        <v>13736.169922747385</v>
      </c>
    </row>
    <row r="1340" spans="1:33" ht="11.25" customHeight="1" x14ac:dyDescent="0.25">
      <c r="A1340" s="4" t="s">
        <v>21</v>
      </c>
      <c r="B1340" s="4" t="s">
        <v>35</v>
      </c>
      <c r="C1340" s="4" t="s">
        <v>36</v>
      </c>
      <c r="D1340" s="4" t="s">
        <v>24</v>
      </c>
      <c r="E1340" s="4" t="s">
        <v>24</v>
      </c>
      <c r="F1340" s="4" t="s">
        <v>25</v>
      </c>
      <c r="G1340" s="4" t="s">
        <v>25</v>
      </c>
      <c r="H1340" s="4" t="s">
        <v>37</v>
      </c>
      <c r="I1340" s="5">
        <v>44228</v>
      </c>
      <c r="J1340" s="6">
        <v>0</v>
      </c>
      <c r="K1340" s="6">
        <v>0</v>
      </c>
      <c r="L1340" s="6">
        <v>26.241</v>
      </c>
      <c r="M1340" s="6">
        <v>26.241</v>
      </c>
      <c r="N1340" s="6">
        <v>26.241</v>
      </c>
      <c r="O1340" s="6">
        <v>26.241</v>
      </c>
      <c r="P1340" s="6">
        <v>0</v>
      </c>
      <c r="Q1340" s="4" t="s">
        <v>26</v>
      </c>
      <c r="R1340" s="4">
        <v>0</v>
      </c>
      <c r="S1340" s="6">
        <v>0</v>
      </c>
      <c r="T1340" s="6">
        <v>24</v>
      </c>
      <c r="U1340" s="6">
        <v>66</v>
      </c>
      <c r="V1340" s="6">
        <f>IF(ISERROR(VLOOKUP($S$1340,'TAR FIN'!$A$1:$O$95,15,0)),0,VLOOKUP($S$1340,'TAR FIN'!$A$1:$O$95,15,0))</f>
        <v>0</v>
      </c>
      <c r="W1340" s="6">
        <f>IF(ISERROR(VLOOKUP($T$1340,'TAR FIN'!$A$1:$O$95,15,0)),0,VLOOKUP($T$1340,'TAR FIN'!$A$1:$O$95,15,0))</f>
        <v>1434.79</v>
      </c>
      <c r="X1340" s="6">
        <f>IF(ISERROR(VLOOKUP($U$1340,'TAR FIN'!$A$1:$O$95,15,0)),0,VLOOKUP($U$1340,'TAR FIN'!$A$1:$O$95,15,0))</f>
        <v>389.28</v>
      </c>
      <c r="Y1340" s="6"/>
      <c r="Z1340" s="6">
        <f ca="1">('TUSD BE'!$AM$16+'TUSD BF'!$AM$16+'TUSD CVA'!$AM$16)*1</f>
        <v>1605.9916314233351</v>
      </c>
      <c r="AA1340" s="6">
        <f>('TE BE'!$AA$7+'TE BF'!$AA$7+'TE CVA'!$AA$7)*1</f>
        <v>454.3285679284046</v>
      </c>
      <c r="AB1340" s="6">
        <f>$K$1340*$V$1340</f>
        <v>0</v>
      </c>
      <c r="AC1340" s="6">
        <f>$M$1340*$W$1340</f>
        <v>37650.324390000002</v>
      </c>
      <c r="AD1340" s="6">
        <f>$O$1340*$X$1340</f>
        <v>10215.096479999998</v>
      </c>
      <c r="AE1340" s="6">
        <f>$K$1340*$Y$1340</f>
        <v>0</v>
      </c>
      <c r="AF1340" s="6">
        <f ca="1">$M$1340*$Z$1340</f>
        <v>42142.826400179736</v>
      </c>
      <c r="AG1340" s="6">
        <f>$O$1340*$AA$1340</f>
        <v>11922.035951009264</v>
      </c>
    </row>
    <row r="1341" spans="1:33" ht="11.25" customHeight="1" x14ac:dyDescent="0.25">
      <c r="A1341" s="4" t="s">
        <v>21</v>
      </c>
      <c r="B1341" s="4" t="s">
        <v>35</v>
      </c>
      <c r="C1341" s="4" t="s">
        <v>36</v>
      </c>
      <c r="D1341" s="4" t="s">
        <v>24</v>
      </c>
      <c r="E1341" s="4" t="s">
        <v>24</v>
      </c>
      <c r="F1341" s="4" t="s">
        <v>25</v>
      </c>
      <c r="G1341" s="4" t="s">
        <v>25</v>
      </c>
      <c r="H1341" s="4" t="s">
        <v>37</v>
      </c>
      <c r="I1341" s="5">
        <v>44256</v>
      </c>
      <c r="J1341" s="6">
        <v>0</v>
      </c>
      <c r="K1341" s="6">
        <v>0</v>
      </c>
      <c r="L1341" s="6">
        <v>37.262999999999998</v>
      </c>
      <c r="M1341" s="6">
        <v>37.262999999999998</v>
      </c>
      <c r="N1341" s="6">
        <v>37.262999999999998</v>
      </c>
      <c r="O1341" s="6">
        <v>37.262999999999998</v>
      </c>
      <c r="P1341" s="6">
        <v>0</v>
      </c>
      <c r="Q1341" s="4" t="s">
        <v>26</v>
      </c>
      <c r="R1341" s="4">
        <v>0</v>
      </c>
      <c r="S1341" s="6">
        <v>0</v>
      </c>
      <c r="T1341" s="6">
        <v>24</v>
      </c>
      <c r="U1341" s="6">
        <v>66</v>
      </c>
      <c r="V1341" s="6">
        <f>IF(ISERROR(VLOOKUP($S$1341,'TAR FIN'!$A$1:$O$95,15,0)),0,VLOOKUP($S$1341,'TAR FIN'!$A$1:$O$95,15,0))</f>
        <v>0</v>
      </c>
      <c r="W1341" s="6">
        <f>IF(ISERROR(VLOOKUP($T$1341,'TAR FIN'!$A$1:$O$95,15,0)),0,VLOOKUP($T$1341,'TAR FIN'!$A$1:$O$95,15,0))</f>
        <v>1434.79</v>
      </c>
      <c r="X1341" s="6">
        <f>IF(ISERROR(VLOOKUP($U$1341,'TAR FIN'!$A$1:$O$95,15,0)),0,VLOOKUP($U$1341,'TAR FIN'!$A$1:$O$95,15,0))</f>
        <v>389.28</v>
      </c>
      <c r="Y1341" s="6"/>
      <c r="Z1341" s="6">
        <f ca="1">('TUSD BE'!$AM$16+'TUSD BF'!$AM$16+'TUSD CVA'!$AM$16)*1</f>
        <v>1605.9916314233351</v>
      </c>
      <c r="AA1341" s="6">
        <f>('TE BE'!$AA$7+'TE BF'!$AA$7+'TE CVA'!$AA$7)*1</f>
        <v>454.3285679284046</v>
      </c>
      <c r="AB1341" s="6">
        <f>$K$1341*$V$1341</f>
        <v>0</v>
      </c>
      <c r="AC1341" s="6">
        <f>$M$1341*$W$1341</f>
        <v>53464.579769999997</v>
      </c>
      <c r="AD1341" s="6">
        <f>$O$1341*$X$1341</f>
        <v>14505.740639999998</v>
      </c>
      <c r="AE1341" s="6">
        <f>$K$1341*$Y$1341</f>
        <v>0</v>
      </c>
      <c r="AF1341" s="6">
        <f ca="1">$M$1341*$Z$1341</f>
        <v>59844.066161727729</v>
      </c>
      <c r="AG1341" s="6">
        <f>$O$1341*$AA$1341</f>
        <v>16929.645426716139</v>
      </c>
    </row>
    <row r="1342" spans="1:33" ht="11.25" customHeight="1" x14ac:dyDescent="0.25">
      <c r="A1342" s="4" t="s">
        <v>21</v>
      </c>
      <c r="B1342" s="4" t="s">
        <v>35</v>
      </c>
      <c r="C1342" s="4" t="s">
        <v>36</v>
      </c>
      <c r="D1342" s="4" t="s">
        <v>24</v>
      </c>
      <c r="E1342" s="4" t="s">
        <v>24</v>
      </c>
      <c r="F1342" s="4" t="s">
        <v>25</v>
      </c>
      <c r="G1342" s="4" t="s">
        <v>25</v>
      </c>
      <c r="H1342" s="4" t="s">
        <v>37</v>
      </c>
      <c r="I1342" s="5">
        <v>44287</v>
      </c>
      <c r="J1342" s="6">
        <v>0</v>
      </c>
      <c r="K1342" s="6">
        <v>0</v>
      </c>
      <c r="L1342" s="6">
        <v>30.452999999999999</v>
      </c>
      <c r="M1342" s="6">
        <v>30.452999999999999</v>
      </c>
      <c r="N1342" s="6">
        <v>30.452999999999999</v>
      </c>
      <c r="O1342" s="6">
        <v>30.452999999999999</v>
      </c>
      <c r="P1342" s="6">
        <v>0</v>
      </c>
      <c r="Q1342" s="4" t="s">
        <v>26</v>
      </c>
      <c r="R1342" s="4">
        <v>0</v>
      </c>
      <c r="S1342" s="6">
        <v>0</v>
      </c>
      <c r="T1342" s="6">
        <v>24</v>
      </c>
      <c r="U1342" s="6">
        <v>66</v>
      </c>
      <c r="V1342" s="6">
        <f>IF(ISERROR(VLOOKUP($S$1342,'TAR FIN'!$A$1:$O$95,15,0)),0,VLOOKUP($S$1342,'TAR FIN'!$A$1:$O$95,15,0))</f>
        <v>0</v>
      </c>
      <c r="W1342" s="6">
        <f>IF(ISERROR(VLOOKUP($T$1342,'TAR FIN'!$A$1:$O$95,15,0)),0,VLOOKUP($T$1342,'TAR FIN'!$A$1:$O$95,15,0))</f>
        <v>1434.79</v>
      </c>
      <c r="X1342" s="6">
        <f>IF(ISERROR(VLOOKUP($U$1342,'TAR FIN'!$A$1:$O$95,15,0)),0,VLOOKUP($U$1342,'TAR FIN'!$A$1:$O$95,15,0))</f>
        <v>389.28</v>
      </c>
      <c r="Y1342" s="6"/>
      <c r="Z1342" s="6">
        <f ca="1">('TUSD BE'!$AM$16+'TUSD BF'!$AM$16+'TUSD CVA'!$AM$16)*1</f>
        <v>1605.9916314233351</v>
      </c>
      <c r="AA1342" s="6">
        <f>('TE BE'!$AA$7+'TE BF'!$AA$7+'TE CVA'!$AA$7)*1</f>
        <v>454.3285679284046</v>
      </c>
      <c r="AB1342" s="6">
        <f>$K$1342*$V$1342</f>
        <v>0</v>
      </c>
      <c r="AC1342" s="6">
        <f>$M$1342*$W$1342</f>
        <v>43693.659869999996</v>
      </c>
      <c r="AD1342" s="6">
        <f>$O$1342*$X$1342</f>
        <v>11854.743839999999</v>
      </c>
      <c r="AE1342" s="6">
        <f>$K$1342*$Y$1342</f>
        <v>0</v>
      </c>
      <c r="AF1342" s="6">
        <f ca="1">$M$1342*$Z$1342</f>
        <v>48907.26315173482</v>
      </c>
      <c r="AG1342" s="6">
        <f>$O$1342*$AA$1342</f>
        <v>13835.667879123705</v>
      </c>
    </row>
    <row r="1343" spans="1:33" ht="11.25" customHeight="1" x14ac:dyDescent="0.25">
      <c r="A1343" s="4" t="s">
        <v>28</v>
      </c>
      <c r="B1343" s="4" t="s">
        <v>35</v>
      </c>
      <c r="C1343" s="4" t="s">
        <v>36</v>
      </c>
      <c r="D1343" s="4" t="s">
        <v>24</v>
      </c>
      <c r="E1343" s="4" t="s">
        <v>24</v>
      </c>
      <c r="F1343" s="4" t="s">
        <v>25</v>
      </c>
      <c r="G1343" s="4" t="s">
        <v>25</v>
      </c>
      <c r="H1343" s="4" t="s">
        <v>37</v>
      </c>
      <c r="I1343" s="5">
        <v>44287</v>
      </c>
      <c r="J1343" s="6">
        <v>0</v>
      </c>
      <c r="K1343" s="6">
        <v>0</v>
      </c>
      <c r="L1343" s="6">
        <v>1.3160000000000001</v>
      </c>
      <c r="M1343" s="6">
        <v>1.3160000000000001</v>
      </c>
      <c r="N1343" s="6">
        <v>1.3160000000000001</v>
      </c>
      <c r="O1343" s="6">
        <v>1.3160000000000001</v>
      </c>
      <c r="P1343" s="6">
        <v>0</v>
      </c>
      <c r="Q1343" s="4" t="s">
        <v>26</v>
      </c>
      <c r="R1343" s="4">
        <v>0</v>
      </c>
      <c r="S1343" s="6">
        <v>0</v>
      </c>
      <c r="T1343" s="6">
        <v>24</v>
      </c>
      <c r="U1343" s="6">
        <v>66</v>
      </c>
      <c r="V1343" s="6">
        <f>IF(ISERROR(VLOOKUP($S$1343,'TAR FIN'!$A$1:$O$95,15,0)),0,VLOOKUP($S$1343,'TAR FIN'!$A$1:$O$95,15,0))</f>
        <v>0</v>
      </c>
      <c r="W1343" s="6">
        <f>IF(ISERROR(VLOOKUP($T$1343,'TAR FIN'!$A$1:$O$95,15,0)),0,VLOOKUP($T$1343,'TAR FIN'!$A$1:$O$95,15,0))</f>
        <v>1434.79</v>
      </c>
      <c r="X1343" s="6">
        <f>IF(ISERROR(VLOOKUP($U$1343,'TAR FIN'!$A$1:$O$95,15,0)),0,VLOOKUP($U$1343,'TAR FIN'!$A$1:$O$95,15,0))</f>
        <v>389.28</v>
      </c>
      <c r="Y1343" s="6"/>
      <c r="Z1343" s="6">
        <f ca="1">('TUSD BE'!$AM$16+'TUSD BF'!$AM$16+'TUSD CVA'!$AM$16)*1</f>
        <v>1605.9916314233351</v>
      </c>
      <c r="AA1343" s="6">
        <f>('TE BE'!$AA$7+'TE BF'!$AA$7+'TE CVA'!$AA$7)*1</f>
        <v>454.3285679284046</v>
      </c>
      <c r="AB1343" s="6">
        <f>$K$1343*$V$1343</f>
        <v>0</v>
      </c>
      <c r="AC1343" s="6">
        <f>$M$1343*$W$1343</f>
        <v>1888.18364</v>
      </c>
      <c r="AD1343" s="6">
        <f>$O$1343*$X$1343</f>
        <v>512.29247999999995</v>
      </c>
      <c r="AE1343" s="6">
        <f>$K$1343*$Y$1343</f>
        <v>0</v>
      </c>
      <c r="AF1343" s="6">
        <f ca="1">$M$1343*$Z$1343</f>
        <v>2113.484986953109</v>
      </c>
      <c r="AG1343" s="6">
        <f>$O$1343*$AA$1343</f>
        <v>597.89639539378049</v>
      </c>
    </row>
    <row r="1344" spans="1:33" ht="11.25" customHeight="1" x14ac:dyDescent="0.25">
      <c r="A1344" s="4" t="s">
        <v>21</v>
      </c>
      <c r="B1344" s="4" t="s">
        <v>35</v>
      </c>
      <c r="C1344" s="4" t="s">
        <v>36</v>
      </c>
      <c r="D1344" s="4" t="s">
        <v>24</v>
      </c>
      <c r="E1344" s="4" t="s">
        <v>24</v>
      </c>
      <c r="F1344" s="4" t="s">
        <v>25</v>
      </c>
      <c r="G1344" s="4" t="s">
        <v>25</v>
      </c>
      <c r="H1344" s="4" t="s">
        <v>37</v>
      </c>
      <c r="I1344" s="5">
        <v>44317</v>
      </c>
      <c r="J1344" s="6">
        <v>0</v>
      </c>
      <c r="K1344" s="6">
        <v>0</v>
      </c>
      <c r="L1344" s="6">
        <v>31.655999999999999</v>
      </c>
      <c r="M1344" s="6">
        <v>31.655999999999999</v>
      </c>
      <c r="N1344" s="6">
        <v>31.655999999999999</v>
      </c>
      <c r="O1344" s="6">
        <v>31.655999999999999</v>
      </c>
      <c r="P1344" s="6">
        <v>0</v>
      </c>
      <c r="Q1344" s="4" t="s">
        <v>26</v>
      </c>
      <c r="R1344" s="4">
        <v>0</v>
      </c>
      <c r="S1344" s="6">
        <v>0</v>
      </c>
      <c r="T1344" s="6">
        <v>24</v>
      </c>
      <c r="U1344" s="6">
        <v>66</v>
      </c>
      <c r="V1344" s="6">
        <f>IF(ISERROR(VLOOKUP($S$1344,'TAR FIN'!$A$1:$O$95,15,0)),0,VLOOKUP($S$1344,'TAR FIN'!$A$1:$O$95,15,0))</f>
        <v>0</v>
      </c>
      <c r="W1344" s="6">
        <f>IF(ISERROR(VLOOKUP($T$1344,'TAR FIN'!$A$1:$O$95,15,0)),0,VLOOKUP($T$1344,'TAR FIN'!$A$1:$O$95,15,0))</f>
        <v>1434.79</v>
      </c>
      <c r="X1344" s="6">
        <f>IF(ISERROR(VLOOKUP($U$1344,'TAR FIN'!$A$1:$O$95,15,0)),0,VLOOKUP($U$1344,'TAR FIN'!$A$1:$O$95,15,0))</f>
        <v>389.28</v>
      </c>
      <c r="Y1344" s="6"/>
      <c r="Z1344" s="6">
        <f ca="1">('TUSD BE'!$AM$16+'TUSD BF'!$AM$16+'TUSD CVA'!$AM$16)*1</f>
        <v>1605.9916314233351</v>
      </c>
      <c r="AA1344" s="6">
        <f>('TE BE'!$AA$7+'TE BF'!$AA$7+'TE CVA'!$AA$7)*1</f>
        <v>454.3285679284046</v>
      </c>
      <c r="AB1344" s="6">
        <f>$K$1344*$V$1344</f>
        <v>0</v>
      </c>
      <c r="AC1344" s="6">
        <f>$M$1344*$W$1344</f>
        <v>45419.712240000001</v>
      </c>
      <c r="AD1344" s="6">
        <f>$O$1344*$X$1344</f>
        <v>12323.047679999998</v>
      </c>
      <c r="AE1344" s="6">
        <f>$K$1344*$Y$1344</f>
        <v>0</v>
      </c>
      <c r="AF1344" s="6">
        <f ca="1">$M$1344*$Z$1344</f>
        <v>50839.271084337095</v>
      </c>
      <c r="AG1344" s="6">
        <f>$O$1344*$AA$1344</f>
        <v>14382.225146341576</v>
      </c>
    </row>
    <row r="1345" spans="1:33" ht="11.25" customHeight="1" x14ac:dyDescent="0.25">
      <c r="A1345" s="4" t="s">
        <v>28</v>
      </c>
      <c r="B1345" s="4" t="s">
        <v>35</v>
      </c>
      <c r="C1345" s="4" t="s">
        <v>36</v>
      </c>
      <c r="D1345" s="4" t="s">
        <v>24</v>
      </c>
      <c r="E1345" s="4" t="s">
        <v>24</v>
      </c>
      <c r="F1345" s="4" t="s">
        <v>25</v>
      </c>
      <c r="G1345" s="4" t="s">
        <v>25</v>
      </c>
      <c r="H1345" s="4" t="s">
        <v>37</v>
      </c>
      <c r="I1345" s="5">
        <v>44317</v>
      </c>
      <c r="J1345" s="6">
        <v>0</v>
      </c>
      <c r="K1345" s="6">
        <v>0</v>
      </c>
      <c r="L1345" s="6">
        <v>0.91</v>
      </c>
      <c r="M1345" s="6">
        <v>0.91</v>
      </c>
      <c r="N1345" s="6">
        <v>0.91</v>
      </c>
      <c r="O1345" s="6">
        <v>0.91</v>
      </c>
      <c r="P1345" s="6">
        <v>0</v>
      </c>
      <c r="Q1345" s="4" t="s">
        <v>26</v>
      </c>
      <c r="R1345" s="4">
        <v>0</v>
      </c>
      <c r="S1345" s="6">
        <v>0</v>
      </c>
      <c r="T1345" s="6">
        <v>24</v>
      </c>
      <c r="U1345" s="6">
        <v>66</v>
      </c>
      <c r="V1345" s="6">
        <f>IF(ISERROR(VLOOKUP($S$1345,'TAR FIN'!$A$1:$O$95,15,0)),0,VLOOKUP($S$1345,'TAR FIN'!$A$1:$O$95,15,0))</f>
        <v>0</v>
      </c>
      <c r="W1345" s="6">
        <f>IF(ISERROR(VLOOKUP($T$1345,'TAR FIN'!$A$1:$O$95,15,0)),0,VLOOKUP($T$1345,'TAR FIN'!$A$1:$O$95,15,0))</f>
        <v>1434.79</v>
      </c>
      <c r="X1345" s="6">
        <f>IF(ISERROR(VLOOKUP($U$1345,'TAR FIN'!$A$1:$O$95,15,0)),0,VLOOKUP($U$1345,'TAR FIN'!$A$1:$O$95,15,0))</f>
        <v>389.28</v>
      </c>
      <c r="Y1345" s="6"/>
      <c r="Z1345" s="6">
        <f ca="1">('TUSD BE'!$AM$16+'TUSD BF'!$AM$16+'TUSD CVA'!$AM$16)*1</f>
        <v>1605.9916314233351</v>
      </c>
      <c r="AA1345" s="6">
        <f>('TE BE'!$AA$7+'TE BF'!$AA$7+'TE CVA'!$AA$7)*1</f>
        <v>454.3285679284046</v>
      </c>
      <c r="AB1345" s="6">
        <f>$K$1345*$V$1345</f>
        <v>0</v>
      </c>
      <c r="AC1345" s="6">
        <f>$M$1345*$W$1345</f>
        <v>1305.6588999999999</v>
      </c>
      <c r="AD1345" s="6">
        <f>$O$1345*$X$1345</f>
        <v>354.2448</v>
      </c>
      <c r="AE1345" s="6">
        <f>$K$1345*$Y$1345</f>
        <v>0</v>
      </c>
      <c r="AF1345" s="6">
        <f ca="1">$M$1345*$Z$1345</f>
        <v>1461.4523845952349</v>
      </c>
      <c r="AG1345" s="6">
        <f>$O$1345*$AA$1345</f>
        <v>413.43899681484822</v>
      </c>
    </row>
    <row r="1346" spans="1:33" ht="11.25" customHeight="1" x14ac:dyDescent="0.25">
      <c r="A1346" s="4" t="s">
        <v>21</v>
      </c>
      <c r="B1346" s="4" t="s">
        <v>35</v>
      </c>
      <c r="C1346" s="4" t="s">
        <v>36</v>
      </c>
      <c r="D1346" s="4" t="s">
        <v>24</v>
      </c>
      <c r="E1346" s="4" t="s">
        <v>24</v>
      </c>
      <c r="F1346" s="4" t="s">
        <v>25</v>
      </c>
      <c r="G1346" s="4" t="s">
        <v>25</v>
      </c>
      <c r="H1346" s="4" t="s">
        <v>37</v>
      </c>
      <c r="I1346" s="5">
        <v>44348</v>
      </c>
      <c r="J1346" s="6">
        <v>0</v>
      </c>
      <c r="K1346" s="6">
        <v>0</v>
      </c>
      <c r="L1346" s="6">
        <v>31.318000000000001</v>
      </c>
      <c r="M1346" s="6">
        <v>31.318000000000001</v>
      </c>
      <c r="N1346" s="6">
        <v>31.318000000000001</v>
      </c>
      <c r="O1346" s="6">
        <v>31.318000000000001</v>
      </c>
      <c r="P1346" s="6">
        <v>0</v>
      </c>
      <c r="Q1346" s="4" t="s">
        <v>26</v>
      </c>
      <c r="R1346" s="4">
        <v>0</v>
      </c>
      <c r="S1346" s="6">
        <v>0</v>
      </c>
      <c r="T1346" s="6">
        <v>24</v>
      </c>
      <c r="U1346" s="6">
        <v>66</v>
      </c>
      <c r="V1346" s="6">
        <f>IF(ISERROR(VLOOKUP($S$1346,'TAR FIN'!$A$1:$O$95,15,0)),0,VLOOKUP($S$1346,'TAR FIN'!$A$1:$O$95,15,0))</f>
        <v>0</v>
      </c>
      <c r="W1346" s="6">
        <f>IF(ISERROR(VLOOKUP($T$1346,'TAR FIN'!$A$1:$O$95,15,0)),0,VLOOKUP($T$1346,'TAR FIN'!$A$1:$O$95,15,0))</f>
        <v>1434.79</v>
      </c>
      <c r="X1346" s="6">
        <f>IF(ISERROR(VLOOKUP($U$1346,'TAR FIN'!$A$1:$O$95,15,0)),0,VLOOKUP($U$1346,'TAR FIN'!$A$1:$O$95,15,0))</f>
        <v>389.28</v>
      </c>
      <c r="Y1346" s="6"/>
      <c r="Z1346" s="6">
        <f ca="1">('TUSD BE'!$AM$16+'TUSD BF'!$AM$16+'TUSD CVA'!$AM$16)*1</f>
        <v>1605.9916314233351</v>
      </c>
      <c r="AA1346" s="6">
        <f>('TE BE'!$AA$7+'TE BF'!$AA$7+'TE CVA'!$AA$7)*1</f>
        <v>454.3285679284046</v>
      </c>
      <c r="AB1346" s="6">
        <f>$K$1346*$V$1346</f>
        <v>0</v>
      </c>
      <c r="AC1346" s="6">
        <f>$M$1346*$W$1346</f>
        <v>44934.753219999999</v>
      </c>
      <c r="AD1346" s="6">
        <f>$O$1346*$X$1346</f>
        <v>12191.47104</v>
      </c>
      <c r="AE1346" s="6">
        <f>$K$1346*$Y$1346</f>
        <v>0</v>
      </c>
      <c r="AF1346" s="6">
        <f ca="1">$M$1346*$Z$1346</f>
        <v>50296.44591291601</v>
      </c>
      <c r="AG1346" s="6">
        <f>$O$1346*$AA$1346</f>
        <v>14228.662090381777</v>
      </c>
    </row>
    <row r="1347" spans="1:33" ht="11.25" customHeight="1" x14ac:dyDescent="0.25">
      <c r="A1347" s="4" t="s">
        <v>28</v>
      </c>
      <c r="B1347" s="4" t="s">
        <v>35</v>
      </c>
      <c r="C1347" s="4" t="s">
        <v>36</v>
      </c>
      <c r="D1347" s="4" t="s">
        <v>24</v>
      </c>
      <c r="E1347" s="4" t="s">
        <v>24</v>
      </c>
      <c r="F1347" s="4" t="s">
        <v>25</v>
      </c>
      <c r="G1347" s="4" t="s">
        <v>25</v>
      </c>
      <c r="H1347" s="4" t="s">
        <v>37</v>
      </c>
      <c r="I1347" s="5">
        <v>44348</v>
      </c>
      <c r="J1347" s="6">
        <v>0</v>
      </c>
      <c r="K1347" s="6">
        <v>0</v>
      </c>
      <c r="L1347" s="6">
        <v>1.02</v>
      </c>
      <c r="M1347" s="6">
        <v>1.02</v>
      </c>
      <c r="N1347" s="6">
        <v>1.02</v>
      </c>
      <c r="O1347" s="6">
        <v>1.02</v>
      </c>
      <c r="P1347" s="6">
        <v>0</v>
      </c>
      <c r="Q1347" s="4" t="s">
        <v>26</v>
      </c>
      <c r="R1347" s="4">
        <v>0</v>
      </c>
      <c r="S1347" s="6">
        <v>0</v>
      </c>
      <c r="T1347" s="6">
        <v>24</v>
      </c>
      <c r="U1347" s="6">
        <v>66</v>
      </c>
      <c r="V1347" s="6">
        <f>IF(ISERROR(VLOOKUP($S$1347,'TAR FIN'!$A$1:$O$95,15,0)),0,VLOOKUP($S$1347,'TAR FIN'!$A$1:$O$95,15,0))</f>
        <v>0</v>
      </c>
      <c r="W1347" s="6">
        <f>IF(ISERROR(VLOOKUP($T$1347,'TAR FIN'!$A$1:$O$95,15,0)),0,VLOOKUP($T$1347,'TAR FIN'!$A$1:$O$95,15,0))</f>
        <v>1434.79</v>
      </c>
      <c r="X1347" s="6">
        <f>IF(ISERROR(VLOOKUP($U$1347,'TAR FIN'!$A$1:$O$95,15,0)),0,VLOOKUP($U$1347,'TAR FIN'!$A$1:$O$95,15,0))</f>
        <v>389.28</v>
      </c>
      <c r="Y1347" s="6"/>
      <c r="Z1347" s="6">
        <f ca="1">('TUSD BE'!$AM$16+'TUSD BF'!$AM$16+'TUSD CVA'!$AM$16)*1</f>
        <v>1605.9916314233351</v>
      </c>
      <c r="AA1347" s="6">
        <f>('TE BE'!$AA$7+'TE BF'!$AA$7+'TE CVA'!$AA$7)*1</f>
        <v>454.3285679284046</v>
      </c>
      <c r="AB1347" s="6">
        <f>$K$1347*$V$1347</f>
        <v>0</v>
      </c>
      <c r="AC1347" s="6">
        <f>$M$1347*$W$1347</f>
        <v>1463.4857999999999</v>
      </c>
      <c r="AD1347" s="6">
        <f>$O$1347*$X$1347</f>
        <v>397.06559999999996</v>
      </c>
      <c r="AE1347" s="6">
        <f>$K$1347*$Y$1347</f>
        <v>0</v>
      </c>
      <c r="AF1347" s="6">
        <f ca="1">$M$1347*$Z$1347</f>
        <v>1638.1114640518019</v>
      </c>
      <c r="AG1347" s="6">
        <f>$O$1347*$AA$1347</f>
        <v>463.4151392869727</v>
      </c>
    </row>
    <row r="1348" spans="1:33" ht="11.25" customHeight="1" x14ac:dyDescent="0.25">
      <c r="A1348" s="4" t="s">
        <v>21</v>
      </c>
      <c r="B1348" s="4" t="s">
        <v>35</v>
      </c>
      <c r="C1348" s="4" t="s">
        <v>36</v>
      </c>
      <c r="D1348" s="4" t="s">
        <v>24</v>
      </c>
      <c r="E1348" s="4" t="s">
        <v>24</v>
      </c>
      <c r="F1348" s="4" t="s">
        <v>25</v>
      </c>
      <c r="G1348" s="4" t="s">
        <v>25</v>
      </c>
      <c r="H1348" s="4" t="s">
        <v>37</v>
      </c>
      <c r="I1348" s="5">
        <v>44378</v>
      </c>
      <c r="J1348" s="6">
        <v>0</v>
      </c>
      <c r="K1348" s="6">
        <v>0</v>
      </c>
      <c r="L1348" s="6">
        <v>34.119999999999997</v>
      </c>
      <c r="M1348" s="6">
        <v>34.119999999999997</v>
      </c>
      <c r="N1348" s="6">
        <v>34.119999999999997</v>
      </c>
      <c r="O1348" s="6">
        <v>34.119999999999997</v>
      </c>
      <c r="P1348" s="6">
        <v>0</v>
      </c>
      <c r="Q1348" s="4" t="s">
        <v>26</v>
      </c>
      <c r="R1348" s="4">
        <v>0</v>
      </c>
      <c r="S1348" s="6">
        <v>0</v>
      </c>
      <c r="T1348" s="6">
        <v>24</v>
      </c>
      <c r="U1348" s="6">
        <v>66</v>
      </c>
      <c r="V1348" s="6">
        <f>IF(ISERROR(VLOOKUP($S$1348,'TAR FIN'!$A$1:$O$95,15,0)),0,VLOOKUP($S$1348,'TAR FIN'!$A$1:$O$95,15,0))</f>
        <v>0</v>
      </c>
      <c r="W1348" s="6">
        <f>IF(ISERROR(VLOOKUP($T$1348,'TAR FIN'!$A$1:$O$95,15,0)),0,VLOOKUP($T$1348,'TAR FIN'!$A$1:$O$95,15,0))</f>
        <v>1434.79</v>
      </c>
      <c r="X1348" s="6">
        <f>IF(ISERROR(VLOOKUP($U$1348,'TAR FIN'!$A$1:$O$95,15,0)),0,VLOOKUP($U$1348,'TAR FIN'!$A$1:$O$95,15,0))</f>
        <v>389.28</v>
      </c>
      <c r="Y1348" s="6"/>
      <c r="Z1348" s="6">
        <f ca="1">('TUSD BE'!$AM$16+'TUSD BF'!$AM$16+'TUSD CVA'!$AM$16)*1</f>
        <v>1605.9916314233351</v>
      </c>
      <c r="AA1348" s="6">
        <f>('TE BE'!$AA$7+'TE BF'!$AA$7+'TE CVA'!$AA$7)*1</f>
        <v>454.3285679284046</v>
      </c>
      <c r="AB1348" s="6">
        <f>$K$1348*$V$1348</f>
        <v>0</v>
      </c>
      <c r="AC1348" s="6">
        <f>$M$1348*$W$1348</f>
        <v>48955.034799999994</v>
      </c>
      <c r="AD1348" s="6">
        <f>$O$1348*$X$1348</f>
        <v>13282.233599999998</v>
      </c>
      <c r="AE1348" s="6">
        <f>$K$1348*$Y$1348</f>
        <v>0</v>
      </c>
      <c r="AF1348" s="6">
        <f ca="1">$M$1348*$Z$1348</f>
        <v>54796.434464164187</v>
      </c>
      <c r="AG1348" s="6">
        <f>$O$1348*$AA$1348</f>
        <v>15501.690737717163</v>
      </c>
    </row>
    <row r="1349" spans="1:33" ht="11.25" customHeight="1" x14ac:dyDescent="0.25">
      <c r="A1349" s="4" t="s">
        <v>28</v>
      </c>
      <c r="B1349" s="4" t="s">
        <v>35</v>
      </c>
      <c r="C1349" s="4" t="s">
        <v>36</v>
      </c>
      <c r="D1349" s="4" t="s">
        <v>24</v>
      </c>
      <c r="E1349" s="4" t="s">
        <v>24</v>
      </c>
      <c r="F1349" s="4" t="s">
        <v>25</v>
      </c>
      <c r="G1349" s="4" t="s">
        <v>25</v>
      </c>
      <c r="H1349" s="4" t="s">
        <v>37</v>
      </c>
      <c r="I1349" s="5">
        <v>44378</v>
      </c>
      <c r="J1349" s="6">
        <v>0</v>
      </c>
      <c r="K1349" s="6">
        <v>0</v>
      </c>
      <c r="L1349" s="6">
        <v>1.4390000000000001</v>
      </c>
      <c r="M1349" s="6">
        <v>1.4390000000000001</v>
      </c>
      <c r="N1349" s="6">
        <v>1.4390000000000001</v>
      </c>
      <c r="O1349" s="6">
        <v>1.4390000000000001</v>
      </c>
      <c r="P1349" s="6">
        <v>0</v>
      </c>
      <c r="Q1349" s="4" t="s">
        <v>26</v>
      </c>
      <c r="R1349" s="4">
        <v>0</v>
      </c>
      <c r="S1349" s="6">
        <v>0</v>
      </c>
      <c r="T1349" s="6">
        <v>24</v>
      </c>
      <c r="U1349" s="6">
        <v>66</v>
      </c>
      <c r="V1349" s="6">
        <f>IF(ISERROR(VLOOKUP($S$1349,'TAR FIN'!$A$1:$O$95,15,0)),0,VLOOKUP($S$1349,'TAR FIN'!$A$1:$O$95,15,0))</f>
        <v>0</v>
      </c>
      <c r="W1349" s="6">
        <f>IF(ISERROR(VLOOKUP($T$1349,'TAR FIN'!$A$1:$O$95,15,0)),0,VLOOKUP($T$1349,'TAR FIN'!$A$1:$O$95,15,0))</f>
        <v>1434.79</v>
      </c>
      <c r="X1349" s="6">
        <f>IF(ISERROR(VLOOKUP($U$1349,'TAR FIN'!$A$1:$O$95,15,0)),0,VLOOKUP($U$1349,'TAR FIN'!$A$1:$O$95,15,0))</f>
        <v>389.28</v>
      </c>
      <c r="Y1349" s="6"/>
      <c r="Z1349" s="6">
        <f ca="1">('TUSD BE'!$AM$16+'TUSD BF'!$AM$16+'TUSD CVA'!$AM$16)*1</f>
        <v>1605.9916314233351</v>
      </c>
      <c r="AA1349" s="6">
        <f>('TE BE'!$AA$7+'TE BF'!$AA$7+'TE CVA'!$AA$7)*1</f>
        <v>454.3285679284046</v>
      </c>
      <c r="AB1349" s="6">
        <f>$K$1349*$V$1349</f>
        <v>0</v>
      </c>
      <c r="AC1349" s="6">
        <f>$M$1349*$W$1349</f>
        <v>2064.6628099999998</v>
      </c>
      <c r="AD1349" s="6">
        <f>$O$1349*$X$1349</f>
        <v>560.17391999999995</v>
      </c>
      <c r="AE1349" s="6">
        <f>$K$1349*$Y$1349</f>
        <v>0</v>
      </c>
      <c r="AF1349" s="6">
        <f ca="1">$M$1349*$Z$1349</f>
        <v>2311.0219576181794</v>
      </c>
      <c r="AG1349" s="6">
        <f>$O$1349*$AA$1349</f>
        <v>653.7788092489742</v>
      </c>
    </row>
    <row r="1350" spans="1:33" ht="11.25" customHeight="1" x14ac:dyDescent="0.25">
      <c r="A1350" s="4" t="s">
        <v>21</v>
      </c>
      <c r="B1350" s="4" t="s">
        <v>35</v>
      </c>
      <c r="C1350" s="4" t="s">
        <v>36</v>
      </c>
      <c r="D1350" s="4" t="s">
        <v>24</v>
      </c>
      <c r="E1350" s="4" t="s">
        <v>24</v>
      </c>
      <c r="F1350" s="4" t="s">
        <v>25</v>
      </c>
      <c r="G1350" s="4" t="s">
        <v>25</v>
      </c>
      <c r="H1350" s="4" t="s">
        <v>37</v>
      </c>
      <c r="I1350" s="5">
        <v>44409</v>
      </c>
      <c r="J1350" s="6">
        <v>0</v>
      </c>
      <c r="K1350" s="6">
        <v>0</v>
      </c>
      <c r="L1350" s="6">
        <v>35.936999999999998</v>
      </c>
      <c r="M1350" s="6">
        <v>35.936999999999998</v>
      </c>
      <c r="N1350" s="6">
        <v>35.936999999999998</v>
      </c>
      <c r="O1350" s="6">
        <v>35.936999999999998</v>
      </c>
      <c r="P1350" s="6">
        <v>0</v>
      </c>
      <c r="Q1350" s="4" t="s">
        <v>26</v>
      </c>
      <c r="R1350" s="4">
        <v>0</v>
      </c>
      <c r="S1350" s="6">
        <v>0</v>
      </c>
      <c r="T1350" s="6">
        <v>24</v>
      </c>
      <c r="U1350" s="6">
        <v>66</v>
      </c>
      <c r="V1350" s="6">
        <f>IF(ISERROR(VLOOKUP($S$1350,'TAR FIN'!$A$1:$O$95,15,0)),0,VLOOKUP($S$1350,'TAR FIN'!$A$1:$O$95,15,0))</f>
        <v>0</v>
      </c>
      <c r="W1350" s="6">
        <f>IF(ISERROR(VLOOKUP($T$1350,'TAR FIN'!$A$1:$O$95,15,0)),0,VLOOKUP($T$1350,'TAR FIN'!$A$1:$O$95,15,0))</f>
        <v>1434.79</v>
      </c>
      <c r="X1350" s="6">
        <f>IF(ISERROR(VLOOKUP($U$1350,'TAR FIN'!$A$1:$O$95,15,0)),0,VLOOKUP($U$1350,'TAR FIN'!$A$1:$O$95,15,0))</f>
        <v>389.28</v>
      </c>
      <c r="Y1350" s="6"/>
      <c r="Z1350" s="6">
        <f ca="1">('TUSD BE'!$AM$16+'TUSD BF'!$AM$16+'TUSD CVA'!$AM$16)*1</f>
        <v>1605.9916314233351</v>
      </c>
      <c r="AA1350" s="6">
        <f>('TE BE'!$AA$7+'TE BF'!$AA$7+'TE CVA'!$AA$7)*1</f>
        <v>454.3285679284046</v>
      </c>
      <c r="AB1350" s="6">
        <f>$K$1350*$V$1350</f>
        <v>0</v>
      </c>
      <c r="AC1350" s="6">
        <f>$M$1350*$W$1350</f>
        <v>51562.048229999993</v>
      </c>
      <c r="AD1350" s="6">
        <f>$O$1350*$X$1350</f>
        <v>13989.555359999998</v>
      </c>
      <c r="AE1350" s="6">
        <f>$K$1350*$Y$1350</f>
        <v>0</v>
      </c>
      <c r="AF1350" s="6">
        <f ca="1">$M$1350*$Z$1350</f>
        <v>57714.521258460387</v>
      </c>
      <c r="AG1350" s="6">
        <f>$O$1350*$AA$1350</f>
        <v>16327.205745643076</v>
      </c>
    </row>
    <row r="1351" spans="1:33" ht="11.25" customHeight="1" x14ac:dyDescent="0.25">
      <c r="A1351" s="4" t="s">
        <v>28</v>
      </c>
      <c r="B1351" s="4" t="s">
        <v>35</v>
      </c>
      <c r="C1351" s="4" t="s">
        <v>36</v>
      </c>
      <c r="D1351" s="4" t="s">
        <v>24</v>
      </c>
      <c r="E1351" s="4" t="s">
        <v>24</v>
      </c>
      <c r="F1351" s="4" t="s">
        <v>25</v>
      </c>
      <c r="G1351" s="4" t="s">
        <v>25</v>
      </c>
      <c r="H1351" s="4" t="s">
        <v>37</v>
      </c>
      <c r="I1351" s="5">
        <v>44409</v>
      </c>
      <c r="J1351" s="6">
        <v>0</v>
      </c>
      <c r="K1351" s="6">
        <v>0</v>
      </c>
      <c r="L1351" s="6">
        <v>1.34</v>
      </c>
      <c r="M1351" s="6">
        <v>1.34</v>
      </c>
      <c r="N1351" s="6">
        <v>1.34</v>
      </c>
      <c r="O1351" s="6">
        <v>1.34</v>
      </c>
      <c r="P1351" s="6">
        <v>0</v>
      </c>
      <c r="Q1351" s="4" t="s">
        <v>26</v>
      </c>
      <c r="R1351" s="4">
        <v>0</v>
      </c>
      <c r="S1351" s="6">
        <v>0</v>
      </c>
      <c r="T1351" s="6">
        <v>24</v>
      </c>
      <c r="U1351" s="6">
        <v>66</v>
      </c>
      <c r="V1351" s="6">
        <f>IF(ISERROR(VLOOKUP($S$1351,'TAR FIN'!$A$1:$O$95,15,0)),0,VLOOKUP($S$1351,'TAR FIN'!$A$1:$O$95,15,0))</f>
        <v>0</v>
      </c>
      <c r="W1351" s="6">
        <f>IF(ISERROR(VLOOKUP($T$1351,'TAR FIN'!$A$1:$O$95,15,0)),0,VLOOKUP($T$1351,'TAR FIN'!$A$1:$O$95,15,0))</f>
        <v>1434.79</v>
      </c>
      <c r="X1351" s="6">
        <f>IF(ISERROR(VLOOKUP($U$1351,'TAR FIN'!$A$1:$O$95,15,0)),0,VLOOKUP($U$1351,'TAR FIN'!$A$1:$O$95,15,0))</f>
        <v>389.28</v>
      </c>
      <c r="Y1351" s="6"/>
      <c r="Z1351" s="6">
        <f ca="1">('TUSD BE'!$AM$16+'TUSD BF'!$AM$16+'TUSD CVA'!$AM$16)*1</f>
        <v>1605.9916314233351</v>
      </c>
      <c r="AA1351" s="6">
        <f>('TE BE'!$AA$7+'TE BF'!$AA$7+'TE CVA'!$AA$7)*1</f>
        <v>454.3285679284046</v>
      </c>
      <c r="AB1351" s="6">
        <f>$K$1351*$V$1351</f>
        <v>0</v>
      </c>
      <c r="AC1351" s="6">
        <f>$M$1351*$W$1351</f>
        <v>1922.6186</v>
      </c>
      <c r="AD1351" s="6">
        <f>$O$1351*$X$1351</f>
        <v>521.63519999999994</v>
      </c>
      <c r="AE1351" s="6">
        <f>$K$1351*$Y$1351</f>
        <v>0</v>
      </c>
      <c r="AF1351" s="6">
        <f ca="1">$M$1351*$Z$1351</f>
        <v>2152.0287861072693</v>
      </c>
      <c r="AG1351" s="6">
        <f>$O$1351*$AA$1351</f>
        <v>608.8002810240622</v>
      </c>
    </row>
    <row r="1352" spans="1:33" ht="11.25" customHeight="1" x14ac:dyDescent="0.25">
      <c r="A1352" s="4" t="s">
        <v>21</v>
      </c>
      <c r="B1352" s="4" t="s">
        <v>35</v>
      </c>
      <c r="C1352" s="4" t="s">
        <v>36</v>
      </c>
      <c r="D1352" s="4" t="s">
        <v>24</v>
      </c>
      <c r="E1352" s="4" t="s">
        <v>24</v>
      </c>
      <c r="F1352" s="4" t="s">
        <v>25</v>
      </c>
      <c r="G1352" s="4" t="s">
        <v>25</v>
      </c>
      <c r="H1352" s="4" t="s">
        <v>37</v>
      </c>
      <c r="I1352" s="5">
        <v>44440</v>
      </c>
      <c r="J1352" s="6">
        <v>0</v>
      </c>
      <c r="K1352" s="6">
        <v>0</v>
      </c>
      <c r="L1352" s="6">
        <v>34.281999999999996</v>
      </c>
      <c r="M1352" s="6">
        <v>34.281999999999996</v>
      </c>
      <c r="N1352" s="6">
        <v>34.281999999999996</v>
      </c>
      <c r="O1352" s="6">
        <v>34.281999999999996</v>
      </c>
      <c r="P1352" s="6">
        <v>0</v>
      </c>
      <c r="Q1352" s="4" t="s">
        <v>26</v>
      </c>
      <c r="R1352" s="4">
        <v>0</v>
      </c>
      <c r="S1352" s="6">
        <v>0</v>
      </c>
      <c r="T1352" s="6">
        <v>24</v>
      </c>
      <c r="U1352" s="6">
        <v>66</v>
      </c>
      <c r="V1352" s="6">
        <f>IF(ISERROR(VLOOKUP($S$1352,'TAR FIN'!$A$1:$O$95,15,0)),0,VLOOKUP($S$1352,'TAR FIN'!$A$1:$O$95,15,0))</f>
        <v>0</v>
      </c>
      <c r="W1352" s="6">
        <f>IF(ISERROR(VLOOKUP($T$1352,'TAR FIN'!$A$1:$O$95,15,0)),0,VLOOKUP($T$1352,'TAR FIN'!$A$1:$O$95,15,0))</f>
        <v>1434.79</v>
      </c>
      <c r="X1352" s="6">
        <f>IF(ISERROR(VLOOKUP($U$1352,'TAR FIN'!$A$1:$O$95,15,0)),0,VLOOKUP($U$1352,'TAR FIN'!$A$1:$O$95,15,0))</f>
        <v>389.28</v>
      </c>
      <c r="Y1352" s="6"/>
      <c r="Z1352" s="6">
        <f ca="1">('TUSD BE'!$AM$16+'TUSD BF'!$AM$16+'TUSD CVA'!$AM$16)*1</f>
        <v>1605.9916314233351</v>
      </c>
      <c r="AA1352" s="6">
        <f>('TE BE'!$AA$7+'TE BF'!$AA$7+'TE CVA'!$AA$7)*1</f>
        <v>454.3285679284046</v>
      </c>
      <c r="AB1352" s="6">
        <f>$K$1352*$V$1352</f>
        <v>0</v>
      </c>
      <c r="AC1352" s="6">
        <f>$M$1352*$W$1352</f>
        <v>49187.470779999996</v>
      </c>
      <c r="AD1352" s="6">
        <f>$O$1352*$X$1352</f>
        <v>13345.296959999998</v>
      </c>
      <c r="AE1352" s="6">
        <f>$K$1352*$Y$1352</f>
        <v>0</v>
      </c>
      <c r="AF1352" s="6">
        <f ca="1">$M$1352*$Z$1352</f>
        <v>55056.605108454765</v>
      </c>
      <c r="AG1352" s="6">
        <f>$O$1352*$AA$1352</f>
        <v>15575.291965721564</v>
      </c>
    </row>
    <row r="1353" spans="1:33" ht="11.25" customHeight="1" x14ac:dyDescent="0.25">
      <c r="A1353" s="4" t="s">
        <v>28</v>
      </c>
      <c r="B1353" s="4" t="s">
        <v>35</v>
      </c>
      <c r="C1353" s="4" t="s">
        <v>36</v>
      </c>
      <c r="D1353" s="4" t="s">
        <v>24</v>
      </c>
      <c r="E1353" s="4" t="s">
        <v>24</v>
      </c>
      <c r="F1353" s="4" t="s">
        <v>25</v>
      </c>
      <c r="G1353" s="4" t="s">
        <v>25</v>
      </c>
      <c r="H1353" s="4" t="s">
        <v>37</v>
      </c>
      <c r="I1353" s="5">
        <v>44440</v>
      </c>
      <c r="J1353" s="6">
        <v>0</v>
      </c>
      <c r="K1353" s="6">
        <v>0</v>
      </c>
      <c r="L1353" s="6">
        <v>1.4259999999999999</v>
      </c>
      <c r="M1353" s="6">
        <v>1.4259999999999999</v>
      </c>
      <c r="N1353" s="6">
        <v>1.4259999999999999</v>
      </c>
      <c r="O1353" s="6">
        <v>1.4259999999999999</v>
      </c>
      <c r="P1353" s="6">
        <v>0</v>
      </c>
      <c r="Q1353" s="4" t="s">
        <v>26</v>
      </c>
      <c r="R1353" s="4">
        <v>0</v>
      </c>
      <c r="S1353" s="6">
        <v>0</v>
      </c>
      <c r="T1353" s="6">
        <v>24</v>
      </c>
      <c r="U1353" s="6">
        <v>66</v>
      </c>
      <c r="V1353" s="6">
        <f>IF(ISERROR(VLOOKUP($S$1353,'TAR FIN'!$A$1:$O$95,15,0)),0,VLOOKUP($S$1353,'TAR FIN'!$A$1:$O$95,15,0))</f>
        <v>0</v>
      </c>
      <c r="W1353" s="6">
        <f>IF(ISERROR(VLOOKUP($T$1353,'TAR FIN'!$A$1:$O$95,15,0)),0,VLOOKUP($T$1353,'TAR FIN'!$A$1:$O$95,15,0))</f>
        <v>1434.79</v>
      </c>
      <c r="X1353" s="6">
        <f>IF(ISERROR(VLOOKUP($U$1353,'TAR FIN'!$A$1:$O$95,15,0)),0,VLOOKUP($U$1353,'TAR FIN'!$A$1:$O$95,15,0))</f>
        <v>389.28</v>
      </c>
      <c r="Y1353" s="6"/>
      <c r="Z1353" s="6">
        <f ca="1">('TUSD BE'!$AM$16+'TUSD BF'!$AM$16+'TUSD CVA'!$AM$16)*1</f>
        <v>1605.9916314233351</v>
      </c>
      <c r="AA1353" s="6">
        <f>('TE BE'!$AA$7+'TE BF'!$AA$7+'TE CVA'!$AA$7)*1</f>
        <v>454.3285679284046</v>
      </c>
      <c r="AB1353" s="6">
        <f>$K$1353*$V$1353</f>
        <v>0</v>
      </c>
      <c r="AC1353" s="6">
        <f>$M$1353*$W$1353</f>
        <v>2046.0105399999998</v>
      </c>
      <c r="AD1353" s="6">
        <f>$O$1353*$X$1353</f>
        <v>555.11327999999992</v>
      </c>
      <c r="AE1353" s="6">
        <f>$K$1353*$Y$1353</f>
        <v>0</v>
      </c>
      <c r="AF1353" s="6">
        <f ca="1">$M$1353*$Z$1353</f>
        <v>2290.1440664096758</v>
      </c>
      <c r="AG1353" s="6">
        <f>$O$1353*$AA$1353</f>
        <v>647.87253786590497</v>
      </c>
    </row>
    <row r="1354" spans="1:33" ht="11.25" customHeight="1" x14ac:dyDescent="0.25">
      <c r="A1354" s="4" t="s">
        <v>59</v>
      </c>
      <c r="B1354" s="4" t="s">
        <v>35</v>
      </c>
      <c r="C1354" s="4" t="s">
        <v>36</v>
      </c>
      <c r="D1354" s="4" t="s">
        <v>24</v>
      </c>
      <c r="E1354" s="4" t="s">
        <v>24</v>
      </c>
      <c r="F1354" s="4" t="s">
        <v>25</v>
      </c>
      <c r="G1354" s="4" t="s">
        <v>25</v>
      </c>
      <c r="H1354" s="4" t="s">
        <v>37</v>
      </c>
      <c r="I1354" s="5">
        <v>44470</v>
      </c>
      <c r="J1354" s="6">
        <v>0</v>
      </c>
      <c r="K1354" s="6">
        <v>0</v>
      </c>
      <c r="L1354" s="6">
        <v>34.281999999999996</v>
      </c>
      <c r="M1354" s="6">
        <v>34.281999999999996</v>
      </c>
      <c r="N1354" s="6">
        <v>34.281999999999996</v>
      </c>
      <c r="O1354" s="6">
        <v>34.281999999999996</v>
      </c>
      <c r="P1354" s="6">
        <v>0</v>
      </c>
      <c r="Q1354" s="4" t="s">
        <v>26</v>
      </c>
      <c r="R1354" s="4">
        <v>0</v>
      </c>
      <c r="S1354" s="6">
        <v>0</v>
      </c>
      <c r="T1354" s="6">
        <v>24</v>
      </c>
      <c r="U1354" s="6">
        <v>66</v>
      </c>
      <c r="V1354" s="6">
        <f>IF(ISERROR(VLOOKUP($S$1354,'TAR FIN'!$A$1:$O$95,15,0)),0,VLOOKUP($S$1354,'TAR FIN'!$A$1:$O$95,15,0))</f>
        <v>0</v>
      </c>
      <c r="W1354" s="6">
        <f>IF(ISERROR(VLOOKUP($T$1354,'TAR FIN'!$A$1:$O$95,15,0)),0,VLOOKUP($T$1354,'TAR FIN'!$A$1:$O$95,15,0))</f>
        <v>1434.79</v>
      </c>
      <c r="X1354" s="6">
        <f>IF(ISERROR(VLOOKUP($U$1354,'TAR FIN'!$A$1:$O$95,15,0)),0,VLOOKUP($U$1354,'TAR FIN'!$A$1:$O$95,15,0))</f>
        <v>389.28</v>
      </c>
      <c r="Y1354" s="6"/>
      <c r="Z1354" s="6">
        <f ca="1">('TUSD BE'!$AM$16+'TUSD BF'!$AM$16+'TUSD CVA'!$AM$16)*1</f>
        <v>1605.9916314233351</v>
      </c>
      <c r="AA1354" s="6">
        <f>('TE BE'!$AA$7+'TE BF'!$AA$7+'TE CVA'!$AA$7)*1</f>
        <v>454.3285679284046</v>
      </c>
      <c r="AB1354" s="6">
        <f>$K$1354*$V$1354</f>
        <v>0</v>
      </c>
      <c r="AC1354" s="6">
        <f>$M$1354*$W$1354</f>
        <v>49187.470779999996</v>
      </c>
      <c r="AD1354" s="6">
        <f>$O$1354*$X$1354</f>
        <v>13345.296959999998</v>
      </c>
      <c r="AE1354" s="6">
        <f>$K$1354*$Y$1354</f>
        <v>0</v>
      </c>
      <c r="AF1354" s="6">
        <f ca="1">$M$1354*$Z$1354</f>
        <v>55056.605108454765</v>
      </c>
      <c r="AG1354" s="6">
        <f>$O$1354*$AA$1354</f>
        <v>15575.291965721564</v>
      </c>
    </row>
    <row r="1355" spans="1:33" ht="11.25" customHeight="1" x14ac:dyDescent="0.25">
      <c r="A1355" s="4" t="s">
        <v>59</v>
      </c>
      <c r="B1355" s="4" t="s">
        <v>35</v>
      </c>
      <c r="C1355" s="4" t="s">
        <v>36</v>
      </c>
      <c r="D1355" s="4" t="s">
        <v>24</v>
      </c>
      <c r="E1355" s="4" t="s">
        <v>24</v>
      </c>
      <c r="F1355" s="4" t="s">
        <v>25</v>
      </c>
      <c r="G1355" s="4" t="s">
        <v>25</v>
      </c>
      <c r="H1355" s="4" t="s">
        <v>37</v>
      </c>
      <c r="I1355" s="5">
        <v>44470</v>
      </c>
      <c r="J1355" s="6">
        <v>0</v>
      </c>
      <c r="K1355" s="6">
        <v>0</v>
      </c>
      <c r="L1355" s="6">
        <v>1.4259999999999999</v>
      </c>
      <c r="M1355" s="6">
        <v>1.4259999999999999</v>
      </c>
      <c r="N1355" s="6">
        <v>1.4259999999999999</v>
      </c>
      <c r="O1355" s="6">
        <v>1.4259999999999999</v>
      </c>
      <c r="P1355" s="6">
        <v>0</v>
      </c>
      <c r="Q1355" s="4" t="s">
        <v>26</v>
      </c>
      <c r="R1355" s="4">
        <v>0</v>
      </c>
      <c r="S1355" s="6">
        <v>0</v>
      </c>
      <c r="T1355" s="6">
        <v>24</v>
      </c>
      <c r="U1355" s="6">
        <v>66</v>
      </c>
      <c r="V1355" s="6">
        <f>IF(ISERROR(VLOOKUP($S$1355,'TAR FIN'!$A$1:$O$95,15,0)),0,VLOOKUP($S$1355,'TAR FIN'!$A$1:$O$95,15,0))</f>
        <v>0</v>
      </c>
      <c r="W1355" s="6">
        <f>IF(ISERROR(VLOOKUP($T$1355,'TAR FIN'!$A$1:$O$95,15,0)),0,VLOOKUP($T$1355,'TAR FIN'!$A$1:$O$95,15,0))</f>
        <v>1434.79</v>
      </c>
      <c r="X1355" s="6">
        <f>IF(ISERROR(VLOOKUP($U$1355,'TAR FIN'!$A$1:$O$95,15,0)),0,VLOOKUP($U$1355,'TAR FIN'!$A$1:$O$95,15,0))</f>
        <v>389.28</v>
      </c>
      <c r="Y1355" s="6"/>
      <c r="Z1355" s="6">
        <f ca="1">('TUSD BE'!$AM$16+'TUSD BF'!$AM$16+'TUSD CVA'!$AM$16)*1</f>
        <v>1605.9916314233351</v>
      </c>
      <c r="AA1355" s="6">
        <f>('TE BE'!$AA$7+'TE BF'!$AA$7+'TE CVA'!$AA$7)*1</f>
        <v>454.3285679284046</v>
      </c>
      <c r="AB1355" s="6">
        <f>$K$1355*$V$1355</f>
        <v>0</v>
      </c>
      <c r="AC1355" s="6">
        <f>$M$1355*$W$1355</f>
        <v>2046.0105399999998</v>
      </c>
      <c r="AD1355" s="6">
        <f>$O$1355*$X$1355</f>
        <v>555.11327999999992</v>
      </c>
      <c r="AE1355" s="6">
        <f>$K$1355*$Y$1355</f>
        <v>0</v>
      </c>
      <c r="AF1355" s="6">
        <f ca="1">$M$1355*$Z$1355</f>
        <v>2290.1440664096758</v>
      </c>
      <c r="AG1355" s="6">
        <f>$O$1355*$AA$1355</f>
        <v>647.87253786590497</v>
      </c>
    </row>
    <row r="1356" spans="1:33" ht="11.25" customHeight="1" x14ac:dyDescent="0.25">
      <c r="A1356" s="4" t="s">
        <v>28</v>
      </c>
      <c r="B1356" s="4" t="s">
        <v>35</v>
      </c>
      <c r="C1356" s="4" t="s">
        <v>36</v>
      </c>
      <c r="D1356" s="4" t="s">
        <v>47</v>
      </c>
      <c r="E1356" s="4" t="s">
        <v>58</v>
      </c>
      <c r="F1356" s="4" t="s">
        <v>56</v>
      </c>
      <c r="G1356" s="4" t="s">
        <v>25</v>
      </c>
      <c r="H1356" s="4" t="s">
        <v>38</v>
      </c>
      <c r="I1356" s="5">
        <v>44378</v>
      </c>
      <c r="J1356" s="6">
        <v>0</v>
      </c>
      <c r="K1356" s="77">
        <v>0</v>
      </c>
      <c r="L1356" s="6">
        <v>4.34</v>
      </c>
      <c r="M1356" s="77">
        <v>4.34</v>
      </c>
      <c r="N1356" s="6">
        <v>4.34</v>
      </c>
      <c r="O1356" s="77">
        <v>4.34</v>
      </c>
      <c r="P1356" s="6">
        <v>0</v>
      </c>
      <c r="Q1356" s="4" t="s">
        <v>26</v>
      </c>
      <c r="R1356" s="4">
        <v>0</v>
      </c>
      <c r="S1356" s="6">
        <v>0</v>
      </c>
      <c r="T1356" s="6">
        <v>19</v>
      </c>
      <c r="U1356" s="6">
        <v>67</v>
      </c>
      <c r="V1356" s="77">
        <f>IF(ISERROR(VLOOKUP($S$1356,'TAR FIN'!$A$1:$O$95,15,0)),0,VLOOKUP($S$1356,'TAR FIN'!$A$1:$O$95,15,0))</f>
        <v>0</v>
      </c>
      <c r="W1356" s="77">
        <f>IF(ISERROR(VLOOKUP($T$1356,'TAR FIN'!$A$1:$O$95,15,0)),0,VLOOKUP($T$1356,'TAR FIN'!$A$1:$O$95,15,0))*(1-0.06)</f>
        <v>140.65219999999999</v>
      </c>
      <c r="X1356" s="77">
        <f>IF(ISERROR(VLOOKUP($U$1356,'TAR FIN'!$A$1:$O$95,15,0)),0,VLOOKUP($U$1356,'TAR FIN'!$A$1:$O$95,15,0))*(1-0.06)</f>
        <v>216.22819999999999</v>
      </c>
      <c r="Y1356" s="77"/>
      <c r="Z1356" s="77">
        <f ca="1">('TUSD BE'!$AM$17+'TUSD BF'!$AM$17+'TUSD CVA'!$AM$17)*1*(1-0.04)</f>
        <v>161.7728460762047</v>
      </c>
      <c r="AA1356" s="77">
        <f>('TE BE'!$AA$8+'TE BF'!$AA$8+'TE CVA'!$AA$8)*1*(1-0.04)</f>
        <v>271.60070372834122</v>
      </c>
      <c r="AB1356" s="6">
        <f>$K$1356*$V$1356</f>
        <v>0</v>
      </c>
      <c r="AC1356" s="6">
        <f>$M$1356*$W$1356</f>
        <v>610.43054799999993</v>
      </c>
      <c r="AD1356" s="6">
        <f>$O$1356*$X$1356</f>
        <v>938.43038799999988</v>
      </c>
      <c r="AE1356" s="6">
        <f>$K$1356*$Y$1356</f>
        <v>0</v>
      </c>
      <c r="AF1356" s="6">
        <f ca="1">$M$1356*$Z$1356</f>
        <v>702.09415197072838</v>
      </c>
      <c r="AG1356" s="6">
        <f>$O$1356*$AA$1356</f>
        <v>1178.7470541810007</v>
      </c>
    </row>
    <row r="1357" spans="1:33" ht="11.25" customHeight="1" x14ac:dyDescent="0.25">
      <c r="A1357" s="4" t="s">
        <v>28</v>
      </c>
      <c r="B1357" s="4" t="s">
        <v>35</v>
      </c>
      <c r="C1357" s="4" t="s">
        <v>36</v>
      </c>
      <c r="D1357" s="4" t="s">
        <v>47</v>
      </c>
      <c r="E1357" s="4" t="s">
        <v>58</v>
      </c>
      <c r="F1357" s="4" t="s">
        <v>56</v>
      </c>
      <c r="G1357" s="4" t="s">
        <v>25</v>
      </c>
      <c r="H1357" s="4" t="s">
        <v>38</v>
      </c>
      <c r="I1357" s="5">
        <v>44409</v>
      </c>
      <c r="J1357" s="6">
        <v>0</v>
      </c>
      <c r="K1357" s="77">
        <v>0</v>
      </c>
      <c r="L1357" s="6">
        <v>12.124000000000001</v>
      </c>
      <c r="M1357" s="77">
        <v>12.124000000000001</v>
      </c>
      <c r="N1357" s="6">
        <v>12.124000000000001</v>
      </c>
      <c r="O1357" s="77">
        <v>12.124000000000001</v>
      </c>
      <c r="P1357" s="6">
        <v>0</v>
      </c>
      <c r="Q1357" s="4" t="s">
        <v>26</v>
      </c>
      <c r="R1357" s="4">
        <v>0</v>
      </c>
      <c r="S1357" s="6">
        <v>0</v>
      </c>
      <c r="T1357" s="6">
        <v>19</v>
      </c>
      <c r="U1357" s="6">
        <v>67</v>
      </c>
      <c r="V1357" s="77">
        <f>IF(ISERROR(VLOOKUP($S$1357,'TAR FIN'!$A$1:$O$95,15,0)),0,VLOOKUP($S$1357,'TAR FIN'!$A$1:$O$95,15,0))</f>
        <v>0</v>
      </c>
      <c r="W1357" s="77">
        <f>IF(ISERROR(VLOOKUP($T$1357,'TAR FIN'!$A$1:$O$95,15,0)),0,VLOOKUP($T$1357,'TAR FIN'!$A$1:$O$95,15,0))*(1-0.06)</f>
        <v>140.65219999999999</v>
      </c>
      <c r="X1357" s="77">
        <f>IF(ISERROR(VLOOKUP($U$1357,'TAR FIN'!$A$1:$O$95,15,0)),0,VLOOKUP($U$1357,'TAR FIN'!$A$1:$O$95,15,0))*(1-0.06)</f>
        <v>216.22819999999999</v>
      </c>
      <c r="Y1357" s="77"/>
      <c r="Z1357" s="77">
        <f ca="1">('TUSD BE'!$AM$17+'TUSD BF'!$AM$17+'TUSD CVA'!$AM$17)*1*(1-0.04)</f>
        <v>161.7728460762047</v>
      </c>
      <c r="AA1357" s="77">
        <f>('TE BE'!$AA$8+'TE BF'!$AA$8+'TE CVA'!$AA$8)*1*(1-0.04)</f>
        <v>271.60070372834122</v>
      </c>
      <c r="AB1357" s="6">
        <f>$K$1357*$V$1357</f>
        <v>0</v>
      </c>
      <c r="AC1357" s="6">
        <f>$M$1357*$W$1357</f>
        <v>1705.2672728</v>
      </c>
      <c r="AD1357" s="6">
        <f>$O$1357*$X$1357</f>
        <v>2621.5506968</v>
      </c>
      <c r="AE1357" s="6">
        <f>$K$1357*$Y$1357</f>
        <v>0</v>
      </c>
      <c r="AF1357" s="6">
        <f ca="1">$M$1357*$Z$1357</f>
        <v>1961.333985827906</v>
      </c>
      <c r="AG1357" s="6">
        <f>$O$1357*$AA$1357</f>
        <v>3292.8869320024091</v>
      </c>
    </row>
    <row r="1358" spans="1:33" ht="11.25" customHeight="1" x14ac:dyDescent="0.25">
      <c r="A1358" s="4" t="s">
        <v>29</v>
      </c>
      <c r="B1358" s="4" t="s">
        <v>35</v>
      </c>
      <c r="C1358" s="4" t="s">
        <v>36</v>
      </c>
      <c r="D1358" s="4" t="s">
        <v>47</v>
      </c>
      <c r="E1358" s="4" t="s">
        <v>58</v>
      </c>
      <c r="F1358" s="4" t="s">
        <v>56</v>
      </c>
      <c r="G1358" s="4" t="s">
        <v>25</v>
      </c>
      <c r="H1358" s="4" t="s">
        <v>38</v>
      </c>
      <c r="I1358" s="5">
        <v>44409</v>
      </c>
      <c r="J1358" s="6">
        <v>0</v>
      </c>
      <c r="K1358" s="77">
        <v>0</v>
      </c>
      <c r="L1358" s="6">
        <v>14.76</v>
      </c>
      <c r="M1358" s="77">
        <v>14.76</v>
      </c>
      <c r="N1358" s="6">
        <v>14.76</v>
      </c>
      <c r="O1358" s="77">
        <v>14.76</v>
      </c>
      <c r="P1358" s="6">
        <v>0</v>
      </c>
      <c r="Q1358" s="4" t="s">
        <v>26</v>
      </c>
      <c r="R1358" s="4">
        <v>0</v>
      </c>
      <c r="S1358" s="6">
        <v>0</v>
      </c>
      <c r="T1358" s="6">
        <v>19</v>
      </c>
      <c r="U1358" s="6">
        <v>67</v>
      </c>
      <c r="V1358" s="77">
        <f>IF(ISERROR(VLOOKUP($S$1358,'TAR FIN'!$A$1:$O$95,15,0)),0,VLOOKUP($S$1358,'TAR FIN'!$A$1:$O$95,15,0))</f>
        <v>0</v>
      </c>
      <c r="W1358" s="77">
        <f>IF(ISERROR(VLOOKUP($T$1358,'TAR FIN'!$A$1:$O$95,15,0)),0,VLOOKUP($T$1358,'TAR FIN'!$A$1:$O$95,15,0))*(1-0.06)</f>
        <v>140.65219999999999</v>
      </c>
      <c r="X1358" s="77">
        <f>IF(ISERROR(VLOOKUP($U$1358,'TAR FIN'!$A$1:$O$95,15,0)),0,VLOOKUP($U$1358,'TAR FIN'!$A$1:$O$95,15,0))*(1-0.06)</f>
        <v>216.22819999999999</v>
      </c>
      <c r="Y1358" s="77"/>
      <c r="Z1358" s="77">
        <f ca="1">('TUSD BE'!$AM$17+'TUSD BF'!$AM$17+'TUSD CVA'!$AM$17)*1*(1-0.04)</f>
        <v>161.7728460762047</v>
      </c>
      <c r="AA1358" s="77">
        <f>('TE BE'!$AA$8+'TE BF'!$AA$8+'TE CVA'!$AA$8)*1*(1-0.04)</f>
        <v>271.60070372834122</v>
      </c>
      <c r="AB1358" s="6">
        <f>$K$1358*$V$1358</f>
        <v>0</v>
      </c>
      <c r="AC1358" s="6">
        <f>$M$1358*$W$1358</f>
        <v>2076.026472</v>
      </c>
      <c r="AD1358" s="6">
        <f>$O$1358*$X$1358</f>
        <v>3191.5282319999997</v>
      </c>
      <c r="AE1358" s="6">
        <f>$K$1358*$Y$1358</f>
        <v>0</v>
      </c>
      <c r="AF1358" s="6">
        <f ca="1">$M$1358*$Z$1358</f>
        <v>2387.7672080847815</v>
      </c>
      <c r="AG1358" s="6">
        <f>$O$1358*$AA$1358</f>
        <v>4008.8263870303163</v>
      </c>
    </row>
    <row r="1359" spans="1:33" ht="11.25" customHeight="1" x14ac:dyDescent="0.25">
      <c r="A1359" s="4" t="s">
        <v>28</v>
      </c>
      <c r="B1359" s="4" t="s">
        <v>35</v>
      </c>
      <c r="C1359" s="4" t="s">
        <v>36</v>
      </c>
      <c r="D1359" s="4" t="s">
        <v>47</v>
      </c>
      <c r="E1359" s="4" t="s">
        <v>58</v>
      </c>
      <c r="F1359" s="4" t="s">
        <v>56</v>
      </c>
      <c r="G1359" s="4" t="s">
        <v>25</v>
      </c>
      <c r="H1359" s="4" t="s">
        <v>38</v>
      </c>
      <c r="I1359" s="5">
        <v>44440</v>
      </c>
      <c r="J1359" s="6">
        <v>0</v>
      </c>
      <c r="K1359" s="77">
        <v>0</v>
      </c>
      <c r="L1359" s="6">
        <v>13.739000000000001</v>
      </c>
      <c r="M1359" s="77">
        <v>13.739000000000001</v>
      </c>
      <c r="N1359" s="6">
        <v>13.739000000000001</v>
      </c>
      <c r="O1359" s="77">
        <v>13.739000000000001</v>
      </c>
      <c r="P1359" s="6">
        <v>0</v>
      </c>
      <c r="Q1359" s="4" t="s">
        <v>26</v>
      </c>
      <c r="R1359" s="4">
        <v>0</v>
      </c>
      <c r="S1359" s="6">
        <v>0</v>
      </c>
      <c r="T1359" s="6">
        <v>19</v>
      </c>
      <c r="U1359" s="6">
        <v>67</v>
      </c>
      <c r="V1359" s="77">
        <f>IF(ISERROR(VLOOKUP($S$1359,'TAR FIN'!$A$1:$O$95,15,0)),0,VLOOKUP($S$1359,'TAR FIN'!$A$1:$O$95,15,0))</f>
        <v>0</v>
      </c>
      <c r="W1359" s="77">
        <f>IF(ISERROR(VLOOKUP($T$1359,'TAR FIN'!$A$1:$O$95,15,0)),0,VLOOKUP($T$1359,'TAR FIN'!$A$1:$O$95,15,0))*(1-0.06)</f>
        <v>140.65219999999999</v>
      </c>
      <c r="X1359" s="77">
        <f>IF(ISERROR(VLOOKUP($U$1359,'TAR FIN'!$A$1:$O$95,15,0)),0,VLOOKUP($U$1359,'TAR FIN'!$A$1:$O$95,15,0))*(1-0.06)</f>
        <v>216.22819999999999</v>
      </c>
      <c r="Y1359" s="77"/>
      <c r="Z1359" s="77">
        <f ca="1">('TUSD BE'!$AM$17+'TUSD BF'!$AM$17+'TUSD CVA'!$AM$17)*1*(1-0.04)</f>
        <v>161.7728460762047</v>
      </c>
      <c r="AA1359" s="77">
        <f>('TE BE'!$AA$8+'TE BF'!$AA$8+'TE CVA'!$AA$8)*1*(1-0.04)</f>
        <v>271.60070372834122</v>
      </c>
      <c r="AB1359" s="6">
        <f>$K$1359*$V$1359</f>
        <v>0</v>
      </c>
      <c r="AC1359" s="6">
        <f>$M$1359*$W$1359</f>
        <v>1932.4205758000001</v>
      </c>
      <c r="AD1359" s="6">
        <f>$O$1359*$X$1359</f>
        <v>2970.7592398000002</v>
      </c>
      <c r="AE1359" s="6">
        <f>$K$1359*$Y$1359</f>
        <v>0</v>
      </c>
      <c r="AF1359" s="6">
        <f ca="1">$M$1359*$Z$1359</f>
        <v>2222.5971322409764</v>
      </c>
      <c r="AG1359" s="6">
        <f>$O$1359*$AA$1359</f>
        <v>3731.52206852368</v>
      </c>
    </row>
    <row r="1360" spans="1:33" ht="11.25" customHeight="1" x14ac:dyDescent="0.25">
      <c r="A1360" s="4" t="s">
        <v>59</v>
      </c>
      <c r="B1360" s="4" t="s">
        <v>35</v>
      </c>
      <c r="C1360" s="4" t="s">
        <v>36</v>
      </c>
      <c r="D1360" s="4" t="s">
        <v>47</v>
      </c>
      <c r="E1360" s="4" t="s">
        <v>58</v>
      </c>
      <c r="F1360" s="4" t="s">
        <v>56</v>
      </c>
      <c r="G1360" s="4" t="s">
        <v>25</v>
      </c>
      <c r="H1360" s="4" t="s">
        <v>38</v>
      </c>
      <c r="I1360" s="5">
        <v>44470</v>
      </c>
      <c r="J1360" s="6">
        <v>0</v>
      </c>
      <c r="K1360" s="77">
        <v>0</v>
      </c>
      <c r="L1360" s="6">
        <v>13.739000000000001</v>
      </c>
      <c r="M1360" s="77">
        <v>13.739000000000001</v>
      </c>
      <c r="N1360" s="6">
        <v>13.739000000000001</v>
      </c>
      <c r="O1360" s="77">
        <v>13.739000000000001</v>
      </c>
      <c r="P1360" s="6">
        <v>0</v>
      </c>
      <c r="Q1360" s="4" t="s">
        <v>26</v>
      </c>
      <c r="R1360" s="4">
        <v>0</v>
      </c>
      <c r="S1360" s="6">
        <v>0</v>
      </c>
      <c r="T1360" s="6">
        <v>19</v>
      </c>
      <c r="U1360" s="6">
        <v>67</v>
      </c>
      <c r="V1360" s="77">
        <f>IF(ISERROR(VLOOKUP($S$1360,'TAR FIN'!$A$1:$O$95,15,0)),0,VLOOKUP($S$1360,'TAR FIN'!$A$1:$O$95,15,0))</f>
        <v>0</v>
      </c>
      <c r="W1360" s="77">
        <f>IF(ISERROR(VLOOKUP($T$1360,'TAR FIN'!$A$1:$O$95,15,0)),0,VLOOKUP($T$1360,'TAR FIN'!$A$1:$O$95,15,0))*(1-0.06)</f>
        <v>140.65219999999999</v>
      </c>
      <c r="X1360" s="77">
        <f>IF(ISERROR(VLOOKUP($U$1360,'TAR FIN'!$A$1:$O$95,15,0)),0,VLOOKUP($U$1360,'TAR FIN'!$A$1:$O$95,15,0))*(1-0.06)</f>
        <v>216.22819999999999</v>
      </c>
      <c r="Y1360" s="77"/>
      <c r="Z1360" s="77">
        <f ca="1">('TUSD BE'!$AM$17+'TUSD BF'!$AM$17+'TUSD CVA'!$AM$17)*1*(1-0.04)</f>
        <v>161.7728460762047</v>
      </c>
      <c r="AA1360" s="77">
        <f>('TE BE'!$AA$8+'TE BF'!$AA$8+'TE CVA'!$AA$8)*1*(1-0.04)</f>
        <v>271.60070372834122</v>
      </c>
      <c r="AB1360" s="6">
        <f>$K$1360*$V$1360</f>
        <v>0</v>
      </c>
      <c r="AC1360" s="6">
        <f>$M$1360*$W$1360</f>
        <v>1932.4205758000001</v>
      </c>
      <c r="AD1360" s="6">
        <f>$O$1360*$X$1360</f>
        <v>2970.7592398000002</v>
      </c>
      <c r="AE1360" s="6">
        <f>$K$1360*$Y$1360</f>
        <v>0</v>
      </c>
      <c r="AF1360" s="6">
        <f ca="1">$M$1360*$Z$1360</f>
        <v>2222.5971322409764</v>
      </c>
      <c r="AG1360" s="6">
        <f>$O$1360*$AA$1360</f>
        <v>3731.52206852368</v>
      </c>
    </row>
    <row r="1361" spans="1:33" ht="11.25" customHeight="1" x14ac:dyDescent="0.25">
      <c r="A1361" s="4" t="s">
        <v>28</v>
      </c>
      <c r="B1361" s="4" t="s">
        <v>35</v>
      </c>
      <c r="C1361" s="4" t="s">
        <v>36</v>
      </c>
      <c r="D1361" s="4" t="s">
        <v>47</v>
      </c>
      <c r="E1361" s="4" t="s">
        <v>58</v>
      </c>
      <c r="F1361" s="4" t="s">
        <v>56</v>
      </c>
      <c r="G1361" s="4" t="s">
        <v>25</v>
      </c>
      <c r="H1361" s="4" t="s">
        <v>37</v>
      </c>
      <c r="I1361" s="5">
        <v>44378</v>
      </c>
      <c r="J1361" s="6">
        <v>0</v>
      </c>
      <c r="K1361" s="77">
        <v>0</v>
      </c>
      <c r="L1361" s="6">
        <v>3.7519999999999998</v>
      </c>
      <c r="M1361" s="77">
        <v>3.7519999999999998</v>
      </c>
      <c r="N1361" s="6">
        <v>3.7519999999999998</v>
      </c>
      <c r="O1361" s="77">
        <v>3.7519999999999998</v>
      </c>
      <c r="P1361" s="6">
        <v>0</v>
      </c>
      <c r="Q1361" s="4" t="s">
        <v>26</v>
      </c>
      <c r="R1361" s="4">
        <v>0</v>
      </c>
      <c r="S1361" s="6">
        <v>0</v>
      </c>
      <c r="T1361" s="6">
        <v>24</v>
      </c>
      <c r="U1361" s="6">
        <v>66</v>
      </c>
      <c r="V1361" s="77">
        <f>IF(ISERROR(VLOOKUP($S$1361,'TAR FIN'!$A$1:$O$95,15,0)),0,VLOOKUP($S$1361,'TAR FIN'!$A$1:$O$95,15,0))</f>
        <v>0</v>
      </c>
      <c r="W1361" s="77">
        <f>IF(ISERROR(VLOOKUP($T$1361,'TAR FIN'!$A$1:$O$95,15,0)),0,VLOOKUP($T$1361,'TAR FIN'!$A$1:$O$95,15,0))*(1-0.06)</f>
        <v>1348.7025999999998</v>
      </c>
      <c r="X1361" s="77">
        <f>IF(ISERROR(VLOOKUP($U$1361,'TAR FIN'!$A$1:$O$95,15,0)),0,VLOOKUP($U$1361,'TAR FIN'!$A$1:$O$95,15,0))*(1-0.06)</f>
        <v>365.92319999999995</v>
      </c>
      <c r="Y1361" s="77"/>
      <c r="Z1361" s="77">
        <f ca="1">('TUSD BE'!$AM$16+'TUSD BF'!$AM$16+'TUSD CVA'!$AM$16)*1*(1-0.04)</f>
        <v>1541.7519661664016</v>
      </c>
      <c r="AA1361" s="77">
        <f>('TE BE'!$AA$7+'TE BF'!$AA$7+'TE CVA'!$AA$7)*1*(1-0.04)</f>
        <v>436.15542521126838</v>
      </c>
      <c r="AB1361" s="6">
        <f>$K$1361*$V$1361</f>
        <v>0</v>
      </c>
      <c r="AC1361" s="6">
        <f>$M$1361*$W$1361</f>
        <v>5060.3321551999989</v>
      </c>
      <c r="AD1361" s="6">
        <f>$O$1361*$X$1361</f>
        <v>1372.9438463999998</v>
      </c>
      <c r="AE1361" s="6">
        <f>$K$1361*$Y$1361</f>
        <v>0</v>
      </c>
      <c r="AF1361" s="6">
        <f ca="1">$M$1361*$Z$1361</f>
        <v>5784.6533770563383</v>
      </c>
      <c r="AG1361" s="6">
        <f>$O$1361*$AA$1361</f>
        <v>1636.4551553926788</v>
      </c>
    </row>
    <row r="1362" spans="1:33" ht="11.25" customHeight="1" x14ac:dyDescent="0.25">
      <c r="A1362" s="4" t="s">
        <v>28</v>
      </c>
      <c r="B1362" s="4" t="s">
        <v>35</v>
      </c>
      <c r="C1362" s="4" t="s">
        <v>36</v>
      </c>
      <c r="D1362" s="4" t="s">
        <v>47</v>
      </c>
      <c r="E1362" s="4" t="s">
        <v>58</v>
      </c>
      <c r="F1362" s="4" t="s">
        <v>56</v>
      </c>
      <c r="G1362" s="4" t="s">
        <v>25</v>
      </c>
      <c r="H1362" s="4" t="s">
        <v>37</v>
      </c>
      <c r="I1362" s="5">
        <v>44409</v>
      </c>
      <c r="J1362" s="6">
        <v>0</v>
      </c>
      <c r="K1362" s="77">
        <v>0</v>
      </c>
      <c r="L1362" s="6">
        <v>0.28000000000000003</v>
      </c>
      <c r="M1362" s="77">
        <v>0.28000000000000003</v>
      </c>
      <c r="N1362" s="6">
        <v>0.28000000000000003</v>
      </c>
      <c r="O1362" s="77">
        <v>0.28000000000000003</v>
      </c>
      <c r="P1362" s="6">
        <v>0</v>
      </c>
      <c r="Q1362" s="4" t="s">
        <v>26</v>
      </c>
      <c r="R1362" s="4">
        <v>0</v>
      </c>
      <c r="S1362" s="6">
        <v>0</v>
      </c>
      <c r="T1362" s="6">
        <v>24</v>
      </c>
      <c r="U1362" s="6">
        <v>66</v>
      </c>
      <c r="V1362" s="77">
        <f>IF(ISERROR(VLOOKUP($S$1362,'TAR FIN'!$A$1:$O$95,15,0)),0,VLOOKUP($S$1362,'TAR FIN'!$A$1:$O$95,15,0))</f>
        <v>0</v>
      </c>
      <c r="W1362" s="77">
        <f>IF(ISERROR(VLOOKUP($T$1362,'TAR FIN'!$A$1:$O$95,15,0)),0,VLOOKUP($T$1362,'TAR FIN'!$A$1:$O$95,15,0))*(1-0.06)</f>
        <v>1348.7025999999998</v>
      </c>
      <c r="X1362" s="77">
        <f>IF(ISERROR(VLOOKUP($U$1362,'TAR FIN'!$A$1:$O$95,15,0)),0,VLOOKUP($U$1362,'TAR FIN'!$A$1:$O$95,15,0))*(1-0.06)</f>
        <v>365.92319999999995</v>
      </c>
      <c r="Y1362" s="77"/>
      <c r="Z1362" s="77">
        <f ca="1">('TUSD BE'!$AM$16+'TUSD BF'!$AM$16+'TUSD CVA'!$AM$16)*1*(1-0.04)</f>
        <v>1541.7519661664016</v>
      </c>
      <c r="AA1362" s="77">
        <f>('TE BE'!$AA$7+'TE BF'!$AA$7+'TE CVA'!$AA$7)*1*(1-0.04)</f>
        <v>436.15542521126838</v>
      </c>
      <c r="AB1362" s="6">
        <f>$K$1362*$V$1362</f>
        <v>0</v>
      </c>
      <c r="AC1362" s="6">
        <f>$M$1362*$W$1362</f>
        <v>377.63672800000001</v>
      </c>
      <c r="AD1362" s="6">
        <f>$O$1362*$X$1362</f>
        <v>102.458496</v>
      </c>
      <c r="AE1362" s="6">
        <f>$K$1362*$Y$1362</f>
        <v>0</v>
      </c>
      <c r="AF1362" s="6">
        <f ca="1">$M$1362*$Z$1362</f>
        <v>431.69055052659252</v>
      </c>
      <c r="AG1362" s="6">
        <f>$O$1362*$AA$1362</f>
        <v>122.12351905915516</v>
      </c>
    </row>
    <row r="1363" spans="1:33" ht="11.25" customHeight="1" x14ac:dyDescent="0.25">
      <c r="A1363" s="4" t="s">
        <v>28</v>
      </c>
      <c r="B1363" s="4" t="s">
        <v>35</v>
      </c>
      <c r="C1363" s="4" t="s">
        <v>36</v>
      </c>
      <c r="D1363" s="4" t="s">
        <v>47</v>
      </c>
      <c r="E1363" s="4" t="s">
        <v>58</v>
      </c>
      <c r="F1363" s="4" t="s">
        <v>56</v>
      </c>
      <c r="G1363" s="4" t="s">
        <v>25</v>
      </c>
      <c r="H1363" s="4" t="s">
        <v>37</v>
      </c>
      <c r="I1363" s="5">
        <v>44440</v>
      </c>
      <c r="J1363" s="6">
        <v>0</v>
      </c>
      <c r="K1363" s="77">
        <v>0</v>
      </c>
      <c r="L1363" s="6">
        <v>0.313</v>
      </c>
      <c r="M1363" s="77">
        <v>0.313</v>
      </c>
      <c r="N1363" s="6">
        <v>0.313</v>
      </c>
      <c r="O1363" s="77">
        <v>0.313</v>
      </c>
      <c r="P1363" s="6">
        <v>0</v>
      </c>
      <c r="Q1363" s="4" t="s">
        <v>26</v>
      </c>
      <c r="R1363" s="4">
        <v>0</v>
      </c>
      <c r="S1363" s="6">
        <v>0</v>
      </c>
      <c r="T1363" s="6">
        <v>24</v>
      </c>
      <c r="U1363" s="6">
        <v>66</v>
      </c>
      <c r="V1363" s="77">
        <f>IF(ISERROR(VLOOKUP($S$1363,'TAR FIN'!$A$1:$O$95,15,0)),0,VLOOKUP($S$1363,'TAR FIN'!$A$1:$O$95,15,0))</f>
        <v>0</v>
      </c>
      <c r="W1363" s="77">
        <f>IF(ISERROR(VLOOKUP($T$1363,'TAR FIN'!$A$1:$O$95,15,0)),0,VLOOKUP($T$1363,'TAR FIN'!$A$1:$O$95,15,0))*(1-0.06)</f>
        <v>1348.7025999999998</v>
      </c>
      <c r="X1363" s="77">
        <f>IF(ISERROR(VLOOKUP($U$1363,'TAR FIN'!$A$1:$O$95,15,0)),0,VLOOKUP($U$1363,'TAR FIN'!$A$1:$O$95,15,0))*(1-0.06)</f>
        <v>365.92319999999995</v>
      </c>
      <c r="Y1363" s="77"/>
      <c r="Z1363" s="77">
        <f ca="1">('TUSD BE'!$AM$16+'TUSD BF'!$AM$16+'TUSD CVA'!$AM$16)*1*(1-0.04)</f>
        <v>1541.7519661664016</v>
      </c>
      <c r="AA1363" s="77">
        <f>('TE BE'!$AA$7+'TE BF'!$AA$7+'TE CVA'!$AA$7)*1*(1-0.04)</f>
        <v>436.15542521126838</v>
      </c>
      <c r="AB1363" s="6">
        <f>$K$1363*$V$1363</f>
        <v>0</v>
      </c>
      <c r="AC1363" s="6">
        <f>$M$1363*$W$1363</f>
        <v>422.14391379999995</v>
      </c>
      <c r="AD1363" s="6">
        <f>$O$1363*$X$1363</f>
        <v>114.53396159999998</v>
      </c>
      <c r="AE1363" s="6">
        <f>$K$1363*$Y$1363</f>
        <v>0</v>
      </c>
      <c r="AF1363" s="6">
        <f ca="1">$M$1363*$Z$1363</f>
        <v>482.56836541008374</v>
      </c>
      <c r="AG1363" s="6">
        <f>$O$1363*$AA$1363</f>
        <v>136.516648091127</v>
      </c>
    </row>
    <row r="1364" spans="1:33" ht="11.25" customHeight="1" x14ac:dyDescent="0.25">
      <c r="A1364" s="4" t="s">
        <v>59</v>
      </c>
      <c r="B1364" s="4" t="s">
        <v>35</v>
      </c>
      <c r="C1364" s="4" t="s">
        <v>36</v>
      </c>
      <c r="D1364" s="4" t="s">
        <v>47</v>
      </c>
      <c r="E1364" s="4" t="s">
        <v>58</v>
      </c>
      <c r="F1364" s="4" t="s">
        <v>56</v>
      </c>
      <c r="G1364" s="4" t="s">
        <v>25</v>
      </c>
      <c r="H1364" s="4" t="s">
        <v>37</v>
      </c>
      <c r="I1364" s="5">
        <v>44470</v>
      </c>
      <c r="J1364" s="6">
        <v>0</v>
      </c>
      <c r="K1364" s="77">
        <v>0</v>
      </c>
      <c r="L1364" s="6">
        <v>0.313</v>
      </c>
      <c r="M1364" s="77">
        <v>0.313</v>
      </c>
      <c r="N1364" s="6">
        <v>0.313</v>
      </c>
      <c r="O1364" s="77">
        <v>0.313</v>
      </c>
      <c r="P1364" s="6">
        <v>0</v>
      </c>
      <c r="Q1364" s="4" t="s">
        <v>26</v>
      </c>
      <c r="R1364" s="4">
        <v>0</v>
      </c>
      <c r="S1364" s="6">
        <v>0</v>
      </c>
      <c r="T1364" s="6">
        <v>24</v>
      </c>
      <c r="U1364" s="6">
        <v>66</v>
      </c>
      <c r="V1364" s="77">
        <f>IF(ISERROR(VLOOKUP($S$1364,'TAR FIN'!$A$1:$O$95,15,0)),0,VLOOKUP($S$1364,'TAR FIN'!$A$1:$O$95,15,0))</f>
        <v>0</v>
      </c>
      <c r="W1364" s="77">
        <f>IF(ISERROR(VLOOKUP($T$1364,'TAR FIN'!$A$1:$O$95,15,0)),0,VLOOKUP($T$1364,'TAR FIN'!$A$1:$O$95,15,0))*(1-0.06)</f>
        <v>1348.7025999999998</v>
      </c>
      <c r="X1364" s="77">
        <f>IF(ISERROR(VLOOKUP($U$1364,'TAR FIN'!$A$1:$O$95,15,0)),0,VLOOKUP($U$1364,'TAR FIN'!$A$1:$O$95,15,0))*(1-0.06)</f>
        <v>365.92319999999995</v>
      </c>
      <c r="Y1364" s="77"/>
      <c r="Z1364" s="77">
        <f ca="1">('TUSD BE'!$AM$16+'TUSD BF'!$AM$16+'TUSD CVA'!$AM$16)*1*(1-0.04)</f>
        <v>1541.7519661664016</v>
      </c>
      <c r="AA1364" s="77">
        <f>('TE BE'!$AA$7+'TE BF'!$AA$7+'TE CVA'!$AA$7)*1*(1-0.04)</f>
        <v>436.15542521126838</v>
      </c>
      <c r="AB1364" s="6">
        <f>$K$1364*$V$1364</f>
        <v>0</v>
      </c>
      <c r="AC1364" s="6">
        <f>$M$1364*$W$1364</f>
        <v>422.14391379999995</v>
      </c>
      <c r="AD1364" s="6">
        <f>$O$1364*$X$1364</f>
        <v>114.53396159999998</v>
      </c>
      <c r="AE1364" s="6">
        <f>$K$1364*$Y$1364</f>
        <v>0</v>
      </c>
      <c r="AF1364" s="6">
        <f ca="1">$M$1364*$Z$1364</f>
        <v>482.56836541008374</v>
      </c>
      <c r="AG1364" s="6">
        <f>$O$1364*$AA$1364</f>
        <v>136.516648091127</v>
      </c>
    </row>
    <row r="1365" spans="1:33" ht="11.25" customHeight="1" x14ac:dyDescent="0.25">
      <c r="A1365" s="4" t="s">
        <v>28</v>
      </c>
      <c r="B1365" s="4" t="s">
        <v>35</v>
      </c>
      <c r="C1365" s="4" t="s">
        <v>36</v>
      </c>
      <c r="D1365" s="4" t="s">
        <v>47</v>
      </c>
      <c r="E1365" s="4" t="s">
        <v>58</v>
      </c>
      <c r="F1365" s="4" t="s">
        <v>57</v>
      </c>
      <c r="G1365" s="4" t="s">
        <v>25</v>
      </c>
      <c r="H1365" s="4" t="s">
        <v>38</v>
      </c>
      <c r="I1365" s="5">
        <v>44378</v>
      </c>
      <c r="J1365" s="6">
        <v>0</v>
      </c>
      <c r="K1365" s="6">
        <v>0</v>
      </c>
      <c r="L1365" s="6">
        <v>3.7240000000000002</v>
      </c>
      <c r="M1365" s="6">
        <v>3.5005600000000001</v>
      </c>
      <c r="N1365" s="6">
        <v>3.7240000000000002</v>
      </c>
      <c r="O1365" s="6">
        <v>3.5005600000000001</v>
      </c>
      <c r="P1365" s="6">
        <v>0</v>
      </c>
      <c r="Q1365" s="4" t="s">
        <v>26</v>
      </c>
      <c r="R1365" s="4">
        <v>0</v>
      </c>
      <c r="S1365" s="6">
        <v>0</v>
      </c>
      <c r="T1365" s="6">
        <v>19</v>
      </c>
      <c r="U1365" s="6">
        <v>67</v>
      </c>
      <c r="V1365" s="6">
        <f>IF(ISERROR(VLOOKUP($S$1365,'TAR FIN'!$A$1:$O$95,15,0)),0,VLOOKUP($S$1365,'TAR FIN'!$A$1:$O$95,15,0))</f>
        <v>0</v>
      </c>
      <c r="W1365" s="6">
        <f>IF(ISERROR(VLOOKUP($T$1365,'TAR FIN'!$A$1:$O$95,15,0)),0,VLOOKUP($T$1365,'TAR FIN'!$A$1:$O$95,15,0))</f>
        <v>149.63</v>
      </c>
      <c r="X1365" s="6">
        <f>IF(ISERROR(VLOOKUP($U$1365,'TAR FIN'!$A$1:$O$95,15,0)),0,VLOOKUP($U$1365,'TAR FIN'!$A$1:$O$95,15,0))</f>
        <v>230.03</v>
      </c>
      <c r="Y1365" s="6"/>
      <c r="Z1365" s="6">
        <f ca="1">('TUSD BE'!$AM$17+'TUSD BF'!$AM$17+'TUSD CVA'!$AM$17)*1</f>
        <v>168.51338132937991</v>
      </c>
      <c r="AA1365" s="6">
        <f>('TE BE'!$AA$8+'TE BF'!$AA$8+'TE CVA'!$AA$8)*1</f>
        <v>282.91739971702214</v>
      </c>
      <c r="AB1365" s="6">
        <f>$K$1365*$V$1365</f>
        <v>0</v>
      </c>
      <c r="AC1365" s="6">
        <f>$M$1365*$W$1365</f>
        <v>523.78879280000001</v>
      </c>
      <c r="AD1365" s="6">
        <f>$O$1365*$X$1365</f>
        <v>805.2338168</v>
      </c>
      <c r="AE1365" s="6">
        <f>$K$1365*$Y$1365</f>
        <v>0</v>
      </c>
      <c r="AF1365" s="6">
        <f ca="1">$M$1365*$Z$1365</f>
        <v>589.89120214637421</v>
      </c>
      <c r="AG1365" s="6">
        <f>$O$1365*$AA$1365</f>
        <v>990.36933275341903</v>
      </c>
    </row>
    <row r="1366" spans="1:33" ht="11.25" customHeight="1" x14ac:dyDescent="0.25">
      <c r="A1366" s="4" t="s">
        <v>28</v>
      </c>
      <c r="B1366" s="4" t="s">
        <v>35</v>
      </c>
      <c r="C1366" s="4" t="s">
        <v>36</v>
      </c>
      <c r="D1366" s="4" t="s">
        <v>47</v>
      </c>
      <c r="E1366" s="4" t="s">
        <v>58</v>
      </c>
      <c r="F1366" s="4" t="s">
        <v>57</v>
      </c>
      <c r="G1366" s="4" t="s">
        <v>25</v>
      </c>
      <c r="H1366" s="4" t="s">
        <v>38</v>
      </c>
      <c r="I1366" s="5">
        <v>44409</v>
      </c>
      <c r="J1366" s="6">
        <v>0</v>
      </c>
      <c r="K1366" s="6">
        <v>0</v>
      </c>
      <c r="L1366" s="6">
        <v>7.1680000000000001</v>
      </c>
      <c r="M1366" s="6">
        <v>6.7379199999999999</v>
      </c>
      <c r="N1366" s="6">
        <v>7.1680000000000001</v>
      </c>
      <c r="O1366" s="6">
        <v>6.7379199999999999</v>
      </c>
      <c r="P1366" s="6">
        <v>0</v>
      </c>
      <c r="Q1366" s="4" t="s">
        <v>26</v>
      </c>
      <c r="R1366" s="4">
        <v>0</v>
      </c>
      <c r="S1366" s="6">
        <v>0</v>
      </c>
      <c r="T1366" s="6">
        <v>19</v>
      </c>
      <c r="U1366" s="6">
        <v>67</v>
      </c>
      <c r="V1366" s="6">
        <f>IF(ISERROR(VLOOKUP($S$1366,'TAR FIN'!$A$1:$O$95,15,0)),0,VLOOKUP($S$1366,'TAR FIN'!$A$1:$O$95,15,0))</f>
        <v>0</v>
      </c>
      <c r="W1366" s="6">
        <f>IF(ISERROR(VLOOKUP($T$1366,'TAR FIN'!$A$1:$O$95,15,0)),0,VLOOKUP($T$1366,'TAR FIN'!$A$1:$O$95,15,0))</f>
        <v>149.63</v>
      </c>
      <c r="X1366" s="6">
        <f>IF(ISERROR(VLOOKUP($U$1366,'TAR FIN'!$A$1:$O$95,15,0)),0,VLOOKUP($U$1366,'TAR FIN'!$A$1:$O$95,15,0))</f>
        <v>230.03</v>
      </c>
      <c r="Y1366" s="6"/>
      <c r="Z1366" s="6">
        <f ca="1">('TUSD BE'!$AM$17+'TUSD BF'!$AM$17+'TUSD CVA'!$AM$17)*1</f>
        <v>168.51338132937991</v>
      </c>
      <c r="AA1366" s="6">
        <f>('TE BE'!$AA$8+'TE BF'!$AA$8+'TE CVA'!$AA$8)*1</f>
        <v>282.91739971702214</v>
      </c>
      <c r="AB1366" s="6">
        <f>$K$1366*$V$1366</f>
        <v>0</v>
      </c>
      <c r="AC1366" s="6">
        <f>$M$1366*$W$1366</f>
        <v>1008.1949695999999</v>
      </c>
      <c r="AD1366" s="6">
        <f>$O$1366*$X$1366</f>
        <v>1549.9237376000001</v>
      </c>
      <c r="AE1366" s="6">
        <f>$K$1366*$Y$1366</f>
        <v>0</v>
      </c>
      <c r="AF1366" s="6">
        <f ca="1">$M$1366*$Z$1366</f>
        <v>1135.4296823268555</v>
      </c>
      <c r="AG1366" s="6">
        <f>$O$1366*$AA$1366</f>
        <v>1906.2748059013177</v>
      </c>
    </row>
    <row r="1367" spans="1:33" ht="11.25" customHeight="1" x14ac:dyDescent="0.25">
      <c r="A1367" s="4" t="s">
        <v>29</v>
      </c>
      <c r="B1367" s="4" t="s">
        <v>35</v>
      </c>
      <c r="C1367" s="4" t="s">
        <v>36</v>
      </c>
      <c r="D1367" s="4" t="s">
        <v>47</v>
      </c>
      <c r="E1367" s="4" t="s">
        <v>58</v>
      </c>
      <c r="F1367" s="4" t="s">
        <v>57</v>
      </c>
      <c r="G1367" s="4" t="s">
        <v>25</v>
      </c>
      <c r="H1367" s="4" t="s">
        <v>38</v>
      </c>
      <c r="I1367" s="5">
        <v>44409</v>
      </c>
      <c r="J1367" s="6">
        <v>0</v>
      </c>
      <c r="K1367" s="6">
        <v>0</v>
      </c>
      <c r="L1367" s="6">
        <v>3.6589999999999998</v>
      </c>
      <c r="M1367" s="6">
        <v>3.4394599999999995</v>
      </c>
      <c r="N1367" s="6">
        <v>3.6589999999999998</v>
      </c>
      <c r="O1367" s="6">
        <v>3.4394599999999995</v>
      </c>
      <c r="P1367" s="6">
        <v>0</v>
      </c>
      <c r="Q1367" s="4" t="s">
        <v>26</v>
      </c>
      <c r="R1367" s="4">
        <v>0</v>
      </c>
      <c r="S1367" s="6">
        <v>0</v>
      </c>
      <c r="T1367" s="6">
        <v>19</v>
      </c>
      <c r="U1367" s="6">
        <v>67</v>
      </c>
      <c r="V1367" s="6">
        <f>IF(ISERROR(VLOOKUP($S$1367,'TAR FIN'!$A$1:$O$95,15,0)),0,VLOOKUP($S$1367,'TAR FIN'!$A$1:$O$95,15,0))</f>
        <v>0</v>
      </c>
      <c r="W1367" s="6">
        <f>IF(ISERROR(VLOOKUP($T$1367,'TAR FIN'!$A$1:$O$95,15,0)),0,VLOOKUP($T$1367,'TAR FIN'!$A$1:$O$95,15,0))</f>
        <v>149.63</v>
      </c>
      <c r="X1367" s="6">
        <f>IF(ISERROR(VLOOKUP($U$1367,'TAR FIN'!$A$1:$O$95,15,0)),0,VLOOKUP($U$1367,'TAR FIN'!$A$1:$O$95,15,0))</f>
        <v>230.03</v>
      </c>
      <c r="Y1367" s="6"/>
      <c r="Z1367" s="6">
        <f ca="1">('TUSD BE'!$AM$17+'TUSD BF'!$AM$17+'TUSD CVA'!$AM$17)*1</f>
        <v>168.51338132937991</v>
      </c>
      <c r="AA1367" s="6">
        <f>('TE BE'!$AA$8+'TE BF'!$AA$8+'TE CVA'!$AA$8)*1</f>
        <v>282.91739971702214</v>
      </c>
      <c r="AB1367" s="6">
        <f>$K$1367*$V$1367</f>
        <v>0</v>
      </c>
      <c r="AC1367" s="6">
        <f>$M$1367*$W$1367</f>
        <v>514.64639979999993</v>
      </c>
      <c r="AD1367" s="6">
        <f>$O$1367*$X$1367</f>
        <v>791.17898379999986</v>
      </c>
      <c r="AE1367" s="6">
        <f>$K$1367*$Y$1367</f>
        <v>0</v>
      </c>
      <c r="AF1367" s="6">
        <f ca="1">$M$1367*$Z$1367</f>
        <v>579.595034547149</v>
      </c>
      <c r="AG1367" s="6">
        <f>$O$1367*$AA$1367</f>
        <v>973.08307963070877</v>
      </c>
    </row>
    <row r="1368" spans="1:33" ht="11.25" customHeight="1" x14ac:dyDescent="0.25">
      <c r="A1368" s="4" t="s">
        <v>28</v>
      </c>
      <c r="B1368" s="4" t="s">
        <v>35</v>
      </c>
      <c r="C1368" s="4" t="s">
        <v>36</v>
      </c>
      <c r="D1368" s="4" t="s">
        <v>47</v>
      </c>
      <c r="E1368" s="4" t="s">
        <v>58</v>
      </c>
      <c r="F1368" s="4" t="s">
        <v>57</v>
      </c>
      <c r="G1368" s="4" t="s">
        <v>25</v>
      </c>
      <c r="H1368" s="4" t="s">
        <v>38</v>
      </c>
      <c r="I1368" s="5">
        <v>44440</v>
      </c>
      <c r="J1368" s="6">
        <v>0</v>
      </c>
      <c r="K1368" s="6">
        <v>0</v>
      </c>
      <c r="L1368" s="6">
        <v>11.260999999999999</v>
      </c>
      <c r="M1368" s="6">
        <v>10.585339999999999</v>
      </c>
      <c r="N1368" s="6">
        <v>11.260999999999999</v>
      </c>
      <c r="O1368" s="6">
        <v>10.585339999999999</v>
      </c>
      <c r="P1368" s="6">
        <v>0</v>
      </c>
      <c r="Q1368" s="4" t="s">
        <v>26</v>
      </c>
      <c r="R1368" s="4">
        <v>0</v>
      </c>
      <c r="S1368" s="6">
        <v>0</v>
      </c>
      <c r="T1368" s="6">
        <v>19</v>
      </c>
      <c r="U1368" s="6">
        <v>67</v>
      </c>
      <c r="V1368" s="6">
        <f>IF(ISERROR(VLOOKUP($S$1368,'TAR FIN'!$A$1:$O$95,15,0)),0,VLOOKUP($S$1368,'TAR FIN'!$A$1:$O$95,15,0))</f>
        <v>0</v>
      </c>
      <c r="W1368" s="6">
        <f>IF(ISERROR(VLOOKUP($T$1368,'TAR FIN'!$A$1:$O$95,15,0)),0,VLOOKUP($T$1368,'TAR FIN'!$A$1:$O$95,15,0))</f>
        <v>149.63</v>
      </c>
      <c r="X1368" s="6">
        <f>IF(ISERROR(VLOOKUP($U$1368,'TAR FIN'!$A$1:$O$95,15,0)),0,VLOOKUP($U$1368,'TAR FIN'!$A$1:$O$95,15,0))</f>
        <v>230.03</v>
      </c>
      <c r="Y1368" s="6"/>
      <c r="Z1368" s="6">
        <f ca="1">('TUSD BE'!$AM$17+'TUSD BF'!$AM$17+'TUSD CVA'!$AM$17)*1</f>
        <v>168.51338132937991</v>
      </c>
      <c r="AA1368" s="6">
        <f>('TE BE'!$AA$8+'TE BF'!$AA$8+'TE CVA'!$AA$8)*1</f>
        <v>282.91739971702214</v>
      </c>
      <c r="AB1368" s="6">
        <f>$K$1368*$V$1368</f>
        <v>0</v>
      </c>
      <c r="AC1368" s="6">
        <f>$M$1368*$W$1368</f>
        <v>1583.8844241999998</v>
      </c>
      <c r="AD1368" s="6">
        <f>$O$1368*$X$1368</f>
        <v>2434.9457601999998</v>
      </c>
      <c r="AE1368" s="6">
        <f>$K$1368*$Y$1368</f>
        <v>0</v>
      </c>
      <c r="AF1368" s="6">
        <f ca="1">$M$1368*$Z$1368</f>
        <v>1783.7714359211382</v>
      </c>
      <c r="AG1368" s="6">
        <f>$O$1368*$AA$1368</f>
        <v>2994.7768679205828</v>
      </c>
    </row>
    <row r="1369" spans="1:33" ht="11.25" customHeight="1" x14ac:dyDescent="0.25">
      <c r="A1369" s="4" t="s">
        <v>59</v>
      </c>
      <c r="B1369" s="4" t="s">
        <v>35</v>
      </c>
      <c r="C1369" s="4" t="s">
        <v>36</v>
      </c>
      <c r="D1369" s="4" t="s">
        <v>47</v>
      </c>
      <c r="E1369" s="4" t="s">
        <v>58</v>
      </c>
      <c r="F1369" s="4" t="s">
        <v>57</v>
      </c>
      <c r="G1369" s="4" t="s">
        <v>25</v>
      </c>
      <c r="H1369" s="4" t="s">
        <v>38</v>
      </c>
      <c r="I1369" s="5">
        <v>44470</v>
      </c>
      <c r="J1369" s="6">
        <v>0</v>
      </c>
      <c r="K1369" s="6">
        <v>0</v>
      </c>
      <c r="L1369" s="6">
        <v>11.260999999999999</v>
      </c>
      <c r="M1369" s="6">
        <v>10.585339999999999</v>
      </c>
      <c r="N1369" s="6">
        <v>11.260999999999999</v>
      </c>
      <c r="O1369" s="6">
        <v>10.585339999999999</v>
      </c>
      <c r="P1369" s="6">
        <v>0</v>
      </c>
      <c r="Q1369" s="4" t="s">
        <v>26</v>
      </c>
      <c r="R1369" s="4">
        <v>0</v>
      </c>
      <c r="S1369" s="6">
        <v>0</v>
      </c>
      <c r="T1369" s="6">
        <v>19</v>
      </c>
      <c r="U1369" s="6">
        <v>67</v>
      </c>
      <c r="V1369" s="6">
        <f>IF(ISERROR(VLOOKUP($S$1369,'TAR FIN'!$A$1:$O$95,15,0)),0,VLOOKUP($S$1369,'TAR FIN'!$A$1:$O$95,15,0))</f>
        <v>0</v>
      </c>
      <c r="W1369" s="6">
        <f>IF(ISERROR(VLOOKUP($T$1369,'TAR FIN'!$A$1:$O$95,15,0)),0,VLOOKUP($T$1369,'TAR FIN'!$A$1:$O$95,15,0))</f>
        <v>149.63</v>
      </c>
      <c r="X1369" s="6">
        <f>IF(ISERROR(VLOOKUP($U$1369,'TAR FIN'!$A$1:$O$95,15,0)),0,VLOOKUP($U$1369,'TAR FIN'!$A$1:$O$95,15,0))</f>
        <v>230.03</v>
      </c>
      <c r="Y1369" s="6"/>
      <c r="Z1369" s="6">
        <f ca="1">('TUSD BE'!$AM$17+'TUSD BF'!$AM$17+'TUSD CVA'!$AM$17)*1</f>
        <v>168.51338132937991</v>
      </c>
      <c r="AA1369" s="6">
        <f>('TE BE'!$AA$8+'TE BF'!$AA$8+'TE CVA'!$AA$8)*1</f>
        <v>282.91739971702214</v>
      </c>
      <c r="AB1369" s="6">
        <f>$K$1369*$V$1369</f>
        <v>0</v>
      </c>
      <c r="AC1369" s="6">
        <f>$M$1369*$W$1369</f>
        <v>1583.8844241999998</v>
      </c>
      <c r="AD1369" s="6">
        <f>$O$1369*$X$1369</f>
        <v>2434.9457601999998</v>
      </c>
      <c r="AE1369" s="6">
        <f>$K$1369*$Y$1369</f>
        <v>0</v>
      </c>
      <c r="AF1369" s="6">
        <f ca="1">$M$1369*$Z$1369</f>
        <v>1783.7714359211382</v>
      </c>
      <c r="AG1369" s="6">
        <f>$O$1369*$AA$1369</f>
        <v>2994.7768679205828</v>
      </c>
    </row>
    <row r="1370" spans="1:33" ht="11.25" customHeight="1" x14ac:dyDescent="0.25">
      <c r="A1370" s="4" t="s">
        <v>28</v>
      </c>
      <c r="B1370" s="4" t="s">
        <v>35</v>
      </c>
      <c r="C1370" s="4" t="s">
        <v>36</v>
      </c>
      <c r="D1370" s="4" t="s">
        <v>47</v>
      </c>
      <c r="E1370" s="4" t="s">
        <v>58</v>
      </c>
      <c r="F1370" s="4" t="s">
        <v>25</v>
      </c>
      <c r="G1370" s="4" t="s">
        <v>25</v>
      </c>
      <c r="H1370" s="4" t="s">
        <v>25</v>
      </c>
      <c r="I1370" s="5">
        <v>44378</v>
      </c>
      <c r="J1370" s="6">
        <v>43</v>
      </c>
      <c r="K1370" s="77">
        <v>43</v>
      </c>
      <c r="L1370" s="6">
        <v>0</v>
      </c>
      <c r="M1370" s="77">
        <v>0</v>
      </c>
      <c r="N1370" s="6">
        <v>0</v>
      </c>
      <c r="O1370" s="77">
        <v>0</v>
      </c>
      <c r="P1370" s="6">
        <v>1</v>
      </c>
      <c r="Q1370" s="4" t="s">
        <v>26</v>
      </c>
      <c r="R1370" s="4">
        <v>0</v>
      </c>
      <c r="S1370" s="6">
        <v>23</v>
      </c>
      <c r="T1370" s="6">
        <v>0</v>
      </c>
      <c r="U1370" s="6">
        <v>0</v>
      </c>
      <c r="V1370" s="77">
        <f>IF(ISERROR(VLOOKUP($S$1370,'TAR FIN'!$A$1:$O$95,15,0)),0,VLOOKUP($S$1370,'TAR FIN'!$A$1:$O$95,15,0))*(1-0.06)</f>
        <v>26.855799999999999</v>
      </c>
      <c r="W1370" s="77">
        <f>IF(ISERROR(VLOOKUP($T$1370,'TAR FIN'!$A$1:$O$95,15,0)),0,VLOOKUP($T$1370,'TAR FIN'!$A$1:$O$95,15,0))</f>
        <v>0</v>
      </c>
      <c r="X1370" s="77">
        <f>IF(ISERROR(VLOOKUP($U$1370,'TAR FIN'!$A$1:$O$95,15,0)),0,VLOOKUP($U$1370,'TAR FIN'!$A$1:$O$95,15,0))</f>
        <v>0</v>
      </c>
      <c r="Y1370" s="77">
        <f ca="1">('TUSD BE'!$AM$15+'TUSD BF'!$AM$15+'TUSD CVA'!$AM$15)*1*(1-0.04)</f>
        <v>30.653416196860647</v>
      </c>
      <c r="Z1370" s="77"/>
      <c r="AA1370" s="77"/>
      <c r="AB1370" s="6">
        <f>$K$1370*$V$1370</f>
        <v>1154.7993999999999</v>
      </c>
      <c r="AC1370" s="6">
        <f>$M$1370*$W$1370</f>
        <v>0</v>
      </c>
      <c r="AD1370" s="6">
        <f>$O$1370*$X$1370</f>
        <v>0</v>
      </c>
      <c r="AE1370" s="6">
        <f ca="1">$K$1370*$Y$1370</f>
        <v>1318.0968964650078</v>
      </c>
      <c r="AF1370" s="6">
        <f>$M$1370*$Z$1370</f>
        <v>0</v>
      </c>
      <c r="AG1370" s="6">
        <f>$O$1370*$AA$1370</f>
        <v>0</v>
      </c>
    </row>
    <row r="1371" spans="1:33" ht="11.25" customHeight="1" x14ac:dyDescent="0.25">
      <c r="A1371" s="4" t="s">
        <v>28</v>
      </c>
      <c r="B1371" s="4" t="s">
        <v>35</v>
      </c>
      <c r="C1371" s="4" t="s">
        <v>36</v>
      </c>
      <c r="D1371" s="4" t="s">
        <v>47</v>
      </c>
      <c r="E1371" s="4" t="s">
        <v>58</v>
      </c>
      <c r="F1371" s="4" t="s">
        <v>25</v>
      </c>
      <c r="G1371" s="4" t="s">
        <v>25</v>
      </c>
      <c r="H1371" s="4" t="s">
        <v>25</v>
      </c>
      <c r="I1371" s="5">
        <v>44409</v>
      </c>
      <c r="J1371" s="6">
        <v>88</v>
      </c>
      <c r="K1371" s="77">
        <v>88</v>
      </c>
      <c r="L1371" s="6">
        <v>0</v>
      </c>
      <c r="M1371" s="77">
        <v>0</v>
      </c>
      <c r="N1371" s="6">
        <v>0</v>
      </c>
      <c r="O1371" s="77">
        <v>0</v>
      </c>
      <c r="P1371" s="6">
        <v>1</v>
      </c>
      <c r="Q1371" s="4" t="s">
        <v>26</v>
      </c>
      <c r="R1371" s="4">
        <v>0</v>
      </c>
      <c r="S1371" s="6">
        <v>23</v>
      </c>
      <c r="T1371" s="6">
        <v>0</v>
      </c>
      <c r="U1371" s="6">
        <v>0</v>
      </c>
      <c r="V1371" s="77">
        <f>IF(ISERROR(VLOOKUP($S$1371,'TAR FIN'!$A$1:$O$95,15,0)),0,VLOOKUP($S$1371,'TAR FIN'!$A$1:$O$95,15,0))*(1-0.06)</f>
        <v>26.855799999999999</v>
      </c>
      <c r="W1371" s="77">
        <f>IF(ISERROR(VLOOKUP($T$1371,'TAR FIN'!$A$1:$O$95,15,0)),0,VLOOKUP($T$1371,'TAR FIN'!$A$1:$O$95,15,0))</f>
        <v>0</v>
      </c>
      <c r="X1371" s="77">
        <f>IF(ISERROR(VLOOKUP($U$1371,'TAR FIN'!$A$1:$O$95,15,0)),0,VLOOKUP($U$1371,'TAR FIN'!$A$1:$O$95,15,0))</f>
        <v>0</v>
      </c>
      <c r="Y1371" s="77">
        <f ca="1">('TUSD BE'!$AM$15+'TUSD BF'!$AM$15+'TUSD CVA'!$AM$15)*1*(1-0.04)</f>
        <v>30.653416196860647</v>
      </c>
      <c r="Z1371" s="77"/>
      <c r="AA1371" s="77"/>
      <c r="AB1371" s="6">
        <f>$K$1371*$V$1371</f>
        <v>2363.3103999999998</v>
      </c>
      <c r="AC1371" s="6">
        <f>$M$1371*$W$1371</f>
        <v>0</v>
      </c>
      <c r="AD1371" s="6">
        <f>$O$1371*$X$1371</f>
        <v>0</v>
      </c>
      <c r="AE1371" s="6">
        <f ca="1">$K$1371*$Y$1371</f>
        <v>2697.500625323737</v>
      </c>
      <c r="AF1371" s="6">
        <f>$M$1371*$Z$1371</f>
        <v>0</v>
      </c>
      <c r="AG1371" s="6">
        <f>$O$1371*$AA$1371</f>
        <v>0</v>
      </c>
    </row>
    <row r="1372" spans="1:33" ht="11.25" customHeight="1" x14ac:dyDescent="0.25">
      <c r="A1372" s="4" t="s">
        <v>28</v>
      </c>
      <c r="B1372" s="4" t="s">
        <v>35</v>
      </c>
      <c r="C1372" s="4" t="s">
        <v>36</v>
      </c>
      <c r="D1372" s="4" t="s">
        <v>47</v>
      </c>
      <c r="E1372" s="4" t="s">
        <v>58</v>
      </c>
      <c r="F1372" s="4" t="s">
        <v>25</v>
      </c>
      <c r="G1372" s="4" t="s">
        <v>25</v>
      </c>
      <c r="H1372" s="4" t="s">
        <v>25</v>
      </c>
      <c r="I1372" s="5">
        <v>44440</v>
      </c>
      <c r="J1372" s="6">
        <v>50</v>
      </c>
      <c r="K1372" s="77">
        <v>50</v>
      </c>
      <c r="L1372" s="6">
        <v>0</v>
      </c>
      <c r="M1372" s="77">
        <v>0</v>
      </c>
      <c r="N1372" s="6">
        <v>0</v>
      </c>
      <c r="O1372" s="77">
        <v>0</v>
      </c>
      <c r="P1372" s="6">
        <v>1</v>
      </c>
      <c r="Q1372" s="4" t="s">
        <v>26</v>
      </c>
      <c r="R1372" s="4">
        <v>0</v>
      </c>
      <c r="S1372" s="6">
        <v>23</v>
      </c>
      <c r="T1372" s="6">
        <v>0</v>
      </c>
      <c r="U1372" s="6">
        <v>0</v>
      </c>
      <c r="V1372" s="77">
        <f>IF(ISERROR(VLOOKUP($S$1372,'TAR FIN'!$A$1:$O$95,15,0)),0,VLOOKUP($S$1372,'TAR FIN'!$A$1:$O$95,15,0))*(1-0.06)</f>
        <v>26.855799999999999</v>
      </c>
      <c r="W1372" s="77">
        <f>IF(ISERROR(VLOOKUP($T$1372,'TAR FIN'!$A$1:$O$95,15,0)),0,VLOOKUP($T$1372,'TAR FIN'!$A$1:$O$95,15,0))</f>
        <v>0</v>
      </c>
      <c r="X1372" s="77">
        <f>IF(ISERROR(VLOOKUP($U$1372,'TAR FIN'!$A$1:$O$95,15,0)),0,VLOOKUP($U$1372,'TAR FIN'!$A$1:$O$95,15,0))</f>
        <v>0</v>
      </c>
      <c r="Y1372" s="77">
        <f ca="1">('TUSD BE'!$AM$15+'TUSD BF'!$AM$15+'TUSD CVA'!$AM$15)*1*(1-0.04)</f>
        <v>30.653416196860647</v>
      </c>
      <c r="Z1372" s="77"/>
      <c r="AA1372" s="77"/>
      <c r="AB1372" s="6">
        <f>$K$1372*$V$1372</f>
        <v>1342.79</v>
      </c>
      <c r="AC1372" s="6">
        <f>$M$1372*$W$1372</f>
        <v>0</v>
      </c>
      <c r="AD1372" s="6">
        <f>$O$1372*$X$1372</f>
        <v>0</v>
      </c>
      <c r="AE1372" s="6">
        <f ca="1">$K$1372*$Y$1372</f>
        <v>1532.6708098430324</v>
      </c>
      <c r="AF1372" s="6">
        <f>$M$1372*$Z$1372</f>
        <v>0</v>
      </c>
      <c r="AG1372" s="6">
        <f>$O$1372*$AA$1372</f>
        <v>0</v>
      </c>
    </row>
    <row r="1373" spans="1:33" ht="11.25" customHeight="1" x14ac:dyDescent="0.25">
      <c r="A1373" s="4" t="s">
        <v>59</v>
      </c>
      <c r="B1373" s="4" t="s">
        <v>35</v>
      </c>
      <c r="C1373" s="4" t="s">
        <v>36</v>
      </c>
      <c r="D1373" s="4" t="s">
        <v>47</v>
      </c>
      <c r="E1373" s="4" t="s">
        <v>58</v>
      </c>
      <c r="F1373" s="4" t="s">
        <v>25</v>
      </c>
      <c r="G1373" s="4" t="s">
        <v>25</v>
      </c>
      <c r="H1373" s="4" t="s">
        <v>25</v>
      </c>
      <c r="I1373" s="5">
        <v>44470</v>
      </c>
      <c r="J1373" s="6">
        <v>50</v>
      </c>
      <c r="K1373" s="77">
        <v>50</v>
      </c>
      <c r="L1373" s="6">
        <v>0</v>
      </c>
      <c r="M1373" s="77">
        <v>0</v>
      </c>
      <c r="N1373" s="6">
        <v>0</v>
      </c>
      <c r="O1373" s="77">
        <v>0</v>
      </c>
      <c r="P1373" s="6">
        <v>1</v>
      </c>
      <c r="Q1373" s="4" t="s">
        <v>26</v>
      </c>
      <c r="R1373" s="4">
        <v>0</v>
      </c>
      <c r="S1373" s="6">
        <v>23</v>
      </c>
      <c r="T1373" s="6">
        <v>0</v>
      </c>
      <c r="U1373" s="6">
        <v>0</v>
      </c>
      <c r="V1373" s="77">
        <f>IF(ISERROR(VLOOKUP($S$1373,'TAR FIN'!$A$1:$O$95,15,0)),0,VLOOKUP($S$1373,'TAR FIN'!$A$1:$O$95,15,0))*(1-0.06)</f>
        <v>26.855799999999999</v>
      </c>
      <c r="W1373" s="77">
        <f>IF(ISERROR(VLOOKUP($T$1373,'TAR FIN'!$A$1:$O$95,15,0)),0,VLOOKUP($T$1373,'TAR FIN'!$A$1:$O$95,15,0))</f>
        <v>0</v>
      </c>
      <c r="X1373" s="77">
        <f>IF(ISERROR(VLOOKUP($U$1373,'TAR FIN'!$A$1:$O$95,15,0)),0,VLOOKUP($U$1373,'TAR FIN'!$A$1:$O$95,15,0))</f>
        <v>0</v>
      </c>
      <c r="Y1373" s="77">
        <f ca="1">('TUSD BE'!$AM$15+'TUSD BF'!$AM$15+'TUSD CVA'!$AM$15)*1*(1-0.04)</f>
        <v>30.653416196860647</v>
      </c>
      <c r="Z1373" s="77"/>
      <c r="AA1373" s="77"/>
      <c r="AB1373" s="6">
        <f>$K$1373*$V$1373</f>
        <v>1342.79</v>
      </c>
      <c r="AC1373" s="6">
        <f>$M$1373*$W$1373</f>
        <v>0</v>
      </c>
      <c r="AD1373" s="6">
        <f>$O$1373*$X$1373</f>
        <v>0</v>
      </c>
      <c r="AE1373" s="6">
        <f ca="1">$K$1373*$Y$1373</f>
        <v>1532.6708098430324</v>
      </c>
      <c r="AF1373" s="6">
        <f>$M$1373*$Z$1373</f>
        <v>0</v>
      </c>
      <c r="AG1373" s="6">
        <f>$O$1373*$AA$1373</f>
        <v>0</v>
      </c>
    </row>
    <row r="1374" spans="1:33" ht="11.25" customHeight="1" x14ac:dyDescent="0.25">
      <c r="A1374" s="4" t="s">
        <v>29</v>
      </c>
      <c r="B1374" s="4" t="s">
        <v>35</v>
      </c>
      <c r="C1374" s="4" t="s">
        <v>36</v>
      </c>
      <c r="D1374" s="4" t="s">
        <v>47</v>
      </c>
      <c r="E1374" s="4" t="s">
        <v>58</v>
      </c>
      <c r="F1374" s="4" t="s">
        <v>25</v>
      </c>
      <c r="G1374" s="4" t="s">
        <v>25</v>
      </c>
      <c r="H1374" s="4" t="s">
        <v>37</v>
      </c>
      <c r="I1374" s="5">
        <v>44409</v>
      </c>
      <c r="J1374" s="6">
        <v>0</v>
      </c>
      <c r="K1374" s="77">
        <v>0</v>
      </c>
      <c r="L1374" s="6">
        <v>-8.6419999999999995</v>
      </c>
      <c r="M1374" s="77">
        <v>-8.6419999999999995</v>
      </c>
      <c r="N1374" s="6">
        <v>-8.6419999999999995</v>
      </c>
      <c r="O1374" s="77">
        <v>-8.6419999999999995</v>
      </c>
      <c r="P1374" s="6">
        <v>0</v>
      </c>
      <c r="Q1374" s="4" t="s">
        <v>26</v>
      </c>
      <c r="R1374" s="4">
        <v>0</v>
      </c>
      <c r="S1374" s="6">
        <v>0</v>
      </c>
      <c r="T1374" s="6">
        <v>24</v>
      </c>
      <c r="U1374" s="6">
        <v>66</v>
      </c>
      <c r="V1374" s="77">
        <f>IF(ISERROR(VLOOKUP($S$1374,'TAR FIN'!$A$1:$O$95,15,0)),0,VLOOKUP($S$1374,'TAR FIN'!$A$1:$O$95,15,0))</f>
        <v>0</v>
      </c>
      <c r="W1374" s="77">
        <f>IF(ISERROR(VLOOKUP($T$1374,'TAR FIN'!$A$1:$O$95,15,0)),0,VLOOKUP($T$1374,'TAR FIN'!$A$1:$O$95,15,0))*(1-0.06)</f>
        <v>1348.7025999999998</v>
      </c>
      <c r="X1374" s="77">
        <f>IF(ISERROR(VLOOKUP($U$1374,'TAR FIN'!$A$1:$O$95,15,0)),0,VLOOKUP($U$1374,'TAR FIN'!$A$1:$O$95,15,0))*(1-0.06)</f>
        <v>365.92319999999995</v>
      </c>
      <c r="Y1374" s="77"/>
      <c r="Z1374" s="77">
        <f ca="1">('TUSD BE'!$AM$16+'TUSD BF'!$AM$16+'TUSD CVA'!$AM$16)*1*(1-0.04)</f>
        <v>1541.7519661664016</v>
      </c>
      <c r="AA1374" s="77">
        <f>('TE BE'!$AA$7+'TE BF'!$AA$7+'TE CVA'!$AA$7)*1*(1-0.04)</f>
        <v>436.15542521126838</v>
      </c>
      <c r="AB1374" s="6">
        <f>$K$1374*$V$1374</f>
        <v>0</v>
      </c>
      <c r="AC1374" s="6">
        <f>$M$1374*$W$1374</f>
        <v>-11655.487869199998</v>
      </c>
      <c r="AD1374" s="6">
        <f>$O$1374*$X$1374</f>
        <v>-3162.3082943999993</v>
      </c>
      <c r="AE1374" s="6">
        <f>$K$1374*$Y$1374</f>
        <v>0</v>
      </c>
      <c r="AF1374" s="6">
        <f ca="1">$M$1374*$Z$1374</f>
        <v>-13323.820491610042</v>
      </c>
      <c r="AG1374" s="6">
        <f>$O$1374*$AA$1374</f>
        <v>-3769.255184675781</v>
      </c>
    </row>
    <row r="1375" spans="1:33" ht="11.25" customHeight="1" x14ac:dyDescent="0.25">
      <c r="A1375" s="4" t="s">
        <v>21</v>
      </c>
      <c r="B1375" s="4" t="s">
        <v>35</v>
      </c>
      <c r="C1375" s="4" t="s">
        <v>36</v>
      </c>
      <c r="D1375" s="4" t="s">
        <v>47</v>
      </c>
      <c r="E1375" s="4" t="s">
        <v>25</v>
      </c>
      <c r="F1375" s="4" t="s">
        <v>25</v>
      </c>
      <c r="G1375" s="4" t="s">
        <v>25</v>
      </c>
      <c r="H1375" s="4" t="s">
        <v>38</v>
      </c>
      <c r="I1375" s="5">
        <v>44136</v>
      </c>
      <c r="J1375" s="6">
        <v>0</v>
      </c>
      <c r="K1375" s="77">
        <v>0</v>
      </c>
      <c r="L1375" s="6">
        <v>603.09500000000003</v>
      </c>
      <c r="M1375" s="77">
        <v>603.09500000000003</v>
      </c>
      <c r="N1375" s="6">
        <v>603.09500000000003</v>
      </c>
      <c r="O1375" s="77">
        <v>603.09500000000003</v>
      </c>
      <c r="P1375" s="6">
        <v>0</v>
      </c>
      <c r="Q1375" s="4" t="s">
        <v>26</v>
      </c>
      <c r="R1375" s="4">
        <v>0</v>
      </c>
      <c r="S1375" s="6">
        <v>0</v>
      </c>
      <c r="T1375" s="6">
        <v>19</v>
      </c>
      <c r="U1375" s="6">
        <v>67</v>
      </c>
      <c r="V1375" s="77">
        <f>IF(ISERROR(VLOOKUP($S$1375,'TAR FIN'!$A$1:$O$95,15,0)),0,VLOOKUP($S$1375,'TAR FIN'!$A$1:$O$95,15,0))</f>
        <v>0</v>
      </c>
      <c r="W1375" s="77">
        <f>IF(ISERROR(VLOOKUP($T$1375,'TAR FIN'!$A$1:$O$95,15,0)),0,VLOOKUP($T$1375,'TAR FIN'!$A$1:$O$95,15,0))*(1-0.06)</f>
        <v>140.65219999999999</v>
      </c>
      <c r="X1375" s="77">
        <f>IF(ISERROR(VLOOKUP($U$1375,'TAR FIN'!$A$1:$O$95,15,0)),0,VLOOKUP($U$1375,'TAR FIN'!$A$1:$O$95,15,0))*(1-0.06)</f>
        <v>216.22819999999999</v>
      </c>
      <c r="Y1375" s="77"/>
      <c r="Z1375" s="77">
        <f ca="1">('TUSD BE'!$AM$17+'TUSD BF'!$AM$17+'TUSD CVA'!$AM$17)*1*(1-0.04)</f>
        <v>161.7728460762047</v>
      </c>
      <c r="AA1375" s="77">
        <f>('TE BE'!$AA$8+'TE BF'!$AA$8+'TE CVA'!$AA$8)*1*(1-0.04)</f>
        <v>271.60070372834122</v>
      </c>
      <c r="AB1375" s="6">
        <f>$K$1375*$V$1375</f>
        <v>0</v>
      </c>
      <c r="AC1375" s="6">
        <f>$M$1375*$W$1375</f>
        <v>84826.638558999999</v>
      </c>
      <c r="AD1375" s="6">
        <f>$O$1375*$X$1375</f>
        <v>130406.14627899999</v>
      </c>
      <c r="AE1375" s="6">
        <f>$K$1375*$Y$1375</f>
        <v>0</v>
      </c>
      <c r="AF1375" s="6">
        <f ca="1">$M$1375*$Z$1375</f>
        <v>97564.394604328685</v>
      </c>
      <c r="AG1375" s="6">
        <f>$O$1375*$AA$1375</f>
        <v>163801.02641504395</v>
      </c>
    </row>
    <row r="1376" spans="1:33" ht="11.25" customHeight="1" x14ac:dyDescent="0.25">
      <c r="A1376" s="4" t="s">
        <v>28</v>
      </c>
      <c r="B1376" s="4" t="s">
        <v>35</v>
      </c>
      <c r="C1376" s="4" t="s">
        <v>36</v>
      </c>
      <c r="D1376" s="4" t="s">
        <v>47</v>
      </c>
      <c r="E1376" s="4" t="s">
        <v>25</v>
      </c>
      <c r="F1376" s="4" t="s">
        <v>25</v>
      </c>
      <c r="G1376" s="4" t="s">
        <v>25</v>
      </c>
      <c r="H1376" s="4" t="s">
        <v>38</v>
      </c>
      <c r="I1376" s="5">
        <v>44136</v>
      </c>
      <c r="J1376" s="6">
        <v>0</v>
      </c>
      <c r="K1376" s="77">
        <v>0</v>
      </c>
      <c r="L1376" s="6">
        <v>91.853999999999999</v>
      </c>
      <c r="M1376" s="77">
        <v>91.853999999999999</v>
      </c>
      <c r="N1376" s="6">
        <v>91.853999999999999</v>
      </c>
      <c r="O1376" s="77">
        <v>91.853999999999999</v>
      </c>
      <c r="P1376" s="6">
        <v>0</v>
      </c>
      <c r="Q1376" s="4" t="s">
        <v>26</v>
      </c>
      <c r="R1376" s="4">
        <v>0</v>
      </c>
      <c r="S1376" s="6">
        <v>0</v>
      </c>
      <c r="T1376" s="6">
        <v>19</v>
      </c>
      <c r="U1376" s="6">
        <v>67</v>
      </c>
      <c r="V1376" s="77">
        <f>IF(ISERROR(VLOOKUP($S$1376,'TAR FIN'!$A$1:$O$95,15,0)),0,VLOOKUP($S$1376,'TAR FIN'!$A$1:$O$95,15,0))</f>
        <v>0</v>
      </c>
      <c r="W1376" s="77">
        <f>IF(ISERROR(VLOOKUP($T$1376,'TAR FIN'!$A$1:$O$95,15,0)),0,VLOOKUP($T$1376,'TAR FIN'!$A$1:$O$95,15,0))*(1-0.06)</f>
        <v>140.65219999999999</v>
      </c>
      <c r="X1376" s="77">
        <f>IF(ISERROR(VLOOKUP($U$1376,'TAR FIN'!$A$1:$O$95,15,0)),0,VLOOKUP($U$1376,'TAR FIN'!$A$1:$O$95,15,0))*(1-0.06)</f>
        <v>216.22819999999999</v>
      </c>
      <c r="Y1376" s="77"/>
      <c r="Z1376" s="77">
        <f ca="1">('TUSD BE'!$AM$17+'TUSD BF'!$AM$17+'TUSD CVA'!$AM$17)*1*(1-0.04)</f>
        <v>161.7728460762047</v>
      </c>
      <c r="AA1376" s="77">
        <f>('TE BE'!$AA$8+'TE BF'!$AA$8+'TE CVA'!$AA$8)*1*(1-0.04)</f>
        <v>271.60070372834122</v>
      </c>
      <c r="AB1376" s="6">
        <f>$K$1376*$V$1376</f>
        <v>0</v>
      </c>
      <c r="AC1376" s="6">
        <f>$M$1376*$W$1376</f>
        <v>12919.4671788</v>
      </c>
      <c r="AD1376" s="6">
        <f>$O$1376*$X$1376</f>
        <v>19861.4250828</v>
      </c>
      <c r="AE1376" s="6">
        <f>$K$1376*$Y$1376</f>
        <v>0</v>
      </c>
      <c r="AF1376" s="6">
        <f ca="1">$M$1376*$Z$1376</f>
        <v>14859.483003483707</v>
      </c>
      <c r="AG1376" s="6">
        <f>$O$1376*$AA$1376</f>
        <v>24947.611040263055</v>
      </c>
    </row>
    <row r="1377" spans="1:33" ht="11.25" customHeight="1" x14ac:dyDescent="0.25">
      <c r="A1377" s="4" t="s">
        <v>21</v>
      </c>
      <c r="B1377" s="4" t="s">
        <v>35</v>
      </c>
      <c r="C1377" s="4" t="s">
        <v>36</v>
      </c>
      <c r="D1377" s="4" t="s">
        <v>47</v>
      </c>
      <c r="E1377" s="4" t="s">
        <v>25</v>
      </c>
      <c r="F1377" s="4" t="s">
        <v>25</v>
      </c>
      <c r="G1377" s="4" t="s">
        <v>25</v>
      </c>
      <c r="H1377" s="4" t="s">
        <v>38</v>
      </c>
      <c r="I1377" s="5">
        <v>44166</v>
      </c>
      <c r="J1377" s="6">
        <v>0</v>
      </c>
      <c r="K1377" s="77">
        <v>0</v>
      </c>
      <c r="L1377" s="6">
        <v>599.38499999999999</v>
      </c>
      <c r="M1377" s="77">
        <v>599.38499999999999</v>
      </c>
      <c r="N1377" s="6">
        <v>599.38499999999999</v>
      </c>
      <c r="O1377" s="77">
        <v>599.38499999999999</v>
      </c>
      <c r="P1377" s="6">
        <v>0</v>
      </c>
      <c r="Q1377" s="4" t="s">
        <v>26</v>
      </c>
      <c r="R1377" s="4">
        <v>0</v>
      </c>
      <c r="S1377" s="6">
        <v>0</v>
      </c>
      <c r="T1377" s="6">
        <v>19</v>
      </c>
      <c r="U1377" s="6">
        <v>67</v>
      </c>
      <c r="V1377" s="77">
        <f>IF(ISERROR(VLOOKUP($S$1377,'TAR FIN'!$A$1:$O$95,15,0)),0,VLOOKUP($S$1377,'TAR FIN'!$A$1:$O$95,15,0))</f>
        <v>0</v>
      </c>
      <c r="W1377" s="77">
        <f>IF(ISERROR(VLOOKUP($T$1377,'TAR FIN'!$A$1:$O$95,15,0)),0,VLOOKUP($T$1377,'TAR FIN'!$A$1:$O$95,15,0))*(1-0.06)</f>
        <v>140.65219999999999</v>
      </c>
      <c r="X1377" s="77">
        <f>IF(ISERROR(VLOOKUP($U$1377,'TAR FIN'!$A$1:$O$95,15,0)),0,VLOOKUP($U$1377,'TAR FIN'!$A$1:$O$95,15,0))*(1-0.06)</f>
        <v>216.22819999999999</v>
      </c>
      <c r="Y1377" s="77"/>
      <c r="Z1377" s="77">
        <f ca="1">('TUSD BE'!$AM$17+'TUSD BF'!$AM$17+'TUSD CVA'!$AM$17)*1*(1-0.04)</f>
        <v>161.7728460762047</v>
      </c>
      <c r="AA1377" s="77">
        <f>('TE BE'!$AA$8+'TE BF'!$AA$8+'TE CVA'!$AA$8)*1*(1-0.04)</f>
        <v>271.60070372834122</v>
      </c>
      <c r="AB1377" s="6">
        <f>$K$1377*$V$1377</f>
        <v>0</v>
      </c>
      <c r="AC1377" s="6">
        <f>$M$1377*$W$1377</f>
        <v>84304.81889699999</v>
      </c>
      <c r="AD1377" s="6">
        <f>$O$1377*$X$1377</f>
        <v>129603.939657</v>
      </c>
      <c r="AE1377" s="6">
        <f>$K$1377*$Y$1377</f>
        <v>0</v>
      </c>
      <c r="AF1377" s="6">
        <f ca="1">$M$1377*$Z$1377</f>
        <v>96964.217345385958</v>
      </c>
      <c r="AG1377" s="6">
        <f>$O$1377*$AA$1377</f>
        <v>162793.38780421179</v>
      </c>
    </row>
    <row r="1378" spans="1:33" ht="11.25" customHeight="1" x14ac:dyDescent="0.25">
      <c r="A1378" s="4" t="s">
        <v>28</v>
      </c>
      <c r="B1378" s="4" t="s">
        <v>35</v>
      </c>
      <c r="C1378" s="4" t="s">
        <v>36</v>
      </c>
      <c r="D1378" s="4" t="s">
        <v>47</v>
      </c>
      <c r="E1378" s="4" t="s">
        <v>25</v>
      </c>
      <c r="F1378" s="4" t="s">
        <v>25</v>
      </c>
      <c r="G1378" s="4" t="s">
        <v>25</v>
      </c>
      <c r="H1378" s="4" t="s">
        <v>38</v>
      </c>
      <c r="I1378" s="5">
        <v>44166</v>
      </c>
      <c r="J1378" s="6">
        <v>0</v>
      </c>
      <c r="K1378" s="77">
        <v>0</v>
      </c>
      <c r="L1378" s="6">
        <v>99.043999999999997</v>
      </c>
      <c r="M1378" s="77">
        <v>99.043999999999997</v>
      </c>
      <c r="N1378" s="6">
        <v>99.043999999999997</v>
      </c>
      <c r="O1378" s="77">
        <v>99.043999999999997</v>
      </c>
      <c r="P1378" s="6">
        <v>0</v>
      </c>
      <c r="Q1378" s="4" t="s">
        <v>26</v>
      </c>
      <c r="R1378" s="4">
        <v>0</v>
      </c>
      <c r="S1378" s="6">
        <v>0</v>
      </c>
      <c r="T1378" s="6">
        <v>19</v>
      </c>
      <c r="U1378" s="6">
        <v>67</v>
      </c>
      <c r="V1378" s="77">
        <f>IF(ISERROR(VLOOKUP($S$1378,'TAR FIN'!$A$1:$O$95,15,0)),0,VLOOKUP($S$1378,'TAR FIN'!$A$1:$O$95,15,0))</f>
        <v>0</v>
      </c>
      <c r="W1378" s="77">
        <f>IF(ISERROR(VLOOKUP($T$1378,'TAR FIN'!$A$1:$O$95,15,0)),0,VLOOKUP($T$1378,'TAR FIN'!$A$1:$O$95,15,0))*(1-0.06)</f>
        <v>140.65219999999999</v>
      </c>
      <c r="X1378" s="77">
        <f>IF(ISERROR(VLOOKUP($U$1378,'TAR FIN'!$A$1:$O$95,15,0)),0,VLOOKUP($U$1378,'TAR FIN'!$A$1:$O$95,15,0))*(1-0.06)</f>
        <v>216.22819999999999</v>
      </c>
      <c r="Y1378" s="77"/>
      <c r="Z1378" s="77">
        <f ca="1">('TUSD BE'!$AM$17+'TUSD BF'!$AM$17+'TUSD CVA'!$AM$17)*1*(1-0.04)</f>
        <v>161.7728460762047</v>
      </c>
      <c r="AA1378" s="77">
        <f>('TE BE'!$AA$8+'TE BF'!$AA$8+'TE CVA'!$AA$8)*1*(1-0.04)</f>
        <v>271.60070372834122</v>
      </c>
      <c r="AB1378" s="6">
        <f>$K$1378*$V$1378</f>
        <v>0</v>
      </c>
      <c r="AC1378" s="6">
        <f>$M$1378*$W$1378</f>
        <v>13930.756496799999</v>
      </c>
      <c r="AD1378" s="6">
        <f>$O$1378*$X$1378</f>
        <v>21416.105840799999</v>
      </c>
      <c r="AE1378" s="6">
        <f>$K$1378*$Y$1378</f>
        <v>0</v>
      </c>
      <c r="AF1378" s="6">
        <f ca="1">$M$1378*$Z$1378</f>
        <v>16022.629766771617</v>
      </c>
      <c r="AG1378" s="6">
        <f>$O$1378*$AA$1378</f>
        <v>26900.420100069827</v>
      </c>
    </row>
    <row r="1379" spans="1:33" ht="11.25" customHeight="1" x14ac:dyDescent="0.25">
      <c r="A1379" s="4" t="s">
        <v>21</v>
      </c>
      <c r="B1379" s="4" t="s">
        <v>35</v>
      </c>
      <c r="C1379" s="4" t="s">
        <v>36</v>
      </c>
      <c r="D1379" s="4" t="s">
        <v>47</v>
      </c>
      <c r="E1379" s="4" t="s">
        <v>25</v>
      </c>
      <c r="F1379" s="4" t="s">
        <v>25</v>
      </c>
      <c r="G1379" s="4" t="s">
        <v>25</v>
      </c>
      <c r="H1379" s="4" t="s">
        <v>38</v>
      </c>
      <c r="I1379" s="5">
        <v>44197</v>
      </c>
      <c r="J1379" s="6">
        <v>0</v>
      </c>
      <c r="K1379" s="77">
        <v>0</v>
      </c>
      <c r="L1379" s="6">
        <v>532.41700000000003</v>
      </c>
      <c r="M1379" s="77">
        <v>532.41700000000003</v>
      </c>
      <c r="N1379" s="6">
        <v>532.41700000000003</v>
      </c>
      <c r="O1379" s="77">
        <v>532.41700000000003</v>
      </c>
      <c r="P1379" s="6">
        <v>0</v>
      </c>
      <c r="Q1379" s="4" t="s">
        <v>26</v>
      </c>
      <c r="R1379" s="4">
        <v>0</v>
      </c>
      <c r="S1379" s="6">
        <v>0</v>
      </c>
      <c r="T1379" s="6">
        <v>19</v>
      </c>
      <c r="U1379" s="6">
        <v>67</v>
      </c>
      <c r="V1379" s="77">
        <f>IF(ISERROR(VLOOKUP($S$1379,'TAR FIN'!$A$1:$O$95,15,0)),0,VLOOKUP($S$1379,'TAR FIN'!$A$1:$O$95,15,0))</f>
        <v>0</v>
      </c>
      <c r="W1379" s="77">
        <f>IF(ISERROR(VLOOKUP($T$1379,'TAR FIN'!$A$1:$O$95,15,0)),0,VLOOKUP($T$1379,'TAR FIN'!$A$1:$O$95,15,0))*(1-0.06)</f>
        <v>140.65219999999999</v>
      </c>
      <c r="X1379" s="77">
        <f>IF(ISERROR(VLOOKUP($U$1379,'TAR FIN'!$A$1:$O$95,15,0)),0,VLOOKUP($U$1379,'TAR FIN'!$A$1:$O$95,15,0))*(1-0.06)</f>
        <v>216.22819999999999</v>
      </c>
      <c r="Y1379" s="77"/>
      <c r="Z1379" s="77">
        <f ca="1">('TUSD BE'!$AM$17+'TUSD BF'!$AM$17+'TUSD CVA'!$AM$17)*1*(1-0.04)</f>
        <v>161.7728460762047</v>
      </c>
      <c r="AA1379" s="77">
        <f>('TE BE'!$AA$8+'TE BF'!$AA$8+'TE CVA'!$AA$8)*1*(1-0.04)</f>
        <v>271.60070372834122</v>
      </c>
      <c r="AB1379" s="6">
        <f>$K$1379*$V$1379</f>
        <v>0</v>
      </c>
      <c r="AC1379" s="6">
        <f>$M$1379*$W$1379</f>
        <v>74885.622367400007</v>
      </c>
      <c r="AD1379" s="6">
        <f>$O$1379*$X$1379</f>
        <v>115123.5695594</v>
      </c>
      <c r="AE1379" s="6">
        <f>$K$1379*$Y$1379</f>
        <v>0</v>
      </c>
      <c r="AF1379" s="6">
        <f ca="1">$M$1379*$Z$1379</f>
        <v>86130.613389354679</v>
      </c>
      <c r="AG1379" s="6">
        <f>$O$1379*$AA$1379</f>
        <v>144604.83187693227</v>
      </c>
    </row>
    <row r="1380" spans="1:33" ht="11.25" customHeight="1" x14ac:dyDescent="0.25">
      <c r="A1380" s="4" t="s">
        <v>28</v>
      </c>
      <c r="B1380" s="4" t="s">
        <v>35</v>
      </c>
      <c r="C1380" s="4" t="s">
        <v>36</v>
      </c>
      <c r="D1380" s="4" t="s">
        <v>47</v>
      </c>
      <c r="E1380" s="4" t="s">
        <v>25</v>
      </c>
      <c r="F1380" s="4" t="s">
        <v>25</v>
      </c>
      <c r="G1380" s="4" t="s">
        <v>25</v>
      </c>
      <c r="H1380" s="4" t="s">
        <v>38</v>
      </c>
      <c r="I1380" s="5">
        <v>44197</v>
      </c>
      <c r="J1380" s="6">
        <v>0</v>
      </c>
      <c r="K1380" s="77">
        <v>0</v>
      </c>
      <c r="L1380" s="6">
        <v>104.44</v>
      </c>
      <c r="M1380" s="77">
        <v>104.44</v>
      </c>
      <c r="N1380" s="6">
        <v>104.44</v>
      </c>
      <c r="O1380" s="77">
        <v>104.44</v>
      </c>
      <c r="P1380" s="6">
        <v>0</v>
      </c>
      <c r="Q1380" s="4" t="s">
        <v>26</v>
      </c>
      <c r="R1380" s="4">
        <v>0</v>
      </c>
      <c r="S1380" s="6">
        <v>0</v>
      </c>
      <c r="T1380" s="6">
        <v>19</v>
      </c>
      <c r="U1380" s="6">
        <v>67</v>
      </c>
      <c r="V1380" s="77">
        <f>IF(ISERROR(VLOOKUP($S$1380,'TAR FIN'!$A$1:$O$95,15,0)),0,VLOOKUP($S$1380,'TAR FIN'!$A$1:$O$95,15,0))</f>
        <v>0</v>
      </c>
      <c r="W1380" s="77">
        <f>IF(ISERROR(VLOOKUP($T$1380,'TAR FIN'!$A$1:$O$95,15,0)),0,VLOOKUP($T$1380,'TAR FIN'!$A$1:$O$95,15,0))*(1-0.06)</f>
        <v>140.65219999999999</v>
      </c>
      <c r="X1380" s="77">
        <f>IF(ISERROR(VLOOKUP($U$1380,'TAR FIN'!$A$1:$O$95,15,0)),0,VLOOKUP($U$1380,'TAR FIN'!$A$1:$O$95,15,0))*(1-0.06)</f>
        <v>216.22819999999999</v>
      </c>
      <c r="Y1380" s="77"/>
      <c r="Z1380" s="77">
        <f ca="1">('TUSD BE'!$AM$17+'TUSD BF'!$AM$17+'TUSD CVA'!$AM$17)*1*(1-0.04)</f>
        <v>161.7728460762047</v>
      </c>
      <c r="AA1380" s="77">
        <f>('TE BE'!$AA$8+'TE BF'!$AA$8+'TE CVA'!$AA$8)*1*(1-0.04)</f>
        <v>271.60070372834122</v>
      </c>
      <c r="AB1380" s="6">
        <f>$K$1380*$V$1380</f>
        <v>0</v>
      </c>
      <c r="AC1380" s="6">
        <f>$M$1380*$W$1380</f>
        <v>14689.715767999998</v>
      </c>
      <c r="AD1380" s="6">
        <f>$O$1380*$X$1380</f>
        <v>22582.873207999997</v>
      </c>
      <c r="AE1380" s="6">
        <f>$K$1380*$Y$1380</f>
        <v>0</v>
      </c>
      <c r="AF1380" s="6">
        <f ca="1">$M$1380*$Z$1380</f>
        <v>16895.55604419882</v>
      </c>
      <c r="AG1380" s="6">
        <f>$O$1380*$AA$1380</f>
        <v>28365.977497387958</v>
      </c>
    </row>
    <row r="1381" spans="1:33" ht="11.25" customHeight="1" x14ac:dyDescent="0.25">
      <c r="A1381" s="4" t="s">
        <v>21</v>
      </c>
      <c r="B1381" s="4" t="s">
        <v>35</v>
      </c>
      <c r="C1381" s="4" t="s">
        <v>36</v>
      </c>
      <c r="D1381" s="4" t="s">
        <v>47</v>
      </c>
      <c r="E1381" s="4" t="s">
        <v>25</v>
      </c>
      <c r="F1381" s="4" t="s">
        <v>25</v>
      </c>
      <c r="G1381" s="4" t="s">
        <v>25</v>
      </c>
      <c r="H1381" s="4" t="s">
        <v>38</v>
      </c>
      <c r="I1381" s="5">
        <v>44228</v>
      </c>
      <c r="J1381" s="6">
        <v>0</v>
      </c>
      <c r="K1381" s="77">
        <v>0</v>
      </c>
      <c r="L1381" s="6">
        <v>510.512</v>
      </c>
      <c r="M1381" s="77">
        <v>510.512</v>
      </c>
      <c r="N1381" s="6">
        <v>510.512</v>
      </c>
      <c r="O1381" s="77">
        <v>510.512</v>
      </c>
      <c r="P1381" s="6">
        <v>0</v>
      </c>
      <c r="Q1381" s="4" t="s">
        <v>26</v>
      </c>
      <c r="R1381" s="4">
        <v>0</v>
      </c>
      <c r="S1381" s="6">
        <v>0</v>
      </c>
      <c r="T1381" s="6">
        <v>19</v>
      </c>
      <c r="U1381" s="6">
        <v>67</v>
      </c>
      <c r="V1381" s="77">
        <f>IF(ISERROR(VLOOKUP($S$1381,'TAR FIN'!$A$1:$O$95,15,0)),0,VLOOKUP($S$1381,'TAR FIN'!$A$1:$O$95,15,0))</f>
        <v>0</v>
      </c>
      <c r="W1381" s="77">
        <f>IF(ISERROR(VLOOKUP($T$1381,'TAR FIN'!$A$1:$O$95,15,0)),0,VLOOKUP($T$1381,'TAR FIN'!$A$1:$O$95,15,0))*(1-0.06)</f>
        <v>140.65219999999999</v>
      </c>
      <c r="X1381" s="77">
        <f>IF(ISERROR(VLOOKUP($U$1381,'TAR FIN'!$A$1:$O$95,15,0)),0,VLOOKUP($U$1381,'TAR FIN'!$A$1:$O$95,15,0))*(1-0.06)</f>
        <v>216.22819999999999</v>
      </c>
      <c r="Y1381" s="77"/>
      <c r="Z1381" s="77">
        <f ca="1">('TUSD BE'!$AM$17+'TUSD BF'!$AM$17+'TUSD CVA'!$AM$17)*1*(1-0.04)</f>
        <v>161.7728460762047</v>
      </c>
      <c r="AA1381" s="77">
        <f>('TE BE'!$AA$8+'TE BF'!$AA$8+'TE CVA'!$AA$8)*1*(1-0.04)</f>
        <v>271.60070372834122</v>
      </c>
      <c r="AB1381" s="6">
        <f>$K$1381*$V$1381</f>
        <v>0</v>
      </c>
      <c r="AC1381" s="6">
        <f>$M$1381*$W$1381</f>
        <v>71804.635926399991</v>
      </c>
      <c r="AD1381" s="6">
        <f>$O$1381*$X$1381</f>
        <v>110387.09083839999</v>
      </c>
      <c r="AE1381" s="6">
        <f>$K$1381*$Y$1381</f>
        <v>0</v>
      </c>
      <c r="AF1381" s="6">
        <f ca="1">$M$1381*$Z$1381</f>
        <v>82586.979196055414</v>
      </c>
      <c r="AG1381" s="6">
        <f>$O$1381*$AA$1381</f>
        <v>138655.41846176292</v>
      </c>
    </row>
    <row r="1382" spans="1:33" ht="11.25" customHeight="1" x14ac:dyDescent="0.25">
      <c r="A1382" s="4" t="s">
        <v>28</v>
      </c>
      <c r="B1382" s="4" t="s">
        <v>35</v>
      </c>
      <c r="C1382" s="4" t="s">
        <v>36</v>
      </c>
      <c r="D1382" s="4" t="s">
        <v>47</v>
      </c>
      <c r="E1382" s="4" t="s">
        <v>25</v>
      </c>
      <c r="F1382" s="4" t="s">
        <v>25</v>
      </c>
      <c r="G1382" s="4" t="s">
        <v>25</v>
      </c>
      <c r="H1382" s="4" t="s">
        <v>38</v>
      </c>
      <c r="I1382" s="5">
        <v>44228</v>
      </c>
      <c r="J1382" s="6">
        <v>0</v>
      </c>
      <c r="K1382" s="77">
        <v>0</v>
      </c>
      <c r="L1382" s="6">
        <v>91.816999999999993</v>
      </c>
      <c r="M1382" s="77">
        <v>91.816999999999993</v>
      </c>
      <c r="N1382" s="6">
        <v>91.816999999999993</v>
      </c>
      <c r="O1382" s="77">
        <v>91.816999999999993</v>
      </c>
      <c r="P1382" s="6">
        <v>0</v>
      </c>
      <c r="Q1382" s="4" t="s">
        <v>26</v>
      </c>
      <c r="R1382" s="4">
        <v>0</v>
      </c>
      <c r="S1382" s="6">
        <v>0</v>
      </c>
      <c r="T1382" s="6">
        <v>19</v>
      </c>
      <c r="U1382" s="6">
        <v>67</v>
      </c>
      <c r="V1382" s="77">
        <f>IF(ISERROR(VLOOKUP($S$1382,'TAR FIN'!$A$1:$O$95,15,0)),0,VLOOKUP($S$1382,'TAR FIN'!$A$1:$O$95,15,0))</f>
        <v>0</v>
      </c>
      <c r="W1382" s="77">
        <f>IF(ISERROR(VLOOKUP($T$1382,'TAR FIN'!$A$1:$O$95,15,0)),0,VLOOKUP($T$1382,'TAR FIN'!$A$1:$O$95,15,0))*(1-0.06)</f>
        <v>140.65219999999999</v>
      </c>
      <c r="X1382" s="77">
        <f>IF(ISERROR(VLOOKUP($U$1382,'TAR FIN'!$A$1:$O$95,15,0)),0,VLOOKUP($U$1382,'TAR FIN'!$A$1:$O$95,15,0))*(1-0.06)</f>
        <v>216.22819999999999</v>
      </c>
      <c r="Y1382" s="77"/>
      <c r="Z1382" s="77">
        <f ca="1">('TUSD BE'!$AM$17+'TUSD BF'!$AM$17+'TUSD CVA'!$AM$17)*1*(1-0.04)</f>
        <v>161.7728460762047</v>
      </c>
      <c r="AA1382" s="77">
        <f>('TE BE'!$AA$8+'TE BF'!$AA$8+'TE CVA'!$AA$8)*1*(1-0.04)</f>
        <v>271.60070372834122</v>
      </c>
      <c r="AB1382" s="6">
        <f>$K$1382*$V$1382</f>
        <v>0</v>
      </c>
      <c r="AC1382" s="6">
        <f>$M$1382*$W$1382</f>
        <v>12914.263047399998</v>
      </c>
      <c r="AD1382" s="6">
        <f>$O$1382*$X$1382</f>
        <v>19853.424639399997</v>
      </c>
      <c r="AE1382" s="6">
        <f>$K$1382*$Y$1382</f>
        <v>0</v>
      </c>
      <c r="AF1382" s="6">
        <f ca="1">$M$1382*$Z$1382</f>
        <v>14853.497408178886</v>
      </c>
      <c r="AG1382" s="6">
        <f>$O$1382*$AA$1382</f>
        <v>24937.561814225104</v>
      </c>
    </row>
    <row r="1383" spans="1:33" ht="11.25" customHeight="1" x14ac:dyDescent="0.25">
      <c r="A1383" s="4" t="s">
        <v>21</v>
      </c>
      <c r="B1383" s="4" t="s">
        <v>35</v>
      </c>
      <c r="C1383" s="4" t="s">
        <v>36</v>
      </c>
      <c r="D1383" s="4" t="s">
        <v>47</v>
      </c>
      <c r="E1383" s="4" t="s">
        <v>25</v>
      </c>
      <c r="F1383" s="4" t="s">
        <v>25</v>
      </c>
      <c r="G1383" s="4" t="s">
        <v>25</v>
      </c>
      <c r="H1383" s="4" t="s">
        <v>38</v>
      </c>
      <c r="I1383" s="5">
        <v>44256</v>
      </c>
      <c r="J1383" s="6">
        <v>0</v>
      </c>
      <c r="K1383" s="77">
        <v>0</v>
      </c>
      <c r="L1383" s="6">
        <v>660.69299999999998</v>
      </c>
      <c r="M1383" s="77">
        <v>660.69299999999998</v>
      </c>
      <c r="N1383" s="6">
        <v>660.69299999999998</v>
      </c>
      <c r="O1383" s="77">
        <v>660.69299999999998</v>
      </c>
      <c r="P1383" s="6">
        <v>0</v>
      </c>
      <c r="Q1383" s="4" t="s">
        <v>26</v>
      </c>
      <c r="R1383" s="4">
        <v>0</v>
      </c>
      <c r="S1383" s="6">
        <v>0</v>
      </c>
      <c r="T1383" s="6">
        <v>19</v>
      </c>
      <c r="U1383" s="6">
        <v>67</v>
      </c>
      <c r="V1383" s="77">
        <f>IF(ISERROR(VLOOKUP($S$1383,'TAR FIN'!$A$1:$O$95,15,0)),0,VLOOKUP($S$1383,'TAR FIN'!$A$1:$O$95,15,0))</f>
        <v>0</v>
      </c>
      <c r="W1383" s="77">
        <f>IF(ISERROR(VLOOKUP($T$1383,'TAR FIN'!$A$1:$O$95,15,0)),0,VLOOKUP($T$1383,'TAR FIN'!$A$1:$O$95,15,0))*(1-0.06)</f>
        <v>140.65219999999999</v>
      </c>
      <c r="X1383" s="77">
        <f>IF(ISERROR(VLOOKUP($U$1383,'TAR FIN'!$A$1:$O$95,15,0)),0,VLOOKUP($U$1383,'TAR FIN'!$A$1:$O$95,15,0))*(1-0.06)</f>
        <v>216.22819999999999</v>
      </c>
      <c r="Y1383" s="77"/>
      <c r="Z1383" s="77">
        <f ca="1">('TUSD BE'!$AM$17+'TUSD BF'!$AM$17+'TUSD CVA'!$AM$17)*1*(1-0.04)</f>
        <v>161.7728460762047</v>
      </c>
      <c r="AA1383" s="77">
        <f>('TE BE'!$AA$8+'TE BF'!$AA$8+'TE CVA'!$AA$8)*1*(1-0.04)</f>
        <v>271.60070372834122</v>
      </c>
      <c r="AB1383" s="6">
        <f>$K$1383*$V$1383</f>
        <v>0</v>
      </c>
      <c r="AC1383" s="6">
        <f>$M$1383*$W$1383</f>
        <v>92927.923974599995</v>
      </c>
      <c r="AD1383" s="6">
        <f>$O$1383*$X$1383</f>
        <v>142860.45814259999</v>
      </c>
      <c r="AE1383" s="6">
        <f>$K$1383*$Y$1383</f>
        <v>0</v>
      </c>
      <c r="AF1383" s="6">
        <f ca="1">$M$1383*$Z$1383</f>
        <v>106882.18699262591</v>
      </c>
      <c r="AG1383" s="6">
        <f>$O$1383*$AA$1383</f>
        <v>179444.68374838892</v>
      </c>
    </row>
    <row r="1384" spans="1:33" ht="11.25" customHeight="1" x14ac:dyDescent="0.25">
      <c r="A1384" s="4" t="s">
        <v>28</v>
      </c>
      <c r="B1384" s="4" t="s">
        <v>35</v>
      </c>
      <c r="C1384" s="4" t="s">
        <v>36</v>
      </c>
      <c r="D1384" s="4" t="s">
        <v>47</v>
      </c>
      <c r="E1384" s="4" t="s">
        <v>25</v>
      </c>
      <c r="F1384" s="4" t="s">
        <v>25</v>
      </c>
      <c r="G1384" s="4" t="s">
        <v>25</v>
      </c>
      <c r="H1384" s="4" t="s">
        <v>38</v>
      </c>
      <c r="I1384" s="5">
        <v>44256</v>
      </c>
      <c r="J1384" s="6">
        <v>0</v>
      </c>
      <c r="K1384" s="77">
        <v>0</v>
      </c>
      <c r="L1384" s="6">
        <v>87.51</v>
      </c>
      <c r="M1384" s="77">
        <v>87.51</v>
      </c>
      <c r="N1384" s="6">
        <v>87.51</v>
      </c>
      <c r="O1384" s="77">
        <v>87.51</v>
      </c>
      <c r="P1384" s="6">
        <v>0</v>
      </c>
      <c r="Q1384" s="4" t="s">
        <v>26</v>
      </c>
      <c r="R1384" s="4">
        <v>0</v>
      </c>
      <c r="S1384" s="6">
        <v>0</v>
      </c>
      <c r="T1384" s="6">
        <v>19</v>
      </c>
      <c r="U1384" s="6">
        <v>67</v>
      </c>
      <c r="V1384" s="77">
        <f>IF(ISERROR(VLOOKUP($S$1384,'TAR FIN'!$A$1:$O$95,15,0)),0,VLOOKUP($S$1384,'TAR FIN'!$A$1:$O$95,15,0))</f>
        <v>0</v>
      </c>
      <c r="W1384" s="77">
        <f>IF(ISERROR(VLOOKUP($T$1384,'TAR FIN'!$A$1:$O$95,15,0)),0,VLOOKUP($T$1384,'TAR FIN'!$A$1:$O$95,15,0))*(1-0.06)</f>
        <v>140.65219999999999</v>
      </c>
      <c r="X1384" s="77">
        <f>IF(ISERROR(VLOOKUP($U$1384,'TAR FIN'!$A$1:$O$95,15,0)),0,VLOOKUP($U$1384,'TAR FIN'!$A$1:$O$95,15,0))*(1-0.06)</f>
        <v>216.22819999999999</v>
      </c>
      <c r="Y1384" s="77"/>
      <c r="Z1384" s="77">
        <f ca="1">('TUSD BE'!$AM$17+'TUSD BF'!$AM$17+'TUSD CVA'!$AM$17)*1*(1-0.04)</f>
        <v>161.7728460762047</v>
      </c>
      <c r="AA1384" s="77">
        <f>('TE BE'!$AA$8+'TE BF'!$AA$8+'TE CVA'!$AA$8)*1*(1-0.04)</f>
        <v>271.60070372834122</v>
      </c>
      <c r="AB1384" s="6">
        <f>$K$1384*$V$1384</f>
        <v>0</v>
      </c>
      <c r="AC1384" s="6">
        <f>$M$1384*$W$1384</f>
        <v>12308.474022</v>
      </c>
      <c r="AD1384" s="6">
        <f>$O$1384*$X$1384</f>
        <v>18922.129782</v>
      </c>
      <c r="AE1384" s="6">
        <f>$K$1384*$Y$1384</f>
        <v>0</v>
      </c>
      <c r="AF1384" s="6">
        <f ca="1">$M$1384*$Z$1384</f>
        <v>14156.741760128674</v>
      </c>
      <c r="AG1384" s="6">
        <f>$O$1384*$AA$1384</f>
        <v>23767.77758326714</v>
      </c>
    </row>
    <row r="1385" spans="1:33" ht="11.25" customHeight="1" x14ac:dyDescent="0.25">
      <c r="A1385" s="4" t="s">
        <v>21</v>
      </c>
      <c r="B1385" s="4" t="s">
        <v>35</v>
      </c>
      <c r="C1385" s="4" t="s">
        <v>36</v>
      </c>
      <c r="D1385" s="4" t="s">
        <v>47</v>
      </c>
      <c r="E1385" s="4" t="s">
        <v>25</v>
      </c>
      <c r="F1385" s="4" t="s">
        <v>25</v>
      </c>
      <c r="G1385" s="4" t="s">
        <v>25</v>
      </c>
      <c r="H1385" s="4" t="s">
        <v>38</v>
      </c>
      <c r="I1385" s="5">
        <v>44287</v>
      </c>
      <c r="J1385" s="6">
        <v>0</v>
      </c>
      <c r="K1385" s="77">
        <v>0</v>
      </c>
      <c r="L1385" s="6">
        <v>627.84500000000003</v>
      </c>
      <c r="M1385" s="77">
        <v>627.84500000000003</v>
      </c>
      <c r="N1385" s="6">
        <v>627.84500000000003</v>
      </c>
      <c r="O1385" s="77">
        <v>627.84500000000003</v>
      </c>
      <c r="P1385" s="6">
        <v>0</v>
      </c>
      <c r="Q1385" s="4" t="s">
        <v>26</v>
      </c>
      <c r="R1385" s="4">
        <v>0</v>
      </c>
      <c r="S1385" s="6">
        <v>0</v>
      </c>
      <c r="T1385" s="6">
        <v>19</v>
      </c>
      <c r="U1385" s="6">
        <v>67</v>
      </c>
      <c r="V1385" s="77">
        <f>IF(ISERROR(VLOOKUP($S$1385,'TAR FIN'!$A$1:$O$95,15,0)),0,VLOOKUP($S$1385,'TAR FIN'!$A$1:$O$95,15,0))</f>
        <v>0</v>
      </c>
      <c r="W1385" s="77">
        <f>IF(ISERROR(VLOOKUP($T$1385,'TAR FIN'!$A$1:$O$95,15,0)),0,VLOOKUP($T$1385,'TAR FIN'!$A$1:$O$95,15,0))*(1-0.06)</f>
        <v>140.65219999999999</v>
      </c>
      <c r="X1385" s="77">
        <f>IF(ISERROR(VLOOKUP($U$1385,'TAR FIN'!$A$1:$O$95,15,0)),0,VLOOKUP($U$1385,'TAR FIN'!$A$1:$O$95,15,0))*(1-0.06)</f>
        <v>216.22819999999999</v>
      </c>
      <c r="Y1385" s="77"/>
      <c r="Z1385" s="77">
        <f ca="1">('TUSD BE'!$AM$17+'TUSD BF'!$AM$17+'TUSD CVA'!$AM$17)*1*(1-0.04)</f>
        <v>161.7728460762047</v>
      </c>
      <c r="AA1385" s="77">
        <f>('TE BE'!$AA$8+'TE BF'!$AA$8+'TE CVA'!$AA$8)*1*(1-0.04)</f>
        <v>271.60070372834122</v>
      </c>
      <c r="AB1385" s="6">
        <f>$K$1385*$V$1385</f>
        <v>0</v>
      </c>
      <c r="AC1385" s="6">
        <f>$M$1385*$W$1385</f>
        <v>88307.780509000004</v>
      </c>
      <c r="AD1385" s="6">
        <f>$O$1385*$X$1385</f>
        <v>135757.79422899999</v>
      </c>
      <c r="AE1385" s="6">
        <f>$K$1385*$Y$1385</f>
        <v>0</v>
      </c>
      <c r="AF1385" s="6">
        <f ca="1">$M$1385*$Z$1385</f>
        <v>101568.27254471474</v>
      </c>
      <c r="AG1385" s="6">
        <f>$O$1385*$AA$1385</f>
        <v>170523.14383232041</v>
      </c>
    </row>
    <row r="1386" spans="1:33" ht="11.25" customHeight="1" x14ac:dyDescent="0.25">
      <c r="A1386" s="4" t="s">
        <v>28</v>
      </c>
      <c r="B1386" s="4" t="s">
        <v>35</v>
      </c>
      <c r="C1386" s="4" t="s">
        <v>36</v>
      </c>
      <c r="D1386" s="4" t="s">
        <v>47</v>
      </c>
      <c r="E1386" s="4" t="s">
        <v>25</v>
      </c>
      <c r="F1386" s="4" t="s">
        <v>25</v>
      </c>
      <c r="G1386" s="4" t="s">
        <v>25</v>
      </c>
      <c r="H1386" s="4" t="s">
        <v>38</v>
      </c>
      <c r="I1386" s="5">
        <v>44287</v>
      </c>
      <c r="J1386" s="6">
        <v>0</v>
      </c>
      <c r="K1386" s="77">
        <v>0</v>
      </c>
      <c r="L1386" s="6">
        <v>103.523</v>
      </c>
      <c r="M1386" s="77">
        <v>103.523</v>
      </c>
      <c r="N1386" s="6">
        <v>103.523</v>
      </c>
      <c r="O1386" s="77">
        <v>103.523</v>
      </c>
      <c r="P1386" s="6">
        <v>0</v>
      </c>
      <c r="Q1386" s="4" t="s">
        <v>26</v>
      </c>
      <c r="R1386" s="4">
        <v>0</v>
      </c>
      <c r="S1386" s="6">
        <v>0</v>
      </c>
      <c r="T1386" s="6">
        <v>19</v>
      </c>
      <c r="U1386" s="6">
        <v>67</v>
      </c>
      <c r="V1386" s="77">
        <f>IF(ISERROR(VLOOKUP($S$1386,'TAR FIN'!$A$1:$O$95,15,0)),0,VLOOKUP($S$1386,'TAR FIN'!$A$1:$O$95,15,0))</f>
        <v>0</v>
      </c>
      <c r="W1386" s="77">
        <f>IF(ISERROR(VLOOKUP($T$1386,'TAR FIN'!$A$1:$O$95,15,0)),0,VLOOKUP($T$1386,'TAR FIN'!$A$1:$O$95,15,0))*(1-0.06)</f>
        <v>140.65219999999999</v>
      </c>
      <c r="X1386" s="77">
        <f>IF(ISERROR(VLOOKUP($U$1386,'TAR FIN'!$A$1:$O$95,15,0)),0,VLOOKUP($U$1386,'TAR FIN'!$A$1:$O$95,15,0))*(1-0.06)</f>
        <v>216.22819999999999</v>
      </c>
      <c r="Y1386" s="77"/>
      <c r="Z1386" s="77">
        <f ca="1">('TUSD BE'!$AM$17+'TUSD BF'!$AM$17+'TUSD CVA'!$AM$17)*1*(1-0.04)</f>
        <v>161.7728460762047</v>
      </c>
      <c r="AA1386" s="77">
        <f>('TE BE'!$AA$8+'TE BF'!$AA$8+'TE CVA'!$AA$8)*1*(1-0.04)</f>
        <v>271.60070372834122</v>
      </c>
      <c r="AB1386" s="6">
        <f>$K$1386*$V$1386</f>
        <v>0</v>
      </c>
      <c r="AC1386" s="6">
        <f>$M$1386*$W$1386</f>
        <v>14560.737700599999</v>
      </c>
      <c r="AD1386" s="6">
        <f>$O$1386*$X$1386</f>
        <v>22384.591948599998</v>
      </c>
      <c r="AE1386" s="6">
        <f>$K$1386*$Y$1386</f>
        <v>0</v>
      </c>
      <c r="AF1386" s="6">
        <f ca="1">$M$1386*$Z$1386</f>
        <v>16747.210344346939</v>
      </c>
      <c r="AG1386" s="6">
        <f>$O$1386*$AA$1386</f>
        <v>28116.919652069068</v>
      </c>
    </row>
    <row r="1387" spans="1:33" ht="11.25" customHeight="1" x14ac:dyDescent="0.25">
      <c r="A1387" s="4" t="s">
        <v>21</v>
      </c>
      <c r="B1387" s="4" t="s">
        <v>35</v>
      </c>
      <c r="C1387" s="4" t="s">
        <v>36</v>
      </c>
      <c r="D1387" s="4" t="s">
        <v>47</v>
      </c>
      <c r="E1387" s="4" t="s">
        <v>25</v>
      </c>
      <c r="F1387" s="4" t="s">
        <v>25</v>
      </c>
      <c r="G1387" s="4" t="s">
        <v>25</v>
      </c>
      <c r="H1387" s="4" t="s">
        <v>38</v>
      </c>
      <c r="I1387" s="5">
        <v>44317</v>
      </c>
      <c r="J1387" s="6">
        <v>0</v>
      </c>
      <c r="K1387" s="77">
        <v>0</v>
      </c>
      <c r="L1387" s="6">
        <v>751.38199999999995</v>
      </c>
      <c r="M1387" s="77">
        <v>751.38199999999995</v>
      </c>
      <c r="N1387" s="6">
        <v>751.38199999999995</v>
      </c>
      <c r="O1387" s="77">
        <v>751.38199999999995</v>
      </c>
      <c r="P1387" s="6">
        <v>0</v>
      </c>
      <c r="Q1387" s="4" t="s">
        <v>26</v>
      </c>
      <c r="R1387" s="4">
        <v>0</v>
      </c>
      <c r="S1387" s="6">
        <v>0</v>
      </c>
      <c r="T1387" s="6">
        <v>19</v>
      </c>
      <c r="U1387" s="6">
        <v>67</v>
      </c>
      <c r="V1387" s="77">
        <f>IF(ISERROR(VLOOKUP($S$1387,'TAR FIN'!$A$1:$O$95,15,0)),0,VLOOKUP($S$1387,'TAR FIN'!$A$1:$O$95,15,0))</f>
        <v>0</v>
      </c>
      <c r="W1387" s="77">
        <f>IF(ISERROR(VLOOKUP($T$1387,'TAR FIN'!$A$1:$O$95,15,0)),0,VLOOKUP($T$1387,'TAR FIN'!$A$1:$O$95,15,0))*(1-0.06)</f>
        <v>140.65219999999999</v>
      </c>
      <c r="X1387" s="77">
        <f>IF(ISERROR(VLOOKUP($U$1387,'TAR FIN'!$A$1:$O$95,15,0)),0,VLOOKUP($U$1387,'TAR FIN'!$A$1:$O$95,15,0))*(1-0.06)</f>
        <v>216.22819999999999</v>
      </c>
      <c r="Y1387" s="77"/>
      <c r="Z1387" s="77">
        <f ca="1">('TUSD BE'!$AM$17+'TUSD BF'!$AM$17+'TUSD CVA'!$AM$17)*1*(1-0.04)</f>
        <v>161.7728460762047</v>
      </c>
      <c r="AA1387" s="77">
        <f>('TE BE'!$AA$8+'TE BF'!$AA$8+'TE CVA'!$AA$8)*1*(1-0.04)</f>
        <v>271.60070372834122</v>
      </c>
      <c r="AB1387" s="6">
        <f>$K$1387*$V$1387</f>
        <v>0</v>
      </c>
      <c r="AC1387" s="6">
        <f>$M$1387*$W$1387</f>
        <v>105683.53134039999</v>
      </c>
      <c r="AD1387" s="6">
        <f>$O$1387*$X$1387</f>
        <v>162469.97737239997</v>
      </c>
      <c r="AE1387" s="6">
        <f>$K$1387*$Y$1387</f>
        <v>0</v>
      </c>
      <c r="AF1387" s="6">
        <f ca="1">$M$1387*$Z$1387</f>
        <v>121553.20463043083</v>
      </c>
      <c r="AG1387" s="6">
        <f>$O$1387*$AA$1387</f>
        <v>204075.87996880847</v>
      </c>
    </row>
    <row r="1388" spans="1:33" ht="11.25" customHeight="1" x14ac:dyDescent="0.25">
      <c r="A1388" s="4" t="s">
        <v>28</v>
      </c>
      <c r="B1388" s="4" t="s">
        <v>35</v>
      </c>
      <c r="C1388" s="4" t="s">
        <v>36</v>
      </c>
      <c r="D1388" s="4" t="s">
        <v>47</v>
      </c>
      <c r="E1388" s="4" t="s">
        <v>25</v>
      </c>
      <c r="F1388" s="4" t="s">
        <v>25</v>
      </c>
      <c r="G1388" s="4" t="s">
        <v>25</v>
      </c>
      <c r="H1388" s="4" t="s">
        <v>38</v>
      </c>
      <c r="I1388" s="5">
        <v>44317</v>
      </c>
      <c r="J1388" s="6">
        <v>0</v>
      </c>
      <c r="K1388" s="77">
        <v>0</v>
      </c>
      <c r="L1388" s="6">
        <v>105.182</v>
      </c>
      <c r="M1388" s="77">
        <v>105.182</v>
      </c>
      <c r="N1388" s="6">
        <v>105.182</v>
      </c>
      <c r="O1388" s="77">
        <v>105.182</v>
      </c>
      <c r="P1388" s="6">
        <v>0</v>
      </c>
      <c r="Q1388" s="4" t="s">
        <v>26</v>
      </c>
      <c r="R1388" s="4">
        <v>0</v>
      </c>
      <c r="S1388" s="6">
        <v>0</v>
      </c>
      <c r="T1388" s="6">
        <v>19</v>
      </c>
      <c r="U1388" s="6">
        <v>67</v>
      </c>
      <c r="V1388" s="77">
        <f>IF(ISERROR(VLOOKUP($S$1388,'TAR FIN'!$A$1:$O$95,15,0)),0,VLOOKUP($S$1388,'TAR FIN'!$A$1:$O$95,15,0))</f>
        <v>0</v>
      </c>
      <c r="W1388" s="77">
        <f>IF(ISERROR(VLOOKUP($T$1388,'TAR FIN'!$A$1:$O$95,15,0)),0,VLOOKUP($T$1388,'TAR FIN'!$A$1:$O$95,15,0))*(1-0.06)</f>
        <v>140.65219999999999</v>
      </c>
      <c r="X1388" s="77">
        <f>IF(ISERROR(VLOOKUP($U$1388,'TAR FIN'!$A$1:$O$95,15,0)),0,VLOOKUP($U$1388,'TAR FIN'!$A$1:$O$95,15,0))*(1-0.06)</f>
        <v>216.22819999999999</v>
      </c>
      <c r="Y1388" s="77"/>
      <c r="Z1388" s="77">
        <f ca="1">('TUSD BE'!$AM$17+'TUSD BF'!$AM$17+'TUSD CVA'!$AM$17)*1*(1-0.04)</f>
        <v>161.7728460762047</v>
      </c>
      <c r="AA1388" s="77">
        <f>('TE BE'!$AA$8+'TE BF'!$AA$8+'TE CVA'!$AA$8)*1*(1-0.04)</f>
        <v>271.60070372834122</v>
      </c>
      <c r="AB1388" s="6">
        <f>$K$1388*$V$1388</f>
        <v>0</v>
      </c>
      <c r="AC1388" s="6">
        <f>$M$1388*$W$1388</f>
        <v>14794.0797004</v>
      </c>
      <c r="AD1388" s="6">
        <f>$O$1388*$X$1388</f>
        <v>22743.3145324</v>
      </c>
      <c r="AE1388" s="6">
        <f>$K$1388*$Y$1388</f>
        <v>0</v>
      </c>
      <c r="AF1388" s="6">
        <f ca="1">$M$1388*$Z$1388</f>
        <v>17015.591495987363</v>
      </c>
      <c r="AG1388" s="6">
        <f>$O$1388*$AA$1388</f>
        <v>28567.505219554387</v>
      </c>
    </row>
    <row r="1389" spans="1:33" ht="11.25" customHeight="1" x14ac:dyDescent="0.25">
      <c r="A1389" s="4" t="s">
        <v>21</v>
      </c>
      <c r="B1389" s="4" t="s">
        <v>35</v>
      </c>
      <c r="C1389" s="4" t="s">
        <v>36</v>
      </c>
      <c r="D1389" s="4" t="s">
        <v>47</v>
      </c>
      <c r="E1389" s="4" t="s">
        <v>25</v>
      </c>
      <c r="F1389" s="4" t="s">
        <v>25</v>
      </c>
      <c r="G1389" s="4" t="s">
        <v>25</v>
      </c>
      <c r="H1389" s="4" t="s">
        <v>38</v>
      </c>
      <c r="I1389" s="5">
        <v>44348</v>
      </c>
      <c r="J1389" s="6">
        <v>0</v>
      </c>
      <c r="K1389" s="77">
        <v>0</v>
      </c>
      <c r="L1389" s="6">
        <v>690.61699999999996</v>
      </c>
      <c r="M1389" s="77">
        <v>690.61699999999996</v>
      </c>
      <c r="N1389" s="6">
        <v>690.61699999999996</v>
      </c>
      <c r="O1389" s="77">
        <v>690.61699999999996</v>
      </c>
      <c r="P1389" s="6">
        <v>0</v>
      </c>
      <c r="Q1389" s="4" t="s">
        <v>26</v>
      </c>
      <c r="R1389" s="4">
        <v>0</v>
      </c>
      <c r="S1389" s="6">
        <v>0</v>
      </c>
      <c r="T1389" s="6">
        <v>19</v>
      </c>
      <c r="U1389" s="6">
        <v>67</v>
      </c>
      <c r="V1389" s="77">
        <f>IF(ISERROR(VLOOKUP($S$1389,'TAR FIN'!$A$1:$O$95,15,0)),0,VLOOKUP($S$1389,'TAR FIN'!$A$1:$O$95,15,0))</f>
        <v>0</v>
      </c>
      <c r="W1389" s="77">
        <f>IF(ISERROR(VLOOKUP($T$1389,'TAR FIN'!$A$1:$O$95,15,0)),0,VLOOKUP($T$1389,'TAR FIN'!$A$1:$O$95,15,0))*(1-0.06)</f>
        <v>140.65219999999999</v>
      </c>
      <c r="X1389" s="77">
        <f>IF(ISERROR(VLOOKUP($U$1389,'TAR FIN'!$A$1:$O$95,15,0)),0,VLOOKUP($U$1389,'TAR FIN'!$A$1:$O$95,15,0))*(1-0.06)</f>
        <v>216.22819999999999</v>
      </c>
      <c r="Y1389" s="77"/>
      <c r="Z1389" s="77">
        <f ca="1">('TUSD BE'!$AM$17+'TUSD BF'!$AM$17+'TUSD CVA'!$AM$17)*1*(1-0.04)</f>
        <v>161.7728460762047</v>
      </c>
      <c r="AA1389" s="77">
        <f>('TE BE'!$AA$8+'TE BF'!$AA$8+'TE CVA'!$AA$8)*1*(1-0.04)</f>
        <v>271.60070372834122</v>
      </c>
      <c r="AB1389" s="6">
        <f>$K$1389*$V$1389</f>
        <v>0</v>
      </c>
      <c r="AC1389" s="6">
        <f>$M$1389*$W$1389</f>
        <v>97136.800407399991</v>
      </c>
      <c r="AD1389" s="6">
        <f>$O$1389*$X$1389</f>
        <v>149330.87079939997</v>
      </c>
      <c r="AE1389" s="6">
        <f>$K$1389*$Y$1389</f>
        <v>0</v>
      </c>
      <c r="AF1389" s="6">
        <f ca="1">$M$1389*$Z$1389</f>
        <v>111723.07763861025</v>
      </c>
      <c r="AG1389" s="6">
        <f>$O$1389*$AA$1389</f>
        <v>187572.06320675582</v>
      </c>
    </row>
    <row r="1390" spans="1:33" ht="11.25" customHeight="1" x14ac:dyDescent="0.25">
      <c r="A1390" s="4" t="s">
        <v>28</v>
      </c>
      <c r="B1390" s="4" t="s">
        <v>35</v>
      </c>
      <c r="C1390" s="4" t="s">
        <v>36</v>
      </c>
      <c r="D1390" s="4" t="s">
        <v>47</v>
      </c>
      <c r="E1390" s="4" t="s">
        <v>25</v>
      </c>
      <c r="F1390" s="4" t="s">
        <v>25</v>
      </c>
      <c r="G1390" s="4" t="s">
        <v>25</v>
      </c>
      <c r="H1390" s="4" t="s">
        <v>38</v>
      </c>
      <c r="I1390" s="5">
        <v>44348</v>
      </c>
      <c r="J1390" s="6">
        <v>0</v>
      </c>
      <c r="K1390" s="77">
        <v>0</v>
      </c>
      <c r="L1390" s="6">
        <v>87.930999999999997</v>
      </c>
      <c r="M1390" s="77">
        <v>87.930999999999997</v>
      </c>
      <c r="N1390" s="6">
        <v>87.930999999999997</v>
      </c>
      <c r="O1390" s="77">
        <v>87.930999999999997</v>
      </c>
      <c r="P1390" s="6">
        <v>0</v>
      </c>
      <c r="Q1390" s="4" t="s">
        <v>26</v>
      </c>
      <c r="R1390" s="4">
        <v>0</v>
      </c>
      <c r="S1390" s="6">
        <v>0</v>
      </c>
      <c r="T1390" s="6">
        <v>19</v>
      </c>
      <c r="U1390" s="6">
        <v>67</v>
      </c>
      <c r="V1390" s="77">
        <f>IF(ISERROR(VLOOKUP($S$1390,'TAR FIN'!$A$1:$O$95,15,0)),0,VLOOKUP($S$1390,'TAR FIN'!$A$1:$O$95,15,0))</f>
        <v>0</v>
      </c>
      <c r="W1390" s="77">
        <f>IF(ISERROR(VLOOKUP($T$1390,'TAR FIN'!$A$1:$O$95,15,0)),0,VLOOKUP($T$1390,'TAR FIN'!$A$1:$O$95,15,0))*(1-0.06)</f>
        <v>140.65219999999999</v>
      </c>
      <c r="X1390" s="77">
        <f>IF(ISERROR(VLOOKUP($U$1390,'TAR FIN'!$A$1:$O$95,15,0)),0,VLOOKUP($U$1390,'TAR FIN'!$A$1:$O$95,15,0))*(1-0.06)</f>
        <v>216.22819999999999</v>
      </c>
      <c r="Y1390" s="77"/>
      <c r="Z1390" s="77">
        <f ca="1">('TUSD BE'!$AM$17+'TUSD BF'!$AM$17+'TUSD CVA'!$AM$17)*1*(1-0.04)</f>
        <v>161.7728460762047</v>
      </c>
      <c r="AA1390" s="77">
        <f>('TE BE'!$AA$8+'TE BF'!$AA$8+'TE CVA'!$AA$8)*1*(1-0.04)</f>
        <v>271.60070372834122</v>
      </c>
      <c r="AB1390" s="6">
        <f>$K$1390*$V$1390</f>
        <v>0</v>
      </c>
      <c r="AC1390" s="6">
        <f>$M$1390*$W$1390</f>
        <v>12367.688598199999</v>
      </c>
      <c r="AD1390" s="6">
        <f>$O$1390*$X$1390</f>
        <v>19013.1618542</v>
      </c>
      <c r="AE1390" s="6">
        <f>$K$1390*$Y$1390</f>
        <v>0</v>
      </c>
      <c r="AF1390" s="6">
        <f ca="1">$M$1390*$Z$1390</f>
        <v>14224.848128326756</v>
      </c>
      <c r="AG1390" s="6">
        <f>$O$1390*$AA$1390</f>
        <v>23882.12147953677</v>
      </c>
    </row>
    <row r="1391" spans="1:33" ht="11.25" customHeight="1" x14ac:dyDescent="0.25">
      <c r="A1391" s="4" t="s">
        <v>21</v>
      </c>
      <c r="B1391" s="4" t="s">
        <v>35</v>
      </c>
      <c r="C1391" s="4" t="s">
        <v>36</v>
      </c>
      <c r="D1391" s="4" t="s">
        <v>47</v>
      </c>
      <c r="E1391" s="4" t="s">
        <v>25</v>
      </c>
      <c r="F1391" s="4" t="s">
        <v>25</v>
      </c>
      <c r="G1391" s="4" t="s">
        <v>25</v>
      </c>
      <c r="H1391" s="4" t="s">
        <v>38</v>
      </c>
      <c r="I1391" s="5">
        <v>44378</v>
      </c>
      <c r="J1391" s="6">
        <v>0</v>
      </c>
      <c r="K1391" s="77">
        <v>0</v>
      </c>
      <c r="L1391" s="6">
        <v>730.80399999999997</v>
      </c>
      <c r="M1391" s="77">
        <v>730.80399999999997</v>
      </c>
      <c r="N1391" s="6">
        <v>730.80399999999997</v>
      </c>
      <c r="O1391" s="77">
        <v>730.80399999999997</v>
      </c>
      <c r="P1391" s="6">
        <v>0</v>
      </c>
      <c r="Q1391" s="4" t="s">
        <v>26</v>
      </c>
      <c r="R1391" s="4">
        <v>0</v>
      </c>
      <c r="S1391" s="6">
        <v>0</v>
      </c>
      <c r="T1391" s="6">
        <v>19</v>
      </c>
      <c r="U1391" s="6">
        <v>67</v>
      </c>
      <c r="V1391" s="77">
        <f>IF(ISERROR(VLOOKUP($S$1391,'TAR FIN'!$A$1:$O$95,15,0)),0,VLOOKUP($S$1391,'TAR FIN'!$A$1:$O$95,15,0))</f>
        <v>0</v>
      </c>
      <c r="W1391" s="77">
        <f>IF(ISERROR(VLOOKUP($T$1391,'TAR FIN'!$A$1:$O$95,15,0)),0,VLOOKUP($T$1391,'TAR FIN'!$A$1:$O$95,15,0))*(1-0.06)</f>
        <v>140.65219999999999</v>
      </c>
      <c r="X1391" s="77">
        <f>IF(ISERROR(VLOOKUP($U$1391,'TAR FIN'!$A$1:$O$95,15,0)),0,VLOOKUP($U$1391,'TAR FIN'!$A$1:$O$95,15,0))*(1-0.06)</f>
        <v>216.22819999999999</v>
      </c>
      <c r="Y1391" s="77"/>
      <c r="Z1391" s="77">
        <f ca="1">('TUSD BE'!$AM$17+'TUSD BF'!$AM$17+'TUSD CVA'!$AM$17)*1*(1-0.04)</f>
        <v>161.7728460762047</v>
      </c>
      <c r="AA1391" s="77">
        <f>('TE BE'!$AA$8+'TE BF'!$AA$8+'TE CVA'!$AA$8)*1*(1-0.04)</f>
        <v>271.60070372834122</v>
      </c>
      <c r="AB1391" s="6">
        <f>$K$1391*$V$1391</f>
        <v>0</v>
      </c>
      <c r="AC1391" s="6">
        <f>$M$1391*$W$1391</f>
        <v>102789.19036879999</v>
      </c>
      <c r="AD1391" s="6">
        <f>$O$1391*$X$1391</f>
        <v>158020.43347279998</v>
      </c>
      <c r="AE1391" s="6">
        <f>$K$1391*$Y$1391</f>
        <v>0</v>
      </c>
      <c r="AF1391" s="6">
        <f ca="1">$M$1391*$Z$1391</f>
        <v>118224.2430038747</v>
      </c>
      <c r="AG1391" s="6">
        <f>$O$1391*$AA$1391</f>
        <v>198486.88068748667</v>
      </c>
    </row>
    <row r="1392" spans="1:33" ht="11.25" customHeight="1" x14ac:dyDescent="0.25">
      <c r="A1392" s="4" t="s">
        <v>28</v>
      </c>
      <c r="B1392" s="4" t="s">
        <v>35</v>
      </c>
      <c r="C1392" s="4" t="s">
        <v>36</v>
      </c>
      <c r="D1392" s="4" t="s">
        <v>47</v>
      </c>
      <c r="E1392" s="4" t="s">
        <v>25</v>
      </c>
      <c r="F1392" s="4" t="s">
        <v>25</v>
      </c>
      <c r="G1392" s="4" t="s">
        <v>25</v>
      </c>
      <c r="H1392" s="4" t="s">
        <v>38</v>
      </c>
      <c r="I1392" s="5">
        <v>44378</v>
      </c>
      <c r="J1392" s="6">
        <v>0</v>
      </c>
      <c r="K1392" s="77">
        <v>0</v>
      </c>
      <c r="L1392" s="6">
        <v>81.924999999999997</v>
      </c>
      <c r="M1392" s="77">
        <v>81.924999999999997</v>
      </c>
      <c r="N1392" s="6">
        <v>81.924999999999997</v>
      </c>
      <c r="O1392" s="77">
        <v>81.924999999999997</v>
      </c>
      <c r="P1392" s="6">
        <v>0</v>
      </c>
      <c r="Q1392" s="4" t="s">
        <v>26</v>
      </c>
      <c r="R1392" s="4">
        <v>0</v>
      </c>
      <c r="S1392" s="6">
        <v>0</v>
      </c>
      <c r="T1392" s="6">
        <v>19</v>
      </c>
      <c r="U1392" s="6">
        <v>67</v>
      </c>
      <c r="V1392" s="77">
        <f>IF(ISERROR(VLOOKUP($S$1392,'TAR FIN'!$A$1:$O$95,15,0)),0,VLOOKUP($S$1392,'TAR FIN'!$A$1:$O$95,15,0))</f>
        <v>0</v>
      </c>
      <c r="W1392" s="77">
        <f>IF(ISERROR(VLOOKUP($T$1392,'TAR FIN'!$A$1:$O$95,15,0)),0,VLOOKUP($T$1392,'TAR FIN'!$A$1:$O$95,15,0))*(1-0.06)</f>
        <v>140.65219999999999</v>
      </c>
      <c r="X1392" s="77">
        <f>IF(ISERROR(VLOOKUP($U$1392,'TAR FIN'!$A$1:$O$95,15,0)),0,VLOOKUP($U$1392,'TAR FIN'!$A$1:$O$95,15,0))*(1-0.06)</f>
        <v>216.22819999999999</v>
      </c>
      <c r="Y1392" s="77"/>
      <c r="Z1392" s="77">
        <f ca="1">('TUSD BE'!$AM$17+'TUSD BF'!$AM$17+'TUSD CVA'!$AM$17)*1*(1-0.04)</f>
        <v>161.7728460762047</v>
      </c>
      <c r="AA1392" s="77">
        <f>('TE BE'!$AA$8+'TE BF'!$AA$8+'TE CVA'!$AA$8)*1*(1-0.04)</f>
        <v>271.60070372834122</v>
      </c>
      <c r="AB1392" s="6">
        <f>$K$1392*$V$1392</f>
        <v>0</v>
      </c>
      <c r="AC1392" s="6">
        <f>$M$1392*$W$1392</f>
        <v>11522.931484999999</v>
      </c>
      <c r="AD1392" s="6">
        <f>$O$1392*$X$1392</f>
        <v>17714.495284999997</v>
      </c>
      <c r="AE1392" s="6">
        <f>$K$1392*$Y$1392</f>
        <v>0</v>
      </c>
      <c r="AF1392" s="6">
        <f ca="1">$M$1392*$Z$1392</f>
        <v>13253.24041479307</v>
      </c>
      <c r="AG1392" s="6">
        <f>$O$1392*$AA$1392</f>
        <v>22250.887652944355</v>
      </c>
    </row>
    <row r="1393" spans="1:33" ht="11.25" customHeight="1" x14ac:dyDescent="0.25">
      <c r="A1393" s="4" t="s">
        <v>30</v>
      </c>
      <c r="B1393" s="4" t="s">
        <v>35</v>
      </c>
      <c r="C1393" s="4" t="s">
        <v>36</v>
      </c>
      <c r="D1393" s="4" t="s">
        <v>47</v>
      </c>
      <c r="E1393" s="4" t="s">
        <v>25</v>
      </c>
      <c r="F1393" s="4" t="s">
        <v>25</v>
      </c>
      <c r="G1393" s="4" t="s">
        <v>25</v>
      </c>
      <c r="H1393" s="4" t="s">
        <v>38</v>
      </c>
      <c r="I1393" s="5">
        <v>44378</v>
      </c>
      <c r="J1393" s="6">
        <v>0</v>
      </c>
      <c r="K1393" s="77">
        <v>0</v>
      </c>
      <c r="L1393" s="6">
        <v>7.8120000000000003</v>
      </c>
      <c r="M1393" s="77">
        <v>7.8120000000000003</v>
      </c>
      <c r="N1393" s="6">
        <v>7.8120000000000003</v>
      </c>
      <c r="O1393" s="77">
        <v>7.8120000000000003</v>
      </c>
      <c r="P1393" s="6">
        <v>0</v>
      </c>
      <c r="Q1393" s="4" t="s">
        <v>26</v>
      </c>
      <c r="R1393" s="4">
        <v>0</v>
      </c>
      <c r="S1393" s="6">
        <v>0</v>
      </c>
      <c r="T1393" s="6">
        <v>19</v>
      </c>
      <c r="U1393" s="6">
        <v>67</v>
      </c>
      <c r="V1393" s="77">
        <f>IF(ISERROR(VLOOKUP($S$1393,'TAR FIN'!$A$1:$O$95,15,0)),0,VLOOKUP($S$1393,'TAR FIN'!$A$1:$O$95,15,0))</f>
        <v>0</v>
      </c>
      <c r="W1393" s="77">
        <f>IF(ISERROR(VLOOKUP($T$1393,'TAR FIN'!$A$1:$O$95,15,0)),0,VLOOKUP($T$1393,'TAR FIN'!$A$1:$O$95,15,0))*(1-0.06)</f>
        <v>140.65219999999999</v>
      </c>
      <c r="X1393" s="77">
        <f>IF(ISERROR(VLOOKUP($U$1393,'TAR FIN'!$A$1:$O$95,15,0)),0,VLOOKUP($U$1393,'TAR FIN'!$A$1:$O$95,15,0))*(1-0.06)</f>
        <v>216.22819999999999</v>
      </c>
      <c r="Y1393" s="77"/>
      <c r="Z1393" s="77">
        <f ca="1">('TUSD BE'!$AM$17+'TUSD BF'!$AM$17+'TUSD CVA'!$AM$17)*1*(1-0.04)</f>
        <v>161.7728460762047</v>
      </c>
      <c r="AA1393" s="77">
        <f>('TE BE'!$AA$8+'TE BF'!$AA$8+'TE CVA'!$AA$8)*1*(1-0.04)</f>
        <v>271.60070372834122</v>
      </c>
      <c r="AB1393" s="6">
        <f>$K$1393*$V$1393</f>
        <v>0</v>
      </c>
      <c r="AC1393" s="6">
        <f>$M$1393*$W$1393</f>
        <v>1098.7749864</v>
      </c>
      <c r="AD1393" s="6">
        <f>$O$1393*$X$1393</f>
        <v>1689.1746983999999</v>
      </c>
      <c r="AE1393" s="6">
        <f>$K$1393*$Y$1393</f>
        <v>0</v>
      </c>
      <c r="AF1393" s="6">
        <f ca="1">$M$1393*$Z$1393</f>
        <v>1263.7694735473112</v>
      </c>
      <c r="AG1393" s="6">
        <f>$O$1393*$AA$1393</f>
        <v>2121.7446975258017</v>
      </c>
    </row>
    <row r="1394" spans="1:33" ht="11.25" customHeight="1" x14ac:dyDescent="0.25">
      <c r="A1394" s="4" t="s">
        <v>21</v>
      </c>
      <c r="B1394" s="4" t="s">
        <v>35</v>
      </c>
      <c r="C1394" s="4" t="s">
        <v>36</v>
      </c>
      <c r="D1394" s="4" t="s">
        <v>47</v>
      </c>
      <c r="E1394" s="4" t="s">
        <v>25</v>
      </c>
      <c r="F1394" s="4" t="s">
        <v>25</v>
      </c>
      <c r="G1394" s="4" t="s">
        <v>25</v>
      </c>
      <c r="H1394" s="4" t="s">
        <v>38</v>
      </c>
      <c r="I1394" s="5">
        <v>44409</v>
      </c>
      <c r="J1394" s="6">
        <v>0</v>
      </c>
      <c r="K1394" s="77">
        <v>0</v>
      </c>
      <c r="L1394" s="6">
        <v>725.05899999999997</v>
      </c>
      <c r="M1394" s="77">
        <v>725.05899999999997</v>
      </c>
      <c r="N1394" s="6">
        <v>725.05899999999997</v>
      </c>
      <c r="O1394" s="77">
        <v>725.05899999999997</v>
      </c>
      <c r="P1394" s="6">
        <v>0</v>
      </c>
      <c r="Q1394" s="4" t="s">
        <v>26</v>
      </c>
      <c r="R1394" s="4">
        <v>0</v>
      </c>
      <c r="S1394" s="6">
        <v>0</v>
      </c>
      <c r="T1394" s="6">
        <v>19</v>
      </c>
      <c r="U1394" s="6">
        <v>67</v>
      </c>
      <c r="V1394" s="77">
        <f>IF(ISERROR(VLOOKUP($S$1394,'TAR FIN'!$A$1:$O$95,15,0)),0,VLOOKUP($S$1394,'TAR FIN'!$A$1:$O$95,15,0))</f>
        <v>0</v>
      </c>
      <c r="W1394" s="77">
        <f>IF(ISERROR(VLOOKUP($T$1394,'TAR FIN'!$A$1:$O$95,15,0)),0,VLOOKUP($T$1394,'TAR FIN'!$A$1:$O$95,15,0))*(1-0.06)</f>
        <v>140.65219999999999</v>
      </c>
      <c r="X1394" s="77">
        <f>IF(ISERROR(VLOOKUP($U$1394,'TAR FIN'!$A$1:$O$95,15,0)),0,VLOOKUP($U$1394,'TAR FIN'!$A$1:$O$95,15,0))*(1-0.06)</f>
        <v>216.22819999999999</v>
      </c>
      <c r="Y1394" s="77"/>
      <c r="Z1394" s="77">
        <f ca="1">('TUSD BE'!$AM$17+'TUSD BF'!$AM$17+'TUSD CVA'!$AM$17)*1*(1-0.04)</f>
        <v>161.7728460762047</v>
      </c>
      <c r="AA1394" s="77">
        <f>('TE BE'!$AA$8+'TE BF'!$AA$8+'TE CVA'!$AA$8)*1*(1-0.04)</f>
        <v>271.60070372834122</v>
      </c>
      <c r="AB1394" s="6">
        <f>$K$1394*$V$1394</f>
        <v>0</v>
      </c>
      <c r="AC1394" s="6">
        <f>$M$1394*$W$1394</f>
        <v>101981.1434798</v>
      </c>
      <c r="AD1394" s="6">
        <f>$O$1394*$X$1394</f>
        <v>156778.20246379997</v>
      </c>
      <c r="AE1394" s="6">
        <f>$K$1394*$Y$1394</f>
        <v>0</v>
      </c>
      <c r="AF1394" s="6">
        <f ca="1">$M$1394*$Z$1394</f>
        <v>117294.8580031669</v>
      </c>
      <c r="AG1394" s="6">
        <f>$O$1394*$AA$1394</f>
        <v>196926.53464456735</v>
      </c>
    </row>
    <row r="1395" spans="1:33" ht="11.25" customHeight="1" x14ac:dyDescent="0.25">
      <c r="A1395" s="4" t="s">
        <v>28</v>
      </c>
      <c r="B1395" s="4" t="s">
        <v>35</v>
      </c>
      <c r="C1395" s="4" t="s">
        <v>36</v>
      </c>
      <c r="D1395" s="4" t="s">
        <v>47</v>
      </c>
      <c r="E1395" s="4" t="s">
        <v>25</v>
      </c>
      <c r="F1395" s="4" t="s">
        <v>25</v>
      </c>
      <c r="G1395" s="4" t="s">
        <v>25</v>
      </c>
      <c r="H1395" s="4" t="s">
        <v>38</v>
      </c>
      <c r="I1395" s="5">
        <v>44409</v>
      </c>
      <c r="J1395" s="6">
        <v>0</v>
      </c>
      <c r="K1395" s="77">
        <v>0</v>
      </c>
      <c r="L1395" s="6">
        <v>90.111000000000004</v>
      </c>
      <c r="M1395" s="77">
        <v>90.111000000000004</v>
      </c>
      <c r="N1395" s="6">
        <v>90.111000000000004</v>
      </c>
      <c r="O1395" s="77">
        <v>90.111000000000004</v>
      </c>
      <c r="P1395" s="6">
        <v>0</v>
      </c>
      <c r="Q1395" s="4" t="s">
        <v>26</v>
      </c>
      <c r="R1395" s="4">
        <v>0</v>
      </c>
      <c r="S1395" s="6">
        <v>0</v>
      </c>
      <c r="T1395" s="6">
        <v>19</v>
      </c>
      <c r="U1395" s="6">
        <v>67</v>
      </c>
      <c r="V1395" s="77">
        <f>IF(ISERROR(VLOOKUP($S$1395,'TAR FIN'!$A$1:$O$95,15,0)),0,VLOOKUP($S$1395,'TAR FIN'!$A$1:$O$95,15,0))</f>
        <v>0</v>
      </c>
      <c r="W1395" s="77">
        <f>IF(ISERROR(VLOOKUP($T$1395,'TAR FIN'!$A$1:$O$95,15,0)),0,VLOOKUP($T$1395,'TAR FIN'!$A$1:$O$95,15,0))*(1-0.06)</f>
        <v>140.65219999999999</v>
      </c>
      <c r="X1395" s="77">
        <f>IF(ISERROR(VLOOKUP($U$1395,'TAR FIN'!$A$1:$O$95,15,0)),0,VLOOKUP($U$1395,'TAR FIN'!$A$1:$O$95,15,0))*(1-0.06)</f>
        <v>216.22819999999999</v>
      </c>
      <c r="Y1395" s="77"/>
      <c r="Z1395" s="77">
        <f ca="1">('TUSD BE'!$AM$17+'TUSD BF'!$AM$17+'TUSD CVA'!$AM$17)*1*(1-0.04)</f>
        <v>161.7728460762047</v>
      </c>
      <c r="AA1395" s="77">
        <f>('TE BE'!$AA$8+'TE BF'!$AA$8+'TE CVA'!$AA$8)*1*(1-0.04)</f>
        <v>271.60070372834122</v>
      </c>
      <c r="AB1395" s="6">
        <f>$K$1395*$V$1395</f>
        <v>0</v>
      </c>
      <c r="AC1395" s="6">
        <f>$M$1395*$W$1395</f>
        <v>12674.3103942</v>
      </c>
      <c r="AD1395" s="6">
        <f>$O$1395*$X$1395</f>
        <v>19484.539330200001</v>
      </c>
      <c r="AE1395" s="6">
        <f>$K$1395*$Y$1395</f>
        <v>0</v>
      </c>
      <c r="AF1395" s="6">
        <f ca="1">$M$1395*$Z$1395</f>
        <v>14577.512932772883</v>
      </c>
      <c r="AG1395" s="6">
        <f>$O$1395*$AA$1395</f>
        <v>24474.211013664557</v>
      </c>
    </row>
    <row r="1396" spans="1:33" ht="11.25" customHeight="1" x14ac:dyDescent="0.25">
      <c r="A1396" s="4" t="s">
        <v>30</v>
      </c>
      <c r="B1396" s="4" t="s">
        <v>35</v>
      </c>
      <c r="C1396" s="4" t="s">
        <v>36</v>
      </c>
      <c r="D1396" s="4" t="s">
        <v>47</v>
      </c>
      <c r="E1396" s="4" t="s">
        <v>25</v>
      </c>
      <c r="F1396" s="4" t="s">
        <v>25</v>
      </c>
      <c r="G1396" s="4" t="s">
        <v>25</v>
      </c>
      <c r="H1396" s="4" t="s">
        <v>38</v>
      </c>
      <c r="I1396" s="5">
        <v>44409</v>
      </c>
      <c r="J1396" s="6">
        <v>0</v>
      </c>
      <c r="K1396" s="77">
        <v>0</v>
      </c>
      <c r="L1396" s="6">
        <v>10.981</v>
      </c>
      <c r="M1396" s="77">
        <v>10.981</v>
      </c>
      <c r="N1396" s="6">
        <v>10.981</v>
      </c>
      <c r="O1396" s="77">
        <v>10.981</v>
      </c>
      <c r="P1396" s="6">
        <v>0</v>
      </c>
      <c r="Q1396" s="4" t="s">
        <v>26</v>
      </c>
      <c r="R1396" s="4">
        <v>0</v>
      </c>
      <c r="S1396" s="6">
        <v>0</v>
      </c>
      <c r="T1396" s="6">
        <v>19</v>
      </c>
      <c r="U1396" s="6">
        <v>67</v>
      </c>
      <c r="V1396" s="77">
        <f>IF(ISERROR(VLOOKUP($S$1396,'TAR FIN'!$A$1:$O$95,15,0)),0,VLOOKUP($S$1396,'TAR FIN'!$A$1:$O$95,15,0))</f>
        <v>0</v>
      </c>
      <c r="W1396" s="77">
        <f>IF(ISERROR(VLOOKUP($T$1396,'TAR FIN'!$A$1:$O$95,15,0)),0,VLOOKUP($T$1396,'TAR FIN'!$A$1:$O$95,15,0))*(1-0.06)</f>
        <v>140.65219999999999</v>
      </c>
      <c r="X1396" s="77">
        <f>IF(ISERROR(VLOOKUP($U$1396,'TAR FIN'!$A$1:$O$95,15,0)),0,VLOOKUP($U$1396,'TAR FIN'!$A$1:$O$95,15,0))*(1-0.06)</f>
        <v>216.22819999999999</v>
      </c>
      <c r="Y1396" s="77"/>
      <c r="Z1396" s="77">
        <f ca="1">('TUSD BE'!$AM$17+'TUSD BF'!$AM$17+'TUSD CVA'!$AM$17)*1*(1-0.04)</f>
        <v>161.7728460762047</v>
      </c>
      <c r="AA1396" s="77">
        <f>('TE BE'!$AA$8+'TE BF'!$AA$8+'TE CVA'!$AA$8)*1*(1-0.04)</f>
        <v>271.60070372834122</v>
      </c>
      <c r="AB1396" s="6">
        <f>$K$1396*$V$1396</f>
        <v>0</v>
      </c>
      <c r="AC1396" s="6">
        <f>$M$1396*$W$1396</f>
        <v>1544.5018081999999</v>
      </c>
      <c r="AD1396" s="6">
        <f>$O$1396*$X$1396</f>
        <v>2374.4018641999996</v>
      </c>
      <c r="AE1396" s="6">
        <f>$K$1396*$Y$1396</f>
        <v>0</v>
      </c>
      <c r="AF1396" s="6">
        <f ca="1">$M$1396*$Z$1396</f>
        <v>1776.4276227628038</v>
      </c>
      <c r="AG1396" s="6">
        <f>$O$1396*$AA$1396</f>
        <v>2982.4473276409149</v>
      </c>
    </row>
    <row r="1397" spans="1:33" ht="11.25" customHeight="1" x14ac:dyDescent="0.25">
      <c r="A1397" s="4" t="s">
        <v>21</v>
      </c>
      <c r="B1397" s="4" t="s">
        <v>35</v>
      </c>
      <c r="C1397" s="4" t="s">
        <v>36</v>
      </c>
      <c r="D1397" s="4" t="s">
        <v>47</v>
      </c>
      <c r="E1397" s="4" t="s">
        <v>25</v>
      </c>
      <c r="F1397" s="4" t="s">
        <v>25</v>
      </c>
      <c r="G1397" s="4" t="s">
        <v>25</v>
      </c>
      <c r="H1397" s="4" t="s">
        <v>38</v>
      </c>
      <c r="I1397" s="5">
        <v>44440</v>
      </c>
      <c r="J1397" s="6">
        <v>0</v>
      </c>
      <c r="K1397" s="77">
        <v>0</v>
      </c>
      <c r="L1397" s="6">
        <v>714.33</v>
      </c>
      <c r="M1397" s="77">
        <v>714.33</v>
      </c>
      <c r="N1397" s="6">
        <v>714.33</v>
      </c>
      <c r="O1397" s="77">
        <v>714.33</v>
      </c>
      <c r="P1397" s="6">
        <v>0</v>
      </c>
      <c r="Q1397" s="4" t="s">
        <v>26</v>
      </c>
      <c r="R1397" s="4">
        <v>0</v>
      </c>
      <c r="S1397" s="6">
        <v>0</v>
      </c>
      <c r="T1397" s="6">
        <v>19</v>
      </c>
      <c r="U1397" s="6">
        <v>67</v>
      </c>
      <c r="V1397" s="77">
        <f>IF(ISERROR(VLOOKUP($S$1397,'TAR FIN'!$A$1:$O$95,15,0)),0,VLOOKUP($S$1397,'TAR FIN'!$A$1:$O$95,15,0))</f>
        <v>0</v>
      </c>
      <c r="W1397" s="77">
        <f>IF(ISERROR(VLOOKUP($T$1397,'TAR FIN'!$A$1:$O$95,15,0)),0,VLOOKUP($T$1397,'TAR FIN'!$A$1:$O$95,15,0))*(1-0.06)</f>
        <v>140.65219999999999</v>
      </c>
      <c r="X1397" s="77">
        <f>IF(ISERROR(VLOOKUP($U$1397,'TAR FIN'!$A$1:$O$95,15,0)),0,VLOOKUP($U$1397,'TAR FIN'!$A$1:$O$95,15,0))*(1-0.06)</f>
        <v>216.22819999999999</v>
      </c>
      <c r="Y1397" s="77"/>
      <c r="Z1397" s="77">
        <f ca="1">('TUSD BE'!$AM$17+'TUSD BF'!$AM$17+'TUSD CVA'!$AM$17)*1*(1-0.04)</f>
        <v>161.7728460762047</v>
      </c>
      <c r="AA1397" s="77">
        <f>('TE BE'!$AA$8+'TE BF'!$AA$8+'TE CVA'!$AA$8)*1*(1-0.04)</f>
        <v>271.60070372834122</v>
      </c>
      <c r="AB1397" s="6">
        <f>$K$1397*$V$1397</f>
        <v>0</v>
      </c>
      <c r="AC1397" s="6">
        <f>$M$1397*$W$1397</f>
        <v>100472.086026</v>
      </c>
      <c r="AD1397" s="6">
        <f>$O$1397*$X$1397</f>
        <v>154458.290106</v>
      </c>
      <c r="AE1397" s="6">
        <f>$K$1397*$Y$1397</f>
        <v>0</v>
      </c>
      <c r="AF1397" s="6">
        <f ca="1">$M$1397*$Z$1397</f>
        <v>115559.19713761531</v>
      </c>
      <c r="AG1397" s="6">
        <f>$O$1397*$AA$1397</f>
        <v>194012.530694266</v>
      </c>
    </row>
    <row r="1398" spans="1:33" ht="11.25" customHeight="1" x14ac:dyDescent="0.25">
      <c r="A1398" s="4" t="s">
        <v>28</v>
      </c>
      <c r="B1398" s="4" t="s">
        <v>35</v>
      </c>
      <c r="C1398" s="4" t="s">
        <v>36</v>
      </c>
      <c r="D1398" s="4" t="s">
        <v>47</v>
      </c>
      <c r="E1398" s="4" t="s">
        <v>25</v>
      </c>
      <c r="F1398" s="4" t="s">
        <v>25</v>
      </c>
      <c r="G1398" s="4" t="s">
        <v>25</v>
      </c>
      <c r="H1398" s="4" t="s">
        <v>38</v>
      </c>
      <c r="I1398" s="5">
        <v>44440</v>
      </c>
      <c r="J1398" s="6">
        <v>0</v>
      </c>
      <c r="K1398" s="77">
        <v>0</v>
      </c>
      <c r="L1398" s="6">
        <v>130.505</v>
      </c>
      <c r="M1398" s="77">
        <v>130.505</v>
      </c>
      <c r="N1398" s="6">
        <v>130.505</v>
      </c>
      <c r="O1398" s="77">
        <v>130.505</v>
      </c>
      <c r="P1398" s="6">
        <v>0</v>
      </c>
      <c r="Q1398" s="4" t="s">
        <v>26</v>
      </c>
      <c r="R1398" s="4">
        <v>0</v>
      </c>
      <c r="S1398" s="6">
        <v>0</v>
      </c>
      <c r="T1398" s="6">
        <v>19</v>
      </c>
      <c r="U1398" s="6">
        <v>67</v>
      </c>
      <c r="V1398" s="77">
        <f>IF(ISERROR(VLOOKUP($S$1398,'TAR FIN'!$A$1:$O$95,15,0)),0,VLOOKUP($S$1398,'TAR FIN'!$A$1:$O$95,15,0))</f>
        <v>0</v>
      </c>
      <c r="W1398" s="77">
        <f>IF(ISERROR(VLOOKUP($T$1398,'TAR FIN'!$A$1:$O$95,15,0)),0,VLOOKUP($T$1398,'TAR FIN'!$A$1:$O$95,15,0))*(1-0.06)</f>
        <v>140.65219999999999</v>
      </c>
      <c r="X1398" s="77">
        <f>IF(ISERROR(VLOOKUP($U$1398,'TAR FIN'!$A$1:$O$95,15,0)),0,VLOOKUP($U$1398,'TAR FIN'!$A$1:$O$95,15,0))*(1-0.06)</f>
        <v>216.22819999999999</v>
      </c>
      <c r="Y1398" s="77"/>
      <c r="Z1398" s="77">
        <f ca="1">('TUSD BE'!$AM$17+'TUSD BF'!$AM$17+'TUSD CVA'!$AM$17)*1*(1-0.04)</f>
        <v>161.7728460762047</v>
      </c>
      <c r="AA1398" s="77">
        <f>('TE BE'!$AA$8+'TE BF'!$AA$8+'TE CVA'!$AA$8)*1*(1-0.04)</f>
        <v>271.60070372834122</v>
      </c>
      <c r="AB1398" s="6">
        <f>$K$1398*$V$1398</f>
        <v>0</v>
      </c>
      <c r="AC1398" s="6">
        <f>$M$1398*$W$1398</f>
        <v>18355.815360999997</v>
      </c>
      <c r="AD1398" s="6">
        <f>$O$1398*$X$1398</f>
        <v>28218.861240999999</v>
      </c>
      <c r="AE1398" s="6">
        <f>$K$1398*$Y$1398</f>
        <v>0</v>
      </c>
      <c r="AF1398" s="6">
        <f ca="1">$M$1398*$Z$1398</f>
        <v>21112.165277175092</v>
      </c>
      <c r="AG1398" s="6">
        <f>$O$1398*$AA$1398</f>
        <v>35445.249840067168</v>
      </c>
    </row>
    <row r="1399" spans="1:33" ht="11.25" customHeight="1" x14ac:dyDescent="0.25">
      <c r="A1399" s="4" t="s">
        <v>30</v>
      </c>
      <c r="B1399" s="4" t="s">
        <v>35</v>
      </c>
      <c r="C1399" s="4" t="s">
        <v>36</v>
      </c>
      <c r="D1399" s="4" t="s">
        <v>47</v>
      </c>
      <c r="E1399" s="4" t="s">
        <v>25</v>
      </c>
      <c r="F1399" s="4" t="s">
        <v>25</v>
      </c>
      <c r="G1399" s="4" t="s">
        <v>25</v>
      </c>
      <c r="H1399" s="4" t="s">
        <v>38</v>
      </c>
      <c r="I1399" s="5">
        <v>44440</v>
      </c>
      <c r="J1399" s="6">
        <v>0</v>
      </c>
      <c r="K1399" s="77">
        <v>0</v>
      </c>
      <c r="L1399" s="6">
        <v>16.239999999999998</v>
      </c>
      <c r="M1399" s="77">
        <v>16.239999999999998</v>
      </c>
      <c r="N1399" s="6">
        <v>16.239999999999998</v>
      </c>
      <c r="O1399" s="77">
        <v>16.239999999999998</v>
      </c>
      <c r="P1399" s="6">
        <v>0</v>
      </c>
      <c r="Q1399" s="4" t="s">
        <v>26</v>
      </c>
      <c r="R1399" s="4">
        <v>0</v>
      </c>
      <c r="S1399" s="6">
        <v>0</v>
      </c>
      <c r="T1399" s="6">
        <v>19</v>
      </c>
      <c r="U1399" s="6">
        <v>67</v>
      </c>
      <c r="V1399" s="77">
        <f>IF(ISERROR(VLOOKUP($S$1399,'TAR FIN'!$A$1:$O$95,15,0)),0,VLOOKUP($S$1399,'TAR FIN'!$A$1:$O$95,15,0))</f>
        <v>0</v>
      </c>
      <c r="W1399" s="77">
        <f>IF(ISERROR(VLOOKUP($T$1399,'TAR FIN'!$A$1:$O$95,15,0)),0,VLOOKUP($T$1399,'TAR FIN'!$A$1:$O$95,15,0))*(1-0.06)</f>
        <v>140.65219999999999</v>
      </c>
      <c r="X1399" s="77">
        <f>IF(ISERROR(VLOOKUP($U$1399,'TAR FIN'!$A$1:$O$95,15,0)),0,VLOOKUP($U$1399,'TAR FIN'!$A$1:$O$95,15,0))*(1-0.06)</f>
        <v>216.22819999999999</v>
      </c>
      <c r="Y1399" s="77"/>
      <c r="Z1399" s="77">
        <f ca="1">('TUSD BE'!$AM$17+'TUSD BF'!$AM$17+'TUSD CVA'!$AM$17)*1*(1-0.04)</f>
        <v>161.7728460762047</v>
      </c>
      <c r="AA1399" s="77">
        <f>('TE BE'!$AA$8+'TE BF'!$AA$8+'TE CVA'!$AA$8)*1*(1-0.04)</f>
        <v>271.60070372834122</v>
      </c>
      <c r="AB1399" s="6">
        <f>$K$1399*$V$1399</f>
        <v>0</v>
      </c>
      <c r="AC1399" s="6">
        <f>$M$1399*$W$1399</f>
        <v>2284.1917279999998</v>
      </c>
      <c r="AD1399" s="6">
        <f>$O$1399*$X$1399</f>
        <v>3511.5459679999994</v>
      </c>
      <c r="AE1399" s="6">
        <f>$K$1399*$Y$1399</f>
        <v>0</v>
      </c>
      <c r="AF1399" s="6">
        <f ca="1">$M$1399*$Z$1399</f>
        <v>2627.1910202775639</v>
      </c>
      <c r="AG1399" s="6">
        <f>$O$1399*$AA$1399</f>
        <v>4410.795428548261</v>
      </c>
    </row>
    <row r="1400" spans="1:33" ht="11.25" customHeight="1" x14ac:dyDescent="0.25">
      <c r="A1400" s="4" t="s">
        <v>59</v>
      </c>
      <c r="B1400" s="4" t="s">
        <v>35</v>
      </c>
      <c r="C1400" s="4" t="s">
        <v>36</v>
      </c>
      <c r="D1400" s="4" t="s">
        <v>47</v>
      </c>
      <c r="E1400" s="4" t="s">
        <v>25</v>
      </c>
      <c r="F1400" s="4" t="s">
        <v>25</v>
      </c>
      <c r="G1400" s="4" t="s">
        <v>25</v>
      </c>
      <c r="H1400" s="4" t="s">
        <v>38</v>
      </c>
      <c r="I1400" s="5">
        <v>44470</v>
      </c>
      <c r="J1400" s="6">
        <v>0</v>
      </c>
      <c r="K1400" s="77">
        <v>0</v>
      </c>
      <c r="L1400" s="6">
        <v>714.33</v>
      </c>
      <c r="M1400" s="77">
        <v>714.33</v>
      </c>
      <c r="N1400" s="6">
        <v>714.33</v>
      </c>
      <c r="O1400" s="77">
        <v>714.33</v>
      </c>
      <c r="P1400" s="6">
        <v>0</v>
      </c>
      <c r="Q1400" s="4" t="s">
        <v>26</v>
      </c>
      <c r="R1400" s="4">
        <v>0</v>
      </c>
      <c r="S1400" s="6">
        <v>0</v>
      </c>
      <c r="T1400" s="6">
        <v>19</v>
      </c>
      <c r="U1400" s="6">
        <v>67</v>
      </c>
      <c r="V1400" s="77">
        <f>IF(ISERROR(VLOOKUP($S$1400,'TAR FIN'!$A$1:$O$95,15,0)),0,VLOOKUP($S$1400,'TAR FIN'!$A$1:$O$95,15,0))</f>
        <v>0</v>
      </c>
      <c r="W1400" s="77">
        <f>IF(ISERROR(VLOOKUP($T$1400,'TAR FIN'!$A$1:$O$95,15,0)),0,VLOOKUP($T$1400,'TAR FIN'!$A$1:$O$95,15,0))*(1-0.06)</f>
        <v>140.65219999999999</v>
      </c>
      <c r="X1400" s="77">
        <f>IF(ISERROR(VLOOKUP($U$1400,'TAR FIN'!$A$1:$O$95,15,0)),0,VLOOKUP($U$1400,'TAR FIN'!$A$1:$O$95,15,0))*(1-0.06)</f>
        <v>216.22819999999999</v>
      </c>
      <c r="Y1400" s="77"/>
      <c r="Z1400" s="77">
        <f ca="1">('TUSD BE'!$AM$17+'TUSD BF'!$AM$17+'TUSD CVA'!$AM$17)*1*(1-0.04)</f>
        <v>161.7728460762047</v>
      </c>
      <c r="AA1400" s="77">
        <f>('TE BE'!$AA$8+'TE BF'!$AA$8+'TE CVA'!$AA$8)*1*(1-0.04)</f>
        <v>271.60070372834122</v>
      </c>
      <c r="AB1400" s="6">
        <f>$K$1400*$V$1400</f>
        <v>0</v>
      </c>
      <c r="AC1400" s="6">
        <f>$M$1400*$W$1400</f>
        <v>100472.086026</v>
      </c>
      <c r="AD1400" s="6">
        <f>$O$1400*$X$1400</f>
        <v>154458.290106</v>
      </c>
      <c r="AE1400" s="6">
        <f>$K$1400*$Y$1400</f>
        <v>0</v>
      </c>
      <c r="AF1400" s="6">
        <f ca="1">$M$1400*$Z$1400</f>
        <v>115559.19713761531</v>
      </c>
      <c r="AG1400" s="6">
        <f>$O$1400*$AA$1400</f>
        <v>194012.530694266</v>
      </c>
    </row>
    <row r="1401" spans="1:33" ht="11.25" customHeight="1" x14ac:dyDescent="0.25">
      <c r="A1401" s="4" t="s">
        <v>59</v>
      </c>
      <c r="B1401" s="4" t="s">
        <v>35</v>
      </c>
      <c r="C1401" s="4" t="s">
        <v>36</v>
      </c>
      <c r="D1401" s="4" t="s">
        <v>47</v>
      </c>
      <c r="E1401" s="4" t="s">
        <v>25</v>
      </c>
      <c r="F1401" s="4" t="s">
        <v>25</v>
      </c>
      <c r="G1401" s="4" t="s">
        <v>25</v>
      </c>
      <c r="H1401" s="4" t="s">
        <v>38</v>
      </c>
      <c r="I1401" s="5">
        <v>44470</v>
      </c>
      <c r="J1401" s="6">
        <v>0</v>
      </c>
      <c r="K1401" s="77">
        <v>0</v>
      </c>
      <c r="L1401" s="6">
        <v>130.505</v>
      </c>
      <c r="M1401" s="77">
        <v>130.505</v>
      </c>
      <c r="N1401" s="6">
        <v>130.505</v>
      </c>
      <c r="O1401" s="77">
        <v>130.505</v>
      </c>
      <c r="P1401" s="6">
        <v>0</v>
      </c>
      <c r="Q1401" s="4" t="s">
        <v>26</v>
      </c>
      <c r="R1401" s="4">
        <v>0</v>
      </c>
      <c r="S1401" s="6">
        <v>0</v>
      </c>
      <c r="T1401" s="6">
        <v>19</v>
      </c>
      <c r="U1401" s="6">
        <v>67</v>
      </c>
      <c r="V1401" s="77">
        <f>IF(ISERROR(VLOOKUP($S$1401,'TAR FIN'!$A$1:$O$95,15,0)),0,VLOOKUP($S$1401,'TAR FIN'!$A$1:$O$95,15,0))</f>
        <v>0</v>
      </c>
      <c r="W1401" s="77">
        <f>IF(ISERROR(VLOOKUP($T$1401,'TAR FIN'!$A$1:$O$95,15,0)),0,VLOOKUP($T$1401,'TAR FIN'!$A$1:$O$95,15,0))*(1-0.06)</f>
        <v>140.65219999999999</v>
      </c>
      <c r="X1401" s="77">
        <f>IF(ISERROR(VLOOKUP($U$1401,'TAR FIN'!$A$1:$O$95,15,0)),0,VLOOKUP($U$1401,'TAR FIN'!$A$1:$O$95,15,0))*(1-0.06)</f>
        <v>216.22819999999999</v>
      </c>
      <c r="Y1401" s="77"/>
      <c r="Z1401" s="77">
        <f ca="1">('TUSD BE'!$AM$17+'TUSD BF'!$AM$17+'TUSD CVA'!$AM$17)*1*(1-0.04)</f>
        <v>161.7728460762047</v>
      </c>
      <c r="AA1401" s="77">
        <f>('TE BE'!$AA$8+'TE BF'!$AA$8+'TE CVA'!$AA$8)*1*(1-0.04)</f>
        <v>271.60070372834122</v>
      </c>
      <c r="AB1401" s="6">
        <f>$K$1401*$V$1401</f>
        <v>0</v>
      </c>
      <c r="AC1401" s="6">
        <f>$M$1401*$W$1401</f>
        <v>18355.815360999997</v>
      </c>
      <c r="AD1401" s="6">
        <f>$O$1401*$X$1401</f>
        <v>28218.861240999999</v>
      </c>
      <c r="AE1401" s="6">
        <f>$K$1401*$Y$1401</f>
        <v>0</v>
      </c>
      <c r="AF1401" s="6">
        <f ca="1">$M$1401*$Z$1401</f>
        <v>21112.165277175092</v>
      </c>
      <c r="AG1401" s="6">
        <f>$O$1401*$AA$1401</f>
        <v>35445.249840067168</v>
      </c>
    </row>
    <row r="1402" spans="1:33" ht="11.25" customHeight="1" x14ac:dyDescent="0.25">
      <c r="A1402" s="4" t="s">
        <v>59</v>
      </c>
      <c r="B1402" s="4" t="s">
        <v>35</v>
      </c>
      <c r="C1402" s="4" t="s">
        <v>36</v>
      </c>
      <c r="D1402" s="4" t="s">
        <v>47</v>
      </c>
      <c r="E1402" s="4" t="s">
        <v>25</v>
      </c>
      <c r="F1402" s="4" t="s">
        <v>25</v>
      </c>
      <c r="G1402" s="4" t="s">
        <v>25</v>
      </c>
      <c r="H1402" s="4" t="s">
        <v>38</v>
      </c>
      <c r="I1402" s="5">
        <v>44470</v>
      </c>
      <c r="J1402" s="6">
        <v>0</v>
      </c>
      <c r="K1402" s="77">
        <v>0</v>
      </c>
      <c r="L1402" s="6">
        <v>16.239999999999998</v>
      </c>
      <c r="M1402" s="77">
        <v>16.239999999999998</v>
      </c>
      <c r="N1402" s="6">
        <v>16.239999999999998</v>
      </c>
      <c r="O1402" s="77">
        <v>16.239999999999998</v>
      </c>
      <c r="P1402" s="6">
        <v>0</v>
      </c>
      <c r="Q1402" s="4" t="s">
        <v>26</v>
      </c>
      <c r="R1402" s="4">
        <v>0</v>
      </c>
      <c r="S1402" s="6">
        <v>0</v>
      </c>
      <c r="T1402" s="6">
        <v>19</v>
      </c>
      <c r="U1402" s="6">
        <v>67</v>
      </c>
      <c r="V1402" s="77">
        <f>IF(ISERROR(VLOOKUP($S$1402,'TAR FIN'!$A$1:$O$95,15,0)),0,VLOOKUP($S$1402,'TAR FIN'!$A$1:$O$95,15,0))</f>
        <v>0</v>
      </c>
      <c r="W1402" s="77">
        <f>IF(ISERROR(VLOOKUP($T$1402,'TAR FIN'!$A$1:$O$95,15,0)),0,VLOOKUP($T$1402,'TAR FIN'!$A$1:$O$95,15,0))*(1-0.06)</f>
        <v>140.65219999999999</v>
      </c>
      <c r="X1402" s="77">
        <f>IF(ISERROR(VLOOKUP($U$1402,'TAR FIN'!$A$1:$O$95,15,0)),0,VLOOKUP($U$1402,'TAR FIN'!$A$1:$O$95,15,0))*(1-0.06)</f>
        <v>216.22819999999999</v>
      </c>
      <c r="Y1402" s="77"/>
      <c r="Z1402" s="77">
        <f ca="1">('TUSD BE'!$AM$17+'TUSD BF'!$AM$17+'TUSD CVA'!$AM$17)*1*(1-0.04)</f>
        <v>161.7728460762047</v>
      </c>
      <c r="AA1402" s="77">
        <f>('TE BE'!$AA$8+'TE BF'!$AA$8+'TE CVA'!$AA$8)*1*(1-0.04)</f>
        <v>271.60070372834122</v>
      </c>
      <c r="AB1402" s="6">
        <f>$K$1402*$V$1402</f>
        <v>0</v>
      </c>
      <c r="AC1402" s="6">
        <f>$M$1402*$W$1402</f>
        <v>2284.1917279999998</v>
      </c>
      <c r="AD1402" s="6">
        <f>$O$1402*$X$1402</f>
        <v>3511.5459679999994</v>
      </c>
      <c r="AE1402" s="6">
        <f>$K$1402*$Y$1402</f>
        <v>0</v>
      </c>
      <c r="AF1402" s="6">
        <f ca="1">$M$1402*$Z$1402</f>
        <v>2627.1910202775639</v>
      </c>
      <c r="AG1402" s="6">
        <f>$O$1402*$AA$1402</f>
        <v>4410.795428548261</v>
      </c>
    </row>
    <row r="1403" spans="1:33" ht="11.25" customHeight="1" x14ac:dyDescent="0.25">
      <c r="A1403" s="4" t="s">
        <v>21</v>
      </c>
      <c r="B1403" s="4" t="s">
        <v>35</v>
      </c>
      <c r="C1403" s="4" t="s">
        <v>36</v>
      </c>
      <c r="D1403" s="4" t="s">
        <v>47</v>
      </c>
      <c r="E1403" s="4" t="s">
        <v>25</v>
      </c>
      <c r="F1403" s="4" t="s">
        <v>25</v>
      </c>
      <c r="G1403" s="4" t="s">
        <v>25</v>
      </c>
      <c r="H1403" s="4" t="s">
        <v>25</v>
      </c>
      <c r="I1403" s="5">
        <v>44136</v>
      </c>
      <c r="J1403" s="6">
        <v>2386</v>
      </c>
      <c r="K1403" s="77">
        <v>2386</v>
      </c>
      <c r="L1403" s="6">
        <v>0</v>
      </c>
      <c r="M1403" s="77">
        <v>0</v>
      </c>
      <c r="N1403" s="6">
        <v>0</v>
      </c>
      <c r="O1403" s="77">
        <v>0</v>
      </c>
      <c r="P1403" s="6">
        <v>17</v>
      </c>
      <c r="Q1403" s="4" t="s">
        <v>26</v>
      </c>
      <c r="R1403" s="4">
        <v>0</v>
      </c>
      <c r="S1403" s="6">
        <v>23</v>
      </c>
      <c r="T1403" s="6">
        <v>0</v>
      </c>
      <c r="U1403" s="6">
        <v>0</v>
      </c>
      <c r="V1403" s="77">
        <f>IF(ISERROR(VLOOKUP($S$1403,'TAR FIN'!$A$1:$O$95,15,0)),0,VLOOKUP($S$1403,'TAR FIN'!$A$1:$O$95,15,0))*(1-0.06)</f>
        <v>26.855799999999999</v>
      </c>
      <c r="W1403" s="77">
        <f>IF(ISERROR(VLOOKUP($T$1403,'TAR FIN'!$A$1:$O$95,15,0)),0,VLOOKUP($T$1403,'TAR FIN'!$A$1:$O$95,15,0))</f>
        <v>0</v>
      </c>
      <c r="X1403" s="77">
        <f>IF(ISERROR(VLOOKUP($U$1403,'TAR FIN'!$A$1:$O$95,15,0)),0,VLOOKUP($U$1403,'TAR FIN'!$A$1:$O$95,15,0))</f>
        <v>0</v>
      </c>
      <c r="Y1403" s="77">
        <f ca="1">('TUSD BE'!$AM$15+'TUSD BF'!$AM$15+'TUSD CVA'!$AM$15)*1*(1-0.04)</f>
        <v>30.653416196860647</v>
      </c>
      <c r="Z1403" s="77"/>
      <c r="AA1403" s="77"/>
      <c r="AB1403" s="6">
        <f>$K$1403*$V$1403</f>
        <v>64077.938799999996</v>
      </c>
      <c r="AC1403" s="6">
        <f>$M$1403*$W$1403</f>
        <v>0</v>
      </c>
      <c r="AD1403" s="6">
        <f>$O$1403*$X$1403</f>
        <v>0</v>
      </c>
      <c r="AE1403" s="6">
        <f ca="1">$K$1403*$Y$1403</f>
        <v>73139.051045709508</v>
      </c>
      <c r="AF1403" s="6">
        <f>$M$1403*$Z$1403</f>
        <v>0</v>
      </c>
      <c r="AG1403" s="6">
        <f>$O$1403*$AA$1403</f>
        <v>0</v>
      </c>
    </row>
    <row r="1404" spans="1:33" ht="11.25" customHeight="1" x14ac:dyDescent="0.25">
      <c r="A1404" s="4" t="s">
        <v>28</v>
      </c>
      <c r="B1404" s="4" t="s">
        <v>35</v>
      </c>
      <c r="C1404" s="4" t="s">
        <v>36</v>
      </c>
      <c r="D1404" s="4" t="s">
        <v>47</v>
      </c>
      <c r="E1404" s="4" t="s">
        <v>25</v>
      </c>
      <c r="F1404" s="4" t="s">
        <v>25</v>
      </c>
      <c r="G1404" s="4" t="s">
        <v>25</v>
      </c>
      <c r="H1404" s="4" t="s">
        <v>25</v>
      </c>
      <c r="I1404" s="5">
        <v>44136</v>
      </c>
      <c r="J1404" s="6">
        <v>734</v>
      </c>
      <c r="K1404" s="77">
        <v>734</v>
      </c>
      <c r="L1404" s="6">
        <v>0</v>
      </c>
      <c r="M1404" s="77">
        <v>0</v>
      </c>
      <c r="N1404" s="6">
        <v>0</v>
      </c>
      <c r="O1404" s="77">
        <v>0</v>
      </c>
      <c r="P1404" s="6">
        <v>7</v>
      </c>
      <c r="Q1404" s="4" t="s">
        <v>26</v>
      </c>
      <c r="R1404" s="4">
        <v>0</v>
      </c>
      <c r="S1404" s="6">
        <v>23</v>
      </c>
      <c r="T1404" s="6">
        <v>0</v>
      </c>
      <c r="U1404" s="6">
        <v>0</v>
      </c>
      <c r="V1404" s="77">
        <f>IF(ISERROR(VLOOKUP($S$1404,'TAR FIN'!$A$1:$O$95,15,0)),0,VLOOKUP($S$1404,'TAR FIN'!$A$1:$O$95,15,0))*(1-0.06)</f>
        <v>26.855799999999999</v>
      </c>
      <c r="W1404" s="77">
        <f>IF(ISERROR(VLOOKUP($T$1404,'TAR FIN'!$A$1:$O$95,15,0)),0,VLOOKUP($T$1404,'TAR FIN'!$A$1:$O$95,15,0))</f>
        <v>0</v>
      </c>
      <c r="X1404" s="77">
        <f>IF(ISERROR(VLOOKUP($U$1404,'TAR FIN'!$A$1:$O$95,15,0)),0,VLOOKUP($U$1404,'TAR FIN'!$A$1:$O$95,15,0))</f>
        <v>0</v>
      </c>
      <c r="Y1404" s="77">
        <f ca="1">('TUSD BE'!$AM$15+'TUSD BF'!$AM$15+'TUSD CVA'!$AM$15)*1*(1-0.04)</f>
        <v>30.653416196860647</v>
      </c>
      <c r="Z1404" s="77"/>
      <c r="AA1404" s="77"/>
      <c r="AB1404" s="6">
        <f>$K$1404*$V$1404</f>
        <v>19712.157199999998</v>
      </c>
      <c r="AC1404" s="6">
        <f>$M$1404*$W$1404</f>
        <v>0</v>
      </c>
      <c r="AD1404" s="6">
        <f>$O$1404*$X$1404</f>
        <v>0</v>
      </c>
      <c r="AE1404" s="6">
        <f ca="1">$K$1404*$Y$1404</f>
        <v>22499.607488495716</v>
      </c>
      <c r="AF1404" s="6">
        <f>$M$1404*$Z$1404</f>
        <v>0</v>
      </c>
      <c r="AG1404" s="6">
        <f>$O$1404*$AA$1404</f>
        <v>0</v>
      </c>
    </row>
    <row r="1405" spans="1:33" ht="11.25" customHeight="1" x14ac:dyDescent="0.25">
      <c r="A1405" s="4" t="s">
        <v>21</v>
      </c>
      <c r="B1405" s="4" t="s">
        <v>35</v>
      </c>
      <c r="C1405" s="4" t="s">
        <v>36</v>
      </c>
      <c r="D1405" s="4" t="s">
        <v>47</v>
      </c>
      <c r="E1405" s="4" t="s">
        <v>25</v>
      </c>
      <c r="F1405" s="4" t="s">
        <v>25</v>
      </c>
      <c r="G1405" s="4" t="s">
        <v>25</v>
      </c>
      <c r="H1405" s="4" t="s">
        <v>25</v>
      </c>
      <c r="I1405" s="5">
        <v>44166</v>
      </c>
      <c r="J1405" s="6">
        <v>2017</v>
      </c>
      <c r="K1405" s="77">
        <v>2017</v>
      </c>
      <c r="L1405" s="6">
        <v>0</v>
      </c>
      <c r="M1405" s="77">
        <v>0</v>
      </c>
      <c r="N1405" s="6">
        <v>0</v>
      </c>
      <c r="O1405" s="77">
        <v>0</v>
      </c>
      <c r="P1405" s="6">
        <v>13</v>
      </c>
      <c r="Q1405" s="4" t="s">
        <v>26</v>
      </c>
      <c r="R1405" s="4">
        <v>0</v>
      </c>
      <c r="S1405" s="6">
        <v>23</v>
      </c>
      <c r="T1405" s="6">
        <v>0</v>
      </c>
      <c r="U1405" s="6">
        <v>0</v>
      </c>
      <c r="V1405" s="77">
        <f>IF(ISERROR(VLOOKUP($S$1405,'TAR FIN'!$A$1:$O$95,15,0)),0,VLOOKUP($S$1405,'TAR FIN'!$A$1:$O$95,15,0))*(1-0.06)</f>
        <v>26.855799999999999</v>
      </c>
      <c r="W1405" s="77">
        <f>IF(ISERROR(VLOOKUP($T$1405,'TAR FIN'!$A$1:$O$95,15,0)),0,VLOOKUP($T$1405,'TAR FIN'!$A$1:$O$95,15,0))</f>
        <v>0</v>
      </c>
      <c r="X1405" s="77">
        <f>IF(ISERROR(VLOOKUP($U$1405,'TAR FIN'!$A$1:$O$95,15,0)),0,VLOOKUP($U$1405,'TAR FIN'!$A$1:$O$95,15,0))</f>
        <v>0</v>
      </c>
      <c r="Y1405" s="77">
        <f ca="1">('TUSD BE'!$AM$15+'TUSD BF'!$AM$15+'TUSD CVA'!$AM$15)*1*(1-0.04)</f>
        <v>30.653416196860647</v>
      </c>
      <c r="Z1405" s="77"/>
      <c r="AA1405" s="77"/>
      <c r="AB1405" s="6">
        <f>$K$1405*$V$1405</f>
        <v>54168.1486</v>
      </c>
      <c r="AC1405" s="6">
        <f>$M$1405*$W$1405</f>
        <v>0</v>
      </c>
      <c r="AD1405" s="6">
        <f>$O$1405*$X$1405</f>
        <v>0</v>
      </c>
      <c r="AE1405" s="6">
        <f ca="1">$K$1405*$Y$1405</f>
        <v>61827.940469067922</v>
      </c>
      <c r="AF1405" s="6">
        <f>$M$1405*$Z$1405</f>
        <v>0</v>
      </c>
      <c r="AG1405" s="6">
        <f>$O$1405*$AA$1405</f>
        <v>0</v>
      </c>
    </row>
    <row r="1406" spans="1:33" ht="11.25" customHeight="1" x14ac:dyDescent="0.25">
      <c r="A1406" s="4" t="s">
        <v>28</v>
      </c>
      <c r="B1406" s="4" t="s">
        <v>35</v>
      </c>
      <c r="C1406" s="4" t="s">
        <v>36</v>
      </c>
      <c r="D1406" s="4" t="s">
        <v>47</v>
      </c>
      <c r="E1406" s="4" t="s">
        <v>25</v>
      </c>
      <c r="F1406" s="4" t="s">
        <v>25</v>
      </c>
      <c r="G1406" s="4" t="s">
        <v>25</v>
      </c>
      <c r="H1406" s="4" t="s">
        <v>25</v>
      </c>
      <c r="I1406" s="5">
        <v>44166</v>
      </c>
      <c r="J1406" s="6">
        <v>732</v>
      </c>
      <c r="K1406" s="77">
        <v>732</v>
      </c>
      <c r="L1406" s="6">
        <v>0</v>
      </c>
      <c r="M1406" s="77">
        <v>0</v>
      </c>
      <c r="N1406" s="6">
        <v>0</v>
      </c>
      <c r="O1406" s="77">
        <v>0</v>
      </c>
      <c r="P1406" s="6">
        <v>7</v>
      </c>
      <c r="Q1406" s="4" t="s">
        <v>26</v>
      </c>
      <c r="R1406" s="4">
        <v>0</v>
      </c>
      <c r="S1406" s="6">
        <v>23</v>
      </c>
      <c r="T1406" s="6">
        <v>0</v>
      </c>
      <c r="U1406" s="6">
        <v>0</v>
      </c>
      <c r="V1406" s="77">
        <f>IF(ISERROR(VLOOKUP($S$1406,'TAR FIN'!$A$1:$O$95,15,0)),0,VLOOKUP($S$1406,'TAR FIN'!$A$1:$O$95,15,0))*(1-0.06)</f>
        <v>26.855799999999999</v>
      </c>
      <c r="W1406" s="77">
        <f>IF(ISERROR(VLOOKUP($T$1406,'TAR FIN'!$A$1:$O$95,15,0)),0,VLOOKUP($T$1406,'TAR FIN'!$A$1:$O$95,15,0))</f>
        <v>0</v>
      </c>
      <c r="X1406" s="77">
        <f>IF(ISERROR(VLOOKUP($U$1406,'TAR FIN'!$A$1:$O$95,15,0)),0,VLOOKUP($U$1406,'TAR FIN'!$A$1:$O$95,15,0))</f>
        <v>0</v>
      </c>
      <c r="Y1406" s="77">
        <f ca="1">('TUSD BE'!$AM$15+'TUSD BF'!$AM$15+'TUSD CVA'!$AM$15)*1*(1-0.04)</f>
        <v>30.653416196860647</v>
      </c>
      <c r="Z1406" s="77"/>
      <c r="AA1406" s="77"/>
      <c r="AB1406" s="6">
        <f>$K$1406*$V$1406</f>
        <v>19658.445599999999</v>
      </c>
      <c r="AC1406" s="6">
        <f>$M$1406*$W$1406</f>
        <v>0</v>
      </c>
      <c r="AD1406" s="6">
        <f>$O$1406*$X$1406</f>
        <v>0</v>
      </c>
      <c r="AE1406" s="6">
        <f ca="1">$K$1406*$Y$1406</f>
        <v>22438.300656101994</v>
      </c>
      <c r="AF1406" s="6">
        <f>$M$1406*$Z$1406</f>
        <v>0</v>
      </c>
      <c r="AG1406" s="6">
        <f>$O$1406*$AA$1406</f>
        <v>0</v>
      </c>
    </row>
    <row r="1407" spans="1:33" ht="11.25" customHeight="1" x14ac:dyDescent="0.25">
      <c r="A1407" s="4" t="s">
        <v>21</v>
      </c>
      <c r="B1407" s="4" t="s">
        <v>35</v>
      </c>
      <c r="C1407" s="4" t="s">
        <v>36</v>
      </c>
      <c r="D1407" s="4" t="s">
        <v>47</v>
      </c>
      <c r="E1407" s="4" t="s">
        <v>25</v>
      </c>
      <c r="F1407" s="4" t="s">
        <v>25</v>
      </c>
      <c r="G1407" s="4" t="s">
        <v>25</v>
      </c>
      <c r="H1407" s="4" t="s">
        <v>25</v>
      </c>
      <c r="I1407" s="5">
        <v>44197</v>
      </c>
      <c r="J1407" s="6">
        <v>2301</v>
      </c>
      <c r="K1407" s="77">
        <v>2301</v>
      </c>
      <c r="L1407" s="6">
        <v>0</v>
      </c>
      <c r="M1407" s="77">
        <v>0</v>
      </c>
      <c r="N1407" s="6">
        <v>0</v>
      </c>
      <c r="O1407" s="77">
        <v>0</v>
      </c>
      <c r="P1407" s="6">
        <v>13</v>
      </c>
      <c r="Q1407" s="4" t="s">
        <v>26</v>
      </c>
      <c r="R1407" s="4">
        <v>0</v>
      </c>
      <c r="S1407" s="6">
        <v>23</v>
      </c>
      <c r="T1407" s="6">
        <v>0</v>
      </c>
      <c r="U1407" s="6">
        <v>0</v>
      </c>
      <c r="V1407" s="77">
        <f>IF(ISERROR(VLOOKUP($S$1407,'TAR FIN'!$A$1:$O$95,15,0)),0,VLOOKUP($S$1407,'TAR FIN'!$A$1:$O$95,15,0))*(1-0.06)</f>
        <v>26.855799999999999</v>
      </c>
      <c r="W1407" s="77">
        <f>IF(ISERROR(VLOOKUP($T$1407,'TAR FIN'!$A$1:$O$95,15,0)),0,VLOOKUP($T$1407,'TAR FIN'!$A$1:$O$95,15,0))</f>
        <v>0</v>
      </c>
      <c r="X1407" s="77">
        <f>IF(ISERROR(VLOOKUP($U$1407,'TAR FIN'!$A$1:$O$95,15,0)),0,VLOOKUP($U$1407,'TAR FIN'!$A$1:$O$95,15,0))</f>
        <v>0</v>
      </c>
      <c r="Y1407" s="77">
        <f ca="1">('TUSD BE'!$AM$15+'TUSD BF'!$AM$15+'TUSD CVA'!$AM$15)*1*(1-0.04)</f>
        <v>30.653416196860647</v>
      </c>
      <c r="Z1407" s="77"/>
      <c r="AA1407" s="77"/>
      <c r="AB1407" s="6">
        <f>$K$1407*$V$1407</f>
        <v>61795.195799999994</v>
      </c>
      <c r="AC1407" s="6">
        <f>$M$1407*$W$1407</f>
        <v>0</v>
      </c>
      <c r="AD1407" s="6">
        <f>$O$1407*$X$1407</f>
        <v>0</v>
      </c>
      <c r="AE1407" s="6">
        <f ca="1">$K$1407*$Y$1407</f>
        <v>70533.510668976349</v>
      </c>
      <c r="AF1407" s="6">
        <f>$M$1407*$Z$1407</f>
        <v>0</v>
      </c>
      <c r="AG1407" s="6">
        <f>$O$1407*$AA$1407</f>
        <v>0</v>
      </c>
    </row>
    <row r="1408" spans="1:33" ht="11.25" customHeight="1" x14ac:dyDescent="0.25">
      <c r="A1408" s="4" t="s">
        <v>28</v>
      </c>
      <c r="B1408" s="4" t="s">
        <v>35</v>
      </c>
      <c r="C1408" s="4" t="s">
        <v>36</v>
      </c>
      <c r="D1408" s="4" t="s">
        <v>47</v>
      </c>
      <c r="E1408" s="4" t="s">
        <v>25</v>
      </c>
      <c r="F1408" s="4" t="s">
        <v>25</v>
      </c>
      <c r="G1408" s="4" t="s">
        <v>25</v>
      </c>
      <c r="H1408" s="4" t="s">
        <v>25</v>
      </c>
      <c r="I1408" s="5">
        <v>44197</v>
      </c>
      <c r="J1408" s="6">
        <v>768</v>
      </c>
      <c r="K1408" s="77">
        <v>768</v>
      </c>
      <c r="L1408" s="6">
        <v>0</v>
      </c>
      <c r="M1408" s="77">
        <v>0</v>
      </c>
      <c r="N1408" s="6">
        <v>0</v>
      </c>
      <c r="O1408" s="77">
        <v>0</v>
      </c>
      <c r="P1408" s="6">
        <v>7</v>
      </c>
      <c r="Q1408" s="4" t="s">
        <v>26</v>
      </c>
      <c r="R1408" s="4">
        <v>0</v>
      </c>
      <c r="S1408" s="6">
        <v>23</v>
      </c>
      <c r="T1408" s="6">
        <v>0</v>
      </c>
      <c r="U1408" s="6">
        <v>0</v>
      </c>
      <c r="V1408" s="77">
        <f>IF(ISERROR(VLOOKUP($S$1408,'TAR FIN'!$A$1:$O$95,15,0)),0,VLOOKUP($S$1408,'TAR FIN'!$A$1:$O$95,15,0))*(1-0.06)</f>
        <v>26.855799999999999</v>
      </c>
      <c r="W1408" s="77">
        <f>IF(ISERROR(VLOOKUP($T$1408,'TAR FIN'!$A$1:$O$95,15,0)),0,VLOOKUP($T$1408,'TAR FIN'!$A$1:$O$95,15,0))</f>
        <v>0</v>
      </c>
      <c r="X1408" s="77">
        <f>IF(ISERROR(VLOOKUP($U$1408,'TAR FIN'!$A$1:$O$95,15,0)),0,VLOOKUP($U$1408,'TAR FIN'!$A$1:$O$95,15,0))</f>
        <v>0</v>
      </c>
      <c r="Y1408" s="77">
        <f ca="1">('TUSD BE'!$AM$15+'TUSD BF'!$AM$15+'TUSD CVA'!$AM$15)*1*(1-0.04)</f>
        <v>30.653416196860647</v>
      </c>
      <c r="Z1408" s="77"/>
      <c r="AA1408" s="77"/>
      <c r="AB1408" s="6">
        <f>$K$1408*$V$1408</f>
        <v>20625.254399999998</v>
      </c>
      <c r="AC1408" s="6">
        <f>$M$1408*$W$1408</f>
        <v>0</v>
      </c>
      <c r="AD1408" s="6">
        <f>$O$1408*$X$1408</f>
        <v>0</v>
      </c>
      <c r="AE1408" s="6">
        <f ca="1">$K$1408*$Y$1408</f>
        <v>23541.823639188977</v>
      </c>
      <c r="AF1408" s="6">
        <f>$M$1408*$Z$1408</f>
        <v>0</v>
      </c>
      <c r="AG1408" s="6">
        <f>$O$1408*$AA$1408</f>
        <v>0</v>
      </c>
    </row>
    <row r="1409" spans="1:33" ht="11.25" customHeight="1" x14ac:dyDescent="0.25">
      <c r="A1409" s="4" t="s">
        <v>21</v>
      </c>
      <c r="B1409" s="4" t="s">
        <v>35</v>
      </c>
      <c r="C1409" s="4" t="s">
        <v>36</v>
      </c>
      <c r="D1409" s="4" t="s">
        <v>47</v>
      </c>
      <c r="E1409" s="4" t="s">
        <v>25</v>
      </c>
      <c r="F1409" s="4" t="s">
        <v>25</v>
      </c>
      <c r="G1409" s="4" t="s">
        <v>25</v>
      </c>
      <c r="H1409" s="4" t="s">
        <v>25</v>
      </c>
      <c r="I1409" s="5">
        <v>44228</v>
      </c>
      <c r="J1409" s="6">
        <v>1751</v>
      </c>
      <c r="K1409" s="77">
        <v>1751</v>
      </c>
      <c r="L1409" s="6">
        <v>0</v>
      </c>
      <c r="M1409" s="77">
        <v>0</v>
      </c>
      <c r="N1409" s="6">
        <v>0</v>
      </c>
      <c r="O1409" s="77">
        <v>0</v>
      </c>
      <c r="P1409" s="6">
        <v>13</v>
      </c>
      <c r="Q1409" s="4" t="s">
        <v>26</v>
      </c>
      <c r="R1409" s="4">
        <v>0</v>
      </c>
      <c r="S1409" s="6">
        <v>23</v>
      </c>
      <c r="T1409" s="6">
        <v>0</v>
      </c>
      <c r="U1409" s="6">
        <v>0</v>
      </c>
      <c r="V1409" s="77">
        <f>IF(ISERROR(VLOOKUP($S$1409,'TAR FIN'!$A$1:$O$95,15,0)),0,VLOOKUP($S$1409,'TAR FIN'!$A$1:$O$95,15,0))*(1-0.06)</f>
        <v>26.855799999999999</v>
      </c>
      <c r="W1409" s="77">
        <f>IF(ISERROR(VLOOKUP($T$1409,'TAR FIN'!$A$1:$O$95,15,0)),0,VLOOKUP($T$1409,'TAR FIN'!$A$1:$O$95,15,0))</f>
        <v>0</v>
      </c>
      <c r="X1409" s="77">
        <f>IF(ISERROR(VLOOKUP($U$1409,'TAR FIN'!$A$1:$O$95,15,0)),0,VLOOKUP($U$1409,'TAR FIN'!$A$1:$O$95,15,0))</f>
        <v>0</v>
      </c>
      <c r="Y1409" s="77">
        <f ca="1">('TUSD BE'!$AM$15+'TUSD BF'!$AM$15+'TUSD CVA'!$AM$15)*1*(1-0.04)</f>
        <v>30.653416196860647</v>
      </c>
      <c r="Z1409" s="77"/>
      <c r="AA1409" s="77"/>
      <c r="AB1409" s="6">
        <f>$K$1409*$V$1409</f>
        <v>47024.505799999999</v>
      </c>
      <c r="AC1409" s="6">
        <f>$M$1409*$W$1409</f>
        <v>0</v>
      </c>
      <c r="AD1409" s="6">
        <f>$O$1409*$X$1409</f>
        <v>0</v>
      </c>
      <c r="AE1409" s="6">
        <f ca="1">$K$1409*$Y$1409</f>
        <v>53674.131760702992</v>
      </c>
      <c r="AF1409" s="6">
        <f>$M$1409*$Z$1409</f>
        <v>0</v>
      </c>
      <c r="AG1409" s="6">
        <f>$O$1409*$AA$1409</f>
        <v>0</v>
      </c>
    </row>
    <row r="1410" spans="1:33" ht="11.25" customHeight="1" x14ac:dyDescent="0.25">
      <c r="A1410" s="4" t="s">
        <v>28</v>
      </c>
      <c r="B1410" s="4" t="s">
        <v>35</v>
      </c>
      <c r="C1410" s="4" t="s">
        <v>36</v>
      </c>
      <c r="D1410" s="4" t="s">
        <v>47</v>
      </c>
      <c r="E1410" s="4" t="s">
        <v>25</v>
      </c>
      <c r="F1410" s="4" t="s">
        <v>25</v>
      </c>
      <c r="G1410" s="4" t="s">
        <v>25</v>
      </c>
      <c r="H1410" s="4" t="s">
        <v>25</v>
      </c>
      <c r="I1410" s="5">
        <v>44228</v>
      </c>
      <c r="J1410" s="6">
        <v>1103</v>
      </c>
      <c r="K1410" s="77">
        <v>1103</v>
      </c>
      <c r="L1410" s="6">
        <v>0</v>
      </c>
      <c r="M1410" s="77">
        <v>0</v>
      </c>
      <c r="N1410" s="6">
        <v>0</v>
      </c>
      <c r="O1410" s="77">
        <v>0</v>
      </c>
      <c r="P1410" s="6">
        <v>7</v>
      </c>
      <c r="Q1410" s="4" t="s">
        <v>26</v>
      </c>
      <c r="R1410" s="4">
        <v>0</v>
      </c>
      <c r="S1410" s="6">
        <v>23</v>
      </c>
      <c r="T1410" s="6">
        <v>0</v>
      </c>
      <c r="U1410" s="6">
        <v>0</v>
      </c>
      <c r="V1410" s="77">
        <f>IF(ISERROR(VLOOKUP($S$1410,'TAR FIN'!$A$1:$O$95,15,0)),0,VLOOKUP($S$1410,'TAR FIN'!$A$1:$O$95,15,0))*(1-0.06)</f>
        <v>26.855799999999999</v>
      </c>
      <c r="W1410" s="77">
        <f>IF(ISERROR(VLOOKUP($T$1410,'TAR FIN'!$A$1:$O$95,15,0)),0,VLOOKUP($T$1410,'TAR FIN'!$A$1:$O$95,15,0))</f>
        <v>0</v>
      </c>
      <c r="X1410" s="77">
        <f>IF(ISERROR(VLOOKUP($U$1410,'TAR FIN'!$A$1:$O$95,15,0)),0,VLOOKUP($U$1410,'TAR FIN'!$A$1:$O$95,15,0))</f>
        <v>0</v>
      </c>
      <c r="Y1410" s="77">
        <f ca="1">('TUSD BE'!$AM$15+'TUSD BF'!$AM$15+'TUSD CVA'!$AM$15)*1*(1-0.04)</f>
        <v>30.653416196860647</v>
      </c>
      <c r="Z1410" s="77"/>
      <c r="AA1410" s="77"/>
      <c r="AB1410" s="6">
        <f>$K$1410*$V$1410</f>
        <v>29621.947399999997</v>
      </c>
      <c r="AC1410" s="6">
        <f>$M$1410*$W$1410</f>
        <v>0</v>
      </c>
      <c r="AD1410" s="6">
        <f>$O$1410*$X$1410</f>
        <v>0</v>
      </c>
      <c r="AE1410" s="6">
        <f ca="1">$K$1410*$Y$1410</f>
        <v>33810.718065137291</v>
      </c>
      <c r="AF1410" s="6">
        <f>$M$1410*$Z$1410</f>
        <v>0</v>
      </c>
      <c r="AG1410" s="6">
        <f>$O$1410*$AA$1410</f>
        <v>0</v>
      </c>
    </row>
    <row r="1411" spans="1:33" ht="11.25" customHeight="1" x14ac:dyDescent="0.25">
      <c r="A1411" s="4" t="s">
        <v>21</v>
      </c>
      <c r="B1411" s="4" t="s">
        <v>35</v>
      </c>
      <c r="C1411" s="4" t="s">
        <v>36</v>
      </c>
      <c r="D1411" s="4" t="s">
        <v>47</v>
      </c>
      <c r="E1411" s="4" t="s">
        <v>25</v>
      </c>
      <c r="F1411" s="4" t="s">
        <v>25</v>
      </c>
      <c r="G1411" s="4" t="s">
        <v>25</v>
      </c>
      <c r="H1411" s="4" t="s">
        <v>25</v>
      </c>
      <c r="I1411" s="5">
        <v>44256</v>
      </c>
      <c r="J1411" s="6">
        <v>3088</v>
      </c>
      <c r="K1411" s="77">
        <v>3088</v>
      </c>
      <c r="L1411" s="6">
        <v>0</v>
      </c>
      <c r="M1411" s="77">
        <v>0</v>
      </c>
      <c r="N1411" s="6">
        <v>0</v>
      </c>
      <c r="O1411" s="77">
        <v>0</v>
      </c>
      <c r="P1411" s="6">
        <v>14</v>
      </c>
      <c r="Q1411" s="4" t="s">
        <v>26</v>
      </c>
      <c r="R1411" s="4">
        <v>0</v>
      </c>
      <c r="S1411" s="6">
        <v>23</v>
      </c>
      <c r="T1411" s="6">
        <v>0</v>
      </c>
      <c r="U1411" s="6">
        <v>0</v>
      </c>
      <c r="V1411" s="77">
        <f>IF(ISERROR(VLOOKUP($S$1411,'TAR FIN'!$A$1:$O$95,15,0)),0,VLOOKUP($S$1411,'TAR FIN'!$A$1:$O$95,15,0))*(1-0.06)</f>
        <v>26.855799999999999</v>
      </c>
      <c r="W1411" s="77">
        <f>IF(ISERROR(VLOOKUP($T$1411,'TAR FIN'!$A$1:$O$95,15,0)),0,VLOOKUP($T$1411,'TAR FIN'!$A$1:$O$95,15,0))</f>
        <v>0</v>
      </c>
      <c r="X1411" s="77">
        <f>IF(ISERROR(VLOOKUP($U$1411,'TAR FIN'!$A$1:$O$95,15,0)),0,VLOOKUP($U$1411,'TAR FIN'!$A$1:$O$95,15,0))</f>
        <v>0</v>
      </c>
      <c r="Y1411" s="77">
        <f ca="1">('TUSD BE'!$AM$15+'TUSD BF'!$AM$15+'TUSD CVA'!$AM$15)*1*(1-0.04)</f>
        <v>30.653416196860647</v>
      </c>
      <c r="Z1411" s="77"/>
      <c r="AA1411" s="77"/>
      <c r="AB1411" s="6">
        <f>$K$1411*$V$1411</f>
        <v>82930.710399999996</v>
      </c>
      <c r="AC1411" s="6">
        <f>$M$1411*$W$1411</f>
        <v>0</v>
      </c>
      <c r="AD1411" s="6">
        <f>$O$1411*$X$1411</f>
        <v>0</v>
      </c>
      <c r="AE1411" s="6">
        <f ca="1">$K$1411*$Y$1411</f>
        <v>94657.749215905671</v>
      </c>
      <c r="AF1411" s="6">
        <f>$M$1411*$Z$1411</f>
        <v>0</v>
      </c>
      <c r="AG1411" s="6">
        <f>$O$1411*$AA$1411</f>
        <v>0</v>
      </c>
    </row>
    <row r="1412" spans="1:33" ht="11.25" customHeight="1" x14ac:dyDescent="0.25">
      <c r="A1412" s="4" t="s">
        <v>28</v>
      </c>
      <c r="B1412" s="4" t="s">
        <v>35</v>
      </c>
      <c r="C1412" s="4" t="s">
        <v>36</v>
      </c>
      <c r="D1412" s="4" t="s">
        <v>47</v>
      </c>
      <c r="E1412" s="4" t="s">
        <v>25</v>
      </c>
      <c r="F1412" s="4" t="s">
        <v>25</v>
      </c>
      <c r="G1412" s="4" t="s">
        <v>25</v>
      </c>
      <c r="H1412" s="4" t="s">
        <v>25</v>
      </c>
      <c r="I1412" s="5">
        <v>44256</v>
      </c>
      <c r="J1412" s="6">
        <v>615</v>
      </c>
      <c r="K1412" s="77">
        <v>615</v>
      </c>
      <c r="L1412" s="6">
        <v>0</v>
      </c>
      <c r="M1412" s="77">
        <v>0</v>
      </c>
      <c r="N1412" s="6">
        <v>0</v>
      </c>
      <c r="O1412" s="77">
        <v>0</v>
      </c>
      <c r="P1412" s="6">
        <v>7</v>
      </c>
      <c r="Q1412" s="4" t="s">
        <v>26</v>
      </c>
      <c r="R1412" s="4">
        <v>0</v>
      </c>
      <c r="S1412" s="6">
        <v>23</v>
      </c>
      <c r="T1412" s="6">
        <v>0</v>
      </c>
      <c r="U1412" s="6">
        <v>0</v>
      </c>
      <c r="V1412" s="77">
        <f>IF(ISERROR(VLOOKUP($S$1412,'TAR FIN'!$A$1:$O$95,15,0)),0,VLOOKUP($S$1412,'TAR FIN'!$A$1:$O$95,15,0))*(1-0.06)</f>
        <v>26.855799999999999</v>
      </c>
      <c r="W1412" s="77">
        <f>IF(ISERROR(VLOOKUP($T$1412,'TAR FIN'!$A$1:$O$95,15,0)),0,VLOOKUP($T$1412,'TAR FIN'!$A$1:$O$95,15,0))</f>
        <v>0</v>
      </c>
      <c r="X1412" s="77">
        <f>IF(ISERROR(VLOOKUP($U$1412,'TAR FIN'!$A$1:$O$95,15,0)),0,VLOOKUP($U$1412,'TAR FIN'!$A$1:$O$95,15,0))</f>
        <v>0</v>
      </c>
      <c r="Y1412" s="77">
        <f ca="1">('TUSD BE'!$AM$15+'TUSD BF'!$AM$15+'TUSD CVA'!$AM$15)*1*(1-0.04)</f>
        <v>30.653416196860647</v>
      </c>
      <c r="Z1412" s="77"/>
      <c r="AA1412" s="77"/>
      <c r="AB1412" s="6">
        <f>$K$1412*$V$1412</f>
        <v>16516.316999999999</v>
      </c>
      <c r="AC1412" s="6">
        <f>$M$1412*$W$1412</f>
        <v>0</v>
      </c>
      <c r="AD1412" s="6">
        <f>$O$1412*$X$1412</f>
        <v>0</v>
      </c>
      <c r="AE1412" s="6">
        <f ca="1">$K$1412*$Y$1412</f>
        <v>18851.850961069296</v>
      </c>
      <c r="AF1412" s="6">
        <f>$M$1412*$Z$1412</f>
        <v>0</v>
      </c>
      <c r="AG1412" s="6">
        <f>$O$1412*$AA$1412</f>
        <v>0</v>
      </c>
    </row>
    <row r="1413" spans="1:33" ht="11.25" customHeight="1" x14ac:dyDescent="0.25">
      <c r="A1413" s="4" t="s">
        <v>21</v>
      </c>
      <c r="B1413" s="4" t="s">
        <v>35</v>
      </c>
      <c r="C1413" s="4" t="s">
        <v>36</v>
      </c>
      <c r="D1413" s="4" t="s">
        <v>47</v>
      </c>
      <c r="E1413" s="4" t="s">
        <v>25</v>
      </c>
      <c r="F1413" s="4" t="s">
        <v>25</v>
      </c>
      <c r="G1413" s="4" t="s">
        <v>25</v>
      </c>
      <c r="H1413" s="4" t="s">
        <v>25</v>
      </c>
      <c r="I1413" s="5">
        <v>44287</v>
      </c>
      <c r="J1413" s="6">
        <v>2012</v>
      </c>
      <c r="K1413" s="77">
        <v>2012</v>
      </c>
      <c r="L1413" s="6">
        <v>0</v>
      </c>
      <c r="M1413" s="77">
        <v>0</v>
      </c>
      <c r="N1413" s="6">
        <v>0</v>
      </c>
      <c r="O1413" s="77">
        <v>0</v>
      </c>
      <c r="P1413" s="6">
        <v>14</v>
      </c>
      <c r="Q1413" s="4" t="s">
        <v>26</v>
      </c>
      <c r="R1413" s="4">
        <v>0</v>
      </c>
      <c r="S1413" s="6">
        <v>23</v>
      </c>
      <c r="T1413" s="6">
        <v>0</v>
      </c>
      <c r="U1413" s="6">
        <v>0</v>
      </c>
      <c r="V1413" s="77">
        <f>IF(ISERROR(VLOOKUP($S$1413,'TAR FIN'!$A$1:$O$95,15,0)),0,VLOOKUP($S$1413,'TAR FIN'!$A$1:$O$95,15,0))*(1-0.06)</f>
        <v>26.855799999999999</v>
      </c>
      <c r="W1413" s="77">
        <f>IF(ISERROR(VLOOKUP($T$1413,'TAR FIN'!$A$1:$O$95,15,0)),0,VLOOKUP($T$1413,'TAR FIN'!$A$1:$O$95,15,0))</f>
        <v>0</v>
      </c>
      <c r="X1413" s="77">
        <f>IF(ISERROR(VLOOKUP($U$1413,'TAR FIN'!$A$1:$O$95,15,0)),0,VLOOKUP($U$1413,'TAR FIN'!$A$1:$O$95,15,0))</f>
        <v>0</v>
      </c>
      <c r="Y1413" s="77">
        <f ca="1">('TUSD BE'!$AM$15+'TUSD BF'!$AM$15+'TUSD CVA'!$AM$15)*1*(1-0.04)</f>
        <v>30.653416196860647</v>
      </c>
      <c r="Z1413" s="77"/>
      <c r="AA1413" s="77"/>
      <c r="AB1413" s="6">
        <f>$K$1413*$V$1413</f>
        <v>54033.869599999998</v>
      </c>
      <c r="AC1413" s="6">
        <f>$M$1413*$W$1413</f>
        <v>0</v>
      </c>
      <c r="AD1413" s="6">
        <f>$O$1413*$X$1413</f>
        <v>0</v>
      </c>
      <c r="AE1413" s="6">
        <f ca="1">$K$1413*$Y$1413</f>
        <v>61674.673388083618</v>
      </c>
      <c r="AF1413" s="6">
        <f>$M$1413*$Z$1413</f>
        <v>0</v>
      </c>
      <c r="AG1413" s="6">
        <f>$O$1413*$AA$1413</f>
        <v>0</v>
      </c>
    </row>
    <row r="1414" spans="1:33" ht="11.25" customHeight="1" x14ac:dyDescent="0.25">
      <c r="A1414" s="4" t="s">
        <v>28</v>
      </c>
      <c r="B1414" s="4" t="s">
        <v>35</v>
      </c>
      <c r="C1414" s="4" t="s">
        <v>36</v>
      </c>
      <c r="D1414" s="4" t="s">
        <v>47</v>
      </c>
      <c r="E1414" s="4" t="s">
        <v>25</v>
      </c>
      <c r="F1414" s="4" t="s">
        <v>25</v>
      </c>
      <c r="G1414" s="4" t="s">
        <v>25</v>
      </c>
      <c r="H1414" s="4" t="s">
        <v>25</v>
      </c>
      <c r="I1414" s="5">
        <v>44287</v>
      </c>
      <c r="J1414" s="6">
        <v>721</v>
      </c>
      <c r="K1414" s="77">
        <v>721</v>
      </c>
      <c r="L1414" s="6">
        <v>0</v>
      </c>
      <c r="M1414" s="77">
        <v>0</v>
      </c>
      <c r="N1414" s="6">
        <v>0</v>
      </c>
      <c r="O1414" s="77">
        <v>0</v>
      </c>
      <c r="P1414" s="6">
        <v>9</v>
      </c>
      <c r="Q1414" s="4" t="s">
        <v>26</v>
      </c>
      <c r="R1414" s="4">
        <v>0</v>
      </c>
      <c r="S1414" s="6">
        <v>23</v>
      </c>
      <c r="T1414" s="6">
        <v>0</v>
      </c>
      <c r="U1414" s="6">
        <v>0</v>
      </c>
      <c r="V1414" s="77">
        <f>IF(ISERROR(VLOOKUP($S$1414,'TAR FIN'!$A$1:$O$95,15,0)),0,VLOOKUP($S$1414,'TAR FIN'!$A$1:$O$95,15,0))*(1-0.06)</f>
        <v>26.855799999999999</v>
      </c>
      <c r="W1414" s="77">
        <f>IF(ISERROR(VLOOKUP($T$1414,'TAR FIN'!$A$1:$O$95,15,0)),0,VLOOKUP($T$1414,'TAR FIN'!$A$1:$O$95,15,0))</f>
        <v>0</v>
      </c>
      <c r="X1414" s="77">
        <f>IF(ISERROR(VLOOKUP($U$1414,'TAR FIN'!$A$1:$O$95,15,0)),0,VLOOKUP($U$1414,'TAR FIN'!$A$1:$O$95,15,0))</f>
        <v>0</v>
      </c>
      <c r="Y1414" s="77">
        <f ca="1">('TUSD BE'!$AM$15+'TUSD BF'!$AM$15+'TUSD CVA'!$AM$15)*1*(1-0.04)</f>
        <v>30.653416196860647</v>
      </c>
      <c r="Z1414" s="77"/>
      <c r="AA1414" s="77"/>
      <c r="AB1414" s="6">
        <f>$K$1414*$V$1414</f>
        <v>19363.031800000001</v>
      </c>
      <c r="AC1414" s="6">
        <f>$M$1414*$W$1414</f>
        <v>0</v>
      </c>
      <c r="AD1414" s="6">
        <f>$O$1414*$X$1414</f>
        <v>0</v>
      </c>
      <c r="AE1414" s="6">
        <f ca="1">$K$1414*$Y$1414</f>
        <v>22101.113077936527</v>
      </c>
      <c r="AF1414" s="6">
        <f>$M$1414*$Z$1414</f>
        <v>0</v>
      </c>
      <c r="AG1414" s="6">
        <f>$O$1414*$AA$1414</f>
        <v>0</v>
      </c>
    </row>
    <row r="1415" spans="1:33" ht="11.25" customHeight="1" x14ac:dyDescent="0.25">
      <c r="A1415" s="4" t="s">
        <v>21</v>
      </c>
      <c r="B1415" s="4" t="s">
        <v>35</v>
      </c>
      <c r="C1415" s="4" t="s">
        <v>36</v>
      </c>
      <c r="D1415" s="4" t="s">
        <v>47</v>
      </c>
      <c r="E1415" s="4" t="s">
        <v>25</v>
      </c>
      <c r="F1415" s="4" t="s">
        <v>25</v>
      </c>
      <c r="G1415" s="4" t="s">
        <v>25</v>
      </c>
      <c r="H1415" s="4" t="s">
        <v>25</v>
      </c>
      <c r="I1415" s="5">
        <v>44317</v>
      </c>
      <c r="J1415" s="6">
        <v>2765</v>
      </c>
      <c r="K1415" s="77">
        <v>2765</v>
      </c>
      <c r="L1415" s="6">
        <v>0</v>
      </c>
      <c r="M1415" s="77">
        <v>0</v>
      </c>
      <c r="N1415" s="6">
        <v>0</v>
      </c>
      <c r="O1415" s="77">
        <v>0</v>
      </c>
      <c r="P1415" s="6">
        <v>14</v>
      </c>
      <c r="Q1415" s="4" t="s">
        <v>26</v>
      </c>
      <c r="R1415" s="4">
        <v>0</v>
      </c>
      <c r="S1415" s="6">
        <v>23</v>
      </c>
      <c r="T1415" s="6">
        <v>0</v>
      </c>
      <c r="U1415" s="6">
        <v>0</v>
      </c>
      <c r="V1415" s="77">
        <f>IF(ISERROR(VLOOKUP($S$1415,'TAR FIN'!$A$1:$O$95,15,0)),0,VLOOKUP($S$1415,'TAR FIN'!$A$1:$O$95,15,0))*(1-0.06)</f>
        <v>26.855799999999999</v>
      </c>
      <c r="W1415" s="77">
        <f>IF(ISERROR(VLOOKUP($T$1415,'TAR FIN'!$A$1:$O$95,15,0)),0,VLOOKUP($T$1415,'TAR FIN'!$A$1:$O$95,15,0))</f>
        <v>0</v>
      </c>
      <c r="X1415" s="77">
        <f>IF(ISERROR(VLOOKUP($U$1415,'TAR FIN'!$A$1:$O$95,15,0)),0,VLOOKUP($U$1415,'TAR FIN'!$A$1:$O$95,15,0))</f>
        <v>0</v>
      </c>
      <c r="Y1415" s="77">
        <f ca="1">('TUSD BE'!$AM$15+'TUSD BF'!$AM$15+'TUSD CVA'!$AM$15)*1*(1-0.04)</f>
        <v>30.653416196860647</v>
      </c>
      <c r="Z1415" s="77"/>
      <c r="AA1415" s="77"/>
      <c r="AB1415" s="6">
        <f>$K$1415*$V$1415</f>
        <v>74256.286999999997</v>
      </c>
      <c r="AC1415" s="6">
        <f>$M$1415*$W$1415</f>
        <v>0</v>
      </c>
      <c r="AD1415" s="6">
        <f>$O$1415*$X$1415</f>
        <v>0</v>
      </c>
      <c r="AE1415" s="6">
        <f ca="1">$K$1415*$Y$1415</f>
        <v>84756.695784319687</v>
      </c>
      <c r="AF1415" s="6">
        <f>$M$1415*$Z$1415</f>
        <v>0</v>
      </c>
      <c r="AG1415" s="6">
        <f>$O$1415*$AA$1415</f>
        <v>0</v>
      </c>
    </row>
    <row r="1416" spans="1:33" ht="11.25" customHeight="1" x14ac:dyDescent="0.25">
      <c r="A1416" s="4" t="s">
        <v>28</v>
      </c>
      <c r="B1416" s="4" t="s">
        <v>35</v>
      </c>
      <c r="C1416" s="4" t="s">
        <v>36</v>
      </c>
      <c r="D1416" s="4" t="s">
        <v>47</v>
      </c>
      <c r="E1416" s="4" t="s">
        <v>25</v>
      </c>
      <c r="F1416" s="4" t="s">
        <v>25</v>
      </c>
      <c r="G1416" s="4" t="s">
        <v>25</v>
      </c>
      <c r="H1416" s="4" t="s">
        <v>25</v>
      </c>
      <c r="I1416" s="5">
        <v>44317</v>
      </c>
      <c r="J1416" s="6">
        <v>546</v>
      </c>
      <c r="K1416" s="77">
        <v>546</v>
      </c>
      <c r="L1416" s="6">
        <v>0</v>
      </c>
      <c r="M1416" s="77">
        <v>0</v>
      </c>
      <c r="N1416" s="6">
        <v>0</v>
      </c>
      <c r="O1416" s="77">
        <v>0</v>
      </c>
      <c r="P1416" s="6">
        <v>9</v>
      </c>
      <c r="Q1416" s="4" t="s">
        <v>26</v>
      </c>
      <c r="R1416" s="4">
        <v>0</v>
      </c>
      <c r="S1416" s="6">
        <v>23</v>
      </c>
      <c r="T1416" s="6">
        <v>0</v>
      </c>
      <c r="U1416" s="6">
        <v>0</v>
      </c>
      <c r="V1416" s="77">
        <f>IF(ISERROR(VLOOKUP($S$1416,'TAR FIN'!$A$1:$O$95,15,0)),0,VLOOKUP($S$1416,'TAR FIN'!$A$1:$O$95,15,0))*(1-0.06)</f>
        <v>26.855799999999999</v>
      </c>
      <c r="W1416" s="77">
        <f>IF(ISERROR(VLOOKUP($T$1416,'TAR FIN'!$A$1:$O$95,15,0)),0,VLOOKUP($T$1416,'TAR FIN'!$A$1:$O$95,15,0))</f>
        <v>0</v>
      </c>
      <c r="X1416" s="77">
        <f>IF(ISERROR(VLOOKUP($U$1416,'TAR FIN'!$A$1:$O$95,15,0)),0,VLOOKUP($U$1416,'TAR FIN'!$A$1:$O$95,15,0))</f>
        <v>0</v>
      </c>
      <c r="Y1416" s="77">
        <f ca="1">('TUSD BE'!$AM$15+'TUSD BF'!$AM$15+'TUSD CVA'!$AM$15)*1*(1-0.04)</f>
        <v>30.653416196860647</v>
      </c>
      <c r="Z1416" s="77"/>
      <c r="AA1416" s="77"/>
      <c r="AB1416" s="6">
        <f>$K$1416*$V$1416</f>
        <v>14663.266799999999</v>
      </c>
      <c r="AC1416" s="6">
        <f>$M$1416*$W$1416</f>
        <v>0</v>
      </c>
      <c r="AD1416" s="6">
        <f>$O$1416*$X$1416</f>
        <v>0</v>
      </c>
      <c r="AE1416" s="6">
        <f ca="1">$K$1416*$Y$1416</f>
        <v>16736.765243485912</v>
      </c>
      <c r="AF1416" s="6">
        <f>$M$1416*$Z$1416</f>
        <v>0</v>
      </c>
      <c r="AG1416" s="6">
        <f>$O$1416*$AA$1416</f>
        <v>0</v>
      </c>
    </row>
    <row r="1417" spans="1:33" ht="11.25" customHeight="1" x14ac:dyDescent="0.25">
      <c r="A1417" s="4" t="s">
        <v>21</v>
      </c>
      <c r="B1417" s="4" t="s">
        <v>35</v>
      </c>
      <c r="C1417" s="4" t="s">
        <v>36</v>
      </c>
      <c r="D1417" s="4" t="s">
        <v>47</v>
      </c>
      <c r="E1417" s="4" t="s">
        <v>25</v>
      </c>
      <c r="F1417" s="4" t="s">
        <v>25</v>
      </c>
      <c r="G1417" s="4" t="s">
        <v>25</v>
      </c>
      <c r="H1417" s="4" t="s">
        <v>25</v>
      </c>
      <c r="I1417" s="5">
        <v>44348</v>
      </c>
      <c r="J1417" s="6">
        <v>2405</v>
      </c>
      <c r="K1417" s="77">
        <v>2405</v>
      </c>
      <c r="L1417" s="6">
        <v>0</v>
      </c>
      <c r="M1417" s="77">
        <v>0</v>
      </c>
      <c r="N1417" s="6">
        <v>0</v>
      </c>
      <c r="O1417" s="77">
        <v>0</v>
      </c>
      <c r="P1417" s="6">
        <v>14</v>
      </c>
      <c r="Q1417" s="4" t="s">
        <v>26</v>
      </c>
      <c r="R1417" s="4">
        <v>0</v>
      </c>
      <c r="S1417" s="6">
        <v>23</v>
      </c>
      <c r="T1417" s="6">
        <v>0</v>
      </c>
      <c r="U1417" s="6">
        <v>0</v>
      </c>
      <c r="V1417" s="77">
        <f>IF(ISERROR(VLOOKUP($S$1417,'TAR FIN'!$A$1:$O$95,15,0)),0,VLOOKUP($S$1417,'TAR FIN'!$A$1:$O$95,15,0))*(1-0.06)</f>
        <v>26.855799999999999</v>
      </c>
      <c r="W1417" s="77">
        <f>IF(ISERROR(VLOOKUP($T$1417,'TAR FIN'!$A$1:$O$95,15,0)),0,VLOOKUP($T$1417,'TAR FIN'!$A$1:$O$95,15,0))</f>
        <v>0</v>
      </c>
      <c r="X1417" s="77">
        <f>IF(ISERROR(VLOOKUP($U$1417,'TAR FIN'!$A$1:$O$95,15,0)),0,VLOOKUP($U$1417,'TAR FIN'!$A$1:$O$95,15,0))</f>
        <v>0</v>
      </c>
      <c r="Y1417" s="77">
        <f ca="1">('TUSD BE'!$AM$15+'TUSD BF'!$AM$15+'TUSD CVA'!$AM$15)*1*(1-0.04)</f>
        <v>30.653416196860647</v>
      </c>
      <c r="Z1417" s="77"/>
      <c r="AA1417" s="77"/>
      <c r="AB1417" s="6">
        <f>$K$1417*$V$1417</f>
        <v>64588.198999999993</v>
      </c>
      <c r="AC1417" s="6">
        <f>$M$1417*$W$1417</f>
        <v>0</v>
      </c>
      <c r="AD1417" s="6">
        <f>$O$1417*$X$1417</f>
        <v>0</v>
      </c>
      <c r="AE1417" s="6">
        <f ca="1">$K$1417*$Y$1417</f>
        <v>73721.46595344985</v>
      </c>
      <c r="AF1417" s="6">
        <f>$M$1417*$Z$1417</f>
        <v>0</v>
      </c>
      <c r="AG1417" s="6">
        <f>$O$1417*$AA$1417</f>
        <v>0</v>
      </c>
    </row>
    <row r="1418" spans="1:33" ht="11.25" customHeight="1" x14ac:dyDescent="0.25">
      <c r="A1418" s="4" t="s">
        <v>28</v>
      </c>
      <c r="B1418" s="4" t="s">
        <v>35</v>
      </c>
      <c r="C1418" s="4" t="s">
        <v>36</v>
      </c>
      <c r="D1418" s="4" t="s">
        <v>47</v>
      </c>
      <c r="E1418" s="4" t="s">
        <v>25</v>
      </c>
      <c r="F1418" s="4" t="s">
        <v>25</v>
      </c>
      <c r="G1418" s="4" t="s">
        <v>25</v>
      </c>
      <c r="H1418" s="4" t="s">
        <v>25</v>
      </c>
      <c r="I1418" s="5">
        <v>44348</v>
      </c>
      <c r="J1418" s="6">
        <v>1194</v>
      </c>
      <c r="K1418" s="77">
        <v>1194</v>
      </c>
      <c r="L1418" s="6">
        <v>0</v>
      </c>
      <c r="M1418" s="77">
        <v>0</v>
      </c>
      <c r="N1418" s="6">
        <v>0</v>
      </c>
      <c r="O1418" s="77">
        <v>0</v>
      </c>
      <c r="P1418" s="6">
        <v>9</v>
      </c>
      <c r="Q1418" s="4" t="s">
        <v>26</v>
      </c>
      <c r="R1418" s="4">
        <v>0</v>
      </c>
      <c r="S1418" s="6">
        <v>23</v>
      </c>
      <c r="T1418" s="6">
        <v>0</v>
      </c>
      <c r="U1418" s="6">
        <v>0</v>
      </c>
      <c r="V1418" s="77">
        <f>IF(ISERROR(VLOOKUP($S$1418,'TAR FIN'!$A$1:$O$95,15,0)),0,VLOOKUP($S$1418,'TAR FIN'!$A$1:$O$95,15,0))*(1-0.06)</f>
        <v>26.855799999999999</v>
      </c>
      <c r="W1418" s="77">
        <f>IF(ISERROR(VLOOKUP($T$1418,'TAR FIN'!$A$1:$O$95,15,0)),0,VLOOKUP($T$1418,'TAR FIN'!$A$1:$O$95,15,0))</f>
        <v>0</v>
      </c>
      <c r="X1418" s="77">
        <f>IF(ISERROR(VLOOKUP($U$1418,'TAR FIN'!$A$1:$O$95,15,0)),0,VLOOKUP($U$1418,'TAR FIN'!$A$1:$O$95,15,0))</f>
        <v>0</v>
      </c>
      <c r="Y1418" s="77">
        <f ca="1">('TUSD BE'!$AM$15+'TUSD BF'!$AM$15+'TUSD CVA'!$AM$15)*1*(1-0.04)</f>
        <v>30.653416196860647</v>
      </c>
      <c r="Z1418" s="77"/>
      <c r="AA1418" s="77"/>
      <c r="AB1418" s="6">
        <f>$K$1418*$V$1418</f>
        <v>32065.825199999999</v>
      </c>
      <c r="AC1418" s="6">
        <f>$M$1418*$W$1418</f>
        <v>0</v>
      </c>
      <c r="AD1418" s="6">
        <f>$O$1418*$X$1418</f>
        <v>0</v>
      </c>
      <c r="AE1418" s="6">
        <f ca="1">$K$1418*$Y$1418</f>
        <v>36600.178939051613</v>
      </c>
      <c r="AF1418" s="6">
        <f>$M$1418*$Z$1418</f>
        <v>0</v>
      </c>
      <c r="AG1418" s="6">
        <f>$O$1418*$AA$1418</f>
        <v>0</v>
      </c>
    </row>
    <row r="1419" spans="1:33" ht="11.25" customHeight="1" x14ac:dyDescent="0.25">
      <c r="A1419" s="4" t="s">
        <v>21</v>
      </c>
      <c r="B1419" s="4" t="s">
        <v>35</v>
      </c>
      <c r="C1419" s="4" t="s">
        <v>36</v>
      </c>
      <c r="D1419" s="4" t="s">
        <v>47</v>
      </c>
      <c r="E1419" s="4" t="s">
        <v>25</v>
      </c>
      <c r="F1419" s="4" t="s">
        <v>25</v>
      </c>
      <c r="G1419" s="4" t="s">
        <v>25</v>
      </c>
      <c r="H1419" s="4" t="s">
        <v>25</v>
      </c>
      <c r="I1419" s="5">
        <v>44378</v>
      </c>
      <c r="J1419" s="6">
        <v>2222</v>
      </c>
      <c r="K1419" s="77">
        <v>2222</v>
      </c>
      <c r="L1419" s="6">
        <v>0</v>
      </c>
      <c r="M1419" s="77">
        <v>0</v>
      </c>
      <c r="N1419" s="6">
        <v>0</v>
      </c>
      <c r="O1419" s="77">
        <v>0</v>
      </c>
      <c r="P1419" s="6">
        <v>13</v>
      </c>
      <c r="Q1419" s="4" t="s">
        <v>26</v>
      </c>
      <c r="R1419" s="4">
        <v>0</v>
      </c>
      <c r="S1419" s="6">
        <v>23</v>
      </c>
      <c r="T1419" s="6">
        <v>0</v>
      </c>
      <c r="U1419" s="6">
        <v>0</v>
      </c>
      <c r="V1419" s="77">
        <f>IF(ISERROR(VLOOKUP($S$1419,'TAR FIN'!$A$1:$O$95,15,0)),0,VLOOKUP($S$1419,'TAR FIN'!$A$1:$O$95,15,0))*(1-0.06)</f>
        <v>26.855799999999999</v>
      </c>
      <c r="W1419" s="77">
        <f>IF(ISERROR(VLOOKUP($T$1419,'TAR FIN'!$A$1:$O$95,15,0)),0,VLOOKUP($T$1419,'TAR FIN'!$A$1:$O$95,15,0))</f>
        <v>0</v>
      </c>
      <c r="X1419" s="77">
        <f>IF(ISERROR(VLOOKUP($U$1419,'TAR FIN'!$A$1:$O$95,15,0)),0,VLOOKUP($U$1419,'TAR FIN'!$A$1:$O$95,15,0))</f>
        <v>0</v>
      </c>
      <c r="Y1419" s="77">
        <f ca="1">('TUSD BE'!$AM$15+'TUSD BF'!$AM$15+'TUSD CVA'!$AM$15)*1*(1-0.04)</f>
        <v>30.653416196860647</v>
      </c>
      <c r="Z1419" s="77"/>
      <c r="AA1419" s="77"/>
      <c r="AB1419" s="6">
        <f>$K$1419*$V$1419</f>
        <v>59673.587599999999</v>
      </c>
      <c r="AC1419" s="6">
        <f>$M$1419*$W$1419</f>
        <v>0</v>
      </c>
      <c r="AD1419" s="6">
        <f>$O$1419*$X$1419</f>
        <v>0</v>
      </c>
      <c r="AE1419" s="6">
        <f ca="1">$K$1419*$Y$1419</f>
        <v>68111.89078942436</v>
      </c>
      <c r="AF1419" s="6">
        <f>$M$1419*$Z$1419</f>
        <v>0</v>
      </c>
      <c r="AG1419" s="6">
        <f>$O$1419*$AA$1419</f>
        <v>0</v>
      </c>
    </row>
    <row r="1420" spans="1:33" ht="11.25" customHeight="1" x14ac:dyDescent="0.25">
      <c r="A1420" s="4" t="s">
        <v>28</v>
      </c>
      <c r="B1420" s="4" t="s">
        <v>35</v>
      </c>
      <c r="C1420" s="4" t="s">
        <v>36</v>
      </c>
      <c r="D1420" s="4" t="s">
        <v>47</v>
      </c>
      <c r="E1420" s="4" t="s">
        <v>25</v>
      </c>
      <c r="F1420" s="4" t="s">
        <v>25</v>
      </c>
      <c r="G1420" s="4" t="s">
        <v>25</v>
      </c>
      <c r="H1420" s="4" t="s">
        <v>25</v>
      </c>
      <c r="I1420" s="5">
        <v>44378</v>
      </c>
      <c r="J1420" s="6">
        <v>737</v>
      </c>
      <c r="K1420" s="77">
        <v>737</v>
      </c>
      <c r="L1420" s="6">
        <v>0</v>
      </c>
      <c r="M1420" s="77">
        <v>0</v>
      </c>
      <c r="N1420" s="6">
        <v>0</v>
      </c>
      <c r="O1420" s="77">
        <v>0</v>
      </c>
      <c r="P1420" s="6">
        <v>8</v>
      </c>
      <c r="Q1420" s="4" t="s">
        <v>26</v>
      </c>
      <c r="R1420" s="4">
        <v>0</v>
      </c>
      <c r="S1420" s="6">
        <v>23</v>
      </c>
      <c r="T1420" s="6">
        <v>0</v>
      </c>
      <c r="U1420" s="6">
        <v>0</v>
      </c>
      <c r="V1420" s="77">
        <f>IF(ISERROR(VLOOKUP($S$1420,'TAR FIN'!$A$1:$O$95,15,0)),0,VLOOKUP($S$1420,'TAR FIN'!$A$1:$O$95,15,0))*(1-0.06)</f>
        <v>26.855799999999999</v>
      </c>
      <c r="W1420" s="77">
        <f>IF(ISERROR(VLOOKUP($T$1420,'TAR FIN'!$A$1:$O$95,15,0)),0,VLOOKUP($T$1420,'TAR FIN'!$A$1:$O$95,15,0))</f>
        <v>0</v>
      </c>
      <c r="X1420" s="77">
        <f>IF(ISERROR(VLOOKUP($U$1420,'TAR FIN'!$A$1:$O$95,15,0)),0,VLOOKUP($U$1420,'TAR FIN'!$A$1:$O$95,15,0))</f>
        <v>0</v>
      </c>
      <c r="Y1420" s="77">
        <f ca="1">('TUSD BE'!$AM$15+'TUSD BF'!$AM$15+'TUSD CVA'!$AM$15)*1*(1-0.04)</f>
        <v>30.653416196860647</v>
      </c>
      <c r="Z1420" s="77"/>
      <c r="AA1420" s="77"/>
      <c r="AB1420" s="6">
        <f>$K$1420*$V$1420</f>
        <v>19792.724599999998</v>
      </c>
      <c r="AC1420" s="6">
        <f>$M$1420*$W$1420</f>
        <v>0</v>
      </c>
      <c r="AD1420" s="6">
        <f>$O$1420*$X$1420</f>
        <v>0</v>
      </c>
      <c r="AE1420" s="6">
        <f ca="1">$K$1420*$Y$1420</f>
        <v>22591.567737086298</v>
      </c>
      <c r="AF1420" s="6">
        <f>$M$1420*$Z$1420</f>
        <v>0</v>
      </c>
      <c r="AG1420" s="6">
        <f>$O$1420*$AA$1420</f>
        <v>0</v>
      </c>
    </row>
    <row r="1421" spans="1:33" ht="11.25" customHeight="1" x14ac:dyDescent="0.25">
      <c r="A1421" s="4" t="s">
        <v>29</v>
      </c>
      <c r="B1421" s="4" t="s">
        <v>35</v>
      </c>
      <c r="C1421" s="4" t="s">
        <v>36</v>
      </c>
      <c r="D1421" s="4" t="s">
        <v>47</v>
      </c>
      <c r="E1421" s="4" t="s">
        <v>25</v>
      </c>
      <c r="F1421" s="4" t="s">
        <v>25</v>
      </c>
      <c r="G1421" s="4" t="s">
        <v>25</v>
      </c>
      <c r="H1421" s="4" t="s">
        <v>25</v>
      </c>
      <c r="I1421" s="5">
        <v>44378</v>
      </c>
      <c r="J1421" s="6">
        <v>-353</v>
      </c>
      <c r="K1421" s="77">
        <v>-353</v>
      </c>
      <c r="L1421" s="6">
        <v>0</v>
      </c>
      <c r="M1421" s="77">
        <v>0</v>
      </c>
      <c r="N1421" s="6">
        <v>0</v>
      </c>
      <c r="O1421" s="77">
        <v>0</v>
      </c>
      <c r="P1421" s="6">
        <v>0</v>
      </c>
      <c r="Q1421" s="4" t="s">
        <v>26</v>
      </c>
      <c r="R1421" s="4">
        <v>0</v>
      </c>
      <c r="S1421" s="6">
        <v>23</v>
      </c>
      <c r="T1421" s="6">
        <v>0</v>
      </c>
      <c r="U1421" s="6">
        <v>0</v>
      </c>
      <c r="V1421" s="77">
        <f>IF(ISERROR(VLOOKUP($S$1421,'TAR FIN'!$A$1:$O$95,15,0)),0,VLOOKUP($S$1421,'TAR FIN'!$A$1:$O$95,15,0))*(1-0.06)</f>
        <v>26.855799999999999</v>
      </c>
      <c r="W1421" s="77">
        <f>IF(ISERROR(VLOOKUP($T$1421,'TAR FIN'!$A$1:$O$95,15,0)),0,VLOOKUP($T$1421,'TAR FIN'!$A$1:$O$95,15,0))</f>
        <v>0</v>
      </c>
      <c r="X1421" s="77">
        <f>IF(ISERROR(VLOOKUP($U$1421,'TAR FIN'!$A$1:$O$95,15,0)),0,VLOOKUP($U$1421,'TAR FIN'!$A$1:$O$95,15,0))</f>
        <v>0</v>
      </c>
      <c r="Y1421" s="77">
        <f ca="1">('TUSD BE'!$AM$15+'TUSD BF'!$AM$15+'TUSD CVA'!$AM$15)*1*(1-0.04)</f>
        <v>30.653416196860647</v>
      </c>
      <c r="Z1421" s="77"/>
      <c r="AA1421" s="77"/>
      <c r="AB1421" s="6">
        <f>$K$1421*$V$1421</f>
        <v>-9480.0973999999987</v>
      </c>
      <c r="AC1421" s="6">
        <f>$M$1421*$W$1421</f>
        <v>0</v>
      </c>
      <c r="AD1421" s="6">
        <f>$O$1421*$X$1421</f>
        <v>0</v>
      </c>
      <c r="AE1421" s="6">
        <f ca="1">$K$1421*$Y$1421</f>
        <v>-10820.655917491807</v>
      </c>
      <c r="AF1421" s="6">
        <f>$M$1421*$Z$1421</f>
        <v>0</v>
      </c>
      <c r="AG1421" s="6">
        <f>$O$1421*$AA$1421</f>
        <v>0</v>
      </c>
    </row>
    <row r="1422" spans="1:33" ht="11.25" customHeight="1" x14ac:dyDescent="0.25">
      <c r="A1422" s="4" t="s">
        <v>30</v>
      </c>
      <c r="B1422" s="4" t="s">
        <v>35</v>
      </c>
      <c r="C1422" s="4" t="s">
        <v>36</v>
      </c>
      <c r="D1422" s="4" t="s">
        <v>47</v>
      </c>
      <c r="E1422" s="4" t="s">
        <v>25</v>
      </c>
      <c r="F1422" s="4" t="s">
        <v>25</v>
      </c>
      <c r="G1422" s="4" t="s">
        <v>25</v>
      </c>
      <c r="H1422" s="4" t="s">
        <v>25</v>
      </c>
      <c r="I1422" s="5">
        <v>44378</v>
      </c>
      <c r="J1422" s="6">
        <v>35</v>
      </c>
      <c r="K1422" s="77">
        <v>35</v>
      </c>
      <c r="L1422" s="6">
        <v>0</v>
      </c>
      <c r="M1422" s="77">
        <v>0</v>
      </c>
      <c r="N1422" s="6">
        <v>0</v>
      </c>
      <c r="O1422" s="77">
        <v>0</v>
      </c>
      <c r="P1422" s="6">
        <v>1</v>
      </c>
      <c r="Q1422" s="4" t="s">
        <v>26</v>
      </c>
      <c r="R1422" s="4">
        <v>0</v>
      </c>
      <c r="S1422" s="6">
        <v>23</v>
      </c>
      <c r="T1422" s="6">
        <v>0</v>
      </c>
      <c r="U1422" s="6">
        <v>0</v>
      </c>
      <c r="V1422" s="77">
        <f>IF(ISERROR(VLOOKUP($S$1422,'TAR FIN'!$A$1:$O$95,15,0)),0,VLOOKUP($S$1422,'TAR FIN'!$A$1:$O$95,15,0))*(1-0.06)</f>
        <v>26.855799999999999</v>
      </c>
      <c r="W1422" s="77">
        <f>IF(ISERROR(VLOOKUP($T$1422,'TAR FIN'!$A$1:$O$95,15,0)),0,VLOOKUP($T$1422,'TAR FIN'!$A$1:$O$95,15,0))</f>
        <v>0</v>
      </c>
      <c r="X1422" s="77">
        <f>IF(ISERROR(VLOOKUP($U$1422,'TAR FIN'!$A$1:$O$95,15,0)),0,VLOOKUP($U$1422,'TAR FIN'!$A$1:$O$95,15,0))</f>
        <v>0</v>
      </c>
      <c r="Y1422" s="77">
        <f ca="1">('TUSD BE'!$AM$15+'TUSD BF'!$AM$15+'TUSD CVA'!$AM$15)*1*(1-0.04)</f>
        <v>30.653416196860647</v>
      </c>
      <c r="Z1422" s="77"/>
      <c r="AA1422" s="77"/>
      <c r="AB1422" s="6">
        <f>$K$1422*$V$1422</f>
        <v>939.95299999999997</v>
      </c>
      <c r="AC1422" s="6">
        <f>$M$1422*$W$1422</f>
        <v>0</v>
      </c>
      <c r="AD1422" s="6">
        <f>$O$1422*$X$1422</f>
        <v>0</v>
      </c>
      <c r="AE1422" s="6">
        <f ca="1">$K$1422*$Y$1422</f>
        <v>1072.8695668901225</v>
      </c>
      <c r="AF1422" s="6">
        <f>$M$1422*$Z$1422</f>
        <v>0</v>
      </c>
      <c r="AG1422" s="6">
        <f>$O$1422*$AA$1422</f>
        <v>0</v>
      </c>
    </row>
    <row r="1423" spans="1:33" ht="11.25" customHeight="1" x14ac:dyDescent="0.25">
      <c r="A1423" s="4" t="s">
        <v>21</v>
      </c>
      <c r="B1423" s="4" t="s">
        <v>35</v>
      </c>
      <c r="C1423" s="4" t="s">
        <v>36</v>
      </c>
      <c r="D1423" s="4" t="s">
        <v>47</v>
      </c>
      <c r="E1423" s="4" t="s">
        <v>25</v>
      </c>
      <c r="F1423" s="4" t="s">
        <v>25</v>
      </c>
      <c r="G1423" s="4" t="s">
        <v>25</v>
      </c>
      <c r="H1423" s="4" t="s">
        <v>25</v>
      </c>
      <c r="I1423" s="5">
        <v>44409</v>
      </c>
      <c r="J1423" s="6">
        <v>2243</v>
      </c>
      <c r="K1423" s="77">
        <v>2243</v>
      </c>
      <c r="L1423" s="6">
        <v>0</v>
      </c>
      <c r="M1423" s="77">
        <v>0</v>
      </c>
      <c r="N1423" s="6">
        <v>0</v>
      </c>
      <c r="O1423" s="77">
        <v>0</v>
      </c>
      <c r="P1423" s="6">
        <v>12</v>
      </c>
      <c r="Q1423" s="4" t="s">
        <v>26</v>
      </c>
      <c r="R1423" s="4">
        <v>0</v>
      </c>
      <c r="S1423" s="6">
        <v>23</v>
      </c>
      <c r="T1423" s="6">
        <v>0</v>
      </c>
      <c r="U1423" s="6">
        <v>0</v>
      </c>
      <c r="V1423" s="77">
        <f>IF(ISERROR(VLOOKUP($S$1423,'TAR FIN'!$A$1:$O$95,15,0)),0,VLOOKUP($S$1423,'TAR FIN'!$A$1:$O$95,15,0))*(1-0.06)</f>
        <v>26.855799999999999</v>
      </c>
      <c r="W1423" s="77">
        <f>IF(ISERROR(VLOOKUP($T$1423,'TAR FIN'!$A$1:$O$95,15,0)),0,VLOOKUP($T$1423,'TAR FIN'!$A$1:$O$95,15,0))</f>
        <v>0</v>
      </c>
      <c r="X1423" s="77">
        <f>IF(ISERROR(VLOOKUP($U$1423,'TAR FIN'!$A$1:$O$95,15,0)),0,VLOOKUP($U$1423,'TAR FIN'!$A$1:$O$95,15,0))</f>
        <v>0</v>
      </c>
      <c r="Y1423" s="77">
        <f ca="1">('TUSD BE'!$AM$15+'TUSD BF'!$AM$15+'TUSD CVA'!$AM$15)*1*(1-0.04)</f>
        <v>30.653416196860647</v>
      </c>
      <c r="Z1423" s="77"/>
      <c r="AA1423" s="77"/>
      <c r="AB1423" s="6">
        <f>$K$1423*$V$1423</f>
        <v>60237.559399999998</v>
      </c>
      <c r="AC1423" s="6">
        <f>$M$1423*$W$1423</f>
        <v>0</v>
      </c>
      <c r="AD1423" s="6">
        <f>$O$1423*$X$1423</f>
        <v>0</v>
      </c>
      <c r="AE1423" s="6">
        <f ca="1">$K$1423*$Y$1423</f>
        <v>68755.612529558435</v>
      </c>
      <c r="AF1423" s="6">
        <f>$M$1423*$Z$1423</f>
        <v>0</v>
      </c>
      <c r="AG1423" s="6">
        <f>$O$1423*$AA$1423</f>
        <v>0</v>
      </c>
    </row>
    <row r="1424" spans="1:33" ht="11.25" customHeight="1" x14ac:dyDescent="0.25">
      <c r="A1424" s="4" t="s">
        <v>28</v>
      </c>
      <c r="B1424" s="4" t="s">
        <v>35</v>
      </c>
      <c r="C1424" s="4" t="s">
        <v>36</v>
      </c>
      <c r="D1424" s="4" t="s">
        <v>47</v>
      </c>
      <c r="E1424" s="4" t="s">
        <v>25</v>
      </c>
      <c r="F1424" s="4" t="s">
        <v>25</v>
      </c>
      <c r="G1424" s="4" t="s">
        <v>25</v>
      </c>
      <c r="H1424" s="4" t="s">
        <v>25</v>
      </c>
      <c r="I1424" s="5">
        <v>44409</v>
      </c>
      <c r="J1424" s="6">
        <v>761</v>
      </c>
      <c r="K1424" s="77">
        <v>761</v>
      </c>
      <c r="L1424" s="6">
        <v>0</v>
      </c>
      <c r="M1424" s="77">
        <v>0</v>
      </c>
      <c r="N1424" s="6">
        <v>0</v>
      </c>
      <c r="O1424" s="77">
        <v>0</v>
      </c>
      <c r="P1424" s="6">
        <v>8</v>
      </c>
      <c r="Q1424" s="4" t="s">
        <v>26</v>
      </c>
      <c r="R1424" s="4">
        <v>0</v>
      </c>
      <c r="S1424" s="6">
        <v>23</v>
      </c>
      <c r="T1424" s="6">
        <v>0</v>
      </c>
      <c r="U1424" s="6">
        <v>0</v>
      </c>
      <c r="V1424" s="77">
        <f>IF(ISERROR(VLOOKUP($S$1424,'TAR FIN'!$A$1:$O$95,15,0)),0,VLOOKUP($S$1424,'TAR FIN'!$A$1:$O$95,15,0))*(1-0.06)</f>
        <v>26.855799999999999</v>
      </c>
      <c r="W1424" s="77">
        <f>IF(ISERROR(VLOOKUP($T$1424,'TAR FIN'!$A$1:$O$95,15,0)),0,VLOOKUP($T$1424,'TAR FIN'!$A$1:$O$95,15,0))</f>
        <v>0</v>
      </c>
      <c r="X1424" s="77">
        <f>IF(ISERROR(VLOOKUP($U$1424,'TAR FIN'!$A$1:$O$95,15,0)),0,VLOOKUP($U$1424,'TAR FIN'!$A$1:$O$95,15,0))</f>
        <v>0</v>
      </c>
      <c r="Y1424" s="77">
        <f ca="1">('TUSD BE'!$AM$15+'TUSD BF'!$AM$15+'TUSD CVA'!$AM$15)*1*(1-0.04)</f>
        <v>30.653416196860647</v>
      </c>
      <c r="Z1424" s="77"/>
      <c r="AA1424" s="77"/>
      <c r="AB1424" s="6">
        <f>$K$1424*$V$1424</f>
        <v>20437.263800000001</v>
      </c>
      <c r="AC1424" s="6">
        <f>$M$1424*$W$1424</f>
        <v>0</v>
      </c>
      <c r="AD1424" s="6">
        <f>$O$1424*$X$1424</f>
        <v>0</v>
      </c>
      <c r="AE1424" s="6">
        <f ca="1">$K$1424*$Y$1424</f>
        <v>23327.249725810951</v>
      </c>
      <c r="AF1424" s="6">
        <f>$M$1424*$Z$1424</f>
        <v>0</v>
      </c>
      <c r="AG1424" s="6">
        <f>$O$1424*$AA$1424</f>
        <v>0</v>
      </c>
    </row>
    <row r="1425" spans="1:33" ht="11.25" customHeight="1" x14ac:dyDescent="0.25">
      <c r="A1425" s="4" t="s">
        <v>30</v>
      </c>
      <c r="B1425" s="4" t="s">
        <v>35</v>
      </c>
      <c r="C1425" s="4" t="s">
        <v>36</v>
      </c>
      <c r="D1425" s="4" t="s">
        <v>47</v>
      </c>
      <c r="E1425" s="4" t="s">
        <v>25</v>
      </c>
      <c r="F1425" s="4" t="s">
        <v>25</v>
      </c>
      <c r="G1425" s="4" t="s">
        <v>25</v>
      </c>
      <c r="H1425" s="4" t="s">
        <v>25</v>
      </c>
      <c r="I1425" s="5">
        <v>44409</v>
      </c>
      <c r="J1425" s="6">
        <v>34</v>
      </c>
      <c r="K1425" s="77">
        <v>34</v>
      </c>
      <c r="L1425" s="6">
        <v>0</v>
      </c>
      <c r="M1425" s="77">
        <v>0</v>
      </c>
      <c r="N1425" s="6">
        <v>0</v>
      </c>
      <c r="O1425" s="77">
        <v>0</v>
      </c>
      <c r="P1425" s="6">
        <v>1</v>
      </c>
      <c r="Q1425" s="4" t="s">
        <v>26</v>
      </c>
      <c r="R1425" s="4">
        <v>0</v>
      </c>
      <c r="S1425" s="6">
        <v>23</v>
      </c>
      <c r="T1425" s="6">
        <v>0</v>
      </c>
      <c r="U1425" s="6">
        <v>0</v>
      </c>
      <c r="V1425" s="77">
        <f>IF(ISERROR(VLOOKUP($S$1425,'TAR FIN'!$A$1:$O$95,15,0)),0,VLOOKUP($S$1425,'TAR FIN'!$A$1:$O$95,15,0))*(1-0.06)</f>
        <v>26.855799999999999</v>
      </c>
      <c r="W1425" s="77">
        <f>IF(ISERROR(VLOOKUP($T$1425,'TAR FIN'!$A$1:$O$95,15,0)),0,VLOOKUP($T$1425,'TAR FIN'!$A$1:$O$95,15,0))</f>
        <v>0</v>
      </c>
      <c r="X1425" s="77">
        <f>IF(ISERROR(VLOOKUP($U$1425,'TAR FIN'!$A$1:$O$95,15,0)),0,VLOOKUP($U$1425,'TAR FIN'!$A$1:$O$95,15,0))</f>
        <v>0</v>
      </c>
      <c r="Y1425" s="77">
        <f ca="1">('TUSD BE'!$AM$15+'TUSD BF'!$AM$15+'TUSD CVA'!$AM$15)*1*(1-0.04)</f>
        <v>30.653416196860647</v>
      </c>
      <c r="Z1425" s="77"/>
      <c r="AA1425" s="77"/>
      <c r="AB1425" s="6">
        <f>$K$1425*$V$1425</f>
        <v>913.09719999999993</v>
      </c>
      <c r="AC1425" s="6">
        <f>$M$1425*$W$1425</f>
        <v>0</v>
      </c>
      <c r="AD1425" s="6">
        <f>$O$1425*$X$1425</f>
        <v>0</v>
      </c>
      <c r="AE1425" s="6">
        <f ca="1">$K$1425*$Y$1425</f>
        <v>1042.2161506932621</v>
      </c>
      <c r="AF1425" s="6">
        <f>$M$1425*$Z$1425</f>
        <v>0</v>
      </c>
      <c r="AG1425" s="6">
        <f>$O$1425*$AA$1425</f>
        <v>0</v>
      </c>
    </row>
    <row r="1426" spans="1:33" ht="11.25" customHeight="1" x14ac:dyDescent="0.25">
      <c r="A1426" s="4" t="s">
        <v>21</v>
      </c>
      <c r="B1426" s="4" t="s">
        <v>35</v>
      </c>
      <c r="C1426" s="4" t="s">
        <v>36</v>
      </c>
      <c r="D1426" s="4" t="s">
        <v>47</v>
      </c>
      <c r="E1426" s="4" t="s">
        <v>25</v>
      </c>
      <c r="F1426" s="4" t="s">
        <v>25</v>
      </c>
      <c r="G1426" s="4" t="s">
        <v>25</v>
      </c>
      <c r="H1426" s="4" t="s">
        <v>25</v>
      </c>
      <c r="I1426" s="5">
        <v>44440</v>
      </c>
      <c r="J1426" s="6">
        <v>2514</v>
      </c>
      <c r="K1426" s="77">
        <v>2514</v>
      </c>
      <c r="L1426" s="6">
        <v>0</v>
      </c>
      <c r="M1426" s="77">
        <v>0</v>
      </c>
      <c r="N1426" s="6">
        <v>0</v>
      </c>
      <c r="O1426" s="77">
        <v>0</v>
      </c>
      <c r="P1426" s="6">
        <v>12</v>
      </c>
      <c r="Q1426" s="4" t="s">
        <v>26</v>
      </c>
      <c r="R1426" s="4">
        <v>0</v>
      </c>
      <c r="S1426" s="6">
        <v>23</v>
      </c>
      <c r="T1426" s="6">
        <v>0</v>
      </c>
      <c r="U1426" s="6">
        <v>0</v>
      </c>
      <c r="V1426" s="77">
        <f>IF(ISERROR(VLOOKUP($S$1426,'TAR FIN'!$A$1:$O$95,15,0)),0,VLOOKUP($S$1426,'TAR FIN'!$A$1:$O$95,15,0))*(1-0.06)</f>
        <v>26.855799999999999</v>
      </c>
      <c r="W1426" s="77">
        <f>IF(ISERROR(VLOOKUP($T$1426,'TAR FIN'!$A$1:$O$95,15,0)),0,VLOOKUP($T$1426,'TAR FIN'!$A$1:$O$95,15,0))</f>
        <v>0</v>
      </c>
      <c r="X1426" s="77">
        <f>IF(ISERROR(VLOOKUP($U$1426,'TAR FIN'!$A$1:$O$95,15,0)),0,VLOOKUP($U$1426,'TAR FIN'!$A$1:$O$95,15,0))</f>
        <v>0</v>
      </c>
      <c r="Y1426" s="77">
        <f ca="1">('TUSD BE'!$AM$15+'TUSD BF'!$AM$15+'TUSD CVA'!$AM$15)*1*(1-0.04)</f>
        <v>30.653416196860647</v>
      </c>
      <c r="Z1426" s="77"/>
      <c r="AA1426" s="77"/>
      <c r="AB1426" s="6">
        <f>$K$1426*$V$1426</f>
        <v>67515.481199999995</v>
      </c>
      <c r="AC1426" s="6">
        <f>$M$1426*$W$1426</f>
        <v>0</v>
      </c>
      <c r="AD1426" s="6">
        <f>$O$1426*$X$1426</f>
        <v>0</v>
      </c>
      <c r="AE1426" s="6">
        <f ca="1">$K$1426*$Y$1426</f>
        <v>77062.688318907662</v>
      </c>
      <c r="AF1426" s="6">
        <f>$M$1426*$Z$1426</f>
        <v>0</v>
      </c>
      <c r="AG1426" s="6">
        <f>$O$1426*$AA$1426</f>
        <v>0</v>
      </c>
    </row>
    <row r="1427" spans="1:33" ht="11.25" customHeight="1" x14ac:dyDescent="0.25">
      <c r="A1427" s="4" t="s">
        <v>28</v>
      </c>
      <c r="B1427" s="4" t="s">
        <v>35</v>
      </c>
      <c r="C1427" s="4" t="s">
        <v>36</v>
      </c>
      <c r="D1427" s="4" t="s">
        <v>47</v>
      </c>
      <c r="E1427" s="4" t="s">
        <v>25</v>
      </c>
      <c r="F1427" s="4" t="s">
        <v>25</v>
      </c>
      <c r="G1427" s="4" t="s">
        <v>25</v>
      </c>
      <c r="H1427" s="4" t="s">
        <v>25</v>
      </c>
      <c r="I1427" s="5">
        <v>44440</v>
      </c>
      <c r="J1427" s="6">
        <v>750</v>
      </c>
      <c r="K1427" s="77">
        <v>750</v>
      </c>
      <c r="L1427" s="6">
        <v>0</v>
      </c>
      <c r="M1427" s="77">
        <v>0</v>
      </c>
      <c r="N1427" s="6">
        <v>0</v>
      </c>
      <c r="O1427" s="77">
        <v>0</v>
      </c>
      <c r="P1427" s="6">
        <v>7</v>
      </c>
      <c r="Q1427" s="4" t="s">
        <v>26</v>
      </c>
      <c r="R1427" s="4">
        <v>0</v>
      </c>
      <c r="S1427" s="6">
        <v>23</v>
      </c>
      <c r="T1427" s="6">
        <v>0</v>
      </c>
      <c r="U1427" s="6">
        <v>0</v>
      </c>
      <c r="V1427" s="77">
        <f>IF(ISERROR(VLOOKUP($S$1427,'TAR FIN'!$A$1:$O$95,15,0)),0,VLOOKUP($S$1427,'TAR FIN'!$A$1:$O$95,15,0))*(1-0.06)</f>
        <v>26.855799999999999</v>
      </c>
      <c r="W1427" s="77">
        <f>IF(ISERROR(VLOOKUP($T$1427,'TAR FIN'!$A$1:$O$95,15,0)),0,VLOOKUP($T$1427,'TAR FIN'!$A$1:$O$95,15,0))</f>
        <v>0</v>
      </c>
      <c r="X1427" s="77">
        <f>IF(ISERROR(VLOOKUP($U$1427,'TAR FIN'!$A$1:$O$95,15,0)),0,VLOOKUP($U$1427,'TAR FIN'!$A$1:$O$95,15,0))</f>
        <v>0</v>
      </c>
      <c r="Y1427" s="77">
        <f ca="1">('TUSD BE'!$AM$15+'TUSD BF'!$AM$15+'TUSD CVA'!$AM$15)*1*(1-0.04)</f>
        <v>30.653416196860647</v>
      </c>
      <c r="Z1427" s="77"/>
      <c r="AA1427" s="77"/>
      <c r="AB1427" s="6">
        <f>$K$1427*$V$1427</f>
        <v>20141.849999999999</v>
      </c>
      <c r="AC1427" s="6">
        <f>$M$1427*$W$1427</f>
        <v>0</v>
      </c>
      <c r="AD1427" s="6">
        <f>$O$1427*$X$1427</f>
        <v>0</v>
      </c>
      <c r="AE1427" s="6">
        <f ca="1">$K$1427*$Y$1427</f>
        <v>22990.062147645483</v>
      </c>
      <c r="AF1427" s="6">
        <f>$M$1427*$Z$1427</f>
        <v>0</v>
      </c>
      <c r="AG1427" s="6">
        <f>$O$1427*$AA$1427</f>
        <v>0</v>
      </c>
    </row>
    <row r="1428" spans="1:33" ht="11.25" customHeight="1" x14ac:dyDescent="0.25">
      <c r="A1428" s="4" t="s">
        <v>30</v>
      </c>
      <c r="B1428" s="4" t="s">
        <v>35</v>
      </c>
      <c r="C1428" s="4" t="s">
        <v>36</v>
      </c>
      <c r="D1428" s="4" t="s">
        <v>47</v>
      </c>
      <c r="E1428" s="4" t="s">
        <v>25</v>
      </c>
      <c r="F1428" s="4" t="s">
        <v>25</v>
      </c>
      <c r="G1428" s="4" t="s">
        <v>25</v>
      </c>
      <c r="H1428" s="4" t="s">
        <v>25</v>
      </c>
      <c r="I1428" s="5">
        <v>44440</v>
      </c>
      <c r="J1428" s="6">
        <v>98</v>
      </c>
      <c r="K1428" s="77">
        <v>98</v>
      </c>
      <c r="L1428" s="6">
        <v>0</v>
      </c>
      <c r="M1428" s="77">
        <v>0</v>
      </c>
      <c r="N1428" s="6">
        <v>0</v>
      </c>
      <c r="O1428" s="77">
        <v>0</v>
      </c>
      <c r="P1428" s="6">
        <v>1</v>
      </c>
      <c r="Q1428" s="4" t="s">
        <v>26</v>
      </c>
      <c r="R1428" s="4">
        <v>0</v>
      </c>
      <c r="S1428" s="6">
        <v>23</v>
      </c>
      <c r="T1428" s="6">
        <v>0</v>
      </c>
      <c r="U1428" s="6">
        <v>0</v>
      </c>
      <c r="V1428" s="77">
        <f>IF(ISERROR(VLOOKUP($S$1428,'TAR FIN'!$A$1:$O$95,15,0)),0,VLOOKUP($S$1428,'TAR FIN'!$A$1:$O$95,15,0))*(1-0.06)</f>
        <v>26.855799999999999</v>
      </c>
      <c r="W1428" s="77">
        <f>IF(ISERROR(VLOOKUP($T$1428,'TAR FIN'!$A$1:$O$95,15,0)),0,VLOOKUP($T$1428,'TAR FIN'!$A$1:$O$95,15,0))</f>
        <v>0</v>
      </c>
      <c r="X1428" s="77">
        <f>IF(ISERROR(VLOOKUP($U$1428,'TAR FIN'!$A$1:$O$95,15,0)),0,VLOOKUP($U$1428,'TAR FIN'!$A$1:$O$95,15,0))</f>
        <v>0</v>
      </c>
      <c r="Y1428" s="77">
        <f ca="1">('TUSD BE'!$AM$15+'TUSD BF'!$AM$15+'TUSD CVA'!$AM$15)*1*(1-0.04)</f>
        <v>30.653416196860647</v>
      </c>
      <c r="Z1428" s="77"/>
      <c r="AA1428" s="77"/>
      <c r="AB1428" s="6">
        <f>$K$1428*$V$1428</f>
        <v>2631.8683999999998</v>
      </c>
      <c r="AC1428" s="6">
        <f>$M$1428*$W$1428</f>
        <v>0</v>
      </c>
      <c r="AD1428" s="6">
        <f>$O$1428*$X$1428</f>
        <v>0</v>
      </c>
      <c r="AE1428" s="6">
        <f ca="1">$K$1428*$Y$1428</f>
        <v>3004.0347872923435</v>
      </c>
      <c r="AF1428" s="6">
        <f>$M$1428*$Z$1428</f>
        <v>0</v>
      </c>
      <c r="AG1428" s="6">
        <f>$O$1428*$AA$1428</f>
        <v>0</v>
      </c>
    </row>
    <row r="1429" spans="1:33" ht="11.25" customHeight="1" x14ac:dyDescent="0.25">
      <c r="A1429" s="4" t="s">
        <v>59</v>
      </c>
      <c r="B1429" s="4" t="s">
        <v>35</v>
      </c>
      <c r="C1429" s="4" t="s">
        <v>36</v>
      </c>
      <c r="D1429" s="4" t="s">
        <v>47</v>
      </c>
      <c r="E1429" s="4" t="s">
        <v>25</v>
      </c>
      <c r="F1429" s="4" t="s">
        <v>25</v>
      </c>
      <c r="G1429" s="4" t="s">
        <v>25</v>
      </c>
      <c r="H1429" s="4" t="s">
        <v>25</v>
      </c>
      <c r="I1429" s="5">
        <v>44470</v>
      </c>
      <c r="J1429" s="6">
        <v>2514</v>
      </c>
      <c r="K1429" s="77">
        <v>2514</v>
      </c>
      <c r="L1429" s="6">
        <v>0</v>
      </c>
      <c r="M1429" s="77">
        <v>0</v>
      </c>
      <c r="N1429" s="6">
        <v>0</v>
      </c>
      <c r="O1429" s="77">
        <v>0</v>
      </c>
      <c r="P1429" s="6">
        <v>12</v>
      </c>
      <c r="Q1429" s="4" t="s">
        <v>26</v>
      </c>
      <c r="R1429" s="4">
        <v>0</v>
      </c>
      <c r="S1429" s="6">
        <v>23</v>
      </c>
      <c r="T1429" s="6">
        <v>0</v>
      </c>
      <c r="U1429" s="6">
        <v>0</v>
      </c>
      <c r="V1429" s="77">
        <f>IF(ISERROR(VLOOKUP($S$1429,'TAR FIN'!$A$1:$O$95,15,0)),0,VLOOKUP($S$1429,'TAR FIN'!$A$1:$O$95,15,0))*(1-0.06)</f>
        <v>26.855799999999999</v>
      </c>
      <c r="W1429" s="77">
        <f>IF(ISERROR(VLOOKUP($T$1429,'TAR FIN'!$A$1:$O$95,15,0)),0,VLOOKUP($T$1429,'TAR FIN'!$A$1:$O$95,15,0))</f>
        <v>0</v>
      </c>
      <c r="X1429" s="77">
        <f>IF(ISERROR(VLOOKUP($U$1429,'TAR FIN'!$A$1:$O$95,15,0)),0,VLOOKUP($U$1429,'TAR FIN'!$A$1:$O$95,15,0))</f>
        <v>0</v>
      </c>
      <c r="Y1429" s="77">
        <f ca="1">('TUSD BE'!$AM$15+'TUSD BF'!$AM$15+'TUSD CVA'!$AM$15)*1*(1-0.04)</f>
        <v>30.653416196860647</v>
      </c>
      <c r="Z1429" s="77"/>
      <c r="AA1429" s="77"/>
      <c r="AB1429" s="6">
        <f>$K$1429*$V$1429</f>
        <v>67515.481199999995</v>
      </c>
      <c r="AC1429" s="6">
        <f>$M$1429*$W$1429</f>
        <v>0</v>
      </c>
      <c r="AD1429" s="6">
        <f>$O$1429*$X$1429</f>
        <v>0</v>
      </c>
      <c r="AE1429" s="6">
        <f ca="1">$K$1429*$Y$1429</f>
        <v>77062.688318907662</v>
      </c>
      <c r="AF1429" s="6">
        <f>$M$1429*$Z$1429</f>
        <v>0</v>
      </c>
      <c r="AG1429" s="6">
        <f>$O$1429*$AA$1429</f>
        <v>0</v>
      </c>
    </row>
    <row r="1430" spans="1:33" ht="11.25" customHeight="1" x14ac:dyDescent="0.25">
      <c r="A1430" s="4" t="s">
        <v>59</v>
      </c>
      <c r="B1430" s="4" t="s">
        <v>35</v>
      </c>
      <c r="C1430" s="4" t="s">
        <v>36</v>
      </c>
      <c r="D1430" s="4" t="s">
        <v>47</v>
      </c>
      <c r="E1430" s="4" t="s">
        <v>25</v>
      </c>
      <c r="F1430" s="4" t="s">
        <v>25</v>
      </c>
      <c r="G1430" s="4" t="s">
        <v>25</v>
      </c>
      <c r="H1430" s="4" t="s">
        <v>25</v>
      </c>
      <c r="I1430" s="5">
        <v>44470</v>
      </c>
      <c r="J1430" s="6">
        <v>750</v>
      </c>
      <c r="K1430" s="77">
        <v>750</v>
      </c>
      <c r="L1430" s="6">
        <v>0</v>
      </c>
      <c r="M1430" s="77">
        <v>0</v>
      </c>
      <c r="N1430" s="6">
        <v>0</v>
      </c>
      <c r="O1430" s="77">
        <v>0</v>
      </c>
      <c r="P1430" s="6">
        <v>7</v>
      </c>
      <c r="Q1430" s="4" t="s">
        <v>26</v>
      </c>
      <c r="R1430" s="4">
        <v>0</v>
      </c>
      <c r="S1430" s="6">
        <v>23</v>
      </c>
      <c r="T1430" s="6">
        <v>0</v>
      </c>
      <c r="U1430" s="6">
        <v>0</v>
      </c>
      <c r="V1430" s="77">
        <f>IF(ISERROR(VLOOKUP($S$1430,'TAR FIN'!$A$1:$O$95,15,0)),0,VLOOKUP($S$1430,'TAR FIN'!$A$1:$O$95,15,0))*(1-0.06)</f>
        <v>26.855799999999999</v>
      </c>
      <c r="W1430" s="77">
        <f>IF(ISERROR(VLOOKUP($T$1430,'TAR FIN'!$A$1:$O$95,15,0)),0,VLOOKUP($T$1430,'TAR FIN'!$A$1:$O$95,15,0))</f>
        <v>0</v>
      </c>
      <c r="X1430" s="77">
        <f>IF(ISERROR(VLOOKUP($U$1430,'TAR FIN'!$A$1:$O$95,15,0)),0,VLOOKUP($U$1430,'TAR FIN'!$A$1:$O$95,15,0))</f>
        <v>0</v>
      </c>
      <c r="Y1430" s="77">
        <f ca="1">('TUSD BE'!$AM$15+'TUSD BF'!$AM$15+'TUSD CVA'!$AM$15)*1*(1-0.04)</f>
        <v>30.653416196860647</v>
      </c>
      <c r="Z1430" s="77"/>
      <c r="AA1430" s="77"/>
      <c r="AB1430" s="6">
        <f>$K$1430*$V$1430</f>
        <v>20141.849999999999</v>
      </c>
      <c r="AC1430" s="6">
        <f>$M$1430*$W$1430</f>
        <v>0</v>
      </c>
      <c r="AD1430" s="6">
        <f>$O$1430*$X$1430</f>
        <v>0</v>
      </c>
      <c r="AE1430" s="6">
        <f ca="1">$K$1430*$Y$1430</f>
        <v>22990.062147645483</v>
      </c>
      <c r="AF1430" s="6">
        <f>$M$1430*$Z$1430</f>
        <v>0</v>
      </c>
      <c r="AG1430" s="6">
        <f>$O$1430*$AA$1430</f>
        <v>0</v>
      </c>
    </row>
    <row r="1431" spans="1:33" ht="11.25" customHeight="1" x14ac:dyDescent="0.25">
      <c r="A1431" s="4" t="s">
        <v>59</v>
      </c>
      <c r="B1431" s="4" t="s">
        <v>35</v>
      </c>
      <c r="C1431" s="4" t="s">
        <v>36</v>
      </c>
      <c r="D1431" s="4" t="s">
        <v>47</v>
      </c>
      <c r="E1431" s="4" t="s">
        <v>25</v>
      </c>
      <c r="F1431" s="4" t="s">
        <v>25</v>
      </c>
      <c r="G1431" s="4" t="s">
        <v>25</v>
      </c>
      <c r="H1431" s="4" t="s">
        <v>25</v>
      </c>
      <c r="I1431" s="5">
        <v>44470</v>
      </c>
      <c r="J1431" s="6">
        <v>98</v>
      </c>
      <c r="K1431" s="77">
        <v>98</v>
      </c>
      <c r="L1431" s="6">
        <v>0</v>
      </c>
      <c r="M1431" s="77">
        <v>0</v>
      </c>
      <c r="N1431" s="6">
        <v>0</v>
      </c>
      <c r="O1431" s="77">
        <v>0</v>
      </c>
      <c r="P1431" s="6">
        <v>1</v>
      </c>
      <c r="Q1431" s="4" t="s">
        <v>26</v>
      </c>
      <c r="R1431" s="4">
        <v>0</v>
      </c>
      <c r="S1431" s="6">
        <v>23</v>
      </c>
      <c r="T1431" s="6">
        <v>0</v>
      </c>
      <c r="U1431" s="6">
        <v>0</v>
      </c>
      <c r="V1431" s="77">
        <f>IF(ISERROR(VLOOKUP($S$1431,'TAR FIN'!$A$1:$O$95,15,0)),0,VLOOKUP($S$1431,'TAR FIN'!$A$1:$O$95,15,0))*(1-0.06)</f>
        <v>26.855799999999999</v>
      </c>
      <c r="W1431" s="77">
        <f>IF(ISERROR(VLOOKUP($T$1431,'TAR FIN'!$A$1:$O$95,15,0)),0,VLOOKUP($T$1431,'TAR FIN'!$A$1:$O$95,15,0))</f>
        <v>0</v>
      </c>
      <c r="X1431" s="77">
        <f>IF(ISERROR(VLOOKUP($U$1431,'TAR FIN'!$A$1:$O$95,15,0)),0,VLOOKUP($U$1431,'TAR FIN'!$A$1:$O$95,15,0))</f>
        <v>0</v>
      </c>
      <c r="Y1431" s="77">
        <f ca="1">('TUSD BE'!$AM$15+'TUSD BF'!$AM$15+'TUSD CVA'!$AM$15)*1*(1-0.04)</f>
        <v>30.653416196860647</v>
      </c>
      <c r="Z1431" s="77"/>
      <c r="AA1431" s="77"/>
      <c r="AB1431" s="6">
        <f>$K$1431*$V$1431</f>
        <v>2631.8683999999998</v>
      </c>
      <c r="AC1431" s="6">
        <f>$M$1431*$W$1431</f>
        <v>0</v>
      </c>
      <c r="AD1431" s="6">
        <f>$O$1431*$X$1431</f>
        <v>0</v>
      </c>
      <c r="AE1431" s="6">
        <f ca="1">$K$1431*$Y$1431</f>
        <v>3004.0347872923435</v>
      </c>
      <c r="AF1431" s="6">
        <f>$M$1431*$Z$1431</f>
        <v>0</v>
      </c>
      <c r="AG1431" s="6">
        <f>$O$1431*$AA$1431</f>
        <v>0</v>
      </c>
    </row>
    <row r="1432" spans="1:33" ht="11.25" customHeight="1" x14ac:dyDescent="0.25">
      <c r="A1432" s="4" t="s">
        <v>21</v>
      </c>
      <c r="B1432" s="4" t="s">
        <v>35</v>
      </c>
      <c r="C1432" s="4" t="s">
        <v>36</v>
      </c>
      <c r="D1432" s="4" t="s">
        <v>47</v>
      </c>
      <c r="E1432" s="4" t="s">
        <v>25</v>
      </c>
      <c r="F1432" s="4" t="s">
        <v>25</v>
      </c>
      <c r="G1432" s="4" t="s">
        <v>25</v>
      </c>
      <c r="H1432" s="4" t="s">
        <v>37</v>
      </c>
      <c r="I1432" s="5">
        <v>44136</v>
      </c>
      <c r="J1432" s="6">
        <v>0</v>
      </c>
      <c r="K1432" s="77">
        <v>0</v>
      </c>
      <c r="L1432" s="6">
        <v>48.37</v>
      </c>
      <c r="M1432" s="77">
        <v>48.37</v>
      </c>
      <c r="N1432" s="6">
        <v>48.37</v>
      </c>
      <c r="O1432" s="77">
        <v>48.37</v>
      </c>
      <c r="P1432" s="6">
        <v>0</v>
      </c>
      <c r="Q1432" s="4" t="s">
        <v>26</v>
      </c>
      <c r="R1432" s="4">
        <v>0</v>
      </c>
      <c r="S1432" s="6">
        <v>0</v>
      </c>
      <c r="T1432" s="6">
        <v>24</v>
      </c>
      <c r="U1432" s="6">
        <v>66</v>
      </c>
      <c r="V1432" s="77">
        <f>IF(ISERROR(VLOOKUP($S$1432,'TAR FIN'!$A$1:$O$95,15,0)),0,VLOOKUP($S$1432,'TAR FIN'!$A$1:$O$95,15,0))</f>
        <v>0</v>
      </c>
      <c r="W1432" s="77">
        <f>IF(ISERROR(VLOOKUP($T$1432,'TAR FIN'!$A$1:$O$95,15,0)),0,VLOOKUP($T$1432,'TAR FIN'!$A$1:$O$95,15,0))*(1-0.06)</f>
        <v>1348.7025999999998</v>
      </c>
      <c r="X1432" s="77">
        <f>IF(ISERROR(VLOOKUP($U$1432,'TAR FIN'!$A$1:$O$95,15,0)),0,VLOOKUP($U$1432,'TAR FIN'!$A$1:$O$95,15,0))*(1-0.06)</f>
        <v>365.92319999999995</v>
      </c>
      <c r="Y1432" s="77"/>
      <c r="Z1432" s="77">
        <f ca="1">('TUSD BE'!$AM$16+'TUSD BF'!$AM$16+'TUSD CVA'!$AM$16)*1*(1-0.04)</f>
        <v>1541.7519661664016</v>
      </c>
      <c r="AA1432" s="77">
        <f>('TE BE'!$AA$7+'TE BF'!$AA$7+'TE CVA'!$AA$7)*1*(1-0.04)</f>
        <v>436.15542521126838</v>
      </c>
      <c r="AB1432" s="6">
        <f>$K$1432*$V$1432</f>
        <v>0</v>
      </c>
      <c r="AC1432" s="6">
        <f>$M$1432*$W$1432</f>
        <v>65236.744761999988</v>
      </c>
      <c r="AD1432" s="6">
        <f>$O$1432*$X$1432</f>
        <v>17699.705183999995</v>
      </c>
      <c r="AE1432" s="6">
        <f>$K$1432*$Y$1432</f>
        <v>0</v>
      </c>
      <c r="AF1432" s="6">
        <f ca="1">$M$1432*$Z$1432</f>
        <v>74574.542603468843</v>
      </c>
      <c r="AG1432" s="6">
        <f>$O$1432*$AA$1432</f>
        <v>21096.837917469049</v>
      </c>
    </row>
    <row r="1433" spans="1:33" ht="11.25" customHeight="1" x14ac:dyDescent="0.25">
      <c r="A1433" s="4" t="s">
        <v>28</v>
      </c>
      <c r="B1433" s="4" t="s">
        <v>35</v>
      </c>
      <c r="C1433" s="4" t="s">
        <v>36</v>
      </c>
      <c r="D1433" s="4" t="s">
        <v>47</v>
      </c>
      <c r="E1433" s="4" t="s">
        <v>25</v>
      </c>
      <c r="F1433" s="4" t="s">
        <v>25</v>
      </c>
      <c r="G1433" s="4" t="s">
        <v>25</v>
      </c>
      <c r="H1433" s="4" t="s">
        <v>37</v>
      </c>
      <c r="I1433" s="5">
        <v>44136</v>
      </c>
      <c r="J1433" s="6">
        <v>0</v>
      </c>
      <c r="K1433" s="77">
        <v>0</v>
      </c>
      <c r="L1433" s="6">
        <v>8.5139999999999993</v>
      </c>
      <c r="M1433" s="77">
        <v>8.5139999999999993</v>
      </c>
      <c r="N1433" s="6">
        <v>8.5139999999999993</v>
      </c>
      <c r="O1433" s="77">
        <v>8.5139999999999993</v>
      </c>
      <c r="P1433" s="6">
        <v>0</v>
      </c>
      <c r="Q1433" s="4" t="s">
        <v>26</v>
      </c>
      <c r="R1433" s="4">
        <v>0</v>
      </c>
      <c r="S1433" s="6">
        <v>0</v>
      </c>
      <c r="T1433" s="6">
        <v>24</v>
      </c>
      <c r="U1433" s="6">
        <v>66</v>
      </c>
      <c r="V1433" s="77">
        <f>IF(ISERROR(VLOOKUP($S$1433,'TAR FIN'!$A$1:$O$95,15,0)),0,VLOOKUP($S$1433,'TAR FIN'!$A$1:$O$95,15,0))</f>
        <v>0</v>
      </c>
      <c r="W1433" s="77">
        <f>IF(ISERROR(VLOOKUP($T$1433,'TAR FIN'!$A$1:$O$95,15,0)),0,VLOOKUP($T$1433,'TAR FIN'!$A$1:$O$95,15,0))*(1-0.06)</f>
        <v>1348.7025999999998</v>
      </c>
      <c r="X1433" s="77">
        <f>IF(ISERROR(VLOOKUP($U$1433,'TAR FIN'!$A$1:$O$95,15,0)),0,VLOOKUP($U$1433,'TAR FIN'!$A$1:$O$95,15,0))*(1-0.06)</f>
        <v>365.92319999999995</v>
      </c>
      <c r="Y1433" s="77"/>
      <c r="Z1433" s="77">
        <f ca="1">('TUSD BE'!$AM$16+'TUSD BF'!$AM$16+'TUSD CVA'!$AM$16)*1*(1-0.04)</f>
        <v>1541.7519661664016</v>
      </c>
      <c r="AA1433" s="77">
        <f>('TE BE'!$AA$7+'TE BF'!$AA$7+'TE CVA'!$AA$7)*1*(1-0.04)</f>
        <v>436.15542521126838</v>
      </c>
      <c r="AB1433" s="6">
        <f>$K$1433*$V$1433</f>
        <v>0</v>
      </c>
      <c r="AC1433" s="6">
        <f>$M$1433*$W$1433</f>
        <v>11482.853936399997</v>
      </c>
      <c r="AD1433" s="6">
        <f>$O$1433*$X$1433</f>
        <v>3115.4701247999992</v>
      </c>
      <c r="AE1433" s="6">
        <f>$K$1433*$Y$1433</f>
        <v>0</v>
      </c>
      <c r="AF1433" s="6">
        <f ca="1">$M$1433*$Z$1433</f>
        <v>13126.476239940743</v>
      </c>
      <c r="AG1433" s="6">
        <f>$O$1433*$AA$1433</f>
        <v>3713.4272902487387</v>
      </c>
    </row>
    <row r="1434" spans="1:33" ht="11.25" customHeight="1" x14ac:dyDescent="0.25">
      <c r="A1434" s="4" t="s">
        <v>21</v>
      </c>
      <c r="B1434" s="4" t="s">
        <v>35</v>
      </c>
      <c r="C1434" s="4" t="s">
        <v>36</v>
      </c>
      <c r="D1434" s="4" t="s">
        <v>47</v>
      </c>
      <c r="E1434" s="4" t="s">
        <v>25</v>
      </c>
      <c r="F1434" s="4" t="s">
        <v>25</v>
      </c>
      <c r="G1434" s="4" t="s">
        <v>25</v>
      </c>
      <c r="H1434" s="4" t="s">
        <v>37</v>
      </c>
      <c r="I1434" s="5">
        <v>44166</v>
      </c>
      <c r="J1434" s="6">
        <v>0</v>
      </c>
      <c r="K1434" s="77">
        <v>0</v>
      </c>
      <c r="L1434" s="6">
        <v>48.774000000000001</v>
      </c>
      <c r="M1434" s="77">
        <v>48.774000000000001</v>
      </c>
      <c r="N1434" s="6">
        <v>48.774000000000001</v>
      </c>
      <c r="O1434" s="77">
        <v>48.774000000000001</v>
      </c>
      <c r="P1434" s="6">
        <v>0</v>
      </c>
      <c r="Q1434" s="4" t="s">
        <v>26</v>
      </c>
      <c r="R1434" s="4">
        <v>0</v>
      </c>
      <c r="S1434" s="6">
        <v>0</v>
      </c>
      <c r="T1434" s="6">
        <v>24</v>
      </c>
      <c r="U1434" s="6">
        <v>66</v>
      </c>
      <c r="V1434" s="77">
        <f>IF(ISERROR(VLOOKUP($S$1434,'TAR FIN'!$A$1:$O$95,15,0)),0,VLOOKUP($S$1434,'TAR FIN'!$A$1:$O$95,15,0))</f>
        <v>0</v>
      </c>
      <c r="W1434" s="77">
        <f>IF(ISERROR(VLOOKUP($T$1434,'TAR FIN'!$A$1:$O$95,15,0)),0,VLOOKUP($T$1434,'TAR FIN'!$A$1:$O$95,15,0))*(1-0.06)</f>
        <v>1348.7025999999998</v>
      </c>
      <c r="X1434" s="77">
        <f>IF(ISERROR(VLOOKUP($U$1434,'TAR FIN'!$A$1:$O$95,15,0)),0,VLOOKUP($U$1434,'TAR FIN'!$A$1:$O$95,15,0))*(1-0.06)</f>
        <v>365.92319999999995</v>
      </c>
      <c r="Y1434" s="77"/>
      <c r="Z1434" s="77">
        <f ca="1">('TUSD BE'!$AM$16+'TUSD BF'!$AM$16+'TUSD CVA'!$AM$16)*1*(1-0.04)</f>
        <v>1541.7519661664016</v>
      </c>
      <c r="AA1434" s="77">
        <f>('TE BE'!$AA$7+'TE BF'!$AA$7+'TE CVA'!$AA$7)*1*(1-0.04)</f>
        <v>436.15542521126838</v>
      </c>
      <c r="AB1434" s="6">
        <f>$K$1434*$V$1434</f>
        <v>0</v>
      </c>
      <c r="AC1434" s="6">
        <f>$M$1434*$W$1434</f>
        <v>65781.620612399987</v>
      </c>
      <c r="AD1434" s="6">
        <f>$O$1434*$X$1434</f>
        <v>17847.538156799998</v>
      </c>
      <c r="AE1434" s="6">
        <f>$K$1434*$Y$1434</f>
        <v>0</v>
      </c>
      <c r="AF1434" s="6">
        <f ca="1">$M$1434*$Z$1434</f>
        <v>75197.410397800078</v>
      </c>
      <c r="AG1434" s="6">
        <f>$O$1434*$AA$1434</f>
        <v>21273.044709254405</v>
      </c>
    </row>
    <row r="1435" spans="1:33" ht="11.25" customHeight="1" x14ac:dyDescent="0.25">
      <c r="A1435" s="4" t="s">
        <v>28</v>
      </c>
      <c r="B1435" s="4" t="s">
        <v>35</v>
      </c>
      <c r="C1435" s="4" t="s">
        <v>36</v>
      </c>
      <c r="D1435" s="4" t="s">
        <v>47</v>
      </c>
      <c r="E1435" s="4" t="s">
        <v>25</v>
      </c>
      <c r="F1435" s="4" t="s">
        <v>25</v>
      </c>
      <c r="G1435" s="4" t="s">
        <v>25</v>
      </c>
      <c r="H1435" s="4" t="s">
        <v>37</v>
      </c>
      <c r="I1435" s="5">
        <v>44166</v>
      </c>
      <c r="J1435" s="6">
        <v>0</v>
      </c>
      <c r="K1435" s="77">
        <v>0</v>
      </c>
      <c r="L1435" s="6">
        <v>8.6110000000000007</v>
      </c>
      <c r="M1435" s="77">
        <v>8.6110000000000007</v>
      </c>
      <c r="N1435" s="6">
        <v>8.6110000000000007</v>
      </c>
      <c r="O1435" s="77">
        <v>8.6110000000000007</v>
      </c>
      <c r="P1435" s="6">
        <v>0</v>
      </c>
      <c r="Q1435" s="4" t="s">
        <v>26</v>
      </c>
      <c r="R1435" s="4">
        <v>0</v>
      </c>
      <c r="S1435" s="6">
        <v>0</v>
      </c>
      <c r="T1435" s="6">
        <v>24</v>
      </c>
      <c r="U1435" s="6">
        <v>66</v>
      </c>
      <c r="V1435" s="77">
        <f>IF(ISERROR(VLOOKUP($S$1435,'TAR FIN'!$A$1:$O$95,15,0)),0,VLOOKUP($S$1435,'TAR FIN'!$A$1:$O$95,15,0))</f>
        <v>0</v>
      </c>
      <c r="W1435" s="77">
        <f>IF(ISERROR(VLOOKUP($T$1435,'TAR FIN'!$A$1:$O$95,15,0)),0,VLOOKUP($T$1435,'TAR FIN'!$A$1:$O$95,15,0))*(1-0.06)</f>
        <v>1348.7025999999998</v>
      </c>
      <c r="X1435" s="77">
        <f>IF(ISERROR(VLOOKUP($U$1435,'TAR FIN'!$A$1:$O$95,15,0)),0,VLOOKUP($U$1435,'TAR FIN'!$A$1:$O$95,15,0))*(1-0.06)</f>
        <v>365.92319999999995</v>
      </c>
      <c r="Y1435" s="77"/>
      <c r="Z1435" s="77">
        <f ca="1">('TUSD BE'!$AM$16+'TUSD BF'!$AM$16+'TUSD CVA'!$AM$16)*1*(1-0.04)</f>
        <v>1541.7519661664016</v>
      </c>
      <c r="AA1435" s="77">
        <f>('TE BE'!$AA$7+'TE BF'!$AA$7+'TE CVA'!$AA$7)*1*(1-0.04)</f>
        <v>436.15542521126838</v>
      </c>
      <c r="AB1435" s="6">
        <f>$K$1435*$V$1435</f>
        <v>0</v>
      </c>
      <c r="AC1435" s="6">
        <f>$M$1435*$W$1435</f>
        <v>11613.6780886</v>
      </c>
      <c r="AD1435" s="6">
        <f>$O$1435*$X$1435</f>
        <v>3150.9646751999999</v>
      </c>
      <c r="AE1435" s="6">
        <f>$K$1435*$Y$1435</f>
        <v>0</v>
      </c>
      <c r="AF1435" s="6">
        <f ca="1">$M$1435*$Z$1435</f>
        <v>13276.026180658886</v>
      </c>
      <c r="AG1435" s="6">
        <f>$O$1435*$AA$1435</f>
        <v>3755.7343664942323</v>
      </c>
    </row>
    <row r="1436" spans="1:33" ht="11.25" customHeight="1" x14ac:dyDescent="0.25">
      <c r="A1436" s="4" t="s">
        <v>21</v>
      </c>
      <c r="B1436" s="4" t="s">
        <v>35</v>
      </c>
      <c r="C1436" s="4" t="s">
        <v>36</v>
      </c>
      <c r="D1436" s="4" t="s">
        <v>47</v>
      </c>
      <c r="E1436" s="4" t="s">
        <v>25</v>
      </c>
      <c r="F1436" s="4" t="s">
        <v>25</v>
      </c>
      <c r="G1436" s="4" t="s">
        <v>25</v>
      </c>
      <c r="H1436" s="4" t="s">
        <v>37</v>
      </c>
      <c r="I1436" s="5">
        <v>44197</v>
      </c>
      <c r="J1436" s="6">
        <v>0</v>
      </c>
      <c r="K1436" s="77">
        <v>0</v>
      </c>
      <c r="L1436" s="6">
        <v>45.341000000000001</v>
      </c>
      <c r="M1436" s="77">
        <v>45.341000000000001</v>
      </c>
      <c r="N1436" s="6">
        <v>45.341000000000001</v>
      </c>
      <c r="O1436" s="77">
        <v>45.341000000000001</v>
      </c>
      <c r="P1436" s="6">
        <v>0</v>
      </c>
      <c r="Q1436" s="4" t="s">
        <v>26</v>
      </c>
      <c r="R1436" s="4">
        <v>0</v>
      </c>
      <c r="S1436" s="6">
        <v>0</v>
      </c>
      <c r="T1436" s="6">
        <v>24</v>
      </c>
      <c r="U1436" s="6">
        <v>66</v>
      </c>
      <c r="V1436" s="77">
        <f>IF(ISERROR(VLOOKUP($S$1436,'TAR FIN'!$A$1:$O$95,15,0)),0,VLOOKUP($S$1436,'TAR FIN'!$A$1:$O$95,15,0))</f>
        <v>0</v>
      </c>
      <c r="W1436" s="77">
        <f>IF(ISERROR(VLOOKUP($T$1436,'TAR FIN'!$A$1:$O$95,15,0)),0,VLOOKUP($T$1436,'TAR FIN'!$A$1:$O$95,15,0))*(1-0.06)</f>
        <v>1348.7025999999998</v>
      </c>
      <c r="X1436" s="77">
        <f>IF(ISERROR(VLOOKUP($U$1436,'TAR FIN'!$A$1:$O$95,15,0)),0,VLOOKUP($U$1436,'TAR FIN'!$A$1:$O$95,15,0))*(1-0.06)</f>
        <v>365.92319999999995</v>
      </c>
      <c r="Y1436" s="77"/>
      <c r="Z1436" s="77">
        <f ca="1">('TUSD BE'!$AM$16+'TUSD BF'!$AM$16+'TUSD CVA'!$AM$16)*1*(1-0.04)</f>
        <v>1541.7519661664016</v>
      </c>
      <c r="AA1436" s="77">
        <f>('TE BE'!$AA$7+'TE BF'!$AA$7+'TE CVA'!$AA$7)*1*(1-0.04)</f>
        <v>436.15542521126838</v>
      </c>
      <c r="AB1436" s="6">
        <f>$K$1436*$V$1436</f>
        <v>0</v>
      </c>
      <c r="AC1436" s="6">
        <f>$M$1436*$W$1436</f>
        <v>61151.524586599997</v>
      </c>
      <c r="AD1436" s="6">
        <f>$O$1436*$X$1436</f>
        <v>16591.3238112</v>
      </c>
      <c r="AE1436" s="6">
        <f>$K$1436*$Y$1436</f>
        <v>0</v>
      </c>
      <c r="AF1436" s="6">
        <f ca="1">$M$1436*$Z$1436</f>
        <v>69904.575897950825</v>
      </c>
      <c r="AG1436" s="6">
        <f>$O$1436*$AA$1436</f>
        <v>19775.723134504122</v>
      </c>
    </row>
    <row r="1437" spans="1:33" ht="11.25" customHeight="1" x14ac:dyDescent="0.25">
      <c r="A1437" s="4" t="s">
        <v>28</v>
      </c>
      <c r="B1437" s="4" t="s">
        <v>35</v>
      </c>
      <c r="C1437" s="4" t="s">
        <v>36</v>
      </c>
      <c r="D1437" s="4" t="s">
        <v>47</v>
      </c>
      <c r="E1437" s="4" t="s">
        <v>25</v>
      </c>
      <c r="F1437" s="4" t="s">
        <v>25</v>
      </c>
      <c r="G1437" s="4" t="s">
        <v>25</v>
      </c>
      <c r="H1437" s="4" t="s">
        <v>37</v>
      </c>
      <c r="I1437" s="5">
        <v>44197</v>
      </c>
      <c r="J1437" s="6">
        <v>0</v>
      </c>
      <c r="K1437" s="77">
        <v>0</v>
      </c>
      <c r="L1437" s="6">
        <v>9.6530000000000005</v>
      </c>
      <c r="M1437" s="77">
        <v>9.6530000000000005</v>
      </c>
      <c r="N1437" s="6">
        <v>9.6530000000000005</v>
      </c>
      <c r="O1437" s="77">
        <v>9.6530000000000005</v>
      </c>
      <c r="P1437" s="6">
        <v>0</v>
      </c>
      <c r="Q1437" s="4" t="s">
        <v>26</v>
      </c>
      <c r="R1437" s="4">
        <v>0</v>
      </c>
      <c r="S1437" s="6">
        <v>0</v>
      </c>
      <c r="T1437" s="6">
        <v>24</v>
      </c>
      <c r="U1437" s="6">
        <v>66</v>
      </c>
      <c r="V1437" s="77">
        <f>IF(ISERROR(VLOOKUP($S$1437,'TAR FIN'!$A$1:$O$95,15,0)),0,VLOOKUP($S$1437,'TAR FIN'!$A$1:$O$95,15,0))</f>
        <v>0</v>
      </c>
      <c r="W1437" s="77">
        <f>IF(ISERROR(VLOOKUP($T$1437,'TAR FIN'!$A$1:$O$95,15,0)),0,VLOOKUP($T$1437,'TAR FIN'!$A$1:$O$95,15,0))*(1-0.06)</f>
        <v>1348.7025999999998</v>
      </c>
      <c r="X1437" s="77">
        <f>IF(ISERROR(VLOOKUP($U$1437,'TAR FIN'!$A$1:$O$95,15,0)),0,VLOOKUP($U$1437,'TAR FIN'!$A$1:$O$95,15,0))*(1-0.06)</f>
        <v>365.92319999999995</v>
      </c>
      <c r="Y1437" s="77"/>
      <c r="Z1437" s="77">
        <f ca="1">('TUSD BE'!$AM$16+'TUSD BF'!$AM$16+'TUSD CVA'!$AM$16)*1*(1-0.04)</f>
        <v>1541.7519661664016</v>
      </c>
      <c r="AA1437" s="77">
        <f>('TE BE'!$AA$7+'TE BF'!$AA$7+'TE CVA'!$AA$7)*1*(1-0.04)</f>
        <v>436.15542521126838</v>
      </c>
      <c r="AB1437" s="6">
        <f>$K$1437*$V$1437</f>
        <v>0</v>
      </c>
      <c r="AC1437" s="6">
        <f>$M$1437*$W$1437</f>
        <v>13019.0261978</v>
      </c>
      <c r="AD1437" s="6">
        <f>$O$1437*$X$1437</f>
        <v>3532.2566495999995</v>
      </c>
      <c r="AE1437" s="6">
        <f>$K$1437*$Y$1437</f>
        <v>0</v>
      </c>
      <c r="AF1437" s="6">
        <f ca="1">$M$1437*$Z$1437</f>
        <v>14882.531729404276</v>
      </c>
      <c r="AG1437" s="6">
        <f>$O$1437*$AA$1437</f>
        <v>4210.2083195643736</v>
      </c>
    </row>
    <row r="1438" spans="1:33" ht="11.25" customHeight="1" x14ac:dyDescent="0.25">
      <c r="A1438" s="4" t="s">
        <v>21</v>
      </c>
      <c r="B1438" s="4" t="s">
        <v>35</v>
      </c>
      <c r="C1438" s="4" t="s">
        <v>36</v>
      </c>
      <c r="D1438" s="4" t="s">
        <v>47</v>
      </c>
      <c r="E1438" s="4" t="s">
        <v>25</v>
      </c>
      <c r="F1438" s="4" t="s">
        <v>25</v>
      </c>
      <c r="G1438" s="4" t="s">
        <v>25</v>
      </c>
      <c r="H1438" s="4" t="s">
        <v>37</v>
      </c>
      <c r="I1438" s="5">
        <v>44228</v>
      </c>
      <c r="J1438" s="6">
        <v>0</v>
      </c>
      <c r="K1438" s="77">
        <v>0</v>
      </c>
      <c r="L1438" s="6">
        <v>40.584000000000003</v>
      </c>
      <c r="M1438" s="77">
        <v>40.584000000000003</v>
      </c>
      <c r="N1438" s="6">
        <v>40.584000000000003</v>
      </c>
      <c r="O1438" s="77">
        <v>40.584000000000003</v>
      </c>
      <c r="P1438" s="6">
        <v>0</v>
      </c>
      <c r="Q1438" s="4" t="s">
        <v>26</v>
      </c>
      <c r="R1438" s="4">
        <v>0</v>
      </c>
      <c r="S1438" s="6">
        <v>0</v>
      </c>
      <c r="T1438" s="6">
        <v>24</v>
      </c>
      <c r="U1438" s="6">
        <v>66</v>
      </c>
      <c r="V1438" s="77">
        <f>IF(ISERROR(VLOOKUP($S$1438,'TAR FIN'!$A$1:$O$95,15,0)),0,VLOOKUP($S$1438,'TAR FIN'!$A$1:$O$95,15,0))</f>
        <v>0</v>
      </c>
      <c r="W1438" s="77">
        <f>IF(ISERROR(VLOOKUP($T$1438,'TAR FIN'!$A$1:$O$95,15,0)),0,VLOOKUP($T$1438,'TAR FIN'!$A$1:$O$95,15,0))*(1-0.06)</f>
        <v>1348.7025999999998</v>
      </c>
      <c r="X1438" s="77">
        <f>IF(ISERROR(VLOOKUP($U$1438,'TAR FIN'!$A$1:$O$95,15,0)),0,VLOOKUP($U$1438,'TAR FIN'!$A$1:$O$95,15,0))*(1-0.06)</f>
        <v>365.92319999999995</v>
      </c>
      <c r="Y1438" s="77"/>
      <c r="Z1438" s="77">
        <f ca="1">('TUSD BE'!$AM$16+'TUSD BF'!$AM$16+'TUSD CVA'!$AM$16)*1*(1-0.04)</f>
        <v>1541.7519661664016</v>
      </c>
      <c r="AA1438" s="77">
        <f>('TE BE'!$AA$7+'TE BF'!$AA$7+'TE CVA'!$AA$7)*1*(1-0.04)</f>
        <v>436.15542521126838</v>
      </c>
      <c r="AB1438" s="6">
        <f>$K$1438*$V$1438</f>
        <v>0</v>
      </c>
      <c r="AC1438" s="6">
        <f>$M$1438*$W$1438</f>
        <v>54735.746318400001</v>
      </c>
      <c r="AD1438" s="6">
        <f>$O$1438*$X$1438</f>
        <v>14850.627148799998</v>
      </c>
      <c r="AE1438" s="6">
        <f>$K$1438*$Y$1438</f>
        <v>0</v>
      </c>
      <c r="AF1438" s="6">
        <f ca="1">$M$1438*$Z$1438</f>
        <v>62570.461794897252</v>
      </c>
      <c r="AG1438" s="6">
        <f>$O$1438*$AA$1438</f>
        <v>17700.931776774116</v>
      </c>
    </row>
    <row r="1439" spans="1:33" ht="11.25" customHeight="1" x14ac:dyDescent="0.25">
      <c r="A1439" s="4" t="s">
        <v>28</v>
      </c>
      <c r="B1439" s="4" t="s">
        <v>35</v>
      </c>
      <c r="C1439" s="4" t="s">
        <v>36</v>
      </c>
      <c r="D1439" s="4" t="s">
        <v>47</v>
      </c>
      <c r="E1439" s="4" t="s">
        <v>25</v>
      </c>
      <c r="F1439" s="4" t="s">
        <v>25</v>
      </c>
      <c r="G1439" s="4" t="s">
        <v>25</v>
      </c>
      <c r="H1439" s="4" t="s">
        <v>37</v>
      </c>
      <c r="I1439" s="5">
        <v>44228</v>
      </c>
      <c r="J1439" s="6">
        <v>0</v>
      </c>
      <c r="K1439" s="77">
        <v>0</v>
      </c>
      <c r="L1439" s="6">
        <v>9.6539999999999999</v>
      </c>
      <c r="M1439" s="77">
        <v>9.6539999999999999</v>
      </c>
      <c r="N1439" s="6">
        <v>9.6539999999999999</v>
      </c>
      <c r="O1439" s="77">
        <v>9.6539999999999999</v>
      </c>
      <c r="P1439" s="6">
        <v>0</v>
      </c>
      <c r="Q1439" s="4" t="s">
        <v>26</v>
      </c>
      <c r="R1439" s="4">
        <v>0</v>
      </c>
      <c r="S1439" s="6">
        <v>0</v>
      </c>
      <c r="T1439" s="6">
        <v>24</v>
      </c>
      <c r="U1439" s="6">
        <v>66</v>
      </c>
      <c r="V1439" s="77">
        <f>IF(ISERROR(VLOOKUP($S$1439,'TAR FIN'!$A$1:$O$95,15,0)),0,VLOOKUP($S$1439,'TAR FIN'!$A$1:$O$95,15,0))</f>
        <v>0</v>
      </c>
      <c r="W1439" s="77">
        <f>IF(ISERROR(VLOOKUP($T$1439,'TAR FIN'!$A$1:$O$95,15,0)),0,VLOOKUP($T$1439,'TAR FIN'!$A$1:$O$95,15,0))*(1-0.06)</f>
        <v>1348.7025999999998</v>
      </c>
      <c r="X1439" s="77">
        <f>IF(ISERROR(VLOOKUP($U$1439,'TAR FIN'!$A$1:$O$95,15,0)),0,VLOOKUP($U$1439,'TAR FIN'!$A$1:$O$95,15,0))*(1-0.06)</f>
        <v>365.92319999999995</v>
      </c>
      <c r="Y1439" s="77"/>
      <c r="Z1439" s="77">
        <f ca="1">('TUSD BE'!$AM$16+'TUSD BF'!$AM$16+'TUSD CVA'!$AM$16)*1*(1-0.04)</f>
        <v>1541.7519661664016</v>
      </c>
      <c r="AA1439" s="77">
        <f>('TE BE'!$AA$7+'TE BF'!$AA$7+'TE CVA'!$AA$7)*1*(1-0.04)</f>
        <v>436.15542521126838</v>
      </c>
      <c r="AB1439" s="6">
        <f>$K$1439*$V$1439</f>
        <v>0</v>
      </c>
      <c r="AC1439" s="6">
        <f>$M$1439*$W$1439</f>
        <v>13020.374900399998</v>
      </c>
      <c r="AD1439" s="6">
        <f>$O$1439*$X$1439</f>
        <v>3532.6225727999995</v>
      </c>
      <c r="AE1439" s="6">
        <f>$K$1439*$Y$1439</f>
        <v>0</v>
      </c>
      <c r="AF1439" s="6">
        <f ca="1">$M$1439*$Z$1439</f>
        <v>14884.073481370442</v>
      </c>
      <c r="AG1439" s="6">
        <f>$O$1439*$AA$1439</f>
        <v>4210.6444749895845</v>
      </c>
    </row>
    <row r="1440" spans="1:33" ht="11.25" customHeight="1" x14ac:dyDescent="0.25">
      <c r="A1440" s="4" t="s">
        <v>21</v>
      </c>
      <c r="B1440" s="4" t="s">
        <v>35</v>
      </c>
      <c r="C1440" s="4" t="s">
        <v>36</v>
      </c>
      <c r="D1440" s="4" t="s">
        <v>47</v>
      </c>
      <c r="E1440" s="4" t="s">
        <v>25</v>
      </c>
      <c r="F1440" s="4" t="s">
        <v>25</v>
      </c>
      <c r="G1440" s="4" t="s">
        <v>25</v>
      </c>
      <c r="H1440" s="4" t="s">
        <v>37</v>
      </c>
      <c r="I1440" s="5">
        <v>44256</v>
      </c>
      <c r="J1440" s="6">
        <v>0</v>
      </c>
      <c r="K1440" s="77">
        <v>0</v>
      </c>
      <c r="L1440" s="6">
        <v>58.384</v>
      </c>
      <c r="M1440" s="77">
        <v>58.384</v>
      </c>
      <c r="N1440" s="6">
        <v>58.384</v>
      </c>
      <c r="O1440" s="77">
        <v>58.384</v>
      </c>
      <c r="P1440" s="6">
        <v>0</v>
      </c>
      <c r="Q1440" s="4" t="s">
        <v>26</v>
      </c>
      <c r="R1440" s="4">
        <v>0</v>
      </c>
      <c r="S1440" s="6">
        <v>0</v>
      </c>
      <c r="T1440" s="6">
        <v>24</v>
      </c>
      <c r="U1440" s="6">
        <v>66</v>
      </c>
      <c r="V1440" s="77">
        <f>IF(ISERROR(VLOOKUP($S$1440,'TAR FIN'!$A$1:$O$95,15,0)),0,VLOOKUP($S$1440,'TAR FIN'!$A$1:$O$95,15,0))</f>
        <v>0</v>
      </c>
      <c r="W1440" s="77">
        <f>IF(ISERROR(VLOOKUP($T$1440,'TAR FIN'!$A$1:$O$95,15,0)),0,VLOOKUP($T$1440,'TAR FIN'!$A$1:$O$95,15,0))*(1-0.06)</f>
        <v>1348.7025999999998</v>
      </c>
      <c r="X1440" s="77">
        <f>IF(ISERROR(VLOOKUP($U$1440,'TAR FIN'!$A$1:$O$95,15,0)),0,VLOOKUP($U$1440,'TAR FIN'!$A$1:$O$95,15,0))*(1-0.06)</f>
        <v>365.92319999999995</v>
      </c>
      <c r="Y1440" s="77"/>
      <c r="Z1440" s="77">
        <f ca="1">('TUSD BE'!$AM$16+'TUSD BF'!$AM$16+'TUSD CVA'!$AM$16)*1*(1-0.04)</f>
        <v>1541.7519661664016</v>
      </c>
      <c r="AA1440" s="77">
        <f>('TE BE'!$AA$7+'TE BF'!$AA$7+'TE CVA'!$AA$7)*1*(1-0.04)</f>
        <v>436.15542521126838</v>
      </c>
      <c r="AB1440" s="6">
        <f>$K$1440*$V$1440</f>
        <v>0</v>
      </c>
      <c r="AC1440" s="6">
        <f>$M$1440*$W$1440</f>
        <v>78742.652598399989</v>
      </c>
      <c r="AD1440" s="6">
        <f>$O$1440*$X$1440</f>
        <v>21364.060108799997</v>
      </c>
      <c r="AE1440" s="6">
        <f>$K$1440*$Y$1440</f>
        <v>0</v>
      </c>
      <c r="AF1440" s="6">
        <f ca="1">$M$1440*$Z$1440</f>
        <v>90013.646792659201</v>
      </c>
      <c r="AG1440" s="6">
        <f>$O$1440*$AA$1440</f>
        <v>25464.498345534692</v>
      </c>
    </row>
    <row r="1441" spans="1:33" ht="11.25" customHeight="1" x14ac:dyDescent="0.25">
      <c r="A1441" s="4" t="s">
        <v>28</v>
      </c>
      <c r="B1441" s="4" t="s">
        <v>35</v>
      </c>
      <c r="C1441" s="4" t="s">
        <v>36</v>
      </c>
      <c r="D1441" s="4" t="s">
        <v>47</v>
      </c>
      <c r="E1441" s="4" t="s">
        <v>25</v>
      </c>
      <c r="F1441" s="4" t="s">
        <v>25</v>
      </c>
      <c r="G1441" s="4" t="s">
        <v>25</v>
      </c>
      <c r="H1441" s="4" t="s">
        <v>37</v>
      </c>
      <c r="I1441" s="5">
        <v>44256</v>
      </c>
      <c r="J1441" s="6">
        <v>0</v>
      </c>
      <c r="K1441" s="77">
        <v>0</v>
      </c>
      <c r="L1441" s="6">
        <v>9.3800000000000008</v>
      </c>
      <c r="M1441" s="77">
        <v>9.3800000000000008</v>
      </c>
      <c r="N1441" s="6">
        <v>9.3800000000000008</v>
      </c>
      <c r="O1441" s="77">
        <v>9.3800000000000008</v>
      </c>
      <c r="P1441" s="6">
        <v>0</v>
      </c>
      <c r="Q1441" s="4" t="s">
        <v>26</v>
      </c>
      <c r="R1441" s="4">
        <v>0</v>
      </c>
      <c r="S1441" s="6">
        <v>0</v>
      </c>
      <c r="T1441" s="6">
        <v>24</v>
      </c>
      <c r="U1441" s="6">
        <v>66</v>
      </c>
      <c r="V1441" s="77">
        <f>IF(ISERROR(VLOOKUP($S$1441,'TAR FIN'!$A$1:$O$95,15,0)),0,VLOOKUP($S$1441,'TAR FIN'!$A$1:$O$95,15,0))</f>
        <v>0</v>
      </c>
      <c r="W1441" s="77">
        <f>IF(ISERROR(VLOOKUP($T$1441,'TAR FIN'!$A$1:$O$95,15,0)),0,VLOOKUP($T$1441,'TAR FIN'!$A$1:$O$95,15,0))*(1-0.06)</f>
        <v>1348.7025999999998</v>
      </c>
      <c r="X1441" s="77">
        <f>IF(ISERROR(VLOOKUP($U$1441,'TAR FIN'!$A$1:$O$95,15,0)),0,VLOOKUP($U$1441,'TAR FIN'!$A$1:$O$95,15,0))*(1-0.06)</f>
        <v>365.92319999999995</v>
      </c>
      <c r="Y1441" s="77"/>
      <c r="Z1441" s="77">
        <f ca="1">('TUSD BE'!$AM$16+'TUSD BF'!$AM$16+'TUSD CVA'!$AM$16)*1*(1-0.04)</f>
        <v>1541.7519661664016</v>
      </c>
      <c r="AA1441" s="77">
        <f>('TE BE'!$AA$7+'TE BF'!$AA$7+'TE CVA'!$AA$7)*1*(1-0.04)</f>
        <v>436.15542521126838</v>
      </c>
      <c r="AB1441" s="6">
        <f>$K$1441*$V$1441</f>
        <v>0</v>
      </c>
      <c r="AC1441" s="6">
        <f>$M$1441*$W$1441</f>
        <v>12650.830388</v>
      </c>
      <c r="AD1441" s="6">
        <f>$O$1441*$X$1441</f>
        <v>3432.3596159999997</v>
      </c>
      <c r="AE1441" s="6">
        <f>$K$1441*$Y$1441</f>
        <v>0</v>
      </c>
      <c r="AF1441" s="6">
        <f ca="1">$M$1441*$Z$1441</f>
        <v>14461.633442640848</v>
      </c>
      <c r="AG1441" s="6">
        <f>$O$1441*$AA$1441</f>
        <v>4091.1378884816977</v>
      </c>
    </row>
    <row r="1442" spans="1:33" ht="11.25" customHeight="1" x14ac:dyDescent="0.25">
      <c r="A1442" s="4" t="s">
        <v>21</v>
      </c>
      <c r="B1442" s="4" t="s">
        <v>35</v>
      </c>
      <c r="C1442" s="4" t="s">
        <v>36</v>
      </c>
      <c r="D1442" s="4" t="s">
        <v>47</v>
      </c>
      <c r="E1442" s="4" t="s">
        <v>25</v>
      </c>
      <c r="F1442" s="4" t="s">
        <v>25</v>
      </c>
      <c r="G1442" s="4" t="s">
        <v>25</v>
      </c>
      <c r="H1442" s="4" t="s">
        <v>37</v>
      </c>
      <c r="I1442" s="5">
        <v>44287</v>
      </c>
      <c r="J1442" s="6">
        <v>0</v>
      </c>
      <c r="K1442" s="77">
        <v>0</v>
      </c>
      <c r="L1442" s="6">
        <v>47.512999999999998</v>
      </c>
      <c r="M1442" s="77">
        <v>47.512999999999998</v>
      </c>
      <c r="N1442" s="6">
        <v>47.512999999999998</v>
      </c>
      <c r="O1442" s="77">
        <v>47.512999999999998</v>
      </c>
      <c r="P1442" s="6">
        <v>0</v>
      </c>
      <c r="Q1442" s="4" t="s">
        <v>26</v>
      </c>
      <c r="R1442" s="4">
        <v>0</v>
      </c>
      <c r="S1442" s="6">
        <v>0</v>
      </c>
      <c r="T1442" s="6">
        <v>24</v>
      </c>
      <c r="U1442" s="6">
        <v>66</v>
      </c>
      <c r="V1442" s="77">
        <f>IF(ISERROR(VLOOKUP($S$1442,'TAR FIN'!$A$1:$O$95,15,0)),0,VLOOKUP($S$1442,'TAR FIN'!$A$1:$O$95,15,0))</f>
        <v>0</v>
      </c>
      <c r="W1442" s="77">
        <f>IF(ISERROR(VLOOKUP($T$1442,'TAR FIN'!$A$1:$O$95,15,0)),0,VLOOKUP($T$1442,'TAR FIN'!$A$1:$O$95,15,0))*(1-0.06)</f>
        <v>1348.7025999999998</v>
      </c>
      <c r="X1442" s="77">
        <f>IF(ISERROR(VLOOKUP($U$1442,'TAR FIN'!$A$1:$O$95,15,0)),0,VLOOKUP($U$1442,'TAR FIN'!$A$1:$O$95,15,0))*(1-0.06)</f>
        <v>365.92319999999995</v>
      </c>
      <c r="Y1442" s="77"/>
      <c r="Z1442" s="77">
        <f ca="1">('TUSD BE'!$AM$16+'TUSD BF'!$AM$16+'TUSD CVA'!$AM$16)*1*(1-0.04)</f>
        <v>1541.7519661664016</v>
      </c>
      <c r="AA1442" s="77">
        <f>('TE BE'!$AA$7+'TE BF'!$AA$7+'TE CVA'!$AA$7)*1*(1-0.04)</f>
        <v>436.15542521126838</v>
      </c>
      <c r="AB1442" s="6">
        <f>$K$1442*$V$1442</f>
        <v>0</v>
      </c>
      <c r="AC1442" s="6">
        <f>$M$1442*$W$1442</f>
        <v>64080.90663379999</v>
      </c>
      <c r="AD1442" s="6">
        <f>$O$1442*$X$1442</f>
        <v>17386.109001599998</v>
      </c>
      <c r="AE1442" s="6">
        <f>$K$1442*$Y$1442</f>
        <v>0</v>
      </c>
      <c r="AF1442" s="6">
        <f ca="1">$M$1442*$Z$1442</f>
        <v>73253.261168464232</v>
      </c>
      <c r="AG1442" s="6">
        <f>$O$1442*$AA$1442</f>
        <v>20723.052718062994</v>
      </c>
    </row>
    <row r="1443" spans="1:33" ht="11.25" customHeight="1" x14ac:dyDescent="0.25">
      <c r="A1443" s="4" t="s">
        <v>28</v>
      </c>
      <c r="B1443" s="4" t="s">
        <v>35</v>
      </c>
      <c r="C1443" s="4" t="s">
        <v>36</v>
      </c>
      <c r="D1443" s="4" t="s">
        <v>47</v>
      </c>
      <c r="E1443" s="4" t="s">
        <v>25</v>
      </c>
      <c r="F1443" s="4" t="s">
        <v>25</v>
      </c>
      <c r="G1443" s="4" t="s">
        <v>25</v>
      </c>
      <c r="H1443" s="4" t="s">
        <v>37</v>
      </c>
      <c r="I1443" s="5">
        <v>44287</v>
      </c>
      <c r="J1443" s="6">
        <v>0</v>
      </c>
      <c r="K1443" s="77">
        <v>0</v>
      </c>
      <c r="L1443" s="6">
        <v>9.5039999999999996</v>
      </c>
      <c r="M1443" s="77">
        <v>9.5039999999999996</v>
      </c>
      <c r="N1443" s="6">
        <v>9.5039999999999996</v>
      </c>
      <c r="O1443" s="77">
        <v>9.5039999999999996</v>
      </c>
      <c r="P1443" s="6">
        <v>0</v>
      </c>
      <c r="Q1443" s="4" t="s">
        <v>26</v>
      </c>
      <c r="R1443" s="4">
        <v>0</v>
      </c>
      <c r="S1443" s="6">
        <v>0</v>
      </c>
      <c r="T1443" s="6">
        <v>24</v>
      </c>
      <c r="U1443" s="6">
        <v>66</v>
      </c>
      <c r="V1443" s="77">
        <f>IF(ISERROR(VLOOKUP($S$1443,'TAR FIN'!$A$1:$O$95,15,0)),0,VLOOKUP($S$1443,'TAR FIN'!$A$1:$O$95,15,0))</f>
        <v>0</v>
      </c>
      <c r="W1443" s="77">
        <f>IF(ISERROR(VLOOKUP($T$1443,'TAR FIN'!$A$1:$O$95,15,0)),0,VLOOKUP($T$1443,'TAR FIN'!$A$1:$O$95,15,0))*(1-0.06)</f>
        <v>1348.7025999999998</v>
      </c>
      <c r="X1443" s="77">
        <f>IF(ISERROR(VLOOKUP($U$1443,'TAR FIN'!$A$1:$O$95,15,0)),0,VLOOKUP($U$1443,'TAR FIN'!$A$1:$O$95,15,0))*(1-0.06)</f>
        <v>365.92319999999995</v>
      </c>
      <c r="Y1443" s="77"/>
      <c r="Z1443" s="77">
        <f ca="1">('TUSD BE'!$AM$16+'TUSD BF'!$AM$16+'TUSD CVA'!$AM$16)*1*(1-0.04)</f>
        <v>1541.7519661664016</v>
      </c>
      <c r="AA1443" s="77">
        <f>('TE BE'!$AA$7+'TE BF'!$AA$7+'TE CVA'!$AA$7)*1*(1-0.04)</f>
        <v>436.15542521126838</v>
      </c>
      <c r="AB1443" s="6">
        <f>$K$1443*$V$1443</f>
        <v>0</v>
      </c>
      <c r="AC1443" s="6">
        <f>$M$1443*$W$1443</f>
        <v>12818.069510399999</v>
      </c>
      <c r="AD1443" s="6">
        <f>$O$1443*$X$1443</f>
        <v>3477.7340927999994</v>
      </c>
      <c r="AE1443" s="6">
        <f>$K$1443*$Y$1443</f>
        <v>0</v>
      </c>
      <c r="AF1443" s="6">
        <f ca="1">$M$1443*$Z$1443</f>
        <v>14652.81068644548</v>
      </c>
      <c r="AG1443" s="6">
        <f>$O$1443*$AA$1443</f>
        <v>4145.2211612078945</v>
      </c>
    </row>
    <row r="1444" spans="1:33" ht="11.25" customHeight="1" x14ac:dyDescent="0.25">
      <c r="A1444" s="4" t="s">
        <v>21</v>
      </c>
      <c r="B1444" s="4" t="s">
        <v>35</v>
      </c>
      <c r="C1444" s="4" t="s">
        <v>36</v>
      </c>
      <c r="D1444" s="4" t="s">
        <v>47</v>
      </c>
      <c r="E1444" s="4" t="s">
        <v>25</v>
      </c>
      <c r="F1444" s="4" t="s">
        <v>25</v>
      </c>
      <c r="G1444" s="4" t="s">
        <v>25</v>
      </c>
      <c r="H1444" s="4" t="s">
        <v>37</v>
      </c>
      <c r="I1444" s="5">
        <v>44317</v>
      </c>
      <c r="J1444" s="6">
        <v>0</v>
      </c>
      <c r="K1444" s="77">
        <v>0</v>
      </c>
      <c r="L1444" s="6">
        <v>47.2</v>
      </c>
      <c r="M1444" s="77">
        <v>47.2</v>
      </c>
      <c r="N1444" s="6">
        <v>47.2</v>
      </c>
      <c r="O1444" s="77">
        <v>47.2</v>
      </c>
      <c r="P1444" s="6">
        <v>0</v>
      </c>
      <c r="Q1444" s="4" t="s">
        <v>26</v>
      </c>
      <c r="R1444" s="4">
        <v>0</v>
      </c>
      <c r="S1444" s="6">
        <v>0</v>
      </c>
      <c r="T1444" s="6">
        <v>24</v>
      </c>
      <c r="U1444" s="6">
        <v>66</v>
      </c>
      <c r="V1444" s="77">
        <f>IF(ISERROR(VLOOKUP($S$1444,'TAR FIN'!$A$1:$O$95,15,0)),0,VLOOKUP($S$1444,'TAR FIN'!$A$1:$O$95,15,0))</f>
        <v>0</v>
      </c>
      <c r="W1444" s="77">
        <f>IF(ISERROR(VLOOKUP($T$1444,'TAR FIN'!$A$1:$O$95,15,0)),0,VLOOKUP($T$1444,'TAR FIN'!$A$1:$O$95,15,0))*(1-0.06)</f>
        <v>1348.7025999999998</v>
      </c>
      <c r="X1444" s="77">
        <f>IF(ISERROR(VLOOKUP($U$1444,'TAR FIN'!$A$1:$O$95,15,0)),0,VLOOKUP($U$1444,'TAR FIN'!$A$1:$O$95,15,0))*(1-0.06)</f>
        <v>365.92319999999995</v>
      </c>
      <c r="Y1444" s="77"/>
      <c r="Z1444" s="77">
        <f ca="1">('TUSD BE'!$AM$16+'TUSD BF'!$AM$16+'TUSD CVA'!$AM$16)*1*(1-0.04)</f>
        <v>1541.7519661664016</v>
      </c>
      <c r="AA1444" s="77">
        <f>('TE BE'!$AA$7+'TE BF'!$AA$7+'TE CVA'!$AA$7)*1*(1-0.04)</f>
        <v>436.15542521126838</v>
      </c>
      <c r="AB1444" s="6">
        <f>$K$1444*$V$1444</f>
        <v>0</v>
      </c>
      <c r="AC1444" s="6">
        <f>$M$1444*$W$1444</f>
        <v>63658.762719999999</v>
      </c>
      <c r="AD1444" s="6">
        <f>$O$1444*$X$1444</f>
        <v>17271.57504</v>
      </c>
      <c r="AE1444" s="6">
        <f>$K$1444*$Y$1444</f>
        <v>0</v>
      </c>
      <c r="AF1444" s="6">
        <f ca="1">$M$1444*$Z$1444</f>
        <v>72770.69280305416</v>
      </c>
      <c r="AG1444" s="6">
        <f>$O$1444*$AA$1444</f>
        <v>20586.536069971869</v>
      </c>
    </row>
    <row r="1445" spans="1:33" ht="11.25" customHeight="1" x14ac:dyDescent="0.25">
      <c r="A1445" s="4" t="s">
        <v>28</v>
      </c>
      <c r="B1445" s="4" t="s">
        <v>35</v>
      </c>
      <c r="C1445" s="4" t="s">
        <v>36</v>
      </c>
      <c r="D1445" s="4" t="s">
        <v>47</v>
      </c>
      <c r="E1445" s="4" t="s">
        <v>25</v>
      </c>
      <c r="F1445" s="4" t="s">
        <v>25</v>
      </c>
      <c r="G1445" s="4" t="s">
        <v>25</v>
      </c>
      <c r="H1445" s="4" t="s">
        <v>37</v>
      </c>
      <c r="I1445" s="5">
        <v>44317</v>
      </c>
      <c r="J1445" s="6">
        <v>0</v>
      </c>
      <c r="K1445" s="77">
        <v>0</v>
      </c>
      <c r="L1445" s="6">
        <v>9.3490000000000002</v>
      </c>
      <c r="M1445" s="77">
        <v>9.3490000000000002</v>
      </c>
      <c r="N1445" s="6">
        <v>9.3490000000000002</v>
      </c>
      <c r="O1445" s="77">
        <v>9.3490000000000002</v>
      </c>
      <c r="P1445" s="6">
        <v>0</v>
      </c>
      <c r="Q1445" s="4" t="s">
        <v>26</v>
      </c>
      <c r="R1445" s="4">
        <v>0</v>
      </c>
      <c r="S1445" s="6">
        <v>0</v>
      </c>
      <c r="T1445" s="6">
        <v>24</v>
      </c>
      <c r="U1445" s="6">
        <v>66</v>
      </c>
      <c r="V1445" s="77">
        <f>IF(ISERROR(VLOOKUP($S$1445,'TAR FIN'!$A$1:$O$95,15,0)),0,VLOOKUP($S$1445,'TAR FIN'!$A$1:$O$95,15,0))</f>
        <v>0</v>
      </c>
      <c r="W1445" s="77">
        <f>IF(ISERROR(VLOOKUP($T$1445,'TAR FIN'!$A$1:$O$95,15,0)),0,VLOOKUP($T$1445,'TAR FIN'!$A$1:$O$95,15,0))*(1-0.06)</f>
        <v>1348.7025999999998</v>
      </c>
      <c r="X1445" s="77">
        <f>IF(ISERROR(VLOOKUP($U$1445,'TAR FIN'!$A$1:$O$95,15,0)),0,VLOOKUP($U$1445,'TAR FIN'!$A$1:$O$95,15,0))*(1-0.06)</f>
        <v>365.92319999999995</v>
      </c>
      <c r="Y1445" s="77"/>
      <c r="Z1445" s="77">
        <f ca="1">('TUSD BE'!$AM$16+'TUSD BF'!$AM$16+'TUSD CVA'!$AM$16)*1*(1-0.04)</f>
        <v>1541.7519661664016</v>
      </c>
      <c r="AA1445" s="77">
        <f>('TE BE'!$AA$7+'TE BF'!$AA$7+'TE CVA'!$AA$7)*1*(1-0.04)</f>
        <v>436.15542521126838</v>
      </c>
      <c r="AB1445" s="6">
        <f>$K$1445*$V$1445</f>
        <v>0</v>
      </c>
      <c r="AC1445" s="6">
        <f>$M$1445*$W$1445</f>
        <v>12609.020607399998</v>
      </c>
      <c r="AD1445" s="6">
        <f>$O$1445*$X$1445</f>
        <v>3421.0159967999998</v>
      </c>
      <c r="AE1445" s="6">
        <f>$K$1445*$Y$1445</f>
        <v>0</v>
      </c>
      <c r="AF1445" s="6">
        <f ca="1">$M$1445*$Z$1445</f>
        <v>14413.839131689689</v>
      </c>
      <c r="AG1445" s="6">
        <f>$O$1445*$AA$1445</f>
        <v>4077.617070300148</v>
      </c>
    </row>
    <row r="1446" spans="1:33" ht="11.25" customHeight="1" x14ac:dyDescent="0.25">
      <c r="A1446" s="4" t="s">
        <v>21</v>
      </c>
      <c r="B1446" s="4" t="s">
        <v>35</v>
      </c>
      <c r="C1446" s="4" t="s">
        <v>36</v>
      </c>
      <c r="D1446" s="4" t="s">
        <v>47</v>
      </c>
      <c r="E1446" s="4" t="s">
        <v>25</v>
      </c>
      <c r="F1446" s="4" t="s">
        <v>25</v>
      </c>
      <c r="G1446" s="4" t="s">
        <v>25</v>
      </c>
      <c r="H1446" s="4" t="s">
        <v>37</v>
      </c>
      <c r="I1446" s="5">
        <v>44348</v>
      </c>
      <c r="J1446" s="6">
        <v>0</v>
      </c>
      <c r="K1446" s="77">
        <v>0</v>
      </c>
      <c r="L1446" s="6">
        <v>59.685000000000002</v>
      </c>
      <c r="M1446" s="77">
        <v>59.685000000000002</v>
      </c>
      <c r="N1446" s="6">
        <v>59.685000000000002</v>
      </c>
      <c r="O1446" s="77">
        <v>59.685000000000002</v>
      </c>
      <c r="P1446" s="6">
        <v>0</v>
      </c>
      <c r="Q1446" s="4" t="s">
        <v>26</v>
      </c>
      <c r="R1446" s="4">
        <v>0</v>
      </c>
      <c r="S1446" s="6">
        <v>0</v>
      </c>
      <c r="T1446" s="6">
        <v>24</v>
      </c>
      <c r="U1446" s="6">
        <v>66</v>
      </c>
      <c r="V1446" s="77">
        <f>IF(ISERROR(VLOOKUP($S$1446,'TAR FIN'!$A$1:$O$95,15,0)),0,VLOOKUP($S$1446,'TAR FIN'!$A$1:$O$95,15,0))</f>
        <v>0</v>
      </c>
      <c r="W1446" s="77">
        <f>IF(ISERROR(VLOOKUP($T$1446,'TAR FIN'!$A$1:$O$95,15,0)),0,VLOOKUP($T$1446,'TAR FIN'!$A$1:$O$95,15,0))*(1-0.06)</f>
        <v>1348.7025999999998</v>
      </c>
      <c r="X1446" s="77">
        <f>IF(ISERROR(VLOOKUP($U$1446,'TAR FIN'!$A$1:$O$95,15,0)),0,VLOOKUP($U$1446,'TAR FIN'!$A$1:$O$95,15,0))*(1-0.06)</f>
        <v>365.92319999999995</v>
      </c>
      <c r="Y1446" s="77"/>
      <c r="Z1446" s="77">
        <f ca="1">('TUSD BE'!$AM$16+'TUSD BF'!$AM$16+'TUSD CVA'!$AM$16)*1*(1-0.04)</f>
        <v>1541.7519661664016</v>
      </c>
      <c r="AA1446" s="77">
        <f>('TE BE'!$AA$7+'TE BF'!$AA$7+'TE CVA'!$AA$7)*1*(1-0.04)</f>
        <v>436.15542521126838</v>
      </c>
      <c r="AB1446" s="6">
        <f>$K$1446*$V$1446</f>
        <v>0</v>
      </c>
      <c r="AC1446" s="6">
        <f>$M$1446*$W$1446</f>
        <v>80497.314680999989</v>
      </c>
      <c r="AD1446" s="6">
        <f>$O$1446*$X$1446</f>
        <v>21840.126192</v>
      </c>
      <c r="AE1446" s="6">
        <f>$K$1446*$Y$1446</f>
        <v>0</v>
      </c>
      <c r="AF1446" s="6">
        <f ca="1">$M$1446*$Z$1446</f>
        <v>92019.466100641686</v>
      </c>
      <c r="AG1446" s="6">
        <f>$O$1446*$AA$1446</f>
        <v>26031.936553734555</v>
      </c>
    </row>
    <row r="1447" spans="1:33" ht="11.25" customHeight="1" x14ac:dyDescent="0.25">
      <c r="A1447" s="4" t="s">
        <v>28</v>
      </c>
      <c r="B1447" s="4" t="s">
        <v>35</v>
      </c>
      <c r="C1447" s="4" t="s">
        <v>36</v>
      </c>
      <c r="D1447" s="4" t="s">
        <v>47</v>
      </c>
      <c r="E1447" s="4" t="s">
        <v>25</v>
      </c>
      <c r="F1447" s="4" t="s">
        <v>25</v>
      </c>
      <c r="G1447" s="4" t="s">
        <v>25</v>
      </c>
      <c r="H1447" s="4" t="s">
        <v>37</v>
      </c>
      <c r="I1447" s="5">
        <v>44348</v>
      </c>
      <c r="J1447" s="6">
        <v>0</v>
      </c>
      <c r="K1447" s="77">
        <v>0</v>
      </c>
      <c r="L1447" s="6">
        <v>8.9809999999999999</v>
      </c>
      <c r="M1447" s="77">
        <v>8.9809999999999999</v>
      </c>
      <c r="N1447" s="6">
        <v>8.9809999999999999</v>
      </c>
      <c r="O1447" s="77">
        <v>8.9809999999999999</v>
      </c>
      <c r="P1447" s="6">
        <v>0</v>
      </c>
      <c r="Q1447" s="4" t="s">
        <v>26</v>
      </c>
      <c r="R1447" s="4">
        <v>0</v>
      </c>
      <c r="S1447" s="6">
        <v>0</v>
      </c>
      <c r="T1447" s="6">
        <v>24</v>
      </c>
      <c r="U1447" s="6">
        <v>66</v>
      </c>
      <c r="V1447" s="77">
        <f>IF(ISERROR(VLOOKUP($S$1447,'TAR FIN'!$A$1:$O$95,15,0)),0,VLOOKUP($S$1447,'TAR FIN'!$A$1:$O$95,15,0))</f>
        <v>0</v>
      </c>
      <c r="W1447" s="77">
        <f>IF(ISERROR(VLOOKUP($T$1447,'TAR FIN'!$A$1:$O$95,15,0)),0,VLOOKUP($T$1447,'TAR FIN'!$A$1:$O$95,15,0))*(1-0.06)</f>
        <v>1348.7025999999998</v>
      </c>
      <c r="X1447" s="77">
        <f>IF(ISERROR(VLOOKUP($U$1447,'TAR FIN'!$A$1:$O$95,15,0)),0,VLOOKUP($U$1447,'TAR FIN'!$A$1:$O$95,15,0))*(1-0.06)</f>
        <v>365.92319999999995</v>
      </c>
      <c r="Y1447" s="77"/>
      <c r="Z1447" s="77">
        <f ca="1">('TUSD BE'!$AM$16+'TUSD BF'!$AM$16+'TUSD CVA'!$AM$16)*1*(1-0.04)</f>
        <v>1541.7519661664016</v>
      </c>
      <c r="AA1447" s="77">
        <f>('TE BE'!$AA$7+'TE BF'!$AA$7+'TE CVA'!$AA$7)*1*(1-0.04)</f>
        <v>436.15542521126838</v>
      </c>
      <c r="AB1447" s="6">
        <f>$K$1447*$V$1447</f>
        <v>0</v>
      </c>
      <c r="AC1447" s="6">
        <f>$M$1447*$W$1447</f>
        <v>12112.698050599998</v>
      </c>
      <c r="AD1447" s="6">
        <f>$O$1447*$X$1447</f>
        <v>3286.3562591999994</v>
      </c>
      <c r="AE1447" s="6">
        <f>$K$1447*$Y$1447</f>
        <v>0</v>
      </c>
      <c r="AF1447" s="6">
        <f ca="1">$M$1447*$Z$1447</f>
        <v>13846.474408140453</v>
      </c>
      <c r="AG1447" s="6">
        <f>$O$1447*$AA$1447</f>
        <v>3917.1118738224013</v>
      </c>
    </row>
    <row r="1448" spans="1:33" ht="11.25" customHeight="1" x14ac:dyDescent="0.25">
      <c r="A1448" s="4" t="s">
        <v>21</v>
      </c>
      <c r="B1448" s="4" t="s">
        <v>35</v>
      </c>
      <c r="C1448" s="4" t="s">
        <v>36</v>
      </c>
      <c r="D1448" s="4" t="s">
        <v>47</v>
      </c>
      <c r="E1448" s="4" t="s">
        <v>25</v>
      </c>
      <c r="F1448" s="4" t="s">
        <v>25</v>
      </c>
      <c r="G1448" s="4" t="s">
        <v>25</v>
      </c>
      <c r="H1448" s="4" t="s">
        <v>37</v>
      </c>
      <c r="I1448" s="5">
        <v>44378</v>
      </c>
      <c r="J1448" s="6">
        <v>0</v>
      </c>
      <c r="K1448" s="77">
        <v>0</v>
      </c>
      <c r="L1448" s="6">
        <v>42.317</v>
      </c>
      <c r="M1448" s="77">
        <v>42.317</v>
      </c>
      <c r="N1448" s="6">
        <v>42.317</v>
      </c>
      <c r="O1448" s="77">
        <v>42.317</v>
      </c>
      <c r="P1448" s="6">
        <v>0</v>
      </c>
      <c r="Q1448" s="4" t="s">
        <v>26</v>
      </c>
      <c r="R1448" s="4">
        <v>0</v>
      </c>
      <c r="S1448" s="6">
        <v>0</v>
      </c>
      <c r="T1448" s="6">
        <v>24</v>
      </c>
      <c r="U1448" s="6">
        <v>66</v>
      </c>
      <c r="V1448" s="77">
        <f>IF(ISERROR(VLOOKUP($S$1448,'TAR FIN'!$A$1:$O$95,15,0)),0,VLOOKUP($S$1448,'TAR FIN'!$A$1:$O$95,15,0))</f>
        <v>0</v>
      </c>
      <c r="W1448" s="77">
        <f>IF(ISERROR(VLOOKUP($T$1448,'TAR FIN'!$A$1:$O$95,15,0)),0,VLOOKUP($T$1448,'TAR FIN'!$A$1:$O$95,15,0))*(1-0.06)</f>
        <v>1348.7025999999998</v>
      </c>
      <c r="X1448" s="77">
        <f>IF(ISERROR(VLOOKUP($U$1448,'TAR FIN'!$A$1:$O$95,15,0)),0,VLOOKUP($U$1448,'TAR FIN'!$A$1:$O$95,15,0))*(1-0.06)</f>
        <v>365.92319999999995</v>
      </c>
      <c r="Y1448" s="77"/>
      <c r="Z1448" s="77">
        <f ca="1">('TUSD BE'!$AM$16+'TUSD BF'!$AM$16+'TUSD CVA'!$AM$16)*1*(1-0.04)</f>
        <v>1541.7519661664016</v>
      </c>
      <c r="AA1448" s="77">
        <f>('TE BE'!$AA$7+'TE BF'!$AA$7+'TE CVA'!$AA$7)*1*(1-0.04)</f>
        <v>436.15542521126838</v>
      </c>
      <c r="AB1448" s="6">
        <f>$K$1448*$V$1448</f>
        <v>0</v>
      </c>
      <c r="AC1448" s="6">
        <f>$M$1448*$W$1448</f>
        <v>57073.047924199993</v>
      </c>
      <c r="AD1448" s="6">
        <f>$O$1448*$X$1448</f>
        <v>15484.772054399999</v>
      </c>
      <c r="AE1448" s="6">
        <f>$K$1448*$Y$1448</f>
        <v>0</v>
      </c>
      <c r="AF1448" s="6">
        <f ca="1">$M$1448*$Z$1448</f>
        <v>65242.31795226362</v>
      </c>
      <c r="AG1448" s="6">
        <f>$O$1448*$AA$1448</f>
        <v>18456.789128665245</v>
      </c>
    </row>
    <row r="1449" spans="1:33" ht="11.25" customHeight="1" x14ac:dyDescent="0.25">
      <c r="A1449" s="4" t="s">
        <v>28</v>
      </c>
      <c r="B1449" s="4" t="s">
        <v>35</v>
      </c>
      <c r="C1449" s="4" t="s">
        <v>36</v>
      </c>
      <c r="D1449" s="4" t="s">
        <v>47</v>
      </c>
      <c r="E1449" s="4" t="s">
        <v>25</v>
      </c>
      <c r="F1449" s="4" t="s">
        <v>25</v>
      </c>
      <c r="G1449" s="4" t="s">
        <v>25</v>
      </c>
      <c r="H1449" s="4" t="s">
        <v>37</v>
      </c>
      <c r="I1449" s="5">
        <v>44378</v>
      </c>
      <c r="J1449" s="6">
        <v>0</v>
      </c>
      <c r="K1449" s="77">
        <v>0</v>
      </c>
      <c r="L1449" s="6">
        <v>7.0359999999999996</v>
      </c>
      <c r="M1449" s="77">
        <v>7.0359999999999996</v>
      </c>
      <c r="N1449" s="6">
        <v>7.0359999999999996</v>
      </c>
      <c r="O1449" s="77">
        <v>7.0359999999999996</v>
      </c>
      <c r="P1449" s="6">
        <v>0</v>
      </c>
      <c r="Q1449" s="4" t="s">
        <v>26</v>
      </c>
      <c r="R1449" s="4">
        <v>0</v>
      </c>
      <c r="S1449" s="6">
        <v>0</v>
      </c>
      <c r="T1449" s="6">
        <v>24</v>
      </c>
      <c r="U1449" s="6">
        <v>66</v>
      </c>
      <c r="V1449" s="77">
        <f>IF(ISERROR(VLOOKUP($S$1449,'TAR FIN'!$A$1:$O$95,15,0)),0,VLOOKUP($S$1449,'TAR FIN'!$A$1:$O$95,15,0))</f>
        <v>0</v>
      </c>
      <c r="W1449" s="77">
        <f>IF(ISERROR(VLOOKUP($T$1449,'TAR FIN'!$A$1:$O$95,15,0)),0,VLOOKUP($T$1449,'TAR FIN'!$A$1:$O$95,15,0))*(1-0.06)</f>
        <v>1348.7025999999998</v>
      </c>
      <c r="X1449" s="77">
        <f>IF(ISERROR(VLOOKUP($U$1449,'TAR FIN'!$A$1:$O$95,15,0)),0,VLOOKUP($U$1449,'TAR FIN'!$A$1:$O$95,15,0))*(1-0.06)</f>
        <v>365.92319999999995</v>
      </c>
      <c r="Y1449" s="77"/>
      <c r="Z1449" s="77">
        <f ca="1">('TUSD BE'!$AM$16+'TUSD BF'!$AM$16+'TUSD CVA'!$AM$16)*1*(1-0.04)</f>
        <v>1541.7519661664016</v>
      </c>
      <c r="AA1449" s="77">
        <f>('TE BE'!$AA$7+'TE BF'!$AA$7+'TE CVA'!$AA$7)*1*(1-0.04)</f>
        <v>436.15542521126838</v>
      </c>
      <c r="AB1449" s="6">
        <f>$K$1449*$V$1449</f>
        <v>0</v>
      </c>
      <c r="AC1449" s="6">
        <f>$M$1449*$W$1449</f>
        <v>9489.4714935999982</v>
      </c>
      <c r="AD1449" s="6">
        <f>$O$1449*$X$1449</f>
        <v>2574.6356351999993</v>
      </c>
      <c r="AE1449" s="6">
        <f>$K$1449*$Y$1449</f>
        <v>0</v>
      </c>
      <c r="AF1449" s="6">
        <f ca="1">$M$1449*$Z$1449</f>
        <v>10847.766833946802</v>
      </c>
      <c r="AG1449" s="6">
        <f>$O$1449*$AA$1449</f>
        <v>3068.789571786484</v>
      </c>
    </row>
    <row r="1450" spans="1:33" ht="11.25" customHeight="1" x14ac:dyDescent="0.25">
      <c r="A1450" s="4" t="s">
        <v>30</v>
      </c>
      <c r="B1450" s="4" t="s">
        <v>35</v>
      </c>
      <c r="C1450" s="4" t="s">
        <v>36</v>
      </c>
      <c r="D1450" s="4" t="s">
        <v>47</v>
      </c>
      <c r="E1450" s="4" t="s">
        <v>25</v>
      </c>
      <c r="F1450" s="4" t="s">
        <v>25</v>
      </c>
      <c r="G1450" s="4" t="s">
        <v>25</v>
      </c>
      <c r="H1450" s="4" t="s">
        <v>37</v>
      </c>
      <c r="I1450" s="5">
        <v>44378</v>
      </c>
      <c r="J1450" s="6">
        <v>0</v>
      </c>
      <c r="K1450" s="77">
        <v>0</v>
      </c>
      <c r="L1450" s="6">
        <v>1.9950000000000001</v>
      </c>
      <c r="M1450" s="77">
        <v>1.9950000000000001</v>
      </c>
      <c r="N1450" s="6">
        <v>1.9950000000000001</v>
      </c>
      <c r="O1450" s="77">
        <v>1.9950000000000001</v>
      </c>
      <c r="P1450" s="6">
        <v>0</v>
      </c>
      <c r="Q1450" s="4" t="s">
        <v>26</v>
      </c>
      <c r="R1450" s="4">
        <v>0</v>
      </c>
      <c r="S1450" s="6">
        <v>0</v>
      </c>
      <c r="T1450" s="6">
        <v>24</v>
      </c>
      <c r="U1450" s="6">
        <v>66</v>
      </c>
      <c r="V1450" s="77">
        <f>IF(ISERROR(VLOOKUP($S$1450,'TAR FIN'!$A$1:$O$95,15,0)),0,VLOOKUP($S$1450,'TAR FIN'!$A$1:$O$95,15,0))</f>
        <v>0</v>
      </c>
      <c r="W1450" s="77">
        <f>IF(ISERROR(VLOOKUP($T$1450,'TAR FIN'!$A$1:$O$95,15,0)),0,VLOOKUP($T$1450,'TAR FIN'!$A$1:$O$95,15,0))*(1-0.06)</f>
        <v>1348.7025999999998</v>
      </c>
      <c r="X1450" s="77">
        <f>IF(ISERROR(VLOOKUP($U$1450,'TAR FIN'!$A$1:$O$95,15,0)),0,VLOOKUP($U$1450,'TAR FIN'!$A$1:$O$95,15,0))*(1-0.06)</f>
        <v>365.92319999999995</v>
      </c>
      <c r="Y1450" s="77"/>
      <c r="Z1450" s="77">
        <f ca="1">('TUSD BE'!$AM$16+'TUSD BF'!$AM$16+'TUSD CVA'!$AM$16)*1*(1-0.04)</f>
        <v>1541.7519661664016</v>
      </c>
      <c r="AA1450" s="77">
        <f>('TE BE'!$AA$7+'TE BF'!$AA$7+'TE CVA'!$AA$7)*1*(1-0.04)</f>
        <v>436.15542521126838</v>
      </c>
      <c r="AB1450" s="6">
        <f>$K$1450*$V$1450</f>
        <v>0</v>
      </c>
      <c r="AC1450" s="6">
        <f>$M$1450*$W$1450</f>
        <v>2690.6616869999998</v>
      </c>
      <c r="AD1450" s="6">
        <f>$O$1450*$X$1450</f>
        <v>730.01678399999992</v>
      </c>
      <c r="AE1450" s="6">
        <f>$K$1450*$Y$1450</f>
        <v>0</v>
      </c>
      <c r="AF1450" s="6">
        <f ca="1">$M$1450*$Z$1450</f>
        <v>3075.7951725019716</v>
      </c>
      <c r="AG1450" s="6">
        <f>$O$1450*$AA$1450</f>
        <v>870.13007329648042</v>
      </c>
    </row>
    <row r="1451" spans="1:33" ht="11.25" customHeight="1" x14ac:dyDescent="0.25">
      <c r="A1451" s="4" t="s">
        <v>21</v>
      </c>
      <c r="B1451" s="4" t="s">
        <v>35</v>
      </c>
      <c r="C1451" s="4" t="s">
        <v>36</v>
      </c>
      <c r="D1451" s="4" t="s">
        <v>47</v>
      </c>
      <c r="E1451" s="4" t="s">
        <v>25</v>
      </c>
      <c r="F1451" s="4" t="s">
        <v>25</v>
      </c>
      <c r="G1451" s="4" t="s">
        <v>25</v>
      </c>
      <c r="H1451" s="4" t="s">
        <v>37</v>
      </c>
      <c r="I1451" s="5">
        <v>44409</v>
      </c>
      <c r="J1451" s="6">
        <v>0</v>
      </c>
      <c r="K1451" s="77">
        <v>0</v>
      </c>
      <c r="L1451" s="6">
        <v>45.572000000000003</v>
      </c>
      <c r="M1451" s="77">
        <v>45.572000000000003</v>
      </c>
      <c r="N1451" s="6">
        <v>45.572000000000003</v>
      </c>
      <c r="O1451" s="77">
        <v>45.572000000000003</v>
      </c>
      <c r="P1451" s="6">
        <v>0</v>
      </c>
      <c r="Q1451" s="4" t="s">
        <v>26</v>
      </c>
      <c r="R1451" s="4">
        <v>0</v>
      </c>
      <c r="S1451" s="6">
        <v>0</v>
      </c>
      <c r="T1451" s="6">
        <v>24</v>
      </c>
      <c r="U1451" s="6">
        <v>66</v>
      </c>
      <c r="V1451" s="77">
        <f>IF(ISERROR(VLOOKUP($S$1451,'TAR FIN'!$A$1:$O$95,15,0)),0,VLOOKUP($S$1451,'TAR FIN'!$A$1:$O$95,15,0))</f>
        <v>0</v>
      </c>
      <c r="W1451" s="77">
        <f>IF(ISERROR(VLOOKUP($T$1451,'TAR FIN'!$A$1:$O$95,15,0)),0,VLOOKUP($T$1451,'TAR FIN'!$A$1:$O$95,15,0))*(1-0.06)</f>
        <v>1348.7025999999998</v>
      </c>
      <c r="X1451" s="77">
        <f>IF(ISERROR(VLOOKUP($U$1451,'TAR FIN'!$A$1:$O$95,15,0)),0,VLOOKUP($U$1451,'TAR FIN'!$A$1:$O$95,15,0))*(1-0.06)</f>
        <v>365.92319999999995</v>
      </c>
      <c r="Y1451" s="77"/>
      <c r="Z1451" s="77">
        <f ca="1">('TUSD BE'!$AM$16+'TUSD BF'!$AM$16+'TUSD CVA'!$AM$16)*1*(1-0.04)</f>
        <v>1541.7519661664016</v>
      </c>
      <c r="AA1451" s="77">
        <f>('TE BE'!$AA$7+'TE BF'!$AA$7+'TE CVA'!$AA$7)*1*(1-0.04)</f>
        <v>436.15542521126838</v>
      </c>
      <c r="AB1451" s="6">
        <f>$K$1451*$V$1451</f>
        <v>0</v>
      </c>
      <c r="AC1451" s="6">
        <f>$M$1451*$W$1451</f>
        <v>61463.074887199997</v>
      </c>
      <c r="AD1451" s="6">
        <f>$O$1451*$X$1451</f>
        <v>16675.8520704</v>
      </c>
      <c r="AE1451" s="6">
        <f>$K$1451*$Y$1451</f>
        <v>0</v>
      </c>
      <c r="AF1451" s="6">
        <f ca="1">$M$1451*$Z$1451</f>
        <v>70260.720602135261</v>
      </c>
      <c r="AG1451" s="6">
        <f>$O$1451*$AA$1451</f>
        <v>19876.475037727923</v>
      </c>
    </row>
    <row r="1452" spans="1:33" ht="11.25" customHeight="1" x14ac:dyDescent="0.25">
      <c r="A1452" s="4" t="s">
        <v>28</v>
      </c>
      <c r="B1452" s="4" t="s">
        <v>35</v>
      </c>
      <c r="C1452" s="4" t="s">
        <v>36</v>
      </c>
      <c r="D1452" s="4" t="s">
        <v>47</v>
      </c>
      <c r="E1452" s="4" t="s">
        <v>25</v>
      </c>
      <c r="F1452" s="4" t="s">
        <v>25</v>
      </c>
      <c r="G1452" s="4" t="s">
        <v>25</v>
      </c>
      <c r="H1452" s="4" t="s">
        <v>37</v>
      </c>
      <c r="I1452" s="5">
        <v>44409</v>
      </c>
      <c r="J1452" s="6">
        <v>0</v>
      </c>
      <c r="K1452" s="77">
        <v>0</v>
      </c>
      <c r="L1452" s="6">
        <v>8.2919999999999998</v>
      </c>
      <c r="M1452" s="77">
        <v>8.2919999999999998</v>
      </c>
      <c r="N1452" s="6">
        <v>8.2919999999999998</v>
      </c>
      <c r="O1452" s="77">
        <v>8.2919999999999998</v>
      </c>
      <c r="P1452" s="6">
        <v>0</v>
      </c>
      <c r="Q1452" s="4" t="s">
        <v>26</v>
      </c>
      <c r="R1452" s="4">
        <v>0</v>
      </c>
      <c r="S1452" s="6">
        <v>0</v>
      </c>
      <c r="T1452" s="6">
        <v>24</v>
      </c>
      <c r="U1452" s="6">
        <v>66</v>
      </c>
      <c r="V1452" s="77">
        <f>IF(ISERROR(VLOOKUP($S$1452,'TAR FIN'!$A$1:$O$95,15,0)),0,VLOOKUP($S$1452,'TAR FIN'!$A$1:$O$95,15,0))</f>
        <v>0</v>
      </c>
      <c r="W1452" s="77">
        <f>IF(ISERROR(VLOOKUP($T$1452,'TAR FIN'!$A$1:$O$95,15,0)),0,VLOOKUP($T$1452,'TAR FIN'!$A$1:$O$95,15,0))*(1-0.06)</f>
        <v>1348.7025999999998</v>
      </c>
      <c r="X1452" s="77">
        <f>IF(ISERROR(VLOOKUP($U$1452,'TAR FIN'!$A$1:$O$95,15,0)),0,VLOOKUP($U$1452,'TAR FIN'!$A$1:$O$95,15,0))*(1-0.06)</f>
        <v>365.92319999999995</v>
      </c>
      <c r="Y1452" s="77"/>
      <c r="Z1452" s="77">
        <f ca="1">('TUSD BE'!$AM$16+'TUSD BF'!$AM$16+'TUSD CVA'!$AM$16)*1*(1-0.04)</f>
        <v>1541.7519661664016</v>
      </c>
      <c r="AA1452" s="77">
        <f>('TE BE'!$AA$7+'TE BF'!$AA$7+'TE CVA'!$AA$7)*1*(1-0.04)</f>
        <v>436.15542521126838</v>
      </c>
      <c r="AB1452" s="6">
        <f>$K$1452*$V$1452</f>
        <v>0</v>
      </c>
      <c r="AC1452" s="6">
        <f>$M$1452*$W$1452</f>
        <v>11183.441959199998</v>
      </c>
      <c r="AD1452" s="6">
        <f>$O$1452*$X$1452</f>
        <v>3034.2351743999993</v>
      </c>
      <c r="AE1452" s="6">
        <f>$K$1452*$Y$1452</f>
        <v>0</v>
      </c>
      <c r="AF1452" s="6">
        <f ca="1">$M$1452*$Z$1452</f>
        <v>12784.207303451802</v>
      </c>
      <c r="AG1452" s="6">
        <f>$O$1452*$AA$1452</f>
        <v>3616.6007858518374</v>
      </c>
    </row>
    <row r="1453" spans="1:33" ht="11.25" customHeight="1" x14ac:dyDescent="0.25">
      <c r="A1453" s="4" t="s">
        <v>30</v>
      </c>
      <c r="B1453" s="4" t="s">
        <v>35</v>
      </c>
      <c r="C1453" s="4" t="s">
        <v>36</v>
      </c>
      <c r="D1453" s="4" t="s">
        <v>47</v>
      </c>
      <c r="E1453" s="4" t="s">
        <v>25</v>
      </c>
      <c r="F1453" s="4" t="s">
        <v>25</v>
      </c>
      <c r="G1453" s="4" t="s">
        <v>25</v>
      </c>
      <c r="H1453" s="4" t="s">
        <v>37</v>
      </c>
      <c r="I1453" s="5">
        <v>44409</v>
      </c>
      <c r="J1453" s="6">
        <v>0</v>
      </c>
      <c r="K1453" s="77">
        <v>0</v>
      </c>
      <c r="L1453" s="6">
        <v>1.304</v>
      </c>
      <c r="M1453" s="77">
        <v>1.304</v>
      </c>
      <c r="N1453" s="6">
        <v>1.304</v>
      </c>
      <c r="O1453" s="77">
        <v>1.304</v>
      </c>
      <c r="P1453" s="6">
        <v>0</v>
      </c>
      <c r="Q1453" s="4" t="s">
        <v>26</v>
      </c>
      <c r="R1453" s="4">
        <v>0</v>
      </c>
      <c r="S1453" s="6">
        <v>0</v>
      </c>
      <c r="T1453" s="6">
        <v>24</v>
      </c>
      <c r="U1453" s="6">
        <v>66</v>
      </c>
      <c r="V1453" s="77">
        <f>IF(ISERROR(VLOOKUP($S$1453,'TAR FIN'!$A$1:$O$95,15,0)),0,VLOOKUP($S$1453,'TAR FIN'!$A$1:$O$95,15,0))</f>
        <v>0</v>
      </c>
      <c r="W1453" s="77">
        <f>IF(ISERROR(VLOOKUP($T$1453,'TAR FIN'!$A$1:$O$95,15,0)),0,VLOOKUP($T$1453,'TAR FIN'!$A$1:$O$95,15,0))*(1-0.06)</f>
        <v>1348.7025999999998</v>
      </c>
      <c r="X1453" s="77">
        <f>IF(ISERROR(VLOOKUP($U$1453,'TAR FIN'!$A$1:$O$95,15,0)),0,VLOOKUP($U$1453,'TAR FIN'!$A$1:$O$95,15,0))*(1-0.06)</f>
        <v>365.92319999999995</v>
      </c>
      <c r="Y1453" s="77"/>
      <c r="Z1453" s="77">
        <f ca="1">('TUSD BE'!$AM$16+'TUSD BF'!$AM$16+'TUSD CVA'!$AM$16)*1*(1-0.04)</f>
        <v>1541.7519661664016</v>
      </c>
      <c r="AA1453" s="77">
        <f>('TE BE'!$AA$7+'TE BF'!$AA$7+'TE CVA'!$AA$7)*1*(1-0.04)</f>
        <v>436.15542521126838</v>
      </c>
      <c r="AB1453" s="6">
        <f>$K$1453*$V$1453</f>
        <v>0</v>
      </c>
      <c r="AC1453" s="6">
        <f>$M$1453*$W$1453</f>
        <v>1758.7081903999999</v>
      </c>
      <c r="AD1453" s="6">
        <f>$O$1453*$X$1453</f>
        <v>477.16385279999997</v>
      </c>
      <c r="AE1453" s="6">
        <f>$K$1453*$Y$1453</f>
        <v>0</v>
      </c>
      <c r="AF1453" s="6">
        <f ca="1">$M$1453*$Z$1453</f>
        <v>2010.4445638809877</v>
      </c>
      <c r="AG1453" s="6">
        <f>$O$1453*$AA$1453</f>
        <v>568.74667447549393</v>
      </c>
    </row>
    <row r="1454" spans="1:33" ht="11.25" customHeight="1" x14ac:dyDescent="0.25">
      <c r="A1454" s="4" t="s">
        <v>21</v>
      </c>
      <c r="B1454" s="4" t="s">
        <v>35</v>
      </c>
      <c r="C1454" s="4" t="s">
        <v>36</v>
      </c>
      <c r="D1454" s="4" t="s">
        <v>47</v>
      </c>
      <c r="E1454" s="4" t="s">
        <v>25</v>
      </c>
      <c r="F1454" s="4" t="s">
        <v>25</v>
      </c>
      <c r="G1454" s="4" t="s">
        <v>25</v>
      </c>
      <c r="H1454" s="4" t="s">
        <v>37</v>
      </c>
      <c r="I1454" s="5">
        <v>44440</v>
      </c>
      <c r="J1454" s="6">
        <v>0</v>
      </c>
      <c r="K1454" s="77">
        <v>0</v>
      </c>
      <c r="L1454" s="6">
        <v>43.832999999999998</v>
      </c>
      <c r="M1454" s="77">
        <v>43.832999999999998</v>
      </c>
      <c r="N1454" s="6">
        <v>43.832999999999998</v>
      </c>
      <c r="O1454" s="77">
        <v>43.832999999999998</v>
      </c>
      <c r="P1454" s="6">
        <v>0</v>
      </c>
      <c r="Q1454" s="4" t="s">
        <v>26</v>
      </c>
      <c r="R1454" s="4">
        <v>0</v>
      </c>
      <c r="S1454" s="6">
        <v>0</v>
      </c>
      <c r="T1454" s="6">
        <v>24</v>
      </c>
      <c r="U1454" s="6">
        <v>66</v>
      </c>
      <c r="V1454" s="77">
        <f>IF(ISERROR(VLOOKUP($S$1454,'TAR FIN'!$A$1:$O$95,15,0)),0,VLOOKUP($S$1454,'TAR FIN'!$A$1:$O$95,15,0))</f>
        <v>0</v>
      </c>
      <c r="W1454" s="77">
        <f>IF(ISERROR(VLOOKUP($T$1454,'TAR FIN'!$A$1:$O$95,15,0)),0,VLOOKUP($T$1454,'TAR FIN'!$A$1:$O$95,15,0))*(1-0.06)</f>
        <v>1348.7025999999998</v>
      </c>
      <c r="X1454" s="77">
        <f>IF(ISERROR(VLOOKUP($U$1454,'TAR FIN'!$A$1:$O$95,15,0)),0,VLOOKUP($U$1454,'TAR FIN'!$A$1:$O$95,15,0))*(1-0.06)</f>
        <v>365.92319999999995</v>
      </c>
      <c r="Y1454" s="77"/>
      <c r="Z1454" s="77">
        <f ca="1">('TUSD BE'!$AM$16+'TUSD BF'!$AM$16+'TUSD CVA'!$AM$16)*1*(1-0.04)</f>
        <v>1541.7519661664016</v>
      </c>
      <c r="AA1454" s="77">
        <f>('TE BE'!$AA$7+'TE BF'!$AA$7+'TE CVA'!$AA$7)*1*(1-0.04)</f>
        <v>436.15542521126838</v>
      </c>
      <c r="AB1454" s="6">
        <f>$K$1454*$V$1454</f>
        <v>0</v>
      </c>
      <c r="AC1454" s="6">
        <f>$M$1454*$W$1454</f>
        <v>59117.681065799989</v>
      </c>
      <c r="AD1454" s="6">
        <f>$O$1454*$X$1454</f>
        <v>16039.511625599996</v>
      </c>
      <c r="AE1454" s="6">
        <f>$K$1454*$Y$1454</f>
        <v>0</v>
      </c>
      <c r="AF1454" s="6">
        <f ca="1">$M$1454*$Z$1454</f>
        <v>67579.613932971886</v>
      </c>
      <c r="AG1454" s="6">
        <f>$O$1454*$AA$1454</f>
        <v>19118.000753285527</v>
      </c>
    </row>
    <row r="1455" spans="1:33" ht="11.25" customHeight="1" x14ac:dyDescent="0.25">
      <c r="A1455" s="4" t="s">
        <v>28</v>
      </c>
      <c r="B1455" s="4" t="s">
        <v>35</v>
      </c>
      <c r="C1455" s="4" t="s">
        <v>36</v>
      </c>
      <c r="D1455" s="4" t="s">
        <v>47</v>
      </c>
      <c r="E1455" s="4" t="s">
        <v>25</v>
      </c>
      <c r="F1455" s="4" t="s">
        <v>25</v>
      </c>
      <c r="G1455" s="4" t="s">
        <v>25</v>
      </c>
      <c r="H1455" s="4" t="s">
        <v>37</v>
      </c>
      <c r="I1455" s="5">
        <v>44440</v>
      </c>
      <c r="J1455" s="6">
        <v>0</v>
      </c>
      <c r="K1455" s="77">
        <v>0</v>
      </c>
      <c r="L1455" s="6">
        <v>13.313000000000001</v>
      </c>
      <c r="M1455" s="77">
        <v>13.313000000000001</v>
      </c>
      <c r="N1455" s="6">
        <v>13.313000000000001</v>
      </c>
      <c r="O1455" s="77">
        <v>13.313000000000001</v>
      </c>
      <c r="P1455" s="6">
        <v>0</v>
      </c>
      <c r="Q1455" s="4" t="s">
        <v>26</v>
      </c>
      <c r="R1455" s="4">
        <v>0</v>
      </c>
      <c r="S1455" s="6">
        <v>0</v>
      </c>
      <c r="T1455" s="6">
        <v>24</v>
      </c>
      <c r="U1455" s="6">
        <v>66</v>
      </c>
      <c r="V1455" s="77">
        <f>IF(ISERROR(VLOOKUP($S$1455,'TAR FIN'!$A$1:$O$95,15,0)),0,VLOOKUP($S$1455,'TAR FIN'!$A$1:$O$95,15,0))</f>
        <v>0</v>
      </c>
      <c r="W1455" s="77">
        <f>IF(ISERROR(VLOOKUP($T$1455,'TAR FIN'!$A$1:$O$95,15,0)),0,VLOOKUP($T$1455,'TAR FIN'!$A$1:$O$95,15,0))*(1-0.06)</f>
        <v>1348.7025999999998</v>
      </c>
      <c r="X1455" s="77">
        <f>IF(ISERROR(VLOOKUP($U$1455,'TAR FIN'!$A$1:$O$95,15,0)),0,VLOOKUP($U$1455,'TAR FIN'!$A$1:$O$95,15,0))*(1-0.06)</f>
        <v>365.92319999999995</v>
      </c>
      <c r="Y1455" s="77"/>
      <c r="Z1455" s="77">
        <f ca="1">('TUSD BE'!$AM$16+'TUSD BF'!$AM$16+'TUSD CVA'!$AM$16)*1*(1-0.04)</f>
        <v>1541.7519661664016</v>
      </c>
      <c r="AA1455" s="77">
        <f>('TE BE'!$AA$7+'TE BF'!$AA$7+'TE CVA'!$AA$7)*1*(1-0.04)</f>
        <v>436.15542521126838</v>
      </c>
      <c r="AB1455" s="6">
        <f>$K$1455*$V$1455</f>
        <v>0</v>
      </c>
      <c r="AC1455" s="6">
        <f>$M$1455*$W$1455</f>
        <v>17955.277713799998</v>
      </c>
      <c r="AD1455" s="6">
        <f>$O$1455*$X$1455</f>
        <v>4871.5355615999997</v>
      </c>
      <c r="AE1455" s="6">
        <f>$K$1455*$Y$1455</f>
        <v>0</v>
      </c>
      <c r="AF1455" s="6">
        <f ca="1">$M$1455*$Z$1455</f>
        <v>20525.343925573306</v>
      </c>
      <c r="AG1455" s="6">
        <f>$O$1455*$AA$1455</f>
        <v>5806.5371758376159</v>
      </c>
    </row>
    <row r="1456" spans="1:33" ht="11.25" customHeight="1" x14ac:dyDescent="0.25">
      <c r="A1456" s="4" t="s">
        <v>30</v>
      </c>
      <c r="B1456" s="4" t="s">
        <v>35</v>
      </c>
      <c r="C1456" s="4" t="s">
        <v>36</v>
      </c>
      <c r="D1456" s="4" t="s">
        <v>47</v>
      </c>
      <c r="E1456" s="4" t="s">
        <v>25</v>
      </c>
      <c r="F1456" s="4" t="s">
        <v>25</v>
      </c>
      <c r="G1456" s="4" t="s">
        <v>25</v>
      </c>
      <c r="H1456" s="4" t="s">
        <v>37</v>
      </c>
      <c r="I1456" s="5">
        <v>44440</v>
      </c>
      <c r="J1456" s="6">
        <v>0</v>
      </c>
      <c r="K1456" s="77">
        <v>0</v>
      </c>
      <c r="L1456" s="6">
        <v>3.5640000000000001</v>
      </c>
      <c r="M1456" s="77">
        <v>3.5640000000000001</v>
      </c>
      <c r="N1456" s="6">
        <v>3.5640000000000001</v>
      </c>
      <c r="O1456" s="77">
        <v>3.5640000000000001</v>
      </c>
      <c r="P1456" s="6">
        <v>0</v>
      </c>
      <c r="Q1456" s="4" t="s">
        <v>26</v>
      </c>
      <c r="R1456" s="4">
        <v>0</v>
      </c>
      <c r="S1456" s="6">
        <v>0</v>
      </c>
      <c r="T1456" s="6">
        <v>24</v>
      </c>
      <c r="U1456" s="6">
        <v>66</v>
      </c>
      <c r="V1456" s="77">
        <f>IF(ISERROR(VLOOKUP($S$1456,'TAR FIN'!$A$1:$O$95,15,0)),0,VLOOKUP($S$1456,'TAR FIN'!$A$1:$O$95,15,0))</f>
        <v>0</v>
      </c>
      <c r="W1456" s="77">
        <f>IF(ISERROR(VLOOKUP($T$1456,'TAR FIN'!$A$1:$O$95,15,0)),0,VLOOKUP($T$1456,'TAR FIN'!$A$1:$O$95,15,0))*(1-0.06)</f>
        <v>1348.7025999999998</v>
      </c>
      <c r="X1456" s="77">
        <f>IF(ISERROR(VLOOKUP($U$1456,'TAR FIN'!$A$1:$O$95,15,0)),0,VLOOKUP($U$1456,'TAR FIN'!$A$1:$O$95,15,0))*(1-0.06)</f>
        <v>365.92319999999995</v>
      </c>
      <c r="Y1456" s="77"/>
      <c r="Z1456" s="77">
        <f ca="1">('TUSD BE'!$AM$16+'TUSD BF'!$AM$16+'TUSD CVA'!$AM$16)*1*(1-0.04)</f>
        <v>1541.7519661664016</v>
      </c>
      <c r="AA1456" s="77">
        <f>('TE BE'!$AA$7+'TE BF'!$AA$7+'TE CVA'!$AA$7)*1*(1-0.04)</f>
        <v>436.15542521126838</v>
      </c>
      <c r="AB1456" s="6">
        <f>$K$1456*$V$1456</f>
        <v>0</v>
      </c>
      <c r="AC1456" s="6">
        <f>$M$1456*$W$1456</f>
        <v>4806.7760663999998</v>
      </c>
      <c r="AD1456" s="6">
        <f>$O$1456*$X$1456</f>
        <v>1304.1502847999998</v>
      </c>
      <c r="AE1456" s="6">
        <f>$K$1456*$Y$1456</f>
        <v>0</v>
      </c>
      <c r="AF1456" s="6">
        <f ca="1">$M$1456*$Z$1456</f>
        <v>5494.8040074170558</v>
      </c>
      <c r="AG1456" s="6">
        <f>$O$1456*$AA$1456</f>
        <v>1554.4579354529606</v>
      </c>
    </row>
    <row r="1457" spans="1:33" ht="11.25" customHeight="1" x14ac:dyDescent="0.25">
      <c r="A1457" s="4" t="s">
        <v>59</v>
      </c>
      <c r="B1457" s="4" t="s">
        <v>35</v>
      </c>
      <c r="C1457" s="4" t="s">
        <v>36</v>
      </c>
      <c r="D1457" s="4" t="s">
        <v>47</v>
      </c>
      <c r="E1457" s="4" t="s">
        <v>25</v>
      </c>
      <c r="F1457" s="4" t="s">
        <v>25</v>
      </c>
      <c r="G1457" s="4" t="s">
        <v>25</v>
      </c>
      <c r="H1457" s="4" t="s">
        <v>37</v>
      </c>
      <c r="I1457" s="5">
        <v>44470</v>
      </c>
      <c r="J1457" s="6">
        <v>0</v>
      </c>
      <c r="K1457" s="77">
        <v>0</v>
      </c>
      <c r="L1457" s="6">
        <v>43.832999999999998</v>
      </c>
      <c r="M1457" s="77">
        <v>43.832999999999998</v>
      </c>
      <c r="N1457" s="6">
        <v>43.832999999999998</v>
      </c>
      <c r="O1457" s="77">
        <v>43.832999999999998</v>
      </c>
      <c r="P1457" s="6">
        <v>0</v>
      </c>
      <c r="Q1457" s="4" t="s">
        <v>26</v>
      </c>
      <c r="R1457" s="4">
        <v>0</v>
      </c>
      <c r="S1457" s="6">
        <v>0</v>
      </c>
      <c r="T1457" s="6">
        <v>24</v>
      </c>
      <c r="U1457" s="6">
        <v>66</v>
      </c>
      <c r="V1457" s="77">
        <f>IF(ISERROR(VLOOKUP($S$1457,'TAR FIN'!$A$1:$O$95,15,0)),0,VLOOKUP($S$1457,'TAR FIN'!$A$1:$O$95,15,0))</f>
        <v>0</v>
      </c>
      <c r="W1457" s="77">
        <f>IF(ISERROR(VLOOKUP($T$1457,'TAR FIN'!$A$1:$O$95,15,0)),0,VLOOKUP($T$1457,'TAR FIN'!$A$1:$O$95,15,0))*(1-0.06)</f>
        <v>1348.7025999999998</v>
      </c>
      <c r="X1457" s="77">
        <f>IF(ISERROR(VLOOKUP($U$1457,'TAR FIN'!$A$1:$O$95,15,0)),0,VLOOKUP($U$1457,'TAR FIN'!$A$1:$O$95,15,0))*(1-0.06)</f>
        <v>365.92319999999995</v>
      </c>
      <c r="Y1457" s="77"/>
      <c r="Z1457" s="77">
        <f ca="1">('TUSD BE'!$AM$16+'TUSD BF'!$AM$16+'TUSD CVA'!$AM$16)*1*(1-0.04)</f>
        <v>1541.7519661664016</v>
      </c>
      <c r="AA1457" s="77">
        <f>('TE BE'!$AA$7+'TE BF'!$AA$7+'TE CVA'!$AA$7)*1*(1-0.04)</f>
        <v>436.15542521126838</v>
      </c>
      <c r="AB1457" s="6">
        <f>$K$1457*$V$1457</f>
        <v>0</v>
      </c>
      <c r="AC1457" s="6">
        <f>$M$1457*$W$1457</f>
        <v>59117.681065799989</v>
      </c>
      <c r="AD1457" s="6">
        <f>$O$1457*$X$1457</f>
        <v>16039.511625599996</v>
      </c>
      <c r="AE1457" s="6">
        <f>$K$1457*$Y$1457</f>
        <v>0</v>
      </c>
      <c r="AF1457" s="6">
        <f ca="1">$M$1457*$Z$1457</f>
        <v>67579.613932971886</v>
      </c>
      <c r="AG1457" s="6">
        <f>$O$1457*$AA$1457</f>
        <v>19118.000753285527</v>
      </c>
    </row>
    <row r="1458" spans="1:33" ht="11.25" customHeight="1" x14ac:dyDescent="0.25">
      <c r="A1458" s="4" t="s">
        <v>59</v>
      </c>
      <c r="B1458" s="4" t="s">
        <v>35</v>
      </c>
      <c r="C1458" s="4" t="s">
        <v>36</v>
      </c>
      <c r="D1458" s="4" t="s">
        <v>47</v>
      </c>
      <c r="E1458" s="4" t="s">
        <v>25</v>
      </c>
      <c r="F1458" s="4" t="s">
        <v>25</v>
      </c>
      <c r="G1458" s="4" t="s">
        <v>25</v>
      </c>
      <c r="H1458" s="4" t="s">
        <v>37</v>
      </c>
      <c r="I1458" s="5">
        <v>44470</v>
      </c>
      <c r="J1458" s="6">
        <v>0</v>
      </c>
      <c r="K1458" s="77">
        <v>0</v>
      </c>
      <c r="L1458" s="6">
        <v>13.313000000000001</v>
      </c>
      <c r="M1458" s="77">
        <v>13.313000000000001</v>
      </c>
      <c r="N1458" s="6">
        <v>13.313000000000001</v>
      </c>
      <c r="O1458" s="77">
        <v>13.313000000000001</v>
      </c>
      <c r="P1458" s="6">
        <v>0</v>
      </c>
      <c r="Q1458" s="4" t="s">
        <v>26</v>
      </c>
      <c r="R1458" s="4">
        <v>0</v>
      </c>
      <c r="S1458" s="6">
        <v>0</v>
      </c>
      <c r="T1458" s="6">
        <v>24</v>
      </c>
      <c r="U1458" s="6">
        <v>66</v>
      </c>
      <c r="V1458" s="77">
        <f>IF(ISERROR(VLOOKUP($S$1458,'TAR FIN'!$A$1:$O$95,15,0)),0,VLOOKUP($S$1458,'TAR FIN'!$A$1:$O$95,15,0))</f>
        <v>0</v>
      </c>
      <c r="W1458" s="77">
        <f>IF(ISERROR(VLOOKUP($T$1458,'TAR FIN'!$A$1:$O$95,15,0)),0,VLOOKUP($T$1458,'TAR FIN'!$A$1:$O$95,15,0))*(1-0.06)</f>
        <v>1348.7025999999998</v>
      </c>
      <c r="X1458" s="77">
        <f>IF(ISERROR(VLOOKUP($U$1458,'TAR FIN'!$A$1:$O$95,15,0)),0,VLOOKUP($U$1458,'TAR FIN'!$A$1:$O$95,15,0))*(1-0.06)</f>
        <v>365.92319999999995</v>
      </c>
      <c r="Y1458" s="77"/>
      <c r="Z1458" s="77">
        <f ca="1">('TUSD BE'!$AM$16+'TUSD BF'!$AM$16+'TUSD CVA'!$AM$16)*1*(1-0.04)</f>
        <v>1541.7519661664016</v>
      </c>
      <c r="AA1458" s="77">
        <f>('TE BE'!$AA$7+'TE BF'!$AA$7+'TE CVA'!$AA$7)*1*(1-0.04)</f>
        <v>436.15542521126838</v>
      </c>
      <c r="AB1458" s="6">
        <f>$K$1458*$V$1458</f>
        <v>0</v>
      </c>
      <c r="AC1458" s="6">
        <f>$M$1458*$W$1458</f>
        <v>17955.277713799998</v>
      </c>
      <c r="AD1458" s="6">
        <f>$O$1458*$X$1458</f>
        <v>4871.5355615999997</v>
      </c>
      <c r="AE1458" s="6">
        <f>$K$1458*$Y$1458</f>
        <v>0</v>
      </c>
      <c r="AF1458" s="6">
        <f ca="1">$M$1458*$Z$1458</f>
        <v>20525.343925573306</v>
      </c>
      <c r="AG1458" s="6">
        <f>$O$1458*$AA$1458</f>
        <v>5806.5371758376159</v>
      </c>
    </row>
    <row r="1459" spans="1:33" ht="11.25" customHeight="1" x14ac:dyDescent="0.25">
      <c r="A1459" s="4" t="s">
        <v>59</v>
      </c>
      <c r="B1459" s="4" t="s">
        <v>35</v>
      </c>
      <c r="C1459" s="4" t="s">
        <v>36</v>
      </c>
      <c r="D1459" s="4" t="s">
        <v>47</v>
      </c>
      <c r="E1459" s="4" t="s">
        <v>25</v>
      </c>
      <c r="F1459" s="4" t="s">
        <v>25</v>
      </c>
      <c r="G1459" s="4" t="s">
        <v>25</v>
      </c>
      <c r="H1459" s="4" t="s">
        <v>37</v>
      </c>
      <c r="I1459" s="5">
        <v>44470</v>
      </c>
      <c r="J1459" s="6">
        <v>0</v>
      </c>
      <c r="K1459" s="77">
        <v>0</v>
      </c>
      <c r="L1459" s="6">
        <v>3.5640000000000001</v>
      </c>
      <c r="M1459" s="77">
        <v>3.5640000000000001</v>
      </c>
      <c r="N1459" s="6">
        <v>3.5640000000000001</v>
      </c>
      <c r="O1459" s="77">
        <v>3.5640000000000001</v>
      </c>
      <c r="P1459" s="6">
        <v>0</v>
      </c>
      <c r="Q1459" s="4" t="s">
        <v>26</v>
      </c>
      <c r="R1459" s="4">
        <v>0</v>
      </c>
      <c r="S1459" s="6">
        <v>0</v>
      </c>
      <c r="T1459" s="6">
        <v>24</v>
      </c>
      <c r="U1459" s="6">
        <v>66</v>
      </c>
      <c r="V1459" s="77">
        <f>IF(ISERROR(VLOOKUP($S$1459,'TAR FIN'!$A$1:$O$95,15,0)),0,VLOOKUP($S$1459,'TAR FIN'!$A$1:$O$95,15,0))</f>
        <v>0</v>
      </c>
      <c r="W1459" s="77">
        <f>IF(ISERROR(VLOOKUP($T$1459,'TAR FIN'!$A$1:$O$95,15,0)),0,VLOOKUP($T$1459,'TAR FIN'!$A$1:$O$95,15,0))*(1-0.06)</f>
        <v>1348.7025999999998</v>
      </c>
      <c r="X1459" s="77">
        <f>IF(ISERROR(VLOOKUP($U$1459,'TAR FIN'!$A$1:$O$95,15,0)),0,VLOOKUP($U$1459,'TAR FIN'!$A$1:$O$95,15,0))*(1-0.06)</f>
        <v>365.92319999999995</v>
      </c>
      <c r="Y1459" s="77"/>
      <c r="Z1459" s="77">
        <f ca="1">('TUSD BE'!$AM$16+'TUSD BF'!$AM$16+'TUSD CVA'!$AM$16)*1*(1-0.04)</f>
        <v>1541.7519661664016</v>
      </c>
      <c r="AA1459" s="77">
        <f>('TE BE'!$AA$7+'TE BF'!$AA$7+'TE CVA'!$AA$7)*1*(1-0.04)</f>
        <v>436.15542521126838</v>
      </c>
      <c r="AB1459" s="6">
        <f>$K$1459*$V$1459</f>
        <v>0</v>
      </c>
      <c r="AC1459" s="6">
        <f>$M$1459*$W$1459</f>
        <v>4806.7760663999998</v>
      </c>
      <c r="AD1459" s="6">
        <f>$O$1459*$X$1459</f>
        <v>1304.1502847999998</v>
      </c>
      <c r="AE1459" s="6">
        <f>$K$1459*$Y$1459</f>
        <v>0</v>
      </c>
      <c r="AF1459" s="6">
        <f ca="1">$M$1459*$Z$1459</f>
        <v>5494.8040074170558</v>
      </c>
      <c r="AG1459" s="6">
        <f>$O$1459*$AA$1459</f>
        <v>1554.4579354529606</v>
      </c>
    </row>
    <row r="1460" spans="1:33" ht="11.25" customHeight="1" x14ac:dyDescent="0.25">
      <c r="A1460" s="4" t="s">
        <v>21</v>
      </c>
      <c r="B1460" s="4" t="s">
        <v>35</v>
      </c>
      <c r="C1460" s="4" t="s">
        <v>36</v>
      </c>
      <c r="D1460" s="4" t="s">
        <v>52</v>
      </c>
      <c r="E1460" s="4" t="s">
        <v>53</v>
      </c>
      <c r="F1460" s="4" t="s">
        <v>25</v>
      </c>
      <c r="G1460" s="4" t="s">
        <v>25</v>
      </c>
      <c r="H1460" s="4" t="s">
        <v>38</v>
      </c>
      <c r="I1460" s="5">
        <v>44136</v>
      </c>
      <c r="J1460" s="6">
        <v>0</v>
      </c>
      <c r="K1460" s="77">
        <v>0</v>
      </c>
      <c r="L1460" s="6">
        <v>1303.7059999999999</v>
      </c>
      <c r="M1460" s="77">
        <v>1303.7059999999999</v>
      </c>
      <c r="N1460" s="6">
        <v>1303.7059999999999</v>
      </c>
      <c r="O1460" s="77">
        <v>1303.7059999999999</v>
      </c>
      <c r="P1460" s="6">
        <v>0</v>
      </c>
      <c r="Q1460" s="4" t="s">
        <v>26</v>
      </c>
      <c r="R1460" s="4">
        <v>0</v>
      </c>
      <c r="S1460" s="6">
        <v>0</v>
      </c>
      <c r="T1460" s="6">
        <v>19</v>
      </c>
      <c r="U1460" s="6">
        <v>67</v>
      </c>
      <c r="V1460" s="77">
        <f>IF(ISERROR(VLOOKUP($S$1460,'TAR FIN'!$A$1:$O$95,15,0)),0,VLOOKUP($S$1460,'TAR FIN'!$A$1:$O$95,15,0))</f>
        <v>0</v>
      </c>
      <c r="W1460" s="77">
        <f>IF(ISERROR(VLOOKUP($T$1460,'TAR FIN'!$A$1:$O$95,15,0)),0,VLOOKUP($T$1460,'TAR FIN'!$A$1:$O$95,15,0))*(1-0.09)</f>
        <v>136.16329999999999</v>
      </c>
      <c r="X1460" s="77">
        <f>IF(ISERROR(VLOOKUP($U$1460,'TAR FIN'!$A$1:$O$95,15,0)),0,VLOOKUP($U$1460,'TAR FIN'!$A$1:$O$95,15,0))*(1-0.09)</f>
        <v>209.32730000000001</v>
      </c>
      <c r="Y1460" s="77"/>
      <c r="Z1460" s="77">
        <f ca="1">('TUSD BE'!$AM$17+'TUSD BF'!$AM$17+'TUSD CVA'!$AM$17)*1*(1-0.06)</f>
        <v>158.4025784496171</v>
      </c>
      <c r="AA1460" s="77">
        <f>('TE BE'!$AA$8+'TE BF'!$AA$8+'TE CVA'!$AA$8)*1*(1-0.06)</f>
        <v>265.94235573400078</v>
      </c>
      <c r="AB1460" s="6">
        <f>$K$1460*$V$1460</f>
        <v>0</v>
      </c>
      <c r="AC1460" s="6">
        <f>$M$1460*$W$1460</f>
        <v>177516.91118979998</v>
      </c>
      <c r="AD1460" s="6">
        <f>$O$1460*$X$1460</f>
        <v>272901.25697380002</v>
      </c>
      <c r="AE1460" s="6">
        <f>$K$1460*$Y$1460</f>
        <v>0</v>
      </c>
      <c r="AF1460" s="6">
        <f ca="1">$M$1460*$Z$1460</f>
        <v>206510.3919402365</v>
      </c>
      <c r="AG1460" s="6">
        <f>$O$1460*$AA$1460</f>
        <v>346710.64482455119</v>
      </c>
    </row>
    <row r="1461" spans="1:33" ht="11.25" customHeight="1" x14ac:dyDescent="0.25">
      <c r="A1461" s="4" t="s">
        <v>28</v>
      </c>
      <c r="B1461" s="4" t="s">
        <v>35</v>
      </c>
      <c r="C1461" s="4" t="s">
        <v>36</v>
      </c>
      <c r="D1461" s="4" t="s">
        <v>52</v>
      </c>
      <c r="E1461" s="4" t="s">
        <v>53</v>
      </c>
      <c r="F1461" s="4" t="s">
        <v>25</v>
      </c>
      <c r="G1461" s="4" t="s">
        <v>25</v>
      </c>
      <c r="H1461" s="4" t="s">
        <v>38</v>
      </c>
      <c r="I1461" s="5">
        <v>44136</v>
      </c>
      <c r="J1461" s="6">
        <v>0</v>
      </c>
      <c r="K1461" s="77">
        <v>0</v>
      </c>
      <c r="L1461" s="6">
        <v>526.71500000000003</v>
      </c>
      <c r="M1461" s="77">
        <v>526.71500000000003</v>
      </c>
      <c r="N1461" s="6">
        <v>526.71500000000003</v>
      </c>
      <c r="O1461" s="77">
        <v>526.71500000000003</v>
      </c>
      <c r="P1461" s="6">
        <v>0</v>
      </c>
      <c r="Q1461" s="4" t="s">
        <v>26</v>
      </c>
      <c r="R1461" s="4">
        <v>0</v>
      </c>
      <c r="S1461" s="6">
        <v>0</v>
      </c>
      <c r="T1461" s="6">
        <v>19</v>
      </c>
      <c r="U1461" s="6">
        <v>67</v>
      </c>
      <c r="V1461" s="77">
        <f>IF(ISERROR(VLOOKUP($S$1461,'TAR FIN'!$A$1:$O$95,15,0)),0,VLOOKUP($S$1461,'TAR FIN'!$A$1:$O$95,15,0))</f>
        <v>0</v>
      </c>
      <c r="W1461" s="77">
        <f>IF(ISERROR(VLOOKUP($T$1461,'TAR FIN'!$A$1:$O$95,15,0)),0,VLOOKUP($T$1461,'TAR FIN'!$A$1:$O$95,15,0))*(1-0.09)</f>
        <v>136.16329999999999</v>
      </c>
      <c r="X1461" s="77">
        <f>IF(ISERROR(VLOOKUP($U$1461,'TAR FIN'!$A$1:$O$95,15,0)),0,VLOOKUP($U$1461,'TAR FIN'!$A$1:$O$95,15,0))*(1-0.09)</f>
        <v>209.32730000000001</v>
      </c>
      <c r="Y1461" s="77"/>
      <c r="Z1461" s="77">
        <f ca="1">('TUSD BE'!$AM$17+'TUSD BF'!$AM$17+'TUSD CVA'!$AM$17)*1*(1-0.06)</f>
        <v>158.4025784496171</v>
      </c>
      <c r="AA1461" s="77">
        <f>('TE BE'!$AA$8+'TE BF'!$AA$8+'TE CVA'!$AA$8)*1*(1-0.06)</f>
        <v>265.94235573400078</v>
      </c>
      <c r="AB1461" s="6">
        <f>$K$1461*$V$1461</f>
        <v>0</v>
      </c>
      <c r="AC1461" s="6">
        <f>$M$1461*$W$1461</f>
        <v>71719.252559500004</v>
      </c>
      <c r="AD1461" s="6">
        <f>$O$1461*$X$1461</f>
        <v>110255.82881950001</v>
      </c>
      <c r="AE1461" s="6">
        <f>$K$1461*$Y$1461</f>
        <v>0</v>
      </c>
      <c r="AF1461" s="6">
        <f ca="1">$M$1461*$Z$1461</f>
        <v>83433.014108090079</v>
      </c>
      <c r="AG1461" s="6">
        <f>$O$1461*$AA$1461</f>
        <v>140075.82790043423</v>
      </c>
    </row>
    <row r="1462" spans="1:33" ht="11.25" customHeight="1" x14ac:dyDescent="0.25">
      <c r="A1462" s="4" t="s">
        <v>21</v>
      </c>
      <c r="B1462" s="4" t="s">
        <v>35</v>
      </c>
      <c r="C1462" s="4" t="s">
        <v>36</v>
      </c>
      <c r="D1462" s="4" t="s">
        <v>52</v>
      </c>
      <c r="E1462" s="4" t="s">
        <v>53</v>
      </c>
      <c r="F1462" s="4" t="s">
        <v>25</v>
      </c>
      <c r="G1462" s="4" t="s">
        <v>25</v>
      </c>
      <c r="H1462" s="4" t="s">
        <v>38</v>
      </c>
      <c r="I1462" s="5">
        <v>44166</v>
      </c>
      <c r="J1462" s="6">
        <v>0</v>
      </c>
      <c r="K1462" s="77">
        <v>0</v>
      </c>
      <c r="L1462" s="6">
        <v>1315.575</v>
      </c>
      <c r="M1462" s="77">
        <v>1315.575</v>
      </c>
      <c r="N1462" s="6">
        <v>1315.575</v>
      </c>
      <c r="O1462" s="77">
        <v>1315.575</v>
      </c>
      <c r="P1462" s="6">
        <v>0</v>
      </c>
      <c r="Q1462" s="4" t="s">
        <v>26</v>
      </c>
      <c r="R1462" s="4">
        <v>0</v>
      </c>
      <c r="S1462" s="6">
        <v>0</v>
      </c>
      <c r="T1462" s="6">
        <v>19</v>
      </c>
      <c r="U1462" s="6">
        <v>67</v>
      </c>
      <c r="V1462" s="77">
        <f>IF(ISERROR(VLOOKUP($S$1462,'TAR FIN'!$A$1:$O$95,15,0)),0,VLOOKUP($S$1462,'TAR FIN'!$A$1:$O$95,15,0))</f>
        <v>0</v>
      </c>
      <c r="W1462" s="77">
        <f>IF(ISERROR(VLOOKUP($T$1462,'TAR FIN'!$A$1:$O$95,15,0)),0,VLOOKUP($T$1462,'TAR FIN'!$A$1:$O$95,15,0))*(1-0.09)</f>
        <v>136.16329999999999</v>
      </c>
      <c r="X1462" s="77">
        <f>IF(ISERROR(VLOOKUP($U$1462,'TAR FIN'!$A$1:$O$95,15,0)),0,VLOOKUP($U$1462,'TAR FIN'!$A$1:$O$95,15,0))*(1-0.09)</f>
        <v>209.32730000000001</v>
      </c>
      <c r="Y1462" s="77"/>
      <c r="Z1462" s="77">
        <f ca="1">('TUSD BE'!$AM$17+'TUSD BF'!$AM$17+'TUSD CVA'!$AM$17)*1*(1-0.06)</f>
        <v>158.4025784496171</v>
      </c>
      <c r="AA1462" s="77">
        <f>('TE BE'!$AA$8+'TE BF'!$AA$8+'TE CVA'!$AA$8)*1*(1-0.06)</f>
        <v>265.94235573400078</v>
      </c>
      <c r="AB1462" s="6">
        <f>$K$1462*$V$1462</f>
        <v>0</v>
      </c>
      <c r="AC1462" s="6">
        <f>$M$1462*$W$1462</f>
        <v>179133.0333975</v>
      </c>
      <c r="AD1462" s="6">
        <f>$O$1462*$X$1462</f>
        <v>275385.7626975</v>
      </c>
      <c r="AE1462" s="6">
        <f>$K$1462*$Y$1462</f>
        <v>0</v>
      </c>
      <c r="AF1462" s="6">
        <f ca="1">$M$1462*$Z$1462</f>
        <v>208390.472143855</v>
      </c>
      <c r="AG1462" s="6">
        <f>$O$1462*$AA$1462</f>
        <v>349867.11464475811</v>
      </c>
    </row>
    <row r="1463" spans="1:33" ht="11.25" customHeight="1" x14ac:dyDescent="0.25">
      <c r="A1463" s="4" t="s">
        <v>28</v>
      </c>
      <c r="B1463" s="4" t="s">
        <v>35</v>
      </c>
      <c r="C1463" s="4" t="s">
        <v>36</v>
      </c>
      <c r="D1463" s="4" t="s">
        <v>52</v>
      </c>
      <c r="E1463" s="4" t="s">
        <v>53</v>
      </c>
      <c r="F1463" s="4" t="s">
        <v>25</v>
      </c>
      <c r="G1463" s="4" t="s">
        <v>25</v>
      </c>
      <c r="H1463" s="4" t="s">
        <v>38</v>
      </c>
      <c r="I1463" s="5">
        <v>44166</v>
      </c>
      <c r="J1463" s="6">
        <v>0</v>
      </c>
      <c r="K1463" s="77">
        <v>0</v>
      </c>
      <c r="L1463" s="6">
        <v>573.81399999999996</v>
      </c>
      <c r="M1463" s="77">
        <v>573.81399999999996</v>
      </c>
      <c r="N1463" s="6">
        <v>573.81399999999996</v>
      </c>
      <c r="O1463" s="77">
        <v>573.81399999999996</v>
      </c>
      <c r="P1463" s="6">
        <v>0</v>
      </c>
      <c r="Q1463" s="4" t="s">
        <v>26</v>
      </c>
      <c r="R1463" s="4">
        <v>0</v>
      </c>
      <c r="S1463" s="6">
        <v>0</v>
      </c>
      <c r="T1463" s="6">
        <v>19</v>
      </c>
      <c r="U1463" s="6">
        <v>67</v>
      </c>
      <c r="V1463" s="77">
        <f>IF(ISERROR(VLOOKUP($S$1463,'TAR FIN'!$A$1:$O$95,15,0)),0,VLOOKUP($S$1463,'TAR FIN'!$A$1:$O$95,15,0))</f>
        <v>0</v>
      </c>
      <c r="W1463" s="77">
        <f>IF(ISERROR(VLOOKUP($T$1463,'TAR FIN'!$A$1:$O$95,15,0)),0,VLOOKUP($T$1463,'TAR FIN'!$A$1:$O$95,15,0))*(1-0.09)</f>
        <v>136.16329999999999</v>
      </c>
      <c r="X1463" s="77">
        <f>IF(ISERROR(VLOOKUP($U$1463,'TAR FIN'!$A$1:$O$95,15,0)),0,VLOOKUP($U$1463,'TAR FIN'!$A$1:$O$95,15,0))*(1-0.09)</f>
        <v>209.32730000000001</v>
      </c>
      <c r="Y1463" s="77"/>
      <c r="Z1463" s="77">
        <f ca="1">('TUSD BE'!$AM$17+'TUSD BF'!$AM$17+'TUSD CVA'!$AM$17)*1*(1-0.06)</f>
        <v>158.4025784496171</v>
      </c>
      <c r="AA1463" s="77">
        <f>('TE BE'!$AA$8+'TE BF'!$AA$8+'TE CVA'!$AA$8)*1*(1-0.06)</f>
        <v>265.94235573400078</v>
      </c>
      <c r="AB1463" s="6">
        <f>$K$1463*$V$1463</f>
        <v>0</v>
      </c>
      <c r="AC1463" s="6">
        <f>$M$1463*$W$1463</f>
        <v>78132.407826199997</v>
      </c>
      <c r="AD1463" s="6">
        <f>$O$1463*$X$1463</f>
        <v>120114.93532219999</v>
      </c>
      <c r="AE1463" s="6">
        <f>$K$1463*$Y$1463</f>
        <v>0</v>
      </c>
      <c r="AF1463" s="6">
        <f ca="1">$M$1463*$Z$1463</f>
        <v>90893.617150488571</v>
      </c>
      <c r="AG1463" s="6">
        <f>$O$1463*$AA$1463</f>
        <v>152601.44691314991</v>
      </c>
    </row>
    <row r="1464" spans="1:33" ht="11.25" customHeight="1" x14ac:dyDescent="0.25">
      <c r="A1464" s="4" t="s">
        <v>21</v>
      </c>
      <c r="B1464" s="4" t="s">
        <v>35</v>
      </c>
      <c r="C1464" s="4" t="s">
        <v>36</v>
      </c>
      <c r="D1464" s="4" t="s">
        <v>52</v>
      </c>
      <c r="E1464" s="4" t="s">
        <v>53</v>
      </c>
      <c r="F1464" s="4" t="s">
        <v>25</v>
      </c>
      <c r="G1464" s="4" t="s">
        <v>25</v>
      </c>
      <c r="H1464" s="4" t="s">
        <v>38</v>
      </c>
      <c r="I1464" s="5">
        <v>44197</v>
      </c>
      <c r="J1464" s="6">
        <v>0</v>
      </c>
      <c r="K1464" s="77">
        <v>0</v>
      </c>
      <c r="L1464" s="6">
        <v>1346.4849999999999</v>
      </c>
      <c r="M1464" s="77">
        <v>1346.4849999999999</v>
      </c>
      <c r="N1464" s="6">
        <v>1346.4849999999999</v>
      </c>
      <c r="O1464" s="77">
        <v>1346.4849999999999</v>
      </c>
      <c r="P1464" s="6">
        <v>0</v>
      </c>
      <c r="Q1464" s="4" t="s">
        <v>26</v>
      </c>
      <c r="R1464" s="4">
        <v>0</v>
      </c>
      <c r="S1464" s="6">
        <v>0</v>
      </c>
      <c r="T1464" s="6">
        <v>19</v>
      </c>
      <c r="U1464" s="6">
        <v>67</v>
      </c>
      <c r="V1464" s="77">
        <f>IF(ISERROR(VLOOKUP($S$1464,'TAR FIN'!$A$1:$O$95,15,0)),0,VLOOKUP($S$1464,'TAR FIN'!$A$1:$O$95,15,0))</f>
        <v>0</v>
      </c>
      <c r="W1464" s="77">
        <f>IF(ISERROR(VLOOKUP($T$1464,'TAR FIN'!$A$1:$O$95,15,0)),0,VLOOKUP($T$1464,'TAR FIN'!$A$1:$O$95,15,0))*(1-0.09)</f>
        <v>136.16329999999999</v>
      </c>
      <c r="X1464" s="77">
        <f>IF(ISERROR(VLOOKUP($U$1464,'TAR FIN'!$A$1:$O$95,15,0)),0,VLOOKUP($U$1464,'TAR FIN'!$A$1:$O$95,15,0))*(1-0.09)</f>
        <v>209.32730000000001</v>
      </c>
      <c r="Y1464" s="77"/>
      <c r="Z1464" s="77">
        <f ca="1">('TUSD BE'!$AM$17+'TUSD BF'!$AM$17+'TUSD CVA'!$AM$17)*1*(1-0.06)</f>
        <v>158.4025784496171</v>
      </c>
      <c r="AA1464" s="77">
        <f>('TE BE'!$AA$8+'TE BF'!$AA$8+'TE CVA'!$AA$8)*1*(1-0.06)</f>
        <v>265.94235573400078</v>
      </c>
      <c r="AB1464" s="6">
        <f>$K$1464*$V$1464</f>
        <v>0</v>
      </c>
      <c r="AC1464" s="6">
        <f>$M$1464*$W$1464</f>
        <v>183341.84100049999</v>
      </c>
      <c r="AD1464" s="6">
        <f>$O$1464*$X$1464</f>
        <v>281856.0695405</v>
      </c>
      <c r="AE1464" s="6">
        <f>$K$1464*$Y$1464</f>
        <v>0</v>
      </c>
      <c r="AF1464" s="6">
        <f ca="1">$M$1464*$Z$1464</f>
        <v>213286.69584373265</v>
      </c>
      <c r="AG1464" s="6">
        <f>$O$1464*$AA$1464</f>
        <v>358087.39286049601</v>
      </c>
    </row>
    <row r="1465" spans="1:33" ht="11.25" customHeight="1" x14ac:dyDescent="0.25">
      <c r="A1465" s="4" t="s">
        <v>28</v>
      </c>
      <c r="B1465" s="4" t="s">
        <v>35</v>
      </c>
      <c r="C1465" s="4" t="s">
        <v>36</v>
      </c>
      <c r="D1465" s="4" t="s">
        <v>52</v>
      </c>
      <c r="E1465" s="4" t="s">
        <v>53</v>
      </c>
      <c r="F1465" s="4" t="s">
        <v>25</v>
      </c>
      <c r="G1465" s="4" t="s">
        <v>25</v>
      </c>
      <c r="H1465" s="4" t="s">
        <v>38</v>
      </c>
      <c r="I1465" s="5">
        <v>44197</v>
      </c>
      <c r="J1465" s="6">
        <v>0</v>
      </c>
      <c r="K1465" s="77">
        <v>0</v>
      </c>
      <c r="L1465" s="6">
        <v>537.18399999999997</v>
      </c>
      <c r="M1465" s="77">
        <v>537.18399999999997</v>
      </c>
      <c r="N1465" s="6">
        <v>537.18399999999997</v>
      </c>
      <c r="O1465" s="77">
        <v>537.18399999999997</v>
      </c>
      <c r="P1465" s="6">
        <v>0</v>
      </c>
      <c r="Q1465" s="4" t="s">
        <v>26</v>
      </c>
      <c r="R1465" s="4">
        <v>0</v>
      </c>
      <c r="S1465" s="6">
        <v>0</v>
      </c>
      <c r="T1465" s="6">
        <v>19</v>
      </c>
      <c r="U1465" s="6">
        <v>67</v>
      </c>
      <c r="V1465" s="77">
        <f>IF(ISERROR(VLOOKUP($S$1465,'TAR FIN'!$A$1:$O$95,15,0)),0,VLOOKUP($S$1465,'TAR FIN'!$A$1:$O$95,15,0))</f>
        <v>0</v>
      </c>
      <c r="W1465" s="77">
        <f>IF(ISERROR(VLOOKUP($T$1465,'TAR FIN'!$A$1:$O$95,15,0)),0,VLOOKUP($T$1465,'TAR FIN'!$A$1:$O$95,15,0))*(1-0.09)</f>
        <v>136.16329999999999</v>
      </c>
      <c r="X1465" s="77">
        <f>IF(ISERROR(VLOOKUP($U$1465,'TAR FIN'!$A$1:$O$95,15,0)),0,VLOOKUP($U$1465,'TAR FIN'!$A$1:$O$95,15,0))*(1-0.09)</f>
        <v>209.32730000000001</v>
      </c>
      <c r="Y1465" s="77"/>
      <c r="Z1465" s="77">
        <f ca="1">('TUSD BE'!$AM$17+'TUSD BF'!$AM$17+'TUSD CVA'!$AM$17)*1*(1-0.06)</f>
        <v>158.4025784496171</v>
      </c>
      <c r="AA1465" s="77">
        <f>('TE BE'!$AA$8+'TE BF'!$AA$8+'TE CVA'!$AA$8)*1*(1-0.06)</f>
        <v>265.94235573400078</v>
      </c>
      <c r="AB1465" s="6">
        <f>$K$1465*$V$1465</f>
        <v>0</v>
      </c>
      <c r="AC1465" s="6">
        <f>$M$1465*$W$1465</f>
        <v>73144.746147199985</v>
      </c>
      <c r="AD1465" s="6">
        <f>$O$1465*$X$1465</f>
        <v>112447.2763232</v>
      </c>
      <c r="AE1465" s="6">
        <f>$K$1465*$Y$1465</f>
        <v>0</v>
      </c>
      <c r="AF1465" s="6">
        <f ca="1">$M$1465*$Z$1465</f>
        <v>85091.330701879109</v>
      </c>
      <c r="AG1465" s="6">
        <f>$O$1465*$AA$1465</f>
        <v>142859.97842261347</v>
      </c>
    </row>
    <row r="1466" spans="1:33" ht="11.25" customHeight="1" x14ac:dyDescent="0.25">
      <c r="A1466" s="4" t="s">
        <v>21</v>
      </c>
      <c r="B1466" s="4" t="s">
        <v>35</v>
      </c>
      <c r="C1466" s="4" t="s">
        <v>36</v>
      </c>
      <c r="D1466" s="4" t="s">
        <v>52</v>
      </c>
      <c r="E1466" s="4" t="s">
        <v>53</v>
      </c>
      <c r="F1466" s="4" t="s">
        <v>25</v>
      </c>
      <c r="G1466" s="4" t="s">
        <v>25</v>
      </c>
      <c r="H1466" s="4" t="s">
        <v>38</v>
      </c>
      <c r="I1466" s="5">
        <v>44228</v>
      </c>
      <c r="J1466" s="6">
        <v>0</v>
      </c>
      <c r="K1466" s="77">
        <v>0</v>
      </c>
      <c r="L1466" s="6">
        <v>1201.9860000000001</v>
      </c>
      <c r="M1466" s="77">
        <v>1201.9860000000001</v>
      </c>
      <c r="N1466" s="6">
        <v>1201.9860000000001</v>
      </c>
      <c r="O1466" s="77">
        <v>1201.9860000000001</v>
      </c>
      <c r="P1466" s="6">
        <v>0</v>
      </c>
      <c r="Q1466" s="4" t="s">
        <v>26</v>
      </c>
      <c r="R1466" s="4">
        <v>0</v>
      </c>
      <c r="S1466" s="6">
        <v>0</v>
      </c>
      <c r="T1466" s="6">
        <v>19</v>
      </c>
      <c r="U1466" s="6">
        <v>67</v>
      </c>
      <c r="V1466" s="77">
        <f>IF(ISERROR(VLOOKUP($S$1466,'TAR FIN'!$A$1:$O$95,15,0)),0,VLOOKUP($S$1466,'TAR FIN'!$A$1:$O$95,15,0))</f>
        <v>0</v>
      </c>
      <c r="W1466" s="77">
        <f>IF(ISERROR(VLOOKUP($T$1466,'TAR FIN'!$A$1:$O$95,15,0)),0,VLOOKUP($T$1466,'TAR FIN'!$A$1:$O$95,15,0))*(1-0.09)</f>
        <v>136.16329999999999</v>
      </c>
      <c r="X1466" s="77">
        <f>IF(ISERROR(VLOOKUP($U$1466,'TAR FIN'!$A$1:$O$95,15,0)),0,VLOOKUP($U$1466,'TAR FIN'!$A$1:$O$95,15,0))*(1-0.09)</f>
        <v>209.32730000000001</v>
      </c>
      <c r="Y1466" s="77"/>
      <c r="Z1466" s="77">
        <f ca="1">('TUSD BE'!$AM$17+'TUSD BF'!$AM$17+'TUSD CVA'!$AM$17)*1*(1-0.06)</f>
        <v>158.4025784496171</v>
      </c>
      <c r="AA1466" s="77">
        <f>('TE BE'!$AA$8+'TE BF'!$AA$8+'TE CVA'!$AA$8)*1*(1-0.06)</f>
        <v>265.94235573400078</v>
      </c>
      <c r="AB1466" s="6">
        <f>$K$1466*$V$1466</f>
        <v>0</v>
      </c>
      <c r="AC1466" s="6">
        <f>$M$1466*$W$1466</f>
        <v>163666.38031380001</v>
      </c>
      <c r="AD1466" s="6">
        <f>$O$1466*$X$1466</f>
        <v>251608.48401780004</v>
      </c>
      <c r="AE1466" s="6">
        <f>$K$1466*$Y$1466</f>
        <v>0</v>
      </c>
      <c r="AF1466" s="6">
        <f ca="1">$M$1466*$Z$1466</f>
        <v>190397.68166034148</v>
      </c>
      <c r="AG1466" s="6">
        <f>$O$1466*$AA$1466</f>
        <v>319658.98839928868</v>
      </c>
    </row>
    <row r="1467" spans="1:33" ht="11.25" customHeight="1" x14ac:dyDescent="0.25">
      <c r="A1467" s="4" t="s">
        <v>28</v>
      </c>
      <c r="B1467" s="4" t="s">
        <v>35</v>
      </c>
      <c r="C1467" s="4" t="s">
        <v>36</v>
      </c>
      <c r="D1467" s="4" t="s">
        <v>52</v>
      </c>
      <c r="E1467" s="4" t="s">
        <v>53</v>
      </c>
      <c r="F1467" s="4" t="s">
        <v>25</v>
      </c>
      <c r="G1467" s="4" t="s">
        <v>25</v>
      </c>
      <c r="H1467" s="4" t="s">
        <v>38</v>
      </c>
      <c r="I1467" s="5">
        <v>44228</v>
      </c>
      <c r="J1467" s="6">
        <v>0</v>
      </c>
      <c r="K1467" s="77">
        <v>0</v>
      </c>
      <c r="L1467" s="6">
        <v>475.80500000000001</v>
      </c>
      <c r="M1467" s="77">
        <v>475.80500000000001</v>
      </c>
      <c r="N1467" s="6">
        <v>475.80500000000001</v>
      </c>
      <c r="O1467" s="77">
        <v>475.80500000000001</v>
      </c>
      <c r="P1467" s="6">
        <v>0</v>
      </c>
      <c r="Q1467" s="4" t="s">
        <v>26</v>
      </c>
      <c r="R1467" s="4">
        <v>0</v>
      </c>
      <c r="S1467" s="6">
        <v>0</v>
      </c>
      <c r="T1467" s="6">
        <v>19</v>
      </c>
      <c r="U1467" s="6">
        <v>67</v>
      </c>
      <c r="V1467" s="77">
        <f>IF(ISERROR(VLOOKUP($S$1467,'TAR FIN'!$A$1:$O$95,15,0)),0,VLOOKUP($S$1467,'TAR FIN'!$A$1:$O$95,15,0))</f>
        <v>0</v>
      </c>
      <c r="W1467" s="77">
        <f>IF(ISERROR(VLOOKUP($T$1467,'TAR FIN'!$A$1:$O$95,15,0)),0,VLOOKUP($T$1467,'TAR FIN'!$A$1:$O$95,15,0))*(1-0.09)</f>
        <v>136.16329999999999</v>
      </c>
      <c r="X1467" s="77">
        <f>IF(ISERROR(VLOOKUP($U$1467,'TAR FIN'!$A$1:$O$95,15,0)),0,VLOOKUP($U$1467,'TAR FIN'!$A$1:$O$95,15,0))*(1-0.09)</f>
        <v>209.32730000000001</v>
      </c>
      <c r="Y1467" s="77"/>
      <c r="Z1467" s="77">
        <f ca="1">('TUSD BE'!$AM$17+'TUSD BF'!$AM$17+'TUSD CVA'!$AM$17)*1*(1-0.06)</f>
        <v>158.4025784496171</v>
      </c>
      <c r="AA1467" s="77">
        <f>('TE BE'!$AA$8+'TE BF'!$AA$8+'TE CVA'!$AA$8)*1*(1-0.06)</f>
        <v>265.94235573400078</v>
      </c>
      <c r="AB1467" s="6">
        <f>$K$1467*$V$1467</f>
        <v>0</v>
      </c>
      <c r="AC1467" s="6">
        <f>$M$1467*$W$1467</f>
        <v>64787.1789565</v>
      </c>
      <c r="AD1467" s="6">
        <f>$O$1467*$X$1467</f>
        <v>99598.975976500005</v>
      </c>
      <c r="AE1467" s="6">
        <f>$K$1467*$Y$1467</f>
        <v>0</v>
      </c>
      <c r="AF1467" s="6">
        <f ca="1">$M$1467*$Z$1467</f>
        <v>75368.738839220066</v>
      </c>
      <c r="AG1467" s="6">
        <f>$O$1467*$AA$1467</f>
        <v>126536.70257001625</v>
      </c>
    </row>
    <row r="1468" spans="1:33" ht="11.25" customHeight="1" x14ac:dyDescent="0.25">
      <c r="A1468" s="4" t="s">
        <v>21</v>
      </c>
      <c r="B1468" s="4" t="s">
        <v>35</v>
      </c>
      <c r="C1468" s="4" t="s">
        <v>36</v>
      </c>
      <c r="D1468" s="4" t="s">
        <v>52</v>
      </c>
      <c r="E1468" s="4" t="s">
        <v>53</v>
      </c>
      <c r="F1468" s="4" t="s">
        <v>25</v>
      </c>
      <c r="G1468" s="4" t="s">
        <v>25</v>
      </c>
      <c r="H1468" s="4" t="s">
        <v>38</v>
      </c>
      <c r="I1468" s="5">
        <v>44256</v>
      </c>
      <c r="J1468" s="6">
        <v>0</v>
      </c>
      <c r="K1468" s="77">
        <v>0</v>
      </c>
      <c r="L1468" s="6">
        <v>1313.335</v>
      </c>
      <c r="M1468" s="77">
        <v>1313.335</v>
      </c>
      <c r="N1468" s="6">
        <v>1313.335</v>
      </c>
      <c r="O1468" s="77">
        <v>1313.335</v>
      </c>
      <c r="P1468" s="6">
        <v>0</v>
      </c>
      <c r="Q1468" s="4" t="s">
        <v>26</v>
      </c>
      <c r="R1468" s="4">
        <v>0</v>
      </c>
      <c r="S1468" s="6">
        <v>0</v>
      </c>
      <c r="T1468" s="6">
        <v>19</v>
      </c>
      <c r="U1468" s="6">
        <v>67</v>
      </c>
      <c r="V1468" s="77">
        <f>IF(ISERROR(VLOOKUP($S$1468,'TAR FIN'!$A$1:$O$95,15,0)),0,VLOOKUP($S$1468,'TAR FIN'!$A$1:$O$95,15,0))</f>
        <v>0</v>
      </c>
      <c r="W1468" s="77">
        <f>IF(ISERROR(VLOOKUP($T$1468,'TAR FIN'!$A$1:$O$95,15,0)),0,VLOOKUP($T$1468,'TAR FIN'!$A$1:$O$95,15,0))*(1-0.09)</f>
        <v>136.16329999999999</v>
      </c>
      <c r="X1468" s="77">
        <f>IF(ISERROR(VLOOKUP($U$1468,'TAR FIN'!$A$1:$O$95,15,0)),0,VLOOKUP($U$1468,'TAR FIN'!$A$1:$O$95,15,0))*(1-0.09)</f>
        <v>209.32730000000001</v>
      </c>
      <c r="Y1468" s="77"/>
      <c r="Z1468" s="77">
        <f ca="1">('TUSD BE'!$AM$17+'TUSD BF'!$AM$17+'TUSD CVA'!$AM$17)*1*(1-0.06)</f>
        <v>158.4025784496171</v>
      </c>
      <c r="AA1468" s="77">
        <f>('TE BE'!$AA$8+'TE BF'!$AA$8+'TE CVA'!$AA$8)*1*(1-0.06)</f>
        <v>265.94235573400078</v>
      </c>
      <c r="AB1468" s="6">
        <f>$K$1468*$V$1468</f>
        <v>0</v>
      </c>
      <c r="AC1468" s="6">
        <f>$M$1468*$W$1468</f>
        <v>178828.02760549998</v>
      </c>
      <c r="AD1468" s="6">
        <f>$O$1468*$X$1468</f>
        <v>274916.86954550003</v>
      </c>
      <c r="AE1468" s="6">
        <f>$K$1468*$Y$1468</f>
        <v>0</v>
      </c>
      <c r="AF1468" s="6">
        <f ca="1">$M$1468*$Z$1468</f>
        <v>208035.65036812788</v>
      </c>
      <c r="AG1468" s="6">
        <f>$O$1468*$AA$1468</f>
        <v>349271.40376791393</v>
      </c>
    </row>
    <row r="1469" spans="1:33" ht="11.25" customHeight="1" x14ac:dyDescent="0.25">
      <c r="A1469" s="4" t="s">
        <v>28</v>
      </c>
      <c r="B1469" s="4" t="s">
        <v>35</v>
      </c>
      <c r="C1469" s="4" t="s">
        <v>36</v>
      </c>
      <c r="D1469" s="4" t="s">
        <v>52</v>
      </c>
      <c r="E1469" s="4" t="s">
        <v>53</v>
      </c>
      <c r="F1469" s="4" t="s">
        <v>25</v>
      </c>
      <c r="G1469" s="4" t="s">
        <v>25</v>
      </c>
      <c r="H1469" s="4" t="s">
        <v>38</v>
      </c>
      <c r="I1469" s="5">
        <v>44256</v>
      </c>
      <c r="J1469" s="6">
        <v>0</v>
      </c>
      <c r="K1469" s="77">
        <v>0</v>
      </c>
      <c r="L1469" s="6">
        <v>523.48400000000004</v>
      </c>
      <c r="M1469" s="77">
        <v>523.48400000000004</v>
      </c>
      <c r="N1469" s="6">
        <v>523.48400000000004</v>
      </c>
      <c r="O1469" s="77">
        <v>523.48400000000004</v>
      </c>
      <c r="P1469" s="6">
        <v>0</v>
      </c>
      <c r="Q1469" s="4" t="s">
        <v>26</v>
      </c>
      <c r="R1469" s="4">
        <v>0</v>
      </c>
      <c r="S1469" s="6">
        <v>0</v>
      </c>
      <c r="T1469" s="6">
        <v>19</v>
      </c>
      <c r="U1469" s="6">
        <v>67</v>
      </c>
      <c r="V1469" s="77">
        <f>IF(ISERROR(VLOOKUP($S$1469,'TAR FIN'!$A$1:$O$95,15,0)),0,VLOOKUP($S$1469,'TAR FIN'!$A$1:$O$95,15,0))</f>
        <v>0</v>
      </c>
      <c r="W1469" s="77">
        <f>IF(ISERROR(VLOOKUP($T$1469,'TAR FIN'!$A$1:$O$95,15,0)),0,VLOOKUP($T$1469,'TAR FIN'!$A$1:$O$95,15,0))*(1-0.09)</f>
        <v>136.16329999999999</v>
      </c>
      <c r="X1469" s="77">
        <f>IF(ISERROR(VLOOKUP($U$1469,'TAR FIN'!$A$1:$O$95,15,0)),0,VLOOKUP($U$1469,'TAR FIN'!$A$1:$O$95,15,0))*(1-0.09)</f>
        <v>209.32730000000001</v>
      </c>
      <c r="Y1469" s="77"/>
      <c r="Z1469" s="77">
        <f ca="1">('TUSD BE'!$AM$17+'TUSD BF'!$AM$17+'TUSD CVA'!$AM$17)*1*(1-0.06)</f>
        <v>158.4025784496171</v>
      </c>
      <c r="AA1469" s="77">
        <f>('TE BE'!$AA$8+'TE BF'!$AA$8+'TE CVA'!$AA$8)*1*(1-0.06)</f>
        <v>265.94235573400078</v>
      </c>
      <c r="AB1469" s="6">
        <f>$K$1469*$V$1469</f>
        <v>0</v>
      </c>
      <c r="AC1469" s="6">
        <f>$M$1469*$W$1469</f>
        <v>71279.308937199996</v>
      </c>
      <c r="AD1469" s="6">
        <f>$O$1469*$X$1469</f>
        <v>109579.49231320001</v>
      </c>
      <c r="AE1469" s="6">
        <f>$K$1469*$Y$1469</f>
        <v>0</v>
      </c>
      <c r="AF1469" s="6">
        <f ca="1">$M$1469*$Z$1469</f>
        <v>82921.215377119355</v>
      </c>
      <c r="AG1469" s="6">
        <f>$O$1469*$AA$1469</f>
        <v>139216.56814905768</v>
      </c>
    </row>
    <row r="1470" spans="1:33" ht="11.25" customHeight="1" x14ac:dyDescent="0.25">
      <c r="A1470" s="4" t="s">
        <v>21</v>
      </c>
      <c r="B1470" s="4" t="s">
        <v>35</v>
      </c>
      <c r="C1470" s="4" t="s">
        <v>36</v>
      </c>
      <c r="D1470" s="4" t="s">
        <v>52</v>
      </c>
      <c r="E1470" s="4" t="s">
        <v>53</v>
      </c>
      <c r="F1470" s="4" t="s">
        <v>25</v>
      </c>
      <c r="G1470" s="4" t="s">
        <v>25</v>
      </c>
      <c r="H1470" s="4" t="s">
        <v>38</v>
      </c>
      <c r="I1470" s="5">
        <v>44287</v>
      </c>
      <c r="J1470" s="6">
        <v>0</v>
      </c>
      <c r="K1470" s="77">
        <v>0</v>
      </c>
      <c r="L1470" s="6">
        <v>1209.104</v>
      </c>
      <c r="M1470" s="77">
        <v>1209.104</v>
      </c>
      <c r="N1470" s="6">
        <v>1209.104</v>
      </c>
      <c r="O1470" s="77">
        <v>1209.104</v>
      </c>
      <c r="P1470" s="6">
        <v>0</v>
      </c>
      <c r="Q1470" s="4" t="s">
        <v>26</v>
      </c>
      <c r="R1470" s="4">
        <v>0</v>
      </c>
      <c r="S1470" s="6">
        <v>0</v>
      </c>
      <c r="T1470" s="6">
        <v>19</v>
      </c>
      <c r="U1470" s="6">
        <v>67</v>
      </c>
      <c r="V1470" s="77">
        <f>IF(ISERROR(VLOOKUP($S$1470,'TAR FIN'!$A$1:$O$95,15,0)),0,VLOOKUP($S$1470,'TAR FIN'!$A$1:$O$95,15,0))</f>
        <v>0</v>
      </c>
      <c r="W1470" s="77">
        <f>IF(ISERROR(VLOOKUP($T$1470,'TAR FIN'!$A$1:$O$95,15,0)),0,VLOOKUP($T$1470,'TAR FIN'!$A$1:$O$95,15,0))*(1-0.09)</f>
        <v>136.16329999999999</v>
      </c>
      <c r="X1470" s="77">
        <f>IF(ISERROR(VLOOKUP($U$1470,'TAR FIN'!$A$1:$O$95,15,0)),0,VLOOKUP($U$1470,'TAR FIN'!$A$1:$O$95,15,0))*(1-0.09)</f>
        <v>209.32730000000001</v>
      </c>
      <c r="Y1470" s="77"/>
      <c r="Z1470" s="77">
        <f ca="1">('TUSD BE'!$AM$17+'TUSD BF'!$AM$17+'TUSD CVA'!$AM$17)*1*(1-0.06)</f>
        <v>158.4025784496171</v>
      </c>
      <c r="AA1470" s="77">
        <f>('TE BE'!$AA$8+'TE BF'!$AA$8+'TE CVA'!$AA$8)*1*(1-0.06)</f>
        <v>265.94235573400078</v>
      </c>
      <c r="AB1470" s="6">
        <f>$K$1470*$V$1470</f>
        <v>0</v>
      </c>
      <c r="AC1470" s="6">
        <f>$M$1470*$W$1470</f>
        <v>164635.59068319999</v>
      </c>
      <c r="AD1470" s="6">
        <f>$O$1470*$X$1470</f>
        <v>253098.47573920002</v>
      </c>
      <c r="AE1470" s="6">
        <f>$K$1470*$Y$1470</f>
        <v>0</v>
      </c>
      <c r="AF1470" s="6">
        <f ca="1">$M$1470*$Z$1470</f>
        <v>191525.19121374583</v>
      </c>
      <c r="AG1470" s="6">
        <f>$O$1470*$AA$1470</f>
        <v>321551.9660874033</v>
      </c>
    </row>
    <row r="1471" spans="1:33" ht="11.25" customHeight="1" x14ac:dyDescent="0.25">
      <c r="A1471" s="4" t="s">
        <v>28</v>
      </c>
      <c r="B1471" s="4" t="s">
        <v>35</v>
      </c>
      <c r="C1471" s="4" t="s">
        <v>36</v>
      </c>
      <c r="D1471" s="4" t="s">
        <v>52</v>
      </c>
      <c r="E1471" s="4" t="s">
        <v>53</v>
      </c>
      <c r="F1471" s="4" t="s">
        <v>25</v>
      </c>
      <c r="G1471" s="4" t="s">
        <v>25</v>
      </c>
      <c r="H1471" s="4" t="s">
        <v>38</v>
      </c>
      <c r="I1471" s="5">
        <v>44287</v>
      </c>
      <c r="J1471" s="6">
        <v>0</v>
      </c>
      <c r="K1471" s="77">
        <v>0</v>
      </c>
      <c r="L1471" s="6">
        <v>527.22299999999996</v>
      </c>
      <c r="M1471" s="77">
        <v>527.22299999999996</v>
      </c>
      <c r="N1471" s="6">
        <v>527.22299999999996</v>
      </c>
      <c r="O1471" s="77">
        <v>527.22299999999996</v>
      </c>
      <c r="P1471" s="6">
        <v>0</v>
      </c>
      <c r="Q1471" s="4" t="s">
        <v>26</v>
      </c>
      <c r="R1471" s="4">
        <v>0</v>
      </c>
      <c r="S1471" s="6">
        <v>0</v>
      </c>
      <c r="T1471" s="6">
        <v>19</v>
      </c>
      <c r="U1471" s="6">
        <v>67</v>
      </c>
      <c r="V1471" s="77">
        <f>IF(ISERROR(VLOOKUP($S$1471,'TAR FIN'!$A$1:$O$95,15,0)),0,VLOOKUP($S$1471,'TAR FIN'!$A$1:$O$95,15,0))</f>
        <v>0</v>
      </c>
      <c r="W1471" s="77">
        <f>IF(ISERROR(VLOOKUP($T$1471,'TAR FIN'!$A$1:$O$95,15,0)),0,VLOOKUP($T$1471,'TAR FIN'!$A$1:$O$95,15,0))*(1-0.09)</f>
        <v>136.16329999999999</v>
      </c>
      <c r="X1471" s="77">
        <f>IF(ISERROR(VLOOKUP($U$1471,'TAR FIN'!$A$1:$O$95,15,0)),0,VLOOKUP($U$1471,'TAR FIN'!$A$1:$O$95,15,0))*(1-0.09)</f>
        <v>209.32730000000001</v>
      </c>
      <c r="Y1471" s="77"/>
      <c r="Z1471" s="77">
        <f ca="1">('TUSD BE'!$AM$17+'TUSD BF'!$AM$17+'TUSD CVA'!$AM$17)*1*(1-0.06)</f>
        <v>158.4025784496171</v>
      </c>
      <c r="AA1471" s="77">
        <f>('TE BE'!$AA$8+'TE BF'!$AA$8+'TE CVA'!$AA$8)*1*(1-0.06)</f>
        <v>265.94235573400078</v>
      </c>
      <c r="AB1471" s="6">
        <f>$K$1471*$V$1471</f>
        <v>0</v>
      </c>
      <c r="AC1471" s="6">
        <f>$M$1471*$W$1471</f>
        <v>71788.423515899995</v>
      </c>
      <c r="AD1471" s="6">
        <f>$O$1471*$X$1471</f>
        <v>110362.1670879</v>
      </c>
      <c r="AE1471" s="6">
        <f>$K$1471*$Y$1471</f>
        <v>0</v>
      </c>
      <c r="AF1471" s="6">
        <f ca="1">$M$1471*$Z$1471</f>
        <v>83513.482617942471</v>
      </c>
      <c r="AG1471" s="6">
        <f>$O$1471*$AA$1471</f>
        <v>140210.92661714708</v>
      </c>
    </row>
    <row r="1472" spans="1:33" ht="11.25" customHeight="1" x14ac:dyDescent="0.25">
      <c r="A1472" s="4" t="s">
        <v>21</v>
      </c>
      <c r="B1472" s="4" t="s">
        <v>35</v>
      </c>
      <c r="C1472" s="4" t="s">
        <v>36</v>
      </c>
      <c r="D1472" s="4" t="s">
        <v>52</v>
      </c>
      <c r="E1472" s="4" t="s">
        <v>53</v>
      </c>
      <c r="F1472" s="4" t="s">
        <v>25</v>
      </c>
      <c r="G1472" s="4" t="s">
        <v>25</v>
      </c>
      <c r="H1472" s="4" t="s">
        <v>38</v>
      </c>
      <c r="I1472" s="5">
        <v>44317</v>
      </c>
      <c r="J1472" s="6">
        <v>0</v>
      </c>
      <c r="K1472" s="77">
        <v>0</v>
      </c>
      <c r="L1472" s="6">
        <v>1323.21</v>
      </c>
      <c r="M1472" s="77">
        <v>1323.21</v>
      </c>
      <c r="N1472" s="6">
        <v>1323.21</v>
      </c>
      <c r="O1472" s="77">
        <v>1323.21</v>
      </c>
      <c r="P1472" s="6">
        <v>0</v>
      </c>
      <c r="Q1472" s="4" t="s">
        <v>26</v>
      </c>
      <c r="R1472" s="4">
        <v>0</v>
      </c>
      <c r="S1472" s="6">
        <v>0</v>
      </c>
      <c r="T1472" s="6">
        <v>19</v>
      </c>
      <c r="U1472" s="6">
        <v>67</v>
      </c>
      <c r="V1472" s="77">
        <f>IF(ISERROR(VLOOKUP($S$1472,'TAR FIN'!$A$1:$O$95,15,0)),0,VLOOKUP($S$1472,'TAR FIN'!$A$1:$O$95,15,0))</f>
        <v>0</v>
      </c>
      <c r="W1472" s="77">
        <f>IF(ISERROR(VLOOKUP($T$1472,'TAR FIN'!$A$1:$O$95,15,0)),0,VLOOKUP($T$1472,'TAR FIN'!$A$1:$O$95,15,0))*(1-0.09)</f>
        <v>136.16329999999999</v>
      </c>
      <c r="X1472" s="77">
        <f>IF(ISERROR(VLOOKUP($U$1472,'TAR FIN'!$A$1:$O$95,15,0)),0,VLOOKUP($U$1472,'TAR FIN'!$A$1:$O$95,15,0))*(1-0.09)</f>
        <v>209.32730000000001</v>
      </c>
      <c r="Y1472" s="77"/>
      <c r="Z1472" s="77">
        <f ca="1">('TUSD BE'!$AM$17+'TUSD BF'!$AM$17+'TUSD CVA'!$AM$17)*1*(1-0.06)</f>
        <v>158.4025784496171</v>
      </c>
      <c r="AA1472" s="77">
        <f>('TE BE'!$AA$8+'TE BF'!$AA$8+'TE CVA'!$AA$8)*1*(1-0.06)</f>
        <v>265.94235573400078</v>
      </c>
      <c r="AB1472" s="6">
        <f>$K$1472*$V$1472</f>
        <v>0</v>
      </c>
      <c r="AC1472" s="6">
        <f>$M$1472*$W$1472</f>
        <v>180172.640193</v>
      </c>
      <c r="AD1472" s="6">
        <f>$O$1472*$X$1472</f>
        <v>276983.97663300001</v>
      </c>
      <c r="AE1472" s="6">
        <f>$K$1472*$Y$1472</f>
        <v>0</v>
      </c>
      <c r="AF1472" s="6">
        <f ca="1">$M$1472*$Z$1472</f>
        <v>209599.87583031785</v>
      </c>
      <c r="AG1472" s="6">
        <f>$O$1472*$AA$1472</f>
        <v>351897.58453078719</v>
      </c>
    </row>
    <row r="1473" spans="1:33" ht="11.25" customHeight="1" x14ac:dyDescent="0.25">
      <c r="A1473" s="4" t="s">
        <v>28</v>
      </c>
      <c r="B1473" s="4" t="s">
        <v>35</v>
      </c>
      <c r="C1473" s="4" t="s">
        <v>36</v>
      </c>
      <c r="D1473" s="4" t="s">
        <v>52</v>
      </c>
      <c r="E1473" s="4" t="s">
        <v>53</v>
      </c>
      <c r="F1473" s="4" t="s">
        <v>25</v>
      </c>
      <c r="G1473" s="4" t="s">
        <v>25</v>
      </c>
      <c r="H1473" s="4" t="s">
        <v>38</v>
      </c>
      <c r="I1473" s="5">
        <v>44317</v>
      </c>
      <c r="J1473" s="6">
        <v>0</v>
      </c>
      <c r="K1473" s="77">
        <v>0</v>
      </c>
      <c r="L1473" s="6">
        <v>574.48800000000006</v>
      </c>
      <c r="M1473" s="77">
        <v>574.48800000000006</v>
      </c>
      <c r="N1473" s="6">
        <v>574.48800000000006</v>
      </c>
      <c r="O1473" s="77">
        <v>574.48800000000006</v>
      </c>
      <c r="P1473" s="6">
        <v>0</v>
      </c>
      <c r="Q1473" s="4" t="s">
        <v>26</v>
      </c>
      <c r="R1473" s="4">
        <v>0</v>
      </c>
      <c r="S1473" s="6">
        <v>0</v>
      </c>
      <c r="T1473" s="6">
        <v>19</v>
      </c>
      <c r="U1473" s="6">
        <v>67</v>
      </c>
      <c r="V1473" s="77">
        <f>IF(ISERROR(VLOOKUP($S$1473,'TAR FIN'!$A$1:$O$95,15,0)),0,VLOOKUP($S$1473,'TAR FIN'!$A$1:$O$95,15,0))</f>
        <v>0</v>
      </c>
      <c r="W1473" s="77">
        <f>IF(ISERROR(VLOOKUP($T$1473,'TAR FIN'!$A$1:$O$95,15,0)),0,VLOOKUP($T$1473,'TAR FIN'!$A$1:$O$95,15,0))*(1-0.09)</f>
        <v>136.16329999999999</v>
      </c>
      <c r="X1473" s="77">
        <f>IF(ISERROR(VLOOKUP($U$1473,'TAR FIN'!$A$1:$O$95,15,0)),0,VLOOKUP($U$1473,'TAR FIN'!$A$1:$O$95,15,0))*(1-0.09)</f>
        <v>209.32730000000001</v>
      </c>
      <c r="Y1473" s="77"/>
      <c r="Z1473" s="77">
        <f ca="1">('TUSD BE'!$AM$17+'TUSD BF'!$AM$17+'TUSD CVA'!$AM$17)*1*(1-0.06)</f>
        <v>158.4025784496171</v>
      </c>
      <c r="AA1473" s="77">
        <f>('TE BE'!$AA$8+'TE BF'!$AA$8+'TE CVA'!$AA$8)*1*(1-0.06)</f>
        <v>265.94235573400078</v>
      </c>
      <c r="AB1473" s="6">
        <f>$K$1473*$V$1473</f>
        <v>0</v>
      </c>
      <c r="AC1473" s="6">
        <f>$M$1473*$W$1473</f>
        <v>78224.18189040001</v>
      </c>
      <c r="AD1473" s="6">
        <f>$O$1473*$X$1473</f>
        <v>120256.02192240002</v>
      </c>
      <c r="AE1473" s="6">
        <f>$K$1473*$Y$1473</f>
        <v>0</v>
      </c>
      <c r="AF1473" s="6">
        <f ca="1">$M$1473*$Z$1473</f>
        <v>91000.380488363633</v>
      </c>
      <c r="AG1473" s="6">
        <f>$O$1473*$AA$1473</f>
        <v>152780.69206091465</v>
      </c>
    </row>
    <row r="1474" spans="1:33" ht="11.25" customHeight="1" x14ac:dyDescent="0.25">
      <c r="A1474" s="4" t="s">
        <v>29</v>
      </c>
      <c r="B1474" s="4" t="s">
        <v>35</v>
      </c>
      <c r="C1474" s="4" t="s">
        <v>36</v>
      </c>
      <c r="D1474" s="4" t="s">
        <v>52</v>
      </c>
      <c r="E1474" s="4" t="s">
        <v>53</v>
      </c>
      <c r="F1474" s="4" t="s">
        <v>25</v>
      </c>
      <c r="G1474" s="4" t="s">
        <v>25</v>
      </c>
      <c r="H1474" s="4" t="s">
        <v>38</v>
      </c>
      <c r="I1474" s="5">
        <v>44317</v>
      </c>
      <c r="J1474" s="6">
        <v>0</v>
      </c>
      <c r="K1474" s="77">
        <v>0</v>
      </c>
      <c r="L1474" s="6">
        <v>132.31399999999999</v>
      </c>
      <c r="M1474" s="77">
        <v>132.31399999999999</v>
      </c>
      <c r="N1474" s="6">
        <v>132.31399999999999</v>
      </c>
      <c r="O1474" s="77">
        <v>132.31399999999999</v>
      </c>
      <c r="P1474" s="6">
        <v>0</v>
      </c>
      <c r="Q1474" s="4" t="s">
        <v>26</v>
      </c>
      <c r="R1474" s="4">
        <v>0</v>
      </c>
      <c r="S1474" s="6">
        <v>0</v>
      </c>
      <c r="T1474" s="6">
        <v>19</v>
      </c>
      <c r="U1474" s="6">
        <v>67</v>
      </c>
      <c r="V1474" s="77">
        <f>IF(ISERROR(VLOOKUP($S$1474,'TAR FIN'!$A$1:$O$95,15,0)),0,VLOOKUP($S$1474,'TAR FIN'!$A$1:$O$95,15,0))</f>
        <v>0</v>
      </c>
      <c r="W1474" s="77">
        <f>IF(ISERROR(VLOOKUP($T$1474,'TAR FIN'!$A$1:$O$95,15,0)),0,VLOOKUP($T$1474,'TAR FIN'!$A$1:$O$95,15,0))*(1-0.09)</f>
        <v>136.16329999999999</v>
      </c>
      <c r="X1474" s="77">
        <f>IF(ISERROR(VLOOKUP($U$1474,'TAR FIN'!$A$1:$O$95,15,0)),0,VLOOKUP($U$1474,'TAR FIN'!$A$1:$O$95,15,0))*(1-0.09)</f>
        <v>209.32730000000001</v>
      </c>
      <c r="Y1474" s="77"/>
      <c r="Z1474" s="77">
        <f ca="1">('TUSD BE'!$AM$17+'TUSD BF'!$AM$17+'TUSD CVA'!$AM$17)*1*(1-0.06)</f>
        <v>158.4025784496171</v>
      </c>
      <c r="AA1474" s="77">
        <f>('TE BE'!$AA$8+'TE BF'!$AA$8+'TE CVA'!$AA$8)*1*(1-0.06)</f>
        <v>265.94235573400078</v>
      </c>
      <c r="AB1474" s="6">
        <f>$K$1474*$V$1474</f>
        <v>0</v>
      </c>
      <c r="AC1474" s="6">
        <f>$M$1474*$W$1474</f>
        <v>18016.310876199997</v>
      </c>
      <c r="AD1474" s="6">
        <f>$O$1474*$X$1474</f>
        <v>27696.932372200001</v>
      </c>
      <c r="AE1474" s="6">
        <f>$K$1474*$Y$1474</f>
        <v>0</v>
      </c>
      <c r="AF1474" s="6">
        <f ca="1">$M$1474*$Z$1474</f>
        <v>20958.878764982634</v>
      </c>
      <c r="AG1474" s="6">
        <f>$O$1474*$AA$1474</f>
        <v>35187.896856588581</v>
      </c>
    </row>
    <row r="1475" spans="1:33" ht="11.25" customHeight="1" x14ac:dyDescent="0.25">
      <c r="A1475" s="4" t="s">
        <v>21</v>
      </c>
      <c r="B1475" s="4" t="s">
        <v>35</v>
      </c>
      <c r="C1475" s="4" t="s">
        <v>36</v>
      </c>
      <c r="D1475" s="4" t="s">
        <v>52</v>
      </c>
      <c r="E1475" s="4" t="s">
        <v>53</v>
      </c>
      <c r="F1475" s="4" t="s">
        <v>25</v>
      </c>
      <c r="G1475" s="4" t="s">
        <v>25</v>
      </c>
      <c r="H1475" s="4" t="s">
        <v>38</v>
      </c>
      <c r="I1475" s="5">
        <v>44348</v>
      </c>
      <c r="J1475" s="6">
        <v>0</v>
      </c>
      <c r="K1475" s="77">
        <v>0</v>
      </c>
      <c r="L1475" s="6">
        <v>1258.903</v>
      </c>
      <c r="M1475" s="77">
        <v>1258.903</v>
      </c>
      <c r="N1475" s="6">
        <v>1258.903</v>
      </c>
      <c r="O1475" s="77">
        <v>1258.903</v>
      </c>
      <c r="P1475" s="6">
        <v>0</v>
      </c>
      <c r="Q1475" s="4" t="s">
        <v>26</v>
      </c>
      <c r="R1475" s="4">
        <v>0</v>
      </c>
      <c r="S1475" s="6">
        <v>0</v>
      </c>
      <c r="T1475" s="6">
        <v>19</v>
      </c>
      <c r="U1475" s="6">
        <v>67</v>
      </c>
      <c r="V1475" s="77">
        <f>IF(ISERROR(VLOOKUP($S$1475,'TAR FIN'!$A$1:$O$95,15,0)),0,VLOOKUP($S$1475,'TAR FIN'!$A$1:$O$95,15,0))</f>
        <v>0</v>
      </c>
      <c r="W1475" s="77">
        <f>IF(ISERROR(VLOOKUP($T$1475,'TAR FIN'!$A$1:$O$95,15,0)),0,VLOOKUP($T$1475,'TAR FIN'!$A$1:$O$95,15,0))*(1-0.09)</f>
        <v>136.16329999999999</v>
      </c>
      <c r="X1475" s="77">
        <f>IF(ISERROR(VLOOKUP($U$1475,'TAR FIN'!$A$1:$O$95,15,0)),0,VLOOKUP($U$1475,'TAR FIN'!$A$1:$O$95,15,0))*(1-0.09)</f>
        <v>209.32730000000001</v>
      </c>
      <c r="Y1475" s="77"/>
      <c r="Z1475" s="77">
        <f ca="1">('TUSD BE'!$AM$17+'TUSD BF'!$AM$17+'TUSD CVA'!$AM$17)*1*(1-0.06)</f>
        <v>158.4025784496171</v>
      </c>
      <c r="AA1475" s="77">
        <f>('TE BE'!$AA$8+'TE BF'!$AA$8+'TE CVA'!$AA$8)*1*(1-0.06)</f>
        <v>265.94235573400078</v>
      </c>
      <c r="AB1475" s="6">
        <f>$K$1475*$V$1475</f>
        <v>0</v>
      </c>
      <c r="AC1475" s="6">
        <f>$M$1475*$W$1475</f>
        <v>171416.3868599</v>
      </c>
      <c r="AD1475" s="6">
        <f>$O$1475*$X$1475</f>
        <v>263522.76595189999</v>
      </c>
      <c r="AE1475" s="6">
        <f>$K$1475*$Y$1475</f>
        <v>0</v>
      </c>
      <c r="AF1475" s="6">
        <f ca="1">$M$1475*$Z$1475</f>
        <v>199413.48121795832</v>
      </c>
      <c r="AG1475" s="6">
        <f>$O$1475*$AA$1475</f>
        <v>334795.62946060079</v>
      </c>
    </row>
    <row r="1476" spans="1:33" ht="11.25" customHeight="1" x14ac:dyDescent="0.25">
      <c r="A1476" s="4" t="s">
        <v>28</v>
      </c>
      <c r="B1476" s="4" t="s">
        <v>35</v>
      </c>
      <c r="C1476" s="4" t="s">
        <v>36</v>
      </c>
      <c r="D1476" s="4" t="s">
        <v>52</v>
      </c>
      <c r="E1476" s="4" t="s">
        <v>53</v>
      </c>
      <c r="F1476" s="4" t="s">
        <v>25</v>
      </c>
      <c r="G1476" s="4" t="s">
        <v>25</v>
      </c>
      <c r="H1476" s="4" t="s">
        <v>38</v>
      </c>
      <c r="I1476" s="5">
        <v>44348</v>
      </c>
      <c r="J1476" s="6">
        <v>0</v>
      </c>
      <c r="K1476" s="77">
        <v>0</v>
      </c>
      <c r="L1476" s="6">
        <v>586.72699999999998</v>
      </c>
      <c r="M1476" s="77">
        <v>586.72699999999998</v>
      </c>
      <c r="N1476" s="6">
        <v>586.72699999999998</v>
      </c>
      <c r="O1476" s="77">
        <v>586.72699999999998</v>
      </c>
      <c r="P1476" s="6">
        <v>0</v>
      </c>
      <c r="Q1476" s="4" t="s">
        <v>26</v>
      </c>
      <c r="R1476" s="4">
        <v>0</v>
      </c>
      <c r="S1476" s="6">
        <v>0</v>
      </c>
      <c r="T1476" s="6">
        <v>19</v>
      </c>
      <c r="U1476" s="6">
        <v>67</v>
      </c>
      <c r="V1476" s="77">
        <f>IF(ISERROR(VLOOKUP($S$1476,'TAR FIN'!$A$1:$O$95,15,0)),0,VLOOKUP($S$1476,'TAR FIN'!$A$1:$O$95,15,0))</f>
        <v>0</v>
      </c>
      <c r="W1476" s="77">
        <f>IF(ISERROR(VLOOKUP($T$1476,'TAR FIN'!$A$1:$O$95,15,0)),0,VLOOKUP($T$1476,'TAR FIN'!$A$1:$O$95,15,0))*(1-0.09)</f>
        <v>136.16329999999999</v>
      </c>
      <c r="X1476" s="77">
        <f>IF(ISERROR(VLOOKUP($U$1476,'TAR FIN'!$A$1:$O$95,15,0)),0,VLOOKUP($U$1476,'TAR FIN'!$A$1:$O$95,15,0))*(1-0.09)</f>
        <v>209.32730000000001</v>
      </c>
      <c r="Y1476" s="77"/>
      <c r="Z1476" s="77">
        <f ca="1">('TUSD BE'!$AM$17+'TUSD BF'!$AM$17+'TUSD CVA'!$AM$17)*1*(1-0.06)</f>
        <v>158.4025784496171</v>
      </c>
      <c r="AA1476" s="77">
        <f>('TE BE'!$AA$8+'TE BF'!$AA$8+'TE CVA'!$AA$8)*1*(1-0.06)</f>
        <v>265.94235573400078</v>
      </c>
      <c r="AB1476" s="6">
        <f>$K$1476*$V$1476</f>
        <v>0</v>
      </c>
      <c r="AC1476" s="6">
        <f>$M$1476*$W$1476</f>
        <v>79890.684519099988</v>
      </c>
      <c r="AD1476" s="6">
        <f>$O$1476*$X$1476</f>
        <v>122817.9787471</v>
      </c>
      <c r="AE1476" s="6">
        <f>$K$1476*$Y$1476</f>
        <v>0</v>
      </c>
      <c r="AF1476" s="6">
        <f ca="1">$M$1476*$Z$1476</f>
        <v>92939.069646008487</v>
      </c>
      <c r="AG1476" s="6">
        <f>$O$1476*$AA$1476</f>
        <v>156035.56055274306</v>
      </c>
    </row>
    <row r="1477" spans="1:33" ht="11.25" customHeight="1" x14ac:dyDescent="0.25">
      <c r="A1477" s="4" t="s">
        <v>21</v>
      </c>
      <c r="B1477" s="4" t="s">
        <v>35</v>
      </c>
      <c r="C1477" s="4" t="s">
        <v>36</v>
      </c>
      <c r="D1477" s="4" t="s">
        <v>52</v>
      </c>
      <c r="E1477" s="4" t="s">
        <v>53</v>
      </c>
      <c r="F1477" s="4" t="s">
        <v>25</v>
      </c>
      <c r="G1477" s="4" t="s">
        <v>25</v>
      </c>
      <c r="H1477" s="4" t="s">
        <v>38</v>
      </c>
      <c r="I1477" s="5">
        <v>44378</v>
      </c>
      <c r="J1477" s="6">
        <v>0</v>
      </c>
      <c r="K1477" s="77">
        <v>0</v>
      </c>
      <c r="L1477" s="6">
        <v>1375.585</v>
      </c>
      <c r="M1477" s="77">
        <v>1375.585</v>
      </c>
      <c r="N1477" s="6">
        <v>1375.585</v>
      </c>
      <c r="O1477" s="77">
        <v>1375.585</v>
      </c>
      <c r="P1477" s="6">
        <v>0</v>
      </c>
      <c r="Q1477" s="4" t="s">
        <v>26</v>
      </c>
      <c r="R1477" s="4">
        <v>0</v>
      </c>
      <c r="S1477" s="6">
        <v>0</v>
      </c>
      <c r="T1477" s="6">
        <v>19</v>
      </c>
      <c r="U1477" s="6">
        <v>67</v>
      </c>
      <c r="V1477" s="77">
        <f>IF(ISERROR(VLOOKUP($S$1477,'TAR FIN'!$A$1:$O$95,15,0)),0,VLOOKUP($S$1477,'TAR FIN'!$A$1:$O$95,15,0))</f>
        <v>0</v>
      </c>
      <c r="W1477" s="77">
        <f>IF(ISERROR(VLOOKUP($T$1477,'TAR FIN'!$A$1:$O$95,15,0)),0,VLOOKUP($T$1477,'TAR FIN'!$A$1:$O$95,15,0))*(1-0.09)</f>
        <v>136.16329999999999</v>
      </c>
      <c r="X1477" s="77">
        <f>IF(ISERROR(VLOOKUP($U$1477,'TAR FIN'!$A$1:$O$95,15,0)),0,VLOOKUP($U$1477,'TAR FIN'!$A$1:$O$95,15,0))*(1-0.09)</f>
        <v>209.32730000000001</v>
      </c>
      <c r="Y1477" s="77"/>
      <c r="Z1477" s="77">
        <f ca="1">('TUSD BE'!$AM$17+'TUSD BF'!$AM$17+'TUSD CVA'!$AM$17)*1*(1-0.06)</f>
        <v>158.4025784496171</v>
      </c>
      <c r="AA1477" s="77">
        <f>('TE BE'!$AA$8+'TE BF'!$AA$8+'TE CVA'!$AA$8)*1*(1-0.06)</f>
        <v>265.94235573400078</v>
      </c>
      <c r="AB1477" s="6">
        <f>$K$1477*$V$1477</f>
        <v>0</v>
      </c>
      <c r="AC1477" s="6">
        <f>$M$1477*$W$1477</f>
        <v>187304.1930305</v>
      </c>
      <c r="AD1477" s="6">
        <f>$O$1477*$X$1477</f>
        <v>287947.49397050001</v>
      </c>
      <c r="AE1477" s="6">
        <f>$K$1477*$Y$1477</f>
        <v>0</v>
      </c>
      <c r="AF1477" s="6">
        <f ca="1">$M$1477*$Z$1477</f>
        <v>217896.21087661653</v>
      </c>
      <c r="AG1477" s="6">
        <f>$O$1477*$AA$1477</f>
        <v>365826.31541235547</v>
      </c>
    </row>
    <row r="1478" spans="1:33" ht="11.25" customHeight="1" x14ac:dyDescent="0.25">
      <c r="A1478" s="4" t="s">
        <v>28</v>
      </c>
      <c r="B1478" s="4" t="s">
        <v>35</v>
      </c>
      <c r="C1478" s="4" t="s">
        <v>36</v>
      </c>
      <c r="D1478" s="4" t="s">
        <v>52</v>
      </c>
      <c r="E1478" s="4" t="s">
        <v>53</v>
      </c>
      <c r="F1478" s="4" t="s">
        <v>25</v>
      </c>
      <c r="G1478" s="4" t="s">
        <v>25</v>
      </c>
      <c r="H1478" s="4" t="s">
        <v>38</v>
      </c>
      <c r="I1478" s="5">
        <v>44378</v>
      </c>
      <c r="J1478" s="6">
        <v>0</v>
      </c>
      <c r="K1478" s="77">
        <v>0</v>
      </c>
      <c r="L1478" s="6">
        <v>597.23299999999995</v>
      </c>
      <c r="M1478" s="77">
        <v>597.23299999999995</v>
      </c>
      <c r="N1478" s="6">
        <v>597.23299999999995</v>
      </c>
      <c r="O1478" s="77">
        <v>597.23299999999995</v>
      </c>
      <c r="P1478" s="6">
        <v>0</v>
      </c>
      <c r="Q1478" s="4" t="s">
        <v>26</v>
      </c>
      <c r="R1478" s="4">
        <v>0</v>
      </c>
      <c r="S1478" s="6">
        <v>0</v>
      </c>
      <c r="T1478" s="6">
        <v>19</v>
      </c>
      <c r="U1478" s="6">
        <v>67</v>
      </c>
      <c r="V1478" s="77">
        <f>IF(ISERROR(VLOOKUP($S$1478,'TAR FIN'!$A$1:$O$95,15,0)),0,VLOOKUP($S$1478,'TAR FIN'!$A$1:$O$95,15,0))</f>
        <v>0</v>
      </c>
      <c r="W1478" s="77">
        <f>IF(ISERROR(VLOOKUP($T$1478,'TAR FIN'!$A$1:$O$95,15,0)),0,VLOOKUP($T$1478,'TAR FIN'!$A$1:$O$95,15,0))*(1-0.09)</f>
        <v>136.16329999999999</v>
      </c>
      <c r="X1478" s="77">
        <f>IF(ISERROR(VLOOKUP($U$1478,'TAR FIN'!$A$1:$O$95,15,0)),0,VLOOKUP($U$1478,'TAR FIN'!$A$1:$O$95,15,0))*(1-0.09)</f>
        <v>209.32730000000001</v>
      </c>
      <c r="Y1478" s="77"/>
      <c r="Z1478" s="77">
        <f ca="1">('TUSD BE'!$AM$17+'TUSD BF'!$AM$17+'TUSD CVA'!$AM$17)*1*(1-0.06)</f>
        <v>158.4025784496171</v>
      </c>
      <c r="AA1478" s="77">
        <f>('TE BE'!$AA$8+'TE BF'!$AA$8+'TE CVA'!$AA$8)*1*(1-0.06)</f>
        <v>265.94235573400078</v>
      </c>
      <c r="AB1478" s="6">
        <f>$K$1478*$V$1478</f>
        <v>0</v>
      </c>
      <c r="AC1478" s="6">
        <f>$M$1478*$W$1478</f>
        <v>81321.216148899985</v>
      </c>
      <c r="AD1478" s="6">
        <f>$O$1478*$X$1478</f>
        <v>125017.1713609</v>
      </c>
      <c r="AE1478" s="6">
        <f>$K$1478*$Y$1478</f>
        <v>0</v>
      </c>
      <c r="AF1478" s="6">
        <f ca="1">$M$1478*$Z$1478</f>
        <v>94603.247135200159</v>
      </c>
      <c r="AG1478" s="6">
        <f>$O$1478*$AA$1478</f>
        <v>158829.55094208449</v>
      </c>
    </row>
    <row r="1479" spans="1:33" ht="11.25" customHeight="1" x14ac:dyDescent="0.25">
      <c r="A1479" s="4" t="s">
        <v>21</v>
      </c>
      <c r="B1479" s="4" t="s">
        <v>35</v>
      </c>
      <c r="C1479" s="4" t="s">
        <v>36</v>
      </c>
      <c r="D1479" s="4" t="s">
        <v>52</v>
      </c>
      <c r="E1479" s="4" t="s">
        <v>53</v>
      </c>
      <c r="F1479" s="4" t="s">
        <v>25</v>
      </c>
      <c r="G1479" s="4" t="s">
        <v>25</v>
      </c>
      <c r="H1479" s="4" t="s">
        <v>38</v>
      </c>
      <c r="I1479" s="5">
        <v>44409</v>
      </c>
      <c r="J1479" s="6">
        <v>0</v>
      </c>
      <c r="K1479" s="77">
        <v>0</v>
      </c>
      <c r="L1479" s="6">
        <v>1358.9</v>
      </c>
      <c r="M1479" s="77">
        <v>1358.9</v>
      </c>
      <c r="N1479" s="6">
        <v>1358.9</v>
      </c>
      <c r="O1479" s="77">
        <v>1358.9</v>
      </c>
      <c r="P1479" s="6">
        <v>0</v>
      </c>
      <c r="Q1479" s="4" t="s">
        <v>26</v>
      </c>
      <c r="R1479" s="4">
        <v>0</v>
      </c>
      <c r="S1479" s="6">
        <v>0</v>
      </c>
      <c r="T1479" s="6">
        <v>19</v>
      </c>
      <c r="U1479" s="6">
        <v>67</v>
      </c>
      <c r="V1479" s="77">
        <f>IF(ISERROR(VLOOKUP($S$1479,'TAR FIN'!$A$1:$O$95,15,0)),0,VLOOKUP($S$1479,'TAR FIN'!$A$1:$O$95,15,0))</f>
        <v>0</v>
      </c>
      <c r="W1479" s="77">
        <f>IF(ISERROR(VLOOKUP($T$1479,'TAR FIN'!$A$1:$O$95,15,0)),0,VLOOKUP($T$1479,'TAR FIN'!$A$1:$O$95,15,0))*(1-0.09)</f>
        <v>136.16329999999999</v>
      </c>
      <c r="X1479" s="77">
        <f>IF(ISERROR(VLOOKUP($U$1479,'TAR FIN'!$A$1:$O$95,15,0)),0,VLOOKUP($U$1479,'TAR FIN'!$A$1:$O$95,15,0))*(1-0.09)</f>
        <v>209.32730000000001</v>
      </c>
      <c r="Y1479" s="77"/>
      <c r="Z1479" s="77">
        <f ca="1">('TUSD BE'!$AM$17+'TUSD BF'!$AM$17+'TUSD CVA'!$AM$17)*1*(1-0.06)</f>
        <v>158.4025784496171</v>
      </c>
      <c r="AA1479" s="77">
        <f>('TE BE'!$AA$8+'TE BF'!$AA$8+'TE CVA'!$AA$8)*1*(1-0.06)</f>
        <v>265.94235573400078</v>
      </c>
      <c r="AB1479" s="6">
        <f>$K$1479*$V$1479</f>
        <v>0</v>
      </c>
      <c r="AC1479" s="6">
        <f>$M$1479*$W$1479</f>
        <v>185032.30837000001</v>
      </c>
      <c r="AD1479" s="6">
        <f>$O$1479*$X$1479</f>
        <v>284454.86797000002</v>
      </c>
      <c r="AE1479" s="6">
        <f>$K$1479*$Y$1479</f>
        <v>0</v>
      </c>
      <c r="AF1479" s="6">
        <f ca="1">$M$1479*$Z$1479</f>
        <v>215253.26385518469</v>
      </c>
      <c r="AG1479" s="6">
        <f>$O$1479*$AA$1479</f>
        <v>361389.06720693369</v>
      </c>
    </row>
    <row r="1480" spans="1:33" ht="11.25" customHeight="1" x14ac:dyDescent="0.25">
      <c r="A1480" s="4" t="s">
        <v>28</v>
      </c>
      <c r="B1480" s="4" t="s">
        <v>35</v>
      </c>
      <c r="C1480" s="4" t="s">
        <v>36</v>
      </c>
      <c r="D1480" s="4" t="s">
        <v>52</v>
      </c>
      <c r="E1480" s="4" t="s">
        <v>53</v>
      </c>
      <c r="F1480" s="4" t="s">
        <v>25</v>
      </c>
      <c r="G1480" s="4" t="s">
        <v>25</v>
      </c>
      <c r="H1480" s="4" t="s">
        <v>38</v>
      </c>
      <c r="I1480" s="5">
        <v>44409</v>
      </c>
      <c r="J1480" s="6">
        <v>0</v>
      </c>
      <c r="K1480" s="77">
        <v>0</v>
      </c>
      <c r="L1480" s="6">
        <v>634.44100000000003</v>
      </c>
      <c r="M1480" s="77">
        <v>634.44100000000003</v>
      </c>
      <c r="N1480" s="6">
        <v>634.44100000000003</v>
      </c>
      <c r="O1480" s="77">
        <v>634.44100000000003</v>
      </c>
      <c r="P1480" s="6">
        <v>0</v>
      </c>
      <c r="Q1480" s="4" t="s">
        <v>26</v>
      </c>
      <c r="R1480" s="4">
        <v>0</v>
      </c>
      <c r="S1480" s="6">
        <v>0</v>
      </c>
      <c r="T1480" s="6">
        <v>19</v>
      </c>
      <c r="U1480" s="6">
        <v>67</v>
      </c>
      <c r="V1480" s="77">
        <f>IF(ISERROR(VLOOKUP($S$1480,'TAR FIN'!$A$1:$O$95,15,0)),0,VLOOKUP($S$1480,'TAR FIN'!$A$1:$O$95,15,0))</f>
        <v>0</v>
      </c>
      <c r="W1480" s="77">
        <f>IF(ISERROR(VLOOKUP($T$1480,'TAR FIN'!$A$1:$O$95,15,0)),0,VLOOKUP($T$1480,'TAR FIN'!$A$1:$O$95,15,0))*(1-0.09)</f>
        <v>136.16329999999999</v>
      </c>
      <c r="X1480" s="77">
        <f>IF(ISERROR(VLOOKUP($U$1480,'TAR FIN'!$A$1:$O$95,15,0)),0,VLOOKUP($U$1480,'TAR FIN'!$A$1:$O$95,15,0))*(1-0.09)</f>
        <v>209.32730000000001</v>
      </c>
      <c r="Y1480" s="77"/>
      <c r="Z1480" s="77">
        <f ca="1">('TUSD BE'!$AM$17+'TUSD BF'!$AM$17+'TUSD CVA'!$AM$17)*1*(1-0.06)</f>
        <v>158.4025784496171</v>
      </c>
      <c r="AA1480" s="77">
        <f>('TE BE'!$AA$8+'TE BF'!$AA$8+'TE CVA'!$AA$8)*1*(1-0.06)</f>
        <v>265.94235573400078</v>
      </c>
      <c r="AB1480" s="6">
        <f>$K$1480*$V$1480</f>
        <v>0</v>
      </c>
      <c r="AC1480" s="6">
        <f>$M$1480*$W$1480</f>
        <v>86387.580215299997</v>
      </c>
      <c r="AD1480" s="6">
        <f>$O$1480*$X$1480</f>
        <v>132805.8215393</v>
      </c>
      <c r="AE1480" s="6">
        <f>$K$1480*$Y$1480</f>
        <v>0</v>
      </c>
      <c r="AF1480" s="6">
        <f ca="1">$M$1480*$Z$1480</f>
        <v>100497.09027415352</v>
      </c>
      <c r="AG1480" s="6">
        <f>$O$1480*$AA$1480</f>
        <v>168724.73411423521</v>
      </c>
    </row>
    <row r="1481" spans="1:33" ht="11.25" customHeight="1" x14ac:dyDescent="0.25">
      <c r="A1481" s="4" t="s">
        <v>21</v>
      </c>
      <c r="B1481" s="4" t="s">
        <v>35</v>
      </c>
      <c r="C1481" s="4" t="s">
        <v>36</v>
      </c>
      <c r="D1481" s="4" t="s">
        <v>52</v>
      </c>
      <c r="E1481" s="4" t="s">
        <v>53</v>
      </c>
      <c r="F1481" s="4" t="s">
        <v>25</v>
      </c>
      <c r="G1481" s="4" t="s">
        <v>25</v>
      </c>
      <c r="H1481" s="4" t="s">
        <v>38</v>
      </c>
      <c r="I1481" s="5">
        <v>44440</v>
      </c>
      <c r="J1481" s="6">
        <v>0</v>
      </c>
      <c r="K1481" s="77">
        <v>0</v>
      </c>
      <c r="L1481" s="6">
        <v>1113.9380000000001</v>
      </c>
      <c r="M1481" s="77">
        <v>1113.9380000000001</v>
      </c>
      <c r="N1481" s="6">
        <v>1113.9380000000001</v>
      </c>
      <c r="O1481" s="77">
        <v>1113.9380000000001</v>
      </c>
      <c r="P1481" s="6">
        <v>0</v>
      </c>
      <c r="Q1481" s="4" t="s">
        <v>26</v>
      </c>
      <c r="R1481" s="4">
        <v>0</v>
      </c>
      <c r="S1481" s="6">
        <v>0</v>
      </c>
      <c r="T1481" s="6">
        <v>19</v>
      </c>
      <c r="U1481" s="6">
        <v>67</v>
      </c>
      <c r="V1481" s="77">
        <f>IF(ISERROR(VLOOKUP($S$1481,'TAR FIN'!$A$1:$O$95,15,0)),0,VLOOKUP($S$1481,'TAR FIN'!$A$1:$O$95,15,0))</f>
        <v>0</v>
      </c>
      <c r="W1481" s="77">
        <f>IF(ISERROR(VLOOKUP($T$1481,'TAR FIN'!$A$1:$O$95,15,0)),0,VLOOKUP($T$1481,'TAR FIN'!$A$1:$O$95,15,0))*(1-0.09)</f>
        <v>136.16329999999999</v>
      </c>
      <c r="X1481" s="77">
        <f>IF(ISERROR(VLOOKUP($U$1481,'TAR FIN'!$A$1:$O$95,15,0)),0,VLOOKUP($U$1481,'TAR FIN'!$A$1:$O$95,15,0))*(1-0.09)</f>
        <v>209.32730000000001</v>
      </c>
      <c r="Y1481" s="77"/>
      <c r="Z1481" s="77">
        <f ca="1">('TUSD BE'!$AM$17+'TUSD BF'!$AM$17+'TUSD CVA'!$AM$17)*1*(1-0.06)</f>
        <v>158.4025784496171</v>
      </c>
      <c r="AA1481" s="77">
        <f>('TE BE'!$AA$8+'TE BF'!$AA$8+'TE CVA'!$AA$8)*1*(1-0.06)</f>
        <v>265.94235573400078</v>
      </c>
      <c r="AB1481" s="6">
        <f>$K$1481*$V$1481</f>
        <v>0</v>
      </c>
      <c r="AC1481" s="6">
        <f>$M$1481*$W$1481</f>
        <v>151677.47407540001</v>
      </c>
      <c r="AD1481" s="6">
        <f>$O$1481*$X$1481</f>
        <v>233177.63390740004</v>
      </c>
      <c r="AE1481" s="6">
        <f>$K$1481*$Y$1481</f>
        <v>0</v>
      </c>
      <c r="AF1481" s="6">
        <f ca="1">$M$1481*$Z$1481</f>
        <v>176450.6514330096</v>
      </c>
      <c r="AG1481" s="6">
        <f>$O$1481*$AA$1481</f>
        <v>296243.29586162139</v>
      </c>
    </row>
    <row r="1482" spans="1:33" ht="11.25" customHeight="1" x14ac:dyDescent="0.25">
      <c r="A1482" s="4" t="s">
        <v>28</v>
      </c>
      <c r="B1482" s="4" t="s">
        <v>35</v>
      </c>
      <c r="C1482" s="4" t="s">
        <v>36</v>
      </c>
      <c r="D1482" s="4" t="s">
        <v>52</v>
      </c>
      <c r="E1482" s="4" t="s">
        <v>53</v>
      </c>
      <c r="F1482" s="4" t="s">
        <v>25</v>
      </c>
      <c r="G1482" s="4" t="s">
        <v>25</v>
      </c>
      <c r="H1482" s="4" t="s">
        <v>38</v>
      </c>
      <c r="I1482" s="5">
        <v>44440</v>
      </c>
      <c r="J1482" s="6">
        <v>0</v>
      </c>
      <c r="K1482" s="77">
        <v>0</v>
      </c>
      <c r="L1482" s="6">
        <v>587.50900000000001</v>
      </c>
      <c r="M1482" s="77">
        <v>587.50900000000001</v>
      </c>
      <c r="N1482" s="6">
        <v>587.50900000000001</v>
      </c>
      <c r="O1482" s="77">
        <v>587.50900000000001</v>
      </c>
      <c r="P1482" s="6">
        <v>0</v>
      </c>
      <c r="Q1482" s="4" t="s">
        <v>26</v>
      </c>
      <c r="R1482" s="4">
        <v>0</v>
      </c>
      <c r="S1482" s="6">
        <v>0</v>
      </c>
      <c r="T1482" s="6">
        <v>19</v>
      </c>
      <c r="U1482" s="6">
        <v>67</v>
      </c>
      <c r="V1482" s="77">
        <f>IF(ISERROR(VLOOKUP($S$1482,'TAR FIN'!$A$1:$O$95,15,0)),0,VLOOKUP($S$1482,'TAR FIN'!$A$1:$O$95,15,0))</f>
        <v>0</v>
      </c>
      <c r="W1482" s="77">
        <f>IF(ISERROR(VLOOKUP($T$1482,'TAR FIN'!$A$1:$O$95,15,0)),0,VLOOKUP($T$1482,'TAR FIN'!$A$1:$O$95,15,0))*(1-0.09)</f>
        <v>136.16329999999999</v>
      </c>
      <c r="X1482" s="77">
        <f>IF(ISERROR(VLOOKUP($U$1482,'TAR FIN'!$A$1:$O$95,15,0)),0,VLOOKUP($U$1482,'TAR FIN'!$A$1:$O$95,15,0))*(1-0.09)</f>
        <v>209.32730000000001</v>
      </c>
      <c r="Y1482" s="77"/>
      <c r="Z1482" s="77">
        <f ca="1">('TUSD BE'!$AM$17+'TUSD BF'!$AM$17+'TUSD CVA'!$AM$17)*1*(1-0.06)</f>
        <v>158.4025784496171</v>
      </c>
      <c r="AA1482" s="77">
        <f>('TE BE'!$AA$8+'TE BF'!$AA$8+'TE CVA'!$AA$8)*1*(1-0.06)</f>
        <v>265.94235573400078</v>
      </c>
      <c r="AB1482" s="6">
        <f>$K$1482*$V$1482</f>
        <v>0</v>
      </c>
      <c r="AC1482" s="6">
        <f>$M$1482*$W$1482</f>
        <v>79997.164219700004</v>
      </c>
      <c r="AD1482" s="6">
        <f>$O$1482*$X$1482</f>
        <v>122981.67269570001</v>
      </c>
      <c r="AE1482" s="6">
        <f>$K$1482*$Y$1482</f>
        <v>0</v>
      </c>
      <c r="AF1482" s="6">
        <f ca="1">$M$1482*$Z$1482</f>
        <v>93062.940462356099</v>
      </c>
      <c r="AG1482" s="6">
        <f>$O$1482*$AA$1482</f>
        <v>156243.52747492708</v>
      </c>
    </row>
    <row r="1483" spans="1:33" ht="11.25" customHeight="1" x14ac:dyDescent="0.25">
      <c r="A1483" s="4" t="s">
        <v>59</v>
      </c>
      <c r="B1483" s="4" t="s">
        <v>35</v>
      </c>
      <c r="C1483" s="4" t="s">
        <v>36</v>
      </c>
      <c r="D1483" s="4" t="s">
        <v>52</v>
      </c>
      <c r="E1483" s="4" t="s">
        <v>53</v>
      </c>
      <c r="F1483" s="4" t="s">
        <v>25</v>
      </c>
      <c r="G1483" s="4" t="s">
        <v>25</v>
      </c>
      <c r="H1483" s="4" t="s">
        <v>38</v>
      </c>
      <c r="I1483" s="5">
        <v>44470</v>
      </c>
      <c r="J1483" s="6">
        <v>0</v>
      </c>
      <c r="K1483" s="77">
        <v>0</v>
      </c>
      <c r="L1483" s="6">
        <v>1113.9380000000001</v>
      </c>
      <c r="M1483" s="77">
        <v>1113.9380000000001</v>
      </c>
      <c r="N1483" s="6">
        <v>1113.9380000000001</v>
      </c>
      <c r="O1483" s="77">
        <v>1113.9380000000001</v>
      </c>
      <c r="P1483" s="6">
        <v>0</v>
      </c>
      <c r="Q1483" s="4" t="s">
        <v>26</v>
      </c>
      <c r="R1483" s="4">
        <v>0</v>
      </c>
      <c r="S1483" s="6">
        <v>0</v>
      </c>
      <c r="T1483" s="6">
        <v>19</v>
      </c>
      <c r="U1483" s="6">
        <v>67</v>
      </c>
      <c r="V1483" s="77">
        <f>IF(ISERROR(VLOOKUP($S$1483,'TAR FIN'!$A$1:$O$95,15,0)),0,VLOOKUP($S$1483,'TAR FIN'!$A$1:$O$95,15,0))</f>
        <v>0</v>
      </c>
      <c r="W1483" s="77">
        <f>IF(ISERROR(VLOOKUP($T$1483,'TAR FIN'!$A$1:$O$95,15,0)),0,VLOOKUP($T$1483,'TAR FIN'!$A$1:$O$95,15,0))*(1-0.09)</f>
        <v>136.16329999999999</v>
      </c>
      <c r="X1483" s="77">
        <f>IF(ISERROR(VLOOKUP($U$1483,'TAR FIN'!$A$1:$O$95,15,0)),0,VLOOKUP($U$1483,'TAR FIN'!$A$1:$O$95,15,0))*(1-0.09)</f>
        <v>209.32730000000001</v>
      </c>
      <c r="Y1483" s="77"/>
      <c r="Z1483" s="77">
        <f ca="1">('TUSD BE'!$AM$17+'TUSD BF'!$AM$17+'TUSD CVA'!$AM$17)*1*(1-0.06)</f>
        <v>158.4025784496171</v>
      </c>
      <c r="AA1483" s="77">
        <f>('TE BE'!$AA$8+'TE BF'!$AA$8+'TE CVA'!$AA$8)*1*(1-0.06)</f>
        <v>265.94235573400078</v>
      </c>
      <c r="AB1483" s="6">
        <f>$K$1483*$V$1483</f>
        <v>0</v>
      </c>
      <c r="AC1483" s="6">
        <f>$M$1483*$W$1483</f>
        <v>151677.47407540001</v>
      </c>
      <c r="AD1483" s="6">
        <f>$O$1483*$X$1483</f>
        <v>233177.63390740004</v>
      </c>
      <c r="AE1483" s="6">
        <f>$K$1483*$Y$1483</f>
        <v>0</v>
      </c>
      <c r="AF1483" s="6">
        <f ca="1">$M$1483*$Z$1483</f>
        <v>176450.6514330096</v>
      </c>
      <c r="AG1483" s="6">
        <f>$O$1483*$AA$1483</f>
        <v>296243.29586162139</v>
      </c>
    </row>
    <row r="1484" spans="1:33" ht="11.25" customHeight="1" x14ac:dyDescent="0.25">
      <c r="A1484" s="4" t="s">
        <v>59</v>
      </c>
      <c r="B1484" s="4" t="s">
        <v>35</v>
      </c>
      <c r="C1484" s="4" t="s">
        <v>36</v>
      </c>
      <c r="D1484" s="4" t="s">
        <v>52</v>
      </c>
      <c r="E1484" s="4" t="s">
        <v>53</v>
      </c>
      <c r="F1484" s="4" t="s">
        <v>25</v>
      </c>
      <c r="G1484" s="4" t="s">
        <v>25</v>
      </c>
      <c r="H1484" s="4" t="s">
        <v>38</v>
      </c>
      <c r="I1484" s="5">
        <v>44470</v>
      </c>
      <c r="J1484" s="6">
        <v>0</v>
      </c>
      <c r="K1484" s="77">
        <v>0</v>
      </c>
      <c r="L1484" s="6">
        <v>587.50900000000001</v>
      </c>
      <c r="M1484" s="77">
        <v>587.50900000000001</v>
      </c>
      <c r="N1484" s="6">
        <v>587.50900000000001</v>
      </c>
      <c r="O1484" s="77">
        <v>587.50900000000001</v>
      </c>
      <c r="P1484" s="6">
        <v>0</v>
      </c>
      <c r="Q1484" s="4" t="s">
        <v>26</v>
      </c>
      <c r="R1484" s="4">
        <v>0</v>
      </c>
      <c r="S1484" s="6">
        <v>0</v>
      </c>
      <c r="T1484" s="6">
        <v>19</v>
      </c>
      <c r="U1484" s="6">
        <v>67</v>
      </c>
      <c r="V1484" s="77">
        <f>IF(ISERROR(VLOOKUP($S$1484,'TAR FIN'!$A$1:$O$95,15,0)),0,VLOOKUP($S$1484,'TAR FIN'!$A$1:$O$95,15,0))</f>
        <v>0</v>
      </c>
      <c r="W1484" s="77">
        <f>IF(ISERROR(VLOOKUP($T$1484,'TAR FIN'!$A$1:$O$95,15,0)),0,VLOOKUP($T$1484,'TAR FIN'!$A$1:$O$95,15,0))*(1-0.09)</f>
        <v>136.16329999999999</v>
      </c>
      <c r="X1484" s="77">
        <f>IF(ISERROR(VLOOKUP($U$1484,'TAR FIN'!$A$1:$O$95,15,0)),0,VLOOKUP($U$1484,'TAR FIN'!$A$1:$O$95,15,0))*(1-0.09)</f>
        <v>209.32730000000001</v>
      </c>
      <c r="Y1484" s="77"/>
      <c r="Z1484" s="77">
        <f ca="1">('TUSD BE'!$AM$17+'TUSD BF'!$AM$17+'TUSD CVA'!$AM$17)*1*(1-0.06)</f>
        <v>158.4025784496171</v>
      </c>
      <c r="AA1484" s="77">
        <f>('TE BE'!$AA$8+'TE BF'!$AA$8+'TE CVA'!$AA$8)*1*(1-0.06)</f>
        <v>265.94235573400078</v>
      </c>
      <c r="AB1484" s="6">
        <f>$K$1484*$V$1484</f>
        <v>0</v>
      </c>
      <c r="AC1484" s="6">
        <f>$M$1484*$W$1484</f>
        <v>79997.164219700004</v>
      </c>
      <c r="AD1484" s="6">
        <f>$O$1484*$X$1484</f>
        <v>122981.67269570001</v>
      </c>
      <c r="AE1484" s="6">
        <f>$K$1484*$Y$1484</f>
        <v>0</v>
      </c>
      <c r="AF1484" s="6">
        <f ca="1">$M$1484*$Z$1484</f>
        <v>93062.940462356099</v>
      </c>
      <c r="AG1484" s="6">
        <f>$O$1484*$AA$1484</f>
        <v>156243.52747492708</v>
      </c>
    </row>
    <row r="1485" spans="1:33" ht="11.25" customHeight="1" x14ac:dyDescent="0.25">
      <c r="A1485" s="4" t="s">
        <v>21</v>
      </c>
      <c r="B1485" s="4" t="s">
        <v>35</v>
      </c>
      <c r="C1485" s="4" t="s">
        <v>36</v>
      </c>
      <c r="D1485" s="4" t="s">
        <v>52</v>
      </c>
      <c r="E1485" s="4" t="s">
        <v>53</v>
      </c>
      <c r="F1485" s="4" t="s">
        <v>25</v>
      </c>
      <c r="G1485" s="4" t="s">
        <v>25</v>
      </c>
      <c r="H1485" s="4" t="s">
        <v>25</v>
      </c>
      <c r="I1485" s="5">
        <v>44136</v>
      </c>
      <c r="J1485" s="6">
        <v>3874</v>
      </c>
      <c r="K1485" s="78">
        <v>3874</v>
      </c>
      <c r="L1485" s="6">
        <v>0</v>
      </c>
      <c r="M1485" s="77">
        <v>0</v>
      </c>
      <c r="N1485" s="6">
        <v>0</v>
      </c>
      <c r="O1485" s="77">
        <v>0</v>
      </c>
      <c r="P1485" s="6">
        <v>57</v>
      </c>
      <c r="Q1485" s="4" t="s">
        <v>26</v>
      </c>
      <c r="R1485" s="4">
        <v>0</v>
      </c>
      <c r="S1485" s="6">
        <v>23</v>
      </c>
      <c r="T1485" s="6">
        <v>0</v>
      </c>
      <c r="U1485" s="6">
        <v>0</v>
      </c>
      <c r="V1485" s="77">
        <f>IF(ISERROR(VLOOKUP($S$1485,'TAR FIN'!$A$1:$O$95,15,0)),0,VLOOKUP($S$1485,'TAR FIN'!$A$1:$O$95,15,0))*(1-0.09)</f>
        <v>25.998699999999999</v>
      </c>
      <c r="W1485" s="77">
        <f>IF(ISERROR(VLOOKUP($T$1485,'TAR FIN'!$A$1:$O$95,15,0)),0,VLOOKUP($T$1485,'TAR FIN'!$A$1:$O$95,15,0))</f>
        <v>0</v>
      </c>
      <c r="X1485" s="77">
        <f>IF(ISERROR(VLOOKUP($U$1485,'TAR FIN'!$A$1:$O$95,15,0)),0,VLOOKUP($U$1485,'TAR FIN'!$A$1:$O$95,15,0))</f>
        <v>0</v>
      </c>
      <c r="Y1485" s="77">
        <f ca="1">('TUSD BE'!$AM$15+'TUSD BF'!$AM$15+'TUSD CVA'!$AM$15)*1*(1-0.06)</f>
        <v>30.014803359426047</v>
      </c>
      <c r="Z1485" s="77"/>
      <c r="AA1485" s="77"/>
      <c r="AB1485" s="6">
        <f>$K$1485*$V$1485</f>
        <v>100718.9638</v>
      </c>
      <c r="AC1485" s="6">
        <f>$M$1485*$W$1485</f>
        <v>0</v>
      </c>
      <c r="AD1485" s="6">
        <f>$O$1485*$X$1485</f>
        <v>0</v>
      </c>
      <c r="AE1485" s="6">
        <f ca="1">$K$1485*$Y$1485</f>
        <v>116277.3482144165</v>
      </c>
      <c r="AF1485" s="6">
        <f>$M$1485*$Z$1485</f>
        <v>0</v>
      </c>
      <c r="AG1485" s="6">
        <f>$O$1485*$AA$1485</f>
        <v>0</v>
      </c>
    </row>
    <row r="1486" spans="1:33" ht="11.25" customHeight="1" x14ac:dyDescent="0.25">
      <c r="A1486" s="4" t="s">
        <v>28</v>
      </c>
      <c r="B1486" s="4" t="s">
        <v>35</v>
      </c>
      <c r="C1486" s="4" t="s">
        <v>36</v>
      </c>
      <c r="D1486" s="4" t="s">
        <v>52</v>
      </c>
      <c r="E1486" s="4" t="s">
        <v>53</v>
      </c>
      <c r="F1486" s="4" t="s">
        <v>25</v>
      </c>
      <c r="G1486" s="4" t="s">
        <v>25</v>
      </c>
      <c r="H1486" s="4" t="s">
        <v>25</v>
      </c>
      <c r="I1486" s="5">
        <v>44136</v>
      </c>
      <c r="J1486" s="6">
        <v>1536</v>
      </c>
      <c r="K1486" s="78">
        <v>1536</v>
      </c>
      <c r="L1486" s="6">
        <v>0</v>
      </c>
      <c r="M1486" s="77">
        <v>0</v>
      </c>
      <c r="N1486" s="6">
        <v>0</v>
      </c>
      <c r="O1486" s="77">
        <v>0</v>
      </c>
      <c r="P1486" s="6">
        <v>15</v>
      </c>
      <c r="Q1486" s="4" t="s">
        <v>26</v>
      </c>
      <c r="R1486" s="4">
        <v>0</v>
      </c>
      <c r="S1486" s="6">
        <v>23</v>
      </c>
      <c r="T1486" s="6">
        <v>0</v>
      </c>
      <c r="U1486" s="6">
        <v>0</v>
      </c>
      <c r="V1486" s="77">
        <f>IF(ISERROR(VLOOKUP($S$1486,'TAR FIN'!$A$1:$O$95,15,0)),0,VLOOKUP($S$1486,'TAR FIN'!$A$1:$O$95,15,0))*(1-0.09)</f>
        <v>25.998699999999999</v>
      </c>
      <c r="W1486" s="77">
        <f>IF(ISERROR(VLOOKUP($T$1486,'TAR FIN'!$A$1:$O$95,15,0)),0,VLOOKUP($T$1486,'TAR FIN'!$A$1:$O$95,15,0))</f>
        <v>0</v>
      </c>
      <c r="X1486" s="77">
        <f>IF(ISERROR(VLOOKUP($U$1486,'TAR FIN'!$A$1:$O$95,15,0)),0,VLOOKUP($U$1486,'TAR FIN'!$A$1:$O$95,15,0))</f>
        <v>0</v>
      </c>
      <c r="Y1486" s="77">
        <f ca="1">('TUSD BE'!$AM$15+'TUSD BF'!$AM$15+'TUSD CVA'!$AM$15)*1*(1-0.06)</f>
        <v>30.014803359426047</v>
      </c>
      <c r="Z1486" s="77"/>
      <c r="AA1486" s="77"/>
      <c r="AB1486" s="6">
        <f>$K$1486*$V$1486</f>
        <v>39934.003199999999</v>
      </c>
      <c r="AC1486" s="6">
        <f>$M$1486*$W$1486</f>
        <v>0</v>
      </c>
      <c r="AD1486" s="6">
        <f>$O$1486*$X$1486</f>
        <v>0</v>
      </c>
      <c r="AE1486" s="6">
        <f ca="1">$K$1486*$Y$1486</f>
        <v>46102.737960078404</v>
      </c>
      <c r="AF1486" s="6">
        <f>$M$1486*$Z$1486</f>
        <v>0</v>
      </c>
      <c r="AG1486" s="6">
        <f>$O$1486*$AA$1486</f>
        <v>0</v>
      </c>
    </row>
    <row r="1487" spans="1:33" ht="11.25" customHeight="1" x14ac:dyDescent="0.25">
      <c r="A1487" s="4" t="s">
        <v>21</v>
      </c>
      <c r="B1487" s="4" t="s">
        <v>35</v>
      </c>
      <c r="C1487" s="4" t="s">
        <v>36</v>
      </c>
      <c r="D1487" s="4" t="s">
        <v>52</v>
      </c>
      <c r="E1487" s="4" t="s">
        <v>53</v>
      </c>
      <c r="F1487" s="4" t="s">
        <v>25</v>
      </c>
      <c r="G1487" s="4" t="s">
        <v>25</v>
      </c>
      <c r="H1487" s="4" t="s">
        <v>25</v>
      </c>
      <c r="I1487" s="5">
        <v>44166</v>
      </c>
      <c r="J1487" s="6">
        <v>3837</v>
      </c>
      <c r="K1487" s="78">
        <v>3837</v>
      </c>
      <c r="L1487" s="6">
        <v>0</v>
      </c>
      <c r="M1487" s="77">
        <v>0</v>
      </c>
      <c r="N1487" s="6">
        <v>0</v>
      </c>
      <c r="O1487" s="77">
        <v>0</v>
      </c>
      <c r="P1487" s="6">
        <v>57</v>
      </c>
      <c r="Q1487" s="4" t="s">
        <v>26</v>
      </c>
      <c r="R1487" s="4">
        <v>0</v>
      </c>
      <c r="S1487" s="6">
        <v>23</v>
      </c>
      <c r="T1487" s="6">
        <v>0</v>
      </c>
      <c r="U1487" s="6">
        <v>0</v>
      </c>
      <c r="V1487" s="77">
        <f>IF(ISERROR(VLOOKUP($S$1487,'TAR FIN'!$A$1:$O$95,15,0)),0,VLOOKUP($S$1487,'TAR FIN'!$A$1:$O$95,15,0))*(1-0.09)</f>
        <v>25.998699999999999</v>
      </c>
      <c r="W1487" s="77">
        <f>IF(ISERROR(VLOOKUP($T$1487,'TAR FIN'!$A$1:$O$95,15,0)),0,VLOOKUP($T$1487,'TAR FIN'!$A$1:$O$95,15,0))</f>
        <v>0</v>
      </c>
      <c r="X1487" s="77">
        <f>IF(ISERROR(VLOOKUP($U$1487,'TAR FIN'!$A$1:$O$95,15,0)),0,VLOOKUP($U$1487,'TAR FIN'!$A$1:$O$95,15,0))</f>
        <v>0</v>
      </c>
      <c r="Y1487" s="77">
        <f ca="1">('TUSD BE'!$AM$15+'TUSD BF'!$AM$15+'TUSD CVA'!$AM$15)*1*(1-0.06)</f>
        <v>30.014803359426047</v>
      </c>
      <c r="Z1487" s="77"/>
      <c r="AA1487" s="77"/>
      <c r="AB1487" s="6">
        <f>$K$1487*$V$1487</f>
        <v>99757.011899999998</v>
      </c>
      <c r="AC1487" s="6">
        <f>$M$1487*$W$1487</f>
        <v>0</v>
      </c>
      <c r="AD1487" s="6">
        <f>$O$1487*$X$1487</f>
        <v>0</v>
      </c>
      <c r="AE1487" s="6">
        <f ca="1">$K$1487*$Y$1487</f>
        <v>115166.80049011775</v>
      </c>
      <c r="AF1487" s="6">
        <f>$M$1487*$Z$1487</f>
        <v>0</v>
      </c>
      <c r="AG1487" s="6">
        <f>$O$1487*$AA$1487</f>
        <v>0</v>
      </c>
    </row>
    <row r="1488" spans="1:33" ht="11.25" customHeight="1" x14ac:dyDescent="0.25">
      <c r="A1488" s="4" t="s">
        <v>28</v>
      </c>
      <c r="B1488" s="4" t="s">
        <v>35</v>
      </c>
      <c r="C1488" s="4" t="s">
        <v>36</v>
      </c>
      <c r="D1488" s="4" t="s">
        <v>52</v>
      </c>
      <c r="E1488" s="4" t="s">
        <v>53</v>
      </c>
      <c r="F1488" s="4" t="s">
        <v>25</v>
      </c>
      <c r="G1488" s="4" t="s">
        <v>25</v>
      </c>
      <c r="H1488" s="4" t="s">
        <v>25</v>
      </c>
      <c r="I1488" s="5">
        <v>44166</v>
      </c>
      <c r="J1488" s="6">
        <v>1522</v>
      </c>
      <c r="K1488" s="78">
        <v>1522</v>
      </c>
      <c r="L1488" s="6">
        <v>0</v>
      </c>
      <c r="M1488" s="77">
        <v>0</v>
      </c>
      <c r="N1488" s="6">
        <v>0</v>
      </c>
      <c r="O1488" s="77">
        <v>0</v>
      </c>
      <c r="P1488" s="6">
        <v>15</v>
      </c>
      <c r="Q1488" s="4" t="s">
        <v>26</v>
      </c>
      <c r="R1488" s="4">
        <v>0</v>
      </c>
      <c r="S1488" s="6">
        <v>23</v>
      </c>
      <c r="T1488" s="6">
        <v>0</v>
      </c>
      <c r="U1488" s="6">
        <v>0</v>
      </c>
      <c r="V1488" s="77">
        <f>IF(ISERROR(VLOOKUP($S$1488,'TAR FIN'!$A$1:$O$95,15,0)),0,VLOOKUP($S$1488,'TAR FIN'!$A$1:$O$95,15,0))*(1-0.09)</f>
        <v>25.998699999999999</v>
      </c>
      <c r="W1488" s="77">
        <f>IF(ISERROR(VLOOKUP($T$1488,'TAR FIN'!$A$1:$O$95,15,0)),0,VLOOKUP($T$1488,'TAR FIN'!$A$1:$O$95,15,0))</f>
        <v>0</v>
      </c>
      <c r="X1488" s="77">
        <f>IF(ISERROR(VLOOKUP($U$1488,'TAR FIN'!$A$1:$O$95,15,0)),0,VLOOKUP($U$1488,'TAR FIN'!$A$1:$O$95,15,0))</f>
        <v>0</v>
      </c>
      <c r="Y1488" s="77">
        <f ca="1">('TUSD BE'!$AM$15+'TUSD BF'!$AM$15+'TUSD CVA'!$AM$15)*1*(1-0.06)</f>
        <v>30.014803359426047</v>
      </c>
      <c r="Z1488" s="77"/>
      <c r="AA1488" s="77"/>
      <c r="AB1488" s="6">
        <f>$K$1488*$V$1488</f>
        <v>39570.021399999998</v>
      </c>
      <c r="AC1488" s="6">
        <f>$M$1488*$W$1488</f>
        <v>0</v>
      </c>
      <c r="AD1488" s="6">
        <f>$O$1488*$X$1488</f>
        <v>0</v>
      </c>
      <c r="AE1488" s="6">
        <f ca="1">$K$1488*$Y$1488</f>
        <v>45682.530713046443</v>
      </c>
      <c r="AF1488" s="6">
        <f>$M$1488*$Z$1488</f>
        <v>0</v>
      </c>
      <c r="AG1488" s="6">
        <f>$O$1488*$AA$1488</f>
        <v>0</v>
      </c>
    </row>
    <row r="1489" spans="1:33" ht="11.25" customHeight="1" x14ac:dyDescent="0.25">
      <c r="A1489" s="4" t="s">
        <v>21</v>
      </c>
      <c r="B1489" s="4" t="s">
        <v>35</v>
      </c>
      <c r="C1489" s="4" t="s">
        <v>36</v>
      </c>
      <c r="D1489" s="4" t="s">
        <v>52</v>
      </c>
      <c r="E1489" s="4" t="s">
        <v>53</v>
      </c>
      <c r="F1489" s="4" t="s">
        <v>25</v>
      </c>
      <c r="G1489" s="4" t="s">
        <v>25</v>
      </c>
      <c r="H1489" s="4" t="s">
        <v>25</v>
      </c>
      <c r="I1489" s="5">
        <v>44197</v>
      </c>
      <c r="J1489" s="6">
        <v>3923</v>
      </c>
      <c r="K1489" s="78">
        <v>3923</v>
      </c>
      <c r="L1489" s="6">
        <v>0</v>
      </c>
      <c r="M1489" s="77">
        <v>0</v>
      </c>
      <c r="N1489" s="6">
        <v>0</v>
      </c>
      <c r="O1489" s="77">
        <v>0</v>
      </c>
      <c r="P1489" s="6">
        <v>57</v>
      </c>
      <c r="Q1489" s="4" t="s">
        <v>26</v>
      </c>
      <c r="R1489" s="4">
        <v>0</v>
      </c>
      <c r="S1489" s="6">
        <v>23</v>
      </c>
      <c r="T1489" s="6">
        <v>0</v>
      </c>
      <c r="U1489" s="6">
        <v>0</v>
      </c>
      <c r="V1489" s="77">
        <f>IF(ISERROR(VLOOKUP($S$1489,'TAR FIN'!$A$1:$O$95,15,0)),0,VLOOKUP($S$1489,'TAR FIN'!$A$1:$O$95,15,0))*(1-0.09)</f>
        <v>25.998699999999999</v>
      </c>
      <c r="W1489" s="77">
        <f>IF(ISERROR(VLOOKUP($T$1489,'TAR FIN'!$A$1:$O$95,15,0)),0,VLOOKUP($T$1489,'TAR FIN'!$A$1:$O$95,15,0))</f>
        <v>0</v>
      </c>
      <c r="X1489" s="77">
        <f>IF(ISERROR(VLOOKUP($U$1489,'TAR FIN'!$A$1:$O$95,15,0)),0,VLOOKUP($U$1489,'TAR FIN'!$A$1:$O$95,15,0))</f>
        <v>0</v>
      </c>
      <c r="Y1489" s="77">
        <f ca="1">('TUSD BE'!$AM$15+'TUSD BF'!$AM$15+'TUSD CVA'!$AM$15)*1*(1-0.06)</f>
        <v>30.014803359426047</v>
      </c>
      <c r="Z1489" s="77"/>
      <c r="AA1489" s="77"/>
      <c r="AB1489" s="6">
        <f>$K$1489*$V$1489</f>
        <v>101992.9001</v>
      </c>
      <c r="AC1489" s="6">
        <f>$M$1489*$W$1489</f>
        <v>0</v>
      </c>
      <c r="AD1489" s="6">
        <f>$O$1489*$X$1489</f>
        <v>0</v>
      </c>
      <c r="AE1489" s="6">
        <f ca="1">$K$1489*$Y$1489</f>
        <v>117748.07357902838</v>
      </c>
      <c r="AF1489" s="6">
        <f>$M$1489*$Z$1489</f>
        <v>0</v>
      </c>
      <c r="AG1489" s="6">
        <f>$O$1489*$AA$1489</f>
        <v>0</v>
      </c>
    </row>
    <row r="1490" spans="1:33" ht="11.25" customHeight="1" x14ac:dyDescent="0.25">
      <c r="A1490" s="4" t="s">
        <v>28</v>
      </c>
      <c r="B1490" s="4" t="s">
        <v>35</v>
      </c>
      <c r="C1490" s="4" t="s">
        <v>36</v>
      </c>
      <c r="D1490" s="4" t="s">
        <v>52</v>
      </c>
      <c r="E1490" s="4" t="s">
        <v>53</v>
      </c>
      <c r="F1490" s="4" t="s">
        <v>25</v>
      </c>
      <c r="G1490" s="4" t="s">
        <v>25</v>
      </c>
      <c r="H1490" s="4" t="s">
        <v>25</v>
      </c>
      <c r="I1490" s="5">
        <v>44197</v>
      </c>
      <c r="J1490" s="6">
        <v>1560</v>
      </c>
      <c r="K1490" s="78">
        <v>1560</v>
      </c>
      <c r="L1490" s="6">
        <v>0</v>
      </c>
      <c r="M1490" s="77">
        <v>0</v>
      </c>
      <c r="N1490" s="6">
        <v>0</v>
      </c>
      <c r="O1490" s="77">
        <v>0</v>
      </c>
      <c r="P1490" s="6">
        <v>15</v>
      </c>
      <c r="Q1490" s="4" t="s">
        <v>26</v>
      </c>
      <c r="R1490" s="4">
        <v>0</v>
      </c>
      <c r="S1490" s="6">
        <v>23</v>
      </c>
      <c r="T1490" s="6">
        <v>0</v>
      </c>
      <c r="U1490" s="6">
        <v>0</v>
      </c>
      <c r="V1490" s="77">
        <f>IF(ISERROR(VLOOKUP($S$1490,'TAR FIN'!$A$1:$O$95,15,0)),0,VLOOKUP($S$1490,'TAR FIN'!$A$1:$O$95,15,0))*(1-0.09)</f>
        <v>25.998699999999999</v>
      </c>
      <c r="W1490" s="77">
        <f>IF(ISERROR(VLOOKUP($T$1490,'TAR FIN'!$A$1:$O$95,15,0)),0,VLOOKUP($T$1490,'TAR FIN'!$A$1:$O$95,15,0))</f>
        <v>0</v>
      </c>
      <c r="X1490" s="77">
        <f>IF(ISERROR(VLOOKUP($U$1490,'TAR FIN'!$A$1:$O$95,15,0)),0,VLOOKUP($U$1490,'TAR FIN'!$A$1:$O$95,15,0))</f>
        <v>0</v>
      </c>
      <c r="Y1490" s="77">
        <f ca="1">('TUSD BE'!$AM$15+'TUSD BF'!$AM$15+'TUSD CVA'!$AM$15)*1*(1-0.06)</f>
        <v>30.014803359426047</v>
      </c>
      <c r="Z1490" s="77"/>
      <c r="AA1490" s="77"/>
      <c r="AB1490" s="6">
        <f>$K$1490*$V$1490</f>
        <v>40557.972000000002</v>
      </c>
      <c r="AC1490" s="6">
        <f>$M$1490*$W$1490</f>
        <v>0</v>
      </c>
      <c r="AD1490" s="6">
        <f>$O$1490*$X$1490</f>
        <v>0</v>
      </c>
      <c r="AE1490" s="6">
        <f ca="1">$K$1490*$Y$1490</f>
        <v>46823.093240704635</v>
      </c>
      <c r="AF1490" s="6">
        <f>$M$1490*$Z$1490</f>
        <v>0</v>
      </c>
      <c r="AG1490" s="6">
        <f>$O$1490*$AA$1490</f>
        <v>0</v>
      </c>
    </row>
    <row r="1491" spans="1:33" ht="11.25" customHeight="1" x14ac:dyDescent="0.25">
      <c r="A1491" s="4" t="s">
        <v>21</v>
      </c>
      <c r="B1491" s="4" t="s">
        <v>35</v>
      </c>
      <c r="C1491" s="4" t="s">
        <v>36</v>
      </c>
      <c r="D1491" s="4" t="s">
        <v>52</v>
      </c>
      <c r="E1491" s="4" t="s">
        <v>53</v>
      </c>
      <c r="F1491" s="4" t="s">
        <v>25</v>
      </c>
      <c r="G1491" s="4" t="s">
        <v>25</v>
      </c>
      <c r="H1491" s="4" t="s">
        <v>25</v>
      </c>
      <c r="I1491" s="5">
        <v>44228</v>
      </c>
      <c r="J1491" s="6">
        <v>3867</v>
      </c>
      <c r="K1491" s="78">
        <v>3867</v>
      </c>
      <c r="L1491" s="6">
        <v>0</v>
      </c>
      <c r="M1491" s="77">
        <v>0</v>
      </c>
      <c r="N1491" s="6">
        <v>0</v>
      </c>
      <c r="O1491" s="77">
        <v>0</v>
      </c>
      <c r="P1491" s="6">
        <v>56</v>
      </c>
      <c r="Q1491" s="4" t="s">
        <v>26</v>
      </c>
      <c r="R1491" s="4">
        <v>0</v>
      </c>
      <c r="S1491" s="6">
        <v>23</v>
      </c>
      <c r="T1491" s="6">
        <v>0</v>
      </c>
      <c r="U1491" s="6">
        <v>0</v>
      </c>
      <c r="V1491" s="77">
        <f>IF(ISERROR(VLOOKUP($S$1491,'TAR FIN'!$A$1:$O$95,15,0)),0,VLOOKUP($S$1491,'TAR FIN'!$A$1:$O$95,15,0))*(1-0.09)</f>
        <v>25.998699999999999</v>
      </c>
      <c r="W1491" s="77">
        <f>IF(ISERROR(VLOOKUP($T$1491,'TAR FIN'!$A$1:$O$95,15,0)),0,VLOOKUP($T$1491,'TAR FIN'!$A$1:$O$95,15,0))</f>
        <v>0</v>
      </c>
      <c r="X1491" s="77">
        <f>IF(ISERROR(VLOOKUP($U$1491,'TAR FIN'!$A$1:$O$95,15,0)),0,VLOOKUP($U$1491,'TAR FIN'!$A$1:$O$95,15,0))</f>
        <v>0</v>
      </c>
      <c r="Y1491" s="77">
        <f ca="1">('TUSD BE'!$AM$15+'TUSD BF'!$AM$15+'TUSD CVA'!$AM$15)*1*(1-0.06)</f>
        <v>30.014803359426047</v>
      </c>
      <c r="Z1491" s="77"/>
      <c r="AA1491" s="77"/>
      <c r="AB1491" s="6">
        <f>$K$1491*$V$1491</f>
        <v>100536.97289999999</v>
      </c>
      <c r="AC1491" s="6">
        <f>$M$1491*$W$1491</f>
        <v>0</v>
      </c>
      <c r="AD1491" s="6">
        <f>$O$1491*$X$1491</f>
        <v>0</v>
      </c>
      <c r="AE1491" s="6">
        <f ca="1">$K$1491*$Y$1491</f>
        <v>116067.24459090052</v>
      </c>
      <c r="AF1491" s="6">
        <f>$M$1491*$Z$1491</f>
        <v>0</v>
      </c>
      <c r="AG1491" s="6">
        <f>$O$1491*$AA$1491</f>
        <v>0</v>
      </c>
    </row>
    <row r="1492" spans="1:33" ht="11.25" customHeight="1" x14ac:dyDescent="0.25">
      <c r="A1492" s="4" t="s">
        <v>28</v>
      </c>
      <c r="B1492" s="4" t="s">
        <v>35</v>
      </c>
      <c r="C1492" s="4" t="s">
        <v>36</v>
      </c>
      <c r="D1492" s="4" t="s">
        <v>52</v>
      </c>
      <c r="E1492" s="4" t="s">
        <v>53</v>
      </c>
      <c r="F1492" s="4" t="s">
        <v>25</v>
      </c>
      <c r="G1492" s="4" t="s">
        <v>25</v>
      </c>
      <c r="H1492" s="4" t="s">
        <v>25</v>
      </c>
      <c r="I1492" s="5">
        <v>44228</v>
      </c>
      <c r="J1492" s="6">
        <v>1554</v>
      </c>
      <c r="K1492" s="78">
        <v>1554</v>
      </c>
      <c r="L1492" s="6">
        <v>0</v>
      </c>
      <c r="M1492" s="77">
        <v>0</v>
      </c>
      <c r="N1492" s="6">
        <v>0</v>
      </c>
      <c r="O1492" s="77">
        <v>0</v>
      </c>
      <c r="P1492" s="6">
        <v>15</v>
      </c>
      <c r="Q1492" s="4" t="s">
        <v>26</v>
      </c>
      <c r="R1492" s="4">
        <v>0</v>
      </c>
      <c r="S1492" s="6">
        <v>23</v>
      </c>
      <c r="T1492" s="6">
        <v>0</v>
      </c>
      <c r="U1492" s="6">
        <v>0</v>
      </c>
      <c r="V1492" s="77">
        <f>IF(ISERROR(VLOOKUP($S$1492,'TAR FIN'!$A$1:$O$95,15,0)),0,VLOOKUP($S$1492,'TAR FIN'!$A$1:$O$95,15,0))*(1-0.09)</f>
        <v>25.998699999999999</v>
      </c>
      <c r="W1492" s="77">
        <f>IF(ISERROR(VLOOKUP($T$1492,'TAR FIN'!$A$1:$O$95,15,0)),0,VLOOKUP($T$1492,'TAR FIN'!$A$1:$O$95,15,0))</f>
        <v>0</v>
      </c>
      <c r="X1492" s="77">
        <f>IF(ISERROR(VLOOKUP($U$1492,'TAR FIN'!$A$1:$O$95,15,0)),0,VLOOKUP($U$1492,'TAR FIN'!$A$1:$O$95,15,0))</f>
        <v>0</v>
      </c>
      <c r="Y1492" s="77">
        <f ca="1">('TUSD BE'!$AM$15+'TUSD BF'!$AM$15+'TUSD CVA'!$AM$15)*1*(1-0.06)</f>
        <v>30.014803359426047</v>
      </c>
      <c r="Z1492" s="77"/>
      <c r="AA1492" s="77"/>
      <c r="AB1492" s="6">
        <f>$K$1492*$V$1492</f>
        <v>40401.979800000001</v>
      </c>
      <c r="AC1492" s="6">
        <f>$M$1492*$W$1492</f>
        <v>0</v>
      </c>
      <c r="AD1492" s="6">
        <f>$O$1492*$X$1492</f>
        <v>0</v>
      </c>
      <c r="AE1492" s="6">
        <f ca="1">$K$1492*$Y$1492</f>
        <v>46643.004420548074</v>
      </c>
      <c r="AF1492" s="6">
        <f>$M$1492*$Z$1492</f>
        <v>0</v>
      </c>
      <c r="AG1492" s="6">
        <f>$O$1492*$AA$1492</f>
        <v>0</v>
      </c>
    </row>
    <row r="1493" spans="1:33" ht="11.25" customHeight="1" x14ac:dyDescent="0.25">
      <c r="A1493" s="4" t="s">
        <v>21</v>
      </c>
      <c r="B1493" s="4" t="s">
        <v>35</v>
      </c>
      <c r="C1493" s="4" t="s">
        <v>36</v>
      </c>
      <c r="D1493" s="4" t="s">
        <v>52</v>
      </c>
      <c r="E1493" s="4" t="s">
        <v>53</v>
      </c>
      <c r="F1493" s="4" t="s">
        <v>25</v>
      </c>
      <c r="G1493" s="4" t="s">
        <v>25</v>
      </c>
      <c r="H1493" s="4" t="s">
        <v>25</v>
      </c>
      <c r="I1493" s="5">
        <v>44256</v>
      </c>
      <c r="J1493" s="6">
        <v>4059</v>
      </c>
      <c r="K1493" s="78">
        <v>4059</v>
      </c>
      <c r="L1493" s="6">
        <v>0</v>
      </c>
      <c r="M1493" s="77">
        <v>0</v>
      </c>
      <c r="N1493" s="6">
        <v>0</v>
      </c>
      <c r="O1493" s="77">
        <v>0</v>
      </c>
      <c r="P1493" s="6">
        <v>59</v>
      </c>
      <c r="Q1493" s="4" t="s">
        <v>26</v>
      </c>
      <c r="R1493" s="4">
        <v>0</v>
      </c>
      <c r="S1493" s="6">
        <v>23</v>
      </c>
      <c r="T1493" s="6">
        <v>0</v>
      </c>
      <c r="U1493" s="6">
        <v>0</v>
      </c>
      <c r="V1493" s="77">
        <f>IF(ISERROR(VLOOKUP($S$1493,'TAR FIN'!$A$1:$O$95,15,0)),0,VLOOKUP($S$1493,'TAR FIN'!$A$1:$O$95,15,0))*(1-0.09)</f>
        <v>25.998699999999999</v>
      </c>
      <c r="W1493" s="77">
        <f>IF(ISERROR(VLOOKUP($T$1493,'TAR FIN'!$A$1:$O$95,15,0)),0,VLOOKUP($T$1493,'TAR FIN'!$A$1:$O$95,15,0))</f>
        <v>0</v>
      </c>
      <c r="X1493" s="77">
        <f>IF(ISERROR(VLOOKUP($U$1493,'TAR FIN'!$A$1:$O$95,15,0)),0,VLOOKUP($U$1493,'TAR FIN'!$A$1:$O$95,15,0))</f>
        <v>0</v>
      </c>
      <c r="Y1493" s="77">
        <f ca="1">('TUSD BE'!$AM$15+'TUSD BF'!$AM$15+'TUSD CVA'!$AM$15)*1*(1-0.06)</f>
        <v>30.014803359426047</v>
      </c>
      <c r="Z1493" s="77"/>
      <c r="AA1493" s="77"/>
      <c r="AB1493" s="6">
        <f>$K$1493*$V$1493</f>
        <v>105528.7233</v>
      </c>
      <c r="AC1493" s="6">
        <f>$M$1493*$W$1493</f>
        <v>0</v>
      </c>
      <c r="AD1493" s="6">
        <f>$O$1493*$X$1493</f>
        <v>0</v>
      </c>
      <c r="AE1493" s="6">
        <f ca="1">$K$1493*$Y$1493</f>
        <v>121830.08683591032</v>
      </c>
      <c r="AF1493" s="6">
        <f>$M$1493*$Z$1493</f>
        <v>0</v>
      </c>
      <c r="AG1493" s="6">
        <f>$O$1493*$AA$1493</f>
        <v>0</v>
      </c>
    </row>
    <row r="1494" spans="1:33" ht="11.25" customHeight="1" x14ac:dyDescent="0.25">
      <c r="A1494" s="4" t="s">
        <v>28</v>
      </c>
      <c r="B1494" s="4" t="s">
        <v>35</v>
      </c>
      <c r="C1494" s="4" t="s">
        <v>36</v>
      </c>
      <c r="D1494" s="4" t="s">
        <v>52</v>
      </c>
      <c r="E1494" s="4" t="s">
        <v>53</v>
      </c>
      <c r="F1494" s="4" t="s">
        <v>25</v>
      </c>
      <c r="G1494" s="4" t="s">
        <v>25</v>
      </c>
      <c r="H1494" s="4" t="s">
        <v>25</v>
      </c>
      <c r="I1494" s="5">
        <v>44256</v>
      </c>
      <c r="J1494" s="6">
        <v>1516</v>
      </c>
      <c r="K1494" s="78">
        <v>1516</v>
      </c>
      <c r="L1494" s="6">
        <v>0</v>
      </c>
      <c r="M1494" s="77">
        <v>0</v>
      </c>
      <c r="N1494" s="6">
        <v>0</v>
      </c>
      <c r="O1494" s="77">
        <v>0</v>
      </c>
      <c r="P1494" s="6">
        <v>15</v>
      </c>
      <c r="Q1494" s="4" t="s">
        <v>26</v>
      </c>
      <c r="R1494" s="4">
        <v>0</v>
      </c>
      <c r="S1494" s="6">
        <v>23</v>
      </c>
      <c r="T1494" s="6">
        <v>0</v>
      </c>
      <c r="U1494" s="6">
        <v>0</v>
      </c>
      <c r="V1494" s="77">
        <f>IF(ISERROR(VLOOKUP($S$1494,'TAR FIN'!$A$1:$O$95,15,0)),0,VLOOKUP($S$1494,'TAR FIN'!$A$1:$O$95,15,0))*(1-0.09)</f>
        <v>25.998699999999999</v>
      </c>
      <c r="W1494" s="77">
        <f>IF(ISERROR(VLOOKUP($T$1494,'TAR FIN'!$A$1:$O$95,15,0)),0,VLOOKUP($T$1494,'TAR FIN'!$A$1:$O$95,15,0))</f>
        <v>0</v>
      </c>
      <c r="X1494" s="77">
        <f>IF(ISERROR(VLOOKUP($U$1494,'TAR FIN'!$A$1:$O$95,15,0)),0,VLOOKUP($U$1494,'TAR FIN'!$A$1:$O$95,15,0))</f>
        <v>0</v>
      </c>
      <c r="Y1494" s="77">
        <f ca="1">('TUSD BE'!$AM$15+'TUSD BF'!$AM$15+'TUSD CVA'!$AM$15)*1*(1-0.06)</f>
        <v>30.014803359426047</v>
      </c>
      <c r="Z1494" s="77"/>
      <c r="AA1494" s="77"/>
      <c r="AB1494" s="6">
        <f>$K$1494*$V$1494</f>
        <v>39414.029199999997</v>
      </c>
      <c r="AC1494" s="6">
        <f>$M$1494*$W$1494</f>
        <v>0</v>
      </c>
      <c r="AD1494" s="6">
        <f>$O$1494*$X$1494</f>
        <v>0</v>
      </c>
      <c r="AE1494" s="6">
        <f ca="1">$K$1494*$Y$1494</f>
        <v>45502.441892889889</v>
      </c>
      <c r="AF1494" s="6">
        <f>$M$1494*$Z$1494</f>
        <v>0</v>
      </c>
      <c r="AG1494" s="6">
        <f>$O$1494*$AA$1494</f>
        <v>0</v>
      </c>
    </row>
    <row r="1495" spans="1:33" ht="11.25" customHeight="1" x14ac:dyDescent="0.25">
      <c r="A1495" s="4" t="s">
        <v>21</v>
      </c>
      <c r="B1495" s="4" t="s">
        <v>35</v>
      </c>
      <c r="C1495" s="4" t="s">
        <v>36</v>
      </c>
      <c r="D1495" s="4" t="s">
        <v>52</v>
      </c>
      <c r="E1495" s="4" t="s">
        <v>53</v>
      </c>
      <c r="F1495" s="4" t="s">
        <v>25</v>
      </c>
      <c r="G1495" s="4" t="s">
        <v>25</v>
      </c>
      <c r="H1495" s="4" t="s">
        <v>25</v>
      </c>
      <c r="I1495" s="5">
        <v>44287</v>
      </c>
      <c r="J1495" s="6">
        <v>3935</v>
      </c>
      <c r="K1495" s="78">
        <v>3935</v>
      </c>
      <c r="L1495" s="6">
        <v>0</v>
      </c>
      <c r="M1495" s="77">
        <v>0</v>
      </c>
      <c r="N1495" s="6">
        <v>0</v>
      </c>
      <c r="O1495" s="77">
        <v>0</v>
      </c>
      <c r="P1495" s="6">
        <v>57</v>
      </c>
      <c r="Q1495" s="4" t="s">
        <v>26</v>
      </c>
      <c r="R1495" s="4">
        <v>0</v>
      </c>
      <c r="S1495" s="6">
        <v>23</v>
      </c>
      <c r="T1495" s="6">
        <v>0</v>
      </c>
      <c r="U1495" s="6">
        <v>0</v>
      </c>
      <c r="V1495" s="77">
        <f>IF(ISERROR(VLOOKUP($S$1495,'TAR FIN'!$A$1:$O$95,15,0)),0,VLOOKUP($S$1495,'TAR FIN'!$A$1:$O$95,15,0))*(1-0.09)</f>
        <v>25.998699999999999</v>
      </c>
      <c r="W1495" s="77">
        <f>IF(ISERROR(VLOOKUP($T$1495,'TAR FIN'!$A$1:$O$95,15,0)),0,VLOOKUP($T$1495,'TAR FIN'!$A$1:$O$95,15,0))</f>
        <v>0</v>
      </c>
      <c r="X1495" s="77">
        <f>IF(ISERROR(VLOOKUP($U$1495,'TAR FIN'!$A$1:$O$95,15,0)),0,VLOOKUP($U$1495,'TAR FIN'!$A$1:$O$95,15,0))</f>
        <v>0</v>
      </c>
      <c r="Y1495" s="77">
        <f ca="1">('TUSD BE'!$AM$15+'TUSD BF'!$AM$15+'TUSD CVA'!$AM$15)*1*(1-0.06)</f>
        <v>30.014803359426047</v>
      </c>
      <c r="Z1495" s="77"/>
      <c r="AA1495" s="77"/>
      <c r="AB1495" s="6">
        <f>$K$1495*$V$1495</f>
        <v>102304.8845</v>
      </c>
      <c r="AC1495" s="6">
        <f>$M$1495*$W$1495</f>
        <v>0</v>
      </c>
      <c r="AD1495" s="6">
        <f>$O$1495*$X$1495</f>
        <v>0</v>
      </c>
      <c r="AE1495" s="6">
        <f ca="1">$K$1495*$Y$1495</f>
        <v>118108.25121934149</v>
      </c>
      <c r="AF1495" s="6">
        <f>$M$1495*$Z$1495</f>
        <v>0</v>
      </c>
      <c r="AG1495" s="6">
        <f>$O$1495*$AA$1495</f>
        <v>0</v>
      </c>
    </row>
    <row r="1496" spans="1:33" ht="11.25" customHeight="1" x14ac:dyDescent="0.25">
      <c r="A1496" s="4" t="s">
        <v>27</v>
      </c>
      <c r="B1496" s="4" t="s">
        <v>35</v>
      </c>
      <c r="C1496" s="4" t="s">
        <v>36</v>
      </c>
      <c r="D1496" s="4" t="s">
        <v>52</v>
      </c>
      <c r="E1496" s="4" t="s">
        <v>53</v>
      </c>
      <c r="F1496" s="4" t="s">
        <v>25</v>
      </c>
      <c r="G1496" s="4" t="s">
        <v>25</v>
      </c>
      <c r="H1496" s="4" t="s">
        <v>25</v>
      </c>
      <c r="I1496" s="5">
        <v>44287</v>
      </c>
      <c r="J1496" s="6">
        <v>-95</v>
      </c>
      <c r="K1496" s="78">
        <v>-95</v>
      </c>
      <c r="L1496" s="6">
        <v>0</v>
      </c>
      <c r="M1496" s="77">
        <v>0</v>
      </c>
      <c r="N1496" s="6">
        <v>0</v>
      </c>
      <c r="O1496" s="77">
        <v>0</v>
      </c>
      <c r="P1496" s="6">
        <v>0</v>
      </c>
      <c r="Q1496" s="4" t="s">
        <v>26</v>
      </c>
      <c r="R1496" s="4">
        <v>0</v>
      </c>
      <c r="S1496" s="6">
        <v>23</v>
      </c>
      <c r="T1496" s="6">
        <v>0</v>
      </c>
      <c r="U1496" s="6">
        <v>0</v>
      </c>
      <c r="V1496" s="77">
        <f>IF(ISERROR(VLOOKUP($S$1496,'TAR FIN'!$A$1:$O$95,15,0)),0,VLOOKUP($S$1496,'TAR FIN'!$A$1:$O$95,15,0))*(1-0.09)</f>
        <v>25.998699999999999</v>
      </c>
      <c r="W1496" s="77">
        <f>IF(ISERROR(VLOOKUP($T$1496,'TAR FIN'!$A$1:$O$95,15,0)),0,VLOOKUP($T$1496,'TAR FIN'!$A$1:$O$95,15,0))</f>
        <v>0</v>
      </c>
      <c r="X1496" s="77">
        <f>IF(ISERROR(VLOOKUP($U$1496,'TAR FIN'!$A$1:$O$95,15,0)),0,VLOOKUP($U$1496,'TAR FIN'!$A$1:$O$95,15,0))</f>
        <v>0</v>
      </c>
      <c r="Y1496" s="77">
        <f ca="1">('TUSD BE'!$AM$15+'TUSD BF'!$AM$15+'TUSD CVA'!$AM$15)*1*(1-0.06)</f>
        <v>30.014803359426047</v>
      </c>
      <c r="Z1496" s="77"/>
      <c r="AA1496" s="77"/>
      <c r="AB1496" s="6">
        <f>$K$1496*$V$1496</f>
        <v>-2469.8764999999999</v>
      </c>
      <c r="AC1496" s="6">
        <f>$M$1496*$W$1496</f>
        <v>0</v>
      </c>
      <c r="AD1496" s="6">
        <f>$O$1496*$X$1496</f>
        <v>0</v>
      </c>
      <c r="AE1496" s="6">
        <f ca="1">$K$1496*$Y$1496</f>
        <v>-2851.4063191454743</v>
      </c>
      <c r="AF1496" s="6">
        <f>$M$1496*$Z$1496</f>
        <v>0</v>
      </c>
      <c r="AG1496" s="6">
        <f>$O$1496*$AA$1496</f>
        <v>0</v>
      </c>
    </row>
    <row r="1497" spans="1:33" ht="11.25" customHeight="1" x14ac:dyDescent="0.25">
      <c r="A1497" s="4" t="s">
        <v>28</v>
      </c>
      <c r="B1497" s="4" t="s">
        <v>35</v>
      </c>
      <c r="C1497" s="4" t="s">
        <v>36</v>
      </c>
      <c r="D1497" s="4" t="s">
        <v>52</v>
      </c>
      <c r="E1497" s="4" t="s">
        <v>53</v>
      </c>
      <c r="F1497" s="4" t="s">
        <v>25</v>
      </c>
      <c r="G1497" s="4" t="s">
        <v>25</v>
      </c>
      <c r="H1497" s="4" t="s">
        <v>25</v>
      </c>
      <c r="I1497" s="5">
        <v>44287</v>
      </c>
      <c r="J1497" s="6">
        <v>1563</v>
      </c>
      <c r="K1497" s="78">
        <v>1563</v>
      </c>
      <c r="L1497" s="6">
        <v>0</v>
      </c>
      <c r="M1497" s="77">
        <v>0</v>
      </c>
      <c r="N1497" s="6">
        <v>0</v>
      </c>
      <c r="O1497" s="77">
        <v>0</v>
      </c>
      <c r="P1497" s="6">
        <v>16</v>
      </c>
      <c r="Q1497" s="4" t="s">
        <v>26</v>
      </c>
      <c r="R1497" s="4">
        <v>0</v>
      </c>
      <c r="S1497" s="6">
        <v>23</v>
      </c>
      <c r="T1497" s="6">
        <v>0</v>
      </c>
      <c r="U1497" s="6">
        <v>0</v>
      </c>
      <c r="V1497" s="77">
        <f>IF(ISERROR(VLOOKUP($S$1497,'TAR FIN'!$A$1:$O$95,15,0)),0,VLOOKUP($S$1497,'TAR FIN'!$A$1:$O$95,15,0))*(1-0.09)</f>
        <v>25.998699999999999</v>
      </c>
      <c r="W1497" s="77">
        <f>IF(ISERROR(VLOOKUP($T$1497,'TAR FIN'!$A$1:$O$95,15,0)),0,VLOOKUP($T$1497,'TAR FIN'!$A$1:$O$95,15,0))</f>
        <v>0</v>
      </c>
      <c r="X1497" s="77">
        <f>IF(ISERROR(VLOOKUP($U$1497,'TAR FIN'!$A$1:$O$95,15,0)),0,VLOOKUP($U$1497,'TAR FIN'!$A$1:$O$95,15,0))</f>
        <v>0</v>
      </c>
      <c r="Y1497" s="77">
        <f ca="1">('TUSD BE'!$AM$15+'TUSD BF'!$AM$15+'TUSD CVA'!$AM$15)*1*(1-0.06)</f>
        <v>30.014803359426047</v>
      </c>
      <c r="Z1497" s="77"/>
      <c r="AA1497" s="77"/>
      <c r="AB1497" s="6">
        <f>$K$1497*$V$1497</f>
        <v>40635.968099999998</v>
      </c>
      <c r="AC1497" s="6">
        <f>$M$1497*$W$1497</f>
        <v>0</v>
      </c>
      <c r="AD1497" s="6">
        <f>$O$1497*$X$1497</f>
        <v>0</v>
      </c>
      <c r="AE1497" s="6">
        <f ca="1">$K$1497*$Y$1497</f>
        <v>46913.137650782912</v>
      </c>
      <c r="AF1497" s="6">
        <f>$M$1497*$Z$1497</f>
        <v>0</v>
      </c>
      <c r="AG1497" s="6">
        <f>$O$1497*$AA$1497</f>
        <v>0</v>
      </c>
    </row>
    <row r="1498" spans="1:33" ht="11.25" customHeight="1" x14ac:dyDescent="0.25">
      <c r="A1498" s="4" t="s">
        <v>21</v>
      </c>
      <c r="B1498" s="4" t="s">
        <v>35</v>
      </c>
      <c r="C1498" s="4" t="s">
        <v>36</v>
      </c>
      <c r="D1498" s="4" t="s">
        <v>52</v>
      </c>
      <c r="E1498" s="4" t="s">
        <v>53</v>
      </c>
      <c r="F1498" s="4" t="s">
        <v>25</v>
      </c>
      <c r="G1498" s="4" t="s">
        <v>25</v>
      </c>
      <c r="H1498" s="4" t="s">
        <v>25</v>
      </c>
      <c r="I1498" s="5">
        <v>44317</v>
      </c>
      <c r="J1498" s="6">
        <v>3765</v>
      </c>
      <c r="K1498" s="78">
        <v>3765</v>
      </c>
      <c r="L1498" s="6">
        <v>0</v>
      </c>
      <c r="M1498" s="77">
        <v>0</v>
      </c>
      <c r="N1498" s="6">
        <v>0</v>
      </c>
      <c r="O1498" s="77">
        <v>0</v>
      </c>
      <c r="P1498" s="6">
        <v>57</v>
      </c>
      <c r="Q1498" s="4" t="s">
        <v>26</v>
      </c>
      <c r="R1498" s="4">
        <v>0</v>
      </c>
      <c r="S1498" s="6">
        <v>23</v>
      </c>
      <c r="T1498" s="6">
        <v>0</v>
      </c>
      <c r="U1498" s="6">
        <v>0</v>
      </c>
      <c r="V1498" s="77">
        <f>IF(ISERROR(VLOOKUP($S$1498,'TAR FIN'!$A$1:$O$95,15,0)),0,VLOOKUP($S$1498,'TAR FIN'!$A$1:$O$95,15,0))*(1-0.09)</f>
        <v>25.998699999999999</v>
      </c>
      <c r="W1498" s="77">
        <f>IF(ISERROR(VLOOKUP($T$1498,'TAR FIN'!$A$1:$O$95,15,0)),0,VLOOKUP($T$1498,'TAR FIN'!$A$1:$O$95,15,0))</f>
        <v>0</v>
      </c>
      <c r="X1498" s="77">
        <f>IF(ISERROR(VLOOKUP($U$1498,'TAR FIN'!$A$1:$O$95,15,0)),0,VLOOKUP($U$1498,'TAR FIN'!$A$1:$O$95,15,0))</f>
        <v>0</v>
      </c>
      <c r="Y1498" s="77">
        <f ca="1">('TUSD BE'!$AM$15+'TUSD BF'!$AM$15+'TUSD CVA'!$AM$15)*1*(1-0.06)</f>
        <v>30.014803359426047</v>
      </c>
      <c r="Z1498" s="77"/>
      <c r="AA1498" s="77"/>
      <c r="AB1498" s="6">
        <f>$K$1498*$V$1498</f>
        <v>97885.105500000005</v>
      </c>
      <c r="AC1498" s="6">
        <f>$M$1498*$W$1498</f>
        <v>0</v>
      </c>
      <c r="AD1498" s="6">
        <f>$O$1498*$X$1498</f>
        <v>0</v>
      </c>
      <c r="AE1498" s="6">
        <f ca="1">$K$1498*$Y$1498</f>
        <v>113005.73464823907</v>
      </c>
      <c r="AF1498" s="6">
        <f>$M$1498*$Z$1498</f>
        <v>0</v>
      </c>
      <c r="AG1498" s="6">
        <f>$O$1498*$AA$1498</f>
        <v>0</v>
      </c>
    </row>
    <row r="1499" spans="1:33" ht="11.25" customHeight="1" x14ac:dyDescent="0.25">
      <c r="A1499" s="4" t="s">
        <v>28</v>
      </c>
      <c r="B1499" s="4" t="s">
        <v>35</v>
      </c>
      <c r="C1499" s="4" t="s">
        <v>36</v>
      </c>
      <c r="D1499" s="4" t="s">
        <v>52</v>
      </c>
      <c r="E1499" s="4" t="s">
        <v>53</v>
      </c>
      <c r="F1499" s="4" t="s">
        <v>25</v>
      </c>
      <c r="G1499" s="4" t="s">
        <v>25</v>
      </c>
      <c r="H1499" s="4" t="s">
        <v>25</v>
      </c>
      <c r="I1499" s="5">
        <v>44317</v>
      </c>
      <c r="J1499" s="6">
        <v>1757</v>
      </c>
      <c r="K1499" s="78">
        <v>1757</v>
      </c>
      <c r="L1499" s="6">
        <v>0</v>
      </c>
      <c r="M1499" s="77">
        <v>0</v>
      </c>
      <c r="N1499" s="6">
        <v>0</v>
      </c>
      <c r="O1499" s="77">
        <v>0</v>
      </c>
      <c r="P1499" s="6">
        <v>18</v>
      </c>
      <c r="Q1499" s="4" t="s">
        <v>26</v>
      </c>
      <c r="R1499" s="4">
        <v>0</v>
      </c>
      <c r="S1499" s="6">
        <v>23</v>
      </c>
      <c r="T1499" s="6">
        <v>0</v>
      </c>
      <c r="U1499" s="6">
        <v>0</v>
      </c>
      <c r="V1499" s="77">
        <f>IF(ISERROR(VLOOKUP($S$1499,'TAR FIN'!$A$1:$O$95,15,0)),0,VLOOKUP($S$1499,'TAR FIN'!$A$1:$O$95,15,0))*(1-0.09)</f>
        <v>25.998699999999999</v>
      </c>
      <c r="W1499" s="77">
        <f>IF(ISERROR(VLOOKUP($T$1499,'TAR FIN'!$A$1:$O$95,15,0)),0,VLOOKUP($T$1499,'TAR FIN'!$A$1:$O$95,15,0))</f>
        <v>0</v>
      </c>
      <c r="X1499" s="77">
        <f>IF(ISERROR(VLOOKUP($U$1499,'TAR FIN'!$A$1:$O$95,15,0)),0,VLOOKUP($U$1499,'TAR FIN'!$A$1:$O$95,15,0))</f>
        <v>0</v>
      </c>
      <c r="Y1499" s="77">
        <f ca="1">('TUSD BE'!$AM$15+'TUSD BF'!$AM$15+'TUSD CVA'!$AM$15)*1*(1-0.06)</f>
        <v>30.014803359426047</v>
      </c>
      <c r="Z1499" s="77"/>
      <c r="AA1499" s="77"/>
      <c r="AB1499" s="6">
        <f>$K$1499*$V$1499</f>
        <v>45679.715899999996</v>
      </c>
      <c r="AC1499" s="6">
        <f>$M$1499*$W$1499</f>
        <v>0</v>
      </c>
      <c r="AD1499" s="6">
        <f>$O$1499*$X$1499</f>
        <v>0</v>
      </c>
      <c r="AE1499" s="6">
        <f ca="1">$K$1499*$Y$1499</f>
        <v>52736.009502511566</v>
      </c>
      <c r="AF1499" s="6">
        <f>$M$1499*$Z$1499</f>
        <v>0</v>
      </c>
      <c r="AG1499" s="6">
        <f>$O$1499*$AA$1499</f>
        <v>0</v>
      </c>
    </row>
    <row r="1500" spans="1:33" ht="11.25" customHeight="1" x14ac:dyDescent="0.25">
      <c r="A1500" s="4" t="s">
        <v>29</v>
      </c>
      <c r="B1500" s="4" t="s">
        <v>35</v>
      </c>
      <c r="C1500" s="4" t="s">
        <v>36</v>
      </c>
      <c r="D1500" s="4" t="s">
        <v>52</v>
      </c>
      <c r="E1500" s="4" t="s">
        <v>53</v>
      </c>
      <c r="F1500" s="4" t="s">
        <v>25</v>
      </c>
      <c r="G1500" s="4" t="s">
        <v>25</v>
      </c>
      <c r="H1500" s="4" t="s">
        <v>25</v>
      </c>
      <c r="I1500" s="5">
        <v>44317</v>
      </c>
      <c r="J1500" s="6">
        <v>1800</v>
      </c>
      <c r="K1500" s="78">
        <v>1800</v>
      </c>
      <c r="L1500" s="6">
        <v>0</v>
      </c>
      <c r="M1500" s="77">
        <v>0</v>
      </c>
      <c r="N1500" s="6">
        <v>0</v>
      </c>
      <c r="O1500" s="77">
        <v>0</v>
      </c>
      <c r="P1500" s="6">
        <v>0</v>
      </c>
      <c r="Q1500" s="4" t="s">
        <v>26</v>
      </c>
      <c r="R1500" s="4">
        <v>0</v>
      </c>
      <c r="S1500" s="6">
        <v>23</v>
      </c>
      <c r="T1500" s="6">
        <v>0</v>
      </c>
      <c r="U1500" s="6">
        <v>0</v>
      </c>
      <c r="V1500" s="77">
        <f>IF(ISERROR(VLOOKUP($S$1500,'TAR FIN'!$A$1:$O$95,15,0)),0,VLOOKUP($S$1500,'TAR FIN'!$A$1:$O$95,15,0))*(1-0.09)</f>
        <v>25.998699999999999</v>
      </c>
      <c r="W1500" s="77">
        <f>IF(ISERROR(VLOOKUP($T$1500,'TAR FIN'!$A$1:$O$95,15,0)),0,VLOOKUP($T$1500,'TAR FIN'!$A$1:$O$95,15,0))</f>
        <v>0</v>
      </c>
      <c r="X1500" s="77">
        <f>IF(ISERROR(VLOOKUP($U$1500,'TAR FIN'!$A$1:$O$95,15,0)),0,VLOOKUP($U$1500,'TAR FIN'!$A$1:$O$95,15,0))</f>
        <v>0</v>
      </c>
      <c r="Y1500" s="77">
        <f ca="1">('TUSD BE'!$AM$15+'TUSD BF'!$AM$15+'TUSD CVA'!$AM$15)*1*(1-0.06)</f>
        <v>30.014803359426047</v>
      </c>
      <c r="Z1500" s="77"/>
      <c r="AA1500" s="77"/>
      <c r="AB1500" s="6">
        <f>$K$1500*$V$1500</f>
        <v>46797.659999999996</v>
      </c>
      <c r="AC1500" s="6">
        <f>$M$1500*$W$1500</f>
        <v>0</v>
      </c>
      <c r="AD1500" s="6">
        <f>$O$1500*$X$1500</f>
        <v>0</v>
      </c>
      <c r="AE1500" s="6">
        <f ca="1">$K$1500*$Y$1500</f>
        <v>54026.646046966882</v>
      </c>
      <c r="AF1500" s="6">
        <f>$M$1500*$Z$1500</f>
        <v>0</v>
      </c>
      <c r="AG1500" s="6">
        <f>$O$1500*$AA$1500</f>
        <v>0</v>
      </c>
    </row>
    <row r="1501" spans="1:33" ht="11.25" customHeight="1" x14ac:dyDescent="0.25">
      <c r="A1501" s="4" t="s">
        <v>21</v>
      </c>
      <c r="B1501" s="4" t="s">
        <v>35</v>
      </c>
      <c r="C1501" s="4" t="s">
        <v>36</v>
      </c>
      <c r="D1501" s="4" t="s">
        <v>52</v>
      </c>
      <c r="E1501" s="4" t="s">
        <v>53</v>
      </c>
      <c r="F1501" s="4" t="s">
        <v>25</v>
      </c>
      <c r="G1501" s="4" t="s">
        <v>25</v>
      </c>
      <c r="H1501" s="4" t="s">
        <v>25</v>
      </c>
      <c r="I1501" s="5">
        <v>44348</v>
      </c>
      <c r="J1501" s="6">
        <v>3917</v>
      </c>
      <c r="K1501" s="78">
        <v>3917</v>
      </c>
      <c r="L1501" s="6">
        <v>0</v>
      </c>
      <c r="M1501" s="77">
        <v>0</v>
      </c>
      <c r="N1501" s="6">
        <v>0</v>
      </c>
      <c r="O1501" s="77">
        <v>0</v>
      </c>
      <c r="P1501" s="6">
        <v>56</v>
      </c>
      <c r="Q1501" s="4" t="s">
        <v>26</v>
      </c>
      <c r="R1501" s="4">
        <v>0</v>
      </c>
      <c r="S1501" s="6">
        <v>23</v>
      </c>
      <c r="T1501" s="6">
        <v>0</v>
      </c>
      <c r="U1501" s="6">
        <v>0</v>
      </c>
      <c r="V1501" s="77">
        <f>IF(ISERROR(VLOOKUP($S$1501,'TAR FIN'!$A$1:$O$95,15,0)),0,VLOOKUP($S$1501,'TAR FIN'!$A$1:$O$95,15,0))*(1-0.09)</f>
        <v>25.998699999999999</v>
      </c>
      <c r="W1501" s="77">
        <f>IF(ISERROR(VLOOKUP($T$1501,'TAR FIN'!$A$1:$O$95,15,0)),0,VLOOKUP($T$1501,'TAR FIN'!$A$1:$O$95,15,0))</f>
        <v>0</v>
      </c>
      <c r="X1501" s="77">
        <f>IF(ISERROR(VLOOKUP($U$1501,'TAR FIN'!$A$1:$O$95,15,0)),0,VLOOKUP($U$1501,'TAR FIN'!$A$1:$O$95,15,0))</f>
        <v>0</v>
      </c>
      <c r="Y1501" s="77">
        <f ca="1">('TUSD BE'!$AM$15+'TUSD BF'!$AM$15+'TUSD CVA'!$AM$15)*1*(1-0.06)</f>
        <v>30.014803359426047</v>
      </c>
      <c r="Z1501" s="77"/>
      <c r="AA1501" s="77"/>
      <c r="AB1501" s="6">
        <f>$K$1501*$V$1501</f>
        <v>101836.90789999999</v>
      </c>
      <c r="AC1501" s="6">
        <f>$M$1501*$W$1501</f>
        <v>0</v>
      </c>
      <c r="AD1501" s="6">
        <f>$O$1501*$X$1501</f>
        <v>0</v>
      </c>
      <c r="AE1501" s="6">
        <f ca="1">$K$1501*$Y$1501</f>
        <v>117567.98475887183</v>
      </c>
      <c r="AF1501" s="6">
        <f>$M$1501*$Z$1501</f>
        <v>0</v>
      </c>
      <c r="AG1501" s="6">
        <f>$O$1501*$AA$1501</f>
        <v>0</v>
      </c>
    </row>
    <row r="1502" spans="1:33" ht="11.25" customHeight="1" x14ac:dyDescent="0.25">
      <c r="A1502" s="4" t="s">
        <v>28</v>
      </c>
      <c r="B1502" s="4" t="s">
        <v>35</v>
      </c>
      <c r="C1502" s="4" t="s">
        <v>36</v>
      </c>
      <c r="D1502" s="4" t="s">
        <v>52</v>
      </c>
      <c r="E1502" s="4" t="s">
        <v>53</v>
      </c>
      <c r="F1502" s="4" t="s">
        <v>25</v>
      </c>
      <c r="G1502" s="4" t="s">
        <v>25</v>
      </c>
      <c r="H1502" s="4" t="s">
        <v>25</v>
      </c>
      <c r="I1502" s="5">
        <v>44348</v>
      </c>
      <c r="J1502" s="6">
        <v>1969</v>
      </c>
      <c r="K1502" s="78">
        <v>1969</v>
      </c>
      <c r="L1502" s="6">
        <v>0</v>
      </c>
      <c r="M1502" s="77">
        <v>0</v>
      </c>
      <c r="N1502" s="6">
        <v>0</v>
      </c>
      <c r="O1502" s="77">
        <v>0</v>
      </c>
      <c r="P1502" s="6">
        <v>18</v>
      </c>
      <c r="Q1502" s="4" t="s">
        <v>26</v>
      </c>
      <c r="R1502" s="4">
        <v>0</v>
      </c>
      <c r="S1502" s="6">
        <v>23</v>
      </c>
      <c r="T1502" s="6">
        <v>0</v>
      </c>
      <c r="U1502" s="6">
        <v>0</v>
      </c>
      <c r="V1502" s="77">
        <f>IF(ISERROR(VLOOKUP($S$1502,'TAR FIN'!$A$1:$O$95,15,0)),0,VLOOKUP($S$1502,'TAR FIN'!$A$1:$O$95,15,0))*(1-0.09)</f>
        <v>25.998699999999999</v>
      </c>
      <c r="W1502" s="77">
        <f>IF(ISERROR(VLOOKUP($T$1502,'TAR FIN'!$A$1:$O$95,15,0)),0,VLOOKUP($T$1502,'TAR FIN'!$A$1:$O$95,15,0))</f>
        <v>0</v>
      </c>
      <c r="X1502" s="77">
        <f>IF(ISERROR(VLOOKUP($U$1502,'TAR FIN'!$A$1:$O$95,15,0)),0,VLOOKUP($U$1502,'TAR FIN'!$A$1:$O$95,15,0))</f>
        <v>0</v>
      </c>
      <c r="Y1502" s="77">
        <f ca="1">('TUSD BE'!$AM$15+'TUSD BF'!$AM$15+'TUSD CVA'!$AM$15)*1*(1-0.06)</f>
        <v>30.014803359426047</v>
      </c>
      <c r="Z1502" s="77"/>
      <c r="AA1502" s="77"/>
      <c r="AB1502" s="6">
        <f>$K$1502*$V$1502</f>
        <v>51191.440300000002</v>
      </c>
      <c r="AC1502" s="6">
        <f>$M$1502*$W$1502</f>
        <v>0</v>
      </c>
      <c r="AD1502" s="6">
        <f>$O$1502*$X$1502</f>
        <v>0</v>
      </c>
      <c r="AE1502" s="6">
        <f ca="1">$K$1502*$Y$1502</f>
        <v>59099.14781470989</v>
      </c>
      <c r="AF1502" s="6">
        <f>$M$1502*$Z$1502</f>
        <v>0</v>
      </c>
      <c r="AG1502" s="6">
        <f>$O$1502*$AA$1502</f>
        <v>0</v>
      </c>
    </row>
    <row r="1503" spans="1:33" ht="11.25" customHeight="1" x14ac:dyDescent="0.25">
      <c r="A1503" s="4" t="s">
        <v>21</v>
      </c>
      <c r="B1503" s="4" t="s">
        <v>35</v>
      </c>
      <c r="C1503" s="4" t="s">
        <v>36</v>
      </c>
      <c r="D1503" s="4" t="s">
        <v>52</v>
      </c>
      <c r="E1503" s="4" t="s">
        <v>53</v>
      </c>
      <c r="F1503" s="4" t="s">
        <v>25</v>
      </c>
      <c r="G1503" s="4" t="s">
        <v>25</v>
      </c>
      <c r="H1503" s="4" t="s">
        <v>25</v>
      </c>
      <c r="I1503" s="5">
        <v>44378</v>
      </c>
      <c r="J1503" s="6">
        <v>3911</v>
      </c>
      <c r="K1503" s="78">
        <v>3911</v>
      </c>
      <c r="L1503" s="6">
        <v>0</v>
      </c>
      <c r="M1503" s="77">
        <v>0</v>
      </c>
      <c r="N1503" s="6">
        <v>0</v>
      </c>
      <c r="O1503" s="77">
        <v>0</v>
      </c>
      <c r="P1503" s="6">
        <v>56</v>
      </c>
      <c r="Q1503" s="4" t="s">
        <v>26</v>
      </c>
      <c r="R1503" s="4">
        <v>0</v>
      </c>
      <c r="S1503" s="6">
        <v>23</v>
      </c>
      <c r="T1503" s="6">
        <v>0</v>
      </c>
      <c r="U1503" s="6">
        <v>0</v>
      </c>
      <c r="V1503" s="77">
        <f>IF(ISERROR(VLOOKUP($S$1503,'TAR FIN'!$A$1:$O$95,15,0)),0,VLOOKUP($S$1503,'TAR FIN'!$A$1:$O$95,15,0))*(1-0.09)</f>
        <v>25.998699999999999</v>
      </c>
      <c r="W1503" s="77">
        <f>IF(ISERROR(VLOOKUP($T$1503,'TAR FIN'!$A$1:$O$95,15,0)),0,VLOOKUP($T$1503,'TAR FIN'!$A$1:$O$95,15,0))</f>
        <v>0</v>
      </c>
      <c r="X1503" s="77">
        <f>IF(ISERROR(VLOOKUP($U$1503,'TAR FIN'!$A$1:$O$95,15,0)),0,VLOOKUP($U$1503,'TAR FIN'!$A$1:$O$95,15,0))</f>
        <v>0</v>
      </c>
      <c r="Y1503" s="77">
        <f ca="1">('TUSD BE'!$AM$15+'TUSD BF'!$AM$15+'TUSD CVA'!$AM$15)*1*(1-0.06)</f>
        <v>30.014803359426047</v>
      </c>
      <c r="Z1503" s="77"/>
      <c r="AA1503" s="77"/>
      <c r="AB1503" s="6">
        <f>$K$1503*$V$1503</f>
        <v>101680.9157</v>
      </c>
      <c r="AC1503" s="6">
        <f>$M$1503*$W$1503</f>
        <v>0</v>
      </c>
      <c r="AD1503" s="6">
        <f>$O$1503*$X$1503</f>
        <v>0</v>
      </c>
      <c r="AE1503" s="6">
        <f ca="1">$K$1503*$Y$1503</f>
        <v>117387.89593871527</v>
      </c>
      <c r="AF1503" s="6">
        <f>$M$1503*$Z$1503</f>
        <v>0</v>
      </c>
      <c r="AG1503" s="6">
        <f>$O$1503*$AA$1503</f>
        <v>0</v>
      </c>
    </row>
    <row r="1504" spans="1:33" ht="11.25" customHeight="1" x14ac:dyDescent="0.25">
      <c r="A1504" s="4" t="s">
        <v>28</v>
      </c>
      <c r="B1504" s="4" t="s">
        <v>35</v>
      </c>
      <c r="C1504" s="4" t="s">
        <v>36</v>
      </c>
      <c r="D1504" s="4" t="s">
        <v>52</v>
      </c>
      <c r="E1504" s="4" t="s">
        <v>53</v>
      </c>
      <c r="F1504" s="4" t="s">
        <v>25</v>
      </c>
      <c r="G1504" s="4" t="s">
        <v>25</v>
      </c>
      <c r="H1504" s="4" t="s">
        <v>25</v>
      </c>
      <c r="I1504" s="5">
        <v>44378</v>
      </c>
      <c r="J1504" s="6">
        <v>1810</v>
      </c>
      <c r="K1504" s="78">
        <v>1810</v>
      </c>
      <c r="L1504" s="6">
        <v>0</v>
      </c>
      <c r="M1504" s="77">
        <v>0</v>
      </c>
      <c r="N1504" s="6">
        <v>0</v>
      </c>
      <c r="O1504" s="77">
        <v>0</v>
      </c>
      <c r="P1504" s="6">
        <v>18</v>
      </c>
      <c r="Q1504" s="4" t="s">
        <v>26</v>
      </c>
      <c r="R1504" s="4">
        <v>0</v>
      </c>
      <c r="S1504" s="6">
        <v>23</v>
      </c>
      <c r="T1504" s="6">
        <v>0</v>
      </c>
      <c r="U1504" s="6">
        <v>0</v>
      </c>
      <c r="V1504" s="77">
        <f>IF(ISERROR(VLOOKUP($S$1504,'TAR FIN'!$A$1:$O$95,15,0)),0,VLOOKUP($S$1504,'TAR FIN'!$A$1:$O$95,15,0))*(1-0.09)</f>
        <v>25.998699999999999</v>
      </c>
      <c r="W1504" s="77">
        <f>IF(ISERROR(VLOOKUP($T$1504,'TAR FIN'!$A$1:$O$95,15,0)),0,VLOOKUP($T$1504,'TAR FIN'!$A$1:$O$95,15,0))</f>
        <v>0</v>
      </c>
      <c r="X1504" s="77">
        <f>IF(ISERROR(VLOOKUP($U$1504,'TAR FIN'!$A$1:$O$95,15,0)),0,VLOOKUP($U$1504,'TAR FIN'!$A$1:$O$95,15,0))</f>
        <v>0</v>
      </c>
      <c r="Y1504" s="77">
        <f ca="1">('TUSD BE'!$AM$15+'TUSD BF'!$AM$15+'TUSD CVA'!$AM$15)*1*(1-0.06)</f>
        <v>30.014803359426047</v>
      </c>
      <c r="Z1504" s="77"/>
      <c r="AA1504" s="77"/>
      <c r="AB1504" s="6">
        <f>$K$1504*$V$1504</f>
        <v>47057.646999999997</v>
      </c>
      <c r="AC1504" s="6">
        <f>$M$1504*$W$1504</f>
        <v>0</v>
      </c>
      <c r="AD1504" s="6">
        <f>$O$1504*$X$1504</f>
        <v>0</v>
      </c>
      <c r="AE1504" s="6">
        <f ca="1">$K$1504*$Y$1504</f>
        <v>54326.794080561143</v>
      </c>
      <c r="AF1504" s="6">
        <f>$M$1504*$Z$1504</f>
        <v>0</v>
      </c>
      <c r="AG1504" s="6">
        <f>$O$1504*$AA$1504</f>
        <v>0</v>
      </c>
    </row>
    <row r="1505" spans="1:33" ht="11.25" customHeight="1" x14ac:dyDescent="0.25">
      <c r="A1505" s="4" t="s">
        <v>21</v>
      </c>
      <c r="B1505" s="4" t="s">
        <v>35</v>
      </c>
      <c r="C1505" s="4" t="s">
        <v>36</v>
      </c>
      <c r="D1505" s="4" t="s">
        <v>52</v>
      </c>
      <c r="E1505" s="4" t="s">
        <v>53</v>
      </c>
      <c r="F1505" s="4" t="s">
        <v>25</v>
      </c>
      <c r="G1505" s="4" t="s">
        <v>25</v>
      </c>
      <c r="H1505" s="4" t="s">
        <v>25</v>
      </c>
      <c r="I1505" s="5">
        <v>44409</v>
      </c>
      <c r="J1505" s="6">
        <v>3903</v>
      </c>
      <c r="K1505" s="78">
        <v>3903</v>
      </c>
      <c r="L1505" s="6">
        <v>0</v>
      </c>
      <c r="M1505" s="77">
        <v>0</v>
      </c>
      <c r="N1505" s="6">
        <v>0</v>
      </c>
      <c r="O1505" s="77">
        <v>0</v>
      </c>
      <c r="P1505" s="6">
        <v>56</v>
      </c>
      <c r="Q1505" s="4" t="s">
        <v>26</v>
      </c>
      <c r="R1505" s="4">
        <v>0</v>
      </c>
      <c r="S1505" s="6">
        <v>23</v>
      </c>
      <c r="T1505" s="6">
        <v>0</v>
      </c>
      <c r="U1505" s="6">
        <v>0</v>
      </c>
      <c r="V1505" s="77">
        <f>IF(ISERROR(VLOOKUP($S$1505,'TAR FIN'!$A$1:$O$95,15,0)),0,VLOOKUP($S$1505,'TAR FIN'!$A$1:$O$95,15,0))*(1-0.09)</f>
        <v>25.998699999999999</v>
      </c>
      <c r="W1505" s="77">
        <f>IF(ISERROR(VLOOKUP($T$1505,'TAR FIN'!$A$1:$O$95,15,0)),0,VLOOKUP($T$1505,'TAR FIN'!$A$1:$O$95,15,0))</f>
        <v>0</v>
      </c>
      <c r="X1505" s="77">
        <f>IF(ISERROR(VLOOKUP($U$1505,'TAR FIN'!$A$1:$O$95,15,0)),0,VLOOKUP($U$1505,'TAR FIN'!$A$1:$O$95,15,0))</f>
        <v>0</v>
      </c>
      <c r="Y1505" s="77">
        <f ca="1">('TUSD BE'!$AM$15+'TUSD BF'!$AM$15+'TUSD CVA'!$AM$15)*1*(1-0.06)</f>
        <v>30.014803359426047</v>
      </c>
      <c r="Z1505" s="77"/>
      <c r="AA1505" s="77"/>
      <c r="AB1505" s="6">
        <f>$K$1505*$V$1505</f>
        <v>101472.9261</v>
      </c>
      <c r="AC1505" s="6">
        <f>$M$1505*$W$1505</f>
        <v>0</v>
      </c>
      <c r="AD1505" s="6">
        <f>$O$1505*$X$1505</f>
        <v>0</v>
      </c>
      <c r="AE1505" s="6">
        <f ca="1">$K$1505*$Y$1505</f>
        <v>117147.77751183986</v>
      </c>
      <c r="AF1505" s="6">
        <f>$M$1505*$Z$1505</f>
        <v>0</v>
      </c>
      <c r="AG1505" s="6">
        <f>$O$1505*$AA$1505</f>
        <v>0</v>
      </c>
    </row>
    <row r="1506" spans="1:33" ht="11.25" customHeight="1" x14ac:dyDescent="0.25">
      <c r="A1506" s="4" t="s">
        <v>28</v>
      </c>
      <c r="B1506" s="4" t="s">
        <v>35</v>
      </c>
      <c r="C1506" s="4" t="s">
        <v>36</v>
      </c>
      <c r="D1506" s="4" t="s">
        <v>52</v>
      </c>
      <c r="E1506" s="4" t="s">
        <v>53</v>
      </c>
      <c r="F1506" s="4" t="s">
        <v>25</v>
      </c>
      <c r="G1506" s="4" t="s">
        <v>25</v>
      </c>
      <c r="H1506" s="4" t="s">
        <v>25</v>
      </c>
      <c r="I1506" s="5">
        <v>44409</v>
      </c>
      <c r="J1506" s="6">
        <v>1974</v>
      </c>
      <c r="K1506" s="78">
        <v>1974</v>
      </c>
      <c r="L1506" s="6">
        <v>0</v>
      </c>
      <c r="M1506" s="77">
        <v>0</v>
      </c>
      <c r="N1506" s="6">
        <v>0</v>
      </c>
      <c r="O1506" s="77">
        <v>0</v>
      </c>
      <c r="P1506" s="6">
        <v>18</v>
      </c>
      <c r="Q1506" s="4" t="s">
        <v>26</v>
      </c>
      <c r="R1506" s="4">
        <v>0</v>
      </c>
      <c r="S1506" s="6">
        <v>23</v>
      </c>
      <c r="T1506" s="6">
        <v>0</v>
      </c>
      <c r="U1506" s="6">
        <v>0</v>
      </c>
      <c r="V1506" s="77">
        <f>IF(ISERROR(VLOOKUP($S$1506,'TAR FIN'!$A$1:$O$95,15,0)),0,VLOOKUP($S$1506,'TAR FIN'!$A$1:$O$95,15,0))*(1-0.09)</f>
        <v>25.998699999999999</v>
      </c>
      <c r="W1506" s="77">
        <f>IF(ISERROR(VLOOKUP($T$1506,'TAR FIN'!$A$1:$O$95,15,0)),0,VLOOKUP($T$1506,'TAR FIN'!$A$1:$O$95,15,0))</f>
        <v>0</v>
      </c>
      <c r="X1506" s="77">
        <f>IF(ISERROR(VLOOKUP($U$1506,'TAR FIN'!$A$1:$O$95,15,0)),0,VLOOKUP($U$1506,'TAR FIN'!$A$1:$O$95,15,0))</f>
        <v>0</v>
      </c>
      <c r="Y1506" s="77">
        <f ca="1">('TUSD BE'!$AM$15+'TUSD BF'!$AM$15+'TUSD CVA'!$AM$15)*1*(1-0.06)</f>
        <v>30.014803359426047</v>
      </c>
      <c r="Z1506" s="77"/>
      <c r="AA1506" s="77"/>
      <c r="AB1506" s="6">
        <f>$K$1506*$V$1506</f>
        <v>51321.433799999999</v>
      </c>
      <c r="AC1506" s="6">
        <f>$M$1506*$W$1506</f>
        <v>0</v>
      </c>
      <c r="AD1506" s="6">
        <f>$O$1506*$X$1506</f>
        <v>0</v>
      </c>
      <c r="AE1506" s="6">
        <f ca="1">$K$1506*$Y$1506</f>
        <v>59249.221831507013</v>
      </c>
      <c r="AF1506" s="6">
        <f>$M$1506*$Z$1506</f>
        <v>0</v>
      </c>
      <c r="AG1506" s="6">
        <f>$O$1506*$AA$1506</f>
        <v>0</v>
      </c>
    </row>
    <row r="1507" spans="1:33" ht="11.25" customHeight="1" x14ac:dyDescent="0.25">
      <c r="A1507" s="4" t="s">
        <v>21</v>
      </c>
      <c r="B1507" s="4" t="s">
        <v>35</v>
      </c>
      <c r="C1507" s="4" t="s">
        <v>36</v>
      </c>
      <c r="D1507" s="4" t="s">
        <v>52</v>
      </c>
      <c r="E1507" s="4" t="s">
        <v>53</v>
      </c>
      <c r="F1507" s="4" t="s">
        <v>25</v>
      </c>
      <c r="G1507" s="4" t="s">
        <v>25</v>
      </c>
      <c r="H1507" s="4" t="s">
        <v>25</v>
      </c>
      <c r="I1507" s="5">
        <v>44440</v>
      </c>
      <c r="J1507" s="6">
        <v>3576</v>
      </c>
      <c r="K1507" s="78">
        <v>3576</v>
      </c>
      <c r="L1507" s="6">
        <v>0</v>
      </c>
      <c r="M1507" s="77">
        <v>0</v>
      </c>
      <c r="N1507" s="6">
        <v>0</v>
      </c>
      <c r="O1507" s="77">
        <v>0</v>
      </c>
      <c r="P1507" s="6">
        <v>53</v>
      </c>
      <c r="Q1507" s="4" t="s">
        <v>26</v>
      </c>
      <c r="R1507" s="4">
        <v>0</v>
      </c>
      <c r="S1507" s="6">
        <v>23</v>
      </c>
      <c r="T1507" s="6">
        <v>0</v>
      </c>
      <c r="U1507" s="6">
        <v>0</v>
      </c>
      <c r="V1507" s="77">
        <f>IF(ISERROR(VLOOKUP($S$1507,'TAR FIN'!$A$1:$O$95,15,0)),0,VLOOKUP($S$1507,'TAR FIN'!$A$1:$O$95,15,0))*(1-0.09)</f>
        <v>25.998699999999999</v>
      </c>
      <c r="W1507" s="77">
        <f>IF(ISERROR(VLOOKUP($T$1507,'TAR FIN'!$A$1:$O$95,15,0)),0,VLOOKUP($T$1507,'TAR FIN'!$A$1:$O$95,15,0))</f>
        <v>0</v>
      </c>
      <c r="X1507" s="77">
        <f>IF(ISERROR(VLOOKUP($U$1507,'TAR FIN'!$A$1:$O$95,15,0)),0,VLOOKUP($U$1507,'TAR FIN'!$A$1:$O$95,15,0))</f>
        <v>0</v>
      </c>
      <c r="Y1507" s="77">
        <f ca="1">('TUSD BE'!$AM$15+'TUSD BF'!$AM$15+'TUSD CVA'!$AM$15)*1*(1-0.06)</f>
        <v>30.014803359426047</v>
      </c>
      <c r="Z1507" s="77"/>
      <c r="AA1507" s="77"/>
      <c r="AB1507" s="6">
        <f>$K$1507*$V$1507</f>
        <v>92971.351200000005</v>
      </c>
      <c r="AC1507" s="6">
        <f>$M$1507*$W$1507</f>
        <v>0</v>
      </c>
      <c r="AD1507" s="6">
        <f>$O$1507*$X$1507</f>
        <v>0</v>
      </c>
      <c r="AE1507" s="6">
        <f ca="1">$K$1507*$Y$1507</f>
        <v>107332.93681330755</v>
      </c>
      <c r="AF1507" s="6">
        <f>$M$1507*$Z$1507</f>
        <v>0</v>
      </c>
      <c r="AG1507" s="6">
        <f>$O$1507*$AA$1507</f>
        <v>0</v>
      </c>
    </row>
    <row r="1508" spans="1:33" ht="11.25" customHeight="1" x14ac:dyDescent="0.25">
      <c r="A1508" s="4" t="s">
        <v>28</v>
      </c>
      <c r="B1508" s="4" t="s">
        <v>35</v>
      </c>
      <c r="C1508" s="4" t="s">
        <v>36</v>
      </c>
      <c r="D1508" s="4" t="s">
        <v>52</v>
      </c>
      <c r="E1508" s="4" t="s">
        <v>53</v>
      </c>
      <c r="F1508" s="4" t="s">
        <v>25</v>
      </c>
      <c r="G1508" s="4" t="s">
        <v>25</v>
      </c>
      <c r="H1508" s="4" t="s">
        <v>25</v>
      </c>
      <c r="I1508" s="5">
        <v>44440</v>
      </c>
      <c r="J1508" s="6">
        <v>1879</v>
      </c>
      <c r="K1508" s="78">
        <v>1879</v>
      </c>
      <c r="L1508" s="6">
        <v>0</v>
      </c>
      <c r="M1508" s="77">
        <v>0</v>
      </c>
      <c r="N1508" s="6">
        <v>0</v>
      </c>
      <c r="O1508" s="77">
        <v>0</v>
      </c>
      <c r="P1508" s="6">
        <v>18</v>
      </c>
      <c r="Q1508" s="4" t="s">
        <v>26</v>
      </c>
      <c r="R1508" s="4">
        <v>0</v>
      </c>
      <c r="S1508" s="6">
        <v>23</v>
      </c>
      <c r="T1508" s="6">
        <v>0</v>
      </c>
      <c r="U1508" s="6">
        <v>0</v>
      </c>
      <c r="V1508" s="77">
        <f>IF(ISERROR(VLOOKUP($S$1508,'TAR FIN'!$A$1:$O$95,15,0)),0,VLOOKUP($S$1508,'TAR FIN'!$A$1:$O$95,15,0))*(1-0.09)</f>
        <v>25.998699999999999</v>
      </c>
      <c r="W1508" s="77">
        <f>IF(ISERROR(VLOOKUP($T$1508,'TAR FIN'!$A$1:$O$95,15,0)),0,VLOOKUP($T$1508,'TAR FIN'!$A$1:$O$95,15,0))</f>
        <v>0</v>
      </c>
      <c r="X1508" s="77">
        <f>IF(ISERROR(VLOOKUP($U$1508,'TAR FIN'!$A$1:$O$95,15,0)),0,VLOOKUP($U$1508,'TAR FIN'!$A$1:$O$95,15,0))</f>
        <v>0</v>
      </c>
      <c r="Y1508" s="77">
        <f ca="1">('TUSD BE'!$AM$15+'TUSD BF'!$AM$15+'TUSD CVA'!$AM$15)*1*(1-0.06)</f>
        <v>30.014803359426047</v>
      </c>
      <c r="Z1508" s="77"/>
      <c r="AA1508" s="77"/>
      <c r="AB1508" s="6">
        <f>$K$1508*$V$1508</f>
        <v>48851.5573</v>
      </c>
      <c r="AC1508" s="6">
        <f>$M$1508*$W$1508</f>
        <v>0</v>
      </c>
      <c r="AD1508" s="6">
        <f>$O$1508*$X$1508</f>
        <v>0</v>
      </c>
      <c r="AE1508" s="6">
        <f ca="1">$K$1508*$Y$1508</f>
        <v>56397.815512361543</v>
      </c>
      <c r="AF1508" s="6">
        <f>$M$1508*$Z$1508</f>
        <v>0</v>
      </c>
      <c r="AG1508" s="6">
        <f>$O$1508*$AA$1508</f>
        <v>0</v>
      </c>
    </row>
    <row r="1509" spans="1:33" ht="11.25" customHeight="1" x14ac:dyDescent="0.25">
      <c r="A1509" s="4" t="s">
        <v>59</v>
      </c>
      <c r="B1509" s="4" t="s">
        <v>35</v>
      </c>
      <c r="C1509" s="4" t="s">
        <v>36</v>
      </c>
      <c r="D1509" s="4" t="s">
        <v>52</v>
      </c>
      <c r="E1509" s="4" t="s">
        <v>53</v>
      </c>
      <c r="F1509" s="4" t="s">
        <v>25</v>
      </c>
      <c r="G1509" s="4" t="s">
        <v>25</v>
      </c>
      <c r="H1509" s="4" t="s">
        <v>25</v>
      </c>
      <c r="I1509" s="5">
        <v>44470</v>
      </c>
      <c r="J1509" s="6">
        <v>3576</v>
      </c>
      <c r="K1509" s="78">
        <v>3576</v>
      </c>
      <c r="L1509" s="6">
        <v>0</v>
      </c>
      <c r="M1509" s="77">
        <v>0</v>
      </c>
      <c r="N1509" s="6">
        <v>0</v>
      </c>
      <c r="O1509" s="77">
        <v>0</v>
      </c>
      <c r="P1509" s="6">
        <v>53</v>
      </c>
      <c r="Q1509" s="4" t="s">
        <v>26</v>
      </c>
      <c r="R1509" s="4">
        <v>0</v>
      </c>
      <c r="S1509" s="6">
        <v>23</v>
      </c>
      <c r="T1509" s="6">
        <v>0</v>
      </c>
      <c r="U1509" s="6">
        <v>0</v>
      </c>
      <c r="V1509" s="77">
        <f>IF(ISERROR(VLOOKUP($S$1509,'TAR FIN'!$A$1:$O$95,15,0)),0,VLOOKUP($S$1509,'TAR FIN'!$A$1:$O$95,15,0))*(1-0.09)</f>
        <v>25.998699999999999</v>
      </c>
      <c r="W1509" s="77">
        <f>IF(ISERROR(VLOOKUP($T$1509,'TAR FIN'!$A$1:$O$95,15,0)),0,VLOOKUP($T$1509,'TAR FIN'!$A$1:$O$95,15,0))</f>
        <v>0</v>
      </c>
      <c r="X1509" s="77">
        <f>IF(ISERROR(VLOOKUP($U$1509,'TAR FIN'!$A$1:$O$95,15,0)),0,VLOOKUP($U$1509,'TAR FIN'!$A$1:$O$95,15,0))</f>
        <v>0</v>
      </c>
      <c r="Y1509" s="77">
        <f ca="1">('TUSD BE'!$AM$15+'TUSD BF'!$AM$15+'TUSD CVA'!$AM$15)*1*(1-0.06)</f>
        <v>30.014803359426047</v>
      </c>
      <c r="Z1509" s="77"/>
      <c r="AA1509" s="77"/>
      <c r="AB1509" s="6">
        <f>$K$1509*$V$1509</f>
        <v>92971.351200000005</v>
      </c>
      <c r="AC1509" s="6">
        <f>$M$1509*$W$1509</f>
        <v>0</v>
      </c>
      <c r="AD1509" s="6">
        <f>$O$1509*$X$1509</f>
        <v>0</v>
      </c>
      <c r="AE1509" s="6">
        <f ca="1">$K$1509*$Y$1509</f>
        <v>107332.93681330755</v>
      </c>
      <c r="AF1509" s="6">
        <f>$M$1509*$Z$1509</f>
        <v>0</v>
      </c>
      <c r="AG1509" s="6">
        <f>$O$1509*$AA$1509</f>
        <v>0</v>
      </c>
    </row>
    <row r="1510" spans="1:33" ht="11.25" customHeight="1" x14ac:dyDescent="0.25">
      <c r="A1510" s="4" t="s">
        <v>59</v>
      </c>
      <c r="B1510" s="4" t="s">
        <v>35</v>
      </c>
      <c r="C1510" s="4" t="s">
        <v>36</v>
      </c>
      <c r="D1510" s="4" t="s">
        <v>52</v>
      </c>
      <c r="E1510" s="4" t="s">
        <v>53</v>
      </c>
      <c r="F1510" s="4" t="s">
        <v>25</v>
      </c>
      <c r="G1510" s="4" t="s">
        <v>25</v>
      </c>
      <c r="H1510" s="4" t="s">
        <v>25</v>
      </c>
      <c r="I1510" s="5">
        <v>44470</v>
      </c>
      <c r="J1510" s="6">
        <v>1879</v>
      </c>
      <c r="K1510" s="78">
        <v>1879</v>
      </c>
      <c r="L1510" s="6">
        <v>0</v>
      </c>
      <c r="M1510" s="77">
        <v>0</v>
      </c>
      <c r="N1510" s="6">
        <v>0</v>
      </c>
      <c r="O1510" s="77">
        <v>0</v>
      </c>
      <c r="P1510" s="6">
        <v>18</v>
      </c>
      <c r="Q1510" s="4" t="s">
        <v>26</v>
      </c>
      <c r="R1510" s="4">
        <v>0</v>
      </c>
      <c r="S1510" s="6">
        <v>23</v>
      </c>
      <c r="T1510" s="6">
        <v>0</v>
      </c>
      <c r="U1510" s="6">
        <v>0</v>
      </c>
      <c r="V1510" s="77">
        <f>IF(ISERROR(VLOOKUP($S$1510,'TAR FIN'!$A$1:$O$95,15,0)),0,VLOOKUP($S$1510,'TAR FIN'!$A$1:$O$95,15,0))*(1-0.09)</f>
        <v>25.998699999999999</v>
      </c>
      <c r="W1510" s="77">
        <f>IF(ISERROR(VLOOKUP($T$1510,'TAR FIN'!$A$1:$O$95,15,0)),0,VLOOKUP($T$1510,'TAR FIN'!$A$1:$O$95,15,0))</f>
        <v>0</v>
      </c>
      <c r="X1510" s="77">
        <f>IF(ISERROR(VLOOKUP($U$1510,'TAR FIN'!$A$1:$O$95,15,0)),0,VLOOKUP($U$1510,'TAR FIN'!$A$1:$O$95,15,0))</f>
        <v>0</v>
      </c>
      <c r="Y1510" s="77">
        <f ca="1">('TUSD BE'!$AM$15+'TUSD BF'!$AM$15+'TUSD CVA'!$AM$15)*1*(1-0.06)</f>
        <v>30.014803359426047</v>
      </c>
      <c r="Z1510" s="77"/>
      <c r="AA1510" s="77"/>
      <c r="AB1510" s="6">
        <f>$K$1510*$V$1510</f>
        <v>48851.5573</v>
      </c>
      <c r="AC1510" s="6">
        <f>$M$1510*$W$1510</f>
        <v>0</v>
      </c>
      <c r="AD1510" s="6">
        <f>$O$1510*$X$1510</f>
        <v>0</v>
      </c>
      <c r="AE1510" s="6">
        <f ca="1">$K$1510*$Y$1510</f>
        <v>56397.815512361543</v>
      </c>
      <c r="AF1510" s="6">
        <f>$M$1510*$Z$1510</f>
        <v>0</v>
      </c>
      <c r="AG1510" s="6">
        <f>$O$1510*$AA$1510</f>
        <v>0</v>
      </c>
    </row>
    <row r="1511" spans="1:33" ht="11.25" customHeight="1" x14ac:dyDescent="0.25">
      <c r="A1511" s="4" t="s">
        <v>21</v>
      </c>
      <c r="B1511" s="4" t="s">
        <v>35</v>
      </c>
      <c r="C1511" s="4" t="s">
        <v>36</v>
      </c>
      <c r="D1511" s="4" t="s">
        <v>52</v>
      </c>
      <c r="E1511" s="4" t="s">
        <v>53</v>
      </c>
      <c r="F1511" s="4" t="s">
        <v>25</v>
      </c>
      <c r="G1511" s="4" t="s">
        <v>25</v>
      </c>
      <c r="H1511" s="4" t="s">
        <v>37</v>
      </c>
      <c r="I1511" s="5">
        <v>44136</v>
      </c>
      <c r="J1511" s="6">
        <v>0</v>
      </c>
      <c r="K1511" s="77">
        <v>0</v>
      </c>
      <c r="L1511" s="6">
        <v>121.384</v>
      </c>
      <c r="M1511" s="77">
        <v>121.384</v>
      </c>
      <c r="N1511" s="6">
        <v>121.384</v>
      </c>
      <c r="O1511" s="77">
        <v>121.384</v>
      </c>
      <c r="P1511" s="6">
        <v>0</v>
      </c>
      <c r="Q1511" s="4" t="s">
        <v>26</v>
      </c>
      <c r="R1511" s="4">
        <v>0</v>
      </c>
      <c r="S1511" s="6">
        <v>0</v>
      </c>
      <c r="T1511" s="6">
        <v>24</v>
      </c>
      <c r="U1511" s="6">
        <v>66</v>
      </c>
      <c r="V1511" s="77">
        <f>IF(ISERROR(VLOOKUP($S$1511,'TAR FIN'!$A$1:$O$95,15,0)),0,VLOOKUP($S$1511,'TAR FIN'!$A$1:$O$95,15,0))</f>
        <v>0</v>
      </c>
      <c r="W1511" s="77">
        <f>IF(ISERROR(VLOOKUP($T$1511,'TAR FIN'!$A$1:$O$95,15,0)),0,VLOOKUP($T$1511,'TAR FIN'!$A$1:$O$95,15,0))*(1-0.09)</f>
        <v>1305.6588999999999</v>
      </c>
      <c r="X1511" s="77">
        <f>IF(ISERROR(VLOOKUP($U$1511,'TAR FIN'!$A$1:$O$95,15,0)),0,VLOOKUP($U$1511,'TAR FIN'!$A$1:$O$95,15,0))*(1-0.09)</f>
        <v>354.2448</v>
      </c>
      <c r="Y1511" s="77"/>
      <c r="Z1511" s="77">
        <f ca="1">('TUSD BE'!$AM$16+'TUSD BF'!$AM$16+'TUSD CVA'!$AM$16)*1*(1-0.06)</f>
        <v>1509.6321335379348</v>
      </c>
      <c r="AA1511" s="77">
        <f>('TE BE'!$AA$7+'TE BF'!$AA$7+'TE CVA'!$AA$7)*1*(1-0.06)</f>
        <v>427.06885385270027</v>
      </c>
      <c r="AB1511" s="6">
        <f>$K$1511*$V$1511</f>
        <v>0</v>
      </c>
      <c r="AC1511" s="6">
        <f>$M$1511*$W$1511</f>
        <v>158486.09991759999</v>
      </c>
      <c r="AD1511" s="6">
        <f>$O$1511*$X$1511</f>
        <v>42999.650803199998</v>
      </c>
      <c r="AE1511" s="6">
        <f>$K$1511*$Y$1511</f>
        <v>0</v>
      </c>
      <c r="AF1511" s="6">
        <f ca="1">$M$1511*$Z$1511</f>
        <v>183245.18689736867</v>
      </c>
      <c r="AG1511" s="6">
        <f>$O$1511*$AA$1511</f>
        <v>51839.325756056169</v>
      </c>
    </row>
    <row r="1512" spans="1:33" ht="11.25" customHeight="1" x14ac:dyDescent="0.25">
      <c r="A1512" s="4" t="s">
        <v>28</v>
      </c>
      <c r="B1512" s="4" t="s">
        <v>35</v>
      </c>
      <c r="C1512" s="4" t="s">
        <v>36</v>
      </c>
      <c r="D1512" s="4" t="s">
        <v>52</v>
      </c>
      <c r="E1512" s="4" t="s">
        <v>53</v>
      </c>
      <c r="F1512" s="4" t="s">
        <v>25</v>
      </c>
      <c r="G1512" s="4" t="s">
        <v>25</v>
      </c>
      <c r="H1512" s="4" t="s">
        <v>37</v>
      </c>
      <c r="I1512" s="5">
        <v>44136</v>
      </c>
      <c r="J1512" s="6">
        <v>0</v>
      </c>
      <c r="K1512" s="77">
        <v>0</v>
      </c>
      <c r="L1512" s="6">
        <v>83.113</v>
      </c>
      <c r="M1512" s="77">
        <v>83.113</v>
      </c>
      <c r="N1512" s="6">
        <v>83.113</v>
      </c>
      <c r="O1512" s="77">
        <v>83.113</v>
      </c>
      <c r="P1512" s="6">
        <v>0</v>
      </c>
      <c r="Q1512" s="4" t="s">
        <v>26</v>
      </c>
      <c r="R1512" s="4">
        <v>0</v>
      </c>
      <c r="S1512" s="6">
        <v>0</v>
      </c>
      <c r="T1512" s="6">
        <v>24</v>
      </c>
      <c r="U1512" s="6">
        <v>66</v>
      </c>
      <c r="V1512" s="77">
        <f>IF(ISERROR(VLOOKUP($S$1512,'TAR FIN'!$A$1:$O$95,15,0)),0,VLOOKUP($S$1512,'TAR FIN'!$A$1:$O$95,15,0))</f>
        <v>0</v>
      </c>
      <c r="W1512" s="77">
        <f>IF(ISERROR(VLOOKUP($T$1512,'TAR FIN'!$A$1:$O$95,15,0)),0,VLOOKUP($T$1512,'TAR FIN'!$A$1:$O$95,15,0))*(1-0.09)</f>
        <v>1305.6588999999999</v>
      </c>
      <c r="X1512" s="77">
        <f>IF(ISERROR(VLOOKUP($U$1512,'TAR FIN'!$A$1:$O$95,15,0)),0,VLOOKUP($U$1512,'TAR FIN'!$A$1:$O$95,15,0))*(1-0.09)</f>
        <v>354.2448</v>
      </c>
      <c r="Y1512" s="77"/>
      <c r="Z1512" s="77">
        <f ca="1">('TUSD BE'!$AM$16+'TUSD BF'!$AM$16+'TUSD CVA'!$AM$16)*1*(1-0.06)</f>
        <v>1509.6321335379348</v>
      </c>
      <c r="AA1512" s="77">
        <f>('TE BE'!$AA$7+'TE BF'!$AA$7+'TE CVA'!$AA$7)*1*(1-0.06)</f>
        <v>427.06885385270027</v>
      </c>
      <c r="AB1512" s="6">
        <f>$K$1512*$V$1512</f>
        <v>0</v>
      </c>
      <c r="AC1512" s="6">
        <f>$M$1512*$W$1512</f>
        <v>108517.2281557</v>
      </c>
      <c r="AD1512" s="6">
        <f>$O$1512*$X$1512</f>
        <v>29442.3480624</v>
      </c>
      <c r="AE1512" s="6">
        <f>$K$1512*$Y$1512</f>
        <v>0</v>
      </c>
      <c r="AF1512" s="6">
        <f ca="1">$M$1512*$Z$1512</f>
        <v>125470.05551473837</v>
      </c>
      <c r="AG1512" s="6">
        <f>$O$1512*$AA$1512</f>
        <v>35494.973650259475</v>
      </c>
    </row>
    <row r="1513" spans="1:33" ht="11.25" customHeight="1" x14ac:dyDescent="0.25">
      <c r="A1513" s="4" t="s">
        <v>21</v>
      </c>
      <c r="B1513" s="4" t="s">
        <v>35</v>
      </c>
      <c r="C1513" s="4" t="s">
        <v>36</v>
      </c>
      <c r="D1513" s="4" t="s">
        <v>52</v>
      </c>
      <c r="E1513" s="4" t="s">
        <v>53</v>
      </c>
      <c r="F1513" s="4" t="s">
        <v>25</v>
      </c>
      <c r="G1513" s="4" t="s">
        <v>25</v>
      </c>
      <c r="H1513" s="4" t="s">
        <v>37</v>
      </c>
      <c r="I1513" s="5">
        <v>44166</v>
      </c>
      <c r="J1513" s="6">
        <v>0</v>
      </c>
      <c r="K1513" s="77">
        <v>0</v>
      </c>
      <c r="L1513" s="6">
        <v>132.047</v>
      </c>
      <c r="M1513" s="77">
        <v>132.047</v>
      </c>
      <c r="N1513" s="6">
        <v>132.047</v>
      </c>
      <c r="O1513" s="77">
        <v>132.047</v>
      </c>
      <c r="P1513" s="6">
        <v>0</v>
      </c>
      <c r="Q1513" s="4" t="s">
        <v>26</v>
      </c>
      <c r="R1513" s="4">
        <v>0</v>
      </c>
      <c r="S1513" s="6">
        <v>0</v>
      </c>
      <c r="T1513" s="6">
        <v>24</v>
      </c>
      <c r="U1513" s="6">
        <v>66</v>
      </c>
      <c r="V1513" s="77">
        <f>IF(ISERROR(VLOOKUP($S$1513,'TAR FIN'!$A$1:$O$95,15,0)),0,VLOOKUP($S$1513,'TAR FIN'!$A$1:$O$95,15,0))</f>
        <v>0</v>
      </c>
      <c r="W1513" s="77">
        <f>IF(ISERROR(VLOOKUP($T$1513,'TAR FIN'!$A$1:$O$95,15,0)),0,VLOOKUP($T$1513,'TAR FIN'!$A$1:$O$95,15,0))*(1-0.09)</f>
        <v>1305.6588999999999</v>
      </c>
      <c r="X1513" s="77">
        <f>IF(ISERROR(VLOOKUP($U$1513,'TAR FIN'!$A$1:$O$95,15,0)),0,VLOOKUP($U$1513,'TAR FIN'!$A$1:$O$95,15,0))*(1-0.09)</f>
        <v>354.2448</v>
      </c>
      <c r="Y1513" s="77"/>
      <c r="Z1513" s="77">
        <f ca="1">('TUSD BE'!$AM$16+'TUSD BF'!$AM$16+'TUSD CVA'!$AM$16)*1*(1-0.06)</f>
        <v>1509.6321335379348</v>
      </c>
      <c r="AA1513" s="77">
        <f>('TE BE'!$AA$7+'TE BF'!$AA$7+'TE CVA'!$AA$7)*1*(1-0.06)</f>
        <v>427.06885385270027</v>
      </c>
      <c r="AB1513" s="6">
        <f>$K$1513*$V$1513</f>
        <v>0</v>
      </c>
      <c r="AC1513" s="6">
        <f>$M$1513*$W$1513</f>
        <v>172408.3407683</v>
      </c>
      <c r="AD1513" s="6">
        <f>$O$1513*$X$1513</f>
        <v>46776.9631056</v>
      </c>
      <c r="AE1513" s="6">
        <f>$K$1513*$Y$1513</f>
        <v>0</v>
      </c>
      <c r="AF1513" s="6">
        <f ca="1">$M$1513*$Z$1513</f>
        <v>199342.39433728368</v>
      </c>
      <c r="AG1513" s="6">
        <f>$O$1513*$AA$1513</f>
        <v>56393.160944687508</v>
      </c>
    </row>
    <row r="1514" spans="1:33" ht="11.25" customHeight="1" x14ac:dyDescent="0.25">
      <c r="A1514" s="4" t="s">
        <v>28</v>
      </c>
      <c r="B1514" s="4" t="s">
        <v>35</v>
      </c>
      <c r="C1514" s="4" t="s">
        <v>36</v>
      </c>
      <c r="D1514" s="4" t="s">
        <v>52</v>
      </c>
      <c r="E1514" s="4" t="s">
        <v>53</v>
      </c>
      <c r="F1514" s="4" t="s">
        <v>25</v>
      </c>
      <c r="G1514" s="4" t="s">
        <v>25</v>
      </c>
      <c r="H1514" s="4" t="s">
        <v>37</v>
      </c>
      <c r="I1514" s="5">
        <v>44166</v>
      </c>
      <c r="J1514" s="6">
        <v>0</v>
      </c>
      <c r="K1514" s="77">
        <v>0</v>
      </c>
      <c r="L1514" s="6">
        <v>87.962000000000003</v>
      </c>
      <c r="M1514" s="77">
        <v>87.962000000000003</v>
      </c>
      <c r="N1514" s="6">
        <v>87.962000000000003</v>
      </c>
      <c r="O1514" s="77">
        <v>87.962000000000003</v>
      </c>
      <c r="P1514" s="6">
        <v>0</v>
      </c>
      <c r="Q1514" s="4" t="s">
        <v>26</v>
      </c>
      <c r="R1514" s="4">
        <v>0</v>
      </c>
      <c r="S1514" s="6">
        <v>0</v>
      </c>
      <c r="T1514" s="6">
        <v>24</v>
      </c>
      <c r="U1514" s="6">
        <v>66</v>
      </c>
      <c r="V1514" s="77">
        <f>IF(ISERROR(VLOOKUP($S$1514,'TAR FIN'!$A$1:$O$95,15,0)),0,VLOOKUP($S$1514,'TAR FIN'!$A$1:$O$95,15,0))</f>
        <v>0</v>
      </c>
      <c r="W1514" s="77">
        <f>IF(ISERROR(VLOOKUP($T$1514,'TAR FIN'!$A$1:$O$95,15,0)),0,VLOOKUP($T$1514,'TAR FIN'!$A$1:$O$95,15,0))*(1-0.09)</f>
        <v>1305.6588999999999</v>
      </c>
      <c r="X1514" s="77">
        <f>IF(ISERROR(VLOOKUP($U$1514,'TAR FIN'!$A$1:$O$95,15,0)),0,VLOOKUP($U$1514,'TAR FIN'!$A$1:$O$95,15,0))*(1-0.09)</f>
        <v>354.2448</v>
      </c>
      <c r="Y1514" s="77"/>
      <c r="Z1514" s="77">
        <f ca="1">('TUSD BE'!$AM$16+'TUSD BF'!$AM$16+'TUSD CVA'!$AM$16)*1*(1-0.06)</f>
        <v>1509.6321335379348</v>
      </c>
      <c r="AA1514" s="77">
        <f>('TE BE'!$AA$7+'TE BF'!$AA$7+'TE CVA'!$AA$7)*1*(1-0.06)</f>
        <v>427.06885385270027</v>
      </c>
      <c r="AB1514" s="6">
        <f>$K$1514*$V$1514</f>
        <v>0</v>
      </c>
      <c r="AC1514" s="6">
        <f>$M$1514*$W$1514</f>
        <v>114848.3681618</v>
      </c>
      <c r="AD1514" s="6">
        <f>$O$1514*$X$1514</f>
        <v>31160.081097599999</v>
      </c>
      <c r="AE1514" s="6">
        <f>$K$1514*$Y$1514</f>
        <v>0</v>
      </c>
      <c r="AF1514" s="6">
        <f ca="1">$M$1514*$Z$1514</f>
        <v>132790.26173026382</v>
      </c>
      <c r="AG1514" s="6">
        <f>$O$1514*$AA$1514</f>
        <v>37565.830522591226</v>
      </c>
    </row>
    <row r="1515" spans="1:33" ht="11.25" customHeight="1" x14ac:dyDescent="0.25">
      <c r="A1515" s="4" t="s">
        <v>21</v>
      </c>
      <c r="B1515" s="4" t="s">
        <v>35</v>
      </c>
      <c r="C1515" s="4" t="s">
        <v>36</v>
      </c>
      <c r="D1515" s="4" t="s">
        <v>52</v>
      </c>
      <c r="E1515" s="4" t="s">
        <v>53</v>
      </c>
      <c r="F1515" s="4" t="s">
        <v>25</v>
      </c>
      <c r="G1515" s="4" t="s">
        <v>25</v>
      </c>
      <c r="H1515" s="4" t="s">
        <v>37</v>
      </c>
      <c r="I1515" s="5">
        <v>44197</v>
      </c>
      <c r="J1515" s="6">
        <v>0</v>
      </c>
      <c r="K1515" s="77">
        <v>0</v>
      </c>
      <c r="L1515" s="6">
        <v>122.212</v>
      </c>
      <c r="M1515" s="77">
        <v>122.212</v>
      </c>
      <c r="N1515" s="6">
        <v>122.212</v>
      </c>
      <c r="O1515" s="77">
        <v>122.212</v>
      </c>
      <c r="P1515" s="6">
        <v>0</v>
      </c>
      <c r="Q1515" s="4" t="s">
        <v>26</v>
      </c>
      <c r="R1515" s="4">
        <v>0</v>
      </c>
      <c r="S1515" s="6">
        <v>0</v>
      </c>
      <c r="T1515" s="6">
        <v>24</v>
      </c>
      <c r="U1515" s="6">
        <v>66</v>
      </c>
      <c r="V1515" s="77">
        <f>IF(ISERROR(VLOOKUP($S$1515,'TAR FIN'!$A$1:$O$95,15,0)),0,VLOOKUP($S$1515,'TAR FIN'!$A$1:$O$95,15,0))</f>
        <v>0</v>
      </c>
      <c r="W1515" s="77">
        <f>IF(ISERROR(VLOOKUP($T$1515,'TAR FIN'!$A$1:$O$95,15,0)),0,VLOOKUP($T$1515,'TAR FIN'!$A$1:$O$95,15,0))*(1-0.09)</f>
        <v>1305.6588999999999</v>
      </c>
      <c r="X1515" s="77">
        <f>IF(ISERROR(VLOOKUP($U$1515,'TAR FIN'!$A$1:$O$95,15,0)),0,VLOOKUP($U$1515,'TAR FIN'!$A$1:$O$95,15,0))*(1-0.09)</f>
        <v>354.2448</v>
      </c>
      <c r="Y1515" s="77"/>
      <c r="Z1515" s="77">
        <f ca="1">('TUSD BE'!$AM$16+'TUSD BF'!$AM$16+'TUSD CVA'!$AM$16)*1*(1-0.06)</f>
        <v>1509.6321335379348</v>
      </c>
      <c r="AA1515" s="77">
        <f>('TE BE'!$AA$7+'TE BF'!$AA$7+'TE CVA'!$AA$7)*1*(1-0.06)</f>
        <v>427.06885385270027</v>
      </c>
      <c r="AB1515" s="6">
        <f>$K$1515*$V$1515</f>
        <v>0</v>
      </c>
      <c r="AC1515" s="6">
        <f>$M$1515*$W$1515</f>
        <v>159567.18548679998</v>
      </c>
      <c r="AD1515" s="6">
        <f>$O$1515*$X$1515</f>
        <v>43292.965497600002</v>
      </c>
      <c r="AE1515" s="6">
        <f>$K$1515*$Y$1515</f>
        <v>0</v>
      </c>
      <c r="AF1515" s="6">
        <f ca="1">$M$1515*$Z$1515</f>
        <v>184495.16230393809</v>
      </c>
      <c r="AG1515" s="6">
        <f>$O$1515*$AA$1515</f>
        <v>52192.938767046209</v>
      </c>
    </row>
    <row r="1516" spans="1:33" ht="11.25" customHeight="1" x14ac:dyDescent="0.25">
      <c r="A1516" s="4" t="s">
        <v>28</v>
      </c>
      <c r="B1516" s="4" t="s">
        <v>35</v>
      </c>
      <c r="C1516" s="4" t="s">
        <v>36</v>
      </c>
      <c r="D1516" s="4" t="s">
        <v>52</v>
      </c>
      <c r="E1516" s="4" t="s">
        <v>53</v>
      </c>
      <c r="F1516" s="4" t="s">
        <v>25</v>
      </c>
      <c r="G1516" s="4" t="s">
        <v>25</v>
      </c>
      <c r="H1516" s="4" t="s">
        <v>37</v>
      </c>
      <c r="I1516" s="5">
        <v>44197</v>
      </c>
      <c r="J1516" s="6">
        <v>0</v>
      </c>
      <c r="K1516" s="77">
        <v>0</v>
      </c>
      <c r="L1516" s="6">
        <v>87.938000000000002</v>
      </c>
      <c r="M1516" s="77">
        <v>87.938000000000002</v>
      </c>
      <c r="N1516" s="6">
        <v>87.938000000000002</v>
      </c>
      <c r="O1516" s="77">
        <v>87.938000000000002</v>
      </c>
      <c r="P1516" s="6">
        <v>0</v>
      </c>
      <c r="Q1516" s="4" t="s">
        <v>26</v>
      </c>
      <c r="R1516" s="4">
        <v>0</v>
      </c>
      <c r="S1516" s="6">
        <v>0</v>
      </c>
      <c r="T1516" s="6">
        <v>24</v>
      </c>
      <c r="U1516" s="6">
        <v>66</v>
      </c>
      <c r="V1516" s="77">
        <f>IF(ISERROR(VLOOKUP($S$1516,'TAR FIN'!$A$1:$O$95,15,0)),0,VLOOKUP($S$1516,'TAR FIN'!$A$1:$O$95,15,0))</f>
        <v>0</v>
      </c>
      <c r="W1516" s="77">
        <f>IF(ISERROR(VLOOKUP($T$1516,'TAR FIN'!$A$1:$O$95,15,0)),0,VLOOKUP($T$1516,'TAR FIN'!$A$1:$O$95,15,0))*(1-0.09)</f>
        <v>1305.6588999999999</v>
      </c>
      <c r="X1516" s="77">
        <f>IF(ISERROR(VLOOKUP($U$1516,'TAR FIN'!$A$1:$O$95,15,0)),0,VLOOKUP($U$1516,'TAR FIN'!$A$1:$O$95,15,0))*(1-0.09)</f>
        <v>354.2448</v>
      </c>
      <c r="Y1516" s="77"/>
      <c r="Z1516" s="77">
        <f ca="1">('TUSD BE'!$AM$16+'TUSD BF'!$AM$16+'TUSD CVA'!$AM$16)*1*(1-0.06)</f>
        <v>1509.6321335379348</v>
      </c>
      <c r="AA1516" s="77">
        <f>('TE BE'!$AA$7+'TE BF'!$AA$7+'TE CVA'!$AA$7)*1*(1-0.06)</f>
        <v>427.06885385270027</v>
      </c>
      <c r="AB1516" s="6">
        <f>$K$1516*$V$1516</f>
        <v>0</v>
      </c>
      <c r="AC1516" s="6">
        <f>$M$1516*$W$1516</f>
        <v>114817.03234819999</v>
      </c>
      <c r="AD1516" s="6">
        <f>$O$1516*$X$1516</f>
        <v>31151.5792224</v>
      </c>
      <c r="AE1516" s="6">
        <f>$K$1516*$Y$1516</f>
        <v>0</v>
      </c>
      <c r="AF1516" s="6">
        <f ca="1">$M$1516*$Z$1516</f>
        <v>132754.03055905891</v>
      </c>
      <c r="AG1516" s="6">
        <f>$O$1516*$AA$1516</f>
        <v>37555.580870098755</v>
      </c>
    </row>
    <row r="1517" spans="1:33" ht="11.25" customHeight="1" x14ac:dyDescent="0.25">
      <c r="A1517" s="4" t="s">
        <v>21</v>
      </c>
      <c r="B1517" s="4" t="s">
        <v>35</v>
      </c>
      <c r="C1517" s="4" t="s">
        <v>36</v>
      </c>
      <c r="D1517" s="4" t="s">
        <v>52</v>
      </c>
      <c r="E1517" s="4" t="s">
        <v>53</v>
      </c>
      <c r="F1517" s="4" t="s">
        <v>25</v>
      </c>
      <c r="G1517" s="4" t="s">
        <v>25</v>
      </c>
      <c r="H1517" s="4" t="s">
        <v>37</v>
      </c>
      <c r="I1517" s="5">
        <v>44228</v>
      </c>
      <c r="J1517" s="6">
        <v>0</v>
      </c>
      <c r="K1517" s="77">
        <v>0</v>
      </c>
      <c r="L1517" s="6">
        <v>113.482</v>
      </c>
      <c r="M1517" s="77">
        <v>113.482</v>
      </c>
      <c r="N1517" s="6">
        <v>113.482</v>
      </c>
      <c r="O1517" s="77">
        <v>113.482</v>
      </c>
      <c r="P1517" s="6">
        <v>0</v>
      </c>
      <c r="Q1517" s="4" t="s">
        <v>26</v>
      </c>
      <c r="R1517" s="4">
        <v>0</v>
      </c>
      <c r="S1517" s="6">
        <v>0</v>
      </c>
      <c r="T1517" s="6">
        <v>24</v>
      </c>
      <c r="U1517" s="6">
        <v>66</v>
      </c>
      <c r="V1517" s="77">
        <f>IF(ISERROR(VLOOKUP($S$1517,'TAR FIN'!$A$1:$O$95,15,0)),0,VLOOKUP($S$1517,'TAR FIN'!$A$1:$O$95,15,0))</f>
        <v>0</v>
      </c>
      <c r="W1517" s="77">
        <f>IF(ISERROR(VLOOKUP($T$1517,'TAR FIN'!$A$1:$O$95,15,0)),0,VLOOKUP($T$1517,'TAR FIN'!$A$1:$O$95,15,0))*(1-0.09)</f>
        <v>1305.6588999999999</v>
      </c>
      <c r="X1517" s="77">
        <f>IF(ISERROR(VLOOKUP($U$1517,'TAR FIN'!$A$1:$O$95,15,0)),0,VLOOKUP($U$1517,'TAR FIN'!$A$1:$O$95,15,0))*(1-0.09)</f>
        <v>354.2448</v>
      </c>
      <c r="Y1517" s="77"/>
      <c r="Z1517" s="77">
        <f ca="1">('TUSD BE'!$AM$16+'TUSD BF'!$AM$16+'TUSD CVA'!$AM$16)*1*(1-0.06)</f>
        <v>1509.6321335379348</v>
      </c>
      <c r="AA1517" s="77">
        <f>('TE BE'!$AA$7+'TE BF'!$AA$7+'TE CVA'!$AA$7)*1*(1-0.06)</f>
        <v>427.06885385270027</v>
      </c>
      <c r="AB1517" s="6">
        <f>$K$1517*$V$1517</f>
        <v>0</v>
      </c>
      <c r="AC1517" s="6">
        <f>$M$1517*$W$1517</f>
        <v>148168.78328979999</v>
      </c>
      <c r="AD1517" s="6">
        <f>$O$1517*$X$1517</f>
        <v>40200.408393600002</v>
      </c>
      <c r="AE1517" s="6">
        <f>$K$1517*$Y$1517</f>
        <v>0</v>
      </c>
      <c r="AF1517" s="6">
        <f ca="1">$M$1517*$Z$1517</f>
        <v>171316.07377815191</v>
      </c>
      <c r="AG1517" s="6">
        <f>$O$1517*$AA$1517</f>
        <v>48464.627672912131</v>
      </c>
    </row>
    <row r="1518" spans="1:33" ht="11.25" customHeight="1" x14ac:dyDescent="0.25">
      <c r="A1518" s="4" t="s">
        <v>28</v>
      </c>
      <c r="B1518" s="4" t="s">
        <v>35</v>
      </c>
      <c r="C1518" s="4" t="s">
        <v>36</v>
      </c>
      <c r="D1518" s="4" t="s">
        <v>52</v>
      </c>
      <c r="E1518" s="4" t="s">
        <v>53</v>
      </c>
      <c r="F1518" s="4" t="s">
        <v>25</v>
      </c>
      <c r="G1518" s="4" t="s">
        <v>25</v>
      </c>
      <c r="H1518" s="4" t="s">
        <v>37</v>
      </c>
      <c r="I1518" s="5">
        <v>44228</v>
      </c>
      <c r="J1518" s="6">
        <v>0</v>
      </c>
      <c r="K1518" s="77">
        <v>0</v>
      </c>
      <c r="L1518" s="6">
        <v>79.055999999999997</v>
      </c>
      <c r="M1518" s="77">
        <v>79.055999999999997</v>
      </c>
      <c r="N1518" s="6">
        <v>79.055999999999997</v>
      </c>
      <c r="O1518" s="77">
        <v>79.055999999999997</v>
      </c>
      <c r="P1518" s="6">
        <v>0</v>
      </c>
      <c r="Q1518" s="4" t="s">
        <v>26</v>
      </c>
      <c r="R1518" s="4">
        <v>0</v>
      </c>
      <c r="S1518" s="6">
        <v>0</v>
      </c>
      <c r="T1518" s="6">
        <v>24</v>
      </c>
      <c r="U1518" s="6">
        <v>66</v>
      </c>
      <c r="V1518" s="77">
        <f>IF(ISERROR(VLOOKUP($S$1518,'TAR FIN'!$A$1:$O$95,15,0)),0,VLOOKUP($S$1518,'TAR FIN'!$A$1:$O$95,15,0))</f>
        <v>0</v>
      </c>
      <c r="W1518" s="77">
        <f>IF(ISERROR(VLOOKUP($T$1518,'TAR FIN'!$A$1:$O$95,15,0)),0,VLOOKUP($T$1518,'TAR FIN'!$A$1:$O$95,15,0))*(1-0.09)</f>
        <v>1305.6588999999999</v>
      </c>
      <c r="X1518" s="77">
        <f>IF(ISERROR(VLOOKUP($U$1518,'TAR FIN'!$A$1:$O$95,15,0)),0,VLOOKUP($U$1518,'TAR FIN'!$A$1:$O$95,15,0))*(1-0.09)</f>
        <v>354.2448</v>
      </c>
      <c r="Y1518" s="77"/>
      <c r="Z1518" s="77">
        <f ca="1">('TUSD BE'!$AM$16+'TUSD BF'!$AM$16+'TUSD CVA'!$AM$16)*1*(1-0.06)</f>
        <v>1509.6321335379348</v>
      </c>
      <c r="AA1518" s="77">
        <f>('TE BE'!$AA$7+'TE BF'!$AA$7+'TE CVA'!$AA$7)*1*(1-0.06)</f>
        <v>427.06885385270027</v>
      </c>
      <c r="AB1518" s="6">
        <f>$K$1518*$V$1518</f>
        <v>0</v>
      </c>
      <c r="AC1518" s="6">
        <f>$M$1518*$W$1518</f>
        <v>103220.16999839999</v>
      </c>
      <c r="AD1518" s="6">
        <f>$O$1518*$X$1518</f>
        <v>28005.1769088</v>
      </c>
      <c r="AE1518" s="6">
        <f>$K$1518*$Y$1518</f>
        <v>0</v>
      </c>
      <c r="AF1518" s="6">
        <f ca="1">$M$1518*$Z$1518</f>
        <v>119345.47794897496</v>
      </c>
      <c r="AG1518" s="6">
        <f>$O$1518*$AA$1518</f>
        <v>33762.355310179075</v>
      </c>
    </row>
    <row r="1519" spans="1:33" ht="11.25" customHeight="1" x14ac:dyDescent="0.25">
      <c r="A1519" s="4" t="s">
        <v>21</v>
      </c>
      <c r="B1519" s="4" t="s">
        <v>35</v>
      </c>
      <c r="C1519" s="4" t="s">
        <v>36</v>
      </c>
      <c r="D1519" s="4" t="s">
        <v>52</v>
      </c>
      <c r="E1519" s="4" t="s">
        <v>53</v>
      </c>
      <c r="F1519" s="4" t="s">
        <v>25</v>
      </c>
      <c r="G1519" s="4" t="s">
        <v>25</v>
      </c>
      <c r="H1519" s="4" t="s">
        <v>37</v>
      </c>
      <c r="I1519" s="5">
        <v>44256</v>
      </c>
      <c r="J1519" s="6">
        <v>0</v>
      </c>
      <c r="K1519" s="77">
        <v>0</v>
      </c>
      <c r="L1519" s="6">
        <v>135.04</v>
      </c>
      <c r="M1519" s="77">
        <v>135.04</v>
      </c>
      <c r="N1519" s="6">
        <v>135.04</v>
      </c>
      <c r="O1519" s="77">
        <v>135.04</v>
      </c>
      <c r="P1519" s="6">
        <v>0</v>
      </c>
      <c r="Q1519" s="4" t="s">
        <v>26</v>
      </c>
      <c r="R1519" s="4">
        <v>0</v>
      </c>
      <c r="S1519" s="6">
        <v>0</v>
      </c>
      <c r="T1519" s="6">
        <v>24</v>
      </c>
      <c r="U1519" s="6">
        <v>66</v>
      </c>
      <c r="V1519" s="77">
        <f>IF(ISERROR(VLOOKUP($S$1519,'TAR FIN'!$A$1:$O$95,15,0)),0,VLOOKUP($S$1519,'TAR FIN'!$A$1:$O$95,15,0))</f>
        <v>0</v>
      </c>
      <c r="W1519" s="77">
        <f>IF(ISERROR(VLOOKUP($T$1519,'TAR FIN'!$A$1:$O$95,15,0)),0,VLOOKUP($T$1519,'TAR FIN'!$A$1:$O$95,15,0))*(1-0.09)</f>
        <v>1305.6588999999999</v>
      </c>
      <c r="X1519" s="77">
        <f>IF(ISERROR(VLOOKUP($U$1519,'TAR FIN'!$A$1:$O$95,15,0)),0,VLOOKUP($U$1519,'TAR FIN'!$A$1:$O$95,15,0))*(1-0.09)</f>
        <v>354.2448</v>
      </c>
      <c r="Y1519" s="77"/>
      <c r="Z1519" s="77">
        <f ca="1">('TUSD BE'!$AM$16+'TUSD BF'!$AM$16+'TUSD CVA'!$AM$16)*1*(1-0.06)</f>
        <v>1509.6321335379348</v>
      </c>
      <c r="AA1519" s="77">
        <f>('TE BE'!$AA$7+'TE BF'!$AA$7+'TE CVA'!$AA$7)*1*(1-0.06)</f>
        <v>427.06885385270027</v>
      </c>
      <c r="AB1519" s="6">
        <f>$K$1519*$V$1519</f>
        <v>0</v>
      </c>
      <c r="AC1519" s="6">
        <f>$M$1519*$W$1519</f>
        <v>176316.17785599997</v>
      </c>
      <c r="AD1519" s="6">
        <f>$O$1519*$X$1519</f>
        <v>47837.217791999996</v>
      </c>
      <c r="AE1519" s="6">
        <f>$K$1519*$Y$1519</f>
        <v>0</v>
      </c>
      <c r="AF1519" s="6">
        <f ca="1">$M$1519*$Z$1519</f>
        <v>203860.72331296271</v>
      </c>
      <c r="AG1519" s="6">
        <f>$O$1519*$AA$1519</f>
        <v>57671.378024268641</v>
      </c>
    </row>
    <row r="1520" spans="1:33" ht="11.25" customHeight="1" x14ac:dyDescent="0.25">
      <c r="A1520" s="4" t="s">
        <v>28</v>
      </c>
      <c r="B1520" s="4" t="s">
        <v>35</v>
      </c>
      <c r="C1520" s="4" t="s">
        <v>36</v>
      </c>
      <c r="D1520" s="4" t="s">
        <v>52</v>
      </c>
      <c r="E1520" s="4" t="s">
        <v>53</v>
      </c>
      <c r="F1520" s="4" t="s">
        <v>25</v>
      </c>
      <c r="G1520" s="4" t="s">
        <v>25</v>
      </c>
      <c r="H1520" s="4" t="s">
        <v>37</v>
      </c>
      <c r="I1520" s="5">
        <v>44256</v>
      </c>
      <c r="J1520" s="6">
        <v>0</v>
      </c>
      <c r="K1520" s="77">
        <v>0</v>
      </c>
      <c r="L1520" s="6">
        <v>82.153999999999996</v>
      </c>
      <c r="M1520" s="77">
        <v>82.153999999999996</v>
      </c>
      <c r="N1520" s="6">
        <v>82.153999999999996</v>
      </c>
      <c r="O1520" s="77">
        <v>82.153999999999996</v>
      </c>
      <c r="P1520" s="6">
        <v>0</v>
      </c>
      <c r="Q1520" s="4" t="s">
        <v>26</v>
      </c>
      <c r="R1520" s="4">
        <v>0</v>
      </c>
      <c r="S1520" s="6">
        <v>0</v>
      </c>
      <c r="T1520" s="6">
        <v>24</v>
      </c>
      <c r="U1520" s="6">
        <v>66</v>
      </c>
      <c r="V1520" s="77">
        <f>IF(ISERROR(VLOOKUP($S$1520,'TAR FIN'!$A$1:$O$95,15,0)),0,VLOOKUP($S$1520,'TAR FIN'!$A$1:$O$95,15,0))</f>
        <v>0</v>
      </c>
      <c r="W1520" s="77">
        <f>IF(ISERROR(VLOOKUP($T$1520,'TAR FIN'!$A$1:$O$95,15,0)),0,VLOOKUP($T$1520,'TAR FIN'!$A$1:$O$95,15,0))*(1-0.09)</f>
        <v>1305.6588999999999</v>
      </c>
      <c r="X1520" s="77">
        <f>IF(ISERROR(VLOOKUP($U$1520,'TAR FIN'!$A$1:$O$95,15,0)),0,VLOOKUP($U$1520,'TAR FIN'!$A$1:$O$95,15,0))*(1-0.09)</f>
        <v>354.2448</v>
      </c>
      <c r="Y1520" s="77"/>
      <c r="Z1520" s="77">
        <f ca="1">('TUSD BE'!$AM$16+'TUSD BF'!$AM$16+'TUSD CVA'!$AM$16)*1*(1-0.06)</f>
        <v>1509.6321335379348</v>
      </c>
      <c r="AA1520" s="77">
        <f>('TE BE'!$AA$7+'TE BF'!$AA$7+'TE CVA'!$AA$7)*1*(1-0.06)</f>
        <v>427.06885385270027</v>
      </c>
      <c r="AB1520" s="6">
        <f>$K$1520*$V$1520</f>
        <v>0</v>
      </c>
      <c r="AC1520" s="6">
        <f>$M$1520*$W$1520</f>
        <v>107265.10127059999</v>
      </c>
      <c r="AD1520" s="6">
        <f>$O$1520*$X$1520</f>
        <v>29102.627299199998</v>
      </c>
      <c r="AE1520" s="6">
        <f>$K$1520*$Y$1520</f>
        <v>0</v>
      </c>
      <c r="AF1520" s="6">
        <f ca="1">$M$1520*$Z$1520</f>
        <v>124022.31829867548</v>
      </c>
      <c r="AG1520" s="6">
        <f>$O$1520*$AA$1520</f>
        <v>35085.41461941474</v>
      </c>
    </row>
    <row r="1521" spans="1:33" ht="11.25" customHeight="1" x14ac:dyDescent="0.25">
      <c r="A1521" s="4" t="s">
        <v>21</v>
      </c>
      <c r="B1521" s="4" t="s">
        <v>35</v>
      </c>
      <c r="C1521" s="4" t="s">
        <v>36</v>
      </c>
      <c r="D1521" s="4" t="s">
        <v>52</v>
      </c>
      <c r="E1521" s="4" t="s">
        <v>53</v>
      </c>
      <c r="F1521" s="4" t="s">
        <v>25</v>
      </c>
      <c r="G1521" s="4" t="s">
        <v>25</v>
      </c>
      <c r="H1521" s="4" t="s">
        <v>37</v>
      </c>
      <c r="I1521" s="5">
        <v>44287</v>
      </c>
      <c r="J1521" s="6">
        <v>0</v>
      </c>
      <c r="K1521" s="77">
        <v>0</v>
      </c>
      <c r="L1521" s="6">
        <v>110.995</v>
      </c>
      <c r="M1521" s="77">
        <v>110.995</v>
      </c>
      <c r="N1521" s="6">
        <v>110.995</v>
      </c>
      <c r="O1521" s="77">
        <v>110.995</v>
      </c>
      <c r="P1521" s="6">
        <v>0</v>
      </c>
      <c r="Q1521" s="4" t="s">
        <v>26</v>
      </c>
      <c r="R1521" s="4">
        <v>0</v>
      </c>
      <c r="S1521" s="6">
        <v>0</v>
      </c>
      <c r="T1521" s="6">
        <v>24</v>
      </c>
      <c r="U1521" s="6">
        <v>66</v>
      </c>
      <c r="V1521" s="77">
        <f>IF(ISERROR(VLOOKUP($S$1521,'TAR FIN'!$A$1:$O$95,15,0)),0,VLOOKUP($S$1521,'TAR FIN'!$A$1:$O$95,15,0))</f>
        <v>0</v>
      </c>
      <c r="W1521" s="77">
        <f>IF(ISERROR(VLOOKUP($T$1521,'TAR FIN'!$A$1:$O$95,15,0)),0,VLOOKUP($T$1521,'TAR FIN'!$A$1:$O$95,15,0))*(1-0.09)</f>
        <v>1305.6588999999999</v>
      </c>
      <c r="X1521" s="77">
        <f>IF(ISERROR(VLOOKUP($U$1521,'TAR FIN'!$A$1:$O$95,15,0)),0,VLOOKUP($U$1521,'TAR FIN'!$A$1:$O$95,15,0))*(1-0.09)</f>
        <v>354.2448</v>
      </c>
      <c r="Y1521" s="77"/>
      <c r="Z1521" s="77">
        <f ca="1">('TUSD BE'!$AM$16+'TUSD BF'!$AM$16+'TUSD CVA'!$AM$16)*1*(1-0.06)</f>
        <v>1509.6321335379348</v>
      </c>
      <c r="AA1521" s="77">
        <f>('TE BE'!$AA$7+'TE BF'!$AA$7+'TE CVA'!$AA$7)*1*(1-0.06)</f>
        <v>427.06885385270027</v>
      </c>
      <c r="AB1521" s="6">
        <f>$K$1521*$V$1521</f>
        <v>0</v>
      </c>
      <c r="AC1521" s="6">
        <f>$M$1521*$W$1521</f>
        <v>144921.60960550001</v>
      </c>
      <c r="AD1521" s="6">
        <f>$O$1521*$X$1521</f>
        <v>39319.401576000004</v>
      </c>
      <c r="AE1521" s="6">
        <f>$K$1521*$Y$1521</f>
        <v>0</v>
      </c>
      <c r="AF1521" s="6">
        <f ca="1">$M$1521*$Z$1521</f>
        <v>167561.61866204307</v>
      </c>
      <c r="AG1521" s="6">
        <f>$O$1521*$AA$1521</f>
        <v>47402.507433380466</v>
      </c>
    </row>
    <row r="1522" spans="1:33" ht="11.25" customHeight="1" x14ac:dyDescent="0.25">
      <c r="A1522" s="4" t="s">
        <v>28</v>
      </c>
      <c r="B1522" s="4" t="s">
        <v>35</v>
      </c>
      <c r="C1522" s="4" t="s">
        <v>36</v>
      </c>
      <c r="D1522" s="4" t="s">
        <v>52</v>
      </c>
      <c r="E1522" s="4" t="s">
        <v>53</v>
      </c>
      <c r="F1522" s="4" t="s">
        <v>25</v>
      </c>
      <c r="G1522" s="4" t="s">
        <v>25</v>
      </c>
      <c r="H1522" s="4" t="s">
        <v>37</v>
      </c>
      <c r="I1522" s="5">
        <v>44287</v>
      </c>
      <c r="J1522" s="6">
        <v>0</v>
      </c>
      <c r="K1522" s="77">
        <v>0</v>
      </c>
      <c r="L1522" s="6">
        <v>84.238</v>
      </c>
      <c r="M1522" s="77">
        <v>84.238</v>
      </c>
      <c r="N1522" s="6">
        <v>84.238</v>
      </c>
      <c r="O1522" s="77">
        <v>84.238</v>
      </c>
      <c r="P1522" s="6">
        <v>0</v>
      </c>
      <c r="Q1522" s="4" t="s">
        <v>26</v>
      </c>
      <c r="R1522" s="4">
        <v>0</v>
      </c>
      <c r="S1522" s="6">
        <v>0</v>
      </c>
      <c r="T1522" s="6">
        <v>24</v>
      </c>
      <c r="U1522" s="6">
        <v>66</v>
      </c>
      <c r="V1522" s="77">
        <f>IF(ISERROR(VLOOKUP($S$1522,'TAR FIN'!$A$1:$O$95,15,0)),0,VLOOKUP($S$1522,'TAR FIN'!$A$1:$O$95,15,0))</f>
        <v>0</v>
      </c>
      <c r="W1522" s="77">
        <f>IF(ISERROR(VLOOKUP($T$1522,'TAR FIN'!$A$1:$O$95,15,0)),0,VLOOKUP($T$1522,'TAR FIN'!$A$1:$O$95,15,0))*(1-0.09)</f>
        <v>1305.6588999999999</v>
      </c>
      <c r="X1522" s="77">
        <f>IF(ISERROR(VLOOKUP($U$1522,'TAR FIN'!$A$1:$O$95,15,0)),0,VLOOKUP($U$1522,'TAR FIN'!$A$1:$O$95,15,0))*(1-0.09)</f>
        <v>354.2448</v>
      </c>
      <c r="Y1522" s="77"/>
      <c r="Z1522" s="77">
        <f ca="1">('TUSD BE'!$AM$16+'TUSD BF'!$AM$16+'TUSD CVA'!$AM$16)*1*(1-0.06)</f>
        <v>1509.6321335379348</v>
      </c>
      <c r="AA1522" s="77">
        <f>('TE BE'!$AA$7+'TE BF'!$AA$7+'TE CVA'!$AA$7)*1*(1-0.06)</f>
        <v>427.06885385270027</v>
      </c>
      <c r="AB1522" s="6">
        <f>$K$1522*$V$1522</f>
        <v>0</v>
      </c>
      <c r="AC1522" s="6">
        <f>$M$1522*$W$1522</f>
        <v>109986.09441819999</v>
      </c>
      <c r="AD1522" s="6">
        <f>$O$1522*$X$1522</f>
        <v>29840.873462399999</v>
      </c>
      <c r="AE1522" s="6">
        <f>$K$1522*$Y$1522</f>
        <v>0</v>
      </c>
      <c r="AF1522" s="6">
        <f ca="1">$M$1522*$Z$1522</f>
        <v>127168.39166496856</v>
      </c>
      <c r="AG1522" s="6">
        <f>$O$1522*$AA$1522</f>
        <v>35975.426110843764</v>
      </c>
    </row>
    <row r="1523" spans="1:33" ht="11.25" customHeight="1" x14ac:dyDescent="0.25">
      <c r="A1523" s="4" t="s">
        <v>21</v>
      </c>
      <c r="B1523" s="4" t="s">
        <v>35</v>
      </c>
      <c r="C1523" s="4" t="s">
        <v>36</v>
      </c>
      <c r="D1523" s="4" t="s">
        <v>52</v>
      </c>
      <c r="E1523" s="4" t="s">
        <v>53</v>
      </c>
      <c r="F1523" s="4" t="s">
        <v>25</v>
      </c>
      <c r="G1523" s="4" t="s">
        <v>25</v>
      </c>
      <c r="H1523" s="4" t="s">
        <v>37</v>
      </c>
      <c r="I1523" s="5">
        <v>44317</v>
      </c>
      <c r="J1523" s="6">
        <v>0</v>
      </c>
      <c r="K1523" s="77">
        <v>0</v>
      </c>
      <c r="L1523" s="6">
        <v>122.526</v>
      </c>
      <c r="M1523" s="77">
        <v>122.526</v>
      </c>
      <c r="N1523" s="6">
        <v>122.526</v>
      </c>
      <c r="O1523" s="77">
        <v>122.526</v>
      </c>
      <c r="P1523" s="6">
        <v>0</v>
      </c>
      <c r="Q1523" s="4" t="s">
        <v>26</v>
      </c>
      <c r="R1523" s="4">
        <v>0</v>
      </c>
      <c r="S1523" s="6">
        <v>0</v>
      </c>
      <c r="T1523" s="6">
        <v>24</v>
      </c>
      <c r="U1523" s="6">
        <v>66</v>
      </c>
      <c r="V1523" s="77">
        <f>IF(ISERROR(VLOOKUP($S$1523,'TAR FIN'!$A$1:$O$95,15,0)),0,VLOOKUP($S$1523,'TAR FIN'!$A$1:$O$95,15,0))</f>
        <v>0</v>
      </c>
      <c r="W1523" s="77">
        <f>IF(ISERROR(VLOOKUP($T$1523,'TAR FIN'!$A$1:$O$95,15,0)),0,VLOOKUP($T$1523,'TAR FIN'!$A$1:$O$95,15,0))*(1-0.09)</f>
        <v>1305.6588999999999</v>
      </c>
      <c r="X1523" s="77">
        <f>IF(ISERROR(VLOOKUP($U$1523,'TAR FIN'!$A$1:$O$95,15,0)),0,VLOOKUP($U$1523,'TAR FIN'!$A$1:$O$95,15,0))*(1-0.09)</f>
        <v>354.2448</v>
      </c>
      <c r="Y1523" s="77"/>
      <c r="Z1523" s="77">
        <f ca="1">('TUSD BE'!$AM$16+'TUSD BF'!$AM$16+'TUSD CVA'!$AM$16)*1*(1-0.06)</f>
        <v>1509.6321335379348</v>
      </c>
      <c r="AA1523" s="77">
        <f>('TE BE'!$AA$7+'TE BF'!$AA$7+'TE CVA'!$AA$7)*1*(1-0.06)</f>
        <v>427.06885385270027</v>
      </c>
      <c r="AB1523" s="6">
        <f>$K$1523*$V$1523</f>
        <v>0</v>
      </c>
      <c r="AC1523" s="6">
        <f>$M$1523*$W$1523</f>
        <v>159977.16238139998</v>
      </c>
      <c r="AD1523" s="6">
        <f>$O$1523*$X$1523</f>
        <v>43404.198364799995</v>
      </c>
      <c r="AE1523" s="6">
        <f>$K$1523*$Y$1523</f>
        <v>0</v>
      </c>
      <c r="AF1523" s="6">
        <f ca="1">$M$1523*$Z$1523</f>
        <v>184969.18679386898</v>
      </c>
      <c r="AG1523" s="6">
        <f>$O$1523*$AA$1523</f>
        <v>52327.038387155953</v>
      </c>
    </row>
    <row r="1524" spans="1:33" ht="11.25" customHeight="1" x14ac:dyDescent="0.25">
      <c r="A1524" s="4" t="s">
        <v>28</v>
      </c>
      <c r="B1524" s="4" t="s">
        <v>35</v>
      </c>
      <c r="C1524" s="4" t="s">
        <v>36</v>
      </c>
      <c r="D1524" s="4" t="s">
        <v>52</v>
      </c>
      <c r="E1524" s="4" t="s">
        <v>53</v>
      </c>
      <c r="F1524" s="4" t="s">
        <v>25</v>
      </c>
      <c r="G1524" s="4" t="s">
        <v>25</v>
      </c>
      <c r="H1524" s="4" t="s">
        <v>37</v>
      </c>
      <c r="I1524" s="5">
        <v>44317</v>
      </c>
      <c r="J1524" s="6">
        <v>0</v>
      </c>
      <c r="K1524" s="77">
        <v>0</v>
      </c>
      <c r="L1524" s="6">
        <v>89.659000000000006</v>
      </c>
      <c r="M1524" s="77">
        <v>89.659000000000006</v>
      </c>
      <c r="N1524" s="6">
        <v>89.659000000000006</v>
      </c>
      <c r="O1524" s="77">
        <v>89.659000000000006</v>
      </c>
      <c r="P1524" s="6">
        <v>0</v>
      </c>
      <c r="Q1524" s="4" t="s">
        <v>26</v>
      </c>
      <c r="R1524" s="4">
        <v>0</v>
      </c>
      <c r="S1524" s="6">
        <v>0</v>
      </c>
      <c r="T1524" s="6">
        <v>24</v>
      </c>
      <c r="U1524" s="6">
        <v>66</v>
      </c>
      <c r="V1524" s="77">
        <f>IF(ISERROR(VLOOKUP($S$1524,'TAR FIN'!$A$1:$O$95,15,0)),0,VLOOKUP($S$1524,'TAR FIN'!$A$1:$O$95,15,0))</f>
        <v>0</v>
      </c>
      <c r="W1524" s="77">
        <f>IF(ISERROR(VLOOKUP($T$1524,'TAR FIN'!$A$1:$O$95,15,0)),0,VLOOKUP($T$1524,'TAR FIN'!$A$1:$O$95,15,0))*(1-0.09)</f>
        <v>1305.6588999999999</v>
      </c>
      <c r="X1524" s="77">
        <f>IF(ISERROR(VLOOKUP($U$1524,'TAR FIN'!$A$1:$O$95,15,0)),0,VLOOKUP($U$1524,'TAR FIN'!$A$1:$O$95,15,0))*(1-0.09)</f>
        <v>354.2448</v>
      </c>
      <c r="Y1524" s="77"/>
      <c r="Z1524" s="77">
        <f ca="1">('TUSD BE'!$AM$16+'TUSD BF'!$AM$16+'TUSD CVA'!$AM$16)*1*(1-0.06)</f>
        <v>1509.6321335379348</v>
      </c>
      <c r="AA1524" s="77">
        <f>('TE BE'!$AA$7+'TE BF'!$AA$7+'TE CVA'!$AA$7)*1*(1-0.06)</f>
        <v>427.06885385270027</v>
      </c>
      <c r="AB1524" s="6">
        <f>$K$1524*$V$1524</f>
        <v>0</v>
      </c>
      <c r="AC1524" s="6">
        <f>$M$1524*$W$1524</f>
        <v>117064.07131509999</v>
      </c>
      <c r="AD1524" s="6">
        <f>$O$1524*$X$1524</f>
        <v>31761.234523200001</v>
      </c>
      <c r="AE1524" s="6">
        <f>$K$1524*$Y$1524</f>
        <v>0</v>
      </c>
      <c r="AF1524" s="6">
        <f ca="1">$M$1524*$Z$1524</f>
        <v>135352.10746087771</v>
      </c>
      <c r="AG1524" s="6">
        <f>$O$1524*$AA$1524</f>
        <v>38290.566367579253</v>
      </c>
    </row>
    <row r="1525" spans="1:33" ht="11.25" customHeight="1" x14ac:dyDescent="0.25">
      <c r="A1525" s="4" t="s">
        <v>29</v>
      </c>
      <c r="B1525" s="4" t="s">
        <v>35</v>
      </c>
      <c r="C1525" s="4" t="s">
        <v>36</v>
      </c>
      <c r="D1525" s="4" t="s">
        <v>52</v>
      </c>
      <c r="E1525" s="4" t="s">
        <v>53</v>
      </c>
      <c r="F1525" s="4" t="s">
        <v>25</v>
      </c>
      <c r="G1525" s="4" t="s">
        <v>25</v>
      </c>
      <c r="H1525" s="4" t="s">
        <v>37</v>
      </c>
      <c r="I1525" s="5">
        <v>44317</v>
      </c>
      <c r="J1525" s="6">
        <v>0</v>
      </c>
      <c r="K1525" s="77">
        <v>0</v>
      </c>
      <c r="L1525" s="6">
        <v>14.61</v>
      </c>
      <c r="M1525" s="77">
        <v>14.61</v>
      </c>
      <c r="N1525" s="6">
        <v>14.61</v>
      </c>
      <c r="O1525" s="77">
        <v>14.61</v>
      </c>
      <c r="P1525" s="6">
        <v>0</v>
      </c>
      <c r="Q1525" s="4" t="s">
        <v>26</v>
      </c>
      <c r="R1525" s="4">
        <v>0</v>
      </c>
      <c r="S1525" s="6">
        <v>0</v>
      </c>
      <c r="T1525" s="6">
        <v>24</v>
      </c>
      <c r="U1525" s="6">
        <v>66</v>
      </c>
      <c r="V1525" s="77">
        <f>IF(ISERROR(VLOOKUP($S$1525,'TAR FIN'!$A$1:$O$95,15,0)),0,VLOOKUP($S$1525,'TAR FIN'!$A$1:$O$95,15,0))</f>
        <v>0</v>
      </c>
      <c r="W1525" s="77">
        <f>IF(ISERROR(VLOOKUP($T$1525,'TAR FIN'!$A$1:$O$95,15,0)),0,VLOOKUP($T$1525,'TAR FIN'!$A$1:$O$95,15,0))*(1-0.09)</f>
        <v>1305.6588999999999</v>
      </c>
      <c r="X1525" s="77">
        <f>IF(ISERROR(VLOOKUP($U$1525,'TAR FIN'!$A$1:$O$95,15,0)),0,VLOOKUP($U$1525,'TAR FIN'!$A$1:$O$95,15,0))*(1-0.09)</f>
        <v>354.2448</v>
      </c>
      <c r="Y1525" s="77"/>
      <c r="Z1525" s="77">
        <f ca="1">('TUSD BE'!$AM$16+'TUSD BF'!$AM$16+'TUSD CVA'!$AM$16)*1*(1-0.06)</f>
        <v>1509.6321335379348</v>
      </c>
      <c r="AA1525" s="77">
        <f>('TE BE'!$AA$7+'TE BF'!$AA$7+'TE CVA'!$AA$7)*1*(1-0.06)</f>
        <v>427.06885385270027</v>
      </c>
      <c r="AB1525" s="6">
        <f>$K$1525*$V$1525</f>
        <v>0</v>
      </c>
      <c r="AC1525" s="6">
        <f>$M$1525*$W$1525</f>
        <v>19075.676528999997</v>
      </c>
      <c r="AD1525" s="6">
        <f>$O$1525*$X$1525</f>
        <v>5175.5165280000001</v>
      </c>
      <c r="AE1525" s="6">
        <f>$K$1525*$Y$1525</f>
        <v>0</v>
      </c>
      <c r="AF1525" s="6">
        <f ca="1">$M$1525*$Z$1525</f>
        <v>22055.725470989226</v>
      </c>
      <c r="AG1525" s="6">
        <f>$O$1525*$AA$1525</f>
        <v>6239.4759547879503</v>
      </c>
    </row>
    <row r="1526" spans="1:33" ht="11.25" customHeight="1" x14ac:dyDescent="0.25">
      <c r="A1526" s="4" t="s">
        <v>21</v>
      </c>
      <c r="B1526" s="4" t="s">
        <v>35</v>
      </c>
      <c r="C1526" s="4" t="s">
        <v>36</v>
      </c>
      <c r="D1526" s="4" t="s">
        <v>52</v>
      </c>
      <c r="E1526" s="4" t="s">
        <v>53</v>
      </c>
      <c r="F1526" s="4" t="s">
        <v>25</v>
      </c>
      <c r="G1526" s="4" t="s">
        <v>25</v>
      </c>
      <c r="H1526" s="4" t="s">
        <v>37</v>
      </c>
      <c r="I1526" s="5">
        <v>44348</v>
      </c>
      <c r="J1526" s="6">
        <v>0</v>
      </c>
      <c r="K1526" s="77">
        <v>0</v>
      </c>
      <c r="L1526" s="6">
        <v>122.699</v>
      </c>
      <c r="M1526" s="77">
        <v>122.699</v>
      </c>
      <c r="N1526" s="6">
        <v>122.699</v>
      </c>
      <c r="O1526" s="77">
        <v>122.699</v>
      </c>
      <c r="P1526" s="6">
        <v>0</v>
      </c>
      <c r="Q1526" s="4" t="s">
        <v>26</v>
      </c>
      <c r="R1526" s="4">
        <v>0</v>
      </c>
      <c r="S1526" s="6">
        <v>0</v>
      </c>
      <c r="T1526" s="6">
        <v>24</v>
      </c>
      <c r="U1526" s="6">
        <v>66</v>
      </c>
      <c r="V1526" s="77">
        <f>IF(ISERROR(VLOOKUP($S$1526,'TAR FIN'!$A$1:$O$95,15,0)),0,VLOOKUP($S$1526,'TAR FIN'!$A$1:$O$95,15,0))</f>
        <v>0</v>
      </c>
      <c r="W1526" s="77">
        <f>IF(ISERROR(VLOOKUP($T$1526,'TAR FIN'!$A$1:$O$95,15,0)),0,VLOOKUP($T$1526,'TAR FIN'!$A$1:$O$95,15,0))*(1-0.09)</f>
        <v>1305.6588999999999</v>
      </c>
      <c r="X1526" s="77">
        <f>IF(ISERROR(VLOOKUP($U$1526,'TAR FIN'!$A$1:$O$95,15,0)),0,VLOOKUP($U$1526,'TAR FIN'!$A$1:$O$95,15,0))*(1-0.09)</f>
        <v>354.2448</v>
      </c>
      <c r="Y1526" s="77"/>
      <c r="Z1526" s="77">
        <f ca="1">('TUSD BE'!$AM$16+'TUSD BF'!$AM$16+'TUSD CVA'!$AM$16)*1*(1-0.06)</f>
        <v>1509.6321335379348</v>
      </c>
      <c r="AA1526" s="77">
        <f>('TE BE'!$AA$7+'TE BF'!$AA$7+'TE CVA'!$AA$7)*1*(1-0.06)</f>
        <v>427.06885385270027</v>
      </c>
      <c r="AB1526" s="6">
        <f>$K$1526*$V$1526</f>
        <v>0</v>
      </c>
      <c r="AC1526" s="6">
        <f>$M$1526*$W$1526</f>
        <v>160203.0413711</v>
      </c>
      <c r="AD1526" s="6">
        <f>$O$1526*$X$1526</f>
        <v>43465.4827152</v>
      </c>
      <c r="AE1526" s="6">
        <f>$K$1526*$Y$1526</f>
        <v>0</v>
      </c>
      <c r="AF1526" s="6">
        <f ca="1">$M$1526*$Z$1526</f>
        <v>185230.35315297105</v>
      </c>
      <c r="AG1526" s="6">
        <f>$O$1526*$AA$1526</f>
        <v>52400.921298872468</v>
      </c>
    </row>
    <row r="1527" spans="1:33" ht="11.25" customHeight="1" x14ac:dyDescent="0.25">
      <c r="A1527" s="4" t="s">
        <v>28</v>
      </c>
      <c r="B1527" s="4" t="s">
        <v>35</v>
      </c>
      <c r="C1527" s="4" t="s">
        <v>36</v>
      </c>
      <c r="D1527" s="4" t="s">
        <v>52</v>
      </c>
      <c r="E1527" s="4" t="s">
        <v>53</v>
      </c>
      <c r="F1527" s="4" t="s">
        <v>25</v>
      </c>
      <c r="G1527" s="4" t="s">
        <v>25</v>
      </c>
      <c r="H1527" s="4" t="s">
        <v>37</v>
      </c>
      <c r="I1527" s="5">
        <v>44348</v>
      </c>
      <c r="J1527" s="6">
        <v>0</v>
      </c>
      <c r="K1527" s="77">
        <v>0</v>
      </c>
      <c r="L1527" s="6">
        <v>92.828999999999994</v>
      </c>
      <c r="M1527" s="77">
        <v>92.828999999999994</v>
      </c>
      <c r="N1527" s="6">
        <v>92.828999999999994</v>
      </c>
      <c r="O1527" s="77">
        <v>92.828999999999994</v>
      </c>
      <c r="P1527" s="6">
        <v>0</v>
      </c>
      <c r="Q1527" s="4" t="s">
        <v>26</v>
      </c>
      <c r="R1527" s="4">
        <v>0</v>
      </c>
      <c r="S1527" s="6">
        <v>0</v>
      </c>
      <c r="T1527" s="6">
        <v>24</v>
      </c>
      <c r="U1527" s="6">
        <v>66</v>
      </c>
      <c r="V1527" s="77">
        <f>IF(ISERROR(VLOOKUP($S$1527,'TAR FIN'!$A$1:$O$95,15,0)),0,VLOOKUP($S$1527,'TAR FIN'!$A$1:$O$95,15,0))</f>
        <v>0</v>
      </c>
      <c r="W1527" s="77">
        <f>IF(ISERROR(VLOOKUP($T$1527,'TAR FIN'!$A$1:$O$95,15,0)),0,VLOOKUP($T$1527,'TAR FIN'!$A$1:$O$95,15,0))*(1-0.09)</f>
        <v>1305.6588999999999</v>
      </c>
      <c r="X1527" s="77">
        <f>IF(ISERROR(VLOOKUP($U$1527,'TAR FIN'!$A$1:$O$95,15,0)),0,VLOOKUP($U$1527,'TAR FIN'!$A$1:$O$95,15,0))*(1-0.09)</f>
        <v>354.2448</v>
      </c>
      <c r="Y1527" s="77"/>
      <c r="Z1527" s="77">
        <f ca="1">('TUSD BE'!$AM$16+'TUSD BF'!$AM$16+'TUSD CVA'!$AM$16)*1*(1-0.06)</f>
        <v>1509.6321335379348</v>
      </c>
      <c r="AA1527" s="77">
        <f>('TE BE'!$AA$7+'TE BF'!$AA$7+'TE CVA'!$AA$7)*1*(1-0.06)</f>
        <v>427.06885385270027</v>
      </c>
      <c r="AB1527" s="6">
        <f>$K$1527*$V$1527</f>
        <v>0</v>
      </c>
      <c r="AC1527" s="6">
        <f>$M$1527*$W$1527</f>
        <v>121203.01002809998</v>
      </c>
      <c r="AD1527" s="6">
        <f>$O$1527*$X$1527</f>
        <v>32884.190539199997</v>
      </c>
      <c r="AE1527" s="6">
        <f>$K$1527*$Y$1527</f>
        <v>0</v>
      </c>
      <c r="AF1527" s="6">
        <f ca="1">$M$1527*$Z$1527</f>
        <v>140137.64132419293</v>
      </c>
      <c r="AG1527" s="6">
        <f>$O$1527*$AA$1527</f>
        <v>39644.374634292311</v>
      </c>
    </row>
    <row r="1528" spans="1:33" ht="11.25" customHeight="1" x14ac:dyDescent="0.25">
      <c r="A1528" s="4" t="s">
        <v>21</v>
      </c>
      <c r="B1528" s="4" t="s">
        <v>35</v>
      </c>
      <c r="C1528" s="4" t="s">
        <v>36</v>
      </c>
      <c r="D1528" s="4" t="s">
        <v>52</v>
      </c>
      <c r="E1528" s="4" t="s">
        <v>53</v>
      </c>
      <c r="F1528" s="4" t="s">
        <v>25</v>
      </c>
      <c r="G1528" s="4" t="s">
        <v>25</v>
      </c>
      <c r="H1528" s="4" t="s">
        <v>37</v>
      </c>
      <c r="I1528" s="5">
        <v>44378</v>
      </c>
      <c r="J1528" s="6">
        <v>0</v>
      </c>
      <c r="K1528" s="77">
        <v>0</v>
      </c>
      <c r="L1528" s="6">
        <v>137.31800000000001</v>
      </c>
      <c r="M1528" s="77">
        <v>137.31800000000001</v>
      </c>
      <c r="N1528" s="6">
        <v>137.31800000000001</v>
      </c>
      <c r="O1528" s="77">
        <v>137.31800000000001</v>
      </c>
      <c r="P1528" s="6">
        <v>0</v>
      </c>
      <c r="Q1528" s="4" t="s">
        <v>26</v>
      </c>
      <c r="R1528" s="4">
        <v>0</v>
      </c>
      <c r="S1528" s="6">
        <v>0</v>
      </c>
      <c r="T1528" s="6">
        <v>24</v>
      </c>
      <c r="U1528" s="6">
        <v>66</v>
      </c>
      <c r="V1528" s="77">
        <f>IF(ISERROR(VLOOKUP($S$1528,'TAR FIN'!$A$1:$O$95,15,0)),0,VLOOKUP($S$1528,'TAR FIN'!$A$1:$O$95,15,0))</f>
        <v>0</v>
      </c>
      <c r="W1528" s="77">
        <f>IF(ISERROR(VLOOKUP($T$1528,'TAR FIN'!$A$1:$O$95,15,0)),0,VLOOKUP($T$1528,'TAR FIN'!$A$1:$O$95,15,0))*(1-0.09)</f>
        <v>1305.6588999999999</v>
      </c>
      <c r="X1528" s="77">
        <f>IF(ISERROR(VLOOKUP($U$1528,'TAR FIN'!$A$1:$O$95,15,0)),0,VLOOKUP($U$1528,'TAR FIN'!$A$1:$O$95,15,0))*(1-0.09)</f>
        <v>354.2448</v>
      </c>
      <c r="Y1528" s="77"/>
      <c r="Z1528" s="77">
        <f ca="1">('TUSD BE'!$AM$16+'TUSD BF'!$AM$16+'TUSD CVA'!$AM$16)*1*(1-0.06)</f>
        <v>1509.6321335379348</v>
      </c>
      <c r="AA1528" s="77">
        <f>('TE BE'!$AA$7+'TE BF'!$AA$7+'TE CVA'!$AA$7)*1*(1-0.06)</f>
        <v>427.06885385270027</v>
      </c>
      <c r="AB1528" s="6">
        <f>$K$1528*$V$1528</f>
        <v>0</v>
      </c>
      <c r="AC1528" s="6">
        <f>$M$1528*$W$1528</f>
        <v>179290.4688302</v>
      </c>
      <c r="AD1528" s="6">
        <f>$O$1528*$X$1528</f>
        <v>48644.187446400007</v>
      </c>
      <c r="AE1528" s="6">
        <f>$K$1528*$Y$1528</f>
        <v>0</v>
      </c>
      <c r="AF1528" s="6">
        <f ca="1">$M$1528*$Z$1528</f>
        <v>207299.66531316214</v>
      </c>
      <c r="AG1528" s="6">
        <f>$O$1528*$AA$1528</f>
        <v>58644.240873345101</v>
      </c>
    </row>
    <row r="1529" spans="1:33" ht="11.25" customHeight="1" x14ac:dyDescent="0.25">
      <c r="A1529" s="4" t="s">
        <v>28</v>
      </c>
      <c r="B1529" s="4" t="s">
        <v>35</v>
      </c>
      <c r="C1529" s="4" t="s">
        <v>36</v>
      </c>
      <c r="D1529" s="4" t="s">
        <v>52</v>
      </c>
      <c r="E1529" s="4" t="s">
        <v>53</v>
      </c>
      <c r="F1529" s="4" t="s">
        <v>25</v>
      </c>
      <c r="G1529" s="4" t="s">
        <v>25</v>
      </c>
      <c r="H1529" s="4" t="s">
        <v>37</v>
      </c>
      <c r="I1529" s="5">
        <v>44378</v>
      </c>
      <c r="J1529" s="6">
        <v>0</v>
      </c>
      <c r="K1529" s="77">
        <v>0</v>
      </c>
      <c r="L1529" s="6">
        <v>56.061999999999998</v>
      </c>
      <c r="M1529" s="77">
        <v>56.061999999999998</v>
      </c>
      <c r="N1529" s="6">
        <v>56.061999999999998</v>
      </c>
      <c r="O1529" s="77">
        <v>56.061999999999998</v>
      </c>
      <c r="P1529" s="6">
        <v>0</v>
      </c>
      <c r="Q1529" s="4" t="s">
        <v>26</v>
      </c>
      <c r="R1529" s="4">
        <v>0</v>
      </c>
      <c r="S1529" s="6">
        <v>0</v>
      </c>
      <c r="T1529" s="6">
        <v>24</v>
      </c>
      <c r="U1529" s="6">
        <v>66</v>
      </c>
      <c r="V1529" s="77">
        <f>IF(ISERROR(VLOOKUP($S$1529,'TAR FIN'!$A$1:$O$95,15,0)),0,VLOOKUP($S$1529,'TAR FIN'!$A$1:$O$95,15,0))</f>
        <v>0</v>
      </c>
      <c r="W1529" s="77">
        <f>IF(ISERROR(VLOOKUP($T$1529,'TAR FIN'!$A$1:$O$95,15,0)),0,VLOOKUP($T$1529,'TAR FIN'!$A$1:$O$95,15,0))*(1-0.09)</f>
        <v>1305.6588999999999</v>
      </c>
      <c r="X1529" s="77">
        <f>IF(ISERROR(VLOOKUP($U$1529,'TAR FIN'!$A$1:$O$95,15,0)),0,VLOOKUP($U$1529,'TAR FIN'!$A$1:$O$95,15,0))*(1-0.09)</f>
        <v>354.2448</v>
      </c>
      <c r="Y1529" s="77"/>
      <c r="Z1529" s="77">
        <f ca="1">('TUSD BE'!$AM$16+'TUSD BF'!$AM$16+'TUSD CVA'!$AM$16)*1*(1-0.06)</f>
        <v>1509.6321335379348</v>
      </c>
      <c r="AA1529" s="77">
        <f>('TE BE'!$AA$7+'TE BF'!$AA$7+'TE CVA'!$AA$7)*1*(1-0.06)</f>
        <v>427.06885385270027</v>
      </c>
      <c r="AB1529" s="6">
        <f>$K$1529*$V$1529</f>
        <v>0</v>
      </c>
      <c r="AC1529" s="6">
        <f>$M$1529*$W$1529</f>
        <v>73197.849251799998</v>
      </c>
      <c r="AD1529" s="6">
        <f>$O$1529*$X$1529</f>
        <v>19859.671977599999</v>
      </c>
      <c r="AE1529" s="6">
        <f>$K$1529*$Y$1529</f>
        <v>0</v>
      </c>
      <c r="AF1529" s="6">
        <f ca="1">$M$1529*$Z$1529</f>
        <v>84632.996670403692</v>
      </c>
      <c r="AG1529" s="6">
        <f>$O$1529*$AA$1529</f>
        <v>23942.334084690083</v>
      </c>
    </row>
    <row r="1530" spans="1:33" ht="11.25" customHeight="1" x14ac:dyDescent="0.25">
      <c r="A1530" s="4" t="s">
        <v>21</v>
      </c>
      <c r="B1530" s="4" t="s">
        <v>35</v>
      </c>
      <c r="C1530" s="4" t="s">
        <v>36</v>
      </c>
      <c r="D1530" s="4" t="s">
        <v>52</v>
      </c>
      <c r="E1530" s="4" t="s">
        <v>53</v>
      </c>
      <c r="F1530" s="4" t="s">
        <v>25</v>
      </c>
      <c r="G1530" s="4" t="s">
        <v>25</v>
      </c>
      <c r="H1530" s="4" t="s">
        <v>37</v>
      </c>
      <c r="I1530" s="5">
        <v>44409</v>
      </c>
      <c r="J1530" s="6">
        <v>0</v>
      </c>
      <c r="K1530" s="77">
        <v>0</v>
      </c>
      <c r="L1530" s="6">
        <v>135.59299999999999</v>
      </c>
      <c r="M1530" s="77">
        <v>135.59299999999999</v>
      </c>
      <c r="N1530" s="6">
        <v>135.59299999999999</v>
      </c>
      <c r="O1530" s="77">
        <v>135.59299999999999</v>
      </c>
      <c r="P1530" s="6">
        <v>0</v>
      </c>
      <c r="Q1530" s="4" t="s">
        <v>26</v>
      </c>
      <c r="R1530" s="4">
        <v>0</v>
      </c>
      <c r="S1530" s="6">
        <v>0</v>
      </c>
      <c r="T1530" s="6">
        <v>24</v>
      </c>
      <c r="U1530" s="6">
        <v>66</v>
      </c>
      <c r="V1530" s="77">
        <f>IF(ISERROR(VLOOKUP($S$1530,'TAR FIN'!$A$1:$O$95,15,0)),0,VLOOKUP($S$1530,'TAR FIN'!$A$1:$O$95,15,0))</f>
        <v>0</v>
      </c>
      <c r="W1530" s="77">
        <f>IF(ISERROR(VLOOKUP($T$1530,'TAR FIN'!$A$1:$O$95,15,0)),0,VLOOKUP($T$1530,'TAR FIN'!$A$1:$O$95,15,0))*(1-0.09)</f>
        <v>1305.6588999999999</v>
      </c>
      <c r="X1530" s="77">
        <f>IF(ISERROR(VLOOKUP($U$1530,'TAR FIN'!$A$1:$O$95,15,0)),0,VLOOKUP($U$1530,'TAR FIN'!$A$1:$O$95,15,0))*(1-0.09)</f>
        <v>354.2448</v>
      </c>
      <c r="Y1530" s="77"/>
      <c r="Z1530" s="77">
        <f ca="1">('TUSD BE'!$AM$16+'TUSD BF'!$AM$16+'TUSD CVA'!$AM$16)*1*(1-0.06)</f>
        <v>1509.6321335379348</v>
      </c>
      <c r="AA1530" s="77">
        <f>('TE BE'!$AA$7+'TE BF'!$AA$7+'TE CVA'!$AA$7)*1*(1-0.06)</f>
        <v>427.06885385270027</v>
      </c>
      <c r="AB1530" s="6">
        <f>$K$1530*$V$1530</f>
        <v>0</v>
      </c>
      <c r="AC1530" s="6">
        <f>$M$1530*$W$1530</f>
        <v>177038.20722769998</v>
      </c>
      <c r="AD1530" s="6">
        <f>$O$1530*$X$1530</f>
        <v>48033.115166399999</v>
      </c>
      <c r="AE1530" s="6">
        <f>$K$1530*$Y$1530</f>
        <v>0</v>
      </c>
      <c r="AF1530" s="6">
        <f ca="1">$M$1530*$Z$1530</f>
        <v>204695.54988280917</v>
      </c>
      <c r="AG1530" s="6">
        <f>$O$1530*$AA$1530</f>
        <v>57907.547100449185</v>
      </c>
    </row>
    <row r="1531" spans="1:33" ht="11.25" customHeight="1" x14ac:dyDescent="0.25">
      <c r="A1531" s="4" t="s">
        <v>28</v>
      </c>
      <c r="B1531" s="4" t="s">
        <v>35</v>
      </c>
      <c r="C1531" s="4" t="s">
        <v>36</v>
      </c>
      <c r="D1531" s="4" t="s">
        <v>52</v>
      </c>
      <c r="E1531" s="4" t="s">
        <v>53</v>
      </c>
      <c r="F1531" s="4" t="s">
        <v>25</v>
      </c>
      <c r="G1531" s="4" t="s">
        <v>25</v>
      </c>
      <c r="H1531" s="4" t="s">
        <v>37</v>
      </c>
      <c r="I1531" s="5">
        <v>44409</v>
      </c>
      <c r="J1531" s="6">
        <v>0</v>
      </c>
      <c r="K1531" s="77">
        <v>0</v>
      </c>
      <c r="L1531" s="6">
        <v>54.485999999999997</v>
      </c>
      <c r="M1531" s="77">
        <v>54.485999999999997</v>
      </c>
      <c r="N1531" s="6">
        <v>54.485999999999997</v>
      </c>
      <c r="O1531" s="77">
        <v>54.485999999999997</v>
      </c>
      <c r="P1531" s="6">
        <v>0</v>
      </c>
      <c r="Q1531" s="4" t="s">
        <v>26</v>
      </c>
      <c r="R1531" s="4">
        <v>0</v>
      </c>
      <c r="S1531" s="6">
        <v>0</v>
      </c>
      <c r="T1531" s="6">
        <v>24</v>
      </c>
      <c r="U1531" s="6">
        <v>66</v>
      </c>
      <c r="V1531" s="77">
        <f>IF(ISERROR(VLOOKUP($S$1531,'TAR FIN'!$A$1:$O$95,15,0)),0,VLOOKUP($S$1531,'TAR FIN'!$A$1:$O$95,15,0))</f>
        <v>0</v>
      </c>
      <c r="W1531" s="77">
        <f>IF(ISERROR(VLOOKUP($T$1531,'TAR FIN'!$A$1:$O$95,15,0)),0,VLOOKUP($T$1531,'TAR FIN'!$A$1:$O$95,15,0))*(1-0.09)</f>
        <v>1305.6588999999999</v>
      </c>
      <c r="X1531" s="77">
        <f>IF(ISERROR(VLOOKUP($U$1531,'TAR FIN'!$A$1:$O$95,15,0)),0,VLOOKUP($U$1531,'TAR FIN'!$A$1:$O$95,15,0))*(1-0.09)</f>
        <v>354.2448</v>
      </c>
      <c r="Y1531" s="77"/>
      <c r="Z1531" s="77">
        <f ca="1">('TUSD BE'!$AM$16+'TUSD BF'!$AM$16+'TUSD CVA'!$AM$16)*1*(1-0.06)</f>
        <v>1509.6321335379348</v>
      </c>
      <c r="AA1531" s="77">
        <f>('TE BE'!$AA$7+'TE BF'!$AA$7+'TE CVA'!$AA$7)*1*(1-0.06)</f>
        <v>427.06885385270027</v>
      </c>
      <c r="AB1531" s="6">
        <f>$K$1531*$V$1531</f>
        <v>0</v>
      </c>
      <c r="AC1531" s="6">
        <f>$M$1531*$W$1531</f>
        <v>71140.130825399989</v>
      </c>
      <c r="AD1531" s="6">
        <f>$O$1531*$X$1531</f>
        <v>19301.3821728</v>
      </c>
      <c r="AE1531" s="6">
        <f>$K$1531*$Y$1531</f>
        <v>0</v>
      </c>
      <c r="AF1531" s="6">
        <f ca="1">$M$1531*$Z$1531</f>
        <v>82253.81642794791</v>
      </c>
      <c r="AG1531" s="6">
        <f>$O$1531*$AA$1531</f>
        <v>23269.273571018224</v>
      </c>
    </row>
    <row r="1532" spans="1:33" ht="11.25" customHeight="1" x14ac:dyDescent="0.25">
      <c r="A1532" s="4" t="s">
        <v>21</v>
      </c>
      <c r="B1532" s="4" t="s">
        <v>35</v>
      </c>
      <c r="C1532" s="4" t="s">
        <v>36</v>
      </c>
      <c r="D1532" s="4" t="s">
        <v>52</v>
      </c>
      <c r="E1532" s="4" t="s">
        <v>53</v>
      </c>
      <c r="F1532" s="4" t="s">
        <v>25</v>
      </c>
      <c r="G1532" s="4" t="s">
        <v>25</v>
      </c>
      <c r="H1532" s="4" t="s">
        <v>37</v>
      </c>
      <c r="I1532" s="5">
        <v>44440</v>
      </c>
      <c r="J1532" s="6">
        <v>0</v>
      </c>
      <c r="K1532" s="77">
        <v>0</v>
      </c>
      <c r="L1532" s="6">
        <v>106.461</v>
      </c>
      <c r="M1532" s="77">
        <v>106.461</v>
      </c>
      <c r="N1532" s="6">
        <v>106.461</v>
      </c>
      <c r="O1532" s="77">
        <v>106.461</v>
      </c>
      <c r="P1532" s="6">
        <v>0</v>
      </c>
      <c r="Q1532" s="4" t="s">
        <v>26</v>
      </c>
      <c r="R1532" s="4">
        <v>0</v>
      </c>
      <c r="S1532" s="6">
        <v>0</v>
      </c>
      <c r="T1532" s="6">
        <v>24</v>
      </c>
      <c r="U1532" s="6">
        <v>66</v>
      </c>
      <c r="V1532" s="77">
        <f>IF(ISERROR(VLOOKUP($S$1532,'TAR FIN'!$A$1:$O$95,15,0)),0,VLOOKUP($S$1532,'TAR FIN'!$A$1:$O$95,15,0))</f>
        <v>0</v>
      </c>
      <c r="W1532" s="77">
        <f>IF(ISERROR(VLOOKUP($T$1532,'TAR FIN'!$A$1:$O$95,15,0)),0,VLOOKUP($T$1532,'TAR FIN'!$A$1:$O$95,15,0))*(1-0.09)</f>
        <v>1305.6588999999999</v>
      </c>
      <c r="X1532" s="77">
        <f>IF(ISERROR(VLOOKUP($U$1532,'TAR FIN'!$A$1:$O$95,15,0)),0,VLOOKUP($U$1532,'TAR FIN'!$A$1:$O$95,15,0))*(1-0.09)</f>
        <v>354.2448</v>
      </c>
      <c r="Y1532" s="77"/>
      <c r="Z1532" s="77">
        <f ca="1">('TUSD BE'!$AM$16+'TUSD BF'!$AM$16+'TUSD CVA'!$AM$16)*1*(1-0.06)</f>
        <v>1509.6321335379348</v>
      </c>
      <c r="AA1532" s="77">
        <f>('TE BE'!$AA$7+'TE BF'!$AA$7+'TE CVA'!$AA$7)*1*(1-0.06)</f>
        <v>427.06885385270027</v>
      </c>
      <c r="AB1532" s="6">
        <f>$K$1532*$V$1532</f>
        <v>0</v>
      </c>
      <c r="AC1532" s="6">
        <f>$M$1532*$W$1532</f>
        <v>139001.75215289998</v>
      </c>
      <c r="AD1532" s="6">
        <f>$O$1532*$X$1532</f>
        <v>37713.255652799999</v>
      </c>
      <c r="AE1532" s="6">
        <f>$K$1532*$Y$1532</f>
        <v>0</v>
      </c>
      <c r="AF1532" s="6">
        <f ca="1">$M$1532*$Z$1532</f>
        <v>160716.94656858206</v>
      </c>
      <c r="AG1532" s="6">
        <f>$O$1532*$AA$1532</f>
        <v>45466.177250012326</v>
      </c>
    </row>
    <row r="1533" spans="1:33" ht="11.25" customHeight="1" x14ac:dyDescent="0.25">
      <c r="A1533" s="4" t="s">
        <v>28</v>
      </c>
      <c r="B1533" s="4" t="s">
        <v>35</v>
      </c>
      <c r="C1533" s="4" t="s">
        <v>36</v>
      </c>
      <c r="D1533" s="4" t="s">
        <v>52</v>
      </c>
      <c r="E1533" s="4" t="s">
        <v>53</v>
      </c>
      <c r="F1533" s="4" t="s">
        <v>25</v>
      </c>
      <c r="G1533" s="4" t="s">
        <v>25</v>
      </c>
      <c r="H1533" s="4" t="s">
        <v>37</v>
      </c>
      <c r="I1533" s="5">
        <v>44440</v>
      </c>
      <c r="J1533" s="6">
        <v>0</v>
      </c>
      <c r="K1533" s="77">
        <v>0</v>
      </c>
      <c r="L1533" s="6">
        <v>53.558</v>
      </c>
      <c r="M1533" s="77">
        <v>53.558</v>
      </c>
      <c r="N1533" s="6">
        <v>53.558</v>
      </c>
      <c r="O1533" s="77">
        <v>53.558</v>
      </c>
      <c r="P1533" s="6">
        <v>0</v>
      </c>
      <c r="Q1533" s="4" t="s">
        <v>26</v>
      </c>
      <c r="R1533" s="4">
        <v>0</v>
      </c>
      <c r="S1533" s="6">
        <v>0</v>
      </c>
      <c r="T1533" s="6">
        <v>24</v>
      </c>
      <c r="U1533" s="6">
        <v>66</v>
      </c>
      <c r="V1533" s="77">
        <f>IF(ISERROR(VLOOKUP($S$1533,'TAR FIN'!$A$1:$O$95,15,0)),0,VLOOKUP($S$1533,'TAR FIN'!$A$1:$O$95,15,0))</f>
        <v>0</v>
      </c>
      <c r="W1533" s="77">
        <f>IF(ISERROR(VLOOKUP($T$1533,'TAR FIN'!$A$1:$O$95,15,0)),0,VLOOKUP($T$1533,'TAR FIN'!$A$1:$O$95,15,0))*(1-0.09)</f>
        <v>1305.6588999999999</v>
      </c>
      <c r="X1533" s="77">
        <f>IF(ISERROR(VLOOKUP($U$1533,'TAR FIN'!$A$1:$O$95,15,0)),0,VLOOKUP($U$1533,'TAR FIN'!$A$1:$O$95,15,0))*(1-0.09)</f>
        <v>354.2448</v>
      </c>
      <c r="Y1533" s="77"/>
      <c r="Z1533" s="77">
        <f ca="1">('TUSD BE'!$AM$16+'TUSD BF'!$AM$16+'TUSD CVA'!$AM$16)*1*(1-0.06)</f>
        <v>1509.6321335379348</v>
      </c>
      <c r="AA1533" s="77">
        <f>('TE BE'!$AA$7+'TE BF'!$AA$7+'TE CVA'!$AA$7)*1*(1-0.06)</f>
        <v>427.06885385270027</v>
      </c>
      <c r="AB1533" s="6">
        <f>$K$1533*$V$1533</f>
        <v>0</v>
      </c>
      <c r="AC1533" s="6">
        <f>$M$1533*$W$1533</f>
        <v>69928.479366200001</v>
      </c>
      <c r="AD1533" s="6">
        <f>$O$1533*$X$1533</f>
        <v>18972.642998399999</v>
      </c>
      <c r="AE1533" s="6">
        <f>$K$1533*$Y$1533</f>
        <v>0</v>
      </c>
      <c r="AF1533" s="6">
        <f ca="1">$M$1533*$Z$1533</f>
        <v>80852.877808024714</v>
      </c>
      <c r="AG1533" s="6">
        <f>$O$1533*$AA$1533</f>
        <v>22872.953674642922</v>
      </c>
    </row>
    <row r="1534" spans="1:33" ht="11.25" customHeight="1" x14ac:dyDescent="0.25">
      <c r="A1534" s="4" t="s">
        <v>59</v>
      </c>
      <c r="B1534" s="4" t="s">
        <v>35</v>
      </c>
      <c r="C1534" s="4" t="s">
        <v>36</v>
      </c>
      <c r="D1534" s="4" t="s">
        <v>52</v>
      </c>
      <c r="E1534" s="4" t="s">
        <v>53</v>
      </c>
      <c r="F1534" s="4" t="s">
        <v>25</v>
      </c>
      <c r="G1534" s="4" t="s">
        <v>25</v>
      </c>
      <c r="H1534" s="4" t="s">
        <v>37</v>
      </c>
      <c r="I1534" s="5">
        <v>44470</v>
      </c>
      <c r="J1534" s="6">
        <v>0</v>
      </c>
      <c r="K1534" s="77">
        <v>0</v>
      </c>
      <c r="L1534" s="6">
        <v>106.461</v>
      </c>
      <c r="M1534" s="77">
        <v>106.461</v>
      </c>
      <c r="N1534" s="6">
        <v>106.461</v>
      </c>
      <c r="O1534" s="77">
        <v>106.461</v>
      </c>
      <c r="P1534" s="6">
        <v>0</v>
      </c>
      <c r="Q1534" s="4" t="s">
        <v>26</v>
      </c>
      <c r="R1534" s="4">
        <v>0</v>
      </c>
      <c r="S1534" s="6">
        <v>0</v>
      </c>
      <c r="T1534" s="6">
        <v>24</v>
      </c>
      <c r="U1534" s="6">
        <v>66</v>
      </c>
      <c r="V1534" s="77">
        <f>IF(ISERROR(VLOOKUP($S$1534,'TAR FIN'!$A$1:$O$95,15,0)),0,VLOOKUP($S$1534,'TAR FIN'!$A$1:$O$95,15,0))</f>
        <v>0</v>
      </c>
      <c r="W1534" s="77">
        <f>IF(ISERROR(VLOOKUP($T$1534,'TAR FIN'!$A$1:$O$95,15,0)),0,VLOOKUP($T$1534,'TAR FIN'!$A$1:$O$95,15,0))*(1-0.09)</f>
        <v>1305.6588999999999</v>
      </c>
      <c r="X1534" s="77">
        <f>IF(ISERROR(VLOOKUP($U$1534,'TAR FIN'!$A$1:$O$95,15,0)),0,VLOOKUP($U$1534,'TAR FIN'!$A$1:$O$95,15,0))*(1-0.09)</f>
        <v>354.2448</v>
      </c>
      <c r="Y1534" s="77"/>
      <c r="Z1534" s="77">
        <f ca="1">('TUSD BE'!$AM$16+'TUSD BF'!$AM$16+'TUSD CVA'!$AM$16)*1*(1-0.06)</f>
        <v>1509.6321335379348</v>
      </c>
      <c r="AA1534" s="77">
        <f>('TE BE'!$AA$7+'TE BF'!$AA$7+'TE CVA'!$AA$7)*1*(1-0.06)</f>
        <v>427.06885385270027</v>
      </c>
      <c r="AB1534" s="6">
        <f>$K$1534*$V$1534</f>
        <v>0</v>
      </c>
      <c r="AC1534" s="6">
        <f>$M$1534*$W$1534</f>
        <v>139001.75215289998</v>
      </c>
      <c r="AD1534" s="6">
        <f>$O$1534*$X$1534</f>
        <v>37713.255652799999</v>
      </c>
      <c r="AE1534" s="6">
        <f>$K$1534*$Y$1534</f>
        <v>0</v>
      </c>
      <c r="AF1534" s="6">
        <f ca="1">$M$1534*$Z$1534</f>
        <v>160716.94656858206</v>
      </c>
      <c r="AG1534" s="6">
        <f>$O$1534*$AA$1534</f>
        <v>45466.177250012326</v>
      </c>
    </row>
    <row r="1535" spans="1:33" ht="11.25" customHeight="1" x14ac:dyDescent="0.25">
      <c r="A1535" s="4" t="s">
        <v>59</v>
      </c>
      <c r="B1535" s="4" t="s">
        <v>35</v>
      </c>
      <c r="C1535" s="4" t="s">
        <v>36</v>
      </c>
      <c r="D1535" s="4" t="s">
        <v>52</v>
      </c>
      <c r="E1535" s="4" t="s">
        <v>53</v>
      </c>
      <c r="F1535" s="4" t="s">
        <v>25</v>
      </c>
      <c r="G1535" s="4" t="s">
        <v>25</v>
      </c>
      <c r="H1535" s="4" t="s">
        <v>37</v>
      </c>
      <c r="I1535" s="5">
        <v>44470</v>
      </c>
      <c r="J1535" s="6">
        <v>0</v>
      </c>
      <c r="K1535" s="77">
        <v>0</v>
      </c>
      <c r="L1535" s="6">
        <v>53.558</v>
      </c>
      <c r="M1535" s="77">
        <v>53.558</v>
      </c>
      <c r="N1535" s="6">
        <v>53.558</v>
      </c>
      <c r="O1535" s="77">
        <v>53.558</v>
      </c>
      <c r="P1535" s="6">
        <v>0</v>
      </c>
      <c r="Q1535" s="4" t="s">
        <v>26</v>
      </c>
      <c r="R1535" s="4">
        <v>0</v>
      </c>
      <c r="S1535" s="6">
        <v>0</v>
      </c>
      <c r="T1535" s="6">
        <v>24</v>
      </c>
      <c r="U1535" s="6">
        <v>66</v>
      </c>
      <c r="V1535" s="77">
        <f>IF(ISERROR(VLOOKUP($S$1535,'TAR FIN'!$A$1:$O$95,15,0)),0,VLOOKUP($S$1535,'TAR FIN'!$A$1:$O$95,15,0))</f>
        <v>0</v>
      </c>
      <c r="W1535" s="77">
        <f>IF(ISERROR(VLOOKUP($T$1535,'TAR FIN'!$A$1:$O$95,15,0)),0,VLOOKUP($T$1535,'TAR FIN'!$A$1:$O$95,15,0))*(1-0.09)</f>
        <v>1305.6588999999999</v>
      </c>
      <c r="X1535" s="77">
        <f>IF(ISERROR(VLOOKUP($U$1535,'TAR FIN'!$A$1:$O$95,15,0)),0,VLOOKUP($U$1535,'TAR FIN'!$A$1:$O$95,15,0))*(1-0.09)</f>
        <v>354.2448</v>
      </c>
      <c r="Y1535" s="77"/>
      <c r="Z1535" s="77">
        <f ca="1">('TUSD BE'!$AM$16+'TUSD BF'!$AM$16+'TUSD CVA'!$AM$16)*1*(1-0.06)</f>
        <v>1509.6321335379348</v>
      </c>
      <c r="AA1535" s="77">
        <f>('TE BE'!$AA$7+'TE BF'!$AA$7+'TE CVA'!$AA$7)*1*(1-0.06)</f>
        <v>427.06885385270027</v>
      </c>
      <c r="AB1535" s="6">
        <f>$K$1535*$V$1535</f>
        <v>0</v>
      </c>
      <c r="AC1535" s="6">
        <f>$M$1535*$W$1535</f>
        <v>69928.479366200001</v>
      </c>
      <c r="AD1535" s="6">
        <f>$O$1535*$X$1535</f>
        <v>18972.642998399999</v>
      </c>
      <c r="AE1535" s="6">
        <f>$K$1535*$Y$1535</f>
        <v>0</v>
      </c>
      <c r="AF1535" s="6">
        <f ca="1">$M$1535*$Z$1535</f>
        <v>80852.877808024714</v>
      </c>
      <c r="AG1535" s="6">
        <f>$O$1535*$AA$1535</f>
        <v>22872.953674642922</v>
      </c>
    </row>
    <row r="1536" spans="1:33" ht="11.25" customHeight="1" x14ac:dyDescent="0.25">
      <c r="A1536" s="4" t="s">
        <v>21</v>
      </c>
      <c r="B1536" s="4" t="s">
        <v>22</v>
      </c>
      <c r="C1536" s="4" t="s">
        <v>39</v>
      </c>
      <c r="D1536" s="4" t="s">
        <v>24</v>
      </c>
      <c r="E1536" s="4" t="s">
        <v>24</v>
      </c>
      <c r="F1536" s="4" t="s">
        <v>25</v>
      </c>
      <c r="G1536" s="4" t="s">
        <v>25</v>
      </c>
      <c r="H1536" s="4" t="s">
        <v>38</v>
      </c>
      <c r="I1536" s="5">
        <v>44136</v>
      </c>
      <c r="J1536" s="6">
        <v>0</v>
      </c>
      <c r="K1536" s="6">
        <v>0</v>
      </c>
      <c r="L1536" s="6">
        <v>35.856999999999999</v>
      </c>
      <c r="M1536" s="6">
        <v>35.856999999999999</v>
      </c>
      <c r="N1536" s="6">
        <v>35.856999999999999</v>
      </c>
      <c r="O1536" s="6">
        <v>35.856999999999999</v>
      </c>
      <c r="P1536" s="6">
        <v>0</v>
      </c>
      <c r="Q1536" s="4" t="s">
        <v>26</v>
      </c>
      <c r="R1536" s="4">
        <v>0</v>
      </c>
      <c r="S1536" s="6">
        <v>0</v>
      </c>
      <c r="T1536" s="6">
        <v>12</v>
      </c>
      <c r="U1536" s="6">
        <v>64</v>
      </c>
      <c r="V1536" s="6">
        <f>IF(ISERROR(VLOOKUP($S$1536,'TAR FIN'!$A$1:$O$95,15,0)),0,VLOOKUP($S$1536,'TAR FIN'!$A$1:$O$95,15,0))</f>
        <v>0</v>
      </c>
      <c r="W1536" s="6">
        <f>IF(ISERROR(VLOOKUP($T$1536,'TAR FIN'!$A$1:$O$95,15,0)),0,VLOOKUP($T$1536,'TAR FIN'!$A$1:$O$95,15,0))</f>
        <v>356.74</v>
      </c>
      <c r="X1536" s="6">
        <f>IF(ISERROR(VLOOKUP($U$1536,'TAR FIN'!$A$1:$O$95,15,0)),0,VLOOKUP($U$1536,'TAR FIN'!$A$1:$O$95,15,0))</f>
        <v>230.03</v>
      </c>
      <c r="Y1536" s="6"/>
      <c r="Z1536" s="6">
        <f ca="1">('TUSD BE'!$AM$24+'TUSD BF'!$AM$24+'TUSD CVA'!$AM$24)*1</f>
        <v>401.9290753512177</v>
      </c>
      <c r="AA1536" s="6">
        <f>('TE BE'!$AA$12+'TE BF'!$AA$12+'TE CVA'!$AA$12)*1</f>
        <v>282.91739971702214</v>
      </c>
      <c r="AB1536" s="6">
        <f>$K$1536*$V$1536</f>
        <v>0</v>
      </c>
      <c r="AC1536" s="6">
        <f>$M$1536*$W$1536</f>
        <v>12791.626179999999</v>
      </c>
      <c r="AD1536" s="6">
        <f>$O$1536*$X$1536</f>
        <v>8248.1857099999997</v>
      </c>
      <c r="AE1536" s="6">
        <f>$K$1536*$Y$1536</f>
        <v>0</v>
      </c>
      <c r="AF1536" s="6">
        <f ca="1">$M$1536*$Z$1536</f>
        <v>14411.970854868612</v>
      </c>
      <c r="AG1536" s="6">
        <f>$O$1536*$AA$1536</f>
        <v>10144.569201653263</v>
      </c>
    </row>
    <row r="1537" spans="1:33" ht="11.25" customHeight="1" x14ac:dyDescent="0.25">
      <c r="A1537" s="4" t="s">
        <v>27</v>
      </c>
      <c r="B1537" s="4" t="s">
        <v>22</v>
      </c>
      <c r="C1537" s="4" t="s">
        <v>39</v>
      </c>
      <c r="D1537" s="4" t="s">
        <v>24</v>
      </c>
      <c r="E1537" s="4" t="s">
        <v>24</v>
      </c>
      <c r="F1537" s="4" t="s">
        <v>25</v>
      </c>
      <c r="G1537" s="4" t="s">
        <v>25</v>
      </c>
      <c r="H1537" s="4" t="s">
        <v>38</v>
      </c>
      <c r="I1537" s="5">
        <v>44136</v>
      </c>
      <c r="J1537" s="6">
        <v>0</v>
      </c>
      <c r="K1537" s="6">
        <v>0</v>
      </c>
      <c r="L1537" s="6">
        <v>-6.7160000000000002</v>
      </c>
      <c r="M1537" s="6">
        <v>-6.7160000000000002</v>
      </c>
      <c r="N1537" s="6">
        <v>-6.7160000000000002</v>
      </c>
      <c r="O1537" s="6">
        <v>-6.7160000000000002</v>
      </c>
      <c r="P1537" s="6">
        <v>0</v>
      </c>
      <c r="Q1537" s="4" t="s">
        <v>26</v>
      </c>
      <c r="R1537" s="4">
        <v>0</v>
      </c>
      <c r="S1537" s="6">
        <v>0</v>
      </c>
      <c r="T1537" s="6">
        <v>12</v>
      </c>
      <c r="U1537" s="6">
        <v>64</v>
      </c>
      <c r="V1537" s="6">
        <f>IF(ISERROR(VLOOKUP($S$1537,'TAR FIN'!$A$1:$O$95,15,0)),0,VLOOKUP($S$1537,'TAR FIN'!$A$1:$O$95,15,0))</f>
        <v>0</v>
      </c>
      <c r="W1537" s="6">
        <f>IF(ISERROR(VLOOKUP($T$1537,'TAR FIN'!$A$1:$O$95,15,0)),0,VLOOKUP($T$1537,'TAR FIN'!$A$1:$O$95,15,0))</f>
        <v>356.74</v>
      </c>
      <c r="X1537" s="6">
        <f>IF(ISERROR(VLOOKUP($U$1537,'TAR FIN'!$A$1:$O$95,15,0)),0,VLOOKUP($U$1537,'TAR FIN'!$A$1:$O$95,15,0))</f>
        <v>230.03</v>
      </c>
      <c r="Y1537" s="6"/>
      <c r="Z1537" s="6">
        <f ca="1">('TUSD BE'!$AM$24+'TUSD BF'!$AM$24+'TUSD CVA'!$AM$24)*1</f>
        <v>401.9290753512177</v>
      </c>
      <c r="AA1537" s="6">
        <f>('TE BE'!$AA$12+'TE BF'!$AA$12+'TE CVA'!$AA$12)*1</f>
        <v>282.91739971702214</v>
      </c>
      <c r="AB1537" s="6">
        <f>$K$1537*$V$1537</f>
        <v>0</v>
      </c>
      <c r="AC1537" s="6">
        <f>$M$1537*$W$1537</f>
        <v>-2395.8658399999999</v>
      </c>
      <c r="AD1537" s="6">
        <f>$O$1537*$X$1537</f>
        <v>-1544.88148</v>
      </c>
      <c r="AE1537" s="6">
        <f>$K$1537*$Y$1537</f>
        <v>0</v>
      </c>
      <c r="AF1537" s="6">
        <f ca="1">$M$1537*$Z$1537</f>
        <v>-2699.3556700587783</v>
      </c>
      <c r="AG1537" s="6">
        <f>$O$1537*$AA$1537</f>
        <v>-1900.0732564995208</v>
      </c>
    </row>
    <row r="1538" spans="1:33" ht="11.25" customHeight="1" x14ac:dyDescent="0.25">
      <c r="A1538" s="4" t="s">
        <v>28</v>
      </c>
      <c r="B1538" s="4" t="s">
        <v>22</v>
      </c>
      <c r="C1538" s="4" t="s">
        <v>39</v>
      </c>
      <c r="D1538" s="4" t="s">
        <v>24</v>
      </c>
      <c r="E1538" s="4" t="s">
        <v>24</v>
      </c>
      <c r="F1538" s="4" t="s">
        <v>25</v>
      </c>
      <c r="G1538" s="4" t="s">
        <v>25</v>
      </c>
      <c r="H1538" s="4" t="s">
        <v>38</v>
      </c>
      <c r="I1538" s="5">
        <v>44136</v>
      </c>
      <c r="J1538" s="6">
        <v>0</v>
      </c>
      <c r="K1538" s="6">
        <v>0</v>
      </c>
      <c r="L1538" s="6">
        <v>2.5169999999999999</v>
      </c>
      <c r="M1538" s="6">
        <v>2.5169999999999999</v>
      </c>
      <c r="N1538" s="6">
        <v>2.5169999999999999</v>
      </c>
      <c r="O1538" s="6">
        <v>2.5169999999999999</v>
      </c>
      <c r="P1538" s="6">
        <v>0</v>
      </c>
      <c r="Q1538" s="4" t="s">
        <v>26</v>
      </c>
      <c r="R1538" s="4">
        <v>0</v>
      </c>
      <c r="S1538" s="6">
        <v>0</v>
      </c>
      <c r="T1538" s="6">
        <v>12</v>
      </c>
      <c r="U1538" s="6">
        <v>64</v>
      </c>
      <c r="V1538" s="6">
        <f>IF(ISERROR(VLOOKUP($S$1538,'TAR FIN'!$A$1:$O$95,15,0)),0,VLOOKUP($S$1538,'TAR FIN'!$A$1:$O$95,15,0))</f>
        <v>0</v>
      </c>
      <c r="W1538" s="6">
        <f>IF(ISERROR(VLOOKUP($T$1538,'TAR FIN'!$A$1:$O$95,15,0)),0,VLOOKUP($T$1538,'TAR FIN'!$A$1:$O$95,15,0))</f>
        <v>356.74</v>
      </c>
      <c r="X1538" s="6">
        <f>IF(ISERROR(VLOOKUP($U$1538,'TAR FIN'!$A$1:$O$95,15,0)),0,VLOOKUP($U$1538,'TAR FIN'!$A$1:$O$95,15,0))</f>
        <v>230.03</v>
      </c>
      <c r="Y1538" s="6"/>
      <c r="Z1538" s="6">
        <f ca="1">('TUSD BE'!$AM$24+'TUSD BF'!$AM$24+'TUSD CVA'!$AM$24)*1</f>
        <v>401.9290753512177</v>
      </c>
      <c r="AA1538" s="6">
        <f>('TE BE'!$AA$12+'TE BF'!$AA$12+'TE CVA'!$AA$12)*1</f>
        <v>282.91739971702214</v>
      </c>
      <c r="AB1538" s="6">
        <f>$K$1538*$V$1538</f>
        <v>0</v>
      </c>
      <c r="AC1538" s="6">
        <f>$M$1538*$W$1538</f>
        <v>897.91458</v>
      </c>
      <c r="AD1538" s="6">
        <f>$O$1538*$X$1538</f>
        <v>578.98550999999998</v>
      </c>
      <c r="AE1538" s="6">
        <f>$K$1538*$Y$1538</f>
        <v>0</v>
      </c>
      <c r="AF1538" s="6">
        <f ca="1">$M$1538*$Z$1538</f>
        <v>1011.655482659015</v>
      </c>
      <c r="AG1538" s="6">
        <f>$O$1538*$AA$1538</f>
        <v>712.10309508774469</v>
      </c>
    </row>
    <row r="1539" spans="1:33" ht="11.25" customHeight="1" x14ac:dyDescent="0.25">
      <c r="A1539" s="4" t="s">
        <v>30</v>
      </c>
      <c r="B1539" s="4" t="s">
        <v>22</v>
      </c>
      <c r="C1539" s="4" t="s">
        <v>39</v>
      </c>
      <c r="D1539" s="4" t="s">
        <v>24</v>
      </c>
      <c r="E1539" s="4" t="s">
        <v>24</v>
      </c>
      <c r="F1539" s="4" t="s">
        <v>25</v>
      </c>
      <c r="G1539" s="4" t="s">
        <v>25</v>
      </c>
      <c r="H1539" s="4" t="s">
        <v>38</v>
      </c>
      <c r="I1539" s="5">
        <v>44136</v>
      </c>
      <c r="J1539" s="6">
        <v>0</v>
      </c>
      <c r="K1539" s="6">
        <v>0</v>
      </c>
      <c r="L1539" s="6">
        <v>0.92400000000000004</v>
      </c>
      <c r="M1539" s="6">
        <v>0.92400000000000004</v>
      </c>
      <c r="N1539" s="6">
        <v>0.92400000000000004</v>
      </c>
      <c r="O1539" s="6">
        <v>0.92400000000000004</v>
      </c>
      <c r="P1539" s="6">
        <v>0</v>
      </c>
      <c r="Q1539" s="4" t="s">
        <v>26</v>
      </c>
      <c r="R1539" s="4">
        <v>0</v>
      </c>
      <c r="S1539" s="6">
        <v>0</v>
      </c>
      <c r="T1539" s="6">
        <v>12</v>
      </c>
      <c r="U1539" s="6">
        <v>64</v>
      </c>
      <c r="V1539" s="6">
        <f>IF(ISERROR(VLOOKUP($S$1539,'TAR FIN'!$A$1:$O$95,15,0)),0,VLOOKUP($S$1539,'TAR FIN'!$A$1:$O$95,15,0))</f>
        <v>0</v>
      </c>
      <c r="W1539" s="6">
        <f>IF(ISERROR(VLOOKUP($T$1539,'TAR FIN'!$A$1:$O$95,15,0)),0,VLOOKUP($T$1539,'TAR FIN'!$A$1:$O$95,15,0))</f>
        <v>356.74</v>
      </c>
      <c r="X1539" s="6">
        <f>IF(ISERROR(VLOOKUP($U$1539,'TAR FIN'!$A$1:$O$95,15,0)),0,VLOOKUP($U$1539,'TAR FIN'!$A$1:$O$95,15,0))</f>
        <v>230.03</v>
      </c>
      <c r="Y1539" s="6"/>
      <c r="Z1539" s="6">
        <f ca="1">('TUSD BE'!$AM$24+'TUSD BF'!$AM$24+'TUSD CVA'!$AM$24)*1</f>
        <v>401.9290753512177</v>
      </c>
      <c r="AA1539" s="6">
        <f>('TE BE'!$AA$12+'TE BF'!$AA$12+'TE CVA'!$AA$12)*1</f>
        <v>282.91739971702214</v>
      </c>
      <c r="AB1539" s="6">
        <f>$K$1539*$V$1539</f>
        <v>0</v>
      </c>
      <c r="AC1539" s="6">
        <f>$M$1539*$W$1539</f>
        <v>329.62776000000002</v>
      </c>
      <c r="AD1539" s="6">
        <f>$O$1539*$X$1539</f>
        <v>212.54772</v>
      </c>
      <c r="AE1539" s="6">
        <f>$K$1539*$Y$1539</f>
        <v>0</v>
      </c>
      <c r="AF1539" s="6">
        <f ca="1">$M$1539*$Z$1539</f>
        <v>371.3824656245252</v>
      </c>
      <c r="AG1539" s="6">
        <f>$O$1539*$AA$1539</f>
        <v>261.41567733852844</v>
      </c>
    </row>
    <row r="1540" spans="1:33" ht="11.25" customHeight="1" x14ac:dyDescent="0.25">
      <c r="A1540" s="4" t="s">
        <v>21</v>
      </c>
      <c r="B1540" s="4" t="s">
        <v>22</v>
      </c>
      <c r="C1540" s="4" t="s">
        <v>39</v>
      </c>
      <c r="D1540" s="4" t="s">
        <v>24</v>
      </c>
      <c r="E1540" s="4" t="s">
        <v>24</v>
      </c>
      <c r="F1540" s="4" t="s">
        <v>25</v>
      </c>
      <c r="G1540" s="4" t="s">
        <v>25</v>
      </c>
      <c r="H1540" s="4" t="s">
        <v>38</v>
      </c>
      <c r="I1540" s="5">
        <v>44166</v>
      </c>
      <c r="J1540" s="6">
        <v>0</v>
      </c>
      <c r="K1540" s="6">
        <v>0</v>
      </c>
      <c r="L1540" s="6">
        <v>36.542000000000002</v>
      </c>
      <c r="M1540" s="6">
        <v>36.542000000000002</v>
      </c>
      <c r="N1540" s="6">
        <v>36.542000000000002</v>
      </c>
      <c r="O1540" s="6">
        <v>36.542000000000002</v>
      </c>
      <c r="P1540" s="6">
        <v>0</v>
      </c>
      <c r="Q1540" s="4" t="s">
        <v>26</v>
      </c>
      <c r="R1540" s="4">
        <v>0</v>
      </c>
      <c r="S1540" s="6">
        <v>0</v>
      </c>
      <c r="T1540" s="6">
        <v>12</v>
      </c>
      <c r="U1540" s="6">
        <v>64</v>
      </c>
      <c r="V1540" s="6">
        <f>IF(ISERROR(VLOOKUP($S$1540,'TAR FIN'!$A$1:$O$95,15,0)),0,VLOOKUP($S$1540,'TAR FIN'!$A$1:$O$95,15,0))</f>
        <v>0</v>
      </c>
      <c r="W1540" s="6">
        <f>IF(ISERROR(VLOOKUP($T$1540,'TAR FIN'!$A$1:$O$95,15,0)),0,VLOOKUP($T$1540,'TAR FIN'!$A$1:$O$95,15,0))</f>
        <v>356.74</v>
      </c>
      <c r="X1540" s="6">
        <f>IF(ISERROR(VLOOKUP($U$1540,'TAR FIN'!$A$1:$O$95,15,0)),0,VLOOKUP($U$1540,'TAR FIN'!$A$1:$O$95,15,0))</f>
        <v>230.03</v>
      </c>
      <c r="Y1540" s="6"/>
      <c r="Z1540" s="6">
        <f ca="1">('TUSD BE'!$AM$24+'TUSD BF'!$AM$24+'TUSD CVA'!$AM$24)*1</f>
        <v>401.9290753512177</v>
      </c>
      <c r="AA1540" s="6">
        <f>('TE BE'!$AA$12+'TE BF'!$AA$12+'TE CVA'!$AA$12)*1</f>
        <v>282.91739971702214</v>
      </c>
      <c r="AB1540" s="6">
        <f>$K$1540*$V$1540</f>
        <v>0</v>
      </c>
      <c r="AC1540" s="6">
        <f>$M$1540*$W$1540</f>
        <v>13035.99308</v>
      </c>
      <c r="AD1540" s="6">
        <f>$O$1540*$X$1540</f>
        <v>8405.7562600000001</v>
      </c>
      <c r="AE1540" s="6">
        <f>$K$1540*$Y$1540</f>
        <v>0</v>
      </c>
      <c r="AF1540" s="6">
        <f ca="1">$M$1540*$Z$1540</f>
        <v>14687.292271484199</v>
      </c>
      <c r="AG1540" s="6">
        <f>$O$1540*$AA$1540</f>
        <v>10338.367620459423</v>
      </c>
    </row>
    <row r="1541" spans="1:33" ht="11.25" customHeight="1" x14ac:dyDescent="0.25">
      <c r="A1541" s="4" t="s">
        <v>27</v>
      </c>
      <c r="B1541" s="4" t="s">
        <v>22</v>
      </c>
      <c r="C1541" s="4" t="s">
        <v>39</v>
      </c>
      <c r="D1541" s="4" t="s">
        <v>24</v>
      </c>
      <c r="E1541" s="4" t="s">
        <v>24</v>
      </c>
      <c r="F1541" s="4" t="s">
        <v>25</v>
      </c>
      <c r="G1541" s="4" t="s">
        <v>25</v>
      </c>
      <c r="H1541" s="4" t="s">
        <v>38</v>
      </c>
      <c r="I1541" s="5">
        <v>44166</v>
      </c>
      <c r="J1541" s="6">
        <v>0</v>
      </c>
      <c r="K1541" s="6">
        <v>0</v>
      </c>
      <c r="L1541" s="6">
        <v>0.36799999999999999</v>
      </c>
      <c r="M1541" s="6">
        <v>0.36799999999999999</v>
      </c>
      <c r="N1541" s="6">
        <v>0.36799999999999999</v>
      </c>
      <c r="O1541" s="6">
        <v>0.36799999999999999</v>
      </c>
      <c r="P1541" s="6">
        <v>0</v>
      </c>
      <c r="Q1541" s="4" t="s">
        <v>26</v>
      </c>
      <c r="R1541" s="4">
        <v>0</v>
      </c>
      <c r="S1541" s="6">
        <v>0</v>
      </c>
      <c r="T1541" s="6">
        <v>12</v>
      </c>
      <c r="U1541" s="6">
        <v>64</v>
      </c>
      <c r="V1541" s="6">
        <f>IF(ISERROR(VLOOKUP($S$1541,'TAR FIN'!$A$1:$O$95,15,0)),0,VLOOKUP($S$1541,'TAR FIN'!$A$1:$O$95,15,0))</f>
        <v>0</v>
      </c>
      <c r="W1541" s="6">
        <f>IF(ISERROR(VLOOKUP($T$1541,'TAR FIN'!$A$1:$O$95,15,0)),0,VLOOKUP($T$1541,'TAR FIN'!$A$1:$O$95,15,0))</f>
        <v>356.74</v>
      </c>
      <c r="X1541" s="6">
        <f>IF(ISERROR(VLOOKUP($U$1541,'TAR FIN'!$A$1:$O$95,15,0)),0,VLOOKUP($U$1541,'TAR FIN'!$A$1:$O$95,15,0))</f>
        <v>230.03</v>
      </c>
      <c r="Y1541" s="6"/>
      <c r="Z1541" s="6">
        <f ca="1">('TUSD BE'!$AM$24+'TUSD BF'!$AM$24+'TUSD CVA'!$AM$24)*1</f>
        <v>401.9290753512177</v>
      </c>
      <c r="AA1541" s="6">
        <f>('TE BE'!$AA$12+'TE BF'!$AA$12+'TE CVA'!$AA$12)*1</f>
        <v>282.91739971702214</v>
      </c>
      <c r="AB1541" s="6">
        <f>$K$1541*$V$1541</f>
        <v>0</v>
      </c>
      <c r="AC1541" s="6">
        <f>$M$1541*$W$1541</f>
        <v>131.28031999999999</v>
      </c>
      <c r="AD1541" s="6">
        <f>$O$1541*$X$1541</f>
        <v>84.651039999999995</v>
      </c>
      <c r="AE1541" s="6">
        <f>$K$1541*$Y$1541</f>
        <v>0</v>
      </c>
      <c r="AF1541" s="6">
        <f ca="1">$M$1541*$Z$1541</f>
        <v>147.90989972924811</v>
      </c>
      <c r="AG1541" s="6">
        <f>$O$1541*$AA$1541</f>
        <v>104.11360309586415</v>
      </c>
    </row>
    <row r="1542" spans="1:33" ht="11.25" customHeight="1" x14ac:dyDescent="0.25">
      <c r="A1542" s="4" t="s">
        <v>28</v>
      </c>
      <c r="B1542" s="4" t="s">
        <v>22</v>
      </c>
      <c r="C1542" s="4" t="s">
        <v>39</v>
      </c>
      <c r="D1542" s="4" t="s">
        <v>24</v>
      </c>
      <c r="E1542" s="4" t="s">
        <v>24</v>
      </c>
      <c r="F1542" s="4" t="s">
        <v>25</v>
      </c>
      <c r="G1542" s="4" t="s">
        <v>25</v>
      </c>
      <c r="H1542" s="4" t="s">
        <v>38</v>
      </c>
      <c r="I1542" s="5">
        <v>44166</v>
      </c>
      <c r="J1542" s="6">
        <v>0</v>
      </c>
      <c r="K1542" s="6">
        <v>0</v>
      </c>
      <c r="L1542" s="6">
        <v>1.4950000000000001</v>
      </c>
      <c r="M1542" s="6">
        <v>1.4950000000000001</v>
      </c>
      <c r="N1542" s="6">
        <v>1.4950000000000001</v>
      </c>
      <c r="O1542" s="6">
        <v>1.4950000000000001</v>
      </c>
      <c r="P1542" s="6">
        <v>0</v>
      </c>
      <c r="Q1542" s="4" t="s">
        <v>26</v>
      </c>
      <c r="R1542" s="4">
        <v>0</v>
      </c>
      <c r="S1542" s="6">
        <v>0</v>
      </c>
      <c r="T1542" s="6">
        <v>12</v>
      </c>
      <c r="U1542" s="6">
        <v>64</v>
      </c>
      <c r="V1542" s="6">
        <f>IF(ISERROR(VLOOKUP($S$1542,'TAR FIN'!$A$1:$O$95,15,0)),0,VLOOKUP($S$1542,'TAR FIN'!$A$1:$O$95,15,0))</f>
        <v>0</v>
      </c>
      <c r="W1542" s="6">
        <f>IF(ISERROR(VLOOKUP($T$1542,'TAR FIN'!$A$1:$O$95,15,0)),0,VLOOKUP($T$1542,'TAR FIN'!$A$1:$O$95,15,0))</f>
        <v>356.74</v>
      </c>
      <c r="X1542" s="6">
        <f>IF(ISERROR(VLOOKUP($U$1542,'TAR FIN'!$A$1:$O$95,15,0)),0,VLOOKUP($U$1542,'TAR FIN'!$A$1:$O$95,15,0))</f>
        <v>230.03</v>
      </c>
      <c r="Y1542" s="6"/>
      <c r="Z1542" s="6">
        <f ca="1">('TUSD BE'!$AM$24+'TUSD BF'!$AM$24+'TUSD CVA'!$AM$24)*1</f>
        <v>401.9290753512177</v>
      </c>
      <c r="AA1542" s="6">
        <f>('TE BE'!$AA$12+'TE BF'!$AA$12+'TE CVA'!$AA$12)*1</f>
        <v>282.91739971702214</v>
      </c>
      <c r="AB1542" s="6">
        <f>$K$1542*$V$1542</f>
        <v>0</v>
      </c>
      <c r="AC1542" s="6">
        <f>$M$1542*$W$1542</f>
        <v>533.32630000000006</v>
      </c>
      <c r="AD1542" s="6">
        <f>$O$1542*$X$1542</f>
        <v>343.89485000000002</v>
      </c>
      <c r="AE1542" s="6">
        <f>$K$1542*$Y$1542</f>
        <v>0</v>
      </c>
      <c r="AF1542" s="6">
        <f ca="1">$M$1542*$Z$1542</f>
        <v>600.88396765007053</v>
      </c>
      <c r="AG1542" s="6">
        <f>$O$1542*$AA$1542</f>
        <v>422.96151257694811</v>
      </c>
    </row>
    <row r="1543" spans="1:33" ht="11.25" customHeight="1" x14ac:dyDescent="0.25">
      <c r="A1543" s="4" t="s">
        <v>30</v>
      </c>
      <c r="B1543" s="4" t="s">
        <v>22</v>
      </c>
      <c r="C1543" s="4" t="s">
        <v>39</v>
      </c>
      <c r="D1543" s="4" t="s">
        <v>24</v>
      </c>
      <c r="E1543" s="4" t="s">
        <v>24</v>
      </c>
      <c r="F1543" s="4" t="s">
        <v>25</v>
      </c>
      <c r="G1543" s="4" t="s">
        <v>25</v>
      </c>
      <c r="H1543" s="4" t="s">
        <v>38</v>
      </c>
      <c r="I1543" s="5">
        <v>44166</v>
      </c>
      <c r="J1543" s="6">
        <v>0</v>
      </c>
      <c r="K1543" s="6">
        <v>0</v>
      </c>
      <c r="L1543" s="6">
        <v>1.0249999999999999</v>
      </c>
      <c r="M1543" s="6">
        <v>1.0249999999999999</v>
      </c>
      <c r="N1543" s="6">
        <v>1.0249999999999999</v>
      </c>
      <c r="O1543" s="6">
        <v>1.0249999999999999</v>
      </c>
      <c r="P1543" s="6">
        <v>0</v>
      </c>
      <c r="Q1543" s="4" t="s">
        <v>26</v>
      </c>
      <c r="R1543" s="4">
        <v>0</v>
      </c>
      <c r="S1543" s="6">
        <v>0</v>
      </c>
      <c r="T1543" s="6">
        <v>12</v>
      </c>
      <c r="U1543" s="6">
        <v>64</v>
      </c>
      <c r="V1543" s="6">
        <f>IF(ISERROR(VLOOKUP($S$1543,'TAR FIN'!$A$1:$O$95,15,0)),0,VLOOKUP($S$1543,'TAR FIN'!$A$1:$O$95,15,0))</f>
        <v>0</v>
      </c>
      <c r="W1543" s="6">
        <f>IF(ISERROR(VLOOKUP($T$1543,'TAR FIN'!$A$1:$O$95,15,0)),0,VLOOKUP($T$1543,'TAR FIN'!$A$1:$O$95,15,0))</f>
        <v>356.74</v>
      </c>
      <c r="X1543" s="6">
        <f>IF(ISERROR(VLOOKUP($U$1543,'TAR FIN'!$A$1:$O$95,15,0)),0,VLOOKUP($U$1543,'TAR FIN'!$A$1:$O$95,15,0))</f>
        <v>230.03</v>
      </c>
      <c r="Y1543" s="6"/>
      <c r="Z1543" s="6">
        <f ca="1">('TUSD BE'!$AM$24+'TUSD BF'!$AM$24+'TUSD CVA'!$AM$24)*1</f>
        <v>401.9290753512177</v>
      </c>
      <c r="AA1543" s="6">
        <f>('TE BE'!$AA$12+'TE BF'!$AA$12+'TE CVA'!$AA$12)*1</f>
        <v>282.91739971702214</v>
      </c>
      <c r="AB1543" s="6">
        <f>$K$1543*$V$1543</f>
        <v>0</v>
      </c>
      <c r="AC1543" s="6">
        <f>$M$1543*$W$1543</f>
        <v>365.6585</v>
      </c>
      <c r="AD1543" s="6">
        <f>$O$1543*$X$1543</f>
        <v>235.78074999999998</v>
      </c>
      <c r="AE1543" s="6">
        <f>$K$1543*$Y$1543</f>
        <v>0</v>
      </c>
      <c r="AF1543" s="6">
        <f ca="1">$M$1543*$Z$1543</f>
        <v>411.97730223499809</v>
      </c>
      <c r="AG1543" s="6">
        <f>$O$1543*$AA$1543</f>
        <v>289.99033470994766</v>
      </c>
    </row>
    <row r="1544" spans="1:33" ht="11.25" customHeight="1" x14ac:dyDescent="0.25">
      <c r="A1544" s="4" t="s">
        <v>21</v>
      </c>
      <c r="B1544" s="4" t="s">
        <v>22</v>
      </c>
      <c r="C1544" s="4" t="s">
        <v>39</v>
      </c>
      <c r="D1544" s="4" t="s">
        <v>24</v>
      </c>
      <c r="E1544" s="4" t="s">
        <v>24</v>
      </c>
      <c r="F1544" s="4" t="s">
        <v>25</v>
      </c>
      <c r="G1544" s="4" t="s">
        <v>25</v>
      </c>
      <c r="H1544" s="4" t="s">
        <v>38</v>
      </c>
      <c r="I1544" s="5">
        <v>44197</v>
      </c>
      <c r="J1544" s="6">
        <v>0</v>
      </c>
      <c r="K1544" s="6">
        <v>0</v>
      </c>
      <c r="L1544" s="6">
        <v>32.886000000000003</v>
      </c>
      <c r="M1544" s="6">
        <v>32.886000000000003</v>
      </c>
      <c r="N1544" s="6">
        <v>32.886000000000003</v>
      </c>
      <c r="O1544" s="6">
        <v>32.886000000000003</v>
      </c>
      <c r="P1544" s="6">
        <v>0</v>
      </c>
      <c r="Q1544" s="4" t="s">
        <v>26</v>
      </c>
      <c r="R1544" s="4">
        <v>0</v>
      </c>
      <c r="S1544" s="6">
        <v>0</v>
      </c>
      <c r="T1544" s="6">
        <v>12</v>
      </c>
      <c r="U1544" s="6">
        <v>64</v>
      </c>
      <c r="V1544" s="6">
        <f>IF(ISERROR(VLOOKUP($S$1544,'TAR FIN'!$A$1:$O$95,15,0)),0,VLOOKUP($S$1544,'TAR FIN'!$A$1:$O$95,15,0))</f>
        <v>0</v>
      </c>
      <c r="W1544" s="6">
        <f>IF(ISERROR(VLOOKUP($T$1544,'TAR FIN'!$A$1:$O$95,15,0)),0,VLOOKUP($T$1544,'TAR FIN'!$A$1:$O$95,15,0))</f>
        <v>356.74</v>
      </c>
      <c r="X1544" s="6">
        <f>IF(ISERROR(VLOOKUP($U$1544,'TAR FIN'!$A$1:$O$95,15,0)),0,VLOOKUP($U$1544,'TAR FIN'!$A$1:$O$95,15,0))</f>
        <v>230.03</v>
      </c>
      <c r="Y1544" s="6"/>
      <c r="Z1544" s="6">
        <f ca="1">('TUSD BE'!$AM$24+'TUSD BF'!$AM$24+'TUSD CVA'!$AM$24)*1</f>
        <v>401.9290753512177</v>
      </c>
      <c r="AA1544" s="6">
        <f>('TE BE'!$AA$12+'TE BF'!$AA$12+'TE CVA'!$AA$12)*1</f>
        <v>282.91739971702214</v>
      </c>
      <c r="AB1544" s="6">
        <f>$K$1544*$V$1544</f>
        <v>0</v>
      </c>
      <c r="AC1544" s="6">
        <f>$M$1544*$W$1544</f>
        <v>11731.75164</v>
      </c>
      <c r="AD1544" s="6">
        <f>$O$1544*$X$1544</f>
        <v>7564.7665800000004</v>
      </c>
      <c r="AE1544" s="6">
        <f>$K$1544*$Y$1544</f>
        <v>0</v>
      </c>
      <c r="AF1544" s="6">
        <f ca="1">$M$1544*$Z$1544</f>
        <v>13217.839572000146</v>
      </c>
      <c r="AG1544" s="6">
        <f>$O$1544*$AA$1544</f>
        <v>9304.0216070939914</v>
      </c>
    </row>
    <row r="1545" spans="1:33" ht="11.25" customHeight="1" x14ac:dyDescent="0.25">
      <c r="A1545" s="4" t="s">
        <v>27</v>
      </c>
      <c r="B1545" s="4" t="s">
        <v>22</v>
      </c>
      <c r="C1545" s="4" t="s">
        <v>39</v>
      </c>
      <c r="D1545" s="4" t="s">
        <v>24</v>
      </c>
      <c r="E1545" s="4" t="s">
        <v>24</v>
      </c>
      <c r="F1545" s="4" t="s">
        <v>25</v>
      </c>
      <c r="G1545" s="4" t="s">
        <v>25</v>
      </c>
      <c r="H1545" s="4" t="s">
        <v>38</v>
      </c>
      <c r="I1545" s="5">
        <v>44197</v>
      </c>
      <c r="J1545" s="6">
        <v>0</v>
      </c>
      <c r="K1545" s="6">
        <v>0</v>
      </c>
      <c r="L1545" s="6">
        <v>-0.126</v>
      </c>
      <c r="M1545" s="6">
        <v>-0.126</v>
      </c>
      <c r="N1545" s="6">
        <v>-0.126</v>
      </c>
      <c r="O1545" s="6">
        <v>-0.126</v>
      </c>
      <c r="P1545" s="6">
        <v>0</v>
      </c>
      <c r="Q1545" s="4" t="s">
        <v>26</v>
      </c>
      <c r="R1545" s="4">
        <v>0</v>
      </c>
      <c r="S1545" s="6">
        <v>0</v>
      </c>
      <c r="T1545" s="6">
        <v>12</v>
      </c>
      <c r="U1545" s="6">
        <v>64</v>
      </c>
      <c r="V1545" s="6">
        <f>IF(ISERROR(VLOOKUP($S$1545,'TAR FIN'!$A$1:$O$95,15,0)),0,VLOOKUP($S$1545,'TAR FIN'!$A$1:$O$95,15,0))</f>
        <v>0</v>
      </c>
      <c r="W1545" s="6">
        <f>IF(ISERROR(VLOOKUP($T$1545,'TAR FIN'!$A$1:$O$95,15,0)),0,VLOOKUP($T$1545,'TAR FIN'!$A$1:$O$95,15,0))</f>
        <v>356.74</v>
      </c>
      <c r="X1545" s="6">
        <f>IF(ISERROR(VLOOKUP($U$1545,'TAR FIN'!$A$1:$O$95,15,0)),0,VLOOKUP($U$1545,'TAR FIN'!$A$1:$O$95,15,0))</f>
        <v>230.03</v>
      </c>
      <c r="Y1545" s="6"/>
      <c r="Z1545" s="6">
        <f ca="1">('TUSD BE'!$AM$24+'TUSD BF'!$AM$24+'TUSD CVA'!$AM$24)*1</f>
        <v>401.9290753512177</v>
      </c>
      <c r="AA1545" s="6">
        <f>('TE BE'!$AA$12+'TE BF'!$AA$12+'TE CVA'!$AA$12)*1</f>
        <v>282.91739971702214</v>
      </c>
      <c r="AB1545" s="6">
        <f>$K$1545*$V$1545</f>
        <v>0</v>
      </c>
      <c r="AC1545" s="6">
        <f>$M$1545*$W$1545</f>
        <v>-44.949240000000003</v>
      </c>
      <c r="AD1545" s="6">
        <f>$O$1545*$X$1545</f>
        <v>-28.983779999999999</v>
      </c>
      <c r="AE1545" s="6">
        <f>$K$1545*$Y$1545</f>
        <v>0</v>
      </c>
      <c r="AF1545" s="6">
        <f ca="1">$M$1545*$Z$1545</f>
        <v>-50.643063494253433</v>
      </c>
      <c r="AG1545" s="6">
        <f>$O$1545*$AA$1545</f>
        <v>-35.647592364344789</v>
      </c>
    </row>
    <row r="1546" spans="1:33" ht="11.25" customHeight="1" x14ac:dyDescent="0.25">
      <c r="A1546" s="4" t="s">
        <v>28</v>
      </c>
      <c r="B1546" s="4" t="s">
        <v>22</v>
      </c>
      <c r="C1546" s="4" t="s">
        <v>39</v>
      </c>
      <c r="D1546" s="4" t="s">
        <v>24</v>
      </c>
      <c r="E1546" s="4" t="s">
        <v>24</v>
      </c>
      <c r="F1546" s="4" t="s">
        <v>25</v>
      </c>
      <c r="G1546" s="4" t="s">
        <v>25</v>
      </c>
      <c r="H1546" s="4" t="s">
        <v>38</v>
      </c>
      <c r="I1546" s="5">
        <v>44197</v>
      </c>
      <c r="J1546" s="6">
        <v>0</v>
      </c>
      <c r="K1546" s="6">
        <v>0</v>
      </c>
      <c r="L1546" s="6">
        <v>1.548</v>
      </c>
      <c r="M1546" s="6">
        <v>1.548</v>
      </c>
      <c r="N1546" s="6">
        <v>1.548</v>
      </c>
      <c r="O1546" s="6">
        <v>1.548</v>
      </c>
      <c r="P1546" s="6">
        <v>0</v>
      </c>
      <c r="Q1546" s="4" t="s">
        <v>26</v>
      </c>
      <c r="R1546" s="4">
        <v>0</v>
      </c>
      <c r="S1546" s="6">
        <v>0</v>
      </c>
      <c r="T1546" s="6">
        <v>12</v>
      </c>
      <c r="U1546" s="6">
        <v>64</v>
      </c>
      <c r="V1546" s="6">
        <f>IF(ISERROR(VLOOKUP($S$1546,'TAR FIN'!$A$1:$O$95,15,0)),0,VLOOKUP($S$1546,'TAR FIN'!$A$1:$O$95,15,0))</f>
        <v>0</v>
      </c>
      <c r="W1546" s="6">
        <f>IF(ISERROR(VLOOKUP($T$1546,'TAR FIN'!$A$1:$O$95,15,0)),0,VLOOKUP($T$1546,'TAR FIN'!$A$1:$O$95,15,0))</f>
        <v>356.74</v>
      </c>
      <c r="X1546" s="6">
        <f>IF(ISERROR(VLOOKUP($U$1546,'TAR FIN'!$A$1:$O$95,15,0)),0,VLOOKUP($U$1546,'TAR FIN'!$A$1:$O$95,15,0))</f>
        <v>230.03</v>
      </c>
      <c r="Y1546" s="6"/>
      <c r="Z1546" s="6">
        <f ca="1">('TUSD BE'!$AM$24+'TUSD BF'!$AM$24+'TUSD CVA'!$AM$24)*1</f>
        <v>401.9290753512177</v>
      </c>
      <c r="AA1546" s="6">
        <f>('TE BE'!$AA$12+'TE BF'!$AA$12+'TE CVA'!$AA$12)*1</f>
        <v>282.91739971702214</v>
      </c>
      <c r="AB1546" s="6">
        <f>$K$1546*$V$1546</f>
        <v>0</v>
      </c>
      <c r="AC1546" s="6">
        <f>$M$1546*$W$1546</f>
        <v>552.23352</v>
      </c>
      <c r="AD1546" s="6">
        <f>$O$1546*$X$1546</f>
        <v>356.08644000000004</v>
      </c>
      <c r="AE1546" s="6">
        <f>$K$1546*$Y$1546</f>
        <v>0</v>
      </c>
      <c r="AF1546" s="6">
        <f ca="1">$M$1546*$Z$1546</f>
        <v>622.18620864368506</v>
      </c>
      <c r="AG1546" s="6">
        <f>$O$1546*$AA$1546</f>
        <v>437.9561347619503</v>
      </c>
    </row>
    <row r="1547" spans="1:33" ht="11.25" customHeight="1" x14ac:dyDescent="0.25">
      <c r="A1547" s="4" t="s">
        <v>30</v>
      </c>
      <c r="B1547" s="4" t="s">
        <v>22</v>
      </c>
      <c r="C1547" s="4" t="s">
        <v>39</v>
      </c>
      <c r="D1547" s="4" t="s">
        <v>24</v>
      </c>
      <c r="E1547" s="4" t="s">
        <v>24</v>
      </c>
      <c r="F1547" s="4" t="s">
        <v>25</v>
      </c>
      <c r="G1547" s="4" t="s">
        <v>25</v>
      </c>
      <c r="H1547" s="4" t="s">
        <v>38</v>
      </c>
      <c r="I1547" s="5">
        <v>44197</v>
      </c>
      <c r="J1547" s="6">
        <v>0</v>
      </c>
      <c r="K1547" s="6">
        <v>0</v>
      </c>
      <c r="L1547" s="6">
        <v>0.99399999999999999</v>
      </c>
      <c r="M1547" s="6">
        <v>0.99399999999999999</v>
      </c>
      <c r="N1547" s="6">
        <v>0.99399999999999999</v>
      </c>
      <c r="O1547" s="6">
        <v>0.99399999999999999</v>
      </c>
      <c r="P1547" s="6">
        <v>0</v>
      </c>
      <c r="Q1547" s="4" t="s">
        <v>26</v>
      </c>
      <c r="R1547" s="4">
        <v>0</v>
      </c>
      <c r="S1547" s="6">
        <v>0</v>
      </c>
      <c r="T1547" s="6">
        <v>12</v>
      </c>
      <c r="U1547" s="6">
        <v>64</v>
      </c>
      <c r="V1547" s="6">
        <f>IF(ISERROR(VLOOKUP($S$1547,'TAR FIN'!$A$1:$O$95,15,0)),0,VLOOKUP($S$1547,'TAR FIN'!$A$1:$O$95,15,0))</f>
        <v>0</v>
      </c>
      <c r="W1547" s="6">
        <f>IF(ISERROR(VLOOKUP($T$1547,'TAR FIN'!$A$1:$O$95,15,0)),0,VLOOKUP($T$1547,'TAR FIN'!$A$1:$O$95,15,0))</f>
        <v>356.74</v>
      </c>
      <c r="X1547" s="6">
        <f>IF(ISERROR(VLOOKUP($U$1547,'TAR FIN'!$A$1:$O$95,15,0)),0,VLOOKUP($U$1547,'TAR FIN'!$A$1:$O$95,15,0))</f>
        <v>230.03</v>
      </c>
      <c r="Y1547" s="6"/>
      <c r="Z1547" s="6">
        <f ca="1">('TUSD BE'!$AM$24+'TUSD BF'!$AM$24+'TUSD CVA'!$AM$24)*1</f>
        <v>401.9290753512177</v>
      </c>
      <c r="AA1547" s="6">
        <f>('TE BE'!$AA$12+'TE BF'!$AA$12+'TE CVA'!$AA$12)*1</f>
        <v>282.91739971702214</v>
      </c>
      <c r="AB1547" s="6">
        <f>$K$1547*$V$1547</f>
        <v>0</v>
      </c>
      <c r="AC1547" s="6">
        <f>$M$1547*$W$1547</f>
        <v>354.59956</v>
      </c>
      <c r="AD1547" s="6">
        <f>$O$1547*$X$1547</f>
        <v>228.64982000000001</v>
      </c>
      <c r="AE1547" s="6">
        <f>$K$1547*$Y$1547</f>
        <v>0</v>
      </c>
      <c r="AF1547" s="6">
        <f ca="1">$M$1547*$Z$1547</f>
        <v>399.51750089911042</v>
      </c>
      <c r="AG1547" s="6">
        <f>$O$1547*$AA$1547</f>
        <v>281.21989531871998</v>
      </c>
    </row>
    <row r="1548" spans="1:33" ht="11.25" customHeight="1" x14ac:dyDescent="0.25">
      <c r="A1548" s="4" t="s">
        <v>21</v>
      </c>
      <c r="B1548" s="4" t="s">
        <v>22</v>
      </c>
      <c r="C1548" s="4" t="s">
        <v>39</v>
      </c>
      <c r="D1548" s="4" t="s">
        <v>24</v>
      </c>
      <c r="E1548" s="4" t="s">
        <v>24</v>
      </c>
      <c r="F1548" s="4" t="s">
        <v>25</v>
      </c>
      <c r="G1548" s="4" t="s">
        <v>25</v>
      </c>
      <c r="H1548" s="4" t="s">
        <v>38</v>
      </c>
      <c r="I1548" s="5">
        <v>44228</v>
      </c>
      <c r="J1548" s="6">
        <v>0</v>
      </c>
      <c r="K1548" s="6">
        <v>0</v>
      </c>
      <c r="L1548" s="6">
        <v>29.236999999999998</v>
      </c>
      <c r="M1548" s="6">
        <v>29.236999999999998</v>
      </c>
      <c r="N1548" s="6">
        <v>29.236999999999998</v>
      </c>
      <c r="O1548" s="6">
        <v>29.236999999999998</v>
      </c>
      <c r="P1548" s="6">
        <v>0</v>
      </c>
      <c r="Q1548" s="4" t="s">
        <v>26</v>
      </c>
      <c r="R1548" s="4">
        <v>0</v>
      </c>
      <c r="S1548" s="6">
        <v>0</v>
      </c>
      <c r="T1548" s="6">
        <v>12</v>
      </c>
      <c r="U1548" s="6">
        <v>64</v>
      </c>
      <c r="V1548" s="6">
        <f>IF(ISERROR(VLOOKUP($S$1548,'TAR FIN'!$A$1:$O$95,15,0)),0,VLOOKUP($S$1548,'TAR FIN'!$A$1:$O$95,15,0))</f>
        <v>0</v>
      </c>
      <c r="W1548" s="6">
        <f>IF(ISERROR(VLOOKUP($T$1548,'TAR FIN'!$A$1:$O$95,15,0)),0,VLOOKUP($T$1548,'TAR FIN'!$A$1:$O$95,15,0))</f>
        <v>356.74</v>
      </c>
      <c r="X1548" s="6">
        <f>IF(ISERROR(VLOOKUP($U$1548,'TAR FIN'!$A$1:$O$95,15,0)),0,VLOOKUP($U$1548,'TAR FIN'!$A$1:$O$95,15,0))</f>
        <v>230.03</v>
      </c>
      <c r="Y1548" s="6"/>
      <c r="Z1548" s="6">
        <f ca="1">('TUSD BE'!$AM$24+'TUSD BF'!$AM$24+'TUSD CVA'!$AM$24)*1</f>
        <v>401.9290753512177</v>
      </c>
      <c r="AA1548" s="6">
        <f>('TE BE'!$AA$12+'TE BF'!$AA$12+'TE CVA'!$AA$12)*1</f>
        <v>282.91739971702214</v>
      </c>
      <c r="AB1548" s="6">
        <f>$K$1548*$V$1548</f>
        <v>0</v>
      </c>
      <c r="AC1548" s="6">
        <f>$M$1548*$W$1548</f>
        <v>10430.007379999999</v>
      </c>
      <c r="AD1548" s="6">
        <f>$O$1548*$X$1548</f>
        <v>6725.3871099999997</v>
      </c>
      <c r="AE1548" s="6">
        <f>$K$1548*$Y$1548</f>
        <v>0</v>
      </c>
      <c r="AF1548" s="6">
        <f ca="1">$M$1548*$Z$1548</f>
        <v>11751.200376043551</v>
      </c>
      <c r="AG1548" s="6">
        <f>$O$1548*$AA$1548</f>
        <v>8271.6560155265761</v>
      </c>
    </row>
    <row r="1549" spans="1:33" ht="11.25" customHeight="1" x14ac:dyDescent="0.25">
      <c r="A1549" s="4" t="s">
        <v>27</v>
      </c>
      <c r="B1549" s="4" t="s">
        <v>22</v>
      </c>
      <c r="C1549" s="4" t="s">
        <v>39</v>
      </c>
      <c r="D1549" s="4" t="s">
        <v>24</v>
      </c>
      <c r="E1549" s="4" t="s">
        <v>24</v>
      </c>
      <c r="F1549" s="4" t="s">
        <v>25</v>
      </c>
      <c r="G1549" s="4" t="s">
        <v>25</v>
      </c>
      <c r="H1549" s="4" t="s">
        <v>38</v>
      </c>
      <c r="I1549" s="5">
        <v>44228</v>
      </c>
      <c r="J1549" s="6">
        <v>0</v>
      </c>
      <c r="K1549" s="6">
        <v>0</v>
      </c>
      <c r="L1549" s="6">
        <v>0.13</v>
      </c>
      <c r="M1549" s="6">
        <v>0.13</v>
      </c>
      <c r="N1549" s="6">
        <v>0.13</v>
      </c>
      <c r="O1549" s="6">
        <v>0.13</v>
      </c>
      <c r="P1549" s="6">
        <v>0</v>
      </c>
      <c r="Q1549" s="4" t="s">
        <v>26</v>
      </c>
      <c r="R1549" s="4">
        <v>0</v>
      </c>
      <c r="S1549" s="6">
        <v>0</v>
      </c>
      <c r="T1549" s="6">
        <v>12</v>
      </c>
      <c r="U1549" s="6">
        <v>64</v>
      </c>
      <c r="V1549" s="6">
        <f>IF(ISERROR(VLOOKUP($S$1549,'TAR FIN'!$A$1:$O$95,15,0)),0,VLOOKUP($S$1549,'TAR FIN'!$A$1:$O$95,15,0))</f>
        <v>0</v>
      </c>
      <c r="W1549" s="6">
        <f>IF(ISERROR(VLOOKUP($T$1549,'TAR FIN'!$A$1:$O$95,15,0)),0,VLOOKUP($T$1549,'TAR FIN'!$A$1:$O$95,15,0))</f>
        <v>356.74</v>
      </c>
      <c r="X1549" s="6">
        <f>IF(ISERROR(VLOOKUP($U$1549,'TAR FIN'!$A$1:$O$95,15,0)),0,VLOOKUP($U$1549,'TAR FIN'!$A$1:$O$95,15,0))</f>
        <v>230.03</v>
      </c>
      <c r="Y1549" s="6"/>
      <c r="Z1549" s="6">
        <f ca="1">('TUSD BE'!$AM$24+'TUSD BF'!$AM$24+'TUSD CVA'!$AM$24)*1</f>
        <v>401.9290753512177</v>
      </c>
      <c r="AA1549" s="6">
        <f>('TE BE'!$AA$12+'TE BF'!$AA$12+'TE CVA'!$AA$12)*1</f>
        <v>282.91739971702214</v>
      </c>
      <c r="AB1549" s="6">
        <f>$K$1549*$V$1549</f>
        <v>0</v>
      </c>
      <c r="AC1549" s="6">
        <f>$M$1549*$W$1549</f>
        <v>46.376200000000004</v>
      </c>
      <c r="AD1549" s="6">
        <f>$O$1549*$X$1549</f>
        <v>29.9039</v>
      </c>
      <c r="AE1549" s="6">
        <f>$K$1549*$Y$1549</f>
        <v>0</v>
      </c>
      <c r="AF1549" s="6">
        <f ca="1">$M$1549*$Z$1549</f>
        <v>52.250779795658303</v>
      </c>
      <c r="AG1549" s="6">
        <f>$O$1549*$AA$1549</f>
        <v>36.779261963212882</v>
      </c>
    </row>
    <row r="1550" spans="1:33" ht="11.25" customHeight="1" x14ac:dyDescent="0.25">
      <c r="A1550" s="4" t="s">
        <v>28</v>
      </c>
      <c r="B1550" s="4" t="s">
        <v>22</v>
      </c>
      <c r="C1550" s="4" t="s">
        <v>39</v>
      </c>
      <c r="D1550" s="4" t="s">
        <v>24</v>
      </c>
      <c r="E1550" s="4" t="s">
        <v>24</v>
      </c>
      <c r="F1550" s="4" t="s">
        <v>25</v>
      </c>
      <c r="G1550" s="4" t="s">
        <v>25</v>
      </c>
      <c r="H1550" s="4" t="s">
        <v>38</v>
      </c>
      <c r="I1550" s="5">
        <v>44228</v>
      </c>
      <c r="J1550" s="6">
        <v>0</v>
      </c>
      <c r="K1550" s="6">
        <v>0</v>
      </c>
      <c r="L1550" s="6">
        <v>1.208</v>
      </c>
      <c r="M1550" s="6">
        <v>1.208</v>
      </c>
      <c r="N1550" s="6">
        <v>1.208</v>
      </c>
      <c r="O1550" s="6">
        <v>1.208</v>
      </c>
      <c r="P1550" s="6">
        <v>0</v>
      </c>
      <c r="Q1550" s="4" t="s">
        <v>26</v>
      </c>
      <c r="R1550" s="4">
        <v>0</v>
      </c>
      <c r="S1550" s="6">
        <v>0</v>
      </c>
      <c r="T1550" s="6">
        <v>12</v>
      </c>
      <c r="U1550" s="6">
        <v>64</v>
      </c>
      <c r="V1550" s="6">
        <f>IF(ISERROR(VLOOKUP($S$1550,'TAR FIN'!$A$1:$O$95,15,0)),0,VLOOKUP($S$1550,'TAR FIN'!$A$1:$O$95,15,0))</f>
        <v>0</v>
      </c>
      <c r="W1550" s="6">
        <f>IF(ISERROR(VLOOKUP($T$1550,'TAR FIN'!$A$1:$O$95,15,0)),0,VLOOKUP($T$1550,'TAR FIN'!$A$1:$O$95,15,0))</f>
        <v>356.74</v>
      </c>
      <c r="X1550" s="6">
        <f>IF(ISERROR(VLOOKUP($U$1550,'TAR FIN'!$A$1:$O$95,15,0)),0,VLOOKUP($U$1550,'TAR FIN'!$A$1:$O$95,15,0))</f>
        <v>230.03</v>
      </c>
      <c r="Y1550" s="6"/>
      <c r="Z1550" s="6">
        <f ca="1">('TUSD BE'!$AM$24+'TUSD BF'!$AM$24+'TUSD CVA'!$AM$24)*1</f>
        <v>401.9290753512177</v>
      </c>
      <c r="AA1550" s="6">
        <f>('TE BE'!$AA$12+'TE BF'!$AA$12+'TE CVA'!$AA$12)*1</f>
        <v>282.91739971702214</v>
      </c>
      <c r="AB1550" s="6">
        <f>$K$1550*$V$1550</f>
        <v>0</v>
      </c>
      <c r="AC1550" s="6">
        <f>$M$1550*$W$1550</f>
        <v>430.94191999999998</v>
      </c>
      <c r="AD1550" s="6">
        <f>$O$1550*$X$1550</f>
        <v>277.87624</v>
      </c>
      <c r="AE1550" s="6">
        <f>$K$1550*$Y$1550</f>
        <v>0</v>
      </c>
      <c r="AF1550" s="6">
        <f ca="1">$M$1550*$Z$1550</f>
        <v>485.53032302427096</v>
      </c>
      <c r="AG1550" s="6">
        <f>$O$1550*$AA$1550</f>
        <v>341.76421885816274</v>
      </c>
    </row>
    <row r="1551" spans="1:33" ht="11.25" customHeight="1" x14ac:dyDescent="0.25">
      <c r="A1551" s="4" t="s">
        <v>30</v>
      </c>
      <c r="B1551" s="4" t="s">
        <v>22</v>
      </c>
      <c r="C1551" s="4" t="s">
        <v>39</v>
      </c>
      <c r="D1551" s="4" t="s">
        <v>24</v>
      </c>
      <c r="E1551" s="4" t="s">
        <v>24</v>
      </c>
      <c r="F1551" s="4" t="s">
        <v>25</v>
      </c>
      <c r="G1551" s="4" t="s">
        <v>25</v>
      </c>
      <c r="H1551" s="4" t="s">
        <v>38</v>
      </c>
      <c r="I1551" s="5">
        <v>44228</v>
      </c>
      <c r="J1551" s="6">
        <v>0</v>
      </c>
      <c r="K1551" s="6">
        <v>0</v>
      </c>
      <c r="L1551" s="6">
        <v>0.879</v>
      </c>
      <c r="M1551" s="6">
        <v>0.879</v>
      </c>
      <c r="N1551" s="6">
        <v>0.879</v>
      </c>
      <c r="O1551" s="6">
        <v>0.879</v>
      </c>
      <c r="P1551" s="6">
        <v>0</v>
      </c>
      <c r="Q1551" s="4" t="s">
        <v>26</v>
      </c>
      <c r="R1551" s="4">
        <v>0</v>
      </c>
      <c r="S1551" s="6">
        <v>0</v>
      </c>
      <c r="T1551" s="6">
        <v>12</v>
      </c>
      <c r="U1551" s="6">
        <v>64</v>
      </c>
      <c r="V1551" s="6">
        <f>IF(ISERROR(VLOOKUP($S$1551,'TAR FIN'!$A$1:$O$95,15,0)),0,VLOOKUP($S$1551,'TAR FIN'!$A$1:$O$95,15,0))</f>
        <v>0</v>
      </c>
      <c r="W1551" s="6">
        <f>IF(ISERROR(VLOOKUP($T$1551,'TAR FIN'!$A$1:$O$95,15,0)),0,VLOOKUP($T$1551,'TAR FIN'!$A$1:$O$95,15,0))</f>
        <v>356.74</v>
      </c>
      <c r="X1551" s="6">
        <f>IF(ISERROR(VLOOKUP($U$1551,'TAR FIN'!$A$1:$O$95,15,0)),0,VLOOKUP($U$1551,'TAR FIN'!$A$1:$O$95,15,0))</f>
        <v>230.03</v>
      </c>
      <c r="Y1551" s="6"/>
      <c r="Z1551" s="6">
        <f ca="1">('TUSD BE'!$AM$24+'TUSD BF'!$AM$24+'TUSD CVA'!$AM$24)*1</f>
        <v>401.9290753512177</v>
      </c>
      <c r="AA1551" s="6">
        <f>('TE BE'!$AA$12+'TE BF'!$AA$12+'TE CVA'!$AA$12)*1</f>
        <v>282.91739971702214</v>
      </c>
      <c r="AB1551" s="6">
        <f>$K$1551*$V$1551</f>
        <v>0</v>
      </c>
      <c r="AC1551" s="6">
        <f>$M$1551*$W$1551</f>
        <v>313.57445999999999</v>
      </c>
      <c r="AD1551" s="6">
        <f>$O$1551*$X$1551</f>
        <v>202.19637</v>
      </c>
      <c r="AE1551" s="6">
        <f>$K$1551*$Y$1551</f>
        <v>0</v>
      </c>
      <c r="AF1551" s="6">
        <f ca="1">$M$1551*$Z$1551</f>
        <v>353.29565723372036</v>
      </c>
      <c r="AG1551" s="6">
        <f>$O$1551*$AA$1551</f>
        <v>248.68439435126245</v>
      </c>
    </row>
    <row r="1552" spans="1:33" ht="11.25" customHeight="1" x14ac:dyDescent="0.25">
      <c r="A1552" s="4" t="s">
        <v>21</v>
      </c>
      <c r="B1552" s="4" t="s">
        <v>22</v>
      </c>
      <c r="C1552" s="4" t="s">
        <v>39</v>
      </c>
      <c r="D1552" s="4" t="s">
        <v>24</v>
      </c>
      <c r="E1552" s="4" t="s">
        <v>24</v>
      </c>
      <c r="F1552" s="4" t="s">
        <v>25</v>
      </c>
      <c r="G1552" s="4" t="s">
        <v>25</v>
      </c>
      <c r="H1552" s="4" t="s">
        <v>38</v>
      </c>
      <c r="I1552" s="5">
        <v>44256</v>
      </c>
      <c r="J1552" s="6">
        <v>0</v>
      </c>
      <c r="K1552" s="6">
        <v>0</v>
      </c>
      <c r="L1552" s="6">
        <v>32.027000000000001</v>
      </c>
      <c r="M1552" s="6">
        <v>32.027000000000001</v>
      </c>
      <c r="N1552" s="6">
        <v>32.027000000000001</v>
      </c>
      <c r="O1552" s="6">
        <v>32.027000000000001</v>
      </c>
      <c r="P1552" s="6">
        <v>0</v>
      </c>
      <c r="Q1552" s="4" t="s">
        <v>26</v>
      </c>
      <c r="R1552" s="4">
        <v>0</v>
      </c>
      <c r="S1552" s="6">
        <v>0</v>
      </c>
      <c r="T1552" s="6">
        <v>12</v>
      </c>
      <c r="U1552" s="6">
        <v>64</v>
      </c>
      <c r="V1552" s="6">
        <f>IF(ISERROR(VLOOKUP($S$1552,'TAR FIN'!$A$1:$O$95,15,0)),0,VLOOKUP($S$1552,'TAR FIN'!$A$1:$O$95,15,0))</f>
        <v>0</v>
      </c>
      <c r="W1552" s="6">
        <f>IF(ISERROR(VLOOKUP($T$1552,'TAR FIN'!$A$1:$O$95,15,0)),0,VLOOKUP($T$1552,'TAR FIN'!$A$1:$O$95,15,0))</f>
        <v>356.74</v>
      </c>
      <c r="X1552" s="6">
        <f>IF(ISERROR(VLOOKUP($U$1552,'TAR FIN'!$A$1:$O$95,15,0)),0,VLOOKUP($U$1552,'TAR FIN'!$A$1:$O$95,15,0))</f>
        <v>230.03</v>
      </c>
      <c r="Y1552" s="6"/>
      <c r="Z1552" s="6">
        <f ca="1">('TUSD BE'!$AM$24+'TUSD BF'!$AM$24+'TUSD CVA'!$AM$24)*1</f>
        <v>401.9290753512177</v>
      </c>
      <c r="AA1552" s="6">
        <f>('TE BE'!$AA$12+'TE BF'!$AA$12+'TE CVA'!$AA$12)*1</f>
        <v>282.91739971702214</v>
      </c>
      <c r="AB1552" s="6">
        <f>$K$1552*$V$1552</f>
        <v>0</v>
      </c>
      <c r="AC1552" s="6">
        <f>$M$1552*$W$1552</f>
        <v>11425.31198</v>
      </c>
      <c r="AD1552" s="6">
        <f>$O$1552*$X$1552</f>
        <v>7367.1708100000005</v>
      </c>
      <c r="AE1552" s="6">
        <f>$K$1552*$Y$1552</f>
        <v>0</v>
      </c>
      <c r="AF1552" s="6">
        <f ca="1">$M$1552*$Z$1552</f>
        <v>12872.58249627345</v>
      </c>
      <c r="AG1552" s="6">
        <f>$O$1552*$AA$1552</f>
        <v>9060.9955607370684</v>
      </c>
    </row>
    <row r="1553" spans="1:33" ht="11.25" customHeight="1" x14ac:dyDescent="0.25">
      <c r="A1553" s="4" t="s">
        <v>28</v>
      </c>
      <c r="B1553" s="4" t="s">
        <v>22</v>
      </c>
      <c r="C1553" s="4" t="s">
        <v>39</v>
      </c>
      <c r="D1553" s="4" t="s">
        <v>24</v>
      </c>
      <c r="E1553" s="4" t="s">
        <v>24</v>
      </c>
      <c r="F1553" s="4" t="s">
        <v>25</v>
      </c>
      <c r="G1553" s="4" t="s">
        <v>25</v>
      </c>
      <c r="H1553" s="4" t="s">
        <v>38</v>
      </c>
      <c r="I1553" s="5">
        <v>44256</v>
      </c>
      <c r="J1553" s="6">
        <v>0</v>
      </c>
      <c r="K1553" s="6">
        <v>0</v>
      </c>
      <c r="L1553" s="6">
        <v>2.6840000000000002</v>
      </c>
      <c r="M1553" s="6">
        <v>2.6840000000000002</v>
      </c>
      <c r="N1553" s="6">
        <v>2.6840000000000002</v>
      </c>
      <c r="O1553" s="6">
        <v>2.6840000000000002</v>
      </c>
      <c r="P1553" s="6">
        <v>0</v>
      </c>
      <c r="Q1553" s="4" t="s">
        <v>26</v>
      </c>
      <c r="R1553" s="4">
        <v>0</v>
      </c>
      <c r="S1553" s="6">
        <v>0</v>
      </c>
      <c r="T1553" s="6">
        <v>12</v>
      </c>
      <c r="U1553" s="6">
        <v>64</v>
      </c>
      <c r="V1553" s="6">
        <f>IF(ISERROR(VLOOKUP($S$1553,'TAR FIN'!$A$1:$O$95,15,0)),0,VLOOKUP($S$1553,'TAR FIN'!$A$1:$O$95,15,0))</f>
        <v>0</v>
      </c>
      <c r="W1553" s="6">
        <f>IF(ISERROR(VLOOKUP($T$1553,'TAR FIN'!$A$1:$O$95,15,0)),0,VLOOKUP($T$1553,'TAR FIN'!$A$1:$O$95,15,0))</f>
        <v>356.74</v>
      </c>
      <c r="X1553" s="6">
        <f>IF(ISERROR(VLOOKUP($U$1553,'TAR FIN'!$A$1:$O$95,15,0)),0,VLOOKUP($U$1553,'TAR FIN'!$A$1:$O$95,15,0))</f>
        <v>230.03</v>
      </c>
      <c r="Y1553" s="6"/>
      <c r="Z1553" s="6">
        <f ca="1">('TUSD BE'!$AM$24+'TUSD BF'!$AM$24+'TUSD CVA'!$AM$24)*1</f>
        <v>401.9290753512177</v>
      </c>
      <c r="AA1553" s="6">
        <f>('TE BE'!$AA$12+'TE BF'!$AA$12+'TE CVA'!$AA$12)*1</f>
        <v>282.91739971702214</v>
      </c>
      <c r="AB1553" s="6">
        <f>$K$1553*$V$1553</f>
        <v>0</v>
      </c>
      <c r="AC1553" s="6">
        <f>$M$1553*$W$1553</f>
        <v>957.49016000000006</v>
      </c>
      <c r="AD1553" s="6">
        <f>$O$1553*$X$1553</f>
        <v>617.40052000000003</v>
      </c>
      <c r="AE1553" s="6">
        <f>$K$1553*$Y$1553</f>
        <v>0</v>
      </c>
      <c r="AF1553" s="6">
        <f ca="1">$M$1553*$Z$1553</f>
        <v>1078.7776382426684</v>
      </c>
      <c r="AG1553" s="6">
        <f>$O$1553*$AA$1553</f>
        <v>759.35030084048742</v>
      </c>
    </row>
    <row r="1554" spans="1:33" ht="11.25" customHeight="1" x14ac:dyDescent="0.25">
      <c r="A1554" s="4" t="s">
        <v>30</v>
      </c>
      <c r="B1554" s="4" t="s">
        <v>22</v>
      </c>
      <c r="C1554" s="4" t="s">
        <v>39</v>
      </c>
      <c r="D1554" s="4" t="s">
        <v>24</v>
      </c>
      <c r="E1554" s="4" t="s">
        <v>24</v>
      </c>
      <c r="F1554" s="4" t="s">
        <v>25</v>
      </c>
      <c r="G1554" s="4" t="s">
        <v>25</v>
      </c>
      <c r="H1554" s="4" t="s">
        <v>38</v>
      </c>
      <c r="I1554" s="5">
        <v>44256</v>
      </c>
      <c r="J1554" s="6">
        <v>0</v>
      </c>
      <c r="K1554" s="6">
        <v>0</v>
      </c>
      <c r="L1554" s="6">
        <v>0.872</v>
      </c>
      <c r="M1554" s="6">
        <v>0.872</v>
      </c>
      <c r="N1554" s="6">
        <v>0.872</v>
      </c>
      <c r="O1554" s="6">
        <v>0.872</v>
      </c>
      <c r="P1554" s="6">
        <v>0</v>
      </c>
      <c r="Q1554" s="4" t="s">
        <v>26</v>
      </c>
      <c r="R1554" s="4">
        <v>0</v>
      </c>
      <c r="S1554" s="6">
        <v>0</v>
      </c>
      <c r="T1554" s="6">
        <v>12</v>
      </c>
      <c r="U1554" s="6">
        <v>64</v>
      </c>
      <c r="V1554" s="6">
        <f>IF(ISERROR(VLOOKUP($S$1554,'TAR FIN'!$A$1:$O$95,15,0)),0,VLOOKUP($S$1554,'TAR FIN'!$A$1:$O$95,15,0))</f>
        <v>0</v>
      </c>
      <c r="W1554" s="6">
        <f>IF(ISERROR(VLOOKUP($T$1554,'TAR FIN'!$A$1:$O$95,15,0)),0,VLOOKUP($T$1554,'TAR FIN'!$A$1:$O$95,15,0))</f>
        <v>356.74</v>
      </c>
      <c r="X1554" s="6">
        <f>IF(ISERROR(VLOOKUP($U$1554,'TAR FIN'!$A$1:$O$95,15,0)),0,VLOOKUP($U$1554,'TAR FIN'!$A$1:$O$95,15,0))</f>
        <v>230.03</v>
      </c>
      <c r="Y1554" s="6"/>
      <c r="Z1554" s="6">
        <f ca="1">('TUSD BE'!$AM$24+'TUSD BF'!$AM$24+'TUSD CVA'!$AM$24)*1</f>
        <v>401.9290753512177</v>
      </c>
      <c r="AA1554" s="6">
        <f>('TE BE'!$AA$12+'TE BF'!$AA$12+'TE CVA'!$AA$12)*1</f>
        <v>282.91739971702214</v>
      </c>
      <c r="AB1554" s="6">
        <f>$K$1554*$V$1554</f>
        <v>0</v>
      </c>
      <c r="AC1554" s="6">
        <f>$M$1554*$W$1554</f>
        <v>311.07728000000003</v>
      </c>
      <c r="AD1554" s="6">
        <f>$O$1554*$X$1554</f>
        <v>200.58616000000001</v>
      </c>
      <c r="AE1554" s="6">
        <f>$K$1554*$Y$1554</f>
        <v>0</v>
      </c>
      <c r="AF1554" s="6">
        <f ca="1">$M$1554*$Z$1554</f>
        <v>350.48215370626184</v>
      </c>
      <c r="AG1554" s="6">
        <f>$O$1554*$AA$1554</f>
        <v>246.70397255324329</v>
      </c>
    </row>
    <row r="1555" spans="1:33" ht="11.25" customHeight="1" x14ac:dyDescent="0.25">
      <c r="A1555" s="4" t="s">
        <v>21</v>
      </c>
      <c r="B1555" s="4" t="s">
        <v>22</v>
      </c>
      <c r="C1555" s="4" t="s">
        <v>39</v>
      </c>
      <c r="D1555" s="4" t="s">
        <v>24</v>
      </c>
      <c r="E1555" s="4" t="s">
        <v>24</v>
      </c>
      <c r="F1555" s="4" t="s">
        <v>25</v>
      </c>
      <c r="G1555" s="4" t="s">
        <v>25</v>
      </c>
      <c r="H1555" s="4" t="s">
        <v>38</v>
      </c>
      <c r="I1555" s="5">
        <v>44287</v>
      </c>
      <c r="J1555" s="6">
        <v>0</v>
      </c>
      <c r="K1555" s="6">
        <v>0</v>
      </c>
      <c r="L1555" s="6">
        <v>34.536000000000001</v>
      </c>
      <c r="M1555" s="6">
        <v>34.536000000000001</v>
      </c>
      <c r="N1555" s="6">
        <v>34.536000000000001</v>
      </c>
      <c r="O1555" s="6">
        <v>34.536000000000001</v>
      </c>
      <c r="P1555" s="6">
        <v>0</v>
      </c>
      <c r="Q1555" s="4" t="s">
        <v>26</v>
      </c>
      <c r="R1555" s="4">
        <v>0</v>
      </c>
      <c r="S1555" s="6">
        <v>0</v>
      </c>
      <c r="T1555" s="6">
        <v>12</v>
      </c>
      <c r="U1555" s="6">
        <v>64</v>
      </c>
      <c r="V1555" s="6">
        <f>IF(ISERROR(VLOOKUP($S$1555,'TAR FIN'!$A$1:$O$95,15,0)),0,VLOOKUP($S$1555,'TAR FIN'!$A$1:$O$95,15,0))</f>
        <v>0</v>
      </c>
      <c r="W1555" s="6">
        <f>IF(ISERROR(VLOOKUP($T$1555,'TAR FIN'!$A$1:$O$95,15,0)),0,VLOOKUP($T$1555,'TAR FIN'!$A$1:$O$95,15,0))</f>
        <v>356.74</v>
      </c>
      <c r="X1555" s="6">
        <f>IF(ISERROR(VLOOKUP($U$1555,'TAR FIN'!$A$1:$O$95,15,0)),0,VLOOKUP($U$1555,'TAR FIN'!$A$1:$O$95,15,0))</f>
        <v>230.03</v>
      </c>
      <c r="Y1555" s="6"/>
      <c r="Z1555" s="6">
        <f ca="1">('TUSD BE'!$AM$24+'TUSD BF'!$AM$24+'TUSD CVA'!$AM$24)*1</f>
        <v>401.9290753512177</v>
      </c>
      <c r="AA1555" s="6">
        <f>('TE BE'!$AA$12+'TE BF'!$AA$12+'TE CVA'!$AA$12)*1</f>
        <v>282.91739971702214</v>
      </c>
      <c r="AB1555" s="6">
        <f>$K$1555*$V$1555</f>
        <v>0</v>
      </c>
      <c r="AC1555" s="6">
        <f>$M$1555*$W$1555</f>
        <v>12320.372640000001</v>
      </c>
      <c r="AD1555" s="6">
        <f>$O$1555*$X$1555</f>
        <v>7944.3160800000005</v>
      </c>
      <c r="AE1555" s="6">
        <f>$K$1555*$Y$1555</f>
        <v>0</v>
      </c>
      <c r="AF1555" s="6">
        <f ca="1">$M$1555*$Z$1555</f>
        <v>13881.022546329656</v>
      </c>
      <c r="AG1555" s="6">
        <f>$O$1555*$AA$1555</f>
        <v>9770.8353166270772</v>
      </c>
    </row>
    <row r="1556" spans="1:33" ht="11.25" customHeight="1" x14ac:dyDescent="0.25">
      <c r="A1556" s="4" t="s">
        <v>28</v>
      </c>
      <c r="B1556" s="4" t="s">
        <v>22</v>
      </c>
      <c r="C1556" s="4" t="s">
        <v>39</v>
      </c>
      <c r="D1556" s="4" t="s">
        <v>24</v>
      </c>
      <c r="E1556" s="4" t="s">
        <v>24</v>
      </c>
      <c r="F1556" s="4" t="s">
        <v>25</v>
      </c>
      <c r="G1556" s="4" t="s">
        <v>25</v>
      </c>
      <c r="H1556" s="4" t="s">
        <v>38</v>
      </c>
      <c r="I1556" s="5">
        <v>44287</v>
      </c>
      <c r="J1556" s="6">
        <v>0</v>
      </c>
      <c r="K1556" s="6">
        <v>0</v>
      </c>
      <c r="L1556" s="6">
        <v>3.343</v>
      </c>
      <c r="M1556" s="6">
        <v>3.343</v>
      </c>
      <c r="N1556" s="6">
        <v>3.343</v>
      </c>
      <c r="O1556" s="6">
        <v>3.343</v>
      </c>
      <c r="P1556" s="6">
        <v>0</v>
      </c>
      <c r="Q1556" s="4" t="s">
        <v>26</v>
      </c>
      <c r="R1556" s="4">
        <v>0</v>
      </c>
      <c r="S1556" s="6">
        <v>0</v>
      </c>
      <c r="T1556" s="6">
        <v>12</v>
      </c>
      <c r="U1556" s="6">
        <v>64</v>
      </c>
      <c r="V1556" s="6">
        <f>IF(ISERROR(VLOOKUP($S$1556,'TAR FIN'!$A$1:$O$95,15,0)),0,VLOOKUP($S$1556,'TAR FIN'!$A$1:$O$95,15,0))</f>
        <v>0</v>
      </c>
      <c r="W1556" s="6">
        <f>IF(ISERROR(VLOOKUP($T$1556,'TAR FIN'!$A$1:$O$95,15,0)),0,VLOOKUP($T$1556,'TAR FIN'!$A$1:$O$95,15,0))</f>
        <v>356.74</v>
      </c>
      <c r="X1556" s="6">
        <f>IF(ISERROR(VLOOKUP($U$1556,'TAR FIN'!$A$1:$O$95,15,0)),0,VLOOKUP($U$1556,'TAR FIN'!$A$1:$O$95,15,0))</f>
        <v>230.03</v>
      </c>
      <c r="Y1556" s="6"/>
      <c r="Z1556" s="6">
        <f ca="1">('TUSD BE'!$AM$24+'TUSD BF'!$AM$24+'TUSD CVA'!$AM$24)*1</f>
        <v>401.9290753512177</v>
      </c>
      <c r="AA1556" s="6">
        <f>('TE BE'!$AA$12+'TE BF'!$AA$12+'TE CVA'!$AA$12)*1</f>
        <v>282.91739971702214</v>
      </c>
      <c r="AB1556" s="6">
        <f>$K$1556*$V$1556</f>
        <v>0</v>
      </c>
      <c r="AC1556" s="6">
        <f>$M$1556*$W$1556</f>
        <v>1192.5818200000001</v>
      </c>
      <c r="AD1556" s="6">
        <f>$O$1556*$X$1556</f>
        <v>768.99028999999996</v>
      </c>
      <c r="AE1556" s="6">
        <f>$K$1556*$Y$1556</f>
        <v>0</v>
      </c>
      <c r="AF1556" s="6">
        <f ca="1">$M$1556*$Z$1556</f>
        <v>1343.6488988991207</v>
      </c>
      <c r="AG1556" s="6">
        <f>$O$1556*$AA$1556</f>
        <v>945.79286725400505</v>
      </c>
    </row>
    <row r="1557" spans="1:33" ht="11.25" customHeight="1" x14ac:dyDescent="0.25">
      <c r="A1557" s="4" t="s">
        <v>30</v>
      </c>
      <c r="B1557" s="4" t="s">
        <v>22</v>
      </c>
      <c r="C1557" s="4" t="s">
        <v>39</v>
      </c>
      <c r="D1557" s="4" t="s">
        <v>24</v>
      </c>
      <c r="E1557" s="4" t="s">
        <v>24</v>
      </c>
      <c r="F1557" s="4" t="s">
        <v>25</v>
      </c>
      <c r="G1557" s="4" t="s">
        <v>25</v>
      </c>
      <c r="H1557" s="4" t="s">
        <v>38</v>
      </c>
      <c r="I1557" s="5">
        <v>44287</v>
      </c>
      <c r="J1557" s="6">
        <v>0</v>
      </c>
      <c r="K1557" s="6">
        <v>0</v>
      </c>
      <c r="L1557" s="6">
        <v>3.0840000000000001</v>
      </c>
      <c r="M1557" s="6">
        <v>3.0840000000000001</v>
      </c>
      <c r="N1557" s="6">
        <v>3.0840000000000001</v>
      </c>
      <c r="O1557" s="6">
        <v>3.0840000000000001</v>
      </c>
      <c r="P1557" s="6">
        <v>0</v>
      </c>
      <c r="Q1557" s="4" t="s">
        <v>26</v>
      </c>
      <c r="R1557" s="4">
        <v>0</v>
      </c>
      <c r="S1557" s="6">
        <v>0</v>
      </c>
      <c r="T1557" s="6">
        <v>12</v>
      </c>
      <c r="U1557" s="6">
        <v>64</v>
      </c>
      <c r="V1557" s="6">
        <f>IF(ISERROR(VLOOKUP($S$1557,'TAR FIN'!$A$1:$O$95,15,0)),0,VLOOKUP($S$1557,'TAR FIN'!$A$1:$O$95,15,0))</f>
        <v>0</v>
      </c>
      <c r="W1557" s="6">
        <f>IF(ISERROR(VLOOKUP($T$1557,'TAR FIN'!$A$1:$O$95,15,0)),0,VLOOKUP($T$1557,'TAR FIN'!$A$1:$O$95,15,0))</f>
        <v>356.74</v>
      </c>
      <c r="X1557" s="6">
        <f>IF(ISERROR(VLOOKUP($U$1557,'TAR FIN'!$A$1:$O$95,15,0)),0,VLOOKUP($U$1557,'TAR FIN'!$A$1:$O$95,15,0))</f>
        <v>230.03</v>
      </c>
      <c r="Y1557" s="6"/>
      <c r="Z1557" s="6">
        <f ca="1">('TUSD BE'!$AM$24+'TUSD BF'!$AM$24+'TUSD CVA'!$AM$24)*1</f>
        <v>401.9290753512177</v>
      </c>
      <c r="AA1557" s="6">
        <f>('TE BE'!$AA$12+'TE BF'!$AA$12+'TE CVA'!$AA$12)*1</f>
        <v>282.91739971702214</v>
      </c>
      <c r="AB1557" s="6">
        <f>$K$1557*$V$1557</f>
        <v>0</v>
      </c>
      <c r="AC1557" s="6">
        <f>$M$1557*$W$1557</f>
        <v>1100.18616</v>
      </c>
      <c r="AD1557" s="6">
        <f>$O$1557*$X$1557</f>
        <v>709.41251999999997</v>
      </c>
      <c r="AE1557" s="6">
        <f>$K$1557*$Y$1557</f>
        <v>0</v>
      </c>
      <c r="AF1557" s="6">
        <f ca="1">$M$1557*$Z$1557</f>
        <v>1239.5492683831553</v>
      </c>
      <c r="AG1557" s="6">
        <f>$O$1557*$AA$1557</f>
        <v>872.51726072729628</v>
      </c>
    </row>
    <row r="1558" spans="1:33" ht="11.25" customHeight="1" x14ac:dyDescent="0.25">
      <c r="A1558" s="4" t="s">
        <v>21</v>
      </c>
      <c r="B1558" s="4" t="s">
        <v>22</v>
      </c>
      <c r="C1558" s="4" t="s">
        <v>39</v>
      </c>
      <c r="D1558" s="4" t="s">
        <v>24</v>
      </c>
      <c r="E1558" s="4" t="s">
        <v>24</v>
      </c>
      <c r="F1558" s="4" t="s">
        <v>25</v>
      </c>
      <c r="G1558" s="4" t="s">
        <v>25</v>
      </c>
      <c r="H1558" s="4" t="s">
        <v>38</v>
      </c>
      <c r="I1558" s="5">
        <v>44317</v>
      </c>
      <c r="J1558" s="6">
        <v>0</v>
      </c>
      <c r="K1558" s="6">
        <v>0</v>
      </c>
      <c r="L1558" s="6">
        <v>33.136000000000003</v>
      </c>
      <c r="M1558" s="6">
        <v>33.136000000000003</v>
      </c>
      <c r="N1558" s="6">
        <v>33.136000000000003</v>
      </c>
      <c r="O1558" s="6">
        <v>33.136000000000003</v>
      </c>
      <c r="P1558" s="6">
        <v>0</v>
      </c>
      <c r="Q1558" s="4" t="s">
        <v>26</v>
      </c>
      <c r="R1558" s="4">
        <v>0</v>
      </c>
      <c r="S1558" s="6">
        <v>0</v>
      </c>
      <c r="T1558" s="6">
        <v>12</v>
      </c>
      <c r="U1558" s="6">
        <v>64</v>
      </c>
      <c r="V1558" s="6">
        <f>IF(ISERROR(VLOOKUP($S$1558,'TAR FIN'!$A$1:$O$95,15,0)),0,VLOOKUP($S$1558,'TAR FIN'!$A$1:$O$95,15,0))</f>
        <v>0</v>
      </c>
      <c r="W1558" s="6">
        <f>IF(ISERROR(VLOOKUP($T$1558,'TAR FIN'!$A$1:$O$95,15,0)),0,VLOOKUP($T$1558,'TAR FIN'!$A$1:$O$95,15,0))</f>
        <v>356.74</v>
      </c>
      <c r="X1558" s="6">
        <f>IF(ISERROR(VLOOKUP($U$1558,'TAR FIN'!$A$1:$O$95,15,0)),0,VLOOKUP($U$1558,'TAR FIN'!$A$1:$O$95,15,0))</f>
        <v>230.03</v>
      </c>
      <c r="Y1558" s="6"/>
      <c r="Z1558" s="6">
        <f ca="1">('TUSD BE'!$AM$24+'TUSD BF'!$AM$24+'TUSD CVA'!$AM$24)*1</f>
        <v>401.9290753512177</v>
      </c>
      <c r="AA1558" s="6">
        <f>('TE BE'!$AA$12+'TE BF'!$AA$12+'TE CVA'!$AA$12)*1</f>
        <v>282.91739971702214</v>
      </c>
      <c r="AB1558" s="6">
        <f>$K$1558*$V$1558</f>
        <v>0</v>
      </c>
      <c r="AC1558" s="6">
        <f>$M$1558*$W$1558</f>
        <v>11820.936640000002</v>
      </c>
      <c r="AD1558" s="6">
        <f>$O$1558*$X$1558</f>
        <v>7622.274080000001</v>
      </c>
      <c r="AE1558" s="6">
        <f>$K$1558*$Y$1558</f>
        <v>0</v>
      </c>
      <c r="AF1558" s="6">
        <f ca="1">$M$1558*$Z$1558</f>
        <v>13318.321840837951</v>
      </c>
      <c r="AG1558" s="6">
        <f>$O$1558*$AA$1558</f>
        <v>9374.7509570232469</v>
      </c>
    </row>
    <row r="1559" spans="1:33" ht="11.25" customHeight="1" x14ac:dyDescent="0.25">
      <c r="A1559" s="4" t="s">
        <v>28</v>
      </c>
      <c r="B1559" s="4" t="s">
        <v>22</v>
      </c>
      <c r="C1559" s="4" t="s">
        <v>39</v>
      </c>
      <c r="D1559" s="4" t="s">
        <v>24</v>
      </c>
      <c r="E1559" s="4" t="s">
        <v>24</v>
      </c>
      <c r="F1559" s="4" t="s">
        <v>25</v>
      </c>
      <c r="G1559" s="4" t="s">
        <v>25</v>
      </c>
      <c r="H1559" s="4" t="s">
        <v>38</v>
      </c>
      <c r="I1559" s="5">
        <v>44317</v>
      </c>
      <c r="J1559" s="6">
        <v>0</v>
      </c>
      <c r="K1559" s="6">
        <v>0</v>
      </c>
      <c r="L1559" s="6">
        <v>3.1829999999999998</v>
      </c>
      <c r="M1559" s="6">
        <v>3.1829999999999998</v>
      </c>
      <c r="N1559" s="6">
        <v>3.1829999999999998</v>
      </c>
      <c r="O1559" s="6">
        <v>3.1829999999999998</v>
      </c>
      <c r="P1559" s="6">
        <v>0</v>
      </c>
      <c r="Q1559" s="4" t="s">
        <v>26</v>
      </c>
      <c r="R1559" s="4">
        <v>0</v>
      </c>
      <c r="S1559" s="6">
        <v>0</v>
      </c>
      <c r="T1559" s="6">
        <v>12</v>
      </c>
      <c r="U1559" s="6">
        <v>64</v>
      </c>
      <c r="V1559" s="6">
        <f>IF(ISERROR(VLOOKUP($S$1559,'TAR FIN'!$A$1:$O$95,15,0)),0,VLOOKUP($S$1559,'TAR FIN'!$A$1:$O$95,15,0))</f>
        <v>0</v>
      </c>
      <c r="W1559" s="6">
        <f>IF(ISERROR(VLOOKUP($T$1559,'TAR FIN'!$A$1:$O$95,15,0)),0,VLOOKUP($T$1559,'TAR FIN'!$A$1:$O$95,15,0))</f>
        <v>356.74</v>
      </c>
      <c r="X1559" s="6">
        <f>IF(ISERROR(VLOOKUP($U$1559,'TAR FIN'!$A$1:$O$95,15,0)),0,VLOOKUP($U$1559,'TAR FIN'!$A$1:$O$95,15,0))</f>
        <v>230.03</v>
      </c>
      <c r="Y1559" s="6"/>
      <c r="Z1559" s="6">
        <f ca="1">('TUSD BE'!$AM$24+'TUSD BF'!$AM$24+'TUSD CVA'!$AM$24)*1</f>
        <v>401.9290753512177</v>
      </c>
      <c r="AA1559" s="6">
        <f>('TE BE'!$AA$12+'TE BF'!$AA$12+'TE CVA'!$AA$12)*1</f>
        <v>282.91739971702214</v>
      </c>
      <c r="AB1559" s="6">
        <f>$K$1559*$V$1559</f>
        <v>0</v>
      </c>
      <c r="AC1559" s="6">
        <f>$M$1559*$W$1559</f>
        <v>1135.50342</v>
      </c>
      <c r="AD1559" s="6">
        <f>$O$1559*$X$1559</f>
        <v>732.18548999999996</v>
      </c>
      <c r="AE1559" s="6">
        <f>$K$1559*$Y$1559</f>
        <v>0</v>
      </c>
      <c r="AF1559" s="6">
        <f ca="1">$M$1559*$Z$1559</f>
        <v>1279.3402468429258</v>
      </c>
      <c r="AG1559" s="6">
        <f>$O$1559*$AA$1559</f>
        <v>900.52608329928137</v>
      </c>
    </row>
    <row r="1560" spans="1:33" ht="11.25" customHeight="1" x14ac:dyDescent="0.25">
      <c r="A1560" s="4" t="s">
        <v>30</v>
      </c>
      <c r="B1560" s="4" t="s">
        <v>22</v>
      </c>
      <c r="C1560" s="4" t="s">
        <v>39</v>
      </c>
      <c r="D1560" s="4" t="s">
        <v>24</v>
      </c>
      <c r="E1560" s="4" t="s">
        <v>24</v>
      </c>
      <c r="F1560" s="4" t="s">
        <v>25</v>
      </c>
      <c r="G1560" s="4" t="s">
        <v>25</v>
      </c>
      <c r="H1560" s="4" t="s">
        <v>38</v>
      </c>
      <c r="I1560" s="5">
        <v>44317</v>
      </c>
      <c r="J1560" s="6">
        <v>0</v>
      </c>
      <c r="K1560" s="6">
        <v>0</v>
      </c>
      <c r="L1560" s="6">
        <v>2.859</v>
      </c>
      <c r="M1560" s="6">
        <v>2.859</v>
      </c>
      <c r="N1560" s="6">
        <v>2.859</v>
      </c>
      <c r="O1560" s="6">
        <v>2.859</v>
      </c>
      <c r="P1560" s="6">
        <v>0</v>
      </c>
      <c r="Q1560" s="4" t="s">
        <v>26</v>
      </c>
      <c r="R1560" s="4">
        <v>0</v>
      </c>
      <c r="S1560" s="6">
        <v>0</v>
      </c>
      <c r="T1560" s="6">
        <v>12</v>
      </c>
      <c r="U1560" s="6">
        <v>64</v>
      </c>
      <c r="V1560" s="6">
        <f>IF(ISERROR(VLOOKUP($S$1560,'TAR FIN'!$A$1:$O$95,15,0)),0,VLOOKUP($S$1560,'TAR FIN'!$A$1:$O$95,15,0))</f>
        <v>0</v>
      </c>
      <c r="W1560" s="6">
        <f>IF(ISERROR(VLOOKUP($T$1560,'TAR FIN'!$A$1:$O$95,15,0)),0,VLOOKUP($T$1560,'TAR FIN'!$A$1:$O$95,15,0))</f>
        <v>356.74</v>
      </c>
      <c r="X1560" s="6">
        <f>IF(ISERROR(VLOOKUP($U$1560,'TAR FIN'!$A$1:$O$95,15,0)),0,VLOOKUP($U$1560,'TAR FIN'!$A$1:$O$95,15,0))</f>
        <v>230.03</v>
      </c>
      <c r="Y1560" s="6"/>
      <c r="Z1560" s="6">
        <f ca="1">('TUSD BE'!$AM$24+'TUSD BF'!$AM$24+'TUSD CVA'!$AM$24)*1</f>
        <v>401.9290753512177</v>
      </c>
      <c r="AA1560" s="6">
        <f>('TE BE'!$AA$12+'TE BF'!$AA$12+'TE CVA'!$AA$12)*1</f>
        <v>282.91739971702214</v>
      </c>
      <c r="AB1560" s="6">
        <f>$K$1560*$V$1560</f>
        <v>0</v>
      </c>
      <c r="AC1560" s="6">
        <f>$M$1560*$W$1560</f>
        <v>1019.91966</v>
      </c>
      <c r="AD1560" s="6">
        <f>$O$1560*$X$1560</f>
        <v>657.65576999999996</v>
      </c>
      <c r="AE1560" s="6">
        <f>$K$1560*$Y$1560</f>
        <v>0</v>
      </c>
      <c r="AF1560" s="6">
        <f ca="1">$M$1560*$Z$1560</f>
        <v>1149.1152264291313</v>
      </c>
      <c r="AG1560" s="6">
        <f>$O$1560*$AA$1560</f>
        <v>808.86084579096632</v>
      </c>
    </row>
    <row r="1561" spans="1:33" ht="11.25" customHeight="1" x14ac:dyDescent="0.25">
      <c r="A1561" s="4" t="s">
        <v>21</v>
      </c>
      <c r="B1561" s="4" t="s">
        <v>22</v>
      </c>
      <c r="C1561" s="4" t="s">
        <v>39</v>
      </c>
      <c r="D1561" s="4" t="s">
        <v>24</v>
      </c>
      <c r="E1561" s="4" t="s">
        <v>24</v>
      </c>
      <c r="F1561" s="4" t="s">
        <v>25</v>
      </c>
      <c r="G1561" s="4" t="s">
        <v>25</v>
      </c>
      <c r="H1561" s="4" t="s">
        <v>38</v>
      </c>
      <c r="I1561" s="5">
        <v>44348</v>
      </c>
      <c r="J1561" s="6">
        <v>0</v>
      </c>
      <c r="K1561" s="6">
        <v>0</v>
      </c>
      <c r="L1561" s="6">
        <v>36.936</v>
      </c>
      <c r="M1561" s="6">
        <v>36.936</v>
      </c>
      <c r="N1561" s="6">
        <v>36.936</v>
      </c>
      <c r="O1561" s="6">
        <v>36.936</v>
      </c>
      <c r="P1561" s="6">
        <v>0</v>
      </c>
      <c r="Q1561" s="4" t="s">
        <v>26</v>
      </c>
      <c r="R1561" s="4">
        <v>0</v>
      </c>
      <c r="S1561" s="6">
        <v>0</v>
      </c>
      <c r="T1561" s="6">
        <v>12</v>
      </c>
      <c r="U1561" s="6">
        <v>64</v>
      </c>
      <c r="V1561" s="6">
        <f>IF(ISERROR(VLOOKUP($S$1561,'TAR FIN'!$A$1:$O$95,15,0)),0,VLOOKUP($S$1561,'TAR FIN'!$A$1:$O$95,15,0))</f>
        <v>0</v>
      </c>
      <c r="W1561" s="6">
        <f>IF(ISERROR(VLOOKUP($T$1561,'TAR FIN'!$A$1:$O$95,15,0)),0,VLOOKUP($T$1561,'TAR FIN'!$A$1:$O$95,15,0))</f>
        <v>356.74</v>
      </c>
      <c r="X1561" s="6">
        <f>IF(ISERROR(VLOOKUP($U$1561,'TAR FIN'!$A$1:$O$95,15,0)),0,VLOOKUP($U$1561,'TAR FIN'!$A$1:$O$95,15,0))</f>
        <v>230.03</v>
      </c>
      <c r="Y1561" s="6"/>
      <c r="Z1561" s="6">
        <f ca="1">('TUSD BE'!$AM$24+'TUSD BF'!$AM$24+'TUSD CVA'!$AM$24)*1</f>
        <v>401.9290753512177</v>
      </c>
      <c r="AA1561" s="6">
        <f>('TE BE'!$AA$12+'TE BF'!$AA$12+'TE CVA'!$AA$12)*1</f>
        <v>282.91739971702214</v>
      </c>
      <c r="AB1561" s="6">
        <f>$K$1561*$V$1561</f>
        <v>0</v>
      </c>
      <c r="AC1561" s="6">
        <f>$M$1561*$W$1561</f>
        <v>13176.548640000001</v>
      </c>
      <c r="AD1561" s="6">
        <f>$O$1561*$X$1561</f>
        <v>8496.3880800000006</v>
      </c>
      <c r="AE1561" s="6">
        <f>$K$1561*$Y$1561</f>
        <v>0</v>
      </c>
      <c r="AF1561" s="6">
        <f ca="1">$M$1561*$Z$1561</f>
        <v>14845.652327172576</v>
      </c>
      <c r="AG1561" s="6">
        <f>$O$1561*$AA$1561</f>
        <v>10449.837075947929</v>
      </c>
    </row>
    <row r="1562" spans="1:33" ht="11.25" customHeight="1" x14ac:dyDescent="0.25">
      <c r="A1562" s="4" t="s">
        <v>28</v>
      </c>
      <c r="B1562" s="4" t="s">
        <v>22</v>
      </c>
      <c r="C1562" s="4" t="s">
        <v>39</v>
      </c>
      <c r="D1562" s="4" t="s">
        <v>24</v>
      </c>
      <c r="E1562" s="4" t="s">
        <v>24</v>
      </c>
      <c r="F1562" s="4" t="s">
        <v>25</v>
      </c>
      <c r="G1562" s="4" t="s">
        <v>25</v>
      </c>
      <c r="H1562" s="4" t="s">
        <v>38</v>
      </c>
      <c r="I1562" s="5">
        <v>44348</v>
      </c>
      <c r="J1562" s="6">
        <v>0</v>
      </c>
      <c r="K1562" s="6">
        <v>0</v>
      </c>
      <c r="L1562" s="6">
        <v>3.5979999999999999</v>
      </c>
      <c r="M1562" s="6">
        <v>3.5979999999999999</v>
      </c>
      <c r="N1562" s="6">
        <v>3.5979999999999999</v>
      </c>
      <c r="O1562" s="6">
        <v>3.5979999999999999</v>
      </c>
      <c r="P1562" s="6">
        <v>0</v>
      </c>
      <c r="Q1562" s="4" t="s">
        <v>26</v>
      </c>
      <c r="R1562" s="4">
        <v>0</v>
      </c>
      <c r="S1562" s="6">
        <v>0</v>
      </c>
      <c r="T1562" s="6">
        <v>12</v>
      </c>
      <c r="U1562" s="6">
        <v>64</v>
      </c>
      <c r="V1562" s="6">
        <f>IF(ISERROR(VLOOKUP($S$1562,'TAR FIN'!$A$1:$O$95,15,0)),0,VLOOKUP($S$1562,'TAR FIN'!$A$1:$O$95,15,0))</f>
        <v>0</v>
      </c>
      <c r="W1562" s="6">
        <f>IF(ISERROR(VLOOKUP($T$1562,'TAR FIN'!$A$1:$O$95,15,0)),0,VLOOKUP($T$1562,'TAR FIN'!$A$1:$O$95,15,0))</f>
        <v>356.74</v>
      </c>
      <c r="X1562" s="6">
        <f>IF(ISERROR(VLOOKUP($U$1562,'TAR FIN'!$A$1:$O$95,15,0)),0,VLOOKUP($U$1562,'TAR FIN'!$A$1:$O$95,15,0))</f>
        <v>230.03</v>
      </c>
      <c r="Y1562" s="6"/>
      <c r="Z1562" s="6">
        <f ca="1">('TUSD BE'!$AM$24+'TUSD BF'!$AM$24+'TUSD CVA'!$AM$24)*1</f>
        <v>401.9290753512177</v>
      </c>
      <c r="AA1562" s="6">
        <f>('TE BE'!$AA$12+'TE BF'!$AA$12+'TE CVA'!$AA$12)*1</f>
        <v>282.91739971702214</v>
      </c>
      <c r="AB1562" s="6">
        <f>$K$1562*$V$1562</f>
        <v>0</v>
      </c>
      <c r="AC1562" s="6">
        <f>$M$1562*$W$1562</f>
        <v>1283.55052</v>
      </c>
      <c r="AD1562" s="6">
        <f>$O$1562*$X$1562</f>
        <v>827.64793999999995</v>
      </c>
      <c r="AE1562" s="6">
        <f>$K$1562*$Y$1562</f>
        <v>0</v>
      </c>
      <c r="AF1562" s="6">
        <f ca="1">$M$1562*$Z$1562</f>
        <v>1446.1408131136814</v>
      </c>
      <c r="AG1562" s="6">
        <f>$O$1562*$AA$1562</f>
        <v>1017.9368041818456</v>
      </c>
    </row>
    <row r="1563" spans="1:33" ht="11.25" customHeight="1" x14ac:dyDescent="0.25">
      <c r="A1563" s="4" t="s">
        <v>30</v>
      </c>
      <c r="B1563" s="4" t="s">
        <v>22</v>
      </c>
      <c r="C1563" s="4" t="s">
        <v>39</v>
      </c>
      <c r="D1563" s="4" t="s">
        <v>24</v>
      </c>
      <c r="E1563" s="4" t="s">
        <v>24</v>
      </c>
      <c r="F1563" s="4" t="s">
        <v>25</v>
      </c>
      <c r="G1563" s="4" t="s">
        <v>25</v>
      </c>
      <c r="H1563" s="4" t="s">
        <v>38</v>
      </c>
      <c r="I1563" s="5">
        <v>44348</v>
      </c>
      <c r="J1563" s="6">
        <v>0</v>
      </c>
      <c r="K1563" s="6">
        <v>0</v>
      </c>
      <c r="L1563" s="6">
        <v>3.532</v>
      </c>
      <c r="M1563" s="6">
        <v>3.532</v>
      </c>
      <c r="N1563" s="6">
        <v>3.532</v>
      </c>
      <c r="O1563" s="6">
        <v>3.532</v>
      </c>
      <c r="P1563" s="6">
        <v>0</v>
      </c>
      <c r="Q1563" s="4" t="s">
        <v>26</v>
      </c>
      <c r="R1563" s="4">
        <v>0</v>
      </c>
      <c r="S1563" s="6">
        <v>0</v>
      </c>
      <c r="T1563" s="6">
        <v>12</v>
      </c>
      <c r="U1563" s="6">
        <v>64</v>
      </c>
      <c r="V1563" s="6">
        <f>IF(ISERROR(VLOOKUP($S$1563,'TAR FIN'!$A$1:$O$95,15,0)),0,VLOOKUP($S$1563,'TAR FIN'!$A$1:$O$95,15,0))</f>
        <v>0</v>
      </c>
      <c r="W1563" s="6">
        <f>IF(ISERROR(VLOOKUP($T$1563,'TAR FIN'!$A$1:$O$95,15,0)),0,VLOOKUP($T$1563,'TAR FIN'!$A$1:$O$95,15,0))</f>
        <v>356.74</v>
      </c>
      <c r="X1563" s="6">
        <f>IF(ISERROR(VLOOKUP($U$1563,'TAR FIN'!$A$1:$O$95,15,0)),0,VLOOKUP($U$1563,'TAR FIN'!$A$1:$O$95,15,0))</f>
        <v>230.03</v>
      </c>
      <c r="Y1563" s="6"/>
      <c r="Z1563" s="6">
        <f ca="1">('TUSD BE'!$AM$24+'TUSD BF'!$AM$24+'TUSD CVA'!$AM$24)*1</f>
        <v>401.9290753512177</v>
      </c>
      <c r="AA1563" s="6">
        <f>('TE BE'!$AA$12+'TE BF'!$AA$12+'TE CVA'!$AA$12)*1</f>
        <v>282.91739971702214</v>
      </c>
      <c r="AB1563" s="6">
        <f>$K$1563*$V$1563</f>
        <v>0</v>
      </c>
      <c r="AC1563" s="6">
        <f>$M$1563*$W$1563</f>
        <v>1260.00568</v>
      </c>
      <c r="AD1563" s="6">
        <f>$O$1563*$X$1563</f>
        <v>812.46596</v>
      </c>
      <c r="AE1563" s="6">
        <f>$K$1563*$Y$1563</f>
        <v>0</v>
      </c>
      <c r="AF1563" s="6">
        <f ca="1">$M$1563*$Z$1563</f>
        <v>1419.613494140501</v>
      </c>
      <c r="AG1563" s="6">
        <f>$O$1563*$AA$1563</f>
        <v>999.26425580052216</v>
      </c>
    </row>
    <row r="1564" spans="1:33" ht="11.25" customHeight="1" x14ac:dyDescent="0.25">
      <c r="A1564" s="4" t="s">
        <v>21</v>
      </c>
      <c r="B1564" s="4" t="s">
        <v>22</v>
      </c>
      <c r="C1564" s="4" t="s">
        <v>39</v>
      </c>
      <c r="D1564" s="4" t="s">
        <v>24</v>
      </c>
      <c r="E1564" s="4" t="s">
        <v>24</v>
      </c>
      <c r="F1564" s="4" t="s">
        <v>25</v>
      </c>
      <c r="G1564" s="4" t="s">
        <v>25</v>
      </c>
      <c r="H1564" s="4" t="s">
        <v>38</v>
      </c>
      <c r="I1564" s="5">
        <v>44378</v>
      </c>
      <c r="J1564" s="6">
        <v>0</v>
      </c>
      <c r="K1564" s="6">
        <v>0</v>
      </c>
      <c r="L1564" s="6">
        <v>33.942</v>
      </c>
      <c r="M1564" s="6">
        <v>33.942</v>
      </c>
      <c r="N1564" s="6">
        <v>33.942</v>
      </c>
      <c r="O1564" s="6">
        <v>33.942</v>
      </c>
      <c r="P1564" s="6">
        <v>0</v>
      </c>
      <c r="Q1564" s="4" t="s">
        <v>26</v>
      </c>
      <c r="R1564" s="4">
        <v>0</v>
      </c>
      <c r="S1564" s="6">
        <v>0</v>
      </c>
      <c r="T1564" s="6">
        <v>12</v>
      </c>
      <c r="U1564" s="6">
        <v>64</v>
      </c>
      <c r="V1564" s="6">
        <f>IF(ISERROR(VLOOKUP($S$1564,'TAR FIN'!$A$1:$O$95,15,0)),0,VLOOKUP($S$1564,'TAR FIN'!$A$1:$O$95,15,0))</f>
        <v>0</v>
      </c>
      <c r="W1564" s="6">
        <f>IF(ISERROR(VLOOKUP($T$1564,'TAR FIN'!$A$1:$O$95,15,0)),0,VLOOKUP($T$1564,'TAR FIN'!$A$1:$O$95,15,0))</f>
        <v>356.74</v>
      </c>
      <c r="X1564" s="6">
        <f>IF(ISERROR(VLOOKUP($U$1564,'TAR FIN'!$A$1:$O$95,15,0)),0,VLOOKUP($U$1564,'TAR FIN'!$A$1:$O$95,15,0))</f>
        <v>230.03</v>
      </c>
      <c r="Y1564" s="6"/>
      <c r="Z1564" s="6">
        <f ca="1">('TUSD BE'!$AM$24+'TUSD BF'!$AM$24+'TUSD CVA'!$AM$24)*1</f>
        <v>401.9290753512177</v>
      </c>
      <c r="AA1564" s="6">
        <f>('TE BE'!$AA$12+'TE BF'!$AA$12+'TE CVA'!$AA$12)*1</f>
        <v>282.91739971702214</v>
      </c>
      <c r="AB1564" s="6">
        <f>$K$1564*$V$1564</f>
        <v>0</v>
      </c>
      <c r="AC1564" s="6">
        <f>$M$1564*$W$1564</f>
        <v>12108.469080000001</v>
      </c>
      <c r="AD1564" s="6">
        <f>$O$1564*$X$1564</f>
        <v>7807.6782599999997</v>
      </c>
      <c r="AE1564" s="6">
        <f>$K$1564*$Y$1564</f>
        <v>0</v>
      </c>
      <c r="AF1564" s="6">
        <f ca="1">$M$1564*$Z$1564</f>
        <v>13642.276675571031</v>
      </c>
      <c r="AG1564" s="6">
        <f>$O$1564*$AA$1564</f>
        <v>9602.7823811951657</v>
      </c>
    </row>
    <row r="1565" spans="1:33" ht="11.25" customHeight="1" x14ac:dyDescent="0.25">
      <c r="A1565" s="4" t="s">
        <v>27</v>
      </c>
      <c r="B1565" s="4" t="s">
        <v>22</v>
      </c>
      <c r="C1565" s="4" t="s">
        <v>39</v>
      </c>
      <c r="D1565" s="4" t="s">
        <v>24</v>
      </c>
      <c r="E1565" s="4" t="s">
        <v>24</v>
      </c>
      <c r="F1565" s="4" t="s">
        <v>25</v>
      </c>
      <c r="G1565" s="4" t="s">
        <v>25</v>
      </c>
      <c r="H1565" s="4" t="s">
        <v>38</v>
      </c>
      <c r="I1565" s="5">
        <v>44378</v>
      </c>
      <c r="J1565" s="6">
        <v>0</v>
      </c>
      <c r="K1565" s="6">
        <v>0</v>
      </c>
      <c r="L1565" s="6">
        <v>0.79900000000000004</v>
      </c>
      <c r="M1565" s="6">
        <v>0.79900000000000004</v>
      </c>
      <c r="N1565" s="6">
        <v>0.79900000000000004</v>
      </c>
      <c r="O1565" s="6">
        <v>0.79900000000000004</v>
      </c>
      <c r="P1565" s="6">
        <v>0</v>
      </c>
      <c r="Q1565" s="4" t="s">
        <v>26</v>
      </c>
      <c r="R1565" s="4">
        <v>0</v>
      </c>
      <c r="S1565" s="6">
        <v>0</v>
      </c>
      <c r="T1565" s="6">
        <v>12</v>
      </c>
      <c r="U1565" s="6">
        <v>64</v>
      </c>
      <c r="V1565" s="6">
        <f>IF(ISERROR(VLOOKUP($S$1565,'TAR FIN'!$A$1:$O$95,15,0)),0,VLOOKUP($S$1565,'TAR FIN'!$A$1:$O$95,15,0))</f>
        <v>0</v>
      </c>
      <c r="W1565" s="6">
        <f>IF(ISERROR(VLOOKUP($T$1565,'TAR FIN'!$A$1:$O$95,15,0)),0,VLOOKUP($T$1565,'TAR FIN'!$A$1:$O$95,15,0))</f>
        <v>356.74</v>
      </c>
      <c r="X1565" s="6">
        <f>IF(ISERROR(VLOOKUP($U$1565,'TAR FIN'!$A$1:$O$95,15,0)),0,VLOOKUP($U$1565,'TAR FIN'!$A$1:$O$95,15,0))</f>
        <v>230.03</v>
      </c>
      <c r="Y1565" s="6"/>
      <c r="Z1565" s="6">
        <f ca="1">('TUSD BE'!$AM$24+'TUSD BF'!$AM$24+'TUSD CVA'!$AM$24)*1</f>
        <v>401.9290753512177</v>
      </c>
      <c r="AA1565" s="6">
        <f>('TE BE'!$AA$12+'TE BF'!$AA$12+'TE CVA'!$AA$12)*1</f>
        <v>282.91739971702214</v>
      </c>
      <c r="AB1565" s="6">
        <f>$K$1565*$V$1565</f>
        <v>0</v>
      </c>
      <c r="AC1565" s="6">
        <f>$M$1565*$W$1565</f>
        <v>285.03526000000005</v>
      </c>
      <c r="AD1565" s="6">
        <f>$O$1565*$X$1565</f>
        <v>183.79397</v>
      </c>
      <c r="AE1565" s="6">
        <f>$K$1565*$Y$1565</f>
        <v>0</v>
      </c>
      <c r="AF1565" s="6">
        <f ca="1">$M$1565*$Z$1565</f>
        <v>321.14133120562298</v>
      </c>
      <c r="AG1565" s="6">
        <f>$O$1565*$AA$1565</f>
        <v>226.0510023739007</v>
      </c>
    </row>
    <row r="1566" spans="1:33" ht="11.25" customHeight="1" x14ac:dyDescent="0.25">
      <c r="A1566" s="4" t="s">
        <v>28</v>
      </c>
      <c r="B1566" s="4" t="s">
        <v>22</v>
      </c>
      <c r="C1566" s="4" t="s">
        <v>39</v>
      </c>
      <c r="D1566" s="4" t="s">
        <v>24</v>
      </c>
      <c r="E1566" s="4" t="s">
        <v>24</v>
      </c>
      <c r="F1566" s="4" t="s">
        <v>25</v>
      </c>
      <c r="G1566" s="4" t="s">
        <v>25</v>
      </c>
      <c r="H1566" s="4" t="s">
        <v>38</v>
      </c>
      <c r="I1566" s="5">
        <v>44378</v>
      </c>
      <c r="J1566" s="6">
        <v>0</v>
      </c>
      <c r="K1566" s="6">
        <v>0</v>
      </c>
      <c r="L1566" s="6">
        <v>3.6019999999999999</v>
      </c>
      <c r="M1566" s="6">
        <v>3.6019999999999999</v>
      </c>
      <c r="N1566" s="6">
        <v>3.6019999999999999</v>
      </c>
      <c r="O1566" s="6">
        <v>3.6019999999999999</v>
      </c>
      <c r="P1566" s="6">
        <v>0</v>
      </c>
      <c r="Q1566" s="4" t="s">
        <v>26</v>
      </c>
      <c r="R1566" s="4">
        <v>0</v>
      </c>
      <c r="S1566" s="6">
        <v>0</v>
      </c>
      <c r="T1566" s="6">
        <v>12</v>
      </c>
      <c r="U1566" s="6">
        <v>64</v>
      </c>
      <c r="V1566" s="6">
        <f>IF(ISERROR(VLOOKUP($S$1566,'TAR FIN'!$A$1:$O$95,15,0)),0,VLOOKUP($S$1566,'TAR FIN'!$A$1:$O$95,15,0))</f>
        <v>0</v>
      </c>
      <c r="W1566" s="6">
        <f>IF(ISERROR(VLOOKUP($T$1566,'TAR FIN'!$A$1:$O$95,15,0)),0,VLOOKUP($T$1566,'TAR FIN'!$A$1:$O$95,15,0))</f>
        <v>356.74</v>
      </c>
      <c r="X1566" s="6">
        <f>IF(ISERROR(VLOOKUP($U$1566,'TAR FIN'!$A$1:$O$95,15,0)),0,VLOOKUP($U$1566,'TAR FIN'!$A$1:$O$95,15,0))</f>
        <v>230.03</v>
      </c>
      <c r="Y1566" s="6"/>
      <c r="Z1566" s="6">
        <f ca="1">('TUSD BE'!$AM$24+'TUSD BF'!$AM$24+'TUSD CVA'!$AM$24)*1</f>
        <v>401.9290753512177</v>
      </c>
      <c r="AA1566" s="6">
        <f>('TE BE'!$AA$12+'TE BF'!$AA$12+'TE CVA'!$AA$12)*1</f>
        <v>282.91739971702214</v>
      </c>
      <c r="AB1566" s="6">
        <f>$K$1566*$V$1566</f>
        <v>0</v>
      </c>
      <c r="AC1566" s="6">
        <f>$M$1566*$W$1566</f>
        <v>1284.97748</v>
      </c>
      <c r="AD1566" s="6">
        <f>$O$1566*$X$1566</f>
        <v>828.56805999999995</v>
      </c>
      <c r="AE1566" s="6">
        <f>$K$1566*$Y$1566</f>
        <v>0</v>
      </c>
      <c r="AF1566" s="6">
        <f ca="1">$M$1566*$Z$1566</f>
        <v>1447.7485294150861</v>
      </c>
      <c r="AG1566" s="6">
        <f>$O$1566*$AA$1566</f>
        <v>1019.0684737807137</v>
      </c>
    </row>
    <row r="1567" spans="1:33" ht="11.25" customHeight="1" x14ac:dyDescent="0.25">
      <c r="A1567" s="4" t="s">
        <v>30</v>
      </c>
      <c r="B1567" s="4" t="s">
        <v>22</v>
      </c>
      <c r="C1567" s="4" t="s">
        <v>39</v>
      </c>
      <c r="D1567" s="4" t="s">
        <v>24</v>
      </c>
      <c r="E1567" s="4" t="s">
        <v>24</v>
      </c>
      <c r="F1567" s="4" t="s">
        <v>25</v>
      </c>
      <c r="G1567" s="4" t="s">
        <v>25</v>
      </c>
      <c r="H1567" s="4" t="s">
        <v>38</v>
      </c>
      <c r="I1567" s="5">
        <v>44378</v>
      </c>
      <c r="J1567" s="6">
        <v>0</v>
      </c>
      <c r="K1567" s="6">
        <v>0</v>
      </c>
      <c r="L1567" s="6">
        <v>3.41</v>
      </c>
      <c r="M1567" s="6">
        <v>3.41</v>
      </c>
      <c r="N1567" s="6">
        <v>3.41</v>
      </c>
      <c r="O1567" s="6">
        <v>3.41</v>
      </c>
      <c r="P1567" s="6">
        <v>0</v>
      </c>
      <c r="Q1567" s="4" t="s">
        <v>26</v>
      </c>
      <c r="R1567" s="4">
        <v>0</v>
      </c>
      <c r="S1567" s="6">
        <v>0</v>
      </c>
      <c r="T1567" s="6">
        <v>12</v>
      </c>
      <c r="U1567" s="6">
        <v>64</v>
      </c>
      <c r="V1567" s="6">
        <f>IF(ISERROR(VLOOKUP($S$1567,'TAR FIN'!$A$1:$O$95,15,0)),0,VLOOKUP($S$1567,'TAR FIN'!$A$1:$O$95,15,0))</f>
        <v>0</v>
      </c>
      <c r="W1567" s="6">
        <f>IF(ISERROR(VLOOKUP($T$1567,'TAR FIN'!$A$1:$O$95,15,0)),0,VLOOKUP($T$1567,'TAR FIN'!$A$1:$O$95,15,0))</f>
        <v>356.74</v>
      </c>
      <c r="X1567" s="6">
        <f>IF(ISERROR(VLOOKUP($U$1567,'TAR FIN'!$A$1:$O$95,15,0)),0,VLOOKUP($U$1567,'TAR FIN'!$A$1:$O$95,15,0))</f>
        <v>230.03</v>
      </c>
      <c r="Y1567" s="6"/>
      <c r="Z1567" s="6">
        <f ca="1">('TUSD BE'!$AM$24+'TUSD BF'!$AM$24+'TUSD CVA'!$AM$24)*1</f>
        <v>401.9290753512177</v>
      </c>
      <c r="AA1567" s="6">
        <f>('TE BE'!$AA$12+'TE BF'!$AA$12+'TE CVA'!$AA$12)*1</f>
        <v>282.91739971702214</v>
      </c>
      <c r="AB1567" s="6">
        <f>$K$1567*$V$1567</f>
        <v>0</v>
      </c>
      <c r="AC1567" s="6">
        <f>$M$1567*$W$1567</f>
        <v>1216.4834000000001</v>
      </c>
      <c r="AD1567" s="6">
        <f>$O$1567*$X$1567</f>
        <v>784.40230000000008</v>
      </c>
      <c r="AE1567" s="6">
        <f>$K$1567*$Y$1567</f>
        <v>0</v>
      </c>
      <c r="AF1567" s="6">
        <f ca="1">$M$1567*$Z$1567</f>
        <v>1370.5781469476524</v>
      </c>
      <c r="AG1567" s="6">
        <f>$O$1567*$AA$1567</f>
        <v>964.74833303504556</v>
      </c>
    </row>
    <row r="1568" spans="1:33" ht="11.25" customHeight="1" x14ac:dyDescent="0.25">
      <c r="A1568" s="4" t="s">
        <v>21</v>
      </c>
      <c r="B1568" s="4" t="s">
        <v>22</v>
      </c>
      <c r="C1568" s="4" t="s">
        <v>39</v>
      </c>
      <c r="D1568" s="4" t="s">
        <v>24</v>
      </c>
      <c r="E1568" s="4" t="s">
        <v>24</v>
      </c>
      <c r="F1568" s="4" t="s">
        <v>25</v>
      </c>
      <c r="G1568" s="4" t="s">
        <v>25</v>
      </c>
      <c r="H1568" s="4" t="s">
        <v>38</v>
      </c>
      <c r="I1568" s="5">
        <v>44409</v>
      </c>
      <c r="J1568" s="6">
        <v>0</v>
      </c>
      <c r="K1568" s="6">
        <v>0</v>
      </c>
      <c r="L1568" s="6">
        <v>37.944000000000003</v>
      </c>
      <c r="M1568" s="6">
        <v>37.944000000000003</v>
      </c>
      <c r="N1568" s="6">
        <v>37.944000000000003</v>
      </c>
      <c r="O1568" s="6">
        <v>37.944000000000003</v>
      </c>
      <c r="P1568" s="6">
        <v>0</v>
      </c>
      <c r="Q1568" s="4" t="s">
        <v>26</v>
      </c>
      <c r="R1568" s="4">
        <v>0</v>
      </c>
      <c r="S1568" s="6">
        <v>0</v>
      </c>
      <c r="T1568" s="6">
        <v>12</v>
      </c>
      <c r="U1568" s="6">
        <v>64</v>
      </c>
      <c r="V1568" s="6">
        <f>IF(ISERROR(VLOOKUP($S$1568,'TAR FIN'!$A$1:$O$95,15,0)),0,VLOOKUP($S$1568,'TAR FIN'!$A$1:$O$95,15,0))</f>
        <v>0</v>
      </c>
      <c r="W1568" s="6">
        <f>IF(ISERROR(VLOOKUP($T$1568,'TAR FIN'!$A$1:$O$95,15,0)),0,VLOOKUP($T$1568,'TAR FIN'!$A$1:$O$95,15,0))</f>
        <v>356.74</v>
      </c>
      <c r="X1568" s="6">
        <f>IF(ISERROR(VLOOKUP($U$1568,'TAR FIN'!$A$1:$O$95,15,0)),0,VLOOKUP($U$1568,'TAR FIN'!$A$1:$O$95,15,0))</f>
        <v>230.03</v>
      </c>
      <c r="Y1568" s="6"/>
      <c r="Z1568" s="6">
        <f ca="1">('TUSD BE'!$AM$24+'TUSD BF'!$AM$24+'TUSD CVA'!$AM$24)*1</f>
        <v>401.9290753512177</v>
      </c>
      <c r="AA1568" s="6">
        <f>('TE BE'!$AA$12+'TE BF'!$AA$12+'TE CVA'!$AA$12)*1</f>
        <v>282.91739971702214</v>
      </c>
      <c r="AB1568" s="6">
        <f>$K$1568*$V$1568</f>
        <v>0</v>
      </c>
      <c r="AC1568" s="6">
        <f>$M$1568*$W$1568</f>
        <v>13536.142560000002</v>
      </c>
      <c r="AD1568" s="6">
        <f>$O$1568*$X$1568</f>
        <v>8728.2583200000008</v>
      </c>
      <c r="AE1568" s="6">
        <f>$K$1568*$Y$1568</f>
        <v>0</v>
      </c>
      <c r="AF1568" s="6">
        <f ca="1">$M$1568*$Z$1568</f>
        <v>15250.796835126606</v>
      </c>
      <c r="AG1568" s="6">
        <f>$O$1568*$AA$1568</f>
        <v>10735.017814862689</v>
      </c>
    </row>
    <row r="1569" spans="1:33" ht="11.25" customHeight="1" x14ac:dyDescent="0.25">
      <c r="A1569" s="4" t="s">
        <v>28</v>
      </c>
      <c r="B1569" s="4" t="s">
        <v>22</v>
      </c>
      <c r="C1569" s="4" t="s">
        <v>39</v>
      </c>
      <c r="D1569" s="4" t="s">
        <v>24</v>
      </c>
      <c r="E1569" s="4" t="s">
        <v>24</v>
      </c>
      <c r="F1569" s="4" t="s">
        <v>25</v>
      </c>
      <c r="G1569" s="4" t="s">
        <v>25</v>
      </c>
      <c r="H1569" s="4" t="s">
        <v>38</v>
      </c>
      <c r="I1569" s="5">
        <v>44409</v>
      </c>
      <c r="J1569" s="6">
        <v>0</v>
      </c>
      <c r="K1569" s="6">
        <v>0</v>
      </c>
      <c r="L1569" s="6">
        <v>3.5790000000000002</v>
      </c>
      <c r="M1569" s="6">
        <v>3.5790000000000002</v>
      </c>
      <c r="N1569" s="6">
        <v>3.5790000000000002</v>
      </c>
      <c r="O1569" s="6">
        <v>3.5790000000000002</v>
      </c>
      <c r="P1569" s="6">
        <v>0</v>
      </c>
      <c r="Q1569" s="4" t="s">
        <v>26</v>
      </c>
      <c r="R1569" s="4">
        <v>0</v>
      </c>
      <c r="S1569" s="6">
        <v>0</v>
      </c>
      <c r="T1569" s="6">
        <v>12</v>
      </c>
      <c r="U1569" s="6">
        <v>64</v>
      </c>
      <c r="V1569" s="6">
        <f>IF(ISERROR(VLOOKUP($S$1569,'TAR FIN'!$A$1:$O$95,15,0)),0,VLOOKUP($S$1569,'TAR FIN'!$A$1:$O$95,15,0))</f>
        <v>0</v>
      </c>
      <c r="W1569" s="6">
        <f>IF(ISERROR(VLOOKUP($T$1569,'TAR FIN'!$A$1:$O$95,15,0)),0,VLOOKUP($T$1569,'TAR FIN'!$A$1:$O$95,15,0))</f>
        <v>356.74</v>
      </c>
      <c r="X1569" s="6">
        <f>IF(ISERROR(VLOOKUP($U$1569,'TAR FIN'!$A$1:$O$95,15,0)),0,VLOOKUP($U$1569,'TAR FIN'!$A$1:$O$95,15,0))</f>
        <v>230.03</v>
      </c>
      <c r="Y1569" s="6"/>
      <c r="Z1569" s="6">
        <f ca="1">('TUSD BE'!$AM$24+'TUSD BF'!$AM$24+'TUSD CVA'!$AM$24)*1</f>
        <v>401.9290753512177</v>
      </c>
      <c r="AA1569" s="6">
        <f>('TE BE'!$AA$12+'TE BF'!$AA$12+'TE CVA'!$AA$12)*1</f>
        <v>282.91739971702214</v>
      </c>
      <c r="AB1569" s="6">
        <f>$K$1569*$V$1569</f>
        <v>0</v>
      </c>
      <c r="AC1569" s="6">
        <f>$M$1569*$W$1569</f>
        <v>1276.7724600000001</v>
      </c>
      <c r="AD1569" s="6">
        <f>$O$1569*$X$1569</f>
        <v>823.27737000000002</v>
      </c>
      <c r="AE1569" s="6">
        <f>$K$1569*$Y$1569</f>
        <v>0</v>
      </c>
      <c r="AF1569" s="6">
        <f ca="1">$M$1569*$Z$1569</f>
        <v>1438.5041606820082</v>
      </c>
      <c r="AG1569" s="6">
        <f>$O$1569*$AA$1569</f>
        <v>1012.5613735872223</v>
      </c>
    </row>
    <row r="1570" spans="1:33" ht="11.25" customHeight="1" x14ac:dyDescent="0.25">
      <c r="A1570" s="4" t="s">
        <v>30</v>
      </c>
      <c r="B1570" s="4" t="s">
        <v>22</v>
      </c>
      <c r="C1570" s="4" t="s">
        <v>39</v>
      </c>
      <c r="D1570" s="4" t="s">
        <v>24</v>
      </c>
      <c r="E1570" s="4" t="s">
        <v>24</v>
      </c>
      <c r="F1570" s="4" t="s">
        <v>25</v>
      </c>
      <c r="G1570" s="4" t="s">
        <v>25</v>
      </c>
      <c r="H1570" s="4" t="s">
        <v>38</v>
      </c>
      <c r="I1570" s="5">
        <v>44409</v>
      </c>
      <c r="J1570" s="6">
        <v>0</v>
      </c>
      <c r="K1570" s="6">
        <v>0</v>
      </c>
      <c r="L1570" s="6">
        <v>3.5939999999999999</v>
      </c>
      <c r="M1570" s="6">
        <v>3.5939999999999999</v>
      </c>
      <c r="N1570" s="6">
        <v>3.5939999999999999</v>
      </c>
      <c r="O1570" s="6">
        <v>3.5939999999999999</v>
      </c>
      <c r="P1570" s="6">
        <v>0</v>
      </c>
      <c r="Q1570" s="4" t="s">
        <v>26</v>
      </c>
      <c r="R1570" s="4">
        <v>0</v>
      </c>
      <c r="S1570" s="6">
        <v>0</v>
      </c>
      <c r="T1570" s="6">
        <v>12</v>
      </c>
      <c r="U1570" s="6">
        <v>64</v>
      </c>
      <c r="V1570" s="6">
        <f>IF(ISERROR(VLOOKUP($S$1570,'TAR FIN'!$A$1:$O$95,15,0)),0,VLOOKUP($S$1570,'TAR FIN'!$A$1:$O$95,15,0))</f>
        <v>0</v>
      </c>
      <c r="W1570" s="6">
        <f>IF(ISERROR(VLOOKUP($T$1570,'TAR FIN'!$A$1:$O$95,15,0)),0,VLOOKUP($T$1570,'TAR FIN'!$A$1:$O$95,15,0))</f>
        <v>356.74</v>
      </c>
      <c r="X1570" s="6">
        <f>IF(ISERROR(VLOOKUP($U$1570,'TAR FIN'!$A$1:$O$95,15,0)),0,VLOOKUP($U$1570,'TAR FIN'!$A$1:$O$95,15,0))</f>
        <v>230.03</v>
      </c>
      <c r="Y1570" s="6"/>
      <c r="Z1570" s="6">
        <f ca="1">('TUSD BE'!$AM$24+'TUSD BF'!$AM$24+'TUSD CVA'!$AM$24)*1</f>
        <v>401.9290753512177</v>
      </c>
      <c r="AA1570" s="6">
        <f>('TE BE'!$AA$12+'TE BF'!$AA$12+'TE CVA'!$AA$12)*1</f>
        <v>282.91739971702214</v>
      </c>
      <c r="AB1570" s="6">
        <f>$K$1570*$V$1570</f>
        <v>0</v>
      </c>
      <c r="AC1570" s="6">
        <f>$M$1570*$W$1570</f>
        <v>1282.12356</v>
      </c>
      <c r="AD1570" s="6">
        <f>$O$1570*$X$1570</f>
        <v>826.72781999999995</v>
      </c>
      <c r="AE1570" s="6">
        <f>$K$1570*$Y$1570</f>
        <v>0</v>
      </c>
      <c r="AF1570" s="6">
        <f ca="1">$M$1570*$Z$1570</f>
        <v>1444.5330968122764</v>
      </c>
      <c r="AG1570" s="6">
        <f>$O$1570*$AA$1570</f>
        <v>1016.8051345829775</v>
      </c>
    </row>
    <row r="1571" spans="1:33" ht="11.25" customHeight="1" x14ac:dyDescent="0.25">
      <c r="A1571" s="4" t="s">
        <v>30</v>
      </c>
      <c r="B1571" s="4" t="s">
        <v>22</v>
      </c>
      <c r="C1571" s="4" t="s">
        <v>39</v>
      </c>
      <c r="D1571" s="4" t="s">
        <v>24</v>
      </c>
      <c r="E1571" s="4" t="s">
        <v>24</v>
      </c>
      <c r="F1571" s="4" t="s">
        <v>25</v>
      </c>
      <c r="G1571" s="4" t="s">
        <v>25</v>
      </c>
      <c r="H1571" s="4" t="s">
        <v>38</v>
      </c>
      <c r="I1571" s="5">
        <v>44409</v>
      </c>
      <c r="J1571" s="6">
        <v>0</v>
      </c>
      <c r="K1571" s="6">
        <v>0</v>
      </c>
      <c r="L1571" s="6">
        <v>-1.1259999999999999</v>
      </c>
      <c r="M1571" s="6">
        <v>-1.1259999999999999</v>
      </c>
      <c r="N1571" s="6">
        <v>-1.1259999999999999</v>
      </c>
      <c r="O1571" s="6">
        <v>-1.1259999999999999</v>
      </c>
      <c r="P1571" s="6">
        <v>0</v>
      </c>
      <c r="Q1571" s="4" t="s">
        <v>26</v>
      </c>
      <c r="R1571" s="4">
        <v>0</v>
      </c>
      <c r="S1571" s="6">
        <v>0</v>
      </c>
      <c r="T1571" s="6">
        <v>12</v>
      </c>
      <c r="U1571" s="6">
        <v>64</v>
      </c>
      <c r="V1571" s="6">
        <f>IF(ISERROR(VLOOKUP($S$1571,'TAR FIN'!$A$1:$O$95,15,0)),0,VLOOKUP($S$1571,'TAR FIN'!$A$1:$O$95,15,0))</f>
        <v>0</v>
      </c>
      <c r="W1571" s="6">
        <f>IF(ISERROR(VLOOKUP($T$1571,'TAR FIN'!$A$1:$O$95,15,0)),0,VLOOKUP($T$1571,'TAR FIN'!$A$1:$O$95,15,0))</f>
        <v>356.74</v>
      </c>
      <c r="X1571" s="6">
        <f>IF(ISERROR(VLOOKUP($U$1571,'TAR FIN'!$A$1:$O$95,15,0)),0,VLOOKUP($U$1571,'TAR FIN'!$A$1:$O$95,15,0))</f>
        <v>230.03</v>
      </c>
      <c r="Y1571" s="6"/>
      <c r="Z1571" s="6">
        <f ca="1">('TUSD BE'!$AM$24+'TUSD BF'!$AM$24+'TUSD CVA'!$AM$24)*1</f>
        <v>401.9290753512177</v>
      </c>
      <c r="AA1571" s="6">
        <f>('TE BE'!$AA$12+'TE BF'!$AA$12+'TE CVA'!$AA$12)*1</f>
        <v>282.91739971702214</v>
      </c>
      <c r="AB1571" s="6">
        <f>$K$1571*$V$1571</f>
        <v>0</v>
      </c>
      <c r="AC1571" s="6">
        <f>$M$1571*$W$1571</f>
        <v>-401.68923999999998</v>
      </c>
      <c r="AD1571" s="6">
        <f>$O$1571*$X$1571</f>
        <v>-259.01378</v>
      </c>
      <c r="AE1571" s="6">
        <f>$K$1571*$Y$1571</f>
        <v>0</v>
      </c>
      <c r="AF1571" s="6">
        <f ca="1">$M$1571*$Z$1571</f>
        <v>-452.5721388454711</v>
      </c>
      <c r="AG1571" s="6">
        <f>$O$1571*$AA$1571</f>
        <v>-318.56499208136688</v>
      </c>
    </row>
    <row r="1572" spans="1:33" ht="11.25" customHeight="1" x14ac:dyDescent="0.25">
      <c r="A1572" s="4" t="s">
        <v>21</v>
      </c>
      <c r="B1572" s="4" t="s">
        <v>22</v>
      </c>
      <c r="C1572" s="4" t="s">
        <v>39</v>
      </c>
      <c r="D1572" s="4" t="s">
        <v>24</v>
      </c>
      <c r="E1572" s="4" t="s">
        <v>24</v>
      </c>
      <c r="F1572" s="4" t="s">
        <v>25</v>
      </c>
      <c r="G1572" s="4" t="s">
        <v>25</v>
      </c>
      <c r="H1572" s="4" t="s">
        <v>38</v>
      </c>
      <c r="I1572" s="5">
        <v>44440</v>
      </c>
      <c r="J1572" s="6">
        <v>0</v>
      </c>
      <c r="K1572" s="6">
        <v>0</v>
      </c>
      <c r="L1572" s="6">
        <v>37.554000000000002</v>
      </c>
      <c r="M1572" s="6">
        <v>37.554000000000002</v>
      </c>
      <c r="N1572" s="6">
        <v>37.554000000000002</v>
      </c>
      <c r="O1572" s="6">
        <v>37.554000000000002</v>
      </c>
      <c r="P1572" s="6">
        <v>0</v>
      </c>
      <c r="Q1572" s="4" t="s">
        <v>26</v>
      </c>
      <c r="R1572" s="4">
        <v>0</v>
      </c>
      <c r="S1572" s="6">
        <v>0</v>
      </c>
      <c r="T1572" s="6">
        <v>12</v>
      </c>
      <c r="U1572" s="6">
        <v>64</v>
      </c>
      <c r="V1572" s="6">
        <f>IF(ISERROR(VLOOKUP($S$1572,'TAR FIN'!$A$1:$O$95,15,0)),0,VLOOKUP($S$1572,'TAR FIN'!$A$1:$O$95,15,0))</f>
        <v>0</v>
      </c>
      <c r="W1572" s="6">
        <f>IF(ISERROR(VLOOKUP($T$1572,'TAR FIN'!$A$1:$O$95,15,0)),0,VLOOKUP($T$1572,'TAR FIN'!$A$1:$O$95,15,0))</f>
        <v>356.74</v>
      </c>
      <c r="X1572" s="6">
        <f>IF(ISERROR(VLOOKUP($U$1572,'TAR FIN'!$A$1:$O$95,15,0)),0,VLOOKUP($U$1572,'TAR FIN'!$A$1:$O$95,15,0))</f>
        <v>230.03</v>
      </c>
      <c r="Y1572" s="6"/>
      <c r="Z1572" s="6">
        <f ca="1">('TUSD BE'!$AM$24+'TUSD BF'!$AM$24+'TUSD CVA'!$AM$24)*1</f>
        <v>401.9290753512177</v>
      </c>
      <c r="AA1572" s="6">
        <f>('TE BE'!$AA$12+'TE BF'!$AA$12+'TE CVA'!$AA$12)*1</f>
        <v>282.91739971702214</v>
      </c>
      <c r="AB1572" s="6">
        <f>$K$1572*$V$1572</f>
        <v>0</v>
      </c>
      <c r="AC1572" s="6">
        <f>$M$1572*$W$1572</f>
        <v>13397.01396</v>
      </c>
      <c r="AD1572" s="6">
        <f>$O$1572*$X$1572</f>
        <v>8638.546620000001</v>
      </c>
      <c r="AE1572" s="6">
        <f>$K$1572*$Y$1572</f>
        <v>0</v>
      </c>
      <c r="AF1572" s="6">
        <f ca="1">$M$1572*$Z$1572</f>
        <v>15094.04449573963</v>
      </c>
      <c r="AG1572" s="6">
        <f>$O$1572*$AA$1572</f>
        <v>10624.680028973049</v>
      </c>
    </row>
    <row r="1573" spans="1:33" ht="11.25" customHeight="1" x14ac:dyDescent="0.25">
      <c r="A1573" s="4" t="s">
        <v>27</v>
      </c>
      <c r="B1573" s="4" t="s">
        <v>22</v>
      </c>
      <c r="C1573" s="4" t="s">
        <v>39</v>
      </c>
      <c r="D1573" s="4" t="s">
        <v>24</v>
      </c>
      <c r="E1573" s="4" t="s">
        <v>24</v>
      </c>
      <c r="F1573" s="4" t="s">
        <v>25</v>
      </c>
      <c r="G1573" s="4" t="s">
        <v>25</v>
      </c>
      <c r="H1573" s="4" t="s">
        <v>38</v>
      </c>
      <c r="I1573" s="5">
        <v>44440</v>
      </c>
      <c r="J1573" s="6">
        <v>0</v>
      </c>
      <c r="K1573" s="6">
        <v>0</v>
      </c>
      <c r="L1573" s="6">
        <v>0.36599999999999999</v>
      </c>
      <c r="M1573" s="6">
        <v>0.36599999999999999</v>
      </c>
      <c r="N1573" s="6">
        <v>0.36599999999999999</v>
      </c>
      <c r="O1573" s="6">
        <v>0.36599999999999999</v>
      </c>
      <c r="P1573" s="6">
        <v>0</v>
      </c>
      <c r="Q1573" s="4" t="s">
        <v>26</v>
      </c>
      <c r="R1573" s="4">
        <v>0</v>
      </c>
      <c r="S1573" s="6">
        <v>0</v>
      </c>
      <c r="T1573" s="6">
        <v>12</v>
      </c>
      <c r="U1573" s="6">
        <v>64</v>
      </c>
      <c r="V1573" s="6">
        <f>IF(ISERROR(VLOOKUP($S$1573,'TAR FIN'!$A$1:$O$95,15,0)),0,VLOOKUP($S$1573,'TAR FIN'!$A$1:$O$95,15,0))</f>
        <v>0</v>
      </c>
      <c r="W1573" s="6">
        <f>IF(ISERROR(VLOOKUP($T$1573,'TAR FIN'!$A$1:$O$95,15,0)),0,VLOOKUP($T$1573,'TAR FIN'!$A$1:$O$95,15,0))</f>
        <v>356.74</v>
      </c>
      <c r="X1573" s="6">
        <f>IF(ISERROR(VLOOKUP($U$1573,'TAR FIN'!$A$1:$O$95,15,0)),0,VLOOKUP($U$1573,'TAR FIN'!$A$1:$O$95,15,0))</f>
        <v>230.03</v>
      </c>
      <c r="Y1573" s="6"/>
      <c r="Z1573" s="6">
        <f ca="1">('TUSD BE'!$AM$24+'TUSD BF'!$AM$24+'TUSD CVA'!$AM$24)*1</f>
        <v>401.9290753512177</v>
      </c>
      <c r="AA1573" s="6">
        <f>('TE BE'!$AA$12+'TE BF'!$AA$12+'TE CVA'!$AA$12)*1</f>
        <v>282.91739971702214</v>
      </c>
      <c r="AB1573" s="6">
        <f>$K$1573*$V$1573</f>
        <v>0</v>
      </c>
      <c r="AC1573" s="6">
        <f>$M$1573*$W$1573</f>
        <v>130.56684000000001</v>
      </c>
      <c r="AD1573" s="6">
        <f>$O$1573*$X$1573</f>
        <v>84.190979999999996</v>
      </c>
      <c r="AE1573" s="6">
        <f>$K$1573*$Y$1573</f>
        <v>0</v>
      </c>
      <c r="AF1573" s="6">
        <f ca="1">$M$1573*$Z$1573</f>
        <v>147.10604157854567</v>
      </c>
      <c r="AG1573" s="6">
        <f>$O$1573*$AA$1573</f>
        <v>103.54776829643009</v>
      </c>
    </row>
    <row r="1574" spans="1:33" ht="11.25" customHeight="1" x14ac:dyDescent="0.25">
      <c r="A1574" s="4" t="s">
        <v>28</v>
      </c>
      <c r="B1574" s="4" t="s">
        <v>22</v>
      </c>
      <c r="C1574" s="4" t="s">
        <v>39</v>
      </c>
      <c r="D1574" s="4" t="s">
        <v>24</v>
      </c>
      <c r="E1574" s="4" t="s">
        <v>24</v>
      </c>
      <c r="F1574" s="4" t="s">
        <v>25</v>
      </c>
      <c r="G1574" s="4" t="s">
        <v>25</v>
      </c>
      <c r="H1574" s="4" t="s">
        <v>38</v>
      </c>
      <c r="I1574" s="5">
        <v>44440</v>
      </c>
      <c r="J1574" s="6">
        <v>0</v>
      </c>
      <c r="K1574" s="6">
        <v>0</v>
      </c>
      <c r="L1574" s="6">
        <v>3.7650000000000001</v>
      </c>
      <c r="M1574" s="6">
        <v>3.7650000000000001</v>
      </c>
      <c r="N1574" s="6">
        <v>3.7650000000000001</v>
      </c>
      <c r="O1574" s="6">
        <v>3.7650000000000001</v>
      </c>
      <c r="P1574" s="6">
        <v>0</v>
      </c>
      <c r="Q1574" s="4" t="s">
        <v>26</v>
      </c>
      <c r="R1574" s="4">
        <v>0</v>
      </c>
      <c r="S1574" s="6">
        <v>0</v>
      </c>
      <c r="T1574" s="6">
        <v>12</v>
      </c>
      <c r="U1574" s="6">
        <v>64</v>
      </c>
      <c r="V1574" s="6">
        <f>IF(ISERROR(VLOOKUP($S$1574,'TAR FIN'!$A$1:$O$95,15,0)),0,VLOOKUP($S$1574,'TAR FIN'!$A$1:$O$95,15,0))</f>
        <v>0</v>
      </c>
      <c r="W1574" s="6">
        <f>IF(ISERROR(VLOOKUP($T$1574,'TAR FIN'!$A$1:$O$95,15,0)),0,VLOOKUP($T$1574,'TAR FIN'!$A$1:$O$95,15,0))</f>
        <v>356.74</v>
      </c>
      <c r="X1574" s="6">
        <f>IF(ISERROR(VLOOKUP($U$1574,'TAR FIN'!$A$1:$O$95,15,0)),0,VLOOKUP($U$1574,'TAR FIN'!$A$1:$O$95,15,0))</f>
        <v>230.03</v>
      </c>
      <c r="Y1574" s="6"/>
      <c r="Z1574" s="6">
        <f ca="1">('TUSD BE'!$AM$24+'TUSD BF'!$AM$24+'TUSD CVA'!$AM$24)*1</f>
        <v>401.9290753512177</v>
      </c>
      <c r="AA1574" s="6">
        <f>('TE BE'!$AA$12+'TE BF'!$AA$12+'TE CVA'!$AA$12)*1</f>
        <v>282.91739971702214</v>
      </c>
      <c r="AB1574" s="6">
        <f>$K$1574*$V$1574</f>
        <v>0</v>
      </c>
      <c r="AC1574" s="6">
        <f>$M$1574*$W$1574</f>
        <v>1343.1261000000002</v>
      </c>
      <c r="AD1574" s="6">
        <f>$O$1574*$X$1574</f>
        <v>866.06295</v>
      </c>
      <c r="AE1574" s="6">
        <f>$K$1574*$Y$1574</f>
        <v>0</v>
      </c>
      <c r="AF1574" s="6">
        <f ca="1">$M$1574*$Z$1574</f>
        <v>1513.2629686973346</v>
      </c>
      <c r="AG1574" s="6">
        <f>$O$1574*$AA$1574</f>
        <v>1065.1840099345884</v>
      </c>
    </row>
    <row r="1575" spans="1:33" ht="11.25" customHeight="1" x14ac:dyDescent="0.25">
      <c r="A1575" s="4" t="s">
        <v>30</v>
      </c>
      <c r="B1575" s="4" t="s">
        <v>22</v>
      </c>
      <c r="C1575" s="4" t="s">
        <v>39</v>
      </c>
      <c r="D1575" s="4" t="s">
        <v>24</v>
      </c>
      <c r="E1575" s="4" t="s">
        <v>24</v>
      </c>
      <c r="F1575" s="4" t="s">
        <v>25</v>
      </c>
      <c r="G1575" s="4" t="s">
        <v>25</v>
      </c>
      <c r="H1575" s="4" t="s">
        <v>38</v>
      </c>
      <c r="I1575" s="5">
        <v>44440</v>
      </c>
      <c r="J1575" s="6">
        <v>0</v>
      </c>
      <c r="K1575" s="6">
        <v>0</v>
      </c>
      <c r="L1575" s="6">
        <v>2.1789999999999998</v>
      </c>
      <c r="M1575" s="6">
        <v>2.1789999999999998</v>
      </c>
      <c r="N1575" s="6">
        <v>2.1789999999999998</v>
      </c>
      <c r="O1575" s="6">
        <v>2.1789999999999998</v>
      </c>
      <c r="P1575" s="6">
        <v>0</v>
      </c>
      <c r="Q1575" s="4" t="s">
        <v>26</v>
      </c>
      <c r="R1575" s="4">
        <v>0</v>
      </c>
      <c r="S1575" s="6">
        <v>0</v>
      </c>
      <c r="T1575" s="6">
        <v>12</v>
      </c>
      <c r="U1575" s="6">
        <v>64</v>
      </c>
      <c r="V1575" s="6">
        <f>IF(ISERROR(VLOOKUP($S$1575,'TAR FIN'!$A$1:$O$95,15,0)),0,VLOOKUP($S$1575,'TAR FIN'!$A$1:$O$95,15,0))</f>
        <v>0</v>
      </c>
      <c r="W1575" s="6">
        <f>IF(ISERROR(VLOOKUP($T$1575,'TAR FIN'!$A$1:$O$95,15,0)),0,VLOOKUP($T$1575,'TAR FIN'!$A$1:$O$95,15,0))</f>
        <v>356.74</v>
      </c>
      <c r="X1575" s="6">
        <f>IF(ISERROR(VLOOKUP($U$1575,'TAR FIN'!$A$1:$O$95,15,0)),0,VLOOKUP($U$1575,'TAR FIN'!$A$1:$O$95,15,0))</f>
        <v>230.03</v>
      </c>
      <c r="Y1575" s="6"/>
      <c r="Z1575" s="6">
        <f ca="1">('TUSD BE'!$AM$24+'TUSD BF'!$AM$24+'TUSD CVA'!$AM$24)*1</f>
        <v>401.9290753512177</v>
      </c>
      <c r="AA1575" s="6">
        <f>('TE BE'!$AA$12+'TE BF'!$AA$12+'TE CVA'!$AA$12)*1</f>
        <v>282.91739971702214</v>
      </c>
      <c r="AB1575" s="6">
        <f>$K$1575*$V$1575</f>
        <v>0</v>
      </c>
      <c r="AC1575" s="6">
        <f>$M$1575*$W$1575</f>
        <v>777.33645999999999</v>
      </c>
      <c r="AD1575" s="6">
        <f>$O$1575*$X$1575</f>
        <v>501.23536999999999</v>
      </c>
      <c r="AE1575" s="6">
        <f>$K$1575*$Y$1575</f>
        <v>0</v>
      </c>
      <c r="AF1575" s="6">
        <f ca="1">$M$1575*$Z$1575</f>
        <v>875.80345519030334</v>
      </c>
      <c r="AG1575" s="6">
        <f>$O$1575*$AA$1575</f>
        <v>616.4770139833912</v>
      </c>
    </row>
    <row r="1576" spans="1:33" ht="11.25" customHeight="1" x14ac:dyDescent="0.25">
      <c r="A1576" s="4" t="s">
        <v>59</v>
      </c>
      <c r="B1576" s="4" t="s">
        <v>22</v>
      </c>
      <c r="C1576" s="4" t="s">
        <v>39</v>
      </c>
      <c r="D1576" s="4" t="s">
        <v>24</v>
      </c>
      <c r="E1576" s="4" t="s">
        <v>24</v>
      </c>
      <c r="F1576" s="4" t="s">
        <v>25</v>
      </c>
      <c r="G1576" s="4" t="s">
        <v>25</v>
      </c>
      <c r="H1576" s="4" t="s">
        <v>38</v>
      </c>
      <c r="I1576" s="5">
        <v>44470</v>
      </c>
      <c r="J1576" s="6">
        <v>0</v>
      </c>
      <c r="K1576" s="6">
        <v>0</v>
      </c>
      <c r="L1576" s="6">
        <v>37.554000000000002</v>
      </c>
      <c r="M1576" s="6">
        <v>37.554000000000002</v>
      </c>
      <c r="N1576" s="6">
        <v>37.554000000000002</v>
      </c>
      <c r="O1576" s="6">
        <v>37.554000000000002</v>
      </c>
      <c r="P1576" s="6">
        <v>0</v>
      </c>
      <c r="Q1576" s="4" t="s">
        <v>26</v>
      </c>
      <c r="R1576" s="4">
        <v>0</v>
      </c>
      <c r="S1576" s="6">
        <v>0</v>
      </c>
      <c r="T1576" s="6">
        <v>12</v>
      </c>
      <c r="U1576" s="6">
        <v>64</v>
      </c>
      <c r="V1576" s="6">
        <f>IF(ISERROR(VLOOKUP($S$1576,'TAR FIN'!$A$1:$O$95,15,0)),0,VLOOKUP($S$1576,'TAR FIN'!$A$1:$O$95,15,0))</f>
        <v>0</v>
      </c>
      <c r="W1576" s="6">
        <f>IF(ISERROR(VLOOKUP($T$1576,'TAR FIN'!$A$1:$O$95,15,0)),0,VLOOKUP($T$1576,'TAR FIN'!$A$1:$O$95,15,0))</f>
        <v>356.74</v>
      </c>
      <c r="X1576" s="6">
        <f>IF(ISERROR(VLOOKUP($U$1576,'TAR FIN'!$A$1:$O$95,15,0)),0,VLOOKUP($U$1576,'TAR FIN'!$A$1:$O$95,15,0))</f>
        <v>230.03</v>
      </c>
      <c r="Y1576" s="6"/>
      <c r="Z1576" s="6">
        <f ca="1">('TUSD BE'!$AM$24+'TUSD BF'!$AM$24+'TUSD CVA'!$AM$24)*1</f>
        <v>401.9290753512177</v>
      </c>
      <c r="AA1576" s="6">
        <f>('TE BE'!$AA$12+'TE BF'!$AA$12+'TE CVA'!$AA$12)*1</f>
        <v>282.91739971702214</v>
      </c>
      <c r="AB1576" s="6">
        <f>$K$1576*$V$1576</f>
        <v>0</v>
      </c>
      <c r="AC1576" s="6">
        <f>$M$1576*$W$1576</f>
        <v>13397.01396</v>
      </c>
      <c r="AD1576" s="6">
        <f>$O$1576*$X$1576</f>
        <v>8638.546620000001</v>
      </c>
      <c r="AE1576" s="6">
        <f>$K$1576*$Y$1576</f>
        <v>0</v>
      </c>
      <c r="AF1576" s="6">
        <f ca="1">$M$1576*$Z$1576</f>
        <v>15094.04449573963</v>
      </c>
      <c r="AG1576" s="6">
        <f>$O$1576*$AA$1576</f>
        <v>10624.680028973049</v>
      </c>
    </row>
    <row r="1577" spans="1:33" ht="11.25" customHeight="1" x14ac:dyDescent="0.25">
      <c r="A1577" s="4" t="s">
        <v>59</v>
      </c>
      <c r="B1577" s="4" t="s">
        <v>22</v>
      </c>
      <c r="C1577" s="4" t="s">
        <v>39</v>
      </c>
      <c r="D1577" s="4" t="s">
        <v>24</v>
      </c>
      <c r="E1577" s="4" t="s">
        <v>24</v>
      </c>
      <c r="F1577" s="4" t="s">
        <v>25</v>
      </c>
      <c r="G1577" s="4" t="s">
        <v>25</v>
      </c>
      <c r="H1577" s="4" t="s">
        <v>38</v>
      </c>
      <c r="I1577" s="5">
        <v>44470</v>
      </c>
      <c r="J1577" s="6">
        <v>0</v>
      </c>
      <c r="K1577" s="6">
        <v>0</v>
      </c>
      <c r="L1577" s="6">
        <v>0.36599999999999999</v>
      </c>
      <c r="M1577" s="6">
        <v>0.36599999999999999</v>
      </c>
      <c r="N1577" s="6">
        <v>0.36599999999999999</v>
      </c>
      <c r="O1577" s="6">
        <v>0.36599999999999999</v>
      </c>
      <c r="P1577" s="6">
        <v>0</v>
      </c>
      <c r="Q1577" s="4" t="s">
        <v>26</v>
      </c>
      <c r="R1577" s="4">
        <v>0</v>
      </c>
      <c r="S1577" s="6">
        <v>0</v>
      </c>
      <c r="T1577" s="6">
        <v>12</v>
      </c>
      <c r="U1577" s="6">
        <v>64</v>
      </c>
      <c r="V1577" s="6">
        <f>IF(ISERROR(VLOOKUP($S$1577,'TAR FIN'!$A$1:$O$95,15,0)),0,VLOOKUP($S$1577,'TAR FIN'!$A$1:$O$95,15,0))</f>
        <v>0</v>
      </c>
      <c r="W1577" s="6">
        <f>IF(ISERROR(VLOOKUP($T$1577,'TAR FIN'!$A$1:$O$95,15,0)),0,VLOOKUP($T$1577,'TAR FIN'!$A$1:$O$95,15,0))</f>
        <v>356.74</v>
      </c>
      <c r="X1577" s="6">
        <f>IF(ISERROR(VLOOKUP($U$1577,'TAR FIN'!$A$1:$O$95,15,0)),0,VLOOKUP($U$1577,'TAR FIN'!$A$1:$O$95,15,0))</f>
        <v>230.03</v>
      </c>
      <c r="Y1577" s="6"/>
      <c r="Z1577" s="6">
        <f ca="1">('TUSD BE'!$AM$24+'TUSD BF'!$AM$24+'TUSD CVA'!$AM$24)*1</f>
        <v>401.9290753512177</v>
      </c>
      <c r="AA1577" s="6">
        <f>('TE BE'!$AA$12+'TE BF'!$AA$12+'TE CVA'!$AA$12)*1</f>
        <v>282.91739971702214</v>
      </c>
      <c r="AB1577" s="6">
        <f>$K$1577*$V$1577</f>
        <v>0</v>
      </c>
      <c r="AC1577" s="6">
        <f>$M$1577*$W$1577</f>
        <v>130.56684000000001</v>
      </c>
      <c r="AD1577" s="6">
        <f>$O$1577*$X$1577</f>
        <v>84.190979999999996</v>
      </c>
      <c r="AE1577" s="6">
        <f>$K$1577*$Y$1577</f>
        <v>0</v>
      </c>
      <c r="AF1577" s="6">
        <f ca="1">$M$1577*$Z$1577</f>
        <v>147.10604157854567</v>
      </c>
      <c r="AG1577" s="6">
        <f>$O$1577*$AA$1577</f>
        <v>103.54776829643009</v>
      </c>
    </row>
    <row r="1578" spans="1:33" ht="11.25" customHeight="1" x14ac:dyDescent="0.25">
      <c r="A1578" s="4" t="s">
        <v>59</v>
      </c>
      <c r="B1578" s="4" t="s">
        <v>22</v>
      </c>
      <c r="C1578" s="4" t="s">
        <v>39</v>
      </c>
      <c r="D1578" s="4" t="s">
        <v>24</v>
      </c>
      <c r="E1578" s="4" t="s">
        <v>24</v>
      </c>
      <c r="F1578" s="4" t="s">
        <v>25</v>
      </c>
      <c r="G1578" s="4" t="s">
        <v>25</v>
      </c>
      <c r="H1578" s="4" t="s">
        <v>38</v>
      </c>
      <c r="I1578" s="5">
        <v>44470</v>
      </c>
      <c r="J1578" s="6">
        <v>0</v>
      </c>
      <c r="K1578" s="6">
        <v>0</v>
      </c>
      <c r="L1578" s="6">
        <v>3.7650000000000001</v>
      </c>
      <c r="M1578" s="6">
        <v>3.7650000000000001</v>
      </c>
      <c r="N1578" s="6">
        <v>3.7650000000000001</v>
      </c>
      <c r="O1578" s="6">
        <v>3.7650000000000001</v>
      </c>
      <c r="P1578" s="6">
        <v>0</v>
      </c>
      <c r="Q1578" s="4" t="s">
        <v>26</v>
      </c>
      <c r="R1578" s="4">
        <v>0</v>
      </c>
      <c r="S1578" s="6">
        <v>0</v>
      </c>
      <c r="T1578" s="6">
        <v>12</v>
      </c>
      <c r="U1578" s="6">
        <v>64</v>
      </c>
      <c r="V1578" s="6">
        <f>IF(ISERROR(VLOOKUP($S$1578,'TAR FIN'!$A$1:$O$95,15,0)),0,VLOOKUP($S$1578,'TAR FIN'!$A$1:$O$95,15,0))</f>
        <v>0</v>
      </c>
      <c r="W1578" s="6">
        <f>IF(ISERROR(VLOOKUP($T$1578,'TAR FIN'!$A$1:$O$95,15,0)),0,VLOOKUP($T$1578,'TAR FIN'!$A$1:$O$95,15,0))</f>
        <v>356.74</v>
      </c>
      <c r="X1578" s="6">
        <f>IF(ISERROR(VLOOKUP($U$1578,'TAR FIN'!$A$1:$O$95,15,0)),0,VLOOKUP($U$1578,'TAR FIN'!$A$1:$O$95,15,0))</f>
        <v>230.03</v>
      </c>
      <c r="Y1578" s="6"/>
      <c r="Z1578" s="6">
        <f ca="1">('TUSD BE'!$AM$24+'TUSD BF'!$AM$24+'TUSD CVA'!$AM$24)*1</f>
        <v>401.9290753512177</v>
      </c>
      <c r="AA1578" s="6">
        <f>('TE BE'!$AA$12+'TE BF'!$AA$12+'TE CVA'!$AA$12)*1</f>
        <v>282.91739971702214</v>
      </c>
      <c r="AB1578" s="6">
        <f>$K$1578*$V$1578</f>
        <v>0</v>
      </c>
      <c r="AC1578" s="6">
        <f>$M$1578*$W$1578</f>
        <v>1343.1261000000002</v>
      </c>
      <c r="AD1578" s="6">
        <f>$O$1578*$X$1578</f>
        <v>866.06295</v>
      </c>
      <c r="AE1578" s="6">
        <f>$K$1578*$Y$1578</f>
        <v>0</v>
      </c>
      <c r="AF1578" s="6">
        <f ca="1">$M$1578*$Z$1578</f>
        <v>1513.2629686973346</v>
      </c>
      <c r="AG1578" s="6">
        <f>$O$1578*$AA$1578</f>
        <v>1065.1840099345884</v>
      </c>
    </row>
    <row r="1579" spans="1:33" ht="11.25" customHeight="1" x14ac:dyDescent="0.25">
      <c r="A1579" s="4" t="s">
        <v>59</v>
      </c>
      <c r="B1579" s="4" t="s">
        <v>22</v>
      </c>
      <c r="C1579" s="4" t="s">
        <v>39</v>
      </c>
      <c r="D1579" s="4" t="s">
        <v>24</v>
      </c>
      <c r="E1579" s="4" t="s">
        <v>24</v>
      </c>
      <c r="F1579" s="4" t="s">
        <v>25</v>
      </c>
      <c r="G1579" s="4" t="s">
        <v>25</v>
      </c>
      <c r="H1579" s="4" t="s">
        <v>38</v>
      </c>
      <c r="I1579" s="5">
        <v>44470</v>
      </c>
      <c r="J1579" s="6">
        <v>0</v>
      </c>
      <c r="K1579" s="6">
        <v>0</v>
      </c>
      <c r="L1579" s="6">
        <v>2.1789999999999998</v>
      </c>
      <c r="M1579" s="6">
        <v>2.1789999999999998</v>
      </c>
      <c r="N1579" s="6">
        <v>2.1789999999999998</v>
      </c>
      <c r="O1579" s="6">
        <v>2.1789999999999998</v>
      </c>
      <c r="P1579" s="6">
        <v>0</v>
      </c>
      <c r="Q1579" s="4" t="s">
        <v>26</v>
      </c>
      <c r="R1579" s="4">
        <v>0</v>
      </c>
      <c r="S1579" s="6">
        <v>0</v>
      </c>
      <c r="T1579" s="6">
        <v>12</v>
      </c>
      <c r="U1579" s="6">
        <v>64</v>
      </c>
      <c r="V1579" s="6">
        <f>IF(ISERROR(VLOOKUP($S$1579,'TAR FIN'!$A$1:$O$95,15,0)),0,VLOOKUP($S$1579,'TAR FIN'!$A$1:$O$95,15,0))</f>
        <v>0</v>
      </c>
      <c r="W1579" s="6">
        <f>IF(ISERROR(VLOOKUP($T$1579,'TAR FIN'!$A$1:$O$95,15,0)),0,VLOOKUP($T$1579,'TAR FIN'!$A$1:$O$95,15,0))</f>
        <v>356.74</v>
      </c>
      <c r="X1579" s="6">
        <f>IF(ISERROR(VLOOKUP($U$1579,'TAR FIN'!$A$1:$O$95,15,0)),0,VLOOKUP($U$1579,'TAR FIN'!$A$1:$O$95,15,0))</f>
        <v>230.03</v>
      </c>
      <c r="Y1579" s="6"/>
      <c r="Z1579" s="6">
        <f ca="1">('TUSD BE'!$AM$24+'TUSD BF'!$AM$24+'TUSD CVA'!$AM$24)*1</f>
        <v>401.9290753512177</v>
      </c>
      <c r="AA1579" s="6">
        <f>('TE BE'!$AA$12+'TE BF'!$AA$12+'TE CVA'!$AA$12)*1</f>
        <v>282.91739971702214</v>
      </c>
      <c r="AB1579" s="6">
        <f>$K$1579*$V$1579</f>
        <v>0</v>
      </c>
      <c r="AC1579" s="6">
        <f>$M$1579*$W$1579</f>
        <v>777.33645999999999</v>
      </c>
      <c r="AD1579" s="6">
        <f>$O$1579*$X$1579</f>
        <v>501.23536999999999</v>
      </c>
      <c r="AE1579" s="6">
        <f>$K$1579*$Y$1579</f>
        <v>0</v>
      </c>
      <c r="AF1579" s="6">
        <f ca="1">$M$1579*$Z$1579</f>
        <v>875.80345519030334</v>
      </c>
      <c r="AG1579" s="6">
        <f>$O$1579*$AA$1579</f>
        <v>616.4770139833912</v>
      </c>
    </row>
    <row r="1580" spans="1:33" ht="11.25" customHeight="1" x14ac:dyDescent="0.25">
      <c r="A1580" s="4" t="s">
        <v>21</v>
      </c>
      <c r="B1580" s="4" t="s">
        <v>22</v>
      </c>
      <c r="C1580" s="4" t="s">
        <v>39</v>
      </c>
      <c r="D1580" s="4" t="s">
        <v>24</v>
      </c>
      <c r="E1580" s="4" t="s">
        <v>24</v>
      </c>
      <c r="F1580" s="4" t="s">
        <v>25</v>
      </c>
      <c r="G1580" s="4" t="s">
        <v>25</v>
      </c>
      <c r="H1580" s="4" t="s">
        <v>40</v>
      </c>
      <c r="I1580" s="5">
        <v>44136</v>
      </c>
      <c r="J1580" s="6">
        <v>0</v>
      </c>
      <c r="K1580" s="6">
        <v>0</v>
      </c>
      <c r="L1580" s="6">
        <v>2.117</v>
      </c>
      <c r="M1580" s="6">
        <v>2.117</v>
      </c>
      <c r="N1580" s="6">
        <v>2.117</v>
      </c>
      <c r="O1580" s="6">
        <v>2.117</v>
      </c>
      <c r="P1580" s="6">
        <v>0</v>
      </c>
      <c r="Q1580" s="4" t="s">
        <v>26</v>
      </c>
      <c r="R1580" s="4">
        <v>0</v>
      </c>
      <c r="S1580" s="6">
        <v>0</v>
      </c>
      <c r="T1580" s="6">
        <v>11</v>
      </c>
      <c r="U1580" s="6">
        <v>63</v>
      </c>
      <c r="V1580" s="6">
        <f>IF(ISERROR(VLOOKUP($S$1580,'TAR FIN'!$A$1:$O$95,15,0)),0,VLOOKUP($S$1580,'TAR FIN'!$A$1:$O$95,15,0))</f>
        <v>0</v>
      </c>
      <c r="W1580" s="6">
        <f>IF(ISERROR(VLOOKUP($T$1580,'TAR FIN'!$A$1:$O$95,15,0)),0,VLOOKUP($T$1580,'TAR FIN'!$A$1:$O$95,15,0))</f>
        <v>661.68</v>
      </c>
      <c r="X1580" s="6">
        <f>IF(ISERROR(VLOOKUP($U$1580,'TAR FIN'!$A$1:$O$95,15,0)),0,VLOOKUP($U$1580,'TAR FIN'!$A$1:$O$95,15,0))</f>
        <v>230.03</v>
      </c>
      <c r="Y1580" s="6"/>
      <c r="Z1580" s="6">
        <f ca="1">('TUSD BE'!$AM$23+'TUSD BF'!$AM$23+'TUSD CVA'!$AM$23)*1</f>
        <v>743.22507649683655</v>
      </c>
      <c r="AA1580" s="6">
        <f>('TE BE'!$AA$11+'TE BF'!$AA$11+'TE CVA'!$AA$11)*1</f>
        <v>282.91739971702214</v>
      </c>
      <c r="AB1580" s="6">
        <f>$K$1580*$V$1580</f>
        <v>0</v>
      </c>
      <c r="AC1580" s="6">
        <f>$M$1580*$W$1580</f>
        <v>1400.7765599999998</v>
      </c>
      <c r="AD1580" s="6">
        <f>$O$1580*$X$1580</f>
        <v>486.97350999999998</v>
      </c>
      <c r="AE1580" s="6">
        <f>$K$1580*$Y$1580</f>
        <v>0</v>
      </c>
      <c r="AF1580" s="6">
        <f ca="1">$M$1580*$Z$1580</f>
        <v>1573.407486943803</v>
      </c>
      <c r="AG1580" s="6">
        <f>$O$1580*$AA$1580</f>
        <v>598.93613520093584</v>
      </c>
    </row>
    <row r="1581" spans="1:33" ht="11.25" customHeight="1" x14ac:dyDescent="0.25">
      <c r="A1581" s="4" t="s">
        <v>27</v>
      </c>
      <c r="B1581" s="4" t="s">
        <v>22</v>
      </c>
      <c r="C1581" s="4" t="s">
        <v>39</v>
      </c>
      <c r="D1581" s="4" t="s">
        <v>24</v>
      </c>
      <c r="E1581" s="4" t="s">
        <v>24</v>
      </c>
      <c r="F1581" s="4" t="s">
        <v>25</v>
      </c>
      <c r="G1581" s="4" t="s">
        <v>25</v>
      </c>
      <c r="H1581" s="4" t="s">
        <v>40</v>
      </c>
      <c r="I1581" s="5">
        <v>44136</v>
      </c>
      <c r="J1581" s="6">
        <v>0</v>
      </c>
      <c r="K1581" s="6">
        <v>0</v>
      </c>
      <c r="L1581" s="6">
        <v>2.8000000000000001E-2</v>
      </c>
      <c r="M1581" s="6">
        <v>2.8000000000000001E-2</v>
      </c>
      <c r="N1581" s="6">
        <v>2.8000000000000001E-2</v>
      </c>
      <c r="O1581" s="6">
        <v>2.8000000000000001E-2</v>
      </c>
      <c r="P1581" s="6">
        <v>0</v>
      </c>
      <c r="Q1581" s="4" t="s">
        <v>26</v>
      </c>
      <c r="R1581" s="4">
        <v>0</v>
      </c>
      <c r="S1581" s="6">
        <v>0</v>
      </c>
      <c r="T1581" s="6">
        <v>11</v>
      </c>
      <c r="U1581" s="6">
        <v>63</v>
      </c>
      <c r="V1581" s="6">
        <f>IF(ISERROR(VLOOKUP($S$1581,'TAR FIN'!$A$1:$O$95,15,0)),0,VLOOKUP($S$1581,'TAR FIN'!$A$1:$O$95,15,0))</f>
        <v>0</v>
      </c>
      <c r="W1581" s="6">
        <f>IF(ISERROR(VLOOKUP($T$1581,'TAR FIN'!$A$1:$O$95,15,0)),0,VLOOKUP($T$1581,'TAR FIN'!$A$1:$O$95,15,0))</f>
        <v>661.68</v>
      </c>
      <c r="X1581" s="6">
        <f>IF(ISERROR(VLOOKUP($U$1581,'TAR FIN'!$A$1:$O$95,15,0)),0,VLOOKUP($U$1581,'TAR FIN'!$A$1:$O$95,15,0))</f>
        <v>230.03</v>
      </c>
      <c r="Y1581" s="6"/>
      <c r="Z1581" s="6">
        <f ca="1">('TUSD BE'!$AM$23+'TUSD BF'!$AM$23+'TUSD CVA'!$AM$23)*1</f>
        <v>743.22507649683655</v>
      </c>
      <c r="AA1581" s="6">
        <f>('TE BE'!$AA$11+'TE BF'!$AA$11+'TE CVA'!$AA$11)*1</f>
        <v>282.91739971702214</v>
      </c>
      <c r="AB1581" s="6">
        <f>$K$1581*$V$1581</f>
        <v>0</v>
      </c>
      <c r="AC1581" s="6">
        <f>$M$1581*$W$1581</f>
        <v>18.52704</v>
      </c>
      <c r="AD1581" s="6">
        <f>$O$1581*$X$1581</f>
        <v>6.4408400000000006</v>
      </c>
      <c r="AE1581" s="6">
        <f>$K$1581*$Y$1581</f>
        <v>0</v>
      </c>
      <c r="AF1581" s="6">
        <f ca="1">$M$1581*$Z$1581</f>
        <v>20.810302141911425</v>
      </c>
      <c r="AG1581" s="6">
        <f>$O$1581*$AA$1581</f>
        <v>7.9216871920766199</v>
      </c>
    </row>
    <row r="1582" spans="1:33" ht="11.25" customHeight="1" x14ac:dyDescent="0.25">
      <c r="A1582" s="4" t="s">
        <v>28</v>
      </c>
      <c r="B1582" s="4" t="s">
        <v>22</v>
      </c>
      <c r="C1582" s="4" t="s">
        <v>39</v>
      </c>
      <c r="D1582" s="4" t="s">
        <v>24</v>
      </c>
      <c r="E1582" s="4" t="s">
        <v>24</v>
      </c>
      <c r="F1582" s="4" t="s">
        <v>25</v>
      </c>
      <c r="G1582" s="4" t="s">
        <v>25</v>
      </c>
      <c r="H1582" s="4" t="s">
        <v>40</v>
      </c>
      <c r="I1582" s="5">
        <v>44136</v>
      </c>
      <c r="J1582" s="6">
        <v>0</v>
      </c>
      <c r="K1582" s="6">
        <v>0</v>
      </c>
      <c r="L1582" s="6">
        <v>0.128</v>
      </c>
      <c r="M1582" s="6">
        <v>0.128</v>
      </c>
      <c r="N1582" s="6">
        <v>0.128</v>
      </c>
      <c r="O1582" s="6">
        <v>0.128</v>
      </c>
      <c r="P1582" s="6">
        <v>0</v>
      </c>
      <c r="Q1582" s="4" t="s">
        <v>26</v>
      </c>
      <c r="R1582" s="4">
        <v>0</v>
      </c>
      <c r="S1582" s="6">
        <v>0</v>
      </c>
      <c r="T1582" s="6">
        <v>11</v>
      </c>
      <c r="U1582" s="6">
        <v>63</v>
      </c>
      <c r="V1582" s="6">
        <f>IF(ISERROR(VLOOKUP($S$1582,'TAR FIN'!$A$1:$O$95,15,0)),0,VLOOKUP($S$1582,'TAR FIN'!$A$1:$O$95,15,0))</f>
        <v>0</v>
      </c>
      <c r="W1582" s="6">
        <f>IF(ISERROR(VLOOKUP($T$1582,'TAR FIN'!$A$1:$O$95,15,0)),0,VLOOKUP($T$1582,'TAR FIN'!$A$1:$O$95,15,0))</f>
        <v>661.68</v>
      </c>
      <c r="X1582" s="6">
        <f>IF(ISERROR(VLOOKUP($U$1582,'TAR FIN'!$A$1:$O$95,15,0)),0,VLOOKUP($U$1582,'TAR FIN'!$A$1:$O$95,15,0))</f>
        <v>230.03</v>
      </c>
      <c r="Y1582" s="6"/>
      <c r="Z1582" s="6">
        <f ca="1">('TUSD BE'!$AM$23+'TUSD BF'!$AM$23+'TUSD CVA'!$AM$23)*1</f>
        <v>743.22507649683655</v>
      </c>
      <c r="AA1582" s="6">
        <f>('TE BE'!$AA$11+'TE BF'!$AA$11+'TE CVA'!$AA$11)*1</f>
        <v>282.91739971702214</v>
      </c>
      <c r="AB1582" s="6">
        <f>$K$1582*$V$1582</f>
        <v>0</v>
      </c>
      <c r="AC1582" s="6">
        <f>$M$1582*$W$1582</f>
        <v>84.695039999999992</v>
      </c>
      <c r="AD1582" s="6">
        <f>$O$1582*$X$1582</f>
        <v>29.443840000000002</v>
      </c>
      <c r="AE1582" s="6">
        <f>$K$1582*$Y$1582</f>
        <v>0</v>
      </c>
      <c r="AF1582" s="6">
        <f ca="1">$M$1582*$Z$1582</f>
        <v>95.132809791595079</v>
      </c>
      <c r="AG1582" s="6">
        <f>$O$1582*$AA$1582</f>
        <v>36.213427163778832</v>
      </c>
    </row>
    <row r="1583" spans="1:33" ht="11.25" customHeight="1" x14ac:dyDescent="0.25">
      <c r="A1583" s="4" t="s">
        <v>30</v>
      </c>
      <c r="B1583" s="4" t="s">
        <v>22</v>
      </c>
      <c r="C1583" s="4" t="s">
        <v>39</v>
      </c>
      <c r="D1583" s="4" t="s">
        <v>24</v>
      </c>
      <c r="E1583" s="4" t="s">
        <v>24</v>
      </c>
      <c r="F1583" s="4" t="s">
        <v>25</v>
      </c>
      <c r="G1583" s="4" t="s">
        <v>25</v>
      </c>
      <c r="H1583" s="4" t="s">
        <v>40</v>
      </c>
      <c r="I1583" s="5">
        <v>44136</v>
      </c>
      <c r="J1583" s="6">
        <v>0</v>
      </c>
      <c r="K1583" s="6">
        <v>0</v>
      </c>
      <c r="L1583" s="6">
        <v>6.2E-2</v>
      </c>
      <c r="M1583" s="6">
        <v>6.2E-2</v>
      </c>
      <c r="N1583" s="6">
        <v>6.2E-2</v>
      </c>
      <c r="O1583" s="6">
        <v>6.2E-2</v>
      </c>
      <c r="P1583" s="6">
        <v>0</v>
      </c>
      <c r="Q1583" s="4" t="s">
        <v>26</v>
      </c>
      <c r="R1583" s="4">
        <v>0</v>
      </c>
      <c r="S1583" s="6">
        <v>0</v>
      </c>
      <c r="T1583" s="6">
        <v>11</v>
      </c>
      <c r="U1583" s="6">
        <v>63</v>
      </c>
      <c r="V1583" s="6">
        <f>IF(ISERROR(VLOOKUP($S$1583,'TAR FIN'!$A$1:$O$95,15,0)),0,VLOOKUP($S$1583,'TAR FIN'!$A$1:$O$95,15,0))</f>
        <v>0</v>
      </c>
      <c r="W1583" s="6">
        <f>IF(ISERROR(VLOOKUP($T$1583,'TAR FIN'!$A$1:$O$95,15,0)),0,VLOOKUP($T$1583,'TAR FIN'!$A$1:$O$95,15,0))</f>
        <v>661.68</v>
      </c>
      <c r="X1583" s="6">
        <f>IF(ISERROR(VLOOKUP($U$1583,'TAR FIN'!$A$1:$O$95,15,0)),0,VLOOKUP($U$1583,'TAR FIN'!$A$1:$O$95,15,0))</f>
        <v>230.03</v>
      </c>
      <c r="Y1583" s="6"/>
      <c r="Z1583" s="6">
        <f ca="1">('TUSD BE'!$AM$23+'TUSD BF'!$AM$23+'TUSD CVA'!$AM$23)*1</f>
        <v>743.22507649683655</v>
      </c>
      <c r="AA1583" s="6">
        <f>('TE BE'!$AA$11+'TE BF'!$AA$11+'TE CVA'!$AA$11)*1</f>
        <v>282.91739971702214</v>
      </c>
      <c r="AB1583" s="6">
        <f>$K$1583*$V$1583</f>
        <v>0</v>
      </c>
      <c r="AC1583" s="6">
        <f>$M$1583*$W$1583</f>
        <v>41.024159999999995</v>
      </c>
      <c r="AD1583" s="6">
        <f>$O$1583*$X$1583</f>
        <v>14.26186</v>
      </c>
      <c r="AE1583" s="6">
        <f>$K$1583*$Y$1583</f>
        <v>0</v>
      </c>
      <c r="AF1583" s="6">
        <f ca="1">$M$1583*$Z$1583</f>
        <v>46.079954742803864</v>
      </c>
      <c r="AG1583" s="6">
        <f>$O$1583*$AA$1583</f>
        <v>17.540878782455373</v>
      </c>
    </row>
    <row r="1584" spans="1:33" ht="11.25" customHeight="1" x14ac:dyDescent="0.25">
      <c r="A1584" s="4" t="s">
        <v>21</v>
      </c>
      <c r="B1584" s="4" t="s">
        <v>22</v>
      </c>
      <c r="C1584" s="4" t="s">
        <v>39</v>
      </c>
      <c r="D1584" s="4" t="s">
        <v>24</v>
      </c>
      <c r="E1584" s="4" t="s">
        <v>24</v>
      </c>
      <c r="F1584" s="4" t="s">
        <v>25</v>
      </c>
      <c r="G1584" s="4" t="s">
        <v>25</v>
      </c>
      <c r="H1584" s="4" t="s">
        <v>40</v>
      </c>
      <c r="I1584" s="5">
        <v>44166</v>
      </c>
      <c r="J1584" s="6">
        <v>0</v>
      </c>
      <c r="K1584" s="6">
        <v>0</v>
      </c>
      <c r="L1584" s="6">
        <v>2.1869999999999998</v>
      </c>
      <c r="M1584" s="6">
        <v>2.1869999999999998</v>
      </c>
      <c r="N1584" s="6">
        <v>2.1869999999999998</v>
      </c>
      <c r="O1584" s="6">
        <v>2.1869999999999998</v>
      </c>
      <c r="P1584" s="6">
        <v>0</v>
      </c>
      <c r="Q1584" s="4" t="s">
        <v>26</v>
      </c>
      <c r="R1584" s="4">
        <v>0</v>
      </c>
      <c r="S1584" s="6">
        <v>0</v>
      </c>
      <c r="T1584" s="6">
        <v>11</v>
      </c>
      <c r="U1584" s="6">
        <v>63</v>
      </c>
      <c r="V1584" s="6">
        <f>IF(ISERROR(VLOOKUP($S$1584,'TAR FIN'!$A$1:$O$95,15,0)),0,VLOOKUP($S$1584,'TAR FIN'!$A$1:$O$95,15,0))</f>
        <v>0</v>
      </c>
      <c r="W1584" s="6">
        <f>IF(ISERROR(VLOOKUP($T$1584,'TAR FIN'!$A$1:$O$95,15,0)),0,VLOOKUP($T$1584,'TAR FIN'!$A$1:$O$95,15,0))</f>
        <v>661.68</v>
      </c>
      <c r="X1584" s="6">
        <f>IF(ISERROR(VLOOKUP($U$1584,'TAR FIN'!$A$1:$O$95,15,0)),0,VLOOKUP($U$1584,'TAR FIN'!$A$1:$O$95,15,0))</f>
        <v>230.03</v>
      </c>
      <c r="Y1584" s="6"/>
      <c r="Z1584" s="6">
        <f ca="1">('TUSD BE'!$AM$23+'TUSD BF'!$AM$23+'TUSD CVA'!$AM$23)*1</f>
        <v>743.22507649683655</v>
      </c>
      <c r="AA1584" s="6">
        <f>('TE BE'!$AA$11+'TE BF'!$AA$11+'TE CVA'!$AA$11)*1</f>
        <v>282.91739971702214</v>
      </c>
      <c r="AB1584" s="6">
        <f>$K$1584*$V$1584</f>
        <v>0</v>
      </c>
      <c r="AC1584" s="6">
        <f>$M$1584*$W$1584</f>
        <v>1447.0941599999999</v>
      </c>
      <c r="AD1584" s="6">
        <f>$O$1584*$X$1584</f>
        <v>503.07560999999998</v>
      </c>
      <c r="AE1584" s="6">
        <f>$K$1584*$Y$1584</f>
        <v>0</v>
      </c>
      <c r="AF1584" s="6">
        <f ca="1">$M$1584*$Z$1584</f>
        <v>1625.4332422985815</v>
      </c>
      <c r="AG1584" s="6">
        <f>$O$1584*$AA$1584</f>
        <v>618.74035318112738</v>
      </c>
    </row>
    <row r="1585" spans="1:33" ht="11.25" customHeight="1" x14ac:dyDescent="0.25">
      <c r="A1585" s="4" t="s">
        <v>28</v>
      </c>
      <c r="B1585" s="4" t="s">
        <v>22</v>
      </c>
      <c r="C1585" s="4" t="s">
        <v>39</v>
      </c>
      <c r="D1585" s="4" t="s">
        <v>24</v>
      </c>
      <c r="E1585" s="4" t="s">
        <v>24</v>
      </c>
      <c r="F1585" s="4" t="s">
        <v>25</v>
      </c>
      <c r="G1585" s="4" t="s">
        <v>25</v>
      </c>
      <c r="H1585" s="4" t="s">
        <v>40</v>
      </c>
      <c r="I1585" s="5">
        <v>44166</v>
      </c>
      <c r="J1585" s="6">
        <v>0</v>
      </c>
      <c r="K1585" s="6">
        <v>0</v>
      </c>
      <c r="L1585" s="6">
        <v>7.5999999999999998E-2</v>
      </c>
      <c r="M1585" s="6">
        <v>7.5999999999999998E-2</v>
      </c>
      <c r="N1585" s="6">
        <v>7.5999999999999998E-2</v>
      </c>
      <c r="O1585" s="6">
        <v>7.5999999999999998E-2</v>
      </c>
      <c r="P1585" s="6">
        <v>0</v>
      </c>
      <c r="Q1585" s="4" t="s">
        <v>26</v>
      </c>
      <c r="R1585" s="4">
        <v>0</v>
      </c>
      <c r="S1585" s="6">
        <v>0</v>
      </c>
      <c r="T1585" s="6">
        <v>11</v>
      </c>
      <c r="U1585" s="6">
        <v>63</v>
      </c>
      <c r="V1585" s="6">
        <f>IF(ISERROR(VLOOKUP($S$1585,'TAR FIN'!$A$1:$O$95,15,0)),0,VLOOKUP($S$1585,'TAR FIN'!$A$1:$O$95,15,0))</f>
        <v>0</v>
      </c>
      <c r="W1585" s="6">
        <f>IF(ISERROR(VLOOKUP($T$1585,'TAR FIN'!$A$1:$O$95,15,0)),0,VLOOKUP($T$1585,'TAR FIN'!$A$1:$O$95,15,0))</f>
        <v>661.68</v>
      </c>
      <c r="X1585" s="6">
        <f>IF(ISERROR(VLOOKUP($U$1585,'TAR FIN'!$A$1:$O$95,15,0)),0,VLOOKUP($U$1585,'TAR FIN'!$A$1:$O$95,15,0))</f>
        <v>230.03</v>
      </c>
      <c r="Y1585" s="6"/>
      <c r="Z1585" s="6">
        <f ca="1">('TUSD BE'!$AM$23+'TUSD BF'!$AM$23+'TUSD CVA'!$AM$23)*1</f>
        <v>743.22507649683655</v>
      </c>
      <c r="AA1585" s="6">
        <f>('TE BE'!$AA$11+'TE BF'!$AA$11+'TE CVA'!$AA$11)*1</f>
        <v>282.91739971702214</v>
      </c>
      <c r="AB1585" s="6">
        <f>$K$1585*$V$1585</f>
        <v>0</v>
      </c>
      <c r="AC1585" s="6">
        <f>$M$1585*$W$1585</f>
        <v>50.287679999999995</v>
      </c>
      <c r="AD1585" s="6">
        <f>$O$1585*$X$1585</f>
        <v>17.482279999999999</v>
      </c>
      <c r="AE1585" s="6">
        <f>$K$1585*$Y$1585</f>
        <v>0</v>
      </c>
      <c r="AF1585" s="6">
        <f ca="1">$M$1585*$Z$1585</f>
        <v>56.485105813759574</v>
      </c>
      <c r="AG1585" s="6">
        <f>$O$1585*$AA$1585</f>
        <v>21.501722378493682</v>
      </c>
    </row>
    <row r="1586" spans="1:33" ht="11.25" customHeight="1" x14ac:dyDescent="0.25">
      <c r="A1586" s="4" t="s">
        <v>30</v>
      </c>
      <c r="B1586" s="4" t="s">
        <v>22</v>
      </c>
      <c r="C1586" s="4" t="s">
        <v>39</v>
      </c>
      <c r="D1586" s="4" t="s">
        <v>24</v>
      </c>
      <c r="E1586" s="4" t="s">
        <v>24</v>
      </c>
      <c r="F1586" s="4" t="s">
        <v>25</v>
      </c>
      <c r="G1586" s="4" t="s">
        <v>25</v>
      </c>
      <c r="H1586" s="4" t="s">
        <v>40</v>
      </c>
      <c r="I1586" s="5">
        <v>44166</v>
      </c>
      <c r="J1586" s="6">
        <v>0</v>
      </c>
      <c r="K1586" s="6">
        <v>0</v>
      </c>
      <c r="L1586" s="6">
        <v>6.9000000000000006E-2</v>
      </c>
      <c r="M1586" s="6">
        <v>6.9000000000000006E-2</v>
      </c>
      <c r="N1586" s="6">
        <v>6.9000000000000006E-2</v>
      </c>
      <c r="O1586" s="6">
        <v>6.9000000000000006E-2</v>
      </c>
      <c r="P1586" s="6">
        <v>0</v>
      </c>
      <c r="Q1586" s="4" t="s">
        <v>26</v>
      </c>
      <c r="R1586" s="4">
        <v>0</v>
      </c>
      <c r="S1586" s="6">
        <v>0</v>
      </c>
      <c r="T1586" s="6">
        <v>11</v>
      </c>
      <c r="U1586" s="6">
        <v>63</v>
      </c>
      <c r="V1586" s="6">
        <f>IF(ISERROR(VLOOKUP($S$1586,'TAR FIN'!$A$1:$O$95,15,0)),0,VLOOKUP($S$1586,'TAR FIN'!$A$1:$O$95,15,0))</f>
        <v>0</v>
      </c>
      <c r="W1586" s="6">
        <f>IF(ISERROR(VLOOKUP($T$1586,'TAR FIN'!$A$1:$O$95,15,0)),0,VLOOKUP($T$1586,'TAR FIN'!$A$1:$O$95,15,0))</f>
        <v>661.68</v>
      </c>
      <c r="X1586" s="6">
        <f>IF(ISERROR(VLOOKUP($U$1586,'TAR FIN'!$A$1:$O$95,15,0)),0,VLOOKUP($U$1586,'TAR FIN'!$A$1:$O$95,15,0))</f>
        <v>230.03</v>
      </c>
      <c r="Y1586" s="6"/>
      <c r="Z1586" s="6">
        <f ca="1">('TUSD BE'!$AM$23+'TUSD BF'!$AM$23+'TUSD CVA'!$AM$23)*1</f>
        <v>743.22507649683655</v>
      </c>
      <c r="AA1586" s="6">
        <f>('TE BE'!$AA$11+'TE BF'!$AA$11+'TE CVA'!$AA$11)*1</f>
        <v>282.91739971702214</v>
      </c>
      <c r="AB1586" s="6">
        <f>$K$1586*$V$1586</f>
        <v>0</v>
      </c>
      <c r="AC1586" s="6">
        <f>$M$1586*$W$1586</f>
        <v>45.655920000000002</v>
      </c>
      <c r="AD1586" s="6">
        <f>$O$1586*$X$1586</f>
        <v>15.872070000000001</v>
      </c>
      <c r="AE1586" s="6">
        <f>$K$1586*$Y$1586</f>
        <v>0</v>
      </c>
      <c r="AF1586" s="6">
        <f ca="1">$M$1586*$Z$1586</f>
        <v>51.282530278281726</v>
      </c>
      <c r="AG1586" s="6">
        <f>$O$1586*$AA$1586</f>
        <v>19.521300580474527</v>
      </c>
    </row>
    <row r="1587" spans="1:33" ht="11.25" customHeight="1" x14ac:dyDescent="0.25">
      <c r="A1587" s="4" t="s">
        <v>21</v>
      </c>
      <c r="B1587" s="4" t="s">
        <v>22</v>
      </c>
      <c r="C1587" s="4" t="s">
        <v>39</v>
      </c>
      <c r="D1587" s="4" t="s">
        <v>24</v>
      </c>
      <c r="E1587" s="4" t="s">
        <v>24</v>
      </c>
      <c r="F1587" s="4" t="s">
        <v>25</v>
      </c>
      <c r="G1587" s="4" t="s">
        <v>25</v>
      </c>
      <c r="H1587" s="4" t="s">
        <v>40</v>
      </c>
      <c r="I1587" s="5">
        <v>44197</v>
      </c>
      <c r="J1587" s="6">
        <v>0</v>
      </c>
      <c r="K1587" s="6">
        <v>0</v>
      </c>
      <c r="L1587" s="6">
        <v>2.1389999999999998</v>
      </c>
      <c r="M1587" s="6">
        <v>2.1389999999999998</v>
      </c>
      <c r="N1587" s="6">
        <v>2.1389999999999998</v>
      </c>
      <c r="O1587" s="6">
        <v>2.1389999999999998</v>
      </c>
      <c r="P1587" s="6">
        <v>0</v>
      </c>
      <c r="Q1587" s="4" t="s">
        <v>26</v>
      </c>
      <c r="R1587" s="4">
        <v>0</v>
      </c>
      <c r="S1587" s="6">
        <v>0</v>
      </c>
      <c r="T1587" s="6">
        <v>11</v>
      </c>
      <c r="U1587" s="6">
        <v>63</v>
      </c>
      <c r="V1587" s="6">
        <f>IF(ISERROR(VLOOKUP($S$1587,'TAR FIN'!$A$1:$O$95,15,0)),0,VLOOKUP($S$1587,'TAR FIN'!$A$1:$O$95,15,0))</f>
        <v>0</v>
      </c>
      <c r="W1587" s="6">
        <f>IF(ISERROR(VLOOKUP($T$1587,'TAR FIN'!$A$1:$O$95,15,0)),0,VLOOKUP($T$1587,'TAR FIN'!$A$1:$O$95,15,0))</f>
        <v>661.68</v>
      </c>
      <c r="X1587" s="6">
        <f>IF(ISERROR(VLOOKUP($U$1587,'TAR FIN'!$A$1:$O$95,15,0)),0,VLOOKUP($U$1587,'TAR FIN'!$A$1:$O$95,15,0))</f>
        <v>230.03</v>
      </c>
      <c r="Y1587" s="6"/>
      <c r="Z1587" s="6">
        <f ca="1">('TUSD BE'!$AM$23+'TUSD BF'!$AM$23+'TUSD CVA'!$AM$23)*1</f>
        <v>743.22507649683655</v>
      </c>
      <c r="AA1587" s="6">
        <f>('TE BE'!$AA$11+'TE BF'!$AA$11+'TE CVA'!$AA$11)*1</f>
        <v>282.91739971702214</v>
      </c>
      <c r="AB1587" s="6">
        <f>$K$1587*$V$1587</f>
        <v>0</v>
      </c>
      <c r="AC1587" s="6">
        <f>$M$1587*$W$1587</f>
        <v>1415.3335199999997</v>
      </c>
      <c r="AD1587" s="6">
        <f>$O$1587*$X$1587</f>
        <v>492.03416999999996</v>
      </c>
      <c r="AE1587" s="6">
        <f>$K$1587*$Y$1587</f>
        <v>0</v>
      </c>
      <c r="AF1587" s="6">
        <f ca="1">$M$1587*$Z$1587</f>
        <v>1589.7584386267333</v>
      </c>
      <c r="AG1587" s="6">
        <f>$O$1587*$AA$1587</f>
        <v>605.16031799471034</v>
      </c>
    </row>
    <row r="1588" spans="1:33" ht="11.25" customHeight="1" x14ac:dyDescent="0.25">
      <c r="A1588" s="4" t="s">
        <v>27</v>
      </c>
      <c r="B1588" s="4" t="s">
        <v>22</v>
      </c>
      <c r="C1588" s="4" t="s">
        <v>39</v>
      </c>
      <c r="D1588" s="4" t="s">
        <v>24</v>
      </c>
      <c r="E1588" s="4" t="s">
        <v>24</v>
      </c>
      <c r="F1588" s="4" t="s">
        <v>25</v>
      </c>
      <c r="G1588" s="4" t="s">
        <v>25</v>
      </c>
      <c r="H1588" s="4" t="s">
        <v>40</v>
      </c>
      <c r="I1588" s="5">
        <v>44197</v>
      </c>
      <c r="J1588" s="6">
        <v>0</v>
      </c>
      <c r="K1588" s="6">
        <v>0</v>
      </c>
      <c r="L1588" s="6">
        <v>-7.0000000000000001E-3</v>
      </c>
      <c r="M1588" s="6">
        <v>-7.0000000000000001E-3</v>
      </c>
      <c r="N1588" s="6">
        <v>-7.0000000000000001E-3</v>
      </c>
      <c r="O1588" s="6">
        <v>-7.0000000000000001E-3</v>
      </c>
      <c r="P1588" s="6">
        <v>0</v>
      </c>
      <c r="Q1588" s="4" t="s">
        <v>26</v>
      </c>
      <c r="R1588" s="4">
        <v>0</v>
      </c>
      <c r="S1588" s="6">
        <v>0</v>
      </c>
      <c r="T1588" s="6">
        <v>11</v>
      </c>
      <c r="U1588" s="6">
        <v>63</v>
      </c>
      <c r="V1588" s="6">
        <f>IF(ISERROR(VLOOKUP($S$1588,'TAR FIN'!$A$1:$O$95,15,0)),0,VLOOKUP($S$1588,'TAR FIN'!$A$1:$O$95,15,0))</f>
        <v>0</v>
      </c>
      <c r="W1588" s="6">
        <f>IF(ISERROR(VLOOKUP($T$1588,'TAR FIN'!$A$1:$O$95,15,0)),0,VLOOKUP($T$1588,'TAR FIN'!$A$1:$O$95,15,0))</f>
        <v>661.68</v>
      </c>
      <c r="X1588" s="6">
        <f>IF(ISERROR(VLOOKUP($U$1588,'TAR FIN'!$A$1:$O$95,15,0)),0,VLOOKUP($U$1588,'TAR FIN'!$A$1:$O$95,15,0))</f>
        <v>230.03</v>
      </c>
      <c r="Y1588" s="6"/>
      <c r="Z1588" s="6">
        <f ca="1">('TUSD BE'!$AM$23+'TUSD BF'!$AM$23+'TUSD CVA'!$AM$23)*1</f>
        <v>743.22507649683655</v>
      </c>
      <c r="AA1588" s="6">
        <f>('TE BE'!$AA$11+'TE BF'!$AA$11+'TE CVA'!$AA$11)*1</f>
        <v>282.91739971702214</v>
      </c>
      <c r="AB1588" s="6">
        <f>$K$1588*$V$1588</f>
        <v>0</v>
      </c>
      <c r="AC1588" s="6">
        <f>$M$1588*$W$1588</f>
        <v>-4.6317599999999999</v>
      </c>
      <c r="AD1588" s="6">
        <f>$O$1588*$X$1588</f>
        <v>-1.6102100000000001</v>
      </c>
      <c r="AE1588" s="6">
        <f>$K$1588*$Y$1588</f>
        <v>0</v>
      </c>
      <c r="AF1588" s="6">
        <f ca="1">$M$1588*$Z$1588</f>
        <v>-5.2025755354778562</v>
      </c>
      <c r="AG1588" s="6">
        <f>$O$1588*$AA$1588</f>
        <v>-1.980421798019155</v>
      </c>
    </row>
    <row r="1589" spans="1:33" ht="11.25" customHeight="1" x14ac:dyDescent="0.25">
      <c r="A1589" s="4" t="s">
        <v>28</v>
      </c>
      <c r="B1589" s="4" t="s">
        <v>22</v>
      </c>
      <c r="C1589" s="4" t="s">
        <v>39</v>
      </c>
      <c r="D1589" s="4" t="s">
        <v>24</v>
      </c>
      <c r="E1589" s="4" t="s">
        <v>24</v>
      </c>
      <c r="F1589" s="4" t="s">
        <v>25</v>
      </c>
      <c r="G1589" s="4" t="s">
        <v>25</v>
      </c>
      <c r="H1589" s="4" t="s">
        <v>40</v>
      </c>
      <c r="I1589" s="5">
        <v>44197</v>
      </c>
      <c r="J1589" s="6">
        <v>0</v>
      </c>
      <c r="K1589" s="6">
        <v>0</v>
      </c>
      <c r="L1589" s="6">
        <v>9.6000000000000002E-2</v>
      </c>
      <c r="M1589" s="6">
        <v>9.6000000000000002E-2</v>
      </c>
      <c r="N1589" s="6">
        <v>9.6000000000000002E-2</v>
      </c>
      <c r="O1589" s="6">
        <v>9.6000000000000002E-2</v>
      </c>
      <c r="P1589" s="6">
        <v>0</v>
      </c>
      <c r="Q1589" s="4" t="s">
        <v>26</v>
      </c>
      <c r="R1589" s="4">
        <v>0</v>
      </c>
      <c r="S1589" s="6">
        <v>0</v>
      </c>
      <c r="T1589" s="6">
        <v>11</v>
      </c>
      <c r="U1589" s="6">
        <v>63</v>
      </c>
      <c r="V1589" s="6">
        <f>IF(ISERROR(VLOOKUP($S$1589,'TAR FIN'!$A$1:$O$95,15,0)),0,VLOOKUP($S$1589,'TAR FIN'!$A$1:$O$95,15,0))</f>
        <v>0</v>
      </c>
      <c r="W1589" s="6">
        <f>IF(ISERROR(VLOOKUP($T$1589,'TAR FIN'!$A$1:$O$95,15,0)),0,VLOOKUP($T$1589,'TAR FIN'!$A$1:$O$95,15,0))</f>
        <v>661.68</v>
      </c>
      <c r="X1589" s="6">
        <f>IF(ISERROR(VLOOKUP($U$1589,'TAR FIN'!$A$1:$O$95,15,0)),0,VLOOKUP($U$1589,'TAR FIN'!$A$1:$O$95,15,0))</f>
        <v>230.03</v>
      </c>
      <c r="Y1589" s="6"/>
      <c r="Z1589" s="6">
        <f ca="1">('TUSD BE'!$AM$23+'TUSD BF'!$AM$23+'TUSD CVA'!$AM$23)*1</f>
        <v>743.22507649683655</v>
      </c>
      <c r="AA1589" s="6">
        <f>('TE BE'!$AA$11+'TE BF'!$AA$11+'TE CVA'!$AA$11)*1</f>
        <v>282.91739971702214</v>
      </c>
      <c r="AB1589" s="6">
        <f>$K$1589*$V$1589</f>
        <v>0</v>
      </c>
      <c r="AC1589" s="6">
        <f>$M$1589*$W$1589</f>
        <v>63.521279999999997</v>
      </c>
      <c r="AD1589" s="6">
        <f>$O$1589*$X$1589</f>
        <v>22.082879999999999</v>
      </c>
      <c r="AE1589" s="6">
        <f>$K$1589*$Y$1589</f>
        <v>0</v>
      </c>
      <c r="AF1589" s="6">
        <f ca="1">$M$1589*$Z$1589</f>
        <v>71.349607343696306</v>
      </c>
      <c r="AG1589" s="6">
        <f>$O$1589*$AA$1589</f>
        <v>27.160070372834127</v>
      </c>
    </row>
    <row r="1590" spans="1:33" ht="11.25" customHeight="1" x14ac:dyDescent="0.25">
      <c r="A1590" s="4" t="s">
        <v>30</v>
      </c>
      <c r="B1590" s="4" t="s">
        <v>22</v>
      </c>
      <c r="C1590" s="4" t="s">
        <v>39</v>
      </c>
      <c r="D1590" s="4" t="s">
        <v>24</v>
      </c>
      <c r="E1590" s="4" t="s">
        <v>24</v>
      </c>
      <c r="F1590" s="4" t="s">
        <v>25</v>
      </c>
      <c r="G1590" s="4" t="s">
        <v>25</v>
      </c>
      <c r="H1590" s="4" t="s">
        <v>40</v>
      </c>
      <c r="I1590" s="5">
        <v>44197</v>
      </c>
      <c r="J1590" s="6">
        <v>0</v>
      </c>
      <c r="K1590" s="6">
        <v>0</v>
      </c>
      <c r="L1590" s="6">
        <v>7.5999999999999998E-2</v>
      </c>
      <c r="M1590" s="6">
        <v>7.5999999999999998E-2</v>
      </c>
      <c r="N1590" s="6">
        <v>7.5999999999999998E-2</v>
      </c>
      <c r="O1590" s="6">
        <v>7.5999999999999998E-2</v>
      </c>
      <c r="P1590" s="6">
        <v>0</v>
      </c>
      <c r="Q1590" s="4" t="s">
        <v>26</v>
      </c>
      <c r="R1590" s="4">
        <v>0</v>
      </c>
      <c r="S1590" s="6">
        <v>0</v>
      </c>
      <c r="T1590" s="6">
        <v>11</v>
      </c>
      <c r="U1590" s="6">
        <v>63</v>
      </c>
      <c r="V1590" s="6">
        <f>IF(ISERROR(VLOOKUP($S$1590,'TAR FIN'!$A$1:$O$95,15,0)),0,VLOOKUP($S$1590,'TAR FIN'!$A$1:$O$95,15,0))</f>
        <v>0</v>
      </c>
      <c r="W1590" s="6">
        <f>IF(ISERROR(VLOOKUP($T$1590,'TAR FIN'!$A$1:$O$95,15,0)),0,VLOOKUP($T$1590,'TAR FIN'!$A$1:$O$95,15,0))</f>
        <v>661.68</v>
      </c>
      <c r="X1590" s="6">
        <f>IF(ISERROR(VLOOKUP($U$1590,'TAR FIN'!$A$1:$O$95,15,0)),0,VLOOKUP($U$1590,'TAR FIN'!$A$1:$O$95,15,0))</f>
        <v>230.03</v>
      </c>
      <c r="Y1590" s="6"/>
      <c r="Z1590" s="6">
        <f ca="1">('TUSD BE'!$AM$23+'TUSD BF'!$AM$23+'TUSD CVA'!$AM$23)*1</f>
        <v>743.22507649683655</v>
      </c>
      <c r="AA1590" s="6">
        <f>('TE BE'!$AA$11+'TE BF'!$AA$11+'TE CVA'!$AA$11)*1</f>
        <v>282.91739971702214</v>
      </c>
      <c r="AB1590" s="6">
        <f>$K$1590*$V$1590</f>
        <v>0</v>
      </c>
      <c r="AC1590" s="6">
        <f>$M$1590*$W$1590</f>
        <v>50.287679999999995</v>
      </c>
      <c r="AD1590" s="6">
        <f>$O$1590*$X$1590</f>
        <v>17.482279999999999</v>
      </c>
      <c r="AE1590" s="6">
        <f>$K$1590*$Y$1590</f>
        <v>0</v>
      </c>
      <c r="AF1590" s="6">
        <f ca="1">$M$1590*$Z$1590</f>
        <v>56.485105813759574</v>
      </c>
      <c r="AG1590" s="6">
        <f>$O$1590*$AA$1590</f>
        <v>21.501722378493682</v>
      </c>
    </row>
    <row r="1591" spans="1:33" ht="11.25" customHeight="1" x14ac:dyDescent="0.25">
      <c r="A1591" s="4" t="s">
        <v>21</v>
      </c>
      <c r="B1591" s="4" t="s">
        <v>22</v>
      </c>
      <c r="C1591" s="4" t="s">
        <v>39</v>
      </c>
      <c r="D1591" s="4" t="s">
        <v>24</v>
      </c>
      <c r="E1591" s="4" t="s">
        <v>24</v>
      </c>
      <c r="F1591" s="4" t="s">
        <v>25</v>
      </c>
      <c r="G1591" s="4" t="s">
        <v>25</v>
      </c>
      <c r="H1591" s="4" t="s">
        <v>40</v>
      </c>
      <c r="I1591" s="5">
        <v>44228</v>
      </c>
      <c r="J1591" s="6">
        <v>0</v>
      </c>
      <c r="K1591" s="6">
        <v>0</v>
      </c>
      <c r="L1591" s="6">
        <v>2.1150000000000002</v>
      </c>
      <c r="M1591" s="6">
        <v>2.1150000000000002</v>
      </c>
      <c r="N1591" s="6">
        <v>2.1150000000000002</v>
      </c>
      <c r="O1591" s="6">
        <v>2.1150000000000002</v>
      </c>
      <c r="P1591" s="6">
        <v>0</v>
      </c>
      <c r="Q1591" s="4" t="s">
        <v>26</v>
      </c>
      <c r="R1591" s="4">
        <v>0</v>
      </c>
      <c r="S1591" s="6">
        <v>0</v>
      </c>
      <c r="T1591" s="6">
        <v>11</v>
      </c>
      <c r="U1591" s="6">
        <v>63</v>
      </c>
      <c r="V1591" s="6">
        <f>IF(ISERROR(VLOOKUP($S$1591,'TAR FIN'!$A$1:$O$95,15,0)),0,VLOOKUP($S$1591,'TAR FIN'!$A$1:$O$95,15,0))</f>
        <v>0</v>
      </c>
      <c r="W1591" s="6">
        <f>IF(ISERROR(VLOOKUP($T$1591,'TAR FIN'!$A$1:$O$95,15,0)),0,VLOOKUP($T$1591,'TAR FIN'!$A$1:$O$95,15,0))</f>
        <v>661.68</v>
      </c>
      <c r="X1591" s="6">
        <f>IF(ISERROR(VLOOKUP($U$1591,'TAR FIN'!$A$1:$O$95,15,0)),0,VLOOKUP($U$1591,'TAR FIN'!$A$1:$O$95,15,0))</f>
        <v>230.03</v>
      </c>
      <c r="Y1591" s="6"/>
      <c r="Z1591" s="6">
        <f ca="1">('TUSD BE'!$AM$23+'TUSD BF'!$AM$23+'TUSD CVA'!$AM$23)*1</f>
        <v>743.22507649683655</v>
      </c>
      <c r="AA1591" s="6">
        <f>('TE BE'!$AA$11+'TE BF'!$AA$11+'TE CVA'!$AA$11)*1</f>
        <v>282.91739971702214</v>
      </c>
      <c r="AB1591" s="6">
        <f>$K$1591*$V$1591</f>
        <v>0</v>
      </c>
      <c r="AC1591" s="6">
        <f>$M$1591*$W$1591</f>
        <v>1399.4531999999999</v>
      </c>
      <c r="AD1591" s="6">
        <f>$O$1591*$X$1591</f>
        <v>486.51345000000003</v>
      </c>
      <c r="AE1591" s="6">
        <f>$K$1591*$Y$1591</f>
        <v>0</v>
      </c>
      <c r="AF1591" s="6">
        <f ca="1">$M$1591*$Z$1591</f>
        <v>1571.9210367908095</v>
      </c>
      <c r="AG1591" s="6">
        <f>$O$1591*$AA$1591</f>
        <v>598.37030040150182</v>
      </c>
    </row>
    <row r="1592" spans="1:33" ht="11.25" customHeight="1" x14ac:dyDescent="0.25">
      <c r="A1592" s="4" t="s">
        <v>28</v>
      </c>
      <c r="B1592" s="4" t="s">
        <v>22</v>
      </c>
      <c r="C1592" s="4" t="s">
        <v>39</v>
      </c>
      <c r="D1592" s="4" t="s">
        <v>24</v>
      </c>
      <c r="E1592" s="4" t="s">
        <v>24</v>
      </c>
      <c r="F1592" s="4" t="s">
        <v>25</v>
      </c>
      <c r="G1592" s="4" t="s">
        <v>25</v>
      </c>
      <c r="H1592" s="4" t="s">
        <v>40</v>
      </c>
      <c r="I1592" s="5">
        <v>44228</v>
      </c>
      <c r="J1592" s="6">
        <v>0</v>
      </c>
      <c r="K1592" s="6">
        <v>0</v>
      </c>
      <c r="L1592" s="6">
        <v>6.6000000000000003E-2</v>
      </c>
      <c r="M1592" s="6">
        <v>6.6000000000000003E-2</v>
      </c>
      <c r="N1592" s="6">
        <v>6.6000000000000003E-2</v>
      </c>
      <c r="O1592" s="6">
        <v>6.6000000000000003E-2</v>
      </c>
      <c r="P1592" s="6">
        <v>0</v>
      </c>
      <c r="Q1592" s="4" t="s">
        <v>26</v>
      </c>
      <c r="R1592" s="4">
        <v>0</v>
      </c>
      <c r="S1592" s="6">
        <v>0</v>
      </c>
      <c r="T1592" s="6">
        <v>11</v>
      </c>
      <c r="U1592" s="6">
        <v>63</v>
      </c>
      <c r="V1592" s="6">
        <f>IF(ISERROR(VLOOKUP($S$1592,'TAR FIN'!$A$1:$O$95,15,0)),0,VLOOKUP($S$1592,'TAR FIN'!$A$1:$O$95,15,0))</f>
        <v>0</v>
      </c>
      <c r="W1592" s="6">
        <f>IF(ISERROR(VLOOKUP($T$1592,'TAR FIN'!$A$1:$O$95,15,0)),0,VLOOKUP($T$1592,'TAR FIN'!$A$1:$O$95,15,0))</f>
        <v>661.68</v>
      </c>
      <c r="X1592" s="6">
        <f>IF(ISERROR(VLOOKUP($U$1592,'TAR FIN'!$A$1:$O$95,15,0)),0,VLOOKUP($U$1592,'TAR FIN'!$A$1:$O$95,15,0))</f>
        <v>230.03</v>
      </c>
      <c r="Y1592" s="6"/>
      <c r="Z1592" s="6">
        <f ca="1">('TUSD BE'!$AM$23+'TUSD BF'!$AM$23+'TUSD CVA'!$AM$23)*1</f>
        <v>743.22507649683655</v>
      </c>
      <c r="AA1592" s="6">
        <f>('TE BE'!$AA$11+'TE BF'!$AA$11+'TE CVA'!$AA$11)*1</f>
        <v>282.91739971702214</v>
      </c>
      <c r="AB1592" s="6">
        <f>$K$1592*$V$1592</f>
        <v>0</v>
      </c>
      <c r="AC1592" s="6">
        <f>$M$1592*$W$1592</f>
        <v>43.670879999999997</v>
      </c>
      <c r="AD1592" s="6">
        <f>$O$1592*$X$1592</f>
        <v>15.181980000000001</v>
      </c>
      <c r="AE1592" s="6">
        <f>$K$1592*$Y$1592</f>
        <v>0</v>
      </c>
      <c r="AF1592" s="6">
        <f ca="1">$M$1592*$Z$1592</f>
        <v>49.052855048791216</v>
      </c>
      <c r="AG1592" s="6">
        <f>$O$1592*$AA$1592</f>
        <v>18.672548381323463</v>
      </c>
    </row>
    <row r="1593" spans="1:33" ht="11.25" customHeight="1" x14ac:dyDescent="0.25">
      <c r="A1593" s="4" t="s">
        <v>30</v>
      </c>
      <c r="B1593" s="4" t="s">
        <v>22</v>
      </c>
      <c r="C1593" s="4" t="s">
        <v>39</v>
      </c>
      <c r="D1593" s="4" t="s">
        <v>24</v>
      </c>
      <c r="E1593" s="4" t="s">
        <v>24</v>
      </c>
      <c r="F1593" s="4" t="s">
        <v>25</v>
      </c>
      <c r="G1593" s="4" t="s">
        <v>25</v>
      </c>
      <c r="H1593" s="4" t="s">
        <v>40</v>
      </c>
      <c r="I1593" s="5">
        <v>44228</v>
      </c>
      <c r="J1593" s="6">
        <v>0</v>
      </c>
      <c r="K1593" s="6">
        <v>0</v>
      </c>
      <c r="L1593" s="6">
        <v>5.8999999999999997E-2</v>
      </c>
      <c r="M1593" s="6">
        <v>5.8999999999999997E-2</v>
      </c>
      <c r="N1593" s="6">
        <v>5.8999999999999997E-2</v>
      </c>
      <c r="O1593" s="6">
        <v>5.8999999999999997E-2</v>
      </c>
      <c r="P1593" s="6">
        <v>0</v>
      </c>
      <c r="Q1593" s="4" t="s">
        <v>26</v>
      </c>
      <c r="R1593" s="4">
        <v>0</v>
      </c>
      <c r="S1593" s="6">
        <v>0</v>
      </c>
      <c r="T1593" s="6">
        <v>11</v>
      </c>
      <c r="U1593" s="6">
        <v>63</v>
      </c>
      <c r="V1593" s="6">
        <f>IF(ISERROR(VLOOKUP($S$1593,'TAR FIN'!$A$1:$O$95,15,0)),0,VLOOKUP($S$1593,'TAR FIN'!$A$1:$O$95,15,0))</f>
        <v>0</v>
      </c>
      <c r="W1593" s="6">
        <f>IF(ISERROR(VLOOKUP($T$1593,'TAR FIN'!$A$1:$O$95,15,0)),0,VLOOKUP($T$1593,'TAR FIN'!$A$1:$O$95,15,0))</f>
        <v>661.68</v>
      </c>
      <c r="X1593" s="6">
        <f>IF(ISERROR(VLOOKUP($U$1593,'TAR FIN'!$A$1:$O$95,15,0)),0,VLOOKUP($U$1593,'TAR FIN'!$A$1:$O$95,15,0))</f>
        <v>230.03</v>
      </c>
      <c r="Y1593" s="6"/>
      <c r="Z1593" s="6">
        <f ca="1">('TUSD BE'!$AM$23+'TUSD BF'!$AM$23+'TUSD CVA'!$AM$23)*1</f>
        <v>743.22507649683655</v>
      </c>
      <c r="AA1593" s="6">
        <f>('TE BE'!$AA$11+'TE BF'!$AA$11+'TE CVA'!$AA$11)*1</f>
        <v>282.91739971702214</v>
      </c>
      <c r="AB1593" s="6">
        <f>$K$1593*$V$1593</f>
        <v>0</v>
      </c>
      <c r="AC1593" s="6">
        <f>$M$1593*$W$1593</f>
        <v>39.039119999999997</v>
      </c>
      <c r="AD1593" s="6">
        <f>$O$1593*$X$1593</f>
        <v>13.571769999999999</v>
      </c>
      <c r="AE1593" s="6">
        <f>$K$1593*$Y$1593</f>
        <v>0</v>
      </c>
      <c r="AF1593" s="6">
        <f ca="1">$M$1593*$Z$1593</f>
        <v>43.850279513313353</v>
      </c>
      <c r="AG1593" s="6">
        <f>$O$1593*$AA$1593</f>
        <v>16.692126583304304</v>
      </c>
    </row>
    <row r="1594" spans="1:33" ht="11.25" customHeight="1" x14ac:dyDescent="0.25">
      <c r="A1594" s="4" t="s">
        <v>21</v>
      </c>
      <c r="B1594" s="4" t="s">
        <v>22</v>
      </c>
      <c r="C1594" s="4" t="s">
        <v>39</v>
      </c>
      <c r="D1594" s="4" t="s">
        <v>24</v>
      </c>
      <c r="E1594" s="4" t="s">
        <v>24</v>
      </c>
      <c r="F1594" s="4" t="s">
        <v>25</v>
      </c>
      <c r="G1594" s="4" t="s">
        <v>25</v>
      </c>
      <c r="H1594" s="4" t="s">
        <v>40</v>
      </c>
      <c r="I1594" s="5">
        <v>44256</v>
      </c>
      <c r="J1594" s="6">
        <v>0</v>
      </c>
      <c r="K1594" s="6">
        <v>0</v>
      </c>
      <c r="L1594" s="6">
        <v>2.206</v>
      </c>
      <c r="M1594" s="6">
        <v>2.206</v>
      </c>
      <c r="N1594" s="6">
        <v>2.206</v>
      </c>
      <c r="O1594" s="6">
        <v>2.206</v>
      </c>
      <c r="P1594" s="6">
        <v>0</v>
      </c>
      <c r="Q1594" s="4" t="s">
        <v>26</v>
      </c>
      <c r="R1594" s="4">
        <v>0</v>
      </c>
      <c r="S1594" s="6">
        <v>0</v>
      </c>
      <c r="T1594" s="6">
        <v>11</v>
      </c>
      <c r="U1594" s="6">
        <v>63</v>
      </c>
      <c r="V1594" s="6">
        <f>IF(ISERROR(VLOOKUP($S$1594,'TAR FIN'!$A$1:$O$95,15,0)),0,VLOOKUP($S$1594,'TAR FIN'!$A$1:$O$95,15,0))</f>
        <v>0</v>
      </c>
      <c r="W1594" s="6">
        <f>IF(ISERROR(VLOOKUP($T$1594,'TAR FIN'!$A$1:$O$95,15,0)),0,VLOOKUP($T$1594,'TAR FIN'!$A$1:$O$95,15,0))</f>
        <v>661.68</v>
      </c>
      <c r="X1594" s="6">
        <f>IF(ISERROR(VLOOKUP($U$1594,'TAR FIN'!$A$1:$O$95,15,0)),0,VLOOKUP($U$1594,'TAR FIN'!$A$1:$O$95,15,0))</f>
        <v>230.03</v>
      </c>
      <c r="Y1594" s="6"/>
      <c r="Z1594" s="6">
        <f ca="1">('TUSD BE'!$AM$23+'TUSD BF'!$AM$23+'TUSD CVA'!$AM$23)*1</f>
        <v>743.22507649683655</v>
      </c>
      <c r="AA1594" s="6">
        <f>('TE BE'!$AA$11+'TE BF'!$AA$11+'TE CVA'!$AA$11)*1</f>
        <v>282.91739971702214</v>
      </c>
      <c r="AB1594" s="6">
        <f>$K$1594*$V$1594</f>
        <v>0</v>
      </c>
      <c r="AC1594" s="6">
        <f>$M$1594*$W$1594</f>
        <v>1459.66608</v>
      </c>
      <c r="AD1594" s="6">
        <f>$O$1594*$X$1594</f>
        <v>507.44617999999997</v>
      </c>
      <c r="AE1594" s="6">
        <f>$K$1594*$Y$1594</f>
        <v>0</v>
      </c>
      <c r="AF1594" s="6">
        <f ca="1">$M$1594*$Z$1594</f>
        <v>1639.5545187520213</v>
      </c>
      <c r="AG1594" s="6">
        <f>$O$1594*$AA$1594</f>
        <v>624.11578377575086</v>
      </c>
    </row>
    <row r="1595" spans="1:33" ht="11.25" customHeight="1" x14ac:dyDescent="0.25">
      <c r="A1595" s="4" t="s">
        <v>28</v>
      </c>
      <c r="B1595" s="4" t="s">
        <v>22</v>
      </c>
      <c r="C1595" s="4" t="s">
        <v>39</v>
      </c>
      <c r="D1595" s="4" t="s">
        <v>24</v>
      </c>
      <c r="E1595" s="4" t="s">
        <v>24</v>
      </c>
      <c r="F1595" s="4" t="s">
        <v>25</v>
      </c>
      <c r="G1595" s="4" t="s">
        <v>25</v>
      </c>
      <c r="H1595" s="4" t="s">
        <v>40</v>
      </c>
      <c r="I1595" s="5">
        <v>44256</v>
      </c>
      <c r="J1595" s="6">
        <v>0</v>
      </c>
      <c r="K1595" s="6">
        <v>0</v>
      </c>
      <c r="L1595" s="6">
        <v>0.125</v>
      </c>
      <c r="M1595" s="6">
        <v>0.125</v>
      </c>
      <c r="N1595" s="6">
        <v>0.125</v>
      </c>
      <c r="O1595" s="6">
        <v>0.125</v>
      </c>
      <c r="P1595" s="6">
        <v>0</v>
      </c>
      <c r="Q1595" s="4" t="s">
        <v>26</v>
      </c>
      <c r="R1595" s="4">
        <v>0</v>
      </c>
      <c r="S1595" s="6">
        <v>0</v>
      </c>
      <c r="T1595" s="6">
        <v>11</v>
      </c>
      <c r="U1595" s="6">
        <v>63</v>
      </c>
      <c r="V1595" s="6">
        <f>IF(ISERROR(VLOOKUP($S$1595,'TAR FIN'!$A$1:$O$95,15,0)),0,VLOOKUP($S$1595,'TAR FIN'!$A$1:$O$95,15,0))</f>
        <v>0</v>
      </c>
      <c r="W1595" s="6">
        <f>IF(ISERROR(VLOOKUP($T$1595,'TAR FIN'!$A$1:$O$95,15,0)),0,VLOOKUP($T$1595,'TAR FIN'!$A$1:$O$95,15,0))</f>
        <v>661.68</v>
      </c>
      <c r="X1595" s="6">
        <f>IF(ISERROR(VLOOKUP($U$1595,'TAR FIN'!$A$1:$O$95,15,0)),0,VLOOKUP($U$1595,'TAR FIN'!$A$1:$O$95,15,0))</f>
        <v>230.03</v>
      </c>
      <c r="Y1595" s="6"/>
      <c r="Z1595" s="6">
        <f ca="1">('TUSD BE'!$AM$23+'TUSD BF'!$AM$23+'TUSD CVA'!$AM$23)*1</f>
        <v>743.22507649683655</v>
      </c>
      <c r="AA1595" s="6">
        <f>('TE BE'!$AA$11+'TE BF'!$AA$11+'TE CVA'!$AA$11)*1</f>
        <v>282.91739971702214</v>
      </c>
      <c r="AB1595" s="6">
        <f>$K$1595*$V$1595</f>
        <v>0</v>
      </c>
      <c r="AC1595" s="6">
        <f>$M$1595*$W$1595</f>
        <v>82.71</v>
      </c>
      <c r="AD1595" s="6">
        <f>$O$1595*$X$1595</f>
        <v>28.75375</v>
      </c>
      <c r="AE1595" s="6">
        <f>$K$1595*$Y$1595</f>
        <v>0</v>
      </c>
      <c r="AF1595" s="6">
        <f ca="1">$M$1595*$Z$1595</f>
        <v>92.903134562104569</v>
      </c>
      <c r="AG1595" s="6">
        <f>$O$1595*$AA$1595</f>
        <v>35.364674964627767</v>
      </c>
    </row>
    <row r="1596" spans="1:33" ht="11.25" customHeight="1" x14ac:dyDescent="0.25">
      <c r="A1596" s="4" t="s">
        <v>30</v>
      </c>
      <c r="B1596" s="4" t="s">
        <v>22</v>
      </c>
      <c r="C1596" s="4" t="s">
        <v>39</v>
      </c>
      <c r="D1596" s="4" t="s">
        <v>24</v>
      </c>
      <c r="E1596" s="4" t="s">
        <v>24</v>
      </c>
      <c r="F1596" s="4" t="s">
        <v>25</v>
      </c>
      <c r="G1596" s="4" t="s">
        <v>25</v>
      </c>
      <c r="H1596" s="4" t="s">
        <v>40</v>
      </c>
      <c r="I1596" s="5">
        <v>44256</v>
      </c>
      <c r="J1596" s="6">
        <v>0</v>
      </c>
      <c r="K1596" s="6">
        <v>0</v>
      </c>
      <c r="L1596" s="6">
        <v>6.7000000000000004E-2</v>
      </c>
      <c r="M1596" s="6">
        <v>6.7000000000000004E-2</v>
      </c>
      <c r="N1596" s="6">
        <v>6.7000000000000004E-2</v>
      </c>
      <c r="O1596" s="6">
        <v>6.7000000000000004E-2</v>
      </c>
      <c r="P1596" s="6">
        <v>0</v>
      </c>
      <c r="Q1596" s="4" t="s">
        <v>26</v>
      </c>
      <c r="R1596" s="4">
        <v>0</v>
      </c>
      <c r="S1596" s="6">
        <v>0</v>
      </c>
      <c r="T1596" s="6">
        <v>11</v>
      </c>
      <c r="U1596" s="6">
        <v>63</v>
      </c>
      <c r="V1596" s="6">
        <f>IF(ISERROR(VLOOKUP($S$1596,'TAR FIN'!$A$1:$O$95,15,0)),0,VLOOKUP($S$1596,'TAR FIN'!$A$1:$O$95,15,0))</f>
        <v>0</v>
      </c>
      <c r="W1596" s="6">
        <f>IF(ISERROR(VLOOKUP($T$1596,'TAR FIN'!$A$1:$O$95,15,0)),0,VLOOKUP($T$1596,'TAR FIN'!$A$1:$O$95,15,0))</f>
        <v>661.68</v>
      </c>
      <c r="X1596" s="6">
        <f>IF(ISERROR(VLOOKUP($U$1596,'TAR FIN'!$A$1:$O$95,15,0)),0,VLOOKUP($U$1596,'TAR FIN'!$A$1:$O$95,15,0))</f>
        <v>230.03</v>
      </c>
      <c r="Y1596" s="6"/>
      <c r="Z1596" s="6">
        <f ca="1">('TUSD BE'!$AM$23+'TUSD BF'!$AM$23+'TUSD CVA'!$AM$23)*1</f>
        <v>743.22507649683655</v>
      </c>
      <c r="AA1596" s="6">
        <f>('TE BE'!$AA$11+'TE BF'!$AA$11+'TE CVA'!$AA$11)*1</f>
        <v>282.91739971702214</v>
      </c>
      <c r="AB1596" s="6">
        <f>$K$1596*$V$1596</f>
        <v>0</v>
      </c>
      <c r="AC1596" s="6">
        <f>$M$1596*$W$1596</f>
        <v>44.332560000000001</v>
      </c>
      <c r="AD1596" s="6">
        <f>$O$1596*$X$1596</f>
        <v>15.41201</v>
      </c>
      <c r="AE1596" s="6">
        <f>$K$1596*$Y$1596</f>
        <v>0</v>
      </c>
      <c r="AF1596" s="6">
        <f ca="1">$M$1596*$Z$1596</f>
        <v>49.79608012528805</v>
      </c>
      <c r="AG1596" s="6">
        <f>$O$1596*$AA$1596</f>
        <v>18.955465781040484</v>
      </c>
    </row>
    <row r="1597" spans="1:33" ht="11.25" customHeight="1" x14ac:dyDescent="0.25">
      <c r="A1597" s="4" t="s">
        <v>21</v>
      </c>
      <c r="B1597" s="4" t="s">
        <v>22</v>
      </c>
      <c r="C1597" s="4" t="s">
        <v>39</v>
      </c>
      <c r="D1597" s="4" t="s">
        <v>24</v>
      </c>
      <c r="E1597" s="4" t="s">
        <v>24</v>
      </c>
      <c r="F1597" s="4" t="s">
        <v>25</v>
      </c>
      <c r="G1597" s="4" t="s">
        <v>25</v>
      </c>
      <c r="H1597" s="4" t="s">
        <v>40</v>
      </c>
      <c r="I1597" s="5">
        <v>44287</v>
      </c>
      <c r="J1597" s="6">
        <v>0</v>
      </c>
      <c r="K1597" s="6">
        <v>0</v>
      </c>
      <c r="L1597" s="6">
        <v>2.8959999999999999</v>
      </c>
      <c r="M1597" s="6">
        <v>2.8959999999999999</v>
      </c>
      <c r="N1597" s="6">
        <v>2.8959999999999999</v>
      </c>
      <c r="O1597" s="6">
        <v>2.8959999999999999</v>
      </c>
      <c r="P1597" s="6">
        <v>0</v>
      </c>
      <c r="Q1597" s="4" t="s">
        <v>26</v>
      </c>
      <c r="R1597" s="4">
        <v>0</v>
      </c>
      <c r="S1597" s="6">
        <v>0</v>
      </c>
      <c r="T1597" s="6">
        <v>11</v>
      </c>
      <c r="U1597" s="6">
        <v>63</v>
      </c>
      <c r="V1597" s="6">
        <f>IF(ISERROR(VLOOKUP($S$1597,'TAR FIN'!$A$1:$O$95,15,0)),0,VLOOKUP($S$1597,'TAR FIN'!$A$1:$O$95,15,0))</f>
        <v>0</v>
      </c>
      <c r="W1597" s="6">
        <f>IF(ISERROR(VLOOKUP($T$1597,'TAR FIN'!$A$1:$O$95,15,0)),0,VLOOKUP($T$1597,'TAR FIN'!$A$1:$O$95,15,0))</f>
        <v>661.68</v>
      </c>
      <c r="X1597" s="6">
        <f>IF(ISERROR(VLOOKUP($U$1597,'TAR FIN'!$A$1:$O$95,15,0)),0,VLOOKUP($U$1597,'TAR FIN'!$A$1:$O$95,15,0))</f>
        <v>230.03</v>
      </c>
      <c r="Y1597" s="6"/>
      <c r="Z1597" s="6">
        <f ca="1">('TUSD BE'!$AM$23+'TUSD BF'!$AM$23+'TUSD CVA'!$AM$23)*1</f>
        <v>743.22507649683655</v>
      </c>
      <c r="AA1597" s="6">
        <f>('TE BE'!$AA$11+'TE BF'!$AA$11+'TE CVA'!$AA$11)*1</f>
        <v>282.91739971702214</v>
      </c>
      <c r="AB1597" s="6">
        <f>$K$1597*$V$1597</f>
        <v>0</v>
      </c>
      <c r="AC1597" s="6">
        <f>$M$1597*$W$1597</f>
        <v>1916.2252799999999</v>
      </c>
      <c r="AD1597" s="6">
        <f>$O$1597*$X$1597</f>
        <v>666.16687999999999</v>
      </c>
      <c r="AE1597" s="6">
        <f>$K$1597*$Y$1597</f>
        <v>0</v>
      </c>
      <c r="AF1597" s="6">
        <f ca="1">$M$1597*$Z$1597</f>
        <v>2152.3798215348384</v>
      </c>
      <c r="AG1597" s="6">
        <f>$O$1597*$AA$1597</f>
        <v>819.32878958049605</v>
      </c>
    </row>
    <row r="1598" spans="1:33" ht="11.25" customHeight="1" x14ac:dyDescent="0.25">
      <c r="A1598" s="4" t="s">
        <v>28</v>
      </c>
      <c r="B1598" s="4" t="s">
        <v>22</v>
      </c>
      <c r="C1598" s="4" t="s">
        <v>39</v>
      </c>
      <c r="D1598" s="4" t="s">
        <v>24</v>
      </c>
      <c r="E1598" s="4" t="s">
        <v>24</v>
      </c>
      <c r="F1598" s="4" t="s">
        <v>25</v>
      </c>
      <c r="G1598" s="4" t="s">
        <v>25</v>
      </c>
      <c r="H1598" s="4" t="s">
        <v>40</v>
      </c>
      <c r="I1598" s="5">
        <v>44287</v>
      </c>
      <c r="J1598" s="6">
        <v>0</v>
      </c>
      <c r="K1598" s="6">
        <v>0</v>
      </c>
      <c r="L1598" s="6">
        <v>0.13600000000000001</v>
      </c>
      <c r="M1598" s="6">
        <v>0.13600000000000001</v>
      </c>
      <c r="N1598" s="6">
        <v>0.13600000000000001</v>
      </c>
      <c r="O1598" s="6">
        <v>0.13600000000000001</v>
      </c>
      <c r="P1598" s="6">
        <v>0</v>
      </c>
      <c r="Q1598" s="4" t="s">
        <v>26</v>
      </c>
      <c r="R1598" s="4">
        <v>0</v>
      </c>
      <c r="S1598" s="6">
        <v>0</v>
      </c>
      <c r="T1598" s="6">
        <v>11</v>
      </c>
      <c r="U1598" s="6">
        <v>63</v>
      </c>
      <c r="V1598" s="6">
        <f>IF(ISERROR(VLOOKUP($S$1598,'TAR FIN'!$A$1:$O$95,15,0)),0,VLOOKUP($S$1598,'TAR FIN'!$A$1:$O$95,15,0))</f>
        <v>0</v>
      </c>
      <c r="W1598" s="6">
        <f>IF(ISERROR(VLOOKUP($T$1598,'TAR FIN'!$A$1:$O$95,15,0)),0,VLOOKUP($T$1598,'TAR FIN'!$A$1:$O$95,15,0))</f>
        <v>661.68</v>
      </c>
      <c r="X1598" s="6">
        <f>IF(ISERROR(VLOOKUP($U$1598,'TAR FIN'!$A$1:$O$95,15,0)),0,VLOOKUP($U$1598,'TAR FIN'!$A$1:$O$95,15,0))</f>
        <v>230.03</v>
      </c>
      <c r="Y1598" s="6"/>
      <c r="Z1598" s="6">
        <f ca="1">('TUSD BE'!$AM$23+'TUSD BF'!$AM$23+'TUSD CVA'!$AM$23)*1</f>
        <v>743.22507649683655</v>
      </c>
      <c r="AA1598" s="6">
        <f>('TE BE'!$AA$11+'TE BF'!$AA$11+'TE CVA'!$AA$11)*1</f>
        <v>282.91739971702214</v>
      </c>
      <c r="AB1598" s="6">
        <f>$K$1598*$V$1598</f>
        <v>0</v>
      </c>
      <c r="AC1598" s="6">
        <f>$M$1598*$W$1598</f>
        <v>89.988479999999996</v>
      </c>
      <c r="AD1598" s="6">
        <f>$O$1598*$X$1598</f>
        <v>31.284080000000003</v>
      </c>
      <c r="AE1598" s="6">
        <f>$K$1598*$Y$1598</f>
        <v>0</v>
      </c>
      <c r="AF1598" s="6">
        <f ca="1">$M$1598*$Z$1598</f>
        <v>101.07861040356978</v>
      </c>
      <c r="AG1598" s="6">
        <f>$O$1598*$AA$1598</f>
        <v>38.476766361515011</v>
      </c>
    </row>
    <row r="1599" spans="1:33" ht="11.25" customHeight="1" x14ac:dyDescent="0.25">
      <c r="A1599" s="4" t="s">
        <v>30</v>
      </c>
      <c r="B1599" s="4" t="s">
        <v>22</v>
      </c>
      <c r="C1599" s="4" t="s">
        <v>39</v>
      </c>
      <c r="D1599" s="4" t="s">
        <v>24</v>
      </c>
      <c r="E1599" s="4" t="s">
        <v>24</v>
      </c>
      <c r="F1599" s="4" t="s">
        <v>25</v>
      </c>
      <c r="G1599" s="4" t="s">
        <v>25</v>
      </c>
      <c r="H1599" s="4" t="s">
        <v>40</v>
      </c>
      <c r="I1599" s="5">
        <v>44287</v>
      </c>
      <c r="J1599" s="6">
        <v>0</v>
      </c>
      <c r="K1599" s="6">
        <v>0</v>
      </c>
      <c r="L1599" s="6">
        <v>0.11899999999999999</v>
      </c>
      <c r="M1599" s="6">
        <v>0.11899999999999999</v>
      </c>
      <c r="N1599" s="6">
        <v>0.11899999999999999</v>
      </c>
      <c r="O1599" s="6">
        <v>0.11899999999999999</v>
      </c>
      <c r="P1599" s="6">
        <v>0</v>
      </c>
      <c r="Q1599" s="4" t="s">
        <v>26</v>
      </c>
      <c r="R1599" s="4">
        <v>0</v>
      </c>
      <c r="S1599" s="6">
        <v>0</v>
      </c>
      <c r="T1599" s="6">
        <v>11</v>
      </c>
      <c r="U1599" s="6">
        <v>63</v>
      </c>
      <c r="V1599" s="6">
        <f>IF(ISERROR(VLOOKUP($S$1599,'TAR FIN'!$A$1:$O$95,15,0)),0,VLOOKUP($S$1599,'TAR FIN'!$A$1:$O$95,15,0))</f>
        <v>0</v>
      </c>
      <c r="W1599" s="6">
        <f>IF(ISERROR(VLOOKUP($T$1599,'TAR FIN'!$A$1:$O$95,15,0)),0,VLOOKUP($T$1599,'TAR FIN'!$A$1:$O$95,15,0))</f>
        <v>661.68</v>
      </c>
      <c r="X1599" s="6">
        <f>IF(ISERROR(VLOOKUP($U$1599,'TAR FIN'!$A$1:$O$95,15,0)),0,VLOOKUP($U$1599,'TAR FIN'!$A$1:$O$95,15,0))</f>
        <v>230.03</v>
      </c>
      <c r="Y1599" s="6"/>
      <c r="Z1599" s="6">
        <f ca="1">('TUSD BE'!$AM$23+'TUSD BF'!$AM$23+'TUSD CVA'!$AM$23)*1</f>
        <v>743.22507649683655</v>
      </c>
      <c r="AA1599" s="6">
        <f>('TE BE'!$AA$11+'TE BF'!$AA$11+'TE CVA'!$AA$11)*1</f>
        <v>282.91739971702214</v>
      </c>
      <c r="AB1599" s="6">
        <f>$K$1599*$V$1599</f>
        <v>0</v>
      </c>
      <c r="AC1599" s="6">
        <f>$M$1599*$W$1599</f>
        <v>78.739919999999984</v>
      </c>
      <c r="AD1599" s="6">
        <f>$O$1599*$X$1599</f>
        <v>27.373569999999997</v>
      </c>
      <c r="AE1599" s="6">
        <f>$K$1599*$Y$1599</f>
        <v>0</v>
      </c>
      <c r="AF1599" s="6">
        <f ca="1">$M$1599*$Z$1599</f>
        <v>88.443784103123548</v>
      </c>
      <c r="AG1599" s="6">
        <f>$O$1599*$AA$1599</f>
        <v>33.66717056632563</v>
      </c>
    </row>
    <row r="1600" spans="1:33" ht="11.25" customHeight="1" x14ac:dyDescent="0.25">
      <c r="A1600" s="4" t="s">
        <v>21</v>
      </c>
      <c r="B1600" s="4" t="s">
        <v>22</v>
      </c>
      <c r="C1600" s="4" t="s">
        <v>39</v>
      </c>
      <c r="D1600" s="4" t="s">
        <v>24</v>
      </c>
      <c r="E1600" s="4" t="s">
        <v>24</v>
      </c>
      <c r="F1600" s="4" t="s">
        <v>25</v>
      </c>
      <c r="G1600" s="4" t="s">
        <v>25</v>
      </c>
      <c r="H1600" s="4" t="s">
        <v>40</v>
      </c>
      <c r="I1600" s="5">
        <v>44317</v>
      </c>
      <c r="J1600" s="6">
        <v>0</v>
      </c>
      <c r="K1600" s="6">
        <v>0</v>
      </c>
      <c r="L1600" s="6">
        <v>2.0419999999999998</v>
      </c>
      <c r="M1600" s="6">
        <v>2.0419999999999998</v>
      </c>
      <c r="N1600" s="6">
        <v>2.0419999999999998</v>
      </c>
      <c r="O1600" s="6">
        <v>2.0419999999999998</v>
      </c>
      <c r="P1600" s="6">
        <v>0</v>
      </c>
      <c r="Q1600" s="4" t="s">
        <v>26</v>
      </c>
      <c r="R1600" s="4">
        <v>0</v>
      </c>
      <c r="S1600" s="6">
        <v>0</v>
      </c>
      <c r="T1600" s="6">
        <v>11</v>
      </c>
      <c r="U1600" s="6">
        <v>63</v>
      </c>
      <c r="V1600" s="6">
        <f>IF(ISERROR(VLOOKUP($S$1600,'TAR FIN'!$A$1:$O$95,15,0)),0,VLOOKUP($S$1600,'TAR FIN'!$A$1:$O$95,15,0))</f>
        <v>0</v>
      </c>
      <c r="W1600" s="6">
        <f>IF(ISERROR(VLOOKUP($T$1600,'TAR FIN'!$A$1:$O$95,15,0)),0,VLOOKUP($T$1600,'TAR FIN'!$A$1:$O$95,15,0))</f>
        <v>661.68</v>
      </c>
      <c r="X1600" s="6">
        <f>IF(ISERROR(VLOOKUP($U$1600,'TAR FIN'!$A$1:$O$95,15,0)),0,VLOOKUP($U$1600,'TAR FIN'!$A$1:$O$95,15,0))</f>
        <v>230.03</v>
      </c>
      <c r="Y1600" s="6"/>
      <c r="Z1600" s="6">
        <f ca="1">('TUSD BE'!$AM$23+'TUSD BF'!$AM$23+'TUSD CVA'!$AM$23)*1</f>
        <v>743.22507649683655</v>
      </c>
      <c r="AA1600" s="6">
        <f>('TE BE'!$AA$11+'TE BF'!$AA$11+'TE CVA'!$AA$11)*1</f>
        <v>282.91739971702214</v>
      </c>
      <c r="AB1600" s="6">
        <f>$K$1600*$V$1600</f>
        <v>0</v>
      </c>
      <c r="AC1600" s="6">
        <f>$M$1600*$W$1600</f>
        <v>1351.1505599999998</v>
      </c>
      <c r="AD1600" s="6">
        <f>$O$1600*$X$1600</f>
        <v>469.72125999999997</v>
      </c>
      <c r="AE1600" s="6">
        <f>$K$1600*$Y$1600</f>
        <v>0</v>
      </c>
      <c r="AF1600" s="6">
        <f ca="1">$M$1600*$Z$1600</f>
        <v>1517.6656062065401</v>
      </c>
      <c r="AG1600" s="6">
        <f>$O$1600*$AA$1600</f>
        <v>577.71733022215915</v>
      </c>
    </row>
    <row r="1601" spans="1:33" ht="11.25" customHeight="1" x14ac:dyDescent="0.25">
      <c r="A1601" s="4" t="s">
        <v>28</v>
      </c>
      <c r="B1601" s="4" t="s">
        <v>22</v>
      </c>
      <c r="C1601" s="4" t="s">
        <v>39</v>
      </c>
      <c r="D1601" s="4" t="s">
        <v>24</v>
      </c>
      <c r="E1601" s="4" t="s">
        <v>24</v>
      </c>
      <c r="F1601" s="4" t="s">
        <v>25</v>
      </c>
      <c r="G1601" s="4" t="s">
        <v>25</v>
      </c>
      <c r="H1601" s="4" t="s">
        <v>40</v>
      </c>
      <c r="I1601" s="5">
        <v>44317</v>
      </c>
      <c r="J1601" s="6">
        <v>0</v>
      </c>
      <c r="K1601" s="6">
        <v>0</v>
      </c>
      <c r="L1601" s="6">
        <v>0.12</v>
      </c>
      <c r="M1601" s="6">
        <v>0.12</v>
      </c>
      <c r="N1601" s="6">
        <v>0.12</v>
      </c>
      <c r="O1601" s="6">
        <v>0.12</v>
      </c>
      <c r="P1601" s="6">
        <v>0</v>
      </c>
      <c r="Q1601" s="4" t="s">
        <v>26</v>
      </c>
      <c r="R1601" s="4">
        <v>0</v>
      </c>
      <c r="S1601" s="6">
        <v>0</v>
      </c>
      <c r="T1601" s="6">
        <v>11</v>
      </c>
      <c r="U1601" s="6">
        <v>63</v>
      </c>
      <c r="V1601" s="6">
        <f>IF(ISERROR(VLOOKUP($S$1601,'TAR FIN'!$A$1:$O$95,15,0)),0,VLOOKUP($S$1601,'TAR FIN'!$A$1:$O$95,15,0))</f>
        <v>0</v>
      </c>
      <c r="W1601" s="6">
        <f>IF(ISERROR(VLOOKUP($T$1601,'TAR FIN'!$A$1:$O$95,15,0)),0,VLOOKUP($T$1601,'TAR FIN'!$A$1:$O$95,15,0))</f>
        <v>661.68</v>
      </c>
      <c r="X1601" s="6">
        <f>IF(ISERROR(VLOOKUP($U$1601,'TAR FIN'!$A$1:$O$95,15,0)),0,VLOOKUP($U$1601,'TAR FIN'!$A$1:$O$95,15,0))</f>
        <v>230.03</v>
      </c>
      <c r="Y1601" s="6"/>
      <c r="Z1601" s="6">
        <f ca="1">('TUSD BE'!$AM$23+'TUSD BF'!$AM$23+'TUSD CVA'!$AM$23)*1</f>
        <v>743.22507649683655</v>
      </c>
      <c r="AA1601" s="6">
        <f>('TE BE'!$AA$11+'TE BF'!$AA$11+'TE CVA'!$AA$11)*1</f>
        <v>282.91739971702214</v>
      </c>
      <c r="AB1601" s="6">
        <f>$K$1601*$V$1601</f>
        <v>0</v>
      </c>
      <c r="AC1601" s="6">
        <f>$M$1601*$W$1601</f>
        <v>79.401599999999988</v>
      </c>
      <c r="AD1601" s="6">
        <f>$O$1601*$X$1601</f>
        <v>27.6036</v>
      </c>
      <c r="AE1601" s="6">
        <f>$K$1601*$Y$1601</f>
        <v>0</v>
      </c>
      <c r="AF1601" s="6">
        <f ca="1">$M$1601*$Z$1601</f>
        <v>89.187009179620389</v>
      </c>
      <c r="AG1601" s="6">
        <f>$O$1601*$AA$1601</f>
        <v>33.950087966042652</v>
      </c>
    </row>
    <row r="1602" spans="1:33" ht="11.25" customHeight="1" x14ac:dyDescent="0.25">
      <c r="A1602" s="4" t="s">
        <v>30</v>
      </c>
      <c r="B1602" s="4" t="s">
        <v>22</v>
      </c>
      <c r="C1602" s="4" t="s">
        <v>39</v>
      </c>
      <c r="D1602" s="4" t="s">
        <v>24</v>
      </c>
      <c r="E1602" s="4" t="s">
        <v>24</v>
      </c>
      <c r="F1602" s="4" t="s">
        <v>25</v>
      </c>
      <c r="G1602" s="4" t="s">
        <v>25</v>
      </c>
      <c r="H1602" s="4" t="s">
        <v>40</v>
      </c>
      <c r="I1602" s="5">
        <v>44317</v>
      </c>
      <c r="J1602" s="6">
        <v>0</v>
      </c>
      <c r="K1602" s="6">
        <v>0</v>
      </c>
      <c r="L1602" s="6">
        <v>0.17799999999999999</v>
      </c>
      <c r="M1602" s="6">
        <v>0.17799999999999999</v>
      </c>
      <c r="N1602" s="6">
        <v>0.17799999999999999</v>
      </c>
      <c r="O1602" s="6">
        <v>0.17799999999999999</v>
      </c>
      <c r="P1602" s="6">
        <v>0</v>
      </c>
      <c r="Q1602" s="4" t="s">
        <v>26</v>
      </c>
      <c r="R1602" s="4">
        <v>0</v>
      </c>
      <c r="S1602" s="6">
        <v>0</v>
      </c>
      <c r="T1602" s="6">
        <v>11</v>
      </c>
      <c r="U1602" s="6">
        <v>63</v>
      </c>
      <c r="V1602" s="6">
        <f>IF(ISERROR(VLOOKUP($S$1602,'TAR FIN'!$A$1:$O$95,15,0)),0,VLOOKUP($S$1602,'TAR FIN'!$A$1:$O$95,15,0))</f>
        <v>0</v>
      </c>
      <c r="W1602" s="6">
        <f>IF(ISERROR(VLOOKUP($T$1602,'TAR FIN'!$A$1:$O$95,15,0)),0,VLOOKUP($T$1602,'TAR FIN'!$A$1:$O$95,15,0))</f>
        <v>661.68</v>
      </c>
      <c r="X1602" s="6">
        <f>IF(ISERROR(VLOOKUP($U$1602,'TAR FIN'!$A$1:$O$95,15,0)),0,VLOOKUP($U$1602,'TAR FIN'!$A$1:$O$95,15,0))</f>
        <v>230.03</v>
      </c>
      <c r="Y1602" s="6"/>
      <c r="Z1602" s="6">
        <f ca="1">('TUSD BE'!$AM$23+'TUSD BF'!$AM$23+'TUSD CVA'!$AM$23)*1</f>
        <v>743.22507649683655</v>
      </c>
      <c r="AA1602" s="6">
        <f>('TE BE'!$AA$11+'TE BF'!$AA$11+'TE CVA'!$AA$11)*1</f>
        <v>282.91739971702214</v>
      </c>
      <c r="AB1602" s="6">
        <f>$K$1602*$V$1602</f>
        <v>0</v>
      </c>
      <c r="AC1602" s="6">
        <f>$M$1602*$W$1602</f>
        <v>117.77903999999998</v>
      </c>
      <c r="AD1602" s="6">
        <f>$O$1602*$X$1602</f>
        <v>40.945340000000002</v>
      </c>
      <c r="AE1602" s="6">
        <f>$K$1602*$Y$1602</f>
        <v>0</v>
      </c>
      <c r="AF1602" s="6">
        <f ca="1">$M$1602*$Z$1602</f>
        <v>132.29406361643689</v>
      </c>
      <c r="AG1602" s="6">
        <f>$O$1602*$AA$1602</f>
        <v>50.359297149629938</v>
      </c>
    </row>
    <row r="1603" spans="1:33" ht="11.25" customHeight="1" x14ac:dyDescent="0.25">
      <c r="A1603" s="4" t="s">
        <v>21</v>
      </c>
      <c r="B1603" s="4" t="s">
        <v>22</v>
      </c>
      <c r="C1603" s="4" t="s">
        <v>39</v>
      </c>
      <c r="D1603" s="4" t="s">
        <v>24</v>
      </c>
      <c r="E1603" s="4" t="s">
        <v>24</v>
      </c>
      <c r="F1603" s="4" t="s">
        <v>25</v>
      </c>
      <c r="G1603" s="4" t="s">
        <v>25</v>
      </c>
      <c r="H1603" s="4" t="s">
        <v>40</v>
      </c>
      <c r="I1603" s="5">
        <v>44348</v>
      </c>
      <c r="J1603" s="6">
        <v>0</v>
      </c>
      <c r="K1603" s="6">
        <v>0</v>
      </c>
      <c r="L1603" s="6">
        <v>2.5710000000000002</v>
      </c>
      <c r="M1603" s="6">
        <v>2.5710000000000002</v>
      </c>
      <c r="N1603" s="6">
        <v>2.5710000000000002</v>
      </c>
      <c r="O1603" s="6">
        <v>2.5710000000000002</v>
      </c>
      <c r="P1603" s="6">
        <v>0</v>
      </c>
      <c r="Q1603" s="4" t="s">
        <v>26</v>
      </c>
      <c r="R1603" s="4">
        <v>0</v>
      </c>
      <c r="S1603" s="6">
        <v>0</v>
      </c>
      <c r="T1603" s="6">
        <v>11</v>
      </c>
      <c r="U1603" s="6">
        <v>63</v>
      </c>
      <c r="V1603" s="6">
        <f>IF(ISERROR(VLOOKUP($S$1603,'TAR FIN'!$A$1:$O$95,15,0)),0,VLOOKUP($S$1603,'TAR FIN'!$A$1:$O$95,15,0))</f>
        <v>0</v>
      </c>
      <c r="W1603" s="6">
        <f>IF(ISERROR(VLOOKUP($T$1603,'TAR FIN'!$A$1:$O$95,15,0)),0,VLOOKUP($T$1603,'TAR FIN'!$A$1:$O$95,15,0))</f>
        <v>661.68</v>
      </c>
      <c r="X1603" s="6">
        <f>IF(ISERROR(VLOOKUP($U$1603,'TAR FIN'!$A$1:$O$95,15,0)),0,VLOOKUP($U$1603,'TAR FIN'!$A$1:$O$95,15,0))</f>
        <v>230.03</v>
      </c>
      <c r="Y1603" s="6"/>
      <c r="Z1603" s="6">
        <f ca="1">('TUSD BE'!$AM$23+'TUSD BF'!$AM$23+'TUSD CVA'!$AM$23)*1</f>
        <v>743.22507649683655</v>
      </c>
      <c r="AA1603" s="6">
        <f>('TE BE'!$AA$11+'TE BF'!$AA$11+'TE CVA'!$AA$11)*1</f>
        <v>282.91739971702214</v>
      </c>
      <c r="AB1603" s="6">
        <f>$K$1603*$V$1603</f>
        <v>0</v>
      </c>
      <c r="AC1603" s="6">
        <f>$M$1603*$W$1603</f>
        <v>1701.1792800000001</v>
      </c>
      <c r="AD1603" s="6">
        <f>$O$1603*$X$1603</f>
        <v>591.40713000000005</v>
      </c>
      <c r="AE1603" s="6">
        <f>$K$1603*$Y$1603</f>
        <v>0</v>
      </c>
      <c r="AF1603" s="6">
        <f ca="1">$M$1603*$Z$1603</f>
        <v>1910.8316716733668</v>
      </c>
      <c r="AG1603" s="6">
        <f>$O$1603*$AA$1603</f>
        <v>727.380634672464</v>
      </c>
    </row>
    <row r="1604" spans="1:33" ht="11.25" customHeight="1" x14ac:dyDescent="0.25">
      <c r="A1604" s="4" t="s">
        <v>28</v>
      </c>
      <c r="B1604" s="4" t="s">
        <v>22</v>
      </c>
      <c r="C1604" s="4" t="s">
        <v>39</v>
      </c>
      <c r="D1604" s="4" t="s">
        <v>24</v>
      </c>
      <c r="E1604" s="4" t="s">
        <v>24</v>
      </c>
      <c r="F1604" s="4" t="s">
        <v>25</v>
      </c>
      <c r="G1604" s="4" t="s">
        <v>25</v>
      </c>
      <c r="H1604" s="4" t="s">
        <v>40</v>
      </c>
      <c r="I1604" s="5">
        <v>44348</v>
      </c>
      <c r="J1604" s="6">
        <v>0</v>
      </c>
      <c r="K1604" s="6">
        <v>0</v>
      </c>
      <c r="L1604" s="6">
        <v>0.17199999999999999</v>
      </c>
      <c r="M1604" s="6">
        <v>0.17199999999999999</v>
      </c>
      <c r="N1604" s="6">
        <v>0.17199999999999999</v>
      </c>
      <c r="O1604" s="6">
        <v>0.17199999999999999</v>
      </c>
      <c r="P1604" s="6">
        <v>0</v>
      </c>
      <c r="Q1604" s="4" t="s">
        <v>26</v>
      </c>
      <c r="R1604" s="4">
        <v>0</v>
      </c>
      <c r="S1604" s="6">
        <v>0</v>
      </c>
      <c r="T1604" s="6">
        <v>11</v>
      </c>
      <c r="U1604" s="6">
        <v>63</v>
      </c>
      <c r="V1604" s="6">
        <f>IF(ISERROR(VLOOKUP($S$1604,'TAR FIN'!$A$1:$O$95,15,0)),0,VLOOKUP($S$1604,'TAR FIN'!$A$1:$O$95,15,0))</f>
        <v>0</v>
      </c>
      <c r="W1604" s="6">
        <f>IF(ISERROR(VLOOKUP($T$1604,'TAR FIN'!$A$1:$O$95,15,0)),0,VLOOKUP($T$1604,'TAR FIN'!$A$1:$O$95,15,0))</f>
        <v>661.68</v>
      </c>
      <c r="X1604" s="6">
        <f>IF(ISERROR(VLOOKUP($U$1604,'TAR FIN'!$A$1:$O$95,15,0)),0,VLOOKUP($U$1604,'TAR FIN'!$A$1:$O$95,15,0))</f>
        <v>230.03</v>
      </c>
      <c r="Y1604" s="6"/>
      <c r="Z1604" s="6">
        <f ca="1">('TUSD BE'!$AM$23+'TUSD BF'!$AM$23+'TUSD CVA'!$AM$23)*1</f>
        <v>743.22507649683655</v>
      </c>
      <c r="AA1604" s="6">
        <f>('TE BE'!$AA$11+'TE BF'!$AA$11+'TE CVA'!$AA$11)*1</f>
        <v>282.91739971702214</v>
      </c>
      <c r="AB1604" s="6">
        <f>$K$1604*$V$1604</f>
        <v>0</v>
      </c>
      <c r="AC1604" s="6">
        <f>$M$1604*$W$1604</f>
        <v>113.80895999999998</v>
      </c>
      <c r="AD1604" s="6">
        <f>$O$1604*$X$1604</f>
        <v>39.565159999999999</v>
      </c>
      <c r="AE1604" s="6">
        <f>$K$1604*$Y$1604</f>
        <v>0</v>
      </c>
      <c r="AF1604" s="6">
        <f ca="1">$M$1604*$Z$1604</f>
        <v>127.83471315745588</v>
      </c>
      <c r="AG1604" s="6">
        <f>$O$1604*$AA$1604</f>
        <v>48.661792751327802</v>
      </c>
    </row>
    <row r="1605" spans="1:33" ht="11.25" customHeight="1" x14ac:dyDescent="0.25">
      <c r="A1605" s="4" t="s">
        <v>30</v>
      </c>
      <c r="B1605" s="4" t="s">
        <v>22</v>
      </c>
      <c r="C1605" s="4" t="s">
        <v>39</v>
      </c>
      <c r="D1605" s="4" t="s">
        <v>24</v>
      </c>
      <c r="E1605" s="4" t="s">
        <v>24</v>
      </c>
      <c r="F1605" s="4" t="s">
        <v>25</v>
      </c>
      <c r="G1605" s="4" t="s">
        <v>25</v>
      </c>
      <c r="H1605" s="4" t="s">
        <v>40</v>
      </c>
      <c r="I1605" s="5">
        <v>44348</v>
      </c>
      <c r="J1605" s="6">
        <v>0</v>
      </c>
      <c r="K1605" s="6">
        <v>0</v>
      </c>
      <c r="L1605" s="6">
        <v>0.161</v>
      </c>
      <c r="M1605" s="6">
        <v>0.161</v>
      </c>
      <c r="N1605" s="6">
        <v>0.161</v>
      </c>
      <c r="O1605" s="6">
        <v>0.161</v>
      </c>
      <c r="P1605" s="6">
        <v>0</v>
      </c>
      <c r="Q1605" s="4" t="s">
        <v>26</v>
      </c>
      <c r="R1605" s="4">
        <v>0</v>
      </c>
      <c r="S1605" s="6">
        <v>0</v>
      </c>
      <c r="T1605" s="6">
        <v>11</v>
      </c>
      <c r="U1605" s="6">
        <v>63</v>
      </c>
      <c r="V1605" s="6">
        <f>IF(ISERROR(VLOOKUP($S$1605,'TAR FIN'!$A$1:$O$95,15,0)),0,VLOOKUP($S$1605,'TAR FIN'!$A$1:$O$95,15,0))</f>
        <v>0</v>
      </c>
      <c r="W1605" s="6">
        <f>IF(ISERROR(VLOOKUP($T$1605,'TAR FIN'!$A$1:$O$95,15,0)),0,VLOOKUP($T$1605,'TAR FIN'!$A$1:$O$95,15,0))</f>
        <v>661.68</v>
      </c>
      <c r="X1605" s="6">
        <f>IF(ISERROR(VLOOKUP($U$1605,'TAR FIN'!$A$1:$O$95,15,0)),0,VLOOKUP($U$1605,'TAR FIN'!$A$1:$O$95,15,0))</f>
        <v>230.03</v>
      </c>
      <c r="Y1605" s="6"/>
      <c r="Z1605" s="6">
        <f ca="1">('TUSD BE'!$AM$23+'TUSD BF'!$AM$23+'TUSD CVA'!$AM$23)*1</f>
        <v>743.22507649683655</v>
      </c>
      <c r="AA1605" s="6">
        <f>('TE BE'!$AA$11+'TE BF'!$AA$11+'TE CVA'!$AA$11)*1</f>
        <v>282.91739971702214</v>
      </c>
      <c r="AB1605" s="6">
        <f>$K$1605*$V$1605</f>
        <v>0</v>
      </c>
      <c r="AC1605" s="6">
        <f>$M$1605*$W$1605</f>
        <v>106.53048</v>
      </c>
      <c r="AD1605" s="6">
        <f>$O$1605*$X$1605</f>
        <v>37.034829999999999</v>
      </c>
      <c r="AE1605" s="6">
        <f>$K$1605*$Y$1605</f>
        <v>0</v>
      </c>
      <c r="AF1605" s="6">
        <f ca="1">$M$1605*$Z$1605</f>
        <v>119.65923731599069</v>
      </c>
      <c r="AG1605" s="6">
        <f>$O$1605*$AA$1605</f>
        <v>45.549701354440565</v>
      </c>
    </row>
    <row r="1606" spans="1:33" ht="11.25" customHeight="1" x14ac:dyDescent="0.25">
      <c r="A1606" s="4" t="s">
        <v>21</v>
      </c>
      <c r="B1606" s="4" t="s">
        <v>22</v>
      </c>
      <c r="C1606" s="4" t="s">
        <v>39</v>
      </c>
      <c r="D1606" s="4" t="s">
        <v>24</v>
      </c>
      <c r="E1606" s="4" t="s">
        <v>24</v>
      </c>
      <c r="F1606" s="4" t="s">
        <v>25</v>
      </c>
      <c r="G1606" s="4" t="s">
        <v>25</v>
      </c>
      <c r="H1606" s="4" t="s">
        <v>40</v>
      </c>
      <c r="I1606" s="5">
        <v>44378</v>
      </c>
      <c r="J1606" s="6">
        <v>0</v>
      </c>
      <c r="K1606" s="6">
        <v>0</v>
      </c>
      <c r="L1606" s="6">
        <v>2.371</v>
      </c>
      <c r="M1606" s="6">
        <v>2.371</v>
      </c>
      <c r="N1606" s="6">
        <v>2.371</v>
      </c>
      <c r="O1606" s="6">
        <v>2.371</v>
      </c>
      <c r="P1606" s="6">
        <v>0</v>
      </c>
      <c r="Q1606" s="4" t="s">
        <v>26</v>
      </c>
      <c r="R1606" s="4">
        <v>0</v>
      </c>
      <c r="S1606" s="6">
        <v>0</v>
      </c>
      <c r="T1606" s="6">
        <v>11</v>
      </c>
      <c r="U1606" s="6">
        <v>63</v>
      </c>
      <c r="V1606" s="6">
        <f>IF(ISERROR(VLOOKUP($S$1606,'TAR FIN'!$A$1:$O$95,15,0)),0,VLOOKUP($S$1606,'TAR FIN'!$A$1:$O$95,15,0))</f>
        <v>0</v>
      </c>
      <c r="W1606" s="6">
        <f>IF(ISERROR(VLOOKUP($T$1606,'TAR FIN'!$A$1:$O$95,15,0)),0,VLOOKUP($T$1606,'TAR FIN'!$A$1:$O$95,15,0))</f>
        <v>661.68</v>
      </c>
      <c r="X1606" s="6">
        <f>IF(ISERROR(VLOOKUP($U$1606,'TAR FIN'!$A$1:$O$95,15,0)),0,VLOOKUP($U$1606,'TAR FIN'!$A$1:$O$95,15,0))</f>
        <v>230.03</v>
      </c>
      <c r="Y1606" s="6"/>
      <c r="Z1606" s="6">
        <f ca="1">('TUSD BE'!$AM$23+'TUSD BF'!$AM$23+'TUSD CVA'!$AM$23)*1</f>
        <v>743.22507649683655</v>
      </c>
      <c r="AA1606" s="6">
        <f>('TE BE'!$AA$11+'TE BF'!$AA$11+'TE CVA'!$AA$11)*1</f>
        <v>282.91739971702214</v>
      </c>
      <c r="AB1606" s="6">
        <f>$K$1606*$V$1606</f>
        <v>0</v>
      </c>
      <c r="AC1606" s="6">
        <f>$M$1606*$W$1606</f>
        <v>1568.8432799999998</v>
      </c>
      <c r="AD1606" s="6">
        <f>$O$1606*$X$1606</f>
        <v>545.40112999999997</v>
      </c>
      <c r="AE1606" s="6">
        <f>$K$1606*$Y$1606</f>
        <v>0</v>
      </c>
      <c r="AF1606" s="6">
        <f ca="1">$M$1606*$Z$1606</f>
        <v>1762.1866563739995</v>
      </c>
      <c r="AG1606" s="6">
        <f>$O$1606*$AA$1606</f>
        <v>670.79715472905946</v>
      </c>
    </row>
    <row r="1607" spans="1:33" ht="11.25" customHeight="1" x14ac:dyDescent="0.25">
      <c r="A1607" s="4" t="s">
        <v>27</v>
      </c>
      <c r="B1607" s="4" t="s">
        <v>22</v>
      </c>
      <c r="C1607" s="4" t="s">
        <v>39</v>
      </c>
      <c r="D1607" s="4" t="s">
        <v>24</v>
      </c>
      <c r="E1607" s="4" t="s">
        <v>24</v>
      </c>
      <c r="F1607" s="4" t="s">
        <v>25</v>
      </c>
      <c r="G1607" s="4" t="s">
        <v>25</v>
      </c>
      <c r="H1607" s="4" t="s">
        <v>40</v>
      </c>
      <c r="I1607" s="5">
        <v>44378</v>
      </c>
      <c r="J1607" s="6">
        <v>0</v>
      </c>
      <c r="K1607" s="6">
        <v>0</v>
      </c>
      <c r="L1607" s="6">
        <v>2.7E-2</v>
      </c>
      <c r="M1607" s="6">
        <v>2.7E-2</v>
      </c>
      <c r="N1607" s="6">
        <v>2.7E-2</v>
      </c>
      <c r="O1607" s="6">
        <v>2.7E-2</v>
      </c>
      <c r="P1607" s="6">
        <v>0</v>
      </c>
      <c r="Q1607" s="4" t="s">
        <v>26</v>
      </c>
      <c r="R1607" s="4">
        <v>0</v>
      </c>
      <c r="S1607" s="6">
        <v>0</v>
      </c>
      <c r="T1607" s="6">
        <v>11</v>
      </c>
      <c r="U1607" s="6">
        <v>63</v>
      </c>
      <c r="V1607" s="6">
        <f>IF(ISERROR(VLOOKUP($S$1607,'TAR FIN'!$A$1:$O$95,15,0)),0,VLOOKUP($S$1607,'TAR FIN'!$A$1:$O$95,15,0))</f>
        <v>0</v>
      </c>
      <c r="W1607" s="6">
        <f>IF(ISERROR(VLOOKUP($T$1607,'TAR FIN'!$A$1:$O$95,15,0)),0,VLOOKUP($T$1607,'TAR FIN'!$A$1:$O$95,15,0))</f>
        <v>661.68</v>
      </c>
      <c r="X1607" s="6">
        <f>IF(ISERROR(VLOOKUP($U$1607,'TAR FIN'!$A$1:$O$95,15,0)),0,VLOOKUP($U$1607,'TAR FIN'!$A$1:$O$95,15,0))</f>
        <v>230.03</v>
      </c>
      <c r="Y1607" s="6"/>
      <c r="Z1607" s="6">
        <f ca="1">('TUSD BE'!$AM$23+'TUSD BF'!$AM$23+'TUSD CVA'!$AM$23)*1</f>
        <v>743.22507649683655</v>
      </c>
      <c r="AA1607" s="6">
        <f>('TE BE'!$AA$11+'TE BF'!$AA$11+'TE CVA'!$AA$11)*1</f>
        <v>282.91739971702214</v>
      </c>
      <c r="AB1607" s="6">
        <f>$K$1607*$V$1607</f>
        <v>0</v>
      </c>
      <c r="AC1607" s="6">
        <f>$M$1607*$W$1607</f>
        <v>17.865359999999999</v>
      </c>
      <c r="AD1607" s="6">
        <f>$O$1607*$X$1607</f>
        <v>6.2108100000000004</v>
      </c>
      <c r="AE1607" s="6">
        <f>$K$1607*$Y$1607</f>
        <v>0</v>
      </c>
      <c r="AF1607" s="6">
        <f ca="1">$M$1607*$Z$1607</f>
        <v>20.067077065414587</v>
      </c>
      <c r="AG1607" s="6">
        <f>$O$1607*$AA$1607</f>
        <v>7.6387697923595974</v>
      </c>
    </row>
    <row r="1608" spans="1:33" ht="11.25" customHeight="1" x14ac:dyDescent="0.25">
      <c r="A1608" s="4" t="s">
        <v>28</v>
      </c>
      <c r="B1608" s="4" t="s">
        <v>22</v>
      </c>
      <c r="C1608" s="4" t="s">
        <v>39</v>
      </c>
      <c r="D1608" s="4" t="s">
        <v>24</v>
      </c>
      <c r="E1608" s="4" t="s">
        <v>24</v>
      </c>
      <c r="F1608" s="4" t="s">
        <v>25</v>
      </c>
      <c r="G1608" s="4" t="s">
        <v>25</v>
      </c>
      <c r="H1608" s="4" t="s">
        <v>40</v>
      </c>
      <c r="I1608" s="5">
        <v>44378</v>
      </c>
      <c r="J1608" s="6">
        <v>0</v>
      </c>
      <c r="K1608" s="6">
        <v>0</v>
      </c>
      <c r="L1608" s="6">
        <v>0.16600000000000001</v>
      </c>
      <c r="M1608" s="6">
        <v>0.16600000000000001</v>
      </c>
      <c r="N1608" s="6">
        <v>0.16600000000000001</v>
      </c>
      <c r="O1608" s="6">
        <v>0.16600000000000001</v>
      </c>
      <c r="P1608" s="6">
        <v>0</v>
      </c>
      <c r="Q1608" s="4" t="s">
        <v>26</v>
      </c>
      <c r="R1608" s="4">
        <v>0</v>
      </c>
      <c r="S1608" s="6">
        <v>0</v>
      </c>
      <c r="T1608" s="6">
        <v>11</v>
      </c>
      <c r="U1608" s="6">
        <v>63</v>
      </c>
      <c r="V1608" s="6">
        <f>IF(ISERROR(VLOOKUP($S$1608,'TAR FIN'!$A$1:$O$95,15,0)),0,VLOOKUP($S$1608,'TAR FIN'!$A$1:$O$95,15,0))</f>
        <v>0</v>
      </c>
      <c r="W1608" s="6">
        <f>IF(ISERROR(VLOOKUP($T$1608,'TAR FIN'!$A$1:$O$95,15,0)),0,VLOOKUP($T$1608,'TAR FIN'!$A$1:$O$95,15,0))</f>
        <v>661.68</v>
      </c>
      <c r="X1608" s="6">
        <f>IF(ISERROR(VLOOKUP($U$1608,'TAR FIN'!$A$1:$O$95,15,0)),0,VLOOKUP($U$1608,'TAR FIN'!$A$1:$O$95,15,0))</f>
        <v>230.03</v>
      </c>
      <c r="Y1608" s="6"/>
      <c r="Z1608" s="6">
        <f ca="1">('TUSD BE'!$AM$23+'TUSD BF'!$AM$23+'TUSD CVA'!$AM$23)*1</f>
        <v>743.22507649683655</v>
      </c>
      <c r="AA1608" s="6">
        <f>('TE BE'!$AA$11+'TE BF'!$AA$11+'TE CVA'!$AA$11)*1</f>
        <v>282.91739971702214</v>
      </c>
      <c r="AB1608" s="6">
        <f>$K$1608*$V$1608</f>
        <v>0</v>
      </c>
      <c r="AC1608" s="6">
        <f>$M$1608*$W$1608</f>
        <v>109.83888</v>
      </c>
      <c r="AD1608" s="6">
        <f>$O$1608*$X$1608</f>
        <v>38.184980000000003</v>
      </c>
      <c r="AE1608" s="6">
        <f>$K$1608*$Y$1608</f>
        <v>0</v>
      </c>
      <c r="AF1608" s="6">
        <f ca="1">$M$1608*$Z$1608</f>
        <v>123.37536269847487</v>
      </c>
      <c r="AG1608" s="6">
        <f>$O$1608*$AA$1608</f>
        <v>46.96428835302568</v>
      </c>
    </row>
    <row r="1609" spans="1:33" ht="11.25" customHeight="1" x14ac:dyDescent="0.25">
      <c r="A1609" s="4" t="s">
        <v>30</v>
      </c>
      <c r="B1609" s="4" t="s">
        <v>22</v>
      </c>
      <c r="C1609" s="4" t="s">
        <v>39</v>
      </c>
      <c r="D1609" s="4" t="s">
        <v>24</v>
      </c>
      <c r="E1609" s="4" t="s">
        <v>24</v>
      </c>
      <c r="F1609" s="4" t="s">
        <v>25</v>
      </c>
      <c r="G1609" s="4" t="s">
        <v>25</v>
      </c>
      <c r="H1609" s="4" t="s">
        <v>40</v>
      </c>
      <c r="I1609" s="5">
        <v>44378</v>
      </c>
      <c r="J1609" s="6">
        <v>0</v>
      </c>
      <c r="K1609" s="6">
        <v>0</v>
      </c>
      <c r="L1609" s="6">
        <v>0.13</v>
      </c>
      <c r="M1609" s="6">
        <v>0.13</v>
      </c>
      <c r="N1609" s="6">
        <v>0.13</v>
      </c>
      <c r="O1609" s="6">
        <v>0.13</v>
      </c>
      <c r="P1609" s="6">
        <v>0</v>
      </c>
      <c r="Q1609" s="4" t="s">
        <v>26</v>
      </c>
      <c r="R1609" s="4">
        <v>0</v>
      </c>
      <c r="S1609" s="6">
        <v>0</v>
      </c>
      <c r="T1609" s="6">
        <v>11</v>
      </c>
      <c r="U1609" s="6">
        <v>63</v>
      </c>
      <c r="V1609" s="6">
        <f>IF(ISERROR(VLOOKUP($S$1609,'TAR FIN'!$A$1:$O$95,15,0)),0,VLOOKUP($S$1609,'TAR FIN'!$A$1:$O$95,15,0))</f>
        <v>0</v>
      </c>
      <c r="W1609" s="6">
        <f>IF(ISERROR(VLOOKUP($T$1609,'TAR FIN'!$A$1:$O$95,15,0)),0,VLOOKUP($T$1609,'TAR FIN'!$A$1:$O$95,15,0))</f>
        <v>661.68</v>
      </c>
      <c r="X1609" s="6">
        <f>IF(ISERROR(VLOOKUP($U$1609,'TAR FIN'!$A$1:$O$95,15,0)),0,VLOOKUP($U$1609,'TAR FIN'!$A$1:$O$95,15,0))</f>
        <v>230.03</v>
      </c>
      <c r="Y1609" s="6"/>
      <c r="Z1609" s="6">
        <f ca="1">('TUSD BE'!$AM$23+'TUSD BF'!$AM$23+'TUSD CVA'!$AM$23)*1</f>
        <v>743.22507649683655</v>
      </c>
      <c r="AA1609" s="6">
        <f>('TE BE'!$AA$11+'TE BF'!$AA$11+'TE CVA'!$AA$11)*1</f>
        <v>282.91739971702214</v>
      </c>
      <c r="AB1609" s="6">
        <f>$K$1609*$V$1609</f>
        <v>0</v>
      </c>
      <c r="AC1609" s="6">
        <f>$M$1609*$W$1609</f>
        <v>86.0184</v>
      </c>
      <c r="AD1609" s="6">
        <f>$O$1609*$X$1609</f>
        <v>29.9039</v>
      </c>
      <c r="AE1609" s="6">
        <f>$K$1609*$Y$1609</f>
        <v>0</v>
      </c>
      <c r="AF1609" s="6">
        <f ca="1">$M$1609*$Z$1609</f>
        <v>96.619259944588748</v>
      </c>
      <c r="AG1609" s="6">
        <f>$O$1609*$AA$1609</f>
        <v>36.779261963212882</v>
      </c>
    </row>
    <row r="1610" spans="1:33" ht="11.25" customHeight="1" x14ac:dyDescent="0.25">
      <c r="A1610" s="4" t="s">
        <v>21</v>
      </c>
      <c r="B1610" s="4" t="s">
        <v>22</v>
      </c>
      <c r="C1610" s="4" t="s">
        <v>39</v>
      </c>
      <c r="D1610" s="4" t="s">
        <v>24</v>
      </c>
      <c r="E1610" s="4" t="s">
        <v>24</v>
      </c>
      <c r="F1610" s="4" t="s">
        <v>25</v>
      </c>
      <c r="G1610" s="4" t="s">
        <v>25</v>
      </c>
      <c r="H1610" s="4" t="s">
        <v>40</v>
      </c>
      <c r="I1610" s="5">
        <v>44409</v>
      </c>
      <c r="J1610" s="6">
        <v>0</v>
      </c>
      <c r="K1610" s="6">
        <v>0</v>
      </c>
      <c r="L1610" s="6">
        <v>2.4609999999999999</v>
      </c>
      <c r="M1610" s="6">
        <v>2.4609999999999999</v>
      </c>
      <c r="N1610" s="6">
        <v>2.4609999999999999</v>
      </c>
      <c r="O1610" s="6">
        <v>2.4609999999999999</v>
      </c>
      <c r="P1610" s="6">
        <v>0</v>
      </c>
      <c r="Q1610" s="4" t="s">
        <v>26</v>
      </c>
      <c r="R1610" s="4">
        <v>0</v>
      </c>
      <c r="S1610" s="6">
        <v>0</v>
      </c>
      <c r="T1610" s="6">
        <v>11</v>
      </c>
      <c r="U1610" s="6">
        <v>63</v>
      </c>
      <c r="V1610" s="6">
        <f>IF(ISERROR(VLOOKUP($S$1610,'TAR FIN'!$A$1:$O$95,15,0)),0,VLOOKUP($S$1610,'TAR FIN'!$A$1:$O$95,15,0))</f>
        <v>0</v>
      </c>
      <c r="W1610" s="6">
        <f>IF(ISERROR(VLOOKUP($T$1610,'TAR FIN'!$A$1:$O$95,15,0)),0,VLOOKUP($T$1610,'TAR FIN'!$A$1:$O$95,15,0))</f>
        <v>661.68</v>
      </c>
      <c r="X1610" s="6">
        <f>IF(ISERROR(VLOOKUP($U$1610,'TAR FIN'!$A$1:$O$95,15,0)),0,VLOOKUP($U$1610,'TAR FIN'!$A$1:$O$95,15,0))</f>
        <v>230.03</v>
      </c>
      <c r="Y1610" s="6"/>
      <c r="Z1610" s="6">
        <f ca="1">('TUSD BE'!$AM$23+'TUSD BF'!$AM$23+'TUSD CVA'!$AM$23)*1</f>
        <v>743.22507649683655</v>
      </c>
      <c r="AA1610" s="6">
        <f>('TE BE'!$AA$11+'TE BF'!$AA$11+'TE CVA'!$AA$11)*1</f>
        <v>282.91739971702214</v>
      </c>
      <c r="AB1610" s="6">
        <f>$K$1610*$V$1610</f>
        <v>0</v>
      </c>
      <c r="AC1610" s="6">
        <f>$M$1610*$W$1610</f>
        <v>1628.3944799999997</v>
      </c>
      <c r="AD1610" s="6">
        <f>$O$1610*$X$1610</f>
        <v>566.10383000000002</v>
      </c>
      <c r="AE1610" s="6">
        <f>$K$1610*$Y$1610</f>
        <v>0</v>
      </c>
      <c r="AF1610" s="6">
        <f ca="1">$M$1610*$Z$1610</f>
        <v>1829.0769132587147</v>
      </c>
      <c r="AG1610" s="6">
        <f>$O$1610*$AA$1610</f>
        <v>696.25972070359148</v>
      </c>
    </row>
    <row r="1611" spans="1:33" ht="11.25" customHeight="1" x14ac:dyDescent="0.25">
      <c r="A1611" s="4" t="s">
        <v>28</v>
      </c>
      <c r="B1611" s="4" t="s">
        <v>22</v>
      </c>
      <c r="C1611" s="4" t="s">
        <v>39</v>
      </c>
      <c r="D1611" s="4" t="s">
        <v>24</v>
      </c>
      <c r="E1611" s="4" t="s">
        <v>24</v>
      </c>
      <c r="F1611" s="4" t="s">
        <v>25</v>
      </c>
      <c r="G1611" s="4" t="s">
        <v>25</v>
      </c>
      <c r="H1611" s="4" t="s">
        <v>40</v>
      </c>
      <c r="I1611" s="5">
        <v>44409</v>
      </c>
      <c r="J1611" s="6">
        <v>0</v>
      </c>
      <c r="K1611" s="6">
        <v>0</v>
      </c>
      <c r="L1611" s="6">
        <v>0.188</v>
      </c>
      <c r="M1611" s="6">
        <v>0.188</v>
      </c>
      <c r="N1611" s="6">
        <v>0.188</v>
      </c>
      <c r="O1611" s="6">
        <v>0.188</v>
      </c>
      <c r="P1611" s="6">
        <v>0</v>
      </c>
      <c r="Q1611" s="4" t="s">
        <v>26</v>
      </c>
      <c r="R1611" s="4">
        <v>0</v>
      </c>
      <c r="S1611" s="6">
        <v>0</v>
      </c>
      <c r="T1611" s="6">
        <v>11</v>
      </c>
      <c r="U1611" s="6">
        <v>63</v>
      </c>
      <c r="V1611" s="6">
        <f>IF(ISERROR(VLOOKUP($S$1611,'TAR FIN'!$A$1:$O$95,15,0)),0,VLOOKUP($S$1611,'TAR FIN'!$A$1:$O$95,15,0))</f>
        <v>0</v>
      </c>
      <c r="W1611" s="6">
        <f>IF(ISERROR(VLOOKUP($T$1611,'TAR FIN'!$A$1:$O$95,15,0)),0,VLOOKUP($T$1611,'TAR FIN'!$A$1:$O$95,15,0))</f>
        <v>661.68</v>
      </c>
      <c r="X1611" s="6">
        <f>IF(ISERROR(VLOOKUP($U$1611,'TAR FIN'!$A$1:$O$95,15,0)),0,VLOOKUP($U$1611,'TAR FIN'!$A$1:$O$95,15,0))</f>
        <v>230.03</v>
      </c>
      <c r="Y1611" s="6"/>
      <c r="Z1611" s="6">
        <f ca="1">('TUSD BE'!$AM$23+'TUSD BF'!$AM$23+'TUSD CVA'!$AM$23)*1</f>
        <v>743.22507649683655</v>
      </c>
      <c r="AA1611" s="6">
        <f>('TE BE'!$AA$11+'TE BF'!$AA$11+'TE CVA'!$AA$11)*1</f>
        <v>282.91739971702214</v>
      </c>
      <c r="AB1611" s="6">
        <f>$K$1611*$V$1611</f>
        <v>0</v>
      </c>
      <c r="AC1611" s="6">
        <f>$M$1611*$W$1611</f>
        <v>124.39583999999999</v>
      </c>
      <c r="AD1611" s="6">
        <f>$O$1611*$X$1611</f>
        <v>43.245640000000002</v>
      </c>
      <c r="AE1611" s="6">
        <f>$K$1611*$Y$1611</f>
        <v>0</v>
      </c>
      <c r="AF1611" s="6">
        <f ca="1">$M$1611*$Z$1611</f>
        <v>139.72631438140527</v>
      </c>
      <c r="AG1611" s="6">
        <f>$O$1611*$AA$1611</f>
        <v>53.188471146800161</v>
      </c>
    </row>
    <row r="1612" spans="1:33" ht="11.25" customHeight="1" x14ac:dyDescent="0.25">
      <c r="A1612" s="4" t="s">
        <v>30</v>
      </c>
      <c r="B1612" s="4" t="s">
        <v>22</v>
      </c>
      <c r="C1612" s="4" t="s">
        <v>39</v>
      </c>
      <c r="D1612" s="4" t="s">
        <v>24</v>
      </c>
      <c r="E1612" s="4" t="s">
        <v>24</v>
      </c>
      <c r="F1612" s="4" t="s">
        <v>25</v>
      </c>
      <c r="G1612" s="4" t="s">
        <v>25</v>
      </c>
      <c r="H1612" s="4" t="s">
        <v>40</v>
      </c>
      <c r="I1612" s="5">
        <v>44409</v>
      </c>
      <c r="J1612" s="6">
        <v>0</v>
      </c>
      <c r="K1612" s="6">
        <v>0</v>
      </c>
      <c r="L1612" s="6">
        <v>0.161</v>
      </c>
      <c r="M1612" s="6">
        <v>0.161</v>
      </c>
      <c r="N1612" s="6">
        <v>0.161</v>
      </c>
      <c r="O1612" s="6">
        <v>0.161</v>
      </c>
      <c r="P1612" s="6">
        <v>0</v>
      </c>
      <c r="Q1612" s="4" t="s">
        <v>26</v>
      </c>
      <c r="R1612" s="4">
        <v>0</v>
      </c>
      <c r="S1612" s="6">
        <v>0</v>
      </c>
      <c r="T1612" s="6">
        <v>11</v>
      </c>
      <c r="U1612" s="6">
        <v>63</v>
      </c>
      <c r="V1612" s="6">
        <f>IF(ISERROR(VLOOKUP($S$1612,'TAR FIN'!$A$1:$O$95,15,0)),0,VLOOKUP($S$1612,'TAR FIN'!$A$1:$O$95,15,0))</f>
        <v>0</v>
      </c>
      <c r="W1612" s="6">
        <f>IF(ISERROR(VLOOKUP($T$1612,'TAR FIN'!$A$1:$O$95,15,0)),0,VLOOKUP($T$1612,'TAR FIN'!$A$1:$O$95,15,0))</f>
        <v>661.68</v>
      </c>
      <c r="X1612" s="6">
        <f>IF(ISERROR(VLOOKUP($U$1612,'TAR FIN'!$A$1:$O$95,15,0)),0,VLOOKUP($U$1612,'TAR FIN'!$A$1:$O$95,15,0))</f>
        <v>230.03</v>
      </c>
      <c r="Y1612" s="6"/>
      <c r="Z1612" s="6">
        <f ca="1">('TUSD BE'!$AM$23+'TUSD BF'!$AM$23+'TUSD CVA'!$AM$23)*1</f>
        <v>743.22507649683655</v>
      </c>
      <c r="AA1612" s="6">
        <f>('TE BE'!$AA$11+'TE BF'!$AA$11+'TE CVA'!$AA$11)*1</f>
        <v>282.91739971702214</v>
      </c>
      <c r="AB1612" s="6">
        <f>$K$1612*$V$1612</f>
        <v>0</v>
      </c>
      <c r="AC1612" s="6">
        <f>$M$1612*$W$1612</f>
        <v>106.53048</v>
      </c>
      <c r="AD1612" s="6">
        <f>$O$1612*$X$1612</f>
        <v>37.034829999999999</v>
      </c>
      <c r="AE1612" s="6">
        <f>$K$1612*$Y$1612</f>
        <v>0</v>
      </c>
      <c r="AF1612" s="6">
        <f ca="1">$M$1612*$Z$1612</f>
        <v>119.65923731599069</v>
      </c>
      <c r="AG1612" s="6">
        <f>$O$1612*$AA$1612</f>
        <v>45.549701354440565</v>
      </c>
    </row>
    <row r="1613" spans="1:33" ht="11.25" customHeight="1" x14ac:dyDescent="0.25">
      <c r="A1613" s="4" t="s">
        <v>21</v>
      </c>
      <c r="B1613" s="4" t="s">
        <v>22</v>
      </c>
      <c r="C1613" s="4" t="s">
        <v>39</v>
      </c>
      <c r="D1613" s="4" t="s">
        <v>24</v>
      </c>
      <c r="E1613" s="4" t="s">
        <v>24</v>
      </c>
      <c r="F1613" s="4" t="s">
        <v>25</v>
      </c>
      <c r="G1613" s="4" t="s">
        <v>25</v>
      </c>
      <c r="H1613" s="4" t="s">
        <v>40</v>
      </c>
      <c r="I1613" s="5">
        <v>44440</v>
      </c>
      <c r="J1613" s="6">
        <v>0</v>
      </c>
      <c r="K1613" s="6">
        <v>0</v>
      </c>
      <c r="L1613" s="6">
        <v>2.448</v>
      </c>
      <c r="M1613" s="6">
        <v>2.448</v>
      </c>
      <c r="N1613" s="6">
        <v>2.448</v>
      </c>
      <c r="O1613" s="6">
        <v>2.448</v>
      </c>
      <c r="P1613" s="6">
        <v>0</v>
      </c>
      <c r="Q1613" s="4" t="s">
        <v>26</v>
      </c>
      <c r="R1613" s="4">
        <v>0</v>
      </c>
      <c r="S1613" s="6">
        <v>0</v>
      </c>
      <c r="T1613" s="6">
        <v>11</v>
      </c>
      <c r="U1613" s="6">
        <v>63</v>
      </c>
      <c r="V1613" s="6">
        <f>IF(ISERROR(VLOOKUP($S$1613,'TAR FIN'!$A$1:$O$95,15,0)),0,VLOOKUP($S$1613,'TAR FIN'!$A$1:$O$95,15,0))</f>
        <v>0</v>
      </c>
      <c r="W1613" s="6">
        <f>IF(ISERROR(VLOOKUP($T$1613,'TAR FIN'!$A$1:$O$95,15,0)),0,VLOOKUP($T$1613,'TAR FIN'!$A$1:$O$95,15,0))</f>
        <v>661.68</v>
      </c>
      <c r="X1613" s="6">
        <f>IF(ISERROR(VLOOKUP($U$1613,'TAR FIN'!$A$1:$O$95,15,0)),0,VLOOKUP($U$1613,'TAR FIN'!$A$1:$O$95,15,0))</f>
        <v>230.03</v>
      </c>
      <c r="Y1613" s="6"/>
      <c r="Z1613" s="6">
        <f ca="1">('TUSD BE'!$AM$23+'TUSD BF'!$AM$23+'TUSD CVA'!$AM$23)*1</f>
        <v>743.22507649683655</v>
      </c>
      <c r="AA1613" s="6">
        <f>('TE BE'!$AA$11+'TE BF'!$AA$11+'TE CVA'!$AA$11)*1</f>
        <v>282.91739971702214</v>
      </c>
      <c r="AB1613" s="6">
        <f>$K$1613*$V$1613</f>
        <v>0</v>
      </c>
      <c r="AC1613" s="6">
        <f>$M$1613*$W$1613</f>
        <v>1619.7926399999999</v>
      </c>
      <c r="AD1613" s="6">
        <f>$O$1613*$X$1613</f>
        <v>563.11343999999997</v>
      </c>
      <c r="AE1613" s="6">
        <f>$K$1613*$Y$1613</f>
        <v>0</v>
      </c>
      <c r="AF1613" s="6">
        <f ca="1">$M$1613*$Z$1613</f>
        <v>1819.4149872642558</v>
      </c>
      <c r="AG1613" s="6">
        <f>$O$1613*$AA$1613</f>
        <v>692.58179450727016</v>
      </c>
    </row>
    <row r="1614" spans="1:33" ht="11.25" customHeight="1" x14ac:dyDescent="0.25">
      <c r="A1614" s="4" t="s">
        <v>27</v>
      </c>
      <c r="B1614" s="4" t="s">
        <v>22</v>
      </c>
      <c r="C1614" s="4" t="s">
        <v>39</v>
      </c>
      <c r="D1614" s="4" t="s">
        <v>24</v>
      </c>
      <c r="E1614" s="4" t="s">
        <v>24</v>
      </c>
      <c r="F1614" s="4" t="s">
        <v>25</v>
      </c>
      <c r="G1614" s="4" t="s">
        <v>25</v>
      </c>
      <c r="H1614" s="4" t="s">
        <v>40</v>
      </c>
      <c r="I1614" s="5">
        <v>44440</v>
      </c>
      <c r="J1614" s="6">
        <v>0</v>
      </c>
      <c r="K1614" s="6">
        <v>0</v>
      </c>
      <c r="L1614" s="6">
        <v>3.1E-2</v>
      </c>
      <c r="M1614" s="6">
        <v>3.1E-2</v>
      </c>
      <c r="N1614" s="6">
        <v>3.1E-2</v>
      </c>
      <c r="O1614" s="6">
        <v>3.1E-2</v>
      </c>
      <c r="P1614" s="6">
        <v>0</v>
      </c>
      <c r="Q1614" s="4" t="s">
        <v>26</v>
      </c>
      <c r="R1614" s="4">
        <v>0</v>
      </c>
      <c r="S1614" s="6">
        <v>0</v>
      </c>
      <c r="T1614" s="6">
        <v>11</v>
      </c>
      <c r="U1614" s="6">
        <v>63</v>
      </c>
      <c r="V1614" s="6">
        <f>IF(ISERROR(VLOOKUP($S$1614,'TAR FIN'!$A$1:$O$95,15,0)),0,VLOOKUP($S$1614,'TAR FIN'!$A$1:$O$95,15,0))</f>
        <v>0</v>
      </c>
      <c r="W1614" s="6">
        <f>IF(ISERROR(VLOOKUP($T$1614,'TAR FIN'!$A$1:$O$95,15,0)),0,VLOOKUP($T$1614,'TAR FIN'!$A$1:$O$95,15,0))</f>
        <v>661.68</v>
      </c>
      <c r="X1614" s="6">
        <f>IF(ISERROR(VLOOKUP($U$1614,'TAR FIN'!$A$1:$O$95,15,0)),0,VLOOKUP($U$1614,'TAR FIN'!$A$1:$O$95,15,0))</f>
        <v>230.03</v>
      </c>
      <c r="Y1614" s="6"/>
      <c r="Z1614" s="6">
        <f ca="1">('TUSD BE'!$AM$23+'TUSD BF'!$AM$23+'TUSD CVA'!$AM$23)*1</f>
        <v>743.22507649683655</v>
      </c>
      <c r="AA1614" s="6">
        <f>('TE BE'!$AA$11+'TE BF'!$AA$11+'TE CVA'!$AA$11)*1</f>
        <v>282.91739971702214</v>
      </c>
      <c r="AB1614" s="6">
        <f>$K$1614*$V$1614</f>
        <v>0</v>
      </c>
      <c r="AC1614" s="6">
        <f>$M$1614*$W$1614</f>
        <v>20.512079999999997</v>
      </c>
      <c r="AD1614" s="6">
        <f>$O$1614*$X$1614</f>
        <v>7.1309300000000002</v>
      </c>
      <c r="AE1614" s="6">
        <f>$K$1614*$Y$1614</f>
        <v>0</v>
      </c>
      <c r="AF1614" s="6">
        <f ca="1">$M$1614*$Z$1614</f>
        <v>23.039977371401932</v>
      </c>
      <c r="AG1614" s="6">
        <f>$O$1614*$AA$1614</f>
        <v>8.7704393912276863</v>
      </c>
    </row>
    <row r="1615" spans="1:33" ht="11.25" customHeight="1" x14ac:dyDescent="0.25">
      <c r="A1615" s="4" t="s">
        <v>28</v>
      </c>
      <c r="B1615" s="4" t="s">
        <v>22</v>
      </c>
      <c r="C1615" s="4" t="s">
        <v>39</v>
      </c>
      <c r="D1615" s="4" t="s">
        <v>24</v>
      </c>
      <c r="E1615" s="4" t="s">
        <v>24</v>
      </c>
      <c r="F1615" s="4" t="s">
        <v>25</v>
      </c>
      <c r="G1615" s="4" t="s">
        <v>25</v>
      </c>
      <c r="H1615" s="4" t="s">
        <v>40</v>
      </c>
      <c r="I1615" s="5">
        <v>44440</v>
      </c>
      <c r="J1615" s="6">
        <v>0</v>
      </c>
      <c r="K1615" s="6">
        <v>0</v>
      </c>
      <c r="L1615" s="6">
        <v>0.18099999999999999</v>
      </c>
      <c r="M1615" s="6">
        <v>0.18099999999999999</v>
      </c>
      <c r="N1615" s="6">
        <v>0.18099999999999999</v>
      </c>
      <c r="O1615" s="6">
        <v>0.18099999999999999</v>
      </c>
      <c r="P1615" s="6">
        <v>0</v>
      </c>
      <c r="Q1615" s="4" t="s">
        <v>26</v>
      </c>
      <c r="R1615" s="4">
        <v>0</v>
      </c>
      <c r="S1615" s="6">
        <v>0</v>
      </c>
      <c r="T1615" s="6">
        <v>11</v>
      </c>
      <c r="U1615" s="6">
        <v>63</v>
      </c>
      <c r="V1615" s="6">
        <f>IF(ISERROR(VLOOKUP($S$1615,'TAR FIN'!$A$1:$O$95,15,0)),0,VLOOKUP($S$1615,'TAR FIN'!$A$1:$O$95,15,0))</f>
        <v>0</v>
      </c>
      <c r="W1615" s="6">
        <f>IF(ISERROR(VLOOKUP($T$1615,'TAR FIN'!$A$1:$O$95,15,0)),0,VLOOKUP($T$1615,'TAR FIN'!$A$1:$O$95,15,0))</f>
        <v>661.68</v>
      </c>
      <c r="X1615" s="6">
        <f>IF(ISERROR(VLOOKUP($U$1615,'TAR FIN'!$A$1:$O$95,15,0)),0,VLOOKUP($U$1615,'TAR FIN'!$A$1:$O$95,15,0))</f>
        <v>230.03</v>
      </c>
      <c r="Y1615" s="6"/>
      <c r="Z1615" s="6">
        <f ca="1">('TUSD BE'!$AM$23+'TUSD BF'!$AM$23+'TUSD CVA'!$AM$23)*1</f>
        <v>743.22507649683655</v>
      </c>
      <c r="AA1615" s="6">
        <f>('TE BE'!$AA$11+'TE BF'!$AA$11+'TE CVA'!$AA$11)*1</f>
        <v>282.91739971702214</v>
      </c>
      <c r="AB1615" s="6">
        <f>$K$1615*$V$1615</f>
        <v>0</v>
      </c>
      <c r="AC1615" s="6">
        <f>$M$1615*$W$1615</f>
        <v>119.76407999999999</v>
      </c>
      <c r="AD1615" s="6">
        <f>$O$1615*$X$1615</f>
        <v>41.635429999999999</v>
      </c>
      <c r="AE1615" s="6">
        <f>$K$1615*$Y$1615</f>
        <v>0</v>
      </c>
      <c r="AF1615" s="6">
        <f ca="1">$M$1615*$Z$1615</f>
        <v>134.5237388459274</v>
      </c>
      <c r="AG1615" s="6">
        <f>$O$1615*$AA$1615</f>
        <v>51.208049348781003</v>
      </c>
    </row>
    <row r="1616" spans="1:33" ht="11.25" customHeight="1" x14ac:dyDescent="0.25">
      <c r="A1616" s="4" t="s">
        <v>30</v>
      </c>
      <c r="B1616" s="4" t="s">
        <v>22</v>
      </c>
      <c r="C1616" s="4" t="s">
        <v>39</v>
      </c>
      <c r="D1616" s="4" t="s">
        <v>24</v>
      </c>
      <c r="E1616" s="4" t="s">
        <v>24</v>
      </c>
      <c r="F1616" s="4" t="s">
        <v>25</v>
      </c>
      <c r="G1616" s="4" t="s">
        <v>25</v>
      </c>
      <c r="H1616" s="4" t="s">
        <v>40</v>
      </c>
      <c r="I1616" s="5">
        <v>44440</v>
      </c>
      <c r="J1616" s="6">
        <v>0</v>
      </c>
      <c r="K1616" s="6">
        <v>0</v>
      </c>
      <c r="L1616" s="6">
        <v>0.14099999999999999</v>
      </c>
      <c r="M1616" s="6">
        <v>0.14099999999999999</v>
      </c>
      <c r="N1616" s="6">
        <v>0.14099999999999999</v>
      </c>
      <c r="O1616" s="6">
        <v>0.14099999999999999</v>
      </c>
      <c r="P1616" s="6">
        <v>0</v>
      </c>
      <c r="Q1616" s="4" t="s">
        <v>26</v>
      </c>
      <c r="R1616" s="4">
        <v>0</v>
      </c>
      <c r="S1616" s="6">
        <v>0</v>
      </c>
      <c r="T1616" s="6">
        <v>11</v>
      </c>
      <c r="U1616" s="6">
        <v>63</v>
      </c>
      <c r="V1616" s="6">
        <f>IF(ISERROR(VLOOKUP($S$1616,'TAR FIN'!$A$1:$O$95,15,0)),0,VLOOKUP($S$1616,'TAR FIN'!$A$1:$O$95,15,0))</f>
        <v>0</v>
      </c>
      <c r="W1616" s="6">
        <f>IF(ISERROR(VLOOKUP($T$1616,'TAR FIN'!$A$1:$O$95,15,0)),0,VLOOKUP($T$1616,'TAR FIN'!$A$1:$O$95,15,0))</f>
        <v>661.68</v>
      </c>
      <c r="X1616" s="6">
        <f>IF(ISERROR(VLOOKUP($U$1616,'TAR FIN'!$A$1:$O$95,15,0)),0,VLOOKUP($U$1616,'TAR FIN'!$A$1:$O$95,15,0))</f>
        <v>230.03</v>
      </c>
      <c r="Y1616" s="6"/>
      <c r="Z1616" s="6">
        <f ca="1">('TUSD BE'!$AM$23+'TUSD BF'!$AM$23+'TUSD CVA'!$AM$23)*1</f>
        <v>743.22507649683655</v>
      </c>
      <c r="AA1616" s="6">
        <f>('TE BE'!$AA$11+'TE BF'!$AA$11+'TE CVA'!$AA$11)*1</f>
        <v>282.91739971702214</v>
      </c>
      <c r="AB1616" s="6">
        <f>$K$1616*$V$1616</f>
        <v>0</v>
      </c>
      <c r="AC1616" s="6">
        <f>$M$1616*$W$1616</f>
        <v>93.296879999999987</v>
      </c>
      <c r="AD1616" s="6">
        <f>$O$1616*$X$1616</f>
        <v>32.434229999999999</v>
      </c>
      <c r="AE1616" s="6">
        <f>$K$1616*$Y$1616</f>
        <v>0</v>
      </c>
      <c r="AF1616" s="6">
        <f ca="1">$M$1616*$Z$1616</f>
        <v>104.79473578605395</v>
      </c>
      <c r="AG1616" s="6">
        <f>$O$1616*$AA$1616</f>
        <v>39.891353360100119</v>
      </c>
    </row>
    <row r="1617" spans="1:33" ht="11.25" customHeight="1" x14ac:dyDescent="0.25">
      <c r="A1617" s="4" t="s">
        <v>59</v>
      </c>
      <c r="B1617" s="4" t="s">
        <v>22</v>
      </c>
      <c r="C1617" s="4" t="s">
        <v>39</v>
      </c>
      <c r="D1617" s="4" t="s">
        <v>24</v>
      </c>
      <c r="E1617" s="4" t="s">
        <v>24</v>
      </c>
      <c r="F1617" s="4" t="s">
        <v>25</v>
      </c>
      <c r="G1617" s="4" t="s">
        <v>25</v>
      </c>
      <c r="H1617" s="4" t="s">
        <v>40</v>
      </c>
      <c r="I1617" s="5">
        <v>44470</v>
      </c>
      <c r="J1617" s="6">
        <v>0</v>
      </c>
      <c r="K1617" s="6">
        <v>0</v>
      </c>
      <c r="L1617" s="6">
        <v>2.448</v>
      </c>
      <c r="M1617" s="6">
        <v>2.448</v>
      </c>
      <c r="N1617" s="6">
        <v>2.448</v>
      </c>
      <c r="O1617" s="6">
        <v>2.448</v>
      </c>
      <c r="P1617" s="6">
        <v>0</v>
      </c>
      <c r="Q1617" s="4" t="s">
        <v>26</v>
      </c>
      <c r="R1617" s="4">
        <v>0</v>
      </c>
      <c r="S1617" s="6">
        <v>0</v>
      </c>
      <c r="T1617" s="6">
        <v>11</v>
      </c>
      <c r="U1617" s="6">
        <v>63</v>
      </c>
      <c r="V1617" s="6">
        <f>IF(ISERROR(VLOOKUP($S$1617,'TAR FIN'!$A$1:$O$95,15,0)),0,VLOOKUP($S$1617,'TAR FIN'!$A$1:$O$95,15,0))</f>
        <v>0</v>
      </c>
      <c r="W1617" s="6">
        <f>IF(ISERROR(VLOOKUP($T$1617,'TAR FIN'!$A$1:$O$95,15,0)),0,VLOOKUP($T$1617,'TAR FIN'!$A$1:$O$95,15,0))</f>
        <v>661.68</v>
      </c>
      <c r="X1617" s="6">
        <f>IF(ISERROR(VLOOKUP($U$1617,'TAR FIN'!$A$1:$O$95,15,0)),0,VLOOKUP($U$1617,'TAR FIN'!$A$1:$O$95,15,0))</f>
        <v>230.03</v>
      </c>
      <c r="Y1617" s="6"/>
      <c r="Z1617" s="6">
        <f ca="1">('TUSD BE'!$AM$23+'TUSD BF'!$AM$23+'TUSD CVA'!$AM$23)*1</f>
        <v>743.22507649683655</v>
      </c>
      <c r="AA1617" s="6">
        <f>('TE BE'!$AA$11+'TE BF'!$AA$11+'TE CVA'!$AA$11)*1</f>
        <v>282.91739971702214</v>
      </c>
      <c r="AB1617" s="6">
        <f>$K$1617*$V$1617</f>
        <v>0</v>
      </c>
      <c r="AC1617" s="6">
        <f>$M$1617*$W$1617</f>
        <v>1619.7926399999999</v>
      </c>
      <c r="AD1617" s="6">
        <f>$O$1617*$X$1617</f>
        <v>563.11343999999997</v>
      </c>
      <c r="AE1617" s="6">
        <f>$K$1617*$Y$1617</f>
        <v>0</v>
      </c>
      <c r="AF1617" s="6">
        <f ca="1">$M$1617*$Z$1617</f>
        <v>1819.4149872642558</v>
      </c>
      <c r="AG1617" s="6">
        <f>$O$1617*$AA$1617</f>
        <v>692.58179450727016</v>
      </c>
    </row>
    <row r="1618" spans="1:33" ht="11.25" customHeight="1" x14ac:dyDescent="0.25">
      <c r="A1618" s="4" t="s">
        <v>59</v>
      </c>
      <c r="B1618" s="4" t="s">
        <v>22</v>
      </c>
      <c r="C1618" s="4" t="s">
        <v>39</v>
      </c>
      <c r="D1618" s="4" t="s">
        <v>24</v>
      </c>
      <c r="E1618" s="4" t="s">
        <v>24</v>
      </c>
      <c r="F1618" s="4" t="s">
        <v>25</v>
      </c>
      <c r="G1618" s="4" t="s">
        <v>25</v>
      </c>
      <c r="H1618" s="4" t="s">
        <v>40</v>
      </c>
      <c r="I1618" s="5">
        <v>44470</v>
      </c>
      <c r="J1618" s="6">
        <v>0</v>
      </c>
      <c r="K1618" s="6">
        <v>0</v>
      </c>
      <c r="L1618" s="6">
        <v>3.1E-2</v>
      </c>
      <c r="M1618" s="6">
        <v>3.1E-2</v>
      </c>
      <c r="N1618" s="6">
        <v>3.1E-2</v>
      </c>
      <c r="O1618" s="6">
        <v>3.1E-2</v>
      </c>
      <c r="P1618" s="6">
        <v>0</v>
      </c>
      <c r="Q1618" s="4" t="s">
        <v>26</v>
      </c>
      <c r="R1618" s="4">
        <v>0</v>
      </c>
      <c r="S1618" s="6">
        <v>0</v>
      </c>
      <c r="T1618" s="6">
        <v>11</v>
      </c>
      <c r="U1618" s="6">
        <v>63</v>
      </c>
      <c r="V1618" s="6">
        <f>IF(ISERROR(VLOOKUP($S$1618,'TAR FIN'!$A$1:$O$95,15,0)),0,VLOOKUP($S$1618,'TAR FIN'!$A$1:$O$95,15,0))</f>
        <v>0</v>
      </c>
      <c r="W1618" s="6">
        <f>IF(ISERROR(VLOOKUP($T$1618,'TAR FIN'!$A$1:$O$95,15,0)),0,VLOOKUP($T$1618,'TAR FIN'!$A$1:$O$95,15,0))</f>
        <v>661.68</v>
      </c>
      <c r="X1618" s="6">
        <f>IF(ISERROR(VLOOKUP($U$1618,'TAR FIN'!$A$1:$O$95,15,0)),0,VLOOKUP($U$1618,'TAR FIN'!$A$1:$O$95,15,0))</f>
        <v>230.03</v>
      </c>
      <c r="Y1618" s="6"/>
      <c r="Z1618" s="6">
        <f ca="1">('TUSD BE'!$AM$23+'TUSD BF'!$AM$23+'TUSD CVA'!$AM$23)*1</f>
        <v>743.22507649683655</v>
      </c>
      <c r="AA1618" s="6">
        <f>('TE BE'!$AA$11+'TE BF'!$AA$11+'TE CVA'!$AA$11)*1</f>
        <v>282.91739971702214</v>
      </c>
      <c r="AB1618" s="6">
        <f>$K$1618*$V$1618</f>
        <v>0</v>
      </c>
      <c r="AC1618" s="6">
        <f>$M$1618*$W$1618</f>
        <v>20.512079999999997</v>
      </c>
      <c r="AD1618" s="6">
        <f>$O$1618*$X$1618</f>
        <v>7.1309300000000002</v>
      </c>
      <c r="AE1618" s="6">
        <f>$K$1618*$Y$1618</f>
        <v>0</v>
      </c>
      <c r="AF1618" s="6">
        <f ca="1">$M$1618*$Z$1618</f>
        <v>23.039977371401932</v>
      </c>
      <c r="AG1618" s="6">
        <f>$O$1618*$AA$1618</f>
        <v>8.7704393912276863</v>
      </c>
    </row>
    <row r="1619" spans="1:33" ht="11.25" customHeight="1" x14ac:dyDescent="0.25">
      <c r="A1619" s="4" t="s">
        <v>59</v>
      </c>
      <c r="B1619" s="4" t="s">
        <v>22</v>
      </c>
      <c r="C1619" s="4" t="s">
        <v>39</v>
      </c>
      <c r="D1619" s="4" t="s">
        <v>24</v>
      </c>
      <c r="E1619" s="4" t="s">
        <v>24</v>
      </c>
      <c r="F1619" s="4" t="s">
        <v>25</v>
      </c>
      <c r="G1619" s="4" t="s">
        <v>25</v>
      </c>
      <c r="H1619" s="4" t="s">
        <v>40</v>
      </c>
      <c r="I1619" s="5">
        <v>44470</v>
      </c>
      <c r="J1619" s="6">
        <v>0</v>
      </c>
      <c r="K1619" s="6">
        <v>0</v>
      </c>
      <c r="L1619" s="6">
        <v>0.18099999999999999</v>
      </c>
      <c r="M1619" s="6">
        <v>0.18099999999999999</v>
      </c>
      <c r="N1619" s="6">
        <v>0.18099999999999999</v>
      </c>
      <c r="O1619" s="6">
        <v>0.18099999999999999</v>
      </c>
      <c r="P1619" s="6">
        <v>0</v>
      </c>
      <c r="Q1619" s="4" t="s">
        <v>26</v>
      </c>
      <c r="R1619" s="4">
        <v>0</v>
      </c>
      <c r="S1619" s="6">
        <v>0</v>
      </c>
      <c r="T1619" s="6">
        <v>11</v>
      </c>
      <c r="U1619" s="6">
        <v>63</v>
      </c>
      <c r="V1619" s="6">
        <f>IF(ISERROR(VLOOKUP($S$1619,'TAR FIN'!$A$1:$O$95,15,0)),0,VLOOKUP($S$1619,'TAR FIN'!$A$1:$O$95,15,0))</f>
        <v>0</v>
      </c>
      <c r="W1619" s="6">
        <f>IF(ISERROR(VLOOKUP($T$1619,'TAR FIN'!$A$1:$O$95,15,0)),0,VLOOKUP($T$1619,'TAR FIN'!$A$1:$O$95,15,0))</f>
        <v>661.68</v>
      </c>
      <c r="X1619" s="6">
        <f>IF(ISERROR(VLOOKUP($U$1619,'TAR FIN'!$A$1:$O$95,15,0)),0,VLOOKUP($U$1619,'TAR FIN'!$A$1:$O$95,15,0))</f>
        <v>230.03</v>
      </c>
      <c r="Y1619" s="6"/>
      <c r="Z1619" s="6">
        <f ca="1">('TUSD BE'!$AM$23+'TUSD BF'!$AM$23+'TUSD CVA'!$AM$23)*1</f>
        <v>743.22507649683655</v>
      </c>
      <c r="AA1619" s="6">
        <f>('TE BE'!$AA$11+'TE BF'!$AA$11+'TE CVA'!$AA$11)*1</f>
        <v>282.91739971702214</v>
      </c>
      <c r="AB1619" s="6">
        <f>$K$1619*$V$1619</f>
        <v>0</v>
      </c>
      <c r="AC1619" s="6">
        <f>$M$1619*$W$1619</f>
        <v>119.76407999999999</v>
      </c>
      <c r="AD1619" s="6">
        <f>$O$1619*$X$1619</f>
        <v>41.635429999999999</v>
      </c>
      <c r="AE1619" s="6">
        <f>$K$1619*$Y$1619</f>
        <v>0</v>
      </c>
      <c r="AF1619" s="6">
        <f ca="1">$M$1619*$Z$1619</f>
        <v>134.5237388459274</v>
      </c>
      <c r="AG1619" s="6">
        <f>$O$1619*$AA$1619</f>
        <v>51.208049348781003</v>
      </c>
    </row>
    <row r="1620" spans="1:33" ht="11.25" customHeight="1" x14ac:dyDescent="0.25">
      <c r="A1620" s="4" t="s">
        <v>59</v>
      </c>
      <c r="B1620" s="4" t="s">
        <v>22</v>
      </c>
      <c r="C1620" s="4" t="s">
        <v>39</v>
      </c>
      <c r="D1620" s="4" t="s">
        <v>24</v>
      </c>
      <c r="E1620" s="4" t="s">
        <v>24</v>
      </c>
      <c r="F1620" s="4" t="s">
        <v>25</v>
      </c>
      <c r="G1620" s="4" t="s">
        <v>25</v>
      </c>
      <c r="H1620" s="4" t="s">
        <v>40</v>
      </c>
      <c r="I1620" s="5">
        <v>44470</v>
      </c>
      <c r="J1620" s="6">
        <v>0</v>
      </c>
      <c r="K1620" s="6">
        <v>0</v>
      </c>
      <c r="L1620" s="6">
        <v>0.14099999999999999</v>
      </c>
      <c r="M1620" s="6">
        <v>0.14099999999999999</v>
      </c>
      <c r="N1620" s="6">
        <v>0.14099999999999999</v>
      </c>
      <c r="O1620" s="6">
        <v>0.14099999999999999</v>
      </c>
      <c r="P1620" s="6">
        <v>0</v>
      </c>
      <c r="Q1620" s="4" t="s">
        <v>26</v>
      </c>
      <c r="R1620" s="4">
        <v>0</v>
      </c>
      <c r="S1620" s="6">
        <v>0</v>
      </c>
      <c r="T1620" s="6">
        <v>11</v>
      </c>
      <c r="U1620" s="6">
        <v>63</v>
      </c>
      <c r="V1620" s="6">
        <f>IF(ISERROR(VLOOKUP($S$1620,'TAR FIN'!$A$1:$O$95,15,0)),0,VLOOKUP($S$1620,'TAR FIN'!$A$1:$O$95,15,0))</f>
        <v>0</v>
      </c>
      <c r="W1620" s="6">
        <f>IF(ISERROR(VLOOKUP($T$1620,'TAR FIN'!$A$1:$O$95,15,0)),0,VLOOKUP($T$1620,'TAR FIN'!$A$1:$O$95,15,0))</f>
        <v>661.68</v>
      </c>
      <c r="X1620" s="6">
        <f>IF(ISERROR(VLOOKUP($U$1620,'TAR FIN'!$A$1:$O$95,15,0)),0,VLOOKUP($U$1620,'TAR FIN'!$A$1:$O$95,15,0))</f>
        <v>230.03</v>
      </c>
      <c r="Y1620" s="6"/>
      <c r="Z1620" s="6">
        <f ca="1">('TUSD BE'!$AM$23+'TUSD BF'!$AM$23+'TUSD CVA'!$AM$23)*1</f>
        <v>743.22507649683655</v>
      </c>
      <c r="AA1620" s="6">
        <f>('TE BE'!$AA$11+'TE BF'!$AA$11+'TE CVA'!$AA$11)*1</f>
        <v>282.91739971702214</v>
      </c>
      <c r="AB1620" s="6">
        <f>$K$1620*$V$1620</f>
        <v>0</v>
      </c>
      <c r="AC1620" s="6">
        <f>$M$1620*$W$1620</f>
        <v>93.296879999999987</v>
      </c>
      <c r="AD1620" s="6">
        <f>$O$1620*$X$1620</f>
        <v>32.434229999999999</v>
      </c>
      <c r="AE1620" s="6">
        <f>$K$1620*$Y$1620</f>
        <v>0</v>
      </c>
      <c r="AF1620" s="6">
        <f ca="1">$M$1620*$Z$1620</f>
        <v>104.79473578605395</v>
      </c>
      <c r="AG1620" s="6">
        <f>$O$1620*$AA$1620</f>
        <v>39.891353360100119</v>
      </c>
    </row>
    <row r="1621" spans="1:33" ht="11.25" customHeight="1" x14ac:dyDescent="0.25">
      <c r="A1621" s="4" t="s">
        <v>21</v>
      </c>
      <c r="B1621" s="4" t="s">
        <v>22</v>
      </c>
      <c r="C1621" s="4" t="s">
        <v>39</v>
      </c>
      <c r="D1621" s="4" t="s">
        <v>24</v>
      </c>
      <c r="E1621" s="4" t="s">
        <v>24</v>
      </c>
      <c r="F1621" s="4" t="s">
        <v>25</v>
      </c>
      <c r="G1621" s="4" t="s">
        <v>25</v>
      </c>
      <c r="H1621" s="4" t="s">
        <v>37</v>
      </c>
      <c r="I1621" s="5">
        <v>44136</v>
      </c>
      <c r="J1621" s="6">
        <v>0</v>
      </c>
      <c r="K1621" s="6">
        <v>0</v>
      </c>
      <c r="L1621" s="6">
        <v>10.135</v>
      </c>
      <c r="M1621" s="6">
        <v>10.135</v>
      </c>
      <c r="N1621" s="6">
        <v>10.135</v>
      </c>
      <c r="O1621" s="6">
        <v>10.135</v>
      </c>
      <c r="P1621" s="6">
        <v>0</v>
      </c>
      <c r="Q1621" s="4" t="s">
        <v>26</v>
      </c>
      <c r="R1621" s="4">
        <v>0</v>
      </c>
      <c r="S1621" s="6">
        <v>0</v>
      </c>
      <c r="T1621" s="6">
        <v>18</v>
      </c>
      <c r="U1621" s="6">
        <v>62</v>
      </c>
      <c r="V1621" s="6">
        <f>IF(ISERROR(VLOOKUP($S$1621,'TAR FIN'!$A$1:$O$95,15,0)),0,VLOOKUP($S$1621,'TAR FIN'!$A$1:$O$95,15,0))</f>
        <v>0</v>
      </c>
      <c r="W1621" s="6">
        <f>IF(ISERROR(VLOOKUP($T$1621,'TAR FIN'!$A$1:$O$95,15,0)),0,VLOOKUP($T$1621,'TAR FIN'!$A$1:$O$95,15,0))</f>
        <v>966.62</v>
      </c>
      <c r="X1621" s="6">
        <f>IF(ISERROR(VLOOKUP($U$1621,'TAR FIN'!$A$1:$O$95,15,0)),0,VLOOKUP($U$1621,'TAR FIN'!$A$1:$O$95,15,0))</f>
        <v>389.28</v>
      </c>
      <c r="Y1621" s="6"/>
      <c r="Z1621" s="6">
        <f ca="1">('TUSD BE'!$AM$22+'TUSD BF'!$AM$22+'TUSD CVA'!$AM$22)*1</f>
        <v>1084.5213223585286</v>
      </c>
      <c r="AA1621" s="6">
        <f>('TE BE'!$AA$10+'TE BF'!$AA$10+'TE CVA'!$AA$10)*1</f>
        <v>454.3285679284046</v>
      </c>
      <c r="AB1621" s="6">
        <f>$K$1621*$V$1621</f>
        <v>0</v>
      </c>
      <c r="AC1621" s="6">
        <f>$M$1621*$W$1621</f>
        <v>9796.6936999999998</v>
      </c>
      <c r="AD1621" s="6">
        <f>$O$1621*$X$1621</f>
        <v>3945.3527999999997</v>
      </c>
      <c r="AE1621" s="6">
        <f>$K$1621*$Y$1621</f>
        <v>0</v>
      </c>
      <c r="AF1621" s="6">
        <f ca="1">$M$1621*$Z$1621</f>
        <v>10991.623602103688</v>
      </c>
      <c r="AG1621" s="6">
        <f>$O$1621*$AA$1621</f>
        <v>4604.6200359543809</v>
      </c>
    </row>
    <row r="1622" spans="1:33" ht="11.25" customHeight="1" x14ac:dyDescent="0.25">
      <c r="A1622" s="4" t="s">
        <v>27</v>
      </c>
      <c r="B1622" s="4" t="s">
        <v>22</v>
      </c>
      <c r="C1622" s="4" t="s">
        <v>39</v>
      </c>
      <c r="D1622" s="4" t="s">
        <v>24</v>
      </c>
      <c r="E1622" s="4" t="s">
        <v>24</v>
      </c>
      <c r="F1622" s="4" t="s">
        <v>25</v>
      </c>
      <c r="G1622" s="4" t="s">
        <v>25</v>
      </c>
      <c r="H1622" s="4" t="s">
        <v>37</v>
      </c>
      <c r="I1622" s="5">
        <v>44136</v>
      </c>
      <c r="J1622" s="6">
        <v>0</v>
      </c>
      <c r="K1622" s="6">
        <v>0</v>
      </c>
      <c r="L1622" s="6">
        <v>-12.06</v>
      </c>
      <c r="M1622" s="6">
        <v>-12.06</v>
      </c>
      <c r="N1622" s="6">
        <v>-12.06</v>
      </c>
      <c r="O1622" s="6">
        <v>-12.06</v>
      </c>
      <c r="P1622" s="6">
        <v>0</v>
      </c>
      <c r="Q1622" s="4" t="s">
        <v>26</v>
      </c>
      <c r="R1622" s="4">
        <v>0</v>
      </c>
      <c r="S1622" s="6">
        <v>0</v>
      </c>
      <c r="T1622" s="6">
        <v>18</v>
      </c>
      <c r="U1622" s="6">
        <v>62</v>
      </c>
      <c r="V1622" s="6">
        <f>IF(ISERROR(VLOOKUP($S$1622,'TAR FIN'!$A$1:$O$95,15,0)),0,VLOOKUP($S$1622,'TAR FIN'!$A$1:$O$95,15,0))</f>
        <v>0</v>
      </c>
      <c r="W1622" s="6">
        <f>IF(ISERROR(VLOOKUP($T$1622,'TAR FIN'!$A$1:$O$95,15,0)),0,VLOOKUP($T$1622,'TAR FIN'!$A$1:$O$95,15,0))</f>
        <v>966.62</v>
      </c>
      <c r="X1622" s="6">
        <f>IF(ISERROR(VLOOKUP($U$1622,'TAR FIN'!$A$1:$O$95,15,0)),0,VLOOKUP($U$1622,'TAR FIN'!$A$1:$O$95,15,0))</f>
        <v>389.28</v>
      </c>
      <c r="Y1622" s="6"/>
      <c r="Z1622" s="6">
        <f ca="1">('TUSD BE'!$AM$22+'TUSD BF'!$AM$22+'TUSD CVA'!$AM$22)*1</f>
        <v>1084.5213223585286</v>
      </c>
      <c r="AA1622" s="6">
        <f>('TE BE'!$AA$10+'TE BF'!$AA$10+'TE CVA'!$AA$10)*1</f>
        <v>454.3285679284046</v>
      </c>
      <c r="AB1622" s="6">
        <f>$K$1622*$V$1622</f>
        <v>0</v>
      </c>
      <c r="AC1622" s="6">
        <f>$M$1622*$W$1622</f>
        <v>-11657.4372</v>
      </c>
      <c r="AD1622" s="6">
        <f>$O$1622*$X$1622</f>
        <v>-4694.7168000000001</v>
      </c>
      <c r="AE1622" s="6">
        <f>$K$1622*$Y$1622</f>
        <v>0</v>
      </c>
      <c r="AF1622" s="6">
        <f ca="1">$M$1622*$Z$1622</f>
        <v>-13079.327147643855</v>
      </c>
      <c r="AG1622" s="6">
        <f>$O$1622*$AA$1622</f>
        <v>-5479.2025292165599</v>
      </c>
    </row>
    <row r="1623" spans="1:33" ht="11.25" customHeight="1" x14ac:dyDescent="0.25">
      <c r="A1623" s="4" t="s">
        <v>28</v>
      </c>
      <c r="B1623" s="4" t="s">
        <v>22</v>
      </c>
      <c r="C1623" s="4" t="s">
        <v>39</v>
      </c>
      <c r="D1623" s="4" t="s">
        <v>24</v>
      </c>
      <c r="E1623" s="4" t="s">
        <v>24</v>
      </c>
      <c r="F1623" s="4" t="s">
        <v>25</v>
      </c>
      <c r="G1623" s="4" t="s">
        <v>25</v>
      </c>
      <c r="H1623" s="4" t="s">
        <v>37</v>
      </c>
      <c r="I1623" s="5">
        <v>44136</v>
      </c>
      <c r="J1623" s="6">
        <v>0</v>
      </c>
      <c r="K1623" s="6">
        <v>0</v>
      </c>
      <c r="L1623" s="6">
        <v>0.188</v>
      </c>
      <c r="M1623" s="6">
        <v>0.188</v>
      </c>
      <c r="N1623" s="6">
        <v>0.188</v>
      </c>
      <c r="O1623" s="6">
        <v>0.188</v>
      </c>
      <c r="P1623" s="6">
        <v>0</v>
      </c>
      <c r="Q1623" s="4" t="s">
        <v>26</v>
      </c>
      <c r="R1623" s="4">
        <v>0</v>
      </c>
      <c r="S1623" s="6">
        <v>0</v>
      </c>
      <c r="T1623" s="6">
        <v>18</v>
      </c>
      <c r="U1623" s="6">
        <v>62</v>
      </c>
      <c r="V1623" s="6">
        <f>IF(ISERROR(VLOOKUP($S$1623,'TAR FIN'!$A$1:$O$95,15,0)),0,VLOOKUP($S$1623,'TAR FIN'!$A$1:$O$95,15,0))</f>
        <v>0</v>
      </c>
      <c r="W1623" s="6">
        <f>IF(ISERROR(VLOOKUP($T$1623,'TAR FIN'!$A$1:$O$95,15,0)),0,VLOOKUP($T$1623,'TAR FIN'!$A$1:$O$95,15,0))</f>
        <v>966.62</v>
      </c>
      <c r="X1623" s="6">
        <f>IF(ISERROR(VLOOKUP($U$1623,'TAR FIN'!$A$1:$O$95,15,0)),0,VLOOKUP($U$1623,'TAR FIN'!$A$1:$O$95,15,0))</f>
        <v>389.28</v>
      </c>
      <c r="Y1623" s="6"/>
      <c r="Z1623" s="6">
        <f ca="1">('TUSD BE'!$AM$22+'TUSD BF'!$AM$22+'TUSD CVA'!$AM$22)*1</f>
        <v>1084.5213223585286</v>
      </c>
      <c r="AA1623" s="6">
        <f>('TE BE'!$AA$10+'TE BF'!$AA$10+'TE CVA'!$AA$10)*1</f>
        <v>454.3285679284046</v>
      </c>
      <c r="AB1623" s="6">
        <f>$K$1623*$V$1623</f>
        <v>0</v>
      </c>
      <c r="AC1623" s="6">
        <f>$M$1623*$W$1623</f>
        <v>181.72456</v>
      </c>
      <c r="AD1623" s="6">
        <f>$O$1623*$X$1623</f>
        <v>73.184640000000002</v>
      </c>
      <c r="AE1623" s="6">
        <f>$K$1623*$Y$1623</f>
        <v>0</v>
      </c>
      <c r="AF1623" s="6">
        <f ca="1">$M$1623*$Z$1623</f>
        <v>203.89000860340337</v>
      </c>
      <c r="AG1623" s="6">
        <f>$O$1623*$AA$1623</f>
        <v>85.413770770540069</v>
      </c>
    </row>
    <row r="1624" spans="1:33" ht="11.25" customHeight="1" x14ac:dyDescent="0.25">
      <c r="A1624" s="4" t="s">
        <v>30</v>
      </c>
      <c r="B1624" s="4" t="s">
        <v>22</v>
      </c>
      <c r="C1624" s="4" t="s">
        <v>39</v>
      </c>
      <c r="D1624" s="4" t="s">
        <v>24</v>
      </c>
      <c r="E1624" s="4" t="s">
        <v>24</v>
      </c>
      <c r="F1624" s="4" t="s">
        <v>25</v>
      </c>
      <c r="G1624" s="4" t="s">
        <v>25</v>
      </c>
      <c r="H1624" s="4" t="s">
        <v>37</v>
      </c>
      <c r="I1624" s="5">
        <v>44136</v>
      </c>
      <c r="J1624" s="6">
        <v>0</v>
      </c>
      <c r="K1624" s="6">
        <v>0</v>
      </c>
      <c r="L1624" s="6">
        <v>0.08</v>
      </c>
      <c r="M1624" s="6">
        <v>0.08</v>
      </c>
      <c r="N1624" s="6">
        <v>0.08</v>
      </c>
      <c r="O1624" s="6">
        <v>0.08</v>
      </c>
      <c r="P1624" s="6">
        <v>0</v>
      </c>
      <c r="Q1624" s="4" t="s">
        <v>26</v>
      </c>
      <c r="R1624" s="4">
        <v>0</v>
      </c>
      <c r="S1624" s="6">
        <v>0</v>
      </c>
      <c r="T1624" s="6">
        <v>18</v>
      </c>
      <c r="U1624" s="6">
        <v>62</v>
      </c>
      <c r="V1624" s="6">
        <f>IF(ISERROR(VLOOKUP($S$1624,'TAR FIN'!$A$1:$O$95,15,0)),0,VLOOKUP($S$1624,'TAR FIN'!$A$1:$O$95,15,0))</f>
        <v>0</v>
      </c>
      <c r="W1624" s="6">
        <f>IF(ISERROR(VLOOKUP($T$1624,'TAR FIN'!$A$1:$O$95,15,0)),0,VLOOKUP($T$1624,'TAR FIN'!$A$1:$O$95,15,0))</f>
        <v>966.62</v>
      </c>
      <c r="X1624" s="6">
        <f>IF(ISERROR(VLOOKUP($U$1624,'TAR FIN'!$A$1:$O$95,15,0)),0,VLOOKUP($U$1624,'TAR FIN'!$A$1:$O$95,15,0))</f>
        <v>389.28</v>
      </c>
      <c r="Y1624" s="6"/>
      <c r="Z1624" s="6">
        <f ca="1">('TUSD BE'!$AM$22+'TUSD BF'!$AM$22+'TUSD CVA'!$AM$22)*1</f>
        <v>1084.5213223585286</v>
      </c>
      <c r="AA1624" s="6">
        <f>('TE BE'!$AA$10+'TE BF'!$AA$10+'TE CVA'!$AA$10)*1</f>
        <v>454.3285679284046</v>
      </c>
      <c r="AB1624" s="6">
        <f>$K$1624*$V$1624</f>
        <v>0</v>
      </c>
      <c r="AC1624" s="6">
        <f>$M$1624*$W$1624</f>
        <v>77.329599999999999</v>
      </c>
      <c r="AD1624" s="6">
        <f>$O$1624*$X$1624</f>
        <v>31.142399999999999</v>
      </c>
      <c r="AE1624" s="6">
        <f>$K$1624*$Y$1624</f>
        <v>0</v>
      </c>
      <c r="AF1624" s="6">
        <f ca="1">$M$1624*$Z$1624</f>
        <v>86.761705788682292</v>
      </c>
      <c r="AG1624" s="6">
        <f>$O$1624*$AA$1624</f>
        <v>36.346285434272367</v>
      </c>
    </row>
    <row r="1625" spans="1:33" ht="11.25" customHeight="1" x14ac:dyDescent="0.25">
      <c r="A1625" s="4" t="s">
        <v>21</v>
      </c>
      <c r="B1625" s="4" t="s">
        <v>22</v>
      </c>
      <c r="C1625" s="4" t="s">
        <v>39</v>
      </c>
      <c r="D1625" s="4" t="s">
        <v>24</v>
      </c>
      <c r="E1625" s="4" t="s">
        <v>24</v>
      </c>
      <c r="F1625" s="4" t="s">
        <v>25</v>
      </c>
      <c r="G1625" s="4" t="s">
        <v>25</v>
      </c>
      <c r="H1625" s="4" t="s">
        <v>37</v>
      </c>
      <c r="I1625" s="5">
        <v>44166</v>
      </c>
      <c r="J1625" s="6">
        <v>0</v>
      </c>
      <c r="K1625" s="6">
        <v>0</v>
      </c>
      <c r="L1625" s="6">
        <v>3.294</v>
      </c>
      <c r="M1625" s="6">
        <v>3.294</v>
      </c>
      <c r="N1625" s="6">
        <v>3.294</v>
      </c>
      <c r="O1625" s="6">
        <v>3.294</v>
      </c>
      <c r="P1625" s="6">
        <v>0</v>
      </c>
      <c r="Q1625" s="4" t="s">
        <v>26</v>
      </c>
      <c r="R1625" s="4">
        <v>0</v>
      </c>
      <c r="S1625" s="6">
        <v>0</v>
      </c>
      <c r="T1625" s="6">
        <v>18</v>
      </c>
      <c r="U1625" s="6">
        <v>62</v>
      </c>
      <c r="V1625" s="6">
        <f>IF(ISERROR(VLOOKUP($S$1625,'TAR FIN'!$A$1:$O$95,15,0)),0,VLOOKUP($S$1625,'TAR FIN'!$A$1:$O$95,15,0))</f>
        <v>0</v>
      </c>
      <c r="W1625" s="6">
        <f>IF(ISERROR(VLOOKUP($T$1625,'TAR FIN'!$A$1:$O$95,15,0)),0,VLOOKUP($T$1625,'TAR FIN'!$A$1:$O$95,15,0))</f>
        <v>966.62</v>
      </c>
      <c r="X1625" s="6">
        <f>IF(ISERROR(VLOOKUP($U$1625,'TAR FIN'!$A$1:$O$95,15,0)),0,VLOOKUP($U$1625,'TAR FIN'!$A$1:$O$95,15,0))</f>
        <v>389.28</v>
      </c>
      <c r="Y1625" s="6"/>
      <c r="Z1625" s="6">
        <f ca="1">('TUSD BE'!$AM$22+'TUSD BF'!$AM$22+'TUSD CVA'!$AM$22)*1</f>
        <v>1084.5213223585286</v>
      </c>
      <c r="AA1625" s="6">
        <f>('TE BE'!$AA$10+'TE BF'!$AA$10+'TE CVA'!$AA$10)*1</f>
        <v>454.3285679284046</v>
      </c>
      <c r="AB1625" s="6">
        <f>$K$1625*$V$1625</f>
        <v>0</v>
      </c>
      <c r="AC1625" s="6">
        <f>$M$1625*$W$1625</f>
        <v>3184.04628</v>
      </c>
      <c r="AD1625" s="6">
        <f>$O$1625*$X$1625</f>
        <v>1282.2883199999999</v>
      </c>
      <c r="AE1625" s="6">
        <f>$K$1625*$Y$1625</f>
        <v>0</v>
      </c>
      <c r="AF1625" s="6">
        <f ca="1">$M$1625*$Z$1625</f>
        <v>3572.4132358489933</v>
      </c>
      <c r="AG1625" s="6">
        <f>$O$1625*$AA$1625</f>
        <v>1496.5583027561647</v>
      </c>
    </row>
    <row r="1626" spans="1:33" ht="11.25" customHeight="1" x14ac:dyDescent="0.25">
      <c r="A1626" s="4" t="s">
        <v>27</v>
      </c>
      <c r="B1626" s="4" t="s">
        <v>22</v>
      </c>
      <c r="C1626" s="4" t="s">
        <v>39</v>
      </c>
      <c r="D1626" s="4" t="s">
        <v>24</v>
      </c>
      <c r="E1626" s="4" t="s">
        <v>24</v>
      </c>
      <c r="F1626" s="4" t="s">
        <v>25</v>
      </c>
      <c r="G1626" s="4" t="s">
        <v>25</v>
      </c>
      <c r="H1626" s="4" t="s">
        <v>37</v>
      </c>
      <c r="I1626" s="5">
        <v>44166</v>
      </c>
      <c r="J1626" s="6">
        <v>0</v>
      </c>
      <c r="K1626" s="6">
        <v>0</v>
      </c>
      <c r="L1626" s="6">
        <v>-6.8120000000000003</v>
      </c>
      <c r="M1626" s="6">
        <v>-6.8120000000000003</v>
      </c>
      <c r="N1626" s="6">
        <v>-6.8120000000000003</v>
      </c>
      <c r="O1626" s="6">
        <v>-6.8120000000000003</v>
      </c>
      <c r="P1626" s="6">
        <v>0</v>
      </c>
      <c r="Q1626" s="4" t="s">
        <v>26</v>
      </c>
      <c r="R1626" s="4">
        <v>0</v>
      </c>
      <c r="S1626" s="6">
        <v>0</v>
      </c>
      <c r="T1626" s="6">
        <v>18</v>
      </c>
      <c r="U1626" s="6">
        <v>62</v>
      </c>
      <c r="V1626" s="6">
        <f>IF(ISERROR(VLOOKUP($S$1626,'TAR FIN'!$A$1:$O$95,15,0)),0,VLOOKUP($S$1626,'TAR FIN'!$A$1:$O$95,15,0))</f>
        <v>0</v>
      </c>
      <c r="W1626" s="6">
        <f>IF(ISERROR(VLOOKUP($T$1626,'TAR FIN'!$A$1:$O$95,15,0)),0,VLOOKUP($T$1626,'TAR FIN'!$A$1:$O$95,15,0))</f>
        <v>966.62</v>
      </c>
      <c r="X1626" s="6">
        <f>IF(ISERROR(VLOOKUP($U$1626,'TAR FIN'!$A$1:$O$95,15,0)),0,VLOOKUP($U$1626,'TAR FIN'!$A$1:$O$95,15,0))</f>
        <v>389.28</v>
      </c>
      <c r="Y1626" s="6"/>
      <c r="Z1626" s="6">
        <f ca="1">('TUSD BE'!$AM$22+'TUSD BF'!$AM$22+'TUSD CVA'!$AM$22)*1</f>
        <v>1084.5213223585286</v>
      </c>
      <c r="AA1626" s="6">
        <f>('TE BE'!$AA$10+'TE BF'!$AA$10+'TE CVA'!$AA$10)*1</f>
        <v>454.3285679284046</v>
      </c>
      <c r="AB1626" s="6">
        <f>$K$1626*$V$1626</f>
        <v>0</v>
      </c>
      <c r="AC1626" s="6">
        <f>$M$1626*$W$1626</f>
        <v>-6584.6154400000005</v>
      </c>
      <c r="AD1626" s="6">
        <f>$O$1626*$X$1626</f>
        <v>-2651.7753600000001</v>
      </c>
      <c r="AE1626" s="6">
        <f>$K$1626*$Y$1626</f>
        <v>0</v>
      </c>
      <c r="AF1626" s="6">
        <f ca="1">$M$1626*$Z$1626</f>
        <v>-7387.7592479062969</v>
      </c>
      <c r="AG1626" s="6">
        <f>$O$1626*$AA$1626</f>
        <v>-3094.8862047282923</v>
      </c>
    </row>
    <row r="1627" spans="1:33" ht="11.25" customHeight="1" x14ac:dyDescent="0.25">
      <c r="A1627" s="4" t="s">
        <v>28</v>
      </c>
      <c r="B1627" s="4" t="s">
        <v>22</v>
      </c>
      <c r="C1627" s="4" t="s">
        <v>39</v>
      </c>
      <c r="D1627" s="4" t="s">
        <v>24</v>
      </c>
      <c r="E1627" s="4" t="s">
        <v>24</v>
      </c>
      <c r="F1627" s="4" t="s">
        <v>25</v>
      </c>
      <c r="G1627" s="4" t="s">
        <v>25</v>
      </c>
      <c r="H1627" s="4" t="s">
        <v>37</v>
      </c>
      <c r="I1627" s="5">
        <v>44166</v>
      </c>
      <c r="J1627" s="6">
        <v>0</v>
      </c>
      <c r="K1627" s="6">
        <v>0</v>
      </c>
      <c r="L1627" s="6">
        <v>0.126</v>
      </c>
      <c r="M1627" s="6">
        <v>0.126</v>
      </c>
      <c r="N1627" s="6">
        <v>0.126</v>
      </c>
      <c r="O1627" s="6">
        <v>0.126</v>
      </c>
      <c r="P1627" s="6">
        <v>0</v>
      </c>
      <c r="Q1627" s="4" t="s">
        <v>26</v>
      </c>
      <c r="R1627" s="4">
        <v>0</v>
      </c>
      <c r="S1627" s="6">
        <v>0</v>
      </c>
      <c r="T1627" s="6">
        <v>18</v>
      </c>
      <c r="U1627" s="6">
        <v>62</v>
      </c>
      <c r="V1627" s="6">
        <f>IF(ISERROR(VLOOKUP($S$1627,'TAR FIN'!$A$1:$O$95,15,0)),0,VLOOKUP($S$1627,'TAR FIN'!$A$1:$O$95,15,0))</f>
        <v>0</v>
      </c>
      <c r="W1627" s="6">
        <f>IF(ISERROR(VLOOKUP($T$1627,'TAR FIN'!$A$1:$O$95,15,0)),0,VLOOKUP($T$1627,'TAR FIN'!$A$1:$O$95,15,0))</f>
        <v>966.62</v>
      </c>
      <c r="X1627" s="6">
        <f>IF(ISERROR(VLOOKUP($U$1627,'TAR FIN'!$A$1:$O$95,15,0)),0,VLOOKUP($U$1627,'TAR FIN'!$A$1:$O$95,15,0))</f>
        <v>389.28</v>
      </c>
      <c r="Y1627" s="6"/>
      <c r="Z1627" s="6">
        <f ca="1">('TUSD BE'!$AM$22+'TUSD BF'!$AM$22+'TUSD CVA'!$AM$22)*1</f>
        <v>1084.5213223585286</v>
      </c>
      <c r="AA1627" s="6">
        <f>('TE BE'!$AA$10+'TE BF'!$AA$10+'TE CVA'!$AA$10)*1</f>
        <v>454.3285679284046</v>
      </c>
      <c r="AB1627" s="6">
        <f>$K$1627*$V$1627</f>
        <v>0</v>
      </c>
      <c r="AC1627" s="6">
        <f>$M$1627*$W$1627</f>
        <v>121.79412000000001</v>
      </c>
      <c r="AD1627" s="6">
        <f>$O$1627*$X$1627</f>
        <v>49.049279999999996</v>
      </c>
      <c r="AE1627" s="6">
        <f>$K$1627*$Y$1627</f>
        <v>0</v>
      </c>
      <c r="AF1627" s="6">
        <f ca="1">$M$1627*$Z$1627</f>
        <v>136.64968661717461</v>
      </c>
      <c r="AG1627" s="6">
        <f>$O$1627*$AA$1627</f>
        <v>57.245399558978981</v>
      </c>
    </row>
    <row r="1628" spans="1:33" ht="11.25" customHeight="1" x14ac:dyDescent="0.25">
      <c r="A1628" s="4" t="s">
        <v>30</v>
      </c>
      <c r="B1628" s="4" t="s">
        <v>22</v>
      </c>
      <c r="C1628" s="4" t="s">
        <v>39</v>
      </c>
      <c r="D1628" s="4" t="s">
        <v>24</v>
      </c>
      <c r="E1628" s="4" t="s">
        <v>24</v>
      </c>
      <c r="F1628" s="4" t="s">
        <v>25</v>
      </c>
      <c r="G1628" s="4" t="s">
        <v>25</v>
      </c>
      <c r="H1628" s="4" t="s">
        <v>37</v>
      </c>
      <c r="I1628" s="5">
        <v>44166</v>
      </c>
      <c r="J1628" s="6">
        <v>0</v>
      </c>
      <c r="K1628" s="6">
        <v>0</v>
      </c>
      <c r="L1628" s="6">
        <v>8.5999999999999993E-2</v>
      </c>
      <c r="M1628" s="6">
        <v>8.5999999999999993E-2</v>
      </c>
      <c r="N1628" s="6">
        <v>8.5999999999999993E-2</v>
      </c>
      <c r="O1628" s="6">
        <v>8.5999999999999993E-2</v>
      </c>
      <c r="P1628" s="6">
        <v>0</v>
      </c>
      <c r="Q1628" s="4" t="s">
        <v>26</v>
      </c>
      <c r="R1628" s="4">
        <v>0</v>
      </c>
      <c r="S1628" s="6">
        <v>0</v>
      </c>
      <c r="T1628" s="6">
        <v>18</v>
      </c>
      <c r="U1628" s="6">
        <v>62</v>
      </c>
      <c r="V1628" s="6">
        <f>IF(ISERROR(VLOOKUP($S$1628,'TAR FIN'!$A$1:$O$95,15,0)),0,VLOOKUP($S$1628,'TAR FIN'!$A$1:$O$95,15,0))</f>
        <v>0</v>
      </c>
      <c r="W1628" s="6">
        <f>IF(ISERROR(VLOOKUP($T$1628,'TAR FIN'!$A$1:$O$95,15,0)),0,VLOOKUP($T$1628,'TAR FIN'!$A$1:$O$95,15,0))</f>
        <v>966.62</v>
      </c>
      <c r="X1628" s="6">
        <f>IF(ISERROR(VLOOKUP($U$1628,'TAR FIN'!$A$1:$O$95,15,0)),0,VLOOKUP($U$1628,'TAR FIN'!$A$1:$O$95,15,0))</f>
        <v>389.28</v>
      </c>
      <c r="Y1628" s="6"/>
      <c r="Z1628" s="6">
        <f ca="1">('TUSD BE'!$AM$22+'TUSD BF'!$AM$22+'TUSD CVA'!$AM$22)*1</f>
        <v>1084.5213223585286</v>
      </c>
      <c r="AA1628" s="6">
        <f>('TE BE'!$AA$10+'TE BF'!$AA$10+'TE CVA'!$AA$10)*1</f>
        <v>454.3285679284046</v>
      </c>
      <c r="AB1628" s="6">
        <f>$K$1628*$V$1628</f>
        <v>0</v>
      </c>
      <c r="AC1628" s="6">
        <f>$M$1628*$W$1628</f>
        <v>83.129319999999993</v>
      </c>
      <c r="AD1628" s="6">
        <f>$O$1628*$X$1628</f>
        <v>33.478079999999999</v>
      </c>
      <c r="AE1628" s="6">
        <f>$K$1628*$Y$1628</f>
        <v>0</v>
      </c>
      <c r="AF1628" s="6">
        <f ca="1">$M$1628*$Z$1628</f>
        <v>93.268833722833449</v>
      </c>
      <c r="AG1628" s="6">
        <f>$O$1628*$AA$1628</f>
        <v>39.072256841842794</v>
      </c>
    </row>
    <row r="1629" spans="1:33" ht="11.25" customHeight="1" x14ac:dyDescent="0.25">
      <c r="A1629" s="4" t="s">
        <v>21</v>
      </c>
      <c r="B1629" s="4" t="s">
        <v>22</v>
      </c>
      <c r="C1629" s="4" t="s">
        <v>39</v>
      </c>
      <c r="D1629" s="4" t="s">
        <v>24</v>
      </c>
      <c r="E1629" s="4" t="s">
        <v>24</v>
      </c>
      <c r="F1629" s="4" t="s">
        <v>25</v>
      </c>
      <c r="G1629" s="4" t="s">
        <v>25</v>
      </c>
      <c r="H1629" s="4" t="s">
        <v>37</v>
      </c>
      <c r="I1629" s="5">
        <v>44197</v>
      </c>
      <c r="J1629" s="6">
        <v>0</v>
      </c>
      <c r="K1629" s="6">
        <v>0</v>
      </c>
      <c r="L1629" s="6">
        <v>3.4380000000000002</v>
      </c>
      <c r="M1629" s="6">
        <v>3.4380000000000002</v>
      </c>
      <c r="N1629" s="6">
        <v>3.4380000000000002</v>
      </c>
      <c r="O1629" s="6">
        <v>3.4380000000000002</v>
      </c>
      <c r="P1629" s="6">
        <v>0</v>
      </c>
      <c r="Q1629" s="4" t="s">
        <v>26</v>
      </c>
      <c r="R1629" s="4">
        <v>0</v>
      </c>
      <c r="S1629" s="6">
        <v>0</v>
      </c>
      <c r="T1629" s="6">
        <v>18</v>
      </c>
      <c r="U1629" s="6">
        <v>62</v>
      </c>
      <c r="V1629" s="6">
        <f>IF(ISERROR(VLOOKUP($S$1629,'TAR FIN'!$A$1:$O$95,15,0)),0,VLOOKUP($S$1629,'TAR FIN'!$A$1:$O$95,15,0))</f>
        <v>0</v>
      </c>
      <c r="W1629" s="6">
        <f>IF(ISERROR(VLOOKUP($T$1629,'TAR FIN'!$A$1:$O$95,15,0)),0,VLOOKUP($T$1629,'TAR FIN'!$A$1:$O$95,15,0))</f>
        <v>966.62</v>
      </c>
      <c r="X1629" s="6">
        <f>IF(ISERROR(VLOOKUP($U$1629,'TAR FIN'!$A$1:$O$95,15,0)),0,VLOOKUP($U$1629,'TAR FIN'!$A$1:$O$95,15,0))</f>
        <v>389.28</v>
      </c>
      <c r="Y1629" s="6"/>
      <c r="Z1629" s="6">
        <f ca="1">('TUSD BE'!$AM$22+'TUSD BF'!$AM$22+'TUSD CVA'!$AM$22)*1</f>
        <v>1084.5213223585286</v>
      </c>
      <c r="AA1629" s="6">
        <f>('TE BE'!$AA$10+'TE BF'!$AA$10+'TE CVA'!$AA$10)*1</f>
        <v>454.3285679284046</v>
      </c>
      <c r="AB1629" s="6">
        <f>$K$1629*$V$1629</f>
        <v>0</v>
      </c>
      <c r="AC1629" s="6">
        <f>$M$1629*$W$1629</f>
        <v>3323.23956</v>
      </c>
      <c r="AD1629" s="6">
        <f>$O$1629*$X$1629</f>
        <v>1338.34464</v>
      </c>
      <c r="AE1629" s="6">
        <f>$K$1629*$Y$1629</f>
        <v>0</v>
      </c>
      <c r="AF1629" s="6">
        <f ca="1">$M$1629*$Z$1629</f>
        <v>3728.5843062686213</v>
      </c>
      <c r="AG1629" s="6">
        <f>$O$1629*$AA$1629</f>
        <v>1561.9816165378552</v>
      </c>
    </row>
    <row r="1630" spans="1:33" ht="11.25" customHeight="1" x14ac:dyDescent="0.25">
      <c r="A1630" s="4" t="s">
        <v>27</v>
      </c>
      <c r="B1630" s="4" t="s">
        <v>22</v>
      </c>
      <c r="C1630" s="4" t="s">
        <v>39</v>
      </c>
      <c r="D1630" s="4" t="s">
        <v>24</v>
      </c>
      <c r="E1630" s="4" t="s">
        <v>24</v>
      </c>
      <c r="F1630" s="4" t="s">
        <v>25</v>
      </c>
      <c r="G1630" s="4" t="s">
        <v>25</v>
      </c>
      <c r="H1630" s="4" t="s">
        <v>37</v>
      </c>
      <c r="I1630" s="5">
        <v>44197</v>
      </c>
      <c r="J1630" s="6">
        <v>0</v>
      </c>
      <c r="K1630" s="6">
        <v>0</v>
      </c>
      <c r="L1630" s="6">
        <v>-0.22700000000000001</v>
      </c>
      <c r="M1630" s="6">
        <v>-0.22700000000000001</v>
      </c>
      <c r="N1630" s="6">
        <v>-0.22700000000000001</v>
      </c>
      <c r="O1630" s="6">
        <v>-0.22700000000000001</v>
      </c>
      <c r="P1630" s="6">
        <v>0</v>
      </c>
      <c r="Q1630" s="4" t="s">
        <v>26</v>
      </c>
      <c r="R1630" s="4">
        <v>0</v>
      </c>
      <c r="S1630" s="6">
        <v>0</v>
      </c>
      <c r="T1630" s="6">
        <v>18</v>
      </c>
      <c r="U1630" s="6">
        <v>62</v>
      </c>
      <c r="V1630" s="6">
        <f>IF(ISERROR(VLOOKUP($S$1630,'TAR FIN'!$A$1:$O$95,15,0)),0,VLOOKUP($S$1630,'TAR FIN'!$A$1:$O$95,15,0))</f>
        <v>0</v>
      </c>
      <c r="W1630" s="6">
        <f>IF(ISERROR(VLOOKUP($T$1630,'TAR FIN'!$A$1:$O$95,15,0)),0,VLOOKUP($T$1630,'TAR FIN'!$A$1:$O$95,15,0))</f>
        <v>966.62</v>
      </c>
      <c r="X1630" s="6">
        <f>IF(ISERROR(VLOOKUP($U$1630,'TAR FIN'!$A$1:$O$95,15,0)),0,VLOOKUP($U$1630,'TAR FIN'!$A$1:$O$95,15,0))</f>
        <v>389.28</v>
      </c>
      <c r="Y1630" s="6"/>
      <c r="Z1630" s="6">
        <f ca="1">('TUSD BE'!$AM$22+'TUSD BF'!$AM$22+'TUSD CVA'!$AM$22)*1</f>
        <v>1084.5213223585286</v>
      </c>
      <c r="AA1630" s="6">
        <f>('TE BE'!$AA$10+'TE BF'!$AA$10+'TE CVA'!$AA$10)*1</f>
        <v>454.3285679284046</v>
      </c>
      <c r="AB1630" s="6">
        <f>$K$1630*$V$1630</f>
        <v>0</v>
      </c>
      <c r="AC1630" s="6">
        <f>$M$1630*$W$1630</f>
        <v>-219.42274</v>
      </c>
      <c r="AD1630" s="6">
        <f>$O$1630*$X$1630</f>
        <v>-88.366559999999993</v>
      </c>
      <c r="AE1630" s="6">
        <f>$K$1630*$Y$1630</f>
        <v>0</v>
      </c>
      <c r="AF1630" s="6">
        <f ca="1">$M$1630*$Z$1630</f>
        <v>-246.18634017538599</v>
      </c>
      <c r="AG1630" s="6">
        <f>$O$1630*$AA$1630</f>
        <v>-103.13258491974784</v>
      </c>
    </row>
    <row r="1631" spans="1:33" ht="11.25" customHeight="1" x14ac:dyDescent="0.25">
      <c r="A1631" s="4" t="s">
        <v>28</v>
      </c>
      <c r="B1631" s="4" t="s">
        <v>22</v>
      </c>
      <c r="C1631" s="4" t="s">
        <v>39</v>
      </c>
      <c r="D1631" s="4" t="s">
        <v>24</v>
      </c>
      <c r="E1631" s="4" t="s">
        <v>24</v>
      </c>
      <c r="F1631" s="4" t="s">
        <v>25</v>
      </c>
      <c r="G1631" s="4" t="s">
        <v>25</v>
      </c>
      <c r="H1631" s="4" t="s">
        <v>37</v>
      </c>
      <c r="I1631" s="5">
        <v>44197</v>
      </c>
      <c r="J1631" s="6">
        <v>0</v>
      </c>
      <c r="K1631" s="6">
        <v>0</v>
      </c>
      <c r="L1631" s="6">
        <v>0.14099999999999999</v>
      </c>
      <c r="M1631" s="6">
        <v>0.14099999999999999</v>
      </c>
      <c r="N1631" s="6">
        <v>0.14099999999999999</v>
      </c>
      <c r="O1631" s="6">
        <v>0.14099999999999999</v>
      </c>
      <c r="P1631" s="6">
        <v>0</v>
      </c>
      <c r="Q1631" s="4" t="s">
        <v>26</v>
      </c>
      <c r="R1631" s="4">
        <v>0</v>
      </c>
      <c r="S1631" s="6">
        <v>0</v>
      </c>
      <c r="T1631" s="6">
        <v>18</v>
      </c>
      <c r="U1631" s="6">
        <v>62</v>
      </c>
      <c r="V1631" s="6">
        <f>IF(ISERROR(VLOOKUP($S$1631,'TAR FIN'!$A$1:$O$95,15,0)),0,VLOOKUP($S$1631,'TAR FIN'!$A$1:$O$95,15,0))</f>
        <v>0</v>
      </c>
      <c r="W1631" s="6">
        <f>IF(ISERROR(VLOOKUP($T$1631,'TAR FIN'!$A$1:$O$95,15,0)),0,VLOOKUP($T$1631,'TAR FIN'!$A$1:$O$95,15,0))</f>
        <v>966.62</v>
      </c>
      <c r="X1631" s="6">
        <f>IF(ISERROR(VLOOKUP($U$1631,'TAR FIN'!$A$1:$O$95,15,0)),0,VLOOKUP($U$1631,'TAR FIN'!$A$1:$O$95,15,0))</f>
        <v>389.28</v>
      </c>
      <c r="Y1631" s="6"/>
      <c r="Z1631" s="6">
        <f ca="1">('TUSD BE'!$AM$22+'TUSD BF'!$AM$22+'TUSD CVA'!$AM$22)*1</f>
        <v>1084.5213223585286</v>
      </c>
      <c r="AA1631" s="6">
        <f>('TE BE'!$AA$10+'TE BF'!$AA$10+'TE CVA'!$AA$10)*1</f>
        <v>454.3285679284046</v>
      </c>
      <c r="AB1631" s="6">
        <f>$K$1631*$V$1631</f>
        <v>0</v>
      </c>
      <c r="AC1631" s="6">
        <f>$M$1631*$W$1631</f>
        <v>136.29342</v>
      </c>
      <c r="AD1631" s="6">
        <f>$O$1631*$X$1631</f>
        <v>54.888479999999994</v>
      </c>
      <c r="AE1631" s="6">
        <f>$K$1631*$Y$1631</f>
        <v>0</v>
      </c>
      <c r="AF1631" s="6">
        <f ca="1">$M$1631*$Z$1631</f>
        <v>152.91750645255252</v>
      </c>
      <c r="AG1631" s="6">
        <f>$O$1631*$AA$1631</f>
        <v>64.060328077905041</v>
      </c>
    </row>
    <row r="1632" spans="1:33" ht="11.25" customHeight="1" x14ac:dyDescent="0.25">
      <c r="A1632" s="4" t="s">
        <v>30</v>
      </c>
      <c r="B1632" s="4" t="s">
        <v>22</v>
      </c>
      <c r="C1632" s="4" t="s">
        <v>39</v>
      </c>
      <c r="D1632" s="4" t="s">
        <v>24</v>
      </c>
      <c r="E1632" s="4" t="s">
        <v>24</v>
      </c>
      <c r="F1632" s="4" t="s">
        <v>25</v>
      </c>
      <c r="G1632" s="4" t="s">
        <v>25</v>
      </c>
      <c r="H1632" s="4" t="s">
        <v>37</v>
      </c>
      <c r="I1632" s="5">
        <v>44197</v>
      </c>
      <c r="J1632" s="6">
        <v>0</v>
      </c>
      <c r="K1632" s="6">
        <v>0</v>
      </c>
      <c r="L1632" s="6">
        <v>9.7000000000000003E-2</v>
      </c>
      <c r="M1632" s="6">
        <v>9.7000000000000003E-2</v>
      </c>
      <c r="N1632" s="6">
        <v>9.7000000000000003E-2</v>
      </c>
      <c r="O1632" s="6">
        <v>9.7000000000000003E-2</v>
      </c>
      <c r="P1632" s="6">
        <v>0</v>
      </c>
      <c r="Q1632" s="4" t="s">
        <v>26</v>
      </c>
      <c r="R1632" s="4">
        <v>0</v>
      </c>
      <c r="S1632" s="6">
        <v>0</v>
      </c>
      <c r="T1632" s="6">
        <v>18</v>
      </c>
      <c r="U1632" s="6">
        <v>62</v>
      </c>
      <c r="V1632" s="6">
        <f>IF(ISERROR(VLOOKUP($S$1632,'TAR FIN'!$A$1:$O$95,15,0)),0,VLOOKUP($S$1632,'TAR FIN'!$A$1:$O$95,15,0))</f>
        <v>0</v>
      </c>
      <c r="W1632" s="6">
        <f>IF(ISERROR(VLOOKUP($T$1632,'TAR FIN'!$A$1:$O$95,15,0)),0,VLOOKUP($T$1632,'TAR FIN'!$A$1:$O$95,15,0))</f>
        <v>966.62</v>
      </c>
      <c r="X1632" s="6">
        <f>IF(ISERROR(VLOOKUP($U$1632,'TAR FIN'!$A$1:$O$95,15,0)),0,VLOOKUP($U$1632,'TAR FIN'!$A$1:$O$95,15,0))</f>
        <v>389.28</v>
      </c>
      <c r="Y1632" s="6"/>
      <c r="Z1632" s="6">
        <f ca="1">('TUSD BE'!$AM$22+'TUSD BF'!$AM$22+'TUSD CVA'!$AM$22)*1</f>
        <v>1084.5213223585286</v>
      </c>
      <c r="AA1632" s="6">
        <f>('TE BE'!$AA$10+'TE BF'!$AA$10+'TE CVA'!$AA$10)*1</f>
        <v>454.3285679284046</v>
      </c>
      <c r="AB1632" s="6">
        <f>$K$1632*$V$1632</f>
        <v>0</v>
      </c>
      <c r="AC1632" s="6">
        <f>$M$1632*$W$1632</f>
        <v>93.762140000000002</v>
      </c>
      <c r="AD1632" s="6">
        <f>$O$1632*$X$1632</f>
        <v>37.760159999999999</v>
      </c>
      <c r="AE1632" s="6">
        <f>$K$1632*$Y$1632</f>
        <v>0</v>
      </c>
      <c r="AF1632" s="6">
        <f ca="1">$M$1632*$Z$1632</f>
        <v>105.19856826877728</v>
      </c>
      <c r="AG1632" s="6">
        <f>$O$1632*$AA$1632</f>
        <v>44.069871089055248</v>
      </c>
    </row>
    <row r="1633" spans="1:33" ht="11.25" customHeight="1" x14ac:dyDescent="0.25">
      <c r="A1633" s="4" t="s">
        <v>21</v>
      </c>
      <c r="B1633" s="4" t="s">
        <v>22</v>
      </c>
      <c r="C1633" s="4" t="s">
        <v>39</v>
      </c>
      <c r="D1633" s="4" t="s">
        <v>24</v>
      </c>
      <c r="E1633" s="4" t="s">
        <v>24</v>
      </c>
      <c r="F1633" s="4" t="s">
        <v>25</v>
      </c>
      <c r="G1633" s="4" t="s">
        <v>25</v>
      </c>
      <c r="H1633" s="4" t="s">
        <v>37</v>
      </c>
      <c r="I1633" s="5">
        <v>44228</v>
      </c>
      <c r="J1633" s="6">
        <v>0</v>
      </c>
      <c r="K1633" s="6">
        <v>0</v>
      </c>
      <c r="L1633" s="6">
        <v>3.2490000000000001</v>
      </c>
      <c r="M1633" s="6">
        <v>3.2490000000000001</v>
      </c>
      <c r="N1633" s="6">
        <v>3.2490000000000001</v>
      </c>
      <c r="O1633" s="6">
        <v>3.2490000000000001</v>
      </c>
      <c r="P1633" s="6">
        <v>0</v>
      </c>
      <c r="Q1633" s="4" t="s">
        <v>26</v>
      </c>
      <c r="R1633" s="4">
        <v>0</v>
      </c>
      <c r="S1633" s="6">
        <v>0</v>
      </c>
      <c r="T1633" s="6">
        <v>18</v>
      </c>
      <c r="U1633" s="6">
        <v>62</v>
      </c>
      <c r="V1633" s="6">
        <f>IF(ISERROR(VLOOKUP($S$1633,'TAR FIN'!$A$1:$O$95,15,0)),0,VLOOKUP($S$1633,'TAR FIN'!$A$1:$O$95,15,0))</f>
        <v>0</v>
      </c>
      <c r="W1633" s="6">
        <f>IF(ISERROR(VLOOKUP($T$1633,'TAR FIN'!$A$1:$O$95,15,0)),0,VLOOKUP($T$1633,'TAR FIN'!$A$1:$O$95,15,0))</f>
        <v>966.62</v>
      </c>
      <c r="X1633" s="6">
        <f>IF(ISERROR(VLOOKUP($U$1633,'TAR FIN'!$A$1:$O$95,15,0)),0,VLOOKUP($U$1633,'TAR FIN'!$A$1:$O$95,15,0))</f>
        <v>389.28</v>
      </c>
      <c r="Y1633" s="6"/>
      <c r="Z1633" s="6">
        <f ca="1">('TUSD BE'!$AM$22+'TUSD BF'!$AM$22+'TUSD CVA'!$AM$22)*1</f>
        <v>1084.5213223585286</v>
      </c>
      <c r="AA1633" s="6">
        <f>('TE BE'!$AA$10+'TE BF'!$AA$10+'TE CVA'!$AA$10)*1</f>
        <v>454.3285679284046</v>
      </c>
      <c r="AB1633" s="6">
        <f>$K$1633*$V$1633</f>
        <v>0</v>
      </c>
      <c r="AC1633" s="6">
        <f>$M$1633*$W$1633</f>
        <v>3140.5483800000002</v>
      </c>
      <c r="AD1633" s="6">
        <f>$O$1633*$X$1633</f>
        <v>1264.77072</v>
      </c>
      <c r="AE1633" s="6">
        <f>$K$1633*$Y$1633</f>
        <v>0</v>
      </c>
      <c r="AF1633" s="6">
        <f ca="1">$M$1633*$Z$1633</f>
        <v>3523.6097763428593</v>
      </c>
      <c r="AG1633" s="6">
        <f>$O$1633*$AA$1633</f>
        <v>1476.1135171993865</v>
      </c>
    </row>
    <row r="1634" spans="1:33" ht="11.25" customHeight="1" x14ac:dyDescent="0.25">
      <c r="A1634" s="4" t="s">
        <v>27</v>
      </c>
      <c r="B1634" s="4" t="s">
        <v>22</v>
      </c>
      <c r="C1634" s="4" t="s">
        <v>39</v>
      </c>
      <c r="D1634" s="4" t="s">
        <v>24</v>
      </c>
      <c r="E1634" s="4" t="s">
        <v>24</v>
      </c>
      <c r="F1634" s="4" t="s">
        <v>25</v>
      </c>
      <c r="G1634" s="4" t="s">
        <v>25</v>
      </c>
      <c r="H1634" s="4" t="s">
        <v>37</v>
      </c>
      <c r="I1634" s="5">
        <v>44228</v>
      </c>
      <c r="J1634" s="6">
        <v>0</v>
      </c>
      <c r="K1634" s="6">
        <v>0</v>
      </c>
      <c r="L1634" s="6">
        <v>-0.33</v>
      </c>
      <c r="M1634" s="6">
        <v>-0.33</v>
      </c>
      <c r="N1634" s="6">
        <v>-0.33</v>
      </c>
      <c r="O1634" s="6">
        <v>-0.33</v>
      </c>
      <c r="P1634" s="6">
        <v>0</v>
      </c>
      <c r="Q1634" s="4" t="s">
        <v>26</v>
      </c>
      <c r="R1634" s="4">
        <v>0</v>
      </c>
      <c r="S1634" s="6">
        <v>0</v>
      </c>
      <c r="T1634" s="6">
        <v>18</v>
      </c>
      <c r="U1634" s="6">
        <v>62</v>
      </c>
      <c r="V1634" s="6">
        <f>IF(ISERROR(VLOOKUP($S$1634,'TAR FIN'!$A$1:$O$95,15,0)),0,VLOOKUP($S$1634,'TAR FIN'!$A$1:$O$95,15,0))</f>
        <v>0</v>
      </c>
      <c r="W1634" s="6">
        <f>IF(ISERROR(VLOOKUP($T$1634,'TAR FIN'!$A$1:$O$95,15,0)),0,VLOOKUP($T$1634,'TAR FIN'!$A$1:$O$95,15,0))</f>
        <v>966.62</v>
      </c>
      <c r="X1634" s="6">
        <f>IF(ISERROR(VLOOKUP($U$1634,'TAR FIN'!$A$1:$O$95,15,0)),0,VLOOKUP($U$1634,'TAR FIN'!$A$1:$O$95,15,0))</f>
        <v>389.28</v>
      </c>
      <c r="Y1634" s="6"/>
      <c r="Z1634" s="6">
        <f ca="1">('TUSD BE'!$AM$22+'TUSD BF'!$AM$22+'TUSD CVA'!$AM$22)*1</f>
        <v>1084.5213223585286</v>
      </c>
      <c r="AA1634" s="6">
        <f>('TE BE'!$AA$10+'TE BF'!$AA$10+'TE CVA'!$AA$10)*1</f>
        <v>454.3285679284046</v>
      </c>
      <c r="AB1634" s="6">
        <f>$K$1634*$V$1634</f>
        <v>0</v>
      </c>
      <c r="AC1634" s="6">
        <f>$M$1634*$W$1634</f>
        <v>-318.9846</v>
      </c>
      <c r="AD1634" s="6">
        <f>$O$1634*$X$1634</f>
        <v>-128.4624</v>
      </c>
      <c r="AE1634" s="6">
        <f>$K$1634*$Y$1634</f>
        <v>0</v>
      </c>
      <c r="AF1634" s="6">
        <f ca="1">$M$1634*$Z$1634</f>
        <v>-357.89203637831446</v>
      </c>
      <c r="AG1634" s="6">
        <f>$O$1634*$AA$1634</f>
        <v>-149.92842741637352</v>
      </c>
    </row>
    <row r="1635" spans="1:33" ht="11.25" customHeight="1" x14ac:dyDescent="0.25">
      <c r="A1635" s="4" t="s">
        <v>28</v>
      </c>
      <c r="B1635" s="4" t="s">
        <v>22</v>
      </c>
      <c r="C1635" s="4" t="s">
        <v>39</v>
      </c>
      <c r="D1635" s="4" t="s">
        <v>24</v>
      </c>
      <c r="E1635" s="4" t="s">
        <v>24</v>
      </c>
      <c r="F1635" s="4" t="s">
        <v>25</v>
      </c>
      <c r="G1635" s="4" t="s">
        <v>25</v>
      </c>
      <c r="H1635" s="4" t="s">
        <v>37</v>
      </c>
      <c r="I1635" s="5">
        <v>44228</v>
      </c>
      <c r="J1635" s="6">
        <v>0</v>
      </c>
      <c r="K1635" s="6">
        <v>0</v>
      </c>
      <c r="L1635" s="6">
        <v>9.8000000000000004E-2</v>
      </c>
      <c r="M1635" s="6">
        <v>9.8000000000000004E-2</v>
      </c>
      <c r="N1635" s="6">
        <v>9.8000000000000004E-2</v>
      </c>
      <c r="O1635" s="6">
        <v>9.8000000000000004E-2</v>
      </c>
      <c r="P1635" s="6">
        <v>0</v>
      </c>
      <c r="Q1635" s="4" t="s">
        <v>26</v>
      </c>
      <c r="R1635" s="4">
        <v>0</v>
      </c>
      <c r="S1635" s="6">
        <v>0</v>
      </c>
      <c r="T1635" s="6">
        <v>18</v>
      </c>
      <c r="U1635" s="6">
        <v>62</v>
      </c>
      <c r="V1635" s="6">
        <f>IF(ISERROR(VLOOKUP($S$1635,'TAR FIN'!$A$1:$O$95,15,0)),0,VLOOKUP($S$1635,'TAR FIN'!$A$1:$O$95,15,0))</f>
        <v>0</v>
      </c>
      <c r="W1635" s="6">
        <f>IF(ISERROR(VLOOKUP($T$1635,'TAR FIN'!$A$1:$O$95,15,0)),0,VLOOKUP($T$1635,'TAR FIN'!$A$1:$O$95,15,0))</f>
        <v>966.62</v>
      </c>
      <c r="X1635" s="6">
        <f>IF(ISERROR(VLOOKUP($U$1635,'TAR FIN'!$A$1:$O$95,15,0)),0,VLOOKUP($U$1635,'TAR FIN'!$A$1:$O$95,15,0))</f>
        <v>389.28</v>
      </c>
      <c r="Y1635" s="6"/>
      <c r="Z1635" s="6">
        <f ca="1">('TUSD BE'!$AM$22+'TUSD BF'!$AM$22+'TUSD CVA'!$AM$22)*1</f>
        <v>1084.5213223585286</v>
      </c>
      <c r="AA1635" s="6">
        <f>('TE BE'!$AA$10+'TE BF'!$AA$10+'TE CVA'!$AA$10)*1</f>
        <v>454.3285679284046</v>
      </c>
      <c r="AB1635" s="6">
        <f>$K$1635*$V$1635</f>
        <v>0</v>
      </c>
      <c r="AC1635" s="6">
        <f>$M$1635*$W$1635</f>
        <v>94.728760000000008</v>
      </c>
      <c r="AD1635" s="6">
        <f>$O$1635*$X$1635</f>
        <v>38.149439999999998</v>
      </c>
      <c r="AE1635" s="6">
        <f>$K$1635*$Y$1635</f>
        <v>0</v>
      </c>
      <c r="AF1635" s="6">
        <f ca="1">$M$1635*$Z$1635</f>
        <v>106.28308959113581</v>
      </c>
      <c r="AG1635" s="6">
        <f>$O$1635*$AA$1635</f>
        <v>44.524199656983654</v>
      </c>
    </row>
    <row r="1636" spans="1:33" ht="11.25" customHeight="1" x14ac:dyDescent="0.25">
      <c r="A1636" s="4" t="s">
        <v>30</v>
      </c>
      <c r="B1636" s="4" t="s">
        <v>22</v>
      </c>
      <c r="C1636" s="4" t="s">
        <v>39</v>
      </c>
      <c r="D1636" s="4" t="s">
        <v>24</v>
      </c>
      <c r="E1636" s="4" t="s">
        <v>24</v>
      </c>
      <c r="F1636" s="4" t="s">
        <v>25</v>
      </c>
      <c r="G1636" s="4" t="s">
        <v>25</v>
      </c>
      <c r="H1636" s="4" t="s">
        <v>37</v>
      </c>
      <c r="I1636" s="5">
        <v>44228</v>
      </c>
      <c r="J1636" s="6">
        <v>0</v>
      </c>
      <c r="K1636" s="6">
        <v>0</v>
      </c>
      <c r="L1636" s="6">
        <v>7.5999999999999998E-2</v>
      </c>
      <c r="M1636" s="6">
        <v>7.5999999999999998E-2</v>
      </c>
      <c r="N1636" s="6">
        <v>7.5999999999999998E-2</v>
      </c>
      <c r="O1636" s="6">
        <v>7.5999999999999998E-2</v>
      </c>
      <c r="P1636" s="6">
        <v>0</v>
      </c>
      <c r="Q1636" s="4" t="s">
        <v>26</v>
      </c>
      <c r="R1636" s="4">
        <v>0</v>
      </c>
      <c r="S1636" s="6">
        <v>0</v>
      </c>
      <c r="T1636" s="6">
        <v>18</v>
      </c>
      <c r="U1636" s="6">
        <v>62</v>
      </c>
      <c r="V1636" s="6">
        <f>IF(ISERROR(VLOOKUP($S$1636,'TAR FIN'!$A$1:$O$95,15,0)),0,VLOOKUP($S$1636,'TAR FIN'!$A$1:$O$95,15,0))</f>
        <v>0</v>
      </c>
      <c r="W1636" s="6">
        <f>IF(ISERROR(VLOOKUP($T$1636,'TAR FIN'!$A$1:$O$95,15,0)),0,VLOOKUP($T$1636,'TAR FIN'!$A$1:$O$95,15,0))</f>
        <v>966.62</v>
      </c>
      <c r="X1636" s="6">
        <f>IF(ISERROR(VLOOKUP($U$1636,'TAR FIN'!$A$1:$O$95,15,0)),0,VLOOKUP($U$1636,'TAR FIN'!$A$1:$O$95,15,0))</f>
        <v>389.28</v>
      </c>
      <c r="Y1636" s="6"/>
      <c r="Z1636" s="6">
        <f ca="1">('TUSD BE'!$AM$22+'TUSD BF'!$AM$22+'TUSD CVA'!$AM$22)*1</f>
        <v>1084.5213223585286</v>
      </c>
      <c r="AA1636" s="6">
        <f>('TE BE'!$AA$10+'TE BF'!$AA$10+'TE CVA'!$AA$10)*1</f>
        <v>454.3285679284046</v>
      </c>
      <c r="AB1636" s="6">
        <f>$K$1636*$V$1636</f>
        <v>0</v>
      </c>
      <c r="AC1636" s="6">
        <f>$M$1636*$W$1636</f>
        <v>73.463120000000004</v>
      </c>
      <c r="AD1636" s="6">
        <f>$O$1636*$X$1636</f>
        <v>29.585279999999997</v>
      </c>
      <c r="AE1636" s="6">
        <f>$K$1636*$Y$1636</f>
        <v>0</v>
      </c>
      <c r="AF1636" s="6">
        <f ca="1">$M$1636*$Z$1636</f>
        <v>82.423620499248173</v>
      </c>
      <c r="AG1636" s="6">
        <f>$O$1636*$AA$1636</f>
        <v>34.528971162558747</v>
      </c>
    </row>
    <row r="1637" spans="1:33" ht="11.25" customHeight="1" x14ac:dyDescent="0.25">
      <c r="A1637" s="4" t="s">
        <v>21</v>
      </c>
      <c r="B1637" s="4" t="s">
        <v>22</v>
      </c>
      <c r="C1637" s="4" t="s">
        <v>39</v>
      </c>
      <c r="D1637" s="4" t="s">
        <v>24</v>
      </c>
      <c r="E1637" s="4" t="s">
        <v>24</v>
      </c>
      <c r="F1637" s="4" t="s">
        <v>25</v>
      </c>
      <c r="G1637" s="4" t="s">
        <v>25</v>
      </c>
      <c r="H1637" s="4" t="s">
        <v>37</v>
      </c>
      <c r="I1637" s="5">
        <v>44256</v>
      </c>
      <c r="J1637" s="6">
        <v>0</v>
      </c>
      <c r="K1637" s="6">
        <v>0</v>
      </c>
      <c r="L1637" s="6">
        <v>3.2320000000000002</v>
      </c>
      <c r="M1637" s="6">
        <v>3.2320000000000002</v>
      </c>
      <c r="N1637" s="6">
        <v>3.2320000000000002</v>
      </c>
      <c r="O1637" s="6">
        <v>3.2320000000000002</v>
      </c>
      <c r="P1637" s="6">
        <v>0</v>
      </c>
      <c r="Q1637" s="4" t="s">
        <v>26</v>
      </c>
      <c r="R1637" s="4">
        <v>0</v>
      </c>
      <c r="S1637" s="6">
        <v>0</v>
      </c>
      <c r="T1637" s="6">
        <v>18</v>
      </c>
      <c r="U1637" s="6">
        <v>62</v>
      </c>
      <c r="V1637" s="6">
        <f>IF(ISERROR(VLOOKUP($S$1637,'TAR FIN'!$A$1:$O$95,15,0)),0,VLOOKUP($S$1637,'TAR FIN'!$A$1:$O$95,15,0))</f>
        <v>0</v>
      </c>
      <c r="W1637" s="6">
        <f>IF(ISERROR(VLOOKUP($T$1637,'TAR FIN'!$A$1:$O$95,15,0)),0,VLOOKUP($T$1637,'TAR FIN'!$A$1:$O$95,15,0))</f>
        <v>966.62</v>
      </c>
      <c r="X1637" s="6">
        <f>IF(ISERROR(VLOOKUP($U$1637,'TAR FIN'!$A$1:$O$95,15,0)),0,VLOOKUP($U$1637,'TAR FIN'!$A$1:$O$95,15,0))</f>
        <v>389.28</v>
      </c>
      <c r="Y1637" s="6"/>
      <c r="Z1637" s="6">
        <f ca="1">('TUSD BE'!$AM$22+'TUSD BF'!$AM$22+'TUSD CVA'!$AM$22)*1</f>
        <v>1084.5213223585286</v>
      </c>
      <c r="AA1637" s="6">
        <f>('TE BE'!$AA$10+'TE BF'!$AA$10+'TE CVA'!$AA$10)*1</f>
        <v>454.3285679284046</v>
      </c>
      <c r="AB1637" s="6">
        <f>$K$1637*$V$1637</f>
        <v>0</v>
      </c>
      <c r="AC1637" s="6">
        <f>$M$1637*$W$1637</f>
        <v>3124.1158400000004</v>
      </c>
      <c r="AD1637" s="6">
        <f>$O$1637*$X$1637</f>
        <v>1258.1529599999999</v>
      </c>
      <c r="AE1637" s="6">
        <f>$K$1637*$Y$1637</f>
        <v>0</v>
      </c>
      <c r="AF1637" s="6">
        <f ca="1">$M$1637*$Z$1637</f>
        <v>3505.1729138627643</v>
      </c>
      <c r="AG1637" s="6">
        <f>$O$1637*$AA$1637</f>
        <v>1468.3899315446038</v>
      </c>
    </row>
    <row r="1638" spans="1:33" ht="11.25" customHeight="1" x14ac:dyDescent="0.25">
      <c r="A1638" s="4" t="s">
        <v>28</v>
      </c>
      <c r="B1638" s="4" t="s">
        <v>22</v>
      </c>
      <c r="C1638" s="4" t="s">
        <v>39</v>
      </c>
      <c r="D1638" s="4" t="s">
        <v>24</v>
      </c>
      <c r="E1638" s="4" t="s">
        <v>24</v>
      </c>
      <c r="F1638" s="4" t="s">
        <v>25</v>
      </c>
      <c r="G1638" s="4" t="s">
        <v>25</v>
      </c>
      <c r="H1638" s="4" t="s">
        <v>37</v>
      </c>
      <c r="I1638" s="5">
        <v>44256</v>
      </c>
      <c r="J1638" s="6">
        <v>0</v>
      </c>
      <c r="K1638" s="6">
        <v>0</v>
      </c>
      <c r="L1638" s="6">
        <v>0.185</v>
      </c>
      <c r="M1638" s="6">
        <v>0.185</v>
      </c>
      <c r="N1638" s="6">
        <v>0.185</v>
      </c>
      <c r="O1638" s="6">
        <v>0.185</v>
      </c>
      <c r="P1638" s="6">
        <v>0</v>
      </c>
      <c r="Q1638" s="4" t="s">
        <v>26</v>
      </c>
      <c r="R1638" s="4">
        <v>0</v>
      </c>
      <c r="S1638" s="6">
        <v>0</v>
      </c>
      <c r="T1638" s="6">
        <v>18</v>
      </c>
      <c r="U1638" s="6">
        <v>62</v>
      </c>
      <c r="V1638" s="6">
        <f>IF(ISERROR(VLOOKUP($S$1638,'TAR FIN'!$A$1:$O$95,15,0)),0,VLOOKUP($S$1638,'TAR FIN'!$A$1:$O$95,15,0))</f>
        <v>0</v>
      </c>
      <c r="W1638" s="6">
        <f>IF(ISERROR(VLOOKUP($T$1638,'TAR FIN'!$A$1:$O$95,15,0)),0,VLOOKUP($T$1638,'TAR FIN'!$A$1:$O$95,15,0))</f>
        <v>966.62</v>
      </c>
      <c r="X1638" s="6">
        <f>IF(ISERROR(VLOOKUP($U$1638,'TAR FIN'!$A$1:$O$95,15,0)),0,VLOOKUP($U$1638,'TAR FIN'!$A$1:$O$95,15,0))</f>
        <v>389.28</v>
      </c>
      <c r="Y1638" s="6"/>
      <c r="Z1638" s="6">
        <f ca="1">('TUSD BE'!$AM$22+'TUSD BF'!$AM$22+'TUSD CVA'!$AM$22)*1</f>
        <v>1084.5213223585286</v>
      </c>
      <c r="AA1638" s="6">
        <f>('TE BE'!$AA$10+'TE BF'!$AA$10+'TE CVA'!$AA$10)*1</f>
        <v>454.3285679284046</v>
      </c>
      <c r="AB1638" s="6">
        <f>$K$1638*$V$1638</f>
        <v>0</v>
      </c>
      <c r="AC1638" s="6">
        <f>$M$1638*$W$1638</f>
        <v>178.82470000000001</v>
      </c>
      <c r="AD1638" s="6">
        <f>$O$1638*$X$1638</f>
        <v>72.016799999999989</v>
      </c>
      <c r="AE1638" s="6">
        <f>$K$1638*$Y$1638</f>
        <v>0</v>
      </c>
      <c r="AF1638" s="6">
        <f ca="1">$M$1638*$Z$1638</f>
        <v>200.63644463632778</v>
      </c>
      <c r="AG1638" s="6">
        <f>$O$1638*$AA$1638</f>
        <v>84.050785066754855</v>
      </c>
    </row>
    <row r="1639" spans="1:33" ht="11.25" customHeight="1" x14ac:dyDescent="0.25">
      <c r="A1639" s="4" t="s">
        <v>30</v>
      </c>
      <c r="B1639" s="4" t="s">
        <v>22</v>
      </c>
      <c r="C1639" s="4" t="s">
        <v>39</v>
      </c>
      <c r="D1639" s="4" t="s">
        <v>24</v>
      </c>
      <c r="E1639" s="4" t="s">
        <v>24</v>
      </c>
      <c r="F1639" s="4" t="s">
        <v>25</v>
      </c>
      <c r="G1639" s="4" t="s">
        <v>25</v>
      </c>
      <c r="H1639" s="4" t="s">
        <v>37</v>
      </c>
      <c r="I1639" s="5">
        <v>44256</v>
      </c>
      <c r="J1639" s="6">
        <v>0</v>
      </c>
      <c r="K1639" s="6">
        <v>0</v>
      </c>
      <c r="L1639" s="6">
        <v>9.2999999999999999E-2</v>
      </c>
      <c r="M1639" s="6">
        <v>9.2999999999999999E-2</v>
      </c>
      <c r="N1639" s="6">
        <v>9.2999999999999999E-2</v>
      </c>
      <c r="O1639" s="6">
        <v>9.2999999999999999E-2</v>
      </c>
      <c r="P1639" s="6">
        <v>0</v>
      </c>
      <c r="Q1639" s="4" t="s">
        <v>26</v>
      </c>
      <c r="R1639" s="4">
        <v>0</v>
      </c>
      <c r="S1639" s="6">
        <v>0</v>
      </c>
      <c r="T1639" s="6">
        <v>18</v>
      </c>
      <c r="U1639" s="6">
        <v>62</v>
      </c>
      <c r="V1639" s="6">
        <f>IF(ISERROR(VLOOKUP($S$1639,'TAR FIN'!$A$1:$O$95,15,0)),0,VLOOKUP($S$1639,'TAR FIN'!$A$1:$O$95,15,0))</f>
        <v>0</v>
      </c>
      <c r="W1639" s="6">
        <f>IF(ISERROR(VLOOKUP($T$1639,'TAR FIN'!$A$1:$O$95,15,0)),0,VLOOKUP($T$1639,'TAR FIN'!$A$1:$O$95,15,0))</f>
        <v>966.62</v>
      </c>
      <c r="X1639" s="6">
        <f>IF(ISERROR(VLOOKUP($U$1639,'TAR FIN'!$A$1:$O$95,15,0)),0,VLOOKUP($U$1639,'TAR FIN'!$A$1:$O$95,15,0))</f>
        <v>389.28</v>
      </c>
      <c r="Y1639" s="6"/>
      <c r="Z1639" s="6">
        <f ca="1">('TUSD BE'!$AM$22+'TUSD BF'!$AM$22+'TUSD CVA'!$AM$22)*1</f>
        <v>1084.5213223585286</v>
      </c>
      <c r="AA1639" s="6">
        <f>('TE BE'!$AA$10+'TE BF'!$AA$10+'TE CVA'!$AA$10)*1</f>
        <v>454.3285679284046</v>
      </c>
      <c r="AB1639" s="6">
        <f>$K$1639*$V$1639</f>
        <v>0</v>
      </c>
      <c r="AC1639" s="6">
        <f>$M$1639*$W$1639</f>
        <v>89.895660000000007</v>
      </c>
      <c r="AD1639" s="6">
        <f>$O$1639*$X$1639</f>
        <v>36.203039999999994</v>
      </c>
      <c r="AE1639" s="6">
        <f>$K$1639*$Y$1639</f>
        <v>0</v>
      </c>
      <c r="AF1639" s="6">
        <f ca="1">$M$1639*$Z$1639</f>
        <v>100.86048297934316</v>
      </c>
      <c r="AG1639" s="6">
        <f>$O$1639*$AA$1639</f>
        <v>42.252556817341627</v>
      </c>
    </row>
    <row r="1640" spans="1:33" ht="11.25" customHeight="1" x14ac:dyDescent="0.25">
      <c r="A1640" s="4" t="s">
        <v>21</v>
      </c>
      <c r="B1640" s="4" t="s">
        <v>22</v>
      </c>
      <c r="C1640" s="4" t="s">
        <v>39</v>
      </c>
      <c r="D1640" s="4" t="s">
        <v>24</v>
      </c>
      <c r="E1640" s="4" t="s">
        <v>24</v>
      </c>
      <c r="F1640" s="4" t="s">
        <v>25</v>
      </c>
      <c r="G1640" s="4" t="s">
        <v>25</v>
      </c>
      <c r="H1640" s="4" t="s">
        <v>37</v>
      </c>
      <c r="I1640" s="5">
        <v>44287</v>
      </c>
      <c r="J1640" s="6">
        <v>0</v>
      </c>
      <c r="K1640" s="6">
        <v>0</v>
      </c>
      <c r="L1640" s="6">
        <v>3.5539999999999998</v>
      </c>
      <c r="M1640" s="6">
        <v>3.5539999999999998</v>
      </c>
      <c r="N1640" s="6">
        <v>3.5539999999999998</v>
      </c>
      <c r="O1640" s="6">
        <v>3.5539999999999998</v>
      </c>
      <c r="P1640" s="6">
        <v>0</v>
      </c>
      <c r="Q1640" s="4" t="s">
        <v>26</v>
      </c>
      <c r="R1640" s="4">
        <v>0</v>
      </c>
      <c r="S1640" s="6">
        <v>0</v>
      </c>
      <c r="T1640" s="6">
        <v>18</v>
      </c>
      <c r="U1640" s="6">
        <v>62</v>
      </c>
      <c r="V1640" s="6">
        <f>IF(ISERROR(VLOOKUP($S$1640,'TAR FIN'!$A$1:$O$95,15,0)),0,VLOOKUP($S$1640,'TAR FIN'!$A$1:$O$95,15,0))</f>
        <v>0</v>
      </c>
      <c r="W1640" s="6">
        <f>IF(ISERROR(VLOOKUP($T$1640,'TAR FIN'!$A$1:$O$95,15,0)),0,VLOOKUP($T$1640,'TAR FIN'!$A$1:$O$95,15,0))</f>
        <v>966.62</v>
      </c>
      <c r="X1640" s="6">
        <f>IF(ISERROR(VLOOKUP($U$1640,'TAR FIN'!$A$1:$O$95,15,0)),0,VLOOKUP($U$1640,'TAR FIN'!$A$1:$O$95,15,0))</f>
        <v>389.28</v>
      </c>
      <c r="Y1640" s="6"/>
      <c r="Z1640" s="6">
        <f ca="1">('TUSD BE'!$AM$22+'TUSD BF'!$AM$22+'TUSD CVA'!$AM$22)*1</f>
        <v>1084.5213223585286</v>
      </c>
      <c r="AA1640" s="6">
        <f>('TE BE'!$AA$10+'TE BF'!$AA$10+'TE CVA'!$AA$10)*1</f>
        <v>454.3285679284046</v>
      </c>
      <c r="AB1640" s="6">
        <f>$K$1640*$V$1640</f>
        <v>0</v>
      </c>
      <c r="AC1640" s="6">
        <f>$M$1640*$W$1640</f>
        <v>3435.3674799999999</v>
      </c>
      <c r="AD1640" s="6">
        <f>$O$1640*$X$1640</f>
        <v>1383.5011199999999</v>
      </c>
      <c r="AE1640" s="6">
        <f>$K$1640*$Y$1640</f>
        <v>0</v>
      </c>
      <c r="AF1640" s="6">
        <f ca="1">$M$1640*$Z$1640</f>
        <v>3854.3887796622103</v>
      </c>
      <c r="AG1640" s="6">
        <f>$O$1640*$AA$1640</f>
        <v>1614.6837304175499</v>
      </c>
    </row>
    <row r="1641" spans="1:33" ht="11.25" customHeight="1" x14ac:dyDescent="0.25">
      <c r="A1641" s="4" t="s">
        <v>28</v>
      </c>
      <c r="B1641" s="4" t="s">
        <v>22</v>
      </c>
      <c r="C1641" s="4" t="s">
        <v>39</v>
      </c>
      <c r="D1641" s="4" t="s">
        <v>24</v>
      </c>
      <c r="E1641" s="4" t="s">
        <v>24</v>
      </c>
      <c r="F1641" s="4" t="s">
        <v>25</v>
      </c>
      <c r="G1641" s="4" t="s">
        <v>25</v>
      </c>
      <c r="H1641" s="4" t="s">
        <v>37</v>
      </c>
      <c r="I1641" s="5">
        <v>44287</v>
      </c>
      <c r="J1641" s="6">
        <v>0</v>
      </c>
      <c r="K1641" s="6">
        <v>0</v>
      </c>
      <c r="L1641" s="6">
        <v>0.192</v>
      </c>
      <c r="M1641" s="6">
        <v>0.192</v>
      </c>
      <c r="N1641" s="6">
        <v>0.192</v>
      </c>
      <c r="O1641" s="6">
        <v>0.192</v>
      </c>
      <c r="P1641" s="6">
        <v>0</v>
      </c>
      <c r="Q1641" s="4" t="s">
        <v>26</v>
      </c>
      <c r="R1641" s="4">
        <v>0</v>
      </c>
      <c r="S1641" s="6">
        <v>0</v>
      </c>
      <c r="T1641" s="6">
        <v>18</v>
      </c>
      <c r="U1641" s="6">
        <v>62</v>
      </c>
      <c r="V1641" s="6">
        <f>IF(ISERROR(VLOOKUP($S$1641,'TAR FIN'!$A$1:$O$95,15,0)),0,VLOOKUP($S$1641,'TAR FIN'!$A$1:$O$95,15,0))</f>
        <v>0</v>
      </c>
      <c r="W1641" s="6">
        <f>IF(ISERROR(VLOOKUP($T$1641,'TAR FIN'!$A$1:$O$95,15,0)),0,VLOOKUP($T$1641,'TAR FIN'!$A$1:$O$95,15,0))</f>
        <v>966.62</v>
      </c>
      <c r="X1641" s="6">
        <f>IF(ISERROR(VLOOKUP($U$1641,'TAR FIN'!$A$1:$O$95,15,0)),0,VLOOKUP($U$1641,'TAR FIN'!$A$1:$O$95,15,0))</f>
        <v>389.28</v>
      </c>
      <c r="Y1641" s="6"/>
      <c r="Z1641" s="6">
        <f ca="1">('TUSD BE'!$AM$22+'TUSD BF'!$AM$22+'TUSD CVA'!$AM$22)*1</f>
        <v>1084.5213223585286</v>
      </c>
      <c r="AA1641" s="6">
        <f>('TE BE'!$AA$10+'TE BF'!$AA$10+'TE CVA'!$AA$10)*1</f>
        <v>454.3285679284046</v>
      </c>
      <c r="AB1641" s="6">
        <f>$K$1641*$V$1641</f>
        <v>0</v>
      </c>
      <c r="AC1641" s="6">
        <f>$M$1641*$W$1641</f>
        <v>185.59103999999999</v>
      </c>
      <c r="AD1641" s="6">
        <f>$O$1641*$X$1641</f>
        <v>74.741759999999999</v>
      </c>
      <c r="AE1641" s="6">
        <f>$K$1641*$Y$1641</f>
        <v>0</v>
      </c>
      <c r="AF1641" s="6">
        <f ca="1">$M$1641*$Z$1641</f>
        <v>208.22809389283748</v>
      </c>
      <c r="AG1641" s="6">
        <f>$O$1641*$AA$1641</f>
        <v>87.231085042253682</v>
      </c>
    </row>
    <row r="1642" spans="1:33" ht="11.25" customHeight="1" x14ac:dyDescent="0.25">
      <c r="A1642" s="4" t="s">
        <v>30</v>
      </c>
      <c r="B1642" s="4" t="s">
        <v>22</v>
      </c>
      <c r="C1642" s="4" t="s">
        <v>39</v>
      </c>
      <c r="D1642" s="4" t="s">
        <v>24</v>
      </c>
      <c r="E1642" s="4" t="s">
        <v>24</v>
      </c>
      <c r="F1642" s="4" t="s">
        <v>25</v>
      </c>
      <c r="G1642" s="4" t="s">
        <v>25</v>
      </c>
      <c r="H1642" s="4" t="s">
        <v>37</v>
      </c>
      <c r="I1642" s="5">
        <v>44287</v>
      </c>
      <c r="J1642" s="6">
        <v>0</v>
      </c>
      <c r="K1642" s="6">
        <v>0</v>
      </c>
      <c r="L1642" s="6">
        <v>0.16400000000000001</v>
      </c>
      <c r="M1642" s="6">
        <v>0.16400000000000001</v>
      </c>
      <c r="N1642" s="6">
        <v>0.16400000000000001</v>
      </c>
      <c r="O1642" s="6">
        <v>0.16400000000000001</v>
      </c>
      <c r="P1642" s="6">
        <v>0</v>
      </c>
      <c r="Q1642" s="4" t="s">
        <v>26</v>
      </c>
      <c r="R1642" s="4">
        <v>0</v>
      </c>
      <c r="S1642" s="6">
        <v>0</v>
      </c>
      <c r="T1642" s="6">
        <v>18</v>
      </c>
      <c r="U1642" s="6">
        <v>62</v>
      </c>
      <c r="V1642" s="6">
        <f>IF(ISERROR(VLOOKUP($S$1642,'TAR FIN'!$A$1:$O$95,15,0)),0,VLOOKUP($S$1642,'TAR FIN'!$A$1:$O$95,15,0))</f>
        <v>0</v>
      </c>
      <c r="W1642" s="6">
        <f>IF(ISERROR(VLOOKUP($T$1642,'TAR FIN'!$A$1:$O$95,15,0)),0,VLOOKUP($T$1642,'TAR FIN'!$A$1:$O$95,15,0))</f>
        <v>966.62</v>
      </c>
      <c r="X1642" s="6">
        <f>IF(ISERROR(VLOOKUP($U$1642,'TAR FIN'!$A$1:$O$95,15,0)),0,VLOOKUP($U$1642,'TAR FIN'!$A$1:$O$95,15,0))</f>
        <v>389.28</v>
      </c>
      <c r="Y1642" s="6"/>
      <c r="Z1642" s="6">
        <f ca="1">('TUSD BE'!$AM$22+'TUSD BF'!$AM$22+'TUSD CVA'!$AM$22)*1</f>
        <v>1084.5213223585286</v>
      </c>
      <c r="AA1642" s="6">
        <f>('TE BE'!$AA$10+'TE BF'!$AA$10+'TE CVA'!$AA$10)*1</f>
        <v>454.3285679284046</v>
      </c>
      <c r="AB1642" s="6">
        <f>$K$1642*$V$1642</f>
        <v>0</v>
      </c>
      <c r="AC1642" s="6">
        <f>$M$1642*$W$1642</f>
        <v>158.52567999999999</v>
      </c>
      <c r="AD1642" s="6">
        <f>$O$1642*$X$1642</f>
        <v>63.841919999999995</v>
      </c>
      <c r="AE1642" s="6">
        <f>$K$1642*$Y$1642</f>
        <v>0</v>
      </c>
      <c r="AF1642" s="6">
        <f ca="1">$M$1642*$Z$1642</f>
        <v>177.86149686679869</v>
      </c>
      <c r="AG1642" s="6">
        <f>$O$1642*$AA$1642</f>
        <v>74.509885140258362</v>
      </c>
    </row>
    <row r="1643" spans="1:33" ht="11.25" customHeight="1" x14ac:dyDescent="0.25">
      <c r="A1643" s="4" t="s">
        <v>21</v>
      </c>
      <c r="B1643" s="4" t="s">
        <v>22</v>
      </c>
      <c r="C1643" s="4" t="s">
        <v>39</v>
      </c>
      <c r="D1643" s="4" t="s">
        <v>24</v>
      </c>
      <c r="E1643" s="4" t="s">
        <v>24</v>
      </c>
      <c r="F1643" s="4" t="s">
        <v>25</v>
      </c>
      <c r="G1643" s="4" t="s">
        <v>25</v>
      </c>
      <c r="H1643" s="4" t="s">
        <v>37</v>
      </c>
      <c r="I1643" s="5">
        <v>44317</v>
      </c>
      <c r="J1643" s="6">
        <v>0</v>
      </c>
      <c r="K1643" s="6">
        <v>0</v>
      </c>
      <c r="L1643" s="6">
        <v>3.2389999999999999</v>
      </c>
      <c r="M1643" s="6">
        <v>3.2389999999999999</v>
      </c>
      <c r="N1643" s="6">
        <v>3.2389999999999999</v>
      </c>
      <c r="O1643" s="6">
        <v>3.2389999999999999</v>
      </c>
      <c r="P1643" s="6">
        <v>0</v>
      </c>
      <c r="Q1643" s="4" t="s">
        <v>26</v>
      </c>
      <c r="R1643" s="4">
        <v>0</v>
      </c>
      <c r="S1643" s="6">
        <v>0</v>
      </c>
      <c r="T1643" s="6">
        <v>18</v>
      </c>
      <c r="U1643" s="6">
        <v>62</v>
      </c>
      <c r="V1643" s="6">
        <f>IF(ISERROR(VLOOKUP($S$1643,'TAR FIN'!$A$1:$O$95,15,0)),0,VLOOKUP($S$1643,'TAR FIN'!$A$1:$O$95,15,0))</f>
        <v>0</v>
      </c>
      <c r="W1643" s="6">
        <f>IF(ISERROR(VLOOKUP($T$1643,'TAR FIN'!$A$1:$O$95,15,0)),0,VLOOKUP($T$1643,'TAR FIN'!$A$1:$O$95,15,0))</f>
        <v>966.62</v>
      </c>
      <c r="X1643" s="6">
        <f>IF(ISERROR(VLOOKUP($U$1643,'TAR FIN'!$A$1:$O$95,15,0)),0,VLOOKUP($U$1643,'TAR FIN'!$A$1:$O$95,15,0))</f>
        <v>389.28</v>
      </c>
      <c r="Y1643" s="6"/>
      <c r="Z1643" s="6">
        <f ca="1">('TUSD BE'!$AM$22+'TUSD BF'!$AM$22+'TUSD CVA'!$AM$22)*1</f>
        <v>1084.5213223585286</v>
      </c>
      <c r="AA1643" s="6">
        <f>('TE BE'!$AA$10+'TE BF'!$AA$10+'TE CVA'!$AA$10)*1</f>
        <v>454.3285679284046</v>
      </c>
      <c r="AB1643" s="6">
        <f>$K$1643*$V$1643</f>
        <v>0</v>
      </c>
      <c r="AC1643" s="6">
        <f>$M$1643*$W$1643</f>
        <v>3130.8821800000001</v>
      </c>
      <c r="AD1643" s="6">
        <f>$O$1643*$X$1643</f>
        <v>1260.8779199999999</v>
      </c>
      <c r="AE1643" s="6">
        <f>$K$1643*$Y$1643</f>
        <v>0</v>
      </c>
      <c r="AF1643" s="6">
        <f ca="1">$M$1643*$Z$1643</f>
        <v>3512.764563119274</v>
      </c>
      <c r="AG1643" s="6">
        <f>$O$1643*$AA$1643</f>
        <v>1471.5702315201024</v>
      </c>
    </row>
    <row r="1644" spans="1:33" ht="11.25" customHeight="1" x14ac:dyDescent="0.25">
      <c r="A1644" s="4" t="s">
        <v>28</v>
      </c>
      <c r="B1644" s="4" t="s">
        <v>22</v>
      </c>
      <c r="C1644" s="4" t="s">
        <v>39</v>
      </c>
      <c r="D1644" s="4" t="s">
        <v>24</v>
      </c>
      <c r="E1644" s="4" t="s">
        <v>24</v>
      </c>
      <c r="F1644" s="4" t="s">
        <v>25</v>
      </c>
      <c r="G1644" s="4" t="s">
        <v>25</v>
      </c>
      <c r="H1644" s="4" t="s">
        <v>37</v>
      </c>
      <c r="I1644" s="5">
        <v>44317</v>
      </c>
      <c r="J1644" s="6">
        <v>0</v>
      </c>
      <c r="K1644" s="6">
        <v>0</v>
      </c>
      <c r="L1644" s="6">
        <v>0.16400000000000001</v>
      </c>
      <c r="M1644" s="6">
        <v>0.16400000000000001</v>
      </c>
      <c r="N1644" s="6">
        <v>0.16400000000000001</v>
      </c>
      <c r="O1644" s="6">
        <v>0.16400000000000001</v>
      </c>
      <c r="P1644" s="6">
        <v>0</v>
      </c>
      <c r="Q1644" s="4" t="s">
        <v>26</v>
      </c>
      <c r="R1644" s="4">
        <v>0</v>
      </c>
      <c r="S1644" s="6">
        <v>0</v>
      </c>
      <c r="T1644" s="6">
        <v>18</v>
      </c>
      <c r="U1644" s="6">
        <v>62</v>
      </c>
      <c r="V1644" s="6">
        <f>IF(ISERROR(VLOOKUP($S$1644,'TAR FIN'!$A$1:$O$95,15,0)),0,VLOOKUP($S$1644,'TAR FIN'!$A$1:$O$95,15,0))</f>
        <v>0</v>
      </c>
      <c r="W1644" s="6">
        <f>IF(ISERROR(VLOOKUP($T$1644,'TAR FIN'!$A$1:$O$95,15,0)),0,VLOOKUP($T$1644,'TAR FIN'!$A$1:$O$95,15,0))</f>
        <v>966.62</v>
      </c>
      <c r="X1644" s="6">
        <f>IF(ISERROR(VLOOKUP($U$1644,'TAR FIN'!$A$1:$O$95,15,0)),0,VLOOKUP($U$1644,'TAR FIN'!$A$1:$O$95,15,0))</f>
        <v>389.28</v>
      </c>
      <c r="Y1644" s="6"/>
      <c r="Z1644" s="6">
        <f ca="1">('TUSD BE'!$AM$22+'TUSD BF'!$AM$22+'TUSD CVA'!$AM$22)*1</f>
        <v>1084.5213223585286</v>
      </c>
      <c r="AA1644" s="6">
        <f>('TE BE'!$AA$10+'TE BF'!$AA$10+'TE CVA'!$AA$10)*1</f>
        <v>454.3285679284046</v>
      </c>
      <c r="AB1644" s="6">
        <f>$K$1644*$V$1644</f>
        <v>0</v>
      </c>
      <c r="AC1644" s="6">
        <f>$M$1644*$W$1644</f>
        <v>158.52567999999999</v>
      </c>
      <c r="AD1644" s="6">
        <f>$O$1644*$X$1644</f>
        <v>63.841919999999995</v>
      </c>
      <c r="AE1644" s="6">
        <f>$K$1644*$Y$1644</f>
        <v>0</v>
      </c>
      <c r="AF1644" s="6">
        <f ca="1">$M$1644*$Z$1644</f>
        <v>177.86149686679869</v>
      </c>
      <c r="AG1644" s="6">
        <f>$O$1644*$AA$1644</f>
        <v>74.509885140258362</v>
      </c>
    </row>
    <row r="1645" spans="1:33" ht="11.25" customHeight="1" x14ac:dyDescent="0.25">
      <c r="A1645" s="4" t="s">
        <v>30</v>
      </c>
      <c r="B1645" s="4" t="s">
        <v>22</v>
      </c>
      <c r="C1645" s="4" t="s">
        <v>39</v>
      </c>
      <c r="D1645" s="4" t="s">
        <v>24</v>
      </c>
      <c r="E1645" s="4" t="s">
        <v>24</v>
      </c>
      <c r="F1645" s="4" t="s">
        <v>25</v>
      </c>
      <c r="G1645" s="4" t="s">
        <v>25</v>
      </c>
      <c r="H1645" s="4" t="s">
        <v>37</v>
      </c>
      <c r="I1645" s="5">
        <v>44317</v>
      </c>
      <c r="J1645" s="6">
        <v>0</v>
      </c>
      <c r="K1645" s="6">
        <v>0</v>
      </c>
      <c r="L1645" s="6">
        <v>0.253</v>
      </c>
      <c r="M1645" s="6">
        <v>0.253</v>
      </c>
      <c r="N1645" s="6">
        <v>0.253</v>
      </c>
      <c r="O1645" s="6">
        <v>0.253</v>
      </c>
      <c r="P1645" s="6">
        <v>0</v>
      </c>
      <c r="Q1645" s="4" t="s">
        <v>26</v>
      </c>
      <c r="R1645" s="4">
        <v>0</v>
      </c>
      <c r="S1645" s="6">
        <v>0</v>
      </c>
      <c r="T1645" s="6">
        <v>18</v>
      </c>
      <c r="U1645" s="6">
        <v>62</v>
      </c>
      <c r="V1645" s="6">
        <f>IF(ISERROR(VLOOKUP($S$1645,'TAR FIN'!$A$1:$O$95,15,0)),0,VLOOKUP($S$1645,'TAR FIN'!$A$1:$O$95,15,0))</f>
        <v>0</v>
      </c>
      <c r="W1645" s="6">
        <f>IF(ISERROR(VLOOKUP($T$1645,'TAR FIN'!$A$1:$O$95,15,0)),0,VLOOKUP($T$1645,'TAR FIN'!$A$1:$O$95,15,0))</f>
        <v>966.62</v>
      </c>
      <c r="X1645" s="6">
        <f>IF(ISERROR(VLOOKUP($U$1645,'TAR FIN'!$A$1:$O$95,15,0)),0,VLOOKUP($U$1645,'TAR FIN'!$A$1:$O$95,15,0))</f>
        <v>389.28</v>
      </c>
      <c r="Y1645" s="6"/>
      <c r="Z1645" s="6">
        <f ca="1">('TUSD BE'!$AM$22+'TUSD BF'!$AM$22+'TUSD CVA'!$AM$22)*1</f>
        <v>1084.5213223585286</v>
      </c>
      <c r="AA1645" s="6">
        <f>('TE BE'!$AA$10+'TE BF'!$AA$10+'TE CVA'!$AA$10)*1</f>
        <v>454.3285679284046</v>
      </c>
      <c r="AB1645" s="6">
        <f>$K$1645*$V$1645</f>
        <v>0</v>
      </c>
      <c r="AC1645" s="6">
        <f>$M$1645*$W$1645</f>
        <v>244.55485999999999</v>
      </c>
      <c r="AD1645" s="6">
        <f>$O$1645*$X$1645</f>
        <v>98.487839999999991</v>
      </c>
      <c r="AE1645" s="6">
        <f>$K$1645*$Y$1645</f>
        <v>0</v>
      </c>
      <c r="AF1645" s="6">
        <f ca="1">$M$1645*$Z$1645</f>
        <v>274.38389455670773</v>
      </c>
      <c r="AG1645" s="6">
        <f>$O$1645*$AA$1645</f>
        <v>114.94512768588636</v>
      </c>
    </row>
    <row r="1646" spans="1:33" ht="11.25" customHeight="1" x14ac:dyDescent="0.25">
      <c r="A1646" s="4" t="s">
        <v>21</v>
      </c>
      <c r="B1646" s="4" t="s">
        <v>22</v>
      </c>
      <c r="C1646" s="4" t="s">
        <v>39</v>
      </c>
      <c r="D1646" s="4" t="s">
        <v>24</v>
      </c>
      <c r="E1646" s="4" t="s">
        <v>24</v>
      </c>
      <c r="F1646" s="4" t="s">
        <v>25</v>
      </c>
      <c r="G1646" s="4" t="s">
        <v>25</v>
      </c>
      <c r="H1646" s="4" t="s">
        <v>37</v>
      </c>
      <c r="I1646" s="5">
        <v>44348</v>
      </c>
      <c r="J1646" s="6">
        <v>0</v>
      </c>
      <c r="K1646" s="6">
        <v>0</v>
      </c>
      <c r="L1646" s="6">
        <v>3.7709999999999999</v>
      </c>
      <c r="M1646" s="6">
        <v>3.7709999999999999</v>
      </c>
      <c r="N1646" s="6">
        <v>3.7709999999999999</v>
      </c>
      <c r="O1646" s="6">
        <v>3.7709999999999999</v>
      </c>
      <c r="P1646" s="6">
        <v>0</v>
      </c>
      <c r="Q1646" s="4" t="s">
        <v>26</v>
      </c>
      <c r="R1646" s="4">
        <v>0</v>
      </c>
      <c r="S1646" s="6">
        <v>0</v>
      </c>
      <c r="T1646" s="6">
        <v>18</v>
      </c>
      <c r="U1646" s="6">
        <v>62</v>
      </c>
      <c r="V1646" s="6">
        <f>IF(ISERROR(VLOOKUP($S$1646,'TAR FIN'!$A$1:$O$95,15,0)),0,VLOOKUP($S$1646,'TAR FIN'!$A$1:$O$95,15,0))</f>
        <v>0</v>
      </c>
      <c r="W1646" s="6">
        <f>IF(ISERROR(VLOOKUP($T$1646,'TAR FIN'!$A$1:$O$95,15,0)),0,VLOOKUP($T$1646,'TAR FIN'!$A$1:$O$95,15,0))</f>
        <v>966.62</v>
      </c>
      <c r="X1646" s="6">
        <f>IF(ISERROR(VLOOKUP($U$1646,'TAR FIN'!$A$1:$O$95,15,0)),0,VLOOKUP($U$1646,'TAR FIN'!$A$1:$O$95,15,0))</f>
        <v>389.28</v>
      </c>
      <c r="Y1646" s="6"/>
      <c r="Z1646" s="6">
        <f ca="1">('TUSD BE'!$AM$22+'TUSD BF'!$AM$22+'TUSD CVA'!$AM$22)*1</f>
        <v>1084.5213223585286</v>
      </c>
      <c r="AA1646" s="6">
        <f>('TE BE'!$AA$10+'TE BF'!$AA$10+'TE CVA'!$AA$10)*1</f>
        <v>454.3285679284046</v>
      </c>
      <c r="AB1646" s="6">
        <f>$K$1646*$V$1646</f>
        <v>0</v>
      </c>
      <c r="AC1646" s="6">
        <f>$M$1646*$W$1646</f>
        <v>3645.1240199999997</v>
      </c>
      <c r="AD1646" s="6">
        <f>$O$1646*$X$1646</f>
        <v>1467.9748799999998</v>
      </c>
      <c r="AE1646" s="6">
        <f>$K$1646*$Y$1646</f>
        <v>0</v>
      </c>
      <c r="AF1646" s="6">
        <f ca="1">$M$1646*$Z$1646</f>
        <v>4089.7299066140113</v>
      </c>
      <c r="AG1646" s="6">
        <f>$O$1646*$AA$1646</f>
        <v>1713.2730296580137</v>
      </c>
    </row>
    <row r="1647" spans="1:33" ht="11.25" customHeight="1" x14ac:dyDescent="0.25">
      <c r="A1647" s="4" t="s">
        <v>28</v>
      </c>
      <c r="B1647" s="4" t="s">
        <v>22</v>
      </c>
      <c r="C1647" s="4" t="s">
        <v>39</v>
      </c>
      <c r="D1647" s="4" t="s">
        <v>24</v>
      </c>
      <c r="E1647" s="4" t="s">
        <v>24</v>
      </c>
      <c r="F1647" s="4" t="s">
        <v>25</v>
      </c>
      <c r="G1647" s="4" t="s">
        <v>25</v>
      </c>
      <c r="H1647" s="4" t="s">
        <v>37</v>
      </c>
      <c r="I1647" s="5">
        <v>44348</v>
      </c>
      <c r="J1647" s="6">
        <v>0</v>
      </c>
      <c r="K1647" s="6">
        <v>0</v>
      </c>
      <c r="L1647" s="6">
        <v>0.24299999999999999</v>
      </c>
      <c r="M1647" s="6">
        <v>0.24299999999999999</v>
      </c>
      <c r="N1647" s="6">
        <v>0.24299999999999999</v>
      </c>
      <c r="O1647" s="6">
        <v>0.24299999999999999</v>
      </c>
      <c r="P1647" s="6">
        <v>0</v>
      </c>
      <c r="Q1647" s="4" t="s">
        <v>26</v>
      </c>
      <c r="R1647" s="4">
        <v>0</v>
      </c>
      <c r="S1647" s="6">
        <v>0</v>
      </c>
      <c r="T1647" s="6">
        <v>18</v>
      </c>
      <c r="U1647" s="6">
        <v>62</v>
      </c>
      <c r="V1647" s="6">
        <f>IF(ISERROR(VLOOKUP($S$1647,'TAR FIN'!$A$1:$O$95,15,0)),0,VLOOKUP($S$1647,'TAR FIN'!$A$1:$O$95,15,0))</f>
        <v>0</v>
      </c>
      <c r="W1647" s="6">
        <f>IF(ISERROR(VLOOKUP($T$1647,'TAR FIN'!$A$1:$O$95,15,0)),0,VLOOKUP($T$1647,'TAR FIN'!$A$1:$O$95,15,0))</f>
        <v>966.62</v>
      </c>
      <c r="X1647" s="6">
        <f>IF(ISERROR(VLOOKUP($U$1647,'TAR FIN'!$A$1:$O$95,15,0)),0,VLOOKUP($U$1647,'TAR FIN'!$A$1:$O$95,15,0))</f>
        <v>389.28</v>
      </c>
      <c r="Y1647" s="6"/>
      <c r="Z1647" s="6">
        <f ca="1">('TUSD BE'!$AM$22+'TUSD BF'!$AM$22+'TUSD CVA'!$AM$22)*1</f>
        <v>1084.5213223585286</v>
      </c>
      <c r="AA1647" s="6">
        <f>('TE BE'!$AA$10+'TE BF'!$AA$10+'TE CVA'!$AA$10)*1</f>
        <v>454.3285679284046</v>
      </c>
      <c r="AB1647" s="6">
        <f>$K$1647*$V$1647</f>
        <v>0</v>
      </c>
      <c r="AC1647" s="6">
        <f>$M$1647*$W$1647</f>
        <v>234.88865999999999</v>
      </c>
      <c r="AD1647" s="6">
        <f>$O$1647*$X$1647</f>
        <v>94.595039999999997</v>
      </c>
      <c r="AE1647" s="6">
        <f>$K$1647*$Y$1647</f>
        <v>0</v>
      </c>
      <c r="AF1647" s="6">
        <f ca="1">$M$1647*$Z$1647</f>
        <v>263.53868133312244</v>
      </c>
      <c r="AG1647" s="6">
        <f>$O$1647*$AA$1647</f>
        <v>110.40184200660231</v>
      </c>
    </row>
    <row r="1648" spans="1:33" ht="11.25" customHeight="1" x14ac:dyDescent="0.25">
      <c r="A1648" s="4" t="s">
        <v>30</v>
      </c>
      <c r="B1648" s="4" t="s">
        <v>22</v>
      </c>
      <c r="C1648" s="4" t="s">
        <v>39</v>
      </c>
      <c r="D1648" s="4" t="s">
        <v>24</v>
      </c>
      <c r="E1648" s="4" t="s">
        <v>24</v>
      </c>
      <c r="F1648" s="4" t="s">
        <v>25</v>
      </c>
      <c r="G1648" s="4" t="s">
        <v>25</v>
      </c>
      <c r="H1648" s="4" t="s">
        <v>37</v>
      </c>
      <c r="I1648" s="5">
        <v>44348</v>
      </c>
      <c r="J1648" s="6">
        <v>0</v>
      </c>
      <c r="K1648" s="6">
        <v>0</v>
      </c>
      <c r="L1648" s="6">
        <v>0.20599999999999999</v>
      </c>
      <c r="M1648" s="6">
        <v>0.20599999999999999</v>
      </c>
      <c r="N1648" s="6">
        <v>0.20599999999999999</v>
      </c>
      <c r="O1648" s="6">
        <v>0.20599999999999999</v>
      </c>
      <c r="P1648" s="6">
        <v>0</v>
      </c>
      <c r="Q1648" s="4" t="s">
        <v>26</v>
      </c>
      <c r="R1648" s="4">
        <v>0</v>
      </c>
      <c r="S1648" s="6">
        <v>0</v>
      </c>
      <c r="T1648" s="6">
        <v>18</v>
      </c>
      <c r="U1648" s="6">
        <v>62</v>
      </c>
      <c r="V1648" s="6">
        <f>IF(ISERROR(VLOOKUP($S$1648,'TAR FIN'!$A$1:$O$95,15,0)),0,VLOOKUP($S$1648,'TAR FIN'!$A$1:$O$95,15,0))</f>
        <v>0</v>
      </c>
      <c r="W1648" s="6">
        <f>IF(ISERROR(VLOOKUP($T$1648,'TAR FIN'!$A$1:$O$95,15,0)),0,VLOOKUP($T$1648,'TAR FIN'!$A$1:$O$95,15,0))</f>
        <v>966.62</v>
      </c>
      <c r="X1648" s="6">
        <f>IF(ISERROR(VLOOKUP($U$1648,'TAR FIN'!$A$1:$O$95,15,0)),0,VLOOKUP($U$1648,'TAR FIN'!$A$1:$O$95,15,0))</f>
        <v>389.28</v>
      </c>
      <c r="Y1648" s="6"/>
      <c r="Z1648" s="6">
        <f ca="1">('TUSD BE'!$AM$22+'TUSD BF'!$AM$22+'TUSD CVA'!$AM$22)*1</f>
        <v>1084.5213223585286</v>
      </c>
      <c r="AA1648" s="6">
        <f>('TE BE'!$AA$10+'TE BF'!$AA$10+'TE CVA'!$AA$10)*1</f>
        <v>454.3285679284046</v>
      </c>
      <c r="AB1648" s="6">
        <f>$K$1648*$V$1648</f>
        <v>0</v>
      </c>
      <c r="AC1648" s="6">
        <f>$M$1648*$W$1648</f>
        <v>199.12371999999999</v>
      </c>
      <c r="AD1648" s="6">
        <f>$O$1648*$X$1648</f>
        <v>80.191679999999991</v>
      </c>
      <c r="AE1648" s="6">
        <f>$K$1648*$Y$1648</f>
        <v>0</v>
      </c>
      <c r="AF1648" s="6">
        <f ca="1">$M$1648*$Z$1648</f>
        <v>223.41139240585687</v>
      </c>
      <c r="AG1648" s="6">
        <f>$O$1648*$AA$1648</f>
        <v>93.591684993251349</v>
      </c>
    </row>
    <row r="1649" spans="1:33" ht="11.25" customHeight="1" x14ac:dyDescent="0.25">
      <c r="A1649" s="4" t="s">
        <v>21</v>
      </c>
      <c r="B1649" s="4" t="s">
        <v>22</v>
      </c>
      <c r="C1649" s="4" t="s">
        <v>39</v>
      </c>
      <c r="D1649" s="4" t="s">
        <v>24</v>
      </c>
      <c r="E1649" s="4" t="s">
        <v>24</v>
      </c>
      <c r="F1649" s="4" t="s">
        <v>25</v>
      </c>
      <c r="G1649" s="4" t="s">
        <v>25</v>
      </c>
      <c r="H1649" s="4" t="s">
        <v>37</v>
      </c>
      <c r="I1649" s="5">
        <v>44378</v>
      </c>
      <c r="J1649" s="6">
        <v>0</v>
      </c>
      <c r="K1649" s="6">
        <v>0</v>
      </c>
      <c r="L1649" s="6">
        <v>3.38</v>
      </c>
      <c r="M1649" s="6">
        <v>3.38</v>
      </c>
      <c r="N1649" s="6">
        <v>3.38</v>
      </c>
      <c r="O1649" s="6">
        <v>3.38</v>
      </c>
      <c r="P1649" s="6">
        <v>0</v>
      </c>
      <c r="Q1649" s="4" t="s">
        <v>26</v>
      </c>
      <c r="R1649" s="4">
        <v>0</v>
      </c>
      <c r="S1649" s="6">
        <v>0</v>
      </c>
      <c r="T1649" s="6">
        <v>18</v>
      </c>
      <c r="U1649" s="6">
        <v>62</v>
      </c>
      <c r="V1649" s="6">
        <f>IF(ISERROR(VLOOKUP($S$1649,'TAR FIN'!$A$1:$O$95,15,0)),0,VLOOKUP($S$1649,'TAR FIN'!$A$1:$O$95,15,0))</f>
        <v>0</v>
      </c>
      <c r="W1649" s="6">
        <f>IF(ISERROR(VLOOKUP($T$1649,'TAR FIN'!$A$1:$O$95,15,0)),0,VLOOKUP($T$1649,'TAR FIN'!$A$1:$O$95,15,0))</f>
        <v>966.62</v>
      </c>
      <c r="X1649" s="6">
        <f>IF(ISERROR(VLOOKUP($U$1649,'TAR FIN'!$A$1:$O$95,15,0)),0,VLOOKUP($U$1649,'TAR FIN'!$A$1:$O$95,15,0))</f>
        <v>389.28</v>
      </c>
      <c r="Y1649" s="6"/>
      <c r="Z1649" s="6">
        <f ca="1">('TUSD BE'!$AM$22+'TUSD BF'!$AM$22+'TUSD CVA'!$AM$22)*1</f>
        <v>1084.5213223585286</v>
      </c>
      <c r="AA1649" s="6">
        <f>('TE BE'!$AA$10+'TE BF'!$AA$10+'TE CVA'!$AA$10)*1</f>
        <v>454.3285679284046</v>
      </c>
      <c r="AB1649" s="6">
        <f>$K$1649*$V$1649</f>
        <v>0</v>
      </c>
      <c r="AC1649" s="6">
        <f>$M$1649*$W$1649</f>
        <v>3267.1756</v>
      </c>
      <c r="AD1649" s="6">
        <f>$O$1649*$X$1649</f>
        <v>1315.7664</v>
      </c>
      <c r="AE1649" s="6">
        <f>$K$1649*$Y$1649</f>
        <v>0</v>
      </c>
      <c r="AF1649" s="6">
        <f ca="1">$M$1649*$Z$1649</f>
        <v>3665.6820695718266</v>
      </c>
      <c r="AG1649" s="6">
        <f>$O$1649*$AA$1649</f>
        <v>1535.6305595980075</v>
      </c>
    </row>
    <row r="1650" spans="1:33" ht="11.25" customHeight="1" x14ac:dyDescent="0.25">
      <c r="A1650" s="4" t="s">
        <v>27</v>
      </c>
      <c r="B1650" s="4" t="s">
        <v>22</v>
      </c>
      <c r="C1650" s="4" t="s">
        <v>39</v>
      </c>
      <c r="D1650" s="4" t="s">
        <v>24</v>
      </c>
      <c r="E1650" s="4" t="s">
        <v>24</v>
      </c>
      <c r="F1650" s="4" t="s">
        <v>25</v>
      </c>
      <c r="G1650" s="4" t="s">
        <v>25</v>
      </c>
      <c r="H1650" s="4" t="s">
        <v>37</v>
      </c>
      <c r="I1650" s="5">
        <v>44378</v>
      </c>
      <c r="J1650" s="6">
        <v>0</v>
      </c>
      <c r="K1650" s="6">
        <v>0</v>
      </c>
      <c r="L1650" s="6">
        <v>3.1E-2</v>
      </c>
      <c r="M1650" s="6">
        <v>3.1E-2</v>
      </c>
      <c r="N1650" s="6">
        <v>3.1E-2</v>
      </c>
      <c r="O1650" s="6">
        <v>3.1E-2</v>
      </c>
      <c r="P1650" s="6">
        <v>0</v>
      </c>
      <c r="Q1650" s="4" t="s">
        <v>26</v>
      </c>
      <c r="R1650" s="4">
        <v>0</v>
      </c>
      <c r="S1650" s="6">
        <v>0</v>
      </c>
      <c r="T1650" s="6">
        <v>18</v>
      </c>
      <c r="U1650" s="6">
        <v>62</v>
      </c>
      <c r="V1650" s="6">
        <f>IF(ISERROR(VLOOKUP($S$1650,'TAR FIN'!$A$1:$O$95,15,0)),0,VLOOKUP($S$1650,'TAR FIN'!$A$1:$O$95,15,0))</f>
        <v>0</v>
      </c>
      <c r="W1650" s="6">
        <f>IF(ISERROR(VLOOKUP($T$1650,'TAR FIN'!$A$1:$O$95,15,0)),0,VLOOKUP($T$1650,'TAR FIN'!$A$1:$O$95,15,0))</f>
        <v>966.62</v>
      </c>
      <c r="X1650" s="6">
        <f>IF(ISERROR(VLOOKUP($U$1650,'TAR FIN'!$A$1:$O$95,15,0)),0,VLOOKUP($U$1650,'TAR FIN'!$A$1:$O$95,15,0))</f>
        <v>389.28</v>
      </c>
      <c r="Y1650" s="6"/>
      <c r="Z1650" s="6">
        <f ca="1">('TUSD BE'!$AM$22+'TUSD BF'!$AM$22+'TUSD CVA'!$AM$22)*1</f>
        <v>1084.5213223585286</v>
      </c>
      <c r="AA1650" s="6">
        <f>('TE BE'!$AA$10+'TE BF'!$AA$10+'TE CVA'!$AA$10)*1</f>
        <v>454.3285679284046</v>
      </c>
      <c r="AB1650" s="6">
        <f>$K$1650*$V$1650</f>
        <v>0</v>
      </c>
      <c r="AC1650" s="6">
        <f>$M$1650*$W$1650</f>
        <v>29.965219999999999</v>
      </c>
      <c r="AD1650" s="6">
        <f>$O$1650*$X$1650</f>
        <v>12.067679999999999</v>
      </c>
      <c r="AE1650" s="6">
        <f>$K$1650*$Y$1650</f>
        <v>0</v>
      </c>
      <c r="AF1650" s="6">
        <f ca="1">$M$1650*$Z$1650</f>
        <v>33.620160993114382</v>
      </c>
      <c r="AG1650" s="6">
        <f>$O$1650*$AA$1650</f>
        <v>14.084185605780542</v>
      </c>
    </row>
    <row r="1651" spans="1:33" ht="11.25" customHeight="1" x14ac:dyDescent="0.25">
      <c r="A1651" s="4" t="s">
        <v>28</v>
      </c>
      <c r="B1651" s="4" t="s">
        <v>22</v>
      </c>
      <c r="C1651" s="4" t="s">
        <v>39</v>
      </c>
      <c r="D1651" s="4" t="s">
        <v>24</v>
      </c>
      <c r="E1651" s="4" t="s">
        <v>24</v>
      </c>
      <c r="F1651" s="4" t="s">
        <v>25</v>
      </c>
      <c r="G1651" s="4" t="s">
        <v>25</v>
      </c>
      <c r="H1651" s="4" t="s">
        <v>37</v>
      </c>
      <c r="I1651" s="5">
        <v>44378</v>
      </c>
      <c r="J1651" s="6">
        <v>0</v>
      </c>
      <c r="K1651" s="6">
        <v>0</v>
      </c>
      <c r="L1651" s="6">
        <v>0.24399999999999999</v>
      </c>
      <c r="M1651" s="6">
        <v>0.24399999999999999</v>
      </c>
      <c r="N1651" s="6">
        <v>0.24399999999999999</v>
      </c>
      <c r="O1651" s="6">
        <v>0.24399999999999999</v>
      </c>
      <c r="P1651" s="6">
        <v>0</v>
      </c>
      <c r="Q1651" s="4" t="s">
        <v>26</v>
      </c>
      <c r="R1651" s="4">
        <v>0</v>
      </c>
      <c r="S1651" s="6">
        <v>0</v>
      </c>
      <c r="T1651" s="6">
        <v>18</v>
      </c>
      <c r="U1651" s="6">
        <v>62</v>
      </c>
      <c r="V1651" s="6">
        <f>IF(ISERROR(VLOOKUP($S$1651,'TAR FIN'!$A$1:$O$95,15,0)),0,VLOOKUP($S$1651,'TAR FIN'!$A$1:$O$95,15,0))</f>
        <v>0</v>
      </c>
      <c r="W1651" s="6">
        <f>IF(ISERROR(VLOOKUP($T$1651,'TAR FIN'!$A$1:$O$95,15,0)),0,VLOOKUP($T$1651,'TAR FIN'!$A$1:$O$95,15,0))</f>
        <v>966.62</v>
      </c>
      <c r="X1651" s="6">
        <f>IF(ISERROR(VLOOKUP($U$1651,'TAR FIN'!$A$1:$O$95,15,0)),0,VLOOKUP($U$1651,'TAR FIN'!$A$1:$O$95,15,0))</f>
        <v>389.28</v>
      </c>
      <c r="Y1651" s="6"/>
      <c r="Z1651" s="6">
        <f ca="1">('TUSD BE'!$AM$22+'TUSD BF'!$AM$22+'TUSD CVA'!$AM$22)*1</f>
        <v>1084.5213223585286</v>
      </c>
      <c r="AA1651" s="6">
        <f>('TE BE'!$AA$10+'TE BF'!$AA$10+'TE CVA'!$AA$10)*1</f>
        <v>454.3285679284046</v>
      </c>
      <c r="AB1651" s="6">
        <f>$K$1651*$V$1651</f>
        <v>0</v>
      </c>
      <c r="AC1651" s="6">
        <f>$M$1651*$W$1651</f>
        <v>235.85527999999999</v>
      </c>
      <c r="AD1651" s="6">
        <f>$O$1651*$X$1651</f>
        <v>94.984319999999997</v>
      </c>
      <c r="AE1651" s="6">
        <f>$K$1651*$Y$1651</f>
        <v>0</v>
      </c>
      <c r="AF1651" s="6">
        <f ca="1">$M$1651*$Z$1651</f>
        <v>264.62320265548095</v>
      </c>
      <c r="AG1651" s="6">
        <f>$O$1651*$AA$1651</f>
        <v>110.85617057453072</v>
      </c>
    </row>
    <row r="1652" spans="1:33" ht="11.25" customHeight="1" x14ac:dyDescent="0.25">
      <c r="A1652" s="4" t="s">
        <v>30</v>
      </c>
      <c r="B1652" s="4" t="s">
        <v>22</v>
      </c>
      <c r="C1652" s="4" t="s">
        <v>39</v>
      </c>
      <c r="D1652" s="4" t="s">
        <v>24</v>
      </c>
      <c r="E1652" s="4" t="s">
        <v>24</v>
      </c>
      <c r="F1652" s="4" t="s">
        <v>25</v>
      </c>
      <c r="G1652" s="4" t="s">
        <v>25</v>
      </c>
      <c r="H1652" s="4" t="s">
        <v>37</v>
      </c>
      <c r="I1652" s="5">
        <v>44378</v>
      </c>
      <c r="J1652" s="6">
        <v>0</v>
      </c>
      <c r="K1652" s="6">
        <v>0</v>
      </c>
      <c r="L1652" s="6">
        <v>0.17899999999999999</v>
      </c>
      <c r="M1652" s="6">
        <v>0.17899999999999999</v>
      </c>
      <c r="N1652" s="6">
        <v>0.17899999999999999</v>
      </c>
      <c r="O1652" s="6">
        <v>0.17899999999999999</v>
      </c>
      <c r="P1652" s="6">
        <v>0</v>
      </c>
      <c r="Q1652" s="4" t="s">
        <v>26</v>
      </c>
      <c r="R1652" s="4">
        <v>0</v>
      </c>
      <c r="S1652" s="6">
        <v>0</v>
      </c>
      <c r="T1652" s="6">
        <v>18</v>
      </c>
      <c r="U1652" s="6">
        <v>62</v>
      </c>
      <c r="V1652" s="6">
        <f>IF(ISERROR(VLOOKUP($S$1652,'TAR FIN'!$A$1:$O$95,15,0)),0,VLOOKUP($S$1652,'TAR FIN'!$A$1:$O$95,15,0))</f>
        <v>0</v>
      </c>
      <c r="W1652" s="6">
        <f>IF(ISERROR(VLOOKUP($T$1652,'TAR FIN'!$A$1:$O$95,15,0)),0,VLOOKUP($T$1652,'TAR FIN'!$A$1:$O$95,15,0))</f>
        <v>966.62</v>
      </c>
      <c r="X1652" s="6">
        <f>IF(ISERROR(VLOOKUP($U$1652,'TAR FIN'!$A$1:$O$95,15,0)),0,VLOOKUP($U$1652,'TAR FIN'!$A$1:$O$95,15,0))</f>
        <v>389.28</v>
      </c>
      <c r="Y1652" s="6"/>
      <c r="Z1652" s="6">
        <f ca="1">('TUSD BE'!$AM$22+'TUSD BF'!$AM$22+'TUSD CVA'!$AM$22)*1</f>
        <v>1084.5213223585286</v>
      </c>
      <c r="AA1652" s="6">
        <f>('TE BE'!$AA$10+'TE BF'!$AA$10+'TE CVA'!$AA$10)*1</f>
        <v>454.3285679284046</v>
      </c>
      <c r="AB1652" s="6">
        <f>$K$1652*$V$1652</f>
        <v>0</v>
      </c>
      <c r="AC1652" s="6">
        <f>$M$1652*$W$1652</f>
        <v>173.02498</v>
      </c>
      <c r="AD1652" s="6">
        <f>$O$1652*$X$1652</f>
        <v>69.681119999999993</v>
      </c>
      <c r="AE1652" s="6">
        <f>$K$1652*$Y$1652</f>
        <v>0</v>
      </c>
      <c r="AF1652" s="6">
        <f ca="1">$M$1652*$Z$1652</f>
        <v>194.1293167021766</v>
      </c>
      <c r="AG1652" s="6">
        <f>$O$1652*$AA$1652</f>
        <v>81.324813659184414</v>
      </c>
    </row>
    <row r="1653" spans="1:33" ht="11.25" customHeight="1" x14ac:dyDescent="0.25">
      <c r="A1653" s="4" t="s">
        <v>21</v>
      </c>
      <c r="B1653" s="4" t="s">
        <v>22</v>
      </c>
      <c r="C1653" s="4" t="s">
        <v>39</v>
      </c>
      <c r="D1653" s="4" t="s">
        <v>24</v>
      </c>
      <c r="E1653" s="4" t="s">
        <v>24</v>
      </c>
      <c r="F1653" s="4" t="s">
        <v>25</v>
      </c>
      <c r="G1653" s="4" t="s">
        <v>25</v>
      </c>
      <c r="H1653" s="4" t="s">
        <v>37</v>
      </c>
      <c r="I1653" s="5">
        <v>44409</v>
      </c>
      <c r="J1653" s="6">
        <v>0</v>
      </c>
      <c r="K1653" s="6">
        <v>0</v>
      </c>
      <c r="L1653" s="6">
        <v>3.605</v>
      </c>
      <c r="M1653" s="6">
        <v>3.605</v>
      </c>
      <c r="N1653" s="6">
        <v>3.605</v>
      </c>
      <c r="O1653" s="6">
        <v>3.605</v>
      </c>
      <c r="P1653" s="6">
        <v>0</v>
      </c>
      <c r="Q1653" s="4" t="s">
        <v>26</v>
      </c>
      <c r="R1653" s="4">
        <v>0</v>
      </c>
      <c r="S1653" s="6">
        <v>0</v>
      </c>
      <c r="T1653" s="6">
        <v>18</v>
      </c>
      <c r="U1653" s="6">
        <v>62</v>
      </c>
      <c r="V1653" s="6">
        <f>IF(ISERROR(VLOOKUP($S$1653,'TAR FIN'!$A$1:$O$95,15,0)),0,VLOOKUP($S$1653,'TAR FIN'!$A$1:$O$95,15,0))</f>
        <v>0</v>
      </c>
      <c r="W1653" s="6">
        <f>IF(ISERROR(VLOOKUP($T$1653,'TAR FIN'!$A$1:$O$95,15,0)),0,VLOOKUP($T$1653,'TAR FIN'!$A$1:$O$95,15,0))</f>
        <v>966.62</v>
      </c>
      <c r="X1653" s="6">
        <f>IF(ISERROR(VLOOKUP($U$1653,'TAR FIN'!$A$1:$O$95,15,0)),0,VLOOKUP($U$1653,'TAR FIN'!$A$1:$O$95,15,0))</f>
        <v>389.28</v>
      </c>
      <c r="Y1653" s="6"/>
      <c r="Z1653" s="6">
        <f ca="1">('TUSD BE'!$AM$22+'TUSD BF'!$AM$22+'TUSD CVA'!$AM$22)*1</f>
        <v>1084.5213223585286</v>
      </c>
      <c r="AA1653" s="6">
        <f>('TE BE'!$AA$10+'TE BF'!$AA$10+'TE CVA'!$AA$10)*1</f>
        <v>454.3285679284046</v>
      </c>
      <c r="AB1653" s="6">
        <f>$K$1653*$V$1653</f>
        <v>0</v>
      </c>
      <c r="AC1653" s="6">
        <f>$M$1653*$W$1653</f>
        <v>3484.6651000000002</v>
      </c>
      <c r="AD1653" s="6">
        <f>$O$1653*$X$1653</f>
        <v>1403.3543999999999</v>
      </c>
      <c r="AE1653" s="6">
        <f>$K$1653*$Y$1653</f>
        <v>0</v>
      </c>
      <c r="AF1653" s="6">
        <f ca="1">$M$1653*$Z$1653</f>
        <v>3909.6993671024952</v>
      </c>
      <c r="AG1653" s="6">
        <f>$O$1653*$AA$1653</f>
        <v>1637.8544873818985</v>
      </c>
    </row>
    <row r="1654" spans="1:33" ht="11.25" customHeight="1" x14ac:dyDescent="0.25">
      <c r="A1654" s="4" t="s">
        <v>28</v>
      </c>
      <c r="B1654" s="4" t="s">
        <v>22</v>
      </c>
      <c r="C1654" s="4" t="s">
        <v>39</v>
      </c>
      <c r="D1654" s="4" t="s">
        <v>24</v>
      </c>
      <c r="E1654" s="4" t="s">
        <v>24</v>
      </c>
      <c r="F1654" s="4" t="s">
        <v>25</v>
      </c>
      <c r="G1654" s="4" t="s">
        <v>25</v>
      </c>
      <c r="H1654" s="4" t="s">
        <v>37</v>
      </c>
      <c r="I1654" s="5">
        <v>44409</v>
      </c>
      <c r="J1654" s="6">
        <v>0</v>
      </c>
      <c r="K1654" s="6">
        <v>0</v>
      </c>
      <c r="L1654" s="6">
        <v>1.2110000000000001</v>
      </c>
      <c r="M1654" s="6">
        <v>1.2110000000000001</v>
      </c>
      <c r="N1654" s="6">
        <v>1.2110000000000001</v>
      </c>
      <c r="O1654" s="6">
        <v>1.2110000000000001</v>
      </c>
      <c r="P1654" s="6">
        <v>0</v>
      </c>
      <c r="Q1654" s="4" t="s">
        <v>26</v>
      </c>
      <c r="R1654" s="4">
        <v>0</v>
      </c>
      <c r="S1654" s="6">
        <v>0</v>
      </c>
      <c r="T1654" s="6">
        <v>18</v>
      </c>
      <c r="U1654" s="6">
        <v>62</v>
      </c>
      <c r="V1654" s="6">
        <f>IF(ISERROR(VLOOKUP($S$1654,'TAR FIN'!$A$1:$O$95,15,0)),0,VLOOKUP($S$1654,'TAR FIN'!$A$1:$O$95,15,0))</f>
        <v>0</v>
      </c>
      <c r="W1654" s="6">
        <f>IF(ISERROR(VLOOKUP($T$1654,'TAR FIN'!$A$1:$O$95,15,0)),0,VLOOKUP($T$1654,'TAR FIN'!$A$1:$O$95,15,0))</f>
        <v>966.62</v>
      </c>
      <c r="X1654" s="6">
        <f>IF(ISERROR(VLOOKUP($U$1654,'TAR FIN'!$A$1:$O$95,15,0)),0,VLOOKUP($U$1654,'TAR FIN'!$A$1:$O$95,15,0))</f>
        <v>389.28</v>
      </c>
      <c r="Y1654" s="6"/>
      <c r="Z1654" s="6">
        <f ca="1">('TUSD BE'!$AM$22+'TUSD BF'!$AM$22+'TUSD CVA'!$AM$22)*1</f>
        <v>1084.5213223585286</v>
      </c>
      <c r="AA1654" s="6">
        <f>('TE BE'!$AA$10+'TE BF'!$AA$10+'TE CVA'!$AA$10)*1</f>
        <v>454.3285679284046</v>
      </c>
      <c r="AB1654" s="6">
        <f>$K$1654*$V$1654</f>
        <v>0</v>
      </c>
      <c r="AC1654" s="6">
        <f>$M$1654*$W$1654</f>
        <v>1170.57682</v>
      </c>
      <c r="AD1654" s="6">
        <f>$O$1654*$X$1654</f>
        <v>471.41807999999997</v>
      </c>
      <c r="AE1654" s="6">
        <f>$K$1654*$Y$1654</f>
        <v>0</v>
      </c>
      <c r="AF1654" s="6">
        <f ca="1">$M$1654*$Z$1654</f>
        <v>1313.3553213761782</v>
      </c>
      <c r="AG1654" s="6">
        <f>$O$1654*$AA$1654</f>
        <v>550.19189576129804</v>
      </c>
    </row>
    <row r="1655" spans="1:33" ht="11.25" customHeight="1" x14ac:dyDescent="0.25">
      <c r="A1655" s="4" t="s">
        <v>30</v>
      </c>
      <c r="B1655" s="4" t="s">
        <v>22</v>
      </c>
      <c r="C1655" s="4" t="s">
        <v>39</v>
      </c>
      <c r="D1655" s="4" t="s">
        <v>24</v>
      </c>
      <c r="E1655" s="4" t="s">
        <v>24</v>
      </c>
      <c r="F1655" s="4" t="s">
        <v>25</v>
      </c>
      <c r="G1655" s="4" t="s">
        <v>25</v>
      </c>
      <c r="H1655" s="4" t="s">
        <v>37</v>
      </c>
      <c r="I1655" s="5">
        <v>44409</v>
      </c>
      <c r="J1655" s="6">
        <v>0</v>
      </c>
      <c r="K1655" s="6">
        <v>0</v>
      </c>
      <c r="L1655" s="6">
        <v>0.19900000000000001</v>
      </c>
      <c r="M1655" s="6">
        <v>0.19900000000000001</v>
      </c>
      <c r="N1655" s="6">
        <v>0.19900000000000001</v>
      </c>
      <c r="O1655" s="6">
        <v>0.19900000000000001</v>
      </c>
      <c r="P1655" s="6">
        <v>0</v>
      </c>
      <c r="Q1655" s="4" t="s">
        <v>26</v>
      </c>
      <c r="R1655" s="4">
        <v>0</v>
      </c>
      <c r="S1655" s="6">
        <v>0</v>
      </c>
      <c r="T1655" s="6">
        <v>18</v>
      </c>
      <c r="U1655" s="6">
        <v>62</v>
      </c>
      <c r="V1655" s="6">
        <f>IF(ISERROR(VLOOKUP($S$1655,'TAR FIN'!$A$1:$O$95,15,0)),0,VLOOKUP($S$1655,'TAR FIN'!$A$1:$O$95,15,0))</f>
        <v>0</v>
      </c>
      <c r="W1655" s="6">
        <f>IF(ISERROR(VLOOKUP($T$1655,'TAR FIN'!$A$1:$O$95,15,0)),0,VLOOKUP($T$1655,'TAR FIN'!$A$1:$O$95,15,0))</f>
        <v>966.62</v>
      </c>
      <c r="X1655" s="6">
        <f>IF(ISERROR(VLOOKUP($U$1655,'TAR FIN'!$A$1:$O$95,15,0)),0,VLOOKUP($U$1655,'TAR FIN'!$A$1:$O$95,15,0))</f>
        <v>389.28</v>
      </c>
      <c r="Y1655" s="6"/>
      <c r="Z1655" s="6">
        <f ca="1">('TUSD BE'!$AM$22+'TUSD BF'!$AM$22+'TUSD CVA'!$AM$22)*1</f>
        <v>1084.5213223585286</v>
      </c>
      <c r="AA1655" s="6">
        <f>('TE BE'!$AA$10+'TE BF'!$AA$10+'TE CVA'!$AA$10)*1</f>
        <v>454.3285679284046</v>
      </c>
      <c r="AB1655" s="6">
        <f>$K$1655*$V$1655</f>
        <v>0</v>
      </c>
      <c r="AC1655" s="6">
        <f>$M$1655*$W$1655</f>
        <v>192.35738000000001</v>
      </c>
      <c r="AD1655" s="6">
        <f>$O$1655*$X$1655</f>
        <v>77.466719999999995</v>
      </c>
      <c r="AE1655" s="6">
        <f>$K$1655*$Y$1655</f>
        <v>0</v>
      </c>
      <c r="AF1655" s="6">
        <f ca="1">$M$1655*$Z$1655</f>
        <v>215.8197431493472</v>
      </c>
      <c r="AG1655" s="6">
        <f>$O$1655*$AA$1655</f>
        <v>90.411385017752522</v>
      </c>
    </row>
    <row r="1656" spans="1:33" ht="11.25" customHeight="1" x14ac:dyDescent="0.25">
      <c r="A1656" s="4" t="s">
        <v>21</v>
      </c>
      <c r="B1656" s="4" t="s">
        <v>22</v>
      </c>
      <c r="C1656" s="4" t="s">
        <v>39</v>
      </c>
      <c r="D1656" s="4" t="s">
        <v>24</v>
      </c>
      <c r="E1656" s="4" t="s">
        <v>24</v>
      </c>
      <c r="F1656" s="4" t="s">
        <v>25</v>
      </c>
      <c r="G1656" s="4" t="s">
        <v>25</v>
      </c>
      <c r="H1656" s="4" t="s">
        <v>37</v>
      </c>
      <c r="I1656" s="5">
        <v>44440</v>
      </c>
      <c r="J1656" s="6">
        <v>0</v>
      </c>
      <c r="K1656" s="6">
        <v>0</v>
      </c>
      <c r="L1656" s="6">
        <v>3.4420000000000002</v>
      </c>
      <c r="M1656" s="6">
        <v>3.4420000000000002</v>
      </c>
      <c r="N1656" s="6">
        <v>3.4420000000000002</v>
      </c>
      <c r="O1656" s="6">
        <v>3.4420000000000002</v>
      </c>
      <c r="P1656" s="6">
        <v>0</v>
      </c>
      <c r="Q1656" s="4" t="s">
        <v>26</v>
      </c>
      <c r="R1656" s="4">
        <v>0</v>
      </c>
      <c r="S1656" s="6">
        <v>0</v>
      </c>
      <c r="T1656" s="6">
        <v>18</v>
      </c>
      <c r="U1656" s="6">
        <v>62</v>
      </c>
      <c r="V1656" s="6">
        <f>IF(ISERROR(VLOOKUP($S$1656,'TAR FIN'!$A$1:$O$95,15,0)),0,VLOOKUP($S$1656,'TAR FIN'!$A$1:$O$95,15,0))</f>
        <v>0</v>
      </c>
      <c r="W1656" s="6">
        <f>IF(ISERROR(VLOOKUP($T$1656,'TAR FIN'!$A$1:$O$95,15,0)),0,VLOOKUP($T$1656,'TAR FIN'!$A$1:$O$95,15,0))</f>
        <v>966.62</v>
      </c>
      <c r="X1656" s="6">
        <f>IF(ISERROR(VLOOKUP($U$1656,'TAR FIN'!$A$1:$O$95,15,0)),0,VLOOKUP($U$1656,'TAR FIN'!$A$1:$O$95,15,0))</f>
        <v>389.28</v>
      </c>
      <c r="Y1656" s="6"/>
      <c r="Z1656" s="6">
        <f ca="1">('TUSD BE'!$AM$22+'TUSD BF'!$AM$22+'TUSD CVA'!$AM$22)*1</f>
        <v>1084.5213223585286</v>
      </c>
      <c r="AA1656" s="6">
        <f>('TE BE'!$AA$10+'TE BF'!$AA$10+'TE CVA'!$AA$10)*1</f>
        <v>454.3285679284046</v>
      </c>
      <c r="AB1656" s="6">
        <f>$K$1656*$V$1656</f>
        <v>0</v>
      </c>
      <c r="AC1656" s="6">
        <f>$M$1656*$W$1656</f>
        <v>3327.1060400000001</v>
      </c>
      <c r="AD1656" s="6">
        <f>$O$1656*$X$1656</f>
        <v>1339.90176</v>
      </c>
      <c r="AE1656" s="6">
        <f>$K$1656*$Y$1656</f>
        <v>0</v>
      </c>
      <c r="AF1656" s="6">
        <f ca="1">$M$1656*$Z$1656</f>
        <v>3732.9223915580556</v>
      </c>
      <c r="AG1656" s="6">
        <f>$O$1656*$AA$1656</f>
        <v>1563.7989308095687</v>
      </c>
    </row>
    <row r="1657" spans="1:33" ht="11.25" customHeight="1" x14ac:dyDescent="0.25">
      <c r="A1657" s="4" t="s">
        <v>27</v>
      </c>
      <c r="B1657" s="4" t="s">
        <v>22</v>
      </c>
      <c r="C1657" s="4" t="s">
        <v>39</v>
      </c>
      <c r="D1657" s="4" t="s">
        <v>24</v>
      </c>
      <c r="E1657" s="4" t="s">
        <v>24</v>
      </c>
      <c r="F1657" s="4" t="s">
        <v>25</v>
      </c>
      <c r="G1657" s="4" t="s">
        <v>25</v>
      </c>
      <c r="H1657" s="4" t="s">
        <v>37</v>
      </c>
      <c r="I1657" s="5">
        <v>44440</v>
      </c>
      <c r="J1657" s="6">
        <v>0</v>
      </c>
      <c r="K1657" s="6">
        <v>0</v>
      </c>
      <c r="L1657" s="6">
        <v>5.5E-2</v>
      </c>
      <c r="M1657" s="6">
        <v>5.5E-2</v>
      </c>
      <c r="N1657" s="6">
        <v>5.5E-2</v>
      </c>
      <c r="O1657" s="6">
        <v>5.5E-2</v>
      </c>
      <c r="P1657" s="6">
        <v>0</v>
      </c>
      <c r="Q1657" s="4" t="s">
        <v>26</v>
      </c>
      <c r="R1657" s="4">
        <v>0</v>
      </c>
      <c r="S1657" s="6">
        <v>0</v>
      </c>
      <c r="T1657" s="6">
        <v>18</v>
      </c>
      <c r="U1657" s="6">
        <v>62</v>
      </c>
      <c r="V1657" s="6">
        <f>IF(ISERROR(VLOOKUP($S$1657,'TAR FIN'!$A$1:$O$95,15,0)),0,VLOOKUP($S$1657,'TAR FIN'!$A$1:$O$95,15,0))</f>
        <v>0</v>
      </c>
      <c r="W1657" s="6">
        <f>IF(ISERROR(VLOOKUP($T$1657,'TAR FIN'!$A$1:$O$95,15,0)),0,VLOOKUP($T$1657,'TAR FIN'!$A$1:$O$95,15,0))</f>
        <v>966.62</v>
      </c>
      <c r="X1657" s="6">
        <f>IF(ISERROR(VLOOKUP($U$1657,'TAR FIN'!$A$1:$O$95,15,0)),0,VLOOKUP($U$1657,'TAR FIN'!$A$1:$O$95,15,0))</f>
        <v>389.28</v>
      </c>
      <c r="Y1657" s="6"/>
      <c r="Z1657" s="6">
        <f ca="1">('TUSD BE'!$AM$22+'TUSD BF'!$AM$22+'TUSD CVA'!$AM$22)*1</f>
        <v>1084.5213223585286</v>
      </c>
      <c r="AA1657" s="6">
        <f>('TE BE'!$AA$10+'TE BF'!$AA$10+'TE CVA'!$AA$10)*1</f>
        <v>454.3285679284046</v>
      </c>
      <c r="AB1657" s="6">
        <f>$K$1657*$V$1657</f>
        <v>0</v>
      </c>
      <c r="AC1657" s="6">
        <f>$M$1657*$W$1657</f>
        <v>53.164099999999998</v>
      </c>
      <c r="AD1657" s="6">
        <f>$O$1657*$X$1657</f>
        <v>21.410399999999999</v>
      </c>
      <c r="AE1657" s="6">
        <f>$K$1657*$Y$1657</f>
        <v>0</v>
      </c>
      <c r="AF1657" s="6">
        <f ca="1">$M$1657*$Z$1657</f>
        <v>59.648672729719074</v>
      </c>
      <c r="AG1657" s="6">
        <f>$O$1657*$AA$1657</f>
        <v>24.988071236062254</v>
      </c>
    </row>
    <row r="1658" spans="1:33" ht="11.25" customHeight="1" x14ac:dyDescent="0.25">
      <c r="A1658" s="4" t="s">
        <v>28</v>
      </c>
      <c r="B1658" s="4" t="s">
        <v>22</v>
      </c>
      <c r="C1658" s="4" t="s">
        <v>39</v>
      </c>
      <c r="D1658" s="4" t="s">
        <v>24</v>
      </c>
      <c r="E1658" s="4" t="s">
        <v>24</v>
      </c>
      <c r="F1658" s="4" t="s">
        <v>25</v>
      </c>
      <c r="G1658" s="4" t="s">
        <v>25</v>
      </c>
      <c r="H1658" s="4" t="s">
        <v>37</v>
      </c>
      <c r="I1658" s="5">
        <v>44440</v>
      </c>
      <c r="J1658" s="6">
        <v>0</v>
      </c>
      <c r="K1658" s="6">
        <v>0</v>
      </c>
      <c r="L1658" s="6">
        <v>0.26900000000000002</v>
      </c>
      <c r="M1658" s="6">
        <v>0.26900000000000002</v>
      </c>
      <c r="N1658" s="6">
        <v>0.26900000000000002</v>
      </c>
      <c r="O1658" s="6">
        <v>0.26900000000000002</v>
      </c>
      <c r="P1658" s="6">
        <v>0</v>
      </c>
      <c r="Q1658" s="4" t="s">
        <v>26</v>
      </c>
      <c r="R1658" s="4">
        <v>0</v>
      </c>
      <c r="S1658" s="6">
        <v>0</v>
      </c>
      <c r="T1658" s="6">
        <v>18</v>
      </c>
      <c r="U1658" s="6">
        <v>62</v>
      </c>
      <c r="V1658" s="6">
        <f>IF(ISERROR(VLOOKUP($S$1658,'TAR FIN'!$A$1:$O$95,15,0)),0,VLOOKUP($S$1658,'TAR FIN'!$A$1:$O$95,15,0))</f>
        <v>0</v>
      </c>
      <c r="W1658" s="6">
        <f>IF(ISERROR(VLOOKUP($T$1658,'TAR FIN'!$A$1:$O$95,15,0)),0,VLOOKUP($T$1658,'TAR FIN'!$A$1:$O$95,15,0))</f>
        <v>966.62</v>
      </c>
      <c r="X1658" s="6">
        <f>IF(ISERROR(VLOOKUP($U$1658,'TAR FIN'!$A$1:$O$95,15,0)),0,VLOOKUP($U$1658,'TAR FIN'!$A$1:$O$95,15,0))</f>
        <v>389.28</v>
      </c>
      <c r="Y1658" s="6"/>
      <c r="Z1658" s="6">
        <f ca="1">('TUSD BE'!$AM$22+'TUSD BF'!$AM$22+'TUSD CVA'!$AM$22)*1</f>
        <v>1084.5213223585286</v>
      </c>
      <c r="AA1658" s="6">
        <f>('TE BE'!$AA$10+'TE BF'!$AA$10+'TE CVA'!$AA$10)*1</f>
        <v>454.3285679284046</v>
      </c>
      <c r="AB1658" s="6">
        <f>$K$1658*$V$1658</f>
        <v>0</v>
      </c>
      <c r="AC1658" s="6">
        <f>$M$1658*$W$1658</f>
        <v>260.02078</v>
      </c>
      <c r="AD1658" s="6">
        <f>$O$1658*$X$1658</f>
        <v>104.71632</v>
      </c>
      <c r="AE1658" s="6">
        <f>$K$1658*$Y$1658</f>
        <v>0</v>
      </c>
      <c r="AF1658" s="6">
        <f ca="1">$M$1658*$Z$1658</f>
        <v>291.73623571444421</v>
      </c>
      <c r="AG1658" s="6">
        <f>$O$1658*$AA$1658</f>
        <v>122.21438477274084</v>
      </c>
    </row>
    <row r="1659" spans="1:33" ht="11.25" customHeight="1" x14ac:dyDescent="0.25">
      <c r="A1659" s="4" t="s">
        <v>29</v>
      </c>
      <c r="B1659" s="4" t="s">
        <v>22</v>
      </c>
      <c r="C1659" s="4" t="s">
        <v>39</v>
      </c>
      <c r="D1659" s="4" t="s">
        <v>24</v>
      </c>
      <c r="E1659" s="4" t="s">
        <v>24</v>
      </c>
      <c r="F1659" s="4" t="s">
        <v>25</v>
      </c>
      <c r="G1659" s="4" t="s">
        <v>25</v>
      </c>
      <c r="H1659" s="4" t="s">
        <v>37</v>
      </c>
      <c r="I1659" s="5">
        <v>44440</v>
      </c>
      <c r="J1659" s="6">
        <v>0</v>
      </c>
      <c r="K1659" s="6">
        <v>0</v>
      </c>
      <c r="L1659" s="6">
        <v>-0.94799999999999995</v>
      </c>
      <c r="M1659" s="6">
        <v>-0.94799999999999995</v>
      </c>
      <c r="N1659" s="6">
        <v>-0.94799999999999995</v>
      </c>
      <c r="O1659" s="6">
        <v>-0.94799999999999995</v>
      </c>
      <c r="P1659" s="6">
        <v>0</v>
      </c>
      <c r="Q1659" s="4" t="s">
        <v>26</v>
      </c>
      <c r="R1659" s="4">
        <v>0</v>
      </c>
      <c r="S1659" s="6">
        <v>0</v>
      </c>
      <c r="T1659" s="6">
        <v>18</v>
      </c>
      <c r="U1659" s="6">
        <v>62</v>
      </c>
      <c r="V1659" s="6">
        <f>IF(ISERROR(VLOOKUP($S$1659,'TAR FIN'!$A$1:$O$95,15,0)),0,VLOOKUP($S$1659,'TAR FIN'!$A$1:$O$95,15,0))</f>
        <v>0</v>
      </c>
      <c r="W1659" s="6">
        <f>IF(ISERROR(VLOOKUP($T$1659,'TAR FIN'!$A$1:$O$95,15,0)),0,VLOOKUP($T$1659,'TAR FIN'!$A$1:$O$95,15,0))</f>
        <v>966.62</v>
      </c>
      <c r="X1659" s="6">
        <f>IF(ISERROR(VLOOKUP($U$1659,'TAR FIN'!$A$1:$O$95,15,0)),0,VLOOKUP($U$1659,'TAR FIN'!$A$1:$O$95,15,0))</f>
        <v>389.28</v>
      </c>
      <c r="Y1659" s="6"/>
      <c r="Z1659" s="6">
        <f ca="1">('TUSD BE'!$AM$22+'TUSD BF'!$AM$22+'TUSD CVA'!$AM$22)*1</f>
        <v>1084.5213223585286</v>
      </c>
      <c r="AA1659" s="6">
        <f>('TE BE'!$AA$10+'TE BF'!$AA$10+'TE CVA'!$AA$10)*1</f>
        <v>454.3285679284046</v>
      </c>
      <c r="AB1659" s="6">
        <f>$K$1659*$V$1659</f>
        <v>0</v>
      </c>
      <c r="AC1659" s="6">
        <f>$M$1659*$W$1659</f>
        <v>-916.35575999999992</v>
      </c>
      <c r="AD1659" s="6">
        <f>$O$1659*$X$1659</f>
        <v>-369.03743999999995</v>
      </c>
      <c r="AE1659" s="6">
        <f>$K$1659*$Y$1659</f>
        <v>0</v>
      </c>
      <c r="AF1659" s="6">
        <f ca="1">$M$1659*$Z$1659</f>
        <v>-1028.126213595885</v>
      </c>
      <c r="AG1659" s="6">
        <f>$O$1659*$AA$1659</f>
        <v>-430.70348239612753</v>
      </c>
    </row>
    <row r="1660" spans="1:33" ht="11.25" customHeight="1" x14ac:dyDescent="0.25">
      <c r="A1660" s="4" t="s">
        <v>30</v>
      </c>
      <c r="B1660" s="4" t="s">
        <v>22</v>
      </c>
      <c r="C1660" s="4" t="s">
        <v>39</v>
      </c>
      <c r="D1660" s="4" t="s">
        <v>24</v>
      </c>
      <c r="E1660" s="4" t="s">
        <v>24</v>
      </c>
      <c r="F1660" s="4" t="s">
        <v>25</v>
      </c>
      <c r="G1660" s="4" t="s">
        <v>25</v>
      </c>
      <c r="H1660" s="4" t="s">
        <v>37</v>
      </c>
      <c r="I1660" s="5">
        <v>44440</v>
      </c>
      <c r="J1660" s="6">
        <v>0</v>
      </c>
      <c r="K1660" s="6">
        <v>0</v>
      </c>
      <c r="L1660" s="6">
        <v>0.18099999999999999</v>
      </c>
      <c r="M1660" s="6">
        <v>0.18099999999999999</v>
      </c>
      <c r="N1660" s="6">
        <v>0.18099999999999999</v>
      </c>
      <c r="O1660" s="6">
        <v>0.18099999999999999</v>
      </c>
      <c r="P1660" s="6">
        <v>0</v>
      </c>
      <c r="Q1660" s="4" t="s">
        <v>26</v>
      </c>
      <c r="R1660" s="4">
        <v>0</v>
      </c>
      <c r="S1660" s="6">
        <v>0</v>
      </c>
      <c r="T1660" s="6">
        <v>18</v>
      </c>
      <c r="U1660" s="6">
        <v>62</v>
      </c>
      <c r="V1660" s="6">
        <f>IF(ISERROR(VLOOKUP($S$1660,'TAR FIN'!$A$1:$O$95,15,0)),0,VLOOKUP($S$1660,'TAR FIN'!$A$1:$O$95,15,0))</f>
        <v>0</v>
      </c>
      <c r="W1660" s="6">
        <f>IF(ISERROR(VLOOKUP($T$1660,'TAR FIN'!$A$1:$O$95,15,0)),0,VLOOKUP($T$1660,'TAR FIN'!$A$1:$O$95,15,0))</f>
        <v>966.62</v>
      </c>
      <c r="X1660" s="6">
        <f>IF(ISERROR(VLOOKUP($U$1660,'TAR FIN'!$A$1:$O$95,15,0)),0,VLOOKUP($U$1660,'TAR FIN'!$A$1:$O$95,15,0))</f>
        <v>389.28</v>
      </c>
      <c r="Y1660" s="6"/>
      <c r="Z1660" s="6">
        <f ca="1">('TUSD BE'!$AM$22+'TUSD BF'!$AM$22+'TUSD CVA'!$AM$22)*1</f>
        <v>1084.5213223585286</v>
      </c>
      <c r="AA1660" s="6">
        <f>('TE BE'!$AA$10+'TE BF'!$AA$10+'TE CVA'!$AA$10)*1</f>
        <v>454.3285679284046</v>
      </c>
      <c r="AB1660" s="6">
        <f>$K$1660*$V$1660</f>
        <v>0</v>
      </c>
      <c r="AC1660" s="6">
        <f>$M$1660*$W$1660</f>
        <v>174.95821999999998</v>
      </c>
      <c r="AD1660" s="6">
        <f>$O$1660*$X$1660</f>
        <v>70.459679999999992</v>
      </c>
      <c r="AE1660" s="6">
        <f>$K$1660*$Y$1660</f>
        <v>0</v>
      </c>
      <c r="AF1660" s="6">
        <f ca="1">$M$1660*$Z$1660</f>
        <v>196.29835934689365</v>
      </c>
      <c r="AG1660" s="6">
        <f>$O$1660*$AA$1660</f>
        <v>82.233470795041228</v>
      </c>
    </row>
    <row r="1661" spans="1:33" ht="11.25" customHeight="1" x14ac:dyDescent="0.25">
      <c r="A1661" s="4" t="s">
        <v>59</v>
      </c>
      <c r="B1661" s="4" t="s">
        <v>22</v>
      </c>
      <c r="C1661" s="4" t="s">
        <v>39</v>
      </c>
      <c r="D1661" s="4" t="s">
        <v>24</v>
      </c>
      <c r="E1661" s="4" t="s">
        <v>24</v>
      </c>
      <c r="F1661" s="4" t="s">
        <v>25</v>
      </c>
      <c r="G1661" s="4" t="s">
        <v>25</v>
      </c>
      <c r="H1661" s="4" t="s">
        <v>37</v>
      </c>
      <c r="I1661" s="5">
        <v>44470</v>
      </c>
      <c r="J1661" s="6">
        <v>0</v>
      </c>
      <c r="K1661" s="6">
        <v>0</v>
      </c>
      <c r="L1661" s="6">
        <v>3.4420000000000002</v>
      </c>
      <c r="M1661" s="6">
        <v>3.4420000000000002</v>
      </c>
      <c r="N1661" s="6">
        <v>3.4420000000000002</v>
      </c>
      <c r="O1661" s="6">
        <v>3.4420000000000002</v>
      </c>
      <c r="P1661" s="6">
        <v>0</v>
      </c>
      <c r="Q1661" s="4" t="s">
        <v>26</v>
      </c>
      <c r="R1661" s="4">
        <v>0</v>
      </c>
      <c r="S1661" s="6">
        <v>0</v>
      </c>
      <c r="T1661" s="6">
        <v>18</v>
      </c>
      <c r="U1661" s="6">
        <v>62</v>
      </c>
      <c r="V1661" s="6">
        <f>IF(ISERROR(VLOOKUP($S$1661,'TAR FIN'!$A$1:$O$95,15,0)),0,VLOOKUP($S$1661,'TAR FIN'!$A$1:$O$95,15,0))</f>
        <v>0</v>
      </c>
      <c r="W1661" s="6">
        <f>IF(ISERROR(VLOOKUP($T$1661,'TAR FIN'!$A$1:$O$95,15,0)),0,VLOOKUP($T$1661,'TAR FIN'!$A$1:$O$95,15,0))</f>
        <v>966.62</v>
      </c>
      <c r="X1661" s="6">
        <f>IF(ISERROR(VLOOKUP($U$1661,'TAR FIN'!$A$1:$O$95,15,0)),0,VLOOKUP($U$1661,'TAR FIN'!$A$1:$O$95,15,0))</f>
        <v>389.28</v>
      </c>
      <c r="Y1661" s="6"/>
      <c r="Z1661" s="6">
        <f ca="1">('TUSD BE'!$AM$22+'TUSD BF'!$AM$22+'TUSD CVA'!$AM$22)*1</f>
        <v>1084.5213223585286</v>
      </c>
      <c r="AA1661" s="6">
        <f>('TE BE'!$AA$10+'TE BF'!$AA$10+'TE CVA'!$AA$10)*1</f>
        <v>454.3285679284046</v>
      </c>
      <c r="AB1661" s="6">
        <f>$K$1661*$V$1661</f>
        <v>0</v>
      </c>
      <c r="AC1661" s="6">
        <f>$M$1661*$W$1661</f>
        <v>3327.1060400000001</v>
      </c>
      <c r="AD1661" s="6">
        <f>$O$1661*$X$1661</f>
        <v>1339.90176</v>
      </c>
      <c r="AE1661" s="6">
        <f>$K$1661*$Y$1661</f>
        <v>0</v>
      </c>
      <c r="AF1661" s="6">
        <f ca="1">$M$1661*$Z$1661</f>
        <v>3732.9223915580556</v>
      </c>
      <c r="AG1661" s="6">
        <f>$O$1661*$AA$1661</f>
        <v>1563.7989308095687</v>
      </c>
    </row>
    <row r="1662" spans="1:33" ht="11.25" customHeight="1" x14ac:dyDescent="0.25">
      <c r="A1662" s="4" t="s">
        <v>59</v>
      </c>
      <c r="B1662" s="4" t="s">
        <v>22</v>
      </c>
      <c r="C1662" s="4" t="s">
        <v>39</v>
      </c>
      <c r="D1662" s="4" t="s">
        <v>24</v>
      </c>
      <c r="E1662" s="4" t="s">
        <v>24</v>
      </c>
      <c r="F1662" s="4" t="s">
        <v>25</v>
      </c>
      <c r="G1662" s="4" t="s">
        <v>25</v>
      </c>
      <c r="H1662" s="4" t="s">
        <v>37</v>
      </c>
      <c r="I1662" s="5">
        <v>44470</v>
      </c>
      <c r="J1662" s="6">
        <v>0</v>
      </c>
      <c r="K1662" s="6">
        <v>0</v>
      </c>
      <c r="L1662" s="6">
        <v>5.5E-2</v>
      </c>
      <c r="M1662" s="6">
        <v>5.5E-2</v>
      </c>
      <c r="N1662" s="6">
        <v>5.5E-2</v>
      </c>
      <c r="O1662" s="6">
        <v>5.5E-2</v>
      </c>
      <c r="P1662" s="6">
        <v>0</v>
      </c>
      <c r="Q1662" s="4" t="s">
        <v>26</v>
      </c>
      <c r="R1662" s="4">
        <v>0</v>
      </c>
      <c r="S1662" s="6">
        <v>0</v>
      </c>
      <c r="T1662" s="6">
        <v>18</v>
      </c>
      <c r="U1662" s="6">
        <v>62</v>
      </c>
      <c r="V1662" s="6">
        <f>IF(ISERROR(VLOOKUP($S$1662,'TAR FIN'!$A$1:$O$95,15,0)),0,VLOOKUP($S$1662,'TAR FIN'!$A$1:$O$95,15,0))</f>
        <v>0</v>
      </c>
      <c r="W1662" s="6">
        <f>IF(ISERROR(VLOOKUP($T$1662,'TAR FIN'!$A$1:$O$95,15,0)),0,VLOOKUP($T$1662,'TAR FIN'!$A$1:$O$95,15,0))</f>
        <v>966.62</v>
      </c>
      <c r="X1662" s="6">
        <f>IF(ISERROR(VLOOKUP($U$1662,'TAR FIN'!$A$1:$O$95,15,0)),0,VLOOKUP($U$1662,'TAR FIN'!$A$1:$O$95,15,0))</f>
        <v>389.28</v>
      </c>
      <c r="Y1662" s="6"/>
      <c r="Z1662" s="6">
        <f ca="1">('TUSD BE'!$AM$22+'TUSD BF'!$AM$22+'TUSD CVA'!$AM$22)*1</f>
        <v>1084.5213223585286</v>
      </c>
      <c r="AA1662" s="6">
        <f>('TE BE'!$AA$10+'TE BF'!$AA$10+'TE CVA'!$AA$10)*1</f>
        <v>454.3285679284046</v>
      </c>
      <c r="AB1662" s="6">
        <f>$K$1662*$V$1662</f>
        <v>0</v>
      </c>
      <c r="AC1662" s="6">
        <f>$M$1662*$W$1662</f>
        <v>53.164099999999998</v>
      </c>
      <c r="AD1662" s="6">
        <f>$O$1662*$X$1662</f>
        <v>21.410399999999999</v>
      </c>
      <c r="AE1662" s="6">
        <f>$K$1662*$Y$1662</f>
        <v>0</v>
      </c>
      <c r="AF1662" s="6">
        <f ca="1">$M$1662*$Z$1662</f>
        <v>59.648672729719074</v>
      </c>
      <c r="AG1662" s="6">
        <f>$O$1662*$AA$1662</f>
        <v>24.988071236062254</v>
      </c>
    </row>
    <row r="1663" spans="1:33" ht="11.25" customHeight="1" x14ac:dyDescent="0.25">
      <c r="A1663" s="4" t="s">
        <v>59</v>
      </c>
      <c r="B1663" s="4" t="s">
        <v>22</v>
      </c>
      <c r="C1663" s="4" t="s">
        <v>39</v>
      </c>
      <c r="D1663" s="4" t="s">
        <v>24</v>
      </c>
      <c r="E1663" s="4" t="s">
        <v>24</v>
      </c>
      <c r="F1663" s="4" t="s">
        <v>25</v>
      </c>
      <c r="G1663" s="4" t="s">
        <v>25</v>
      </c>
      <c r="H1663" s="4" t="s">
        <v>37</v>
      </c>
      <c r="I1663" s="5">
        <v>44470</v>
      </c>
      <c r="J1663" s="6">
        <v>0</v>
      </c>
      <c r="K1663" s="6">
        <v>0</v>
      </c>
      <c r="L1663" s="6">
        <v>0.26900000000000002</v>
      </c>
      <c r="M1663" s="6">
        <v>0.26900000000000002</v>
      </c>
      <c r="N1663" s="6">
        <v>0.26900000000000002</v>
      </c>
      <c r="O1663" s="6">
        <v>0.26900000000000002</v>
      </c>
      <c r="P1663" s="6">
        <v>0</v>
      </c>
      <c r="Q1663" s="4" t="s">
        <v>26</v>
      </c>
      <c r="R1663" s="4">
        <v>0</v>
      </c>
      <c r="S1663" s="6">
        <v>0</v>
      </c>
      <c r="T1663" s="6">
        <v>18</v>
      </c>
      <c r="U1663" s="6">
        <v>62</v>
      </c>
      <c r="V1663" s="6">
        <f>IF(ISERROR(VLOOKUP($S$1663,'TAR FIN'!$A$1:$O$95,15,0)),0,VLOOKUP($S$1663,'TAR FIN'!$A$1:$O$95,15,0))</f>
        <v>0</v>
      </c>
      <c r="W1663" s="6">
        <f>IF(ISERROR(VLOOKUP($T$1663,'TAR FIN'!$A$1:$O$95,15,0)),0,VLOOKUP($T$1663,'TAR FIN'!$A$1:$O$95,15,0))</f>
        <v>966.62</v>
      </c>
      <c r="X1663" s="6">
        <f>IF(ISERROR(VLOOKUP($U$1663,'TAR FIN'!$A$1:$O$95,15,0)),0,VLOOKUP($U$1663,'TAR FIN'!$A$1:$O$95,15,0))</f>
        <v>389.28</v>
      </c>
      <c r="Y1663" s="6"/>
      <c r="Z1663" s="6">
        <f ca="1">('TUSD BE'!$AM$22+'TUSD BF'!$AM$22+'TUSD CVA'!$AM$22)*1</f>
        <v>1084.5213223585286</v>
      </c>
      <c r="AA1663" s="6">
        <f>('TE BE'!$AA$10+'TE BF'!$AA$10+'TE CVA'!$AA$10)*1</f>
        <v>454.3285679284046</v>
      </c>
      <c r="AB1663" s="6">
        <f>$K$1663*$V$1663</f>
        <v>0</v>
      </c>
      <c r="AC1663" s="6">
        <f>$M$1663*$W$1663</f>
        <v>260.02078</v>
      </c>
      <c r="AD1663" s="6">
        <f>$O$1663*$X$1663</f>
        <v>104.71632</v>
      </c>
      <c r="AE1663" s="6">
        <f>$K$1663*$Y$1663</f>
        <v>0</v>
      </c>
      <c r="AF1663" s="6">
        <f ca="1">$M$1663*$Z$1663</f>
        <v>291.73623571444421</v>
      </c>
      <c r="AG1663" s="6">
        <f>$O$1663*$AA$1663</f>
        <v>122.21438477274084</v>
      </c>
    </row>
    <row r="1664" spans="1:33" ht="11.25" customHeight="1" x14ac:dyDescent="0.25">
      <c r="A1664" s="4" t="s">
        <v>59</v>
      </c>
      <c r="B1664" s="4" t="s">
        <v>22</v>
      </c>
      <c r="C1664" s="4" t="s">
        <v>39</v>
      </c>
      <c r="D1664" s="4" t="s">
        <v>24</v>
      </c>
      <c r="E1664" s="4" t="s">
        <v>24</v>
      </c>
      <c r="F1664" s="4" t="s">
        <v>25</v>
      </c>
      <c r="G1664" s="4" t="s">
        <v>25</v>
      </c>
      <c r="H1664" s="4" t="s">
        <v>37</v>
      </c>
      <c r="I1664" s="5">
        <v>44470</v>
      </c>
      <c r="J1664" s="6">
        <v>0</v>
      </c>
      <c r="K1664" s="6">
        <v>0</v>
      </c>
      <c r="L1664" s="6">
        <v>-0.94799999999999995</v>
      </c>
      <c r="M1664" s="6">
        <v>-0.94799999999999995</v>
      </c>
      <c r="N1664" s="6">
        <v>-0.94799999999999995</v>
      </c>
      <c r="O1664" s="6">
        <v>-0.94799999999999995</v>
      </c>
      <c r="P1664" s="6">
        <v>0</v>
      </c>
      <c r="Q1664" s="4" t="s">
        <v>26</v>
      </c>
      <c r="R1664" s="4">
        <v>0</v>
      </c>
      <c r="S1664" s="6">
        <v>0</v>
      </c>
      <c r="T1664" s="6">
        <v>18</v>
      </c>
      <c r="U1664" s="6">
        <v>62</v>
      </c>
      <c r="V1664" s="6">
        <f>IF(ISERROR(VLOOKUP($S$1664,'TAR FIN'!$A$1:$O$95,15,0)),0,VLOOKUP($S$1664,'TAR FIN'!$A$1:$O$95,15,0))</f>
        <v>0</v>
      </c>
      <c r="W1664" s="6">
        <f>IF(ISERROR(VLOOKUP($T$1664,'TAR FIN'!$A$1:$O$95,15,0)),0,VLOOKUP($T$1664,'TAR FIN'!$A$1:$O$95,15,0))</f>
        <v>966.62</v>
      </c>
      <c r="X1664" s="6">
        <f>IF(ISERROR(VLOOKUP($U$1664,'TAR FIN'!$A$1:$O$95,15,0)),0,VLOOKUP($U$1664,'TAR FIN'!$A$1:$O$95,15,0))</f>
        <v>389.28</v>
      </c>
      <c r="Y1664" s="6"/>
      <c r="Z1664" s="6">
        <f ca="1">('TUSD BE'!$AM$22+'TUSD BF'!$AM$22+'TUSD CVA'!$AM$22)*1</f>
        <v>1084.5213223585286</v>
      </c>
      <c r="AA1664" s="6">
        <f>('TE BE'!$AA$10+'TE BF'!$AA$10+'TE CVA'!$AA$10)*1</f>
        <v>454.3285679284046</v>
      </c>
      <c r="AB1664" s="6">
        <f>$K$1664*$V$1664</f>
        <v>0</v>
      </c>
      <c r="AC1664" s="6">
        <f>$M$1664*$W$1664</f>
        <v>-916.35575999999992</v>
      </c>
      <c r="AD1664" s="6">
        <f>$O$1664*$X$1664</f>
        <v>-369.03743999999995</v>
      </c>
      <c r="AE1664" s="6">
        <f>$K$1664*$Y$1664</f>
        <v>0</v>
      </c>
      <c r="AF1664" s="6">
        <f ca="1">$M$1664*$Z$1664</f>
        <v>-1028.126213595885</v>
      </c>
      <c r="AG1664" s="6">
        <f>$O$1664*$AA$1664</f>
        <v>-430.70348239612753</v>
      </c>
    </row>
    <row r="1665" spans="1:33" ht="11.25" customHeight="1" x14ac:dyDescent="0.25">
      <c r="A1665" s="4" t="s">
        <v>59</v>
      </c>
      <c r="B1665" s="4" t="s">
        <v>22</v>
      </c>
      <c r="C1665" s="4" t="s">
        <v>39</v>
      </c>
      <c r="D1665" s="4" t="s">
        <v>24</v>
      </c>
      <c r="E1665" s="4" t="s">
        <v>24</v>
      </c>
      <c r="F1665" s="4" t="s">
        <v>25</v>
      </c>
      <c r="G1665" s="4" t="s">
        <v>25</v>
      </c>
      <c r="H1665" s="4" t="s">
        <v>37</v>
      </c>
      <c r="I1665" s="5">
        <v>44470</v>
      </c>
      <c r="J1665" s="6">
        <v>0</v>
      </c>
      <c r="K1665" s="6">
        <v>0</v>
      </c>
      <c r="L1665" s="6">
        <v>0.18099999999999999</v>
      </c>
      <c r="M1665" s="6">
        <v>0.18099999999999999</v>
      </c>
      <c r="N1665" s="6">
        <v>0.18099999999999999</v>
      </c>
      <c r="O1665" s="6">
        <v>0.18099999999999999</v>
      </c>
      <c r="P1665" s="6">
        <v>0</v>
      </c>
      <c r="Q1665" s="4" t="s">
        <v>26</v>
      </c>
      <c r="R1665" s="4">
        <v>0</v>
      </c>
      <c r="S1665" s="6">
        <v>0</v>
      </c>
      <c r="T1665" s="6">
        <v>18</v>
      </c>
      <c r="U1665" s="6">
        <v>62</v>
      </c>
      <c r="V1665" s="6">
        <f>IF(ISERROR(VLOOKUP($S$1665,'TAR FIN'!$A$1:$O$95,15,0)),0,VLOOKUP($S$1665,'TAR FIN'!$A$1:$O$95,15,0))</f>
        <v>0</v>
      </c>
      <c r="W1665" s="6">
        <f>IF(ISERROR(VLOOKUP($T$1665,'TAR FIN'!$A$1:$O$95,15,0)),0,VLOOKUP($T$1665,'TAR FIN'!$A$1:$O$95,15,0))</f>
        <v>966.62</v>
      </c>
      <c r="X1665" s="6">
        <f>IF(ISERROR(VLOOKUP($U$1665,'TAR FIN'!$A$1:$O$95,15,0)),0,VLOOKUP($U$1665,'TAR FIN'!$A$1:$O$95,15,0))</f>
        <v>389.28</v>
      </c>
      <c r="Y1665" s="6"/>
      <c r="Z1665" s="6">
        <f ca="1">('TUSD BE'!$AM$22+'TUSD BF'!$AM$22+'TUSD CVA'!$AM$22)*1</f>
        <v>1084.5213223585286</v>
      </c>
      <c r="AA1665" s="6">
        <f>('TE BE'!$AA$10+'TE BF'!$AA$10+'TE CVA'!$AA$10)*1</f>
        <v>454.3285679284046</v>
      </c>
      <c r="AB1665" s="6">
        <f>$K$1665*$V$1665</f>
        <v>0</v>
      </c>
      <c r="AC1665" s="6">
        <f>$M$1665*$W$1665</f>
        <v>174.95821999999998</v>
      </c>
      <c r="AD1665" s="6">
        <f>$O$1665*$X$1665</f>
        <v>70.459679999999992</v>
      </c>
      <c r="AE1665" s="6">
        <f>$K$1665*$Y$1665</f>
        <v>0</v>
      </c>
      <c r="AF1665" s="6">
        <f ca="1">$M$1665*$Z$1665</f>
        <v>196.29835934689365</v>
      </c>
      <c r="AG1665" s="6">
        <f>$O$1665*$AA$1665</f>
        <v>82.233470795041228</v>
      </c>
    </row>
    <row r="1666" spans="1:33" ht="11.25" customHeight="1" x14ac:dyDescent="0.25">
      <c r="A1666" s="4" t="s">
        <v>21</v>
      </c>
      <c r="B1666" s="4" t="s">
        <v>22</v>
      </c>
      <c r="C1666" s="4" t="s">
        <v>23</v>
      </c>
      <c r="D1666" s="4" t="s">
        <v>24</v>
      </c>
      <c r="E1666" s="4" t="s">
        <v>24</v>
      </c>
      <c r="F1666" s="4" t="s">
        <v>25</v>
      </c>
      <c r="G1666" s="4" t="s">
        <v>25</v>
      </c>
      <c r="H1666" s="4" t="s">
        <v>25</v>
      </c>
      <c r="I1666" s="5">
        <v>44136</v>
      </c>
      <c r="J1666" s="6">
        <v>0</v>
      </c>
      <c r="K1666" s="6">
        <v>0</v>
      </c>
      <c r="L1666" s="6">
        <v>126656.876</v>
      </c>
      <c r="M1666" s="6">
        <v>126656.876</v>
      </c>
      <c r="N1666" s="6">
        <v>126656.876</v>
      </c>
      <c r="O1666" s="6">
        <v>126656.876</v>
      </c>
      <c r="P1666" s="6">
        <v>519289</v>
      </c>
      <c r="Q1666" s="4" t="s">
        <v>26</v>
      </c>
      <c r="R1666" s="4">
        <v>0</v>
      </c>
      <c r="S1666" s="6">
        <v>0</v>
      </c>
      <c r="T1666" s="6">
        <v>13</v>
      </c>
      <c r="U1666" s="6">
        <v>58</v>
      </c>
      <c r="V1666" s="6">
        <f>IF(ISERROR(VLOOKUP($S$1666,'TAR FIN'!$A$1:$O$95,15,0)),0,VLOOKUP($S$1666,'TAR FIN'!$A$1:$O$95,15,0))</f>
        <v>0</v>
      </c>
      <c r="W1666" s="6">
        <f>IF(ISERROR(VLOOKUP($T$1666,'TAR FIN'!$A$1:$O$95,15,0)),0,VLOOKUP($T$1666,'TAR FIN'!$A$1:$O$95,15,0))</f>
        <v>450.19</v>
      </c>
      <c r="X1666" s="6">
        <f>IF(ISERROR(VLOOKUP($U$1666,'TAR FIN'!$A$1:$O$95,15,0)),0,VLOOKUP($U$1666,'TAR FIN'!$A$1:$O$95,15,0))</f>
        <v>243.3</v>
      </c>
      <c r="Y1666" s="6"/>
      <c r="Z1666" s="6">
        <f ca="1">('TUSD BE'!$AM$25+'TUSD BF'!$AM$25+'TUSD CVA'!$AM$25)*1</f>
        <v>506.5198438752322</v>
      </c>
      <c r="AA1666" s="6">
        <f>('TE BE'!$AA$13+'TE BF'!$AA$13+'TE CVA'!$AA$13)*1</f>
        <v>297.20166373463735</v>
      </c>
      <c r="AB1666" s="6">
        <f>$K$1666*$V$1666</f>
        <v>0</v>
      </c>
      <c r="AC1666" s="6">
        <f>$M$1666*$W$1666</f>
        <v>57019659.006439999</v>
      </c>
      <c r="AD1666" s="6">
        <f>$O$1666*$X$1666</f>
        <v>30815617.930800002</v>
      </c>
      <c r="AE1666" s="6">
        <f>$K$1666*$Y$1666</f>
        <v>0</v>
      </c>
      <c r="AF1666" s="6">
        <f ca="1">$M$1666*$Z$1666</f>
        <v>64154221.057244644</v>
      </c>
      <c r="AG1666" s="6">
        <f>$O$1666*$AA$1666</f>
        <v>37642634.270631664</v>
      </c>
    </row>
    <row r="1667" spans="1:33" ht="11.25" customHeight="1" x14ac:dyDescent="0.25">
      <c r="A1667" s="4" t="s">
        <v>27</v>
      </c>
      <c r="B1667" s="4" t="s">
        <v>22</v>
      </c>
      <c r="C1667" s="4" t="s">
        <v>23</v>
      </c>
      <c r="D1667" s="4" t="s">
        <v>24</v>
      </c>
      <c r="E1667" s="4" t="s">
        <v>24</v>
      </c>
      <c r="F1667" s="4" t="s">
        <v>25</v>
      </c>
      <c r="G1667" s="4" t="s">
        <v>25</v>
      </c>
      <c r="H1667" s="4" t="s">
        <v>25</v>
      </c>
      <c r="I1667" s="5">
        <v>44136</v>
      </c>
      <c r="J1667" s="6">
        <v>0</v>
      </c>
      <c r="K1667" s="6">
        <v>0</v>
      </c>
      <c r="L1667" s="6">
        <v>-3482.66</v>
      </c>
      <c r="M1667" s="6">
        <v>-3482.66</v>
      </c>
      <c r="N1667" s="6">
        <v>-3482.66</v>
      </c>
      <c r="O1667" s="6">
        <v>-3482.66</v>
      </c>
      <c r="P1667" s="6">
        <v>-808</v>
      </c>
      <c r="Q1667" s="4" t="s">
        <v>26</v>
      </c>
      <c r="R1667" s="4">
        <v>0</v>
      </c>
      <c r="S1667" s="6">
        <v>0</v>
      </c>
      <c r="T1667" s="6">
        <v>13</v>
      </c>
      <c r="U1667" s="6">
        <v>58</v>
      </c>
      <c r="V1667" s="6">
        <f>IF(ISERROR(VLOOKUP($S$1667,'TAR FIN'!$A$1:$O$95,15,0)),0,VLOOKUP($S$1667,'TAR FIN'!$A$1:$O$95,15,0))</f>
        <v>0</v>
      </c>
      <c r="W1667" s="6">
        <f>IF(ISERROR(VLOOKUP($T$1667,'TAR FIN'!$A$1:$O$95,15,0)),0,VLOOKUP($T$1667,'TAR FIN'!$A$1:$O$95,15,0))</f>
        <v>450.19</v>
      </c>
      <c r="X1667" s="6">
        <f>IF(ISERROR(VLOOKUP($U$1667,'TAR FIN'!$A$1:$O$95,15,0)),0,VLOOKUP($U$1667,'TAR FIN'!$A$1:$O$95,15,0))</f>
        <v>243.3</v>
      </c>
      <c r="Y1667" s="6"/>
      <c r="Z1667" s="6">
        <f ca="1">('TUSD BE'!$AM$25+'TUSD BF'!$AM$25+'TUSD CVA'!$AM$25)*1</f>
        <v>506.5198438752322</v>
      </c>
      <c r="AA1667" s="6">
        <f>('TE BE'!$AA$13+'TE BF'!$AA$13+'TE CVA'!$AA$13)*1</f>
        <v>297.20166373463735</v>
      </c>
      <c r="AB1667" s="6">
        <f>$K$1667*$V$1667</f>
        <v>0</v>
      </c>
      <c r="AC1667" s="6">
        <f>$M$1667*$W$1667</f>
        <v>-1567858.7053999999</v>
      </c>
      <c r="AD1667" s="6">
        <f>$O$1667*$X$1667</f>
        <v>-847331.17799999996</v>
      </c>
      <c r="AE1667" s="6">
        <f>$K$1667*$Y$1667</f>
        <v>0</v>
      </c>
      <c r="AF1667" s="6">
        <f ca="1">$M$1667*$Z$1667</f>
        <v>-1764036.399470516</v>
      </c>
      <c r="AG1667" s="6">
        <f>$O$1667*$AA$1667</f>
        <v>-1035052.346222072</v>
      </c>
    </row>
    <row r="1668" spans="1:33" ht="11.25" customHeight="1" x14ac:dyDescent="0.25">
      <c r="A1668" s="4" t="s">
        <v>28</v>
      </c>
      <c r="B1668" s="4" t="s">
        <v>22</v>
      </c>
      <c r="C1668" s="4" t="s">
        <v>23</v>
      </c>
      <c r="D1668" s="4" t="s">
        <v>24</v>
      </c>
      <c r="E1668" s="4" t="s">
        <v>24</v>
      </c>
      <c r="F1668" s="4" t="s">
        <v>25</v>
      </c>
      <c r="G1668" s="4" t="s">
        <v>25</v>
      </c>
      <c r="H1668" s="4" t="s">
        <v>25</v>
      </c>
      <c r="I1668" s="5">
        <v>44136</v>
      </c>
      <c r="J1668" s="6">
        <v>0</v>
      </c>
      <c r="K1668" s="6">
        <v>0</v>
      </c>
      <c r="L1668" s="6">
        <v>35463.578000000001</v>
      </c>
      <c r="M1668" s="6">
        <v>35463.578000000001</v>
      </c>
      <c r="N1668" s="6">
        <v>35463.578000000001</v>
      </c>
      <c r="O1668" s="6">
        <v>35463.578000000001</v>
      </c>
      <c r="P1668" s="6">
        <v>192226</v>
      </c>
      <c r="Q1668" s="4" t="s">
        <v>26</v>
      </c>
      <c r="R1668" s="4">
        <v>0</v>
      </c>
      <c r="S1668" s="6">
        <v>0</v>
      </c>
      <c r="T1668" s="6">
        <v>13</v>
      </c>
      <c r="U1668" s="6">
        <v>58</v>
      </c>
      <c r="V1668" s="6">
        <f>IF(ISERROR(VLOOKUP($S$1668,'TAR FIN'!$A$1:$O$95,15,0)),0,VLOOKUP($S$1668,'TAR FIN'!$A$1:$O$95,15,0))</f>
        <v>0</v>
      </c>
      <c r="W1668" s="6">
        <f>IF(ISERROR(VLOOKUP($T$1668,'TAR FIN'!$A$1:$O$95,15,0)),0,VLOOKUP($T$1668,'TAR FIN'!$A$1:$O$95,15,0))</f>
        <v>450.19</v>
      </c>
      <c r="X1668" s="6">
        <f>IF(ISERROR(VLOOKUP($U$1668,'TAR FIN'!$A$1:$O$95,15,0)),0,VLOOKUP($U$1668,'TAR FIN'!$A$1:$O$95,15,0))</f>
        <v>243.3</v>
      </c>
      <c r="Y1668" s="6"/>
      <c r="Z1668" s="6">
        <f ca="1">('TUSD BE'!$AM$25+'TUSD BF'!$AM$25+'TUSD CVA'!$AM$25)*1</f>
        <v>506.5198438752322</v>
      </c>
      <c r="AA1668" s="6">
        <f>('TE BE'!$AA$13+'TE BF'!$AA$13+'TE CVA'!$AA$13)*1</f>
        <v>297.20166373463735</v>
      </c>
      <c r="AB1668" s="6">
        <f>$K$1668*$V$1668</f>
        <v>0</v>
      </c>
      <c r="AC1668" s="6">
        <f>$M$1668*$W$1668</f>
        <v>15965348.179820001</v>
      </c>
      <c r="AD1668" s="6">
        <f>$O$1668*$X$1668</f>
        <v>8628288.5274</v>
      </c>
      <c r="AE1668" s="6">
        <f>$K$1668*$Y$1668</f>
        <v>0</v>
      </c>
      <c r="AF1668" s="6">
        <f ca="1">$M$1668*$Z$1668</f>
        <v>17963005.99181712</v>
      </c>
      <c r="AG1668" s="6">
        <f>$O$1668*$AA$1668</f>
        <v>10539834.383583084</v>
      </c>
    </row>
    <row r="1669" spans="1:33" ht="11.25" customHeight="1" x14ac:dyDescent="0.25">
      <c r="A1669" s="4" t="s">
        <v>29</v>
      </c>
      <c r="B1669" s="4" t="s">
        <v>22</v>
      </c>
      <c r="C1669" s="4" t="s">
        <v>23</v>
      </c>
      <c r="D1669" s="4" t="s">
        <v>24</v>
      </c>
      <c r="E1669" s="4" t="s">
        <v>24</v>
      </c>
      <c r="F1669" s="4" t="s">
        <v>25</v>
      </c>
      <c r="G1669" s="4" t="s">
        <v>25</v>
      </c>
      <c r="H1669" s="4" t="s">
        <v>25</v>
      </c>
      <c r="I1669" s="5">
        <v>44136</v>
      </c>
      <c r="J1669" s="6">
        <v>0</v>
      </c>
      <c r="K1669" s="6">
        <v>0</v>
      </c>
      <c r="L1669" s="6">
        <v>-191.04499999999999</v>
      </c>
      <c r="M1669" s="6">
        <v>-191.04499999999999</v>
      </c>
      <c r="N1669" s="6">
        <v>-191.04499999999999</v>
      </c>
      <c r="O1669" s="6">
        <v>-191.04499999999999</v>
      </c>
      <c r="P1669" s="6">
        <v>-184</v>
      </c>
      <c r="Q1669" s="4" t="s">
        <v>26</v>
      </c>
      <c r="R1669" s="4">
        <v>0</v>
      </c>
      <c r="S1669" s="6">
        <v>0</v>
      </c>
      <c r="T1669" s="6">
        <v>13</v>
      </c>
      <c r="U1669" s="6">
        <v>58</v>
      </c>
      <c r="V1669" s="6">
        <f>IF(ISERROR(VLOOKUP($S$1669,'TAR FIN'!$A$1:$O$95,15,0)),0,VLOOKUP($S$1669,'TAR FIN'!$A$1:$O$95,15,0))</f>
        <v>0</v>
      </c>
      <c r="W1669" s="6">
        <f>IF(ISERROR(VLOOKUP($T$1669,'TAR FIN'!$A$1:$O$95,15,0)),0,VLOOKUP($T$1669,'TAR FIN'!$A$1:$O$95,15,0))</f>
        <v>450.19</v>
      </c>
      <c r="X1669" s="6">
        <f>IF(ISERROR(VLOOKUP($U$1669,'TAR FIN'!$A$1:$O$95,15,0)),0,VLOOKUP($U$1669,'TAR FIN'!$A$1:$O$95,15,0))</f>
        <v>243.3</v>
      </c>
      <c r="Y1669" s="6"/>
      <c r="Z1669" s="6">
        <f ca="1">('TUSD BE'!$AM$25+'TUSD BF'!$AM$25+'TUSD CVA'!$AM$25)*1</f>
        <v>506.5198438752322</v>
      </c>
      <c r="AA1669" s="6">
        <f>('TE BE'!$AA$13+'TE BF'!$AA$13+'TE CVA'!$AA$13)*1</f>
        <v>297.20166373463735</v>
      </c>
      <c r="AB1669" s="6">
        <f>$K$1669*$V$1669</f>
        <v>0</v>
      </c>
      <c r="AC1669" s="6">
        <f>$M$1669*$W$1669</f>
        <v>-86006.548549999992</v>
      </c>
      <c r="AD1669" s="6">
        <f>$O$1669*$X$1669</f>
        <v>-46481.248500000002</v>
      </c>
      <c r="AE1669" s="6">
        <f>$K$1669*$Y$1669</f>
        <v>0</v>
      </c>
      <c r="AF1669" s="6">
        <f ca="1">$M$1669*$Z$1669</f>
        <v>-96768.083573143726</v>
      </c>
      <c r="AG1669" s="6">
        <f>$O$1669*$AA$1669</f>
        <v>-56778.89184818379</v>
      </c>
    </row>
    <row r="1670" spans="1:33" ht="11.25" customHeight="1" x14ac:dyDescent="0.25">
      <c r="A1670" s="4" t="s">
        <v>30</v>
      </c>
      <c r="B1670" s="4" t="s">
        <v>22</v>
      </c>
      <c r="C1670" s="4" t="s">
        <v>23</v>
      </c>
      <c r="D1670" s="4" t="s">
        <v>24</v>
      </c>
      <c r="E1670" s="4" t="s">
        <v>24</v>
      </c>
      <c r="F1670" s="4" t="s">
        <v>25</v>
      </c>
      <c r="G1670" s="4" t="s">
        <v>25</v>
      </c>
      <c r="H1670" s="4" t="s">
        <v>25</v>
      </c>
      <c r="I1670" s="5">
        <v>44136</v>
      </c>
      <c r="J1670" s="6">
        <v>0</v>
      </c>
      <c r="K1670" s="6">
        <v>0</v>
      </c>
      <c r="L1670" s="6">
        <v>1078.807</v>
      </c>
      <c r="M1670" s="6">
        <v>1078.807</v>
      </c>
      <c r="N1670" s="6">
        <v>1078.807</v>
      </c>
      <c r="O1670" s="6">
        <v>1078.807</v>
      </c>
      <c r="P1670" s="6">
        <v>1344</v>
      </c>
      <c r="Q1670" s="4" t="s">
        <v>26</v>
      </c>
      <c r="R1670" s="4">
        <v>0</v>
      </c>
      <c r="S1670" s="6">
        <v>0</v>
      </c>
      <c r="T1670" s="6">
        <v>13</v>
      </c>
      <c r="U1670" s="6">
        <v>58</v>
      </c>
      <c r="V1670" s="6">
        <f>IF(ISERROR(VLOOKUP($S$1670,'TAR FIN'!$A$1:$O$95,15,0)),0,VLOOKUP($S$1670,'TAR FIN'!$A$1:$O$95,15,0))</f>
        <v>0</v>
      </c>
      <c r="W1670" s="6">
        <f>IF(ISERROR(VLOOKUP($T$1670,'TAR FIN'!$A$1:$O$95,15,0)),0,VLOOKUP($T$1670,'TAR FIN'!$A$1:$O$95,15,0))</f>
        <v>450.19</v>
      </c>
      <c r="X1670" s="6">
        <f>IF(ISERROR(VLOOKUP($U$1670,'TAR FIN'!$A$1:$O$95,15,0)),0,VLOOKUP($U$1670,'TAR FIN'!$A$1:$O$95,15,0))</f>
        <v>243.3</v>
      </c>
      <c r="Y1670" s="6"/>
      <c r="Z1670" s="6">
        <f ca="1">('TUSD BE'!$AM$25+'TUSD BF'!$AM$25+'TUSD CVA'!$AM$25)*1</f>
        <v>506.5198438752322</v>
      </c>
      <c r="AA1670" s="6">
        <f>('TE BE'!$AA$13+'TE BF'!$AA$13+'TE CVA'!$AA$13)*1</f>
        <v>297.20166373463735</v>
      </c>
      <c r="AB1670" s="6">
        <f>$K$1670*$V$1670</f>
        <v>0</v>
      </c>
      <c r="AC1670" s="6">
        <f>$M$1670*$W$1670</f>
        <v>485668.12333000003</v>
      </c>
      <c r="AD1670" s="6">
        <f>$O$1670*$X$1670</f>
        <v>262473.74310000002</v>
      </c>
      <c r="AE1670" s="6">
        <f>$K$1670*$Y$1670</f>
        <v>0</v>
      </c>
      <c r="AF1670" s="6">
        <f ca="1">$M$1670*$Z$1670</f>
        <v>546437.1532115076</v>
      </c>
      <c r="AG1670" s="6">
        <f>$O$1670*$AA$1670</f>
        <v>320623.23524857289</v>
      </c>
    </row>
    <row r="1671" spans="1:33" ht="11.25" customHeight="1" x14ac:dyDescent="0.25">
      <c r="A1671" s="4" t="s">
        <v>30</v>
      </c>
      <c r="B1671" s="4" t="s">
        <v>22</v>
      </c>
      <c r="C1671" s="4" t="s">
        <v>23</v>
      </c>
      <c r="D1671" s="4" t="s">
        <v>24</v>
      </c>
      <c r="E1671" s="4" t="s">
        <v>24</v>
      </c>
      <c r="F1671" s="4" t="s">
        <v>25</v>
      </c>
      <c r="G1671" s="4" t="s">
        <v>25</v>
      </c>
      <c r="H1671" s="4" t="s">
        <v>25</v>
      </c>
      <c r="I1671" s="5">
        <v>44136</v>
      </c>
      <c r="J1671" s="6">
        <v>0</v>
      </c>
      <c r="K1671" s="6">
        <v>0</v>
      </c>
      <c r="L1671" s="6">
        <v>1.1519999999999999</v>
      </c>
      <c r="M1671" s="6">
        <v>1.1519999999999999</v>
      </c>
      <c r="N1671" s="6">
        <v>1.1519999999999999</v>
      </c>
      <c r="O1671" s="6">
        <v>1.1519999999999999</v>
      </c>
      <c r="P1671" s="6">
        <v>2</v>
      </c>
      <c r="Q1671" s="4" t="s">
        <v>26</v>
      </c>
      <c r="R1671" s="4">
        <v>0</v>
      </c>
      <c r="S1671" s="6">
        <v>0</v>
      </c>
      <c r="T1671" s="6">
        <v>13</v>
      </c>
      <c r="U1671" s="6">
        <v>58</v>
      </c>
      <c r="V1671" s="6">
        <f>IF(ISERROR(VLOOKUP($S$1671,'TAR FIN'!$A$1:$O$95,15,0)),0,VLOOKUP($S$1671,'TAR FIN'!$A$1:$O$95,15,0))</f>
        <v>0</v>
      </c>
      <c r="W1671" s="6">
        <f>IF(ISERROR(VLOOKUP($T$1671,'TAR FIN'!$A$1:$O$95,15,0)),0,VLOOKUP($T$1671,'TAR FIN'!$A$1:$O$95,15,0))</f>
        <v>450.19</v>
      </c>
      <c r="X1671" s="6">
        <f>IF(ISERROR(VLOOKUP($U$1671,'TAR FIN'!$A$1:$O$95,15,0)),0,VLOOKUP($U$1671,'TAR FIN'!$A$1:$O$95,15,0))</f>
        <v>243.3</v>
      </c>
      <c r="Y1671" s="6"/>
      <c r="Z1671" s="6">
        <f ca="1">('TUSD BE'!$AM$25+'TUSD BF'!$AM$25+'TUSD CVA'!$AM$25)*1</f>
        <v>506.5198438752322</v>
      </c>
      <c r="AA1671" s="6">
        <f>('TE BE'!$AA$13+'TE BF'!$AA$13+'TE CVA'!$AA$13)*1</f>
        <v>297.20166373463735</v>
      </c>
      <c r="AB1671" s="6">
        <f>$K$1671*$V$1671</f>
        <v>0</v>
      </c>
      <c r="AC1671" s="6">
        <f>$M$1671*$W$1671</f>
        <v>518.61887999999999</v>
      </c>
      <c r="AD1671" s="6">
        <f>$O$1671*$X$1671</f>
        <v>280.28159999999997</v>
      </c>
      <c r="AE1671" s="6">
        <f>$K$1671*$Y$1671</f>
        <v>0</v>
      </c>
      <c r="AF1671" s="6">
        <f ca="1">$M$1671*$Z$1671</f>
        <v>583.51086014426744</v>
      </c>
      <c r="AG1671" s="6">
        <f>$O$1671*$AA$1671</f>
        <v>342.37631662230223</v>
      </c>
    </row>
    <row r="1672" spans="1:33" ht="11.25" customHeight="1" x14ac:dyDescent="0.25">
      <c r="A1672" s="4" t="s">
        <v>21</v>
      </c>
      <c r="B1672" s="4" t="s">
        <v>22</v>
      </c>
      <c r="C1672" s="4" t="s">
        <v>23</v>
      </c>
      <c r="D1672" s="4" t="s">
        <v>24</v>
      </c>
      <c r="E1672" s="4" t="s">
        <v>24</v>
      </c>
      <c r="F1672" s="4" t="s">
        <v>25</v>
      </c>
      <c r="G1672" s="4" t="s">
        <v>25</v>
      </c>
      <c r="H1672" s="4" t="s">
        <v>25</v>
      </c>
      <c r="I1672" s="5">
        <v>44166</v>
      </c>
      <c r="J1672" s="6">
        <v>0</v>
      </c>
      <c r="K1672" s="6">
        <v>0</v>
      </c>
      <c r="L1672" s="6">
        <v>113730.001</v>
      </c>
      <c r="M1672" s="6">
        <v>113730.001</v>
      </c>
      <c r="N1672" s="6">
        <v>113730.001</v>
      </c>
      <c r="O1672" s="6">
        <v>113730.001</v>
      </c>
      <c r="P1672" s="6">
        <v>507085</v>
      </c>
      <c r="Q1672" s="4" t="s">
        <v>26</v>
      </c>
      <c r="R1672" s="4">
        <v>0</v>
      </c>
      <c r="S1672" s="6">
        <v>0</v>
      </c>
      <c r="T1672" s="6">
        <v>13</v>
      </c>
      <c r="U1672" s="6">
        <v>58</v>
      </c>
      <c r="V1672" s="6">
        <f>IF(ISERROR(VLOOKUP($S$1672,'TAR FIN'!$A$1:$O$95,15,0)),0,VLOOKUP($S$1672,'TAR FIN'!$A$1:$O$95,15,0))</f>
        <v>0</v>
      </c>
      <c r="W1672" s="6">
        <f>IF(ISERROR(VLOOKUP($T$1672,'TAR FIN'!$A$1:$O$95,15,0)),0,VLOOKUP($T$1672,'TAR FIN'!$A$1:$O$95,15,0))</f>
        <v>450.19</v>
      </c>
      <c r="X1672" s="6">
        <f>IF(ISERROR(VLOOKUP($U$1672,'TAR FIN'!$A$1:$O$95,15,0)),0,VLOOKUP($U$1672,'TAR FIN'!$A$1:$O$95,15,0))</f>
        <v>243.3</v>
      </c>
      <c r="Y1672" s="6"/>
      <c r="Z1672" s="6">
        <f ca="1">('TUSD BE'!$AM$25+'TUSD BF'!$AM$25+'TUSD CVA'!$AM$25)*1</f>
        <v>506.5198438752322</v>
      </c>
      <c r="AA1672" s="6">
        <f>('TE BE'!$AA$13+'TE BF'!$AA$13+'TE CVA'!$AA$13)*1</f>
        <v>297.20166373463735</v>
      </c>
      <c r="AB1672" s="6">
        <f>$K$1672*$V$1672</f>
        <v>0</v>
      </c>
      <c r="AC1672" s="6">
        <f>$M$1672*$W$1672</f>
        <v>51200109.150190003</v>
      </c>
      <c r="AD1672" s="6">
        <f>$O$1672*$X$1672</f>
        <v>27670509.243300002</v>
      </c>
      <c r="AE1672" s="6">
        <f>$K$1672*$Y$1672</f>
        <v>0</v>
      </c>
      <c r="AF1672" s="6">
        <f ca="1">$M$1672*$Z$1672</f>
        <v>57606502.350450002</v>
      </c>
      <c r="AG1672" s="6">
        <f>$O$1672*$AA$1672</f>
        <v>33800745.51374197</v>
      </c>
    </row>
    <row r="1673" spans="1:33" ht="11.25" customHeight="1" x14ac:dyDescent="0.25">
      <c r="A1673" s="4" t="s">
        <v>27</v>
      </c>
      <c r="B1673" s="4" t="s">
        <v>22</v>
      </c>
      <c r="C1673" s="4" t="s">
        <v>23</v>
      </c>
      <c r="D1673" s="4" t="s">
        <v>24</v>
      </c>
      <c r="E1673" s="4" t="s">
        <v>24</v>
      </c>
      <c r="F1673" s="4" t="s">
        <v>25</v>
      </c>
      <c r="G1673" s="4" t="s">
        <v>25</v>
      </c>
      <c r="H1673" s="4" t="s">
        <v>25</v>
      </c>
      <c r="I1673" s="5">
        <v>44166</v>
      </c>
      <c r="J1673" s="6">
        <v>0</v>
      </c>
      <c r="K1673" s="6">
        <v>0</v>
      </c>
      <c r="L1673" s="6">
        <v>-3118.55</v>
      </c>
      <c r="M1673" s="6">
        <v>-3118.55</v>
      </c>
      <c r="N1673" s="6">
        <v>-3118.55</v>
      </c>
      <c r="O1673" s="6">
        <v>-3118.55</v>
      </c>
      <c r="P1673" s="6">
        <v>0</v>
      </c>
      <c r="Q1673" s="4" t="s">
        <v>26</v>
      </c>
      <c r="R1673" s="4">
        <v>0</v>
      </c>
      <c r="S1673" s="6">
        <v>0</v>
      </c>
      <c r="T1673" s="6">
        <v>13</v>
      </c>
      <c r="U1673" s="6">
        <v>58</v>
      </c>
      <c r="V1673" s="6">
        <f>IF(ISERROR(VLOOKUP($S$1673,'TAR FIN'!$A$1:$O$95,15,0)),0,VLOOKUP($S$1673,'TAR FIN'!$A$1:$O$95,15,0))</f>
        <v>0</v>
      </c>
      <c r="W1673" s="6">
        <f>IF(ISERROR(VLOOKUP($T$1673,'TAR FIN'!$A$1:$O$95,15,0)),0,VLOOKUP($T$1673,'TAR FIN'!$A$1:$O$95,15,0))</f>
        <v>450.19</v>
      </c>
      <c r="X1673" s="6">
        <f>IF(ISERROR(VLOOKUP($U$1673,'TAR FIN'!$A$1:$O$95,15,0)),0,VLOOKUP($U$1673,'TAR FIN'!$A$1:$O$95,15,0))</f>
        <v>243.3</v>
      </c>
      <c r="Y1673" s="6"/>
      <c r="Z1673" s="6">
        <f ca="1">('TUSD BE'!$AM$25+'TUSD BF'!$AM$25+'TUSD CVA'!$AM$25)*1</f>
        <v>506.5198438752322</v>
      </c>
      <c r="AA1673" s="6">
        <f>('TE BE'!$AA$13+'TE BF'!$AA$13+'TE CVA'!$AA$13)*1</f>
        <v>297.20166373463735</v>
      </c>
      <c r="AB1673" s="6">
        <f>$K$1673*$V$1673</f>
        <v>0</v>
      </c>
      <c r="AC1673" s="6">
        <f>$M$1673*$W$1673</f>
        <v>-1403940.0245000001</v>
      </c>
      <c r="AD1673" s="6">
        <f>$O$1673*$X$1673</f>
        <v>-758743.21500000008</v>
      </c>
      <c r="AE1673" s="6">
        <f>$K$1673*$Y$1673</f>
        <v>0</v>
      </c>
      <c r="AF1673" s="6">
        <f ca="1">$M$1673*$Z$1673</f>
        <v>-1579607.4591171055</v>
      </c>
      <c r="AG1673" s="6">
        <f>$O$1673*$AA$1673</f>
        <v>-926838.24843965331</v>
      </c>
    </row>
    <row r="1674" spans="1:33" ht="11.25" customHeight="1" x14ac:dyDescent="0.25">
      <c r="A1674" s="4" t="s">
        <v>28</v>
      </c>
      <c r="B1674" s="4" t="s">
        <v>22</v>
      </c>
      <c r="C1674" s="4" t="s">
        <v>23</v>
      </c>
      <c r="D1674" s="4" t="s">
        <v>24</v>
      </c>
      <c r="E1674" s="4" t="s">
        <v>24</v>
      </c>
      <c r="F1674" s="4" t="s">
        <v>25</v>
      </c>
      <c r="G1674" s="4" t="s">
        <v>25</v>
      </c>
      <c r="H1674" s="4" t="s">
        <v>25</v>
      </c>
      <c r="I1674" s="5">
        <v>44166</v>
      </c>
      <c r="J1674" s="6">
        <v>0</v>
      </c>
      <c r="K1674" s="6">
        <v>0</v>
      </c>
      <c r="L1674" s="6">
        <v>33189.286999999997</v>
      </c>
      <c r="M1674" s="6">
        <v>33189.286999999997</v>
      </c>
      <c r="N1674" s="6">
        <v>33189.286999999997</v>
      </c>
      <c r="O1674" s="6">
        <v>33189.286999999997</v>
      </c>
      <c r="P1674" s="6">
        <v>184126</v>
      </c>
      <c r="Q1674" s="4" t="s">
        <v>26</v>
      </c>
      <c r="R1674" s="4">
        <v>0</v>
      </c>
      <c r="S1674" s="6">
        <v>0</v>
      </c>
      <c r="T1674" s="6">
        <v>13</v>
      </c>
      <c r="U1674" s="6">
        <v>58</v>
      </c>
      <c r="V1674" s="6">
        <f>IF(ISERROR(VLOOKUP($S$1674,'TAR FIN'!$A$1:$O$95,15,0)),0,VLOOKUP($S$1674,'TAR FIN'!$A$1:$O$95,15,0))</f>
        <v>0</v>
      </c>
      <c r="W1674" s="6">
        <f>IF(ISERROR(VLOOKUP($T$1674,'TAR FIN'!$A$1:$O$95,15,0)),0,VLOOKUP($T$1674,'TAR FIN'!$A$1:$O$95,15,0))</f>
        <v>450.19</v>
      </c>
      <c r="X1674" s="6">
        <f>IF(ISERROR(VLOOKUP($U$1674,'TAR FIN'!$A$1:$O$95,15,0)),0,VLOOKUP($U$1674,'TAR FIN'!$A$1:$O$95,15,0))</f>
        <v>243.3</v>
      </c>
      <c r="Y1674" s="6"/>
      <c r="Z1674" s="6">
        <f ca="1">('TUSD BE'!$AM$25+'TUSD BF'!$AM$25+'TUSD CVA'!$AM$25)*1</f>
        <v>506.5198438752322</v>
      </c>
      <c r="AA1674" s="6">
        <f>('TE BE'!$AA$13+'TE BF'!$AA$13+'TE CVA'!$AA$13)*1</f>
        <v>297.20166373463735</v>
      </c>
      <c r="AB1674" s="6">
        <f>$K$1674*$V$1674</f>
        <v>0</v>
      </c>
      <c r="AC1674" s="6">
        <f>$M$1674*$W$1674</f>
        <v>14941485.114529999</v>
      </c>
      <c r="AD1674" s="6">
        <f>$O$1674*$X$1674</f>
        <v>8074953.5270999996</v>
      </c>
      <c r="AE1674" s="6">
        <f>$K$1674*$Y$1674</f>
        <v>0</v>
      </c>
      <c r="AF1674" s="6">
        <f ca="1">$M$1674*$Z$1674</f>
        <v>16811032.469570272</v>
      </c>
      <c r="AG1674" s="6">
        <f>$O$1674*$AA$1674</f>
        <v>9863911.3145663701</v>
      </c>
    </row>
    <row r="1675" spans="1:33" ht="11.25" customHeight="1" x14ac:dyDescent="0.25">
      <c r="A1675" s="4" t="s">
        <v>29</v>
      </c>
      <c r="B1675" s="4" t="s">
        <v>22</v>
      </c>
      <c r="C1675" s="4" t="s">
        <v>23</v>
      </c>
      <c r="D1675" s="4" t="s">
        <v>24</v>
      </c>
      <c r="E1675" s="4" t="s">
        <v>24</v>
      </c>
      <c r="F1675" s="4" t="s">
        <v>25</v>
      </c>
      <c r="G1675" s="4" t="s">
        <v>25</v>
      </c>
      <c r="H1675" s="4" t="s">
        <v>25</v>
      </c>
      <c r="I1675" s="5">
        <v>44166</v>
      </c>
      <c r="J1675" s="6">
        <v>0</v>
      </c>
      <c r="K1675" s="6">
        <v>0</v>
      </c>
      <c r="L1675" s="6">
        <v>-546.63599999999997</v>
      </c>
      <c r="M1675" s="6">
        <v>-546.63599999999997</v>
      </c>
      <c r="N1675" s="6">
        <v>-546.63599999999997</v>
      </c>
      <c r="O1675" s="6">
        <v>-546.63599999999997</v>
      </c>
      <c r="P1675" s="6">
        <v>0</v>
      </c>
      <c r="Q1675" s="4" t="s">
        <v>26</v>
      </c>
      <c r="R1675" s="4">
        <v>0</v>
      </c>
      <c r="S1675" s="6">
        <v>0</v>
      </c>
      <c r="T1675" s="6">
        <v>13</v>
      </c>
      <c r="U1675" s="6">
        <v>58</v>
      </c>
      <c r="V1675" s="6">
        <f>IF(ISERROR(VLOOKUP($S$1675,'TAR FIN'!$A$1:$O$95,15,0)),0,VLOOKUP($S$1675,'TAR FIN'!$A$1:$O$95,15,0))</f>
        <v>0</v>
      </c>
      <c r="W1675" s="6">
        <f>IF(ISERROR(VLOOKUP($T$1675,'TAR FIN'!$A$1:$O$95,15,0)),0,VLOOKUP($T$1675,'TAR FIN'!$A$1:$O$95,15,0))</f>
        <v>450.19</v>
      </c>
      <c r="X1675" s="6">
        <f>IF(ISERROR(VLOOKUP($U$1675,'TAR FIN'!$A$1:$O$95,15,0)),0,VLOOKUP($U$1675,'TAR FIN'!$A$1:$O$95,15,0))</f>
        <v>243.3</v>
      </c>
      <c r="Y1675" s="6"/>
      <c r="Z1675" s="6">
        <f ca="1">('TUSD BE'!$AM$25+'TUSD BF'!$AM$25+'TUSD CVA'!$AM$25)*1</f>
        <v>506.5198438752322</v>
      </c>
      <c r="AA1675" s="6">
        <f>('TE BE'!$AA$13+'TE BF'!$AA$13+'TE CVA'!$AA$13)*1</f>
        <v>297.20166373463735</v>
      </c>
      <c r="AB1675" s="6">
        <f>$K$1675*$V$1675</f>
        <v>0</v>
      </c>
      <c r="AC1675" s="6">
        <f>$M$1675*$W$1675</f>
        <v>-246090.06083999999</v>
      </c>
      <c r="AD1675" s="6">
        <f>$O$1675*$X$1675</f>
        <v>-132996.53880000001</v>
      </c>
      <c r="AE1675" s="6">
        <f>$K$1675*$Y$1675</f>
        <v>0</v>
      </c>
      <c r="AF1675" s="6">
        <f ca="1">$M$1675*$Z$1675</f>
        <v>-276881.98137658142</v>
      </c>
      <c r="AG1675" s="6">
        <f>$O$1675*$AA$1675</f>
        <v>-162461.1286572472</v>
      </c>
    </row>
    <row r="1676" spans="1:33" ht="11.25" customHeight="1" x14ac:dyDescent="0.25">
      <c r="A1676" s="4" t="s">
        <v>30</v>
      </c>
      <c r="B1676" s="4" t="s">
        <v>22</v>
      </c>
      <c r="C1676" s="4" t="s">
        <v>23</v>
      </c>
      <c r="D1676" s="4" t="s">
        <v>24</v>
      </c>
      <c r="E1676" s="4" t="s">
        <v>24</v>
      </c>
      <c r="F1676" s="4" t="s">
        <v>25</v>
      </c>
      <c r="G1676" s="4" t="s">
        <v>25</v>
      </c>
      <c r="H1676" s="4" t="s">
        <v>25</v>
      </c>
      <c r="I1676" s="5">
        <v>44166</v>
      </c>
      <c r="J1676" s="6">
        <v>0</v>
      </c>
      <c r="K1676" s="6">
        <v>0</v>
      </c>
      <c r="L1676" s="6">
        <v>1095.4090000000001</v>
      </c>
      <c r="M1676" s="6">
        <v>1095.4090000000001</v>
      </c>
      <c r="N1676" s="6">
        <v>1095.4090000000001</v>
      </c>
      <c r="O1676" s="6">
        <v>1095.4090000000001</v>
      </c>
      <c r="P1676" s="6">
        <v>1470</v>
      </c>
      <c r="Q1676" s="4" t="s">
        <v>26</v>
      </c>
      <c r="R1676" s="4">
        <v>0</v>
      </c>
      <c r="S1676" s="6">
        <v>0</v>
      </c>
      <c r="T1676" s="6">
        <v>13</v>
      </c>
      <c r="U1676" s="6">
        <v>58</v>
      </c>
      <c r="V1676" s="6">
        <f>IF(ISERROR(VLOOKUP($S$1676,'TAR FIN'!$A$1:$O$95,15,0)),0,VLOOKUP($S$1676,'TAR FIN'!$A$1:$O$95,15,0))</f>
        <v>0</v>
      </c>
      <c r="W1676" s="6">
        <f>IF(ISERROR(VLOOKUP($T$1676,'TAR FIN'!$A$1:$O$95,15,0)),0,VLOOKUP($T$1676,'TAR FIN'!$A$1:$O$95,15,0))</f>
        <v>450.19</v>
      </c>
      <c r="X1676" s="6">
        <f>IF(ISERROR(VLOOKUP($U$1676,'TAR FIN'!$A$1:$O$95,15,0)),0,VLOOKUP($U$1676,'TAR FIN'!$A$1:$O$95,15,0))</f>
        <v>243.3</v>
      </c>
      <c r="Y1676" s="6"/>
      <c r="Z1676" s="6">
        <f ca="1">('TUSD BE'!$AM$25+'TUSD BF'!$AM$25+'TUSD CVA'!$AM$25)*1</f>
        <v>506.5198438752322</v>
      </c>
      <c r="AA1676" s="6">
        <f>('TE BE'!$AA$13+'TE BF'!$AA$13+'TE CVA'!$AA$13)*1</f>
        <v>297.20166373463735</v>
      </c>
      <c r="AB1676" s="6">
        <f>$K$1676*$V$1676</f>
        <v>0</v>
      </c>
      <c r="AC1676" s="6">
        <f>$M$1676*$W$1676</f>
        <v>493142.17771000002</v>
      </c>
      <c r="AD1676" s="6">
        <f>$O$1676*$X$1676</f>
        <v>266513.00970000005</v>
      </c>
      <c r="AE1676" s="6">
        <f>$K$1676*$Y$1676</f>
        <v>0</v>
      </c>
      <c r="AF1676" s="6">
        <f ca="1">$M$1676*$Z$1676</f>
        <v>554846.39565952425</v>
      </c>
      <c r="AG1676" s="6">
        <f>$O$1676*$AA$1676</f>
        <v>325557.3772698954</v>
      </c>
    </row>
    <row r="1677" spans="1:33" ht="11.25" customHeight="1" x14ac:dyDescent="0.25">
      <c r="A1677" s="4" t="s">
        <v>30</v>
      </c>
      <c r="B1677" s="4" t="s">
        <v>22</v>
      </c>
      <c r="C1677" s="4" t="s">
        <v>23</v>
      </c>
      <c r="D1677" s="4" t="s">
        <v>24</v>
      </c>
      <c r="E1677" s="4" t="s">
        <v>24</v>
      </c>
      <c r="F1677" s="4" t="s">
        <v>25</v>
      </c>
      <c r="G1677" s="4" t="s">
        <v>25</v>
      </c>
      <c r="H1677" s="4" t="s">
        <v>25</v>
      </c>
      <c r="I1677" s="5">
        <v>44166</v>
      </c>
      <c r="J1677" s="6">
        <v>0</v>
      </c>
      <c r="K1677" s="6">
        <v>0</v>
      </c>
      <c r="L1677" s="6">
        <v>-12.029</v>
      </c>
      <c r="M1677" s="6">
        <v>-12.029</v>
      </c>
      <c r="N1677" s="6">
        <v>-12.029</v>
      </c>
      <c r="O1677" s="6">
        <v>-12.029</v>
      </c>
      <c r="P1677" s="6">
        <v>0</v>
      </c>
      <c r="Q1677" s="4" t="s">
        <v>26</v>
      </c>
      <c r="R1677" s="4">
        <v>0</v>
      </c>
      <c r="S1677" s="6">
        <v>0</v>
      </c>
      <c r="T1677" s="6">
        <v>13</v>
      </c>
      <c r="U1677" s="6">
        <v>58</v>
      </c>
      <c r="V1677" s="6">
        <f>IF(ISERROR(VLOOKUP($S$1677,'TAR FIN'!$A$1:$O$95,15,0)),0,VLOOKUP($S$1677,'TAR FIN'!$A$1:$O$95,15,0))</f>
        <v>0</v>
      </c>
      <c r="W1677" s="6">
        <f>IF(ISERROR(VLOOKUP($T$1677,'TAR FIN'!$A$1:$O$95,15,0)),0,VLOOKUP($T$1677,'TAR FIN'!$A$1:$O$95,15,0))</f>
        <v>450.19</v>
      </c>
      <c r="X1677" s="6">
        <f>IF(ISERROR(VLOOKUP($U$1677,'TAR FIN'!$A$1:$O$95,15,0)),0,VLOOKUP($U$1677,'TAR FIN'!$A$1:$O$95,15,0))</f>
        <v>243.3</v>
      </c>
      <c r="Y1677" s="6"/>
      <c r="Z1677" s="6">
        <f ca="1">('TUSD BE'!$AM$25+'TUSD BF'!$AM$25+'TUSD CVA'!$AM$25)*1</f>
        <v>506.5198438752322</v>
      </c>
      <c r="AA1677" s="6">
        <f>('TE BE'!$AA$13+'TE BF'!$AA$13+'TE CVA'!$AA$13)*1</f>
        <v>297.20166373463735</v>
      </c>
      <c r="AB1677" s="6">
        <f>$K$1677*$V$1677</f>
        <v>0</v>
      </c>
      <c r="AC1677" s="6">
        <f>$M$1677*$W$1677</f>
        <v>-5415.3355099999999</v>
      </c>
      <c r="AD1677" s="6">
        <f>$O$1677*$X$1677</f>
        <v>-2926.6557000000003</v>
      </c>
      <c r="AE1677" s="6">
        <f>$K$1677*$Y$1677</f>
        <v>0</v>
      </c>
      <c r="AF1677" s="6">
        <f ca="1">$M$1677*$Z$1677</f>
        <v>-6092.9272019751679</v>
      </c>
      <c r="AG1677" s="6">
        <f>$O$1677*$AA$1677</f>
        <v>-3575.0388130639526</v>
      </c>
    </row>
    <row r="1678" spans="1:33" ht="11.25" customHeight="1" x14ac:dyDescent="0.25">
      <c r="A1678" s="4" t="s">
        <v>21</v>
      </c>
      <c r="B1678" s="4" t="s">
        <v>22</v>
      </c>
      <c r="C1678" s="4" t="s">
        <v>23</v>
      </c>
      <c r="D1678" s="4" t="s">
        <v>24</v>
      </c>
      <c r="E1678" s="4" t="s">
        <v>24</v>
      </c>
      <c r="F1678" s="4" t="s">
        <v>25</v>
      </c>
      <c r="G1678" s="4" t="s">
        <v>25</v>
      </c>
      <c r="H1678" s="4" t="s">
        <v>25</v>
      </c>
      <c r="I1678" s="5">
        <v>44197</v>
      </c>
      <c r="J1678" s="6">
        <v>0</v>
      </c>
      <c r="K1678" s="6">
        <v>0</v>
      </c>
      <c r="L1678" s="6">
        <v>104942.537</v>
      </c>
      <c r="M1678" s="6">
        <v>104942.537</v>
      </c>
      <c r="N1678" s="6">
        <v>104942.537</v>
      </c>
      <c r="O1678" s="6">
        <v>104942.537</v>
      </c>
      <c r="P1678" s="6">
        <v>505636</v>
      </c>
      <c r="Q1678" s="4" t="s">
        <v>26</v>
      </c>
      <c r="R1678" s="4">
        <v>0</v>
      </c>
      <c r="S1678" s="6">
        <v>0</v>
      </c>
      <c r="T1678" s="6">
        <v>13</v>
      </c>
      <c r="U1678" s="6">
        <v>58</v>
      </c>
      <c r="V1678" s="6">
        <f>IF(ISERROR(VLOOKUP($S$1678,'TAR FIN'!$A$1:$O$95,15,0)),0,VLOOKUP($S$1678,'TAR FIN'!$A$1:$O$95,15,0))</f>
        <v>0</v>
      </c>
      <c r="W1678" s="6">
        <f>IF(ISERROR(VLOOKUP($T$1678,'TAR FIN'!$A$1:$O$95,15,0)),0,VLOOKUP($T$1678,'TAR FIN'!$A$1:$O$95,15,0))</f>
        <v>450.19</v>
      </c>
      <c r="X1678" s="6">
        <f>IF(ISERROR(VLOOKUP($U$1678,'TAR FIN'!$A$1:$O$95,15,0)),0,VLOOKUP($U$1678,'TAR FIN'!$A$1:$O$95,15,0))</f>
        <v>243.3</v>
      </c>
      <c r="Y1678" s="6"/>
      <c r="Z1678" s="6">
        <f ca="1">('TUSD BE'!$AM$25+'TUSD BF'!$AM$25+'TUSD CVA'!$AM$25)*1</f>
        <v>506.5198438752322</v>
      </c>
      <c r="AA1678" s="6">
        <f>('TE BE'!$AA$13+'TE BF'!$AA$13+'TE CVA'!$AA$13)*1</f>
        <v>297.20166373463735</v>
      </c>
      <c r="AB1678" s="6">
        <f>$K$1678*$V$1678</f>
        <v>0</v>
      </c>
      <c r="AC1678" s="6">
        <f>$M$1678*$W$1678</f>
        <v>47244080.732029997</v>
      </c>
      <c r="AD1678" s="6">
        <f>$O$1678*$X$1678</f>
        <v>25532519.252100002</v>
      </c>
      <c r="AE1678" s="6">
        <f>$K$1678*$Y$1678</f>
        <v>0</v>
      </c>
      <c r="AF1678" s="6">
        <f ca="1">$M$1678*$Z$1678</f>
        <v>53155477.457110777</v>
      </c>
      <c r="AG1678" s="6">
        <f>$O$1678*$AA$1678</f>
        <v>31189096.592933737</v>
      </c>
    </row>
    <row r="1679" spans="1:33" ht="11.25" customHeight="1" x14ac:dyDescent="0.25">
      <c r="A1679" s="4" t="s">
        <v>27</v>
      </c>
      <c r="B1679" s="4" t="s">
        <v>22</v>
      </c>
      <c r="C1679" s="4" t="s">
        <v>23</v>
      </c>
      <c r="D1679" s="4" t="s">
        <v>24</v>
      </c>
      <c r="E1679" s="4" t="s">
        <v>24</v>
      </c>
      <c r="F1679" s="4" t="s">
        <v>25</v>
      </c>
      <c r="G1679" s="4" t="s">
        <v>25</v>
      </c>
      <c r="H1679" s="4" t="s">
        <v>25</v>
      </c>
      <c r="I1679" s="5">
        <v>44197</v>
      </c>
      <c r="J1679" s="6">
        <v>0</v>
      </c>
      <c r="K1679" s="6">
        <v>0</v>
      </c>
      <c r="L1679" s="6">
        <v>-2255.3240000000001</v>
      </c>
      <c r="M1679" s="6">
        <v>-2255.3240000000001</v>
      </c>
      <c r="N1679" s="6">
        <v>-2255.3240000000001</v>
      </c>
      <c r="O1679" s="6">
        <v>-2255.3240000000001</v>
      </c>
      <c r="P1679" s="6">
        <v>0</v>
      </c>
      <c r="Q1679" s="4" t="s">
        <v>26</v>
      </c>
      <c r="R1679" s="4">
        <v>0</v>
      </c>
      <c r="S1679" s="6">
        <v>0</v>
      </c>
      <c r="T1679" s="6">
        <v>13</v>
      </c>
      <c r="U1679" s="6">
        <v>58</v>
      </c>
      <c r="V1679" s="6">
        <f>IF(ISERROR(VLOOKUP($S$1679,'TAR FIN'!$A$1:$O$95,15,0)),0,VLOOKUP($S$1679,'TAR FIN'!$A$1:$O$95,15,0))</f>
        <v>0</v>
      </c>
      <c r="W1679" s="6">
        <f>IF(ISERROR(VLOOKUP($T$1679,'TAR FIN'!$A$1:$O$95,15,0)),0,VLOOKUP($T$1679,'TAR FIN'!$A$1:$O$95,15,0))</f>
        <v>450.19</v>
      </c>
      <c r="X1679" s="6">
        <f>IF(ISERROR(VLOOKUP($U$1679,'TAR FIN'!$A$1:$O$95,15,0)),0,VLOOKUP($U$1679,'TAR FIN'!$A$1:$O$95,15,0))</f>
        <v>243.3</v>
      </c>
      <c r="Y1679" s="6"/>
      <c r="Z1679" s="6">
        <f ca="1">('TUSD BE'!$AM$25+'TUSD BF'!$AM$25+'TUSD CVA'!$AM$25)*1</f>
        <v>506.5198438752322</v>
      </c>
      <c r="AA1679" s="6">
        <f>('TE BE'!$AA$13+'TE BF'!$AA$13+'TE CVA'!$AA$13)*1</f>
        <v>297.20166373463735</v>
      </c>
      <c r="AB1679" s="6">
        <f>$K$1679*$V$1679</f>
        <v>0</v>
      </c>
      <c r="AC1679" s="6">
        <f>$M$1679*$W$1679</f>
        <v>-1015324.3115600001</v>
      </c>
      <c r="AD1679" s="6">
        <f>$O$1679*$X$1679</f>
        <v>-548720.32920000004</v>
      </c>
      <c r="AE1679" s="6">
        <f>$K$1679*$Y$1679</f>
        <v>0</v>
      </c>
      <c r="AF1679" s="6">
        <f ca="1">$M$1679*$Z$1679</f>
        <v>-1142366.3603680641</v>
      </c>
      <c r="AG1679" s="6">
        <f>$O$1679*$AA$1679</f>
        <v>-670286.04506065731</v>
      </c>
    </row>
    <row r="1680" spans="1:33" ht="11.25" customHeight="1" x14ac:dyDescent="0.25">
      <c r="A1680" s="4" t="s">
        <v>28</v>
      </c>
      <c r="B1680" s="4" t="s">
        <v>22</v>
      </c>
      <c r="C1680" s="4" t="s">
        <v>23</v>
      </c>
      <c r="D1680" s="4" t="s">
        <v>24</v>
      </c>
      <c r="E1680" s="4" t="s">
        <v>24</v>
      </c>
      <c r="F1680" s="4" t="s">
        <v>25</v>
      </c>
      <c r="G1680" s="4" t="s">
        <v>25</v>
      </c>
      <c r="H1680" s="4" t="s">
        <v>25</v>
      </c>
      <c r="I1680" s="5">
        <v>44197</v>
      </c>
      <c r="J1680" s="6">
        <v>0</v>
      </c>
      <c r="K1680" s="6">
        <v>0</v>
      </c>
      <c r="L1680" s="6">
        <v>29979.511999999999</v>
      </c>
      <c r="M1680" s="6">
        <v>29979.511999999999</v>
      </c>
      <c r="N1680" s="6">
        <v>29979.511999999999</v>
      </c>
      <c r="O1680" s="6">
        <v>29979.511999999999</v>
      </c>
      <c r="P1680" s="6">
        <v>182826</v>
      </c>
      <c r="Q1680" s="4" t="s">
        <v>26</v>
      </c>
      <c r="R1680" s="4">
        <v>0</v>
      </c>
      <c r="S1680" s="6">
        <v>0</v>
      </c>
      <c r="T1680" s="6">
        <v>13</v>
      </c>
      <c r="U1680" s="6">
        <v>58</v>
      </c>
      <c r="V1680" s="6">
        <f>IF(ISERROR(VLOOKUP($S$1680,'TAR FIN'!$A$1:$O$95,15,0)),0,VLOOKUP($S$1680,'TAR FIN'!$A$1:$O$95,15,0))</f>
        <v>0</v>
      </c>
      <c r="W1680" s="6">
        <f>IF(ISERROR(VLOOKUP($T$1680,'TAR FIN'!$A$1:$O$95,15,0)),0,VLOOKUP($T$1680,'TAR FIN'!$A$1:$O$95,15,0))</f>
        <v>450.19</v>
      </c>
      <c r="X1680" s="6">
        <f>IF(ISERROR(VLOOKUP($U$1680,'TAR FIN'!$A$1:$O$95,15,0)),0,VLOOKUP($U$1680,'TAR FIN'!$A$1:$O$95,15,0))</f>
        <v>243.3</v>
      </c>
      <c r="Y1680" s="6"/>
      <c r="Z1680" s="6">
        <f ca="1">('TUSD BE'!$AM$25+'TUSD BF'!$AM$25+'TUSD CVA'!$AM$25)*1</f>
        <v>506.5198438752322</v>
      </c>
      <c r="AA1680" s="6">
        <f>('TE BE'!$AA$13+'TE BF'!$AA$13+'TE CVA'!$AA$13)*1</f>
        <v>297.20166373463735</v>
      </c>
      <c r="AB1680" s="6">
        <f>$K$1680*$V$1680</f>
        <v>0</v>
      </c>
      <c r="AC1680" s="6">
        <f>$M$1680*$W$1680</f>
        <v>13496476.50728</v>
      </c>
      <c r="AD1680" s="6">
        <f>$O$1680*$X$1680</f>
        <v>7294015.2696000002</v>
      </c>
      <c r="AE1680" s="6">
        <f>$K$1680*$Y$1680</f>
        <v>0</v>
      </c>
      <c r="AF1680" s="6">
        <f ca="1">$M$1680*$Z$1680</f>
        <v>15185217.737695649</v>
      </c>
      <c r="AG1680" s="6">
        <f>$O$1680*$AA$1680</f>
        <v>8909960.8443525247</v>
      </c>
    </row>
    <row r="1681" spans="1:33" ht="11.25" customHeight="1" x14ac:dyDescent="0.25">
      <c r="A1681" s="4" t="s">
        <v>29</v>
      </c>
      <c r="B1681" s="4" t="s">
        <v>22</v>
      </c>
      <c r="C1681" s="4" t="s">
        <v>23</v>
      </c>
      <c r="D1681" s="4" t="s">
        <v>24</v>
      </c>
      <c r="E1681" s="4" t="s">
        <v>24</v>
      </c>
      <c r="F1681" s="4" t="s">
        <v>25</v>
      </c>
      <c r="G1681" s="4" t="s">
        <v>25</v>
      </c>
      <c r="H1681" s="4" t="s">
        <v>25</v>
      </c>
      <c r="I1681" s="5">
        <v>44197</v>
      </c>
      <c r="J1681" s="6">
        <v>0</v>
      </c>
      <c r="K1681" s="6">
        <v>0</v>
      </c>
      <c r="L1681" s="6">
        <v>-386.63200000000001</v>
      </c>
      <c r="M1681" s="6">
        <v>-386.63200000000001</v>
      </c>
      <c r="N1681" s="6">
        <v>-386.63200000000001</v>
      </c>
      <c r="O1681" s="6">
        <v>-386.63200000000001</v>
      </c>
      <c r="P1681" s="6">
        <v>0</v>
      </c>
      <c r="Q1681" s="4" t="s">
        <v>26</v>
      </c>
      <c r="R1681" s="4">
        <v>0</v>
      </c>
      <c r="S1681" s="6">
        <v>0</v>
      </c>
      <c r="T1681" s="6">
        <v>13</v>
      </c>
      <c r="U1681" s="6">
        <v>58</v>
      </c>
      <c r="V1681" s="6">
        <f>IF(ISERROR(VLOOKUP($S$1681,'TAR FIN'!$A$1:$O$95,15,0)),0,VLOOKUP($S$1681,'TAR FIN'!$A$1:$O$95,15,0))</f>
        <v>0</v>
      </c>
      <c r="W1681" s="6">
        <f>IF(ISERROR(VLOOKUP($T$1681,'TAR FIN'!$A$1:$O$95,15,0)),0,VLOOKUP($T$1681,'TAR FIN'!$A$1:$O$95,15,0))</f>
        <v>450.19</v>
      </c>
      <c r="X1681" s="6">
        <f>IF(ISERROR(VLOOKUP($U$1681,'TAR FIN'!$A$1:$O$95,15,0)),0,VLOOKUP($U$1681,'TAR FIN'!$A$1:$O$95,15,0))</f>
        <v>243.3</v>
      </c>
      <c r="Y1681" s="6"/>
      <c r="Z1681" s="6">
        <f ca="1">('TUSD BE'!$AM$25+'TUSD BF'!$AM$25+'TUSD CVA'!$AM$25)*1</f>
        <v>506.5198438752322</v>
      </c>
      <c r="AA1681" s="6">
        <f>('TE BE'!$AA$13+'TE BF'!$AA$13+'TE CVA'!$AA$13)*1</f>
        <v>297.20166373463735</v>
      </c>
      <c r="AB1681" s="6">
        <f>$K$1681*$V$1681</f>
        <v>0</v>
      </c>
      <c r="AC1681" s="6">
        <f>$M$1681*$W$1681</f>
        <v>-174057.86008000001</v>
      </c>
      <c r="AD1681" s="6">
        <f>$O$1681*$X$1681</f>
        <v>-94067.565600000002</v>
      </c>
      <c r="AE1681" s="6">
        <f>$K$1681*$Y$1681</f>
        <v>0</v>
      </c>
      <c r="AF1681" s="6">
        <f ca="1">$M$1681*$Z$1681</f>
        <v>-195836.78027716879</v>
      </c>
      <c r="AG1681" s="6">
        <f>$O$1681*$AA$1681</f>
        <v>-114907.67365305031</v>
      </c>
    </row>
    <row r="1682" spans="1:33" ht="11.25" customHeight="1" x14ac:dyDescent="0.25">
      <c r="A1682" s="4" t="s">
        <v>30</v>
      </c>
      <c r="B1682" s="4" t="s">
        <v>22</v>
      </c>
      <c r="C1682" s="4" t="s">
        <v>23</v>
      </c>
      <c r="D1682" s="4" t="s">
        <v>24</v>
      </c>
      <c r="E1682" s="4" t="s">
        <v>24</v>
      </c>
      <c r="F1682" s="4" t="s">
        <v>25</v>
      </c>
      <c r="G1682" s="4" t="s">
        <v>25</v>
      </c>
      <c r="H1682" s="4" t="s">
        <v>25</v>
      </c>
      <c r="I1682" s="5">
        <v>44197</v>
      </c>
      <c r="J1682" s="6">
        <v>0</v>
      </c>
      <c r="K1682" s="6">
        <v>0</v>
      </c>
      <c r="L1682" s="6">
        <v>1114.8</v>
      </c>
      <c r="M1682" s="6">
        <v>1114.8</v>
      </c>
      <c r="N1682" s="6">
        <v>1114.8</v>
      </c>
      <c r="O1682" s="6">
        <v>1114.8</v>
      </c>
      <c r="P1682" s="6">
        <v>1567</v>
      </c>
      <c r="Q1682" s="4" t="s">
        <v>26</v>
      </c>
      <c r="R1682" s="4">
        <v>0</v>
      </c>
      <c r="S1682" s="6">
        <v>0</v>
      </c>
      <c r="T1682" s="6">
        <v>13</v>
      </c>
      <c r="U1682" s="6">
        <v>58</v>
      </c>
      <c r="V1682" s="6">
        <f>IF(ISERROR(VLOOKUP($S$1682,'TAR FIN'!$A$1:$O$95,15,0)),0,VLOOKUP($S$1682,'TAR FIN'!$A$1:$O$95,15,0))</f>
        <v>0</v>
      </c>
      <c r="W1682" s="6">
        <f>IF(ISERROR(VLOOKUP($T$1682,'TAR FIN'!$A$1:$O$95,15,0)),0,VLOOKUP($T$1682,'TAR FIN'!$A$1:$O$95,15,0))</f>
        <v>450.19</v>
      </c>
      <c r="X1682" s="6">
        <f>IF(ISERROR(VLOOKUP($U$1682,'TAR FIN'!$A$1:$O$95,15,0)),0,VLOOKUP($U$1682,'TAR FIN'!$A$1:$O$95,15,0))</f>
        <v>243.3</v>
      </c>
      <c r="Y1682" s="6"/>
      <c r="Z1682" s="6">
        <f ca="1">('TUSD BE'!$AM$25+'TUSD BF'!$AM$25+'TUSD CVA'!$AM$25)*1</f>
        <v>506.5198438752322</v>
      </c>
      <c r="AA1682" s="6">
        <f>('TE BE'!$AA$13+'TE BF'!$AA$13+'TE CVA'!$AA$13)*1</f>
        <v>297.20166373463735</v>
      </c>
      <c r="AB1682" s="6">
        <f>$K$1682*$V$1682</f>
        <v>0</v>
      </c>
      <c r="AC1682" s="6">
        <f>$M$1682*$W$1682</f>
        <v>501871.81199999998</v>
      </c>
      <c r="AD1682" s="6">
        <f>$O$1682*$X$1682</f>
        <v>271230.84000000003</v>
      </c>
      <c r="AE1682" s="6">
        <f>$K$1682*$Y$1682</f>
        <v>0</v>
      </c>
      <c r="AF1682" s="6">
        <f ca="1">$M$1682*$Z$1682</f>
        <v>564668.32195210888</v>
      </c>
      <c r="AG1682" s="6">
        <f>$O$1682*$AA$1682</f>
        <v>331320.41473137372</v>
      </c>
    </row>
    <row r="1683" spans="1:33" ht="11.25" customHeight="1" x14ac:dyDescent="0.25">
      <c r="A1683" s="4" t="s">
        <v>30</v>
      </c>
      <c r="B1683" s="4" t="s">
        <v>22</v>
      </c>
      <c r="C1683" s="4" t="s">
        <v>23</v>
      </c>
      <c r="D1683" s="4" t="s">
        <v>24</v>
      </c>
      <c r="E1683" s="4" t="s">
        <v>24</v>
      </c>
      <c r="F1683" s="4" t="s">
        <v>25</v>
      </c>
      <c r="G1683" s="4" t="s">
        <v>25</v>
      </c>
      <c r="H1683" s="4" t="s">
        <v>25</v>
      </c>
      <c r="I1683" s="5">
        <v>44197</v>
      </c>
      <c r="J1683" s="6">
        <v>0</v>
      </c>
      <c r="K1683" s="6">
        <v>0</v>
      </c>
      <c r="L1683" s="6">
        <v>3.665</v>
      </c>
      <c r="M1683" s="6">
        <v>3.665</v>
      </c>
      <c r="N1683" s="6">
        <v>3.665</v>
      </c>
      <c r="O1683" s="6">
        <v>3.665</v>
      </c>
      <c r="P1683" s="6">
        <v>0</v>
      </c>
      <c r="Q1683" s="4" t="s">
        <v>26</v>
      </c>
      <c r="R1683" s="4">
        <v>0</v>
      </c>
      <c r="S1683" s="6">
        <v>0</v>
      </c>
      <c r="T1683" s="6">
        <v>13</v>
      </c>
      <c r="U1683" s="6">
        <v>58</v>
      </c>
      <c r="V1683" s="6">
        <f>IF(ISERROR(VLOOKUP($S$1683,'TAR FIN'!$A$1:$O$95,15,0)),0,VLOOKUP($S$1683,'TAR FIN'!$A$1:$O$95,15,0))</f>
        <v>0</v>
      </c>
      <c r="W1683" s="6">
        <f>IF(ISERROR(VLOOKUP($T$1683,'TAR FIN'!$A$1:$O$95,15,0)),0,VLOOKUP($T$1683,'TAR FIN'!$A$1:$O$95,15,0))</f>
        <v>450.19</v>
      </c>
      <c r="X1683" s="6">
        <f>IF(ISERROR(VLOOKUP($U$1683,'TAR FIN'!$A$1:$O$95,15,0)),0,VLOOKUP($U$1683,'TAR FIN'!$A$1:$O$95,15,0))</f>
        <v>243.3</v>
      </c>
      <c r="Y1683" s="6"/>
      <c r="Z1683" s="6">
        <f ca="1">('TUSD BE'!$AM$25+'TUSD BF'!$AM$25+'TUSD CVA'!$AM$25)*1</f>
        <v>506.5198438752322</v>
      </c>
      <c r="AA1683" s="6">
        <f>('TE BE'!$AA$13+'TE BF'!$AA$13+'TE CVA'!$AA$13)*1</f>
        <v>297.20166373463735</v>
      </c>
      <c r="AB1683" s="6">
        <f>$K$1683*$V$1683</f>
        <v>0</v>
      </c>
      <c r="AC1683" s="6">
        <f>$M$1683*$W$1683</f>
        <v>1649.9463499999999</v>
      </c>
      <c r="AD1683" s="6">
        <f>$O$1683*$X$1683</f>
        <v>891.69450000000006</v>
      </c>
      <c r="AE1683" s="6">
        <f>$K$1683*$Y$1683</f>
        <v>0</v>
      </c>
      <c r="AF1683" s="6">
        <f ca="1">$M$1683*$Z$1683</f>
        <v>1856.3952278027259</v>
      </c>
      <c r="AG1683" s="6">
        <f>$O$1683*$AA$1683</f>
        <v>1089.2440975874458</v>
      </c>
    </row>
    <row r="1684" spans="1:33" ht="11.25" customHeight="1" x14ac:dyDescent="0.25">
      <c r="A1684" s="4" t="s">
        <v>21</v>
      </c>
      <c r="B1684" s="4" t="s">
        <v>22</v>
      </c>
      <c r="C1684" s="4" t="s">
        <v>23</v>
      </c>
      <c r="D1684" s="4" t="s">
        <v>24</v>
      </c>
      <c r="E1684" s="4" t="s">
        <v>24</v>
      </c>
      <c r="F1684" s="4" t="s">
        <v>25</v>
      </c>
      <c r="G1684" s="4" t="s">
        <v>25</v>
      </c>
      <c r="H1684" s="4" t="s">
        <v>25</v>
      </c>
      <c r="I1684" s="5">
        <v>44228</v>
      </c>
      <c r="J1684" s="6">
        <v>0</v>
      </c>
      <c r="K1684" s="6">
        <v>0</v>
      </c>
      <c r="L1684" s="6">
        <v>93567.762000000002</v>
      </c>
      <c r="M1684" s="6">
        <v>93567.762000000002</v>
      </c>
      <c r="N1684" s="6">
        <v>93567.762000000002</v>
      </c>
      <c r="O1684" s="6">
        <v>93567.762000000002</v>
      </c>
      <c r="P1684" s="6">
        <v>506658</v>
      </c>
      <c r="Q1684" s="4" t="s">
        <v>26</v>
      </c>
      <c r="R1684" s="4">
        <v>0</v>
      </c>
      <c r="S1684" s="6">
        <v>0</v>
      </c>
      <c r="T1684" s="6">
        <v>13</v>
      </c>
      <c r="U1684" s="6">
        <v>58</v>
      </c>
      <c r="V1684" s="6">
        <f>IF(ISERROR(VLOOKUP($S$1684,'TAR FIN'!$A$1:$O$95,15,0)),0,VLOOKUP($S$1684,'TAR FIN'!$A$1:$O$95,15,0))</f>
        <v>0</v>
      </c>
      <c r="W1684" s="6">
        <f>IF(ISERROR(VLOOKUP($T$1684,'TAR FIN'!$A$1:$O$95,15,0)),0,VLOOKUP($T$1684,'TAR FIN'!$A$1:$O$95,15,0))</f>
        <v>450.19</v>
      </c>
      <c r="X1684" s="6">
        <f>IF(ISERROR(VLOOKUP($U$1684,'TAR FIN'!$A$1:$O$95,15,0)),0,VLOOKUP($U$1684,'TAR FIN'!$A$1:$O$95,15,0))</f>
        <v>243.3</v>
      </c>
      <c r="Y1684" s="6"/>
      <c r="Z1684" s="6">
        <f ca="1">('TUSD BE'!$AM$25+'TUSD BF'!$AM$25+'TUSD CVA'!$AM$25)*1</f>
        <v>506.5198438752322</v>
      </c>
      <c r="AA1684" s="6">
        <f>('TE BE'!$AA$13+'TE BF'!$AA$13+'TE CVA'!$AA$13)*1</f>
        <v>297.20166373463735</v>
      </c>
      <c r="AB1684" s="6">
        <f>$K$1684*$V$1684</f>
        <v>0</v>
      </c>
      <c r="AC1684" s="6">
        <f>$M$1684*$W$1684</f>
        <v>42123270.774779998</v>
      </c>
      <c r="AD1684" s="6">
        <f>$O$1684*$X$1684</f>
        <v>22765036.494600002</v>
      </c>
      <c r="AE1684" s="6">
        <f>$K$1684*$Y$1684</f>
        <v>0</v>
      </c>
      <c r="AF1684" s="6">
        <f ca="1">$M$1684*$Z$1684</f>
        <v>47393928.199994884</v>
      </c>
      <c r="AG1684" s="6">
        <f>$O$1684*$AA$1684</f>
        <v>27808494.53832658</v>
      </c>
    </row>
    <row r="1685" spans="1:33" ht="11.25" customHeight="1" x14ac:dyDescent="0.25">
      <c r="A1685" s="4" t="s">
        <v>27</v>
      </c>
      <c r="B1685" s="4" t="s">
        <v>22</v>
      </c>
      <c r="C1685" s="4" t="s">
        <v>23</v>
      </c>
      <c r="D1685" s="4" t="s">
        <v>24</v>
      </c>
      <c r="E1685" s="4" t="s">
        <v>24</v>
      </c>
      <c r="F1685" s="4" t="s">
        <v>25</v>
      </c>
      <c r="G1685" s="4" t="s">
        <v>25</v>
      </c>
      <c r="H1685" s="4" t="s">
        <v>25</v>
      </c>
      <c r="I1685" s="5">
        <v>44228</v>
      </c>
      <c r="J1685" s="6">
        <v>0</v>
      </c>
      <c r="K1685" s="6">
        <v>0</v>
      </c>
      <c r="L1685" s="6">
        <v>-2871.9589999999998</v>
      </c>
      <c r="M1685" s="6">
        <v>-2871.9589999999998</v>
      </c>
      <c r="N1685" s="6">
        <v>-2871.9589999999998</v>
      </c>
      <c r="O1685" s="6">
        <v>-2871.9589999999998</v>
      </c>
      <c r="P1685" s="6">
        <v>0</v>
      </c>
      <c r="Q1685" s="4" t="s">
        <v>26</v>
      </c>
      <c r="R1685" s="4">
        <v>0</v>
      </c>
      <c r="S1685" s="6">
        <v>0</v>
      </c>
      <c r="T1685" s="6">
        <v>13</v>
      </c>
      <c r="U1685" s="6">
        <v>58</v>
      </c>
      <c r="V1685" s="6">
        <f>IF(ISERROR(VLOOKUP($S$1685,'TAR FIN'!$A$1:$O$95,15,0)),0,VLOOKUP($S$1685,'TAR FIN'!$A$1:$O$95,15,0))</f>
        <v>0</v>
      </c>
      <c r="W1685" s="6">
        <f>IF(ISERROR(VLOOKUP($T$1685,'TAR FIN'!$A$1:$O$95,15,0)),0,VLOOKUP($T$1685,'TAR FIN'!$A$1:$O$95,15,0))</f>
        <v>450.19</v>
      </c>
      <c r="X1685" s="6">
        <f>IF(ISERROR(VLOOKUP($U$1685,'TAR FIN'!$A$1:$O$95,15,0)),0,VLOOKUP($U$1685,'TAR FIN'!$A$1:$O$95,15,0))</f>
        <v>243.3</v>
      </c>
      <c r="Y1685" s="6"/>
      <c r="Z1685" s="6">
        <f ca="1">('TUSD BE'!$AM$25+'TUSD BF'!$AM$25+'TUSD CVA'!$AM$25)*1</f>
        <v>506.5198438752322</v>
      </c>
      <c r="AA1685" s="6">
        <f>('TE BE'!$AA$13+'TE BF'!$AA$13+'TE CVA'!$AA$13)*1</f>
        <v>297.20166373463735</v>
      </c>
      <c r="AB1685" s="6">
        <f>$K$1685*$V$1685</f>
        <v>0</v>
      </c>
      <c r="AC1685" s="6">
        <f>$M$1685*$W$1685</f>
        <v>-1292927.2222099998</v>
      </c>
      <c r="AD1685" s="6">
        <f>$O$1685*$X$1685</f>
        <v>-698747.62470000004</v>
      </c>
      <c r="AE1685" s="6">
        <f>$K$1685*$Y$1685</f>
        <v>0</v>
      </c>
      <c r="AF1685" s="6">
        <f ca="1">$M$1685*$Z$1685</f>
        <v>-1454704.2242960678</v>
      </c>
      <c r="AG1685" s="6">
        <f>$O$1685*$AA$1685</f>
        <v>-853550.99297766527</v>
      </c>
    </row>
    <row r="1686" spans="1:33" ht="11.25" customHeight="1" x14ac:dyDescent="0.25">
      <c r="A1686" s="4" t="s">
        <v>28</v>
      </c>
      <c r="B1686" s="4" t="s">
        <v>22</v>
      </c>
      <c r="C1686" s="4" t="s">
        <v>23</v>
      </c>
      <c r="D1686" s="4" t="s">
        <v>24</v>
      </c>
      <c r="E1686" s="4" t="s">
        <v>24</v>
      </c>
      <c r="F1686" s="4" t="s">
        <v>25</v>
      </c>
      <c r="G1686" s="4" t="s">
        <v>25</v>
      </c>
      <c r="H1686" s="4" t="s">
        <v>25</v>
      </c>
      <c r="I1686" s="5">
        <v>44228</v>
      </c>
      <c r="J1686" s="6">
        <v>0</v>
      </c>
      <c r="K1686" s="6">
        <v>0</v>
      </c>
      <c r="L1686" s="6">
        <v>28753.172999999999</v>
      </c>
      <c r="M1686" s="6">
        <v>28753.172999999999</v>
      </c>
      <c r="N1686" s="6">
        <v>28753.172999999999</v>
      </c>
      <c r="O1686" s="6">
        <v>28753.172999999999</v>
      </c>
      <c r="P1686" s="6">
        <v>184016</v>
      </c>
      <c r="Q1686" s="4" t="s">
        <v>26</v>
      </c>
      <c r="R1686" s="4">
        <v>0</v>
      </c>
      <c r="S1686" s="6">
        <v>0</v>
      </c>
      <c r="T1686" s="6">
        <v>13</v>
      </c>
      <c r="U1686" s="6">
        <v>58</v>
      </c>
      <c r="V1686" s="6">
        <f>IF(ISERROR(VLOOKUP($S$1686,'TAR FIN'!$A$1:$O$95,15,0)),0,VLOOKUP($S$1686,'TAR FIN'!$A$1:$O$95,15,0))</f>
        <v>0</v>
      </c>
      <c r="W1686" s="6">
        <f>IF(ISERROR(VLOOKUP($T$1686,'TAR FIN'!$A$1:$O$95,15,0)),0,VLOOKUP($T$1686,'TAR FIN'!$A$1:$O$95,15,0))</f>
        <v>450.19</v>
      </c>
      <c r="X1686" s="6">
        <f>IF(ISERROR(VLOOKUP($U$1686,'TAR FIN'!$A$1:$O$95,15,0)),0,VLOOKUP($U$1686,'TAR FIN'!$A$1:$O$95,15,0))</f>
        <v>243.3</v>
      </c>
      <c r="Y1686" s="6"/>
      <c r="Z1686" s="6">
        <f ca="1">('TUSD BE'!$AM$25+'TUSD BF'!$AM$25+'TUSD CVA'!$AM$25)*1</f>
        <v>506.5198438752322</v>
      </c>
      <c r="AA1686" s="6">
        <f>('TE BE'!$AA$13+'TE BF'!$AA$13+'TE CVA'!$AA$13)*1</f>
        <v>297.20166373463735</v>
      </c>
      <c r="AB1686" s="6">
        <f>$K$1686*$V$1686</f>
        <v>0</v>
      </c>
      <c r="AC1686" s="6">
        <f>$M$1686*$W$1686</f>
        <v>12944390.95287</v>
      </c>
      <c r="AD1686" s="6">
        <f>$O$1686*$X$1686</f>
        <v>6995646.9908999996</v>
      </c>
      <c r="AE1686" s="6">
        <f>$K$1686*$Y$1686</f>
        <v>0</v>
      </c>
      <c r="AF1686" s="6">
        <f ca="1">$M$1686*$Z$1686</f>
        <v>14564052.698877541</v>
      </c>
      <c r="AG1686" s="6">
        <f>$O$1686*$AA$1686</f>
        <v>8545490.8532498535</v>
      </c>
    </row>
    <row r="1687" spans="1:33" ht="11.25" customHeight="1" x14ac:dyDescent="0.25">
      <c r="A1687" s="4" t="s">
        <v>29</v>
      </c>
      <c r="B1687" s="4" t="s">
        <v>22</v>
      </c>
      <c r="C1687" s="4" t="s">
        <v>23</v>
      </c>
      <c r="D1687" s="4" t="s">
        <v>24</v>
      </c>
      <c r="E1687" s="4" t="s">
        <v>24</v>
      </c>
      <c r="F1687" s="4" t="s">
        <v>25</v>
      </c>
      <c r="G1687" s="4" t="s">
        <v>25</v>
      </c>
      <c r="H1687" s="4" t="s">
        <v>25</v>
      </c>
      <c r="I1687" s="5">
        <v>44228</v>
      </c>
      <c r="J1687" s="6">
        <v>0</v>
      </c>
      <c r="K1687" s="6">
        <v>0</v>
      </c>
      <c r="L1687" s="6">
        <v>-322.67099999999999</v>
      </c>
      <c r="M1687" s="6">
        <v>-322.67099999999999</v>
      </c>
      <c r="N1687" s="6">
        <v>-322.67099999999999</v>
      </c>
      <c r="O1687" s="6">
        <v>-322.67099999999999</v>
      </c>
      <c r="P1687" s="6">
        <v>0</v>
      </c>
      <c r="Q1687" s="4" t="s">
        <v>26</v>
      </c>
      <c r="R1687" s="4">
        <v>0</v>
      </c>
      <c r="S1687" s="6">
        <v>0</v>
      </c>
      <c r="T1687" s="6">
        <v>13</v>
      </c>
      <c r="U1687" s="6">
        <v>58</v>
      </c>
      <c r="V1687" s="6">
        <f>IF(ISERROR(VLOOKUP($S$1687,'TAR FIN'!$A$1:$O$95,15,0)),0,VLOOKUP($S$1687,'TAR FIN'!$A$1:$O$95,15,0))</f>
        <v>0</v>
      </c>
      <c r="W1687" s="6">
        <f>IF(ISERROR(VLOOKUP($T$1687,'TAR FIN'!$A$1:$O$95,15,0)),0,VLOOKUP($T$1687,'TAR FIN'!$A$1:$O$95,15,0))</f>
        <v>450.19</v>
      </c>
      <c r="X1687" s="6">
        <f>IF(ISERROR(VLOOKUP($U$1687,'TAR FIN'!$A$1:$O$95,15,0)),0,VLOOKUP($U$1687,'TAR FIN'!$A$1:$O$95,15,0))</f>
        <v>243.3</v>
      </c>
      <c r="Y1687" s="6"/>
      <c r="Z1687" s="6">
        <f ca="1">('TUSD BE'!$AM$25+'TUSD BF'!$AM$25+'TUSD CVA'!$AM$25)*1</f>
        <v>506.5198438752322</v>
      </c>
      <c r="AA1687" s="6">
        <f>('TE BE'!$AA$13+'TE BF'!$AA$13+'TE CVA'!$AA$13)*1</f>
        <v>297.20166373463735</v>
      </c>
      <c r="AB1687" s="6">
        <f>$K$1687*$V$1687</f>
        <v>0</v>
      </c>
      <c r="AC1687" s="6">
        <f>$M$1687*$W$1687</f>
        <v>-145263.25748999999</v>
      </c>
      <c r="AD1687" s="6">
        <f>$O$1687*$X$1687</f>
        <v>-78505.854300000006</v>
      </c>
      <c r="AE1687" s="6">
        <f>$K$1687*$Y$1687</f>
        <v>0</v>
      </c>
      <c r="AF1687" s="6">
        <f ca="1">$M$1687*$Z$1687</f>
        <v>-163439.26454306504</v>
      </c>
      <c r="AG1687" s="6">
        <f>$O$1687*$AA$1687</f>
        <v>-95898.358038919163</v>
      </c>
    </row>
    <row r="1688" spans="1:33" ht="11.25" customHeight="1" x14ac:dyDescent="0.25">
      <c r="A1688" s="4" t="s">
        <v>30</v>
      </c>
      <c r="B1688" s="4" t="s">
        <v>22</v>
      </c>
      <c r="C1688" s="4" t="s">
        <v>23</v>
      </c>
      <c r="D1688" s="4" t="s">
        <v>24</v>
      </c>
      <c r="E1688" s="4" t="s">
        <v>24</v>
      </c>
      <c r="F1688" s="4" t="s">
        <v>25</v>
      </c>
      <c r="G1688" s="4" t="s">
        <v>25</v>
      </c>
      <c r="H1688" s="4" t="s">
        <v>25</v>
      </c>
      <c r="I1688" s="5">
        <v>44228</v>
      </c>
      <c r="J1688" s="6">
        <v>0</v>
      </c>
      <c r="K1688" s="6">
        <v>0</v>
      </c>
      <c r="L1688" s="6">
        <v>1019.0650000000001</v>
      </c>
      <c r="M1688" s="6">
        <v>1019.0650000000001</v>
      </c>
      <c r="N1688" s="6">
        <v>1019.0650000000001</v>
      </c>
      <c r="O1688" s="6">
        <v>1019.0650000000001</v>
      </c>
      <c r="P1688" s="6">
        <v>1645</v>
      </c>
      <c r="Q1688" s="4" t="s">
        <v>26</v>
      </c>
      <c r="R1688" s="4">
        <v>0</v>
      </c>
      <c r="S1688" s="6">
        <v>0</v>
      </c>
      <c r="T1688" s="6">
        <v>13</v>
      </c>
      <c r="U1688" s="6">
        <v>58</v>
      </c>
      <c r="V1688" s="6">
        <f>IF(ISERROR(VLOOKUP($S$1688,'TAR FIN'!$A$1:$O$95,15,0)),0,VLOOKUP($S$1688,'TAR FIN'!$A$1:$O$95,15,0))</f>
        <v>0</v>
      </c>
      <c r="W1688" s="6">
        <f>IF(ISERROR(VLOOKUP($T$1688,'TAR FIN'!$A$1:$O$95,15,0)),0,VLOOKUP($T$1688,'TAR FIN'!$A$1:$O$95,15,0))</f>
        <v>450.19</v>
      </c>
      <c r="X1688" s="6">
        <f>IF(ISERROR(VLOOKUP($U$1688,'TAR FIN'!$A$1:$O$95,15,0)),0,VLOOKUP($U$1688,'TAR FIN'!$A$1:$O$95,15,0))</f>
        <v>243.3</v>
      </c>
      <c r="Y1688" s="6"/>
      <c r="Z1688" s="6">
        <f ca="1">('TUSD BE'!$AM$25+'TUSD BF'!$AM$25+'TUSD CVA'!$AM$25)*1</f>
        <v>506.5198438752322</v>
      </c>
      <c r="AA1688" s="6">
        <f>('TE BE'!$AA$13+'TE BF'!$AA$13+'TE CVA'!$AA$13)*1</f>
        <v>297.20166373463735</v>
      </c>
      <c r="AB1688" s="6">
        <f>$K$1688*$V$1688</f>
        <v>0</v>
      </c>
      <c r="AC1688" s="6">
        <f>$M$1688*$W$1688</f>
        <v>458772.87235000002</v>
      </c>
      <c r="AD1688" s="6">
        <f>$O$1688*$X$1688</f>
        <v>247938.51450000002</v>
      </c>
      <c r="AE1688" s="6">
        <f>$K$1688*$Y$1688</f>
        <v>0</v>
      </c>
      <c r="AF1688" s="6">
        <f ca="1">$M$1688*$Z$1688</f>
        <v>516176.6446987135</v>
      </c>
      <c r="AG1688" s="6">
        <f>$O$1688*$AA$1688</f>
        <v>302867.81345373823</v>
      </c>
    </row>
    <row r="1689" spans="1:33" ht="11.25" customHeight="1" x14ac:dyDescent="0.25">
      <c r="A1689" s="4" t="s">
        <v>30</v>
      </c>
      <c r="B1689" s="4" t="s">
        <v>22</v>
      </c>
      <c r="C1689" s="4" t="s">
        <v>23</v>
      </c>
      <c r="D1689" s="4" t="s">
        <v>24</v>
      </c>
      <c r="E1689" s="4" t="s">
        <v>24</v>
      </c>
      <c r="F1689" s="4" t="s">
        <v>25</v>
      </c>
      <c r="G1689" s="4" t="s">
        <v>25</v>
      </c>
      <c r="H1689" s="4" t="s">
        <v>25</v>
      </c>
      <c r="I1689" s="5">
        <v>44228</v>
      </c>
      <c r="J1689" s="6">
        <v>0</v>
      </c>
      <c r="K1689" s="6">
        <v>0</v>
      </c>
      <c r="L1689" s="6">
        <v>-11.217000000000001</v>
      </c>
      <c r="M1689" s="6">
        <v>-11.217000000000001</v>
      </c>
      <c r="N1689" s="6">
        <v>-11.217000000000001</v>
      </c>
      <c r="O1689" s="6">
        <v>-11.217000000000001</v>
      </c>
      <c r="P1689" s="6">
        <v>0</v>
      </c>
      <c r="Q1689" s="4" t="s">
        <v>26</v>
      </c>
      <c r="R1689" s="4">
        <v>0</v>
      </c>
      <c r="S1689" s="6">
        <v>0</v>
      </c>
      <c r="T1689" s="6">
        <v>13</v>
      </c>
      <c r="U1689" s="6">
        <v>58</v>
      </c>
      <c r="V1689" s="6">
        <f>IF(ISERROR(VLOOKUP($S$1689,'TAR FIN'!$A$1:$O$95,15,0)),0,VLOOKUP($S$1689,'TAR FIN'!$A$1:$O$95,15,0))</f>
        <v>0</v>
      </c>
      <c r="W1689" s="6">
        <f>IF(ISERROR(VLOOKUP($T$1689,'TAR FIN'!$A$1:$O$95,15,0)),0,VLOOKUP($T$1689,'TAR FIN'!$A$1:$O$95,15,0))</f>
        <v>450.19</v>
      </c>
      <c r="X1689" s="6">
        <f>IF(ISERROR(VLOOKUP($U$1689,'TAR FIN'!$A$1:$O$95,15,0)),0,VLOOKUP($U$1689,'TAR FIN'!$A$1:$O$95,15,0))</f>
        <v>243.3</v>
      </c>
      <c r="Y1689" s="6"/>
      <c r="Z1689" s="6">
        <f ca="1">('TUSD BE'!$AM$25+'TUSD BF'!$AM$25+'TUSD CVA'!$AM$25)*1</f>
        <v>506.5198438752322</v>
      </c>
      <c r="AA1689" s="6">
        <f>('TE BE'!$AA$13+'TE BF'!$AA$13+'TE CVA'!$AA$13)*1</f>
        <v>297.20166373463735</v>
      </c>
      <c r="AB1689" s="6">
        <f>$K$1689*$V$1689</f>
        <v>0</v>
      </c>
      <c r="AC1689" s="6">
        <f>$M$1689*$W$1689</f>
        <v>-5049.7812300000005</v>
      </c>
      <c r="AD1689" s="6">
        <f>$O$1689*$X$1689</f>
        <v>-2729.0961000000002</v>
      </c>
      <c r="AE1689" s="6">
        <f>$K$1689*$Y$1689</f>
        <v>0</v>
      </c>
      <c r="AF1689" s="6">
        <f ca="1">$M$1689*$Z$1689</f>
        <v>-5681.6330887484801</v>
      </c>
      <c r="AG1689" s="6">
        <f>$O$1689*$AA$1689</f>
        <v>-3333.7110621114275</v>
      </c>
    </row>
    <row r="1690" spans="1:33" ht="11.25" customHeight="1" x14ac:dyDescent="0.25">
      <c r="A1690" s="4" t="s">
        <v>21</v>
      </c>
      <c r="B1690" s="4" t="s">
        <v>22</v>
      </c>
      <c r="C1690" s="4" t="s">
        <v>23</v>
      </c>
      <c r="D1690" s="4" t="s">
        <v>24</v>
      </c>
      <c r="E1690" s="4" t="s">
        <v>24</v>
      </c>
      <c r="F1690" s="4" t="s">
        <v>25</v>
      </c>
      <c r="G1690" s="4" t="s">
        <v>25</v>
      </c>
      <c r="H1690" s="4" t="s">
        <v>25</v>
      </c>
      <c r="I1690" s="5">
        <v>44256</v>
      </c>
      <c r="J1690" s="6">
        <v>0</v>
      </c>
      <c r="K1690" s="6">
        <v>0</v>
      </c>
      <c r="L1690" s="6">
        <v>99414.832999999999</v>
      </c>
      <c r="M1690" s="6">
        <v>99414.832999999999</v>
      </c>
      <c r="N1690" s="6">
        <v>99414.832999999999</v>
      </c>
      <c r="O1690" s="6">
        <v>99414.832999999999</v>
      </c>
      <c r="P1690" s="6">
        <v>505667</v>
      </c>
      <c r="Q1690" s="4" t="s">
        <v>26</v>
      </c>
      <c r="R1690" s="4">
        <v>0</v>
      </c>
      <c r="S1690" s="6">
        <v>0</v>
      </c>
      <c r="T1690" s="6">
        <v>13</v>
      </c>
      <c r="U1690" s="6">
        <v>58</v>
      </c>
      <c r="V1690" s="6">
        <f>IF(ISERROR(VLOOKUP($S$1690,'TAR FIN'!$A$1:$O$95,15,0)),0,VLOOKUP($S$1690,'TAR FIN'!$A$1:$O$95,15,0))</f>
        <v>0</v>
      </c>
      <c r="W1690" s="6">
        <f>IF(ISERROR(VLOOKUP($T$1690,'TAR FIN'!$A$1:$O$95,15,0)),0,VLOOKUP($T$1690,'TAR FIN'!$A$1:$O$95,15,0))</f>
        <v>450.19</v>
      </c>
      <c r="X1690" s="6">
        <f>IF(ISERROR(VLOOKUP($U$1690,'TAR FIN'!$A$1:$O$95,15,0)),0,VLOOKUP($U$1690,'TAR FIN'!$A$1:$O$95,15,0))</f>
        <v>243.3</v>
      </c>
      <c r="Y1690" s="6"/>
      <c r="Z1690" s="6">
        <f ca="1">('TUSD BE'!$AM$25+'TUSD BF'!$AM$25+'TUSD CVA'!$AM$25)*1</f>
        <v>506.5198438752322</v>
      </c>
      <c r="AA1690" s="6">
        <f>('TE BE'!$AA$13+'TE BF'!$AA$13+'TE CVA'!$AA$13)*1</f>
        <v>297.20166373463735</v>
      </c>
      <c r="AB1690" s="6">
        <f>$K$1690*$V$1690</f>
        <v>0</v>
      </c>
      <c r="AC1690" s="6">
        <f>$M$1690*$W$1690</f>
        <v>44755563.668269999</v>
      </c>
      <c r="AD1690" s="6">
        <f>$O$1690*$X$1690</f>
        <v>24187628.868900001</v>
      </c>
      <c r="AE1690" s="6">
        <f>$K$1690*$Y$1690</f>
        <v>0</v>
      </c>
      <c r="AF1690" s="6">
        <f ca="1">$M$1690*$Z$1690</f>
        <v>50355585.69004228</v>
      </c>
      <c r="AG1690" s="6">
        <f>$O$1690*$AA$1690</f>
        <v>29546253.767501127</v>
      </c>
    </row>
    <row r="1691" spans="1:33" ht="11.25" customHeight="1" x14ac:dyDescent="0.25">
      <c r="A1691" s="4" t="s">
        <v>27</v>
      </c>
      <c r="B1691" s="4" t="s">
        <v>22</v>
      </c>
      <c r="C1691" s="4" t="s">
        <v>23</v>
      </c>
      <c r="D1691" s="4" t="s">
        <v>24</v>
      </c>
      <c r="E1691" s="4" t="s">
        <v>24</v>
      </c>
      <c r="F1691" s="4" t="s">
        <v>25</v>
      </c>
      <c r="G1691" s="4" t="s">
        <v>25</v>
      </c>
      <c r="H1691" s="4" t="s">
        <v>25</v>
      </c>
      <c r="I1691" s="5">
        <v>44256</v>
      </c>
      <c r="J1691" s="6">
        <v>0</v>
      </c>
      <c r="K1691" s="6">
        <v>0</v>
      </c>
      <c r="L1691" s="6">
        <v>-4094.1179999999999</v>
      </c>
      <c r="M1691" s="6">
        <v>-4094.1179999999999</v>
      </c>
      <c r="N1691" s="6">
        <v>-4094.1179999999999</v>
      </c>
      <c r="O1691" s="6">
        <v>-4094.1179999999999</v>
      </c>
      <c r="P1691" s="6">
        <v>0</v>
      </c>
      <c r="Q1691" s="4" t="s">
        <v>26</v>
      </c>
      <c r="R1691" s="4">
        <v>0</v>
      </c>
      <c r="S1691" s="6">
        <v>0</v>
      </c>
      <c r="T1691" s="6">
        <v>13</v>
      </c>
      <c r="U1691" s="6">
        <v>58</v>
      </c>
      <c r="V1691" s="6">
        <f>IF(ISERROR(VLOOKUP($S$1691,'TAR FIN'!$A$1:$O$95,15,0)),0,VLOOKUP($S$1691,'TAR FIN'!$A$1:$O$95,15,0))</f>
        <v>0</v>
      </c>
      <c r="W1691" s="6">
        <f>IF(ISERROR(VLOOKUP($T$1691,'TAR FIN'!$A$1:$O$95,15,0)),0,VLOOKUP($T$1691,'TAR FIN'!$A$1:$O$95,15,0))</f>
        <v>450.19</v>
      </c>
      <c r="X1691" s="6">
        <f>IF(ISERROR(VLOOKUP($U$1691,'TAR FIN'!$A$1:$O$95,15,0)),0,VLOOKUP($U$1691,'TAR FIN'!$A$1:$O$95,15,0))</f>
        <v>243.3</v>
      </c>
      <c r="Y1691" s="6"/>
      <c r="Z1691" s="6">
        <f ca="1">('TUSD BE'!$AM$25+'TUSD BF'!$AM$25+'TUSD CVA'!$AM$25)*1</f>
        <v>506.5198438752322</v>
      </c>
      <c r="AA1691" s="6">
        <f>('TE BE'!$AA$13+'TE BF'!$AA$13+'TE CVA'!$AA$13)*1</f>
        <v>297.20166373463735</v>
      </c>
      <c r="AB1691" s="6">
        <f>$K$1691*$V$1691</f>
        <v>0</v>
      </c>
      <c r="AC1691" s="6">
        <f>$M$1691*$W$1691</f>
        <v>-1843130.98242</v>
      </c>
      <c r="AD1691" s="6">
        <f>$O$1691*$X$1691</f>
        <v>-996098.9094</v>
      </c>
      <c r="AE1691" s="6">
        <f>$K$1691*$Y$1691</f>
        <v>0</v>
      </c>
      <c r="AF1691" s="6">
        <f ca="1">$M$1691*$Z$1691</f>
        <v>-2073752.0101667778</v>
      </c>
      <c r="AG1691" s="6">
        <f>$O$1691*$AA$1691</f>
        <v>-1216778.6811259261</v>
      </c>
    </row>
    <row r="1692" spans="1:33" ht="11.25" customHeight="1" x14ac:dyDescent="0.25">
      <c r="A1692" s="4" t="s">
        <v>28</v>
      </c>
      <c r="B1692" s="4" t="s">
        <v>22</v>
      </c>
      <c r="C1692" s="4" t="s">
        <v>23</v>
      </c>
      <c r="D1692" s="4" t="s">
        <v>24</v>
      </c>
      <c r="E1692" s="4" t="s">
        <v>24</v>
      </c>
      <c r="F1692" s="4" t="s">
        <v>25</v>
      </c>
      <c r="G1692" s="4" t="s">
        <v>25</v>
      </c>
      <c r="H1692" s="4" t="s">
        <v>25</v>
      </c>
      <c r="I1692" s="5">
        <v>44256</v>
      </c>
      <c r="J1692" s="6">
        <v>0</v>
      </c>
      <c r="K1692" s="6">
        <v>0</v>
      </c>
      <c r="L1692" s="6">
        <v>28785.991000000002</v>
      </c>
      <c r="M1692" s="6">
        <v>28785.991000000002</v>
      </c>
      <c r="N1692" s="6">
        <v>28785.991000000002</v>
      </c>
      <c r="O1692" s="6">
        <v>28785.991000000002</v>
      </c>
      <c r="P1692" s="6">
        <v>182173</v>
      </c>
      <c r="Q1692" s="4" t="s">
        <v>26</v>
      </c>
      <c r="R1692" s="4">
        <v>0</v>
      </c>
      <c r="S1692" s="6">
        <v>0</v>
      </c>
      <c r="T1692" s="6">
        <v>13</v>
      </c>
      <c r="U1692" s="6">
        <v>58</v>
      </c>
      <c r="V1692" s="6">
        <f>IF(ISERROR(VLOOKUP($S$1692,'TAR FIN'!$A$1:$O$95,15,0)),0,VLOOKUP($S$1692,'TAR FIN'!$A$1:$O$95,15,0))</f>
        <v>0</v>
      </c>
      <c r="W1692" s="6">
        <f>IF(ISERROR(VLOOKUP($T$1692,'TAR FIN'!$A$1:$O$95,15,0)),0,VLOOKUP($T$1692,'TAR FIN'!$A$1:$O$95,15,0))</f>
        <v>450.19</v>
      </c>
      <c r="X1692" s="6">
        <f>IF(ISERROR(VLOOKUP($U$1692,'TAR FIN'!$A$1:$O$95,15,0)),0,VLOOKUP($U$1692,'TAR FIN'!$A$1:$O$95,15,0))</f>
        <v>243.3</v>
      </c>
      <c r="Y1692" s="6"/>
      <c r="Z1692" s="6">
        <f ca="1">('TUSD BE'!$AM$25+'TUSD BF'!$AM$25+'TUSD CVA'!$AM$25)*1</f>
        <v>506.5198438752322</v>
      </c>
      <c r="AA1692" s="6">
        <f>('TE BE'!$AA$13+'TE BF'!$AA$13+'TE CVA'!$AA$13)*1</f>
        <v>297.20166373463735</v>
      </c>
      <c r="AB1692" s="6">
        <f>$K$1692*$V$1692</f>
        <v>0</v>
      </c>
      <c r="AC1692" s="6">
        <f>$M$1692*$W$1692</f>
        <v>12959165.288290001</v>
      </c>
      <c r="AD1692" s="6">
        <f>$O$1692*$X$1692</f>
        <v>7003631.6103000008</v>
      </c>
      <c r="AE1692" s="6">
        <f>$K$1692*$Y$1692</f>
        <v>0</v>
      </c>
      <c r="AF1692" s="6">
        <f ca="1">$M$1692*$Z$1692</f>
        <v>14580675.667113841</v>
      </c>
      <c r="AG1692" s="6">
        <f>$O$1692*$AA$1692</f>
        <v>8555244.4174502976</v>
      </c>
    </row>
    <row r="1693" spans="1:33" ht="11.25" customHeight="1" x14ac:dyDescent="0.25">
      <c r="A1693" s="4" t="s">
        <v>29</v>
      </c>
      <c r="B1693" s="4" t="s">
        <v>22</v>
      </c>
      <c r="C1693" s="4" t="s">
        <v>23</v>
      </c>
      <c r="D1693" s="4" t="s">
        <v>24</v>
      </c>
      <c r="E1693" s="4" t="s">
        <v>24</v>
      </c>
      <c r="F1693" s="4" t="s">
        <v>25</v>
      </c>
      <c r="G1693" s="4" t="s">
        <v>25</v>
      </c>
      <c r="H1693" s="4" t="s">
        <v>25</v>
      </c>
      <c r="I1693" s="5">
        <v>44256</v>
      </c>
      <c r="J1693" s="6">
        <v>0</v>
      </c>
      <c r="K1693" s="6">
        <v>0</v>
      </c>
      <c r="L1693" s="6">
        <v>-541.96900000000005</v>
      </c>
      <c r="M1693" s="6">
        <v>-541.96900000000005</v>
      </c>
      <c r="N1693" s="6">
        <v>-541.96900000000005</v>
      </c>
      <c r="O1693" s="6">
        <v>-541.96900000000005</v>
      </c>
      <c r="P1693" s="6">
        <v>0</v>
      </c>
      <c r="Q1693" s="4" t="s">
        <v>26</v>
      </c>
      <c r="R1693" s="4">
        <v>0</v>
      </c>
      <c r="S1693" s="6">
        <v>0</v>
      </c>
      <c r="T1693" s="6">
        <v>13</v>
      </c>
      <c r="U1693" s="6">
        <v>58</v>
      </c>
      <c r="V1693" s="6">
        <f>IF(ISERROR(VLOOKUP($S$1693,'TAR FIN'!$A$1:$O$95,15,0)),0,VLOOKUP($S$1693,'TAR FIN'!$A$1:$O$95,15,0))</f>
        <v>0</v>
      </c>
      <c r="W1693" s="6">
        <f>IF(ISERROR(VLOOKUP($T$1693,'TAR FIN'!$A$1:$O$95,15,0)),0,VLOOKUP($T$1693,'TAR FIN'!$A$1:$O$95,15,0))</f>
        <v>450.19</v>
      </c>
      <c r="X1693" s="6">
        <f>IF(ISERROR(VLOOKUP($U$1693,'TAR FIN'!$A$1:$O$95,15,0)),0,VLOOKUP($U$1693,'TAR FIN'!$A$1:$O$95,15,0))</f>
        <v>243.3</v>
      </c>
      <c r="Y1693" s="6"/>
      <c r="Z1693" s="6">
        <f ca="1">('TUSD BE'!$AM$25+'TUSD BF'!$AM$25+'TUSD CVA'!$AM$25)*1</f>
        <v>506.5198438752322</v>
      </c>
      <c r="AA1693" s="6">
        <f>('TE BE'!$AA$13+'TE BF'!$AA$13+'TE CVA'!$AA$13)*1</f>
        <v>297.20166373463735</v>
      </c>
      <c r="AB1693" s="6">
        <f>$K$1693*$V$1693</f>
        <v>0</v>
      </c>
      <c r="AC1693" s="6">
        <f>$M$1693*$W$1693</f>
        <v>-243989.02411000003</v>
      </c>
      <c r="AD1693" s="6">
        <f>$O$1693*$X$1693</f>
        <v>-131861.0577</v>
      </c>
      <c r="AE1693" s="6">
        <f>$K$1693*$Y$1693</f>
        <v>0</v>
      </c>
      <c r="AF1693" s="6">
        <f ca="1">$M$1693*$Z$1693</f>
        <v>-274518.05326521577</v>
      </c>
      <c r="AG1693" s="6">
        <f>$O$1693*$AA$1693</f>
        <v>-161074.08849259769</v>
      </c>
    </row>
    <row r="1694" spans="1:33" ht="11.25" customHeight="1" x14ac:dyDescent="0.25">
      <c r="A1694" s="4" t="s">
        <v>30</v>
      </c>
      <c r="B1694" s="4" t="s">
        <v>22</v>
      </c>
      <c r="C1694" s="4" t="s">
        <v>23</v>
      </c>
      <c r="D1694" s="4" t="s">
        <v>24</v>
      </c>
      <c r="E1694" s="4" t="s">
        <v>24</v>
      </c>
      <c r="F1694" s="4" t="s">
        <v>25</v>
      </c>
      <c r="G1694" s="4" t="s">
        <v>25</v>
      </c>
      <c r="H1694" s="4" t="s">
        <v>25</v>
      </c>
      <c r="I1694" s="5">
        <v>44256</v>
      </c>
      <c r="J1694" s="6">
        <v>0</v>
      </c>
      <c r="K1694" s="6">
        <v>0</v>
      </c>
      <c r="L1694" s="6">
        <v>1227.422</v>
      </c>
      <c r="M1694" s="6">
        <v>1227.422</v>
      </c>
      <c r="N1694" s="6">
        <v>1227.422</v>
      </c>
      <c r="O1694" s="6">
        <v>1227.422</v>
      </c>
      <c r="P1694" s="6">
        <v>1796</v>
      </c>
      <c r="Q1694" s="4" t="s">
        <v>26</v>
      </c>
      <c r="R1694" s="4">
        <v>0</v>
      </c>
      <c r="S1694" s="6">
        <v>0</v>
      </c>
      <c r="T1694" s="6">
        <v>13</v>
      </c>
      <c r="U1694" s="6">
        <v>58</v>
      </c>
      <c r="V1694" s="6">
        <f>IF(ISERROR(VLOOKUP($S$1694,'TAR FIN'!$A$1:$O$95,15,0)),0,VLOOKUP($S$1694,'TAR FIN'!$A$1:$O$95,15,0))</f>
        <v>0</v>
      </c>
      <c r="W1694" s="6">
        <f>IF(ISERROR(VLOOKUP($T$1694,'TAR FIN'!$A$1:$O$95,15,0)),0,VLOOKUP($T$1694,'TAR FIN'!$A$1:$O$95,15,0))</f>
        <v>450.19</v>
      </c>
      <c r="X1694" s="6">
        <f>IF(ISERROR(VLOOKUP($U$1694,'TAR FIN'!$A$1:$O$95,15,0)),0,VLOOKUP($U$1694,'TAR FIN'!$A$1:$O$95,15,0))</f>
        <v>243.3</v>
      </c>
      <c r="Y1694" s="6"/>
      <c r="Z1694" s="6">
        <f ca="1">('TUSD BE'!$AM$25+'TUSD BF'!$AM$25+'TUSD CVA'!$AM$25)*1</f>
        <v>506.5198438752322</v>
      </c>
      <c r="AA1694" s="6">
        <f>('TE BE'!$AA$13+'TE BF'!$AA$13+'TE CVA'!$AA$13)*1</f>
        <v>297.20166373463735</v>
      </c>
      <c r="AB1694" s="6">
        <f>$K$1694*$V$1694</f>
        <v>0</v>
      </c>
      <c r="AC1694" s="6">
        <f>$M$1694*$W$1694</f>
        <v>552573.11017999996</v>
      </c>
      <c r="AD1694" s="6">
        <f>$O$1694*$X$1694</f>
        <v>298631.77260000003</v>
      </c>
      <c r="AE1694" s="6">
        <f>$K$1694*$Y$1694</f>
        <v>0</v>
      </c>
      <c r="AF1694" s="6">
        <f ca="1">$M$1694*$Z$1694</f>
        <v>621713.5998090253</v>
      </c>
      <c r="AG1694" s="6">
        <f>$O$1694*$AA$1694</f>
        <v>364791.86050449603</v>
      </c>
    </row>
    <row r="1695" spans="1:33" ht="11.25" customHeight="1" x14ac:dyDescent="0.25">
      <c r="A1695" s="4" t="s">
        <v>30</v>
      </c>
      <c r="B1695" s="4" t="s">
        <v>22</v>
      </c>
      <c r="C1695" s="4" t="s">
        <v>23</v>
      </c>
      <c r="D1695" s="4" t="s">
        <v>24</v>
      </c>
      <c r="E1695" s="4" t="s">
        <v>24</v>
      </c>
      <c r="F1695" s="4" t="s">
        <v>25</v>
      </c>
      <c r="G1695" s="4" t="s">
        <v>25</v>
      </c>
      <c r="H1695" s="4" t="s">
        <v>25</v>
      </c>
      <c r="I1695" s="5">
        <v>44256</v>
      </c>
      <c r="J1695" s="6">
        <v>0</v>
      </c>
      <c r="K1695" s="6">
        <v>0</v>
      </c>
      <c r="L1695" s="6">
        <v>-14.167999999999999</v>
      </c>
      <c r="M1695" s="6">
        <v>-14.167999999999999</v>
      </c>
      <c r="N1695" s="6">
        <v>-14.167999999999999</v>
      </c>
      <c r="O1695" s="6">
        <v>-14.167999999999999</v>
      </c>
      <c r="P1695" s="6">
        <v>0</v>
      </c>
      <c r="Q1695" s="4" t="s">
        <v>26</v>
      </c>
      <c r="R1695" s="4">
        <v>0</v>
      </c>
      <c r="S1695" s="6">
        <v>0</v>
      </c>
      <c r="T1695" s="6">
        <v>13</v>
      </c>
      <c r="U1695" s="6">
        <v>58</v>
      </c>
      <c r="V1695" s="6">
        <f>IF(ISERROR(VLOOKUP($S$1695,'TAR FIN'!$A$1:$O$95,15,0)),0,VLOOKUP($S$1695,'TAR FIN'!$A$1:$O$95,15,0))</f>
        <v>0</v>
      </c>
      <c r="W1695" s="6">
        <f>IF(ISERROR(VLOOKUP($T$1695,'TAR FIN'!$A$1:$O$95,15,0)),0,VLOOKUP($T$1695,'TAR FIN'!$A$1:$O$95,15,0))</f>
        <v>450.19</v>
      </c>
      <c r="X1695" s="6">
        <f>IF(ISERROR(VLOOKUP($U$1695,'TAR FIN'!$A$1:$O$95,15,0)),0,VLOOKUP($U$1695,'TAR FIN'!$A$1:$O$95,15,0))</f>
        <v>243.3</v>
      </c>
      <c r="Y1695" s="6"/>
      <c r="Z1695" s="6">
        <f ca="1">('TUSD BE'!$AM$25+'TUSD BF'!$AM$25+'TUSD CVA'!$AM$25)*1</f>
        <v>506.5198438752322</v>
      </c>
      <c r="AA1695" s="6">
        <f>('TE BE'!$AA$13+'TE BF'!$AA$13+'TE CVA'!$AA$13)*1</f>
        <v>297.20166373463735</v>
      </c>
      <c r="AB1695" s="6">
        <f>$K$1695*$V$1695</f>
        <v>0</v>
      </c>
      <c r="AC1695" s="6">
        <f>$M$1695*$W$1695</f>
        <v>-6378.2919199999997</v>
      </c>
      <c r="AD1695" s="6">
        <f>$O$1695*$X$1695</f>
        <v>-3447.0744</v>
      </c>
      <c r="AE1695" s="6">
        <f>$K$1695*$Y$1695</f>
        <v>0</v>
      </c>
      <c r="AF1695" s="6">
        <f ca="1">$M$1695*$Z$1695</f>
        <v>-7176.3731480242895</v>
      </c>
      <c r="AG1695" s="6">
        <f>$O$1695*$AA$1695</f>
        <v>-4210.7531717923421</v>
      </c>
    </row>
    <row r="1696" spans="1:33" ht="11.25" customHeight="1" x14ac:dyDescent="0.25">
      <c r="A1696" s="4" t="s">
        <v>21</v>
      </c>
      <c r="B1696" s="4" t="s">
        <v>22</v>
      </c>
      <c r="C1696" s="4" t="s">
        <v>23</v>
      </c>
      <c r="D1696" s="4" t="s">
        <v>24</v>
      </c>
      <c r="E1696" s="4" t="s">
        <v>24</v>
      </c>
      <c r="F1696" s="4" t="s">
        <v>25</v>
      </c>
      <c r="G1696" s="4" t="s">
        <v>25</v>
      </c>
      <c r="H1696" s="4" t="s">
        <v>25</v>
      </c>
      <c r="I1696" s="5">
        <v>44287</v>
      </c>
      <c r="J1696" s="6">
        <v>0</v>
      </c>
      <c r="K1696" s="6">
        <v>0</v>
      </c>
      <c r="L1696" s="6">
        <v>111375.70600000001</v>
      </c>
      <c r="M1696" s="6">
        <v>111375.70600000001</v>
      </c>
      <c r="N1696" s="6">
        <v>111375.70600000001</v>
      </c>
      <c r="O1696" s="6">
        <v>111375.70600000001</v>
      </c>
      <c r="P1696" s="6">
        <v>445462</v>
      </c>
      <c r="Q1696" s="4" t="s">
        <v>26</v>
      </c>
      <c r="R1696" s="4">
        <v>0</v>
      </c>
      <c r="S1696" s="6">
        <v>0</v>
      </c>
      <c r="T1696" s="6">
        <v>13</v>
      </c>
      <c r="U1696" s="6">
        <v>58</v>
      </c>
      <c r="V1696" s="6">
        <f>IF(ISERROR(VLOOKUP($S$1696,'TAR FIN'!$A$1:$O$95,15,0)),0,VLOOKUP($S$1696,'TAR FIN'!$A$1:$O$95,15,0))</f>
        <v>0</v>
      </c>
      <c r="W1696" s="6">
        <f>IF(ISERROR(VLOOKUP($T$1696,'TAR FIN'!$A$1:$O$95,15,0)),0,VLOOKUP($T$1696,'TAR FIN'!$A$1:$O$95,15,0))</f>
        <v>450.19</v>
      </c>
      <c r="X1696" s="6">
        <f>IF(ISERROR(VLOOKUP($U$1696,'TAR FIN'!$A$1:$O$95,15,0)),0,VLOOKUP($U$1696,'TAR FIN'!$A$1:$O$95,15,0))</f>
        <v>243.3</v>
      </c>
      <c r="Y1696" s="6"/>
      <c r="Z1696" s="6">
        <f ca="1">('TUSD BE'!$AM$25+'TUSD BF'!$AM$25+'TUSD CVA'!$AM$25)*1</f>
        <v>506.5198438752322</v>
      </c>
      <c r="AA1696" s="6">
        <f>('TE BE'!$AA$13+'TE BF'!$AA$13+'TE CVA'!$AA$13)*1</f>
        <v>297.20166373463735</v>
      </c>
      <c r="AB1696" s="6">
        <f>$K$1696*$V$1696</f>
        <v>0</v>
      </c>
      <c r="AC1696" s="6">
        <f>$M$1696*$W$1696</f>
        <v>50140229.084140003</v>
      </c>
      <c r="AD1696" s="6">
        <f>$O$1696*$X$1696</f>
        <v>27097709.269800004</v>
      </c>
      <c r="AE1696" s="6">
        <f>$K$1696*$Y$1696</f>
        <v>0</v>
      </c>
      <c r="AF1696" s="6">
        <f ca="1">$M$1696*$Z$1696</f>
        <v>56414005.214613765</v>
      </c>
      <c r="AG1696" s="6">
        <f>$O$1696*$AA$1696</f>
        <v>33101045.122819833</v>
      </c>
    </row>
    <row r="1697" spans="1:33" ht="11.25" customHeight="1" x14ac:dyDescent="0.25">
      <c r="A1697" s="4" t="s">
        <v>27</v>
      </c>
      <c r="B1697" s="4" t="s">
        <v>22</v>
      </c>
      <c r="C1697" s="4" t="s">
        <v>23</v>
      </c>
      <c r="D1697" s="4" t="s">
        <v>24</v>
      </c>
      <c r="E1697" s="4" t="s">
        <v>24</v>
      </c>
      <c r="F1697" s="4" t="s">
        <v>25</v>
      </c>
      <c r="G1697" s="4" t="s">
        <v>25</v>
      </c>
      <c r="H1697" s="4" t="s">
        <v>25</v>
      </c>
      <c r="I1697" s="5">
        <v>44287</v>
      </c>
      <c r="J1697" s="6">
        <v>0</v>
      </c>
      <c r="K1697" s="6">
        <v>0</v>
      </c>
      <c r="L1697" s="6">
        <v>-3740.7179999999998</v>
      </c>
      <c r="M1697" s="6">
        <v>-3740.7179999999998</v>
      </c>
      <c r="N1697" s="6">
        <v>-3740.7179999999998</v>
      </c>
      <c r="O1697" s="6">
        <v>-3740.7179999999998</v>
      </c>
      <c r="P1697" s="6">
        <v>0</v>
      </c>
      <c r="Q1697" s="4" t="s">
        <v>26</v>
      </c>
      <c r="R1697" s="4">
        <v>0</v>
      </c>
      <c r="S1697" s="6">
        <v>0</v>
      </c>
      <c r="T1697" s="6">
        <v>13</v>
      </c>
      <c r="U1697" s="6">
        <v>58</v>
      </c>
      <c r="V1697" s="6">
        <f>IF(ISERROR(VLOOKUP($S$1697,'TAR FIN'!$A$1:$O$95,15,0)),0,VLOOKUP($S$1697,'TAR FIN'!$A$1:$O$95,15,0))</f>
        <v>0</v>
      </c>
      <c r="W1697" s="6">
        <f>IF(ISERROR(VLOOKUP($T$1697,'TAR FIN'!$A$1:$O$95,15,0)),0,VLOOKUP($T$1697,'TAR FIN'!$A$1:$O$95,15,0))</f>
        <v>450.19</v>
      </c>
      <c r="X1697" s="6">
        <f>IF(ISERROR(VLOOKUP($U$1697,'TAR FIN'!$A$1:$O$95,15,0)),0,VLOOKUP($U$1697,'TAR FIN'!$A$1:$O$95,15,0))</f>
        <v>243.3</v>
      </c>
      <c r="Y1697" s="6"/>
      <c r="Z1697" s="6">
        <f ca="1">('TUSD BE'!$AM$25+'TUSD BF'!$AM$25+'TUSD CVA'!$AM$25)*1</f>
        <v>506.5198438752322</v>
      </c>
      <c r="AA1697" s="6">
        <f>('TE BE'!$AA$13+'TE BF'!$AA$13+'TE CVA'!$AA$13)*1</f>
        <v>297.20166373463735</v>
      </c>
      <c r="AB1697" s="6">
        <f>$K$1697*$V$1697</f>
        <v>0</v>
      </c>
      <c r="AC1697" s="6">
        <f>$M$1697*$W$1697</f>
        <v>-1684033.8364199998</v>
      </c>
      <c r="AD1697" s="6">
        <f>$O$1697*$X$1697</f>
        <v>-910116.68940000003</v>
      </c>
      <c r="AE1697" s="6">
        <f>$K$1697*$Y$1697</f>
        <v>0</v>
      </c>
      <c r="AF1697" s="6">
        <f ca="1">$M$1697*$Z$1697</f>
        <v>-1894747.8973412707</v>
      </c>
      <c r="AG1697" s="6">
        <f>$O$1697*$AA$1697</f>
        <v>-1111747.6131621052</v>
      </c>
    </row>
    <row r="1698" spans="1:33" ht="11.25" customHeight="1" x14ac:dyDescent="0.25">
      <c r="A1698" s="4" t="s">
        <v>28</v>
      </c>
      <c r="B1698" s="4" t="s">
        <v>22</v>
      </c>
      <c r="C1698" s="4" t="s">
        <v>23</v>
      </c>
      <c r="D1698" s="4" t="s">
        <v>24</v>
      </c>
      <c r="E1698" s="4" t="s">
        <v>24</v>
      </c>
      <c r="F1698" s="4" t="s">
        <v>25</v>
      </c>
      <c r="G1698" s="4" t="s">
        <v>25</v>
      </c>
      <c r="H1698" s="4" t="s">
        <v>25</v>
      </c>
      <c r="I1698" s="5">
        <v>44287</v>
      </c>
      <c r="J1698" s="6">
        <v>0</v>
      </c>
      <c r="K1698" s="6">
        <v>0</v>
      </c>
      <c r="L1698" s="6">
        <v>31073.631000000001</v>
      </c>
      <c r="M1698" s="6">
        <v>31073.631000000001</v>
      </c>
      <c r="N1698" s="6">
        <v>31073.631000000001</v>
      </c>
      <c r="O1698" s="6">
        <v>31073.631000000001</v>
      </c>
      <c r="P1698" s="6">
        <v>174853</v>
      </c>
      <c r="Q1698" s="4" t="s">
        <v>26</v>
      </c>
      <c r="R1698" s="4">
        <v>0</v>
      </c>
      <c r="S1698" s="6">
        <v>0</v>
      </c>
      <c r="T1698" s="6">
        <v>13</v>
      </c>
      <c r="U1698" s="6">
        <v>58</v>
      </c>
      <c r="V1698" s="6">
        <f>IF(ISERROR(VLOOKUP($S$1698,'TAR FIN'!$A$1:$O$95,15,0)),0,VLOOKUP($S$1698,'TAR FIN'!$A$1:$O$95,15,0))</f>
        <v>0</v>
      </c>
      <c r="W1698" s="6">
        <f>IF(ISERROR(VLOOKUP($T$1698,'TAR FIN'!$A$1:$O$95,15,0)),0,VLOOKUP($T$1698,'TAR FIN'!$A$1:$O$95,15,0))</f>
        <v>450.19</v>
      </c>
      <c r="X1698" s="6">
        <f>IF(ISERROR(VLOOKUP($U$1698,'TAR FIN'!$A$1:$O$95,15,0)),0,VLOOKUP($U$1698,'TAR FIN'!$A$1:$O$95,15,0))</f>
        <v>243.3</v>
      </c>
      <c r="Y1698" s="6"/>
      <c r="Z1698" s="6">
        <f ca="1">('TUSD BE'!$AM$25+'TUSD BF'!$AM$25+'TUSD CVA'!$AM$25)*1</f>
        <v>506.5198438752322</v>
      </c>
      <c r="AA1698" s="6">
        <f>('TE BE'!$AA$13+'TE BF'!$AA$13+'TE CVA'!$AA$13)*1</f>
        <v>297.20166373463735</v>
      </c>
      <c r="AB1698" s="6">
        <f>$K$1698*$V$1698</f>
        <v>0</v>
      </c>
      <c r="AC1698" s="6">
        <f>$M$1698*$W$1698</f>
        <v>13989037.939890001</v>
      </c>
      <c r="AD1698" s="6">
        <f>$O$1698*$X$1698</f>
        <v>7560214.4223000007</v>
      </c>
      <c r="AE1698" s="6">
        <f>$K$1698*$Y$1698</f>
        <v>0</v>
      </c>
      <c r="AF1698" s="6">
        <f ca="1">$M$1698*$Z$1698</f>
        <v>15739410.722756576</v>
      </c>
      <c r="AG1698" s="6">
        <f>$O$1698*$AA$1698</f>
        <v>9235134.8314762041</v>
      </c>
    </row>
    <row r="1699" spans="1:33" ht="11.25" customHeight="1" x14ac:dyDescent="0.25">
      <c r="A1699" s="4" t="s">
        <v>29</v>
      </c>
      <c r="B1699" s="4" t="s">
        <v>22</v>
      </c>
      <c r="C1699" s="4" t="s">
        <v>23</v>
      </c>
      <c r="D1699" s="4" t="s">
        <v>24</v>
      </c>
      <c r="E1699" s="4" t="s">
        <v>24</v>
      </c>
      <c r="F1699" s="4" t="s">
        <v>25</v>
      </c>
      <c r="G1699" s="4" t="s">
        <v>25</v>
      </c>
      <c r="H1699" s="4" t="s">
        <v>25</v>
      </c>
      <c r="I1699" s="5">
        <v>44287</v>
      </c>
      <c r="J1699" s="6">
        <v>0</v>
      </c>
      <c r="K1699" s="6">
        <v>0</v>
      </c>
      <c r="L1699" s="6">
        <v>-285.50299999999999</v>
      </c>
      <c r="M1699" s="6">
        <v>-285.50299999999999</v>
      </c>
      <c r="N1699" s="6">
        <v>-285.50299999999999</v>
      </c>
      <c r="O1699" s="6">
        <v>-285.50299999999999</v>
      </c>
      <c r="P1699" s="6">
        <v>0</v>
      </c>
      <c r="Q1699" s="4" t="s">
        <v>26</v>
      </c>
      <c r="R1699" s="4">
        <v>0</v>
      </c>
      <c r="S1699" s="6">
        <v>0</v>
      </c>
      <c r="T1699" s="6">
        <v>13</v>
      </c>
      <c r="U1699" s="6">
        <v>58</v>
      </c>
      <c r="V1699" s="6">
        <f>IF(ISERROR(VLOOKUP($S$1699,'TAR FIN'!$A$1:$O$95,15,0)),0,VLOOKUP($S$1699,'TAR FIN'!$A$1:$O$95,15,0))</f>
        <v>0</v>
      </c>
      <c r="W1699" s="6">
        <f>IF(ISERROR(VLOOKUP($T$1699,'TAR FIN'!$A$1:$O$95,15,0)),0,VLOOKUP($T$1699,'TAR FIN'!$A$1:$O$95,15,0))</f>
        <v>450.19</v>
      </c>
      <c r="X1699" s="6">
        <f>IF(ISERROR(VLOOKUP($U$1699,'TAR FIN'!$A$1:$O$95,15,0)),0,VLOOKUP($U$1699,'TAR FIN'!$A$1:$O$95,15,0))</f>
        <v>243.3</v>
      </c>
      <c r="Y1699" s="6"/>
      <c r="Z1699" s="6">
        <f ca="1">('TUSD BE'!$AM$25+'TUSD BF'!$AM$25+'TUSD CVA'!$AM$25)*1</f>
        <v>506.5198438752322</v>
      </c>
      <c r="AA1699" s="6">
        <f>('TE BE'!$AA$13+'TE BF'!$AA$13+'TE CVA'!$AA$13)*1</f>
        <v>297.20166373463735</v>
      </c>
      <c r="AB1699" s="6">
        <f>$K$1699*$V$1699</f>
        <v>0</v>
      </c>
      <c r="AC1699" s="6">
        <f>$M$1699*$W$1699</f>
        <v>-128530.59556999999</v>
      </c>
      <c r="AD1699" s="6">
        <f>$O$1699*$X$1699</f>
        <v>-69462.8799</v>
      </c>
      <c r="AE1699" s="6">
        <f>$K$1699*$Y$1699</f>
        <v>0</v>
      </c>
      <c r="AF1699" s="6">
        <f ca="1">$M$1699*$Z$1699</f>
        <v>-144612.9349859104</v>
      </c>
      <c r="AG1699" s="6">
        <f>$O$1699*$AA$1699</f>
        <v>-84851.96660123016</v>
      </c>
    </row>
    <row r="1700" spans="1:33" ht="11.25" customHeight="1" x14ac:dyDescent="0.25">
      <c r="A1700" s="4" t="s">
        <v>30</v>
      </c>
      <c r="B1700" s="4" t="s">
        <v>22</v>
      </c>
      <c r="C1700" s="4" t="s">
        <v>23</v>
      </c>
      <c r="D1700" s="4" t="s">
        <v>24</v>
      </c>
      <c r="E1700" s="4" t="s">
        <v>24</v>
      </c>
      <c r="F1700" s="4" t="s">
        <v>25</v>
      </c>
      <c r="G1700" s="4" t="s">
        <v>25</v>
      </c>
      <c r="H1700" s="4" t="s">
        <v>25</v>
      </c>
      <c r="I1700" s="5">
        <v>44287</v>
      </c>
      <c r="J1700" s="6">
        <v>0</v>
      </c>
      <c r="K1700" s="6">
        <v>0</v>
      </c>
      <c r="L1700" s="6">
        <v>1566.3979999999999</v>
      </c>
      <c r="M1700" s="6">
        <v>1566.3979999999999</v>
      </c>
      <c r="N1700" s="6">
        <v>1566.3979999999999</v>
      </c>
      <c r="O1700" s="6">
        <v>1566.3979999999999</v>
      </c>
      <c r="P1700" s="6">
        <v>1998</v>
      </c>
      <c r="Q1700" s="4" t="s">
        <v>26</v>
      </c>
      <c r="R1700" s="4">
        <v>0</v>
      </c>
      <c r="S1700" s="6">
        <v>0</v>
      </c>
      <c r="T1700" s="6">
        <v>13</v>
      </c>
      <c r="U1700" s="6">
        <v>58</v>
      </c>
      <c r="V1700" s="6">
        <f>IF(ISERROR(VLOOKUP($S$1700,'TAR FIN'!$A$1:$O$95,15,0)),0,VLOOKUP($S$1700,'TAR FIN'!$A$1:$O$95,15,0))</f>
        <v>0</v>
      </c>
      <c r="W1700" s="6">
        <f>IF(ISERROR(VLOOKUP($T$1700,'TAR FIN'!$A$1:$O$95,15,0)),0,VLOOKUP($T$1700,'TAR FIN'!$A$1:$O$95,15,0))</f>
        <v>450.19</v>
      </c>
      <c r="X1700" s="6">
        <f>IF(ISERROR(VLOOKUP($U$1700,'TAR FIN'!$A$1:$O$95,15,0)),0,VLOOKUP($U$1700,'TAR FIN'!$A$1:$O$95,15,0))</f>
        <v>243.3</v>
      </c>
      <c r="Y1700" s="6"/>
      <c r="Z1700" s="6">
        <f ca="1">('TUSD BE'!$AM$25+'TUSD BF'!$AM$25+'TUSD CVA'!$AM$25)*1</f>
        <v>506.5198438752322</v>
      </c>
      <c r="AA1700" s="6">
        <f>('TE BE'!$AA$13+'TE BF'!$AA$13+'TE CVA'!$AA$13)*1</f>
        <v>297.20166373463735</v>
      </c>
      <c r="AB1700" s="6">
        <f>$K$1700*$V$1700</f>
        <v>0</v>
      </c>
      <c r="AC1700" s="6">
        <f>$M$1700*$W$1700</f>
        <v>705176.71561999992</v>
      </c>
      <c r="AD1700" s="6">
        <f>$O$1700*$X$1700</f>
        <v>381104.63339999999</v>
      </c>
      <c r="AE1700" s="6">
        <f>$K$1700*$Y$1700</f>
        <v>0</v>
      </c>
      <c r="AF1700" s="6">
        <f ca="1">$M$1700*$Z$1700</f>
        <v>793411.6704064759</v>
      </c>
      <c r="AG1700" s="6">
        <f>$O$1700*$AA$1700</f>
        <v>465536.09167060844</v>
      </c>
    </row>
    <row r="1701" spans="1:33" ht="11.25" customHeight="1" x14ac:dyDescent="0.25">
      <c r="A1701" s="4" t="s">
        <v>30</v>
      </c>
      <c r="B1701" s="4" t="s">
        <v>22</v>
      </c>
      <c r="C1701" s="4" t="s">
        <v>23</v>
      </c>
      <c r="D1701" s="4" t="s">
        <v>24</v>
      </c>
      <c r="E1701" s="4" t="s">
        <v>24</v>
      </c>
      <c r="F1701" s="4" t="s">
        <v>25</v>
      </c>
      <c r="G1701" s="4" t="s">
        <v>25</v>
      </c>
      <c r="H1701" s="4" t="s">
        <v>25</v>
      </c>
      <c r="I1701" s="5">
        <v>44287</v>
      </c>
      <c r="J1701" s="6">
        <v>0</v>
      </c>
      <c r="K1701" s="6">
        <v>0</v>
      </c>
      <c r="L1701" s="6">
        <v>-1.421</v>
      </c>
      <c r="M1701" s="6">
        <v>-1.421</v>
      </c>
      <c r="N1701" s="6">
        <v>-1.421</v>
      </c>
      <c r="O1701" s="6">
        <v>-1.421</v>
      </c>
      <c r="P1701" s="6">
        <v>0</v>
      </c>
      <c r="Q1701" s="4" t="s">
        <v>26</v>
      </c>
      <c r="R1701" s="4">
        <v>0</v>
      </c>
      <c r="S1701" s="6">
        <v>0</v>
      </c>
      <c r="T1701" s="6">
        <v>13</v>
      </c>
      <c r="U1701" s="6">
        <v>58</v>
      </c>
      <c r="V1701" s="6">
        <f>IF(ISERROR(VLOOKUP($S$1701,'TAR FIN'!$A$1:$O$95,15,0)),0,VLOOKUP($S$1701,'TAR FIN'!$A$1:$O$95,15,0))</f>
        <v>0</v>
      </c>
      <c r="W1701" s="6">
        <f>IF(ISERROR(VLOOKUP($T$1701,'TAR FIN'!$A$1:$O$95,15,0)),0,VLOOKUP($T$1701,'TAR FIN'!$A$1:$O$95,15,0))</f>
        <v>450.19</v>
      </c>
      <c r="X1701" s="6">
        <f>IF(ISERROR(VLOOKUP($U$1701,'TAR FIN'!$A$1:$O$95,15,0)),0,VLOOKUP($U$1701,'TAR FIN'!$A$1:$O$95,15,0))</f>
        <v>243.3</v>
      </c>
      <c r="Y1701" s="6"/>
      <c r="Z1701" s="6">
        <f ca="1">('TUSD BE'!$AM$25+'TUSD BF'!$AM$25+'TUSD CVA'!$AM$25)*1</f>
        <v>506.5198438752322</v>
      </c>
      <c r="AA1701" s="6">
        <f>('TE BE'!$AA$13+'TE BF'!$AA$13+'TE CVA'!$AA$13)*1</f>
        <v>297.20166373463735</v>
      </c>
      <c r="AB1701" s="6">
        <f>$K$1701*$V$1701</f>
        <v>0</v>
      </c>
      <c r="AC1701" s="6">
        <f>$M$1701*$W$1701</f>
        <v>-639.71999000000005</v>
      </c>
      <c r="AD1701" s="6">
        <f>$O$1701*$X$1701</f>
        <v>-345.72930000000002</v>
      </c>
      <c r="AE1701" s="6">
        <f>$K$1701*$Y$1701</f>
        <v>0</v>
      </c>
      <c r="AF1701" s="6">
        <f ca="1">$M$1701*$Z$1701</f>
        <v>-719.76469814670497</v>
      </c>
      <c r="AG1701" s="6">
        <f>$O$1701*$AA$1701</f>
        <v>-422.32356416691971</v>
      </c>
    </row>
    <row r="1702" spans="1:33" ht="11.25" customHeight="1" x14ac:dyDescent="0.25">
      <c r="A1702" s="4" t="s">
        <v>21</v>
      </c>
      <c r="B1702" s="4" t="s">
        <v>22</v>
      </c>
      <c r="C1702" s="4" t="s">
        <v>23</v>
      </c>
      <c r="D1702" s="4" t="s">
        <v>24</v>
      </c>
      <c r="E1702" s="4" t="s">
        <v>24</v>
      </c>
      <c r="F1702" s="4" t="s">
        <v>25</v>
      </c>
      <c r="G1702" s="4" t="s">
        <v>25</v>
      </c>
      <c r="H1702" s="4" t="s">
        <v>25</v>
      </c>
      <c r="I1702" s="5">
        <v>44317</v>
      </c>
      <c r="J1702" s="6">
        <v>0</v>
      </c>
      <c r="K1702" s="6">
        <v>0</v>
      </c>
      <c r="L1702" s="6">
        <v>111138.281</v>
      </c>
      <c r="M1702" s="6">
        <v>111138.281</v>
      </c>
      <c r="N1702" s="6">
        <v>111138.281</v>
      </c>
      <c r="O1702" s="6">
        <v>111138.281</v>
      </c>
      <c r="P1702" s="6">
        <v>446601</v>
      </c>
      <c r="Q1702" s="4" t="s">
        <v>26</v>
      </c>
      <c r="R1702" s="4">
        <v>0</v>
      </c>
      <c r="S1702" s="6">
        <v>0</v>
      </c>
      <c r="T1702" s="6">
        <v>13</v>
      </c>
      <c r="U1702" s="6">
        <v>58</v>
      </c>
      <c r="V1702" s="6">
        <f>IF(ISERROR(VLOOKUP($S$1702,'TAR FIN'!$A$1:$O$95,15,0)),0,VLOOKUP($S$1702,'TAR FIN'!$A$1:$O$95,15,0))</f>
        <v>0</v>
      </c>
      <c r="W1702" s="6">
        <f>IF(ISERROR(VLOOKUP($T$1702,'TAR FIN'!$A$1:$O$95,15,0)),0,VLOOKUP($T$1702,'TAR FIN'!$A$1:$O$95,15,0))</f>
        <v>450.19</v>
      </c>
      <c r="X1702" s="6">
        <f>IF(ISERROR(VLOOKUP($U$1702,'TAR FIN'!$A$1:$O$95,15,0)),0,VLOOKUP($U$1702,'TAR FIN'!$A$1:$O$95,15,0))</f>
        <v>243.3</v>
      </c>
      <c r="Y1702" s="6"/>
      <c r="Z1702" s="6">
        <f ca="1">('TUSD BE'!$AM$25+'TUSD BF'!$AM$25+'TUSD CVA'!$AM$25)*1</f>
        <v>506.5198438752322</v>
      </c>
      <c r="AA1702" s="6">
        <f>('TE BE'!$AA$13+'TE BF'!$AA$13+'TE CVA'!$AA$13)*1</f>
        <v>297.20166373463735</v>
      </c>
      <c r="AB1702" s="6">
        <f>$K$1702*$V$1702</f>
        <v>0</v>
      </c>
      <c r="AC1702" s="6">
        <f>$M$1702*$W$1702</f>
        <v>50033342.723389998</v>
      </c>
      <c r="AD1702" s="6">
        <f>$O$1702*$X$1702</f>
        <v>27039943.767300002</v>
      </c>
      <c r="AE1702" s="6">
        <f>$K$1702*$Y$1702</f>
        <v>0</v>
      </c>
      <c r="AF1702" s="6">
        <f ca="1">$M$1702*$Z$1702</f>
        <v>56293744.740681686</v>
      </c>
      <c r="AG1702" s="6">
        <f>$O$1702*$AA$1702</f>
        <v>33030482.017807636</v>
      </c>
    </row>
    <row r="1703" spans="1:33" ht="11.25" customHeight="1" x14ac:dyDescent="0.25">
      <c r="A1703" s="4" t="s">
        <v>27</v>
      </c>
      <c r="B1703" s="4" t="s">
        <v>22</v>
      </c>
      <c r="C1703" s="4" t="s">
        <v>23</v>
      </c>
      <c r="D1703" s="4" t="s">
        <v>24</v>
      </c>
      <c r="E1703" s="4" t="s">
        <v>24</v>
      </c>
      <c r="F1703" s="4" t="s">
        <v>25</v>
      </c>
      <c r="G1703" s="4" t="s">
        <v>25</v>
      </c>
      <c r="H1703" s="4" t="s">
        <v>25</v>
      </c>
      <c r="I1703" s="5">
        <v>44317</v>
      </c>
      <c r="J1703" s="6">
        <v>0</v>
      </c>
      <c r="K1703" s="6">
        <v>0</v>
      </c>
      <c r="L1703" s="6">
        <v>-3407.97</v>
      </c>
      <c r="M1703" s="6">
        <v>-3407.97</v>
      </c>
      <c r="N1703" s="6">
        <v>-3407.97</v>
      </c>
      <c r="O1703" s="6">
        <v>-3407.97</v>
      </c>
      <c r="P1703" s="6">
        <v>0</v>
      </c>
      <c r="Q1703" s="4" t="s">
        <v>26</v>
      </c>
      <c r="R1703" s="4">
        <v>0</v>
      </c>
      <c r="S1703" s="6">
        <v>0</v>
      </c>
      <c r="T1703" s="6">
        <v>13</v>
      </c>
      <c r="U1703" s="6">
        <v>58</v>
      </c>
      <c r="V1703" s="6">
        <f>IF(ISERROR(VLOOKUP($S$1703,'TAR FIN'!$A$1:$O$95,15,0)),0,VLOOKUP($S$1703,'TAR FIN'!$A$1:$O$95,15,0))</f>
        <v>0</v>
      </c>
      <c r="W1703" s="6">
        <f>IF(ISERROR(VLOOKUP($T$1703,'TAR FIN'!$A$1:$O$95,15,0)),0,VLOOKUP($T$1703,'TAR FIN'!$A$1:$O$95,15,0))</f>
        <v>450.19</v>
      </c>
      <c r="X1703" s="6">
        <f>IF(ISERROR(VLOOKUP($U$1703,'TAR FIN'!$A$1:$O$95,15,0)),0,VLOOKUP($U$1703,'TAR FIN'!$A$1:$O$95,15,0))</f>
        <v>243.3</v>
      </c>
      <c r="Y1703" s="6"/>
      <c r="Z1703" s="6">
        <f ca="1">('TUSD BE'!$AM$25+'TUSD BF'!$AM$25+'TUSD CVA'!$AM$25)*1</f>
        <v>506.5198438752322</v>
      </c>
      <c r="AA1703" s="6">
        <f>('TE BE'!$AA$13+'TE BF'!$AA$13+'TE CVA'!$AA$13)*1</f>
        <v>297.20166373463735</v>
      </c>
      <c r="AB1703" s="6">
        <f>$K$1703*$V$1703</f>
        <v>0</v>
      </c>
      <c r="AC1703" s="6">
        <f>$M$1703*$W$1703</f>
        <v>-1534234.0142999999</v>
      </c>
      <c r="AD1703" s="6">
        <f>$O$1703*$X$1703</f>
        <v>-829159.10100000002</v>
      </c>
      <c r="AE1703" s="6">
        <f>$K$1703*$Y$1703</f>
        <v>0</v>
      </c>
      <c r="AF1703" s="6">
        <f ca="1">$M$1703*$Z$1703</f>
        <v>-1726204.432331475</v>
      </c>
      <c r="AG1703" s="6">
        <f>$O$1703*$AA$1703</f>
        <v>-1012854.353957732</v>
      </c>
    </row>
    <row r="1704" spans="1:33" ht="11.25" customHeight="1" x14ac:dyDescent="0.25">
      <c r="A1704" s="4" t="s">
        <v>28</v>
      </c>
      <c r="B1704" s="4" t="s">
        <v>22</v>
      </c>
      <c r="C1704" s="4" t="s">
        <v>23</v>
      </c>
      <c r="D1704" s="4" t="s">
        <v>24</v>
      </c>
      <c r="E1704" s="4" t="s">
        <v>24</v>
      </c>
      <c r="F1704" s="4" t="s">
        <v>25</v>
      </c>
      <c r="G1704" s="4" t="s">
        <v>25</v>
      </c>
      <c r="H1704" s="4" t="s">
        <v>25</v>
      </c>
      <c r="I1704" s="5">
        <v>44317</v>
      </c>
      <c r="J1704" s="6">
        <v>0</v>
      </c>
      <c r="K1704" s="6">
        <v>0</v>
      </c>
      <c r="L1704" s="6">
        <v>31084.111000000001</v>
      </c>
      <c r="M1704" s="6">
        <v>31084.111000000001</v>
      </c>
      <c r="N1704" s="6">
        <v>31084.111000000001</v>
      </c>
      <c r="O1704" s="6">
        <v>31084.111000000001</v>
      </c>
      <c r="P1704" s="6">
        <v>176492</v>
      </c>
      <c r="Q1704" s="4" t="s">
        <v>26</v>
      </c>
      <c r="R1704" s="4">
        <v>0</v>
      </c>
      <c r="S1704" s="6">
        <v>0</v>
      </c>
      <c r="T1704" s="6">
        <v>13</v>
      </c>
      <c r="U1704" s="6">
        <v>58</v>
      </c>
      <c r="V1704" s="6">
        <f>IF(ISERROR(VLOOKUP($S$1704,'TAR FIN'!$A$1:$O$95,15,0)),0,VLOOKUP($S$1704,'TAR FIN'!$A$1:$O$95,15,0))</f>
        <v>0</v>
      </c>
      <c r="W1704" s="6">
        <f>IF(ISERROR(VLOOKUP($T$1704,'TAR FIN'!$A$1:$O$95,15,0)),0,VLOOKUP($T$1704,'TAR FIN'!$A$1:$O$95,15,0))</f>
        <v>450.19</v>
      </c>
      <c r="X1704" s="6">
        <f>IF(ISERROR(VLOOKUP($U$1704,'TAR FIN'!$A$1:$O$95,15,0)),0,VLOOKUP($U$1704,'TAR FIN'!$A$1:$O$95,15,0))</f>
        <v>243.3</v>
      </c>
      <c r="Y1704" s="6"/>
      <c r="Z1704" s="6">
        <f ca="1">('TUSD BE'!$AM$25+'TUSD BF'!$AM$25+'TUSD CVA'!$AM$25)*1</f>
        <v>506.5198438752322</v>
      </c>
      <c r="AA1704" s="6">
        <f>('TE BE'!$AA$13+'TE BF'!$AA$13+'TE CVA'!$AA$13)*1</f>
        <v>297.20166373463735</v>
      </c>
      <c r="AB1704" s="6">
        <f>$K$1704*$V$1704</f>
        <v>0</v>
      </c>
      <c r="AC1704" s="6">
        <f>$M$1704*$W$1704</f>
        <v>13993755.931090001</v>
      </c>
      <c r="AD1704" s="6">
        <f>$O$1704*$X$1704</f>
        <v>7562764.2063000007</v>
      </c>
      <c r="AE1704" s="6">
        <f>$K$1704*$Y$1704</f>
        <v>0</v>
      </c>
      <c r="AF1704" s="6">
        <f ca="1">$M$1704*$Z$1704</f>
        <v>15744719.050720388</v>
      </c>
      <c r="AG1704" s="6">
        <f>$O$1704*$AA$1704</f>
        <v>9238249.5049121417</v>
      </c>
    </row>
    <row r="1705" spans="1:33" ht="11.25" customHeight="1" x14ac:dyDescent="0.25">
      <c r="A1705" s="4" t="s">
        <v>29</v>
      </c>
      <c r="B1705" s="4" t="s">
        <v>22</v>
      </c>
      <c r="C1705" s="4" t="s">
        <v>23</v>
      </c>
      <c r="D1705" s="4" t="s">
        <v>24</v>
      </c>
      <c r="E1705" s="4" t="s">
        <v>24</v>
      </c>
      <c r="F1705" s="4" t="s">
        <v>25</v>
      </c>
      <c r="G1705" s="4" t="s">
        <v>25</v>
      </c>
      <c r="H1705" s="4" t="s">
        <v>25</v>
      </c>
      <c r="I1705" s="5">
        <v>44317</v>
      </c>
      <c r="J1705" s="6">
        <v>0</v>
      </c>
      <c r="K1705" s="6">
        <v>0</v>
      </c>
      <c r="L1705" s="6">
        <v>-499.12</v>
      </c>
      <c r="M1705" s="6">
        <v>-499.12</v>
      </c>
      <c r="N1705" s="6">
        <v>-499.12</v>
      </c>
      <c r="O1705" s="6">
        <v>-499.12</v>
      </c>
      <c r="P1705" s="6">
        <v>0</v>
      </c>
      <c r="Q1705" s="4" t="s">
        <v>26</v>
      </c>
      <c r="R1705" s="4">
        <v>0</v>
      </c>
      <c r="S1705" s="6">
        <v>0</v>
      </c>
      <c r="T1705" s="6">
        <v>13</v>
      </c>
      <c r="U1705" s="6">
        <v>58</v>
      </c>
      <c r="V1705" s="6">
        <f>IF(ISERROR(VLOOKUP($S$1705,'TAR FIN'!$A$1:$O$95,15,0)),0,VLOOKUP($S$1705,'TAR FIN'!$A$1:$O$95,15,0))</f>
        <v>0</v>
      </c>
      <c r="W1705" s="6">
        <f>IF(ISERROR(VLOOKUP($T$1705,'TAR FIN'!$A$1:$O$95,15,0)),0,VLOOKUP($T$1705,'TAR FIN'!$A$1:$O$95,15,0))</f>
        <v>450.19</v>
      </c>
      <c r="X1705" s="6">
        <f>IF(ISERROR(VLOOKUP($U$1705,'TAR FIN'!$A$1:$O$95,15,0)),0,VLOOKUP($U$1705,'TAR FIN'!$A$1:$O$95,15,0))</f>
        <v>243.3</v>
      </c>
      <c r="Y1705" s="6"/>
      <c r="Z1705" s="6">
        <f ca="1">('TUSD BE'!$AM$25+'TUSD BF'!$AM$25+'TUSD CVA'!$AM$25)*1</f>
        <v>506.5198438752322</v>
      </c>
      <c r="AA1705" s="6">
        <f>('TE BE'!$AA$13+'TE BF'!$AA$13+'TE CVA'!$AA$13)*1</f>
        <v>297.20166373463735</v>
      </c>
      <c r="AB1705" s="6">
        <f>$K$1705*$V$1705</f>
        <v>0</v>
      </c>
      <c r="AC1705" s="6">
        <f>$M$1705*$W$1705</f>
        <v>-224698.8328</v>
      </c>
      <c r="AD1705" s="6">
        <f>$O$1705*$X$1705</f>
        <v>-121435.89600000001</v>
      </c>
      <c r="AE1705" s="6">
        <f>$K$1705*$Y$1705</f>
        <v>0</v>
      </c>
      <c r="AF1705" s="6">
        <f ca="1">$M$1705*$Z$1705</f>
        <v>-252814.1844750059</v>
      </c>
      <c r="AG1705" s="6">
        <f>$O$1705*$AA$1705</f>
        <v>-148339.2944032322</v>
      </c>
    </row>
    <row r="1706" spans="1:33" ht="11.25" customHeight="1" x14ac:dyDescent="0.25">
      <c r="A1706" s="4" t="s">
        <v>30</v>
      </c>
      <c r="B1706" s="4" t="s">
        <v>22</v>
      </c>
      <c r="C1706" s="4" t="s">
        <v>23</v>
      </c>
      <c r="D1706" s="4" t="s">
        <v>24</v>
      </c>
      <c r="E1706" s="4" t="s">
        <v>24</v>
      </c>
      <c r="F1706" s="4" t="s">
        <v>25</v>
      </c>
      <c r="G1706" s="4" t="s">
        <v>25</v>
      </c>
      <c r="H1706" s="4" t="s">
        <v>25</v>
      </c>
      <c r="I1706" s="5">
        <v>44317</v>
      </c>
      <c r="J1706" s="6">
        <v>0</v>
      </c>
      <c r="K1706" s="6">
        <v>0</v>
      </c>
      <c r="L1706" s="6">
        <v>1586.3230000000001</v>
      </c>
      <c r="M1706" s="6">
        <v>1586.3230000000001</v>
      </c>
      <c r="N1706" s="6">
        <v>1586.3230000000001</v>
      </c>
      <c r="O1706" s="6">
        <v>1586.3230000000001</v>
      </c>
      <c r="P1706" s="6">
        <v>2181</v>
      </c>
      <c r="Q1706" s="4" t="s">
        <v>26</v>
      </c>
      <c r="R1706" s="4">
        <v>0</v>
      </c>
      <c r="S1706" s="6">
        <v>0</v>
      </c>
      <c r="T1706" s="6">
        <v>13</v>
      </c>
      <c r="U1706" s="6">
        <v>58</v>
      </c>
      <c r="V1706" s="6">
        <f>IF(ISERROR(VLOOKUP($S$1706,'TAR FIN'!$A$1:$O$95,15,0)),0,VLOOKUP($S$1706,'TAR FIN'!$A$1:$O$95,15,0))</f>
        <v>0</v>
      </c>
      <c r="W1706" s="6">
        <f>IF(ISERROR(VLOOKUP($T$1706,'TAR FIN'!$A$1:$O$95,15,0)),0,VLOOKUP($T$1706,'TAR FIN'!$A$1:$O$95,15,0))</f>
        <v>450.19</v>
      </c>
      <c r="X1706" s="6">
        <f>IF(ISERROR(VLOOKUP($U$1706,'TAR FIN'!$A$1:$O$95,15,0)),0,VLOOKUP($U$1706,'TAR FIN'!$A$1:$O$95,15,0))</f>
        <v>243.3</v>
      </c>
      <c r="Y1706" s="6"/>
      <c r="Z1706" s="6">
        <f ca="1">('TUSD BE'!$AM$25+'TUSD BF'!$AM$25+'TUSD CVA'!$AM$25)*1</f>
        <v>506.5198438752322</v>
      </c>
      <c r="AA1706" s="6">
        <f>('TE BE'!$AA$13+'TE BF'!$AA$13+'TE CVA'!$AA$13)*1</f>
        <v>297.20166373463735</v>
      </c>
      <c r="AB1706" s="6">
        <f>$K$1706*$V$1706</f>
        <v>0</v>
      </c>
      <c r="AC1706" s="6">
        <f>$M$1706*$W$1706</f>
        <v>714146.75137000007</v>
      </c>
      <c r="AD1706" s="6">
        <f>$O$1706*$X$1706</f>
        <v>385952.38590000005</v>
      </c>
      <c r="AE1706" s="6">
        <f>$K$1706*$Y$1706</f>
        <v>0</v>
      </c>
      <c r="AF1706" s="6">
        <f ca="1">$M$1706*$Z$1706</f>
        <v>803504.07829569001</v>
      </c>
      <c r="AG1706" s="6">
        <f>$O$1706*$AA$1706</f>
        <v>471457.83482052118</v>
      </c>
    </row>
    <row r="1707" spans="1:33" ht="11.25" customHeight="1" x14ac:dyDescent="0.25">
      <c r="A1707" s="4" t="s">
        <v>30</v>
      </c>
      <c r="B1707" s="4" t="s">
        <v>22</v>
      </c>
      <c r="C1707" s="4" t="s">
        <v>23</v>
      </c>
      <c r="D1707" s="4" t="s">
        <v>24</v>
      </c>
      <c r="E1707" s="4" t="s">
        <v>24</v>
      </c>
      <c r="F1707" s="4" t="s">
        <v>25</v>
      </c>
      <c r="G1707" s="4" t="s">
        <v>25</v>
      </c>
      <c r="H1707" s="4" t="s">
        <v>25</v>
      </c>
      <c r="I1707" s="5">
        <v>44317</v>
      </c>
      <c r="J1707" s="6">
        <v>0</v>
      </c>
      <c r="K1707" s="6">
        <v>0</v>
      </c>
      <c r="L1707" s="6">
        <v>-19.84</v>
      </c>
      <c r="M1707" s="6">
        <v>-19.84</v>
      </c>
      <c r="N1707" s="6">
        <v>-19.84</v>
      </c>
      <c r="O1707" s="6">
        <v>-19.84</v>
      </c>
      <c r="P1707" s="6">
        <v>0</v>
      </c>
      <c r="Q1707" s="4" t="s">
        <v>26</v>
      </c>
      <c r="R1707" s="4">
        <v>0</v>
      </c>
      <c r="S1707" s="6">
        <v>0</v>
      </c>
      <c r="T1707" s="6">
        <v>13</v>
      </c>
      <c r="U1707" s="6">
        <v>58</v>
      </c>
      <c r="V1707" s="6">
        <f>IF(ISERROR(VLOOKUP($S$1707,'TAR FIN'!$A$1:$O$95,15,0)),0,VLOOKUP($S$1707,'TAR FIN'!$A$1:$O$95,15,0))</f>
        <v>0</v>
      </c>
      <c r="W1707" s="6">
        <f>IF(ISERROR(VLOOKUP($T$1707,'TAR FIN'!$A$1:$O$95,15,0)),0,VLOOKUP($T$1707,'TAR FIN'!$A$1:$O$95,15,0))</f>
        <v>450.19</v>
      </c>
      <c r="X1707" s="6">
        <f>IF(ISERROR(VLOOKUP($U$1707,'TAR FIN'!$A$1:$O$95,15,0)),0,VLOOKUP($U$1707,'TAR FIN'!$A$1:$O$95,15,0))</f>
        <v>243.3</v>
      </c>
      <c r="Y1707" s="6"/>
      <c r="Z1707" s="6">
        <f ca="1">('TUSD BE'!$AM$25+'TUSD BF'!$AM$25+'TUSD CVA'!$AM$25)*1</f>
        <v>506.5198438752322</v>
      </c>
      <c r="AA1707" s="6">
        <f>('TE BE'!$AA$13+'TE BF'!$AA$13+'TE CVA'!$AA$13)*1</f>
        <v>297.20166373463735</v>
      </c>
      <c r="AB1707" s="6">
        <f>$K$1707*$V$1707</f>
        <v>0</v>
      </c>
      <c r="AC1707" s="6">
        <f>$M$1707*$W$1707</f>
        <v>-8931.7695999999996</v>
      </c>
      <c r="AD1707" s="6">
        <f>$O$1707*$X$1707</f>
        <v>-4827.0720000000001</v>
      </c>
      <c r="AE1707" s="6">
        <f>$K$1707*$Y$1707</f>
        <v>0</v>
      </c>
      <c r="AF1707" s="6">
        <f ca="1">$M$1707*$Z$1707</f>
        <v>-10049.353702484606</v>
      </c>
      <c r="AG1707" s="6">
        <f>$O$1707*$AA$1707</f>
        <v>-5896.4810084952051</v>
      </c>
    </row>
    <row r="1708" spans="1:33" ht="11.25" customHeight="1" x14ac:dyDescent="0.25">
      <c r="A1708" s="4" t="s">
        <v>21</v>
      </c>
      <c r="B1708" s="4" t="s">
        <v>22</v>
      </c>
      <c r="C1708" s="4" t="s">
        <v>23</v>
      </c>
      <c r="D1708" s="4" t="s">
        <v>24</v>
      </c>
      <c r="E1708" s="4" t="s">
        <v>24</v>
      </c>
      <c r="F1708" s="4" t="s">
        <v>25</v>
      </c>
      <c r="G1708" s="4" t="s">
        <v>25</v>
      </c>
      <c r="H1708" s="4" t="s">
        <v>25</v>
      </c>
      <c r="I1708" s="5">
        <v>44348</v>
      </c>
      <c r="J1708" s="6">
        <v>0</v>
      </c>
      <c r="K1708" s="6">
        <v>0</v>
      </c>
      <c r="L1708" s="6">
        <v>118555.575</v>
      </c>
      <c r="M1708" s="6">
        <v>118555.575</v>
      </c>
      <c r="N1708" s="6">
        <v>118555.575</v>
      </c>
      <c r="O1708" s="6">
        <v>118555.575</v>
      </c>
      <c r="P1708" s="6">
        <v>445937</v>
      </c>
      <c r="Q1708" s="4" t="s">
        <v>26</v>
      </c>
      <c r="R1708" s="4">
        <v>0</v>
      </c>
      <c r="S1708" s="6">
        <v>0</v>
      </c>
      <c r="T1708" s="6">
        <v>13</v>
      </c>
      <c r="U1708" s="6">
        <v>58</v>
      </c>
      <c r="V1708" s="6">
        <f>IF(ISERROR(VLOOKUP($S$1708,'TAR FIN'!$A$1:$O$95,15,0)),0,VLOOKUP($S$1708,'TAR FIN'!$A$1:$O$95,15,0))</f>
        <v>0</v>
      </c>
      <c r="W1708" s="6">
        <f>IF(ISERROR(VLOOKUP($T$1708,'TAR FIN'!$A$1:$O$95,15,0)),0,VLOOKUP($T$1708,'TAR FIN'!$A$1:$O$95,15,0))</f>
        <v>450.19</v>
      </c>
      <c r="X1708" s="6">
        <f>IF(ISERROR(VLOOKUP($U$1708,'TAR FIN'!$A$1:$O$95,15,0)),0,VLOOKUP($U$1708,'TAR FIN'!$A$1:$O$95,15,0))</f>
        <v>243.3</v>
      </c>
      <c r="Y1708" s="6"/>
      <c r="Z1708" s="6">
        <f ca="1">('TUSD BE'!$AM$25+'TUSD BF'!$AM$25+'TUSD CVA'!$AM$25)*1</f>
        <v>506.5198438752322</v>
      </c>
      <c r="AA1708" s="6">
        <f>('TE BE'!$AA$13+'TE BF'!$AA$13+'TE CVA'!$AA$13)*1</f>
        <v>297.20166373463735</v>
      </c>
      <c r="AB1708" s="6">
        <f>$K$1708*$V$1708</f>
        <v>0</v>
      </c>
      <c r="AC1708" s="6">
        <f>$M$1708*$W$1708</f>
        <v>53372534.309249997</v>
      </c>
      <c r="AD1708" s="6">
        <f>$O$1708*$X$1708</f>
        <v>28844571.397500001</v>
      </c>
      <c r="AE1708" s="6">
        <f>$K$1708*$Y$1708</f>
        <v>0</v>
      </c>
      <c r="AF1708" s="6">
        <f ca="1">$M$1708*$Z$1708</f>
        <v>60050751.339538381</v>
      </c>
      <c r="AG1708" s="6">
        <f>$O$1708*$AA$1708</f>
        <v>35234914.135016575</v>
      </c>
    </row>
    <row r="1709" spans="1:33" ht="11.25" customHeight="1" x14ac:dyDescent="0.25">
      <c r="A1709" s="4" t="s">
        <v>27</v>
      </c>
      <c r="B1709" s="4" t="s">
        <v>22</v>
      </c>
      <c r="C1709" s="4" t="s">
        <v>23</v>
      </c>
      <c r="D1709" s="4" t="s">
        <v>24</v>
      </c>
      <c r="E1709" s="4" t="s">
        <v>24</v>
      </c>
      <c r="F1709" s="4" t="s">
        <v>25</v>
      </c>
      <c r="G1709" s="4" t="s">
        <v>25</v>
      </c>
      <c r="H1709" s="4" t="s">
        <v>25</v>
      </c>
      <c r="I1709" s="5">
        <v>44348</v>
      </c>
      <c r="J1709" s="6">
        <v>0</v>
      </c>
      <c r="K1709" s="6">
        <v>0</v>
      </c>
      <c r="L1709" s="6">
        <v>-3964.3440000000001</v>
      </c>
      <c r="M1709" s="6">
        <v>-3964.3440000000001</v>
      </c>
      <c r="N1709" s="6">
        <v>-3964.3440000000001</v>
      </c>
      <c r="O1709" s="6">
        <v>-3964.3440000000001</v>
      </c>
      <c r="P1709" s="6">
        <v>0</v>
      </c>
      <c r="Q1709" s="4" t="s">
        <v>26</v>
      </c>
      <c r="R1709" s="4">
        <v>0</v>
      </c>
      <c r="S1709" s="6">
        <v>0</v>
      </c>
      <c r="T1709" s="6">
        <v>13</v>
      </c>
      <c r="U1709" s="6">
        <v>58</v>
      </c>
      <c r="V1709" s="6">
        <f>IF(ISERROR(VLOOKUP($S$1709,'TAR FIN'!$A$1:$O$95,15,0)),0,VLOOKUP($S$1709,'TAR FIN'!$A$1:$O$95,15,0))</f>
        <v>0</v>
      </c>
      <c r="W1709" s="6">
        <f>IF(ISERROR(VLOOKUP($T$1709,'TAR FIN'!$A$1:$O$95,15,0)),0,VLOOKUP($T$1709,'TAR FIN'!$A$1:$O$95,15,0))</f>
        <v>450.19</v>
      </c>
      <c r="X1709" s="6">
        <f>IF(ISERROR(VLOOKUP($U$1709,'TAR FIN'!$A$1:$O$95,15,0)),0,VLOOKUP($U$1709,'TAR FIN'!$A$1:$O$95,15,0))</f>
        <v>243.3</v>
      </c>
      <c r="Y1709" s="6"/>
      <c r="Z1709" s="6">
        <f ca="1">('TUSD BE'!$AM$25+'TUSD BF'!$AM$25+'TUSD CVA'!$AM$25)*1</f>
        <v>506.5198438752322</v>
      </c>
      <c r="AA1709" s="6">
        <f>('TE BE'!$AA$13+'TE BF'!$AA$13+'TE CVA'!$AA$13)*1</f>
        <v>297.20166373463735</v>
      </c>
      <c r="AB1709" s="6">
        <f>$K$1709*$V$1709</f>
        <v>0</v>
      </c>
      <c r="AC1709" s="6">
        <f>$M$1709*$W$1709</f>
        <v>-1784708.0253600001</v>
      </c>
      <c r="AD1709" s="6">
        <f>$O$1709*$X$1709</f>
        <v>-964524.89520000003</v>
      </c>
      <c r="AE1709" s="6">
        <f>$K$1709*$Y$1709</f>
        <v>0</v>
      </c>
      <c r="AF1709" s="6">
        <f ca="1">$M$1709*$Z$1709</f>
        <v>-2008018.9039477136</v>
      </c>
      <c r="AG1709" s="6">
        <f>$O$1709*$AA$1709</f>
        <v>-1178209.6324164271</v>
      </c>
    </row>
    <row r="1710" spans="1:33" ht="11.25" customHeight="1" x14ac:dyDescent="0.25">
      <c r="A1710" s="4" t="s">
        <v>28</v>
      </c>
      <c r="B1710" s="4" t="s">
        <v>22</v>
      </c>
      <c r="C1710" s="4" t="s">
        <v>23</v>
      </c>
      <c r="D1710" s="4" t="s">
        <v>24</v>
      </c>
      <c r="E1710" s="4" t="s">
        <v>24</v>
      </c>
      <c r="F1710" s="4" t="s">
        <v>25</v>
      </c>
      <c r="G1710" s="4" t="s">
        <v>25</v>
      </c>
      <c r="H1710" s="4" t="s">
        <v>25</v>
      </c>
      <c r="I1710" s="5">
        <v>44348</v>
      </c>
      <c r="J1710" s="6">
        <v>0</v>
      </c>
      <c r="K1710" s="6">
        <v>0</v>
      </c>
      <c r="L1710" s="6">
        <v>33036.377999999997</v>
      </c>
      <c r="M1710" s="6">
        <v>33036.377999999997</v>
      </c>
      <c r="N1710" s="6">
        <v>33036.377999999997</v>
      </c>
      <c r="O1710" s="6">
        <v>33036.377999999997</v>
      </c>
      <c r="P1710" s="6">
        <v>176259</v>
      </c>
      <c r="Q1710" s="4" t="s">
        <v>26</v>
      </c>
      <c r="R1710" s="4">
        <v>0</v>
      </c>
      <c r="S1710" s="6">
        <v>0</v>
      </c>
      <c r="T1710" s="6">
        <v>13</v>
      </c>
      <c r="U1710" s="6">
        <v>58</v>
      </c>
      <c r="V1710" s="6">
        <f>IF(ISERROR(VLOOKUP($S$1710,'TAR FIN'!$A$1:$O$95,15,0)),0,VLOOKUP($S$1710,'TAR FIN'!$A$1:$O$95,15,0))</f>
        <v>0</v>
      </c>
      <c r="W1710" s="6">
        <f>IF(ISERROR(VLOOKUP($T$1710,'TAR FIN'!$A$1:$O$95,15,0)),0,VLOOKUP($T$1710,'TAR FIN'!$A$1:$O$95,15,0))</f>
        <v>450.19</v>
      </c>
      <c r="X1710" s="6">
        <f>IF(ISERROR(VLOOKUP($U$1710,'TAR FIN'!$A$1:$O$95,15,0)),0,VLOOKUP($U$1710,'TAR FIN'!$A$1:$O$95,15,0))</f>
        <v>243.3</v>
      </c>
      <c r="Y1710" s="6"/>
      <c r="Z1710" s="6">
        <f ca="1">('TUSD BE'!$AM$25+'TUSD BF'!$AM$25+'TUSD CVA'!$AM$25)*1</f>
        <v>506.5198438752322</v>
      </c>
      <c r="AA1710" s="6">
        <f>('TE BE'!$AA$13+'TE BF'!$AA$13+'TE CVA'!$AA$13)*1</f>
        <v>297.20166373463735</v>
      </c>
      <c r="AB1710" s="6">
        <f>$K$1710*$V$1710</f>
        <v>0</v>
      </c>
      <c r="AC1710" s="6">
        <f>$M$1710*$W$1710</f>
        <v>14872647.011819998</v>
      </c>
      <c r="AD1710" s="6">
        <f>$O$1710*$X$1710</f>
        <v>8037750.7673999993</v>
      </c>
      <c r="AE1710" s="6">
        <f>$K$1710*$Y$1710</f>
        <v>0</v>
      </c>
      <c r="AF1710" s="6">
        <f ca="1">$M$1710*$Z$1710</f>
        <v>16733581.026763154</v>
      </c>
      <c r="AG1710" s="6">
        <f>$O$1710*$AA$1710</f>
        <v>9818466.5053663701</v>
      </c>
    </row>
    <row r="1711" spans="1:33" ht="11.25" customHeight="1" x14ac:dyDescent="0.25">
      <c r="A1711" s="4" t="s">
        <v>29</v>
      </c>
      <c r="B1711" s="4" t="s">
        <v>22</v>
      </c>
      <c r="C1711" s="4" t="s">
        <v>23</v>
      </c>
      <c r="D1711" s="4" t="s">
        <v>24</v>
      </c>
      <c r="E1711" s="4" t="s">
        <v>24</v>
      </c>
      <c r="F1711" s="4" t="s">
        <v>25</v>
      </c>
      <c r="G1711" s="4" t="s">
        <v>25</v>
      </c>
      <c r="H1711" s="4" t="s">
        <v>25</v>
      </c>
      <c r="I1711" s="5">
        <v>44348</v>
      </c>
      <c r="J1711" s="6">
        <v>0</v>
      </c>
      <c r="K1711" s="6">
        <v>0</v>
      </c>
      <c r="L1711" s="6">
        <v>-620.49199999999996</v>
      </c>
      <c r="M1711" s="6">
        <v>-620.49199999999996</v>
      </c>
      <c r="N1711" s="6">
        <v>-620.49199999999996</v>
      </c>
      <c r="O1711" s="6">
        <v>-620.49199999999996</v>
      </c>
      <c r="P1711" s="6">
        <v>0</v>
      </c>
      <c r="Q1711" s="4" t="s">
        <v>26</v>
      </c>
      <c r="R1711" s="4">
        <v>0</v>
      </c>
      <c r="S1711" s="6">
        <v>0</v>
      </c>
      <c r="T1711" s="6">
        <v>13</v>
      </c>
      <c r="U1711" s="6">
        <v>58</v>
      </c>
      <c r="V1711" s="6">
        <f>IF(ISERROR(VLOOKUP($S$1711,'TAR FIN'!$A$1:$O$95,15,0)),0,VLOOKUP($S$1711,'TAR FIN'!$A$1:$O$95,15,0))</f>
        <v>0</v>
      </c>
      <c r="W1711" s="6">
        <f>IF(ISERROR(VLOOKUP($T$1711,'TAR FIN'!$A$1:$O$95,15,0)),0,VLOOKUP($T$1711,'TAR FIN'!$A$1:$O$95,15,0))</f>
        <v>450.19</v>
      </c>
      <c r="X1711" s="6">
        <f>IF(ISERROR(VLOOKUP($U$1711,'TAR FIN'!$A$1:$O$95,15,0)),0,VLOOKUP($U$1711,'TAR FIN'!$A$1:$O$95,15,0))</f>
        <v>243.3</v>
      </c>
      <c r="Y1711" s="6"/>
      <c r="Z1711" s="6">
        <f ca="1">('TUSD BE'!$AM$25+'TUSD BF'!$AM$25+'TUSD CVA'!$AM$25)*1</f>
        <v>506.5198438752322</v>
      </c>
      <c r="AA1711" s="6">
        <f>('TE BE'!$AA$13+'TE BF'!$AA$13+'TE CVA'!$AA$13)*1</f>
        <v>297.20166373463735</v>
      </c>
      <c r="AB1711" s="6">
        <f>$K$1711*$V$1711</f>
        <v>0</v>
      </c>
      <c r="AC1711" s="6">
        <f>$M$1711*$W$1711</f>
        <v>-279339.29347999999</v>
      </c>
      <c r="AD1711" s="6">
        <f>$O$1711*$X$1711</f>
        <v>-150965.70360000001</v>
      </c>
      <c r="AE1711" s="6">
        <f>$K$1711*$Y$1711</f>
        <v>0</v>
      </c>
      <c r="AF1711" s="6">
        <f ca="1">$M$1711*$Z$1711</f>
        <v>-314291.51096583053</v>
      </c>
      <c r="AG1711" s="6">
        <f>$O$1711*$AA$1711</f>
        <v>-184411.25473403258</v>
      </c>
    </row>
    <row r="1712" spans="1:33" ht="11.25" customHeight="1" x14ac:dyDescent="0.25">
      <c r="A1712" s="4" t="s">
        <v>30</v>
      </c>
      <c r="B1712" s="4" t="s">
        <v>22</v>
      </c>
      <c r="C1712" s="4" t="s">
        <v>23</v>
      </c>
      <c r="D1712" s="4" t="s">
        <v>24</v>
      </c>
      <c r="E1712" s="4" t="s">
        <v>24</v>
      </c>
      <c r="F1712" s="4" t="s">
        <v>25</v>
      </c>
      <c r="G1712" s="4" t="s">
        <v>25</v>
      </c>
      <c r="H1712" s="4" t="s">
        <v>25</v>
      </c>
      <c r="I1712" s="5">
        <v>44348</v>
      </c>
      <c r="J1712" s="6">
        <v>0</v>
      </c>
      <c r="K1712" s="6">
        <v>0</v>
      </c>
      <c r="L1712" s="6">
        <v>1824.732</v>
      </c>
      <c r="M1712" s="6">
        <v>1824.732</v>
      </c>
      <c r="N1712" s="6">
        <v>1824.732</v>
      </c>
      <c r="O1712" s="6">
        <v>1824.732</v>
      </c>
      <c r="P1712" s="6">
        <v>2299</v>
      </c>
      <c r="Q1712" s="4" t="s">
        <v>26</v>
      </c>
      <c r="R1712" s="4">
        <v>0</v>
      </c>
      <c r="S1712" s="6">
        <v>0</v>
      </c>
      <c r="T1712" s="6">
        <v>13</v>
      </c>
      <c r="U1712" s="6">
        <v>58</v>
      </c>
      <c r="V1712" s="6">
        <f>IF(ISERROR(VLOOKUP($S$1712,'TAR FIN'!$A$1:$O$95,15,0)),0,VLOOKUP($S$1712,'TAR FIN'!$A$1:$O$95,15,0))</f>
        <v>0</v>
      </c>
      <c r="W1712" s="6">
        <f>IF(ISERROR(VLOOKUP($T$1712,'TAR FIN'!$A$1:$O$95,15,0)),0,VLOOKUP($T$1712,'TAR FIN'!$A$1:$O$95,15,0))</f>
        <v>450.19</v>
      </c>
      <c r="X1712" s="6">
        <f>IF(ISERROR(VLOOKUP($U$1712,'TAR FIN'!$A$1:$O$95,15,0)),0,VLOOKUP($U$1712,'TAR FIN'!$A$1:$O$95,15,0))</f>
        <v>243.3</v>
      </c>
      <c r="Y1712" s="6"/>
      <c r="Z1712" s="6">
        <f ca="1">('TUSD BE'!$AM$25+'TUSD BF'!$AM$25+'TUSD CVA'!$AM$25)*1</f>
        <v>506.5198438752322</v>
      </c>
      <c r="AA1712" s="6">
        <f>('TE BE'!$AA$13+'TE BF'!$AA$13+'TE CVA'!$AA$13)*1</f>
        <v>297.20166373463735</v>
      </c>
      <c r="AB1712" s="6">
        <f>$K$1712*$V$1712</f>
        <v>0</v>
      </c>
      <c r="AC1712" s="6">
        <f>$M$1712*$W$1712</f>
        <v>821476.09907999996</v>
      </c>
      <c r="AD1712" s="6">
        <f>$O$1712*$X$1712</f>
        <v>443957.29560000001</v>
      </c>
      <c r="AE1712" s="6">
        <f>$K$1712*$Y$1712</f>
        <v>0</v>
      </c>
      <c r="AF1712" s="6">
        <f ca="1">$M$1712*$Z$1712</f>
        <v>924262.96775414015</v>
      </c>
      <c r="AG1712" s="6">
        <f>$O$1712*$AA$1712</f>
        <v>542313.38626983226</v>
      </c>
    </row>
    <row r="1713" spans="1:33" ht="11.25" customHeight="1" x14ac:dyDescent="0.25">
      <c r="A1713" s="4" t="s">
        <v>30</v>
      </c>
      <c r="B1713" s="4" t="s">
        <v>22</v>
      </c>
      <c r="C1713" s="4" t="s">
        <v>23</v>
      </c>
      <c r="D1713" s="4" t="s">
        <v>24</v>
      </c>
      <c r="E1713" s="4" t="s">
        <v>24</v>
      </c>
      <c r="F1713" s="4" t="s">
        <v>25</v>
      </c>
      <c r="G1713" s="4" t="s">
        <v>25</v>
      </c>
      <c r="H1713" s="4" t="s">
        <v>25</v>
      </c>
      <c r="I1713" s="5">
        <v>44348</v>
      </c>
      <c r="J1713" s="6">
        <v>0</v>
      </c>
      <c r="K1713" s="6">
        <v>0</v>
      </c>
      <c r="L1713" s="6">
        <v>-5.93</v>
      </c>
      <c r="M1713" s="6">
        <v>-5.93</v>
      </c>
      <c r="N1713" s="6">
        <v>-5.93</v>
      </c>
      <c r="O1713" s="6">
        <v>-5.93</v>
      </c>
      <c r="P1713" s="6">
        <v>0</v>
      </c>
      <c r="Q1713" s="4" t="s">
        <v>26</v>
      </c>
      <c r="R1713" s="4">
        <v>0</v>
      </c>
      <c r="S1713" s="6">
        <v>0</v>
      </c>
      <c r="T1713" s="6">
        <v>13</v>
      </c>
      <c r="U1713" s="6">
        <v>58</v>
      </c>
      <c r="V1713" s="6">
        <f>IF(ISERROR(VLOOKUP($S$1713,'TAR FIN'!$A$1:$O$95,15,0)),0,VLOOKUP($S$1713,'TAR FIN'!$A$1:$O$95,15,0))</f>
        <v>0</v>
      </c>
      <c r="W1713" s="6">
        <f>IF(ISERROR(VLOOKUP($T$1713,'TAR FIN'!$A$1:$O$95,15,0)),0,VLOOKUP($T$1713,'TAR FIN'!$A$1:$O$95,15,0))</f>
        <v>450.19</v>
      </c>
      <c r="X1713" s="6">
        <f>IF(ISERROR(VLOOKUP($U$1713,'TAR FIN'!$A$1:$O$95,15,0)),0,VLOOKUP($U$1713,'TAR FIN'!$A$1:$O$95,15,0))</f>
        <v>243.3</v>
      </c>
      <c r="Y1713" s="6"/>
      <c r="Z1713" s="6">
        <f ca="1">('TUSD BE'!$AM$25+'TUSD BF'!$AM$25+'TUSD CVA'!$AM$25)*1</f>
        <v>506.5198438752322</v>
      </c>
      <c r="AA1713" s="6">
        <f>('TE BE'!$AA$13+'TE BF'!$AA$13+'TE CVA'!$AA$13)*1</f>
        <v>297.20166373463735</v>
      </c>
      <c r="AB1713" s="6">
        <f>$K$1713*$V$1713</f>
        <v>0</v>
      </c>
      <c r="AC1713" s="6">
        <f>$M$1713*$W$1713</f>
        <v>-2669.6266999999998</v>
      </c>
      <c r="AD1713" s="6">
        <f>$O$1713*$X$1713</f>
        <v>-1442.769</v>
      </c>
      <c r="AE1713" s="6">
        <f>$K$1713*$Y$1713</f>
        <v>0</v>
      </c>
      <c r="AF1713" s="6">
        <f ca="1">$M$1713*$Z$1713</f>
        <v>-3003.6626741801269</v>
      </c>
      <c r="AG1713" s="6">
        <f>$O$1713*$AA$1713</f>
        <v>-1762.4058659463994</v>
      </c>
    </row>
    <row r="1714" spans="1:33" ht="11.25" customHeight="1" x14ac:dyDescent="0.25">
      <c r="A1714" s="4" t="s">
        <v>21</v>
      </c>
      <c r="B1714" s="4" t="s">
        <v>22</v>
      </c>
      <c r="C1714" s="4" t="s">
        <v>23</v>
      </c>
      <c r="D1714" s="4" t="s">
        <v>24</v>
      </c>
      <c r="E1714" s="4" t="s">
        <v>24</v>
      </c>
      <c r="F1714" s="4" t="s">
        <v>25</v>
      </c>
      <c r="G1714" s="4" t="s">
        <v>25</v>
      </c>
      <c r="H1714" s="4" t="s">
        <v>25</v>
      </c>
      <c r="I1714" s="5">
        <v>44378</v>
      </c>
      <c r="J1714" s="6">
        <v>0</v>
      </c>
      <c r="K1714" s="6">
        <v>0</v>
      </c>
      <c r="L1714" s="6">
        <v>111651.641</v>
      </c>
      <c r="M1714" s="6">
        <v>111651.641</v>
      </c>
      <c r="N1714" s="6">
        <v>111651.641</v>
      </c>
      <c r="O1714" s="6">
        <v>111651.641</v>
      </c>
      <c r="P1714" s="6">
        <v>447391</v>
      </c>
      <c r="Q1714" s="4" t="s">
        <v>26</v>
      </c>
      <c r="R1714" s="4">
        <v>0</v>
      </c>
      <c r="S1714" s="6">
        <v>0</v>
      </c>
      <c r="T1714" s="6">
        <v>13</v>
      </c>
      <c r="U1714" s="6">
        <v>58</v>
      </c>
      <c r="V1714" s="6">
        <f>IF(ISERROR(VLOOKUP($S$1714,'TAR FIN'!$A$1:$O$95,15,0)),0,VLOOKUP($S$1714,'TAR FIN'!$A$1:$O$95,15,0))</f>
        <v>0</v>
      </c>
      <c r="W1714" s="6">
        <f>IF(ISERROR(VLOOKUP($T$1714,'TAR FIN'!$A$1:$O$95,15,0)),0,VLOOKUP($T$1714,'TAR FIN'!$A$1:$O$95,15,0))</f>
        <v>450.19</v>
      </c>
      <c r="X1714" s="6">
        <f>IF(ISERROR(VLOOKUP($U$1714,'TAR FIN'!$A$1:$O$95,15,0)),0,VLOOKUP($U$1714,'TAR FIN'!$A$1:$O$95,15,0))</f>
        <v>243.3</v>
      </c>
      <c r="Y1714" s="6"/>
      <c r="Z1714" s="6">
        <f ca="1">('TUSD BE'!$AM$25+'TUSD BF'!$AM$25+'TUSD CVA'!$AM$25)*1</f>
        <v>506.5198438752322</v>
      </c>
      <c r="AA1714" s="6">
        <f>('TE BE'!$AA$13+'TE BF'!$AA$13+'TE CVA'!$AA$13)*1</f>
        <v>297.20166373463735</v>
      </c>
      <c r="AB1714" s="6">
        <f>$K$1714*$V$1714</f>
        <v>0</v>
      </c>
      <c r="AC1714" s="6">
        <f>$M$1714*$W$1714</f>
        <v>50264452.26179</v>
      </c>
      <c r="AD1714" s="6">
        <f>$O$1714*$X$1714</f>
        <v>27164844.2553</v>
      </c>
      <c r="AE1714" s="6">
        <f>$K$1714*$Y$1714</f>
        <v>0</v>
      </c>
      <c r="AF1714" s="6">
        <f ca="1">$M$1714*$Z$1714</f>
        <v>56553771.767733477</v>
      </c>
      <c r="AG1714" s="6">
        <f>$O$1714*$AA$1714</f>
        <v>33183053.463902451</v>
      </c>
    </row>
    <row r="1715" spans="1:33" ht="11.25" customHeight="1" x14ac:dyDescent="0.25">
      <c r="A1715" s="4" t="s">
        <v>27</v>
      </c>
      <c r="B1715" s="4" t="s">
        <v>22</v>
      </c>
      <c r="C1715" s="4" t="s">
        <v>23</v>
      </c>
      <c r="D1715" s="4" t="s">
        <v>24</v>
      </c>
      <c r="E1715" s="4" t="s">
        <v>24</v>
      </c>
      <c r="F1715" s="4" t="s">
        <v>25</v>
      </c>
      <c r="G1715" s="4" t="s">
        <v>25</v>
      </c>
      <c r="H1715" s="4" t="s">
        <v>25</v>
      </c>
      <c r="I1715" s="5">
        <v>44378</v>
      </c>
      <c r="J1715" s="6">
        <v>0</v>
      </c>
      <c r="K1715" s="6">
        <v>0</v>
      </c>
      <c r="L1715" s="6">
        <v>-2905.4259999999999</v>
      </c>
      <c r="M1715" s="6">
        <v>-2905.4259999999999</v>
      </c>
      <c r="N1715" s="6">
        <v>-2905.4259999999999</v>
      </c>
      <c r="O1715" s="6">
        <v>-2905.4259999999999</v>
      </c>
      <c r="P1715" s="6">
        <v>0</v>
      </c>
      <c r="Q1715" s="4" t="s">
        <v>26</v>
      </c>
      <c r="R1715" s="4">
        <v>0</v>
      </c>
      <c r="S1715" s="6">
        <v>0</v>
      </c>
      <c r="T1715" s="6">
        <v>13</v>
      </c>
      <c r="U1715" s="6">
        <v>58</v>
      </c>
      <c r="V1715" s="6">
        <f>IF(ISERROR(VLOOKUP($S$1715,'TAR FIN'!$A$1:$O$95,15,0)),0,VLOOKUP($S$1715,'TAR FIN'!$A$1:$O$95,15,0))</f>
        <v>0</v>
      </c>
      <c r="W1715" s="6">
        <f>IF(ISERROR(VLOOKUP($T$1715,'TAR FIN'!$A$1:$O$95,15,0)),0,VLOOKUP($T$1715,'TAR FIN'!$A$1:$O$95,15,0))</f>
        <v>450.19</v>
      </c>
      <c r="X1715" s="6">
        <f>IF(ISERROR(VLOOKUP($U$1715,'TAR FIN'!$A$1:$O$95,15,0)),0,VLOOKUP($U$1715,'TAR FIN'!$A$1:$O$95,15,0))</f>
        <v>243.3</v>
      </c>
      <c r="Y1715" s="6"/>
      <c r="Z1715" s="6">
        <f ca="1">('TUSD BE'!$AM$25+'TUSD BF'!$AM$25+'TUSD CVA'!$AM$25)*1</f>
        <v>506.5198438752322</v>
      </c>
      <c r="AA1715" s="6">
        <f>('TE BE'!$AA$13+'TE BF'!$AA$13+'TE CVA'!$AA$13)*1</f>
        <v>297.20166373463735</v>
      </c>
      <c r="AB1715" s="6">
        <f>$K$1715*$V$1715</f>
        <v>0</v>
      </c>
      <c r="AC1715" s="6">
        <f>$M$1715*$W$1715</f>
        <v>-1307993.7309399999</v>
      </c>
      <c r="AD1715" s="6">
        <f>$O$1715*$X$1715</f>
        <v>-706890.14580000006</v>
      </c>
      <c r="AE1715" s="6">
        <f>$K$1715*$Y$1715</f>
        <v>0</v>
      </c>
      <c r="AF1715" s="6">
        <f ca="1">$M$1715*$Z$1715</f>
        <v>-1471655.9239110404</v>
      </c>
      <c r="AG1715" s="6">
        <f>$O$1715*$AA$1715</f>
        <v>-863497.44105787249</v>
      </c>
    </row>
    <row r="1716" spans="1:33" ht="11.25" customHeight="1" x14ac:dyDescent="0.25">
      <c r="A1716" s="4" t="s">
        <v>28</v>
      </c>
      <c r="B1716" s="4" t="s">
        <v>22</v>
      </c>
      <c r="C1716" s="4" t="s">
        <v>23</v>
      </c>
      <c r="D1716" s="4" t="s">
        <v>24</v>
      </c>
      <c r="E1716" s="4" t="s">
        <v>24</v>
      </c>
      <c r="F1716" s="4" t="s">
        <v>25</v>
      </c>
      <c r="G1716" s="4" t="s">
        <v>25</v>
      </c>
      <c r="H1716" s="4" t="s">
        <v>25</v>
      </c>
      <c r="I1716" s="5">
        <v>44378</v>
      </c>
      <c r="J1716" s="6">
        <v>0</v>
      </c>
      <c r="K1716" s="6">
        <v>0</v>
      </c>
      <c r="L1716" s="6">
        <v>30282.387999999999</v>
      </c>
      <c r="M1716" s="6">
        <v>30282.387999999999</v>
      </c>
      <c r="N1716" s="6">
        <v>30282.387999999999</v>
      </c>
      <c r="O1716" s="6">
        <v>30282.387999999999</v>
      </c>
      <c r="P1716" s="6">
        <v>176201</v>
      </c>
      <c r="Q1716" s="4" t="s">
        <v>26</v>
      </c>
      <c r="R1716" s="4">
        <v>0</v>
      </c>
      <c r="S1716" s="6">
        <v>0</v>
      </c>
      <c r="T1716" s="6">
        <v>13</v>
      </c>
      <c r="U1716" s="6">
        <v>58</v>
      </c>
      <c r="V1716" s="6">
        <f>IF(ISERROR(VLOOKUP($S$1716,'TAR FIN'!$A$1:$O$95,15,0)),0,VLOOKUP($S$1716,'TAR FIN'!$A$1:$O$95,15,0))</f>
        <v>0</v>
      </c>
      <c r="W1716" s="6">
        <f>IF(ISERROR(VLOOKUP($T$1716,'TAR FIN'!$A$1:$O$95,15,0)),0,VLOOKUP($T$1716,'TAR FIN'!$A$1:$O$95,15,0))</f>
        <v>450.19</v>
      </c>
      <c r="X1716" s="6">
        <f>IF(ISERROR(VLOOKUP($U$1716,'TAR FIN'!$A$1:$O$95,15,0)),0,VLOOKUP($U$1716,'TAR FIN'!$A$1:$O$95,15,0))</f>
        <v>243.3</v>
      </c>
      <c r="Y1716" s="6"/>
      <c r="Z1716" s="6">
        <f ca="1">('TUSD BE'!$AM$25+'TUSD BF'!$AM$25+'TUSD CVA'!$AM$25)*1</f>
        <v>506.5198438752322</v>
      </c>
      <c r="AA1716" s="6">
        <f>('TE BE'!$AA$13+'TE BF'!$AA$13+'TE CVA'!$AA$13)*1</f>
        <v>297.20166373463735</v>
      </c>
      <c r="AB1716" s="6">
        <f>$K$1716*$V$1716</f>
        <v>0</v>
      </c>
      <c r="AC1716" s="6">
        <f>$M$1716*$W$1716</f>
        <v>13632828.25372</v>
      </c>
      <c r="AD1716" s="6">
        <f>$O$1716*$X$1716</f>
        <v>7367705.0004000003</v>
      </c>
      <c r="AE1716" s="6">
        <f>$K$1716*$Y$1716</f>
        <v>0</v>
      </c>
      <c r="AF1716" s="6">
        <f ca="1">$M$1716*$Z$1716</f>
        <v>15338630.441929204</v>
      </c>
      <c r="AG1716" s="6">
        <f>$O$1716*$AA$1716</f>
        <v>8999976.0954578165</v>
      </c>
    </row>
    <row r="1717" spans="1:33" ht="11.25" customHeight="1" x14ac:dyDescent="0.25">
      <c r="A1717" s="4" t="s">
        <v>29</v>
      </c>
      <c r="B1717" s="4" t="s">
        <v>22</v>
      </c>
      <c r="C1717" s="4" t="s">
        <v>23</v>
      </c>
      <c r="D1717" s="4" t="s">
        <v>24</v>
      </c>
      <c r="E1717" s="4" t="s">
        <v>24</v>
      </c>
      <c r="F1717" s="4" t="s">
        <v>25</v>
      </c>
      <c r="G1717" s="4" t="s">
        <v>25</v>
      </c>
      <c r="H1717" s="4" t="s">
        <v>25</v>
      </c>
      <c r="I1717" s="5">
        <v>44378</v>
      </c>
      <c r="J1717" s="6">
        <v>0</v>
      </c>
      <c r="K1717" s="6">
        <v>0</v>
      </c>
      <c r="L1717" s="6">
        <v>-488.86700000000002</v>
      </c>
      <c r="M1717" s="6">
        <v>-488.86700000000002</v>
      </c>
      <c r="N1717" s="6">
        <v>-488.86700000000002</v>
      </c>
      <c r="O1717" s="6">
        <v>-488.86700000000002</v>
      </c>
      <c r="P1717" s="6">
        <v>0</v>
      </c>
      <c r="Q1717" s="4" t="s">
        <v>26</v>
      </c>
      <c r="R1717" s="4">
        <v>0</v>
      </c>
      <c r="S1717" s="6">
        <v>0</v>
      </c>
      <c r="T1717" s="6">
        <v>13</v>
      </c>
      <c r="U1717" s="6">
        <v>58</v>
      </c>
      <c r="V1717" s="6">
        <f>IF(ISERROR(VLOOKUP($S$1717,'TAR FIN'!$A$1:$O$95,15,0)),0,VLOOKUP($S$1717,'TAR FIN'!$A$1:$O$95,15,0))</f>
        <v>0</v>
      </c>
      <c r="W1717" s="6">
        <f>IF(ISERROR(VLOOKUP($T$1717,'TAR FIN'!$A$1:$O$95,15,0)),0,VLOOKUP($T$1717,'TAR FIN'!$A$1:$O$95,15,0))</f>
        <v>450.19</v>
      </c>
      <c r="X1717" s="6">
        <f>IF(ISERROR(VLOOKUP($U$1717,'TAR FIN'!$A$1:$O$95,15,0)),0,VLOOKUP($U$1717,'TAR FIN'!$A$1:$O$95,15,0))</f>
        <v>243.3</v>
      </c>
      <c r="Y1717" s="6"/>
      <c r="Z1717" s="6">
        <f ca="1">('TUSD BE'!$AM$25+'TUSD BF'!$AM$25+'TUSD CVA'!$AM$25)*1</f>
        <v>506.5198438752322</v>
      </c>
      <c r="AA1717" s="6">
        <f>('TE BE'!$AA$13+'TE BF'!$AA$13+'TE CVA'!$AA$13)*1</f>
        <v>297.20166373463735</v>
      </c>
      <c r="AB1717" s="6">
        <f>$K$1717*$V$1717</f>
        <v>0</v>
      </c>
      <c r="AC1717" s="6">
        <f>$M$1717*$W$1717</f>
        <v>-220083.03473000001</v>
      </c>
      <c r="AD1717" s="6">
        <f>$O$1717*$X$1717</f>
        <v>-118941.34110000001</v>
      </c>
      <c r="AE1717" s="6">
        <f>$K$1717*$Y$1717</f>
        <v>0</v>
      </c>
      <c r="AF1717" s="6">
        <f ca="1">$M$1717*$Z$1717</f>
        <v>-247620.83651575315</v>
      </c>
      <c r="AG1717" s="6">
        <f>$O$1717*$AA$1717</f>
        <v>-145292.08574496096</v>
      </c>
    </row>
    <row r="1718" spans="1:33" ht="11.25" customHeight="1" x14ac:dyDescent="0.25">
      <c r="A1718" s="4" t="s">
        <v>30</v>
      </c>
      <c r="B1718" s="4" t="s">
        <v>22</v>
      </c>
      <c r="C1718" s="4" t="s">
        <v>23</v>
      </c>
      <c r="D1718" s="4" t="s">
        <v>24</v>
      </c>
      <c r="E1718" s="4" t="s">
        <v>24</v>
      </c>
      <c r="F1718" s="4" t="s">
        <v>25</v>
      </c>
      <c r="G1718" s="4" t="s">
        <v>25</v>
      </c>
      <c r="H1718" s="4" t="s">
        <v>25</v>
      </c>
      <c r="I1718" s="5">
        <v>44378</v>
      </c>
      <c r="J1718" s="6">
        <v>0</v>
      </c>
      <c r="K1718" s="6">
        <v>0</v>
      </c>
      <c r="L1718" s="6">
        <v>1794.9590000000001</v>
      </c>
      <c r="M1718" s="6">
        <v>1794.9590000000001</v>
      </c>
      <c r="N1718" s="6">
        <v>1794.9590000000001</v>
      </c>
      <c r="O1718" s="6">
        <v>1794.9590000000001</v>
      </c>
      <c r="P1718" s="6">
        <v>2416</v>
      </c>
      <c r="Q1718" s="4" t="s">
        <v>26</v>
      </c>
      <c r="R1718" s="4">
        <v>0</v>
      </c>
      <c r="S1718" s="6">
        <v>0</v>
      </c>
      <c r="T1718" s="6">
        <v>13</v>
      </c>
      <c r="U1718" s="6">
        <v>58</v>
      </c>
      <c r="V1718" s="6">
        <f>IF(ISERROR(VLOOKUP($S$1718,'TAR FIN'!$A$1:$O$95,15,0)),0,VLOOKUP($S$1718,'TAR FIN'!$A$1:$O$95,15,0))</f>
        <v>0</v>
      </c>
      <c r="W1718" s="6">
        <f>IF(ISERROR(VLOOKUP($T$1718,'TAR FIN'!$A$1:$O$95,15,0)),0,VLOOKUP($T$1718,'TAR FIN'!$A$1:$O$95,15,0))</f>
        <v>450.19</v>
      </c>
      <c r="X1718" s="6">
        <f>IF(ISERROR(VLOOKUP($U$1718,'TAR FIN'!$A$1:$O$95,15,0)),0,VLOOKUP($U$1718,'TAR FIN'!$A$1:$O$95,15,0))</f>
        <v>243.3</v>
      </c>
      <c r="Y1718" s="6"/>
      <c r="Z1718" s="6">
        <f ca="1">('TUSD BE'!$AM$25+'TUSD BF'!$AM$25+'TUSD CVA'!$AM$25)*1</f>
        <v>506.5198438752322</v>
      </c>
      <c r="AA1718" s="6">
        <f>('TE BE'!$AA$13+'TE BF'!$AA$13+'TE CVA'!$AA$13)*1</f>
        <v>297.20166373463735</v>
      </c>
      <c r="AB1718" s="6">
        <f>$K$1718*$V$1718</f>
        <v>0</v>
      </c>
      <c r="AC1718" s="6">
        <f>$M$1718*$W$1718</f>
        <v>808072.59221000003</v>
      </c>
      <c r="AD1718" s="6">
        <f>$O$1718*$X$1718</f>
        <v>436713.52470000001</v>
      </c>
      <c r="AE1718" s="6">
        <f>$K$1718*$Y$1718</f>
        <v>0</v>
      </c>
      <c r="AF1718" s="6">
        <f ca="1">$M$1718*$Z$1718</f>
        <v>909182.35244244291</v>
      </c>
      <c r="AG1718" s="6">
        <f>$O$1718*$AA$1718</f>
        <v>533464.80113546096</v>
      </c>
    </row>
    <row r="1719" spans="1:33" ht="11.25" customHeight="1" x14ac:dyDescent="0.25">
      <c r="A1719" s="4" t="s">
        <v>30</v>
      </c>
      <c r="B1719" s="4" t="s">
        <v>22</v>
      </c>
      <c r="C1719" s="4" t="s">
        <v>23</v>
      </c>
      <c r="D1719" s="4" t="s">
        <v>24</v>
      </c>
      <c r="E1719" s="4" t="s">
        <v>24</v>
      </c>
      <c r="F1719" s="4" t="s">
        <v>25</v>
      </c>
      <c r="G1719" s="4" t="s">
        <v>25</v>
      </c>
      <c r="H1719" s="4" t="s">
        <v>25</v>
      </c>
      <c r="I1719" s="5">
        <v>44378</v>
      </c>
      <c r="J1719" s="6">
        <v>0</v>
      </c>
      <c r="K1719" s="6">
        <v>0</v>
      </c>
      <c r="L1719" s="6">
        <v>-0.43099999999999999</v>
      </c>
      <c r="M1719" s="6">
        <v>-0.43099999999999999</v>
      </c>
      <c r="N1719" s="6">
        <v>-0.43099999999999999</v>
      </c>
      <c r="O1719" s="6">
        <v>-0.43099999999999999</v>
      </c>
      <c r="P1719" s="6">
        <v>0</v>
      </c>
      <c r="Q1719" s="4" t="s">
        <v>26</v>
      </c>
      <c r="R1719" s="4">
        <v>0</v>
      </c>
      <c r="S1719" s="6">
        <v>0</v>
      </c>
      <c r="T1719" s="6">
        <v>13</v>
      </c>
      <c r="U1719" s="6">
        <v>58</v>
      </c>
      <c r="V1719" s="6">
        <f>IF(ISERROR(VLOOKUP($S$1719,'TAR FIN'!$A$1:$O$95,15,0)),0,VLOOKUP($S$1719,'TAR FIN'!$A$1:$O$95,15,0))</f>
        <v>0</v>
      </c>
      <c r="W1719" s="6">
        <f>IF(ISERROR(VLOOKUP($T$1719,'TAR FIN'!$A$1:$O$95,15,0)),0,VLOOKUP($T$1719,'TAR FIN'!$A$1:$O$95,15,0))</f>
        <v>450.19</v>
      </c>
      <c r="X1719" s="6">
        <f>IF(ISERROR(VLOOKUP($U$1719,'TAR FIN'!$A$1:$O$95,15,0)),0,VLOOKUP($U$1719,'TAR FIN'!$A$1:$O$95,15,0))</f>
        <v>243.3</v>
      </c>
      <c r="Y1719" s="6"/>
      <c r="Z1719" s="6">
        <f ca="1">('TUSD BE'!$AM$25+'TUSD BF'!$AM$25+'TUSD CVA'!$AM$25)*1</f>
        <v>506.5198438752322</v>
      </c>
      <c r="AA1719" s="6">
        <f>('TE BE'!$AA$13+'TE BF'!$AA$13+'TE CVA'!$AA$13)*1</f>
        <v>297.20166373463735</v>
      </c>
      <c r="AB1719" s="6">
        <f>$K$1719*$V$1719</f>
        <v>0</v>
      </c>
      <c r="AC1719" s="6">
        <f>$M$1719*$W$1719</f>
        <v>-194.03189</v>
      </c>
      <c r="AD1719" s="6">
        <f>$O$1719*$X$1719</f>
        <v>-104.8623</v>
      </c>
      <c r="AE1719" s="6">
        <f>$K$1719*$Y$1719</f>
        <v>0</v>
      </c>
      <c r="AF1719" s="6">
        <f ca="1">$M$1719*$Z$1719</f>
        <v>-218.31005271022508</v>
      </c>
      <c r="AG1719" s="6">
        <f>$O$1719*$AA$1719</f>
        <v>-128.0939170696287</v>
      </c>
    </row>
    <row r="1720" spans="1:33" ht="11.25" customHeight="1" x14ac:dyDescent="0.25">
      <c r="A1720" s="4" t="s">
        <v>21</v>
      </c>
      <c r="B1720" s="4" t="s">
        <v>22</v>
      </c>
      <c r="C1720" s="4" t="s">
        <v>23</v>
      </c>
      <c r="D1720" s="4" t="s">
        <v>24</v>
      </c>
      <c r="E1720" s="4" t="s">
        <v>24</v>
      </c>
      <c r="F1720" s="4" t="s">
        <v>25</v>
      </c>
      <c r="G1720" s="4" t="s">
        <v>25</v>
      </c>
      <c r="H1720" s="4" t="s">
        <v>25</v>
      </c>
      <c r="I1720" s="5">
        <v>44409</v>
      </c>
      <c r="J1720" s="6">
        <v>0</v>
      </c>
      <c r="K1720" s="6">
        <v>0</v>
      </c>
      <c r="L1720" s="6">
        <v>122773.12</v>
      </c>
      <c r="M1720" s="6">
        <v>122773.12</v>
      </c>
      <c r="N1720" s="6">
        <v>122773.12</v>
      </c>
      <c r="O1720" s="6">
        <v>122773.12</v>
      </c>
      <c r="P1720" s="6">
        <v>446597</v>
      </c>
      <c r="Q1720" s="4" t="s">
        <v>26</v>
      </c>
      <c r="R1720" s="4">
        <v>0</v>
      </c>
      <c r="S1720" s="6">
        <v>0</v>
      </c>
      <c r="T1720" s="6">
        <v>13</v>
      </c>
      <c r="U1720" s="6">
        <v>58</v>
      </c>
      <c r="V1720" s="6">
        <f>IF(ISERROR(VLOOKUP($S$1720,'TAR FIN'!$A$1:$O$95,15,0)),0,VLOOKUP($S$1720,'TAR FIN'!$A$1:$O$95,15,0))</f>
        <v>0</v>
      </c>
      <c r="W1720" s="6">
        <f>IF(ISERROR(VLOOKUP($T$1720,'TAR FIN'!$A$1:$O$95,15,0)),0,VLOOKUP($T$1720,'TAR FIN'!$A$1:$O$95,15,0))</f>
        <v>450.19</v>
      </c>
      <c r="X1720" s="6">
        <f>IF(ISERROR(VLOOKUP($U$1720,'TAR FIN'!$A$1:$O$95,15,0)),0,VLOOKUP($U$1720,'TAR FIN'!$A$1:$O$95,15,0))</f>
        <v>243.3</v>
      </c>
      <c r="Y1720" s="6"/>
      <c r="Z1720" s="6">
        <f ca="1">('TUSD BE'!$AM$25+'TUSD BF'!$AM$25+'TUSD CVA'!$AM$25)*1</f>
        <v>506.5198438752322</v>
      </c>
      <c r="AA1720" s="6">
        <f>('TE BE'!$AA$13+'TE BF'!$AA$13+'TE CVA'!$AA$13)*1</f>
        <v>297.20166373463735</v>
      </c>
      <c r="AB1720" s="6">
        <f>$K$1720*$V$1720</f>
        <v>0</v>
      </c>
      <c r="AC1720" s="6">
        <f>$M$1720*$W$1720</f>
        <v>55271230.892799996</v>
      </c>
      <c r="AD1720" s="6">
        <f>$O$1720*$X$1720</f>
        <v>29870700.096000001</v>
      </c>
      <c r="AE1720" s="6">
        <f>$K$1720*$Y$1720</f>
        <v>0</v>
      </c>
      <c r="AF1720" s="6">
        <f ca="1">$M$1720*$Z$1720</f>
        <v>62187021.574475147</v>
      </c>
      <c r="AG1720" s="6">
        <f>$O$1720*$AA$1720</f>
        <v>36488375.52589228</v>
      </c>
    </row>
    <row r="1721" spans="1:33" ht="11.25" customHeight="1" x14ac:dyDescent="0.25">
      <c r="A1721" s="4" t="s">
        <v>27</v>
      </c>
      <c r="B1721" s="4" t="s">
        <v>22</v>
      </c>
      <c r="C1721" s="4" t="s">
        <v>23</v>
      </c>
      <c r="D1721" s="4" t="s">
        <v>24</v>
      </c>
      <c r="E1721" s="4" t="s">
        <v>24</v>
      </c>
      <c r="F1721" s="4" t="s">
        <v>25</v>
      </c>
      <c r="G1721" s="4" t="s">
        <v>25</v>
      </c>
      <c r="H1721" s="4" t="s">
        <v>25</v>
      </c>
      <c r="I1721" s="5">
        <v>44409</v>
      </c>
      <c r="J1721" s="6">
        <v>0</v>
      </c>
      <c r="K1721" s="6">
        <v>0</v>
      </c>
      <c r="L1721" s="6">
        <v>-3222.1439999999998</v>
      </c>
      <c r="M1721" s="6">
        <v>-3222.1439999999998</v>
      </c>
      <c r="N1721" s="6">
        <v>-3222.1439999999998</v>
      </c>
      <c r="O1721" s="6">
        <v>-3222.1439999999998</v>
      </c>
      <c r="P1721" s="6">
        <v>0</v>
      </c>
      <c r="Q1721" s="4" t="s">
        <v>26</v>
      </c>
      <c r="R1721" s="4">
        <v>0</v>
      </c>
      <c r="S1721" s="6">
        <v>0</v>
      </c>
      <c r="T1721" s="6">
        <v>13</v>
      </c>
      <c r="U1721" s="6">
        <v>58</v>
      </c>
      <c r="V1721" s="6">
        <f>IF(ISERROR(VLOOKUP($S$1721,'TAR FIN'!$A$1:$O$95,15,0)),0,VLOOKUP($S$1721,'TAR FIN'!$A$1:$O$95,15,0))</f>
        <v>0</v>
      </c>
      <c r="W1721" s="6">
        <f>IF(ISERROR(VLOOKUP($T$1721,'TAR FIN'!$A$1:$O$95,15,0)),0,VLOOKUP($T$1721,'TAR FIN'!$A$1:$O$95,15,0))</f>
        <v>450.19</v>
      </c>
      <c r="X1721" s="6">
        <f>IF(ISERROR(VLOOKUP($U$1721,'TAR FIN'!$A$1:$O$95,15,0)),0,VLOOKUP($U$1721,'TAR FIN'!$A$1:$O$95,15,0))</f>
        <v>243.3</v>
      </c>
      <c r="Y1721" s="6"/>
      <c r="Z1721" s="6">
        <f ca="1">('TUSD BE'!$AM$25+'TUSD BF'!$AM$25+'TUSD CVA'!$AM$25)*1</f>
        <v>506.5198438752322</v>
      </c>
      <c r="AA1721" s="6">
        <f>('TE BE'!$AA$13+'TE BF'!$AA$13+'TE CVA'!$AA$13)*1</f>
        <v>297.20166373463735</v>
      </c>
      <c r="AB1721" s="6">
        <f>$K$1721*$V$1721</f>
        <v>0</v>
      </c>
      <c r="AC1721" s="6">
        <f>$M$1721*$W$1721</f>
        <v>-1450577.0073599999</v>
      </c>
      <c r="AD1721" s="6">
        <f>$O$1721*$X$1721</f>
        <v>-783947.63520000002</v>
      </c>
      <c r="AE1721" s="6">
        <f>$K$1721*$Y$1721</f>
        <v>0</v>
      </c>
      <c r="AF1721" s="6">
        <f ca="1">$M$1721*$Z$1721</f>
        <v>-1632079.8758235162</v>
      </c>
      <c r="AG1721" s="6">
        <f>$O$1721*$AA$1721</f>
        <v>-957626.55759257928</v>
      </c>
    </row>
    <row r="1722" spans="1:33" ht="11.25" customHeight="1" x14ac:dyDescent="0.25">
      <c r="A1722" s="4" t="s">
        <v>28</v>
      </c>
      <c r="B1722" s="4" t="s">
        <v>22</v>
      </c>
      <c r="C1722" s="4" t="s">
        <v>23</v>
      </c>
      <c r="D1722" s="4" t="s">
        <v>24</v>
      </c>
      <c r="E1722" s="4" t="s">
        <v>24</v>
      </c>
      <c r="F1722" s="4" t="s">
        <v>25</v>
      </c>
      <c r="G1722" s="4" t="s">
        <v>25</v>
      </c>
      <c r="H1722" s="4" t="s">
        <v>25</v>
      </c>
      <c r="I1722" s="5">
        <v>44409</v>
      </c>
      <c r="J1722" s="6">
        <v>0</v>
      </c>
      <c r="K1722" s="6">
        <v>0</v>
      </c>
      <c r="L1722" s="6">
        <v>32647.045999999998</v>
      </c>
      <c r="M1722" s="6">
        <v>32647.045999999998</v>
      </c>
      <c r="N1722" s="6">
        <v>32647.045999999998</v>
      </c>
      <c r="O1722" s="6">
        <v>32647.045999999998</v>
      </c>
      <c r="P1722" s="6">
        <v>175316</v>
      </c>
      <c r="Q1722" s="4" t="s">
        <v>26</v>
      </c>
      <c r="R1722" s="4">
        <v>0</v>
      </c>
      <c r="S1722" s="6">
        <v>0</v>
      </c>
      <c r="T1722" s="6">
        <v>13</v>
      </c>
      <c r="U1722" s="6">
        <v>58</v>
      </c>
      <c r="V1722" s="6">
        <f>IF(ISERROR(VLOOKUP($S$1722,'TAR FIN'!$A$1:$O$95,15,0)),0,VLOOKUP($S$1722,'TAR FIN'!$A$1:$O$95,15,0))</f>
        <v>0</v>
      </c>
      <c r="W1722" s="6">
        <f>IF(ISERROR(VLOOKUP($T$1722,'TAR FIN'!$A$1:$O$95,15,0)),0,VLOOKUP($T$1722,'TAR FIN'!$A$1:$O$95,15,0))</f>
        <v>450.19</v>
      </c>
      <c r="X1722" s="6">
        <f>IF(ISERROR(VLOOKUP($U$1722,'TAR FIN'!$A$1:$O$95,15,0)),0,VLOOKUP($U$1722,'TAR FIN'!$A$1:$O$95,15,0))</f>
        <v>243.3</v>
      </c>
      <c r="Y1722" s="6"/>
      <c r="Z1722" s="6">
        <f ca="1">('TUSD BE'!$AM$25+'TUSD BF'!$AM$25+'TUSD CVA'!$AM$25)*1</f>
        <v>506.5198438752322</v>
      </c>
      <c r="AA1722" s="6">
        <f>('TE BE'!$AA$13+'TE BF'!$AA$13+'TE CVA'!$AA$13)*1</f>
        <v>297.20166373463735</v>
      </c>
      <c r="AB1722" s="6">
        <f>$K$1722*$V$1722</f>
        <v>0</v>
      </c>
      <c r="AC1722" s="6">
        <f>$M$1722*$W$1722</f>
        <v>14697373.638739999</v>
      </c>
      <c r="AD1722" s="6">
        <f>$O$1722*$X$1722</f>
        <v>7943026.2917999998</v>
      </c>
      <c r="AE1722" s="6">
        <f>$K$1722*$Y$1722</f>
        <v>0</v>
      </c>
      <c r="AF1722" s="6">
        <f ca="1">$M$1722*$Z$1722</f>
        <v>16536376.642907523</v>
      </c>
      <c r="AG1722" s="6">
        <f>$O$1722*$AA$1722</f>
        <v>9702756.3872212376</v>
      </c>
    </row>
    <row r="1723" spans="1:33" ht="11.25" customHeight="1" x14ac:dyDescent="0.25">
      <c r="A1723" s="4" t="s">
        <v>29</v>
      </c>
      <c r="B1723" s="4" t="s">
        <v>22</v>
      </c>
      <c r="C1723" s="4" t="s">
        <v>23</v>
      </c>
      <c r="D1723" s="4" t="s">
        <v>24</v>
      </c>
      <c r="E1723" s="4" t="s">
        <v>24</v>
      </c>
      <c r="F1723" s="4" t="s">
        <v>25</v>
      </c>
      <c r="G1723" s="4" t="s">
        <v>25</v>
      </c>
      <c r="H1723" s="4" t="s">
        <v>25</v>
      </c>
      <c r="I1723" s="5">
        <v>44409</v>
      </c>
      <c r="J1723" s="6">
        <v>0</v>
      </c>
      <c r="K1723" s="6">
        <v>0</v>
      </c>
      <c r="L1723" s="6">
        <v>-288.92599999999999</v>
      </c>
      <c r="M1723" s="6">
        <v>-288.92599999999999</v>
      </c>
      <c r="N1723" s="6">
        <v>-288.92599999999999</v>
      </c>
      <c r="O1723" s="6">
        <v>-288.92599999999999</v>
      </c>
      <c r="P1723" s="6">
        <v>0</v>
      </c>
      <c r="Q1723" s="4" t="s">
        <v>26</v>
      </c>
      <c r="R1723" s="4">
        <v>0</v>
      </c>
      <c r="S1723" s="6">
        <v>0</v>
      </c>
      <c r="T1723" s="6">
        <v>13</v>
      </c>
      <c r="U1723" s="6">
        <v>58</v>
      </c>
      <c r="V1723" s="6">
        <f>IF(ISERROR(VLOOKUP($S$1723,'TAR FIN'!$A$1:$O$95,15,0)),0,VLOOKUP($S$1723,'TAR FIN'!$A$1:$O$95,15,0))</f>
        <v>0</v>
      </c>
      <c r="W1723" s="6">
        <f>IF(ISERROR(VLOOKUP($T$1723,'TAR FIN'!$A$1:$O$95,15,0)),0,VLOOKUP($T$1723,'TAR FIN'!$A$1:$O$95,15,0))</f>
        <v>450.19</v>
      </c>
      <c r="X1723" s="6">
        <f>IF(ISERROR(VLOOKUP($U$1723,'TAR FIN'!$A$1:$O$95,15,0)),0,VLOOKUP($U$1723,'TAR FIN'!$A$1:$O$95,15,0))</f>
        <v>243.3</v>
      </c>
      <c r="Y1723" s="6"/>
      <c r="Z1723" s="6">
        <f ca="1">('TUSD BE'!$AM$25+'TUSD BF'!$AM$25+'TUSD CVA'!$AM$25)*1</f>
        <v>506.5198438752322</v>
      </c>
      <c r="AA1723" s="6">
        <f>('TE BE'!$AA$13+'TE BF'!$AA$13+'TE CVA'!$AA$13)*1</f>
        <v>297.20166373463735</v>
      </c>
      <c r="AB1723" s="6">
        <f>$K$1723*$V$1723</f>
        <v>0</v>
      </c>
      <c r="AC1723" s="6">
        <f>$M$1723*$W$1723</f>
        <v>-130071.59594</v>
      </c>
      <c r="AD1723" s="6">
        <f>$O$1723*$X$1723</f>
        <v>-70295.695800000001</v>
      </c>
      <c r="AE1723" s="6">
        <f>$K$1723*$Y$1723</f>
        <v>0</v>
      </c>
      <c r="AF1723" s="6">
        <f ca="1">$M$1723*$Z$1723</f>
        <v>-146346.75241149534</v>
      </c>
      <c r="AG1723" s="6">
        <f>$O$1723*$AA$1723</f>
        <v>-85869.287896193826</v>
      </c>
    </row>
    <row r="1724" spans="1:33" ht="11.25" customHeight="1" x14ac:dyDescent="0.25">
      <c r="A1724" s="4" t="s">
        <v>30</v>
      </c>
      <c r="B1724" s="4" t="s">
        <v>22</v>
      </c>
      <c r="C1724" s="4" t="s">
        <v>23</v>
      </c>
      <c r="D1724" s="4" t="s">
        <v>24</v>
      </c>
      <c r="E1724" s="4" t="s">
        <v>24</v>
      </c>
      <c r="F1724" s="4" t="s">
        <v>25</v>
      </c>
      <c r="G1724" s="4" t="s">
        <v>25</v>
      </c>
      <c r="H1724" s="4" t="s">
        <v>25</v>
      </c>
      <c r="I1724" s="5">
        <v>44409</v>
      </c>
      <c r="J1724" s="6">
        <v>0</v>
      </c>
      <c r="K1724" s="6">
        <v>0</v>
      </c>
      <c r="L1724" s="6">
        <v>2055.5010000000002</v>
      </c>
      <c r="M1724" s="6">
        <v>2055.5010000000002</v>
      </c>
      <c r="N1724" s="6">
        <v>2055.5010000000002</v>
      </c>
      <c r="O1724" s="6">
        <v>2055.5010000000002</v>
      </c>
      <c r="P1724" s="6">
        <v>2537</v>
      </c>
      <c r="Q1724" s="4" t="s">
        <v>26</v>
      </c>
      <c r="R1724" s="4">
        <v>0</v>
      </c>
      <c r="S1724" s="6">
        <v>0</v>
      </c>
      <c r="T1724" s="6">
        <v>13</v>
      </c>
      <c r="U1724" s="6">
        <v>58</v>
      </c>
      <c r="V1724" s="6">
        <f>IF(ISERROR(VLOOKUP($S$1724,'TAR FIN'!$A$1:$O$95,15,0)),0,VLOOKUP($S$1724,'TAR FIN'!$A$1:$O$95,15,0))</f>
        <v>0</v>
      </c>
      <c r="W1724" s="6">
        <f>IF(ISERROR(VLOOKUP($T$1724,'TAR FIN'!$A$1:$O$95,15,0)),0,VLOOKUP($T$1724,'TAR FIN'!$A$1:$O$95,15,0))</f>
        <v>450.19</v>
      </c>
      <c r="X1724" s="6">
        <f>IF(ISERROR(VLOOKUP($U$1724,'TAR FIN'!$A$1:$O$95,15,0)),0,VLOOKUP($U$1724,'TAR FIN'!$A$1:$O$95,15,0))</f>
        <v>243.3</v>
      </c>
      <c r="Y1724" s="6"/>
      <c r="Z1724" s="6">
        <f ca="1">('TUSD BE'!$AM$25+'TUSD BF'!$AM$25+'TUSD CVA'!$AM$25)*1</f>
        <v>506.5198438752322</v>
      </c>
      <c r="AA1724" s="6">
        <f>('TE BE'!$AA$13+'TE BF'!$AA$13+'TE CVA'!$AA$13)*1</f>
        <v>297.20166373463735</v>
      </c>
      <c r="AB1724" s="6">
        <f>$K$1724*$V$1724</f>
        <v>0</v>
      </c>
      <c r="AC1724" s="6">
        <f>$M$1724*$W$1724</f>
        <v>925365.99519000005</v>
      </c>
      <c r="AD1724" s="6">
        <f>$O$1724*$X$1724</f>
        <v>500103.39330000005</v>
      </c>
      <c r="AE1724" s="6">
        <f>$K$1724*$Y$1724</f>
        <v>0</v>
      </c>
      <c r="AF1724" s="6">
        <f ca="1">$M$1724*$Z$1724</f>
        <v>1041152.0456053838</v>
      </c>
      <c r="AG1724" s="6">
        <f>$O$1724*$AA$1724</f>
        <v>610898.31700821081</v>
      </c>
    </row>
    <row r="1725" spans="1:33" ht="11.25" customHeight="1" x14ac:dyDescent="0.25">
      <c r="A1725" s="4" t="s">
        <v>30</v>
      </c>
      <c r="B1725" s="4" t="s">
        <v>22</v>
      </c>
      <c r="C1725" s="4" t="s">
        <v>23</v>
      </c>
      <c r="D1725" s="4" t="s">
        <v>24</v>
      </c>
      <c r="E1725" s="4" t="s">
        <v>24</v>
      </c>
      <c r="F1725" s="4" t="s">
        <v>25</v>
      </c>
      <c r="G1725" s="4" t="s">
        <v>25</v>
      </c>
      <c r="H1725" s="4" t="s">
        <v>25</v>
      </c>
      <c r="I1725" s="5">
        <v>44409</v>
      </c>
      <c r="J1725" s="6">
        <v>0</v>
      </c>
      <c r="K1725" s="6">
        <v>0</v>
      </c>
      <c r="L1725" s="6">
        <v>0.18099999999999999</v>
      </c>
      <c r="M1725" s="6">
        <v>0.18099999999999999</v>
      </c>
      <c r="N1725" s="6">
        <v>0.18099999999999999</v>
      </c>
      <c r="O1725" s="6">
        <v>0.18099999999999999</v>
      </c>
      <c r="P1725" s="6">
        <v>0</v>
      </c>
      <c r="Q1725" s="4" t="s">
        <v>26</v>
      </c>
      <c r="R1725" s="4">
        <v>0</v>
      </c>
      <c r="S1725" s="6">
        <v>0</v>
      </c>
      <c r="T1725" s="6">
        <v>13</v>
      </c>
      <c r="U1725" s="6">
        <v>58</v>
      </c>
      <c r="V1725" s="6">
        <f>IF(ISERROR(VLOOKUP($S$1725,'TAR FIN'!$A$1:$O$95,15,0)),0,VLOOKUP($S$1725,'TAR FIN'!$A$1:$O$95,15,0))</f>
        <v>0</v>
      </c>
      <c r="W1725" s="6">
        <f>IF(ISERROR(VLOOKUP($T$1725,'TAR FIN'!$A$1:$O$95,15,0)),0,VLOOKUP($T$1725,'TAR FIN'!$A$1:$O$95,15,0))</f>
        <v>450.19</v>
      </c>
      <c r="X1725" s="6">
        <f>IF(ISERROR(VLOOKUP($U$1725,'TAR FIN'!$A$1:$O$95,15,0)),0,VLOOKUP($U$1725,'TAR FIN'!$A$1:$O$95,15,0))</f>
        <v>243.3</v>
      </c>
      <c r="Y1725" s="6"/>
      <c r="Z1725" s="6">
        <f ca="1">('TUSD BE'!$AM$25+'TUSD BF'!$AM$25+'TUSD CVA'!$AM$25)*1</f>
        <v>506.5198438752322</v>
      </c>
      <c r="AA1725" s="6">
        <f>('TE BE'!$AA$13+'TE BF'!$AA$13+'TE CVA'!$AA$13)*1</f>
        <v>297.20166373463735</v>
      </c>
      <c r="AB1725" s="6">
        <f>$K$1725*$V$1725</f>
        <v>0</v>
      </c>
      <c r="AC1725" s="6">
        <f>$M$1725*$W$1725</f>
        <v>81.484389999999991</v>
      </c>
      <c r="AD1725" s="6">
        <f>$O$1725*$X$1725</f>
        <v>44.037300000000002</v>
      </c>
      <c r="AE1725" s="6">
        <f>$K$1725*$Y$1725</f>
        <v>0</v>
      </c>
      <c r="AF1725" s="6">
        <f ca="1">$M$1725*$Z$1725</f>
        <v>91.68009174141703</v>
      </c>
      <c r="AG1725" s="6">
        <f>$O$1725*$AA$1725</f>
        <v>53.793501135969358</v>
      </c>
    </row>
    <row r="1726" spans="1:33" ht="11.25" customHeight="1" x14ac:dyDescent="0.25">
      <c r="A1726" s="4" t="s">
        <v>21</v>
      </c>
      <c r="B1726" s="4" t="s">
        <v>22</v>
      </c>
      <c r="C1726" s="4" t="s">
        <v>23</v>
      </c>
      <c r="D1726" s="4" t="s">
        <v>24</v>
      </c>
      <c r="E1726" s="4" t="s">
        <v>24</v>
      </c>
      <c r="F1726" s="4" t="s">
        <v>25</v>
      </c>
      <c r="G1726" s="4" t="s">
        <v>25</v>
      </c>
      <c r="H1726" s="4" t="s">
        <v>25</v>
      </c>
      <c r="I1726" s="5">
        <v>44440</v>
      </c>
      <c r="J1726" s="6">
        <v>0</v>
      </c>
      <c r="K1726" s="6">
        <v>0</v>
      </c>
      <c r="L1726" s="6">
        <v>138145.65100000001</v>
      </c>
      <c r="M1726" s="6">
        <v>138145.65100000001</v>
      </c>
      <c r="N1726" s="6">
        <v>138145.65100000001</v>
      </c>
      <c r="O1726" s="6">
        <v>138145.65100000001</v>
      </c>
      <c r="P1726" s="6">
        <v>446293</v>
      </c>
      <c r="Q1726" s="4" t="s">
        <v>26</v>
      </c>
      <c r="R1726" s="4">
        <v>0</v>
      </c>
      <c r="S1726" s="6">
        <v>0</v>
      </c>
      <c r="T1726" s="6">
        <v>13</v>
      </c>
      <c r="U1726" s="6">
        <v>58</v>
      </c>
      <c r="V1726" s="6">
        <f>IF(ISERROR(VLOOKUP($S$1726,'TAR FIN'!$A$1:$O$95,15,0)),0,VLOOKUP($S$1726,'TAR FIN'!$A$1:$O$95,15,0))</f>
        <v>0</v>
      </c>
      <c r="W1726" s="6">
        <f>IF(ISERROR(VLOOKUP($T$1726,'TAR FIN'!$A$1:$O$95,15,0)),0,VLOOKUP($T$1726,'TAR FIN'!$A$1:$O$95,15,0))</f>
        <v>450.19</v>
      </c>
      <c r="X1726" s="6">
        <f>IF(ISERROR(VLOOKUP($U$1726,'TAR FIN'!$A$1:$O$95,15,0)),0,VLOOKUP($U$1726,'TAR FIN'!$A$1:$O$95,15,0))</f>
        <v>243.3</v>
      </c>
      <c r="Y1726" s="6"/>
      <c r="Z1726" s="6">
        <f ca="1">('TUSD BE'!$AM$25+'TUSD BF'!$AM$25+'TUSD CVA'!$AM$25)*1</f>
        <v>506.5198438752322</v>
      </c>
      <c r="AA1726" s="6">
        <f>('TE BE'!$AA$13+'TE BF'!$AA$13+'TE CVA'!$AA$13)*1</f>
        <v>297.20166373463735</v>
      </c>
      <c r="AB1726" s="6">
        <f>$K$1726*$V$1726</f>
        <v>0</v>
      </c>
      <c r="AC1726" s="6">
        <f>$M$1726*$W$1726</f>
        <v>62191790.623690002</v>
      </c>
      <c r="AD1726" s="6">
        <f>$O$1726*$X$1726</f>
        <v>33610836.888300002</v>
      </c>
      <c r="AE1726" s="6">
        <f>$K$1726*$Y$1726</f>
        <v>0</v>
      </c>
      <c r="AF1726" s="6">
        <f ca="1">$M$1726*$Z$1726</f>
        <v>69973513.576562315</v>
      </c>
      <c r="AG1726" s="6">
        <f>$O$1726*$AA$1726</f>
        <v>41057117.314904571</v>
      </c>
    </row>
    <row r="1727" spans="1:33" ht="11.25" customHeight="1" x14ac:dyDescent="0.25">
      <c r="A1727" s="4" t="s">
        <v>27</v>
      </c>
      <c r="B1727" s="4" t="s">
        <v>22</v>
      </c>
      <c r="C1727" s="4" t="s">
        <v>23</v>
      </c>
      <c r="D1727" s="4" t="s">
        <v>24</v>
      </c>
      <c r="E1727" s="4" t="s">
        <v>24</v>
      </c>
      <c r="F1727" s="4" t="s">
        <v>25</v>
      </c>
      <c r="G1727" s="4" t="s">
        <v>25</v>
      </c>
      <c r="H1727" s="4" t="s">
        <v>25</v>
      </c>
      <c r="I1727" s="5">
        <v>44440</v>
      </c>
      <c r="J1727" s="6">
        <v>0</v>
      </c>
      <c r="K1727" s="6">
        <v>0</v>
      </c>
      <c r="L1727" s="6">
        <v>-4144.49</v>
      </c>
      <c r="M1727" s="6">
        <v>-4144.49</v>
      </c>
      <c r="N1727" s="6">
        <v>-4144.49</v>
      </c>
      <c r="O1727" s="6">
        <v>-4144.49</v>
      </c>
      <c r="P1727" s="6">
        <v>0</v>
      </c>
      <c r="Q1727" s="4" t="s">
        <v>26</v>
      </c>
      <c r="R1727" s="4">
        <v>0</v>
      </c>
      <c r="S1727" s="6">
        <v>0</v>
      </c>
      <c r="T1727" s="6">
        <v>13</v>
      </c>
      <c r="U1727" s="6">
        <v>58</v>
      </c>
      <c r="V1727" s="6">
        <f>IF(ISERROR(VLOOKUP($S$1727,'TAR FIN'!$A$1:$O$95,15,0)),0,VLOOKUP($S$1727,'TAR FIN'!$A$1:$O$95,15,0))</f>
        <v>0</v>
      </c>
      <c r="W1727" s="6">
        <f>IF(ISERROR(VLOOKUP($T$1727,'TAR FIN'!$A$1:$O$95,15,0)),0,VLOOKUP($T$1727,'TAR FIN'!$A$1:$O$95,15,0))</f>
        <v>450.19</v>
      </c>
      <c r="X1727" s="6">
        <f>IF(ISERROR(VLOOKUP($U$1727,'TAR FIN'!$A$1:$O$95,15,0)),0,VLOOKUP($U$1727,'TAR FIN'!$A$1:$O$95,15,0))</f>
        <v>243.3</v>
      </c>
      <c r="Y1727" s="6"/>
      <c r="Z1727" s="6">
        <f ca="1">('TUSD BE'!$AM$25+'TUSD BF'!$AM$25+'TUSD CVA'!$AM$25)*1</f>
        <v>506.5198438752322</v>
      </c>
      <c r="AA1727" s="6">
        <f>('TE BE'!$AA$13+'TE BF'!$AA$13+'TE CVA'!$AA$13)*1</f>
        <v>297.20166373463735</v>
      </c>
      <c r="AB1727" s="6">
        <f>$K$1727*$V$1727</f>
        <v>0</v>
      </c>
      <c r="AC1727" s="6">
        <f>$M$1727*$W$1727</f>
        <v>-1865807.9530999998</v>
      </c>
      <c r="AD1727" s="6">
        <f>$O$1727*$X$1727</f>
        <v>-1008354.417</v>
      </c>
      <c r="AE1727" s="6">
        <f>$K$1727*$Y$1727</f>
        <v>0</v>
      </c>
      <c r="AF1727" s="6">
        <f ca="1">$M$1727*$Z$1727</f>
        <v>-2099266.4277424612</v>
      </c>
      <c r="AG1727" s="6">
        <f>$O$1727*$AA$1727</f>
        <v>-1231749.323331567</v>
      </c>
    </row>
    <row r="1728" spans="1:33" ht="11.25" customHeight="1" x14ac:dyDescent="0.25">
      <c r="A1728" s="4" t="s">
        <v>28</v>
      </c>
      <c r="B1728" s="4" t="s">
        <v>22</v>
      </c>
      <c r="C1728" s="4" t="s">
        <v>23</v>
      </c>
      <c r="D1728" s="4" t="s">
        <v>24</v>
      </c>
      <c r="E1728" s="4" t="s">
        <v>24</v>
      </c>
      <c r="F1728" s="4" t="s">
        <v>25</v>
      </c>
      <c r="G1728" s="4" t="s">
        <v>25</v>
      </c>
      <c r="H1728" s="4" t="s">
        <v>25</v>
      </c>
      <c r="I1728" s="5">
        <v>44440</v>
      </c>
      <c r="J1728" s="6">
        <v>0</v>
      </c>
      <c r="K1728" s="6">
        <v>0</v>
      </c>
      <c r="L1728" s="6">
        <v>35412.368000000002</v>
      </c>
      <c r="M1728" s="6">
        <v>35412.368000000002</v>
      </c>
      <c r="N1728" s="6">
        <v>35412.368000000002</v>
      </c>
      <c r="O1728" s="6">
        <v>35412.368000000002</v>
      </c>
      <c r="P1728" s="6">
        <v>174725</v>
      </c>
      <c r="Q1728" s="4" t="s">
        <v>26</v>
      </c>
      <c r="R1728" s="4">
        <v>0</v>
      </c>
      <c r="S1728" s="6">
        <v>0</v>
      </c>
      <c r="T1728" s="6">
        <v>13</v>
      </c>
      <c r="U1728" s="6">
        <v>58</v>
      </c>
      <c r="V1728" s="6">
        <f>IF(ISERROR(VLOOKUP($S$1728,'TAR FIN'!$A$1:$O$95,15,0)),0,VLOOKUP($S$1728,'TAR FIN'!$A$1:$O$95,15,0))</f>
        <v>0</v>
      </c>
      <c r="W1728" s="6">
        <f>IF(ISERROR(VLOOKUP($T$1728,'TAR FIN'!$A$1:$O$95,15,0)),0,VLOOKUP($T$1728,'TAR FIN'!$A$1:$O$95,15,0))</f>
        <v>450.19</v>
      </c>
      <c r="X1728" s="6">
        <f>IF(ISERROR(VLOOKUP($U$1728,'TAR FIN'!$A$1:$O$95,15,0)),0,VLOOKUP($U$1728,'TAR FIN'!$A$1:$O$95,15,0))</f>
        <v>243.3</v>
      </c>
      <c r="Y1728" s="6"/>
      <c r="Z1728" s="6">
        <f ca="1">('TUSD BE'!$AM$25+'TUSD BF'!$AM$25+'TUSD CVA'!$AM$25)*1</f>
        <v>506.5198438752322</v>
      </c>
      <c r="AA1728" s="6">
        <f>('TE BE'!$AA$13+'TE BF'!$AA$13+'TE CVA'!$AA$13)*1</f>
        <v>297.20166373463735</v>
      </c>
      <c r="AB1728" s="6">
        <f>$K$1728*$V$1728</f>
        <v>0</v>
      </c>
      <c r="AC1728" s="6">
        <f>$M$1728*$W$1728</f>
        <v>15942293.949920001</v>
      </c>
      <c r="AD1728" s="6">
        <f>$O$1728*$X$1728</f>
        <v>8615829.1344000008</v>
      </c>
      <c r="AE1728" s="6">
        <f>$K$1728*$Y$1728</f>
        <v>0</v>
      </c>
      <c r="AF1728" s="6">
        <f ca="1">$M$1728*$Z$1728</f>
        <v>17937067.110612269</v>
      </c>
      <c r="AG1728" s="6">
        <f>$O$1728*$AA$1728</f>
        <v>10524614.686383232</v>
      </c>
    </row>
    <row r="1729" spans="1:33" ht="11.25" customHeight="1" x14ac:dyDescent="0.25">
      <c r="A1729" s="4" t="s">
        <v>29</v>
      </c>
      <c r="B1729" s="4" t="s">
        <v>22</v>
      </c>
      <c r="C1729" s="4" t="s">
        <v>23</v>
      </c>
      <c r="D1729" s="4" t="s">
        <v>24</v>
      </c>
      <c r="E1729" s="4" t="s">
        <v>24</v>
      </c>
      <c r="F1729" s="4" t="s">
        <v>25</v>
      </c>
      <c r="G1729" s="4" t="s">
        <v>25</v>
      </c>
      <c r="H1729" s="4" t="s">
        <v>25</v>
      </c>
      <c r="I1729" s="5">
        <v>44440</v>
      </c>
      <c r="J1729" s="6">
        <v>0</v>
      </c>
      <c r="K1729" s="6">
        <v>0</v>
      </c>
      <c r="L1729" s="6">
        <v>-839.245</v>
      </c>
      <c r="M1729" s="6">
        <v>-839.245</v>
      </c>
      <c r="N1729" s="6">
        <v>-839.245</v>
      </c>
      <c r="O1729" s="6">
        <v>-839.245</v>
      </c>
      <c r="P1729" s="6">
        <v>0</v>
      </c>
      <c r="Q1729" s="4" t="s">
        <v>26</v>
      </c>
      <c r="R1729" s="4">
        <v>0</v>
      </c>
      <c r="S1729" s="6">
        <v>0</v>
      </c>
      <c r="T1729" s="6">
        <v>13</v>
      </c>
      <c r="U1729" s="6">
        <v>58</v>
      </c>
      <c r="V1729" s="6">
        <f>IF(ISERROR(VLOOKUP($S$1729,'TAR FIN'!$A$1:$O$95,15,0)),0,VLOOKUP($S$1729,'TAR FIN'!$A$1:$O$95,15,0))</f>
        <v>0</v>
      </c>
      <c r="W1729" s="6">
        <f>IF(ISERROR(VLOOKUP($T$1729,'TAR FIN'!$A$1:$O$95,15,0)),0,VLOOKUP($T$1729,'TAR FIN'!$A$1:$O$95,15,0))</f>
        <v>450.19</v>
      </c>
      <c r="X1729" s="6">
        <f>IF(ISERROR(VLOOKUP($U$1729,'TAR FIN'!$A$1:$O$95,15,0)),0,VLOOKUP($U$1729,'TAR FIN'!$A$1:$O$95,15,0))</f>
        <v>243.3</v>
      </c>
      <c r="Y1729" s="6"/>
      <c r="Z1729" s="6">
        <f ca="1">('TUSD BE'!$AM$25+'TUSD BF'!$AM$25+'TUSD CVA'!$AM$25)*1</f>
        <v>506.5198438752322</v>
      </c>
      <c r="AA1729" s="6">
        <f>('TE BE'!$AA$13+'TE BF'!$AA$13+'TE CVA'!$AA$13)*1</f>
        <v>297.20166373463735</v>
      </c>
      <c r="AB1729" s="6">
        <f>$K$1729*$V$1729</f>
        <v>0</v>
      </c>
      <c r="AC1729" s="6">
        <f>$M$1729*$W$1729</f>
        <v>-377819.70655</v>
      </c>
      <c r="AD1729" s="6">
        <f>$O$1729*$X$1729</f>
        <v>-204188.30850000001</v>
      </c>
      <c r="AE1729" s="6">
        <f>$K$1729*$Y$1729</f>
        <v>0</v>
      </c>
      <c r="AF1729" s="6">
        <f ca="1">$M$1729*$Z$1729</f>
        <v>-425094.24637306924</v>
      </c>
      <c r="AG1729" s="6">
        <f>$O$1729*$AA$1729</f>
        <v>-249425.01028097572</v>
      </c>
    </row>
    <row r="1730" spans="1:33" ht="11.25" customHeight="1" x14ac:dyDescent="0.25">
      <c r="A1730" s="4" t="s">
        <v>30</v>
      </c>
      <c r="B1730" s="4" t="s">
        <v>22</v>
      </c>
      <c r="C1730" s="4" t="s">
        <v>23</v>
      </c>
      <c r="D1730" s="4" t="s">
        <v>24</v>
      </c>
      <c r="E1730" s="4" t="s">
        <v>24</v>
      </c>
      <c r="F1730" s="4" t="s">
        <v>25</v>
      </c>
      <c r="G1730" s="4" t="s">
        <v>25</v>
      </c>
      <c r="H1730" s="4" t="s">
        <v>25</v>
      </c>
      <c r="I1730" s="5">
        <v>44440</v>
      </c>
      <c r="J1730" s="6">
        <v>0</v>
      </c>
      <c r="K1730" s="6">
        <v>0</v>
      </c>
      <c r="L1730" s="6">
        <v>2414.6350000000002</v>
      </c>
      <c r="M1730" s="6">
        <v>2414.6350000000002</v>
      </c>
      <c r="N1730" s="6">
        <v>2414.6350000000002</v>
      </c>
      <c r="O1730" s="6">
        <v>2414.6350000000002</v>
      </c>
      <c r="P1730" s="6">
        <v>2860</v>
      </c>
      <c r="Q1730" s="4" t="s">
        <v>26</v>
      </c>
      <c r="R1730" s="4">
        <v>0</v>
      </c>
      <c r="S1730" s="6">
        <v>0</v>
      </c>
      <c r="T1730" s="6">
        <v>13</v>
      </c>
      <c r="U1730" s="6">
        <v>58</v>
      </c>
      <c r="V1730" s="6">
        <f>IF(ISERROR(VLOOKUP($S$1730,'TAR FIN'!$A$1:$O$95,15,0)),0,VLOOKUP($S$1730,'TAR FIN'!$A$1:$O$95,15,0))</f>
        <v>0</v>
      </c>
      <c r="W1730" s="6">
        <f>IF(ISERROR(VLOOKUP($T$1730,'TAR FIN'!$A$1:$O$95,15,0)),0,VLOOKUP($T$1730,'TAR FIN'!$A$1:$O$95,15,0))</f>
        <v>450.19</v>
      </c>
      <c r="X1730" s="6">
        <f>IF(ISERROR(VLOOKUP($U$1730,'TAR FIN'!$A$1:$O$95,15,0)),0,VLOOKUP($U$1730,'TAR FIN'!$A$1:$O$95,15,0))</f>
        <v>243.3</v>
      </c>
      <c r="Y1730" s="6"/>
      <c r="Z1730" s="6">
        <f ca="1">('TUSD BE'!$AM$25+'TUSD BF'!$AM$25+'TUSD CVA'!$AM$25)*1</f>
        <v>506.5198438752322</v>
      </c>
      <c r="AA1730" s="6">
        <f>('TE BE'!$AA$13+'TE BF'!$AA$13+'TE CVA'!$AA$13)*1</f>
        <v>297.20166373463735</v>
      </c>
      <c r="AB1730" s="6">
        <f>$K$1730*$V$1730</f>
        <v>0</v>
      </c>
      <c r="AC1730" s="6">
        <f>$M$1730*$W$1730</f>
        <v>1087044.5306500001</v>
      </c>
      <c r="AD1730" s="6">
        <f>$O$1730*$X$1730</f>
        <v>587480.69550000003</v>
      </c>
      <c r="AE1730" s="6">
        <f>$K$1730*$Y$1730</f>
        <v>0</v>
      </c>
      <c r="AF1730" s="6">
        <f ca="1">$M$1730*$Z$1730</f>
        <v>1223060.5432156713</v>
      </c>
      <c r="AG1730" s="6">
        <f>$O$1730*$AA$1730</f>
        <v>717633.53931188607</v>
      </c>
    </row>
    <row r="1731" spans="1:33" ht="11.25" customHeight="1" x14ac:dyDescent="0.25">
      <c r="A1731" s="4" t="s">
        <v>30</v>
      </c>
      <c r="B1731" s="4" t="s">
        <v>22</v>
      </c>
      <c r="C1731" s="4" t="s">
        <v>23</v>
      </c>
      <c r="D1731" s="4" t="s">
        <v>24</v>
      </c>
      <c r="E1731" s="4" t="s">
        <v>24</v>
      </c>
      <c r="F1731" s="4" t="s">
        <v>25</v>
      </c>
      <c r="G1731" s="4" t="s">
        <v>25</v>
      </c>
      <c r="H1731" s="4" t="s">
        <v>25</v>
      </c>
      <c r="I1731" s="5">
        <v>44440</v>
      </c>
      <c r="J1731" s="6">
        <v>0</v>
      </c>
      <c r="K1731" s="6">
        <v>0</v>
      </c>
      <c r="L1731" s="6">
        <v>-6.0940000000000003</v>
      </c>
      <c r="M1731" s="6">
        <v>-6.0940000000000003</v>
      </c>
      <c r="N1731" s="6">
        <v>-6.0940000000000003</v>
      </c>
      <c r="O1731" s="6">
        <v>-6.0940000000000003</v>
      </c>
      <c r="P1731" s="6">
        <v>0</v>
      </c>
      <c r="Q1731" s="4" t="s">
        <v>26</v>
      </c>
      <c r="R1731" s="4">
        <v>0</v>
      </c>
      <c r="S1731" s="6">
        <v>0</v>
      </c>
      <c r="T1731" s="6">
        <v>13</v>
      </c>
      <c r="U1731" s="6">
        <v>58</v>
      </c>
      <c r="V1731" s="6">
        <f>IF(ISERROR(VLOOKUP($S$1731,'TAR FIN'!$A$1:$O$95,15,0)),0,VLOOKUP($S$1731,'TAR FIN'!$A$1:$O$95,15,0))</f>
        <v>0</v>
      </c>
      <c r="W1731" s="6">
        <f>IF(ISERROR(VLOOKUP($T$1731,'TAR FIN'!$A$1:$O$95,15,0)),0,VLOOKUP($T$1731,'TAR FIN'!$A$1:$O$95,15,0))</f>
        <v>450.19</v>
      </c>
      <c r="X1731" s="6">
        <f>IF(ISERROR(VLOOKUP($U$1731,'TAR FIN'!$A$1:$O$95,15,0)),0,VLOOKUP($U$1731,'TAR FIN'!$A$1:$O$95,15,0))</f>
        <v>243.3</v>
      </c>
      <c r="Y1731" s="6"/>
      <c r="Z1731" s="6">
        <f ca="1">('TUSD BE'!$AM$25+'TUSD BF'!$AM$25+'TUSD CVA'!$AM$25)*1</f>
        <v>506.5198438752322</v>
      </c>
      <c r="AA1731" s="6">
        <f>('TE BE'!$AA$13+'TE BF'!$AA$13+'TE CVA'!$AA$13)*1</f>
        <v>297.20166373463735</v>
      </c>
      <c r="AB1731" s="6">
        <f>$K$1731*$V$1731</f>
        <v>0</v>
      </c>
      <c r="AC1731" s="6">
        <f>$M$1731*$W$1731</f>
        <v>-2743.45786</v>
      </c>
      <c r="AD1731" s="6">
        <f>$O$1731*$X$1731</f>
        <v>-1482.6702000000002</v>
      </c>
      <c r="AE1731" s="6">
        <f>$K$1731*$Y$1731</f>
        <v>0</v>
      </c>
      <c r="AF1731" s="6">
        <f ca="1">$M$1731*$Z$1731</f>
        <v>-3086.7319285756653</v>
      </c>
      <c r="AG1731" s="6">
        <f>$O$1731*$AA$1731</f>
        <v>-1811.14693879888</v>
      </c>
    </row>
    <row r="1732" spans="1:33" ht="11.25" customHeight="1" x14ac:dyDescent="0.25">
      <c r="A1732" s="4" t="s">
        <v>59</v>
      </c>
      <c r="B1732" s="4" t="s">
        <v>22</v>
      </c>
      <c r="C1732" s="4" t="s">
        <v>23</v>
      </c>
      <c r="D1732" s="4" t="s">
        <v>24</v>
      </c>
      <c r="E1732" s="4" t="s">
        <v>24</v>
      </c>
      <c r="F1732" s="4" t="s">
        <v>25</v>
      </c>
      <c r="G1732" s="4" t="s">
        <v>25</v>
      </c>
      <c r="H1732" s="4" t="s">
        <v>25</v>
      </c>
      <c r="I1732" s="5">
        <v>44470</v>
      </c>
      <c r="J1732" s="6">
        <v>0</v>
      </c>
      <c r="K1732" s="6">
        <v>0</v>
      </c>
      <c r="L1732" s="6">
        <v>138145.65100000001</v>
      </c>
      <c r="M1732" s="6">
        <v>138145.65100000001</v>
      </c>
      <c r="N1732" s="6">
        <v>138145.65100000001</v>
      </c>
      <c r="O1732" s="6">
        <v>138145.65100000001</v>
      </c>
      <c r="P1732" s="6">
        <v>446293</v>
      </c>
      <c r="Q1732" s="4" t="s">
        <v>26</v>
      </c>
      <c r="R1732" s="4">
        <v>0</v>
      </c>
      <c r="S1732" s="6">
        <v>0</v>
      </c>
      <c r="T1732" s="6">
        <v>13</v>
      </c>
      <c r="U1732" s="6">
        <v>58</v>
      </c>
      <c r="V1732" s="6">
        <f>IF(ISERROR(VLOOKUP($S$1732,'TAR FIN'!$A$1:$O$95,15,0)),0,VLOOKUP($S$1732,'TAR FIN'!$A$1:$O$95,15,0))</f>
        <v>0</v>
      </c>
      <c r="W1732" s="6">
        <f>IF(ISERROR(VLOOKUP($T$1732,'TAR FIN'!$A$1:$O$95,15,0)),0,VLOOKUP($T$1732,'TAR FIN'!$A$1:$O$95,15,0))</f>
        <v>450.19</v>
      </c>
      <c r="X1732" s="6">
        <f>IF(ISERROR(VLOOKUP($U$1732,'TAR FIN'!$A$1:$O$95,15,0)),0,VLOOKUP($U$1732,'TAR FIN'!$A$1:$O$95,15,0))</f>
        <v>243.3</v>
      </c>
      <c r="Y1732" s="6"/>
      <c r="Z1732" s="6">
        <f ca="1">('TUSD BE'!$AM$25+'TUSD BF'!$AM$25+'TUSD CVA'!$AM$25)*1</f>
        <v>506.5198438752322</v>
      </c>
      <c r="AA1732" s="6">
        <f>('TE BE'!$AA$13+'TE BF'!$AA$13+'TE CVA'!$AA$13)*1</f>
        <v>297.20166373463735</v>
      </c>
      <c r="AB1732" s="6">
        <f>$K$1732*$V$1732</f>
        <v>0</v>
      </c>
      <c r="AC1732" s="6">
        <f>$M$1732*$W$1732</f>
        <v>62191790.623690002</v>
      </c>
      <c r="AD1732" s="6">
        <f>$O$1732*$X$1732</f>
        <v>33610836.888300002</v>
      </c>
      <c r="AE1732" s="6">
        <f>$K$1732*$Y$1732</f>
        <v>0</v>
      </c>
      <c r="AF1732" s="6">
        <f ca="1">$M$1732*$Z$1732</f>
        <v>69973513.576562315</v>
      </c>
      <c r="AG1732" s="6">
        <f>$O$1732*$AA$1732</f>
        <v>41057117.314904571</v>
      </c>
    </row>
    <row r="1733" spans="1:33" ht="11.25" customHeight="1" x14ac:dyDescent="0.25">
      <c r="A1733" s="4" t="s">
        <v>59</v>
      </c>
      <c r="B1733" s="4" t="s">
        <v>22</v>
      </c>
      <c r="C1733" s="4" t="s">
        <v>23</v>
      </c>
      <c r="D1733" s="4" t="s">
        <v>24</v>
      </c>
      <c r="E1733" s="4" t="s">
        <v>24</v>
      </c>
      <c r="F1733" s="4" t="s">
        <v>25</v>
      </c>
      <c r="G1733" s="4" t="s">
        <v>25</v>
      </c>
      <c r="H1733" s="4" t="s">
        <v>25</v>
      </c>
      <c r="I1733" s="5">
        <v>44470</v>
      </c>
      <c r="J1733" s="6">
        <v>0</v>
      </c>
      <c r="K1733" s="6">
        <v>0</v>
      </c>
      <c r="L1733" s="6">
        <v>-4144.49</v>
      </c>
      <c r="M1733" s="6">
        <v>-4144.49</v>
      </c>
      <c r="N1733" s="6">
        <v>-4144.49</v>
      </c>
      <c r="O1733" s="6">
        <v>-4144.49</v>
      </c>
      <c r="P1733" s="6">
        <v>0</v>
      </c>
      <c r="Q1733" s="4" t="s">
        <v>26</v>
      </c>
      <c r="R1733" s="4">
        <v>0</v>
      </c>
      <c r="S1733" s="6">
        <v>0</v>
      </c>
      <c r="T1733" s="6">
        <v>13</v>
      </c>
      <c r="U1733" s="6">
        <v>58</v>
      </c>
      <c r="V1733" s="6">
        <f>IF(ISERROR(VLOOKUP($S$1733,'TAR FIN'!$A$1:$O$95,15,0)),0,VLOOKUP($S$1733,'TAR FIN'!$A$1:$O$95,15,0))</f>
        <v>0</v>
      </c>
      <c r="W1733" s="6">
        <f>IF(ISERROR(VLOOKUP($T$1733,'TAR FIN'!$A$1:$O$95,15,0)),0,VLOOKUP($T$1733,'TAR FIN'!$A$1:$O$95,15,0))</f>
        <v>450.19</v>
      </c>
      <c r="X1733" s="6">
        <f>IF(ISERROR(VLOOKUP($U$1733,'TAR FIN'!$A$1:$O$95,15,0)),0,VLOOKUP($U$1733,'TAR FIN'!$A$1:$O$95,15,0))</f>
        <v>243.3</v>
      </c>
      <c r="Y1733" s="6"/>
      <c r="Z1733" s="6">
        <f ca="1">('TUSD BE'!$AM$25+'TUSD BF'!$AM$25+'TUSD CVA'!$AM$25)*1</f>
        <v>506.5198438752322</v>
      </c>
      <c r="AA1733" s="6">
        <f>('TE BE'!$AA$13+'TE BF'!$AA$13+'TE CVA'!$AA$13)*1</f>
        <v>297.20166373463735</v>
      </c>
      <c r="AB1733" s="6">
        <f>$K$1733*$V$1733</f>
        <v>0</v>
      </c>
      <c r="AC1733" s="6">
        <f>$M$1733*$W$1733</f>
        <v>-1865807.9530999998</v>
      </c>
      <c r="AD1733" s="6">
        <f>$O$1733*$X$1733</f>
        <v>-1008354.417</v>
      </c>
      <c r="AE1733" s="6">
        <f>$K$1733*$Y$1733</f>
        <v>0</v>
      </c>
      <c r="AF1733" s="6">
        <f ca="1">$M$1733*$Z$1733</f>
        <v>-2099266.4277424612</v>
      </c>
      <c r="AG1733" s="6">
        <f>$O$1733*$AA$1733</f>
        <v>-1231749.323331567</v>
      </c>
    </row>
    <row r="1734" spans="1:33" ht="11.25" customHeight="1" x14ac:dyDescent="0.25">
      <c r="A1734" s="4" t="s">
        <v>59</v>
      </c>
      <c r="B1734" s="4" t="s">
        <v>22</v>
      </c>
      <c r="C1734" s="4" t="s">
        <v>23</v>
      </c>
      <c r="D1734" s="4" t="s">
        <v>24</v>
      </c>
      <c r="E1734" s="4" t="s">
        <v>24</v>
      </c>
      <c r="F1734" s="4" t="s">
        <v>25</v>
      </c>
      <c r="G1734" s="4" t="s">
        <v>25</v>
      </c>
      <c r="H1734" s="4" t="s">
        <v>25</v>
      </c>
      <c r="I1734" s="5">
        <v>44470</v>
      </c>
      <c r="J1734" s="6">
        <v>0</v>
      </c>
      <c r="K1734" s="6">
        <v>0</v>
      </c>
      <c r="L1734" s="6">
        <v>35412.368000000002</v>
      </c>
      <c r="M1734" s="6">
        <v>35412.368000000002</v>
      </c>
      <c r="N1734" s="6">
        <v>35412.368000000002</v>
      </c>
      <c r="O1734" s="6">
        <v>35412.368000000002</v>
      </c>
      <c r="P1734" s="6">
        <v>174725</v>
      </c>
      <c r="Q1734" s="4" t="s">
        <v>26</v>
      </c>
      <c r="R1734" s="4">
        <v>0</v>
      </c>
      <c r="S1734" s="6">
        <v>0</v>
      </c>
      <c r="T1734" s="6">
        <v>13</v>
      </c>
      <c r="U1734" s="6">
        <v>58</v>
      </c>
      <c r="V1734" s="6">
        <f>IF(ISERROR(VLOOKUP($S$1734,'TAR FIN'!$A$1:$O$95,15,0)),0,VLOOKUP($S$1734,'TAR FIN'!$A$1:$O$95,15,0))</f>
        <v>0</v>
      </c>
      <c r="W1734" s="6">
        <f>IF(ISERROR(VLOOKUP($T$1734,'TAR FIN'!$A$1:$O$95,15,0)),0,VLOOKUP($T$1734,'TAR FIN'!$A$1:$O$95,15,0))</f>
        <v>450.19</v>
      </c>
      <c r="X1734" s="6">
        <f>IF(ISERROR(VLOOKUP($U$1734,'TAR FIN'!$A$1:$O$95,15,0)),0,VLOOKUP($U$1734,'TAR FIN'!$A$1:$O$95,15,0))</f>
        <v>243.3</v>
      </c>
      <c r="Y1734" s="6"/>
      <c r="Z1734" s="6">
        <f ca="1">('TUSD BE'!$AM$25+'TUSD BF'!$AM$25+'TUSD CVA'!$AM$25)*1</f>
        <v>506.5198438752322</v>
      </c>
      <c r="AA1734" s="6">
        <f>('TE BE'!$AA$13+'TE BF'!$AA$13+'TE CVA'!$AA$13)*1</f>
        <v>297.20166373463735</v>
      </c>
      <c r="AB1734" s="6">
        <f>$K$1734*$V$1734</f>
        <v>0</v>
      </c>
      <c r="AC1734" s="6">
        <f>$M$1734*$W$1734</f>
        <v>15942293.949920001</v>
      </c>
      <c r="AD1734" s="6">
        <f>$O$1734*$X$1734</f>
        <v>8615829.1344000008</v>
      </c>
      <c r="AE1734" s="6">
        <f>$K$1734*$Y$1734</f>
        <v>0</v>
      </c>
      <c r="AF1734" s="6">
        <f ca="1">$M$1734*$Z$1734</f>
        <v>17937067.110612269</v>
      </c>
      <c r="AG1734" s="6">
        <f>$O$1734*$AA$1734</f>
        <v>10524614.686383232</v>
      </c>
    </row>
    <row r="1735" spans="1:33" ht="11.25" customHeight="1" x14ac:dyDescent="0.25">
      <c r="A1735" s="4" t="s">
        <v>59</v>
      </c>
      <c r="B1735" s="4" t="s">
        <v>22</v>
      </c>
      <c r="C1735" s="4" t="s">
        <v>23</v>
      </c>
      <c r="D1735" s="4" t="s">
        <v>24</v>
      </c>
      <c r="E1735" s="4" t="s">
        <v>24</v>
      </c>
      <c r="F1735" s="4" t="s">
        <v>25</v>
      </c>
      <c r="G1735" s="4" t="s">
        <v>25</v>
      </c>
      <c r="H1735" s="4" t="s">
        <v>25</v>
      </c>
      <c r="I1735" s="5">
        <v>44470</v>
      </c>
      <c r="J1735" s="6">
        <v>0</v>
      </c>
      <c r="K1735" s="6">
        <v>0</v>
      </c>
      <c r="L1735" s="6">
        <v>-839.245</v>
      </c>
      <c r="M1735" s="6">
        <v>-839.245</v>
      </c>
      <c r="N1735" s="6">
        <v>-839.245</v>
      </c>
      <c r="O1735" s="6">
        <v>-839.245</v>
      </c>
      <c r="P1735" s="6">
        <v>0</v>
      </c>
      <c r="Q1735" s="4" t="s">
        <v>26</v>
      </c>
      <c r="R1735" s="4">
        <v>0</v>
      </c>
      <c r="S1735" s="6">
        <v>0</v>
      </c>
      <c r="T1735" s="6">
        <v>13</v>
      </c>
      <c r="U1735" s="6">
        <v>58</v>
      </c>
      <c r="V1735" s="6">
        <f>IF(ISERROR(VLOOKUP($S$1735,'TAR FIN'!$A$1:$O$95,15,0)),0,VLOOKUP($S$1735,'TAR FIN'!$A$1:$O$95,15,0))</f>
        <v>0</v>
      </c>
      <c r="W1735" s="6">
        <f>IF(ISERROR(VLOOKUP($T$1735,'TAR FIN'!$A$1:$O$95,15,0)),0,VLOOKUP($T$1735,'TAR FIN'!$A$1:$O$95,15,0))</f>
        <v>450.19</v>
      </c>
      <c r="X1735" s="6">
        <f>IF(ISERROR(VLOOKUP($U$1735,'TAR FIN'!$A$1:$O$95,15,0)),0,VLOOKUP($U$1735,'TAR FIN'!$A$1:$O$95,15,0))</f>
        <v>243.3</v>
      </c>
      <c r="Y1735" s="6"/>
      <c r="Z1735" s="6">
        <f ca="1">('TUSD BE'!$AM$25+'TUSD BF'!$AM$25+'TUSD CVA'!$AM$25)*1</f>
        <v>506.5198438752322</v>
      </c>
      <c r="AA1735" s="6">
        <f>('TE BE'!$AA$13+'TE BF'!$AA$13+'TE CVA'!$AA$13)*1</f>
        <v>297.20166373463735</v>
      </c>
      <c r="AB1735" s="6">
        <f>$K$1735*$V$1735</f>
        <v>0</v>
      </c>
      <c r="AC1735" s="6">
        <f>$M$1735*$W$1735</f>
        <v>-377819.70655</v>
      </c>
      <c r="AD1735" s="6">
        <f>$O$1735*$X$1735</f>
        <v>-204188.30850000001</v>
      </c>
      <c r="AE1735" s="6">
        <f>$K$1735*$Y$1735</f>
        <v>0</v>
      </c>
      <c r="AF1735" s="6">
        <f ca="1">$M$1735*$Z$1735</f>
        <v>-425094.24637306924</v>
      </c>
      <c r="AG1735" s="6">
        <f>$O$1735*$AA$1735</f>
        <v>-249425.01028097572</v>
      </c>
    </row>
    <row r="1736" spans="1:33" ht="11.25" customHeight="1" x14ac:dyDescent="0.25">
      <c r="A1736" s="4" t="s">
        <v>59</v>
      </c>
      <c r="B1736" s="4" t="s">
        <v>22</v>
      </c>
      <c r="C1736" s="4" t="s">
        <v>23</v>
      </c>
      <c r="D1736" s="4" t="s">
        <v>24</v>
      </c>
      <c r="E1736" s="4" t="s">
        <v>24</v>
      </c>
      <c r="F1736" s="4" t="s">
        <v>25</v>
      </c>
      <c r="G1736" s="4" t="s">
        <v>25</v>
      </c>
      <c r="H1736" s="4" t="s">
        <v>25</v>
      </c>
      <c r="I1736" s="5">
        <v>44470</v>
      </c>
      <c r="J1736" s="6">
        <v>0</v>
      </c>
      <c r="K1736" s="6">
        <v>0</v>
      </c>
      <c r="L1736" s="6">
        <v>2414.6350000000002</v>
      </c>
      <c r="M1736" s="6">
        <v>2414.6350000000002</v>
      </c>
      <c r="N1736" s="6">
        <v>2414.6350000000002</v>
      </c>
      <c r="O1736" s="6">
        <v>2414.6350000000002</v>
      </c>
      <c r="P1736" s="6">
        <v>2860</v>
      </c>
      <c r="Q1736" s="4" t="s">
        <v>26</v>
      </c>
      <c r="R1736" s="4">
        <v>0</v>
      </c>
      <c r="S1736" s="6">
        <v>0</v>
      </c>
      <c r="T1736" s="6">
        <v>13</v>
      </c>
      <c r="U1736" s="6">
        <v>58</v>
      </c>
      <c r="V1736" s="6">
        <f>IF(ISERROR(VLOOKUP($S$1736,'TAR FIN'!$A$1:$O$95,15,0)),0,VLOOKUP($S$1736,'TAR FIN'!$A$1:$O$95,15,0))</f>
        <v>0</v>
      </c>
      <c r="W1736" s="6">
        <f>IF(ISERROR(VLOOKUP($T$1736,'TAR FIN'!$A$1:$O$95,15,0)),0,VLOOKUP($T$1736,'TAR FIN'!$A$1:$O$95,15,0))</f>
        <v>450.19</v>
      </c>
      <c r="X1736" s="6">
        <f>IF(ISERROR(VLOOKUP($U$1736,'TAR FIN'!$A$1:$O$95,15,0)),0,VLOOKUP($U$1736,'TAR FIN'!$A$1:$O$95,15,0))</f>
        <v>243.3</v>
      </c>
      <c r="Y1736" s="6"/>
      <c r="Z1736" s="6">
        <f ca="1">('TUSD BE'!$AM$25+'TUSD BF'!$AM$25+'TUSD CVA'!$AM$25)*1</f>
        <v>506.5198438752322</v>
      </c>
      <c r="AA1736" s="6">
        <f>('TE BE'!$AA$13+'TE BF'!$AA$13+'TE CVA'!$AA$13)*1</f>
        <v>297.20166373463735</v>
      </c>
      <c r="AB1736" s="6">
        <f>$K$1736*$V$1736</f>
        <v>0</v>
      </c>
      <c r="AC1736" s="6">
        <f>$M$1736*$W$1736</f>
        <v>1087044.5306500001</v>
      </c>
      <c r="AD1736" s="6">
        <f>$O$1736*$X$1736</f>
        <v>587480.69550000003</v>
      </c>
      <c r="AE1736" s="6">
        <f>$K$1736*$Y$1736</f>
        <v>0</v>
      </c>
      <c r="AF1736" s="6">
        <f ca="1">$M$1736*$Z$1736</f>
        <v>1223060.5432156713</v>
      </c>
      <c r="AG1736" s="6">
        <f>$O$1736*$AA$1736</f>
        <v>717633.53931188607</v>
      </c>
    </row>
    <row r="1737" spans="1:33" ht="11.25" customHeight="1" x14ac:dyDescent="0.25">
      <c r="A1737" s="4" t="s">
        <v>59</v>
      </c>
      <c r="B1737" s="4" t="s">
        <v>22</v>
      </c>
      <c r="C1737" s="4" t="s">
        <v>23</v>
      </c>
      <c r="D1737" s="4" t="s">
        <v>24</v>
      </c>
      <c r="E1737" s="4" t="s">
        <v>24</v>
      </c>
      <c r="F1737" s="4" t="s">
        <v>25</v>
      </c>
      <c r="G1737" s="4" t="s">
        <v>25</v>
      </c>
      <c r="H1737" s="4" t="s">
        <v>25</v>
      </c>
      <c r="I1737" s="5">
        <v>44470</v>
      </c>
      <c r="J1737" s="6">
        <v>0</v>
      </c>
      <c r="K1737" s="6">
        <v>0</v>
      </c>
      <c r="L1737" s="6">
        <v>-6.0940000000000003</v>
      </c>
      <c r="M1737" s="6">
        <v>-6.0940000000000003</v>
      </c>
      <c r="N1737" s="6">
        <v>-6.0940000000000003</v>
      </c>
      <c r="O1737" s="6">
        <v>-6.0940000000000003</v>
      </c>
      <c r="P1737" s="6">
        <v>0</v>
      </c>
      <c r="Q1737" s="4" t="s">
        <v>26</v>
      </c>
      <c r="R1737" s="4">
        <v>0</v>
      </c>
      <c r="S1737" s="6">
        <v>0</v>
      </c>
      <c r="T1737" s="6">
        <v>13</v>
      </c>
      <c r="U1737" s="6">
        <v>58</v>
      </c>
      <c r="V1737" s="6">
        <f>IF(ISERROR(VLOOKUP($S$1737,'TAR FIN'!$A$1:$O$95,15,0)),0,VLOOKUP($S$1737,'TAR FIN'!$A$1:$O$95,15,0))</f>
        <v>0</v>
      </c>
      <c r="W1737" s="6">
        <f>IF(ISERROR(VLOOKUP($T$1737,'TAR FIN'!$A$1:$O$95,15,0)),0,VLOOKUP($T$1737,'TAR FIN'!$A$1:$O$95,15,0))</f>
        <v>450.19</v>
      </c>
      <c r="X1737" s="6">
        <f>IF(ISERROR(VLOOKUP($U$1737,'TAR FIN'!$A$1:$O$95,15,0)),0,VLOOKUP($U$1737,'TAR FIN'!$A$1:$O$95,15,0))</f>
        <v>243.3</v>
      </c>
      <c r="Y1737" s="6"/>
      <c r="Z1737" s="6">
        <f ca="1">('TUSD BE'!$AM$25+'TUSD BF'!$AM$25+'TUSD CVA'!$AM$25)*1</f>
        <v>506.5198438752322</v>
      </c>
      <c r="AA1737" s="6">
        <f>('TE BE'!$AA$13+'TE BF'!$AA$13+'TE CVA'!$AA$13)*1</f>
        <v>297.20166373463735</v>
      </c>
      <c r="AB1737" s="6">
        <f>$K$1737*$V$1737</f>
        <v>0</v>
      </c>
      <c r="AC1737" s="6">
        <f>$M$1737*$W$1737</f>
        <v>-2743.45786</v>
      </c>
      <c r="AD1737" s="6">
        <f>$O$1737*$X$1737</f>
        <v>-1482.6702000000002</v>
      </c>
      <c r="AE1737" s="6">
        <f>$K$1737*$Y$1737</f>
        <v>0</v>
      </c>
      <c r="AF1737" s="6">
        <f ca="1">$M$1737*$Z$1737</f>
        <v>-3086.7319285756653</v>
      </c>
      <c r="AG1737" s="6">
        <f>$O$1737*$AA$1737</f>
        <v>-1811.14693879888</v>
      </c>
    </row>
    <row r="1738" spans="1:33" ht="11.25" customHeight="1" x14ac:dyDescent="0.25">
      <c r="A1738" s="4" t="s">
        <v>21</v>
      </c>
      <c r="B1738" s="4" t="s">
        <v>22</v>
      </c>
      <c r="C1738" s="4" t="s">
        <v>23</v>
      </c>
      <c r="D1738" s="4" t="s">
        <v>24</v>
      </c>
      <c r="E1738" s="4" t="s">
        <v>31</v>
      </c>
      <c r="F1738" s="4" t="s">
        <v>25</v>
      </c>
      <c r="G1738" s="4" t="s">
        <v>25</v>
      </c>
      <c r="H1738" s="4" t="s">
        <v>25</v>
      </c>
      <c r="I1738" s="5">
        <v>44136</v>
      </c>
      <c r="J1738" s="6">
        <v>0</v>
      </c>
      <c r="K1738" s="6">
        <v>0</v>
      </c>
      <c r="L1738" s="6">
        <v>2276.748</v>
      </c>
      <c r="M1738" s="6">
        <v>2276.748</v>
      </c>
      <c r="N1738" s="6">
        <v>2276.748</v>
      </c>
      <c r="O1738" s="6">
        <v>2276.748</v>
      </c>
      <c r="P1738" s="6">
        <v>18863</v>
      </c>
      <c r="Q1738" s="4" t="s">
        <v>26</v>
      </c>
      <c r="R1738" s="4">
        <v>0</v>
      </c>
      <c r="S1738" s="6">
        <v>0</v>
      </c>
      <c r="T1738" s="6">
        <v>9</v>
      </c>
      <c r="U1738" s="6">
        <v>59</v>
      </c>
      <c r="V1738" s="6">
        <f>IF(ISERROR(VLOOKUP($S$1738,'TAR FIN'!$A$1:$O$95,15,0)),0,VLOOKUP($S$1738,'TAR FIN'!$A$1:$O$95,15,0))</f>
        <v>0</v>
      </c>
      <c r="W1738" s="6">
        <f>IF(ISERROR(VLOOKUP($T$1738,'TAR FIN'!$A$1:$O$95,15,0)),0,VLOOKUP($T$1738,'TAR FIN'!$A$1:$O$95,15,0))</f>
        <v>147.13999999999999</v>
      </c>
      <c r="X1738" s="6">
        <f>IF(ISERROR(VLOOKUP($U$1738,'TAR FIN'!$A$1:$O$95,15,0)),0,VLOOKUP($U$1738,'TAR FIN'!$A$1:$O$95,15,0))</f>
        <v>85.16</v>
      </c>
      <c r="Y1738" s="6"/>
      <c r="Z1738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38" s="6">
        <f>('TE BE'!$AA$14+'TE BF'!$AA$14+'TE CVA'!$AA$14)*(1-CUSTOS!$M$34)</f>
        <v>104.02058230712306</v>
      </c>
      <c r="AB1738" s="6">
        <f>$K$1738*$V$1738</f>
        <v>0</v>
      </c>
      <c r="AC1738" s="6">
        <f>$M$1738*$W$1738</f>
        <v>335000.70071999996</v>
      </c>
      <c r="AD1738" s="6">
        <f>$O$1738*$X$1738</f>
        <v>193887.85967999999</v>
      </c>
      <c r="AE1738" s="6">
        <f>$K$1738*$Y$1738</f>
        <v>0</v>
      </c>
      <c r="AF1738" s="6">
        <f ca="1">$M$1738*$Z$1738</f>
        <v>366587.66306201683</v>
      </c>
      <c r="AG1738" s="6">
        <f>$O$1738*$AA$1738</f>
        <v>236828.65272657783</v>
      </c>
    </row>
    <row r="1739" spans="1:33" ht="11.25" customHeight="1" x14ac:dyDescent="0.25">
      <c r="A1739" s="4" t="s">
        <v>27</v>
      </c>
      <c r="B1739" s="4" t="s">
        <v>22</v>
      </c>
      <c r="C1739" s="4" t="s">
        <v>23</v>
      </c>
      <c r="D1739" s="4" t="s">
        <v>24</v>
      </c>
      <c r="E1739" s="4" t="s">
        <v>31</v>
      </c>
      <c r="F1739" s="4" t="s">
        <v>25</v>
      </c>
      <c r="G1739" s="4" t="s">
        <v>25</v>
      </c>
      <c r="H1739" s="4" t="s">
        <v>25</v>
      </c>
      <c r="I1739" s="5">
        <v>44136</v>
      </c>
      <c r="J1739" s="6">
        <v>0</v>
      </c>
      <c r="K1739" s="6">
        <v>0</v>
      </c>
      <c r="L1739" s="6">
        <v>-4.38</v>
      </c>
      <c r="M1739" s="6">
        <v>-4.38</v>
      </c>
      <c r="N1739" s="6">
        <v>-4.38</v>
      </c>
      <c r="O1739" s="6">
        <v>-4.38</v>
      </c>
      <c r="P1739" s="6">
        <v>-250</v>
      </c>
      <c r="Q1739" s="4" t="s">
        <v>26</v>
      </c>
      <c r="R1739" s="4">
        <v>0</v>
      </c>
      <c r="S1739" s="6">
        <v>0</v>
      </c>
      <c r="T1739" s="6">
        <v>9</v>
      </c>
      <c r="U1739" s="6">
        <v>59</v>
      </c>
      <c r="V1739" s="6">
        <f>IF(ISERROR(VLOOKUP($S$1739,'TAR FIN'!$A$1:$O$95,15,0)),0,VLOOKUP($S$1739,'TAR FIN'!$A$1:$O$95,15,0))</f>
        <v>0</v>
      </c>
      <c r="W1739" s="6">
        <f>IF(ISERROR(VLOOKUP($T$1739,'TAR FIN'!$A$1:$O$95,15,0)),0,VLOOKUP($T$1739,'TAR FIN'!$A$1:$O$95,15,0))</f>
        <v>147.13999999999999</v>
      </c>
      <c r="X1739" s="6">
        <f>IF(ISERROR(VLOOKUP($U$1739,'TAR FIN'!$A$1:$O$95,15,0)),0,VLOOKUP($U$1739,'TAR FIN'!$A$1:$O$95,15,0))</f>
        <v>85.16</v>
      </c>
      <c r="Y1739" s="6"/>
      <c r="Z1739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39" s="6">
        <f>('TE BE'!$AA$14+'TE BF'!$AA$14+'TE CVA'!$AA$14)*(1-CUSTOS!$M$34)</f>
        <v>104.02058230712306</v>
      </c>
      <c r="AB1739" s="6">
        <f>$K$1739*$V$1739</f>
        <v>0</v>
      </c>
      <c r="AC1739" s="6">
        <f>$M$1739*$W$1739</f>
        <v>-644.47319999999991</v>
      </c>
      <c r="AD1739" s="6">
        <f>$O$1739*$X$1739</f>
        <v>-373.00079999999997</v>
      </c>
      <c r="AE1739" s="6">
        <f>$K$1739*$Y$1739</f>
        <v>0</v>
      </c>
      <c r="AF1739" s="6">
        <f ca="1">$M$1739*$Z$1739</f>
        <v>-705.24008990526556</v>
      </c>
      <c r="AG1739" s="6">
        <f>$O$1739*$AA$1739</f>
        <v>-455.61015050519899</v>
      </c>
    </row>
    <row r="1740" spans="1:33" ht="11.25" customHeight="1" x14ac:dyDescent="0.25">
      <c r="A1740" s="4" t="s">
        <v>28</v>
      </c>
      <c r="B1740" s="4" t="s">
        <v>22</v>
      </c>
      <c r="C1740" s="4" t="s">
        <v>23</v>
      </c>
      <c r="D1740" s="4" t="s">
        <v>24</v>
      </c>
      <c r="E1740" s="4" t="s">
        <v>31</v>
      </c>
      <c r="F1740" s="4" t="s">
        <v>25</v>
      </c>
      <c r="G1740" s="4" t="s">
        <v>25</v>
      </c>
      <c r="H1740" s="4" t="s">
        <v>25</v>
      </c>
      <c r="I1740" s="5">
        <v>44136</v>
      </c>
      <c r="J1740" s="6">
        <v>0</v>
      </c>
      <c r="K1740" s="6">
        <v>0</v>
      </c>
      <c r="L1740" s="6">
        <v>3594.8150000000001</v>
      </c>
      <c r="M1740" s="6">
        <v>3594.8150000000001</v>
      </c>
      <c r="N1740" s="6">
        <v>3594.8150000000001</v>
      </c>
      <c r="O1740" s="6">
        <v>3594.8150000000001</v>
      </c>
      <c r="P1740" s="6">
        <v>26606</v>
      </c>
      <c r="Q1740" s="4" t="s">
        <v>26</v>
      </c>
      <c r="R1740" s="4">
        <v>0</v>
      </c>
      <c r="S1740" s="6">
        <v>0</v>
      </c>
      <c r="T1740" s="6">
        <v>9</v>
      </c>
      <c r="U1740" s="6">
        <v>59</v>
      </c>
      <c r="V1740" s="6">
        <f>IF(ISERROR(VLOOKUP($S$1740,'TAR FIN'!$A$1:$O$95,15,0)),0,VLOOKUP($S$1740,'TAR FIN'!$A$1:$O$95,15,0))</f>
        <v>0</v>
      </c>
      <c r="W1740" s="6">
        <f>IF(ISERROR(VLOOKUP($T$1740,'TAR FIN'!$A$1:$O$95,15,0)),0,VLOOKUP($T$1740,'TAR FIN'!$A$1:$O$95,15,0))</f>
        <v>147.13999999999999</v>
      </c>
      <c r="X1740" s="6">
        <f>IF(ISERROR(VLOOKUP($U$1740,'TAR FIN'!$A$1:$O$95,15,0)),0,VLOOKUP($U$1740,'TAR FIN'!$A$1:$O$95,15,0))</f>
        <v>85.16</v>
      </c>
      <c r="Y1740" s="6"/>
      <c r="Z1740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40" s="6">
        <f>('TE BE'!$AA$14+'TE BF'!$AA$14+'TE CVA'!$AA$14)*(1-CUSTOS!$M$34)</f>
        <v>104.02058230712306</v>
      </c>
      <c r="AB1740" s="6">
        <f>$K$1740*$V$1740</f>
        <v>0</v>
      </c>
      <c r="AC1740" s="6">
        <f>$M$1740*$W$1740</f>
        <v>528941.07909999997</v>
      </c>
      <c r="AD1740" s="6">
        <f>$O$1740*$X$1740</f>
        <v>306134.44539999997</v>
      </c>
      <c r="AE1740" s="6">
        <f>$K$1740*$Y$1740</f>
        <v>0</v>
      </c>
      <c r="AF1740" s="6">
        <f ca="1">$M$1740*$Z$1740</f>
        <v>578814.53282940586</v>
      </c>
      <c r="AG1740" s="6">
        <f>$O$1740*$AA$1740</f>
        <v>373934.74958638061</v>
      </c>
    </row>
    <row r="1741" spans="1:33" ht="11.25" customHeight="1" x14ac:dyDescent="0.25">
      <c r="A1741" s="4" t="s">
        <v>29</v>
      </c>
      <c r="B1741" s="4" t="s">
        <v>22</v>
      </c>
      <c r="C1741" s="4" t="s">
        <v>23</v>
      </c>
      <c r="D1741" s="4" t="s">
        <v>24</v>
      </c>
      <c r="E1741" s="4" t="s">
        <v>31</v>
      </c>
      <c r="F1741" s="4" t="s">
        <v>25</v>
      </c>
      <c r="G1741" s="4" t="s">
        <v>25</v>
      </c>
      <c r="H1741" s="4" t="s">
        <v>25</v>
      </c>
      <c r="I1741" s="5">
        <v>44136</v>
      </c>
      <c r="J1741" s="6">
        <v>0</v>
      </c>
      <c r="K1741" s="6">
        <v>0</v>
      </c>
      <c r="L1741" s="6">
        <v>-2.19</v>
      </c>
      <c r="M1741" s="6">
        <v>-2.19</v>
      </c>
      <c r="N1741" s="6">
        <v>-2.19</v>
      </c>
      <c r="O1741" s="6">
        <v>-2.19</v>
      </c>
      <c r="P1741" s="6">
        <v>-60</v>
      </c>
      <c r="Q1741" s="4" t="s">
        <v>26</v>
      </c>
      <c r="R1741" s="4">
        <v>0</v>
      </c>
      <c r="S1741" s="6">
        <v>0</v>
      </c>
      <c r="T1741" s="6">
        <v>9</v>
      </c>
      <c r="U1741" s="6">
        <v>59</v>
      </c>
      <c r="V1741" s="6">
        <f>IF(ISERROR(VLOOKUP($S$1741,'TAR FIN'!$A$1:$O$95,15,0)),0,VLOOKUP($S$1741,'TAR FIN'!$A$1:$O$95,15,0))</f>
        <v>0</v>
      </c>
      <c r="W1741" s="6">
        <f>IF(ISERROR(VLOOKUP($T$1741,'TAR FIN'!$A$1:$O$95,15,0)),0,VLOOKUP($T$1741,'TAR FIN'!$A$1:$O$95,15,0))</f>
        <v>147.13999999999999</v>
      </c>
      <c r="X1741" s="6">
        <f>IF(ISERROR(VLOOKUP($U$1741,'TAR FIN'!$A$1:$O$95,15,0)),0,VLOOKUP($U$1741,'TAR FIN'!$A$1:$O$95,15,0))</f>
        <v>85.16</v>
      </c>
      <c r="Y1741" s="6"/>
      <c r="Z1741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41" s="6">
        <f>('TE BE'!$AA$14+'TE BF'!$AA$14+'TE CVA'!$AA$14)*(1-CUSTOS!$M$34)</f>
        <v>104.02058230712306</v>
      </c>
      <c r="AB1741" s="6">
        <f>$K$1741*$V$1741</f>
        <v>0</v>
      </c>
      <c r="AC1741" s="6">
        <f>$M$1741*$W$1741</f>
        <v>-322.23659999999995</v>
      </c>
      <c r="AD1741" s="6">
        <f>$O$1741*$X$1741</f>
        <v>-186.50039999999998</v>
      </c>
      <c r="AE1741" s="6">
        <f>$K$1741*$Y$1741</f>
        <v>0</v>
      </c>
      <c r="AF1741" s="6">
        <f ca="1">$M$1741*$Z$1741</f>
        <v>-352.62004495263278</v>
      </c>
      <c r="AG1741" s="6">
        <f>$O$1741*$AA$1741</f>
        <v>-227.80507525259949</v>
      </c>
    </row>
    <row r="1742" spans="1:33" ht="11.25" customHeight="1" x14ac:dyDescent="0.25">
      <c r="A1742" s="4" t="s">
        <v>21</v>
      </c>
      <c r="B1742" s="4" t="s">
        <v>22</v>
      </c>
      <c r="C1742" s="4" t="s">
        <v>23</v>
      </c>
      <c r="D1742" s="4" t="s">
        <v>24</v>
      </c>
      <c r="E1742" s="4" t="s">
        <v>31</v>
      </c>
      <c r="F1742" s="4" t="s">
        <v>25</v>
      </c>
      <c r="G1742" s="4" t="s">
        <v>25</v>
      </c>
      <c r="H1742" s="4" t="s">
        <v>25</v>
      </c>
      <c r="I1742" s="5">
        <v>44166</v>
      </c>
      <c r="J1742" s="6">
        <v>0</v>
      </c>
      <c r="K1742" s="6">
        <v>0</v>
      </c>
      <c r="L1742" s="6">
        <v>2562.5459999999998</v>
      </c>
      <c r="M1742" s="6">
        <v>2562.5459999999998</v>
      </c>
      <c r="N1742" s="6">
        <v>2562.5459999999998</v>
      </c>
      <c r="O1742" s="6">
        <v>2562.5459999999998</v>
      </c>
      <c r="P1742" s="6">
        <v>20260</v>
      </c>
      <c r="Q1742" s="4" t="s">
        <v>26</v>
      </c>
      <c r="R1742" s="4">
        <v>0</v>
      </c>
      <c r="S1742" s="6">
        <v>0</v>
      </c>
      <c r="T1742" s="6">
        <v>9</v>
      </c>
      <c r="U1742" s="6">
        <v>59</v>
      </c>
      <c r="V1742" s="6">
        <f>IF(ISERROR(VLOOKUP($S$1742,'TAR FIN'!$A$1:$O$95,15,0)),0,VLOOKUP($S$1742,'TAR FIN'!$A$1:$O$95,15,0))</f>
        <v>0</v>
      </c>
      <c r="W1742" s="6">
        <f>IF(ISERROR(VLOOKUP($T$1742,'TAR FIN'!$A$1:$O$95,15,0)),0,VLOOKUP($T$1742,'TAR FIN'!$A$1:$O$95,15,0))</f>
        <v>147.13999999999999</v>
      </c>
      <c r="X1742" s="6">
        <f>IF(ISERROR(VLOOKUP($U$1742,'TAR FIN'!$A$1:$O$95,15,0)),0,VLOOKUP($U$1742,'TAR FIN'!$A$1:$O$95,15,0))</f>
        <v>85.16</v>
      </c>
      <c r="Y1742" s="6"/>
      <c r="Z1742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42" s="6">
        <f>('TE BE'!$AA$14+'TE BF'!$AA$14+'TE CVA'!$AA$14)*(1-CUSTOS!$M$34)</f>
        <v>104.02058230712306</v>
      </c>
      <c r="AB1742" s="6">
        <f>$K$1742*$V$1742</f>
        <v>0</v>
      </c>
      <c r="AC1742" s="6">
        <f>$M$1742*$W$1742</f>
        <v>377053.01843999996</v>
      </c>
      <c r="AD1742" s="6">
        <f>$O$1742*$X$1742</f>
        <v>218226.41735999996</v>
      </c>
      <c r="AE1742" s="6">
        <f>$K$1742*$Y$1742</f>
        <v>0</v>
      </c>
      <c r="AF1742" s="6">
        <f ca="1">$M$1742*$Z$1742</f>
        <v>412605.06196949282</v>
      </c>
      <c r="AG1742" s="6">
        <f>$O$1742*$AA$1742</f>
        <v>266557.52710878896</v>
      </c>
    </row>
    <row r="1743" spans="1:33" ht="11.25" customHeight="1" x14ac:dyDescent="0.25">
      <c r="A1743" s="4" t="s">
        <v>27</v>
      </c>
      <c r="B1743" s="4" t="s">
        <v>22</v>
      </c>
      <c r="C1743" s="4" t="s">
        <v>23</v>
      </c>
      <c r="D1743" s="4" t="s">
        <v>24</v>
      </c>
      <c r="E1743" s="4" t="s">
        <v>31</v>
      </c>
      <c r="F1743" s="4" t="s">
        <v>25</v>
      </c>
      <c r="G1743" s="4" t="s">
        <v>25</v>
      </c>
      <c r="H1743" s="4" t="s">
        <v>25</v>
      </c>
      <c r="I1743" s="5">
        <v>44166</v>
      </c>
      <c r="J1743" s="6">
        <v>0</v>
      </c>
      <c r="K1743" s="6">
        <v>0</v>
      </c>
      <c r="L1743" s="6">
        <v>-4.28</v>
      </c>
      <c r="M1743" s="6">
        <v>-4.28</v>
      </c>
      <c r="N1743" s="6">
        <v>-4.28</v>
      </c>
      <c r="O1743" s="6">
        <v>-4.28</v>
      </c>
      <c r="P1743" s="6">
        <v>0</v>
      </c>
      <c r="Q1743" s="4" t="s">
        <v>26</v>
      </c>
      <c r="R1743" s="4">
        <v>0</v>
      </c>
      <c r="S1743" s="6">
        <v>0</v>
      </c>
      <c r="T1743" s="6">
        <v>9</v>
      </c>
      <c r="U1743" s="6">
        <v>59</v>
      </c>
      <c r="V1743" s="6">
        <f>IF(ISERROR(VLOOKUP($S$1743,'TAR FIN'!$A$1:$O$95,15,0)),0,VLOOKUP($S$1743,'TAR FIN'!$A$1:$O$95,15,0))</f>
        <v>0</v>
      </c>
      <c r="W1743" s="6">
        <f>IF(ISERROR(VLOOKUP($T$1743,'TAR FIN'!$A$1:$O$95,15,0)),0,VLOOKUP($T$1743,'TAR FIN'!$A$1:$O$95,15,0))</f>
        <v>147.13999999999999</v>
      </c>
      <c r="X1743" s="6">
        <f>IF(ISERROR(VLOOKUP($U$1743,'TAR FIN'!$A$1:$O$95,15,0)),0,VLOOKUP($U$1743,'TAR FIN'!$A$1:$O$95,15,0))</f>
        <v>85.16</v>
      </c>
      <c r="Y1743" s="6"/>
      <c r="Z1743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43" s="6">
        <f>('TE BE'!$AA$14+'TE BF'!$AA$14+'TE CVA'!$AA$14)*(1-CUSTOS!$M$34)</f>
        <v>104.02058230712306</v>
      </c>
      <c r="AB1743" s="6">
        <f>$K$1743*$V$1743</f>
        <v>0</v>
      </c>
      <c r="AC1743" s="6">
        <f>$M$1743*$W$1743</f>
        <v>-629.75919999999996</v>
      </c>
      <c r="AD1743" s="6">
        <f>$O$1743*$X$1743</f>
        <v>-364.48480000000001</v>
      </c>
      <c r="AE1743" s="6">
        <f>$K$1743*$Y$1743</f>
        <v>0</v>
      </c>
      <c r="AF1743" s="6">
        <f ca="1">$M$1743*$Z$1743</f>
        <v>-689.13871798962032</v>
      </c>
      <c r="AG1743" s="6">
        <f>$O$1743*$AA$1743</f>
        <v>-445.20809227448672</v>
      </c>
    </row>
    <row r="1744" spans="1:33" ht="11.25" customHeight="1" x14ac:dyDescent="0.25">
      <c r="A1744" s="4" t="s">
        <v>28</v>
      </c>
      <c r="B1744" s="4" t="s">
        <v>22</v>
      </c>
      <c r="C1744" s="4" t="s">
        <v>23</v>
      </c>
      <c r="D1744" s="4" t="s">
        <v>24</v>
      </c>
      <c r="E1744" s="4" t="s">
        <v>31</v>
      </c>
      <c r="F1744" s="4" t="s">
        <v>25</v>
      </c>
      <c r="G1744" s="4" t="s">
        <v>25</v>
      </c>
      <c r="H1744" s="4" t="s">
        <v>25</v>
      </c>
      <c r="I1744" s="5">
        <v>44166</v>
      </c>
      <c r="J1744" s="6">
        <v>0</v>
      </c>
      <c r="K1744" s="6">
        <v>0</v>
      </c>
      <c r="L1744" s="6">
        <v>3857.759</v>
      </c>
      <c r="M1744" s="6">
        <v>3857.759</v>
      </c>
      <c r="N1744" s="6">
        <v>3857.759</v>
      </c>
      <c r="O1744" s="6">
        <v>3857.759</v>
      </c>
      <c r="P1744" s="6">
        <v>27235</v>
      </c>
      <c r="Q1744" s="4" t="s">
        <v>26</v>
      </c>
      <c r="R1744" s="4">
        <v>0</v>
      </c>
      <c r="S1744" s="6">
        <v>0</v>
      </c>
      <c r="T1744" s="6">
        <v>9</v>
      </c>
      <c r="U1744" s="6">
        <v>59</v>
      </c>
      <c r="V1744" s="6">
        <f>IF(ISERROR(VLOOKUP($S$1744,'TAR FIN'!$A$1:$O$95,15,0)),0,VLOOKUP($S$1744,'TAR FIN'!$A$1:$O$95,15,0))</f>
        <v>0</v>
      </c>
      <c r="W1744" s="6">
        <f>IF(ISERROR(VLOOKUP($T$1744,'TAR FIN'!$A$1:$O$95,15,0)),0,VLOOKUP($T$1744,'TAR FIN'!$A$1:$O$95,15,0))</f>
        <v>147.13999999999999</v>
      </c>
      <c r="X1744" s="6">
        <f>IF(ISERROR(VLOOKUP($U$1744,'TAR FIN'!$A$1:$O$95,15,0)),0,VLOOKUP($U$1744,'TAR FIN'!$A$1:$O$95,15,0))</f>
        <v>85.16</v>
      </c>
      <c r="Y1744" s="6"/>
      <c r="Z1744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44" s="6">
        <f>('TE BE'!$AA$14+'TE BF'!$AA$14+'TE CVA'!$AA$14)*(1-CUSTOS!$M$34)</f>
        <v>104.02058230712306</v>
      </c>
      <c r="AB1744" s="6">
        <f>$K$1744*$V$1744</f>
        <v>0</v>
      </c>
      <c r="AC1744" s="6">
        <f>$M$1744*$W$1744</f>
        <v>567630.65925999999</v>
      </c>
      <c r="AD1744" s="6">
        <f>$O$1744*$X$1744</f>
        <v>328526.75643999997</v>
      </c>
      <c r="AE1744" s="6">
        <f>$K$1744*$Y$1744</f>
        <v>0</v>
      </c>
      <c r="AF1744" s="6">
        <f ca="1">$M$1744*$Z$1744</f>
        <v>621152.12419928028</v>
      </c>
      <c r="AG1744" s="6">
        <f>$O$1744*$AA$1744</f>
        <v>401286.33758054476</v>
      </c>
    </row>
    <row r="1745" spans="1:33" ht="11.25" customHeight="1" x14ac:dyDescent="0.25">
      <c r="A1745" s="4" t="s">
        <v>29</v>
      </c>
      <c r="B1745" s="4" t="s">
        <v>22</v>
      </c>
      <c r="C1745" s="4" t="s">
        <v>23</v>
      </c>
      <c r="D1745" s="4" t="s">
        <v>24</v>
      </c>
      <c r="E1745" s="4" t="s">
        <v>31</v>
      </c>
      <c r="F1745" s="4" t="s">
        <v>25</v>
      </c>
      <c r="G1745" s="4" t="s">
        <v>25</v>
      </c>
      <c r="H1745" s="4" t="s">
        <v>25</v>
      </c>
      <c r="I1745" s="5">
        <v>44166</v>
      </c>
      <c r="J1745" s="6">
        <v>0</v>
      </c>
      <c r="K1745" s="6">
        <v>0</v>
      </c>
      <c r="L1745" s="6">
        <v>-2.1640000000000001</v>
      </c>
      <c r="M1745" s="6">
        <v>-2.1640000000000001</v>
      </c>
      <c r="N1745" s="6">
        <v>-2.1640000000000001</v>
      </c>
      <c r="O1745" s="6">
        <v>-2.1640000000000001</v>
      </c>
      <c r="P1745" s="6">
        <v>0</v>
      </c>
      <c r="Q1745" s="4" t="s">
        <v>26</v>
      </c>
      <c r="R1745" s="4">
        <v>0</v>
      </c>
      <c r="S1745" s="6">
        <v>0</v>
      </c>
      <c r="T1745" s="6">
        <v>9</v>
      </c>
      <c r="U1745" s="6">
        <v>59</v>
      </c>
      <c r="V1745" s="6">
        <f>IF(ISERROR(VLOOKUP($S$1745,'TAR FIN'!$A$1:$O$95,15,0)),0,VLOOKUP($S$1745,'TAR FIN'!$A$1:$O$95,15,0))</f>
        <v>0</v>
      </c>
      <c r="W1745" s="6">
        <f>IF(ISERROR(VLOOKUP($T$1745,'TAR FIN'!$A$1:$O$95,15,0)),0,VLOOKUP($T$1745,'TAR FIN'!$A$1:$O$95,15,0))</f>
        <v>147.13999999999999</v>
      </c>
      <c r="X1745" s="6">
        <f>IF(ISERROR(VLOOKUP($U$1745,'TAR FIN'!$A$1:$O$95,15,0)),0,VLOOKUP($U$1745,'TAR FIN'!$A$1:$O$95,15,0))</f>
        <v>85.16</v>
      </c>
      <c r="Y1745" s="6"/>
      <c r="Z1745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45" s="6">
        <f>('TE BE'!$AA$14+'TE BF'!$AA$14+'TE CVA'!$AA$14)*(1-CUSTOS!$M$34)</f>
        <v>104.02058230712306</v>
      </c>
      <c r="AB1745" s="6">
        <f>$K$1745*$V$1745</f>
        <v>0</v>
      </c>
      <c r="AC1745" s="6">
        <f>$M$1745*$W$1745</f>
        <v>-318.41095999999999</v>
      </c>
      <c r="AD1745" s="6">
        <f>$O$1745*$X$1745</f>
        <v>-184.28623999999999</v>
      </c>
      <c r="AE1745" s="6">
        <f>$K$1745*$Y$1745</f>
        <v>0</v>
      </c>
      <c r="AF1745" s="6">
        <f ca="1">$M$1745*$Z$1745</f>
        <v>-348.43368825456503</v>
      </c>
      <c r="AG1745" s="6">
        <f>$O$1745*$AA$1745</f>
        <v>-225.10054011261434</v>
      </c>
    </row>
    <row r="1746" spans="1:33" ht="11.25" customHeight="1" x14ac:dyDescent="0.25">
      <c r="A1746" s="4" t="s">
        <v>21</v>
      </c>
      <c r="B1746" s="4" t="s">
        <v>22</v>
      </c>
      <c r="C1746" s="4" t="s">
        <v>23</v>
      </c>
      <c r="D1746" s="4" t="s">
        <v>24</v>
      </c>
      <c r="E1746" s="4" t="s">
        <v>31</v>
      </c>
      <c r="F1746" s="4" t="s">
        <v>25</v>
      </c>
      <c r="G1746" s="4" t="s">
        <v>25</v>
      </c>
      <c r="H1746" s="4" t="s">
        <v>25</v>
      </c>
      <c r="I1746" s="5">
        <v>44197</v>
      </c>
      <c r="J1746" s="6">
        <v>0</v>
      </c>
      <c r="K1746" s="6">
        <v>0</v>
      </c>
      <c r="L1746" s="6">
        <v>2622.2089999999998</v>
      </c>
      <c r="M1746" s="6">
        <v>2622.2089999999998</v>
      </c>
      <c r="N1746" s="6">
        <v>2622.2089999999998</v>
      </c>
      <c r="O1746" s="6">
        <v>2622.2089999999998</v>
      </c>
      <c r="P1746" s="6">
        <v>20589</v>
      </c>
      <c r="Q1746" s="4" t="s">
        <v>26</v>
      </c>
      <c r="R1746" s="4">
        <v>0</v>
      </c>
      <c r="S1746" s="6">
        <v>0</v>
      </c>
      <c r="T1746" s="6">
        <v>9</v>
      </c>
      <c r="U1746" s="6">
        <v>59</v>
      </c>
      <c r="V1746" s="6">
        <f>IF(ISERROR(VLOOKUP($S$1746,'TAR FIN'!$A$1:$O$95,15,0)),0,VLOOKUP($S$1746,'TAR FIN'!$A$1:$O$95,15,0))</f>
        <v>0</v>
      </c>
      <c r="W1746" s="6">
        <f>IF(ISERROR(VLOOKUP($T$1746,'TAR FIN'!$A$1:$O$95,15,0)),0,VLOOKUP($T$1746,'TAR FIN'!$A$1:$O$95,15,0))</f>
        <v>147.13999999999999</v>
      </c>
      <c r="X1746" s="6">
        <f>IF(ISERROR(VLOOKUP($U$1746,'TAR FIN'!$A$1:$O$95,15,0)),0,VLOOKUP($U$1746,'TAR FIN'!$A$1:$O$95,15,0))</f>
        <v>85.16</v>
      </c>
      <c r="Y1746" s="6"/>
      <c r="Z1746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46" s="6">
        <f>('TE BE'!$AA$14+'TE BF'!$AA$14+'TE CVA'!$AA$14)*(1-CUSTOS!$M$34)</f>
        <v>104.02058230712306</v>
      </c>
      <c r="AB1746" s="6">
        <f>$K$1746*$V$1746</f>
        <v>0</v>
      </c>
      <c r="AC1746" s="6">
        <f>$M$1746*$W$1746</f>
        <v>385831.83225999994</v>
      </c>
      <c r="AD1746" s="6">
        <f>$O$1746*$X$1746</f>
        <v>223307.31843999997</v>
      </c>
      <c r="AE1746" s="6">
        <f>$K$1746*$Y$1746</f>
        <v>0</v>
      </c>
      <c r="AF1746" s="6">
        <f ca="1">$M$1746*$Z$1746</f>
        <v>422211.62349552434</v>
      </c>
      <c r="AG1746" s="6">
        <f>$O$1746*$AA$1746</f>
        <v>272763.70711097884</v>
      </c>
    </row>
    <row r="1747" spans="1:33" ht="11.25" customHeight="1" x14ac:dyDescent="0.25">
      <c r="A1747" s="4" t="s">
        <v>27</v>
      </c>
      <c r="B1747" s="4" t="s">
        <v>22</v>
      </c>
      <c r="C1747" s="4" t="s">
        <v>23</v>
      </c>
      <c r="D1747" s="4" t="s">
        <v>24</v>
      </c>
      <c r="E1747" s="4" t="s">
        <v>31</v>
      </c>
      <c r="F1747" s="4" t="s">
        <v>25</v>
      </c>
      <c r="G1747" s="4" t="s">
        <v>25</v>
      </c>
      <c r="H1747" s="4" t="s">
        <v>25</v>
      </c>
      <c r="I1747" s="5">
        <v>44197</v>
      </c>
      <c r="J1747" s="6">
        <v>0</v>
      </c>
      <c r="K1747" s="6">
        <v>0</v>
      </c>
      <c r="L1747" s="6">
        <v>-4.1399999999999997</v>
      </c>
      <c r="M1747" s="6">
        <v>-4.1399999999999997</v>
      </c>
      <c r="N1747" s="6">
        <v>-4.1399999999999997</v>
      </c>
      <c r="O1747" s="6">
        <v>-4.1399999999999997</v>
      </c>
      <c r="P1747" s="6">
        <v>0</v>
      </c>
      <c r="Q1747" s="4" t="s">
        <v>26</v>
      </c>
      <c r="R1747" s="4">
        <v>0</v>
      </c>
      <c r="S1747" s="6">
        <v>0</v>
      </c>
      <c r="T1747" s="6">
        <v>9</v>
      </c>
      <c r="U1747" s="6">
        <v>59</v>
      </c>
      <c r="V1747" s="6">
        <f>IF(ISERROR(VLOOKUP($S$1747,'TAR FIN'!$A$1:$O$95,15,0)),0,VLOOKUP($S$1747,'TAR FIN'!$A$1:$O$95,15,0))</f>
        <v>0</v>
      </c>
      <c r="W1747" s="6">
        <f>IF(ISERROR(VLOOKUP($T$1747,'TAR FIN'!$A$1:$O$95,15,0)),0,VLOOKUP($T$1747,'TAR FIN'!$A$1:$O$95,15,0))</f>
        <v>147.13999999999999</v>
      </c>
      <c r="X1747" s="6">
        <f>IF(ISERROR(VLOOKUP($U$1747,'TAR FIN'!$A$1:$O$95,15,0)),0,VLOOKUP($U$1747,'TAR FIN'!$A$1:$O$95,15,0))</f>
        <v>85.16</v>
      </c>
      <c r="Y1747" s="6"/>
      <c r="Z1747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47" s="6">
        <f>('TE BE'!$AA$14+'TE BF'!$AA$14+'TE CVA'!$AA$14)*(1-CUSTOS!$M$34)</f>
        <v>104.02058230712306</v>
      </c>
      <c r="AB1747" s="6">
        <f>$K$1747*$V$1747</f>
        <v>0</v>
      </c>
      <c r="AC1747" s="6">
        <f>$M$1747*$W$1747</f>
        <v>-609.15959999999984</v>
      </c>
      <c r="AD1747" s="6">
        <f>$O$1747*$X$1747</f>
        <v>-352.56239999999997</v>
      </c>
      <c r="AE1747" s="6">
        <f>$K$1747*$Y$1747</f>
        <v>0</v>
      </c>
      <c r="AF1747" s="6">
        <f ca="1">$M$1747*$Z$1747</f>
        <v>-666.59679730771677</v>
      </c>
      <c r="AG1747" s="6">
        <f>$O$1747*$AA$1747</f>
        <v>-430.64521075148946</v>
      </c>
    </row>
    <row r="1748" spans="1:33" ht="11.25" customHeight="1" x14ac:dyDescent="0.25">
      <c r="A1748" s="4" t="s">
        <v>28</v>
      </c>
      <c r="B1748" s="4" t="s">
        <v>22</v>
      </c>
      <c r="C1748" s="4" t="s">
        <v>23</v>
      </c>
      <c r="D1748" s="4" t="s">
        <v>24</v>
      </c>
      <c r="E1748" s="4" t="s">
        <v>31</v>
      </c>
      <c r="F1748" s="4" t="s">
        <v>25</v>
      </c>
      <c r="G1748" s="4" t="s">
        <v>25</v>
      </c>
      <c r="H1748" s="4" t="s">
        <v>25</v>
      </c>
      <c r="I1748" s="5">
        <v>44197</v>
      </c>
      <c r="J1748" s="6">
        <v>0</v>
      </c>
      <c r="K1748" s="6">
        <v>0</v>
      </c>
      <c r="L1748" s="6">
        <v>3924.2339999999999</v>
      </c>
      <c r="M1748" s="6">
        <v>3924.2339999999999</v>
      </c>
      <c r="N1748" s="6">
        <v>3924.2339999999999</v>
      </c>
      <c r="O1748" s="6">
        <v>3924.2339999999999</v>
      </c>
      <c r="P1748" s="6">
        <v>28895</v>
      </c>
      <c r="Q1748" s="4" t="s">
        <v>26</v>
      </c>
      <c r="R1748" s="4">
        <v>0</v>
      </c>
      <c r="S1748" s="6">
        <v>0</v>
      </c>
      <c r="T1748" s="6">
        <v>9</v>
      </c>
      <c r="U1748" s="6">
        <v>59</v>
      </c>
      <c r="V1748" s="6">
        <f>IF(ISERROR(VLOOKUP($S$1748,'TAR FIN'!$A$1:$O$95,15,0)),0,VLOOKUP($S$1748,'TAR FIN'!$A$1:$O$95,15,0))</f>
        <v>0</v>
      </c>
      <c r="W1748" s="6">
        <f>IF(ISERROR(VLOOKUP($T$1748,'TAR FIN'!$A$1:$O$95,15,0)),0,VLOOKUP($T$1748,'TAR FIN'!$A$1:$O$95,15,0))</f>
        <v>147.13999999999999</v>
      </c>
      <c r="X1748" s="6">
        <f>IF(ISERROR(VLOOKUP($U$1748,'TAR FIN'!$A$1:$O$95,15,0)),0,VLOOKUP($U$1748,'TAR FIN'!$A$1:$O$95,15,0))</f>
        <v>85.16</v>
      </c>
      <c r="Y1748" s="6"/>
      <c r="Z1748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48" s="6">
        <f>('TE BE'!$AA$14+'TE BF'!$AA$14+'TE CVA'!$AA$14)*(1-CUSTOS!$M$34)</f>
        <v>104.02058230712306</v>
      </c>
      <c r="AB1748" s="6">
        <f>$K$1748*$V$1748</f>
        <v>0</v>
      </c>
      <c r="AC1748" s="6">
        <f>$M$1748*$W$1748</f>
        <v>577411.79075999989</v>
      </c>
      <c r="AD1748" s="6">
        <f>$O$1748*$X$1748</f>
        <v>334187.76743999997</v>
      </c>
      <c r="AE1748" s="6">
        <f>$K$1748*$Y$1748</f>
        <v>0</v>
      </c>
      <c r="AF1748" s="6">
        <f ca="1">$M$1748*$Z$1748</f>
        <v>631855.5111802055</v>
      </c>
      <c r="AG1748" s="6">
        <f>$O$1748*$AA$1748</f>
        <v>408201.10578941077</v>
      </c>
    </row>
    <row r="1749" spans="1:33" ht="11.25" customHeight="1" x14ac:dyDescent="0.25">
      <c r="A1749" s="4" t="s">
        <v>29</v>
      </c>
      <c r="B1749" s="4" t="s">
        <v>22</v>
      </c>
      <c r="C1749" s="4" t="s">
        <v>23</v>
      </c>
      <c r="D1749" s="4" t="s">
        <v>24</v>
      </c>
      <c r="E1749" s="4" t="s">
        <v>31</v>
      </c>
      <c r="F1749" s="4" t="s">
        <v>25</v>
      </c>
      <c r="G1749" s="4" t="s">
        <v>25</v>
      </c>
      <c r="H1749" s="4" t="s">
        <v>25</v>
      </c>
      <c r="I1749" s="5">
        <v>44197</v>
      </c>
      <c r="J1749" s="6">
        <v>0</v>
      </c>
      <c r="K1749" s="6">
        <v>0</v>
      </c>
      <c r="L1749" s="6">
        <v>-0.42</v>
      </c>
      <c r="M1749" s="6">
        <v>-0.42</v>
      </c>
      <c r="N1749" s="6">
        <v>-0.42</v>
      </c>
      <c r="O1749" s="6">
        <v>-0.42</v>
      </c>
      <c r="P1749" s="6">
        <v>0</v>
      </c>
      <c r="Q1749" s="4" t="s">
        <v>26</v>
      </c>
      <c r="R1749" s="4">
        <v>0</v>
      </c>
      <c r="S1749" s="6">
        <v>0</v>
      </c>
      <c r="T1749" s="6">
        <v>9</v>
      </c>
      <c r="U1749" s="6">
        <v>59</v>
      </c>
      <c r="V1749" s="6">
        <f>IF(ISERROR(VLOOKUP($S$1749,'TAR FIN'!$A$1:$O$95,15,0)),0,VLOOKUP($S$1749,'TAR FIN'!$A$1:$O$95,15,0))</f>
        <v>0</v>
      </c>
      <c r="W1749" s="6">
        <f>IF(ISERROR(VLOOKUP($T$1749,'TAR FIN'!$A$1:$O$95,15,0)),0,VLOOKUP($T$1749,'TAR FIN'!$A$1:$O$95,15,0))</f>
        <v>147.13999999999999</v>
      </c>
      <c r="X1749" s="6">
        <f>IF(ISERROR(VLOOKUP($U$1749,'TAR FIN'!$A$1:$O$95,15,0)),0,VLOOKUP($U$1749,'TAR FIN'!$A$1:$O$95,15,0))</f>
        <v>85.16</v>
      </c>
      <c r="Y1749" s="6"/>
      <c r="Z1749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49" s="6">
        <f>('TE BE'!$AA$14+'TE BF'!$AA$14+'TE CVA'!$AA$14)*(1-CUSTOS!$M$34)</f>
        <v>104.02058230712306</v>
      </c>
      <c r="AB1749" s="6">
        <f>$K$1749*$V$1749</f>
        <v>0</v>
      </c>
      <c r="AC1749" s="6">
        <f>$M$1749*$W$1749</f>
        <v>-61.798799999999993</v>
      </c>
      <c r="AD1749" s="6">
        <f>$O$1749*$X$1749</f>
        <v>-35.767199999999995</v>
      </c>
      <c r="AE1749" s="6">
        <f>$K$1749*$Y$1749</f>
        <v>0</v>
      </c>
      <c r="AF1749" s="6">
        <f ca="1">$M$1749*$Z$1749</f>
        <v>-67.625762045710403</v>
      </c>
      <c r="AG1749" s="6">
        <f>$O$1749*$AA$1749</f>
        <v>-43.688644568991684</v>
      </c>
    </row>
    <row r="1750" spans="1:33" ht="11.25" customHeight="1" x14ac:dyDescent="0.25">
      <c r="A1750" s="4" t="s">
        <v>30</v>
      </c>
      <c r="B1750" s="4" t="s">
        <v>22</v>
      </c>
      <c r="C1750" s="4" t="s">
        <v>23</v>
      </c>
      <c r="D1750" s="4" t="s">
        <v>24</v>
      </c>
      <c r="E1750" s="4" t="s">
        <v>31</v>
      </c>
      <c r="F1750" s="4" t="s">
        <v>25</v>
      </c>
      <c r="G1750" s="4" t="s">
        <v>25</v>
      </c>
      <c r="H1750" s="4" t="s">
        <v>25</v>
      </c>
      <c r="I1750" s="5">
        <v>44197</v>
      </c>
      <c r="J1750" s="6">
        <v>0</v>
      </c>
      <c r="K1750" s="6">
        <v>0</v>
      </c>
      <c r="L1750" s="6">
        <v>0.34699999999999998</v>
      </c>
      <c r="M1750" s="6">
        <v>0.34699999999999998</v>
      </c>
      <c r="N1750" s="6">
        <v>0.34699999999999998</v>
      </c>
      <c r="O1750" s="6">
        <v>0.34699999999999998</v>
      </c>
      <c r="P1750" s="6">
        <v>0</v>
      </c>
      <c r="Q1750" s="4" t="s">
        <v>26</v>
      </c>
      <c r="R1750" s="4">
        <v>0</v>
      </c>
      <c r="S1750" s="6">
        <v>0</v>
      </c>
      <c r="T1750" s="6">
        <v>9</v>
      </c>
      <c r="U1750" s="6">
        <v>59</v>
      </c>
      <c r="V1750" s="6">
        <f>IF(ISERROR(VLOOKUP($S$1750,'TAR FIN'!$A$1:$O$95,15,0)),0,VLOOKUP($S$1750,'TAR FIN'!$A$1:$O$95,15,0))</f>
        <v>0</v>
      </c>
      <c r="W1750" s="6">
        <f>IF(ISERROR(VLOOKUP($T$1750,'TAR FIN'!$A$1:$O$95,15,0)),0,VLOOKUP($T$1750,'TAR FIN'!$A$1:$O$95,15,0))</f>
        <v>147.13999999999999</v>
      </c>
      <c r="X1750" s="6">
        <f>IF(ISERROR(VLOOKUP($U$1750,'TAR FIN'!$A$1:$O$95,15,0)),0,VLOOKUP($U$1750,'TAR FIN'!$A$1:$O$95,15,0))</f>
        <v>85.16</v>
      </c>
      <c r="Y1750" s="6"/>
      <c r="Z1750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50" s="6">
        <f>('TE BE'!$AA$14+'TE BF'!$AA$14+'TE CVA'!$AA$14)*(1-CUSTOS!$M$34)</f>
        <v>104.02058230712306</v>
      </c>
      <c r="AB1750" s="6">
        <f>$K$1750*$V$1750</f>
        <v>0</v>
      </c>
      <c r="AC1750" s="6">
        <f>$M$1750*$W$1750</f>
        <v>51.057579999999994</v>
      </c>
      <c r="AD1750" s="6">
        <f>$O$1750*$X$1750</f>
        <v>29.550519999999995</v>
      </c>
      <c r="AE1750" s="6">
        <f>$K$1750*$Y$1750</f>
        <v>0</v>
      </c>
      <c r="AF1750" s="6">
        <f ca="1">$M$1750*$Z$1750</f>
        <v>55.871760547289306</v>
      </c>
      <c r="AG1750" s="6">
        <f>$O$1750*$AA$1750</f>
        <v>36.095142060571703</v>
      </c>
    </row>
    <row r="1751" spans="1:33" ht="11.25" customHeight="1" x14ac:dyDescent="0.25">
      <c r="A1751" s="4" t="s">
        <v>30</v>
      </c>
      <c r="B1751" s="4" t="s">
        <v>22</v>
      </c>
      <c r="C1751" s="4" t="s">
        <v>23</v>
      </c>
      <c r="D1751" s="4" t="s">
        <v>24</v>
      </c>
      <c r="E1751" s="4" t="s">
        <v>31</v>
      </c>
      <c r="F1751" s="4" t="s">
        <v>25</v>
      </c>
      <c r="G1751" s="4" t="s">
        <v>25</v>
      </c>
      <c r="H1751" s="4" t="s">
        <v>25</v>
      </c>
      <c r="I1751" s="5">
        <v>44197</v>
      </c>
      <c r="J1751" s="6">
        <v>0</v>
      </c>
      <c r="K1751" s="6">
        <v>0</v>
      </c>
      <c r="L1751" s="6">
        <v>5.5010000000000003</v>
      </c>
      <c r="M1751" s="6">
        <v>5.5010000000000003</v>
      </c>
      <c r="N1751" s="6">
        <v>5.5010000000000003</v>
      </c>
      <c r="O1751" s="6">
        <v>5.5010000000000003</v>
      </c>
      <c r="P1751" s="6">
        <v>0</v>
      </c>
      <c r="Q1751" s="4" t="s">
        <v>26</v>
      </c>
      <c r="R1751" s="4">
        <v>0</v>
      </c>
      <c r="S1751" s="6">
        <v>0</v>
      </c>
      <c r="T1751" s="6">
        <v>9</v>
      </c>
      <c r="U1751" s="6">
        <v>59</v>
      </c>
      <c r="V1751" s="6">
        <f>IF(ISERROR(VLOOKUP($S$1751,'TAR FIN'!$A$1:$O$95,15,0)),0,VLOOKUP($S$1751,'TAR FIN'!$A$1:$O$95,15,0))</f>
        <v>0</v>
      </c>
      <c r="W1751" s="6">
        <f>IF(ISERROR(VLOOKUP($T$1751,'TAR FIN'!$A$1:$O$95,15,0)),0,VLOOKUP($T$1751,'TAR FIN'!$A$1:$O$95,15,0))</f>
        <v>147.13999999999999</v>
      </c>
      <c r="X1751" s="6">
        <f>IF(ISERROR(VLOOKUP($U$1751,'TAR FIN'!$A$1:$O$95,15,0)),0,VLOOKUP($U$1751,'TAR FIN'!$A$1:$O$95,15,0))</f>
        <v>85.16</v>
      </c>
      <c r="Y1751" s="6"/>
      <c r="Z1751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51" s="6">
        <f>('TE BE'!$AA$14+'TE BF'!$AA$14+'TE CVA'!$AA$14)*(1-CUSTOS!$M$34)</f>
        <v>104.02058230712306</v>
      </c>
      <c r="AB1751" s="6">
        <f>$K$1751*$V$1751</f>
        <v>0</v>
      </c>
      <c r="AC1751" s="6">
        <f>$M$1751*$W$1751</f>
        <v>809.41714000000002</v>
      </c>
      <c r="AD1751" s="6">
        <f>$O$1751*$X$1751</f>
        <v>468.46516000000003</v>
      </c>
      <c r="AE1751" s="6">
        <f>$K$1751*$Y$1751</f>
        <v>0</v>
      </c>
      <c r="AF1751" s="6">
        <f ca="1">$M$1751*$Z$1751</f>
        <v>885.73646907964985</v>
      </c>
      <c r="AG1751" s="6">
        <f>$O$1751*$AA$1751</f>
        <v>572.21722327148404</v>
      </c>
    </row>
    <row r="1752" spans="1:33" ht="11.25" customHeight="1" x14ac:dyDescent="0.25">
      <c r="A1752" s="4" t="s">
        <v>21</v>
      </c>
      <c r="B1752" s="4" t="s">
        <v>22</v>
      </c>
      <c r="C1752" s="4" t="s">
        <v>23</v>
      </c>
      <c r="D1752" s="4" t="s">
        <v>24</v>
      </c>
      <c r="E1752" s="4" t="s">
        <v>31</v>
      </c>
      <c r="F1752" s="4" t="s">
        <v>25</v>
      </c>
      <c r="G1752" s="4" t="s">
        <v>25</v>
      </c>
      <c r="H1752" s="4" t="s">
        <v>25</v>
      </c>
      <c r="I1752" s="5">
        <v>44228</v>
      </c>
      <c r="J1752" s="6">
        <v>0</v>
      </c>
      <c r="K1752" s="6">
        <v>0</v>
      </c>
      <c r="L1752" s="6">
        <v>2622.5770000000002</v>
      </c>
      <c r="M1752" s="6">
        <v>2622.5770000000002</v>
      </c>
      <c r="N1752" s="6">
        <v>2622.5770000000002</v>
      </c>
      <c r="O1752" s="6">
        <v>2622.5770000000002</v>
      </c>
      <c r="P1752" s="6">
        <v>22606</v>
      </c>
      <c r="Q1752" s="4" t="s">
        <v>26</v>
      </c>
      <c r="R1752" s="4">
        <v>0</v>
      </c>
      <c r="S1752" s="6">
        <v>0</v>
      </c>
      <c r="T1752" s="6">
        <v>9</v>
      </c>
      <c r="U1752" s="6">
        <v>59</v>
      </c>
      <c r="V1752" s="6">
        <f>IF(ISERROR(VLOOKUP($S$1752,'TAR FIN'!$A$1:$O$95,15,0)),0,VLOOKUP($S$1752,'TAR FIN'!$A$1:$O$95,15,0))</f>
        <v>0</v>
      </c>
      <c r="W1752" s="6">
        <f>IF(ISERROR(VLOOKUP($T$1752,'TAR FIN'!$A$1:$O$95,15,0)),0,VLOOKUP($T$1752,'TAR FIN'!$A$1:$O$95,15,0))</f>
        <v>147.13999999999999</v>
      </c>
      <c r="X1752" s="6">
        <f>IF(ISERROR(VLOOKUP($U$1752,'TAR FIN'!$A$1:$O$95,15,0)),0,VLOOKUP($U$1752,'TAR FIN'!$A$1:$O$95,15,0))</f>
        <v>85.16</v>
      </c>
      <c r="Y1752" s="6"/>
      <c r="Z1752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52" s="6">
        <f>('TE BE'!$AA$14+'TE BF'!$AA$14+'TE CVA'!$AA$14)*(1-CUSTOS!$M$34)</f>
        <v>104.02058230712306</v>
      </c>
      <c r="AB1752" s="6">
        <f>$K$1752*$V$1752</f>
        <v>0</v>
      </c>
      <c r="AC1752" s="6">
        <f>$M$1752*$W$1752</f>
        <v>385885.97977999999</v>
      </c>
      <c r="AD1752" s="6">
        <f>$O$1752*$X$1752</f>
        <v>223338.65732</v>
      </c>
      <c r="AE1752" s="6">
        <f>$K$1752*$Y$1752</f>
        <v>0</v>
      </c>
      <c r="AF1752" s="6">
        <f ca="1">$M$1752*$Z$1752</f>
        <v>422270.87654417392</v>
      </c>
      <c r="AG1752" s="6">
        <f>$O$1752*$AA$1752</f>
        <v>272801.98668526788</v>
      </c>
    </row>
    <row r="1753" spans="1:33" ht="11.25" customHeight="1" x14ac:dyDescent="0.25">
      <c r="A1753" s="4" t="s">
        <v>27</v>
      </c>
      <c r="B1753" s="4" t="s">
        <v>22</v>
      </c>
      <c r="C1753" s="4" t="s">
        <v>23</v>
      </c>
      <c r="D1753" s="4" t="s">
        <v>24</v>
      </c>
      <c r="E1753" s="4" t="s">
        <v>31</v>
      </c>
      <c r="F1753" s="4" t="s">
        <v>25</v>
      </c>
      <c r="G1753" s="4" t="s">
        <v>25</v>
      </c>
      <c r="H1753" s="4" t="s">
        <v>25</v>
      </c>
      <c r="I1753" s="5">
        <v>44228</v>
      </c>
      <c r="J1753" s="6">
        <v>0</v>
      </c>
      <c r="K1753" s="6">
        <v>0</v>
      </c>
      <c r="L1753" s="6">
        <v>-2.1</v>
      </c>
      <c r="M1753" s="6">
        <v>-2.1</v>
      </c>
      <c r="N1753" s="6">
        <v>-2.1</v>
      </c>
      <c r="O1753" s="6">
        <v>-2.1</v>
      </c>
      <c r="P1753" s="6">
        <v>0</v>
      </c>
      <c r="Q1753" s="4" t="s">
        <v>26</v>
      </c>
      <c r="R1753" s="4">
        <v>0</v>
      </c>
      <c r="S1753" s="6">
        <v>0</v>
      </c>
      <c r="T1753" s="6">
        <v>9</v>
      </c>
      <c r="U1753" s="6">
        <v>59</v>
      </c>
      <c r="V1753" s="6">
        <f>IF(ISERROR(VLOOKUP($S$1753,'TAR FIN'!$A$1:$O$95,15,0)),0,VLOOKUP($S$1753,'TAR FIN'!$A$1:$O$95,15,0))</f>
        <v>0</v>
      </c>
      <c r="W1753" s="6">
        <f>IF(ISERROR(VLOOKUP($T$1753,'TAR FIN'!$A$1:$O$95,15,0)),0,VLOOKUP($T$1753,'TAR FIN'!$A$1:$O$95,15,0))</f>
        <v>147.13999999999999</v>
      </c>
      <c r="X1753" s="6">
        <f>IF(ISERROR(VLOOKUP($U$1753,'TAR FIN'!$A$1:$O$95,15,0)),0,VLOOKUP($U$1753,'TAR FIN'!$A$1:$O$95,15,0))</f>
        <v>85.16</v>
      </c>
      <c r="Y1753" s="6"/>
      <c r="Z1753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53" s="6">
        <f>('TE BE'!$AA$14+'TE BF'!$AA$14+'TE CVA'!$AA$14)*(1-CUSTOS!$M$34)</f>
        <v>104.02058230712306</v>
      </c>
      <c r="AB1753" s="6">
        <f>$K$1753*$V$1753</f>
        <v>0</v>
      </c>
      <c r="AC1753" s="6">
        <f>$M$1753*$W$1753</f>
        <v>-308.99399999999997</v>
      </c>
      <c r="AD1753" s="6">
        <f>$O$1753*$X$1753</f>
        <v>-178.83600000000001</v>
      </c>
      <c r="AE1753" s="6">
        <f>$K$1753*$Y$1753</f>
        <v>0</v>
      </c>
      <c r="AF1753" s="6">
        <f ca="1">$M$1753*$Z$1753</f>
        <v>-338.12881022855203</v>
      </c>
      <c r="AG1753" s="6">
        <f>$O$1753*$AA$1753</f>
        <v>-218.44322284495846</v>
      </c>
    </row>
    <row r="1754" spans="1:33" ht="11.25" customHeight="1" x14ac:dyDescent="0.25">
      <c r="A1754" s="4" t="s">
        <v>28</v>
      </c>
      <c r="B1754" s="4" t="s">
        <v>22</v>
      </c>
      <c r="C1754" s="4" t="s">
        <v>23</v>
      </c>
      <c r="D1754" s="4" t="s">
        <v>24</v>
      </c>
      <c r="E1754" s="4" t="s">
        <v>31</v>
      </c>
      <c r="F1754" s="4" t="s">
        <v>25</v>
      </c>
      <c r="G1754" s="4" t="s">
        <v>25</v>
      </c>
      <c r="H1754" s="4" t="s">
        <v>25</v>
      </c>
      <c r="I1754" s="5">
        <v>44228</v>
      </c>
      <c r="J1754" s="6">
        <v>0</v>
      </c>
      <c r="K1754" s="6">
        <v>0</v>
      </c>
      <c r="L1754" s="6">
        <v>3916.0709999999999</v>
      </c>
      <c r="M1754" s="6">
        <v>3916.0709999999999</v>
      </c>
      <c r="N1754" s="6">
        <v>3916.0709999999999</v>
      </c>
      <c r="O1754" s="6">
        <v>3916.0709999999999</v>
      </c>
      <c r="P1754" s="6">
        <v>30663</v>
      </c>
      <c r="Q1754" s="4" t="s">
        <v>26</v>
      </c>
      <c r="R1754" s="4">
        <v>0</v>
      </c>
      <c r="S1754" s="6">
        <v>0</v>
      </c>
      <c r="T1754" s="6">
        <v>9</v>
      </c>
      <c r="U1754" s="6">
        <v>59</v>
      </c>
      <c r="V1754" s="6">
        <f>IF(ISERROR(VLOOKUP($S$1754,'TAR FIN'!$A$1:$O$95,15,0)),0,VLOOKUP($S$1754,'TAR FIN'!$A$1:$O$95,15,0))</f>
        <v>0</v>
      </c>
      <c r="W1754" s="6">
        <f>IF(ISERROR(VLOOKUP($T$1754,'TAR FIN'!$A$1:$O$95,15,0)),0,VLOOKUP($T$1754,'TAR FIN'!$A$1:$O$95,15,0))</f>
        <v>147.13999999999999</v>
      </c>
      <c r="X1754" s="6">
        <f>IF(ISERROR(VLOOKUP($U$1754,'TAR FIN'!$A$1:$O$95,15,0)),0,VLOOKUP($U$1754,'TAR FIN'!$A$1:$O$95,15,0))</f>
        <v>85.16</v>
      </c>
      <c r="Y1754" s="6"/>
      <c r="Z1754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54" s="6">
        <f>('TE BE'!$AA$14+'TE BF'!$AA$14+'TE CVA'!$AA$14)*(1-CUSTOS!$M$34)</f>
        <v>104.02058230712306</v>
      </c>
      <c r="AB1754" s="6">
        <f>$K$1754*$V$1754</f>
        <v>0</v>
      </c>
      <c r="AC1754" s="6">
        <f>$M$1754*$W$1754</f>
        <v>576210.68693999993</v>
      </c>
      <c r="AD1754" s="6">
        <f>$O$1754*$X$1754</f>
        <v>333492.60635999998</v>
      </c>
      <c r="AE1754" s="6">
        <f>$K$1754*$Y$1754</f>
        <v>0</v>
      </c>
      <c r="AF1754" s="6">
        <f ca="1">$M$1754*$Z$1754</f>
        <v>630541.15619073133</v>
      </c>
      <c r="AG1754" s="6">
        <f>$O$1754*$AA$1754</f>
        <v>407351.98577603773</v>
      </c>
    </row>
    <row r="1755" spans="1:33" ht="11.25" customHeight="1" x14ac:dyDescent="0.25">
      <c r="A1755" s="4" t="s">
        <v>29</v>
      </c>
      <c r="B1755" s="4" t="s">
        <v>22</v>
      </c>
      <c r="C1755" s="4" t="s">
        <v>23</v>
      </c>
      <c r="D1755" s="4" t="s">
        <v>24</v>
      </c>
      <c r="E1755" s="4" t="s">
        <v>31</v>
      </c>
      <c r="F1755" s="4" t="s">
        <v>25</v>
      </c>
      <c r="G1755" s="4" t="s">
        <v>25</v>
      </c>
      <c r="H1755" s="4" t="s">
        <v>25</v>
      </c>
      <c r="I1755" s="5">
        <v>44228</v>
      </c>
      <c r="J1755" s="6">
        <v>0</v>
      </c>
      <c r="K1755" s="6">
        <v>0</v>
      </c>
      <c r="L1755" s="6">
        <v>-8.1</v>
      </c>
      <c r="M1755" s="6">
        <v>-8.1</v>
      </c>
      <c r="N1755" s="6">
        <v>-8.1</v>
      </c>
      <c r="O1755" s="6">
        <v>-8.1</v>
      </c>
      <c r="P1755" s="6">
        <v>0</v>
      </c>
      <c r="Q1755" s="4" t="s">
        <v>26</v>
      </c>
      <c r="R1755" s="4">
        <v>0</v>
      </c>
      <c r="S1755" s="6">
        <v>0</v>
      </c>
      <c r="T1755" s="6">
        <v>9</v>
      </c>
      <c r="U1755" s="6">
        <v>59</v>
      </c>
      <c r="V1755" s="6">
        <f>IF(ISERROR(VLOOKUP($S$1755,'TAR FIN'!$A$1:$O$95,15,0)),0,VLOOKUP($S$1755,'TAR FIN'!$A$1:$O$95,15,0))</f>
        <v>0</v>
      </c>
      <c r="W1755" s="6">
        <f>IF(ISERROR(VLOOKUP($T$1755,'TAR FIN'!$A$1:$O$95,15,0)),0,VLOOKUP($T$1755,'TAR FIN'!$A$1:$O$95,15,0))</f>
        <v>147.13999999999999</v>
      </c>
      <c r="X1755" s="6">
        <f>IF(ISERROR(VLOOKUP($U$1755,'TAR FIN'!$A$1:$O$95,15,0)),0,VLOOKUP($U$1755,'TAR FIN'!$A$1:$O$95,15,0))</f>
        <v>85.16</v>
      </c>
      <c r="Y1755" s="6"/>
      <c r="Z1755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55" s="6">
        <f>('TE BE'!$AA$14+'TE BF'!$AA$14+'TE CVA'!$AA$14)*(1-CUSTOS!$M$34)</f>
        <v>104.02058230712306</v>
      </c>
      <c r="AB1755" s="6">
        <f>$K$1755*$V$1755</f>
        <v>0</v>
      </c>
      <c r="AC1755" s="6">
        <f>$M$1755*$W$1755</f>
        <v>-1191.8339999999998</v>
      </c>
      <c r="AD1755" s="6">
        <f>$O$1755*$X$1755</f>
        <v>-689.79599999999994</v>
      </c>
      <c r="AE1755" s="6">
        <f>$K$1755*$Y$1755</f>
        <v>0</v>
      </c>
      <c r="AF1755" s="6">
        <f ca="1">$M$1755*$Z$1755</f>
        <v>-1304.211125167272</v>
      </c>
      <c r="AG1755" s="6">
        <f>$O$1755*$AA$1755</f>
        <v>-842.56671668769673</v>
      </c>
    </row>
    <row r="1756" spans="1:33" ht="11.25" customHeight="1" x14ac:dyDescent="0.25">
      <c r="A1756" s="4" t="s">
        <v>30</v>
      </c>
      <c r="B1756" s="4" t="s">
        <v>22</v>
      </c>
      <c r="C1756" s="4" t="s">
        <v>23</v>
      </c>
      <c r="D1756" s="4" t="s">
        <v>24</v>
      </c>
      <c r="E1756" s="4" t="s">
        <v>31</v>
      </c>
      <c r="F1756" s="4" t="s">
        <v>25</v>
      </c>
      <c r="G1756" s="4" t="s">
        <v>25</v>
      </c>
      <c r="H1756" s="4" t="s">
        <v>25</v>
      </c>
      <c r="I1756" s="5">
        <v>44228</v>
      </c>
      <c r="J1756" s="6">
        <v>0</v>
      </c>
      <c r="K1756" s="6">
        <v>0</v>
      </c>
      <c r="L1756" s="6">
        <v>0.90100000000000002</v>
      </c>
      <c r="M1756" s="6">
        <v>0.90100000000000002</v>
      </c>
      <c r="N1756" s="6">
        <v>0.90100000000000002</v>
      </c>
      <c r="O1756" s="6">
        <v>0.90100000000000002</v>
      </c>
      <c r="P1756" s="6">
        <v>0</v>
      </c>
      <c r="Q1756" s="4" t="s">
        <v>26</v>
      </c>
      <c r="R1756" s="4">
        <v>0</v>
      </c>
      <c r="S1756" s="6">
        <v>0</v>
      </c>
      <c r="T1756" s="6">
        <v>9</v>
      </c>
      <c r="U1756" s="6">
        <v>59</v>
      </c>
      <c r="V1756" s="6">
        <f>IF(ISERROR(VLOOKUP($S$1756,'TAR FIN'!$A$1:$O$95,15,0)),0,VLOOKUP($S$1756,'TAR FIN'!$A$1:$O$95,15,0))</f>
        <v>0</v>
      </c>
      <c r="W1756" s="6">
        <f>IF(ISERROR(VLOOKUP($T$1756,'TAR FIN'!$A$1:$O$95,15,0)),0,VLOOKUP($T$1756,'TAR FIN'!$A$1:$O$95,15,0))</f>
        <v>147.13999999999999</v>
      </c>
      <c r="X1756" s="6">
        <f>IF(ISERROR(VLOOKUP($U$1756,'TAR FIN'!$A$1:$O$95,15,0)),0,VLOOKUP($U$1756,'TAR FIN'!$A$1:$O$95,15,0))</f>
        <v>85.16</v>
      </c>
      <c r="Y1756" s="6"/>
      <c r="Z1756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56" s="6">
        <f>('TE BE'!$AA$14+'TE BF'!$AA$14+'TE CVA'!$AA$14)*(1-CUSTOS!$M$34)</f>
        <v>104.02058230712306</v>
      </c>
      <c r="AB1756" s="6">
        <f>$K$1756*$V$1756</f>
        <v>0</v>
      </c>
      <c r="AC1756" s="6">
        <f>$M$1756*$W$1756</f>
        <v>132.57314</v>
      </c>
      <c r="AD1756" s="6">
        <f>$O$1756*$X$1756</f>
        <v>76.729159999999993</v>
      </c>
      <c r="AE1756" s="6">
        <f>$K$1756*$Y$1756</f>
        <v>0</v>
      </c>
      <c r="AF1756" s="6">
        <f ca="1">$M$1756*$Z$1756</f>
        <v>145.07336095996445</v>
      </c>
      <c r="AG1756" s="6">
        <f>$O$1756*$AA$1756</f>
        <v>93.722544658717879</v>
      </c>
    </row>
    <row r="1757" spans="1:33" ht="11.25" customHeight="1" x14ac:dyDescent="0.25">
      <c r="A1757" s="4" t="s">
        <v>21</v>
      </c>
      <c r="B1757" s="4" t="s">
        <v>22</v>
      </c>
      <c r="C1757" s="4" t="s">
        <v>23</v>
      </c>
      <c r="D1757" s="4" t="s">
        <v>24</v>
      </c>
      <c r="E1757" s="4" t="s">
        <v>31</v>
      </c>
      <c r="F1757" s="4" t="s">
        <v>25</v>
      </c>
      <c r="G1757" s="4" t="s">
        <v>25</v>
      </c>
      <c r="H1757" s="4" t="s">
        <v>25</v>
      </c>
      <c r="I1757" s="5">
        <v>44256</v>
      </c>
      <c r="J1757" s="6">
        <v>0</v>
      </c>
      <c r="K1757" s="6">
        <v>0</v>
      </c>
      <c r="L1757" s="6">
        <v>2672.9630000000002</v>
      </c>
      <c r="M1757" s="6">
        <v>2672.9630000000002</v>
      </c>
      <c r="N1757" s="6">
        <v>2672.9630000000002</v>
      </c>
      <c r="O1757" s="6">
        <v>2672.9630000000002</v>
      </c>
      <c r="P1757" s="6">
        <v>24819</v>
      </c>
      <c r="Q1757" s="4" t="s">
        <v>26</v>
      </c>
      <c r="R1757" s="4">
        <v>0</v>
      </c>
      <c r="S1757" s="6">
        <v>0</v>
      </c>
      <c r="T1757" s="6">
        <v>9</v>
      </c>
      <c r="U1757" s="6">
        <v>59</v>
      </c>
      <c r="V1757" s="6">
        <f>IF(ISERROR(VLOOKUP($S$1757,'TAR FIN'!$A$1:$O$95,15,0)),0,VLOOKUP($S$1757,'TAR FIN'!$A$1:$O$95,15,0))</f>
        <v>0</v>
      </c>
      <c r="W1757" s="6">
        <f>IF(ISERROR(VLOOKUP($T$1757,'TAR FIN'!$A$1:$O$95,15,0)),0,VLOOKUP($T$1757,'TAR FIN'!$A$1:$O$95,15,0))</f>
        <v>147.13999999999999</v>
      </c>
      <c r="X1757" s="6">
        <f>IF(ISERROR(VLOOKUP($U$1757,'TAR FIN'!$A$1:$O$95,15,0)),0,VLOOKUP($U$1757,'TAR FIN'!$A$1:$O$95,15,0))</f>
        <v>85.16</v>
      </c>
      <c r="Y1757" s="6"/>
      <c r="Z1757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57" s="6">
        <f>('TE BE'!$AA$14+'TE BF'!$AA$14+'TE CVA'!$AA$14)*(1-CUSTOS!$M$34)</f>
        <v>104.02058230712306</v>
      </c>
      <c r="AB1757" s="6">
        <f>$K$1757*$V$1757</f>
        <v>0</v>
      </c>
      <c r="AC1757" s="6">
        <f>$M$1757*$W$1757</f>
        <v>393299.77581999998</v>
      </c>
      <c r="AD1757" s="6">
        <f>$O$1757*$X$1757</f>
        <v>227629.52908000001</v>
      </c>
      <c r="AE1757" s="6">
        <f>$K$1757*$Y$1757</f>
        <v>0</v>
      </c>
      <c r="AF1757" s="6">
        <f ca="1">$M$1757*$Z$1757</f>
        <v>430383.71379759099</v>
      </c>
      <c r="AG1757" s="6">
        <f>$O$1757*$AA$1757</f>
        <v>278043.16774539463</v>
      </c>
    </row>
    <row r="1758" spans="1:33" ht="11.25" customHeight="1" x14ac:dyDescent="0.25">
      <c r="A1758" s="4" t="s">
        <v>27</v>
      </c>
      <c r="B1758" s="4" t="s">
        <v>22</v>
      </c>
      <c r="C1758" s="4" t="s">
        <v>23</v>
      </c>
      <c r="D1758" s="4" t="s">
        <v>24</v>
      </c>
      <c r="E1758" s="4" t="s">
        <v>31</v>
      </c>
      <c r="F1758" s="4" t="s">
        <v>25</v>
      </c>
      <c r="G1758" s="4" t="s">
        <v>25</v>
      </c>
      <c r="H1758" s="4" t="s">
        <v>25</v>
      </c>
      <c r="I1758" s="5">
        <v>44256</v>
      </c>
      <c r="J1758" s="6">
        <v>0</v>
      </c>
      <c r="K1758" s="6">
        <v>0</v>
      </c>
      <c r="L1758" s="6">
        <v>1.43</v>
      </c>
      <c r="M1758" s="6">
        <v>1.43</v>
      </c>
      <c r="N1758" s="6">
        <v>1.43</v>
      </c>
      <c r="O1758" s="6">
        <v>1.43</v>
      </c>
      <c r="P1758" s="6">
        <v>0</v>
      </c>
      <c r="Q1758" s="4" t="s">
        <v>26</v>
      </c>
      <c r="R1758" s="4">
        <v>0</v>
      </c>
      <c r="S1758" s="6">
        <v>0</v>
      </c>
      <c r="T1758" s="6">
        <v>9</v>
      </c>
      <c r="U1758" s="6">
        <v>59</v>
      </c>
      <c r="V1758" s="6">
        <f>IF(ISERROR(VLOOKUP($S$1758,'TAR FIN'!$A$1:$O$95,15,0)),0,VLOOKUP($S$1758,'TAR FIN'!$A$1:$O$95,15,0))</f>
        <v>0</v>
      </c>
      <c r="W1758" s="6">
        <f>IF(ISERROR(VLOOKUP($T$1758,'TAR FIN'!$A$1:$O$95,15,0)),0,VLOOKUP($T$1758,'TAR FIN'!$A$1:$O$95,15,0))</f>
        <v>147.13999999999999</v>
      </c>
      <c r="X1758" s="6">
        <f>IF(ISERROR(VLOOKUP($U$1758,'TAR FIN'!$A$1:$O$95,15,0)),0,VLOOKUP($U$1758,'TAR FIN'!$A$1:$O$95,15,0))</f>
        <v>85.16</v>
      </c>
      <c r="Y1758" s="6"/>
      <c r="Z1758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58" s="6">
        <f>('TE BE'!$AA$14+'TE BF'!$AA$14+'TE CVA'!$AA$14)*(1-CUSTOS!$M$34)</f>
        <v>104.02058230712306</v>
      </c>
      <c r="AB1758" s="6">
        <f>$K$1758*$V$1758</f>
        <v>0</v>
      </c>
      <c r="AC1758" s="6">
        <f>$M$1758*$W$1758</f>
        <v>210.41019999999997</v>
      </c>
      <c r="AD1758" s="6">
        <f>$O$1758*$X$1758</f>
        <v>121.77879999999999</v>
      </c>
      <c r="AE1758" s="6">
        <f>$K$1758*$Y$1758</f>
        <v>0</v>
      </c>
      <c r="AF1758" s="6">
        <f ca="1">$M$1758*$Z$1758</f>
        <v>230.24961839372827</v>
      </c>
      <c r="AG1758" s="6">
        <f>$O$1758*$AA$1758</f>
        <v>148.74943269918597</v>
      </c>
    </row>
    <row r="1759" spans="1:33" ht="11.25" customHeight="1" x14ac:dyDescent="0.25">
      <c r="A1759" s="4" t="s">
        <v>28</v>
      </c>
      <c r="B1759" s="4" t="s">
        <v>22</v>
      </c>
      <c r="C1759" s="4" t="s">
        <v>23</v>
      </c>
      <c r="D1759" s="4" t="s">
        <v>24</v>
      </c>
      <c r="E1759" s="4" t="s">
        <v>31</v>
      </c>
      <c r="F1759" s="4" t="s">
        <v>25</v>
      </c>
      <c r="G1759" s="4" t="s">
        <v>25</v>
      </c>
      <c r="H1759" s="4" t="s">
        <v>25</v>
      </c>
      <c r="I1759" s="5">
        <v>44256</v>
      </c>
      <c r="J1759" s="6">
        <v>0</v>
      </c>
      <c r="K1759" s="6">
        <v>0</v>
      </c>
      <c r="L1759" s="6">
        <v>3993.7</v>
      </c>
      <c r="M1759" s="6">
        <v>3993.7</v>
      </c>
      <c r="N1759" s="6">
        <v>3993.7</v>
      </c>
      <c r="O1759" s="6">
        <v>3993.7</v>
      </c>
      <c r="P1759" s="6">
        <v>31154</v>
      </c>
      <c r="Q1759" s="4" t="s">
        <v>26</v>
      </c>
      <c r="R1759" s="4">
        <v>0</v>
      </c>
      <c r="S1759" s="6">
        <v>0</v>
      </c>
      <c r="T1759" s="6">
        <v>9</v>
      </c>
      <c r="U1759" s="6">
        <v>59</v>
      </c>
      <c r="V1759" s="6">
        <f>IF(ISERROR(VLOOKUP($S$1759,'TAR FIN'!$A$1:$O$95,15,0)),0,VLOOKUP($S$1759,'TAR FIN'!$A$1:$O$95,15,0))</f>
        <v>0</v>
      </c>
      <c r="W1759" s="6">
        <f>IF(ISERROR(VLOOKUP($T$1759,'TAR FIN'!$A$1:$O$95,15,0)),0,VLOOKUP($T$1759,'TAR FIN'!$A$1:$O$95,15,0))</f>
        <v>147.13999999999999</v>
      </c>
      <c r="X1759" s="6">
        <f>IF(ISERROR(VLOOKUP($U$1759,'TAR FIN'!$A$1:$O$95,15,0)),0,VLOOKUP($U$1759,'TAR FIN'!$A$1:$O$95,15,0))</f>
        <v>85.16</v>
      </c>
      <c r="Y1759" s="6"/>
      <c r="Z1759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59" s="6">
        <f>('TE BE'!$AA$14+'TE BF'!$AA$14+'TE CVA'!$AA$14)*(1-CUSTOS!$M$34)</f>
        <v>104.02058230712306</v>
      </c>
      <c r="AB1759" s="6">
        <f>$K$1759*$V$1759</f>
        <v>0</v>
      </c>
      <c r="AC1759" s="6">
        <f>$M$1759*$W$1759</f>
        <v>587633.01799999992</v>
      </c>
      <c r="AD1759" s="6">
        <f>$O$1759*$X$1759</f>
        <v>340103.49199999997</v>
      </c>
      <c r="AE1759" s="6">
        <f>$K$1759*$Y$1759</f>
        <v>0</v>
      </c>
      <c r="AF1759" s="6">
        <f ca="1">$M$1759*$Z$1759</f>
        <v>643040.49019512767</v>
      </c>
      <c r="AG1759" s="6">
        <f>$O$1759*$AA$1759</f>
        <v>415426.99955995736</v>
      </c>
    </row>
    <row r="1760" spans="1:33" ht="11.25" customHeight="1" x14ac:dyDescent="0.25">
      <c r="A1760" s="4" t="s">
        <v>29</v>
      </c>
      <c r="B1760" s="4" t="s">
        <v>22</v>
      </c>
      <c r="C1760" s="4" t="s">
        <v>23</v>
      </c>
      <c r="D1760" s="4" t="s">
        <v>24</v>
      </c>
      <c r="E1760" s="4" t="s">
        <v>31</v>
      </c>
      <c r="F1760" s="4" t="s">
        <v>25</v>
      </c>
      <c r="G1760" s="4" t="s">
        <v>25</v>
      </c>
      <c r="H1760" s="4" t="s">
        <v>25</v>
      </c>
      <c r="I1760" s="5">
        <v>44256</v>
      </c>
      <c r="J1760" s="6">
        <v>0</v>
      </c>
      <c r="K1760" s="6">
        <v>0</v>
      </c>
      <c r="L1760" s="6">
        <v>-2.88</v>
      </c>
      <c r="M1760" s="6">
        <v>-2.88</v>
      </c>
      <c r="N1760" s="6">
        <v>-2.88</v>
      </c>
      <c r="O1760" s="6">
        <v>-2.88</v>
      </c>
      <c r="P1760" s="6">
        <v>0</v>
      </c>
      <c r="Q1760" s="4" t="s">
        <v>26</v>
      </c>
      <c r="R1760" s="4">
        <v>0</v>
      </c>
      <c r="S1760" s="6">
        <v>0</v>
      </c>
      <c r="T1760" s="6">
        <v>9</v>
      </c>
      <c r="U1760" s="6">
        <v>59</v>
      </c>
      <c r="V1760" s="6">
        <f>IF(ISERROR(VLOOKUP($S$1760,'TAR FIN'!$A$1:$O$95,15,0)),0,VLOOKUP($S$1760,'TAR FIN'!$A$1:$O$95,15,0))</f>
        <v>0</v>
      </c>
      <c r="W1760" s="6">
        <f>IF(ISERROR(VLOOKUP($T$1760,'TAR FIN'!$A$1:$O$95,15,0)),0,VLOOKUP($T$1760,'TAR FIN'!$A$1:$O$95,15,0))</f>
        <v>147.13999999999999</v>
      </c>
      <c r="X1760" s="6">
        <f>IF(ISERROR(VLOOKUP($U$1760,'TAR FIN'!$A$1:$O$95,15,0)),0,VLOOKUP($U$1760,'TAR FIN'!$A$1:$O$95,15,0))</f>
        <v>85.16</v>
      </c>
      <c r="Y1760" s="6"/>
      <c r="Z1760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60" s="6">
        <f>('TE BE'!$AA$14+'TE BF'!$AA$14+'TE CVA'!$AA$14)*(1-CUSTOS!$M$34)</f>
        <v>104.02058230712306</v>
      </c>
      <c r="AB1760" s="6">
        <f>$K$1760*$V$1760</f>
        <v>0</v>
      </c>
      <c r="AC1760" s="6">
        <f>$M$1760*$W$1760</f>
        <v>-423.76319999999993</v>
      </c>
      <c r="AD1760" s="6">
        <f>$O$1760*$X$1760</f>
        <v>-245.26079999999999</v>
      </c>
      <c r="AE1760" s="6">
        <f>$K$1760*$Y$1760</f>
        <v>0</v>
      </c>
      <c r="AF1760" s="6">
        <f ca="1">$M$1760*$Z$1760</f>
        <v>-463.71951117058558</v>
      </c>
      <c r="AG1760" s="6">
        <f>$O$1760*$AA$1760</f>
        <v>-299.57927704451441</v>
      </c>
    </row>
    <row r="1761" spans="1:33" ht="11.25" customHeight="1" x14ac:dyDescent="0.25">
      <c r="A1761" s="4" t="s">
        <v>30</v>
      </c>
      <c r="B1761" s="4" t="s">
        <v>22</v>
      </c>
      <c r="C1761" s="4" t="s">
        <v>23</v>
      </c>
      <c r="D1761" s="4" t="s">
        <v>24</v>
      </c>
      <c r="E1761" s="4" t="s">
        <v>31</v>
      </c>
      <c r="F1761" s="4" t="s">
        <v>25</v>
      </c>
      <c r="G1761" s="4" t="s">
        <v>25</v>
      </c>
      <c r="H1761" s="4" t="s">
        <v>25</v>
      </c>
      <c r="I1761" s="5">
        <v>44256</v>
      </c>
      <c r="J1761" s="6">
        <v>0</v>
      </c>
      <c r="K1761" s="6">
        <v>0</v>
      </c>
      <c r="L1761" s="6">
        <v>2.4940000000000002</v>
      </c>
      <c r="M1761" s="6">
        <v>2.4940000000000002</v>
      </c>
      <c r="N1761" s="6">
        <v>2.4940000000000002</v>
      </c>
      <c r="O1761" s="6">
        <v>2.4940000000000002</v>
      </c>
      <c r="P1761" s="6">
        <v>0</v>
      </c>
      <c r="Q1761" s="4" t="s">
        <v>26</v>
      </c>
      <c r="R1761" s="4">
        <v>0</v>
      </c>
      <c r="S1761" s="6">
        <v>0</v>
      </c>
      <c r="T1761" s="6">
        <v>9</v>
      </c>
      <c r="U1761" s="6">
        <v>59</v>
      </c>
      <c r="V1761" s="6">
        <f>IF(ISERROR(VLOOKUP($S$1761,'TAR FIN'!$A$1:$O$95,15,0)),0,VLOOKUP($S$1761,'TAR FIN'!$A$1:$O$95,15,0))</f>
        <v>0</v>
      </c>
      <c r="W1761" s="6">
        <f>IF(ISERROR(VLOOKUP($T$1761,'TAR FIN'!$A$1:$O$95,15,0)),0,VLOOKUP($T$1761,'TAR FIN'!$A$1:$O$95,15,0))</f>
        <v>147.13999999999999</v>
      </c>
      <c r="X1761" s="6">
        <f>IF(ISERROR(VLOOKUP($U$1761,'TAR FIN'!$A$1:$O$95,15,0)),0,VLOOKUP($U$1761,'TAR FIN'!$A$1:$O$95,15,0))</f>
        <v>85.16</v>
      </c>
      <c r="Y1761" s="6"/>
      <c r="Z1761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61" s="6">
        <f>('TE BE'!$AA$14+'TE BF'!$AA$14+'TE CVA'!$AA$14)*(1-CUSTOS!$M$34)</f>
        <v>104.02058230712306</v>
      </c>
      <c r="AB1761" s="6">
        <f>$K$1761*$V$1761</f>
        <v>0</v>
      </c>
      <c r="AC1761" s="6">
        <f>$M$1761*$W$1761</f>
        <v>366.96715999999998</v>
      </c>
      <c r="AD1761" s="6">
        <f>$O$1761*$X$1761</f>
        <v>212.38904000000002</v>
      </c>
      <c r="AE1761" s="6">
        <f>$K$1761*$Y$1761</f>
        <v>0</v>
      </c>
      <c r="AF1761" s="6">
        <f ca="1">$M$1761*$Z$1761</f>
        <v>401.56821557619463</v>
      </c>
      <c r="AG1761" s="6">
        <f>$O$1761*$AA$1761</f>
        <v>259.42733227396496</v>
      </c>
    </row>
    <row r="1762" spans="1:33" ht="11.25" customHeight="1" x14ac:dyDescent="0.25">
      <c r="A1762" s="4" t="s">
        <v>21</v>
      </c>
      <c r="B1762" s="4" t="s">
        <v>22</v>
      </c>
      <c r="C1762" s="4" t="s">
        <v>23</v>
      </c>
      <c r="D1762" s="4" t="s">
        <v>24</v>
      </c>
      <c r="E1762" s="4" t="s">
        <v>31</v>
      </c>
      <c r="F1762" s="4" t="s">
        <v>25</v>
      </c>
      <c r="G1762" s="4" t="s">
        <v>25</v>
      </c>
      <c r="H1762" s="4" t="s">
        <v>25</v>
      </c>
      <c r="I1762" s="5">
        <v>44287</v>
      </c>
      <c r="J1762" s="6">
        <v>0</v>
      </c>
      <c r="K1762" s="6">
        <v>0</v>
      </c>
      <c r="L1762" s="6">
        <v>2029.4870000000001</v>
      </c>
      <c r="M1762" s="6">
        <v>2029.4870000000001</v>
      </c>
      <c r="N1762" s="6">
        <v>2029.4870000000001</v>
      </c>
      <c r="O1762" s="6">
        <v>2029.4870000000001</v>
      </c>
      <c r="P1762" s="6">
        <v>9497</v>
      </c>
      <c r="Q1762" s="4" t="s">
        <v>26</v>
      </c>
      <c r="R1762" s="4">
        <v>0</v>
      </c>
      <c r="S1762" s="6">
        <v>0</v>
      </c>
      <c r="T1762" s="6">
        <v>9</v>
      </c>
      <c r="U1762" s="6">
        <v>59</v>
      </c>
      <c r="V1762" s="6">
        <f>IF(ISERROR(VLOOKUP($S$1762,'TAR FIN'!$A$1:$O$95,15,0)),0,VLOOKUP($S$1762,'TAR FIN'!$A$1:$O$95,15,0))</f>
        <v>0</v>
      </c>
      <c r="W1762" s="6">
        <f>IF(ISERROR(VLOOKUP($T$1762,'TAR FIN'!$A$1:$O$95,15,0)),0,VLOOKUP($T$1762,'TAR FIN'!$A$1:$O$95,15,0))</f>
        <v>147.13999999999999</v>
      </c>
      <c r="X1762" s="6">
        <f>IF(ISERROR(VLOOKUP($U$1762,'TAR FIN'!$A$1:$O$95,15,0)),0,VLOOKUP($U$1762,'TAR FIN'!$A$1:$O$95,15,0))</f>
        <v>85.16</v>
      </c>
      <c r="Y1762" s="6"/>
      <c r="Z1762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62" s="6">
        <f>('TE BE'!$AA$14+'TE BF'!$AA$14+'TE CVA'!$AA$14)*(1-CUSTOS!$M$34)</f>
        <v>104.02058230712306</v>
      </c>
      <c r="AB1762" s="6">
        <f>$K$1762*$V$1762</f>
        <v>0</v>
      </c>
      <c r="AC1762" s="6">
        <f>$M$1762*$W$1762</f>
        <v>298618.71717999998</v>
      </c>
      <c r="AD1762" s="6">
        <f>$O$1762*$X$1762</f>
        <v>172831.11292000001</v>
      </c>
      <c r="AE1762" s="6">
        <f>$K$1762*$Y$1762</f>
        <v>0</v>
      </c>
      <c r="AF1762" s="6">
        <f ca="1">$M$1762*$Z$1762</f>
        <v>326775.24984967301</v>
      </c>
      <c r="AG1762" s="6">
        <f>$O$1762*$AA$1762</f>
        <v>211108.41952473627</v>
      </c>
    </row>
    <row r="1763" spans="1:33" ht="11.25" customHeight="1" x14ac:dyDescent="0.25">
      <c r="A1763" s="4" t="s">
        <v>27</v>
      </c>
      <c r="B1763" s="4" t="s">
        <v>22</v>
      </c>
      <c r="C1763" s="4" t="s">
        <v>23</v>
      </c>
      <c r="D1763" s="4" t="s">
        <v>24</v>
      </c>
      <c r="E1763" s="4" t="s">
        <v>31</v>
      </c>
      <c r="F1763" s="4" t="s">
        <v>25</v>
      </c>
      <c r="G1763" s="4" t="s">
        <v>25</v>
      </c>
      <c r="H1763" s="4" t="s">
        <v>25</v>
      </c>
      <c r="I1763" s="5">
        <v>44287</v>
      </c>
      <c r="J1763" s="6">
        <v>0</v>
      </c>
      <c r="K1763" s="6">
        <v>0</v>
      </c>
      <c r="L1763" s="6">
        <v>-5.43</v>
      </c>
      <c r="M1763" s="6">
        <v>-5.43</v>
      </c>
      <c r="N1763" s="6">
        <v>-5.43</v>
      </c>
      <c r="O1763" s="6">
        <v>-5.43</v>
      </c>
      <c r="P1763" s="6">
        <v>0</v>
      </c>
      <c r="Q1763" s="4" t="s">
        <v>26</v>
      </c>
      <c r="R1763" s="4">
        <v>0</v>
      </c>
      <c r="S1763" s="6">
        <v>0</v>
      </c>
      <c r="T1763" s="6">
        <v>9</v>
      </c>
      <c r="U1763" s="6">
        <v>59</v>
      </c>
      <c r="V1763" s="6">
        <f>IF(ISERROR(VLOOKUP($S$1763,'TAR FIN'!$A$1:$O$95,15,0)),0,VLOOKUP($S$1763,'TAR FIN'!$A$1:$O$95,15,0))</f>
        <v>0</v>
      </c>
      <c r="W1763" s="6">
        <f>IF(ISERROR(VLOOKUP($T$1763,'TAR FIN'!$A$1:$O$95,15,0)),0,VLOOKUP($T$1763,'TAR FIN'!$A$1:$O$95,15,0))</f>
        <v>147.13999999999999</v>
      </c>
      <c r="X1763" s="6">
        <f>IF(ISERROR(VLOOKUP($U$1763,'TAR FIN'!$A$1:$O$95,15,0)),0,VLOOKUP($U$1763,'TAR FIN'!$A$1:$O$95,15,0))</f>
        <v>85.16</v>
      </c>
      <c r="Y1763" s="6"/>
      <c r="Z1763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63" s="6">
        <f>('TE BE'!$AA$14+'TE BF'!$AA$14+'TE CVA'!$AA$14)*(1-CUSTOS!$M$34)</f>
        <v>104.02058230712306</v>
      </c>
      <c r="AB1763" s="6">
        <f>$K$1763*$V$1763</f>
        <v>0</v>
      </c>
      <c r="AC1763" s="6">
        <f>$M$1763*$W$1763</f>
        <v>-798.97019999999986</v>
      </c>
      <c r="AD1763" s="6">
        <f>$O$1763*$X$1763</f>
        <v>-462.41879999999998</v>
      </c>
      <c r="AE1763" s="6">
        <f>$K$1763*$Y$1763</f>
        <v>0</v>
      </c>
      <c r="AF1763" s="6">
        <f ca="1">$M$1763*$Z$1763</f>
        <v>-874.3044950195416</v>
      </c>
      <c r="AG1763" s="6">
        <f>$O$1763*$AA$1763</f>
        <v>-564.83176192767826</v>
      </c>
    </row>
    <row r="1764" spans="1:33" ht="11.25" customHeight="1" x14ac:dyDescent="0.25">
      <c r="A1764" s="4" t="s">
        <v>28</v>
      </c>
      <c r="B1764" s="4" t="s">
        <v>22</v>
      </c>
      <c r="C1764" s="4" t="s">
        <v>23</v>
      </c>
      <c r="D1764" s="4" t="s">
        <v>24</v>
      </c>
      <c r="E1764" s="4" t="s">
        <v>31</v>
      </c>
      <c r="F1764" s="4" t="s">
        <v>25</v>
      </c>
      <c r="G1764" s="4" t="s">
        <v>25</v>
      </c>
      <c r="H1764" s="4" t="s">
        <v>25</v>
      </c>
      <c r="I1764" s="5">
        <v>44287</v>
      </c>
      <c r="J1764" s="6">
        <v>0</v>
      </c>
      <c r="K1764" s="6">
        <v>0</v>
      </c>
      <c r="L1764" s="6">
        <v>3740.915</v>
      </c>
      <c r="M1764" s="6">
        <v>3740.915</v>
      </c>
      <c r="N1764" s="6">
        <v>3740.915</v>
      </c>
      <c r="O1764" s="6">
        <v>3740.915</v>
      </c>
      <c r="P1764" s="6">
        <v>23050</v>
      </c>
      <c r="Q1764" s="4" t="s">
        <v>26</v>
      </c>
      <c r="R1764" s="4">
        <v>0</v>
      </c>
      <c r="S1764" s="6">
        <v>0</v>
      </c>
      <c r="T1764" s="6">
        <v>9</v>
      </c>
      <c r="U1764" s="6">
        <v>59</v>
      </c>
      <c r="V1764" s="6">
        <f>IF(ISERROR(VLOOKUP($S$1764,'TAR FIN'!$A$1:$O$95,15,0)),0,VLOOKUP($S$1764,'TAR FIN'!$A$1:$O$95,15,0))</f>
        <v>0</v>
      </c>
      <c r="W1764" s="6">
        <f>IF(ISERROR(VLOOKUP($T$1764,'TAR FIN'!$A$1:$O$95,15,0)),0,VLOOKUP($T$1764,'TAR FIN'!$A$1:$O$95,15,0))</f>
        <v>147.13999999999999</v>
      </c>
      <c r="X1764" s="6">
        <f>IF(ISERROR(VLOOKUP($U$1764,'TAR FIN'!$A$1:$O$95,15,0)),0,VLOOKUP($U$1764,'TAR FIN'!$A$1:$O$95,15,0))</f>
        <v>85.16</v>
      </c>
      <c r="Y1764" s="6"/>
      <c r="Z1764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64" s="6">
        <f>('TE BE'!$AA$14+'TE BF'!$AA$14+'TE CVA'!$AA$14)*(1-CUSTOS!$M$34)</f>
        <v>104.02058230712306</v>
      </c>
      <c r="AB1764" s="6">
        <f>$K$1764*$V$1764</f>
        <v>0</v>
      </c>
      <c r="AC1764" s="6">
        <f>$M$1764*$W$1764</f>
        <v>550438.23309999995</v>
      </c>
      <c r="AD1764" s="6">
        <f>$O$1764*$X$1764</f>
        <v>318576.32139999996</v>
      </c>
      <c r="AE1764" s="6">
        <f>$K$1764*$Y$1764</f>
        <v>0</v>
      </c>
      <c r="AF1764" s="6">
        <f ca="1">$M$1764*$Z$1764</f>
        <v>602338.63719816366</v>
      </c>
      <c r="AG1764" s="6">
        <f>$O$1764*$AA$1764</f>
        <v>389132.15666145127</v>
      </c>
    </row>
    <row r="1765" spans="1:33" ht="11.25" customHeight="1" x14ac:dyDescent="0.25">
      <c r="A1765" s="4" t="s">
        <v>29</v>
      </c>
      <c r="B1765" s="4" t="s">
        <v>22</v>
      </c>
      <c r="C1765" s="4" t="s">
        <v>23</v>
      </c>
      <c r="D1765" s="4" t="s">
        <v>24</v>
      </c>
      <c r="E1765" s="4" t="s">
        <v>31</v>
      </c>
      <c r="F1765" s="4" t="s">
        <v>25</v>
      </c>
      <c r="G1765" s="4" t="s">
        <v>25</v>
      </c>
      <c r="H1765" s="4" t="s">
        <v>25</v>
      </c>
      <c r="I1765" s="5">
        <v>44287</v>
      </c>
      <c r="J1765" s="6">
        <v>0</v>
      </c>
      <c r="K1765" s="6">
        <v>0</v>
      </c>
      <c r="L1765" s="6">
        <v>-1.62</v>
      </c>
      <c r="M1765" s="6">
        <v>-1.62</v>
      </c>
      <c r="N1765" s="6">
        <v>-1.62</v>
      </c>
      <c r="O1765" s="6">
        <v>-1.62</v>
      </c>
      <c r="P1765" s="6">
        <v>0</v>
      </c>
      <c r="Q1765" s="4" t="s">
        <v>26</v>
      </c>
      <c r="R1765" s="4">
        <v>0</v>
      </c>
      <c r="S1765" s="6">
        <v>0</v>
      </c>
      <c r="T1765" s="6">
        <v>9</v>
      </c>
      <c r="U1765" s="6">
        <v>59</v>
      </c>
      <c r="V1765" s="6">
        <f>IF(ISERROR(VLOOKUP($S$1765,'TAR FIN'!$A$1:$O$95,15,0)),0,VLOOKUP($S$1765,'TAR FIN'!$A$1:$O$95,15,0))</f>
        <v>0</v>
      </c>
      <c r="W1765" s="6">
        <f>IF(ISERROR(VLOOKUP($T$1765,'TAR FIN'!$A$1:$O$95,15,0)),0,VLOOKUP($T$1765,'TAR FIN'!$A$1:$O$95,15,0))</f>
        <v>147.13999999999999</v>
      </c>
      <c r="X1765" s="6">
        <f>IF(ISERROR(VLOOKUP($U$1765,'TAR FIN'!$A$1:$O$95,15,0)),0,VLOOKUP($U$1765,'TAR FIN'!$A$1:$O$95,15,0))</f>
        <v>85.16</v>
      </c>
      <c r="Y1765" s="6"/>
      <c r="Z1765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65" s="6">
        <f>('TE BE'!$AA$14+'TE BF'!$AA$14+'TE CVA'!$AA$14)*(1-CUSTOS!$M$34)</f>
        <v>104.02058230712306</v>
      </c>
      <c r="AB1765" s="6">
        <f>$K$1765*$V$1765</f>
        <v>0</v>
      </c>
      <c r="AC1765" s="6">
        <f>$M$1765*$W$1765</f>
        <v>-238.36679999999998</v>
      </c>
      <c r="AD1765" s="6">
        <f>$O$1765*$X$1765</f>
        <v>-137.95920000000001</v>
      </c>
      <c r="AE1765" s="6">
        <f>$K$1765*$Y$1765</f>
        <v>0</v>
      </c>
      <c r="AF1765" s="6">
        <f ca="1">$M$1765*$Z$1765</f>
        <v>-260.84222503345444</v>
      </c>
      <c r="AG1765" s="6">
        <f>$O$1765*$AA$1765</f>
        <v>-168.51334333753937</v>
      </c>
    </row>
    <row r="1766" spans="1:33" ht="11.25" customHeight="1" x14ac:dyDescent="0.25">
      <c r="A1766" s="4" t="s">
        <v>30</v>
      </c>
      <c r="B1766" s="4" t="s">
        <v>22</v>
      </c>
      <c r="C1766" s="4" t="s">
        <v>23</v>
      </c>
      <c r="D1766" s="4" t="s">
        <v>24</v>
      </c>
      <c r="E1766" s="4" t="s">
        <v>31</v>
      </c>
      <c r="F1766" s="4" t="s">
        <v>25</v>
      </c>
      <c r="G1766" s="4" t="s">
        <v>25</v>
      </c>
      <c r="H1766" s="4" t="s">
        <v>25</v>
      </c>
      <c r="I1766" s="5">
        <v>44287</v>
      </c>
      <c r="J1766" s="6">
        <v>0</v>
      </c>
      <c r="K1766" s="6">
        <v>0</v>
      </c>
      <c r="L1766" s="6">
        <v>3.1480000000000001</v>
      </c>
      <c r="M1766" s="6">
        <v>3.1480000000000001</v>
      </c>
      <c r="N1766" s="6">
        <v>3.1480000000000001</v>
      </c>
      <c r="O1766" s="6">
        <v>3.1480000000000001</v>
      </c>
      <c r="P1766" s="6">
        <v>0</v>
      </c>
      <c r="Q1766" s="4" t="s">
        <v>26</v>
      </c>
      <c r="R1766" s="4">
        <v>0</v>
      </c>
      <c r="S1766" s="6">
        <v>0</v>
      </c>
      <c r="T1766" s="6">
        <v>9</v>
      </c>
      <c r="U1766" s="6">
        <v>59</v>
      </c>
      <c r="V1766" s="6">
        <f>IF(ISERROR(VLOOKUP($S$1766,'TAR FIN'!$A$1:$O$95,15,0)),0,VLOOKUP($S$1766,'TAR FIN'!$A$1:$O$95,15,0))</f>
        <v>0</v>
      </c>
      <c r="W1766" s="6">
        <f>IF(ISERROR(VLOOKUP($T$1766,'TAR FIN'!$A$1:$O$95,15,0)),0,VLOOKUP($T$1766,'TAR FIN'!$A$1:$O$95,15,0))</f>
        <v>147.13999999999999</v>
      </c>
      <c r="X1766" s="6">
        <f>IF(ISERROR(VLOOKUP($U$1766,'TAR FIN'!$A$1:$O$95,15,0)),0,VLOOKUP($U$1766,'TAR FIN'!$A$1:$O$95,15,0))</f>
        <v>85.16</v>
      </c>
      <c r="Y1766" s="6"/>
      <c r="Z1766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66" s="6">
        <f>('TE BE'!$AA$14+'TE BF'!$AA$14+'TE CVA'!$AA$14)*(1-CUSTOS!$M$34)</f>
        <v>104.02058230712306</v>
      </c>
      <c r="AB1766" s="6">
        <f>$K$1766*$V$1766</f>
        <v>0</v>
      </c>
      <c r="AC1766" s="6">
        <f>$M$1766*$W$1766</f>
        <v>463.19671999999997</v>
      </c>
      <c r="AD1766" s="6">
        <f>$O$1766*$X$1766</f>
        <v>268.08368000000002</v>
      </c>
      <c r="AE1766" s="6">
        <f>$K$1766*$Y$1766</f>
        <v>0</v>
      </c>
      <c r="AF1766" s="6">
        <f ca="1">$M$1766*$Z$1766</f>
        <v>506.87118790451512</v>
      </c>
      <c r="AG1766" s="6">
        <f>$O$1766*$AA$1766</f>
        <v>327.45679310282344</v>
      </c>
    </row>
    <row r="1767" spans="1:33" ht="11.25" customHeight="1" x14ac:dyDescent="0.25">
      <c r="A1767" s="4" t="s">
        <v>21</v>
      </c>
      <c r="B1767" s="4" t="s">
        <v>22</v>
      </c>
      <c r="C1767" s="4" t="s">
        <v>23</v>
      </c>
      <c r="D1767" s="4" t="s">
        <v>24</v>
      </c>
      <c r="E1767" s="4" t="s">
        <v>31</v>
      </c>
      <c r="F1767" s="4" t="s">
        <v>25</v>
      </c>
      <c r="G1767" s="4" t="s">
        <v>25</v>
      </c>
      <c r="H1767" s="4" t="s">
        <v>25</v>
      </c>
      <c r="I1767" s="5">
        <v>44317</v>
      </c>
      <c r="J1767" s="6">
        <v>0</v>
      </c>
      <c r="K1767" s="6">
        <v>0</v>
      </c>
      <c r="L1767" s="6">
        <v>2030.798</v>
      </c>
      <c r="M1767" s="6">
        <v>2030.798</v>
      </c>
      <c r="N1767" s="6">
        <v>2030.798</v>
      </c>
      <c r="O1767" s="6">
        <v>2030.798</v>
      </c>
      <c r="P1767" s="6">
        <v>9462</v>
      </c>
      <c r="Q1767" s="4" t="s">
        <v>26</v>
      </c>
      <c r="R1767" s="4">
        <v>0</v>
      </c>
      <c r="S1767" s="6">
        <v>0</v>
      </c>
      <c r="T1767" s="6">
        <v>9</v>
      </c>
      <c r="U1767" s="6">
        <v>59</v>
      </c>
      <c r="V1767" s="6">
        <f>IF(ISERROR(VLOOKUP($S$1767,'TAR FIN'!$A$1:$O$95,15,0)),0,VLOOKUP($S$1767,'TAR FIN'!$A$1:$O$95,15,0))</f>
        <v>0</v>
      </c>
      <c r="W1767" s="6">
        <f>IF(ISERROR(VLOOKUP($T$1767,'TAR FIN'!$A$1:$O$95,15,0)),0,VLOOKUP($T$1767,'TAR FIN'!$A$1:$O$95,15,0))</f>
        <v>147.13999999999999</v>
      </c>
      <c r="X1767" s="6">
        <f>IF(ISERROR(VLOOKUP($U$1767,'TAR FIN'!$A$1:$O$95,15,0)),0,VLOOKUP($U$1767,'TAR FIN'!$A$1:$O$95,15,0))</f>
        <v>85.16</v>
      </c>
      <c r="Y1767" s="6"/>
      <c r="Z1767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67" s="6">
        <f>('TE BE'!$AA$14+'TE BF'!$AA$14+'TE CVA'!$AA$14)*(1-CUSTOS!$M$34)</f>
        <v>104.02058230712306</v>
      </c>
      <c r="AB1767" s="6">
        <f>$K$1767*$V$1767</f>
        <v>0</v>
      </c>
      <c r="AC1767" s="6">
        <f>$M$1767*$W$1767</f>
        <v>298811.61771999998</v>
      </c>
      <c r="AD1767" s="6">
        <f>$O$1767*$X$1767</f>
        <v>172942.75767999998</v>
      </c>
      <c r="AE1767" s="6">
        <f>$K$1767*$Y$1767</f>
        <v>0</v>
      </c>
      <c r="AF1767" s="6">
        <f ca="1">$M$1767*$Z$1767</f>
        <v>326986.33883548714</v>
      </c>
      <c r="AG1767" s="6">
        <f>$O$1767*$AA$1767</f>
        <v>211244.7905081409</v>
      </c>
    </row>
    <row r="1768" spans="1:33" ht="11.25" customHeight="1" x14ac:dyDescent="0.25">
      <c r="A1768" s="4" t="s">
        <v>27</v>
      </c>
      <c r="B1768" s="4" t="s">
        <v>22</v>
      </c>
      <c r="C1768" s="4" t="s">
        <v>23</v>
      </c>
      <c r="D1768" s="4" t="s">
        <v>24</v>
      </c>
      <c r="E1768" s="4" t="s">
        <v>31</v>
      </c>
      <c r="F1768" s="4" t="s">
        <v>25</v>
      </c>
      <c r="G1768" s="4" t="s">
        <v>25</v>
      </c>
      <c r="H1768" s="4" t="s">
        <v>25</v>
      </c>
      <c r="I1768" s="5">
        <v>44317</v>
      </c>
      <c r="J1768" s="6">
        <v>0</v>
      </c>
      <c r="K1768" s="6">
        <v>0</v>
      </c>
      <c r="L1768" s="6">
        <v>-1.98</v>
      </c>
      <c r="M1768" s="6">
        <v>-1.98</v>
      </c>
      <c r="N1768" s="6">
        <v>-1.98</v>
      </c>
      <c r="O1768" s="6">
        <v>-1.98</v>
      </c>
      <c r="P1768" s="6">
        <v>0</v>
      </c>
      <c r="Q1768" s="4" t="s">
        <v>26</v>
      </c>
      <c r="R1768" s="4">
        <v>0</v>
      </c>
      <c r="S1768" s="6">
        <v>0</v>
      </c>
      <c r="T1768" s="6">
        <v>9</v>
      </c>
      <c r="U1768" s="6">
        <v>59</v>
      </c>
      <c r="V1768" s="6">
        <f>IF(ISERROR(VLOOKUP($S$1768,'TAR FIN'!$A$1:$O$95,15,0)),0,VLOOKUP($S$1768,'TAR FIN'!$A$1:$O$95,15,0))</f>
        <v>0</v>
      </c>
      <c r="W1768" s="6">
        <f>IF(ISERROR(VLOOKUP($T$1768,'TAR FIN'!$A$1:$O$95,15,0)),0,VLOOKUP($T$1768,'TAR FIN'!$A$1:$O$95,15,0))</f>
        <v>147.13999999999999</v>
      </c>
      <c r="X1768" s="6">
        <f>IF(ISERROR(VLOOKUP($U$1768,'TAR FIN'!$A$1:$O$95,15,0)),0,VLOOKUP($U$1768,'TAR FIN'!$A$1:$O$95,15,0))</f>
        <v>85.16</v>
      </c>
      <c r="Y1768" s="6"/>
      <c r="Z1768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68" s="6">
        <f>('TE BE'!$AA$14+'TE BF'!$AA$14+'TE CVA'!$AA$14)*(1-CUSTOS!$M$34)</f>
        <v>104.02058230712306</v>
      </c>
      <c r="AB1768" s="6">
        <f>$K$1768*$V$1768</f>
        <v>0</v>
      </c>
      <c r="AC1768" s="6">
        <f>$M$1768*$W$1768</f>
        <v>-291.3372</v>
      </c>
      <c r="AD1768" s="6">
        <f>$O$1768*$X$1768</f>
        <v>-168.61679999999998</v>
      </c>
      <c r="AE1768" s="6">
        <f>$K$1768*$Y$1768</f>
        <v>0</v>
      </c>
      <c r="AF1768" s="6">
        <f ca="1">$M$1768*$Z$1768</f>
        <v>-318.80716392977757</v>
      </c>
      <c r="AG1768" s="6">
        <f>$O$1768*$AA$1768</f>
        <v>-205.96075296810366</v>
      </c>
    </row>
    <row r="1769" spans="1:33" ht="11.25" customHeight="1" x14ac:dyDescent="0.25">
      <c r="A1769" s="4" t="s">
        <v>28</v>
      </c>
      <c r="B1769" s="4" t="s">
        <v>22</v>
      </c>
      <c r="C1769" s="4" t="s">
        <v>23</v>
      </c>
      <c r="D1769" s="4" t="s">
        <v>24</v>
      </c>
      <c r="E1769" s="4" t="s">
        <v>31</v>
      </c>
      <c r="F1769" s="4" t="s">
        <v>25</v>
      </c>
      <c r="G1769" s="4" t="s">
        <v>25</v>
      </c>
      <c r="H1769" s="4" t="s">
        <v>25</v>
      </c>
      <c r="I1769" s="5">
        <v>44317</v>
      </c>
      <c r="J1769" s="6">
        <v>0</v>
      </c>
      <c r="K1769" s="6">
        <v>0</v>
      </c>
      <c r="L1769" s="6">
        <v>3735.4639999999999</v>
      </c>
      <c r="M1769" s="6">
        <v>3735.4639999999999</v>
      </c>
      <c r="N1769" s="6">
        <v>3735.4639999999999</v>
      </c>
      <c r="O1769" s="6">
        <v>3735.4639999999999</v>
      </c>
      <c r="P1769" s="6">
        <v>22748</v>
      </c>
      <c r="Q1769" s="4" t="s">
        <v>26</v>
      </c>
      <c r="R1769" s="4">
        <v>0</v>
      </c>
      <c r="S1769" s="6">
        <v>0</v>
      </c>
      <c r="T1769" s="6">
        <v>9</v>
      </c>
      <c r="U1769" s="6">
        <v>59</v>
      </c>
      <c r="V1769" s="6">
        <f>IF(ISERROR(VLOOKUP($S$1769,'TAR FIN'!$A$1:$O$95,15,0)),0,VLOOKUP($S$1769,'TAR FIN'!$A$1:$O$95,15,0))</f>
        <v>0</v>
      </c>
      <c r="W1769" s="6">
        <f>IF(ISERROR(VLOOKUP($T$1769,'TAR FIN'!$A$1:$O$95,15,0)),0,VLOOKUP($T$1769,'TAR FIN'!$A$1:$O$95,15,0))</f>
        <v>147.13999999999999</v>
      </c>
      <c r="X1769" s="6">
        <f>IF(ISERROR(VLOOKUP($U$1769,'TAR FIN'!$A$1:$O$95,15,0)),0,VLOOKUP($U$1769,'TAR FIN'!$A$1:$O$95,15,0))</f>
        <v>85.16</v>
      </c>
      <c r="Y1769" s="6"/>
      <c r="Z1769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69" s="6">
        <f>('TE BE'!$AA$14+'TE BF'!$AA$14+'TE CVA'!$AA$14)*(1-CUSTOS!$M$34)</f>
        <v>104.02058230712306</v>
      </c>
      <c r="AB1769" s="6">
        <f>$K$1769*$V$1769</f>
        <v>0</v>
      </c>
      <c r="AC1769" s="6">
        <f>$M$1769*$W$1769</f>
        <v>549636.17296</v>
      </c>
      <c r="AD1769" s="6">
        <f>$O$1769*$X$1769</f>
        <v>318112.11423999997</v>
      </c>
      <c r="AE1769" s="6">
        <f>$K$1769*$Y$1769</f>
        <v>0</v>
      </c>
      <c r="AF1769" s="6">
        <f ca="1">$M$1769*$Z$1769</f>
        <v>601460.95141504181</v>
      </c>
      <c r="AG1769" s="6">
        <f>$O$1769*$AA$1769</f>
        <v>388565.14046729513</v>
      </c>
    </row>
    <row r="1770" spans="1:33" ht="11.25" customHeight="1" x14ac:dyDescent="0.25">
      <c r="A1770" s="4" t="s">
        <v>29</v>
      </c>
      <c r="B1770" s="4" t="s">
        <v>22</v>
      </c>
      <c r="C1770" s="4" t="s">
        <v>23</v>
      </c>
      <c r="D1770" s="4" t="s">
        <v>24</v>
      </c>
      <c r="E1770" s="4" t="s">
        <v>31</v>
      </c>
      <c r="F1770" s="4" t="s">
        <v>25</v>
      </c>
      <c r="G1770" s="4" t="s">
        <v>25</v>
      </c>
      <c r="H1770" s="4" t="s">
        <v>25</v>
      </c>
      <c r="I1770" s="5">
        <v>44317</v>
      </c>
      <c r="J1770" s="6">
        <v>0</v>
      </c>
      <c r="K1770" s="6">
        <v>0</v>
      </c>
      <c r="L1770" s="6">
        <v>-2.58</v>
      </c>
      <c r="M1770" s="6">
        <v>-2.58</v>
      </c>
      <c r="N1770" s="6">
        <v>-2.58</v>
      </c>
      <c r="O1770" s="6">
        <v>-2.58</v>
      </c>
      <c r="P1770" s="6">
        <v>0</v>
      </c>
      <c r="Q1770" s="4" t="s">
        <v>26</v>
      </c>
      <c r="R1770" s="4">
        <v>0</v>
      </c>
      <c r="S1770" s="6">
        <v>0</v>
      </c>
      <c r="T1770" s="6">
        <v>9</v>
      </c>
      <c r="U1770" s="6">
        <v>59</v>
      </c>
      <c r="V1770" s="6">
        <f>IF(ISERROR(VLOOKUP($S$1770,'TAR FIN'!$A$1:$O$95,15,0)),0,VLOOKUP($S$1770,'TAR FIN'!$A$1:$O$95,15,0))</f>
        <v>0</v>
      </c>
      <c r="W1770" s="6">
        <f>IF(ISERROR(VLOOKUP($T$1770,'TAR FIN'!$A$1:$O$95,15,0)),0,VLOOKUP($T$1770,'TAR FIN'!$A$1:$O$95,15,0))</f>
        <v>147.13999999999999</v>
      </c>
      <c r="X1770" s="6">
        <f>IF(ISERROR(VLOOKUP($U$1770,'TAR FIN'!$A$1:$O$95,15,0)),0,VLOOKUP($U$1770,'TAR FIN'!$A$1:$O$95,15,0))</f>
        <v>85.16</v>
      </c>
      <c r="Y1770" s="6"/>
      <c r="Z1770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70" s="6">
        <f>('TE BE'!$AA$14+'TE BF'!$AA$14+'TE CVA'!$AA$14)*(1-CUSTOS!$M$34)</f>
        <v>104.02058230712306</v>
      </c>
      <c r="AB1770" s="6">
        <f>$K$1770*$V$1770</f>
        <v>0</v>
      </c>
      <c r="AC1770" s="6">
        <f>$M$1770*$W$1770</f>
        <v>-379.62119999999999</v>
      </c>
      <c r="AD1770" s="6">
        <f>$O$1770*$X$1770</f>
        <v>-219.71279999999999</v>
      </c>
      <c r="AE1770" s="6">
        <f>$K$1770*$Y$1770</f>
        <v>0</v>
      </c>
      <c r="AF1770" s="6">
        <f ca="1">$M$1770*$Z$1770</f>
        <v>-415.41539542364961</v>
      </c>
      <c r="AG1770" s="6">
        <f>$O$1770*$AA$1770</f>
        <v>-268.37310235237749</v>
      </c>
    </row>
    <row r="1771" spans="1:33" ht="11.25" customHeight="1" x14ac:dyDescent="0.25">
      <c r="A1771" s="4" t="s">
        <v>30</v>
      </c>
      <c r="B1771" s="4" t="s">
        <v>22</v>
      </c>
      <c r="C1771" s="4" t="s">
        <v>23</v>
      </c>
      <c r="D1771" s="4" t="s">
        <v>24</v>
      </c>
      <c r="E1771" s="4" t="s">
        <v>31</v>
      </c>
      <c r="F1771" s="4" t="s">
        <v>25</v>
      </c>
      <c r="G1771" s="4" t="s">
        <v>25</v>
      </c>
      <c r="H1771" s="4" t="s">
        <v>25</v>
      </c>
      <c r="I1771" s="5">
        <v>44317</v>
      </c>
      <c r="J1771" s="6">
        <v>0</v>
      </c>
      <c r="K1771" s="6">
        <v>0</v>
      </c>
      <c r="L1771" s="6">
        <v>2.9529999999999998</v>
      </c>
      <c r="M1771" s="6">
        <v>2.9529999999999998</v>
      </c>
      <c r="N1771" s="6">
        <v>2.9529999999999998</v>
      </c>
      <c r="O1771" s="6">
        <v>2.9529999999999998</v>
      </c>
      <c r="P1771" s="6">
        <v>0</v>
      </c>
      <c r="Q1771" s="4" t="s">
        <v>26</v>
      </c>
      <c r="R1771" s="4">
        <v>0</v>
      </c>
      <c r="S1771" s="6">
        <v>0</v>
      </c>
      <c r="T1771" s="6">
        <v>9</v>
      </c>
      <c r="U1771" s="6">
        <v>59</v>
      </c>
      <c r="V1771" s="6">
        <f>IF(ISERROR(VLOOKUP($S$1771,'TAR FIN'!$A$1:$O$95,15,0)),0,VLOOKUP($S$1771,'TAR FIN'!$A$1:$O$95,15,0))</f>
        <v>0</v>
      </c>
      <c r="W1771" s="6">
        <f>IF(ISERROR(VLOOKUP($T$1771,'TAR FIN'!$A$1:$O$95,15,0)),0,VLOOKUP($T$1771,'TAR FIN'!$A$1:$O$95,15,0))</f>
        <v>147.13999999999999</v>
      </c>
      <c r="X1771" s="6">
        <f>IF(ISERROR(VLOOKUP($U$1771,'TAR FIN'!$A$1:$O$95,15,0)),0,VLOOKUP($U$1771,'TAR FIN'!$A$1:$O$95,15,0))</f>
        <v>85.16</v>
      </c>
      <c r="Y1771" s="6"/>
      <c r="Z1771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71" s="6">
        <f>('TE BE'!$AA$14+'TE BF'!$AA$14+'TE CVA'!$AA$14)*(1-CUSTOS!$M$34)</f>
        <v>104.02058230712306</v>
      </c>
      <c r="AB1771" s="6">
        <f>$K$1771*$V$1771</f>
        <v>0</v>
      </c>
      <c r="AC1771" s="6">
        <f>$M$1771*$W$1771</f>
        <v>434.50441999999993</v>
      </c>
      <c r="AD1771" s="6">
        <f>$O$1771*$X$1771</f>
        <v>251.47747999999999</v>
      </c>
      <c r="AE1771" s="6">
        <f>$K$1771*$Y$1771</f>
        <v>0</v>
      </c>
      <c r="AF1771" s="6">
        <f ca="1">$M$1771*$Z$1771</f>
        <v>475.47351266900665</v>
      </c>
      <c r="AG1771" s="6">
        <f>$O$1771*$AA$1771</f>
        <v>307.1727795529344</v>
      </c>
    </row>
    <row r="1772" spans="1:33" ht="11.25" customHeight="1" x14ac:dyDescent="0.25">
      <c r="A1772" s="4" t="s">
        <v>30</v>
      </c>
      <c r="B1772" s="4" t="s">
        <v>22</v>
      </c>
      <c r="C1772" s="4" t="s">
        <v>23</v>
      </c>
      <c r="D1772" s="4" t="s">
        <v>24</v>
      </c>
      <c r="E1772" s="4" t="s">
        <v>31</v>
      </c>
      <c r="F1772" s="4" t="s">
        <v>25</v>
      </c>
      <c r="G1772" s="4" t="s">
        <v>25</v>
      </c>
      <c r="H1772" s="4" t="s">
        <v>25</v>
      </c>
      <c r="I1772" s="5">
        <v>44317</v>
      </c>
      <c r="J1772" s="6">
        <v>0</v>
      </c>
      <c r="K1772" s="6">
        <v>0</v>
      </c>
      <c r="L1772" s="6">
        <v>0.219</v>
      </c>
      <c r="M1772" s="6">
        <v>0.219</v>
      </c>
      <c r="N1772" s="6">
        <v>0.219</v>
      </c>
      <c r="O1772" s="6">
        <v>0.219</v>
      </c>
      <c r="P1772" s="6">
        <v>0</v>
      </c>
      <c r="Q1772" s="4" t="s">
        <v>26</v>
      </c>
      <c r="R1772" s="4">
        <v>0</v>
      </c>
      <c r="S1772" s="6">
        <v>0</v>
      </c>
      <c r="T1772" s="6">
        <v>9</v>
      </c>
      <c r="U1772" s="6">
        <v>59</v>
      </c>
      <c r="V1772" s="6">
        <f>IF(ISERROR(VLOOKUP($S$1772,'TAR FIN'!$A$1:$O$95,15,0)),0,VLOOKUP($S$1772,'TAR FIN'!$A$1:$O$95,15,0))</f>
        <v>0</v>
      </c>
      <c r="W1772" s="6">
        <f>IF(ISERROR(VLOOKUP($T$1772,'TAR FIN'!$A$1:$O$95,15,0)),0,VLOOKUP($T$1772,'TAR FIN'!$A$1:$O$95,15,0))</f>
        <v>147.13999999999999</v>
      </c>
      <c r="X1772" s="6">
        <f>IF(ISERROR(VLOOKUP($U$1772,'TAR FIN'!$A$1:$O$95,15,0)),0,VLOOKUP($U$1772,'TAR FIN'!$A$1:$O$95,15,0))</f>
        <v>85.16</v>
      </c>
      <c r="Y1772" s="6"/>
      <c r="Z1772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72" s="6">
        <f>('TE BE'!$AA$14+'TE BF'!$AA$14+'TE CVA'!$AA$14)*(1-CUSTOS!$M$34)</f>
        <v>104.02058230712306</v>
      </c>
      <c r="AB1772" s="6">
        <f>$K$1772*$V$1772</f>
        <v>0</v>
      </c>
      <c r="AC1772" s="6">
        <f>$M$1772*$W$1772</f>
        <v>32.223659999999995</v>
      </c>
      <c r="AD1772" s="6">
        <f>$O$1772*$X$1772</f>
        <v>18.650040000000001</v>
      </c>
      <c r="AE1772" s="6">
        <f>$K$1772*$Y$1772</f>
        <v>0</v>
      </c>
      <c r="AF1772" s="6">
        <f ca="1">$M$1772*$Z$1772</f>
        <v>35.262004495263277</v>
      </c>
      <c r="AG1772" s="6">
        <f>$O$1772*$AA$1772</f>
        <v>22.780507525259949</v>
      </c>
    </row>
    <row r="1773" spans="1:33" ht="11.25" customHeight="1" x14ac:dyDescent="0.25">
      <c r="A1773" s="4" t="s">
        <v>21</v>
      </c>
      <c r="B1773" s="4" t="s">
        <v>22</v>
      </c>
      <c r="C1773" s="4" t="s">
        <v>23</v>
      </c>
      <c r="D1773" s="4" t="s">
        <v>24</v>
      </c>
      <c r="E1773" s="4" t="s">
        <v>31</v>
      </c>
      <c r="F1773" s="4" t="s">
        <v>25</v>
      </c>
      <c r="G1773" s="4" t="s">
        <v>25</v>
      </c>
      <c r="H1773" s="4" t="s">
        <v>25</v>
      </c>
      <c r="I1773" s="5">
        <v>44348</v>
      </c>
      <c r="J1773" s="6">
        <v>0</v>
      </c>
      <c r="K1773" s="6">
        <v>0</v>
      </c>
      <c r="L1773" s="6">
        <v>2065.8119999999999</v>
      </c>
      <c r="M1773" s="6">
        <v>2065.8119999999999</v>
      </c>
      <c r="N1773" s="6">
        <v>2065.8119999999999</v>
      </c>
      <c r="O1773" s="6">
        <v>2065.8119999999999</v>
      </c>
      <c r="P1773" s="6">
        <v>9284</v>
      </c>
      <c r="Q1773" s="4" t="s">
        <v>26</v>
      </c>
      <c r="R1773" s="4">
        <v>0</v>
      </c>
      <c r="S1773" s="6">
        <v>0</v>
      </c>
      <c r="T1773" s="6">
        <v>9</v>
      </c>
      <c r="U1773" s="6">
        <v>59</v>
      </c>
      <c r="V1773" s="6">
        <f>IF(ISERROR(VLOOKUP($S$1773,'TAR FIN'!$A$1:$O$95,15,0)),0,VLOOKUP($S$1773,'TAR FIN'!$A$1:$O$95,15,0))</f>
        <v>0</v>
      </c>
      <c r="W1773" s="6">
        <f>IF(ISERROR(VLOOKUP($T$1773,'TAR FIN'!$A$1:$O$95,15,0)),0,VLOOKUP($T$1773,'TAR FIN'!$A$1:$O$95,15,0))</f>
        <v>147.13999999999999</v>
      </c>
      <c r="X1773" s="6">
        <f>IF(ISERROR(VLOOKUP($U$1773,'TAR FIN'!$A$1:$O$95,15,0)),0,VLOOKUP($U$1773,'TAR FIN'!$A$1:$O$95,15,0))</f>
        <v>85.16</v>
      </c>
      <c r="Y1773" s="6"/>
      <c r="Z1773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73" s="6">
        <f>('TE BE'!$AA$14+'TE BF'!$AA$14+'TE CVA'!$AA$14)*(1-CUSTOS!$M$34)</f>
        <v>104.02058230712306</v>
      </c>
      <c r="AB1773" s="6">
        <f>$K$1773*$V$1773</f>
        <v>0</v>
      </c>
      <c r="AC1773" s="6">
        <f>$M$1773*$W$1773</f>
        <v>303963.57767999993</v>
      </c>
      <c r="AD1773" s="6">
        <f>$O$1773*$X$1773</f>
        <v>175924.54991999999</v>
      </c>
      <c r="AE1773" s="6">
        <f>$K$1773*$Y$1773</f>
        <v>0</v>
      </c>
      <c r="AF1773" s="6">
        <f ca="1">$M$1773*$Z$1773</f>
        <v>332624.07319803117</v>
      </c>
      <c r="AG1773" s="6">
        <f>$O$1773*$AA$1773</f>
        <v>214886.9671770425</v>
      </c>
    </row>
    <row r="1774" spans="1:33" ht="11.25" customHeight="1" x14ac:dyDescent="0.25">
      <c r="A1774" s="4" t="s">
        <v>27</v>
      </c>
      <c r="B1774" s="4" t="s">
        <v>22</v>
      </c>
      <c r="C1774" s="4" t="s">
        <v>23</v>
      </c>
      <c r="D1774" s="4" t="s">
        <v>24</v>
      </c>
      <c r="E1774" s="4" t="s">
        <v>31</v>
      </c>
      <c r="F1774" s="4" t="s">
        <v>25</v>
      </c>
      <c r="G1774" s="4" t="s">
        <v>25</v>
      </c>
      <c r="H1774" s="4" t="s">
        <v>25</v>
      </c>
      <c r="I1774" s="5">
        <v>44348</v>
      </c>
      <c r="J1774" s="6">
        <v>0</v>
      </c>
      <c r="K1774" s="6">
        <v>0</v>
      </c>
      <c r="L1774" s="6">
        <v>-5.28</v>
      </c>
      <c r="M1774" s="6">
        <v>-5.28</v>
      </c>
      <c r="N1774" s="6">
        <v>-5.28</v>
      </c>
      <c r="O1774" s="6">
        <v>-5.28</v>
      </c>
      <c r="P1774" s="6">
        <v>0</v>
      </c>
      <c r="Q1774" s="4" t="s">
        <v>26</v>
      </c>
      <c r="R1774" s="4">
        <v>0</v>
      </c>
      <c r="S1774" s="6">
        <v>0</v>
      </c>
      <c r="T1774" s="6">
        <v>9</v>
      </c>
      <c r="U1774" s="6">
        <v>59</v>
      </c>
      <c r="V1774" s="6">
        <f>IF(ISERROR(VLOOKUP($S$1774,'TAR FIN'!$A$1:$O$95,15,0)),0,VLOOKUP($S$1774,'TAR FIN'!$A$1:$O$95,15,0))</f>
        <v>0</v>
      </c>
      <c r="W1774" s="6">
        <f>IF(ISERROR(VLOOKUP($T$1774,'TAR FIN'!$A$1:$O$95,15,0)),0,VLOOKUP($T$1774,'TAR FIN'!$A$1:$O$95,15,0))</f>
        <v>147.13999999999999</v>
      </c>
      <c r="X1774" s="6">
        <f>IF(ISERROR(VLOOKUP($U$1774,'TAR FIN'!$A$1:$O$95,15,0)),0,VLOOKUP($U$1774,'TAR FIN'!$A$1:$O$95,15,0))</f>
        <v>85.16</v>
      </c>
      <c r="Y1774" s="6"/>
      <c r="Z1774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74" s="6">
        <f>('TE BE'!$AA$14+'TE BF'!$AA$14+'TE CVA'!$AA$14)*(1-CUSTOS!$M$34)</f>
        <v>104.02058230712306</v>
      </c>
      <c r="AB1774" s="6">
        <f>$K$1774*$V$1774</f>
        <v>0</v>
      </c>
      <c r="AC1774" s="6">
        <f>$M$1774*$W$1774</f>
        <v>-776.89919999999995</v>
      </c>
      <c r="AD1774" s="6">
        <f>$O$1774*$X$1774</f>
        <v>-449.64479999999998</v>
      </c>
      <c r="AE1774" s="6">
        <f>$K$1774*$Y$1774</f>
        <v>0</v>
      </c>
      <c r="AF1774" s="6">
        <f ca="1">$M$1774*$Z$1774</f>
        <v>-850.15243714607368</v>
      </c>
      <c r="AG1774" s="6">
        <f>$O$1774*$AA$1774</f>
        <v>-549.22867458160977</v>
      </c>
    </row>
    <row r="1775" spans="1:33" ht="11.25" customHeight="1" x14ac:dyDescent="0.25">
      <c r="A1775" s="4" t="s">
        <v>28</v>
      </c>
      <c r="B1775" s="4" t="s">
        <v>22</v>
      </c>
      <c r="C1775" s="4" t="s">
        <v>23</v>
      </c>
      <c r="D1775" s="4" t="s">
        <v>24</v>
      </c>
      <c r="E1775" s="4" t="s">
        <v>31</v>
      </c>
      <c r="F1775" s="4" t="s">
        <v>25</v>
      </c>
      <c r="G1775" s="4" t="s">
        <v>25</v>
      </c>
      <c r="H1775" s="4" t="s">
        <v>25</v>
      </c>
      <c r="I1775" s="5">
        <v>44348</v>
      </c>
      <c r="J1775" s="6">
        <v>0</v>
      </c>
      <c r="K1775" s="6">
        <v>0</v>
      </c>
      <c r="L1775" s="6">
        <v>3767.37</v>
      </c>
      <c r="M1775" s="6">
        <v>3767.37</v>
      </c>
      <c r="N1775" s="6">
        <v>3767.37</v>
      </c>
      <c r="O1775" s="6">
        <v>3767.37</v>
      </c>
      <c r="P1775" s="6">
        <v>22725</v>
      </c>
      <c r="Q1775" s="4" t="s">
        <v>26</v>
      </c>
      <c r="R1775" s="4">
        <v>0</v>
      </c>
      <c r="S1775" s="6">
        <v>0</v>
      </c>
      <c r="T1775" s="6">
        <v>9</v>
      </c>
      <c r="U1775" s="6">
        <v>59</v>
      </c>
      <c r="V1775" s="6">
        <f>IF(ISERROR(VLOOKUP($S$1775,'TAR FIN'!$A$1:$O$95,15,0)),0,VLOOKUP($S$1775,'TAR FIN'!$A$1:$O$95,15,0))</f>
        <v>0</v>
      </c>
      <c r="W1775" s="6">
        <f>IF(ISERROR(VLOOKUP($T$1775,'TAR FIN'!$A$1:$O$95,15,0)),0,VLOOKUP($T$1775,'TAR FIN'!$A$1:$O$95,15,0))</f>
        <v>147.13999999999999</v>
      </c>
      <c r="X1775" s="6">
        <f>IF(ISERROR(VLOOKUP($U$1775,'TAR FIN'!$A$1:$O$95,15,0)),0,VLOOKUP($U$1775,'TAR FIN'!$A$1:$O$95,15,0))</f>
        <v>85.16</v>
      </c>
      <c r="Y1775" s="6"/>
      <c r="Z1775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75" s="6">
        <f>('TE BE'!$AA$14+'TE BF'!$AA$14+'TE CVA'!$AA$14)*(1-CUSTOS!$M$34)</f>
        <v>104.02058230712306</v>
      </c>
      <c r="AB1775" s="6">
        <f>$K$1775*$V$1775</f>
        <v>0</v>
      </c>
      <c r="AC1775" s="6">
        <f>$M$1775*$W$1775</f>
        <v>554330.82179999992</v>
      </c>
      <c r="AD1775" s="6">
        <f>$O$1775*$X$1775</f>
        <v>320829.2292</v>
      </c>
      <c r="AE1775" s="6">
        <f>$K$1775*$Y$1775</f>
        <v>0</v>
      </c>
      <c r="AF1775" s="6">
        <f ca="1">$M$1775*$Z$1775</f>
        <v>606598.25513844762</v>
      </c>
      <c r="AG1775" s="6">
        <f>$O$1775*$AA$1775</f>
        <v>391884.0211663862</v>
      </c>
    </row>
    <row r="1776" spans="1:33" ht="11.25" customHeight="1" x14ac:dyDescent="0.25">
      <c r="A1776" s="4" t="s">
        <v>29</v>
      </c>
      <c r="B1776" s="4" t="s">
        <v>22</v>
      </c>
      <c r="C1776" s="4" t="s">
        <v>23</v>
      </c>
      <c r="D1776" s="4" t="s">
        <v>24</v>
      </c>
      <c r="E1776" s="4" t="s">
        <v>31</v>
      </c>
      <c r="F1776" s="4" t="s">
        <v>25</v>
      </c>
      <c r="G1776" s="4" t="s">
        <v>25</v>
      </c>
      <c r="H1776" s="4" t="s">
        <v>25</v>
      </c>
      <c r="I1776" s="5">
        <v>44348</v>
      </c>
      <c r="J1776" s="6">
        <v>0</v>
      </c>
      <c r="K1776" s="6">
        <v>0</v>
      </c>
      <c r="L1776" s="6">
        <v>-5.67</v>
      </c>
      <c r="M1776" s="6">
        <v>-5.67</v>
      </c>
      <c r="N1776" s="6">
        <v>-5.67</v>
      </c>
      <c r="O1776" s="6">
        <v>-5.67</v>
      </c>
      <c r="P1776" s="6">
        <v>0</v>
      </c>
      <c r="Q1776" s="4" t="s">
        <v>26</v>
      </c>
      <c r="R1776" s="4">
        <v>0</v>
      </c>
      <c r="S1776" s="6">
        <v>0</v>
      </c>
      <c r="T1776" s="6">
        <v>9</v>
      </c>
      <c r="U1776" s="6">
        <v>59</v>
      </c>
      <c r="V1776" s="6">
        <f>IF(ISERROR(VLOOKUP($S$1776,'TAR FIN'!$A$1:$O$95,15,0)),0,VLOOKUP($S$1776,'TAR FIN'!$A$1:$O$95,15,0))</f>
        <v>0</v>
      </c>
      <c r="W1776" s="6">
        <f>IF(ISERROR(VLOOKUP($T$1776,'TAR FIN'!$A$1:$O$95,15,0)),0,VLOOKUP($T$1776,'TAR FIN'!$A$1:$O$95,15,0))</f>
        <v>147.13999999999999</v>
      </c>
      <c r="X1776" s="6">
        <f>IF(ISERROR(VLOOKUP($U$1776,'TAR FIN'!$A$1:$O$95,15,0)),0,VLOOKUP($U$1776,'TAR FIN'!$A$1:$O$95,15,0))</f>
        <v>85.16</v>
      </c>
      <c r="Y1776" s="6"/>
      <c r="Z1776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76" s="6">
        <f>('TE BE'!$AA$14+'TE BF'!$AA$14+'TE CVA'!$AA$14)*(1-CUSTOS!$M$34)</f>
        <v>104.02058230712306</v>
      </c>
      <c r="AB1776" s="6">
        <f>$K$1776*$V$1776</f>
        <v>0</v>
      </c>
      <c r="AC1776" s="6">
        <f>$M$1776*$W$1776</f>
        <v>-834.28379999999993</v>
      </c>
      <c r="AD1776" s="6">
        <f>$O$1776*$X$1776</f>
        <v>-482.85719999999998</v>
      </c>
      <c r="AE1776" s="6">
        <f>$K$1776*$Y$1776</f>
        <v>0</v>
      </c>
      <c r="AF1776" s="6">
        <f ca="1">$M$1776*$Z$1776</f>
        <v>-912.9477876170904</v>
      </c>
      <c r="AG1776" s="6">
        <f>$O$1776*$AA$1776</f>
        <v>-589.79670168138773</v>
      </c>
    </row>
    <row r="1777" spans="1:33" ht="11.25" customHeight="1" x14ac:dyDescent="0.25">
      <c r="A1777" s="4" t="s">
        <v>30</v>
      </c>
      <c r="B1777" s="4" t="s">
        <v>22</v>
      </c>
      <c r="C1777" s="4" t="s">
        <v>23</v>
      </c>
      <c r="D1777" s="4" t="s">
        <v>24</v>
      </c>
      <c r="E1777" s="4" t="s">
        <v>31</v>
      </c>
      <c r="F1777" s="4" t="s">
        <v>25</v>
      </c>
      <c r="G1777" s="4" t="s">
        <v>25</v>
      </c>
      <c r="H1777" s="4" t="s">
        <v>25</v>
      </c>
      <c r="I1777" s="5">
        <v>44348</v>
      </c>
      <c r="J1777" s="6">
        <v>0</v>
      </c>
      <c r="K1777" s="6">
        <v>0</v>
      </c>
      <c r="L1777" s="6">
        <v>3.6619999999999999</v>
      </c>
      <c r="M1777" s="6">
        <v>3.6619999999999999</v>
      </c>
      <c r="N1777" s="6">
        <v>3.6619999999999999</v>
      </c>
      <c r="O1777" s="6">
        <v>3.6619999999999999</v>
      </c>
      <c r="P1777" s="6">
        <v>0</v>
      </c>
      <c r="Q1777" s="4" t="s">
        <v>26</v>
      </c>
      <c r="R1777" s="4">
        <v>0</v>
      </c>
      <c r="S1777" s="6">
        <v>0</v>
      </c>
      <c r="T1777" s="6">
        <v>9</v>
      </c>
      <c r="U1777" s="6">
        <v>59</v>
      </c>
      <c r="V1777" s="6">
        <f>IF(ISERROR(VLOOKUP($S$1777,'TAR FIN'!$A$1:$O$95,15,0)),0,VLOOKUP($S$1777,'TAR FIN'!$A$1:$O$95,15,0))</f>
        <v>0</v>
      </c>
      <c r="W1777" s="6">
        <f>IF(ISERROR(VLOOKUP($T$1777,'TAR FIN'!$A$1:$O$95,15,0)),0,VLOOKUP($T$1777,'TAR FIN'!$A$1:$O$95,15,0))</f>
        <v>147.13999999999999</v>
      </c>
      <c r="X1777" s="6">
        <f>IF(ISERROR(VLOOKUP($U$1777,'TAR FIN'!$A$1:$O$95,15,0)),0,VLOOKUP($U$1777,'TAR FIN'!$A$1:$O$95,15,0))</f>
        <v>85.16</v>
      </c>
      <c r="Y1777" s="6"/>
      <c r="Z1777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77" s="6">
        <f>('TE BE'!$AA$14+'TE BF'!$AA$14+'TE CVA'!$AA$14)*(1-CUSTOS!$M$34)</f>
        <v>104.02058230712306</v>
      </c>
      <c r="AB1777" s="6">
        <f>$K$1777*$V$1777</f>
        <v>0</v>
      </c>
      <c r="AC1777" s="6">
        <f>$M$1777*$W$1777</f>
        <v>538.8266799999999</v>
      </c>
      <c r="AD1777" s="6">
        <f>$O$1777*$X$1777</f>
        <v>311.85591999999997</v>
      </c>
      <c r="AE1777" s="6">
        <f>$K$1777*$Y$1777</f>
        <v>0</v>
      </c>
      <c r="AF1777" s="6">
        <f ca="1">$M$1777*$Z$1777</f>
        <v>589.63223955093213</v>
      </c>
      <c r="AG1777" s="6">
        <f>$O$1777*$AA$1777</f>
        <v>380.92337240868466</v>
      </c>
    </row>
    <row r="1778" spans="1:33" ht="11.25" customHeight="1" x14ac:dyDescent="0.25">
      <c r="A1778" s="4" t="s">
        <v>21</v>
      </c>
      <c r="B1778" s="4" t="s">
        <v>22</v>
      </c>
      <c r="C1778" s="4" t="s">
        <v>23</v>
      </c>
      <c r="D1778" s="4" t="s">
        <v>24</v>
      </c>
      <c r="E1778" s="4" t="s">
        <v>31</v>
      </c>
      <c r="F1778" s="4" t="s">
        <v>25</v>
      </c>
      <c r="G1778" s="4" t="s">
        <v>25</v>
      </c>
      <c r="H1778" s="4" t="s">
        <v>25</v>
      </c>
      <c r="I1778" s="5">
        <v>44378</v>
      </c>
      <c r="J1778" s="6">
        <v>0</v>
      </c>
      <c r="K1778" s="6">
        <v>0</v>
      </c>
      <c r="L1778" s="6">
        <v>2036.2950000000001</v>
      </c>
      <c r="M1778" s="6">
        <v>2036.2950000000001</v>
      </c>
      <c r="N1778" s="6">
        <v>2036.2950000000001</v>
      </c>
      <c r="O1778" s="6">
        <v>2036.2950000000001</v>
      </c>
      <c r="P1778" s="6">
        <v>9210</v>
      </c>
      <c r="Q1778" s="4" t="s">
        <v>26</v>
      </c>
      <c r="R1778" s="4">
        <v>0</v>
      </c>
      <c r="S1778" s="6">
        <v>0</v>
      </c>
      <c r="T1778" s="6">
        <v>9</v>
      </c>
      <c r="U1778" s="6">
        <v>59</v>
      </c>
      <c r="V1778" s="6">
        <f>IF(ISERROR(VLOOKUP($S$1778,'TAR FIN'!$A$1:$O$95,15,0)),0,VLOOKUP($S$1778,'TAR FIN'!$A$1:$O$95,15,0))</f>
        <v>0</v>
      </c>
      <c r="W1778" s="6">
        <f>IF(ISERROR(VLOOKUP($T$1778,'TAR FIN'!$A$1:$O$95,15,0)),0,VLOOKUP($T$1778,'TAR FIN'!$A$1:$O$95,15,0))</f>
        <v>147.13999999999999</v>
      </c>
      <c r="X1778" s="6">
        <f>IF(ISERROR(VLOOKUP($U$1778,'TAR FIN'!$A$1:$O$95,15,0)),0,VLOOKUP($U$1778,'TAR FIN'!$A$1:$O$95,15,0))</f>
        <v>85.16</v>
      </c>
      <c r="Y1778" s="6"/>
      <c r="Z1778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78" s="6">
        <f>('TE BE'!$AA$14+'TE BF'!$AA$14+'TE CVA'!$AA$14)*(1-CUSTOS!$M$34)</f>
        <v>104.02058230712306</v>
      </c>
      <c r="AB1778" s="6">
        <f>$K$1778*$V$1778</f>
        <v>0</v>
      </c>
      <c r="AC1778" s="6">
        <f>$M$1778*$W$1778</f>
        <v>299620.44630000001</v>
      </c>
      <c r="AD1778" s="6">
        <f>$O$1778*$X$1778</f>
        <v>173410.88219999999</v>
      </c>
      <c r="AE1778" s="6">
        <f>$K$1778*$Y$1778</f>
        <v>0</v>
      </c>
      <c r="AF1778" s="6">
        <f ca="1">$M$1778*$Z$1778</f>
        <v>327871.43124969013</v>
      </c>
      <c r="AG1778" s="6">
        <f>$O$1778*$AA$1778</f>
        <v>211816.59164908316</v>
      </c>
    </row>
    <row r="1779" spans="1:33" ht="11.25" customHeight="1" x14ac:dyDescent="0.25">
      <c r="A1779" s="4" t="s">
        <v>27</v>
      </c>
      <c r="B1779" s="4" t="s">
        <v>22</v>
      </c>
      <c r="C1779" s="4" t="s">
        <v>23</v>
      </c>
      <c r="D1779" s="4" t="s">
        <v>24</v>
      </c>
      <c r="E1779" s="4" t="s">
        <v>31</v>
      </c>
      <c r="F1779" s="4" t="s">
        <v>25</v>
      </c>
      <c r="G1779" s="4" t="s">
        <v>25</v>
      </c>
      <c r="H1779" s="4" t="s">
        <v>25</v>
      </c>
      <c r="I1779" s="5">
        <v>44378</v>
      </c>
      <c r="J1779" s="6">
        <v>0</v>
      </c>
      <c r="K1779" s="6">
        <v>0</v>
      </c>
      <c r="L1779" s="6">
        <v>-3.39</v>
      </c>
      <c r="M1779" s="6">
        <v>-3.39</v>
      </c>
      <c r="N1779" s="6">
        <v>-3.39</v>
      </c>
      <c r="O1779" s="6">
        <v>-3.39</v>
      </c>
      <c r="P1779" s="6">
        <v>0</v>
      </c>
      <c r="Q1779" s="4" t="s">
        <v>26</v>
      </c>
      <c r="R1779" s="4">
        <v>0</v>
      </c>
      <c r="S1779" s="6">
        <v>0</v>
      </c>
      <c r="T1779" s="6">
        <v>9</v>
      </c>
      <c r="U1779" s="6">
        <v>59</v>
      </c>
      <c r="V1779" s="6">
        <f>IF(ISERROR(VLOOKUP($S$1779,'TAR FIN'!$A$1:$O$95,15,0)),0,VLOOKUP($S$1779,'TAR FIN'!$A$1:$O$95,15,0))</f>
        <v>0</v>
      </c>
      <c r="W1779" s="6">
        <f>IF(ISERROR(VLOOKUP($T$1779,'TAR FIN'!$A$1:$O$95,15,0)),0,VLOOKUP($T$1779,'TAR FIN'!$A$1:$O$95,15,0))</f>
        <v>147.13999999999999</v>
      </c>
      <c r="X1779" s="6">
        <f>IF(ISERROR(VLOOKUP($U$1779,'TAR FIN'!$A$1:$O$95,15,0)),0,VLOOKUP($U$1779,'TAR FIN'!$A$1:$O$95,15,0))</f>
        <v>85.16</v>
      </c>
      <c r="Y1779" s="6"/>
      <c r="Z1779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79" s="6">
        <f>('TE BE'!$AA$14+'TE BF'!$AA$14+'TE CVA'!$AA$14)*(1-CUSTOS!$M$34)</f>
        <v>104.02058230712306</v>
      </c>
      <c r="AB1779" s="6">
        <f>$K$1779*$V$1779</f>
        <v>0</v>
      </c>
      <c r="AC1779" s="6">
        <f>$M$1779*$W$1779</f>
        <v>-498.80459999999999</v>
      </c>
      <c r="AD1779" s="6">
        <f>$O$1779*$X$1779</f>
        <v>-288.69240000000002</v>
      </c>
      <c r="AE1779" s="6">
        <f>$K$1779*$Y$1779</f>
        <v>0</v>
      </c>
      <c r="AF1779" s="6">
        <f ca="1">$M$1779*$Z$1779</f>
        <v>-545.8365079403768</v>
      </c>
      <c r="AG1779" s="6">
        <f>$O$1779*$AA$1779</f>
        <v>-352.62977402114723</v>
      </c>
    </row>
    <row r="1780" spans="1:33" ht="11.25" customHeight="1" x14ac:dyDescent="0.25">
      <c r="A1780" s="4" t="s">
        <v>28</v>
      </c>
      <c r="B1780" s="4" t="s">
        <v>22</v>
      </c>
      <c r="C1780" s="4" t="s">
        <v>23</v>
      </c>
      <c r="D1780" s="4" t="s">
        <v>24</v>
      </c>
      <c r="E1780" s="4" t="s">
        <v>31</v>
      </c>
      <c r="F1780" s="4" t="s">
        <v>25</v>
      </c>
      <c r="G1780" s="4" t="s">
        <v>25</v>
      </c>
      <c r="H1780" s="4" t="s">
        <v>25</v>
      </c>
      <c r="I1780" s="5">
        <v>44378</v>
      </c>
      <c r="J1780" s="6">
        <v>0</v>
      </c>
      <c r="K1780" s="6">
        <v>0</v>
      </c>
      <c r="L1780" s="6">
        <v>3764.8919999999998</v>
      </c>
      <c r="M1780" s="6">
        <v>3764.8919999999998</v>
      </c>
      <c r="N1780" s="6">
        <v>3764.8919999999998</v>
      </c>
      <c r="O1780" s="6">
        <v>3764.8919999999998</v>
      </c>
      <c r="P1780" s="6">
        <v>23385</v>
      </c>
      <c r="Q1780" s="4" t="s">
        <v>26</v>
      </c>
      <c r="R1780" s="4">
        <v>0</v>
      </c>
      <c r="S1780" s="6">
        <v>0</v>
      </c>
      <c r="T1780" s="6">
        <v>9</v>
      </c>
      <c r="U1780" s="6">
        <v>59</v>
      </c>
      <c r="V1780" s="6">
        <f>IF(ISERROR(VLOOKUP($S$1780,'TAR FIN'!$A$1:$O$95,15,0)),0,VLOOKUP($S$1780,'TAR FIN'!$A$1:$O$95,15,0))</f>
        <v>0</v>
      </c>
      <c r="W1780" s="6">
        <f>IF(ISERROR(VLOOKUP($T$1780,'TAR FIN'!$A$1:$O$95,15,0)),0,VLOOKUP($T$1780,'TAR FIN'!$A$1:$O$95,15,0))</f>
        <v>147.13999999999999</v>
      </c>
      <c r="X1780" s="6">
        <f>IF(ISERROR(VLOOKUP($U$1780,'TAR FIN'!$A$1:$O$95,15,0)),0,VLOOKUP($U$1780,'TAR FIN'!$A$1:$O$95,15,0))</f>
        <v>85.16</v>
      </c>
      <c r="Y1780" s="6"/>
      <c r="Z1780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80" s="6">
        <f>('TE BE'!$AA$14+'TE BF'!$AA$14+'TE CVA'!$AA$14)*(1-CUSTOS!$M$34)</f>
        <v>104.02058230712306</v>
      </c>
      <c r="AB1780" s="6">
        <f>$K$1780*$V$1780</f>
        <v>0</v>
      </c>
      <c r="AC1780" s="6">
        <f>$M$1780*$W$1780</f>
        <v>553966.20887999993</v>
      </c>
      <c r="AD1780" s="6">
        <f>$O$1780*$X$1780</f>
        <v>320618.20272</v>
      </c>
      <c r="AE1780" s="6">
        <f>$K$1780*$Y$1780</f>
        <v>0</v>
      </c>
      <c r="AF1780" s="6">
        <f ca="1">$M$1780*$Z$1780</f>
        <v>606199.26314237784</v>
      </c>
      <c r="AG1780" s="6">
        <f>$O$1780*$AA$1780</f>
        <v>391626.25816342916</v>
      </c>
    </row>
    <row r="1781" spans="1:33" ht="11.25" customHeight="1" x14ac:dyDescent="0.25">
      <c r="A1781" s="4" t="s">
        <v>29</v>
      </c>
      <c r="B1781" s="4" t="s">
        <v>22</v>
      </c>
      <c r="C1781" s="4" t="s">
        <v>23</v>
      </c>
      <c r="D1781" s="4" t="s">
        <v>24</v>
      </c>
      <c r="E1781" s="4" t="s">
        <v>31</v>
      </c>
      <c r="F1781" s="4" t="s">
        <v>25</v>
      </c>
      <c r="G1781" s="4" t="s">
        <v>25</v>
      </c>
      <c r="H1781" s="4" t="s">
        <v>25</v>
      </c>
      <c r="I1781" s="5">
        <v>44378</v>
      </c>
      <c r="J1781" s="6">
        <v>0</v>
      </c>
      <c r="K1781" s="6">
        <v>0</v>
      </c>
      <c r="L1781" s="6">
        <v>-4.7699999999999996</v>
      </c>
      <c r="M1781" s="6">
        <v>-4.7699999999999996</v>
      </c>
      <c r="N1781" s="6">
        <v>-4.7699999999999996</v>
      </c>
      <c r="O1781" s="6">
        <v>-4.7699999999999996</v>
      </c>
      <c r="P1781" s="6">
        <v>0</v>
      </c>
      <c r="Q1781" s="4" t="s">
        <v>26</v>
      </c>
      <c r="R1781" s="4">
        <v>0</v>
      </c>
      <c r="S1781" s="6">
        <v>0</v>
      </c>
      <c r="T1781" s="6">
        <v>9</v>
      </c>
      <c r="U1781" s="6">
        <v>59</v>
      </c>
      <c r="V1781" s="6">
        <f>IF(ISERROR(VLOOKUP($S$1781,'TAR FIN'!$A$1:$O$95,15,0)),0,VLOOKUP($S$1781,'TAR FIN'!$A$1:$O$95,15,0))</f>
        <v>0</v>
      </c>
      <c r="W1781" s="6">
        <f>IF(ISERROR(VLOOKUP($T$1781,'TAR FIN'!$A$1:$O$95,15,0)),0,VLOOKUP($T$1781,'TAR FIN'!$A$1:$O$95,15,0))</f>
        <v>147.13999999999999</v>
      </c>
      <c r="X1781" s="6">
        <f>IF(ISERROR(VLOOKUP($U$1781,'TAR FIN'!$A$1:$O$95,15,0)),0,VLOOKUP($U$1781,'TAR FIN'!$A$1:$O$95,15,0))</f>
        <v>85.16</v>
      </c>
      <c r="Y1781" s="6"/>
      <c r="Z1781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81" s="6">
        <f>('TE BE'!$AA$14+'TE BF'!$AA$14+'TE CVA'!$AA$14)*(1-CUSTOS!$M$34)</f>
        <v>104.02058230712306</v>
      </c>
      <c r="AB1781" s="6">
        <f>$K$1781*$V$1781</f>
        <v>0</v>
      </c>
      <c r="AC1781" s="6">
        <f>$M$1781*$W$1781</f>
        <v>-701.85779999999988</v>
      </c>
      <c r="AD1781" s="6">
        <f>$O$1781*$X$1781</f>
        <v>-406.21319999999997</v>
      </c>
      <c r="AE1781" s="6">
        <f>$K$1781*$Y$1781</f>
        <v>0</v>
      </c>
      <c r="AF1781" s="6">
        <f ca="1">$M$1781*$Z$1781</f>
        <v>-768.03544037628228</v>
      </c>
      <c r="AG1781" s="6">
        <f>$O$1781*$AA$1781</f>
        <v>-496.17817760497695</v>
      </c>
    </row>
    <row r="1782" spans="1:33" ht="11.25" customHeight="1" x14ac:dyDescent="0.25">
      <c r="A1782" s="4" t="s">
        <v>30</v>
      </c>
      <c r="B1782" s="4" t="s">
        <v>22</v>
      </c>
      <c r="C1782" s="4" t="s">
        <v>23</v>
      </c>
      <c r="D1782" s="4" t="s">
        <v>24</v>
      </c>
      <c r="E1782" s="4" t="s">
        <v>31</v>
      </c>
      <c r="F1782" s="4" t="s">
        <v>25</v>
      </c>
      <c r="G1782" s="4" t="s">
        <v>25</v>
      </c>
      <c r="H1782" s="4" t="s">
        <v>25</v>
      </c>
      <c r="I1782" s="5">
        <v>44378</v>
      </c>
      <c r="J1782" s="6">
        <v>0</v>
      </c>
      <c r="K1782" s="6">
        <v>0</v>
      </c>
      <c r="L1782" s="6">
        <v>4.5609999999999999</v>
      </c>
      <c r="M1782" s="6">
        <v>4.5609999999999999</v>
      </c>
      <c r="N1782" s="6">
        <v>4.5609999999999999</v>
      </c>
      <c r="O1782" s="6">
        <v>4.5609999999999999</v>
      </c>
      <c r="P1782" s="6">
        <v>0</v>
      </c>
      <c r="Q1782" s="4" t="s">
        <v>26</v>
      </c>
      <c r="R1782" s="4">
        <v>0</v>
      </c>
      <c r="S1782" s="6">
        <v>0</v>
      </c>
      <c r="T1782" s="6">
        <v>9</v>
      </c>
      <c r="U1782" s="6">
        <v>59</v>
      </c>
      <c r="V1782" s="6">
        <f>IF(ISERROR(VLOOKUP($S$1782,'TAR FIN'!$A$1:$O$95,15,0)),0,VLOOKUP($S$1782,'TAR FIN'!$A$1:$O$95,15,0))</f>
        <v>0</v>
      </c>
      <c r="W1782" s="6">
        <f>IF(ISERROR(VLOOKUP($T$1782,'TAR FIN'!$A$1:$O$95,15,0)),0,VLOOKUP($T$1782,'TAR FIN'!$A$1:$O$95,15,0))</f>
        <v>147.13999999999999</v>
      </c>
      <c r="X1782" s="6">
        <f>IF(ISERROR(VLOOKUP($U$1782,'TAR FIN'!$A$1:$O$95,15,0)),0,VLOOKUP($U$1782,'TAR FIN'!$A$1:$O$95,15,0))</f>
        <v>85.16</v>
      </c>
      <c r="Y1782" s="6"/>
      <c r="Z1782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82" s="6">
        <f>('TE BE'!$AA$14+'TE BF'!$AA$14+'TE CVA'!$AA$14)*(1-CUSTOS!$M$34)</f>
        <v>104.02058230712306</v>
      </c>
      <c r="AB1782" s="6">
        <f>$K$1782*$V$1782</f>
        <v>0</v>
      </c>
      <c r="AC1782" s="6">
        <f>$M$1782*$W$1782</f>
        <v>671.10553999999991</v>
      </c>
      <c r="AD1782" s="6">
        <f>$O$1782*$X$1782</f>
        <v>388.41476</v>
      </c>
      <c r="AE1782" s="6">
        <f>$K$1782*$Y$1782</f>
        <v>0</v>
      </c>
      <c r="AF1782" s="6">
        <f ca="1">$M$1782*$Z$1782</f>
        <v>734.38357307258366</v>
      </c>
      <c r="AG1782" s="6">
        <f>$O$1782*$AA$1782</f>
        <v>474.43787590278828</v>
      </c>
    </row>
    <row r="1783" spans="1:33" ht="11.25" customHeight="1" x14ac:dyDescent="0.25">
      <c r="A1783" s="4" t="s">
        <v>21</v>
      </c>
      <c r="B1783" s="4" t="s">
        <v>22</v>
      </c>
      <c r="C1783" s="4" t="s">
        <v>23</v>
      </c>
      <c r="D1783" s="4" t="s">
        <v>24</v>
      </c>
      <c r="E1783" s="4" t="s">
        <v>31</v>
      </c>
      <c r="F1783" s="4" t="s">
        <v>25</v>
      </c>
      <c r="G1783" s="4" t="s">
        <v>25</v>
      </c>
      <c r="H1783" s="4" t="s">
        <v>25</v>
      </c>
      <c r="I1783" s="5">
        <v>44409</v>
      </c>
      <c r="J1783" s="6">
        <v>0</v>
      </c>
      <c r="K1783" s="6">
        <v>0</v>
      </c>
      <c r="L1783" s="6">
        <v>2062.5630000000001</v>
      </c>
      <c r="M1783" s="6">
        <v>2062.5630000000001</v>
      </c>
      <c r="N1783" s="6">
        <v>2062.5630000000001</v>
      </c>
      <c r="O1783" s="6">
        <v>2062.5630000000001</v>
      </c>
      <c r="P1783" s="6">
        <v>9059</v>
      </c>
      <c r="Q1783" s="4" t="s">
        <v>26</v>
      </c>
      <c r="R1783" s="4">
        <v>0</v>
      </c>
      <c r="S1783" s="6">
        <v>0</v>
      </c>
      <c r="T1783" s="6">
        <v>9</v>
      </c>
      <c r="U1783" s="6">
        <v>59</v>
      </c>
      <c r="V1783" s="6">
        <f>IF(ISERROR(VLOOKUP($S$1783,'TAR FIN'!$A$1:$O$95,15,0)),0,VLOOKUP($S$1783,'TAR FIN'!$A$1:$O$95,15,0))</f>
        <v>0</v>
      </c>
      <c r="W1783" s="6">
        <f>IF(ISERROR(VLOOKUP($T$1783,'TAR FIN'!$A$1:$O$95,15,0)),0,VLOOKUP($T$1783,'TAR FIN'!$A$1:$O$95,15,0))</f>
        <v>147.13999999999999</v>
      </c>
      <c r="X1783" s="6">
        <f>IF(ISERROR(VLOOKUP($U$1783,'TAR FIN'!$A$1:$O$95,15,0)),0,VLOOKUP($U$1783,'TAR FIN'!$A$1:$O$95,15,0))</f>
        <v>85.16</v>
      </c>
      <c r="Y1783" s="6"/>
      <c r="Z1783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83" s="6">
        <f>('TE BE'!$AA$14+'TE BF'!$AA$14+'TE CVA'!$AA$14)*(1-CUSTOS!$M$34)</f>
        <v>104.02058230712306</v>
      </c>
      <c r="AB1783" s="6">
        <f>$K$1783*$V$1783</f>
        <v>0</v>
      </c>
      <c r="AC1783" s="6">
        <f>$M$1783*$W$1783</f>
        <v>303485.51981999999</v>
      </c>
      <c r="AD1783" s="6">
        <f>$O$1783*$X$1783</f>
        <v>175647.86507999999</v>
      </c>
      <c r="AE1783" s="6">
        <f>$K$1783*$Y$1783</f>
        <v>0</v>
      </c>
      <c r="AF1783" s="6">
        <f ca="1">$M$1783*$Z$1783</f>
        <v>332100.93962449185</v>
      </c>
      <c r="AG1783" s="6">
        <f>$O$1783*$AA$1783</f>
        <v>214549.00430512667</v>
      </c>
    </row>
    <row r="1784" spans="1:33" ht="11.25" customHeight="1" x14ac:dyDescent="0.25">
      <c r="A1784" s="4" t="s">
        <v>27</v>
      </c>
      <c r="B1784" s="4" t="s">
        <v>22</v>
      </c>
      <c r="C1784" s="4" t="s">
        <v>23</v>
      </c>
      <c r="D1784" s="4" t="s">
        <v>24</v>
      </c>
      <c r="E1784" s="4" t="s">
        <v>31</v>
      </c>
      <c r="F1784" s="4" t="s">
        <v>25</v>
      </c>
      <c r="G1784" s="4" t="s">
        <v>25</v>
      </c>
      <c r="H1784" s="4" t="s">
        <v>25</v>
      </c>
      <c r="I1784" s="5">
        <v>44409</v>
      </c>
      <c r="J1784" s="6">
        <v>0</v>
      </c>
      <c r="K1784" s="6">
        <v>0</v>
      </c>
      <c r="L1784" s="6">
        <v>-7.1849999999999996</v>
      </c>
      <c r="M1784" s="6">
        <v>-7.1849999999999996</v>
      </c>
      <c r="N1784" s="6">
        <v>-7.1849999999999996</v>
      </c>
      <c r="O1784" s="6">
        <v>-7.1849999999999996</v>
      </c>
      <c r="P1784" s="6">
        <v>0</v>
      </c>
      <c r="Q1784" s="4" t="s">
        <v>26</v>
      </c>
      <c r="R1784" s="4">
        <v>0</v>
      </c>
      <c r="S1784" s="6">
        <v>0</v>
      </c>
      <c r="T1784" s="6">
        <v>9</v>
      </c>
      <c r="U1784" s="6">
        <v>59</v>
      </c>
      <c r="V1784" s="6">
        <f>IF(ISERROR(VLOOKUP($S$1784,'TAR FIN'!$A$1:$O$95,15,0)),0,VLOOKUP($S$1784,'TAR FIN'!$A$1:$O$95,15,0))</f>
        <v>0</v>
      </c>
      <c r="W1784" s="6">
        <f>IF(ISERROR(VLOOKUP($T$1784,'TAR FIN'!$A$1:$O$95,15,0)),0,VLOOKUP($T$1784,'TAR FIN'!$A$1:$O$95,15,0))</f>
        <v>147.13999999999999</v>
      </c>
      <c r="X1784" s="6">
        <f>IF(ISERROR(VLOOKUP($U$1784,'TAR FIN'!$A$1:$O$95,15,0)),0,VLOOKUP($U$1784,'TAR FIN'!$A$1:$O$95,15,0))</f>
        <v>85.16</v>
      </c>
      <c r="Y1784" s="6"/>
      <c r="Z1784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84" s="6">
        <f>('TE BE'!$AA$14+'TE BF'!$AA$14+'TE CVA'!$AA$14)*(1-CUSTOS!$M$34)</f>
        <v>104.02058230712306</v>
      </c>
      <c r="AB1784" s="6">
        <f>$K$1784*$V$1784</f>
        <v>0</v>
      </c>
      <c r="AC1784" s="6">
        <f>$M$1784*$W$1784</f>
        <v>-1057.2008999999998</v>
      </c>
      <c r="AD1784" s="6">
        <f>$O$1784*$X$1784</f>
        <v>-611.87459999999999</v>
      </c>
      <c r="AE1784" s="6">
        <f>$K$1784*$Y$1784</f>
        <v>0</v>
      </c>
      <c r="AF1784" s="6">
        <f ca="1">$M$1784*$Z$1784</f>
        <v>-1156.8835721391172</v>
      </c>
      <c r="AG1784" s="6">
        <f>$O$1784*$AA$1784</f>
        <v>-747.38788387667921</v>
      </c>
    </row>
    <row r="1785" spans="1:33" ht="11.25" customHeight="1" x14ac:dyDescent="0.25">
      <c r="A1785" s="4" t="s">
        <v>28</v>
      </c>
      <c r="B1785" s="4" t="s">
        <v>22</v>
      </c>
      <c r="C1785" s="4" t="s">
        <v>23</v>
      </c>
      <c r="D1785" s="4" t="s">
        <v>24</v>
      </c>
      <c r="E1785" s="4" t="s">
        <v>31</v>
      </c>
      <c r="F1785" s="4" t="s">
        <v>25</v>
      </c>
      <c r="G1785" s="4" t="s">
        <v>25</v>
      </c>
      <c r="H1785" s="4" t="s">
        <v>25</v>
      </c>
      <c r="I1785" s="5">
        <v>44409</v>
      </c>
      <c r="J1785" s="6">
        <v>0</v>
      </c>
      <c r="K1785" s="6">
        <v>0</v>
      </c>
      <c r="L1785" s="6">
        <v>3759.9079999999999</v>
      </c>
      <c r="M1785" s="6">
        <v>3759.9079999999999</v>
      </c>
      <c r="N1785" s="6">
        <v>3759.9079999999999</v>
      </c>
      <c r="O1785" s="6">
        <v>3759.9079999999999</v>
      </c>
      <c r="P1785" s="6">
        <v>22639</v>
      </c>
      <c r="Q1785" s="4" t="s">
        <v>26</v>
      </c>
      <c r="R1785" s="4">
        <v>0</v>
      </c>
      <c r="S1785" s="6">
        <v>0</v>
      </c>
      <c r="T1785" s="6">
        <v>9</v>
      </c>
      <c r="U1785" s="6">
        <v>59</v>
      </c>
      <c r="V1785" s="6">
        <f>IF(ISERROR(VLOOKUP($S$1785,'TAR FIN'!$A$1:$O$95,15,0)),0,VLOOKUP($S$1785,'TAR FIN'!$A$1:$O$95,15,0))</f>
        <v>0</v>
      </c>
      <c r="W1785" s="6">
        <f>IF(ISERROR(VLOOKUP($T$1785,'TAR FIN'!$A$1:$O$95,15,0)),0,VLOOKUP($T$1785,'TAR FIN'!$A$1:$O$95,15,0))</f>
        <v>147.13999999999999</v>
      </c>
      <c r="X1785" s="6">
        <f>IF(ISERROR(VLOOKUP($U$1785,'TAR FIN'!$A$1:$O$95,15,0)),0,VLOOKUP($U$1785,'TAR FIN'!$A$1:$O$95,15,0))</f>
        <v>85.16</v>
      </c>
      <c r="Y1785" s="6"/>
      <c r="Z1785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85" s="6">
        <f>('TE BE'!$AA$14+'TE BF'!$AA$14+'TE CVA'!$AA$14)*(1-CUSTOS!$M$34)</f>
        <v>104.02058230712306</v>
      </c>
      <c r="AB1785" s="6">
        <f>$K$1785*$V$1785</f>
        <v>0</v>
      </c>
      <c r="AC1785" s="6">
        <f>$M$1785*$W$1785</f>
        <v>553232.86311999988</v>
      </c>
      <c r="AD1785" s="6">
        <f>$O$1785*$X$1785</f>
        <v>320193.76527999999</v>
      </c>
      <c r="AE1785" s="6">
        <f>$K$1785*$Y$1785</f>
        <v>0</v>
      </c>
      <c r="AF1785" s="6">
        <f ca="1">$M$1785*$Z$1785</f>
        <v>605396.77076610213</v>
      </c>
      <c r="AG1785" s="6">
        <f>$O$1785*$AA$1785</f>
        <v>391107.81958121044</v>
      </c>
    </row>
    <row r="1786" spans="1:33" ht="11.25" customHeight="1" x14ac:dyDescent="0.25">
      <c r="A1786" s="4" t="s">
        <v>29</v>
      </c>
      <c r="B1786" s="4" t="s">
        <v>22</v>
      </c>
      <c r="C1786" s="4" t="s">
        <v>23</v>
      </c>
      <c r="D1786" s="4" t="s">
        <v>24</v>
      </c>
      <c r="E1786" s="4" t="s">
        <v>31</v>
      </c>
      <c r="F1786" s="4" t="s">
        <v>25</v>
      </c>
      <c r="G1786" s="4" t="s">
        <v>25</v>
      </c>
      <c r="H1786" s="4" t="s">
        <v>25</v>
      </c>
      <c r="I1786" s="5">
        <v>44409</v>
      </c>
      <c r="J1786" s="6">
        <v>0</v>
      </c>
      <c r="K1786" s="6">
        <v>0</v>
      </c>
      <c r="L1786" s="6">
        <v>-1.08</v>
      </c>
      <c r="M1786" s="6">
        <v>-1.08</v>
      </c>
      <c r="N1786" s="6">
        <v>-1.08</v>
      </c>
      <c r="O1786" s="6">
        <v>-1.08</v>
      </c>
      <c r="P1786" s="6">
        <v>0</v>
      </c>
      <c r="Q1786" s="4" t="s">
        <v>26</v>
      </c>
      <c r="R1786" s="4">
        <v>0</v>
      </c>
      <c r="S1786" s="6">
        <v>0</v>
      </c>
      <c r="T1786" s="6">
        <v>9</v>
      </c>
      <c r="U1786" s="6">
        <v>59</v>
      </c>
      <c r="V1786" s="6">
        <f>IF(ISERROR(VLOOKUP($S$1786,'TAR FIN'!$A$1:$O$95,15,0)),0,VLOOKUP($S$1786,'TAR FIN'!$A$1:$O$95,15,0))</f>
        <v>0</v>
      </c>
      <c r="W1786" s="6">
        <f>IF(ISERROR(VLOOKUP($T$1786,'TAR FIN'!$A$1:$O$95,15,0)),0,VLOOKUP($T$1786,'TAR FIN'!$A$1:$O$95,15,0))</f>
        <v>147.13999999999999</v>
      </c>
      <c r="X1786" s="6">
        <f>IF(ISERROR(VLOOKUP($U$1786,'TAR FIN'!$A$1:$O$95,15,0)),0,VLOOKUP($U$1786,'TAR FIN'!$A$1:$O$95,15,0))</f>
        <v>85.16</v>
      </c>
      <c r="Y1786" s="6"/>
      <c r="Z1786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86" s="6">
        <f>('TE BE'!$AA$14+'TE BF'!$AA$14+'TE CVA'!$AA$14)*(1-CUSTOS!$M$34)</f>
        <v>104.02058230712306</v>
      </c>
      <c r="AB1786" s="6">
        <f>$K$1786*$V$1786</f>
        <v>0</v>
      </c>
      <c r="AC1786" s="6">
        <f>$M$1786*$W$1786</f>
        <v>-158.91120000000001</v>
      </c>
      <c r="AD1786" s="6">
        <f>$O$1786*$X$1786</f>
        <v>-91.972800000000007</v>
      </c>
      <c r="AE1786" s="6">
        <f>$K$1786*$Y$1786</f>
        <v>0</v>
      </c>
      <c r="AF1786" s="6">
        <f ca="1">$M$1786*$Z$1786</f>
        <v>-173.8948166889696</v>
      </c>
      <c r="AG1786" s="6">
        <f>$O$1786*$AA$1786</f>
        <v>-112.34222889169291</v>
      </c>
    </row>
    <row r="1787" spans="1:33" ht="11.25" customHeight="1" x14ac:dyDescent="0.25">
      <c r="A1787" s="4" t="s">
        <v>30</v>
      </c>
      <c r="B1787" s="4" t="s">
        <v>22</v>
      </c>
      <c r="C1787" s="4" t="s">
        <v>23</v>
      </c>
      <c r="D1787" s="4" t="s">
        <v>24</v>
      </c>
      <c r="E1787" s="4" t="s">
        <v>31</v>
      </c>
      <c r="F1787" s="4" t="s">
        <v>25</v>
      </c>
      <c r="G1787" s="4" t="s">
        <v>25</v>
      </c>
      <c r="H1787" s="4" t="s">
        <v>25</v>
      </c>
      <c r="I1787" s="5">
        <v>44409</v>
      </c>
      <c r="J1787" s="6">
        <v>0</v>
      </c>
      <c r="K1787" s="6">
        <v>0</v>
      </c>
      <c r="L1787" s="6">
        <v>5.7050000000000001</v>
      </c>
      <c r="M1787" s="6">
        <v>5.7050000000000001</v>
      </c>
      <c r="N1787" s="6">
        <v>5.7050000000000001</v>
      </c>
      <c r="O1787" s="6">
        <v>5.7050000000000001</v>
      </c>
      <c r="P1787" s="6">
        <v>0</v>
      </c>
      <c r="Q1787" s="4" t="s">
        <v>26</v>
      </c>
      <c r="R1787" s="4">
        <v>0</v>
      </c>
      <c r="S1787" s="6">
        <v>0</v>
      </c>
      <c r="T1787" s="6">
        <v>9</v>
      </c>
      <c r="U1787" s="6">
        <v>59</v>
      </c>
      <c r="V1787" s="6">
        <f>IF(ISERROR(VLOOKUP($S$1787,'TAR FIN'!$A$1:$O$95,15,0)),0,VLOOKUP($S$1787,'TAR FIN'!$A$1:$O$95,15,0))</f>
        <v>0</v>
      </c>
      <c r="W1787" s="6">
        <f>IF(ISERROR(VLOOKUP($T$1787,'TAR FIN'!$A$1:$O$95,15,0)),0,VLOOKUP($T$1787,'TAR FIN'!$A$1:$O$95,15,0))</f>
        <v>147.13999999999999</v>
      </c>
      <c r="X1787" s="6">
        <f>IF(ISERROR(VLOOKUP($U$1787,'TAR FIN'!$A$1:$O$95,15,0)),0,VLOOKUP($U$1787,'TAR FIN'!$A$1:$O$95,15,0))</f>
        <v>85.16</v>
      </c>
      <c r="Y1787" s="6"/>
      <c r="Z1787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87" s="6">
        <f>('TE BE'!$AA$14+'TE BF'!$AA$14+'TE CVA'!$AA$14)*(1-CUSTOS!$M$34)</f>
        <v>104.02058230712306</v>
      </c>
      <c r="AB1787" s="6">
        <f>$K$1787*$V$1787</f>
        <v>0</v>
      </c>
      <c r="AC1787" s="6">
        <f>$M$1787*$W$1787</f>
        <v>839.43369999999993</v>
      </c>
      <c r="AD1787" s="6">
        <f>$O$1787*$X$1787</f>
        <v>485.83779999999996</v>
      </c>
      <c r="AE1787" s="6">
        <f>$K$1787*$Y$1787</f>
        <v>0</v>
      </c>
      <c r="AF1787" s="6">
        <f ca="1">$M$1787*$Z$1787</f>
        <v>918.58326778756623</v>
      </c>
      <c r="AG1787" s="6">
        <f>$O$1787*$AA$1787</f>
        <v>593.4374220621371</v>
      </c>
    </row>
    <row r="1788" spans="1:33" ht="11.25" customHeight="1" x14ac:dyDescent="0.25">
      <c r="A1788" s="4" t="s">
        <v>21</v>
      </c>
      <c r="B1788" s="4" t="s">
        <v>22</v>
      </c>
      <c r="C1788" s="4" t="s">
        <v>23</v>
      </c>
      <c r="D1788" s="4" t="s">
        <v>24</v>
      </c>
      <c r="E1788" s="4" t="s">
        <v>31</v>
      </c>
      <c r="F1788" s="4" t="s">
        <v>25</v>
      </c>
      <c r="G1788" s="4" t="s">
        <v>25</v>
      </c>
      <c r="H1788" s="4" t="s">
        <v>25</v>
      </c>
      <c r="I1788" s="5">
        <v>44440</v>
      </c>
      <c r="J1788" s="6">
        <v>0</v>
      </c>
      <c r="K1788" s="6">
        <v>0</v>
      </c>
      <c r="L1788" s="6">
        <v>2064.8539999999998</v>
      </c>
      <c r="M1788" s="6">
        <v>2064.8539999999998</v>
      </c>
      <c r="N1788" s="6">
        <v>2064.8539999999998</v>
      </c>
      <c r="O1788" s="6">
        <v>2064.8539999999998</v>
      </c>
      <c r="P1788" s="6">
        <v>8983</v>
      </c>
      <c r="Q1788" s="4" t="s">
        <v>26</v>
      </c>
      <c r="R1788" s="4">
        <v>0</v>
      </c>
      <c r="S1788" s="6">
        <v>0</v>
      </c>
      <c r="T1788" s="6">
        <v>9</v>
      </c>
      <c r="U1788" s="6">
        <v>59</v>
      </c>
      <c r="V1788" s="6">
        <f>IF(ISERROR(VLOOKUP($S$1788,'TAR FIN'!$A$1:$O$95,15,0)),0,VLOOKUP($S$1788,'TAR FIN'!$A$1:$O$95,15,0))</f>
        <v>0</v>
      </c>
      <c r="W1788" s="6">
        <f>IF(ISERROR(VLOOKUP($T$1788,'TAR FIN'!$A$1:$O$95,15,0)),0,VLOOKUP($T$1788,'TAR FIN'!$A$1:$O$95,15,0))</f>
        <v>147.13999999999999</v>
      </c>
      <c r="X1788" s="6">
        <f>IF(ISERROR(VLOOKUP($U$1788,'TAR FIN'!$A$1:$O$95,15,0)),0,VLOOKUP($U$1788,'TAR FIN'!$A$1:$O$95,15,0))</f>
        <v>85.16</v>
      </c>
      <c r="Y1788" s="6"/>
      <c r="Z1788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88" s="6">
        <f>('TE BE'!$AA$14+'TE BF'!$AA$14+'TE CVA'!$AA$14)*(1-CUSTOS!$M$34)</f>
        <v>104.02058230712306</v>
      </c>
      <c r="AB1788" s="6">
        <f>$K$1788*$V$1788</f>
        <v>0</v>
      </c>
      <c r="AC1788" s="6">
        <f>$M$1788*$W$1788</f>
        <v>303822.61755999993</v>
      </c>
      <c r="AD1788" s="6">
        <f>$O$1788*$X$1788</f>
        <v>175842.96663999997</v>
      </c>
      <c r="AE1788" s="6">
        <f>$K$1788*$Y$1788</f>
        <v>0</v>
      </c>
      <c r="AF1788" s="6">
        <f ca="1">$M$1788*$Z$1788</f>
        <v>332469.82205507928</v>
      </c>
      <c r="AG1788" s="6">
        <f>$O$1788*$AA$1788</f>
        <v>214787.31545919226</v>
      </c>
    </row>
    <row r="1789" spans="1:33" ht="11.25" customHeight="1" x14ac:dyDescent="0.25">
      <c r="A1789" s="4" t="s">
        <v>27</v>
      </c>
      <c r="B1789" s="4" t="s">
        <v>22</v>
      </c>
      <c r="C1789" s="4" t="s">
        <v>23</v>
      </c>
      <c r="D1789" s="4" t="s">
        <v>24</v>
      </c>
      <c r="E1789" s="4" t="s">
        <v>31</v>
      </c>
      <c r="F1789" s="4" t="s">
        <v>25</v>
      </c>
      <c r="G1789" s="4" t="s">
        <v>25</v>
      </c>
      <c r="H1789" s="4" t="s">
        <v>25</v>
      </c>
      <c r="I1789" s="5">
        <v>44440</v>
      </c>
      <c r="J1789" s="6">
        <v>0</v>
      </c>
      <c r="K1789" s="6">
        <v>0</v>
      </c>
      <c r="L1789" s="6">
        <v>-11.55</v>
      </c>
      <c r="M1789" s="6">
        <v>-11.55</v>
      </c>
      <c r="N1789" s="6">
        <v>-11.55</v>
      </c>
      <c r="O1789" s="6">
        <v>-11.55</v>
      </c>
      <c r="P1789" s="6">
        <v>0</v>
      </c>
      <c r="Q1789" s="4" t="s">
        <v>26</v>
      </c>
      <c r="R1789" s="4">
        <v>0</v>
      </c>
      <c r="S1789" s="6">
        <v>0</v>
      </c>
      <c r="T1789" s="6">
        <v>9</v>
      </c>
      <c r="U1789" s="6">
        <v>59</v>
      </c>
      <c r="V1789" s="6">
        <f>IF(ISERROR(VLOOKUP($S$1789,'TAR FIN'!$A$1:$O$95,15,0)),0,VLOOKUP($S$1789,'TAR FIN'!$A$1:$O$95,15,0))</f>
        <v>0</v>
      </c>
      <c r="W1789" s="6">
        <f>IF(ISERROR(VLOOKUP($T$1789,'TAR FIN'!$A$1:$O$95,15,0)),0,VLOOKUP($T$1789,'TAR FIN'!$A$1:$O$95,15,0))</f>
        <v>147.13999999999999</v>
      </c>
      <c r="X1789" s="6">
        <f>IF(ISERROR(VLOOKUP($U$1789,'TAR FIN'!$A$1:$O$95,15,0)),0,VLOOKUP($U$1789,'TAR FIN'!$A$1:$O$95,15,0))</f>
        <v>85.16</v>
      </c>
      <c r="Y1789" s="6"/>
      <c r="Z1789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89" s="6">
        <f>('TE BE'!$AA$14+'TE BF'!$AA$14+'TE CVA'!$AA$14)*(1-CUSTOS!$M$34)</f>
        <v>104.02058230712306</v>
      </c>
      <c r="AB1789" s="6">
        <f>$K$1789*$V$1789</f>
        <v>0</v>
      </c>
      <c r="AC1789" s="6">
        <f>$M$1789*$W$1789</f>
        <v>-1699.4669999999999</v>
      </c>
      <c r="AD1789" s="6">
        <f>$O$1789*$X$1789</f>
        <v>-983.59800000000007</v>
      </c>
      <c r="AE1789" s="6">
        <f>$K$1789*$Y$1789</f>
        <v>0</v>
      </c>
      <c r="AF1789" s="6">
        <f ca="1">$M$1789*$Z$1789</f>
        <v>-1859.7084562570362</v>
      </c>
      <c r="AG1789" s="6">
        <f>$O$1789*$AA$1789</f>
        <v>-1201.4377256472715</v>
      </c>
    </row>
    <row r="1790" spans="1:33" ht="11.25" customHeight="1" x14ac:dyDescent="0.25">
      <c r="A1790" s="4" t="s">
        <v>28</v>
      </c>
      <c r="B1790" s="4" t="s">
        <v>22</v>
      </c>
      <c r="C1790" s="4" t="s">
        <v>23</v>
      </c>
      <c r="D1790" s="4" t="s">
        <v>24</v>
      </c>
      <c r="E1790" s="4" t="s">
        <v>31</v>
      </c>
      <c r="F1790" s="4" t="s">
        <v>25</v>
      </c>
      <c r="G1790" s="4" t="s">
        <v>25</v>
      </c>
      <c r="H1790" s="4" t="s">
        <v>25</v>
      </c>
      <c r="I1790" s="5">
        <v>44440</v>
      </c>
      <c r="J1790" s="6">
        <v>0</v>
      </c>
      <c r="K1790" s="6">
        <v>0</v>
      </c>
      <c r="L1790" s="6">
        <v>3774.047</v>
      </c>
      <c r="M1790" s="6">
        <v>3774.047</v>
      </c>
      <c r="N1790" s="6">
        <v>3774.047</v>
      </c>
      <c r="O1790" s="6">
        <v>3774.047</v>
      </c>
      <c r="P1790" s="6">
        <v>22362</v>
      </c>
      <c r="Q1790" s="4" t="s">
        <v>26</v>
      </c>
      <c r="R1790" s="4">
        <v>0</v>
      </c>
      <c r="S1790" s="6">
        <v>0</v>
      </c>
      <c r="T1790" s="6">
        <v>9</v>
      </c>
      <c r="U1790" s="6">
        <v>59</v>
      </c>
      <c r="V1790" s="6">
        <f>IF(ISERROR(VLOOKUP($S$1790,'TAR FIN'!$A$1:$O$95,15,0)),0,VLOOKUP($S$1790,'TAR FIN'!$A$1:$O$95,15,0))</f>
        <v>0</v>
      </c>
      <c r="W1790" s="6">
        <f>IF(ISERROR(VLOOKUP($T$1790,'TAR FIN'!$A$1:$O$95,15,0)),0,VLOOKUP($T$1790,'TAR FIN'!$A$1:$O$95,15,0))</f>
        <v>147.13999999999999</v>
      </c>
      <c r="X1790" s="6">
        <f>IF(ISERROR(VLOOKUP($U$1790,'TAR FIN'!$A$1:$O$95,15,0)),0,VLOOKUP($U$1790,'TAR FIN'!$A$1:$O$95,15,0))</f>
        <v>85.16</v>
      </c>
      <c r="Y1790" s="6"/>
      <c r="Z1790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90" s="6">
        <f>('TE BE'!$AA$14+'TE BF'!$AA$14+'TE CVA'!$AA$14)*(1-CUSTOS!$M$34)</f>
        <v>104.02058230712306</v>
      </c>
      <c r="AB1790" s="6">
        <f>$K$1790*$V$1790</f>
        <v>0</v>
      </c>
      <c r="AC1790" s="6">
        <f>$M$1790*$W$1790</f>
        <v>555313.2755799999</v>
      </c>
      <c r="AD1790" s="6">
        <f>$O$1790*$X$1790</f>
        <v>321397.84252000001</v>
      </c>
      <c r="AE1790" s="6">
        <f>$K$1790*$Y$1790</f>
        <v>0</v>
      </c>
      <c r="AF1790" s="6">
        <f ca="1">$M$1790*$Z$1790</f>
        <v>607673.34374125523</v>
      </c>
      <c r="AG1790" s="6">
        <f>$O$1790*$AA$1790</f>
        <v>392578.56659445091</v>
      </c>
    </row>
    <row r="1791" spans="1:33" ht="11.25" customHeight="1" x14ac:dyDescent="0.25">
      <c r="A1791" s="4" t="s">
        <v>29</v>
      </c>
      <c r="B1791" s="4" t="s">
        <v>22</v>
      </c>
      <c r="C1791" s="4" t="s">
        <v>23</v>
      </c>
      <c r="D1791" s="4" t="s">
        <v>24</v>
      </c>
      <c r="E1791" s="4" t="s">
        <v>31</v>
      </c>
      <c r="F1791" s="4" t="s">
        <v>25</v>
      </c>
      <c r="G1791" s="4" t="s">
        <v>25</v>
      </c>
      <c r="H1791" s="4" t="s">
        <v>25</v>
      </c>
      <c r="I1791" s="5">
        <v>44440</v>
      </c>
      <c r="J1791" s="6">
        <v>0</v>
      </c>
      <c r="K1791" s="6">
        <v>0</v>
      </c>
      <c r="L1791" s="6">
        <v>-1.425</v>
      </c>
      <c r="M1791" s="6">
        <v>-1.425</v>
      </c>
      <c r="N1791" s="6">
        <v>-1.425</v>
      </c>
      <c r="O1791" s="6">
        <v>-1.425</v>
      </c>
      <c r="P1791" s="6">
        <v>0</v>
      </c>
      <c r="Q1791" s="4" t="s">
        <v>26</v>
      </c>
      <c r="R1791" s="4">
        <v>0</v>
      </c>
      <c r="S1791" s="6">
        <v>0</v>
      </c>
      <c r="T1791" s="6">
        <v>9</v>
      </c>
      <c r="U1791" s="6">
        <v>59</v>
      </c>
      <c r="V1791" s="6">
        <f>IF(ISERROR(VLOOKUP($S$1791,'TAR FIN'!$A$1:$O$95,15,0)),0,VLOOKUP($S$1791,'TAR FIN'!$A$1:$O$95,15,0))</f>
        <v>0</v>
      </c>
      <c r="W1791" s="6">
        <f>IF(ISERROR(VLOOKUP($T$1791,'TAR FIN'!$A$1:$O$95,15,0)),0,VLOOKUP($T$1791,'TAR FIN'!$A$1:$O$95,15,0))</f>
        <v>147.13999999999999</v>
      </c>
      <c r="X1791" s="6">
        <f>IF(ISERROR(VLOOKUP($U$1791,'TAR FIN'!$A$1:$O$95,15,0)),0,VLOOKUP($U$1791,'TAR FIN'!$A$1:$O$95,15,0))</f>
        <v>85.16</v>
      </c>
      <c r="Y1791" s="6"/>
      <c r="Z1791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91" s="6">
        <f>('TE BE'!$AA$14+'TE BF'!$AA$14+'TE CVA'!$AA$14)*(1-CUSTOS!$M$34)</f>
        <v>104.02058230712306</v>
      </c>
      <c r="AB1791" s="6">
        <f>$K$1791*$V$1791</f>
        <v>0</v>
      </c>
      <c r="AC1791" s="6">
        <f>$M$1791*$W$1791</f>
        <v>-209.67449999999999</v>
      </c>
      <c r="AD1791" s="6">
        <f>$O$1791*$X$1791</f>
        <v>-121.35299999999999</v>
      </c>
      <c r="AE1791" s="6">
        <f>$K$1791*$Y$1791</f>
        <v>0</v>
      </c>
      <c r="AF1791" s="6">
        <f ca="1">$M$1791*$Z$1791</f>
        <v>-229.444549797946</v>
      </c>
      <c r="AG1791" s="6">
        <f>$O$1791*$AA$1791</f>
        <v>-148.22932978765036</v>
      </c>
    </row>
    <row r="1792" spans="1:33" ht="11.25" customHeight="1" x14ac:dyDescent="0.25">
      <c r="A1792" s="4" t="s">
        <v>30</v>
      </c>
      <c r="B1792" s="4" t="s">
        <v>22</v>
      </c>
      <c r="C1792" s="4" t="s">
        <v>23</v>
      </c>
      <c r="D1792" s="4" t="s">
        <v>24</v>
      </c>
      <c r="E1792" s="4" t="s">
        <v>31</v>
      </c>
      <c r="F1792" s="4" t="s">
        <v>25</v>
      </c>
      <c r="G1792" s="4" t="s">
        <v>25</v>
      </c>
      <c r="H1792" s="4" t="s">
        <v>25</v>
      </c>
      <c r="I1792" s="5">
        <v>44440</v>
      </c>
      <c r="J1792" s="6">
        <v>0</v>
      </c>
      <c r="K1792" s="6">
        <v>0</v>
      </c>
      <c r="L1792" s="6">
        <v>5.8140000000000001</v>
      </c>
      <c r="M1792" s="6">
        <v>5.8140000000000001</v>
      </c>
      <c r="N1792" s="6">
        <v>5.8140000000000001</v>
      </c>
      <c r="O1792" s="6">
        <v>5.8140000000000001</v>
      </c>
      <c r="P1792" s="6">
        <v>0</v>
      </c>
      <c r="Q1792" s="4" t="s">
        <v>26</v>
      </c>
      <c r="R1792" s="4">
        <v>0</v>
      </c>
      <c r="S1792" s="6">
        <v>0</v>
      </c>
      <c r="T1792" s="6">
        <v>9</v>
      </c>
      <c r="U1792" s="6">
        <v>59</v>
      </c>
      <c r="V1792" s="6">
        <f>IF(ISERROR(VLOOKUP($S$1792,'TAR FIN'!$A$1:$O$95,15,0)),0,VLOOKUP($S$1792,'TAR FIN'!$A$1:$O$95,15,0))</f>
        <v>0</v>
      </c>
      <c r="W1792" s="6">
        <f>IF(ISERROR(VLOOKUP($T$1792,'TAR FIN'!$A$1:$O$95,15,0)),0,VLOOKUP($T$1792,'TAR FIN'!$A$1:$O$95,15,0))</f>
        <v>147.13999999999999</v>
      </c>
      <c r="X1792" s="6">
        <f>IF(ISERROR(VLOOKUP($U$1792,'TAR FIN'!$A$1:$O$95,15,0)),0,VLOOKUP($U$1792,'TAR FIN'!$A$1:$O$95,15,0))</f>
        <v>85.16</v>
      </c>
      <c r="Y1792" s="6"/>
      <c r="Z1792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92" s="6">
        <f>('TE BE'!$AA$14+'TE BF'!$AA$14+'TE CVA'!$AA$14)*(1-CUSTOS!$M$34)</f>
        <v>104.02058230712306</v>
      </c>
      <c r="AB1792" s="6">
        <f>$K$1792*$V$1792</f>
        <v>0</v>
      </c>
      <c r="AC1792" s="6">
        <f>$M$1792*$W$1792</f>
        <v>855.47195999999997</v>
      </c>
      <c r="AD1792" s="6">
        <f>$O$1792*$X$1792</f>
        <v>495.12023999999997</v>
      </c>
      <c r="AE1792" s="6">
        <f>$K$1792*$Y$1792</f>
        <v>0</v>
      </c>
      <c r="AF1792" s="6">
        <f ca="1">$M$1792*$Z$1792</f>
        <v>936.13376317561972</v>
      </c>
      <c r="AG1792" s="6">
        <f>$O$1792*$AA$1792</f>
        <v>604.77566553361351</v>
      </c>
    </row>
    <row r="1793" spans="1:33" ht="11.25" customHeight="1" x14ac:dyDescent="0.25">
      <c r="A1793" s="4" t="s">
        <v>59</v>
      </c>
      <c r="B1793" s="4" t="s">
        <v>22</v>
      </c>
      <c r="C1793" s="4" t="s">
        <v>23</v>
      </c>
      <c r="D1793" s="4" t="s">
        <v>24</v>
      </c>
      <c r="E1793" s="4" t="s">
        <v>31</v>
      </c>
      <c r="F1793" s="4" t="s">
        <v>25</v>
      </c>
      <c r="G1793" s="4" t="s">
        <v>25</v>
      </c>
      <c r="H1793" s="4" t="s">
        <v>25</v>
      </c>
      <c r="I1793" s="5">
        <v>44470</v>
      </c>
      <c r="J1793" s="6">
        <v>0</v>
      </c>
      <c r="K1793" s="6">
        <v>0</v>
      </c>
      <c r="L1793" s="6">
        <v>2064.8539999999998</v>
      </c>
      <c r="M1793" s="6">
        <v>2064.8539999999998</v>
      </c>
      <c r="N1793" s="6">
        <v>2064.8539999999998</v>
      </c>
      <c r="O1793" s="6">
        <v>2064.8539999999998</v>
      </c>
      <c r="P1793" s="6">
        <v>8983</v>
      </c>
      <c r="Q1793" s="4" t="s">
        <v>26</v>
      </c>
      <c r="R1793" s="4">
        <v>0</v>
      </c>
      <c r="S1793" s="6">
        <v>0</v>
      </c>
      <c r="T1793" s="6">
        <v>9</v>
      </c>
      <c r="U1793" s="6">
        <v>59</v>
      </c>
      <c r="V1793" s="6">
        <f>IF(ISERROR(VLOOKUP($S$1793,'TAR FIN'!$A$1:$O$95,15,0)),0,VLOOKUP($S$1793,'TAR FIN'!$A$1:$O$95,15,0))</f>
        <v>0</v>
      </c>
      <c r="W1793" s="6">
        <f>IF(ISERROR(VLOOKUP($T$1793,'TAR FIN'!$A$1:$O$95,15,0)),0,VLOOKUP($T$1793,'TAR FIN'!$A$1:$O$95,15,0))</f>
        <v>147.13999999999999</v>
      </c>
      <c r="X1793" s="6">
        <f>IF(ISERROR(VLOOKUP($U$1793,'TAR FIN'!$A$1:$O$95,15,0)),0,VLOOKUP($U$1793,'TAR FIN'!$A$1:$O$95,15,0))</f>
        <v>85.16</v>
      </c>
      <c r="Y1793" s="6"/>
      <c r="Z1793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93" s="6">
        <f>('TE BE'!$AA$14+'TE BF'!$AA$14+'TE CVA'!$AA$14)*(1-CUSTOS!$M$34)</f>
        <v>104.02058230712306</v>
      </c>
      <c r="AB1793" s="6">
        <f>$K$1793*$V$1793</f>
        <v>0</v>
      </c>
      <c r="AC1793" s="6">
        <f>$M$1793*$W$1793</f>
        <v>303822.61755999993</v>
      </c>
      <c r="AD1793" s="6">
        <f>$O$1793*$X$1793</f>
        <v>175842.96663999997</v>
      </c>
      <c r="AE1793" s="6">
        <f>$K$1793*$Y$1793</f>
        <v>0</v>
      </c>
      <c r="AF1793" s="6">
        <f ca="1">$M$1793*$Z$1793</f>
        <v>332469.82205507928</v>
      </c>
      <c r="AG1793" s="6">
        <f>$O$1793*$AA$1793</f>
        <v>214787.31545919226</v>
      </c>
    </row>
    <row r="1794" spans="1:33" ht="11.25" customHeight="1" x14ac:dyDescent="0.25">
      <c r="A1794" s="4" t="s">
        <v>59</v>
      </c>
      <c r="B1794" s="4" t="s">
        <v>22</v>
      </c>
      <c r="C1794" s="4" t="s">
        <v>23</v>
      </c>
      <c r="D1794" s="4" t="s">
        <v>24</v>
      </c>
      <c r="E1794" s="4" t="s">
        <v>31</v>
      </c>
      <c r="F1794" s="4" t="s">
        <v>25</v>
      </c>
      <c r="G1794" s="4" t="s">
        <v>25</v>
      </c>
      <c r="H1794" s="4" t="s">
        <v>25</v>
      </c>
      <c r="I1794" s="5">
        <v>44470</v>
      </c>
      <c r="J1794" s="6">
        <v>0</v>
      </c>
      <c r="K1794" s="6">
        <v>0</v>
      </c>
      <c r="L1794" s="6">
        <v>-11.55</v>
      </c>
      <c r="M1794" s="6">
        <v>-11.55</v>
      </c>
      <c r="N1794" s="6">
        <v>-11.55</v>
      </c>
      <c r="O1794" s="6">
        <v>-11.55</v>
      </c>
      <c r="P1794" s="6">
        <v>0</v>
      </c>
      <c r="Q1794" s="4" t="s">
        <v>26</v>
      </c>
      <c r="R1794" s="4">
        <v>0</v>
      </c>
      <c r="S1794" s="6">
        <v>0</v>
      </c>
      <c r="T1794" s="6">
        <v>9</v>
      </c>
      <c r="U1794" s="6">
        <v>59</v>
      </c>
      <c r="V1794" s="6">
        <f>IF(ISERROR(VLOOKUP($S$1794,'TAR FIN'!$A$1:$O$95,15,0)),0,VLOOKUP($S$1794,'TAR FIN'!$A$1:$O$95,15,0))</f>
        <v>0</v>
      </c>
      <c r="W1794" s="6">
        <f>IF(ISERROR(VLOOKUP($T$1794,'TAR FIN'!$A$1:$O$95,15,0)),0,VLOOKUP($T$1794,'TAR FIN'!$A$1:$O$95,15,0))</f>
        <v>147.13999999999999</v>
      </c>
      <c r="X1794" s="6">
        <f>IF(ISERROR(VLOOKUP($U$1794,'TAR FIN'!$A$1:$O$95,15,0)),0,VLOOKUP($U$1794,'TAR FIN'!$A$1:$O$95,15,0))</f>
        <v>85.16</v>
      </c>
      <c r="Y1794" s="6"/>
      <c r="Z1794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94" s="6">
        <f>('TE BE'!$AA$14+'TE BF'!$AA$14+'TE CVA'!$AA$14)*(1-CUSTOS!$M$34)</f>
        <v>104.02058230712306</v>
      </c>
      <c r="AB1794" s="6">
        <f>$K$1794*$V$1794</f>
        <v>0</v>
      </c>
      <c r="AC1794" s="6">
        <f>$M$1794*$W$1794</f>
        <v>-1699.4669999999999</v>
      </c>
      <c r="AD1794" s="6">
        <f>$O$1794*$X$1794</f>
        <v>-983.59800000000007</v>
      </c>
      <c r="AE1794" s="6">
        <f>$K$1794*$Y$1794</f>
        <v>0</v>
      </c>
      <c r="AF1794" s="6">
        <f ca="1">$M$1794*$Z$1794</f>
        <v>-1859.7084562570362</v>
      </c>
      <c r="AG1794" s="6">
        <f>$O$1794*$AA$1794</f>
        <v>-1201.4377256472715</v>
      </c>
    </row>
    <row r="1795" spans="1:33" ht="11.25" customHeight="1" x14ac:dyDescent="0.25">
      <c r="A1795" s="4" t="s">
        <v>59</v>
      </c>
      <c r="B1795" s="4" t="s">
        <v>22</v>
      </c>
      <c r="C1795" s="4" t="s">
        <v>23</v>
      </c>
      <c r="D1795" s="4" t="s">
        <v>24</v>
      </c>
      <c r="E1795" s="4" t="s">
        <v>31</v>
      </c>
      <c r="F1795" s="4" t="s">
        <v>25</v>
      </c>
      <c r="G1795" s="4" t="s">
        <v>25</v>
      </c>
      <c r="H1795" s="4" t="s">
        <v>25</v>
      </c>
      <c r="I1795" s="5">
        <v>44470</v>
      </c>
      <c r="J1795" s="6">
        <v>0</v>
      </c>
      <c r="K1795" s="6">
        <v>0</v>
      </c>
      <c r="L1795" s="6">
        <v>3774.047</v>
      </c>
      <c r="M1795" s="6">
        <v>3774.047</v>
      </c>
      <c r="N1795" s="6">
        <v>3774.047</v>
      </c>
      <c r="O1795" s="6">
        <v>3774.047</v>
      </c>
      <c r="P1795" s="6">
        <v>22362</v>
      </c>
      <c r="Q1795" s="4" t="s">
        <v>26</v>
      </c>
      <c r="R1795" s="4">
        <v>0</v>
      </c>
      <c r="S1795" s="6">
        <v>0</v>
      </c>
      <c r="T1795" s="6">
        <v>9</v>
      </c>
      <c r="U1795" s="6">
        <v>59</v>
      </c>
      <c r="V1795" s="6">
        <f>IF(ISERROR(VLOOKUP($S$1795,'TAR FIN'!$A$1:$O$95,15,0)),0,VLOOKUP($S$1795,'TAR FIN'!$A$1:$O$95,15,0))</f>
        <v>0</v>
      </c>
      <c r="W1795" s="6">
        <f>IF(ISERROR(VLOOKUP($T$1795,'TAR FIN'!$A$1:$O$95,15,0)),0,VLOOKUP($T$1795,'TAR FIN'!$A$1:$O$95,15,0))</f>
        <v>147.13999999999999</v>
      </c>
      <c r="X1795" s="6">
        <f>IF(ISERROR(VLOOKUP($U$1795,'TAR FIN'!$A$1:$O$95,15,0)),0,VLOOKUP($U$1795,'TAR FIN'!$A$1:$O$95,15,0))</f>
        <v>85.16</v>
      </c>
      <c r="Y1795" s="6"/>
      <c r="Z1795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95" s="6">
        <f>('TE BE'!$AA$14+'TE BF'!$AA$14+'TE CVA'!$AA$14)*(1-CUSTOS!$M$34)</f>
        <v>104.02058230712306</v>
      </c>
      <c r="AB1795" s="6">
        <f>$K$1795*$V$1795</f>
        <v>0</v>
      </c>
      <c r="AC1795" s="6">
        <f>$M$1795*$W$1795</f>
        <v>555313.2755799999</v>
      </c>
      <c r="AD1795" s="6">
        <f>$O$1795*$X$1795</f>
        <v>321397.84252000001</v>
      </c>
      <c r="AE1795" s="6">
        <f>$K$1795*$Y$1795</f>
        <v>0</v>
      </c>
      <c r="AF1795" s="6">
        <f ca="1">$M$1795*$Z$1795</f>
        <v>607673.34374125523</v>
      </c>
      <c r="AG1795" s="6">
        <f>$O$1795*$AA$1795</f>
        <v>392578.56659445091</v>
      </c>
    </row>
    <row r="1796" spans="1:33" ht="11.25" customHeight="1" x14ac:dyDescent="0.25">
      <c r="A1796" s="4" t="s">
        <v>59</v>
      </c>
      <c r="B1796" s="4" t="s">
        <v>22</v>
      </c>
      <c r="C1796" s="4" t="s">
        <v>23</v>
      </c>
      <c r="D1796" s="4" t="s">
        <v>24</v>
      </c>
      <c r="E1796" s="4" t="s">
        <v>31</v>
      </c>
      <c r="F1796" s="4" t="s">
        <v>25</v>
      </c>
      <c r="G1796" s="4" t="s">
        <v>25</v>
      </c>
      <c r="H1796" s="4" t="s">
        <v>25</v>
      </c>
      <c r="I1796" s="5">
        <v>44470</v>
      </c>
      <c r="J1796" s="6">
        <v>0</v>
      </c>
      <c r="K1796" s="6">
        <v>0</v>
      </c>
      <c r="L1796" s="6">
        <v>-1.425</v>
      </c>
      <c r="M1796" s="6">
        <v>-1.425</v>
      </c>
      <c r="N1796" s="6">
        <v>-1.425</v>
      </c>
      <c r="O1796" s="6">
        <v>-1.425</v>
      </c>
      <c r="P1796" s="6">
        <v>0</v>
      </c>
      <c r="Q1796" s="4" t="s">
        <v>26</v>
      </c>
      <c r="R1796" s="4">
        <v>0</v>
      </c>
      <c r="S1796" s="6">
        <v>0</v>
      </c>
      <c r="T1796" s="6">
        <v>9</v>
      </c>
      <c r="U1796" s="6">
        <v>59</v>
      </c>
      <c r="V1796" s="6">
        <f>IF(ISERROR(VLOOKUP($S$1796,'TAR FIN'!$A$1:$O$95,15,0)),0,VLOOKUP($S$1796,'TAR FIN'!$A$1:$O$95,15,0))</f>
        <v>0</v>
      </c>
      <c r="W1796" s="6">
        <f>IF(ISERROR(VLOOKUP($T$1796,'TAR FIN'!$A$1:$O$95,15,0)),0,VLOOKUP($T$1796,'TAR FIN'!$A$1:$O$95,15,0))</f>
        <v>147.13999999999999</v>
      </c>
      <c r="X1796" s="6">
        <f>IF(ISERROR(VLOOKUP($U$1796,'TAR FIN'!$A$1:$O$95,15,0)),0,VLOOKUP($U$1796,'TAR FIN'!$A$1:$O$95,15,0))</f>
        <v>85.16</v>
      </c>
      <c r="Y1796" s="6"/>
      <c r="Z1796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96" s="6">
        <f>('TE BE'!$AA$14+'TE BF'!$AA$14+'TE CVA'!$AA$14)*(1-CUSTOS!$M$34)</f>
        <v>104.02058230712306</v>
      </c>
      <c r="AB1796" s="6">
        <f>$K$1796*$V$1796</f>
        <v>0</v>
      </c>
      <c r="AC1796" s="6">
        <f>$M$1796*$W$1796</f>
        <v>-209.67449999999999</v>
      </c>
      <c r="AD1796" s="6">
        <f>$O$1796*$X$1796</f>
        <v>-121.35299999999999</v>
      </c>
      <c r="AE1796" s="6">
        <f>$K$1796*$Y$1796</f>
        <v>0</v>
      </c>
      <c r="AF1796" s="6">
        <f ca="1">$M$1796*$Z$1796</f>
        <v>-229.444549797946</v>
      </c>
      <c r="AG1796" s="6">
        <f>$O$1796*$AA$1796</f>
        <v>-148.22932978765036</v>
      </c>
    </row>
    <row r="1797" spans="1:33" ht="11.25" customHeight="1" x14ac:dyDescent="0.25">
      <c r="A1797" s="4" t="s">
        <v>59</v>
      </c>
      <c r="B1797" s="4" t="s">
        <v>22</v>
      </c>
      <c r="C1797" s="4" t="s">
        <v>23</v>
      </c>
      <c r="D1797" s="4" t="s">
        <v>24</v>
      </c>
      <c r="E1797" s="4" t="s">
        <v>31</v>
      </c>
      <c r="F1797" s="4" t="s">
        <v>25</v>
      </c>
      <c r="G1797" s="4" t="s">
        <v>25</v>
      </c>
      <c r="H1797" s="4" t="s">
        <v>25</v>
      </c>
      <c r="I1797" s="5">
        <v>44470</v>
      </c>
      <c r="J1797" s="6">
        <v>0</v>
      </c>
      <c r="K1797" s="6">
        <v>0</v>
      </c>
      <c r="L1797" s="6">
        <v>5.8140000000000001</v>
      </c>
      <c r="M1797" s="6">
        <v>5.8140000000000001</v>
      </c>
      <c r="N1797" s="6">
        <v>5.8140000000000001</v>
      </c>
      <c r="O1797" s="6">
        <v>5.8140000000000001</v>
      </c>
      <c r="P1797" s="6">
        <v>0</v>
      </c>
      <c r="Q1797" s="4" t="s">
        <v>26</v>
      </c>
      <c r="R1797" s="4">
        <v>0</v>
      </c>
      <c r="S1797" s="6">
        <v>0</v>
      </c>
      <c r="T1797" s="6">
        <v>9</v>
      </c>
      <c r="U1797" s="6">
        <v>59</v>
      </c>
      <c r="V1797" s="6">
        <f>IF(ISERROR(VLOOKUP($S$1797,'TAR FIN'!$A$1:$O$95,15,0)),0,VLOOKUP($S$1797,'TAR FIN'!$A$1:$O$95,15,0))</f>
        <v>0</v>
      </c>
      <c r="W1797" s="6">
        <f>IF(ISERROR(VLOOKUP($T$1797,'TAR FIN'!$A$1:$O$95,15,0)),0,VLOOKUP($T$1797,'TAR FIN'!$A$1:$O$95,15,0))</f>
        <v>147.13999999999999</v>
      </c>
      <c r="X1797" s="6">
        <f>IF(ISERROR(VLOOKUP($U$1797,'TAR FIN'!$A$1:$O$95,15,0)),0,VLOOKUP($U$1797,'TAR FIN'!$A$1:$O$95,15,0))</f>
        <v>85.16</v>
      </c>
      <c r="Y1797" s="6"/>
      <c r="Z1797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1797" s="6">
        <f>('TE BE'!$AA$14+'TE BF'!$AA$14+'TE CVA'!$AA$14)*(1-CUSTOS!$M$34)</f>
        <v>104.02058230712306</v>
      </c>
      <c r="AB1797" s="6">
        <f>$K$1797*$V$1797</f>
        <v>0</v>
      </c>
      <c r="AC1797" s="6">
        <f>$M$1797*$W$1797</f>
        <v>855.47195999999997</v>
      </c>
      <c r="AD1797" s="6">
        <f>$O$1797*$X$1797</f>
        <v>495.12023999999997</v>
      </c>
      <c r="AE1797" s="6">
        <f>$K$1797*$Y$1797</f>
        <v>0</v>
      </c>
      <c r="AF1797" s="6">
        <f ca="1">$M$1797*$Z$1797</f>
        <v>936.13376317561972</v>
      </c>
      <c r="AG1797" s="6">
        <f>$O$1797*$AA$1797</f>
        <v>604.77566553361351</v>
      </c>
    </row>
    <row r="1798" spans="1:33" ht="11.25" customHeight="1" x14ac:dyDescent="0.25">
      <c r="A1798" s="4" t="s">
        <v>21</v>
      </c>
      <c r="B1798" s="4" t="s">
        <v>22</v>
      </c>
      <c r="C1798" s="4" t="s">
        <v>23</v>
      </c>
      <c r="D1798" s="4" t="s">
        <v>24</v>
      </c>
      <c r="E1798" s="4" t="s">
        <v>32</v>
      </c>
      <c r="F1798" s="4" t="s">
        <v>25</v>
      </c>
      <c r="G1798" s="4" t="s">
        <v>25</v>
      </c>
      <c r="H1798" s="4" t="s">
        <v>25</v>
      </c>
      <c r="I1798" s="5">
        <v>44136</v>
      </c>
      <c r="J1798" s="6">
        <v>0</v>
      </c>
      <c r="K1798" s="6">
        <v>0</v>
      </c>
      <c r="L1798" s="6">
        <v>3289.5</v>
      </c>
      <c r="M1798" s="6">
        <v>3289.5</v>
      </c>
      <c r="N1798" s="6">
        <v>3289.5</v>
      </c>
      <c r="O1798" s="6">
        <v>3289.5</v>
      </c>
      <c r="P1798" s="6">
        <v>19133</v>
      </c>
      <c r="Q1798" s="4" t="s">
        <v>26</v>
      </c>
      <c r="R1798" s="4">
        <v>0</v>
      </c>
      <c r="S1798" s="6">
        <v>0</v>
      </c>
      <c r="T1798" s="6">
        <v>10</v>
      </c>
      <c r="U1798" s="6">
        <v>60</v>
      </c>
      <c r="V1798" s="6">
        <f>IF(ISERROR(VLOOKUP($S$1798,'TAR FIN'!$A$1:$O$95,15,0)),0,VLOOKUP($S$1798,'TAR FIN'!$A$1:$O$95,15,0))</f>
        <v>0</v>
      </c>
      <c r="W1798" s="6">
        <f>IF(ISERROR(VLOOKUP($T$1798,'TAR FIN'!$A$1:$O$95,15,0)),0,VLOOKUP($T$1798,'TAR FIN'!$A$1:$O$95,15,0))</f>
        <v>252.24</v>
      </c>
      <c r="X1798" s="6">
        <f>IF(ISERROR(VLOOKUP($U$1798,'TAR FIN'!$A$1:$O$95,15,0)),0,VLOOKUP($U$1798,'TAR FIN'!$A$1:$O$95,15,0))</f>
        <v>145.97999999999999</v>
      </c>
      <c r="Y1798" s="6"/>
      <c r="Z1798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798" s="6">
        <f>('TE BE'!$AA$15+'TE BF'!$AA$15+'TE CVA'!$AA$15)*(1-CUSTOS!$M$35)</f>
        <v>178.32099824078242</v>
      </c>
      <c r="AB1798" s="6">
        <f>$K$1798*$V$1798</f>
        <v>0</v>
      </c>
      <c r="AC1798" s="6">
        <f>$M$1798*$W$1798</f>
        <v>829743.48</v>
      </c>
      <c r="AD1798" s="6">
        <f>$O$1798*$X$1798</f>
        <v>480201.20999999996</v>
      </c>
      <c r="AE1798" s="6">
        <f>$K$1798*$Y$1798</f>
        <v>0</v>
      </c>
      <c r="AF1798" s="6">
        <f ca="1">$M$1798*$Z$1798</f>
        <v>907979.36428312003</v>
      </c>
      <c r="AG1798" s="6">
        <f>$O$1798*$AA$1798</f>
        <v>586586.92371305381</v>
      </c>
    </row>
    <row r="1799" spans="1:33" ht="11.25" customHeight="1" x14ac:dyDescent="0.25">
      <c r="A1799" s="4" t="s">
        <v>27</v>
      </c>
      <c r="B1799" s="4" t="s">
        <v>22</v>
      </c>
      <c r="C1799" s="4" t="s">
        <v>23</v>
      </c>
      <c r="D1799" s="4" t="s">
        <v>24</v>
      </c>
      <c r="E1799" s="4" t="s">
        <v>32</v>
      </c>
      <c r="F1799" s="4" t="s">
        <v>25</v>
      </c>
      <c r="G1799" s="4" t="s">
        <v>25</v>
      </c>
      <c r="H1799" s="4" t="s">
        <v>25</v>
      </c>
      <c r="I1799" s="5">
        <v>44136</v>
      </c>
      <c r="J1799" s="6">
        <v>0</v>
      </c>
      <c r="K1799" s="6">
        <v>0</v>
      </c>
      <c r="L1799" s="6">
        <v>-4.3289999999999997</v>
      </c>
      <c r="M1799" s="6">
        <v>-4.3289999999999997</v>
      </c>
      <c r="N1799" s="6">
        <v>-4.3289999999999997</v>
      </c>
      <c r="O1799" s="6">
        <v>-4.3289999999999997</v>
      </c>
      <c r="P1799" s="6">
        <v>-41</v>
      </c>
      <c r="Q1799" s="4" t="s">
        <v>26</v>
      </c>
      <c r="R1799" s="4">
        <v>0</v>
      </c>
      <c r="S1799" s="6">
        <v>0</v>
      </c>
      <c r="T1799" s="6">
        <v>10</v>
      </c>
      <c r="U1799" s="6">
        <v>60</v>
      </c>
      <c r="V1799" s="6">
        <f>IF(ISERROR(VLOOKUP($S$1799,'TAR FIN'!$A$1:$O$95,15,0)),0,VLOOKUP($S$1799,'TAR FIN'!$A$1:$O$95,15,0))</f>
        <v>0</v>
      </c>
      <c r="W1799" s="6">
        <f>IF(ISERROR(VLOOKUP($T$1799,'TAR FIN'!$A$1:$O$95,15,0)),0,VLOOKUP($T$1799,'TAR FIN'!$A$1:$O$95,15,0))</f>
        <v>252.24</v>
      </c>
      <c r="X1799" s="6">
        <f>IF(ISERROR(VLOOKUP($U$1799,'TAR FIN'!$A$1:$O$95,15,0)),0,VLOOKUP($U$1799,'TAR FIN'!$A$1:$O$95,15,0))</f>
        <v>145.97999999999999</v>
      </c>
      <c r="Y1799" s="6"/>
      <c r="Z1799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799" s="6">
        <f>('TE BE'!$AA$15+'TE BF'!$AA$15+'TE CVA'!$AA$15)*(1-CUSTOS!$M$35)</f>
        <v>178.32099824078242</v>
      </c>
      <c r="AB1799" s="6">
        <f>$K$1799*$V$1799</f>
        <v>0</v>
      </c>
      <c r="AC1799" s="6">
        <f>$M$1799*$W$1799</f>
        <v>-1091.94696</v>
      </c>
      <c r="AD1799" s="6">
        <f>$O$1799*$X$1799</f>
        <v>-631.94741999999997</v>
      </c>
      <c r="AE1799" s="6">
        <f>$K$1799*$Y$1799</f>
        <v>0</v>
      </c>
      <c r="AF1799" s="6">
        <f ca="1">$M$1799*$Z$1799</f>
        <v>-1194.9058118199198</v>
      </c>
      <c r="AG1799" s="6">
        <f>$O$1799*$AA$1799</f>
        <v>-771.95160138434699</v>
      </c>
    </row>
    <row r="1800" spans="1:33" ht="11.25" customHeight="1" x14ac:dyDescent="0.25">
      <c r="A1800" s="4" t="s">
        <v>28</v>
      </c>
      <c r="B1800" s="4" t="s">
        <v>22</v>
      </c>
      <c r="C1800" s="4" t="s">
        <v>23</v>
      </c>
      <c r="D1800" s="4" t="s">
        <v>24</v>
      </c>
      <c r="E1800" s="4" t="s">
        <v>32</v>
      </c>
      <c r="F1800" s="4" t="s">
        <v>25</v>
      </c>
      <c r="G1800" s="4" t="s">
        <v>25</v>
      </c>
      <c r="H1800" s="4" t="s">
        <v>25</v>
      </c>
      <c r="I1800" s="5">
        <v>44136</v>
      </c>
      <c r="J1800" s="6">
        <v>0</v>
      </c>
      <c r="K1800" s="6">
        <v>0</v>
      </c>
      <c r="L1800" s="6">
        <v>5666.1090000000004</v>
      </c>
      <c r="M1800" s="6">
        <v>5666.1090000000004</v>
      </c>
      <c r="N1800" s="6">
        <v>5666.1090000000004</v>
      </c>
      <c r="O1800" s="6">
        <v>5666.1090000000004</v>
      </c>
      <c r="P1800" s="6">
        <v>27981</v>
      </c>
      <c r="Q1800" s="4" t="s">
        <v>26</v>
      </c>
      <c r="R1800" s="4">
        <v>0</v>
      </c>
      <c r="S1800" s="6">
        <v>0</v>
      </c>
      <c r="T1800" s="6">
        <v>10</v>
      </c>
      <c r="U1800" s="6">
        <v>60</v>
      </c>
      <c r="V1800" s="6">
        <f>IF(ISERROR(VLOOKUP($S$1800,'TAR FIN'!$A$1:$O$95,15,0)),0,VLOOKUP($S$1800,'TAR FIN'!$A$1:$O$95,15,0))</f>
        <v>0</v>
      </c>
      <c r="W1800" s="6">
        <f>IF(ISERROR(VLOOKUP($T$1800,'TAR FIN'!$A$1:$O$95,15,0)),0,VLOOKUP($T$1800,'TAR FIN'!$A$1:$O$95,15,0))</f>
        <v>252.24</v>
      </c>
      <c r="X1800" s="6">
        <f>IF(ISERROR(VLOOKUP($U$1800,'TAR FIN'!$A$1:$O$95,15,0)),0,VLOOKUP($U$1800,'TAR FIN'!$A$1:$O$95,15,0))</f>
        <v>145.97999999999999</v>
      </c>
      <c r="Y1800" s="6"/>
      <c r="Z1800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00" s="6">
        <f>('TE BE'!$AA$15+'TE BF'!$AA$15+'TE CVA'!$AA$15)*(1-CUSTOS!$M$35)</f>
        <v>178.32099824078242</v>
      </c>
      <c r="AB1800" s="6">
        <f>$K$1800*$V$1800</f>
        <v>0</v>
      </c>
      <c r="AC1800" s="6">
        <f>$M$1800*$W$1800</f>
        <v>1429219.3341600001</v>
      </c>
      <c r="AD1800" s="6">
        <f>$O$1800*$X$1800</f>
        <v>827138.59181999997</v>
      </c>
      <c r="AE1800" s="6">
        <f>$K$1800*$Y$1800</f>
        <v>0</v>
      </c>
      <c r="AF1800" s="6">
        <f ca="1">$M$1800*$Z$1800</f>
        <v>1563979.3426900334</v>
      </c>
      <c r="AG1800" s="6">
        <f>$O$1800*$AA$1800</f>
        <v>1010386.2130210815</v>
      </c>
    </row>
    <row r="1801" spans="1:33" ht="11.25" customHeight="1" x14ac:dyDescent="0.25">
      <c r="A1801" s="4" t="s">
        <v>29</v>
      </c>
      <c r="B1801" s="4" t="s">
        <v>22</v>
      </c>
      <c r="C1801" s="4" t="s">
        <v>23</v>
      </c>
      <c r="D1801" s="4" t="s">
        <v>24</v>
      </c>
      <c r="E1801" s="4" t="s">
        <v>32</v>
      </c>
      <c r="F1801" s="4" t="s">
        <v>25</v>
      </c>
      <c r="G1801" s="4" t="s">
        <v>25</v>
      </c>
      <c r="H1801" s="4" t="s">
        <v>25</v>
      </c>
      <c r="I1801" s="5">
        <v>44136</v>
      </c>
      <c r="J1801" s="6">
        <v>0</v>
      </c>
      <c r="K1801" s="6">
        <v>0</v>
      </c>
      <c r="L1801" s="6">
        <v>-4.7480000000000002</v>
      </c>
      <c r="M1801" s="6">
        <v>-4.7480000000000002</v>
      </c>
      <c r="N1801" s="6">
        <v>-4.7480000000000002</v>
      </c>
      <c r="O1801" s="6">
        <v>-4.7480000000000002</v>
      </c>
      <c r="P1801" s="6">
        <v>-20</v>
      </c>
      <c r="Q1801" s="4" t="s">
        <v>26</v>
      </c>
      <c r="R1801" s="4">
        <v>0</v>
      </c>
      <c r="S1801" s="6">
        <v>0</v>
      </c>
      <c r="T1801" s="6">
        <v>10</v>
      </c>
      <c r="U1801" s="6">
        <v>60</v>
      </c>
      <c r="V1801" s="6">
        <f>IF(ISERROR(VLOOKUP($S$1801,'TAR FIN'!$A$1:$O$95,15,0)),0,VLOOKUP($S$1801,'TAR FIN'!$A$1:$O$95,15,0))</f>
        <v>0</v>
      </c>
      <c r="W1801" s="6">
        <f>IF(ISERROR(VLOOKUP($T$1801,'TAR FIN'!$A$1:$O$95,15,0)),0,VLOOKUP($T$1801,'TAR FIN'!$A$1:$O$95,15,0))</f>
        <v>252.24</v>
      </c>
      <c r="X1801" s="6">
        <f>IF(ISERROR(VLOOKUP($U$1801,'TAR FIN'!$A$1:$O$95,15,0)),0,VLOOKUP($U$1801,'TAR FIN'!$A$1:$O$95,15,0))</f>
        <v>145.97999999999999</v>
      </c>
      <c r="Y1801" s="6"/>
      <c r="Z1801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01" s="6">
        <f>('TE BE'!$AA$15+'TE BF'!$AA$15+'TE CVA'!$AA$15)*(1-CUSTOS!$M$35)</f>
        <v>178.32099824078242</v>
      </c>
      <c r="AB1801" s="6">
        <f>$K$1801*$V$1801</f>
        <v>0</v>
      </c>
      <c r="AC1801" s="6">
        <f>$M$1801*$W$1801</f>
        <v>-1197.63552</v>
      </c>
      <c r="AD1801" s="6">
        <f>$O$1801*$X$1801</f>
        <v>-693.11303999999996</v>
      </c>
      <c r="AE1801" s="6">
        <f>$K$1801*$Y$1801</f>
        <v>0</v>
      </c>
      <c r="AF1801" s="6">
        <f ca="1">$M$1801*$Z$1801</f>
        <v>-1310.5596660940125</v>
      </c>
      <c r="AG1801" s="6">
        <f>$O$1801*$AA$1801</f>
        <v>-846.66809964723495</v>
      </c>
    </row>
    <row r="1802" spans="1:33" ht="11.25" customHeight="1" x14ac:dyDescent="0.25">
      <c r="A1802" s="4" t="s">
        <v>21</v>
      </c>
      <c r="B1802" s="4" t="s">
        <v>22</v>
      </c>
      <c r="C1802" s="4" t="s">
        <v>23</v>
      </c>
      <c r="D1802" s="4" t="s">
        <v>24</v>
      </c>
      <c r="E1802" s="4" t="s">
        <v>32</v>
      </c>
      <c r="F1802" s="4" t="s">
        <v>25</v>
      </c>
      <c r="G1802" s="4" t="s">
        <v>25</v>
      </c>
      <c r="H1802" s="4" t="s">
        <v>25</v>
      </c>
      <c r="I1802" s="5">
        <v>44166</v>
      </c>
      <c r="J1802" s="6">
        <v>0</v>
      </c>
      <c r="K1802" s="6">
        <v>0</v>
      </c>
      <c r="L1802" s="6">
        <v>3746.348</v>
      </c>
      <c r="M1802" s="6">
        <v>3746.348</v>
      </c>
      <c r="N1802" s="6">
        <v>3746.348</v>
      </c>
      <c r="O1802" s="6">
        <v>3746.348</v>
      </c>
      <c r="P1802" s="6">
        <v>22159</v>
      </c>
      <c r="Q1802" s="4" t="s">
        <v>26</v>
      </c>
      <c r="R1802" s="4">
        <v>0</v>
      </c>
      <c r="S1802" s="6">
        <v>0</v>
      </c>
      <c r="T1802" s="6">
        <v>10</v>
      </c>
      <c r="U1802" s="6">
        <v>60</v>
      </c>
      <c r="V1802" s="6">
        <f>IF(ISERROR(VLOOKUP($S$1802,'TAR FIN'!$A$1:$O$95,15,0)),0,VLOOKUP($S$1802,'TAR FIN'!$A$1:$O$95,15,0))</f>
        <v>0</v>
      </c>
      <c r="W1802" s="6">
        <f>IF(ISERROR(VLOOKUP($T$1802,'TAR FIN'!$A$1:$O$95,15,0)),0,VLOOKUP($T$1802,'TAR FIN'!$A$1:$O$95,15,0))</f>
        <v>252.24</v>
      </c>
      <c r="X1802" s="6">
        <f>IF(ISERROR(VLOOKUP($U$1802,'TAR FIN'!$A$1:$O$95,15,0)),0,VLOOKUP($U$1802,'TAR FIN'!$A$1:$O$95,15,0))</f>
        <v>145.97999999999999</v>
      </c>
      <c r="Y1802" s="6"/>
      <c r="Z1802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02" s="6">
        <f>('TE BE'!$AA$15+'TE BF'!$AA$15+'TE CVA'!$AA$15)*(1-CUSTOS!$M$35)</f>
        <v>178.32099824078242</v>
      </c>
      <c r="AB1802" s="6">
        <f>$K$1802*$V$1802</f>
        <v>0</v>
      </c>
      <c r="AC1802" s="6">
        <f>$M$1802*$W$1802</f>
        <v>944978.81952000002</v>
      </c>
      <c r="AD1802" s="6">
        <f>$O$1802*$X$1802</f>
        <v>546891.88104000001</v>
      </c>
      <c r="AE1802" s="6">
        <f>$K$1802*$Y$1802</f>
        <v>0</v>
      </c>
      <c r="AF1802" s="6">
        <f ca="1">$M$1802*$Z$1802</f>
        <v>1034080.1566874413</v>
      </c>
      <c r="AG1802" s="6">
        <f>$O$1802*$AA$1802</f>
        <v>668052.51511735877</v>
      </c>
    </row>
    <row r="1803" spans="1:33" ht="11.25" customHeight="1" x14ac:dyDescent="0.25">
      <c r="A1803" s="4" t="s">
        <v>27</v>
      </c>
      <c r="B1803" s="4" t="s">
        <v>22</v>
      </c>
      <c r="C1803" s="4" t="s">
        <v>23</v>
      </c>
      <c r="D1803" s="4" t="s">
        <v>24</v>
      </c>
      <c r="E1803" s="4" t="s">
        <v>32</v>
      </c>
      <c r="F1803" s="4" t="s">
        <v>25</v>
      </c>
      <c r="G1803" s="4" t="s">
        <v>25</v>
      </c>
      <c r="H1803" s="4" t="s">
        <v>25</v>
      </c>
      <c r="I1803" s="5">
        <v>44166</v>
      </c>
      <c r="J1803" s="6">
        <v>0</v>
      </c>
      <c r="K1803" s="6">
        <v>0</v>
      </c>
      <c r="L1803" s="6">
        <v>-6.7919999999999998</v>
      </c>
      <c r="M1803" s="6">
        <v>-6.7919999999999998</v>
      </c>
      <c r="N1803" s="6">
        <v>-6.7919999999999998</v>
      </c>
      <c r="O1803" s="6">
        <v>-6.7919999999999998</v>
      </c>
      <c r="P1803" s="6">
        <v>0</v>
      </c>
      <c r="Q1803" s="4" t="s">
        <v>26</v>
      </c>
      <c r="R1803" s="4">
        <v>0</v>
      </c>
      <c r="S1803" s="6">
        <v>0</v>
      </c>
      <c r="T1803" s="6">
        <v>10</v>
      </c>
      <c r="U1803" s="6">
        <v>60</v>
      </c>
      <c r="V1803" s="6">
        <f>IF(ISERROR(VLOOKUP($S$1803,'TAR FIN'!$A$1:$O$95,15,0)),0,VLOOKUP($S$1803,'TAR FIN'!$A$1:$O$95,15,0))</f>
        <v>0</v>
      </c>
      <c r="W1803" s="6">
        <f>IF(ISERROR(VLOOKUP($T$1803,'TAR FIN'!$A$1:$O$95,15,0)),0,VLOOKUP($T$1803,'TAR FIN'!$A$1:$O$95,15,0))</f>
        <v>252.24</v>
      </c>
      <c r="X1803" s="6">
        <f>IF(ISERROR(VLOOKUP($U$1803,'TAR FIN'!$A$1:$O$95,15,0)),0,VLOOKUP($U$1803,'TAR FIN'!$A$1:$O$95,15,0))</f>
        <v>145.97999999999999</v>
      </c>
      <c r="Y1803" s="6"/>
      <c r="Z1803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03" s="6">
        <f>('TE BE'!$AA$15+'TE BF'!$AA$15+'TE CVA'!$AA$15)*(1-CUSTOS!$M$35)</f>
        <v>178.32099824078242</v>
      </c>
      <c r="AB1803" s="6">
        <f>$K$1803*$V$1803</f>
        <v>0</v>
      </c>
      <c r="AC1803" s="6">
        <f>$M$1803*$W$1803</f>
        <v>-1713.21408</v>
      </c>
      <c r="AD1803" s="6">
        <f>$O$1803*$X$1803</f>
        <v>-991.49615999999992</v>
      </c>
      <c r="AE1803" s="6">
        <f>$K$1803*$Y$1803</f>
        <v>0</v>
      </c>
      <c r="AF1803" s="6">
        <f ca="1">$M$1803*$Z$1803</f>
        <v>-1874.7517380182248</v>
      </c>
      <c r="AG1803" s="6">
        <f>$O$1803*$AA$1803</f>
        <v>-1211.156220051394</v>
      </c>
    </row>
    <row r="1804" spans="1:33" ht="11.25" customHeight="1" x14ac:dyDescent="0.25">
      <c r="A1804" s="4" t="s">
        <v>28</v>
      </c>
      <c r="B1804" s="4" t="s">
        <v>22</v>
      </c>
      <c r="C1804" s="4" t="s">
        <v>23</v>
      </c>
      <c r="D1804" s="4" t="s">
        <v>24</v>
      </c>
      <c r="E1804" s="4" t="s">
        <v>32</v>
      </c>
      <c r="F1804" s="4" t="s">
        <v>25</v>
      </c>
      <c r="G1804" s="4" t="s">
        <v>25</v>
      </c>
      <c r="H1804" s="4" t="s">
        <v>25</v>
      </c>
      <c r="I1804" s="5">
        <v>44166</v>
      </c>
      <c r="J1804" s="6">
        <v>0</v>
      </c>
      <c r="K1804" s="6">
        <v>0</v>
      </c>
      <c r="L1804" s="6">
        <v>6120.3680000000004</v>
      </c>
      <c r="M1804" s="6">
        <v>6120.3680000000004</v>
      </c>
      <c r="N1804" s="6">
        <v>6120.3680000000004</v>
      </c>
      <c r="O1804" s="6">
        <v>6120.3680000000004</v>
      </c>
      <c r="P1804" s="6">
        <v>31615</v>
      </c>
      <c r="Q1804" s="4" t="s">
        <v>26</v>
      </c>
      <c r="R1804" s="4">
        <v>0</v>
      </c>
      <c r="S1804" s="6">
        <v>0</v>
      </c>
      <c r="T1804" s="6">
        <v>10</v>
      </c>
      <c r="U1804" s="6">
        <v>60</v>
      </c>
      <c r="V1804" s="6">
        <f>IF(ISERROR(VLOOKUP($S$1804,'TAR FIN'!$A$1:$O$95,15,0)),0,VLOOKUP($S$1804,'TAR FIN'!$A$1:$O$95,15,0))</f>
        <v>0</v>
      </c>
      <c r="W1804" s="6">
        <f>IF(ISERROR(VLOOKUP($T$1804,'TAR FIN'!$A$1:$O$95,15,0)),0,VLOOKUP($T$1804,'TAR FIN'!$A$1:$O$95,15,0))</f>
        <v>252.24</v>
      </c>
      <c r="X1804" s="6">
        <f>IF(ISERROR(VLOOKUP($U$1804,'TAR FIN'!$A$1:$O$95,15,0)),0,VLOOKUP($U$1804,'TAR FIN'!$A$1:$O$95,15,0))</f>
        <v>145.97999999999999</v>
      </c>
      <c r="Y1804" s="6"/>
      <c r="Z1804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04" s="6">
        <f>('TE BE'!$AA$15+'TE BF'!$AA$15+'TE CVA'!$AA$15)*(1-CUSTOS!$M$35)</f>
        <v>178.32099824078242</v>
      </c>
      <c r="AB1804" s="6">
        <f>$K$1804*$V$1804</f>
        <v>0</v>
      </c>
      <c r="AC1804" s="6">
        <f>$M$1804*$W$1804</f>
        <v>1543801.6243200002</v>
      </c>
      <c r="AD1804" s="6">
        <f>$O$1804*$X$1804</f>
        <v>893451.32064000005</v>
      </c>
      <c r="AE1804" s="6">
        <f>$K$1804*$Y$1804</f>
        <v>0</v>
      </c>
      <c r="AF1804" s="6">
        <f ca="1">$M$1804*$Z$1804</f>
        <v>1689365.5102048186</v>
      </c>
      <c r="AG1804" s="6">
        <f>$O$1804*$AA$1804</f>
        <v>1091390.1313609411</v>
      </c>
    </row>
    <row r="1805" spans="1:33" ht="11.25" customHeight="1" x14ac:dyDescent="0.25">
      <c r="A1805" s="4" t="s">
        <v>29</v>
      </c>
      <c r="B1805" s="4" t="s">
        <v>22</v>
      </c>
      <c r="C1805" s="4" t="s">
        <v>23</v>
      </c>
      <c r="D1805" s="4" t="s">
        <v>24</v>
      </c>
      <c r="E1805" s="4" t="s">
        <v>32</v>
      </c>
      <c r="F1805" s="4" t="s">
        <v>25</v>
      </c>
      <c r="G1805" s="4" t="s">
        <v>25</v>
      </c>
      <c r="H1805" s="4" t="s">
        <v>25</v>
      </c>
      <c r="I1805" s="5">
        <v>44166</v>
      </c>
      <c r="J1805" s="6">
        <v>0</v>
      </c>
      <c r="K1805" s="6">
        <v>0</v>
      </c>
      <c r="L1805" s="6">
        <v>-6.5750000000000002</v>
      </c>
      <c r="M1805" s="6">
        <v>-6.5750000000000002</v>
      </c>
      <c r="N1805" s="6">
        <v>-6.5750000000000002</v>
      </c>
      <c r="O1805" s="6">
        <v>-6.5750000000000002</v>
      </c>
      <c r="P1805" s="6">
        <v>0</v>
      </c>
      <c r="Q1805" s="4" t="s">
        <v>26</v>
      </c>
      <c r="R1805" s="4">
        <v>0</v>
      </c>
      <c r="S1805" s="6">
        <v>0</v>
      </c>
      <c r="T1805" s="6">
        <v>10</v>
      </c>
      <c r="U1805" s="6">
        <v>60</v>
      </c>
      <c r="V1805" s="6">
        <f>IF(ISERROR(VLOOKUP($S$1805,'TAR FIN'!$A$1:$O$95,15,0)),0,VLOOKUP($S$1805,'TAR FIN'!$A$1:$O$95,15,0))</f>
        <v>0</v>
      </c>
      <c r="W1805" s="6">
        <f>IF(ISERROR(VLOOKUP($T$1805,'TAR FIN'!$A$1:$O$95,15,0)),0,VLOOKUP($T$1805,'TAR FIN'!$A$1:$O$95,15,0))</f>
        <v>252.24</v>
      </c>
      <c r="X1805" s="6">
        <f>IF(ISERROR(VLOOKUP($U$1805,'TAR FIN'!$A$1:$O$95,15,0)),0,VLOOKUP($U$1805,'TAR FIN'!$A$1:$O$95,15,0))</f>
        <v>145.97999999999999</v>
      </c>
      <c r="Y1805" s="6"/>
      <c r="Z1805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05" s="6">
        <f>('TE BE'!$AA$15+'TE BF'!$AA$15+'TE CVA'!$AA$15)*(1-CUSTOS!$M$35)</f>
        <v>178.32099824078242</v>
      </c>
      <c r="AB1805" s="6">
        <f>$K$1805*$V$1805</f>
        <v>0</v>
      </c>
      <c r="AC1805" s="6">
        <f>$M$1805*$W$1805</f>
        <v>-1658.4780000000001</v>
      </c>
      <c r="AD1805" s="6">
        <f>$O$1805*$X$1805</f>
        <v>-959.81849999999997</v>
      </c>
      <c r="AE1805" s="6">
        <f>$K$1805*$Y$1805</f>
        <v>0</v>
      </c>
      <c r="AF1805" s="6">
        <f ca="1">$M$1805*$Z$1805</f>
        <v>-1814.8546344920244</v>
      </c>
      <c r="AG1805" s="6">
        <f>$O$1805*$AA$1805</f>
        <v>-1172.4605634331444</v>
      </c>
    </row>
    <row r="1806" spans="1:33" ht="11.25" customHeight="1" x14ac:dyDescent="0.25">
      <c r="A1806" s="4" t="s">
        <v>21</v>
      </c>
      <c r="B1806" s="4" t="s">
        <v>22</v>
      </c>
      <c r="C1806" s="4" t="s">
        <v>23</v>
      </c>
      <c r="D1806" s="4" t="s">
        <v>24</v>
      </c>
      <c r="E1806" s="4" t="s">
        <v>32</v>
      </c>
      <c r="F1806" s="4" t="s">
        <v>25</v>
      </c>
      <c r="G1806" s="4" t="s">
        <v>25</v>
      </c>
      <c r="H1806" s="4" t="s">
        <v>25</v>
      </c>
      <c r="I1806" s="5">
        <v>44197</v>
      </c>
      <c r="J1806" s="6">
        <v>0</v>
      </c>
      <c r="K1806" s="6">
        <v>0</v>
      </c>
      <c r="L1806" s="6">
        <v>3875.0279999999998</v>
      </c>
      <c r="M1806" s="6">
        <v>3875.0279999999998</v>
      </c>
      <c r="N1806" s="6">
        <v>3875.0279999999998</v>
      </c>
      <c r="O1806" s="6">
        <v>3875.0279999999998</v>
      </c>
      <c r="P1806" s="6">
        <v>21806</v>
      </c>
      <c r="Q1806" s="4" t="s">
        <v>26</v>
      </c>
      <c r="R1806" s="4">
        <v>0</v>
      </c>
      <c r="S1806" s="6">
        <v>0</v>
      </c>
      <c r="T1806" s="6">
        <v>10</v>
      </c>
      <c r="U1806" s="6">
        <v>60</v>
      </c>
      <c r="V1806" s="6">
        <f>IF(ISERROR(VLOOKUP($S$1806,'TAR FIN'!$A$1:$O$95,15,0)),0,VLOOKUP($S$1806,'TAR FIN'!$A$1:$O$95,15,0))</f>
        <v>0</v>
      </c>
      <c r="W1806" s="6">
        <f>IF(ISERROR(VLOOKUP($T$1806,'TAR FIN'!$A$1:$O$95,15,0)),0,VLOOKUP($T$1806,'TAR FIN'!$A$1:$O$95,15,0))</f>
        <v>252.24</v>
      </c>
      <c r="X1806" s="6">
        <f>IF(ISERROR(VLOOKUP($U$1806,'TAR FIN'!$A$1:$O$95,15,0)),0,VLOOKUP($U$1806,'TAR FIN'!$A$1:$O$95,15,0))</f>
        <v>145.97999999999999</v>
      </c>
      <c r="Y1806" s="6"/>
      <c r="Z1806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06" s="6">
        <f>('TE BE'!$AA$15+'TE BF'!$AA$15+'TE CVA'!$AA$15)*(1-CUSTOS!$M$35)</f>
        <v>178.32099824078242</v>
      </c>
      <c r="AB1806" s="6">
        <f>$K$1806*$V$1806</f>
        <v>0</v>
      </c>
      <c r="AC1806" s="6">
        <f>$M$1806*$W$1806</f>
        <v>977437.06271999993</v>
      </c>
      <c r="AD1806" s="6">
        <f>$O$1806*$X$1806</f>
        <v>565676.58743999992</v>
      </c>
      <c r="AE1806" s="6">
        <f>$K$1806*$Y$1806</f>
        <v>0</v>
      </c>
      <c r="AF1806" s="6">
        <f ca="1">$M$1806*$Z$1806</f>
        <v>1069598.8630549596</v>
      </c>
      <c r="AG1806" s="6">
        <f>$O$1806*$AA$1806</f>
        <v>690998.86117098259</v>
      </c>
    </row>
    <row r="1807" spans="1:33" ht="11.25" customHeight="1" x14ac:dyDescent="0.25">
      <c r="A1807" s="4" t="s">
        <v>27</v>
      </c>
      <c r="B1807" s="4" t="s">
        <v>22</v>
      </c>
      <c r="C1807" s="4" t="s">
        <v>23</v>
      </c>
      <c r="D1807" s="4" t="s">
        <v>24</v>
      </c>
      <c r="E1807" s="4" t="s">
        <v>32</v>
      </c>
      <c r="F1807" s="4" t="s">
        <v>25</v>
      </c>
      <c r="G1807" s="4" t="s">
        <v>25</v>
      </c>
      <c r="H1807" s="4" t="s">
        <v>25</v>
      </c>
      <c r="I1807" s="5">
        <v>44197</v>
      </c>
      <c r="J1807" s="6">
        <v>0</v>
      </c>
      <c r="K1807" s="6">
        <v>0</v>
      </c>
      <c r="L1807" s="6">
        <v>-8.5250000000000004</v>
      </c>
      <c r="M1807" s="6">
        <v>-8.5250000000000004</v>
      </c>
      <c r="N1807" s="6">
        <v>-8.5250000000000004</v>
      </c>
      <c r="O1807" s="6">
        <v>-8.5250000000000004</v>
      </c>
      <c r="P1807" s="6">
        <v>0</v>
      </c>
      <c r="Q1807" s="4" t="s">
        <v>26</v>
      </c>
      <c r="R1807" s="4">
        <v>0</v>
      </c>
      <c r="S1807" s="6">
        <v>0</v>
      </c>
      <c r="T1807" s="6">
        <v>10</v>
      </c>
      <c r="U1807" s="6">
        <v>60</v>
      </c>
      <c r="V1807" s="6">
        <f>IF(ISERROR(VLOOKUP($S$1807,'TAR FIN'!$A$1:$O$95,15,0)),0,VLOOKUP($S$1807,'TAR FIN'!$A$1:$O$95,15,0))</f>
        <v>0</v>
      </c>
      <c r="W1807" s="6">
        <f>IF(ISERROR(VLOOKUP($T$1807,'TAR FIN'!$A$1:$O$95,15,0)),0,VLOOKUP($T$1807,'TAR FIN'!$A$1:$O$95,15,0))</f>
        <v>252.24</v>
      </c>
      <c r="X1807" s="6">
        <f>IF(ISERROR(VLOOKUP($U$1807,'TAR FIN'!$A$1:$O$95,15,0)),0,VLOOKUP($U$1807,'TAR FIN'!$A$1:$O$95,15,0))</f>
        <v>145.97999999999999</v>
      </c>
      <c r="Y1807" s="6"/>
      <c r="Z1807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07" s="6">
        <f>('TE BE'!$AA$15+'TE BF'!$AA$15+'TE CVA'!$AA$15)*(1-CUSTOS!$M$35)</f>
        <v>178.32099824078242</v>
      </c>
      <c r="AB1807" s="6">
        <f>$K$1807*$V$1807</f>
        <v>0</v>
      </c>
      <c r="AC1807" s="6">
        <f>$M$1807*$W$1807</f>
        <v>-2150.346</v>
      </c>
      <c r="AD1807" s="6">
        <f>$O$1807*$X$1807</f>
        <v>-1244.4794999999999</v>
      </c>
      <c r="AE1807" s="6">
        <f>$K$1807*$Y$1807</f>
        <v>0</v>
      </c>
      <c r="AF1807" s="6">
        <f ca="1">$M$1807*$Z$1807</f>
        <v>-2353.1004956721686</v>
      </c>
      <c r="AG1807" s="6">
        <f>$O$1807*$AA$1807</f>
        <v>-1520.18651000267</v>
      </c>
    </row>
    <row r="1808" spans="1:33" ht="11.25" customHeight="1" x14ac:dyDescent="0.25">
      <c r="A1808" s="4" t="s">
        <v>28</v>
      </c>
      <c r="B1808" s="4" t="s">
        <v>22</v>
      </c>
      <c r="C1808" s="4" t="s">
        <v>23</v>
      </c>
      <c r="D1808" s="4" t="s">
        <v>24</v>
      </c>
      <c r="E1808" s="4" t="s">
        <v>32</v>
      </c>
      <c r="F1808" s="4" t="s">
        <v>25</v>
      </c>
      <c r="G1808" s="4" t="s">
        <v>25</v>
      </c>
      <c r="H1808" s="4" t="s">
        <v>25</v>
      </c>
      <c r="I1808" s="5">
        <v>44197</v>
      </c>
      <c r="J1808" s="6">
        <v>0</v>
      </c>
      <c r="K1808" s="6">
        <v>0</v>
      </c>
      <c r="L1808" s="6">
        <v>6055.92</v>
      </c>
      <c r="M1808" s="6">
        <v>6055.92</v>
      </c>
      <c r="N1808" s="6">
        <v>6055.92</v>
      </c>
      <c r="O1808" s="6">
        <v>6055.92</v>
      </c>
      <c r="P1808" s="6">
        <v>34511</v>
      </c>
      <c r="Q1808" s="4" t="s">
        <v>26</v>
      </c>
      <c r="R1808" s="4">
        <v>0</v>
      </c>
      <c r="S1808" s="6">
        <v>0</v>
      </c>
      <c r="T1808" s="6">
        <v>10</v>
      </c>
      <c r="U1808" s="6">
        <v>60</v>
      </c>
      <c r="V1808" s="6">
        <f>IF(ISERROR(VLOOKUP($S$1808,'TAR FIN'!$A$1:$O$95,15,0)),0,VLOOKUP($S$1808,'TAR FIN'!$A$1:$O$95,15,0))</f>
        <v>0</v>
      </c>
      <c r="W1808" s="6">
        <f>IF(ISERROR(VLOOKUP($T$1808,'TAR FIN'!$A$1:$O$95,15,0)),0,VLOOKUP($T$1808,'TAR FIN'!$A$1:$O$95,15,0))</f>
        <v>252.24</v>
      </c>
      <c r="X1808" s="6">
        <f>IF(ISERROR(VLOOKUP($U$1808,'TAR FIN'!$A$1:$O$95,15,0)),0,VLOOKUP($U$1808,'TAR FIN'!$A$1:$O$95,15,0))</f>
        <v>145.97999999999999</v>
      </c>
      <c r="Y1808" s="6"/>
      <c r="Z1808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08" s="6">
        <f>('TE BE'!$AA$15+'TE BF'!$AA$15+'TE CVA'!$AA$15)*(1-CUSTOS!$M$35)</f>
        <v>178.32099824078242</v>
      </c>
      <c r="AB1808" s="6">
        <f>$K$1808*$V$1808</f>
        <v>0</v>
      </c>
      <c r="AC1808" s="6">
        <f>$M$1808*$W$1808</f>
        <v>1527545.2608</v>
      </c>
      <c r="AD1808" s="6">
        <f>$O$1808*$X$1808</f>
        <v>884043.20159999991</v>
      </c>
      <c r="AE1808" s="6">
        <f>$K$1808*$Y$1808</f>
        <v>0</v>
      </c>
      <c r="AF1808" s="6">
        <f ca="1">$M$1808*$Z$1808</f>
        <v>1671576.3464810555</v>
      </c>
      <c r="AG1808" s="6">
        <f>$O$1808*$AA$1808</f>
        <v>1079897.6996663189</v>
      </c>
    </row>
    <row r="1809" spans="1:33" ht="11.25" customHeight="1" x14ac:dyDescent="0.25">
      <c r="A1809" s="4" t="s">
        <v>29</v>
      </c>
      <c r="B1809" s="4" t="s">
        <v>22</v>
      </c>
      <c r="C1809" s="4" t="s">
        <v>23</v>
      </c>
      <c r="D1809" s="4" t="s">
        <v>24</v>
      </c>
      <c r="E1809" s="4" t="s">
        <v>32</v>
      </c>
      <c r="F1809" s="4" t="s">
        <v>25</v>
      </c>
      <c r="G1809" s="4" t="s">
        <v>25</v>
      </c>
      <c r="H1809" s="4" t="s">
        <v>25</v>
      </c>
      <c r="I1809" s="5">
        <v>44197</v>
      </c>
      <c r="J1809" s="6">
        <v>0</v>
      </c>
      <c r="K1809" s="6">
        <v>0</v>
      </c>
      <c r="L1809" s="6">
        <v>-4.3979999999999997</v>
      </c>
      <c r="M1809" s="6">
        <v>-4.3979999999999997</v>
      </c>
      <c r="N1809" s="6">
        <v>-4.3979999999999997</v>
      </c>
      <c r="O1809" s="6">
        <v>-4.3979999999999997</v>
      </c>
      <c r="P1809" s="6">
        <v>0</v>
      </c>
      <c r="Q1809" s="4" t="s">
        <v>26</v>
      </c>
      <c r="R1809" s="4">
        <v>0</v>
      </c>
      <c r="S1809" s="6">
        <v>0</v>
      </c>
      <c r="T1809" s="6">
        <v>10</v>
      </c>
      <c r="U1809" s="6">
        <v>60</v>
      </c>
      <c r="V1809" s="6">
        <f>IF(ISERROR(VLOOKUP($S$1809,'TAR FIN'!$A$1:$O$95,15,0)),0,VLOOKUP($S$1809,'TAR FIN'!$A$1:$O$95,15,0))</f>
        <v>0</v>
      </c>
      <c r="W1809" s="6">
        <f>IF(ISERROR(VLOOKUP($T$1809,'TAR FIN'!$A$1:$O$95,15,0)),0,VLOOKUP($T$1809,'TAR FIN'!$A$1:$O$95,15,0))</f>
        <v>252.24</v>
      </c>
      <c r="X1809" s="6">
        <f>IF(ISERROR(VLOOKUP($U$1809,'TAR FIN'!$A$1:$O$95,15,0)),0,VLOOKUP($U$1809,'TAR FIN'!$A$1:$O$95,15,0))</f>
        <v>145.97999999999999</v>
      </c>
      <c r="Y1809" s="6"/>
      <c r="Z1809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09" s="6">
        <f>('TE BE'!$AA$15+'TE BF'!$AA$15+'TE CVA'!$AA$15)*(1-CUSTOS!$M$35)</f>
        <v>178.32099824078242</v>
      </c>
      <c r="AB1809" s="6">
        <f>$K$1809*$V$1809</f>
        <v>0</v>
      </c>
      <c r="AC1809" s="6">
        <f>$M$1809*$W$1809</f>
        <v>-1109.3515199999999</v>
      </c>
      <c r="AD1809" s="6">
        <f>$O$1809*$X$1809</f>
        <v>-642.02003999999988</v>
      </c>
      <c r="AE1809" s="6">
        <f>$K$1809*$Y$1809</f>
        <v>0</v>
      </c>
      <c r="AF1809" s="6">
        <f ca="1">$M$1809*$Z$1809</f>
        <v>-1213.9514346001401</v>
      </c>
      <c r="AG1809" s="6">
        <f>$O$1809*$AA$1809</f>
        <v>-784.25575026296099</v>
      </c>
    </row>
    <row r="1810" spans="1:33" ht="11.25" customHeight="1" x14ac:dyDescent="0.25">
      <c r="A1810" s="4" t="s">
        <v>30</v>
      </c>
      <c r="B1810" s="4" t="s">
        <v>22</v>
      </c>
      <c r="C1810" s="4" t="s">
        <v>23</v>
      </c>
      <c r="D1810" s="4" t="s">
        <v>24</v>
      </c>
      <c r="E1810" s="4" t="s">
        <v>32</v>
      </c>
      <c r="F1810" s="4" t="s">
        <v>25</v>
      </c>
      <c r="G1810" s="4" t="s">
        <v>25</v>
      </c>
      <c r="H1810" s="4" t="s">
        <v>25</v>
      </c>
      <c r="I1810" s="5">
        <v>44197</v>
      </c>
      <c r="J1810" s="6">
        <v>0</v>
      </c>
      <c r="K1810" s="6">
        <v>0</v>
      </c>
      <c r="L1810" s="6">
        <v>0.02</v>
      </c>
      <c r="M1810" s="6">
        <v>0.02</v>
      </c>
      <c r="N1810" s="6">
        <v>0.02</v>
      </c>
      <c r="O1810" s="6">
        <v>0.02</v>
      </c>
      <c r="P1810" s="6">
        <v>0</v>
      </c>
      <c r="Q1810" s="4" t="s">
        <v>26</v>
      </c>
      <c r="R1810" s="4">
        <v>0</v>
      </c>
      <c r="S1810" s="6">
        <v>0</v>
      </c>
      <c r="T1810" s="6">
        <v>10</v>
      </c>
      <c r="U1810" s="6">
        <v>60</v>
      </c>
      <c r="V1810" s="6">
        <f>IF(ISERROR(VLOOKUP($S$1810,'TAR FIN'!$A$1:$O$95,15,0)),0,VLOOKUP($S$1810,'TAR FIN'!$A$1:$O$95,15,0))</f>
        <v>0</v>
      </c>
      <c r="W1810" s="6">
        <f>IF(ISERROR(VLOOKUP($T$1810,'TAR FIN'!$A$1:$O$95,15,0)),0,VLOOKUP($T$1810,'TAR FIN'!$A$1:$O$95,15,0))</f>
        <v>252.24</v>
      </c>
      <c r="X1810" s="6">
        <f>IF(ISERROR(VLOOKUP($U$1810,'TAR FIN'!$A$1:$O$95,15,0)),0,VLOOKUP($U$1810,'TAR FIN'!$A$1:$O$95,15,0))</f>
        <v>145.97999999999999</v>
      </c>
      <c r="Y1810" s="6"/>
      <c r="Z1810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10" s="6">
        <f>('TE BE'!$AA$15+'TE BF'!$AA$15+'TE CVA'!$AA$15)*(1-CUSTOS!$M$35)</f>
        <v>178.32099824078242</v>
      </c>
      <c r="AB1810" s="6">
        <f>$K$1810*$V$1810</f>
        <v>0</v>
      </c>
      <c r="AC1810" s="6">
        <f>$M$1810*$W$1810</f>
        <v>5.0448000000000004</v>
      </c>
      <c r="AD1810" s="6">
        <f>$O$1810*$X$1810</f>
        <v>2.9196</v>
      </c>
      <c r="AE1810" s="6">
        <f>$K$1810*$Y$1810</f>
        <v>0</v>
      </c>
      <c r="AF1810" s="6">
        <f ca="1">$M$1810*$Z$1810</f>
        <v>5.5204703710784013</v>
      </c>
      <c r="AG1810" s="6">
        <f>$O$1810*$AA$1810</f>
        <v>3.5664199648156485</v>
      </c>
    </row>
    <row r="1811" spans="1:33" ht="11.25" customHeight="1" x14ac:dyDescent="0.25">
      <c r="A1811" s="4" t="s">
        <v>30</v>
      </c>
      <c r="B1811" s="4" t="s">
        <v>22</v>
      </c>
      <c r="C1811" s="4" t="s">
        <v>23</v>
      </c>
      <c r="D1811" s="4" t="s">
        <v>24</v>
      </c>
      <c r="E1811" s="4" t="s">
        <v>32</v>
      </c>
      <c r="F1811" s="4" t="s">
        <v>25</v>
      </c>
      <c r="G1811" s="4" t="s">
        <v>25</v>
      </c>
      <c r="H1811" s="4" t="s">
        <v>25</v>
      </c>
      <c r="I1811" s="5">
        <v>44197</v>
      </c>
      <c r="J1811" s="6">
        <v>0</v>
      </c>
      <c r="K1811" s="6">
        <v>0</v>
      </c>
      <c r="L1811" s="6">
        <v>0.32700000000000001</v>
      </c>
      <c r="M1811" s="6">
        <v>0.32700000000000001</v>
      </c>
      <c r="N1811" s="6">
        <v>0.32700000000000001</v>
      </c>
      <c r="O1811" s="6">
        <v>0.32700000000000001</v>
      </c>
      <c r="P1811" s="6">
        <v>0</v>
      </c>
      <c r="Q1811" s="4" t="s">
        <v>26</v>
      </c>
      <c r="R1811" s="4">
        <v>0</v>
      </c>
      <c r="S1811" s="6">
        <v>0</v>
      </c>
      <c r="T1811" s="6">
        <v>10</v>
      </c>
      <c r="U1811" s="6">
        <v>60</v>
      </c>
      <c r="V1811" s="6">
        <f>IF(ISERROR(VLOOKUP($S$1811,'TAR FIN'!$A$1:$O$95,15,0)),0,VLOOKUP($S$1811,'TAR FIN'!$A$1:$O$95,15,0))</f>
        <v>0</v>
      </c>
      <c r="W1811" s="6">
        <f>IF(ISERROR(VLOOKUP($T$1811,'TAR FIN'!$A$1:$O$95,15,0)),0,VLOOKUP($T$1811,'TAR FIN'!$A$1:$O$95,15,0))</f>
        <v>252.24</v>
      </c>
      <c r="X1811" s="6">
        <f>IF(ISERROR(VLOOKUP($U$1811,'TAR FIN'!$A$1:$O$95,15,0)),0,VLOOKUP($U$1811,'TAR FIN'!$A$1:$O$95,15,0))</f>
        <v>145.97999999999999</v>
      </c>
      <c r="Y1811" s="6"/>
      <c r="Z1811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11" s="6">
        <f>('TE BE'!$AA$15+'TE BF'!$AA$15+'TE CVA'!$AA$15)*(1-CUSTOS!$M$35)</f>
        <v>178.32099824078242</v>
      </c>
      <c r="AB1811" s="6">
        <f>$K$1811*$V$1811</f>
        <v>0</v>
      </c>
      <c r="AC1811" s="6">
        <f>$M$1811*$W$1811</f>
        <v>82.48248000000001</v>
      </c>
      <c r="AD1811" s="6">
        <f>$O$1811*$X$1811</f>
        <v>47.735459999999996</v>
      </c>
      <c r="AE1811" s="6">
        <f>$K$1811*$Y$1811</f>
        <v>0</v>
      </c>
      <c r="AF1811" s="6">
        <f ca="1">$M$1811*$Z$1811</f>
        <v>90.259690567131855</v>
      </c>
      <c r="AG1811" s="6">
        <f>$O$1811*$AA$1811</f>
        <v>58.310966424735852</v>
      </c>
    </row>
    <row r="1812" spans="1:33" ht="11.25" customHeight="1" x14ac:dyDescent="0.25">
      <c r="A1812" s="4" t="s">
        <v>21</v>
      </c>
      <c r="B1812" s="4" t="s">
        <v>22</v>
      </c>
      <c r="C1812" s="4" t="s">
        <v>23</v>
      </c>
      <c r="D1812" s="4" t="s">
        <v>24</v>
      </c>
      <c r="E1812" s="4" t="s">
        <v>32</v>
      </c>
      <c r="F1812" s="4" t="s">
        <v>25</v>
      </c>
      <c r="G1812" s="4" t="s">
        <v>25</v>
      </c>
      <c r="H1812" s="4" t="s">
        <v>25</v>
      </c>
      <c r="I1812" s="5">
        <v>44228</v>
      </c>
      <c r="J1812" s="6">
        <v>0</v>
      </c>
      <c r="K1812" s="6">
        <v>0</v>
      </c>
      <c r="L1812" s="6">
        <v>3629.8249999999998</v>
      </c>
      <c r="M1812" s="6">
        <v>3629.8249999999998</v>
      </c>
      <c r="N1812" s="6">
        <v>3629.8249999999998</v>
      </c>
      <c r="O1812" s="6">
        <v>3629.8249999999998</v>
      </c>
      <c r="P1812" s="6">
        <v>24844</v>
      </c>
      <c r="Q1812" s="4" t="s">
        <v>26</v>
      </c>
      <c r="R1812" s="4">
        <v>0</v>
      </c>
      <c r="S1812" s="6">
        <v>0</v>
      </c>
      <c r="T1812" s="6">
        <v>10</v>
      </c>
      <c r="U1812" s="6">
        <v>60</v>
      </c>
      <c r="V1812" s="6">
        <f>IF(ISERROR(VLOOKUP($S$1812,'TAR FIN'!$A$1:$O$95,15,0)),0,VLOOKUP($S$1812,'TAR FIN'!$A$1:$O$95,15,0))</f>
        <v>0</v>
      </c>
      <c r="W1812" s="6">
        <f>IF(ISERROR(VLOOKUP($T$1812,'TAR FIN'!$A$1:$O$95,15,0)),0,VLOOKUP($T$1812,'TAR FIN'!$A$1:$O$95,15,0))</f>
        <v>252.24</v>
      </c>
      <c r="X1812" s="6">
        <f>IF(ISERROR(VLOOKUP($U$1812,'TAR FIN'!$A$1:$O$95,15,0)),0,VLOOKUP($U$1812,'TAR FIN'!$A$1:$O$95,15,0))</f>
        <v>145.97999999999999</v>
      </c>
      <c r="Y1812" s="6"/>
      <c r="Z1812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12" s="6">
        <f>('TE BE'!$AA$15+'TE BF'!$AA$15+'TE CVA'!$AA$15)*(1-CUSTOS!$M$35)</f>
        <v>178.32099824078242</v>
      </c>
      <c r="AB1812" s="6">
        <f>$K$1812*$V$1812</f>
        <v>0</v>
      </c>
      <c r="AC1812" s="6">
        <f>$M$1812*$W$1812</f>
        <v>915587.05799999996</v>
      </c>
      <c r="AD1812" s="6">
        <f>$O$1812*$X$1812</f>
        <v>529881.85349999997</v>
      </c>
      <c r="AE1812" s="6">
        <f>$K$1812*$Y$1812</f>
        <v>0</v>
      </c>
      <c r="AF1812" s="6">
        <f ca="1">$M$1812*$Z$1812</f>
        <v>1001917.0682349828</v>
      </c>
      <c r="AG1812" s="6">
        <f>$O$1812*$AA$1812</f>
        <v>647274.01743934804</v>
      </c>
    </row>
    <row r="1813" spans="1:33" ht="11.25" customHeight="1" x14ac:dyDescent="0.25">
      <c r="A1813" s="4" t="s">
        <v>27</v>
      </c>
      <c r="B1813" s="4" t="s">
        <v>22</v>
      </c>
      <c r="C1813" s="4" t="s">
        <v>23</v>
      </c>
      <c r="D1813" s="4" t="s">
        <v>24</v>
      </c>
      <c r="E1813" s="4" t="s">
        <v>32</v>
      </c>
      <c r="F1813" s="4" t="s">
        <v>25</v>
      </c>
      <c r="G1813" s="4" t="s">
        <v>25</v>
      </c>
      <c r="H1813" s="4" t="s">
        <v>25</v>
      </c>
      <c r="I1813" s="5">
        <v>44228</v>
      </c>
      <c r="J1813" s="6">
        <v>0</v>
      </c>
      <c r="K1813" s="6">
        <v>0</v>
      </c>
      <c r="L1813" s="6">
        <v>-5.8780000000000001</v>
      </c>
      <c r="M1813" s="6">
        <v>-5.8780000000000001</v>
      </c>
      <c r="N1813" s="6">
        <v>-5.8780000000000001</v>
      </c>
      <c r="O1813" s="6">
        <v>-5.8780000000000001</v>
      </c>
      <c r="P1813" s="6">
        <v>0</v>
      </c>
      <c r="Q1813" s="4" t="s">
        <v>26</v>
      </c>
      <c r="R1813" s="4">
        <v>0</v>
      </c>
      <c r="S1813" s="6">
        <v>0</v>
      </c>
      <c r="T1813" s="6">
        <v>10</v>
      </c>
      <c r="U1813" s="6">
        <v>60</v>
      </c>
      <c r="V1813" s="6">
        <f>IF(ISERROR(VLOOKUP($S$1813,'TAR FIN'!$A$1:$O$95,15,0)),0,VLOOKUP($S$1813,'TAR FIN'!$A$1:$O$95,15,0))</f>
        <v>0</v>
      </c>
      <c r="W1813" s="6">
        <f>IF(ISERROR(VLOOKUP($T$1813,'TAR FIN'!$A$1:$O$95,15,0)),0,VLOOKUP($T$1813,'TAR FIN'!$A$1:$O$95,15,0))</f>
        <v>252.24</v>
      </c>
      <c r="X1813" s="6">
        <f>IF(ISERROR(VLOOKUP($U$1813,'TAR FIN'!$A$1:$O$95,15,0)),0,VLOOKUP($U$1813,'TAR FIN'!$A$1:$O$95,15,0))</f>
        <v>145.97999999999999</v>
      </c>
      <c r="Y1813" s="6"/>
      <c r="Z1813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13" s="6">
        <f>('TE BE'!$AA$15+'TE BF'!$AA$15+'TE CVA'!$AA$15)*(1-CUSTOS!$M$35)</f>
        <v>178.32099824078242</v>
      </c>
      <c r="AB1813" s="6">
        <f>$K$1813*$V$1813</f>
        <v>0</v>
      </c>
      <c r="AC1813" s="6">
        <f>$M$1813*$W$1813</f>
        <v>-1482.6667200000002</v>
      </c>
      <c r="AD1813" s="6">
        <f>$O$1813*$X$1813</f>
        <v>-858.07043999999996</v>
      </c>
      <c r="AE1813" s="6">
        <f>$K$1813*$Y$1813</f>
        <v>0</v>
      </c>
      <c r="AF1813" s="6">
        <f ca="1">$M$1813*$Z$1813</f>
        <v>-1622.466242059942</v>
      </c>
      <c r="AG1813" s="6">
        <f>$O$1813*$AA$1813</f>
        <v>-1048.170827659319</v>
      </c>
    </row>
    <row r="1814" spans="1:33" ht="11.25" customHeight="1" x14ac:dyDescent="0.25">
      <c r="A1814" s="4" t="s">
        <v>28</v>
      </c>
      <c r="B1814" s="4" t="s">
        <v>22</v>
      </c>
      <c r="C1814" s="4" t="s">
        <v>23</v>
      </c>
      <c r="D1814" s="4" t="s">
        <v>24</v>
      </c>
      <c r="E1814" s="4" t="s">
        <v>32</v>
      </c>
      <c r="F1814" s="4" t="s">
        <v>25</v>
      </c>
      <c r="G1814" s="4" t="s">
        <v>25</v>
      </c>
      <c r="H1814" s="4" t="s">
        <v>25</v>
      </c>
      <c r="I1814" s="5">
        <v>44228</v>
      </c>
      <c r="J1814" s="6">
        <v>0</v>
      </c>
      <c r="K1814" s="6">
        <v>0</v>
      </c>
      <c r="L1814" s="6">
        <v>5884.6030000000001</v>
      </c>
      <c r="M1814" s="6">
        <v>5884.6030000000001</v>
      </c>
      <c r="N1814" s="6">
        <v>5884.6030000000001</v>
      </c>
      <c r="O1814" s="6">
        <v>5884.6030000000001</v>
      </c>
      <c r="P1814" s="6">
        <v>35599</v>
      </c>
      <c r="Q1814" s="4" t="s">
        <v>26</v>
      </c>
      <c r="R1814" s="4">
        <v>0</v>
      </c>
      <c r="S1814" s="6">
        <v>0</v>
      </c>
      <c r="T1814" s="6">
        <v>10</v>
      </c>
      <c r="U1814" s="6">
        <v>60</v>
      </c>
      <c r="V1814" s="6">
        <f>IF(ISERROR(VLOOKUP($S$1814,'TAR FIN'!$A$1:$O$95,15,0)),0,VLOOKUP($S$1814,'TAR FIN'!$A$1:$O$95,15,0))</f>
        <v>0</v>
      </c>
      <c r="W1814" s="6">
        <f>IF(ISERROR(VLOOKUP($T$1814,'TAR FIN'!$A$1:$O$95,15,0)),0,VLOOKUP($T$1814,'TAR FIN'!$A$1:$O$95,15,0))</f>
        <v>252.24</v>
      </c>
      <c r="X1814" s="6">
        <f>IF(ISERROR(VLOOKUP($U$1814,'TAR FIN'!$A$1:$O$95,15,0)),0,VLOOKUP($U$1814,'TAR FIN'!$A$1:$O$95,15,0))</f>
        <v>145.97999999999999</v>
      </c>
      <c r="Y1814" s="6"/>
      <c r="Z1814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14" s="6">
        <f>('TE BE'!$AA$15+'TE BF'!$AA$15+'TE CVA'!$AA$15)*(1-CUSTOS!$M$35)</f>
        <v>178.32099824078242</v>
      </c>
      <c r="AB1814" s="6">
        <f>$K$1814*$V$1814</f>
        <v>0</v>
      </c>
      <c r="AC1814" s="6">
        <f>$M$1814*$W$1814</f>
        <v>1484332.2607200001</v>
      </c>
      <c r="AD1814" s="6">
        <f>$O$1814*$X$1814</f>
        <v>859034.34593999991</v>
      </c>
      <c r="AE1814" s="6">
        <f>$K$1814*$Y$1814</f>
        <v>0</v>
      </c>
      <c r="AF1814" s="6">
        <f ca="1">$M$1814*$Z$1814</f>
        <v>1624288.8253529535</v>
      </c>
      <c r="AG1814" s="6">
        <f>$O$1814*$AA$1814</f>
        <v>1049348.2812107028</v>
      </c>
    </row>
    <row r="1815" spans="1:33" ht="11.25" customHeight="1" x14ac:dyDescent="0.25">
      <c r="A1815" s="4" t="s">
        <v>29</v>
      </c>
      <c r="B1815" s="4" t="s">
        <v>22</v>
      </c>
      <c r="C1815" s="4" t="s">
        <v>23</v>
      </c>
      <c r="D1815" s="4" t="s">
        <v>24</v>
      </c>
      <c r="E1815" s="4" t="s">
        <v>32</v>
      </c>
      <c r="F1815" s="4" t="s">
        <v>25</v>
      </c>
      <c r="G1815" s="4" t="s">
        <v>25</v>
      </c>
      <c r="H1815" s="4" t="s">
        <v>25</v>
      </c>
      <c r="I1815" s="5">
        <v>44228</v>
      </c>
      <c r="J1815" s="6">
        <v>0</v>
      </c>
      <c r="K1815" s="6">
        <v>0</v>
      </c>
      <c r="L1815" s="6">
        <v>-15.532999999999999</v>
      </c>
      <c r="M1815" s="6">
        <v>-15.532999999999999</v>
      </c>
      <c r="N1815" s="6">
        <v>-15.532999999999999</v>
      </c>
      <c r="O1815" s="6">
        <v>-15.532999999999999</v>
      </c>
      <c r="P1815" s="6">
        <v>0</v>
      </c>
      <c r="Q1815" s="4" t="s">
        <v>26</v>
      </c>
      <c r="R1815" s="4">
        <v>0</v>
      </c>
      <c r="S1815" s="6">
        <v>0</v>
      </c>
      <c r="T1815" s="6">
        <v>10</v>
      </c>
      <c r="U1815" s="6">
        <v>60</v>
      </c>
      <c r="V1815" s="6">
        <f>IF(ISERROR(VLOOKUP($S$1815,'TAR FIN'!$A$1:$O$95,15,0)),0,VLOOKUP($S$1815,'TAR FIN'!$A$1:$O$95,15,0))</f>
        <v>0</v>
      </c>
      <c r="W1815" s="6">
        <f>IF(ISERROR(VLOOKUP($T$1815,'TAR FIN'!$A$1:$O$95,15,0)),0,VLOOKUP($T$1815,'TAR FIN'!$A$1:$O$95,15,0))</f>
        <v>252.24</v>
      </c>
      <c r="X1815" s="6">
        <f>IF(ISERROR(VLOOKUP($U$1815,'TAR FIN'!$A$1:$O$95,15,0)),0,VLOOKUP($U$1815,'TAR FIN'!$A$1:$O$95,15,0))</f>
        <v>145.97999999999999</v>
      </c>
      <c r="Y1815" s="6"/>
      <c r="Z1815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15" s="6">
        <f>('TE BE'!$AA$15+'TE BF'!$AA$15+'TE CVA'!$AA$15)*(1-CUSTOS!$M$35)</f>
        <v>178.32099824078242</v>
      </c>
      <c r="AB1815" s="6">
        <f>$K$1815*$V$1815</f>
        <v>0</v>
      </c>
      <c r="AC1815" s="6">
        <f>$M$1815*$W$1815</f>
        <v>-3918.0439200000001</v>
      </c>
      <c r="AD1815" s="6">
        <f>$O$1815*$X$1815</f>
        <v>-2267.5073399999997</v>
      </c>
      <c r="AE1815" s="6">
        <f>$K$1815*$Y$1815</f>
        <v>0</v>
      </c>
      <c r="AF1815" s="6">
        <f ca="1">$M$1815*$Z$1815</f>
        <v>-4287.4733136980394</v>
      </c>
      <c r="AG1815" s="6">
        <f>$O$1815*$AA$1815</f>
        <v>-2769.8600656740732</v>
      </c>
    </row>
    <row r="1816" spans="1:33" ht="11.25" customHeight="1" x14ac:dyDescent="0.25">
      <c r="A1816" s="4" t="s">
        <v>30</v>
      </c>
      <c r="B1816" s="4" t="s">
        <v>22</v>
      </c>
      <c r="C1816" s="4" t="s">
        <v>23</v>
      </c>
      <c r="D1816" s="4" t="s">
        <v>24</v>
      </c>
      <c r="E1816" s="4" t="s">
        <v>32</v>
      </c>
      <c r="F1816" s="4" t="s">
        <v>25</v>
      </c>
      <c r="G1816" s="4" t="s">
        <v>25</v>
      </c>
      <c r="H1816" s="4" t="s">
        <v>25</v>
      </c>
      <c r="I1816" s="5">
        <v>44228</v>
      </c>
      <c r="J1816" s="6">
        <v>0</v>
      </c>
      <c r="K1816" s="6">
        <v>0</v>
      </c>
      <c r="L1816" s="6">
        <v>0.11</v>
      </c>
      <c r="M1816" s="6">
        <v>0.11</v>
      </c>
      <c r="N1816" s="6">
        <v>0.11</v>
      </c>
      <c r="O1816" s="6">
        <v>0.11</v>
      </c>
      <c r="P1816" s="6">
        <v>0</v>
      </c>
      <c r="Q1816" s="4" t="s">
        <v>26</v>
      </c>
      <c r="R1816" s="4">
        <v>0</v>
      </c>
      <c r="S1816" s="6">
        <v>0</v>
      </c>
      <c r="T1816" s="6">
        <v>10</v>
      </c>
      <c r="U1816" s="6">
        <v>60</v>
      </c>
      <c r="V1816" s="6">
        <f>IF(ISERROR(VLOOKUP($S$1816,'TAR FIN'!$A$1:$O$95,15,0)),0,VLOOKUP($S$1816,'TAR FIN'!$A$1:$O$95,15,0))</f>
        <v>0</v>
      </c>
      <c r="W1816" s="6">
        <f>IF(ISERROR(VLOOKUP($T$1816,'TAR FIN'!$A$1:$O$95,15,0)),0,VLOOKUP($T$1816,'TAR FIN'!$A$1:$O$95,15,0))</f>
        <v>252.24</v>
      </c>
      <c r="X1816" s="6">
        <f>IF(ISERROR(VLOOKUP($U$1816,'TAR FIN'!$A$1:$O$95,15,0)),0,VLOOKUP($U$1816,'TAR FIN'!$A$1:$O$95,15,0))</f>
        <v>145.97999999999999</v>
      </c>
      <c r="Y1816" s="6"/>
      <c r="Z1816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16" s="6">
        <f>('TE BE'!$AA$15+'TE BF'!$AA$15+'TE CVA'!$AA$15)*(1-CUSTOS!$M$35)</f>
        <v>178.32099824078242</v>
      </c>
      <c r="AB1816" s="6">
        <f>$K$1816*$V$1816</f>
        <v>0</v>
      </c>
      <c r="AC1816" s="6">
        <f>$M$1816*$W$1816</f>
        <v>27.746400000000001</v>
      </c>
      <c r="AD1816" s="6">
        <f>$O$1816*$X$1816</f>
        <v>16.0578</v>
      </c>
      <c r="AE1816" s="6">
        <f>$K$1816*$Y$1816</f>
        <v>0</v>
      </c>
      <c r="AF1816" s="6">
        <f ca="1">$M$1816*$Z$1816</f>
        <v>30.362587040931206</v>
      </c>
      <c r="AG1816" s="6">
        <f>$O$1816*$AA$1816</f>
        <v>19.615309806486067</v>
      </c>
    </row>
    <row r="1817" spans="1:33" ht="11.25" customHeight="1" x14ac:dyDescent="0.25">
      <c r="A1817" s="4" t="s">
        <v>21</v>
      </c>
      <c r="B1817" s="4" t="s">
        <v>22</v>
      </c>
      <c r="C1817" s="4" t="s">
        <v>23</v>
      </c>
      <c r="D1817" s="4" t="s">
        <v>24</v>
      </c>
      <c r="E1817" s="4" t="s">
        <v>32</v>
      </c>
      <c r="F1817" s="4" t="s">
        <v>25</v>
      </c>
      <c r="G1817" s="4" t="s">
        <v>25</v>
      </c>
      <c r="H1817" s="4" t="s">
        <v>25</v>
      </c>
      <c r="I1817" s="5">
        <v>44256</v>
      </c>
      <c r="J1817" s="6">
        <v>0</v>
      </c>
      <c r="K1817" s="6">
        <v>0</v>
      </c>
      <c r="L1817" s="6">
        <v>3651.268</v>
      </c>
      <c r="M1817" s="6">
        <v>3651.268</v>
      </c>
      <c r="N1817" s="6">
        <v>3651.268</v>
      </c>
      <c r="O1817" s="6">
        <v>3651.268</v>
      </c>
      <c r="P1817" s="6">
        <v>23187</v>
      </c>
      <c r="Q1817" s="4" t="s">
        <v>26</v>
      </c>
      <c r="R1817" s="4">
        <v>0</v>
      </c>
      <c r="S1817" s="6">
        <v>0</v>
      </c>
      <c r="T1817" s="6">
        <v>10</v>
      </c>
      <c r="U1817" s="6">
        <v>60</v>
      </c>
      <c r="V1817" s="6">
        <f>IF(ISERROR(VLOOKUP($S$1817,'TAR FIN'!$A$1:$O$95,15,0)),0,VLOOKUP($S$1817,'TAR FIN'!$A$1:$O$95,15,0))</f>
        <v>0</v>
      </c>
      <c r="W1817" s="6">
        <f>IF(ISERROR(VLOOKUP($T$1817,'TAR FIN'!$A$1:$O$95,15,0)),0,VLOOKUP($T$1817,'TAR FIN'!$A$1:$O$95,15,0))</f>
        <v>252.24</v>
      </c>
      <c r="X1817" s="6">
        <f>IF(ISERROR(VLOOKUP($U$1817,'TAR FIN'!$A$1:$O$95,15,0)),0,VLOOKUP($U$1817,'TAR FIN'!$A$1:$O$95,15,0))</f>
        <v>145.97999999999999</v>
      </c>
      <c r="Y1817" s="6"/>
      <c r="Z1817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17" s="6">
        <f>('TE BE'!$AA$15+'TE BF'!$AA$15+'TE CVA'!$AA$15)*(1-CUSTOS!$M$35)</f>
        <v>178.32099824078242</v>
      </c>
      <c r="AB1817" s="6">
        <f>$K$1817*$V$1817</f>
        <v>0</v>
      </c>
      <c r="AC1817" s="6">
        <f>$M$1817*$W$1817</f>
        <v>920995.84032000008</v>
      </c>
      <c r="AD1817" s="6">
        <f>$O$1817*$X$1817</f>
        <v>533012.10263999994</v>
      </c>
      <c r="AE1817" s="6">
        <f>$K$1817*$Y$1817</f>
        <v>0</v>
      </c>
      <c r="AF1817" s="6">
        <f ca="1">$M$1817*$Z$1817</f>
        <v>1007835.8405433345</v>
      </c>
      <c r="AG1817" s="6">
        <f>$O$1817*$AA$1817</f>
        <v>651097.75460462517</v>
      </c>
    </row>
    <row r="1818" spans="1:33" ht="11.25" customHeight="1" x14ac:dyDescent="0.25">
      <c r="A1818" s="4" t="s">
        <v>27</v>
      </c>
      <c r="B1818" s="4" t="s">
        <v>22</v>
      </c>
      <c r="C1818" s="4" t="s">
        <v>23</v>
      </c>
      <c r="D1818" s="4" t="s">
        <v>24</v>
      </c>
      <c r="E1818" s="4" t="s">
        <v>32</v>
      </c>
      <c r="F1818" s="4" t="s">
        <v>25</v>
      </c>
      <c r="G1818" s="4" t="s">
        <v>25</v>
      </c>
      <c r="H1818" s="4" t="s">
        <v>25</v>
      </c>
      <c r="I1818" s="5">
        <v>44256</v>
      </c>
      <c r="J1818" s="6">
        <v>0</v>
      </c>
      <c r="K1818" s="6">
        <v>0</v>
      </c>
      <c r="L1818" s="6">
        <v>-28.635999999999999</v>
      </c>
      <c r="M1818" s="6">
        <v>-28.635999999999999</v>
      </c>
      <c r="N1818" s="6">
        <v>-28.635999999999999</v>
      </c>
      <c r="O1818" s="6">
        <v>-28.635999999999999</v>
      </c>
      <c r="P1818" s="6">
        <v>0</v>
      </c>
      <c r="Q1818" s="4" t="s">
        <v>26</v>
      </c>
      <c r="R1818" s="4">
        <v>0</v>
      </c>
      <c r="S1818" s="6">
        <v>0</v>
      </c>
      <c r="T1818" s="6">
        <v>10</v>
      </c>
      <c r="U1818" s="6">
        <v>60</v>
      </c>
      <c r="V1818" s="6">
        <f>IF(ISERROR(VLOOKUP($S$1818,'TAR FIN'!$A$1:$O$95,15,0)),0,VLOOKUP($S$1818,'TAR FIN'!$A$1:$O$95,15,0))</f>
        <v>0</v>
      </c>
      <c r="W1818" s="6">
        <f>IF(ISERROR(VLOOKUP($T$1818,'TAR FIN'!$A$1:$O$95,15,0)),0,VLOOKUP($T$1818,'TAR FIN'!$A$1:$O$95,15,0))</f>
        <v>252.24</v>
      </c>
      <c r="X1818" s="6">
        <f>IF(ISERROR(VLOOKUP($U$1818,'TAR FIN'!$A$1:$O$95,15,0)),0,VLOOKUP($U$1818,'TAR FIN'!$A$1:$O$95,15,0))</f>
        <v>145.97999999999999</v>
      </c>
      <c r="Y1818" s="6"/>
      <c r="Z1818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18" s="6">
        <f>('TE BE'!$AA$15+'TE BF'!$AA$15+'TE CVA'!$AA$15)*(1-CUSTOS!$M$35)</f>
        <v>178.32099824078242</v>
      </c>
      <c r="AB1818" s="6">
        <f>$K$1818*$V$1818</f>
        <v>0</v>
      </c>
      <c r="AC1818" s="6">
        <f>$M$1818*$W$1818</f>
        <v>-7223.1446400000004</v>
      </c>
      <c r="AD1818" s="6">
        <f>$O$1818*$X$1818</f>
        <v>-4180.2832799999996</v>
      </c>
      <c r="AE1818" s="6">
        <f>$K$1818*$Y$1818</f>
        <v>0</v>
      </c>
      <c r="AF1818" s="6">
        <f ca="1">$M$1818*$Z$1818</f>
        <v>-7904.2094773100544</v>
      </c>
      <c r="AG1818" s="6">
        <f>$O$1818*$AA$1818</f>
        <v>-5106.4001056230454</v>
      </c>
    </row>
    <row r="1819" spans="1:33" ht="11.25" customHeight="1" x14ac:dyDescent="0.25">
      <c r="A1819" s="4" t="s">
        <v>28</v>
      </c>
      <c r="B1819" s="4" t="s">
        <v>22</v>
      </c>
      <c r="C1819" s="4" t="s">
        <v>23</v>
      </c>
      <c r="D1819" s="4" t="s">
        <v>24</v>
      </c>
      <c r="E1819" s="4" t="s">
        <v>32</v>
      </c>
      <c r="F1819" s="4" t="s">
        <v>25</v>
      </c>
      <c r="G1819" s="4" t="s">
        <v>25</v>
      </c>
      <c r="H1819" s="4" t="s">
        <v>25</v>
      </c>
      <c r="I1819" s="5">
        <v>44256</v>
      </c>
      <c r="J1819" s="6">
        <v>0</v>
      </c>
      <c r="K1819" s="6">
        <v>0</v>
      </c>
      <c r="L1819" s="6">
        <v>6013.1149999999998</v>
      </c>
      <c r="M1819" s="6">
        <v>6013.1149999999998</v>
      </c>
      <c r="N1819" s="6">
        <v>6013.1149999999998</v>
      </c>
      <c r="O1819" s="6">
        <v>6013.1149999999998</v>
      </c>
      <c r="P1819" s="6">
        <v>36178</v>
      </c>
      <c r="Q1819" s="4" t="s">
        <v>26</v>
      </c>
      <c r="R1819" s="4">
        <v>0</v>
      </c>
      <c r="S1819" s="6">
        <v>0</v>
      </c>
      <c r="T1819" s="6">
        <v>10</v>
      </c>
      <c r="U1819" s="6">
        <v>60</v>
      </c>
      <c r="V1819" s="6">
        <f>IF(ISERROR(VLOOKUP($S$1819,'TAR FIN'!$A$1:$O$95,15,0)),0,VLOOKUP($S$1819,'TAR FIN'!$A$1:$O$95,15,0))</f>
        <v>0</v>
      </c>
      <c r="W1819" s="6">
        <f>IF(ISERROR(VLOOKUP($T$1819,'TAR FIN'!$A$1:$O$95,15,0)),0,VLOOKUP($T$1819,'TAR FIN'!$A$1:$O$95,15,0))</f>
        <v>252.24</v>
      </c>
      <c r="X1819" s="6">
        <f>IF(ISERROR(VLOOKUP($U$1819,'TAR FIN'!$A$1:$O$95,15,0)),0,VLOOKUP($U$1819,'TAR FIN'!$A$1:$O$95,15,0))</f>
        <v>145.97999999999999</v>
      </c>
      <c r="Y1819" s="6"/>
      <c r="Z1819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19" s="6">
        <f>('TE BE'!$AA$15+'TE BF'!$AA$15+'TE CVA'!$AA$15)*(1-CUSTOS!$M$35)</f>
        <v>178.32099824078242</v>
      </c>
      <c r="AB1819" s="6">
        <f>$K$1819*$V$1819</f>
        <v>0</v>
      </c>
      <c r="AC1819" s="6">
        <f>$M$1819*$W$1819</f>
        <v>1516748.1276</v>
      </c>
      <c r="AD1819" s="6">
        <f>$O$1819*$X$1819</f>
        <v>877794.52769999986</v>
      </c>
      <c r="AE1819" s="6">
        <f>$K$1819*$Y$1819</f>
        <v>0</v>
      </c>
      <c r="AF1819" s="6">
        <f ca="1">$M$1819*$Z$1819</f>
        <v>1659761.1597693549</v>
      </c>
      <c r="AG1819" s="6">
        <f>$O$1819*$AA$1819</f>
        <v>1072264.6693366223</v>
      </c>
    </row>
    <row r="1820" spans="1:33" ht="11.25" customHeight="1" x14ac:dyDescent="0.25">
      <c r="A1820" s="4" t="s">
        <v>29</v>
      </c>
      <c r="B1820" s="4" t="s">
        <v>22</v>
      </c>
      <c r="C1820" s="4" t="s">
        <v>23</v>
      </c>
      <c r="D1820" s="4" t="s">
        <v>24</v>
      </c>
      <c r="E1820" s="4" t="s">
        <v>32</v>
      </c>
      <c r="F1820" s="4" t="s">
        <v>25</v>
      </c>
      <c r="G1820" s="4" t="s">
        <v>25</v>
      </c>
      <c r="H1820" s="4" t="s">
        <v>25</v>
      </c>
      <c r="I1820" s="5">
        <v>44256</v>
      </c>
      <c r="J1820" s="6">
        <v>0</v>
      </c>
      <c r="K1820" s="6">
        <v>0</v>
      </c>
      <c r="L1820" s="6">
        <v>-10.236000000000001</v>
      </c>
      <c r="M1820" s="6">
        <v>-10.236000000000001</v>
      </c>
      <c r="N1820" s="6">
        <v>-10.236000000000001</v>
      </c>
      <c r="O1820" s="6">
        <v>-10.236000000000001</v>
      </c>
      <c r="P1820" s="6">
        <v>0</v>
      </c>
      <c r="Q1820" s="4" t="s">
        <v>26</v>
      </c>
      <c r="R1820" s="4">
        <v>0</v>
      </c>
      <c r="S1820" s="6">
        <v>0</v>
      </c>
      <c r="T1820" s="6">
        <v>10</v>
      </c>
      <c r="U1820" s="6">
        <v>60</v>
      </c>
      <c r="V1820" s="6">
        <f>IF(ISERROR(VLOOKUP($S$1820,'TAR FIN'!$A$1:$O$95,15,0)),0,VLOOKUP($S$1820,'TAR FIN'!$A$1:$O$95,15,0))</f>
        <v>0</v>
      </c>
      <c r="W1820" s="6">
        <f>IF(ISERROR(VLOOKUP($T$1820,'TAR FIN'!$A$1:$O$95,15,0)),0,VLOOKUP($T$1820,'TAR FIN'!$A$1:$O$95,15,0))</f>
        <v>252.24</v>
      </c>
      <c r="X1820" s="6">
        <f>IF(ISERROR(VLOOKUP($U$1820,'TAR FIN'!$A$1:$O$95,15,0)),0,VLOOKUP($U$1820,'TAR FIN'!$A$1:$O$95,15,0))</f>
        <v>145.97999999999999</v>
      </c>
      <c r="Y1820" s="6"/>
      <c r="Z1820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20" s="6">
        <f>('TE BE'!$AA$15+'TE BF'!$AA$15+'TE CVA'!$AA$15)*(1-CUSTOS!$M$35)</f>
        <v>178.32099824078242</v>
      </c>
      <c r="AB1820" s="6">
        <f>$K$1820*$V$1820</f>
        <v>0</v>
      </c>
      <c r="AC1820" s="6">
        <f>$M$1820*$W$1820</f>
        <v>-2581.9286400000001</v>
      </c>
      <c r="AD1820" s="6">
        <f>$O$1820*$X$1820</f>
        <v>-1494.25128</v>
      </c>
      <c r="AE1820" s="6">
        <f>$K$1820*$Y$1820</f>
        <v>0</v>
      </c>
      <c r="AF1820" s="6">
        <f ca="1">$M$1820*$Z$1820</f>
        <v>-2825.3767359179255</v>
      </c>
      <c r="AG1820" s="6">
        <f>$O$1820*$AA$1820</f>
        <v>-1825.2937379926489</v>
      </c>
    </row>
    <row r="1821" spans="1:33" ht="11.25" customHeight="1" x14ac:dyDescent="0.25">
      <c r="A1821" s="4" t="s">
        <v>30</v>
      </c>
      <c r="B1821" s="4" t="s">
        <v>22</v>
      </c>
      <c r="C1821" s="4" t="s">
        <v>23</v>
      </c>
      <c r="D1821" s="4" t="s">
        <v>24</v>
      </c>
      <c r="E1821" s="4" t="s">
        <v>32</v>
      </c>
      <c r="F1821" s="4" t="s">
        <v>25</v>
      </c>
      <c r="G1821" s="4" t="s">
        <v>25</v>
      </c>
      <c r="H1821" s="4" t="s">
        <v>25</v>
      </c>
      <c r="I1821" s="5">
        <v>44256</v>
      </c>
      <c r="J1821" s="6">
        <v>0</v>
      </c>
      <c r="K1821" s="6">
        <v>0</v>
      </c>
      <c r="L1821" s="6">
        <v>0.31</v>
      </c>
      <c r="M1821" s="6">
        <v>0.31</v>
      </c>
      <c r="N1821" s="6">
        <v>0.31</v>
      </c>
      <c r="O1821" s="6">
        <v>0.31</v>
      </c>
      <c r="P1821" s="6">
        <v>0</v>
      </c>
      <c r="Q1821" s="4" t="s">
        <v>26</v>
      </c>
      <c r="R1821" s="4">
        <v>0</v>
      </c>
      <c r="S1821" s="6">
        <v>0</v>
      </c>
      <c r="T1821" s="6">
        <v>10</v>
      </c>
      <c r="U1821" s="6">
        <v>60</v>
      </c>
      <c r="V1821" s="6">
        <f>IF(ISERROR(VLOOKUP($S$1821,'TAR FIN'!$A$1:$O$95,15,0)),0,VLOOKUP($S$1821,'TAR FIN'!$A$1:$O$95,15,0))</f>
        <v>0</v>
      </c>
      <c r="W1821" s="6">
        <f>IF(ISERROR(VLOOKUP($T$1821,'TAR FIN'!$A$1:$O$95,15,0)),0,VLOOKUP($T$1821,'TAR FIN'!$A$1:$O$95,15,0))</f>
        <v>252.24</v>
      </c>
      <c r="X1821" s="6">
        <f>IF(ISERROR(VLOOKUP($U$1821,'TAR FIN'!$A$1:$O$95,15,0)),0,VLOOKUP($U$1821,'TAR FIN'!$A$1:$O$95,15,0))</f>
        <v>145.97999999999999</v>
      </c>
      <c r="Y1821" s="6"/>
      <c r="Z1821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21" s="6">
        <f>('TE BE'!$AA$15+'TE BF'!$AA$15+'TE CVA'!$AA$15)*(1-CUSTOS!$M$35)</f>
        <v>178.32099824078242</v>
      </c>
      <c r="AB1821" s="6">
        <f>$K$1821*$V$1821</f>
        <v>0</v>
      </c>
      <c r="AC1821" s="6">
        <f>$M$1821*$W$1821</f>
        <v>78.194400000000002</v>
      </c>
      <c r="AD1821" s="6">
        <f>$O$1821*$X$1821</f>
        <v>45.253799999999998</v>
      </c>
      <c r="AE1821" s="6">
        <f>$K$1821*$Y$1821</f>
        <v>0</v>
      </c>
      <c r="AF1821" s="6">
        <f ca="1">$M$1821*$Z$1821</f>
        <v>85.567290751715205</v>
      </c>
      <c r="AG1821" s="6">
        <f>$O$1821*$AA$1821</f>
        <v>55.27950945464255</v>
      </c>
    </row>
    <row r="1822" spans="1:33" ht="11.25" customHeight="1" x14ac:dyDescent="0.25">
      <c r="A1822" s="4" t="s">
        <v>21</v>
      </c>
      <c r="B1822" s="4" t="s">
        <v>22</v>
      </c>
      <c r="C1822" s="4" t="s">
        <v>23</v>
      </c>
      <c r="D1822" s="4" t="s">
        <v>24</v>
      </c>
      <c r="E1822" s="4" t="s">
        <v>32</v>
      </c>
      <c r="F1822" s="4" t="s">
        <v>25</v>
      </c>
      <c r="G1822" s="4" t="s">
        <v>25</v>
      </c>
      <c r="H1822" s="4" t="s">
        <v>25</v>
      </c>
      <c r="I1822" s="5">
        <v>44287</v>
      </c>
      <c r="J1822" s="6">
        <v>0</v>
      </c>
      <c r="K1822" s="6">
        <v>0</v>
      </c>
      <c r="L1822" s="6">
        <v>3515.0920000000001</v>
      </c>
      <c r="M1822" s="6">
        <v>3515.0920000000001</v>
      </c>
      <c r="N1822" s="6">
        <v>3515.0920000000001</v>
      </c>
      <c r="O1822" s="6">
        <v>3515.0920000000001</v>
      </c>
      <c r="P1822" s="6">
        <v>16611</v>
      </c>
      <c r="Q1822" s="4" t="s">
        <v>26</v>
      </c>
      <c r="R1822" s="4">
        <v>0</v>
      </c>
      <c r="S1822" s="6">
        <v>0</v>
      </c>
      <c r="T1822" s="6">
        <v>10</v>
      </c>
      <c r="U1822" s="6">
        <v>60</v>
      </c>
      <c r="V1822" s="6">
        <f>IF(ISERROR(VLOOKUP($S$1822,'TAR FIN'!$A$1:$O$95,15,0)),0,VLOOKUP($S$1822,'TAR FIN'!$A$1:$O$95,15,0))</f>
        <v>0</v>
      </c>
      <c r="W1822" s="6">
        <f>IF(ISERROR(VLOOKUP($T$1822,'TAR FIN'!$A$1:$O$95,15,0)),0,VLOOKUP($T$1822,'TAR FIN'!$A$1:$O$95,15,0))</f>
        <v>252.24</v>
      </c>
      <c r="X1822" s="6">
        <f>IF(ISERROR(VLOOKUP($U$1822,'TAR FIN'!$A$1:$O$95,15,0)),0,VLOOKUP($U$1822,'TAR FIN'!$A$1:$O$95,15,0))</f>
        <v>145.97999999999999</v>
      </c>
      <c r="Y1822" s="6"/>
      <c r="Z1822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22" s="6">
        <f>('TE BE'!$AA$15+'TE BF'!$AA$15+'TE CVA'!$AA$15)*(1-CUSTOS!$M$35)</f>
        <v>178.32099824078242</v>
      </c>
      <c r="AB1822" s="6">
        <f>$K$1822*$V$1822</f>
        <v>0</v>
      </c>
      <c r="AC1822" s="6">
        <f>$M$1822*$W$1822</f>
        <v>886646.80608000001</v>
      </c>
      <c r="AD1822" s="6">
        <f>$O$1822*$X$1822</f>
        <v>513133.13016</v>
      </c>
      <c r="AE1822" s="6">
        <f>$K$1822*$Y$1822</f>
        <v>0</v>
      </c>
      <c r="AF1822" s="6">
        <f ca="1">$M$1822*$Z$1822</f>
        <v>970248.06188073591</v>
      </c>
      <c r="AG1822" s="6">
        <f>$O$1822*$AA$1822</f>
        <v>626814.71434818837</v>
      </c>
    </row>
    <row r="1823" spans="1:33" ht="11.25" customHeight="1" x14ac:dyDescent="0.25">
      <c r="A1823" s="4" t="s">
        <v>27</v>
      </c>
      <c r="B1823" s="4" t="s">
        <v>22</v>
      </c>
      <c r="C1823" s="4" t="s">
        <v>23</v>
      </c>
      <c r="D1823" s="4" t="s">
        <v>24</v>
      </c>
      <c r="E1823" s="4" t="s">
        <v>32</v>
      </c>
      <c r="F1823" s="4" t="s">
        <v>25</v>
      </c>
      <c r="G1823" s="4" t="s">
        <v>25</v>
      </c>
      <c r="H1823" s="4" t="s">
        <v>25</v>
      </c>
      <c r="I1823" s="5">
        <v>44287</v>
      </c>
      <c r="J1823" s="6">
        <v>0</v>
      </c>
      <c r="K1823" s="6">
        <v>0</v>
      </c>
      <c r="L1823" s="6">
        <v>-6.1360000000000001</v>
      </c>
      <c r="M1823" s="6">
        <v>-6.1360000000000001</v>
      </c>
      <c r="N1823" s="6">
        <v>-6.1360000000000001</v>
      </c>
      <c r="O1823" s="6">
        <v>-6.1360000000000001</v>
      </c>
      <c r="P1823" s="6">
        <v>0</v>
      </c>
      <c r="Q1823" s="4" t="s">
        <v>26</v>
      </c>
      <c r="R1823" s="4">
        <v>0</v>
      </c>
      <c r="S1823" s="6">
        <v>0</v>
      </c>
      <c r="T1823" s="6">
        <v>10</v>
      </c>
      <c r="U1823" s="6">
        <v>60</v>
      </c>
      <c r="V1823" s="6">
        <f>IF(ISERROR(VLOOKUP($S$1823,'TAR FIN'!$A$1:$O$95,15,0)),0,VLOOKUP($S$1823,'TAR FIN'!$A$1:$O$95,15,0))</f>
        <v>0</v>
      </c>
      <c r="W1823" s="6">
        <f>IF(ISERROR(VLOOKUP($T$1823,'TAR FIN'!$A$1:$O$95,15,0)),0,VLOOKUP($T$1823,'TAR FIN'!$A$1:$O$95,15,0))</f>
        <v>252.24</v>
      </c>
      <c r="X1823" s="6">
        <f>IF(ISERROR(VLOOKUP($U$1823,'TAR FIN'!$A$1:$O$95,15,0)),0,VLOOKUP($U$1823,'TAR FIN'!$A$1:$O$95,15,0))</f>
        <v>145.97999999999999</v>
      </c>
      <c r="Y1823" s="6"/>
      <c r="Z1823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23" s="6">
        <f>('TE BE'!$AA$15+'TE BF'!$AA$15+'TE CVA'!$AA$15)*(1-CUSTOS!$M$35)</f>
        <v>178.32099824078242</v>
      </c>
      <c r="AB1823" s="6">
        <f>$K$1823*$V$1823</f>
        <v>0</v>
      </c>
      <c r="AC1823" s="6">
        <f>$M$1823*$W$1823</f>
        <v>-1547.7446400000001</v>
      </c>
      <c r="AD1823" s="6">
        <f>$O$1823*$X$1823</f>
        <v>-895.73327999999992</v>
      </c>
      <c r="AE1823" s="6">
        <f>$K$1823*$Y$1823</f>
        <v>0</v>
      </c>
      <c r="AF1823" s="6">
        <f ca="1">$M$1823*$Z$1823</f>
        <v>-1693.6803098468533</v>
      </c>
      <c r="AG1823" s="6">
        <f>$O$1823*$AA$1823</f>
        <v>-1094.177645205441</v>
      </c>
    </row>
    <row r="1824" spans="1:33" ht="11.25" customHeight="1" x14ac:dyDescent="0.25">
      <c r="A1824" s="4" t="s">
        <v>28</v>
      </c>
      <c r="B1824" s="4" t="s">
        <v>22</v>
      </c>
      <c r="C1824" s="4" t="s">
        <v>23</v>
      </c>
      <c r="D1824" s="4" t="s">
        <v>24</v>
      </c>
      <c r="E1824" s="4" t="s">
        <v>32</v>
      </c>
      <c r="F1824" s="4" t="s">
        <v>25</v>
      </c>
      <c r="G1824" s="4" t="s">
        <v>25</v>
      </c>
      <c r="H1824" s="4" t="s">
        <v>25</v>
      </c>
      <c r="I1824" s="5">
        <v>44287</v>
      </c>
      <c r="J1824" s="6">
        <v>0</v>
      </c>
      <c r="K1824" s="6">
        <v>0</v>
      </c>
      <c r="L1824" s="6">
        <v>6156.6170000000002</v>
      </c>
      <c r="M1824" s="6">
        <v>6156.6170000000002</v>
      </c>
      <c r="N1824" s="6">
        <v>6156.6170000000002</v>
      </c>
      <c r="O1824" s="6">
        <v>6156.6170000000002</v>
      </c>
      <c r="P1824" s="6">
        <v>31457</v>
      </c>
      <c r="Q1824" s="4" t="s">
        <v>26</v>
      </c>
      <c r="R1824" s="4">
        <v>0</v>
      </c>
      <c r="S1824" s="6">
        <v>0</v>
      </c>
      <c r="T1824" s="6">
        <v>10</v>
      </c>
      <c r="U1824" s="6">
        <v>60</v>
      </c>
      <c r="V1824" s="6">
        <f>IF(ISERROR(VLOOKUP($S$1824,'TAR FIN'!$A$1:$O$95,15,0)),0,VLOOKUP($S$1824,'TAR FIN'!$A$1:$O$95,15,0))</f>
        <v>0</v>
      </c>
      <c r="W1824" s="6">
        <f>IF(ISERROR(VLOOKUP($T$1824,'TAR FIN'!$A$1:$O$95,15,0)),0,VLOOKUP($T$1824,'TAR FIN'!$A$1:$O$95,15,0))</f>
        <v>252.24</v>
      </c>
      <c r="X1824" s="6">
        <f>IF(ISERROR(VLOOKUP($U$1824,'TAR FIN'!$A$1:$O$95,15,0)),0,VLOOKUP($U$1824,'TAR FIN'!$A$1:$O$95,15,0))</f>
        <v>145.97999999999999</v>
      </c>
      <c r="Y1824" s="6"/>
      <c r="Z1824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24" s="6">
        <f>('TE BE'!$AA$15+'TE BF'!$AA$15+'TE CVA'!$AA$15)*(1-CUSTOS!$M$35)</f>
        <v>178.32099824078242</v>
      </c>
      <c r="AB1824" s="6">
        <f>$K$1824*$V$1824</f>
        <v>0</v>
      </c>
      <c r="AC1824" s="6">
        <f>$M$1824*$W$1824</f>
        <v>1552945.0720800001</v>
      </c>
      <c r="AD1824" s="6">
        <f>$O$1824*$X$1824</f>
        <v>898742.94965999993</v>
      </c>
      <c r="AE1824" s="6">
        <f>$K$1824*$Y$1824</f>
        <v>0</v>
      </c>
      <c r="AF1824" s="6">
        <f ca="1">$M$1824*$Z$1824</f>
        <v>1699371.0867288795</v>
      </c>
      <c r="AG1824" s="6">
        <f>$O$1824*$AA$1824</f>
        <v>1097854.0892261711</v>
      </c>
    </row>
    <row r="1825" spans="1:33" ht="11.25" customHeight="1" x14ac:dyDescent="0.25">
      <c r="A1825" s="4" t="s">
        <v>29</v>
      </c>
      <c r="B1825" s="4" t="s">
        <v>22</v>
      </c>
      <c r="C1825" s="4" t="s">
        <v>23</v>
      </c>
      <c r="D1825" s="4" t="s">
        <v>24</v>
      </c>
      <c r="E1825" s="4" t="s">
        <v>32</v>
      </c>
      <c r="F1825" s="4" t="s">
        <v>25</v>
      </c>
      <c r="G1825" s="4" t="s">
        <v>25</v>
      </c>
      <c r="H1825" s="4" t="s">
        <v>25</v>
      </c>
      <c r="I1825" s="5">
        <v>44287</v>
      </c>
      <c r="J1825" s="6">
        <v>0</v>
      </c>
      <c r="K1825" s="6">
        <v>0</v>
      </c>
      <c r="L1825" s="6">
        <v>-17.922000000000001</v>
      </c>
      <c r="M1825" s="6">
        <v>-17.922000000000001</v>
      </c>
      <c r="N1825" s="6">
        <v>-17.922000000000001</v>
      </c>
      <c r="O1825" s="6">
        <v>-17.922000000000001</v>
      </c>
      <c r="P1825" s="6">
        <v>0</v>
      </c>
      <c r="Q1825" s="4" t="s">
        <v>26</v>
      </c>
      <c r="R1825" s="4">
        <v>0</v>
      </c>
      <c r="S1825" s="6">
        <v>0</v>
      </c>
      <c r="T1825" s="6">
        <v>10</v>
      </c>
      <c r="U1825" s="6">
        <v>60</v>
      </c>
      <c r="V1825" s="6">
        <f>IF(ISERROR(VLOOKUP($S$1825,'TAR FIN'!$A$1:$O$95,15,0)),0,VLOOKUP($S$1825,'TAR FIN'!$A$1:$O$95,15,0))</f>
        <v>0</v>
      </c>
      <c r="W1825" s="6">
        <f>IF(ISERROR(VLOOKUP($T$1825,'TAR FIN'!$A$1:$O$95,15,0)),0,VLOOKUP($T$1825,'TAR FIN'!$A$1:$O$95,15,0))</f>
        <v>252.24</v>
      </c>
      <c r="X1825" s="6">
        <f>IF(ISERROR(VLOOKUP($U$1825,'TAR FIN'!$A$1:$O$95,15,0)),0,VLOOKUP($U$1825,'TAR FIN'!$A$1:$O$95,15,0))</f>
        <v>145.97999999999999</v>
      </c>
      <c r="Y1825" s="6"/>
      <c r="Z1825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25" s="6">
        <f>('TE BE'!$AA$15+'TE BF'!$AA$15+'TE CVA'!$AA$15)*(1-CUSTOS!$M$35)</f>
        <v>178.32099824078242</v>
      </c>
      <c r="AB1825" s="6">
        <f>$K$1825*$V$1825</f>
        <v>0</v>
      </c>
      <c r="AC1825" s="6">
        <f>$M$1825*$W$1825</f>
        <v>-4520.6452800000006</v>
      </c>
      <c r="AD1825" s="6">
        <f>$O$1825*$X$1825</f>
        <v>-2616.2535600000001</v>
      </c>
      <c r="AE1825" s="6">
        <f>$K$1825*$Y$1825</f>
        <v>0</v>
      </c>
      <c r="AF1825" s="6">
        <f ca="1">$M$1825*$Z$1825</f>
        <v>-4946.8934995233549</v>
      </c>
      <c r="AG1825" s="6">
        <f>$O$1825*$AA$1825</f>
        <v>-3195.8689304713025</v>
      </c>
    </row>
    <row r="1826" spans="1:33" ht="11.25" customHeight="1" x14ac:dyDescent="0.25">
      <c r="A1826" s="4" t="s">
        <v>30</v>
      </c>
      <c r="B1826" s="4" t="s">
        <v>22</v>
      </c>
      <c r="C1826" s="4" t="s">
        <v>23</v>
      </c>
      <c r="D1826" s="4" t="s">
        <v>24</v>
      </c>
      <c r="E1826" s="4" t="s">
        <v>32</v>
      </c>
      <c r="F1826" s="4" t="s">
        <v>25</v>
      </c>
      <c r="G1826" s="4" t="s">
        <v>25</v>
      </c>
      <c r="H1826" s="4" t="s">
        <v>25</v>
      </c>
      <c r="I1826" s="5">
        <v>44287</v>
      </c>
      <c r="J1826" s="6">
        <v>0</v>
      </c>
      <c r="K1826" s="6">
        <v>0</v>
      </c>
      <c r="L1826" s="6">
        <v>0.31</v>
      </c>
      <c r="M1826" s="6">
        <v>0.31</v>
      </c>
      <c r="N1826" s="6">
        <v>0.31</v>
      </c>
      <c r="O1826" s="6">
        <v>0.31</v>
      </c>
      <c r="P1826" s="6">
        <v>0</v>
      </c>
      <c r="Q1826" s="4" t="s">
        <v>26</v>
      </c>
      <c r="R1826" s="4">
        <v>0</v>
      </c>
      <c r="S1826" s="6">
        <v>0</v>
      </c>
      <c r="T1826" s="6">
        <v>10</v>
      </c>
      <c r="U1826" s="6">
        <v>60</v>
      </c>
      <c r="V1826" s="6">
        <f>IF(ISERROR(VLOOKUP($S$1826,'TAR FIN'!$A$1:$O$95,15,0)),0,VLOOKUP($S$1826,'TAR FIN'!$A$1:$O$95,15,0))</f>
        <v>0</v>
      </c>
      <c r="W1826" s="6">
        <f>IF(ISERROR(VLOOKUP($T$1826,'TAR FIN'!$A$1:$O$95,15,0)),0,VLOOKUP($T$1826,'TAR FIN'!$A$1:$O$95,15,0))</f>
        <v>252.24</v>
      </c>
      <c r="X1826" s="6">
        <f>IF(ISERROR(VLOOKUP($U$1826,'TAR FIN'!$A$1:$O$95,15,0)),0,VLOOKUP($U$1826,'TAR FIN'!$A$1:$O$95,15,0))</f>
        <v>145.97999999999999</v>
      </c>
      <c r="Y1826" s="6"/>
      <c r="Z1826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26" s="6">
        <f>('TE BE'!$AA$15+'TE BF'!$AA$15+'TE CVA'!$AA$15)*(1-CUSTOS!$M$35)</f>
        <v>178.32099824078242</v>
      </c>
      <c r="AB1826" s="6">
        <f>$K$1826*$V$1826</f>
        <v>0</v>
      </c>
      <c r="AC1826" s="6">
        <f>$M$1826*$W$1826</f>
        <v>78.194400000000002</v>
      </c>
      <c r="AD1826" s="6">
        <f>$O$1826*$X$1826</f>
        <v>45.253799999999998</v>
      </c>
      <c r="AE1826" s="6">
        <f>$K$1826*$Y$1826</f>
        <v>0</v>
      </c>
      <c r="AF1826" s="6">
        <f ca="1">$M$1826*$Z$1826</f>
        <v>85.567290751715205</v>
      </c>
      <c r="AG1826" s="6">
        <f>$O$1826*$AA$1826</f>
        <v>55.27950945464255</v>
      </c>
    </row>
    <row r="1827" spans="1:33" ht="11.25" customHeight="1" x14ac:dyDescent="0.25">
      <c r="A1827" s="4" t="s">
        <v>21</v>
      </c>
      <c r="B1827" s="4" t="s">
        <v>22</v>
      </c>
      <c r="C1827" s="4" t="s">
        <v>23</v>
      </c>
      <c r="D1827" s="4" t="s">
        <v>24</v>
      </c>
      <c r="E1827" s="4" t="s">
        <v>32</v>
      </c>
      <c r="F1827" s="4" t="s">
        <v>25</v>
      </c>
      <c r="G1827" s="4" t="s">
        <v>25</v>
      </c>
      <c r="H1827" s="4" t="s">
        <v>25</v>
      </c>
      <c r="I1827" s="5">
        <v>44317</v>
      </c>
      <c r="J1827" s="6">
        <v>0</v>
      </c>
      <c r="K1827" s="6">
        <v>0</v>
      </c>
      <c r="L1827" s="6">
        <v>3522.761</v>
      </c>
      <c r="M1827" s="6">
        <v>3522.761</v>
      </c>
      <c r="N1827" s="6">
        <v>3522.761</v>
      </c>
      <c r="O1827" s="6">
        <v>3522.761</v>
      </c>
      <c r="P1827" s="6">
        <v>16814</v>
      </c>
      <c r="Q1827" s="4" t="s">
        <v>26</v>
      </c>
      <c r="R1827" s="4">
        <v>0</v>
      </c>
      <c r="S1827" s="6">
        <v>0</v>
      </c>
      <c r="T1827" s="6">
        <v>10</v>
      </c>
      <c r="U1827" s="6">
        <v>60</v>
      </c>
      <c r="V1827" s="6">
        <f>IF(ISERROR(VLOOKUP($S$1827,'TAR FIN'!$A$1:$O$95,15,0)),0,VLOOKUP($S$1827,'TAR FIN'!$A$1:$O$95,15,0))</f>
        <v>0</v>
      </c>
      <c r="W1827" s="6">
        <f>IF(ISERROR(VLOOKUP($T$1827,'TAR FIN'!$A$1:$O$95,15,0)),0,VLOOKUP($T$1827,'TAR FIN'!$A$1:$O$95,15,0))</f>
        <v>252.24</v>
      </c>
      <c r="X1827" s="6">
        <f>IF(ISERROR(VLOOKUP($U$1827,'TAR FIN'!$A$1:$O$95,15,0)),0,VLOOKUP($U$1827,'TAR FIN'!$A$1:$O$95,15,0))</f>
        <v>145.97999999999999</v>
      </c>
      <c r="Y1827" s="6"/>
      <c r="Z1827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27" s="6">
        <f>('TE BE'!$AA$15+'TE BF'!$AA$15+'TE CVA'!$AA$15)*(1-CUSTOS!$M$35)</f>
        <v>178.32099824078242</v>
      </c>
      <c r="AB1827" s="6">
        <f>$K$1827*$V$1827</f>
        <v>0</v>
      </c>
      <c r="AC1827" s="6">
        <f>$M$1827*$W$1827</f>
        <v>888581.23464000004</v>
      </c>
      <c r="AD1827" s="6">
        <f>$O$1827*$X$1827</f>
        <v>514252.65077999997</v>
      </c>
      <c r="AE1827" s="6">
        <f>$K$1827*$Y$1827</f>
        <v>0</v>
      </c>
      <c r="AF1827" s="6">
        <f ca="1">$M$1827*$Z$1827</f>
        <v>972364.8862445259</v>
      </c>
      <c r="AG1827" s="6">
        <f>$O$1827*$AA$1827</f>
        <v>628182.25808369694</v>
      </c>
    </row>
    <row r="1828" spans="1:33" ht="11.25" customHeight="1" x14ac:dyDescent="0.25">
      <c r="A1828" s="4" t="s">
        <v>27</v>
      </c>
      <c r="B1828" s="4" t="s">
        <v>22</v>
      </c>
      <c r="C1828" s="4" t="s">
        <v>23</v>
      </c>
      <c r="D1828" s="4" t="s">
        <v>24</v>
      </c>
      <c r="E1828" s="4" t="s">
        <v>32</v>
      </c>
      <c r="F1828" s="4" t="s">
        <v>25</v>
      </c>
      <c r="G1828" s="4" t="s">
        <v>25</v>
      </c>
      <c r="H1828" s="4" t="s">
        <v>25</v>
      </c>
      <c r="I1828" s="5">
        <v>44317</v>
      </c>
      <c r="J1828" s="6">
        <v>0</v>
      </c>
      <c r="K1828" s="6">
        <v>0</v>
      </c>
      <c r="L1828" s="6">
        <v>-5.5149999999999997</v>
      </c>
      <c r="M1828" s="6">
        <v>-5.5149999999999997</v>
      </c>
      <c r="N1828" s="6">
        <v>-5.5149999999999997</v>
      </c>
      <c r="O1828" s="6">
        <v>-5.5149999999999997</v>
      </c>
      <c r="P1828" s="6">
        <v>0</v>
      </c>
      <c r="Q1828" s="4" t="s">
        <v>26</v>
      </c>
      <c r="R1828" s="4">
        <v>0</v>
      </c>
      <c r="S1828" s="6">
        <v>0</v>
      </c>
      <c r="T1828" s="6">
        <v>10</v>
      </c>
      <c r="U1828" s="6">
        <v>60</v>
      </c>
      <c r="V1828" s="6">
        <f>IF(ISERROR(VLOOKUP($S$1828,'TAR FIN'!$A$1:$O$95,15,0)),0,VLOOKUP($S$1828,'TAR FIN'!$A$1:$O$95,15,0))</f>
        <v>0</v>
      </c>
      <c r="W1828" s="6">
        <f>IF(ISERROR(VLOOKUP($T$1828,'TAR FIN'!$A$1:$O$95,15,0)),0,VLOOKUP($T$1828,'TAR FIN'!$A$1:$O$95,15,0))</f>
        <v>252.24</v>
      </c>
      <c r="X1828" s="6">
        <f>IF(ISERROR(VLOOKUP($U$1828,'TAR FIN'!$A$1:$O$95,15,0)),0,VLOOKUP($U$1828,'TAR FIN'!$A$1:$O$95,15,0))</f>
        <v>145.97999999999999</v>
      </c>
      <c r="Y1828" s="6"/>
      <c r="Z1828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28" s="6">
        <f>('TE BE'!$AA$15+'TE BF'!$AA$15+'TE CVA'!$AA$15)*(1-CUSTOS!$M$35)</f>
        <v>178.32099824078242</v>
      </c>
      <c r="AB1828" s="6">
        <f>$K$1828*$V$1828</f>
        <v>0</v>
      </c>
      <c r="AC1828" s="6">
        <f>$M$1828*$W$1828</f>
        <v>-1391.1035999999999</v>
      </c>
      <c r="AD1828" s="6">
        <f>$O$1828*$X$1828</f>
        <v>-805.07969999999989</v>
      </c>
      <c r="AE1828" s="6">
        <f>$K$1828*$Y$1828</f>
        <v>0</v>
      </c>
      <c r="AF1828" s="6">
        <f ca="1">$M$1828*$Z$1828</f>
        <v>-1522.269704824869</v>
      </c>
      <c r="AG1828" s="6">
        <f>$O$1828*$AA$1828</f>
        <v>-983.44030529791496</v>
      </c>
    </row>
    <row r="1829" spans="1:33" ht="11.25" customHeight="1" x14ac:dyDescent="0.25">
      <c r="A1829" s="4" t="s">
        <v>28</v>
      </c>
      <c r="B1829" s="4" t="s">
        <v>22</v>
      </c>
      <c r="C1829" s="4" t="s">
        <v>23</v>
      </c>
      <c r="D1829" s="4" t="s">
        <v>24</v>
      </c>
      <c r="E1829" s="4" t="s">
        <v>32</v>
      </c>
      <c r="F1829" s="4" t="s">
        <v>25</v>
      </c>
      <c r="G1829" s="4" t="s">
        <v>25</v>
      </c>
      <c r="H1829" s="4" t="s">
        <v>25</v>
      </c>
      <c r="I1829" s="5">
        <v>44317</v>
      </c>
      <c r="J1829" s="6">
        <v>0</v>
      </c>
      <c r="K1829" s="6">
        <v>0</v>
      </c>
      <c r="L1829" s="6">
        <v>6155.3789999999999</v>
      </c>
      <c r="M1829" s="6">
        <v>6155.3789999999999</v>
      </c>
      <c r="N1829" s="6">
        <v>6155.3789999999999</v>
      </c>
      <c r="O1829" s="6">
        <v>6155.3789999999999</v>
      </c>
      <c r="P1829" s="6">
        <v>31727</v>
      </c>
      <c r="Q1829" s="4" t="s">
        <v>26</v>
      </c>
      <c r="R1829" s="4">
        <v>0</v>
      </c>
      <c r="S1829" s="6">
        <v>0</v>
      </c>
      <c r="T1829" s="6">
        <v>10</v>
      </c>
      <c r="U1829" s="6">
        <v>60</v>
      </c>
      <c r="V1829" s="6">
        <f>IF(ISERROR(VLOOKUP($S$1829,'TAR FIN'!$A$1:$O$95,15,0)),0,VLOOKUP($S$1829,'TAR FIN'!$A$1:$O$95,15,0))</f>
        <v>0</v>
      </c>
      <c r="W1829" s="6">
        <f>IF(ISERROR(VLOOKUP($T$1829,'TAR FIN'!$A$1:$O$95,15,0)),0,VLOOKUP($T$1829,'TAR FIN'!$A$1:$O$95,15,0))</f>
        <v>252.24</v>
      </c>
      <c r="X1829" s="6">
        <f>IF(ISERROR(VLOOKUP($U$1829,'TAR FIN'!$A$1:$O$95,15,0)),0,VLOOKUP($U$1829,'TAR FIN'!$A$1:$O$95,15,0))</f>
        <v>145.97999999999999</v>
      </c>
      <c r="Y1829" s="6"/>
      <c r="Z1829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29" s="6">
        <f>('TE BE'!$AA$15+'TE BF'!$AA$15+'TE CVA'!$AA$15)*(1-CUSTOS!$M$35)</f>
        <v>178.32099824078242</v>
      </c>
      <c r="AB1829" s="6">
        <f>$K$1829*$V$1829</f>
        <v>0</v>
      </c>
      <c r="AC1829" s="6">
        <f>$M$1829*$W$1829</f>
        <v>1552632.79896</v>
      </c>
      <c r="AD1829" s="6">
        <f>$O$1829*$X$1829</f>
        <v>898562.22641999996</v>
      </c>
      <c r="AE1829" s="6">
        <f>$K$1829*$Y$1829</f>
        <v>0</v>
      </c>
      <c r="AF1829" s="6">
        <f ca="1">$M$1829*$Z$1829</f>
        <v>1699029.3696129099</v>
      </c>
      <c r="AG1829" s="6">
        <f>$O$1829*$AA$1829</f>
        <v>1097633.3278303491</v>
      </c>
    </row>
    <row r="1830" spans="1:33" ht="11.25" customHeight="1" x14ac:dyDescent="0.25">
      <c r="A1830" s="4" t="s">
        <v>29</v>
      </c>
      <c r="B1830" s="4" t="s">
        <v>22</v>
      </c>
      <c r="C1830" s="4" t="s">
        <v>23</v>
      </c>
      <c r="D1830" s="4" t="s">
        <v>24</v>
      </c>
      <c r="E1830" s="4" t="s">
        <v>32</v>
      </c>
      <c r="F1830" s="4" t="s">
        <v>25</v>
      </c>
      <c r="G1830" s="4" t="s">
        <v>25</v>
      </c>
      <c r="H1830" s="4" t="s">
        <v>25</v>
      </c>
      <c r="I1830" s="5">
        <v>44317</v>
      </c>
      <c r="J1830" s="6">
        <v>0</v>
      </c>
      <c r="K1830" s="6">
        <v>0</v>
      </c>
      <c r="L1830" s="6">
        <v>-14.021000000000001</v>
      </c>
      <c r="M1830" s="6">
        <v>-14.021000000000001</v>
      </c>
      <c r="N1830" s="6">
        <v>-14.021000000000001</v>
      </c>
      <c r="O1830" s="6">
        <v>-14.021000000000001</v>
      </c>
      <c r="P1830" s="6">
        <v>0</v>
      </c>
      <c r="Q1830" s="4" t="s">
        <v>26</v>
      </c>
      <c r="R1830" s="4">
        <v>0</v>
      </c>
      <c r="S1830" s="6">
        <v>0</v>
      </c>
      <c r="T1830" s="6">
        <v>10</v>
      </c>
      <c r="U1830" s="6">
        <v>60</v>
      </c>
      <c r="V1830" s="6">
        <f>IF(ISERROR(VLOOKUP($S$1830,'TAR FIN'!$A$1:$O$95,15,0)),0,VLOOKUP($S$1830,'TAR FIN'!$A$1:$O$95,15,0))</f>
        <v>0</v>
      </c>
      <c r="W1830" s="6">
        <f>IF(ISERROR(VLOOKUP($T$1830,'TAR FIN'!$A$1:$O$95,15,0)),0,VLOOKUP($T$1830,'TAR FIN'!$A$1:$O$95,15,0))</f>
        <v>252.24</v>
      </c>
      <c r="X1830" s="6">
        <f>IF(ISERROR(VLOOKUP($U$1830,'TAR FIN'!$A$1:$O$95,15,0)),0,VLOOKUP($U$1830,'TAR FIN'!$A$1:$O$95,15,0))</f>
        <v>145.97999999999999</v>
      </c>
      <c r="Y1830" s="6"/>
      <c r="Z1830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30" s="6">
        <f>('TE BE'!$AA$15+'TE BF'!$AA$15+'TE CVA'!$AA$15)*(1-CUSTOS!$M$35)</f>
        <v>178.32099824078242</v>
      </c>
      <c r="AB1830" s="6">
        <f>$K$1830*$V$1830</f>
        <v>0</v>
      </c>
      <c r="AC1830" s="6">
        <f>$M$1830*$W$1830</f>
        <v>-3536.6570400000005</v>
      </c>
      <c r="AD1830" s="6">
        <f>$O$1830*$X$1830</f>
        <v>-2046.78558</v>
      </c>
      <c r="AE1830" s="6">
        <f>$K$1830*$Y$1830</f>
        <v>0</v>
      </c>
      <c r="AF1830" s="6">
        <f ca="1">$M$1830*$Z$1830</f>
        <v>-3870.1257536445132</v>
      </c>
      <c r="AG1830" s="6">
        <f>$O$1830*$AA$1830</f>
        <v>-2500.2387163340104</v>
      </c>
    </row>
    <row r="1831" spans="1:33" ht="11.25" customHeight="1" x14ac:dyDescent="0.25">
      <c r="A1831" s="4" t="s">
        <v>30</v>
      </c>
      <c r="B1831" s="4" t="s">
        <v>22</v>
      </c>
      <c r="C1831" s="4" t="s">
        <v>23</v>
      </c>
      <c r="D1831" s="4" t="s">
        <v>24</v>
      </c>
      <c r="E1831" s="4" t="s">
        <v>32</v>
      </c>
      <c r="F1831" s="4" t="s">
        <v>25</v>
      </c>
      <c r="G1831" s="4" t="s">
        <v>25</v>
      </c>
      <c r="H1831" s="4" t="s">
        <v>25</v>
      </c>
      <c r="I1831" s="5">
        <v>44317</v>
      </c>
      <c r="J1831" s="6">
        <v>0</v>
      </c>
      <c r="K1831" s="6">
        <v>0</v>
      </c>
      <c r="L1831" s="6">
        <v>0.31</v>
      </c>
      <c r="M1831" s="6">
        <v>0.31</v>
      </c>
      <c r="N1831" s="6">
        <v>0.31</v>
      </c>
      <c r="O1831" s="6">
        <v>0.31</v>
      </c>
      <c r="P1831" s="6">
        <v>0</v>
      </c>
      <c r="Q1831" s="4" t="s">
        <v>26</v>
      </c>
      <c r="R1831" s="4">
        <v>0</v>
      </c>
      <c r="S1831" s="6">
        <v>0</v>
      </c>
      <c r="T1831" s="6">
        <v>10</v>
      </c>
      <c r="U1831" s="6">
        <v>60</v>
      </c>
      <c r="V1831" s="6">
        <f>IF(ISERROR(VLOOKUP($S$1831,'TAR FIN'!$A$1:$O$95,15,0)),0,VLOOKUP($S$1831,'TAR FIN'!$A$1:$O$95,15,0))</f>
        <v>0</v>
      </c>
      <c r="W1831" s="6">
        <f>IF(ISERROR(VLOOKUP($T$1831,'TAR FIN'!$A$1:$O$95,15,0)),0,VLOOKUP($T$1831,'TAR FIN'!$A$1:$O$95,15,0))</f>
        <v>252.24</v>
      </c>
      <c r="X1831" s="6">
        <f>IF(ISERROR(VLOOKUP($U$1831,'TAR FIN'!$A$1:$O$95,15,0)),0,VLOOKUP($U$1831,'TAR FIN'!$A$1:$O$95,15,0))</f>
        <v>145.97999999999999</v>
      </c>
      <c r="Y1831" s="6"/>
      <c r="Z1831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31" s="6">
        <f>('TE BE'!$AA$15+'TE BF'!$AA$15+'TE CVA'!$AA$15)*(1-CUSTOS!$M$35)</f>
        <v>178.32099824078242</v>
      </c>
      <c r="AB1831" s="6">
        <f>$K$1831*$V$1831</f>
        <v>0</v>
      </c>
      <c r="AC1831" s="6">
        <f>$M$1831*$W$1831</f>
        <v>78.194400000000002</v>
      </c>
      <c r="AD1831" s="6">
        <f>$O$1831*$X$1831</f>
        <v>45.253799999999998</v>
      </c>
      <c r="AE1831" s="6">
        <f>$K$1831*$Y$1831</f>
        <v>0</v>
      </c>
      <c r="AF1831" s="6">
        <f ca="1">$M$1831*$Z$1831</f>
        <v>85.567290751715205</v>
      </c>
      <c r="AG1831" s="6">
        <f>$O$1831*$AA$1831</f>
        <v>55.27950945464255</v>
      </c>
    </row>
    <row r="1832" spans="1:33" ht="11.25" customHeight="1" x14ac:dyDescent="0.25">
      <c r="A1832" s="4" t="s">
        <v>30</v>
      </c>
      <c r="B1832" s="4" t="s">
        <v>22</v>
      </c>
      <c r="C1832" s="4" t="s">
        <v>23</v>
      </c>
      <c r="D1832" s="4" t="s">
        <v>24</v>
      </c>
      <c r="E1832" s="4" t="s">
        <v>32</v>
      </c>
      <c r="F1832" s="4" t="s">
        <v>25</v>
      </c>
      <c r="G1832" s="4" t="s">
        <v>25</v>
      </c>
      <c r="H1832" s="4" t="s">
        <v>25</v>
      </c>
      <c r="I1832" s="5">
        <v>44317</v>
      </c>
      <c r="J1832" s="6">
        <v>0</v>
      </c>
      <c r="K1832" s="6">
        <v>0</v>
      </c>
      <c r="L1832" s="6">
        <v>-0.05</v>
      </c>
      <c r="M1832" s="6">
        <v>-0.05</v>
      </c>
      <c r="N1832" s="6">
        <v>-0.05</v>
      </c>
      <c r="O1832" s="6">
        <v>-0.05</v>
      </c>
      <c r="P1832" s="6">
        <v>0</v>
      </c>
      <c r="Q1832" s="4" t="s">
        <v>26</v>
      </c>
      <c r="R1832" s="4">
        <v>0</v>
      </c>
      <c r="S1832" s="6">
        <v>0</v>
      </c>
      <c r="T1832" s="6">
        <v>10</v>
      </c>
      <c r="U1832" s="6">
        <v>60</v>
      </c>
      <c r="V1832" s="6">
        <f>IF(ISERROR(VLOOKUP($S$1832,'TAR FIN'!$A$1:$O$95,15,0)),0,VLOOKUP($S$1832,'TAR FIN'!$A$1:$O$95,15,0))</f>
        <v>0</v>
      </c>
      <c r="W1832" s="6">
        <f>IF(ISERROR(VLOOKUP($T$1832,'TAR FIN'!$A$1:$O$95,15,0)),0,VLOOKUP($T$1832,'TAR FIN'!$A$1:$O$95,15,0))</f>
        <v>252.24</v>
      </c>
      <c r="X1832" s="6">
        <f>IF(ISERROR(VLOOKUP($U$1832,'TAR FIN'!$A$1:$O$95,15,0)),0,VLOOKUP($U$1832,'TAR FIN'!$A$1:$O$95,15,0))</f>
        <v>145.97999999999999</v>
      </c>
      <c r="Y1832" s="6"/>
      <c r="Z1832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32" s="6">
        <f>('TE BE'!$AA$15+'TE BF'!$AA$15+'TE CVA'!$AA$15)*(1-CUSTOS!$M$35)</f>
        <v>178.32099824078242</v>
      </c>
      <c r="AB1832" s="6">
        <f>$K$1832*$V$1832</f>
        <v>0</v>
      </c>
      <c r="AC1832" s="6">
        <f>$M$1832*$W$1832</f>
        <v>-12.612000000000002</v>
      </c>
      <c r="AD1832" s="6">
        <f>$O$1832*$X$1832</f>
        <v>-7.2989999999999995</v>
      </c>
      <c r="AE1832" s="6">
        <f>$K$1832*$Y$1832</f>
        <v>0</v>
      </c>
      <c r="AF1832" s="6">
        <f ca="1">$M$1832*$Z$1832</f>
        <v>-13.801175927696002</v>
      </c>
      <c r="AG1832" s="6">
        <f>$O$1832*$AA$1832</f>
        <v>-8.9160499120391208</v>
      </c>
    </row>
    <row r="1833" spans="1:33" ht="11.25" customHeight="1" x14ac:dyDescent="0.25">
      <c r="A1833" s="4" t="s">
        <v>21</v>
      </c>
      <c r="B1833" s="4" t="s">
        <v>22</v>
      </c>
      <c r="C1833" s="4" t="s">
        <v>23</v>
      </c>
      <c r="D1833" s="4" t="s">
        <v>24</v>
      </c>
      <c r="E1833" s="4" t="s">
        <v>32</v>
      </c>
      <c r="F1833" s="4" t="s">
        <v>25</v>
      </c>
      <c r="G1833" s="4" t="s">
        <v>25</v>
      </c>
      <c r="H1833" s="4" t="s">
        <v>25</v>
      </c>
      <c r="I1833" s="5">
        <v>44348</v>
      </c>
      <c r="J1833" s="6">
        <v>0</v>
      </c>
      <c r="K1833" s="6">
        <v>0</v>
      </c>
      <c r="L1833" s="6">
        <v>3645.2350000000001</v>
      </c>
      <c r="M1833" s="6">
        <v>3645.2350000000001</v>
      </c>
      <c r="N1833" s="6">
        <v>3645.2350000000001</v>
      </c>
      <c r="O1833" s="6">
        <v>3645.2350000000001</v>
      </c>
      <c r="P1833" s="6">
        <v>15683</v>
      </c>
      <c r="Q1833" s="4" t="s">
        <v>26</v>
      </c>
      <c r="R1833" s="4">
        <v>0</v>
      </c>
      <c r="S1833" s="6">
        <v>0</v>
      </c>
      <c r="T1833" s="6">
        <v>10</v>
      </c>
      <c r="U1833" s="6">
        <v>60</v>
      </c>
      <c r="V1833" s="6">
        <f>IF(ISERROR(VLOOKUP($S$1833,'TAR FIN'!$A$1:$O$95,15,0)),0,VLOOKUP($S$1833,'TAR FIN'!$A$1:$O$95,15,0))</f>
        <v>0</v>
      </c>
      <c r="W1833" s="6">
        <f>IF(ISERROR(VLOOKUP($T$1833,'TAR FIN'!$A$1:$O$95,15,0)),0,VLOOKUP($T$1833,'TAR FIN'!$A$1:$O$95,15,0))</f>
        <v>252.24</v>
      </c>
      <c r="X1833" s="6">
        <f>IF(ISERROR(VLOOKUP($U$1833,'TAR FIN'!$A$1:$O$95,15,0)),0,VLOOKUP($U$1833,'TAR FIN'!$A$1:$O$95,15,0))</f>
        <v>145.97999999999999</v>
      </c>
      <c r="Y1833" s="6"/>
      <c r="Z1833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33" s="6">
        <f>('TE BE'!$AA$15+'TE BF'!$AA$15+'TE CVA'!$AA$15)*(1-CUSTOS!$M$35)</f>
        <v>178.32099824078242</v>
      </c>
      <c r="AB1833" s="6">
        <f>$K$1833*$V$1833</f>
        <v>0</v>
      </c>
      <c r="AC1833" s="6">
        <f>$M$1833*$W$1833</f>
        <v>919474.07640000002</v>
      </c>
      <c r="AD1833" s="6">
        <f>$O$1833*$X$1833</f>
        <v>532131.40529999998</v>
      </c>
      <c r="AE1833" s="6">
        <f>$K$1833*$Y$1833</f>
        <v>0</v>
      </c>
      <c r="AF1833" s="6">
        <f ca="1">$M$1833*$Z$1833</f>
        <v>1006170.5906558988</v>
      </c>
      <c r="AG1833" s="6">
        <f>$O$1833*$AA$1833</f>
        <v>650021.94402223849</v>
      </c>
    </row>
    <row r="1834" spans="1:33" ht="11.25" customHeight="1" x14ac:dyDescent="0.25">
      <c r="A1834" s="4" t="s">
        <v>27</v>
      </c>
      <c r="B1834" s="4" t="s">
        <v>22</v>
      </c>
      <c r="C1834" s="4" t="s">
        <v>23</v>
      </c>
      <c r="D1834" s="4" t="s">
        <v>24</v>
      </c>
      <c r="E1834" s="4" t="s">
        <v>32</v>
      </c>
      <c r="F1834" s="4" t="s">
        <v>25</v>
      </c>
      <c r="G1834" s="4" t="s">
        <v>25</v>
      </c>
      <c r="H1834" s="4" t="s">
        <v>25</v>
      </c>
      <c r="I1834" s="5">
        <v>44348</v>
      </c>
      <c r="J1834" s="6">
        <v>0</v>
      </c>
      <c r="K1834" s="6">
        <v>0</v>
      </c>
      <c r="L1834" s="6">
        <v>-7.3449999999999998</v>
      </c>
      <c r="M1834" s="6">
        <v>-7.3449999999999998</v>
      </c>
      <c r="N1834" s="6">
        <v>-7.3449999999999998</v>
      </c>
      <c r="O1834" s="6">
        <v>-7.3449999999999998</v>
      </c>
      <c r="P1834" s="6">
        <v>0</v>
      </c>
      <c r="Q1834" s="4" t="s">
        <v>26</v>
      </c>
      <c r="R1834" s="4">
        <v>0</v>
      </c>
      <c r="S1834" s="6">
        <v>0</v>
      </c>
      <c r="T1834" s="6">
        <v>10</v>
      </c>
      <c r="U1834" s="6">
        <v>60</v>
      </c>
      <c r="V1834" s="6">
        <f>IF(ISERROR(VLOOKUP($S$1834,'TAR FIN'!$A$1:$O$95,15,0)),0,VLOOKUP($S$1834,'TAR FIN'!$A$1:$O$95,15,0))</f>
        <v>0</v>
      </c>
      <c r="W1834" s="6">
        <f>IF(ISERROR(VLOOKUP($T$1834,'TAR FIN'!$A$1:$O$95,15,0)),0,VLOOKUP($T$1834,'TAR FIN'!$A$1:$O$95,15,0))</f>
        <v>252.24</v>
      </c>
      <c r="X1834" s="6">
        <f>IF(ISERROR(VLOOKUP($U$1834,'TAR FIN'!$A$1:$O$95,15,0)),0,VLOOKUP($U$1834,'TAR FIN'!$A$1:$O$95,15,0))</f>
        <v>145.97999999999999</v>
      </c>
      <c r="Y1834" s="6"/>
      <c r="Z1834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34" s="6">
        <f>('TE BE'!$AA$15+'TE BF'!$AA$15+'TE CVA'!$AA$15)*(1-CUSTOS!$M$35)</f>
        <v>178.32099824078242</v>
      </c>
      <c r="AB1834" s="6">
        <f>$K$1834*$V$1834</f>
        <v>0</v>
      </c>
      <c r="AC1834" s="6">
        <f>$M$1834*$W$1834</f>
        <v>-1852.7028</v>
      </c>
      <c r="AD1834" s="6">
        <f>$O$1834*$X$1834</f>
        <v>-1072.2230999999999</v>
      </c>
      <c r="AE1834" s="6">
        <f>$K$1834*$Y$1834</f>
        <v>0</v>
      </c>
      <c r="AF1834" s="6">
        <f ca="1">$M$1834*$Z$1834</f>
        <v>-2027.3927437785426</v>
      </c>
      <c r="AG1834" s="6">
        <f>$O$1834*$AA$1834</f>
        <v>-1309.7677320785467</v>
      </c>
    </row>
    <row r="1835" spans="1:33" ht="11.25" customHeight="1" x14ac:dyDescent="0.25">
      <c r="A1835" s="4" t="s">
        <v>28</v>
      </c>
      <c r="B1835" s="4" t="s">
        <v>22</v>
      </c>
      <c r="C1835" s="4" t="s">
        <v>23</v>
      </c>
      <c r="D1835" s="4" t="s">
        <v>24</v>
      </c>
      <c r="E1835" s="4" t="s">
        <v>32</v>
      </c>
      <c r="F1835" s="4" t="s">
        <v>25</v>
      </c>
      <c r="G1835" s="4" t="s">
        <v>25</v>
      </c>
      <c r="H1835" s="4" t="s">
        <v>25</v>
      </c>
      <c r="I1835" s="5">
        <v>44348</v>
      </c>
      <c r="J1835" s="6">
        <v>0</v>
      </c>
      <c r="K1835" s="6">
        <v>0</v>
      </c>
      <c r="L1835" s="6">
        <v>6281.2030000000004</v>
      </c>
      <c r="M1835" s="6">
        <v>6281.2030000000004</v>
      </c>
      <c r="N1835" s="6">
        <v>6281.2030000000004</v>
      </c>
      <c r="O1835" s="6">
        <v>6281.2030000000004</v>
      </c>
      <c r="P1835" s="6">
        <v>30400</v>
      </c>
      <c r="Q1835" s="4" t="s">
        <v>26</v>
      </c>
      <c r="R1835" s="4">
        <v>0</v>
      </c>
      <c r="S1835" s="6">
        <v>0</v>
      </c>
      <c r="T1835" s="6">
        <v>10</v>
      </c>
      <c r="U1835" s="6">
        <v>60</v>
      </c>
      <c r="V1835" s="6">
        <f>IF(ISERROR(VLOOKUP($S$1835,'TAR FIN'!$A$1:$O$95,15,0)),0,VLOOKUP($S$1835,'TAR FIN'!$A$1:$O$95,15,0))</f>
        <v>0</v>
      </c>
      <c r="W1835" s="6">
        <f>IF(ISERROR(VLOOKUP($T$1835,'TAR FIN'!$A$1:$O$95,15,0)),0,VLOOKUP($T$1835,'TAR FIN'!$A$1:$O$95,15,0))</f>
        <v>252.24</v>
      </c>
      <c r="X1835" s="6">
        <f>IF(ISERROR(VLOOKUP($U$1835,'TAR FIN'!$A$1:$O$95,15,0)),0,VLOOKUP($U$1835,'TAR FIN'!$A$1:$O$95,15,0))</f>
        <v>145.97999999999999</v>
      </c>
      <c r="Y1835" s="6"/>
      <c r="Z1835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35" s="6">
        <f>('TE BE'!$AA$15+'TE BF'!$AA$15+'TE CVA'!$AA$15)*(1-CUSTOS!$M$35)</f>
        <v>178.32099824078242</v>
      </c>
      <c r="AB1835" s="6">
        <f>$K$1835*$V$1835</f>
        <v>0</v>
      </c>
      <c r="AC1835" s="6">
        <f>$M$1835*$W$1835</f>
        <v>1584370.6447200002</v>
      </c>
      <c r="AD1835" s="6">
        <f>$O$1835*$X$1835</f>
        <v>916930.01393999998</v>
      </c>
      <c r="AE1835" s="6">
        <f>$K$1835*$Y$1835</f>
        <v>0</v>
      </c>
      <c r="AF1835" s="6">
        <f ca="1">$M$1835*$Z$1835</f>
        <v>1733759.7528114384</v>
      </c>
      <c r="AG1835" s="6">
        <f>$O$1835*$AA$1835</f>
        <v>1120070.3891129973</v>
      </c>
    </row>
    <row r="1836" spans="1:33" ht="11.25" customHeight="1" x14ac:dyDescent="0.25">
      <c r="A1836" s="4" t="s">
        <v>29</v>
      </c>
      <c r="B1836" s="4" t="s">
        <v>22</v>
      </c>
      <c r="C1836" s="4" t="s">
        <v>23</v>
      </c>
      <c r="D1836" s="4" t="s">
        <v>24</v>
      </c>
      <c r="E1836" s="4" t="s">
        <v>32</v>
      </c>
      <c r="F1836" s="4" t="s">
        <v>25</v>
      </c>
      <c r="G1836" s="4" t="s">
        <v>25</v>
      </c>
      <c r="H1836" s="4" t="s">
        <v>25</v>
      </c>
      <c r="I1836" s="5">
        <v>44348</v>
      </c>
      <c r="J1836" s="6">
        <v>0</v>
      </c>
      <c r="K1836" s="6">
        <v>0</v>
      </c>
      <c r="L1836" s="6">
        <v>-10.89</v>
      </c>
      <c r="M1836" s="6">
        <v>-10.89</v>
      </c>
      <c r="N1836" s="6">
        <v>-10.89</v>
      </c>
      <c r="O1836" s="6">
        <v>-10.89</v>
      </c>
      <c r="P1836" s="6">
        <v>0</v>
      </c>
      <c r="Q1836" s="4" t="s">
        <v>26</v>
      </c>
      <c r="R1836" s="4">
        <v>0</v>
      </c>
      <c r="S1836" s="6">
        <v>0</v>
      </c>
      <c r="T1836" s="6">
        <v>10</v>
      </c>
      <c r="U1836" s="6">
        <v>60</v>
      </c>
      <c r="V1836" s="6">
        <f>IF(ISERROR(VLOOKUP($S$1836,'TAR FIN'!$A$1:$O$95,15,0)),0,VLOOKUP($S$1836,'TAR FIN'!$A$1:$O$95,15,0))</f>
        <v>0</v>
      </c>
      <c r="W1836" s="6">
        <f>IF(ISERROR(VLOOKUP($T$1836,'TAR FIN'!$A$1:$O$95,15,0)),0,VLOOKUP($T$1836,'TAR FIN'!$A$1:$O$95,15,0))</f>
        <v>252.24</v>
      </c>
      <c r="X1836" s="6">
        <f>IF(ISERROR(VLOOKUP($U$1836,'TAR FIN'!$A$1:$O$95,15,0)),0,VLOOKUP($U$1836,'TAR FIN'!$A$1:$O$95,15,0))</f>
        <v>145.97999999999999</v>
      </c>
      <c r="Y1836" s="6"/>
      <c r="Z1836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36" s="6">
        <f>('TE BE'!$AA$15+'TE BF'!$AA$15+'TE CVA'!$AA$15)*(1-CUSTOS!$M$35)</f>
        <v>178.32099824078242</v>
      </c>
      <c r="AB1836" s="6">
        <f>$K$1836*$V$1836</f>
        <v>0</v>
      </c>
      <c r="AC1836" s="6">
        <f>$M$1836*$W$1836</f>
        <v>-2746.8936000000003</v>
      </c>
      <c r="AD1836" s="6">
        <f>$O$1836*$X$1836</f>
        <v>-1589.7221999999999</v>
      </c>
      <c r="AE1836" s="6">
        <f>$K$1836*$Y$1836</f>
        <v>0</v>
      </c>
      <c r="AF1836" s="6">
        <f ca="1">$M$1836*$Z$1836</f>
        <v>-3005.8961170521893</v>
      </c>
      <c r="AG1836" s="6">
        <f>$O$1836*$AA$1836</f>
        <v>-1941.9156708421206</v>
      </c>
    </row>
    <row r="1837" spans="1:33" ht="11.25" customHeight="1" x14ac:dyDescent="0.25">
      <c r="A1837" s="4" t="s">
        <v>30</v>
      </c>
      <c r="B1837" s="4" t="s">
        <v>22</v>
      </c>
      <c r="C1837" s="4" t="s">
        <v>23</v>
      </c>
      <c r="D1837" s="4" t="s">
        <v>24</v>
      </c>
      <c r="E1837" s="4" t="s">
        <v>32</v>
      </c>
      <c r="F1837" s="4" t="s">
        <v>25</v>
      </c>
      <c r="G1837" s="4" t="s">
        <v>25</v>
      </c>
      <c r="H1837" s="4" t="s">
        <v>25</v>
      </c>
      <c r="I1837" s="5">
        <v>44348</v>
      </c>
      <c r="J1837" s="6">
        <v>0</v>
      </c>
      <c r="K1837" s="6">
        <v>0</v>
      </c>
      <c r="L1837" s="6">
        <v>0.4</v>
      </c>
      <c r="M1837" s="6">
        <v>0.4</v>
      </c>
      <c r="N1837" s="6">
        <v>0.4</v>
      </c>
      <c r="O1837" s="6">
        <v>0.4</v>
      </c>
      <c r="P1837" s="6">
        <v>0</v>
      </c>
      <c r="Q1837" s="4" t="s">
        <v>26</v>
      </c>
      <c r="R1837" s="4">
        <v>0</v>
      </c>
      <c r="S1837" s="6">
        <v>0</v>
      </c>
      <c r="T1837" s="6">
        <v>10</v>
      </c>
      <c r="U1837" s="6">
        <v>60</v>
      </c>
      <c r="V1837" s="6">
        <f>IF(ISERROR(VLOOKUP($S$1837,'TAR FIN'!$A$1:$O$95,15,0)),0,VLOOKUP($S$1837,'TAR FIN'!$A$1:$O$95,15,0))</f>
        <v>0</v>
      </c>
      <c r="W1837" s="6">
        <f>IF(ISERROR(VLOOKUP($T$1837,'TAR FIN'!$A$1:$O$95,15,0)),0,VLOOKUP($T$1837,'TAR FIN'!$A$1:$O$95,15,0))</f>
        <v>252.24</v>
      </c>
      <c r="X1837" s="6">
        <f>IF(ISERROR(VLOOKUP($U$1837,'TAR FIN'!$A$1:$O$95,15,0)),0,VLOOKUP($U$1837,'TAR FIN'!$A$1:$O$95,15,0))</f>
        <v>145.97999999999999</v>
      </c>
      <c r="Y1837" s="6"/>
      <c r="Z1837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37" s="6">
        <f>('TE BE'!$AA$15+'TE BF'!$AA$15+'TE CVA'!$AA$15)*(1-CUSTOS!$M$35)</f>
        <v>178.32099824078242</v>
      </c>
      <c r="AB1837" s="6">
        <f>$K$1837*$V$1837</f>
        <v>0</v>
      </c>
      <c r="AC1837" s="6">
        <f>$M$1837*$W$1837</f>
        <v>100.89600000000002</v>
      </c>
      <c r="AD1837" s="6">
        <f>$O$1837*$X$1837</f>
        <v>58.391999999999996</v>
      </c>
      <c r="AE1837" s="6">
        <f>$K$1837*$Y$1837</f>
        <v>0</v>
      </c>
      <c r="AF1837" s="6">
        <f ca="1">$M$1837*$Z$1837</f>
        <v>110.40940742156802</v>
      </c>
      <c r="AG1837" s="6">
        <f>$O$1837*$AA$1837</f>
        <v>71.328399296312966</v>
      </c>
    </row>
    <row r="1838" spans="1:33" ht="11.25" customHeight="1" x14ac:dyDescent="0.25">
      <c r="A1838" s="4" t="s">
        <v>21</v>
      </c>
      <c r="B1838" s="4" t="s">
        <v>22</v>
      </c>
      <c r="C1838" s="4" t="s">
        <v>23</v>
      </c>
      <c r="D1838" s="4" t="s">
        <v>24</v>
      </c>
      <c r="E1838" s="4" t="s">
        <v>32</v>
      </c>
      <c r="F1838" s="4" t="s">
        <v>25</v>
      </c>
      <c r="G1838" s="4" t="s">
        <v>25</v>
      </c>
      <c r="H1838" s="4" t="s">
        <v>25</v>
      </c>
      <c r="I1838" s="5">
        <v>44378</v>
      </c>
      <c r="J1838" s="6">
        <v>0</v>
      </c>
      <c r="K1838" s="6">
        <v>0</v>
      </c>
      <c r="L1838" s="6">
        <v>3557.2159999999999</v>
      </c>
      <c r="M1838" s="6">
        <v>3557.2159999999999</v>
      </c>
      <c r="N1838" s="6">
        <v>3557.2159999999999</v>
      </c>
      <c r="O1838" s="6">
        <v>3557.2159999999999</v>
      </c>
      <c r="P1838" s="6">
        <v>16501</v>
      </c>
      <c r="Q1838" s="4" t="s">
        <v>26</v>
      </c>
      <c r="R1838" s="4">
        <v>0</v>
      </c>
      <c r="S1838" s="6">
        <v>0</v>
      </c>
      <c r="T1838" s="6">
        <v>10</v>
      </c>
      <c r="U1838" s="6">
        <v>60</v>
      </c>
      <c r="V1838" s="6">
        <f>IF(ISERROR(VLOOKUP($S$1838,'TAR FIN'!$A$1:$O$95,15,0)),0,VLOOKUP($S$1838,'TAR FIN'!$A$1:$O$95,15,0))</f>
        <v>0</v>
      </c>
      <c r="W1838" s="6">
        <f>IF(ISERROR(VLOOKUP($T$1838,'TAR FIN'!$A$1:$O$95,15,0)),0,VLOOKUP($T$1838,'TAR FIN'!$A$1:$O$95,15,0))</f>
        <v>252.24</v>
      </c>
      <c r="X1838" s="6">
        <f>IF(ISERROR(VLOOKUP($U$1838,'TAR FIN'!$A$1:$O$95,15,0)),0,VLOOKUP($U$1838,'TAR FIN'!$A$1:$O$95,15,0))</f>
        <v>145.97999999999999</v>
      </c>
      <c r="Y1838" s="6"/>
      <c r="Z1838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38" s="6">
        <f>('TE BE'!$AA$15+'TE BF'!$AA$15+'TE CVA'!$AA$15)*(1-CUSTOS!$M$35)</f>
        <v>178.32099824078242</v>
      </c>
      <c r="AB1838" s="6">
        <f>$K$1838*$V$1838</f>
        <v>0</v>
      </c>
      <c r="AC1838" s="6">
        <f>$M$1838*$W$1838</f>
        <v>897272.16384000005</v>
      </c>
      <c r="AD1838" s="6">
        <f>$O$1838*$X$1838</f>
        <v>519282.39167999994</v>
      </c>
      <c r="AE1838" s="6">
        <f>$K$1838*$Y$1838</f>
        <v>0</v>
      </c>
      <c r="AF1838" s="6">
        <f ca="1">$M$1838*$Z$1838</f>
        <v>981875.2765763012</v>
      </c>
      <c r="AG1838" s="6">
        <f>$O$1838*$AA$1838</f>
        <v>634326.30807808309</v>
      </c>
    </row>
    <row r="1839" spans="1:33" ht="11.25" customHeight="1" x14ac:dyDescent="0.25">
      <c r="A1839" s="4" t="s">
        <v>27</v>
      </c>
      <c r="B1839" s="4" t="s">
        <v>22</v>
      </c>
      <c r="C1839" s="4" t="s">
        <v>23</v>
      </c>
      <c r="D1839" s="4" t="s">
        <v>24</v>
      </c>
      <c r="E1839" s="4" t="s">
        <v>32</v>
      </c>
      <c r="F1839" s="4" t="s">
        <v>25</v>
      </c>
      <c r="G1839" s="4" t="s">
        <v>25</v>
      </c>
      <c r="H1839" s="4" t="s">
        <v>25</v>
      </c>
      <c r="I1839" s="5">
        <v>44378</v>
      </c>
      <c r="J1839" s="6">
        <v>0</v>
      </c>
      <c r="K1839" s="6">
        <v>0</v>
      </c>
      <c r="L1839" s="6">
        <v>-14.151</v>
      </c>
      <c r="M1839" s="6">
        <v>-14.151</v>
      </c>
      <c r="N1839" s="6">
        <v>-14.151</v>
      </c>
      <c r="O1839" s="6">
        <v>-14.151</v>
      </c>
      <c r="P1839" s="6">
        <v>0</v>
      </c>
      <c r="Q1839" s="4" t="s">
        <v>26</v>
      </c>
      <c r="R1839" s="4">
        <v>0</v>
      </c>
      <c r="S1839" s="6">
        <v>0</v>
      </c>
      <c r="T1839" s="6">
        <v>10</v>
      </c>
      <c r="U1839" s="6">
        <v>60</v>
      </c>
      <c r="V1839" s="6">
        <f>IF(ISERROR(VLOOKUP($S$1839,'TAR FIN'!$A$1:$O$95,15,0)),0,VLOOKUP($S$1839,'TAR FIN'!$A$1:$O$95,15,0))</f>
        <v>0</v>
      </c>
      <c r="W1839" s="6">
        <f>IF(ISERROR(VLOOKUP($T$1839,'TAR FIN'!$A$1:$O$95,15,0)),0,VLOOKUP($T$1839,'TAR FIN'!$A$1:$O$95,15,0))</f>
        <v>252.24</v>
      </c>
      <c r="X1839" s="6">
        <f>IF(ISERROR(VLOOKUP($U$1839,'TAR FIN'!$A$1:$O$95,15,0)),0,VLOOKUP($U$1839,'TAR FIN'!$A$1:$O$95,15,0))</f>
        <v>145.97999999999999</v>
      </c>
      <c r="Y1839" s="6"/>
      <c r="Z1839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39" s="6">
        <f>('TE BE'!$AA$15+'TE BF'!$AA$15+'TE CVA'!$AA$15)*(1-CUSTOS!$M$35)</f>
        <v>178.32099824078242</v>
      </c>
      <c r="AB1839" s="6">
        <f>$K$1839*$V$1839</f>
        <v>0</v>
      </c>
      <c r="AC1839" s="6">
        <f>$M$1839*$W$1839</f>
        <v>-3569.4482400000002</v>
      </c>
      <c r="AD1839" s="6">
        <f>$O$1839*$X$1839</f>
        <v>-2065.76298</v>
      </c>
      <c r="AE1839" s="6">
        <f>$K$1839*$Y$1839</f>
        <v>0</v>
      </c>
      <c r="AF1839" s="6">
        <f ca="1">$M$1839*$Z$1839</f>
        <v>-3906.0088110565225</v>
      </c>
      <c r="AG1839" s="6">
        <f>$O$1839*$AA$1839</f>
        <v>-2523.4204461053118</v>
      </c>
    </row>
    <row r="1840" spans="1:33" ht="11.25" customHeight="1" x14ac:dyDescent="0.25">
      <c r="A1840" s="4" t="s">
        <v>28</v>
      </c>
      <c r="B1840" s="4" t="s">
        <v>22</v>
      </c>
      <c r="C1840" s="4" t="s">
        <v>23</v>
      </c>
      <c r="D1840" s="4" t="s">
        <v>24</v>
      </c>
      <c r="E1840" s="4" t="s">
        <v>32</v>
      </c>
      <c r="F1840" s="4" t="s">
        <v>25</v>
      </c>
      <c r="G1840" s="4" t="s">
        <v>25</v>
      </c>
      <c r="H1840" s="4" t="s">
        <v>25</v>
      </c>
      <c r="I1840" s="5">
        <v>44378</v>
      </c>
      <c r="J1840" s="6">
        <v>0</v>
      </c>
      <c r="K1840" s="6">
        <v>0</v>
      </c>
      <c r="L1840" s="6">
        <v>6103.1670000000004</v>
      </c>
      <c r="M1840" s="6">
        <v>6103.1670000000004</v>
      </c>
      <c r="N1840" s="6">
        <v>6103.1670000000004</v>
      </c>
      <c r="O1840" s="6">
        <v>6103.1670000000004</v>
      </c>
      <c r="P1840" s="6">
        <v>34108</v>
      </c>
      <c r="Q1840" s="4" t="s">
        <v>26</v>
      </c>
      <c r="R1840" s="4">
        <v>0</v>
      </c>
      <c r="S1840" s="6">
        <v>0</v>
      </c>
      <c r="T1840" s="6">
        <v>10</v>
      </c>
      <c r="U1840" s="6">
        <v>60</v>
      </c>
      <c r="V1840" s="6">
        <f>IF(ISERROR(VLOOKUP($S$1840,'TAR FIN'!$A$1:$O$95,15,0)),0,VLOOKUP($S$1840,'TAR FIN'!$A$1:$O$95,15,0))</f>
        <v>0</v>
      </c>
      <c r="W1840" s="6">
        <f>IF(ISERROR(VLOOKUP($T$1840,'TAR FIN'!$A$1:$O$95,15,0)),0,VLOOKUP($T$1840,'TAR FIN'!$A$1:$O$95,15,0))</f>
        <v>252.24</v>
      </c>
      <c r="X1840" s="6">
        <f>IF(ISERROR(VLOOKUP($U$1840,'TAR FIN'!$A$1:$O$95,15,0)),0,VLOOKUP($U$1840,'TAR FIN'!$A$1:$O$95,15,0))</f>
        <v>145.97999999999999</v>
      </c>
      <c r="Y1840" s="6"/>
      <c r="Z1840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40" s="6">
        <f>('TE BE'!$AA$15+'TE BF'!$AA$15+'TE CVA'!$AA$15)*(1-CUSTOS!$M$35)</f>
        <v>178.32099824078242</v>
      </c>
      <c r="AB1840" s="6">
        <f>$K$1840*$V$1840</f>
        <v>0</v>
      </c>
      <c r="AC1840" s="6">
        <f>$M$1840*$W$1840</f>
        <v>1539462.8440800002</v>
      </c>
      <c r="AD1840" s="6">
        <f>$O$1840*$X$1840</f>
        <v>890940.31865999999</v>
      </c>
      <c r="AE1840" s="6">
        <f>$K$1840*$Y$1840</f>
        <v>0</v>
      </c>
      <c r="AF1840" s="6">
        <f ca="1">$M$1840*$Z$1840</f>
        <v>1684617.6296621726</v>
      </c>
      <c r="AG1840" s="6">
        <f>$O$1840*$AA$1840</f>
        <v>1088322.8318702013</v>
      </c>
    </row>
    <row r="1841" spans="1:33" ht="11.25" customHeight="1" x14ac:dyDescent="0.25">
      <c r="A1841" s="4" t="s">
        <v>29</v>
      </c>
      <c r="B1841" s="4" t="s">
        <v>22</v>
      </c>
      <c r="C1841" s="4" t="s">
        <v>23</v>
      </c>
      <c r="D1841" s="4" t="s">
        <v>24</v>
      </c>
      <c r="E1841" s="4" t="s">
        <v>32</v>
      </c>
      <c r="F1841" s="4" t="s">
        <v>25</v>
      </c>
      <c r="G1841" s="4" t="s">
        <v>25</v>
      </c>
      <c r="H1841" s="4" t="s">
        <v>25</v>
      </c>
      <c r="I1841" s="5">
        <v>44378</v>
      </c>
      <c r="J1841" s="6">
        <v>0</v>
      </c>
      <c r="K1841" s="6">
        <v>0</v>
      </c>
      <c r="L1841" s="6">
        <v>-12.086</v>
      </c>
      <c r="M1841" s="6">
        <v>-12.086</v>
      </c>
      <c r="N1841" s="6">
        <v>-12.086</v>
      </c>
      <c r="O1841" s="6">
        <v>-12.086</v>
      </c>
      <c r="P1841" s="6">
        <v>0</v>
      </c>
      <c r="Q1841" s="4" t="s">
        <v>26</v>
      </c>
      <c r="R1841" s="4">
        <v>0</v>
      </c>
      <c r="S1841" s="6">
        <v>0</v>
      </c>
      <c r="T1841" s="6">
        <v>10</v>
      </c>
      <c r="U1841" s="6">
        <v>60</v>
      </c>
      <c r="V1841" s="6">
        <f>IF(ISERROR(VLOOKUP($S$1841,'TAR FIN'!$A$1:$O$95,15,0)),0,VLOOKUP($S$1841,'TAR FIN'!$A$1:$O$95,15,0))</f>
        <v>0</v>
      </c>
      <c r="W1841" s="6">
        <f>IF(ISERROR(VLOOKUP($T$1841,'TAR FIN'!$A$1:$O$95,15,0)),0,VLOOKUP($T$1841,'TAR FIN'!$A$1:$O$95,15,0))</f>
        <v>252.24</v>
      </c>
      <c r="X1841" s="6">
        <f>IF(ISERROR(VLOOKUP($U$1841,'TAR FIN'!$A$1:$O$95,15,0)),0,VLOOKUP($U$1841,'TAR FIN'!$A$1:$O$95,15,0))</f>
        <v>145.97999999999999</v>
      </c>
      <c r="Y1841" s="6"/>
      <c r="Z1841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41" s="6">
        <f>('TE BE'!$AA$15+'TE BF'!$AA$15+'TE CVA'!$AA$15)*(1-CUSTOS!$M$35)</f>
        <v>178.32099824078242</v>
      </c>
      <c r="AB1841" s="6">
        <f>$K$1841*$V$1841</f>
        <v>0</v>
      </c>
      <c r="AC1841" s="6">
        <f>$M$1841*$W$1841</f>
        <v>-3048.5726400000003</v>
      </c>
      <c r="AD1841" s="6">
        <f>$O$1841*$X$1841</f>
        <v>-1764.3142799999998</v>
      </c>
      <c r="AE1841" s="6">
        <f>$K$1841*$Y$1841</f>
        <v>0</v>
      </c>
      <c r="AF1841" s="6">
        <f ca="1">$M$1841*$Z$1841</f>
        <v>-3336.0202452426779</v>
      </c>
      <c r="AG1841" s="6">
        <f>$O$1841*$AA$1841</f>
        <v>-2155.1875847380961</v>
      </c>
    </row>
    <row r="1842" spans="1:33" ht="11.25" customHeight="1" x14ac:dyDescent="0.25">
      <c r="A1842" s="4" t="s">
        <v>30</v>
      </c>
      <c r="B1842" s="4" t="s">
        <v>22</v>
      </c>
      <c r="C1842" s="4" t="s">
        <v>23</v>
      </c>
      <c r="D1842" s="4" t="s">
        <v>24</v>
      </c>
      <c r="E1842" s="4" t="s">
        <v>32</v>
      </c>
      <c r="F1842" s="4" t="s">
        <v>25</v>
      </c>
      <c r="G1842" s="4" t="s">
        <v>25</v>
      </c>
      <c r="H1842" s="4" t="s">
        <v>25</v>
      </c>
      <c r="I1842" s="5">
        <v>44378</v>
      </c>
      <c r="J1842" s="6">
        <v>0</v>
      </c>
      <c r="K1842" s="6">
        <v>0</v>
      </c>
      <c r="L1842" s="6">
        <v>0.47</v>
      </c>
      <c r="M1842" s="6">
        <v>0.47</v>
      </c>
      <c r="N1842" s="6">
        <v>0.47</v>
      </c>
      <c r="O1842" s="6">
        <v>0.47</v>
      </c>
      <c r="P1842" s="6">
        <v>0</v>
      </c>
      <c r="Q1842" s="4" t="s">
        <v>26</v>
      </c>
      <c r="R1842" s="4">
        <v>0</v>
      </c>
      <c r="S1842" s="6">
        <v>0</v>
      </c>
      <c r="T1842" s="6">
        <v>10</v>
      </c>
      <c r="U1842" s="6">
        <v>60</v>
      </c>
      <c r="V1842" s="6">
        <f>IF(ISERROR(VLOOKUP($S$1842,'TAR FIN'!$A$1:$O$95,15,0)),0,VLOOKUP($S$1842,'TAR FIN'!$A$1:$O$95,15,0))</f>
        <v>0</v>
      </c>
      <c r="W1842" s="6">
        <f>IF(ISERROR(VLOOKUP($T$1842,'TAR FIN'!$A$1:$O$95,15,0)),0,VLOOKUP($T$1842,'TAR FIN'!$A$1:$O$95,15,0))</f>
        <v>252.24</v>
      </c>
      <c r="X1842" s="6">
        <f>IF(ISERROR(VLOOKUP($U$1842,'TAR FIN'!$A$1:$O$95,15,0)),0,VLOOKUP($U$1842,'TAR FIN'!$A$1:$O$95,15,0))</f>
        <v>145.97999999999999</v>
      </c>
      <c r="Y1842" s="6"/>
      <c r="Z1842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42" s="6">
        <f>('TE BE'!$AA$15+'TE BF'!$AA$15+'TE CVA'!$AA$15)*(1-CUSTOS!$M$35)</f>
        <v>178.32099824078242</v>
      </c>
      <c r="AB1842" s="6">
        <f>$K$1842*$V$1842</f>
        <v>0</v>
      </c>
      <c r="AC1842" s="6">
        <f>$M$1842*$W$1842</f>
        <v>118.55279999999999</v>
      </c>
      <c r="AD1842" s="6">
        <f>$O$1842*$X$1842</f>
        <v>68.610599999999991</v>
      </c>
      <c r="AE1842" s="6">
        <f>$K$1842*$Y$1842</f>
        <v>0</v>
      </c>
      <c r="AF1842" s="6">
        <f ca="1">$M$1842*$Z$1842</f>
        <v>129.7310537203424</v>
      </c>
      <c r="AG1842" s="6">
        <f>$O$1842*$AA$1842</f>
        <v>83.810869173167731</v>
      </c>
    </row>
    <row r="1843" spans="1:33" ht="11.25" customHeight="1" x14ac:dyDescent="0.25">
      <c r="A1843" s="4" t="s">
        <v>21</v>
      </c>
      <c r="B1843" s="4" t="s">
        <v>22</v>
      </c>
      <c r="C1843" s="4" t="s">
        <v>23</v>
      </c>
      <c r="D1843" s="4" t="s">
        <v>24</v>
      </c>
      <c r="E1843" s="4" t="s">
        <v>32</v>
      </c>
      <c r="F1843" s="4" t="s">
        <v>25</v>
      </c>
      <c r="G1843" s="4" t="s">
        <v>25</v>
      </c>
      <c r="H1843" s="4" t="s">
        <v>25</v>
      </c>
      <c r="I1843" s="5">
        <v>44409</v>
      </c>
      <c r="J1843" s="6">
        <v>0</v>
      </c>
      <c r="K1843" s="6">
        <v>0</v>
      </c>
      <c r="L1843" s="6">
        <v>3662.4870000000001</v>
      </c>
      <c r="M1843" s="6">
        <v>3662.4870000000001</v>
      </c>
      <c r="N1843" s="6">
        <v>3662.4870000000001</v>
      </c>
      <c r="O1843" s="6">
        <v>3662.4870000000001</v>
      </c>
      <c r="P1843" s="6">
        <v>15334</v>
      </c>
      <c r="Q1843" s="4" t="s">
        <v>26</v>
      </c>
      <c r="R1843" s="4">
        <v>0</v>
      </c>
      <c r="S1843" s="6">
        <v>0</v>
      </c>
      <c r="T1843" s="6">
        <v>10</v>
      </c>
      <c r="U1843" s="6">
        <v>60</v>
      </c>
      <c r="V1843" s="6">
        <f>IF(ISERROR(VLOOKUP($S$1843,'TAR FIN'!$A$1:$O$95,15,0)),0,VLOOKUP($S$1843,'TAR FIN'!$A$1:$O$95,15,0))</f>
        <v>0</v>
      </c>
      <c r="W1843" s="6">
        <f>IF(ISERROR(VLOOKUP($T$1843,'TAR FIN'!$A$1:$O$95,15,0)),0,VLOOKUP($T$1843,'TAR FIN'!$A$1:$O$95,15,0))</f>
        <v>252.24</v>
      </c>
      <c r="X1843" s="6">
        <f>IF(ISERROR(VLOOKUP($U$1843,'TAR FIN'!$A$1:$O$95,15,0)),0,VLOOKUP($U$1843,'TAR FIN'!$A$1:$O$95,15,0))</f>
        <v>145.97999999999999</v>
      </c>
      <c r="Y1843" s="6"/>
      <c r="Z1843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43" s="6">
        <f>('TE BE'!$AA$15+'TE BF'!$AA$15+'TE CVA'!$AA$15)*(1-CUSTOS!$M$35)</f>
        <v>178.32099824078242</v>
      </c>
      <c r="AB1843" s="6">
        <f>$K$1843*$V$1843</f>
        <v>0</v>
      </c>
      <c r="AC1843" s="6">
        <f>$M$1843*$W$1843</f>
        <v>923825.72088000004</v>
      </c>
      <c r="AD1843" s="6">
        <f>$O$1843*$X$1843</f>
        <v>534649.85225999996</v>
      </c>
      <c r="AE1843" s="6">
        <f>$K$1843*$Y$1843</f>
        <v>0</v>
      </c>
      <c r="AF1843" s="6">
        <f ca="1">$M$1843*$Z$1843</f>
        <v>1010932.548397991</v>
      </c>
      <c r="AG1843" s="6">
        <f>$O$1843*$AA$1843</f>
        <v>653098.33788388851</v>
      </c>
    </row>
    <row r="1844" spans="1:33" ht="11.25" customHeight="1" x14ac:dyDescent="0.25">
      <c r="A1844" s="4" t="s">
        <v>27</v>
      </c>
      <c r="B1844" s="4" t="s">
        <v>22</v>
      </c>
      <c r="C1844" s="4" t="s">
        <v>23</v>
      </c>
      <c r="D1844" s="4" t="s">
        <v>24</v>
      </c>
      <c r="E1844" s="4" t="s">
        <v>32</v>
      </c>
      <c r="F1844" s="4" t="s">
        <v>25</v>
      </c>
      <c r="G1844" s="4" t="s">
        <v>25</v>
      </c>
      <c r="H1844" s="4" t="s">
        <v>25</v>
      </c>
      <c r="I1844" s="5">
        <v>44409</v>
      </c>
      <c r="J1844" s="6">
        <v>0</v>
      </c>
      <c r="K1844" s="6">
        <v>0</v>
      </c>
      <c r="L1844" s="6">
        <v>-13.510999999999999</v>
      </c>
      <c r="M1844" s="6">
        <v>-13.510999999999999</v>
      </c>
      <c r="N1844" s="6">
        <v>-13.510999999999999</v>
      </c>
      <c r="O1844" s="6">
        <v>-13.510999999999999</v>
      </c>
      <c r="P1844" s="6">
        <v>0</v>
      </c>
      <c r="Q1844" s="4" t="s">
        <v>26</v>
      </c>
      <c r="R1844" s="4">
        <v>0</v>
      </c>
      <c r="S1844" s="6">
        <v>0</v>
      </c>
      <c r="T1844" s="6">
        <v>10</v>
      </c>
      <c r="U1844" s="6">
        <v>60</v>
      </c>
      <c r="V1844" s="6">
        <f>IF(ISERROR(VLOOKUP($S$1844,'TAR FIN'!$A$1:$O$95,15,0)),0,VLOOKUP($S$1844,'TAR FIN'!$A$1:$O$95,15,0))</f>
        <v>0</v>
      </c>
      <c r="W1844" s="6">
        <f>IF(ISERROR(VLOOKUP($T$1844,'TAR FIN'!$A$1:$O$95,15,0)),0,VLOOKUP($T$1844,'TAR FIN'!$A$1:$O$95,15,0))</f>
        <v>252.24</v>
      </c>
      <c r="X1844" s="6">
        <f>IF(ISERROR(VLOOKUP($U$1844,'TAR FIN'!$A$1:$O$95,15,0)),0,VLOOKUP($U$1844,'TAR FIN'!$A$1:$O$95,15,0))</f>
        <v>145.97999999999999</v>
      </c>
      <c r="Y1844" s="6"/>
      <c r="Z1844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44" s="6">
        <f>('TE BE'!$AA$15+'TE BF'!$AA$15+'TE CVA'!$AA$15)*(1-CUSTOS!$M$35)</f>
        <v>178.32099824078242</v>
      </c>
      <c r="AB1844" s="6">
        <f>$K$1844*$V$1844</f>
        <v>0</v>
      </c>
      <c r="AC1844" s="6">
        <f>$M$1844*$W$1844</f>
        <v>-3408.0146399999999</v>
      </c>
      <c r="AD1844" s="6">
        <f>$O$1844*$X$1844</f>
        <v>-1972.3357799999997</v>
      </c>
      <c r="AE1844" s="6">
        <f>$K$1844*$Y$1844</f>
        <v>0</v>
      </c>
      <c r="AF1844" s="6">
        <f ca="1">$M$1844*$Z$1844</f>
        <v>-3729.3537591820136</v>
      </c>
      <c r="AG1844" s="6">
        <f>$O$1844*$AA$1844</f>
        <v>-2409.295007231211</v>
      </c>
    </row>
    <row r="1845" spans="1:33" ht="11.25" customHeight="1" x14ac:dyDescent="0.25">
      <c r="A1845" s="4" t="s">
        <v>28</v>
      </c>
      <c r="B1845" s="4" t="s">
        <v>22</v>
      </c>
      <c r="C1845" s="4" t="s">
        <v>23</v>
      </c>
      <c r="D1845" s="4" t="s">
        <v>24</v>
      </c>
      <c r="E1845" s="4" t="s">
        <v>32</v>
      </c>
      <c r="F1845" s="4" t="s">
        <v>25</v>
      </c>
      <c r="G1845" s="4" t="s">
        <v>25</v>
      </c>
      <c r="H1845" s="4" t="s">
        <v>25</v>
      </c>
      <c r="I1845" s="5">
        <v>44409</v>
      </c>
      <c r="J1845" s="6">
        <v>0</v>
      </c>
      <c r="K1845" s="6">
        <v>0</v>
      </c>
      <c r="L1845" s="6">
        <v>6236.8689999999997</v>
      </c>
      <c r="M1845" s="6">
        <v>6236.8689999999997</v>
      </c>
      <c r="N1845" s="6">
        <v>6236.8689999999997</v>
      </c>
      <c r="O1845" s="6">
        <v>6236.8689999999997</v>
      </c>
      <c r="P1845" s="6">
        <v>31415</v>
      </c>
      <c r="Q1845" s="4" t="s">
        <v>26</v>
      </c>
      <c r="R1845" s="4">
        <v>0</v>
      </c>
      <c r="S1845" s="6">
        <v>0</v>
      </c>
      <c r="T1845" s="6">
        <v>10</v>
      </c>
      <c r="U1845" s="6">
        <v>60</v>
      </c>
      <c r="V1845" s="6">
        <f>IF(ISERROR(VLOOKUP($S$1845,'TAR FIN'!$A$1:$O$95,15,0)),0,VLOOKUP($S$1845,'TAR FIN'!$A$1:$O$95,15,0))</f>
        <v>0</v>
      </c>
      <c r="W1845" s="6">
        <f>IF(ISERROR(VLOOKUP($T$1845,'TAR FIN'!$A$1:$O$95,15,0)),0,VLOOKUP($T$1845,'TAR FIN'!$A$1:$O$95,15,0))</f>
        <v>252.24</v>
      </c>
      <c r="X1845" s="6">
        <f>IF(ISERROR(VLOOKUP($U$1845,'TAR FIN'!$A$1:$O$95,15,0)),0,VLOOKUP($U$1845,'TAR FIN'!$A$1:$O$95,15,0))</f>
        <v>145.97999999999999</v>
      </c>
      <c r="Y1845" s="6"/>
      <c r="Z1845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45" s="6">
        <f>('TE BE'!$AA$15+'TE BF'!$AA$15+'TE CVA'!$AA$15)*(1-CUSTOS!$M$35)</f>
        <v>178.32099824078242</v>
      </c>
      <c r="AB1845" s="6">
        <f>$K$1845*$V$1845</f>
        <v>0</v>
      </c>
      <c r="AC1845" s="6">
        <f>$M$1845*$W$1845</f>
        <v>1573187.83656</v>
      </c>
      <c r="AD1845" s="6">
        <f>$O$1845*$X$1845</f>
        <v>910458.13661999989</v>
      </c>
      <c r="AE1845" s="6">
        <f>$K$1845*$Y$1845</f>
        <v>0</v>
      </c>
      <c r="AF1845" s="6">
        <f ca="1">$M$1845*$Z$1845</f>
        <v>1721522.5261398687</v>
      </c>
      <c r="AG1845" s="6">
        <f>$O$1845*$AA$1845</f>
        <v>1112164.7059769903</v>
      </c>
    </row>
    <row r="1846" spans="1:33" ht="11.25" customHeight="1" x14ac:dyDescent="0.25">
      <c r="A1846" s="4" t="s">
        <v>29</v>
      </c>
      <c r="B1846" s="4" t="s">
        <v>22</v>
      </c>
      <c r="C1846" s="4" t="s">
        <v>23</v>
      </c>
      <c r="D1846" s="4" t="s">
        <v>24</v>
      </c>
      <c r="E1846" s="4" t="s">
        <v>32</v>
      </c>
      <c r="F1846" s="4" t="s">
        <v>25</v>
      </c>
      <c r="G1846" s="4" t="s">
        <v>25</v>
      </c>
      <c r="H1846" s="4" t="s">
        <v>25</v>
      </c>
      <c r="I1846" s="5">
        <v>44409</v>
      </c>
      <c r="J1846" s="6">
        <v>0</v>
      </c>
      <c r="K1846" s="6">
        <v>0</v>
      </c>
      <c r="L1846" s="6">
        <v>-12.356</v>
      </c>
      <c r="M1846" s="6">
        <v>-12.356</v>
      </c>
      <c r="N1846" s="6">
        <v>-12.356</v>
      </c>
      <c r="O1846" s="6">
        <v>-12.356</v>
      </c>
      <c r="P1846" s="6">
        <v>0</v>
      </c>
      <c r="Q1846" s="4" t="s">
        <v>26</v>
      </c>
      <c r="R1846" s="4">
        <v>0</v>
      </c>
      <c r="S1846" s="6">
        <v>0</v>
      </c>
      <c r="T1846" s="6">
        <v>10</v>
      </c>
      <c r="U1846" s="6">
        <v>60</v>
      </c>
      <c r="V1846" s="6">
        <f>IF(ISERROR(VLOOKUP($S$1846,'TAR FIN'!$A$1:$O$95,15,0)),0,VLOOKUP($S$1846,'TAR FIN'!$A$1:$O$95,15,0))</f>
        <v>0</v>
      </c>
      <c r="W1846" s="6">
        <f>IF(ISERROR(VLOOKUP($T$1846,'TAR FIN'!$A$1:$O$95,15,0)),0,VLOOKUP($T$1846,'TAR FIN'!$A$1:$O$95,15,0))</f>
        <v>252.24</v>
      </c>
      <c r="X1846" s="6">
        <f>IF(ISERROR(VLOOKUP($U$1846,'TAR FIN'!$A$1:$O$95,15,0)),0,VLOOKUP($U$1846,'TAR FIN'!$A$1:$O$95,15,0))</f>
        <v>145.97999999999999</v>
      </c>
      <c r="Y1846" s="6"/>
      <c r="Z1846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46" s="6">
        <f>('TE BE'!$AA$15+'TE BF'!$AA$15+'TE CVA'!$AA$15)*(1-CUSTOS!$M$35)</f>
        <v>178.32099824078242</v>
      </c>
      <c r="AB1846" s="6">
        <f>$K$1846*$V$1846</f>
        <v>0</v>
      </c>
      <c r="AC1846" s="6">
        <f>$M$1846*$W$1846</f>
        <v>-3116.6774399999999</v>
      </c>
      <c r="AD1846" s="6">
        <f>$O$1846*$X$1846</f>
        <v>-1803.7288799999999</v>
      </c>
      <c r="AE1846" s="6">
        <f>$K$1846*$Y$1846</f>
        <v>0</v>
      </c>
      <c r="AF1846" s="6">
        <f ca="1">$M$1846*$Z$1846</f>
        <v>-3410.5465952522359</v>
      </c>
      <c r="AG1846" s="6">
        <f>$O$1846*$AA$1846</f>
        <v>-2203.3342542631076</v>
      </c>
    </row>
    <row r="1847" spans="1:33" ht="11.25" customHeight="1" x14ac:dyDescent="0.25">
      <c r="A1847" s="4" t="s">
        <v>30</v>
      </c>
      <c r="B1847" s="4" t="s">
        <v>22</v>
      </c>
      <c r="C1847" s="4" t="s">
        <v>23</v>
      </c>
      <c r="D1847" s="4" t="s">
        <v>24</v>
      </c>
      <c r="E1847" s="4" t="s">
        <v>32</v>
      </c>
      <c r="F1847" s="4" t="s">
        <v>25</v>
      </c>
      <c r="G1847" s="4" t="s">
        <v>25</v>
      </c>
      <c r="H1847" s="4" t="s">
        <v>25</v>
      </c>
      <c r="I1847" s="5">
        <v>44409</v>
      </c>
      <c r="J1847" s="6">
        <v>0</v>
      </c>
      <c r="K1847" s="6">
        <v>0</v>
      </c>
      <c r="L1847" s="6">
        <v>0.59</v>
      </c>
      <c r="M1847" s="6">
        <v>0.59</v>
      </c>
      <c r="N1847" s="6">
        <v>0.59</v>
      </c>
      <c r="O1847" s="6">
        <v>0.59</v>
      </c>
      <c r="P1847" s="6">
        <v>0</v>
      </c>
      <c r="Q1847" s="4" t="s">
        <v>26</v>
      </c>
      <c r="R1847" s="4">
        <v>0</v>
      </c>
      <c r="S1847" s="6">
        <v>0</v>
      </c>
      <c r="T1847" s="6">
        <v>10</v>
      </c>
      <c r="U1847" s="6">
        <v>60</v>
      </c>
      <c r="V1847" s="6">
        <f>IF(ISERROR(VLOOKUP($S$1847,'TAR FIN'!$A$1:$O$95,15,0)),0,VLOOKUP($S$1847,'TAR FIN'!$A$1:$O$95,15,0))</f>
        <v>0</v>
      </c>
      <c r="W1847" s="6">
        <f>IF(ISERROR(VLOOKUP($T$1847,'TAR FIN'!$A$1:$O$95,15,0)),0,VLOOKUP($T$1847,'TAR FIN'!$A$1:$O$95,15,0))</f>
        <v>252.24</v>
      </c>
      <c r="X1847" s="6">
        <f>IF(ISERROR(VLOOKUP($U$1847,'TAR FIN'!$A$1:$O$95,15,0)),0,VLOOKUP($U$1847,'TAR FIN'!$A$1:$O$95,15,0))</f>
        <v>145.97999999999999</v>
      </c>
      <c r="Y1847" s="6"/>
      <c r="Z1847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47" s="6">
        <f>('TE BE'!$AA$15+'TE BF'!$AA$15+'TE CVA'!$AA$15)*(1-CUSTOS!$M$35)</f>
        <v>178.32099824078242</v>
      </c>
      <c r="AB1847" s="6">
        <f>$K$1847*$V$1847</f>
        <v>0</v>
      </c>
      <c r="AC1847" s="6">
        <f>$M$1847*$W$1847</f>
        <v>148.82159999999999</v>
      </c>
      <c r="AD1847" s="6">
        <f>$O$1847*$X$1847</f>
        <v>86.128199999999993</v>
      </c>
      <c r="AE1847" s="6">
        <f>$K$1847*$Y$1847</f>
        <v>0</v>
      </c>
      <c r="AF1847" s="6">
        <f ca="1">$M$1847*$Z$1847</f>
        <v>162.85387594681282</v>
      </c>
      <c r="AG1847" s="6">
        <f>$O$1847*$AA$1847</f>
        <v>105.20938896206162</v>
      </c>
    </row>
    <row r="1848" spans="1:33" ht="11.25" customHeight="1" x14ac:dyDescent="0.25">
      <c r="A1848" s="4" t="s">
        <v>21</v>
      </c>
      <c r="B1848" s="4" t="s">
        <v>22</v>
      </c>
      <c r="C1848" s="4" t="s">
        <v>23</v>
      </c>
      <c r="D1848" s="4" t="s">
        <v>24</v>
      </c>
      <c r="E1848" s="4" t="s">
        <v>32</v>
      </c>
      <c r="F1848" s="4" t="s">
        <v>25</v>
      </c>
      <c r="G1848" s="4" t="s">
        <v>25</v>
      </c>
      <c r="H1848" s="4" t="s">
        <v>25</v>
      </c>
      <c r="I1848" s="5">
        <v>44440</v>
      </c>
      <c r="J1848" s="6">
        <v>0</v>
      </c>
      <c r="K1848" s="6">
        <v>0</v>
      </c>
      <c r="L1848" s="6">
        <v>3683.6120000000001</v>
      </c>
      <c r="M1848" s="6">
        <v>3683.6120000000001</v>
      </c>
      <c r="N1848" s="6">
        <v>3683.6120000000001</v>
      </c>
      <c r="O1848" s="6">
        <v>3683.6120000000001</v>
      </c>
      <c r="P1848" s="6">
        <v>15119</v>
      </c>
      <c r="Q1848" s="4" t="s">
        <v>26</v>
      </c>
      <c r="R1848" s="4">
        <v>0</v>
      </c>
      <c r="S1848" s="6">
        <v>0</v>
      </c>
      <c r="T1848" s="6">
        <v>10</v>
      </c>
      <c r="U1848" s="6">
        <v>60</v>
      </c>
      <c r="V1848" s="6">
        <f>IF(ISERROR(VLOOKUP($S$1848,'TAR FIN'!$A$1:$O$95,15,0)),0,VLOOKUP($S$1848,'TAR FIN'!$A$1:$O$95,15,0))</f>
        <v>0</v>
      </c>
      <c r="W1848" s="6">
        <f>IF(ISERROR(VLOOKUP($T$1848,'TAR FIN'!$A$1:$O$95,15,0)),0,VLOOKUP($T$1848,'TAR FIN'!$A$1:$O$95,15,0))</f>
        <v>252.24</v>
      </c>
      <c r="X1848" s="6">
        <f>IF(ISERROR(VLOOKUP($U$1848,'TAR FIN'!$A$1:$O$95,15,0)),0,VLOOKUP($U$1848,'TAR FIN'!$A$1:$O$95,15,0))</f>
        <v>145.97999999999999</v>
      </c>
      <c r="Y1848" s="6"/>
      <c r="Z1848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48" s="6">
        <f>('TE BE'!$AA$15+'TE BF'!$AA$15+'TE CVA'!$AA$15)*(1-CUSTOS!$M$35)</f>
        <v>178.32099824078242</v>
      </c>
      <c r="AB1848" s="6">
        <f>$K$1848*$V$1848</f>
        <v>0</v>
      </c>
      <c r="AC1848" s="6">
        <f>$M$1848*$W$1848</f>
        <v>929154.2908800001</v>
      </c>
      <c r="AD1848" s="6">
        <f>$O$1848*$X$1848</f>
        <v>537733.67975999997</v>
      </c>
      <c r="AE1848" s="6">
        <f>$K$1848*$Y$1848</f>
        <v>0</v>
      </c>
      <c r="AF1848" s="6">
        <f ca="1">$M$1848*$Z$1848</f>
        <v>1016763.5452274425</v>
      </c>
      <c r="AG1848" s="6">
        <f>$O$1848*$AA$1848</f>
        <v>656865.36897172499</v>
      </c>
    </row>
    <row r="1849" spans="1:33" ht="11.25" customHeight="1" x14ac:dyDescent="0.25">
      <c r="A1849" s="4" t="s">
        <v>27</v>
      </c>
      <c r="B1849" s="4" t="s">
        <v>22</v>
      </c>
      <c r="C1849" s="4" t="s">
        <v>23</v>
      </c>
      <c r="D1849" s="4" t="s">
        <v>24</v>
      </c>
      <c r="E1849" s="4" t="s">
        <v>32</v>
      </c>
      <c r="F1849" s="4" t="s">
        <v>25</v>
      </c>
      <c r="G1849" s="4" t="s">
        <v>25</v>
      </c>
      <c r="H1849" s="4" t="s">
        <v>25</v>
      </c>
      <c r="I1849" s="5">
        <v>44440</v>
      </c>
      <c r="J1849" s="6">
        <v>0</v>
      </c>
      <c r="K1849" s="6">
        <v>0</v>
      </c>
      <c r="L1849" s="6">
        <v>-8.1210000000000004</v>
      </c>
      <c r="M1849" s="6">
        <v>-8.1210000000000004</v>
      </c>
      <c r="N1849" s="6">
        <v>-8.1210000000000004</v>
      </c>
      <c r="O1849" s="6">
        <v>-8.1210000000000004</v>
      </c>
      <c r="P1849" s="6">
        <v>0</v>
      </c>
      <c r="Q1849" s="4" t="s">
        <v>26</v>
      </c>
      <c r="R1849" s="4">
        <v>0</v>
      </c>
      <c r="S1849" s="6">
        <v>0</v>
      </c>
      <c r="T1849" s="6">
        <v>10</v>
      </c>
      <c r="U1849" s="6">
        <v>60</v>
      </c>
      <c r="V1849" s="6">
        <f>IF(ISERROR(VLOOKUP($S$1849,'TAR FIN'!$A$1:$O$95,15,0)),0,VLOOKUP($S$1849,'TAR FIN'!$A$1:$O$95,15,0))</f>
        <v>0</v>
      </c>
      <c r="W1849" s="6">
        <f>IF(ISERROR(VLOOKUP($T$1849,'TAR FIN'!$A$1:$O$95,15,0)),0,VLOOKUP($T$1849,'TAR FIN'!$A$1:$O$95,15,0))</f>
        <v>252.24</v>
      </c>
      <c r="X1849" s="6">
        <f>IF(ISERROR(VLOOKUP($U$1849,'TAR FIN'!$A$1:$O$95,15,0)),0,VLOOKUP($U$1849,'TAR FIN'!$A$1:$O$95,15,0))</f>
        <v>145.97999999999999</v>
      </c>
      <c r="Y1849" s="6"/>
      <c r="Z1849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49" s="6">
        <f>('TE BE'!$AA$15+'TE BF'!$AA$15+'TE CVA'!$AA$15)*(1-CUSTOS!$M$35)</f>
        <v>178.32099824078242</v>
      </c>
      <c r="AB1849" s="6">
        <f>$K$1849*$V$1849</f>
        <v>0</v>
      </c>
      <c r="AC1849" s="6">
        <f>$M$1849*$W$1849</f>
        <v>-2048.4410400000002</v>
      </c>
      <c r="AD1849" s="6">
        <f>$O$1849*$X$1849</f>
        <v>-1185.5035800000001</v>
      </c>
      <c r="AE1849" s="6">
        <f>$K$1849*$Y$1849</f>
        <v>0</v>
      </c>
      <c r="AF1849" s="6">
        <f ca="1">$M$1849*$Z$1849</f>
        <v>-2241.5869941763849</v>
      </c>
      <c r="AG1849" s="6">
        <f>$O$1849*$AA$1849</f>
        <v>-1448.144826713394</v>
      </c>
    </row>
    <row r="1850" spans="1:33" ht="11.25" customHeight="1" x14ac:dyDescent="0.25">
      <c r="A1850" s="4" t="s">
        <v>28</v>
      </c>
      <c r="B1850" s="4" t="s">
        <v>22</v>
      </c>
      <c r="C1850" s="4" t="s">
        <v>23</v>
      </c>
      <c r="D1850" s="4" t="s">
        <v>24</v>
      </c>
      <c r="E1850" s="4" t="s">
        <v>32</v>
      </c>
      <c r="F1850" s="4" t="s">
        <v>25</v>
      </c>
      <c r="G1850" s="4" t="s">
        <v>25</v>
      </c>
      <c r="H1850" s="4" t="s">
        <v>25</v>
      </c>
      <c r="I1850" s="5">
        <v>44440</v>
      </c>
      <c r="J1850" s="6">
        <v>0</v>
      </c>
      <c r="K1850" s="6">
        <v>0</v>
      </c>
      <c r="L1850" s="6">
        <v>6345.0460000000003</v>
      </c>
      <c r="M1850" s="6">
        <v>6345.0460000000003</v>
      </c>
      <c r="N1850" s="6">
        <v>6345.0460000000003</v>
      </c>
      <c r="O1850" s="6">
        <v>6345.0460000000003</v>
      </c>
      <c r="P1850" s="6">
        <v>29571</v>
      </c>
      <c r="Q1850" s="4" t="s">
        <v>26</v>
      </c>
      <c r="R1850" s="4">
        <v>0</v>
      </c>
      <c r="S1850" s="6">
        <v>0</v>
      </c>
      <c r="T1850" s="6">
        <v>10</v>
      </c>
      <c r="U1850" s="6">
        <v>60</v>
      </c>
      <c r="V1850" s="6">
        <f>IF(ISERROR(VLOOKUP($S$1850,'TAR FIN'!$A$1:$O$95,15,0)),0,VLOOKUP($S$1850,'TAR FIN'!$A$1:$O$95,15,0))</f>
        <v>0</v>
      </c>
      <c r="W1850" s="6">
        <f>IF(ISERROR(VLOOKUP($T$1850,'TAR FIN'!$A$1:$O$95,15,0)),0,VLOOKUP($T$1850,'TAR FIN'!$A$1:$O$95,15,0))</f>
        <v>252.24</v>
      </c>
      <c r="X1850" s="6">
        <f>IF(ISERROR(VLOOKUP($U$1850,'TAR FIN'!$A$1:$O$95,15,0)),0,VLOOKUP($U$1850,'TAR FIN'!$A$1:$O$95,15,0))</f>
        <v>145.97999999999999</v>
      </c>
      <c r="Y1850" s="6"/>
      <c r="Z1850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50" s="6">
        <f>('TE BE'!$AA$15+'TE BF'!$AA$15+'TE CVA'!$AA$15)*(1-CUSTOS!$M$35)</f>
        <v>178.32099824078242</v>
      </c>
      <c r="AB1850" s="6">
        <f>$K$1850*$V$1850</f>
        <v>0</v>
      </c>
      <c r="AC1850" s="6">
        <f>$M$1850*$W$1850</f>
        <v>1600474.4030400002</v>
      </c>
      <c r="AD1850" s="6">
        <f>$O$1850*$X$1850</f>
        <v>926249.81507999997</v>
      </c>
      <c r="AE1850" s="6">
        <f>$K$1850*$Y$1850</f>
        <v>0</v>
      </c>
      <c r="AF1850" s="6">
        <f ca="1">$M$1850*$Z$1850</f>
        <v>1751381.9223064762</v>
      </c>
      <c r="AG1850" s="6">
        <f>$O$1850*$AA$1850</f>
        <v>1131454.9366036835</v>
      </c>
    </row>
    <row r="1851" spans="1:33" ht="11.25" customHeight="1" x14ac:dyDescent="0.25">
      <c r="A1851" s="4" t="s">
        <v>29</v>
      </c>
      <c r="B1851" s="4" t="s">
        <v>22</v>
      </c>
      <c r="C1851" s="4" t="s">
        <v>23</v>
      </c>
      <c r="D1851" s="4" t="s">
        <v>24</v>
      </c>
      <c r="E1851" s="4" t="s">
        <v>32</v>
      </c>
      <c r="F1851" s="4" t="s">
        <v>25</v>
      </c>
      <c r="G1851" s="4" t="s">
        <v>25</v>
      </c>
      <c r="H1851" s="4" t="s">
        <v>25</v>
      </c>
      <c r="I1851" s="5">
        <v>44440</v>
      </c>
      <c r="J1851" s="6">
        <v>0</v>
      </c>
      <c r="K1851" s="6">
        <v>0</v>
      </c>
      <c r="L1851" s="6">
        <v>-8.2929999999999993</v>
      </c>
      <c r="M1851" s="6">
        <v>-8.2929999999999993</v>
      </c>
      <c r="N1851" s="6">
        <v>-8.2929999999999993</v>
      </c>
      <c r="O1851" s="6">
        <v>-8.2929999999999993</v>
      </c>
      <c r="P1851" s="6">
        <v>0</v>
      </c>
      <c r="Q1851" s="4" t="s">
        <v>26</v>
      </c>
      <c r="R1851" s="4">
        <v>0</v>
      </c>
      <c r="S1851" s="6">
        <v>0</v>
      </c>
      <c r="T1851" s="6">
        <v>10</v>
      </c>
      <c r="U1851" s="6">
        <v>60</v>
      </c>
      <c r="V1851" s="6">
        <f>IF(ISERROR(VLOOKUP($S$1851,'TAR FIN'!$A$1:$O$95,15,0)),0,VLOOKUP($S$1851,'TAR FIN'!$A$1:$O$95,15,0))</f>
        <v>0</v>
      </c>
      <c r="W1851" s="6">
        <f>IF(ISERROR(VLOOKUP($T$1851,'TAR FIN'!$A$1:$O$95,15,0)),0,VLOOKUP($T$1851,'TAR FIN'!$A$1:$O$95,15,0))</f>
        <v>252.24</v>
      </c>
      <c r="X1851" s="6">
        <f>IF(ISERROR(VLOOKUP($U$1851,'TAR FIN'!$A$1:$O$95,15,0)),0,VLOOKUP($U$1851,'TAR FIN'!$A$1:$O$95,15,0))</f>
        <v>145.97999999999999</v>
      </c>
      <c r="Y1851" s="6"/>
      <c r="Z1851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51" s="6">
        <f>('TE BE'!$AA$15+'TE BF'!$AA$15+'TE CVA'!$AA$15)*(1-CUSTOS!$M$35)</f>
        <v>178.32099824078242</v>
      </c>
      <c r="AB1851" s="6">
        <f>$K$1851*$V$1851</f>
        <v>0</v>
      </c>
      <c r="AC1851" s="6">
        <f>$M$1851*$W$1851</f>
        <v>-2091.8263199999997</v>
      </c>
      <c r="AD1851" s="6">
        <f>$O$1851*$X$1851</f>
        <v>-1210.6121399999997</v>
      </c>
      <c r="AE1851" s="6">
        <f>$K$1851*$Y$1851</f>
        <v>0</v>
      </c>
      <c r="AF1851" s="6">
        <f ca="1">$M$1851*$Z$1851</f>
        <v>-2289.0630393676588</v>
      </c>
      <c r="AG1851" s="6">
        <f>$O$1851*$AA$1851</f>
        <v>-1478.8160384108085</v>
      </c>
    </row>
    <row r="1852" spans="1:33" ht="11.25" customHeight="1" x14ac:dyDescent="0.25">
      <c r="A1852" s="4" t="s">
        <v>30</v>
      </c>
      <c r="B1852" s="4" t="s">
        <v>22</v>
      </c>
      <c r="C1852" s="4" t="s">
        <v>23</v>
      </c>
      <c r="D1852" s="4" t="s">
        <v>24</v>
      </c>
      <c r="E1852" s="4" t="s">
        <v>32</v>
      </c>
      <c r="F1852" s="4" t="s">
        <v>25</v>
      </c>
      <c r="G1852" s="4" t="s">
        <v>25</v>
      </c>
      <c r="H1852" s="4" t="s">
        <v>25</v>
      </c>
      <c r="I1852" s="5">
        <v>44440</v>
      </c>
      <c r="J1852" s="6">
        <v>0</v>
      </c>
      <c r="K1852" s="6">
        <v>0</v>
      </c>
      <c r="L1852" s="6">
        <v>0.64100000000000001</v>
      </c>
      <c r="M1852" s="6">
        <v>0.64100000000000001</v>
      </c>
      <c r="N1852" s="6">
        <v>0.64100000000000001</v>
      </c>
      <c r="O1852" s="6">
        <v>0.64100000000000001</v>
      </c>
      <c r="P1852" s="6">
        <v>0</v>
      </c>
      <c r="Q1852" s="4" t="s">
        <v>26</v>
      </c>
      <c r="R1852" s="4">
        <v>0</v>
      </c>
      <c r="S1852" s="6">
        <v>0</v>
      </c>
      <c r="T1852" s="6">
        <v>10</v>
      </c>
      <c r="U1852" s="6">
        <v>60</v>
      </c>
      <c r="V1852" s="6">
        <f>IF(ISERROR(VLOOKUP($S$1852,'TAR FIN'!$A$1:$O$95,15,0)),0,VLOOKUP($S$1852,'TAR FIN'!$A$1:$O$95,15,0))</f>
        <v>0</v>
      </c>
      <c r="W1852" s="6">
        <f>IF(ISERROR(VLOOKUP($T$1852,'TAR FIN'!$A$1:$O$95,15,0)),0,VLOOKUP($T$1852,'TAR FIN'!$A$1:$O$95,15,0))</f>
        <v>252.24</v>
      </c>
      <c r="X1852" s="6">
        <f>IF(ISERROR(VLOOKUP($U$1852,'TAR FIN'!$A$1:$O$95,15,0)),0,VLOOKUP($U$1852,'TAR FIN'!$A$1:$O$95,15,0))</f>
        <v>145.97999999999999</v>
      </c>
      <c r="Y1852" s="6"/>
      <c r="Z1852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52" s="6">
        <f>('TE BE'!$AA$15+'TE BF'!$AA$15+'TE CVA'!$AA$15)*(1-CUSTOS!$M$35)</f>
        <v>178.32099824078242</v>
      </c>
      <c r="AB1852" s="6">
        <f>$K$1852*$V$1852</f>
        <v>0</v>
      </c>
      <c r="AC1852" s="6">
        <f>$M$1852*$W$1852</f>
        <v>161.68584000000001</v>
      </c>
      <c r="AD1852" s="6">
        <f>$O$1852*$X$1852</f>
        <v>93.573179999999994</v>
      </c>
      <c r="AE1852" s="6">
        <f>$K$1852*$Y$1852</f>
        <v>0</v>
      </c>
      <c r="AF1852" s="6">
        <f ca="1">$M$1852*$Z$1852</f>
        <v>176.93107539306274</v>
      </c>
      <c r="AG1852" s="6">
        <f>$O$1852*$AA$1852</f>
        <v>114.30375987234153</v>
      </c>
    </row>
    <row r="1853" spans="1:33" ht="11.25" customHeight="1" x14ac:dyDescent="0.25">
      <c r="A1853" s="4" t="s">
        <v>59</v>
      </c>
      <c r="B1853" s="4" t="s">
        <v>22</v>
      </c>
      <c r="C1853" s="4" t="s">
        <v>23</v>
      </c>
      <c r="D1853" s="4" t="s">
        <v>24</v>
      </c>
      <c r="E1853" s="4" t="s">
        <v>32</v>
      </c>
      <c r="F1853" s="4" t="s">
        <v>25</v>
      </c>
      <c r="G1853" s="4" t="s">
        <v>25</v>
      </c>
      <c r="H1853" s="4" t="s">
        <v>25</v>
      </c>
      <c r="I1853" s="5">
        <v>44470</v>
      </c>
      <c r="J1853" s="6">
        <v>0</v>
      </c>
      <c r="K1853" s="6">
        <v>0</v>
      </c>
      <c r="L1853" s="6">
        <v>3683.6120000000001</v>
      </c>
      <c r="M1853" s="6">
        <v>3683.6120000000001</v>
      </c>
      <c r="N1853" s="6">
        <v>3683.6120000000001</v>
      </c>
      <c r="O1853" s="6">
        <v>3683.6120000000001</v>
      </c>
      <c r="P1853" s="6">
        <v>15119</v>
      </c>
      <c r="Q1853" s="4" t="s">
        <v>26</v>
      </c>
      <c r="R1853" s="4">
        <v>0</v>
      </c>
      <c r="S1853" s="6">
        <v>0</v>
      </c>
      <c r="T1853" s="6">
        <v>10</v>
      </c>
      <c r="U1853" s="6">
        <v>60</v>
      </c>
      <c r="V1853" s="6">
        <f>IF(ISERROR(VLOOKUP($S$1853,'TAR FIN'!$A$1:$O$95,15,0)),0,VLOOKUP($S$1853,'TAR FIN'!$A$1:$O$95,15,0))</f>
        <v>0</v>
      </c>
      <c r="W1853" s="6">
        <f>IF(ISERROR(VLOOKUP($T$1853,'TAR FIN'!$A$1:$O$95,15,0)),0,VLOOKUP($T$1853,'TAR FIN'!$A$1:$O$95,15,0))</f>
        <v>252.24</v>
      </c>
      <c r="X1853" s="6">
        <f>IF(ISERROR(VLOOKUP($U$1853,'TAR FIN'!$A$1:$O$95,15,0)),0,VLOOKUP($U$1853,'TAR FIN'!$A$1:$O$95,15,0))</f>
        <v>145.97999999999999</v>
      </c>
      <c r="Y1853" s="6"/>
      <c r="Z1853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53" s="6">
        <f>('TE BE'!$AA$15+'TE BF'!$AA$15+'TE CVA'!$AA$15)*(1-CUSTOS!$M$35)</f>
        <v>178.32099824078242</v>
      </c>
      <c r="AB1853" s="6">
        <f>$K$1853*$V$1853</f>
        <v>0</v>
      </c>
      <c r="AC1853" s="6">
        <f>$M$1853*$W$1853</f>
        <v>929154.2908800001</v>
      </c>
      <c r="AD1853" s="6">
        <f>$O$1853*$X$1853</f>
        <v>537733.67975999997</v>
      </c>
      <c r="AE1853" s="6">
        <f>$K$1853*$Y$1853</f>
        <v>0</v>
      </c>
      <c r="AF1853" s="6">
        <f ca="1">$M$1853*$Z$1853</f>
        <v>1016763.5452274425</v>
      </c>
      <c r="AG1853" s="6">
        <f>$O$1853*$AA$1853</f>
        <v>656865.36897172499</v>
      </c>
    </row>
    <row r="1854" spans="1:33" ht="11.25" customHeight="1" x14ac:dyDescent="0.25">
      <c r="A1854" s="4" t="s">
        <v>59</v>
      </c>
      <c r="B1854" s="4" t="s">
        <v>22</v>
      </c>
      <c r="C1854" s="4" t="s">
        <v>23</v>
      </c>
      <c r="D1854" s="4" t="s">
        <v>24</v>
      </c>
      <c r="E1854" s="4" t="s">
        <v>32</v>
      </c>
      <c r="F1854" s="4" t="s">
        <v>25</v>
      </c>
      <c r="G1854" s="4" t="s">
        <v>25</v>
      </c>
      <c r="H1854" s="4" t="s">
        <v>25</v>
      </c>
      <c r="I1854" s="5">
        <v>44470</v>
      </c>
      <c r="J1854" s="6">
        <v>0</v>
      </c>
      <c r="K1854" s="6">
        <v>0</v>
      </c>
      <c r="L1854" s="6">
        <v>-8.1210000000000004</v>
      </c>
      <c r="M1854" s="6">
        <v>-8.1210000000000004</v>
      </c>
      <c r="N1854" s="6">
        <v>-8.1210000000000004</v>
      </c>
      <c r="O1854" s="6">
        <v>-8.1210000000000004</v>
      </c>
      <c r="P1854" s="6">
        <v>0</v>
      </c>
      <c r="Q1854" s="4" t="s">
        <v>26</v>
      </c>
      <c r="R1854" s="4">
        <v>0</v>
      </c>
      <c r="S1854" s="6">
        <v>0</v>
      </c>
      <c r="T1854" s="6">
        <v>10</v>
      </c>
      <c r="U1854" s="6">
        <v>60</v>
      </c>
      <c r="V1854" s="6">
        <f>IF(ISERROR(VLOOKUP($S$1854,'TAR FIN'!$A$1:$O$95,15,0)),0,VLOOKUP($S$1854,'TAR FIN'!$A$1:$O$95,15,0))</f>
        <v>0</v>
      </c>
      <c r="W1854" s="6">
        <f>IF(ISERROR(VLOOKUP($T$1854,'TAR FIN'!$A$1:$O$95,15,0)),0,VLOOKUP($T$1854,'TAR FIN'!$A$1:$O$95,15,0))</f>
        <v>252.24</v>
      </c>
      <c r="X1854" s="6">
        <f>IF(ISERROR(VLOOKUP($U$1854,'TAR FIN'!$A$1:$O$95,15,0)),0,VLOOKUP($U$1854,'TAR FIN'!$A$1:$O$95,15,0))</f>
        <v>145.97999999999999</v>
      </c>
      <c r="Y1854" s="6"/>
      <c r="Z1854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54" s="6">
        <f>('TE BE'!$AA$15+'TE BF'!$AA$15+'TE CVA'!$AA$15)*(1-CUSTOS!$M$35)</f>
        <v>178.32099824078242</v>
      </c>
      <c r="AB1854" s="6">
        <f>$K$1854*$V$1854</f>
        <v>0</v>
      </c>
      <c r="AC1854" s="6">
        <f>$M$1854*$W$1854</f>
        <v>-2048.4410400000002</v>
      </c>
      <c r="AD1854" s="6">
        <f>$O$1854*$X$1854</f>
        <v>-1185.5035800000001</v>
      </c>
      <c r="AE1854" s="6">
        <f>$K$1854*$Y$1854</f>
        <v>0</v>
      </c>
      <c r="AF1854" s="6">
        <f ca="1">$M$1854*$Z$1854</f>
        <v>-2241.5869941763849</v>
      </c>
      <c r="AG1854" s="6">
        <f>$O$1854*$AA$1854</f>
        <v>-1448.144826713394</v>
      </c>
    </row>
    <row r="1855" spans="1:33" ht="11.25" customHeight="1" x14ac:dyDescent="0.25">
      <c r="A1855" s="4" t="s">
        <v>59</v>
      </c>
      <c r="B1855" s="4" t="s">
        <v>22</v>
      </c>
      <c r="C1855" s="4" t="s">
        <v>23</v>
      </c>
      <c r="D1855" s="4" t="s">
        <v>24</v>
      </c>
      <c r="E1855" s="4" t="s">
        <v>32</v>
      </c>
      <c r="F1855" s="4" t="s">
        <v>25</v>
      </c>
      <c r="G1855" s="4" t="s">
        <v>25</v>
      </c>
      <c r="H1855" s="4" t="s">
        <v>25</v>
      </c>
      <c r="I1855" s="5">
        <v>44470</v>
      </c>
      <c r="J1855" s="6">
        <v>0</v>
      </c>
      <c r="K1855" s="6">
        <v>0</v>
      </c>
      <c r="L1855" s="6">
        <v>6345.0460000000003</v>
      </c>
      <c r="M1855" s="6">
        <v>6345.0460000000003</v>
      </c>
      <c r="N1855" s="6">
        <v>6345.0460000000003</v>
      </c>
      <c r="O1855" s="6">
        <v>6345.0460000000003</v>
      </c>
      <c r="P1855" s="6">
        <v>29571</v>
      </c>
      <c r="Q1855" s="4" t="s">
        <v>26</v>
      </c>
      <c r="R1855" s="4">
        <v>0</v>
      </c>
      <c r="S1855" s="6">
        <v>0</v>
      </c>
      <c r="T1855" s="6">
        <v>10</v>
      </c>
      <c r="U1855" s="6">
        <v>60</v>
      </c>
      <c r="V1855" s="6">
        <f>IF(ISERROR(VLOOKUP($S$1855,'TAR FIN'!$A$1:$O$95,15,0)),0,VLOOKUP($S$1855,'TAR FIN'!$A$1:$O$95,15,0))</f>
        <v>0</v>
      </c>
      <c r="W1855" s="6">
        <f>IF(ISERROR(VLOOKUP($T$1855,'TAR FIN'!$A$1:$O$95,15,0)),0,VLOOKUP($T$1855,'TAR FIN'!$A$1:$O$95,15,0))</f>
        <v>252.24</v>
      </c>
      <c r="X1855" s="6">
        <f>IF(ISERROR(VLOOKUP($U$1855,'TAR FIN'!$A$1:$O$95,15,0)),0,VLOOKUP($U$1855,'TAR FIN'!$A$1:$O$95,15,0))</f>
        <v>145.97999999999999</v>
      </c>
      <c r="Y1855" s="6"/>
      <c r="Z1855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55" s="6">
        <f>('TE BE'!$AA$15+'TE BF'!$AA$15+'TE CVA'!$AA$15)*(1-CUSTOS!$M$35)</f>
        <v>178.32099824078242</v>
      </c>
      <c r="AB1855" s="6">
        <f>$K$1855*$V$1855</f>
        <v>0</v>
      </c>
      <c r="AC1855" s="6">
        <f>$M$1855*$W$1855</f>
        <v>1600474.4030400002</v>
      </c>
      <c r="AD1855" s="6">
        <f>$O$1855*$X$1855</f>
        <v>926249.81507999997</v>
      </c>
      <c r="AE1855" s="6">
        <f>$K$1855*$Y$1855</f>
        <v>0</v>
      </c>
      <c r="AF1855" s="6">
        <f ca="1">$M$1855*$Z$1855</f>
        <v>1751381.9223064762</v>
      </c>
      <c r="AG1855" s="6">
        <f>$O$1855*$AA$1855</f>
        <v>1131454.9366036835</v>
      </c>
    </row>
    <row r="1856" spans="1:33" ht="11.25" customHeight="1" x14ac:dyDescent="0.25">
      <c r="A1856" s="4" t="s">
        <v>59</v>
      </c>
      <c r="B1856" s="4" t="s">
        <v>22</v>
      </c>
      <c r="C1856" s="4" t="s">
        <v>23</v>
      </c>
      <c r="D1856" s="4" t="s">
        <v>24</v>
      </c>
      <c r="E1856" s="4" t="s">
        <v>32</v>
      </c>
      <c r="F1856" s="4" t="s">
        <v>25</v>
      </c>
      <c r="G1856" s="4" t="s">
        <v>25</v>
      </c>
      <c r="H1856" s="4" t="s">
        <v>25</v>
      </c>
      <c r="I1856" s="5">
        <v>44470</v>
      </c>
      <c r="J1856" s="6">
        <v>0</v>
      </c>
      <c r="K1856" s="6">
        <v>0</v>
      </c>
      <c r="L1856" s="6">
        <v>-8.2929999999999993</v>
      </c>
      <c r="M1856" s="6">
        <v>-8.2929999999999993</v>
      </c>
      <c r="N1856" s="6">
        <v>-8.2929999999999993</v>
      </c>
      <c r="O1856" s="6">
        <v>-8.2929999999999993</v>
      </c>
      <c r="P1856" s="6">
        <v>0</v>
      </c>
      <c r="Q1856" s="4" t="s">
        <v>26</v>
      </c>
      <c r="R1856" s="4">
        <v>0</v>
      </c>
      <c r="S1856" s="6">
        <v>0</v>
      </c>
      <c r="T1856" s="6">
        <v>10</v>
      </c>
      <c r="U1856" s="6">
        <v>60</v>
      </c>
      <c r="V1856" s="6">
        <f>IF(ISERROR(VLOOKUP($S$1856,'TAR FIN'!$A$1:$O$95,15,0)),0,VLOOKUP($S$1856,'TAR FIN'!$A$1:$O$95,15,0))</f>
        <v>0</v>
      </c>
      <c r="W1856" s="6">
        <f>IF(ISERROR(VLOOKUP($T$1856,'TAR FIN'!$A$1:$O$95,15,0)),0,VLOOKUP($T$1856,'TAR FIN'!$A$1:$O$95,15,0))</f>
        <v>252.24</v>
      </c>
      <c r="X1856" s="6">
        <f>IF(ISERROR(VLOOKUP($U$1856,'TAR FIN'!$A$1:$O$95,15,0)),0,VLOOKUP($U$1856,'TAR FIN'!$A$1:$O$95,15,0))</f>
        <v>145.97999999999999</v>
      </c>
      <c r="Y1856" s="6"/>
      <c r="Z1856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56" s="6">
        <f>('TE BE'!$AA$15+'TE BF'!$AA$15+'TE CVA'!$AA$15)*(1-CUSTOS!$M$35)</f>
        <v>178.32099824078242</v>
      </c>
      <c r="AB1856" s="6">
        <f>$K$1856*$V$1856</f>
        <v>0</v>
      </c>
      <c r="AC1856" s="6">
        <f>$M$1856*$W$1856</f>
        <v>-2091.8263199999997</v>
      </c>
      <c r="AD1856" s="6">
        <f>$O$1856*$X$1856</f>
        <v>-1210.6121399999997</v>
      </c>
      <c r="AE1856" s="6">
        <f>$K$1856*$Y$1856</f>
        <v>0</v>
      </c>
      <c r="AF1856" s="6">
        <f ca="1">$M$1856*$Z$1856</f>
        <v>-2289.0630393676588</v>
      </c>
      <c r="AG1856" s="6">
        <f>$O$1856*$AA$1856</f>
        <v>-1478.8160384108085</v>
      </c>
    </row>
    <row r="1857" spans="1:33" ht="11.25" customHeight="1" x14ac:dyDescent="0.25">
      <c r="A1857" s="4" t="s">
        <v>59</v>
      </c>
      <c r="B1857" s="4" t="s">
        <v>22</v>
      </c>
      <c r="C1857" s="4" t="s">
        <v>23</v>
      </c>
      <c r="D1857" s="4" t="s">
        <v>24</v>
      </c>
      <c r="E1857" s="4" t="s">
        <v>32</v>
      </c>
      <c r="F1857" s="4" t="s">
        <v>25</v>
      </c>
      <c r="G1857" s="4" t="s">
        <v>25</v>
      </c>
      <c r="H1857" s="4" t="s">
        <v>25</v>
      </c>
      <c r="I1857" s="5">
        <v>44470</v>
      </c>
      <c r="J1857" s="6">
        <v>0</v>
      </c>
      <c r="K1857" s="6">
        <v>0</v>
      </c>
      <c r="L1857" s="6">
        <v>0.64100000000000001</v>
      </c>
      <c r="M1857" s="6">
        <v>0.64100000000000001</v>
      </c>
      <c r="N1857" s="6">
        <v>0.64100000000000001</v>
      </c>
      <c r="O1857" s="6">
        <v>0.64100000000000001</v>
      </c>
      <c r="P1857" s="6">
        <v>0</v>
      </c>
      <c r="Q1857" s="4" t="s">
        <v>26</v>
      </c>
      <c r="R1857" s="4">
        <v>0</v>
      </c>
      <c r="S1857" s="6">
        <v>0</v>
      </c>
      <c r="T1857" s="6">
        <v>10</v>
      </c>
      <c r="U1857" s="6">
        <v>60</v>
      </c>
      <c r="V1857" s="6">
        <f>IF(ISERROR(VLOOKUP($S$1857,'TAR FIN'!$A$1:$O$95,15,0)),0,VLOOKUP($S$1857,'TAR FIN'!$A$1:$O$95,15,0))</f>
        <v>0</v>
      </c>
      <c r="W1857" s="6">
        <f>IF(ISERROR(VLOOKUP($T$1857,'TAR FIN'!$A$1:$O$95,15,0)),0,VLOOKUP($T$1857,'TAR FIN'!$A$1:$O$95,15,0))</f>
        <v>252.24</v>
      </c>
      <c r="X1857" s="6">
        <f>IF(ISERROR(VLOOKUP($U$1857,'TAR FIN'!$A$1:$O$95,15,0)),0,VLOOKUP($U$1857,'TAR FIN'!$A$1:$O$95,15,0))</f>
        <v>145.97999999999999</v>
      </c>
      <c r="Y1857" s="6"/>
      <c r="Z1857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1857" s="6">
        <f>('TE BE'!$AA$15+'TE BF'!$AA$15+'TE CVA'!$AA$15)*(1-CUSTOS!$M$35)</f>
        <v>178.32099824078242</v>
      </c>
      <c r="AB1857" s="6">
        <f>$K$1857*$V$1857</f>
        <v>0</v>
      </c>
      <c r="AC1857" s="6">
        <f>$M$1857*$W$1857</f>
        <v>161.68584000000001</v>
      </c>
      <c r="AD1857" s="6">
        <f>$O$1857*$X$1857</f>
        <v>93.573179999999994</v>
      </c>
      <c r="AE1857" s="6">
        <f>$K$1857*$Y$1857</f>
        <v>0</v>
      </c>
      <c r="AF1857" s="6">
        <f ca="1">$M$1857*$Z$1857</f>
        <v>176.93107539306274</v>
      </c>
      <c r="AG1857" s="6">
        <f>$O$1857*$AA$1857</f>
        <v>114.30375987234153</v>
      </c>
    </row>
    <row r="1858" spans="1:33" ht="11.25" customHeight="1" x14ac:dyDescent="0.25">
      <c r="A1858" s="4" t="s">
        <v>21</v>
      </c>
      <c r="B1858" s="4" t="s">
        <v>22</v>
      </c>
      <c r="C1858" s="4" t="s">
        <v>23</v>
      </c>
      <c r="D1858" s="4" t="s">
        <v>24</v>
      </c>
      <c r="E1858" s="4" t="s">
        <v>33</v>
      </c>
      <c r="F1858" s="4" t="s">
        <v>25</v>
      </c>
      <c r="G1858" s="4" t="s">
        <v>25</v>
      </c>
      <c r="H1858" s="4" t="s">
        <v>25</v>
      </c>
      <c r="I1858" s="5">
        <v>44136</v>
      </c>
      <c r="J1858" s="6">
        <v>0</v>
      </c>
      <c r="K1858" s="6">
        <v>0</v>
      </c>
      <c r="L1858" s="6">
        <v>3165.4250000000002</v>
      </c>
      <c r="M1858" s="6">
        <v>3165.4250000000002</v>
      </c>
      <c r="N1858" s="6">
        <v>3165.4250000000002</v>
      </c>
      <c r="O1858" s="6">
        <v>3165.4250000000002</v>
      </c>
      <c r="P1858" s="6">
        <v>21718</v>
      </c>
      <c r="Q1858" s="4" t="s">
        <v>26</v>
      </c>
      <c r="R1858" s="4">
        <v>0</v>
      </c>
      <c r="S1858" s="6">
        <v>0</v>
      </c>
      <c r="T1858" s="6">
        <v>6</v>
      </c>
      <c r="U1858" s="6">
        <v>52</v>
      </c>
      <c r="V1858" s="6">
        <f>IF(ISERROR(VLOOKUP($S$1858,'TAR FIN'!$A$1:$O$95,15,0)),0,VLOOKUP($S$1858,'TAR FIN'!$A$1:$O$95,15,0))</f>
        <v>0</v>
      </c>
      <c r="W1858" s="6">
        <f>IF(ISERROR(VLOOKUP($T$1858,'TAR FIN'!$A$1:$O$95,15,0)),0,VLOOKUP($T$1858,'TAR FIN'!$A$1:$O$95,15,0))</f>
        <v>378.36</v>
      </c>
      <c r="X1858" s="6">
        <f>IF(ISERROR(VLOOKUP($U$1858,'TAR FIN'!$A$1:$O$95,15,0)),0,VLOOKUP($U$1858,'TAR FIN'!$A$1:$O$95,15,0))</f>
        <v>218.97</v>
      </c>
      <c r="Y1858" s="6"/>
      <c r="Z1858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58" s="6">
        <f>('TE BE'!$AA$16+'TE BF'!$AA$16+'TE CVA'!$AA$16)*(1-CUSTOS!$M$36)</f>
        <v>267.48149736117364</v>
      </c>
      <c r="AB1858" s="6">
        <f>$K$1858*$V$1858</f>
        <v>0</v>
      </c>
      <c r="AC1858" s="6">
        <f>$M$1858*$W$1858</f>
        <v>1197670.2030000002</v>
      </c>
      <c r="AD1858" s="6">
        <f>$O$1858*$X$1858</f>
        <v>693133.11225000001</v>
      </c>
      <c r="AE1858" s="6">
        <f>$K$1858*$Y$1858</f>
        <v>0</v>
      </c>
      <c r="AF1858" s="6">
        <f ca="1">$M$1858*$Z$1858</f>
        <v>1310597.6193278136</v>
      </c>
      <c r="AG1858" s="6">
        <f>$O$1858*$AA$1858</f>
        <v>846692.61878449307</v>
      </c>
    </row>
    <row r="1859" spans="1:33" ht="11.25" customHeight="1" x14ac:dyDescent="0.25">
      <c r="A1859" s="4" t="s">
        <v>27</v>
      </c>
      <c r="B1859" s="4" t="s">
        <v>22</v>
      </c>
      <c r="C1859" s="4" t="s">
        <v>23</v>
      </c>
      <c r="D1859" s="4" t="s">
        <v>24</v>
      </c>
      <c r="E1859" s="4" t="s">
        <v>33</v>
      </c>
      <c r="F1859" s="4" t="s">
        <v>25</v>
      </c>
      <c r="G1859" s="4" t="s">
        <v>25</v>
      </c>
      <c r="H1859" s="4" t="s">
        <v>25</v>
      </c>
      <c r="I1859" s="5">
        <v>44136</v>
      </c>
      <c r="J1859" s="6">
        <v>0</v>
      </c>
      <c r="K1859" s="6">
        <v>0</v>
      </c>
      <c r="L1859" s="6">
        <v>-7.7649999999999997</v>
      </c>
      <c r="M1859" s="6">
        <v>-7.7649999999999997</v>
      </c>
      <c r="N1859" s="6">
        <v>-7.7649999999999997</v>
      </c>
      <c r="O1859" s="6">
        <v>-7.7649999999999997</v>
      </c>
      <c r="P1859" s="6">
        <v>-33</v>
      </c>
      <c r="Q1859" s="4" t="s">
        <v>26</v>
      </c>
      <c r="R1859" s="4">
        <v>0</v>
      </c>
      <c r="S1859" s="6">
        <v>0</v>
      </c>
      <c r="T1859" s="6">
        <v>6</v>
      </c>
      <c r="U1859" s="6">
        <v>52</v>
      </c>
      <c r="V1859" s="6">
        <f>IF(ISERROR(VLOOKUP($S$1859,'TAR FIN'!$A$1:$O$95,15,0)),0,VLOOKUP($S$1859,'TAR FIN'!$A$1:$O$95,15,0))</f>
        <v>0</v>
      </c>
      <c r="W1859" s="6">
        <f>IF(ISERROR(VLOOKUP($T$1859,'TAR FIN'!$A$1:$O$95,15,0)),0,VLOOKUP($T$1859,'TAR FIN'!$A$1:$O$95,15,0))</f>
        <v>378.36</v>
      </c>
      <c r="X1859" s="6">
        <f>IF(ISERROR(VLOOKUP($U$1859,'TAR FIN'!$A$1:$O$95,15,0)),0,VLOOKUP($U$1859,'TAR FIN'!$A$1:$O$95,15,0))</f>
        <v>218.97</v>
      </c>
      <c r="Y1859" s="6"/>
      <c r="Z1859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59" s="6">
        <f>('TE BE'!$AA$16+'TE BF'!$AA$16+'TE CVA'!$AA$16)*(1-CUSTOS!$M$36)</f>
        <v>267.48149736117364</v>
      </c>
      <c r="AB1859" s="6">
        <f>$K$1859*$V$1859</f>
        <v>0</v>
      </c>
      <c r="AC1859" s="6">
        <f>$M$1859*$W$1859</f>
        <v>-2937.9654</v>
      </c>
      <c r="AD1859" s="6">
        <f>$O$1859*$X$1859</f>
        <v>-1700.30205</v>
      </c>
      <c r="AE1859" s="6">
        <f>$K$1859*$Y$1859</f>
        <v>0</v>
      </c>
      <c r="AF1859" s="6">
        <f ca="1">$M$1859*$Z$1859</f>
        <v>-3214.9839323567835</v>
      </c>
      <c r="AG1859" s="6">
        <f>$O$1859*$AA$1859</f>
        <v>-2076.9938270095131</v>
      </c>
    </row>
    <row r="1860" spans="1:33" ht="11.25" customHeight="1" x14ac:dyDescent="0.25">
      <c r="A1860" s="4" t="s">
        <v>28</v>
      </c>
      <c r="B1860" s="4" t="s">
        <v>22</v>
      </c>
      <c r="C1860" s="4" t="s">
        <v>23</v>
      </c>
      <c r="D1860" s="4" t="s">
        <v>24</v>
      </c>
      <c r="E1860" s="4" t="s">
        <v>33</v>
      </c>
      <c r="F1860" s="4" t="s">
        <v>25</v>
      </c>
      <c r="G1860" s="4" t="s">
        <v>25</v>
      </c>
      <c r="H1860" s="4" t="s">
        <v>25</v>
      </c>
      <c r="I1860" s="5">
        <v>44136</v>
      </c>
      <c r="J1860" s="6">
        <v>0</v>
      </c>
      <c r="K1860" s="6">
        <v>0</v>
      </c>
      <c r="L1860" s="6">
        <v>4861.6059999999998</v>
      </c>
      <c r="M1860" s="6">
        <v>4861.6059999999998</v>
      </c>
      <c r="N1860" s="6">
        <v>4861.6059999999998</v>
      </c>
      <c r="O1860" s="6">
        <v>4861.6059999999998</v>
      </c>
      <c r="P1860" s="6">
        <v>43068</v>
      </c>
      <c r="Q1860" s="4" t="s">
        <v>26</v>
      </c>
      <c r="R1860" s="4">
        <v>0</v>
      </c>
      <c r="S1860" s="6">
        <v>0</v>
      </c>
      <c r="T1860" s="6">
        <v>6</v>
      </c>
      <c r="U1860" s="6">
        <v>52</v>
      </c>
      <c r="V1860" s="6">
        <f>IF(ISERROR(VLOOKUP($S$1860,'TAR FIN'!$A$1:$O$95,15,0)),0,VLOOKUP($S$1860,'TAR FIN'!$A$1:$O$95,15,0))</f>
        <v>0</v>
      </c>
      <c r="W1860" s="6">
        <f>IF(ISERROR(VLOOKUP($T$1860,'TAR FIN'!$A$1:$O$95,15,0)),0,VLOOKUP($T$1860,'TAR FIN'!$A$1:$O$95,15,0))</f>
        <v>378.36</v>
      </c>
      <c r="X1860" s="6">
        <f>IF(ISERROR(VLOOKUP($U$1860,'TAR FIN'!$A$1:$O$95,15,0)),0,VLOOKUP($U$1860,'TAR FIN'!$A$1:$O$95,15,0))</f>
        <v>218.97</v>
      </c>
      <c r="Y1860" s="6"/>
      <c r="Z1860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60" s="6">
        <f>('TE BE'!$AA$16+'TE BF'!$AA$16+'TE CVA'!$AA$16)*(1-CUSTOS!$M$36)</f>
        <v>267.48149736117364</v>
      </c>
      <c r="AB1860" s="6">
        <f>$K$1860*$V$1860</f>
        <v>0</v>
      </c>
      <c r="AC1860" s="6">
        <f>$M$1860*$W$1860</f>
        <v>1839437.2461599999</v>
      </c>
      <c r="AD1860" s="6">
        <f>$O$1860*$X$1860</f>
        <v>1064545.8658199999</v>
      </c>
      <c r="AE1860" s="6">
        <f>$K$1860*$Y$1860</f>
        <v>0</v>
      </c>
      <c r="AF1860" s="6">
        <f ca="1">$M$1860*$Z$1860</f>
        <v>2012876.3909142732</v>
      </c>
      <c r="AG1860" s="6">
        <f>$O$1860*$AA$1860</f>
        <v>1300389.6524600659</v>
      </c>
    </row>
    <row r="1861" spans="1:33" ht="11.25" customHeight="1" x14ac:dyDescent="0.25">
      <c r="A1861" s="4" t="s">
        <v>29</v>
      </c>
      <c r="B1861" s="4" t="s">
        <v>22</v>
      </c>
      <c r="C1861" s="4" t="s">
        <v>23</v>
      </c>
      <c r="D1861" s="4" t="s">
        <v>24</v>
      </c>
      <c r="E1861" s="4" t="s">
        <v>33</v>
      </c>
      <c r="F1861" s="4" t="s">
        <v>25</v>
      </c>
      <c r="G1861" s="4" t="s">
        <v>25</v>
      </c>
      <c r="H1861" s="4" t="s">
        <v>25</v>
      </c>
      <c r="I1861" s="5">
        <v>44136</v>
      </c>
      <c r="J1861" s="6">
        <v>0</v>
      </c>
      <c r="K1861" s="6">
        <v>0</v>
      </c>
      <c r="L1861" s="6">
        <v>-7.7370000000000001</v>
      </c>
      <c r="M1861" s="6">
        <v>-7.7370000000000001</v>
      </c>
      <c r="N1861" s="6">
        <v>-7.7370000000000001</v>
      </c>
      <c r="O1861" s="6">
        <v>-7.7370000000000001</v>
      </c>
      <c r="P1861" s="6">
        <v>-50</v>
      </c>
      <c r="Q1861" s="4" t="s">
        <v>26</v>
      </c>
      <c r="R1861" s="4">
        <v>0</v>
      </c>
      <c r="S1861" s="6">
        <v>0</v>
      </c>
      <c r="T1861" s="6">
        <v>6</v>
      </c>
      <c r="U1861" s="6">
        <v>52</v>
      </c>
      <c r="V1861" s="6">
        <f>IF(ISERROR(VLOOKUP($S$1861,'TAR FIN'!$A$1:$O$95,15,0)),0,VLOOKUP($S$1861,'TAR FIN'!$A$1:$O$95,15,0))</f>
        <v>0</v>
      </c>
      <c r="W1861" s="6">
        <f>IF(ISERROR(VLOOKUP($T$1861,'TAR FIN'!$A$1:$O$95,15,0)),0,VLOOKUP($T$1861,'TAR FIN'!$A$1:$O$95,15,0))</f>
        <v>378.36</v>
      </c>
      <c r="X1861" s="6">
        <f>IF(ISERROR(VLOOKUP($U$1861,'TAR FIN'!$A$1:$O$95,15,0)),0,VLOOKUP($U$1861,'TAR FIN'!$A$1:$O$95,15,0))</f>
        <v>218.97</v>
      </c>
      <c r="Y1861" s="6"/>
      <c r="Z1861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61" s="6">
        <f>('TE BE'!$AA$16+'TE BF'!$AA$16+'TE CVA'!$AA$16)*(1-CUSTOS!$M$36)</f>
        <v>267.48149736117364</v>
      </c>
      <c r="AB1861" s="6">
        <f>$K$1861*$V$1861</f>
        <v>0</v>
      </c>
      <c r="AC1861" s="6">
        <f>$M$1861*$W$1861</f>
        <v>-2927.3713200000002</v>
      </c>
      <c r="AD1861" s="6">
        <f>$O$1861*$X$1861</f>
        <v>-1694.1708900000001</v>
      </c>
      <c r="AE1861" s="6">
        <f>$K$1861*$Y$1861</f>
        <v>0</v>
      </c>
      <c r="AF1861" s="6">
        <f ca="1">$M$1861*$Z$1861</f>
        <v>-3203.3909445775189</v>
      </c>
      <c r="AG1861" s="6">
        <f>$O$1861*$AA$1861</f>
        <v>-2069.5043450834005</v>
      </c>
    </row>
    <row r="1862" spans="1:33" ht="11.25" customHeight="1" x14ac:dyDescent="0.25">
      <c r="A1862" s="4" t="s">
        <v>21</v>
      </c>
      <c r="B1862" s="4" t="s">
        <v>22</v>
      </c>
      <c r="C1862" s="4" t="s">
        <v>23</v>
      </c>
      <c r="D1862" s="4" t="s">
        <v>24</v>
      </c>
      <c r="E1862" s="4" t="s">
        <v>33</v>
      </c>
      <c r="F1862" s="4" t="s">
        <v>25</v>
      </c>
      <c r="G1862" s="4" t="s">
        <v>25</v>
      </c>
      <c r="H1862" s="4" t="s">
        <v>25</v>
      </c>
      <c r="I1862" s="5">
        <v>44166</v>
      </c>
      <c r="J1862" s="6">
        <v>0</v>
      </c>
      <c r="K1862" s="6">
        <v>0</v>
      </c>
      <c r="L1862" s="6">
        <v>3554.72</v>
      </c>
      <c r="M1862" s="6">
        <v>3554.72</v>
      </c>
      <c r="N1862" s="6">
        <v>3554.72</v>
      </c>
      <c r="O1862" s="6">
        <v>3554.72</v>
      </c>
      <c r="P1862" s="6">
        <v>25021</v>
      </c>
      <c r="Q1862" s="4" t="s">
        <v>26</v>
      </c>
      <c r="R1862" s="4">
        <v>0</v>
      </c>
      <c r="S1862" s="6">
        <v>0</v>
      </c>
      <c r="T1862" s="6">
        <v>6</v>
      </c>
      <c r="U1862" s="6">
        <v>52</v>
      </c>
      <c r="V1862" s="6">
        <f>IF(ISERROR(VLOOKUP($S$1862,'TAR FIN'!$A$1:$O$95,15,0)),0,VLOOKUP($S$1862,'TAR FIN'!$A$1:$O$95,15,0))</f>
        <v>0</v>
      </c>
      <c r="W1862" s="6">
        <f>IF(ISERROR(VLOOKUP($T$1862,'TAR FIN'!$A$1:$O$95,15,0)),0,VLOOKUP($T$1862,'TAR FIN'!$A$1:$O$95,15,0))</f>
        <v>378.36</v>
      </c>
      <c r="X1862" s="6">
        <f>IF(ISERROR(VLOOKUP($U$1862,'TAR FIN'!$A$1:$O$95,15,0)),0,VLOOKUP($U$1862,'TAR FIN'!$A$1:$O$95,15,0))</f>
        <v>218.97</v>
      </c>
      <c r="Y1862" s="6"/>
      <c r="Z1862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62" s="6">
        <f>('TE BE'!$AA$16+'TE BF'!$AA$16+'TE CVA'!$AA$16)*(1-CUSTOS!$M$36)</f>
        <v>267.48149736117364</v>
      </c>
      <c r="AB1862" s="6">
        <f>$K$1862*$V$1862</f>
        <v>0</v>
      </c>
      <c r="AC1862" s="6">
        <f>$M$1862*$W$1862</f>
        <v>1344963.8592000001</v>
      </c>
      <c r="AD1862" s="6">
        <f>$O$1862*$X$1862</f>
        <v>778377.03839999996</v>
      </c>
      <c r="AE1862" s="6">
        <f>$K$1862*$Y$1862</f>
        <v>0</v>
      </c>
      <c r="AF1862" s="6">
        <f ca="1">$M$1862*$Z$1862</f>
        <v>1471779.4828109858</v>
      </c>
      <c r="AG1862" s="6">
        <f>$O$1862*$AA$1862</f>
        <v>950821.82829971111</v>
      </c>
    </row>
    <row r="1863" spans="1:33" ht="11.25" customHeight="1" x14ac:dyDescent="0.25">
      <c r="A1863" s="4" t="s">
        <v>27</v>
      </c>
      <c r="B1863" s="4" t="s">
        <v>22</v>
      </c>
      <c r="C1863" s="4" t="s">
        <v>23</v>
      </c>
      <c r="D1863" s="4" t="s">
        <v>24</v>
      </c>
      <c r="E1863" s="4" t="s">
        <v>33</v>
      </c>
      <c r="F1863" s="4" t="s">
        <v>25</v>
      </c>
      <c r="G1863" s="4" t="s">
        <v>25</v>
      </c>
      <c r="H1863" s="4" t="s">
        <v>25</v>
      </c>
      <c r="I1863" s="5">
        <v>44166</v>
      </c>
      <c r="J1863" s="6">
        <v>0</v>
      </c>
      <c r="K1863" s="6">
        <v>0</v>
      </c>
      <c r="L1863" s="6">
        <v>-10.01</v>
      </c>
      <c r="M1863" s="6">
        <v>-10.01</v>
      </c>
      <c r="N1863" s="6">
        <v>-10.01</v>
      </c>
      <c r="O1863" s="6">
        <v>-10.01</v>
      </c>
      <c r="P1863" s="6">
        <v>0</v>
      </c>
      <c r="Q1863" s="4" t="s">
        <v>26</v>
      </c>
      <c r="R1863" s="4">
        <v>0</v>
      </c>
      <c r="S1863" s="6">
        <v>0</v>
      </c>
      <c r="T1863" s="6">
        <v>6</v>
      </c>
      <c r="U1863" s="6">
        <v>52</v>
      </c>
      <c r="V1863" s="6">
        <f>IF(ISERROR(VLOOKUP($S$1863,'TAR FIN'!$A$1:$O$95,15,0)),0,VLOOKUP($S$1863,'TAR FIN'!$A$1:$O$95,15,0))</f>
        <v>0</v>
      </c>
      <c r="W1863" s="6">
        <f>IF(ISERROR(VLOOKUP($T$1863,'TAR FIN'!$A$1:$O$95,15,0)),0,VLOOKUP($T$1863,'TAR FIN'!$A$1:$O$95,15,0))</f>
        <v>378.36</v>
      </c>
      <c r="X1863" s="6">
        <f>IF(ISERROR(VLOOKUP($U$1863,'TAR FIN'!$A$1:$O$95,15,0)),0,VLOOKUP($U$1863,'TAR FIN'!$A$1:$O$95,15,0))</f>
        <v>218.97</v>
      </c>
      <c r="Y1863" s="6"/>
      <c r="Z1863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63" s="6">
        <f>('TE BE'!$AA$16+'TE BF'!$AA$16+'TE CVA'!$AA$16)*(1-CUSTOS!$M$36)</f>
        <v>267.48149736117364</v>
      </c>
      <c r="AB1863" s="6">
        <f>$K$1863*$V$1863</f>
        <v>0</v>
      </c>
      <c r="AC1863" s="6">
        <f>$M$1863*$W$1863</f>
        <v>-3787.3836000000001</v>
      </c>
      <c r="AD1863" s="6">
        <f>$O$1863*$X$1863</f>
        <v>-2191.8896999999997</v>
      </c>
      <c r="AE1863" s="6">
        <f>$K$1863*$Y$1863</f>
        <v>0</v>
      </c>
      <c r="AF1863" s="6">
        <f ca="1">$M$1863*$Z$1863</f>
        <v>-4144.4931310871088</v>
      </c>
      <c r="AG1863" s="6">
        <f>$O$1863*$AA$1863</f>
        <v>-2677.4897885853479</v>
      </c>
    </row>
    <row r="1864" spans="1:33" ht="11.25" customHeight="1" x14ac:dyDescent="0.25">
      <c r="A1864" s="4" t="s">
        <v>28</v>
      </c>
      <c r="B1864" s="4" t="s">
        <v>22</v>
      </c>
      <c r="C1864" s="4" t="s">
        <v>23</v>
      </c>
      <c r="D1864" s="4" t="s">
        <v>24</v>
      </c>
      <c r="E1864" s="4" t="s">
        <v>33</v>
      </c>
      <c r="F1864" s="4" t="s">
        <v>25</v>
      </c>
      <c r="G1864" s="4" t="s">
        <v>25</v>
      </c>
      <c r="H1864" s="4" t="s">
        <v>25</v>
      </c>
      <c r="I1864" s="5">
        <v>44166</v>
      </c>
      <c r="J1864" s="6">
        <v>0</v>
      </c>
      <c r="K1864" s="6">
        <v>0</v>
      </c>
      <c r="L1864" s="6">
        <v>5089.3940000000002</v>
      </c>
      <c r="M1864" s="6">
        <v>5089.3940000000002</v>
      </c>
      <c r="N1864" s="6">
        <v>5089.3940000000002</v>
      </c>
      <c r="O1864" s="6">
        <v>5089.3940000000002</v>
      </c>
      <c r="P1864" s="6">
        <v>47104</v>
      </c>
      <c r="Q1864" s="4" t="s">
        <v>26</v>
      </c>
      <c r="R1864" s="4">
        <v>0</v>
      </c>
      <c r="S1864" s="6">
        <v>0</v>
      </c>
      <c r="T1864" s="6">
        <v>6</v>
      </c>
      <c r="U1864" s="6">
        <v>52</v>
      </c>
      <c r="V1864" s="6">
        <f>IF(ISERROR(VLOOKUP($S$1864,'TAR FIN'!$A$1:$O$95,15,0)),0,VLOOKUP($S$1864,'TAR FIN'!$A$1:$O$95,15,0))</f>
        <v>0</v>
      </c>
      <c r="W1864" s="6">
        <f>IF(ISERROR(VLOOKUP($T$1864,'TAR FIN'!$A$1:$O$95,15,0)),0,VLOOKUP($T$1864,'TAR FIN'!$A$1:$O$95,15,0))</f>
        <v>378.36</v>
      </c>
      <c r="X1864" s="6">
        <f>IF(ISERROR(VLOOKUP($U$1864,'TAR FIN'!$A$1:$O$95,15,0)),0,VLOOKUP($U$1864,'TAR FIN'!$A$1:$O$95,15,0))</f>
        <v>218.97</v>
      </c>
      <c r="Y1864" s="6"/>
      <c r="Z1864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64" s="6">
        <f>('TE BE'!$AA$16+'TE BF'!$AA$16+'TE CVA'!$AA$16)*(1-CUSTOS!$M$36)</f>
        <v>267.48149736117364</v>
      </c>
      <c r="AB1864" s="6">
        <f>$K$1864*$V$1864</f>
        <v>0</v>
      </c>
      <c r="AC1864" s="6">
        <f>$M$1864*$W$1864</f>
        <v>1925623.1138400002</v>
      </c>
      <c r="AD1864" s="6">
        <f>$O$1864*$X$1864</f>
        <v>1114424.60418</v>
      </c>
      <c r="AE1864" s="6">
        <f>$K$1864*$Y$1864</f>
        <v>0</v>
      </c>
      <c r="AF1864" s="6">
        <f ca="1">$M$1864*$Z$1864</f>
        <v>2107188.6587808141</v>
      </c>
      <c r="AG1864" s="6">
        <f>$O$1864*$AA$1864</f>
        <v>1361318.7277809731</v>
      </c>
    </row>
    <row r="1865" spans="1:33" ht="11.25" customHeight="1" x14ac:dyDescent="0.25">
      <c r="A1865" s="4" t="s">
        <v>29</v>
      </c>
      <c r="B1865" s="4" t="s">
        <v>22</v>
      </c>
      <c r="C1865" s="4" t="s">
        <v>23</v>
      </c>
      <c r="D1865" s="4" t="s">
        <v>24</v>
      </c>
      <c r="E1865" s="4" t="s">
        <v>33</v>
      </c>
      <c r="F1865" s="4" t="s">
        <v>25</v>
      </c>
      <c r="G1865" s="4" t="s">
        <v>25</v>
      </c>
      <c r="H1865" s="4" t="s">
        <v>25</v>
      </c>
      <c r="I1865" s="5">
        <v>44166</v>
      </c>
      <c r="J1865" s="6">
        <v>0</v>
      </c>
      <c r="K1865" s="6">
        <v>0</v>
      </c>
      <c r="L1865" s="6">
        <v>-10.057</v>
      </c>
      <c r="M1865" s="6">
        <v>-10.057</v>
      </c>
      <c r="N1865" s="6">
        <v>-10.057</v>
      </c>
      <c r="O1865" s="6">
        <v>-10.057</v>
      </c>
      <c r="P1865" s="6">
        <v>0</v>
      </c>
      <c r="Q1865" s="4" t="s">
        <v>26</v>
      </c>
      <c r="R1865" s="4">
        <v>0</v>
      </c>
      <c r="S1865" s="6">
        <v>0</v>
      </c>
      <c r="T1865" s="6">
        <v>6</v>
      </c>
      <c r="U1865" s="6">
        <v>52</v>
      </c>
      <c r="V1865" s="6">
        <f>IF(ISERROR(VLOOKUP($S$1865,'TAR FIN'!$A$1:$O$95,15,0)),0,VLOOKUP($S$1865,'TAR FIN'!$A$1:$O$95,15,0))</f>
        <v>0</v>
      </c>
      <c r="W1865" s="6">
        <f>IF(ISERROR(VLOOKUP($T$1865,'TAR FIN'!$A$1:$O$95,15,0)),0,VLOOKUP($T$1865,'TAR FIN'!$A$1:$O$95,15,0))</f>
        <v>378.36</v>
      </c>
      <c r="X1865" s="6">
        <f>IF(ISERROR(VLOOKUP($U$1865,'TAR FIN'!$A$1:$O$95,15,0)),0,VLOOKUP($U$1865,'TAR FIN'!$A$1:$O$95,15,0))</f>
        <v>218.97</v>
      </c>
      <c r="Y1865" s="6"/>
      <c r="Z1865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65" s="6">
        <f>('TE BE'!$AA$16+'TE BF'!$AA$16+'TE CVA'!$AA$16)*(1-CUSTOS!$M$36)</f>
        <v>267.48149736117364</v>
      </c>
      <c r="AB1865" s="6">
        <f>$K$1865*$V$1865</f>
        <v>0</v>
      </c>
      <c r="AC1865" s="6">
        <f>$M$1865*$W$1865</f>
        <v>-3805.1665200000002</v>
      </c>
      <c r="AD1865" s="6">
        <f>$O$1865*$X$1865</f>
        <v>-2202.18129</v>
      </c>
      <c r="AE1865" s="6">
        <f>$K$1865*$Y$1865</f>
        <v>0</v>
      </c>
      <c r="AF1865" s="6">
        <f ca="1">$M$1865*$Z$1865</f>
        <v>-4163.9527891451608</v>
      </c>
      <c r="AG1865" s="6">
        <f>$O$1865*$AA$1865</f>
        <v>-2690.0614189613234</v>
      </c>
    </row>
    <row r="1866" spans="1:33" ht="11.25" customHeight="1" x14ac:dyDescent="0.25">
      <c r="A1866" s="4" t="s">
        <v>21</v>
      </c>
      <c r="B1866" s="4" t="s">
        <v>22</v>
      </c>
      <c r="C1866" s="4" t="s">
        <v>23</v>
      </c>
      <c r="D1866" s="4" t="s">
        <v>24</v>
      </c>
      <c r="E1866" s="4" t="s">
        <v>33</v>
      </c>
      <c r="F1866" s="4" t="s">
        <v>25</v>
      </c>
      <c r="G1866" s="4" t="s">
        <v>25</v>
      </c>
      <c r="H1866" s="4" t="s">
        <v>25</v>
      </c>
      <c r="I1866" s="5">
        <v>44197</v>
      </c>
      <c r="J1866" s="6">
        <v>0</v>
      </c>
      <c r="K1866" s="6">
        <v>0</v>
      </c>
      <c r="L1866" s="6">
        <v>3776.9380000000001</v>
      </c>
      <c r="M1866" s="6">
        <v>3776.9380000000001</v>
      </c>
      <c r="N1866" s="6">
        <v>3776.9380000000001</v>
      </c>
      <c r="O1866" s="6">
        <v>3776.9380000000001</v>
      </c>
      <c r="P1866" s="6">
        <v>25546</v>
      </c>
      <c r="Q1866" s="4" t="s">
        <v>26</v>
      </c>
      <c r="R1866" s="4">
        <v>0</v>
      </c>
      <c r="S1866" s="6">
        <v>0</v>
      </c>
      <c r="T1866" s="6">
        <v>6</v>
      </c>
      <c r="U1866" s="6">
        <v>52</v>
      </c>
      <c r="V1866" s="6">
        <f>IF(ISERROR(VLOOKUP($S$1866,'TAR FIN'!$A$1:$O$95,15,0)),0,VLOOKUP($S$1866,'TAR FIN'!$A$1:$O$95,15,0))</f>
        <v>0</v>
      </c>
      <c r="W1866" s="6">
        <f>IF(ISERROR(VLOOKUP($T$1866,'TAR FIN'!$A$1:$O$95,15,0)),0,VLOOKUP($T$1866,'TAR FIN'!$A$1:$O$95,15,0))</f>
        <v>378.36</v>
      </c>
      <c r="X1866" s="6">
        <f>IF(ISERROR(VLOOKUP($U$1866,'TAR FIN'!$A$1:$O$95,15,0)),0,VLOOKUP($U$1866,'TAR FIN'!$A$1:$O$95,15,0))</f>
        <v>218.97</v>
      </c>
      <c r="Y1866" s="6"/>
      <c r="Z1866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66" s="6">
        <f>('TE BE'!$AA$16+'TE BF'!$AA$16+'TE CVA'!$AA$16)*(1-CUSTOS!$M$36)</f>
        <v>267.48149736117364</v>
      </c>
      <c r="AB1866" s="6">
        <f>$K$1866*$V$1866</f>
        <v>0</v>
      </c>
      <c r="AC1866" s="6">
        <f>$M$1866*$W$1866</f>
        <v>1429042.26168</v>
      </c>
      <c r="AD1866" s="6">
        <f>$O$1866*$X$1866</f>
        <v>827036.11386000004</v>
      </c>
      <c r="AE1866" s="6">
        <f>$K$1866*$Y$1866</f>
        <v>0</v>
      </c>
      <c r="AF1866" s="6">
        <f ca="1">$M$1866*$Z$1866</f>
        <v>1563785.5741800084</v>
      </c>
      <c r="AG1866" s="6">
        <f>$O$1866*$AA$1866</f>
        <v>1010261.0316803164</v>
      </c>
    </row>
    <row r="1867" spans="1:33" ht="11.25" customHeight="1" x14ac:dyDescent="0.25">
      <c r="A1867" s="4" t="s">
        <v>27</v>
      </c>
      <c r="B1867" s="4" t="s">
        <v>22</v>
      </c>
      <c r="C1867" s="4" t="s">
        <v>23</v>
      </c>
      <c r="D1867" s="4" t="s">
        <v>24</v>
      </c>
      <c r="E1867" s="4" t="s">
        <v>33</v>
      </c>
      <c r="F1867" s="4" t="s">
        <v>25</v>
      </c>
      <c r="G1867" s="4" t="s">
        <v>25</v>
      </c>
      <c r="H1867" s="4" t="s">
        <v>25</v>
      </c>
      <c r="I1867" s="5">
        <v>44197</v>
      </c>
      <c r="J1867" s="6">
        <v>0</v>
      </c>
      <c r="K1867" s="6">
        <v>0</v>
      </c>
      <c r="L1867" s="6">
        <v>-14.41</v>
      </c>
      <c r="M1867" s="6">
        <v>-14.41</v>
      </c>
      <c r="N1867" s="6">
        <v>-14.41</v>
      </c>
      <c r="O1867" s="6">
        <v>-14.41</v>
      </c>
      <c r="P1867" s="6">
        <v>0</v>
      </c>
      <c r="Q1867" s="4" t="s">
        <v>26</v>
      </c>
      <c r="R1867" s="4">
        <v>0</v>
      </c>
      <c r="S1867" s="6">
        <v>0</v>
      </c>
      <c r="T1867" s="6">
        <v>6</v>
      </c>
      <c r="U1867" s="6">
        <v>52</v>
      </c>
      <c r="V1867" s="6">
        <f>IF(ISERROR(VLOOKUP($S$1867,'TAR FIN'!$A$1:$O$95,15,0)),0,VLOOKUP($S$1867,'TAR FIN'!$A$1:$O$95,15,0))</f>
        <v>0</v>
      </c>
      <c r="W1867" s="6">
        <f>IF(ISERROR(VLOOKUP($T$1867,'TAR FIN'!$A$1:$O$95,15,0)),0,VLOOKUP($T$1867,'TAR FIN'!$A$1:$O$95,15,0))</f>
        <v>378.36</v>
      </c>
      <c r="X1867" s="6">
        <f>IF(ISERROR(VLOOKUP($U$1867,'TAR FIN'!$A$1:$O$95,15,0)),0,VLOOKUP($U$1867,'TAR FIN'!$A$1:$O$95,15,0))</f>
        <v>218.97</v>
      </c>
      <c r="Y1867" s="6"/>
      <c r="Z1867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67" s="6">
        <f>('TE BE'!$AA$16+'TE BF'!$AA$16+'TE CVA'!$AA$16)*(1-CUSTOS!$M$36)</f>
        <v>267.48149736117364</v>
      </c>
      <c r="AB1867" s="6">
        <f>$K$1867*$V$1867</f>
        <v>0</v>
      </c>
      <c r="AC1867" s="6">
        <f>$M$1867*$W$1867</f>
        <v>-5452.1676000000007</v>
      </c>
      <c r="AD1867" s="6">
        <f>$O$1867*$X$1867</f>
        <v>-3155.3577</v>
      </c>
      <c r="AE1867" s="6">
        <f>$K$1867*$Y$1867</f>
        <v>0</v>
      </c>
      <c r="AF1867" s="6">
        <f ca="1">$M$1867*$Z$1867</f>
        <v>-5966.248353542981</v>
      </c>
      <c r="AG1867" s="6">
        <f>$O$1867*$AA$1867</f>
        <v>-3854.4083769745121</v>
      </c>
    </row>
    <row r="1868" spans="1:33" ht="11.25" customHeight="1" x14ac:dyDescent="0.25">
      <c r="A1868" s="4" t="s">
        <v>28</v>
      </c>
      <c r="B1868" s="4" t="s">
        <v>22</v>
      </c>
      <c r="C1868" s="4" t="s">
        <v>23</v>
      </c>
      <c r="D1868" s="4" t="s">
        <v>24</v>
      </c>
      <c r="E1868" s="4" t="s">
        <v>33</v>
      </c>
      <c r="F1868" s="4" t="s">
        <v>25</v>
      </c>
      <c r="G1868" s="4" t="s">
        <v>25</v>
      </c>
      <c r="H1868" s="4" t="s">
        <v>25</v>
      </c>
      <c r="I1868" s="5">
        <v>44197</v>
      </c>
      <c r="J1868" s="6">
        <v>0</v>
      </c>
      <c r="K1868" s="6">
        <v>0</v>
      </c>
      <c r="L1868" s="6">
        <v>4809.9409999999998</v>
      </c>
      <c r="M1868" s="6">
        <v>4809.9409999999998</v>
      </c>
      <c r="N1868" s="6">
        <v>4809.9409999999998</v>
      </c>
      <c r="O1868" s="6">
        <v>4809.9409999999998</v>
      </c>
      <c r="P1868" s="6">
        <v>46604</v>
      </c>
      <c r="Q1868" s="4" t="s">
        <v>26</v>
      </c>
      <c r="R1868" s="4">
        <v>0</v>
      </c>
      <c r="S1868" s="6">
        <v>0</v>
      </c>
      <c r="T1868" s="6">
        <v>6</v>
      </c>
      <c r="U1868" s="6">
        <v>52</v>
      </c>
      <c r="V1868" s="6">
        <f>IF(ISERROR(VLOOKUP($S$1868,'TAR FIN'!$A$1:$O$95,15,0)),0,VLOOKUP($S$1868,'TAR FIN'!$A$1:$O$95,15,0))</f>
        <v>0</v>
      </c>
      <c r="W1868" s="6">
        <f>IF(ISERROR(VLOOKUP($T$1868,'TAR FIN'!$A$1:$O$95,15,0)),0,VLOOKUP($T$1868,'TAR FIN'!$A$1:$O$95,15,0))</f>
        <v>378.36</v>
      </c>
      <c r="X1868" s="6">
        <f>IF(ISERROR(VLOOKUP($U$1868,'TAR FIN'!$A$1:$O$95,15,0)),0,VLOOKUP($U$1868,'TAR FIN'!$A$1:$O$95,15,0))</f>
        <v>218.97</v>
      </c>
      <c r="Y1868" s="6"/>
      <c r="Z1868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68" s="6">
        <f>('TE BE'!$AA$16+'TE BF'!$AA$16+'TE CVA'!$AA$16)*(1-CUSTOS!$M$36)</f>
        <v>267.48149736117364</v>
      </c>
      <c r="AB1868" s="6">
        <f>$K$1868*$V$1868</f>
        <v>0</v>
      </c>
      <c r="AC1868" s="6">
        <f>$M$1868*$W$1868</f>
        <v>1819889.27676</v>
      </c>
      <c r="AD1868" s="6">
        <f>$O$1868*$X$1868</f>
        <v>1053232.7807699998</v>
      </c>
      <c r="AE1868" s="6">
        <f>$K$1868*$Y$1868</f>
        <v>0</v>
      </c>
      <c r="AF1868" s="6">
        <f ca="1">$M$1868*$Z$1868</f>
        <v>1991485.2582851409</v>
      </c>
      <c r="AG1868" s="6">
        <f>$O$1868*$AA$1868</f>
        <v>1286570.2208989009</v>
      </c>
    </row>
    <row r="1869" spans="1:33" ht="11.25" customHeight="1" x14ac:dyDescent="0.25">
      <c r="A1869" s="4" t="s">
        <v>29</v>
      </c>
      <c r="B1869" s="4" t="s">
        <v>22</v>
      </c>
      <c r="C1869" s="4" t="s">
        <v>23</v>
      </c>
      <c r="D1869" s="4" t="s">
        <v>24</v>
      </c>
      <c r="E1869" s="4" t="s">
        <v>33</v>
      </c>
      <c r="F1869" s="4" t="s">
        <v>25</v>
      </c>
      <c r="G1869" s="4" t="s">
        <v>25</v>
      </c>
      <c r="H1869" s="4" t="s">
        <v>25</v>
      </c>
      <c r="I1869" s="5">
        <v>44197</v>
      </c>
      <c r="J1869" s="6">
        <v>0</v>
      </c>
      <c r="K1869" s="6">
        <v>0</v>
      </c>
      <c r="L1869" s="6">
        <v>-6.6639999999999997</v>
      </c>
      <c r="M1869" s="6">
        <v>-6.6639999999999997</v>
      </c>
      <c r="N1869" s="6">
        <v>-6.6639999999999997</v>
      </c>
      <c r="O1869" s="6">
        <v>-6.6639999999999997</v>
      </c>
      <c r="P1869" s="6">
        <v>0</v>
      </c>
      <c r="Q1869" s="4" t="s">
        <v>26</v>
      </c>
      <c r="R1869" s="4">
        <v>0</v>
      </c>
      <c r="S1869" s="6">
        <v>0</v>
      </c>
      <c r="T1869" s="6">
        <v>6</v>
      </c>
      <c r="U1869" s="6">
        <v>52</v>
      </c>
      <c r="V1869" s="6">
        <f>IF(ISERROR(VLOOKUP($S$1869,'TAR FIN'!$A$1:$O$95,15,0)),0,VLOOKUP($S$1869,'TAR FIN'!$A$1:$O$95,15,0))</f>
        <v>0</v>
      </c>
      <c r="W1869" s="6">
        <f>IF(ISERROR(VLOOKUP($T$1869,'TAR FIN'!$A$1:$O$95,15,0)),0,VLOOKUP($T$1869,'TAR FIN'!$A$1:$O$95,15,0))</f>
        <v>378.36</v>
      </c>
      <c r="X1869" s="6">
        <f>IF(ISERROR(VLOOKUP($U$1869,'TAR FIN'!$A$1:$O$95,15,0)),0,VLOOKUP($U$1869,'TAR FIN'!$A$1:$O$95,15,0))</f>
        <v>218.97</v>
      </c>
      <c r="Y1869" s="6"/>
      <c r="Z1869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69" s="6">
        <f>('TE BE'!$AA$16+'TE BF'!$AA$16+'TE CVA'!$AA$16)*(1-CUSTOS!$M$36)</f>
        <v>267.48149736117364</v>
      </c>
      <c r="AB1869" s="6">
        <f>$K$1869*$V$1869</f>
        <v>0</v>
      </c>
      <c r="AC1869" s="6">
        <f>$M$1869*$W$1869</f>
        <v>-2521.39104</v>
      </c>
      <c r="AD1869" s="6">
        <f>$O$1869*$X$1869</f>
        <v>-1459.2160799999999</v>
      </c>
      <c r="AE1869" s="6">
        <f>$K$1869*$Y$1869</f>
        <v>0</v>
      </c>
      <c r="AF1869" s="6">
        <f ca="1">$M$1869*$Z$1869</f>
        <v>-2759.1310914649844</v>
      </c>
      <c r="AG1869" s="6">
        <f>$O$1869*$AA$1869</f>
        <v>-1782.4966984148609</v>
      </c>
    </row>
    <row r="1870" spans="1:33" ht="11.25" customHeight="1" x14ac:dyDescent="0.25">
      <c r="A1870" s="4" t="s">
        <v>21</v>
      </c>
      <c r="B1870" s="4" t="s">
        <v>22</v>
      </c>
      <c r="C1870" s="4" t="s">
        <v>23</v>
      </c>
      <c r="D1870" s="4" t="s">
        <v>24</v>
      </c>
      <c r="E1870" s="4" t="s">
        <v>33</v>
      </c>
      <c r="F1870" s="4" t="s">
        <v>25</v>
      </c>
      <c r="G1870" s="4" t="s">
        <v>25</v>
      </c>
      <c r="H1870" s="4" t="s">
        <v>25</v>
      </c>
      <c r="I1870" s="5">
        <v>44228</v>
      </c>
      <c r="J1870" s="6">
        <v>0</v>
      </c>
      <c r="K1870" s="6">
        <v>0</v>
      </c>
      <c r="L1870" s="6">
        <v>3147.1849999999999</v>
      </c>
      <c r="M1870" s="6">
        <v>3147.1849999999999</v>
      </c>
      <c r="N1870" s="6">
        <v>3147.1849999999999</v>
      </c>
      <c r="O1870" s="6">
        <v>3147.1849999999999</v>
      </c>
      <c r="P1870" s="6">
        <v>24803</v>
      </c>
      <c r="Q1870" s="4" t="s">
        <v>26</v>
      </c>
      <c r="R1870" s="4">
        <v>0</v>
      </c>
      <c r="S1870" s="6">
        <v>0</v>
      </c>
      <c r="T1870" s="6">
        <v>6</v>
      </c>
      <c r="U1870" s="6">
        <v>52</v>
      </c>
      <c r="V1870" s="6">
        <f>IF(ISERROR(VLOOKUP($S$1870,'TAR FIN'!$A$1:$O$95,15,0)),0,VLOOKUP($S$1870,'TAR FIN'!$A$1:$O$95,15,0))</f>
        <v>0</v>
      </c>
      <c r="W1870" s="6">
        <f>IF(ISERROR(VLOOKUP($T$1870,'TAR FIN'!$A$1:$O$95,15,0)),0,VLOOKUP($T$1870,'TAR FIN'!$A$1:$O$95,15,0))</f>
        <v>378.36</v>
      </c>
      <c r="X1870" s="6">
        <f>IF(ISERROR(VLOOKUP($U$1870,'TAR FIN'!$A$1:$O$95,15,0)),0,VLOOKUP($U$1870,'TAR FIN'!$A$1:$O$95,15,0))</f>
        <v>218.97</v>
      </c>
      <c r="Y1870" s="6"/>
      <c r="Z1870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70" s="6">
        <f>('TE BE'!$AA$16+'TE BF'!$AA$16+'TE CVA'!$AA$16)*(1-CUSTOS!$M$36)</f>
        <v>267.48149736117364</v>
      </c>
      <c r="AB1870" s="6">
        <f>$K$1870*$V$1870</f>
        <v>0</v>
      </c>
      <c r="AC1870" s="6">
        <f>$M$1870*$W$1870</f>
        <v>1190768.9166000001</v>
      </c>
      <c r="AD1870" s="6">
        <f>$O$1870*$X$1870</f>
        <v>689139.09944999998</v>
      </c>
      <c r="AE1870" s="6">
        <f>$K$1870*$Y$1870</f>
        <v>0</v>
      </c>
      <c r="AF1870" s="6">
        <f ca="1">$M$1870*$Z$1870</f>
        <v>1303045.6158601781</v>
      </c>
      <c r="AG1870" s="6">
        <f>$O$1870*$AA$1870</f>
        <v>841813.75627262529</v>
      </c>
    </row>
    <row r="1871" spans="1:33" ht="11.25" customHeight="1" x14ac:dyDescent="0.25">
      <c r="A1871" s="4" t="s">
        <v>27</v>
      </c>
      <c r="B1871" s="4" t="s">
        <v>22</v>
      </c>
      <c r="C1871" s="4" t="s">
        <v>23</v>
      </c>
      <c r="D1871" s="4" t="s">
        <v>24</v>
      </c>
      <c r="E1871" s="4" t="s">
        <v>33</v>
      </c>
      <c r="F1871" s="4" t="s">
        <v>25</v>
      </c>
      <c r="G1871" s="4" t="s">
        <v>25</v>
      </c>
      <c r="H1871" s="4" t="s">
        <v>25</v>
      </c>
      <c r="I1871" s="5">
        <v>44228</v>
      </c>
      <c r="J1871" s="6">
        <v>0</v>
      </c>
      <c r="K1871" s="6">
        <v>0</v>
      </c>
      <c r="L1871" s="6">
        <v>-11.196</v>
      </c>
      <c r="M1871" s="6">
        <v>-11.196</v>
      </c>
      <c r="N1871" s="6">
        <v>-11.196</v>
      </c>
      <c r="O1871" s="6">
        <v>-11.196</v>
      </c>
      <c r="P1871" s="6">
        <v>0</v>
      </c>
      <c r="Q1871" s="4" t="s">
        <v>26</v>
      </c>
      <c r="R1871" s="4">
        <v>0</v>
      </c>
      <c r="S1871" s="6">
        <v>0</v>
      </c>
      <c r="T1871" s="6">
        <v>6</v>
      </c>
      <c r="U1871" s="6">
        <v>52</v>
      </c>
      <c r="V1871" s="6">
        <f>IF(ISERROR(VLOOKUP($S$1871,'TAR FIN'!$A$1:$O$95,15,0)),0,VLOOKUP($S$1871,'TAR FIN'!$A$1:$O$95,15,0))</f>
        <v>0</v>
      </c>
      <c r="W1871" s="6">
        <f>IF(ISERROR(VLOOKUP($T$1871,'TAR FIN'!$A$1:$O$95,15,0)),0,VLOOKUP($T$1871,'TAR FIN'!$A$1:$O$95,15,0))</f>
        <v>378.36</v>
      </c>
      <c r="X1871" s="6">
        <f>IF(ISERROR(VLOOKUP($U$1871,'TAR FIN'!$A$1:$O$95,15,0)),0,VLOOKUP($U$1871,'TAR FIN'!$A$1:$O$95,15,0))</f>
        <v>218.97</v>
      </c>
      <c r="Y1871" s="6"/>
      <c r="Z1871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71" s="6">
        <f>('TE BE'!$AA$16+'TE BF'!$AA$16+'TE CVA'!$AA$16)*(1-CUSTOS!$M$36)</f>
        <v>267.48149736117364</v>
      </c>
      <c r="AB1871" s="6">
        <f>$K$1871*$V$1871</f>
        <v>0</v>
      </c>
      <c r="AC1871" s="6">
        <f>$M$1871*$W$1871</f>
        <v>-4236.1185599999999</v>
      </c>
      <c r="AD1871" s="6">
        <f>$O$1871*$X$1871</f>
        <v>-2451.5881199999999</v>
      </c>
      <c r="AE1871" s="6">
        <f>$K$1871*$Y$1871</f>
        <v>0</v>
      </c>
      <c r="AF1871" s="6">
        <f ca="1">$M$1871*$Z$1871</f>
        <v>-4635.5389705945327</v>
      </c>
      <c r="AG1871" s="6">
        <f>$O$1871*$AA$1871</f>
        <v>-2994.7228444556999</v>
      </c>
    </row>
    <row r="1872" spans="1:33" ht="11.25" customHeight="1" x14ac:dyDescent="0.25">
      <c r="A1872" s="4" t="s">
        <v>28</v>
      </c>
      <c r="B1872" s="4" t="s">
        <v>22</v>
      </c>
      <c r="C1872" s="4" t="s">
        <v>23</v>
      </c>
      <c r="D1872" s="4" t="s">
        <v>24</v>
      </c>
      <c r="E1872" s="4" t="s">
        <v>33</v>
      </c>
      <c r="F1872" s="4" t="s">
        <v>25</v>
      </c>
      <c r="G1872" s="4" t="s">
        <v>25</v>
      </c>
      <c r="H1872" s="4" t="s">
        <v>25</v>
      </c>
      <c r="I1872" s="5">
        <v>44228</v>
      </c>
      <c r="J1872" s="6">
        <v>0</v>
      </c>
      <c r="K1872" s="6">
        <v>0</v>
      </c>
      <c r="L1872" s="6">
        <v>4478.4930000000004</v>
      </c>
      <c r="M1872" s="6">
        <v>4478.4930000000004</v>
      </c>
      <c r="N1872" s="6">
        <v>4478.4930000000004</v>
      </c>
      <c r="O1872" s="6">
        <v>4478.4930000000004</v>
      </c>
      <c r="P1872" s="6">
        <v>45450</v>
      </c>
      <c r="Q1872" s="4" t="s">
        <v>26</v>
      </c>
      <c r="R1872" s="4">
        <v>0</v>
      </c>
      <c r="S1872" s="6">
        <v>0</v>
      </c>
      <c r="T1872" s="6">
        <v>6</v>
      </c>
      <c r="U1872" s="6">
        <v>52</v>
      </c>
      <c r="V1872" s="6">
        <f>IF(ISERROR(VLOOKUP($S$1872,'TAR FIN'!$A$1:$O$95,15,0)),0,VLOOKUP($S$1872,'TAR FIN'!$A$1:$O$95,15,0))</f>
        <v>0</v>
      </c>
      <c r="W1872" s="6">
        <f>IF(ISERROR(VLOOKUP($T$1872,'TAR FIN'!$A$1:$O$95,15,0)),0,VLOOKUP($T$1872,'TAR FIN'!$A$1:$O$95,15,0))</f>
        <v>378.36</v>
      </c>
      <c r="X1872" s="6">
        <f>IF(ISERROR(VLOOKUP($U$1872,'TAR FIN'!$A$1:$O$95,15,0)),0,VLOOKUP($U$1872,'TAR FIN'!$A$1:$O$95,15,0))</f>
        <v>218.97</v>
      </c>
      <c r="Y1872" s="6"/>
      <c r="Z1872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72" s="6">
        <f>('TE BE'!$AA$16+'TE BF'!$AA$16+'TE CVA'!$AA$16)*(1-CUSTOS!$M$36)</f>
        <v>267.48149736117364</v>
      </c>
      <c r="AB1872" s="6">
        <f>$K$1872*$V$1872</f>
        <v>0</v>
      </c>
      <c r="AC1872" s="6">
        <f>$M$1872*$W$1872</f>
        <v>1694482.6114800002</v>
      </c>
      <c r="AD1872" s="6">
        <f>$O$1872*$X$1872</f>
        <v>980655.61221000005</v>
      </c>
      <c r="AE1872" s="6">
        <f>$K$1872*$Y$1872</f>
        <v>0</v>
      </c>
      <c r="AF1872" s="6">
        <f ca="1">$M$1872*$Z$1872</f>
        <v>1854254.0935186516</v>
      </c>
      <c r="AG1872" s="6">
        <f>$O$1872*$AA$1872</f>
        <v>1197914.0135615347</v>
      </c>
    </row>
    <row r="1873" spans="1:33" ht="11.25" customHeight="1" x14ac:dyDescent="0.25">
      <c r="A1873" s="4" t="s">
        <v>29</v>
      </c>
      <c r="B1873" s="4" t="s">
        <v>22</v>
      </c>
      <c r="C1873" s="4" t="s">
        <v>23</v>
      </c>
      <c r="D1873" s="4" t="s">
        <v>24</v>
      </c>
      <c r="E1873" s="4" t="s">
        <v>33</v>
      </c>
      <c r="F1873" s="4" t="s">
        <v>25</v>
      </c>
      <c r="G1873" s="4" t="s">
        <v>25</v>
      </c>
      <c r="H1873" s="4" t="s">
        <v>25</v>
      </c>
      <c r="I1873" s="5">
        <v>44228</v>
      </c>
      <c r="J1873" s="6">
        <v>0</v>
      </c>
      <c r="K1873" s="6">
        <v>0</v>
      </c>
      <c r="L1873" s="6">
        <v>-14.226000000000001</v>
      </c>
      <c r="M1873" s="6">
        <v>-14.226000000000001</v>
      </c>
      <c r="N1873" s="6">
        <v>-14.226000000000001</v>
      </c>
      <c r="O1873" s="6">
        <v>-14.226000000000001</v>
      </c>
      <c r="P1873" s="6">
        <v>0</v>
      </c>
      <c r="Q1873" s="4" t="s">
        <v>26</v>
      </c>
      <c r="R1873" s="4">
        <v>0</v>
      </c>
      <c r="S1873" s="6">
        <v>0</v>
      </c>
      <c r="T1873" s="6">
        <v>6</v>
      </c>
      <c r="U1873" s="6">
        <v>52</v>
      </c>
      <c r="V1873" s="6">
        <f>IF(ISERROR(VLOOKUP($S$1873,'TAR FIN'!$A$1:$O$95,15,0)),0,VLOOKUP($S$1873,'TAR FIN'!$A$1:$O$95,15,0))</f>
        <v>0</v>
      </c>
      <c r="W1873" s="6">
        <f>IF(ISERROR(VLOOKUP($T$1873,'TAR FIN'!$A$1:$O$95,15,0)),0,VLOOKUP($T$1873,'TAR FIN'!$A$1:$O$95,15,0))</f>
        <v>378.36</v>
      </c>
      <c r="X1873" s="6">
        <f>IF(ISERROR(VLOOKUP($U$1873,'TAR FIN'!$A$1:$O$95,15,0)),0,VLOOKUP($U$1873,'TAR FIN'!$A$1:$O$95,15,0))</f>
        <v>218.97</v>
      </c>
      <c r="Y1873" s="6"/>
      <c r="Z1873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73" s="6">
        <f>('TE BE'!$AA$16+'TE BF'!$AA$16+'TE CVA'!$AA$16)*(1-CUSTOS!$M$36)</f>
        <v>267.48149736117364</v>
      </c>
      <c r="AB1873" s="6">
        <f>$K$1873*$V$1873</f>
        <v>0</v>
      </c>
      <c r="AC1873" s="6">
        <f>$M$1873*$W$1873</f>
        <v>-5382.5493600000009</v>
      </c>
      <c r="AD1873" s="6">
        <f>$O$1873*$X$1873</f>
        <v>-3115.0672200000004</v>
      </c>
      <c r="AE1873" s="6">
        <f>$K$1873*$Y$1873</f>
        <v>0</v>
      </c>
      <c r="AF1873" s="6">
        <f ca="1">$M$1873*$Z$1873</f>
        <v>-5890.0658624220996</v>
      </c>
      <c r="AG1873" s="6">
        <f>$O$1873*$AA$1873</f>
        <v>-3805.1917814600565</v>
      </c>
    </row>
    <row r="1874" spans="1:33" ht="11.25" customHeight="1" x14ac:dyDescent="0.25">
      <c r="A1874" s="4" t="s">
        <v>21</v>
      </c>
      <c r="B1874" s="4" t="s">
        <v>22</v>
      </c>
      <c r="C1874" s="4" t="s">
        <v>23</v>
      </c>
      <c r="D1874" s="4" t="s">
        <v>24</v>
      </c>
      <c r="E1874" s="4" t="s">
        <v>33</v>
      </c>
      <c r="F1874" s="4" t="s">
        <v>25</v>
      </c>
      <c r="G1874" s="4" t="s">
        <v>25</v>
      </c>
      <c r="H1874" s="4" t="s">
        <v>25</v>
      </c>
      <c r="I1874" s="5">
        <v>44256</v>
      </c>
      <c r="J1874" s="6">
        <v>0</v>
      </c>
      <c r="K1874" s="6">
        <v>0</v>
      </c>
      <c r="L1874" s="6">
        <v>3351.1550000000002</v>
      </c>
      <c r="M1874" s="6">
        <v>3351.1550000000002</v>
      </c>
      <c r="N1874" s="6">
        <v>3351.1550000000002</v>
      </c>
      <c r="O1874" s="6">
        <v>3351.1550000000002</v>
      </c>
      <c r="P1874" s="6">
        <v>23749</v>
      </c>
      <c r="Q1874" s="4" t="s">
        <v>26</v>
      </c>
      <c r="R1874" s="4">
        <v>0</v>
      </c>
      <c r="S1874" s="6">
        <v>0</v>
      </c>
      <c r="T1874" s="6">
        <v>6</v>
      </c>
      <c r="U1874" s="6">
        <v>52</v>
      </c>
      <c r="V1874" s="6">
        <f>IF(ISERROR(VLOOKUP($S$1874,'TAR FIN'!$A$1:$O$95,15,0)),0,VLOOKUP($S$1874,'TAR FIN'!$A$1:$O$95,15,0))</f>
        <v>0</v>
      </c>
      <c r="W1874" s="6">
        <f>IF(ISERROR(VLOOKUP($T$1874,'TAR FIN'!$A$1:$O$95,15,0)),0,VLOOKUP($T$1874,'TAR FIN'!$A$1:$O$95,15,0))</f>
        <v>378.36</v>
      </c>
      <c r="X1874" s="6">
        <f>IF(ISERROR(VLOOKUP($U$1874,'TAR FIN'!$A$1:$O$95,15,0)),0,VLOOKUP($U$1874,'TAR FIN'!$A$1:$O$95,15,0))</f>
        <v>218.97</v>
      </c>
      <c r="Y1874" s="6"/>
      <c r="Z1874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74" s="6">
        <f>('TE BE'!$AA$16+'TE BF'!$AA$16+'TE CVA'!$AA$16)*(1-CUSTOS!$M$36)</f>
        <v>267.48149736117364</v>
      </c>
      <c r="AB1874" s="6">
        <f>$K$1874*$V$1874</f>
        <v>0</v>
      </c>
      <c r="AC1874" s="6">
        <f>$M$1874*$W$1874</f>
        <v>1267943.0058000002</v>
      </c>
      <c r="AD1874" s="6">
        <f>$O$1874*$X$1874</f>
        <v>733802.41035000002</v>
      </c>
      <c r="AE1874" s="6">
        <f>$K$1874*$Y$1874</f>
        <v>0</v>
      </c>
      <c r="AF1874" s="6">
        <f ca="1">$M$1874*$Z$1874</f>
        <v>1387496.3914793429</v>
      </c>
      <c r="AG1874" s="6">
        <f>$O$1874*$AA$1874</f>
        <v>896371.95728938386</v>
      </c>
    </row>
    <row r="1875" spans="1:33" ht="11.25" customHeight="1" x14ac:dyDescent="0.25">
      <c r="A1875" s="4" t="s">
        <v>27</v>
      </c>
      <c r="B1875" s="4" t="s">
        <v>22</v>
      </c>
      <c r="C1875" s="4" t="s">
        <v>23</v>
      </c>
      <c r="D1875" s="4" t="s">
        <v>24</v>
      </c>
      <c r="E1875" s="4" t="s">
        <v>33</v>
      </c>
      <c r="F1875" s="4" t="s">
        <v>25</v>
      </c>
      <c r="G1875" s="4" t="s">
        <v>25</v>
      </c>
      <c r="H1875" s="4" t="s">
        <v>25</v>
      </c>
      <c r="I1875" s="5">
        <v>44256</v>
      </c>
      <c r="J1875" s="6">
        <v>0</v>
      </c>
      <c r="K1875" s="6">
        <v>0</v>
      </c>
      <c r="L1875" s="6">
        <v>-46.134999999999998</v>
      </c>
      <c r="M1875" s="6">
        <v>-46.134999999999998</v>
      </c>
      <c r="N1875" s="6">
        <v>-46.134999999999998</v>
      </c>
      <c r="O1875" s="6">
        <v>-46.134999999999998</v>
      </c>
      <c r="P1875" s="6">
        <v>0</v>
      </c>
      <c r="Q1875" s="4" t="s">
        <v>26</v>
      </c>
      <c r="R1875" s="4">
        <v>0</v>
      </c>
      <c r="S1875" s="6">
        <v>0</v>
      </c>
      <c r="T1875" s="6">
        <v>6</v>
      </c>
      <c r="U1875" s="6">
        <v>52</v>
      </c>
      <c r="V1875" s="6">
        <f>IF(ISERROR(VLOOKUP($S$1875,'TAR FIN'!$A$1:$O$95,15,0)),0,VLOOKUP($S$1875,'TAR FIN'!$A$1:$O$95,15,0))</f>
        <v>0</v>
      </c>
      <c r="W1875" s="6">
        <f>IF(ISERROR(VLOOKUP($T$1875,'TAR FIN'!$A$1:$O$95,15,0)),0,VLOOKUP($T$1875,'TAR FIN'!$A$1:$O$95,15,0))</f>
        <v>378.36</v>
      </c>
      <c r="X1875" s="6">
        <f>IF(ISERROR(VLOOKUP($U$1875,'TAR FIN'!$A$1:$O$95,15,0)),0,VLOOKUP($U$1875,'TAR FIN'!$A$1:$O$95,15,0))</f>
        <v>218.97</v>
      </c>
      <c r="Y1875" s="6"/>
      <c r="Z1875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75" s="6">
        <f>('TE BE'!$AA$16+'TE BF'!$AA$16+'TE CVA'!$AA$16)*(1-CUSTOS!$M$36)</f>
        <v>267.48149736117364</v>
      </c>
      <c r="AB1875" s="6">
        <f>$K$1875*$V$1875</f>
        <v>0</v>
      </c>
      <c r="AC1875" s="6">
        <f>$M$1875*$W$1875</f>
        <v>-17455.638599999998</v>
      </c>
      <c r="AD1875" s="6">
        <f>$O$1875*$X$1875</f>
        <v>-10102.18095</v>
      </c>
      <c r="AE1875" s="6">
        <f>$K$1875*$Y$1875</f>
        <v>0</v>
      </c>
      <c r="AF1875" s="6">
        <f ca="1">$M$1875*$Z$1875</f>
        <v>-19101.517542727648</v>
      </c>
      <c r="AG1875" s="6">
        <f>$O$1875*$AA$1875</f>
        <v>-12340.258880757745</v>
      </c>
    </row>
    <row r="1876" spans="1:33" ht="11.25" customHeight="1" x14ac:dyDescent="0.25">
      <c r="A1876" s="4" t="s">
        <v>28</v>
      </c>
      <c r="B1876" s="4" t="s">
        <v>22</v>
      </c>
      <c r="C1876" s="4" t="s">
        <v>23</v>
      </c>
      <c r="D1876" s="4" t="s">
        <v>24</v>
      </c>
      <c r="E1876" s="4" t="s">
        <v>33</v>
      </c>
      <c r="F1876" s="4" t="s">
        <v>25</v>
      </c>
      <c r="G1876" s="4" t="s">
        <v>25</v>
      </c>
      <c r="H1876" s="4" t="s">
        <v>25</v>
      </c>
      <c r="I1876" s="5">
        <v>44256</v>
      </c>
      <c r="J1876" s="6">
        <v>0</v>
      </c>
      <c r="K1876" s="6">
        <v>0</v>
      </c>
      <c r="L1876" s="6">
        <v>4585.1030000000001</v>
      </c>
      <c r="M1876" s="6">
        <v>4585.1030000000001</v>
      </c>
      <c r="N1876" s="6">
        <v>4585.1030000000001</v>
      </c>
      <c r="O1876" s="6">
        <v>4585.1030000000001</v>
      </c>
      <c r="P1876" s="6">
        <v>46464</v>
      </c>
      <c r="Q1876" s="4" t="s">
        <v>26</v>
      </c>
      <c r="R1876" s="4">
        <v>0</v>
      </c>
      <c r="S1876" s="6">
        <v>0</v>
      </c>
      <c r="T1876" s="6">
        <v>6</v>
      </c>
      <c r="U1876" s="6">
        <v>52</v>
      </c>
      <c r="V1876" s="6">
        <f>IF(ISERROR(VLOOKUP($S$1876,'TAR FIN'!$A$1:$O$95,15,0)),0,VLOOKUP($S$1876,'TAR FIN'!$A$1:$O$95,15,0))</f>
        <v>0</v>
      </c>
      <c r="W1876" s="6">
        <f>IF(ISERROR(VLOOKUP($T$1876,'TAR FIN'!$A$1:$O$95,15,0)),0,VLOOKUP($T$1876,'TAR FIN'!$A$1:$O$95,15,0))</f>
        <v>378.36</v>
      </c>
      <c r="X1876" s="6">
        <f>IF(ISERROR(VLOOKUP($U$1876,'TAR FIN'!$A$1:$O$95,15,0)),0,VLOOKUP($U$1876,'TAR FIN'!$A$1:$O$95,15,0))</f>
        <v>218.97</v>
      </c>
      <c r="Y1876" s="6"/>
      <c r="Z1876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76" s="6">
        <f>('TE BE'!$AA$16+'TE BF'!$AA$16+'TE CVA'!$AA$16)*(1-CUSTOS!$M$36)</f>
        <v>267.48149736117364</v>
      </c>
      <c r="AB1876" s="6">
        <f>$K$1876*$V$1876</f>
        <v>0</v>
      </c>
      <c r="AC1876" s="6">
        <f>$M$1876*$W$1876</f>
        <v>1734819.5710800001</v>
      </c>
      <c r="AD1876" s="6">
        <f>$O$1876*$X$1876</f>
        <v>1004000.00391</v>
      </c>
      <c r="AE1876" s="6">
        <f>$K$1876*$Y$1876</f>
        <v>0</v>
      </c>
      <c r="AF1876" s="6">
        <f ca="1">$M$1876*$Z$1876</f>
        <v>1898394.3944882015</v>
      </c>
      <c r="AG1876" s="6">
        <f>$O$1876*$AA$1876</f>
        <v>1226430.2159952093</v>
      </c>
    </row>
    <row r="1877" spans="1:33" ht="11.25" customHeight="1" x14ac:dyDescent="0.25">
      <c r="A1877" s="4" t="s">
        <v>29</v>
      </c>
      <c r="B1877" s="4" t="s">
        <v>22</v>
      </c>
      <c r="C1877" s="4" t="s">
        <v>23</v>
      </c>
      <c r="D1877" s="4" t="s">
        <v>24</v>
      </c>
      <c r="E1877" s="4" t="s">
        <v>33</v>
      </c>
      <c r="F1877" s="4" t="s">
        <v>25</v>
      </c>
      <c r="G1877" s="4" t="s">
        <v>25</v>
      </c>
      <c r="H1877" s="4" t="s">
        <v>25</v>
      </c>
      <c r="I1877" s="5">
        <v>44256</v>
      </c>
      <c r="J1877" s="6">
        <v>0</v>
      </c>
      <c r="K1877" s="6">
        <v>0</v>
      </c>
      <c r="L1877" s="6">
        <v>-13.526</v>
      </c>
      <c r="M1877" s="6">
        <v>-13.526</v>
      </c>
      <c r="N1877" s="6">
        <v>-13.526</v>
      </c>
      <c r="O1877" s="6">
        <v>-13.526</v>
      </c>
      <c r="P1877" s="6">
        <v>0</v>
      </c>
      <c r="Q1877" s="4" t="s">
        <v>26</v>
      </c>
      <c r="R1877" s="4">
        <v>0</v>
      </c>
      <c r="S1877" s="6">
        <v>0</v>
      </c>
      <c r="T1877" s="6">
        <v>6</v>
      </c>
      <c r="U1877" s="6">
        <v>52</v>
      </c>
      <c r="V1877" s="6">
        <f>IF(ISERROR(VLOOKUP($S$1877,'TAR FIN'!$A$1:$O$95,15,0)),0,VLOOKUP($S$1877,'TAR FIN'!$A$1:$O$95,15,0))</f>
        <v>0</v>
      </c>
      <c r="W1877" s="6">
        <f>IF(ISERROR(VLOOKUP($T$1877,'TAR FIN'!$A$1:$O$95,15,0)),0,VLOOKUP($T$1877,'TAR FIN'!$A$1:$O$95,15,0))</f>
        <v>378.36</v>
      </c>
      <c r="X1877" s="6">
        <f>IF(ISERROR(VLOOKUP($U$1877,'TAR FIN'!$A$1:$O$95,15,0)),0,VLOOKUP($U$1877,'TAR FIN'!$A$1:$O$95,15,0))</f>
        <v>218.97</v>
      </c>
      <c r="Y1877" s="6"/>
      <c r="Z1877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77" s="6">
        <f>('TE BE'!$AA$16+'TE BF'!$AA$16+'TE CVA'!$AA$16)*(1-CUSTOS!$M$36)</f>
        <v>267.48149736117364</v>
      </c>
      <c r="AB1877" s="6">
        <f>$K$1877*$V$1877</f>
        <v>0</v>
      </c>
      <c r="AC1877" s="6">
        <f>$M$1877*$W$1877</f>
        <v>-5117.6973600000001</v>
      </c>
      <c r="AD1877" s="6">
        <f>$O$1877*$X$1877</f>
        <v>-2961.7882199999999</v>
      </c>
      <c r="AE1877" s="6">
        <f>$K$1877*$Y$1877</f>
        <v>0</v>
      </c>
      <c r="AF1877" s="6">
        <f ca="1">$M$1877*$Z$1877</f>
        <v>-5600.2411679404831</v>
      </c>
      <c r="AG1877" s="6">
        <f>$O$1877*$AA$1877</f>
        <v>-3617.9547333072346</v>
      </c>
    </row>
    <row r="1878" spans="1:33" ht="11.25" customHeight="1" x14ac:dyDescent="0.25">
      <c r="A1878" s="4" t="s">
        <v>30</v>
      </c>
      <c r="B1878" s="4" t="s">
        <v>22</v>
      </c>
      <c r="C1878" s="4" t="s">
        <v>23</v>
      </c>
      <c r="D1878" s="4" t="s">
        <v>24</v>
      </c>
      <c r="E1878" s="4" t="s">
        <v>33</v>
      </c>
      <c r="F1878" s="4" t="s">
        <v>25</v>
      </c>
      <c r="G1878" s="4" t="s">
        <v>25</v>
      </c>
      <c r="H1878" s="4" t="s">
        <v>25</v>
      </c>
      <c r="I1878" s="5">
        <v>44256</v>
      </c>
      <c r="J1878" s="6">
        <v>0</v>
      </c>
      <c r="K1878" s="6">
        <v>0</v>
      </c>
      <c r="L1878" s="6">
        <v>0.12</v>
      </c>
      <c r="M1878" s="6">
        <v>0.12</v>
      </c>
      <c r="N1878" s="6">
        <v>0.12</v>
      </c>
      <c r="O1878" s="6">
        <v>0.12</v>
      </c>
      <c r="P1878" s="6">
        <v>0</v>
      </c>
      <c r="Q1878" s="4" t="s">
        <v>26</v>
      </c>
      <c r="R1878" s="4">
        <v>0</v>
      </c>
      <c r="S1878" s="6">
        <v>0</v>
      </c>
      <c r="T1878" s="6">
        <v>6</v>
      </c>
      <c r="U1878" s="6">
        <v>52</v>
      </c>
      <c r="V1878" s="6">
        <f>IF(ISERROR(VLOOKUP($S$1878,'TAR FIN'!$A$1:$O$95,15,0)),0,VLOOKUP($S$1878,'TAR FIN'!$A$1:$O$95,15,0))</f>
        <v>0</v>
      </c>
      <c r="W1878" s="6">
        <f>IF(ISERROR(VLOOKUP($T$1878,'TAR FIN'!$A$1:$O$95,15,0)),0,VLOOKUP($T$1878,'TAR FIN'!$A$1:$O$95,15,0))</f>
        <v>378.36</v>
      </c>
      <c r="X1878" s="6">
        <f>IF(ISERROR(VLOOKUP($U$1878,'TAR FIN'!$A$1:$O$95,15,0)),0,VLOOKUP($U$1878,'TAR FIN'!$A$1:$O$95,15,0))</f>
        <v>218.97</v>
      </c>
      <c r="Y1878" s="6"/>
      <c r="Z1878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78" s="6">
        <f>('TE BE'!$AA$16+'TE BF'!$AA$16+'TE CVA'!$AA$16)*(1-CUSTOS!$M$36)</f>
        <v>267.48149736117364</v>
      </c>
      <c r="AB1878" s="6">
        <f>$K$1878*$V$1878</f>
        <v>0</v>
      </c>
      <c r="AC1878" s="6">
        <f>$M$1878*$W$1878</f>
        <v>45.403199999999998</v>
      </c>
      <c r="AD1878" s="6">
        <f>$O$1878*$X$1878</f>
        <v>26.276399999999999</v>
      </c>
      <c r="AE1878" s="6">
        <f>$K$1878*$Y$1878</f>
        <v>0</v>
      </c>
      <c r="AF1878" s="6">
        <f ca="1">$M$1878*$Z$1878</f>
        <v>49.6842333397056</v>
      </c>
      <c r="AG1878" s="6">
        <f>$O$1878*$AA$1878</f>
        <v>32.097779683340832</v>
      </c>
    </row>
    <row r="1879" spans="1:33" ht="11.25" customHeight="1" x14ac:dyDescent="0.25">
      <c r="A1879" s="4" t="s">
        <v>21</v>
      </c>
      <c r="B1879" s="4" t="s">
        <v>22</v>
      </c>
      <c r="C1879" s="4" t="s">
        <v>23</v>
      </c>
      <c r="D1879" s="4" t="s">
        <v>24</v>
      </c>
      <c r="E1879" s="4" t="s">
        <v>33</v>
      </c>
      <c r="F1879" s="4" t="s">
        <v>25</v>
      </c>
      <c r="G1879" s="4" t="s">
        <v>25</v>
      </c>
      <c r="H1879" s="4" t="s">
        <v>25</v>
      </c>
      <c r="I1879" s="5">
        <v>44287</v>
      </c>
      <c r="J1879" s="6">
        <v>0</v>
      </c>
      <c r="K1879" s="6">
        <v>0</v>
      </c>
      <c r="L1879" s="6">
        <v>3475.22</v>
      </c>
      <c r="M1879" s="6">
        <v>3475.22</v>
      </c>
      <c r="N1879" s="6">
        <v>3475.22</v>
      </c>
      <c r="O1879" s="6">
        <v>3475.22</v>
      </c>
      <c r="P1879" s="6">
        <v>23023</v>
      </c>
      <c r="Q1879" s="4" t="s">
        <v>26</v>
      </c>
      <c r="R1879" s="4">
        <v>0</v>
      </c>
      <c r="S1879" s="6">
        <v>0</v>
      </c>
      <c r="T1879" s="6">
        <v>6</v>
      </c>
      <c r="U1879" s="6">
        <v>52</v>
      </c>
      <c r="V1879" s="6">
        <f>IF(ISERROR(VLOOKUP($S$1879,'TAR FIN'!$A$1:$O$95,15,0)),0,VLOOKUP($S$1879,'TAR FIN'!$A$1:$O$95,15,0))</f>
        <v>0</v>
      </c>
      <c r="W1879" s="6">
        <f>IF(ISERROR(VLOOKUP($T$1879,'TAR FIN'!$A$1:$O$95,15,0)),0,VLOOKUP($T$1879,'TAR FIN'!$A$1:$O$95,15,0))</f>
        <v>378.36</v>
      </c>
      <c r="X1879" s="6">
        <f>IF(ISERROR(VLOOKUP($U$1879,'TAR FIN'!$A$1:$O$95,15,0)),0,VLOOKUP($U$1879,'TAR FIN'!$A$1:$O$95,15,0))</f>
        <v>218.97</v>
      </c>
      <c r="Y1879" s="6"/>
      <c r="Z1879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79" s="6">
        <f>('TE BE'!$AA$16+'TE BF'!$AA$16+'TE CVA'!$AA$16)*(1-CUSTOS!$M$36)</f>
        <v>267.48149736117364</v>
      </c>
      <c r="AB1879" s="6">
        <f>$K$1879*$V$1879</f>
        <v>0</v>
      </c>
      <c r="AC1879" s="6">
        <f>$M$1879*$W$1879</f>
        <v>1314884.2392</v>
      </c>
      <c r="AD1879" s="6">
        <f>$O$1879*$X$1879</f>
        <v>760968.92339999997</v>
      </c>
      <c r="AE1879" s="6">
        <f>$K$1879*$Y$1879</f>
        <v>0</v>
      </c>
      <c r="AF1879" s="6">
        <f ca="1">$M$1879*$Z$1879</f>
        <v>1438863.6782234309</v>
      </c>
      <c r="AG1879" s="6">
        <f>$O$1879*$AA$1879</f>
        <v>929557.04925949778</v>
      </c>
    </row>
    <row r="1880" spans="1:33" ht="11.25" customHeight="1" x14ac:dyDescent="0.25">
      <c r="A1880" s="4" t="s">
        <v>27</v>
      </c>
      <c r="B1880" s="4" t="s">
        <v>22</v>
      </c>
      <c r="C1880" s="4" t="s">
        <v>23</v>
      </c>
      <c r="D1880" s="4" t="s">
        <v>24</v>
      </c>
      <c r="E1880" s="4" t="s">
        <v>33</v>
      </c>
      <c r="F1880" s="4" t="s">
        <v>25</v>
      </c>
      <c r="G1880" s="4" t="s">
        <v>25</v>
      </c>
      <c r="H1880" s="4" t="s">
        <v>25</v>
      </c>
      <c r="I1880" s="5">
        <v>44287</v>
      </c>
      <c r="J1880" s="6">
        <v>0</v>
      </c>
      <c r="K1880" s="6">
        <v>0</v>
      </c>
      <c r="L1880" s="6">
        <v>-12.143000000000001</v>
      </c>
      <c r="M1880" s="6">
        <v>-12.143000000000001</v>
      </c>
      <c r="N1880" s="6">
        <v>-12.143000000000001</v>
      </c>
      <c r="O1880" s="6">
        <v>-12.143000000000001</v>
      </c>
      <c r="P1880" s="6">
        <v>0</v>
      </c>
      <c r="Q1880" s="4" t="s">
        <v>26</v>
      </c>
      <c r="R1880" s="4">
        <v>0</v>
      </c>
      <c r="S1880" s="6">
        <v>0</v>
      </c>
      <c r="T1880" s="6">
        <v>6</v>
      </c>
      <c r="U1880" s="6">
        <v>52</v>
      </c>
      <c r="V1880" s="6">
        <f>IF(ISERROR(VLOOKUP($S$1880,'TAR FIN'!$A$1:$O$95,15,0)),0,VLOOKUP($S$1880,'TAR FIN'!$A$1:$O$95,15,0))</f>
        <v>0</v>
      </c>
      <c r="W1880" s="6">
        <f>IF(ISERROR(VLOOKUP($T$1880,'TAR FIN'!$A$1:$O$95,15,0)),0,VLOOKUP($T$1880,'TAR FIN'!$A$1:$O$95,15,0))</f>
        <v>378.36</v>
      </c>
      <c r="X1880" s="6">
        <f>IF(ISERROR(VLOOKUP($U$1880,'TAR FIN'!$A$1:$O$95,15,0)),0,VLOOKUP($U$1880,'TAR FIN'!$A$1:$O$95,15,0))</f>
        <v>218.97</v>
      </c>
      <c r="Y1880" s="6"/>
      <c r="Z1880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80" s="6">
        <f>('TE BE'!$AA$16+'TE BF'!$AA$16+'TE CVA'!$AA$16)*(1-CUSTOS!$M$36)</f>
        <v>267.48149736117364</v>
      </c>
      <c r="AB1880" s="6">
        <f>$K$1880*$V$1880</f>
        <v>0</v>
      </c>
      <c r="AC1880" s="6">
        <f>$M$1880*$W$1880</f>
        <v>-4594.4254800000008</v>
      </c>
      <c r="AD1880" s="6">
        <f>$O$1880*$X$1880</f>
        <v>-2658.95271</v>
      </c>
      <c r="AE1880" s="6">
        <f>$K$1880*$Y$1880</f>
        <v>0</v>
      </c>
      <c r="AF1880" s="6">
        <f ca="1">$M$1880*$Z$1880</f>
        <v>-5027.6303787003762</v>
      </c>
      <c r="AG1880" s="6">
        <f>$O$1880*$AA$1880</f>
        <v>-3248.0278224567319</v>
      </c>
    </row>
    <row r="1881" spans="1:33" ht="11.25" customHeight="1" x14ac:dyDescent="0.25">
      <c r="A1881" s="4" t="s">
        <v>28</v>
      </c>
      <c r="B1881" s="4" t="s">
        <v>22</v>
      </c>
      <c r="C1881" s="4" t="s">
        <v>23</v>
      </c>
      <c r="D1881" s="4" t="s">
        <v>24</v>
      </c>
      <c r="E1881" s="4" t="s">
        <v>33</v>
      </c>
      <c r="F1881" s="4" t="s">
        <v>25</v>
      </c>
      <c r="G1881" s="4" t="s">
        <v>25</v>
      </c>
      <c r="H1881" s="4" t="s">
        <v>25</v>
      </c>
      <c r="I1881" s="5">
        <v>44287</v>
      </c>
      <c r="J1881" s="6">
        <v>0</v>
      </c>
      <c r="K1881" s="6">
        <v>0</v>
      </c>
      <c r="L1881" s="6">
        <v>5132.4709999999995</v>
      </c>
      <c r="M1881" s="6">
        <v>5132.4709999999995</v>
      </c>
      <c r="N1881" s="6">
        <v>5132.4709999999995</v>
      </c>
      <c r="O1881" s="6">
        <v>5132.4709999999995</v>
      </c>
      <c r="P1881" s="6">
        <v>47391</v>
      </c>
      <c r="Q1881" s="4" t="s">
        <v>26</v>
      </c>
      <c r="R1881" s="4">
        <v>0</v>
      </c>
      <c r="S1881" s="6">
        <v>0</v>
      </c>
      <c r="T1881" s="6">
        <v>6</v>
      </c>
      <c r="U1881" s="6">
        <v>52</v>
      </c>
      <c r="V1881" s="6">
        <f>IF(ISERROR(VLOOKUP($S$1881,'TAR FIN'!$A$1:$O$95,15,0)),0,VLOOKUP($S$1881,'TAR FIN'!$A$1:$O$95,15,0))</f>
        <v>0</v>
      </c>
      <c r="W1881" s="6">
        <f>IF(ISERROR(VLOOKUP($T$1881,'TAR FIN'!$A$1:$O$95,15,0)),0,VLOOKUP($T$1881,'TAR FIN'!$A$1:$O$95,15,0))</f>
        <v>378.36</v>
      </c>
      <c r="X1881" s="6">
        <f>IF(ISERROR(VLOOKUP($U$1881,'TAR FIN'!$A$1:$O$95,15,0)),0,VLOOKUP($U$1881,'TAR FIN'!$A$1:$O$95,15,0))</f>
        <v>218.97</v>
      </c>
      <c r="Y1881" s="6"/>
      <c r="Z1881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81" s="6">
        <f>('TE BE'!$AA$16+'TE BF'!$AA$16+'TE CVA'!$AA$16)*(1-CUSTOS!$M$36)</f>
        <v>267.48149736117364</v>
      </c>
      <c r="AB1881" s="6">
        <f>$K$1881*$V$1881</f>
        <v>0</v>
      </c>
      <c r="AC1881" s="6">
        <f>$M$1881*$W$1881</f>
        <v>1941921.7275599998</v>
      </c>
      <c r="AD1881" s="6">
        <f>$O$1881*$X$1881</f>
        <v>1123857.17487</v>
      </c>
      <c r="AE1881" s="6">
        <f>$K$1881*$Y$1881</f>
        <v>0</v>
      </c>
      <c r="AF1881" s="6">
        <f ca="1">$M$1881*$Z$1881</f>
        <v>2125024.0564439343</v>
      </c>
      <c r="AG1881" s="6">
        <f>$O$1881*$AA$1881</f>
        <v>1372841.0282428002</v>
      </c>
    </row>
    <row r="1882" spans="1:33" ht="11.25" customHeight="1" x14ac:dyDescent="0.25">
      <c r="A1882" s="4" t="s">
        <v>29</v>
      </c>
      <c r="B1882" s="4" t="s">
        <v>22</v>
      </c>
      <c r="C1882" s="4" t="s">
        <v>23</v>
      </c>
      <c r="D1882" s="4" t="s">
        <v>24</v>
      </c>
      <c r="E1882" s="4" t="s">
        <v>33</v>
      </c>
      <c r="F1882" s="4" t="s">
        <v>25</v>
      </c>
      <c r="G1882" s="4" t="s">
        <v>25</v>
      </c>
      <c r="H1882" s="4" t="s">
        <v>25</v>
      </c>
      <c r="I1882" s="5">
        <v>44287</v>
      </c>
      <c r="J1882" s="6">
        <v>0</v>
      </c>
      <c r="K1882" s="6">
        <v>0</v>
      </c>
      <c r="L1882" s="6">
        <v>-19.844000000000001</v>
      </c>
      <c r="M1882" s="6">
        <v>-19.844000000000001</v>
      </c>
      <c r="N1882" s="6">
        <v>-19.844000000000001</v>
      </c>
      <c r="O1882" s="6">
        <v>-19.844000000000001</v>
      </c>
      <c r="P1882" s="6">
        <v>0</v>
      </c>
      <c r="Q1882" s="4" t="s">
        <v>26</v>
      </c>
      <c r="R1882" s="4">
        <v>0</v>
      </c>
      <c r="S1882" s="6">
        <v>0</v>
      </c>
      <c r="T1882" s="6">
        <v>6</v>
      </c>
      <c r="U1882" s="6">
        <v>52</v>
      </c>
      <c r="V1882" s="6">
        <f>IF(ISERROR(VLOOKUP($S$1882,'TAR FIN'!$A$1:$O$95,15,0)),0,VLOOKUP($S$1882,'TAR FIN'!$A$1:$O$95,15,0))</f>
        <v>0</v>
      </c>
      <c r="W1882" s="6">
        <f>IF(ISERROR(VLOOKUP($T$1882,'TAR FIN'!$A$1:$O$95,15,0)),0,VLOOKUP($T$1882,'TAR FIN'!$A$1:$O$95,15,0))</f>
        <v>378.36</v>
      </c>
      <c r="X1882" s="6">
        <f>IF(ISERROR(VLOOKUP($U$1882,'TAR FIN'!$A$1:$O$95,15,0)),0,VLOOKUP($U$1882,'TAR FIN'!$A$1:$O$95,15,0))</f>
        <v>218.97</v>
      </c>
      <c r="Y1882" s="6"/>
      <c r="Z1882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82" s="6">
        <f>('TE BE'!$AA$16+'TE BF'!$AA$16+'TE CVA'!$AA$16)*(1-CUSTOS!$M$36)</f>
        <v>267.48149736117364</v>
      </c>
      <c r="AB1882" s="6">
        <f>$K$1882*$V$1882</f>
        <v>0</v>
      </c>
      <c r="AC1882" s="6">
        <f>$M$1882*$W$1882</f>
        <v>-7508.1758400000008</v>
      </c>
      <c r="AD1882" s="6">
        <f>$O$1882*$X$1882</f>
        <v>-4345.2406799999999</v>
      </c>
      <c r="AE1882" s="6">
        <f>$K$1882*$Y$1882</f>
        <v>0</v>
      </c>
      <c r="AF1882" s="6">
        <f ca="1">$M$1882*$Z$1882</f>
        <v>-8216.1160532759841</v>
      </c>
      <c r="AG1882" s="6">
        <f>$O$1882*$AA$1882</f>
        <v>-5307.9028336351303</v>
      </c>
    </row>
    <row r="1883" spans="1:33" ht="11.25" customHeight="1" x14ac:dyDescent="0.25">
      <c r="A1883" s="4" t="s">
        <v>30</v>
      </c>
      <c r="B1883" s="4" t="s">
        <v>22</v>
      </c>
      <c r="C1883" s="4" t="s">
        <v>23</v>
      </c>
      <c r="D1883" s="4" t="s">
        <v>24</v>
      </c>
      <c r="E1883" s="4" t="s">
        <v>33</v>
      </c>
      <c r="F1883" s="4" t="s">
        <v>25</v>
      </c>
      <c r="G1883" s="4" t="s">
        <v>25</v>
      </c>
      <c r="H1883" s="4" t="s">
        <v>25</v>
      </c>
      <c r="I1883" s="5">
        <v>44287</v>
      </c>
      <c r="J1883" s="6">
        <v>0</v>
      </c>
      <c r="K1883" s="6">
        <v>0</v>
      </c>
      <c r="L1883" s="6">
        <v>0.20200000000000001</v>
      </c>
      <c r="M1883" s="6">
        <v>0.20200000000000001</v>
      </c>
      <c r="N1883" s="6">
        <v>0.20200000000000001</v>
      </c>
      <c r="O1883" s="6">
        <v>0.20200000000000001</v>
      </c>
      <c r="P1883" s="6">
        <v>0</v>
      </c>
      <c r="Q1883" s="4" t="s">
        <v>26</v>
      </c>
      <c r="R1883" s="4">
        <v>0</v>
      </c>
      <c r="S1883" s="6">
        <v>0</v>
      </c>
      <c r="T1883" s="6">
        <v>6</v>
      </c>
      <c r="U1883" s="6">
        <v>52</v>
      </c>
      <c r="V1883" s="6">
        <f>IF(ISERROR(VLOOKUP($S$1883,'TAR FIN'!$A$1:$O$95,15,0)),0,VLOOKUP($S$1883,'TAR FIN'!$A$1:$O$95,15,0))</f>
        <v>0</v>
      </c>
      <c r="W1883" s="6">
        <f>IF(ISERROR(VLOOKUP($T$1883,'TAR FIN'!$A$1:$O$95,15,0)),0,VLOOKUP($T$1883,'TAR FIN'!$A$1:$O$95,15,0))</f>
        <v>378.36</v>
      </c>
      <c r="X1883" s="6">
        <f>IF(ISERROR(VLOOKUP($U$1883,'TAR FIN'!$A$1:$O$95,15,0)),0,VLOOKUP($U$1883,'TAR FIN'!$A$1:$O$95,15,0))</f>
        <v>218.97</v>
      </c>
      <c r="Y1883" s="6"/>
      <c r="Z1883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83" s="6">
        <f>('TE BE'!$AA$16+'TE BF'!$AA$16+'TE CVA'!$AA$16)*(1-CUSTOS!$M$36)</f>
        <v>267.48149736117364</v>
      </c>
      <c r="AB1883" s="6">
        <f>$K$1883*$V$1883</f>
        <v>0</v>
      </c>
      <c r="AC1883" s="6">
        <f>$M$1883*$W$1883</f>
        <v>76.428720000000013</v>
      </c>
      <c r="AD1883" s="6">
        <f>$O$1883*$X$1883</f>
        <v>44.231940000000002</v>
      </c>
      <c r="AE1883" s="6">
        <f>$K$1883*$Y$1883</f>
        <v>0</v>
      </c>
      <c r="AF1883" s="6">
        <f ca="1">$M$1883*$Z$1883</f>
        <v>83.635126121837772</v>
      </c>
      <c r="AG1883" s="6">
        <f>$O$1883*$AA$1883</f>
        <v>54.031262466957081</v>
      </c>
    </row>
    <row r="1884" spans="1:33" ht="11.25" customHeight="1" x14ac:dyDescent="0.25">
      <c r="A1884" s="4" t="s">
        <v>21</v>
      </c>
      <c r="B1884" s="4" t="s">
        <v>22</v>
      </c>
      <c r="C1884" s="4" t="s">
        <v>23</v>
      </c>
      <c r="D1884" s="4" t="s">
        <v>24</v>
      </c>
      <c r="E1884" s="4" t="s">
        <v>33</v>
      </c>
      <c r="F1884" s="4" t="s">
        <v>25</v>
      </c>
      <c r="G1884" s="4" t="s">
        <v>25</v>
      </c>
      <c r="H1884" s="4" t="s">
        <v>25</v>
      </c>
      <c r="I1884" s="5">
        <v>44317</v>
      </c>
      <c r="J1884" s="6">
        <v>0</v>
      </c>
      <c r="K1884" s="6">
        <v>0</v>
      </c>
      <c r="L1884" s="6">
        <v>3425.6179999999999</v>
      </c>
      <c r="M1884" s="6">
        <v>3425.6179999999999</v>
      </c>
      <c r="N1884" s="6">
        <v>3425.6179999999999</v>
      </c>
      <c r="O1884" s="6">
        <v>3425.6179999999999</v>
      </c>
      <c r="P1884" s="6">
        <v>23518</v>
      </c>
      <c r="Q1884" s="4" t="s">
        <v>26</v>
      </c>
      <c r="R1884" s="4">
        <v>0</v>
      </c>
      <c r="S1884" s="6">
        <v>0</v>
      </c>
      <c r="T1884" s="6">
        <v>6</v>
      </c>
      <c r="U1884" s="6">
        <v>52</v>
      </c>
      <c r="V1884" s="6">
        <f>IF(ISERROR(VLOOKUP($S$1884,'TAR FIN'!$A$1:$O$95,15,0)),0,VLOOKUP($S$1884,'TAR FIN'!$A$1:$O$95,15,0))</f>
        <v>0</v>
      </c>
      <c r="W1884" s="6">
        <f>IF(ISERROR(VLOOKUP($T$1884,'TAR FIN'!$A$1:$O$95,15,0)),0,VLOOKUP($T$1884,'TAR FIN'!$A$1:$O$95,15,0))</f>
        <v>378.36</v>
      </c>
      <c r="X1884" s="6">
        <f>IF(ISERROR(VLOOKUP($U$1884,'TAR FIN'!$A$1:$O$95,15,0)),0,VLOOKUP($U$1884,'TAR FIN'!$A$1:$O$95,15,0))</f>
        <v>218.97</v>
      </c>
      <c r="Y1884" s="6"/>
      <c r="Z1884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84" s="6">
        <f>('TE BE'!$AA$16+'TE BF'!$AA$16+'TE CVA'!$AA$16)*(1-CUSTOS!$M$36)</f>
        <v>267.48149736117364</v>
      </c>
      <c r="AB1884" s="6">
        <f>$K$1884*$V$1884</f>
        <v>0</v>
      </c>
      <c r="AC1884" s="6">
        <f>$M$1884*$W$1884</f>
        <v>1296116.82648</v>
      </c>
      <c r="AD1884" s="6">
        <f>$O$1884*$X$1884</f>
        <v>750107.57345999999</v>
      </c>
      <c r="AE1884" s="6">
        <f>$K$1884*$Y$1884</f>
        <v>0</v>
      </c>
      <c r="AF1884" s="6">
        <f ca="1">$M$1884*$Z$1884</f>
        <v>1418326.7003724636</v>
      </c>
      <c r="AG1884" s="6">
        <f>$O$1884*$AA$1884</f>
        <v>916289.43202738895</v>
      </c>
    </row>
    <row r="1885" spans="1:33" ht="11.25" customHeight="1" x14ac:dyDescent="0.25">
      <c r="A1885" s="4" t="s">
        <v>27</v>
      </c>
      <c r="B1885" s="4" t="s">
        <v>22</v>
      </c>
      <c r="C1885" s="4" t="s">
        <v>23</v>
      </c>
      <c r="D1885" s="4" t="s">
        <v>24</v>
      </c>
      <c r="E1885" s="4" t="s">
        <v>33</v>
      </c>
      <c r="F1885" s="4" t="s">
        <v>25</v>
      </c>
      <c r="G1885" s="4" t="s">
        <v>25</v>
      </c>
      <c r="H1885" s="4" t="s">
        <v>25</v>
      </c>
      <c r="I1885" s="5">
        <v>44317</v>
      </c>
      <c r="J1885" s="6">
        <v>0</v>
      </c>
      <c r="K1885" s="6">
        <v>0</v>
      </c>
      <c r="L1885" s="6">
        <v>-7.1070000000000002</v>
      </c>
      <c r="M1885" s="6">
        <v>-7.1070000000000002</v>
      </c>
      <c r="N1885" s="6">
        <v>-7.1070000000000002</v>
      </c>
      <c r="O1885" s="6">
        <v>-7.1070000000000002</v>
      </c>
      <c r="P1885" s="6">
        <v>0</v>
      </c>
      <c r="Q1885" s="4" t="s">
        <v>26</v>
      </c>
      <c r="R1885" s="4">
        <v>0</v>
      </c>
      <c r="S1885" s="6">
        <v>0</v>
      </c>
      <c r="T1885" s="6">
        <v>6</v>
      </c>
      <c r="U1885" s="6">
        <v>52</v>
      </c>
      <c r="V1885" s="6">
        <f>IF(ISERROR(VLOOKUP($S$1885,'TAR FIN'!$A$1:$O$95,15,0)),0,VLOOKUP($S$1885,'TAR FIN'!$A$1:$O$95,15,0))</f>
        <v>0</v>
      </c>
      <c r="W1885" s="6">
        <f>IF(ISERROR(VLOOKUP($T$1885,'TAR FIN'!$A$1:$O$95,15,0)),0,VLOOKUP($T$1885,'TAR FIN'!$A$1:$O$95,15,0))</f>
        <v>378.36</v>
      </c>
      <c r="X1885" s="6">
        <f>IF(ISERROR(VLOOKUP($U$1885,'TAR FIN'!$A$1:$O$95,15,0)),0,VLOOKUP($U$1885,'TAR FIN'!$A$1:$O$95,15,0))</f>
        <v>218.97</v>
      </c>
      <c r="Y1885" s="6"/>
      <c r="Z1885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85" s="6">
        <f>('TE BE'!$AA$16+'TE BF'!$AA$16+'TE CVA'!$AA$16)*(1-CUSTOS!$M$36)</f>
        <v>267.48149736117364</v>
      </c>
      <c r="AB1885" s="6">
        <f>$K$1885*$V$1885</f>
        <v>0</v>
      </c>
      <c r="AC1885" s="6">
        <f>$M$1885*$W$1885</f>
        <v>-2689.00452</v>
      </c>
      <c r="AD1885" s="6">
        <f>$O$1885*$X$1885</f>
        <v>-1556.2197900000001</v>
      </c>
      <c r="AE1885" s="6">
        <f>$K$1885*$Y$1885</f>
        <v>0</v>
      </c>
      <c r="AF1885" s="6">
        <f ca="1">$M$1885*$Z$1885</f>
        <v>-2942.5487195440646</v>
      </c>
      <c r="AG1885" s="6">
        <f>$O$1885*$AA$1885</f>
        <v>-1900.991001745861</v>
      </c>
    </row>
    <row r="1886" spans="1:33" ht="11.25" customHeight="1" x14ac:dyDescent="0.25">
      <c r="A1886" s="4" t="s">
        <v>28</v>
      </c>
      <c r="B1886" s="4" t="s">
        <v>22</v>
      </c>
      <c r="C1886" s="4" t="s">
        <v>23</v>
      </c>
      <c r="D1886" s="4" t="s">
        <v>24</v>
      </c>
      <c r="E1886" s="4" t="s">
        <v>33</v>
      </c>
      <c r="F1886" s="4" t="s">
        <v>25</v>
      </c>
      <c r="G1886" s="4" t="s">
        <v>25</v>
      </c>
      <c r="H1886" s="4" t="s">
        <v>25</v>
      </c>
      <c r="I1886" s="5">
        <v>44317</v>
      </c>
      <c r="J1886" s="6">
        <v>0</v>
      </c>
      <c r="K1886" s="6">
        <v>0</v>
      </c>
      <c r="L1886" s="6">
        <v>5090.8789999999999</v>
      </c>
      <c r="M1886" s="6">
        <v>5090.8789999999999</v>
      </c>
      <c r="N1886" s="6">
        <v>5090.8789999999999</v>
      </c>
      <c r="O1886" s="6">
        <v>5090.8789999999999</v>
      </c>
      <c r="P1886" s="6">
        <v>47544</v>
      </c>
      <c r="Q1886" s="4" t="s">
        <v>26</v>
      </c>
      <c r="R1886" s="4">
        <v>0</v>
      </c>
      <c r="S1886" s="6">
        <v>0</v>
      </c>
      <c r="T1886" s="6">
        <v>6</v>
      </c>
      <c r="U1886" s="6">
        <v>52</v>
      </c>
      <c r="V1886" s="6">
        <f>IF(ISERROR(VLOOKUP($S$1886,'TAR FIN'!$A$1:$O$95,15,0)),0,VLOOKUP($S$1886,'TAR FIN'!$A$1:$O$95,15,0))</f>
        <v>0</v>
      </c>
      <c r="W1886" s="6">
        <f>IF(ISERROR(VLOOKUP($T$1886,'TAR FIN'!$A$1:$O$95,15,0)),0,VLOOKUP($T$1886,'TAR FIN'!$A$1:$O$95,15,0))</f>
        <v>378.36</v>
      </c>
      <c r="X1886" s="6">
        <f>IF(ISERROR(VLOOKUP($U$1886,'TAR FIN'!$A$1:$O$95,15,0)),0,VLOOKUP($U$1886,'TAR FIN'!$A$1:$O$95,15,0))</f>
        <v>218.97</v>
      </c>
      <c r="Y1886" s="6"/>
      <c r="Z1886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86" s="6">
        <f>('TE BE'!$AA$16+'TE BF'!$AA$16+'TE CVA'!$AA$16)*(1-CUSTOS!$M$36)</f>
        <v>267.48149736117364</v>
      </c>
      <c r="AB1886" s="6">
        <f>$K$1886*$V$1886</f>
        <v>0</v>
      </c>
      <c r="AC1886" s="6">
        <f>$M$1886*$W$1886</f>
        <v>1926184.97844</v>
      </c>
      <c r="AD1886" s="6">
        <f>$O$1886*$X$1886</f>
        <v>1114749.7746299999</v>
      </c>
      <c r="AE1886" s="6">
        <f>$K$1886*$Y$1886</f>
        <v>0</v>
      </c>
      <c r="AF1886" s="6">
        <f ca="1">$M$1886*$Z$1886</f>
        <v>2107803.5011683926</v>
      </c>
      <c r="AG1886" s="6">
        <f>$O$1886*$AA$1886</f>
        <v>1361715.9378045544</v>
      </c>
    </row>
    <row r="1887" spans="1:33" ht="11.25" customHeight="1" x14ac:dyDescent="0.25">
      <c r="A1887" s="4" t="s">
        <v>29</v>
      </c>
      <c r="B1887" s="4" t="s">
        <v>22</v>
      </c>
      <c r="C1887" s="4" t="s">
        <v>23</v>
      </c>
      <c r="D1887" s="4" t="s">
        <v>24</v>
      </c>
      <c r="E1887" s="4" t="s">
        <v>33</v>
      </c>
      <c r="F1887" s="4" t="s">
        <v>25</v>
      </c>
      <c r="G1887" s="4" t="s">
        <v>25</v>
      </c>
      <c r="H1887" s="4" t="s">
        <v>25</v>
      </c>
      <c r="I1887" s="5">
        <v>44317</v>
      </c>
      <c r="J1887" s="6">
        <v>0</v>
      </c>
      <c r="K1887" s="6">
        <v>0</v>
      </c>
      <c r="L1887" s="6">
        <v>-18.498000000000001</v>
      </c>
      <c r="M1887" s="6">
        <v>-18.498000000000001</v>
      </c>
      <c r="N1887" s="6">
        <v>-18.498000000000001</v>
      </c>
      <c r="O1887" s="6">
        <v>-18.498000000000001</v>
      </c>
      <c r="P1887" s="6">
        <v>0</v>
      </c>
      <c r="Q1887" s="4" t="s">
        <v>26</v>
      </c>
      <c r="R1887" s="4">
        <v>0</v>
      </c>
      <c r="S1887" s="6">
        <v>0</v>
      </c>
      <c r="T1887" s="6">
        <v>6</v>
      </c>
      <c r="U1887" s="6">
        <v>52</v>
      </c>
      <c r="V1887" s="6">
        <f>IF(ISERROR(VLOOKUP($S$1887,'TAR FIN'!$A$1:$O$95,15,0)),0,VLOOKUP($S$1887,'TAR FIN'!$A$1:$O$95,15,0))</f>
        <v>0</v>
      </c>
      <c r="W1887" s="6">
        <f>IF(ISERROR(VLOOKUP($T$1887,'TAR FIN'!$A$1:$O$95,15,0)),0,VLOOKUP($T$1887,'TAR FIN'!$A$1:$O$95,15,0))</f>
        <v>378.36</v>
      </c>
      <c r="X1887" s="6">
        <f>IF(ISERROR(VLOOKUP($U$1887,'TAR FIN'!$A$1:$O$95,15,0)),0,VLOOKUP($U$1887,'TAR FIN'!$A$1:$O$95,15,0))</f>
        <v>218.97</v>
      </c>
      <c r="Y1887" s="6"/>
      <c r="Z1887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87" s="6">
        <f>('TE BE'!$AA$16+'TE BF'!$AA$16+'TE CVA'!$AA$16)*(1-CUSTOS!$M$36)</f>
        <v>267.48149736117364</v>
      </c>
      <c r="AB1887" s="6">
        <f>$K$1887*$V$1887</f>
        <v>0</v>
      </c>
      <c r="AC1887" s="6">
        <f>$M$1887*$W$1887</f>
        <v>-6998.9032800000004</v>
      </c>
      <c r="AD1887" s="6">
        <f>$O$1887*$X$1887</f>
        <v>-4050.5070600000004</v>
      </c>
      <c r="AE1887" s="6">
        <f>$K$1887*$Y$1887</f>
        <v>0</v>
      </c>
      <c r="AF1887" s="6">
        <f ca="1">$M$1887*$Z$1887</f>
        <v>-7658.8245693156196</v>
      </c>
      <c r="AG1887" s="6">
        <f>$O$1887*$AA$1887</f>
        <v>-4947.8727381869903</v>
      </c>
    </row>
    <row r="1888" spans="1:33" ht="11.25" customHeight="1" x14ac:dyDescent="0.25">
      <c r="A1888" s="4" t="s">
        <v>30</v>
      </c>
      <c r="B1888" s="4" t="s">
        <v>22</v>
      </c>
      <c r="C1888" s="4" t="s">
        <v>23</v>
      </c>
      <c r="D1888" s="4" t="s">
        <v>24</v>
      </c>
      <c r="E1888" s="4" t="s">
        <v>33</v>
      </c>
      <c r="F1888" s="4" t="s">
        <v>25</v>
      </c>
      <c r="G1888" s="4" t="s">
        <v>25</v>
      </c>
      <c r="H1888" s="4" t="s">
        <v>25</v>
      </c>
      <c r="I1888" s="5">
        <v>44317</v>
      </c>
      <c r="J1888" s="6">
        <v>0</v>
      </c>
      <c r="K1888" s="6">
        <v>0</v>
      </c>
      <c r="L1888" s="6">
        <v>0.36</v>
      </c>
      <c r="M1888" s="6">
        <v>0.36</v>
      </c>
      <c r="N1888" s="6">
        <v>0.36</v>
      </c>
      <c r="O1888" s="6">
        <v>0.36</v>
      </c>
      <c r="P1888" s="6">
        <v>0</v>
      </c>
      <c r="Q1888" s="4" t="s">
        <v>26</v>
      </c>
      <c r="R1888" s="4">
        <v>0</v>
      </c>
      <c r="S1888" s="6">
        <v>0</v>
      </c>
      <c r="T1888" s="6">
        <v>6</v>
      </c>
      <c r="U1888" s="6">
        <v>52</v>
      </c>
      <c r="V1888" s="6">
        <f>IF(ISERROR(VLOOKUP($S$1888,'TAR FIN'!$A$1:$O$95,15,0)),0,VLOOKUP($S$1888,'TAR FIN'!$A$1:$O$95,15,0))</f>
        <v>0</v>
      </c>
      <c r="W1888" s="6">
        <f>IF(ISERROR(VLOOKUP($T$1888,'TAR FIN'!$A$1:$O$95,15,0)),0,VLOOKUP($T$1888,'TAR FIN'!$A$1:$O$95,15,0))</f>
        <v>378.36</v>
      </c>
      <c r="X1888" s="6">
        <f>IF(ISERROR(VLOOKUP($U$1888,'TAR FIN'!$A$1:$O$95,15,0)),0,VLOOKUP($U$1888,'TAR FIN'!$A$1:$O$95,15,0))</f>
        <v>218.97</v>
      </c>
      <c r="Y1888" s="6"/>
      <c r="Z1888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88" s="6">
        <f>('TE BE'!$AA$16+'TE BF'!$AA$16+'TE CVA'!$AA$16)*(1-CUSTOS!$M$36)</f>
        <v>267.48149736117364</v>
      </c>
      <c r="AB1888" s="6">
        <f>$K$1888*$V$1888</f>
        <v>0</v>
      </c>
      <c r="AC1888" s="6">
        <f>$M$1888*$W$1888</f>
        <v>136.20959999999999</v>
      </c>
      <c r="AD1888" s="6">
        <f>$O$1888*$X$1888</f>
        <v>78.8292</v>
      </c>
      <c r="AE1888" s="6">
        <f>$K$1888*$Y$1888</f>
        <v>0</v>
      </c>
      <c r="AF1888" s="6">
        <f ca="1">$M$1888*$Z$1888</f>
        <v>149.0527000191168</v>
      </c>
      <c r="AG1888" s="6">
        <f>$O$1888*$AA$1888</f>
        <v>96.29333905002251</v>
      </c>
    </row>
    <row r="1889" spans="1:33" ht="11.25" customHeight="1" x14ac:dyDescent="0.25">
      <c r="A1889" s="4" t="s">
        <v>30</v>
      </c>
      <c r="B1889" s="4" t="s">
        <v>22</v>
      </c>
      <c r="C1889" s="4" t="s">
        <v>23</v>
      </c>
      <c r="D1889" s="4" t="s">
        <v>24</v>
      </c>
      <c r="E1889" s="4" t="s">
        <v>33</v>
      </c>
      <c r="F1889" s="4" t="s">
        <v>25</v>
      </c>
      <c r="G1889" s="4" t="s">
        <v>25</v>
      </c>
      <c r="H1889" s="4" t="s">
        <v>25</v>
      </c>
      <c r="I1889" s="5">
        <v>44317</v>
      </c>
      <c r="J1889" s="6">
        <v>0</v>
      </c>
      <c r="K1889" s="6">
        <v>0</v>
      </c>
      <c r="L1889" s="6">
        <v>-8.2000000000000003E-2</v>
      </c>
      <c r="M1889" s="6">
        <v>-8.2000000000000003E-2</v>
      </c>
      <c r="N1889" s="6">
        <v>-8.2000000000000003E-2</v>
      </c>
      <c r="O1889" s="6">
        <v>-8.2000000000000003E-2</v>
      </c>
      <c r="P1889" s="6">
        <v>0</v>
      </c>
      <c r="Q1889" s="4" t="s">
        <v>26</v>
      </c>
      <c r="R1889" s="4">
        <v>0</v>
      </c>
      <c r="S1889" s="6">
        <v>0</v>
      </c>
      <c r="T1889" s="6">
        <v>6</v>
      </c>
      <c r="U1889" s="6">
        <v>52</v>
      </c>
      <c r="V1889" s="6">
        <f>IF(ISERROR(VLOOKUP($S$1889,'TAR FIN'!$A$1:$O$95,15,0)),0,VLOOKUP($S$1889,'TAR FIN'!$A$1:$O$95,15,0))</f>
        <v>0</v>
      </c>
      <c r="W1889" s="6">
        <f>IF(ISERROR(VLOOKUP($T$1889,'TAR FIN'!$A$1:$O$95,15,0)),0,VLOOKUP($T$1889,'TAR FIN'!$A$1:$O$95,15,0))</f>
        <v>378.36</v>
      </c>
      <c r="X1889" s="6">
        <f>IF(ISERROR(VLOOKUP($U$1889,'TAR FIN'!$A$1:$O$95,15,0)),0,VLOOKUP($U$1889,'TAR FIN'!$A$1:$O$95,15,0))</f>
        <v>218.97</v>
      </c>
      <c r="Y1889" s="6"/>
      <c r="Z1889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89" s="6">
        <f>('TE BE'!$AA$16+'TE BF'!$AA$16+'TE CVA'!$AA$16)*(1-CUSTOS!$M$36)</f>
        <v>267.48149736117364</v>
      </c>
      <c r="AB1889" s="6">
        <f>$K$1889*$V$1889</f>
        <v>0</v>
      </c>
      <c r="AC1889" s="6">
        <f>$M$1889*$W$1889</f>
        <v>-31.025520000000004</v>
      </c>
      <c r="AD1889" s="6">
        <f>$O$1889*$X$1889</f>
        <v>-17.955539999999999</v>
      </c>
      <c r="AE1889" s="6">
        <f>$K$1889*$Y$1889</f>
        <v>0</v>
      </c>
      <c r="AF1889" s="6">
        <f ca="1">$M$1889*$Z$1889</f>
        <v>-33.950892782132165</v>
      </c>
      <c r="AG1889" s="6">
        <f>$O$1889*$AA$1889</f>
        <v>-21.933482783616238</v>
      </c>
    </row>
    <row r="1890" spans="1:33" ht="11.25" customHeight="1" x14ac:dyDescent="0.25">
      <c r="A1890" s="4" t="s">
        <v>21</v>
      </c>
      <c r="B1890" s="4" t="s">
        <v>22</v>
      </c>
      <c r="C1890" s="4" t="s">
        <v>23</v>
      </c>
      <c r="D1890" s="4" t="s">
        <v>24</v>
      </c>
      <c r="E1890" s="4" t="s">
        <v>33</v>
      </c>
      <c r="F1890" s="4" t="s">
        <v>25</v>
      </c>
      <c r="G1890" s="4" t="s">
        <v>25</v>
      </c>
      <c r="H1890" s="4" t="s">
        <v>25</v>
      </c>
      <c r="I1890" s="5">
        <v>44348</v>
      </c>
      <c r="J1890" s="6">
        <v>0</v>
      </c>
      <c r="K1890" s="6">
        <v>0</v>
      </c>
      <c r="L1890" s="6">
        <v>3776.489</v>
      </c>
      <c r="M1890" s="6">
        <v>3776.489</v>
      </c>
      <c r="N1890" s="6">
        <v>3776.489</v>
      </c>
      <c r="O1890" s="6">
        <v>3776.489</v>
      </c>
      <c r="P1890" s="6">
        <v>22898</v>
      </c>
      <c r="Q1890" s="4" t="s">
        <v>26</v>
      </c>
      <c r="R1890" s="4">
        <v>0</v>
      </c>
      <c r="S1890" s="6">
        <v>0</v>
      </c>
      <c r="T1890" s="6">
        <v>6</v>
      </c>
      <c r="U1890" s="6">
        <v>52</v>
      </c>
      <c r="V1890" s="6">
        <f>IF(ISERROR(VLOOKUP($S$1890,'TAR FIN'!$A$1:$O$95,15,0)),0,VLOOKUP($S$1890,'TAR FIN'!$A$1:$O$95,15,0))</f>
        <v>0</v>
      </c>
      <c r="W1890" s="6">
        <f>IF(ISERROR(VLOOKUP($T$1890,'TAR FIN'!$A$1:$O$95,15,0)),0,VLOOKUP($T$1890,'TAR FIN'!$A$1:$O$95,15,0))</f>
        <v>378.36</v>
      </c>
      <c r="X1890" s="6">
        <f>IF(ISERROR(VLOOKUP($U$1890,'TAR FIN'!$A$1:$O$95,15,0)),0,VLOOKUP($U$1890,'TAR FIN'!$A$1:$O$95,15,0))</f>
        <v>218.97</v>
      </c>
      <c r="Y1890" s="6"/>
      <c r="Z1890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90" s="6">
        <f>('TE BE'!$AA$16+'TE BF'!$AA$16+'TE CVA'!$AA$16)*(1-CUSTOS!$M$36)</f>
        <v>267.48149736117364</v>
      </c>
      <c r="AB1890" s="6">
        <f>$K$1890*$V$1890</f>
        <v>0</v>
      </c>
      <c r="AC1890" s="6">
        <f>$M$1890*$W$1890</f>
        <v>1428872.3780400001</v>
      </c>
      <c r="AD1890" s="6">
        <f>$O$1890*$X$1890</f>
        <v>826937.79633000004</v>
      </c>
      <c r="AE1890" s="6">
        <f>$K$1890*$Y$1890</f>
        <v>0</v>
      </c>
      <c r="AF1890" s="6">
        <f ca="1">$M$1890*$Z$1890</f>
        <v>1563599.6723402622</v>
      </c>
      <c r="AG1890" s="6">
        <f>$O$1890*$AA$1890</f>
        <v>1010140.9324880013</v>
      </c>
    </row>
    <row r="1891" spans="1:33" ht="11.25" customHeight="1" x14ac:dyDescent="0.25">
      <c r="A1891" s="4" t="s">
        <v>27</v>
      </c>
      <c r="B1891" s="4" t="s">
        <v>22</v>
      </c>
      <c r="C1891" s="4" t="s">
        <v>23</v>
      </c>
      <c r="D1891" s="4" t="s">
        <v>24</v>
      </c>
      <c r="E1891" s="4" t="s">
        <v>33</v>
      </c>
      <c r="F1891" s="4" t="s">
        <v>25</v>
      </c>
      <c r="G1891" s="4" t="s">
        <v>25</v>
      </c>
      <c r="H1891" s="4" t="s">
        <v>25</v>
      </c>
      <c r="I1891" s="5">
        <v>44348</v>
      </c>
      <c r="J1891" s="6">
        <v>0</v>
      </c>
      <c r="K1891" s="6">
        <v>0</v>
      </c>
      <c r="L1891" s="6">
        <v>-10.093</v>
      </c>
      <c r="M1891" s="6">
        <v>-10.093</v>
      </c>
      <c r="N1891" s="6">
        <v>-10.093</v>
      </c>
      <c r="O1891" s="6">
        <v>-10.093</v>
      </c>
      <c r="P1891" s="6">
        <v>0</v>
      </c>
      <c r="Q1891" s="4" t="s">
        <v>26</v>
      </c>
      <c r="R1891" s="4">
        <v>0</v>
      </c>
      <c r="S1891" s="6">
        <v>0</v>
      </c>
      <c r="T1891" s="6">
        <v>6</v>
      </c>
      <c r="U1891" s="6">
        <v>52</v>
      </c>
      <c r="V1891" s="6">
        <f>IF(ISERROR(VLOOKUP($S$1891,'TAR FIN'!$A$1:$O$95,15,0)),0,VLOOKUP($S$1891,'TAR FIN'!$A$1:$O$95,15,0))</f>
        <v>0</v>
      </c>
      <c r="W1891" s="6">
        <f>IF(ISERROR(VLOOKUP($T$1891,'TAR FIN'!$A$1:$O$95,15,0)),0,VLOOKUP($T$1891,'TAR FIN'!$A$1:$O$95,15,0))</f>
        <v>378.36</v>
      </c>
      <c r="X1891" s="6">
        <f>IF(ISERROR(VLOOKUP($U$1891,'TAR FIN'!$A$1:$O$95,15,0)),0,VLOOKUP($U$1891,'TAR FIN'!$A$1:$O$95,15,0))</f>
        <v>218.97</v>
      </c>
      <c r="Y1891" s="6"/>
      <c r="Z1891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91" s="6">
        <f>('TE BE'!$AA$16+'TE BF'!$AA$16+'TE CVA'!$AA$16)*(1-CUSTOS!$M$36)</f>
        <v>267.48149736117364</v>
      </c>
      <c r="AB1891" s="6">
        <f>$K$1891*$V$1891</f>
        <v>0</v>
      </c>
      <c r="AC1891" s="6">
        <f>$M$1891*$W$1891</f>
        <v>-3818.78748</v>
      </c>
      <c r="AD1891" s="6">
        <f>$O$1891*$X$1891</f>
        <v>-2210.06421</v>
      </c>
      <c r="AE1891" s="6">
        <f>$K$1891*$Y$1891</f>
        <v>0</v>
      </c>
      <c r="AF1891" s="6">
        <f ca="1">$M$1891*$Z$1891</f>
        <v>-4178.8580591470718</v>
      </c>
      <c r="AG1891" s="6">
        <f>$O$1891*$AA$1891</f>
        <v>-2699.6907528663255</v>
      </c>
    </row>
    <row r="1892" spans="1:33" ht="11.25" customHeight="1" x14ac:dyDescent="0.25">
      <c r="A1892" s="4" t="s">
        <v>28</v>
      </c>
      <c r="B1892" s="4" t="s">
        <v>22</v>
      </c>
      <c r="C1892" s="4" t="s">
        <v>23</v>
      </c>
      <c r="D1892" s="4" t="s">
        <v>24</v>
      </c>
      <c r="E1892" s="4" t="s">
        <v>33</v>
      </c>
      <c r="F1892" s="4" t="s">
        <v>25</v>
      </c>
      <c r="G1892" s="4" t="s">
        <v>25</v>
      </c>
      <c r="H1892" s="4" t="s">
        <v>25</v>
      </c>
      <c r="I1892" s="5">
        <v>44348</v>
      </c>
      <c r="J1892" s="6">
        <v>0</v>
      </c>
      <c r="K1892" s="6">
        <v>0</v>
      </c>
      <c r="L1892" s="6">
        <v>5385.8019999999997</v>
      </c>
      <c r="M1892" s="6">
        <v>5385.8019999999997</v>
      </c>
      <c r="N1892" s="6">
        <v>5385.8019999999997</v>
      </c>
      <c r="O1892" s="6">
        <v>5385.8019999999997</v>
      </c>
      <c r="P1892" s="6">
        <v>47978</v>
      </c>
      <c r="Q1892" s="4" t="s">
        <v>26</v>
      </c>
      <c r="R1892" s="4">
        <v>0</v>
      </c>
      <c r="S1892" s="6">
        <v>0</v>
      </c>
      <c r="T1892" s="6">
        <v>6</v>
      </c>
      <c r="U1892" s="6">
        <v>52</v>
      </c>
      <c r="V1892" s="6">
        <f>IF(ISERROR(VLOOKUP($S$1892,'TAR FIN'!$A$1:$O$95,15,0)),0,VLOOKUP($S$1892,'TAR FIN'!$A$1:$O$95,15,0))</f>
        <v>0</v>
      </c>
      <c r="W1892" s="6">
        <f>IF(ISERROR(VLOOKUP($T$1892,'TAR FIN'!$A$1:$O$95,15,0)),0,VLOOKUP($T$1892,'TAR FIN'!$A$1:$O$95,15,0))</f>
        <v>378.36</v>
      </c>
      <c r="X1892" s="6">
        <f>IF(ISERROR(VLOOKUP($U$1892,'TAR FIN'!$A$1:$O$95,15,0)),0,VLOOKUP($U$1892,'TAR FIN'!$A$1:$O$95,15,0))</f>
        <v>218.97</v>
      </c>
      <c r="Y1892" s="6"/>
      <c r="Z1892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92" s="6">
        <f>('TE BE'!$AA$16+'TE BF'!$AA$16+'TE CVA'!$AA$16)*(1-CUSTOS!$M$36)</f>
        <v>267.48149736117364</v>
      </c>
      <c r="AB1892" s="6">
        <f>$K$1892*$V$1892</f>
        <v>0</v>
      </c>
      <c r="AC1892" s="6">
        <f>$M$1892*$W$1892</f>
        <v>2037772.0447199999</v>
      </c>
      <c r="AD1892" s="6">
        <f>$O$1892*$X$1892</f>
        <v>1179329.06394</v>
      </c>
      <c r="AE1892" s="6">
        <f>$K$1892*$Y$1892</f>
        <v>0</v>
      </c>
      <c r="AF1892" s="6">
        <f ca="1">$M$1892*$Z$1892</f>
        <v>2229912.0274121091</v>
      </c>
      <c r="AG1892" s="6">
        <f>$O$1892*$AA$1892</f>
        <v>1440602.3834508036</v>
      </c>
    </row>
    <row r="1893" spans="1:33" ht="11.25" customHeight="1" x14ac:dyDescent="0.25">
      <c r="A1893" s="4" t="s">
        <v>29</v>
      </c>
      <c r="B1893" s="4" t="s">
        <v>22</v>
      </c>
      <c r="C1893" s="4" t="s">
        <v>23</v>
      </c>
      <c r="D1893" s="4" t="s">
        <v>24</v>
      </c>
      <c r="E1893" s="4" t="s">
        <v>33</v>
      </c>
      <c r="F1893" s="4" t="s">
        <v>25</v>
      </c>
      <c r="G1893" s="4" t="s">
        <v>25</v>
      </c>
      <c r="H1893" s="4" t="s">
        <v>25</v>
      </c>
      <c r="I1893" s="5">
        <v>44348</v>
      </c>
      <c r="J1893" s="6">
        <v>0</v>
      </c>
      <c r="K1893" s="6">
        <v>0</v>
      </c>
      <c r="L1893" s="6">
        <v>-13.67</v>
      </c>
      <c r="M1893" s="6">
        <v>-13.67</v>
      </c>
      <c r="N1893" s="6">
        <v>-13.67</v>
      </c>
      <c r="O1893" s="6">
        <v>-13.67</v>
      </c>
      <c r="P1893" s="6">
        <v>0</v>
      </c>
      <c r="Q1893" s="4" t="s">
        <v>26</v>
      </c>
      <c r="R1893" s="4">
        <v>0</v>
      </c>
      <c r="S1893" s="6">
        <v>0</v>
      </c>
      <c r="T1893" s="6">
        <v>6</v>
      </c>
      <c r="U1893" s="6">
        <v>52</v>
      </c>
      <c r="V1893" s="6">
        <f>IF(ISERROR(VLOOKUP($S$1893,'TAR FIN'!$A$1:$O$95,15,0)),0,VLOOKUP($S$1893,'TAR FIN'!$A$1:$O$95,15,0))</f>
        <v>0</v>
      </c>
      <c r="W1893" s="6">
        <f>IF(ISERROR(VLOOKUP($T$1893,'TAR FIN'!$A$1:$O$95,15,0)),0,VLOOKUP($T$1893,'TAR FIN'!$A$1:$O$95,15,0))</f>
        <v>378.36</v>
      </c>
      <c r="X1893" s="6">
        <f>IF(ISERROR(VLOOKUP($U$1893,'TAR FIN'!$A$1:$O$95,15,0)),0,VLOOKUP($U$1893,'TAR FIN'!$A$1:$O$95,15,0))</f>
        <v>218.97</v>
      </c>
      <c r="Y1893" s="6"/>
      <c r="Z1893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93" s="6">
        <f>('TE BE'!$AA$16+'TE BF'!$AA$16+'TE CVA'!$AA$16)*(1-CUSTOS!$M$36)</f>
        <v>267.48149736117364</v>
      </c>
      <c r="AB1893" s="6">
        <f>$K$1893*$V$1893</f>
        <v>0</v>
      </c>
      <c r="AC1893" s="6">
        <f>$M$1893*$W$1893</f>
        <v>-5172.1812</v>
      </c>
      <c r="AD1893" s="6">
        <f>$O$1893*$X$1893</f>
        <v>-2993.3199</v>
      </c>
      <c r="AE1893" s="6">
        <f>$K$1893*$Y$1893</f>
        <v>0</v>
      </c>
      <c r="AF1893" s="6">
        <f ca="1">$M$1893*$Z$1893</f>
        <v>-5659.8622479481301</v>
      </c>
      <c r="AG1893" s="6">
        <f>$O$1893*$AA$1893</f>
        <v>-3656.4720689272435</v>
      </c>
    </row>
    <row r="1894" spans="1:33" ht="11.25" customHeight="1" x14ac:dyDescent="0.25">
      <c r="A1894" s="4" t="s">
        <v>30</v>
      </c>
      <c r="B1894" s="4" t="s">
        <v>22</v>
      </c>
      <c r="C1894" s="4" t="s">
        <v>23</v>
      </c>
      <c r="D1894" s="4" t="s">
        <v>24</v>
      </c>
      <c r="E1894" s="4" t="s">
        <v>33</v>
      </c>
      <c r="F1894" s="4" t="s">
        <v>25</v>
      </c>
      <c r="G1894" s="4" t="s">
        <v>25</v>
      </c>
      <c r="H1894" s="4" t="s">
        <v>25</v>
      </c>
      <c r="I1894" s="5">
        <v>44348</v>
      </c>
      <c r="J1894" s="6">
        <v>0</v>
      </c>
      <c r="K1894" s="6">
        <v>0</v>
      </c>
      <c r="L1894" s="6">
        <v>0.48</v>
      </c>
      <c r="M1894" s="6">
        <v>0.48</v>
      </c>
      <c r="N1894" s="6">
        <v>0.48</v>
      </c>
      <c r="O1894" s="6">
        <v>0.48</v>
      </c>
      <c r="P1894" s="6">
        <v>0</v>
      </c>
      <c r="Q1894" s="4" t="s">
        <v>26</v>
      </c>
      <c r="R1894" s="4">
        <v>0</v>
      </c>
      <c r="S1894" s="6">
        <v>0</v>
      </c>
      <c r="T1894" s="6">
        <v>6</v>
      </c>
      <c r="U1894" s="6">
        <v>52</v>
      </c>
      <c r="V1894" s="6">
        <f>IF(ISERROR(VLOOKUP($S$1894,'TAR FIN'!$A$1:$O$95,15,0)),0,VLOOKUP($S$1894,'TAR FIN'!$A$1:$O$95,15,0))</f>
        <v>0</v>
      </c>
      <c r="W1894" s="6">
        <f>IF(ISERROR(VLOOKUP($T$1894,'TAR FIN'!$A$1:$O$95,15,0)),0,VLOOKUP($T$1894,'TAR FIN'!$A$1:$O$95,15,0))</f>
        <v>378.36</v>
      </c>
      <c r="X1894" s="6">
        <f>IF(ISERROR(VLOOKUP($U$1894,'TAR FIN'!$A$1:$O$95,15,0)),0,VLOOKUP($U$1894,'TAR FIN'!$A$1:$O$95,15,0))</f>
        <v>218.97</v>
      </c>
      <c r="Y1894" s="6"/>
      <c r="Z1894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94" s="6">
        <f>('TE BE'!$AA$16+'TE BF'!$AA$16+'TE CVA'!$AA$16)*(1-CUSTOS!$M$36)</f>
        <v>267.48149736117364</v>
      </c>
      <c r="AB1894" s="6">
        <f>$K$1894*$V$1894</f>
        <v>0</v>
      </c>
      <c r="AC1894" s="6">
        <f>$M$1894*$W$1894</f>
        <v>181.61279999999999</v>
      </c>
      <c r="AD1894" s="6">
        <f>$O$1894*$X$1894</f>
        <v>105.1056</v>
      </c>
      <c r="AE1894" s="6">
        <f>$K$1894*$Y$1894</f>
        <v>0</v>
      </c>
      <c r="AF1894" s="6">
        <f ca="1">$M$1894*$Z$1894</f>
        <v>198.7369333588224</v>
      </c>
      <c r="AG1894" s="6">
        <f>$O$1894*$AA$1894</f>
        <v>128.39111873336333</v>
      </c>
    </row>
    <row r="1895" spans="1:33" ht="11.25" customHeight="1" x14ac:dyDescent="0.25">
      <c r="A1895" s="4" t="s">
        <v>21</v>
      </c>
      <c r="B1895" s="4" t="s">
        <v>22</v>
      </c>
      <c r="C1895" s="4" t="s">
        <v>23</v>
      </c>
      <c r="D1895" s="4" t="s">
        <v>24</v>
      </c>
      <c r="E1895" s="4" t="s">
        <v>33</v>
      </c>
      <c r="F1895" s="4" t="s">
        <v>25</v>
      </c>
      <c r="G1895" s="4" t="s">
        <v>25</v>
      </c>
      <c r="H1895" s="4" t="s">
        <v>25</v>
      </c>
      <c r="I1895" s="5">
        <v>44378</v>
      </c>
      <c r="J1895" s="6">
        <v>0</v>
      </c>
      <c r="K1895" s="6">
        <v>0</v>
      </c>
      <c r="L1895" s="6">
        <v>3521.1669999999999</v>
      </c>
      <c r="M1895" s="6">
        <v>3521.1669999999999</v>
      </c>
      <c r="N1895" s="6">
        <v>3521.1669999999999</v>
      </c>
      <c r="O1895" s="6">
        <v>3521.1669999999999</v>
      </c>
      <c r="P1895" s="6">
        <v>23479</v>
      </c>
      <c r="Q1895" s="4" t="s">
        <v>26</v>
      </c>
      <c r="R1895" s="4">
        <v>0</v>
      </c>
      <c r="S1895" s="6">
        <v>0</v>
      </c>
      <c r="T1895" s="6">
        <v>6</v>
      </c>
      <c r="U1895" s="6">
        <v>52</v>
      </c>
      <c r="V1895" s="6">
        <f>IF(ISERROR(VLOOKUP($S$1895,'TAR FIN'!$A$1:$O$95,15,0)),0,VLOOKUP($S$1895,'TAR FIN'!$A$1:$O$95,15,0))</f>
        <v>0</v>
      </c>
      <c r="W1895" s="6">
        <f>IF(ISERROR(VLOOKUP($T$1895,'TAR FIN'!$A$1:$O$95,15,0)),0,VLOOKUP($T$1895,'TAR FIN'!$A$1:$O$95,15,0))</f>
        <v>378.36</v>
      </c>
      <c r="X1895" s="6">
        <f>IF(ISERROR(VLOOKUP($U$1895,'TAR FIN'!$A$1:$O$95,15,0)),0,VLOOKUP($U$1895,'TAR FIN'!$A$1:$O$95,15,0))</f>
        <v>218.97</v>
      </c>
      <c r="Y1895" s="6"/>
      <c r="Z1895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95" s="6">
        <f>('TE BE'!$AA$16+'TE BF'!$AA$16+'TE CVA'!$AA$16)*(1-CUSTOS!$M$36)</f>
        <v>267.48149736117364</v>
      </c>
      <c r="AB1895" s="6">
        <f>$K$1895*$V$1895</f>
        <v>0</v>
      </c>
      <c r="AC1895" s="6">
        <f>$M$1895*$W$1895</f>
        <v>1332268.74612</v>
      </c>
      <c r="AD1895" s="6">
        <f>$O$1895*$X$1895</f>
        <v>771029.93799000001</v>
      </c>
      <c r="AE1895" s="6">
        <f>$K$1895*$Y$1895</f>
        <v>0</v>
      </c>
      <c r="AF1895" s="6">
        <f ca="1">$M$1895*$Z$1895</f>
        <v>1457887.3571339264</v>
      </c>
      <c r="AG1895" s="6">
        <f>$O$1895*$AA$1895</f>
        <v>941847.02161875169</v>
      </c>
    </row>
    <row r="1896" spans="1:33" ht="11.25" customHeight="1" x14ac:dyDescent="0.25">
      <c r="A1896" s="4" t="s">
        <v>27</v>
      </c>
      <c r="B1896" s="4" t="s">
        <v>22</v>
      </c>
      <c r="C1896" s="4" t="s">
        <v>23</v>
      </c>
      <c r="D1896" s="4" t="s">
        <v>24</v>
      </c>
      <c r="E1896" s="4" t="s">
        <v>33</v>
      </c>
      <c r="F1896" s="4" t="s">
        <v>25</v>
      </c>
      <c r="G1896" s="4" t="s">
        <v>25</v>
      </c>
      <c r="H1896" s="4" t="s">
        <v>25</v>
      </c>
      <c r="I1896" s="5">
        <v>44378</v>
      </c>
      <c r="J1896" s="6">
        <v>0</v>
      </c>
      <c r="K1896" s="6">
        <v>0</v>
      </c>
      <c r="L1896" s="6">
        <v>-21.87</v>
      </c>
      <c r="M1896" s="6">
        <v>-21.87</v>
      </c>
      <c r="N1896" s="6">
        <v>-21.87</v>
      </c>
      <c r="O1896" s="6">
        <v>-21.87</v>
      </c>
      <c r="P1896" s="6">
        <v>0</v>
      </c>
      <c r="Q1896" s="4" t="s">
        <v>26</v>
      </c>
      <c r="R1896" s="4">
        <v>0</v>
      </c>
      <c r="S1896" s="6">
        <v>0</v>
      </c>
      <c r="T1896" s="6">
        <v>6</v>
      </c>
      <c r="U1896" s="6">
        <v>52</v>
      </c>
      <c r="V1896" s="6">
        <f>IF(ISERROR(VLOOKUP($S$1896,'TAR FIN'!$A$1:$O$95,15,0)),0,VLOOKUP($S$1896,'TAR FIN'!$A$1:$O$95,15,0))</f>
        <v>0</v>
      </c>
      <c r="W1896" s="6">
        <f>IF(ISERROR(VLOOKUP($T$1896,'TAR FIN'!$A$1:$O$95,15,0)),0,VLOOKUP($T$1896,'TAR FIN'!$A$1:$O$95,15,0))</f>
        <v>378.36</v>
      </c>
      <c r="X1896" s="6">
        <f>IF(ISERROR(VLOOKUP($U$1896,'TAR FIN'!$A$1:$O$95,15,0)),0,VLOOKUP($U$1896,'TAR FIN'!$A$1:$O$95,15,0))</f>
        <v>218.97</v>
      </c>
      <c r="Y1896" s="6"/>
      <c r="Z1896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96" s="6">
        <f>('TE BE'!$AA$16+'TE BF'!$AA$16+'TE CVA'!$AA$16)*(1-CUSTOS!$M$36)</f>
        <v>267.48149736117364</v>
      </c>
      <c r="AB1896" s="6">
        <f>$K$1896*$V$1896</f>
        <v>0</v>
      </c>
      <c r="AC1896" s="6">
        <f>$M$1896*$W$1896</f>
        <v>-8274.7332000000006</v>
      </c>
      <c r="AD1896" s="6">
        <f>$O$1896*$X$1896</f>
        <v>-4788.8739000000005</v>
      </c>
      <c r="AE1896" s="6">
        <f>$K$1896*$Y$1896</f>
        <v>0</v>
      </c>
      <c r="AF1896" s="6">
        <f ca="1">$M$1896*$Z$1896</f>
        <v>-9054.9515261613469</v>
      </c>
      <c r="AG1896" s="6">
        <f>$O$1896*$AA$1896</f>
        <v>-5849.8203472888681</v>
      </c>
    </row>
    <row r="1897" spans="1:33" ht="11.25" customHeight="1" x14ac:dyDescent="0.25">
      <c r="A1897" s="4" t="s">
        <v>28</v>
      </c>
      <c r="B1897" s="4" t="s">
        <v>22</v>
      </c>
      <c r="C1897" s="4" t="s">
        <v>23</v>
      </c>
      <c r="D1897" s="4" t="s">
        <v>24</v>
      </c>
      <c r="E1897" s="4" t="s">
        <v>33</v>
      </c>
      <c r="F1897" s="4" t="s">
        <v>25</v>
      </c>
      <c r="G1897" s="4" t="s">
        <v>25</v>
      </c>
      <c r="H1897" s="4" t="s">
        <v>25</v>
      </c>
      <c r="I1897" s="5">
        <v>44378</v>
      </c>
      <c r="J1897" s="6">
        <v>0</v>
      </c>
      <c r="K1897" s="6">
        <v>0</v>
      </c>
      <c r="L1897" s="6">
        <v>4833.4799999999996</v>
      </c>
      <c r="M1897" s="6">
        <v>4833.4799999999996</v>
      </c>
      <c r="N1897" s="6">
        <v>4833.4799999999996</v>
      </c>
      <c r="O1897" s="6">
        <v>4833.4799999999996</v>
      </c>
      <c r="P1897" s="6">
        <v>47063</v>
      </c>
      <c r="Q1897" s="4" t="s">
        <v>26</v>
      </c>
      <c r="R1897" s="4">
        <v>0</v>
      </c>
      <c r="S1897" s="6">
        <v>0</v>
      </c>
      <c r="T1897" s="6">
        <v>6</v>
      </c>
      <c r="U1897" s="6">
        <v>52</v>
      </c>
      <c r="V1897" s="6">
        <f>IF(ISERROR(VLOOKUP($S$1897,'TAR FIN'!$A$1:$O$95,15,0)),0,VLOOKUP($S$1897,'TAR FIN'!$A$1:$O$95,15,0))</f>
        <v>0</v>
      </c>
      <c r="W1897" s="6">
        <f>IF(ISERROR(VLOOKUP($T$1897,'TAR FIN'!$A$1:$O$95,15,0)),0,VLOOKUP($T$1897,'TAR FIN'!$A$1:$O$95,15,0))</f>
        <v>378.36</v>
      </c>
      <c r="X1897" s="6">
        <f>IF(ISERROR(VLOOKUP($U$1897,'TAR FIN'!$A$1:$O$95,15,0)),0,VLOOKUP($U$1897,'TAR FIN'!$A$1:$O$95,15,0))</f>
        <v>218.97</v>
      </c>
      <c r="Y1897" s="6"/>
      <c r="Z1897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97" s="6">
        <f>('TE BE'!$AA$16+'TE BF'!$AA$16+'TE CVA'!$AA$16)*(1-CUSTOS!$M$36)</f>
        <v>267.48149736117364</v>
      </c>
      <c r="AB1897" s="6">
        <f>$K$1897*$V$1897</f>
        <v>0</v>
      </c>
      <c r="AC1897" s="6">
        <f>$M$1897*$W$1897</f>
        <v>1828795.4927999999</v>
      </c>
      <c r="AD1897" s="6">
        <f>$O$1897*$X$1897</f>
        <v>1058387.1155999999</v>
      </c>
      <c r="AE1897" s="6">
        <f>$K$1897*$Y$1897</f>
        <v>0</v>
      </c>
      <c r="AF1897" s="6">
        <f ca="1">$M$1897*$Z$1897</f>
        <v>2001231.2346900019</v>
      </c>
      <c r="AG1897" s="6">
        <f>$O$1897*$AA$1897</f>
        <v>1292866.4678652855</v>
      </c>
    </row>
    <row r="1898" spans="1:33" ht="11.25" customHeight="1" x14ac:dyDescent="0.25">
      <c r="A1898" s="4" t="s">
        <v>29</v>
      </c>
      <c r="B1898" s="4" t="s">
        <v>22</v>
      </c>
      <c r="C1898" s="4" t="s">
        <v>23</v>
      </c>
      <c r="D1898" s="4" t="s">
        <v>24</v>
      </c>
      <c r="E1898" s="4" t="s">
        <v>33</v>
      </c>
      <c r="F1898" s="4" t="s">
        <v>25</v>
      </c>
      <c r="G1898" s="4" t="s">
        <v>25</v>
      </c>
      <c r="H1898" s="4" t="s">
        <v>25</v>
      </c>
      <c r="I1898" s="5">
        <v>44378</v>
      </c>
      <c r="J1898" s="6">
        <v>0</v>
      </c>
      <c r="K1898" s="6">
        <v>0</v>
      </c>
      <c r="L1898" s="6">
        <v>-14.898</v>
      </c>
      <c r="M1898" s="6">
        <v>-14.898</v>
      </c>
      <c r="N1898" s="6">
        <v>-14.898</v>
      </c>
      <c r="O1898" s="6">
        <v>-14.898</v>
      </c>
      <c r="P1898" s="6">
        <v>0</v>
      </c>
      <c r="Q1898" s="4" t="s">
        <v>26</v>
      </c>
      <c r="R1898" s="4">
        <v>0</v>
      </c>
      <c r="S1898" s="6">
        <v>0</v>
      </c>
      <c r="T1898" s="6">
        <v>6</v>
      </c>
      <c r="U1898" s="6">
        <v>52</v>
      </c>
      <c r="V1898" s="6">
        <f>IF(ISERROR(VLOOKUP($S$1898,'TAR FIN'!$A$1:$O$95,15,0)),0,VLOOKUP($S$1898,'TAR FIN'!$A$1:$O$95,15,0))</f>
        <v>0</v>
      </c>
      <c r="W1898" s="6">
        <f>IF(ISERROR(VLOOKUP($T$1898,'TAR FIN'!$A$1:$O$95,15,0)),0,VLOOKUP($T$1898,'TAR FIN'!$A$1:$O$95,15,0))</f>
        <v>378.36</v>
      </c>
      <c r="X1898" s="6">
        <f>IF(ISERROR(VLOOKUP($U$1898,'TAR FIN'!$A$1:$O$95,15,0)),0,VLOOKUP($U$1898,'TAR FIN'!$A$1:$O$95,15,0))</f>
        <v>218.97</v>
      </c>
      <c r="Y1898" s="6"/>
      <c r="Z1898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98" s="6">
        <f>('TE BE'!$AA$16+'TE BF'!$AA$16+'TE CVA'!$AA$16)*(1-CUSTOS!$M$36)</f>
        <v>267.48149736117364</v>
      </c>
      <c r="AB1898" s="6">
        <f>$K$1898*$V$1898</f>
        <v>0</v>
      </c>
      <c r="AC1898" s="6">
        <f>$M$1898*$W$1898</f>
        <v>-5636.80728</v>
      </c>
      <c r="AD1898" s="6">
        <f>$O$1898*$X$1898</f>
        <v>-3262.21506</v>
      </c>
      <c r="AE1898" s="6">
        <f>$K$1898*$Y$1898</f>
        <v>0</v>
      </c>
      <c r="AF1898" s="6">
        <f ca="1">$M$1898*$Z$1898</f>
        <v>-6168.297569124451</v>
      </c>
      <c r="AG1898" s="6">
        <f>$O$1898*$AA$1898</f>
        <v>-3984.9393476867649</v>
      </c>
    </row>
    <row r="1899" spans="1:33" ht="11.25" customHeight="1" x14ac:dyDescent="0.25">
      <c r="A1899" s="4" t="s">
        <v>30</v>
      </c>
      <c r="B1899" s="4" t="s">
        <v>22</v>
      </c>
      <c r="C1899" s="4" t="s">
        <v>23</v>
      </c>
      <c r="D1899" s="4" t="s">
        <v>24</v>
      </c>
      <c r="E1899" s="4" t="s">
        <v>33</v>
      </c>
      <c r="F1899" s="4" t="s">
        <v>25</v>
      </c>
      <c r="G1899" s="4" t="s">
        <v>25</v>
      </c>
      <c r="H1899" s="4" t="s">
        <v>25</v>
      </c>
      <c r="I1899" s="5">
        <v>44378</v>
      </c>
      <c r="J1899" s="6">
        <v>0</v>
      </c>
      <c r="K1899" s="6">
        <v>0</v>
      </c>
      <c r="L1899" s="6">
        <v>0.44900000000000001</v>
      </c>
      <c r="M1899" s="6">
        <v>0.44900000000000001</v>
      </c>
      <c r="N1899" s="6">
        <v>0.44900000000000001</v>
      </c>
      <c r="O1899" s="6">
        <v>0.44900000000000001</v>
      </c>
      <c r="P1899" s="6">
        <v>0</v>
      </c>
      <c r="Q1899" s="4" t="s">
        <v>26</v>
      </c>
      <c r="R1899" s="4">
        <v>0</v>
      </c>
      <c r="S1899" s="6">
        <v>0</v>
      </c>
      <c r="T1899" s="6">
        <v>6</v>
      </c>
      <c r="U1899" s="6">
        <v>52</v>
      </c>
      <c r="V1899" s="6">
        <f>IF(ISERROR(VLOOKUP($S$1899,'TAR FIN'!$A$1:$O$95,15,0)),0,VLOOKUP($S$1899,'TAR FIN'!$A$1:$O$95,15,0))</f>
        <v>0</v>
      </c>
      <c r="W1899" s="6">
        <f>IF(ISERROR(VLOOKUP($T$1899,'TAR FIN'!$A$1:$O$95,15,0)),0,VLOOKUP($T$1899,'TAR FIN'!$A$1:$O$95,15,0))</f>
        <v>378.36</v>
      </c>
      <c r="X1899" s="6">
        <f>IF(ISERROR(VLOOKUP($U$1899,'TAR FIN'!$A$1:$O$95,15,0)),0,VLOOKUP($U$1899,'TAR FIN'!$A$1:$O$95,15,0))</f>
        <v>218.97</v>
      </c>
      <c r="Y1899" s="6"/>
      <c r="Z1899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899" s="6">
        <f>('TE BE'!$AA$16+'TE BF'!$AA$16+'TE CVA'!$AA$16)*(1-CUSTOS!$M$36)</f>
        <v>267.48149736117364</v>
      </c>
      <c r="AB1899" s="6">
        <f>$K$1899*$V$1899</f>
        <v>0</v>
      </c>
      <c r="AC1899" s="6">
        <f>$M$1899*$W$1899</f>
        <v>169.88364000000001</v>
      </c>
      <c r="AD1899" s="6">
        <f>$O$1899*$X$1899</f>
        <v>98.317530000000005</v>
      </c>
      <c r="AE1899" s="6">
        <f>$K$1899*$Y$1899</f>
        <v>0</v>
      </c>
      <c r="AF1899" s="6">
        <f ca="1">$M$1899*$Z$1899</f>
        <v>185.90183974606515</v>
      </c>
      <c r="AG1899" s="6">
        <f>$O$1899*$AA$1899</f>
        <v>120.09919231516696</v>
      </c>
    </row>
    <row r="1900" spans="1:33" ht="11.25" customHeight="1" x14ac:dyDescent="0.25">
      <c r="A1900" s="4" t="s">
        <v>21</v>
      </c>
      <c r="B1900" s="4" t="s">
        <v>22</v>
      </c>
      <c r="C1900" s="4" t="s">
        <v>23</v>
      </c>
      <c r="D1900" s="4" t="s">
        <v>24</v>
      </c>
      <c r="E1900" s="4" t="s">
        <v>33</v>
      </c>
      <c r="F1900" s="4" t="s">
        <v>25</v>
      </c>
      <c r="G1900" s="4" t="s">
        <v>25</v>
      </c>
      <c r="H1900" s="4" t="s">
        <v>25</v>
      </c>
      <c r="I1900" s="5">
        <v>44409</v>
      </c>
      <c r="J1900" s="6">
        <v>0</v>
      </c>
      <c r="K1900" s="6">
        <v>0</v>
      </c>
      <c r="L1900" s="6">
        <v>3850.3139999999999</v>
      </c>
      <c r="M1900" s="6">
        <v>3850.3139999999999</v>
      </c>
      <c r="N1900" s="6">
        <v>3850.3139999999999</v>
      </c>
      <c r="O1900" s="6">
        <v>3850.3139999999999</v>
      </c>
      <c r="P1900" s="6">
        <v>22755</v>
      </c>
      <c r="Q1900" s="4" t="s">
        <v>26</v>
      </c>
      <c r="R1900" s="4">
        <v>0</v>
      </c>
      <c r="S1900" s="6">
        <v>0</v>
      </c>
      <c r="T1900" s="6">
        <v>6</v>
      </c>
      <c r="U1900" s="6">
        <v>52</v>
      </c>
      <c r="V1900" s="6">
        <f>IF(ISERROR(VLOOKUP($S$1900,'TAR FIN'!$A$1:$O$95,15,0)),0,VLOOKUP($S$1900,'TAR FIN'!$A$1:$O$95,15,0))</f>
        <v>0</v>
      </c>
      <c r="W1900" s="6">
        <f>IF(ISERROR(VLOOKUP($T$1900,'TAR FIN'!$A$1:$O$95,15,0)),0,VLOOKUP($T$1900,'TAR FIN'!$A$1:$O$95,15,0))</f>
        <v>378.36</v>
      </c>
      <c r="X1900" s="6">
        <f>IF(ISERROR(VLOOKUP($U$1900,'TAR FIN'!$A$1:$O$95,15,0)),0,VLOOKUP($U$1900,'TAR FIN'!$A$1:$O$95,15,0))</f>
        <v>218.97</v>
      </c>
      <c r="Y1900" s="6"/>
      <c r="Z1900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900" s="6">
        <f>('TE BE'!$AA$16+'TE BF'!$AA$16+'TE CVA'!$AA$16)*(1-CUSTOS!$M$36)</f>
        <v>267.48149736117364</v>
      </c>
      <c r="AB1900" s="6">
        <f>$K$1900*$V$1900</f>
        <v>0</v>
      </c>
      <c r="AC1900" s="6">
        <f>$M$1900*$W$1900</f>
        <v>1456804.80504</v>
      </c>
      <c r="AD1900" s="6">
        <f>$O$1900*$X$1900</f>
        <v>843103.25657999993</v>
      </c>
      <c r="AE1900" s="6">
        <f>$K$1900*$Y$1900</f>
        <v>0</v>
      </c>
      <c r="AF1900" s="6">
        <f ca="1">$M$1900*$Z$1900</f>
        <v>1594165.826726127</v>
      </c>
      <c r="AG1900" s="6">
        <f>$O$1900*$AA$1900</f>
        <v>1029887.7540306898</v>
      </c>
    </row>
    <row r="1901" spans="1:33" ht="11.25" customHeight="1" x14ac:dyDescent="0.25">
      <c r="A1901" s="4" t="s">
        <v>27</v>
      </c>
      <c r="B1901" s="4" t="s">
        <v>22</v>
      </c>
      <c r="C1901" s="4" t="s">
        <v>23</v>
      </c>
      <c r="D1901" s="4" t="s">
        <v>24</v>
      </c>
      <c r="E1901" s="4" t="s">
        <v>33</v>
      </c>
      <c r="F1901" s="4" t="s">
        <v>25</v>
      </c>
      <c r="G1901" s="4" t="s">
        <v>25</v>
      </c>
      <c r="H1901" s="4" t="s">
        <v>25</v>
      </c>
      <c r="I1901" s="5">
        <v>44409</v>
      </c>
      <c r="J1901" s="6">
        <v>0</v>
      </c>
      <c r="K1901" s="6">
        <v>0</v>
      </c>
      <c r="L1901" s="6">
        <v>-22.31</v>
      </c>
      <c r="M1901" s="6">
        <v>-22.31</v>
      </c>
      <c r="N1901" s="6">
        <v>-22.31</v>
      </c>
      <c r="O1901" s="6">
        <v>-22.31</v>
      </c>
      <c r="P1901" s="6">
        <v>0</v>
      </c>
      <c r="Q1901" s="4" t="s">
        <v>26</v>
      </c>
      <c r="R1901" s="4">
        <v>0</v>
      </c>
      <c r="S1901" s="6">
        <v>0</v>
      </c>
      <c r="T1901" s="6">
        <v>6</v>
      </c>
      <c r="U1901" s="6">
        <v>52</v>
      </c>
      <c r="V1901" s="6">
        <f>IF(ISERROR(VLOOKUP($S$1901,'TAR FIN'!$A$1:$O$95,15,0)),0,VLOOKUP($S$1901,'TAR FIN'!$A$1:$O$95,15,0))</f>
        <v>0</v>
      </c>
      <c r="W1901" s="6">
        <f>IF(ISERROR(VLOOKUP($T$1901,'TAR FIN'!$A$1:$O$95,15,0)),0,VLOOKUP($T$1901,'TAR FIN'!$A$1:$O$95,15,0))</f>
        <v>378.36</v>
      </c>
      <c r="X1901" s="6">
        <f>IF(ISERROR(VLOOKUP($U$1901,'TAR FIN'!$A$1:$O$95,15,0)),0,VLOOKUP($U$1901,'TAR FIN'!$A$1:$O$95,15,0))</f>
        <v>218.97</v>
      </c>
      <c r="Y1901" s="6"/>
      <c r="Z1901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901" s="6">
        <f>('TE BE'!$AA$16+'TE BF'!$AA$16+'TE CVA'!$AA$16)*(1-CUSTOS!$M$36)</f>
        <v>267.48149736117364</v>
      </c>
      <c r="AB1901" s="6">
        <f>$K$1901*$V$1901</f>
        <v>0</v>
      </c>
      <c r="AC1901" s="6">
        <f>$M$1901*$W$1901</f>
        <v>-8441.2116000000005</v>
      </c>
      <c r="AD1901" s="6">
        <f>$O$1901*$X$1901</f>
        <v>-4885.2206999999999</v>
      </c>
      <c r="AE1901" s="6">
        <f>$K$1901*$Y$1901</f>
        <v>0</v>
      </c>
      <c r="AF1901" s="6">
        <f ca="1">$M$1901*$Z$1901</f>
        <v>-9237.1270484069337</v>
      </c>
      <c r="AG1901" s="6">
        <f>$O$1901*$AA$1901</f>
        <v>-5967.5122061277834</v>
      </c>
    </row>
    <row r="1902" spans="1:33" ht="11.25" customHeight="1" x14ac:dyDescent="0.25">
      <c r="A1902" s="4" t="s">
        <v>28</v>
      </c>
      <c r="B1902" s="4" t="s">
        <v>22</v>
      </c>
      <c r="C1902" s="4" t="s">
        <v>23</v>
      </c>
      <c r="D1902" s="4" t="s">
        <v>24</v>
      </c>
      <c r="E1902" s="4" t="s">
        <v>33</v>
      </c>
      <c r="F1902" s="4" t="s">
        <v>25</v>
      </c>
      <c r="G1902" s="4" t="s">
        <v>25</v>
      </c>
      <c r="H1902" s="4" t="s">
        <v>25</v>
      </c>
      <c r="I1902" s="5">
        <v>44409</v>
      </c>
      <c r="J1902" s="6">
        <v>0</v>
      </c>
      <c r="K1902" s="6">
        <v>0</v>
      </c>
      <c r="L1902" s="6">
        <v>5247.9040000000005</v>
      </c>
      <c r="M1902" s="6">
        <v>5247.9040000000005</v>
      </c>
      <c r="N1902" s="6">
        <v>5247.9040000000005</v>
      </c>
      <c r="O1902" s="6">
        <v>5247.9040000000005</v>
      </c>
      <c r="P1902" s="6">
        <v>47418</v>
      </c>
      <c r="Q1902" s="4" t="s">
        <v>26</v>
      </c>
      <c r="R1902" s="4">
        <v>0</v>
      </c>
      <c r="S1902" s="6">
        <v>0</v>
      </c>
      <c r="T1902" s="6">
        <v>6</v>
      </c>
      <c r="U1902" s="6">
        <v>52</v>
      </c>
      <c r="V1902" s="6">
        <f>IF(ISERROR(VLOOKUP($S$1902,'TAR FIN'!$A$1:$O$95,15,0)),0,VLOOKUP($S$1902,'TAR FIN'!$A$1:$O$95,15,0))</f>
        <v>0</v>
      </c>
      <c r="W1902" s="6">
        <f>IF(ISERROR(VLOOKUP($T$1902,'TAR FIN'!$A$1:$O$95,15,0)),0,VLOOKUP($T$1902,'TAR FIN'!$A$1:$O$95,15,0))</f>
        <v>378.36</v>
      </c>
      <c r="X1902" s="6">
        <f>IF(ISERROR(VLOOKUP($U$1902,'TAR FIN'!$A$1:$O$95,15,0)),0,VLOOKUP($U$1902,'TAR FIN'!$A$1:$O$95,15,0))</f>
        <v>218.97</v>
      </c>
      <c r="Y1902" s="6"/>
      <c r="Z1902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902" s="6">
        <f>('TE BE'!$AA$16+'TE BF'!$AA$16+'TE CVA'!$AA$16)*(1-CUSTOS!$M$36)</f>
        <v>267.48149736117364</v>
      </c>
      <c r="AB1902" s="6">
        <f>$K$1902*$V$1902</f>
        <v>0</v>
      </c>
      <c r="AC1902" s="6">
        <f>$M$1902*$W$1902</f>
        <v>1985596.9574400003</v>
      </c>
      <c r="AD1902" s="6">
        <f>$O$1902*$X$1902</f>
        <v>1149133.5388800001</v>
      </c>
      <c r="AE1902" s="6">
        <f>$K$1902*$Y$1902</f>
        <v>0</v>
      </c>
      <c r="AF1902" s="6">
        <f ca="1">$M$1902*$Z$1902</f>
        <v>2172817.3906697868</v>
      </c>
      <c r="AG1902" s="6">
        <f>$O$1902*$AA$1902</f>
        <v>1403717.2199276928</v>
      </c>
    </row>
    <row r="1903" spans="1:33" ht="11.25" customHeight="1" x14ac:dyDescent="0.25">
      <c r="A1903" s="4" t="s">
        <v>29</v>
      </c>
      <c r="B1903" s="4" t="s">
        <v>22</v>
      </c>
      <c r="C1903" s="4" t="s">
        <v>23</v>
      </c>
      <c r="D1903" s="4" t="s">
        <v>24</v>
      </c>
      <c r="E1903" s="4" t="s">
        <v>33</v>
      </c>
      <c r="F1903" s="4" t="s">
        <v>25</v>
      </c>
      <c r="G1903" s="4" t="s">
        <v>25</v>
      </c>
      <c r="H1903" s="4" t="s">
        <v>25</v>
      </c>
      <c r="I1903" s="5">
        <v>44409</v>
      </c>
      <c r="J1903" s="6">
        <v>0</v>
      </c>
      <c r="K1903" s="6">
        <v>0</v>
      </c>
      <c r="L1903" s="6">
        <v>-13.375</v>
      </c>
      <c r="M1903" s="6">
        <v>-13.375</v>
      </c>
      <c r="N1903" s="6">
        <v>-13.375</v>
      </c>
      <c r="O1903" s="6">
        <v>-13.375</v>
      </c>
      <c r="P1903" s="6">
        <v>0</v>
      </c>
      <c r="Q1903" s="4" t="s">
        <v>26</v>
      </c>
      <c r="R1903" s="4">
        <v>0</v>
      </c>
      <c r="S1903" s="6">
        <v>0</v>
      </c>
      <c r="T1903" s="6">
        <v>6</v>
      </c>
      <c r="U1903" s="6">
        <v>52</v>
      </c>
      <c r="V1903" s="6">
        <f>IF(ISERROR(VLOOKUP($S$1903,'TAR FIN'!$A$1:$O$95,15,0)),0,VLOOKUP($S$1903,'TAR FIN'!$A$1:$O$95,15,0))</f>
        <v>0</v>
      </c>
      <c r="W1903" s="6">
        <f>IF(ISERROR(VLOOKUP($T$1903,'TAR FIN'!$A$1:$O$95,15,0)),0,VLOOKUP($T$1903,'TAR FIN'!$A$1:$O$95,15,0))</f>
        <v>378.36</v>
      </c>
      <c r="X1903" s="6">
        <f>IF(ISERROR(VLOOKUP($U$1903,'TAR FIN'!$A$1:$O$95,15,0)),0,VLOOKUP($U$1903,'TAR FIN'!$A$1:$O$95,15,0))</f>
        <v>218.97</v>
      </c>
      <c r="Y1903" s="6"/>
      <c r="Z1903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903" s="6">
        <f>('TE BE'!$AA$16+'TE BF'!$AA$16+'TE CVA'!$AA$16)*(1-CUSTOS!$M$36)</f>
        <v>267.48149736117364</v>
      </c>
      <c r="AB1903" s="6">
        <f>$K$1903*$V$1903</f>
        <v>0</v>
      </c>
      <c r="AC1903" s="6">
        <f>$M$1903*$W$1903</f>
        <v>-5060.5650000000005</v>
      </c>
      <c r="AD1903" s="6">
        <f>$O$1903*$X$1903</f>
        <v>-2928.7237500000001</v>
      </c>
      <c r="AE1903" s="6">
        <f>$K$1903*$Y$1903</f>
        <v>0</v>
      </c>
      <c r="AF1903" s="6">
        <f ca="1">$M$1903*$Z$1903</f>
        <v>-5537.7218409880206</v>
      </c>
      <c r="AG1903" s="6">
        <f>$O$1903*$AA$1903</f>
        <v>-3577.5650272056973</v>
      </c>
    </row>
    <row r="1904" spans="1:33" ht="11.25" customHeight="1" x14ac:dyDescent="0.25">
      <c r="A1904" s="4" t="s">
        <v>30</v>
      </c>
      <c r="B1904" s="4" t="s">
        <v>22</v>
      </c>
      <c r="C1904" s="4" t="s">
        <v>23</v>
      </c>
      <c r="D1904" s="4" t="s">
        <v>24</v>
      </c>
      <c r="E1904" s="4" t="s">
        <v>33</v>
      </c>
      <c r="F1904" s="4" t="s">
        <v>25</v>
      </c>
      <c r="G1904" s="4" t="s">
        <v>25</v>
      </c>
      <c r="H1904" s="4" t="s">
        <v>25</v>
      </c>
      <c r="I1904" s="5">
        <v>44409</v>
      </c>
      <c r="J1904" s="6">
        <v>0</v>
      </c>
      <c r="K1904" s="6">
        <v>0</v>
      </c>
      <c r="L1904" s="6">
        <v>0.52200000000000002</v>
      </c>
      <c r="M1904" s="6">
        <v>0.52200000000000002</v>
      </c>
      <c r="N1904" s="6">
        <v>0.52200000000000002</v>
      </c>
      <c r="O1904" s="6">
        <v>0.52200000000000002</v>
      </c>
      <c r="P1904" s="6">
        <v>0</v>
      </c>
      <c r="Q1904" s="4" t="s">
        <v>26</v>
      </c>
      <c r="R1904" s="4">
        <v>0</v>
      </c>
      <c r="S1904" s="6">
        <v>0</v>
      </c>
      <c r="T1904" s="6">
        <v>6</v>
      </c>
      <c r="U1904" s="6">
        <v>52</v>
      </c>
      <c r="V1904" s="6">
        <f>IF(ISERROR(VLOOKUP($S$1904,'TAR FIN'!$A$1:$O$95,15,0)),0,VLOOKUP($S$1904,'TAR FIN'!$A$1:$O$95,15,0))</f>
        <v>0</v>
      </c>
      <c r="W1904" s="6">
        <f>IF(ISERROR(VLOOKUP($T$1904,'TAR FIN'!$A$1:$O$95,15,0)),0,VLOOKUP($T$1904,'TAR FIN'!$A$1:$O$95,15,0))</f>
        <v>378.36</v>
      </c>
      <c r="X1904" s="6">
        <f>IF(ISERROR(VLOOKUP($U$1904,'TAR FIN'!$A$1:$O$95,15,0)),0,VLOOKUP($U$1904,'TAR FIN'!$A$1:$O$95,15,0))</f>
        <v>218.97</v>
      </c>
      <c r="Y1904" s="6"/>
      <c r="Z1904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904" s="6">
        <f>('TE BE'!$AA$16+'TE BF'!$AA$16+'TE CVA'!$AA$16)*(1-CUSTOS!$M$36)</f>
        <v>267.48149736117364</v>
      </c>
      <c r="AB1904" s="6">
        <f>$K$1904*$V$1904</f>
        <v>0</v>
      </c>
      <c r="AC1904" s="6">
        <f>$M$1904*$W$1904</f>
        <v>197.50392000000002</v>
      </c>
      <c r="AD1904" s="6">
        <f>$O$1904*$X$1904</f>
        <v>114.30234</v>
      </c>
      <c r="AE1904" s="6">
        <f>$K$1904*$Y$1904</f>
        <v>0</v>
      </c>
      <c r="AF1904" s="6">
        <f ca="1">$M$1904*$Z$1904</f>
        <v>216.12641502771939</v>
      </c>
      <c r="AG1904" s="6">
        <f>$O$1904*$AA$1904</f>
        <v>139.62534162253263</v>
      </c>
    </row>
    <row r="1905" spans="1:33" ht="11.25" customHeight="1" x14ac:dyDescent="0.25">
      <c r="A1905" s="4" t="s">
        <v>21</v>
      </c>
      <c r="B1905" s="4" t="s">
        <v>22</v>
      </c>
      <c r="C1905" s="4" t="s">
        <v>23</v>
      </c>
      <c r="D1905" s="4" t="s">
        <v>24</v>
      </c>
      <c r="E1905" s="4" t="s">
        <v>33</v>
      </c>
      <c r="F1905" s="4" t="s">
        <v>25</v>
      </c>
      <c r="G1905" s="4" t="s">
        <v>25</v>
      </c>
      <c r="H1905" s="4" t="s">
        <v>25</v>
      </c>
      <c r="I1905" s="5">
        <v>44440</v>
      </c>
      <c r="J1905" s="6">
        <v>0</v>
      </c>
      <c r="K1905" s="6">
        <v>0</v>
      </c>
      <c r="L1905" s="6">
        <v>3905.8760000000002</v>
      </c>
      <c r="M1905" s="6">
        <v>3905.8760000000002</v>
      </c>
      <c r="N1905" s="6">
        <v>3905.8760000000002</v>
      </c>
      <c r="O1905" s="6">
        <v>3905.8760000000002</v>
      </c>
      <c r="P1905" s="6">
        <v>22717</v>
      </c>
      <c r="Q1905" s="4" t="s">
        <v>26</v>
      </c>
      <c r="R1905" s="4">
        <v>0</v>
      </c>
      <c r="S1905" s="6">
        <v>0</v>
      </c>
      <c r="T1905" s="6">
        <v>6</v>
      </c>
      <c r="U1905" s="6">
        <v>52</v>
      </c>
      <c r="V1905" s="6">
        <f>IF(ISERROR(VLOOKUP($S$1905,'TAR FIN'!$A$1:$O$95,15,0)),0,VLOOKUP($S$1905,'TAR FIN'!$A$1:$O$95,15,0))</f>
        <v>0</v>
      </c>
      <c r="W1905" s="6">
        <f>IF(ISERROR(VLOOKUP($T$1905,'TAR FIN'!$A$1:$O$95,15,0)),0,VLOOKUP($T$1905,'TAR FIN'!$A$1:$O$95,15,0))</f>
        <v>378.36</v>
      </c>
      <c r="X1905" s="6">
        <f>IF(ISERROR(VLOOKUP($U$1905,'TAR FIN'!$A$1:$O$95,15,0)),0,VLOOKUP($U$1905,'TAR FIN'!$A$1:$O$95,15,0))</f>
        <v>218.97</v>
      </c>
      <c r="Y1905" s="6"/>
      <c r="Z1905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905" s="6">
        <f>('TE BE'!$AA$16+'TE BF'!$AA$16+'TE CVA'!$AA$16)*(1-CUSTOS!$M$36)</f>
        <v>267.48149736117364</v>
      </c>
      <c r="AB1905" s="6">
        <f>$K$1905*$V$1905</f>
        <v>0</v>
      </c>
      <c r="AC1905" s="6">
        <f>$M$1905*$W$1905</f>
        <v>1477827.2433600002</v>
      </c>
      <c r="AD1905" s="6">
        <f>$O$1905*$X$1905</f>
        <v>855269.66772000003</v>
      </c>
      <c r="AE1905" s="6">
        <f>$K$1905*$Y$1905</f>
        <v>0</v>
      </c>
      <c r="AF1905" s="6">
        <f ca="1">$M$1905*$Z$1905</f>
        <v>1617170.4548329664</v>
      </c>
      <c r="AG1905" s="6">
        <f>$O$1905*$AA$1905</f>
        <v>1044749.5609870715</v>
      </c>
    </row>
    <row r="1906" spans="1:33" ht="11.25" customHeight="1" x14ac:dyDescent="0.25">
      <c r="A1906" s="4" t="s">
        <v>27</v>
      </c>
      <c r="B1906" s="4" t="s">
        <v>22</v>
      </c>
      <c r="C1906" s="4" t="s">
        <v>23</v>
      </c>
      <c r="D1906" s="4" t="s">
        <v>24</v>
      </c>
      <c r="E1906" s="4" t="s">
        <v>33</v>
      </c>
      <c r="F1906" s="4" t="s">
        <v>25</v>
      </c>
      <c r="G1906" s="4" t="s">
        <v>25</v>
      </c>
      <c r="H1906" s="4" t="s">
        <v>25</v>
      </c>
      <c r="I1906" s="5">
        <v>44440</v>
      </c>
      <c r="J1906" s="6">
        <v>0</v>
      </c>
      <c r="K1906" s="6">
        <v>0</v>
      </c>
      <c r="L1906" s="6">
        <v>-6.4509999999999996</v>
      </c>
      <c r="M1906" s="6">
        <v>-6.4509999999999996</v>
      </c>
      <c r="N1906" s="6">
        <v>-6.4509999999999996</v>
      </c>
      <c r="O1906" s="6">
        <v>-6.4509999999999996</v>
      </c>
      <c r="P1906" s="6">
        <v>0</v>
      </c>
      <c r="Q1906" s="4" t="s">
        <v>26</v>
      </c>
      <c r="R1906" s="4">
        <v>0</v>
      </c>
      <c r="S1906" s="6">
        <v>0</v>
      </c>
      <c r="T1906" s="6">
        <v>6</v>
      </c>
      <c r="U1906" s="6">
        <v>52</v>
      </c>
      <c r="V1906" s="6">
        <f>IF(ISERROR(VLOOKUP($S$1906,'TAR FIN'!$A$1:$O$95,15,0)),0,VLOOKUP($S$1906,'TAR FIN'!$A$1:$O$95,15,0))</f>
        <v>0</v>
      </c>
      <c r="W1906" s="6">
        <f>IF(ISERROR(VLOOKUP($T$1906,'TAR FIN'!$A$1:$O$95,15,0)),0,VLOOKUP($T$1906,'TAR FIN'!$A$1:$O$95,15,0))</f>
        <v>378.36</v>
      </c>
      <c r="X1906" s="6">
        <f>IF(ISERROR(VLOOKUP($U$1906,'TAR FIN'!$A$1:$O$95,15,0)),0,VLOOKUP($U$1906,'TAR FIN'!$A$1:$O$95,15,0))</f>
        <v>218.97</v>
      </c>
      <c r="Y1906" s="6"/>
      <c r="Z1906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906" s="6">
        <f>('TE BE'!$AA$16+'TE BF'!$AA$16+'TE CVA'!$AA$16)*(1-CUSTOS!$M$36)</f>
        <v>267.48149736117364</v>
      </c>
      <c r="AB1906" s="6">
        <f>$K$1906*$V$1906</f>
        <v>0</v>
      </c>
      <c r="AC1906" s="6">
        <f>$M$1906*$W$1906</f>
        <v>-2440.8003599999997</v>
      </c>
      <c r="AD1906" s="6">
        <f>$O$1906*$X$1906</f>
        <v>-1412.57547</v>
      </c>
      <c r="AE1906" s="6">
        <f>$K$1906*$Y$1906</f>
        <v>0</v>
      </c>
      <c r="AF1906" s="6">
        <f ca="1">$M$1906*$Z$1906</f>
        <v>-2670.941577287007</v>
      </c>
      <c r="AG1906" s="6">
        <f>$O$1906*$AA$1906</f>
        <v>-1725.523139476931</v>
      </c>
    </row>
    <row r="1907" spans="1:33" ht="11.25" customHeight="1" x14ac:dyDescent="0.25">
      <c r="A1907" s="4" t="s">
        <v>28</v>
      </c>
      <c r="B1907" s="4" t="s">
        <v>22</v>
      </c>
      <c r="C1907" s="4" t="s">
        <v>23</v>
      </c>
      <c r="D1907" s="4" t="s">
        <v>24</v>
      </c>
      <c r="E1907" s="4" t="s">
        <v>33</v>
      </c>
      <c r="F1907" s="4" t="s">
        <v>25</v>
      </c>
      <c r="G1907" s="4" t="s">
        <v>25</v>
      </c>
      <c r="H1907" s="4" t="s">
        <v>25</v>
      </c>
      <c r="I1907" s="5">
        <v>44440</v>
      </c>
      <c r="J1907" s="6">
        <v>0</v>
      </c>
      <c r="K1907" s="6">
        <v>0</v>
      </c>
      <c r="L1907" s="6">
        <v>5581.9650000000001</v>
      </c>
      <c r="M1907" s="6">
        <v>5581.9650000000001</v>
      </c>
      <c r="N1907" s="6">
        <v>5581.9650000000001</v>
      </c>
      <c r="O1907" s="6">
        <v>5581.9650000000001</v>
      </c>
      <c r="P1907" s="6">
        <v>47692</v>
      </c>
      <c r="Q1907" s="4" t="s">
        <v>26</v>
      </c>
      <c r="R1907" s="4">
        <v>0</v>
      </c>
      <c r="S1907" s="6">
        <v>0</v>
      </c>
      <c r="T1907" s="6">
        <v>6</v>
      </c>
      <c r="U1907" s="6">
        <v>52</v>
      </c>
      <c r="V1907" s="6">
        <f>IF(ISERROR(VLOOKUP($S$1907,'TAR FIN'!$A$1:$O$95,15,0)),0,VLOOKUP($S$1907,'TAR FIN'!$A$1:$O$95,15,0))</f>
        <v>0</v>
      </c>
      <c r="W1907" s="6">
        <f>IF(ISERROR(VLOOKUP($T$1907,'TAR FIN'!$A$1:$O$95,15,0)),0,VLOOKUP($T$1907,'TAR FIN'!$A$1:$O$95,15,0))</f>
        <v>378.36</v>
      </c>
      <c r="X1907" s="6">
        <f>IF(ISERROR(VLOOKUP($U$1907,'TAR FIN'!$A$1:$O$95,15,0)),0,VLOOKUP($U$1907,'TAR FIN'!$A$1:$O$95,15,0))</f>
        <v>218.97</v>
      </c>
      <c r="Y1907" s="6"/>
      <c r="Z1907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907" s="6">
        <f>('TE BE'!$AA$16+'TE BF'!$AA$16+'TE CVA'!$AA$16)*(1-CUSTOS!$M$36)</f>
        <v>267.48149736117364</v>
      </c>
      <c r="AB1907" s="6">
        <f>$K$1907*$V$1907</f>
        <v>0</v>
      </c>
      <c r="AC1907" s="6">
        <f>$M$1907*$W$1907</f>
        <v>2111992.2774</v>
      </c>
      <c r="AD1907" s="6">
        <f>$O$1907*$X$1907</f>
        <v>1222282.8760500001</v>
      </c>
      <c r="AE1907" s="6">
        <f>$K$1907*$Y$1907</f>
        <v>0</v>
      </c>
      <c r="AF1907" s="6">
        <f ca="1">$M$1907*$Z$1907</f>
        <v>2311130.4296172485</v>
      </c>
      <c r="AG1907" s="6">
        <f>$O$1907*$AA$1907</f>
        <v>1493072.3564176636</v>
      </c>
    </row>
    <row r="1908" spans="1:33" ht="11.25" customHeight="1" x14ac:dyDescent="0.25">
      <c r="A1908" s="4" t="s">
        <v>29</v>
      </c>
      <c r="B1908" s="4" t="s">
        <v>22</v>
      </c>
      <c r="C1908" s="4" t="s">
        <v>23</v>
      </c>
      <c r="D1908" s="4" t="s">
        <v>24</v>
      </c>
      <c r="E1908" s="4" t="s">
        <v>33</v>
      </c>
      <c r="F1908" s="4" t="s">
        <v>25</v>
      </c>
      <c r="G1908" s="4" t="s">
        <v>25</v>
      </c>
      <c r="H1908" s="4" t="s">
        <v>25</v>
      </c>
      <c r="I1908" s="5">
        <v>44440</v>
      </c>
      <c r="J1908" s="6">
        <v>0</v>
      </c>
      <c r="K1908" s="6">
        <v>0</v>
      </c>
      <c r="L1908" s="6">
        <v>-10.782999999999999</v>
      </c>
      <c r="M1908" s="6">
        <v>-10.782999999999999</v>
      </c>
      <c r="N1908" s="6">
        <v>-10.782999999999999</v>
      </c>
      <c r="O1908" s="6">
        <v>-10.782999999999999</v>
      </c>
      <c r="P1908" s="6">
        <v>0</v>
      </c>
      <c r="Q1908" s="4" t="s">
        <v>26</v>
      </c>
      <c r="R1908" s="4">
        <v>0</v>
      </c>
      <c r="S1908" s="6">
        <v>0</v>
      </c>
      <c r="T1908" s="6">
        <v>6</v>
      </c>
      <c r="U1908" s="6">
        <v>52</v>
      </c>
      <c r="V1908" s="6">
        <f>IF(ISERROR(VLOOKUP($S$1908,'TAR FIN'!$A$1:$O$95,15,0)),0,VLOOKUP($S$1908,'TAR FIN'!$A$1:$O$95,15,0))</f>
        <v>0</v>
      </c>
      <c r="W1908" s="6">
        <f>IF(ISERROR(VLOOKUP($T$1908,'TAR FIN'!$A$1:$O$95,15,0)),0,VLOOKUP($T$1908,'TAR FIN'!$A$1:$O$95,15,0))</f>
        <v>378.36</v>
      </c>
      <c r="X1908" s="6">
        <f>IF(ISERROR(VLOOKUP($U$1908,'TAR FIN'!$A$1:$O$95,15,0)),0,VLOOKUP($U$1908,'TAR FIN'!$A$1:$O$95,15,0))</f>
        <v>218.97</v>
      </c>
      <c r="Y1908" s="6"/>
      <c r="Z1908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908" s="6">
        <f>('TE BE'!$AA$16+'TE BF'!$AA$16+'TE CVA'!$AA$16)*(1-CUSTOS!$M$36)</f>
        <v>267.48149736117364</v>
      </c>
      <c r="AB1908" s="6">
        <f>$K$1908*$V$1908</f>
        <v>0</v>
      </c>
      <c r="AC1908" s="6">
        <f>$M$1908*$W$1908</f>
        <v>-4079.8558800000001</v>
      </c>
      <c r="AD1908" s="6">
        <f>$O$1908*$X$1908</f>
        <v>-2361.1535100000001</v>
      </c>
      <c r="AE1908" s="6">
        <f>$K$1908*$Y$1908</f>
        <v>0</v>
      </c>
      <c r="AF1908" s="6">
        <f ca="1">$M$1908*$Z$1908</f>
        <v>-4464.5424008503796</v>
      </c>
      <c r="AG1908" s="6">
        <f>$O$1908*$AA$1908</f>
        <v>-2884.2529860455352</v>
      </c>
    </row>
    <row r="1909" spans="1:33" ht="11.25" customHeight="1" x14ac:dyDescent="0.25">
      <c r="A1909" s="4" t="s">
        <v>30</v>
      </c>
      <c r="B1909" s="4" t="s">
        <v>22</v>
      </c>
      <c r="C1909" s="4" t="s">
        <v>23</v>
      </c>
      <c r="D1909" s="4" t="s">
        <v>24</v>
      </c>
      <c r="E1909" s="4" t="s">
        <v>33</v>
      </c>
      <c r="F1909" s="4" t="s">
        <v>25</v>
      </c>
      <c r="G1909" s="4" t="s">
        <v>25</v>
      </c>
      <c r="H1909" s="4" t="s">
        <v>25</v>
      </c>
      <c r="I1909" s="5">
        <v>44440</v>
      </c>
      <c r="J1909" s="6">
        <v>0</v>
      </c>
      <c r="K1909" s="6">
        <v>0</v>
      </c>
      <c r="L1909" s="6">
        <v>0.72</v>
      </c>
      <c r="M1909" s="6">
        <v>0.72</v>
      </c>
      <c r="N1909" s="6">
        <v>0.72</v>
      </c>
      <c r="O1909" s="6">
        <v>0.72</v>
      </c>
      <c r="P1909" s="6">
        <v>0</v>
      </c>
      <c r="Q1909" s="4" t="s">
        <v>26</v>
      </c>
      <c r="R1909" s="4">
        <v>0</v>
      </c>
      <c r="S1909" s="6">
        <v>0</v>
      </c>
      <c r="T1909" s="6">
        <v>6</v>
      </c>
      <c r="U1909" s="6">
        <v>52</v>
      </c>
      <c r="V1909" s="6">
        <f>IF(ISERROR(VLOOKUP($S$1909,'TAR FIN'!$A$1:$O$95,15,0)),0,VLOOKUP($S$1909,'TAR FIN'!$A$1:$O$95,15,0))</f>
        <v>0</v>
      </c>
      <c r="W1909" s="6">
        <f>IF(ISERROR(VLOOKUP($T$1909,'TAR FIN'!$A$1:$O$95,15,0)),0,VLOOKUP($T$1909,'TAR FIN'!$A$1:$O$95,15,0))</f>
        <v>378.36</v>
      </c>
      <c r="X1909" s="6">
        <f>IF(ISERROR(VLOOKUP($U$1909,'TAR FIN'!$A$1:$O$95,15,0)),0,VLOOKUP($U$1909,'TAR FIN'!$A$1:$O$95,15,0))</f>
        <v>218.97</v>
      </c>
      <c r="Y1909" s="6"/>
      <c r="Z1909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909" s="6">
        <f>('TE BE'!$AA$16+'TE BF'!$AA$16+'TE CVA'!$AA$16)*(1-CUSTOS!$M$36)</f>
        <v>267.48149736117364</v>
      </c>
      <c r="AB1909" s="6">
        <f>$K$1909*$V$1909</f>
        <v>0</v>
      </c>
      <c r="AC1909" s="6">
        <f>$M$1909*$W$1909</f>
        <v>272.41919999999999</v>
      </c>
      <c r="AD1909" s="6">
        <f>$O$1909*$X$1909</f>
        <v>157.6584</v>
      </c>
      <c r="AE1909" s="6">
        <f>$K$1909*$Y$1909</f>
        <v>0</v>
      </c>
      <c r="AF1909" s="6">
        <f ca="1">$M$1909*$Z$1909</f>
        <v>298.1054000382336</v>
      </c>
      <c r="AG1909" s="6">
        <f>$O$1909*$AA$1909</f>
        <v>192.58667810004502</v>
      </c>
    </row>
    <row r="1910" spans="1:33" ht="11.25" customHeight="1" x14ac:dyDescent="0.25">
      <c r="A1910" s="4" t="s">
        <v>59</v>
      </c>
      <c r="B1910" s="4" t="s">
        <v>22</v>
      </c>
      <c r="C1910" s="4" t="s">
        <v>23</v>
      </c>
      <c r="D1910" s="4" t="s">
        <v>24</v>
      </c>
      <c r="E1910" s="4" t="s">
        <v>33</v>
      </c>
      <c r="F1910" s="4" t="s">
        <v>25</v>
      </c>
      <c r="G1910" s="4" t="s">
        <v>25</v>
      </c>
      <c r="H1910" s="4" t="s">
        <v>25</v>
      </c>
      <c r="I1910" s="5">
        <v>44470</v>
      </c>
      <c r="J1910" s="6">
        <v>0</v>
      </c>
      <c r="K1910" s="6">
        <v>0</v>
      </c>
      <c r="L1910" s="6">
        <v>3905.8760000000002</v>
      </c>
      <c r="M1910" s="6">
        <v>3905.8760000000002</v>
      </c>
      <c r="N1910" s="6">
        <v>3905.8760000000002</v>
      </c>
      <c r="O1910" s="6">
        <v>3905.8760000000002</v>
      </c>
      <c r="P1910" s="6">
        <v>22717</v>
      </c>
      <c r="Q1910" s="4" t="s">
        <v>26</v>
      </c>
      <c r="R1910" s="4">
        <v>0</v>
      </c>
      <c r="S1910" s="6">
        <v>0</v>
      </c>
      <c r="T1910" s="6">
        <v>6</v>
      </c>
      <c r="U1910" s="6">
        <v>52</v>
      </c>
      <c r="V1910" s="6">
        <f>IF(ISERROR(VLOOKUP($S$1910,'TAR FIN'!$A$1:$O$95,15,0)),0,VLOOKUP($S$1910,'TAR FIN'!$A$1:$O$95,15,0))</f>
        <v>0</v>
      </c>
      <c r="W1910" s="6">
        <f>IF(ISERROR(VLOOKUP($T$1910,'TAR FIN'!$A$1:$O$95,15,0)),0,VLOOKUP($T$1910,'TAR FIN'!$A$1:$O$95,15,0))</f>
        <v>378.36</v>
      </c>
      <c r="X1910" s="6">
        <f>IF(ISERROR(VLOOKUP($U$1910,'TAR FIN'!$A$1:$O$95,15,0)),0,VLOOKUP($U$1910,'TAR FIN'!$A$1:$O$95,15,0))</f>
        <v>218.97</v>
      </c>
      <c r="Y1910" s="6"/>
      <c r="Z1910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910" s="6">
        <f>('TE BE'!$AA$16+'TE BF'!$AA$16+'TE CVA'!$AA$16)*(1-CUSTOS!$M$36)</f>
        <v>267.48149736117364</v>
      </c>
      <c r="AB1910" s="6">
        <f>$K$1910*$V$1910</f>
        <v>0</v>
      </c>
      <c r="AC1910" s="6">
        <f>$M$1910*$W$1910</f>
        <v>1477827.2433600002</v>
      </c>
      <c r="AD1910" s="6">
        <f>$O$1910*$X$1910</f>
        <v>855269.66772000003</v>
      </c>
      <c r="AE1910" s="6">
        <f>$K$1910*$Y$1910</f>
        <v>0</v>
      </c>
      <c r="AF1910" s="6">
        <f ca="1">$M$1910*$Z$1910</f>
        <v>1617170.4548329664</v>
      </c>
      <c r="AG1910" s="6">
        <f>$O$1910*$AA$1910</f>
        <v>1044749.5609870715</v>
      </c>
    </row>
    <row r="1911" spans="1:33" ht="11.25" customHeight="1" x14ac:dyDescent="0.25">
      <c r="A1911" s="4" t="s">
        <v>59</v>
      </c>
      <c r="B1911" s="4" t="s">
        <v>22</v>
      </c>
      <c r="C1911" s="4" t="s">
        <v>23</v>
      </c>
      <c r="D1911" s="4" t="s">
        <v>24</v>
      </c>
      <c r="E1911" s="4" t="s">
        <v>33</v>
      </c>
      <c r="F1911" s="4" t="s">
        <v>25</v>
      </c>
      <c r="G1911" s="4" t="s">
        <v>25</v>
      </c>
      <c r="H1911" s="4" t="s">
        <v>25</v>
      </c>
      <c r="I1911" s="5">
        <v>44470</v>
      </c>
      <c r="J1911" s="6">
        <v>0</v>
      </c>
      <c r="K1911" s="6">
        <v>0</v>
      </c>
      <c r="L1911" s="6">
        <v>-6.4509999999999996</v>
      </c>
      <c r="M1911" s="6">
        <v>-6.4509999999999996</v>
      </c>
      <c r="N1911" s="6">
        <v>-6.4509999999999996</v>
      </c>
      <c r="O1911" s="6">
        <v>-6.4509999999999996</v>
      </c>
      <c r="P1911" s="6">
        <v>0</v>
      </c>
      <c r="Q1911" s="4" t="s">
        <v>26</v>
      </c>
      <c r="R1911" s="4">
        <v>0</v>
      </c>
      <c r="S1911" s="6">
        <v>0</v>
      </c>
      <c r="T1911" s="6">
        <v>6</v>
      </c>
      <c r="U1911" s="6">
        <v>52</v>
      </c>
      <c r="V1911" s="6">
        <f>IF(ISERROR(VLOOKUP($S$1911,'TAR FIN'!$A$1:$O$95,15,0)),0,VLOOKUP($S$1911,'TAR FIN'!$A$1:$O$95,15,0))</f>
        <v>0</v>
      </c>
      <c r="W1911" s="6">
        <f>IF(ISERROR(VLOOKUP($T$1911,'TAR FIN'!$A$1:$O$95,15,0)),0,VLOOKUP($T$1911,'TAR FIN'!$A$1:$O$95,15,0))</f>
        <v>378.36</v>
      </c>
      <c r="X1911" s="6">
        <f>IF(ISERROR(VLOOKUP($U$1911,'TAR FIN'!$A$1:$O$95,15,0)),0,VLOOKUP($U$1911,'TAR FIN'!$A$1:$O$95,15,0))</f>
        <v>218.97</v>
      </c>
      <c r="Y1911" s="6"/>
      <c r="Z1911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911" s="6">
        <f>('TE BE'!$AA$16+'TE BF'!$AA$16+'TE CVA'!$AA$16)*(1-CUSTOS!$M$36)</f>
        <v>267.48149736117364</v>
      </c>
      <c r="AB1911" s="6">
        <f>$K$1911*$V$1911</f>
        <v>0</v>
      </c>
      <c r="AC1911" s="6">
        <f>$M$1911*$W$1911</f>
        <v>-2440.8003599999997</v>
      </c>
      <c r="AD1911" s="6">
        <f>$O$1911*$X$1911</f>
        <v>-1412.57547</v>
      </c>
      <c r="AE1911" s="6">
        <f>$K$1911*$Y$1911</f>
        <v>0</v>
      </c>
      <c r="AF1911" s="6">
        <f ca="1">$M$1911*$Z$1911</f>
        <v>-2670.941577287007</v>
      </c>
      <c r="AG1911" s="6">
        <f>$O$1911*$AA$1911</f>
        <v>-1725.523139476931</v>
      </c>
    </row>
    <row r="1912" spans="1:33" ht="11.25" customHeight="1" x14ac:dyDescent="0.25">
      <c r="A1912" s="4" t="s">
        <v>59</v>
      </c>
      <c r="B1912" s="4" t="s">
        <v>22</v>
      </c>
      <c r="C1912" s="4" t="s">
        <v>23</v>
      </c>
      <c r="D1912" s="4" t="s">
        <v>24</v>
      </c>
      <c r="E1912" s="4" t="s">
        <v>33</v>
      </c>
      <c r="F1912" s="4" t="s">
        <v>25</v>
      </c>
      <c r="G1912" s="4" t="s">
        <v>25</v>
      </c>
      <c r="H1912" s="4" t="s">
        <v>25</v>
      </c>
      <c r="I1912" s="5">
        <v>44470</v>
      </c>
      <c r="J1912" s="6">
        <v>0</v>
      </c>
      <c r="K1912" s="6">
        <v>0</v>
      </c>
      <c r="L1912" s="6">
        <v>5581.9650000000001</v>
      </c>
      <c r="M1912" s="6">
        <v>5581.9650000000001</v>
      </c>
      <c r="N1912" s="6">
        <v>5581.9650000000001</v>
      </c>
      <c r="O1912" s="6">
        <v>5581.9650000000001</v>
      </c>
      <c r="P1912" s="6">
        <v>47692</v>
      </c>
      <c r="Q1912" s="4" t="s">
        <v>26</v>
      </c>
      <c r="R1912" s="4">
        <v>0</v>
      </c>
      <c r="S1912" s="6">
        <v>0</v>
      </c>
      <c r="T1912" s="6">
        <v>6</v>
      </c>
      <c r="U1912" s="6">
        <v>52</v>
      </c>
      <c r="V1912" s="6">
        <f>IF(ISERROR(VLOOKUP($S$1912,'TAR FIN'!$A$1:$O$95,15,0)),0,VLOOKUP($S$1912,'TAR FIN'!$A$1:$O$95,15,0))</f>
        <v>0</v>
      </c>
      <c r="W1912" s="6">
        <f>IF(ISERROR(VLOOKUP($T$1912,'TAR FIN'!$A$1:$O$95,15,0)),0,VLOOKUP($T$1912,'TAR FIN'!$A$1:$O$95,15,0))</f>
        <v>378.36</v>
      </c>
      <c r="X1912" s="6">
        <f>IF(ISERROR(VLOOKUP($U$1912,'TAR FIN'!$A$1:$O$95,15,0)),0,VLOOKUP($U$1912,'TAR FIN'!$A$1:$O$95,15,0))</f>
        <v>218.97</v>
      </c>
      <c r="Y1912" s="6"/>
      <c r="Z1912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912" s="6">
        <f>('TE BE'!$AA$16+'TE BF'!$AA$16+'TE CVA'!$AA$16)*(1-CUSTOS!$M$36)</f>
        <v>267.48149736117364</v>
      </c>
      <c r="AB1912" s="6">
        <f>$K$1912*$V$1912</f>
        <v>0</v>
      </c>
      <c r="AC1912" s="6">
        <f>$M$1912*$W$1912</f>
        <v>2111992.2774</v>
      </c>
      <c r="AD1912" s="6">
        <f>$O$1912*$X$1912</f>
        <v>1222282.8760500001</v>
      </c>
      <c r="AE1912" s="6">
        <f>$K$1912*$Y$1912</f>
        <v>0</v>
      </c>
      <c r="AF1912" s="6">
        <f ca="1">$M$1912*$Z$1912</f>
        <v>2311130.4296172485</v>
      </c>
      <c r="AG1912" s="6">
        <f>$O$1912*$AA$1912</f>
        <v>1493072.3564176636</v>
      </c>
    </row>
    <row r="1913" spans="1:33" ht="11.25" customHeight="1" x14ac:dyDescent="0.25">
      <c r="A1913" s="4" t="s">
        <v>59</v>
      </c>
      <c r="B1913" s="4" t="s">
        <v>22</v>
      </c>
      <c r="C1913" s="4" t="s">
        <v>23</v>
      </c>
      <c r="D1913" s="4" t="s">
        <v>24</v>
      </c>
      <c r="E1913" s="4" t="s">
        <v>33</v>
      </c>
      <c r="F1913" s="4" t="s">
        <v>25</v>
      </c>
      <c r="G1913" s="4" t="s">
        <v>25</v>
      </c>
      <c r="H1913" s="4" t="s">
        <v>25</v>
      </c>
      <c r="I1913" s="5">
        <v>44470</v>
      </c>
      <c r="J1913" s="6">
        <v>0</v>
      </c>
      <c r="K1913" s="6">
        <v>0</v>
      </c>
      <c r="L1913" s="6">
        <v>-10.782999999999999</v>
      </c>
      <c r="M1913" s="6">
        <v>-10.782999999999999</v>
      </c>
      <c r="N1913" s="6">
        <v>-10.782999999999999</v>
      </c>
      <c r="O1913" s="6">
        <v>-10.782999999999999</v>
      </c>
      <c r="P1913" s="6">
        <v>0</v>
      </c>
      <c r="Q1913" s="4" t="s">
        <v>26</v>
      </c>
      <c r="R1913" s="4">
        <v>0</v>
      </c>
      <c r="S1913" s="6">
        <v>0</v>
      </c>
      <c r="T1913" s="6">
        <v>6</v>
      </c>
      <c r="U1913" s="6">
        <v>52</v>
      </c>
      <c r="V1913" s="6">
        <f>IF(ISERROR(VLOOKUP($S$1913,'TAR FIN'!$A$1:$O$95,15,0)),0,VLOOKUP($S$1913,'TAR FIN'!$A$1:$O$95,15,0))</f>
        <v>0</v>
      </c>
      <c r="W1913" s="6">
        <f>IF(ISERROR(VLOOKUP($T$1913,'TAR FIN'!$A$1:$O$95,15,0)),0,VLOOKUP($T$1913,'TAR FIN'!$A$1:$O$95,15,0))</f>
        <v>378.36</v>
      </c>
      <c r="X1913" s="6">
        <f>IF(ISERROR(VLOOKUP($U$1913,'TAR FIN'!$A$1:$O$95,15,0)),0,VLOOKUP($U$1913,'TAR FIN'!$A$1:$O$95,15,0))</f>
        <v>218.97</v>
      </c>
      <c r="Y1913" s="6"/>
      <c r="Z1913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913" s="6">
        <f>('TE BE'!$AA$16+'TE BF'!$AA$16+'TE CVA'!$AA$16)*(1-CUSTOS!$M$36)</f>
        <v>267.48149736117364</v>
      </c>
      <c r="AB1913" s="6">
        <f>$K$1913*$V$1913</f>
        <v>0</v>
      </c>
      <c r="AC1913" s="6">
        <f>$M$1913*$W$1913</f>
        <v>-4079.8558800000001</v>
      </c>
      <c r="AD1913" s="6">
        <f>$O$1913*$X$1913</f>
        <v>-2361.1535100000001</v>
      </c>
      <c r="AE1913" s="6">
        <f>$K$1913*$Y$1913</f>
        <v>0</v>
      </c>
      <c r="AF1913" s="6">
        <f ca="1">$M$1913*$Z$1913</f>
        <v>-4464.5424008503796</v>
      </c>
      <c r="AG1913" s="6">
        <f>$O$1913*$AA$1913</f>
        <v>-2884.2529860455352</v>
      </c>
    </row>
    <row r="1914" spans="1:33" ht="11.25" customHeight="1" x14ac:dyDescent="0.25">
      <c r="A1914" s="4" t="s">
        <v>59</v>
      </c>
      <c r="B1914" s="4" t="s">
        <v>22</v>
      </c>
      <c r="C1914" s="4" t="s">
        <v>23</v>
      </c>
      <c r="D1914" s="4" t="s">
        <v>24</v>
      </c>
      <c r="E1914" s="4" t="s">
        <v>33</v>
      </c>
      <c r="F1914" s="4" t="s">
        <v>25</v>
      </c>
      <c r="G1914" s="4" t="s">
        <v>25</v>
      </c>
      <c r="H1914" s="4" t="s">
        <v>25</v>
      </c>
      <c r="I1914" s="5">
        <v>44470</v>
      </c>
      <c r="J1914" s="6">
        <v>0</v>
      </c>
      <c r="K1914" s="6">
        <v>0</v>
      </c>
      <c r="L1914" s="6">
        <v>0.72</v>
      </c>
      <c r="M1914" s="6">
        <v>0.72</v>
      </c>
      <c r="N1914" s="6">
        <v>0.72</v>
      </c>
      <c r="O1914" s="6">
        <v>0.72</v>
      </c>
      <c r="P1914" s="6">
        <v>0</v>
      </c>
      <c r="Q1914" s="4" t="s">
        <v>26</v>
      </c>
      <c r="R1914" s="4">
        <v>0</v>
      </c>
      <c r="S1914" s="6">
        <v>0</v>
      </c>
      <c r="T1914" s="6">
        <v>6</v>
      </c>
      <c r="U1914" s="6">
        <v>52</v>
      </c>
      <c r="V1914" s="6">
        <f>IF(ISERROR(VLOOKUP($S$1914,'TAR FIN'!$A$1:$O$95,15,0)),0,VLOOKUP($S$1914,'TAR FIN'!$A$1:$O$95,15,0))</f>
        <v>0</v>
      </c>
      <c r="W1914" s="6">
        <f>IF(ISERROR(VLOOKUP($T$1914,'TAR FIN'!$A$1:$O$95,15,0)),0,VLOOKUP($T$1914,'TAR FIN'!$A$1:$O$95,15,0))</f>
        <v>378.36</v>
      </c>
      <c r="X1914" s="6">
        <f>IF(ISERROR(VLOOKUP($U$1914,'TAR FIN'!$A$1:$O$95,15,0)),0,VLOOKUP($U$1914,'TAR FIN'!$A$1:$O$95,15,0))</f>
        <v>218.97</v>
      </c>
      <c r="Y1914" s="6"/>
      <c r="Z1914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1914" s="6">
        <f>('TE BE'!$AA$16+'TE BF'!$AA$16+'TE CVA'!$AA$16)*(1-CUSTOS!$M$36)</f>
        <v>267.48149736117364</v>
      </c>
      <c r="AB1914" s="6">
        <f>$K$1914*$V$1914</f>
        <v>0</v>
      </c>
      <c r="AC1914" s="6">
        <f>$M$1914*$W$1914</f>
        <v>272.41919999999999</v>
      </c>
      <c r="AD1914" s="6">
        <f>$O$1914*$X$1914</f>
        <v>157.6584</v>
      </c>
      <c r="AE1914" s="6">
        <f>$K$1914*$Y$1914</f>
        <v>0</v>
      </c>
      <c r="AF1914" s="6">
        <f ca="1">$M$1914*$Z$1914</f>
        <v>298.1054000382336</v>
      </c>
      <c r="AG1914" s="6">
        <f>$O$1914*$AA$1914</f>
        <v>192.58667810004502</v>
      </c>
    </row>
    <row r="1915" spans="1:33" ht="11.25" customHeight="1" x14ac:dyDescent="0.25">
      <c r="A1915" s="4" t="s">
        <v>21</v>
      </c>
      <c r="B1915" s="4" t="s">
        <v>22</v>
      </c>
      <c r="C1915" s="4" t="s">
        <v>23</v>
      </c>
      <c r="D1915" s="4" t="s">
        <v>24</v>
      </c>
      <c r="E1915" s="4" t="s">
        <v>34</v>
      </c>
      <c r="F1915" s="4" t="s">
        <v>25</v>
      </c>
      <c r="G1915" s="4" t="s">
        <v>25</v>
      </c>
      <c r="H1915" s="4" t="s">
        <v>25</v>
      </c>
      <c r="I1915" s="5">
        <v>44136</v>
      </c>
      <c r="J1915" s="6">
        <v>0</v>
      </c>
      <c r="K1915" s="6">
        <v>0</v>
      </c>
      <c r="L1915" s="6">
        <v>3173.7080000000001</v>
      </c>
      <c r="M1915" s="6">
        <v>3173.7080000000001</v>
      </c>
      <c r="N1915" s="6">
        <v>3173.7080000000001</v>
      </c>
      <c r="O1915" s="6">
        <v>3173.7080000000001</v>
      </c>
      <c r="P1915" s="6">
        <v>16181</v>
      </c>
      <c r="Q1915" s="4" t="s">
        <v>26</v>
      </c>
      <c r="R1915" s="4">
        <v>0</v>
      </c>
      <c r="S1915" s="6">
        <v>0</v>
      </c>
      <c r="T1915" s="6">
        <v>7</v>
      </c>
      <c r="U1915" s="6">
        <v>53</v>
      </c>
      <c r="V1915" s="6">
        <f>IF(ISERROR(VLOOKUP($S$1915,'TAR FIN'!$A$1:$O$95,15,0)),0,VLOOKUP($S$1915,'TAR FIN'!$A$1:$O$95,15,0))</f>
        <v>0</v>
      </c>
      <c r="W1915" s="6">
        <f>IF(ISERROR(VLOOKUP($T$1915,'TAR FIN'!$A$1:$O$95,15,0)),0,VLOOKUP($T$1915,'TAR FIN'!$A$1:$O$95,15,0))</f>
        <v>420.39</v>
      </c>
      <c r="X1915" s="6">
        <f>IF(ISERROR(VLOOKUP($U$1915,'TAR FIN'!$A$1:$O$95,15,0)),0,VLOOKUP($U$1915,'TAR FIN'!$A$1:$O$95,15,0))</f>
        <v>243.3</v>
      </c>
      <c r="Y1915" s="6"/>
      <c r="Z1915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15" s="6">
        <f>('TE BE'!$AA$17+'TE BF'!$AA$17+'TE CVA'!$AA$17)*(1-CUSTOS!$M$37)</f>
        <v>297.20166373463735</v>
      </c>
      <c r="AB1915" s="6">
        <f>$K$1915*$V$1915</f>
        <v>0</v>
      </c>
      <c r="AC1915" s="6">
        <f>$M$1915*$W$1915</f>
        <v>1334195.1061199999</v>
      </c>
      <c r="AD1915" s="6">
        <f>$O$1915*$X$1915</f>
        <v>772163.15640000009</v>
      </c>
      <c r="AE1915" s="6">
        <f>$K$1915*$Y$1915</f>
        <v>0</v>
      </c>
      <c r="AF1915" s="6">
        <f ca="1">$M$1915*$Z$1915</f>
        <v>1460030.0817045406</v>
      </c>
      <c r="AG1915" s="6">
        <f>$O$1915*$AA$1915</f>
        <v>943231.29780792841</v>
      </c>
    </row>
    <row r="1916" spans="1:33" ht="11.25" customHeight="1" x14ac:dyDescent="0.25">
      <c r="A1916" s="4" t="s">
        <v>27</v>
      </c>
      <c r="B1916" s="4" t="s">
        <v>22</v>
      </c>
      <c r="C1916" s="4" t="s">
        <v>23</v>
      </c>
      <c r="D1916" s="4" t="s">
        <v>24</v>
      </c>
      <c r="E1916" s="4" t="s">
        <v>34</v>
      </c>
      <c r="F1916" s="4" t="s">
        <v>25</v>
      </c>
      <c r="G1916" s="4" t="s">
        <v>25</v>
      </c>
      <c r="H1916" s="4" t="s">
        <v>25</v>
      </c>
      <c r="I1916" s="5">
        <v>44136</v>
      </c>
      <c r="J1916" s="6">
        <v>0</v>
      </c>
      <c r="K1916" s="6">
        <v>0</v>
      </c>
      <c r="L1916" s="6">
        <v>-58.045999999999999</v>
      </c>
      <c r="M1916" s="6">
        <v>-58.045999999999999</v>
      </c>
      <c r="N1916" s="6">
        <v>-58.045999999999999</v>
      </c>
      <c r="O1916" s="6">
        <v>-58.045999999999999</v>
      </c>
      <c r="P1916" s="6">
        <v>-102</v>
      </c>
      <c r="Q1916" s="4" t="s">
        <v>26</v>
      </c>
      <c r="R1916" s="4">
        <v>0</v>
      </c>
      <c r="S1916" s="6">
        <v>0</v>
      </c>
      <c r="T1916" s="6">
        <v>7</v>
      </c>
      <c r="U1916" s="6">
        <v>53</v>
      </c>
      <c r="V1916" s="6">
        <f>IF(ISERROR(VLOOKUP($S$1916,'TAR FIN'!$A$1:$O$95,15,0)),0,VLOOKUP($S$1916,'TAR FIN'!$A$1:$O$95,15,0))</f>
        <v>0</v>
      </c>
      <c r="W1916" s="6">
        <f>IF(ISERROR(VLOOKUP($T$1916,'TAR FIN'!$A$1:$O$95,15,0)),0,VLOOKUP($T$1916,'TAR FIN'!$A$1:$O$95,15,0))</f>
        <v>420.39</v>
      </c>
      <c r="X1916" s="6">
        <f>IF(ISERROR(VLOOKUP($U$1916,'TAR FIN'!$A$1:$O$95,15,0)),0,VLOOKUP($U$1916,'TAR FIN'!$A$1:$O$95,15,0))</f>
        <v>243.3</v>
      </c>
      <c r="Y1916" s="6"/>
      <c r="Z1916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16" s="6">
        <f>('TE BE'!$AA$17+'TE BF'!$AA$17+'TE CVA'!$AA$17)*(1-CUSTOS!$M$37)</f>
        <v>297.20166373463735</v>
      </c>
      <c r="AB1916" s="6">
        <f>$K$1916*$V$1916</f>
        <v>0</v>
      </c>
      <c r="AC1916" s="6">
        <f>$M$1916*$W$1916</f>
        <v>-24401.95794</v>
      </c>
      <c r="AD1916" s="6">
        <f>$O$1916*$X$1916</f>
        <v>-14122.5918</v>
      </c>
      <c r="AE1916" s="6">
        <f>$K$1916*$Y$1916</f>
        <v>0</v>
      </c>
      <c r="AF1916" s="6">
        <f ca="1">$M$1916*$Z$1916</f>
        <v>-26703.435263301402</v>
      </c>
      <c r="AG1916" s="6">
        <f>$O$1916*$AA$1916</f>
        <v>-17251.367773140759</v>
      </c>
    </row>
    <row r="1917" spans="1:33" ht="11.25" customHeight="1" x14ac:dyDescent="0.25">
      <c r="A1917" s="4" t="s">
        <v>28</v>
      </c>
      <c r="B1917" s="4" t="s">
        <v>22</v>
      </c>
      <c r="C1917" s="4" t="s">
        <v>23</v>
      </c>
      <c r="D1917" s="4" t="s">
        <v>24</v>
      </c>
      <c r="E1917" s="4" t="s">
        <v>34</v>
      </c>
      <c r="F1917" s="4" t="s">
        <v>25</v>
      </c>
      <c r="G1917" s="4" t="s">
        <v>25</v>
      </c>
      <c r="H1917" s="4" t="s">
        <v>25</v>
      </c>
      <c r="I1917" s="5">
        <v>44136</v>
      </c>
      <c r="J1917" s="6">
        <v>0</v>
      </c>
      <c r="K1917" s="6">
        <v>0</v>
      </c>
      <c r="L1917" s="6">
        <v>3090.0459999999998</v>
      </c>
      <c r="M1917" s="6">
        <v>3090.0459999999998</v>
      </c>
      <c r="N1917" s="6">
        <v>3090.0459999999998</v>
      </c>
      <c r="O1917" s="6">
        <v>3090.0459999999998</v>
      </c>
      <c r="P1917" s="6">
        <v>22179</v>
      </c>
      <c r="Q1917" s="4" t="s">
        <v>26</v>
      </c>
      <c r="R1917" s="4">
        <v>0</v>
      </c>
      <c r="S1917" s="6">
        <v>0</v>
      </c>
      <c r="T1917" s="6">
        <v>7</v>
      </c>
      <c r="U1917" s="6">
        <v>53</v>
      </c>
      <c r="V1917" s="6">
        <f>IF(ISERROR(VLOOKUP($S$1917,'TAR FIN'!$A$1:$O$95,15,0)),0,VLOOKUP($S$1917,'TAR FIN'!$A$1:$O$95,15,0))</f>
        <v>0</v>
      </c>
      <c r="W1917" s="6">
        <f>IF(ISERROR(VLOOKUP($T$1917,'TAR FIN'!$A$1:$O$95,15,0)),0,VLOOKUP($T$1917,'TAR FIN'!$A$1:$O$95,15,0))</f>
        <v>420.39</v>
      </c>
      <c r="X1917" s="6">
        <f>IF(ISERROR(VLOOKUP($U$1917,'TAR FIN'!$A$1:$O$95,15,0)),0,VLOOKUP($U$1917,'TAR FIN'!$A$1:$O$95,15,0))</f>
        <v>243.3</v>
      </c>
      <c r="Y1917" s="6"/>
      <c r="Z1917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17" s="6">
        <f>('TE BE'!$AA$17+'TE BF'!$AA$17+'TE CVA'!$AA$17)*(1-CUSTOS!$M$37)</f>
        <v>297.20166373463735</v>
      </c>
      <c r="AB1917" s="6">
        <f>$K$1917*$V$1917</f>
        <v>0</v>
      </c>
      <c r="AC1917" s="6">
        <f>$M$1917*$W$1917</f>
        <v>1299024.4379399999</v>
      </c>
      <c r="AD1917" s="6">
        <f>$O$1917*$X$1917</f>
        <v>751808.19180000003</v>
      </c>
      <c r="AE1917" s="6">
        <f>$K$1917*$Y$1917</f>
        <v>0</v>
      </c>
      <c r="AF1917" s="6">
        <f ca="1">$M$1917*$Z$1917</f>
        <v>1421542.2823557772</v>
      </c>
      <c r="AG1917" s="6">
        <f>$O$1917*$AA$1917</f>
        <v>918366.81221656117</v>
      </c>
    </row>
    <row r="1918" spans="1:33" ht="11.25" customHeight="1" x14ac:dyDescent="0.25">
      <c r="A1918" s="4" t="s">
        <v>29</v>
      </c>
      <c r="B1918" s="4" t="s">
        <v>22</v>
      </c>
      <c r="C1918" s="4" t="s">
        <v>23</v>
      </c>
      <c r="D1918" s="4" t="s">
        <v>24</v>
      </c>
      <c r="E1918" s="4" t="s">
        <v>34</v>
      </c>
      <c r="F1918" s="4" t="s">
        <v>25</v>
      </c>
      <c r="G1918" s="4" t="s">
        <v>25</v>
      </c>
      <c r="H1918" s="4" t="s">
        <v>25</v>
      </c>
      <c r="I1918" s="5">
        <v>44136</v>
      </c>
      <c r="J1918" s="6">
        <v>0</v>
      </c>
      <c r="K1918" s="6">
        <v>0</v>
      </c>
      <c r="L1918" s="6">
        <v>-26.347999999999999</v>
      </c>
      <c r="M1918" s="6">
        <v>-26.347999999999999</v>
      </c>
      <c r="N1918" s="6">
        <v>-26.347999999999999</v>
      </c>
      <c r="O1918" s="6">
        <v>-26.347999999999999</v>
      </c>
      <c r="P1918" s="6">
        <v>-89</v>
      </c>
      <c r="Q1918" s="4" t="s">
        <v>26</v>
      </c>
      <c r="R1918" s="4">
        <v>0</v>
      </c>
      <c r="S1918" s="6">
        <v>0</v>
      </c>
      <c r="T1918" s="6">
        <v>7</v>
      </c>
      <c r="U1918" s="6">
        <v>53</v>
      </c>
      <c r="V1918" s="6">
        <f>IF(ISERROR(VLOOKUP($S$1918,'TAR FIN'!$A$1:$O$95,15,0)),0,VLOOKUP($S$1918,'TAR FIN'!$A$1:$O$95,15,0))</f>
        <v>0</v>
      </c>
      <c r="W1918" s="6">
        <f>IF(ISERROR(VLOOKUP($T$1918,'TAR FIN'!$A$1:$O$95,15,0)),0,VLOOKUP($T$1918,'TAR FIN'!$A$1:$O$95,15,0))</f>
        <v>420.39</v>
      </c>
      <c r="X1918" s="6">
        <f>IF(ISERROR(VLOOKUP($U$1918,'TAR FIN'!$A$1:$O$95,15,0)),0,VLOOKUP($U$1918,'TAR FIN'!$A$1:$O$95,15,0))</f>
        <v>243.3</v>
      </c>
      <c r="Y1918" s="6"/>
      <c r="Z1918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18" s="6">
        <f>('TE BE'!$AA$17+'TE BF'!$AA$17+'TE CVA'!$AA$17)*(1-CUSTOS!$M$37)</f>
        <v>297.20166373463735</v>
      </c>
      <c r="AB1918" s="6">
        <f>$K$1918*$V$1918</f>
        <v>0</v>
      </c>
      <c r="AC1918" s="6">
        <f>$M$1918*$W$1918</f>
        <v>-11076.435719999999</v>
      </c>
      <c r="AD1918" s="6">
        <f>$O$1918*$X$1918</f>
        <v>-6410.4683999999997</v>
      </c>
      <c r="AE1918" s="6">
        <f>$K$1918*$Y$1918</f>
        <v>0</v>
      </c>
      <c r="AF1918" s="6">
        <f ca="1">$M$1918*$Z$1918</f>
        <v>-12121.112778097808</v>
      </c>
      <c r="AG1918" s="6">
        <f>$O$1918*$AA$1918</f>
        <v>-7830.6694360802248</v>
      </c>
    </row>
    <row r="1919" spans="1:33" ht="11.25" customHeight="1" x14ac:dyDescent="0.25">
      <c r="A1919" s="4" t="s">
        <v>21</v>
      </c>
      <c r="B1919" s="4" t="s">
        <v>22</v>
      </c>
      <c r="C1919" s="4" t="s">
        <v>23</v>
      </c>
      <c r="D1919" s="4" t="s">
        <v>24</v>
      </c>
      <c r="E1919" s="4" t="s">
        <v>34</v>
      </c>
      <c r="F1919" s="4" t="s">
        <v>25</v>
      </c>
      <c r="G1919" s="4" t="s">
        <v>25</v>
      </c>
      <c r="H1919" s="4" t="s">
        <v>25</v>
      </c>
      <c r="I1919" s="5">
        <v>44166</v>
      </c>
      <c r="J1919" s="6">
        <v>0</v>
      </c>
      <c r="K1919" s="6">
        <v>0</v>
      </c>
      <c r="L1919" s="6">
        <v>3304.6930000000002</v>
      </c>
      <c r="M1919" s="6">
        <v>3304.6930000000002</v>
      </c>
      <c r="N1919" s="6">
        <v>3304.6930000000002</v>
      </c>
      <c r="O1919" s="6">
        <v>3304.6930000000002</v>
      </c>
      <c r="P1919" s="6">
        <v>17972</v>
      </c>
      <c r="Q1919" s="4" t="s">
        <v>26</v>
      </c>
      <c r="R1919" s="4">
        <v>0</v>
      </c>
      <c r="S1919" s="6">
        <v>0</v>
      </c>
      <c r="T1919" s="6">
        <v>7</v>
      </c>
      <c r="U1919" s="6">
        <v>53</v>
      </c>
      <c r="V1919" s="6">
        <f>IF(ISERROR(VLOOKUP($S$1919,'TAR FIN'!$A$1:$O$95,15,0)),0,VLOOKUP($S$1919,'TAR FIN'!$A$1:$O$95,15,0))</f>
        <v>0</v>
      </c>
      <c r="W1919" s="6">
        <f>IF(ISERROR(VLOOKUP($T$1919,'TAR FIN'!$A$1:$O$95,15,0)),0,VLOOKUP($T$1919,'TAR FIN'!$A$1:$O$95,15,0))</f>
        <v>420.39</v>
      </c>
      <c r="X1919" s="6">
        <f>IF(ISERROR(VLOOKUP($U$1919,'TAR FIN'!$A$1:$O$95,15,0)),0,VLOOKUP($U$1919,'TAR FIN'!$A$1:$O$95,15,0))</f>
        <v>243.3</v>
      </c>
      <c r="Y1919" s="6"/>
      <c r="Z1919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19" s="6">
        <f>('TE BE'!$AA$17+'TE BF'!$AA$17+'TE CVA'!$AA$17)*(1-CUSTOS!$M$37)</f>
        <v>297.20166373463735</v>
      </c>
      <c r="AB1919" s="6">
        <f>$K$1919*$V$1919</f>
        <v>0</v>
      </c>
      <c r="AC1919" s="6">
        <f>$M$1919*$W$1919</f>
        <v>1389259.8902700001</v>
      </c>
      <c r="AD1919" s="6">
        <f>$O$1919*$X$1919</f>
        <v>804031.80690000008</v>
      </c>
      <c r="AE1919" s="6">
        <f>$K$1919*$Y$1919</f>
        <v>0</v>
      </c>
      <c r="AF1919" s="6">
        <f ca="1">$M$1919*$Z$1919</f>
        <v>1520288.3160008495</v>
      </c>
      <c r="AG1919" s="6">
        <f>$O$1919*$AA$1919</f>
        <v>982160.25773220998</v>
      </c>
    </row>
    <row r="1920" spans="1:33" ht="11.25" customHeight="1" x14ac:dyDescent="0.25">
      <c r="A1920" s="4" t="s">
        <v>27</v>
      </c>
      <c r="B1920" s="4" t="s">
        <v>22</v>
      </c>
      <c r="C1920" s="4" t="s">
        <v>23</v>
      </c>
      <c r="D1920" s="4" t="s">
        <v>24</v>
      </c>
      <c r="E1920" s="4" t="s">
        <v>34</v>
      </c>
      <c r="F1920" s="4" t="s">
        <v>25</v>
      </c>
      <c r="G1920" s="4" t="s">
        <v>25</v>
      </c>
      <c r="H1920" s="4" t="s">
        <v>25</v>
      </c>
      <c r="I1920" s="5">
        <v>44166</v>
      </c>
      <c r="J1920" s="6">
        <v>0</v>
      </c>
      <c r="K1920" s="6">
        <v>0</v>
      </c>
      <c r="L1920" s="6">
        <v>-39.036999999999999</v>
      </c>
      <c r="M1920" s="6">
        <v>-39.036999999999999</v>
      </c>
      <c r="N1920" s="6">
        <v>-39.036999999999999</v>
      </c>
      <c r="O1920" s="6">
        <v>-39.036999999999999</v>
      </c>
      <c r="P1920" s="6">
        <v>0</v>
      </c>
      <c r="Q1920" s="4" t="s">
        <v>26</v>
      </c>
      <c r="R1920" s="4">
        <v>0</v>
      </c>
      <c r="S1920" s="6">
        <v>0</v>
      </c>
      <c r="T1920" s="6">
        <v>7</v>
      </c>
      <c r="U1920" s="6">
        <v>53</v>
      </c>
      <c r="V1920" s="6">
        <f>IF(ISERROR(VLOOKUP($S$1920,'TAR FIN'!$A$1:$O$95,15,0)),0,VLOOKUP($S$1920,'TAR FIN'!$A$1:$O$95,15,0))</f>
        <v>0</v>
      </c>
      <c r="W1920" s="6">
        <f>IF(ISERROR(VLOOKUP($T$1920,'TAR FIN'!$A$1:$O$95,15,0)),0,VLOOKUP($T$1920,'TAR FIN'!$A$1:$O$95,15,0))</f>
        <v>420.39</v>
      </c>
      <c r="X1920" s="6">
        <f>IF(ISERROR(VLOOKUP($U$1920,'TAR FIN'!$A$1:$O$95,15,0)),0,VLOOKUP($U$1920,'TAR FIN'!$A$1:$O$95,15,0))</f>
        <v>243.3</v>
      </c>
      <c r="Y1920" s="6"/>
      <c r="Z1920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20" s="6">
        <f>('TE BE'!$AA$17+'TE BF'!$AA$17+'TE CVA'!$AA$17)*(1-CUSTOS!$M$37)</f>
        <v>297.20166373463735</v>
      </c>
      <c r="AB1920" s="6">
        <f>$K$1920*$V$1920</f>
        <v>0</v>
      </c>
      <c r="AC1920" s="6">
        <f>$M$1920*$W$1920</f>
        <v>-16410.764429999999</v>
      </c>
      <c r="AD1920" s="6">
        <f>$O$1920*$X$1920</f>
        <v>-9497.7021000000004</v>
      </c>
      <c r="AE1920" s="6">
        <f>$K$1920*$Y$1920</f>
        <v>0</v>
      </c>
      <c r="AF1920" s="6">
        <f ca="1">$M$1920*$Z$1920</f>
        <v>-17958.550156315625</v>
      </c>
      <c r="AG1920" s="6">
        <f>$O$1920*$AA$1920</f>
        <v>-11601.861347209038</v>
      </c>
    </row>
    <row r="1921" spans="1:33" ht="11.25" customHeight="1" x14ac:dyDescent="0.25">
      <c r="A1921" s="4" t="s">
        <v>28</v>
      </c>
      <c r="B1921" s="4" t="s">
        <v>22</v>
      </c>
      <c r="C1921" s="4" t="s">
        <v>23</v>
      </c>
      <c r="D1921" s="4" t="s">
        <v>24</v>
      </c>
      <c r="E1921" s="4" t="s">
        <v>34</v>
      </c>
      <c r="F1921" s="4" t="s">
        <v>25</v>
      </c>
      <c r="G1921" s="4" t="s">
        <v>25</v>
      </c>
      <c r="H1921" s="4" t="s">
        <v>25</v>
      </c>
      <c r="I1921" s="5">
        <v>44166</v>
      </c>
      <c r="J1921" s="6">
        <v>0</v>
      </c>
      <c r="K1921" s="6">
        <v>0</v>
      </c>
      <c r="L1921" s="6">
        <v>2920.3449999999998</v>
      </c>
      <c r="M1921" s="6">
        <v>2920.3449999999998</v>
      </c>
      <c r="N1921" s="6">
        <v>2920.3449999999998</v>
      </c>
      <c r="O1921" s="6">
        <v>2920.3449999999998</v>
      </c>
      <c r="P1921" s="6">
        <v>22588</v>
      </c>
      <c r="Q1921" s="4" t="s">
        <v>26</v>
      </c>
      <c r="R1921" s="4">
        <v>0</v>
      </c>
      <c r="S1921" s="6">
        <v>0</v>
      </c>
      <c r="T1921" s="6">
        <v>7</v>
      </c>
      <c r="U1921" s="6">
        <v>53</v>
      </c>
      <c r="V1921" s="6">
        <f>IF(ISERROR(VLOOKUP($S$1921,'TAR FIN'!$A$1:$O$95,15,0)),0,VLOOKUP($S$1921,'TAR FIN'!$A$1:$O$95,15,0))</f>
        <v>0</v>
      </c>
      <c r="W1921" s="6">
        <f>IF(ISERROR(VLOOKUP($T$1921,'TAR FIN'!$A$1:$O$95,15,0)),0,VLOOKUP($T$1921,'TAR FIN'!$A$1:$O$95,15,0))</f>
        <v>420.39</v>
      </c>
      <c r="X1921" s="6">
        <f>IF(ISERROR(VLOOKUP($U$1921,'TAR FIN'!$A$1:$O$95,15,0)),0,VLOOKUP($U$1921,'TAR FIN'!$A$1:$O$95,15,0))</f>
        <v>243.3</v>
      </c>
      <c r="Y1921" s="6"/>
      <c r="Z1921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21" s="6">
        <f>('TE BE'!$AA$17+'TE BF'!$AA$17+'TE CVA'!$AA$17)*(1-CUSTOS!$M$37)</f>
        <v>297.20166373463735</v>
      </c>
      <c r="AB1921" s="6">
        <f>$K$1921*$V$1921</f>
        <v>0</v>
      </c>
      <c r="AC1921" s="6">
        <f>$M$1921*$W$1921</f>
        <v>1227683.8345499998</v>
      </c>
      <c r="AD1921" s="6">
        <f>$O$1921*$X$1921</f>
        <v>710519.93849999993</v>
      </c>
      <c r="AE1921" s="6">
        <f>$K$1921*$Y$1921</f>
        <v>0</v>
      </c>
      <c r="AF1921" s="6">
        <f ca="1">$M$1921*$Z$1921</f>
        <v>1343473.1704855792</v>
      </c>
      <c r="AG1921" s="6">
        <f>$O$1921*$AA$1921</f>
        <v>867931.39267912949</v>
      </c>
    </row>
    <row r="1922" spans="1:33" ht="11.25" customHeight="1" x14ac:dyDescent="0.25">
      <c r="A1922" s="4" t="s">
        <v>29</v>
      </c>
      <c r="B1922" s="4" t="s">
        <v>22</v>
      </c>
      <c r="C1922" s="4" t="s">
        <v>23</v>
      </c>
      <c r="D1922" s="4" t="s">
        <v>24</v>
      </c>
      <c r="E1922" s="4" t="s">
        <v>34</v>
      </c>
      <c r="F1922" s="4" t="s">
        <v>25</v>
      </c>
      <c r="G1922" s="4" t="s">
        <v>25</v>
      </c>
      <c r="H1922" s="4" t="s">
        <v>25</v>
      </c>
      <c r="I1922" s="5">
        <v>44166</v>
      </c>
      <c r="J1922" s="6">
        <v>0</v>
      </c>
      <c r="K1922" s="6">
        <v>0</v>
      </c>
      <c r="L1922" s="6">
        <v>-37.067</v>
      </c>
      <c r="M1922" s="6">
        <v>-37.067</v>
      </c>
      <c r="N1922" s="6">
        <v>-37.067</v>
      </c>
      <c r="O1922" s="6">
        <v>-37.067</v>
      </c>
      <c r="P1922" s="6">
        <v>0</v>
      </c>
      <c r="Q1922" s="4" t="s">
        <v>26</v>
      </c>
      <c r="R1922" s="4">
        <v>0</v>
      </c>
      <c r="S1922" s="6">
        <v>0</v>
      </c>
      <c r="T1922" s="6">
        <v>7</v>
      </c>
      <c r="U1922" s="6">
        <v>53</v>
      </c>
      <c r="V1922" s="6">
        <f>IF(ISERROR(VLOOKUP($S$1922,'TAR FIN'!$A$1:$O$95,15,0)),0,VLOOKUP($S$1922,'TAR FIN'!$A$1:$O$95,15,0))</f>
        <v>0</v>
      </c>
      <c r="W1922" s="6">
        <f>IF(ISERROR(VLOOKUP($T$1922,'TAR FIN'!$A$1:$O$95,15,0)),0,VLOOKUP($T$1922,'TAR FIN'!$A$1:$O$95,15,0))</f>
        <v>420.39</v>
      </c>
      <c r="X1922" s="6">
        <f>IF(ISERROR(VLOOKUP($U$1922,'TAR FIN'!$A$1:$O$95,15,0)),0,VLOOKUP($U$1922,'TAR FIN'!$A$1:$O$95,15,0))</f>
        <v>243.3</v>
      </c>
      <c r="Y1922" s="6"/>
      <c r="Z1922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22" s="6">
        <f>('TE BE'!$AA$17+'TE BF'!$AA$17+'TE CVA'!$AA$17)*(1-CUSTOS!$M$37)</f>
        <v>297.20166373463735</v>
      </c>
      <c r="AB1922" s="6">
        <f>$K$1922*$V$1922</f>
        <v>0</v>
      </c>
      <c r="AC1922" s="6">
        <f>$M$1922*$W$1922</f>
        <v>-15582.59613</v>
      </c>
      <c r="AD1922" s="6">
        <f>$O$1922*$X$1922</f>
        <v>-9018.401100000001</v>
      </c>
      <c r="AE1922" s="6">
        <f>$K$1922*$Y$1922</f>
        <v>0</v>
      </c>
      <c r="AF1922" s="6">
        <f ca="1">$M$1922*$Z$1922</f>
        <v>-17052.27293706359</v>
      </c>
      <c r="AG1922" s="6">
        <f>$O$1922*$AA$1922</f>
        <v>-11016.374069651803</v>
      </c>
    </row>
    <row r="1923" spans="1:33" ht="11.25" customHeight="1" x14ac:dyDescent="0.25">
      <c r="A1923" s="4" t="s">
        <v>21</v>
      </c>
      <c r="B1923" s="4" t="s">
        <v>22</v>
      </c>
      <c r="C1923" s="4" t="s">
        <v>23</v>
      </c>
      <c r="D1923" s="4" t="s">
        <v>24</v>
      </c>
      <c r="E1923" s="4" t="s">
        <v>34</v>
      </c>
      <c r="F1923" s="4" t="s">
        <v>25</v>
      </c>
      <c r="G1923" s="4" t="s">
        <v>25</v>
      </c>
      <c r="H1923" s="4" t="s">
        <v>25</v>
      </c>
      <c r="I1923" s="5">
        <v>44197</v>
      </c>
      <c r="J1923" s="6">
        <v>0</v>
      </c>
      <c r="K1923" s="6">
        <v>0</v>
      </c>
      <c r="L1923" s="6">
        <v>3638.5790000000002</v>
      </c>
      <c r="M1923" s="6">
        <v>3638.5790000000002</v>
      </c>
      <c r="N1923" s="6">
        <v>3638.5790000000002</v>
      </c>
      <c r="O1923" s="6">
        <v>3638.5790000000002</v>
      </c>
      <c r="P1923" s="6">
        <v>19455</v>
      </c>
      <c r="Q1923" s="4" t="s">
        <v>26</v>
      </c>
      <c r="R1923" s="4">
        <v>0</v>
      </c>
      <c r="S1923" s="6">
        <v>0</v>
      </c>
      <c r="T1923" s="6">
        <v>7</v>
      </c>
      <c r="U1923" s="6">
        <v>53</v>
      </c>
      <c r="V1923" s="6">
        <f>IF(ISERROR(VLOOKUP($S$1923,'TAR FIN'!$A$1:$O$95,15,0)),0,VLOOKUP($S$1923,'TAR FIN'!$A$1:$O$95,15,0))</f>
        <v>0</v>
      </c>
      <c r="W1923" s="6">
        <f>IF(ISERROR(VLOOKUP($T$1923,'TAR FIN'!$A$1:$O$95,15,0)),0,VLOOKUP($T$1923,'TAR FIN'!$A$1:$O$95,15,0))</f>
        <v>420.39</v>
      </c>
      <c r="X1923" s="6">
        <f>IF(ISERROR(VLOOKUP($U$1923,'TAR FIN'!$A$1:$O$95,15,0)),0,VLOOKUP($U$1923,'TAR FIN'!$A$1:$O$95,15,0))</f>
        <v>243.3</v>
      </c>
      <c r="Y1923" s="6"/>
      <c r="Z1923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23" s="6">
        <f>('TE BE'!$AA$17+'TE BF'!$AA$17+'TE CVA'!$AA$17)*(1-CUSTOS!$M$37)</f>
        <v>297.20166373463735</v>
      </c>
      <c r="AB1923" s="6">
        <f>$K$1923*$V$1923</f>
        <v>0</v>
      </c>
      <c r="AC1923" s="6">
        <f>$M$1923*$W$1923</f>
        <v>1529622.22581</v>
      </c>
      <c r="AD1923" s="6">
        <f>$O$1923*$X$1923</f>
        <v>885266.27070000011</v>
      </c>
      <c r="AE1923" s="6">
        <f>$K$1923*$Y$1923</f>
        <v>0</v>
      </c>
      <c r="AF1923" s="6">
        <f ca="1">$M$1923*$Z$1923</f>
        <v>1673888.9635273397</v>
      </c>
      <c r="AG1923" s="6">
        <f>$O$1923*$AA$1923</f>
        <v>1081391.732429913</v>
      </c>
    </row>
    <row r="1924" spans="1:33" ht="11.25" customHeight="1" x14ac:dyDescent="0.25">
      <c r="A1924" s="4" t="s">
        <v>27</v>
      </c>
      <c r="B1924" s="4" t="s">
        <v>22</v>
      </c>
      <c r="C1924" s="4" t="s">
        <v>23</v>
      </c>
      <c r="D1924" s="4" t="s">
        <v>24</v>
      </c>
      <c r="E1924" s="4" t="s">
        <v>34</v>
      </c>
      <c r="F1924" s="4" t="s">
        <v>25</v>
      </c>
      <c r="G1924" s="4" t="s">
        <v>25</v>
      </c>
      <c r="H1924" s="4" t="s">
        <v>25</v>
      </c>
      <c r="I1924" s="5">
        <v>44197</v>
      </c>
      <c r="J1924" s="6">
        <v>0</v>
      </c>
      <c r="K1924" s="6">
        <v>0</v>
      </c>
      <c r="L1924" s="6">
        <v>-45.874000000000002</v>
      </c>
      <c r="M1924" s="6">
        <v>-45.874000000000002</v>
      </c>
      <c r="N1924" s="6">
        <v>-45.874000000000002</v>
      </c>
      <c r="O1924" s="6">
        <v>-45.874000000000002</v>
      </c>
      <c r="P1924" s="6">
        <v>0</v>
      </c>
      <c r="Q1924" s="4" t="s">
        <v>26</v>
      </c>
      <c r="R1924" s="4">
        <v>0</v>
      </c>
      <c r="S1924" s="6">
        <v>0</v>
      </c>
      <c r="T1924" s="6">
        <v>7</v>
      </c>
      <c r="U1924" s="6">
        <v>53</v>
      </c>
      <c r="V1924" s="6">
        <f>IF(ISERROR(VLOOKUP($S$1924,'TAR FIN'!$A$1:$O$95,15,0)),0,VLOOKUP($S$1924,'TAR FIN'!$A$1:$O$95,15,0))</f>
        <v>0</v>
      </c>
      <c r="W1924" s="6">
        <f>IF(ISERROR(VLOOKUP($T$1924,'TAR FIN'!$A$1:$O$95,15,0)),0,VLOOKUP($T$1924,'TAR FIN'!$A$1:$O$95,15,0))</f>
        <v>420.39</v>
      </c>
      <c r="X1924" s="6">
        <f>IF(ISERROR(VLOOKUP($U$1924,'TAR FIN'!$A$1:$O$95,15,0)),0,VLOOKUP($U$1924,'TAR FIN'!$A$1:$O$95,15,0))</f>
        <v>243.3</v>
      </c>
      <c r="Y1924" s="6"/>
      <c r="Z1924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24" s="6">
        <f>('TE BE'!$AA$17+'TE BF'!$AA$17+'TE CVA'!$AA$17)*(1-CUSTOS!$M$37)</f>
        <v>297.20166373463735</v>
      </c>
      <c r="AB1924" s="6">
        <f>$K$1924*$V$1924</f>
        <v>0</v>
      </c>
      <c r="AC1924" s="6">
        <f>$M$1924*$W$1924</f>
        <v>-19284.970860000001</v>
      </c>
      <c r="AD1924" s="6">
        <f>$O$1924*$X$1924</f>
        <v>-11161.144200000001</v>
      </c>
      <c r="AE1924" s="6">
        <f>$K$1924*$Y$1924</f>
        <v>0</v>
      </c>
      <c r="AF1924" s="6">
        <f ca="1">$M$1924*$Z$1924</f>
        <v>-21103.838150237545</v>
      </c>
      <c r="AG1924" s="6">
        <f>$O$1924*$AA$1924</f>
        <v>-13633.829122162755</v>
      </c>
    </row>
    <row r="1925" spans="1:33" ht="11.25" customHeight="1" x14ac:dyDescent="0.25">
      <c r="A1925" s="4" t="s">
        <v>28</v>
      </c>
      <c r="B1925" s="4" t="s">
        <v>22</v>
      </c>
      <c r="C1925" s="4" t="s">
        <v>23</v>
      </c>
      <c r="D1925" s="4" t="s">
        <v>24</v>
      </c>
      <c r="E1925" s="4" t="s">
        <v>34</v>
      </c>
      <c r="F1925" s="4" t="s">
        <v>25</v>
      </c>
      <c r="G1925" s="4" t="s">
        <v>25</v>
      </c>
      <c r="H1925" s="4" t="s">
        <v>25</v>
      </c>
      <c r="I1925" s="5">
        <v>44197</v>
      </c>
      <c r="J1925" s="6">
        <v>0</v>
      </c>
      <c r="K1925" s="6">
        <v>0</v>
      </c>
      <c r="L1925" s="6">
        <v>2588.674</v>
      </c>
      <c r="M1925" s="6">
        <v>2588.674</v>
      </c>
      <c r="N1925" s="6">
        <v>2588.674</v>
      </c>
      <c r="O1925" s="6">
        <v>2588.674</v>
      </c>
      <c r="P1925" s="6">
        <v>20751</v>
      </c>
      <c r="Q1925" s="4" t="s">
        <v>26</v>
      </c>
      <c r="R1925" s="4">
        <v>0</v>
      </c>
      <c r="S1925" s="6">
        <v>0</v>
      </c>
      <c r="T1925" s="6">
        <v>7</v>
      </c>
      <c r="U1925" s="6">
        <v>53</v>
      </c>
      <c r="V1925" s="6">
        <f>IF(ISERROR(VLOOKUP($S$1925,'TAR FIN'!$A$1:$O$95,15,0)),0,VLOOKUP($S$1925,'TAR FIN'!$A$1:$O$95,15,0))</f>
        <v>0</v>
      </c>
      <c r="W1925" s="6">
        <f>IF(ISERROR(VLOOKUP($T$1925,'TAR FIN'!$A$1:$O$95,15,0)),0,VLOOKUP($T$1925,'TAR FIN'!$A$1:$O$95,15,0))</f>
        <v>420.39</v>
      </c>
      <c r="X1925" s="6">
        <f>IF(ISERROR(VLOOKUP($U$1925,'TAR FIN'!$A$1:$O$95,15,0)),0,VLOOKUP($U$1925,'TAR FIN'!$A$1:$O$95,15,0))</f>
        <v>243.3</v>
      </c>
      <c r="Y1925" s="6"/>
      <c r="Z1925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25" s="6">
        <f>('TE BE'!$AA$17+'TE BF'!$AA$17+'TE CVA'!$AA$17)*(1-CUSTOS!$M$37)</f>
        <v>297.20166373463735</v>
      </c>
      <c r="AB1925" s="6">
        <f>$K$1925*$V$1925</f>
        <v>0</v>
      </c>
      <c r="AC1925" s="6">
        <f>$M$1925*$W$1925</f>
        <v>1088252.66286</v>
      </c>
      <c r="AD1925" s="6">
        <f>$O$1925*$X$1925</f>
        <v>629824.38419999997</v>
      </c>
      <c r="AE1925" s="6">
        <f>$K$1925*$Y$1925</f>
        <v>0</v>
      </c>
      <c r="AF1925" s="6">
        <f ca="1">$M$1925*$Z$1925</f>
        <v>1190891.5097817506</v>
      </c>
      <c r="AG1925" s="6">
        <f>$O$1925*$AA$1925</f>
        <v>769358.2196665986</v>
      </c>
    </row>
    <row r="1926" spans="1:33" ht="11.25" customHeight="1" x14ac:dyDescent="0.25">
      <c r="A1926" s="4" t="s">
        <v>29</v>
      </c>
      <c r="B1926" s="4" t="s">
        <v>22</v>
      </c>
      <c r="C1926" s="4" t="s">
        <v>23</v>
      </c>
      <c r="D1926" s="4" t="s">
        <v>24</v>
      </c>
      <c r="E1926" s="4" t="s">
        <v>34</v>
      </c>
      <c r="F1926" s="4" t="s">
        <v>25</v>
      </c>
      <c r="G1926" s="4" t="s">
        <v>25</v>
      </c>
      <c r="H1926" s="4" t="s">
        <v>25</v>
      </c>
      <c r="I1926" s="5">
        <v>44197</v>
      </c>
      <c r="J1926" s="6">
        <v>0</v>
      </c>
      <c r="K1926" s="6">
        <v>0</v>
      </c>
      <c r="L1926" s="6">
        <v>-37.098999999999997</v>
      </c>
      <c r="M1926" s="6">
        <v>-37.098999999999997</v>
      </c>
      <c r="N1926" s="6">
        <v>-37.098999999999997</v>
      </c>
      <c r="O1926" s="6">
        <v>-37.098999999999997</v>
      </c>
      <c r="P1926" s="6">
        <v>0</v>
      </c>
      <c r="Q1926" s="4" t="s">
        <v>26</v>
      </c>
      <c r="R1926" s="4">
        <v>0</v>
      </c>
      <c r="S1926" s="6">
        <v>0</v>
      </c>
      <c r="T1926" s="6">
        <v>7</v>
      </c>
      <c r="U1926" s="6">
        <v>53</v>
      </c>
      <c r="V1926" s="6">
        <f>IF(ISERROR(VLOOKUP($S$1926,'TAR FIN'!$A$1:$O$95,15,0)),0,VLOOKUP($S$1926,'TAR FIN'!$A$1:$O$95,15,0))</f>
        <v>0</v>
      </c>
      <c r="W1926" s="6">
        <f>IF(ISERROR(VLOOKUP($T$1926,'TAR FIN'!$A$1:$O$95,15,0)),0,VLOOKUP($T$1926,'TAR FIN'!$A$1:$O$95,15,0))</f>
        <v>420.39</v>
      </c>
      <c r="X1926" s="6">
        <f>IF(ISERROR(VLOOKUP($U$1926,'TAR FIN'!$A$1:$O$95,15,0)),0,VLOOKUP($U$1926,'TAR FIN'!$A$1:$O$95,15,0))</f>
        <v>243.3</v>
      </c>
      <c r="Y1926" s="6"/>
      <c r="Z1926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26" s="6">
        <f>('TE BE'!$AA$17+'TE BF'!$AA$17+'TE CVA'!$AA$17)*(1-CUSTOS!$M$37)</f>
        <v>297.20166373463735</v>
      </c>
      <c r="AB1926" s="6">
        <f>$K$1926*$V$1926</f>
        <v>0</v>
      </c>
      <c r="AC1926" s="6">
        <f>$M$1926*$W$1926</f>
        <v>-15596.048609999998</v>
      </c>
      <c r="AD1926" s="6">
        <f>$O$1926*$X$1926</f>
        <v>-9026.1867000000002</v>
      </c>
      <c r="AE1926" s="6">
        <f>$K$1926*$Y$1926</f>
        <v>0</v>
      </c>
      <c r="AF1926" s="6">
        <f ca="1">$M$1926*$Z$1926</f>
        <v>-17066.994191386464</v>
      </c>
      <c r="AG1926" s="6">
        <f>$O$1926*$AA$1926</f>
        <v>-11025.884522891311</v>
      </c>
    </row>
    <row r="1927" spans="1:33" ht="11.25" customHeight="1" x14ac:dyDescent="0.25">
      <c r="A1927" s="4" t="s">
        <v>21</v>
      </c>
      <c r="B1927" s="4" t="s">
        <v>22</v>
      </c>
      <c r="C1927" s="4" t="s">
        <v>23</v>
      </c>
      <c r="D1927" s="4" t="s">
        <v>24</v>
      </c>
      <c r="E1927" s="4" t="s">
        <v>34</v>
      </c>
      <c r="F1927" s="4" t="s">
        <v>25</v>
      </c>
      <c r="G1927" s="4" t="s">
        <v>25</v>
      </c>
      <c r="H1927" s="4" t="s">
        <v>25</v>
      </c>
      <c r="I1927" s="5">
        <v>44228</v>
      </c>
      <c r="J1927" s="6">
        <v>0</v>
      </c>
      <c r="K1927" s="6">
        <v>0</v>
      </c>
      <c r="L1927" s="6">
        <v>2583.326</v>
      </c>
      <c r="M1927" s="6">
        <v>2583.326</v>
      </c>
      <c r="N1927" s="6">
        <v>2583.326</v>
      </c>
      <c r="O1927" s="6">
        <v>2583.326</v>
      </c>
      <c r="P1927" s="6">
        <v>15165</v>
      </c>
      <c r="Q1927" s="4" t="s">
        <v>26</v>
      </c>
      <c r="R1927" s="4">
        <v>0</v>
      </c>
      <c r="S1927" s="6">
        <v>0</v>
      </c>
      <c r="T1927" s="6">
        <v>7</v>
      </c>
      <c r="U1927" s="6">
        <v>53</v>
      </c>
      <c r="V1927" s="6">
        <f>IF(ISERROR(VLOOKUP($S$1927,'TAR FIN'!$A$1:$O$95,15,0)),0,VLOOKUP($S$1927,'TAR FIN'!$A$1:$O$95,15,0))</f>
        <v>0</v>
      </c>
      <c r="W1927" s="6">
        <f>IF(ISERROR(VLOOKUP($T$1927,'TAR FIN'!$A$1:$O$95,15,0)),0,VLOOKUP($T$1927,'TAR FIN'!$A$1:$O$95,15,0))</f>
        <v>420.39</v>
      </c>
      <c r="X1927" s="6">
        <f>IF(ISERROR(VLOOKUP($U$1927,'TAR FIN'!$A$1:$O$95,15,0)),0,VLOOKUP($U$1927,'TAR FIN'!$A$1:$O$95,15,0))</f>
        <v>243.3</v>
      </c>
      <c r="Y1927" s="6"/>
      <c r="Z1927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27" s="6">
        <f>('TE BE'!$AA$17+'TE BF'!$AA$17+'TE CVA'!$AA$17)*(1-CUSTOS!$M$37)</f>
        <v>297.20166373463735</v>
      </c>
      <c r="AB1927" s="6">
        <f>$K$1927*$V$1927</f>
        <v>0</v>
      </c>
      <c r="AC1927" s="6">
        <f>$M$1927*$W$1927</f>
        <v>1086004.41714</v>
      </c>
      <c r="AD1927" s="6">
        <f>$O$1927*$X$1927</f>
        <v>628523.21580000001</v>
      </c>
      <c r="AE1927" s="6">
        <f>$K$1927*$Y$1927</f>
        <v>0</v>
      </c>
      <c r="AF1927" s="6">
        <f ca="1">$M$1927*$Z$1927</f>
        <v>1188431.22015304</v>
      </c>
      <c r="AG1927" s="6">
        <f>$O$1927*$AA$1927</f>
        <v>767768.78516894579</v>
      </c>
    </row>
    <row r="1928" spans="1:33" ht="11.25" customHeight="1" x14ac:dyDescent="0.25">
      <c r="A1928" s="4" t="s">
        <v>27</v>
      </c>
      <c r="B1928" s="4" t="s">
        <v>22</v>
      </c>
      <c r="C1928" s="4" t="s">
        <v>23</v>
      </c>
      <c r="D1928" s="4" t="s">
        <v>24</v>
      </c>
      <c r="E1928" s="4" t="s">
        <v>34</v>
      </c>
      <c r="F1928" s="4" t="s">
        <v>25</v>
      </c>
      <c r="G1928" s="4" t="s">
        <v>25</v>
      </c>
      <c r="H1928" s="4" t="s">
        <v>25</v>
      </c>
      <c r="I1928" s="5">
        <v>44228</v>
      </c>
      <c r="J1928" s="6">
        <v>0</v>
      </c>
      <c r="K1928" s="6">
        <v>0</v>
      </c>
      <c r="L1928" s="6">
        <v>-123.56699999999999</v>
      </c>
      <c r="M1928" s="6">
        <v>-123.56699999999999</v>
      </c>
      <c r="N1928" s="6">
        <v>-123.56699999999999</v>
      </c>
      <c r="O1928" s="6">
        <v>-123.56699999999999</v>
      </c>
      <c r="P1928" s="6">
        <v>0</v>
      </c>
      <c r="Q1928" s="4" t="s">
        <v>26</v>
      </c>
      <c r="R1928" s="4">
        <v>0</v>
      </c>
      <c r="S1928" s="6">
        <v>0</v>
      </c>
      <c r="T1928" s="6">
        <v>7</v>
      </c>
      <c r="U1928" s="6">
        <v>53</v>
      </c>
      <c r="V1928" s="6">
        <f>IF(ISERROR(VLOOKUP($S$1928,'TAR FIN'!$A$1:$O$95,15,0)),0,VLOOKUP($S$1928,'TAR FIN'!$A$1:$O$95,15,0))</f>
        <v>0</v>
      </c>
      <c r="W1928" s="6">
        <f>IF(ISERROR(VLOOKUP($T$1928,'TAR FIN'!$A$1:$O$95,15,0)),0,VLOOKUP($T$1928,'TAR FIN'!$A$1:$O$95,15,0))</f>
        <v>420.39</v>
      </c>
      <c r="X1928" s="6">
        <f>IF(ISERROR(VLOOKUP($U$1928,'TAR FIN'!$A$1:$O$95,15,0)),0,VLOOKUP($U$1928,'TAR FIN'!$A$1:$O$95,15,0))</f>
        <v>243.3</v>
      </c>
      <c r="Y1928" s="6"/>
      <c r="Z1928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28" s="6">
        <f>('TE BE'!$AA$17+'TE BF'!$AA$17+'TE CVA'!$AA$17)*(1-CUSTOS!$M$37)</f>
        <v>297.20166373463735</v>
      </c>
      <c r="AB1928" s="6">
        <f>$K$1928*$V$1928</f>
        <v>0</v>
      </c>
      <c r="AC1928" s="6">
        <f>$M$1928*$W$1928</f>
        <v>-51946.331129999999</v>
      </c>
      <c r="AD1928" s="6">
        <f>$O$1928*$X$1928</f>
        <v>-30063.8511</v>
      </c>
      <c r="AE1928" s="6">
        <f>$K$1928*$Y$1928</f>
        <v>0</v>
      </c>
      <c r="AF1928" s="6">
        <f ca="1">$M$1928*$Z$1928</f>
        <v>-56845.663528587058</v>
      </c>
      <c r="AG1928" s="6">
        <f>$O$1928*$AA$1928</f>
        <v>-36724.317982697932</v>
      </c>
    </row>
    <row r="1929" spans="1:33" ht="11.25" customHeight="1" x14ac:dyDescent="0.25">
      <c r="A1929" s="4" t="s">
        <v>28</v>
      </c>
      <c r="B1929" s="4" t="s">
        <v>22</v>
      </c>
      <c r="C1929" s="4" t="s">
        <v>23</v>
      </c>
      <c r="D1929" s="4" t="s">
        <v>24</v>
      </c>
      <c r="E1929" s="4" t="s">
        <v>34</v>
      </c>
      <c r="F1929" s="4" t="s">
        <v>25</v>
      </c>
      <c r="G1929" s="4" t="s">
        <v>25</v>
      </c>
      <c r="H1929" s="4" t="s">
        <v>25</v>
      </c>
      <c r="I1929" s="5">
        <v>44228</v>
      </c>
      <c r="J1929" s="6">
        <v>0</v>
      </c>
      <c r="K1929" s="6">
        <v>0</v>
      </c>
      <c r="L1929" s="6">
        <v>2367.0630000000001</v>
      </c>
      <c r="M1929" s="6">
        <v>2367.0630000000001</v>
      </c>
      <c r="N1929" s="6">
        <v>2367.0630000000001</v>
      </c>
      <c r="O1929" s="6">
        <v>2367.0630000000001</v>
      </c>
      <c r="P1929" s="6">
        <v>18784</v>
      </c>
      <c r="Q1929" s="4" t="s">
        <v>26</v>
      </c>
      <c r="R1929" s="4">
        <v>0</v>
      </c>
      <c r="S1929" s="6">
        <v>0</v>
      </c>
      <c r="T1929" s="6">
        <v>7</v>
      </c>
      <c r="U1929" s="6">
        <v>53</v>
      </c>
      <c r="V1929" s="6">
        <f>IF(ISERROR(VLOOKUP($S$1929,'TAR FIN'!$A$1:$O$95,15,0)),0,VLOOKUP($S$1929,'TAR FIN'!$A$1:$O$95,15,0))</f>
        <v>0</v>
      </c>
      <c r="W1929" s="6">
        <f>IF(ISERROR(VLOOKUP($T$1929,'TAR FIN'!$A$1:$O$95,15,0)),0,VLOOKUP($T$1929,'TAR FIN'!$A$1:$O$95,15,0))</f>
        <v>420.39</v>
      </c>
      <c r="X1929" s="6">
        <f>IF(ISERROR(VLOOKUP($U$1929,'TAR FIN'!$A$1:$O$95,15,0)),0,VLOOKUP($U$1929,'TAR FIN'!$A$1:$O$95,15,0))</f>
        <v>243.3</v>
      </c>
      <c r="Y1929" s="6"/>
      <c r="Z1929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29" s="6">
        <f>('TE BE'!$AA$17+'TE BF'!$AA$17+'TE CVA'!$AA$17)*(1-CUSTOS!$M$37)</f>
        <v>297.20166373463735</v>
      </c>
      <c r="AB1929" s="6">
        <f>$K$1929*$V$1929</f>
        <v>0</v>
      </c>
      <c r="AC1929" s="6">
        <f>$M$1929*$W$1929</f>
        <v>995089.61456999998</v>
      </c>
      <c r="AD1929" s="6">
        <f>$O$1929*$X$1929</f>
        <v>575906.42790000001</v>
      </c>
      <c r="AE1929" s="6">
        <f>$K$1929*$Y$1929</f>
        <v>0</v>
      </c>
      <c r="AF1929" s="6">
        <f ca="1">$M$1929*$Z$1929</f>
        <v>1088941.7631646628</v>
      </c>
      <c r="AG1929" s="6">
        <f>$O$1929*$AA$1929</f>
        <v>703495.06176470197</v>
      </c>
    </row>
    <row r="1930" spans="1:33" ht="11.25" customHeight="1" x14ac:dyDescent="0.25">
      <c r="A1930" s="4" t="s">
        <v>29</v>
      </c>
      <c r="B1930" s="4" t="s">
        <v>22</v>
      </c>
      <c r="C1930" s="4" t="s">
        <v>23</v>
      </c>
      <c r="D1930" s="4" t="s">
        <v>24</v>
      </c>
      <c r="E1930" s="4" t="s">
        <v>34</v>
      </c>
      <c r="F1930" s="4" t="s">
        <v>25</v>
      </c>
      <c r="G1930" s="4" t="s">
        <v>25</v>
      </c>
      <c r="H1930" s="4" t="s">
        <v>25</v>
      </c>
      <c r="I1930" s="5">
        <v>44228</v>
      </c>
      <c r="J1930" s="6">
        <v>0</v>
      </c>
      <c r="K1930" s="6">
        <v>0</v>
      </c>
      <c r="L1930" s="6">
        <v>-46.963000000000001</v>
      </c>
      <c r="M1930" s="6">
        <v>-46.963000000000001</v>
      </c>
      <c r="N1930" s="6">
        <v>-46.963000000000001</v>
      </c>
      <c r="O1930" s="6">
        <v>-46.963000000000001</v>
      </c>
      <c r="P1930" s="6">
        <v>0</v>
      </c>
      <c r="Q1930" s="4" t="s">
        <v>26</v>
      </c>
      <c r="R1930" s="4">
        <v>0</v>
      </c>
      <c r="S1930" s="6">
        <v>0</v>
      </c>
      <c r="T1930" s="6">
        <v>7</v>
      </c>
      <c r="U1930" s="6">
        <v>53</v>
      </c>
      <c r="V1930" s="6">
        <f>IF(ISERROR(VLOOKUP($S$1930,'TAR FIN'!$A$1:$O$95,15,0)),0,VLOOKUP($S$1930,'TAR FIN'!$A$1:$O$95,15,0))</f>
        <v>0</v>
      </c>
      <c r="W1930" s="6">
        <f>IF(ISERROR(VLOOKUP($T$1930,'TAR FIN'!$A$1:$O$95,15,0)),0,VLOOKUP($T$1930,'TAR FIN'!$A$1:$O$95,15,0))</f>
        <v>420.39</v>
      </c>
      <c r="X1930" s="6">
        <f>IF(ISERROR(VLOOKUP($U$1930,'TAR FIN'!$A$1:$O$95,15,0)),0,VLOOKUP($U$1930,'TAR FIN'!$A$1:$O$95,15,0))</f>
        <v>243.3</v>
      </c>
      <c r="Y1930" s="6"/>
      <c r="Z1930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30" s="6">
        <f>('TE BE'!$AA$17+'TE BF'!$AA$17+'TE CVA'!$AA$17)*(1-CUSTOS!$M$37)</f>
        <v>297.20166373463735</v>
      </c>
      <c r="AB1930" s="6">
        <f>$K$1930*$V$1930</f>
        <v>0</v>
      </c>
      <c r="AC1930" s="6">
        <f>$M$1930*$W$1930</f>
        <v>-19742.775569999998</v>
      </c>
      <c r="AD1930" s="6">
        <f>$O$1930*$X$1930</f>
        <v>-11426.097900000001</v>
      </c>
      <c r="AE1930" s="6">
        <f>$K$1930*$Y$1930</f>
        <v>0</v>
      </c>
      <c r="AF1930" s="6">
        <f ca="1">$M$1930*$Z$1930</f>
        <v>-21604.82083641291</v>
      </c>
      <c r="AG1930" s="6">
        <f>$O$1930*$AA$1930</f>
        <v>-13957.481733969775</v>
      </c>
    </row>
    <row r="1931" spans="1:33" ht="11.25" customHeight="1" x14ac:dyDescent="0.25">
      <c r="A1931" s="4" t="s">
        <v>21</v>
      </c>
      <c r="B1931" s="4" t="s">
        <v>22</v>
      </c>
      <c r="C1931" s="4" t="s">
        <v>23</v>
      </c>
      <c r="D1931" s="4" t="s">
        <v>24</v>
      </c>
      <c r="E1931" s="4" t="s">
        <v>34</v>
      </c>
      <c r="F1931" s="4" t="s">
        <v>25</v>
      </c>
      <c r="G1931" s="4" t="s">
        <v>25</v>
      </c>
      <c r="H1931" s="4" t="s">
        <v>25</v>
      </c>
      <c r="I1931" s="5">
        <v>44256</v>
      </c>
      <c r="J1931" s="6">
        <v>0</v>
      </c>
      <c r="K1931" s="6">
        <v>0</v>
      </c>
      <c r="L1931" s="6">
        <v>3072.7719999999999</v>
      </c>
      <c r="M1931" s="6">
        <v>3072.7719999999999</v>
      </c>
      <c r="N1931" s="6">
        <v>3072.7719999999999</v>
      </c>
      <c r="O1931" s="6">
        <v>3072.7719999999999</v>
      </c>
      <c r="P1931" s="6">
        <v>17326</v>
      </c>
      <c r="Q1931" s="4" t="s">
        <v>26</v>
      </c>
      <c r="R1931" s="4">
        <v>0</v>
      </c>
      <c r="S1931" s="6">
        <v>0</v>
      </c>
      <c r="T1931" s="6">
        <v>7</v>
      </c>
      <c r="U1931" s="6">
        <v>53</v>
      </c>
      <c r="V1931" s="6">
        <f>IF(ISERROR(VLOOKUP($S$1931,'TAR FIN'!$A$1:$O$95,15,0)),0,VLOOKUP($S$1931,'TAR FIN'!$A$1:$O$95,15,0))</f>
        <v>0</v>
      </c>
      <c r="W1931" s="6">
        <f>IF(ISERROR(VLOOKUP($T$1931,'TAR FIN'!$A$1:$O$95,15,0)),0,VLOOKUP($T$1931,'TAR FIN'!$A$1:$O$95,15,0))</f>
        <v>420.39</v>
      </c>
      <c r="X1931" s="6">
        <f>IF(ISERROR(VLOOKUP($U$1931,'TAR FIN'!$A$1:$O$95,15,0)),0,VLOOKUP($U$1931,'TAR FIN'!$A$1:$O$95,15,0))</f>
        <v>243.3</v>
      </c>
      <c r="Y1931" s="6"/>
      <c r="Z1931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31" s="6">
        <f>('TE BE'!$AA$17+'TE BF'!$AA$17+'TE CVA'!$AA$17)*(1-CUSTOS!$M$37)</f>
        <v>297.20166373463735</v>
      </c>
      <c r="AB1931" s="6">
        <f>$K$1931*$V$1931</f>
        <v>0</v>
      </c>
      <c r="AC1931" s="6">
        <f>$M$1931*$W$1931</f>
        <v>1291762.62108</v>
      </c>
      <c r="AD1931" s="6">
        <f>$O$1931*$X$1931</f>
        <v>747605.42760000005</v>
      </c>
      <c r="AE1931" s="6">
        <f>$K$1931*$Y$1931</f>
        <v>0</v>
      </c>
      <c r="AF1931" s="6">
        <f ca="1">$M$1931*$Z$1931</f>
        <v>1413595.5652566098</v>
      </c>
      <c r="AG1931" s="6">
        <f>$O$1931*$AA$1931</f>
        <v>913232.95067720907</v>
      </c>
    </row>
    <row r="1932" spans="1:33" ht="11.25" customHeight="1" x14ac:dyDescent="0.25">
      <c r="A1932" s="4" t="s">
        <v>27</v>
      </c>
      <c r="B1932" s="4" t="s">
        <v>22</v>
      </c>
      <c r="C1932" s="4" t="s">
        <v>23</v>
      </c>
      <c r="D1932" s="4" t="s">
        <v>24</v>
      </c>
      <c r="E1932" s="4" t="s">
        <v>34</v>
      </c>
      <c r="F1932" s="4" t="s">
        <v>25</v>
      </c>
      <c r="G1932" s="4" t="s">
        <v>25</v>
      </c>
      <c r="H1932" s="4" t="s">
        <v>25</v>
      </c>
      <c r="I1932" s="5">
        <v>44256</v>
      </c>
      <c r="J1932" s="6">
        <v>0</v>
      </c>
      <c r="K1932" s="6">
        <v>0</v>
      </c>
      <c r="L1932" s="6">
        <v>-92.253</v>
      </c>
      <c r="M1932" s="6">
        <v>-92.253</v>
      </c>
      <c r="N1932" s="6">
        <v>-92.253</v>
      </c>
      <c r="O1932" s="6">
        <v>-92.253</v>
      </c>
      <c r="P1932" s="6">
        <v>0</v>
      </c>
      <c r="Q1932" s="4" t="s">
        <v>26</v>
      </c>
      <c r="R1932" s="4">
        <v>0</v>
      </c>
      <c r="S1932" s="6">
        <v>0</v>
      </c>
      <c r="T1932" s="6">
        <v>7</v>
      </c>
      <c r="U1932" s="6">
        <v>53</v>
      </c>
      <c r="V1932" s="6">
        <f>IF(ISERROR(VLOOKUP($S$1932,'TAR FIN'!$A$1:$O$95,15,0)),0,VLOOKUP($S$1932,'TAR FIN'!$A$1:$O$95,15,0))</f>
        <v>0</v>
      </c>
      <c r="W1932" s="6">
        <f>IF(ISERROR(VLOOKUP($T$1932,'TAR FIN'!$A$1:$O$95,15,0)),0,VLOOKUP($T$1932,'TAR FIN'!$A$1:$O$95,15,0))</f>
        <v>420.39</v>
      </c>
      <c r="X1932" s="6">
        <f>IF(ISERROR(VLOOKUP($U$1932,'TAR FIN'!$A$1:$O$95,15,0)),0,VLOOKUP($U$1932,'TAR FIN'!$A$1:$O$95,15,0))</f>
        <v>243.3</v>
      </c>
      <c r="Y1932" s="6"/>
      <c r="Z1932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32" s="6">
        <f>('TE BE'!$AA$17+'TE BF'!$AA$17+'TE CVA'!$AA$17)*(1-CUSTOS!$M$37)</f>
        <v>297.20166373463735</v>
      </c>
      <c r="AB1932" s="6">
        <f>$K$1932*$V$1932</f>
        <v>0</v>
      </c>
      <c r="AC1932" s="6">
        <f>$M$1932*$W$1932</f>
        <v>-38782.238669999999</v>
      </c>
      <c r="AD1932" s="6">
        <f>$O$1932*$X$1932</f>
        <v>-22445.154900000001</v>
      </c>
      <c r="AE1932" s="6">
        <f>$K$1932*$Y$1932</f>
        <v>0</v>
      </c>
      <c r="AF1932" s="6">
        <f ca="1">$M$1932*$Z$1932</f>
        <v>-42439.996095257971</v>
      </c>
      <c r="AG1932" s="6">
        <f>$O$1932*$AA$1932</f>
        <v>-27417.745084511498</v>
      </c>
    </row>
    <row r="1933" spans="1:33" ht="11.25" customHeight="1" x14ac:dyDescent="0.25">
      <c r="A1933" s="4" t="s">
        <v>28</v>
      </c>
      <c r="B1933" s="4" t="s">
        <v>22</v>
      </c>
      <c r="C1933" s="4" t="s">
        <v>23</v>
      </c>
      <c r="D1933" s="4" t="s">
        <v>24</v>
      </c>
      <c r="E1933" s="4" t="s">
        <v>34</v>
      </c>
      <c r="F1933" s="4" t="s">
        <v>25</v>
      </c>
      <c r="G1933" s="4" t="s">
        <v>25</v>
      </c>
      <c r="H1933" s="4" t="s">
        <v>25</v>
      </c>
      <c r="I1933" s="5">
        <v>44256</v>
      </c>
      <c r="J1933" s="6">
        <v>0</v>
      </c>
      <c r="K1933" s="6">
        <v>0</v>
      </c>
      <c r="L1933" s="6">
        <v>2521.5030000000002</v>
      </c>
      <c r="M1933" s="6">
        <v>2521.5030000000002</v>
      </c>
      <c r="N1933" s="6">
        <v>2521.5030000000002</v>
      </c>
      <c r="O1933" s="6">
        <v>2521.5030000000002</v>
      </c>
      <c r="P1933" s="6">
        <v>19247</v>
      </c>
      <c r="Q1933" s="4" t="s">
        <v>26</v>
      </c>
      <c r="R1933" s="4">
        <v>0</v>
      </c>
      <c r="S1933" s="6">
        <v>0</v>
      </c>
      <c r="T1933" s="6">
        <v>7</v>
      </c>
      <c r="U1933" s="6">
        <v>53</v>
      </c>
      <c r="V1933" s="6">
        <f>IF(ISERROR(VLOOKUP($S$1933,'TAR FIN'!$A$1:$O$95,15,0)),0,VLOOKUP($S$1933,'TAR FIN'!$A$1:$O$95,15,0))</f>
        <v>0</v>
      </c>
      <c r="W1933" s="6">
        <f>IF(ISERROR(VLOOKUP($T$1933,'TAR FIN'!$A$1:$O$95,15,0)),0,VLOOKUP($T$1933,'TAR FIN'!$A$1:$O$95,15,0))</f>
        <v>420.39</v>
      </c>
      <c r="X1933" s="6">
        <f>IF(ISERROR(VLOOKUP($U$1933,'TAR FIN'!$A$1:$O$95,15,0)),0,VLOOKUP($U$1933,'TAR FIN'!$A$1:$O$95,15,0))</f>
        <v>243.3</v>
      </c>
      <c r="Y1933" s="6"/>
      <c r="Z1933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33" s="6">
        <f>('TE BE'!$AA$17+'TE BF'!$AA$17+'TE CVA'!$AA$17)*(1-CUSTOS!$M$37)</f>
        <v>297.20166373463735</v>
      </c>
      <c r="AB1933" s="6">
        <f>$K$1933*$V$1933</f>
        <v>0</v>
      </c>
      <c r="AC1933" s="6">
        <f>$M$1933*$W$1933</f>
        <v>1060014.6461700001</v>
      </c>
      <c r="AD1933" s="6">
        <f>$O$1933*$X$1933</f>
        <v>613481.6799000001</v>
      </c>
      <c r="AE1933" s="6">
        <f>$K$1933*$Y$1933</f>
        <v>0</v>
      </c>
      <c r="AF1933" s="6">
        <f ca="1">$M$1933*$Z$1933</f>
        <v>1159990.2168404418</v>
      </c>
      <c r="AG1933" s="6">
        <f>$O$1933*$AA$1933</f>
        <v>749394.88671187928</v>
      </c>
    </row>
    <row r="1934" spans="1:33" ht="11.25" customHeight="1" x14ac:dyDescent="0.25">
      <c r="A1934" s="4" t="s">
        <v>29</v>
      </c>
      <c r="B1934" s="4" t="s">
        <v>22</v>
      </c>
      <c r="C1934" s="4" t="s">
        <v>23</v>
      </c>
      <c r="D1934" s="4" t="s">
        <v>24</v>
      </c>
      <c r="E1934" s="4" t="s">
        <v>34</v>
      </c>
      <c r="F1934" s="4" t="s">
        <v>25</v>
      </c>
      <c r="G1934" s="4" t="s">
        <v>25</v>
      </c>
      <c r="H1934" s="4" t="s">
        <v>25</v>
      </c>
      <c r="I1934" s="5">
        <v>44256</v>
      </c>
      <c r="J1934" s="6">
        <v>0</v>
      </c>
      <c r="K1934" s="6">
        <v>0</v>
      </c>
      <c r="L1934" s="6">
        <v>-31.957000000000001</v>
      </c>
      <c r="M1934" s="6">
        <v>-31.957000000000001</v>
      </c>
      <c r="N1934" s="6">
        <v>-31.957000000000001</v>
      </c>
      <c r="O1934" s="6">
        <v>-31.957000000000001</v>
      </c>
      <c r="P1934" s="6">
        <v>0</v>
      </c>
      <c r="Q1934" s="4" t="s">
        <v>26</v>
      </c>
      <c r="R1934" s="4">
        <v>0</v>
      </c>
      <c r="S1934" s="6">
        <v>0</v>
      </c>
      <c r="T1934" s="6">
        <v>7</v>
      </c>
      <c r="U1934" s="6">
        <v>53</v>
      </c>
      <c r="V1934" s="6">
        <f>IF(ISERROR(VLOOKUP($S$1934,'TAR FIN'!$A$1:$O$95,15,0)),0,VLOOKUP($S$1934,'TAR FIN'!$A$1:$O$95,15,0))</f>
        <v>0</v>
      </c>
      <c r="W1934" s="6">
        <f>IF(ISERROR(VLOOKUP($T$1934,'TAR FIN'!$A$1:$O$95,15,0)),0,VLOOKUP($T$1934,'TAR FIN'!$A$1:$O$95,15,0))</f>
        <v>420.39</v>
      </c>
      <c r="X1934" s="6">
        <f>IF(ISERROR(VLOOKUP($U$1934,'TAR FIN'!$A$1:$O$95,15,0)),0,VLOOKUP($U$1934,'TAR FIN'!$A$1:$O$95,15,0))</f>
        <v>243.3</v>
      </c>
      <c r="Y1934" s="6"/>
      <c r="Z1934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34" s="6">
        <f>('TE BE'!$AA$17+'TE BF'!$AA$17+'TE CVA'!$AA$17)*(1-CUSTOS!$M$37)</f>
        <v>297.20166373463735</v>
      </c>
      <c r="AB1934" s="6">
        <f>$K$1934*$V$1934</f>
        <v>0</v>
      </c>
      <c r="AC1934" s="6">
        <f>$M$1934*$W$1934</f>
        <v>-13434.40323</v>
      </c>
      <c r="AD1934" s="6">
        <f>$O$1934*$X$1934</f>
        <v>-7775.1381000000001</v>
      </c>
      <c r="AE1934" s="6">
        <f>$K$1934*$Y$1934</f>
        <v>0</v>
      </c>
      <c r="AF1934" s="6">
        <f ca="1">$M$1934*$Z$1934</f>
        <v>-14701.472637379371</v>
      </c>
      <c r="AG1934" s="6">
        <f>$O$1934*$AA$1934</f>
        <v>-9497.6735679678059</v>
      </c>
    </row>
    <row r="1935" spans="1:33" ht="11.25" customHeight="1" x14ac:dyDescent="0.25">
      <c r="A1935" s="4" t="s">
        <v>30</v>
      </c>
      <c r="B1935" s="4" t="s">
        <v>22</v>
      </c>
      <c r="C1935" s="4" t="s">
        <v>23</v>
      </c>
      <c r="D1935" s="4" t="s">
        <v>24</v>
      </c>
      <c r="E1935" s="4" t="s">
        <v>34</v>
      </c>
      <c r="F1935" s="4" t="s">
        <v>25</v>
      </c>
      <c r="G1935" s="4" t="s">
        <v>25</v>
      </c>
      <c r="H1935" s="4" t="s">
        <v>25</v>
      </c>
      <c r="I1935" s="5">
        <v>44256</v>
      </c>
      <c r="J1935" s="6">
        <v>0</v>
      </c>
      <c r="K1935" s="6">
        <v>0</v>
      </c>
      <c r="L1935" s="6">
        <v>9.9000000000000005E-2</v>
      </c>
      <c r="M1935" s="6">
        <v>9.9000000000000005E-2</v>
      </c>
      <c r="N1935" s="6">
        <v>9.9000000000000005E-2</v>
      </c>
      <c r="O1935" s="6">
        <v>9.9000000000000005E-2</v>
      </c>
      <c r="P1935" s="6">
        <v>2</v>
      </c>
      <c r="Q1935" s="4" t="s">
        <v>26</v>
      </c>
      <c r="R1935" s="4">
        <v>0</v>
      </c>
      <c r="S1935" s="6">
        <v>0</v>
      </c>
      <c r="T1935" s="6">
        <v>7</v>
      </c>
      <c r="U1935" s="6">
        <v>53</v>
      </c>
      <c r="V1935" s="6">
        <f>IF(ISERROR(VLOOKUP($S$1935,'TAR FIN'!$A$1:$O$95,15,0)),0,VLOOKUP($S$1935,'TAR FIN'!$A$1:$O$95,15,0))</f>
        <v>0</v>
      </c>
      <c r="W1935" s="6">
        <f>IF(ISERROR(VLOOKUP($T$1935,'TAR FIN'!$A$1:$O$95,15,0)),0,VLOOKUP($T$1935,'TAR FIN'!$A$1:$O$95,15,0))</f>
        <v>420.39</v>
      </c>
      <c r="X1935" s="6">
        <f>IF(ISERROR(VLOOKUP($U$1935,'TAR FIN'!$A$1:$O$95,15,0)),0,VLOOKUP($U$1935,'TAR FIN'!$A$1:$O$95,15,0))</f>
        <v>243.3</v>
      </c>
      <c r="Y1935" s="6"/>
      <c r="Z1935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35" s="6">
        <f>('TE BE'!$AA$17+'TE BF'!$AA$17+'TE CVA'!$AA$17)*(1-CUSTOS!$M$37)</f>
        <v>297.20166373463735</v>
      </c>
      <c r="AB1935" s="6">
        <f>$K$1935*$V$1935</f>
        <v>0</v>
      </c>
      <c r="AC1935" s="6">
        <f>$M$1935*$W$1935</f>
        <v>41.618610000000004</v>
      </c>
      <c r="AD1935" s="6">
        <f>$O$1935*$X$1935</f>
        <v>24.086700000000004</v>
      </c>
      <c r="AE1935" s="6">
        <f>$K$1935*$Y$1935</f>
        <v>0</v>
      </c>
      <c r="AF1935" s="6">
        <f ca="1">$M$1935*$Z$1935</f>
        <v>45.543880561396804</v>
      </c>
      <c r="AG1935" s="6">
        <f>$O$1935*$AA$1935</f>
        <v>29.422964709729101</v>
      </c>
    </row>
    <row r="1936" spans="1:33" ht="11.25" customHeight="1" x14ac:dyDescent="0.25">
      <c r="A1936" s="4" t="s">
        <v>21</v>
      </c>
      <c r="B1936" s="4" t="s">
        <v>22</v>
      </c>
      <c r="C1936" s="4" t="s">
        <v>23</v>
      </c>
      <c r="D1936" s="4" t="s">
        <v>24</v>
      </c>
      <c r="E1936" s="4" t="s">
        <v>34</v>
      </c>
      <c r="F1936" s="4" t="s">
        <v>25</v>
      </c>
      <c r="G1936" s="4" t="s">
        <v>25</v>
      </c>
      <c r="H1936" s="4" t="s">
        <v>25</v>
      </c>
      <c r="I1936" s="5">
        <v>44287</v>
      </c>
      <c r="J1936" s="6">
        <v>0</v>
      </c>
      <c r="K1936" s="6">
        <v>0</v>
      </c>
      <c r="L1936" s="6">
        <v>3414.5819999999999</v>
      </c>
      <c r="M1936" s="6">
        <v>3414.5819999999999</v>
      </c>
      <c r="N1936" s="6">
        <v>3414.5819999999999</v>
      </c>
      <c r="O1936" s="6">
        <v>3414.5819999999999</v>
      </c>
      <c r="P1936" s="6">
        <v>18530</v>
      </c>
      <c r="Q1936" s="4" t="s">
        <v>26</v>
      </c>
      <c r="R1936" s="4">
        <v>0</v>
      </c>
      <c r="S1936" s="6">
        <v>0</v>
      </c>
      <c r="T1936" s="6">
        <v>7</v>
      </c>
      <c r="U1936" s="6">
        <v>53</v>
      </c>
      <c r="V1936" s="6">
        <f>IF(ISERROR(VLOOKUP($S$1936,'TAR FIN'!$A$1:$O$95,15,0)),0,VLOOKUP($S$1936,'TAR FIN'!$A$1:$O$95,15,0))</f>
        <v>0</v>
      </c>
      <c r="W1936" s="6">
        <f>IF(ISERROR(VLOOKUP($T$1936,'TAR FIN'!$A$1:$O$95,15,0)),0,VLOOKUP($T$1936,'TAR FIN'!$A$1:$O$95,15,0))</f>
        <v>420.39</v>
      </c>
      <c r="X1936" s="6">
        <f>IF(ISERROR(VLOOKUP($U$1936,'TAR FIN'!$A$1:$O$95,15,0)),0,VLOOKUP($U$1936,'TAR FIN'!$A$1:$O$95,15,0))</f>
        <v>243.3</v>
      </c>
      <c r="Y1936" s="6"/>
      <c r="Z1936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36" s="6">
        <f>('TE BE'!$AA$17+'TE BF'!$AA$17+'TE CVA'!$AA$17)*(1-CUSTOS!$M$37)</f>
        <v>297.20166373463735</v>
      </c>
      <c r="AB1936" s="6">
        <f>$K$1936*$V$1936</f>
        <v>0</v>
      </c>
      <c r="AC1936" s="6">
        <f>$M$1936*$W$1936</f>
        <v>1435456.1269799999</v>
      </c>
      <c r="AD1936" s="6">
        <f>$O$1936*$X$1936</f>
        <v>830767.80059999996</v>
      </c>
      <c r="AE1936" s="6">
        <f>$K$1936*$Y$1936</f>
        <v>0</v>
      </c>
      <c r="AF1936" s="6">
        <f ca="1">$M$1936*$Z$1936</f>
        <v>1570841.5633848023</v>
      </c>
      <c r="AG1936" s="6">
        <f>$O$1936*$AA$1936</f>
        <v>1014819.4513583455</v>
      </c>
    </row>
    <row r="1937" spans="1:33" ht="11.25" customHeight="1" x14ac:dyDescent="0.25">
      <c r="A1937" s="4" t="s">
        <v>27</v>
      </c>
      <c r="B1937" s="4" t="s">
        <v>22</v>
      </c>
      <c r="C1937" s="4" t="s">
        <v>23</v>
      </c>
      <c r="D1937" s="4" t="s">
        <v>24</v>
      </c>
      <c r="E1937" s="4" t="s">
        <v>34</v>
      </c>
      <c r="F1937" s="4" t="s">
        <v>25</v>
      </c>
      <c r="G1937" s="4" t="s">
        <v>25</v>
      </c>
      <c r="H1937" s="4" t="s">
        <v>25</v>
      </c>
      <c r="I1937" s="5">
        <v>44287</v>
      </c>
      <c r="J1937" s="6">
        <v>0</v>
      </c>
      <c r="K1937" s="6">
        <v>0</v>
      </c>
      <c r="L1937" s="6">
        <v>-47.475999999999999</v>
      </c>
      <c r="M1937" s="6">
        <v>-47.475999999999999</v>
      </c>
      <c r="N1937" s="6">
        <v>-47.475999999999999</v>
      </c>
      <c r="O1937" s="6">
        <v>-47.475999999999999</v>
      </c>
      <c r="P1937" s="6">
        <v>0</v>
      </c>
      <c r="Q1937" s="4" t="s">
        <v>26</v>
      </c>
      <c r="R1937" s="4">
        <v>0</v>
      </c>
      <c r="S1937" s="6">
        <v>0</v>
      </c>
      <c r="T1937" s="6">
        <v>7</v>
      </c>
      <c r="U1937" s="6">
        <v>53</v>
      </c>
      <c r="V1937" s="6">
        <f>IF(ISERROR(VLOOKUP($S$1937,'TAR FIN'!$A$1:$O$95,15,0)),0,VLOOKUP($S$1937,'TAR FIN'!$A$1:$O$95,15,0))</f>
        <v>0</v>
      </c>
      <c r="W1937" s="6">
        <f>IF(ISERROR(VLOOKUP($T$1937,'TAR FIN'!$A$1:$O$95,15,0)),0,VLOOKUP($T$1937,'TAR FIN'!$A$1:$O$95,15,0))</f>
        <v>420.39</v>
      </c>
      <c r="X1937" s="6">
        <f>IF(ISERROR(VLOOKUP($U$1937,'TAR FIN'!$A$1:$O$95,15,0)),0,VLOOKUP($U$1937,'TAR FIN'!$A$1:$O$95,15,0))</f>
        <v>243.3</v>
      </c>
      <c r="Y1937" s="6"/>
      <c r="Z1937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37" s="6">
        <f>('TE BE'!$AA$17+'TE BF'!$AA$17+'TE CVA'!$AA$17)*(1-CUSTOS!$M$37)</f>
        <v>297.20166373463735</v>
      </c>
      <c r="AB1937" s="6">
        <f>$K$1937*$V$1937</f>
        <v>0</v>
      </c>
      <c r="AC1937" s="6">
        <f>$M$1937*$W$1937</f>
        <v>-19958.43564</v>
      </c>
      <c r="AD1937" s="6">
        <f>$O$1937*$X$1937</f>
        <v>-11550.9108</v>
      </c>
      <c r="AE1937" s="6">
        <f>$K$1937*$Y$1937</f>
        <v>0</v>
      </c>
      <c r="AF1937" s="6">
        <f ca="1">$M$1937*$Z$1937</f>
        <v>-21840.820944776511</v>
      </c>
      <c r="AG1937" s="6">
        <f>$O$1937*$AA$1937</f>
        <v>-14109.946187465643</v>
      </c>
    </row>
    <row r="1938" spans="1:33" ht="11.25" customHeight="1" x14ac:dyDescent="0.25">
      <c r="A1938" s="4" t="s">
        <v>28</v>
      </c>
      <c r="B1938" s="4" t="s">
        <v>22</v>
      </c>
      <c r="C1938" s="4" t="s">
        <v>23</v>
      </c>
      <c r="D1938" s="4" t="s">
        <v>24</v>
      </c>
      <c r="E1938" s="4" t="s">
        <v>34</v>
      </c>
      <c r="F1938" s="4" t="s">
        <v>25</v>
      </c>
      <c r="G1938" s="4" t="s">
        <v>25</v>
      </c>
      <c r="H1938" s="4" t="s">
        <v>25</v>
      </c>
      <c r="I1938" s="5">
        <v>44287</v>
      </c>
      <c r="J1938" s="6">
        <v>0</v>
      </c>
      <c r="K1938" s="6">
        <v>0</v>
      </c>
      <c r="L1938" s="6">
        <v>2899.3980000000001</v>
      </c>
      <c r="M1938" s="6">
        <v>2899.3980000000001</v>
      </c>
      <c r="N1938" s="6">
        <v>2899.3980000000001</v>
      </c>
      <c r="O1938" s="6">
        <v>2899.3980000000001</v>
      </c>
      <c r="P1938" s="6">
        <v>22749</v>
      </c>
      <c r="Q1938" s="4" t="s">
        <v>26</v>
      </c>
      <c r="R1938" s="4">
        <v>0</v>
      </c>
      <c r="S1938" s="6">
        <v>0</v>
      </c>
      <c r="T1938" s="6">
        <v>7</v>
      </c>
      <c r="U1938" s="6">
        <v>53</v>
      </c>
      <c r="V1938" s="6">
        <f>IF(ISERROR(VLOOKUP($S$1938,'TAR FIN'!$A$1:$O$95,15,0)),0,VLOOKUP($S$1938,'TAR FIN'!$A$1:$O$95,15,0))</f>
        <v>0</v>
      </c>
      <c r="W1938" s="6">
        <f>IF(ISERROR(VLOOKUP($T$1938,'TAR FIN'!$A$1:$O$95,15,0)),0,VLOOKUP($T$1938,'TAR FIN'!$A$1:$O$95,15,0))</f>
        <v>420.39</v>
      </c>
      <c r="X1938" s="6">
        <f>IF(ISERROR(VLOOKUP($U$1938,'TAR FIN'!$A$1:$O$95,15,0)),0,VLOOKUP($U$1938,'TAR FIN'!$A$1:$O$95,15,0))</f>
        <v>243.3</v>
      </c>
      <c r="Y1938" s="6"/>
      <c r="Z1938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38" s="6">
        <f>('TE BE'!$AA$17+'TE BF'!$AA$17+'TE CVA'!$AA$17)*(1-CUSTOS!$M$37)</f>
        <v>297.20166373463735</v>
      </c>
      <c r="AB1938" s="6">
        <f>$K$1938*$V$1938</f>
        <v>0</v>
      </c>
      <c r="AC1938" s="6">
        <f>$M$1938*$W$1938</f>
        <v>1218877.9252200001</v>
      </c>
      <c r="AD1938" s="6">
        <f>$O$1938*$X$1938</f>
        <v>705423.53340000007</v>
      </c>
      <c r="AE1938" s="6">
        <f>$K$1938*$Y$1938</f>
        <v>0</v>
      </c>
      <c r="AF1938" s="6">
        <f ca="1">$M$1938*$Z$1938</f>
        <v>1333836.7294136644</v>
      </c>
      <c r="AG1938" s="6">
        <f>$O$1938*$AA$1938</f>
        <v>861705.90942888008</v>
      </c>
    </row>
    <row r="1939" spans="1:33" ht="11.25" customHeight="1" x14ac:dyDescent="0.25">
      <c r="A1939" s="4" t="s">
        <v>29</v>
      </c>
      <c r="B1939" s="4" t="s">
        <v>22</v>
      </c>
      <c r="C1939" s="4" t="s">
        <v>23</v>
      </c>
      <c r="D1939" s="4" t="s">
        <v>24</v>
      </c>
      <c r="E1939" s="4" t="s">
        <v>34</v>
      </c>
      <c r="F1939" s="4" t="s">
        <v>25</v>
      </c>
      <c r="G1939" s="4" t="s">
        <v>25</v>
      </c>
      <c r="H1939" s="4" t="s">
        <v>25</v>
      </c>
      <c r="I1939" s="5">
        <v>44287</v>
      </c>
      <c r="J1939" s="6">
        <v>0</v>
      </c>
      <c r="K1939" s="6">
        <v>0</v>
      </c>
      <c r="L1939" s="6">
        <v>-47.3</v>
      </c>
      <c r="M1939" s="6">
        <v>-47.3</v>
      </c>
      <c r="N1939" s="6">
        <v>-47.3</v>
      </c>
      <c r="O1939" s="6">
        <v>-47.3</v>
      </c>
      <c r="P1939" s="6">
        <v>0</v>
      </c>
      <c r="Q1939" s="4" t="s">
        <v>26</v>
      </c>
      <c r="R1939" s="4">
        <v>0</v>
      </c>
      <c r="S1939" s="6">
        <v>0</v>
      </c>
      <c r="T1939" s="6">
        <v>7</v>
      </c>
      <c r="U1939" s="6">
        <v>53</v>
      </c>
      <c r="V1939" s="6">
        <f>IF(ISERROR(VLOOKUP($S$1939,'TAR FIN'!$A$1:$O$95,15,0)),0,VLOOKUP($S$1939,'TAR FIN'!$A$1:$O$95,15,0))</f>
        <v>0</v>
      </c>
      <c r="W1939" s="6">
        <f>IF(ISERROR(VLOOKUP($T$1939,'TAR FIN'!$A$1:$O$95,15,0)),0,VLOOKUP($T$1939,'TAR FIN'!$A$1:$O$95,15,0))</f>
        <v>420.39</v>
      </c>
      <c r="X1939" s="6">
        <f>IF(ISERROR(VLOOKUP($U$1939,'TAR FIN'!$A$1:$O$95,15,0)),0,VLOOKUP($U$1939,'TAR FIN'!$A$1:$O$95,15,0))</f>
        <v>243.3</v>
      </c>
      <c r="Y1939" s="6"/>
      <c r="Z1939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39" s="6">
        <f>('TE BE'!$AA$17+'TE BF'!$AA$17+'TE CVA'!$AA$17)*(1-CUSTOS!$M$37)</f>
        <v>297.20166373463735</v>
      </c>
      <c r="AB1939" s="6">
        <f>$K$1939*$V$1939</f>
        <v>0</v>
      </c>
      <c r="AC1939" s="6">
        <f>$M$1939*$W$1939</f>
        <v>-19884.446999999996</v>
      </c>
      <c r="AD1939" s="6">
        <f>$O$1939*$X$1939</f>
        <v>-11508.09</v>
      </c>
      <c r="AE1939" s="6">
        <f>$K$1939*$Y$1939</f>
        <v>0</v>
      </c>
      <c r="AF1939" s="6">
        <f ca="1">$M$1939*$Z$1939</f>
        <v>-21759.854046000695</v>
      </c>
      <c r="AG1939" s="6">
        <f>$O$1939*$AA$1939</f>
        <v>-14057.638694648345</v>
      </c>
    </row>
    <row r="1940" spans="1:33" ht="11.25" customHeight="1" x14ac:dyDescent="0.25">
      <c r="A1940" s="4" t="s">
        <v>30</v>
      </c>
      <c r="B1940" s="4" t="s">
        <v>22</v>
      </c>
      <c r="C1940" s="4" t="s">
        <v>23</v>
      </c>
      <c r="D1940" s="4" t="s">
        <v>24</v>
      </c>
      <c r="E1940" s="4" t="s">
        <v>34</v>
      </c>
      <c r="F1940" s="4" t="s">
        <v>25</v>
      </c>
      <c r="G1940" s="4" t="s">
        <v>25</v>
      </c>
      <c r="H1940" s="4" t="s">
        <v>25</v>
      </c>
      <c r="I1940" s="5">
        <v>44287</v>
      </c>
      <c r="J1940" s="6">
        <v>0</v>
      </c>
      <c r="K1940" s="6">
        <v>0</v>
      </c>
      <c r="L1940" s="6">
        <v>5.8000000000000003E-2</v>
      </c>
      <c r="M1940" s="6">
        <v>5.8000000000000003E-2</v>
      </c>
      <c r="N1940" s="6">
        <v>5.8000000000000003E-2</v>
      </c>
      <c r="O1940" s="6">
        <v>5.8000000000000003E-2</v>
      </c>
      <c r="P1940" s="6">
        <v>1</v>
      </c>
      <c r="Q1940" s="4" t="s">
        <v>26</v>
      </c>
      <c r="R1940" s="4">
        <v>0</v>
      </c>
      <c r="S1940" s="6">
        <v>0</v>
      </c>
      <c r="T1940" s="6">
        <v>7</v>
      </c>
      <c r="U1940" s="6">
        <v>53</v>
      </c>
      <c r="V1940" s="6">
        <f>IF(ISERROR(VLOOKUP($S$1940,'TAR FIN'!$A$1:$O$95,15,0)),0,VLOOKUP($S$1940,'TAR FIN'!$A$1:$O$95,15,0))</f>
        <v>0</v>
      </c>
      <c r="W1940" s="6">
        <f>IF(ISERROR(VLOOKUP($T$1940,'TAR FIN'!$A$1:$O$95,15,0)),0,VLOOKUP($T$1940,'TAR FIN'!$A$1:$O$95,15,0))</f>
        <v>420.39</v>
      </c>
      <c r="X1940" s="6">
        <f>IF(ISERROR(VLOOKUP($U$1940,'TAR FIN'!$A$1:$O$95,15,0)),0,VLOOKUP($U$1940,'TAR FIN'!$A$1:$O$95,15,0))</f>
        <v>243.3</v>
      </c>
      <c r="Y1940" s="6"/>
      <c r="Z1940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40" s="6">
        <f>('TE BE'!$AA$17+'TE BF'!$AA$17+'TE CVA'!$AA$17)*(1-CUSTOS!$M$37)</f>
        <v>297.20166373463735</v>
      </c>
      <c r="AB1940" s="6">
        <f>$K$1940*$V$1940</f>
        <v>0</v>
      </c>
      <c r="AC1940" s="6">
        <f>$M$1940*$W$1940</f>
        <v>24.382619999999999</v>
      </c>
      <c r="AD1940" s="6">
        <f>$O$1940*$X$1940</f>
        <v>14.111400000000001</v>
      </c>
      <c r="AE1940" s="6">
        <f>$K$1940*$Y$1940</f>
        <v>0</v>
      </c>
      <c r="AF1940" s="6">
        <f ca="1">$M$1940*$Z$1940</f>
        <v>26.682273460212272</v>
      </c>
      <c r="AG1940" s="6">
        <f>$O$1940*$AA$1940</f>
        <v>17.237696496608969</v>
      </c>
    </row>
    <row r="1941" spans="1:33" ht="11.25" customHeight="1" x14ac:dyDescent="0.25">
      <c r="A1941" s="4" t="s">
        <v>21</v>
      </c>
      <c r="B1941" s="4" t="s">
        <v>22</v>
      </c>
      <c r="C1941" s="4" t="s">
        <v>23</v>
      </c>
      <c r="D1941" s="4" t="s">
        <v>24</v>
      </c>
      <c r="E1941" s="4" t="s">
        <v>34</v>
      </c>
      <c r="F1941" s="4" t="s">
        <v>25</v>
      </c>
      <c r="G1941" s="4" t="s">
        <v>25</v>
      </c>
      <c r="H1941" s="4" t="s">
        <v>25</v>
      </c>
      <c r="I1941" s="5">
        <v>44317</v>
      </c>
      <c r="J1941" s="6">
        <v>0</v>
      </c>
      <c r="K1941" s="6">
        <v>0</v>
      </c>
      <c r="L1941" s="6">
        <v>3291.07</v>
      </c>
      <c r="M1941" s="6">
        <v>3291.07</v>
      </c>
      <c r="N1941" s="6">
        <v>3291.07</v>
      </c>
      <c r="O1941" s="6">
        <v>3291.07</v>
      </c>
      <c r="P1941" s="6">
        <v>17987</v>
      </c>
      <c r="Q1941" s="4" t="s">
        <v>26</v>
      </c>
      <c r="R1941" s="4">
        <v>0</v>
      </c>
      <c r="S1941" s="6">
        <v>0</v>
      </c>
      <c r="T1941" s="6">
        <v>7</v>
      </c>
      <c r="U1941" s="6">
        <v>53</v>
      </c>
      <c r="V1941" s="6">
        <f>IF(ISERROR(VLOOKUP($S$1941,'TAR FIN'!$A$1:$O$95,15,0)),0,VLOOKUP($S$1941,'TAR FIN'!$A$1:$O$95,15,0))</f>
        <v>0</v>
      </c>
      <c r="W1941" s="6">
        <f>IF(ISERROR(VLOOKUP($T$1941,'TAR FIN'!$A$1:$O$95,15,0)),0,VLOOKUP($T$1941,'TAR FIN'!$A$1:$O$95,15,0))</f>
        <v>420.39</v>
      </c>
      <c r="X1941" s="6">
        <f>IF(ISERROR(VLOOKUP($U$1941,'TAR FIN'!$A$1:$O$95,15,0)),0,VLOOKUP($U$1941,'TAR FIN'!$A$1:$O$95,15,0))</f>
        <v>243.3</v>
      </c>
      <c r="Y1941" s="6"/>
      <c r="Z1941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41" s="6">
        <f>('TE BE'!$AA$17+'TE BF'!$AA$17+'TE CVA'!$AA$17)*(1-CUSTOS!$M$37)</f>
        <v>297.20166373463735</v>
      </c>
      <c r="AB1941" s="6">
        <f>$K$1941*$V$1941</f>
        <v>0</v>
      </c>
      <c r="AC1941" s="6">
        <f>$M$1941*$W$1941</f>
        <v>1383532.9173000001</v>
      </c>
      <c r="AD1941" s="6">
        <f>$O$1941*$X$1941</f>
        <v>800717.33100000012</v>
      </c>
      <c r="AE1941" s="6">
        <f>$K$1941*$Y$1941</f>
        <v>0</v>
      </c>
      <c r="AF1941" s="6">
        <f ca="1">$M$1941*$Z$1941</f>
        <v>1514021.2020120828</v>
      </c>
      <c r="AG1941" s="6">
        <f>$O$1941*$AA$1941</f>
        <v>978111.47946715297</v>
      </c>
    </row>
    <row r="1942" spans="1:33" ht="11.25" customHeight="1" x14ac:dyDescent="0.25">
      <c r="A1942" s="4" t="s">
        <v>27</v>
      </c>
      <c r="B1942" s="4" t="s">
        <v>22</v>
      </c>
      <c r="C1942" s="4" t="s">
        <v>23</v>
      </c>
      <c r="D1942" s="4" t="s">
        <v>24</v>
      </c>
      <c r="E1942" s="4" t="s">
        <v>34</v>
      </c>
      <c r="F1942" s="4" t="s">
        <v>25</v>
      </c>
      <c r="G1942" s="4" t="s">
        <v>25</v>
      </c>
      <c r="H1942" s="4" t="s">
        <v>25</v>
      </c>
      <c r="I1942" s="5">
        <v>44317</v>
      </c>
      <c r="J1942" s="6">
        <v>0</v>
      </c>
      <c r="K1942" s="6">
        <v>0</v>
      </c>
      <c r="L1942" s="6">
        <v>-118.84</v>
      </c>
      <c r="M1942" s="6">
        <v>-118.84</v>
      </c>
      <c r="N1942" s="6">
        <v>-118.84</v>
      </c>
      <c r="O1942" s="6">
        <v>-118.84</v>
      </c>
      <c r="P1942" s="6">
        <v>0</v>
      </c>
      <c r="Q1942" s="4" t="s">
        <v>26</v>
      </c>
      <c r="R1942" s="4">
        <v>0</v>
      </c>
      <c r="S1942" s="6">
        <v>0</v>
      </c>
      <c r="T1942" s="6">
        <v>7</v>
      </c>
      <c r="U1942" s="6">
        <v>53</v>
      </c>
      <c r="V1942" s="6">
        <f>IF(ISERROR(VLOOKUP($S$1942,'TAR FIN'!$A$1:$O$95,15,0)),0,VLOOKUP($S$1942,'TAR FIN'!$A$1:$O$95,15,0))</f>
        <v>0</v>
      </c>
      <c r="W1942" s="6">
        <f>IF(ISERROR(VLOOKUP($T$1942,'TAR FIN'!$A$1:$O$95,15,0)),0,VLOOKUP($T$1942,'TAR FIN'!$A$1:$O$95,15,0))</f>
        <v>420.39</v>
      </c>
      <c r="X1942" s="6">
        <f>IF(ISERROR(VLOOKUP($U$1942,'TAR FIN'!$A$1:$O$95,15,0)),0,VLOOKUP($U$1942,'TAR FIN'!$A$1:$O$95,15,0))</f>
        <v>243.3</v>
      </c>
      <c r="Y1942" s="6"/>
      <c r="Z1942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42" s="6">
        <f>('TE BE'!$AA$17+'TE BF'!$AA$17+'TE CVA'!$AA$17)*(1-CUSTOS!$M$37)</f>
        <v>297.20166373463735</v>
      </c>
      <c r="AB1942" s="6">
        <f>$K$1942*$V$1942</f>
        <v>0</v>
      </c>
      <c r="AC1942" s="6">
        <f>$M$1942*$W$1942</f>
        <v>-49959.147599999997</v>
      </c>
      <c r="AD1942" s="6">
        <f>$O$1942*$X$1942</f>
        <v>-28913.772000000001</v>
      </c>
      <c r="AE1942" s="6">
        <f>$K$1942*$Y$1942</f>
        <v>0</v>
      </c>
      <c r="AF1942" s="6">
        <f ca="1">$M$1942*$Z$1942</f>
        <v>-54671.058241579762</v>
      </c>
      <c r="AG1942" s="6">
        <f>$O$1942*$AA$1942</f>
        <v>-35319.445718224306</v>
      </c>
    </row>
    <row r="1943" spans="1:33" ht="11.25" customHeight="1" x14ac:dyDescent="0.25">
      <c r="A1943" s="4" t="s">
        <v>28</v>
      </c>
      <c r="B1943" s="4" t="s">
        <v>22</v>
      </c>
      <c r="C1943" s="4" t="s">
        <v>23</v>
      </c>
      <c r="D1943" s="4" t="s">
        <v>24</v>
      </c>
      <c r="E1943" s="4" t="s">
        <v>34</v>
      </c>
      <c r="F1943" s="4" t="s">
        <v>25</v>
      </c>
      <c r="G1943" s="4" t="s">
        <v>25</v>
      </c>
      <c r="H1943" s="4" t="s">
        <v>25</v>
      </c>
      <c r="I1943" s="5">
        <v>44317</v>
      </c>
      <c r="J1943" s="6">
        <v>0</v>
      </c>
      <c r="K1943" s="6">
        <v>0</v>
      </c>
      <c r="L1943" s="6">
        <v>2903.1790000000001</v>
      </c>
      <c r="M1943" s="6">
        <v>2903.1790000000001</v>
      </c>
      <c r="N1943" s="6">
        <v>2903.1790000000001</v>
      </c>
      <c r="O1943" s="6">
        <v>2903.1790000000001</v>
      </c>
      <c r="P1943" s="6">
        <v>22432</v>
      </c>
      <c r="Q1943" s="4" t="s">
        <v>26</v>
      </c>
      <c r="R1943" s="4">
        <v>0</v>
      </c>
      <c r="S1943" s="6">
        <v>0</v>
      </c>
      <c r="T1943" s="6">
        <v>7</v>
      </c>
      <c r="U1943" s="6">
        <v>53</v>
      </c>
      <c r="V1943" s="6">
        <f>IF(ISERROR(VLOOKUP($S$1943,'TAR FIN'!$A$1:$O$95,15,0)),0,VLOOKUP($S$1943,'TAR FIN'!$A$1:$O$95,15,0))</f>
        <v>0</v>
      </c>
      <c r="W1943" s="6">
        <f>IF(ISERROR(VLOOKUP($T$1943,'TAR FIN'!$A$1:$O$95,15,0)),0,VLOOKUP($T$1943,'TAR FIN'!$A$1:$O$95,15,0))</f>
        <v>420.39</v>
      </c>
      <c r="X1943" s="6">
        <f>IF(ISERROR(VLOOKUP($U$1943,'TAR FIN'!$A$1:$O$95,15,0)),0,VLOOKUP($U$1943,'TAR FIN'!$A$1:$O$95,15,0))</f>
        <v>243.3</v>
      </c>
      <c r="Y1943" s="6"/>
      <c r="Z1943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43" s="6">
        <f>('TE BE'!$AA$17+'TE BF'!$AA$17+'TE CVA'!$AA$17)*(1-CUSTOS!$M$37)</f>
        <v>297.20166373463735</v>
      </c>
      <c r="AB1943" s="6">
        <f>$K$1943*$V$1943</f>
        <v>0</v>
      </c>
      <c r="AC1943" s="6">
        <f>$M$1943*$W$1943</f>
        <v>1220467.4198100001</v>
      </c>
      <c r="AD1943" s="6">
        <f>$O$1943*$X$1943</f>
        <v>706343.45070000004</v>
      </c>
      <c r="AE1943" s="6">
        <f>$K$1943*$Y$1943</f>
        <v>0</v>
      </c>
      <c r="AF1943" s="6">
        <f ca="1">$M$1943*$Z$1943</f>
        <v>1335576.1376197517</v>
      </c>
      <c r="AG1943" s="6">
        <f>$O$1943*$AA$1943</f>
        <v>862829.62891946081</v>
      </c>
    </row>
    <row r="1944" spans="1:33" ht="11.25" customHeight="1" x14ac:dyDescent="0.25">
      <c r="A1944" s="4" t="s">
        <v>29</v>
      </c>
      <c r="B1944" s="4" t="s">
        <v>22</v>
      </c>
      <c r="C1944" s="4" t="s">
        <v>23</v>
      </c>
      <c r="D1944" s="4" t="s">
        <v>24</v>
      </c>
      <c r="E1944" s="4" t="s">
        <v>34</v>
      </c>
      <c r="F1944" s="4" t="s">
        <v>25</v>
      </c>
      <c r="G1944" s="4" t="s">
        <v>25</v>
      </c>
      <c r="H1944" s="4" t="s">
        <v>25</v>
      </c>
      <c r="I1944" s="5">
        <v>44317</v>
      </c>
      <c r="J1944" s="6">
        <v>0</v>
      </c>
      <c r="K1944" s="6">
        <v>0</v>
      </c>
      <c r="L1944" s="6">
        <v>-126.295</v>
      </c>
      <c r="M1944" s="6">
        <v>-126.295</v>
      </c>
      <c r="N1944" s="6">
        <v>-126.295</v>
      </c>
      <c r="O1944" s="6">
        <v>-126.295</v>
      </c>
      <c r="P1944" s="6">
        <v>0</v>
      </c>
      <c r="Q1944" s="4" t="s">
        <v>26</v>
      </c>
      <c r="R1944" s="4">
        <v>0</v>
      </c>
      <c r="S1944" s="6">
        <v>0</v>
      </c>
      <c r="T1944" s="6">
        <v>7</v>
      </c>
      <c r="U1944" s="6">
        <v>53</v>
      </c>
      <c r="V1944" s="6">
        <f>IF(ISERROR(VLOOKUP($S$1944,'TAR FIN'!$A$1:$O$95,15,0)),0,VLOOKUP($S$1944,'TAR FIN'!$A$1:$O$95,15,0))</f>
        <v>0</v>
      </c>
      <c r="W1944" s="6">
        <f>IF(ISERROR(VLOOKUP($T$1944,'TAR FIN'!$A$1:$O$95,15,0)),0,VLOOKUP($T$1944,'TAR FIN'!$A$1:$O$95,15,0))</f>
        <v>420.39</v>
      </c>
      <c r="X1944" s="6">
        <f>IF(ISERROR(VLOOKUP($U$1944,'TAR FIN'!$A$1:$O$95,15,0)),0,VLOOKUP($U$1944,'TAR FIN'!$A$1:$O$95,15,0))</f>
        <v>243.3</v>
      </c>
      <c r="Y1944" s="6"/>
      <c r="Z1944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44" s="6">
        <f>('TE BE'!$AA$17+'TE BF'!$AA$17+'TE CVA'!$AA$17)*(1-CUSTOS!$M$37)</f>
        <v>297.20166373463735</v>
      </c>
      <c r="AB1944" s="6">
        <f>$K$1944*$V$1944</f>
        <v>0</v>
      </c>
      <c r="AC1944" s="6">
        <f>$M$1944*$W$1944</f>
        <v>-53093.155050000001</v>
      </c>
      <c r="AD1944" s="6">
        <f>$O$1944*$X$1944</f>
        <v>-30727.573500000002</v>
      </c>
      <c r="AE1944" s="6">
        <f>$K$1944*$Y$1944</f>
        <v>0</v>
      </c>
      <c r="AF1944" s="6">
        <f ca="1">$M$1944*$Z$1944</f>
        <v>-58100.650459612218</v>
      </c>
      <c r="AG1944" s="6">
        <f>$O$1944*$AA$1944</f>
        <v>-37535.084121366024</v>
      </c>
    </row>
    <row r="1945" spans="1:33" ht="11.25" customHeight="1" x14ac:dyDescent="0.25">
      <c r="A1945" s="4" t="s">
        <v>30</v>
      </c>
      <c r="B1945" s="4" t="s">
        <v>22</v>
      </c>
      <c r="C1945" s="4" t="s">
        <v>23</v>
      </c>
      <c r="D1945" s="4" t="s">
        <v>24</v>
      </c>
      <c r="E1945" s="4" t="s">
        <v>34</v>
      </c>
      <c r="F1945" s="4" t="s">
        <v>25</v>
      </c>
      <c r="G1945" s="4" t="s">
        <v>25</v>
      </c>
      <c r="H1945" s="4" t="s">
        <v>25</v>
      </c>
      <c r="I1945" s="5">
        <v>44317</v>
      </c>
      <c r="J1945" s="6">
        <v>0</v>
      </c>
      <c r="K1945" s="6">
        <v>0</v>
      </c>
      <c r="L1945" s="6">
        <v>0.69199999999999995</v>
      </c>
      <c r="M1945" s="6">
        <v>0.69199999999999995</v>
      </c>
      <c r="N1945" s="6">
        <v>0.69199999999999995</v>
      </c>
      <c r="O1945" s="6">
        <v>0.69199999999999995</v>
      </c>
      <c r="P1945" s="6">
        <v>3</v>
      </c>
      <c r="Q1945" s="4" t="s">
        <v>26</v>
      </c>
      <c r="R1945" s="4">
        <v>0</v>
      </c>
      <c r="S1945" s="6">
        <v>0</v>
      </c>
      <c r="T1945" s="6">
        <v>7</v>
      </c>
      <c r="U1945" s="6">
        <v>53</v>
      </c>
      <c r="V1945" s="6">
        <f>IF(ISERROR(VLOOKUP($S$1945,'TAR FIN'!$A$1:$O$95,15,0)),0,VLOOKUP($S$1945,'TAR FIN'!$A$1:$O$95,15,0))</f>
        <v>0</v>
      </c>
      <c r="W1945" s="6">
        <f>IF(ISERROR(VLOOKUP($T$1945,'TAR FIN'!$A$1:$O$95,15,0)),0,VLOOKUP($T$1945,'TAR FIN'!$A$1:$O$95,15,0))</f>
        <v>420.39</v>
      </c>
      <c r="X1945" s="6">
        <f>IF(ISERROR(VLOOKUP($U$1945,'TAR FIN'!$A$1:$O$95,15,0)),0,VLOOKUP($U$1945,'TAR FIN'!$A$1:$O$95,15,0))</f>
        <v>243.3</v>
      </c>
      <c r="Y1945" s="6"/>
      <c r="Z1945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45" s="6">
        <f>('TE BE'!$AA$17+'TE BF'!$AA$17+'TE CVA'!$AA$17)*(1-CUSTOS!$M$37)</f>
        <v>297.20166373463735</v>
      </c>
      <c r="AB1945" s="6">
        <f>$K$1945*$V$1945</f>
        <v>0</v>
      </c>
      <c r="AC1945" s="6">
        <f>$M$1945*$W$1945</f>
        <v>290.90987999999999</v>
      </c>
      <c r="AD1945" s="6">
        <f>$O$1945*$X$1945</f>
        <v>168.36359999999999</v>
      </c>
      <c r="AE1945" s="6">
        <f>$K$1945*$Y$1945</f>
        <v>0</v>
      </c>
      <c r="AF1945" s="6">
        <f ca="1">$M$1945*$Z$1945</f>
        <v>318.34712473218775</v>
      </c>
      <c r="AG1945" s="6">
        <f>$O$1945*$AA$1945</f>
        <v>205.66355130436904</v>
      </c>
    </row>
    <row r="1946" spans="1:33" ht="11.25" customHeight="1" x14ac:dyDescent="0.25">
      <c r="A1946" s="4" t="s">
        <v>21</v>
      </c>
      <c r="B1946" s="4" t="s">
        <v>22</v>
      </c>
      <c r="C1946" s="4" t="s">
        <v>23</v>
      </c>
      <c r="D1946" s="4" t="s">
        <v>24</v>
      </c>
      <c r="E1946" s="4" t="s">
        <v>34</v>
      </c>
      <c r="F1946" s="4" t="s">
        <v>25</v>
      </c>
      <c r="G1946" s="4" t="s">
        <v>25</v>
      </c>
      <c r="H1946" s="4" t="s">
        <v>25</v>
      </c>
      <c r="I1946" s="5">
        <v>44348</v>
      </c>
      <c r="J1946" s="6">
        <v>0</v>
      </c>
      <c r="K1946" s="6">
        <v>0</v>
      </c>
      <c r="L1946" s="6">
        <v>4129.3940000000002</v>
      </c>
      <c r="M1946" s="6">
        <v>4129.3940000000002</v>
      </c>
      <c r="N1946" s="6">
        <v>4129.3940000000002</v>
      </c>
      <c r="O1946" s="6">
        <v>4129.3940000000002</v>
      </c>
      <c r="P1946" s="6">
        <v>20977</v>
      </c>
      <c r="Q1946" s="4" t="s">
        <v>26</v>
      </c>
      <c r="R1946" s="4">
        <v>0</v>
      </c>
      <c r="S1946" s="6">
        <v>0</v>
      </c>
      <c r="T1946" s="6">
        <v>7</v>
      </c>
      <c r="U1946" s="6">
        <v>53</v>
      </c>
      <c r="V1946" s="6">
        <f>IF(ISERROR(VLOOKUP($S$1946,'TAR FIN'!$A$1:$O$95,15,0)),0,VLOOKUP($S$1946,'TAR FIN'!$A$1:$O$95,15,0))</f>
        <v>0</v>
      </c>
      <c r="W1946" s="6">
        <f>IF(ISERROR(VLOOKUP($T$1946,'TAR FIN'!$A$1:$O$95,15,0)),0,VLOOKUP($T$1946,'TAR FIN'!$A$1:$O$95,15,0))</f>
        <v>420.39</v>
      </c>
      <c r="X1946" s="6">
        <f>IF(ISERROR(VLOOKUP($U$1946,'TAR FIN'!$A$1:$O$95,15,0)),0,VLOOKUP($U$1946,'TAR FIN'!$A$1:$O$95,15,0))</f>
        <v>243.3</v>
      </c>
      <c r="Y1946" s="6"/>
      <c r="Z1946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46" s="6">
        <f>('TE BE'!$AA$17+'TE BF'!$AA$17+'TE CVA'!$AA$17)*(1-CUSTOS!$M$37)</f>
        <v>297.20166373463735</v>
      </c>
      <c r="AB1946" s="6">
        <f>$K$1946*$V$1946</f>
        <v>0</v>
      </c>
      <c r="AC1946" s="6">
        <f>$M$1946*$W$1946</f>
        <v>1735955.9436600001</v>
      </c>
      <c r="AD1946" s="6">
        <f>$O$1946*$X$1946</f>
        <v>1004681.5602000001</v>
      </c>
      <c r="AE1946" s="6">
        <f>$K$1946*$Y$1946</f>
        <v>0</v>
      </c>
      <c r="AF1946" s="6">
        <f ca="1">$M$1946*$Z$1946</f>
        <v>1899683.1022924101</v>
      </c>
      <c r="AG1946" s="6">
        <f>$O$1946*$AA$1946</f>
        <v>1227262.7670158292</v>
      </c>
    </row>
    <row r="1947" spans="1:33" ht="11.25" customHeight="1" x14ac:dyDescent="0.25">
      <c r="A1947" s="4" t="s">
        <v>27</v>
      </c>
      <c r="B1947" s="4" t="s">
        <v>22</v>
      </c>
      <c r="C1947" s="4" t="s">
        <v>23</v>
      </c>
      <c r="D1947" s="4" t="s">
        <v>24</v>
      </c>
      <c r="E1947" s="4" t="s">
        <v>34</v>
      </c>
      <c r="F1947" s="4" t="s">
        <v>25</v>
      </c>
      <c r="G1947" s="4" t="s">
        <v>25</v>
      </c>
      <c r="H1947" s="4" t="s">
        <v>25</v>
      </c>
      <c r="I1947" s="5">
        <v>44348</v>
      </c>
      <c r="J1947" s="6">
        <v>0</v>
      </c>
      <c r="K1947" s="6">
        <v>0</v>
      </c>
      <c r="L1947" s="6">
        <v>-31.288</v>
      </c>
      <c r="M1947" s="6">
        <v>-31.288</v>
      </c>
      <c r="N1947" s="6">
        <v>-31.288</v>
      </c>
      <c r="O1947" s="6">
        <v>-31.288</v>
      </c>
      <c r="P1947" s="6">
        <v>0</v>
      </c>
      <c r="Q1947" s="4" t="s">
        <v>26</v>
      </c>
      <c r="R1947" s="4">
        <v>0</v>
      </c>
      <c r="S1947" s="6">
        <v>0</v>
      </c>
      <c r="T1947" s="6">
        <v>7</v>
      </c>
      <c r="U1947" s="6">
        <v>53</v>
      </c>
      <c r="V1947" s="6">
        <f>IF(ISERROR(VLOOKUP($S$1947,'TAR FIN'!$A$1:$O$95,15,0)),0,VLOOKUP($S$1947,'TAR FIN'!$A$1:$O$95,15,0))</f>
        <v>0</v>
      </c>
      <c r="W1947" s="6">
        <f>IF(ISERROR(VLOOKUP($T$1947,'TAR FIN'!$A$1:$O$95,15,0)),0,VLOOKUP($T$1947,'TAR FIN'!$A$1:$O$95,15,0))</f>
        <v>420.39</v>
      </c>
      <c r="X1947" s="6">
        <f>IF(ISERROR(VLOOKUP($U$1947,'TAR FIN'!$A$1:$O$95,15,0)),0,VLOOKUP($U$1947,'TAR FIN'!$A$1:$O$95,15,0))</f>
        <v>243.3</v>
      </c>
      <c r="Y1947" s="6"/>
      <c r="Z1947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47" s="6">
        <f>('TE BE'!$AA$17+'TE BF'!$AA$17+'TE CVA'!$AA$17)*(1-CUSTOS!$M$37)</f>
        <v>297.20166373463735</v>
      </c>
      <c r="AB1947" s="6">
        <f>$K$1947*$V$1947</f>
        <v>0</v>
      </c>
      <c r="AC1947" s="6">
        <f>$M$1947*$W$1947</f>
        <v>-13153.162319999999</v>
      </c>
      <c r="AD1947" s="6">
        <f>$O$1947*$X$1947</f>
        <v>-7612.3704000000007</v>
      </c>
      <c r="AE1947" s="6">
        <f>$K$1947*$Y$1947</f>
        <v>0</v>
      </c>
      <c r="AF1947" s="6">
        <f ca="1">$M$1947*$Z$1947</f>
        <v>-14393.706414191751</v>
      </c>
      <c r="AG1947" s="6">
        <f>$O$1947*$AA$1947</f>
        <v>-9298.8456549293333</v>
      </c>
    </row>
    <row r="1948" spans="1:33" ht="11.25" customHeight="1" x14ac:dyDescent="0.25">
      <c r="A1948" s="4" t="s">
        <v>28</v>
      </c>
      <c r="B1948" s="4" t="s">
        <v>22</v>
      </c>
      <c r="C1948" s="4" t="s">
        <v>23</v>
      </c>
      <c r="D1948" s="4" t="s">
        <v>24</v>
      </c>
      <c r="E1948" s="4" t="s">
        <v>34</v>
      </c>
      <c r="F1948" s="4" t="s">
        <v>25</v>
      </c>
      <c r="G1948" s="4" t="s">
        <v>25</v>
      </c>
      <c r="H1948" s="4" t="s">
        <v>25</v>
      </c>
      <c r="I1948" s="5">
        <v>44348</v>
      </c>
      <c r="J1948" s="6">
        <v>0</v>
      </c>
      <c r="K1948" s="6">
        <v>0</v>
      </c>
      <c r="L1948" s="6">
        <v>3316.9760000000001</v>
      </c>
      <c r="M1948" s="6">
        <v>3316.9760000000001</v>
      </c>
      <c r="N1948" s="6">
        <v>3316.9760000000001</v>
      </c>
      <c r="O1948" s="6">
        <v>3316.9760000000001</v>
      </c>
      <c r="P1948" s="6">
        <v>24413</v>
      </c>
      <c r="Q1948" s="4" t="s">
        <v>26</v>
      </c>
      <c r="R1948" s="4">
        <v>0</v>
      </c>
      <c r="S1948" s="6">
        <v>0</v>
      </c>
      <c r="T1948" s="6">
        <v>7</v>
      </c>
      <c r="U1948" s="6">
        <v>53</v>
      </c>
      <c r="V1948" s="6">
        <f>IF(ISERROR(VLOOKUP($S$1948,'TAR FIN'!$A$1:$O$95,15,0)),0,VLOOKUP($S$1948,'TAR FIN'!$A$1:$O$95,15,0))</f>
        <v>0</v>
      </c>
      <c r="W1948" s="6">
        <f>IF(ISERROR(VLOOKUP($T$1948,'TAR FIN'!$A$1:$O$95,15,0)),0,VLOOKUP($T$1948,'TAR FIN'!$A$1:$O$95,15,0))</f>
        <v>420.39</v>
      </c>
      <c r="X1948" s="6">
        <f>IF(ISERROR(VLOOKUP($U$1948,'TAR FIN'!$A$1:$O$95,15,0)),0,VLOOKUP($U$1948,'TAR FIN'!$A$1:$O$95,15,0))</f>
        <v>243.3</v>
      </c>
      <c r="Y1948" s="6"/>
      <c r="Z1948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48" s="6">
        <f>('TE BE'!$AA$17+'TE BF'!$AA$17+'TE CVA'!$AA$17)*(1-CUSTOS!$M$37)</f>
        <v>297.20166373463735</v>
      </c>
      <c r="AB1948" s="6">
        <f>$K$1948*$V$1948</f>
        <v>0</v>
      </c>
      <c r="AC1948" s="6">
        <f>$M$1948*$W$1948</f>
        <v>1394423.54064</v>
      </c>
      <c r="AD1948" s="6">
        <f>$O$1948*$X$1948</f>
        <v>807020.26080000005</v>
      </c>
      <c r="AE1948" s="6">
        <f>$K$1948*$Y$1948</f>
        <v>0</v>
      </c>
      <c r="AF1948" s="6">
        <f ca="1">$M$1948*$Z$1948</f>
        <v>1525938.9774648459</v>
      </c>
      <c r="AG1948" s="6">
        <f>$O$1948*$AA$1948</f>
        <v>985810.78576786246</v>
      </c>
    </row>
    <row r="1949" spans="1:33" ht="11.25" customHeight="1" x14ac:dyDescent="0.25">
      <c r="A1949" s="4" t="s">
        <v>29</v>
      </c>
      <c r="B1949" s="4" t="s">
        <v>22</v>
      </c>
      <c r="C1949" s="4" t="s">
        <v>23</v>
      </c>
      <c r="D1949" s="4" t="s">
        <v>24</v>
      </c>
      <c r="E1949" s="4" t="s">
        <v>34</v>
      </c>
      <c r="F1949" s="4" t="s">
        <v>25</v>
      </c>
      <c r="G1949" s="4" t="s">
        <v>25</v>
      </c>
      <c r="H1949" s="4" t="s">
        <v>25</v>
      </c>
      <c r="I1949" s="5">
        <v>44348</v>
      </c>
      <c r="J1949" s="6">
        <v>0</v>
      </c>
      <c r="K1949" s="6">
        <v>0</v>
      </c>
      <c r="L1949" s="6">
        <v>-146.59200000000001</v>
      </c>
      <c r="M1949" s="6">
        <v>-146.59200000000001</v>
      </c>
      <c r="N1949" s="6">
        <v>-146.59200000000001</v>
      </c>
      <c r="O1949" s="6">
        <v>-146.59200000000001</v>
      </c>
      <c r="P1949" s="6">
        <v>0</v>
      </c>
      <c r="Q1949" s="4" t="s">
        <v>26</v>
      </c>
      <c r="R1949" s="4">
        <v>0</v>
      </c>
      <c r="S1949" s="6">
        <v>0</v>
      </c>
      <c r="T1949" s="6">
        <v>7</v>
      </c>
      <c r="U1949" s="6">
        <v>53</v>
      </c>
      <c r="V1949" s="6">
        <f>IF(ISERROR(VLOOKUP($S$1949,'TAR FIN'!$A$1:$O$95,15,0)),0,VLOOKUP($S$1949,'TAR FIN'!$A$1:$O$95,15,0))</f>
        <v>0</v>
      </c>
      <c r="W1949" s="6">
        <f>IF(ISERROR(VLOOKUP($T$1949,'TAR FIN'!$A$1:$O$95,15,0)),0,VLOOKUP($T$1949,'TAR FIN'!$A$1:$O$95,15,0))</f>
        <v>420.39</v>
      </c>
      <c r="X1949" s="6">
        <f>IF(ISERROR(VLOOKUP($U$1949,'TAR FIN'!$A$1:$O$95,15,0)),0,VLOOKUP($U$1949,'TAR FIN'!$A$1:$O$95,15,0))</f>
        <v>243.3</v>
      </c>
      <c r="Y1949" s="6"/>
      <c r="Z1949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49" s="6">
        <f>('TE BE'!$AA$17+'TE BF'!$AA$17+'TE CVA'!$AA$17)*(1-CUSTOS!$M$37)</f>
        <v>297.20166373463735</v>
      </c>
      <c r="AB1949" s="6">
        <f>$K$1949*$V$1949</f>
        <v>0</v>
      </c>
      <c r="AC1949" s="6">
        <f>$M$1949*$W$1949</f>
        <v>-61625.810880000005</v>
      </c>
      <c r="AD1949" s="6">
        <f>$O$1949*$X$1949</f>
        <v>-35665.833600000005</v>
      </c>
      <c r="AE1949" s="6">
        <f>$K$1949*$Y$1949</f>
        <v>0</v>
      </c>
      <c r="AF1949" s="6">
        <f ca="1">$M$1949*$Z$1949</f>
        <v>-67438.066053093746</v>
      </c>
      <c r="AG1949" s="6">
        <f>$O$1949*$AA$1949</f>
        <v>-43567.386290187962</v>
      </c>
    </row>
    <row r="1950" spans="1:33" ht="11.25" customHeight="1" x14ac:dyDescent="0.25">
      <c r="A1950" s="4" t="s">
        <v>30</v>
      </c>
      <c r="B1950" s="4" t="s">
        <v>22</v>
      </c>
      <c r="C1950" s="4" t="s">
        <v>23</v>
      </c>
      <c r="D1950" s="4" t="s">
        <v>24</v>
      </c>
      <c r="E1950" s="4" t="s">
        <v>34</v>
      </c>
      <c r="F1950" s="4" t="s">
        <v>25</v>
      </c>
      <c r="G1950" s="4" t="s">
        <v>25</v>
      </c>
      <c r="H1950" s="4" t="s">
        <v>25</v>
      </c>
      <c r="I1950" s="5">
        <v>44348</v>
      </c>
      <c r="J1950" s="6">
        <v>0</v>
      </c>
      <c r="K1950" s="6">
        <v>0</v>
      </c>
      <c r="L1950" s="6">
        <v>0.91200000000000003</v>
      </c>
      <c r="M1950" s="6">
        <v>0.91200000000000003</v>
      </c>
      <c r="N1950" s="6">
        <v>0.91200000000000003</v>
      </c>
      <c r="O1950" s="6">
        <v>0.91200000000000003</v>
      </c>
      <c r="P1950" s="6">
        <v>4</v>
      </c>
      <c r="Q1950" s="4" t="s">
        <v>26</v>
      </c>
      <c r="R1950" s="4">
        <v>0</v>
      </c>
      <c r="S1950" s="6">
        <v>0</v>
      </c>
      <c r="T1950" s="6">
        <v>7</v>
      </c>
      <c r="U1950" s="6">
        <v>53</v>
      </c>
      <c r="V1950" s="6">
        <f>IF(ISERROR(VLOOKUP($S$1950,'TAR FIN'!$A$1:$O$95,15,0)),0,VLOOKUP($S$1950,'TAR FIN'!$A$1:$O$95,15,0))</f>
        <v>0</v>
      </c>
      <c r="W1950" s="6">
        <f>IF(ISERROR(VLOOKUP($T$1950,'TAR FIN'!$A$1:$O$95,15,0)),0,VLOOKUP($T$1950,'TAR FIN'!$A$1:$O$95,15,0))</f>
        <v>420.39</v>
      </c>
      <c r="X1950" s="6">
        <f>IF(ISERROR(VLOOKUP($U$1950,'TAR FIN'!$A$1:$O$95,15,0)),0,VLOOKUP($U$1950,'TAR FIN'!$A$1:$O$95,15,0))</f>
        <v>243.3</v>
      </c>
      <c r="Y1950" s="6"/>
      <c r="Z1950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50" s="6">
        <f>('TE BE'!$AA$17+'TE BF'!$AA$17+'TE CVA'!$AA$17)*(1-CUSTOS!$M$37)</f>
        <v>297.20166373463735</v>
      </c>
      <c r="AB1950" s="6">
        <f>$K$1950*$V$1950</f>
        <v>0</v>
      </c>
      <c r="AC1950" s="6">
        <f>$M$1950*$W$1950</f>
        <v>383.39568000000003</v>
      </c>
      <c r="AD1950" s="6">
        <f>$O$1950*$X$1950</f>
        <v>221.88960000000003</v>
      </c>
      <c r="AE1950" s="6">
        <f>$K$1950*$Y$1950</f>
        <v>0</v>
      </c>
      <c r="AF1950" s="6">
        <f ca="1">$M$1950*$Z$1950</f>
        <v>419.55574820195847</v>
      </c>
      <c r="AG1950" s="6">
        <f>$O$1950*$AA$1950</f>
        <v>271.04791732598926</v>
      </c>
    </row>
    <row r="1951" spans="1:33" ht="11.25" customHeight="1" x14ac:dyDescent="0.25">
      <c r="A1951" s="4" t="s">
        <v>21</v>
      </c>
      <c r="B1951" s="4" t="s">
        <v>22</v>
      </c>
      <c r="C1951" s="4" t="s">
        <v>23</v>
      </c>
      <c r="D1951" s="4" t="s">
        <v>24</v>
      </c>
      <c r="E1951" s="4" t="s">
        <v>34</v>
      </c>
      <c r="F1951" s="4" t="s">
        <v>25</v>
      </c>
      <c r="G1951" s="4" t="s">
        <v>25</v>
      </c>
      <c r="H1951" s="4" t="s">
        <v>25</v>
      </c>
      <c r="I1951" s="5">
        <v>44378</v>
      </c>
      <c r="J1951" s="6">
        <v>0</v>
      </c>
      <c r="K1951" s="6">
        <v>0</v>
      </c>
      <c r="L1951" s="6">
        <v>3495.712</v>
      </c>
      <c r="M1951" s="6">
        <v>3495.712</v>
      </c>
      <c r="N1951" s="6">
        <v>3495.712</v>
      </c>
      <c r="O1951" s="6">
        <v>3495.712</v>
      </c>
      <c r="P1951" s="6">
        <v>18661</v>
      </c>
      <c r="Q1951" s="4" t="s">
        <v>26</v>
      </c>
      <c r="R1951" s="4">
        <v>0</v>
      </c>
      <c r="S1951" s="6">
        <v>0</v>
      </c>
      <c r="T1951" s="6">
        <v>7</v>
      </c>
      <c r="U1951" s="6">
        <v>53</v>
      </c>
      <c r="V1951" s="6">
        <f>IF(ISERROR(VLOOKUP($S$1951,'TAR FIN'!$A$1:$O$95,15,0)),0,VLOOKUP($S$1951,'TAR FIN'!$A$1:$O$95,15,0))</f>
        <v>0</v>
      </c>
      <c r="W1951" s="6">
        <f>IF(ISERROR(VLOOKUP($T$1951,'TAR FIN'!$A$1:$O$95,15,0)),0,VLOOKUP($T$1951,'TAR FIN'!$A$1:$O$95,15,0))</f>
        <v>420.39</v>
      </c>
      <c r="X1951" s="6">
        <f>IF(ISERROR(VLOOKUP($U$1951,'TAR FIN'!$A$1:$O$95,15,0)),0,VLOOKUP($U$1951,'TAR FIN'!$A$1:$O$95,15,0))</f>
        <v>243.3</v>
      </c>
      <c r="Y1951" s="6"/>
      <c r="Z1951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51" s="6">
        <f>('TE BE'!$AA$17+'TE BF'!$AA$17+'TE CVA'!$AA$17)*(1-CUSTOS!$M$37)</f>
        <v>297.20166373463735</v>
      </c>
      <c r="AB1951" s="6">
        <f>$K$1951*$V$1951</f>
        <v>0</v>
      </c>
      <c r="AC1951" s="6">
        <f>$M$1951*$W$1951</f>
        <v>1469562.3676799999</v>
      </c>
      <c r="AD1951" s="6">
        <f>$O$1951*$X$1951</f>
        <v>850506.72960000008</v>
      </c>
      <c r="AE1951" s="6">
        <f>$K$1951*$Y$1951</f>
        <v>0</v>
      </c>
      <c r="AF1951" s="6">
        <f ca="1">$M$1951*$Z$1951</f>
        <v>1608164.5434852683</v>
      </c>
      <c r="AG1951" s="6">
        <f>$O$1951*$AA$1951</f>
        <v>1038931.4223371366</v>
      </c>
    </row>
    <row r="1952" spans="1:33" ht="11.25" customHeight="1" x14ac:dyDescent="0.25">
      <c r="A1952" s="4" t="s">
        <v>27</v>
      </c>
      <c r="B1952" s="4" t="s">
        <v>22</v>
      </c>
      <c r="C1952" s="4" t="s">
        <v>23</v>
      </c>
      <c r="D1952" s="4" t="s">
        <v>24</v>
      </c>
      <c r="E1952" s="4" t="s">
        <v>34</v>
      </c>
      <c r="F1952" s="4" t="s">
        <v>25</v>
      </c>
      <c r="G1952" s="4" t="s">
        <v>25</v>
      </c>
      <c r="H1952" s="4" t="s">
        <v>25</v>
      </c>
      <c r="I1952" s="5">
        <v>44378</v>
      </c>
      <c r="J1952" s="6">
        <v>0</v>
      </c>
      <c r="K1952" s="6">
        <v>0</v>
      </c>
      <c r="L1952" s="6">
        <v>-309.69200000000001</v>
      </c>
      <c r="M1952" s="6">
        <v>-309.69200000000001</v>
      </c>
      <c r="N1952" s="6">
        <v>-309.69200000000001</v>
      </c>
      <c r="O1952" s="6">
        <v>-309.69200000000001</v>
      </c>
      <c r="P1952" s="6">
        <v>0</v>
      </c>
      <c r="Q1952" s="4" t="s">
        <v>26</v>
      </c>
      <c r="R1952" s="4">
        <v>0</v>
      </c>
      <c r="S1952" s="6">
        <v>0</v>
      </c>
      <c r="T1952" s="6">
        <v>7</v>
      </c>
      <c r="U1952" s="6">
        <v>53</v>
      </c>
      <c r="V1952" s="6">
        <f>IF(ISERROR(VLOOKUP($S$1952,'TAR FIN'!$A$1:$O$95,15,0)),0,VLOOKUP($S$1952,'TAR FIN'!$A$1:$O$95,15,0))</f>
        <v>0</v>
      </c>
      <c r="W1952" s="6">
        <f>IF(ISERROR(VLOOKUP($T$1952,'TAR FIN'!$A$1:$O$95,15,0)),0,VLOOKUP($T$1952,'TAR FIN'!$A$1:$O$95,15,0))</f>
        <v>420.39</v>
      </c>
      <c r="X1952" s="6">
        <f>IF(ISERROR(VLOOKUP($U$1952,'TAR FIN'!$A$1:$O$95,15,0)),0,VLOOKUP($U$1952,'TAR FIN'!$A$1:$O$95,15,0))</f>
        <v>243.3</v>
      </c>
      <c r="Y1952" s="6"/>
      <c r="Z1952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52" s="6">
        <f>('TE BE'!$AA$17+'TE BF'!$AA$17+'TE CVA'!$AA$17)*(1-CUSTOS!$M$37)</f>
        <v>297.20166373463735</v>
      </c>
      <c r="AB1952" s="6">
        <f>$K$1952*$V$1952</f>
        <v>0</v>
      </c>
      <c r="AC1952" s="6">
        <f>$M$1952*$W$1952</f>
        <v>-130191.41988</v>
      </c>
      <c r="AD1952" s="6">
        <f>$O$1952*$X$1952</f>
        <v>-75348.063600000009</v>
      </c>
      <c r="AE1952" s="6">
        <f>$K$1952*$Y$1952</f>
        <v>0</v>
      </c>
      <c r="AF1952" s="6">
        <f ca="1">$M$1952*$Z$1952</f>
        <v>-142470.45918000099</v>
      </c>
      <c r="AG1952" s="6">
        <f>$O$1952*$AA$1952</f>
        <v>-92040.977645307314</v>
      </c>
    </row>
    <row r="1953" spans="1:33" ht="11.25" customHeight="1" x14ac:dyDescent="0.25">
      <c r="A1953" s="4" t="s">
        <v>28</v>
      </c>
      <c r="B1953" s="4" t="s">
        <v>22</v>
      </c>
      <c r="C1953" s="4" t="s">
        <v>23</v>
      </c>
      <c r="D1953" s="4" t="s">
        <v>24</v>
      </c>
      <c r="E1953" s="4" t="s">
        <v>34</v>
      </c>
      <c r="F1953" s="4" t="s">
        <v>25</v>
      </c>
      <c r="G1953" s="4" t="s">
        <v>25</v>
      </c>
      <c r="H1953" s="4" t="s">
        <v>25</v>
      </c>
      <c r="I1953" s="5">
        <v>44378</v>
      </c>
      <c r="J1953" s="6">
        <v>0</v>
      </c>
      <c r="K1953" s="6">
        <v>0</v>
      </c>
      <c r="L1953" s="6">
        <v>2618.8760000000002</v>
      </c>
      <c r="M1953" s="6">
        <v>2618.8760000000002</v>
      </c>
      <c r="N1953" s="6">
        <v>2618.8760000000002</v>
      </c>
      <c r="O1953" s="6">
        <v>2618.8760000000002</v>
      </c>
      <c r="P1953" s="6">
        <v>20881</v>
      </c>
      <c r="Q1953" s="4" t="s">
        <v>26</v>
      </c>
      <c r="R1953" s="4">
        <v>0</v>
      </c>
      <c r="S1953" s="6">
        <v>0</v>
      </c>
      <c r="T1953" s="6">
        <v>7</v>
      </c>
      <c r="U1953" s="6">
        <v>53</v>
      </c>
      <c r="V1953" s="6">
        <f>IF(ISERROR(VLOOKUP($S$1953,'TAR FIN'!$A$1:$O$95,15,0)),0,VLOOKUP($S$1953,'TAR FIN'!$A$1:$O$95,15,0))</f>
        <v>0</v>
      </c>
      <c r="W1953" s="6">
        <f>IF(ISERROR(VLOOKUP($T$1953,'TAR FIN'!$A$1:$O$95,15,0)),0,VLOOKUP($T$1953,'TAR FIN'!$A$1:$O$95,15,0))</f>
        <v>420.39</v>
      </c>
      <c r="X1953" s="6">
        <f>IF(ISERROR(VLOOKUP($U$1953,'TAR FIN'!$A$1:$O$95,15,0)),0,VLOOKUP($U$1953,'TAR FIN'!$A$1:$O$95,15,0))</f>
        <v>243.3</v>
      </c>
      <c r="Y1953" s="6"/>
      <c r="Z1953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53" s="6">
        <f>('TE BE'!$AA$17+'TE BF'!$AA$17+'TE CVA'!$AA$17)*(1-CUSTOS!$M$37)</f>
        <v>297.20166373463735</v>
      </c>
      <c r="AB1953" s="6">
        <f>$K$1953*$V$1953</f>
        <v>0</v>
      </c>
      <c r="AC1953" s="6">
        <f>$M$1953*$W$1953</f>
        <v>1100949.2816399999</v>
      </c>
      <c r="AD1953" s="6">
        <f>$O$1953*$X$1953</f>
        <v>637172.53080000007</v>
      </c>
      <c r="AE1953" s="6">
        <f>$K$1953*$Y$1953</f>
        <v>0</v>
      </c>
      <c r="AF1953" s="6">
        <f ca="1">$M$1953*$Z$1953</f>
        <v>1204785.61362736</v>
      </c>
      <c r="AG1953" s="6">
        <f>$O$1953*$AA$1953</f>
        <v>778334.30431471218</v>
      </c>
    </row>
    <row r="1954" spans="1:33" ht="11.25" customHeight="1" x14ac:dyDescent="0.25">
      <c r="A1954" s="4" t="s">
        <v>29</v>
      </c>
      <c r="B1954" s="4" t="s">
        <v>22</v>
      </c>
      <c r="C1954" s="4" t="s">
        <v>23</v>
      </c>
      <c r="D1954" s="4" t="s">
        <v>24</v>
      </c>
      <c r="E1954" s="4" t="s">
        <v>34</v>
      </c>
      <c r="F1954" s="4" t="s">
        <v>25</v>
      </c>
      <c r="G1954" s="4" t="s">
        <v>25</v>
      </c>
      <c r="H1954" s="4" t="s">
        <v>25</v>
      </c>
      <c r="I1954" s="5">
        <v>44378</v>
      </c>
      <c r="J1954" s="6">
        <v>0</v>
      </c>
      <c r="K1954" s="6">
        <v>0</v>
      </c>
      <c r="L1954" s="6">
        <v>-38.697000000000003</v>
      </c>
      <c r="M1954" s="6">
        <v>-38.697000000000003</v>
      </c>
      <c r="N1954" s="6">
        <v>-38.697000000000003</v>
      </c>
      <c r="O1954" s="6">
        <v>-38.697000000000003</v>
      </c>
      <c r="P1954" s="6">
        <v>0</v>
      </c>
      <c r="Q1954" s="4" t="s">
        <v>26</v>
      </c>
      <c r="R1954" s="4">
        <v>0</v>
      </c>
      <c r="S1954" s="6">
        <v>0</v>
      </c>
      <c r="T1954" s="6">
        <v>7</v>
      </c>
      <c r="U1954" s="6">
        <v>53</v>
      </c>
      <c r="V1954" s="6">
        <f>IF(ISERROR(VLOOKUP($S$1954,'TAR FIN'!$A$1:$O$95,15,0)),0,VLOOKUP($S$1954,'TAR FIN'!$A$1:$O$95,15,0))</f>
        <v>0</v>
      </c>
      <c r="W1954" s="6">
        <f>IF(ISERROR(VLOOKUP($T$1954,'TAR FIN'!$A$1:$O$95,15,0)),0,VLOOKUP($T$1954,'TAR FIN'!$A$1:$O$95,15,0))</f>
        <v>420.39</v>
      </c>
      <c r="X1954" s="6">
        <f>IF(ISERROR(VLOOKUP($U$1954,'TAR FIN'!$A$1:$O$95,15,0)),0,VLOOKUP($U$1954,'TAR FIN'!$A$1:$O$95,15,0))</f>
        <v>243.3</v>
      </c>
      <c r="Y1954" s="6"/>
      <c r="Z1954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54" s="6">
        <f>('TE BE'!$AA$17+'TE BF'!$AA$17+'TE CVA'!$AA$17)*(1-CUSTOS!$M$37)</f>
        <v>297.20166373463735</v>
      </c>
      <c r="AB1954" s="6">
        <f>$K$1954*$V$1954</f>
        <v>0</v>
      </c>
      <c r="AC1954" s="6">
        <f>$M$1954*$W$1954</f>
        <v>-16267.831830000001</v>
      </c>
      <c r="AD1954" s="6">
        <f>$O$1954*$X$1954</f>
        <v>-9414.9801000000007</v>
      </c>
      <c r="AE1954" s="6">
        <f>$K$1954*$Y$1954</f>
        <v>0</v>
      </c>
      <c r="AF1954" s="6">
        <f ca="1">$M$1954*$Z$1954</f>
        <v>-17802.136829135074</v>
      </c>
      <c r="AG1954" s="6">
        <f>$O$1954*$AA$1954</f>
        <v>-11500.812781539262</v>
      </c>
    </row>
    <row r="1955" spans="1:33" ht="11.25" customHeight="1" x14ac:dyDescent="0.25">
      <c r="A1955" s="4" t="s">
        <v>30</v>
      </c>
      <c r="B1955" s="4" t="s">
        <v>22</v>
      </c>
      <c r="C1955" s="4" t="s">
        <v>23</v>
      </c>
      <c r="D1955" s="4" t="s">
        <v>24</v>
      </c>
      <c r="E1955" s="4" t="s">
        <v>34</v>
      </c>
      <c r="F1955" s="4" t="s">
        <v>25</v>
      </c>
      <c r="G1955" s="4" t="s">
        <v>25</v>
      </c>
      <c r="H1955" s="4" t="s">
        <v>25</v>
      </c>
      <c r="I1955" s="5">
        <v>44378</v>
      </c>
      <c r="J1955" s="6">
        <v>0</v>
      </c>
      <c r="K1955" s="6">
        <v>0</v>
      </c>
      <c r="L1955" s="6">
        <v>0.69499999999999995</v>
      </c>
      <c r="M1955" s="6">
        <v>0.69499999999999995</v>
      </c>
      <c r="N1955" s="6">
        <v>0.69499999999999995</v>
      </c>
      <c r="O1955" s="6">
        <v>0.69499999999999995</v>
      </c>
      <c r="P1955" s="6">
        <v>3</v>
      </c>
      <c r="Q1955" s="4" t="s">
        <v>26</v>
      </c>
      <c r="R1955" s="4">
        <v>0</v>
      </c>
      <c r="S1955" s="6">
        <v>0</v>
      </c>
      <c r="T1955" s="6">
        <v>7</v>
      </c>
      <c r="U1955" s="6">
        <v>53</v>
      </c>
      <c r="V1955" s="6">
        <f>IF(ISERROR(VLOOKUP($S$1955,'TAR FIN'!$A$1:$O$95,15,0)),0,VLOOKUP($S$1955,'TAR FIN'!$A$1:$O$95,15,0))</f>
        <v>0</v>
      </c>
      <c r="W1955" s="6">
        <f>IF(ISERROR(VLOOKUP($T$1955,'TAR FIN'!$A$1:$O$95,15,0)),0,VLOOKUP($T$1955,'TAR FIN'!$A$1:$O$95,15,0))</f>
        <v>420.39</v>
      </c>
      <c r="X1955" s="6">
        <f>IF(ISERROR(VLOOKUP($U$1955,'TAR FIN'!$A$1:$O$95,15,0)),0,VLOOKUP($U$1955,'TAR FIN'!$A$1:$O$95,15,0))</f>
        <v>243.3</v>
      </c>
      <c r="Y1955" s="6"/>
      <c r="Z1955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55" s="6">
        <f>('TE BE'!$AA$17+'TE BF'!$AA$17+'TE CVA'!$AA$17)*(1-CUSTOS!$M$37)</f>
        <v>297.20166373463735</v>
      </c>
      <c r="AB1955" s="6">
        <f>$K$1955*$V$1955</f>
        <v>0</v>
      </c>
      <c r="AC1955" s="6">
        <f>$M$1955*$W$1955</f>
        <v>292.17104999999998</v>
      </c>
      <c r="AD1955" s="6">
        <f>$O$1955*$X$1955</f>
        <v>169.09350000000001</v>
      </c>
      <c r="AE1955" s="6">
        <f>$K$1955*$Y$1955</f>
        <v>0</v>
      </c>
      <c r="AF1955" s="6">
        <f ca="1">$M$1955*$Z$1955</f>
        <v>319.72724232495733</v>
      </c>
      <c r="AG1955" s="6">
        <f>$O$1955*$AA$1955</f>
        <v>206.55515629557294</v>
      </c>
    </row>
    <row r="1956" spans="1:33" ht="11.25" customHeight="1" x14ac:dyDescent="0.25">
      <c r="A1956" s="4" t="s">
        <v>21</v>
      </c>
      <c r="B1956" s="4" t="s">
        <v>22</v>
      </c>
      <c r="C1956" s="4" t="s">
        <v>23</v>
      </c>
      <c r="D1956" s="4" t="s">
        <v>24</v>
      </c>
      <c r="E1956" s="4" t="s">
        <v>34</v>
      </c>
      <c r="F1956" s="4" t="s">
        <v>25</v>
      </c>
      <c r="G1956" s="4" t="s">
        <v>25</v>
      </c>
      <c r="H1956" s="4" t="s">
        <v>25</v>
      </c>
      <c r="I1956" s="5">
        <v>44409</v>
      </c>
      <c r="J1956" s="6">
        <v>0</v>
      </c>
      <c r="K1956" s="6">
        <v>0</v>
      </c>
      <c r="L1956" s="6">
        <v>4341.5770000000002</v>
      </c>
      <c r="M1956" s="6">
        <v>4341.5770000000002</v>
      </c>
      <c r="N1956" s="6">
        <v>4341.5770000000002</v>
      </c>
      <c r="O1956" s="6">
        <v>4341.5770000000002</v>
      </c>
      <c r="P1956" s="6">
        <v>21562</v>
      </c>
      <c r="Q1956" s="4" t="s">
        <v>26</v>
      </c>
      <c r="R1956" s="4">
        <v>0</v>
      </c>
      <c r="S1956" s="6">
        <v>0</v>
      </c>
      <c r="T1956" s="6">
        <v>7</v>
      </c>
      <c r="U1956" s="6">
        <v>53</v>
      </c>
      <c r="V1956" s="6">
        <f>IF(ISERROR(VLOOKUP($S$1956,'TAR FIN'!$A$1:$O$95,15,0)),0,VLOOKUP($S$1956,'TAR FIN'!$A$1:$O$95,15,0))</f>
        <v>0</v>
      </c>
      <c r="W1956" s="6">
        <f>IF(ISERROR(VLOOKUP($T$1956,'TAR FIN'!$A$1:$O$95,15,0)),0,VLOOKUP($T$1956,'TAR FIN'!$A$1:$O$95,15,0))</f>
        <v>420.39</v>
      </c>
      <c r="X1956" s="6">
        <f>IF(ISERROR(VLOOKUP($U$1956,'TAR FIN'!$A$1:$O$95,15,0)),0,VLOOKUP($U$1956,'TAR FIN'!$A$1:$O$95,15,0))</f>
        <v>243.3</v>
      </c>
      <c r="Y1956" s="6"/>
      <c r="Z1956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56" s="6">
        <f>('TE BE'!$AA$17+'TE BF'!$AA$17+'TE CVA'!$AA$17)*(1-CUSTOS!$M$37)</f>
        <v>297.20166373463735</v>
      </c>
      <c r="AB1956" s="6">
        <f>$K$1956*$V$1956</f>
        <v>0</v>
      </c>
      <c r="AC1956" s="6">
        <f>$M$1956*$W$1956</f>
        <v>1825155.5550299999</v>
      </c>
      <c r="AD1956" s="6">
        <f>$O$1956*$X$1956</f>
        <v>1056305.6841000002</v>
      </c>
      <c r="AE1956" s="6">
        <f>$K$1956*$Y$1956</f>
        <v>0</v>
      </c>
      <c r="AF1956" s="6">
        <f ca="1">$M$1956*$Z$1956</f>
        <v>1997295.5993546208</v>
      </c>
      <c r="AG1956" s="6">
        <f>$O$1956*$AA$1956</f>
        <v>1290323.9076320357</v>
      </c>
    </row>
    <row r="1957" spans="1:33" ht="11.25" customHeight="1" x14ac:dyDescent="0.25">
      <c r="A1957" s="4" t="s">
        <v>27</v>
      </c>
      <c r="B1957" s="4" t="s">
        <v>22</v>
      </c>
      <c r="C1957" s="4" t="s">
        <v>23</v>
      </c>
      <c r="D1957" s="4" t="s">
        <v>24</v>
      </c>
      <c r="E1957" s="4" t="s">
        <v>34</v>
      </c>
      <c r="F1957" s="4" t="s">
        <v>25</v>
      </c>
      <c r="G1957" s="4" t="s">
        <v>25</v>
      </c>
      <c r="H1957" s="4" t="s">
        <v>25</v>
      </c>
      <c r="I1957" s="5">
        <v>44409</v>
      </c>
      <c r="J1957" s="6">
        <v>0</v>
      </c>
      <c r="K1957" s="6">
        <v>0</v>
      </c>
      <c r="L1957" s="6">
        <v>-76.388000000000005</v>
      </c>
      <c r="M1957" s="6">
        <v>-76.388000000000005</v>
      </c>
      <c r="N1957" s="6">
        <v>-76.388000000000005</v>
      </c>
      <c r="O1957" s="6">
        <v>-76.388000000000005</v>
      </c>
      <c r="P1957" s="6">
        <v>0</v>
      </c>
      <c r="Q1957" s="4" t="s">
        <v>26</v>
      </c>
      <c r="R1957" s="4">
        <v>0</v>
      </c>
      <c r="S1957" s="6">
        <v>0</v>
      </c>
      <c r="T1957" s="6">
        <v>7</v>
      </c>
      <c r="U1957" s="6">
        <v>53</v>
      </c>
      <c r="V1957" s="6">
        <f>IF(ISERROR(VLOOKUP($S$1957,'TAR FIN'!$A$1:$O$95,15,0)),0,VLOOKUP($S$1957,'TAR FIN'!$A$1:$O$95,15,0))</f>
        <v>0</v>
      </c>
      <c r="W1957" s="6">
        <f>IF(ISERROR(VLOOKUP($T$1957,'TAR FIN'!$A$1:$O$95,15,0)),0,VLOOKUP($T$1957,'TAR FIN'!$A$1:$O$95,15,0))</f>
        <v>420.39</v>
      </c>
      <c r="X1957" s="6">
        <f>IF(ISERROR(VLOOKUP($U$1957,'TAR FIN'!$A$1:$O$95,15,0)),0,VLOOKUP($U$1957,'TAR FIN'!$A$1:$O$95,15,0))</f>
        <v>243.3</v>
      </c>
      <c r="Y1957" s="6"/>
      <c r="Z1957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57" s="6">
        <f>('TE BE'!$AA$17+'TE BF'!$AA$17+'TE CVA'!$AA$17)*(1-CUSTOS!$M$37)</f>
        <v>297.20166373463735</v>
      </c>
      <c r="AB1957" s="6">
        <f>$K$1957*$V$1957</f>
        <v>0</v>
      </c>
      <c r="AC1957" s="6">
        <f>$M$1957*$W$1957</f>
        <v>-32112.751319999999</v>
      </c>
      <c r="AD1957" s="6">
        <f>$O$1957*$X$1957</f>
        <v>-18585.200400000002</v>
      </c>
      <c r="AE1957" s="6">
        <f>$K$1957*$Y$1957</f>
        <v>0</v>
      </c>
      <c r="AF1957" s="6">
        <f ca="1">$M$1957*$Z$1957</f>
        <v>-35141.474225494741</v>
      </c>
      <c r="AG1957" s="6">
        <f>$O$1957*$AA$1957</f>
        <v>-22702.64068936148</v>
      </c>
    </row>
    <row r="1958" spans="1:33" ht="11.25" customHeight="1" x14ac:dyDescent="0.25">
      <c r="A1958" s="4" t="s">
        <v>28</v>
      </c>
      <c r="B1958" s="4" t="s">
        <v>22</v>
      </c>
      <c r="C1958" s="4" t="s">
        <v>23</v>
      </c>
      <c r="D1958" s="4" t="s">
        <v>24</v>
      </c>
      <c r="E1958" s="4" t="s">
        <v>34</v>
      </c>
      <c r="F1958" s="4" t="s">
        <v>25</v>
      </c>
      <c r="G1958" s="4" t="s">
        <v>25</v>
      </c>
      <c r="H1958" s="4" t="s">
        <v>25</v>
      </c>
      <c r="I1958" s="5">
        <v>44409</v>
      </c>
      <c r="J1958" s="6">
        <v>0</v>
      </c>
      <c r="K1958" s="6">
        <v>0</v>
      </c>
      <c r="L1958" s="6">
        <v>3354.346</v>
      </c>
      <c r="M1958" s="6">
        <v>3354.346</v>
      </c>
      <c r="N1958" s="6">
        <v>3354.346</v>
      </c>
      <c r="O1958" s="6">
        <v>3354.346</v>
      </c>
      <c r="P1958" s="6">
        <v>23800</v>
      </c>
      <c r="Q1958" s="4" t="s">
        <v>26</v>
      </c>
      <c r="R1958" s="4">
        <v>0</v>
      </c>
      <c r="S1958" s="6">
        <v>0</v>
      </c>
      <c r="T1958" s="6">
        <v>7</v>
      </c>
      <c r="U1958" s="6">
        <v>53</v>
      </c>
      <c r="V1958" s="6">
        <f>IF(ISERROR(VLOOKUP($S$1958,'TAR FIN'!$A$1:$O$95,15,0)),0,VLOOKUP($S$1958,'TAR FIN'!$A$1:$O$95,15,0))</f>
        <v>0</v>
      </c>
      <c r="W1958" s="6">
        <f>IF(ISERROR(VLOOKUP($T$1958,'TAR FIN'!$A$1:$O$95,15,0)),0,VLOOKUP($T$1958,'TAR FIN'!$A$1:$O$95,15,0))</f>
        <v>420.39</v>
      </c>
      <c r="X1958" s="6">
        <f>IF(ISERROR(VLOOKUP($U$1958,'TAR FIN'!$A$1:$O$95,15,0)),0,VLOOKUP($U$1958,'TAR FIN'!$A$1:$O$95,15,0))</f>
        <v>243.3</v>
      </c>
      <c r="Y1958" s="6"/>
      <c r="Z1958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58" s="6">
        <f>('TE BE'!$AA$17+'TE BF'!$AA$17+'TE CVA'!$AA$17)*(1-CUSTOS!$M$37)</f>
        <v>297.20166373463735</v>
      </c>
      <c r="AB1958" s="6">
        <f>$K$1958*$V$1958</f>
        <v>0</v>
      </c>
      <c r="AC1958" s="6">
        <f>$M$1958*$W$1958</f>
        <v>1410133.5149399999</v>
      </c>
      <c r="AD1958" s="6">
        <f>$O$1958*$X$1958</f>
        <v>816112.38180000009</v>
      </c>
      <c r="AE1958" s="6">
        <f>$K$1958*$Y$1958</f>
        <v>0</v>
      </c>
      <c r="AF1958" s="6">
        <f ca="1">$M$1958*$Z$1958</f>
        <v>1543130.6422787791</v>
      </c>
      <c r="AG1958" s="6">
        <f>$O$1958*$AA$1958</f>
        <v>996917.21194162581</v>
      </c>
    </row>
    <row r="1959" spans="1:33" ht="11.25" customHeight="1" x14ac:dyDescent="0.25">
      <c r="A1959" s="4" t="s">
        <v>29</v>
      </c>
      <c r="B1959" s="4" t="s">
        <v>22</v>
      </c>
      <c r="C1959" s="4" t="s">
        <v>23</v>
      </c>
      <c r="D1959" s="4" t="s">
        <v>24</v>
      </c>
      <c r="E1959" s="4" t="s">
        <v>34</v>
      </c>
      <c r="F1959" s="4" t="s">
        <v>25</v>
      </c>
      <c r="G1959" s="4" t="s">
        <v>25</v>
      </c>
      <c r="H1959" s="4" t="s">
        <v>25</v>
      </c>
      <c r="I1959" s="5">
        <v>44409</v>
      </c>
      <c r="J1959" s="6">
        <v>0</v>
      </c>
      <c r="K1959" s="6">
        <v>0</v>
      </c>
      <c r="L1959" s="6">
        <v>-18.576000000000001</v>
      </c>
      <c r="M1959" s="6">
        <v>-18.576000000000001</v>
      </c>
      <c r="N1959" s="6">
        <v>-18.576000000000001</v>
      </c>
      <c r="O1959" s="6">
        <v>-18.576000000000001</v>
      </c>
      <c r="P1959" s="6">
        <v>0</v>
      </c>
      <c r="Q1959" s="4" t="s">
        <v>26</v>
      </c>
      <c r="R1959" s="4">
        <v>0</v>
      </c>
      <c r="S1959" s="6">
        <v>0</v>
      </c>
      <c r="T1959" s="6">
        <v>7</v>
      </c>
      <c r="U1959" s="6">
        <v>53</v>
      </c>
      <c r="V1959" s="6">
        <f>IF(ISERROR(VLOOKUP($S$1959,'TAR FIN'!$A$1:$O$95,15,0)),0,VLOOKUP($S$1959,'TAR FIN'!$A$1:$O$95,15,0))</f>
        <v>0</v>
      </c>
      <c r="W1959" s="6">
        <f>IF(ISERROR(VLOOKUP($T$1959,'TAR FIN'!$A$1:$O$95,15,0)),0,VLOOKUP($T$1959,'TAR FIN'!$A$1:$O$95,15,0))</f>
        <v>420.39</v>
      </c>
      <c r="X1959" s="6">
        <f>IF(ISERROR(VLOOKUP($U$1959,'TAR FIN'!$A$1:$O$95,15,0)),0,VLOOKUP($U$1959,'TAR FIN'!$A$1:$O$95,15,0))</f>
        <v>243.3</v>
      </c>
      <c r="Y1959" s="6"/>
      <c r="Z1959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59" s="6">
        <f>('TE BE'!$AA$17+'TE BF'!$AA$17+'TE CVA'!$AA$17)*(1-CUSTOS!$M$37)</f>
        <v>297.20166373463735</v>
      </c>
      <c r="AB1959" s="6">
        <f>$K$1959*$V$1959</f>
        <v>0</v>
      </c>
      <c r="AC1959" s="6">
        <f>$M$1959*$W$1959</f>
        <v>-7809.16464</v>
      </c>
      <c r="AD1959" s="6">
        <f>$O$1959*$X$1959</f>
        <v>-4519.5408000000007</v>
      </c>
      <c r="AE1959" s="6">
        <f>$K$1959*$Y$1959</f>
        <v>0</v>
      </c>
      <c r="AF1959" s="6">
        <f ca="1">$M$1959*$Z$1959</f>
        <v>-8545.6881344293652</v>
      </c>
      <c r="AG1959" s="6">
        <f>$O$1959*$AA$1959</f>
        <v>-5520.818105534624</v>
      </c>
    </row>
    <row r="1960" spans="1:33" ht="11.25" customHeight="1" x14ac:dyDescent="0.25">
      <c r="A1960" s="4" t="s">
        <v>30</v>
      </c>
      <c r="B1960" s="4" t="s">
        <v>22</v>
      </c>
      <c r="C1960" s="4" t="s">
        <v>23</v>
      </c>
      <c r="D1960" s="4" t="s">
        <v>24</v>
      </c>
      <c r="E1960" s="4" t="s">
        <v>34</v>
      </c>
      <c r="F1960" s="4" t="s">
        <v>25</v>
      </c>
      <c r="G1960" s="4" t="s">
        <v>25</v>
      </c>
      <c r="H1960" s="4" t="s">
        <v>25</v>
      </c>
      <c r="I1960" s="5">
        <v>44409</v>
      </c>
      <c r="J1960" s="6">
        <v>0</v>
      </c>
      <c r="K1960" s="6">
        <v>0</v>
      </c>
      <c r="L1960" s="6">
        <v>0.57399999999999995</v>
      </c>
      <c r="M1960" s="6">
        <v>0.57399999999999995</v>
      </c>
      <c r="N1960" s="6">
        <v>0.57399999999999995</v>
      </c>
      <c r="O1960" s="6">
        <v>0.57399999999999995</v>
      </c>
      <c r="P1960" s="6">
        <v>3</v>
      </c>
      <c r="Q1960" s="4" t="s">
        <v>26</v>
      </c>
      <c r="R1960" s="4">
        <v>0</v>
      </c>
      <c r="S1960" s="6">
        <v>0</v>
      </c>
      <c r="T1960" s="6">
        <v>7</v>
      </c>
      <c r="U1960" s="6">
        <v>53</v>
      </c>
      <c r="V1960" s="6">
        <f>IF(ISERROR(VLOOKUP($S$1960,'TAR FIN'!$A$1:$O$95,15,0)),0,VLOOKUP($S$1960,'TAR FIN'!$A$1:$O$95,15,0))</f>
        <v>0</v>
      </c>
      <c r="W1960" s="6">
        <f>IF(ISERROR(VLOOKUP($T$1960,'TAR FIN'!$A$1:$O$95,15,0)),0,VLOOKUP($T$1960,'TAR FIN'!$A$1:$O$95,15,0))</f>
        <v>420.39</v>
      </c>
      <c r="X1960" s="6">
        <f>IF(ISERROR(VLOOKUP($U$1960,'TAR FIN'!$A$1:$O$95,15,0)),0,VLOOKUP($U$1960,'TAR FIN'!$A$1:$O$95,15,0))</f>
        <v>243.3</v>
      </c>
      <c r="Y1960" s="6"/>
      <c r="Z1960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60" s="6">
        <f>('TE BE'!$AA$17+'TE BF'!$AA$17+'TE CVA'!$AA$17)*(1-CUSTOS!$M$37)</f>
        <v>297.20166373463735</v>
      </c>
      <c r="AB1960" s="6">
        <f>$K$1960*$V$1960</f>
        <v>0</v>
      </c>
      <c r="AC1960" s="6">
        <f>$M$1960*$W$1960</f>
        <v>241.30385999999999</v>
      </c>
      <c r="AD1960" s="6">
        <f>$O$1960*$X$1960</f>
        <v>139.6542</v>
      </c>
      <c r="AE1960" s="6">
        <f>$K$1960*$Y$1960</f>
        <v>0</v>
      </c>
      <c r="AF1960" s="6">
        <f ca="1">$M$1960*$Z$1960</f>
        <v>264.06249941658348</v>
      </c>
      <c r="AG1960" s="6">
        <f>$O$1960*$AA$1960</f>
        <v>170.59375498368183</v>
      </c>
    </row>
    <row r="1961" spans="1:33" ht="11.25" customHeight="1" x14ac:dyDescent="0.25">
      <c r="A1961" s="4" t="s">
        <v>21</v>
      </c>
      <c r="B1961" s="4" t="s">
        <v>22</v>
      </c>
      <c r="C1961" s="4" t="s">
        <v>23</v>
      </c>
      <c r="D1961" s="4" t="s">
        <v>24</v>
      </c>
      <c r="E1961" s="4" t="s">
        <v>34</v>
      </c>
      <c r="F1961" s="4" t="s">
        <v>25</v>
      </c>
      <c r="G1961" s="4" t="s">
        <v>25</v>
      </c>
      <c r="H1961" s="4" t="s">
        <v>25</v>
      </c>
      <c r="I1961" s="5">
        <v>44440</v>
      </c>
      <c r="J1961" s="6">
        <v>0</v>
      </c>
      <c r="K1961" s="6">
        <v>0</v>
      </c>
      <c r="L1961" s="6">
        <v>4587.0259999999998</v>
      </c>
      <c r="M1961" s="6">
        <v>4587.0259999999998</v>
      </c>
      <c r="N1961" s="6">
        <v>4587.0259999999998</v>
      </c>
      <c r="O1961" s="6">
        <v>4587.0259999999998</v>
      </c>
      <c r="P1961" s="6">
        <v>21988</v>
      </c>
      <c r="Q1961" s="4" t="s">
        <v>26</v>
      </c>
      <c r="R1961" s="4">
        <v>0</v>
      </c>
      <c r="S1961" s="6">
        <v>0</v>
      </c>
      <c r="T1961" s="6">
        <v>7</v>
      </c>
      <c r="U1961" s="6">
        <v>53</v>
      </c>
      <c r="V1961" s="6">
        <f>IF(ISERROR(VLOOKUP($S$1961,'TAR FIN'!$A$1:$O$95,15,0)),0,VLOOKUP($S$1961,'TAR FIN'!$A$1:$O$95,15,0))</f>
        <v>0</v>
      </c>
      <c r="W1961" s="6">
        <f>IF(ISERROR(VLOOKUP($T$1961,'TAR FIN'!$A$1:$O$95,15,0)),0,VLOOKUP($T$1961,'TAR FIN'!$A$1:$O$95,15,0))</f>
        <v>420.39</v>
      </c>
      <c r="X1961" s="6">
        <f>IF(ISERROR(VLOOKUP($U$1961,'TAR FIN'!$A$1:$O$95,15,0)),0,VLOOKUP($U$1961,'TAR FIN'!$A$1:$O$95,15,0))</f>
        <v>243.3</v>
      </c>
      <c r="Y1961" s="6"/>
      <c r="Z1961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61" s="6">
        <f>('TE BE'!$AA$17+'TE BF'!$AA$17+'TE CVA'!$AA$17)*(1-CUSTOS!$M$37)</f>
        <v>297.20166373463735</v>
      </c>
      <c r="AB1961" s="6">
        <f>$K$1961*$V$1961</f>
        <v>0</v>
      </c>
      <c r="AC1961" s="6">
        <f>$M$1961*$W$1961</f>
        <v>1928339.8601399998</v>
      </c>
      <c r="AD1961" s="6">
        <f>$O$1961*$X$1961</f>
        <v>1116023.4258000001</v>
      </c>
      <c r="AE1961" s="6">
        <f>$K$1961*$Y$1961</f>
        <v>0</v>
      </c>
      <c r="AF1961" s="6">
        <f ca="1">$M$1961*$Z$1961</f>
        <v>2110211.7603638559</v>
      </c>
      <c r="AG1961" s="6">
        <f>$O$1961*$AA$1961</f>
        <v>1363271.7587940386</v>
      </c>
    </row>
    <row r="1962" spans="1:33" ht="11.25" customHeight="1" x14ac:dyDescent="0.25">
      <c r="A1962" s="4" t="s">
        <v>27</v>
      </c>
      <c r="B1962" s="4" t="s">
        <v>22</v>
      </c>
      <c r="C1962" s="4" t="s">
        <v>23</v>
      </c>
      <c r="D1962" s="4" t="s">
        <v>24</v>
      </c>
      <c r="E1962" s="4" t="s">
        <v>34</v>
      </c>
      <c r="F1962" s="4" t="s">
        <v>25</v>
      </c>
      <c r="G1962" s="4" t="s">
        <v>25</v>
      </c>
      <c r="H1962" s="4" t="s">
        <v>25</v>
      </c>
      <c r="I1962" s="5">
        <v>44440</v>
      </c>
      <c r="J1962" s="6">
        <v>0</v>
      </c>
      <c r="K1962" s="6">
        <v>0</v>
      </c>
      <c r="L1962" s="6">
        <v>-52.066000000000003</v>
      </c>
      <c r="M1962" s="6">
        <v>-52.066000000000003</v>
      </c>
      <c r="N1962" s="6">
        <v>-52.066000000000003</v>
      </c>
      <c r="O1962" s="6">
        <v>-52.066000000000003</v>
      </c>
      <c r="P1962" s="6">
        <v>0</v>
      </c>
      <c r="Q1962" s="4" t="s">
        <v>26</v>
      </c>
      <c r="R1962" s="4">
        <v>0</v>
      </c>
      <c r="S1962" s="6">
        <v>0</v>
      </c>
      <c r="T1962" s="6">
        <v>7</v>
      </c>
      <c r="U1962" s="6">
        <v>53</v>
      </c>
      <c r="V1962" s="6">
        <f>IF(ISERROR(VLOOKUP($S$1962,'TAR FIN'!$A$1:$O$95,15,0)),0,VLOOKUP($S$1962,'TAR FIN'!$A$1:$O$95,15,0))</f>
        <v>0</v>
      </c>
      <c r="W1962" s="6">
        <f>IF(ISERROR(VLOOKUP($T$1962,'TAR FIN'!$A$1:$O$95,15,0)),0,VLOOKUP($T$1962,'TAR FIN'!$A$1:$O$95,15,0))</f>
        <v>420.39</v>
      </c>
      <c r="X1962" s="6">
        <f>IF(ISERROR(VLOOKUP($U$1962,'TAR FIN'!$A$1:$O$95,15,0)),0,VLOOKUP($U$1962,'TAR FIN'!$A$1:$O$95,15,0))</f>
        <v>243.3</v>
      </c>
      <c r="Y1962" s="6"/>
      <c r="Z1962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62" s="6">
        <f>('TE BE'!$AA$17+'TE BF'!$AA$17+'TE CVA'!$AA$17)*(1-CUSTOS!$M$37)</f>
        <v>297.20166373463735</v>
      </c>
      <c r="AB1962" s="6">
        <f>$K$1962*$V$1962</f>
        <v>0</v>
      </c>
      <c r="AC1962" s="6">
        <f>$M$1962*$W$1962</f>
        <v>-21888.025740000001</v>
      </c>
      <c r="AD1962" s="6">
        <f>$O$1962*$X$1962</f>
        <v>-12667.657800000001</v>
      </c>
      <c r="AE1962" s="6">
        <f>$K$1962*$Y$1962</f>
        <v>0</v>
      </c>
      <c r="AF1962" s="6">
        <f ca="1">$M$1962*$Z$1962</f>
        <v>-23952.400861714003</v>
      </c>
      <c r="AG1962" s="6">
        <f>$O$1962*$AA$1962</f>
        <v>-15474.101824007628</v>
      </c>
    </row>
    <row r="1963" spans="1:33" ht="11.25" customHeight="1" x14ac:dyDescent="0.25">
      <c r="A1963" s="4" t="s">
        <v>28</v>
      </c>
      <c r="B1963" s="4" t="s">
        <v>22</v>
      </c>
      <c r="C1963" s="4" t="s">
        <v>23</v>
      </c>
      <c r="D1963" s="4" t="s">
        <v>24</v>
      </c>
      <c r="E1963" s="4" t="s">
        <v>34</v>
      </c>
      <c r="F1963" s="4" t="s">
        <v>25</v>
      </c>
      <c r="G1963" s="4" t="s">
        <v>25</v>
      </c>
      <c r="H1963" s="4" t="s">
        <v>25</v>
      </c>
      <c r="I1963" s="5">
        <v>44440</v>
      </c>
      <c r="J1963" s="6">
        <v>0</v>
      </c>
      <c r="K1963" s="6">
        <v>0</v>
      </c>
      <c r="L1963" s="6">
        <v>3676.605</v>
      </c>
      <c r="M1963" s="6">
        <v>3676.605</v>
      </c>
      <c r="N1963" s="6">
        <v>3676.605</v>
      </c>
      <c r="O1963" s="6">
        <v>3676.605</v>
      </c>
      <c r="P1963" s="6">
        <v>26093</v>
      </c>
      <c r="Q1963" s="4" t="s">
        <v>26</v>
      </c>
      <c r="R1963" s="4">
        <v>0</v>
      </c>
      <c r="S1963" s="6">
        <v>0</v>
      </c>
      <c r="T1963" s="6">
        <v>7</v>
      </c>
      <c r="U1963" s="6">
        <v>53</v>
      </c>
      <c r="V1963" s="6">
        <f>IF(ISERROR(VLOOKUP($S$1963,'TAR FIN'!$A$1:$O$95,15,0)),0,VLOOKUP($S$1963,'TAR FIN'!$A$1:$O$95,15,0))</f>
        <v>0</v>
      </c>
      <c r="W1963" s="6">
        <f>IF(ISERROR(VLOOKUP($T$1963,'TAR FIN'!$A$1:$O$95,15,0)),0,VLOOKUP($T$1963,'TAR FIN'!$A$1:$O$95,15,0))</f>
        <v>420.39</v>
      </c>
      <c r="X1963" s="6">
        <f>IF(ISERROR(VLOOKUP($U$1963,'TAR FIN'!$A$1:$O$95,15,0)),0,VLOOKUP($U$1963,'TAR FIN'!$A$1:$O$95,15,0))</f>
        <v>243.3</v>
      </c>
      <c r="Y1963" s="6"/>
      <c r="Z1963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63" s="6">
        <f>('TE BE'!$AA$17+'TE BF'!$AA$17+'TE CVA'!$AA$17)*(1-CUSTOS!$M$37)</f>
        <v>297.20166373463735</v>
      </c>
      <c r="AB1963" s="6">
        <f>$K$1963*$V$1963</f>
        <v>0</v>
      </c>
      <c r="AC1963" s="6">
        <f>$M$1963*$W$1963</f>
        <v>1545607.9759499999</v>
      </c>
      <c r="AD1963" s="6">
        <f>$O$1963*$X$1963</f>
        <v>894517.99650000001</v>
      </c>
      <c r="AE1963" s="6">
        <f>$K$1963*$Y$1963</f>
        <v>0</v>
      </c>
      <c r="AF1963" s="6">
        <f ca="1">$M$1963*$Z$1963</f>
        <v>1691382.414054892</v>
      </c>
      <c r="AG1963" s="6">
        <f>$O$1963*$AA$1963</f>
        <v>1092693.1228950864</v>
      </c>
    </row>
    <row r="1964" spans="1:33" ht="11.25" customHeight="1" x14ac:dyDescent="0.25">
      <c r="A1964" s="4" t="s">
        <v>29</v>
      </c>
      <c r="B1964" s="4" t="s">
        <v>22</v>
      </c>
      <c r="C1964" s="4" t="s">
        <v>23</v>
      </c>
      <c r="D1964" s="4" t="s">
        <v>24</v>
      </c>
      <c r="E1964" s="4" t="s">
        <v>34</v>
      </c>
      <c r="F1964" s="4" t="s">
        <v>25</v>
      </c>
      <c r="G1964" s="4" t="s">
        <v>25</v>
      </c>
      <c r="H1964" s="4" t="s">
        <v>25</v>
      </c>
      <c r="I1964" s="5">
        <v>44440</v>
      </c>
      <c r="J1964" s="6">
        <v>0</v>
      </c>
      <c r="K1964" s="6">
        <v>0</v>
      </c>
      <c r="L1964" s="6">
        <v>-231.81899999999999</v>
      </c>
      <c r="M1964" s="6">
        <v>-231.81899999999999</v>
      </c>
      <c r="N1964" s="6">
        <v>-231.81899999999999</v>
      </c>
      <c r="O1964" s="6">
        <v>-231.81899999999999</v>
      </c>
      <c r="P1964" s="6">
        <v>0</v>
      </c>
      <c r="Q1964" s="4" t="s">
        <v>26</v>
      </c>
      <c r="R1964" s="4">
        <v>0</v>
      </c>
      <c r="S1964" s="6">
        <v>0</v>
      </c>
      <c r="T1964" s="6">
        <v>7</v>
      </c>
      <c r="U1964" s="6">
        <v>53</v>
      </c>
      <c r="V1964" s="6">
        <f>IF(ISERROR(VLOOKUP($S$1964,'TAR FIN'!$A$1:$O$95,15,0)),0,VLOOKUP($S$1964,'TAR FIN'!$A$1:$O$95,15,0))</f>
        <v>0</v>
      </c>
      <c r="W1964" s="6">
        <f>IF(ISERROR(VLOOKUP($T$1964,'TAR FIN'!$A$1:$O$95,15,0)),0,VLOOKUP($T$1964,'TAR FIN'!$A$1:$O$95,15,0))</f>
        <v>420.39</v>
      </c>
      <c r="X1964" s="6">
        <f>IF(ISERROR(VLOOKUP($U$1964,'TAR FIN'!$A$1:$O$95,15,0)),0,VLOOKUP($U$1964,'TAR FIN'!$A$1:$O$95,15,0))</f>
        <v>243.3</v>
      </c>
      <c r="Y1964" s="6"/>
      <c r="Z1964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64" s="6">
        <f>('TE BE'!$AA$17+'TE BF'!$AA$17+'TE CVA'!$AA$17)*(1-CUSTOS!$M$37)</f>
        <v>297.20166373463735</v>
      </c>
      <c r="AB1964" s="6">
        <f>$K$1964*$V$1964</f>
        <v>0</v>
      </c>
      <c r="AC1964" s="6">
        <f>$M$1964*$W$1964</f>
        <v>-97454.389409999989</v>
      </c>
      <c r="AD1964" s="6">
        <f>$O$1964*$X$1964</f>
        <v>-56401.562700000002</v>
      </c>
      <c r="AE1964" s="6">
        <f>$K$1964*$Y$1964</f>
        <v>0</v>
      </c>
      <c r="AF1964" s="6">
        <f ca="1">$M$1964*$Z$1964</f>
        <v>-106645.82674608531</v>
      </c>
      <c r="AG1964" s="6">
        <f>$O$1964*$AA$1964</f>
        <v>-68896.992485299896</v>
      </c>
    </row>
    <row r="1965" spans="1:33" ht="11.25" customHeight="1" x14ac:dyDescent="0.25">
      <c r="A1965" s="4" t="s">
        <v>30</v>
      </c>
      <c r="B1965" s="4" t="s">
        <v>22</v>
      </c>
      <c r="C1965" s="4" t="s">
        <v>23</v>
      </c>
      <c r="D1965" s="4" t="s">
        <v>24</v>
      </c>
      <c r="E1965" s="4" t="s">
        <v>34</v>
      </c>
      <c r="F1965" s="4" t="s">
        <v>25</v>
      </c>
      <c r="G1965" s="4" t="s">
        <v>25</v>
      </c>
      <c r="H1965" s="4" t="s">
        <v>25</v>
      </c>
      <c r="I1965" s="5">
        <v>44440</v>
      </c>
      <c r="J1965" s="6">
        <v>0</v>
      </c>
      <c r="K1965" s="6">
        <v>0</v>
      </c>
      <c r="L1965" s="6">
        <v>0.90400000000000003</v>
      </c>
      <c r="M1965" s="6">
        <v>0.90400000000000003</v>
      </c>
      <c r="N1965" s="6">
        <v>0.90400000000000003</v>
      </c>
      <c r="O1965" s="6">
        <v>0.90400000000000003</v>
      </c>
      <c r="P1965" s="6">
        <v>6</v>
      </c>
      <c r="Q1965" s="4" t="s">
        <v>26</v>
      </c>
      <c r="R1965" s="4">
        <v>0</v>
      </c>
      <c r="S1965" s="6">
        <v>0</v>
      </c>
      <c r="T1965" s="6">
        <v>7</v>
      </c>
      <c r="U1965" s="6">
        <v>53</v>
      </c>
      <c r="V1965" s="6">
        <f>IF(ISERROR(VLOOKUP($S$1965,'TAR FIN'!$A$1:$O$95,15,0)),0,VLOOKUP($S$1965,'TAR FIN'!$A$1:$O$95,15,0))</f>
        <v>0</v>
      </c>
      <c r="W1965" s="6">
        <f>IF(ISERROR(VLOOKUP($T$1965,'TAR FIN'!$A$1:$O$95,15,0)),0,VLOOKUP($T$1965,'TAR FIN'!$A$1:$O$95,15,0))</f>
        <v>420.39</v>
      </c>
      <c r="X1965" s="6">
        <f>IF(ISERROR(VLOOKUP($U$1965,'TAR FIN'!$A$1:$O$95,15,0)),0,VLOOKUP($U$1965,'TAR FIN'!$A$1:$O$95,15,0))</f>
        <v>243.3</v>
      </c>
      <c r="Y1965" s="6"/>
      <c r="Z1965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65" s="6">
        <f>('TE BE'!$AA$17+'TE BF'!$AA$17+'TE CVA'!$AA$17)*(1-CUSTOS!$M$37)</f>
        <v>297.20166373463735</v>
      </c>
      <c r="AB1965" s="6">
        <f>$K$1965*$V$1965</f>
        <v>0</v>
      </c>
      <c r="AC1965" s="6">
        <f>$M$1965*$W$1965</f>
        <v>380.03255999999999</v>
      </c>
      <c r="AD1965" s="6">
        <f>$O$1965*$X$1965</f>
        <v>219.94320000000002</v>
      </c>
      <c r="AE1965" s="6">
        <f>$K$1965*$Y$1965</f>
        <v>0</v>
      </c>
      <c r="AF1965" s="6">
        <f ca="1">$M$1965*$Z$1965</f>
        <v>415.87543462123955</v>
      </c>
      <c r="AG1965" s="6">
        <f>$O$1965*$AA$1965</f>
        <v>268.6703040161122</v>
      </c>
    </row>
    <row r="1966" spans="1:33" ht="11.25" customHeight="1" x14ac:dyDescent="0.25">
      <c r="A1966" s="4" t="s">
        <v>59</v>
      </c>
      <c r="B1966" s="4" t="s">
        <v>22</v>
      </c>
      <c r="C1966" s="4" t="s">
        <v>23</v>
      </c>
      <c r="D1966" s="4" t="s">
        <v>24</v>
      </c>
      <c r="E1966" s="4" t="s">
        <v>34</v>
      </c>
      <c r="F1966" s="4" t="s">
        <v>25</v>
      </c>
      <c r="G1966" s="4" t="s">
        <v>25</v>
      </c>
      <c r="H1966" s="4" t="s">
        <v>25</v>
      </c>
      <c r="I1966" s="5">
        <v>44470</v>
      </c>
      <c r="J1966" s="6">
        <v>0</v>
      </c>
      <c r="K1966" s="6">
        <v>0</v>
      </c>
      <c r="L1966" s="6">
        <v>4587.0259999999998</v>
      </c>
      <c r="M1966" s="6">
        <v>4587.0259999999998</v>
      </c>
      <c r="N1966" s="6">
        <v>4587.0259999999998</v>
      </c>
      <c r="O1966" s="6">
        <v>4587.0259999999998</v>
      </c>
      <c r="P1966" s="6">
        <v>21988</v>
      </c>
      <c r="Q1966" s="4" t="s">
        <v>26</v>
      </c>
      <c r="R1966" s="4">
        <v>0</v>
      </c>
      <c r="S1966" s="6">
        <v>0</v>
      </c>
      <c r="T1966" s="6">
        <v>7</v>
      </c>
      <c r="U1966" s="6">
        <v>53</v>
      </c>
      <c r="V1966" s="6">
        <f>IF(ISERROR(VLOOKUP($S$1966,'TAR FIN'!$A$1:$O$95,15,0)),0,VLOOKUP($S$1966,'TAR FIN'!$A$1:$O$95,15,0))</f>
        <v>0</v>
      </c>
      <c r="W1966" s="6">
        <f>IF(ISERROR(VLOOKUP($T$1966,'TAR FIN'!$A$1:$O$95,15,0)),0,VLOOKUP($T$1966,'TAR FIN'!$A$1:$O$95,15,0))</f>
        <v>420.39</v>
      </c>
      <c r="X1966" s="6">
        <f>IF(ISERROR(VLOOKUP($U$1966,'TAR FIN'!$A$1:$O$95,15,0)),0,VLOOKUP($U$1966,'TAR FIN'!$A$1:$O$95,15,0))</f>
        <v>243.3</v>
      </c>
      <c r="Y1966" s="6"/>
      <c r="Z1966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66" s="6">
        <f>('TE BE'!$AA$17+'TE BF'!$AA$17+'TE CVA'!$AA$17)*(1-CUSTOS!$M$37)</f>
        <v>297.20166373463735</v>
      </c>
      <c r="AB1966" s="6">
        <f>$K$1966*$V$1966</f>
        <v>0</v>
      </c>
      <c r="AC1966" s="6">
        <f>$M$1966*$W$1966</f>
        <v>1928339.8601399998</v>
      </c>
      <c r="AD1966" s="6">
        <f>$O$1966*$X$1966</f>
        <v>1116023.4258000001</v>
      </c>
      <c r="AE1966" s="6">
        <f>$K$1966*$Y$1966</f>
        <v>0</v>
      </c>
      <c r="AF1966" s="6">
        <f ca="1">$M$1966*$Z$1966</f>
        <v>2110211.7603638559</v>
      </c>
      <c r="AG1966" s="6">
        <f>$O$1966*$AA$1966</f>
        <v>1363271.7587940386</v>
      </c>
    </row>
    <row r="1967" spans="1:33" ht="11.25" customHeight="1" x14ac:dyDescent="0.25">
      <c r="A1967" s="4" t="s">
        <v>59</v>
      </c>
      <c r="B1967" s="4" t="s">
        <v>22</v>
      </c>
      <c r="C1967" s="4" t="s">
        <v>23</v>
      </c>
      <c r="D1967" s="4" t="s">
        <v>24</v>
      </c>
      <c r="E1967" s="4" t="s">
        <v>34</v>
      </c>
      <c r="F1967" s="4" t="s">
        <v>25</v>
      </c>
      <c r="G1967" s="4" t="s">
        <v>25</v>
      </c>
      <c r="H1967" s="4" t="s">
        <v>25</v>
      </c>
      <c r="I1967" s="5">
        <v>44470</v>
      </c>
      <c r="J1967" s="6">
        <v>0</v>
      </c>
      <c r="K1967" s="6">
        <v>0</v>
      </c>
      <c r="L1967" s="6">
        <v>-52.066000000000003</v>
      </c>
      <c r="M1967" s="6">
        <v>-52.066000000000003</v>
      </c>
      <c r="N1967" s="6">
        <v>-52.066000000000003</v>
      </c>
      <c r="O1967" s="6">
        <v>-52.066000000000003</v>
      </c>
      <c r="P1967" s="6">
        <v>0</v>
      </c>
      <c r="Q1967" s="4" t="s">
        <v>26</v>
      </c>
      <c r="R1967" s="4">
        <v>0</v>
      </c>
      <c r="S1967" s="6">
        <v>0</v>
      </c>
      <c r="T1967" s="6">
        <v>7</v>
      </c>
      <c r="U1967" s="6">
        <v>53</v>
      </c>
      <c r="V1967" s="6">
        <f>IF(ISERROR(VLOOKUP($S$1967,'TAR FIN'!$A$1:$O$95,15,0)),0,VLOOKUP($S$1967,'TAR FIN'!$A$1:$O$95,15,0))</f>
        <v>0</v>
      </c>
      <c r="W1967" s="6">
        <f>IF(ISERROR(VLOOKUP($T$1967,'TAR FIN'!$A$1:$O$95,15,0)),0,VLOOKUP($T$1967,'TAR FIN'!$A$1:$O$95,15,0))</f>
        <v>420.39</v>
      </c>
      <c r="X1967" s="6">
        <f>IF(ISERROR(VLOOKUP($U$1967,'TAR FIN'!$A$1:$O$95,15,0)),0,VLOOKUP($U$1967,'TAR FIN'!$A$1:$O$95,15,0))</f>
        <v>243.3</v>
      </c>
      <c r="Y1967" s="6"/>
      <c r="Z1967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67" s="6">
        <f>('TE BE'!$AA$17+'TE BF'!$AA$17+'TE CVA'!$AA$17)*(1-CUSTOS!$M$37)</f>
        <v>297.20166373463735</v>
      </c>
      <c r="AB1967" s="6">
        <f>$K$1967*$V$1967</f>
        <v>0</v>
      </c>
      <c r="AC1967" s="6">
        <f>$M$1967*$W$1967</f>
        <v>-21888.025740000001</v>
      </c>
      <c r="AD1967" s="6">
        <f>$O$1967*$X$1967</f>
        <v>-12667.657800000001</v>
      </c>
      <c r="AE1967" s="6">
        <f>$K$1967*$Y$1967</f>
        <v>0</v>
      </c>
      <c r="AF1967" s="6">
        <f ca="1">$M$1967*$Z$1967</f>
        <v>-23952.400861714003</v>
      </c>
      <c r="AG1967" s="6">
        <f>$O$1967*$AA$1967</f>
        <v>-15474.101824007628</v>
      </c>
    </row>
    <row r="1968" spans="1:33" ht="11.25" customHeight="1" x14ac:dyDescent="0.25">
      <c r="A1968" s="4" t="s">
        <v>59</v>
      </c>
      <c r="B1968" s="4" t="s">
        <v>22</v>
      </c>
      <c r="C1968" s="4" t="s">
        <v>23</v>
      </c>
      <c r="D1968" s="4" t="s">
        <v>24</v>
      </c>
      <c r="E1968" s="4" t="s">
        <v>34</v>
      </c>
      <c r="F1968" s="4" t="s">
        <v>25</v>
      </c>
      <c r="G1968" s="4" t="s">
        <v>25</v>
      </c>
      <c r="H1968" s="4" t="s">
        <v>25</v>
      </c>
      <c r="I1968" s="5">
        <v>44470</v>
      </c>
      <c r="J1968" s="6">
        <v>0</v>
      </c>
      <c r="K1968" s="6">
        <v>0</v>
      </c>
      <c r="L1968" s="6">
        <v>3676.605</v>
      </c>
      <c r="M1968" s="6">
        <v>3676.605</v>
      </c>
      <c r="N1968" s="6">
        <v>3676.605</v>
      </c>
      <c r="O1968" s="6">
        <v>3676.605</v>
      </c>
      <c r="P1968" s="6">
        <v>26093</v>
      </c>
      <c r="Q1968" s="4" t="s">
        <v>26</v>
      </c>
      <c r="R1968" s="4">
        <v>0</v>
      </c>
      <c r="S1968" s="6">
        <v>0</v>
      </c>
      <c r="T1968" s="6">
        <v>7</v>
      </c>
      <c r="U1968" s="6">
        <v>53</v>
      </c>
      <c r="V1968" s="6">
        <f>IF(ISERROR(VLOOKUP($S$1968,'TAR FIN'!$A$1:$O$95,15,0)),0,VLOOKUP($S$1968,'TAR FIN'!$A$1:$O$95,15,0))</f>
        <v>0</v>
      </c>
      <c r="W1968" s="6">
        <f>IF(ISERROR(VLOOKUP($T$1968,'TAR FIN'!$A$1:$O$95,15,0)),0,VLOOKUP($T$1968,'TAR FIN'!$A$1:$O$95,15,0))</f>
        <v>420.39</v>
      </c>
      <c r="X1968" s="6">
        <f>IF(ISERROR(VLOOKUP($U$1968,'TAR FIN'!$A$1:$O$95,15,0)),0,VLOOKUP($U$1968,'TAR FIN'!$A$1:$O$95,15,0))</f>
        <v>243.3</v>
      </c>
      <c r="Y1968" s="6"/>
      <c r="Z1968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68" s="6">
        <f>('TE BE'!$AA$17+'TE BF'!$AA$17+'TE CVA'!$AA$17)*(1-CUSTOS!$M$37)</f>
        <v>297.20166373463735</v>
      </c>
      <c r="AB1968" s="6">
        <f>$K$1968*$V$1968</f>
        <v>0</v>
      </c>
      <c r="AC1968" s="6">
        <f>$M$1968*$W$1968</f>
        <v>1545607.9759499999</v>
      </c>
      <c r="AD1968" s="6">
        <f>$O$1968*$X$1968</f>
        <v>894517.99650000001</v>
      </c>
      <c r="AE1968" s="6">
        <f>$K$1968*$Y$1968</f>
        <v>0</v>
      </c>
      <c r="AF1968" s="6">
        <f ca="1">$M$1968*$Z$1968</f>
        <v>1691382.414054892</v>
      </c>
      <c r="AG1968" s="6">
        <f>$O$1968*$AA$1968</f>
        <v>1092693.1228950864</v>
      </c>
    </row>
    <row r="1969" spans="1:33" ht="11.25" customHeight="1" x14ac:dyDescent="0.25">
      <c r="A1969" s="4" t="s">
        <v>59</v>
      </c>
      <c r="B1969" s="4" t="s">
        <v>22</v>
      </c>
      <c r="C1969" s="4" t="s">
        <v>23</v>
      </c>
      <c r="D1969" s="4" t="s">
        <v>24</v>
      </c>
      <c r="E1969" s="4" t="s">
        <v>34</v>
      </c>
      <c r="F1969" s="4" t="s">
        <v>25</v>
      </c>
      <c r="G1969" s="4" t="s">
        <v>25</v>
      </c>
      <c r="H1969" s="4" t="s">
        <v>25</v>
      </c>
      <c r="I1969" s="5">
        <v>44470</v>
      </c>
      <c r="J1969" s="6">
        <v>0</v>
      </c>
      <c r="K1969" s="6">
        <v>0</v>
      </c>
      <c r="L1969" s="6">
        <v>-231.81899999999999</v>
      </c>
      <c r="M1969" s="6">
        <v>-231.81899999999999</v>
      </c>
      <c r="N1969" s="6">
        <v>-231.81899999999999</v>
      </c>
      <c r="O1969" s="6">
        <v>-231.81899999999999</v>
      </c>
      <c r="P1969" s="6">
        <v>0</v>
      </c>
      <c r="Q1969" s="4" t="s">
        <v>26</v>
      </c>
      <c r="R1969" s="4">
        <v>0</v>
      </c>
      <c r="S1969" s="6">
        <v>0</v>
      </c>
      <c r="T1969" s="6">
        <v>7</v>
      </c>
      <c r="U1969" s="6">
        <v>53</v>
      </c>
      <c r="V1969" s="6">
        <f>IF(ISERROR(VLOOKUP($S$1969,'TAR FIN'!$A$1:$O$95,15,0)),0,VLOOKUP($S$1969,'TAR FIN'!$A$1:$O$95,15,0))</f>
        <v>0</v>
      </c>
      <c r="W1969" s="6">
        <f>IF(ISERROR(VLOOKUP($T$1969,'TAR FIN'!$A$1:$O$95,15,0)),0,VLOOKUP($T$1969,'TAR FIN'!$A$1:$O$95,15,0))</f>
        <v>420.39</v>
      </c>
      <c r="X1969" s="6">
        <f>IF(ISERROR(VLOOKUP($U$1969,'TAR FIN'!$A$1:$O$95,15,0)),0,VLOOKUP($U$1969,'TAR FIN'!$A$1:$O$95,15,0))</f>
        <v>243.3</v>
      </c>
      <c r="Y1969" s="6"/>
      <c r="Z1969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69" s="6">
        <f>('TE BE'!$AA$17+'TE BF'!$AA$17+'TE CVA'!$AA$17)*(1-CUSTOS!$M$37)</f>
        <v>297.20166373463735</v>
      </c>
      <c r="AB1969" s="6">
        <f>$K$1969*$V$1969</f>
        <v>0</v>
      </c>
      <c r="AC1969" s="6">
        <f>$M$1969*$W$1969</f>
        <v>-97454.389409999989</v>
      </c>
      <c r="AD1969" s="6">
        <f>$O$1969*$X$1969</f>
        <v>-56401.562700000002</v>
      </c>
      <c r="AE1969" s="6">
        <f>$K$1969*$Y$1969</f>
        <v>0</v>
      </c>
      <c r="AF1969" s="6">
        <f ca="1">$M$1969*$Z$1969</f>
        <v>-106645.82674608531</v>
      </c>
      <c r="AG1969" s="6">
        <f>$O$1969*$AA$1969</f>
        <v>-68896.992485299896</v>
      </c>
    </row>
    <row r="1970" spans="1:33" ht="11.25" customHeight="1" x14ac:dyDescent="0.25">
      <c r="A1970" s="4" t="s">
        <v>59</v>
      </c>
      <c r="B1970" s="4" t="s">
        <v>22</v>
      </c>
      <c r="C1970" s="4" t="s">
        <v>23</v>
      </c>
      <c r="D1970" s="4" t="s">
        <v>24</v>
      </c>
      <c r="E1970" s="4" t="s">
        <v>34</v>
      </c>
      <c r="F1970" s="4" t="s">
        <v>25</v>
      </c>
      <c r="G1970" s="4" t="s">
        <v>25</v>
      </c>
      <c r="H1970" s="4" t="s">
        <v>25</v>
      </c>
      <c r="I1970" s="5">
        <v>44470</v>
      </c>
      <c r="J1970" s="6">
        <v>0</v>
      </c>
      <c r="K1970" s="6">
        <v>0</v>
      </c>
      <c r="L1970" s="6">
        <v>0.90400000000000003</v>
      </c>
      <c r="M1970" s="6">
        <v>0.90400000000000003</v>
      </c>
      <c r="N1970" s="6">
        <v>0.90400000000000003</v>
      </c>
      <c r="O1970" s="6">
        <v>0.90400000000000003</v>
      </c>
      <c r="P1970" s="6">
        <v>6</v>
      </c>
      <c r="Q1970" s="4" t="s">
        <v>26</v>
      </c>
      <c r="R1970" s="4">
        <v>0</v>
      </c>
      <c r="S1970" s="6">
        <v>0</v>
      </c>
      <c r="T1970" s="6">
        <v>7</v>
      </c>
      <c r="U1970" s="6">
        <v>53</v>
      </c>
      <c r="V1970" s="6">
        <f>IF(ISERROR(VLOOKUP($S$1970,'TAR FIN'!$A$1:$O$95,15,0)),0,VLOOKUP($S$1970,'TAR FIN'!$A$1:$O$95,15,0))</f>
        <v>0</v>
      </c>
      <c r="W1970" s="6">
        <f>IF(ISERROR(VLOOKUP($T$1970,'TAR FIN'!$A$1:$O$95,15,0)),0,VLOOKUP($T$1970,'TAR FIN'!$A$1:$O$95,15,0))</f>
        <v>420.39</v>
      </c>
      <c r="X1970" s="6">
        <f>IF(ISERROR(VLOOKUP($U$1970,'TAR FIN'!$A$1:$O$95,15,0)),0,VLOOKUP($U$1970,'TAR FIN'!$A$1:$O$95,15,0))</f>
        <v>243.3</v>
      </c>
      <c r="Y1970" s="6"/>
      <c r="Z1970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1970" s="6">
        <f>('TE BE'!$AA$17+'TE BF'!$AA$17+'TE CVA'!$AA$17)*(1-CUSTOS!$M$37)</f>
        <v>297.20166373463735</v>
      </c>
      <c r="AB1970" s="6">
        <f>$K$1970*$V$1970</f>
        <v>0</v>
      </c>
      <c r="AC1970" s="6">
        <f>$M$1970*$W$1970</f>
        <v>380.03255999999999</v>
      </c>
      <c r="AD1970" s="6">
        <f>$O$1970*$X$1970</f>
        <v>219.94320000000002</v>
      </c>
      <c r="AE1970" s="6">
        <f>$K$1970*$Y$1970</f>
        <v>0</v>
      </c>
      <c r="AF1970" s="6">
        <f ca="1">$M$1970*$Z$1970</f>
        <v>415.87543462123955</v>
      </c>
      <c r="AG1970" s="6">
        <f>$O$1970*$AA$1970</f>
        <v>268.6703040161122</v>
      </c>
    </row>
    <row r="1971" spans="1:33" ht="11.25" customHeight="1" x14ac:dyDescent="0.25">
      <c r="A1971" s="4" t="s">
        <v>21</v>
      </c>
      <c r="B1971" s="4" t="s">
        <v>46</v>
      </c>
      <c r="C1971" s="4" t="s">
        <v>39</v>
      </c>
      <c r="D1971" s="4" t="s">
        <v>47</v>
      </c>
      <c r="E1971" s="4" t="s">
        <v>25</v>
      </c>
      <c r="F1971" s="4" t="s">
        <v>25</v>
      </c>
      <c r="G1971" s="4" t="s">
        <v>25</v>
      </c>
      <c r="H1971" s="4" t="s">
        <v>38</v>
      </c>
      <c r="I1971" s="5">
        <v>44136</v>
      </c>
      <c r="J1971" s="6">
        <v>0</v>
      </c>
      <c r="K1971" s="6">
        <v>0</v>
      </c>
      <c r="L1971" s="6">
        <v>9.8000000000000004E-2</v>
      </c>
      <c r="M1971" s="6">
        <v>9.8000000000000004E-2</v>
      </c>
      <c r="N1971" s="6">
        <v>9.8000000000000004E-2</v>
      </c>
      <c r="O1971" s="6">
        <v>9.8000000000000004E-2</v>
      </c>
      <c r="P1971" s="6">
        <v>0</v>
      </c>
      <c r="Q1971" s="4" t="s">
        <v>26</v>
      </c>
      <c r="R1971" s="4">
        <v>0</v>
      </c>
      <c r="S1971" s="6">
        <v>0</v>
      </c>
      <c r="T1971" s="6">
        <v>38</v>
      </c>
      <c r="U1971" s="6">
        <v>57</v>
      </c>
      <c r="V1971" s="6">
        <f>IF(ISERROR(VLOOKUP($S$1971,'TAR FIN'!$A$1:$O$95,15,0)),0,VLOOKUP($S$1971,'TAR FIN'!$A$1:$O$95,15,0))</f>
        <v>0</v>
      </c>
      <c r="W1971" s="6">
        <f>IF(ISERROR(VLOOKUP($T$1971,'TAR FIN'!$A$1:$O$95,15,0)),0,VLOOKUP($T$1971,'TAR FIN'!$A$1:$O$95,15,0))</f>
        <v>296.56</v>
      </c>
      <c r="X1971" s="6">
        <f>IF(ISERROR(VLOOKUP($U$1971,'TAR FIN'!$A$1:$O$95,15,0)),0,VLOOKUP($U$1971,'TAR FIN'!$A$1:$O$95,15,0))</f>
        <v>188.63</v>
      </c>
      <c r="Y1971" s="6"/>
      <c r="Z1971" s="6">
        <f ca="1">('TUSD BE'!$AM$37+'TUSD BF'!$AM$37+'TUSD CVA'!$AM$37)*(1-CUSTOS!$M$38)</f>
        <v>358.54185925061802</v>
      </c>
      <c r="AA1971" s="6">
        <f>('TE BE'!$AA$25+'TE BF'!$AA$25+'TE CVA'!$AA$25)*(1-CUSTOS!$M$38)</f>
        <v>248.96731175097949</v>
      </c>
      <c r="AB1971" s="6">
        <f>$K$1971*$V$1971</f>
        <v>0</v>
      </c>
      <c r="AC1971" s="6">
        <f>$M$1971*$W$1971</f>
        <v>29.06288</v>
      </c>
      <c r="AD1971" s="6">
        <f>$O$1971*$X$1971</f>
        <v>18.48574</v>
      </c>
      <c r="AE1971" s="6">
        <f>$K$1971*$Y$1971</f>
        <v>0</v>
      </c>
      <c r="AF1971" s="6">
        <f ca="1">$M$1971*$Z$1971</f>
        <v>35.13710220656057</v>
      </c>
      <c r="AG1971" s="6">
        <f>$O$1971*$AA$1971</f>
        <v>24.398796551595989</v>
      </c>
    </row>
    <row r="1972" spans="1:33" ht="11.25" customHeight="1" x14ac:dyDescent="0.25">
      <c r="A1972" s="4" t="s">
        <v>21</v>
      </c>
      <c r="B1972" s="4" t="s">
        <v>46</v>
      </c>
      <c r="C1972" s="4" t="s">
        <v>39</v>
      </c>
      <c r="D1972" s="4" t="s">
        <v>47</v>
      </c>
      <c r="E1972" s="4" t="s">
        <v>25</v>
      </c>
      <c r="F1972" s="4" t="s">
        <v>25</v>
      </c>
      <c r="G1972" s="4" t="s">
        <v>25</v>
      </c>
      <c r="H1972" s="4" t="s">
        <v>38</v>
      </c>
      <c r="I1972" s="5">
        <v>44166</v>
      </c>
      <c r="J1972" s="6">
        <v>0</v>
      </c>
      <c r="K1972" s="6">
        <v>0</v>
      </c>
      <c r="L1972" s="6">
        <v>5.7000000000000002E-2</v>
      </c>
      <c r="M1972" s="6">
        <v>5.7000000000000002E-2</v>
      </c>
      <c r="N1972" s="6">
        <v>5.7000000000000002E-2</v>
      </c>
      <c r="O1972" s="6">
        <v>5.7000000000000002E-2</v>
      </c>
      <c r="P1972" s="6">
        <v>0</v>
      </c>
      <c r="Q1972" s="4" t="s">
        <v>26</v>
      </c>
      <c r="R1972" s="4">
        <v>0</v>
      </c>
      <c r="S1972" s="6">
        <v>0</v>
      </c>
      <c r="T1972" s="6">
        <v>38</v>
      </c>
      <c r="U1972" s="6">
        <v>57</v>
      </c>
      <c r="V1972" s="6">
        <f>IF(ISERROR(VLOOKUP($S$1972,'TAR FIN'!$A$1:$O$95,15,0)),0,VLOOKUP($S$1972,'TAR FIN'!$A$1:$O$95,15,0))</f>
        <v>0</v>
      </c>
      <c r="W1972" s="6">
        <f>IF(ISERROR(VLOOKUP($T$1972,'TAR FIN'!$A$1:$O$95,15,0)),0,VLOOKUP($T$1972,'TAR FIN'!$A$1:$O$95,15,0))</f>
        <v>296.56</v>
      </c>
      <c r="X1972" s="6">
        <f>IF(ISERROR(VLOOKUP($U$1972,'TAR FIN'!$A$1:$O$95,15,0)),0,VLOOKUP($U$1972,'TAR FIN'!$A$1:$O$95,15,0))</f>
        <v>188.63</v>
      </c>
      <c r="Y1972" s="6"/>
      <c r="Z1972" s="6">
        <f ca="1">('TUSD BE'!$AM$37+'TUSD BF'!$AM$37+'TUSD CVA'!$AM$37)*(1-CUSTOS!$M$38)</f>
        <v>358.54185925061802</v>
      </c>
      <c r="AA1972" s="6">
        <f>('TE BE'!$AA$25+'TE BF'!$AA$25+'TE CVA'!$AA$25)*(1-CUSTOS!$M$38)</f>
        <v>248.96731175097949</v>
      </c>
      <c r="AB1972" s="6">
        <f>$K$1972*$V$1972</f>
        <v>0</v>
      </c>
      <c r="AC1972" s="6">
        <f>$M$1972*$W$1972</f>
        <v>16.903919999999999</v>
      </c>
      <c r="AD1972" s="6">
        <f>$O$1972*$X$1972</f>
        <v>10.751910000000001</v>
      </c>
      <c r="AE1972" s="6">
        <f>$K$1972*$Y$1972</f>
        <v>0</v>
      </c>
      <c r="AF1972" s="6">
        <f ca="1">$M$1972*$Z$1972</f>
        <v>20.436885977285229</v>
      </c>
      <c r="AG1972" s="6">
        <f>$O$1972*$AA$1972</f>
        <v>14.191136769805832</v>
      </c>
    </row>
    <row r="1973" spans="1:33" ht="11.25" customHeight="1" x14ac:dyDescent="0.25">
      <c r="A1973" s="4" t="s">
        <v>21</v>
      </c>
      <c r="B1973" s="4" t="s">
        <v>46</v>
      </c>
      <c r="C1973" s="4" t="s">
        <v>39</v>
      </c>
      <c r="D1973" s="4" t="s">
        <v>47</v>
      </c>
      <c r="E1973" s="4" t="s">
        <v>25</v>
      </c>
      <c r="F1973" s="4" t="s">
        <v>25</v>
      </c>
      <c r="G1973" s="4" t="s">
        <v>25</v>
      </c>
      <c r="H1973" s="4" t="s">
        <v>38</v>
      </c>
      <c r="I1973" s="5">
        <v>44197</v>
      </c>
      <c r="J1973" s="6">
        <v>0</v>
      </c>
      <c r="K1973" s="6">
        <v>0</v>
      </c>
      <c r="L1973" s="6">
        <v>6.9000000000000006E-2</v>
      </c>
      <c r="M1973" s="6">
        <v>6.9000000000000006E-2</v>
      </c>
      <c r="N1973" s="6">
        <v>6.9000000000000006E-2</v>
      </c>
      <c r="O1973" s="6">
        <v>6.9000000000000006E-2</v>
      </c>
      <c r="P1973" s="6">
        <v>0</v>
      </c>
      <c r="Q1973" s="4" t="s">
        <v>26</v>
      </c>
      <c r="R1973" s="4">
        <v>0</v>
      </c>
      <c r="S1973" s="6">
        <v>0</v>
      </c>
      <c r="T1973" s="6">
        <v>38</v>
      </c>
      <c r="U1973" s="6">
        <v>57</v>
      </c>
      <c r="V1973" s="6">
        <f>IF(ISERROR(VLOOKUP($S$1973,'TAR FIN'!$A$1:$O$95,15,0)),0,VLOOKUP($S$1973,'TAR FIN'!$A$1:$O$95,15,0))</f>
        <v>0</v>
      </c>
      <c r="W1973" s="6">
        <f>IF(ISERROR(VLOOKUP($T$1973,'TAR FIN'!$A$1:$O$95,15,0)),0,VLOOKUP($T$1973,'TAR FIN'!$A$1:$O$95,15,0))</f>
        <v>296.56</v>
      </c>
      <c r="X1973" s="6">
        <f>IF(ISERROR(VLOOKUP($U$1973,'TAR FIN'!$A$1:$O$95,15,0)),0,VLOOKUP($U$1973,'TAR FIN'!$A$1:$O$95,15,0))</f>
        <v>188.63</v>
      </c>
      <c r="Y1973" s="6"/>
      <c r="Z1973" s="6">
        <f ca="1">('TUSD BE'!$AM$37+'TUSD BF'!$AM$37+'TUSD CVA'!$AM$37)*(1-CUSTOS!$M$38)</f>
        <v>358.54185925061802</v>
      </c>
      <c r="AA1973" s="6">
        <f>('TE BE'!$AA$25+'TE BF'!$AA$25+'TE CVA'!$AA$25)*(1-CUSTOS!$M$38)</f>
        <v>248.96731175097949</v>
      </c>
      <c r="AB1973" s="6">
        <f>$K$1973*$V$1973</f>
        <v>0</v>
      </c>
      <c r="AC1973" s="6">
        <f>$M$1973*$W$1973</f>
        <v>20.46264</v>
      </c>
      <c r="AD1973" s="6">
        <f>$O$1973*$X$1973</f>
        <v>13.015470000000001</v>
      </c>
      <c r="AE1973" s="6">
        <f>$K$1973*$Y$1973</f>
        <v>0</v>
      </c>
      <c r="AF1973" s="6">
        <f ca="1">$M$1973*$Z$1973</f>
        <v>24.739388288292645</v>
      </c>
      <c r="AG1973" s="6">
        <f>$O$1973*$AA$1973</f>
        <v>17.178744510817587</v>
      </c>
    </row>
    <row r="1974" spans="1:33" ht="11.25" customHeight="1" x14ac:dyDescent="0.25">
      <c r="A1974" s="4" t="s">
        <v>21</v>
      </c>
      <c r="B1974" s="4" t="s">
        <v>46</v>
      </c>
      <c r="C1974" s="4" t="s">
        <v>39</v>
      </c>
      <c r="D1974" s="4" t="s">
        <v>47</v>
      </c>
      <c r="E1974" s="4" t="s">
        <v>25</v>
      </c>
      <c r="F1974" s="4" t="s">
        <v>25</v>
      </c>
      <c r="G1974" s="4" t="s">
        <v>25</v>
      </c>
      <c r="H1974" s="4" t="s">
        <v>38</v>
      </c>
      <c r="I1974" s="5">
        <v>44228</v>
      </c>
      <c r="J1974" s="6">
        <v>0</v>
      </c>
      <c r="K1974" s="6">
        <v>0</v>
      </c>
      <c r="L1974" s="6">
        <v>0.04</v>
      </c>
      <c r="M1974" s="6">
        <v>0.04</v>
      </c>
      <c r="N1974" s="6">
        <v>0.04</v>
      </c>
      <c r="O1974" s="6">
        <v>0.04</v>
      </c>
      <c r="P1974" s="6">
        <v>0</v>
      </c>
      <c r="Q1974" s="4" t="s">
        <v>26</v>
      </c>
      <c r="R1974" s="4">
        <v>0</v>
      </c>
      <c r="S1974" s="6">
        <v>0</v>
      </c>
      <c r="T1974" s="6">
        <v>38</v>
      </c>
      <c r="U1974" s="6">
        <v>57</v>
      </c>
      <c r="V1974" s="6">
        <f>IF(ISERROR(VLOOKUP($S$1974,'TAR FIN'!$A$1:$O$95,15,0)),0,VLOOKUP($S$1974,'TAR FIN'!$A$1:$O$95,15,0))</f>
        <v>0</v>
      </c>
      <c r="W1974" s="6">
        <f>IF(ISERROR(VLOOKUP($T$1974,'TAR FIN'!$A$1:$O$95,15,0)),0,VLOOKUP($T$1974,'TAR FIN'!$A$1:$O$95,15,0))</f>
        <v>296.56</v>
      </c>
      <c r="X1974" s="6">
        <f>IF(ISERROR(VLOOKUP($U$1974,'TAR FIN'!$A$1:$O$95,15,0)),0,VLOOKUP($U$1974,'TAR FIN'!$A$1:$O$95,15,0))</f>
        <v>188.63</v>
      </c>
      <c r="Y1974" s="6"/>
      <c r="Z1974" s="6">
        <f ca="1">('TUSD BE'!$AM$37+'TUSD BF'!$AM$37+'TUSD CVA'!$AM$37)*(1-CUSTOS!$M$38)</f>
        <v>358.54185925061802</v>
      </c>
      <c r="AA1974" s="6">
        <f>('TE BE'!$AA$25+'TE BF'!$AA$25+'TE CVA'!$AA$25)*(1-CUSTOS!$M$38)</f>
        <v>248.96731175097949</v>
      </c>
      <c r="AB1974" s="6">
        <f>$K$1974*$V$1974</f>
        <v>0</v>
      </c>
      <c r="AC1974" s="6">
        <f>$M$1974*$W$1974</f>
        <v>11.862400000000001</v>
      </c>
      <c r="AD1974" s="6">
        <f>$O$1974*$X$1974</f>
        <v>7.5452000000000004</v>
      </c>
      <c r="AE1974" s="6">
        <f>$K$1974*$Y$1974</f>
        <v>0</v>
      </c>
      <c r="AF1974" s="6">
        <f ca="1">$M$1974*$Z$1974</f>
        <v>14.341674370024721</v>
      </c>
      <c r="AG1974" s="6">
        <f>$O$1974*$AA$1974</f>
        <v>9.9586924700391801</v>
      </c>
    </row>
    <row r="1975" spans="1:33" ht="11.25" customHeight="1" x14ac:dyDescent="0.25">
      <c r="A1975" s="4" t="s">
        <v>21</v>
      </c>
      <c r="B1975" s="4" t="s">
        <v>46</v>
      </c>
      <c r="C1975" s="4" t="s">
        <v>39</v>
      </c>
      <c r="D1975" s="4" t="s">
        <v>47</v>
      </c>
      <c r="E1975" s="4" t="s">
        <v>25</v>
      </c>
      <c r="F1975" s="4" t="s">
        <v>25</v>
      </c>
      <c r="G1975" s="4" t="s">
        <v>25</v>
      </c>
      <c r="H1975" s="4" t="s">
        <v>38</v>
      </c>
      <c r="I1975" s="5">
        <v>44256</v>
      </c>
      <c r="J1975" s="6">
        <v>0</v>
      </c>
      <c r="K1975" s="6">
        <v>0</v>
      </c>
      <c r="L1975" s="6">
        <v>0.03</v>
      </c>
      <c r="M1975" s="6">
        <v>0.03</v>
      </c>
      <c r="N1975" s="6">
        <v>0.03</v>
      </c>
      <c r="O1975" s="6">
        <v>0.03</v>
      </c>
      <c r="P1975" s="6">
        <v>0</v>
      </c>
      <c r="Q1975" s="4" t="s">
        <v>26</v>
      </c>
      <c r="R1975" s="4">
        <v>0</v>
      </c>
      <c r="S1975" s="6">
        <v>0</v>
      </c>
      <c r="T1975" s="6">
        <v>38</v>
      </c>
      <c r="U1975" s="6">
        <v>57</v>
      </c>
      <c r="V1975" s="6">
        <f>IF(ISERROR(VLOOKUP($S$1975,'TAR FIN'!$A$1:$O$95,15,0)),0,VLOOKUP($S$1975,'TAR FIN'!$A$1:$O$95,15,0))</f>
        <v>0</v>
      </c>
      <c r="W1975" s="6">
        <f>IF(ISERROR(VLOOKUP($T$1975,'TAR FIN'!$A$1:$O$95,15,0)),0,VLOOKUP($T$1975,'TAR FIN'!$A$1:$O$95,15,0))</f>
        <v>296.56</v>
      </c>
      <c r="X1975" s="6">
        <f>IF(ISERROR(VLOOKUP($U$1975,'TAR FIN'!$A$1:$O$95,15,0)),0,VLOOKUP($U$1975,'TAR FIN'!$A$1:$O$95,15,0))</f>
        <v>188.63</v>
      </c>
      <c r="Y1975" s="6"/>
      <c r="Z1975" s="6">
        <f ca="1">('TUSD BE'!$AM$37+'TUSD BF'!$AM$37+'TUSD CVA'!$AM$37)*(1-CUSTOS!$M$38)</f>
        <v>358.54185925061802</v>
      </c>
      <c r="AA1975" s="6">
        <f>('TE BE'!$AA$25+'TE BF'!$AA$25+'TE CVA'!$AA$25)*(1-CUSTOS!$M$38)</f>
        <v>248.96731175097949</v>
      </c>
      <c r="AB1975" s="6">
        <f>$K$1975*$V$1975</f>
        <v>0</v>
      </c>
      <c r="AC1975" s="6">
        <f>$M$1975*$W$1975</f>
        <v>8.8967999999999989</v>
      </c>
      <c r="AD1975" s="6">
        <f>$O$1975*$X$1975</f>
        <v>5.6589</v>
      </c>
      <c r="AE1975" s="6">
        <f>$K$1975*$Y$1975</f>
        <v>0</v>
      </c>
      <c r="AF1975" s="6">
        <f ca="1">$M$1975*$Z$1975</f>
        <v>10.75625577751854</v>
      </c>
      <c r="AG1975" s="6">
        <f>$O$1975*$AA$1975</f>
        <v>7.4690193525293846</v>
      </c>
    </row>
    <row r="1976" spans="1:33" ht="11.25" customHeight="1" x14ac:dyDescent="0.25">
      <c r="A1976" s="4" t="s">
        <v>21</v>
      </c>
      <c r="B1976" s="4" t="s">
        <v>46</v>
      </c>
      <c r="C1976" s="4" t="s">
        <v>39</v>
      </c>
      <c r="D1976" s="4" t="s">
        <v>47</v>
      </c>
      <c r="E1976" s="4" t="s">
        <v>25</v>
      </c>
      <c r="F1976" s="4" t="s">
        <v>25</v>
      </c>
      <c r="G1976" s="4" t="s">
        <v>25</v>
      </c>
      <c r="H1976" s="4" t="s">
        <v>38</v>
      </c>
      <c r="I1976" s="5">
        <v>44287</v>
      </c>
      <c r="J1976" s="6">
        <v>0</v>
      </c>
      <c r="K1976" s="6">
        <v>0</v>
      </c>
      <c r="L1976" s="6">
        <v>3.6999999999999998E-2</v>
      </c>
      <c r="M1976" s="6">
        <v>3.6999999999999998E-2</v>
      </c>
      <c r="N1976" s="6">
        <v>3.6999999999999998E-2</v>
      </c>
      <c r="O1976" s="6">
        <v>3.6999999999999998E-2</v>
      </c>
      <c r="P1976" s="6">
        <v>0</v>
      </c>
      <c r="Q1976" s="4" t="s">
        <v>26</v>
      </c>
      <c r="R1976" s="4">
        <v>0</v>
      </c>
      <c r="S1976" s="6">
        <v>0</v>
      </c>
      <c r="T1976" s="6">
        <v>38</v>
      </c>
      <c r="U1976" s="6">
        <v>57</v>
      </c>
      <c r="V1976" s="6">
        <f>IF(ISERROR(VLOOKUP($S$1976,'TAR FIN'!$A$1:$O$95,15,0)),0,VLOOKUP($S$1976,'TAR FIN'!$A$1:$O$95,15,0))</f>
        <v>0</v>
      </c>
      <c r="W1976" s="6">
        <f>IF(ISERROR(VLOOKUP($T$1976,'TAR FIN'!$A$1:$O$95,15,0)),0,VLOOKUP($T$1976,'TAR FIN'!$A$1:$O$95,15,0))</f>
        <v>296.56</v>
      </c>
      <c r="X1976" s="6">
        <f>IF(ISERROR(VLOOKUP($U$1976,'TAR FIN'!$A$1:$O$95,15,0)),0,VLOOKUP($U$1976,'TAR FIN'!$A$1:$O$95,15,0))</f>
        <v>188.63</v>
      </c>
      <c r="Y1976" s="6"/>
      <c r="Z1976" s="6">
        <f ca="1">('TUSD BE'!$AM$37+'TUSD BF'!$AM$37+'TUSD CVA'!$AM$37)*(1-CUSTOS!$M$38)</f>
        <v>358.54185925061802</v>
      </c>
      <c r="AA1976" s="6">
        <f>('TE BE'!$AA$25+'TE BF'!$AA$25+'TE CVA'!$AA$25)*(1-CUSTOS!$M$38)</f>
        <v>248.96731175097949</v>
      </c>
      <c r="AB1976" s="6">
        <f>$K$1976*$V$1976</f>
        <v>0</v>
      </c>
      <c r="AC1976" s="6">
        <f>$M$1976*$W$1976</f>
        <v>10.972719999999999</v>
      </c>
      <c r="AD1976" s="6">
        <f>$O$1976*$X$1976</f>
        <v>6.9793099999999999</v>
      </c>
      <c r="AE1976" s="6">
        <f>$K$1976*$Y$1976</f>
        <v>0</v>
      </c>
      <c r="AF1976" s="6">
        <f ca="1">$M$1976*$Z$1976</f>
        <v>13.266048792272866</v>
      </c>
      <c r="AG1976" s="6">
        <f>$O$1976*$AA$1976</f>
        <v>9.2117905347862408</v>
      </c>
    </row>
    <row r="1977" spans="1:33" ht="11.25" customHeight="1" x14ac:dyDescent="0.25">
      <c r="A1977" s="4" t="s">
        <v>21</v>
      </c>
      <c r="B1977" s="4" t="s">
        <v>46</v>
      </c>
      <c r="C1977" s="4" t="s">
        <v>39</v>
      </c>
      <c r="D1977" s="4" t="s">
        <v>47</v>
      </c>
      <c r="E1977" s="4" t="s">
        <v>25</v>
      </c>
      <c r="F1977" s="4" t="s">
        <v>25</v>
      </c>
      <c r="G1977" s="4" t="s">
        <v>25</v>
      </c>
      <c r="H1977" s="4" t="s">
        <v>38</v>
      </c>
      <c r="I1977" s="5">
        <v>44317</v>
      </c>
      <c r="J1977" s="6">
        <v>0</v>
      </c>
      <c r="K1977" s="6">
        <v>0</v>
      </c>
      <c r="L1977" s="6">
        <v>0.03</v>
      </c>
      <c r="M1977" s="6">
        <v>0.03</v>
      </c>
      <c r="N1977" s="6">
        <v>0.03</v>
      </c>
      <c r="O1977" s="6">
        <v>0.03</v>
      </c>
      <c r="P1977" s="6">
        <v>0</v>
      </c>
      <c r="Q1977" s="4" t="s">
        <v>26</v>
      </c>
      <c r="R1977" s="4">
        <v>0</v>
      </c>
      <c r="S1977" s="6">
        <v>0</v>
      </c>
      <c r="T1977" s="6">
        <v>38</v>
      </c>
      <c r="U1977" s="6">
        <v>57</v>
      </c>
      <c r="V1977" s="6">
        <f>IF(ISERROR(VLOOKUP($S$1977,'TAR FIN'!$A$1:$O$95,15,0)),0,VLOOKUP($S$1977,'TAR FIN'!$A$1:$O$95,15,0))</f>
        <v>0</v>
      </c>
      <c r="W1977" s="6">
        <f>IF(ISERROR(VLOOKUP($T$1977,'TAR FIN'!$A$1:$O$95,15,0)),0,VLOOKUP($T$1977,'TAR FIN'!$A$1:$O$95,15,0))</f>
        <v>296.56</v>
      </c>
      <c r="X1977" s="6">
        <f>IF(ISERROR(VLOOKUP($U$1977,'TAR FIN'!$A$1:$O$95,15,0)),0,VLOOKUP($U$1977,'TAR FIN'!$A$1:$O$95,15,0))</f>
        <v>188.63</v>
      </c>
      <c r="Y1977" s="6"/>
      <c r="Z1977" s="6">
        <f ca="1">('TUSD BE'!$AM$37+'TUSD BF'!$AM$37+'TUSD CVA'!$AM$37)*(1-CUSTOS!$M$38)</f>
        <v>358.54185925061802</v>
      </c>
      <c r="AA1977" s="6">
        <f>('TE BE'!$AA$25+'TE BF'!$AA$25+'TE CVA'!$AA$25)*(1-CUSTOS!$M$38)</f>
        <v>248.96731175097949</v>
      </c>
      <c r="AB1977" s="6">
        <f>$K$1977*$V$1977</f>
        <v>0</v>
      </c>
      <c r="AC1977" s="6">
        <f>$M$1977*$W$1977</f>
        <v>8.8967999999999989</v>
      </c>
      <c r="AD1977" s="6">
        <f>$O$1977*$X$1977</f>
        <v>5.6589</v>
      </c>
      <c r="AE1977" s="6">
        <f>$K$1977*$Y$1977</f>
        <v>0</v>
      </c>
      <c r="AF1977" s="6">
        <f ca="1">$M$1977*$Z$1977</f>
        <v>10.75625577751854</v>
      </c>
      <c r="AG1977" s="6">
        <f>$O$1977*$AA$1977</f>
        <v>7.4690193525293846</v>
      </c>
    </row>
    <row r="1978" spans="1:33" ht="11.25" customHeight="1" x14ac:dyDescent="0.25">
      <c r="A1978" s="4" t="s">
        <v>21</v>
      </c>
      <c r="B1978" s="4" t="s">
        <v>46</v>
      </c>
      <c r="C1978" s="4" t="s">
        <v>39</v>
      </c>
      <c r="D1978" s="4" t="s">
        <v>47</v>
      </c>
      <c r="E1978" s="4" t="s">
        <v>25</v>
      </c>
      <c r="F1978" s="4" t="s">
        <v>25</v>
      </c>
      <c r="G1978" s="4" t="s">
        <v>25</v>
      </c>
      <c r="H1978" s="4" t="s">
        <v>38</v>
      </c>
      <c r="I1978" s="5">
        <v>44348</v>
      </c>
      <c r="J1978" s="6">
        <v>0</v>
      </c>
      <c r="K1978" s="6">
        <v>0</v>
      </c>
      <c r="L1978" s="6">
        <v>6.5000000000000002E-2</v>
      </c>
      <c r="M1978" s="6">
        <v>6.5000000000000002E-2</v>
      </c>
      <c r="N1978" s="6">
        <v>6.5000000000000002E-2</v>
      </c>
      <c r="O1978" s="6">
        <v>6.5000000000000002E-2</v>
      </c>
      <c r="P1978" s="6">
        <v>0</v>
      </c>
      <c r="Q1978" s="4" t="s">
        <v>26</v>
      </c>
      <c r="R1978" s="4">
        <v>0</v>
      </c>
      <c r="S1978" s="6">
        <v>0</v>
      </c>
      <c r="T1978" s="6">
        <v>38</v>
      </c>
      <c r="U1978" s="6">
        <v>57</v>
      </c>
      <c r="V1978" s="6">
        <f>IF(ISERROR(VLOOKUP($S$1978,'TAR FIN'!$A$1:$O$95,15,0)),0,VLOOKUP($S$1978,'TAR FIN'!$A$1:$O$95,15,0))</f>
        <v>0</v>
      </c>
      <c r="W1978" s="6">
        <f>IF(ISERROR(VLOOKUP($T$1978,'TAR FIN'!$A$1:$O$95,15,0)),0,VLOOKUP($T$1978,'TAR FIN'!$A$1:$O$95,15,0))</f>
        <v>296.56</v>
      </c>
      <c r="X1978" s="6">
        <f>IF(ISERROR(VLOOKUP($U$1978,'TAR FIN'!$A$1:$O$95,15,0)),0,VLOOKUP($U$1978,'TAR FIN'!$A$1:$O$95,15,0))</f>
        <v>188.63</v>
      </c>
      <c r="Y1978" s="6"/>
      <c r="Z1978" s="6">
        <f ca="1">('TUSD BE'!$AM$37+'TUSD BF'!$AM$37+'TUSD CVA'!$AM$37)*(1-CUSTOS!$M$38)</f>
        <v>358.54185925061802</v>
      </c>
      <c r="AA1978" s="6">
        <f>('TE BE'!$AA$25+'TE BF'!$AA$25+'TE CVA'!$AA$25)*(1-CUSTOS!$M$38)</f>
        <v>248.96731175097949</v>
      </c>
      <c r="AB1978" s="6">
        <f>$K$1978*$V$1978</f>
        <v>0</v>
      </c>
      <c r="AC1978" s="6">
        <f>$M$1978*$W$1978</f>
        <v>19.276400000000002</v>
      </c>
      <c r="AD1978" s="6">
        <f>$O$1978*$X$1978</f>
        <v>12.260949999999999</v>
      </c>
      <c r="AE1978" s="6">
        <f>$K$1978*$Y$1978</f>
        <v>0</v>
      </c>
      <c r="AF1978" s="6">
        <f ca="1">$M$1978*$Z$1978</f>
        <v>23.305220851290173</v>
      </c>
      <c r="AG1978" s="6">
        <f>$O$1978*$AA$1978</f>
        <v>16.182875263813667</v>
      </c>
    </row>
    <row r="1979" spans="1:33" ht="11.25" customHeight="1" x14ac:dyDescent="0.25">
      <c r="A1979" s="4" t="s">
        <v>21</v>
      </c>
      <c r="B1979" s="4" t="s">
        <v>46</v>
      </c>
      <c r="C1979" s="4" t="s">
        <v>39</v>
      </c>
      <c r="D1979" s="4" t="s">
        <v>47</v>
      </c>
      <c r="E1979" s="4" t="s">
        <v>25</v>
      </c>
      <c r="F1979" s="4" t="s">
        <v>25</v>
      </c>
      <c r="G1979" s="4" t="s">
        <v>25</v>
      </c>
      <c r="H1979" s="4" t="s">
        <v>38</v>
      </c>
      <c r="I1979" s="5">
        <v>44378</v>
      </c>
      <c r="J1979" s="6">
        <v>0</v>
      </c>
      <c r="K1979" s="6">
        <v>0</v>
      </c>
      <c r="L1979" s="6">
        <v>0.03</v>
      </c>
      <c r="M1979" s="6">
        <v>0.03</v>
      </c>
      <c r="N1979" s="6">
        <v>0.03</v>
      </c>
      <c r="O1979" s="6">
        <v>0.03</v>
      </c>
      <c r="P1979" s="6">
        <v>0</v>
      </c>
      <c r="Q1979" s="4" t="s">
        <v>26</v>
      </c>
      <c r="R1979" s="4">
        <v>0</v>
      </c>
      <c r="S1979" s="6">
        <v>0</v>
      </c>
      <c r="T1979" s="6">
        <v>38</v>
      </c>
      <c r="U1979" s="6">
        <v>57</v>
      </c>
      <c r="V1979" s="6">
        <f>IF(ISERROR(VLOOKUP($S$1979,'TAR FIN'!$A$1:$O$95,15,0)),0,VLOOKUP($S$1979,'TAR FIN'!$A$1:$O$95,15,0))</f>
        <v>0</v>
      </c>
      <c r="W1979" s="6">
        <f>IF(ISERROR(VLOOKUP($T$1979,'TAR FIN'!$A$1:$O$95,15,0)),0,VLOOKUP($T$1979,'TAR FIN'!$A$1:$O$95,15,0))</f>
        <v>296.56</v>
      </c>
      <c r="X1979" s="6">
        <f>IF(ISERROR(VLOOKUP($U$1979,'TAR FIN'!$A$1:$O$95,15,0)),0,VLOOKUP($U$1979,'TAR FIN'!$A$1:$O$95,15,0))</f>
        <v>188.63</v>
      </c>
      <c r="Y1979" s="6"/>
      <c r="Z1979" s="6">
        <f ca="1">('TUSD BE'!$AM$37+'TUSD BF'!$AM$37+'TUSD CVA'!$AM$37)*(1-CUSTOS!$M$38)</f>
        <v>358.54185925061802</v>
      </c>
      <c r="AA1979" s="6">
        <f>('TE BE'!$AA$25+'TE BF'!$AA$25+'TE CVA'!$AA$25)*(1-CUSTOS!$M$38)</f>
        <v>248.96731175097949</v>
      </c>
      <c r="AB1979" s="6">
        <f>$K$1979*$V$1979</f>
        <v>0</v>
      </c>
      <c r="AC1979" s="6">
        <f>$M$1979*$W$1979</f>
        <v>8.8967999999999989</v>
      </c>
      <c r="AD1979" s="6">
        <f>$O$1979*$X$1979</f>
        <v>5.6589</v>
      </c>
      <c r="AE1979" s="6">
        <f>$K$1979*$Y$1979</f>
        <v>0</v>
      </c>
      <c r="AF1979" s="6">
        <f ca="1">$M$1979*$Z$1979</f>
        <v>10.75625577751854</v>
      </c>
      <c r="AG1979" s="6">
        <f>$O$1979*$AA$1979</f>
        <v>7.4690193525293846</v>
      </c>
    </row>
    <row r="1980" spans="1:33" ht="11.25" customHeight="1" x14ac:dyDescent="0.25">
      <c r="A1980" s="4" t="s">
        <v>21</v>
      </c>
      <c r="B1980" s="4" t="s">
        <v>46</v>
      </c>
      <c r="C1980" s="4" t="s">
        <v>39</v>
      </c>
      <c r="D1980" s="4" t="s">
        <v>47</v>
      </c>
      <c r="E1980" s="4" t="s">
        <v>25</v>
      </c>
      <c r="F1980" s="4" t="s">
        <v>25</v>
      </c>
      <c r="G1980" s="4" t="s">
        <v>25</v>
      </c>
      <c r="H1980" s="4" t="s">
        <v>38</v>
      </c>
      <c r="I1980" s="5">
        <v>44409</v>
      </c>
      <c r="J1980" s="6">
        <v>0</v>
      </c>
      <c r="K1980" s="6">
        <v>0</v>
      </c>
      <c r="L1980" s="6">
        <v>0.03</v>
      </c>
      <c r="M1980" s="6">
        <v>0.03</v>
      </c>
      <c r="N1980" s="6">
        <v>0.03</v>
      </c>
      <c r="O1980" s="6">
        <v>0.03</v>
      </c>
      <c r="P1980" s="6">
        <v>0</v>
      </c>
      <c r="Q1980" s="4" t="s">
        <v>26</v>
      </c>
      <c r="R1980" s="4">
        <v>0</v>
      </c>
      <c r="S1980" s="6">
        <v>0</v>
      </c>
      <c r="T1980" s="6">
        <v>38</v>
      </c>
      <c r="U1980" s="6">
        <v>57</v>
      </c>
      <c r="V1980" s="6">
        <f>IF(ISERROR(VLOOKUP($S$1980,'TAR FIN'!$A$1:$O$95,15,0)),0,VLOOKUP($S$1980,'TAR FIN'!$A$1:$O$95,15,0))</f>
        <v>0</v>
      </c>
      <c r="W1980" s="6">
        <f>IF(ISERROR(VLOOKUP($T$1980,'TAR FIN'!$A$1:$O$95,15,0)),0,VLOOKUP($T$1980,'TAR FIN'!$A$1:$O$95,15,0))</f>
        <v>296.56</v>
      </c>
      <c r="X1980" s="6">
        <f>IF(ISERROR(VLOOKUP($U$1980,'TAR FIN'!$A$1:$O$95,15,0)),0,VLOOKUP($U$1980,'TAR FIN'!$A$1:$O$95,15,0))</f>
        <v>188.63</v>
      </c>
      <c r="Y1980" s="6"/>
      <c r="Z1980" s="6">
        <f ca="1">('TUSD BE'!$AM$37+'TUSD BF'!$AM$37+'TUSD CVA'!$AM$37)*(1-CUSTOS!$M$38)</f>
        <v>358.54185925061802</v>
      </c>
      <c r="AA1980" s="6">
        <f>('TE BE'!$AA$25+'TE BF'!$AA$25+'TE CVA'!$AA$25)*(1-CUSTOS!$M$38)</f>
        <v>248.96731175097949</v>
      </c>
      <c r="AB1980" s="6">
        <f>$K$1980*$V$1980</f>
        <v>0</v>
      </c>
      <c r="AC1980" s="6">
        <f>$M$1980*$W$1980</f>
        <v>8.8967999999999989</v>
      </c>
      <c r="AD1980" s="6">
        <f>$O$1980*$X$1980</f>
        <v>5.6589</v>
      </c>
      <c r="AE1980" s="6">
        <f>$K$1980*$Y$1980</f>
        <v>0</v>
      </c>
      <c r="AF1980" s="6">
        <f ca="1">$M$1980*$Z$1980</f>
        <v>10.75625577751854</v>
      </c>
      <c r="AG1980" s="6">
        <f>$O$1980*$AA$1980</f>
        <v>7.4690193525293846</v>
      </c>
    </row>
    <row r="1981" spans="1:33" ht="11.25" customHeight="1" x14ac:dyDescent="0.25">
      <c r="A1981" s="4" t="s">
        <v>21</v>
      </c>
      <c r="B1981" s="4" t="s">
        <v>46</v>
      </c>
      <c r="C1981" s="4" t="s">
        <v>39</v>
      </c>
      <c r="D1981" s="4" t="s">
        <v>47</v>
      </c>
      <c r="E1981" s="4" t="s">
        <v>25</v>
      </c>
      <c r="F1981" s="4" t="s">
        <v>25</v>
      </c>
      <c r="G1981" s="4" t="s">
        <v>25</v>
      </c>
      <c r="H1981" s="4" t="s">
        <v>38</v>
      </c>
      <c r="I1981" s="5">
        <v>44440</v>
      </c>
      <c r="J1981" s="6">
        <v>0</v>
      </c>
      <c r="K1981" s="6">
        <v>0</v>
      </c>
      <c r="L1981" s="6">
        <v>0.03</v>
      </c>
      <c r="M1981" s="6">
        <v>0.03</v>
      </c>
      <c r="N1981" s="6">
        <v>0.03</v>
      </c>
      <c r="O1981" s="6">
        <v>0.03</v>
      </c>
      <c r="P1981" s="6">
        <v>0</v>
      </c>
      <c r="Q1981" s="4" t="s">
        <v>26</v>
      </c>
      <c r="R1981" s="4">
        <v>0</v>
      </c>
      <c r="S1981" s="6">
        <v>0</v>
      </c>
      <c r="T1981" s="6">
        <v>38</v>
      </c>
      <c r="U1981" s="6">
        <v>57</v>
      </c>
      <c r="V1981" s="6">
        <f>IF(ISERROR(VLOOKUP($S$1981,'TAR FIN'!$A$1:$O$95,15,0)),0,VLOOKUP($S$1981,'TAR FIN'!$A$1:$O$95,15,0))</f>
        <v>0</v>
      </c>
      <c r="W1981" s="6">
        <f>IF(ISERROR(VLOOKUP($T$1981,'TAR FIN'!$A$1:$O$95,15,0)),0,VLOOKUP($T$1981,'TAR FIN'!$A$1:$O$95,15,0))</f>
        <v>296.56</v>
      </c>
      <c r="X1981" s="6">
        <f>IF(ISERROR(VLOOKUP($U$1981,'TAR FIN'!$A$1:$O$95,15,0)),0,VLOOKUP($U$1981,'TAR FIN'!$A$1:$O$95,15,0))</f>
        <v>188.63</v>
      </c>
      <c r="Y1981" s="6"/>
      <c r="Z1981" s="6">
        <f ca="1">('TUSD BE'!$AM$37+'TUSD BF'!$AM$37+'TUSD CVA'!$AM$37)*(1-CUSTOS!$M$38)</f>
        <v>358.54185925061802</v>
      </c>
      <c r="AA1981" s="6">
        <f>('TE BE'!$AA$25+'TE BF'!$AA$25+'TE CVA'!$AA$25)*(1-CUSTOS!$M$38)</f>
        <v>248.96731175097949</v>
      </c>
      <c r="AB1981" s="6">
        <f>$K$1981*$V$1981</f>
        <v>0</v>
      </c>
      <c r="AC1981" s="6">
        <f>$M$1981*$W$1981</f>
        <v>8.8967999999999989</v>
      </c>
      <c r="AD1981" s="6">
        <f>$O$1981*$X$1981</f>
        <v>5.6589</v>
      </c>
      <c r="AE1981" s="6">
        <f>$K$1981*$Y$1981</f>
        <v>0</v>
      </c>
      <c r="AF1981" s="6">
        <f ca="1">$M$1981*$Z$1981</f>
        <v>10.75625577751854</v>
      </c>
      <c r="AG1981" s="6">
        <f>$O$1981*$AA$1981</f>
        <v>7.4690193525293846</v>
      </c>
    </row>
    <row r="1982" spans="1:33" ht="11.25" customHeight="1" x14ac:dyDescent="0.25">
      <c r="A1982" s="4" t="s">
        <v>59</v>
      </c>
      <c r="B1982" s="4" t="s">
        <v>46</v>
      </c>
      <c r="C1982" s="4" t="s">
        <v>39</v>
      </c>
      <c r="D1982" s="4" t="s">
        <v>47</v>
      </c>
      <c r="E1982" s="4" t="s">
        <v>25</v>
      </c>
      <c r="F1982" s="4" t="s">
        <v>25</v>
      </c>
      <c r="G1982" s="4" t="s">
        <v>25</v>
      </c>
      <c r="H1982" s="4" t="s">
        <v>38</v>
      </c>
      <c r="I1982" s="5">
        <v>44470</v>
      </c>
      <c r="J1982" s="6">
        <v>0</v>
      </c>
      <c r="K1982" s="6">
        <v>0</v>
      </c>
      <c r="L1982" s="6">
        <v>0.03</v>
      </c>
      <c r="M1982" s="6">
        <v>0.03</v>
      </c>
      <c r="N1982" s="6">
        <v>0.03</v>
      </c>
      <c r="O1982" s="6">
        <v>0.03</v>
      </c>
      <c r="P1982" s="6">
        <v>0</v>
      </c>
      <c r="Q1982" s="4" t="s">
        <v>26</v>
      </c>
      <c r="R1982" s="4">
        <v>0</v>
      </c>
      <c r="S1982" s="6">
        <v>0</v>
      </c>
      <c r="T1982" s="6">
        <v>38</v>
      </c>
      <c r="U1982" s="6">
        <v>57</v>
      </c>
      <c r="V1982" s="6">
        <f>IF(ISERROR(VLOOKUP($S$1982,'TAR FIN'!$A$1:$O$95,15,0)),0,VLOOKUP($S$1982,'TAR FIN'!$A$1:$O$95,15,0))</f>
        <v>0</v>
      </c>
      <c r="W1982" s="6">
        <f>IF(ISERROR(VLOOKUP($T$1982,'TAR FIN'!$A$1:$O$95,15,0)),0,VLOOKUP($T$1982,'TAR FIN'!$A$1:$O$95,15,0))</f>
        <v>296.56</v>
      </c>
      <c r="X1982" s="6">
        <f>IF(ISERROR(VLOOKUP($U$1982,'TAR FIN'!$A$1:$O$95,15,0)),0,VLOOKUP($U$1982,'TAR FIN'!$A$1:$O$95,15,0))</f>
        <v>188.63</v>
      </c>
      <c r="Y1982" s="6"/>
      <c r="Z1982" s="6">
        <f ca="1">('TUSD BE'!$AM$37+'TUSD BF'!$AM$37+'TUSD CVA'!$AM$37)*(1-CUSTOS!$M$38)</f>
        <v>358.54185925061802</v>
      </c>
      <c r="AA1982" s="6">
        <f>('TE BE'!$AA$25+'TE BF'!$AA$25+'TE CVA'!$AA$25)*(1-CUSTOS!$M$38)</f>
        <v>248.96731175097949</v>
      </c>
      <c r="AB1982" s="6">
        <f>$K$1982*$V$1982</f>
        <v>0</v>
      </c>
      <c r="AC1982" s="6">
        <f>$M$1982*$W$1982</f>
        <v>8.8967999999999989</v>
      </c>
      <c r="AD1982" s="6">
        <f>$O$1982*$X$1982</f>
        <v>5.6589</v>
      </c>
      <c r="AE1982" s="6">
        <f>$K$1982*$Y$1982</f>
        <v>0</v>
      </c>
      <c r="AF1982" s="6">
        <f ca="1">$M$1982*$Z$1982</f>
        <v>10.75625577751854</v>
      </c>
      <c r="AG1982" s="6">
        <f>$O$1982*$AA$1982</f>
        <v>7.4690193525293846</v>
      </c>
    </row>
    <row r="1983" spans="1:33" ht="11.25" customHeight="1" x14ac:dyDescent="0.25">
      <c r="A1983" s="4" t="s">
        <v>21</v>
      </c>
      <c r="B1983" s="4" t="s">
        <v>46</v>
      </c>
      <c r="C1983" s="4" t="s">
        <v>39</v>
      </c>
      <c r="D1983" s="4" t="s">
        <v>47</v>
      </c>
      <c r="E1983" s="4" t="s">
        <v>25</v>
      </c>
      <c r="F1983" s="4" t="s">
        <v>25</v>
      </c>
      <c r="G1983" s="4" t="s">
        <v>25</v>
      </c>
      <c r="H1983" s="4" t="s">
        <v>40</v>
      </c>
      <c r="I1983" s="5">
        <v>44166</v>
      </c>
      <c r="J1983" s="6">
        <v>0</v>
      </c>
      <c r="K1983" s="6">
        <v>0</v>
      </c>
      <c r="L1983" s="6">
        <v>3.0000000000000001E-3</v>
      </c>
      <c r="M1983" s="6">
        <v>3.0000000000000001E-3</v>
      </c>
      <c r="N1983" s="6">
        <v>3.0000000000000001E-3</v>
      </c>
      <c r="O1983" s="6">
        <v>3.0000000000000001E-3</v>
      </c>
      <c r="P1983" s="6">
        <v>0</v>
      </c>
      <c r="Q1983" s="4" t="s">
        <v>26</v>
      </c>
      <c r="R1983" s="4">
        <v>0</v>
      </c>
      <c r="S1983" s="6">
        <v>0</v>
      </c>
      <c r="T1983" s="6">
        <v>37</v>
      </c>
      <c r="U1983" s="6">
        <v>56</v>
      </c>
      <c r="V1983" s="6">
        <f>IF(ISERROR(VLOOKUP($S$1983,'TAR FIN'!$A$1:$O$95,15,0)),0,VLOOKUP($S$1983,'TAR FIN'!$A$1:$O$95,15,0))</f>
        <v>0</v>
      </c>
      <c r="W1983" s="6">
        <f>IF(ISERROR(VLOOKUP($T$1983,'TAR FIN'!$A$1:$O$95,15,0)),0,VLOOKUP($T$1983,'TAR FIN'!$A$1:$O$95,15,0))</f>
        <v>554.67999999999995</v>
      </c>
      <c r="X1983" s="6">
        <f>IF(ISERROR(VLOOKUP($U$1983,'TAR FIN'!$A$1:$O$95,15,0)),0,VLOOKUP($U$1983,'TAR FIN'!$A$1:$O$95,15,0))</f>
        <v>188.63</v>
      </c>
      <c r="Y1983" s="6"/>
      <c r="Z1983" s="6">
        <f ca="1">('TUSD BE'!$AM$36+'TUSD BF'!$AM$36+'TUSD CVA'!$AM$36)*(1-CUSTOS!$M$38)</f>
        <v>668.57077643374259</v>
      </c>
      <c r="AA1983" s="6">
        <f>('TE BE'!$AA$24+'TE BF'!$AA$24+'TE CVA'!$AA$24)*(1-CUSTOS!$M$38)</f>
        <v>248.96731175097949</v>
      </c>
      <c r="AB1983" s="6">
        <f>$K$1983*$V$1983</f>
        <v>0</v>
      </c>
      <c r="AC1983" s="6">
        <f>$M$1983*$W$1983</f>
        <v>1.66404</v>
      </c>
      <c r="AD1983" s="6">
        <f>$O$1983*$X$1983</f>
        <v>0.56589</v>
      </c>
      <c r="AE1983" s="6">
        <f>$K$1983*$Y$1983</f>
        <v>0</v>
      </c>
      <c r="AF1983" s="6">
        <f ca="1">$M$1983*$Z$1983</f>
        <v>2.005712329301228</v>
      </c>
      <c r="AG1983" s="6">
        <f>$O$1983*$AA$1983</f>
        <v>0.74690193525293846</v>
      </c>
    </row>
    <row r="1984" spans="1:33" ht="11.25" customHeight="1" x14ac:dyDescent="0.25">
      <c r="A1984" s="4" t="s">
        <v>21</v>
      </c>
      <c r="B1984" s="4" t="s">
        <v>46</v>
      </c>
      <c r="C1984" s="4" t="s">
        <v>39</v>
      </c>
      <c r="D1984" s="4" t="s">
        <v>47</v>
      </c>
      <c r="E1984" s="4" t="s">
        <v>25</v>
      </c>
      <c r="F1984" s="4" t="s">
        <v>25</v>
      </c>
      <c r="G1984" s="4" t="s">
        <v>25</v>
      </c>
      <c r="H1984" s="4" t="s">
        <v>40</v>
      </c>
      <c r="I1984" s="5">
        <v>44197</v>
      </c>
      <c r="J1984" s="6">
        <v>0</v>
      </c>
      <c r="K1984" s="6">
        <v>0</v>
      </c>
      <c r="L1984" s="6">
        <v>1E-3</v>
      </c>
      <c r="M1984" s="6">
        <v>1E-3</v>
      </c>
      <c r="N1984" s="6">
        <v>1E-3</v>
      </c>
      <c r="O1984" s="6">
        <v>1E-3</v>
      </c>
      <c r="P1984" s="6">
        <v>0</v>
      </c>
      <c r="Q1984" s="4" t="s">
        <v>26</v>
      </c>
      <c r="R1984" s="4">
        <v>0</v>
      </c>
      <c r="S1984" s="6">
        <v>0</v>
      </c>
      <c r="T1984" s="6">
        <v>37</v>
      </c>
      <c r="U1984" s="6">
        <v>56</v>
      </c>
      <c r="V1984" s="6">
        <f>IF(ISERROR(VLOOKUP($S$1984,'TAR FIN'!$A$1:$O$95,15,0)),0,VLOOKUP($S$1984,'TAR FIN'!$A$1:$O$95,15,0))</f>
        <v>0</v>
      </c>
      <c r="W1984" s="6">
        <f>IF(ISERROR(VLOOKUP($T$1984,'TAR FIN'!$A$1:$O$95,15,0)),0,VLOOKUP($T$1984,'TAR FIN'!$A$1:$O$95,15,0))</f>
        <v>554.67999999999995</v>
      </c>
      <c r="X1984" s="6">
        <f>IF(ISERROR(VLOOKUP($U$1984,'TAR FIN'!$A$1:$O$95,15,0)),0,VLOOKUP($U$1984,'TAR FIN'!$A$1:$O$95,15,0))</f>
        <v>188.63</v>
      </c>
      <c r="Y1984" s="6"/>
      <c r="Z1984" s="6">
        <f ca="1">('TUSD BE'!$AM$36+'TUSD BF'!$AM$36+'TUSD CVA'!$AM$36)*(1-CUSTOS!$M$38)</f>
        <v>668.57077643374259</v>
      </c>
      <c r="AA1984" s="6">
        <f>('TE BE'!$AA$24+'TE BF'!$AA$24+'TE CVA'!$AA$24)*(1-CUSTOS!$M$38)</f>
        <v>248.96731175097949</v>
      </c>
      <c r="AB1984" s="6">
        <f>$K$1984*$V$1984</f>
        <v>0</v>
      </c>
      <c r="AC1984" s="6">
        <f>$M$1984*$W$1984</f>
        <v>0.55467999999999995</v>
      </c>
      <c r="AD1984" s="6">
        <f>$O$1984*$X$1984</f>
        <v>0.18862999999999999</v>
      </c>
      <c r="AE1984" s="6">
        <f>$K$1984*$Y$1984</f>
        <v>0</v>
      </c>
      <c r="AF1984" s="6">
        <f ca="1">$M$1984*$Z$1984</f>
        <v>0.66857077643374263</v>
      </c>
      <c r="AG1984" s="6">
        <f>$O$1984*$AA$1984</f>
        <v>0.2489673117509795</v>
      </c>
    </row>
    <row r="1985" spans="1:33" ht="11.25" customHeight="1" x14ac:dyDescent="0.25">
      <c r="A1985" s="4" t="s">
        <v>21</v>
      </c>
      <c r="B1985" s="4" t="s">
        <v>46</v>
      </c>
      <c r="C1985" s="4" t="s">
        <v>39</v>
      </c>
      <c r="D1985" s="4" t="s">
        <v>47</v>
      </c>
      <c r="E1985" s="4" t="s">
        <v>25</v>
      </c>
      <c r="F1985" s="4" t="s">
        <v>25</v>
      </c>
      <c r="G1985" s="4" t="s">
        <v>25</v>
      </c>
      <c r="H1985" s="4" t="s">
        <v>40</v>
      </c>
      <c r="I1985" s="5">
        <v>44287</v>
      </c>
      <c r="J1985" s="6">
        <v>0</v>
      </c>
      <c r="K1985" s="6">
        <v>0</v>
      </c>
      <c r="L1985" s="6">
        <v>1E-3</v>
      </c>
      <c r="M1985" s="6">
        <v>1E-3</v>
      </c>
      <c r="N1985" s="6">
        <v>1E-3</v>
      </c>
      <c r="O1985" s="6">
        <v>1E-3</v>
      </c>
      <c r="P1985" s="6">
        <v>0</v>
      </c>
      <c r="Q1985" s="4" t="s">
        <v>26</v>
      </c>
      <c r="R1985" s="4">
        <v>0</v>
      </c>
      <c r="S1985" s="6">
        <v>0</v>
      </c>
      <c r="T1985" s="6">
        <v>37</v>
      </c>
      <c r="U1985" s="6">
        <v>56</v>
      </c>
      <c r="V1985" s="6">
        <f>IF(ISERROR(VLOOKUP($S$1985,'TAR FIN'!$A$1:$O$95,15,0)),0,VLOOKUP($S$1985,'TAR FIN'!$A$1:$O$95,15,0))</f>
        <v>0</v>
      </c>
      <c r="W1985" s="6">
        <f>IF(ISERROR(VLOOKUP($T$1985,'TAR FIN'!$A$1:$O$95,15,0)),0,VLOOKUP($T$1985,'TAR FIN'!$A$1:$O$95,15,0))</f>
        <v>554.67999999999995</v>
      </c>
      <c r="X1985" s="6">
        <f>IF(ISERROR(VLOOKUP($U$1985,'TAR FIN'!$A$1:$O$95,15,0)),0,VLOOKUP($U$1985,'TAR FIN'!$A$1:$O$95,15,0))</f>
        <v>188.63</v>
      </c>
      <c r="Y1985" s="6"/>
      <c r="Z1985" s="6">
        <f ca="1">('TUSD BE'!$AM$36+'TUSD BF'!$AM$36+'TUSD CVA'!$AM$36)*(1-CUSTOS!$M$38)</f>
        <v>668.57077643374259</v>
      </c>
      <c r="AA1985" s="6">
        <f>('TE BE'!$AA$24+'TE BF'!$AA$24+'TE CVA'!$AA$24)*(1-CUSTOS!$M$38)</f>
        <v>248.96731175097949</v>
      </c>
      <c r="AB1985" s="6">
        <f>$K$1985*$V$1985</f>
        <v>0</v>
      </c>
      <c r="AC1985" s="6">
        <f>$M$1985*$W$1985</f>
        <v>0.55467999999999995</v>
      </c>
      <c r="AD1985" s="6">
        <f>$O$1985*$X$1985</f>
        <v>0.18862999999999999</v>
      </c>
      <c r="AE1985" s="6">
        <f>$K$1985*$Y$1985</f>
        <v>0</v>
      </c>
      <c r="AF1985" s="6">
        <f ca="1">$M$1985*$Z$1985</f>
        <v>0.66857077643374263</v>
      </c>
      <c r="AG1985" s="6">
        <f>$O$1985*$AA$1985</f>
        <v>0.2489673117509795</v>
      </c>
    </row>
    <row r="1986" spans="1:33" ht="11.25" customHeight="1" x14ac:dyDescent="0.25">
      <c r="A1986" s="4" t="s">
        <v>21</v>
      </c>
      <c r="B1986" s="4" t="s">
        <v>46</v>
      </c>
      <c r="C1986" s="4" t="s">
        <v>23</v>
      </c>
      <c r="D1986" s="4" t="s">
        <v>47</v>
      </c>
      <c r="E1986" s="4" t="s">
        <v>58</v>
      </c>
      <c r="F1986" s="4" t="s">
        <v>56</v>
      </c>
      <c r="G1986" s="4" t="s">
        <v>25</v>
      </c>
      <c r="H1986" s="4" t="s">
        <v>25</v>
      </c>
      <c r="I1986" s="5">
        <v>44317</v>
      </c>
      <c r="J1986" s="6">
        <v>0</v>
      </c>
      <c r="K1986" s="6">
        <v>0</v>
      </c>
      <c r="L1986" s="6">
        <v>11.287000000000001</v>
      </c>
      <c r="M1986" s="6">
        <v>11.287000000000001</v>
      </c>
      <c r="N1986" s="6">
        <v>11.287000000000001</v>
      </c>
      <c r="O1986" s="6">
        <v>11.287000000000001</v>
      </c>
      <c r="P1986" s="6">
        <v>0</v>
      </c>
      <c r="Q1986" s="4" t="s">
        <v>26</v>
      </c>
      <c r="R1986" s="4">
        <v>0</v>
      </c>
      <c r="S1986" s="6">
        <v>0</v>
      </c>
      <c r="T1986" s="6">
        <v>39</v>
      </c>
      <c r="U1986" s="6">
        <v>85</v>
      </c>
      <c r="V1986" s="6">
        <f>IF(ISERROR(VLOOKUP($S$1986,'TAR FIN'!$A$1:$O$95,15,0)),0,VLOOKUP($S$1986,'TAR FIN'!$A$1:$O$95,15,0))</f>
        <v>0</v>
      </c>
      <c r="W1986" s="6">
        <f>IF(ISERROR(VLOOKUP($T$1986,'TAR FIN'!$A$1:$O$95,15,0)),0,VLOOKUP($T$1986,'TAR FIN'!$A$1:$O$95,15,0))</f>
        <v>369.16</v>
      </c>
      <c r="X1986" s="6">
        <f>IF(ISERROR(VLOOKUP($U$1986,'TAR FIN'!$A$1:$O$95,15,0)),0,VLOOKUP($U$1986,'TAR FIN'!$A$1:$O$95,15,0))</f>
        <v>199.51</v>
      </c>
      <c r="Y1986" s="6"/>
      <c r="Z1986" s="6">
        <f ca="1">('TUSD BE'!$AM$38+'TUSD BF'!$AM$38+'TUSD CVA'!$AM$38)*(1-CUSTOS!$M$38)</f>
        <v>445.73746261020432</v>
      </c>
      <c r="AA1986" s="6">
        <f>('TE BE'!$AA$26+'TE BF'!$AA$26+'TE CVA'!$AA$26)*(1-CUSTOS!$M$38)</f>
        <v>261.5374640864809</v>
      </c>
      <c r="AB1986" s="6">
        <f>$K$1986*$V$1986</f>
        <v>0</v>
      </c>
      <c r="AC1986" s="6">
        <f>$M$1986*$W$1986</f>
        <v>4166.7089200000009</v>
      </c>
      <c r="AD1986" s="6">
        <f>$O$1986*$X$1986</f>
        <v>2251.8693699999999</v>
      </c>
      <c r="AE1986" s="6">
        <f>$K$1986*$Y$1986</f>
        <v>0</v>
      </c>
      <c r="AF1986" s="6">
        <f ca="1">$M$1986*$Z$1986</f>
        <v>5031.0387404813764</v>
      </c>
      <c r="AG1986" s="6">
        <f>$O$1986*$AA$1986</f>
        <v>2951.9733571441102</v>
      </c>
    </row>
    <row r="1987" spans="1:33" ht="11.25" customHeight="1" x14ac:dyDescent="0.25">
      <c r="A1987" s="4" t="s">
        <v>27</v>
      </c>
      <c r="B1987" s="4" t="s">
        <v>46</v>
      </c>
      <c r="C1987" s="4" t="s">
        <v>23</v>
      </c>
      <c r="D1987" s="4" t="s">
        <v>47</v>
      </c>
      <c r="E1987" s="4" t="s">
        <v>58</v>
      </c>
      <c r="F1987" s="4" t="s">
        <v>56</v>
      </c>
      <c r="G1987" s="4" t="s">
        <v>25</v>
      </c>
      <c r="H1987" s="4" t="s">
        <v>25</v>
      </c>
      <c r="I1987" s="5">
        <v>44317</v>
      </c>
      <c r="J1987" s="6">
        <v>0</v>
      </c>
      <c r="K1987" s="6">
        <v>0</v>
      </c>
      <c r="L1987" s="6">
        <v>-4.157</v>
      </c>
      <c r="M1987" s="6">
        <v>-4.157</v>
      </c>
      <c r="N1987" s="6">
        <v>-4.157</v>
      </c>
      <c r="O1987" s="6">
        <v>-4.157</v>
      </c>
      <c r="P1987" s="6">
        <v>0</v>
      </c>
      <c r="Q1987" s="4" t="s">
        <v>26</v>
      </c>
      <c r="R1987" s="4">
        <v>0</v>
      </c>
      <c r="S1987" s="6">
        <v>0</v>
      </c>
      <c r="T1987" s="6">
        <v>39</v>
      </c>
      <c r="U1987" s="6">
        <v>85</v>
      </c>
      <c r="V1987" s="6">
        <f>IF(ISERROR(VLOOKUP($S$1987,'TAR FIN'!$A$1:$O$95,15,0)),0,VLOOKUP($S$1987,'TAR FIN'!$A$1:$O$95,15,0))</f>
        <v>0</v>
      </c>
      <c r="W1987" s="6">
        <f>IF(ISERROR(VLOOKUP($T$1987,'TAR FIN'!$A$1:$O$95,15,0)),0,VLOOKUP($T$1987,'TAR FIN'!$A$1:$O$95,15,0))</f>
        <v>369.16</v>
      </c>
      <c r="X1987" s="6">
        <f>IF(ISERROR(VLOOKUP($U$1987,'TAR FIN'!$A$1:$O$95,15,0)),0,VLOOKUP($U$1987,'TAR FIN'!$A$1:$O$95,15,0))</f>
        <v>199.51</v>
      </c>
      <c r="Y1987" s="6"/>
      <c r="Z1987" s="6">
        <f ca="1">('TUSD BE'!$AM$38+'TUSD BF'!$AM$38+'TUSD CVA'!$AM$38)*(1-CUSTOS!$M$38)</f>
        <v>445.73746261020432</v>
      </c>
      <c r="AA1987" s="6">
        <f>('TE BE'!$AA$26+'TE BF'!$AA$26+'TE CVA'!$AA$26)*(1-CUSTOS!$M$38)</f>
        <v>261.5374640864809</v>
      </c>
      <c r="AB1987" s="6">
        <f>$K$1987*$V$1987</f>
        <v>0</v>
      </c>
      <c r="AC1987" s="6">
        <f>$M$1987*$W$1987</f>
        <v>-1534.5981200000001</v>
      </c>
      <c r="AD1987" s="6">
        <f>$O$1987*$X$1987</f>
        <v>-829.36306999999999</v>
      </c>
      <c r="AE1987" s="6">
        <f>$K$1987*$Y$1987</f>
        <v>0</v>
      </c>
      <c r="AF1987" s="6">
        <f ca="1">$M$1987*$Z$1987</f>
        <v>-1852.9306320706194</v>
      </c>
      <c r="AG1987" s="6">
        <f>$O$1987*$AA$1987</f>
        <v>-1087.2112382075011</v>
      </c>
    </row>
    <row r="1988" spans="1:33" ht="11.25" customHeight="1" x14ac:dyDescent="0.25">
      <c r="A1988" s="4" t="s">
        <v>28</v>
      </c>
      <c r="B1988" s="4" t="s">
        <v>46</v>
      </c>
      <c r="C1988" s="4" t="s">
        <v>23</v>
      </c>
      <c r="D1988" s="4" t="s">
        <v>47</v>
      </c>
      <c r="E1988" s="4" t="s">
        <v>58</v>
      </c>
      <c r="F1988" s="4" t="s">
        <v>56</v>
      </c>
      <c r="G1988" s="4" t="s">
        <v>25</v>
      </c>
      <c r="H1988" s="4" t="s">
        <v>25</v>
      </c>
      <c r="I1988" s="5">
        <v>44317</v>
      </c>
      <c r="J1988" s="6">
        <v>0</v>
      </c>
      <c r="K1988" s="6">
        <v>0</v>
      </c>
      <c r="L1988" s="6">
        <v>18.858000000000001</v>
      </c>
      <c r="M1988" s="6">
        <v>18.858000000000001</v>
      </c>
      <c r="N1988" s="6">
        <v>18.858000000000001</v>
      </c>
      <c r="O1988" s="6">
        <v>18.858000000000001</v>
      </c>
      <c r="P1988" s="6">
        <v>0</v>
      </c>
      <c r="Q1988" s="4" t="s">
        <v>26</v>
      </c>
      <c r="R1988" s="4">
        <v>0</v>
      </c>
      <c r="S1988" s="6">
        <v>0</v>
      </c>
      <c r="T1988" s="6">
        <v>39</v>
      </c>
      <c r="U1988" s="6">
        <v>85</v>
      </c>
      <c r="V1988" s="6">
        <f>IF(ISERROR(VLOOKUP($S$1988,'TAR FIN'!$A$1:$O$95,15,0)),0,VLOOKUP($S$1988,'TAR FIN'!$A$1:$O$95,15,0))</f>
        <v>0</v>
      </c>
      <c r="W1988" s="6">
        <f>IF(ISERROR(VLOOKUP($T$1988,'TAR FIN'!$A$1:$O$95,15,0)),0,VLOOKUP($T$1988,'TAR FIN'!$A$1:$O$95,15,0))</f>
        <v>369.16</v>
      </c>
      <c r="X1988" s="6">
        <f>IF(ISERROR(VLOOKUP($U$1988,'TAR FIN'!$A$1:$O$95,15,0)),0,VLOOKUP($U$1988,'TAR FIN'!$A$1:$O$95,15,0))</f>
        <v>199.51</v>
      </c>
      <c r="Y1988" s="6"/>
      <c r="Z1988" s="6">
        <f ca="1">('TUSD BE'!$AM$38+'TUSD BF'!$AM$38+'TUSD CVA'!$AM$38)*(1-CUSTOS!$M$38)</f>
        <v>445.73746261020432</v>
      </c>
      <c r="AA1988" s="6">
        <f>('TE BE'!$AA$26+'TE BF'!$AA$26+'TE CVA'!$AA$26)*(1-CUSTOS!$M$38)</f>
        <v>261.5374640864809</v>
      </c>
      <c r="AB1988" s="6">
        <f>$K$1988*$V$1988</f>
        <v>0</v>
      </c>
      <c r="AC1988" s="6">
        <f>$M$1988*$W$1988</f>
        <v>6961.6192800000008</v>
      </c>
      <c r="AD1988" s="6">
        <f>$O$1988*$X$1988</f>
        <v>3762.3595799999998</v>
      </c>
      <c r="AE1988" s="6">
        <f>$K$1988*$Y$1988</f>
        <v>0</v>
      </c>
      <c r="AF1988" s="6">
        <f ca="1">$M$1988*$Z$1988</f>
        <v>8405.717069903234</v>
      </c>
      <c r="AG1988" s="6">
        <f>$O$1988*$AA$1988</f>
        <v>4932.0734977428565</v>
      </c>
    </row>
    <row r="1989" spans="1:33" ht="11.25" customHeight="1" x14ac:dyDescent="0.25">
      <c r="A1989" s="4" t="s">
        <v>29</v>
      </c>
      <c r="B1989" s="4" t="s">
        <v>46</v>
      </c>
      <c r="C1989" s="4" t="s">
        <v>23</v>
      </c>
      <c r="D1989" s="4" t="s">
        <v>47</v>
      </c>
      <c r="E1989" s="4" t="s">
        <v>58</v>
      </c>
      <c r="F1989" s="4" t="s">
        <v>56</v>
      </c>
      <c r="G1989" s="4" t="s">
        <v>25</v>
      </c>
      <c r="H1989" s="4" t="s">
        <v>25</v>
      </c>
      <c r="I1989" s="5">
        <v>44317</v>
      </c>
      <c r="J1989" s="6">
        <v>0</v>
      </c>
      <c r="K1989" s="6">
        <v>0</v>
      </c>
      <c r="L1989" s="6">
        <v>-0.443</v>
      </c>
      <c r="M1989" s="6">
        <v>-0.443</v>
      </c>
      <c r="N1989" s="6">
        <v>-0.443</v>
      </c>
      <c r="O1989" s="6">
        <v>-0.443</v>
      </c>
      <c r="P1989" s="6">
        <v>0</v>
      </c>
      <c r="Q1989" s="4" t="s">
        <v>26</v>
      </c>
      <c r="R1989" s="4">
        <v>0</v>
      </c>
      <c r="S1989" s="6">
        <v>0</v>
      </c>
      <c r="T1989" s="6">
        <v>39</v>
      </c>
      <c r="U1989" s="6">
        <v>85</v>
      </c>
      <c r="V1989" s="6">
        <f>IF(ISERROR(VLOOKUP($S$1989,'TAR FIN'!$A$1:$O$95,15,0)),0,VLOOKUP($S$1989,'TAR FIN'!$A$1:$O$95,15,0))</f>
        <v>0</v>
      </c>
      <c r="W1989" s="6">
        <f>IF(ISERROR(VLOOKUP($T$1989,'TAR FIN'!$A$1:$O$95,15,0)),0,VLOOKUP($T$1989,'TAR FIN'!$A$1:$O$95,15,0))</f>
        <v>369.16</v>
      </c>
      <c r="X1989" s="6">
        <f>IF(ISERROR(VLOOKUP($U$1989,'TAR FIN'!$A$1:$O$95,15,0)),0,VLOOKUP($U$1989,'TAR FIN'!$A$1:$O$95,15,0))</f>
        <v>199.51</v>
      </c>
      <c r="Y1989" s="6"/>
      <c r="Z1989" s="6">
        <f ca="1">('TUSD BE'!$AM$38+'TUSD BF'!$AM$38+'TUSD CVA'!$AM$38)*(1-CUSTOS!$M$38)</f>
        <v>445.73746261020432</v>
      </c>
      <c r="AA1989" s="6">
        <f>('TE BE'!$AA$26+'TE BF'!$AA$26+'TE CVA'!$AA$26)*(1-CUSTOS!$M$38)</f>
        <v>261.5374640864809</v>
      </c>
      <c r="AB1989" s="6">
        <f>$K$1989*$V$1989</f>
        <v>0</v>
      </c>
      <c r="AC1989" s="6">
        <f>$M$1989*$W$1989</f>
        <v>-163.53788</v>
      </c>
      <c r="AD1989" s="6">
        <f>$O$1989*$X$1989</f>
        <v>-88.382930000000002</v>
      </c>
      <c r="AE1989" s="6">
        <f>$K$1989*$Y$1989</f>
        <v>0</v>
      </c>
      <c r="AF1989" s="6">
        <f ca="1">$M$1989*$Z$1989</f>
        <v>-197.46169593632052</v>
      </c>
      <c r="AG1989" s="6">
        <f>$O$1989*$AA$1989</f>
        <v>-115.86109659031104</v>
      </c>
    </row>
    <row r="1990" spans="1:33" ht="11.25" customHeight="1" x14ac:dyDescent="0.25">
      <c r="A1990" s="4" t="s">
        <v>21</v>
      </c>
      <c r="B1990" s="4" t="s">
        <v>46</v>
      </c>
      <c r="C1990" s="4" t="s">
        <v>23</v>
      </c>
      <c r="D1990" s="4" t="s">
        <v>47</v>
      </c>
      <c r="E1990" s="4" t="s">
        <v>58</v>
      </c>
      <c r="F1990" s="4" t="s">
        <v>56</v>
      </c>
      <c r="G1990" s="4" t="s">
        <v>25</v>
      </c>
      <c r="H1990" s="4" t="s">
        <v>25</v>
      </c>
      <c r="I1990" s="5">
        <v>44348</v>
      </c>
      <c r="J1990" s="6">
        <v>0</v>
      </c>
      <c r="K1990" s="6">
        <v>0</v>
      </c>
      <c r="L1990" s="6">
        <v>9.6080000000000005</v>
      </c>
      <c r="M1990" s="6">
        <v>9.6080000000000005</v>
      </c>
      <c r="N1990" s="6">
        <v>9.6080000000000005</v>
      </c>
      <c r="O1990" s="6">
        <v>9.6080000000000005</v>
      </c>
      <c r="P1990" s="6">
        <v>0</v>
      </c>
      <c r="Q1990" s="4" t="s">
        <v>26</v>
      </c>
      <c r="R1990" s="4">
        <v>0</v>
      </c>
      <c r="S1990" s="6">
        <v>0</v>
      </c>
      <c r="T1990" s="6">
        <v>39</v>
      </c>
      <c r="U1990" s="6">
        <v>85</v>
      </c>
      <c r="V1990" s="6">
        <f>IF(ISERROR(VLOOKUP($S$1990,'TAR FIN'!$A$1:$O$95,15,0)),0,VLOOKUP($S$1990,'TAR FIN'!$A$1:$O$95,15,0))</f>
        <v>0</v>
      </c>
      <c r="W1990" s="6">
        <f>IF(ISERROR(VLOOKUP($T$1990,'TAR FIN'!$A$1:$O$95,15,0)),0,VLOOKUP($T$1990,'TAR FIN'!$A$1:$O$95,15,0))</f>
        <v>369.16</v>
      </c>
      <c r="X1990" s="6">
        <f>IF(ISERROR(VLOOKUP($U$1990,'TAR FIN'!$A$1:$O$95,15,0)),0,VLOOKUP($U$1990,'TAR FIN'!$A$1:$O$95,15,0))</f>
        <v>199.51</v>
      </c>
      <c r="Y1990" s="6"/>
      <c r="Z1990" s="6">
        <f ca="1">('TUSD BE'!$AM$38+'TUSD BF'!$AM$38+'TUSD CVA'!$AM$38)*(1-CUSTOS!$M$38)</f>
        <v>445.73746261020432</v>
      </c>
      <c r="AA1990" s="6">
        <f>('TE BE'!$AA$26+'TE BF'!$AA$26+'TE CVA'!$AA$26)*(1-CUSTOS!$M$38)</f>
        <v>261.5374640864809</v>
      </c>
      <c r="AB1990" s="6">
        <f>$K$1990*$V$1990</f>
        <v>0</v>
      </c>
      <c r="AC1990" s="6">
        <f>$M$1990*$W$1990</f>
        <v>3546.8892800000003</v>
      </c>
      <c r="AD1990" s="6">
        <f>$O$1990*$X$1990</f>
        <v>1916.8920800000001</v>
      </c>
      <c r="AE1990" s="6">
        <f>$K$1990*$Y$1990</f>
        <v>0</v>
      </c>
      <c r="AF1990" s="6">
        <f ca="1">$M$1990*$Z$1990</f>
        <v>4282.6455407588437</v>
      </c>
      <c r="AG1990" s="6">
        <f>$O$1990*$AA$1990</f>
        <v>2512.8519549429084</v>
      </c>
    </row>
    <row r="1991" spans="1:33" ht="11.25" customHeight="1" x14ac:dyDescent="0.25">
      <c r="A1991" s="4" t="s">
        <v>27</v>
      </c>
      <c r="B1991" s="4" t="s">
        <v>46</v>
      </c>
      <c r="C1991" s="4" t="s">
        <v>23</v>
      </c>
      <c r="D1991" s="4" t="s">
        <v>47</v>
      </c>
      <c r="E1991" s="4" t="s">
        <v>58</v>
      </c>
      <c r="F1991" s="4" t="s">
        <v>56</v>
      </c>
      <c r="G1991" s="4" t="s">
        <v>25</v>
      </c>
      <c r="H1991" s="4" t="s">
        <v>25</v>
      </c>
      <c r="I1991" s="5">
        <v>44348</v>
      </c>
      <c r="J1991" s="6">
        <v>0</v>
      </c>
      <c r="K1991" s="6">
        <v>0</v>
      </c>
      <c r="L1991" s="6">
        <v>-1.0509999999999999</v>
      </c>
      <c r="M1991" s="6">
        <v>-1.0509999999999999</v>
      </c>
      <c r="N1991" s="6">
        <v>-1.0509999999999999</v>
      </c>
      <c r="O1991" s="6">
        <v>-1.0509999999999999</v>
      </c>
      <c r="P1991" s="6">
        <v>0</v>
      </c>
      <c r="Q1991" s="4" t="s">
        <v>26</v>
      </c>
      <c r="R1991" s="4">
        <v>0</v>
      </c>
      <c r="S1991" s="6">
        <v>0</v>
      </c>
      <c r="T1991" s="6">
        <v>39</v>
      </c>
      <c r="U1991" s="6">
        <v>85</v>
      </c>
      <c r="V1991" s="6">
        <f>IF(ISERROR(VLOOKUP($S$1991,'TAR FIN'!$A$1:$O$95,15,0)),0,VLOOKUP($S$1991,'TAR FIN'!$A$1:$O$95,15,0))</f>
        <v>0</v>
      </c>
      <c r="W1991" s="6">
        <f>IF(ISERROR(VLOOKUP($T$1991,'TAR FIN'!$A$1:$O$95,15,0)),0,VLOOKUP($T$1991,'TAR FIN'!$A$1:$O$95,15,0))</f>
        <v>369.16</v>
      </c>
      <c r="X1991" s="6">
        <f>IF(ISERROR(VLOOKUP($U$1991,'TAR FIN'!$A$1:$O$95,15,0)),0,VLOOKUP($U$1991,'TAR FIN'!$A$1:$O$95,15,0))</f>
        <v>199.51</v>
      </c>
      <c r="Y1991" s="6"/>
      <c r="Z1991" s="6">
        <f ca="1">('TUSD BE'!$AM$38+'TUSD BF'!$AM$38+'TUSD CVA'!$AM$38)*(1-CUSTOS!$M$38)</f>
        <v>445.73746261020432</v>
      </c>
      <c r="AA1991" s="6">
        <f>('TE BE'!$AA$26+'TE BF'!$AA$26+'TE CVA'!$AA$26)*(1-CUSTOS!$M$38)</f>
        <v>261.5374640864809</v>
      </c>
      <c r="AB1991" s="6">
        <f>$K$1991*$V$1991</f>
        <v>0</v>
      </c>
      <c r="AC1991" s="6">
        <f>$M$1991*$W$1991</f>
        <v>-387.98716000000002</v>
      </c>
      <c r="AD1991" s="6">
        <f>$O$1991*$X$1991</f>
        <v>-209.68500999999998</v>
      </c>
      <c r="AE1991" s="6">
        <f>$K$1991*$Y$1991</f>
        <v>0</v>
      </c>
      <c r="AF1991" s="6">
        <f ca="1">$M$1991*$Z$1991</f>
        <v>-468.47007320332472</v>
      </c>
      <c r="AG1991" s="6">
        <f>$O$1991*$AA$1991</f>
        <v>-274.87587475489141</v>
      </c>
    </row>
    <row r="1992" spans="1:33" ht="11.25" customHeight="1" x14ac:dyDescent="0.25">
      <c r="A1992" s="4" t="s">
        <v>28</v>
      </c>
      <c r="B1992" s="4" t="s">
        <v>46</v>
      </c>
      <c r="C1992" s="4" t="s">
        <v>23</v>
      </c>
      <c r="D1992" s="4" t="s">
        <v>47</v>
      </c>
      <c r="E1992" s="4" t="s">
        <v>58</v>
      </c>
      <c r="F1992" s="4" t="s">
        <v>56</v>
      </c>
      <c r="G1992" s="4" t="s">
        <v>25</v>
      </c>
      <c r="H1992" s="4" t="s">
        <v>25</v>
      </c>
      <c r="I1992" s="5">
        <v>44348</v>
      </c>
      <c r="J1992" s="6">
        <v>0</v>
      </c>
      <c r="K1992" s="6">
        <v>0</v>
      </c>
      <c r="L1992" s="6">
        <v>23.059000000000001</v>
      </c>
      <c r="M1992" s="6">
        <v>23.059000000000001</v>
      </c>
      <c r="N1992" s="6">
        <v>23.059000000000001</v>
      </c>
      <c r="O1992" s="6">
        <v>23.059000000000001</v>
      </c>
      <c r="P1992" s="6">
        <v>0</v>
      </c>
      <c r="Q1992" s="4" t="s">
        <v>26</v>
      </c>
      <c r="R1992" s="4">
        <v>0</v>
      </c>
      <c r="S1992" s="6">
        <v>0</v>
      </c>
      <c r="T1992" s="6">
        <v>39</v>
      </c>
      <c r="U1992" s="6">
        <v>85</v>
      </c>
      <c r="V1992" s="6">
        <f>IF(ISERROR(VLOOKUP($S$1992,'TAR FIN'!$A$1:$O$95,15,0)),0,VLOOKUP($S$1992,'TAR FIN'!$A$1:$O$95,15,0))</f>
        <v>0</v>
      </c>
      <c r="W1992" s="6">
        <f>IF(ISERROR(VLOOKUP($T$1992,'TAR FIN'!$A$1:$O$95,15,0)),0,VLOOKUP($T$1992,'TAR FIN'!$A$1:$O$95,15,0))</f>
        <v>369.16</v>
      </c>
      <c r="X1992" s="6">
        <f>IF(ISERROR(VLOOKUP($U$1992,'TAR FIN'!$A$1:$O$95,15,0)),0,VLOOKUP($U$1992,'TAR FIN'!$A$1:$O$95,15,0))</f>
        <v>199.51</v>
      </c>
      <c r="Y1992" s="6"/>
      <c r="Z1992" s="6">
        <f ca="1">('TUSD BE'!$AM$38+'TUSD BF'!$AM$38+'TUSD CVA'!$AM$38)*(1-CUSTOS!$M$38)</f>
        <v>445.73746261020432</v>
      </c>
      <c r="AA1992" s="6">
        <f>('TE BE'!$AA$26+'TE BF'!$AA$26+'TE CVA'!$AA$26)*(1-CUSTOS!$M$38)</f>
        <v>261.5374640864809</v>
      </c>
      <c r="AB1992" s="6">
        <f>$K$1992*$V$1992</f>
        <v>0</v>
      </c>
      <c r="AC1992" s="6">
        <f>$M$1992*$W$1992</f>
        <v>8512.4604400000007</v>
      </c>
      <c r="AD1992" s="6">
        <f>$O$1992*$X$1992</f>
        <v>4600.5010899999997</v>
      </c>
      <c r="AE1992" s="6">
        <f>$K$1992*$Y$1992</f>
        <v>0</v>
      </c>
      <c r="AF1992" s="6">
        <f ca="1">$M$1992*$Z$1992</f>
        <v>10278.260150328702</v>
      </c>
      <c r="AG1992" s="6">
        <f>$O$1992*$AA$1992</f>
        <v>6030.7923843701628</v>
      </c>
    </row>
    <row r="1993" spans="1:33" ht="11.25" customHeight="1" x14ac:dyDescent="0.25">
      <c r="A1993" s="4" t="s">
        <v>21</v>
      </c>
      <c r="B1993" s="4" t="s">
        <v>46</v>
      </c>
      <c r="C1993" s="4" t="s">
        <v>23</v>
      </c>
      <c r="D1993" s="4" t="s">
        <v>47</v>
      </c>
      <c r="E1993" s="4" t="s">
        <v>58</v>
      </c>
      <c r="F1993" s="4" t="s">
        <v>56</v>
      </c>
      <c r="G1993" s="4" t="s">
        <v>25</v>
      </c>
      <c r="H1993" s="4" t="s">
        <v>25</v>
      </c>
      <c r="I1993" s="5">
        <v>44378</v>
      </c>
      <c r="J1993" s="6">
        <v>0</v>
      </c>
      <c r="K1993" s="6">
        <v>0</v>
      </c>
      <c r="L1993" s="6">
        <v>10.369</v>
      </c>
      <c r="M1993" s="6">
        <v>10.369</v>
      </c>
      <c r="N1993" s="6">
        <v>10.369</v>
      </c>
      <c r="O1993" s="6">
        <v>10.369</v>
      </c>
      <c r="P1993" s="6">
        <v>0</v>
      </c>
      <c r="Q1993" s="4" t="s">
        <v>26</v>
      </c>
      <c r="R1993" s="4">
        <v>0</v>
      </c>
      <c r="S1993" s="6">
        <v>0</v>
      </c>
      <c r="T1993" s="6">
        <v>39</v>
      </c>
      <c r="U1993" s="6">
        <v>85</v>
      </c>
      <c r="V1993" s="6">
        <f>IF(ISERROR(VLOOKUP($S$1993,'TAR FIN'!$A$1:$O$95,15,0)),0,VLOOKUP($S$1993,'TAR FIN'!$A$1:$O$95,15,0))</f>
        <v>0</v>
      </c>
      <c r="W1993" s="6">
        <f>IF(ISERROR(VLOOKUP($T$1993,'TAR FIN'!$A$1:$O$95,15,0)),0,VLOOKUP($T$1993,'TAR FIN'!$A$1:$O$95,15,0))</f>
        <v>369.16</v>
      </c>
      <c r="X1993" s="6">
        <f>IF(ISERROR(VLOOKUP($U$1993,'TAR FIN'!$A$1:$O$95,15,0)),0,VLOOKUP($U$1993,'TAR FIN'!$A$1:$O$95,15,0))</f>
        <v>199.51</v>
      </c>
      <c r="Y1993" s="6"/>
      <c r="Z1993" s="6">
        <f ca="1">('TUSD BE'!$AM$38+'TUSD BF'!$AM$38+'TUSD CVA'!$AM$38)*(1-CUSTOS!$M$38)</f>
        <v>445.73746261020432</v>
      </c>
      <c r="AA1993" s="6">
        <f>('TE BE'!$AA$26+'TE BF'!$AA$26+'TE CVA'!$AA$26)*(1-CUSTOS!$M$38)</f>
        <v>261.5374640864809</v>
      </c>
      <c r="AB1993" s="6">
        <f>$K$1993*$V$1993</f>
        <v>0</v>
      </c>
      <c r="AC1993" s="6">
        <f>$M$1993*$W$1993</f>
        <v>3827.8200400000001</v>
      </c>
      <c r="AD1993" s="6">
        <f>$O$1993*$X$1993</f>
        <v>2068.7191899999998</v>
      </c>
      <c r="AE1993" s="6">
        <f>$K$1993*$Y$1993</f>
        <v>0</v>
      </c>
      <c r="AF1993" s="6">
        <f ca="1">$M$1993*$Z$1993</f>
        <v>4621.8517498052088</v>
      </c>
      <c r="AG1993" s="6">
        <f>$O$1993*$AA$1993</f>
        <v>2711.8819651127205</v>
      </c>
    </row>
    <row r="1994" spans="1:33" ht="11.25" customHeight="1" x14ac:dyDescent="0.25">
      <c r="A1994" s="4" t="s">
        <v>27</v>
      </c>
      <c r="B1994" s="4" t="s">
        <v>46</v>
      </c>
      <c r="C1994" s="4" t="s">
        <v>23</v>
      </c>
      <c r="D1994" s="4" t="s">
        <v>47</v>
      </c>
      <c r="E1994" s="4" t="s">
        <v>58</v>
      </c>
      <c r="F1994" s="4" t="s">
        <v>56</v>
      </c>
      <c r="G1994" s="4" t="s">
        <v>25</v>
      </c>
      <c r="H1994" s="4" t="s">
        <v>25</v>
      </c>
      <c r="I1994" s="5">
        <v>44378</v>
      </c>
      <c r="J1994" s="6">
        <v>0</v>
      </c>
      <c r="K1994" s="6">
        <v>0</v>
      </c>
      <c r="L1994" s="6">
        <v>-1.597</v>
      </c>
      <c r="M1994" s="6">
        <v>-1.597</v>
      </c>
      <c r="N1994" s="6">
        <v>-1.597</v>
      </c>
      <c r="O1994" s="6">
        <v>-1.597</v>
      </c>
      <c r="P1994" s="6">
        <v>0</v>
      </c>
      <c r="Q1994" s="4" t="s">
        <v>26</v>
      </c>
      <c r="R1994" s="4">
        <v>0</v>
      </c>
      <c r="S1994" s="6">
        <v>0</v>
      </c>
      <c r="T1994" s="6">
        <v>39</v>
      </c>
      <c r="U1994" s="6">
        <v>85</v>
      </c>
      <c r="V1994" s="6">
        <f>IF(ISERROR(VLOOKUP($S$1994,'TAR FIN'!$A$1:$O$95,15,0)),0,VLOOKUP($S$1994,'TAR FIN'!$A$1:$O$95,15,0))</f>
        <v>0</v>
      </c>
      <c r="W1994" s="6">
        <f>IF(ISERROR(VLOOKUP($T$1994,'TAR FIN'!$A$1:$O$95,15,0)),0,VLOOKUP($T$1994,'TAR FIN'!$A$1:$O$95,15,0))</f>
        <v>369.16</v>
      </c>
      <c r="X1994" s="6">
        <f>IF(ISERROR(VLOOKUP($U$1994,'TAR FIN'!$A$1:$O$95,15,0)),0,VLOOKUP($U$1994,'TAR FIN'!$A$1:$O$95,15,0))</f>
        <v>199.51</v>
      </c>
      <c r="Y1994" s="6"/>
      <c r="Z1994" s="6">
        <f ca="1">('TUSD BE'!$AM$38+'TUSD BF'!$AM$38+'TUSD CVA'!$AM$38)*(1-CUSTOS!$M$38)</f>
        <v>445.73746261020432</v>
      </c>
      <c r="AA1994" s="6">
        <f>('TE BE'!$AA$26+'TE BF'!$AA$26+'TE CVA'!$AA$26)*(1-CUSTOS!$M$38)</f>
        <v>261.5374640864809</v>
      </c>
      <c r="AB1994" s="6">
        <f>$K$1994*$V$1994</f>
        <v>0</v>
      </c>
      <c r="AC1994" s="6">
        <f>$M$1994*$W$1994</f>
        <v>-589.54852000000005</v>
      </c>
      <c r="AD1994" s="6">
        <f>$O$1994*$X$1994</f>
        <v>-318.61746999999997</v>
      </c>
      <c r="AE1994" s="6">
        <f>$K$1994*$Y$1994</f>
        <v>0</v>
      </c>
      <c r="AF1994" s="6">
        <f ca="1">$M$1994*$Z$1994</f>
        <v>-711.84272778849629</v>
      </c>
      <c r="AG1994" s="6">
        <f>$O$1994*$AA$1994</f>
        <v>-417.67533014610996</v>
      </c>
    </row>
    <row r="1995" spans="1:33" ht="11.25" customHeight="1" x14ac:dyDescent="0.25">
      <c r="A1995" s="4" t="s">
        <v>28</v>
      </c>
      <c r="B1995" s="4" t="s">
        <v>46</v>
      </c>
      <c r="C1995" s="4" t="s">
        <v>23</v>
      </c>
      <c r="D1995" s="4" t="s">
        <v>47</v>
      </c>
      <c r="E1995" s="4" t="s">
        <v>58</v>
      </c>
      <c r="F1995" s="4" t="s">
        <v>56</v>
      </c>
      <c r="G1995" s="4" t="s">
        <v>25</v>
      </c>
      <c r="H1995" s="4" t="s">
        <v>25</v>
      </c>
      <c r="I1995" s="5">
        <v>44378</v>
      </c>
      <c r="J1995" s="6">
        <v>0</v>
      </c>
      <c r="K1995" s="6">
        <v>0</v>
      </c>
      <c r="L1995" s="6">
        <v>24.103000000000002</v>
      </c>
      <c r="M1995" s="6">
        <v>24.103000000000002</v>
      </c>
      <c r="N1995" s="6">
        <v>24.103000000000002</v>
      </c>
      <c r="O1995" s="6">
        <v>24.103000000000002</v>
      </c>
      <c r="P1995" s="6">
        <v>0</v>
      </c>
      <c r="Q1995" s="4" t="s">
        <v>26</v>
      </c>
      <c r="R1995" s="4">
        <v>0</v>
      </c>
      <c r="S1995" s="6">
        <v>0</v>
      </c>
      <c r="T1995" s="6">
        <v>39</v>
      </c>
      <c r="U1995" s="6">
        <v>85</v>
      </c>
      <c r="V1995" s="6">
        <f>IF(ISERROR(VLOOKUP($S$1995,'TAR FIN'!$A$1:$O$95,15,0)),0,VLOOKUP($S$1995,'TAR FIN'!$A$1:$O$95,15,0))</f>
        <v>0</v>
      </c>
      <c r="W1995" s="6">
        <f>IF(ISERROR(VLOOKUP($T$1995,'TAR FIN'!$A$1:$O$95,15,0)),0,VLOOKUP($T$1995,'TAR FIN'!$A$1:$O$95,15,0))</f>
        <v>369.16</v>
      </c>
      <c r="X1995" s="6">
        <f>IF(ISERROR(VLOOKUP($U$1995,'TAR FIN'!$A$1:$O$95,15,0)),0,VLOOKUP($U$1995,'TAR FIN'!$A$1:$O$95,15,0))</f>
        <v>199.51</v>
      </c>
      <c r="Y1995" s="6"/>
      <c r="Z1995" s="6">
        <f ca="1">('TUSD BE'!$AM$38+'TUSD BF'!$AM$38+'TUSD CVA'!$AM$38)*(1-CUSTOS!$M$38)</f>
        <v>445.73746261020432</v>
      </c>
      <c r="AA1995" s="6">
        <f>('TE BE'!$AA$26+'TE BF'!$AA$26+'TE CVA'!$AA$26)*(1-CUSTOS!$M$38)</f>
        <v>261.5374640864809</v>
      </c>
      <c r="AB1995" s="6">
        <f>$K$1995*$V$1995</f>
        <v>0</v>
      </c>
      <c r="AC1995" s="6">
        <f>$M$1995*$W$1995</f>
        <v>8897.8634800000018</v>
      </c>
      <c r="AD1995" s="6">
        <f>$O$1995*$X$1995</f>
        <v>4808.78953</v>
      </c>
      <c r="AE1995" s="6">
        <f>$K$1995*$Y$1995</f>
        <v>0</v>
      </c>
      <c r="AF1995" s="6">
        <f ca="1">$M$1995*$Z$1995</f>
        <v>10743.610061293755</v>
      </c>
      <c r="AG1995" s="6">
        <f>$O$1995*$AA$1995</f>
        <v>6303.8374968764492</v>
      </c>
    </row>
    <row r="1996" spans="1:33" ht="11.25" customHeight="1" x14ac:dyDescent="0.25">
      <c r="A1996" s="4" t="s">
        <v>21</v>
      </c>
      <c r="B1996" s="4" t="s">
        <v>46</v>
      </c>
      <c r="C1996" s="4" t="s">
        <v>23</v>
      </c>
      <c r="D1996" s="4" t="s">
        <v>47</v>
      </c>
      <c r="E1996" s="4" t="s">
        <v>58</v>
      </c>
      <c r="F1996" s="4" t="s">
        <v>56</v>
      </c>
      <c r="G1996" s="4" t="s">
        <v>25</v>
      </c>
      <c r="H1996" s="4" t="s">
        <v>25</v>
      </c>
      <c r="I1996" s="5">
        <v>44409</v>
      </c>
      <c r="J1996" s="6">
        <v>0</v>
      </c>
      <c r="K1996" s="6">
        <v>0</v>
      </c>
      <c r="L1996" s="6">
        <v>26.681999999999999</v>
      </c>
      <c r="M1996" s="6">
        <v>26.681999999999999</v>
      </c>
      <c r="N1996" s="6">
        <v>26.681999999999999</v>
      </c>
      <c r="O1996" s="6">
        <v>26.681999999999999</v>
      </c>
      <c r="P1996" s="6">
        <v>0</v>
      </c>
      <c r="Q1996" s="4" t="s">
        <v>26</v>
      </c>
      <c r="R1996" s="4">
        <v>0</v>
      </c>
      <c r="S1996" s="6">
        <v>0</v>
      </c>
      <c r="T1996" s="6">
        <v>39</v>
      </c>
      <c r="U1996" s="6">
        <v>85</v>
      </c>
      <c r="V1996" s="6">
        <f>IF(ISERROR(VLOOKUP($S$1996,'TAR FIN'!$A$1:$O$95,15,0)),0,VLOOKUP($S$1996,'TAR FIN'!$A$1:$O$95,15,0))</f>
        <v>0</v>
      </c>
      <c r="W1996" s="6">
        <f>IF(ISERROR(VLOOKUP($T$1996,'TAR FIN'!$A$1:$O$95,15,0)),0,VLOOKUP($T$1996,'TAR FIN'!$A$1:$O$95,15,0))</f>
        <v>369.16</v>
      </c>
      <c r="X1996" s="6">
        <f>IF(ISERROR(VLOOKUP($U$1996,'TAR FIN'!$A$1:$O$95,15,0)),0,VLOOKUP($U$1996,'TAR FIN'!$A$1:$O$95,15,0))</f>
        <v>199.51</v>
      </c>
      <c r="Y1996" s="6"/>
      <c r="Z1996" s="6">
        <f ca="1">('TUSD BE'!$AM$38+'TUSD BF'!$AM$38+'TUSD CVA'!$AM$38)*(1-CUSTOS!$M$38)</f>
        <v>445.73746261020432</v>
      </c>
      <c r="AA1996" s="6">
        <f>('TE BE'!$AA$26+'TE BF'!$AA$26+'TE CVA'!$AA$26)*(1-CUSTOS!$M$38)</f>
        <v>261.5374640864809</v>
      </c>
      <c r="AB1996" s="6">
        <f>$K$1996*$V$1996</f>
        <v>0</v>
      </c>
      <c r="AC1996" s="6">
        <f>$M$1996*$W$1996</f>
        <v>9849.9271200000003</v>
      </c>
      <c r="AD1996" s="6">
        <f>$O$1996*$X$1996</f>
        <v>5323.3258199999991</v>
      </c>
      <c r="AE1996" s="6">
        <f>$K$1996*$Y$1996</f>
        <v>0</v>
      </c>
      <c r="AF1996" s="6">
        <f ca="1">$M$1996*$Z$1996</f>
        <v>11893.16697736547</v>
      </c>
      <c r="AG1996" s="6">
        <f>$O$1996*$AA$1996</f>
        <v>6978.3426167554826</v>
      </c>
    </row>
    <row r="1997" spans="1:33" ht="11.25" customHeight="1" x14ac:dyDescent="0.25">
      <c r="A1997" s="4" t="s">
        <v>28</v>
      </c>
      <c r="B1997" s="4" t="s">
        <v>46</v>
      </c>
      <c r="C1997" s="4" t="s">
        <v>23</v>
      </c>
      <c r="D1997" s="4" t="s">
        <v>47</v>
      </c>
      <c r="E1997" s="4" t="s">
        <v>58</v>
      </c>
      <c r="F1997" s="4" t="s">
        <v>56</v>
      </c>
      <c r="G1997" s="4" t="s">
        <v>25</v>
      </c>
      <c r="H1997" s="4" t="s">
        <v>25</v>
      </c>
      <c r="I1997" s="5">
        <v>44409</v>
      </c>
      <c r="J1997" s="6">
        <v>0</v>
      </c>
      <c r="K1997" s="6">
        <v>0</v>
      </c>
      <c r="L1997" s="6">
        <v>35.304000000000002</v>
      </c>
      <c r="M1997" s="6">
        <v>35.304000000000002</v>
      </c>
      <c r="N1997" s="6">
        <v>35.304000000000002</v>
      </c>
      <c r="O1997" s="6">
        <v>35.304000000000002</v>
      </c>
      <c r="P1997" s="6">
        <v>0</v>
      </c>
      <c r="Q1997" s="4" t="s">
        <v>26</v>
      </c>
      <c r="R1997" s="4">
        <v>0</v>
      </c>
      <c r="S1997" s="6">
        <v>0</v>
      </c>
      <c r="T1997" s="6">
        <v>39</v>
      </c>
      <c r="U1997" s="6">
        <v>85</v>
      </c>
      <c r="V1997" s="6">
        <f>IF(ISERROR(VLOOKUP($S$1997,'TAR FIN'!$A$1:$O$95,15,0)),0,VLOOKUP($S$1997,'TAR FIN'!$A$1:$O$95,15,0))</f>
        <v>0</v>
      </c>
      <c r="W1997" s="6">
        <f>IF(ISERROR(VLOOKUP($T$1997,'TAR FIN'!$A$1:$O$95,15,0)),0,VLOOKUP($T$1997,'TAR FIN'!$A$1:$O$95,15,0))</f>
        <v>369.16</v>
      </c>
      <c r="X1997" s="6">
        <f>IF(ISERROR(VLOOKUP($U$1997,'TAR FIN'!$A$1:$O$95,15,0)),0,VLOOKUP($U$1997,'TAR FIN'!$A$1:$O$95,15,0))</f>
        <v>199.51</v>
      </c>
      <c r="Y1997" s="6"/>
      <c r="Z1997" s="6">
        <f ca="1">('TUSD BE'!$AM$38+'TUSD BF'!$AM$38+'TUSD CVA'!$AM$38)*(1-CUSTOS!$M$38)</f>
        <v>445.73746261020432</v>
      </c>
      <c r="AA1997" s="6">
        <f>('TE BE'!$AA$26+'TE BF'!$AA$26+'TE CVA'!$AA$26)*(1-CUSTOS!$M$38)</f>
        <v>261.5374640864809</v>
      </c>
      <c r="AB1997" s="6">
        <f>$K$1997*$V$1997</f>
        <v>0</v>
      </c>
      <c r="AC1997" s="6">
        <f>$M$1997*$W$1997</f>
        <v>13032.824640000003</v>
      </c>
      <c r="AD1997" s="6">
        <f>$O$1997*$X$1997</f>
        <v>7043.5010400000001</v>
      </c>
      <c r="AE1997" s="6">
        <f>$K$1997*$Y$1997</f>
        <v>0</v>
      </c>
      <c r="AF1997" s="6">
        <f ca="1">$M$1997*$Z$1997</f>
        <v>15736.315379990654</v>
      </c>
      <c r="AG1997" s="6">
        <f>$O$1997*$AA$1997</f>
        <v>9233.3186321091216</v>
      </c>
    </row>
    <row r="1998" spans="1:33" ht="11.25" customHeight="1" x14ac:dyDescent="0.25">
      <c r="A1998" s="4" t="s">
        <v>29</v>
      </c>
      <c r="B1998" s="4" t="s">
        <v>46</v>
      </c>
      <c r="C1998" s="4" t="s">
        <v>23</v>
      </c>
      <c r="D1998" s="4" t="s">
        <v>47</v>
      </c>
      <c r="E1998" s="4" t="s">
        <v>58</v>
      </c>
      <c r="F1998" s="4" t="s">
        <v>56</v>
      </c>
      <c r="G1998" s="4" t="s">
        <v>25</v>
      </c>
      <c r="H1998" s="4" t="s">
        <v>25</v>
      </c>
      <c r="I1998" s="5">
        <v>44409</v>
      </c>
      <c r="J1998" s="6">
        <v>0</v>
      </c>
      <c r="K1998" s="6">
        <v>0</v>
      </c>
      <c r="L1998" s="6">
        <v>-1.0780000000000001</v>
      </c>
      <c r="M1998" s="6">
        <v>-1.0780000000000001</v>
      </c>
      <c r="N1998" s="6">
        <v>-1.0780000000000001</v>
      </c>
      <c r="O1998" s="6">
        <v>-1.0780000000000001</v>
      </c>
      <c r="P1998" s="6">
        <v>0</v>
      </c>
      <c r="Q1998" s="4" t="s">
        <v>26</v>
      </c>
      <c r="R1998" s="4">
        <v>0</v>
      </c>
      <c r="S1998" s="6">
        <v>0</v>
      </c>
      <c r="T1998" s="6">
        <v>39</v>
      </c>
      <c r="U1998" s="6">
        <v>85</v>
      </c>
      <c r="V1998" s="6">
        <f>IF(ISERROR(VLOOKUP($S$1998,'TAR FIN'!$A$1:$O$95,15,0)),0,VLOOKUP($S$1998,'TAR FIN'!$A$1:$O$95,15,0))</f>
        <v>0</v>
      </c>
      <c r="W1998" s="6">
        <f>IF(ISERROR(VLOOKUP($T$1998,'TAR FIN'!$A$1:$O$95,15,0)),0,VLOOKUP($T$1998,'TAR FIN'!$A$1:$O$95,15,0))</f>
        <v>369.16</v>
      </c>
      <c r="X1998" s="6">
        <f>IF(ISERROR(VLOOKUP($U$1998,'TAR FIN'!$A$1:$O$95,15,0)),0,VLOOKUP($U$1998,'TAR FIN'!$A$1:$O$95,15,0))</f>
        <v>199.51</v>
      </c>
      <c r="Y1998" s="6"/>
      <c r="Z1998" s="6">
        <f ca="1">('TUSD BE'!$AM$38+'TUSD BF'!$AM$38+'TUSD CVA'!$AM$38)*(1-CUSTOS!$M$38)</f>
        <v>445.73746261020432</v>
      </c>
      <c r="AA1998" s="6">
        <f>('TE BE'!$AA$26+'TE BF'!$AA$26+'TE CVA'!$AA$26)*(1-CUSTOS!$M$38)</f>
        <v>261.5374640864809</v>
      </c>
      <c r="AB1998" s="6">
        <f>$K$1998*$V$1998</f>
        <v>0</v>
      </c>
      <c r="AC1998" s="6">
        <f>$M$1998*$W$1998</f>
        <v>-397.95448000000005</v>
      </c>
      <c r="AD1998" s="6">
        <f>$O$1998*$X$1998</f>
        <v>-215.07178000000002</v>
      </c>
      <c r="AE1998" s="6">
        <f>$K$1998*$Y$1998</f>
        <v>0</v>
      </c>
      <c r="AF1998" s="6">
        <f ca="1">$M$1998*$Z$1998</f>
        <v>-480.50498469380028</v>
      </c>
      <c r="AG1998" s="6">
        <f>$O$1998*$AA$1998</f>
        <v>-281.93738628522641</v>
      </c>
    </row>
    <row r="1999" spans="1:33" ht="11.25" customHeight="1" x14ac:dyDescent="0.25">
      <c r="A1999" s="4" t="s">
        <v>21</v>
      </c>
      <c r="B1999" s="4" t="s">
        <v>46</v>
      </c>
      <c r="C1999" s="4" t="s">
        <v>23</v>
      </c>
      <c r="D1999" s="4" t="s">
        <v>47</v>
      </c>
      <c r="E1999" s="4" t="s">
        <v>58</v>
      </c>
      <c r="F1999" s="4" t="s">
        <v>56</v>
      </c>
      <c r="G1999" s="4" t="s">
        <v>25</v>
      </c>
      <c r="H1999" s="4" t="s">
        <v>25</v>
      </c>
      <c r="I1999" s="5">
        <v>44440</v>
      </c>
      <c r="J1999" s="6">
        <v>0</v>
      </c>
      <c r="K1999" s="6">
        <v>0</v>
      </c>
      <c r="L1999" s="6">
        <v>18.504999999999999</v>
      </c>
      <c r="M1999" s="6">
        <v>18.504999999999999</v>
      </c>
      <c r="N1999" s="6">
        <v>18.504999999999999</v>
      </c>
      <c r="O1999" s="6">
        <v>18.504999999999999</v>
      </c>
      <c r="P1999" s="6">
        <v>0</v>
      </c>
      <c r="Q1999" s="4" t="s">
        <v>26</v>
      </c>
      <c r="R1999" s="4">
        <v>0</v>
      </c>
      <c r="S1999" s="6">
        <v>0</v>
      </c>
      <c r="T1999" s="6">
        <v>39</v>
      </c>
      <c r="U1999" s="6">
        <v>85</v>
      </c>
      <c r="V1999" s="6">
        <f>IF(ISERROR(VLOOKUP($S$1999,'TAR FIN'!$A$1:$O$95,15,0)),0,VLOOKUP($S$1999,'TAR FIN'!$A$1:$O$95,15,0))</f>
        <v>0</v>
      </c>
      <c r="W1999" s="6">
        <f>IF(ISERROR(VLOOKUP($T$1999,'TAR FIN'!$A$1:$O$95,15,0)),0,VLOOKUP($T$1999,'TAR FIN'!$A$1:$O$95,15,0))</f>
        <v>369.16</v>
      </c>
      <c r="X1999" s="6">
        <f>IF(ISERROR(VLOOKUP($U$1999,'TAR FIN'!$A$1:$O$95,15,0)),0,VLOOKUP($U$1999,'TAR FIN'!$A$1:$O$95,15,0))</f>
        <v>199.51</v>
      </c>
      <c r="Y1999" s="6"/>
      <c r="Z1999" s="6">
        <f ca="1">('TUSD BE'!$AM$38+'TUSD BF'!$AM$38+'TUSD CVA'!$AM$38)*(1-CUSTOS!$M$38)</f>
        <v>445.73746261020432</v>
      </c>
      <c r="AA1999" s="6">
        <f>('TE BE'!$AA$26+'TE BF'!$AA$26+'TE CVA'!$AA$26)*(1-CUSTOS!$M$38)</f>
        <v>261.5374640864809</v>
      </c>
      <c r="AB1999" s="6">
        <f>$K$1999*$V$1999</f>
        <v>0</v>
      </c>
      <c r="AC1999" s="6">
        <f>$M$1999*$W$1999</f>
        <v>6831.3058000000001</v>
      </c>
      <c r="AD1999" s="6">
        <f>$O$1999*$X$1999</f>
        <v>3691.9325499999995</v>
      </c>
      <c r="AE1999" s="6">
        <f>$K$1999*$Y$1999</f>
        <v>0</v>
      </c>
      <c r="AF1999" s="6">
        <f ca="1">$M$1999*$Z$1999</f>
        <v>8248.3717456018312</v>
      </c>
      <c r="AG1999" s="6">
        <f>$O$1999*$AA$1999</f>
        <v>4839.7507729203289</v>
      </c>
    </row>
    <row r="2000" spans="1:33" ht="11.25" customHeight="1" x14ac:dyDescent="0.25">
      <c r="A2000" s="4" t="s">
        <v>27</v>
      </c>
      <c r="B2000" s="4" t="s">
        <v>46</v>
      </c>
      <c r="C2000" s="4" t="s">
        <v>23</v>
      </c>
      <c r="D2000" s="4" t="s">
        <v>47</v>
      </c>
      <c r="E2000" s="4" t="s">
        <v>58</v>
      </c>
      <c r="F2000" s="4" t="s">
        <v>56</v>
      </c>
      <c r="G2000" s="4" t="s">
        <v>25</v>
      </c>
      <c r="H2000" s="4" t="s">
        <v>25</v>
      </c>
      <c r="I2000" s="5">
        <v>44440</v>
      </c>
      <c r="J2000" s="6">
        <v>0</v>
      </c>
      <c r="K2000" s="6">
        <v>0</v>
      </c>
      <c r="L2000" s="6">
        <v>-1.9710000000000001</v>
      </c>
      <c r="M2000" s="6">
        <v>-1.9710000000000001</v>
      </c>
      <c r="N2000" s="6">
        <v>-1.9710000000000001</v>
      </c>
      <c r="O2000" s="6">
        <v>-1.9710000000000001</v>
      </c>
      <c r="P2000" s="6">
        <v>0</v>
      </c>
      <c r="Q2000" s="4" t="s">
        <v>26</v>
      </c>
      <c r="R2000" s="4">
        <v>0</v>
      </c>
      <c r="S2000" s="6">
        <v>0</v>
      </c>
      <c r="T2000" s="6">
        <v>39</v>
      </c>
      <c r="U2000" s="6">
        <v>85</v>
      </c>
      <c r="V2000" s="6">
        <f>IF(ISERROR(VLOOKUP($S$2000,'TAR FIN'!$A$1:$O$95,15,0)),0,VLOOKUP($S$2000,'TAR FIN'!$A$1:$O$95,15,0))</f>
        <v>0</v>
      </c>
      <c r="W2000" s="6">
        <f>IF(ISERROR(VLOOKUP($T$2000,'TAR FIN'!$A$1:$O$95,15,0)),0,VLOOKUP($T$2000,'TAR FIN'!$A$1:$O$95,15,0))</f>
        <v>369.16</v>
      </c>
      <c r="X2000" s="6">
        <f>IF(ISERROR(VLOOKUP($U$2000,'TAR FIN'!$A$1:$O$95,15,0)),0,VLOOKUP($U$2000,'TAR FIN'!$A$1:$O$95,15,0))</f>
        <v>199.51</v>
      </c>
      <c r="Y2000" s="6"/>
      <c r="Z2000" s="6">
        <f ca="1">('TUSD BE'!$AM$38+'TUSD BF'!$AM$38+'TUSD CVA'!$AM$38)*(1-CUSTOS!$M$38)</f>
        <v>445.73746261020432</v>
      </c>
      <c r="AA2000" s="6">
        <f>('TE BE'!$AA$26+'TE BF'!$AA$26+'TE CVA'!$AA$26)*(1-CUSTOS!$M$38)</f>
        <v>261.5374640864809</v>
      </c>
      <c r="AB2000" s="6">
        <f>$K$2000*$V$2000</f>
        <v>0</v>
      </c>
      <c r="AC2000" s="6">
        <f>$M$2000*$W$2000</f>
        <v>-727.61436000000003</v>
      </c>
      <c r="AD2000" s="6">
        <f>$O$2000*$X$2000</f>
        <v>-393.23421000000002</v>
      </c>
      <c r="AE2000" s="6">
        <f>$K$2000*$Y$2000</f>
        <v>0</v>
      </c>
      <c r="AF2000" s="6">
        <f ca="1">$M$2000*$Z$2000</f>
        <v>-878.54853880471273</v>
      </c>
      <c r="AG2000" s="6">
        <f>$O$2000*$AA$2000</f>
        <v>-515.49034171445385</v>
      </c>
    </row>
    <row r="2001" spans="1:33" ht="11.25" customHeight="1" x14ac:dyDescent="0.25">
      <c r="A2001" s="4" t="s">
        <v>28</v>
      </c>
      <c r="B2001" s="4" t="s">
        <v>46</v>
      </c>
      <c r="C2001" s="4" t="s">
        <v>23</v>
      </c>
      <c r="D2001" s="4" t="s">
        <v>47</v>
      </c>
      <c r="E2001" s="4" t="s">
        <v>58</v>
      </c>
      <c r="F2001" s="4" t="s">
        <v>56</v>
      </c>
      <c r="G2001" s="4" t="s">
        <v>25</v>
      </c>
      <c r="H2001" s="4" t="s">
        <v>25</v>
      </c>
      <c r="I2001" s="5">
        <v>44440</v>
      </c>
      <c r="J2001" s="6">
        <v>0</v>
      </c>
      <c r="K2001" s="6">
        <v>0</v>
      </c>
      <c r="L2001" s="6">
        <v>26.731999999999999</v>
      </c>
      <c r="M2001" s="6">
        <v>26.731999999999999</v>
      </c>
      <c r="N2001" s="6">
        <v>26.731999999999999</v>
      </c>
      <c r="O2001" s="6">
        <v>26.731999999999999</v>
      </c>
      <c r="P2001" s="6">
        <v>0</v>
      </c>
      <c r="Q2001" s="4" t="s">
        <v>26</v>
      </c>
      <c r="R2001" s="4">
        <v>0</v>
      </c>
      <c r="S2001" s="6">
        <v>0</v>
      </c>
      <c r="T2001" s="6">
        <v>39</v>
      </c>
      <c r="U2001" s="6">
        <v>85</v>
      </c>
      <c r="V2001" s="6">
        <f>IF(ISERROR(VLOOKUP($S$2001,'TAR FIN'!$A$1:$O$95,15,0)),0,VLOOKUP($S$2001,'TAR FIN'!$A$1:$O$95,15,0))</f>
        <v>0</v>
      </c>
      <c r="W2001" s="6">
        <f>IF(ISERROR(VLOOKUP($T$2001,'TAR FIN'!$A$1:$O$95,15,0)),0,VLOOKUP($T$2001,'TAR FIN'!$A$1:$O$95,15,0))</f>
        <v>369.16</v>
      </c>
      <c r="X2001" s="6">
        <f>IF(ISERROR(VLOOKUP($U$2001,'TAR FIN'!$A$1:$O$95,15,0)),0,VLOOKUP($U$2001,'TAR FIN'!$A$1:$O$95,15,0))</f>
        <v>199.51</v>
      </c>
      <c r="Y2001" s="6"/>
      <c r="Z2001" s="6">
        <f ca="1">('TUSD BE'!$AM$38+'TUSD BF'!$AM$38+'TUSD CVA'!$AM$38)*(1-CUSTOS!$M$38)</f>
        <v>445.73746261020432</v>
      </c>
      <c r="AA2001" s="6">
        <f>('TE BE'!$AA$26+'TE BF'!$AA$26+'TE CVA'!$AA$26)*(1-CUSTOS!$M$38)</f>
        <v>261.5374640864809</v>
      </c>
      <c r="AB2001" s="6">
        <f>$K$2001*$V$2001</f>
        <v>0</v>
      </c>
      <c r="AC2001" s="6">
        <f>$M$2001*$W$2001</f>
        <v>9868.3851200000008</v>
      </c>
      <c r="AD2001" s="6">
        <f>$O$2001*$X$2001</f>
        <v>5333.3013199999996</v>
      </c>
      <c r="AE2001" s="6">
        <f>$K$2001*$Y$2001</f>
        <v>0</v>
      </c>
      <c r="AF2001" s="6">
        <f ca="1">$M$2001*$Z$2001</f>
        <v>11915.453850495982</v>
      </c>
      <c r="AG2001" s="6">
        <f>$O$2001*$AA$2001</f>
        <v>6991.4194899598069</v>
      </c>
    </row>
    <row r="2002" spans="1:33" ht="11.25" customHeight="1" x14ac:dyDescent="0.25">
      <c r="A2002" s="4" t="s">
        <v>59</v>
      </c>
      <c r="B2002" s="4" t="s">
        <v>46</v>
      </c>
      <c r="C2002" s="4" t="s">
        <v>23</v>
      </c>
      <c r="D2002" s="4" t="s">
        <v>47</v>
      </c>
      <c r="E2002" s="4" t="s">
        <v>58</v>
      </c>
      <c r="F2002" s="4" t="s">
        <v>56</v>
      </c>
      <c r="G2002" s="4" t="s">
        <v>25</v>
      </c>
      <c r="H2002" s="4" t="s">
        <v>25</v>
      </c>
      <c r="I2002" s="5">
        <v>44470</v>
      </c>
      <c r="J2002" s="6">
        <v>0</v>
      </c>
      <c r="K2002" s="6">
        <v>0</v>
      </c>
      <c r="L2002" s="6">
        <v>18.504999999999999</v>
      </c>
      <c r="M2002" s="6">
        <v>18.504999999999999</v>
      </c>
      <c r="N2002" s="6">
        <v>18.504999999999999</v>
      </c>
      <c r="O2002" s="6">
        <v>18.504999999999999</v>
      </c>
      <c r="P2002" s="6">
        <v>0</v>
      </c>
      <c r="Q2002" s="4" t="s">
        <v>26</v>
      </c>
      <c r="R2002" s="4">
        <v>0</v>
      </c>
      <c r="S2002" s="6">
        <v>0</v>
      </c>
      <c r="T2002" s="6">
        <v>39</v>
      </c>
      <c r="U2002" s="6">
        <v>85</v>
      </c>
      <c r="V2002" s="6">
        <f>IF(ISERROR(VLOOKUP($S$2002,'TAR FIN'!$A$1:$O$95,15,0)),0,VLOOKUP($S$2002,'TAR FIN'!$A$1:$O$95,15,0))</f>
        <v>0</v>
      </c>
      <c r="W2002" s="6">
        <f>IF(ISERROR(VLOOKUP($T$2002,'TAR FIN'!$A$1:$O$95,15,0)),0,VLOOKUP($T$2002,'TAR FIN'!$A$1:$O$95,15,0))</f>
        <v>369.16</v>
      </c>
      <c r="X2002" s="6">
        <f>IF(ISERROR(VLOOKUP($U$2002,'TAR FIN'!$A$1:$O$95,15,0)),0,VLOOKUP($U$2002,'TAR FIN'!$A$1:$O$95,15,0))</f>
        <v>199.51</v>
      </c>
      <c r="Y2002" s="6"/>
      <c r="Z2002" s="6">
        <f ca="1">('TUSD BE'!$AM$38+'TUSD BF'!$AM$38+'TUSD CVA'!$AM$38)*(1-CUSTOS!$M$38)</f>
        <v>445.73746261020432</v>
      </c>
      <c r="AA2002" s="6">
        <f>('TE BE'!$AA$26+'TE BF'!$AA$26+'TE CVA'!$AA$26)*(1-CUSTOS!$M$38)</f>
        <v>261.5374640864809</v>
      </c>
      <c r="AB2002" s="6">
        <f>$K$2002*$V$2002</f>
        <v>0</v>
      </c>
      <c r="AC2002" s="6">
        <f>$M$2002*$W$2002</f>
        <v>6831.3058000000001</v>
      </c>
      <c r="AD2002" s="6">
        <f>$O$2002*$X$2002</f>
        <v>3691.9325499999995</v>
      </c>
      <c r="AE2002" s="6">
        <f>$K$2002*$Y$2002</f>
        <v>0</v>
      </c>
      <c r="AF2002" s="6">
        <f ca="1">$M$2002*$Z$2002</f>
        <v>8248.3717456018312</v>
      </c>
      <c r="AG2002" s="6">
        <f>$O$2002*$AA$2002</f>
        <v>4839.7507729203289</v>
      </c>
    </row>
    <row r="2003" spans="1:33" ht="11.25" customHeight="1" x14ac:dyDescent="0.25">
      <c r="A2003" s="4" t="s">
        <v>59</v>
      </c>
      <c r="B2003" s="4" t="s">
        <v>46</v>
      </c>
      <c r="C2003" s="4" t="s">
        <v>23</v>
      </c>
      <c r="D2003" s="4" t="s">
        <v>47</v>
      </c>
      <c r="E2003" s="4" t="s">
        <v>58</v>
      </c>
      <c r="F2003" s="4" t="s">
        <v>56</v>
      </c>
      <c r="G2003" s="4" t="s">
        <v>25</v>
      </c>
      <c r="H2003" s="4" t="s">
        <v>25</v>
      </c>
      <c r="I2003" s="5">
        <v>44470</v>
      </c>
      <c r="J2003" s="6">
        <v>0</v>
      </c>
      <c r="K2003" s="6">
        <v>0</v>
      </c>
      <c r="L2003" s="6">
        <v>-1.9710000000000001</v>
      </c>
      <c r="M2003" s="6">
        <v>-1.9710000000000001</v>
      </c>
      <c r="N2003" s="6">
        <v>-1.9710000000000001</v>
      </c>
      <c r="O2003" s="6">
        <v>-1.9710000000000001</v>
      </c>
      <c r="P2003" s="6">
        <v>0</v>
      </c>
      <c r="Q2003" s="4" t="s">
        <v>26</v>
      </c>
      <c r="R2003" s="4">
        <v>0</v>
      </c>
      <c r="S2003" s="6">
        <v>0</v>
      </c>
      <c r="T2003" s="6">
        <v>39</v>
      </c>
      <c r="U2003" s="6">
        <v>85</v>
      </c>
      <c r="V2003" s="6">
        <f>IF(ISERROR(VLOOKUP($S$2003,'TAR FIN'!$A$1:$O$95,15,0)),0,VLOOKUP($S$2003,'TAR FIN'!$A$1:$O$95,15,0))</f>
        <v>0</v>
      </c>
      <c r="W2003" s="6">
        <f>IF(ISERROR(VLOOKUP($T$2003,'TAR FIN'!$A$1:$O$95,15,0)),0,VLOOKUP($T$2003,'TAR FIN'!$A$1:$O$95,15,0))</f>
        <v>369.16</v>
      </c>
      <c r="X2003" s="6">
        <f>IF(ISERROR(VLOOKUP($U$2003,'TAR FIN'!$A$1:$O$95,15,0)),0,VLOOKUP($U$2003,'TAR FIN'!$A$1:$O$95,15,0))</f>
        <v>199.51</v>
      </c>
      <c r="Y2003" s="6"/>
      <c r="Z2003" s="6">
        <f ca="1">('TUSD BE'!$AM$38+'TUSD BF'!$AM$38+'TUSD CVA'!$AM$38)*(1-CUSTOS!$M$38)</f>
        <v>445.73746261020432</v>
      </c>
      <c r="AA2003" s="6">
        <f>('TE BE'!$AA$26+'TE BF'!$AA$26+'TE CVA'!$AA$26)*(1-CUSTOS!$M$38)</f>
        <v>261.5374640864809</v>
      </c>
      <c r="AB2003" s="6">
        <f>$K$2003*$V$2003</f>
        <v>0</v>
      </c>
      <c r="AC2003" s="6">
        <f>$M$2003*$W$2003</f>
        <v>-727.61436000000003</v>
      </c>
      <c r="AD2003" s="6">
        <f>$O$2003*$X$2003</f>
        <v>-393.23421000000002</v>
      </c>
      <c r="AE2003" s="6">
        <f>$K$2003*$Y$2003</f>
        <v>0</v>
      </c>
      <c r="AF2003" s="6">
        <f ca="1">$M$2003*$Z$2003</f>
        <v>-878.54853880471273</v>
      </c>
      <c r="AG2003" s="6">
        <f>$O$2003*$AA$2003</f>
        <v>-515.49034171445385</v>
      </c>
    </row>
    <row r="2004" spans="1:33" ht="11.25" customHeight="1" x14ac:dyDescent="0.25">
      <c r="A2004" s="4" t="s">
        <v>59</v>
      </c>
      <c r="B2004" s="4" t="s">
        <v>46</v>
      </c>
      <c r="C2004" s="4" t="s">
        <v>23</v>
      </c>
      <c r="D2004" s="4" t="s">
        <v>47</v>
      </c>
      <c r="E2004" s="4" t="s">
        <v>58</v>
      </c>
      <c r="F2004" s="4" t="s">
        <v>56</v>
      </c>
      <c r="G2004" s="4" t="s">
        <v>25</v>
      </c>
      <c r="H2004" s="4" t="s">
        <v>25</v>
      </c>
      <c r="I2004" s="5">
        <v>44470</v>
      </c>
      <c r="J2004" s="6">
        <v>0</v>
      </c>
      <c r="K2004" s="6">
        <v>0</v>
      </c>
      <c r="L2004" s="6">
        <v>26.731999999999999</v>
      </c>
      <c r="M2004" s="6">
        <v>26.731999999999999</v>
      </c>
      <c r="N2004" s="6">
        <v>26.731999999999999</v>
      </c>
      <c r="O2004" s="6">
        <v>26.731999999999999</v>
      </c>
      <c r="P2004" s="6">
        <v>0</v>
      </c>
      <c r="Q2004" s="4" t="s">
        <v>26</v>
      </c>
      <c r="R2004" s="4">
        <v>0</v>
      </c>
      <c r="S2004" s="6">
        <v>0</v>
      </c>
      <c r="T2004" s="6">
        <v>39</v>
      </c>
      <c r="U2004" s="6">
        <v>85</v>
      </c>
      <c r="V2004" s="6">
        <f>IF(ISERROR(VLOOKUP($S$2004,'TAR FIN'!$A$1:$O$95,15,0)),0,VLOOKUP($S$2004,'TAR FIN'!$A$1:$O$95,15,0))</f>
        <v>0</v>
      </c>
      <c r="W2004" s="6">
        <f>IF(ISERROR(VLOOKUP($T$2004,'TAR FIN'!$A$1:$O$95,15,0)),0,VLOOKUP($T$2004,'TAR FIN'!$A$1:$O$95,15,0))</f>
        <v>369.16</v>
      </c>
      <c r="X2004" s="6">
        <f>IF(ISERROR(VLOOKUP($U$2004,'TAR FIN'!$A$1:$O$95,15,0)),0,VLOOKUP($U$2004,'TAR FIN'!$A$1:$O$95,15,0))</f>
        <v>199.51</v>
      </c>
      <c r="Y2004" s="6"/>
      <c r="Z2004" s="6">
        <f ca="1">('TUSD BE'!$AM$38+'TUSD BF'!$AM$38+'TUSD CVA'!$AM$38)*(1-CUSTOS!$M$38)</f>
        <v>445.73746261020432</v>
      </c>
      <c r="AA2004" s="6">
        <f>('TE BE'!$AA$26+'TE BF'!$AA$26+'TE CVA'!$AA$26)*(1-CUSTOS!$M$38)</f>
        <v>261.5374640864809</v>
      </c>
      <c r="AB2004" s="6">
        <f>$K$2004*$V$2004</f>
        <v>0</v>
      </c>
      <c r="AC2004" s="6">
        <f>$M$2004*$W$2004</f>
        <v>9868.3851200000008</v>
      </c>
      <c r="AD2004" s="6">
        <f>$O$2004*$X$2004</f>
        <v>5333.3013199999996</v>
      </c>
      <c r="AE2004" s="6">
        <f>$K$2004*$Y$2004</f>
        <v>0</v>
      </c>
      <c r="AF2004" s="6">
        <f ca="1">$M$2004*$Z$2004</f>
        <v>11915.453850495982</v>
      </c>
      <c r="AG2004" s="6">
        <f>$O$2004*$AA$2004</f>
        <v>6991.4194899598069</v>
      </c>
    </row>
    <row r="2005" spans="1:33" ht="11.25" customHeight="1" x14ac:dyDescent="0.25">
      <c r="A2005" s="4" t="s">
        <v>21</v>
      </c>
      <c r="B2005" s="4" t="s">
        <v>46</v>
      </c>
      <c r="C2005" s="4" t="s">
        <v>23</v>
      </c>
      <c r="D2005" s="4" t="s">
        <v>47</v>
      </c>
      <c r="E2005" s="4" t="s">
        <v>58</v>
      </c>
      <c r="F2005" s="4" t="s">
        <v>57</v>
      </c>
      <c r="G2005" s="4" t="s">
        <v>25</v>
      </c>
      <c r="H2005" s="4" t="s">
        <v>25</v>
      </c>
      <c r="I2005" s="5">
        <v>44317</v>
      </c>
      <c r="J2005" s="6">
        <v>0</v>
      </c>
      <c r="K2005" s="6">
        <v>0</v>
      </c>
      <c r="L2005" s="6">
        <v>3.2349999999999999</v>
      </c>
      <c r="M2005" s="6">
        <v>1.06755</v>
      </c>
      <c r="N2005" s="6">
        <v>3.2349999999999999</v>
      </c>
      <c r="O2005" s="6">
        <v>1.06755</v>
      </c>
      <c r="P2005" s="6">
        <v>0</v>
      </c>
      <c r="Q2005" s="4" t="s">
        <v>26</v>
      </c>
      <c r="R2005" s="4">
        <v>0</v>
      </c>
      <c r="S2005" s="6">
        <v>0</v>
      </c>
      <c r="T2005" s="6">
        <v>39</v>
      </c>
      <c r="U2005" s="6">
        <v>85</v>
      </c>
      <c r="V2005" s="6">
        <f>IF(ISERROR(VLOOKUP($S$2005,'TAR FIN'!$A$1:$O$95,15,0)),0,VLOOKUP($S$2005,'TAR FIN'!$A$1:$O$95,15,0))</f>
        <v>0</v>
      </c>
      <c r="W2005" s="6">
        <f>IF(ISERROR(VLOOKUP($T$2005,'TAR FIN'!$A$1:$O$95,15,0)),0,VLOOKUP($T$2005,'TAR FIN'!$A$1:$O$95,15,0))</f>
        <v>369.16</v>
      </c>
      <c r="X2005" s="6">
        <f>IF(ISERROR(VLOOKUP($U$2005,'TAR FIN'!$A$1:$O$95,15,0)),0,VLOOKUP($U$2005,'TAR FIN'!$A$1:$O$95,15,0))</f>
        <v>199.51</v>
      </c>
      <c r="Y2005" s="6"/>
      <c r="Z2005" s="6">
        <f ca="1">('TUSD BE'!$AM$38+'TUSD BF'!$AM$38+'TUSD CVA'!$AM$38)*(1-CUSTOS!$M$38)</f>
        <v>445.73746261020432</v>
      </c>
      <c r="AA2005" s="6">
        <f>('TE BE'!$AA$26+'TE BF'!$AA$26+'TE CVA'!$AA$26)*(1-CUSTOS!$M$38)</f>
        <v>261.5374640864809</v>
      </c>
      <c r="AB2005" s="6">
        <f>$K$2005*$V$2005</f>
        <v>0</v>
      </c>
      <c r="AC2005" s="6">
        <f>$M$2005*$W$2005</f>
        <v>394.09675800000002</v>
      </c>
      <c r="AD2005" s="6">
        <f>$O$2005*$X$2005</f>
        <v>212.98690049999999</v>
      </c>
      <c r="AE2005" s="6">
        <f>$K$2005*$Y$2005</f>
        <v>0</v>
      </c>
      <c r="AF2005" s="6">
        <f ca="1">$M$2005*$Z$2005</f>
        <v>475.84702820952361</v>
      </c>
      <c r="AG2005" s="6">
        <f>$O$2005*$AA$2005</f>
        <v>279.20431978552267</v>
      </c>
    </row>
    <row r="2006" spans="1:33" ht="11.25" customHeight="1" x14ac:dyDescent="0.25">
      <c r="A2006" s="4" t="s">
        <v>27</v>
      </c>
      <c r="B2006" s="4" t="s">
        <v>46</v>
      </c>
      <c r="C2006" s="4" t="s">
        <v>23</v>
      </c>
      <c r="D2006" s="4" t="s">
        <v>47</v>
      </c>
      <c r="E2006" s="4" t="s">
        <v>58</v>
      </c>
      <c r="F2006" s="4" t="s">
        <v>57</v>
      </c>
      <c r="G2006" s="4" t="s">
        <v>25</v>
      </c>
      <c r="H2006" s="4" t="s">
        <v>25</v>
      </c>
      <c r="I2006" s="5">
        <v>44317</v>
      </c>
      <c r="J2006" s="6">
        <v>0</v>
      </c>
      <c r="K2006" s="6">
        <v>0</v>
      </c>
      <c r="L2006" s="6">
        <v>1.028</v>
      </c>
      <c r="M2006" s="6">
        <v>0.33923999999999999</v>
      </c>
      <c r="N2006" s="6">
        <v>1.028</v>
      </c>
      <c r="O2006" s="6">
        <v>0.33923999999999999</v>
      </c>
      <c r="P2006" s="6">
        <v>0</v>
      </c>
      <c r="Q2006" s="4" t="s">
        <v>26</v>
      </c>
      <c r="R2006" s="4">
        <v>0</v>
      </c>
      <c r="S2006" s="6">
        <v>0</v>
      </c>
      <c r="T2006" s="6">
        <v>39</v>
      </c>
      <c r="U2006" s="6">
        <v>85</v>
      </c>
      <c r="V2006" s="6">
        <f>IF(ISERROR(VLOOKUP($S$2006,'TAR FIN'!$A$1:$O$95,15,0)),0,VLOOKUP($S$2006,'TAR FIN'!$A$1:$O$95,15,0))</f>
        <v>0</v>
      </c>
      <c r="W2006" s="6">
        <f>IF(ISERROR(VLOOKUP($T$2006,'TAR FIN'!$A$1:$O$95,15,0)),0,VLOOKUP($T$2006,'TAR FIN'!$A$1:$O$95,15,0))</f>
        <v>369.16</v>
      </c>
      <c r="X2006" s="6">
        <f>IF(ISERROR(VLOOKUP($U$2006,'TAR FIN'!$A$1:$O$95,15,0)),0,VLOOKUP($U$2006,'TAR FIN'!$A$1:$O$95,15,0))</f>
        <v>199.51</v>
      </c>
      <c r="Y2006" s="6"/>
      <c r="Z2006" s="6">
        <f ca="1">('TUSD BE'!$AM$38+'TUSD BF'!$AM$38+'TUSD CVA'!$AM$38)*(1-CUSTOS!$M$38)</f>
        <v>445.73746261020432</v>
      </c>
      <c r="AA2006" s="6">
        <f>('TE BE'!$AA$26+'TE BF'!$AA$26+'TE CVA'!$AA$26)*(1-CUSTOS!$M$38)</f>
        <v>261.5374640864809</v>
      </c>
      <c r="AB2006" s="6">
        <f>$K$2006*$V$2006</f>
        <v>0</v>
      </c>
      <c r="AC2006" s="6">
        <f>$M$2006*$W$2006</f>
        <v>125.2338384</v>
      </c>
      <c r="AD2006" s="6">
        <f>$O$2006*$X$2006</f>
        <v>67.6817724</v>
      </c>
      <c r="AE2006" s="6">
        <f>$K$2006*$Y$2006</f>
        <v>0</v>
      </c>
      <c r="AF2006" s="6">
        <f ca="1">$M$2006*$Z$2006</f>
        <v>151.21197681588572</v>
      </c>
      <c r="AG2006" s="6">
        <f>$O$2006*$AA$2006</f>
        <v>88.723969316697776</v>
      </c>
    </row>
    <row r="2007" spans="1:33" ht="11.25" customHeight="1" x14ac:dyDescent="0.25">
      <c r="A2007" s="4" t="s">
        <v>28</v>
      </c>
      <c r="B2007" s="4" t="s">
        <v>46</v>
      </c>
      <c r="C2007" s="4" t="s">
        <v>23</v>
      </c>
      <c r="D2007" s="4" t="s">
        <v>47</v>
      </c>
      <c r="E2007" s="4" t="s">
        <v>58</v>
      </c>
      <c r="F2007" s="4" t="s">
        <v>57</v>
      </c>
      <c r="G2007" s="4" t="s">
        <v>25</v>
      </c>
      <c r="H2007" s="4" t="s">
        <v>25</v>
      </c>
      <c r="I2007" s="5">
        <v>44317</v>
      </c>
      <c r="J2007" s="6">
        <v>0</v>
      </c>
      <c r="K2007" s="6">
        <v>0</v>
      </c>
      <c r="L2007" s="6">
        <v>13.019</v>
      </c>
      <c r="M2007" s="6">
        <v>4.2962699999999998</v>
      </c>
      <c r="N2007" s="6">
        <v>13.019</v>
      </c>
      <c r="O2007" s="6">
        <v>4.2962699999999998</v>
      </c>
      <c r="P2007" s="6">
        <v>0</v>
      </c>
      <c r="Q2007" s="4" t="s">
        <v>26</v>
      </c>
      <c r="R2007" s="4">
        <v>0</v>
      </c>
      <c r="S2007" s="6">
        <v>0</v>
      </c>
      <c r="T2007" s="6">
        <v>39</v>
      </c>
      <c r="U2007" s="6">
        <v>85</v>
      </c>
      <c r="V2007" s="6">
        <f>IF(ISERROR(VLOOKUP($S$2007,'TAR FIN'!$A$1:$O$95,15,0)),0,VLOOKUP($S$2007,'TAR FIN'!$A$1:$O$95,15,0))</f>
        <v>0</v>
      </c>
      <c r="W2007" s="6">
        <f>IF(ISERROR(VLOOKUP($T$2007,'TAR FIN'!$A$1:$O$95,15,0)),0,VLOOKUP($T$2007,'TAR FIN'!$A$1:$O$95,15,0))</f>
        <v>369.16</v>
      </c>
      <c r="X2007" s="6">
        <f>IF(ISERROR(VLOOKUP($U$2007,'TAR FIN'!$A$1:$O$95,15,0)),0,VLOOKUP($U$2007,'TAR FIN'!$A$1:$O$95,15,0))</f>
        <v>199.51</v>
      </c>
      <c r="Y2007" s="6"/>
      <c r="Z2007" s="6">
        <f ca="1">('TUSD BE'!$AM$38+'TUSD BF'!$AM$38+'TUSD CVA'!$AM$38)*(1-CUSTOS!$M$38)</f>
        <v>445.73746261020432</v>
      </c>
      <c r="AA2007" s="6">
        <f>('TE BE'!$AA$26+'TE BF'!$AA$26+'TE CVA'!$AA$26)*(1-CUSTOS!$M$38)</f>
        <v>261.5374640864809</v>
      </c>
      <c r="AB2007" s="6">
        <f>$K$2007*$V$2007</f>
        <v>0</v>
      </c>
      <c r="AC2007" s="6">
        <f>$M$2007*$W$2007</f>
        <v>1586.0110331999999</v>
      </c>
      <c r="AD2007" s="6">
        <f>$O$2007*$X$2007</f>
        <v>857.14882769999997</v>
      </c>
      <c r="AE2007" s="6">
        <f>$K$2007*$Y$2007</f>
        <v>0</v>
      </c>
      <c r="AF2007" s="6">
        <f ca="1">$M$2007*$Z$2007</f>
        <v>1915.0084884883424</v>
      </c>
      <c r="AG2007" s="6">
        <f>$O$2007*$AA$2007</f>
        <v>1123.6355608308252</v>
      </c>
    </row>
    <row r="2008" spans="1:33" ht="11.25" customHeight="1" x14ac:dyDescent="0.25">
      <c r="A2008" s="4" t="s">
        <v>29</v>
      </c>
      <c r="B2008" s="4" t="s">
        <v>46</v>
      </c>
      <c r="C2008" s="4" t="s">
        <v>23</v>
      </c>
      <c r="D2008" s="4" t="s">
        <v>47</v>
      </c>
      <c r="E2008" s="4" t="s">
        <v>58</v>
      </c>
      <c r="F2008" s="4" t="s">
        <v>57</v>
      </c>
      <c r="G2008" s="4" t="s">
        <v>25</v>
      </c>
      <c r="H2008" s="4" t="s">
        <v>25</v>
      </c>
      <c r="I2008" s="5">
        <v>44317</v>
      </c>
      <c r="J2008" s="6">
        <v>0</v>
      </c>
      <c r="K2008" s="6">
        <v>0</v>
      </c>
      <c r="L2008" s="6">
        <v>0.442</v>
      </c>
      <c r="M2008" s="6">
        <v>0.14585999999999999</v>
      </c>
      <c r="N2008" s="6">
        <v>0.442</v>
      </c>
      <c r="O2008" s="6">
        <v>0.14585999999999999</v>
      </c>
      <c r="P2008" s="6">
        <v>0</v>
      </c>
      <c r="Q2008" s="4" t="s">
        <v>26</v>
      </c>
      <c r="R2008" s="4">
        <v>0</v>
      </c>
      <c r="S2008" s="6">
        <v>0</v>
      </c>
      <c r="T2008" s="6">
        <v>39</v>
      </c>
      <c r="U2008" s="6">
        <v>85</v>
      </c>
      <c r="V2008" s="6">
        <f>IF(ISERROR(VLOOKUP($S$2008,'TAR FIN'!$A$1:$O$95,15,0)),0,VLOOKUP($S$2008,'TAR FIN'!$A$1:$O$95,15,0))</f>
        <v>0</v>
      </c>
      <c r="W2008" s="6">
        <f>IF(ISERROR(VLOOKUP($T$2008,'TAR FIN'!$A$1:$O$95,15,0)),0,VLOOKUP($T$2008,'TAR FIN'!$A$1:$O$95,15,0))</f>
        <v>369.16</v>
      </c>
      <c r="X2008" s="6">
        <f>IF(ISERROR(VLOOKUP($U$2008,'TAR FIN'!$A$1:$O$95,15,0)),0,VLOOKUP($U$2008,'TAR FIN'!$A$1:$O$95,15,0))</f>
        <v>199.51</v>
      </c>
      <c r="Y2008" s="6"/>
      <c r="Z2008" s="6">
        <f ca="1">('TUSD BE'!$AM$38+'TUSD BF'!$AM$38+'TUSD CVA'!$AM$38)*(1-CUSTOS!$M$38)</f>
        <v>445.73746261020432</v>
      </c>
      <c r="AA2008" s="6">
        <f>('TE BE'!$AA$26+'TE BF'!$AA$26+'TE CVA'!$AA$26)*(1-CUSTOS!$M$38)</f>
        <v>261.5374640864809</v>
      </c>
      <c r="AB2008" s="6">
        <f>$K$2008*$V$2008</f>
        <v>0</v>
      </c>
      <c r="AC2008" s="6">
        <f>$M$2008*$W$2008</f>
        <v>53.845677600000002</v>
      </c>
      <c r="AD2008" s="6">
        <f>$O$2008*$X$2008</f>
        <v>29.100528599999997</v>
      </c>
      <c r="AE2008" s="6">
        <f>$K$2008*$Y$2008</f>
        <v>0</v>
      </c>
      <c r="AF2008" s="6">
        <f ca="1">$M$2008*$Z$2008</f>
        <v>65.015266296324398</v>
      </c>
      <c r="AG2008" s="6">
        <f>$O$2008*$AA$2008</f>
        <v>38.147854511654103</v>
      </c>
    </row>
    <row r="2009" spans="1:33" ht="11.25" customHeight="1" x14ac:dyDescent="0.25">
      <c r="A2009" s="4" t="s">
        <v>21</v>
      </c>
      <c r="B2009" s="4" t="s">
        <v>46</v>
      </c>
      <c r="C2009" s="4" t="s">
        <v>23</v>
      </c>
      <c r="D2009" s="4" t="s">
        <v>47</v>
      </c>
      <c r="E2009" s="4" t="s">
        <v>58</v>
      </c>
      <c r="F2009" s="4" t="s">
        <v>57</v>
      </c>
      <c r="G2009" s="4" t="s">
        <v>25</v>
      </c>
      <c r="H2009" s="4" t="s">
        <v>25</v>
      </c>
      <c r="I2009" s="5">
        <v>44348</v>
      </c>
      <c r="J2009" s="6">
        <v>0</v>
      </c>
      <c r="K2009" s="6">
        <v>0</v>
      </c>
      <c r="L2009" s="6">
        <v>6.3869999999999996</v>
      </c>
      <c r="M2009" s="6">
        <v>2.10771</v>
      </c>
      <c r="N2009" s="6">
        <v>6.3869999999999996</v>
      </c>
      <c r="O2009" s="6">
        <v>2.10771</v>
      </c>
      <c r="P2009" s="6">
        <v>0</v>
      </c>
      <c r="Q2009" s="4" t="s">
        <v>26</v>
      </c>
      <c r="R2009" s="4">
        <v>0</v>
      </c>
      <c r="S2009" s="6">
        <v>0</v>
      </c>
      <c r="T2009" s="6">
        <v>39</v>
      </c>
      <c r="U2009" s="6">
        <v>85</v>
      </c>
      <c r="V2009" s="6">
        <f>IF(ISERROR(VLOOKUP($S$2009,'TAR FIN'!$A$1:$O$95,15,0)),0,VLOOKUP($S$2009,'TAR FIN'!$A$1:$O$95,15,0))</f>
        <v>0</v>
      </c>
      <c r="W2009" s="6">
        <f>IF(ISERROR(VLOOKUP($T$2009,'TAR FIN'!$A$1:$O$95,15,0)),0,VLOOKUP($T$2009,'TAR FIN'!$A$1:$O$95,15,0))</f>
        <v>369.16</v>
      </c>
      <c r="X2009" s="6">
        <f>IF(ISERROR(VLOOKUP($U$2009,'TAR FIN'!$A$1:$O$95,15,0)),0,VLOOKUP($U$2009,'TAR FIN'!$A$1:$O$95,15,0))</f>
        <v>199.51</v>
      </c>
      <c r="Y2009" s="6"/>
      <c r="Z2009" s="6">
        <f ca="1">('TUSD BE'!$AM$38+'TUSD BF'!$AM$38+'TUSD CVA'!$AM$38)*(1-CUSTOS!$M$38)</f>
        <v>445.73746261020432</v>
      </c>
      <c r="AA2009" s="6">
        <f>('TE BE'!$AA$26+'TE BF'!$AA$26+'TE CVA'!$AA$26)*(1-CUSTOS!$M$38)</f>
        <v>261.5374640864809</v>
      </c>
      <c r="AB2009" s="6">
        <f>$K$2009*$V$2009</f>
        <v>0</v>
      </c>
      <c r="AC2009" s="6">
        <f>$M$2009*$W$2009</f>
        <v>778.08222360000002</v>
      </c>
      <c r="AD2009" s="6">
        <f>$O$2009*$X$2009</f>
        <v>420.50922209999999</v>
      </c>
      <c r="AE2009" s="6">
        <f>$K$2009*$Y$2009</f>
        <v>0</v>
      </c>
      <c r="AF2009" s="6">
        <f ca="1">$M$2009*$Z$2009</f>
        <v>939.48530731815379</v>
      </c>
      <c r="AG2009" s="6">
        <f>$O$2009*$AA$2009</f>
        <v>551.2451284297166</v>
      </c>
    </row>
    <row r="2010" spans="1:33" ht="11.25" customHeight="1" x14ac:dyDescent="0.25">
      <c r="A2010" s="4" t="s">
        <v>27</v>
      </c>
      <c r="B2010" s="4" t="s">
        <v>46</v>
      </c>
      <c r="C2010" s="4" t="s">
        <v>23</v>
      </c>
      <c r="D2010" s="4" t="s">
        <v>47</v>
      </c>
      <c r="E2010" s="4" t="s">
        <v>58</v>
      </c>
      <c r="F2010" s="4" t="s">
        <v>57</v>
      </c>
      <c r="G2010" s="4" t="s">
        <v>25</v>
      </c>
      <c r="H2010" s="4" t="s">
        <v>25</v>
      </c>
      <c r="I2010" s="5">
        <v>44348</v>
      </c>
      <c r="J2010" s="6">
        <v>0</v>
      </c>
      <c r="K2010" s="6">
        <v>0</v>
      </c>
      <c r="L2010" s="6">
        <v>3.7189999999999999</v>
      </c>
      <c r="M2010" s="6">
        <v>1.2272700000000001</v>
      </c>
      <c r="N2010" s="6">
        <v>3.7189999999999999</v>
      </c>
      <c r="O2010" s="6">
        <v>1.2272700000000001</v>
      </c>
      <c r="P2010" s="6">
        <v>0</v>
      </c>
      <c r="Q2010" s="4" t="s">
        <v>26</v>
      </c>
      <c r="R2010" s="4">
        <v>0</v>
      </c>
      <c r="S2010" s="6">
        <v>0</v>
      </c>
      <c r="T2010" s="6">
        <v>39</v>
      </c>
      <c r="U2010" s="6">
        <v>85</v>
      </c>
      <c r="V2010" s="6">
        <f>IF(ISERROR(VLOOKUP($S$2010,'TAR FIN'!$A$1:$O$95,15,0)),0,VLOOKUP($S$2010,'TAR FIN'!$A$1:$O$95,15,0))</f>
        <v>0</v>
      </c>
      <c r="W2010" s="6">
        <f>IF(ISERROR(VLOOKUP($T$2010,'TAR FIN'!$A$1:$O$95,15,0)),0,VLOOKUP($T$2010,'TAR FIN'!$A$1:$O$95,15,0))</f>
        <v>369.16</v>
      </c>
      <c r="X2010" s="6">
        <f>IF(ISERROR(VLOOKUP($U$2010,'TAR FIN'!$A$1:$O$95,15,0)),0,VLOOKUP($U$2010,'TAR FIN'!$A$1:$O$95,15,0))</f>
        <v>199.51</v>
      </c>
      <c r="Y2010" s="6"/>
      <c r="Z2010" s="6">
        <f ca="1">('TUSD BE'!$AM$38+'TUSD BF'!$AM$38+'TUSD CVA'!$AM$38)*(1-CUSTOS!$M$38)</f>
        <v>445.73746261020432</v>
      </c>
      <c r="AA2010" s="6">
        <f>('TE BE'!$AA$26+'TE BF'!$AA$26+'TE CVA'!$AA$26)*(1-CUSTOS!$M$38)</f>
        <v>261.5374640864809</v>
      </c>
      <c r="AB2010" s="6">
        <f>$K$2010*$V$2010</f>
        <v>0</v>
      </c>
      <c r="AC2010" s="6">
        <f>$M$2010*$W$2010</f>
        <v>453.05899320000009</v>
      </c>
      <c r="AD2010" s="6">
        <f>$O$2010*$X$2010</f>
        <v>244.8526377</v>
      </c>
      <c r="AE2010" s="6">
        <f>$K$2010*$Y$2010</f>
        <v>0</v>
      </c>
      <c r="AF2010" s="6">
        <f ca="1">$M$2010*$Z$2010</f>
        <v>547.04021573762554</v>
      </c>
      <c r="AG2010" s="6">
        <f>$O$2010*$AA$2010</f>
        <v>320.97708354941545</v>
      </c>
    </row>
    <row r="2011" spans="1:33" ht="11.25" customHeight="1" x14ac:dyDescent="0.25">
      <c r="A2011" s="4" t="s">
        <v>28</v>
      </c>
      <c r="B2011" s="4" t="s">
        <v>46</v>
      </c>
      <c r="C2011" s="4" t="s">
        <v>23</v>
      </c>
      <c r="D2011" s="4" t="s">
        <v>47</v>
      </c>
      <c r="E2011" s="4" t="s">
        <v>58</v>
      </c>
      <c r="F2011" s="4" t="s">
        <v>57</v>
      </c>
      <c r="G2011" s="4" t="s">
        <v>25</v>
      </c>
      <c r="H2011" s="4" t="s">
        <v>25</v>
      </c>
      <c r="I2011" s="5">
        <v>44348</v>
      </c>
      <c r="J2011" s="6">
        <v>0</v>
      </c>
      <c r="K2011" s="6">
        <v>0</v>
      </c>
      <c r="L2011" s="6">
        <v>18.571999999999999</v>
      </c>
      <c r="M2011" s="6">
        <v>18.571999999999999</v>
      </c>
      <c r="N2011" s="6">
        <v>18.571999999999999</v>
      </c>
      <c r="O2011" s="6">
        <v>18.571999999999999</v>
      </c>
      <c r="P2011" s="6">
        <v>0</v>
      </c>
      <c r="Q2011" s="4" t="s">
        <v>26</v>
      </c>
      <c r="R2011" s="4">
        <v>0</v>
      </c>
      <c r="S2011" s="6">
        <v>0</v>
      </c>
      <c r="T2011" s="6">
        <v>39</v>
      </c>
      <c r="U2011" s="6">
        <v>85</v>
      </c>
      <c r="V2011" s="6">
        <f>IF(ISERROR(VLOOKUP($S$2011,'TAR FIN'!$A$1:$O$95,15,0)),0,VLOOKUP($S$2011,'TAR FIN'!$A$1:$O$95,15,0))</f>
        <v>0</v>
      </c>
      <c r="W2011" s="6">
        <f>IF(ISERROR(VLOOKUP($T$2011,'TAR FIN'!$A$1:$O$95,15,0)),0,VLOOKUP($T$2011,'TAR FIN'!$A$1:$O$95,15,0))</f>
        <v>369.16</v>
      </c>
      <c r="X2011" s="6">
        <f>IF(ISERROR(VLOOKUP($U$2011,'TAR FIN'!$A$1:$O$95,15,0)),0,VLOOKUP($U$2011,'TAR FIN'!$A$1:$O$95,15,0))</f>
        <v>199.51</v>
      </c>
      <c r="Y2011" s="6"/>
      <c r="Z2011" s="6">
        <f ca="1">('TUSD BE'!$AM$38+'TUSD BF'!$AM$38+'TUSD CVA'!$AM$38)*(1-CUSTOS!$M$38)</f>
        <v>445.73746261020432</v>
      </c>
      <c r="AA2011" s="6">
        <f>('TE BE'!$AA$26+'TE BF'!$AA$26+'TE CVA'!$AA$26)*(1-CUSTOS!$M$38)</f>
        <v>261.5374640864809</v>
      </c>
      <c r="AB2011" s="6">
        <f>$K$2011*$V$2011</f>
        <v>0</v>
      </c>
      <c r="AC2011" s="6">
        <f>$M$2011*$W$2011</f>
        <v>6856.0395200000003</v>
      </c>
      <c r="AD2011" s="6">
        <f>$O$2011*$X$2011</f>
        <v>3705.2997199999995</v>
      </c>
      <c r="AE2011" s="6">
        <f>$K$2011*$Y$2011</f>
        <v>0</v>
      </c>
      <c r="AF2011" s="6">
        <f ca="1">$M$2011*$Z$2011</f>
        <v>8278.2361555967145</v>
      </c>
      <c r="AG2011" s="6">
        <f>$O$2011*$AA$2011</f>
        <v>4857.2737830141232</v>
      </c>
    </row>
    <row r="2012" spans="1:33" ht="11.25" customHeight="1" x14ac:dyDescent="0.25">
      <c r="A2012" s="4" t="s">
        <v>21</v>
      </c>
      <c r="B2012" s="4" t="s">
        <v>46</v>
      </c>
      <c r="C2012" s="4" t="s">
        <v>23</v>
      </c>
      <c r="D2012" s="4" t="s">
        <v>47</v>
      </c>
      <c r="E2012" s="4" t="s">
        <v>58</v>
      </c>
      <c r="F2012" s="4" t="s">
        <v>57</v>
      </c>
      <c r="G2012" s="4" t="s">
        <v>25</v>
      </c>
      <c r="H2012" s="4" t="s">
        <v>25</v>
      </c>
      <c r="I2012" s="5">
        <v>44378</v>
      </c>
      <c r="J2012" s="6">
        <v>0</v>
      </c>
      <c r="K2012" s="6">
        <v>0</v>
      </c>
      <c r="L2012" s="6">
        <v>9.3330000000000002</v>
      </c>
      <c r="M2012" s="6">
        <v>3.0798899999999998</v>
      </c>
      <c r="N2012" s="6">
        <v>9.3330000000000002</v>
      </c>
      <c r="O2012" s="6">
        <v>3.0798899999999998</v>
      </c>
      <c r="P2012" s="6">
        <v>0</v>
      </c>
      <c r="Q2012" s="4" t="s">
        <v>26</v>
      </c>
      <c r="R2012" s="4">
        <v>0</v>
      </c>
      <c r="S2012" s="6">
        <v>0</v>
      </c>
      <c r="T2012" s="6">
        <v>39</v>
      </c>
      <c r="U2012" s="6">
        <v>85</v>
      </c>
      <c r="V2012" s="6">
        <f>IF(ISERROR(VLOOKUP($S$2012,'TAR FIN'!$A$1:$O$95,15,0)),0,VLOOKUP($S$2012,'TAR FIN'!$A$1:$O$95,15,0))</f>
        <v>0</v>
      </c>
      <c r="W2012" s="6">
        <f>IF(ISERROR(VLOOKUP($T$2012,'TAR FIN'!$A$1:$O$95,15,0)),0,VLOOKUP($T$2012,'TAR FIN'!$A$1:$O$95,15,0))</f>
        <v>369.16</v>
      </c>
      <c r="X2012" s="6">
        <f>IF(ISERROR(VLOOKUP($U$2012,'TAR FIN'!$A$1:$O$95,15,0)),0,VLOOKUP($U$2012,'TAR FIN'!$A$1:$O$95,15,0))</f>
        <v>199.51</v>
      </c>
      <c r="Y2012" s="6"/>
      <c r="Z2012" s="6">
        <f ca="1">('TUSD BE'!$AM$38+'TUSD BF'!$AM$38+'TUSD CVA'!$AM$38)*(1-CUSTOS!$M$38)</f>
        <v>445.73746261020432</v>
      </c>
      <c r="AA2012" s="6">
        <f>('TE BE'!$AA$26+'TE BF'!$AA$26+'TE CVA'!$AA$26)*(1-CUSTOS!$M$38)</f>
        <v>261.5374640864809</v>
      </c>
      <c r="AB2012" s="6">
        <f>$K$2012*$V$2012</f>
        <v>0</v>
      </c>
      <c r="AC2012" s="6">
        <f>$M$2012*$W$2012</f>
        <v>1136.9721924</v>
      </c>
      <c r="AD2012" s="6">
        <f>$O$2012*$X$2012</f>
        <v>614.46885389999989</v>
      </c>
      <c r="AE2012" s="6">
        <f>$K$2012*$Y$2012</f>
        <v>0</v>
      </c>
      <c r="AF2012" s="6">
        <f ca="1">$M$2012*$Z$2012</f>
        <v>1372.822353718542</v>
      </c>
      <c r="AG2012" s="6">
        <f>$O$2012*$AA$2012</f>
        <v>805.50662026531154</v>
      </c>
    </row>
    <row r="2013" spans="1:33" ht="11.25" customHeight="1" x14ac:dyDescent="0.25">
      <c r="A2013" s="4" t="s">
        <v>27</v>
      </c>
      <c r="B2013" s="4" t="s">
        <v>46</v>
      </c>
      <c r="C2013" s="4" t="s">
        <v>23</v>
      </c>
      <c r="D2013" s="4" t="s">
        <v>47</v>
      </c>
      <c r="E2013" s="4" t="s">
        <v>58</v>
      </c>
      <c r="F2013" s="4" t="s">
        <v>57</v>
      </c>
      <c r="G2013" s="4" t="s">
        <v>25</v>
      </c>
      <c r="H2013" s="4" t="s">
        <v>25</v>
      </c>
      <c r="I2013" s="5">
        <v>44378</v>
      </c>
      <c r="J2013" s="6">
        <v>0</v>
      </c>
      <c r="K2013" s="6">
        <v>0</v>
      </c>
      <c r="L2013" s="6">
        <v>-0.57599999999999996</v>
      </c>
      <c r="M2013" s="6">
        <v>-0.19008</v>
      </c>
      <c r="N2013" s="6">
        <v>-0.57599999999999996</v>
      </c>
      <c r="O2013" s="6">
        <v>-0.19008</v>
      </c>
      <c r="P2013" s="6">
        <v>0</v>
      </c>
      <c r="Q2013" s="4" t="s">
        <v>26</v>
      </c>
      <c r="R2013" s="4">
        <v>0</v>
      </c>
      <c r="S2013" s="6">
        <v>0</v>
      </c>
      <c r="T2013" s="6">
        <v>39</v>
      </c>
      <c r="U2013" s="6">
        <v>85</v>
      </c>
      <c r="V2013" s="6">
        <f>IF(ISERROR(VLOOKUP($S$2013,'TAR FIN'!$A$1:$O$95,15,0)),0,VLOOKUP($S$2013,'TAR FIN'!$A$1:$O$95,15,0))</f>
        <v>0</v>
      </c>
      <c r="W2013" s="6">
        <f>IF(ISERROR(VLOOKUP($T$2013,'TAR FIN'!$A$1:$O$95,15,0)),0,VLOOKUP($T$2013,'TAR FIN'!$A$1:$O$95,15,0))</f>
        <v>369.16</v>
      </c>
      <c r="X2013" s="6">
        <f>IF(ISERROR(VLOOKUP($U$2013,'TAR FIN'!$A$1:$O$95,15,0)),0,VLOOKUP($U$2013,'TAR FIN'!$A$1:$O$95,15,0))</f>
        <v>199.51</v>
      </c>
      <c r="Y2013" s="6"/>
      <c r="Z2013" s="6">
        <f ca="1">('TUSD BE'!$AM$38+'TUSD BF'!$AM$38+'TUSD CVA'!$AM$38)*(1-CUSTOS!$M$38)</f>
        <v>445.73746261020432</v>
      </c>
      <c r="AA2013" s="6">
        <f>('TE BE'!$AA$26+'TE BF'!$AA$26+'TE CVA'!$AA$26)*(1-CUSTOS!$M$38)</f>
        <v>261.5374640864809</v>
      </c>
      <c r="AB2013" s="6">
        <f>$K$2013*$V$2013</f>
        <v>0</v>
      </c>
      <c r="AC2013" s="6">
        <f>$M$2013*$W$2013</f>
        <v>-70.169932799999998</v>
      </c>
      <c r="AD2013" s="6">
        <f>$O$2013*$X$2013</f>
        <v>-37.922860799999995</v>
      </c>
      <c r="AE2013" s="6">
        <f>$K$2013*$Y$2013</f>
        <v>0</v>
      </c>
      <c r="AF2013" s="6">
        <f ca="1">$M$2013*$Z$2013</f>
        <v>-84.725776892947636</v>
      </c>
      <c r="AG2013" s="6">
        <f>$O$2013*$AA$2013</f>
        <v>-49.713041173558288</v>
      </c>
    </row>
    <row r="2014" spans="1:33" ht="11.25" customHeight="1" x14ac:dyDescent="0.25">
      <c r="A2014" s="4" t="s">
        <v>28</v>
      </c>
      <c r="B2014" s="4" t="s">
        <v>46</v>
      </c>
      <c r="C2014" s="4" t="s">
        <v>23</v>
      </c>
      <c r="D2014" s="4" t="s">
        <v>47</v>
      </c>
      <c r="E2014" s="4" t="s">
        <v>58</v>
      </c>
      <c r="F2014" s="4" t="s">
        <v>57</v>
      </c>
      <c r="G2014" s="4" t="s">
        <v>25</v>
      </c>
      <c r="H2014" s="4" t="s">
        <v>25</v>
      </c>
      <c r="I2014" s="5">
        <v>44378</v>
      </c>
      <c r="J2014" s="6">
        <v>0</v>
      </c>
      <c r="K2014" s="6">
        <v>0</v>
      </c>
      <c r="L2014" s="6">
        <v>17.431999999999999</v>
      </c>
      <c r="M2014" s="6">
        <v>5.7525599999999999</v>
      </c>
      <c r="N2014" s="6">
        <v>17.431999999999999</v>
      </c>
      <c r="O2014" s="6">
        <v>5.7525599999999999</v>
      </c>
      <c r="P2014" s="6">
        <v>0</v>
      </c>
      <c r="Q2014" s="4" t="s">
        <v>26</v>
      </c>
      <c r="R2014" s="4">
        <v>0</v>
      </c>
      <c r="S2014" s="6">
        <v>0</v>
      </c>
      <c r="T2014" s="6">
        <v>39</v>
      </c>
      <c r="U2014" s="6">
        <v>85</v>
      </c>
      <c r="V2014" s="6">
        <f>IF(ISERROR(VLOOKUP($S$2014,'TAR FIN'!$A$1:$O$95,15,0)),0,VLOOKUP($S$2014,'TAR FIN'!$A$1:$O$95,15,0))</f>
        <v>0</v>
      </c>
      <c r="W2014" s="6">
        <f>IF(ISERROR(VLOOKUP($T$2014,'TAR FIN'!$A$1:$O$95,15,0)),0,VLOOKUP($T$2014,'TAR FIN'!$A$1:$O$95,15,0))</f>
        <v>369.16</v>
      </c>
      <c r="X2014" s="6">
        <f>IF(ISERROR(VLOOKUP($U$2014,'TAR FIN'!$A$1:$O$95,15,0)),0,VLOOKUP($U$2014,'TAR FIN'!$A$1:$O$95,15,0))</f>
        <v>199.51</v>
      </c>
      <c r="Y2014" s="6"/>
      <c r="Z2014" s="6">
        <f ca="1">('TUSD BE'!$AM$38+'TUSD BF'!$AM$38+'TUSD CVA'!$AM$38)*(1-CUSTOS!$M$38)</f>
        <v>445.73746261020432</v>
      </c>
      <c r="AA2014" s="6">
        <f>('TE BE'!$AA$26+'TE BF'!$AA$26+'TE CVA'!$AA$26)*(1-CUSTOS!$M$38)</f>
        <v>261.5374640864809</v>
      </c>
      <c r="AB2014" s="6">
        <f>$K$2014*$V$2014</f>
        <v>0</v>
      </c>
      <c r="AC2014" s="6">
        <f>$M$2014*$W$2014</f>
        <v>2123.6150496</v>
      </c>
      <c r="AD2014" s="6">
        <f>$O$2014*$X$2014</f>
        <v>1147.6932456</v>
      </c>
      <c r="AE2014" s="6">
        <f>$K$2014*$Y$2014</f>
        <v>0</v>
      </c>
      <c r="AF2014" s="6">
        <f ca="1">$M$2014*$Z$2014</f>
        <v>2564.131497912957</v>
      </c>
      <c r="AG2014" s="6">
        <f>$O$2014*$AA$2014</f>
        <v>1504.5099544053264</v>
      </c>
    </row>
    <row r="2015" spans="1:33" ht="11.25" customHeight="1" x14ac:dyDescent="0.25">
      <c r="A2015" s="4" t="s">
        <v>21</v>
      </c>
      <c r="B2015" s="4" t="s">
        <v>46</v>
      </c>
      <c r="C2015" s="4" t="s">
        <v>23</v>
      </c>
      <c r="D2015" s="4" t="s">
        <v>47</v>
      </c>
      <c r="E2015" s="4" t="s">
        <v>58</v>
      </c>
      <c r="F2015" s="4" t="s">
        <v>57</v>
      </c>
      <c r="G2015" s="4" t="s">
        <v>25</v>
      </c>
      <c r="H2015" s="4" t="s">
        <v>25</v>
      </c>
      <c r="I2015" s="5">
        <v>44409</v>
      </c>
      <c r="J2015" s="6">
        <v>0</v>
      </c>
      <c r="K2015" s="6">
        <v>0</v>
      </c>
      <c r="L2015" s="6">
        <v>15.872</v>
      </c>
      <c r="M2015" s="6">
        <v>5.2377599999999997</v>
      </c>
      <c r="N2015" s="6">
        <v>15.872</v>
      </c>
      <c r="O2015" s="6">
        <v>5.2377599999999997</v>
      </c>
      <c r="P2015" s="6">
        <v>0</v>
      </c>
      <c r="Q2015" s="4" t="s">
        <v>26</v>
      </c>
      <c r="R2015" s="4">
        <v>0</v>
      </c>
      <c r="S2015" s="6">
        <v>0</v>
      </c>
      <c r="T2015" s="6">
        <v>39</v>
      </c>
      <c r="U2015" s="6">
        <v>85</v>
      </c>
      <c r="V2015" s="6">
        <f>IF(ISERROR(VLOOKUP($S$2015,'TAR FIN'!$A$1:$O$95,15,0)),0,VLOOKUP($S$2015,'TAR FIN'!$A$1:$O$95,15,0))</f>
        <v>0</v>
      </c>
      <c r="W2015" s="6">
        <f>IF(ISERROR(VLOOKUP($T$2015,'TAR FIN'!$A$1:$O$95,15,0)),0,VLOOKUP($T$2015,'TAR FIN'!$A$1:$O$95,15,0))</f>
        <v>369.16</v>
      </c>
      <c r="X2015" s="6">
        <f>IF(ISERROR(VLOOKUP($U$2015,'TAR FIN'!$A$1:$O$95,15,0)),0,VLOOKUP($U$2015,'TAR FIN'!$A$1:$O$95,15,0))</f>
        <v>199.51</v>
      </c>
      <c r="Y2015" s="6"/>
      <c r="Z2015" s="6">
        <f ca="1">('TUSD BE'!$AM$38+'TUSD BF'!$AM$38+'TUSD CVA'!$AM$38)*(1-CUSTOS!$M$38)</f>
        <v>445.73746261020432</v>
      </c>
      <c r="AA2015" s="6">
        <f>('TE BE'!$AA$26+'TE BF'!$AA$26+'TE CVA'!$AA$26)*(1-CUSTOS!$M$38)</f>
        <v>261.5374640864809</v>
      </c>
      <c r="AB2015" s="6">
        <f>$K$2015*$V$2015</f>
        <v>0</v>
      </c>
      <c r="AC2015" s="6">
        <f>$M$2015*$W$2015</f>
        <v>1933.5714816</v>
      </c>
      <c r="AD2015" s="6">
        <f>$O$2015*$X$2015</f>
        <v>1044.9854975999999</v>
      </c>
      <c r="AE2015" s="6">
        <f>$K$2015*$Y$2015</f>
        <v>0</v>
      </c>
      <c r="AF2015" s="6">
        <f ca="1">$M$2015*$Z$2015</f>
        <v>2334.6658521612235</v>
      </c>
      <c r="AG2015" s="6">
        <f>$O$2015*$AA$2015</f>
        <v>1369.870467893606</v>
      </c>
    </row>
    <row r="2016" spans="1:33" ht="11.25" customHeight="1" x14ac:dyDescent="0.25">
      <c r="A2016" s="4" t="s">
        <v>28</v>
      </c>
      <c r="B2016" s="4" t="s">
        <v>46</v>
      </c>
      <c r="C2016" s="4" t="s">
        <v>23</v>
      </c>
      <c r="D2016" s="4" t="s">
        <v>47</v>
      </c>
      <c r="E2016" s="4" t="s">
        <v>58</v>
      </c>
      <c r="F2016" s="4" t="s">
        <v>57</v>
      </c>
      <c r="G2016" s="4" t="s">
        <v>25</v>
      </c>
      <c r="H2016" s="4" t="s">
        <v>25</v>
      </c>
      <c r="I2016" s="5">
        <v>44409</v>
      </c>
      <c r="J2016" s="6">
        <v>0</v>
      </c>
      <c r="K2016" s="6">
        <v>0</v>
      </c>
      <c r="L2016" s="6">
        <v>16.562999999999999</v>
      </c>
      <c r="M2016" s="6">
        <v>5.4657900000000001</v>
      </c>
      <c r="N2016" s="6">
        <v>16.562999999999999</v>
      </c>
      <c r="O2016" s="6">
        <v>5.4657900000000001</v>
      </c>
      <c r="P2016" s="6">
        <v>0</v>
      </c>
      <c r="Q2016" s="4" t="s">
        <v>26</v>
      </c>
      <c r="R2016" s="4">
        <v>0</v>
      </c>
      <c r="S2016" s="6">
        <v>0</v>
      </c>
      <c r="T2016" s="6">
        <v>39</v>
      </c>
      <c r="U2016" s="6">
        <v>85</v>
      </c>
      <c r="V2016" s="6">
        <f>IF(ISERROR(VLOOKUP($S$2016,'TAR FIN'!$A$1:$O$95,15,0)),0,VLOOKUP($S$2016,'TAR FIN'!$A$1:$O$95,15,0))</f>
        <v>0</v>
      </c>
      <c r="W2016" s="6">
        <f>IF(ISERROR(VLOOKUP($T$2016,'TAR FIN'!$A$1:$O$95,15,0)),0,VLOOKUP($T$2016,'TAR FIN'!$A$1:$O$95,15,0))</f>
        <v>369.16</v>
      </c>
      <c r="X2016" s="6">
        <f>IF(ISERROR(VLOOKUP($U$2016,'TAR FIN'!$A$1:$O$95,15,0)),0,VLOOKUP($U$2016,'TAR FIN'!$A$1:$O$95,15,0))</f>
        <v>199.51</v>
      </c>
      <c r="Y2016" s="6"/>
      <c r="Z2016" s="6">
        <f ca="1">('TUSD BE'!$AM$38+'TUSD BF'!$AM$38+'TUSD CVA'!$AM$38)*(1-CUSTOS!$M$38)</f>
        <v>445.73746261020432</v>
      </c>
      <c r="AA2016" s="6">
        <f>('TE BE'!$AA$26+'TE BF'!$AA$26+'TE CVA'!$AA$26)*(1-CUSTOS!$M$38)</f>
        <v>261.5374640864809</v>
      </c>
      <c r="AB2016" s="6">
        <f>$K$2016*$V$2016</f>
        <v>0</v>
      </c>
      <c r="AC2016" s="6">
        <f>$M$2016*$W$2016</f>
        <v>2017.7510364000002</v>
      </c>
      <c r="AD2016" s="6">
        <f>$O$2016*$X$2016</f>
        <v>1090.4797629</v>
      </c>
      <c r="AE2016" s="6">
        <f>$K$2016*$Y$2016</f>
        <v>0</v>
      </c>
      <c r="AF2016" s="6">
        <f ca="1">$M$2016*$Z$2016</f>
        <v>2436.3073657602285</v>
      </c>
      <c r="AG2016" s="6">
        <f>$O$2016*$AA$2016</f>
        <v>1429.5088558292464</v>
      </c>
    </row>
    <row r="2017" spans="1:33" ht="11.25" customHeight="1" x14ac:dyDescent="0.25">
      <c r="A2017" s="4" t="s">
        <v>29</v>
      </c>
      <c r="B2017" s="4" t="s">
        <v>46</v>
      </c>
      <c r="C2017" s="4" t="s">
        <v>23</v>
      </c>
      <c r="D2017" s="4" t="s">
        <v>47</v>
      </c>
      <c r="E2017" s="4" t="s">
        <v>58</v>
      </c>
      <c r="F2017" s="4" t="s">
        <v>57</v>
      </c>
      <c r="G2017" s="4" t="s">
        <v>25</v>
      </c>
      <c r="H2017" s="4" t="s">
        <v>25</v>
      </c>
      <c r="I2017" s="5">
        <v>44409</v>
      </c>
      <c r="J2017" s="6">
        <v>0</v>
      </c>
      <c r="K2017" s="6">
        <v>0</v>
      </c>
      <c r="L2017" s="6">
        <v>0.182</v>
      </c>
      <c r="M2017" s="6">
        <v>6.0060000000000002E-2</v>
      </c>
      <c r="N2017" s="6">
        <v>0.182</v>
      </c>
      <c r="O2017" s="6">
        <v>6.0060000000000002E-2</v>
      </c>
      <c r="P2017" s="6">
        <v>0</v>
      </c>
      <c r="Q2017" s="4" t="s">
        <v>26</v>
      </c>
      <c r="R2017" s="4">
        <v>0</v>
      </c>
      <c r="S2017" s="6">
        <v>0</v>
      </c>
      <c r="T2017" s="6">
        <v>39</v>
      </c>
      <c r="U2017" s="6">
        <v>85</v>
      </c>
      <c r="V2017" s="6">
        <f>IF(ISERROR(VLOOKUP($S$2017,'TAR FIN'!$A$1:$O$95,15,0)),0,VLOOKUP($S$2017,'TAR FIN'!$A$1:$O$95,15,0))</f>
        <v>0</v>
      </c>
      <c r="W2017" s="6">
        <f>IF(ISERROR(VLOOKUP($T$2017,'TAR FIN'!$A$1:$O$95,15,0)),0,VLOOKUP($T$2017,'TAR FIN'!$A$1:$O$95,15,0))</f>
        <v>369.16</v>
      </c>
      <c r="X2017" s="6">
        <f>IF(ISERROR(VLOOKUP($U$2017,'TAR FIN'!$A$1:$O$95,15,0)),0,VLOOKUP($U$2017,'TAR FIN'!$A$1:$O$95,15,0))</f>
        <v>199.51</v>
      </c>
      <c r="Y2017" s="6"/>
      <c r="Z2017" s="6">
        <f ca="1">('TUSD BE'!$AM$38+'TUSD BF'!$AM$38+'TUSD CVA'!$AM$38)*(1-CUSTOS!$M$38)</f>
        <v>445.73746261020432</v>
      </c>
      <c r="AA2017" s="6">
        <f>('TE BE'!$AA$26+'TE BF'!$AA$26+'TE CVA'!$AA$26)*(1-CUSTOS!$M$38)</f>
        <v>261.5374640864809</v>
      </c>
      <c r="AB2017" s="6">
        <f>$K$2017*$V$2017</f>
        <v>0</v>
      </c>
      <c r="AC2017" s="6">
        <f>$M$2017*$W$2017</f>
        <v>22.171749600000002</v>
      </c>
      <c r="AD2017" s="6">
        <f>$O$2017*$X$2017</f>
        <v>11.982570600000001</v>
      </c>
      <c r="AE2017" s="6">
        <f>$K$2017*$Y$2017</f>
        <v>0</v>
      </c>
      <c r="AF2017" s="6">
        <f ca="1">$M$2017*$Z$2017</f>
        <v>26.770992004368871</v>
      </c>
      <c r="AG2017" s="6">
        <f>$O$2017*$AA$2017</f>
        <v>15.707940093034043</v>
      </c>
    </row>
    <row r="2018" spans="1:33" ht="11.25" customHeight="1" x14ac:dyDescent="0.25">
      <c r="A2018" s="4" t="s">
        <v>21</v>
      </c>
      <c r="B2018" s="4" t="s">
        <v>46</v>
      </c>
      <c r="C2018" s="4" t="s">
        <v>23</v>
      </c>
      <c r="D2018" s="4" t="s">
        <v>47</v>
      </c>
      <c r="E2018" s="4" t="s">
        <v>58</v>
      </c>
      <c r="F2018" s="4" t="s">
        <v>57</v>
      </c>
      <c r="G2018" s="4" t="s">
        <v>25</v>
      </c>
      <c r="H2018" s="4" t="s">
        <v>25</v>
      </c>
      <c r="I2018" s="5">
        <v>44440</v>
      </c>
      <c r="J2018" s="6">
        <v>0</v>
      </c>
      <c r="K2018" s="6">
        <v>0</v>
      </c>
      <c r="L2018" s="6">
        <v>6.3520000000000003</v>
      </c>
      <c r="M2018" s="6">
        <v>2.0961599999999998</v>
      </c>
      <c r="N2018" s="6">
        <v>6.3520000000000003</v>
      </c>
      <c r="O2018" s="6">
        <v>2.0961599999999998</v>
      </c>
      <c r="P2018" s="6">
        <v>0</v>
      </c>
      <c r="Q2018" s="4" t="s">
        <v>26</v>
      </c>
      <c r="R2018" s="4">
        <v>0</v>
      </c>
      <c r="S2018" s="6">
        <v>0</v>
      </c>
      <c r="T2018" s="6">
        <v>39</v>
      </c>
      <c r="U2018" s="6">
        <v>85</v>
      </c>
      <c r="V2018" s="6">
        <f>IF(ISERROR(VLOOKUP($S$2018,'TAR FIN'!$A$1:$O$95,15,0)),0,VLOOKUP($S$2018,'TAR FIN'!$A$1:$O$95,15,0))</f>
        <v>0</v>
      </c>
      <c r="W2018" s="6">
        <f>IF(ISERROR(VLOOKUP($T$2018,'TAR FIN'!$A$1:$O$95,15,0)),0,VLOOKUP($T$2018,'TAR FIN'!$A$1:$O$95,15,0))</f>
        <v>369.16</v>
      </c>
      <c r="X2018" s="6">
        <f>IF(ISERROR(VLOOKUP($U$2018,'TAR FIN'!$A$1:$O$95,15,0)),0,VLOOKUP($U$2018,'TAR FIN'!$A$1:$O$95,15,0))</f>
        <v>199.51</v>
      </c>
      <c r="Y2018" s="6"/>
      <c r="Z2018" s="6">
        <f ca="1">('TUSD BE'!$AM$38+'TUSD BF'!$AM$38+'TUSD CVA'!$AM$38)*(1-CUSTOS!$M$38)</f>
        <v>445.73746261020432</v>
      </c>
      <c r="AA2018" s="6">
        <f>('TE BE'!$AA$26+'TE BF'!$AA$26+'TE CVA'!$AA$26)*(1-CUSTOS!$M$38)</f>
        <v>261.5374640864809</v>
      </c>
      <c r="AB2018" s="6">
        <f>$K$2018*$V$2018</f>
        <v>0</v>
      </c>
      <c r="AC2018" s="6">
        <f>$M$2018*$W$2018</f>
        <v>773.81842559999996</v>
      </c>
      <c r="AD2018" s="6">
        <f>$O$2018*$X$2018</f>
        <v>418.20488159999996</v>
      </c>
      <c r="AE2018" s="6">
        <f>$K$2018*$Y$2018</f>
        <v>0</v>
      </c>
      <c r="AF2018" s="6">
        <f ca="1">$M$2018*$Z$2018</f>
        <v>934.33703962500579</v>
      </c>
      <c r="AG2018" s="6">
        <f>$O$2018*$AA$2018</f>
        <v>548.22437071951776</v>
      </c>
    </row>
    <row r="2019" spans="1:33" ht="11.25" customHeight="1" x14ac:dyDescent="0.25">
      <c r="A2019" s="4" t="s">
        <v>28</v>
      </c>
      <c r="B2019" s="4" t="s">
        <v>46</v>
      </c>
      <c r="C2019" s="4" t="s">
        <v>23</v>
      </c>
      <c r="D2019" s="4" t="s">
        <v>47</v>
      </c>
      <c r="E2019" s="4" t="s">
        <v>58</v>
      </c>
      <c r="F2019" s="4" t="s">
        <v>57</v>
      </c>
      <c r="G2019" s="4" t="s">
        <v>25</v>
      </c>
      <c r="H2019" s="4" t="s">
        <v>25</v>
      </c>
      <c r="I2019" s="5">
        <v>44440</v>
      </c>
      <c r="J2019" s="6">
        <v>0</v>
      </c>
      <c r="K2019" s="6">
        <v>0</v>
      </c>
      <c r="L2019" s="6">
        <v>18.033999999999999</v>
      </c>
      <c r="M2019" s="6">
        <v>5.9512200000000002</v>
      </c>
      <c r="N2019" s="6">
        <v>18.033999999999999</v>
      </c>
      <c r="O2019" s="6">
        <v>5.9512200000000002</v>
      </c>
      <c r="P2019" s="6">
        <v>0</v>
      </c>
      <c r="Q2019" s="4" t="s">
        <v>26</v>
      </c>
      <c r="R2019" s="4">
        <v>0</v>
      </c>
      <c r="S2019" s="6">
        <v>0</v>
      </c>
      <c r="T2019" s="6">
        <v>39</v>
      </c>
      <c r="U2019" s="6">
        <v>85</v>
      </c>
      <c r="V2019" s="6">
        <f>IF(ISERROR(VLOOKUP($S$2019,'TAR FIN'!$A$1:$O$95,15,0)),0,VLOOKUP($S$2019,'TAR FIN'!$A$1:$O$95,15,0))</f>
        <v>0</v>
      </c>
      <c r="W2019" s="6">
        <f>IF(ISERROR(VLOOKUP($T$2019,'TAR FIN'!$A$1:$O$95,15,0)),0,VLOOKUP($T$2019,'TAR FIN'!$A$1:$O$95,15,0))</f>
        <v>369.16</v>
      </c>
      <c r="X2019" s="6">
        <f>IF(ISERROR(VLOOKUP($U$2019,'TAR FIN'!$A$1:$O$95,15,0)),0,VLOOKUP($U$2019,'TAR FIN'!$A$1:$O$95,15,0))</f>
        <v>199.51</v>
      </c>
      <c r="Y2019" s="6"/>
      <c r="Z2019" s="6">
        <f ca="1">('TUSD BE'!$AM$38+'TUSD BF'!$AM$38+'TUSD CVA'!$AM$38)*(1-CUSTOS!$M$38)</f>
        <v>445.73746261020432</v>
      </c>
      <c r="AA2019" s="6">
        <f>('TE BE'!$AA$26+'TE BF'!$AA$26+'TE CVA'!$AA$26)*(1-CUSTOS!$M$38)</f>
        <v>261.5374640864809</v>
      </c>
      <c r="AB2019" s="6">
        <f>$K$2019*$V$2019</f>
        <v>0</v>
      </c>
      <c r="AC2019" s="6">
        <f>$M$2019*$W$2019</f>
        <v>2196.9523752</v>
      </c>
      <c r="AD2019" s="6">
        <f>$O$2019*$X$2019</f>
        <v>1187.3279021999999</v>
      </c>
      <c r="AE2019" s="6">
        <f>$K$2019*$Y$2019</f>
        <v>0</v>
      </c>
      <c r="AF2019" s="6">
        <f ca="1">$M$2019*$Z$2019</f>
        <v>2652.6817022351001</v>
      </c>
      <c r="AG2019" s="6">
        <f>$O$2019*$AA$2019</f>
        <v>1556.466987020747</v>
      </c>
    </row>
    <row r="2020" spans="1:33" ht="11.25" customHeight="1" x14ac:dyDescent="0.25">
      <c r="A2020" s="4" t="s">
        <v>59</v>
      </c>
      <c r="B2020" s="4" t="s">
        <v>46</v>
      </c>
      <c r="C2020" s="4" t="s">
        <v>23</v>
      </c>
      <c r="D2020" s="4" t="s">
        <v>47</v>
      </c>
      <c r="E2020" s="4" t="s">
        <v>58</v>
      </c>
      <c r="F2020" s="4" t="s">
        <v>57</v>
      </c>
      <c r="G2020" s="4" t="s">
        <v>25</v>
      </c>
      <c r="H2020" s="4" t="s">
        <v>25</v>
      </c>
      <c r="I2020" s="5">
        <v>44470</v>
      </c>
      <c r="J2020" s="6">
        <v>0</v>
      </c>
      <c r="K2020" s="6">
        <v>0</v>
      </c>
      <c r="L2020" s="6">
        <v>6.3520000000000003</v>
      </c>
      <c r="M2020" s="6">
        <v>2.0961599999999998</v>
      </c>
      <c r="N2020" s="6">
        <v>6.3520000000000003</v>
      </c>
      <c r="O2020" s="6">
        <v>2.0961599999999998</v>
      </c>
      <c r="P2020" s="6">
        <v>0</v>
      </c>
      <c r="Q2020" s="4" t="s">
        <v>26</v>
      </c>
      <c r="R2020" s="4">
        <v>0</v>
      </c>
      <c r="S2020" s="6">
        <v>0</v>
      </c>
      <c r="T2020" s="6">
        <v>39</v>
      </c>
      <c r="U2020" s="6">
        <v>85</v>
      </c>
      <c r="V2020" s="6">
        <f>IF(ISERROR(VLOOKUP($S$2020,'TAR FIN'!$A$1:$O$95,15,0)),0,VLOOKUP($S$2020,'TAR FIN'!$A$1:$O$95,15,0))</f>
        <v>0</v>
      </c>
      <c r="W2020" s="6">
        <f>IF(ISERROR(VLOOKUP($T$2020,'TAR FIN'!$A$1:$O$95,15,0)),0,VLOOKUP($T$2020,'TAR FIN'!$A$1:$O$95,15,0))</f>
        <v>369.16</v>
      </c>
      <c r="X2020" s="6">
        <f>IF(ISERROR(VLOOKUP($U$2020,'TAR FIN'!$A$1:$O$95,15,0)),0,VLOOKUP($U$2020,'TAR FIN'!$A$1:$O$95,15,0))</f>
        <v>199.51</v>
      </c>
      <c r="Y2020" s="6"/>
      <c r="Z2020" s="6">
        <f ca="1">('TUSD BE'!$AM$38+'TUSD BF'!$AM$38+'TUSD CVA'!$AM$38)*(1-CUSTOS!$M$38)</f>
        <v>445.73746261020432</v>
      </c>
      <c r="AA2020" s="6">
        <f>('TE BE'!$AA$26+'TE BF'!$AA$26+'TE CVA'!$AA$26)*(1-CUSTOS!$M$38)</f>
        <v>261.5374640864809</v>
      </c>
      <c r="AB2020" s="6">
        <f>$K$2020*$V$2020</f>
        <v>0</v>
      </c>
      <c r="AC2020" s="6">
        <f>$M$2020*$W$2020</f>
        <v>773.81842559999996</v>
      </c>
      <c r="AD2020" s="6">
        <f>$O$2020*$X$2020</f>
        <v>418.20488159999996</v>
      </c>
      <c r="AE2020" s="6">
        <f>$K$2020*$Y$2020</f>
        <v>0</v>
      </c>
      <c r="AF2020" s="6">
        <f ca="1">$M$2020*$Z$2020</f>
        <v>934.33703962500579</v>
      </c>
      <c r="AG2020" s="6">
        <f>$O$2020*$AA$2020</f>
        <v>548.22437071951776</v>
      </c>
    </row>
    <row r="2021" spans="1:33" ht="11.25" customHeight="1" x14ac:dyDescent="0.25">
      <c r="A2021" s="4" t="s">
        <v>59</v>
      </c>
      <c r="B2021" s="4" t="s">
        <v>46</v>
      </c>
      <c r="C2021" s="4" t="s">
        <v>23</v>
      </c>
      <c r="D2021" s="4" t="s">
        <v>47</v>
      </c>
      <c r="E2021" s="4" t="s">
        <v>58</v>
      </c>
      <c r="F2021" s="4" t="s">
        <v>57</v>
      </c>
      <c r="G2021" s="4" t="s">
        <v>25</v>
      </c>
      <c r="H2021" s="4" t="s">
        <v>25</v>
      </c>
      <c r="I2021" s="5">
        <v>44470</v>
      </c>
      <c r="J2021" s="6">
        <v>0</v>
      </c>
      <c r="K2021" s="6">
        <v>0</v>
      </c>
      <c r="L2021" s="6">
        <v>18.033999999999999</v>
      </c>
      <c r="M2021" s="6">
        <v>5.9512200000000002</v>
      </c>
      <c r="N2021" s="6">
        <v>18.033999999999999</v>
      </c>
      <c r="O2021" s="6">
        <v>5.9512200000000002</v>
      </c>
      <c r="P2021" s="6">
        <v>0</v>
      </c>
      <c r="Q2021" s="4" t="s">
        <v>26</v>
      </c>
      <c r="R2021" s="4">
        <v>0</v>
      </c>
      <c r="S2021" s="6">
        <v>0</v>
      </c>
      <c r="T2021" s="6">
        <v>39</v>
      </c>
      <c r="U2021" s="6">
        <v>85</v>
      </c>
      <c r="V2021" s="6">
        <f>IF(ISERROR(VLOOKUP($S$2021,'TAR FIN'!$A$1:$O$95,15,0)),0,VLOOKUP($S$2021,'TAR FIN'!$A$1:$O$95,15,0))</f>
        <v>0</v>
      </c>
      <c r="W2021" s="6">
        <f>IF(ISERROR(VLOOKUP($T$2021,'TAR FIN'!$A$1:$O$95,15,0)),0,VLOOKUP($T$2021,'TAR FIN'!$A$1:$O$95,15,0))</f>
        <v>369.16</v>
      </c>
      <c r="X2021" s="6">
        <f>IF(ISERROR(VLOOKUP($U$2021,'TAR FIN'!$A$1:$O$95,15,0)),0,VLOOKUP($U$2021,'TAR FIN'!$A$1:$O$95,15,0))</f>
        <v>199.51</v>
      </c>
      <c r="Y2021" s="6"/>
      <c r="Z2021" s="6">
        <f ca="1">('TUSD BE'!$AM$38+'TUSD BF'!$AM$38+'TUSD CVA'!$AM$38)*(1-CUSTOS!$M$38)</f>
        <v>445.73746261020432</v>
      </c>
      <c r="AA2021" s="6">
        <f>('TE BE'!$AA$26+'TE BF'!$AA$26+'TE CVA'!$AA$26)*(1-CUSTOS!$M$38)</f>
        <v>261.5374640864809</v>
      </c>
      <c r="AB2021" s="6">
        <f>$K$2021*$V$2021</f>
        <v>0</v>
      </c>
      <c r="AC2021" s="6">
        <f>$M$2021*$W$2021</f>
        <v>2196.9523752</v>
      </c>
      <c r="AD2021" s="6">
        <f>$O$2021*$X$2021</f>
        <v>1187.3279021999999</v>
      </c>
      <c r="AE2021" s="6">
        <f>$K$2021*$Y$2021</f>
        <v>0</v>
      </c>
      <c r="AF2021" s="6">
        <f ca="1">$M$2021*$Z$2021</f>
        <v>2652.6817022351001</v>
      </c>
      <c r="AG2021" s="6">
        <f>$O$2021*$AA$2021</f>
        <v>1556.466987020747</v>
      </c>
    </row>
    <row r="2022" spans="1:33" ht="11.25" customHeight="1" x14ac:dyDescent="0.25">
      <c r="A2022" s="4" t="s">
        <v>21</v>
      </c>
      <c r="B2022" s="4" t="s">
        <v>46</v>
      </c>
      <c r="C2022" s="4" t="s">
        <v>23</v>
      </c>
      <c r="D2022" s="4" t="s">
        <v>47</v>
      </c>
      <c r="E2022" s="4" t="s">
        <v>25</v>
      </c>
      <c r="F2022" s="4" t="s">
        <v>25</v>
      </c>
      <c r="G2022" s="4" t="s">
        <v>25</v>
      </c>
      <c r="H2022" s="4" t="s">
        <v>25</v>
      </c>
      <c r="I2022" s="5">
        <v>44136</v>
      </c>
      <c r="J2022" s="6">
        <v>0</v>
      </c>
      <c r="K2022" s="6">
        <v>0</v>
      </c>
      <c r="L2022" s="6">
        <v>1608.518</v>
      </c>
      <c r="M2022" s="6">
        <v>1608.518</v>
      </c>
      <c r="N2022" s="6">
        <v>1608.518</v>
      </c>
      <c r="O2022" s="6">
        <v>1608.518</v>
      </c>
      <c r="P2022" s="6">
        <v>8018</v>
      </c>
      <c r="Q2022" s="4" t="s">
        <v>26</v>
      </c>
      <c r="R2022" s="4">
        <v>0</v>
      </c>
      <c r="S2022" s="6">
        <v>0</v>
      </c>
      <c r="T2022" s="6">
        <v>39</v>
      </c>
      <c r="U2022" s="6">
        <v>85</v>
      </c>
      <c r="V2022" s="6">
        <f>IF(ISERROR(VLOOKUP($S$2022,'TAR FIN'!$A$1:$O$95,15,0)),0,VLOOKUP($S$2022,'TAR FIN'!$A$1:$O$95,15,0))</f>
        <v>0</v>
      </c>
      <c r="W2022" s="6">
        <f>IF(ISERROR(VLOOKUP($T$2022,'TAR FIN'!$A$1:$O$95,15,0)),0,VLOOKUP($T$2022,'TAR FIN'!$A$1:$O$95,15,0))</f>
        <v>369.16</v>
      </c>
      <c r="X2022" s="6">
        <f>IF(ISERROR(VLOOKUP($U$2022,'TAR FIN'!$A$1:$O$95,15,0)),0,VLOOKUP($U$2022,'TAR FIN'!$A$1:$O$95,15,0))</f>
        <v>199.51</v>
      </c>
      <c r="Y2022" s="6"/>
      <c r="Z2022" s="6">
        <f ca="1">('TUSD BE'!$AM$38+'TUSD BF'!$AM$38+'TUSD CVA'!$AM$38)*(1-CUSTOS!$M$38)</f>
        <v>445.73746261020432</v>
      </c>
      <c r="AA2022" s="6">
        <f>('TE BE'!$AA$26+'TE BF'!$AA$26+'TE CVA'!$AA$26)*(1-CUSTOS!$M$38)</f>
        <v>261.5374640864809</v>
      </c>
      <c r="AB2022" s="6">
        <f>$K$2022*$V$2022</f>
        <v>0</v>
      </c>
      <c r="AC2022" s="6">
        <f>$M$2022*$W$2022</f>
        <v>593800.50488000002</v>
      </c>
      <c r="AD2022" s="6">
        <f>$O$2022*$X$2022</f>
        <v>320915.42618000001</v>
      </c>
      <c r="AE2022" s="6">
        <f>$K$2022*$Y$2022</f>
        <v>0</v>
      </c>
      <c r="AF2022" s="6">
        <f ca="1">$M$2022*$Z$2022</f>
        <v>716976.73188284063</v>
      </c>
      <c r="AG2022" s="6">
        <f>$O$2022*$AA$2022</f>
        <v>420687.71865745808</v>
      </c>
    </row>
    <row r="2023" spans="1:33" ht="11.25" customHeight="1" x14ac:dyDescent="0.25">
      <c r="A2023" s="4" t="s">
        <v>27</v>
      </c>
      <c r="B2023" s="4" t="s">
        <v>46</v>
      </c>
      <c r="C2023" s="4" t="s">
        <v>23</v>
      </c>
      <c r="D2023" s="4" t="s">
        <v>47</v>
      </c>
      <c r="E2023" s="4" t="s">
        <v>25</v>
      </c>
      <c r="F2023" s="4" t="s">
        <v>25</v>
      </c>
      <c r="G2023" s="4" t="s">
        <v>25</v>
      </c>
      <c r="H2023" s="4" t="s">
        <v>25</v>
      </c>
      <c r="I2023" s="5">
        <v>44136</v>
      </c>
      <c r="J2023" s="6">
        <v>0</v>
      </c>
      <c r="K2023" s="6">
        <v>0</v>
      </c>
      <c r="L2023" s="6">
        <v>-17.347999999999999</v>
      </c>
      <c r="M2023" s="6">
        <v>-17.347999999999999</v>
      </c>
      <c r="N2023" s="6">
        <v>-17.347999999999999</v>
      </c>
      <c r="O2023" s="6">
        <v>-17.347999999999999</v>
      </c>
      <c r="P2023" s="6">
        <v>-31</v>
      </c>
      <c r="Q2023" s="4" t="s">
        <v>26</v>
      </c>
      <c r="R2023" s="4">
        <v>0</v>
      </c>
      <c r="S2023" s="6">
        <v>0</v>
      </c>
      <c r="T2023" s="6">
        <v>39</v>
      </c>
      <c r="U2023" s="6">
        <v>85</v>
      </c>
      <c r="V2023" s="6">
        <f>IF(ISERROR(VLOOKUP($S$2023,'TAR FIN'!$A$1:$O$95,15,0)),0,VLOOKUP($S$2023,'TAR FIN'!$A$1:$O$95,15,0))</f>
        <v>0</v>
      </c>
      <c r="W2023" s="6">
        <f>IF(ISERROR(VLOOKUP($T$2023,'TAR FIN'!$A$1:$O$95,15,0)),0,VLOOKUP($T$2023,'TAR FIN'!$A$1:$O$95,15,0))</f>
        <v>369.16</v>
      </c>
      <c r="X2023" s="6">
        <f>IF(ISERROR(VLOOKUP($U$2023,'TAR FIN'!$A$1:$O$95,15,0)),0,VLOOKUP($U$2023,'TAR FIN'!$A$1:$O$95,15,0))</f>
        <v>199.51</v>
      </c>
      <c r="Y2023" s="6"/>
      <c r="Z2023" s="6">
        <f ca="1">('TUSD BE'!$AM$38+'TUSD BF'!$AM$38+'TUSD CVA'!$AM$38)*(1-CUSTOS!$M$38)</f>
        <v>445.73746261020432</v>
      </c>
      <c r="AA2023" s="6">
        <f>('TE BE'!$AA$26+'TE BF'!$AA$26+'TE CVA'!$AA$26)*(1-CUSTOS!$M$38)</f>
        <v>261.5374640864809</v>
      </c>
      <c r="AB2023" s="6">
        <f>$K$2023*$V$2023</f>
        <v>0</v>
      </c>
      <c r="AC2023" s="6">
        <f>$M$2023*$W$2023</f>
        <v>-6404.18768</v>
      </c>
      <c r="AD2023" s="6">
        <f>$O$2023*$X$2023</f>
        <v>-3461.0994799999999</v>
      </c>
      <c r="AE2023" s="6">
        <f>$K$2023*$Y$2023</f>
        <v>0</v>
      </c>
      <c r="AF2023" s="6">
        <f ca="1">$M$2023*$Z$2023</f>
        <v>-7732.6535013618241</v>
      </c>
      <c r="AG2023" s="6">
        <f>$O$2023*$AA$2023</f>
        <v>-4537.1519269722703</v>
      </c>
    </row>
    <row r="2024" spans="1:33" ht="11.25" customHeight="1" x14ac:dyDescent="0.25">
      <c r="A2024" s="4" t="s">
        <v>28</v>
      </c>
      <c r="B2024" s="4" t="s">
        <v>46</v>
      </c>
      <c r="C2024" s="4" t="s">
        <v>23</v>
      </c>
      <c r="D2024" s="4" t="s">
        <v>47</v>
      </c>
      <c r="E2024" s="4" t="s">
        <v>25</v>
      </c>
      <c r="F2024" s="4" t="s">
        <v>25</v>
      </c>
      <c r="G2024" s="4" t="s">
        <v>25</v>
      </c>
      <c r="H2024" s="4" t="s">
        <v>25</v>
      </c>
      <c r="I2024" s="5">
        <v>44136</v>
      </c>
      <c r="J2024" s="6">
        <v>0</v>
      </c>
      <c r="K2024" s="6">
        <v>0</v>
      </c>
      <c r="L2024" s="6">
        <v>4186.5320000000002</v>
      </c>
      <c r="M2024" s="6">
        <v>4186.5320000000002</v>
      </c>
      <c r="N2024" s="6">
        <v>4186.5320000000002</v>
      </c>
      <c r="O2024" s="6">
        <v>4186.5320000000002</v>
      </c>
      <c r="P2024" s="6">
        <v>36019</v>
      </c>
      <c r="Q2024" s="4" t="s">
        <v>26</v>
      </c>
      <c r="R2024" s="4">
        <v>0</v>
      </c>
      <c r="S2024" s="6">
        <v>0</v>
      </c>
      <c r="T2024" s="6">
        <v>39</v>
      </c>
      <c r="U2024" s="6">
        <v>85</v>
      </c>
      <c r="V2024" s="6">
        <f>IF(ISERROR(VLOOKUP($S$2024,'TAR FIN'!$A$1:$O$95,15,0)),0,VLOOKUP($S$2024,'TAR FIN'!$A$1:$O$95,15,0))</f>
        <v>0</v>
      </c>
      <c r="W2024" s="6">
        <f>IF(ISERROR(VLOOKUP($T$2024,'TAR FIN'!$A$1:$O$95,15,0)),0,VLOOKUP($T$2024,'TAR FIN'!$A$1:$O$95,15,0))</f>
        <v>369.16</v>
      </c>
      <c r="X2024" s="6">
        <f>IF(ISERROR(VLOOKUP($U$2024,'TAR FIN'!$A$1:$O$95,15,0)),0,VLOOKUP($U$2024,'TAR FIN'!$A$1:$O$95,15,0))</f>
        <v>199.51</v>
      </c>
      <c r="Y2024" s="6"/>
      <c r="Z2024" s="6">
        <f ca="1">('TUSD BE'!$AM$38+'TUSD BF'!$AM$38+'TUSD CVA'!$AM$38)*(1-CUSTOS!$M$38)</f>
        <v>445.73746261020432</v>
      </c>
      <c r="AA2024" s="6">
        <f>('TE BE'!$AA$26+'TE BF'!$AA$26+'TE CVA'!$AA$26)*(1-CUSTOS!$M$38)</f>
        <v>261.5374640864809</v>
      </c>
      <c r="AB2024" s="6">
        <f>$K$2024*$V$2024</f>
        <v>0</v>
      </c>
      <c r="AC2024" s="6">
        <f>$M$2024*$W$2024</f>
        <v>1545500.1531200001</v>
      </c>
      <c r="AD2024" s="6">
        <f>$O$2024*$X$2024</f>
        <v>835254.99931999994</v>
      </c>
      <c r="AE2024" s="6">
        <f>$K$2024*$Y$2024</f>
        <v>0</v>
      </c>
      <c r="AF2024" s="6">
        <f ca="1">$M$2024*$Z$2024</f>
        <v>1866094.1508164241</v>
      </c>
      <c r="AG2024" s="6">
        <f>$O$2024*$AA$2024</f>
        <v>1094934.9625969031</v>
      </c>
    </row>
    <row r="2025" spans="1:33" ht="11.25" customHeight="1" x14ac:dyDescent="0.25">
      <c r="A2025" s="4" t="s">
        <v>29</v>
      </c>
      <c r="B2025" s="4" t="s">
        <v>46</v>
      </c>
      <c r="C2025" s="4" t="s">
        <v>23</v>
      </c>
      <c r="D2025" s="4" t="s">
        <v>47</v>
      </c>
      <c r="E2025" s="4" t="s">
        <v>25</v>
      </c>
      <c r="F2025" s="4" t="s">
        <v>25</v>
      </c>
      <c r="G2025" s="4" t="s">
        <v>25</v>
      </c>
      <c r="H2025" s="4" t="s">
        <v>25</v>
      </c>
      <c r="I2025" s="5">
        <v>44136</v>
      </c>
      <c r="J2025" s="6">
        <v>0</v>
      </c>
      <c r="K2025" s="6">
        <v>0</v>
      </c>
      <c r="L2025" s="6">
        <v>-61.634</v>
      </c>
      <c r="M2025" s="6">
        <v>-61.634</v>
      </c>
      <c r="N2025" s="6">
        <v>-61.634</v>
      </c>
      <c r="O2025" s="6">
        <v>-61.634</v>
      </c>
      <c r="P2025" s="6">
        <v>-41</v>
      </c>
      <c r="Q2025" s="4" t="s">
        <v>26</v>
      </c>
      <c r="R2025" s="4">
        <v>0</v>
      </c>
      <c r="S2025" s="6">
        <v>0</v>
      </c>
      <c r="T2025" s="6">
        <v>39</v>
      </c>
      <c r="U2025" s="6">
        <v>85</v>
      </c>
      <c r="V2025" s="6">
        <f>IF(ISERROR(VLOOKUP($S$2025,'TAR FIN'!$A$1:$O$95,15,0)),0,VLOOKUP($S$2025,'TAR FIN'!$A$1:$O$95,15,0))</f>
        <v>0</v>
      </c>
      <c r="W2025" s="6">
        <f>IF(ISERROR(VLOOKUP($T$2025,'TAR FIN'!$A$1:$O$95,15,0)),0,VLOOKUP($T$2025,'TAR FIN'!$A$1:$O$95,15,0))</f>
        <v>369.16</v>
      </c>
      <c r="X2025" s="6">
        <f>IF(ISERROR(VLOOKUP($U$2025,'TAR FIN'!$A$1:$O$95,15,0)),0,VLOOKUP($U$2025,'TAR FIN'!$A$1:$O$95,15,0))</f>
        <v>199.51</v>
      </c>
      <c r="Y2025" s="6"/>
      <c r="Z2025" s="6">
        <f ca="1">('TUSD BE'!$AM$38+'TUSD BF'!$AM$38+'TUSD CVA'!$AM$38)*(1-CUSTOS!$M$38)</f>
        <v>445.73746261020432</v>
      </c>
      <c r="AA2025" s="6">
        <f>('TE BE'!$AA$26+'TE BF'!$AA$26+'TE CVA'!$AA$26)*(1-CUSTOS!$M$38)</f>
        <v>261.5374640864809</v>
      </c>
      <c r="AB2025" s="6">
        <f>$K$2025*$V$2025</f>
        <v>0</v>
      </c>
      <c r="AC2025" s="6">
        <f>$M$2025*$W$2025</f>
        <v>-22752.80744</v>
      </c>
      <c r="AD2025" s="6">
        <f>$O$2025*$X$2025</f>
        <v>-12296.599339999999</v>
      </c>
      <c r="AE2025" s="6">
        <f>$K$2025*$Y$2025</f>
        <v>0</v>
      </c>
      <c r="AF2025" s="6">
        <f ca="1">$M$2025*$Z$2025</f>
        <v>-27472.582770517332</v>
      </c>
      <c r="AG2025" s="6">
        <f>$O$2025*$AA$2025</f>
        <v>-16119.600061506164</v>
      </c>
    </row>
    <row r="2026" spans="1:33" ht="11.25" customHeight="1" x14ac:dyDescent="0.25">
      <c r="A2026" s="4" t="s">
        <v>30</v>
      </c>
      <c r="B2026" s="4" t="s">
        <v>46</v>
      </c>
      <c r="C2026" s="4" t="s">
        <v>23</v>
      </c>
      <c r="D2026" s="4" t="s">
        <v>47</v>
      </c>
      <c r="E2026" s="4" t="s">
        <v>25</v>
      </c>
      <c r="F2026" s="4" t="s">
        <v>25</v>
      </c>
      <c r="G2026" s="4" t="s">
        <v>25</v>
      </c>
      <c r="H2026" s="4" t="s">
        <v>25</v>
      </c>
      <c r="I2026" s="5">
        <v>44136</v>
      </c>
      <c r="J2026" s="6">
        <v>0</v>
      </c>
      <c r="K2026" s="6">
        <v>0</v>
      </c>
      <c r="L2026" s="6">
        <v>7.718</v>
      </c>
      <c r="M2026" s="6">
        <v>7.718</v>
      </c>
      <c r="N2026" s="6">
        <v>7.718</v>
      </c>
      <c r="O2026" s="6">
        <v>7.718</v>
      </c>
      <c r="P2026" s="6">
        <v>11</v>
      </c>
      <c r="Q2026" s="4" t="s">
        <v>26</v>
      </c>
      <c r="R2026" s="4">
        <v>0</v>
      </c>
      <c r="S2026" s="6">
        <v>0</v>
      </c>
      <c r="T2026" s="6">
        <v>39</v>
      </c>
      <c r="U2026" s="6">
        <v>85</v>
      </c>
      <c r="V2026" s="6">
        <f>IF(ISERROR(VLOOKUP($S$2026,'TAR FIN'!$A$1:$O$95,15,0)),0,VLOOKUP($S$2026,'TAR FIN'!$A$1:$O$95,15,0))</f>
        <v>0</v>
      </c>
      <c r="W2026" s="6">
        <f>IF(ISERROR(VLOOKUP($T$2026,'TAR FIN'!$A$1:$O$95,15,0)),0,VLOOKUP($T$2026,'TAR FIN'!$A$1:$O$95,15,0))</f>
        <v>369.16</v>
      </c>
      <c r="X2026" s="6">
        <f>IF(ISERROR(VLOOKUP($U$2026,'TAR FIN'!$A$1:$O$95,15,0)),0,VLOOKUP($U$2026,'TAR FIN'!$A$1:$O$95,15,0))</f>
        <v>199.51</v>
      </c>
      <c r="Y2026" s="6"/>
      <c r="Z2026" s="6">
        <f ca="1">('TUSD BE'!$AM$38+'TUSD BF'!$AM$38+'TUSD CVA'!$AM$38)*(1-CUSTOS!$M$38)</f>
        <v>445.73746261020432</v>
      </c>
      <c r="AA2026" s="6">
        <f>('TE BE'!$AA$26+'TE BF'!$AA$26+'TE CVA'!$AA$26)*(1-CUSTOS!$M$38)</f>
        <v>261.5374640864809</v>
      </c>
      <c r="AB2026" s="6">
        <f>$K$2026*$V$2026</f>
        <v>0</v>
      </c>
      <c r="AC2026" s="6">
        <f>$M$2026*$W$2026</f>
        <v>2849.17688</v>
      </c>
      <c r="AD2026" s="6">
        <f>$O$2026*$X$2026</f>
        <v>1539.81818</v>
      </c>
      <c r="AE2026" s="6">
        <f>$K$2026*$Y$2026</f>
        <v>0</v>
      </c>
      <c r="AF2026" s="6">
        <f ca="1">$M$2026*$Z$2026</f>
        <v>3440.2017364255571</v>
      </c>
      <c r="AG2026" s="6">
        <f>$O$2026*$AA$2026</f>
        <v>2018.5461478194595</v>
      </c>
    </row>
    <row r="2027" spans="1:33" ht="11.25" customHeight="1" x14ac:dyDescent="0.25">
      <c r="A2027" s="4" t="s">
        <v>30</v>
      </c>
      <c r="B2027" s="4" t="s">
        <v>46</v>
      </c>
      <c r="C2027" s="4" t="s">
        <v>23</v>
      </c>
      <c r="D2027" s="4" t="s">
        <v>47</v>
      </c>
      <c r="E2027" s="4" t="s">
        <v>25</v>
      </c>
      <c r="F2027" s="4" t="s">
        <v>25</v>
      </c>
      <c r="G2027" s="4" t="s">
        <v>25</v>
      </c>
      <c r="H2027" s="4" t="s">
        <v>25</v>
      </c>
      <c r="I2027" s="5">
        <v>44136</v>
      </c>
      <c r="J2027" s="6">
        <v>0</v>
      </c>
      <c r="K2027" s="6">
        <v>0</v>
      </c>
      <c r="L2027" s="6">
        <v>6.8440000000000003</v>
      </c>
      <c r="M2027" s="6">
        <v>6.8440000000000003</v>
      </c>
      <c r="N2027" s="6">
        <v>6.8440000000000003</v>
      </c>
      <c r="O2027" s="6">
        <v>6.8440000000000003</v>
      </c>
      <c r="P2027" s="6">
        <v>1</v>
      </c>
      <c r="Q2027" s="4" t="s">
        <v>26</v>
      </c>
      <c r="R2027" s="4">
        <v>0</v>
      </c>
      <c r="S2027" s="6">
        <v>0</v>
      </c>
      <c r="T2027" s="6">
        <v>39</v>
      </c>
      <c r="U2027" s="6">
        <v>85</v>
      </c>
      <c r="V2027" s="6">
        <f>IF(ISERROR(VLOOKUP($S$2027,'TAR FIN'!$A$1:$O$95,15,0)),0,VLOOKUP($S$2027,'TAR FIN'!$A$1:$O$95,15,0))</f>
        <v>0</v>
      </c>
      <c r="W2027" s="6">
        <f>IF(ISERROR(VLOOKUP($T$2027,'TAR FIN'!$A$1:$O$95,15,0)),0,VLOOKUP($T$2027,'TAR FIN'!$A$1:$O$95,15,0))</f>
        <v>369.16</v>
      </c>
      <c r="X2027" s="6">
        <f>IF(ISERROR(VLOOKUP($U$2027,'TAR FIN'!$A$1:$O$95,15,0)),0,VLOOKUP($U$2027,'TAR FIN'!$A$1:$O$95,15,0))</f>
        <v>199.51</v>
      </c>
      <c r="Y2027" s="6"/>
      <c r="Z2027" s="6">
        <f ca="1">('TUSD BE'!$AM$38+'TUSD BF'!$AM$38+'TUSD CVA'!$AM$38)*(1-CUSTOS!$M$38)</f>
        <v>445.73746261020432</v>
      </c>
      <c r="AA2027" s="6">
        <f>('TE BE'!$AA$26+'TE BF'!$AA$26+'TE CVA'!$AA$26)*(1-CUSTOS!$M$38)</f>
        <v>261.5374640864809</v>
      </c>
      <c r="AB2027" s="6">
        <f>$K$2027*$V$2027</f>
        <v>0</v>
      </c>
      <c r="AC2027" s="6">
        <f>$M$2027*$W$2027</f>
        <v>2526.5310400000003</v>
      </c>
      <c r="AD2027" s="6">
        <f>$O$2027*$X$2027</f>
        <v>1365.4464399999999</v>
      </c>
      <c r="AE2027" s="6">
        <f>$K$2027*$Y$2027</f>
        <v>0</v>
      </c>
      <c r="AF2027" s="6">
        <f ca="1">$M$2027*$Z$2027</f>
        <v>3050.6271941042387</v>
      </c>
      <c r="AG2027" s="6">
        <f>$O$2027*$AA$2027</f>
        <v>1789.9624042078754</v>
      </c>
    </row>
    <row r="2028" spans="1:33" ht="11.25" customHeight="1" x14ac:dyDescent="0.25">
      <c r="A2028" s="4" t="s">
        <v>21</v>
      </c>
      <c r="B2028" s="4" t="s">
        <v>46</v>
      </c>
      <c r="C2028" s="4" t="s">
        <v>23</v>
      </c>
      <c r="D2028" s="4" t="s">
        <v>47</v>
      </c>
      <c r="E2028" s="4" t="s">
        <v>25</v>
      </c>
      <c r="F2028" s="4" t="s">
        <v>25</v>
      </c>
      <c r="G2028" s="4" t="s">
        <v>25</v>
      </c>
      <c r="H2028" s="4" t="s">
        <v>25</v>
      </c>
      <c r="I2028" s="5">
        <v>44166</v>
      </c>
      <c r="J2028" s="6">
        <v>0</v>
      </c>
      <c r="K2028" s="6">
        <v>0</v>
      </c>
      <c r="L2028" s="6">
        <v>1598.566</v>
      </c>
      <c r="M2028" s="6">
        <v>1598.566</v>
      </c>
      <c r="N2028" s="6">
        <v>1598.566</v>
      </c>
      <c r="O2028" s="6">
        <v>1598.566</v>
      </c>
      <c r="P2028" s="6">
        <v>8021</v>
      </c>
      <c r="Q2028" s="4" t="s">
        <v>26</v>
      </c>
      <c r="R2028" s="4">
        <v>0</v>
      </c>
      <c r="S2028" s="6">
        <v>0</v>
      </c>
      <c r="T2028" s="6">
        <v>39</v>
      </c>
      <c r="U2028" s="6">
        <v>85</v>
      </c>
      <c r="V2028" s="6">
        <f>IF(ISERROR(VLOOKUP($S$2028,'TAR FIN'!$A$1:$O$95,15,0)),0,VLOOKUP($S$2028,'TAR FIN'!$A$1:$O$95,15,0))</f>
        <v>0</v>
      </c>
      <c r="W2028" s="6">
        <f>IF(ISERROR(VLOOKUP($T$2028,'TAR FIN'!$A$1:$O$95,15,0)),0,VLOOKUP($T$2028,'TAR FIN'!$A$1:$O$95,15,0))</f>
        <v>369.16</v>
      </c>
      <c r="X2028" s="6">
        <f>IF(ISERROR(VLOOKUP($U$2028,'TAR FIN'!$A$1:$O$95,15,0)),0,VLOOKUP($U$2028,'TAR FIN'!$A$1:$O$95,15,0))</f>
        <v>199.51</v>
      </c>
      <c r="Y2028" s="6"/>
      <c r="Z2028" s="6">
        <f ca="1">('TUSD BE'!$AM$38+'TUSD BF'!$AM$38+'TUSD CVA'!$AM$38)*(1-CUSTOS!$M$38)</f>
        <v>445.73746261020432</v>
      </c>
      <c r="AA2028" s="6">
        <f>('TE BE'!$AA$26+'TE BF'!$AA$26+'TE CVA'!$AA$26)*(1-CUSTOS!$M$38)</f>
        <v>261.5374640864809</v>
      </c>
      <c r="AB2028" s="6">
        <f>$K$2028*$V$2028</f>
        <v>0</v>
      </c>
      <c r="AC2028" s="6">
        <f>$M$2028*$W$2028</f>
        <v>590126.62456000003</v>
      </c>
      <c r="AD2028" s="6">
        <f>$O$2028*$X$2028</f>
        <v>318929.90265999996</v>
      </c>
      <c r="AE2028" s="6">
        <f>$K$2028*$Y$2028</f>
        <v>0</v>
      </c>
      <c r="AF2028" s="6">
        <f ca="1">$M$2028*$Z$2028</f>
        <v>712540.75265494385</v>
      </c>
      <c r="AG2028" s="6">
        <f>$O$2028*$AA$2028</f>
        <v>418084.89781486942</v>
      </c>
    </row>
    <row r="2029" spans="1:33" ht="11.25" customHeight="1" x14ac:dyDescent="0.25">
      <c r="A2029" s="4" t="s">
        <v>27</v>
      </c>
      <c r="B2029" s="4" t="s">
        <v>46</v>
      </c>
      <c r="C2029" s="4" t="s">
        <v>23</v>
      </c>
      <c r="D2029" s="4" t="s">
        <v>47</v>
      </c>
      <c r="E2029" s="4" t="s">
        <v>25</v>
      </c>
      <c r="F2029" s="4" t="s">
        <v>25</v>
      </c>
      <c r="G2029" s="4" t="s">
        <v>25</v>
      </c>
      <c r="H2029" s="4" t="s">
        <v>25</v>
      </c>
      <c r="I2029" s="5">
        <v>44166</v>
      </c>
      <c r="J2029" s="6">
        <v>0</v>
      </c>
      <c r="K2029" s="6">
        <v>0</v>
      </c>
      <c r="L2029" s="6">
        <v>-76.828000000000003</v>
      </c>
      <c r="M2029" s="6">
        <v>-76.828000000000003</v>
      </c>
      <c r="N2029" s="6">
        <v>-76.828000000000003</v>
      </c>
      <c r="O2029" s="6">
        <v>-76.828000000000003</v>
      </c>
      <c r="P2029" s="6">
        <v>0</v>
      </c>
      <c r="Q2029" s="4" t="s">
        <v>26</v>
      </c>
      <c r="R2029" s="4">
        <v>0</v>
      </c>
      <c r="S2029" s="6">
        <v>0</v>
      </c>
      <c r="T2029" s="6">
        <v>39</v>
      </c>
      <c r="U2029" s="6">
        <v>85</v>
      </c>
      <c r="V2029" s="6">
        <f>IF(ISERROR(VLOOKUP($S$2029,'TAR FIN'!$A$1:$O$95,15,0)),0,VLOOKUP($S$2029,'TAR FIN'!$A$1:$O$95,15,0))</f>
        <v>0</v>
      </c>
      <c r="W2029" s="6">
        <f>IF(ISERROR(VLOOKUP($T$2029,'TAR FIN'!$A$1:$O$95,15,0)),0,VLOOKUP($T$2029,'TAR FIN'!$A$1:$O$95,15,0))</f>
        <v>369.16</v>
      </c>
      <c r="X2029" s="6">
        <f>IF(ISERROR(VLOOKUP($U$2029,'TAR FIN'!$A$1:$O$95,15,0)),0,VLOOKUP($U$2029,'TAR FIN'!$A$1:$O$95,15,0))</f>
        <v>199.51</v>
      </c>
      <c r="Y2029" s="6"/>
      <c r="Z2029" s="6">
        <f ca="1">('TUSD BE'!$AM$38+'TUSD BF'!$AM$38+'TUSD CVA'!$AM$38)*(1-CUSTOS!$M$38)</f>
        <v>445.73746261020432</v>
      </c>
      <c r="AA2029" s="6">
        <f>('TE BE'!$AA$26+'TE BF'!$AA$26+'TE CVA'!$AA$26)*(1-CUSTOS!$M$38)</f>
        <v>261.5374640864809</v>
      </c>
      <c r="AB2029" s="6">
        <f>$K$2029*$V$2029</f>
        <v>0</v>
      </c>
      <c r="AC2029" s="6">
        <f>$M$2029*$W$2029</f>
        <v>-28361.824480000003</v>
      </c>
      <c r="AD2029" s="6">
        <f>$O$2029*$X$2029</f>
        <v>-15327.95428</v>
      </c>
      <c r="AE2029" s="6">
        <f>$K$2029*$Y$2029</f>
        <v>0</v>
      </c>
      <c r="AF2029" s="6">
        <f ca="1">$M$2029*$Z$2029</f>
        <v>-34245.117777416781</v>
      </c>
      <c r="AG2029" s="6">
        <f>$O$2029*$AA$2029</f>
        <v>-20093.400290836154</v>
      </c>
    </row>
    <row r="2030" spans="1:33" ht="11.25" customHeight="1" x14ac:dyDescent="0.25">
      <c r="A2030" s="4" t="s">
        <v>28</v>
      </c>
      <c r="B2030" s="4" t="s">
        <v>46</v>
      </c>
      <c r="C2030" s="4" t="s">
        <v>23</v>
      </c>
      <c r="D2030" s="4" t="s">
        <v>47</v>
      </c>
      <c r="E2030" s="4" t="s">
        <v>25</v>
      </c>
      <c r="F2030" s="4" t="s">
        <v>25</v>
      </c>
      <c r="G2030" s="4" t="s">
        <v>25</v>
      </c>
      <c r="H2030" s="4" t="s">
        <v>25</v>
      </c>
      <c r="I2030" s="5">
        <v>44166</v>
      </c>
      <c r="J2030" s="6">
        <v>0</v>
      </c>
      <c r="K2030" s="6">
        <v>0</v>
      </c>
      <c r="L2030" s="6">
        <v>4236.6030000000001</v>
      </c>
      <c r="M2030" s="6">
        <v>4236.6030000000001</v>
      </c>
      <c r="N2030" s="6">
        <v>4236.6030000000001</v>
      </c>
      <c r="O2030" s="6">
        <v>4236.6030000000001</v>
      </c>
      <c r="P2030" s="6">
        <v>36013</v>
      </c>
      <c r="Q2030" s="4" t="s">
        <v>26</v>
      </c>
      <c r="R2030" s="4">
        <v>0</v>
      </c>
      <c r="S2030" s="6">
        <v>0</v>
      </c>
      <c r="T2030" s="6">
        <v>39</v>
      </c>
      <c r="U2030" s="6">
        <v>85</v>
      </c>
      <c r="V2030" s="6">
        <f>IF(ISERROR(VLOOKUP($S$2030,'TAR FIN'!$A$1:$O$95,15,0)),0,VLOOKUP($S$2030,'TAR FIN'!$A$1:$O$95,15,0))</f>
        <v>0</v>
      </c>
      <c r="W2030" s="6">
        <f>IF(ISERROR(VLOOKUP($T$2030,'TAR FIN'!$A$1:$O$95,15,0)),0,VLOOKUP($T$2030,'TAR FIN'!$A$1:$O$95,15,0))</f>
        <v>369.16</v>
      </c>
      <c r="X2030" s="6">
        <f>IF(ISERROR(VLOOKUP($U$2030,'TAR FIN'!$A$1:$O$95,15,0)),0,VLOOKUP($U$2030,'TAR FIN'!$A$1:$O$95,15,0))</f>
        <v>199.51</v>
      </c>
      <c r="Y2030" s="6"/>
      <c r="Z2030" s="6">
        <f ca="1">('TUSD BE'!$AM$38+'TUSD BF'!$AM$38+'TUSD CVA'!$AM$38)*(1-CUSTOS!$M$38)</f>
        <v>445.73746261020432</v>
      </c>
      <c r="AA2030" s="6">
        <f>('TE BE'!$AA$26+'TE BF'!$AA$26+'TE CVA'!$AA$26)*(1-CUSTOS!$M$38)</f>
        <v>261.5374640864809</v>
      </c>
      <c r="AB2030" s="6">
        <f>$K$2030*$V$2030</f>
        <v>0</v>
      </c>
      <c r="AC2030" s="6">
        <f>$M$2030*$W$2030</f>
        <v>1563984.3634800001</v>
      </c>
      <c r="AD2030" s="6">
        <f>$O$2030*$X$2030</f>
        <v>845244.66452999995</v>
      </c>
      <c r="AE2030" s="6">
        <f>$K$2030*$Y$2030</f>
        <v>0</v>
      </c>
      <c r="AF2030" s="6">
        <f ca="1">$M$2030*$Z$2030</f>
        <v>1888412.6713067794</v>
      </c>
      <c r="AG2030" s="6">
        <f>$O$2030*$AA$2030</f>
        <v>1108030.4049611771</v>
      </c>
    </row>
    <row r="2031" spans="1:33" ht="11.25" customHeight="1" x14ac:dyDescent="0.25">
      <c r="A2031" s="4" t="s">
        <v>29</v>
      </c>
      <c r="B2031" s="4" t="s">
        <v>46</v>
      </c>
      <c r="C2031" s="4" t="s">
        <v>23</v>
      </c>
      <c r="D2031" s="4" t="s">
        <v>47</v>
      </c>
      <c r="E2031" s="4" t="s">
        <v>25</v>
      </c>
      <c r="F2031" s="4" t="s">
        <v>25</v>
      </c>
      <c r="G2031" s="4" t="s">
        <v>25</v>
      </c>
      <c r="H2031" s="4" t="s">
        <v>25</v>
      </c>
      <c r="I2031" s="5">
        <v>44166</v>
      </c>
      <c r="J2031" s="6">
        <v>0</v>
      </c>
      <c r="K2031" s="6">
        <v>0</v>
      </c>
      <c r="L2031" s="6">
        <v>-10.084</v>
      </c>
      <c r="M2031" s="6">
        <v>-10.084</v>
      </c>
      <c r="N2031" s="6">
        <v>-10.084</v>
      </c>
      <c r="O2031" s="6">
        <v>-10.084</v>
      </c>
      <c r="P2031" s="6">
        <v>0</v>
      </c>
      <c r="Q2031" s="4" t="s">
        <v>26</v>
      </c>
      <c r="R2031" s="4">
        <v>0</v>
      </c>
      <c r="S2031" s="6">
        <v>0</v>
      </c>
      <c r="T2031" s="6">
        <v>39</v>
      </c>
      <c r="U2031" s="6">
        <v>85</v>
      </c>
      <c r="V2031" s="6">
        <f>IF(ISERROR(VLOOKUP($S$2031,'TAR FIN'!$A$1:$O$95,15,0)),0,VLOOKUP($S$2031,'TAR FIN'!$A$1:$O$95,15,0))</f>
        <v>0</v>
      </c>
      <c r="W2031" s="6">
        <f>IF(ISERROR(VLOOKUP($T$2031,'TAR FIN'!$A$1:$O$95,15,0)),0,VLOOKUP($T$2031,'TAR FIN'!$A$1:$O$95,15,0))</f>
        <v>369.16</v>
      </c>
      <c r="X2031" s="6">
        <f>IF(ISERROR(VLOOKUP($U$2031,'TAR FIN'!$A$1:$O$95,15,0)),0,VLOOKUP($U$2031,'TAR FIN'!$A$1:$O$95,15,0))</f>
        <v>199.51</v>
      </c>
      <c r="Y2031" s="6"/>
      <c r="Z2031" s="6">
        <f ca="1">('TUSD BE'!$AM$38+'TUSD BF'!$AM$38+'TUSD CVA'!$AM$38)*(1-CUSTOS!$M$38)</f>
        <v>445.73746261020432</v>
      </c>
      <c r="AA2031" s="6">
        <f>('TE BE'!$AA$26+'TE BF'!$AA$26+'TE CVA'!$AA$26)*(1-CUSTOS!$M$38)</f>
        <v>261.5374640864809</v>
      </c>
      <c r="AB2031" s="6">
        <f>$K$2031*$V$2031</f>
        <v>0</v>
      </c>
      <c r="AC2031" s="6">
        <f>$M$2031*$W$2031</f>
        <v>-3722.6094400000002</v>
      </c>
      <c r="AD2031" s="6">
        <f>$O$2031*$X$2031</f>
        <v>-2011.8588399999999</v>
      </c>
      <c r="AE2031" s="6">
        <f>$K$2031*$Y$2031</f>
        <v>0</v>
      </c>
      <c r="AF2031" s="6">
        <f ca="1">$M$2031*$Z$2031</f>
        <v>-4494.8165729613002</v>
      </c>
      <c r="AG2031" s="6">
        <f>$O$2031*$AA$2031</f>
        <v>-2637.3437878480731</v>
      </c>
    </row>
    <row r="2032" spans="1:33" ht="11.25" customHeight="1" x14ac:dyDescent="0.25">
      <c r="A2032" s="4" t="s">
        <v>30</v>
      </c>
      <c r="B2032" s="4" t="s">
        <v>46</v>
      </c>
      <c r="C2032" s="4" t="s">
        <v>23</v>
      </c>
      <c r="D2032" s="4" t="s">
        <v>47</v>
      </c>
      <c r="E2032" s="4" t="s">
        <v>25</v>
      </c>
      <c r="F2032" s="4" t="s">
        <v>25</v>
      </c>
      <c r="G2032" s="4" t="s">
        <v>25</v>
      </c>
      <c r="H2032" s="4" t="s">
        <v>25</v>
      </c>
      <c r="I2032" s="5">
        <v>44166</v>
      </c>
      <c r="J2032" s="6">
        <v>0</v>
      </c>
      <c r="K2032" s="6">
        <v>0</v>
      </c>
      <c r="L2032" s="6">
        <v>7.3019999999999996</v>
      </c>
      <c r="M2032" s="6">
        <v>7.3019999999999996</v>
      </c>
      <c r="N2032" s="6">
        <v>7.3019999999999996</v>
      </c>
      <c r="O2032" s="6">
        <v>7.3019999999999996</v>
      </c>
      <c r="P2032" s="6">
        <v>11</v>
      </c>
      <c r="Q2032" s="4" t="s">
        <v>26</v>
      </c>
      <c r="R2032" s="4">
        <v>0</v>
      </c>
      <c r="S2032" s="6">
        <v>0</v>
      </c>
      <c r="T2032" s="6">
        <v>39</v>
      </c>
      <c r="U2032" s="6">
        <v>85</v>
      </c>
      <c r="V2032" s="6">
        <f>IF(ISERROR(VLOOKUP($S$2032,'TAR FIN'!$A$1:$O$95,15,0)),0,VLOOKUP($S$2032,'TAR FIN'!$A$1:$O$95,15,0))</f>
        <v>0</v>
      </c>
      <c r="W2032" s="6">
        <f>IF(ISERROR(VLOOKUP($T$2032,'TAR FIN'!$A$1:$O$95,15,0)),0,VLOOKUP($T$2032,'TAR FIN'!$A$1:$O$95,15,0))</f>
        <v>369.16</v>
      </c>
      <c r="X2032" s="6">
        <f>IF(ISERROR(VLOOKUP($U$2032,'TAR FIN'!$A$1:$O$95,15,0)),0,VLOOKUP($U$2032,'TAR FIN'!$A$1:$O$95,15,0))</f>
        <v>199.51</v>
      </c>
      <c r="Y2032" s="6"/>
      <c r="Z2032" s="6">
        <f ca="1">('TUSD BE'!$AM$38+'TUSD BF'!$AM$38+'TUSD CVA'!$AM$38)*(1-CUSTOS!$M$38)</f>
        <v>445.73746261020432</v>
      </c>
      <c r="AA2032" s="6">
        <f>('TE BE'!$AA$26+'TE BF'!$AA$26+'TE CVA'!$AA$26)*(1-CUSTOS!$M$38)</f>
        <v>261.5374640864809</v>
      </c>
      <c r="AB2032" s="6">
        <f>$K$2032*$V$2032</f>
        <v>0</v>
      </c>
      <c r="AC2032" s="6">
        <f>$M$2032*$W$2032</f>
        <v>2695.6063199999999</v>
      </c>
      <c r="AD2032" s="6">
        <f>$O$2032*$X$2032</f>
        <v>1456.8220199999998</v>
      </c>
      <c r="AE2032" s="6">
        <f>$K$2032*$Y$2032</f>
        <v>0</v>
      </c>
      <c r="AF2032" s="6">
        <f ca="1">$M$2032*$Z$2032</f>
        <v>3254.7749519797117</v>
      </c>
      <c r="AG2032" s="6">
        <f>$O$2032*$AA$2032</f>
        <v>1909.7465627594834</v>
      </c>
    </row>
    <row r="2033" spans="1:33" ht="11.25" customHeight="1" x14ac:dyDescent="0.25">
      <c r="A2033" s="4" t="s">
        <v>21</v>
      </c>
      <c r="B2033" s="4" t="s">
        <v>46</v>
      </c>
      <c r="C2033" s="4" t="s">
        <v>23</v>
      </c>
      <c r="D2033" s="4" t="s">
        <v>47</v>
      </c>
      <c r="E2033" s="4" t="s">
        <v>25</v>
      </c>
      <c r="F2033" s="4" t="s">
        <v>25</v>
      </c>
      <c r="G2033" s="4" t="s">
        <v>25</v>
      </c>
      <c r="H2033" s="4" t="s">
        <v>25</v>
      </c>
      <c r="I2033" s="5">
        <v>44197</v>
      </c>
      <c r="J2033" s="6">
        <v>0</v>
      </c>
      <c r="K2033" s="6">
        <v>0</v>
      </c>
      <c r="L2033" s="6">
        <v>1548.175</v>
      </c>
      <c r="M2033" s="6">
        <v>1548.175</v>
      </c>
      <c r="N2033" s="6">
        <v>1548.175</v>
      </c>
      <c r="O2033" s="6">
        <v>1548.175</v>
      </c>
      <c r="P2033" s="6">
        <v>8006</v>
      </c>
      <c r="Q2033" s="4" t="s">
        <v>26</v>
      </c>
      <c r="R2033" s="4">
        <v>0</v>
      </c>
      <c r="S2033" s="6">
        <v>0</v>
      </c>
      <c r="T2033" s="6">
        <v>39</v>
      </c>
      <c r="U2033" s="6">
        <v>85</v>
      </c>
      <c r="V2033" s="6">
        <f>IF(ISERROR(VLOOKUP($S$2033,'TAR FIN'!$A$1:$O$95,15,0)),0,VLOOKUP($S$2033,'TAR FIN'!$A$1:$O$95,15,0))</f>
        <v>0</v>
      </c>
      <c r="W2033" s="6">
        <f>IF(ISERROR(VLOOKUP($T$2033,'TAR FIN'!$A$1:$O$95,15,0)),0,VLOOKUP($T$2033,'TAR FIN'!$A$1:$O$95,15,0))</f>
        <v>369.16</v>
      </c>
      <c r="X2033" s="6">
        <f>IF(ISERROR(VLOOKUP($U$2033,'TAR FIN'!$A$1:$O$95,15,0)),0,VLOOKUP($U$2033,'TAR FIN'!$A$1:$O$95,15,0))</f>
        <v>199.51</v>
      </c>
      <c r="Y2033" s="6"/>
      <c r="Z2033" s="6">
        <f ca="1">('TUSD BE'!$AM$38+'TUSD BF'!$AM$38+'TUSD CVA'!$AM$38)*(1-CUSTOS!$M$38)</f>
        <v>445.73746261020432</v>
      </c>
      <c r="AA2033" s="6">
        <f>('TE BE'!$AA$26+'TE BF'!$AA$26+'TE CVA'!$AA$26)*(1-CUSTOS!$M$38)</f>
        <v>261.5374640864809</v>
      </c>
      <c r="AB2033" s="6">
        <f>$K$2033*$V$2033</f>
        <v>0</v>
      </c>
      <c r="AC2033" s="6">
        <f>$M$2033*$W$2033</f>
        <v>571524.28300000005</v>
      </c>
      <c r="AD2033" s="6">
        <f>$O$2033*$X$2033</f>
        <v>308876.39424999995</v>
      </c>
      <c r="AE2033" s="6">
        <f>$K$2033*$Y$2033</f>
        <v>0</v>
      </c>
      <c r="AF2033" s="6">
        <f ca="1">$M$2033*$Z$2033</f>
        <v>690079.59617655305</v>
      </c>
      <c r="AG2033" s="6">
        <f>$O$2033*$AA$2033</f>
        <v>404905.76346208755</v>
      </c>
    </row>
    <row r="2034" spans="1:33" ht="11.25" customHeight="1" x14ac:dyDescent="0.25">
      <c r="A2034" s="4" t="s">
        <v>27</v>
      </c>
      <c r="B2034" s="4" t="s">
        <v>46</v>
      </c>
      <c r="C2034" s="4" t="s">
        <v>23</v>
      </c>
      <c r="D2034" s="4" t="s">
        <v>47</v>
      </c>
      <c r="E2034" s="4" t="s">
        <v>25</v>
      </c>
      <c r="F2034" s="4" t="s">
        <v>25</v>
      </c>
      <c r="G2034" s="4" t="s">
        <v>25</v>
      </c>
      <c r="H2034" s="4" t="s">
        <v>25</v>
      </c>
      <c r="I2034" s="5">
        <v>44197</v>
      </c>
      <c r="J2034" s="6">
        <v>0</v>
      </c>
      <c r="K2034" s="6">
        <v>0</v>
      </c>
      <c r="L2034" s="6">
        <v>-125.527</v>
      </c>
      <c r="M2034" s="6">
        <v>-125.527</v>
      </c>
      <c r="N2034" s="6">
        <v>-125.527</v>
      </c>
      <c r="O2034" s="6">
        <v>-125.527</v>
      </c>
      <c r="P2034" s="6">
        <v>0</v>
      </c>
      <c r="Q2034" s="4" t="s">
        <v>26</v>
      </c>
      <c r="R2034" s="4">
        <v>0</v>
      </c>
      <c r="S2034" s="6">
        <v>0</v>
      </c>
      <c r="T2034" s="6">
        <v>39</v>
      </c>
      <c r="U2034" s="6">
        <v>85</v>
      </c>
      <c r="V2034" s="6">
        <f>IF(ISERROR(VLOOKUP($S$2034,'TAR FIN'!$A$1:$O$95,15,0)),0,VLOOKUP($S$2034,'TAR FIN'!$A$1:$O$95,15,0))</f>
        <v>0</v>
      </c>
      <c r="W2034" s="6">
        <f>IF(ISERROR(VLOOKUP($T$2034,'TAR FIN'!$A$1:$O$95,15,0)),0,VLOOKUP($T$2034,'TAR FIN'!$A$1:$O$95,15,0))</f>
        <v>369.16</v>
      </c>
      <c r="X2034" s="6">
        <f>IF(ISERROR(VLOOKUP($U$2034,'TAR FIN'!$A$1:$O$95,15,0)),0,VLOOKUP($U$2034,'TAR FIN'!$A$1:$O$95,15,0))</f>
        <v>199.51</v>
      </c>
      <c r="Y2034" s="6"/>
      <c r="Z2034" s="6">
        <f ca="1">('TUSD BE'!$AM$38+'TUSD BF'!$AM$38+'TUSD CVA'!$AM$38)*(1-CUSTOS!$M$38)</f>
        <v>445.73746261020432</v>
      </c>
      <c r="AA2034" s="6">
        <f>('TE BE'!$AA$26+'TE BF'!$AA$26+'TE CVA'!$AA$26)*(1-CUSTOS!$M$38)</f>
        <v>261.5374640864809</v>
      </c>
      <c r="AB2034" s="6">
        <f>$K$2034*$V$2034</f>
        <v>0</v>
      </c>
      <c r="AC2034" s="6">
        <f>$M$2034*$W$2034</f>
        <v>-46339.547320000005</v>
      </c>
      <c r="AD2034" s="6">
        <f>$O$2034*$X$2034</f>
        <v>-25043.891769999998</v>
      </c>
      <c r="AE2034" s="6">
        <f>$K$2034*$Y$2034</f>
        <v>0</v>
      </c>
      <c r="AF2034" s="6">
        <f ca="1">$M$2034*$Z$2034</f>
        <v>-55952.086469071117</v>
      </c>
      <c r="AG2034" s="6">
        <f>$O$2034*$AA$2034</f>
        <v>-32830.013254383688</v>
      </c>
    </row>
    <row r="2035" spans="1:33" ht="11.25" customHeight="1" x14ac:dyDescent="0.25">
      <c r="A2035" s="4" t="s">
        <v>28</v>
      </c>
      <c r="B2035" s="4" t="s">
        <v>46</v>
      </c>
      <c r="C2035" s="4" t="s">
        <v>23</v>
      </c>
      <c r="D2035" s="4" t="s">
        <v>47</v>
      </c>
      <c r="E2035" s="4" t="s">
        <v>25</v>
      </c>
      <c r="F2035" s="4" t="s">
        <v>25</v>
      </c>
      <c r="G2035" s="4" t="s">
        <v>25</v>
      </c>
      <c r="H2035" s="4" t="s">
        <v>25</v>
      </c>
      <c r="I2035" s="5">
        <v>44197</v>
      </c>
      <c r="J2035" s="6">
        <v>0</v>
      </c>
      <c r="K2035" s="6">
        <v>0</v>
      </c>
      <c r="L2035" s="6">
        <v>3906.348</v>
      </c>
      <c r="M2035" s="6">
        <v>3906.348</v>
      </c>
      <c r="N2035" s="6">
        <v>3906.348</v>
      </c>
      <c r="O2035" s="6">
        <v>3906.348</v>
      </c>
      <c r="P2035" s="6">
        <v>35938</v>
      </c>
      <c r="Q2035" s="4" t="s">
        <v>26</v>
      </c>
      <c r="R2035" s="4">
        <v>0</v>
      </c>
      <c r="S2035" s="6">
        <v>0</v>
      </c>
      <c r="T2035" s="6">
        <v>39</v>
      </c>
      <c r="U2035" s="6">
        <v>85</v>
      </c>
      <c r="V2035" s="6">
        <f>IF(ISERROR(VLOOKUP($S$2035,'TAR FIN'!$A$1:$O$95,15,0)),0,VLOOKUP($S$2035,'TAR FIN'!$A$1:$O$95,15,0))</f>
        <v>0</v>
      </c>
      <c r="W2035" s="6">
        <f>IF(ISERROR(VLOOKUP($T$2035,'TAR FIN'!$A$1:$O$95,15,0)),0,VLOOKUP($T$2035,'TAR FIN'!$A$1:$O$95,15,0))</f>
        <v>369.16</v>
      </c>
      <c r="X2035" s="6">
        <f>IF(ISERROR(VLOOKUP($U$2035,'TAR FIN'!$A$1:$O$95,15,0)),0,VLOOKUP($U$2035,'TAR FIN'!$A$1:$O$95,15,0))</f>
        <v>199.51</v>
      </c>
      <c r="Y2035" s="6"/>
      <c r="Z2035" s="6">
        <f ca="1">('TUSD BE'!$AM$38+'TUSD BF'!$AM$38+'TUSD CVA'!$AM$38)*(1-CUSTOS!$M$38)</f>
        <v>445.73746261020432</v>
      </c>
      <c r="AA2035" s="6">
        <f>('TE BE'!$AA$26+'TE BF'!$AA$26+'TE CVA'!$AA$26)*(1-CUSTOS!$M$38)</f>
        <v>261.5374640864809</v>
      </c>
      <c r="AB2035" s="6">
        <f>$K$2035*$V$2035</f>
        <v>0</v>
      </c>
      <c r="AC2035" s="6">
        <f>$M$2035*$W$2035</f>
        <v>1442067.4276800002</v>
      </c>
      <c r="AD2035" s="6">
        <f>$O$2035*$X$2035</f>
        <v>779355.48947999999</v>
      </c>
      <c r="AE2035" s="6">
        <f>$K$2035*$Y$2035</f>
        <v>0</v>
      </c>
      <c r="AF2035" s="6">
        <f ca="1">$M$2035*$Z$2035</f>
        <v>1741205.6455924464</v>
      </c>
      <c r="AG2035" s="6">
        <f>$O$2035*$AA$2035</f>
        <v>1021656.3497592965</v>
      </c>
    </row>
    <row r="2036" spans="1:33" ht="11.25" customHeight="1" x14ac:dyDescent="0.25">
      <c r="A2036" s="4" t="s">
        <v>29</v>
      </c>
      <c r="B2036" s="4" t="s">
        <v>46</v>
      </c>
      <c r="C2036" s="4" t="s">
        <v>23</v>
      </c>
      <c r="D2036" s="4" t="s">
        <v>47</v>
      </c>
      <c r="E2036" s="4" t="s">
        <v>25</v>
      </c>
      <c r="F2036" s="4" t="s">
        <v>25</v>
      </c>
      <c r="G2036" s="4" t="s">
        <v>25</v>
      </c>
      <c r="H2036" s="4" t="s">
        <v>25</v>
      </c>
      <c r="I2036" s="5">
        <v>44197</v>
      </c>
      <c r="J2036" s="6">
        <v>0</v>
      </c>
      <c r="K2036" s="6">
        <v>0</v>
      </c>
      <c r="L2036" s="6">
        <v>-152.096</v>
      </c>
      <c r="M2036" s="6">
        <v>-152.096</v>
      </c>
      <c r="N2036" s="6">
        <v>-152.096</v>
      </c>
      <c r="O2036" s="6">
        <v>-152.096</v>
      </c>
      <c r="P2036" s="6">
        <v>0</v>
      </c>
      <c r="Q2036" s="4" t="s">
        <v>26</v>
      </c>
      <c r="R2036" s="4">
        <v>0</v>
      </c>
      <c r="S2036" s="6">
        <v>0</v>
      </c>
      <c r="T2036" s="6">
        <v>39</v>
      </c>
      <c r="U2036" s="6">
        <v>85</v>
      </c>
      <c r="V2036" s="6">
        <f>IF(ISERROR(VLOOKUP($S$2036,'TAR FIN'!$A$1:$O$95,15,0)),0,VLOOKUP($S$2036,'TAR FIN'!$A$1:$O$95,15,0))</f>
        <v>0</v>
      </c>
      <c r="W2036" s="6">
        <f>IF(ISERROR(VLOOKUP($T$2036,'TAR FIN'!$A$1:$O$95,15,0)),0,VLOOKUP($T$2036,'TAR FIN'!$A$1:$O$95,15,0))</f>
        <v>369.16</v>
      </c>
      <c r="X2036" s="6">
        <f>IF(ISERROR(VLOOKUP($U$2036,'TAR FIN'!$A$1:$O$95,15,0)),0,VLOOKUP($U$2036,'TAR FIN'!$A$1:$O$95,15,0))</f>
        <v>199.51</v>
      </c>
      <c r="Y2036" s="6"/>
      <c r="Z2036" s="6">
        <f ca="1">('TUSD BE'!$AM$38+'TUSD BF'!$AM$38+'TUSD CVA'!$AM$38)*(1-CUSTOS!$M$38)</f>
        <v>445.73746261020432</v>
      </c>
      <c r="AA2036" s="6">
        <f>('TE BE'!$AA$26+'TE BF'!$AA$26+'TE CVA'!$AA$26)*(1-CUSTOS!$M$38)</f>
        <v>261.5374640864809</v>
      </c>
      <c r="AB2036" s="6">
        <f>$K$2036*$V$2036</f>
        <v>0</v>
      </c>
      <c r="AC2036" s="6">
        <f>$M$2036*$W$2036</f>
        <v>-56147.759360000004</v>
      </c>
      <c r="AD2036" s="6">
        <f>$O$2036*$X$2036</f>
        <v>-30344.67296</v>
      </c>
      <c r="AE2036" s="6">
        <f>$K$2036*$Y$2036</f>
        <v>0</v>
      </c>
      <c r="AF2036" s="6">
        <f ca="1">$M$2036*$Z$2036</f>
        <v>-67794.885113161639</v>
      </c>
      <c r="AG2036" s="6">
        <f>$O$2036*$AA$2036</f>
        <v>-39778.802137697399</v>
      </c>
    </row>
    <row r="2037" spans="1:33" ht="11.25" customHeight="1" x14ac:dyDescent="0.25">
      <c r="A2037" s="4" t="s">
        <v>30</v>
      </c>
      <c r="B2037" s="4" t="s">
        <v>46</v>
      </c>
      <c r="C2037" s="4" t="s">
        <v>23</v>
      </c>
      <c r="D2037" s="4" t="s">
        <v>47</v>
      </c>
      <c r="E2037" s="4" t="s">
        <v>25</v>
      </c>
      <c r="F2037" s="4" t="s">
        <v>25</v>
      </c>
      <c r="G2037" s="4" t="s">
        <v>25</v>
      </c>
      <c r="H2037" s="4" t="s">
        <v>25</v>
      </c>
      <c r="I2037" s="5">
        <v>44197</v>
      </c>
      <c r="J2037" s="6">
        <v>0</v>
      </c>
      <c r="K2037" s="6">
        <v>0</v>
      </c>
      <c r="L2037" s="6">
        <v>7.7320000000000002</v>
      </c>
      <c r="M2037" s="6">
        <v>7.7320000000000002</v>
      </c>
      <c r="N2037" s="6">
        <v>7.7320000000000002</v>
      </c>
      <c r="O2037" s="6">
        <v>7.7320000000000002</v>
      </c>
      <c r="P2037" s="6">
        <v>11</v>
      </c>
      <c r="Q2037" s="4" t="s">
        <v>26</v>
      </c>
      <c r="R2037" s="4">
        <v>0</v>
      </c>
      <c r="S2037" s="6">
        <v>0</v>
      </c>
      <c r="T2037" s="6">
        <v>39</v>
      </c>
      <c r="U2037" s="6">
        <v>85</v>
      </c>
      <c r="V2037" s="6">
        <f>IF(ISERROR(VLOOKUP($S$2037,'TAR FIN'!$A$1:$O$95,15,0)),0,VLOOKUP($S$2037,'TAR FIN'!$A$1:$O$95,15,0))</f>
        <v>0</v>
      </c>
      <c r="W2037" s="6">
        <f>IF(ISERROR(VLOOKUP($T$2037,'TAR FIN'!$A$1:$O$95,15,0)),0,VLOOKUP($T$2037,'TAR FIN'!$A$1:$O$95,15,0))</f>
        <v>369.16</v>
      </c>
      <c r="X2037" s="6">
        <f>IF(ISERROR(VLOOKUP($U$2037,'TAR FIN'!$A$1:$O$95,15,0)),0,VLOOKUP($U$2037,'TAR FIN'!$A$1:$O$95,15,0))</f>
        <v>199.51</v>
      </c>
      <c r="Y2037" s="6"/>
      <c r="Z2037" s="6">
        <f ca="1">('TUSD BE'!$AM$38+'TUSD BF'!$AM$38+'TUSD CVA'!$AM$38)*(1-CUSTOS!$M$38)</f>
        <v>445.73746261020432</v>
      </c>
      <c r="AA2037" s="6">
        <f>('TE BE'!$AA$26+'TE BF'!$AA$26+'TE CVA'!$AA$26)*(1-CUSTOS!$M$38)</f>
        <v>261.5374640864809</v>
      </c>
      <c r="AB2037" s="6">
        <f>$K$2037*$V$2037</f>
        <v>0</v>
      </c>
      <c r="AC2037" s="6">
        <f>$M$2037*$W$2037</f>
        <v>2854.3451200000004</v>
      </c>
      <c r="AD2037" s="6">
        <f>$O$2037*$X$2037</f>
        <v>1542.61132</v>
      </c>
      <c r="AE2037" s="6">
        <f>$K$2037*$Y$2037</f>
        <v>0</v>
      </c>
      <c r="AF2037" s="6">
        <f ca="1">$M$2037*$Z$2037</f>
        <v>3446.4420609020999</v>
      </c>
      <c r="AG2037" s="6">
        <f>$O$2037*$AA$2037</f>
        <v>2022.2076723166704</v>
      </c>
    </row>
    <row r="2038" spans="1:33" ht="11.25" customHeight="1" x14ac:dyDescent="0.25">
      <c r="A2038" s="4" t="s">
        <v>21</v>
      </c>
      <c r="B2038" s="4" t="s">
        <v>46</v>
      </c>
      <c r="C2038" s="4" t="s">
        <v>23</v>
      </c>
      <c r="D2038" s="4" t="s">
        <v>47</v>
      </c>
      <c r="E2038" s="4" t="s">
        <v>25</v>
      </c>
      <c r="F2038" s="4" t="s">
        <v>25</v>
      </c>
      <c r="G2038" s="4" t="s">
        <v>25</v>
      </c>
      <c r="H2038" s="4" t="s">
        <v>25</v>
      </c>
      <c r="I2038" s="5">
        <v>44228</v>
      </c>
      <c r="J2038" s="6">
        <v>0</v>
      </c>
      <c r="K2038" s="6">
        <v>0</v>
      </c>
      <c r="L2038" s="6">
        <v>1381.0920000000001</v>
      </c>
      <c r="M2038" s="6">
        <v>1381.0920000000001</v>
      </c>
      <c r="N2038" s="6">
        <v>1381.0920000000001</v>
      </c>
      <c r="O2038" s="6">
        <v>1381.0920000000001</v>
      </c>
      <c r="P2038" s="6">
        <v>7999</v>
      </c>
      <c r="Q2038" s="4" t="s">
        <v>26</v>
      </c>
      <c r="R2038" s="4">
        <v>0</v>
      </c>
      <c r="S2038" s="6">
        <v>0</v>
      </c>
      <c r="T2038" s="6">
        <v>39</v>
      </c>
      <c r="U2038" s="6">
        <v>85</v>
      </c>
      <c r="V2038" s="6">
        <f>IF(ISERROR(VLOOKUP($S$2038,'TAR FIN'!$A$1:$O$95,15,0)),0,VLOOKUP($S$2038,'TAR FIN'!$A$1:$O$95,15,0))</f>
        <v>0</v>
      </c>
      <c r="W2038" s="6">
        <f>IF(ISERROR(VLOOKUP($T$2038,'TAR FIN'!$A$1:$O$95,15,0)),0,VLOOKUP($T$2038,'TAR FIN'!$A$1:$O$95,15,0))</f>
        <v>369.16</v>
      </c>
      <c r="X2038" s="6">
        <f>IF(ISERROR(VLOOKUP($U$2038,'TAR FIN'!$A$1:$O$95,15,0)),0,VLOOKUP($U$2038,'TAR FIN'!$A$1:$O$95,15,0))</f>
        <v>199.51</v>
      </c>
      <c r="Y2038" s="6"/>
      <c r="Z2038" s="6">
        <f ca="1">('TUSD BE'!$AM$38+'TUSD BF'!$AM$38+'TUSD CVA'!$AM$38)*(1-CUSTOS!$M$38)</f>
        <v>445.73746261020432</v>
      </c>
      <c r="AA2038" s="6">
        <f>('TE BE'!$AA$26+'TE BF'!$AA$26+'TE CVA'!$AA$26)*(1-CUSTOS!$M$38)</f>
        <v>261.5374640864809</v>
      </c>
      <c r="AB2038" s="6">
        <f>$K$2038*$V$2038</f>
        <v>0</v>
      </c>
      <c r="AC2038" s="6">
        <f>$M$2038*$W$2038</f>
        <v>509843.92272000009</v>
      </c>
      <c r="AD2038" s="6">
        <f>$O$2038*$X$2038</f>
        <v>275541.66492000001</v>
      </c>
      <c r="AE2038" s="6">
        <f>$K$2038*$Y$2038</f>
        <v>0</v>
      </c>
      <c r="AF2038" s="6">
        <f ca="1">$M$2038*$Z$2038</f>
        <v>615604.4437112523</v>
      </c>
      <c r="AG2038" s="6">
        <f>$O$2038*$AA$2038</f>
        <v>361207.29935012612</v>
      </c>
    </row>
    <row r="2039" spans="1:33" ht="11.25" customHeight="1" x14ac:dyDescent="0.25">
      <c r="A2039" s="4" t="s">
        <v>27</v>
      </c>
      <c r="B2039" s="4" t="s">
        <v>46</v>
      </c>
      <c r="C2039" s="4" t="s">
        <v>23</v>
      </c>
      <c r="D2039" s="4" t="s">
        <v>47</v>
      </c>
      <c r="E2039" s="4" t="s">
        <v>25</v>
      </c>
      <c r="F2039" s="4" t="s">
        <v>25</v>
      </c>
      <c r="G2039" s="4" t="s">
        <v>25</v>
      </c>
      <c r="H2039" s="4" t="s">
        <v>25</v>
      </c>
      <c r="I2039" s="5">
        <v>44228</v>
      </c>
      <c r="J2039" s="6">
        <v>0</v>
      </c>
      <c r="K2039" s="6">
        <v>0</v>
      </c>
      <c r="L2039" s="6">
        <v>-117.90900000000001</v>
      </c>
      <c r="M2039" s="6">
        <v>-117.90900000000001</v>
      </c>
      <c r="N2039" s="6">
        <v>-117.90900000000001</v>
      </c>
      <c r="O2039" s="6">
        <v>-117.90900000000001</v>
      </c>
      <c r="P2039" s="6">
        <v>0</v>
      </c>
      <c r="Q2039" s="4" t="s">
        <v>26</v>
      </c>
      <c r="R2039" s="4">
        <v>0</v>
      </c>
      <c r="S2039" s="6">
        <v>0</v>
      </c>
      <c r="T2039" s="6">
        <v>39</v>
      </c>
      <c r="U2039" s="6">
        <v>85</v>
      </c>
      <c r="V2039" s="6">
        <f>IF(ISERROR(VLOOKUP($S$2039,'TAR FIN'!$A$1:$O$95,15,0)),0,VLOOKUP($S$2039,'TAR FIN'!$A$1:$O$95,15,0))</f>
        <v>0</v>
      </c>
      <c r="W2039" s="6">
        <f>IF(ISERROR(VLOOKUP($T$2039,'TAR FIN'!$A$1:$O$95,15,0)),0,VLOOKUP($T$2039,'TAR FIN'!$A$1:$O$95,15,0))</f>
        <v>369.16</v>
      </c>
      <c r="X2039" s="6">
        <f>IF(ISERROR(VLOOKUP($U$2039,'TAR FIN'!$A$1:$O$95,15,0)),0,VLOOKUP($U$2039,'TAR FIN'!$A$1:$O$95,15,0))</f>
        <v>199.51</v>
      </c>
      <c r="Y2039" s="6"/>
      <c r="Z2039" s="6">
        <f ca="1">('TUSD BE'!$AM$38+'TUSD BF'!$AM$38+'TUSD CVA'!$AM$38)*(1-CUSTOS!$M$38)</f>
        <v>445.73746261020432</v>
      </c>
      <c r="AA2039" s="6">
        <f>('TE BE'!$AA$26+'TE BF'!$AA$26+'TE CVA'!$AA$26)*(1-CUSTOS!$M$38)</f>
        <v>261.5374640864809</v>
      </c>
      <c r="AB2039" s="6">
        <f>$K$2039*$V$2039</f>
        <v>0</v>
      </c>
      <c r="AC2039" s="6">
        <f>$M$2039*$W$2039</f>
        <v>-43527.286440000003</v>
      </c>
      <c r="AD2039" s="6">
        <f>$O$2039*$X$2039</f>
        <v>-23524.024590000001</v>
      </c>
      <c r="AE2039" s="6">
        <f>$K$2039*$Y$2039</f>
        <v>0</v>
      </c>
      <c r="AF2039" s="6">
        <f ca="1">$M$2039*$Z$2039</f>
        <v>-52556.458478906585</v>
      </c>
      <c r="AG2039" s="6">
        <f>$O$2039*$AA$2039</f>
        <v>-30837.620852972879</v>
      </c>
    </row>
    <row r="2040" spans="1:33" ht="11.25" customHeight="1" x14ac:dyDescent="0.25">
      <c r="A2040" s="4" t="s">
        <v>28</v>
      </c>
      <c r="B2040" s="4" t="s">
        <v>46</v>
      </c>
      <c r="C2040" s="4" t="s">
        <v>23</v>
      </c>
      <c r="D2040" s="4" t="s">
        <v>47</v>
      </c>
      <c r="E2040" s="4" t="s">
        <v>25</v>
      </c>
      <c r="F2040" s="4" t="s">
        <v>25</v>
      </c>
      <c r="G2040" s="4" t="s">
        <v>25</v>
      </c>
      <c r="H2040" s="4" t="s">
        <v>25</v>
      </c>
      <c r="I2040" s="5">
        <v>44228</v>
      </c>
      <c r="J2040" s="6">
        <v>0</v>
      </c>
      <c r="K2040" s="6">
        <v>0</v>
      </c>
      <c r="L2040" s="6">
        <v>3737.5740000000001</v>
      </c>
      <c r="M2040" s="6">
        <v>3737.5740000000001</v>
      </c>
      <c r="N2040" s="6">
        <v>3737.5740000000001</v>
      </c>
      <c r="O2040" s="6">
        <v>3737.5740000000001</v>
      </c>
      <c r="P2040" s="6">
        <v>35935</v>
      </c>
      <c r="Q2040" s="4" t="s">
        <v>26</v>
      </c>
      <c r="R2040" s="4">
        <v>0</v>
      </c>
      <c r="S2040" s="6">
        <v>0</v>
      </c>
      <c r="T2040" s="6">
        <v>39</v>
      </c>
      <c r="U2040" s="6">
        <v>85</v>
      </c>
      <c r="V2040" s="6">
        <f>IF(ISERROR(VLOOKUP($S$2040,'TAR FIN'!$A$1:$O$95,15,0)),0,VLOOKUP($S$2040,'TAR FIN'!$A$1:$O$95,15,0))</f>
        <v>0</v>
      </c>
      <c r="W2040" s="6">
        <f>IF(ISERROR(VLOOKUP($T$2040,'TAR FIN'!$A$1:$O$95,15,0)),0,VLOOKUP($T$2040,'TAR FIN'!$A$1:$O$95,15,0))</f>
        <v>369.16</v>
      </c>
      <c r="X2040" s="6">
        <f>IF(ISERROR(VLOOKUP($U$2040,'TAR FIN'!$A$1:$O$95,15,0)),0,VLOOKUP($U$2040,'TAR FIN'!$A$1:$O$95,15,0))</f>
        <v>199.51</v>
      </c>
      <c r="Y2040" s="6"/>
      <c r="Z2040" s="6">
        <f ca="1">('TUSD BE'!$AM$38+'TUSD BF'!$AM$38+'TUSD CVA'!$AM$38)*(1-CUSTOS!$M$38)</f>
        <v>445.73746261020432</v>
      </c>
      <c r="AA2040" s="6">
        <f>('TE BE'!$AA$26+'TE BF'!$AA$26+'TE CVA'!$AA$26)*(1-CUSTOS!$M$38)</f>
        <v>261.5374640864809</v>
      </c>
      <c r="AB2040" s="6">
        <f>$K$2040*$V$2040</f>
        <v>0</v>
      </c>
      <c r="AC2040" s="6">
        <f>$M$2040*$W$2040</f>
        <v>1379762.8178400001</v>
      </c>
      <c r="AD2040" s="6">
        <f>$O$2040*$X$2040</f>
        <v>745683.38873999997</v>
      </c>
      <c r="AE2040" s="6">
        <f>$K$2040*$Y$2040</f>
        <v>0</v>
      </c>
      <c r="AF2040" s="6">
        <f ca="1">$M$2040*$Z$2040</f>
        <v>1665976.7510778718</v>
      </c>
      <c r="AG2040" s="6">
        <f>$O$2040*$AA$2040</f>
        <v>977515.62579556473</v>
      </c>
    </row>
    <row r="2041" spans="1:33" ht="11.25" customHeight="1" x14ac:dyDescent="0.25">
      <c r="A2041" s="4" t="s">
        <v>29</v>
      </c>
      <c r="B2041" s="4" t="s">
        <v>46</v>
      </c>
      <c r="C2041" s="4" t="s">
        <v>23</v>
      </c>
      <c r="D2041" s="4" t="s">
        <v>47</v>
      </c>
      <c r="E2041" s="4" t="s">
        <v>25</v>
      </c>
      <c r="F2041" s="4" t="s">
        <v>25</v>
      </c>
      <c r="G2041" s="4" t="s">
        <v>25</v>
      </c>
      <c r="H2041" s="4" t="s">
        <v>25</v>
      </c>
      <c r="I2041" s="5">
        <v>44228</v>
      </c>
      <c r="J2041" s="6">
        <v>0</v>
      </c>
      <c r="K2041" s="6">
        <v>0</v>
      </c>
      <c r="L2041" s="6">
        <v>-14.449</v>
      </c>
      <c r="M2041" s="6">
        <v>-14.449</v>
      </c>
      <c r="N2041" s="6">
        <v>-14.449</v>
      </c>
      <c r="O2041" s="6">
        <v>-14.449</v>
      </c>
      <c r="P2041" s="6">
        <v>0</v>
      </c>
      <c r="Q2041" s="4" t="s">
        <v>26</v>
      </c>
      <c r="R2041" s="4">
        <v>0</v>
      </c>
      <c r="S2041" s="6">
        <v>0</v>
      </c>
      <c r="T2041" s="6">
        <v>39</v>
      </c>
      <c r="U2041" s="6">
        <v>85</v>
      </c>
      <c r="V2041" s="6">
        <f>IF(ISERROR(VLOOKUP($S$2041,'TAR FIN'!$A$1:$O$95,15,0)),0,VLOOKUP($S$2041,'TAR FIN'!$A$1:$O$95,15,0))</f>
        <v>0</v>
      </c>
      <c r="W2041" s="6">
        <f>IF(ISERROR(VLOOKUP($T$2041,'TAR FIN'!$A$1:$O$95,15,0)),0,VLOOKUP($T$2041,'TAR FIN'!$A$1:$O$95,15,0))</f>
        <v>369.16</v>
      </c>
      <c r="X2041" s="6">
        <f>IF(ISERROR(VLOOKUP($U$2041,'TAR FIN'!$A$1:$O$95,15,0)),0,VLOOKUP($U$2041,'TAR FIN'!$A$1:$O$95,15,0))</f>
        <v>199.51</v>
      </c>
      <c r="Y2041" s="6"/>
      <c r="Z2041" s="6">
        <f ca="1">('TUSD BE'!$AM$38+'TUSD BF'!$AM$38+'TUSD CVA'!$AM$38)*(1-CUSTOS!$M$38)</f>
        <v>445.73746261020432</v>
      </c>
      <c r="AA2041" s="6">
        <f>('TE BE'!$AA$26+'TE BF'!$AA$26+'TE CVA'!$AA$26)*(1-CUSTOS!$M$38)</f>
        <v>261.5374640864809</v>
      </c>
      <c r="AB2041" s="6">
        <f>$K$2041*$V$2041</f>
        <v>0</v>
      </c>
      <c r="AC2041" s="6">
        <f>$M$2041*$W$2041</f>
        <v>-5333.9928399999999</v>
      </c>
      <c r="AD2041" s="6">
        <f>$O$2041*$X$2041</f>
        <v>-2882.7199900000001</v>
      </c>
      <c r="AE2041" s="6">
        <f>$K$2041*$Y$2041</f>
        <v>0</v>
      </c>
      <c r="AF2041" s="6">
        <f ca="1">$M$2041*$Z$2041</f>
        <v>-6440.4605972548425</v>
      </c>
      <c r="AG2041" s="6">
        <f>$O$2041*$AA$2041</f>
        <v>-3778.9548185855624</v>
      </c>
    </row>
    <row r="2042" spans="1:33" ht="11.25" customHeight="1" x14ac:dyDescent="0.25">
      <c r="A2042" s="4" t="s">
        <v>30</v>
      </c>
      <c r="B2042" s="4" t="s">
        <v>46</v>
      </c>
      <c r="C2042" s="4" t="s">
        <v>23</v>
      </c>
      <c r="D2042" s="4" t="s">
        <v>47</v>
      </c>
      <c r="E2042" s="4" t="s">
        <v>25</v>
      </c>
      <c r="F2042" s="4" t="s">
        <v>25</v>
      </c>
      <c r="G2042" s="4" t="s">
        <v>25</v>
      </c>
      <c r="H2042" s="4" t="s">
        <v>25</v>
      </c>
      <c r="I2042" s="5">
        <v>44228</v>
      </c>
      <c r="J2042" s="6">
        <v>0</v>
      </c>
      <c r="K2042" s="6">
        <v>0</v>
      </c>
      <c r="L2042" s="6">
        <v>7.5449999999999999</v>
      </c>
      <c r="M2042" s="6">
        <v>7.5449999999999999</v>
      </c>
      <c r="N2042" s="6">
        <v>7.5449999999999999</v>
      </c>
      <c r="O2042" s="6">
        <v>7.5449999999999999</v>
      </c>
      <c r="P2042" s="6">
        <v>12</v>
      </c>
      <c r="Q2042" s="4" t="s">
        <v>26</v>
      </c>
      <c r="R2042" s="4">
        <v>0</v>
      </c>
      <c r="S2042" s="6">
        <v>0</v>
      </c>
      <c r="T2042" s="6">
        <v>39</v>
      </c>
      <c r="U2042" s="6">
        <v>85</v>
      </c>
      <c r="V2042" s="6">
        <f>IF(ISERROR(VLOOKUP($S$2042,'TAR FIN'!$A$1:$O$95,15,0)),0,VLOOKUP($S$2042,'TAR FIN'!$A$1:$O$95,15,0))</f>
        <v>0</v>
      </c>
      <c r="W2042" s="6">
        <f>IF(ISERROR(VLOOKUP($T$2042,'TAR FIN'!$A$1:$O$95,15,0)),0,VLOOKUP($T$2042,'TAR FIN'!$A$1:$O$95,15,0))</f>
        <v>369.16</v>
      </c>
      <c r="X2042" s="6">
        <f>IF(ISERROR(VLOOKUP($U$2042,'TAR FIN'!$A$1:$O$95,15,0)),0,VLOOKUP($U$2042,'TAR FIN'!$A$1:$O$95,15,0))</f>
        <v>199.51</v>
      </c>
      <c r="Y2042" s="6"/>
      <c r="Z2042" s="6">
        <f ca="1">('TUSD BE'!$AM$38+'TUSD BF'!$AM$38+'TUSD CVA'!$AM$38)*(1-CUSTOS!$M$38)</f>
        <v>445.73746261020432</v>
      </c>
      <c r="AA2042" s="6">
        <f>('TE BE'!$AA$26+'TE BF'!$AA$26+'TE CVA'!$AA$26)*(1-CUSTOS!$M$38)</f>
        <v>261.5374640864809</v>
      </c>
      <c r="AB2042" s="6">
        <f>$K$2042*$V$2042</f>
        <v>0</v>
      </c>
      <c r="AC2042" s="6">
        <f>$M$2042*$W$2042</f>
        <v>2785.3122000000003</v>
      </c>
      <c r="AD2042" s="6">
        <f>$O$2042*$X$2042</f>
        <v>1505.30295</v>
      </c>
      <c r="AE2042" s="6">
        <f>$K$2042*$Y$2042</f>
        <v>0</v>
      </c>
      <c r="AF2042" s="6">
        <f ca="1">$M$2042*$Z$2042</f>
        <v>3363.0891553939914</v>
      </c>
      <c r="AG2042" s="6">
        <f>$O$2042*$AA$2042</f>
        <v>1973.3001665324982</v>
      </c>
    </row>
    <row r="2043" spans="1:33" ht="11.25" customHeight="1" x14ac:dyDescent="0.25">
      <c r="A2043" s="4" t="s">
        <v>21</v>
      </c>
      <c r="B2043" s="4" t="s">
        <v>46</v>
      </c>
      <c r="C2043" s="4" t="s">
        <v>23</v>
      </c>
      <c r="D2043" s="4" t="s">
        <v>47</v>
      </c>
      <c r="E2043" s="4" t="s">
        <v>25</v>
      </c>
      <c r="F2043" s="4" t="s">
        <v>25</v>
      </c>
      <c r="G2043" s="4" t="s">
        <v>25</v>
      </c>
      <c r="H2043" s="4" t="s">
        <v>25</v>
      </c>
      <c r="I2043" s="5">
        <v>44256</v>
      </c>
      <c r="J2043" s="6">
        <v>0</v>
      </c>
      <c r="K2043" s="6">
        <v>0</v>
      </c>
      <c r="L2043" s="6">
        <v>1397.4190000000001</v>
      </c>
      <c r="M2043" s="6">
        <v>1397.4190000000001</v>
      </c>
      <c r="N2043" s="6">
        <v>1397.4190000000001</v>
      </c>
      <c r="O2043" s="6">
        <v>1397.4190000000001</v>
      </c>
      <c r="P2043" s="6">
        <v>8002</v>
      </c>
      <c r="Q2043" s="4" t="s">
        <v>26</v>
      </c>
      <c r="R2043" s="4">
        <v>0</v>
      </c>
      <c r="S2043" s="6">
        <v>0</v>
      </c>
      <c r="T2043" s="6">
        <v>39</v>
      </c>
      <c r="U2043" s="6">
        <v>85</v>
      </c>
      <c r="V2043" s="6">
        <f>IF(ISERROR(VLOOKUP($S$2043,'TAR FIN'!$A$1:$O$95,15,0)),0,VLOOKUP($S$2043,'TAR FIN'!$A$1:$O$95,15,0))</f>
        <v>0</v>
      </c>
      <c r="W2043" s="6">
        <f>IF(ISERROR(VLOOKUP($T$2043,'TAR FIN'!$A$1:$O$95,15,0)),0,VLOOKUP($T$2043,'TAR FIN'!$A$1:$O$95,15,0))</f>
        <v>369.16</v>
      </c>
      <c r="X2043" s="6">
        <f>IF(ISERROR(VLOOKUP($U$2043,'TAR FIN'!$A$1:$O$95,15,0)),0,VLOOKUP($U$2043,'TAR FIN'!$A$1:$O$95,15,0))</f>
        <v>199.51</v>
      </c>
      <c r="Y2043" s="6"/>
      <c r="Z2043" s="6">
        <f ca="1">('TUSD BE'!$AM$38+'TUSD BF'!$AM$38+'TUSD CVA'!$AM$38)*(1-CUSTOS!$M$38)</f>
        <v>445.73746261020432</v>
      </c>
      <c r="AA2043" s="6">
        <f>('TE BE'!$AA$26+'TE BF'!$AA$26+'TE CVA'!$AA$26)*(1-CUSTOS!$M$38)</f>
        <v>261.5374640864809</v>
      </c>
      <c r="AB2043" s="6">
        <f>$K$2043*$V$2043</f>
        <v>0</v>
      </c>
      <c r="AC2043" s="6">
        <f>$M$2043*$W$2043</f>
        <v>515871.19804000005</v>
      </c>
      <c r="AD2043" s="6">
        <f>$O$2043*$X$2043</f>
        <v>278799.06469000003</v>
      </c>
      <c r="AE2043" s="6">
        <f>$K$2043*$Y$2043</f>
        <v>0</v>
      </c>
      <c r="AF2043" s="6">
        <f ca="1">$M$2043*$Z$2043</f>
        <v>622881.99926328915</v>
      </c>
      <c r="AG2043" s="6">
        <f>$O$2043*$AA$2043</f>
        <v>365477.42152626609</v>
      </c>
    </row>
    <row r="2044" spans="1:33" ht="11.25" customHeight="1" x14ac:dyDescent="0.25">
      <c r="A2044" s="4" t="s">
        <v>27</v>
      </c>
      <c r="B2044" s="4" t="s">
        <v>46</v>
      </c>
      <c r="C2044" s="4" t="s">
        <v>23</v>
      </c>
      <c r="D2044" s="4" t="s">
        <v>47</v>
      </c>
      <c r="E2044" s="4" t="s">
        <v>25</v>
      </c>
      <c r="F2044" s="4" t="s">
        <v>25</v>
      </c>
      <c r="G2044" s="4" t="s">
        <v>25</v>
      </c>
      <c r="H2044" s="4" t="s">
        <v>25</v>
      </c>
      <c r="I2044" s="5">
        <v>44256</v>
      </c>
      <c r="J2044" s="6">
        <v>0</v>
      </c>
      <c r="K2044" s="6">
        <v>0</v>
      </c>
      <c r="L2044" s="6">
        <v>-66.885000000000005</v>
      </c>
      <c r="M2044" s="6">
        <v>-66.885000000000005</v>
      </c>
      <c r="N2044" s="6">
        <v>-66.885000000000005</v>
      </c>
      <c r="O2044" s="6">
        <v>-66.885000000000005</v>
      </c>
      <c r="P2044" s="6">
        <v>0</v>
      </c>
      <c r="Q2044" s="4" t="s">
        <v>26</v>
      </c>
      <c r="R2044" s="4">
        <v>0</v>
      </c>
      <c r="S2044" s="6">
        <v>0</v>
      </c>
      <c r="T2044" s="6">
        <v>39</v>
      </c>
      <c r="U2044" s="6">
        <v>85</v>
      </c>
      <c r="V2044" s="6">
        <f>IF(ISERROR(VLOOKUP($S$2044,'TAR FIN'!$A$1:$O$95,15,0)),0,VLOOKUP($S$2044,'TAR FIN'!$A$1:$O$95,15,0))</f>
        <v>0</v>
      </c>
      <c r="W2044" s="6">
        <f>IF(ISERROR(VLOOKUP($T$2044,'TAR FIN'!$A$1:$O$95,15,0)),0,VLOOKUP($T$2044,'TAR FIN'!$A$1:$O$95,15,0))</f>
        <v>369.16</v>
      </c>
      <c r="X2044" s="6">
        <f>IF(ISERROR(VLOOKUP($U$2044,'TAR FIN'!$A$1:$O$95,15,0)),0,VLOOKUP($U$2044,'TAR FIN'!$A$1:$O$95,15,0))</f>
        <v>199.51</v>
      </c>
      <c r="Y2044" s="6"/>
      <c r="Z2044" s="6">
        <f ca="1">('TUSD BE'!$AM$38+'TUSD BF'!$AM$38+'TUSD CVA'!$AM$38)*(1-CUSTOS!$M$38)</f>
        <v>445.73746261020432</v>
      </c>
      <c r="AA2044" s="6">
        <f>('TE BE'!$AA$26+'TE BF'!$AA$26+'TE CVA'!$AA$26)*(1-CUSTOS!$M$38)</f>
        <v>261.5374640864809</v>
      </c>
      <c r="AB2044" s="6">
        <f>$K$2044*$V$2044</f>
        <v>0</v>
      </c>
      <c r="AC2044" s="6">
        <f>$M$2044*$W$2044</f>
        <v>-24691.266600000003</v>
      </c>
      <c r="AD2044" s="6">
        <f>$O$2044*$X$2044</f>
        <v>-13344.226350000001</v>
      </c>
      <c r="AE2044" s="6">
        <f>$K$2044*$Y$2044</f>
        <v>0</v>
      </c>
      <c r="AF2044" s="6">
        <f ca="1">$M$2044*$Z$2044</f>
        <v>-29813.150186683517</v>
      </c>
      <c r="AG2044" s="6">
        <f>$O$2044*$AA$2044</f>
        <v>-17492.933285424275</v>
      </c>
    </row>
    <row r="2045" spans="1:33" ht="11.25" customHeight="1" x14ac:dyDescent="0.25">
      <c r="A2045" s="4" t="s">
        <v>28</v>
      </c>
      <c r="B2045" s="4" t="s">
        <v>46</v>
      </c>
      <c r="C2045" s="4" t="s">
        <v>23</v>
      </c>
      <c r="D2045" s="4" t="s">
        <v>47</v>
      </c>
      <c r="E2045" s="4" t="s">
        <v>25</v>
      </c>
      <c r="F2045" s="4" t="s">
        <v>25</v>
      </c>
      <c r="G2045" s="4" t="s">
        <v>25</v>
      </c>
      <c r="H2045" s="4" t="s">
        <v>25</v>
      </c>
      <c r="I2045" s="5">
        <v>44256</v>
      </c>
      <c r="J2045" s="6">
        <v>0</v>
      </c>
      <c r="K2045" s="6">
        <v>0</v>
      </c>
      <c r="L2045" s="6">
        <v>3903.018</v>
      </c>
      <c r="M2045" s="6">
        <v>3903.018</v>
      </c>
      <c r="N2045" s="6">
        <v>3903.018</v>
      </c>
      <c r="O2045" s="6">
        <v>3903.018</v>
      </c>
      <c r="P2045" s="6">
        <v>35896</v>
      </c>
      <c r="Q2045" s="4" t="s">
        <v>26</v>
      </c>
      <c r="R2045" s="4">
        <v>0</v>
      </c>
      <c r="S2045" s="6">
        <v>0</v>
      </c>
      <c r="T2045" s="6">
        <v>39</v>
      </c>
      <c r="U2045" s="6">
        <v>85</v>
      </c>
      <c r="V2045" s="6">
        <f>IF(ISERROR(VLOOKUP($S$2045,'TAR FIN'!$A$1:$O$95,15,0)),0,VLOOKUP($S$2045,'TAR FIN'!$A$1:$O$95,15,0))</f>
        <v>0</v>
      </c>
      <c r="W2045" s="6">
        <f>IF(ISERROR(VLOOKUP($T$2045,'TAR FIN'!$A$1:$O$95,15,0)),0,VLOOKUP($T$2045,'TAR FIN'!$A$1:$O$95,15,0))</f>
        <v>369.16</v>
      </c>
      <c r="X2045" s="6">
        <f>IF(ISERROR(VLOOKUP($U$2045,'TAR FIN'!$A$1:$O$95,15,0)),0,VLOOKUP($U$2045,'TAR FIN'!$A$1:$O$95,15,0))</f>
        <v>199.51</v>
      </c>
      <c r="Y2045" s="6"/>
      <c r="Z2045" s="6">
        <f ca="1">('TUSD BE'!$AM$38+'TUSD BF'!$AM$38+'TUSD CVA'!$AM$38)*(1-CUSTOS!$M$38)</f>
        <v>445.73746261020432</v>
      </c>
      <c r="AA2045" s="6">
        <f>('TE BE'!$AA$26+'TE BF'!$AA$26+'TE CVA'!$AA$26)*(1-CUSTOS!$M$38)</f>
        <v>261.5374640864809</v>
      </c>
      <c r="AB2045" s="6">
        <f>$K$2045*$V$2045</f>
        <v>0</v>
      </c>
      <c r="AC2045" s="6">
        <f>$M$2045*$W$2045</f>
        <v>1440838.12488</v>
      </c>
      <c r="AD2045" s="6">
        <f>$O$2045*$X$2045</f>
        <v>778691.12118000002</v>
      </c>
      <c r="AE2045" s="6">
        <f>$K$2045*$Y$2045</f>
        <v>0</v>
      </c>
      <c r="AF2045" s="6">
        <f ca="1">$M$2045*$Z$2045</f>
        <v>1739721.3398419544</v>
      </c>
      <c r="AG2045" s="6">
        <f>$O$2045*$AA$2045</f>
        <v>1020785.4300038886</v>
      </c>
    </row>
    <row r="2046" spans="1:33" ht="11.25" customHeight="1" x14ac:dyDescent="0.25">
      <c r="A2046" s="4" t="s">
        <v>29</v>
      </c>
      <c r="B2046" s="4" t="s">
        <v>46</v>
      </c>
      <c r="C2046" s="4" t="s">
        <v>23</v>
      </c>
      <c r="D2046" s="4" t="s">
        <v>47</v>
      </c>
      <c r="E2046" s="4" t="s">
        <v>25</v>
      </c>
      <c r="F2046" s="4" t="s">
        <v>25</v>
      </c>
      <c r="G2046" s="4" t="s">
        <v>25</v>
      </c>
      <c r="H2046" s="4" t="s">
        <v>25</v>
      </c>
      <c r="I2046" s="5">
        <v>44256</v>
      </c>
      <c r="J2046" s="6">
        <v>0</v>
      </c>
      <c r="K2046" s="6">
        <v>0</v>
      </c>
      <c r="L2046" s="6">
        <v>-40.159999999999997</v>
      </c>
      <c r="M2046" s="6">
        <v>-40.159999999999997</v>
      </c>
      <c r="N2046" s="6">
        <v>-40.159999999999997</v>
      </c>
      <c r="O2046" s="6">
        <v>-40.159999999999997</v>
      </c>
      <c r="P2046" s="6">
        <v>0</v>
      </c>
      <c r="Q2046" s="4" t="s">
        <v>26</v>
      </c>
      <c r="R2046" s="4">
        <v>0</v>
      </c>
      <c r="S2046" s="6">
        <v>0</v>
      </c>
      <c r="T2046" s="6">
        <v>39</v>
      </c>
      <c r="U2046" s="6">
        <v>85</v>
      </c>
      <c r="V2046" s="6">
        <f>IF(ISERROR(VLOOKUP($S$2046,'TAR FIN'!$A$1:$O$95,15,0)),0,VLOOKUP($S$2046,'TAR FIN'!$A$1:$O$95,15,0))</f>
        <v>0</v>
      </c>
      <c r="W2046" s="6">
        <f>IF(ISERROR(VLOOKUP($T$2046,'TAR FIN'!$A$1:$O$95,15,0)),0,VLOOKUP($T$2046,'TAR FIN'!$A$1:$O$95,15,0))</f>
        <v>369.16</v>
      </c>
      <c r="X2046" s="6">
        <f>IF(ISERROR(VLOOKUP($U$2046,'TAR FIN'!$A$1:$O$95,15,0)),0,VLOOKUP($U$2046,'TAR FIN'!$A$1:$O$95,15,0))</f>
        <v>199.51</v>
      </c>
      <c r="Y2046" s="6"/>
      <c r="Z2046" s="6">
        <f ca="1">('TUSD BE'!$AM$38+'TUSD BF'!$AM$38+'TUSD CVA'!$AM$38)*(1-CUSTOS!$M$38)</f>
        <v>445.73746261020432</v>
      </c>
      <c r="AA2046" s="6">
        <f>('TE BE'!$AA$26+'TE BF'!$AA$26+'TE CVA'!$AA$26)*(1-CUSTOS!$M$38)</f>
        <v>261.5374640864809</v>
      </c>
      <c r="AB2046" s="6">
        <f>$K$2046*$V$2046</f>
        <v>0</v>
      </c>
      <c r="AC2046" s="6">
        <f>$M$2046*$W$2046</f>
        <v>-14825.4656</v>
      </c>
      <c r="AD2046" s="6">
        <f>$O$2046*$X$2046</f>
        <v>-8012.3215999999993</v>
      </c>
      <c r="AE2046" s="6">
        <f>$K$2046*$Y$2046</f>
        <v>0</v>
      </c>
      <c r="AF2046" s="6">
        <f ca="1">$M$2046*$Z$2046</f>
        <v>-17900.816498425804</v>
      </c>
      <c r="AG2046" s="6">
        <f>$O$2046*$AA$2046</f>
        <v>-10503.344557713071</v>
      </c>
    </row>
    <row r="2047" spans="1:33" ht="11.25" customHeight="1" x14ac:dyDescent="0.25">
      <c r="A2047" s="4" t="s">
        <v>30</v>
      </c>
      <c r="B2047" s="4" t="s">
        <v>46</v>
      </c>
      <c r="C2047" s="4" t="s">
        <v>23</v>
      </c>
      <c r="D2047" s="4" t="s">
        <v>47</v>
      </c>
      <c r="E2047" s="4" t="s">
        <v>25</v>
      </c>
      <c r="F2047" s="4" t="s">
        <v>25</v>
      </c>
      <c r="G2047" s="4" t="s">
        <v>25</v>
      </c>
      <c r="H2047" s="4" t="s">
        <v>25</v>
      </c>
      <c r="I2047" s="5">
        <v>44256</v>
      </c>
      <c r="J2047" s="6">
        <v>0</v>
      </c>
      <c r="K2047" s="6">
        <v>0</v>
      </c>
      <c r="L2047" s="6">
        <v>7.9669999999999996</v>
      </c>
      <c r="M2047" s="6">
        <v>7.9669999999999996</v>
      </c>
      <c r="N2047" s="6">
        <v>7.9669999999999996</v>
      </c>
      <c r="O2047" s="6">
        <v>7.9669999999999996</v>
      </c>
      <c r="P2047" s="6">
        <v>13</v>
      </c>
      <c r="Q2047" s="4" t="s">
        <v>26</v>
      </c>
      <c r="R2047" s="4">
        <v>0</v>
      </c>
      <c r="S2047" s="6">
        <v>0</v>
      </c>
      <c r="T2047" s="6">
        <v>39</v>
      </c>
      <c r="U2047" s="6">
        <v>85</v>
      </c>
      <c r="V2047" s="6">
        <f>IF(ISERROR(VLOOKUP($S$2047,'TAR FIN'!$A$1:$O$95,15,0)),0,VLOOKUP($S$2047,'TAR FIN'!$A$1:$O$95,15,0))</f>
        <v>0</v>
      </c>
      <c r="W2047" s="6">
        <f>IF(ISERROR(VLOOKUP($T$2047,'TAR FIN'!$A$1:$O$95,15,0)),0,VLOOKUP($T$2047,'TAR FIN'!$A$1:$O$95,15,0))</f>
        <v>369.16</v>
      </c>
      <c r="X2047" s="6">
        <f>IF(ISERROR(VLOOKUP($U$2047,'TAR FIN'!$A$1:$O$95,15,0)),0,VLOOKUP($U$2047,'TAR FIN'!$A$1:$O$95,15,0))</f>
        <v>199.51</v>
      </c>
      <c r="Y2047" s="6"/>
      <c r="Z2047" s="6">
        <f ca="1">('TUSD BE'!$AM$38+'TUSD BF'!$AM$38+'TUSD CVA'!$AM$38)*(1-CUSTOS!$M$38)</f>
        <v>445.73746261020432</v>
      </c>
      <c r="AA2047" s="6">
        <f>('TE BE'!$AA$26+'TE BF'!$AA$26+'TE CVA'!$AA$26)*(1-CUSTOS!$M$38)</f>
        <v>261.5374640864809</v>
      </c>
      <c r="AB2047" s="6">
        <f>$K$2047*$V$2047</f>
        <v>0</v>
      </c>
      <c r="AC2047" s="6">
        <f>$M$2047*$W$2047</f>
        <v>2941.0977200000002</v>
      </c>
      <c r="AD2047" s="6">
        <f>$O$2047*$X$2047</f>
        <v>1589.4961699999999</v>
      </c>
      <c r="AE2047" s="6">
        <f>$K$2047*$Y$2047</f>
        <v>0</v>
      </c>
      <c r="AF2047" s="6">
        <f ca="1">$M$2047*$Z$2047</f>
        <v>3551.1903646154979</v>
      </c>
      <c r="AG2047" s="6">
        <f>$O$2047*$AA$2047</f>
        <v>2083.6689763769932</v>
      </c>
    </row>
    <row r="2048" spans="1:33" ht="11.25" customHeight="1" x14ac:dyDescent="0.25">
      <c r="A2048" s="4" t="s">
        <v>30</v>
      </c>
      <c r="B2048" s="4" t="s">
        <v>46</v>
      </c>
      <c r="C2048" s="4" t="s">
        <v>23</v>
      </c>
      <c r="D2048" s="4" t="s">
        <v>47</v>
      </c>
      <c r="E2048" s="4" t="s">
        <v>25</v>
      </c>
      <c r="F2048" s="4" t="s">
        <v>25</v>
      </c>
      <c r="G2048" s="4" t="s">
        <v>25</v>
      </c>
      <c r="H2048" s="4" t="s">
        <v>25</v>
      </c>
      <c r="I2048" s="5">
        <v>44256</v>
      </c>
      <c r="J2048" s="6">
        <v>0</v>
      </c>
      <c r="K2048" s="6">
        <v>0</v>
      </c>
      <c r="L2048" s="6">
        <v>1.361</v>
      </c>
      <c r="M2048" s="6">
        <v>1.361</v>
      </c>
      <c r="N2048" s="6">
        <v>1.361</v>
      </c>
      <c r="O2048" s="6">
        <v>1.361</v>
      </c>
      <c r="P2048" s="6">
        <v>0</v>
      </c>
      <c r="Q2048" s="4" t="s">
        <v>26</v>
      </c>
      <c r="R2048" s="4">
        <v>0</v>
      </c>
      <c r="S2048" s="6">
        <v>0</v>
      </c>
      <c r="T2048" s="6">
        <v>39</v>
      </c>
      <c r="U2048" s="6">
        <v>85</v>
      </c>
      <c r="V2048" s="6">
        <f>IF(ISERROR(VLOOKUP($S$2048,'TAR FIN'!$A$1:$O$95,15,0)),0,VLOOKUP($S$2048,'TAR FIN'!$A$1:$O$95,15,0))</f>
        <v>0</v>
      </c>
      <c r="W2048" s="6">
        <f>IF(ISERROR(VLOOKUP($T$2048,'TAR FIN'!$A$1:$O$95,15,0)),0,VLOOKUP($T$2048,'TAR FIN'!$A$1:$O$95,15,0))</f>
        <v>369.16</v>
      </c>
      <c r="X2048" s="6">
        <f>IF(ISERROR(VLOOKUP($U$2048,'TAR FIN'!$A$1:$O$95,15,0)),0,VLOOKUP($U$2048,'TAR FIN'!$A$1:$O$95,15,0))</f>
        <v>199.51</v>
      </c>
      <c r="Y2048" s="6"/>
      <c r="Z2048" s="6">
        <f ca="1">('TUSD BE'!$AM$38+'TUSD BF'!$AM$38+'TUSD CVA'!$AM$38)*(1-CUSTOS!$M$38)</f>
        <v>445.73746261020432</v>
      </c>
      <c r="AA2048" s="6">
        <f>('TE BE'!$AA$26+'TE BF'!$AA$26+'TE CVA'!$AA$26)*(1-CUSTOS!$M$38)</f>
        <v>261.5374640864809</v>
      </c>
      <c r="AB2048" s="6">
        <f>$K$2048*$V$2048</f>
        <v>0</v>
      </c>
      <c r="AC2048" s="6">
        <f>$M$2048*$W$2048</f>
        <v>502.42676</v>
      </c>
      <c r="AD2048" s="6">
        <f>$O$2048*$X$2048</f>
        <v>271.53310999999997</v>
      </c>
      <c r="AE2048" s="6">
        <f>$K$2048*$Y$2048</f>
        <v>0</v>
      </c>
      <c r="AF2048" s="6">
        <f ca="1">$M$2048*$Z$2048</f>
        <v>606.64868661248806</v>
      </c>
      <c r="AG2048" s="6">
        <f>$O$2048*$AA$2048</f>
        <v>355.95248862170047</v>
      </c>
    </row>
    <row r="2049" spans="1:33" ht="11.25" customHeight="1" x14ac:dyDescent="0.25">
      <c r="A2049" s="4" t="s">
        <v>21</v>
      </c>
      <c r="B2049" s="4" t="s">
        <v>46</v>
      </c>
      <c r="C2049" s="4" t="s">
        <v>23</v>
      </c>
      <c r="D2049" s="4" t="s">
        <v>47</v>
      </c>
      <c r="E2049" s="4" t="s">
        <v>25</v>
      </c>
      <c r="F2049" s="4" t="s">
        <v>25</v>
      </c>
      <c r="G2049" s="4" t="s">
        <v>25</v>
      </c>
      <c r="H2049" s="4" t="s">
        <v>25</v>
      </c>
      <c r="I2049" s="5">
        <v>44287</v>
      </c>
      <c r="J2049" s="6">
        <v>0</v>
      </c>
      <c r="K2049" s="6">
        <v>0</v>
      </c>
      <c r="L2049" s="6">
        <v>1546.347</v>
      </c>
      <c r="M2049" s="6">
        <v>1546.347</v>
      </c>
      <c r="N2049" s="6">
        <v>1546.347</v>
      </c>
      <c r="O2049" s="6">
        <v>1546.347</v>
      </c>
      <c r="P2049" s="6">
        <v>7514</v>
      </c>
      <c r="Q2049" s="4" t="s">
        <v>26</v>
      </c>
      <c r="R2049" s="4">
        <v>0</v>
      </c>
      <c r="S2049" s="6">
        <v>0</v>
      </c>
      <c r="T2049" s="6">
        <v>39</v>
      </c>
      <c r="U2049" s="6">
        <v>85</v>
      </c>
      <c r="V2049" s="6">
        <f>IF(ISERROR(VLOOKUP($S$2049,'TAR FIN'!$A$1:$O$95,15,0)),0,VLOOKUP($S$2049,'TAR FIN'!$A$1:$O$95,15,0))</f>
        <v>0</v>
      </c>
      <c r="W2049" s="6">
        <f>IF(ISERROR(VLOOKUP($T$2049,'TAR FIN'!$A$1:$O$95,15,0)),0,VLOOKUP($T$2049,'TAR FIN'!$A$1:$O$95,15,0))</f>
        <v>369.16</v>
      </c>
      <c r="X2049" s="6">
        <f>IF(ISERROR(VLOOKUP($U$2049,'TAR FIN'!$A$1:$O$95,15,0)),0,VLOOKUP($U$2049,'TAR FIN'!$A$1:$O$95,15,0))</f>
        <v>199.51</v>
      </c>
      <c r="Y2049" s="6"/>
      <c r="Z2049" s="6">
        <f ca="1">('TUSD BE'!$AM$38+'TUSD BF'!$AM$38+'TUSD CVA'!$AM$38)*(1-CUSTOS!$M$38)</f>
        <v>445.73746261020432</v>
      </c>
      <c r="AA2049" s="6">
        <f>('TE BE'!$AA$26+'TE BF'!$AA$26+'TE CVA'!$AA$26)*(1-CUSTOS!$M$38)</f>
        <v>261.5374640864809</v>
      </c>
      <c r="AB2049" s="6">
        <f>$K$2049*$V$2049</f>
        <v>0</v>
      </c>
      <c r="AC2049" s="6">
        <f>$M$2049*$W$2049</f>
        <v>570849.45851999999</v>
      </c>
      <c r="AD2049" s="6">
        <f>$O$2049*$X$2049</f>
        <v>308511.68997000001</v>
      </c>
      <c r="AE2049" s="6">
        <f>$K$2049*$Y$2049</f>
        <v>0</v>
      </c>
      <c r="AF2049" s="6">
        <f ca="1">$M$2049*$Z$2049</f>
        <v>689264.7880949016</v>
      </c>
      <c r="AG2049" s="6">
        <f>$O$2049*$AA$2049</f>
        <v>404427.67297773744</v>
      </c>
    </row>
    <row r="2050" spans="1:33" ht="11.25" customHeight="1" x14ac:dyDescent="0.25">
      <c r="A2050" s="4" t="s">
        <v>27</v>
      </c>
      <c r="B2050" s="4" t="s">
        <v>46</v>
      </c>
      <c r="C2050" s="4" t="s">
        <v>23</v>
      </c>
      <c r="D2050" s="4" t="s">
        <v>47</v>
      </c>
      <c r="E2050" s="4" t="s">
        <v>25</v>
      </c>
      <c r="F2050" s="4" t="s">
        <v>25</v>
      </c>
      <c r="G2050" s="4" t="s">
        <v>25</v>
      </c>
      <c r="H2050" s="4" t="s">
        <v>25</v>
      </c>
      <c r="I2050" s="5">
        <v>44287</v>
      </c>
      <c r="J2050" s="6">
        <v>0</v>
      </c>
      <c r="K2050" s="6">
        <v>0</v>
      </c>
      <c r="L2050" s="6">
        <v>-35.676000000000002</v>
      </c>
      <c r="M2050" s="6">
        <v>-35.676000000000002</v>
      </c>
      <c r="N2050" s="6">
        <v>-35.676000000000002</v>
      </c>
      <c r="O2050" s="6">
        <v>-35.676000000000002</v>
      </c>
      <c r="P2050" s="6">
        <v>0</v>
      </c>
      <c r="Q2050" s="4" t="s">
        <v>26</v>
      </c>
      <c r="R2050" s="4">
        <v>0</v>
      </c>
      <c r="S2050" s="6">
        <v>0</v>
      </c>
      <c r="T2050" s="6">
        <v>39</v>
      </c>
      <c r="U2050" s="6">
        <v>85</v>
      </c>
      <c r="V2050" s="6">
        <f>IF(ISERROR(VLOOKUP($S$2050,'TAR FIN'!$A$1:$O$95,15,0)),0,VLOOKUP($S$2050,'TAR FIN'!$A$1:$O$95,15,0))</f>
        <v>0</v>
      </c>
      <c r="W2050" s="6">
        <f>IF(ISERROR(VLOOKUP($T$2050,'TAR FIN'!$A$1:$O$95,15,0)),0,VLOOKUP($T$2050,'TAR FIN'!$A$1:$O$95,15,0))</f>
        <v>369.16</v>
      </c>
      <c r="X2050" s="6">
        <f>IF(ISERROR(VLOOKUP($U$2050,'TAR FIN'!$A$1:$O$95,15,0)),0,VLOOKUP($U$2050,'TAR FIN'!$A$1:$O$95,15,0))</f>
        <v>199.51</v>
      </c>
      <c r="Y2050" s="6"/>
      <c r="Z2050" s="6">
        <f ca="1">('TUSD BE'!$AM$38+'TUSD BF'!$AM$38+'TUSD CVA'!$AM$38)*(1-CUSTOS!$M$38)</f>
        <v>445.73746261020432</v>
      </c>
      <c r="AA2050" s="6">
        <f>('TE BE'!$AA$26+'TE BF'!$AA$26+'TE CVA'!$AA$26)*(1-CUSTOS!$M$38)</f>
        <v>261.5374640864809</v>
      </c>
      <c r="AB2050" s="6">
        <f>$K$2050*$V$2050</f>
        <v>0</v>
      </c>
      <c r="AC2050" s="6">
        <f>$M$2050*$W$2050</f>
        <v>-13170.152160000001</v>
      </c>
      <c r="AD2050" s="6">
        <f>$O$2050*$X$2050</f>
        <v>-7117.7187599999997</v>
      </c>
      <c r="AE2050" s="6">
        <f>$K$2050*$Y$2050</f>
        <v>0</v>
      </c>
      <c r="AF2050" s="6">
        <f ca="1">$M$2050*$Z$2050</f>
        <v>-15902.12971608165</v>
      </c>
      <c r="AG2050" s="6">
        <f>$O$2050*$AA$2050</f>
        <v>-9330.6105687492927</v>
      </c>
    </row>
    <row r="2051" spans="1:33" ht="11.25" customHeight="1" x14ac:dyDescent="0.25">
      <c r="A2051" s="4" t="s">
        <v>28</v>
      </c>
      <c r="B2051" s="4" t="s">
        <v>46</v>
      </c>
      <c r="C2051" s="4" t="s">
        <v>23</v>
      </c>
      <c r="D2051" s="4" t="s">
        <v>47</v>
      </c>
      <c r="E2051" s="4" t="s">
        <v>25</v>
      </c>
      <c r="F2051" s="4" t="s">
        <v>25</v>
      </c>
      <c r="G2051" s="4" t="s">
        <v>25</v>
      </c>
      <c r="H2051" s="4" t="s">
        <v>25</v>
      </c>
      <c r="I2051" s="5">
        <v>44287</v>
      </c>
      <c r="J2051" s="6">
        <v>0</v>
      </c>
      <c r="K2051" s="6">
        <v>0</v>
      </c>
      <c r="L2051" s="6">
        <v>3852.3090000000002</v>
      </c>
      <c r="M2051" s="6">
        <v>3852.3090000000002</v>
      </c>
      <c r="N2051" s="6">
        <v>3852.3090000000002</v>
      </c>
      <c r="O2051" s="6">
        <v>3852.3090000000002</v>
      </c>
      <c r="P2051" s="6">
        <v>33900</v>
      </c>
      <c r="Q2051" s="4" t="s">
        <v>26</v>
      </c>
      <c r="R2051" s="4">
        <v>0</v>
      </c>
      <c r="S2051" s="6">
        <v>0</v>
      </c>
      <c r="T2051" s="6">
        <v>39</v>
      </c>
      <c r="U2051" s="6">
        <v>85</v>
      </c>
      <c r="V2051" s="6">
        <f>IF(ISERROR(VLOOKUP($S$2051,'TAR FIN'!$A$1:$O$95,15,0)),0,VLOOKUP($S$2051,'TAR FIN'!$A$1:$O$95,15,0))</f>
        <v>0</v>
      </c>
      <c r="W2051" s="6">
        <f>IF(ISERROR(VLOOKUP($T$2051,'TAR FIN'!$A$1:$O$95,15,0)),0,VLOOKUP($T$2051,'TAR FIN'!$A$1:$O$95,15,0))</f>
        <v>369.16</v>
      </c>
      <c r="X2051" s="6">
        <f>IF(ISERROR(VLOOKUP($U$2051,'TAR FIN'!$A$1:$O$95,15,0)),0,VLOOKUP($U$2051,'TAR FIN'!$A$1:$O$95,15,0))</f>
        <v>199.51</v>
      </c>
      <c r="Y2051" s="6"/>
      <c r="Z2051" s="6">
        <f ca="1">('TUSD BE'!$AM$38+'TUSD BF'!$AM$38+'TUSD CVA'!$AM$38)*(1-CUSTOS!$M$38)</f>
        <v>445.73746261020432</v>
      </c>
      <c r="AA2051" s="6">
        <f>('TE BE'!$AA$26+'TE BF'!$AA$26+'TE CVA'!$AA$26)*(1-CUSTOS!$M$38)</f>
        <v>261.5374640864809</v>
      </c>
      <c r="AB2051" s="6">
        <f>$K$2051*$V$2051</f>
        <v>0</v>
      </c>
      <c r="AC2051" s="6">
        <f>$M$2051*$W$2051</f>
        <v>1422118.3904400002</v>
      </c>
      <c r="AD2051" s="6">
        <f>$O$2051*$X$2051</f>
        <v>768574.16859000002</v>
      </c>
      <c r="AE2051" s="6">
        <f>$K$2051*$Y$2051</f>
        <v>0</v>
      </c>
      <c r="AF2051" s="6">
        <f ca="1">$M$2051*$Z$2051</f>
        <v>1717118.4388504536</v>
      </c>
      <c r="AG2051" s="6">
        <f>$O$2051*$AA$2051</f>
        <v>1007523.1267375272</v>
      </c>
    </row>
    <row r="2052" spans="1:33" ht="11.25" customHeight="1" x14ac:dyDescent="0.25">
      <c r="A2052" s="4" t="s">
        <v>29</v>
      </c>
      <c r="B2052" s="4" t="s">
        <v>46</v>
      </c>
      <c r="C2052" s="4" t="s">
        <v>23</v>
      </c>
      <c r="D2052" s="4" t="s">
        <v>47</v>
      </c>
      <c r="E2052" s="4" t="s">
        <v>25</v>
      </c>
      <c r="F2052" s="4" t="s">
        <v>25</v>
      </c>
      <c r="G2052" s="4" t="s">
        <v>25</v>
      </c>
      <c r="H2052" s="4" t="s">
        <v>25</v>
      </c>
      <c r="I2052" s="5">
        <v>44287</v>
      </c>
      <c r="J2052" s="6">
        <v>0</v>
      </c>
      <c r="K2052" s="6">
        <v>0</v>
      </c>
      <c r="L2052" s="6">
        <v>-38.832000000000001</v>
      </c>
      <c r="M2052" s="6">
        <v>-38.832000000000001</v>
      </c>
      <c r="N2052" s="6">
        <v>-38.832000000000001</v>
      </c>
      <c r="O2052" s="6">
        <v>-38.832000000000001</v>
      </c>
      <c r="P2052" s="6">
        <v>0</v>
      </c>
      <c r="Q2052" s="4" t="s">
        <v>26</v>
      </c>
      <c r="R2052" s="4">
        <v>0</v>
      </c>
      <c r="S2052" s="6">
        <v>0</v>
      </c>
      <c r="T2052" s="6">
        <v>39</v>
      </c>
      <c r="U2052" s="6">
        <v>85</v>
      </c>
      <c r="V2052" s="6">
        <f>IF(ISERROR(VLOOKUP($S$2052,'TAR FIN'!$A$1:$O$95,15,0)),0,VLOOKUP($S$2052,'TAR FIN'!$A$1:$O$95,15,0))</f>
        <v>0</v>
      </c>
      <c r="W2052" s="6">
        <f>IF(ISERROR(VLOOKUP($T$2052,'TAR FIN'!$A$1:$O$95,15,0)),0,VLOOKUP($T$2052,'TAR FIN'!$A$1:$O$95,15,0))</f>
        <v>369.16</v>
      </c>
      <c r="X2052" s="6">
        <f>IF(ISERROR(VLOOKUP($U$2052,'TAR FIN'!$A$1:$O$95,15,0)),0,VLOOKUP($U$2052,'TAR FIN'!$A$1:$O$95,15,0))</f>
        <v>199.51</v>
      </c>
      <c r="Y2052" s="6"/>
      <c r="Z2052" s="6">
        <f ca="1">('TUSD BE'!$AM$38+'TUSD BF'!$AM$38+'TUSD CVA'!$AM$38)*(1-CUSTOS!$M$38)</f>
        <v>445.73746261020432</v>
      </c>
      <c r="AA2052" s="6">
        <f>('TE BE'!$AA$26+'TE BF'!$AA$26+'TE CVA'!$AA$26)*(1-CUSTOS!$M$38)</f>
        <v>261.5374640864809</v>
      </c>
      <c r="AB2052" s="6">
        <f>$K$2052*$V$2052</f>
        <v>0</v>
      </c>
      <c r="AC2052" s="6">
        <f>$M$2052*$W$2052</f>
        <v>-14335.221120000002</v>
      </c>
      <c r="AD2052" s="6">
        <f>$O$2052*$X$2052</f>
        <v>-7747.3723199999995</v>
      </c>
      <c r="AE2052" s="6">
        <f>$K$2052*$Y$2052</f>
        <v>0</v>
      </c>
      <c r="AF2052" s="6">
        <f ca="1">$M$2052*$Z$2052</f>
        <v>-17308.877148079453</v>
      </c>
      <c r="AG2052" s="6">
        <f>$O$2052*$AA$2052</f>
        <v>-10156.022805406226</v>
      </c>
    </row>
    <row r="2053" spans="1:33" ht="11.25" customHeight="1" x14ac:dyDescent="0.25">
      <c r="A2053" s="4" t="s">
        <v>30</v>
      </c>
      <c r="B2053" s="4" t="s">
        <v>46</v>
      </c>
      <c r="C2053" s="4" t="s">
        <v>23</v>
      </c>
      <c r="D2053" s="4" t="s">
        <v>47</v>
      </c>
      <c r="E2053" s="4" t="s">
        <v>25</v>
      </c>
      <c r="F2053" s="4" t="s">
        <v>25</v>
      </c>
      <c r="G2053" s="4" t="s">
        <v>25</v>
      </c>
      <c r="H2053" s="4" t="s">
        <v>25</v>
      </c>
      <c r="I2053" s="5">
        <v>44287</v>
      </c>
      <c r="J2053" s="6">
        <v>0</v>
      </c>
      <c r="K2053" s="6">
        <v>0</v>
      </c>
      <c r="L2053" s="6">
        <v>10.926</v>
      </c>
      <c r="M2053" s="6">
        <v>10.926</v>
      </c>
      <c r="N2053" s="6">
        <v>10.926</v>
      </c>
      <c r="O2053" s="6">
        <v>10.926</v>
      </c>
      <c r="P2053" s="6">
        <v>15</v>
      </c>
      <c r="Q2053" s="4" t="s">
        <v>26</v>
      </c>
      <c r="R2053" s="4">
        <v>0</v>
      </c>
      <c r="S2053" s="6">
        <v>0</v>
      </c>
      <c r="T2053" s="6">
        <v>39</v>
      </c>
      <c r="U2053" s="6">
        <v>85</v>
      </c>
      <c r="V2053" s="6">
        <f>IF(ISERROR(VLOOKUP($S$2053,'TAR FIN'!$A$1:$O$95,15,0)),0,VLOOKUP($S$2053,'TAR FIN'!$A$1:$O$95,15,0))</f>
        <v>0</v>
      </c>
      <c r="W2053" s="6">
        <f>IF(ISERROR(VLOOKUP($T$2053,'TAR FIN'!$A$1:$O$95,15,0)),0,VLOOKUP($T$2053,'TAR FIN'!$A$1:$O$95,15,0))</f>
        <v>369.16</v>
      </c>
      <c r="X2053" s="6">
        <f>IF(ISERROR(VLOOKUP($U$2053,'TAR FIN'!$A$1:$O$95,15,0)),0,VLOOKUP($U$2053,'TAR FIN'!$A$1:$O$95,15,0))</f>
        <v>199.51</v>
      </c>
      <c r="Y2053" s="6"/>
      <c r="Z2053" s="6">
        <f ca="1">('TUSD BE'!$AM$38+'TUSD BF'!$AM$38+'TUSD CVA'!$AM$38)*(1-CUSTOS!$M$38)</f>
        <v>445.73746261020432</v>
      </c>
      <c r="AA2053" s="6">
        <f>('TE BE'!$AA$26+'TE BF'!$AA$26+'TE CVA'!$AA$26)*(1-CUSTOS!$M$38)</f>
        <v>261.5374640864809</v>
      </c>
      <c r="AB2053" s="6">
        <f>$K$2053*$V$2053</f>
        <v>0</v>
      </c>
      <c r="AC2053" s="6">
        <f>$M$2053*$W$2053</f>
        <v>4033.4421600000005</v>
      </c>
      <c r="AD2053" s="6">
        <f>$O$2053*$X$2053</f>
        <v>2179.8462599999998</v>
      </c>
      <c r="AE2053" s="6">
        <f>$K$2053*$Y$2053</f>
        <v>0</v>
      </c>
      <c r="AF2053" s="6">
        <f ca="1">$M$2053*$Z$2053</f>
        <v>4870.1275164790923</v>
      </c>
      <c r="AG2053" s="6">
        <f>$O$2053*$AA$2053</f>
        <v>2857.5583326088904</v>
      </c>
    </row>
    <row r="2054" spans="1:33" ht="11.25" customHeight="1" x14ac:dyDescent="0.25">
      <c r="A2054" s="4" t="s">
        <v>21</v>
      </c>
      <c r="B2054" s="4" t="s">
        <v>46</v>
      </c>
      <c r="C2054" s="4" t="s">
        <v>23</v>
      </c>
      <c r="D2054" s="4" t="s">
        <v>47</v>
      </c>
      <c r="E2054" s="4" t="s">
        <v>25</v>
      </c>
      <c r="F2054" s="4" t="s">
        <v>25</v>
      </c>
      <c r="G2054" s="4" t="s">
        <v>25</v>
      </c>
      <c r="H2054" s="4" t="s">
        <v>25</v>
      </c>
      <c r="I2054" s="5">
        <v>44317</v>
      </c>
      <c r="J2054" s="6">
        <v>0</v>
      </c>
      <c r="K2054" s="6">
        <v>0</v>
      </c>
      <c r="L2054" s="6">
        <v>1470.9860000000001</v>
      </c>
      <c r="M2054" s="6">
        <v>1470.9860000000001</v>
      </c>
      <c r="N2054" s="6">
        <v>1470.9860000000001</v>
      </c>
      <c r="O2054" s="6">
        <v>1470.9860000000001</v>
      </c>
      <c r="P2054" s="6">
        <v>7507</v>
      </c>
      <c r="Q2054" s="4" t="s">
        <v>26</v>
      </c>
      <c r="R2054" s="4">
        <v>0</v>
      </c>
      <c r="S2054" s="6">
        <v>0</v>
      </c>
      <c r="T2054" s="6">
        <v>39</v>
      </c>
      <c r="U2054" s="6">
        <v>85</v>
      </c>
      <c r="V2054" s="6">
        <f>IF(ISERROR(VLOOKUP($S$2054,'TAR FIN'!$A$1:$O$95,15,0)),0,VLOOKUP($S$2054,'TAR FIN'!$A$1:$O$95,15,0))</f>
        <v>0</v>
      </c>
      <c r="W2054" s="6">
        <f>IF(ISERROR(VLOOKUP($T$2054,'TAR FIN'!$A$1:$O$95,15,0)),0,VLOOKUP($T$2054,'TAR FIN'!$A$1:$O$95,15,0))</f>
        <v>369.16</v>
      </c>
      <c r="X2054" s="6">
        <f>IF(ISERROR(VLOOKUP($U$2054,'TAR FIN'!$A$1:$O$95,15,0)),0,VLOOKUP($U$2054,'TAR FIN'!$A$1:$O$95,15,0))</f>
        <v>199.51</v>
      </c>
      <c r="Y2054" s="6"/>
      <c r="Z2054" s="6">
        <f ca="1">('TUSD BE'!$AM$38+'TUSD BF'!$AM$38+'TUSD CVA'!$AM$38)*(1-CUSTOS!$M$38)</f>
        <v>445.73746261020432</v>
      </c>
      <c r="AA2054" s="6">
        <f>('TE BE'!$AA$26+'TE BF'!$AA$26+'TE CVA'!$AA$26)*(1-CUSTOS!$M$38)</f>
        <v>261.5374640864809</v>
      </c>
      <c r="AB2054" s="6">
        <f>$K$2054*$V$2054</f>
        <v>0</v>
      </c>
      <c r="AC2054" s="6">
        <f>$M$2054*$W$2054</f>
        <v>543029.19176000007</v>
      </c>
      <c r="AD2054" s="6">
        <f>$O$2054*$X$2054</f>
        <v>293476.41686</v>
      </c>
      <c r="AE2054" s="6">
        <f>$K$2054*$Y$2054</f>
        <v>0</v>
      </c>
      <c r="AF2054" s="6">
        <f ca="1">$M$2054*$Z$2054</f>
        <v>655673.56717513409</v>
      </c>
      <c r="AG2054" s="6">
        <f>$O$2054*$AA$2054</f>
        <v>384717.94814671623</v>
      </c>
    </row>
    <row r="2055" spans="1:33" ht="11.25" customHeight="1" x14ac:dyDescent="0.25">
      <c r="A2055" s="4" t="s">
        <v>27</v>
      </c>
      <c r="B2055" s="4" t="s">
        <v>46</v>
      </c>
      <c r="C2055" s="4" t="s">
        <v>23</v>
      </c>
      <c r="D2055" s="4" t="s">
        <v>47</v>
      </c>
      <c r="E2055" s="4" t="s">
        <v>25</v>
      </c>
      <c r="F2055" s="4" t="s">
        <v>25</v>
      </c>
      <c r="G2055" s="4" t="s">
        <v>25</v>
      </c>
      <c r="H2055" s="4" t="s">
        <v>25</v>
      </c>
      <c r="I2055" s="5">
        <v>44317</v>
      </c>
      <c r="J2055" s="6">
        <v>0</v>
      </c>
      <c r="K2055" s="6">
        <v>0</v>
      </c>
      <c r="L2055" s="6">
        <v>-12.042999999999999</v>
      </c>
      <c r="M2055" s="6">
        <v>-12.042999999999999</v>
      </c>
      <c r="N2055" s="6">
        <v>-12.042999999999999</v>
      </c>
      <c r="O2055" s="6">
        <v>-12.042999999999999</v>
      </c>
      <c r="P2055" s="6">
        <v>0</v>
      </c>
      <c r="Q2055" s="4" t="s">
        <v>26</v>
      </c>
      <c r="R2055" s="4">
        <v>0</v>
      </c>
      <c r="S2055" s="6">
        <v>0</v>
      </c>
      <c r="T2055" s="6">
        <v>39</v>
      </c>
      <c r="U2055" s="6">
        <v>85</v>
      </c>
      <c r="V2055" s="6">
        <f>IF(ISERROR(VLOOKUP($S$2055,'TAR FIN'!$A$1:$O$95,15,0)),0,VLOOKUP($S$2055,'TAR FIN'!$A$1:$O$95,15,0))</f>
        <v>0</v>
      </c>
      <c r="W2055" s="6">
        <f>IF(ISERROR(VLOOKUP($T$2055,'TAR FIN'!$A$1:$O$95,15,0)),0,VLOOKUP($T$2055,'TAR FIN'!$A$1:$O$95,15,0))</f>
        <v>369.16</v>
      </c>
      <c r="X2055" s="6">
        <f>IF(ISERROR(VLOOKUP($U$2055,'TAR FIN'!$A$1:$O$95,15,0)),0,VLOOKUP($U$2055,'TAR FIN'!$A$1:$O$95,15,0))</f>
        <v>199.51</v>
      </c>
      <c r="Y2055" s="6"/>
      <c r="Z2055" s="6">
        <f ca="1">('TUSD BE'!$AM$38+'TUSD BF'!$AM$38+'TUSD CVA'!$AM$38)*(1-CUSTOS!$M$38)</f>
        <v>445.73746261020432</v>
      </c>
      <c r="AA2055" s="6">
        <f>('TE BE'!$AA$26+'TE BF'!$AA$26+'TE CVA'!$AA$26)*(1-CUSTOS!$M$38)</f>
        <v>261.5374640864809</v>
      </c>
      <c r="AB2055" s="6">
        <f>$K$2055*$V$2055</f>
        <v>0</v>
      </c>
      <c r="AC2055" s="6">
        <f>$M$2055*$W$2055</f>
        <v>-4445.7938800000002</v>
      </c>
      <c r="AD2055" s="6">
        <f>$O$2055*$X$2055</f>
        <v>-2402.6989299999996</v>
      </c>
      <c r="AE2055" s="6">
        <f>$K$2055*$Y$2055</f>
        <v>0</v>
      </c>
      <c r="AF2055" s="6">
        <f ca="1">$M$2055*$Z$2055</f>
        <v>-5368.01626221469</v>
      </c>
      <c r="AG2055" s="6">
        <f>$O$2055*$AA$2055</f>
        <v>-3149.6956799934892</v>
      </c>
    </row>
    <row r="2056" spans="1:33" ht="11.25" customHeight="1" x14ac:dyDescent="0.25">
      <c r="A2056" s="4" t="s">
        <v>28</v>
      </c>
      <c r="B2056" s="4" t="s">
        <v>46</v>
      </c>
      <c r="C2056" s="4" t="s">
        <v>23</v>
      </c>
      <c r="D2056" s="4" t="s">
        <v>47</v>
      </c>
      <c r="E2056" s="4" t="s">
        <v>25</v>
      </c>
      <c r="F2056" s="4" t="s">
        <v>25</v>
      </c>
      <c r="G2056" s="4" t="s">
        <v>25</v>
      </c>
      <c r="H2056" s="4" t="s">
        <v>25</v>
      </c>
      <c r="I2056" s="5">
        <v>44317</v>
      </c>
      <c r="J2056" s="6">
        <v>0</v>
      </c>
      <c r="K2056" s="6">
        <v>0</v>
      </c>
      <c r="L2056" s="6">
        <v>3894.768</v>
      </c>
      <c r="M2056" s="6">
        <v>3894.768</v>
      </c>
      <c r="N2056" s="6">
        <v>3894.768</v>
      </c>
      <c r="O2056" s="6">
        <v>3894.768</v>
      </c>
      <c r="P2056" s="6">
        <v>33900</v>
      </c>
      <c r="Q2056" s="4" t="s">
        <v>26</v>
      </c>
      <c r="R2056" s="4">
        <v>0</v>
      </c>
      <c r="S2056" s="6">
        <v>0</v>
      </c>
      <c r="T2056" s="6">
        <v>39</v>
      </c>
      <c r="U2056" s="6">
        <v>85</v>
      </c>
      <c r="V2056" s="6">
        <f>IF(ISERROR(VLOOKUP($S$2056,'TAR FIN'!$A$1:$O$95,15,0)),0,VLOOKUP($S$2056,'TAR FIN'!$A$1:$O$95,15,0))</f>
        <v>0</v>
      </c>
      <c r="W2056" s="6">
        <f>IF(ISERROR(VLOOKUP($T$2056,'TAR FIN'!$A$1:$O$95,15,0)),0,VLOOKUP($T$2056,'TAR FIN'!$A$1:$O$95,15,0))</f>
        <v>369.16</v>
      </c>
      <c r="X2056" s="6">
        <f>IF(ISERROR(VLOOKUP($U$2056,'TAR FIN'!$A$1:$O$95,15,0)),0,VLOOKUP($U$2056,'TAR FIN'!$A$1:$O$95,15,0))</f>
        <v>199.51</v>
      </c>
      <c r="Y2056" s="6"/>
      <c r="Z2056" s="6">
        <f ca="1">('TUSD BE'!$AM$38+'TUSD BF'!$AM$38+'TUSD CVA'!$AM$38)*(1-CUSTOS!$M$38)</f>
        <v>445.73746261020432</v>
      </c>
      <c r="AA2056" s="6">
        <f>('TE BE'!$AA$26+'TE BF'!$AA$26+'TE CVA'!$AA$26)*(1-CUSTOS!$M$38)</f>
        <v>261.5374640864809</v>
      </c>
      <c r="AB2056" s="6">
        <f>$K$2056*$V$2056</f>
        <v>0</v>
      </c>
      <c r="AC2056" s="6">
        <f>$M$2056*$W$2056</f>
        <v>1437792.5548800002</v>
      </c>
      <c r="AD2056" s="6">
        <f>$O$2056*$X$2056</f>
        <v>777045.16368</v>
      </c>
      <c r="AE2056" s="6">
        <f>$K$2056*$Y$2056</f>
        <v>0</v>
      </c>
      <c r="AF2056" s="6">
        <f ca="1">$M$2056*$Z$2056</f>
        <v>1736044.0057754202</v>
      </c>
      <c r="AG2056" s="6">
        <f>$O$2056*$AA$2056</f>
        <v>1018627.745925175</v>
      </c>
    </row>
    <row r="2057" spans="1:33" ht="11.25" customHeight="1" x14ac:dyDescent="0.25">
      <c r="A2057" s="4" t="s">
        <v>29</v>
      </c>
      <c r="B2057" s="4" t="s">
        <v>46</v>
      </c>
      <c r="C2057" s="4" t="s">
        <v>23</v>
      </c>
      <c r="D2057" s="4" t="s">
        <v>47</v>
      </c>
      <c r="E2057" s="4" t="s">
        <v>25</v>
      </c>
      <c r="F2057" s="4" t="s">
        <v>25</v>
      </c>
      <c r="G2057" s="4" t="s">
        <v>25</v>
      </c>
      <c r="H2057" s="4" t="s">
        <v>25</v>
      </c>
      <c r="I2057" s="5">
        <v>44317</v>
      </c>
      <c r="J2057" s="6">
        <v>0</v>
      </c>
      <c r="K2057" s="6">
        <v>0</v>
      </c>
      <c r="L2057" s="6">
        <v>-32.683</v>
      </c>
      <c r="M2057" s="6">
        <v>-32.683</v>
      </c>
      <c r="N2057" s="6">
        <v>-32.683</v>
      </c>
      <c r="O2057" s="6">
        <v>-32.683</v>
      </c>
      <c r="P2057" s="6">
        <v>0</v>
      </c>
      <c r="Q2057" s="4" t="s">
        <v>26</v>
      </c>
      <c r="R2057" s="4">
        <v>0</v>
      </c>
      <c r="S2057" s="6">
        <v>0</v>
      </c>
      <c r="T2057" s="6">
        <v>39</v>
      </c>
      <c r="U2057" s="6">
        <v>85</v>
      </c>
      <c r="V2057" s="6">
        <f>IF(ISERROR(VLOOKUP($S$2057,'TAR FIN'!$A$1:$O$95,15,0)),0,VLOOKUP($S$2057,'TAR FIN'!$A$1:$O$95,15,0))</f>
        <v>0</v>
      </c>
      <c r="W2057" s="6">
        <f>IF(ISERROR(VLOOKUP($T$2057,'TAR FIN'!$A$1:$O$95,15,0)),0,VLOOKUP($T$2057,'TAR FIN'!$A$1:$O$95,15,0))</f>
        <v>369.16</v>
      </c>
      <c r="X2057" s="6">
        <f>IF(ISERROR(VLOOKUP($U$2057,'TAR FIN'!$A$1:$O$95,15,0)),0,VLOOKUP($U$2057,'TAR FIN'!$A$1:$O$95,15,0))</f>
        <v>199.51</v>
      </c>
      <c r="Y2057" s="6"/>
      <c r="Z2057" s="6">
        <f ca="1">('TUSD BE'!$AM$38+'TUSD BF'!$AM$38+'TUSD CVA'!$AM$38)*(1-CUSTOS!$M$38)</f>
        <v>445.73746261020432</v>
      </c>
      <c r="AA2057" s="6">
        <f>('TE BE'!$AA$26+'TE BF'!$AA$26+'TE CVA'!$AA$26)*(1-CUSTOS!$M$38)</f>
        <v>261.5374640864809</v>
      </c>
      <c r="AB2057" s="6">
        <f>$K$2057*$V$2057</f>
        <v>0</v>
      </c>
      <c r="AC2057" s="6">
        <f>$M$2057*$W$2057</f>
        <v>-12065.256280000001</v>
      </c>
      <c r="AD2057" s="6">
        <f>$O$2057*$X$2057</f>
        <v>-6520.5853299999999</v>
      </c>
      <c r="AE2057" s="6">
        <f>$K$2057*$Y$2057</f>
        <v>0</v>
      </c>
      <c r="AF2057" s="6">
        <f ca="1">$M$2057*$Z$2057</f>
        <v>-14568.037490489307</v>
      </c>
      <c r="AG2057" s="6">
        <f>$O$2057*$AA$2057</f>
        <v>-8547.8289387384557</v>
      </c>
    </row>
    <row r="2058" spans="1:33" ht="11.25" customHeight="1" x14ac:dyDescent="0.25">
      <c r="A2058" s="4" t="s">
        <v>30</v>
      </c>
      <c r="B2058" s="4" t="s">
        <v>46</v>
      </c>
      <c r="C2058" s="4" t="s">
        <v>23</v>
      </c>
      <c r="D2058" s="4" t="s">
        <v>47</v>
      </c>
      <c r="E2058" s="4" t="s">
        <v>25</v>
      </c>
      <c r="F2058" s="4" t="s">
        <v>25</v>
      </c>
      <c r="G2058" s="4" t="s">
        <v>25</v>
      </c>
      <c r="H2058" s="4" t="s">
        <v>25</v>
      </c>
      <c r="I2058" s="5">
        <v>44317</v>
      </c>
      <c r="J2058" s="6">
        <v>0</v>
      </c>
      <c r="K2058" s="6">
        <v>0</v>
      </c>
      <c r="L2058" s="6">
        <v>16.609000000000002</v>
      </c>
      <c r="M2058" s="6">
        <v>16.609000000000002</v>
      </c>
      <c r="N2058" s="6">
        <v>16.609000000000002</v>
      </c>
      <c r="O2058" s="6">
        <v>16.609000000000002</v>
      </c>
      <c r="P2058" s="6">
        <v>18</v>
      </c>
      <c r="Q2058" s="4" t="s">
        <v>26</v>
      </c>
      <c r="R2058" s="4">
        <v>0</v>
      </c>
      <c r="S2058" s="6">
        <v>0</v>
      </c>
      <c r="T2058" s="6">
        <v>39</v>
      </c>
      <c r="U2058" s="6">
        <v>85</v>
      </c>
      <c r="V2058" s="6">
        <f>IF(ISERROR(VLOOKUP($S$2058,'TAR FIN'!$A$1:$O$95,15,0)),0,VLOOKUP($S$2058,'TAR FIN'!$A$1:$O$95,15,0))</f>
        <v>0</v>
      </c>
      <c r="W2058" s="6">
        <f>IF(ISERROR(VLOOKUP($T$2058,'TAR FIN'!$A$1:$O$95,15,0)),0,VLOOKUP($T$2058,'TAR FIN'!$A$1:$O$95,15,0))</f>
        <v>369.16</v>
      </c>
      <c r="X2058" s="6">
        <f>IF(ISERROR(VLOOKUP($U$2058,'TAR FIN'!$A$1:$O$95,15,0)),0,VLOOKUP($U$2058,'TAR FIN'!$A$1:$O$95,15,0))</f>
        <v>199.51</v>
      </c>
      <c r="Y2058" s="6"/>
      <c r="Z2058" s="6">
        <f ca="1">('TUSD BE'!$AM$38+'TUSD BF'!$AM$38+'TUSD CVA'!$AM$38)*(1-CUSTOS!$M$38)</f>
        <v>445.73746261020432</v>
      </c>
      <c r="AA2058" s="6">
        <f>('TE BE'!$AA$26+'TE BF'!$AA$26+'TE CVA'!$AA$26)*(1-CUSTOS!$M$38)</f>
        <v>261.5374640864809</v>
      </c>
      <c r="AB2058" s="6">
        <f>$K$2058*$V$2058</f>
        <v>0</v>
      </c>
      <c r="AC2058" s="6">
        <f>$M$2058*$W$2058</f>
        <v>6131.3784400000013</v>
      </c>
      <c r="AD2058" s="6">
        <f>$O$2058*$X$2058</f>
        <v>3313.6615900000002</v>
      </c>
      <c r="AE2058" s="6">
        <f>$K$2058*$Y$2058</f>
        <v>0</v>
      </c>
      <c r="AF2058" s="6">
        <f ca="1">$M$2058*$Z$2058</f>
        <v>7403.253516492884</v>
      </c>
      <c r="AG2058" s="6">
        <f>$O$2058*$AA$2058</f>
        <v>4343.8757410123617</v>
      </c>
    </row>
    <row r="2059" spans="1:33" ht="11.25" customHeight="1" x14ac:dyDescent="0.25">
      <c r="A2059" s="4" t="s">
        <v>21</v>
      </c>
      <c r="B2059" s="4" t="s">
        <v>46</v>
      </c>
      <c r="C2059" s="4" t="s">
        <v>23</v>
      </c>
      <c r="D2059" s="4" t="s">
        <v>47</v>
      </c>
      <c r="E2059" s="4" t="s">
        <v>25</v>
      </c>
      <c r="F2059" s="4" t="s">
        <v>25</v>
      </c>
      <c r="G2059" s="4" t="s">
        <v>25</v>
      </c>
      <c r="H2059" s="4" t="s">
        <v>25</v>
      </c>
      <c r="I2059" s="5">
        <v>44348</v>
      </c>
      <c r="J2059" s="6">
        <v>0</v>
      </c>
      <c r="K2059" s="6">
        <v>0</v>
      </c>
      <c r="L2059" s="6">
        <v>1583.41</v>
      </c>
      <c r="M2059" s="6">
        <v>1583.41</v>
      </c>
      <c r="N2059" s="6">
        <v>1583.41</v>
      </c>
      <c r="O2059" s="6">
        <v>1583.41</v>
      </c>
      <c r="P2059" s="6">
        <v>7462</v>
      </c>
      <c r="Q2059" s="4" t="s">
        <v>26</v>
      </c>
      <c r="R2059" s="4">
        <v>0</v>
      </c>
      <c r="S2059" s="6">
        <v>0</v>
      </c>
      <c r="T2059" s="6">
        <v>39</v>
      </c>
      <c r="U2059" s="6">
        <v>85</v>
      </c>
      <c r="V2059" s="6">
        <f>IF(ISERROR(VLOOKUP($S$2059,'TAR FIN'!$A$1:$O$95,15,0)),0,VLOOKUP($S$2059,'TAR FIN'!$A$1:$O$95,15,0))</f>
        <v>0</v>
      </c>
      <c r="W2059" s="6">
        <f>IF(ISERROR(VLOOKUP($T$2059,'TAR FIN'!$A$1:$O$95,15,0)),0,VLOOKUP($T$2059,'TAR FIN'!$A$1:$O$95,15,0))</f>
        <v>369.16</v>
      </c>
      <c r="X2059" s="6">
        <f>IF(ISERROR(VLOOKUP($U$2059,'TAR FIN'!$A$1:$O$95,15,0)),0,VLOOKUP($U$2059,'TAR FIN'!$A$1:$O$95,15,0))</f>
        <v>199.51</v>
      </c>
      <c r="Y2059" s="6"/>
      <c r="Z2059" s="6">
        <f ca="1">('TUSD BE'!$AM$38+'TUSD BF'!$AM$38+'TUSD CVA'!$AM$38)*(1-CUSTOS!$M$38)</f>
        <v>445.73746261020432</v>
      </c>
      <c r="AA2059" s="6">
        <f>('TE BE'!$AA$26+'TE BF'!$AA$26+'TE CVA'!$AA$26)*(1-CUSTOS!$M$38)</f>
        <v>261.5374640864809</v>
      </c>
      <c r="AB2059" s="6">
        <f>$K$2059*$V$2059</f>
        <v>0</v>
      </c>
      <c r="AC2059" s="6">
        <f>$M$2059*$W$2059</f>
        <v>584531.63560000004</v>
      </c>
      <c r="AD2059" s="6">
        <f>$O$2059*$X$2059</f>
        <v>315906.12910000002</v>
      </c>
      <c r="AE2059" s="6">
        <f>$K$2059*$Y$2059</f>
        <v>0</v>
      </c>
      <c r="AF2059" s="6">
        <f ca="1">$M$2059*$Z$2059</f>
        <v>705785.15567162365</v>
      </c>
      <c r="AG2059" s="6">
        <f>$O$2059*$AA$2059</f>
        <v>414121.03600917471</v>
      </c>
    </row>
    <row r="2060" spans="1:33" ht="11.25" customHeight="1" x14ac:dyDescent="0.25">
      <c r="A2060" s="4" t="s">
        <v>27</v>
      </c>
      <c r="B2060" s="4" t="s">
        <v>46</v>
      </c>
      <c r="C2060" s="4" t="s">
        <v>23</v>
      </c>
      <c r="D2060" s="4" t="s">
        <v>47</v>
      </c>
      <c r="E2060" s="4" t="s">
        <v>25</v>
      </c>
      <c r="F2060" s="4" t="s">
        <v>25</v>
      </c>
      <c r="G2060" s="4" t="s">
        <v>25</v>
      </c>
      <c r="H2060" s="4" t="s">
        <v>25</v>
      </c>
      <c r="I2060" s="5">
        <v>44348</v>
      </c>
      <c r="J2060" s="6">
        <v>0</v>
      </c>
      <c r="K2060" s="6">
        <v>0</v>
      </c>
      <c r="L2060" s="6">
        <v>-26.966999999999999</v>
      </c>
      <c r="M2060" s="6">
        <v>-26.966999999999999</v>
      </c>
      <c r="N2060" s="6">
        <v>-26.966999999999999</v>
      </c>
      <c r="O2060" s="6">
        <v>-26.966999999999999</v>
      </c>
      <c r="P2060" s="6">
        <v>0</v>
      </c>
      <c r="Q2060" s="4" t="s">
        <v>26</v>
      </c>
      <c r="R2060" s="4">
        <v>0</v>
      </c>
      <c r="S2060" s="6">
        <v>0</v>
      </c>
      <c r="T2060" s="6">
        <v>39</v>
      </c>
      <c r="U2060" s="6">
        <v>85</v>
      </c>
      <c r="V2060" s="6">
        <f>IF(ISERROR(VLOOKUP($S$2060,'TAR FIN'!$A$1:$O$95,15,0)),0,VLOOKUP($S$2060,'TAR FIN'!$A$1:$O$95,15,0))</f>
        <v>0</v>
      </c>
      <c r="W2060" s="6">
        <f>IF(ISERROR(VLOOKUP($T$2060,'TAR FIN'!$A$1:$O$95,15,0)),0,VLOOKUP($T$2060,'TAR FIN'!$A$1:$O$95,15,0))</f>
        <v>369.16</v>
      </c>
      <c r="X2060" s="6">
        <f>IF(ISERROR(VLOOKUP($U$2060,'TAR FIN'!$A$1:$O$95,15,0)),0,VLOOKUP($U$2060,'TAR FIN'!$A$1:$O$95,15,0))</f>
        <v>199.51</v>
      </c>
      <c r="Y2060" s="6"/>
      <c r="Z2060" s="6">
        <f ca="1">('TUSD BE'!$AM$38+'TUSD BF'!$AM$38+'TUSD CVA'!$AM$38)*(1-CUSTOS!$M$38)</f>
        <v>445.73746261020432</v>
      </c>
      <c r="AA2060" s="6">
        <f>('TE BE'!$AA$26+'TE BF'!$AA$26+'TE CVA'!$AA$26)*(1-CUSTOS!$M$38)</f>
        <v>261.5374640864809</v>
      </c>
      <c r="AB2060" s="6">
        <f>$K$2060*$V$2060</f>
        <v>0</v>
      </c>
      <c r="AC2060" s="6">
        <f>$M$2060*$W$2060</f>
        <v>-9955.1377200000006</v>
      </c>
      <c r="AD2060" s="6">
        <f>$O$2060*$X$2060</f>
        <v>-5380.1861699999999</v>
      </c>
      <c r="AE2060" s="6">
        <f>$K$2060*$Y$2060</f>
        <v>0</v>
      </c>
      <c r="AF2060" s="6">
        <f ca="1">$M$2060*$Z$2060</f>
        <v>-12020.202154209379</v>
      </c>
      <c r="AG2060" s="6">
        <f>$O$2060*$AA$2060</f>
        <v>-7052.8807940201295</v>
      </c>
    </row>
    <row r="2061" spans="1:33" ht="11.25" customHeight="1" x14ac:dyDescent="0.25">
      <c r="A2061" s="4" t="s">
        <v>28</v>
      </c>
      <c r="B2061" s="4" t="s">
        <v>46</v>
      </c>
      <c r="C2061" s="4" t="s">
        <v>23</v>
      </c>
      <c r="D2061" s="4" t="s">
        <v>47</v>
      </c>
      <c r="E2061" s="4" t="s">
        <v>25</v>
      </c>
      <c r="F2061" s="4" t="s">
        <v>25</v>
      </c>
      <c r="G2061" s="4" t="s">
        <v>25</v>
      </c>
      <c r="H2061" s="4" t="s">
        <v>25</v>
      </c>
      <c r="I2061" s="5">
        <v>44348</v>
      </c>
      <c r="J2061" s="6">
        <v>0</v>
      </c>
      <c r="K2061" s="6">
        <v>0</v>
      </c>
      <c r="L2061" s="6">
        <v>3971.7350000000001</v>
      </c>
      <c r="M2061" s="6">
        <v>3971.7350000000001</v>
      </c>
      <c r="N2061" s="6">
        <v>3971.7350000000001</v>
      </c>
      <c r="O2061" s="6">
        <v>3971.7350000000001</v>
      </c>
      <c r="P2061" s="6">
        <v>33865</v>
      </c>
      <c r="Q2061" s="4" t="s">
        <v>26</v>
      </c>
      <c r="R2061" s="4">
        <v>0</v>
      </c>
      <c r="S2061" s="6">
        <v>0</v>
      </c>
      <c r="T2061" s="6">
        <v>39</v>
      </c>
      <c r="U2061" s="6">
        <v>85</v>
      </c>
      <c r="V2061" s="6">
        <f>IF(ISERROR(VLOOKUP($S$2061,'TAR FIN'!$A$1:$O$95,15,0)),0,VLOOKUP($S$2061,'TAR FIN'!$A$1:$O$95,15,0))</f>
        <v>0</v>
      </c>
      <c r="W2061" s="6">
        <f>IF(ISERROR(VLOOKUP($T$2061,'TAR FIN'!$A$1:$O$95,15,0)),0,VLOOKUP($T$2061,'TAR FIN'!$A$1:$O$95,15,0))</f>
        <v>369.16</v>
      </c>
      <c r="X2061" s="6">
        <f>IF(ISERROR(VLOOKUP($U$2061,'TAR FIN'!$A$1:$O$95,15,0)),0,VLOOKUP($U$2061,'TAR FIN'!$A$1:$O$95,15,0))</f>
        <v>199.51</v>
      </c>
      <c r="Y2061" s="6"/>
      <c r="Z2061" s="6">
        <f ca="1">('TUSD BE'!$AM$38+'TUSD BF'!$AM$38+'TUSD CVA'!$AM$38)*(1-CUSTOS!$M$38)</f>
        <v>445.73746261020432</v>
      </c>
      <c r="AA2061" s="6">
        <f>('TE BE'!$AA$26+'TE BF'!$AA$26+'TE CVA'!$AA$26)*(1-CUSTOS!$M$38)</f>
        <v>261.5374640864809</v>
      </c>
      <c r="AB2061" s="6">
        <f>$K$2061*$V$2061</f>
        <v>0</v>
      </c>
      <c r="AC2061" s="6">
        <f>$M$2061*$W$2061</f>
        <v>1466205.6926000002</v>
      </c>
      <c r="AD2061" s="6">
        <f>$O$2061*$X$2061</f>
        <v>792400.84985</v>
      </c>
      <c r="AE2061" s="6">
        <f>$K$2061*$Y$2061</f>
        <v>0</v>
      </c>
      <c r="AF2061" s="6">
        <f ca="1">$M$2061*$Z$2061</f>
        <v>1770351.0810601399</v>
      </c>
      <c r="AG2061" s="6">
        <f>$O$2061*$AA$2061</f>
        <v>1038757.4999235192</v>
      </c>
    </row>
    <row r="2062" spans="1:33" ht="11.25" customHeight="1" x14ac:dyDescent="0.25">
      <c r="A2062" s="4" t="s">
        <v>29</v>
      </c>
      <c r="B2062" s="4" t="s">
        <v>46</v>
      </c>
      <c r="C2062" s="4" t="s">
        <v>23</v>
      </c>
      <c r="D2062" s="4" t="s">
        <v>47</v>
      </c>
      <c r="E2062" s="4" t="s">
        <v>25</v>
      </c>
      <c r="F2062" s="4" t="s">
        <v>25</v>
      </c>
      <c r="G2062" s="4" t="s">
        <v>25</v>
      </c>
      <c r="H2062" s="4" t="s">
        <v>25</v>
      </c>
      <c r="I2062" s="5">
        <v>44348</v>
      </c>
      <c r="J2062" s="6">
        <v>0</v>
      </c>
      <c r="K2062" s="6">
        <v>0</v>
      </c>
      <c r="L2062" s="6">
        <v>-151.79400000000001</v>
      </c>
      <c r="M2062" s="6">
        <v>-151.79400000000001</v>
      </c>
      <c r="N2062" s="6">
        <v>-151.79400000000001</v>
      </c>
      <c r="O2062" s="6">
        <v>-151.79400000000001</v>
      </c>
      <c r="P2062" s="6">
        <v>0</v>
      </c>
      <c r="Q2062" s="4" t="s">
        <v>26</v>
      </c>
      <c r="R2062" s="4">
        <v>0</v>
      </c>
      <c r="S2062" s="6">
        <v>0</v>
      </c>
      <c r="T2062" s="6">
        <v>39</v>
      </c>
      <c r="U2062" s="6">
        <v>85</v>
      </c>
      <c r="V2062" s="6">
        <f>IF(ISERROR(VLOOKUP($S$2062,'TAR FIN'!$A$1:$O$95,15,0)),0,VLOOKUP($S$2062,'TAR FIN'!$A$1:$O$95,15,0))</f>
        <v>0</v>
      </c>
      <c r="W2062" s="6">
        <f>IF(ISERROR(VLOOKUP($T$2062,'TAR FIN'!$A$1:$O$95,15,0)),0,VLOOKUP($T$2062,'TAR FIN'!$A$1:$O$95,15,0))</f>
        <v>369.16</v>
      </c>
      <c r="X2062" s="6">
        <f>IF(ISERROR(VLOOKUP($U$2062,'TAR FIN'!$A$1:$O$95,15,0)),0,VLOOKUP($U$2062,'TAR FIN'!$A$1:$O$95,15,0))</f>
        <v>199.51</v>
      </c>
      <c r="Y2062" s="6"/>
      <c r="Z2062" s="6">
        <f ca="1">('TUSD BE'!$AM$38+'TUSD BF'!$AM$38+'TUSD CVA'!$AM$38)*(1-CUSTOS!$M$38)</f>
        <v>445.73746261020432</v>
      </c>
      <c r="AA2062" s="6">
        <f>('TE BE'!$AA$26+'TE BF'!$AA$26+'TE CVA'!$AA$26)*(1-CUSTOS!$M$38)</f>
        <v>261.5374640864809</v>
      </c>
      <c r="AB2062" s="6">
        <f>$K$2062*$V$2062</f>
        <v>0</v>
      </c>
      <c r="AC2062" s="6">
        <f>$M$2062*$W$2062</f>
        <v>-56036.273040000007</v>
      </c>
      <c r="AD2062" s="6">
        <f>$O$2062*$X$2062</f>
        <v>-30284.42094</v>
      </c>
      <c r="AE2062" s="6">
        <f>$K$2062*$Y$2062</f>
        <v>0</v>
      </c>
      <c r="AF2062" s="6">
        <f ca="1">$M$2062*$Z$2062</f>
        <v>-67660.272399453359</v>
      </c>
      <c r="AG2062" s="6">
        <f>$O$2062*$AA$2062</f>
        <v>-39699.817823543286</v>
      </c>
    </row>
    <row r="2063" spans="1:33" ht="11.25" customHeight="1" x14ac:dyDescent="0.25">
      <c r="A2063" s="4" t="s">
        <v>30</v>
      </c>
      <c r="B2063" s="4" t="s">
        <v>46</v>
      </c>
      <c r="C2063" s="4" t="s">
        <v>23</v>
      </c>
      <c r="D2063" s="4" t="s">
        <v>47</v>
      </c>
      <c r="E2063" s="4" t="s">
        <v>25</v>
      </c>
      <c r="F2063" s="4" t="s">
        <v>25</v>
      </c>
      <c r="G2063" s="4" t="s">
        <v>25</v>
      </c>
      <c r="H2063" s="4" t="s">
        <v>25</v>
      </c>
      <c r="I2063" s="5">
        <v>44348</v>
      </c>
      <c r="J2063" s="6">
        <v>0</v>
      </c>
      <c r="K2063" s="6">
        <v>0</v>
      </c>
      <c r="L2063" s="6">
        <v>16.03</v>
      </c>
      <c r="M2063" s="6">
        <v>16.03</v>
      </c>
      <c r="N2063" s="6">
        <v>16.03</v>
      </c>
      <c r="O2063" s="6">
        <v>16.03</v>
      </c>
      <c r="P2063" s="6">
        <v>21</v>
      </c>
      <c r="Q2063" s="4" t="s">
        <v>26</v>
      </c>
      <c r="R2063" s="4">
        <v>0</v>
      </c>
      <c r="S2063" s="6">
        <v>0</v>
      </c>
      <c r="T2063" s="6">
        <v>39</v>
      </c>
      <c r="U2063" s="6">
        <v>85</v>
      </c>
      <c r="V2063" s="6">
        <f>IF(ISERROR(VLOOKUP($S$2063,'TAR FIN'!$A$1:$O$95,15,0)),0,VLOOKUP($S$2063,'TAR FIN'!$A$1:$O$95,15,0))</f>
        <v>0</v>
      </c>
      <c r="W2063" s="6">
        <f>IF(ISERROR(VLOOKUP($T$2063,'TAR FIN'!$A$1:$O$95,15,0)),0,VLOOKUP($T$2063,'TAR FIN'!$A$1:$O$95,15,0))</f>
        <v>369.16</v>
      </c>
      <c r="X2063" s="6">
        <f>IF(ISERROR(VLOOKUP($U$2063,'TAR FIN'!$A$1:$O$95,15,0)),0,VLOOKUP($U$2063,'TAR FIN'!$A$1:$O$95,15,0))</f>
        <v>199.51</v>
      </c>
      <c r="Y2063" s="6"/>
      <c r="Z2063" s="6">
        <f ca="1">('TUSD BE'!$AM$38+'TUSD BF'!$AM$38+'TUSD CVA'!$AM$38)*(1-CUSTOS!$M$38)</f>
        <v>445.73746261020432</v>
      </c>
      <c r="AA2063" s="6">
        <f>('TE BE'!$AA$26+'TE BF'!$AA$26+'TE CVA'!$AA$26)*(1-CUSTOS!$M$38)</f>
        <v>261.5374640864809</v>
      </c>
      <c r="AB2063" s="6">
        <f>$K$2063*$V$2063</f>
        <v>0</v>
      </c>
      <c r="AC2063" s="6">
        <f>$M$2063*$W$2063</f>
        <v>5917.6348000000007</v>
      </c>
      <c r="AD2063" s="6">
        <f>$O$2063*$X$2063</f>
        <v>3198.1453000000001</v>
      </c>
      <c r="AE2063" s="6">
        <f>$K$2063*$Y$2063</f>
        <v>0</v>
      </c>
      <c r="AF2063" s="6">
        <f ca="1">$M$2063*$Z$2063</f>
        <v>7145.1715256415755</v>
      </c>
      <c r="AG2063" s="6">
        <f>$O$2063*$AA$2063</f>
        <v>4192.4455493062887</v>
      </c>
    </row>
    <row r="2064" spans="1:33" ht="11.25" customHeight="1" x14ac:dyDescent="0.25">
      <c r="A2064" s="4" t="s">
        <v>21</v>
      </c>
      <c r="B2064" s="4" t="s">
        <v>46</v>
      </c>
      <c r="C2064" s="4" t="s">
        <v>23</v>
      </c>
      <c r="D2064" s="4" t="s">
        <v>47</v>
      </c>
      <c r="E2064" s="4" t="s">
        <v>25</v>
      </c>
      <c r="F2064" s="4" t="s">
        <v>25</v>
      </c>
      <c r="G2064" s="4" t="s">
        <v>25</v>
      </c>
      <c r="H2064" s="4" t="s">
        <v>25</v>
      </c>
      <c r="I2064" s="5">
        <v>44378</v>
      </c>
      <c r="J2064" s="6">
        <v>0</v>
      </c>
      <c r="K2064" s="6">
        <v>0</v>
      </c>
      <c r="L2064" s="6">
        <v>1449.144</v>
      </c>
      <c r="M2064" s="6">
        <v>1449.144</v>
      </c>
      <c r="N2064" s="6">
        <v>1449.144</v>
      </c>
      <c r="O2064" s="6">
        <v>1449.144</v>
      </c>
      <c r="P2064" s="6">
        <v>7443</v>
      </c>
      <c r="Q2064" s="4" t="s">
        <v>26</v>
      </c>
      <c r="R2064" s="4">
        <v>0</v>
      </c>
      <c r="S2064" s="6">
        <v>0</v>
      </c>
      <c r="T2064" s="6">
        <v>39</v>
      </c>
      <c r="U2064" s="6">
        <v>85</v>
      </c>
      <c r="V2064" s="6">
        <f>IF(ISERROR(VLOOKUP($S$2064,'TAR FIN'!$A$1:$O$95,15,0)),0,VLOOKUP($S$2064,'TAR FIN'!$A$1:$O$95,15,0))</f>
        <v>0</v>
      </c>
      <c r="W2064" s="6">
        <f>IF(ISERROR(VLOOKUP($T$2064,'TAR FIN'!$A$1:$O$95,15,0)),0,VLOOKUP($T$2064,'TAR FIN'!$A$1:$O$95,15,0))</f>
        <v>369.16</v>
      </c>
      <c r="X2064" s="6">
        <f>IF(ISERROR(VLOOKUP($U$2064,'TAR FIN'!$A$1:$O$95,15,0)),0,VLOOKUP($U$2064,'TAR FIN'!$A$1:$O$95,15,0))</f>
        <v>199.51</v>
      </c>
      <c r="Y2064" s="6"/>
      <c r="Z2064" s="6">
        <f ca="1">('TUSD BE'!$AM$38+'TUSD BF'!$AM$38+'TUSD CVA'!$AM$38)*(1-CUSTOS!$M$38)</f>
        <v>445.73746261020432</v>
      </c>
      <c r="AA2064" s="6">
        <f>('TE BE'!$AA$26+'TE BF'!$AA$26+'TE CVA'!$AA$26)*(1-CUSTOS!$M$38)</f>
        <v>261.5374640864809</v>
      </c>
      <c r="AB2064" s="6">
        <f>$K$2064*$V$2064</f>
        <v>0</v>
      </c>
      <c r="AC2064" s="6">
        <f>$M$2064*$W$2064</f>
        <v>534965.99904000002</v>
      </c>
      <c r="AD2064" s="6">
        <f>$O$2064*$X$2064</f>
        <v>289118.71944000002</v>
      </c>
      <c r="AE2064" s="6">
        <f>$K$2064*$Y$2064</f>
        <v>0</v>
      </c>
      <c r="AF2064" s="6">
        <f ca="1">$M$2064*$Z$2064</f>
        <v>645937.76951680193</v>
      </c>
      <c r="AG2064" s="6">
        <f>$O$2064*$AA$2064</f>
        <v>379005.44685613929</v>
      </c>
    </row>
    <row r="2065" spans="1:33" ht="11.25" customHeight="1" x14ac:dyDescent="0.25">
      <c r="A2065" s="4" t="s">
        <v>27</v>
      </c>
      <c r="B2065" s="4" t="s">
        <v>46</v>
      </c>
      <c r="C2065" s="4" t="s">
        <v>23</v>
      </c>
      <c r="D2065" s="4" t="s">
        <v>47</v>
      </c>
      <c r="E2065" s="4" t="s">
        <v>25</v>
      </c>
      <c r="F2065" s="4" t="s">
        <v>25</v>
      </c>
      <c r="G2065" s="4" t="s">
        <v>25</v>
      </c>
      <c r="H2065" s="4" t="s">
        <v>25</v>
      </c>
      <c r="I2065" s="5">
        <v>44378</v>
      </c>
      <c r="J2065" s="6">
        <v>0</v>
      </c>
      <c r="K2065" s="6">
        <v>0</v>
      </c>
      <c r="L2065" s="6">
        <v>-9.2910000000000004</v>
      </c>
      <c r="M2065" s="6">
        <v>-9.2910000000000004</v>
      </c>
      <c r="N2065" s="6">
        <v>-9.2910000000000004</v>
      </c>
      <c r="O2065" s="6">
        <v>-9.2910000000000004</v>
      </c>
      <c r="P2065" s="6">
        <v>0</v>
      </c>
      <c r="Q2065" s="4" t="s">
        <v>26</v>
      </c>
      <c r="R2065" s="4">
        <v>0</v>
      </c>
      <c r="S2065" s="6">
        <v>0</v>
      </c>
      <c r="T2065" s="6">
        <v>39</v>
      </c>
      <c r="U2065" s="6">
        <v>85</v>
      </c>
      <c r="V2065" s="6">
        <f>IF(ISERROR(VLOOKUP($S$2065,'TAR FIN'!$A$1:$O$95,15,0)),0,VLOOKUP($S$2065,'TAR FIN'!$A$1:$O$95,15,0))</f>
        <v>0</v>
      </c>
      <c r="W2065" s="6">
        <f>IF(ISERROR(VLOOKUP($T$2065,'TAR FIN'!$A$1:$O$95,15,0)),0,VLOOKUP($T$2065,'TAR FIN'!$A$1:$O$95,15,0))</f>
        <v>369.16</v>
      </c>
      <c r="X2065" s="6">
        <f>IF(ISERROR(VLOOKUP($U$2065,'TAR FIN'!$A$1:$O$95,15,0)),0,VLOOKUP($U$2065,'TAR FIN'!$A$1:$O$95,15,0))</f>
        <v>199.51</v>
      </c>
      <c r="Y2065" s="6"/>
      <c r="Z2065" s="6">
        <f ca="1">('TUSD BE'!$AM$38+'TUSD BF'!$AM$38+'TUSD CVA'!$AM$38)*(1-CUSTOS!$M$38)</f>
        <v>445.73746261020432</v>
      </c>
      <c r="AA2065" s="6">
        <f>('TE BE'!$AA$26+'TE BF'!$AA$26+'TE CVA'!$AA$26)*(1-CUSTOS!$M$38)</f>
        <v>261.5374640864809</v>
      </c>
      <c r="AB2065" s="6">
        <f>$K$2065*$V$2065</f>
        <v>0</v>
      </c>
      <c r="AC2065" s="6">
        <f>$M$2065*$W$2065</f>
        <v>-3429.8655600000002</v>
      </c>
      <c r="AD2065" s="6">
        <f>$O$2065*$X$2065</f>
        <v>-1853.64741</v>
      </c>
      <c r="AE2065" s="6">
        <f>$K$2065*$Y$2065</f>
        <v>0</v>
      </c>
      <c r="AF2065" s="6">
        <f ca="1">$M$2065*$Z$2065</f>
        <v>-4141.3467651114088</v>
      </c>
      <c r="AG2065" s="6">
        <f>$O$2065*$AA$2065</f>
        <v>-2429.9445788274943</v>
      </c>
    </row>
    <row r="2066" spans="1:33" ht="11.25" customHeight="1" x14ac:dyDescent="0.25">
      <c r="A2066" s="4" t="s">
        <v>28</v>
      </c>
      <c r="B2066" s="4" t="s">
        <v>46</v>
      </c>
      <c r="C2066" s="4" t="s">
        <v>23</v>
      </c>
      <c r="D2066" s="4" t="s">
        <v>47</v>
      </c>
      <c r="E2066" s="4" t="s">
        <v>25</v>
      </c>
      <c r="F2066" s="4" t="s">
        <v>25</v>
      </c>
      <c r="G2066" s="4" t="s">
        <v>25</v>
      </c>
      <c r="H2066" s="4" t="s">
        <v>25</v>
      </c>
      <c r="I2066" s="5">
        <v>44378</v>
      </c>
      <c r="J2066" s="6">
        <v>0</v>
      </c>
      <c r="K2066" s="6">
        <v>0</v>
      </c>
      <c r="L2066" s="6">
        <v>3776.7109999999998</v>
      </c>
      <c r="M2066" s="6">
        <v>3776.7109999999998</v>
      </c>
      <c r="N2066" s="6">
        <v>3776.7109999999998</v>
      </c>
      <c r="O2066" s="6">
        <v>3776.7109999999998</v>
      </c>
      <c r="P2066" s="6">
        <v>34038</v>
      </c>
      <c r="Q2066" s="4" t="s">
        <v>26</v>
      </c>
      <c r="R2066" s="4">
        <v>0</v>
      </c>
      <c r="S2066" s="6">
        <v>0</v>
      </c>
      <c r="T2066" s="6">
        <v>39</v>
      </c>
      <c r="U2066" s="6">
        <v>85</v>
      </c>
      <c r="V2066" s="6">
        <f>IF(ISERROR(VLOOKUP($S$2066,'TAR FIN'!$A$1:$O$95,15,0)),0,VLOOKUP($S$2066,'TAR FIN'!$A$1:$O$95,15,0))</f>
        <v>0</v>
      </c>
      <c r="W2066" s="6">
        <f>IF(ISERROR(VLOOKUP($T$2066,'TAR FIN'!$A$1:$O$95,15,0)),0,VLOOKUP($T$2066,'TAR FIN'!$A$1:$O$95,15,0))</f>
        <v>369.16</v>
      </c>
      <c r="X2066" s="6">
        <f>IF(ISERROR(VLOOKUP($U$2066,'TAR FIN'!$A$1:$O$95,15,0)),0,VLOOKUP($U$2066,'TAR FIN'!$A$1:$O$95,15,0))</f>
        <v>199.51</v>
      </c>
      <c r="Y2066" s="6"/>
      <c r="Z2066" s="6">
        <f ca="1">('TUSD BE'!$AM$38+'TUSD BF'!$AM$38+'TUSD CVA'!$AM$38)*(1-CUSTOS!$M$38)</f>
        <v>445.73746261020432</v>
      </c>
      <c r="AA2066" s="6">
        <f>('TE BE'!$AA$26+'TE BF'!$AA$26+'TE CVA'!$AA$26)*(1-CUSTOS!$M$38)</f>
        <v>261.5374640864809</v>
      </c>
      <c r="AB2066" s="6">
        <f>$K$2066*$V$2066</f>
        <v>0</v>
      </c>
      <c r="AC2066" s="6">
        <f>$M$2066*$W$2066</f>
        <v>1394210.6327599999</v>
      </c>
      <c r="AD2066" s="6">
        <f>$O$2066*$X$2066</f>
        <v>753491.61160999991</v>
      </c>
      <c r="AE2066" s="6">
        <f>$K$2066*$Y$2066</f>
        <v>0</v>
      </c>
      <c r="AF2066" s="6">
        <f ca="1">$M$2066*$Z$2066</f>
        <v>1683421.5781520472</v>
      </c>
      <c r="AG2066" s="6">
        <f>$O$2066*$AA$2066</f>
        <v>987751.4175275173</v>
      </c>
    </row>
    <row r="2067" spans="1:33" ht="11.25" customHeight="1" x14ac:dyDescent="0.25">
      <c r="A2067" s="4" t="s">
        <v>29</v>
      </c>
      <c r="B2067" s="4" t="s">
        <v>46</v>
      </c>
      <c r="C2067" s="4" t="s">
        <v>23</v>
      </c>
      <c r="D2067" s="4" t="s">
        <v>47</v>
      </c>
      <c r="E2067" s="4" t="s">
        <v>25</v>
      </c>
      <c r="F2067" s="4" t="s">
        <v>25</v>
      </c>
      <c r="G2067" s="4" t="s">
        <v>25</v>
      </c>
      <c r="H2067" s="4" t="s">
        <v>25</v>
      </c>
      <c r="I2067" s="5">
        <v>44378</v>
      </c>
      <c r="J2067" s="6">
        <v>0</v>
      </c>
      <c r="K2067" s="6">
        <v>0</v>
      </c>
      <c r="L2067" s="6">
        <v>-79.911000000000001</v>
      </c>
      <c r="M2067" s="6">
        <v>-79.911000000000001</v>
      </c>
      <c r="N2067" s="6">
        <v>-79.911000000000001</v>
      </c>
      <c r="O2067" s="6">
        <v>-79.911000000000001</v>
      </c>
      <c r="P2067" s="6">
        <v>0</v>
      </c>
      <c r="Q2067" s="4" t="s">
        <v>26</v>
      </c>
      <c r="R2067" s="4">
        <v>0</v>
      </c>
      <c r="S2067" s="6">
        <v>0</v>
      </c>
      <c r="T2067" s="6">
        <v>39</v>
      </c>
      <c r="U2067" s="6">
        <v>85</v>
      </c>
      <c r="V2067" s="6">
        <f>IF(ISERROR(VLOOKUP($S$2067,'TAR FIN'!$A$1:$O$95,15,0)),0,VLOOKUP($S$2067,'TAR FIN'!$A$1:$O$95,15,0))</f>
        <v>0</v>
      </c>
      <c r="W2067" s="6">
        <f>IF(ISERROR(VLOOKUP($T$2067,'TAR FIN'!$A$1:$O$95,15,0)),0,VLOOKUP($T$2067,'TAR FIN'!$A$1:$O$95,15,0))</f>
        <v>369.16</v>
      </c>
      <c r="X2067" s="6">
        <f>IF(ISERROR(VLOOKUP($U$2067,'TAR FIN'!$A$1:$O$95,15,0)),0,VLOOKUP($U$2067,'TAR FIN'!$A$1:$O$95,15,0))</f>
        <v>199.51</v>
      </c>
      <c r="Y2067" s="6"/>
      <c r="Z2067" s="6">
        <f ca="1">('TUSD BE'!$AM$38+'TUSD BF'!$AM$38+'TUSD CVA'!$AM$38)*(1-CUSTOS!$M$38)</f>
        <v>445.73746261020432</v>
      </c>
      <c r="AA2067" s="6">
        <f>('TE BE'!$AA$26+'TE BF'!$AA$26+'TE CVA'!$AA$26)*(1-CUSTOS!$M$38)</f>
        <v>261.5374640864809</v>
      </c>
      <c r="AB2067" s="6">
        <f>$K$2067*$V$2067</f>
        <v>0</v>
      </c>
      <c r="AC2067" s="6">
        <f>$M$2067*$W$2067</f>
        <v>-29499.944760000002</v>
      </c>
      <c r="AD2067" s="6">
        <f>$O$2067*$X$2067</f>
        <v>-15943.043609999999</v>
      </c>
      <c r="AE2067" s="6">
        <f>$K$2067*$Y$2067</f>
        <v>0</v>
      </c>
      <c r="AF2067" s="6">
        <f ca="1">$M$2067*$Z$2067</f>
        <v>-35619.326374644035</v>
      </c>
      <c r="AG2067" s="6">
        <f>$O$2067*$AA$2067</f>
        <v>-20899.720292614777</v>
      </c>
    </row>
    <row r="2068" spans="1:33" ht="11.25" customHeight="1" x14ac:dyDescent="0.25">
      <c r="A2068" s="4" t="s">
        <v>30</v>
      </c>
      <c r="B2068" s="4" t="s">
        <v>46</v>
      </c>
      <c r="C2068" s="4" t="s">
        <v>23</v>
      </c>
      <c r="D2068" s="4" t="s">
        <v>47</v>
      </c>
      <c r="E2068" s="4" t="s">
        <v>25</v>
      </c>
      <c r="F2068" s="4" t="s">
        <v>25</v>
      </c>
      <c r="G2068" s="4" t="s">
        <v>25</v>
      </c>
      <c r="H2068" s="4" t="s">
        <v>25</v>
      </c>
      <c r="I2068" s="5">
        <v>44378</v>
      </c>
      <c r="J2068" s="6">
        <v>0</v>
      </c>
      <c r="K2068" s="6">
        <v>0</v>
      </c>
      <c r="L2068" s="6">
        <v>16.318000000000001</v>
      </c>
      <c r="M2068" s="6">
        <v>16.318000000000001</v>
      </c>
      <c r="N2068" s="6">
        <v>16.318000000000001</v>
      </c>
      <c r="O2068" s="6">
        <v>16.318000000000001</v>
      </c>
      <c r="P2068" s="6">
        <v>22</v>
      </c>
      <c r="Q2068" s="4" t="s">
        <v>26</v>
      </c>
      <c r="R2068" s="4">
        <v>0</v>
      </c>
      <c r="S2068" s="6">
        <v>0</v>
      </c>
      <c r="T2068" s="6">
        <v>39</v>
      </c>
      <c r="U2068" s="6">
        <v>85</v>
      </c>
      <c r="V2068" s="6">
        <f>IF(ISERROR(VLOOKUP($S$2068,'TAR FIN'!$A$1:$O$95,15,0)),0,VLOOKUP($S$2068,'TAR FIN'!$A$1:$O$95,15,0))</f>
        <v>0</v>
      </c>
      <c r="W2068" s="6">
        <f>IF(ISERROR(VLOOKUP($T$2068,'TAR FIN'!$A$1:$O$95,15,0)),0,VLOOKUP($T$2068,'TAR FIN'!$A$1:$O$95,15,0))</f>
        <v>369.16</v>
      </c>
      <c r="X2068" s="6">
        <f>IF(ISERROR(VLOOKUP($U$2068,'TAR FIN'!$A$1:$O$95,15,0)),0,VLOOKUP($U$2068,'TAR FIN'!$A$1:$O$95,15,0))</f>
        <v>199.51</v>
      </c>
      <c r="Y2068" s="6"/>
      <c r="Z2068" s="6">
        <f ca="1">('TUSD BE'!$AM$38+'TUSD BF'!$AM$38+'TUSD CVA'!$AM$38)*(1-CUSTOS!$M$38)</f>
        <v>445.73746261020432</v>
      </c>
      <c r="AA2068" s="6">
        <f>('TE BE'!$AA$26+'TE BF'!$AA$26+'TE CVA'!$AA$26)*(1-CUSTOS!$M$38)</f>
        <v>261.5374640864809</v>
      </c>
      <c r="AB2068" s="6">
        <f>$K$2068*$V$2068</f>
        <v>0</v>
      </c>
      <c r="AC2068" s="6">
        <f>$M$2068*$W$2068</f>
        <v>6023.9528800000007</v>
      </c>
      <c r="AD2068" s="6">
        <f>$O$2068*$X$2068</f>
        <v>3255.6041800000003</v>
      </c>
      <c r="AE2068" s="6">
        <f>$K$2068*$Y$2068</f>
        <v>0</v>
      </c>
      <c r="AF2068" s="6">
        <f ca="1">$M$2068*$Z$2068</f>
        <v>7273.5439148733149</v>
      </c>
      <c r="AG2068" s="6">
        <f>$O$2068*$AA$2068</f>
        <v>4267.7683389631957</v>
      </c>
    </row>
    <row r="2069" spans="1:33" ht="11.25" customHeight="1" x14ac:dyDescent="0.25">
      <c r="A2069" s="4" t="s">
        <v>21</v>
      </c>
      <c r="B2069" s="4" t="s">
        <v>46</v>
      </c>
      <c r="C2069" s="4" t="s">
        <v>23</v>
      </c>
      <c r="D2069" s="4" t="s">
        <v>47</v>
      </c>
      <c r="E2069" s="4" t="s">
        <v>25</v>
      </c>
      <c r="F2069" s="4" t="s">
        <v>25</v>
      </c>
      <c r="G2069" s="4" t="s">
        <v>25</v>
      </c>
      <c r="H2069" s="4" t="s">
        <v>25</v>
      </c>
      <c r="I2069" s="5">
        <v>44409</v>
      </c>
      <c r="J2069" s="6">
        <v>0</v>
      </c>
      <c r="K2069" s="6">
        <v>0</v>
      </c>
      <c r="L2069" s="6">
        <v>1553.607</v>
      </c>
      <c r="M2069" s="6">
        <v>1553.607</v>
      </c>
      <c r="N2069" s="6">
        <v>1553.607</v>
      </c>
      <c r="O2069" s="6">
        <v>1553.607</v>
      </c>
      <c r="P2069" s="6">
        <v>7413</v>
      </c>
      <c r="Q2069" s="4" t="s">
        <v>26</v>
      </c>
      <c r="R2069" s="4">
        <v>0</v>
      </c>
      <c r="S2069" s="6">
        <v>0</v>
      </c>
      <c r="T2069" s="6">
        <v>39</v>
      </c>
      <c r="U2069" s="6">
        <v>85</v>
      </c>
      <c r="V2069" s="6">
        <f>IF(ISERROR(VLOOKUP($S$2069,'TAR FIN'!$A$1:$O$95,15,0)),0,VLOOKUP($S$2069,'TAR FIN'!$A$1:$O$95,15,0))</f>
        <v>0</v>
      </c>
      <c r="W2069" s="6">
        <f>IF(ISERROR(VLOOKUP($T$2069,'TAR FIN'!$A$1:$O$95,15,0)),0,VLOOKUP($T$2069,'TAR FIN'!$A$1:$O$95,15,0))</f>
        <v>369.16</v>
      </c>
      <c r="X2069" s="6">
        <f>IF(ISERROR(VLOOKUP($U$2069,'TAR FIN'!$A$1:$O$95,15,0)),0,VLOOKUP($U$2069,'TAR FIN'!$A$1:$O$95,15,0))</f>
        <v>199.51</v>
      </c>
      <c r="Y2069" s="6"/>
      <c r="Z2069" s="6">
        <f ca="1">('TUSD BE'!$AM$38+'TUSD BF'!$AM$38+'TUSD CVA'!$AM$38)*(1-CUSTOS!$M$38)</f>
        <v>445.73746261020432</v>
      </c>
      <c r="AA2069" s="6">
        <f>('TE BE'!$AA$26+'TE BF'!$AA$26+'TE CVA'!$AA$26)*(1-CUSTOS!$M$38)</f>
        <v>261.5374640864809</v>
      </c>
      <c r="AB2069" s="6">
        <f>$K$2069*$V$2069</f>
        <v>0</v>
      </c>
      <c r="AC2069" s="6">
        <f>$M$2069*$W$2069</f>
        <v>573529.56012000004</v>
      </c>
      <c r="AD2069" s="6">
        <f>$O$2069*$X$2069</f>
        <v>309960.13256999996</v>
      </c>
      <c r="AE2069" s="6">
        <f>$K$2069*$Y$2069</f>
        <v>0</v>
      </c>
      <c r="AF2069" s="6">
        <f ca="1">$M$2069*$Z$2069</f>
        <v>692500.84207345173</v>
      </c>
      <c r="AG2069" s="6">
        <f>$O$2069*$AA$2069</f>
        <v>406326.43496700533</v>
      </c>
    </row>
    <row r="2070" spans="1:33" ht="11.25" customHeight="1" x14ac:dyDescent="0.25">
      <c r="A2070" s="4" t="s">
        <v>27</v>
      </c>
      <c r="B2070" s="4" t="s">
        <v>46</v>
      </c>
      <c r="C2070" s="4" t="s">
        <v>23</v>
      </c>
      <c r="D2070" s="4" t="s">
        <v>47</v>
      </c>
      <c r="E2070" s="4" t="s">
        <v>25</v>
      </c>
      <c r="F2070" s="4" t="s">
        <v>25</v>
      </c>
      <c r="G2070" s="4" t="s">
        <v>25</v>
      </c>
      <c r="H2070" s="4" t="s">
        <v>25</v>
      </c>
      <c r="I2070" s="5">
        <v>44409</v>
      </c>
      <c r="J2070" s="6">
        <v>0</v>
      </c>
      <c r="K2070" s="6">
        <v>0</v>
      </c>
      <c r="L2070" s="6">
        <v>-55.225999999999999</v>
      </c>
      <c r="M2070" s="6">
        <v>-55.225999999999999</v>
      </c>
      <c r="N2070" s="6">
        <v>-55.225999999999999</v>
      </c>
      <c r="O2070" s="6">
        <v>-55.225999999999999</v>
      </c>
      <c r="P2070" s="6">
        <v>0</v>
      </c>
      <c r="Q2070" s="4" t="s">
        <v>26</v>
      </c>
      <c r="R2070" s="4">
        <v>0</v>
      </c>
      <c r="S2070" s="6">
        <v>0</v>
      </c>
      <c r="T2070" s="6">
        <v>39</v>
      </c>
      <c r="U2070" s="6">
        <v>85</v>
      </c>
      <c r="V2070" s="6">
        <f>IF(ISERROR(VLOOKUP($S$2070,'TAR FIN'!$A$1:$O$95,15,0)),0,VLOOKUP($S$2070,'TAR FIN'!$A$1:$O$95,15,0))</f>
        <v>0</v>
      </c>
      <c r="W2070" s="6">
        <f>IF(ISERROR(VLOOKUP($T$2070,'TAR FIN'!$A$1:$O$95,15,0)),0,VLOOKUP($T$2070,'TAR FIN'!$A$1:$O$95,15,0))</f>
        <v>369.16</v>
      </c>
      <c r="X2070" s="6">
        <f>IF(ISERROR(VLOOKUP($U$2070,'TAR FIN'!$A$1:$O$95,15,0)),0,VLOOKUP($U$2070,'TAR FIN'!$A$1:$O$95,15,0))</f>
        <v>199.51</v>
      </c>
      <c r="Y2070" s="6"/>
      <c r="Z2070" s="6">
        <f ca="1">('TUSD BE'!$AM$38+'TUSD BF'!$AM$38+'TUSD CVA'!$AM$38)*(1-CUSTOS!$M$38)</f>
        <v>445.73746261020432</v>
      </c>
      <c r="AA2070" s="6">
        <f>('TE BE'!$AA$26+'TE BF'!$AA$26+'TE CVA'!$AA$26)*(1-CUSTOS!$M$38)</f>
        <v>261.5374640864809</v>
      </c>
      <c r="AB2070" s="6">
        <f>$K$2070*$V$2070</f>
        <v>0</v>
      </c>
      <c r="AC2070" s="6">
        <f>$M$2070*$W$2070</f>
        <v>-20387.230160000003</v>
      </c>
      <c r="AD2070" s="6">
        <f>$O$2070*$X$2070</f>
        <v>-11018.13926</v>
      </c>
      <c r="AE2070" s="6">
        <f>$K$2070*$Y$2070</f>
        <v>0</v>
      </c>
      <c r="AF2070" s="6">
        <f ca="1">$M$2070*$Z$2070</f>
        <v>-24616.297110111143</v>
      </c>
      <c r="AG2070" s="6">
        <f>$O$2070*$AA$2070</f>
        <v>-14443.667991639993</v>
      </c>
    </row>
    <row r="2071" spans="1:33" ht="11.25" customHeight="1" x14ac:dyDescent="0.25">
      <c r="A2071" s="4" t="s">
        <v>28</v>
      </c>
      <c r="B2071" s="4" t="s">
        <v>46</v>
      </c>
      <c r="C2071" s="4" t="s">
        <v>23</v>
      </c>
      <c r="D2071" s="4" t="s">
        <v>47</v>
      </c>
      <c r="E2071" s="4" t="s">
        <v>25</v>
      </c>
      <c r="F2071" s="4" t="s">
        <v>25</v>
      </c>
      <c r="G2071" s="4" t="s">
        <v>25</v>
      </c>
      <c r="H2071" s="4" t="s">
        <v>25</v>
      </c>
      <c r="I2071" s="5">
        <v>44409</v>
      </c>
      <c r="J2071" s="6">
        <v>0</v>
      </c>
      <c r="K2071" s="6">
        <v>0</v>
      </c>
      <c r="L2071" s="6">
        <v>3936.41</v>
      </c>
      <c r="M2071" s="6">
        <v>3936.41</v>
      </c>
      <c r="N2071" s="6">
        <v>3936.41</v>
      </c>
      <c r="O2071" s="6">
        <v>3936.41</v>
      </c>
      <c r="P2071" s="6">
        <v>33946</v>
      </c>
      <c r="Q2071" s="4" t="s">
        <v>26</v>
      </c>
      <c r="R2071" s="4">
        <v>0</v>
      </c>
      <c r="S2071" s="6">
        <v>0</v>
      </c>
      <c r="T2071" s="6">
        <v>39</v>
      </c>
      <c r="U2071" s="6">
        <v>85</v>
      </c>
      <c r="V2071" s="6">
        <f>IF(ISERROR(VLOOKUP($S$2071,'TAR FIN'!$A$1:$O$95,15,0)),0,VLOOKUP($S$2071,'TAR FIN'!$A$1:$O$95,15,0))</f>
        <v>0</v>
      </c>
      <c r="W2071" s="6">
        <f>IF(ISERROR(VLOOKUP($T$2071,'TAR FIN'!$A$1:$O$95,15,0)),0,VLOOKUP($T$2071,'TAR FIN'!$A$1:$O$95,15,0))</f>
        <v>369.16</v>
      </c>
      <c r="X2071" s="6">
        <f>IF(ISERROR(VLOOKUP($U$2071,'TAR FIN'!$A$1:$O$95,15,0)),0,VLOOKUP($U$2071,'TAR FIN'!$A$1:$O$95,15,0))</f>
        <v>199.51</v>
      </c>
      <c r="Y2071" s="6"/>
      <c r="Z2071" s="6">
        <f ca="1">('TUSD BE'!$AM$38+'TUSD BF'!$AM$38+'TUSD CVA'!$AM$38)*(1-CUSTOS!$M$38)</f>
        <v>445.73746261020432</v>
      </c>
      <c r="AA2071" s="6">
        <f>('TE BE'!$AA$26+'TE BF'!$AA$26+'TE CVA'!$AA$26)*(1-CUSTOS!$M$38)</f>
        <v>261.5374640864809</v>
      </c>
      <c r="AB2071" s="6">
        <f>$K$2071*$V$2071</f>
        <v>0</v>
      </c>
      <c r="AC2071" s="6">
        <f>$M$2071*$W$2071</f>
        <v>1453165.1156000001</v>
      </c>
      <c r="AD2071" s="6">
        <f>$O$2071*$X$2071</f>
        <v>785353.15909999993</v>
      </c>
      <c r="AE2071" s="6">
        <f>$K$2071*$Y$2071</f>
        <v>0</v>
      </c>
      <c r="AF2071" s="6">
        <f ca="1">$M$2071*$Z$2071</f>
        <v>1754605.4051934343</v>
      </c>
      <c r="AG2071" s="6">
        <f>$O$2071*$AA$2071</f>
        <v>1029518.6890046642</v>
      </c>
    </row>
    <row r="2072" spans="1:33" ht="11.25" customHeight="1" x14ac:dyDescent="0.25">
      <c r="A2072" s="4" t="s">
        <v>29</v>
      </c>
      <c r="B2072" s="4" t="s">
        <v>46</v>
      </c>
      <c r="C2072" s="4" t="s">
        <v>23</v>
      </c>
      <c r="D2072" s="4" t="s">
        <v>47</v>
      </c>
      <c r="E2072" s="4" t="s">
        <v>25</v>
      </c>
      <c r="F2072" s="4" t="s">
        <v>25</v>
      </c>
      <c r="G2072" s="4" t="s">
        <v>25</v>
      </c>
      <c r="H2072" s="4" t="s">
        <v>25</v>
      </c>
      <c r="I2072" s="5">
        <v>44409</v>
      </c>
      <c r="J2072" s="6">
        <v>0</v>
      </c>
      <c r="K2072" s="6">
        <v>0</v>
      </c>
      <c r="L2072" s="6">
        <v>-82.900999999999996</v>
      </c>
      <c r="M2072" s="6">
        <v>-82.900999999999996</v>
      </c>
      <c r="N2072" s="6">
        <v>-82.900999999999996</v>
      </c>
      <c r="O2072" s="6">
        <v>-82.900999999999996</v>
      </c>
      <c r="P2072" s="6">
        <v>0</v>
      </c>
      <c r="Q2072" s="4" t="s">
        <v>26</v>
      </c>
      <c r="R2072" s="4">
        <v>0</v>
      </c>
      <c r="S2072" s="6">
        <v>0</v>
      </c>
      <c r="T2072" s="6">
        <v>39</v>
      </c>
      <c r="U2072" s="6">
        <v>85</v>
      </c>
      <c r="V2072" s="6">
        <f>IF(ISERROR(VLOOKUP($S$2072,'TAR FIN'!$A$1:$O$95,15,0)),0,VLOOKUP($S$2072,'TAR FIN'!$A$1:$O$95,15,0))</f>
        <v>0</v>
      </c>
      <c r="W2072" s="6">
        <f>IF(ISERROR(VLOOKUP($T$2072,'TAR FIN'!$A$1:$O$95,15,0)),0,VLOOKUP($T$2072,'TAR FIN'!$A$1:$O$95,15,0))</f>
        <v>369.16</v>
      </c>
      <c r="X2072" s="6">
        <f>IF(ISERROR(VLOOKUP($U$2072,'TAR FIN'!$A$1:$O$95,15,0)),0,VLOOKUP($U$2072,'TAR FIN'!$A$1:$O$95,15,0))</f>
        <v>199.51</v>
      </c>
      <c r="Y2072" s="6"/>
      <c r="Z2072" s="6">
        <f ca="1">('TUSD BE'!$AM$38+'TUSD BF'!$AM$38+'TUSD CVA'!$AM$38)*(1-CUSTOS!$M$38)</f>
        <v>445.73746261020432</v>
      </c>
      <c r="AA2072" s="6">
        <f>('TE BE'!$AA$26+'TE BF'!$AA$26+'TE CVA'!$AA$26)*(1-CUSTOS!$M$38)</f>
        <v>261.5374640864809</v>
      </c>
      <c r="AB2072" s="6">
        <f>$K$2072*$V$2072</f>
        <v>0</v>
      </c>
      <c r="AC2072" s="6">
        <f>$M$2072*$W$2072</f>
        <v>-30603.73316</v>
      </c>
      <c r="AD2072" s="6">
        <f>$O$2072*$X$2072</f>
        <v>-16539.578509999999</v>
      </c>
      <c r="AE2072" s="6">
        <f>$K$2072*$Y$2072</f>
        <v>0</v>
      </c>
      <c r="AF2072" s="6">
        <f ca="1">$M$2072*$Z$2072</f>
        <v>-36952.08138784855</v>
      </c>
      <c r="AG2072" s="6">
        <f>$O$2072*$AA$2072</f>
        <v>-21681.717310233351</v>
      </c>
    </row>
    <row r="2073" spans="1:33" ht="11.25" customHeight="1" x14ac:dyDescent="0.25">
      <c r="A2073" s="4" t="s">
        <v>30</v>
      </c>
      <c r="B2073" s="4" t="s">
        <v>46</v>
      </c>
      <c r="C2073" s="4" t="s">
        <v>23</v>
      </c>
      <c r="D2073" s="4" t="s">
        <v>47</v>
      </c>
      <c r="E2073" s="4" t="s">
        <v>25</v>
      </c>
      <c r="F2073" s="4" t="s">
        <v>25</v>
      </c>
      <c r="G2073" s="4" t="s">
        <v>25</v>
      </c>
      <c r="H2073" s="4" t="s">
        <v>25</v>
      </c>
      <c r="I2073" s="5">
        <v>44409</v>
      </c>
      <c r="J2073" s="6">
        <v>0</v>
      </c>
      <c r="K2073" s="6">
        <v>0</v>
      </c>
      <c r="L2073" s="6">
        <v>26.995000000000001</v>
      </c>
      <c r="M2073" s="6">
        <v>26.995000000000001</v>
      </c>
      <c r="N2073" s="6">
        <v>26.995000000000001</v>
      </c>
      <c r="O2073" s="6">
        <v>26.995000000000001</v>
      </c>
      <c r="P2073" s="6">
        <v>21</v>
      </c>
      <c r="Q2073" s="4" t="s">
        <v>26</v>
      </c>
      <c r="R2073" s="4">
        <v>0</v>
      </c>
      <c r="S2073" s="6">
        <v>0</v>
      </c>
      <c r="T2073" s="6">
        <v>39</v>
      </c>
      <c r="U2073" s="6">
        <v>85</v>
      </c>
      <c r="V2073" s="6">
        <f>IF(ISERROR(VLOOKUP($S$2073,'TAR FIN'!$A$1:$O$95,15,0)),0,VLOOKUP($S$2073,'TAR FIN'!$A$1:$O$95,15,0))</f>
        <v>0</v>
      </c>
      <c r="W2073" s="6">
        <f>IF(ISERROR(VLOOKUP($T$2073,'TAR FIN'!$A$1:$O$95,15,0)),0,VLOOKUP($T$2073,'TAR FIN'!$A$1:$O$95,15,0))</f>
        <v>369.16</v>
      </c>
      <c r="X2073" s="6">
        <f>IF(ISERROR(VLOOKUP($U$2073,'TAR FIN'!$A$1:$O$95,15,0)),0,VLOOKUP($U$2073,'TAR FIN'!$A$1:$O$95,15,0))</f>
        <v>199.51</v>
      </c>
      <c r="Y2073" s="6"/>
      <c r="Z2073" s="6">
        <f ca="1">('TUSD BE'!$AM$38+'TUSD BF'!$AM$38+'TUSD CVA'!$AM$38)*(1-CUSTOS!$M$38)</f>
        <v>445.73746261020432</v>
      </c>
      <c r="AA2073" s="6">
        <f>('TE BE'!$AA$26+'TE BF'!$AA$26+'TE CVA'!$AA$26)*(1-CUSTOS!$M$38)</f>
        <v>261.5374640864809</v>
      </c>
      <c r="AB2073" s="6">
        <f>$K$2073*$V$2073</f>
        <v>0</v>
      </c>
      <c r="AC2073" s="6">
        <f>$M$2073*$W$2073</f>
        <v>9965.4742000000006</v>
      </c>
      <c r="AD2073" s="6">
        <f>$O$2073*$X$2073</f>
        <v>5385.7724500000004</v>
      </c>
      <c r="AE2073" s="6">
        <f>$K$2073*$Y$2073</f>
        <v>0</v>
      </c>
      <c r="AF2073" s="6">
        <f ca="1">$M$2073*$Z$2073</f>
        <v>12032.682803162466</v>
      </c>
      <c r="AG2073" s="6">
        <f>$O$2073*$AA$2073</f>
        <v>7060.2038430145521</v>
      </c>
    </row>
    <row r="2074" spans="1:33" ht="11.25" customHeight="1" x14ac:dyDescent="0.25">
      <c r="A2074" s="4" t="s">
        <v>21</v>
      </c>
      <c r="B2074" s="4" t="s">
        <v>46</v>
      </c>
      <c r="C2074" s="4" t="s">
        <v>23</v>
      </c>
      <c r="D2074" s="4" t="s">
        <v>47</v>
      </c>
      <c r="E2074" s="4" t="s">
        <v>25</v>
      </c>
      <c r="F2074" s="4" t="s">
        <v>25</v>
      </c>
      <c r="G2074" s="4" t="s">
        <v>25</v>
      </c>
      <c r="H2074" s="4" t="s">
        <v>25</v>
      </c>
      <c r="I2074" s="5">
        <v>44440</v>
      </c>
      <c r="J2074" s="6">
        <v>0</v>
      </c>
      <c r="K2074" s="6">
        <v>0</v>
      </c>
      <c r="L2074" s="6">
        <v>1541.1030000000001</v>
      </c>
      <c r="M2074" s="6">
        <v>1541.1030000000001</v>
      </c>
      <c r="N2074" s="6">
        <v>1541.1030000000001</v>
      </c>
      <c r="O2074" s="6">
        <v>1541.1030000000001</v>
      </c>
      <c r="P2074" s="6">
        <v>7366</v>
      </c>
      <c r="Q2074" s="4" t="s">
        <v>26</v>
      </c>
      <c r="R2074" s="4">
        <v>0</v>
      </c>
      <c r="S2074" s="6">
        <v>0</v>
      </c>
      <c r="T2074" s="6">
        <v>39</v>
      </c>
      <c r="U2074" s="6">
        <v>85</v>
      </c>
      <c r="V2074" s="6">
        <f>IF(ISERROR(VLOOKUP($S$2074,'TAR FIN'!$A$1:$O$95,15,0)),0,VLOOKUP($S$2074,'TAR FIN'!$A$1:$O$95,15,0))</f>
        <v>0</v>
      </c>
      <c r="W2074" s="6">
        <f>IF(ISERROR(VLOOKUP($T$2074,'TAR FIN'!$A$1:$O$95,15,0)),0,VLOOKUP($T$2074,'TAR FIN'!$A$1:$O$95,15,0))</f>
        <v>369.16</v>
      </c>
      <c r="X2074" s="6">
        <f>IF(ISERROR(VLOOKUP($U$2074,'TAR FIN'!$A$1:$O$95,15,0)),0,VLOOKUP($U$2074,'TAR FIN'!$A$1:$O$95,15,0))</f>
        <v>199.51</v>
      </c>
      <c r="Y2074" s="6"/>
      <c r="Z2074" s="6">
        <f ca="1">('TUSD BE'!$AM$38+'TUSD BF'!$AM$38+'TUSD CVA'!$AM$38)*(1-CUSTOS!$M$38)</f>
        <v>445.73746261020432</v>
      </c>
      <c r="AA2074" s="6">
        <f>('TE BE'!$AA$26+'TE BF'!$AA$26+'TE CVA'!$AA$26)*(1-CUSTOS!$M$38)</f>
        <v>261.5374640864809</v>
      </c>
      <c r="AB2074" s="6">
        <f>$K$2074*$V$2074</f>
        <v>0</v>
      </c>
      <c r="AC2074" s="6">
        <f>$M$2074*$W$2074</f>
        <v>568913.58348000003</v>
      </c>
      <c r="AD2074" s="6">
        <f>$O$2074*$X$2074</f>
        <v>307465.45952999999</v>
      </c>
      <c r="AE2074" s="6">
        <f>$K$2074*$Y$2074</f>
        <v>0</v>
      </c>
      <c r="AF2074" s="6">
        <f ca="1">$M$2074*$Z$2074</f>
        <v>686927.34084097377</v>
      </c>
      <c r="AG2074" s="6">
        <f>$O$2074*$AA$2074</f>
        <v>403056.170516068</v>
      </c>
    </row>
    <row r="2075" spans="1:33" ht="11.25" customHeight="1" x14ac:dyDescent="0.25">
      <c r="A2075" s="4" t="s">
        <v>27</v>
      </c>
      <c r="B2075" s="4" t="s">
        <v>46</v>
      </c>
      <c r="C2075" s="4" t="s">
        <v>23</v>
      </c>
      <c r="D2075" s="4" t="s">
        <v>47</v>
      </c>
      <c r="E2075" s="4" t="s">
        <v>25</v>
      </c>
      <c r="F2075" s="4" t="s">
        <v>25</v>
      </c>
      <c r="G2075" s="4" t="s">
        <v>25</v>
      </c>
      <c r="H2075" s="4" t="s">
        <v>25</v>
      </c>
      <c r="I2075" s="5">
        <v>44440</v>
      </c>
      <c r="J2075" s="6">
        <v>0</v>
      </c>
      <c r="K2075" s="6">
        <v>0</v>
      </c>
      <c r="L2075" s="6">
        <v>-4.3579999999999997</v>
      </c>
      <c r="M2075" s="6">
        <v>-4.3579999999999997</v>
      </c>
      <c r="N2075" s="6">
        <v>-4.3579999999999997</v>
      </c>
      <c r="O2075" s="6">
        <v>-4.3579999999999997</v>
      </c>
      <c r="P2075" s="6">
        <v>0</v>
      </c>
      <c r="Q2075" s="4" t="s">
        <v>26</v>
      </c>
      <c r="R2075" s="4">
        <v>0</v>
      </c>
      <c r="S2075" s="6">
        <v>0</v>
      </c>
      <c r="T2075" s="6">
        <v>39</v>
      </c>
      <c r="U2075" s="6">
        <v>85</v>
      </c>
      <c r="V2075" s="6">
        <f>IF(ISERROR(VLOOKUP($S$2075,'TAR FIN'!$A$1:$O$95,15,0)),0,VLOOKUP($S$2075,'TAR FIN'!$A$1:$O$95,15,0))</f>
        <v>0</v>
      </c>
      <c r="W2075" s="6">
        <f>IF(ISERROR(VLOOKUP($T$2075,'TAR FIN'!$A$1:$O$95,15,0)),0,VLOOKUP($T$2075,'TAR FIN'!$A$1:$O$95,15,0))</f>
        <v>369.16</v>
      </c>
      <c r="X2075" s="6">
        <f>IF(ISERROR(VLOOKUP($U$2075,'TAR FIN'!$A$1:$O$95,15,0)),0,VLOOKUP($U$2075,'TAR FIN'!$A$1:$O$95,15,0))</f>
        <v>199.51</v>
      </c>
      <c r="Y2075" s="6"/>
      <c r="Z2075" s="6">
        <f ca="1">('TUSD BE'!$AM$38+'TUSD BF'!$AM$38+'TUSD CVA'!$AM$38)*(1-CUSTOS!$M$38)</f>
        <v>445.73746261020432</v>
      </c>
      <c r="AA2075" s="6">
        <f>('TE BE'!$AA$26+'TE BF'!$AA$26+'TE CVA'!$AA$26)*(1-CUSTOS!$M$38)</f>
        <v>261.5374640864809</v>
      </c>
      <c r="AB2075" s="6">
        <f>$K$2075*$V$2075</f>
        <v>0</v>
      </c>
      <c r="AC2075" s="6">
        <f>$M$2075*$W$2075</f>
        <v>-1608.79928</v>
      </c>
      <c r="AD2075" s="6">
        <f>$O$2075*$X$2075</f>
        <v>-869.46457999999984</v>
      </c>
      <c r="AE2075" s="6">
        <f>$K$2075*$Y$2075</f>
        <v>0</v>
      </c>
      <c r="AF2075" s="6">
        <f ca="1">$M$2075*$Z$2075</f>
        <v>-1942.5238620552702</v>
      </c>
      <c r="AG2075" s="6">
        <f>$O$2075*$AA$2075</f>
        <v>-1139.7802684888836</v>
      </c>
    </row>
    <row r="2076" spans="1:33" ht="11.25" customHeight="1" x14ac:dyDescent="0.25">
      <c r="A2076" s="4" t="s">
        <v>28</v>
      </c>
      <c r="B2076" s="4" t="s">
        <v>46</v>
      </c>
      <c r="C2076" s="4" t="s">
        <v>23</v>
      </c>
      <c r="D2076" s="4" t="s">
        <v>47</v>
      </c>
      <c r="E2076" s="4" t="s">
        <v>25</v>
      </c>
      <c r="F2076" s="4" t="s">
        <v>25</v>
      </c>
      <c r="G2076" s="4" t="s">
        <v>25</v>
      </c>
      <c r="H2076" s="4" t="s">
        <v>25</v>
      </c>
      <c r="I2076" s="5">
        <v>44440</v>
      </c>
      <c r="J2076" s="6">
        <v>0</v>
      </c>
      <c r="K2076" s="6">
        <v>0</v>
      </c>
      <c r="L2076" s="6">
        <v>3986.1239999999998</v>
      </c>
      <c r="M2076" s="6">
        <v>3986.1239999999998</v>
      </c>
      <c r="N2076" s="6">
        <v>3986.1239999999998</v>
      </c>
      <c r="O2076" s="6">
        <v>3986.1239999999998</v>
      </c>
      <c r="P2076" s="6">
        <v>33609</v>
      </c>
      <c r="Q2076" s="4" t="s">
        <v>26</v>
      </c>
      <c r="R2076" s="4">
        <v>0</v>
      </c>
      <c r="S2076" s="6">
        <v>0</v>
      </c>
      <c r="T2076" s="6">
        <v>39</v>
      </c>
      <c r="U2076" s="6">
        <v>85</v>
      </c>
      <c r="V2076" s="6">
        <f>IF(ISERROR(VLOOKUP($S$2076,'TAR FIN'!$A$1:$O$95,15,0)),0,VLOOKUP($S$2076,'TAR FIN'!$A$1:$O$95,15,0))</f>
        <v>0</v>
      </c>
      <c r="W2076" s="6">
        <f>IF(ISERROR(VLOOKUP($T$2076,'TAR FIN'!$A$1:$O$95,15,0)),0,VLOOKUP($T$2076,'TAR FIN'!$A$1:$O$95,15,0))</f>
        <v>369.16</v>
      </c>
      <c r="X2076" s="6">
        <f>IF(ISERROR(VLOOKUP($U$2076,'TAR FIN'!$A$1:$O$95,15,0)),0,VLOOKUP($U$2076,'TAR FIN'!$A$1:$O$95,15,0))</f>
        <v>199.51</v>
      </c>
      <c r="Y2076" s="6"/>
      <c r="Z2076" s="6">
        <f ca="1">('TUSD BE'!$AM$38+'TUSD BF'!$AM$38+'TUSD CVA'!$AM$38)*(1-CUSTOS!$M$38)</f>
        <v>445.73746261020432</v>
      </c>
      <c r="AA2076" s="6">
        <f>('TE BE'!$AA$26+'TE BF'!$AA$26+'TE CVA'!$AA$26)*(1-CUSTOS!$M$38)</f>
        <v>261.5374640864809</v>
      </c>
      <c r="AB2076" s="6">
        <f>$K$2076*$V$2076</f>
        <v>0</v>
      </c>
      <c r="AC2076" s="6">
        <f>$M$2076*$W$2076</f>
        <v>1471517.53584</v>
      </c>
      <c r="AD2076" s="6">
        <f>$O$2076*$X$2076</f>
        <v>795271.59923999989</v>
      </c>
      <c r="AE2076" s="6">
        <f>$K$2076*$Y$2076</f>
        <v>0</v>
      </c>
      <c r="AF2076" s="6">
        <f ca="1">$M$2076*$Z$2076</f>
        <v>1776764.7974096381</v>
      </c>
      <c r="AG2076" s="6">
        <f>$O$2076*$AA$2076</f>
        <v>1042520.7624942595</v>
      </c>
    </row>
    <row r="2077" spans="1:33" ht="11.25" customHeight="1" x14ac:dyDescent="0.25">
      <c r="A2077" s="4" t="s">
        <v>29</v>
      </c>
      <c r="B2077" s="4" t="s">
        <v>46</v>
      </c>
      <c r="C2077" s="4" t="s">
        <v>23</v>
      </c>
      <c r="D2077" s="4" t="s">
        <v>47</v>
      </c>
      <c r="E2077" s="4" t="s">
        <v>25</v>
      </c>
      <c r="F2077" s="4" t="s">
        <v>25</v>
      </c>
      <c r="G2077" s="4" t="s">
        <v>25</v>
      </c>
      <c r="H2077" s="4" t="s">
        <v>25</v>
      </c>
      <c r="I2077" s="5">
        <v>44440</v>
      </c>
      <c r="J2077" s="6">
        <v>0</v>
      </c>
      <c r="K2077" s="6">
        <v>0</v>
      </c>
      <c r="L2077" s="6">
        <v>-267.721</v>
      </c>
      <c r="M2077" s="6">
        <v>-267.721</v>
      </c>
      <c r="N2077" s="6">
        <v>-267.721</v>
      </c>
      <c r="O2077" s="6">
        <v>-267.721</v>
      </c>
      <c r="P2077" s="6">
        <v>0</v>
      </c>
      <c r="Q2077" s="4" t="s">
        <v>26</v>
      </c>
      <c r="R2077" s="4">
        <v>0</v>
      </c>
      <c r="S2077" s="6">
        <v>0</v>
      </c>
      <c r="T2077" s="6">
        <v>39</v>
      </c>
      <c r="U2077" s="6">
        <v>85</v>
      </c>
      <c r="V2077" s="6">
        <f>IF(ISERROR(VLOOKUP($S$2077,'TAR FIN'!$A$1:$O$95,15,0)),0,VLOOKUP($S$2077,'TAR FIN'!$A$1:$O$95,15,0))</f>
        <v>0</v>
      </c>
      <c r="W2077" s="6">
        <f>IF(ISERROR(VLOOKUP($T$2077,'TAR FIN'!$A$1:$O$95,15,0)),0,VLOOKUP($T$2077,'TAR FIN'!$A$1:$O$95,15,0))</f>
        <v>369.16</v>
      </c>
      <c r="X2077" s="6">
        <f>IF(ISERROR(VLOOKUP($U$2077,'TAR FIN'!$A$1:$O$95,15,0)),0,VLOOKUP($U$2077,'TAR FIN'!$A$1:$O$95,15,0))</f>
        <v>199.51</v>
      </c>
      <c r="Y2077" s="6"/>
      <c r="Z2077" s="6">
        <f ca="1">('TUSD BE'!$AM$38+'TUSD BF'!$AM$38+'TUSD CVA'!$AM$38)*(1-CUSTOS!$M$38)</f>
        <v>445.73746261020432</v>
      </c>
      <c r="AA2077" s="6">
        <f>('TE BE'!$AA$26+'TE BF'!$AA$26+'TE CVA'!$AA$26)*(1-CUSTOS!$M$38)</f>
        <v>261.5374640864809</v>
      </c>
      <c r="AB2077" s="6">
        <f>$K$2077*$V$2077</f>
        <v>0</v>
      </c>
      <c r="AC2077" s="6">
        <f>$M$2077*$W$2077</f>
        <v>-98831.884360000011</v>
      </c>
      <c r="AD2077" s="6">
        <f>$O$2077*$X$2077</f>
        <v>-53413.016709999996</v>
      </c>
      <c r="AE2077" s="6">
        <f>$K$2077*$Y$2077</f>
        <v>0</v>
      </c>
      <c r="AF2077" s="6">
        <f ca="1">$M$2077*$Z$2077</f>
        <v>-119333.27922746651</v>
      </c>
      <c r="AG2077" s="6">
        <f>$O$2077*$AA$2077</f>
        <v>-70019.071422696754</v>
      </c>
    </row>
    <row r="2078" spans="1:33" ht="11.25" customHeight="1" x14ac:dyDescent="0.25">
      <c r="A2078" s="4" t="s">
        <v>30</v>
      </c>
      <c r="B2078" s="4" t="s">
        <v>46</v>
      </c>
      <c r="C2078" s="4" t="s">
        <v>23</v>
      </c>
      <c r="D2078" s="4" t="s">
        <v>47</v>
      </c>
      <c r="E2078" s="4" t="s">
        <v>25</v>
      </c>
      <c r="F2078" s="4" t="s">
        <v>25</v>
      </c>
      <c r="G2078" s="4" t="s">
        <v>25</v>
      </c>
      <c r="H2078" s="4" t="s">
        <v>25</v>
      </c>
      <c r="I2078" s="5">
        <v>44440</v>
      </c>
      <c r="J2078" s="6">
        <v>0</v>
      </c>
      <c r="K2078" s="6">
        <v>0</v>
      </c>
      <c r="L2078" s="6">
        <v>26.422000000000001</v>
      </c>
      <c r="M2078" s="6">
        <v>26.422000000000001</v>
      </c>
      <c r="N2078" s="6">
        <v>26.422000000000001</v>
      </c>
      <c r="O2078" s="6">
        <v>26.422000000000001</v>
      </c>
      <c r="P2078" s="6">
        <v>22</v>
      </c>
      <c r="Q2078" s="4" t="s">
        <v>26</v>
      </c>
      <c r="R2078" s="4">
        <v>0</v>
      </c>
      <c r="S2078" s="6">
        <v>0</v>
      </c>
      <c r="T2078" s="6">
        <v>39</v>
      </c>
      <c r="U2078" s="6">
        <v>85</v>
      </c>
      <c r="V2078" s="6">
        <f>IF(ISERROR(VLOOKUP($S$2078,'TAR FIN'!$A$1:$O$95,15,0)),0,VLOOKUP($S$2078,'TAR FIN'!$A$1:$O$95,15,0))</f>
        <v>0</v>
      </c>
      <c r="W2078" s="6">
        <f>IF(ISERROR(VLOOKUP($T$2078,'TAR FIN'!$A$1:$O$95,15,0)),0,VLOOKUP($T$2078,'TAR FIN'!$A$1:$O$95,15,0))</f>
        <v>369.16</v>
      </c>
      <c r="X2078" s="6">
        <f>IF(ISERROR(VLOOKUP($U$2078,'TAR FIN'!$A$1:$O$95,15,0)),0,VLOOKUP($U$2078,'TAR FIN'!$A$1:$O$95,15,0))</f>
        <v>199.51</v>
      </c>
      <c r="Y2078" s="6"/>
      <c r="Z2078" s="6">
        <f ca="1">('TUSD BE'!$AM$38+'TUSD BF'!$AM$38+'TUSD CVA'!$AM$38)*(1-CUSTOS!$M$38)</f>
        <v>445.73746261020432</v>
      </c>
      <c r="AA2078" s="6">
        <f>('TE BE'!$AA$26+'TE BF'!$AA$26+'TE CVA'!$AA$26)*(1-CUSTOS!$M$38)</f>
        <v>261.5374640864809</v>
      </c>
      <c r="AB2078" s="6">
        <f>$K$2078*$V$2078</f>
        <v>0</v>
      </c>
      <c r="AC2078" s="6">
        <f>$M$2078*$W$2078</f>
        <v>9753.9455200000011</v>
      </c>
      <c r="AD2078" s="6">
        <f>$O$2078*$X$2078</f>
        <v>5271.4532200000003</v>
      </c>
      <c r="AE2078" s="6">
        <f>$K$2078*$Y$2078</f>
        <v>0</v>
      </c>
      <c r="AF2078" s="6">
        <f ca="1">$M$2078*$Z$2078</f>
        <v>11777.275237086818</v>
      </c>
      <c r="AG2078" s="6">
        <f>$O$2078*$AA$2078</f>
        <v>6910.3428760929983</v>
      </c>
    </row>
    <row r="2079" spans="1:33" ht="11.25" customHeight="1" x14ac:dyDescent="0.25">
      <c r="A2079" s="4" t="s">
        <v>59</v>
      </c>
      <c r="B2079" s="4" t="s">
        <v>46</v>
      </c>
      <c r="C2079" s="4" t="s">
        <v>23</v>
      </c>
      <c r="D2079" s="4" t="s">
        <v>47</v>
      </c>
      <c r="E2079" s="4" t="s">
        <v>25</v>
      </c>
      <c r="F2079" s="4" t="s">
        <v>25</v>
      </c>
      <c r="G2079" s="4" t="s">
        <v>25</v>
      </c>
      <c r="H2079" s="4" t="s">
        <v>25</v>
      </c>
      <c r="I2079" s="5">
        <v>44470</v>
      </c>
      <c r="J2079" s="6">
        <v>0</v>
      </c>
      <c r="K2079" s="6">
        <v>0</v>
      </c>
      <c r="L2079" s="6">
        <v>1541.1030000000001</v>
      </c>
      <c r="M2079" s="6">
        <v>1541.1030000000001</v>
      </c>
      <c r="N2079" s="6">
        <v>1541.1030000000001</v>
      </c>
      <c r="O2079" s="6">
        <v>1541.1030000000001</v>
      </c>
      <c r="P2079" s="6">
        <v>7366</v>
      </c>
      <c r="Q2079" s="4" t="s">
        <v>26</v>
      </c>
      <c r="R2079" s="4">
        <v>0</v>
      </c>
      <c r="S2079" s="6">
        <v>0</v>
      </c>
      <c r="T2079" s="6">
        <v>39</v>
      </c>
      <c r="U2079" s="6">
        <v>85</v>
      </c>
      <c r="V2079" s="6">
        <f>IF(ISERROR(VLOOKUP($S$2079,'TAR FIN'!$A$1:$O$95,15,0)),0,VLOOKUP($S$2079,'TAR FIN'!$A$1:$O$95,15,0))</f>
        <v>0</v>
      </c>
      <c r="W2079" s="6">
        <f>IF(ISERROR(VLOOKUP($T$2079,'TAR FIN'!$A$1:$O$95,15,0)),0,VLOOKUP($T$2079,'TAR FIN'!$A$1:$O$95,15,0))</f>
        <v>369.16</v>
      </c>
      <c r="X2079" s="6">
        <f>IF(ISERROR(VLOOKUP($U$2079,'TAR FIN'!$A$1:$O$95,15,0)),0,VLOOKUP($U$2079,'TAR FIN'!$A$1:$O$95,15,0))</f>
        <v>199.51</v>
      </c>
      <c r="Y2079" s="6"/>
      <c r="Z2079" s="6">
        <f ca="1">('TUSD BE'!$AM$38+'TUSD BF'!$AM$38+'TUSD CVA'!$AM$38)*(1-CUSTOS!$M$38)</f>
        <v>445.73746261020432</v>
      </c>
      <c r="AA2079" s="6">
        <f>('TE BE'!$AA$26+'TE BF'!$AA$26+'TE CVA'!$AA$26)*(1-CUSTOS!$M$38)</f>
        <v>261.5374640864809</v>
      </c>
      <c r="AB2079" s="6">
        <f>$K$2079*$V$2079</f>
        <v>0</v>
      </c>
      <c r="AC2079" s="6">
        <f>$M$2079*$W$2079</f>
        <v>568913.58348000003</v>
      </c>
      <c r="AD2079" s="6">
        <f>$O$2079*$X$2079</f>
        <v>307465.45952999999</v>
      </c>
      <c r="AE2079" s="6">
        <f>$K$2079*$Y$2079</f>
        <v>0</v>
      </c>
      <c r="AF2079" s="6">
        <f ca="1">$M$2079*$Z$2079</f>
        <v>686927.34084097377</v>
      </c>
      <c r="AG2079" s="6">
        <f>$O$2079*$AA$2079</f>
        <v>403056.170516068</v>
      </c>
    </row>
    <row r="2080" spans="1:33" ht="11.25" customHeight="1" x14ac:dyDescent="0.25">
      <c r="A2080" s="4" t="s">
        <v>59</v>
      </c>
      <c r="B2080" s="4" t="s">
        <v>46</v>
      </c>
      <c r="C2080" s="4" t="s">
        <v>23</v>
      </c>
      <c r="D2080" s="4" t="s">
        <v>47</v>
      </c>
      <c r="E2080" s="4" t="s">
        <v>25</v>
      </c>
      <c r="F2080" s="4" t="s">
        <v>25</v>
      </c>
      <c r="G2080" s="4" t="s">
        <v>25</v>
      </c>
      <c r="H2080" s="4" t="s">
        <v>25</v>
      </c>
      <c r="I2080" s="5">
        <v>44470</v>
      </c>
      <c r="J2080" s="6">
        <v>0</v>
      </c>
      <c r="K2080" s="6">
        <v>0</v>
      </c>
      <c r="L2080" s="6">
        <v>-4.3579999999999997</v>
      </c>
      <c r="M2080" s="6">
        <v>-4.3579999999999997</v>
      </c>
      <c r="N2080" s="6">
        <v>-4.3579999999999997</v>
      </c>
      <c r="O2080" s="6">
        <v>-4.3579999999999997</v>
      </c>
      <c r="P2080" s="6">
        <v>0</v>
      </c>
      <c r="Q2080" s="4" t="s">
        <v>26</v>
      </c>
      <c r="R2080" s="4">
        <v>0</v>
      </c>
      <c r="S2080" s="6">
        <v>0</v>
      </c>
      <c r="T2080" s="6">
        <v>39</v>
      </c>
      <c r="U2080" s="6">
        <v>85</v>
      </c>
      <c r="V2080" s="6">
        <f>IF(ISERROR(VLOOKUP($S$2080,'TAR FIN'!$A$1:$O$95,15,0)),0,VLOOKUP($S$2080,'TAR FIN'!$A$1:$O$95,15,0))</f>
        <v>0</v>
      </c>
      <c r="W2080" s="6">
        <f>IF(ISERROR(VLOOKUP($T$2080,'TAR FIN'!$A$1:$O$95,15,0)),0,VLOOKUP($T$2080,'TAR FIN'!$A$1:$O$95,15,0))</f>
        <v>369.16</v>
      </c>
      <c r="X2080" s="6">
        <f>IF(ISERROR(VLOOKUP($U$2080,'TAR FIN'!$A$1:$O$95,15,0)),0,VLOOKUP($U$2080,'TAR FIN'!$A$1:$O$95,15,0))</f>
        <v>199.51</v>
      </c>
      <c r="Y2080" s="6"/>
      <c r="Z2080" s="6">
        <f ca="1">('TUSD BE'!$AM$38+'TUSD BF'!$AM$38+'TUSD CVA'!$AM$38)*(1-CUSTOS!$M$38)</f>
        <v>445.73746261020432</v>
      </c>
      <c r="AA2080" s="6">
        <f>('TE BE'!$AA$26+'TE BF'!$AA$26+'TE CVA'!$AA$26)*(1-CUSTOS!$M$38)</f>
        <v>261.5374640864809</v>
      </c>
      <c r="AB2080" s="6">
        <f>$K$2080*$V$2080</f>
        <v>0</v>
      </c>
      <c r="AC2080" s="6">
        <f>$M$2080*$W$2080</f>
        <v>-1608.79928</v>
      </c>
      <c r="AD2080" s="6">
        <f>$O$2080*$X$2080</f>
        <v>-869.46457999999984</v>
      </c>
      <c r="AE2080" s="6">
        <f>$K$2080*$Y$2080</f>
        <v>0</v>
      </c>
      <c r="AF2080" s="6">
        <f ca="1">$M$2080*$Z$2080</f>
        <v>-1942.5238620552702</v>
      </c>
      <c r="AG2080" s="6">
        <f>$O$2080*$AA$2080</f>
        <v>-1139.7802684888836</v>
      </c>
    </row>
    <row r="2081" spans="1:33" ht="11.25" customHeight="1" x14ac:dyDescent="0.25">
      <c r="A2081" s="4" t="s">
        <v>59</v>
      </c>
      <c r="B2081" s="4" t="s">
        <v>46</v>
      </c>
      <c r="C2081" s="4" t="s">
        <v>23</v>
      </c>
      <c r="D2081" s="4" t="s">
        <v>47</v>
      </c>
      <c r="E2081" s="4" t="s">
        <v>25</v>
      </c>
      <c r="F2081" s="4" t="s">
        <v>25</v>
      </c>
      <c r="G2081" s="4" t="s">
        <v>25</v>
      </c>
      <c r="H2081" s="4" t="s">
        <v>25</v>
      </c>
      <c r="I2081" s="5">
        <v>44470</v>
      </c>
      <c r="J2081" s="6">
        <v>0</v>
      </c>
      <c r="K2081" s="6">
        <v>0</v>
      </c>
      <c r="L2081" s="6">
        <v>3986.1239999999998</v>
      </c>
      <c r="M2081" s="6">
        <v>3986.1239999999998</v>
      </c>
      <c r="N2081" s="6">
        <v>3986.1239999999998</v>
      </c>
      <c r="O2081" s="6">
        <v>3986.1239999999998</v>
      </c>
      <c r="P2081" s="6">
        <v>33609</v>
      </c>
      <c r="Q2081" s="4" t="s">
        <v>26</v>
      </c>
      <c r="R2081" s="4">
        <v>0</v>
      </c>
      <c r="S2081" s="6">
        <v>0</v>
      </c>
      <c r="T2081" s="6">
        <v>39</v>
      </c>
      <c r="U2081" s="6">
        <v>85</v>
      </c>
      <c r="V2081" s="6">
        <f>IF(ISERROR(VLOOKUP($S$2081,'TAR FIN'!$A$1:$O$95,15,0)),0,VLOOKUP($S$2081,'TAR FIN'!$A$1:$O$95,15,0))</f>
        <v>0</v>
      </c>
      <c r="W2081" s="6">
        <f>IF(ISERROR(VLOOKUP($T$2081,'TAR FIN'!$A$1:$O$95,15,0)),0,VLOOKUP($T$2081,'TAR FIN'!$A$1:$O$95,15,0))</f>
        <v>369.16</v>
      </c>
      <c r="X2081" s="6">
        <f>IF(ISERROR(VLOOKUP($U$2081,'TAR FIN'!$A$1:$O$95,15,0)),0,VLOOKUP($U$2081,'TAR FIN'!$A$1:$O$95,15,0))</f>
        <v>199.51</v>
      </c>
      <c r="Y2081" s="6"/>
      <c r="Z2081" s="6">
        <f ca="1">('TUSD BE'!$AM$38+'TUSD BF'!$AM$38+'TUSD CVA'!$AM$38)*(1-CUSTOS!$M$38)</f>
        <v>445.73746261020432</v>
      </c>
      <c r="AA2081" s="6">
        <f>('TE BE'!$AA$26+'TE BF'!$AA$26+'TE CVA'!$AA$26)*(1-CUSTOS!$M$38)</f>
        <v>261.5374640864809</v>
      </c>
      <c r="AB2081" s="6">
        <f>$K$2081*$V$2081</f>
        <v>0</v>
      </c>
      <c r="AC2081" s="6">
        <f>$M$2081*$W$2081</f>
        <v>1471517.53584</v>
      </c>
      <c r="AD2081" s="6">
        <f>$O$2081*$X$2081</f>
        <v>795271.59923999989</v>
      </c>
      <c r="AE2081" s="6">
        <f>$K$2081*$Y$2081</f>
        <v>0</v>
      </c>
      <c r="AF2081" s="6">
        <f ca="1">$M$2081*$Z$2081</f>
        <v>1776764.7974096381</v>
      </c>
      <c r="AG2081" s="6">
        <f>$O$2081*$AA$2081</f>
        <v>1042520.7624942595</v>
      </c>
    </row>
    <row r="2082" spans="1:33" ht="11.25" customHeight="1" x14ac:dyDescent="0.25">
      <c r="A2082" s="4" t="s">
        <v>59</v>
      </c>
      <c r="B2082" s="4" t="s">
        <v>46</v>
      </c>
      <c r="C2082" s="4" t="s">
        <v>23</v>
      </c>
      <c r="D2082" s="4" t="s">
        <v>47</v>
      </c>
      <c r="E2082" s="4" t="s">
        <v>25</v>
      </c>
      <c r="F2082" s="4" t="s">
        <v>25</v>
      </c>
      <c r="G2082" s="4" t="s">
        <v>25</v>
      </c>
      <c r="H2082" s="4" t="s">
        <v>25</v>
      </c>
      <c r="I2082" s="5">
        <v>44470</v>
      </c>
      <c r="J2082" s="6">
        <v>0</v>
      </c>
      <c r="K2082" s="6">
        <v>0</v>
      </c>
      <c r="L2082" s="6">
        <v>-267.721</v>
      </c>
      <c r="M2082" s="6">
        <v>-267.721</v>
      </c>
      <c r="N2082" s="6">
        <v>-267.721</v>
      </c>
      <c r="O2082" s="6">
        <v>-267.721</v>
      </c>
      <c r="P2082" s="6">
        <v>0</v>
      </c>
      <c r="Q2082" s="4" t="s">
        <v>26</v>
      </c>
      <c r="R2082" s="4">
        <v>0</v>
      </c>
      <c r="S2082" s="6">
        <v>0</v>
      </c>
      <c r="T2082" s="6">
        <v>39</v>
      </c>
      <c r="U2082" s="6">
        <v>85</v>
      </c>
      <c r="V2082" s="6">
        <f>IF(ISERROR(VLOOKUP($S$2082,'TAR FIN'!$A$1:$O$95,15,0)),0,VLOOKUP($S$2082,'TAR FIN'!$A$1:$O$95,15,0))</f>
        <v>0</v>
      </c>
      <c r="W2082" s="6">
        <f>IF(ISERROR(VLOOKUP($T$2082,'TAR FIN'!$A$1:$O$95,15,0)),0,VLOOKUP($T$2082,'TAR FIN'!$A$1:$O$95,15,0))</f>
        <v>369.16</v>
      </c>
      <c r="X2082" s="6">
        <f>IF(ISERROR(VLOOKUP($U$2082,'TAR FIN'!$A$1:$O$95,15,0)),0,VLOOKUP($U$2082,'TAR FIN'!$A$1:$O$95,15,0))</f>
        <v>199.51</v>
      </c>
      <c r="Y2082" s="6"/>
      <c r="Z2082" s="6">
        <f ca="1">('TUSD BE'!$AM$38+'TUSD BF'!$AM$38+'TUSD CVA'!$AM$38)*(1-CUSTOS!$M$38)</f>
        <v>445.73746261020432</v>
      </c>
      <c r="AA2082" s="6">
        <f>('TE BE'!$AA$26+'TE BF'!$AA$26+'TE CVA'!$AA$26)*(1-CUSTOS!$M$38)</f>
        <v>261.5374640864809</v>
      </c>
      <c r="AB2082" s="6">
        <f>$K$2082*$V$2082</f>
        <v>0</v>
      </c>
      <c r="AC2082" s="6">
        <f>$M$2082*$W$2082</f>
        <v>-98831.884360000011</v>
      </c>
      <c r="AD2082" s="6">
        <f>$O$2082*$X$2082</f>
        <v>-53413.016709999996</v>
      </c>
      <c r="AE2082" s="6">
        <f>$K$2082*$Y$2082</f>
        <v>0</v>
      </c>
      <c r="AF2082" s="6">
        <f ca="1">$M$2082*$Z$2082</f>
        <v>-119333.27922746651</v>
      </c>
      <c r="AG2082" s="6">
        <f>$O$2082*$AA$2082</f>
        <v>-70019.071422696754</v>
      </c>
    </row>
    <row r="2083" spans="1:33" ht="11.25" customHeight="1" x14ac:dyDescent="0.25">
      <c r="A2083" s="4" t="s">
        <v>59</v>
      </c>
      <c r="B2083" s="4" t="s">
        <v>46</v>
      </c>
      <c r="C2083" s="4" t="s">
        <v>23</v>
      </c>
      <c r="D2083" s="4" t="s">
        <v>47</v>
      </c>
      <c r="E2083" s="4" t="s">
        <v>25</v>
      </c>
      <c r="F2083" s="4" t="s">
        <v>25</v>
      </c>
      <c r="G2083" s="4" t="s">
        <v>25</v>
      </c>
      <c r="H2083" s="4" t="s">
        <v>25</v>
      </c>
      <c r="I2083" s="5">
        <v>44470</v>
      </c>
      <c r="J2083" s="6">
        <v>0</v>
      </c>
      <c r="K2083" s="6">
        <v>0</v>
      </c>
      <c r="L2083" s="6">
        <v>26.422000000000001</v>
      </c>
      <c r="M2083" s="6">
        <v>26.422000000000001</v>
      </c>
      <c r="N2083" s="6">
        <v>26.422000000000001</v>
      </c>
      <c r="O2083" s="6">
        <v>26.422000000000001</v>
      </c>
      <c r="P2083" s="6">
        <v>22</v>
      </c>
      <c r="Q2083" s="4" t="s">
        <v>26</v>
      </c>
      <c r="R2083" s="4">
        <v>0</v>
      </c>
      <c r="S2083" s="6">
        <v>0</v>
      </c>
      <c r="T2083" s="6">
        <v>39</v>
      </c>
      <c r="U2083" s="6">
        <v>85</v>
      </c>
      <c r="V2083" s="6">
        <f>IF(ISERROR(VLOOKUP($S$2083,'TAR FIN'!$A$1:$O$95,15,0)),0,VLOOKUP($S$2083,'TAR FIN'!$A$1:$O$95,15,0))</f>
        <v>0</v>
      </c>
      <c r="W2083" s="6">
        <f>IF(ISERROR(VLOOKUP($T$2083,'TAR FIN'!$A$1:$O$95,15,0)),0,VLOOKUP($T$2083,'TAR FIN'!$A$1:$O$95,15,0))</f>
        <v>369.16</v>
      </c>
      <c r="X2083" s="6">
        <f>IF(ISERROR(VLOOKUP($U$2083,'TAR FIN'!$A$1:$O$95,15,0)),0,VLOOKUP($U$2083,'TAR FIN'!$A$1:$O$95,15,0))</f>
        <v>199.51</v>
      </c>
      <c r="Y2083" s="6"/>
      <c r="Z2083" s="6">
        <f ca="1">('TUSD BE'!$AM$38+'TUSD BF'!$AM$38+'TUSD CVA'!$AM$38)*(1-CUSTOS!$M$38)</f>
        <v>445.73746261020432</v>
      </c>
      <c r="AA2083" s="6">
        <f>('TE BE'!$AA$26+'TE BF'!$AA$26+'TE CVA'!$AA$26)*(1-CUSTOS!$M$38)</f>
        <v>261.5374640864809</v>
      </c>
      <c r="AB2083" s="6">
        <f>$K$2083*$V$2083</f>
        <v>0</v>
      </c>
      <c r="AC2083" s="6">
        <f>$M$2083*$W$2083</f>
        <v>9753.9455200000011</v>
      </c>
      <c r="AD2083" s="6">
        <f>$O$2083*$X$2083</f>
        <v>5271.4532200000003</v>
      </c>
      <c r="AE2083" s="6">
        <f>$K$2083*$Y$2083</f>
        <v>0</v>
      </c>
      <c r="AF2083" s="6">
        <f ca="1">$M$2083*$Z$2083</f>
        <v>11777.275237086818</v>
      </c>
      <c r="AG2083" s="6">
        <f>$O$2083*$AA$2083</f>
        <v>6910.3428760929983</v>
      </c>
    </row>
    <row r="2084" spans="1:33" ht="11.25" customHeight="1" x14ac:dyDescent="0.25">
      <c r="A2084" s="4" t="s">
        <v>21</v>
      </c>
      <c r="B2084" s="4" t="s">
        <v>46</v>
      </c>
      <c r="C2084" s="4" t="s">
        <v>23</v>
      </c>
      <c r="D2084" s="4" t="s">
        <v>47</v>
      </c>
      <c r="E2084" s="4" t="s">
        <v>55</v>
      </c>
      <c r="F2084" s="4" t="s">
        <v>56</v>
      </c>
      <c r="G2084" s="4" t="s">
        <v>25</v>
      </c>
      <c r="H2084" s="4" t="s">
        <v>25</v>
      </c>
      <c r="I2084" s="5">
        <v>44287</v>
      </c>
      <c r="J2084" s="6">
        <v>0</v>
      </c>
      <c r="K2084" s="6">
        <v>0</v>
      </c>
      <c r="L2084" s="6">
        <v>14.785</v>
      </c>
      <c r="M2084" s="6">
        <v>14.785</v>
      </c>
      <c r="N2084" s="6">
        <v>14.785</v>
      </c>
      <c r="O2084" s="6">
        <v>14.785</v>
      </c>
      <c r="P2084" s="6">
        <v>0</v>
      </c>
      <c r="Q2084" s="4" t="s">
        <v>26</v>
      </c>
      <c r="R2084" s="4">
        <v>0</v>
      </c>
      <c r="S2084" s="6">
        <v>0</v>
      </c>
      <c r="T2084" s="6">
        <v>44</v>
      </c>
      <c r="U2084" s="6">
        <v>90</v>
      </c>
      <c r="V2084" s="6">
        <f>IF(ISERROR(VLOOKUP($S$2084,'TAR FIN'!$A$1:$O$95,15,0)),0,VLOOKUP($S$2084,'TAR FIN'!$A$1:$O$95,15,0))</f>
        <v>0</v>
      </c>
      <c r="W2084" s="6">
        <f>IF(ISERROR(VLOOKUP($T$2084,'TAR FIN'!$A$1:$O$95,15,0)),0,VLOOKUP($T$2084,'TAR FIN'!$A$1:$O$95,15,0))</f>
        <v>342.15</v>
      </c>
      <c r="X2084" s="6">
        <f>IF(ISERROR(VLOOKUP($U$2084,'TAR FIN'!$A$1:$O$95,15,0)),0,VLOOKUP($U$2084,'TAR FIN'!$A$1:$O$95,15,0))</f>
        <v>184.91</v>
      </c>
      <c r="Y2084" s="6"/>
      <c r="Z2084" s="6">
        <f ca="1">('TUSD BE'!$AM$46+'TUSD BF'!$AM$46+'TUSD CVA'!$AM$46)*(1-CUSTOS!$M$40)</f>
        <v>425.47666885519504</v>
      </c>
      <c r="AA2084" s="6">
        <f>('TE BE'!$AA$34+'TE BF'!$AA$34+'TE CVA'!$AA$34)*(1-CUSTOS!$M$40)</f>
        <v>249.64939753709535</v>
      </c>
      <c r="AB2084" s="6">
        <f>$K$2084*$V$2084</f>
        <v>0</v>
      </c>
      <c r="AC2084" s="6">
        <f>$M$2084*$W$2084</f>
        <v>5058.6877500000001</v>
      </c>
      <c r="AD2084" s="6">
        <f>$O$2084*$X$2084</f>
        <v>2733.89435</v>
      </c>
      <c r="AE2084" s="6">
        <f>$K$2084*$Y$2084</f>
        <v>0</v>
      </c>
      <c r="AF2084" s="6">
        <f ca="1">$M$2084*$Z$2084</f>
        <v>6290.6725490240588</v>
      </c>
      <c r="AG2084" s="6">
        <f>$O$2084*$AA$2084</f>
        <v>3691.0663425859548</v>
      </c>
    </row>
    <row r="2085" spans="1:33" ht="11.25" customHeight="1" x14ac:dyDescent="0.25">
      <c r="A2085" s="4" t="s">
        <v>27</v>
      </c>
      <c r="B2085" s="4" t="s">
        <v>46</v>
      </c>
      <c r="C2085" s="4" t="s">
        <v>23</v>
      </c>
      <c r="D2085" s="4" t="s">
        <v>47</v>
      </c>
      <c r="E2085" s="4" t="s">
        <v>55</v>
      </c>
      <c r="F2085" s="4" t="s">
        <v>56</v>
      </c>
      <c r="G2085" s="4" t="s">
        <v>25</v>
      </c>
      <c r="H2085" s="4" t="s">
        <v>25</v>
      </c>
      <c r="I2085" s="5">
        <v>44287</v>
      </c>
      <c r="J2085" s="6">
        <v>0</v>
      </c>
      <c r="K2085" s="6">
        <v>0</v>
      </c>
      <c r="L2085" s="6">
        <v>-0.315</v>
      </c>
      <c r="M2085" s="6">
        <v>-0.315</v>
      </c>
      <c r="N2085" s="6">
        <v>-0.315</v>
      </c>
      <c r="O2085" s="6">
        <v>-0.315</v>
      </c>
      <c r="P2085" s="6">
        <v>0</v>
      </c>
      <c r="Q2085" s="4" t="s">
        <v>26</v>
      </c>
      <c r="R2085" s="4">
        <v>0</v>
      </c>
      <c r="S2085" s="6">
        <v>0</v>
      </c>
      <c r="T2085" s="6">
        <v>44</v>
      </c>
      <c r="U2085" s="6">
        <v>90</v>
      </c>
      <c r="V2085" s="6">
        <f>IF(ISERROR(VLOOKUP($S$2085,'TAR FIN'!$A$1:$O$95,15,0)),0,VLOOKUP($S$2085,'TAR FIN'!$A$1:$O$95,15,0))</f>
        <v>0</v>
      </c>
      <c r="W2085" s="6">
        <f>IF(ISERROR(VLOOKUP($T$2085,'TAR FIN'!$A$1:$O$95,15,0)),0,VLOOKUP($T$2085,'TAR FIN'!$A$1:$O$95,15,0))</f>
        <v>342.15</v>
      </c>
      <c r="X2085" s="6">
        <f>IF(ISERROR(VLOOKUP($U$2085,'TAR FIN'!$A$1:$O$95,15,0)),0,VLOOKUP($U$2085,'TAR FIN'!$A$1:$O$95,15,0))</f>
        <v>184.91</v>
      </c>
      <c r="Y2085" s="6"/>
      <c r="Z2085" s="6">
        <f ca="1">('TUSD BE'!$AM$46+'TUSD BF'!$AM$46+'TUSD CVA'!$AM$46)*(1-CUSTOS!$M$40)</f>
        <v>425.47666885519504</v>
      </c>
      <c r="AA2085" s="6">
        <f>('TE BE'!$AA$34+'TE BF'!$AA$34+'TE CVA'!$AA$34)*(1-CUSTOS!$M$40)</f>
        <v>249.64939753709535</v>
      </c>
      <c r="AB2085" s="6">
        <f>$K$2085*$V$2085</f>
        <v>0</v>
      </c>
      <c r="AC2085" s="6">
        <f>$M$2085*$W$2085</f>
        <v>-107.77725</v>
      </c>
      <c r="AD2085" s="6">
        <f>$O$2085*$X$2085</f>
        <v>-58.246650000000002</v>
      </c>
      <c r="AE2085" s="6">
        <f>$K$2085*$Y$2085</f>
        <v>0</v>
      </c>
      <c r="AF2085" s="6">
        <f ca="1">$M$2085*$Z$2085</f>
        <v>-134.02515068938644</v>
      </c>
      <c r="AG2085" s="6">
        <f>$O$2085*$AA$2085</f>
        <v>-78.639560224185033</v>
      </c>
    </row>
    <row r="2086" spans="1:33" ht="11.25" customHeight="1" x14ac:dyDescent="0.25">
      <c r="A2086" s="4" t="s">
        <v>21</v>
      </c>
      <c r="B2086" s="4" t="s">
        <v>46</v>
      </c>
      <c r="C2086" s="4" t="s">
        <v>23</v>
      </c>
      <c r="D2086" s="4" t="s">
        <v>47</v>
      </c>
      <c r="E2086" s="4" t="s">
        <v>55</v>
      </c>
      <c r="F2086" s="4" t="s">
        <v>57</v>
      </c>
      <c r="G2086" s="4" t="s">
        <v>25</v>
      </c>
      <c r="H2086" s="4" t="s">
        <v>25</v>
      </c>
      <c r="I2086" s="5">
        <v>44287</v>
      </c>
      <c r="J2086" s="6">
        <v>0</v>
      </c>
      <c r="K2086" s="6">
        <v>0</v>
      </c>
      <c r="L2086" s="6">
        <v>6.5570000000000004</v>
      </c>
      <c r="M2086" s="6">
        <v>1.7703899999999999</v>
      </c>
      <c r="N2086" s="6">
        <v>6.5570000000000004</v>
      </c>
      <c r="O2086" s="6">
        <v>1.7703899999999999</v>
      </c>
      <c r="P2086" s="6">
        <v>0</v>
      </c>
      <c r="Q2086" s="4" t="s">
        <v>26</v>
      </c>
      <c r="R2086" s="4">
        <v>0</v>
      </c>
      <c r="S2086" s="6">
        <v>0</v>
      </c>
      <c r="T2086" s="6">
        <v>44</v>
      </c>
      <c r="U2086" s="6">
        <v>90</v>
      </c>
      <c r="V2086" s="6">
        <f>IF(ISERROR(VLOOKUP($S$2086,'TAR FIN'!$A$1:$O$95,15,0)),0,VLOOKUP($S$2086,'TAR FIN'!$A$1:$O$95,15,0))</f>
        <v>0</v>
      </c>
      <c r="W2086" s="6">
        <f>IF(ISERROR(VLOOKUP($T$2086,'TAR FIN'!$A$1:$O$95,15,0)),0,VLOOKUP($T$2086,'TAR FIN'!$A$1:$O$95,15,0))</f>
        <v>342.15</v>
      </c>
      <c r="X2086" s="6">
        <f>IF(ISERROR(VLOOKUP($U$2086,'TAR FIN'!$A$1:$O$95,15,0)),0,VLOOKUP($U$2086,'TAR FIN'!$A$1:$O$95,15,0))</f>
        <v>184.91</v>
      </c>
      <c r="Y2086" s="6"/>
      <c r="Z2086" s="6">
        <f ca="1">('TUSD BE'!$AM$46+'TUSD BF'!$AM$46+'TUSD CVA'!$AM$46)*(1-CUSTOS!$M$38)</f>
        <v>445.73746261020432</v>
      </c>
      <c r="AA2086" s="6">
        <f>('TE BE'!$AA$34+'TE BF'!$AA$34+'TE CVA'!$AA$34)*(1-CUSTOS!$M$38)</f>
        <v>261.5374640864809</v>
      </c>
      <c r="AB2086" s="6">
        <f>$K$2086*$V$2086</f>
        <v>0</v>
      </c>
      <c r="AC2086" s="6">
        <f>$M$2086*$W$2086</f>
        <v>605.7389384999999</v>
      </c>
      <c r="AD2086" s="6">
        <f>$O$2086*$X$2086</f>
        <v>327.36281489999999</v>
      </c>
      <c r="AE2086" s="6">
        <f>$K$2086*$Y$2086</f>
        <v>0</v>
      </c>
      <c r="AF2086" s="6">
        <f ca="1">$M$2086*$Z$2086</f>
        <v>789.12914643047964</v>
      </c>
      <c r="AG2086" s="6">
        <f>$O$2086*$AA$2086</f>
        <v>463.02331104406488</v>
      </c>
    </row>
    <row r="2087" spans="1:33" ht="11.25" customHeight="1" x14ac:dyDescent="0.25">
      <c r="A2087" s="4" t="s">
        <v>27</v>
      </c>
      <c r="B2087" s="4" t="s">
        <v>46</v>
      </c>
      <c r="C2087" s="4" t="s">
        <v>23</v>
      </c>
      <c r="D2087" s="4" t="s">
        <v>47</v>
      </c>
      <c r="E2087" s="4" t="s">
        <v>55</v>
      </c>
      <c r="F2087" s="4" t="s">
        <v>57</v>
      </c>
      <c r="G2087" s="4" t="s">
        <v>25</v>
      </c>
      <c r="H2087" s="4" t="s">
        <v>25</v>
      </c>
      <c r="I2087" s="5">
        <v>44287</v>
      </c>
      <c r="J2087" s="6">
        <v>0</v>
      </c>
      <c r="K2087" s="6">
        <v>0</v>
      </c>
      <c r="L2087" s="6">
        <v>5.4850000000000003</v>
      </c>
      <c r="M2087" s="6">
        <v>1.48095</v>
      </c>
      <c r="N2087" s="6">
        <v>5.4850000000000003</v>
      </c>
      <c r="O2087" s="6">
        <v>1.48095</v>
      </c>
      <c r="P2087" s="6">
        <v>0</v>
      </c>
      <c r="Q2087" s="4" t="s">
        <v>26</v>
      </c>
      <c r="R2087" s="4">
        <v>0</v>
      </c>
      <c r="S2087" s="6">
        <v>0</v>
      </c>
      <c r="T2087" s="6">
        <v>44</v>
      </c>
      <c r="U2087" s="6">
        <v>90</v>
      </c>
      <c r="V2087" s="6">
        <f>IF(ISERROR(VLOOKUP($S$2087,'TAR FIN'!$A$1:$O$95,15,0)),0,VLOOKUP($S$2087,'TAR FIN'!$A$1:$O$95,15,0))</f>
        <v>0</v>
      </c>
      <c r="W2087" s="6">
        <f>IF(ISERROR(VLOOKUP($T$2087,'TAR FIN'!$A$1:$O$95,15,0)),0,VLOOKUP($T$2087,'TAR FIN'!$A$1:$O$95,15,0))</f>
        <v>342.15</v>
      </c>
      <c r="X2087" s="6">
        <f>IF(ISERROR(VLOOKUP($U$2087,'TAR FIN'!$A$1:$O$95,15,0)),0,VLOOKUP($U$2087,'TAR FIN'!$A$1:$O$95,15,0))</f>
        <v>184.91</v>
      </c>
      <c r="Y2087" s="6"/>
      <c r="Z2087" s="6">
        <f ca="1">('TUSD BE'!$AM$46+'TUSD BF'!$AM$46+'TUSD CVA'!$AM$46)*(1-CUSTOS!$M$38)</f>
        <v>445.73746261020432</v>
      </c>
      <c r="AA2087" s="6">
        <f>('TE BE'!$AA$34+'TE BF'!$AA$34+'TE CVA'!$AA$34)*(1-CUSTOS!$M$38)</f>
        <v>261.5374640864809</v>
      </c>
      <c r="AB2087" s="6">
        <f>$K$2087*$V$2087</f>
        <v>0</v>
      </c>
      <c r="AC2087" s="6">
        <f>$M$2087*$W$2087</f>
        <v>506.70704249999994</v>
      </c>
      <c r="AD2087" s="6">
        <f>$O$2087*$X$2087</f>
        <v>273.84246450000001</v>
      </c>
      <c r="AE2087" s="6">
        <f>$K$2087*$Y$2087</f>
        <v>0</v>
      </c>
      <c r="AF2087" s="6">
        <f ca="1">$M$2087*$Z$2087</f>
        <v>660.11489525258207</v>
      </c>
      <c r="AG2087" s="6">
        <f>$O$2087*$AA$2087</f>
        <v>387.3239074388739</v>
      </c>
    </row>
    <row r="2088" spans="1:33" ht="11.25" customHeight="1" x14ac:dyDescent="0.25">
      <c r="A2088" s="4" t="s">
        <v>21</v>
      </c>
      <c r="B2088" s="4" t="s">
        <v>41</v>
      </c>
      <c r="C2088" s="4" t="s">
        <v>39</v>
      </c>
      <c r="D2088" s="4" t="s">
        <v>45</v>
      </c>
      <c r="E2088" s="4" t="s">
        <v>25</v>
      </c>
      <c r="F2088" s="4" t="s">
        <v>25</v>
      </c>
      <c r="G2088" s="4" t="s">
        <v>25</v>
      </c>
      <c r="H2088" s="4" t="s">
        <v>38</v>
      </c>
      <c r="I2088" s="5">
        <v>44136</v>
      </c>
      <c r="J2088" s="6">
        <v>0</v>
      </c>
      <c r="K2088" s="6">
        <v>0</v>
      </c>
      <c r="L2088" s="6">
        <v>107.41800000000001</v>
      </c>
      <c r="M2088" s="6">
        <v>107.41800000000001</v>
      </c>
      <c r="N2088" s="6">
        <v>107.41800000000001</v>
      </c>
      <c r="O2088" s="6">
        <v>107.41800000000001</v>
      </c>
      <c r="P2088" s="6">
        <v>0</v>
      </c>
      <c r="Q2088" s="4" t="s">
        <v>26</v>
      </c>
      <c r="R2088" s="4">
        <v>0</v>
      </c>
      <c r="S2088" s="6">
        <v>0</v>
      </c>
      <c r="T2088" s="6">
        <v>71</v>
      </c>
      <c r="U2088" s="6">
        <v>77</v>
      </c>
      <c r="V2088" s="6">
        <f>IF(ISERROR(VLOOKUP($S$2088,'TAR FIN'!$A$1:$O$95,15,0)),0,VLOOKUP($S$2088,'TAR FIN'!$A$1:$O$95,15,0))</f>
        <v>0</v>
      </c>
      <c r="W2088" s="6">
        <f>IF(ISERROR(VLOOKUP($T$2088,'TAR FIN'!$A$1:$O$95,15,0)),0,VLOOKUP($T$2088,'TAR FIN'!$A$1:$O$95,15,0))</f>
        <v>381.34</v>
      </c>
      <c r="X2088" s="6">
        <f>IF(ISERROR(VLOOKUP($U$2088,'TAR FIN'!$A$1:$O$95,15,0)),0,VLOOKUP($U$2088,'TAR FIN'!$A$1:$O$95,15,0))</f>
        <v>230.03</v>
      </c>
      <c r="Y2088" s="6"/>
      <c r="Z2088" s="6">
        <f ca="1">('TUSD BE'!$AM$52+'TUSD BF'!$AM$52+'TUSD CVA'!$AM$52)*1</f>
        <v>429.45298114736829</v>
      </c>
      <c r="AA2088" s="6">
        <f>('TE BE'!$AA$40+'TE BF'!$AA$40+'TE CVA'!$AA$40)*1</f>
        <v>282.91739971702214</v>
      </c>
      <c r="AB2088" s="6">
        <f>$K$2088*$V$2088</f>
        <v>0</v>
      </c>
      <c r="AC2088" s="6">
        <f>$M$2088*$W$2088</f>
        <v>40962.780120000003</v>
      </c>
      <c r="AD2088" s="6">
        <f>$O$2088*$X$2088</f>
        <v>24709.362540000002</v>
      </c>
      <c r="AE2088" s="6">
        <f>$K$2088*$Y$2088</f>
        <v>0</v>
      </c>
      <c r="AF2088" s="6">
        <f ca="1">$M$2088*$Z$2088</f>
        <v>46130.980328888007</v>
      </c>
      <c r="AG2088" s="6">
        <f>$O$2088*$AA$2088</f>
        <v>30390.421242803084</v>
      </c>
    </row>
    <row r="2089" spans="1:33" ht="11.25" customHeight="1" x14ac:dyDescent="0.25">
      <c r="A2089" s="4" t="s">
        <v>27</v>
      </c>
      <c r="B2089" s="4" t="s">
        <v>41</v>
      </c>
      <c r="C2089" s="4" t="s">
        <v>39</v>
      </c>
      <c r="D2089" s="4" t="s">
        <v>45</v>
      </c>
      <c r="E2089" s="4" t="s">
        <v>25</v>
      </c>
      <c r="F2089" s="4" t="s">
        <v>25</v>
      </c>
      <c r="G2089" s="4" t="s">
        <v>25</v>
      </c>
      <c r="H2089" s="4" t="s">
        <v>38</v>
      </c>
      <c r="I2089" s="5">
        <v>44136</v>
      </c>
      <c r="J2089" s="6">
        <v>0</v>
      </c>
      <c r="K2089" s="6">
        <v>0</v>
      </c>
      <c r="L2089" s="6">
        <v>-0.77400000000000002</v>
      </c>
      <c r="M2089" s="6">
        <v>-0.77400000000000002</v>
      </c>
      <c r="N2089" s="6">
        <v>-0.77400000000000002</v>
      </c>
      <c r="O2089" s="6">
        <v>-0.77400000000000002</v>
      </c>
      <c r="P2089" s="6">
        <v>0</v>
      </c>
      <c r="Q2089" s="4" t="s">
        <v>26</v>
      </c>
      <c r="R2089" s="4">
        <v>0</v>
      </c>
      <c r="S2089" s="6">
        <v>0</v>
      </c>
      <c r="T2089" s="6">
        <v>71</v>
      </c>
      <c r="U2089" s="6">
        <v>77</v>
      </c>
      <c r="V2089" s="6">
        <f>IF(ISERROR(VLOOKUP($S$2089,'TAR FIN'!$A$1:$O$95,15,0)),0,VLOOKUP($S$2089,'TAR FIN'!$A$1:$O$95,15,0))</f>
        <v>0</v>
      </c>
      <c r="W2089" s="6">
        <f>IF(ISERROR(VLOOKUP($T$2089,'TAR FIN'!$A$1:$O$95,15,0)),0,VLOOKUP($T$2089,'TAR FIN'!$A$1:$O$95,15,0))</f>
        <v>381.34</v>
      </c>
      <c r="X2089" s="6">
        <f>IF(ISERROR(VLOOKUP($U$2089,'TAR FIN'!$A$1:$O$95,15,0)),0,VLOOKUP($U$2089,'TAR FIN'!$A$1:$O$95,15,0))</f>
        <v>230.03</v>
      </c>
      <c r="Y2089" s="6"/>
      <c r="Z2089" s="6">
        <f ca="1">('TUSD BE'!$AM$52+'TUSD BF'!$AM$52+'TUSD CVA'!$AM$52)*1</f>
        <v>429.45298114736829</v>
      </c>
      <c r="AA2089" s="6">
        <f>('TE BE'!$AA$40+'TE BF'!$AA$40+'TE CVA'!$AA$40)*1</f>
        <v>282.91739971702214</v>
      </c>
      <c r="AB2089" s="6">
        <f>$K$2089*$V$2089</f>
        <v>0</v>
      </c>
      <c r="AC2089" s="6">
        <f>$M$2089*$W$2089</f>
        <v>-295.15715999999998</v>
      </c>
      <c r="AD2089" s="6">
        <f>$O$2089*$X$2089</f>
        <v>-178.04322000000002</v>
      </c>
      <c r="AE2089" s="6">
        <f>$K$2089*$Y$2089</f>
        <v>0</v>
      </c>
      <c r="AF2089" s="6">
        <f ca="1">$M$2089*$Z$2089</f>
        <v>-332.39660740806306</v>
      </c>
      <c r="AG2089" s="6">
        <f>$O$2089*$AA$2089</f>
        <v>-218.97806738097515</v>
      </c>
    </row>
    <row r="2090" spans="1:33" ht="11.25" customHeight="1" x14ac:dyDescent="0.25">
      <c r="A2090" s="4" t="s">
        <v>28</v>
      </c>
      <c r="B2090" s="4" t="s">
        <v>41</v>
      </c>
      <c r="C2090" s="4" t="s">
        <v>39</v>
      </c>
      <c r="D2090" s="4" t="s">
        <v>45</v>
      </c>
      <c r="E2090" s="4" t="s">
        <v>25</v>
      </c>
      <c r="F2090" s="4" t="s">
        <v>25</v>
      </c>
      <c r="G2090" s="4" t="s">
        <v>25</v>
      </c>
      <c r="H2090" s="4" t="s">
        <v>38</v>
      </c>
      <c r="I2090" s="5">
        <v>44136</v>
      </c>
      <c r="J2090" s="6">
        <v>0</v>
      </c>
      <c r="K2090" s="6">
        <v>0</v>
      </c>
      <c r="L2090" s="6">
        <v>57.055999999999997</v>
      </c>
      <c r="M2090" s="6">
        <v>57.055999999999997</v>
      </c>
      <c r="N2090" s="6">
        <v>57.055999999999997</v>
      </c>
      <c r="O2090" s="6">
        <v>57.055999999999997</v>
      </c>
      <c r="P2090" s="6">
        <v>0</v>
      </c>
      <c r="Q2090" s="4" t="s">
        <v>26</v>
      </c>
      <c r="R2090" s="4">
        <v>0</v>
      </c>
      <c r="S2090" s="6">
        <v>0</v>
      </c>
      <c r="T2090" s="6">
        <v>71</v>
      </c>
      <c r="U2090" s="6">
        <v>77</v>
      </c>
      <c r="V2090" s="6">
        <f>IF(ISERROR(VLOOKUP($S$2090,'TAR FIN'!$A$1:$O$95,15,0)),0,VLOOKUP($S$2090,'TAR FIN'!$A$1:$O$95,15,0))</f>
        <v>0</v>
      </c>
      <c r="W2090" s="6">
        <f>IF(ISERROR(VLOOKUP($T$2090,'TAR FIN'!$A$1:$O$95,15,0)),0,VLOOKUP($T$2090,'TAR FIN'!$A$1:$O$95,15,0))</f>
        <v>381.34</v>
      </c>
      <c r="X2090" s="6">
        <f>IF(ISERROR(VLOOKUP($U$2090,'TAR FIN'!$A$1:$O$95,15,0)),0,VLOOKUP($U$2090,'TAR FIN'!$A$1:$O$95,15,0))</f>
        <v>230.03</v>
      </c>
      <c r="Y2090" s="6"/>
      <c r="Z2090" s="6">
        <f ca="1">('TUSD BE'!$AM$52+'TUSD BF'!$AM$52+'TUSD CVA'!$AM$52)*1</f>
        <v>429.45298114736829</v>
      </c>
      <c r="AA2090" s="6">
        <f>('TE BE'!$AA$40+'TE BF'!$AA$40+'TE CVA'!$AA$40)*1</f>
        <v>282.91739971702214</v>
      </c>
      <c r="AB2090" s="6">
        <f>$K$2090*$V$2090</f>
        <v>0</v>
      </c>
      <c r="AC2090" s="6">
        <f>$M$2090*$W$2090</f>
        <v>21757.735039999996</v>
      </c>
      <c r="AD2090" s="6">
        <f>$O$2090*$X$2090</f>
        <v>13124.59168</v>
      </c>
      <c r="AE2090" s="6">
        <f>$K$2090*$Y$2090</f>
        <v>0</v>
      </c>
      <c r="AF2090" s="6">
        <f ca="1">$M$2090*$Z$2090</f>
        <v>24502.869292344243</v>
      </c>
      <c r="AG2090" s="6">
        <f>$O$2090*$AA$2090</f>
        <v>16142.135158254414</v>
      </c>
    </row>
    <row r="2091" spans="1:33" ht="11.25" customHeight="1" x14ac:dyDescent="0.25">
      <c r="A2091" s="4" t="s">
        <v>21</v>
      </c>
      <c r="B2091" s="4" t="s">
        <v>41</v>
      </c>
      <c r="C2091" s="4" t="s">
        <v>39</v>
      </c>
      <c r="D2091" s="4" t="s">
        <v>45</v>
      </c>
      <c r="E2091" s="4" t="s">
        <v>25</v>
      </c>
      <c r="F2091" s="4" t="s">
        <v>25</v>
      </c>
      <c r="G2091" s="4" t="s">
        <v>25</v>
      </c>
      <c r="H2091" s="4" t="s">
        <v>38</v>
      </c>
      <c r="I2091" s="5">
        <v>44166</v>
      </c>
      <c r="J2091" s="6">
        <v>0</v>
      </c>
      <c r="K2091" s="6">
        <v>0</v>
      </c>
      <c r="L2091" s="6">
        <v>103.849</v>
      </c>
      <c r="M2091" s="6">
        <v>103.849</v>
      </c>
      <c r="N2091" s="6">
        <v>103.849</v>
      </c>
      <c r="O2091" s="6">
        <v>103.849</v>
      </c>
      <c r="P2091" s="6">
        <v>0</v>
      </c>
      <c r="Q2091" s="4" t="s">
        <v>26</v>
      </c>
      <c r="R2091" s="4">
        <v>0</v>
      </c>
      <c r="S2091" s="6">
        <v>0</v>
      </c>
      <c r="T2091" s="6">
        <v>71</v>
      </c>
      <c r="U2091" s="6">
        <v>77</v>
      </c>
      <c r="V2091" s="6">
        <f>IF(ISERROR(VLOOKUP($S$2091,'TAR FIN'!$A$1:$O$95,15,0)),0,VLOOKUP($S$2091,'TAR FIN'!$A$1:$O$95,15,0))</f>
        <v>0</v>
      </c>
      <c r="W2091" s="6">
        <f>IF(ISERROR(VLOOKUP($T$2091,'TAR FIN'!$A$1:$O$95,15,0)),0,VLOOKUP($T$2091,'TAR FIN'!$A$1:$O$95,15,0))</f>
        <v>381.34</v>
      </c>
      <c r="X2091" s="6">
        <f>IF(ISERROR(VLOOKUP($U$2091,'TAR FIN'!$A$1:$O$95,15,0)),0,VLOOKUP($U$2091,'TAR FIN'!$A$1:$O$95,15,0))</f>
        <v>230.03</v>
      </c>
      <c r="Y2091" s="6"/>
      <c r="Z2091" s="6">
        <f ca="1">('TUSD BE'!$AM$52+'TUSD BF'!$AM$52+'TUSD CVA'!$AM$52)*1</f>
        <v>429.45298114736829</v>
      </c>
      <c r="AA2091" s="6">
        <f>('TE BE'!$AA$40+'TE BF'!$AA$40+'TE CVA'!$AA$40)*1</f>
        <v>282.91739971702214</v>
      </c>
      <c r="AB2091" s="6">
        <f>$K$2091*$V$2091</f>
        <v>0</v>
      </c>
      <c r="AC2091" s="6">
        <f>$M$2091*$W$2091</f>
        <v>39601.77766</v>
      </c>
      <c r="AD2091" s="6">
        <f>$O$2091*$X$2091</f>
        <v>23888.385470000001</v>
      </c>
      <c r="AE2091" s="6">
        <f>$K$2091*$Y$2091</f>
        <v>0</v>
      </c>
      <c r="AF2091" s="6">
        <f ca="1">$M$2091*$Z$2091</f>
        <v>44598.262639173052</v>
      </c>
      <c r="AG2091" s="6">
        <f>$O$2091*$AA$2091</f>
        <v>29380.689043213031</v>
      </c>
    </row>
    <row r="2092" spans="1:33" ht="11.25" customHeight="1" x14ac:dyDescent="0.25">
      <c r="A2092" s="4" t="s">
        <v>28</v>
      </c>
      <c r="B2092" s="4" t="s">
        <v>41</v>
      </c>
      <c r="C2092" s="4" t="s">
        <v>39</v>
      </c>
      <c r="D2092" s="4" t="s">
        <v>45</v>
      </c>
      <c r="E2092" s="4" t="s">
        <v>25</v>
      </c>
      <c r="F2092" s="4" t="s">
        <v>25</v>
      </c>
      <c r="G2092" s="4" t="s">
        <v>25</v>
      </c>
      <c r="H2092" s="4" t="s">
        <v>38</v>
      </c>
      <c r="I2092" s="5">
        <v>44166</v>
      </c>
      <c r="J2092" s="6">
        <v>0</v>
      </c>
      <c r="K2092" s="6">
        <v>0</v>
      </c>
      <c r="L2092" s="6">
        <v>58.122</v>
      </c>
      <c r="M2092" s="6">
        <v>58.122</v>
      </c>
      <c r="N2092" s="6">
        <v>58.122</v>
      </c>
      <c r="O2092" s="6">
        <v>58.122</v>
      </c>
      <c r="P2092" s="6">
        <v>0</v>
      </c>
      <c r="Q2092" s="4" t="s">
        <v>26</v>
      </c>
      <c r="R2092" s="4">
        <v>0</v>
      </c>
      <c r="S2092" s="6">
        <v>0</v>
      </c>
      <c r="T2092" s="6">
        <v>71</v>
      </c>
      <c r="U2092" s="6">
        <v>77</v>
      </c>
      <c r="V2092" s="6">
        <f>IF(ISERROR(VLOOKUP($S$2092,'TAR FIN'!$A$1:$O$95,15,0)),0,VLOOKUP($S$2092,'TAR FIN'!$A$1:$O$95,15,0))</f>
        <v>0</v>
      </c>
      <c r="W2092" s="6">
        <f>IF(ISERROR(VLOOKUP($T$2092,'TAR FIN'!$A$1:$O$95,15,0)),0,VLOOKUP($T$2092,'TAR FIN'!$A$1:$O$95,15,0))</f>
        <v>381.34</v>
      </c>
      <c r="X2092" s="6">
        <f>IF(ISERROR(VLOOKUP($U$2092,'TAR FIN'!$A$1:$O$95,15,0)),0,VLOOKUP($U$2092,'TAR FIN'!$A$1:$O$95,15,0))</f>
        <v>230.03</v>
      </c>
      <c r="Y2092" s="6"/>
      <c r="Z2092" s="6">
        <f ca="1">('TUSD BE'!$AM$52+'TUSD BF'!$AM$52+'TUSD CVA'!$AM$52)*1</f>
        <v>429.45298114736829</v>
      </c>
      <c r="AA2092" s="6">
        <f>('TE BE'!$AA$40+'TE BF'!$AA$40+'TE CVA'!$AA$40)*1</f>
        <v>282.91739971702214</v>
      </c>
      <c r="AB2092" s="6">
        <f>$K$2092*$V$2092</f>
        <v>0</v>
      </c>
      <c r="AC2092" s="6">
        <f>$M$2092*$W$2092</f>
        <v>22164.243479999997</v>
      </c>
      <c r="AD2092" s="6">
        <f>$O$2092*$X$2092</f>
        <v>13369.80366</v>
      </c>
      <c r="AE2092" s="6">
        <f>$K$2092*$Y$2092</f>
        <v>0</v>
      </c>
      <c r="AF2092" s="6">
        <f ca="1">$M$2092*$Z$2092</f>
        <v>24960.666170247339</v>
      </c>
      <c r="AG2092" s="6">
        <f>$O$2092*$AA$2092</f>
        <v>16443.725106352762</v>
      </c>
    </row>
    <row r="2093" spans="1:33" ht="11.25" customHeight="1" x14ac:dyDescent="0.25">
      <c r="A2093" s="4" t="s">
        <v>21</v>
      </c>
      <c r="B2093" s="4" t="s">
        <v>41</v>
      </c>
      <c r="C2093" s="4" t="s">
        <v>39</v>
      </c>
      <c r="D2093" s="4" t="s">
        <v>45</v>
      </c>
      <c r="E2093" s="4" t="s">
        <v>25</v>
      </c>
      <c r="F2093" s="4" t="s">
        <v>25</v>
      </c>
      <c r="G2093" s="4" t="s">
        <v>25</v>
      </c>
      <c r="H2093" s="4" t="s">
        <v>38</v>
      </c>
      <c r="I2093" s="5">
        <v>44197</v>
      </c>
      <c r="J2093" s="6">
        <v>0</v>
      </c>
      <c r="K2093" s="6">
        <v>0</v>
      </c>
      <c r="L2093" s="6">
        <v>91.421000000000006</v>
      </c>
      <c r="M2093" s="6">
        <v>91.421000000000006</v>
      </c>
      <c r="N2093" s="6">
        <v>91.421000000000006</v>
      </c>
      <c r="O2093" s="6">
        <v>91.421000000000006</v>
      </c>
      <c r="P2093" s="6">
        <v>0</v>
      </c>
      <c r="Q2093" s="4" t="s">
        <v>26</v>
      </c>
      <c r="R2093" s="4">
        <v>0</v>
      </c>
      <c r="S2093" s="6">
        <v>0</v>
      </c>
      <c r="T2093" s="6">
        <v>71</v>
      </c>
      <c r="U2093" s="6">
        <v>77</v>
      </c>
      <c r="V2093" s="6">
        <f>IF(ISERROR(VLOOKUP($S$2093,'TAR FIN'!$A$1:$O$95,15,0)),0,VLOOKUP($S$2093,'TAR FIN'!$A$1:$O$95,15,0))</f>
        <v>0</v>
      </c>
      <c r="W2093" s="6">
        <f>IF(ISERROR(VLOOKUP($T$2093,'TAR FIN'!$A$1:$O$95,15,0)),0,VLOOKUP($T$2093,'TAR FIN'!$A$1:$O$95,15,0))</f>
        <v>381.34</v>
      </c>
      <c r="X2093" s="6">
        <f>IF(ISERROR(VLOOKUP($U$2093,'TAR FIN'!$A$1:$O$95,15,0)),0,VLOOKUP($U$2093,'TAR FIN'!$A$1:$O$95,15,0))</f>
        <v>230.03</v>
      </c>
      <c r="Y2093" s="6"/>
      <c r="Z2093" s="6">
        <f ca="1">('TUSD BE'!$AM$52+'TUSD BF'!$AM$52+'TUSD CVA'!$AM$52)*1</f>
        <v>429.45298114736829</v>
      </c>
      <c r="AA2093" s="6">
        <f>('TE BE'!$AA$40+'TE BF'!$AA$40+'TE CVA'!$AA$40)*1</f>
        <v>282.91739971702214</v>
      </c>
      <c r="AB2093" s="6">
        <f>$K$2093*$V$2093</f>
        <v>0</v>
      </c>
      <c r="AC2093" s="6">
        <f>$M$2093*$W$2093</f>
        <v>34862.48414</v>
      </c>
      <c r="AD2093" s="6">
        <f>$O$2093*$X$2093</f>
        <v>21029.572630000002</v>
      </c>
      <c r="AE2093" s="6">
        <f>$K$2093*$Y$2093</f>
        <v>0</v>
      </c>
      <c r="AF2093" s="6">
        <f ca="1">$M$2093*$Z$2093</f>
        <v>39261.02098947356</v>
      </c>
      <c r="AG2093" s="6">
        <f>$O$2093*$AA$2093</f>
        <v>25864.591599529882</v>
      </c>
    </row>
    <row r="2094" spans="1:33" ht="11.25" customHeight="1" x14ac:dyDescent="0.25">
      <c r="A2094" s="4" t="s">
        <v>27</v>
      </c>
      <c r="B2094" s="4" t="s">
        <v>41</v>
      </c>
      <c r="C2094" s="4" t="s">
        <v>39</v>
      </c>
      <c r="D2094" s="4" t="s">
        <v>45</v>
      </c>
      <c r="E2094" s="4" t="s">
        <v>25</v>
      </c>
      <c r="F2094" s="4" t="s">
        <v>25</v>
      </c>
      <c r="G2094" s="4" t="s">
        <v>25</v>
      </c>
      <c r="H2094" s="4" t="s">
        <v>38</v>
      </c>
      <c r="I2094" s="5">
        <v>44197</v>
      </c>
      <c r="J2094" s="6">
        <v>0</v>
      </c>
      <c r="K2094" s="6">
        <v>0</v>
      </c>
      <c r="L2094" s="6">
        <v>1.151</v>
      </c>
      <c r="M2094" s="6">
        <v>1.151</v>
      </c>
      <c r="N2094" s="6">
        <v>1.151</v>
      </c>
      <c r="O2094" s="6">
        <v>1.151</v>
      </c>
      <c r="P2094" s="6">
        <v>0</v>
      </c>
      <c r="Q2094" s="4" t="s">
        <v>26</v>
      </c>
      <c r="R2094" s="4">
        <v>0</v>
      </c>
      <c r="S2094" s="6">
        <v>0</v>
      </c>
      <c r="T2094" s="6">
        <v>71</v>
      </c>
      <c r="U2094" s="6">
        <v>77</v>
      </c>
      <c r="V2094" s="6">
        <f>IF(ISERROR(VLOOKUP($S$2094,'TAR FIN'!$A$1:$O$95,15,0)),0,VLOOKUP($S$2094,'TAR FIN'!$A$1:$O$95,15,0))</f>
        <v>0</v>
      </c>
      <c r="W2094" s="6">
        <f>IF(ISERROR(VLOOKUP($T$2094,'TAR FIN'!$A$1:$O$95,15,0)),0,VLOOKUP($T$2094,'TAR FIN'!$A$1:$O$95,15,0))</f>
        <v>381.34</v>
      </c>
      <c r="X2094" s="6">
        <f>IF(ISERROR(VLOOKUP($U$2094,'TAR FIN'!$A$1:$O$95,15,0)),0,VLOOKUP($U$2094,'TAR FIN'!$A$1:$O$95,15,0))</f>
        <v>230.03</v>
      </c>
      <c r="Y2094" s="6"/>
      <c r="Z2094" s="6">
        <f ca="1">('TUSD BE'!$AM$52+'TUSD BF'!$AM$52+'TUSD CVA'!$AM$52)*1</f>
        <v>429.45298114736829</v>
      </c>
      <c r="AA2094" s="6">
        <f>('TE BE'!$AA$40+'TE BF'!$AA$40+'TE CVA'!$AA$40)*1</f>
        <v>282.91739971702214</v>
      </c>
      <c r="AB2094" s="6">
        <f>$K$2094*$V$2094</f>
        <v>0</v>
      </c>
      <c r="AC2094" s="6">
        <f>$M$2094*$W$2094</f>
        <v>438.92233999999996</v>
      </c>
      <c r="AD2094" s="6">
        <f>$O$2094*$X$2094</f>
        <v>264.76452999999998</v>
      </c>
      <c r="AE2094" s="6">
        <f>$K$2094*$Y$2094</f>
        <v>0</v>
      </c>
      <c r="AF2094" s="6">
        <f ca="1">$M$2094*$Z$2094</f>
        <v>494.30038130062093</v>
      </c>
      <c r="AG2094" s="6">
        <f>$O$2094*$AA$2094</f>
        <v>325.63792707429246</v>
      </c>
    </row>
    <row r="2095" spans="1:33" ht="11.25" customHeight="1" x14ac:dyDescent="0.25">
      <c r="A2095" s="4" t="s">
        <v>28</v>
      </c>
      <c r="B2095" s="4" t="s">
        <v>41</v>
      </c>
      <c r="C2095" s="4" t="s">
        <v>39</v>
      </c>
      <c r="D2095" s="4" t="s">
        <v>45</v>
      </c>
      <c r="E2095" s="4" t="s">
        <v>25</v>
      </c>
      <c r="F2095" s="4" t="s">
        <v>25</v>
      </c>
      <c r="G2095" s="4" t="s">
        <v>25</v>
      </c>
      <c r="H2095" s="4" t="s">
        <v>38</v>
      </c>
      <c r="I2095" s="5">
        <v>44197</v>
      </c>
      <c r="J2095" s="6">
        <v>0</v>
      </c>
      <c r="K2095" s="6">
        <v>0</v>
      </c>
      <c r="L2095" s="6">
        <v>50.509</v>
      </c>
      <c r="M2095" s="6">
        <v>50.509</v>
      </c>
      <c r="N2095" s="6">
        <v>50.509</v>
      </c>
      <c r="O2095" s="6">
        <v>50.509</v>
      </c>
      <c r="P2095" s="6">
        <v>0</v>
      </c>
      <c r="Q2095" s="4" t="s">
        <v>26</v>
      </c>
      <c r="R2095" s="4">
        <v>0</v>
      </c>
      <c r="S2095" s="6">
        <v>0</v>
      </c>
      <c r="T2095" s="6">
        <v>71</v>
      </c>
      <c r="U2095" s="6">
        <v>77</v>
      </c>
      <c r="V2095" s="6">
        <f>IF(ISERROR(VLOOKUP($S$2095,'TAR FIN'!$A$1:$O$95,15,0)),0,VLOOKUP($S$2095,'TAR FIN'!$A$1:$O$95,15,0))</f>
        <v>0</v>
      </c>
      <c r="W2095" s="6">
        <f>IF(ISERROR(VLOOKUP($T$2095,'TAR FIN'!$A$1:$O$95,15,0)),0,VLOOKUP($T$2095,'TAR FIN'!$A$1:$O$95,15,0))</f>
        <v>381.34</v>
      </c>
      <c r="X2095" s="6">
        <f>IF(ISERROR(VLOOKUP($U$2095,'TAR FIN'!$A$1:$O$95,15,0)),0,VLOOKUP($U$2095,'TAR FIN'!$A$1:$O$95,15,0))</f>
        <v>230.03</v>
      </c>
      <c r="Y2095" s="6"/>
      <c r="Z2095" s="6">
        <f ca="1">('TUSD BE'!$AM$52+'TUSD BF'!$AM$52+'TUSD CVA'!$AM$52)*1</f>
        <v>429.45298114736829</v>
      </c>
      <c r="AA2095" s="6">
        <f>('TE BE'!$AA$40+'TE BF'!$AA$40+'TE CVA'!$AA$40)*1</f>
        <v>282.91739971702214</v>
      </c>
      <c r="AB2095" s="6">
        <f>$K$2095*$V$2095</f>
        <v>0</v>
      </c>
      <c r="AC2095" s="6">
        <f>$M$2095*$W$2095</f>
        <v>19261.102059999997</v>
      </c>
      <c r="AD2095" s="6">
        <f>$O$2095*$X$2095</f>
        <v>11618.58527</v>
      </c>
      <c r="AE2095" s="6">
        <f>$K$2095*$Y$2095</f>
        <v>0</v>
      </c>
      <c r="AF2095" s="6">
        <f ca="1">$M$2095*$Z$2095</f>
        <v>21691.240624772425</v>
      </c>
      <c r="AG2095" s="6">
        <f>$O$2095*$AA$2095</f>
        <v>14289.874942307071</v>
      </c>
    </row>
    <row r="2096" spans="1:33" ht="11.25" customHeight="1" x14ac:dyDescent="0.25">
      <c r="A2096" s="4" t="s">
        <v>21</v>
      </c>
      <c r="B2096" s="4" t="s">
        <v>41</v>
      </c>
      <c r="C2096" s="4" t="s">
        <v>39</v>
      </c>
      <c r="D2096" s="4" t="s">
        <v>45</v>
      </c>
      <c r="E2096" s="4" t="s">
        <v>25</v>
      </c>
      <c r="F2096" s="4" t="s">
        <v>25</v>
      </c>
      <c r="G2096" s="4" t="s">
        <v>25</v>
      </c>
      <c r="H2096" s="4" t="s">
        <v>38</v>
      </c>
      <c r="I2096" s="5">
        <v>44228</v>
      </c>
      <c r="J2096" s="6">
        <v>0</v>
      </c>
      <c r="K2096" s="6">
        <v>0</v>
      </c>
      <c r="L2096" s="6">
        <v>83.385999999999996</v>
      </c>
      <c r="M2096" s="6">
        <v>83.385999999999996</v>
      </c>
      <c r="N2096" s="6">
        <v>83.385999999999996</v>
      </c>
      <c r="O2096" s="6">
        <v>83.385999999999996</v>
      </c>
      <c r="P2096" s="6">
        <v>0</v>
      </c>
      <c r="Q2096" s="4" t="s">
        <v>26</v>
      </c>
      <c r="R2096" s="4">
        <v>0</v>
      </c>
      <c r="S2096" s="6">
        <v>0</v>
      </c>
      <c r="T2096" s="6">
        <v>71</v>
      </c>
      <c r="U2096" s="6">
        <v>77</v>
      </c>
      <c r="V2096" s="6">
        <f>IF(ISERROR(VLOOKUP($S$2096,'TAR FIN'!$A$1:$O$95,15,0)),0,VLOOKUP($S$2096,'TAR FIN'!$A$1:$O$95,15,0))</f>
        <v>0</v>
      </c>
      <c r="W2096" s="6">
        <f>IF(ISERROR(VLOOKUP($T$2096,'TAR FIN'!$A$1:$O$95,15,0)),0,VLOOKUP($T$2096,'TAR FIN'!$A$1:$O$95,15,0))</f>
        <v>381.34</v>
      </c>
      <c r="X2096" s="6">
        <f>IF(ISERROR(VLOOKUP($U$2096,'TAR FIN'!$A$1:$O$95,15,0)),0,VLOOKUP($U$2096,'TAR FIN'!$A$1:$O$95,15,0))</f>
        <v>230.03</v>
      </c>
      <c r="Y2096" s="6"/>
      <c r="Z2096" s="6">
        <f ca="1">('TUSD BE'!$AM$52+'TUSD BF'!$AM$52+'TUSD CVA'!$AM$52)*1</f>
        <v>429.45298114736829</v>
      </c>
      <c r="AA2096" s="6">
        <f>('TE BE'!$AA$40+'TE BF'!$AA$40+'TE CVA'!$AA$40)*1</f>
        <v>282.91739971702214</v>
      </c>
      <c r="AB2096" s="6">
        <f>$K$2096*$V$2096</f>
        <v>0</v>
      </c>
      <c r="AC2096" s="6">
        <f>$M$2096*$W$2096</f>
        <v>31798.417239999995</v>
      </c>
      <c r="AD2096" s="6">
        <f>$O$2096*$X$2096</f>
        <v>19181.281579999999</v>
      </c>
      <c r="AE2096" s="6">
        <f>$K$2096*$Y$2096</f>
        <v>0</v>
      </c>
      <c r="AF2096" s="6">
        <f ca="1">$M$2096*$Z$2096</f>
        <v>35810.366285954449</v>
      </c>
      <c r="AG2096" s="6">
        <f>$O$2096*$AA$2096</f>
        <v>23591.350292803607</v>
      </c>
    </row>
    <row r="2097" spans="1:33" ht="11.25" customHeight="1" x14ac:dyDescent="0.25">
      <c r="A2097" s="4" t="s">
        <v>27</v>
      </c>
      <c r="B2097" s="4" t="s">
        <v>41</v>
      </c>
      <c r="C2097" s="4" t="s">
        <v>39</v>
      </c>
      <c r="D2097" s="4" t="s">
        <v>45</v>
      </c>
      <c r="E2097" s="4" t="s">
        <v>25</v>
      </c>
      <c r="F2097" s="4" t="s">
        <v>25</v>
      </c>
      <c r="G2097" s="4" t="s">
        <v>25</v>
      </c>
      <c r="H2097" s="4" t="s">
        <v>38</v>
      </c>
      <c r="I2097" s="5">
        <v>44228</v>
      </c>
      <c r="J2097" s="6">
        <v>0</v>
      </c>
      <c r="K2097" s="6">
        <v>0</v>
      </c>
      <c r="L2097" s="6">
        <v>3.8540000000000001</v>
      </c>
      <c r="M2097" s="6">
        <v>3.8540000000000001</v>
      </c>
      <c r="N2097" s="6">
        <v>3.8540000000000001</v>
      </c>
      <c r="O2097" s="6">
        <v>3.8540000000000001</v>
      </c>
      <c r="P2097" s="6">
        <v>0</v>
      </c>
      <c r="Q2097" s="4" t="s">
        <v>26</v>
      </c>
      <c r="R2097" s="4">
        <v>0</v>
      </c>
      <c r="S2097" s="6">
        <v>0</v>
      </c>
      <c r="T2097" s="6">
        <v>71</v>
      </c>
      <c r="U2097" s="6">
        <v>77</v>
      </c>
      <c r="V2097" s="6">
        <f>IF(ISERROR(VLOOKUP($S$2097,'TAR FIN'!$A$1:$O$95,15,0)),0,VLOOKUP($S$2097,'TAR FIN'!$A$1:$O$95,15,0))</f>
        <v>0</v>
      </c>
      <c r="W2097" s="6">
        <f>IF(ISERROR(VLOOKUP($T$2097,'TAR FIN'!$A$1:$O$95,15,0)),0,VLOOKUP($T$2097,'TAR FIN'!$A$1:$O$95,15,0))</f>
        <v>381.34</v>
      </c>
      <c r="X2097" s="6">
        <f>IF(ISERROR(VLOOKUP($U$2097,'TAR FIN'!$A$1:$O$95,15,0)),0,VLOOKUP($U$2097,'TAR FIN'!$A$1:$O$95,15,0))</f>
        <v>230.03</v>
      </c>
      <c r="Y2097" s="6"/>
      <c r="Z2097" s="6">
        <f ca="1">('TUSD BE'!$AM$52+'TUSD BF'!$AM$52+'TUSD CVA'!$AM$52)*1</f>
        <v>429.45298114736829</v>
      </c>
      <c r="AA2097" s="6">
        <f>('TE BE'!$AA$40+'TE BF'!$AA$40+'TE CVA'!$AA$40)*1</f>
        <v>282.91739971702214</v>
      </c>
      <c r="AB2097" s="6">
        <f>$K$2097*$V$2097</f>
        <v>0</v>
      </c>
      <c r="AC2097" s="6">
        <f>$M$2097*$W$2097</f>
        <v>1469.68436</v>
      </c>
      <c r="AD2097" s="6">
        <f>$O$2097*$X$2097</f>
        <v>886.53561999999999</v>
      </c>
      <c r="AE2097" s="6">
        <f>$K$2097*$Y$2097</f>
        <v>0</v>
      </c>
      <c r="AF2097" s="6">
        <f ca="1">$M$2097*$Z$2097</f>
        <v>1655.1117893419575</v>
      </c>
      <c r="AG2097" s="6">
        <f>$O$2097*$AA$2097</f>
        <v>1090.3636585094034</v>
      </c>
    </row>
    <row r="2098" spans="1:33" ht="11.25" customHeight="1" x14ac:dyDescent="0.25">
      <c r="A2098" s="4" t="s">
        <v>28</v>
      </c>
      <c r="B2098" s="4" t="s">
        <v>41</v>
      </c>
      <c r="C2098" s="4" t="s">
        <v>39</v>
      </c>
      <c r="D2098" s="4" t="s">
        <v>45</v>
      </c>
      <c r="E2098" s="4" t="s">
        <v>25</v>
      </c>
      <c r="F2098" s="4" t="s">
        <v>25</v>
      </c>
      <c r="G2098" s="4" t="s">
        <v>25</v>
      </c>
      <c r="H2098" s="4" t="s">
        <v>38</v>
      </c>
      <c r="I2098" s="5">
        <v>44228</v>
      </c>
      <c r="J2098" s="6">
        <v>0</v>
      </c>
      <c r="K2098" s="6">
        <v>0</v>
      </c>
      <c r="L2098" s="6">
        <v>52.39</v>
      </c>
      <c r="M2098" s="6">
        <v>52.39</v>
      </c>
      <c r="N2098" s="6">
        <v>52.39</v>
      </c>
      <c r="O2098" s="6">
        <v>52.39</v>
      </c>
      <c r="P2098" s="6">
        <v>0</v>
      </c>
      <c r="Q2098" s="4" t="s">
        <v>26</v>
      </c>
      <c r="R2098" s="4">
        <v>0</v>
      </c>
      <c r="S2098" s="6">
        <v>0</v>
      </c>
      <c r="T2098" s="6">
        <v>71</v>
      </c>
      <c r="U2098" s="6">
        <v>77</v>
      </c>
      <c r="V2098" s="6">
        <f>IF(ISERROR(VLOOKUP($S$2098,'TAR FIN'!$A$1:$O$95,15,0)),0,VLOOKUP($S$2098,'TAR FIN'!$A$1:$O$95,15,0))</f>
        <v>0</v>
      </c>
      <c r="W2098" s="6">
        <f>IF(ISERROR(VLOOKUP($T$2098,'TAR FIN'!$A$1:$O$95,15,0)),0,VLOOKUP($T$2098,'TAR FIN'!$A$1:$O$95,15,0))</f>
        <v>381.34</v>
      </c>
      <c r="X2098" s="6">
        <f>IF(ISERROR(VLOOKUP($U$2098,'TAR FIN'!$A$1:$O$95,15,0)),0,VLOOKUP($U$2098,'TAR FIN'!$A$1:$O$95,15,0))</f>
        <v>230.03</v>
      </c>
      <c r="Y2098" s="6"/>
      <c r="Z2098" s="6">
        <f ca="1">('TUSD BE'!$AM$52+'TUSD BF'!$AM$52+'TUSD CVA'!$AM$52)*1</f>
        <v>429.45298114736829</v>
      </c>
      <c r="AA2098" s="6">
        <f>('TE BE'!$AA$40+'TE BF'!$AA$40+'TE CVA'!$AA$40)*1</f>
        <v>282.91739971702214</v>
      </c>
      <c r="AB2098" s="6">
        <f>$K$2098*$V$2098</f>
        <v>0</v>
      </c>
      <c r="AC2098" s="6">
        <f>$M$2098*$W$2098</f>
        <v>19978.402599999998</v>
      </c>
      <c r="AD2098" s="6">
        <f>$O$2098*$X$2098</f>
        <v>12051.271699999999</v>
      </c>
      <c r="AE2098" s="6">
        <f>$K$2098*$Y$2098</f>
        <v>0</v>
      </c>
      <c r="AF2098" s="6">
        <f ca="1">$M$2098*$Z$2098</f>
        <v>22499.041682310624</v>
      </c>
      <c r="AG2098" s="6">
        <f>$O$2098*$AA$2098</f>
        <v>14822.04257117479</v>
      </c>
    </row>
    <row r="2099" spans="1:33" ht="11.25" customHeight="1" x14ac:dyDescent="0.25">
      <c r="A2099" s="4" t="s">
        <v>21</v>
      </c>
      <c r="B2099" s="4" t="s">
        <v>41</v>
      </c>
      <c r="C2099" s="4" t="s">
        <v>39</v>
      </c>
      <c r="D2099" s="4" t="s">
        <v>45</v>
      </c>
      <c r="E2099" s="4" t="s">
        <v>25</v>
      </c>
      <c r="F2099" s="4" t="s">
        <v>25</v>
      </c>
      <c r="G2099" s="4" t="s">
        <v>25</v>
      </c>
      <c r="H2099" s="4" t="s">
        <v>38</v>
      </c>
      <c r="I2099" s="5">
        <v>44256</v>
      </c>
      <c r="J2099" s="6">
        <v>0</v>
      </c>
      <c r="K2099" s="6">
        <v>0</v>
      </c>
      <c r="L2099" s="6">
        <v>104.04</v>
      </c>
      <c r="M2099" s="6">
        <v>104.04</v>
      </c>
      <c r="N2099" s="6">
        <v>104.04</v>
      </c>
      <c r="O2099" s="6">
        <v>104.04</v>
      </c>
      <c r="P2099" s="6">
        <v>0</v>
      </c>
      <c r="Q2099" s="4" t="s">
        <v>26</v>
      </c>
      <c r="R2099" s="4">
        <v>0</v>
      </c>
      <c r="S2099" s="6">
        <v>0</v>
      </c>
      <c r="T2099" s="6">
        <v>71</v>
      </c>
      <c r="U2099" s="6">
        <v>77</v>
      </c>
      <c r="V2099" s="6">
        <f>IF(ISERROR(VLOOKUP($S$2099,'TAR FIN'!$A$1:$O$95,15,0)),0,VLOOKUP($S$2099,'TAR FIN'!$A$1:$O$95,15,0))</f>
        <v>0</v>
      </c>
      <c r="W2099" s="6">
        <f>IF(ISERROR(VLOOKUP($T$2099,'TAR FIN'!$A$1:$O$95,15,0)),0,VLOOKUP($T$2099,'TAR FIN'!$A$1:$O$95,15,0))</f>
        <v>381.34</v>
      </c>
      <c r="X2099" s="6">
        <f>IF(ISERROR(VLOOKUP($U$2099,'TAR FIN'!$A$1:$O$95,15,0)),0,VLOOKUP($U$2099,'TAR FIN'!$A$1:$O$95,15,0))</f>
        <v>230.03</v>
      </c>
      <c r="Y2099" s="6"/>
      <c r="Z2099" s="6">
        <f ca="1">('TUSD BE'!$AM$52+'TUSD BF'!$AM$52+'TUSD CVA'!$AM$52)*1</f>
        <v>429.45298114736829</v>
      </c>
      <c r="AA2099" s="6">
        <f>('TE BE'!$AA$40+'TE BF'!$AA$40+'TE CVA'!$AA$40)*1</f>
        <v>282.91739971702214</v>
      </c>
      <c r="AB2099" s="6">
        <f>$K$2099*$V$2099</f>
        <v>0</v>
      </c>
      <c r="AC2099" s="6">
        <f>$M$2099*$W$2099</f>
        <v>39674.613599999997</v>
      </c>
      <c r="AD2099" s="6">
        <f>$O$2099*$X$2099</f>
        <v>23932.321200000002</v>
      </c>
      <c r="AE2099" s="6">
        <f>$K$2099*$Y$2099</f>
        <v>0</v>
      </c>
      <c r="AF2099" s="6">
        <f ca="1">$M$2099*$Z$2099</f>
        <v>44680.288158572199</v>
      </c>
      <c r="AG2099" s="6">
        <f>$O$2099*$AA$2099</f>
        <v>29434.726266558984</v>
      </c>
    </row>
    <row r="2100" spans="1:33" ht="11.25" customHeight="1" x14ac:dyDescent="0.25">
      <c r="A2100" s="4" t="s">
        <v>27</v>
      </c>
      <c r="B2100" s="4" t="s">
        <v>41</v>
      </c>
      <c r="C2100" s="4" t="s">
        <v>39</v>
      </c>
      <c r="D2100" s="4" t="s">
        <v>45</v>
      </c>
      <c r="E2100" s="4" t="s">
        <v>25</v>
      </c>
      <c r="F2100" s="4" t="s">
        <v>25</v>
      </c>
      <c r="G2100" s="4" t="s">
        <v>25</v>
      </c>
      <c r="H2100" s="4" t="s">
        <v>38</v>
      </c>
      <c r="I2100" s="5">
        <v>44256</v>
      </c>
      <c r="J2100" s="6">
        <v>0</v>
      </c>
      <c r="K2100" s="6">
        <v>0</v>
      </c>
      <c r="L2100" s="6">
        <v>-0.41099999999999998</v>
      </c>
      <c r="M2100" s="6">
        <v>-0.41099999999999998</v>
      </c>
      <c r="N2100" s="6">
        <v>-0.41099999999999998</v>
      </c>
      <c r="O2100" s="6">
        <v>-0.41099999999999998</v>
      </c>
      <c r="P2100" s="6">
        <v>0</v>
      </c>
      <c r="Q2100" s="4" t="s">
        <v>26</v>
      </c>
      <c r="R2100" s="4">
        <v>0</v>
      </c>
      <c r="S2100" s="6">
        <v>0</v>
      </c>
      <c r="T2100" s="6">
        <v>71</v>
      </c>
      <c r="U2100" s="6">
        <v>77</v>
      </c>
      <c r="V2100" s="6">
        <f>IF(ISERROR(VLOOKUP($S$2100,'TAR FIN'!$A$1:$O$95,15,0)),0,VLOOKUP($S$2100,'TAR FIN'!$A$1:$O$95,15,0))</f>
        <v>0</v>
      </c>
      <c r="W2100" s="6">
        <f>IF(ISERROR(VLOOKUP($T$2100,'TAR FIN'!$A$1:$O$95,15,0)),0,VLOOKUP($T$2100,'TAR FIN'!$A$1:$O$95,15,0))</f>
        <v>381.34</v>
      </c>
      <c r="X2100" s="6">
        <f>IF(ISERROR(VLOOKUP($U$2100,'TAR FIN'!$A$1:$O$95,15,0)),0,VLOOKUP($U$2100,'TAR FIN'!$A$1:$O$95,15,0))</f>
        <v>230.03</v>
      </c>
      <c r="Y2100" s="6"/>
      <c r="Z2100" s="6">
        <f ca="1">('TUSD BE'!$AM$52+'TUSD BF'!$AM$52+'TUSD CVA'!$AM$52)*1</f>
        <v>429.45298114736829</v>
      </c>
      <c r="AA2100" s="6">
        <f>('TE BE'!$AA$40+'TE BF'!$AA$40+'TE CVA'!$AA$40)*1</f>
        <v>282.91739971702214</v>
      </c>
      <c r="AB2100" s="6">
        <f>$K$2100*$V$2100</f>
        <v>0</v>
      </c>
      <c r="AC2100" s="6">
        <f>$M$2100*$W$2100</f>
        <v>-156.73073999999997</v>
      </c>
      <c r="AD2100" s="6">
        <f>$O$2100*$X$2100</f>
        <v>-94.542329999999993</v>
      </c>
      <c r="AE2100" s="6">
        <f>$K$2100*$Y$2100</f>
        <v>0</v>
      </c>
      <c r="AF2100" s="6">
        <f ca="1">$M$2100*$Z$2100</f>
        <v>-176.50517525156835</v>
      </c>
      <c r="AG2100" s="6">
        <f>$O$2100*$AA$2100</f>
        <v>-116.27905128369609</v>
      </c>
    </row>
    <row r="2101" spans="1:33" ht="11.25" customHeight="1" x14ac:dyDescent="0.25">
      <c r="A2101" s="4" t="s">
        <v>28</v>
      </c>
      <c r="B2101" s="4" t="s">
        <v>41</v>
      </c>
      <c r="C2101" s="4" t="s">
        <v>39</v>
      </c>
      <c r="D2101" s="4" t="s">
        <v>45</v>
      </c>
      <c r="E2101" s="4" t="s">
        <v>25</v>
      </c>
      <c r="F2101" s="4" t="s">
        <v>25</v>
      </c>
      <c r="G2101" s="4" t="s">
        <v>25</v>
      </c>
      <c r="H2101" s="4" t="s">
        <v>38</v>
      </c>
      <c r="I2101" s="5">
        <v>44256</v>
      </c>
      <c r="J2101" s="6">
        <v>0</v>
      </c>
      <c r="K2101" s="6">
        <v>0</v>
      </c>
      <c r="L2101" s="6">
        <v>51.725999999999999</v>
      </c>
      <c r="M2101" s="6">
        <v>51.725999999999999</v>
      </c>
      <c r="N2101" s="6">
        <v>51.725999999999999</v>
      </c>
      <c r="O2101" s="6">
        <v>51.725999999999999</v>
      </c>
      <c r="P2101" s="6">
        <v>0</v>
      </c>
      <c r="Q2101" s="4" t="s">
        <v>26</v>
      </c>
      <c r="R2101" s="4">
        <v>0</v>
      </c>
      <c r="S2101" s="6">
        <v>0</v>
      </c>
      <c r="T2101" s="6">
        <v>71</v>
      </c>
      <c r="U2101" s="6">
        <v>77</v>
      </c>
      <c r="V2101" s="6">
        <f>IF(ISERROR(VLOOKUP($S$2101,'TAR FIN'!$A$1:$O$95,15,0)),0,VLOOKUP($S$2101,'TAR FIN'!$A$1:$O$95,15,0))</f>
        <v>0</v>
      </c>
      <c r="W2101" s="6">
        <f>IF(ISERROR(VLOOKUP($T$2101,'TAR FIN'!$A$1:$O$95,15,0)),0,VLOOKUP($T$2101,'TAR FIN'!$A$1:$O$95,15,0))</f>
        <v>381.34</v>
      </c>
      <c r="X2101" s="6">
        <f>IF(ISERROR(VLOOKUP($U$2101,'TAR FIN'!$A$1:$O$95,15,0)),0,VLOOKUP($U$2101,'TAR FIN'!$A$1:$O$95,15,0))</f>
        <v>230.03</v>
      </c>
      <c r="Y2101" s="6"/>
      <c r="Z2101" s="6">
        <f ca="1">('TUSD BE'!$AM$52+'TUSD BF'!$AM$52+'TUSD CVA'!$AM$52)*1</f>
        <v>429.45298114736829</v>
      </c>
      <c r="AA2101" s="6">
        <f>('TE BE'!$AA$40+'TE BF'!$AA$40+'TE CVA'!$AA$40)*1</f>
        <v>282.91739971702214</v>
      </c>
      <c r="AB2101" s="6">
        <f>$K$2101*$V$2101</f>
        <v>0</v>
      </c>
      <c r="AC2101" s="6">
        <f>$M$2101*$W$2101</f>
        <v>19725.19284</v>
      </c>
      <c r="AD2101" s="6">
        <f>$O$2101*$X$2101</f>
        <v>11898.531779999999</v>
      </c>
      <c r="AE2101" s="6">
        <f>$K$2101*$Y$2101</f>
        <v>0</v>
      </c>
      <c r="AF2101" s="6">
        <f ca="1">$M$2101*$Z$2101</f>
        <v>22213.884902828773</v>
      </c>
      <c r="AG2101" s="6">
        <f>$O$2101*$AA$2101</f>
        <v>14634.185417762686</v>
      </c>
    </row>
    <row r="2102" spans="1:33" ht="11.25" customHeight="1" x14ac:dyDescent="0.25">
      <c r="A2102" s="4" t="s">
        <v>29</v>
      </c>
      <c r="B2102" s="4" t="s">
        <v>41</v>
      </c>
      <c r="C2102" s="4" t="s">
        <v>39</v>
      </c>
      <c r="D2102" s="4" t="s">
        <v>45</v>
      </c>
      <c r="E2102" s="4" t="s">
        <v>25</v>
      </c>
      <c r="F2102" s="4" t="s">
        <v>25</v>
      </c>
      <c r="G2102" s="4" t="s">
        <v>25</v>
      </c>
      <c r="H2102" s="4" t="s">
        <v>38</v>
      </c>
      <c r="I2102" s="5">
        <v>44256</v>
      </c>
      <c r="J2102" s="6">
        <v>0</v>
      </c>
      <c r="K2102" s="6">
        <v>0</v>
      </c>
      <c r="L2102" s="6">
        <v>-3.3220000000000001</v>
      </c>
      <c r="M2102" s="6">
        <v>-3.3220000000000001</v>
      </c>
      <c r="N2102" s="6">
        <v>-3.3220000000000001</v>
      </c>
      <c r="O2102" s="6">
        <v>-3.3220000000000001</v>
      </c>
      <c r="P2102" s="6">
        <v>0</v>
      </c>
      <c r="Q2102" s="4" t="s">
        <v>26</v>
      </c>
      <c r="R2102" s="4">
        <v>0</v>
      </c>
      <c r="S2102" s="6">
        <v>0</v>
      </c>
      <c r="T2102" s="6">
        <v>71</v>
      </c>
      <c r="U2102" s="6">
        <v>77</v>
      </c>
      <c r="V2102" s="6">
        <f>IF(ISERROR(VLOOKUP($S$2102,'TAR FIN'!$A$1:$O$95,15,0)),0,VLOOKUP($S$2102,'TAR FIN'!$A$1:$O$95,15,0))</f>
        <v>0</v>
      </c>
      <c r="W2102" s="6">
        <f>IF(ISERROR(VLOOKUP($T$2102,'TAR FIN'!$A$1:$O$95,15,0)),0,VLOOKUP($T$2102,'TAR FIN'!$A$1:$O$95,15,0))</f>
        <v>381.34</v>
      </c>
      <c r="X2102" s="6">
        <f>IF(ISERROR(VLOOKUP($U$2102,'TAR FIN'!$A$1:$O$95,15,0)),0,VLOOKUP($U$2102,'TAR FIN'!$A$1:$O$95,15,0))</f>
        <v>230.03</v>
      </c>
      <c r="Y2102" s="6"/>
      <c r="Z2102" s="6">
        <f ca="1">('TUSD BE'!$AM$52+'TUSD BF'!$AM$52+'TUSD CVA'!$AM$52)*1</f>
        <v>429.45298114736829</v>
      </c>
      <c r="AA2102" s="6">
        <f>('TE BE'!$AA$40+'TE BF'!$AA$40+'TE CVA'!$AA$40)*1</f>
        <v>282.91739971702214</v>
      </c>
      <c r="AB2102" s="6">
        <f>$K$2102*$V$2102</f>
        <v>0</v>
      </c>
      <c r="AC2102" s="6">
        <f>$M$2102*$W$2102</f>
        <v>-1266.8114799999998</v>
      </c>
      <c r="AD2102" s="6">
        <f>$O$2102*$X$2102</f>
        <v>-764.15966000000003</v>
      </c>
      <c r="AE2102" s="6">
        <f>$K$2102*$Y$2102</f>
        <v>0</v>
      </c>
      <c r="AF2102" s="6">
        <f ca="1">$M$2102*$Z$2102</f>
        <v>-1426.6428033715574</v>
      </c>
      <c r="AG2102" s="6">
        <f>$O$2102*$AA$2102</f>
        <v>-939.85160185994755</v>
      </c>
    </row>
    <row r="2103" spans="1:33" ht="11.25" customHeight="1" x14ac:dyDescent="0.25">
      <c r="A2103" s="4" t="s">
        <v>21</v>
      </c>
      <c r="B2103" s="4" t="s">
        <v>41</v>
      </c>
      <c r="C2103" s="4" t="s">
        <v>39</v>
      </c>
      <c r="D2103" s="4" t="s">
        <v>45</v>
      </c>
      <c r="E2103" s="4" t="s">
        <v>25</v>
      </c>
      <c r="F2103" s="4" t="s">
        <v>25</v>
      </c>
      <c r="G2103" s="4" t="s">
        <v>25</v>
      </c>
      <c r="H2103" s="4" t="s">
        <v>38</v>
      </c>
      <c r="I2103" s="5">
        <v>44287</v>
      </c>
      <c r="J2103" s="6">
        <v>0</v>
      </c>
      <c r="K2103" s="6">
        <v>0</v>
      </c>
      <c r="L2103" s="6">
        <v>100.50700000000001</v>
      </c>
      <c r="M2103" s="6">
        <v>100.50700000000001</v>
      </c>
      <c r="N2103" s="6">
        <v>100.50700000000001</v>
      </c>
      <c r="O2103" s="6">
        <v>100.50700000000001</v>
      </c>
      <c r="P2103" s="6">
        <v>0</v>
      </c>
      <c r="Q2103" s="4" t="s">
        <v>26</v>
      </c>
      <c r="R2103" s="4">
        <v>0</v>
      </c>
      <c r="S2103" s="6">
        <v>0</v>
      </c>
      <c r="T2103" s="6">
        <v>71</v>
      </c>
      <c r="U2103" s="6">
        <v>77</v>
      </c>
      <c r="V2103" s="6">
        <f>IF(ISERROR(VLOOKUP($S$2103,'TAR FIN'!$A$1:$O$95,15,0)),0,VLOOKUP($S$2103,'TAR FIN'!$A$1:$O$95,15,0))</f>
        <v>0</v>
      </c>
      <c r="W2103" s="6">
        <f>IF(ISERROR(VLOOKUP($T$2103,'TAR FIN'!$A$1:$O$95,15,0)),0,VLOOKUP($T$2103,'TAR FIN'!$A$1:$O$95,15,0))</f>
        <v>381.34</v>
      </c>
      <c r="X2103" s="6">
        <f>IF(ISERROR(VLOOKUP($U$2103,'TAR FIN'!$A$1:$O$95,15,0)),0,VLOOKUP($U$2103,'TAR FIN'!$A$1:$O$95,15,0))</f>
        <v>230.03</v>
      </c>
      <c r="Y2103" s="6"/>
      <c r="Z2103" s="6">
        <f ca="1">('TUSD BE'!$AM$52+'TUSD BF'!$AM$52+'TUSD CVA'!$AM$52)*1</f>
        <v>429.45298114736829</v>
      </c>
      <c r="AA2103" s="6">
        <f>('TE BE'!$AA$40+'TE BF'!$AA$40+'TE CVA'!$AA$40)*1</f>
        <v>282.91739971702214</v>
      </c>
      <c r="AB2103" s="6">
        <f>$K$2103*$V$2103</f>
        <v>0</v>
      </c>
      <c r="AC2103" s="6">
        <f>$M$2103*$W$2103</f>
        <v>38327.339379999998</v>
      </c>
      <c r="AD2103" s="6">
        <f>$O$2103*$X$2103</f>
        <v>23119.625210000002</v>
      </c>
      <c r="AE2103" s="6">
        <f>$K$2103*$Y$2103</f>
        <v>0</v>
      </c>
      <c r="AF2103" s="6">
        <f ca="1">$M$2103*$Z$2103</f>
        <v>43163.030776178544</v>
      </c>
      <c r="AG2103" s="6">
        <f>$O$2103*$AA$2103</f>
        <v>28435.179093358744</v>
      </c>
    </row>
    <row r="2104" spans="1:33" ht="11.25" customHeight="1" x14ac:dyDescent="0.25">
      <c r="A2104" s="4" t="s">
        <v>28</v>
      </c>
      <c r="B2104" s="4" t="s">
        <v>41</v>
      </c>
      <c r="C2104" s="4" t="s">
        <v>39</v>
      </c>
      <c r="D2104" s="4" t="s">
        <v>45</v>
      </c>
      <c r="E2104" s="4" t="s">
        <v>25</v>
      </c>
      <c r="F2104" s="4" t="s">
        <v>25</v>
      </c>
      <c r="G2104" s="4" t="s">
        <v>25</v>
      </c>
      <c r="H2104" s="4" t="s">
        <v>38</v>
      </c>
      <c r="I2104" s="5">
        <v>44287</v>
      </c>
      <c r="J2104" s="6">
        <v>0</v>
      </c>
      <c r="K2104" s="6">
        <v>0</v>
      </c>
      <c r="L2104" s="6">
        <v>57.088000000000001</v>
      </c>
      <c r="M2104" s="6">
        <v>57.088000000000001</v>
      </c>
      <c r="N2104" s="6">
        <v>57.088000000000001</v>
      </c>
      <c r="O2104" s="6">
        <v>57.088000000000001</v>
      </c>
      <c r="P2104" s="6">
        <v>0</v>
      </c>
      <c r="Q2104" s="4" t="s">
        <v>26</v>
      </c>
      <c r="R2104" s="4">
        <v>0</v>
      </c>
      <c r="S2104" s="6">
        <v>0</v>
      </c>
      <c r="T2104" s="6">
        <v>71</v>
      </c>
      <c r="U2104" s="6">
        <v>77</v>
      </c>
      <c r="V2104" s="6">
        <f>IF(ISERROR(VLOOKUP($S$2104,'TAR FIN'!$A$1:$O$95,15,0)),0,VLOOKUP($S$2104,'TAR FIN'!$A$1:$O$95,15,0))</f>
        <v>0</v>
      </c>
      <c r="W2104" s="6">
        <f>IF(ISERROR(VLOOKUP($T$2104,'TAR FIN'!$A$1:$O$95,15,0)),0,VLOOKUP($T$2104,'TAR FIN'!$A$1:$O$95,15,0))</f>
        <v>381.34</v>
      </c>
      <c r="X2104" s="6">
        <f>IF(ISERROR(VLOOKUP($U$2104,'TAR FIN'!$A$1:$O$95,15,0)),0,VLOOKUP($U$2104,'TAR FIN'!$A$1:$O$95,15,0))</f>
        <v>230.03</v>
      </c>
      <c r="Y2104" s="6"/>
      <c r="Z2104" s="6">
        <f ca="1">('TUSD BE'!$AM$52+'TUSD BF'!$AM$52+'TUSD CVA'!$AM$52)*1</f>
        <v>429.45298114736829</v>
      </c>
      <c r="AA2104" s="6">
        <f>('TE BE'!$AA$40+'TE BF'!$AA$40+'TE CVA'!$AA$40)*1</f>
        <v>282.91739971702214</v>
      </c>
      <c r="AB2104" s="6">
        <f>$K$2104*$V$2104</f>
        <v>0</v>
      </c>
      <c r="AC2104" s="6">
        <f>$M$2104*$W$2104</f>
        <v>21769.93792</v>
      </c>
      <c r="AD2104" s="6">
        <f>$O$2104*$X$2104</f>
        <v>13131.95264</v>
      </c>
      <c r="AE2104" s="6">
        <f>$K$2104*$Y$2104</f>
        <v>0</v>
      </c>
      <c r="AF2104" s="6">
        <f ca="1">$M$2104*$Z$2104</f>
        <v>24516.61178774096</v>
      </c>
      <c r="AG2104" s="6">
        <f>$O$2104*$AA$2104</f>
        <v>16151.18851504536</v>
      </c>
    </row>
    <row r="2105" spans="1:33" ht="11.25" customHeight="1" x14ac:dyDescent="0.25">
      <c r="A2105" s="4" t="s">
        <v>21</v>
      </c>
      <c r="B2105" s="4" t="s">
        <v>41</v>
      </c>
      <c r="C2105" s="4" t="s">
        <v>39</v>
      </c>
      <c r="D2105" s="4" t="s">
        <v>45</v>
      </c>
      <c r="E2105" s="4" t="s">
        <v>25</v>
      </c>
      <c r="F2105" s="4" t="s">
        <v>25</v>
      </c>
      <c r="G2105" s="4" t="s">
        <v>25</v>
      </c>
      <c r="H2105" s="4" t="s">
        <v>38</v>
      </c>
      <c r="I2105" s="5">
        <v>44317</v>
      </c>
      <c r="J2105" s="6">
        <v>0</v>
      </c>
      <c r="K2105" s="6">
        <v>0</v>
      </c>
      <c r="L2105" s="6">
        <v>106.884</v>
      </c>
      <c r="M2105" s="6">
        <v>106.884</v>
      </c>
      <c r="N2105" s="6">
        <v>106.884</v>
      </c>
      <c r="O2105" s="6">
        <v>106.884</v>
      </c>
      <c r="P2105" s="6">
        <v>0</v>
      </c>
      <c r="Q2105" s="4" t="s">
        <v>26</v>
      </c>
      <c r="R2105" s="4">
        <v>0</v>
      </c>
      <c r="S2105" s="6">
        <v>0</v>
      </c>
      <c r="T2105" s="6">
        <v>71</v>
      </c>
      <c r="U2105" s="6">
        <v>77</v>
      </c>
      <c r="V2105" s="6">
        <f>IF(ISERROR(VLOOKUP($S$2105,'TAR FIN'!$A$1:$O$95,15,0)),0,VLOOKUP($S$2105,'TAR FIN'!$A$1:$O$95,15,0))</f>
        <v>0</v>
      </c>
      <c r="W2105" s="6">
        <f>IF(ISERROR(VLOOKUP($T$2105,'TAR FIN'!$A$1:$O$95,15,0)),0,VLOOKUP($T$2105,'TAR FIN'!$A$1:$O$95,15,0))</f>
        <v>381.34</v>
      </c>
      <c r="X2105" s="6">
        <f>IF(ISERROR(VLOOKUP($U$2105,'TAR FIN'!$A$1:$O$95,15,0)),0,VLOOKUP($U$2105,'TAR FIN'!$A$1:$O$95,15,0))</f>
        <v>230.03</v>
      </c>
      <c r="Y2105" s="6"/>
      <c r="Z2105" s="6">
        <f ca="1">('TUSD BE'!$AM$52+'TUSD BF'!$AM$52+'TUSD CVA'!$AM$52)*1</f>
        <v>429.45298114736829</v>
      </c>
      <c r="AA2105" s="6">
        <f>('TE BE'!$AA$40+'TE BF'!$AA$40+'TE CVA'!$AA$40)*1</f>
        <v>282.91739971702214</v>
      </c>
      <c r="AB2105" s="6">
        <f>$K$2105*$V$2105</f>
        <v>0</v>
      </c>
      <c r="AC2105" s="6">
        <f>$M$2105*$W$2105</f>
        <v>40759.144560000001</v>
      </c>
      <c r="AD2105" s="6">
        <f>$O$2105*$X$2105</f>
        <v>24586.526519999999</v>
      </c>
      <c r="AE2105" s="6">
        <f>$K$2105*$Y$2105</f>
        <v>0</v>
      </c>
      <c r="AF2105" s="6">
        <f ca="1">$M$2105*$Z$2105</f>
        <v>45901.652436955315</v>
      </c>
      <c r="AG2105" s="6">
        <f>$O$2105*$AA$2105</f>
        <v>30239.343351354193</v>
      </c>
    </row>
    <row r="2106" spans="1:33" ht="11.25" customHeight="1" x14ac:dyDescent="0.25">
      <c r="A2106" s="4" t="s">
        <v>28</v>
      </c>
      <c r="B2106" s="4" t="s">
        <v>41</v>
      </c>
      <c r="C2106" s="4" t="s">
        <v>39</v>
      </c>
      <c r="D2106" s="4" t="s">
        <v>45</v>
      </c>
      <c r="E2106" s="4" t="s">
        <v>25</v>
      </c>
      <c r="F2106" s="4" t="s">
        <v>25</v>
      </c>
      <c r="G2106" s="4" t="s">
        <v>25</v>
      </c>
      <c r="H2106" s="4" t="s">
        <v>38</v>
      </c>
      <c r="I2106" s="5">
        <v>44317</v>
      </c>
      <c r="J2106" s="6">
        <v>0</v>
      </c>
      <c r="K2106" s="6">
        <v>0</v>
      </c>
      <c r="L2106" s="6">
        <v>57.277000000000001</v>
      </c>
      <c r="M2106" s="6">
        <v>57.277000000000001</v>
      </c>
      <c r="N2106" s="6">
        <v>57.277000000000001</v>
      </c>
      <c r="O2106" s="6">
        <v>57.277000000000001</v>
      </c>
      <c r="P2106" s="6">
        <v>0</v>
      </c>
      <c r="Q2106" s="4" t="s">
        <v>26</v>
      </c>
      <c r="R2106" s="4">
        <v>0</v>
      </c>
      <c r="S2106" s="6">
        <v>0</v>
      </c>
      <c r="T2106" s="6">
        <v>71</v>
      </c>
      <c r="U2106" s="6">
        <v>77</v>
      </c>
      <c r="V2106" s="6">
        <f>IF(ISERROR(VLOOKUP($S$2106,'TAR FIN'!$A$1:$O$95,15,0)),0,VLOOKUP($S$2106,'TAR FIN'!$A$1:$O$95,15,0))</f>
        <v>0</v>
      </c>
      <c r="W2106" s="6">
        <f>IF(ISERROR(VLOOKUP($T$2106,'TAR FIN'!$A$1:$O$95,15,0)),0,VLOOKUP($T$2106,'TAR FIN'!$A$1:$O$95,15,0))</f>
        <v>381.34</v>
      </c>
      <c r="X2106" s="6">
        <f>IF(ISERROR(VLOOKUP($U$2106,'TAR FIN'!$A$1:$O$95,15,0)),0,VLOOKUP($U$2106,'TAR FIN'!$A$1:$O$95,15,0))</f>
        <v>230.03</v>
      </c>
      <c r="Y2106" s="6"/>
      <c r="Z2106" s="6">
        <f ca="1">('TUSD BE'!$AM$52+'TUSD BF'!$AM$52+'TUSD CVA'!$AM$52)*1</f>
        <v>429.45298114736829</v>
      </c>
      <c r="AA2106" s="6">
        <f>('TE BE'!$AA$40+'TE BF'!$AA$40+'TE CVA'!$AA$40)*1</f>
        <v>282.91739971702214</v>
      </c>
      <c r="AB2106" s="6">
        <f>$K$2106*$V$2106</f>
        <v>0</v>
      </c>
      <c r="AC2106" s="6">
        <f>$M$2106*$W$2106</f>
        <v>21842.011179999998</v>
      </c>
      <c r="AD2106" s="6">
        <f>$O$2106*$X$2106</f>
        <v>13175.428310000001</v>
      </c>
      <c r="AE2106" s="6">
        <f>$K$2106*$Y$2106</f>
        <v>0</v>
      </c>
      <c r="AF2106" s="6">
        <f ca="1">$M$2106*$Z$2106</f>
        <v>24597.778401177813</v>
      </c>
      <c r="AG2106" s="6">
        <f>$O$2106*$AA$2106</f>
        <v>16204.659903591877</v>
      </c>
    </row>
    <row r="2107" spans="1:33" ht="11.25" customHeight="1" x14ac:dyDescent="0.25">
      <c r="A2107" s="4" t="s">
        <v>21</v>
      </c>
      <c r="B2107" s="4" t="s">
        <v>41</v>
      </c>
      <c r="C2107" s="4" t="s">
        <v>39</v>
      </c>
      <c r="D2107" s="4" t="s">
        <v>45</v>
      </c>
      <c r="E2107" s="4" t="s">
        <v>25</v>
      </c>
      <c r="F2107" s="4" t="s">
        <v>25</v>
      </c>
      <c r="G2107" s="4" t="s">
        <v>25</v>
      </c>
      <c r="H2107" s="4" t="s">
        <v>38</v>
      </c>
      <c r="I2107" s="5">
        <v>44348</v>
      </c>
      <c r="J2107" s="6">
        <v>0</v>
      </c>
      <c r="K2107" s="6">
        <v>0</v>
      </c>
      <c r="L2107" s="6">
        <v>108.539</v>
      </c>
      <c r="M2107" s="6">
        <v>108.539</v>
      </c>
      <c r="N2107" s="6">
        <v>108.539</v>
      </c>
      <c r="O2107" s="6">
        <v>108.539</v>
      </c>
      <c r="P2107" s="6">
        <v>0</v>
      </c>
      <c r="Q2107" s="4" t="s">
        <v>26</v>
      </c>
      <c r="R2107" s="4">
        <v>0</v>
      </c>
      <c r="S2107" s="6">
        <v>0</v>
      </c>
      <c r="T2107" s="6">
        <v>71</v>
      </c>
      <c r="U2107" s="6">
        <v>77</v>
      </c>
      <c r="V2107" s="6">
        <f>IF(ISERROR(VLOOKUP($S$2107,'TAR FIN'!$A$1:$O$95,15,0)),0,VLOOKUP($S$2107,'TAR FIN'!$A$1:$O$95,15,0))</f>
        <v>0</v>
      </c>
      <c r="W2107" s="6">
        <f>IF(ISERROR(VLOOKUP($T$2107,'TAR FIN'!$A$1:$O$95,15,0)),0,VLOOKUP($T$2107,'TAR FIN'!$A$1:$O$95,15,0))</f>
        <v>381.34</v>
      </c>
      <c r="X2107" s="6">
        <f>IF(ISERROR(VLOOKUP($U$2107,'TAR FIN'!$A$1:$O$95,15,0)),0,VLOOKUP($U$2107,'TAR FIN'!$A$1:$O$95,15,0))</f>
        <v>230.03</v>
      </c>
      <c r="Y2107" s="6"/>
      <c r="Z2107" s="6">
        <f ca="1">('TUSD BE'!$AM$52+'TUSD BF'!$AM$52+'TUSD CVA'!$AM$52)*1</f>
        <v>429.45298114736829</v>
      </c>
      <c r="AA2107" s="6">
        <f>('TE BE'!$AA$40+'TE BF'!$AA$40+'TE CVA'!$AA$40)*1</f>
        <v>282.91739971702214</v>
      </c>
      <c r="AB2107" s="6">
        <f>$K$2107*$V$2107</f>
        <v>0</v>
      </c>
      <c r="AC2107" s="6">
        <f>$M$2107*$W$2107</f>
        <v>41390.262259999996</v>
      </c>
      <c r="AD2107" s="6">
        <f>$O$2107*$X$2107</f>
        <v>24967.226170000002</v>
      </c>
      <c r="AE2107" s="6">
        <f>$K$2107*$Y$2107</f>
        <v>0</v>
      </c>
      <c r="AF2107" s="6">
        <f ca="1">$M$2107*$Z$2107</f>
        <v>46612.397120754205</v>
      </c>
      <c r="AG2107" s="6">
        <f>$O$2107*$AA$2107</f>
        <v>30707.571647885867</v>
      </c>
    </row>
    <row r="2108" spans="1:33" ht="11.25" customHeight="1" x14ac:dyDescent="0.25">
      <c r="A2108" s="4" t="s">
        <v>28</v>
      </c>
      <c r="B2108" s="4" t="s">
        <v>41</v>
      </c>
      <c r="C2108" s="4" t="s">
        <v>39</v>
      </c>
      <c r="D2108" s="4" t="s">
        <v>45</v>
      </c>
      <c r="E2108" s="4" t="s">
        <v>25</v>
      </c>
      <c r="F2108" s="4" t="s">
        <v>25</v>
      </c>
      <c r="G2108" s="4" t="s">
        <v>25</v>
      </c>
      <c r="H2108" s="4" t="s">
        <v>38</v>
      </c>
      <c r="I2108" s="5">
        <v>44348</v>
      </c>
      <c r="J2108" s="6">
        <v>0</v>
      </c>
      <c r="K2108" s="6">
        <v>0</v>
      </c>
      <c r="L2108" s="6">
        <v>61.137999999999998</v>
      </c>
      <c r="M2108" s="6">
        <v>61.137999999999998</v>
      </c>
      <c r="N2108" s="6">
        <v>61.137999999999998</v>
      </c>
      <c r="O2108" s="6">
        <v>61.137999999999998</v>
      </c>
      <c r="P2108" s="6">
        <v>0</v>
      </c>
      <c r="Q2108" s="4" t="s">
        <v>26</v>
      </c>
      <c r="R2108" s="4">
        <v>0</v>
      </c>
      <c r="S2108" s="6">
        <v>0</v>
      </c>
      <c r="T2108" s="6">
        <v>71</v>
      </c>
      <c r="U2108" s="6">
        <v>77</v>
      </c>
      <c r="V2108" s="6">
        <f>IF(ISERROR(VLOOKUP($S$2108,'TAR FIN'!$A$1:$O$95,15,0)),0,VLOOKUP($S$2108,'TAR FIN'!$A$1:$O$95,15,0))</f>
        <v>0</v>
      </c>
      <c r="W2108" s="6">
        <f>IF(ISERROR(VLOOKUP($T$2108,'TAR FIN'!$A$1:$O$95,15,0)),0,VLOOKUP($T$2108,'TAR FIN'!$A$1:$O$95,15,0))</f>
        <v>381.34</v>
      </c>
      <c r="X2108" s="6">
        <f>IF(ISERROR(VLOOKUP($U$2108,'TAR FIN'!$A$1:$O$95,15,0)),0,VLOOKUP($U$2108,'TAR FIN'!$A$1:$O$95,15,0))</f>
        <v>230.03</v>
      </c>
      <c r="Y2108" s="6"/>
      <c r="Z2108" s="6">
        <f ca="1">('TUSD BE'!$AM$52+'TUSD BF'!$AM$52+'TUSD CVA'!$AM$52)*1</f>
        <v>429.45298114736829</v>
      </c>
      <c r="AA2108" s="6">
        <f>('TE BE'!$AA$40+'TE BF'!$AA$40+'TE CVA'!$AA$40)*1</f>
        <v>282.91739971702214</v>
      </c>
      <c r="AB2108" s="6">
        <f>$K$2108*$V$2108</f>
        <v>0</v>
      </c>
      <c r="AC2108" s="6">
        <f>$M$2108*$W$2108</f>
        <v>23314.364919999996</v>
      </c>
      <c r="AD2108" s="6">
        <f>$O$2108*$X$2108</f>
        <v>14063.574139999999</v>
      </c>
      <c r="AE2108" s="6">
        <f>$K$2108*$Y$2108</f>
        <v>0</v>
      </c>
      <c r="AF2108" s="6">
        <f ca="1">$M$2108*$Z$2108</f>
        <v>26255.8963613878</v>
      </c>
      <c r="AG2108" s="6">
        <f>$O$2108*$AA$2108</f>
        <v>17297.0039838993</v>
      </c>
    </row>
    <row r="2109" spans="1:33" ht="11.25" customHeight="1" x14ac:dyDescent="0.25">
      <c r="A2109" s="4" t="s">
        <v>21</v>
      </c>
      <c r="B2109" s="4" t="s">
        <v>41</v>
      </c>
      <c r="C2109" s="4" t="s">
        <v>39</v>
      </c>
      <c r="D2109" s="4" t="s">
        <v>45</v>
      </c>
      <c r="E2109" s="4" t="s">
        <v>25</v>
      </c>
      <c r="F2109" s="4" t="s">
        <v>25</v>
      </c>
      <c r="G2109" s="4" t="s">
        <v>25</v>
      </c>
      <c r="H2109" s="4" t="s">
        <v>38</v>
      </c>
      <c r="I2109" s="5">
        <v>44378</v>
      </c>
      <c r="J2109" s="6">
        <v>0</v>
      </c>
      <c r="K2109" s="6">
        <v>0</v>
      </c>
      <c r="L2109" s="6">
        <v>107.358</v>
      </c>
      <c r="M2109" s="6">
        <v>107.358</v>
      </c>
      <c r="N2109" s="6">
        <v>107.358</v>
      </c>
      <c r="O2109" s="6">
        <v>107.358</v>
      </c>
      <c r="P2109" s="6">
        <v>0</v>
      </c>
      <c r="Q2109" s="4" t="s">
        <v>26</v>
      </c>
      <c r="R2109" s="4">
        <v>0</v>
      </c>
      <c r="S2109" s="6">
        <v>0</v>
      </c>
      <c r="T2109" s="6">
        <v>71</v>
      </c>
      <c r="U2109" s="6">
        <v>77</v>
      </c>
      <c r="V2109" s="6">
        <f>IF(ISERROR(VLOOKUP($S$2109,'TAR FIN'!$A$1:$O$95,15,0)),0,VLOOKUP($S$2109,'TAR FIN'!$A$1:$O$95,15,0))</f>
        <v>0</v>
      </c>
      <c r="W2109" s="6">
        <f>IF(ISERROR(VLOOKUP($T$2109,'TAR FIN'!$A$1:$O$95,15,0)),0,VLOOKUP($T$2109,'TAR FIN'!$A$1:$O$95,15,0))</f>
        <v>381.34</v>
      </c>
      <c r="X2109" s="6">
        <f>IF(ISERROR(VLOOKUP($U$2109,'TAR FIN'!$A$1:$O$95,15,0)),0,VLOOKUP($U$2109,'TAR FIN'!$A$1:$O$95,15,0))</f>
        <v>230.03</v>
      </c>
      <c r="Y2109" s="6"/>
      <c r="Z2109" s="6">
        <f ca="1">('TUSD BE'!$AM$52+'TUSD BF'!$AM$52+'TUSD CVA'!$AM$52)*1</f>
        <v>429.45298114736829</v>
      </c>
      <c r="AA2109" s="6">
        <f>('TE BE'!$AA$40+'TE BF'!$AA$40+'TE CVA'!$AA$40)*1</f>
        <v>282.91739971702214</v>
      </c>
      <c r="AB2109" s="6">
        <f>$K$2109*$V$2109</f>
        <v>0</v>
      </c>
      <c r="AC2109" s="6">
        <f>$M$2109*$W$2109</f>
        <v>40939.899720000001</v>
      </c>
      <c r="AD2109" s="6">
        <f>$O$2109*$X$2109</f>
        <v>24695.560740000001</v>
      </c>
      <c r="AE2109" s="6">
        <f>$K$2109*$Y$2109</f>
        <v>0</v>
      </c>
      <c r="AF2109" s="6">
        <f ca="1">$M$2109*$Z$2109</f>
        <v>46105.213150019168</v>
      </c>
      <c r="AG2109" s="6">
        <f>$O$2109*$AA$2109</f>
        <v>30373.446198820064</v>
      </c>
    </row>
    <row r="2110" spans="1:33" ht="11.25" customHeight="1" x14ac:dyDescent="0.25">
      <c r="A2110" s="4" t="s">
        <v>28</v>
      </c>
      <c r="B2110" s="4" t="s">
        <v>41</v>
      </c>
      <c r="C2110" s="4" t="s">
        <v>39</v>
      </c>
      <c r="D2110" s="4" t="s">
        <v>45</v>
      </c>
      <c r="E2110" s="4" t="s">
        <v>25</v>
      </c>
      <c r="F2110" s="4" t="s">
        <v>25</v>
      </c>
      <c r="G2110" s="4" t="s">
        <v>25</v>
      </c>
      <c r="H2110" s="4" t="s">
        <v>38</v>
      </c>
      <c r="I2110" s="5">
        <v>44378</v>
      </c>
      <c r="J2110" s="6">
        <v>0</v>
      </c>
      <c r="K2110" s="6">
        <v>0</v>
      </c>
      <c r="L2110" s="6">
        <v>52.697000000000003</v>
      </c>
      <c r="M2110" s="6">
        <v>52.697000000000003</v>
      </c>
      <c r="N2110" s="6">
        <v>52.697000000000003</v>
      </c>
      <c r="O2110" s="6">
        <v>52.697000000000003</v>
      </c>
      <c r="P2110" s="6">
        <v>0</v>
      </c>
      <c r="Q2110" s="4" t="s">
        <v>26</v>
      </c>
      <c r="R2110" s="4">
        <v>0</v>
      </c>
      <c r="S2110" s="6">
        <v>0</v>
      </c>
      <c r="T2110" s="6">
        <v>71</v>
      </c>
      <c r="U2110" s="6">
        <v>77</v>
      </c>
      <c r="V2110" s="6">
        <f>IF(ISERROR(VLOOKUP($S$2110,'TAR FIN'!$A$1:$O$95,15,0)),0,VLOOKUP($S$2110,'TAR FIN'!$A$1:$O$95,15,0))</f>
        <v>0</v>
      </c>
      <c r="W2110" s="6">
        <f>IF(ISERROR(VLOOKUP($T$2110,'TAR FIN'!$A$1:$O$95,15,0)),0,VLOOKUP($T$2110,'TAR FIN'!$A$1:$O$95,15,0))</f>
        <v>381.34</v>
      </c>
      <c r="X2110" s="6">
        <f>IF(ISERROR(VLOOKUP($U$2110,'TAR FIN'!$A$1:$O$95,15,0)),0,VLOOKUP($U$2110,'TAR FIN'!$A$1:$O$95,15,0))</f>
        <v>230.03</v>
      </c>
      <c r="Y2110" s="6"/>
      <c r="Z2110" s="6">
        <f ca="1">('TUSD BE'!$AM$52+'TUSD BF'!$AM$52+'TUSD CVA'!$AM$52)*1</f>
        <v>429.45298114736829</v>
      </c>
      <c r="AA2110" s="6">
        <f>('TE BE'!$AA$40+'TE BF'!$AA$40+'TE CVA'!$AA$40)*1</f>
        <v>282.91739971702214</v>
      </c>
      <c r="AB2110" s="6">
        <f>$K$2110*$V$2110</f>
        <v>0</v>
      </c>
      <c r="AC2110" s="6">
        <f>$M$2110*$W$2110</f>
        <v>20095.473979999999</v>
      </c>
      <c r="AD2110" s="6">
        <f>$O$2110*$X$2110</f>
        <v>12121.89091</v>
      </c>
      <c r="AE2110" s="6">
        <f>$K$2110*$Y$2110</f>
        <v>0</v>
      </c>
      <c r="AF2110" s="6">
        <f ca="1">$M$2110*$Z$2110</f>
        <v>22630.883747522868</v>
      </c>
      <c r="AG2110" s="6">
        <f>$O$2110*$AA$2110</f>
        <v>14908.898212887916</v>
      </c>
    </row>
    <row r="2111" spans="1:33" ht="11.25" customHeight="1" x14ac:dyDescent="0.25">
      <c r="A2111" s="4" t="s">
        <v>21</v>
      </c>
      <c r="B2111" s="4" t="s">
        <v>41</v>
      </c>
      <c r="C2111" s="4" t="s">
        <v>39</v>
      </c>
      <c r="D2111" s="4" t="s">
        <v>45</v>
      </c>
      <c r="E2111" s="4" t="s">
        <v>25</v>
      </c>
      <c r="F2111" s="4" t="s">
        <v>25</v>
      </c>
      <c r="G2111" s="4" t="s">
        <v>25</v>
      </c>
      <c r="H2111" s="4" t="s">
        <v>38</v>
      </c>
      <c r="I2111" s="5">
        <v>44409</v>
      </c>
      <c r="J2111" s="6">
        <v>0</v>
      </c>
      <c r="K2111" s="6">
        <v>0</v>
      </c>
      <c r="L2111" s="6">
        <v>139.96600000000001</v>
      </c>
      <c r="M2111" s="6">
        <v>139.96600000000001</v>
      </c>
      <c r="N2111" s="6">
        <v>139.96600000000001</v>
      </c>
      <c r="O2111" s="6">
        <v>139.96600000000001</v>
      </c>
      <c r="P2111" s="6">
        <v>0</v>
      </c>
      <c r="Q2111" s="4" t="s">
        <v>26</v>
      </c>
      <c r="R2111" s="4">
        <v>0</v>
      </c>
      <c r="S2111" s="6">
        <v>0</v>
      </c>
      <c r="T2111" s="6">
        <v>71</v>
      </c>
      <c r="U2111" s="6">
        <v>77</v>
      </c>
      <c r="V2111" s="6">
        <f>IF(ISERROR(VLOOKUP($S$2111,'TAR FIN'!$A$1:$O$95,15,0)),0,VLOOKUP($S$2111,'TAR FIN'!$A$1:$O$95,15,0))</f>
        <v>0</v>
      </c>
      <c r="W2111" s="6">
        <f>IF(ISERROR(VLOOKUP($T$2111,'TAR FIN'!$A$1:$O$95,15,0)),0,VLOOKUP($T$2111,'TAR FIN'!$A$1:$O$95,15,0))</f>
        <v>381.34</v>
      </c>
      <c r="X2111" s="6">
        <f>IF(ISERROR(VLOOKUP($U$2111,'TAR FIN'!$A$1:$O$95,15,0)),0,VLOOKUP($U$2111,'TAR FIN'!$A$1:$O$95,15,0))</f>
        <v>230.03</v>
      </c>
      <c r="Y2111" s="6"/>
      <c r="Z2111" s="6">
        <f ca="1">('TUSD BE'!$AM$52+'TUSD BF'!$AM$52+'TUSD CVA'!$AM$52)*1</f>
        <v>429.45298114736829</v>
      </c>
      <c r="AA2111" s="6">
        <f>('TE BE'!$AA$40+'TE BF'!$AA$40+'TE CVA'!$AA$40)*1</f>
        <v>282.91739971702214</v>
      </c>
      <c r="AB2111" s="6">
        <f>$K$2111*$V$2111</f>
        <v>0</v>
      </c>
      <c r="AC2111" s="6">
        <f>$M$2111*$W$2111</f>
        <v>53374.634440000002</v>
      </c>
      <c r="AD2111" s="6">
        <f>$O$2111*$X$2111</f>
        <v>32196.378980000001</v>
      </c>
      <c r="AE2111" s="6">
        <f>$K$2111*$Y$2111</f>
        <v>0</v>
      </c>
      <c r="AF2111" s="6">
        <f ca="1">$M$2111*$Z$2111</f>
        <v>60108.815959272557</v>
      </c>
      <c r="AG2111" s="6">
        <f>$O$2111*$AA$2111</f>
        <v>39598.81676879272</v>
      </c>
    </row>
    <row r="2112" spans="1:33" ht="11.25" customHeight="1" x14ac:dyDescent="0.25">
      <c r="A2112" s="4" t="s">
        <v>28</v>
      </c>
      <c r="B2112" s="4" t="s">
        <v>41</v>
      </c>
      <c r="C2112" s="4" t="s">
        <v>39</v>
      </c>
      <c r="D2112" s="4" t="s">
        <v>45</v>
      </c>
      <c r="E2112" s="4" t="s">
        <v>25</v>
      </c>
      <c r="F2112" s="4" t="s">
        <v>25</v>
      </c>
      <c r="G2112" s="4" t="s">
        <v>25</v>
      </c>
      <c r="H2112" s="4" t="s">
        <v>38</v>
      </c>
      <c r="I2112" s="5">
        <v>44409</v>
      </c>
      <c r="J2112" s="6">
        <v>0</v>
      </c>
      <c r="K2112" s="6">
        <v>0</v>
      </c>
      <c r="L2112" s="6">
        <v>56.792999999999999</v>
      </c>
      <c r="M2112" s="6">
        <v>56.792999999999999</v>
      </c>
      <c r="N2112" s="6">
        <v>56.792999999999999</v>
      </c>
      <c r="O2112" s="6">
        <v>56.792999999999999</v>
      </c>
      <c r="P2112" s="6">
        <v>0</v>
      </c>
      <c r="Q2112" s="4" t="s">
        <v>26</v>
      </c>
      <c r="R2112" s="4">
        <v>0</v>
      </c>
      <c r="S2112" s="6">
        <v>0</v>
      </c>
      <c r="T2112" s="6">
        <v>71</v>
      </c>
      <c r="U2112" s="6">
        <v>77</v>
      </c>
      <c r="V2112" s="6">
        <f>IF(ISERROR(VLOOKUP($S$2112,'TAR FIN'!$A$1:$O$95,15,0)),0,VLOOKUP($S$2112,'TAR FIN'!$A$1:$O$95,15,0))</f>
        <v>0</v>
      </c>
      <c r="W2112" s="6">
        <f>IF(ISERROR(VLOOKUP($T$2112,'TAR FIN'!$A$1:$O$95,15,0)),0,VLOOKUP($T$2112,'TAR FIN'!$A$1:$O$95,15,0))</f>
        <v>381.34</v>
      </c>
      <c r="X2112" s="6">
        <f>IF(ISERROR(VLOOKUP($U$2112,'TAR FIN'!$A$1:$O$95,15,0)),0,VLOOKUP($U$2112,'TAR FIN'!$A$1:$O$95,15,0))</f>
        <v>230.03</v>
      </c>
      <c r="Y2112" s="6"/>
      <c r="Z2112" s="6">
        <f ca="1">('TUSD BE'!$AM$52+'TUSD BF'!$AM$52+'TUSD CVA'!$AM$52)*1</f>
        <v>429.45298114736829</v>
      </c>
      <c r="AA2112" s="6">
        <f>('TE BE'!$AA$40+'TE BF'!$AA$40+'TE CVA'!$AA$40)*1</f>
        <v>282.91739971702214</v>
      </c>
      <c r="AB2112" s="6">
        <f>$K$2112*$V$2112</f>
        <v>0</v>
      </c>
      <c r="AC2112" s="6">
        <f>$M$2112*$W$2112</f>
        <v>21657.442619999998</v>
      </c>
      <c r="AD2112" s="6">
        <f>$O$2112*$X$2112</f>
        <v>13064.093789999999</v>
      </c>
      <c r="AE2112" s="6">
        <f>$K$2112*$Y$2112</f>
        <v>0</v>
      </c>
      <c r="AF2112" s="6">
        <f ca="1">$M$2112*$Z$2112</f>
        <v>24389.923158302488</v>
      </c>
      <c r="AG2112" s="6">
        <f>$O$2112*$AA$2112</f>
        <v>16067.727882128838</v>
      </c>
    </row>
    <row r="2113" spans="1:33" ht="11.25" customHeight="1" x14ac:dyDescent="0.25">
      <c r="A2113" s="4" t="s">
        <v>21</v>
      </c>
      <c r="B2113" s="4" t="s">
        <v>41</v>
      </c>
      <c r="C2113" s="4" t="s">
        <v>39</v>
      </c>
      <c r="D2113" s="4" t="s">
        <v>45</v>
      </c>
      <c r="E2113" s="4" t="s">
        <v>25</v>
      </c>
      <c r="F2113" s="4" t="s">
        <v>25</v>
      </c>
      <c r="G2113" s="4" t="s">
        <v>25</v>
      </c>
      <c r="H2113" s="4" t="s">
        <v>38</v>
      </c>
      <c r="I2113" s="5">
        <v>44440</v>
      </c>
      <c r="J2113" s="6">
        <v>0</v>
      </c>
      <c r="K2113" s="6">
        <v>0</v>
      </c>
      <c r="L2113" s="6">
        <v>113.455</v>
      </c>
      <c r="M2113" s="6">
        <v>113.455</v>
      </c>
      <c r="N2113" s="6">
        <v>113.455</v>
      </c>
      <c r="O2113" s="6">
        <v>113.455</v>
      </c>
      <c r="P2113" s="6">
        <v>0</v>
      </c>
      <c r="Q2113" s="4" t="s">
        <v>26</v>
      </c>
      <c r="R2113" s="4">
        <v>0</v>
      </c>
      <c r="S2113" s="6">
        <v>0</v>
      </c>
      <c r="T2113" s="6">
        <v>71</v>
      </c>
      <c r="U2113" s="6">
        <v>77</v>
      </c>
      <c r="V2113" s="6">
        <f>IF(ISERROR(VLOOKUP($S$2113,'TAR FIN'!$A$1:$O$95,15,0)),0,VLOOKUP($S$2113,'TAR FIN'!$A$1:$O$95,15,0))</f>
        <v>0</v>
      </c>
      <c r="W2113" s="6">
        <f>IF(ISERROR(VLOOKUP($T$2113,'TAR FIN'!$A$1:$O$95,15,0)),0,VLOOKUP($T$2113,'TAR FIN'!$A$1:$O$95,15,0))</f>
        <v>381.34</v>
      </c>
      <c r="X2113" s="6">
        <f>IF(ISERROR(VLOOKUP($U$2113,'TAR FIN'!$A$1:$O$95,15,0)),0,VLOOKUP($U$2113,'TAR FIN'!$A$1:$O$95,15,0))</f>
        <v>230.03</v>
      </c>
      <c r="Y2113" s="6"/>
      <c r="Z2113" s="6">
        <f ca="1">('TUSD BE'!$AM$52+'TUSD BF'!$AM$52+'TUSD CVA'!$AM$52)*1</f>
        <v>429.45298114736829</v>
      </c>
      <c r="AA2113" s="6">
        <f>('TE BE'!$AA$40+'TE BF'!$AA$40+'TE CVA'!$AA$40)*1</f>
        <v>282.91739971702214</v>
      </c>
      <c r="AB2113" s="6">
        <f>$K$2113*$V$2113</f>
        <v>0</v>
      </c>
      <c r="AC2113" s="6">
        <f>$M$2113*$W$2113</f>
        <v>43264.929699999993</v>
      </c>
      <c r="AD2113" s="6">
        <f>$O$2113*$X$2113</f>
        <v>26098.053649999998</v>
      </c>
      <c r="AE2113" s="6">
        <f>$K$2113*$Y$2113</f>
        <v>0</v>
      </c>
      <c r="AF2113" s="6">
        <f ca="1">$M$2113*$Z$2113</f>
        <v>48723.587976074668</v>
      </c>
      <c r="AG2113" s="6">
        <f>$O$2113*$AA$2113</f>
        <v>32098.393584894748</v>
      </c>
    </row>
    <row r="2114" spans="1:33" ht="11.25" customHeight="1" x14ac:dyDescent="0.25">
      <c r="A2114" s="4" t="s">
        <v>28</v>
      </c>
      <c r="B2114" s="4" t="s">
        <v>41</v>
      </c>
      <c r="C2114" s="4" t="s">
        <v>39</v>
      </c>
      <c r="D2114" s="4" t="s">
        <v>45</v>
      </c>
      <c r="E2114" s="4" t="s">
        <v>25</v>
      </c>
      <c r="F2114" s="4" t="s">
        <v>25</v>
      </c>
      <c r="G2114" s="4" t="s">
        <v>25</v>
      </c>
      <c r="H2114" s="4" t="s">
        <v>38</v>
      </c>
      <c r="I2114" s="5">
        <v>44440</v>
      </c>
      <c r="J2114" s="6">
        <v>0</v>
      </c>
      <c r="K2114" s="6">
        <v>0</v>
      </c>
      <c r="L2114" s="6">
        <v>62.017000000000003</v>
      </c>
      <c r="M2114" s="6">
        <v>62.017000000000003</v>
      </c>
      <c r="N2114" s="6">
        <v>62.017000000000003</v>
      </c>
      <c r="O2114" s="6">
        <v>62.017000000000003</v>
      </c>
      <c r="P2114" s="6">
        <v>0</v>
      </c>
      <c r="Q2114" s="4" t="s">
        <v>26</v>
      </c>
      <c r="R2114" s="4">
        <v>0</v>
      </c>
      <c r="S2114" s="6">
        <v>0</v>
      </c>
      <c r="T2114" s="6">
        <v>71</v>
      </c>
      <c r="U2114" s="6">
        <v>77</v>
      </c>
      <c r="V2114" s="6">
        <f>IF(ISERROR(VLOOKUP($S$2114,'TAR FIN'!$A$1:$O$95,15,0)),0,VLOOKUP($S$2114,'TAR FIN'!$A$1:$O$95,15,0))</f>
        <v>0</v>
      </c>
      <c r="W2114" s="6">
        <f>IF(ISERROR(VLOOKUP($T$2114,'TAR FIN'!$A$1:$O$95,15,0)),0,VLOOKUP($T$2114,'TAR FIN'!$A$1:$O$95,15,0))</f>
        <v>381.34</v>
      </c>
      <c r="X2114" s="6">
        <f>IF(ISERROR(VLOOKUP($U$2114,'TAR FIN'!$A$1:$O$95,15,0)),0,VLOOKUP($U$2114,'TAR FIN'!$A$1:$O$95,15,0))</f>
        <v>230.03</v>
      </c>
      <c r="Y2114" s="6"/>
      <c r="Z2114" s="6">
        <f ca="1">('TUSD BE'!$AM$52+'TUSD BF'!$AM$52+'TUSD CVA'!$AM$52)*1</f>
        <v>429.45298114736829</v>
      </c>
      <c r="AA2114" s="6">
        <f>('TE BE'!$AA$40+'TE BF'!$AA$40+'TE CVA'!$AA$40)*1</f>
        <v>282.91739971702214</v>
      </c>
      <c r="AB2114" s="6">
        <f>$K$2114*$V$2114</f>
        <v>0</v>
      </c>
      <c r="AC2114" s="6">
        <f>$M$2114*$W$2114</f>
        <v>23649.56278</v>
      </c>
      <c r="AD2114" s="6">
        <f>$O$2114*$X$2114</f>
        <v>14265.77051</v>
      </c>
      <c r="AE2114" s="6">
        <f>$K$2114*$Y$2114</f>
        <v>0</v>
      </c>
      <c r="AF2114" s="6">
        <f ca="1">$M$2114*$Z$2114</f>
        <v>26633.385531816341</v>
      </c>
      <c r="AG2114" s="6">
        <f>$O$2114*$AA$2114</f>
        <v>17545.688378250561</v>
      </c>
    </row>
    <row r="2115" spans="1:33" ht="11.25" customHeight="1" x14ac:dyDescent="0.25">
      <c r="A2115" s="4" t="s">
        <v>30</v>
      </c>
      <c r="B2115" s="4" t="s">
        <v>41</v>
      </c>
      <c r="C2115" s="4" t="s">
        <v>39</v>
      </c>
      <c r="D2115" s="4" t="s">
        <v>45</v>
      </c>
      <c r="E2115" s="4" t="s">
        <v>25</v>
      </c>
      <c r="F2115" s="4" t="s">
        <v>25</v>
      </c>
      <c r="G2115" s="4" t="s">
        <v>25</v>
      </c>
      <c r="H2115" s="4" t="s">
        <v>38</v>
      </c>
      <c r="I2115" s="5">
        <v>44440</v>
      </c>
      <c r="J2115" s="6">
        <v>0</v>
      </c>
      <c r="K2115" s="6">
        <v>0</v>
      </c>
      <c r="L2115" s="6">
        <v>7.7130000000000001</v>
      </c>
      <c r="M2115" s="6">
        <v>7.7130000000000001</v>
      </c>
      <c r="N2115" s="6">
        <v>7.7130000000000001</v>
      </c>
      <c r="O2115" s="6">
        <v>7.7130000000000001</v>
      </c>
      <c r="P2115" s="6">
        <v>0</v>
      </c>
      <c r="Q2115" s="4" t="s">
        <v>26</v>
      </c>
      <c r="R2115" s="4">
        <v>0</v>
      </c>
      <c r="S2115" s="6">
        <v>0</v>
      </c>
      <c r="T2115" s="6">
        <v>71</v>
      </c>
      <c r="U2115" s="6">
        <v>77</v>
      </c>
      <c r="V2115" s="6">
        <f>IF(ISERROR(VLOOKUP($S$2115,'TAR FIN'!$A$1:$O$95,15,0)),0,VLOOKUP($S$2115,'TAR FIN'!$A$1:$O$95,15,0))</f>
        <v>0</v>
      </c>
      <c r="W2115" s="6">
        <f>IF(ISERROR(VLOOKUP($T$2115,'TAR FIN'!$A$1:$O$95,15,0)),0,VLOOKUP($T$2115,'TAR FIN'!$A$1:$O$95,15,0))</f>
        <v>381.34</v>
      </c>
      <c r="X2115" s="6">
        <f>IF(ISERROR(VLOOKUP($U$2115,'TAR FIN'!$A$1:$O$95,15,0)),0,VLOOKUP($U$2115,'TAR FIN'!$A$1:$O$95,15,0))</f>
        <v>230.03</v>
      </c>
      <c r="Y2115" s="6"/>
      <c r="Z2115" s="6">
        <f ca="1">('TUSD BE'!$AM$52+'TUSD BF'!$AM$52+'TUSD CVA'!$AM$52)*1</f>
        <v>429.45298114736829</v>
      </c>
      <c r="AA2115" s="6">
        <f>('TE BE'!$AA$40+'TE BF'!$AA$40+'TE CVA'!$AA$40)*1</f>
        <v>282.91739971702214</v>
      </c>
      <c r="AB2115" s="6">
        <f>$K$2115*$V$2115</f>
        <v>0</v>
      </c>
      <c r="AC2115" s="6">
        <f>$M$2115*$W$2115</f>
        <v>2941.2754199999999</v>
      </c>
      <c r="AD2115" s="6">
        <f>$O$2115*$X$2115</f>
        <v>1774.2213899999999</v>
      </c>
      <c r="AE2115" s="6">
        <f>$K$2115*$Y$2115</f>
        <v>0</v>
      </c>
      <c r="AF2115" s="6">
        <f ca="1">$M$2115*$Z$2115</f>
        <v>3312.3708435896515</v>
      </c>
      <c r="AG2115" s="6">
        <f>$O$2115*$AA$2115</f>
        <v>2182.1419040173919</v>
      </c>
    </row>
    <row r="2116" spans="1:33" ht="11.25" customHeight="1" x14ac:dyDescent="0.25">
      <c r="A2116" s="4" t="s">
        <v>59</v>
      </c>
      <c r="B2116" s="4" t="s">
        <v>41</v>
      </c>
      <c r="C2116" s="4" t="s">
        <v>39</v>
      </c>
      <c r="D2116" s="4" t="s">
        <v>45</v>
      </c>
      <c r="E2116" s="4" t="s">
        <v>25</v>
      </c>
      <c r="F2116" s="4" t="s">
        <v>25</v>
      </c>
      <c r="G2116" s="4" t="s">
        <v>25</v>
      </c>
      <c r="H2116" s="4" t="s">
        <v>38</v>
      </c>
      <c r="I2116" s="5">
        <v>44470</v>
      </c>
      <c r="J2116" s="6">
        <v>0</v>
      </c>
      <c r="K2116" s="6">
        <v>0</v>
      </c>
      <c r="L2116" s="6">
        <v>113.455</v>
      </c>
      <c r="M2116" s="6">
        <v>113.455</v>
      </c>
      <c r="N2116" s="6">
        <v>113.455</v>
      </c>
      <c r="O2116" s="6">
        <v>113.455</v>
      </c>
      <c r="P2116" s="6">
        <v>0</v>
      </c>
      <c r="Q2116" s="4" t="s">
        <v>26</v>
      </c>
      <c r="R2116" s="4">
        <v>0</v>
      </c>
      <c r="S2116" s="6">
        <v>0</v>
      </c>
      <c r="T2116" s="6">
        <v>71</v>
      </c>
      <c r="U2116" s="6">
        <v>77</v>
      </c>
      <c r="V2116" s="6">
        <f>IF(ISERROR(VLOOKUP($S$2116,'TAR FIN'!$A$1:$O$95,15,0)),0,VLOOKUP($S$2116,'TAR FIN'!$A$1:$O$95,15,0))</f>
        <v>0</v>
      </c>
      <c r="W2116" s="6">
        <f>IF(ISERROR(VLOOKUP($T$2116,'TAR FIN'!$A$1:$O$95,15,0)),0,VLOOKUP($T$2116,'TAR FIN'!$A$1:$O$95,15,0))</f>
        <v>381.34</v>
      </c>
      <c r="X2116" s="6">
        <f>IF(ISERROR(VLOOKUP($U$2116,'TAR FIN'!$A$1:$O$95,15,0)),0,VLOOKUP($U$2116,'TAR FIN'!$A$1:$O$95,15,0))</f>
        <v>230.03</v>
      </c>
      <c r="Y2116" s="6"/>
      <c r="Z2116" s="6">
        <f ca="1">('TUSD BE'!$AM$52+'TUSD BF'!$AM$52+'TUSD CVA'!$AM$52)*1</f>
        <v>429.45298114736829</v>
      </c>
      <c r="AA2116" s="6">
        <f>('TE BE'!$AA$40+'TE BF'!$AA$40+'TE CVA'!$AA$40)*1</f>
        <v>282.91739971702214</v>
      </c>
      <c r="AB2116" s="6">
        <f>$K$2116*$V$2116</f>
        <v>0</v>
      </c>
      <c r="AC2116" s="6">
        <f>$M$2116*$W$2116</f>
        <v>43264.929699999993</v>
      </c>
      <c r="AD2116" s="6">
        <f>$O$2116*$X$2116</f>
        <v>26098.053649999998</v>
      </c>
      <c r="AE2116" s="6">
        <f>$K$2116*$Y$2116</f>
        <v>0</v>
      </c>
      <c r="AF2116" s="6">
        <f ca="1">$M$2116*$Z$2116</f>
        <v>48723.587976074668</v>
      </c>
      <c r="AG2116" s="6">
        <f>$O$2116*$AA$2116</f>
        <v>32098.393584894748</v>
      </c>
    </row>
    <row r="2117" spans="1:33" ht="11.25" customHeight="1" x14ac:dyDescent="0.25">
      <c r="A2117" s="4" t="s">
        <v>59</v>
      </c>
      <c r="B2117" s="4" t="s">
        <v>41</v>
      </c>
      <c r="C2117" s="4" t="s">
        <v>39</v>
      </c>
      <c r="D2117" s="4" t="s">
        <v>45</v>
      </c>
      <c r="E2117" s="4" t="s">
        <v>25</v>
      </c>
      <c r="F2117" s="4" t="s">
        <v>25</v>
      </c>
      <c r="G2117" s="4" t="s">
        <v>25</v>
      </c>
      <c r="H2117" s="4" t="s">
        <v>38</v>
      </c>
      <c r="I2117" s="5">
        <v>44470</v>
      </c>
      <c r="J2117" s="6">
        <v>0</v>
      </c>
      <c r="K2117" s="6">
        <v>0</v>
      </c>
      <c r="L2117" s="6">
        <v>62.017000000000003</v>
      </c>
      <c r="M2117" s="6">
        <v>62.017000000000003</v>
      </c>
      <c r="N2117" s="6">
        <v>62.017000000000003</v>
      </c>
      <c r="O2117" s="6">
        <v>62.017000000000003</v>
      </c>
      <c r="P2117" s="6">
        <v>0</v>
      </c>
      <c r="Q2117" s="4" t="s">
        <v>26</v>
      </c>
      <c r="R2117" s="4">
        <v>0</v>
      </c>
      <c r="S2117" s="6">
        <v>0</v>
      </c>
      <c r="T2117" s="6">
        <v>71</v>
      </c>
      <c r="U2117" s="6">
        <v>77</v>
      </c>
      <c r="V2117" s="6">
        <f>IF(ISERROR(VLOOKUP($S$2117,'TAR FIN'!$A$1:$O$95,15,0)),0,VLOOKUP($S$2117,'TAR FIN'!$A$1:$O$95,15,0))</f>
        <v>0</v>
      </c>
      <c r="W2117" s="6">
        <f>IF(ISERROR(VLOOKUP($T$2117,'TAR FIN'!$A$1:$O$95,15,0)),0,VLOOKUP($T$2117,'TAR FIN'!$A$1:$O$95,15,0))</f>
        <v>381.34</v>
      </c>
      <c r="X2117" s="6">
        <f>IF(ISERROR(VLOOKUP($U$2117,'TAR FIN'!$A$1:$O$95,15,0)),0,VLOOKUP($U$2117,'TAR FIN'!$A$1:$O$95,15,0))</f>
        <v>230.03</v>
      </c>
      <c r="Y2117" s="6"/>
      <c r="Z2117" s="6">
        <f ca="1">('TUSD BE'!$AM$52+'TUSD BF'!$AM$52+'TUSD CVA'!$AM$52)*1</f>
        <v>429.45298114736829</v>
      </c>
      <c r="AA2117" s="6">
        <f>('TE BE'!$AA$40+'TE BF'!$AA$40+'TE CVA'!$AA$40)*1</f>
        <v>282.91739971702214</v>
      </c>
      <c r="AB2117" s="6">
        <f>$K$2117*$V$2117</f>
        <v>0</v>
      </c>
      <c r="AC2117" s="6">
        <f>$M$2117*$W$2117</f>
        <v>23649.56278</v>
      </c>
      <c r="AD2117" s="6">
        <f>$O$2117*$X$2117</f>
        <v>14265.77051</v>
      </c>
      <c r="AE2117" s="6">
        <f>$K$2117*$Y$2117</f>
        <v>0</v>
      </c>
      <c r="AF2117" s="6">
        <f ca="1">$M$2117*$Z$2117</f>
        <v>26633.385531816341</v>
      </c>
      <c r="AG2117" s="6">
        <f>$O$2117*$AA$2117</f>
        <v>17545.688378250561</v>
      </c>
    </row>
    <row r="2118" spans="1:33" ht="11.25" customHeight="1" x14ac:dyDescent="0.25">
      <c r="A2118" s="4" t="s">
        <v>59</v>
      </c>
      <c r="B2118" s="4" t="s">
        <v>41</v>
      </c>
      <c r="C2118" s="4" t="s">
        <v>39</v>
      </c>
      <c r="D2118" s="4" t="s">
        <v>45</v>
      </c>
      <c r="E2118" s="4" t="s">
        <v>25</v>
      </c>
      <c r="F2118" s="4" t="s">
        <v>25</v>
      </c>
      <c r="G2118" s="4" t="s">
        <v>25</v>
      </c>
      <c r="H2118" s="4" t="s">
        <v>38</v>
      </c>
      <c r="I2118" s="5">
        <v>44470</v>
      </c>
      <c r="J2118" s="6">
        <v>0</v>
      </c>
      <c r="K2118" s="6">
        <v>0</v>
      </c>
      <c r="L2118" s="6">
        <v>7.7130000000000001</v>
      </c>
      <c r="M2118" s="6">
        <v>7.7130000000000001</v>
      </c>
      <c r="N2118" s="6">
        <v>7.7130000000000001</v>
      </c>
      <c r="O2118" s="6">
        <v>7.7130000000000001</v>
      </c>
      <c r="P2118" s="6">
        <v>0</v>
      </c>
      <c r="Q2118" s="4" t="s">
        <v>26</v>
      </c>
      <c r="R2118" s="4">
        <v>0</v>
      </c>
      <c r="S2118" s="6">
        <v>0</v>
      </c>
      <c r="T2118" s="6">
        <v>71</v>
      </c>
      <c r="U2118" s="6">
        <v>77</v>
      </c>
      <c r="V2118" s="6">
        <f>IF(ISERROR(VLOOKUP($S$2118,'TAR FIN'!$A$1:$O$95,15,0)),0,VLOOKUP($S$2118,'TAR FIN'!$A$1:$O$95,15,0))</f>
        <v>0</v>
      </c>
      <c r="W2118" s="6">
        <f>IF(ISERROR(VLOOKUP($T$2118,'TAR FIN'!$A$1:$O$95,15,0)),0,VLOOKUP($T$2118,'TAR FIN'!$A$1:$O$95,15,0))</f>
        <v>381.34</v>
      </c>
      <c r="X2118" s="6">
        <f>IF(ISERROR(VLOOKUP($U$2118,'TAR FIN'!$A$1:$O$95,15,0)),0,VLOOKUP($U$2118,'TAR FIN'!$A$1:$O$95,15,0))</f>
        <v>230.03</v>
      </c>
      <c r="Y2118" s="6"/>
      <c r="Z2118" s="6">
        <f ca="1">('TUSD BE'!$AM$52+'TUSD BF'!$AM$52+'TUSD CVA'!$AM$52)*1</f>
        <v>429.45298114736829</v>
      </c>
      <c r="AA2118" s="6">
        <f>('TE BE'!$AA$40+'TE BF'!$AA$40+'TE CVA'!$AA$40)*1</f>
        <v>282.91739971702214</v>
      </c>
      <c r="AB2118" s="6">
        <f>$K$2118*$V$2118</f>
        <v>0</v>
      </c>
      <c r="AC2118" s="6">
        <f>$M$2118*$W$2118</f>
        <v>2941.2754199999999</v>
      </c>
      <c r="AD2118" s="6">
        <f>$O$2118*$X$2118</f>
        <v>1774.2213899999999</v>
      </c>
      <c r="AE2118" s="6">
        <f>$K$2118*$Y$2118</f>
        <v>0</v>
      </c>
      <c r="AF2118" s="6">
        <f ca="1">$M$2118*$Z$2118</f>
        <v>3312.3708435896515</v>
      </c>
      <c r="AG2118" s="6">
        <f>$O$2118*$AA$2118</f>
        <v>2182.1419040173919</v>
      </c>
    </row>
    <row r="2119" spans="1:33" ht="11.25" customHeight="1" x14ac:dyDescent="0.25">
      <c r="A2119" s="4" t="s">
        <v>21</v>
      </c>
      <c r="B2119" s="4" t="s">
        <v>41</v>
      </c>
      <c r="C2119" s="4" t="s">
        <v>39</v>
      </c>
      <c r="D2119" s="4" t="s">
        <v>45</v>
      </c>
      <c r="E2119" s="4" t="s">
        <v>25</v>
      </c>
      <c r="F2119" s="4" t="s">
        <v>25</v>
      </c>
      <c r="G2119" s="4" t="s">
        <v>25</v>
      </c>
      <c r="H2119" s="4" t="s">
        <v>40</v>
      </c>
      <c r="I2119" s="5">
        <v>44136</v>
      </c>
      <c r="J2119" s="6">
        <v>0</v>
      </c>
      <c r="K2119" s="6">
        <v>0</v>
      </c>
      <c r="L2119" s="6">
        <v>2.3319999999999999</v>
      </c>
      <c r="M2119" s="6">
        <v>2.3319999999999999</v>
      </c>
      <c r="N2119" s="6">
        <v>2.3319999999999999</v>
      </c>
      <c r="O2119" s="6">
        <v>2.3319999999999999</v>
      </c>
      <c r="P2119" s="6">
        <v>0</v>
      </c>
      <c r="Q2119" s="4" t="s">
        <v>26</v>
      </c>
      <c r="R2119" s="4">
        <v>0</v>
      </c>
      <c r="S2119" s="6">
        <v>0</v>
      </c>
      <c r="T2119" s="6">
        <v>75</v>
      </c>
      <c r="U2119" s="6">
        <v>76</v>
      </c>
      <c r="V2119" s="6">
        <f>IF(ISERROR(VLOOKUP($S$2119,'TAR FIN'!$A$1:$O$95,15,0)),0,VLOOKUP($S$2119,'TAR FIN'!$A$1:$O$95,15,0))</f>
        <v>0</v>
      </c>
      <c r="W2119" s="6">
        <f>IF(ISERROR(VLOOKUP($T$2119,'TAR FIN'!$A$1:$O$95,15,0)),0,VLOOKUP($T$2119,'TAR FIN'!$A$1:$O$95,15,0))</f>
        <v>735.45</v>
      </c>
      <c r="X2119" s="6">
        <f>IF(ISERROR(VLOOKUP($U$2119,'TAR FIN'!$A$1:$O$95,15,0)),0,VLOOKUP($U$2119,'TAR FIN'!$A$1:$O$95,15,0))</f>
        <v>230.03</v>
      </c>
      <c r="Y2119" s="6"/>
      <c r="Z2119" s="6">
        <f ca="1">('TUSD BE'!$AM$51+'TUSD BF'!$AM$51+'TUSD CVA'!$AM$51)*1</f>
        <v>825.79679216117552</v>
      </c>
      <c r="AA2119" s="6">
        <f>('TE BE'!$AA$39+'TE BF'!$AA$39+'TE CVA'!$AA$39)*1</f>
        <v>282.91739971702214</v>
      </c>
      <c r="AB2119" s="6">
        <f>$K$2119*$V$2119</f>
        <v>0</v>
      </c>
      <c r="AC2119" s="6">
        <f>$M$2119*$W$2119</f>
        <v>1715.0694000000001</v>
      </c>
      <c r="AD2119" s="6">
        <f>$O$2119*$X$2119</f>
        <v>536.42995999999994</v>
      </c>
      <c r="AE2119" s="6">
        <f>$K$2119*$Y$2119</f>
        <v>0</v>
      </c>
      <c r="AF2119" s="6">
        <f ca="1">$M$2119*$Z$2119</f>
        <v>1925.7581193198612</v>
      </c>
      <c r="AG2119" s="6">
        <f>$O$2119*$AA$2119</f>
        <v>659.7633761400956</v>
      </c>
    </row>
    <row r="2120" spans="1:33" ht="11.25" customHeight="1" x14ac:dyDescent="0.25">
      <c r="A2120" s="4" t="s">
        <v>28</v>
      </c>
      <c r="B2120" s="4" t="s">
        <v>41</v>
      </c>
      <c r="C2120" s="4" t="s">
        <v>39</v>
      </c>
      <c r="D2120" s="4" t="s">
        <v>45</v>
      </c>
      <c r="E2120" s="4" t="s">
        <v>25</v>
      </c>
      <c r="F2120" s="4" t="s">
        <v>25</v>
      </c>
      <c r="G2120" s="4" t="s">
        <v>25</v>
      </c>
      <c r="H2120" s="4" t="s">
        <v>40</v>
      </c>
      <c r="I2120" s="5">
        <v>44136</v>
      </c>
      <c r="J2120" s="6">
        <v>0</v>
      </c>
      <c r="K2120" s="6">
        <v>0</v>
      </c>
      <c r="L2120" s="6">
        <v>7.9320000000000004</v>
      </c>
      <c r="M2120" s="6">
        <v>7.9320000000000004</v>
      </c>
      <c r="N2120" s="6">
        <v>7.9320000000000004</v>
      </c>
      <c r="O2120" s="6">
        <v>7.9320000000000004</v>
      </c>
      <c r="P2120" s="6">
        <v>0</v>
      </c>
      <c r="Q2120" s="4" t="s">
        <v>26</v>
      </c>
      <c r="R2120" s="4">
        <v>0</v>
      </c>
      <c r="S2120" s="6">
        <v>0</v>
      </c>
      <c r="T2120" s="6">
        <v>75</v>
      </c>
      <c r="U2120" s="6">
        <v>76</v>
      </c>
      <c r="V2120" s="6">
        <f>IF(ISERROR(VLOOKUP($S$2120,'TAR FIN'!$A$1:$O$95,15,0)),0,VLOOKUP($S$2120,'TAR FIN'!$A$1:$O$95,15,0))</f>
        <v>0</v>
      </c>
      <c r="W2120" s="6">
        <f>IF(ISERROR(VLOOKUP($T$2120,'TAR FIN'!$A$1:$O$95,15,0)),0,VLOOKUP($T$2120,'TAR FIN'!$A$1:$O$95,15,0))</f>
        <v>735.45</v>
      </c>
      <c r="X2120" s="6">
        <f>IF(ISERROR(VLOOKUP($U$2120,'TAR FIN'!$A$1:$O$95,15,0)),0,VLOOKUP($U$2120,'TAR FIN'!$A$1:$O$95,15,0))</f>
        <v>230.03</v>
      </c>
      <c r="Y2120" s="6"/>
      <c r="Z2120" s="6">
        <f ca="1">('TUSD BE'!$AM$51+'TUSD BF'!$AM$51+'TUSD CVA'!$AM$51)*1</f>
        <v>825.79679216117552</v>
      </c>
      <c r="AA2120" s="6">
        <f>('TE BE'!$AA$39+'TE BF'!$AA$39+'TE CVA'!$AA$39)*1</f>
        <v>282.91739971702214</v>
      </c>
      <c r="AB2120" s="6">
        <f>$K$2120*$V$2120</f>
        <v>0</v>
      </c>
      <c r="AC2120" s="6">
        <f>$M$2120*$W$2120</f>
        <v>5833.5894000000008</v>
      </c>
      <c r="AD2120" s="6">
        <f>$O$2120*$X$2120</f>
        <v>1824.5979600000001</v>
      </c>
      <c r="AE2120" s="6">
        <f>$K$2120*$Y$2120</f>
        <v>0</v>
      </c>
      <c r="AF2120" s="6">
        <f ca="1">$M$2120*$Z$2120</f>
        <v>6550.2201554224448</v>
      </c>
      <c r="AG2120" s="6">
        <f>$O$2120*$AA$2120</f>
        <v>2244.1008145554197</v>
      </c>
    </row>
    <row r="2121" spans="1:33" ht="11.25" customHeight="1" x14ac:dyDescent="0.25">
      <c r="A2121" s="4" t="s">
        <v>21</v>
      </c>
      <c r="B2121" s="4" t="s">
        <v>41</v>
      </c>
      <c r="C2121" s="4" t="s">
        <v>39</v>
      </c>
      <c r="D2121" s="4" t="s">
        <v>45</v>
      </c>
      <c r="E2121" s="4" t="s">
        <v>25</v>
      </c>
      <c r="F2121" s="4" t="s">
        <v>25</v>
      </c>
      <c r="G2121" s="4" t="s">
        <v>25</v>
      </c>
      <c r="H2121" s="4" t="s">
        <v>40</v>
      </c>
      <c r="I2121" s="5">
        <v>44166</v>
      </c>
      <c r="J2121" s="6">
        <v>0</v>
      </c>
      <c r="K2121" s="6">
        <v>0</v>
      </c>
      <c r="L2121" s="6">
        <v>2.5499999999999998</v>
      </c>
      <c r="M2121" s="6">
        <v>2.5499999999999998</v>
      </c>
      <c r="N2121" s="6">
        <v>2.5499999999999998</v>
      </c>
      <c r="O2121" s="6">
        <v>2.5499999999999998</v>
      </c>
      <c r="P2121" s="6">
        <v>0</v>
      </c>
      <c r="Q2121" s="4" t="s">
        <v>26</v>
      </c>
      <c r="R2121" s="4">
        <v>0</v>
      </c>
      <c r="S2121" s="6">
        <v>0</v>
      </c>
      <c r="T2121" s="6">
        <v>75</v>
      </c>
      <c r="U2121" s="6">
        <v>76</v>
      </c>
      <c r="V2121" s="6">
        <f>IF(ISERROR(VLOOKUP($S$2121,'TAR FIN'!$A$1:$O$95,15,0)),0,VLOOKUP($S$2121,'TAR FIN'!$A$1:$O$95,15,0))</f>
        <v>0</v>
      </c>
      <c r="W2121" s="6">
        <f>IF(ISERROR(VLOOKUP($T$2121,'TAR FIN'!$A$1:$O$95,15,0)),0,VLOOKUP($T$2121,'TAR FIN'!$A$1:$O$95,15,0))</f>
        <v>735.45</v>
      </c>
      <c r="X2121" s="6">
        <f>IF(ISERROR(VLOOKUP($U$2121,'TAR FIN'!$A$1:$O$95,15,0)),0,VLOOKUP($U$2121,'TAR FIN'!$A$1:$O$95,15,0))</f>
        <v>230.03</v>
      </c>
      <c r="Y2121" s="6"/>
      <c r="Z2121" s="6">
        <f ca="1">('TUSD BE'!$AM$51+'TUSD BF'!$AM$51+'TUSD CVA'!$AM$51)*1</f>
        <v>825.79679216117552</v>
      </c>
      <c r="AA2121" s="6">
        <f>('TE BE'!$AA$39+'TE BF'!$AA$39+'TE CVA'!$AA$39)*1</f>
        <v>282.91739971702214</v>
      </c>
      <c r="AB2121" s="6">
        <f>$K$2121*$V$2121</f>
        <v>0</v>
      </c>
      <c r="AC2121" s="6">
        <f>$M$2121*$W$2121</f>
        <v>1875.3975</v>
      </c>
      <c r="AD2121" s="6">
        <f>$O$2121*$X$2121</f>
        <v>586.57650000000001</v>
      </c>
      <c r="AE2121" s="6">
        <f>$K$2121*$Y$2121</f>
        <v>0</v>
      </c>
      <c r="AF2121" s="6">
        <f ca="1">$M$2121*$Z$2121</f>
        <v>2105.7818200109973</v>
      </c>
      <c r="AG2121" s="6">
        <f>$O$2121*$AA$2121</f>
        <v>721.43936927840639</v>
      </c>
    </row>
    <row r="2122" spans="1:33" ht="11.25" customHeight="1" x14ac:dyDescent="0.25">
      <c r="A2122" s="4" t="s">
        <v>28</v>
      </c>
      <c r="B2122" s="4" t="s">
        <v>41</v>
      </c>
      <c r="C2122" s="4" t="s">
        <v>39</v>
      </c>
      <c r="D2122" s="4" t="s">
        <v>45</v>
      </c>
      <c r="E2122" s="4" t="s">
        <v>25</v>
      </c>
      <c r="F2122" s="4" t="s">
        <v>25</v>
      </c>
      <c r="G2122" s="4" t="s">
        <v>25</v>
      </c>
      <c r="H2122" s="4" t="s">
        <v>40</v>
      </c>
      <c r="I2122" s="5">
        <v>44166</v>
      </c>
      <c r="J2122" s="6">
        <v>0</v>
      </c>
      <c r="K2122" s="6">
        <v>0</v>
      </c>
      <c r="L2122" s="6">
        <v>5.2060000000000004</v>
      </c>
      <c r="M2122" s="6">
        <v>5.2060000000000004</v>
      </c>
      <c r="N2122" s="6">
        <v>5.2060000000000004</v>
      </c>
      <c r="O2122" s="6">
        <v>5.2060000000000004</v>
      </c>
      <c r="P2122" s="6">
        <v>0</v>
      </c>
      <c r="Q2122" s="4" t="s">
        <v>26</v>
      </c>
      <c r="R2122" s="4">
        <v>0</v>
      </c>
      <c r="S2122" s="6">
        <v>0</v>
      </c>
      <c r="T2122" s="6">
        <v>75</v>
      </c>
      <c r="U2122" s="6">
        <v>76</v>
      </c>
      <c r="V2122" s="6">
        <f>IF(ISERROR(VLOOKUP($S$2122,'TAR FIN'!$A$1:$O$95,15,0)),0,VLOOKUP($S$2122,'TAR FIN'!$A$1:$O$95,15,0))</f>
        <v>0</v>
      </c>
      <c r="W2122" s="6">
        <f>IF(ISERROR(VLOOKUP($T$2122,'TAR FIN'!$A$1:$O$95,15,0)),0,VLOOKUP($T$2122,'TAR FIN'!$A$1:$O$95,15,0))</f>
        <v>735.45</v>
      </c>
      <c r="X2122" s="6">
        <f>IF(ISERROR(VLOOKUP($U$2122,'TAR FIN'!$A$1:$O$95,15,0)),0,VLOOKUP($U$2122,'TAR FIN'!$A$1:$O$95,15,0))</f>
        <v>230.03</v>
      </c>
      <c r="Y2122" s="6"/>
      <c r="Z2122" s="6">
        <f ca="1">('TUSD BE'!$AM$51+'TUSD BF'!$AM$51+'TUSD CVA'!$AM$51)*1</f>
        <v>825.79679216117552</v>
      </c>
      <c r="AA2122" s="6">
        <f>('TE BE'!$AA$39+'TE BF'!$AA$39+'TE CVA'!$AA$39)*1</f>
        <v>282.91739971702214</v>
      </c>
      <c r="AB2122" s="6">
        <f>$K$2122*$V$2122</f>
        <v>0</v>
      </c>
      <c r="AC2122" s="6">
        <f>$M$2122*$W$2122</f>
        <v>3828.7527000000005</v>
      </c>
      <c r="AD2122" s="6">
        <f>$O$2122*$X$2122</f>
        <v>1197.5361800000001</v>
      </c>
      <c r="AE2122" s="6">
        <f>$K$2122*$Y$2122</f>
        <v>0</v>
      </c>
      <c r="AF2122" s="6">
        <f ca="1">$M$2122*$Z$2122</f>
        <v>4299.0980999910798</v>
      </c>
      <c r="AG2122" s="6">
        <f>$O$2122*$AA$2122</f>
        <v>1472.8679829268174</v>
      </c>
    </row>
    <row r="2123" spans="1:33" ht="11.25" customHeight="1" x14ac:dyDescent="0.25">
      <c r="A2123" s="4" t="s">
        <v>21</v>
      </c>
      <c r="B2123" s="4" t="s">
        <v>41</v>
      </c>
      <c r="C2123" s="4" t="s">
        <v>39</v>
      </c>
      <c r="D2123" s="4" t="s">
        <v>45</v>
      </c>
      <c r="E2123" s="4" t="s">
        <v>25</v>
      </c>
      <c r="F2123" s="4" t="s">
        <v>25</v>
      </c>
      <c r="G2123" s="4" t="s">
        <v>25</v>
      </c>
      <c r="H2123" s="4" t="s">
        <v>40</v>
      </c>
      <c r="I2123" s="5">
        <v>44197</v>
      </c>
      <c r="J2123" s="6">
        <v>0</v>
      </c>
      <c r="K2123" s="6">
        <v>0</v>
      </c>
      <c r="L2123" s="6">
        <v>2.5529999999999999</v>
      </c>
      <c r="M2123" s="6">
        <v>2.5529999999999999</v>
      </c>
      <c r="N2123" s="6">
        <v>2.5529999999999999</v>
      </c>
      <c r="O2123" s="6">
        <v>2.5529999999999999</v>
      </c>
      <c r="P2123" s="6">
        <v>0</v>
      </c>
      <c r="Q2123" s="4" t="s">
        <v>26</v>
      </c>
      <c r="R2123" s="4">
        <v>0</v>
      </c>
      <c r="S2123" s="6">
        <v>0</v>
      </c>
      <c r="T2123" s="6">
        <v>75</v>
      </c>
      <c r="U2123" s="6">
        <v>76</v>
      </c>
      <c r="V2123" s="6">
        <f>IF(ISERROR(VLOOKUP($S$2123,'TAR FIN'!$A$1:$O$95,15,0)),0,VLOOKUP($S$2123,'TAR FIN'!$A$1:$O$95,15,0))</f>
        <v>0</v>
      </c>
      <c r="W2123" s="6">
        <f>IF(ISERROR(VLOOKUP($T$2123,'TAR FIN'!$A$1:$O$95,15,0)),0,VLOOKUP($T$2123,'TAR FIN'!$A$1:$O$95,15,0))</f>
        <v>735.45</v>
      </c>
      <c r="X2123" s="6">
        <f>IF(ISERROR(VLOOKUP($U$2123,'TAR FIN'!$A$1:$O$95,15,0)),0,VLOOKUP($U$2123,'TAR FIN'!$A$1:$O$95,15,0))</f>
        <v>230.03</v>
      </c>
      <c r="Y2123" s="6"/>
      <c r="Z2123" s="6">
        <f ca="1">('TUSD BE'!$AM$51+'TUSD BF'!$AM$51+'TUSD CVA'!$AM$51)*1</f>
        <v>825.79679216117552</v>
      </c>
      <c r="AA2123" s="6">
        <f>('TE BE'!$AA$39+'TE BF'!$AA$39+'TE CVA'!$AA$39)*1</f>
        <v>282.91739971702214</v>
      </c>
      <c r="AB2123" s="6">
        <f>$K$2123*$V$2123</f>
        <v>0</v>
      </c>
      <c r="AC2123" s="6">
        <f>$M$2123*$W$2123</f>
        <v>1877.60385</v>
      </c>
      <c r="AD2123" s="6">
        <f>$O$2123*$X$2123</f>
        <v>587.26658999999995</v>
      </c>
      <c r="AE2123" s="6">
        <f>$K$2123*$Y$2123</f>
        <v>0</v>
      </c>
      <c r="AF2123" s="6">
        <f ca="1">$M$2123*$Z$2123</f>
        <v>2108.2592103874808</v>
      </c>
      <c r="AG2123" s="6">
        <f>$O$2123*$AA$2123</f>
        <v>722.28812147755752</v>
      </c>
    </row>
    <row r="2124" spans="1:33" ht="11.25" customHeight="1" x14ac:dyDescent="0.25">
      <c r="A2124" s="4" t="s">
        <v>27</v>
      </c>
      <c r="B2124" s="4" t="s">
        <v>41</v>
      </c>
      <c r="C2124" s="4" t="s">
        <v>39</v>
      </c>
      <c r="D2124" s="4" t="s">
        <v>45</v>
      </c>
      <c r="E2124" s="4" t="s">
        <v>25</v>
      </c>
      <c r="F2124" s="4" t="s">
        <v>25</v>
      </c>
      <c r="G2124" s="4" t="s">
        <v>25</v>
      </c>
      <c r="H2124" s="4" t="s">
        <v>40</v>
      </c>
      <c r="I2124" s="5">
        <v>44197</v>
      </c>
      <c r="J2124" s="6">
        <v>0</v>
      </c>
      <c r="K2124" s="6">
        <v>0</v>
      </c>
      <c r="L2124" s="6">
        <v>-1E-3</v>
      </c>
      <c r="M2124" s="6">
        <v>-1E-3</v>
      </c>
      <c r="N2124" s="6">
        <v>-1E-3</v>
      </c>
      <c r="O2124" s="6">
        <v>-1E-3</v>
      </c>
      <c r="P2124" s="6">
        <v>0</v>
      </c>
      <c r="Q2124" s="4" t="s">
        <v>26</v>
      </c>
      <c r="R2124" s="4">
        <v>0</v>
      </c>
      <c r="S2124" s="6">
        <v>0</v>
      </c>
      <c r="T2124" s="6">
        <v>75</v>
      </c>
      <c r="U2124" s="6">
        <v>76</v>
      </c>
      <c r="V2124" s="6">
        <f>IF(ISERROR(VLOOKUP($S$2124,'TAR FIN'!$A$1:$O$95,15,0)),0,VLOOKUP($S$2124,'TAR FIN'!$A$1:$O$95,15,0))</f>
        <v>0</v>
      </c>
      <c r="W2124" s="6">
        <f>IF(ISERROR(VLOOKUP($T$2124,'TAR FIN'!$A$1:$O$95,15,0)),0,VLOOKUP($T$2124,'TAR FIN'!$A$1:$O$95,15,0))</f>
        <v>735.45</v>
      </c>
      <c r="X2124" s="6">
        <f>IF(ISERROR(VLOOKUP($U$2124,'TAR FIN'!$A$1:$O$95,15,0)),0,VLOOKUP($U$2124,'TAR FIN'!$A$1:$O$95,15,0))</f>
        <v>230.03</v>
      </c>
      <c r="Y2124" s="6"/>
      <c r="Z2124" s="6">
        <f ca="1">('TUSD BE'!$AM$51+'TUSD BF'!$AM$51+'TUSD CVA'!$AM$51)*1</f>
        <v>825.79679216117552</v>
      </c>
      <c r="AA2124" s="6">
        <f>('TE BE'!$AA$39+'TE BF'!$AA$39+'TE CVA'!$AA$39)*1</f>
        <v>282.91739971702214</v>
      </c>
      <c r="AB2124" s="6">
        <f>$K$2124*$V$2124</f>
        <v>0</v>
      </c>
      <c r="AC2124" s="6">
        <f>$M$2124*$W$2124</f>
        <v>-0.73545000000000005</v>
      </c>
      <c r="AD2124" s="6">
        <f>$O$2124*$X$2124</f>
        <v>-0.23003000000000001</v>
      </c>
      <c r="AE2124" s="6">
        <f>$K$2124*$Y$2124</f>
        <v>0</v>
      </c>
      <c r="AF2124" s="6">
        <f ca="1">$M$2124*$Z$2124</f>
        <v>-0.82579679216117552</v>
      </c>
      <c r="AG2124" s="6">
        <f>$O$2124*$AA$2124</f>
        <v>-0.28291739971702212</v>
      </c>
    </row>
    <row r="2125" spans="1:33" ht="11.25" customHeight="1" x14ac:dyDescent="0.25">
      <c r="A2125" s="4" t="s">
        <v>28</v>
      </c>
      <c r="B2125" s="4" t="s">
        <v>41</v>
      </c>
      <c r="C2125" s="4" t="s">
        <v>39</v>
      </c>
      <c r="D2125" s="4" t="s">
        <v>45</v>
      </c>
      <c r="E2125" s="4" t="s">
        <v>25</v>
      </c>
      <c r="F2125" s="4" t="s">
        <v>25</v>
      </c>
      <c r="G2125" s="4" t="s">
        <v>25</v>
      </c>
      <c r="H2125" s="4" t="s">
        <v>40</v>
      </c>
      <c r="I2125" s="5">
        <v>44197</v>
      </c>
      <c r="J2125" s="6">
        <v>0</v>
      </c>
      <c r="K2125" s="6">
        <v>0</v>
      </c>
      <c r="L2125" s="6">
        <v>3.629</v>
      </c>
      <c r="M2125" s="6">
        <v>3.629</v>
      </c>
      <c r="N2125" s="6">
        <v>3.629</v>
      </c>
      <c r="O2125" s="6">
        <v>3.629</v>
      </c>
      <c r="P2125" s="6">
        <v>0</v>
      </c>
      <c r="Q2125" s="4" t="s">
        <v>26</v>
      </c>
      <c r="R2125" s="4">
        <v>0</v>
      </c>
      <c r="S2125" s="6">
        <v>0</v>
      </c>
      <c r="T2125" s="6">
        <v>75</v>
      </c>
      <c r="U2125" s="6">
        <v>76</v>
      </c>
      <c r="V2125" s="6">
        <f>IF(ISERROR(VLOOKUP($S$2125,'TAR FIN'!$A$1:$O$95,15,0)),0,VLOOKUP($S$2125,'TAR FIN'!$A$1:$O$95,15,0))</f>
        <v>0</v>
      </c>
      <c r="W2125" s="6">
        <f>IF(ISERROR(VLOOKUP($T$2125,'TAR FIN'!$A$1:$O$95,15,0)),0,VLOOKUP($T$2125,'TAR FIN'!$A$1:$O$95,15,0))</f>
        <v>735.45</v>
      </c>
      <c r="X2125" s="6">
        <f>IF(ISERROR(VLOOKUP($U$2125,'TAR FIN'!$A$1:$O$95,15,0)),0,VLOOKUP($U$2125,'TAR FIN'!$A$1:$O$95,15,0))</f>
        <v>230.03</v>
      </c>
      <c r="Y2125" s="6"/>
      <c r="Z2125" s="6">
        <f ca="1">('TUSD BE'!$AM$51+'TUSD BF'!$AM$51+'TUSD CVA'!$AM$51)*1</f>
        <v>825.79679216117552</v>
      </c>
      <c r="AA2125" s="6">
        <f>('TE BE'!$AA$39+'TE BF'!$AA$39+'TE CVA'!$AA$39)*1</f>
        <v>282.91739971702214</v>
      </c>
      <c r="AB2125" s="6">
        <f>$K$2125*$V$2125</f>
        <v>0</v>
      </c>
      <c r="AC2125" s="6">
        <f>$M$2125*$W$2125</f>
        <v>2668.94805</v>
      </c>
      <c r="AD2125" s="6">
        <f>$O$2125*$X$2125</f>
        <v>834.77886999999998</v>
      </c>
      <c r="AE2125" s="6">
        <f>$K$2125*$Y$2125</f>
        <v>0</v>
      </c>
      <c r="AF2125" s="6">
        <f ca="1">$M$2125*$Z$2125</f>
        <v>2996.8165587529061</v>
      </c>
      <c r="AG2125" s="6">
        <f>$O$2125*$AA$2125</f>
        <v>1026.7072435730734</v>
      </c>
    </row>
    <row r="2126" spans="1:33" ht="11.25" customHeight="1" x14ac:dyDescent="0.25">
      <c r="A2126" s="4" t="s">
        <v>21</v>
      </c>
      <c r="B2126" s="4" t="s">
        <v>41</v>
      </c>
      <c r="C2126" s="4" t="s">
        <v>39</v>
      </c>
      <c r="D2126" s="4" t="s">
        <v>45</v>
      </c>
      <c r="E2126" s="4" t="s">
        <v>25</v>
      </c>
      <c r="F2126" s="4" t="s">
        <v>25</v>
      </c>
      <c r="G2126" s="4" t="s">
        <v>25</v>
      </c>
      <c r="H2126" s="4" t="s">
        <v>40</v>
      </c>
      <c r="I2126" s="5">
        <v>44228</v>
      </c>
      <c r="J2126" s="6">
        <v>0</v>
      </c>
      <c r="K2126" s="6">
        <v>0</v>
      </c>
      <c r="L2126" s="6">
        <v>2.4649999999999999</v>
      </c>
      <c r="M2126" s="6">
        <v>2.4649999999999999</v>
      </c>
      <c r="N2126" s="6">
        <v>2.4649999999999999</v>
      </c>
      <c r="O2126" s="6">
        <v>2.4649999999999999</v>
      </c>
      <c r="P2126" s="6">
        <v>0</v>
      </c>
      <c r="Q2126" s="4" t="s">
        <v>26</v>
      </c>
      <c r="R2126" s="4">
        <v>0</v>
      </c>
      <c r="S2126" s="6">
        <v>0</v>
      </c>
      <c r="T2126" s="6">
        <v>75</v>
      </c>
      <c r="U2126" s="6">
        <v>76</v>
      </c>
      <c r="V2126" s="6">
        <f>IF(ISERROR(VLOOKUP($S$2126,'TAR FIN'!$A$1:$O$95,15,0)),0,VLOOKUP($S$2126,'TAR FIN'!$A$1:$O$95,15,0))</f>
        <v>0</v>
      </c>
      <c r="W2126" s="6">
        <f>IF(ISERROR(VLOOKUP($T$2126,'TAR FIN'!$A$1:$O$95,15,0)),0,VLOOKUP($T$2126,'TAR FIN'!$A$1:$O$95,15,0))</f>
        <v>735.45</v>
      </c>
      <c r="X2126" s="6">
        <f>IF(ISERROR(VLOOKUP($U$2126,'TAR FIN'!$A$1:$O$95,15,0)),0,VLOOKUP($U$2126,'TAR FIN'!$A$1:$O$95,15,0))</f>
        <v>230.03</v>
      </c>
      <c r="Y2126" s="6"/>
      <c r="Z2126" s="6">
        <f ca="1">('TUSD BE'!$AM$51+'TUSD BF'!$AM$51+'TUSD CVA'!$AM$51)*1</f>
        <v>825.79679216117552</v>
      </c>
      <c r="AA2126" s="6">
        <f>('TE BE'!$AA$39+'TE BF'!$AA$39+'TE CVA'!$AA$39)*1</f>
        <v>282.91739971702214</v>
      </c>
      <c r="AB2126" s="6">
        <f>$K$2126*$V$2126</f>
        <v>0</v>
      </c>
      <c r="AC2126" s="6">
        <f>$M$2126*$W$2126</f>
        <v>1812.8842500000001</v>
      </c>
      <c r="AD2126" s="6">
        <f>$O$2126*$X$2126</f>
        <v>567.02395000000001</v>
      </c>
      <c r="AE2126" s="6">
        <f>$K$2126*$Y$2126</f>
        <v>0</v>
      </c>
      <c r="AF2126" s="6">
        <f ca="1">$M$2126*$Z$2126</f>
        <v>2035.5890926772975</v>
      </c>
      <c r="AG2126" s="6">
        <f>$O$2126*$AA$2126</f>
        <v>697.39139030245951</v>
      </c>
    </row>
    <row r="2127" spans="1:33" ht="11.25" customHeight="1" x14ac:dyDescent="0.25">
      <c r="A2127" s="4" t="s">
        <v>28</v>
      </c>
      <c r="B2127" s="4" t="s">
        <v>41</v>
      </c>
      <c r="C2127" s="4" t="s">
        <v>39</v>
      </c>
      <c r="D2127" s="4" t="s">
        <v>45</v>
      </c>
      <c r="E2127" s="4" t="s">
        <v>25</v>
      </c>
      <c r="F2127" s="4" t="s">
        <v>25</v>
      </c>
      <c r="G2127" s="4" t="s">
        <v>25</v>
      </c>
      <c r="H2127" s="4" t="s">
        <v>40</v>
      </c>
      <c r="I2127" s="5">
        <v>44228</v>
      </c>
      <c r="J2127" s="6">
        <v>0</v>
      </c>
      <c r="K2127" s="6">
        <v>0</v>
      </c>
      <c r="L2127" s="6">
        <v>4.907</v>
      </c>
      <c r="M2127" s="6">
        <v>4.907</v>
      </c>
      <c r="N2127" s="6">
        <v>4.907</v>
      </c>
      <c r="O2127" s="6">
        <v>4.907</v>
      </c>
      <c r="P2127" s="6">
        <v>0</v>
      </c>
      <c r="Q2127" s="4" t="s">
        <v>26</v>
      </c>
      <c r="R2127" s="4">
        <v>0</v>
      </c>
      <c r="S2127" s="6">
        <v>0</v>
      </c>
      <c r="T2127" s="6">
        <v>75</v>
      </c>
      <c r="U2127" s="6">
        <v>76</v>
      </c>
      <c r="V2127" s="6">
        <f>IF(ISERROR(VLOOKUP($S$2127,'TAR FIN'!$A$1:$O$95,15,0)),0,VLOOKUP($S$2127,'TAR FIN'!$A$1:$O$95,15,0))</f>
        <v>0</v>
      </c>
      <c r="W2127" s="6">
        <f>IF(ISERROR(VLOOKUP($T$2127,'TAR FIN'!$A$1:$O$95,15,0)),0,VLOOKUP($T$2127,'TAR FIN'!$A$1:$O$95,15,0))</f>
        <v>735.45</v>
      </c>
      <c r="X2127" s="6">
        <f>IF(ISERROR(VLOOKUP($U$2127,'TAR FIN'!$A$1:$O$95,15,0)),0,VLOOKUP($U$2127,'TAR FIN'!$A$1:$O$95,15,0))</f>
        <v>230.03</v>
      </c>
      <c r="Y2127" s="6"/>
      <c r="Z2127" s="6">
        <f ca="1">('TUSD BE'!$AM$51+'TUSD BF'!$AM$51+'TUSD CVA'!$AM$51)*1</f>
        <v>825.79679216117552</v>
      </c>
      <c r="AA2127" s="6">
        <f>('TE BE'!$AA$39+'TE BF'!$AA$39+'TE CVA'!$AA$39)*1</f>
        <v>282.91739971702214</v>
      </c>
      <c r="AB2127" s="6">
        <f>$K$2127*$V$2127</f>
        <v>0</v>
      </c>
      <c r="AC2127" s="6">
        <f>$M$2127*$W$2127</f>
        <v>3608.8531500000004</v>
      </c>
      <c r="AD2127" s="6">
        <f>$O$2127*$X$2127</f>
        <v>1128.75721</v>
      </c>
      <c r="AE2127" s="6">
        <f>$K$2127*$Y$2127</f>
        <v>0</v>
      </c>
      <c r="AF2127" s="6">
        <f ca="1">$M$2127*$Z$2127</f>
        <v>4052.1848591348885</v>
      </c>
      <c r="AG2127" s="6">
        <f>$O$2127*$AA$2127</f>
        <v>1388.2756804114276</v>
      </c>
    </row>
    <row r="2128" spans="1:33" ht="11.25" customHeight="1" x14ac:dyDescent="0.25">
      <c r="A2128" s="4" t="s">
        <v>21</v>
      </c>
      <c r="B2128" s="4" t="s">
        <v>41</v>
      </c>
      <c r="C2128" s="4" t="s">
        <v>39</v>
      </c>
      <c r="D2128" s="4" t="s">
        <v>45</v>
      </c>
      <c r="E2128" s="4" t="s">
        <v>25</v>
      </c>
      <c r="F2128" s="4" t="s">
        <v>25</v>
      </c>
      <c r="G2128" s="4" t="s">
        <v>25</v>
      </c>
      <c r="H2128" s="4" t="s">
        <v>40</v>
      </c>
      <c r="I2128" s="5">
        <v>44256</v>
      </c>
      <c r="J2128" s="6">
        <v>0</v>
      </c>
      <c r="K2128" s="6">
        <v>0</v>
      </c>
      <c r="L2128" s="6">
        <v>2.2559999999999998</v>
      </c>
      <c r="M2128" s="6">
        <v>2.2559999999999998</v>
      </c>
      <c r="N2128" s="6">
        <v>2.2559999999999998</v>
      </c>
      <c r="O2128" s="6">
        <v>2.2559999999999998</v>
      </c>
      <c r="P2128" s="6">
        <v>0</v>
      </c>
      <c r="Q2128" s="4" t="s">
        <v>26</v>
      </c>
      <c r="R2128" s="4">
        <v>0</v>
      </c>
      <c r="S2128" s="6">
        <v>0</v>
      </c>
      <c r="T2128" s="6">
        <v>75</v>
      </c>
      <c r="U2128" s="6">
        <v>76</v>
      </c>
      <c r="V2128" s="6">
        <f>IF(ISERROR(VLOOKUP($S$2128,'TAR FIN'!$A$1:$O$95,15,0)),0,VLOOKUP($S$2128,'TAR FIN'!$A$1:$O$95,15,0))</f>
        <v>0</v>
      </c>
      <c r="W2128" s="6">
        <f>IF(ISERROR(VLOOKUP($T$2128,'TAR FIN'!$A$1:$O$95,15,0)),0,VLOOKUP($T$2128,'TAR FIN'!$A$1:$O$95,15,0))</f>
        <v>735.45</v>
      </c>
      <c r="X2128" s="6">
        <f>IF(ISERROR(VLOOKUP($U$2128,'TAR FIN'!$A$1:$O$95,15,0)),0,VLOOKUP($U$2128,'TAR FIN'!$A$1:$O$95,15,0))</f>
        <v>230.03</v>
      </c>
      <c r="Y2128" s="6"/>
      <c r="Z2128" s="6">
        <f ca="1">('TUSD BE'!$AM$51+'TUSD BF'!$AM$51+'TUSD CVA'!$AM$51)*1</f>
        <v>825.79679216117552</v>
      </c>
      <c r="AA2128" s="6">
        <f>('TE BE'!$AA$39+'TE BF'!$AA$39+'TE CVA'!$AA$39)*1</f>
        <v>282.91739971702214</v>
      </c>
      <c r="AB2128" s="6">
        <f>$K$2128*$V$2128</f>
        <v>0</v>
      </c>
      <c r="AC2128" s="6">
        <f>$M$2128*$W$2128</f>
        <v>1659.1751999999999</v>
      </c>
      <c r="AD2128" s="6">
        <f>$O$2128*$X$2128</f>
        <v>518.94767999999999</v>
      </c>
      <c r="AE2128" s="6">
        <f>$K$2128*$Y$2128</f>
        <v>0</v>
      </c>
      <c r="AF2128" s="6">
        <f ca="1">$M$2128*$Z$2128</f>
        <v>1862.9975631156117</v>
      </c>
      <c r="AG2128" s="6">
        <f>$O$2128*$AA$2128</f>
        <v>638.26165376160191</v>
      </c>
    </row>
    <row r="2129" spans="1:33" ht="11.25" customHeight="1" x14ac:dyDescent="0.25">
      <c r="A2129" s="4" t="s">
        <v>28</v>
      </c>
      <c r="B2129" s="4" t="s">
        <v>41</v>
      </c>
      <c r="C2129" s="4" t="s">
        <v>39</v>
      </c>
      <c r="D2129" s="4" t="s">
        <v>45</v>
      </c>
      <c r="E2129" s="4" t="s">
        <v>25</v>
      </c>
      <c r="F2129" s="4" t="s">
        <v>25</v>
      </c>
      <c r="G2129" s="4" t="s">
        <v>25</v>
      </c>
      <c r="H2129" s="4" t="s">
        <v>40</v>
      </c>
      <c r="I2129" s="5">
        <v>44256</v>
      </c>
      <c r="J2129" s="6">
        <v>0</v>
      </c>
      <c r="K2129" s="6">
        <v>0</v>
      </c>
      <c r="L2129" s="6">
        <v>5.4749999999999996</v>
      </c>
      <c r="M2129" s="6">
        <v>5.4749999999999996</v>
      </c>
      <c r="N2129" s="6">
        <v>5.4749999999999996</v>
      </c>
      <c r="O2129" s="6">
        <v>5.4749999999999996</v>
      </c>
      <c r="P2129" s="6">
        <v>0</v>
      </c>
      <c r="Q2129" s="4" t="s">
        <v>26</v>
      </c>
      <c r="R2129" s="4">
        <v>0</v>
      </c>
      <c r="S2129" s="6">
        <v>0</v>
      </c>
      <c r="T2129" s="6">
        <v>75</v>
      </c>
      <c r="U2129" s="6">
        <v>76</v>
      </c>
      <c r="V2129" s="6">
        <f>IF(ISERROR(VLOOKUP($S$2129,'TAR FIN'!$A$1:$O$95,15,0)),0,VLOOKUP($S$2129,'TAR FIN'!$A$1:$O$95,15,0))</f>
        <v>0</v>
      </c>
      <c r="W2129" s="6">
        <f>IF(ISERROR(VLOOKUP($T$2129,'TAR FIN'!$A$1:$O$95,15,0)),0,VLOOKUP($T$2129,'TAR FIN'!$A$1:$O$95,15,0))</f>
        <v>735.45</v>
      </c>
      <c r="X2129" s="6">
        <f>IF(ISERROR(VLOOKUP($U$2129,'TAR FIN'!$A$1:$O$95,15,0)),0,VLOOKUP($U$2129,'TAR FIN'!$A$1:$O$95,15,0))</f>
        <v>230.03</v>
      </c>
      <c r="Y2129" s="6"/>
      <c r="Z2129" s="6">
        <f ca="1">('TUSD BE'!$AM$51+'TUSD BF'!$AM$51+'TUSD CVA'!$AM$51)*1</f>
        <v>825.79679216117552</v>
      </c>
      <c r="AA2129" s="6">
        <f>('TE BE'!$AA$39+'TE BF'!$AA$39+'TE CVA'!$AA$39)*1</f>
        <v>282.91739971702214</v>
      </c>
      <c r="AB2129" s="6">
        <f>$K$2129*$V$2129</f>
        <v>0</v>
      </c>
      <c r="AC2129" s="6">
        <f>$M$2129*$W$2129</f>
        <v>4026.5887499999999</v>
      </c>
      <c r="AD2129" s="6">
        <f>$O$2129*$X$2129</f>
        <v>1259.4142499999998</v>
      </c>
      <c r="AE2129" s="6">
        <f>$K$2129*$Y$2129</f>
        <v>0</v>
      </c>
      <c r="AF2129" s="6">
        <f ca="1">$M$2129*$Z$2129</f>
        <v>4521.2374370824355</v>
      </c>
      <c r="AG2129" s="6">
        <f>$O$2129*$AA$2129</f>
        <v>1548.972763450696</v>
      </c>
    </row>
    <row r="2130" spans="1:33" ht="11.25" customHeight="1" x14ac:dyDescent="0.25">
      <c r="A2130" s="4" t="s">
        <v>21</v>
      </c>
      <c r="B2130" s="4" t="s">
        <v>41</v>
      </c>
      <c r="C2130" s="4" t="s">
        <v>39</v>
      </c>
      <c r="D2130" s="4" t="s">
        <v>45</v>
      </c>
      <c r="E2130" s="4" t="s">
        <v>25</v>
      </c>
      <c r="F2130" s="4" t="s">
        <v>25</v>
      </c>
      <c r="G2130" s="4" t="s">
        <v>25</v>
      </c>
      <c r="H2130" s="4" t="s">
        <v>40</v>
      </c>
      <c r="I2130" s="5">
        <v>44287</v>
      </c>
      <c r="J2130" s="6">
        <v>0</v>
      </c>
      <c r="K2130" s="6">
        <v>0</v>
      </c>
      <c r="L2130" s="6">
        <v>2.875</v>
      </c>
      <c r="M2130" s="6">
        <v>2.875</v>
      </c>
      <c r="N2130" s="6">
        <v>2.875</v>
      </c>
      <c r="O2130" s="6">
        <v>2.875</v>
      </c>
      <c r="P2130" s="6">
        <v>0</v>
      </c>
      <c r="Q2130" s="4" t="s">
        <v>26</v>
      </c>
      <c r="R2130" s="4">
        <v>0</v>
      </c>
      <c r="S2130" s="6">
        <v>0</v>
      </c>
      <c r="T2130" s="6">
        <v>75</v>
      </c>
      <c r="U2130" s="6">
        <v>76</v>
      </c>
      <c r="V2130" s="6">
        <f>IF(ISERROR(VLOOKUP($S$2130,'TAR FIN'!$A$1:$O$95,15,0)),0,VLOOKUP($S$2130,'TAR FIN'!$A$1:$O$95,15,0))</f>
        <v>0</v>
      </c>
      <c r="W2130" s="6">
        <f>IF(ISERROR(VLOOKUP($T$2130,'TAR FIN'!$A$1:$O$95,15,0)),0,VLOOKUP($T$2130,'TAR FIN'!$A$1:$O$95,15,0))</f>
        <v>735.45</v>
      </c>
      <c r="X2130" s="6">
        <f>IF(ISERROR(VLOOKUP($U$2130,'TAR FIN'!$A$1:$O$95,15,0)),0,VLOOKUP($U$2130,'TAR FIN'!$A$1:$O$95,15,0))</f>
        <v>230.03</v>
      </c>
      <c r="Y2130" s="6"/>
      <c r="Z2130" s="6">
        <f ca="1">('TUSD BE'!$AM$51+'TUSD BF'!$AM$51+'TUSD CVA'!$AM$51)*1</f>
        <v>825.79679216117552</v>
      </c>
      <c r="AA2130" s="6">
        <f>('TE BE'!$AA$39+'TE BF'!$AA$39+'TE CVA'!$AA$39)*1</f>
        <v>282.91739971702214</v>
      </c>
      <c r="AB2130" s="6">
        <f>$K$2130*$V$2130</f>
        <v>0</v>
      </c>
      <c r="AC2130" s="6">
        <f>$M$2130*$W$2130</f>
        <v>2114.4187500000003</v>
      </c>
      <c r="AD2130" s="6">
        <f>$O$2130*$X$2130</f>
        <v>661.33624999999995</v>
      </c>
      <c r="AE2130" s="6">
        <f>$K$2130*$Y$2130</f>
        <v>0</v>
      </c>
      <c r="AF2130" s="6">
        <f ca="1">$M$2130*$Z$2130</f>
        <v>2374.1657774633795</v>
      </c>
      <c r="AG2130" s="6">
        <f>$O$2130*$AA$2130</f>
        <v>813.38752418643867</v>
      </c>
    </row>
    <row r="2131" spans="1:33" ht="11.25" customHeight="1" x14ac:dyDescent="0.25">
      <c r="A2131" s="4" t="s">
        <v>28</v>
      </c>
      <c r="B2131" s="4" t="s">
        <v>41</v>
      </c>
      <c r="C2131" s="4" t="s">
        <v>39</v>
      </c>
      <c r="D2131" s="4" t="s">
        <v>45</v>
      </c>
      <c r="E2131" s="4" t="s">
        <v>25</v>
      </c>
      <c r="F2131" s="4" t="s">
        <v>25</v>
      </c>
      <c r="G2131" s="4" t="s">
        <v>25</v>
      </c>
      <c r="H2131" s="4" t="s">
        <v>40</v>
      </c>
      <c r="I2131" s="5">
        <v>44287</v>
      </c>
      <c r="J2131" s="6">
        <v>0</v>
      </c>
      <c r="K2131" s="6">
        <v>0</v>
      </c>
      <c r="L2131" s="6">
        <v>5.2869999999999999</v>
      </c>
      <c r="M2131" s="6">
        <v>5.2869999999999999</v>
      </c>
      <c r="N2131" s="6">
        <v>5.2869999999999999</v>
      </c>
      <c r="O2131" s="6">
        <v>5.2869999999999999</v>
      </c>
      <c r="P2131" s="6">
        <v>0</v>
      </c>
      <c r="Q2131" s="4" t="s">
        <v>26</v>
      </c>
      <c r="R2131" s="4">
        <v>0</v>
      </c>
      <c r="S2131" s="6">
        <v>0</v>
      </c>
      <c r="T2131" s="6">
        <v>75</v>
      </c>
      <c r="U2131" s="6">
        <v>76</v>
      </c>
      <c r="V2131" s="6">
        <f>IF(ISERROR(VLOOKUP($S$2131,'TAR FIN'!$A$1:$O$95,15,0)),0,VLOOKUP($S$2131,'TAR FIN'!$A$1:$O$95,15,0))</f>
        <v>0</v>
      </c>
      <c r="W2131" s="6">
        <f>IF(ISERROR(VLOOKUP($T$2131,'TAR FIN'!$A$1:$O$95,15,0)),0,VLOOKUP($T$2131,'TAR FIN'!$A$1:$O$95,15,0))</f>
        <v>735.45</v>
      </c>
      <c r="X2131" s="6">
        <f>IF(ISERROR(VLOOKUP($U$2131,'TAR FIN'!$A$1:$O$95,15,0)),0,VLOOKUP($U$2131,'TAR FIN'!$A$1:$O$95,15,0))</f>
        <v>230.03</v>
      </c>
      <c r="Y2131" s="6"/>
      <c r="Z2131" s="6">
        <f ca="1">('TUSD BE'!$AM$51+'TUSD BF'!$AM$51+'TUSD CVA'!$AM$51)*1</f>
        <v>825.79679216117552</v>
      </c>
      <c r="AA2131" s="6">
        <f>('TE BE'!$AA$39+'TE BF'!$AA$39+'TE CVA'!$AA$39)*1</f>
        <v>282.91739971702214</v>
      </c>
      <c r="AB2131" s="6">
        <f>$K$2131*$V$2131</f>
        <v>0</v>
      </c>
      <c r="AC2131" s="6">
        <f>$M$2131*$W$2131</f>
        <v>3888.3241500000004</v>
      </c>
      <c r="AD2131" s="6">
        <f>$O$2131*$X$2131</f>
        <v>1216.1686099999999</v>
      </c>
      <c r="AE2131" s="6">
        <f>$K$2131*$Y$2131</f>
        <v>0</v>
      </c>
      <c r="AF2131" s="6">
        <f ca="1">$M$2131*$Z$2131</f>
        <v>4365.9876401561351</v>
      </c>
      <c r="AG2131" s="6">
        <f>$O$2131*$AA$2131</f>
        <v>1495.7842923038961</v>
      </c>
    </row>
    <row r="2132" spans="1:33" ht="11.25" customHeight="1" x14ac:dyDescent="0.25">
      <c r="A2132" s="4" t="s">
        <v>21</v>
      </c>
      <c r="B2132" s="4" t="s">
        <v>41</v>
      </c>
      <c r="C2132" s="4" t="s">
        <v>39</v>
      </c>
      <c r="D2132" s="4" t="s">
        <v>45</v>
      </c>
      <c r="E2132" s="4" t="s">
        <v>25</v>
      </c>
      <c r="F2132" s="4" t="s">
        <v>25</v>
      </c>
      <c r="G2132" s="4" t="s">
        <v>25</v>
      </c>
      <c r="H2132" s="4" t="s">
        <v>40</v>
      </c>
      <c r="I2132" s="5">
        <v>44317</v>
      </c>
      <c r="J2132" s="6">
        <v>0</v>
      </c>
      <c r="K2132" s="6">
        <v>0</v>
      </c>
      <c r="L2132" s="6">
        <v>2.6680000000000001</v>
      </c>
      <c r="M2132" s="6">
        <v>2.6680000000000001</v>
      </c>
      <c r="N2132" s="6">
        <v>2.6680000000000001</v>
      </c>
      <c r="O2132" s="6">
        <v>2.6680000000000001</v>
      </c>
      <c r="P2132" s="6">
        <v>0</v>
      </c>
      <c r="Q2132" s="4" t="s">
        <v>26</v>
      </c>
      <c r="R2132" s="4">
        <v>0</v>
      </c>
      <c r="S2132" s="6">
        <v>0</v>
      </c>
      <c r="T2132" s="6">
        <v>75</v>
      </c>
      <c r="U2132" s="6">
        <v>76</v>
      </c>
      <c r="V2132" s="6">
        <f>IF(ISERROR(VLOOKUP($S$2132,'TAR FIN'!$A$1:$O$95,15,0)),0,VLOOKUP($S$2132,'TAR FIN'!$A$1:$O$95,15,0))</f>
        <v>0</v>
      </c>
      <c r="W2132" s="6">
        <f>IF(ISERROR(VLOOKUP($T$2132,'TAR FIN'!$A$1:$O$95,15,0)),0,VLOOKUP($T$2132,'TAR FIN'!$A$1:$O$95,15,0))</f>
        <v>735.45</v>
      </c>
      <c r="X2132" s="6">
        <f>IF(ISERROR(VLOOKUP($U$2132,'TAR FIN'!$A$1:$O$95,15,0)),0,VLOOKUP($U$2132,'TAR FIN'!$A$1:$O$95,15,0))</f>
        <v>230.03</v>
      </c>
      <c r="Y2132" s="6"/>
      <c r="Z2132" s="6">
        <f ca="1">('TUSD BE'!$AM$51+'TUSD BF'!$AM$51+'TUSD CVA'!$AM$51)*1</f>
        <v>825.79679216117552</v>
      </c>
      <c r="AA2132" s="6">
        <f>('TE BE'!$AA$39+'TE BF'!$AA$39+'TE CVA'!$AA$39)*1</f>
        <v>282.91739971702214</v>
      </c>
      <c r="AB2132" s="6">
        <f>$K$2132*$V$2132</f>
        <v>0</v>
      </c>
      <c r="AC2132" s="6">
        <f>$M$2132*$W$2132</f>
        <v>1962.1806000000001</v>
      </c>
      <c r="AD2132" s="6">
        <f>$O$2132*$X$2132</f>
        <v>613.72004000000004</v>
      </c>
      <c r="AE2132" s="6">
        <f>$K$2132*$Y$2132</f>
        <v>0</v>
      </c>
      <c r="AF2132" s="6">
        <f ca="1">$M$2132*$Z$2132</f>
        <v>2203.2258414860162</v>
      </c>
      <c r="AG2132" s="6">
        <f>$O$2132*$AA$2132</f>
        <v>754.82362244501508</v>
      </c>
    </row>
    <row r="2133" spans="1:33" ht="11.25" customHeight="1" x14ac:dyDescent="0.25">
      <c r="A2133" s="4" t="s">
        <v>28</v>
      </c>
      <c r="B2133" s="4" t="s">
        <v>41</v>
      </c>
      <c r="C2133" s="4" t="s">
        <v>39</v>
      </c>
      <c r="D2133" s="4" t="s">
        <v>45</v>
      </c>
      <c r="E2133" s="4" t="s">
        <v>25</v>
      </c>
      <c r="F2133" s="4" t="s">
        <v>25</v>
      </c>
      <c r="G2133" s="4" t="s">
        <v>25</v>
      </c>
      <c r="H2133" s="4" t="s">
        <v>40</v>
      </c>
      <c r="I2133" s="5">
        <v>44317</v>
      </c>
      <c r="J2133" s="6">
        <v>0</v>
      </c>
      <c r="K2133" s="6">
        <v>0</v>
      </c>
      <c r="L2133" s="6">
        <v>2.242</v>
      </c>
      <c r="M2133" s="6">
        <v>2.242</v>
      </c>
      <c r="N2133" s="6">
        <v>2.242</v>
      </c>
      <c r="O2133" s="6">
        <v>2.242</v>
      </c>
      <c r="P2133" s="6">
        <v>0</v>
      </c>
      <c r="Q2133" s="4" t="s">
        <v>26</v>
      </c>
      <c r="R2133" s="4">
        <v>0</v>
      </c>
      <c r="S2133" s="6">
        <v>0</v>
      </c>
      <c r="T2133" s="6">
        <v>75</v>
      </c>
      <c r="U2133" s="6">
        <v>76</v>
      </c>
      <c r="V2133" s="6">
        <f>IF(ISERROR(VLOOKUP($S$2133,'TAR FIN'!$A$1:$O$95,15,0)),0,VLOOKUP($S$2133,'TAR FIN'!$A$1:$O$95,15,0))</f>
        <v>0</v>
      </c>
      <c r="W2133" s="6">
        <f>IF(ISERROR(VLOOKUP($T$2133,'TAR FIN'!$A$1:$O$95,15,0)),0,VLOOKUP($T$2133,'TAR FIN'!$A$1:$O$95,15,0))</f>
        <v>735.45</v>
      </c>
      <c r="X2133" s="6">
        <f>IF(ISERROR(VLOOKUP($U$2133,'TAR FIN'!$A$1:$O$95,15,0)),0,VLOOKUP($U$2133,'TAR FIN'!$A$1:$O$95,15,0))</f>
        <v>230.03</v>
      </c>
      <c r="Y2133" s="6"/>
      <c r="Z2133" s="6">
        <f ca="1">('TUSD BE'!$AM$51+'TUSD BF'!$AM$51+'TUSD CVA'!$AM$51)*1</f>
        <v>825.79679216117552</v>
      </c>
      <c r="AA2133" s="6">
        <f>('TE BE'!$AA$39+'TE BF'!$AA$39+'TE CVA'!$AA$39)*1</f>
        <v>282.91739971702214</v>
      </c>
      <c r="AB2133" s="6">
        <f>$K$2133*$V$2133</f>
        <v>0</v>
      </c>
      <c r="AC2133" s="6">
        <f>$M$2133*$W$2133</f>
        <v>1648.8789000000002</v>
      </c>
      <c r="AD2133" s="6">
        <f>$O$2133*$X$2133</f>
        <v>515.72726</v>
      </c>
      <c r="AE2133" s="6">
        <f>$K$2133*$Y$2133</f>
        <v>0</v>
      </c>
      <c r="AF2133" s="6">
        <f ca="1">$M$2133*$Z$2133</f>
        <v>1851.4364080253556</v>
      </c>
      <c r="AG2133" s="6">
        <f>$O$2133*$AA$2133</f>
        <v>634.30081016556358</v>
      </c>
    </row>
    <row r="2134" spans="1:33" ht="11.25" customHeight="1" x14ac:dyDescent="0.25">
      <c r="A2134" s="4" t="s">
        <v>21</v>
      </c>
      <c r="B2134" s="4" t="s">
        <v>41</v>
      </c>
      <c r="C2134" s="4" t="s">
        <v>39</v>
      </c>
      <c r="D2134" s="4" t="s">
        <v>45</v>
      </c>
      <c r="E2134" s="4" t="s">
        <v>25</v>
      </c>
      <c r="F2134" s="4" t="s">
        <v>25</v>
      </c>
      <c r="G2134" s="4" t="s">
        <v>25</v>
      </c>
      <c r="H2134" s="4" t="s">
        <v>40</v>
      </c>
      <c r="I2134" s="5">
        <v>44348</v>
      </c>
      <c r="J2134" s="6">
        <v>0</v>
      </c>
      <c r="K2134" s="6">
        <v>0</v>
      </c>
      <c r="L2134" s="6">
        <v>2.5419999999999998</v>
      </c>
      <c r="M2134" s="6">
        <v>2.5419999999999998</v>
      </c>
      <c r="N2134" s="6">
        <v>2.5419999999999998</v>
      </c>
      <c r="O2134" s="6">
        <v>2.5419999999999998</v>
      </c>
      <c r="P2134" s="6">
        <v>0</v>
      </c>
      <c r="Q2134" s="4" t="s">
        <v>26</v>
      </c>
      <c r="R2134" s="4">
        <v>0</v>
      </c>
      <c r="S2134" s="6">
        <v>0</v>
      </c>
      <c r="T2134" s="6">
        <v>75</v>
      </c>
      <c r="U2134" s="6">
        <v>76</v>
      </c>
      <c r="V2134" s="6">
        <f>IF(ISERROR(VLOOKUP($S$2134,'TAR FIN'!$A$1:$O$95,15,0)),0,VLOOKUP($S$2134,'TAR FIN'!$A$1:$O$95,15,0))</f>
        <v>0</v>
      </c>
      <c r="W2134" s="6">
        <f>IF(ISERROR(VLOOKUP($T$2134,'TAR FIN'!$A$1:$O$95,15,0)),0,VLOOKUP($T$2134,'TAR FIN'!$A$1:$O$95,15,0))</f>
        <v>735.45</v>
      </c>
      <c r="X2134" s="6">
        <f>IF(ISERROR(VLOOKUP($U$2134,'TAR FIN'!$A$1:$O$95,15,0)),0,VLOOKUP($U$2134,'TAR FIN'!$A$1:$O$95,15,0))</f>
        <v>230.03</v>
      </c>
      <c r="Y2134" s="6"/>
      <c r="Z2134" s="6">
        <f ca="1">('TUSD BE'!$AM$51+'TUSD BF'!$AM$51+'TUSD CVA'!$AM$51)*1</f>
        <v>825.79679216117552</v>
      </c>
      <c r="AA2134" s="6">
        <f>('TE BE'!$AA$39+'TE BF'!$AA$39+'TE CVA'!$AA$39)*1</f>
        <v>282.91739971702214</v>
      </c>
      <c r="AB2134" s="6">
        <f>$K$2134*$V$2134</f>
        <v>0</v>
      </c>
      <c r="AC2134" s="6">
        <f>$M$2134*$W$2134</f>
        <v>1869.5138999999999</v>
      </c>
      <c r="AD2134" s="6">
        <f>$O$2134*$X$2134</f>
        <v>584.73626000000002</v>
      </c>
      <c r="AE2134" s="6">
        <f>$K$2134*$Y$2134</f>
        <v>0</v>
      </c>
      <c r="AF2134" s="6">
        <f ca="1">$M$2134*$Z$2134</f>
        <v>2099.1754456737081</v>
      </c>
      <c r="AG2134" s="6">
        <f>$O$2134*$AA$2134</f>
        <v>719.17603008067022</v>
      </c>
    </row>
    <row r="2135" spans="1:33" ht="11.25" customHeight="1" x14ac:dyDescent="0.25">
      <c r="A2135" s="4" t="s">
        <v>28</v>
      </c>
      <c r="B2135" s="4" t="s">
        <v>41</v>
      </c>
      <c r="C2135" s="4" t="s">
        <v>39</v>
      </c>
      <c r="D2135" s="4" t="s">
        <v>45</v>
      </c>
      <c r="E2135" s="4" t="s">
        <v>25</v>
      </c>
      <c r="F2135" s="4" t="s">
        <v>25</v>
      </c>
      <c r="G2135" s="4" t="s">
        <v>25</v>
      </c>
      <c r="H2135" s="4" t="s">
        <v>40</v>
      </c>
      <c r="I2135" s="5">
        <v>44348</v>
      </c>
      <c r="J2135" s="6">
        <v>0</v>
      </c>
      <c r="K2135" s="6">
        <v>0</v>
      </c>
      <c r="L2135" s="6">
        <v>2.6019999999999999</v>
      </c>
      <c r="M2135" s="6">
        <v>2.6019999999999999</v>
      </c>
      <c r="N2135" s="6">
        <v>2.6019999999999999</v>
      </c>
      <c r="O2135" s="6">
        <v>2.6019999999999999</v>
      </c>
      <c r="P2135" s="6">
        <v>0</v>
      </c>
      <c r="Q2135" s="4" t="s">
        <v>26</v>
      </c>
      <c r="R2135" s="4">
        <v>0</v>
      </c>
      <c r="S2135" s="6">
        <v>0</v>
      </c>
      <c r="T2135" s="6">
        <v>75</v>
      </c>
      <c r="U2135" s="6">
        <v>76</v>
      </c>
      <c r="V2135" s="6">
        <f>IF(ISERROR(VLOOKUP($S$2135,'TAR FIN'!$A$1:$O$95,15,0)),0,VLOOKUP($S$2135,'TAR FIN'!$A$1:$O$95,15,0))</f>
        <v>0</v>
      </c>
      <c r="W2135" s="6">
        <f>IF(ISERROR(VLOOKUP($T$2135,'TAR FIN'!$A$1:$O$95,15,0)),0,VLOOKUP($T$2135,'TAR FIN'!$A$1:$O$95,15,0))</f>
        <v>735.45</v>
      </c>
      <c r="X2135" s="6">
        <f>IF(ISERROR(VLOOKUP($U$2135,'TAR FIN'!$A$1:$O$95,15,0)),0,VLOOKUP($U$2135,'TAR FIN'!$A$1:$O$95,15,0))</f>
        <v>230.03</v>
      </c>
      <c r="Y2135" s="6"/>
      <c r="Z2135" s="6">
        <f ca="1">('TUSD BE'!$AM$51+'TUSD BF'!$AM$51+'TUSD CVA'!$AM$51)*1</f>
        <v>825.79679216117552</v>
      </c>
      <c r="AA2135" s="6">
        <f>('TE BE'!$AA$39+'TE BF'!$AA$39+'TE CVA'!$AA$39)*1</f>
        <v>282.91739971702214</v>
      </c>
      <c r="AB2135" s="6">
        <f>$K$2135*$V$2135</f>
        <v>0</v>
      </c>
      <c r="AC2135" s="6">
        <f>$M$2135*$W$2135</f>
        <v>1913.6409000000001</v>
      </c>
      <c r="AD2135" s="6">
        <f>$O$2135*$X$2135</f>
        <v>598.53805999999997</v>
      </c>
      <c r="AE2135" s="6">
        <f>$K$2135*$Y$2135</f>
        <v>0</v>
      </c>
      <c r="AF2135" s="6">
        <f ca="1">$M$2135*$Z$2135</f>
        <v>2148.7232532033786</v>
      </c>
      <c r="AG2135" s="6">
        <f>$O$2135*$AA$2135</f>
        <v>736.15107406369157</v>
      </c>
    </row>
    <row r="2136" spans="1:33" ht="11.25" customHeight="1" x14ac:dyDescent="0.25">
      <c r="A2136" s="4" t="s">
        <v>21</v>
      </c>
      <c r="B2136" s="4" t="s">
        <v>41</v>
      </c>
      <c r="C2136" s="4" t="s">
        <v>39</v>
      </c>
      <c r="D2136" s="4" t="s">
        <v>45</v>
      </c>
      <c r="E2136" s="4" t="s">
        <v>25</v>
      </c>
      <c r="F2136" s="4" t="s">
        <v>25</v>
      </c>
      <c r="G2136" s="4" t="s">
        <v>25</v>
      </c>
      <c r="H2136" s="4" t="s">
        <v>40</v>
      </c>
      <c r="I2136" s="5">
        <v>44378</v>
      </c>
      <c r="J2136" s="6">
        <v>0</v>
      </c>
      <c r="K2136" s="6">
        <v>0</v>
      </c>
      <c r="L2136" s="6">
        <v>2.6880000000000002</v>
      </c>
      <c r="M2136" s="6">
        <v>2.6880000000000002</v>
      </c>
      <c r="N2136" s="6">
        <v>2.6880000000000002</v>
      </c>
      <c r="O2136" s="6">
        <v>2.6880000000000002</v>
      </c>
      <c r="P2136" s="6">
        <v>0</v>
      </c>
      <c r="Q2136" s="4" t="s">
        <v>26</v>
      </c>
      <c r="R2136" s="4">
        <v>0</v>
      </c>
      <c r="S2136" s="6">
        <v>0</v>
      </c>
      <c r="T2136" s="6">
        <v>75</v>
      </c>
      <c r="U2136" s="6">
        <v>76</v>
      </c>
      <c r="V2136" s="6">
        <f>IF(ISERROR(VLOOKUP($S$2136,'TAR FIN'!$A$1:$O$95,15,0)),0,VLOOKUP($S$2136,'TAR FIN'!$A$1:$O$95,15,0))</f>
        <v>0</v>
      </c>
      <c r="W2136" s="6">
        <f>IF(ISERROR(VLOOKUP($T$2136,'TAR FIN'!$A$1:$O$95,15,0)),0,VLOOKUP($T$2136,'TAR FIN'!$A$1:$O$95,15,0))</f>
        <v>735.45</v>
      </c>
      <c r="X2136" s="6">
        <f>IF(ISERROR(VLOOKUP($U$2136,'TAR FIN'!$A$1:$O$95,15,0)),0,VLOOKUP($U$2136,'TAR FIN'!$A$1:$O$95,15,0))</f>
        <v>230.03</v>
      </c>
      <c r="Y2136" s="6"/>
      <c r="Z2136" s="6">
        <f ca="1">('TUSD BE'!$AM$51+'TUSD BF'!$AM$51+'TUSD CVA'!$AM$51)*1</f>
        <v>825.79679216117552</v>
      </c>
      <c r="AA2136" s="6">
        <f>('TE BE'!$AA$39+'TE BF'!$AA$39+'TE CVA'!$AA$39)*1</f>
        <v>282.91739971702214</v>
      </c>
      <c r="AB2136" s="6">
        <f>$K$2136*$V$2136</f>
        <v>0</v>
      </c>
      <c r="AC2136" s="6">
        <f>$M$2136*$W$2136</f>
        <v>1976.8896000000002</v>
      </c>
      <c r="AD2136" s="6">
        <f>$O$2136*$X$2136</f>
        <v>618.32064000000003</v>
      </c>
      <c r="AE2136" s="6">
        <f>$K$2136*$Y$2136</f>
        <v>0</v>
      </c>
      <c r="AF2136" s="6">
        <f ca="1">$M$2136*$Z$2136</f>
        <v>2219.74177732924</v>
      </c>
      <c r="AG2136" s="6">
        <f>$O$2136*$AA$2136</f>
        <v>760.48197043935556</v>
      </c>
    </row>
    <row r="2137" spans="1:33" ht="11.25" customHeight="1" x14ac:dyDescent="0.25">
      <c r="A2137" s="4" t="s">
        <v>28</v>
      </c>
      <c r="B2137" s="4" t="s">
        <v>41</v>
      </c>
      <c r="C2137" s="4" t="s">
        <v>39</v>
      </c>
      <c r="D2137" s="4" t="s">
        <v>45</v>
      </c>
      <c r="E2137" s="4" t="s">
        <v>25</v>
      </c>
      <c r="F2137" s="4" t="s">
        <v>25</v>
      </c>
      <c r="G2137" s="4" t="s">
        <v>25</v>
      </c>
      <c r="H2137" s="4" t="s">
        <v>40</v>
      </c>
      <c r="I2137" s="5">
        <v>44378</v>
      </c>
      <c r="J2137" s="6">
        <v>0</v>
      </c>
      <c r="K2137" s="6">
        <v>0</v>
      </c>
      <c r="L2137" s="6">
        <v>2.0569999999999999</v>
      </c>
      <c r="M2137" s="6">
        <v>2.0569999999999999</v>
      </c>
      <c r="N2137" s="6">
        <v>2.0569999999999999</v>
      </c>
      <c r="O2137" s="6">
        <v>2.0569999999999999</v>
      </c>
      <c r="P2137" s="6">
        <v>0</v>
      </c>
      <c r="Q2137" s="4" t="s">
        <v>26</v>
      </c>
      <c r="R2137" s="4">
        <v>0</v>
      </c>
      <c r="S2137" s="6">
        <v>0</v>
      </c>
      <c r="T2137" s="6">
        <v>75</v>
      </c>
      <c r="U2137" s="6">
        <v>76</v>
      </c>
      <c r="V2137" s="6">
        <f>IF(ISERROR(VLOOKUP($S$2137,'TAR FIN'!$A$1:$O$95,15,0)),0,VLOOKUP($S$2137,'TAR FIN'!$A$1:$O$95,15,0))</f>
        <v>0</v>
      </c>
      <c r="W2137" s="6">
        <f>IF(ISERROR(VLOOKUP($T$2137,'TAR FIN'!$A$1:$O$95,15,0)),0,VLOOKUP($T$2137,'TAR FIN'!$A$1:$O$95,15,0))</f>
        <v>735.45</v>
      </c>
      <c r="X2137" s="6">
        <f>IF(ISERROR(VLOOKUP($U$2137,'TAR FIN'!$A$1:$O$95,15,0)),0,VLOOKUP($U$2137,'TAR FIN'!$A$1:$O$95,15,0))</f>
        <v>230.03</v>
      </c>
      <c r="Y2137" s="6"/>
      <c r="Z2137" s="6">
        <f ca="1">('TUSD BE'!$AM$51+'TUSD BF'!$AM$51+'TUSD CVA'!$AM$51)*1</f>
        <v>825.79679216117552</v>
      </c>
      <c r="AA2137" s="6">
        <f>('TE BE'!$AA$39+'TE BF'!$AA$39+'TE CVA'!$AA$39)*1</f>
        <v>282.91739971702214</v>
      </c>
      <c r="AB2137" s="6">
        <f>$K$2137*$V$2137</f>
        <v>0</v>
      </c>
      <c r="AC2137" s="6">
        <f>$M$2137*$W$2137</f>
        <v>1512.8206500000001</v>
      </c>
      <c r="AD2137" s="6">
        <f>$O$2137*$X$2137</f>
        <v>473.17170999999996</v>
      </c>
      <c r="AE2137" s="6">
        <f>$K$2137*$Y$2137</f>
        <v>0</v>
      </c>
      <c r="AF2137" s="6">
        <f ca="1">$M$2137*$Z$2137</f>
        <v>1698.664001475538</v>
      </c>
      <c r="AG2137" s="6">
        <f>$O$2137*$AA$2137</f>
        <v>581.96109121791449</v>
      </c>
    </row>
    <row r="2138" spans="1:33" ht="11.25" customHeight="1" x14ac:dyDescent="0.25">
      <c r="A2138" s="4" t="s">
        <v>21</v>
      </c>
      <c r="B2138" s="4" t="s">
        <v>41</v>
      </c>
      <c r="C2138" s="4" t="s">
        <v>39</v>
      </c>
      <c r="D2138" s="4" t="s">
        <v>45</v>
      </c>
      <c r="E2138" s="4" t="s">
        <v>25</v>
      </c>
      <c r="F2138" s="4" t="s">
        <v>25</v>
      </c>
      <c r="G2138" s="4" t="s">
        <v>25</v>
      </c>
      <c r="H2138" s="4" t="s">
        <v>40</v>
      </c>
      <c r="I2138" s="5">
        <v>44409</v>
      </c>
      <c r="J2138" s="6">
        <v>0</v>
      </c>
      <c r="K2138" s="6">
        <v>0</v>
      </c>
      <c r="L2138" s="6">
        <v>3.2440000000000002</v>
      </c>
      <c r="M2138" s="6">
        <v>3.2440000000000002</v>
      </c>
      <c r="N2138" s="6">
        <v>3.2440000000000002</v>
      </c>
      <c r="O2138" s="6">
        <v>3.2440000000000002</v>
      </c>
      <c r="P2138" s="6">
        <v>0</v>
      </c>
      <c r="Q2138" s="4" t="s">
        <v>26</v>
      </c>
      <c r="R2138" s="4">
        <v>0</v>
      </c>
      <c r="S2138" s="6">
        <v>0</v>
      </c>
      <c r="T2138" s="6">
        <v>75</v>
      </c>
      <c r="U2138" s="6">
        <v>76</v>
      </c>
      <c r="V2138" s="6">
        <f>IF(ISERROR(VLOOKUP($S$2138,'TAR FIN'!$A$1:$O$95,15,0)),0,VLOOKUP($S$2138,'TAR FIN'!$A$1:$O$95,15,0))</f>
        <v>0</v>
      </c>
      <c r="W2138" s="6">
        <f>IF(ISERROR(VLOOKUP($T$2138,'TAR FIN'!$A$1:$O$95,15,0)),0,VLOOKUP($T$2138,'TAR FIN'!$A$1:$O$95,15,0))</f>
        <v>735.45</v>
      </c>
      <c r="X2138" s="6">
        <f>IF(ISERROR(VLOOKUP($U$2138,'TAR FIN'!$A$1:$O$95,15,0)),0,VLOOKUP($U$2138,'TAR FIN'!$A$1:$O$95,15,0))</f>
        <v>230.03</v>
      </c>
      <c r="Y2138" s="6"/>
      <c r="Z2138" s="6">
        <f ca="1">('TUSD BE'!$AM$51+'TUSD BF'!$AM$51+'TUSD CVA'!$AM$51)*1</f>
        <v>825.79679216117552</v>
      </c>
      <c r="AA2138" s="6">
        <f>('TE BE'!$AA$39+'TE BF'!$AA$39+'TE CVA'!$AA$39)*1</f>
        <v>282.91739971702214</v>
      </c>
      <c r="AB2138" s="6">
        <f>$K$2138*$V$2138</f>
        <v>0</v>
      </c>
      <c r="AC2138" s="6">
        <f>$M$2138*$W$2138</f>
        <v>2385.7998000000002</v>
      </c>
      <c r="AD2138" s="6">
        <f>$O$2138*$X$2138</f>
        <v>746.21732000000009</v>
      </c>
      <c r="AE2138" s="6">
        <f>$K$2138*$Y$2138</f>
        <v>0</v>
      </c>
      <c r="AF2138" s="6">
        <f ca="1">$M$2138*$Z$2138</f>
        <v>2678.8847937708538</v>
      </c>
      <c r="AG2138" s="6">
        <f>$O$2138*$AA$2138</f>
        <v>917.78404468201984</v>
      </c>
    </row>
    <row r="2139" spans="1:33" ht="11.25" customHeight="1" x14ac:dyDescent="0.25">
      <c r="A2139" s="4" t="s">
        <v>28</v>
      </c>
      <c r="B2139" s="4" t="s">
        <v>41</v>
      </c>
      <c r="C2139" s="4" t="s">
        <v>39</v>
      </c>
      <c r="D2139" s="4" t="s">
        <v>45</v>
      </c>
      <c r="E2139" s="4" t="s">
        <v>25</v>
      </c>
      <c r="F2139" s="4" t="s">
        <v>25</v>
      </c>
      <c r="G2139" s="4" t="s">
        <v>25</v>
      </c>
      <c r="H2139" s="4" t="s">
        <v>40</v>
      </c>
      <c r="I2139" s="5">
        <v>44409</v>
      </c>
      <c r="J2139" s="6">
        <v>0</v>
      </c>
      <c r="K2139" s="6">
        <v>0</v>
      </c>
      <c r="L2139" s="6">
        <v>2.097</v>
      </c>
      <c r="M2139" s="6">
        <v>2.097</v>
      </c>
      <c r="N2139" s="6">
        <v>2.097</v>
      </c>
      <c r="O2139" s="6">
        <v>2.097</v>
      </c>
      <c r="P2139" s="6">
        <v>0</v>
      </c>
      <c r="Q2139" s="4" t="s">
        <v>26</v>
      </c>
      <c r="R2139" s="4">
        <v>0</v>
      </c>
      <c r="S2139" s="6">
        <v>0</v>
      </c>
      <c r="T2139" s="6">
        <v>75</v>
      </c>
      <c r="U2139" s="6">
        <v>76</v>
      </c>
      <c r="V2139" s="6">
        <f>IF(ISERROR(VLOOKUP($S$2139,'TAR FIN'!$A$1:$O$95,15,0)),0,VLOOKUP($S$2139,'TAR FIN'!$A$1:$O$95,15,0))</f>
        <v>0</v>
      </c>
      <c r="W2139" s="6">
        <f>IF(ISERROR(VLOOKUP($T$2139,'TAR FIN'!$A$1:$O$95,15,0)),0,VLOOKUP($T$2139,'TAR FIN'!$A$1:$O$95,15,0))</f>
        <v>735.45</v>
      </c>
      <c r="X2139" s="6">
        <f>IF(ISERROR(VLOOKUP($U$2139,'TAR FIN'!$A$1:$O$95,15,0)),0,VLOOKUP($U$2139,'TAR FIN'!$A$1:$O$95,15,0))</f>
        <v>230.03</v>
      </c>
      <c r="Y2139" s="6"/>
      <c r="Z2139" s="6">
        <f ca="1">('TUSD BE'!$AM$51+'TUSD BF'!$AM$51+'TUSD CVA'!$AM$51)*1</f>
        <v>825.79679216117552</v>
      </c>
      <c r="AA2139" s="6">
        <f>('TE BE'!$AA$39+'TE BF'!$AA$39+'TE CVA'!$AA$39)*1</f>
        <v>282.91739971702214</v>
      </c>
      <c r="AB2139" s="6">
        <f>$K$2139*$V$2139</f>
        <v>0</v>
      </c>
      <c r="AC2139" s="6">
        <f>$M$2139*$W$2139</f>
        <v>1542.23865</v>
      </c>
      <c r="AD2139" s="6">
        <f>$O$2139*$X$2139</f>
        <v>482.37290999999999</v>
      </c>
      <c r="AE2139" s="6">
        <f>$K$2139*$Y$2139</f>
        <v>0</v>
      </c>
      <c r="AF2139" s="6">
        <f ca="1">$M$2139*$Z$2139</f>
        <v>1731.695873161985</v>
      </c>
      <c r="AG2139" s="6">
        <f>$O$2139*$AA$2139</f>
        <v>593.27778720659546</v>
      </c>
    </row>
    <row r="2140" spans="1:33" ht="11.25" customHeight="1" x14ac:dyDescent="0.25">
      <c r="A2140" s="4" t="s">
        <v>21</v>
      </c>
      <c r="B2140" s="4" t="s">
        <v>41</v>
      </c>
      <c r="C2140" s="4" t="s">
        <v>39</v>
      </c>
      <c r="D2140" s="4" t="s">
        <v>45</v>
      </c>
      <c r="E2140" s="4" t="s">
        <v>25</v>
      </c>
      <c r="F2140" s="4" t="s">
        <v>25</v>
      </c>
      <c r="G2140" s="4" t="s">
        <v>25</v>
      </c>
      <c r="H2140" s="4" t="s">
        <v>40</v>
      </c>
      <c r="I2140" s="5">
        <v>44440</v>
      </c>
      <c r="J2140" s="6">
        <v>0</v>
      </c>
      <c r="K2140" s="6">
        <v>0</v>
      </c>
      <c r="L2140" s="6">
        <v>2.6070000000000002</v>
      </c>
      <c r="M2140" s="6">
        <v>2.6070000000000002</v>
      </c>
      <c r="N2140" s="6">
        <v>2.6070000000000002</v>
      </c>
      <c r="O2140" s="6">
        <v>2.6070000000000002</v>
      </c>
      <c r="P2140" s="6">
        <v>0</v>
      </c>
      <c r="Q2140" s="4" t="s">
        <v>26</v>
      </c>
      <c r="R2140" s="4">
        <v>0</v>
      </c>
      <c r="S2140" s="6">
        <v>0</v>
      </c>
      <c r="T2140" s="6">
        <v>75</v>
      </c>
      <c r="U2140" s="6">
        <v>76</v>
      </c>
      <c r="V2140" s="6">
        <f>IF(ISERROR(VLOOKUP($S$2140,'TAR FIN'!$A$1:$O$95,15,0)),0,VLOOKUP($S$2140,'TAR FIN'!$A$1:$O$95,15,0))</f>
        <v>0</v>
      </c>
      <c r="W2140" s="6">
        <f>IF(ISERROR(VLOOKUP($T$2140,'TAR FIN'!$A$1:$O$95,15,0)),0,VLOOKUP($T$2140,'TAR FIN'!$A$1:$O$95,15,0))</f>
        <v>735.45</v>
      </c>
      <c r="X2140" s="6">
        <f>IF(ISERROR(VLOOKUP($U$2140,'TAR FIN'!$A$1:$O$95,15,0)),0,VLOOKUP($U$2140,'TAR FIN'!$A$1:$O$95,15,0))</f>
        <v>230.03</v>
      </c>
      <c r="Y2140" s="6"/>
      <c r="Z2140" s="6">
        <f ca="1">('TUSD BE'!$AM$51+'TUSD BF'!$AM$51+'TUSD CVA'!$AM$51)*1</f>
        <v>825.79679216117552</v>
      </c>
      <c r="AA2140" s="6">
        <f>('TE BE'!$AA$39+'TE BF'!$AA$39+'TE CVA'!$AA$39)*1</f>
        <v>282.91739971702214</v>
      </c>
      <c r="AB2140" s="6">
        <f>$K$2140*$V$2140</f>
        <v>0</v>
      </c>
      <c r="AC2140" s="6">
        <f>$M$2140*$W$2140</f>
        <v>1917.3181500000003</v>
      </c>
      <c r="AD2140" s="6">
        <f>$O$2140*$X$2140</f>
        <v>599.68821000000003</v>
      </c>
      <c r="AE2140" s="6">
        <f>$K$2140*$Y$2140</f>
        <v>0</v>
      </c>
      <c r="AF2140" s="6">
        <f ca="1">$M$2140*$Z$2140</f>
        <v>2152.8522371641848</v>
      </c>
      <c r="AG2140" s="6">
        <f>$O$2140*$AA$2140</f>
        <v>737.56566106227672</v>
      </c>
    </row>
    <row r="2141" spans="1:33" ht="11.25" customHeight="1" x14ac:dyDescent="0.25">
      <c r="A2141" s="4" t="s">
        <v>28</v>
      </c>
      <c r="B2141" s="4" t="s">
        <v>41</v>
      </c>
      <c r="C2141" s="4" t="s">
        <v>39</v>
      </c>
      <c r="D2141" s="4" t="s">
        <v>45</v>
      </c>
      <c r="E2141" s="4" t="s">
        <v>25</v>
      </c>
      <c r="F2141" s="4" t="s">
        <v>25</v>
      </c>
      <c r="G2141" s="4" t="s">
        <v>25</v>
      </c>
      <c r="H2141" s="4" t="s">
        <v>40</v>
      </c>
      <c r="I2141" s="5">
        <v>44440</v>
      </c>
      <c r="J2141" s="6">
        <v>0</v>
      </c>
      <c r="K2141" s="6">
        <v>0</v>
      </c>
      <c r="L2141" s="6">
        <v>2.3130000000000002</v>
      </c>
      <c r="M2141" s="6">
        <v>2.3130000000000002</v>
      </c>
      <c r="N2141" s="6">
        <v>2.3130000000000002</v>
      </c>
      <c r="O2141" s="6">
        <v>2.3130000000000002</v>
      </c>
      <c r="P2141" s="6">
        <v>0</v>
      </c>
      <c r="Q2141" s="4" t="s">
        <v>26</v>
      </c>
      <c r="R2141" s="4">
        <v>0</v>
      </c>
      <c r="S2141" s="6">
        <v>0</v>
      </c>
      <c r="T2141" s="6">
        <v>75</v>
      </c>
      <c r="U2141" s="6">
        <v>76</v>
      </c>
      <c r="V2141" s="6">
        <f>IF(ISERROR(VLOOKUP($S$2141,'TAR FIN'!$A$1:$O$95,15,0)),0,VLOOKUP($S$2141,'TAR FIN'!$A$1:$O$95,15,0))</f>
        <v>0</v>
      </c>
      <c r="W2141" s="6">
        <f>IF(ISERROR(VLOOKUP($T$2141,'TAR FIN'!$A$1:$O$95,15,0)),0,VLOOKUP($T$2141,'TAR FIN'!$A$1:$O$95,15,0))</f>
        <v>735.45</v>
      </c>
      <c r="X2141" s="6">
        <f>IF(ISERROR(VLOOKUP($U$2141,'TAR FIN'!$A$1:$O$95,15,0)),0,VLOOKUP($U$2141,'TAR FIN'!$A$1:$O$95,15,0))</f>
        <v>230.03</v>
      </c>
      <c r="Y2141" s="6"/>
      <c r="Z2141" s="6">
        <f ca="1">('TUSD BE'!$AM$51+'TUSD BF'!$AM$51+'TUSD CVA'!$AM$51)*1</f>
        <v>825.79679216117552</v>
      </c>
      <c r="AA2141" s="6">
        <f>('TE BE'!$AA$39+'TE BF'!$AA$39+'TE CVA'!$AA$39)*1</f>
        <v>282.91739971702214</v>
      </c>
      <c r="AB2141" s="6">
        <f>$K$2141*$V$2141</f>
        <v>0</v>
      </c>
      <c r="AC2141" s="6">
        <f>$M$2141*$W$2141</f>
        <v>1701.0958500000002</v>
      </c>
      <c r="AD2141" s="6">
        <f>$O$2141*$X$2141</f>
        <v>532.05939000000001</v>
      </c>
      <c r="AE2141" s="6">
        <f>$K$2141*$Y$2141</f>
        <v>0</v>
      </c>
      <c r="AF2141" s="6">
        <f ca="1">$M$2141*$Z$2141</f>
        <v>1910.0679802687991</v>
      </c>
      <c r="AG2141" s="6">
        <f>$O$2141*$AA$2141</f>
        <v>654.38794554547223</v>
      </c>
    </row>
    <row r="2142" spans="1:33" ht="11.25" customHeight="1" x14ac:dyDescent="0.25">
      <c r="A2142" s="4" t="s">
        <v>30</v>
      </c>
      <c r="B2142" s="4" t="s">
        <v>41</v>
      </c>
      <c r="C2142" s="4" t="s">
        <v>39</v>
      </c>
      <c r="D2142" s="4" t="s">
        <v>45</v>
      </c>
      <c r="E2142" s="4" t="s">
        <v>25</v>
      </c>
      <c r="F2142" s="4" t="s">
        <v>25</v>
      </c>
      <c r="G2142" s="4" t="s">
        <v>25</v>
      </c>
      <c r="H2142" s="4" t="s">
        <v>40</v>
      </c>
      <c r="I2142" s="5">
        <v>44440</v>
      </c>
      <c r="J2142" s="6">
        <v>0</v>
      </c>
      <c r="K2142" s="6">
        <v>0</v>
      </c>
      <c r="L2142" s="6">
        <v>1.2E-2</v>
      </c>
      <c r="M2142" s="6">
        <v>1.2E-2</v>
      </c>
      <c r="N2142" s="6">
        <v>1.2E-2</v>
      </c>
      <c r="O2142" s="6">
        <v>1.2E-2</v>
      </c>
      <c r="P2142" s="6">
        <v>0</v>
      </c>
      <c r="Q2142" s="4" t="s">
        <v>26</v>
      </c>
      <c r="R2142" s="4">
        <v>0</v>
      </c>
      <c r="S2142" s="6">
        <v>0</v>
      </c>
      <c r="T2142" s="6">
        <v>75</v>
      </c>
      <c r="U2142" s="6">
        <v>76</v>
      </c>
      <c r="V2142" s="6">
        <f>IF(ISERROR(VLOOKUP($S$2142,'TAR FIN'!$A$1:$O$95,15,0)),0,VLOOKUP($S$2142,'TAR FIN'!$A$1:$O$95,15,0))</f>
        <v>0</v>
      </c>
      <c r="W2142" s="6">
        <f>IF(ISERROR(VLOOKUP($T$2142,'TAR FIN'!$A$1:$O$95,15,0)),0,VLOOKUP($T$2142,'TAR FIN'!$A$1:$O$95,15,0))</f>
        <v>735.45</v>
      </c>
      <c r="X2142" s="6">
        <f>IF(ISERROR(VLOOKUP($U$2142,'TAR FIN'!$A$1:$O$95,15,0)),0,VLOOKUP($U$2142,'TAR FIN'!$A$1:$O$95,15,0))</f>
        <v>230.03</v>
      </c>
      <c r="Y2142" s="6"/>
      <c r="Z2142" s="6">
        <f ca="1">('TUSD BE'!$AM$51+'TUSD BF'!$AM$51+'TUSD CVA'!$AM$51)*1</f>
        <v>825.79679216117552</v>
      </c>
      <c r="AA2142" s="6">
        <f>('TE BE'!$AA$39+'TE BF'!$AA$39+'TE CVA'!$AA$39)*1</f>
        <v>282.91739971702214</v>
      </c>
      <c r="AB2142" s="6">
        <f>$K$2142*$V$2142</f>
        <v>0</v>
      </c>
      <c r="AC2142" s="6">
        <f>$M$2142*$W$2142</f>
        <v>8.8254000000000001</v>
      </c>
      <c r="AD2142" s="6">
        <f>$O$2142*$X$2142</f>
        <v>2.7603599999999999</v>
      </c>
      <c r="AE2142" s="6">
        <f>$K$2142*$Y$2142</f>
        <v>0</v>
      </c>
      <c r="AF2142" s="6">
        <f ca="1">$M$2142*$Z$2142</f>
        <v>9.9095615059341071</v>
      </c>
      <c r="AG2142" s="6">
        <f>$O$2142*$AA$2142</f>
        <v>3.3950087966042659</v>
      </c>
    </row>
    <row r="2143" spans="1:33" ht="11.25" customHeight="1" x14ac:dyDescent="0.25">
      <c r="A2143" s="4" t="s">
        <v>59</v>
      </c>
      <c r="B2143" s="4" t="s">
        <v>41</v>
      </c>
      <c r="C2143" s="4" t="s">
        <v>39</v>
      </c>
      <c r="D2143" s="4" t="s">
        <v>45</v>
      </c>
      <c r="E2143" s="4" t="s">
        <v>25</v>
      </c>
      <c r="F2143" s="4" t="s">
        <v>25</v>
      </c>
      <c r="G2143" s="4" t="s">
        <v>25</v>
      </c>
      <c r="H2143" s="4" t="s">
        <v>40</v>
      </c>
      <c r="I2143" s="5">
        <v>44470</v>
      </c>
      <c r="J2143" s="6">
        <v>0</v>
      </c>
      <c r="K2143" s="6">
        <v>0</v>
      </c>
      <c r="L2143" s="6">
        <v>2.6070000000000002</v>
      </c>
      <c r="M2143" s="6">
        <v>2.6070000000000002</v>
      </c>
      <c r="N2143" s="6">
        <v>2.6070000000000002</v>
      </c>
      <c r="O2143" s="6">
        <v>2.6070000000000002</v>
      </c>
      <c r="P2143" s="6">
        <v>0</v>
      </c>
      <c r="Q2143" s="4" t="s">
        <v>26</v>
      </c>
      <c r="R2143" s="4">
        <v>0</v>
      </c>
      <c r="S2143" s="6">
        <v>0</v>
      </c>
      <c r="T2143" s="6">
        <v>75</v>
      </c>
      <c r="U2143" s="6">
        <v>76</v>
      </c>
      <c r="V2143" s="6">
        <f>IF(ISERROR(VLOOKUP($S$2143,'TAR FIN'!$A$1:$O$95,15,0)),0,VLOOKUP($S$2143,'TAR FIN'!$A$1:$O$95,15,0))</f>
        <v>0</v>
      </c>
      <c r="W2143" s="6">
        <f>IF(ISERROR(VLOOKUP($T$2143,'TAR FIN'!$A$1:$O$95,15,0)),0,VLOOKUP($T$2143,'TAR FIN'!$A$1:$O$95,15,0))</f>
        <v>735.45</v>
      </c>
      <c r="X2143" s="6">
        <f>IF(ISERROR(VLOOKUP($U$2143,'TAR FIN'!$A$1:$O$95,15,0)),0,VLOOKUP($U$2143,'TAR FIN'!$A$1:$O$95,15,0))</f>
        <v>230.03</v>
      </c>
      <c r="Y2143" s="6"/>
      <c r="Z2143" s="6">
        <f ca="1">('TUSD BE'!$AM$51+'TUSD BF'!$AM$51+'TUSD CVA'!$AM$51)*1</f>
        <v>825.79679216117552</v>
      </c>
      <c r="AA2143" s="6">
        <f>('TE BE'!$AA$39+'TE BF'!$AA$39+'TE CVA'!$AA$39)*1</f>
        <v>282.91739971702214</v>
      </c>
      <c r="AB2143" s="6">
        <f>$K$2143*$V$2143</f>
        <v>0</v>
      </c>
      <c r="AC2143" s="6">
        <f>$M$2143*$W$2143</f>
        <v>1917.3181500000003</v>
      </c>
      <c r="AD2143" s="6">
        <f>$O$2143*$X$2143</f>
        <v>599.68821000000003</v>
      </c>
      <c r="AE2143" s="6">
        <f>$K$2143*$Y$2143</f>
        <v>0</v>
      </c>
      <c r="AF2143" s="6">
        <f ca="1">$M$2143*$Z$2143</f>
        <v>2152.8522371641848</v>
      </c>
      <c r="AG2143" s="6">
        <f>$O$2143*$AA$2143</f>
        <v>737.56566106227672</v>
      </c>
    </row>
    <row r="2144" spans="1:33" ht="11.25" customHeight="1" x14ac:dyDescent="0.25">
      <c r="A2144" s="4" t="s">
        <v>59</v>
      </c>
      <c r="B2144" s="4" t="s">
        <v>41</v>
      </c>
      <c r="C2144" s="4" t="s">
        <v>39</v>
      </c>
      <c r="D2144" s="4" t="s">
        <v>45</v>
      </c>
      <c r="E2144" s="4" t="s">
        <v>25</v>
      </c>
      <c r="F2144" s="4" t="s">
        <v>25</v>
      </c>
      <c r="G2144" s="4" t="s">
        <v>25</v>
      </c>
      <c r="H2144" s="4" t="s">
        <v>40</v>
      </c>
      <c r="I2144" s="5">
        <v>44470</v>
      </c>
      <c r="J2144" s="6">
        <v>0</v>
      </c>
      <c r="K2144" s="6">
        <v>0</v>
      </c>
      <c r="L2144" s="6">
        <v>2.3130000000000002</v>
      </c>
      <c r="M2144" s="6">
        <v>2.3130000000000002</v>
      </c>
      <c r="N2144" s="6">
        <v>2.3130000000000002</v>
      </c>
      <c r="O2144" s="6">
        <v>2.3130000000000002</v>
      </c>
      <c r="P2144" s="6">
        <v>0</v>
      </c>
      <c r="Q2144" s="4" t="s">
        <v>26</v>
      </c>
      <c r="R2144" s="4">
        <v>0</v>
      </c>
      <c r="S2144" s="6">
        <v>0</v>
      </c>
      <c r="T2144" s="6">
        <v>75</v>
      </c>
      <c r="U2144" s="6">
        <v>76</v>
      </c>
      <c r="V2144" s="6">
        <f>IF(ISERROR(VLOOKUP($S$2144,'TAR FIN'!$A$1:$O$95,15,0)),0,VLOOKUP($S$2144,'TAR FIN'!$A$1:$O$95,15,0))</f>
        <v>0</v>
      </c>
      <c r="W2144" s="6">
        <f>IF(ISERROR(VLOOKUP($T$2144,'TAR FIN'!$A$1:$O$95,15,0)),0,VLOOKUP($T$2144,'TAR FIN'!$A$1:$O$95,15,0))</f>
        <v>735.45</v>
      </c>
      <c r="X2144" s="6">
        <f>IF(ISERROR(VLOOKUP($U$2144,'TAR FIN'!$A$1:$O$95,15,0)),0,VLOOKUP($U$2144,'TAR FIN'!$A$1:$O$95,15,0))</f>
        <v>230.03</v>
      </c>
      <c r="Y2144" s="6"/>
      <c r="Z2144" s="6">
        <f ca="1">('TUSD BE'!$AM$51+'TUSD BF'!$AM$51+'TUSD CVA'!$AM$51)*1</f>
        <v>825.79679216117552</v>
      </c>
      <c r="AA2144" s="6">
        <f>('TE BE'!$AA$39+'TE BF'!$AA$39+'TE CVA'!$AA$39)*1</f>
        <v>282.91739971702214</v>
      </c>
      <c r="AB2144" s="6">
        <f>$K$2144*$V$2144</f>
        <v>0</v>
      </c>
      <c r="AC2144" s="6">
        <f>$M$2144*$W$2144</f>
        <v>1701.0958500000002</v>
      </c>
      <c r="AD2144" s="6">
        <f>$O$2144*$X$2144</f>
        <v>532.05939000000001</v>
      </c>
      <c r="AE2144" s="6">
        <f>$K$2144*$Y$2144</f>
        <v>0</v>
      </c>
      <c r="AF2144" s="6">
        <f ca="1">$M$2144*$Z$2144</f>
        <v>1910.0679802687991</v>
      </c>
      <c r="AG2144" s="6">
        <f>$O$2144*$AA$2144</f>
        <v>654.38794554547223</v>
      </c>
    </row>
    <row r="2145" spans="1:33" ht="11.25" customHeight="1" x14ac:dyDescent="0.25">
      <c r="A2145" s="4" t="s">
        <v>59</v>
      </c>
      <c r="B2145" s="4" t="s">
        <v>41</v>
      </c>
      <c r="C2145" s="4" t="s">
        <v>39</v>
      </c>
      <c r="D2145" s="4" t="s">
        <v>45</v>
      </c>
      <c r="E2145" s="4" t="s">
        <v>25</v>
      </c>
      <c r="F2145" s="4" t="s">
        <v>25</v>
      </c>
      <c r="G2145" s="4" t="s">
        <v>25</v>
      </c>
      <c r="H2145" s="4" t="s">
        <v>40</v>
      </c>
      <c r="I2145" s="5">
        <v>44470</v>
      </c>
      <c r="J2145" s="6">
        <v>0</v>
      </c>
      <c r="K2145" s="6">
        <v>0</v>
      </c>
      <c r="L2145" s="6">
        <v>1.2E-2</v>
      </c>
      <c r="M2145" s="6">
        <v>1.2E-2</v>
      </c>
      <c r="N2145" s="6">
        <v>1.2E-2</v>
      </c>
      <c r="O2145" s="6">
        <v>1.2E-2</v>
      </c>
      <c r="P2145" s="6">
        <v>0</v>
      </c>
      <c r="Q2145" s="4" t="s">
        <v>26</v>
      </c>
      <c r="R2145" s="4">
        <v>0</v>
      </c>
      <c r="S2145" s="6">
        <v>0</v>
      </c>
      <c r="T2145" s="6">
        <v>75</v>
      </c>
      <c r="U2145" s="6">
        <v>76</v>
      </c>
      <c r="V2145" s="6">
        <f>IF(ISERROR(VLOOKUP($S$2145,'TAR FIN'!$A$1:$O$95,15,0)),0,VLOOKUP($S$2145,'TAR FIN'!$A$1:$O$95,15,0))</f>
        <v>0</v>
      </c>
      <c r="W2145" s="6">
        <f>IF(ISERROR(VLOOKUP($T$2145,'TAR FIN'!$A$1:$O$95,15,0)),0,VLOOKUP($T$2145,'TAR FIN'!$A$1:$O$95,15,0))</f>
        <v>735.45</v>
      </c>
      <c r="X2145" s="6">
        <f>IF(ISERROR(VLOOKUP($U$2145,'TAR FIN'!$A$1:$O$95,15,0)),0,VLOOKUP($U$2145,'TAR FIN'!$A$1:$O$95,15,0))</f>
        <v>230.03</v>
      </c>
      <c r="Y2145" s="6"/>
      <c r="Z2145" s="6">
        <f ca="1">('TUSD BE'!$AM$51+'TUSD BF'!$AM$51+'TUSD CVA'!$AM$51)*1</f>
        <v>825.79679216117552</v>
      </c>
      <c r="AA2145" s="6">
        <f>('TE BE'!$AA$39+'TE BF'!$AA$39+'TE CVA'!$AA$39)*1</f>
        <v>282.91739971702214</v>
      </c>
      <c r="AB2145" s="6">
        <f>$K$2145*$V$2145</f>
        <v>0</v>
      </c>
      <c r="AC2145" s="6">
        <f>$M$2145*$W$2145</f>
        <v>8.8254000000000001</v>
      </c>
      <c r="AD2145" s="6">
        <f>$O$2145*$X$2145</f>
        <v>2.7603599999999999</v>
      </c>
      <c r="AE2145" s="6">
        <f>$K$2145*$Y$2145</f>
        <v>0</v>
      </c>
      <c r="AF2145" s="6">
        <f ca="1">$M$2145*$Z$2145</f>
        <v>9.9095615059341071</v>
      </c>
      <c r="AG2145" s="6">
        <f>$O$2145*$AA$2145</f>
        <v>3.3950087966042659</v>
      </c>
    </row>
    <row r="2146" spans="1:33" ht="11.25" customHeight="1" x14ac:dyDescent="0.25">
      <c r="A2146" s="4" t="s">
        <v>21</v>
      </c>
      <c r="B2146" s="4" t="s">
        <v>41</v>
      </c>
      <c r="C2146" s="4" t="s">
        <v>39</v>
      </c>
      <c r="D2146" s="4" t="s">
        <v>45</v>
      </c>
      <c r="E2146" s="4" t="s">
        <v>25</v>
      </c>
      <c r="F2146" s="4" t="s">
        <v>25</v>
      </c>
      <c r="G2146" s="4" t="s">
        <v>25</v>
      </c>
      <c r="H2146" s="4" t="s">
        <v>37</v>
      </c>
      <c r="I2146" s="5">
        <v>44136</v>
      </c>
      <c r="J2146" s="6">
        <v>0</v>
      </c>
      <c r="K2146" s="6">
        <v>0</v>
      </c>
      <c r="L2146" s="6">
        <v>35.692</v>
      </c>
      <c r="M2146" s="6">
        <v>35.692</v>
      </c>
      <c r="N2146" s="6">
        <v>35.692</v>
      </c>
      <c r="O2146" s="6">
        <v>35.692</v>
      </c>
      <c r="P2146" s="6">
        <v>0</v>
      </c>
      <c r="Q2146" s="4" t="s">
        <v>26</v>
      </c>
      <c r="R2146" s="4">
        <v>0</v>
      </c>
      <c r="S2146" s="6">
        <v>0</v>
      </c>
      <c r="T2146" s="6">
        <v>74</v>
      </c>
      <c r="U2146" s="6">
        <v>82</v>
      </c>
      <c r="V2146" s="6">
        <f>IF(ISERROR(VLOOKUP($S$2146,'TAR FIN'!$A$1:$O$95,15,0)),0,VLOOKUP($S$2146,'TAR FIN'!$A$1:$O$95,15,0))</f>
        <v>0</v>
      </c>
      <c r="W2146" s="6">
        <f>IF(ISERROR(VLOOKUP($T$2146,'TAR FIN'!$A$1:$O$95,15,0)),0,VLOOKUP($T$2146,'TAR FIN'!$A$1:$O$95,15,0))</f>
        <v>1089.57</v>
      </c>
      <c r="X2146" s="6">
        <f>IF(ISERROR(VLOOKUP($U$2146,'TAR FIN'!$A$1:$O$95,15,0)),0,VLOOKUP($U$2146,'TAR FIN'!$A$1:$O$95,15,0))</f>
        <v>389.28</v>
      </c>
      <c r="Y2146" s="6"/>
      <c r="Z2146" s="6">
        <f ca="1">('TUSD BE'!$AM$50+'TUSD BF'!$AM$50+'TUSD CVA'!$AM$50)*1</f>
        <v>1222.1406132757641</v>
      </c>
      <c r="AA2146" s="6">
        <f>('TE BE'!$AA$38+'TE BF'!$AA$38+'TE CVA'!$AA$38)*1</f>
        <v>454.3285679284046</v>
      </c>
      <c r="AB2146" s="6">
        <f>$K$2146*$V$2146</f>
        <v>0</v>
      </c>
      <c r="AC2146" s="6">
        <f>$M$2146*$W$2146</f>
        <v>38888.932439999997</v>
      </c>
      <c r="AD2146" s="6">
        <f>$O$2146*$X$2146</f>
        <v>13894.181759999999</v>
      </c>
      <c r="AE2146" s="6">
        <f>$K$2146*$Y$2146</f>
        <v>0</v>
      </c>
      <c r="AF2146" s="6">
        <f ca="1">$M$2146*$Z$2146</f>
        <v>43620.642769038568</v>
      </c>
      <c r="AG2146" s="6">
        <f>$O$2146*$AA$2146</f>
        <v>16215.895246500617</v>
      </c>
    </row>
    <row r="2147" spans="1:33" ht="11.25" customHeight="1" x14ac:dyDescent="0.25">
      <c r="A2147" s="4" t="s">
        <v>27</v>
      </c>
      <c r="B2147" s="4" t="s">
        <v>41</v>
      </c>
      <c r="C2147" s="4" t="s">
        <v>39</v>
      </c>
      <c r="D2147" s="4" t="s">
        <v>45</v>
      </c>
      <c r="E2147" s="4" t="s">
        <v>25</v>
      </c>
      <c r="F2147" s="4" t="s">
        <v>25</v>
      </c>
      <c r="G2147" s="4" t="s">
        <v>25</v>
      </c>
      <c r="H2147" s="4" t="s">
        <v>37</v>
      </c>
      <c r="I2147" s="5">
        <v>44136</v>
      </c>
      <c r="J2147" s="6">
        <v>0</v>
      </c>
      <c r="K2147" s="6">
        <v>0</v>
      </c>
      <c r="L2147" s="6">
        <v>-2.38</v>
      </c>
      <c r="M2147" s="6">
        <v>-2.38</v>
      </c>
      <c r="N2147" s="6">
        <v>-2.38</v>
      </c>
      <c r="O2147" s="6">
        <v>-2.38</v>
      </c>
      <c r="P2147" s="6">
        <v>0</v>
      </c>
      <c r="Q2147" s="4" t="s">
        <v>26</v>
      </c>
      <c r="R2147" s="4">
        <v>0</v>
      </c>
      <c r="S2147" s="6">
        <v>0</v>
      </c>
      <c r="T2147" s="6">
        <v>74</v>
      </c>
      <c r="U2147" s="6">
        <v>82</v>
      </c>
      <c r="V2147" s="6">
        <f>IF(ISERROR(VLOOKUP($S$2147,'TAR FIN'!$A$1:$O$95,15,0)),0,VLOOKUP($S$2147,'TAR FIN'!$A$1:$O$95,15,0))</f>
        <v>0</v>
      </c>
      <c r="W2147" s="6">
        <f>IF(ISERROR(VLOOKUP($T$2147,'TAR FIN'!$A$1:$O$95,15,0)),0,VLOOKUP($T$2147,'TAR FIN'!$A$1:$O$95,15,0))</f>
        <v>1089.57</v>
      </c>
      <c r="X2147" s="6">
        <f>IF(ISERROR(VLOOKUP($U$2147,'TAR FIN'!$A$1:$O$95,15,0)),0,VLOOKUP($U$2147,'TAR FIN'!$A$1:$O$95,15,0))</f>
        <v>389.28</v>
      </c>
      <c r="Y2147" s="6"/>
      <c r="Z2147" s="6">
        <f ca="1">('TUSD BE'!$AM$50+'TUSD BF'!$AM$50+'TUSD CVA'!$AM$50)*1</f>
        <v>1222.1406132757641</v>
      </c>
      <c r="AA2147" s="6">
        <f>('TE BE'!$AA$38+'TE BF'!$AA$38+'TE CVA'!$AA$38)*1</f>
        <v>454.3285679284046</v>
      </c>
      <c r="AB2147" s="6">
        <f>$K$2147*$V$2147</f>
        <v>0</v>
      </c>
      <c r="AC2147" s="6">
        <f>$M$2147*$W$2147</f>
        <v>-2593.1765999999998</v>
      </c>
      <c r="AD2147" s="6">
        <f>$O$2147*$X$2147</f>
        <v>-926.48639999999989</v>
      </c>
      <c r="AE2147" s="6">
        <f>$K$2147*$Y$2147</f>
        <v>0</v>
      </c>
      <c r="AF2147" s="6">
        <f ca="1">$M$2147*$Z$2147</f>
        <v>-2908.6946595963182</v>
      </c>
      <c r="AG2147" s="6">
        <f>$O$2147*$AA$2147</f>
        <v>-1081.3019916696028</v>
      </c>
    </row>
    <row r="2148" spans="1:33" ht="11.25" customHeight="1" x14ac:dyDescent="0.25">
      <c r="A2148" s="4" t="s">
        <v>28</v>
      </c>
      <c r="B2148" s="4" t="s">
        <v>41</v>
      </c>
      <c r="C2148" s="4" t="s">
        <v>39</v>
      </c>
      <c r="D2148" s="4" t="s">
        <v>45</v>
      </c>
      <c r="E2148" s="4" t="s">
        <v>25</v>
      </c>
      <c r="F2148" s="4" t="s">
        <v>25</v>
      </c>
      <c r="G2148" s="4" t="s">
        <v>25</v>
      </c>
      <c r="H2148" s="4" t="s">
        <v>37</v>
      </c>
      <c r="I2148" s="5">
        <v>44136</v>
      </c>
      <c r="J2148" s="6">
        <v>0</v>
      </c>
      <c r="K2148" s="6">
        <v>0</v>
      </c>
      <c r="L2148" s="6">
        <v>5.8289999999999997</v>
      </c>
      <c r="M2148" s="6">
        <v>5.8289999999999997</v>
      </c>
      <c r="N2148" s="6">
        <v>5.8289999999999997</v>
      </c>
      <c r="O2148" s="6">
        <v>5.8289999999999997</v>
      </c>
      <c r="P2148" s="6">
        <v>0</v>
      </c>
      <c r="Q2148" s="4" t="s">
        <v>26</v>
      </c>
      <c r="R2148" s="4">
        <v>0</v>
      </c>
      <c r="S2148" s="6">
        <v>0</v>
      </c>
      <c r="T2148" s="6">
        <v>74</v>
      </c>
      <c r="U2148" s="6">
        <v>82</v>
      </c>
      <c r="V2148" s="6">
        <f>IF(ISERROR(VLOOKUP($S$2148,'TAR FIN'!$A$1:$O$95,15,0)),0,VLOOKUP($S$2148,'TAR FIN'!$A$1:$O$95,15,0))</f>
        <v>0</v>
      </c>
      <c r="W2148" s="6">
        <f>IF(ISERROR(VLOOKUP($T$2148,'TAR FIN'!$A$1:$O$95,15,0)),0,VLOOKUP($T$2148,'TAR FIN'!$A$1:$O$95,15,0))</f>
        <v>1089.57</v>
      </c>
      <c r="X2148" s="6">
        <f>IF(ISERROR(VLOOKUP($U$2148,'TAR FIN'!$A$1:$O$95,15,0)),0,VLOOKUP($U$2148,'TAR FIN'!$A$1:$O$95,15,0))</f>
        <v>389.28</v>
      </c>
      <c r="Y2148" s="6"/>
      <c r="Z2148" s="6">
        <f ca="1">('TUSD BE'!$AM$50+'TUSD BF'!$AM$50+'TUSD CVA'!$AM$50)*1</f>
        <v>1222.1406132757641</v>
      </c>
      <c r="AA2148" s="6">
        <f>('TE BE'!$AA$38+'TE BF'!$AA$38+'TE CVA'!$AA$38)*1</f>
        <v>454.3285679284046</v>
      </c>
      <c r="AB2148" s="6">
        <f>$K$2148*$V$2148</f>
        <v>0</v>
      </c>
      <c r="AC2148" s="6">
        <f>$M$2148*$W$2148</f>
        <v>6351.1035299999994</v>
      </c>
      <c r="AD2148" s="6">
        <f>$O$2148*$X$2148</f>
        <v>2269.1131199999995</v>
      </c>
      <c r="AE2148" s="6">
        <f>$K$2148*$Y$2148</f>
        <v>0</v>
      </c>
      <c r="AF2148" s="6">
        <f ca="1">$M$2148*$Z$2148</f>
        <v>7123.8576347844282</v>
      </c>
      <c r="AG2148" s="6">
        <f>$O$2148*$AA$2148</f>
        <v>2648.2812224546701</v>
      </c>
    </row>
    <row r="2149" spans="1:33" ht="11.25" customHeight="1" x14ac:dyDescent="0.25">
      <c r="A2149" s="4" t="s">
        <v>21</v>
      </c>
      <c r="B2149" s="4" t="s">
        <v>41</v>
      </c>
      <c r="C2149" s="4" t="s">
        <v>39</v>
      </c>
      <c r="D2149" s="4" t="s">
        <v>45</v>
      </c>
      <c r="E2149" s="4" t="s">
        <v>25</v>
      </c>
      <c r="F2149" s="4" t="s">
        <v>25</v>
      </c>
      <c r="G2149" s="4" t="s">
        <v>25</v>
      </c>
      <c r="H2149" s="4" t="s">
        <v>37</v>
      </c>
      <c r="I2149" s="5">
        <v>44166</v>
      </c>
      <c r="J2149" s="6">
        <v>0</v>
      </c>
      <c r="K2149" s="6">
        <v>0</v>
      </c>
      <c r="L2149" s="6">
        <v>10.847</v>
      </c>
      <c r="M2149" s="6">
        <v>10.847</v>
      </c>
      <c r="N2149" s="6">
        <v>10.847</v>
      </c>
      <c r="O2149" s="6">
        <v>10.847</v>
      </c>
      <c r="P2149" s="6">
        <v>0</v>
      </c>
      <c r="Q2149" s="4" t="s">
        <v>26</v>
      </c>
      <c r="R2149" s="4">
        <v>0</v>
      </c>
      <c r="S2149" s="6">
        <v>0</v>
      </c>
      <c r="T2149" s="6">
        <v>74</v>
      </c>
      <c r="U2149" s="6">
        <v>82</v>
      </c>
      <c r="V2149" s="6">
        <f>IF(ISERROR(VLOOKUP($S$2149,'TAR FIN'!$A$1:$O$95,15,0)),0,VLOOKUP($S$2149,'TAR FIN'!$A$1:$O$95,15,0))</f>
        <v>0</v>
      </c>
      <c r="W2149" s="6">
        <f>IF(ISERROR(VLOOKUP($T$2149,'TAR FIN'!$A$1:$O$95,15,0)),0,VLOOKUP($T$2149,'TAR FIN'!$A$1:$O$95,15,0))</f>
        <v>1089.57</v>
      </c>
      <c r="X2149" s="6">
        <f>IF(ISERROR(VLOOKUP($U$2149,'TAR FIN'!$A$1:$O$95,15,0)),0,VLOOKUP($U$2149,'TAR FIN'!$A$1:$O$95,15,0))</f>
        <v>389.28</v>
      </c>
      <c r="Y2149" s="6"/>
      <c r="Z2149" s="6">
        <f ca="1">('TUSD BE'!$AM$50+'TUSD BF'!$AM$50+'TUSD CVA'!$AM$50)*1</f>
        <v>1222.1406132757641</v>
      </c>
      <c r="AA2149" s="6">
        <f>('TE BE'!$AA$38+'TE BF'!$AA$38+'TE CVA'!$AA$38)*1</f>
        <v>454.3285679284046</v>
      </c>
      <c r="AB2149" s="6">
        <f>$K$2149*$V$2149</f>
        <v>0</v>
      </c>
      <c r="AC2149" s="6">
        <f>$M$2149*$W$2149</f>
        <v>11818.565789999999</v>
      </c>
      <c r="AD2149" s="6">
        <f>$O$2149*$X$2149</f>
        <v>4222.5201599999991</v>
      </c>
      <c r="AE2149" s="6">
        <f>$K$2149*$Y$2149</f>
        <v>0</v>
      </c>
      <c r="AF2149" s="6">
        <f ca="1">$M$2149*$Z$2149</f>
        <v>13256.559232202213</v>
      </c>
      <c r="AG2149" s="6">
        <f>$O$2149*$AA$2149</f>
        <v>4928.1019763194045</v>
      </c>
    </row>
    <row r="2150" spans="1:33" ht="11.25" customHeight="1" x14ac:dyDescent="0.25">
      <c r="A2150" s="4" t="s">
        <v>28</v>
      </c>
      <c r="B2150" s="4" t="s">
        <v>41</v>
      </c>
      <c r="C2150" s="4" t="s">
        <v>39</v>
      </c>
      <c r="D2150" s="4" t="s">
        <v>45</v>
      </c>
      <c r="E2150" s="4" t="s">
        <v>25</v>
      </c>
      <c r="F2150" s="4" t="s">
        <v>25</v>
      </c>
      <c r="G2150" s="4" t="s">
        <v>25</v>
      </c>
      <c r="H2150" s="4" t="s">
        <v>37</v>
      </c>
      <c r="I2150" s="5">
        <v>44166</v>
      </c>
      <c r="J2150" s="6">
        <v>0</v>
      </c>
      <c r="K2150" s="6">
        <v>0</v>
      </c>
      <c r="L2150" s="6">
        <v>6.3739999999999997</v>
      </c>
      <c r="M2150" s="6">
        <v>6.3739999999999997</v>
      </c>
      <c r="N2150" s="6">
        <v>6.3739999999999997</v>
      </c>
      <c r="O2150" s="6">
        <v>6.3739999999999997</v>
      </c>
      <c r="P2150" s="6">
        <v>0</v>
      </c>
      <c r="Q2150" s="4" t="s">
        <v>26</v>
      </c>
      <c r="R2150" s="4">
        <v>0</v>
      </c>
      <c r="S2150" s="6">
        <v>0</v>
      </c>
      <c r="T2150" s="6">
        <v>74</v>
      </c>
      <c r="U2150" s="6">
        <v>82</v>
      </c>
      <c r="V2150" s="6">
        <f>IF(ISERROR(VLOOKUP($S$2150,'TAR FIN'!$A$1:$O$95,15,0)),0,VLOOKUP($S$2150,'TAR FIN'!$A$1:$O$95,15,0))</f>
        <v>0</v>
      </c>
      <c r="W2150" s="6">
        <f>IF(ISERROR(VLOOKUP($T$2150,'TAR FIN'!$A$1:$O$95,15,0)),0,VLOOKUP($T$2150,'TAR FIN'!$A$1:$O$95,15,0))</f>
        <v>1089.57</v>
      </c>
      <c r="X2150" s="6">
        <f>IF(ISERROR(VLOOKUP($U$2150,'TAR FIN'!$A$1:$O$95,15,0)),0,VLOOKUP($U$2150,'TAR FIN'!$A$1:$O$95,15,0))</f>
        <v>389.28</v>
      </c>
      <c r="Y2150" s="6"/>
      <c r="Z2150" s="6">
        <f ca="1">('TUSD BE'!$AM$50+'TUSD BF'!$AM$50+'TUSD CVA'!$AM$50)*1</f>
        <v>1222.1406132757641</v>
      </c>
      <c r="AA2150" s="6">
        <f>('TE BE'!$AA$38+'TE BF'!$AA$38+'TE CVA'!$AA$38)*1</f>
        <v>454.3285679284046</v>
      </c>
      <c r="AB2150" s="6">
        <f>$K$2150*$V$2150</f>
        <v>0</v>
      </c>
      <c r="AC2150" s="6">
        <f>$M$2150*$W$2150</f>
        <v>6944.919179999999</v>
      </c>
      <c r="AD2150" s="6">
        <f>$O$2150*$X$2150</f>
        <v>2481.2707199999995</v>
      </c>
      <c r="AE2150" s="6">
        <f>$K$2150*$Y$2150</f>
        <v>0</v>
      </c>
      <c r="AF2150" s="6">
        <f ca="1">$M$2150*$Z$2150</f>
        <v>7789.9242690197198</v>
      </c>
      <c r="AG2150" s="6">
        <f>$O$2150*$AA$2150</f>
        <v>2895.8902919756506</v>
      </c>
    </row>
    <row r="2151" spans="1:33" ht="11.25" customHeight="1" x14ac:dyDescent="0.25">
      <c r="A2151" s="4" t="s">
        <v>21</v>
      </c>
      <c r="B2151" s="4" t="s">
        <v>41</v>
      </c>
      <c r="C2151" s="4" t="s">
        <v>39</v>
      </c>
      <c r="D2151" s="4" t="s">
        <v>45</v>
      </c>
      <c r="E2151" s="4" t="s">
        <v>25</v>
      </c>
      <c r="F2151" s="4" t="s">
        <v>25</v>
      </c>
      <c r="G2151" s="4" t="s">
        <v>25</v>
      </c>
      <c r="H2151" s="4" t="s">
        <v>37</v>
      </c>
      <c r="I2151" s="5">
        <v>44197</v>
      </c>
      <c r="J2151" s="6">
        <v>0</v>
      </c>
      <c r="K2151" s="6">
        <v>0</v>
      </c>
      <c r="L2151" s="6">
        <v>7.8710000000000004</v>
      </c>
      <c r="M2151" s="6">
        <v>7.8710000000000004</v>
      </c>
      <c r="N2151" s="6">
        <v>7.8710000000000004</v>
      </c>
      <c r="O2151" s="6">
        <v>7.8710000000000004</v>
      </c>
      <c r="P2151" s="6">
        <v>0</v>
      </c>
      <c r="Q2151" s="4" t="s">
        <v>26</v>
      </c>
      <c r="R2151" s="4">
        <v>0</v>
      </c>
      <c r="S2151" s="6">
        <v>0</v>
      </c>
      <c r="T2151" s="6">
        <v>74</v>
      </c>
      <c r="U2151" s="6">
        <v>82</v>
      </c>
      <c r="V2151" s="6">
        <f>IF(ISERROR(VLOOKUP($S$2151,'TAR FIN'!$A$1:$O$95,15,0)),0,VLOOKUP($S$2151,'TAR FIN'!$A$1:$O$95,15,0))</f>
        <v>0</v>
      </c>
      <c r="W2151" s="6">
        <f>IF(ISERROR(VLOOKUP($T$2151,'TAR FIN'!$A$1:$O$95,15,0)),0,VLOOKUP($T$2151,'TAR FIN'!$A$1:$O$95,15,0))</f>
        <v>1089.57</v>
      </c>
      <c r="X2151" s="6">
        <f>IF(ISERROR(VLOOKUP($U$2151,'TAR FIN'!$A$1:$O$95,15,0)),0,VLOOKUP($U$2151,'TAR FIN'!$A$1:$O$95,15,0))</f>
        <v>389.28</v>
      </c>
      <c r="Y2151" s="6"/>
      <c r="Z2151" s="6">
        <f ca="1">('TUSD BE'!$AM$50+'TUSD BF'!$AM$50+'TUSD CVA'!$AM$50)*1</f>
        <v>1222.1406132757641</v>
      </c>
      <c r="AA2151" s="6">
        <f>('TE BE'!$AA$38+'TE BF'!$AA$38+'TE CVA'!$AA$38)*1</f>
        <v>454.3285679284046</v>
      </c>
      <c r="AB2151" s="6">
        <f>$K$2151*$V$2151</f>
        <v>0</v>
      </c>
      <c r="AC2151" s="6">
        <f>$M$2151*$W$2151</f>
        <v>8576.0054700000001</v>
      </c>
      <c r="AD2151" s="6">
        <f>$O$2151*$X$2151</f>
        <v>3064.02288</v>
      </c>
      <c r="AE2151" s="6">
        <f>$K$2151*$Y$2151</f>
        <v>0</v>
      </c>
      <c r="AF2151" s="6">
        <f ca="1">$M$2151*$Z$2151</f>
        <v>9619.46876709354</v>
      </c>
      <c r="AG2151" s="6">
        <f>$O$2151*$AA$2151</f>
        <v>3576.0201581644728</v>
      </c>
    </row>
    <row r="2152" spans="1:33" ht="11.25" customHeight="1" x14ac:dyDescent="0.25">
      <c r="A2152" s="4" t="s">
        <v>27</v>
      </c>
      <c r="B2152" s="4" t="s">
        <v>41</v>
      </c>
      <c r="C2152" s="4" t="s">
        <v>39</v>
      </c>
      <c r="D2152" s="4" t="s">
        <v>45</v>
      </c>
      <c r="E2152" s="4" t="s">
        <v>25</v>
      </c>
      <c r="F2152" s="4" t="s">
        <v>25</v>
      </c>
      <c r="G2152" s="4" t="s">
        <v>25</v>
      </c>
      <c r="H2152" s="4" t="s">
        <v>37</v>
      </c>
      <c r="I2152" s="5">
        <v>44197</v>
      </c>
      <c r="J2152" s="6">
        <v>0</v>
      </c>
      <c r="K2152" s="6">
        <v>0</v>
      </c>
      <c r="L2152" s="6">
        <v>-1.8660000000000001</v>
      </c>
      <c r="M2152" s="6">
        <v>-1.8660000000000001</v>
      </c>
      <c r="N2152" s="6">
        <v>-1.8660000000000001</v>
      </c>
      <c r="O2152" s="6">
        <v>-1.8660000000000001</v>
      </c>
      <c r="P2152" s="6">
        <v>0</v>
      </c>
      <c r="Q2152" s="4" t="s">
        <v>26</v>
      </c>
      <c r="R2152" s="4">
        <v>0</v>
      </c>
      <c r="S2152" s="6">
        <v>0</v>
      </c>
      <c r="T2152" s="6">
        <v>74</v>
      </c>
      <c r="U2152" s="6">
        <v>82</v>
      </c>
      <c r="V2152" s="6">
        <f>IF(ISERROR(VLOOKUP($S$2152,'TAR FIN'!$A$1:$O$95,15,0)),0,VLOOKUP($S$2152,'TAR FIN'!$A$1:$O$95,15,0))</f>
        <v>0</v>
      </c>
      <c r="W2152" s="6">
        <f>IF(ISERROR(VLOOKUP($T$2152,'TAR FIN'!$A$1:$O$95,15,0)),0,VLOOKUP($T$2152,'TAR FIN'!$A$1:$O$95,15,0))</f>
        <v>1089.57</v>
      </c>
      <c r="X2152" s="6">
        <f>IF(ISERROR(VLOOKUP($U$2152,'TAR FIN'!$A$1:$O$95,15,0)),0,VLOOKUP($U$2152,'TAR FIN'!$A$1:$O$95,15,0))</f>
        <v>389.28</v>
      </c>
      <c r="Y2152" s="6"/>
      <c r="Z2152" s="6">
        <f ca="1">('TUSD BE'!$AM$50+'TUSD BF'!$AM$50+'TUSD CVA'!$AM$50)*1</f>
        <v>1222.1406132757641</v>
      </c>
      <c r="AA2152" s="6">
        <f>('TE BE'!$AA$38+'TE BF'!$AA$38+'TE CVA'!$AA$38)*1</f>
        <v>454.3285679284046</v>
      </c>
      <c r="AB2152" s="6">
        <f>$K$2152*$V$2152</f>
        <v>0</v>
      </c>
      <c r="AC2152" s="6">
        <f>$M$2152*$W$2152</f>
        <v>-2033.13762</v>
      </c>
      <c r="AD2152" s="6">
        <f>$O$2152*$X$2152</f>
        <v>-726.39648</v>
      </c>
      <c r="AE2152" s="6">
        <f>$K$2152*$Y$2152</f>
        <v>0</v>
      </c>
      <c r="AF2152" s="6">
        <f ca="1">$M$2152*$Z$2152</f>
        <v>-2280.5143843725759</v>
      </c>
      <c r="AG2152" s="6">
        <f>$O$2152*$AA$2152</f>
        <v>-847.777107754403</v>
      </c>
    </row>
    <row r="2153" spans="1:33" ht="11.25" customHeight="1" x14ac:dyDescent="0.25">
      <c r="A2153" s="4" t="s">
        <v>28</v>
      </c>
      <c r="B2153" s="4" t="s">
        <v>41</v>
      </c>
      <c r="C2153" s="4" t="s">
        <v>39</v>
      </c>
      <c r="D2153" s="4" t="s">
        <v>45</v>
      </c>
      <c r="E2153" s="4" t="s">
        <v>25</v>
      </c>
      <c r="F2153" s="4" t="s">
        <v>25</v>
      </c>
      <c r="G2153" s="4" t="s">
        <v>25</v>
      </c>
      <c r="H2153" s="4" t="s">
        <v>37</v>
      </c>
      <c r="I2153" s="5">
        <v>44197</v>
      </c>
      <c r="J2153" s="6">
        <v>0</v>
      </c>
      <c r="K2153" s="6">
        <v>0</v>
      </c>
      <c r="L2153" s="6">
        <v>6.2210000000000001</v>
      </c>
      <c r="M2153" s="6">
        <v>6.2210000000000001</v>
      </c>
      <c r="N2153" s="6">
        <v>6.2210000000000001</v>
      </c>
      <c r="O2153" s="6">
        <v>6.2210000000000001</v>
      </c>
      <c r="P2153" s="6">
        <v>0</v>
      </c>
      <c r="Q2153" s="4" t="s">
        <v>26</v>
      </c>
      <c r="R2153" s="4">
        <v>0</v>
      </c>
      <c r="S2153" s="6">
        <v>0</v>
      </c>
      <c r="T2153" s="6">
        <v>74</v>
      </c>
      <c r="U2153" s="6">
        <v>82</v>
      </c>
      <c r="V2153" s="6">
        <f>IF(ISERROR(VLOOKUP($S$2153,'TAR FIN'!$A$1:$O$95,15,0)),0,VLOOKUP($S$2153,'TAR FIN'!$A$1:$O$95,15,0))</f>
        <v>0</v>
      </c>
      <c r="W2153" s="6">
        <f>IF(ISERROR(VLOOKUP($T$2153,'TAR FIN'!$A$1:$O$95,15,0)),0,VLOOKUP($T$2153,'TAR FIN'!$A$1:$O$95,15,0))</f>
        <v>1089.57</v>
      </c>
      <c r="X2153" s="6">
        <f>IF(ISERROR(VLOOKUP($U$2153,'TAR FIN'!$A$1:$O$95,15,0)),0,VLOOKUP($U$2153,'TAR FIN'!$A$1:$O$95,15,0))</f>
        <v>389.28</v>
      </c>
      <c r="Y2153" s="6"/>
      <c r="Z2153" s="6">
        <f ca="1">('TUSD BE'!$AM$50+'TUSD BF'!$AM$50+'TUSD CVA'!$AM$50)*1</f>
        <v>1222.1406132757641</v>
      </c>
      <c r="AA2153" s="6">
        <f>('TE BE'!$AA$38+'TE BF'!$AA$38+'TE CVA'!$AA$38)*1</f>
        <v>454.3285679284046</v>
      </c>
      <c r="AB2153" s="6">
        <f>$K$2153*$V$2153</f>
        <v>0</v>
      </c>
      <c r="AC2153" s="6">
        <f>$M$2153*$W$2153</f>
        <v>6778.21497</v>
      </c>
      <c r="AD2153" s="6">
        <f>$O$2153*$X$2153</f>
        <v>2421.7108800000001</v>
      </c>
      <c r="AE2153" s="6">
        <f>$K$2153*$Y$2153</f>
        <v>0</v>
      </c>
      <c r="AF2153" s="6">
        <f ca="1">$M$2153*$Z$2153</f>
        <v>7602.936755188528</v>
      </c>
      <c r="AG2153" s="6">
        <f>$O$2153*$AA$2153</f>
        <v>2826.3780210826048</v>
      </c>
    </row>
    <row r="2154" spans="1:33" ht="11.25" customHeight="1" x14ac:dyDescent="0.25">
      <c r="A2154" s="4" t="s">
        <v>21</v>
      </c>
      <c r="B2154" s="4" t="s">
        <v>41</v>
      </c>
      <c r="C2154" s="4" t="s">
        <v>39</v>
      </c>
      <c r="D2154" s="4" t="s">
        <v>45</v>
      </c>
      <c r="E2154" s="4" t="s">
        <v>25</v>
      </c>
      <c r="F2154" s="4" t="s">
        <v>25</v>
      </c>
      <c r="G2154" s="4" t="s">
        <v>25</v>
      </c>
      <c r="H2154" s="4" t="s">
        <v>37</v>
      </c>
      <c r="I2154" s="5">
        <v>44228</v>
      </c>
      <c r="J2154" s="6">
        <v>0</v>
      </c>
      <c r="K2154" s="6">
        <v>0</v>
      </c>
      <c r="L2154" s="6">
        <v>5.0780000000000003</v>
      </c>
      <c r="M2154" s="6">
        <v>5.0780000000000003</v>
      </c>
      <c r="N2154" s="6">
        <v>5.0780000000000003</v>
      </c>
      <c r="O2154" s="6">
        <v>5.0780000000000003</v>
      </c>
      <c r="P2154" s="6">
        <v>0</v>
      </c>
      <c r="Q2154" s="4" t="s">
        <v>26</v>
      </c>
      <c r="R2154" s="4">
        <v>0</v>
      </c>
      <c r="S2154" s="6">
        <v>0</v>
      </c>
      <c r="T2154" s="6">
        <v>74</v>
      </c>
      <c r="U2154" s="6">
        <v>82</v>
      </c>
      <c r="V2154" s="6">
        <f>IF(ISERROR(VLOOKUP($S$2154,'TAR FIN'!$A$1:$O$95,15,0)),0,VLOOKUP($S$2154,'TAR FIN'!$A$1:$O$95,15,0))</f>
        <v>0</v>
      </c>
      <c r="W2154" s="6">
        <f>IF(ISERROR(VLOOKUP($T$2154,'TAR FIN'!$A$1:$O$95,15,0)),0,VLOOKUP($T$2154,'TAR FIN'!$A$1:$O$95,15,0))</f>
        <v>1089.57</v>
      </c>
      <c r="X2154" s="6">
        <f>IF(ISERROR(VLOOKUP($U$2154,'TAR FIN'!$A$1:$O$95,15,0)),0,VLOOKUP($U$2154,'TAR FIN'!$A$1:$O$95,15,0))</f>
        <v>389.28</v>
      </c>
      <c r="Y2154" s="6"/>
      <c r="Z2154" s="6">
        <f ca="1">('TUSD BE'!$AM$50+'TUSD BF'!$AM$50+'TUSD CVA'!$AM$50)*1</f>
        <v>1222.1406132757641</v>
      </c>
      <c r="AA2154" s="6">
        <f>('TE BE'!$AA$38+'TE BF'!$AA$38+'TE CVA'!$AA$38)*1</f>
        <v>454.3285679284046</v>
      </c>
      <c r="AB2154" s="6">
        <f>$K$2154*$V$2154</f>
        <v>0</v>
      </c>
      <c r="AC2154" s="6">
        <f>$M$2154*$W$2154</f>
        <v>5532.8364600000004</v>
      </c>
      <c r="AD2154" s="6">
        <f>$O$2154*$X$2154</f>
        <v>1976.7638400000001</v>
      </c>
      <c r="AE2154" s="6">
        <f>$K$2154*$Y$2154</f>
        <v>0</v>
      </c>
      <c r="AF2154" s="6">
        <f ca="1">$M$2154*$Z$2154</f>
        <v>6206.03003421433</v>
      </c>
      <c r="AG2154" s="6">
        <f>$O$2154*$AA$2154</f>
        <v>2307.0804679404387</v>
      </c>
    </row>
    <row r="2155" spans="1:33" ht="11.25" customHeight="1" x14ac:dyDescent="0.25">
      <c r="A2155" s="4" t="s">
        <v>27</v>
      </c>
      <c r="B2155" s="4" t="s">
        <v>41</v>
      </c>
      <c r="C2155" s="4" t="s">
        <v>39</v>
      </c>
      <c r="D2155" s="4" t="s">
        <v>45</v>
      </c>
      <c r="E2155" s="4" t="s">
        <v>25</v>
      </c>
      <c r="F2155" s="4" t="s">
        <v>25</v>
      </c>
      <c r="G2155" s="4" t="s">
        <v>25</v>
      </c>
      <c r="H2155" s="4" t="s">
        <v>37</v>
      </c>
      <c r="I2155" s="5">
        <v>44228</v>
      </c>
      <c r="J2155" s="6">
        <v>0</v>
      </c>
      <c r="K2155" s="6">
        <v>0</v>
      </c>
      <c r="L2155" s="6">
        <v>-3.7789999999999999</v>
      </c>
      <c r="M2155" s="6">
        <v>-3.7789999999999999</v>
      </c>
      <c r="N2155" s="6">
        <v>-3.7789999999999999</v>
      </c>
      <c r="O2155" s="6">
        <v>-3.7789999999999999</v>
      </c>
      <c r="P2155" s="6">
        <v>0</v>
      </c>
      <c r="Q2155" s="4" t="s">
        <v>26</v>
      </c>
      <c r="R2155" s="4">
        <v>0</v>
      </c>
      <c r="S2155" s="6">
        <v>0</v>
      </c>
      <c r="T2155" s="6">
        <v>74</v>
      </c>
      <c r="U2155" s="6">
        <v>82</v>
      </c>
      <c r="V2155" s="6">
        <f>IF(ISERROR(VLOOKUP($S$2155,'TAR FIN'!$A$1:$O$95,15,0)),0,VLOOKUP($S$2155,'TAR FIN'!$A$1:$O$95,15,0))</f>
        <v>0</v>
      </c>
      <c r="W2155" s="6">
        <f>IF(ISERROR(VLOOKUP($T$2155,'TAR FIN'!$A$1:$O$95,15,0)),0,VLOOKUP($T$2155,'TAR FIN'!$A$1:$O$95,15,0))</f>
        <v>1089.57</v>
      </c>
      <c r="X2155" s="6">
        <f>IF(ISERROR(VLOOKUP($U$2155,'TAR FIN'!$A$1:$O$95,15,0)),0,VLOOKUP($U$2155,'TAR FIN'!$A$1:$O$95,15,0))</f>
        <v>389.28</v>
      </c>
      <c r="Y2155" s="6"/>
      <c r="Z2155" s="6">
        <f ca="1">('TUSD BE'!$AM$50+'TUSD BF'!$AM$50+'TUSD CVA'!$AM$50)*1</f>
        <v>1222.1406132757641</v>
      </c>
      <c r="AA2155" s="6">
        <f>('TE BE'!$AA$38+'TE BF'!$AA$38+'TE CVA'!$AA$38)*1</f>
        <v>454.3285679284046</v>
      </c>
      <c r="AB2155" s="6">
        <f>$K$2155*$V$2155</f>
        <v>0</v>
      </c>
      <c r="AC2155" s="6">
        <f>$M$2155*$W$2155</f>
        <v>-4117.4850299999998</v>
      </c>
      <c r="AD2155" s="6">
        <f>$O$2155*$X$2155</f>
        <v>-1471.0891199999999</v>
      </c>
      <c r="AE2155" s="6">
        <f>$K$2155*$Y$2155</f>
        <v>0</v>
      </c>
      <c r="AF2155" s="6">
        <f ca="1">$M$2155*$Z$2155</f>
        <v>-4618.4693775691121</v>
      </c>
      <c r="AG2155" s="6">
        <f>$O$2155*$AA$2155</f>
        <v>-1716.9076582014409</v>
      </c>
    </row>
    <row r="2156" spans="1:33" ht="11.25" customHeight="1" x14ac:dyDescent="0.25">
      <c r="A2156" s="4" t="s">
        <v>28</v>
      </c>
      <c r="B2156" s="4" t="s">
        <v>41</v>
      </c>
      <c r="C2156" s="4" t="s">
        <v>39</v>
      </c>
      <c r="D2156" s="4" t="s">
        <v>45</v>
      </c>
      <c r="E2156" s="4" t="s">
        <v>25</v>
      </c>
      <c r="F2156" s="4" t="s">
        <v>25</v>
      </c>
      <c r="G2156" s="4" t="s">
        <v>25</v>
      </c>
      <c r="H2156" s="4" t="s">
        <v>37</v>
      </c>
      <c r="I2156" s="5">
        <v>44228</v>
      </c>
      <c r="J2156" s="6">
        <v>0</v>
      </c>
      <c r="K2156" s="6">
        <v>0</v>
      </c>
      <c r="L2156" s="6">
        <v>6.6580000000000004</v>
      </c>
      <c r="M2156" s="6">
        <v>6.6580000000000004</v>
      </c>
      <c r="N2156" s="6">
        <v>6.6580000000000004</v>
      </c>
      <c r="O2156" s="6">
        <v>6.6580000000000004</v>
      </c>
      <c r="P2156" s="6">
        <v>0</v>
      </c>
      <c r="Q2156" s="4" t="s">
        <v>26</v>
      </c>
      <c r="R2156" s="4">
        <v>0</v>
      </c>
      <c r="S2156" s="6">
        <v>0</v>
      </c>
      <c r="T2156" s="6">
        <v>74</v>
      </c>
      <c r="U2156" s="6">
        <v>82</v>
      </c>
      <c r="V2156" s="6">
        <f>IF(ISERROR(VLOOKUP($S$2156,'TAR FIN'!$A$1:$O$95,15,0)),0,VLOOKUP($S$2156,'TAR FIN'!$A$1:$O$95,15,0))</f>
        <v>0</v>
      </c>
      <c r="W2156" s="6">
        <f>IF(ISERROR(VLOOKUP($T$2156,'TAR FIN'!$A$1:$O$95,15,0)),0,VLOOKUP($T$2156,'TAR FIN'!$A$1:$O$95,15,0))</f>
        <v>1089.57</v>
      </c>
      <c r="X2156" s="6">
        <f>IF(ISERROR(VLOOKUP($U$2156,'TAR FIN'!$A$1:$O$95,15,0)),0,VLOOKUP($U$2156,'TAR FIN'!$A$1:$O$95,15,0))</f>
        <v>389.28</v>
      </c>
      <c r="Y2156" s="6"/>
      <c r="Z2156" s="6">
        <f ca="1">('TUSD BE'!$AM$50+'TUSD BF'!$AM$50+'TUSD CVA'!$AM$50)*1</f>
        <v>1222.1406132757641</v>
      </c>
      <c r="AA2156" s="6">
        <f>('TE BE'!$AA$38+'TE BF'!$AA$38+'TE CVA'!$AA$38)*1</f>
        <v>454.3285679284046</v>
      </c>
      <c r="AB2156" s="6">
        <f>$K$2156*$V$2156</f>
        <v>0</v>
      </c>
      <c r="AC2156" s="6">
        <f>$M$2156*$W$2156</f>
        <v>7254.3570600000003</v>
      </c>
      <c r="AD2156" s="6">
        <f>$O$2156*$X$2156</f>
        <v>2591.8262399999999</v>
      </c>
      <c r="AE2156" s="6">
        <f>$K$2156*$Y$2156</f>
        <v>0</v>
      </c>
      <c r="AF2156" s="6">
        <f ca="1">$M$2156*$Z$2156</f>
        <v>8137.0122031900373</v>
      </c>
      <c r="AG2156" s="6">
        <f>$O$2156*$AA$2156</f>
        <v>3024.9196052673178</v>
      </c>
    </row>
    <row r="2157" spans="1:33" ht="11.25" customHeight="1" x14ac:dyDescent="0.25">
      <c r="A2157" s="4" t="s">
        <v>21</v>
      </c>
      <c r="B2157" s="4" t="s">
        <v>41</v>
      </c>
      <c r="C2157" s="4" t="s">
        <v>39</v>
      </c>
      <c r="D2157" s="4" t="s">
        <v>45</v>
      </c>
      <c r="E2157" s="4" t="s">
        <v>25</v>
      </c>
      <c r="F2157" s="4" t="s">
        <v>25</v>
      </c>
      <c r="G2157" s="4" t="s">
        <v>25</v>
      </c>
      <c r="H2157" s="4" t="s">
        <v>37</v>
      </c>
      <c r="I2157" s="5">
        <v>44256</v>
      </c>
      <c r="J2157" s="6">
        <v>0</v>
      </c>
      <c r="K2157" s="6">
        <v>0</v>
      </c>
      <c r="L2157" s="6">
        <v>3.1930000000000001</v>
      </c>
      <c r="M2157" s="6">
        <v>3.1930000000000001</v>
      </c>
      <c r="N2157" s="6">
        <v>3.1930000000000001</v>
      </c>
      <c r="O2157" s="6">
        <v>3.1930000000000001</v>
      </c>
      <c r="P2157" s="6">
        <v>0</v>
      </c>
      <c r="Q2157" s="4" t="s">
        <v>26</v>
      </c>
      <c r="R2157" s="4">
        <v>0</v>
      </c>
      <c r="S2157" s="6">
        <v>0</v>
      </c>
      <c r="T2157" s="6">
        <v>74</v>
      </c>
      <c r="U2157" s="6">
        <v>82</v>
      </c>
      <c r="V2157" s="6">
        <f>IF(ISERROR(VLOOKUP($S$2157,'TAR FIN'!$A$1:$O$95,15,0)),0,VLOOKUP($S$2157,'TAR FIN'!$A$1:$O$95,15,0))</f>
        <v>0</v>
      </c>
      <c r="W2157" s="6">
        <f>IF(ISERROR(VLOOKUP($T$2157,'TAR FIN'!$A$1:$O$95,15,0)),0,VLOOKUP($T$2157,'TAR FIN'!$A$1:$O$95,15,0))</f>
        <v>1089.57</v>
      </c>
      <c r="X2157" s="6">
        <f>IF(ISERROR(VLOOKUP($U$2157,'TAR FIN'!$A$1:$O$95,15,0)),0,VLOOKUP($U$2157,'TAR FIN'!$A$1:$O$95,15,0))</f>
        <v>389.28</v>
      </c>
      <c r="Y2157" s="6"/>
      <c r="Z2157" s="6">
        <f ca="1">('TUSD BE'!$AM$50+'TUSD BF'!$AM$50+'TUSD CVA'!$AM$50)*1</f>
        <v>1222.1406132757641</v>
      </c>
      <c r="AA2157" s="6">
        <f>('TE BE'!$AA$38+'TE BF'!$AA$38+'TE CVA'!$AA$38)*1</f>
        <v>454.3285679284046</v>
      </c>
      <c r="AB2157" s="6">
        <f>$K$2157*$V$2157</f>
        <v>0</v>
      </c>
      <c r="AC2157" s="6">
        <f>$M$2157*$W$2157</f>
        <v>3478.99701</v>
      </c>
      <c r="AD2157" s="6">
        <f>$O$2157*$X$2157</f>
        <v>1242.9710399999999</v>
      </c>
      <c r="AE2157" s="6">
        <f>$K$2157*$Y$2157</f>
        <v>0</v>
      </c>
      <c r="AF2157" s="6">
        <f ca="1">$M$2157*$Z$2157</f>
        <v>3902.2949781895145</v>
      </c>
      <c r="AG2157" s="6">
        <f>$O$2157*$AA$2157</f>
        <v>1450.6711173953959</v>
      </c>
    </row>
    <row r="2158" spans="1:33" ht="11.25" customHeight="1" x14ac:dyDescent="0.25">
      <c r="A2158" s="4" t="s">
        <v>27</v>
      </c>
      <c r="B2158" s="4" t="s">
        <v>41</v>
      </c>
      <c r="C2158" s="4" t="s">
        <v>39</v>
      </c>
      <c r="D2158" s="4" t="s">
        <v>45</v>
      </c>
      <c r="E2158" s="4" t="s">
        <v>25</v>
      </c>
      <c r="F2158" s="4" t="s">
        <v>25</v>
      </c>
      <c r="G2158" s="4" t="s">
        <v>25</v>
      </c>
      <c r="H2158" s="4" t="s">
        <v>37</v>
      </c>
      <c r="I2158" s="5">
        <v>44256</v>
      </c>
      <c r="J2158" s="6">
        <v>0</v>
      </c>
      <c r="K2158" s="6">
        <v>0</v>
      </c>
      <c r="L2158" s="6">
        <v>-4.8579999999999997</v>
      </c>
      <c r="M2158" s="6">
        <v>-4.8579999999999997</v>
      </c>
      <c r="N2158" s="6">
        <v>-4.8579999999999997</v>
      </c>
      <c r="O2158" s="6">
        <v>-4.8579999999999997</v>
      </c>
      <c r="P2158" s="6">
        <v>0</v>
      </c>
      <c r="Q2158" s="4" t="s">
        <v>26</v>
      </c>
      <c r="R2158" s="4">
        <v>0</v>
      </c>
      <c r="S2158" s="6">
        <v>0</v>
      </c>
      <c r="T2158" s="6">
        <v>74</v>
      </c>
      <c r="U2158" s="6">
        <v>82</v>
      </c>
      <c r="V2158" s="6">
        <f>IF(ISERROR(VLOOKUP($S$2158,'TAR FIN'!$A$1:$O$95,15,0)),0,VLOOKUP($S$2158,'TAR FIN'!$A$1:$O$95,15,0))</f>
        <v>0</v>
      </c>
      <c r="W2158" s="6">
        <f>IF(ISERROR(VLOOKUP($T$2158,'TAR FIN'!$A$1:$O$95,15,0)),0,VLOOKUP($T$2158,'TAR FIN'!$A$1:$O$95,15,0))</f>
        <v>1089.57</v>
      </c>
      <c r="X2158" s="6">
        <f>IF(ISERROR(VLOOKUP($U$2158,'TAR FIN'!$A$1:$O$95,15,0)),0,VLOOKUP($U$2158,'TAR FIN'!$A$1:$O$95,15,0))</f>
        <v>389.28</v>
      </c>
      <c r="Y2158" s="6"/>
      <c r="Z2158" s="6">
        <f ca="1">('TUSD BE'!$AM$50+'TUSD BF'!$AM$50+'TUSD CVA'!$AM$50)*1</f>
        <v>1222.1406132757641</v>
      </c>
      <c r="AA2158" s="6">
        <f>('TE BE'!$AA$38+'TE BF'!$AA$38+'TE CVA'!$AA$38)*1</f>
        <v>454.3285679284046</v>
      </c>
      <c r="AB2158" s="6">
        <f>$K$2158*$V$2158</f>
        <v>0</v>
      </c>
      <c r="AC2158" s="6">
        <f>$M$2158*$W$2158</f>
        <v>-5293.1310599999997</v>
      </c>
      <c r="AD2158" s="6">
        <f>$O$2158*$X$2158</f>
        <v>-1891.1222399999997</v>
      </c>
      <c r="AE2158" s="6">
        <f>$K$2158*$Y$2158</f>
        <v>0</v>
      </c>
      <c r="AF2158" s="6">
        <f ca="1">$M$2158*$Z$2158</f>
        <v>-5937.1590992936617</v>
      </c>
      <c r="AG2158" s="6">
        <f>$O$2158*$AA$2158</f>
        <v>-2207.1281829961895</v>
      </c>
    </row>
    <row r="2159" spans="1:33" ht="11.25" customHeight="1" x14ac:dyDescent="0.25">
      <c r="A2159" s="4" t="s">
        <v>28</v>
      </c>
      <c r="B2159" s="4" t="s">
        <v>41</v>
      </c>
      <c r="C2159" s="4" t="s">
        <v>39</v>
      </c>
      <c r="D2159" s="4" t="s">
        <v>45</v>
      </c>
      <c r="E2159" s="4" t="s">
        <v>25</v>
      </c>
      <c r="F2159" s="4" t="s">
        <v>25</v>
      </c>
      <c r="G2159" s="4" t="s">
        <v>25</v>
      </c>
      <c r="H2159" s="4" t="s">
        <v>37</v>
      </c>
      <c r="I2159" s="5">
        <v>44256</v>
      </c>
      <c r="J2159" s="6">
        <v>0</v>
      </c>
      <c r="K2159" s="6">
        <v>0</v>
      </c>
      <c r="L2159" s="6">
        <v>5.5049999999999999</v>
      </c>
      <c r="M2159" s="6">
        <v>5.5049999999999999</v>
      </c>
      <c r="N2159" s="6">
        <v>5.5049999999999999</v>
      </c>
      <c r="O2159" s="6">
        <v>5.5049999999999999</v>
      </c>
      <c r="P2159" s="6">
        <v>0</v>
      </c>
      <c r="Q2159" s="4" t="s">
        <v>26</v>
      </c>
      <c r="R2159" s="4">
        <v>0</v>
      </c>
      <c r="S2159" s="6">
        <v>0</v>
      </c>
      <c r="T2159" s="6">
        <v>74</v>
      </c>
      <c r="U2159" s="6">
        <v>82</v>
      </c>
      <c r="V2159" s="6">
        <f>IF(ISERROR(VLOOKUP($S$2159,'TAR FIN'!$A$1:$O$95,15,0)),0,VLOOKUP($S$2159,'TAR FIN'!$A$1:$O$95,15,0))</f>
        <v>0</v>
      </c>
      <c r="W2159" s="6">
        <f>IF(ISERROR(VLOOKUP($T$2159,'TAR FIN'!$A$1:$O$95,15,0)),0,VLOOKUP($T$2159,'TAR FIN'!$A$1:$O$95,15,0))</f>
        <v>1089.57</v>
      </c>
      <c r="X2159" s="6">
        <f>IF(ISERROR(VLOOKUP($U$2159,'TAR FIN'!$A$1:$O$95,15,0)),0,VLOOKUP($U$2159,'TAR FIN'!$A$1:$O$95,15,0))</f>
        <v>389.28</v>
      </c>
      <c r="Y2159" s="6"/>
      <c r="Z2159" s="6">
        <f ca="1">('TUSD BE'!$AM$50+'TUSD BF'!$AM$50+'TUSD CVA'!$AM$50)*1</f>
        <v>1222.1406132757641</v>
      </c>
      <c r="AA2159" s="6">
        <f>('TE BE'!$AA$38+'TE BF'!$AA$38+'TE CVA'!$AA$38)*1</f>
        <v>454.3285679284046</v>
      </c>
      <c r="AB2159" s="6">
        <f>$K$2159*$V$2159</f>
        <v>0</v>
      </c>
      <c r="AC2159" s="6">
        <f>$M$2159*$W$2159</f>
        <v>5998.0828499999998</v>
      </c>
      <c r="AD2159" s="6">
        <f>$O$2159*$X$2159</f>
        <v>2142.9863999999998</v>
      </c>
      <c r="AE2159" s="6">
        <f>$K$2159*$Y$2159</f>
        <v>0</v>
      </c>
      <c r="AF2159" s="6">
        <f ca="1">$M$2159*$Z$2159</f>
        <v>6727.8840760830808</v>
      </c>
      <c r="AG2159" s="6">
        <f>$O$2159*$AA$2159</f>
        <v>2501.0787664458671</v>
      </c>
    </row>
    <row r="2160" spans="1:33" ht="11.25" customHeight="1" x14ac:dyDescent="0.25">
      <c r="A2160" s="4" t="s">
        <v>29</v>
      </c>
      <c r="B2160" s="4" t="s">
        <v>41</v>
      </c>
      <c r="C2160" s="4" t="s">
        <v>39</v>
      </c>
      <c r="D2160" s="4" t="s">
        <v>45</v>
      </c>
      <c r="E2160" s="4" t="s">
        <v>25</v>
      </c>
      <c r="F2160" s="4" t="s">
        <v>25</v>
      </c>
      <c r="G2160" s="4" t="s">
        <v>25</v>
      </c>
      <c r="H2160" s="4" t="s">
        <v>37</v>
      </c>
      <c r="I2160" s="5">
        <v>44256</v>
      </c>
      <c r="J2160" s="6">
        <v>0</v>
      </c>
      <c r="K2160" s="6">
        <v>0</v>
      </c>
      <c r="L2160" s="6">
        <v>-1.01</v>
      </c>
      <c r="M2160" s="6">
        <v>-1.01</v>
      </c>
      <c r="N2160" s="6">
        <v>-1.01</v>
      </c>
      <c r="O2160" s="6">
        <v>-1.01</v>
      </c>
      <c r="P2160" s="6">
        <v>0</v>
      </c>
      <c r="Q2160" s="4" t="s">
        <v>26</v>
      </c>
      <c r="R2160" s="4">
        <v>0</v>
      </c>
      <c r="S2160" s="6">
        <v>0</v>
      </c>
      <c r="T2160" s="6">
        <v>74</v>
      </c>
      <c r="U2160" s="6">
        <v>82</v>
      </c>
      <c r="V2160" s="6">
        <f>IF(ISERROR(VLOOKUP($S$2160,'TAR FIN'!$A$1:$O$95,15,0)),0,VLOOKUP($S$2160,'TAR FIN'!$A$1:$O$95,15,0))</f>
        <v>0</v>
      </c>
      <c r="W2160" s="6">
        <f>IF(ISERROR(VLOOKUP($T$2160,'TAR FIN'!$A$1:$O$95,15,0)),0,VLOOKUP($T$2160,'TAR FIN'!$A$1:$O$95,15,0))</f>
        <v>1089.57</v>
      </c>
      <c r="X2160" s="6">
        <f>IF(ISERROR(VLOOKUP($U$2160,'TAR FIN'!$A$1:$O$95,15,0)),0,VLOOKUP($U$2160,'TAR FIN'!$A$1:$O$95,15,0))</f>
        <v>389.28</v>
      </c>
      <c r="Y2160" s="6"/>
      <c r="Z2160" s="6">
        <f ca="1">('TUSD BE'!$AM$50+'TUSD BF'!$AM$50+'TUSD CVA'!$AM$50)*1</f>
        <v>1222.1406132757641</v>
      </c>
      <c r="AA2160" s="6">
        <f>('TE BE'!$AA$38+'TE BF'!$AA$38+'TE CVA'!$AA$38)*1</f>
        <v>454.3285679284046</v>
      </c>
      <c r="AB2160" s="6">
        <f>$K$2160*$V$2160</f>
        <v>0</v>
      </c>
      <c r="AC2160" s="6">
        <f>$M$2160*$W$2160</f>
        <v>-1100.4657</v>
      </c>
      <c r="AD2160" s="6">
        <f>$O$2160*$X$2160</f>
        <v>-393.1728</v>
      </c>
      <c r="AE2160" s="6">
        <f>$K$2160*$Y$2160</f>
        <v>0</v>
      </c>
      <c r="AF2160" s="6">
        <f ca="1">$M$2160*$Z$2160</f>
        <v>-1234.3620194085217</v>
      </c>
      <c r="AG2160" s="6">
        <f>$O$2160*$AA$2160</f>
        <v>-458.87185360768865</v>
      </c>
    </row>
    <row r="2161" spans="1:33" ht="11.25" customHeight="1" x14ac:dyDescent="0.25">
      <c r="A2161" s="4" t="s">
        <v>21</v>
      </c>
      <c r="B2161" s="4" t="s">
        <v>41</v>
      </c>
      <c r="C2161" s="4" t="s">
        <v>39</v>
      </c>
      <c r="D2161" s="4" t="s">
        <v>45</v>
      </c>
      <c r="E2161" s="4" t="s">
        <v>25</v>
      </c>
      <c r="F2161" s="4" t="s">
        <v>25</v>
      </c>
      <c r="G2161" s="4" t="s">
        <v>25</v>
      </c>
      <c r="H2161" s="4" t="s">
        <v>37</v>
      </c>
      <c r="I2161" s="5">
        <v>44287</v>
      </c>
      <c r="J2161" s="6">
        <v>0</v>
      </c>
      <c r="K2161" s="6">
        <v>0</v>
      </c>
      <c r="L2161" s="6">
        <v>3.4769999999999999</v>
      </c>
      <c r="M2161" s="6">
        <v>3.4769999999999999</v>
      </c>
      <c r="N2161" s="6">
        <v>3.4769999999999999</v>
      </c>
      <c r="O2161" s="6">
        <v>3.4769999999999999</v>
      </c>
      <c r="P2161" s="6">
        <v>0</v>
      </c>
      <c r="Q2161" s="4" t="s">
        <v>26</v>
      </c>
      <c r="R2161" s="4">
        <v>0</v>
      </c>
      <c r="S2161" s="6">
        <v>0</v>
      </c>
      <c r="T2161" s="6">
        <v>74</v>
      </c>
      <c r="U2161" s="6">
        <v>82</v>
      </c>
      <c r="V2161" s="6">
        <f>IF(ISERROR(VLOOKUP($S$2161,'TAR FIN'!$A$1:$O$95,15,0)),0,VLOOKUP($S$2161,'TAR FIN'!$A$1:$O$95,15,0))</f>
        <v>0</v>
      </c>
      <c r="W2161" s="6">
        <f>IF(ISERROR(VLOOKUP($T$2161,'TAR FIN'!$A$1:$O$95,15,0)),0,VLOOKUP($T$2161,'TAR FIN'!$A$1:$O$95,15,0))</f>
        <v>1089.57</v>
      </c>
      <c r="X2161" s="6">
        <f>IF(ISERROR(VLOOKUP($U$2161,'TAR FIN'!$A$1:$O$95,15,0)),0,VLOOKUP($U$2161,'TAR FIN'!$A$1:$O$95,15,0))</f>
        <v>389.28</v>
      </c>
      <c r="Y2161" s="6"/>
      <c r="Z2161" s="6">
        <f ca="1">('TUSD BE'!$AM$50+'TUSD BF'!$AM$50+'TUSD CVA'!$AM$50)*1</f>
        <v>1222.1406132757641</v>
      </c>
      <c r="AA2161" s="6">
        <f>('TE BE'!$AA$38+'TE BF'!$AA$38+'TE CVA'!$AA$38)*1</f>
        <v>454.3285679284046</v>
      </c>
      <c r="AB2161" s="6">
        <f>$K$2161*$V$2161</f>
        <v>0</v>
      </c>
      <c r="AC2161" s="6">
        <f>$M$2161*$W$2161</f>
        <v>3788.4348899999995</v>
      </c>
      <c r="AD2161" s="6">
        <f>$O$2161*$X$2161</f>
        <v>1353.5265599999998</v>
      </c>
      <c r="AE2161" s="6">
        <f>$K$2161*$Y$2161</f>
        <v>0</v>
      </c>
      <c r="AF2161" s="6">
        <f ca="1">$M$2161*$Z$2161</f>
        <v>4249.3829123598316</v>
      </c>
      <c r="AG2161" s="6">
        <f>$O$2161*$AA$2161</f>
        <v>1579.7004306870626</v>
      </c>
    </row>
    <row r="2162" spans="1:33" ht="11.25" customHeight="1" x14ac:dyDescent="0.25">
      <c r="A2162" s="4" t="s">
        <v>28</v>
      </c>
      <c r="B2162" s="4" t="s">
        <v>41</v>
      </c>
      <c r="C2162" s="4" t="s">
        <v>39</v>
      </c>
      <c r="D2162" s="4" t="s">
        <v>45</v>
      </c>
      <c r="E2162" s="4" t="s">
        <v>25</v>
      </c>
      <c r="F2162" s="4" t="s">
        <v>25</v>
      </c>
      <c r="G2162" s="4" t="s">
        <v>25</v>
      </c>
      <c r="H2162" s="4" t="s">
        <v>37</v>
      </c>
      <c r="I2162" s="5">
        <v>44287</v>
      </c>
      <c r="J2162" s="6">
        <v>0</v>
      </c>
      <c r="K2162" s="6">
        <v>0</v>
      </c>
      <c r="L2162" s="6">
        <v>5.3170000000000002</v>
      </c>
      <c r="M2162" s="6">
        <v>5.3170000000000002</v>
      </c>
      <c r="N2162" s="6">
        <v>5.3170000000000002</v>
      </c>
      <c r="O2162" s="6">
        <v>5.3170000000000002</v>
      </c>
      <c r="P2162" s="6">
        <v>0</v>
      </c>
      <c r="Q2162" s="4" t="s">
        <v>26</v>
      </c>
      <c r="R2162" s="4">
        <v>0</v>
      </c>
      <c r="S2162" s="6">
        <v>0</v>
      </c>
      <c r="T2162" s="6">
        <v>74</v>
      </c>
      <c r="U2162" s="6">
        <v>82</v>
      </c>
      <c r="V2162" s="6">
        <f>IF(ISERROR(VLOOKUP($S$2162,'TAR FIN'!$A$1:$O$95,15,0)),0,VLOOKUP($S$2162,'TAR FIN'!$A$1:$O$95,15,0))</f>
        <v>0</v>
      </c>
      <c r="W2162" s="6">
        <f>IF(ISERROR(VLOOKUP($T$2162,'TAR FIN'!$A$1:$O$95,15,0)),0,VLOOKUP($T$2162,'TAR FIN'!$A$1:$O$95,15,0))</f>
        <v>1089.57</v>
      </c>
      <c r="X2162" s="6">
        <f>IF(ISERROR(VLOOKUP($U$2162,'TAR FIN'!$A$1:$O$95,15,0)),0,VLOOKUP($U$2162,'TAR FIN'!$A$1:$O$95,15,0))</f>
        <v>389.28</v>
      </c>
      <c r="Y2162" s="6"/>
      <c r="Z2162" s="6">
        <f ca="1">('TUSD BE'!$AM$50+'TUSD BF'!$AM$50+'TUSD CVA'!$AM$50)*1</f>
        <v>1222.1406132757641</v>
      </c>
      <c r="AA2162" s="6">
        <f>('TE BE'!$AA$38+'TE BF'!$AA$38+'TE CVA'!$AA$38)*1</f>
        <v>454.3285679284046</v>
      </c>
      <c r="AB2162" s="6">
        <f>$K$2162*$V$2162</f>
        <v>0</v>
      </c>
      <c r="AC2162" s="6">
        <f>$M$2162*$W$2162</f>
        <v>5793.2436900000002</v>
      </c>
      <c r="AD2162" s="6">
        <f>$O$2162*$X$2162</f>
        <v>2069.8017599999998</v>
      </c>
      <c r="AE2162" s="6">
        <f>$K$2162*$Y$2162</f>
        <v>0</v>
      </c>
      <c r="AF2162" s="6">
        <f ca="1">$M$2162*$Z$2162</f>
        <v>6498.121640787238</v>
      </c>
      <c r="AG2162" s="6">
        <f>$O$2162*$AA$2162</f>
        <v>2415.6649956753272</v>
      </c>
    </row>
    <row r="2163" spans="1:33" ht="11.25" customHeight="1" x14ac:dyDescent="0.25">
      <c r="A2163" s="4" t="s">
        <v>21</v>
      </c>
      <c r="B2163" s="4" t="s">
        <v>41</v>
      </c>
      <c r="C2163" s="4" t="s">
        <v>39</v>
      </c>
      <c r="D2163" s="4" t="s">
        <v>45</v>
      </c>
      <c r="E2163" s="4" t="s">
        <v>25</v>
      </c>
      <c r="F2163" s="4" t="s">
        <v>25</v>
      </c>
      <c r="G2163" s="4" t="s">
        <v>25</v>
      </c>
      <c r="H2163" s="4" t="s">
        <v>37</v>
      </c>
      <c r="I2163" s="5">
        <v>44317</v>
      </c>
      <c r="J2163" s="6">
        <v>0</v>
      </c>
      <c r="K2163" s="6">
        <v>0</v>
      </c>
      <c r="L2163" s="6">
        <v>3.4590000000000001</v>
      </c>
      <c r="M2163" s="6">
        <v>3.4590000000000001</v>
      </c>
      <c r="N2163" s="6">
        <v>3.4590000000000001</v>
      </c>
      <c r="O2163" s="6">
        <v>3.4590000000000001</v>
      </c>
      <c r="P2163" s="6">
        <v>0</v>
      </c>
      <c r="Q2163" s="4" t="s">
        <v>26</v>
      </c>
      <c r="R2163" s="4">
        <v>0</v>
      </c>
      <c r="S2163" s="6">
        <v>0</v>
      </c>
      <c r="T2163" s="6">
        <v>74</v>
      </c>
      <c r="U2163" s="6">
        <v>82</v>
      </c>
      <c r="V2163" s="6">
        <f>IF(ISERROR(VLOOKUP($S$2163,'TAR FIN'!$A$1:$O$95,15,0)),0,VLOOKUP($S$2163,'TAR FIN'!$A$1:$O$95,15,0))</f>
        <v>0</v>
      </c>
      <c r="W2163" s="6">
        <f>IF(ISERROR(VLOOKUP($T$2163,'TAR FIN'!$A$1:$O$95,15,0)),0,VLOOKUP($T$2163,'TAR FIN'!$A$1:$O$95,15,0))</f>
        <v>1089.57</v>
      </c>
      <c r="X2163" s="6">
        <f>IF(ISERROR(VLOOKUP($U$2163,'TAR FIN'!$A$1:$O$95,15,0)),0,VLOOKUP($U$2163,'TAR FIN'!$A$1:$O$95,15,0))</f>
        <v>389.28</v>
      </c>
      <c r="Y2163" s="6"/>
      <c r="Z2163" s="6">
        <f ca="1">('TUSD BE'!$AM$50+'TUSD BF'!$AM$50+'TUSD CVA'!$AM$50)*1</f>
        <v>1222.1406132757641</v>
      </c>
      <c r="AA2163" s="6">
        <f>('TE BE'!$AA$38+'TE BF'!$AA$38+'TE CVA'!$AA$38)*1</f>
        <v>454.3285679284046</v>
      </c>
      <c r="AB2163" s="6">
        <f>$K$2163*$V$2163</f>
        <v>0</v>
      </c>
      <c r="AC2163" s="6">
        <f>$M$2163*$W$2163</f>
        <v>3768.8226299999997</v>
      </c>
      <c r="AD2163" s="6">
        <f>$O$2163*$X$2163</f>
        <v>1346.5195199999998</v>
      </c>
      <c r="AE2163" s="6">
        <f>$K$2163*$Y$2163</f>
        <v>0</v>
      </c>
      <c r="AF2163" s="6">
        <f ca="1">$M$2163*$Z$2163</f>
        <v>4227.3843813208678</v>
      </c>
      <c r="AG2163" s="6">
        <f>$O$2163*$AA$2163</f>
        <v>1571.5225164643516</v>
      </c>
    </row>
    <row r="2164" spans="1:33" ht="11.25" customHeight="1" x14ac:dyDescent="0.25">
      <c r="A2164" s="4" t="s">
        <v>28</v>
      </c>
      <c r="B2164" s="4" t="s">
        <v>41</v>
      </c>
      <c r="C2164" s="4" t="s">
        <v>39</v>
      </c>
      <c r="D2164" s="4" t="s">
        <v>45</v>
      </c>
      <c r="E2164" s="4" t="s">
        <v>25</v>
      </c>
      <c r="F2164" s="4" t="s">
        <v>25</v>
      </c>
      <c r="G2164" s="4" t="s">
        <v>25</v>
      </c>
      <c r="H2164" s="4" t="s">
        <v>37</v>
      </c>
      <c r="I2164" s="5">
        <v>44317</v>
      </c>
      <c r="J2164" s="6">
        <v>0</v>
      </c>
      <c r="K2164" s="6">
        <v>0</v>
      </c>
      <c r="L2164" s="6">
        <v>6.9539999999999997</v>
      </c>
      <c r="M2164" s="6">
        <v>6.9539999999999997</v>
      </c>
      <c r="N2164" s="6">
        <v>6.9539999999999997</v>
      </c>
      <c r="O2164" s="6">
        <v>6.9539999999999997</v>
      </c>
      <c r="P2164" s="6">
        <v>0</v>
      </c>
      <c r="Q2164" s="4" t="s">
        <v>26</v>
      </c>
      <c r="R2164" s="4">
        <v>0</v>
      </c>
      <c r="S2164" s="6">
        <v>0</v>
      </c>
      <c r="T2164" s="6">
        <v>74</v>
      </c>
      <c r="U2164" s="6">
        <v>82</v>
      </c>
      <c r="V2164" s="6">
        <f>IF(ISERROR(VLOOKUP($S$2164,'TAR FIN'!$A$1:$O$95,15,0)),0,VLOOKUP($S$2164,'TAR FIN'!$A$1:$O$95,15,0))</f>
        <v>0</v>
      </c>
      <c r="W2164" s="6">
        <f>IF(ISERROR(VLOOKUP($T$2164,'TAR FIN'!$A$1:$O$95,15,0)),0,VLOOKUP($T$2164,'TAR FIN'!$A$1:$O$95,15,0))</f>
        <v>1089.57</v>
      </c>
      <c r="X2164" s="6">
        <f>IF(ISERROR(VLOOKUP($U$2164,'TAR FIN'!$A$1:$O$95,15,0)),0,VLOOKUP($U$2164,'TAR FIN'!$A$1:$O$95,15,0))</f>
        <v>389.28</v>
      </c>
      <c r="Y2164" s="6"/>
      <c r="Z2164" s="6">
        <f ca="1">('TUSD BE'!$AM$50+'TUSD BF'!$AM$50+'TUSD CVA'!$AM$50)*1</f>
        <v>1222.1406132757641</v>
      </c>
      <c r="AA2164" s="6">
        <f>('TE BE'!$AA$38+'TE BF'!$AA$38+'TE CVA'!$AA$38)*1</f>
        <v>454.3285679284046</v>
      </c>
      <c r="AB2164" s="6">
        <f>$K$2164*$V$2164</f>
        <v>0</v>
      </c>
      <c r="AC2164" s="6">
        <f>$M$2164*$W$2164</f>
        <v>7576.8697799999991</v>
      </c>
      <c r="AD2164" s="6">
        <f>$O$2164*$X$2164</f>
        <v>2707.0531199999996</v>
      </c>
      <c r="AE2164" s="6">
        <f>$K$2164*$Y$2164</f>
        <v>0</v>
      </c>
      <c r="AF2164" s="6">
        <f ca="1">$M$2164*$Z$2164</f>
        <v>8498.7658247196632</v>
      </c>
      <c r="AG2164" s="6">
        <f>$O$2164*$AA$2164</f>
        <v>3159.4008613741253</v>
      </c>
    </row>
    <row r="2165" spans="1:33" ht="11.25" customHeight="1" x14ac:dyDescent="0.25">
      <c r="A2165" s="4" t="s">
        <v>21</v>
      </c>
      <c r="B2165" s="4" t="s">
        <v>41</v>
      </c>
      <c r="C2165" s="4" t="s">
        <v>39</v>
      </c>
      <c r="D2165" s="4" t="s">
        <v>45</v>
      </c>
      <c r="E2165" s="4" t="s">
        <v>25</v>
      </c>
      <c r="F2165" s="4" t="s">
        <v>25</v>
      </c>
      <c r="G2165" s="4" t="s">
        <v>25</v>
      </c>
      <c r="H2165" s="4" t="s">
        <v>37</v>
      </c>
      <c r="I2165" s="5">
        <v>44348</v>
      </c>
      <c r="J2165" s="6">
        <v>0</v>
      </c>
      <c r="K2165" s="6">
        <v>0</v>
      </c>
      <c r="L2165" s="6">
        <v>4.2679999999999998</v>
      </c>
      <c r="M2165" s="6">
        <v>4.2679999999999998</v>
      </c>
      <c r="N2165" s="6">
        <v>4.2679999999999998</v>
      </c>
      <c r="O2165" s="6">
        <v>4.2679999999999998</v>
      </c>
      <c r="P2165" s="6">
        <v>0</v>
      </c>
      <c r="Q2165" s="4" t="s">
        <v>26</v>
      </c>
      <c r="R2165" s="4">
        <v>0</v>
      </c>
      <c r="S2165" s="6">
        <v>0</v>
      </c>
      <c r="T2165" s="6">
        <v>74</v>
      </c>
      <c r="U2165" s="6">
        <v>82</v>
      </c>
      <c r="V2165" s="6">
        <f>IF(ISERROR(VLOOKUP($S$2165,'TAR FIN'!$A$1:$O$95,15,0)),0,VLOOKUP($S$2165,'TAR FIN'!$A$1:$O$95,15,0))</f>
        <v>0</v>
      </c>
      <c r="W2165" s="6">
        <f>IF(ISERROR(VLOOKUP($T$2165,'TAR FIN'!$A$1:$O$95,15,0)),0,VLOOKUP($T$2165,'TAR FIN'!$A$1:$O$95,15,0))</f>
        <v>1089.57</v>
      </c>
      <c r="X2165" s="6">
        <f>IF(ISERROR(VLOOKUP($U$2165,'TAR FIN'!$A$1:$O$95,15,0)),0,VLOOKUP($U$2165,'TAR FIN'!$A$1:$O$95,15,0))</f>
        <v>389.28</v>
      </c>
      <c r="Y2165" s="6"/>
      <c r="Z2165" s="6">
        <f ca="1">('TUSD BE'!$AM$50+'TUSD BF'!$AM$50+'TUSD CVA'!$AM$50)*1</f>
        <v>1222.1406132757641</v>
      </c>
      <c r="AA2165" s="6">
        <f>('TE BE'!$AA$38+'TE BF'!$AA$38+'TE CVA'!$AA$38)*1</f>
        <v>454.3285679284046</v>
      </c>
      <c r="AB2165" s="6">
        <f>$K$2165*$V$2165</f>
        <v>0</v>
      </c>
      <c r="AC2165" s="6">
        <f>$M$2165*$W$2165</f>
        <v>4650.2847599999996</v>
      </c>
      <c r="AD2165" s="6">
        <f>$O$2165*$X$2165</f>
        <v>1661.4470399999998</v>
      </c>
      <c r="AE2165" s="6">
        <f>$K$2165*$Y$2165</f>
        <v>0</v>
      </c>
      <c r="AF2165" s="6">
        <f ca="1">$M$2165*$Z$2165</f>
        <v>5216.0961374609606</v>
      </c>
      <c r="AG2165" s="6">
        <f>$O$2165*$AA$2165</f>
        <v>1939.0743279184308</v>
      </c>
    </row>
    <row r="2166" spans="1:33" ht="11.25" customHeight="1" x14ac:dyDescent="0.25">
      <c r="A2166" s="4" t="s">
        <v>28</v>
      </c>
      <c r="B2166" s="4" t="s">
        <v>41</v>
      </c>
      <c r="C2166" s="4" t="s">
        <v>39</v>
      </c>
      <c r="D2166" s="4" t="s">
        <v>45</v>
      </c>
      <c r="E2166" s="4" t="s">
        <v>25</v>
      </c>
      <c r="F2166" s="4" t="s">
        <v>25</v>
      </c>
      <c r="G2166" s="4" t="s">
        <v>25</v>
      </c>
      <c r="H2166" s="4" t="s">
        <v>37</v>
      </c>
      <c r="I2166" s="5">
        <v>44348</v>
      </c>
      <c r="J2166" s="6">
        <v>0</v>
      </c>
      <c r="K2166" s="6">
        <v>0</v>
      </c>
      <c r="L2166" s="6">
        <v>6.9249999999999998</v>
      </c>
      <c r="M2166" s="6">
        <v>6.9249999999999998</v>
      </c>
      <c r="N2166" s="6">
        <v>6.9249999999999998</v>
      </c>
      <c r="O2166" s="6">
        <v>6.9249999999999998</v>
      </c>
      <c r="P2166" s="6">
        <v>0</v>
      </c>
      <c r="Q2166" s="4" t="s">
        <v>26</v>
      </c>
      <c r="R2166" s="4">
        <v>0</v>
      </c>
      <c r="S2166" s="6">
        <v>0</v>
      </c>
      <c r="T2166" s="6">
        <v>74</v>
      </c>
      <c r="U2166" s="6">
        <v>82</v>
      </c>
      <c r="V2166" s="6">
        <f>IF(ISERROR(VLOOKUP($S$2166,'TAR FIN'!$A$1:$O$95,15,0)),0,VLOOKUP($S$2166,'TAR FIN'!$A$1:$O$95,15,0))</f>
        <v>0</v>
      </c>
      <c r="W2166" s="6">
        <f>IF(ISERROR(VLOOKUP($T$2166,'TAR FIN'!$A$1:$O$95,15,0)),0,VLOOKUP($T$2166,'TAR FIN'!$A$1:$O$95,15,0))</f>
        <v>1089.57</v>
      </c>
      <c r="X2166" s="6">
        <f>IF(ISERROR(VLOOKUP($U$2166,'TAR FIN'!$A$1:$O$95,15,0)),0,VLOOKUP($U$2166,'TAR FIN'!$A$1:$O$95,15,0))</f>
        <v>389.28</v>
      </c>
      <c r="Y2166" s="6"/>
      <c r="Z2166" s="6">
        <f ca="1">('TUSD BE'!$AM$50+'TUSD BF'!$AM$50+'TUSD CVA'!$AM$50)*1</f>
        <v>1222.1406132757641</v>
      </c>
      <c r="AA2166" s="6">
        <f>('TE BE'!$AA$38+'TE BF'!$AA$38+'TE CVA'!$AA$38)*1</f>
        <v>454.3285679284046</v>
      </c>
      <c r="AB2166" s="6">
        <f>$K$2166*$V$2166</f>
        <v>0</v>
      </c>
      <c r="AC2166" s="6">
        <f>$M$2166*$W$2166</f>
        <v>7545.2722499999991</v>
      </c>
      <c r="AD2166" s="6">
        <f>$O$2166*$X$2166</f>
        <v>2695.7639999999997</v>
      </c>
      <c r="AE2166" s="6">
        <f>$K$2166*$Y$2166</f>
        <v>0</v>
      </c>
      <c r="AF2166" s="6">
        <f ca="1">$M$2166*$Z$2166</f>
        <v>8463.3237469346659</v>
      </c>
      <c r="AG2166" s="6">
        <f>$O$2166*$AA$2166</f>
        <v>3146.2253329042019</v>
      </c>
    </row>
    <row r="2167" spans="1:33" ht="11.25" customHeight="1" x14ac:dyDescent="0.25">
      <c r="A2167" s="4" t="s">
        <v>21</v>
      </c>
      <c r="B2167" s="4" t="s">
        <v>41</v>
      </c>
      <c r="C2167" s="4" t="s">
        <v>39</v>
      </c>
      <c r="D2167" s="4" t="s">
        <v>45</v>
      </c>
      <c r="E2167" s="4" t="s">
        <v>25</v>
      </c>
      <c r="F2167" s="4" t="s">
        <v>25</v>
      </c>
      <c r="G2167" s="4" t="s">
        <v>25</v>
      </c>
      <c r="H2167" s="4" t="s">
        <v>37</v>
      </c>
      <c r="I2167" s="5">
        <v>44378</v>
      </c>
      <c r="J2167" s="6">
        <v>0</v>
      </c>
      <c r="K2167" s="6">
        <v>0</v>
      </c>
      <c r="L2167" s="6">
        <v>4.992</v>
      </c>
      <c r="M2167" s="6">
        <v>4.992</v>
      </c>
      <c r="N2167" s="6">
        <v>4.992</v>
      </c>
      <c r="O2167" s="6">
        <v>4.992</v>
      </c>
      <c r="P2167" s="6">
        <v>0</v>
      </c>
      <c r="Q2167" s="4" t="s">
        <v>26</v>
      </c>
      <c r="R2167" s="4">
        <v>0</v>
      </c>
      <c r="S2167" s="6">
        <v>0</v>
      </c>
      <c r="T2167" s="6">
        <v>74</v>
      </c>
      <c r="U2167" s="6">
        <v>82</v>
      </c>
      <c r="V2167" s="6">
        <f>IF(ISERROR(VLOOKUP($S$2167,'TAR FIN'!$A$1:$O$95,15,0)),0,VLOOKUP($S$2167,'TAR FIN'!$A$1:$O$95,15,0))</f>
        <v>0</v>
      </c>
      <c r="W2167" s="6">
        <f>IF(ISERROR(VLOOKUP($T$2167,'TAR FIN'!$A$1:$O$95,15,0)),0,VLOOKUP($T$2167,'TAR FIN'!$A$1:$O$95,15,0))</f>
        <v>1089.57</v>
      </c>
      <c r="X2167" s="6">
        <f>IF(ISERROR(VLOOKUP($U$2167,'TAR FIN'!$A$1:$O$95,15,0)),0,VLOOKUP($U$2167,'TAR FIN'!$A$1:$O$95,15,0))</f>
        <v>389.28</v>
      </c>
      <c r="Y2167" s="6"/>
      <c r="Z2167" s="6">
        <f ca="1">('TUSD BE'!$AM$50+'TUSD BF'!$AM$50+'TUSD CVA'!$AM$50)*1</f>
        <v>1222.1406132757641</v>
      </c>
      <c r="AA2167" s="6">
        <f>('TE BE'!$AA$38+'TE BF'!$AA$38+'TE CVA'!$AA$38)*1</f>
        <v>454.3285679284046</v>
      </c>
      <c r="AB2167" s="6">
        <f>$K$2167*$V$2167</f>
        <v>0</v>
      </c>
      <c r="AC2167" s="6">
        <f>$M$2167*$W$2167</f>
        <v>5439.1334399999996</v>
      </c>
      <c r="AD2167" s="6">
        <f>$O$2167*$X$2167</f>
        <v>1943.2857599999998</v>
      </c>
      <c r="AE2167" s="6">
        <f>$K$2167*$Y$2167</f>
        <v>0</v>
      </c>
      <c r="AF2167" s="6">
        <f ca="1">$M$2167*$Z$2167</f>
        <v>6100.9259414726139</v>
      </c>
      <c r="AG2167" s="6">
        <f>$O$2167*$AA$2167</f>
        <v>2268.0082110985959</v>
      </c>
    </row>
    <row r="2168" spans="1:33" ht="11.25" customHeight="1" x14ac:dyDescent="0.25">
      <c r="A2168" s="4" t="s">
        <v>28</v>
      </c>
      <c r="B2168" s="4" t="s">
        <v>41</v>
      </c>
      <c r="C2168" s="4" t="s">
        <v>39</v>
      </c>
      <c r="D2168" s="4" t="s">
        <v>45</v>
      </c>
      <c r="E2168" s="4" t="s">
        <v>25</v>
      </c>
      <c r="F2168" s="4" t="s">
        <v>25</v>
      </c>
      <c r="G2168" s="4" t="s">
        <v>25</v>
      </c>
      <c r="H2168" s="4" t="s">
        <v>37</v>
      </c>
      <c r="I2168" s="5">
        <v>44378</v>
      </c>
      <c r="J2168" s="6">
        <v>0</v>
      </c>
      <c r="K2168" s="6">
        <v>0</v>
      </c>
      <c r="L2168" s="6">
        <v>4.8440000000000003</v>
      </c>
      <c r="M2168" s="6">
        <v>4.8440000000000003</v>
      </c>
      <c r="N2168" s="6">
        <v>4.8440000000000003</v>
      </c>
      <c r="O2168" s="6">
        <v>4.8440000000000003</v>
      </c>
      <c r="P2168" s="6">
        <v>0</v>
      </c>
      <c r="Q2168" s="4" t="s">
        <v>26</v>
      </c>
      <c r="R2168" s="4">
        <v>0</v>
      </c>
      <c r="S2168" s="6">
        <v>0</v>
      </c>
      <c r="T2168" s="6">
        <v>74</v>
      </c>
      <c r="U2168" s="6">
        <v>82</v>
      </c>
      <c r="V2168" s="6">
        <f>IF(ISERROR(VLOOKUP($S$2168,'TAR FIN'!$A$1:$O$95,15,0)),0,VLOOKUP($S$2168,'TAR FIN'!$A$1:$O$95,15,0))</f>
        <v>0</v>
      </c>
      <c r="W2168" s="6">
        <f>IF(ISERROR(VLOOKUP($T$2168,'TAR FIN'!$A$1:$O$95,15,0)),0,VLOOKUP($T$2168,'TAR FIN'!$A$1:$O$95,15,0))</f>
        <v>1089.57</v>
      </c>
      <c r="X2168" s="6">
        <f>IF(ISERROR(VLOOKUP($U$2168,'TAR FIN'!$A$1:$O$95,15,0)),0,VLOOKUP($U$2168,'TAR FIN'!$A$1:$O$95,15,0))</f>
        <v>389.28</v>
      </c>
      <c r="Y2168" s="6"/>
      <c r="Z2168" s="6">
        <f ca="1">('TUSD BE'!$AM$50+'TUSD BF'!$AM$50+'TUSD CVA'!$AM$50)*1</f>
        <v>1222.1406132757641</v>
      </c>
      <c r="AA2168" s="6">
        <f>('TE BE'!$AA$38+'TE BF'!$AA$38+'TE CVA'!$AA$38)*1</f>
        <v>454.3285679284046</v>
      </c>
      <c r="AB2168" s="6">
        <f>$K$2168*$V$2168</f>
        <v>0</v>
      </c>
      <c r="AC2168" s="6">
        <f>$M$2168*$W$2168</f>
        <v>5277.8770800000002</v>
      </c>
      <c r="AD2168" s="6">
        <f>$O$2168*$X$2168</f>
        <v>1885.6723199999999</v>
      </c>
      <c r="AE2168" s="6">
        <f>$K$2168*$Y$2168</f>
        <v>0</v>
      </c>
      <c r="AF2168" s="6">
        <f ca="1">$M$2168*$Z$2168</f>
        <v>5920.0491307078019</v>
      </c>
      <c r="AG2168" s="6">
        <f>$O$2168*$AA$2168</f>
        <v>2200.7675830451922</v>
      </c>
    </row>
    <row r="2169" spans="1:33" ht="11.25" customHeight="1" x14ac:dyDescent="0.25">
      <c r="A2169" s="4" t="s">
        <v>21</v>
      </c>
      <c r="B2169" s="4" t="s">
        <v>41</v>
      </c>
      <c r="C2169" s="4" t="s">
        <v>39</v>
      </c>
      <c r="D2169" s="4" t="s">
        <v>45</v>
      </c>
      <c r="E2169" s="4" t="s">
        <v>25</v>
      </c>
      <c r="F2169" s="4" t="s">
        <v>25</v>
      </c>
      <c r="G2169" s="4" t="s">
        <v>25</v>
      </c>
      <c r="H2169" s="4" t="s">
        <v>37</v>
      </c>
      <c r="I2169" s="5">
        <v>44409</v>
      </c>
      <c r="J2169" s="6">
        <v>0</v>
      </c>
      <c r="K2169" s="6">
        <v>0</v>
      </c>
      <c r="L2169" s="6">
        <v>14.436999999999999</v>
      </c>
      <c r="M2169" s="6">
        <v>14.436999999999999</v>
      </c>
      <c r="N2169" s="6">
        <v>14.436999999999999</v>
      </c>
      <c r="O2169" s="6">
        <v>14.436999999999999</v>
      </c>
      <c r="P2169" s="6">
        <v>0</v>
      </c>
      <c r="Q2169" s="4" t="s">
        <v>26</v>
      </c>
      <c r="R2169" s="4">
        <v>0</v>
      </c>
      <c r="S2169" s="6">
        <v>0</v>
      </c>
      <c r="T2169" s="6">
        <v>74</v>
      </c>
      <c r="U2169" s="6">
        <v>82</v>
      </c>
      <c r="V2169" s="6">
        <f>IF(ISERROR(VLOOKUP($S$2169,'TAR FIN'!$A$1:$O$95,15,0)),0,VLOOKUP($S$2169,'TAR FIN'!$A$1:$O$95,15,0))</f>
        <v>0</v>
      </c>
      <c r="W2169" s="6">
        <f>IF(ISERROR(VLOOKUP($T$2169,'TAR FIN'!$A$1:$O$95,15,0)),0,VLOOKUP($T$2169,'TAR FIN'!$A$1:$O$95,15,0))</f>
        <v>1089.57</v>
      </c>
      <c r="X2169" s="6">
        <f>IF(ISERROR(VLOOKUP($U$2169,'TAR FIN'!$A$1:$O$95,15,0)),0,VLOOKUP($U$2169,'TAR FIN'!$A$1:$O$95,15,0))</f>
        <v>389.28</v>
      </c>
      <c r="Y2169" s="6"/>
      <c r="Z2169" s="6">
        <f ca="1">('TUSD BE'!$AM$50+'TUSD BF'!$AM$50+'TUSD CVA'!$AM$50)*1</f>
        <v>1222.1406132757641</v>
      </c>
      <c r="AA2169" s="6">
        <f>('TE BE'!$AA$38+'TE BF'!$AA$38+'TE CVA'!$AA$38)*1</f>
        <v>454.3285679284046</v>
      </c>
      <c r="AB2169" s="6">
        <f>$K$2169*$V$2169</f>
        <v>0</v>
      </c>
      <c r="AC2169" s="6">
        <f>$M$2169*$W$2169</f>
        <v>15730.122089999999</v>
      </c>
      <c r="AD2169" s="6">
        <f>$O$2169*$X$2169</f>
        <v>5620.0353599999989</v>
      </c>
      <c r="AE2169" s="6">
        <f>$K$2169*$Y$2169</f>
        <v>0</v>
      </c>
      <c r="AF2169" s="6">
        <f ca="1">$M$2169*$Z$2169</f>
        <v>17644.044033862207</v>
      </c>
      <c r="AG2169" s="6">
        <f>$O$2169*$AA$2169</f>
        <v>6559.1415351823771</v>
      </c>
    </row>
    <row r="2170" spans="1:33" ht="11.25" customHeight="1" x14ac:dyDescent="0.25">
      <c r="A2170" s="4" t="s">
        <v>28</v>
      </c>
      <c r="B2170" s="4" t="s">
        <v>41</v>
      </c>
      <c r="C2170" s="4" t="s">
        <v>39</v>
      </c>
      <c r="D2170" s="4" t="s">
        <v>45</v>
      </c>
      <c r="E2170" s="4" t="s">
        <v>25</v>
      </c>
      <c r="F2170" s="4" t="s">
        <v>25</v>
      </c>
      <c r="G2170" s="4" t="s">
        <v>25</v>
      </c>
      <c r="H2170" s="4" t="s">
        <v>37</v>
      </c>
      <c r="I2170" s="5">
        <v>44409</v>
      </c>
      <c r="J2170" s="6">
        <v>0</v>
      </c>
      <c r="K2170" s="6">
        <v>0</v>
      </c>
      <c r="L2170" s="6">
        <v>5.141</v>
      </c>
      <c r="M2170" s="6">
        <v>5.141</v>
      </c>
      <c r="N2170" s="6">
        <v>5.141</v>
      </c>
      <c r="O2170" s="6">
        <v>5.141</v>
      </c>
      <c r="P2170" s="6">
        <v>0</v>
      </c>
      <c r="Q2170" s="4" t="s">
        <v>26</v>
      </c>
      <c r="R2170" s="4">
        <v>0</v>
      </c>
      <c r="S2170" s="6">
        <v>0</v>
      </c>
      <c r="T2170" s="6">
        <v>74</v>
      </c>
      <c r="U2170" s="6">
        <v>82</v>
      </c>
      <c r="V2170" s="6">
        <f>IF(ISERROR(VLOOKUP($S$2170,'TAR FIN'!$A$1:$O$95,15,0)),0,VLOOKUP($S$2170,'TAR FIN'!$A$1:$O$95,15,0))</f>
        <v>0</v>
      </c>
      <c r="W2170" s="6">
        <f>IF(ISERROR(VLOOKUP($T$2170,'TAR FIN'!$A$1:$O$95,15,0)),0,VLOOKUP($T$2170,'TAR FIN'!$A$1:$O$95,15,0))</f>
        <v>1089.57</v>
      </c>
      <c r="X2170" s="6">
        <f>IF(ISERROR(VLOOKUP($U$2170,'TAR FIN'!$A$1:$O$95,15,0)),0,VLOOKUP($U$2170,'TAR FIN'!$A$1:$O$95,15,0))</f>
        <v>389.28</v>
      </c>
      <c r="Y2170" s="6"/>
      <c r="Z2170" s="6">
        <f ca="1">('TUSD BE'!$AM$50+'TUSD BF'!$AM$50+'TUSD CVA'!$AM$50)*1</f>
        <v>1222.1406132757641</v>
      </c>
      <c r="AA2170" s="6">
        <f>('TE BE'!$AA$38+'TE BF'!$AA$38+'TE CVA'!$AA$38)*1</f>
        <v>454.3285679284046</v>
      </c>
      <c r="AB2170" s="6">
        <f>$K$2170*$V$2170</f>
        <v>0</v>
      </c>
      <c r="AC2170" s="6">
        <f>$M$2170*$W$2170</f>
        <v>5601.47937</v>
      </c>
      <c r="AD2170" s="6">
        <f>$O$2170*$X$2170</f>
        <v>2001.2884799999999</v>
      </c>
      <c r="AE2170" s="6">
        <f>$K$2170*$Y$2170</f>
        <v>0</v>
      </c>
      <c r="AF2170" s="6">
        <f ca="1">$M$2170*$Z$2170</f>
        <v>6283.0248928507026</v>
      </c>
      <c r="AG2170" s="6">
        <f>$O$2170*$AA$2170</f>
        <v>2335.7031677199279</v>
      </c>
    </row>
    <row r="2171" spans="1:33" ht="11.25" customHeight="1" x14ac:dyDescent="0.25">
      <c r="A2171" s="4" t="s">
        <v>21</v>
      </c>
      <c r="B2171" s="4" t="s">
        <v>41</v>
      </c>
      <c r="C2171" s="4" t="s">
        <v>39</v>
      </c>
      <c r="D2171" s="4" t="s">
        <v>45</v>
      </c>
      <c r="E2171" s="4" t="s">
        <v>25</v>
      </c>
      <c r="F2171" s="4" t="s">
        <v>25</v>
      </c>
      <c r="G2171" s="4" t="s">
        <v>25</v>
      </c>
      <c r="H2171" s="4" t="s">
        <v>37</v>
      </c>
      <c r="I2171" s="5">
        <v>44440</v>
      </c>
      <c r="J2171" s="6">
        <v>0</v>
      </c>
      <c r="K2171" s="6">
        <v>0</v>
      </c>
      <c r="L2171" s="6">
        <v>3.7080000000000002</v>
      </c>
      <c r="M2171" s="6">
        <v>3.7080000000000002</v>
      </c>
      <c r="N2171" s="6">
        <v>3.7080000000000002</v>
      </c>
      <c r="O2171" s="6">
        <v>3.7080000000000002</v>
      </c>
      <c r="P2171" s="6">
        <v>0</v>
      </c>
      <c r="Q2171" s="4" t="s">
        <v>26</v>
      </c>
      <c r="R2171" s="4">
        <v>0</v>
      </c>
      <c r="S2171" s="6">
        <v>0</v>
      </c>
      <c r="T2171" s="6">
        <v>74</v>
      </c>
      <c r="U2171" s="6">
        <v>82</v>
      </c>
      <c r="V2171" s="6">
        <f>IF(ISERROR(VLOOKUP($S$2171,'TAR FIN'!$A$1:$O$95,15,0)),0,VLOOKUP($S$2171,'TAR FIN'!$A$1:$O$95,15,0))</f>
        <v>0</v>
      </c>
      <c r="W2171" s="6">
        <f>IF(ISERROR(VLOOKUP($T$2171,'TAR FIN'!$A$1:$O$95,15,0)),0,VLOOKUP($T$2171,'TAR FIN'!$A$1:$O$95,15,0))</f>
        <v>1089.57</v>
      </c>
      <c r="X2171" s="6">
        <f>IF(ISERROR(VLOOKUP($U$2171,'TAR FIN'!$A$1:$O$95,15,0)),0,VLOOKUP($U$2171,'TAR FIN'!$A$1:$O$95,15,0))</f>
        <v>389.28</v>
      </c>
      <c r="Y2171" s="6"/>
      <c r="Z2171" s="6">
        <f ca="1">('TUSD BE'!$AM$50+'TUSD BF'!$AM$50+'TUSD CVA'!$AM$50)*1</f>
        <v>1222.1406132757641</v>
      </c>
      <c r="AA2171" s="6">
        <f>('TE BE'!$AA$38+'TE BF'!$AA$38+'TE CVA'!$AA$38)*1</f>
        <v>454.3285679284046</v>
      </c>
      <c r="AB2171" s="6">
        <f>$K$2171*$V$2171</f>
        <v>0</v>
      </c>
      <c r="AC2171" s="6">
        <f>$M$2171*$W$2171</f>
        <v>4040.12556</v>
      </c>
      <c r="AD2171" s="6">
        <f>$O$2171*$X$2171</f>
        <v>1443.4502399999999</v>
      </c>
      <c r="AE2171" s="6">
        <f>$K$2171*$Y$2171</f>
        <v>0</v>
      </c>
      <c r="AF2171" s="6">
        <f ca="1">$M$2171*$Z$2171</f>
        <v>4531.6973940265334</v>
      </c>
      <c r="AG2171" s="6">
        <f>$O$2171*$AA$2171</f>
        <v>1684.6503298785244</v>
      </c>
    </row>
    <row r="2172" spans="1:33" ht="11.25" customHeight="1" x14ac:dyDescent="0.25">
      <c r="A2172" s="4" t="s">
        <v>27</v>
      </c>
      <c r="B2172" s="4" t="s">
        <v>41</v>
      </c>
      <c r="C2172" s="4" t="s">
        <v>39</v>
      </c>
      <c r="D2172" s="4" t="s">
        <v>45</v>
      </c>
      <c r="E2172" s="4" t="s">
        <v>25</v>
      </c>
      <c r="F2172" s="4" t="s">
        <v>25</v>
      </c>
      <c r="G2172" s="4" t="s">
        <v>25</v>
      </c>
      <c r="H2172" s="4" t="s">
        <v>37</v>
      </c>
      <c r="I2172" s="5">
        <v>44440</v>
      </c>
      <c r="J2172" s="6">
        <v>0</v>
      </c>
      <c r="K2172" s="6">
        <v>0</v>
      </c>
      <c r="L2172" s="6">
        <v>-0.30399999999999999</v>
      </c>
      <c r="M2172" s="6">
        <v>-0.30399999999999999</v>
      </c>
      <c r="N2172" s="6">
        <v>-0.30399999999999999</v>
      </c>
      <c r="O2172" s="6">
        <v>-0.30399999999999999</v>
      </c>
      <c r="P2172" s="6">
        <v>0</v>
      </c>
      <c r="Q2172" s="4" t="s">
        <v>26</v>
      </c>
      <c r="R2172" s="4">
        <v>0</v>
      </c>
      <c r="S2172" s="6">
        <v>0</v>
      </c>
      <c r="T2172" s="6">
        <v>74</v>
      </c>
      <c r="U2172" s="6">
        <v>82</v>
      </c>
      <c r="V2172" s="6">
        <f>IF(ISERROR(VLOOKUP($S$2172,'TAR FIN'!$A$1:$O$95,15,0)),0,VLOOKUP($S$2172,'TAR FIN'!$A$1:$O$95,15,0))</f>
        <v>0</v>
      </c>
      <c r="W2172" s="6">
        <f>IF(ISERROR(VLOOKUP($T$2172,'TAR FIN'!$A$1:$O$95,15,0)),0,VLOOKUP($T$2172,'TAR FIN'!$A$1:$O$95,15,0))</f>
        <v>1089.57</v>
      </c>
      <c r="X2172" s="6">
        <f>IF(ISERROR(VLOOKUP($U$2172,'TAR FIN'!$A$1:$O$95,15,0)),0,VLOOKUP($U$2172,'TAR FIN'!$A$1:$O$95,15,0))</f>
        <v>389.28</v>
      </c>
      <c r="Y2172" s="6"/>
      <c r="Z2172" s="6">
        <f ca="1">('TUSD BE'!$AM$50+'TUSD BF'!$AM$50+'TUSD CVA'!$AM$50)*1</f>
        <v>1222.1406132757641</v>
      </c>
      <c r="AA2172" s="6">
        <f>('TE BE'!$AA$38+'TE BF'!$AA$38+'TE CVA'!$AA$38)*1</f>
        <v>454.3285679284046</v>
      </c>
      <c r="AB2172" s="6">
        <f>$K$2172*$V$2172</f>
        <v>0</v>
      </c>
      <c r="AC2172" s="6">
        <f>$M$2172*$W$2172</f>
        <v>-331.22927999999996</v>
      </c>
      <c r="AD2172" s="6">
        <f>$O$2172*$X$2172</f>
        <v>-118.34111999999999</v>
      </c>
      <c r="AE2172" s="6">
        <f>$K$2172*$Y$2172</f>
        <v>0</v>
      </c>
      <c r="AF2172" s="6">
        <f ca="1">$M$2172*$Z$2172</f>
        <v>-371.53074643583227</v>
      </c>
      <c r="AG2172" s="6">
        <f>$O$2172*$AA$2172</f>
        <v>-138.11588465023499</v>
      </c>
    </row>
    <row r="2173" spans="1:33" ht="11.25" customHeight="1" x14ac:dyDescent="0.25">
      <c r="A2173" s="4" t="s">
        <v>28</v>
      </c>
      <c r="B2173" s="4" t="s">
        <v>41</v>
      </c>
      <c r="C2173" s="4" t="s">
        <v>39</v>
      </c>
      <c r="D2173" s="4" t="s">
        <v>45</v>
      </c>
      <c r="E2173" s="4" t="s">
        <v>25</v>
      </c>
      <c r="F2173" s="4" t="s">
        <v>25</v>
      </c>
      <c r="G2173" s="4" t="s">
        <v>25</v>
      </c>
      <c r="H2173" s="4" t="s">
        <v>37</v>
      </c>
      <c r="I2173" s="5">
        <v>44440</v>
      </c>
      <c r="J2173" s="6">
        <v>0</v>
      </c>
      <c r="K2173" s="6">
        <v>0</v>
      </c>
      <c r="L2173" s="6">
        <v>10.976000000000001</v>
      </c>
      <c r="M2173" s="6">
        <v>10.976000000000001</v>
      </c>
      <c r="N2173" s="6">
        <v>10.976000000000001</v>
      </c>
      <c r="O2173" s="6">
        <v>10.976000000000001</v>
      </c>
      <c r="P2173" s="6">
        <v>0</v>
      </c>
      <c r="Q2173" s="4" t="s">
        <v>26</v>
      </c>
      <c r="R2173" s="4">
        <v>0</v>
      </c>
      <c r="S2173" s="6">
        <v>0</v>
      </c>
      <c r="T2173" s="6">
        <v>74</v>
      </c>
      <c r="U2173" s="6">
        <v>82</v>
      </c>
      <c r="V2173" s="6">
        <f>IF(ISERROR(VLOOKUP($S$2173,'TAR FIN'!$A$1:$O$95,15,0)),0,VLOOKUP($S$2173,'TAR FIN'!$A$1:$O$95,15,0))</f>
        <v>0</v>
      </c>
      <c r="W2173" s="6">
        <f>IF(ISERROR(VLOOKUP($T$2173,'TAR FIN'!$A$1:$O$95,15,0)),0,VLOOKUP($T$2173,'TAR FIN'!$A$1:$O$95,15,0))</f>
        <v>1089.57</v>
      </c>
      <c r="X2173" s="6">
        <f>IF(ISERROR(VLOOKUP($U$2173,'TAR FIN'!$A$1:$O$95,15,0)),0,VLOOKUP($U$2173,'TAR FIN'!$A$1:$O$95,15,0))</f>
        <v>389.28</v>
      </c>
      <c r="Y2173" s="6"/>
      <c r="Z2173" s="6">
        <f ca="1">('TUSD BE'!$AM$50+'TUSD BF'!$AM$50+'TUSD CVA'!$AM$50)*1</f>
        <v>1222.1406132757641</v>
      </c>
      <c r="AA2173" s="6">
        <f>('TE BE'!$AA$38+'TE BF'!$AA$38+'TE CVA'!$AA$38)*1</f>
        <v>454.3285679284046</v>
      </c>
      <c r="AB2173" s="6">
        <f>$K$2173*$V$2173</f>
        <v>0</v>
      </c>
      <c r="AC2173" s="6">
        <f>$M$2173*$W$2173</f>
        <v>11959.12032</v>
      </c>
      <c r="AD2173" s="6">
        <f>$O$2173*$X$2173</f>
        <v>4272.7372800000003</v>
      </c>
      <c r="AE2173" s="6">
        <f>$K$2173*$Y$2173</f>
        <v>0</v>
      </c>
      <c r="AF2173" s="6">
        <f ca="1">$M$2173*$Z$2173</f>
        <v>13414.215371314787</v>
      </c>
      <c r="AG2173" s="6">
        <f>$O$2173*$AA$2173</f>
        <v>4986.7103615821688</v>
      </c>
    </row>
    <row r="2174" spans="1:33" ht="11.25" customHeight="1" x14ac:dyDescent="0.25">
      <c r="A2174" s="4" t="s">
        <v>30</v>
      </c>
      <c r="B2174" s="4" t="s">
        <v>41</v>
      </c>
      <c r="C2174" s="4" t="s">
        <v>39</v>
      </c>
      <c r="D2174" s="4" t="s">
        <v>45</v>
      </c>
      <c r="E2174" s="4" t="s">
        <v>25</v>
      </c>
      <c r="F2174" s="4" t="s">
        <v>25</v>
      </c>
      <c r="G2174" s="4" t="s">
        <v>25</v>
      </c>
      <c r="H2174" s="4" t="s">
        <v>37</v>
      </c>
      <c r="I2174" s="5">
        <v>44440</v>
      </c>
      <c r="J2174" s="6">
        <v>0</v>
      </c>
      <c r="K2174" s="6">
        <v>0</v>
      </c>
      <c r="L2174" s="6">
        <v>0.59199999999999997</v>
      </c>
      <c r="M2174" s="6">
        <v>0.59199999999999997</v>
      </c>
      <c r="N2174" s="6">
        <v>0.59199999999999997</v>
      </c>
      <c r="O2174" s="6">
        <v>0.59199999999999997</v>
      </c>
      <c r="P2174" s="6">
        <v>0</v>
      </c>
      <c r="Q2174" s="4" t="s">
        <v>26</v>
      </c>
      <c r="R2174" s="4">
        <v>0</v>
      </c>
      <c r="S2174" s="6">
        <v>0</v>
      </c>
      <c r="T2174" s="6">
        <v>74</v>
      </c>
      <c r="U2174" s="6">
        <v>82</v>
      </c>
      <c r="V2174" s="6">
        <f>IF(ISERROR(VLOOKUP($S$2174,'TAR FIN'!$A$1:$O$95,15,0)),0,VLOOKUP($S$2174,'TAR FIN'!$A$1:$O$95,15,0))</f>
        <v>0</v>
      </c>
      <c r="W2174" s="6">
        <f>IF(ISERROR(VLOOKUP($T$2174,'TAR FIN'!$A$1:$O$95,15,0)),0,VLOOKUP($T$2174,'TAR FIN'!$A$1:$O$95,15,0))</f>
        <v>1089.57</v>
      </c>
      <c r="X2174" s="6">
        <f>IF(ISERROR(VLOOKUP($U$2174,'TAR FIN'!$A$1:$O$95,15,0)),0,VLOOKUP($U$2174,'TAR FIN'!$A$1:$O$95,15,0))</f>
        <v>389.28</v>
      </c>
      <c r="Y2174" s="6"/>
      <c r="Z2174" s="6">
        <f ca="1">('TUSD BE'!$AM$50+'TUSD BF'!$AM$50+'TUSD CVA'!$AM$50)*1</f>
        <v>1222.1406132757641</v>
      </c>
      <c r="AA2174" s="6">
        <f>('TE BE'!$AA$38+'TE BF'!$AA$38+'TE CVA'!$AA$38)*1</f>
        <v>454.3285679284046</v>
      </c>
      <c r="AB2174" s="6">
        <f>$K$2174*$V$2174</f>
        <v>0</v>
      </c>
      <c r="AC2174" s="6">
        <f>$M$2174*$W$2174</f>
        <v>645.02543999999989</v>
      </c>
      <c r="AD2174" s="6">
        <f>$O$2174*$X$2174</f>
        <v>230.45375999999996</v>
      </c>
      <c r="AE2174" s="6">
        <f>$K$2174*$Y$2174</f>
        <v>0</v>
      </c>
      <c r="AF2174" s="6">
        <f ca="1">$M$2174*$Z$2174</f>
        <v>723.50724305925223</v>
      </c>
      <c r="AG2174" s="6">
        <f>$O$2174*$AA$2174</f>
        <v>268.96251221361553</v>
      </c>
    </row>
    <row r="2175" spans="1:33" ht="11.25" customHeight="1" x14ac:dyDescent="0.25">
      <c r="A2175" s="4" t="s">
        <v>59</v>
      </c>
      <c r="B2175" s="4" t="s">
        <v>41</v>
      </c>
      <c r="C2175" s="4" t="s">
        <v>39</v>
      </c>
      <c r="D2175" s="4" t="s">
        <v>45</v>
      </c>
      <c r="E2175" s="4" t="s">
        <v>25</v>
      </c>
      <c r="F2175" s="4" t="s">
        <v>25</v>
      </c>
      <c r="G2175" s="4" t="s">
        <v>25</v>
      </c>
      <c r="H2175" s="4" t="s">
        <v>37</v>
      </c>
      <c r="I2175" s="5">
        <v>44470</v>
      </c>
      <c r="J2175" s="6">
        <v>0</v>
      </c>
      <c r="K2175" s="6">
        <v>0</v>
      </c>
      <c r="L2175" s="6">
        <v>3.7080000000000002</v>
      </c>
      <c r="M2175" s="6">
        <v>3.7080000000000002</v>
      </c>
      <c r="N2175" s="6">
        <v>3.7080000000000002</v>
      </c>
      <c r="O2175" s="6">
        <v>3.7080000000000002</v>
      </c>
      <c r="P2175" s="6">
        <v>0</v>
      </c>
      <c r="Q2175" s="4" t="s">
        <v>26</v>
      </c>
      <c r="R2175" s="4">
        <v>0</v>
      </c>
      <c r="S2175" s="6">
        <v>0</v>
      </c>
      <c r="T2175" s="6">
        <v>74</v>
      </c>
      <c r="U2175" s="6">
        <v>82</v>
      </c>
      <c r="V2175" s="6">
        <f>IF(ISERROR(VLOOKUP($S$2175,'TAR FIN'!$A$1:$O$95,15,0)),0,VLOOKUP($S$2175,'TAR FIN'!$A$1:$O$95,15,0))</f>
        <v>0</v>
      </c>
      <c r="W2175" s="6">
        <f>IF(ISERROR(VLOOKUP($T$2175,'TAR FIN'!$A$1:$O$95,15,0)),0,VLOOKUP($T$2175,'TAR FIN'!$A$1:$O$95,15,0))</f>
        <v>1089.57</v>
      </c>
      <c r="X2175" s="6">
        <f>IF(ISERROR(VLOOKUP($U$2175,'TAR FIN'!$A$1:$O$95,15,0)),0,VLOOKUP($U$2175,'TAR FIN'!$A$1:$O$95,15,0))</f>
        <v>389.28</v>
      </c>
      <c r="Y2175" s="6"/>
      <c r="Z2175" s="6">
        <f ca="1">('TUSD BE'!$AM$50+'TUSD BF'!$AM$50+'TUSD CVA'!$AM$50)*1</f>
        <v>1222.1406132757641</v>
      </c>
      <c r="AA2175" s="6">
        <f>('TE BE'!$AA$38+'TE BF'!$AA$38+'TE CVA'!$AA$38)*1</f>
        <v>454.3285679284046</v>
      </c>
      <c r="AB2175" s="6">
        <f>$K$2175*$V$2175</f>
        <v>0</v>
      </c>
      <c r="AC2175" s="6">
        <f>$M$2175*$W$2175</f>
        <v>4040.12556</v>
      </c>
      <c r="AD2175" s="6">
        <f>$O$2175*$X$2175</f>
        <v>1443.4502399999999</v>
      </c>
      <c r="AE2175" s="6">
        <f>$K$2175*$Y$2175</f>
        <v>0</v>
      </c>
      <c r="AF2175" s="6">
        <f ca="1">$M$2175*$Z$2175</f>
        <v>4531.6973940265334</v>
      </c>
      <c r="AG2175" s="6">
        <f>$O$2175*$AA$2175</f>
        <v>1684.6503298785244</v>
      </c>
    </row>
    <row r="2176" spans="1:33" ht="11.25" customHeight="1" x14ac:dyDescent="0.25">
      <c r="A2176" s="4" t="s">
        <v>59</v>
      </c>
      <c r="B2176" s="4" t="s">
        <v>41</v>
      </c>
      <c r="C2176" s="4" t="s">
        <v>39</v>
      </c>
      <c r="D2176" s="4" t="s">
        <v>45</v>
      </c>
      <c r="E2176" s="4" t="s">
        <v>25</v>
      </c>
      <c r="F2176" s="4" t="s">
        <v>25</v>
      </c>
      <c r="G2176" s="4" t="s">
        <v>25</v>
      </c>
      <c r="H2176" s="4" t="s">
        <v>37</v>
      </c>
      <c r="I2176" s="5">
        <v>44470</v>
      </c>
      <c r="J2176" s="6">
        <v>0</v>
      </c>
      <c r="K2176" s="6">
        <v>0</v>
      </c>
      <c r="L2176" s="6">
        <v>-0.30399999999999999</v>
      </c>
      <c r="M2176" s="6">
        <v>-0.30399999999999999</v>
      </c>
      <c r="N2176" s="6">
        <v>-0.30399999999999999</v>
      </c>
      <c r="O2176" s="6">
        <v>-0.30399999999999999</v>
      </c>
      <c r="P2176" s="6">
        <v>0</v>
      </c>
      <c r="Q2176" s="4" t="s">
        <v>26</v>
      </c>
      <c r="R2176" s="4">
        <v>0</v>
      </c>
      <c r="S2176" s="6">
        <v>0</v>
      </c>
      <c r="T2176" s="6">
        <v>74</v>
      </c>
      <c r="U2176" s="6">
        <v>82</v>
      </c>
      <c r="V2176" s="6">
        <f>IF(ISERROR(VLOOKUP($S$2176,'TAR FIN'!$A$1:$O$95,15,0)),0,VLOOKUP($S$2176,'TAR FIN'!$A$1:$O$95,15,0))</f>
        <v>0</v>
      </c>
      <c r="W2176" s="6">
        <f>IF(ISERROR(VLOOKUP($T$2176,'TAR FIN'!$A$1:$O$95,15,0)),0,VLOOKUP($T$2176,'TAR FIN'!$A$1:$O$95,15,0))</f>
        <v>1089.57</v>
      </c>
      <c r="X2176" s="6">
        <f>IF(ISERROR(VLOOKUP($U$2176,'TAR FIN'!$A$1:$O$95,15,0)),0,VLOOKUP($U$2176,'TAR FIN'!$A$1:$O$95,15,0))</f>
        <v>389.28</v>
      </c>
      <c r="Y2176" s="6"/>
      <c r="Z2176" s="6">
        <f ca="1">('TUSD BE'!$AM$50+'TUSD BF'!$AM$50+'TUSD CVA'!$AM$50)*1</f>
        <v>1222.1406132757641</v>
      </c>
      <c r="AA2176" s="6">
        <f>('TE BE'!$AA$38+'TE BF'!$AA$38+'TE CVA'!$AA$38)*1</f>
        <v>454.3285679284046</v>
      </c>
      <c r="AB2176" s="6">
        <f>$K$2176*$V$2176</f>
        <v>0</v>
      </c>
      <c r="AC2176" s="6">
        <f>$M$2176*$W$2176</f>
        <v>-331.22927999999996</v>
      </c>
      <c r="AD2176" s="6">
        <f>$O$2176*$X$2176</f>
        <v>-118.34111999999999</v>
      </c>
      <c r="AE2176" s="6">
        <f>$K$2176*$Y$2176</f>
        <v>0</v>
      </c>
      <c r="AF2176" s="6">
        <f ca="1">$M$2176*$Z$2176</f>
        <v>-371.53074643583227</v>
      </c>
      <c r="AG2176" s="6">
        <f>$O$2176*$AA$2176</f>
        <v>-138.11588465023499</v>
      </c>
    </row>
    <row r="2177" spans="1:33" ht="11.25" customHeight="1" x14ac:dyDescent="0.25">
      <c r="A2177" s="4" t="s">
        <v>59</v>
      </c>
      <c r="B2177" s="4" t="s">
        <v>41</v>
      </c>
      <c r="C2177" s="4" t="s">
        <v>39</v>
      </c>
      <c r="D2177" s="4" t="s">
        <v>45</v>
      </c>
      <c r="E2177" s="4" t="s">
        <v>25</v>
      </c>
      <c r="F2177" s="4" t="s">
        <v>25</v>
      </c>
      <c r="G2177" s="4" t="s">
        <v>25</v>
      </c>
      <c r="H2177" s="4" t="s">
        <v>37</v>
      </c>
      <c r="I2177" s="5">
        <v>44470</v>
      </c>
      <c r="J2177" s="6">
        <v>0</v>
      </c>
      <c r="K2177" s="6">
        <v>0</v>
      </c>
      <c r="L2177" s="6">
        <v>10.976000000000001</v>
      </c>
      <c r="M2177" s="6">
        <v>10.976000000000001</v>
      </c>
      <c r="N2177" s="6">
        <v>10.976000000000001</v>
      </c>
      <c r="O2177" s="6">
        <v>10.976000000000001</v>
      </c>
      <c r="P2177" s="6">
        <v>0</v>
      </c>
      <c r="Q2177" s="4" t="s">
        <v>26</v>
      </c>
      <c r="R2177" s="4">
        <v>0</v>
      </c>
      <c r="S2177" s="6">
        <v>0</v>
      </c>
      <c r="T2177" s="6">
        <v>74</v>
      </c>
      <c r="U2177" s="6">
        <v>82</v>
      </c>
      <c r="V2177" s="6">
        <f>IF(ISERROR(VLOOKUP($S$2177,'TAR FIN'!$A$1:$O$95,15,0)),0,VLOOKUP($S$2177,'TAR FIN'!$A$1:$O$95,15,0))</f>
        <v>0</v>
      </c>
      <c r="W2177" s="6">
        <f>IF(ISERROR(VLOOKUP($T$2177,'TAR FIN'!$A$1:$O$95,15,0)),0,VLOOKUP($T$2177,'TAR FIN'!$A$1:$O$95,15,0))</f>
        <v>1089.57</v>
      </c>
      <c r="X2177" s="6">
        <f>IF(ISERROR(VLOOKUP($U$2177,'TAR FIN'!$A$1:$O$95,15,0)),0,VLOOKUP($U$2177,'TAR FIN'!$A$1:$O$95,15,0))</f>
        <v>389.28</v>
      </c>
      <c r="Y2177" s="6"/>
      <c r="Z2177" s="6">
        <f ca="1">('TUSD BE'!$AM$50+'TUSD BF'!$AM$50+'TUSD CVA'!$AM$50)*1</f>
        <v>1222.1406132757641</v>
      </c>
      <c r="AA2177" s="6">
        <f>('TE BE'!$AA$38+'TE BF'!$AA$38+'TE CVA'!$AA$38)*1</f>
        <v>454.3285679284046</v>
      </c>
      <c r="AB2177" s="6">
        <f>$K$2177*$V$2177</f>
        <v>0</v>
      </c>
      <c r="AC2177" s="6">
        <f>$M$2177*$W$2177</f>
        <v>11959.12032</v>
      </c>
      <c r="AD2177" s="6">
        <f>$O$2177*$X$2177</f>
        <v>4272.7372800000003</v>
      </c>
      <c r="AE2177" s="6">
        <f>$K$2177*$Y$2177</f>
        <v>0</v>
      </c>
      <c r="AF2177" s="6">
        <f ca="1">$M$2177*$Z$2177</f>
        <v>13414.215371314787</v>
      </c>
      <c r="AG2177" s="6">
        <f>$O$2177*$AA$2177</f>
        <v>4986.7103615821688</v>
      </c>
    </row>
    <row r="2178" spans="1:33" ht="11.25" customHeight="1" x14ac:dyDescent="0.25">
      <c r="A2178" s="4" t="s">
        <v>59</v>
      </c>
      <c r="B2178" s="4" t="s">
        <v>41</v>
      </c>
      <c r="C2178" s="4" t="s">
        <v>39</v>
      </c>
      <c r="D2178" s="4" t="s">
        <v>45</v>
      </c>
      <c r="E2178" s="4" t="s">
        <v>25</v>
      </c>
      <c r="F2178" s="4" t="s">
        <v>25</v>
      </c>
      <c r="G2178" s="4" t="s">
        <v>25</v>
      </c>
      <c r="H2178" s="4" t="s">
        <v>37</v>
      </c>
      <c r="I2178" s="5">
        <v>44470</v>
      </c>
      <c r="J2178" s="6">
        <v>0</v>
      </c>
      <c r="K2178" s="6">
        <v>0</v>
      </c>
      <c r="L2178" s="6">
        <v>0.59199999999999997</v>
      </c>
      <c r="M2178" s="6">
        <v>0.59199999999999997</v>
      </c>
      <c r="N2178" s="6">
        <v>0.59199999999999997</v>
      </c>
      <c r="O2178" s="6">
        <v>0.59199999999999997</v>
      </c>
      <c r="P2178" s="6">
        <v>0</v>
      </c>
      <c r="Q2178" s="4" t="s">
        <v>26</v>
      </c>
      <c r="R2178" s="4">
        <v>0</v>
      </c>
      <c r="S2178" s="6">
        <v>0</v>
      </c>
      <c r="T2178" s="6">
        <v>74</v>
      </c>
      <c r="U2178" s="6">
        <v>82</v>
      </c>
      <c r="V2178" s="6">
        <f>IF(ISERROR(VLOOKUP($S$2178,'TAR FIN'!$A$1:$O$95,15,0)),0,VLOOKUP($S$2178,'TAR FIN'!$A$1:$O$95,15,0))</f>
        <v>0</v>
      </c>
      <c r="W2178" s="6">
        <f>IF(ISERROR(VLOOKUP($T$2178,'TAR FIN'!$A$1:$O$95,15,0)),0,VLOOKUP($T$2178,'TAR FIN'!$A$1:$O$95,15,0))</f>
        <v>1089.57</v>
      </c>
      <c r="X2178" s="6">
        <f>IF(ISERROR(VLOOKUP($U$2178,'TAR FIN'!$A$1:$O$95,15,0)),0,VLOOKUP($U$2178,'TAR FIN'!$A$1:$O$95,15,0))</f>
        <v>389.28</v>
      </c>
      <c r="Y2178" s="6"/>
      <c r="Z2178" s="6">
        <f ca="1">('TUSD BE'!$AM$50+'TUSD BF'!$AM$50+'TUSD CVA'!$AM$50)*1</f>
        <v>1222.1406132757641</v>
      </c>
      <c r="AA2178" s="6">
        <f>('TE BE'!$AA$38+'TE BF'!$AA$38+'TE CVA'!$AA$38)*1</f>
        <v>454.3285679284046</v>
      </c>
      <c r="AB2178" s="6">
        <f>$K$2178*$V$2178</f>
        <v>0</v>
      </c>
      <c r="AC2178" s="6">
        <f>$M$2178*$W$2178</f>
        <v>645.02543999999989</v>
      </c>
      <c r="AD2178" s="6">
        <f>$O$2178*$X$2178</f>
        <v>230.45375999999996</v>
      </c>
      <c r="AE2178" s="6">
        <f>$K$2178*$Y$2178</f>
        <v>0</v>
      </c>
      <c r="AF2178" s="6">
        <f ca="1">$M$2178*$Z$2178</f>
        <v>723.50724305925223</v>
      </c>
      <c r="AG2178" s="6">
        <f>$O$2178*$AA$2178</f>
        <v>268.96251221361553</v>
      </c>
    </row>
    <row r="2179" spans="1:33" ht="11.25" customHeight="1" x14ac:dyDescent="0.25">
      <c r="A2179" s="4" t="s">
        <v>21</v>
      </c>
      <c r="B2179" s="4" t="s">
        <v>41</v>
      </c>
      <c r="C2179" s="4" t="s">
        <v>39</v>
      </c>
      <c r="D2179" s="4" t="s">
        <v>42</v>
      </c>
      <c r="E2179" s="4" t="s">
        <v>25</v>
      </c>
      <c r="F2179" s="4" t="s">
        <v>25</v>
      </c>
      <c r="G2179" s="4" t="s">
        <v>25</v>
      </c>
      <c r="H2179" s="4" t="s">
        <v>38</v>
      </c>
      <c r="I2179" s="5">
        <v>44136</v>
      </c>
      <c r="J2179" s="6">
        <v>0</v>
      </c>
      <c r="K2179" s="6">
        <v>0</v>
      </c>
      <c r="L2179" s="6">
        <v>7.0819999999999999</v>
      </c>
      <c r="M2179" s="6">
        <v>7.0819999999999999</v>
      </c>
      <c r="N2179" s="6">
        <v>7.0819999999999999</v>
      </c>
      <c r="O2179" s="6">
        <v>7.0819999999999999</v>
      </c>
      <c r="P2179" s="6">
        <v>0</v>
      </c>
      <c r="Q2179" s="4" t="s">
        <v>26</v>
      </c>
      <c r="R2179" s="4">
        <v>0</v>
      </c>
      <c r="S2179" s="6">
        <v>0</v>
      </c>
      <c r="T2179" s="6">
        <v>71</v>
      </c>
      <c r="U2179" s="6">
        <v>77</v>
      </c>
      <c r="V2179" s="6">
        <f>IF(ISERROR(VLOOKUP($S$2179,'TAR FIN'!$A$1:$O$95,15,0)),0,VLOOKUP($S$2179,'TAR FIN'!$A$1:$O$95,15,0))</f>
        <v>0</v>
      </c>
      <c r="W2179" s="6">
        <f>IF(ISERROR(VLOOKUP($T$2179,'TAR FIN'!$A$1:$O$95,15,0)),0,VLOOKUP($T$2179,'TAR FIN'!$A$1:$O$95,15,0))</f>
        <v>381.34</v>
      </c>
      <c r="X2179" s="6">
        <f>IF(ISERROR(VLOOKUP($U$2179,'TAR FIN'!$A$1:$O$95,15,0)),0,VLOOKUP($U$2179,'TAR FIN'!$A$1:$O$95,15,0))</f>
        <v>230.03</v>
      </c>
      <c r="Y2179" s="6"/>
      <c r="Z2179" s="6">
        <f ca="1">('TUSD BE'!$AM$52+'TUSD BF'!$AM$52+'TUSD CVA'!$AM$52)*1</f>
        <v>429.45298114736829</v>
      </c>
      <c r="AA2179" s="6">
        <f>('TE BE'!$AA$40+'TE BF'!$AA$40+'TE CVA'!$AA$40)*1</f>
        <v>282.91739971702214</v>
      </c>
      <c r="AB2179" s="6">
        <f>$K$2179*$V$2179</f>
        <v>0</v>
      </c>
      <c r="AC2179" s="6">
        <f>$M$2179*$W$2179</f>
        <v>2700.6498799999999</v>
      </c>
      <c r="AD2179" s="6">
        <f>$O$2179*$X$2179</f>
        <v>1629.0724599999999</v>
      </c>
      <c r="AE2179" s="6">
        <f>$K$2179*$Y$2179</f>
        <v>0</v>
      </c>
      <c r="AF2179" s="6">
        <f ca="1">$M$2179*$Z$2179</f>
        <v>3041.3860124856624</v>
      </c>
      <c r="AG2179" s="6">
        <f>$O$2179*$AA$2179</f>
        <v>2003.6210247959507</v>
      </c>
    </row>
    <row r="2180" spans="1:33" ht="11.25" customHeight="1" x14ac:dyDescent="0.25">
      <c r="A2180" s="4" t="s">
        <v>21</v>
      </c>
      <c r="B2180" s="4" t="s">
        <v>41</v>
      </c>
      <c r="C2180" s="4" t="s">
        <v>39</v>
      </c>
      <c r="D2180" s="4" t="s">
        <v>42</v>
      </c>
      <c r="E2180" s="4" t="s">
        <v>25</v>
      </c>
      <c r="F2180" s="4" t="s">
        <v>25</v>
      </c>
      <c r="G2180" s="4" t="s">
        <v>25</v>
      </c>
      <c r="H2180" s="4" t="s">
        <v>38</v>
      </c>
      <c r="I2180" s="5">
        <v>44166</v>
      </c>
      <c r="J2180" s="6">
        <v>0</v>
      </c>
      <c r="K2180" s="6">
        <v>0</v>
      </c>
      <c r="L2180" s="6">
        <v>7.3650000000000002</v>
      </c>
      <c r="M2180" s="6">
        <v>7.3650000000000002</v>
      </c>
      <c r="N2180" s="6">
        <v>7.3650000000000002</v>
      </c>
      <c r="O2180" s="6">
        <v>7.3650000000000002</v>
      </c>
      <c r="P2180" s="6">
        <v>0</v>
      </c>
      <c r="Q2180" s="4" t="s">
        <v>26</v>
      </c>
      <c r="R2180" s="4">
        <v>0</v>
      </c>
      <c r="S2180" s="6">
        <v>0</v>
      </c>
      <c r="T2180" s="6">
        <v>71</v>
      </c>
      <c r="U2180" s="6">
        <v>77</v>
      </c>
      <c r="V2180" s="6">
        <f>IF(ISERROR(VLOOKUP($S$2180,'TAR FIN'!$A$1:$O$95,15,0)),0,VLOOKUP($S$2180,'TAR FIN'!$A$1:$O$95,15,0))</f>
        <v>0</v>
      </c>
      <c r="W2180" s="6">
        <f>IF(ISERROR(VLOOKUP($T$2180,'TAR FIN'!$A$1:$O$95,15,0)),0,VLOOKUP($T$2180,'TAR FIN'!$A$1:$O$95,15,0))</f>
        <v>381.34</v>
      </c>
      <c r="X2180" s="6">
        <f>IF(ISERROR(VLOOKUP($U$2180,'TAR FIN'!$A$1:$O$95,15,0)),0,VLOOKUP($U$2180,'TAR FIN'!$A$1:$O$95,15,0))</f>
        <v>230.03</v>
      </c>
      <c r="Y2180" s="6"/>
      <c r="Z2180" s="6">
        <f ca="1">('TUSD BE'!$AM$52+'TUSD BF'!$AM$52+'TUSD CVA'!$AM$52)*1</f>
        <v>429.45298114736829</v>
      </c>
      <c r="AA2180" s="6">
        <f>('TE BE'!$AA$40+'TE BF'!$AA$40+'TE CVA'!$AA$40)*1</f>
        <v>282.91739971702214</v>
      </c>
      <c r="AB2180" s="6">
        <f>$K$2180*$V$2180</f>
        <v>0</v>
      </c>
      <c r="AC2180" s="6">
        <f>$M$2180*$W$2180</f>
        <v>2808.5690999999997</v>
      </c>
      <c r="AD2180" s="6">
        <f>$O$2180*$X$2180</f>
        <v>1694.1709499999999</v>
      </c>
      <c r="AE2180" s="6">
        <f>$K$2180*$Y$2180</f>
        <v>0</v>
      </c>
      <c r="AF2180" s="6">
        <f ca="1">$M$2180*$Z$2180</f>
        <v>3162.9212061503677</v>
      </c>
      <c r="AG2180" s="6">
        <f>$O$2180*$AA$2180</f>
        <v>2083.6866489158679</v>
      </c>
    </row>
    <row r="2181" spans="1:33" ht="11.25" customHeight="1" x14ac:dyDescent="0.25">
      <c r="A2181" s="4" t="s">
        <v>21</v>
      </c>
      <c r="B2181" s="4" t="s">
        <v>41</v>
      </c>
      <c r="C2181" s="4" t="s">
        <v>39</v>
      </c>
      <c r="D2181" s="4" t="s">
        <v>42</v>
      </c>
      <c r="E2181" s="4" t="s">
        <v>25</v>
      </c>
      <c r="F2181" s="4" t="s">
        <v>25</v>
      </c>
      <c r="G2181" s="4" t="s">
        <v>25</v>
      </c>
      <c r="H2181" s="4" t="s">
        <v>38</v>
      </c>
      <c r="I2181" s="5">
        <v>44197</v>
      </c>
      <c r="J2181" s="6">
        <v>0</v>
      </c>
      <c r="K2181" s="6">
        <v>0</v>
      </c>
      <c r="L2181" s="6">
        <v>9.9220000000000006</v>
      </c>
      <c r="M2181" s="6">
        <v>9.9220000000000006</v>
      </c>
      <c r="N2181" s="6">
        <v>9.9220000000000006</v>
      </c>
      <c r="O2181" s="6">
        <v>9.9220000000000006</v>
      </c>
      <c r="P2181" s="6">
        <v>0</v>
      </c>
      <c r="Q2181" s="4" t="s">
        <v>26</v>
      </c>
      <c r="R2181" s="4">
        <v>0</v>
      </c>
      <c r="S2181" s="6">
        <v>0</v>
      </c>
      <c r="T2181" s="6">
        <v>71</v>
      </c>
      <c r="U2181" s="6">
        <v>77</v>
      </c>
      <c r="V2181" s="6">
        <f>IF(ISERROR(VLOOKUP($S$2181,'TAR FIN'!$A$1:$O$95,15,0)),0,VLOOKUP($S$2181,'TAR FIN'!$A$1:$O$95,15,0))</f>
        <v>0</v>
      </c>
      <c r="W2181" s="6">
        <f>IF(ISERROR(VLOOKUP($T$2181,'TAR FIN'!$A$1:$O$95,15,0)),0,VLOOKUP($T$2181,'TAR FIN'!$A$1:$O$95,15,0))</f>
        <v>381.34</v>
      </c>
      <c r="X2181" s="6">
        <f>IF(ISERROR(VLOOKUP($U$2181,'TAR FIN'!$A$1:$O$95,15,0)),0,VLOOKUP($U$2181,'TAR FIN'!$A$1:$O$95,15,0))</f>
        <v>230.03</v>
      </c>
      <c r="Y2181" s="6"/>
      <c r="Z2181" s="6">
        <f ca="1">('TUSD BE'!$AM$52+'TUSD BF'!$AM$52+'TUSD CVA'!$AM$52)*1</f>
        <v>429.45298114736829</v>
      </c>
      <c r="AA2181" s="6">
        <f>('TE BE'!$AA$40+'TE BF'!$AA$40+'TE CVA'!$AA$40)*1</f>
        <v>282.91739971702214</v>
      </c>
      <c r="AB2181" s="6">
        <f>$K$2181*$V$2181</f>
        <v>0</v>
      </c>
      <c r="AC2181" s="6">
        <f>$M$2181*$W$2181</f>
        <v>3783.6554799999999</v>
      </c>
      <c r="AD2181" s="6">
        <f>$O$2181*$X$2181</f>
        <v>2282.3576600000001</v>
      </c>
      <c r="AE2181" s="6">
        <f>$K$2181*$Y$2181</f>
        <v>0</v>
      </c>
      <c r="AF2181" s="6">
        <f ca="1">$M$2181*$Z$2181</f>
        <v>4261.0324789441884</v>
      </c>
      <c r="AG2181" s="6">
        <f>$O$2181*$AA$2181</f>
        <v>2807.1064399922939</v>
      </c>
    </row>
    <row r="2182" spans="1:33" ht="11.25" customHeight="1" x14ac:dyDescent="0.25">
      <c r="A2182" s="4" t="s">
        <v>21</v>
      </c>
      <c r="B2182" s="4" t="s">
        <v>41</v>
      </c>
      <c r="C2182" s="4" t="s">
        <v>39</v>
      </c>
      <c r="D2182" s="4" t="s">
        <v>42</v>
      </c>
      <c r="E2182" s="4" t="s">
        <v>25</v>
      </c>
      <c r="F2182" s="4" t="s">
        <v>25</v>
      </c>
      <c r="G2182" s="4" t="s">
        <v>25</v>
      </c>
      <c r="H2182" s="4" t="s">
        <v>38</v>
      </c>
      <c r="I2182" s="5">
        <v>44228</v>
      </c>
      <c r="J2182" s="6">
        <v>0</v>
      </c>
      <c r="K2182" s="6">
        <v>0</v>
      </c>
      <c r="L2182" s="6">
        <v>6.9560000000000004</v>
      </c>
      <c r="M2182" s="6">
        <v>6.9560000000000004</v>
      </c>
      <c r="N2182" s="6">
        <v>6.9560000000000004</v>
      </c>
      <c r="O2182" s="6">
        <v>6.9560000000000004</v>
      </c>
      <c r="P2182" s="6">
        <v>0</v>
      </c>
      <c r="Q2182" s="4" t="s">
        <v>26</v>
      </c>
      <c r="R2182" s="4">
        <v>0</v>
      </c>
      <c r="S2182" s="6">
        <v>0</v>
      </c>
      <c r="T2182" s="6">
        <v>71</v>
      </c>
      <c r="U2182" s="6">
        <v>77</v>
      </c>
      <c r="V2182" s="6">
        <f>IF(ISERROR(VLOOKUP($S$2182,'TAR FIN'!$A$1:$O$95,15,0)),0,VLOOKUP($S$2182,'TAR FIN'!$A$1:$O$95,15,0))</f>
        <v>0</v>
      </c>
      <c r="W2182" s="6">
        <f>IF(ISERROR(VLOOKUP($T$2182,'TAR FIN'!$A$1:$O$95,15,0)),0,VLOOKUP($T$2182,'TAR FIN'!$A$1:$O$95,15,0))</f>
        <v>381.34</v>
      </c>
      <c r="X2182" s="6">
        <f>IF(ISERROR(VLOOKUP($U$2182,'TAR FIN'!$A$1:$O$95,15,0)),0,VLOOKUP($U$2182,'TAR FIN'!$A$1:$O$95,15,0))</f>
        <v>230.03</v>
      </c>
      <c r="Y2182" s="6"/>
      <c r="Z2182" s="6">
        <f ca="1">('TUSD BE'!$AM$52+'TUSD BF'!$AM$52+'TUSD CVA'!$AM$52)*1</f>
        <v>429.45298114736829</v>
      </c>
      <c r="AA2182" s="6">
        <f>('TE BE'!$AA$40+'TE BF'!$AA$40+'TE CVA'!$AA$40)*1</f>
        <v>282.91739971702214</v>
      </c>
      <c r="AB2182" s="6">
        <f>$K$2182*$V$2182</f>
        <v>0</v>
      </c>
      <c r="AC2182" s="6">
        <f>$M$2182*$W$2182</f>
        <v>2652.60104</v>
      </c>
      <c r="AD2182" s="6">
        <f>$O$2182*$X$2182</f>
        <v>1600.0886800000001</v>
      </c>
      <c r="AE2182" s="6">
        <f>$K$2182*$Y$2182</f>
        <v>0</v>
      </c>
      <c r="AF2182" s="6">
        <f ca="1">$M$2182*$Z$2182</f>
        <v>2987.2749368610939</v>
      </c>
      <c r="AG2182" s="6">
        <f>$O$2182*$AA$2182</f>
        <v>1967.9734324316062</v>
      </c>
    </row>
    <row r="2183" spans="1:33" ht="11.25" customHeight="1" x14ac:dyDescent="0.25">
      <c r="A2183" s="4" t="s">
        <v>21</v>
      </c>
      <c r="B2183" s="4" t="s">
        <v>41</v>
      </c>
      <c r="C2183" s="4" t="s">
        <v>39</v>
      </c>
      <c r="D2183" s="4" t="s">
        <v>42</v>
      </c>
      <c r="E2183" s="4" t="s">
        <v>25</v>
      </c>
      <c r="F2183" s="4" t="s">
        <v>25</v>
      </c>
      <c r="G2183" s="4" t="s">
        <v>25</v>
      </c>
      <c r="H2183" s="4" t="s">
        <v>38</v>
      </c>
      <c r="I2183" s="5">
        <v>44256</v>
      </c>
      <c r="J2183" s="6">
        <v>0</v>
      </c>
      <c r="K2183" s="6">
        <v>0</v>
      </c>
      <c r="L2183" s="6">
        <v>8.6050000000000004</v>
      </c>
      <c r="M2183" s="6">
        <v>8.6050000000000004</v>
      </c>
      <c r="N2183" s="6">
        <v>8.6050000000000004</v>
      </c>
      <c r="O2183" s="6">
        <v>8.6050000000000004</v>
      </c>
      <c r="P2183" s="6">
        <v>0</v>
      </c>
      <c r="Q2183" s="4" t="s">
        <v>26</v>
      </c>
      <c r="R2183" s="4">
        <v>0</v>
      </c>
      <c r="S2183" s="6">
        <v>0</v>
      </c>
      <c r="T2183" s="6">
        <v>71</v>
      </c>
      <c r="U2183" s="6">
        <v>77</v>
      </c>
      <c r="V2183" s="6">
        <f>IF(ISERROR(VLOOKUP($S$2183,'TAR FIN'!$A$1:$O$95,15,0)),0,VLOOKUP($S$2183,'TAR FIN'!$A$1:$O$95,15,0))</f>
        <v>0</v>
      </c>
      <c r="W2183" s="6">
        <f>IF(ISERROR(VLOOKUP($T$2183,'TAR FIN'!$A$1:$O$95,15,0)),0,VLOOKUP($T$2183,'TAR FIN'!$A$1:$O$95,15,0))</f>
        <v>381.34</v>
      </c>
      <c r="X2183" s="6">
        <f>IF(ISERROR(VLOOKUP($U$2183,'TAR FIN'!$A$1:$O$95,15,0)),0,VLOOKUP($U$2183,'TAR FIN'!$A$1:$O$95,15,0))</f>
        <v>230.03</v>
      </c>
      <c r="Y2183" s="6"/>
      <c r="Z2183" s="6">
        <f ca="1">('TUSD BE'!$AM$52+'TUSD BF'!$AM$52+'TUSD CVA'!$AM$52)*1</f>
        <v>429.45298114736829</v>
      </c>
      <c r="AA2183" s="6">
        <f>('TE BE'!$AA$40+'TE BF'!$AA$40+'TE CVA'!$AA$40)*1</f>
        <v>282.91739971702214</v>
      </c>
      <c r="AB2183" s="6">
        <f>$K$2183*$V$2183</f>
        <v>0</v>
      </c>
      <c r="AC2183" s="6">
        <f>$M$2183*$W$2183</f>
        <v>3281.4306999999999</v>
      </c>
      <c r="AD2183" s="6">
        <f>$O$2183*$X$2183</f>
        <v>1979.4081500000002</v>
      </c>
      <c r="AE2183" s="6">
        <f>$K$2183*$Y$2183</f>
        <v>0</v>
      </c>
      <c r="AF2183" s="6">
        <f ca="1">$M$2183*$Z$2183</f>
        <v>3695.4429027731044</v>
      </c>
      <c r="AG2183" s="6">
        <f>$O$2183*$AA$2183</f>
        <v>2434.5042245649756</v>
      </c>
    </row>
    <row r="2184" spans="1:33" ht="11.25" customHeight="1" x14ac:dyDescent="0.25">
      <c r="A2184" s="4" t="s">
        <v>21</v>
      </c>
      <c r="B2184" s="4" t="s">
        <v>41</v>
      </c>
      <c r="C2184" s="4" t="s">
        <v>39</v>
      </c>
      <c r="D2184" s="4" t="s">
        <v>42</v>
      </c>
      <c r="E2184" s="4" t="s">
        <v>25</v>
      </c>
      <c r="F2184" s="4" t="s">
        <v>25</v>
      </c>
      <c r="G2184" s="4" t="s">
        <v>25</v>
      </c>
      <c r="H2184" s="4" t="s">
        <v>38</v>
      </c>
      <c r="I2184" s="5">
        <v>44287</v>
      </c>
      <c r="J2184" s="6">
        <v>0</v>
      </c>
      <c r="K2184" s="6">
        <v>0</v>
      </c>
      <c r="L2184" s="6">
        <v>9.3559999999999999</v>
      </c>
      <c r="M2184" s="6">
        <v>9.3559999999999999</v>
      </c>
      <c r="N2184" s="6">
        <v>9.3559999999999999</v>
      </c>
      <c r="O2184" s="6">
        <v>9.3559999999999999</v>
      </c>
      <c r="P2184" s="6">
        <v>0</v>
      </c>
      <c r="Q2184" s="4" t="s">
        <v>26</v>
      </c>
      <c r="R2184" s="4">
        <v>0</v>
      </c>
      <c r="S2184" s="6">
        <v>0</v>
      </c>
      <c r="T2184" s="6">
        <v>71</v>
      </c>
      <c r="U2184" s="6">
        <v>77</v>
      </c>
      <c r="V2184" s="6">
        <f>IF(ISERROR(VLOOKUP($S$2184,'TAR FIN'!$A$1:$O$95,15,0)),0,VLOOKUP($S$2184,'TAR FIN'!$A$1:$O$95,15,0))</f>
        <v>0</v>
      </c>
      <c r="W2184" s="6">
        <f>IF(ISERROR(VLOOKUP($T$2184,'TAR FIN'!$A$1:$O$95,15,0)),0,VLOOKUP($T$2184,'TAR FIN'!$A$1:$O$95,15,0))</f>
        <v>381.34</v>
      </c>
      <c r="X2184" s="6">
        <f>IF(ISERROR(VLOOKUP($U$2184,'TAR FIN'!$A$1:$O$95,15,0)),0,VLOOKUP($U$2184,'TAR FIN'!$A$1:$O$95,15,0))</f>
        <v>230.03</v>
      </c>
      <c r="Y2184" s="6"/>
      <c r="Z2184" s="6">
        <f ca="1">('TUSD BE'!$AM$52+'TUSD BF'!$AM$52+'TUSD CVA'!$AM$52)*1</f>
        <v>429.45298114736829</v>
      </c>
      <c r="AA2184" s="6">
        <f>('TE BE'!$AA$40+'TE BF'!$AA$40+'TE CVA'!$AA$40)*1</f>
        <v>282.91739971702214</v>
      </c>
      <c r="AB2184" s="6">
        <f>$K$2184*$V$2184</f>
        <v>0</v>
      </c>
      <c r="AC2184" s="6">
        <f>$M$2184*$W$2184</f>
        <v>3567.8170399999999</v>
      </c>
      <c r="AD2184" s="6">
        <f>$O$2184*$X$2184</f>
        <v>2152.16068</v>
      </c>
      <c r="AE2184" s="6">
        <f>$K$2184*$Y$2184</f>
        <v>0</v>
      </c>
      <c r="AF2184" s="6">
        <f ca="1">$M$2184*$Z$2184</f>
        <v>4017.9620916147778</v>
      </c>
      <c r="AG2184" s="6">
        <f>$O$2184*$AA$2184</f>
        <v>2646.9751917524591</v>
      </c>
    </row>
    <row r="2185" spans="1:33" ht="11.25" customHeight="1" x14ac:dyDescent="0.25">
      <c r="A2185" s="4" t="s">
        <v>21</v>
      </c>
      <c r="B2185" s="4" t="s">
        <v>41</v>
      </c>
      <c r="C2185" s="4" t="s">
        <v>39</v>
      </c>
      <c r="D2185" s="4" t="s">
        <v>42</v>
      </c>
      <c r="E2185" s="4" t="s">
        <v>25</v>
      </c>
      <c r="F2185" s="4" t="s">
        <v>25</v>
      </c>
      <c r="G2185" s="4" t="s">
        <v>25</v>
      </c>
      <c r="H2185" s="4" t="s">
        <v>38</v>
      </c>
      <c r="I2185" s="5">
        <v>44317</v>
      </c>
      <c r="J2185" s="6">
        <v>0</v>
      </c>
      <c r="K2185" s="6">
        <v>0</v>
      </c>
      <c r="L2185" s="6">
        <v>9.4480000000000004</v>
      </c>
      <c r="M2185" s="6">
        <v>9.4480000000000004</v>
      </c>
      <c r="N2185" s="6">
        <v>9.4480000000000004</v>
      </c>
      <c r="O2185" s="6">
        <v>9.4480000000000004</v>
      </c>
      <c r="P2185" s="6">
        <v>0</v>
      </c>
      <c r="Q2185" s="4" t="s">
        <v>26</v>
      </c>
      <c r="R2185" s="4">
        <v>0</v>
      </c>
      <c r="S2185" s="6">
        <v>0</v>
      </c>
      <c r="T2185" s="6">
        <v>71</v>
      </c>
      <c r="U2185" s="6">
        <v>77</v>
      </c>
      <c r="V2185" s="6">
        <f>IF(ISERROR(VLOOKUP($S$2185,'TAR FIN'!$A$1:$O$95,15,0)),0,VLOOKUP($S$2185,'TAR FIN'!$A$1:$O$95,15,0))</f>
        <v>0</v>
      </c>
      <c r="W2185" s="6">
        <f>IF(ISERROR(VLOOKUP($T$2185,'TAR FIN'!$A$1:$O$95,15,0)),0,VLOOKUP($T$2185,'TAR FIN'!$A$1:$O$95,15,0))</f>
        <v>381.34</v>
      </c>
      <c r="X2185" s="6">
        <f>IF(ISERROR(VLOOKUP($U$2185,'TAR FIN'!$A$1:$O$95,15,0)),0,VLOOKUP($U$2185,'TAR FIN'!$A$1:$O$95,15,0))</f>
        <v>230.03</v>
      </c>
      <c r="Y2185" s="6"/>
      <c r="Z2185" s="6">
        <f ca="1">('TUSD BE'!$AM$52+'TUSD BF'!$AM$52+'TUSD CVA'!$AM$52)*1</f>
        <v>429.45298114736829</v>
      </c>
      <c r="AA2185" s="6">
        <f>('TE BE'!$AA$40+'TE BF'!$AA$40+'TE CVA'!$AA$40)*1</f>
        <v>282.91739971702214</v>
      </c>
      <c r="AB2185" s="6">
        <f>$K$2185*$V$2185</f>
        <v>0</v>
      </c>
      <c r="AC2185" s="6">
        <f>$M$2185*$W$2185</f>
        <v>3602.9003199999997</v>
      </c>
      <c r="AD2185" s="6">
        <f>$O$2185*$X$2185</f>
        <v>2173.3234400000001</v>
      </c>
      <c r="AE2185" s="6">
        <f>$K$2185*$Y$2185</f>
        <v>0</v>
      </c>
      <c r="AF2185" s="6">
        <f ca="1">$M$2185*$Z$2185</f>
        <v>4057.4717658803356</v>
      </c>
      <c r="AG2185" s="6">
        <f>$O$2185*$AA$2185</f>
        <v>2673.0035925264251</v>
      </c>
    </row>
    <row r="2186" spans="1:33" ht="11.25" customHeight="1" x14ac:dyDescent="0.25">
      <c r="A2186" s="4" t="s">
        <v>21</v>
      </c>
      <c r="B2186" s="4" t="s">
        <v>41</v>
      </c>
      <c r="C2186" s="4" t="s">
        <v>39</v>
      </c>
      <c r="D2186" s="4" t="s">
        <v>42</v>
      </c>
      <c r="E2186" s="4" t="s">
        <v>25</v>
      </c>
      <c r="F2186" s="4" t="s">
        <v>25</v>
      </c>
      <c r="G2186" s="4" t="s">
        <v>25</v>
      </c>
      <c r="H2186" s="4" t="s">
        <v>38</v>
      </c>
      <c r="I2186" s="5">
        <v>44348</v>
      </c>
      <c r="J2186" s="6">
        <v>0</v>
      </c>
      <c r="K2186" s="6">
        <v>0</v>
      </c>
      <c r="L2186" s="6">
        <v>12.682</v>
      </c>
      <c r="M2186" s="6">
        <v>12.682</v>
      </c>
      <c r="N2186" s="6">
        <v>12.682</v>
      </c>
      <c r="O2186" s="6">
        <v>12.682</v>
      </c>
      <c r="P2186" s="6">
        <v>0</v>
      </c>
      <c r="Q2186" s="4" t="s">
        <v>26</v>
      </c>
      <c r="R2186" s="4">
        <v>0</v>
      </c>
      <c r="S2186" s="6">
        <v>0</v>
      </c>
      <c r="T2186" s="6">
        <v>71</v>
      </c>
      <c r="U2186" s="6">
        <v>77</v>
      </c>
      <c r="V2186" s="6">
        <f>IF(ISERROR(VLOOKUP($S$2186,'TAR FIN'!$A$1:$O$95,15,0)),0,VLOOKUP($S$2186,'TAR FIN'!$A$1:$O$95,15,0))</f>
        <v>0</v>
      </c>
      <c r="W2186" s="6">
        <f>IF(ISERROR(VLOOKUP($T$2186,'TAR FIN'!$A$1:$O$95,15,0)),0,VLOOKUP($T$2186,'TAR FIN'!$A$1:$O$95,15,0))</f>
        <v>381.34</v>
      </c>
      <c r="X2186" s="6">
        <f>IF(ISERROR(VLOOKUP($U$2186,'TAR FIN'!$A$1:$O$95,15,0)),0,VLOOKUP($U$2186,'TAR FIN'!$A$1:$O$95,15,0))</f>
        <v>230.03</v>
      </c>
      <c r="Y2186" s="6"/>
      <c r="Z2186" s="6">
        <f ca="1">('TUSD BE'!$AM$52+'TUSD BF'!$AM$52+'TUSD CVA'!$AM$52)*1</f>
        <v>429.45298114736829</v>
      </c>
      <c r="AA2186" s="6">
        <f>('TE BE'!$AA$40+'TE BF'!$AA$40+'TE CVA'!$AA$40)*1</f>
        <v>282.91739971702214</v>
      </c>
      <c r="AB2186" s="6">
        <f>$K$2186*$V$2186</f>
        <v>0</v>
      </c>
      <c r="AC2186" s="6">
        <f>$M$2186*$W$2186</f>
        <v>4836.1538799999998</v>
      </c>
      <c r="AD2186" s="6">
        <f>$O$2186*$X$2186</f>
        <v>2917.24046</v>
      </c>
      <c r="AE2186" s="6">
        <f>$K$2186*$Y$2186</f>
        <v>0</v>
      </c>
      <c r="AF2186" s="6">
        <f ca="1">$M$2186*$Z$2186</f>
        <v>5446.3227069109253</v>
      </c>
      <c r="AG2186" s="6">
        <f>$O$2186*$AA$2186</f>
        <v>3587.9584632112746</v>
      </c>
    </row>
    <row r="2187" spans="1:33" ht="11.25" customHeight="1" x14ac:dyDescent="0.25">
      <c r="A2187" s="4" t="s">
        <v>21</v>
      </c>
      <c r="B2187" s="4" t="s">
        <v>41</v>
      </c>
      <c r="C2187" s="4" t="s">
        <v>39</v>
      </c>
      <c r="D2187" s="4" t="s">
        <v>42</v>
      </c>
      <c r="E2187" s="4" t="s">
        <v>25</v>
      </c>
      <c r="F2187" s="4" t="s">
        <v>25</v>
      </c>
      <c r="G2187" s="4" t="s">
        <v>25</v>
      </c>
      <c r="H2187" s="4" t="s">
        <v>38</v>
      </c>
      <c r="I2187" s="5">
        <v>44378</v>
      </c>
      <c r="J2187" s="6">
        <v>0</v>
      </c>
      <c r="K2187" s="6">
        <v>0</v>
      </c>
      <c r="L2187" s="6">
        <v>7.3280000000000003</v>
      </c>
      <c r="M2187" s="6">
        <v>7.3280000000000003</v>
      </c>
      <c r="N2187" s="6">
        <v>7.3280000000000003</v>
      </c>
      <c r="O2187" s="6">
        <v>7.3280000000000003</v>
      </c>
      <c r="P2187" s="6">
        <v>0</v>
      </c>
      <c r="Q2187" s="4" t="s">
        <v>26</v>
      </c>
      <c r="R2187" s="4">
        <v>0</v>
      </c>
      <c r="S2187" s="6">
        <v>0</v>
      </c>
      <c r="T2187" s="6">
        <v>71</v>
      </c>
      <c r="U2187" s="6">
        <v>77</v>
      </c>
      <c r="V2187" s="6">
        <f>IF(ISERROR(VLOOKUP($S$2187,'TAR FIN'!$A$1:$O$95,15,0)),0,VLOOKUP($S$2187,'TAR FIN'!$A$1:$O$95,15,0))</f>
        <v>0</v>
      </c>
      <c r="W2187" s="6">
        <f>IF(ISERROR(VLOOKUP($T$2187,'TAR FIN'!$A$1:$O$95,15,0)),0,VLOOKUP($T$2187,'TAR FIN'!$A$1:$O$95,15,0))</f>
        <v>381.34</v>
      </c>
      <c r="X2187" s="6">
        <f>IF(ISERROR(VLOOKUP($U$2187,'TAR FIN'!$A$1:$O$95,15,0)),0,VLOOKUP($U$2187,'TAR FIN'!$A$1:$O$95,15,0))</f>
        <v>230.03</v>
      </c>
      <c r="Y2187" s="6"/>
      <c r="Z2187" s="6">
        <f ca="1">('TUSD BE'!$AM$52+'TUSD BF'!$AM$52+'TUSD CVA'!$AM$52)*1</f>
        <v>429.45298114736829</v>
      </c>
      <c r="AA2187" s="6">
        <f>('TE BE'!$AA$40+'TE BF'!$AA$40+'TE CVA'!$AA$40)*1</f>
        <v>282.91739971702214</v>
      </c>
      <c r="AB2187" s="6">
        <f>$K$2187*$V$2187</f>
        <v>0</v>
      </c>
      <c r="AC2187" s="6">
        <f>$M$2187*$W$2187</f>
        <v>2794.4595199999999</v>
      </c>
      <c r="AD2187" s="6">
        <f>$O$2187*$X$2187</f>
        <v>1685.65984</v>
      </c>
      <c r="AE2187" s="6">
        <f>$K$2187*$Y$2187</f>
        <v>0</v>
      </c>
      <c r="AF2187" s="6">
        <f ca="1">$M$2187*$Z$2187</f>
        <v>3147.0314458479152</v>
      </c>
      <c r="AG2187" s="6">
        <f>$O$2187*$AA$2187</f>
        <v>2073.2187051263381</v>
      </c>
    </row>
    <row r="2188" spans="1:33" ht="11.25" customHeight="1" x14ac:dyDescent="0.25">
      <c r="A2188" s="4" t="s">
        <v>21</v>
      </c>
      <c r="B2188" s="4" t="s">
        <v>41</v>
      </c>
      <c r="C2188" s="4" t="s">
        <v>39</v>
      </c>
      <c r="D2188" s="4" t="s">
        <v>42</v>
      </c>
      <c r="E2188" s="4" t="s">
        <v>25</v>
      </c>
      <c r="F2188" s="4" t="s">
        <v>25</v>
      </c>
      <c r="G2188" s="4" t="s">
        <v>25</v>
      </c>
      <c r="H2188" s="4" t="s">
        <v>38</v>
      </c>
      <c r="I2188" s="5">
        <v>44409</v>
      </c>
      <c r="J2188" s="6">
        <v>0</v>
      </c>
      <c r="K2188" s="6">
        <v>0</v>
      </c>
      <c r="L2188" s="6">
        <v>8.6489999999999991</v>
      </c>
      <c r="M2188" s="6">
        <v>8.6489999999999991</v>
      </c>
      <c r="N2188" s="6">
        <v>8.6489999999999991</v>
      </c>
      <c r="O2188" s="6">
        <v>8.6489999999999991</v>
      </c>
      <c r="P2188" s="6">
        <v>0</v>
      </c>
      <c r="Q2188" s="4" t="s">
        <v>26</v>
      </c>
      <c r="R2188" s="4">
        <v>0</v>
      </c>
      <c r="S2188" s="6">
        <v>0</v>
      </c>
      <c r="T2188" s="6">
        <v>71</v>
      </c>
      <c r="U2188" s="6">
        <v>77</v>
      </c>
      <c r="V2188" s="6">
        <f>IF(ISERROR(VLOOKUP($S$2188,'TAR FIN'!$A$1:$O$95,15,0)),0,VLOOKUP($S$2188,'TAR FIN'!$A$1:$O$95,15,0))</f>
        <v>0</v>
      </c>
      <c r="W2188" s="6">
        <f>IF(ISERROR(VLOOKUP($T$2188,'TAR FIN'!$A$1:$O$95,15,0)),0,VLOOKUP($T$2188,'TAR FIN'!$A$1:$O$95,15,0))</f>
        <v>381.34</v>
      </c>
      <c r="X2188" s="6">
        <f>IF(ISERROR(VLOOKUP($U$2188,'TAR FIN'!$A$1:$O$95,15,0)),0,VLOOKUP($U$2188,'TAR FIN'!$A$1:$O$95,15,0))</f>
        <v>230.03</v>
      </c>
      <c r="Y2188" s="6"/>
      <c r="Z2188" s="6">
        <f ca="1">('TUSD BE'!$AM$52+'TUSD BF'!$AM$52+'TUSD CVA'!$AM$52)*1</f>
        <v>429.45298114736829</v>
      </c>
      <c r="AA2188" s="6">
        <f>('TE BE'!$AA$40+'TE BF'!$AA$40+'TE CVA'!$AA$40)*1</f>
        <v>282.91739971702214</v>
      </c>
      <c r="AB2188" s="6">
        <f>$K$2188*$V$2188</f>
        <v>0</v>
      </c>
      <c r="AC2188" s="6">
        <f>$M$2188*$W$2188</f>
        <v>3298.2096599999995</v>
      </c>
      <c r="AD2188" s="6">
        <f>$O$2188*$X$2188</f>
        <v>1989.5294699999997</v>
      </c>
      <c r="AE2188" s="6">
        <f>$K$2188*$Y$2188</f>
        <v>0</v>
      </c>
      <c r="AF2188" s="6">
        <f ca="1">$M$2188*$Z$2188</f>
        <v>3714.3388339435878</v>
      </c>
      <c r="AG2188" s="6">
        <f>$O$2188*$AA$2188</f>
        <v>2446.9525901525244</v>
      </c>
    </row>
    <row r="2189" spans="1:33" ht="11.25" customHeight="1" x14ac:dyDescent="0.25">
      <c r="A2189" s="4" t="s">
        <v>21</v>
      </c>
      <c r="B2189" s="4" t="s">
        <v>41</v>
      </c>
      <c r="C2189" s="4" t="s">
        <v>39</v>
      </c>
      <c r="D2189" s="4" t="s">
        <v>42</v>
      </c>
      <c r="E2189" s="4" t="s">
        <v>25</v>
      </c>
      <c r="F2189" s="4" t="s">
        <v>25</v>
      </c>
      <c r="G2189" s="4" t="s">
        <v>25</v>
      </c>
      <c r="H2189" s="4" t="s">
        <v>38</v>
      </c>
      <c r="I2189" s="5">
        <v>44440</v>
      </c>
      <c r="J2189" s="6">
        <v>0</v>
      </c>
      <c r="K2189" s="6">
        <v>0</v>
      </c>
      <c r="L2189" s="6">
        <v>9.9730000000000008</v>
      </c>
      <c r="M2189" s="6">
        <v>9.9730000000000008</v>
      </c>
      <c r="N2189" s="6">
        <v>9.9730000000000008</v>
      </c>
      <c r="O2189" s="6">
        <v>9.9730000000000008</v>
      </c>
      <c r="P2189" s="6">
        <v>0</v>
      </c>
      <c r="Q2189" s="4" t="s">
        <v>26</v>
      </c>
      <c r="R2189" s="4">
        <v>0</v>
      </c>
      <c r="S2189" s="6">
        <v>0</v>
      </c>
      <c r="T2189" s="6">
        <v>71</v>
      </c>
      <c r="U2189" s="6">
        <v>77</v>
      </c>
      <c r="V2189" s="6">
        <f>IF(ISERROR(VLOOKUP($S$2189,'TAR FIN'!$A$1:$O$95,15,0)),0,VLOOKUP($S$2189,'TAR FIN'!$A$1:$O$95,15,0))</f>
        <v>0</v>
      </c>
      <c r="W2189" s="6">
        <f>IF(ISERROR(VLOOKUP($T$2189,'TAR FIN'!$A$1:$O$95,15,0)),0,VLOOKUP($T$2189,'TAR FIN'!$A$1:$O$95,15,0))</f>
        <v>381.34</v>
      </c>
      <c r="X2189" s="6">
        <f>IF(ISERROR(VLOOKUP($U$2189,'TAR FIN'!$A$1:$O$95,15,0)),0,VLOOKUP($U$2189,'TAR FIN'!$A$1:$O$95,15,0))</f>
        <v>230.03</v>
      </c>
      <c r="Y2189" s="6"/>
      <c r="Z2189" s="6">
        <f ca="1">('TUSD BE'!$AM$52+'TUSD BF'!$AM$52+'TUSD CVA'!$AM$52)*1</f>
        <v>429.45298114736829</v>
      </c>
      <c r="AA2189" s="6">
        <f>('TE BE'!$AA$40+'TE BF'!$AA$40+'TE CVA'!$AA$40)*1</f>
        <v>282.91739971702214</v>
      </c>
      <c r="AB2189" s="6">
        <f>$K$2189*$V$2189</f>
        <v>0</v>
      </c>
      <c r="AC2189" s="6">
        <f>$M$2189*$W$2189</f>
        <v>3803.1038199999998</v>
      </c>
      <c r="AD2189" s="6">
        <f>$O$2189*$X$2189</f>
        <v>2294.0891900000001</v>
      </c>
      <c r="AE2189" s="6">
        <f>$K$2189*$Y$2189</f>
        <v>0</v>
      </c>
      <c r="AF2189" s="6">
        <f ca="1">$M$2189*$Z$2189</f>
        <v>4282.9345809827046</v>
      </c>
      <c r="AG2189" s="6">
        <f>$O$2189*$AA$2189</f>
        <v>2821.5352273778622</v>
      </c>
    </row>
    <row r="2190" spans="1:33" ht="11.25" customHeight="1" x14ac:dyDescent="0.25">
      <c r="A2190" s="4" t="s">
        <v>59</v>
      </c>
      <c r="B2190" s="4" t="s">
        <v>41</v>
      </c>
      <c r="C2190" s="4" t="s">
        <v>39</v>
      </c>
      <c r="D2190" s="4" t="s">
        <v>42</v>
      </c>
      <c r="E2190" s="4" t="s">
        <v>25</v>
      </c>
      <c r="F2190" s="4" t="s">
        <v>25</v>
      </c>
      <c r="G2190" s="4" t="s">
        <v>25</v>
      </c>
      <c r="H2190" s="4" t="s">
        <v>38</v>
      </c>
      <c r="I2190" s="5">
        <v>44470</v>
      </c>
      <c r="J2190" s="6">
        <v>0</v>
      </c>
      <c r="K2190" s="6">
        <v>0</v>
      </c>
      <c r="L2190" s="6">
        <v>9.9730000000000008</v>
      </c>
      <c r="M2190" s="6">
        <v>9.9730000000000008</v>
      </c>
      <c r="N2190" s="6">
        <v>9.9730000000000008</v>
      </c>
      <c r="O2190" s="6">
        <v>9.9730000000000008</v>
      </c>
      <c r="P2190" s="6">
        <v>0</v>
      </c>
      <c r="Q2190" s="4" t="s">
        <v>26</v>
      </c>
      <c r="R2190" s="4">
        <v>0</v>
      </c>
      <c r="S2190" s="6">
        <v>0</v>
      </c>
      <c r="T2190" s="6">
        <v>71</v>
      </c>
      <c r="U2190" s="6">
        <v>77</v>
      </c>
      <c r="V2190" s="6">
        <f>IF(ISERROR(VLOOKUP($S$2190,'TAR FIN'!$A$1:$O$95,15,0)),0,VLOOKUP($S$2190,'TAR FIN'!$A$1:$O$95,15,0))</f>
        <v>0</v>
      </c>
      <c r="W2190" s="6">
        <f>IF(ISERROR(VLOOKUP($T$2190,'TAR FIN'!$A$1:$O$95,15,0)),0,VLOOKUP($T$2190,'TAR FIN'!$A$1:$O$95,15,0))</f>
        <v>381.34</v>
      </c>
      <c r="X2190" s="6">
        <f>IF(ISERROR(VLOOKUP($U$2190,'TAR FIN'!$A$1:$O$95,15,0)),0,VLOOKUP($U$2190,'TAR FIN'!$A$1:$O$95,15,0))</f>
        <v>230.03</v>
      </c>
      <c r="Y2190" s="6"/>
      <c r="Z2190" s="6">
        <f ca="1">('TUSD BE'!$AM$52+'TUSD BF'!$AM$52+'TUSD CVA'!$AM$52)*1</f>
        <v>429.45298114736829</v>
      </c>
      <c r="AA2190" s="6">
        <f>('TE BE'!$AA$40+'TE BF'!$AA$40+'TE CVA'!$AA$40)*1</f>
        <v>282.91739971702214</v>
      </c>
      <c r="AB2190" s="6">
        <f>$K$2190*$V$2190</f>
        <v>0</v>
      </c>
      <c r="AC2190" s="6">
        <f>$M$2190*$W$2190</f>
        <v>3803.1038199999998</v>
      </c>
      <c r="AD2190" s="6">
        <f>$O$2190*$X$2190</f>
        <v>2294.0891900000001</v>
      </c>
      <c r="AE2190" s="6">
        <f>$K$2190*$Y$2190</f>
        <v>0</v>
      </c>
      <c r="AF2190" s="6">
        <f ca="1">$M$2190*$Z$2190</f>
        <v>4282.9345809827046</v>
      </c>
      <c r="AG2190" s="6">
        <f>$O$2190*$AA$2190</f>
        <v>2821.5352273778622</v>
      </c>
    </row>
    <row r="2191" spans="1:33" ht="11.25" customHeight="1" x14ac:dyDescent="0.25">
      <c r="A2191" s="4" t="s">
        <v>21</v>
      </c>
      <c r="B2191" s="4" t="s">
        <v>41</v>
      </c>
      <c r="C2191" s="4" t="s">
        <v>39</v>
      </c>
      <c r="D2191" s="4" t="s">
        <v>42</v>
      </c>
      <c r="E2191" s="4" t="s">
        <v>25</v>
      </c>
      <c r="F2191" s="4" t="s">
        <v>25</v>
      </c>
      <c r="G2191" s="4" t="s">
        <v>25</v>
      </c>
      <c r="H2191" s="4" t="s">
        <v>40</v>
      </c>
      <c r="I2191" s="5">
        <v>44136</v>
      </c>
      <c r="J2191" s="6">
        <v>0</v>
      </c>
      <c r="K2191" s="6">
        <v>0</v>
      </c>
      <c r="L2191" s="6">
        <v>2.4E-2</v>
      </c>
      <c r="M2191" s="6">
        <v>2.4E-2</v>
      </c>
      <c r="N2191" s="6">
        <v>2.4E-2</v>
      </c>
      <c r="O2191" s="6">
        <v>2.4E-2</v>
      </c>
      <c r="P2191" s="6">
        <v>0</v>
      </c>
      <c r="Q2191" s="4" t="s">
        <v>26</v>
      </c>
      <c r="R2191" s="4">
        <v>0</v>
      </c>
      <c r="S2191" s="6">
        <v>0</v>
      </c>
      <c r="T2191" s="6">
        <v>75</v>
      </c>
      <c r="U2191" s="6">
        <v>76</v>
      </c>
      <c r="V2191" s="6">
        <f>IF(ISERROR(VLOOKUP($S$2191,'TAR FIN'!$A$1:$O$95,15,0)),0,VLOOKUP($S$2191,'TAR FIN'!$A$1:$O$95,15,0))</f>
        <v>0</v>
      </c>
      <c r="W2191" s="6">
        <f>IF(ISERROR(VLOOKUP($T$2191,'TAR FIN'!$A$1:$O$95,15,0)),0,VLOOKUP($T$2191,'TAR FIN'!$A$1:$O$95,15,0))</f>
        <v>735.45</v>
      </c>
      <c r="X2191" s="6">
        <f>IF(ISERROR(VLOOKUP($U$2191,'TAR FIN'!$A$1:$O$95,15,0)),0,VLOOKUP($U$2191,'TAR FIN'!$A$1:$O$95,15,0))</f>
        <v>230.03</v>
      </c>
      <c r="Y2191" s="6"/>
      <c r="Z2191" s="6">
        <f ca="1">('TUSD BE'!$AM$51+'TUSD BF'!$AM$51+'TUSD CVA'!$AM$51)*1</f>
        <v>825.79679216117552</v>
      </c>
      <c r="AA2191" s="6">
        <f>('TE BE'!$AA$39+'TE BF'!$AA$39+'TE CVA'!$AA$39)*1</f>
        <v>282.91739971702214</v>
      </c>
      <c r="AB2191" s="6">
        <f>$K$2191*$V$2191</f>
        <v>0</v>
      </c>
      <c r="AC2191" s="6">
        <f>$M$2191*$W$2191</f>
        <v>17.6508</v>
      </c>
      <c r="AD2191" s="6">
        <f>$O$2191*$X$2191</f>
        <v>5.5207199999999998</v>
      </c>
      <c r="AE2191" s="6">
        <f>$K$2191*$Y$2191</f>
        <v>0</v>
      </c>
      <c r="AF2191" s="6">
        <f ca="1">$M$2191*$Z$2191</f>
        <v>19.819123011868214</v>
      </c>
      <c r="AG2191" s="6">
        <f>$O$2191*$AA$2191</f>
        <v>6.7900175932085318</v>
      </c>
    </row>
    <row r="2192" spans="1:33" ht="11.25" customHeight="1" x14ac:dyDescent="0.25">
      <c r="A2192" s="4" t="s">
        <v>21</v>
      </c>
      <c r="B2192" s="4" t="s">
        <v>41</v>
      </c>
      <c r="C2192" s="4" t="s">
        <v>39</v>
      </c>
      <c r="D2192" s="4" t="s">
        <v>42</v>
      </c>
      <c r="E2192" s="4" t="s">
        <v>25</v>
      </c>
      <c r="F2192" s="4" t="s">
        <v>25</v>
      </c>
      <c r="G2192" s="4" t="s">
        <v>25</v>
      </c>
      <c r="H2192" s="4" t="s">
        <v>40</v>
      </c>
      <c r="I2192" s="5">
        <v>44166</v>
      </c>
      <c r="J2192" s="6">
        <v>0</v>
      </c>
      <c r="K2192" s="6">
        <v>0</v>
      </c>
      <c r="L2192" s="6">
        <v>1.821</v>
      </c>
      <c r="M2192" s="6">
        <v>1.821</v>
      </c>
      <c r="N2192" s="6">
        <v>1.821</v>
      </c>
      <c r="O2192" s="6">
        <v>1.821</v>
      </c>
      <c r="P2192" s="6">
        <v>0</v>
      </c>
      <c r="Q2192" s="4" t="s">
        <v>26</v>
      </c>
      <c r="R2192" s="4">
        <v>0</v>
      </c>
      <c r="S2192" s="6">
        <v>0</v>
      </c>
      <c r="T2192" s="6">
        <v>75</v>
      </c>
      <c r="U2192" s="6">
        <v>76</v>
      </c>
      <c r="V2192" s="6">
        <f>IF(ISERROR(VLOOKUP($S$2192,'TAR FIN'!$A$1:$O$95,15,0)),0,VLOOKUP($S$2192,'TAR FIN'!$A$1:$O$95,15,0))</f>
        <v>0</v>
      </c>
      <c r="W2192" s="6">
        <f>IF(ISERROR(VLOOKUP($T$2192,'TAR FIN'!$A$1:$O$95,15,0)),0,VLOOKUP($T$2192,'TAR FIN'!$A$1:$O$95,15,0))</f>
        <v>735.45</v>
      </c>
      <c r="X2192" s="6">
        <f>IF(ISERROR(VLOOKUP($U$2192,'TAR FIN'!$A$1:$O$95,15,0)),0,VLOOKUP($U$2192,'TAR FIN'!$A$1:$O$95,15,0))</f>
        <v>230.03</v>
      </c>
      <c r="Y2192" s="6"/>
      <c r="Z2192" s="6">
        <f ca="1">('TUSD BE'!$AM$51+'TUSD BF'!$AM$51+'TUSD CVA'!$AM$51)*1</f>
        <v>825.79679216117552</v>
      </c>
      <c r="AA2192" s="6">
        <f>('TE BE'!$AA$39+'TE BF'!$AA$39+'TE CVA'!$AA$39)*1</f>
        <v>282.91739971702214</v>
      </c>
      <c r="AB2192" s="6">
        <f>$K$2192*$V$2192</f>
        <v>0</v>
      </c>
      <c r="AC2192" s="6">
        <f>$M$2192*$W$2192</f>
        <v>1339.2544500000001</v>
      </c>
      <c r="AD2192" s="6">
        <f>$O$2192*$X$2192</f>
        <v>418.88463000000002</v>
      </c>
      <c r="AE2192" s="6">
        <f>$K$2192*$Y$2192</f>
        <v>0</v>
      </c>
      <c r="AF2192" s="6">
        <f ca="1">$M$2192*$Z$2192</f>
        <v>1503.7759585255005</v>
      </c>
      <c r="AG2192" s="6">
        <f>$O$2192*$AA$2192</f>
        <v>515.19258488469734</v>
      </c>
    </row>
    <row r="2193" spans="1:33" ht="11.25" customHeight="1" x14ac:dyDescent="0.25">
      <c r="A2193" s="4" t="s">
        <v>21</v>
      </c>
      <c r="B2193" s="4" t="s">
        <v>41</v>
      </c>
      <c r="C2193" s="4" t="s">
        <v>39</v>
      </c>
      <c r="D2193" s="4" t="s">
        <v>42</v>
      </c>
      <c r="E2193" s="4" t="s">
        <v>25</v>
      </c>
      <c r="F2193" s="4" t="s">
        <v>25</v>
      </c>
      <c r="G2193" s="4" t="s">
        <v>25</v>
      </c>
      <c r="H2193" s="4" t="s">
        <v>40</v>
      </c>
      <c r="I2193" s="5">
        <v>44197</v>
      </c>
      <c r="J2193" s="6">
        <v>0</v>
      </c>
      <c r="K2193" s="6">
        <v>0</v>
      </c>
      <c r="L2193" s="6">
        <v>0.15</v>
      </c>
      <c r="M2193" s="6">
        <v>0.15</v>
      </c>
      <c r="N2193" s="6">
        <v>0.15</v>
      </c>
      <c r="O2193" s="6">
        <v>0.15</v>
      </c>
      <c r="P2193" s="6">
        <v>0</v>
      </c>
      <c r="Q2193" s="4" t="s">
        <v>26</v>
      </c>
      <c r="R2193" s="4">
        <v>0</v>
      </c>
      <c r="S2193" s="6">
        <v>0</v>
      </c>
      <c r="T2193" s="6">
        <v>75</v>
      </c>
      <c r="U2193" s="6">
        <v>76</v>
      </c>
      <c r="V2193" s="6">
        <f>IF(ISERROR(VLOOKUP($S$2193,'TAR FIN'!$A$1:$O$95,15,0)),0,VLOOKUP($S$2193,'TAR FIN'!$A$1:$O$95,15,0))</f>
        <v>0</v>
      </c>
      <c r="W2193" s="6">
        <f>IF(ISERROR(VLOOKUP($T$2193,'TAR FIN'!$A$1:$O$95,15,0)),0,VLOOKUP($T$2193,'TAR FIN'!$A$1:$O$95,15,0))</f>
        <v>735.45</v>
      </c>
      <c r="X2193" s="6">
        <f>IF(ISERROR(VLOOKUP($U$2193,'TAR FIN'!$A$1:$O$95,15,0)),0,VLOOKUP($U$2193,'TAR FIN'!$A$1:$O$95,15,0))</f>
        <v>230.03</v>
      </c>
      <c r="Y2193" s="6"/>
      <c r="Z2193" s="6">
        <f ca="1">('TUSD BE'!$AM$51+'TUSD BF'!$AM$51+'TUSD CVA'!$AM$51)*1</f>
        <v>825.79679216117552</v>
      </c>
      <c r="AA2193" s="6">
        <f>('TE BE'!$AA$39+'TE BF'!$AA$39+'TE CVA'!$AA$39)*1</f>
        <v>282.91739971702214</v>
      </c>
      <c r="AB2193" s="6">
        <f>$K$2193*$V$2193</f>
        <v>0</v>
      </c>
      <c r="AC2193" s="6">
        <f>$M$2193*$W$2193</f>
        <v>110.31750000000001</v>
      </c>
      <c r="AD2193" s="6">
        <f>$O$2193*$X$2193</f>
        <v>34.5045</v>
      </c>
      <c r="AE2193" s="6">
        <f>$K$2193*$Y$2193</f>
        <v>0</v>
      </c>
      <c r="AF2193" s="6">
        <f ca="1">$M$2193*$Z$2193</f>
        <v>123.86951882417632</v>
      </c>
      <c r="AG2193" s="6">
        <f>$O$2193*$AA$2193</f>
        <v>42.43760995755332</v>
      </c>
    </row>
    <row r="2194" spans="1:33" ht="11.25" customHeight="1" x14ac:dyDescent="0.25">
      <c r="A2194" s="4" t="s">
        <v>21</v>
      </c>
      <c r="B2194" s="4" t="s">
        <v>41</v>
      </c>
      <c r="C2194" s="4" t="s">
        <v>39</v>
      </c>
      <c r="D2194" s="4" t="s">
        <v>42</v>
      </c>
      <c r="E2194" s="4" t="s">
        <v>25</v>
      </c>
      <c r="F2194" s="4" t="s">
        <v>25</v>
      </c>
      <c r="G2194" s="4" t="s">
        <v>25</v>
      </c>
      <c r="H2194" s="4" t="s">
        <v>40</v>
      </c>
      <c r="I2194" s="5">
        <v>44228</v>
      </c>
      <c r="J2194" s="6">
        <v>0</v>
      </c>
      <c r="K2194" s="6">
        <v>0</v>
      </c>
      <c r="L2194" s="6">
        <v>0.11899999999999999</v>
      </c>
      <c r="M2194" s="6">
        <v>0.11899999999999999</v>
      </c>
      <c r="N2194" s="6">
        <v>0.11899999999999999</v>
      </c>
      <c r="O2194" s="6">
        <v>0.11899999999999999</v>
      </c>
      <c r="P2194" s="6">
        <v>0</v>
      </c>
      <c r="Q2194" s="4" t="s">
        <v>26</v>
      </c>
      <c r="R2194" s="4">
        <v>0</v>
      </c>
      <c r="S2194" s="6">
        <v>0</v>
      </c>
      <c r="T2194" s="6">
        <v>75</v>
      </c>
      <c r="U2194" s="6">
        <v>76</v>
      </c>
      <c r="V2194" s="6">
        <f>IF(ISERROR(VLOOKUP($S$2194,'TAR FIN'!$A$1:$O$95,15,0)),0,VLOOKUP($S$2194,'TAR FIN'!$A$1:$O$95,15,0))</f>
        <v>0</v>
      </c>
      <c r="W2194" s="6">
        <f>IF(ISERROR(VLOOKUP($T$2194,'TAR FIN'!$A$1:$O$95,15,0)),0,VLOOKUP($T$2194,'TAR FIN'!$A$1:$O$95,15,0))</f>
        <v>735.45</v>
      </c>
      <c r="X2194" s="6">
        <f>IF(ISERROR(VLOOKUP($U$2194,'TAR FIN'!$A$1:$O$95,15,0)),0,VLOOKUP($U$2194,'TAR FIN'!$A$1:$O$95,15,0))</f>
        <v>230.03</v>
      </c>
      <c r="Y2194" s="6"/>
      <c r="Z2194" s="6">
        <f ca="1">('TUSD BE'!$AM$51+'TUSD BF'!$AM$51+'TUSD CVA'!$AM$51)*1</f>
        <v>825.79679216117552</v>
      </c>
      <c r="AA2194" s="6">
        <f>('TE BE'!$AA$39+'TE BF'!$AA$39+'TE CVA'!$AA$39)*1</f>
        <v>282.91739971702214</v>
      </c>
      <c r="AB2194" s="6">
        <f>$K$2194*$V$2194</f>
        <v>0</v>
      </c>
      <c r="AC2194" s="6">
        <f>$M$2194*$W$2194</f>
        <v>87.518550000000005</v>
      </c>
      <c r="AD2194" s="6">
        <f>$O$2194*$X$2194</f>
        <v>27.373569999999997</v>
      </c>
      <c r="AE2194" s="6">
        <f>$K$2194*$Y$2194</f>
        <v>0</v>
      </c>
      <c r="AF2194" s="6">
        <f ca="1">$M$2194*$Z$2194</f>
        <v>98.269818267179886</v>
      </c>
      <c r="AG2194" s="6">
        <f>$O$2194*$AA$2194</f>
        <v>33.66717056632563</v>
      </c>
    </row>
    <row r="2195" spans="1:33" ht="11.25" customHeight="1" x14ac:dyDescent="0.25">
      <c r="A2195" s="4" t="s">
        <v>21</v>
      </c>
      <c r="B2195" s="4" t="s">
        <v>41</v>
      </c>
      <c r="C2195" s="4" t="s">
        <v>39</v>
      </c>
      <c r="D2195" s="4" t="s">
        <v>42</v>
      </c>
      <c r="E2195" s="4" t="s">
        <v>25</v>
      </c>
      <c r="F2195" s="4" t="s">
        <v>25</v>
      </c>
      <c r="G2195" s="4" t="s">
        <v>25</v>
      </c>
      <c r="H2195" s="4" t="s">
        <v>40</v>
      </c>
      <c r="I2195" s="5">
        <v>44256</v>
      </c>
      <c r="J2195" s="6">
        <v>0</v>
      </c>
      <c r="K2195" s="6">
        <v>0</v>
      </c>
      <c r="L2195" s="6">
        <v>0.14699999999999999</v>
      </c>
      <c r="M2195" s="6">
        <v>0.14699999999999999</v>
      </c>
      <c r="N2195" s="6">
        <v>0.14699999999999999</v>
      </c>
      <c r="O2195" s="6">
        <v>0.14699999999999999</v>
      </c>
      <c r="P2195" s="6">
        <v>0</v>
      </c>
      <c r="Q2195" s="4" t="s">
        <v>26</v>
      </c>
      <c r="R2195" s="4">
        <v>0</v>
      </c>
      <c r="S2195" s="6">
        <v>0</v>
      </c>
      <c r="T2195" s="6">
        <v>75</v>
      </c>
      <c r="U2195" s="6">
        <v>76</v>
      </c>
      <c r="V2195" s="6">
        <f>IF(ISERROR(VLOOKUP($S$2195,'TAR FIN'!$A$1:$O$95,15,0)),0,VLOOKUP($S$2195,'TAR FIN'!$A$1:$O$95,15,0))</f>
        <v>0</v>
      </c>
      <c r="W2195" s="6">
        <f>IF(ISERROR(VLOOKUP($T$2195,'TAR FIN'!$A$1:$O$95,15,0)),0,VLOOKUP($T$2195,'TAR FIN'!$A$1:$O$95,15,0))</f>
        <v>735.45</v>
      </c>
      <c r="X2195" s="6">
        <f>IF(ISERROR(VLOOKUP($U$2195,'TAR FIN'!$A$1:$O$95,15,0)),0,VLOOKUP($U$2195,'TAR FIN'!$A$1:$O$95,15,0))</f>
        <v>230.03</v>
      </c>
      <c r="Y2195" s="6"/>
      <c r="Z2195" s="6">
        <f ca="1">('TUSD BE'!$AM$51+'TUSD BF'!$AM$51+'TUSD CVA'!$AM$51)*1</f>
        <v>825.79679216117552</v>
      </c>
      <c r="AA2195" s="6">
        <f>('TE BE'!$AA$39+'TE BF'!$AA$39+'TE CVA'!$AA$39)*1</f>
        <v>282.91739971702214</v>
      </c>
      <c r="AB2195" s="6">
        <f>$K$2195*$V$2195</f>
        <v>0</v>
      </c>
      <c r="AC2195" s="6">
        <f>$M$2195*$W$2195</f>
        <v>108.11114999999999</v>
      </c>
      <c r="AD2195" s="6">
        <f>$O$2195*$X$2195</f>
        <v>33.814409999999995</v>
      </c>
      <c r="AE2195" s="6">
        <f>$K$2195*$Y$2195</f>
        <v>0</v>
      </c>
      <c r="AF2195" s="6">
        <f ca="1">$M$2195*$Z$2195</f>
        <v>121.3921284476928</v>
      </c>
      <c r="AG2195" s="6">
        <f>$O$2195*$AA$2195</f>
        <v>41.588857758402249</v>
      </c>
    </row>
    <row r="2196" spans="1:33" ht="11.25" customHeight="1" x14ac:dyDescent="0.25">
      <c r="A2196" s="4" t="s">
        <v>21</v>
      </c>
      <c r="B2196" s="4" t="s">
        <v>41</v>
      </c>
      <c r="C2196" s="4" t="s">
        <v>39</v>
      </c>
      <c r="D2196" s="4" t="s">
        <v>42</v>
      </c>
      <c r="E2196" s="4" t="s">
        <v>25</v>
      </c>
      <c r="F2196" s="4" t="s">
        <v>25</v>
      </c>
      <c r="G2196" s="4" t="s">
        <v>25</v>
      </c>
      <c r="H2196" s="4" t="s">
        <v>40</v>
      </c>
      <c r="I2196" s="5">
        <v>44287</v>
      </c>
      <c r="J2196" s="6">
        <v>0</v>
      </c>
      <c r="K2196" s="6">
        <v>0</v>
      </c>
      <c r="L2196" s="6">
        <v>0.14399999999999999</v>
      </c>
      <c r="M2196" s="6">
        <v>0.14399999999999999</v>
      </c>
      <c r="N2196" s="6">
        <v>0.14399999999999999</v>
      </c>
      <c r="O2196" s="6">
        <v>0.14399999999999999</v>
      </c>
      <c r="P2196" s="6">
        <v>0</v>
      </c>
      <c r="Q2196" s="4" t="s">
        <v>26</v>
      </c>
      <c r="R2196" s="4">
        <v>0</v>
      </c>
      <c r="S2196" s="6">
        <v>0</v>
      </c>
      <c r="T2196" s="6">
        <v>75</v>
      </c>
      <c r="U2196" s="6">
        <v>76</v>
      </c>
      <c r="V2196" s="6">
        <f>IF(ISERROR(VLOOKUP($S$2196,'TAR FIN'!$A$1:$O$95,15,0)),0,VLOOKUP($S$2196,'TAR FIN'!$A$1:$O$95,15,0))</f>
        <v>0</v>
      </c>
      <c r="W2196" s="6">
        <f>IF(ISERROR(VLOOKUP($T$2196,'TAR FIN'!$A$1:$O$95,15,0)),0,VLOOKUP($T$2196,'TAR FIN'!$A$1:$O$95,15,0))</f>
        <v>735.45</v>
      </c>
      <c r="X2196" s="6">
        <f>IF(ISERROR(VLOOKUP($U$2196,'TAR FIN'!$A$1:$O$95,15,0)),0,VLOOKUP($U$2196,'TAR FIN'!$A$1:$O$95,15,0))</f>
        <v>230.03</v>
      </c>
      <c r="Y2196" s="6"/>
      <c r="Z2196" s="6">
        <f ca="1">('TUSD BE'!$AM$51+'TUSD BF'!$AM$51+'TUSD CVA'!$AM$51)*1</f>
        <v>825.79679216117552</v>
      </c>
      <c r="AA2196" s="6">
        <f>('TE BE'!$AA$39+'TE BF'!$AA$39+'TE CVA'!$AA$39)*1</f>
        <v>282.91739971702214</v>
      </c>
      <c r="AB2196" s="6">
        <f>$K$2196*$V$2196</f>
        <v>0</v>
      </c>
      <c r="AC2196" s="6">
        <f>$M$2196*$W$2196</f>
        <v>105.90479999999999</v>
      </c>
      <c r="AD2196" s="6">
        <f>$O$2196*$X$2196</f>
        <v>33.124319999999997</v>
      </c>
      <c r="AE2196" s="6">
        <f>$K$2196*$Y$2196</f>
        <v>0</v>
      </c>
      <c r="AF2196" s="6">
        <f ca="1">$M$2196*$Z$2196</f>
        <v>118.91473807120927</v>
      </c>
      <c r="AG2196" s="6">
        <f>$O$2196*$AA$2196</f>
        <v>40.740105559251184</v>
      </c>
    </row>
    <row r="2197" spans="1:33" ht="11.25" customHeight="1" x14ac:dyDescent="0.25">
      <c r="A2197" s="4" t="s">
        <v>21</v>
      </c>
      <c r="B2197" s="4" t="s">
        <v>41</v>
      </c>
      <c r="C2197" s="4" t="s">
        <v>39</v>
      </c>
      <c r="D2197" s="4" t="s">
        <v>42</v>
      </c>
      <c r="E2197" s="4" t="s">
        <v>25</v>
      </c>
      <c r="F2197" s="4" t="s">
        <v>25</v>
      </c>
      <c r="G2197" s="4" t="s">
        <v>25</v>
      </c>
      <c r="H2197" s="4" t="s">
        <v>40</v>
      </c>
      <c r="I2197" s="5">
        <v>44317</v>
      </c>
      <c r="J2197" s="6">
        <v>0</v>
      </c>
      <c r="K2197" s="6">
        <v>0</v>
      </c>
      <c r="L2197" s="6">
        <v>0.14899999999999999</v>
      </c>
      <c r="M2197" s="6">
        <v>0.14899999999999999</v>
      </c>
      <c r="N2197" s="6">
        <v>0.14899999999999999</v>
      </c>
      <c r="O2197" s="6">
        <v>0.14899999999999999</v>
      </c>
      <c r="P2197" s="6">
        <v>0</v>
      </c>
      <c r="Q2197" s="4" t="s">
        <v>26</v>
      </c>
      <c r="R2197" s="4">
        <v>0</v>
      </c>
      <c r="S2197" s="6">
        <v>0</v>
      </c>
      <c r="T2197" s="6">
        <v>75</v>
      </c>
      <c r="U2197" s="6">
        <v>76</v>
      </c>
      <c r="V2197" s="6">
        <f>IF(ISERROR(VLOOKUP($S$2197,'TAR FIN'!$A$1:$O$95,15,0)),0,VLOOKUP($S$2197,'TAR FIN'!$A$1:$O$95,15,0))</f>
        <v>0</v>
      </c>
      <c r="W2197" s="6">
        <f>IF(ISERROR(VLOOKUP($T$2197,'TAR FIN'!$A$1:$O$95,15,0)),0,VLOOKUP($T$2197,'TAR FIN'!$A$1:$O$95,15,0))</f>
        <v>735.45</v>
      </c>
      <c r="X2197" s="6">
        <f>IF(ISERROR(VLOOKUP($U$2197,'TAR FIN'!$A$1:$O$95,15,0)),0,VLOOKUP($U$2197,'TAR FIN'!$A$1:$O$95,15,0))</f>
        <v>230.03</v>
      </c>
      <c r="Y2197" s="6"/>
      <c r="Z2197" s="6">
        <f ca="1">('TUSD BE'!$AM$51+'TUSD BF'!$AM$51+'TUSD CVA'!$AM$51)*1</f>
        <v>825.79679216117552</v>
      </c>
      <c r="AA2197" s="6">
        <f>('TE BE'!$AA$39+'TE BF'!$AA$39+'TE CVA'!$AA$39)*1</f>
        <v>282.91739971702214</v>
      </c>
      <c r="AB2197" s="6">
        <f>$K$2197*$V$2197</f>
        <v>0</v>
      </c>
      <c r="AC2197" s="6">
        <f>$M$2197*$W$2197</f>
        <v>109.58205</v>
      </c>
      <c r="AD2197" s="6">
        <f>$O$2197*$X$2197</f>
        <v>34.274470000000001</v>
      </c>
      <c r="AE2197" s="6">
        <f>$K$2197*$Y$2197</f>
        <v>0</v>
      </c>
      <c r="AF2197" s="6">
        <f ca="1">$M$2197*$Z$2197</f>
        <v>123.04372203201514</v>
      </c>
      <c r="AG2197" s="6">
        <f>$O$2197*$AA$2197</f>
        <v>42.154692557836299</v>
      </c>
    </row>
    <row r="2198" spans="1:33" ht="11.25" customHeight="1" x14ac:dyDescent="0.25">
      <c r="A2198" s="4" t="s">
        <v>21</v>
      </c>
      <c r="B2198" s="4" t="s">
        <v>41</v>
      </c>
      <c r="C2198" s="4" t="s">
        <v>39</v>
      </c>
      <c r="D2198" s="4" t="s">
        <v>42</v>
      </c>
      <c r="E2198" s="4" t="s">
        <v>25</v>
      </c>
      <c r="F2198" s="4" t="s">
        <v>25</v>
      </c>
      <c r="G2198" s="4" t="s">
        <v>25</v>
      </c>
      <c r="H2198" s="4" t="s">
        <v>40</v>
      </c>
      <c r="I2198" s="5">
        <v>44348</v>
      </c>
      <c r="J2198" s="6">
        <v>0</v>
      </c>
      <c r="K2198" s="6">
        <v>0</v>
      </c>
      <c r="L2198" s="6">
        <v>0.16800000000000001</v>
      </c>
      <c r="M2198" s="6">
        <v>0.16800000000000001</v>
      </c>
      <c r="N2198" s="6">
        <v>0.16800000000000001</v>
      </c>
      <c r="O2198" s="6">
        <v>0.16800000000000001</v>
      </c>
      <c r="P2198" s="6">
        <v>0</v>
      </c>
      <c r="Q2198" s="4" t="s">
        <v>26</v>
      </c>
      <c r="R2198" s="4">
        <v>0</v>
      </c>
      <c r="S2198" s="6">
        <v>0</v>
      </c>
      <c r="T2198" s="6">
        <v>75</v>
      </c>
      <c r="U2198" s="6">
        <v>76</v>
      </c>
      <c r="V2198" s="6">
        <f>IF(ISERROR(VLOOKUP($S$2198,'TAR FIN'!$A$1:$O$95,15,0)),0,VLOOKUP($S$2198,'TAR FIN'!$A$1:$O$95,15,0))</f>
        <v>0</v>
      </c>
      <c r="W2198" s="6">
        <f>IF(ISERROR(VLOOKUP($T$2198,'TAR FIN'!$A$1:$O$95,15,0)),0,VLOOKUP($T$2198,'TAR FIN'!$A$1:$O$95,15,0))</f>
        <v>735.45</v>
      </c>
      <c r="X2198" s="6">
        <f>IF(ISERROR(VLOOKUP($U$2198,'TAR FIN'!$A$1:$O$95,15,0)),0,VLOOKUP($U$2198,'TAR FIN'!$A$1:$O$95,15,0))</f>
        <v>230.03</v>
      </c>
      <c r="Y2198" s="6"/>
      <c r="Z2198" s="6">
        <f ca="1">('TUSD BE'!$AM$51+'TUSD BF'!$AM$51+'TUSD CVA'!$AM$51)*1</f>
        <v>825.79679216117552</v>
      </c>
      <c r="AA2198" s="6">
        <f>('TE BE'!$AA$39+'TE BF'!$AA$39+'TE CVA'!$AA$39)*1</f>
        <v>282.91739971702214</v>
      </c>
      <c r="AB2198" s="6">
        <f>$K$2198*$V$2198</f>
        <v>0</v>
      </c>
      <c r="AC2198" s="6">
        <f>$M$2198*$W$2198</f>
        <v>123.55560000000001</v>
      </c>
      <c r="AD2198" s="6">
        <f>$O$2198*$X$2198</f>
        <v>38.645040000000002</v>
      </c>
      <c r="AE2198" s="6">
        <f>$K$2198*$Y$2198</f>
        <v>0</v>
      </c>
      <c r="AF2198" s="6">
        <f ca="1">$M$2198*$Z$2198</f>
        <v>138.7338610830775</v>
      </c>
      <c r="AG2198" s="6">
        <f>$O$2198*$AA$2198</f>
        <v>47.530123152459723</v>
      </c>
    </row>
    <row r="2199" spans="1:33" ht="11.25" customHeight="1" x14ac:dyDescent="0.25">
      <c r="A2199" s="4" t="s">
        <v>21</v>
      </c>
      <c r="B2199" s="4" t="s">
        <v>41</v>
      </c>
      <c r="C2199" s="4" t="s">
        <v>39</v>
      </c>
      <c r="D2199" s="4" t="s">
        <v>42</v>
      </c>
      <c r="E2199" s="4" t="s">
        <v>25</v>
      </c>
      <c r="F2199" s="4" t="s">
        <v>25</v>
      </c>
      <c r="G2199" s="4" t="s">
        <v>25</v>
      </c>
      <c r="H2199" s="4" t="s">
        <v>40</v>
      </c>
      <c r="I2199" s="5">
        <v>44378</v>
      </c>
      <c r="J2199" s="6">
        <v>0</v>
      </c>
      <c r="K2199" s="6">
        <v>0</v>
      </c>
      <c r="L2199" s="6">
        <v>0.09</v>
      </c>
      <c r="M2199" s="6">
        <v>0.09</v>
      </c>
      <c r="N2199" s="6">
        <v>0.09</v>
      </c>
      <c r="O2199" s="6">
        <v>0.09</v>
      </c>
      <c r="P2199" s="6">
        <v>0</v>
      </c>
      <c r="Q2199" s="4" t="s">
        <v>26</v>
      </c>
      <c r="R2199" s="4">
        <v>0</v>
      </c>
      <c r="S2199" s="6">
        <v>0</v>
      </c>
      <c r="T2199" s="6">
        <v>75</v>
      </c>
      <c r="U2199" s="6">
        <v>76</v>
      </c>
      <c r="V2199" s="6">
        <f>IF(ISERROR(VLOOKUP($S$2199,'TAR FIN'!$A$1:$O$95,15,0)),0,VLOOKUP($S$2199,'TAR FIN'!$A$1:$O$95,15,0))</f>
        <v>0</v>
      </c>
      <c r="W2199" s="6">
        <f>IF(ISERROR(VLOOKUP($T$2199,'TAR FIN'!$A$1:$O$95,15,0)),0,VLOOKUP($T$2199,'TAR FIN'!$A$1:$O$95,15,0))</f>
        <v>735.45</v>
      </c>
      <c r="X2199" s="6">
        <f>IF(ISERROR(VLOOKUP($U$2199,'TAR FIN'!$A$1:$O$95,15,0)),0,VLOOKUP($U$2199,'TAR FIN'!$A$1:$O$95,15,0))</f>
        <v>230.03</v>
      </c>
      <c r="Y2199" s="6"/>
      <c r="Z2199" s="6">
        <f ca="1">('TUSD BE'!$AM$51+'TUSD BF'!$AM$51+'TUSD CVA'!$AM$51)*1</f>
        <v>825.79679216117552</v>
      </c>
      <c r="AA2199" s="6">
        <f>('TE BE'!$AA$39+'TE BF'!$AA$39+'TE CVA'!$AA$39)*1</f>
        <v>282.91739971702214</v>
      </c>
      <c r="AB2199" s="6">
        <f>$K$2199*$V$2199</f>
        <v>0</v>
      </c>
      <c r="AC2199" s="6">
        <f>$M$2199*$W$2199</f>
        <v>66.1905</v>
      </c>
      <c r="AD2199" s="6">
        <f>$O$2199*$X$2199</f>
        <v>20.7027</v>
      </c>
      <c r="AE2199" s="6">
        <f>$K$2199*$Y$2199</f>
        <v>0</v>
      </c>
      <c r="AF2199" s="6">
        <f ca="1">$M$2199*$Z$2199</f>
        <v>74.321711294505789</v>
      </c>
      <c r="AG2199" s="6">
        <f>$O$2199*$AA$2199</f>
        <v>25.462565974531991</v>
      </c>
    </row>
    <row r="2200" spans="1:33" ht="11.25" customHeight="1" x14ac:dyDescent="0.25">
      <c r="A2200" s="4" t="s">
        <v>21</v>
      </c>
      <c r="B2200" s="4" t="s">
        <v>41</v>
      </c>
      <c r="C2200" s="4" t="s">
        <v>39</v>
      </c>
      <c r="D2200" s="4" t="s">
        <v>42</v>
      </c>
      <c r="E2200" s="4" t="s">
        <v>25</v>
      </c>
      <c r="F2200" s="4" t="s">
        <v>25</v>
      </c>
      <c r="G2200" s="4" t="s">
        <v>25</v>
      </c>
      <c r="H2200" s="4" t="s">
        <v>40</v>
      </c>
      <c r="I2200" s="5">
        <v>44409</v>
      </c>
      <c r="J2200" s="6">
        <v>0</v>
      </c>
      <c r="K2200" s="6">
        <v>0</v>
      </c>
      <c r="L2200" s="6">
        <v>0.11700000000000001</v>
      </c>
      <c r="M2200" s="6">
        <v>0.11700000000000001</v>
      </c>
      <c r="N2200" s="6">
        <v>0.11700000000000001</v>
      </c>
      <c r="O2200" s="6">
        <v>0.11700000000000001</v>
      </c>
      <c r="P2200" s="6">
        <v>0</v>
      </c>
      <c r="Q2200" s="4" t="s">
        <v>26</v>
      </c>
      <c r="R2200" s="4">
        <v>0</v>
      </c>
      <c r="S2200" s="6">
        <v>0</v>
      </c>
      <c r="T2200" s="6">
        <v>75</v>
      </c>
      <c r="U2200" s="6">
        <v>76</v>
      </c>
      <c r="V2200" s="6">
        <f>IF(ISERROR(VLOOKUP($S$2200,'TAR FIN'!$A$1:$O$95,15,0)),0,VLOOKUP($S$2200,'TAR FIN'!$A$1:$O$95,15,0))</f>
        <v>0</v>
      </c>
      <c r="W2200" s="6">
        <f>IF(ISERROR(VLOOKUP($T$2200,'TAR FIN'!$A$1:$O$95,15,0)),0,VLOOKUP($T$2200,'TAR FIN'!$A$1:$O$95,15,0))</f>
        <v>735.45</v>
      </c>
      <c r="X2200" s="6">
        <f>IF(ISERROR(VLOOKUP($U$2200,'TAR FIN'!$A$1:$O$95,15,0)),0,VLOOKUP($U$2200,'TAR FIN'!$A$1:$O$95,15,0))</f>
        <v>230.03</v>
      </c>
      <c r="Y2200" s="6"/>
      <c r="Z2200" s="6">
        <f ca="1">('TUSD BE'!$AM$51+'TUSD BF'!$AM$51+'TUSD CVA'!$AM$51)*1</f>
        <v>825.79679216117552</v>
      </c>
      <c r="AA2200" s="6">
        <f>('TE BE'!$AA$39+'TE BF'!$AA$39+'TE CVA'!$AA$39)*1</f>
        <v>282.91739971702214</v>
      </c>
      <c r="AB2200" s="6">
        <f>$K$2200*$V$2200</f>
        <v>0</v>
      </c>
      <c r="AC2200" s="6">
        <f>$M$2200*$W$2200</f>
        <v>86.047650000000004</v>
      </c>
      <c r="AD2200" s="6">
        <f>$O$2200*$X$2200</f>
        <v>26.913510000000002</v>
      </c>
      <c r="AE2200" s="6">
        <f>$K$2200*$Y$2200</f>
        <v>0</v>
      </c>
      <c r="AF2200" s="6">
        <f ca="1">$M$2200*$Z$2200</f>
        <v>96.618224682857544</v>
      </c>
      <c r="AG2200" s="6">
        <f>$O$2200*$AA$2200</f>
        <v>33.101335766891594</v>
      </c>
    </row>
    <row r="2201" spans="1:33" ht="11.25" customHeight="1" x14ac:dyDescent="0.25">
      <c r="A2201" s="4" t="s">
        <v>21</v>
      </c>
      <c r="B2201" s="4" t="s">
        <v>41</v>
      </c>
      <c r="C2201" s="4" t="s">
        <v>39</v>
      </c>
      <c r="D2201" s="4" t="s">
        <v>42</v>
      </c>
      <c r="E2201" s="4" t="s">
        <v>25</v>
      </c>
      <c r="F2201" s="4" t="s">
        <v>25</v>
      </c>
      <c r="G2201" s="4" t="s">
        <v>25</v>
      </c>
      <c r="H2201" s="4" t="s">
        <v>40</v>
      </c>
      <c r="I2201" s="5">
        <v>44440</v>
      </c>
      <c r="J2201" s="6">
        <v>0</v>
      </c>
      <c r="K2201" s="6">
        <v>0</v>
      </c>
      <c r="L2201" s="6">
        <v>0.20300000000000001</v>
      </c>
      <c r="M2201" s="6">
        <v>0.20300000000000001</v>
      </c>
      <c r="N2201" s="6">
        <v>0.20300000000000001</v>
      </c>
      <c r="O2201" s="6">
        <v>0.20300000000000001</v>
      </c>
      <c r="P2201" s="6">
        <v>0</v>
      </c>
      <c r="Q2201" s="4" t="s">
        <v>26</v>
      </c>
      <c r="R2201" s="4">
        <v>0</v>
      </c>
      <c r="S2201" s="6">
        <v>0</v>
      </c>
      <c r="T2201" s="6">
        <v>75</v>
      </c>
      <c r="U2201" s="6">
        <v>76</v>
      </c>
      <c r="V2201" s="6">
        <f>IF(ISERROR(VLOOKUP($S$2201,'TAR FIN'!$A$1:$O$95,15,0)),0,VLOOKUP($S$2201,'TAR FIN'!$A$1:$O$95,15,0))</f>
        <v>0</v>
      </c>
      <c r="W2201" s="6">
        <f>IF(ISERROR(VLOOKUP($T$2201,'TAR FIN'!$A$1:$O$95,15,0)),0,VLOOKUP($T$2201,'TAR FIN'!$A$1:$O$95,15,0))</f>
        <v>735.45</v>
      </c>
      <c r="X2201" s="6">
        <f>IF(ISERROR(VLOOKUP($U$2201,'TAR FIN'!$A$1:$O$95,15,0)),0,VLOOKUP($U$2201,'TAR FIN'!$A$1:$O$95,15,0))</f>
        <v>230.03</v>
      </c>
      <c r="Y2201" s="6"/>
      <c r="Z2201" s="6">
        <f ca="1">('TUSD BE'!$AM$51+'TUSD BF'!$AM$51+'TUSD CVA'!$AM$51)*1</f>
        <v>825.79679216117552</v>
      </c>
      <c r="AA2201" s="6">
        <f>('TE BE'!$AA$39+'TE BF'!$AA$39+'TE CVA'!$AA$39)*1</f>
        <v>282.91739971702214</v>
      </c>
      <c r="AB2201" s="6">
        <f>$K$2201*$V$2201</f>
        <v>0</v>
      </c>
      <c r="AC2201" s="6">
        <f>$M$2201*$W$2201</f>
        <v>149.29635000000002</v>
      </c>
      <c r="AD2201" s="6">
        <f>$O$2201*$X$2201</f>
        <v>46.696090000000005</v>
      </c>
      <c r="AE2201" s="6">
        <f>$K$2201*$Y$2201</f>
        <v>0</v>
      </c>
      <c r="AF2201" s="6">
        <f ca="1">$M$2201*$Z$2201</f>
        <v>167.63674880871864</v>
      </c>
      <c r="AG2201" s="6">
        <f>$O$2201*$AA$2201</f>
        <v>57.432232142555499</v>
      </c>
    </row>
    <row r="2202" spans="1:33" ht="11.25" customHeight="1" x14ac:dyDescent="0.25">
      <c r="A2202" s="4" t="s">
        <v>59</v>
      </c>
      <c r="B2202" s="4" t="s">
        <v>41</v>
      </c>
      <c r="C2202" s="4" t="s">
        <v>39</v>
      </c>
      <c r="D2202" s="4" t="s">
        <v>42</v>
      </c>
      <c r="E2202" s="4" t="s">
        <v>25</v>
      </c>
      <c r="F2202" s="4" t="s">
        <v>25</v>
      </c>
      <c r="G2202" s="4" t="s">
        <v>25</v>
      </c>
      <c r="H2202" s="4" t="s">
        <v>40</v>
      </c>
      <c r="I2202" s="5">
        <v>44470</v>
      </c>
      <c r="J2202" s="6">
        <v>0</v>
      </c>
      <c r="K2202" s="6">
        <v>0</v>
      </c>
      <c r="L2202" s="6">
        <v>0.20300000000000001</v>
      </c>
      <c r="M2202" s="6">
        <v>0.20300000000000001</v>
      </c>
      <c r="N2202" s="6">
        <v>0.20300000000000001</v>
      </c>
      <c r="O2202" s="6">
        <v>0.20300000000000001</v>
      </c>
      <c r="P2202" s="6">
        <v>0</v>
      </c>
      <c r="Q2202" s="4" t="s">
        <v>26</v>
      </c>
      <c r="R2202" s="4">
        <v>0</v>
      </c>
      <c r="S2202" s="6">
        <v>0</v>
      </c>
      <c r="T2202" s="6">
        <v>75</v>
      </c>
      <c r="U2202" s="6">
        <v>76</v>
      </c>
      <c r="V2202" s="6">
        <f>IF(ISERROR(VLOOKUP($S$2202,'TAR FIN'!$A$1:$O$95,15,0)),0,VLOOKUP($S$2202,'TAR FIN'!$A$1:$O$95,15,0))</f>
        <v>0</v>
      </c>
      <c r="W2202" s="6">
        <f>IF(ISERROR(VLOOKUP($T$2202,'TAR FIN'!$A$1:$O$95,15,0)),0,VLOOKUP($T$2202,'TAR FIN'!$A$1:$O$95,15,0))</f>
        <v>735.45</v>
      </c>
      <c r="X2202" s="6">
        <f>IF(ISERROR(VLOOKUP($U$2202,'TAR FIN'!$A$1:$O$95,15,0)),0,VLOOKUP($U$2202,'TAR FIN'!$A$1:$O$95,15,0))</f>
        <v>230.03</v>
      </c>
      <c r="Y2202" s="6"/>
      <c r="Z2202" s="6">
        <f ca="1">('TUSD BE'!$AM$51+'TUSD BF'!$AM$51+'TUSD CVA'!$AM$51)*1</f>
        <v>825.79679216117552</v>
      </c>
      <c r="AA2202" s="6">
        <f>('TE BE'!$AA$39+'TE BF'!$AA$39+'TE CVA'!$AA$39)*1</f>
        <v>282.91739971702214</v>
      </c>
      <c r="AB2202" s="6">
        <f>$K$2202*$V$2202</f>
        <v>0</v>
      </c>
      <c r="AC2202" s="6">
        <f>$M$2202*$W$2202</f>
        <v>149.29635000000002</v>
      </c>
      <c r="AD2202" s="6">
        <f>$O$2202*$X$2202</f>
        <v>46.696090000000005</v>
      </c>
      <c r="AE2202" s="6">
        <f>$K$2202*$Y$2202</f>
        <v>0</v>
      </c>
      <c r="AF2202" s="6">
        <f ca="1">$M$2202*$Z$2202</f>
        <v>167.63674880871864</v>
      </c>
      <c r="AG2202" s="6">
        <f>$O$2202*$AA$2202</f>
        <v>57.432232142555499</v>
      </c>
    </row>
    <row r="2203" spans="1:33" ht="11.25" customHeight="1" x14ac:dyDescent="0.25">
      <c r="A2203" s="4" t="s">
        <v>21</v>
      </c>
      <c r="B2203" s="4" t="s">
        <v>41</v>
      </c>
      <c r="C2203" s="4" t="s">
        <v>39</v>
      </c>
      <c r="D2203" s="4" t="s">
        <v>42</v>
      </c>
      <c r="E2203" s="4" t="s">
        <v>25</v>
      </c>
      <c r="F2203" s="4" t="s">
        <v>25</v>
      </c>
      <c r="G2203" s="4" t="s">
        <v>25</v>
      </c>
      <c r="H2203" s="4" t="s">
        <v>37</v>
      </c>
      <c r="I2203" s="5">
        <v>44136</v>
      </c>
      <c r="J2203" s="6">
        <v>0</v>
      </c>
      <c r="K2203" s="6">
        <v>0</v>
      </c>
      <c r="L2203" s="6">
        <v>0.08</v>
      </c>
      <c r="M2203" s="6">
        <v>0.08</v>
      </c>
      <c r="N2203" s="6">
        <v>0.08</v>
      </c>
      <c r="O2203" s="6">
        <v>0.08</v>
      </c>
      <c r="P2203" s="6">
        <v>0</v>
      </c>
      <c r="Q2203" s="4" t="s">
        <v>26</v>
      </c>
      <c r="R2203" s="4">
        <v>0</v>
      </c>
      <c r="S2203" s="6">
        <v>0</v>
      </c>
      <c r="T2203" s="6">
        <v>74</v>
      </c>
      <c r="U2203" s="6">
        <v>82</v>
      </c>
      <c r="V2203" s="6">
        <f>IF(ISERROR(VLOOKUP($S$2203,'TAR FIN'!$A$1:$O$95,15,0)),0,VLOOKUP($S$2203,'TAR FIN'!$A$1:$O$95,15,0))</f>
        <v>0</v>
      </c>
      <c r="W2203" s="6">
        <f>IF(ISERROR(VLOOKUP($T$2203,'TAR FIN'!$A$1:$O$95,15,0)),0,VLOOKUP($T$2203,'TAR FIN'!$A$1:$O$95,15,0))</f>
        <v>1089.57</v>
      </c>
      <c r="X2203" s="6">
        <f>IF(ISERROR(VLOOKUP($U$2203,'TAR FIN'!$A$1:$O$95,15,0)),0,VLOOKUP($U$2203,'TAR FIN'!$A$1:$O$95,15,0))</f>
        <v>389.28</v>
      </c>
      <c r="Y2203" s="6"/>
      <c r="Z2203" s="6">
        <f ca="1">('TUSD BE'!$AM$50+'TUSD BF'!$AM$50+'TUSD CVA'!$AM$50)*1</f>
        <v>1222.1406132757641</v>
      </c>
      <c r="AA2203" s="6">
        <f>('TE BE'!$AA$38+'TE BF'!$AA$38+'TE CVA'!$AA$38)*1</f>
        <v>454.3285679284046</v>
      </c>
      <c r="AB2203" s="6">
        <f>$K$2203*$V$2203</f>
        <v>0</v>
      </c>
      <c r="AC2203" s="6">
        <f>$M$2203*$W$2203</f>
        <v>87.165599999999998</v>
      </c>
      <c r="AD2203" s="6">
        <f>$O$2203*$X$2203</f>
        <v>31.142399999999999</v>
      </c>
      <c r="AE2203" s="6">
        <f>$K$2203*$Y$2203</f>
        <v>0</v>
      </c>
      <c r="AF2203" s="6">
        <f ca="1">$M$2203*$Z$2203</f>
        <v>97.771249062061131</v>
      </c>
      <c r="AG2203" s="6">
        <f>$O$2203*$AA$2203</f>
        <v>36.346285434272367</v>
      </c>
    </row>
    <row r="2204" spans="1:33" ht="11.25" customHeight="1" x14ac:dyDescent="0.25">
      <c r="A2204" s="4" t="s">
        <v>21</v>
      </c>
      <c r="B2204" s="4" t="s">
        <v>41</v>
      </c>
      <c r="C2204" s="4" t="s">
        <v>39</v>
      </c>
      <c r="D2204" s="4" t="s">
        <v>42</v>
      </c>
      <c r="E2204" s="4" t="s">
        <v>25</v>
      </c>
      <c r="F2204" s="4" t="s">
        <v>25</v>
      </c>
      <c r="G2204" s="4" t="s">
        <v>25</v>
      </c>
      <c r="H2204" s="4" t="s">
        <v>37</v>
      </c>
      <c r="I2204" s="5">
        <v>44166</v>
      </c>
      <c r="J2204" s="6">
        <v>0</v>
      </c>
      <c r="K2204" s="6">
        <v>0</v>
      </c>
      <c r="L2204" s="6">
        <v>2.472</v>
      </c>
      <c r="M2204" s="6">
        <v>2.472</v>
      </c>
      <c r="N2204" s="6">
        <v>2.472</v>
      </c>
      <c r="O2204" s="6">
        <v>2.472</v>
      </c>
      <c r="P2204" s="6">
        <v>0</v>
      </c>
      <c r="Q2204" s="4" t="s">
        <v>26</v>
      </c>
      <c r="R2204" s="4">
        <v>0</v>
      </c>
      <c r="S2204" s="6">
        <v>0</v>
      </c>
      <c r="T2204" s="6">
        <v>74</v>
      </c>
      <c r="U2204" s="6">
        <v>82</v>
      </c>
      <c r="V2204" s="6">
        <f>IF(ISERROR(VLOOKUP($S$2204,'TAR FIN'!$A$1:$O$95,15,0)),0,VLOOKUP($S$2204,'TAR FIN'!$A$1:$O$95,15,0))</f>
        <v>0</v>
      </c>
      <c r="W2204" s="6">
        <f>IF(ISERROR(VLOOKUP($T$2204,'TAR FIN'!$A$1:$O$95,15,0)),0,VLOOKUP($T$2204,'TAR FIN'!$A$1:$O$95,15,0))</f>
        <v>1089.57</v>
      </c>
      <c r="X2204" s="6">
        <f>IF(ISERROR(VLOOKUP($U$2204,'TAR FIN'!$A$1:$O$95,15,0)),0,VLOOKUP($U$2204,'TAR FIN'!$A$1:$O$95,15,0))</f>
        <v>389.28</v>
      </c>
      <c r="Y2204" s="6"/>
      <c r="Z2204" s="6">
        <f ca="1">('TUSD BE'!$AM$50+'TUSD BF'!$AM$50+'TUSD CVA'!$AM$50)*1</f>
        <v>1222.1406132757641</v>
      </c>
      <c r="AA2204" s="6">
        <f>('TE BE'!$AA$38+'TE BF'!$AA$38+'TE CVA'!$AA$38)*1</f>
        <v>454.3285679284046</v>
      </c>
      <c r="AB2204" s="6">
        <f>$K$2204*$V$2204</f>
        <v>0</v>
      </c>
      <c r="AC2204" s="6">
        <f>$M$2204*$W$2204</f>
        <v>2693.4170399999998</v>
      </c>
      <c r="AD2204" s="6">
        <f>$O$2204*$X$2204</f>
        <v>962.30015999999989</v>
      </c>
      <c r="AE2204" s="6">
        <f>$K$2204*$Y$2204</f>
        <v>0</v>
      </c>
      <c r="AF2204" s="6">
        <f ca="1">$M$2204*$Z$2204</f>
        <v>3021.1315960176889</v>
      </c>
      <c r="AG2204" s="6">
        <f>$O$2204*$AA$2204</f>
        <v>1123.1002199190161</v>
      </c>
    </row>
    <row r="2205" spans="1:33" ht="11.25" customHeight="1" x14ac:dyDescent="0.25">
      <c r="A2205" s="4" t="s">
        <v>21</v>
      </c>
      <c r="B2205" s="4" t="s">
        <v>41</v>
      </c>
      <c r="C2205" s="4" t="s">
        <v>39</v>
      </c>
      <c r="D2205" s="4" t="s">
        <v>42</v>
      </c>
      <c r="E2205" s="4" t="s">
        <v>25</v>
      </c>
      <c r="F2205" s="4" t="s">
        <v>25</v>
      </c>
      <c r="G2205" s="4" t="s">
        <v>25</v>
      </c>
      <c r="H2205" s="4" t="s">
        <v>37</v>
      </c>
      <c r="I2205" s="5">
        <v>44197</v>
      </c>
      <c r="J2205" s="6">
        <v>0</v>
      </c>
      <c r="K2205" s="6">
        <v>0</v>
      </c>
      <c r="L2205" s="6">
        <v>0.22800000000000001</v>
      </c>
      <c r="M2205" s="6">
        <v>0.22800000000000001</v>
      </c>
      <c r="N2205" s="6">
        <v>0.22800000000000001</v>
      </c>
      <c r="O2205" s="6">
        <v>0.22800000000000001</v>
      </c>
      <c r="P2205" s="6">
        <v>0</v>
      </c>
      <c r="Q2205" s="4" t="s">
        <v>26</v>
      </c>
      <c r="R2205" s="4">
        <v>0</v>
      </c>
      <c r="S2205" s="6">
        <v>0</v>
      </c>
      <c r="T2205" s="6">
        <v>74</v>
      </c>
      <c r="U2205" s="6">
        <v>82</v>
      </c>
      <c r="V2205" s="6">
        <f>IF(ISERROR(VLOOKUP($S$2205,'TAR FIN'!$A$1:$O$95,15,0)),0,VLOOKUP($S$2205,'TAR FIN'!$A$1:$O$95,15,0))</f>
        <v>0</v>
      </c>
      <c r="W2205" s="6">
        <f>IF(ISERROR(VLOOKUP($T$2205,'TAR FIN'!$A$1:$O$95,15,0)),0,VLOOKUP($T$2205,'TAR FIN'!$A$1:$O$95,15,0))</f>
        <v>1089.57</v>
      </c>
      <c r="X2205" s="6">
        <f>IF(ISERROR(VLOOKUP($U$2205,'TAR FIN'!$A$1:$O$95,15,0)),0,VLOOKUP($U$2205,'TAR FIN'!$A$1:$O$95,15,0))</f>
        <v>389.28</v>
      </c>
      <c r="Y2205" s="6"/>
      <c r="Z2205" s="6">
        <f ca="1">('TUSD BE'!$AM$50+'TUSD BF'!$AM$50+'TUSD CVA'!$AM$50)*1</f>
        <v>1222.1406132757641</v>
      </c>
      <c r="AA2205" s="6">
        <f>('TE BE'!$AA$38+'TE BF'!$AA$38+'TE CVA'!$AA$38)*1</f>
        <v>454.3285679284046</v>
      </c>
      <c r="AB2205" s="6">
        <f>$K$2205*$V$2205</f>
        <v>0</v>
      </c>
      <c r="AC2205" s="6">
        <f>$M$2205*$W$2205</f>
        <v>248.42195999999998</v>
      </c>
      <c r="AD2205" s="6">
        <f>$O$2205*$X$2205</f>
        <v>88.755839999999992</v>
      </c>
      <c r="AE2205" s="6">
        <f>$K$2205*$Y$2205</f>
        <v>0</v>
      </c>
      <c r="AF2205" s="6">
        <f ca="1">$M$2205*$Z$2205</f>
        <v>278.6480598268742</v>
      </c>
      <c r="AG2205" s="6">
        <f>$O$2205*$AA$2205</f>
        <v>103.58691348767626</v>
      </c>
    </row>
    <row r="2206" spans="1:33" ht="11.25" customHeight="1" x14ac:dyDescent="0.25">
      <c r="A2206" s="4" t="s">
        <v>21</v>
      </c>
      <c r="B2206" s="4" t="s">
        <v>41</v>
      </c>
      <c r="C2206" s="4" t="s">
        <v>39</v>
      </c>
      <c r="D2206" s="4" t="s">
        <v>42</v>
      </c>
      <c r="E2206" s="4" t="s">
        <v>25</v>
      </c>
      <c r="F2206" s="4" t="s">
        <v>25</v>
      </c>
      <c r="G2206" s="4" t="s">
        <v>25</v>
      </c>
      <c r="H2206" s="4" t="s">
        <v>37</v>
      </c>
      <c r="I2206" s="5">
        <v>44228</v>
      </c>
      <c r="J2206" s="6">
        <v>0</v>
      </c>
      <c r="K2206" s="6">
        <v>0</v>
      </c>
      <c r="L2206" s="6">
        <v>0.19400000000000001</v>
      </c>
      <c r="M2206" s="6">
        <v>0.19400000000000001</v>
      </c>
      <c r="N2206" s="6">
        <v>0.19400000000000001</v>
      </c>
      <c r="O2206" s="6">
        <v>0.19400000000000001</v>
      </c>
      <c r="P2206" s="6">
        <v>0</v>
      </c>
      <c r="Q2206" s="4" t="s">
        <v>26</v>
      </c>
      <c r="R2206" s="4">
        <v>0</v>
      </c>
      <c r="S2206" s="6">
        <v>0</v>
      </c>
      <c r="T2206" s="6">
        <v>74</v>
      </c>
      <c r="U2206" s="6">
        <v>82</v>
      </c>
      <c r="V2206" s="6">
        <f>IF(ISERROR(VLOOKUP($S$2206,'TAR FIN'!$A$1:$O$95,15,0)),0,VLOOKUP($S$2206,'TAR FIN'!$A$1:$O$95,15,0))</f>
        <v>0</v>
      </c>
      <c r="W2206" s="6">
        <f>IF(ISERROR(VLOOKUP($T$2206,'TAR FIN'!$A$1:$O$95,15,0)),0,VLOOKUP($T$2206,'TAR FIN'!$A$1:$O$95,15,0))</f>
        <v>1089.57</v>
      </c>
      <c r="X2206" s="6">
        <f>IF(ISERROR(VLOOKUP($U$2206,'TAR FIN'!$A$1:$O$95,15,0)),0,VLOOKUP($U$2206,'TAR FIN'!$A$1:$O$95,15,0))</f>
        <v>389.28</v>
      </c>
      <c r="Y2206" s="6"/>
      <c r="Z2206" s="6">
        <f ca="1">('TUSD BE'!$AM$50+'TUSD BF'!$AM$50+'TUSD CVA'!$AM$50)*1</f>
        <v>1222.1406132757641</v>
      </c>
      <c r="AA2206" s="6">
        <f>('TE BE'!$AA$38+'TE BF'!$AA$38+'TE CVA'!$AA$38)*1</f>
        <v>454.3285679284046</v>
      </c>
      <c r="AB2206" s="6">
        <f>$K$2206*$V$2206</f>
        <v>0</v>
      </c>
      <c r="AC2206" s="6">
        <f>$M$2206*$W$2206</f>
        <v>211.37657999999999</v>
      </c>
      <c r="AD2206" s="6">
        <f>$O$2206*$X$2206</f>
        <v>75.520319999999998</v>
      </c>
      <c r="AE2206" s="6">
        <f>$K$2206*$Y$2206</f>
        <v>0</v>
      </c>
      <c r="AF2206" s="6">
        <f ca="1">$M$2206*$Z$2206</f>
        <v>237.09527897549825</v>
      </c>
      <c r="AG2206" s="6">
        <f>$O$2206*$AA$2206</f>
        <v>88.139742178110495</v>
      </c>
    </row>
    <row r="2207" spans="1:33" ht="11.25" customHeight="1" x14ac:dyDescent="0.25">
      <c r="A2207" s="4" t="s">
        <v>21</v>
      </c>
      <c r="B2207" s="4" t="s">
        <v>41</v>
      </c>
      <c r="C2207" s="4" t="s">
        <v>39</v>
      </c>
      <c r="D2207" s="4" t="s">
        <v>42</v>
      </c>
      <c r="E2207" s="4" t="s">
        <v>25</v>
      </c>
      <c r="F2207" s="4" t="s">
        <v>25</v>
      </c>
      <c r="G2207" s="4" t="s">
        <v>25</v>
      </c>
      <c r="H2207" s="4" t="s">
        <v>37</v>
      </c>
      <c r="I2207" s="5">
        <v>44256</v>
      </c>
      <c r="J2207" s="6">
        <v>0</v>
      </c>
      <c r="K2207" s="6">
        <v>0</v>
      </c>
      <c r="L2207" s="6">
        <v>0.23300000000000001</v>
      </c>
      <c r="M2207" s="6">
        <v>0.23300000000000001</v>
      </c>
      <c r="N2207" s="6">
        <v>0.23300000000000001</v>
      </c>
      <c r="O2207" s="6">
        <v>0.23300000000000001</v>
      </c>
      <c r="P2207" s="6">
        <v>0</v>
      </c>
      <c r="Q2207" s="4" t="s">
        <v>26</v>
      </c>
      <c r="R2207" s="4">
        <v>0</v>
      </c>
      <c r="S2207" s="6">
        <v>0</v>
      </c>
      <c r="T2207" s="6">
        <v>74</v>
      </c>
      <c r="U2207" s="6">
        <v>82</v>
      </c>
      <c r="V2207" s="6">
        <f>IF(ISERROR(VLOOKUP($S$2207,'TAR FIN'!$A$1:$O$95,15,0)),0,VLOOKUP($S$2207,'TAR FIN'!$A$1:$O$95,15,0))</f>
        <v>0</v>
      </c>
      <c r="W2207" s="6">
        <f>IF(ISERROR(VLOOKUP($T$2207,'TAR FIN'!$A$1:$O$95,15,0)),0,VLOOKUP($T$2207,'TAR FIN'!$A$1:$O$95,15,0))</f>
        <v>1089.57</v>
      </c>
      <c r="X2207" s="6">
        <f>IF(ISERROR(VLOOKUP($U$2207,'TAR FIN'!$A$1:$O$95,15,0)),0,VLOOKUP($U$2207,'TAR FIN'!$A$1:$O$95,15,0))</f>
        <v>389.28</v>
      </c>
      <c r="Y2207" s="6"/>
      <c r="Z2207" s="6">
        <f ca="1">('TUSD BE'!$AM$50+'TUSD BF'!$AM$50+'TUSD CVA'!$AM$50)*1</f>
        <v>1222.1406132757641</v>
      </c>
      <c r="AA2207" s="6">
        <f>('TE BE'!$AA$38+'TE BF'!$AA$38+'TE CVA'!$AA$38)*1</f>
        <v>454.3285679284046</v>
      </c>
      <c r="AB2207" s="6">
        <f>$K$2207*$V$2207</f>
        <v>0</v>
      </c>
      <c r="AC2207" s="6">
        <f>$M$2207*$W$2207</f>
        <v>253.86981</v>
      </c>
      <c r="AD2207" s="6">
        <f>$O$2207*$X$2207</f>
        <v>90.702240000000003</v>
      </c>
      <c r="AE2207" s="6">
        <f>$K$2207*$Y$2207</f>
        <v>0</v>
      </c>
      <c r="AF2207" s="6">
        <f ca="1">$M$2207*$Z$2207</f>
        <v>284.75876289325305</v>
      </c>
      <c r="AG2207" s="6">
        <f>$O$2207*$AA$2207</f>
        <v>105.85855632731828</v>
      </c>
    </row>
    <row r="2208" spans="1:33" ht="11.25" customHeight="1" x14ac:dyDescent="0.25">
      <c r="A2208" s="4" t="s">
        <v>21</v>
      </c>
      <c r="B2208" s="4" t="s">
        <v>41</v>
      </c>
      <c r="C2208" s="4" t="s">
        <v>39</v>
      </c>
      <c r="D2208" s="4" t="s">
        <v>42</v>
      </c>
      <c r="E2208" s="4" t="s">
        <v>25</v>
      </c>
      <c r="F2208" s="4" t="s">
        <v>25</v>
      </c>
      <c r="G2208" s="4" t="s">
        <v>25</v>
      </c>
      <c r="H2208" s="4" t="s">
        <v>37</v>
      </c>
      <c r="I2208" s="5">
        <v>44287</v>
      </c>
      <c r="J2208" s="6">
        <v>0</v>
      </c>
      <c r="K2208" s="6">
        <v>0</v>
      </c>
      <c r="L2208" s="6">
        <v>0.216</v>
      </c>
      <c r="M2208" s="6">
        <v>0.216</v>
      </c>
      <c r="N2208" s="6">
        <v>0.216</v>
      </c>
      <c r="O2208" s="6">
        <v>0.216</v>
      </c>
      <c r="P2208" s="6">
        <v>0</v>
      </c>
      <c r="Q2208" s="4" t="s">
        <v>26</v>
      </c>
      <c r="R2208" s="4">
        <v>0</v>
      </c>
      <c r="S2208" s="6">
        <v>0</v>
      </c>
      <c r="T2208" s="6">
        <v>74</v>
      </c>
      <c r="U2208" s="6">
        <v>82</v>
      </c>
      <c r="V2208" s="6">
        <f>IF(ISERROR(VLOOKUP($S$2208,'TAR FIN'!$A$1:$O$95,15,0)),0,VLOOKUP($S$2208,'TAR FIN'!$A$1:$O$95,15,0))</f>
        <v>0</v>
      </c>
      <c r="W2208" s="6">
        <f>IF(ISERROR(VLOOKUP($T$2208,'TAR FIN'!$A$1:$O$95,15,0)),0,VLOOKUP($T$2208,'TAR FIN'!$A$1:$O$95,15,0))</f>
        <v>1089.57</v>
      </c>
      <c r="X2208" s="6">
        <f>IF(ISERROR(VLOOKUP($U$2208,'TAR FIN'!$A$1:$O$95,15,0)),0,VLOOKUP($U$2208,'TAR FIN'!$A$1:$O$95,15,0))</f>
        <v>389.28</v>
      </c>
      <c r="Y2208" s="6"/>
      <c r="Z2208" s="6">
        <f ca="1">('TUSD BE'!$AM$50+'TUSD BF'!$AM$50+'TUSD CVA'!$AM$50)*1</f>
        <v>1222.1406132757641</v>
      </c>
      <c r="AA2208" s="6">
        <f>('TE BE'!$AA$38+'TE BF'!$AA$38+'TE CVA'!$AA$38)*1</f>
        <v>454.3285679284046</v>
      </c>
      <c r="AB2208" s="6">
        <f>$K$2208*$V$2208</f>
        <v>0</v>
      </c>
      <c r="AC2208" s="6">
        <f>$M$2208*$W$2208</f>
        <v>235.34711999999999</v>
      </c>
      <c r="AD2208" s="6">
        <f>$O$2208*$X$2208</f>
        <v>84.084479999999999</v>
      </c>
      <c r="AE2208" s="6">
        <f>$K$2208*$Y$2208</f>
        <v>0</v>
      </c>
      <c r="AF2208" s="6">
        <f ca="1">$M$2208*$Z$2208</f>
        <v>263.98237246756503</v>
      </c>
      <c r="AG2208" s="6">
        <f>$O$2208*$AA$2208</f>
        <v>98.134970672535388</v>
      </c>
    </row>
    <row r="2209" spans="1:33" ht="11.25" customHeight="1" x14ac:dyDescent="0.25">
      <c r="A2209" s="4" t="s">
        <v>21</v>
      </c>
      <c r="B2209" s="4" t="s">
        <v>41</v>
      </c>
      <c r="C2209" s="4" t="s">
        <v>39</v>
      </c>
      <c r="D2209" s="4" t="s">
        <v>42</v>
      </c>
      <c r="E2209" s="4" t="s">
        <v>25</v>
      </c>
      <c r="F2209" s="4" t="s">
        <v>25</v>
      </c>
      <c r="G2209" s="4" t="s">
        <v>25</v>
      </c>
      <c r="H2209" s="4" t="s">
        <v>37</v>
      </c>
      <c r="I2209" s="5">
        <v>44317</v>
      </c>
      <c r="J2209" s="6">
        <v>0</v>
      </c>
      <c r="K2209" s="6">
        <v>0</v>
      </c>
      <c r="L2209" s="6">
        <v>0.23300000000000001</v>
      </c>
      <c r="M2209" s="6">
        <v>0.23300000000000001</v>
      </c>
      <c r="N2209" s="6">
        <v>0.23300000000000001</v>
      </c>
      <c r="O2209" s="6">
        <v>0.23300000000000001</v>
      </c>
      <c r="P2209" s="6">
        <v>0</v>
      </c>
      <c r="Q2209" s="4" t="s">
        <v>26</v>
      </c>
      <c r="R2209" s="4">
        <v>0</v>
      </c>
      <c r="S2209" s="6">
        <v>0</v>
      </c>
      <c r="T2209" s="6">
        <v>74</v>
      </c>
      <c r="U2209" s="6">
        <v>82</v>
      </c>
      <c r="V2209" s="6">
        <f>IF(ISERROR(VLOOKUP($S$2209,'TAR FIN'!$A$1:$O$95,15,0)),0,VLOOKUP($S$2209,'TAR FIN'!$A$1:$O$95,15,0))</f>
        <v>0</v>
      </c>
      <c r="W2209" s="6">
        <f>IF(ISERROR(VLOOKUP($T$2209,'TAR FIN'!$A$1:$O$95,15,0)),0,VLOOKUP($T$2209,'TAR FIN'!$A$1:$O$95,15,0))</f>
        <v>1089.57</v>
      </c>
      <c r="X2209" s="6">
        <f>IF(ISERROR(VLOOKUP($U$2209,'TAR FIN'!$A$1:$O$95,15,0)),0,VLOOKUP($U$2209,'TAR FIN'!$A$1:$O$95,15,0))</f>
        <v>389.28</v>
      </c>
      <c r="Y2209" s="6"/>
      <c r="Z2209" s="6">
        <f ca="1">('TUSD BE'!$AM$50+'TUSD BF'!$AM$50+'TUSD CVA'!$AM$50)*1</f>
        <v>1222.1406132757641</v>
      </c>
      <c r="AA2209" s="6">
        <f>('TE BE'!$AA$38+'TE BF'!$AA$38+'TE CVA'!$AA$38)*1</f>
        <v>454.3285679284046</v>
      </c>
      <c r="AB2209" s="6">
        <f>$K$2209*$V$2209</f>
        <v>0</v>
      </c>
      <c r="AC2209" s="6">
        <f>$M$2209*$W$2209</f>
        <v>253.86981</v>
      </c>
      <c r="AD2209" s="6">
        <f>$O$2209*$X$2209</f>
        <v>90.702240000000003</v>
      </c>
      <c r="AE2209" s="6">
        <f>$K$2209*$Y$2209</f>
        <v>0</v>
      </c>
      <c r="AF2209" s="6">
        <f ca="1">$M$2209*$Z$2209</f>
        <v>284.75876289325305</v>
      </c>
      <c r="AG2209" s="6">
        <f>$O$2209*$AA$2209</f>
        <v>105.85855632731828</v>
      </c>
    </row>
    <row r="2210" spans="1:33" ht="11.25" customHeight="1" x14ac:dyDescent="0.25">
      <c r="A2210" s="4" t="s">
        <v>21</v>
      </c>
      <c r="B2210" s="4" t="s">
        <v>41</v>
      </c>
      <c r="C2210" s="4" t="s">
        <v>39</v>
      </c>
      <c r="D2210" s="4" t="s">
        <v>42</v>
      </c>
      <c r="E2210" s="4" t="s">
        <v>25</v>
      </c>
      <c r="F2210" s="4" t="s">
        <v>25</v>
      </c>
      <c r="G2210" s="4" t="s">
        <v>25</v>
      </c>
      <c r="H2210" s="4" t="s">
        <v>37</v>
      </c>
      <c r="I2210" s="5">
        <v>44348</v>
      </c>
      <c r="J2210" s="6">
        <v>0</v>
      </c>
      <c r="K2210" s="6">
        <v>0</v>
      </c>
      <c r="L2210" s="6">
        <v>0.25900000000000001</v>
      </c>
      <c r="M2210" s="6">
        <v>0.25900000000000001</v>
      </c>
      <c r="N2210" s="6">
        <v>0.25900000000000001</v>
      </c>
      <c r="O2210" s="6">
        <v>0.25900000000000001</v>
      </c>
      <c r="P2210" s="6">
        <v>0</v>
      </c>
      <c r="Q2210" s="4" t="s">
        <v>26</v>
      </c>
      <c r="R2210" s="4">
        <v>0</v>
      </c>
      <c r="S2210" s="6">
        <v>0</v>
      </c>
      <c r="T2210" s="6">
        <v>74</v>
      </c>
      <c r="U2210" s="6">
        <v>82</v>
      </c>
      <c r="V2210" s="6">
        <f>IF(ISERROR(VLOOKUP($S$2210,'TAR FIN'!$A$1:$O$95,15,0)),0,VLOOKUP($S$2210,'TAR FIN'!$A$1:$O$95,15,0))</f>
        <v>0</v>
      </c>
      <c r="W2210" s="6">
        <f>IF(ISERROR(VLOOKUP($T$2210,'TAR FIN'!$A$1:$O$95,15,0)),0,VLOOKUP($T$2210,'TAR FIN'!$A$1:$O$95,15,0))</f>
        <v>1089.57</v>
      </c>
      <c r="X2210" s="6">
        <f>IF(ISERROR(VLOOKUP($U$2210,'TAR FIN'!$A$1:$O$95,15,0)),0,VLOOKUP($U$2210,'TAR FIN'!$A$1:$O$95,15,0))</f>
        <v>389.28</v>
      </c>
      <c r="Y2210" s="6"/>
      <c r="Z2210" s="6">
        <f ca="1">('TUSD BE'!$AM$50+'TUSD BF'!$AM$50+'TUSD CVA'!$AM$50)*1</f>
        <v>1222.1406132757641</v>
      </c>
      <c r="AA2210" s="6">
        <f>('TE BE'!$AA$38+'TE BF'!$AA$38+'TE CVA'!$AA$38)*1</f>
        <v>454.3285679284046</v>
      </c>
      <c r="AB2210" s="6">
        <f>$K$2210*$V$2210</f>
        <v>0</v>
      </c>
      <c r="AC2210" s="6">
        <f>$M$2210*$W$2210</f>
        <v>282.19862999999998</v>
      </c>
      <c r="AD2210" s="6">
        <f>$O$2210*$X$2210</f>
        <v>100.82352</v>
      </c>
      <c r="AE2210" s="6">
        <f>$K$2210*$Y$2210</f>
        <v>0</v>
      </c>
      <c r="AF2210" s="6">
        <f ca="1">$M$2210*$Z$2210</f>
        <v>316.53441883842288</v>
      </c>
      <c r="AG2210" s="6">
        <f>$O$2210*$AA$2210</f>
        <v>117.67109909345679</v>
      </c>
    </row>
    <row r="2211" spans="1:33" ht="11.25" customHeight="1" x14ac:dyDescent="0.25">
      <c r="A2211" s="4" t="s">
        <v>21</v>
      </c>
      <c r="B2211" s="4" t="s">
        <v>41</v>
      </c>
      <c r="C2211" s="4" t="s">
        <v>39</v>
      </c>
      <c r="D2211" s="4" t="s">
        <v>42</v>
      </c>
      <c r="E2211" s="4" t="s">
        <v>25</v>
      </c>
      <c r="F2211" s="4" t="s">
        <v>25</v>
      </c>
      <c r="G2211" s="4" t="s">
        <v>25</v>
      </c>
      <c r="H2211" s="4" t="s">
        <v>37</v>
      </c>
      <c r="I2211" s="5">
        <v>44378</v>
      </c>
      <c r="J2211" s="6">
        <v>0</v>
      </c>
      <c r="K2211" s="6">
        <v>0</v>
      </c>
      <c r="L2211" s="6">
        <v>0.13800000000000001</v>
      </c>
      <c r="M2211" s="6">
        <v>0.13800000000000001</v>
      </c>
      <c r="N2211" s="6">
        <v>0.13800000000000001</v>
      </c>
      <c r="O2211" s="6">
        <v>0.13800000000000001</v>
      </c>
      <c r="P2211" s="6">
        <v>0</v>
      </c>
      <c r="Q2211" s="4" t="s">
        <v>26</v>
      </c>
      <c r="R2211" s="4">
        <v>0</v>
      </c>
      <c r="S2211" s="6">
        <v>0</v>
      </c>
      <c r="T2211" s="6">
        <v>74</v>
      </c>
      <c r="U2211" s="6">
        <v>82</v>
      </c>
      <c r="V2211" s="6">
        <f>IF(ISERROR(VLOOKUP($S$2211,'TAR FIN'!$A$1:$O$95,15,0)),0,VLOOKUP($S$2211,'TAR FIN'!$A$1:$O$95,15,0))</f>
        <v>0</v>
      </c>
      <c r="W2211" s="6">
        <f>IF(ISERROR(VLOOKUP($T$2211,'TAR FIN'!$A$1:$O$95,15,0)),0,VLOOKUP($T$2211,'TAR FIN'!$A$1:$O$95,15,0))</f>
        <v>1089.57</v>
      </c>
      <c r="X2211" s="6">
        <f>IF(ISERROR(VLOOKUP($U$2211,'TAR FIN'!$A$1:$O$95,15,0)),0,VLOOKUP($U$2211,'TAR FIN'!$A$1:$O$95,15,0))</f>
        <v>389.28</v>
      </c>
      <c r="Y2211" s="6"/>
      <c r="Z2211" s="6">
        <f ca="1">('TUSD BE'!$AM$50+'TUSD BF'!$AM$50+'TUSD CVA'!$AM$50)*1</f>
        <v>1222.1406132757641</v>
      </c>
      <c r="AA2211" s="6">
        <f>('TE BE'!$AA$38+'TE BF'!$AA$38+'TE CVA'!$AA$38)*1</f>
        <v>454.3285679284046</v>
      </c>
      <c r="AB2211" s="6">
        <f>$K$2211*$V$2211</f>
        <v>0</v>
      </c>
      <c r="AC2211" s="6">
        <f>$M$2211*$W$2211</f>
        <v>150.36066</v>
      </c>
      <c r="AD2211" s="6">
        <f>$O$2211*$X$2211</f>
        <v>53.720640000000003</v>
      </c>
      <c r="AE2211" s="6">
        <f>$K$2211*$Y$2211</f>
        <v>0</v>
      </c>
      <c r="AF2211" s="6">
        <f ca="1">$M$2211*$Z$2211</f>
        <v>168.65540463205545</v>
      </c>
      <c r="AG2211" s="6">
        <f>$O$2211*$AA$2211</f>
        <v>62.697342374119842</v>
      </c>
    </row>
    <row r="2212" spans="1:33" ht="11.25" customHeight="1" x14ac:dyDescent="0.25">
      <c r="A2212" s="4" t="s">
        <v>21</v>
      </c>
      <c r="B2212" s="4" t="s">
        <v>41</v>
      </c>
      <c r="C2212" s="4" t="s">
        <v>39</v>
      </c>
      <c r="D2212" s="4" t="s">
        <v>42</v>
      </c>
      <c r="E2212" s="4" t="s">
        <v>25</v>
      </c>
      <c r="F2212" s="4" t="s">
        <v>25</v>
      </c>
      <c r="G2212" s="4" t="s">
        <v>25</v>
      </c>
      <c r="H2212" s="4" t="s">
        <v>37</v>
      </c>
      <c r="I2212" s="5">
        <v>44409</v>
      </c>
      <c r="J2212" s="6">
        <v>0</v>
      </c>
      <c r="K2212" s="6">
        <v>0</v>
      </c>
      <c r="L2212" s="6">
        <v>0.19700000000000001</v>
      </c>
      <c r="M2212" s="6">
        <v>0.19700000000000001</v>
      </c>
      <c r="N2212" s="6">
        <v>0.19700000000000001</v>
      </c>
      <c r="O2212" s="6">
        <v>0.19700000000000001</v>
      </c>
      <c r="P2212" s="6">
        <v>0</v>
      </c>
      <c r="Q2212" s="4" t="s">
        <v>26</v>
      </c>
      <c r="R2212" s="4">
        <v>0</v>
      </c>
      <c r="S2212" s="6">
        <v>0</v>
      </c>
      <c r="T2212" s="6">
        <v>74</v>
      </c>
      <c r="U2212" s="6">
        <v>82</v>
      </c>
      <c r="V2212" s="6">
        <f>IF(ISERROR(VLOOKUP($S$2212,'TAR FIN'!$A$1:$O$95,15,0)),0,VLOOKUP($S$2212,'TAR FIN'!$A$1:$O$95,15,0))</f>
        <v>0</v>
      </c>
      <c r="W2212" s="6">
        <f>IF(ISERROR(VLOOKUP($T$2212,'TAR FIN'!$A$1:$O$95,15,0)),0,VLOOKUP($T$2212,'TAR FIN'!$A$1:$O$95,15,0))</f>
        <v>1089.57</v>
      </c>
      <c r="X2212" s="6">
        <f>IF(ISERROR(VLOOKUP($U$2212,'TAR FIN'!$A$1:$O$95,15,0)),0,VLOOKUP($U$2212,'TAR FIN'!$A$1:$O$95,15,0))</f>
        <v>389.28</v>
      </c>
      <c r="Y2212" s="6"/>
      <c r="Z2212" s="6">
        <f ca="1">('TUSD BE'!$AM$50+'TUSD BF'!$AM$50+'TUSD CVA'!$AM$50)*1</f>
        <v>1222.1406132757641</v>
      </c>
      <c r="AA2212" s="6">
        <f>('TE BE'!$AA$38+'TE BF'!$AA$38+'TE CVA'!$AA$38)*1</f>
        <v>454.3285679284046</v>
      </c>
      <c r="AB2212" s="6">
        <f>$K$2212*$V$2212</f>
        <v>0</v>
      </c>
      <c r="AC2212" s="6">
        <f>$M$2212*$W$2212</f>
        <v>214.64528999999999</v>
      </c>
      <c r="AD2212" s="6">
        <f>$O$2212*$X$2212</f>
        <v>76.688159999999996</v>
      </c>
      <c r="AE2212" s="6">
        <f>$K$2212*$Y$2212</f>
        <v>0</v>
      </c>
      <c r="AF2212" s="6">
        <f ca="1">$M$2212*$Z$2212</f>
        <v>240.76170081532553</v>
      </c>
      <c r="AG2212" s="6">
        <f>$O$2212*$AA$2212</f>
        <v>89.502727881895709</v>
      </c>
    </row>
    <row r="2213" spans="1:33" ht="11.25" customHeight="1" x14ac:dyDescent="0.25">
      <c r="A2213" s="4" t="s">
        <v>21</v>
      </c>
      <c r="B2213" s="4" t="s">
        <v>41</v>
      </c>
      <c r="C2213" s="4" t="s">
        <v>39</v>
      </c>
      <c r="D2213" s="4" t="s">
        <v>42</v>
      </c>
      <c r="E2213" s="4" t="s">
        <v>25</v>
      </c>
      <c r="F2213" s="4" t="s">
        <v>25</v>
      </c>
      <c r="G2213" s="4" t="s">
        <v>25</v>
      </c>
      <c r="H2213" s="4" t="s">
        <v>37</v>
      </c>
      <c r="I2213" s="5">
        <v>44440</v>
      </c>
      <c r="J2213" s="6">
        <v>0</v>
      </c>
      <c r="K2213" s="6">
        <v>0</v>
      </c>
      <c r="L2213" s="6">
        <v>0.3</v>
      </c>
      <c r="M2213" s="6">
        <v>0.3</v>
      </c>
      <c r="N2213" s="6">
        <v>0.3</v>
      </c>
      <c r="O2213" s="6">
        <v>0.3</v>
      </c>
      <c r="P2213" s="6">
        <v>0</v>
      </c>
      <c r="Q2213" s="4" t="s">
        <v>26</v>
      </c>
      <c r="R2213" s="4">
        <v>0</v>
      </c>
      <c r="S2213" s="6">
        <v>0</v>
      </c>
      <c r="T2213" s="6">
        <v>74</v>
      </c>
      <c r="U2213" s="6">
        <v>82</v>
      </c>
      <c r="V2213" s="6">
        <f>IF(ISERROR(VLOOKUP($S$2213,'TAR FIN'!$A$1:$O$95,15,0)),0,VLOOKUP($S$2213,'TAR FIN'!$A$1:$O$95,15,0))</f>
        <v>0</v>
      </c>
      <c r="W2213" s="6">
        <f>IF(ISERROR(VLOOKUP($T$2213,'TAR FIN'!$A$1:$O$95,15,0)),0,VLOOKUP($T$2213,'TAR FIN'!$A$1:$O$95,15,0))</f>
        <v>1089.57</v>
      </c>
      <c r="X2213" s="6">
        <f>IF(ISERROR(VLOOKUP($U$2213,'TAR FIN'!$A$1:$O$95,15,0)),0,VLOOKUP($U$2213,'TAR FIN'!$A$1:$O$95,15,0))</f>
        <v>389.28</v>
      </c>
      <c r="Y2213" s="6"/>
      <c r="Z2213" s="6">
        <f ca="1">('TUSD BE'!$AM$50+'TUSD BF'!$AM$50+'TUSD CVA'!$AM$50)*1</f>
        <v>1222.1406132757641</v>
      </c>
      <c r="AA2213" s="6">
        <f>('TE BE'!$AA$38+'TE BF'!$AA$38+'TE CVA'!$AA$38)*1</f>
        <v>454.3285679284046</v>
      </c>
      <c r="AB2213" s="6">
        <f>$K$2213*$V$2213</f>
        <v>0</v>
      </c>
      <c r="AC2213" s="6">
        <f>$M$2213*$W$2213</f>
        <v>326.87099999999998</v>
      </c>
      <c r="AD2213" s="6">
        <f>$O$2213*$X$2213</f>
        <v>116.78399999999999</v>
      </c>
      <c r="AE2213" s="6">
        <f>$K$2213*$Y$2213</f>
        <v>0</v>
      </c>
      <c r="AF2213" s="6">
        <f ca="1">$M$2213*$Z$2213</f>
        <v>366.64218398272919</v>
      </c>
      <c r="AG2213" s="6">
        <f>$O$2213*$AA$2213</f>
        <v>136.29857037852136</v>
      </c>
    </row>
    <row r="2214" spans="1:33" ht="11.25" customHeight="1" x14ac:dyDescent="0.25">
      <c r="A2214" s="4" t="s">
        <v>59</v>
      </c>
      <c r="B2214" s="4" t="s">
        <v>41</v>
      </c>
      <c r="C2214" s="4" t="s">
        <v>39</v>
      </c>
      <c r="D2214" s="4" t="s">
        <v>42</v>
      </c>
      <c r="E2214" s="4" t="s">
        <v>25</v>
      </c>
      <c r="F2214" s="4" t="s">
        <v>25</v>
      </c>
      <c r="G2214" s="4" t="s">
        <v>25</v>
      </c>
      <c r="H2214" s="4" t="s">
        <v>37</v>
      </c>
      <c r="I2214" s="5">
        <v>44470</v>
      </c>
      <c r="J2214" s="6">
        <v>0</v>
      </c>
      <c r="K2214" s="6">
        <v>0</v>
      </c>
      <c r="L2214" s="6">
        <v>0.3</v>
      </c>
      <c r="M2214" s="6">
        <v>0.3</v>
      </c>
      <c r="N2214" s="6">
        <v>0.3</v>
      </c>
      <c r="O2214" s="6">
        <v>0.3</v>
      </c>
      <c r="P2214" s="6">
        <v>0</v>
      </c>
      <c r="Q2214" s="4" t="s">
        <v>26</v>
      </c>
      <c r="R2214" s="4">
        <v>0</v>
      </c>
      <c r="S2214" s="6">
        <v>0</v>
      </c>
      <c r="T2214" s="6">
        <v>74</v>
      </c>
      <c r="U2214" s="6">
        <v>82</v>
      </c>
      <c r="V2214" s="6">
        <f>IF(ISERROR(VLOOKUP($S$2214,'TAR FIN'!$A$1:$O$95,15,0)),0,VLOOKUP($S$2214,'TAR FIN'!$A$1:$O$95,15,0))</f>
        <v>0</v>
      </c>
      <c r="W2214" s="6">
        <f>IF(ISERROR(VLOOKUP($T$2214,'TAR FIN'!$A$1:$O$95,15,0)),0,VLOOKUP($T$2214,'TAR FIN'!$A$1:$O$95,15,0))</f>
        <v>1089.57</v>
      </c>
      <c r="X2214" s="6">
        <f>IF(ISERROR(VLOOKUP($U$2214,'TAR FIN'!$A$1:$O$95,15,0)),0,VLOOKUP($U$2214,'TAR FIN'!$A$1:$O$95,15,0))</f>
        <v>389.28</v>
      </c>
      <c r="Y2214" s="6"/>
      <c r="Z2214" s="6">
        <f ca="1">('TUSD BE'!$AM$50+'TUSD BF'!$AM$50+'TUSD CVA'!$AM$50)*1</f>
        <v>1222.1406132757641</v>
      </c>
      <c r="AA2214" s="6">
        <f>('TE BE'!$AA$38+'TE BF'!$AA$38+'TE CVA'!$AA$38)*1</f>
        <v>454.3285679284046</v>
      </c>
      <c r="AB2214" s="6">
        <f>$K$2214*$V$2214</f>
        <v>0</v>
      </c>
      <c r="AC2214" s="6">
        <f>$M$2214*$W$2214</f>
        <v>326.87099999999998</v>
      </c>
      <c r="AD2214" s="6">
        <f>$O$2214*$X$2214</f>
        <v>116.78399999999999</v>
      </c>
      <c r="AE2214" s="6">
        <f>$K$2214*$Y$2214</f>
        <v>0</v>
      </c>
      <c r="AF2214" s="6">
        <f ca="1">$M$2214*$Z$2214</f>
        <v>366.64218398272919</v>
      </c>
      <c r="AG2214" s="6">
        <f>$O$2214*$AA$2214</f>
        <v>136.29857037852136</v>
      </c>
    </row>
    <row r="2215" spans="1:33" ht="11.25" customHeight="1" x14ac:dyDescent="0.25">
      <c r="A2215" s="4" t="s">
        <v>21</v>
      </c>
      <c r="B2215" s="4" t="s">
        <v>41</v>
      </c>
      <c r="C2215" s="4" t="s">
        <v>39</v>
      </c>
      <c r="D2215" s="4" t="s">
        <v>48</v>
      </c>
      <c r="E2215" s="4" t="s">
        <v>25</v>
      </c>
      <c r="F2215" s="4" t="s">
        <v>25</v>
      </c>
      <c r="G2215" s="4" t="s">
        <v>25</v>
      </c>
      <c r="H2215" s="4" t="s">
        <v>38</v>
      </c>
      <c r="I2215" s="5">
        <v>44136</v>
      </c>
      <c r="J2215" s="6">
        <v>0</v>
      </c>
      <c r="K2215" s="6">
        <v>0</v>
      </c>
      <c r="L2215" s="6">
        <v>46.802999999999997</v>
      </c>
      <c r="M2215" s="6">
        <v>46.802999999999997</v>
      </c>
      <c r="N2215" s="6">
        <v>46.802999999999997</v>
      </c>
      <c r="O2215" s="6">
        <v>46.802999999999997</v>
      </c>
      <c r="P2215" s="6">
        <v>0</v>
      </c>
      <c r="Q2215" s="4" t="s">
        <v>26</v>
      </c>
      <c r="R2215" s="4">
        <v>0</v>
      </c>
      <c r="S2215" s="6">
        <v>0</v>
      </c>
      <c r="T2215" s="6">
        <v>71</v>
      </c>
      <c r="U2215" s="6">
        <v>77</v>
      </c>
      <c r="V2215" s="6">
        <f>IF(ISERROR(VLOOKUP($S$2215,'TAR FIN'!$A$1:$O$95,15,0)),0,VLOOKUP($S$2215,'TAR FIN'!$A$1:$O$95,15,0))</f>
        <v>0</v>
      </c>
      <c r="W2215" s="6">
        <f>IF(ISERROR(VLOOKUP($T$2215,'TAR FIN'!$A$1:$O$95,15,0)),0,VLOOKUP($T$2215,'TAR FIN'!$A$1:$O$95,15,0))</f>
        <v>381.34</v>
      </c>
      <c r="X2215" s="6">
        <f>IF(ISERROR(VLOOKUP($U$2215,'TAR FIN'!$A$1:$O$95,15,0)),0,VLOOKUP($U$2215,'TAR FIN'!$A$1:$O$95,15,0))</f>
        <v>230.03</v>
      </c>
      <c r="Y2215" s="6"/>
      <c r="Z2215" s="6">
        <f ca="1">('TUSD BE'!$AM$52+'TUSD BF'!$AM$52+'TUSD CVA'!$AM$52)*1</f>
        <v>429.45298114736829</v>
      </c>
      <c r="AA2215" s="6">
        <f>('TE BE'!$AA$40+'TE BF'!$AA$40+'TE CVA'!$AA$40)*1</f>
        <v>282.91739971702214</v>
      </c>
      <c r="AB2215" s="6">
        <f>$K$2215*$V$2215</f>
        <v>0</v>
      </c>
      <c r="AC2215" s="6">
        <f>$M$2215*$W$2215</f>
        <v>17847.856019999999</v>
      </c>
      <c r="AD2215" s="6">
        <f>$O$2215*$X$2215</f>
        <v>10766.094089999999</v>
      </c>
      <c r="AE2215" s="6">
        <f>$K$2215*$Y$2215</f>
        <v>0</v>
      </c>
      <c r="AF2215" s="6">
        <f ca="1">$M$2215*$Z$2215</f>
        <v>20099.687876640277</v>
      </c>
      <c r="AG2215" s="6">
        <f>$O$2215*$AA$2215</f>
        <v>13241.383058955786</v>
      </c>
    </row>
    <row r="2216" spans="1:33" ht="11.25" customHeight="1" x14ac:dyDescent="0.25">
      <c r="A2216" s="4" t="s">
        <v>27</v>
      </c>
      <c r="B2216" s="4" t="s">
        <v>41</v>
      </c>
      <c r="C2216" s="4" t="s">
        <v>39</v>
      </c>
      <c r="D2216" s="4" t="s">
        <v>48</v>
      </c>
      <c r="E2216" s="4" t="s">
        <v>25</v>
      </c>
      <c r="F2216" s="4" t="s">
        <v>25</v>
      </c>
      <c r="G2216" s="4" t="s">
        <v>25</v>
      </c>
      <c r="H2216" s="4" t="s">
        <v>38</v>
      </c>
      <c r="I2216" s="5">
        <v>44136</v>
      </c>
      <c r="J2216" s="6">
        <v>0</v>
      </c>
      <c r="K2216" s="6">
        <v>0</v>
      </c>
      <c r="L2216" s="6">
        <v>-0.2</v>
      </c>
      <c r="M2216" s="6">
        <v>-0.2</v>
      </c>
      <c r="N2216" s="6">
        <v>-0.2</v>
      </c>
      <c r="O2216" s="6">
        <v>-0.2</v>
      </c>
      <c r="P2216" s="6">
        <v>0</v>
      </c>
      <c r="Q2216" s="4" t="s">
        <v>26</v>
      </c>
      <c r="R2216" s="4">
        <v>0</v>
      </c>
      <c r="S2216" s="6">
        <v>0</v>
      </c>
      <c r="T2216" s="6">
        <v>71</v>
      </c>
      <c r="U2216" s="6">
        <v>77</v>
      </c>
      <c r="V2216" s="6">
        <f>IF(ISERROR(VLOOKUP($S$2216,'TAR FIN'!$A$1:$O$95,15,0)),0,VLOOKUP($S$2216,'TAR FIN'!$A$1:$O$95,15,0))</f>
        <v>0</v>
      </c>
      <c r="W2216" s="6">
        <f>IF(ISERROR(VLOOKUP($T$2216,'TAR FIN'!$A$1:$O$95,15,0)),0,VLOOKUP($T$2216,'TAR FIN'!$A$1:$O$95,15,0))</f>
        <v>381.34</v>
      </c>
      <c r="X2216" s="6">
        <f>IF(ISERROR(VLOOKUP($U$2216,'TAR FIN'!$A$1:$O$95,15,0)),0,VLOOKUP($U$2216,'TAR FIN'!$A$1:$O$95,15,0))</f>
        <v>230.03</v>
      </c>
      <c r="Y2216" s="6"/>
      <c r="Z2216" s="6">
        <f ca="1">('TUSD BE'!$AM$52+'TUSD BF'!$AM$52+'TUSD CVA'!$AM$52)*1</f>
        <v>429.45298114736829</v>
      </c>
      <c r="AA2216" s="6">
        <f>('TE BE'!$AA$40+'TE BF'!$AA$40+'TE CVA'!$AA$40)*1</f>
        <v>282.91739971702214</v>
      </c>
      <c r="AB2216" s="6">
        <f>$K$2216*$V$2216</f>
        <v>0</v>
      </c>
      <c r="AC2216" s="6">
        <f>$M$2216*$W$2216</f>
        <v>-76.268000000000001</v>
      </c>
      <c r="AD2216" s="6">
        <f>$O$2216*$X$2216</f>
        <v>-46.006</v>
      </c>
      <c r="AE2216" s="6">
        <f>$K$2216*$Y$2216</f>
        <v>0</v>
      </c>
      <c r="AF2216" s="6">
        <f ca="1">$M$2216*$Z$2216</f>
        <v>-85.890596229473658</v>
      </c>
      <c r="AG2216" s="6">
        <f>$O$2216*$AA$2216</f>
        <v>-56.583479943404427</v>
      </c>
    </row>
    <row r="2217" spans="1:33" ht="11.25" customHeight="1" x14ac:dyDescent="0.25">
      <c r="A2217" s="4" t="s">
        <v>21</v>
      </c>
      <c r="B2217" s="4" t="s">
        <v>41</v>
      </c>
      <c r="C2217" s="4" t="s">
        <v>39</v>
      </c>
      <c r="D2217" s="4" t="s">
        <v>48</v>
      </c>
      <c r="E2217" s="4" t="s">
        <v>25</v>
      </c>
      <c r="F2217" s="4" t="s">
        <v>25</v>
      </c>
      <c r="G2217" s="4" t="s">
        <v>25</v>
      </c>
      <c r="H2217" s="4" t="s">
        <v>38</v>
      </c>
      <c r="I2217" s="5">
        <v>44166</v>
      </c>
      <c r="J2217" s="6">
        <v>0</v>
      </c>
      <c r="K2217" s="6">
        <v>0</v>
      </c>
      <c r="L2217" s="6">
        <v>47.774999999999999</v>
      </c>
      <c r="M2217" s="6">
        <v>47.774999999999999</v>
      </c>
      <c r="N2217" s="6">
        <v>47.774999999999999</v>
      </c>
      <c r="O2217" s="6">
        <v>47.774999999999999</v>
      </c>
      <c r="P2217" s="6">
        <v>0</v>
      </c>
      <c r="Q2217" s="4" t="s">
        <v>26</v>
      </c>
      <c r="R2217" s="4">
        <v>0</v>
      </c>
      <c r="S2217" s="6">
        <v>0</v>
      </c>
      <c r="T2217" s="6">
        <v>71</v>
      </c>
      <c r="U2217" s="6">
        <v>77</v>
      </c>
      <c r="V2217" s="6">
        <f>IF(ISERROR(VLOOKUP($S$2217,'TAR FIN'!$A$1:$O$95,15,0)),0,VLOOKUP($S$2217,'TAR FIN'!$A$1:$O$95,15,0))</f>
        <v>0</v>
      </c>
      <c r="W2217" s="6">
        <f>IF(ISERROR(VLOOKUP($T$2217,'TAR FIN'!$A$1:$O$95,15,0)),0,VLOOKUP($T$2217,'TAR FIN'!$A$1:$O$95,15,0))</f>
        <v>381.34</v>
      </c>
      <c r="X2217" s="6">
        <f>IF(ISERROR(VLOOKUP($U$2217,'TAR FIN'!$A$1:$O$95,15,0)),0,VLOOKUP($U$2217,'TAR FIN'!$A$1:$O$95,15,0))</f>
        <v>230.03</v>
      </c>
      <c r="Y2217" s="6"/>
      <c r="Z2217" s="6">
        <f ca="1">('TUSD BE'!$AM$52+'TUSD BF'!$AM$52+'TUSD CVA'!$AM$52)*1</f>
        <v>429.45298114736829</v>
      </c>
      <c r="AA2217" s="6">
        <f>('TE BE'!$AA$40+'TE BF'!$AA$40+'TE CVA'!$AA$40)*1</f>
        <v>282.91739971702214</v>
      </c>
      <c r="AB2217" s="6">
        <f>$K$2217*$V$2217</f>
        <v>0</v>
      </c>
      <c r="AC2217" s="6">
        <f>$M$2217*$W$2217</f>
        <v>18218.518499999998</v>
      </c>
      <c r="AD2217" s="6">
        <f>$O$2217*$X$2217</f>
        <v>10989.68325</v>
      </c>
      <c r="AE2217" s="6">
        <f>$K$2217*$Y$2217</f>
        <v>0</v>
      </c>
      <c r="AF2217" s="6">
        <f ca="1">$M$2217*$Z$2217</f>
        <v>20517.116174315521</v>
      </c>
      <c r="AG2217" s="6">
        <f>$O$2217*$AA$2217</f>
        <v>13516.378771480731</v>
      </c>
    </row>
    <row r="2218" spans="1:33" ht="11.25" customHeight="1" x14ac:dyDescent="0.25">
      <c r="A2218" s="4" t="s">
        <v>21</v>
      </c>
      <c r="B2218" s="4" t="s">
        <v>41</v>
      </c>
      <c r="C2218" s="4" t="s">
        <v>39</v>
      </c>
      <c r="D2218" s="4" t="s">
        <v>48</v>
      </c>
      <c r="E2218" s="4" t="s">
        <v>25</v>
      </c>
      <c r="F2218" s="4" t="s">
        <v>25</v>
      </c>
      <c r="G2218" s="4" t="s">
        <v>25</v>
      </c>
      <c r="H2218" s="4" t="s">
        <v>38</v>
      </c>
      <c r="I2218" s="5">
        <v>44197</v>
      </c>
      <c r="J2218" s="6">
        <v>0</v>
      </c>
      <c r="K2218" s="6">
        <v>0</v>
      </c>
      <c r="L2218" s="6">
        <v>35.942999999999998</v>
      </c>
      <c r="M2218" s="6">
        <v>35.942999999999998</v>
      </c>
      <c r="N2218" s="6">
        <v>35.942999999999998</v>
      </c>
      <c r="O2218" s="6">
        <v>35.942999999999998</v>
      </c>
      <c r="P2218" s="6">
        <v>0</v>
      </c>
      <c r="Q2218" s="4" t="s">
        <v>26</v>
      </c>
      <c r="R2218" s="4">
        <v>0</v>
      </c>
      <c r="S2218" s="6">
        <v>0</v>
      </c>
      <c r="T2218" s="6">
        <v>71</v>
      </c>
      <c r="U2218" s="6">
        <v>77</v>
      </c>
      <c r="V2218" s="6">
        <f>IF(ISERROR(VLOOKUP($S$2218,'TAR FIN'!$A$1:$O$95,15,0)),0,VLOOKUP($S$2218,'TAR FIN'!$A$1:$O$95,15,0))</f>
        <v>0</v>
      </c>
      <c r="W2218" s="6">
        <f>IF(ISERROR(VLOOKUP($T$2218,'TAR FIN'!$A$1:$O$95,15,0)),0,VLOOKUP($T$2218,'TAR FIN'!$A$1:$O$95,15,0))</f>
        <v>381.34</v>
      </c>
      <c r="X2218" s="6">
        <f>IF(ISERROR(VLOOKUP($U$2218,'TAR FIN'!$A$1:$O$95,15,0)),0,VLOOKUP($U$2218,'TAR FIN'!$A$1:$O$95,15,0))</f>
        <v>230.03</v>
      </c>
      <c r="Y2218" s="6"/>
      <c r="Z2218" s="6">
        <f ca="1">('TUSD BE'!$AM$52+'TUSD BF'!$AM$52+'TUSD CVA'!$AM$52)*1</f>
        <v>429.45298114736829</v>
      </c>
      <c r="AA2218" s="6">
        <f>('TE BE'!$AA$40+'TE BF'!$AA$40+'TE CVA'!$AA$40)*1</f>
        <v>282.91739971702214</v>
      </c>
      <c r="AB2218" s="6">
        <f>$K$2218*$V$2218</f>
        <v>0</v>
      </c>
      <c r="AC2218" s="6">
        <f>$M$2218*$W$2218</f>
        <v>13706.503619999998</v>
      </c>
      <c r="AD2218" s="6">
        <f>$O$2218*$X$2218</f>
        <v>8267.9682899999989</v>
      </c>
      <c r="AE2218" s="6">
        <f>$K$2218*$Y$2218</f>
        <v>0</v>
      </c>
      <c r="AF2218" s="6">
        <f ca="1">$M$2218*$Z$2218</f>
        <v>15435.828501379858</v>
      </c>
      <c r="AG2218" s="6">
        <f>$O$2218*$AA$2218</f>
        <v>10168.900098028926</v>
      </c>
    </row>
    <row r="2219" spans="1:33" ht="11.25" customHeight="1" x14ac:dyDescent="0.25">
      <c r="A2219" s="4" t="s">
        <v>27</v>
      </c>
      <c r="B2219" s="4" t="s">
        <v>41</v>
      </c>
      <c r="C2219" s="4" t="s">
        <v>39</v>
      </c>
      <c r="D2219" s="4" t="s">
        <v>48</v>
      </c>
      <c r="E2219" s="4" t="s">
        <v>25</v>
      </c>
      <c r="F2219" s="4" t="s">
        <v>25</v>
      </c>
      <c r="G2219" s="4" t="s">
        <v>25</v>
      </c>
      <c r="H2219" s="4" t="s">
        <v>38</v>
      </c>
      <c r="I2219" s="5">
        <v>44197</v>
      </c>
      <c r="J2219" s="6">
        <v>0</v>
      </c>
      <c r="K2219" s="6">
        <v>0</v>
      </c>
      <c r="L2219" s="6">
        <v>-8.9130000000000003</v>
      </c>
      <c r="M2219" s="6">
        <v>-8.9130000000000003</v>
      </c>
      <c r="N2219" s="6">
        <v>-8.9130000000000003</v>
      </c>
      <c r="O2219" s="6">
        <v>-8.9130000000000003</v>
      </c>
      <c r="P2219" s="6">
        <v>0</v>
      </c>
      <c r="Q2219" s="4" t="s">
        <v>26</v>
      </c>
      <c r="R2219" s="4">
        <v>0</v>
      </c>
      <c r="S2219" s="6">
        <v>0</v>
      </c>
      <c r="T2219" s="6">
        <v>71</v>
      </c>
      <c r="U2219" s="6">
        <v>77</v>
      </c>
      <c r="V2219" s="6">
        <f>IF(ISERROR(VLOOKUP($S$2219,'TAR FIN'!$A$1:$O$95,15,0)),0,VLOOKUP($S$2219,'TAR FIN'!$A$1:$O$95,15,0))</f>
        <v>0</v>
      </c>
      <c r="W2219" s="6">
        <f>IF(ISERROR(VLOOKUP($T$2219,'TAR FIN'!$A$1:$O$95,15,0)),0,VLOOKUP($T$2219,'TAR FIN'!$A$1:$O$95,15,0))</f>
        <v>381.34</v>
      </c>
      <c r="X2219" s="6">
        <f>IF(ISERROR(VLOOKUP($U$2219,'TAR FIN'!$A$1:$O$95,15,0)),0,VLOOKUP($U$2219,'TAR FIN'!$A$1:$O$95,15,0))</f>
        <v>230.03</v>
      </c>
      <c r="Y2219" s="6"/>
      <c r="Z2219" s="6">
        <f ca="1">('TUSD BE'!$AM$52+'TUSD BF'!$AM$52+'TUSD CVA'!$AM$52)*1</f>
        <v>429.45298114736829</v>
      </c>
      <c r="AA2219" s="6">
        <f>('TE BE'!$AA$40+'TE BF'!$AA$40+'TE CVA'!$AA$40)*1</f>
        <v>282.91739971702214</v>
      </c>
      <c r="AB2219" s="6">
        <f>$K$2219*$V$2219</f>
        <v>0</v>
      </c>
      <c r="AC2219" s="6">
        <f>$M$2219*$W$2219</f>
        <v>-3398.8834199999997</v>
      </c>
      <c r="AD2219" s="6">
        <f>$O$2219*$X$2219</f>
        <v>-2050.2573900000002</v>
      </c>
      <c r="AE2219" s="6">
        <f>$K$2219*$Y$2219</f>
        <v>0</v>
      </c>
      <c r="AF2219" s="6">
        <f ca="1">$M$2219*$Z$2219</f>
        <v>-3827.7144209664939</v>
      </c>
      <c r="AG2219" s="6">
        <f>$O$2219*$AA$2219</f>
        <v>-2521.6427836778184</v>
      </c>
    </row>
    <row r="2220" spans="1:33" ht="11.25" customHeight="1" x14ac:dyDescent="0.25">
      <c r="A2220" s="4" t="s">
        <v>21</v>
      </c>
      <c r="B2220" s="4" t="s">
        <v>41</v>
      </c>
      <c r="C2220" s="4" t="s">
        <v>39</v>
      </c>
      <c r="D2220" s="4" t="s">
        <v>48</v>
      </c>
      <c r="E2220" s="4" t="s">
        <v>25</v>
      </c>
      <c r="F2220" s="4" t="s">
        <v>25</v>
      </c>
      <c r="G2220" s="4" t="s">
        <v>25</v>
      </c>
      <c r="H2220" s="4" t="s">
        <v>38</v>
      </c>
      <c r="I2220" s="5">
        <v>44228</v>
      </c>
      <c r="J2220" s="6">
        <v>0</v>
      </c>
      <c r="K2220" s="6">
        <v>0</v>
      </c>
      <c r="L2220" s="6">
        <v>26.614999999999998</v>
      </c>
      <c r="M2220" s="6">
        <v>26.614999999999998</v>
      </c>
      <c r="N2220" s="6">
        <v>26.614999999999998</v>
      </c>
      <c r="O2220" s="6">
        <v>26.614999999999998</v>
      </c>
      <c r="P2220" s="6">
        <v>0</v>
      </c>
      <c r="Q2220" s="4" t="s">
        <v>26</v>
      </c>
      <c r="R2220" s="4">
        <v>0</v>
      </c>
      <c r="S2220" s="6">
        <v>0</v>
      </c>
      <c r="T2220" s="6">
        <v>71</v>
      </c>
      <c r="U2220" s="6">
        <v>77</v>
      </c>
      <c r="V2220" s="6">
        <f>IF(ISERROR(VLOOKUP($S$2220,'TAR FIN'!$A$1:$O$95,15,0)),0,VLOOKUP($S$2220,'TAR FIN'!$A$1:$O$95,15,0))</f>
        <v>0</v>
      </c>
      <c r="W2220" s="6">
        <f>IF(ISERROR(VLOOKUP($T$2220,'TAR FIN'!$A$1:$O$95,15,0)),0,VLOOKUP($T$2220,'TAR FIN'!$A$1:$O$95,15,0))</f>
        <v>381.34</v>
      </c>
      <c r="X2220" s="6">
        <f>IF(ISERROR(VLOOKUP($U$2220,'TAR FIN'!$A$1:$O$95,15,0)),0,VLOOKUP($U$2220,'TAR FIN'!$A$1:$O$95,15,0))</f>
        <v>230.03</v>
      </c>
      <c r="Y2220" s="6"/>
      <c r="Z2220" s="6">
        <f ca="1">('TUSD BE'!$AM$52+'TUSD BF'!$AM$52+'TUSD CVA'!$AM$52)*1</f>
        <v>429.45298114736829</v>
      </c>
      <c r="AA2220" s="6">
        <f>('TE BE'!$AA$40+'TE BF'!$AA$40+'TE CVA'!$AA$40)*1</f>
        <v>282.91739971702214</v>
      </c>
      <c r="AB2220" s="6">
        <f>$K$2220*$V$2220</f>
        <v>0</v>
      </c>
      <c r="AC2220" s="6">
        <f>$M$2220*$W$2220</f>
        <v>10149.364099999999</v>
      </c>
      <c r="AD2220" s="6">
        <f>$O$2220*$X$2220</f>
        <v>6122.24845</v>
      </c>
      <c r="AE2220" s="6">
        <f>$K$2220*$Y$2220</f>
        <v>0</v>
      </c>
      <c r="AF2220" s="6">
        <f ca="1">$M$2220*$Z$2220</f>
        <v>11429.891093237205</v>
      </c>
      <c r="AG2220" s="6">
        <f>$O$2220*$AA$2220</f>
        <v>7529.8465934685437</v>
      </c>
    </row>
    <row r="2221" spans="1:33" ht="11.25" customHeight="1" x14ac:dyDescent="0.25">
      <c r="A2221" s="4" t="s">
        <v>28</v>
      </c>
      <c r="B2221" s="4" t="s">
        <v>41</v>
      </c>
      <c r="C2221" s="4" t="s">
        <v>39</v>
      </c>
      <c r="D2221" s="4" t="s">
        <v>48</v>
      </c>
      <c r="E2221" s="4" t="s">
        <v>25</v>
      </c>
      <c r="F2221" s="4" t="s">
        <v>25</v>
      </c>
      <c r="G2221" s="4" t="s">
        <v>25</v>
      </c>
      <c r="H2221" s="4" t="s">
        <v>38</v>
      </c>
      <c r="I2221" s="5">
        <v>44228</v>
      </c>
      <c r="J2221" s="6">
        <v>0</v>
      </c>
      <c r="K2221" s="6">
        <v>0</v>
      </c>
      <c r="L2221" s="6">
        <v>0.32700000000000001</v>
      </c>
      <c r="M2221" s="6">
        <v>0.32700000000000001</v>
      </c>
      <c r="N2221" s="6">
        <v>0.32700000000000001</v>
      </c>
      <c r="O2221" s="6">
        <v>0.32700000000000001</v>
      </c>
      <c r="P2221" s="6">
        <v>0</v>
      </c>
      <c r="Q2221" s="4" t="s">
        <v>26</v>
      </c>
      <c r="R2221" s="4">
        <v>0</v>
      </c>
      <c r="S2221" s="6">
        <v>0</v>
      </c>
      <c r="T2221" s="6">
        <v>71</v>
      </c>
      <c r="U2221" s="6">
        <v>77</v>
      </c>
      <c r="V2221" s="6">
        <f>IF(ISERROR(VLOOKUP($S$2221,'TAR FIN'!$A$1:$O$95,15,0)),0,VLOOKUP($S$2221,'TAR FIN'!$A$1:$O$95,15,0))</f>
        <v>0</v>
      </c>
      <c r="W2221" s="6">
        <f>IF(ISERROR(VLOOKUP($T$2221,'TAR FIN'!$A$1:$O$95,15,0)),0,VLOOKUP($T$2221,'TAR FIN'!$A$1:$O$95,15,0))</f>
        <v>381.34</v>
      </c>
      <c r="X2221" s="6">
        <f>IF(ISERROR(VLOOKUP($U$2221,'TAR FIN'!$A$1:$O$95,15,0)),0,VLOOKUP($U$2221,'TAR FIN'!$A$1:$O$95,15,0))</f>
        <v>230.03</v>
      </c>
      <c r="Y2221" s="6"/>
      <c r="Z2221" s="6">
        <f ca="1">('TUSD BE'!$AM$52+'TUSD BF'!$AM$52+'TUSD CVA'!$AM$52)*1</f>
        <v>429.45298114736829</v>
      </c>
      <c r="AA2221" s="6">
        <f>('TE BE'!$AA$40+'TE BF'!$AA$40+'TE CVA'!$AA$40)*1</f>
        <v>282.91739971702214</v>
      </c>
      <c r="AB2221" s="6">
        <f>$K$2221*$V$2221</f>
        <v>0</v>
      </c>
      <c r="AC2221" s="6">
        <f>$M$2221*$W$2221</f>
        <v>124.69817999999999</v>
      </c>
      <c r="AD2221" s="6">
        <f>$O$2221*$X$2221</f>
        <v>75.21981000000001</v>
      </c>
      <c r="AE2221" s="6">
        <f>$K$2221*$Y$2221</f>
        <v>0</v>
      </c>
      <c r="AF2221" s="6">
        <f ca="1">$M$2221*$Z$2221</f>
        <v>140.43112483518945</v>
      </c>
      <c r="AG2221" s="6">
        <f>$O$2221*$AA$2221</f>
        <v>92.513989707466237</v>
      </c>
    </row>
    <row r="2222" spans="1:33" ht="11.25" customHeight="1" x14ac:dyDescent="0.25">
      <c r="A2222" s="4" t="s">
        <v>21</v>
      </c>
      <c r="B2222" s="4" t="s">
        <v>41</v>
      </c>
      <c r="C2222" s="4" t="s">
        <v>39</v>
      </c>
      <c r="D2222" s="4" t="s">
        <v>48</v>
      </c>
      <c r="E2222" s="4" t="s">
        <v>25</v>
      </c>
      <c r="F2222" s="4" t="s">
        <v>25</v>
      </c>
      <c r="G2222" s="4" t="s">
        <v>25</v>
      </c>
      <c r="H2222" s="4" t="s">
        <v>38</v>
      </c>
      <c r="I2222" s="5">
        <v>44256</v>
      </c>
      <c r="J2222" s="6">
        <v>0</v>
      </c>
      <c r="K2222" s="6">
        <v>0</v>
      </c>
      <c r="L2222" s="6">
        <v>34.084000000000003</v>
      </c>
      <c r="M2222" s="6">
        <v>34.084000000000003</v>
      </c>
      <c r="N2222" s="6">
        <v>34.084000000000003</v>
      </c>
      <c r="O2222" s="6">
        <v>34.084000000000003</v>
      </c>
      <c r="P2222" s="6">
        <v>0</v>
      </c>
      <c r="Q2222" s="4" t="s">
        <v>26</v>
      </c>
      <c r="R2222" s="4">
        <v>0</v>
      </c>
      <c r="S2222" s="6">
        <v>0</v>
      </c>
      <c r="T2222" s="6">
        <v>71</v>
      </c>
      <c r="U2222" s="6">
        <v>77</v>
      </c>
      <c r="V2222" s="6">
        <f>IF(ISERROR(VLOOKUP($S$2222,'TAR FIN'!$A$1:$O$95,15,0)),0,VLOOKUP($S$2222,'TAR FIN'!$A$1:$O$95,15,0))</f>
        <v>0</v>
      </c>
      <c r="W2222" s="6">
        <f>IF(ISERROR(VLOOKUP($T$2222,'TAR FIN'!$A$1:$O$95,15,0)),0,VLOOKUP($T$2222,'TAR FIN'!$A$1:$O$95,15,0))</f>
        <v>381.34</v>
      </c>
      <c r="X2222" s="6">
        <f>IF(ISERROR(VLOOKUP($U$2222,'TAR FIN'!$A$1:$O$95,15,0)),0,VLOOKUP($U$2222,'TAR FIN'!$A$1:$O$95,15,0))</f>
        <v>230.03</v>
      </c>
      <c r="Y2222" s="6"/>
      <c r="Z2222" s="6">
        <f ca="1">('TUSD BE'!$AM$52+'TUSD BF'!$AM$52+'TUSD CVA'!$AM$52)*1</f>
        <v>429.45298114736829</v>
      </c>
      <c r="AA2222" s="6">
        <f>('TE BE'!$AA$40+'TE BF'!$AA$40+'TE CVA'!$AA$40)*1</f>
        <v>282.91739971702214</v>
      </c>
      <c r="AB2222" s="6">
        <f>$K$2222*$V$2222</f>
        <v>0</v>
      </c>
      <c r="AC2222" s="6">
        <f>$M$2222*$W$2222</f>
        <v>12997.592560000001</v>
      </c>
      <c r="AD2222" s="6">
        <f>$O$2222*$X$2222</f>
        <v>7840.3425200000011</v>
      </c>
      <c r="AE2222" s="6">
        <f>$K$2222*$Y$2222</f>
        <v>0</v>
      </c>
      <c r="AF2222" s="6">
        <f ca="1">$M$2222*$Z$2222</f>
        <v>14637.475409426903</v>
      </c>
      <c r="AG2222" s="6">
        <f>$O$2222*$AA$2222</f>
        <v>9642.9566519549826</v>
      </c>
    </row>
    <row r="2223" spans="1:33" ht="11.25" customHeight="1" x14ac:dyDescent="0.25">
      <c r="A2223" s="4" t="s">
        <v>28</v>
      </c>
      <c r="B2223" s="4" t="s">
        <v>41</v>
      </c>
      <c r="C2223" s="4" t="s">
        <v>39</v>
      </c>
      <c r="D2223" s="4" t="s">
        <v>48</v>
      </c>
      <c r="E2223" s="4" t="s">
        <v>25</v>
      </c>
      <c r="F2223" s="4" t="s">
        <v>25</v>
      </c>
      <c r="G2223" s="4" t="s">
        <v>25</v>
      </c>
      <c r="H2223" s="4" t="s">
        <v>38</v>
      </c>
      <c r="I2223" s="5">
        <v>44256</v>
      </c>
      <c r="J2223" s="6">
        <v>0</v>
      </c>
      <c r="K2223" s="6">
        <v>0</v>
      </c>
      <c r="L2223" s="6">
        <v>3.67</v>
      </c>
      <c r="M2223" s="6">
        <v>3.67</v>
      </c>
      <c r="N2223" s="6">
        <v>3.67</v>
      </c>
      <c r="O2223" s="6">
        <v>3.67</v>
      </c>
      <c r="P2223" s="6">
        <v>0</v>
      </c>
      <c r="Q2223" s="4" t="s">
        <v>26</v>
      </c>
      <c r="R2223" s="4">
        <v>0</v>
      </c>
      <c r="S2223" s="6">
        <v>0</v>
      </c>
      <c r="T2223" s="6">
        <v>71</v>
      </c>
      <c r="U2223" s="6">
        <v>77</v>
      </c>
      <c r="V2223" s="6">
        <f>IF(ISERROR(VLOOKUP($S$2223,'TAR FIN'!$A$1:$O$95,15,0)),0,VLOOKUP($S$2223,'TAR FIN'!$A$1:$O$95,15,0))</f>
        <v>0</v>
      </c>
      <c r="W2223" s="6">
        <f>IF(ISERROR(VLOOKUP($T$2223,'TAR FIN'!$A$1:$O$95,15,0)),0,VLOOKUP($T$2223,'TAR FIN'!$A$1:$O$95,15,0))</f>
        <v>381.34</v>
      </c>
      <c r="X2223" s="6">
        <f>IF(ISERROR(VLOOKUP($U$2223,'TAR FIN'!$A$1:$O$95,15,0)),0,VLOOKUP($U$2223,'TAR FIN'!$A$1:$O$95,15,0))</f>
        <v>230.03</v>
      </c>
      <c r="Y2223" s="6"/>
      <c r="Z2223" s="6">
        <f ca="1">('TUSD BE'!$AM$52+'TUSD BF'!$AM$52+'TUSD CVA'!$AM$52)*1</f>
        <v>429.45298114736829</v>
      </c>
      <c r="AA2223" s="6">
        <f>('TE BE'!$AA$40+'TE BF'!$AA$40+'TE CVA'!$AA$40)*1</f>
        <v>282.91739971702214</v>
      </c>
      <c r="AB2223" s="6">
        <f>$K$2223*$V$2223</f>
        <v>0</v>
      </c>
      <c r="AC2223" s="6">
        <f>$M$2223*$W$2223</f>
        <v>1399.5177999999999</v>
      </c>
      <c r="AD2223" s="6">
        <f>$O$2223*$X$2223</f>
        <v>844.21010000000001</v>
      </c>
      <c r="AE2223" s="6">
        <f>$K$2223*$Y$2223</f>
        <v>0</v>
      </c>
      <c r="AF2223" s="6">
        <f ca="1">$M$2223*$Z$2223</f>
        <v>1576.0924408108417</v>
      </c>
      <c r="AG2223" s="6">
        <f>$O$2223*$AA$2223</f>
        <v>1038.3068569614711</v>
      </c>
    </row>
    <row r="2224" spans="1:33" ht="11.25" customHeight="1" x14ac:dyDescent="0.25">
      <c r="A2224" s="4" t="s">
        <v>21</v>
      </c>
      <c r="B2224" s="4" t="s">
        <v>41</v>
      </c>
      <c r="C2224" s="4" t="s">
        <v>39</v>
      </c>
      <c r="D2224" s="4" t="s">
        <v>48</v>
      </c>
      <c r="E2224" s="4" t="s">
        <v>25</v>
      </c>
      <c r="F2224" s="4" t="s">
        <v>25</v>
      </c>
      <c r="G2224" s="4" t="s">
        <v>25</v>
      </c>
      <c r="H2224" s="4" t="s">
        <v>38</v>
      </c>
      <c r="I2224" s="5">
        <v>44287</v>
      </c>
      <c r="J2224" s="6">
        <v>0</v>
      </c>
      <c r="K2224" s="6">
        <v>0</v>
      </c>
      <c r="L2224" s="6">
        <v>31.145</v>
      </c>
      <c r="M2224" s="6">
        <v>31.145</v>
      </c>
      <c r="N2224" s="6">
        <v>31.145</v>
      </c>
      <c r="O2224" s="6">
        <v>31.145</v>
      </c>
      <c r="P2224" s="6">
        <v>0</v>
      </c>
      <c r="Q2224" s="4" t="s">
        <v>26</v>
      </c>
      <c r="R2224" s="4">
        <v>0</v>
      </c>
      <c r="S2224" s="6">
        <v>0</v>
      </c>
      <c r="T2224" s="6">
        <v>71</v>
      </c>
      <c r="U2224" s="6">
        <v>77</v>
      </c>
      <c r="V2224" s="6">
        <f>IF(ISERROR(VLOOKUP($S$2224,'TAR FIN'!$A$1:$O$95,15,0)),0,VLOOKUP($S$2224,'TAR FIN'!$A$1:$O$95,15,0))</f>
        <v>0</v>
      </c>
      <c r="W2224" s="6">
        <f>IF(ISERROR(VLOOKUP($T$2224,'TAR FIN'!$A$1:$O$95,15,0)),0,VLOOKUP($T$2224,'TAR FIN'!$A$1:$O$95,15,0))</f>
        <v>381.34</v>
      </c>
      <c r="X2224" s="6">
        <f>IF(ISERROR(VLOOKUP($U$2224,'TAR FIN'!$A$1:$O$95,15,0)),0,VLOOKUP($U$2224,'TAR FIN'!$A$1:$O$95,15,0))</f>
        <v>230.03</v>
      </c>
      <c r="Y2224" s="6"/>
      <c r="Z2224" s="6">
        <f ca="1">('TUSD BE'!$AM$52+'TUSD BF'!$AM$52+'TUSD CVA'!$AM$52)*1</f>
        <v>429.45298114736829</v>
      </c>
      <c r="AA2224" s="6">
        <f>('TE BE'!$AA$40+'TE BF'!$AA$40+'TE CVA'!$AA$40)*1</f>
        <v>282.91739971702214</v>
      </c>
      <c r="AB2224" s="6">
        <f>$K$2224*$V$2224</f>
        <v>0</v>
      </c>
      <c r="AC2224" s="6">
        <f>$M$2224*$W$2224</f>
        <v>11876.834299999999</v>
      </c>
      <c r="AD2224" s="6">
        <f>$O$2224*$X$2224</f>
        <v>7164.2843499999999</v>
      </c>
      <c r="AE2224" s="6">
        <f>$K$2224*$Y$2224</f>
        <v>0</v>
      </c>
      <c r="AF2224" s="6">
        <f ca="1">$M$2224*$Z$2224</f>
        <v>13375.313097834785</v>
      </c>
      <c r="AG2224" s="6">
        <f>$O$2224*$AA$2224</f>
        <v>8811.4624141866534</v>
      </c>
    </row>
    <row r="2225" spans="1:33" ht="11.25" customHeight="1" x14ac:dyDescent="0.25">
      <c r="A2225" s="4" t="s">
        <v>28</v>
      </c>
      <c r="B2225" s="4" t="s">
        <v>41</v>
      </c>
      <c r="C2225" s="4" t="s">
        <v>39</v>
      </c>
      <c r="D2225" s="4" t="s">
        <v>48</v>
      </c>
      <c r="E2225" s="4" t="s">
        <v>25</v>
      </c>
      <c r="F2225" s="4" t="s">
        <v>25</v>
      </c>
      <c r="G2225" s="4" t="s">
        <v>25</v>
      </c>
      <c r="H2225" s="4" t="s">
        <v>38</v>
      </c>
      <c r="I2225" s="5">
        <v>44287</v>
      </c>
      <c r="J2225" s="6">
        <v>0</v>
      </c>
      <c r="K2225" s="6">
        <v>0</v>
      </c>
      <c r="L2225" s="6">
        <v>5.798</v>
      </c>
      <c r="M2225" s="6">
        <v>5.798</v>
      </c>
      <c r="N2225" s="6">
        <v>5.798</v>
      </c>
      <c r="O2225" s="6">
        <v>5.798</v>
      </c>
      <c r="P2225" s="6">
        <v>0</v>
      </c>
      <c r="Q2225" s="4" t="s">
        <v>26</v>
      </c>
      <c r="R2225" s="4">
        <v>0</v>
      </c>
      <c r="S2225" s="6">
        <v>0</v>
      </c>
      <c r="T2225" s="6">
        <v>71</v>
      </c>
      <c r="U2225" s="6">
        <v>77</v>
      </c>
      <c r="V2225" s="6">
        <f>IF(ISERROR(VLOOKUP($S$2225,'TAR FIN'!$A$1:$O$95,15,0)),0,VLOOKUP($S$2225,'TAR FIN'!$A$1:$O$95,15,0))</f>
        <v>0</v>
      </c>
      <c r="W2225" s="6">
        <f>IF(ISERROR(VLOOKUP($T$2225,'TAR FIN'!$A$1:$O$95,15,0)),0,VLOOKUP($T$2225,'TAR FIN'!$A$1:$O$95,15,0))</f>
        <v>381.34</v>
      </c>
      <c r="X2225" s="6">
        <f>IF(ISERROR(VLOOKUP($U$2225,'TAR FIN'!$A$1:$O$95,15,0)),0,VLOOKUP($U$2225,'TAR FIN'!$A$1:$O$95,15,0))</f>
        <v>230.03</v>
      </c>
      <c r="Y2225" s="6"/>
      <c r="Z2225" s="6">
        <f ca="1">('TUSD BE'!$AM$52+'TUSD BF'!$AM$52+'TUSD CVA'!$AM$52)*1</f>
        <v>429.45298114736829</v>
      </c>
      <c r="AA2225" s="6">
        <f>('TE BE'!$AA$40+'TE BF'!$AA$40+'TE CVA'!$AA$40)*1</f>
        <v>282.91739971702214</v>
      </c>
      <c r="AB2225" s="6">
        <f>$K$2225*$V$2225</f>
        <v>0</v>
      </c>
      <c r="AC2225" s="6">
        <f>$M$2225*$W$2225</f>
        <v>2211.0093199999997</v>
      </c>
      <c r="AD2225" s="6">
        <f>$O$2225*$X$2225</f>
        <v>1333.7139400000001</v>
      </c>
      <c r="AE2225" s="6">
        <f>$K$2225*$Y$2225</f>
        <v>0</v>
      </c>
      <c r="AF2225" s="6">
        <f ca="1">$M$2225*$Z$2225</f>
        <v>2489.9683846924413</v>
      </c>
      <c r="AG2225" s="6">
        <f>$O$2225*$AA$2225</f>
        <v>1640.3550835592944</v>
      </c>
    </row>
    <row r="2226" spans="1:33" ht="11.25" customHeight="1" x14ac:dyDescent="0.25">
      <c r="A2226" s="4" t="s">
        <v>21</v>
      </c>
      <c r="B2226" s="4" t="s">
        <v>41</v>
      </c>
      <c r="C2226" s="4" t="s">
        <v>39</v>
      </c>
      <c r="D2226" s="4" t="s">
        <v>48</v>
      </c>
      <c r="E2226" s="4" t="s">
        <v>25</v>
      </c>
      <c r="F2226" s="4" t="s">
        <v>25</v>
      </c>
      <c r="G2226" s="4" t="s">
        <v>25</v>
      </c>
      <c r="H2226" s="4" t="s">
        <v>38</v>
      </c>
      <c r="I2226" s="5">
        <v>44317</v>
      </c>
      <c r="J2226" s="6">
        <v>0</v>
      </c>
      <c r="K2226" s="6">
        <v>0</v>
      </c>
      <c r="L2226" s="6">
        <v>16.847999999999999</v>
      </c>
      <c r="M2226" s="6">
        <v>16.847999999999999</v>
      </c>
      <c r="N2226" s="6">
        <v>16.847999999999999</v>
      </c>
      <c r="O2226" s="6">
        <v>16.847999999999999</v>
      </c>
      <c r="P2226" s="6">
        <v>0</v>
      </c>
      <c r="Q2226" s="4" t="s">
        <v>26</v>
      </c>
      <c r="R2226" s="4">
        <v>0</v>
      </c>
      <c r="S2226" s="6">
        <v>0</v>
      </c>
      <c r="T2226" s="6">
        <v>71</v>
      </c>
      <c r="U2226" s="6">
        <v>77</v>
      </c>
      <c r="V2226" s="6">
        <f>IF(ISERROR(VLOOKUP($S$2226,'TAR FIN'!$A$1:$O$95,15,0)),0,VLOOKUP($S$2226,'TAR FIN'!$A$1:$O$95,15,0))</f>
        <v>0</v>
      </c>
      <c r="W2226" s="6">
        <f>IF(ISERROR(VLOOKUP($T$2226,'TAR FIN'!$A$1:$O$95,15,0)),0,VLOOKUP($T$2226,'TAR FIN'!$A$1:$O$95,15,0))</f>
        <v>381.34</v>
      </c>
      <c r="X2226" s="6">
        <f>IF(ISERROR(VLOOKUP($U$2226,'TAR FIN'!$A$1:$O$95,15,0)),0,VLOOKUP($U$2226,'TAR FIN'!$A$1:$O$95,15,0))</f>
        <v>230.03</v>
      </c>
      <c r="Y2226" s="6"/>
      <c r="Z2226" s="6">
        <f ca="1">('TUSD BE'!$AM$52+'TUSD BF'!$AM$52+'TUSD CVA'!$AM$52)*1</f>
        <v>429.45298114736829</v>
      </c>
      <c r="AA2226" s="6">
        <f>('TE BE'!$AA$40+'TE BF'!$AA$40+'TE CVA'!$AA$40)*1</f>
        <v>282.91739971702214</v>
      </c>
      <c r="AB2226" s="6">
        <f>$K$2226*$V$2226</f>
        <v>0</v>
      </c>
      <c r="AC2226" s="6">
        <f>$M$2226*$W$2226</f>
        <v>6424.816319999999</v>
      </c>
      <c r="AD2226" s="6">
        <f>$O$2226*$X$2226</f>
        <v>3875.5454399999999</v>
      </c>
      <c r="AE2226" s="6">
        <f>$K$2226*$Y$2226</f>
        <v>0</v>
      </c>
      <c r="AF2226" s="6">
        <f ca="1">$M$2226*$Z$2226</f>
        <v>7235.4238263708603</v>
      </c>
      <c r="AG2226" s="6">
        <f>$O$2226*$AA$2226</f>
        <v>4766.5923504323882</v>
      </c>
    </row>
    <row r="2227" spans="1:33" ht="11.25" customHeight="1" x14ac:dyDescent="0.25">
      <c r="A2227" s="4" t="s">
        <v>28</v>
      </c>
      <c r="B2227" s="4" t="s">
        <v>41</v>
      </c>
      <c r="C2227" s="4" t="s">
        <v>39</v>
      </c>
      <c r="D2227" s="4" t="s">
        <v>48</v>
      </c>
      <c r="E2227" s="4" t="s">
        <v>25</v>
      </c>
      <c r="F2227" s="4" t="s">
        <v>25</v>
      </c>
      <c r="G2227" s="4" t="s">
        <v>25</v>
      </c>
      <c r="H2227" s="4" t="s">
        <v>38</v>
      </c>
      <c r="I2227" s="5">
        <v>44317</v>
      </c>
      <c r="J2227" s="6">
        <v>0</v>
      </c>
      <c r="K2227" s="6">
        <v>0</v>
      </c>
      <c r="L2227" s="6">
        <v>13.352</v>
      </c>
      <c r="M2227" s="6">
        <v>13.352</v>
      </c>
      <c r="N2227" s="6">
        <v>13.352</v>
      </c>
      <c r="O2227" s="6">
        <v>13.352</v>
      </c>
      <c r="P2227" s="6">
        <v>0</v>
      </c>
      <c r="Q2227" s="4" t="s">
        <v>26</v>
      </c>
      <c r="R2227" s="4">
        <v>0</v>
      </c>
      <c r="S2227" s="6">
        <v>0</v>
      </c>
      <c r="T2227" s="6">
        <v>71</v>
      </c>
      <c r="U2227" s="6">
        <v>77</v>
      </c>
      <c r="V2227" s="6">
        <f>IF(ISERROR(VLOOKUP($S$2227,'TAR FIN'!$A$1:$O$95,15,0)),0,VLOOKUP($S$2227,'TAR FIN'!$A$1:$O$95,15,0))</f>
        <v>0</v>
      </c>
      <c r="W2227" s="6">
        <f>IF(ISERROR(VLOOKUP($T$2227,'TAR FIN'!$A$1:$O$95,15,0)),0,VLOOKUP($T$2227,'TAR FIN'!$A$1:$O$95,15,0))</f>
        <v>381.34</v>
      </c>
      <c r="X2227" s="6">
        <f>IF(ISERROR(VLOOKUP($U$2227,'TAR FIN'!$A$1:$O$95,15,0)),0,VLOOKUP($U$2227,'TAR FIN'!$A$1:$O$95,15,0))</f>
        <v>230.03</v>
      </c>
      <c r="Y2227" s="6"/>
      <c r="Z2227" s="6">
        <f ca="1">('TUSD BE'!$AM$52+'TUSD BF'!$AM$52+'TUSD CVA'!$AM$52)*1</f>
        <v>429.45298114736829</v>
      </c>
      <c r="AA2227" s="6">
        <f>('TE BE'!$AA$40+'TE BF'!$AA$40+'TE CVA'!$AA$40)*1</f>
        <v>282.91739971702214</v>
      </c>
      <c r="AB2227" s="6">
        <f>$K$2227*$V$2227</f>
        <v>0</v>
      </c>
      <c r="AC2227" s="6">
        <f>$M$2227*$W$2227</f>
        <v>5091.6516799999999</v>
      </c>
      <c r="AD2227" s="6">
        <f>$O$2227*$X$2227</f>
        <v>3071.3605600000001</v>
      </c>
      <c r="AE2227" s="6">
        <f>$K$2227*$Y$2227</f>
        <v>0</v>
      </c>
      <c r="AF2227" s="6">
        <f ca="1">$M$2227*$Z$2227</f>
        <v>5734.0562042796619</v>
      </c>
      <c r="AG2227" s="6">
        <f>$O$2227*$AA$2227</f>
        <v>3777.5131210216796</v>
      </c>
    </row>
    <row r="2228" spans="1:33" ht="11.25" customHeight="1" x14ac:dyDescent="0.25">
      <c r="A2228" s="4" t="s">
        <v>21</v>
      </c>
      <c r="B2228" s="4" t="s">
        <v>41</v>
      </c>
      <c r="C2228" s="4" t="s">
        <v>39</v>
      </c>
      <c r="D2228" s="4" t="s">
        <v>48</v>
      </c>
      <c r="E2228" s="4" t="s">
        <v>25</v>
      </c>
      <c r="F2228" s="4" t="s">
        <v>25</v>
      </c>
      <c r="G2228" s="4" t="s">
        <v>25</v>
      </c>
      <c r="H2228" s="4" t="s">
        <v>38</v>
      </c>
      <c r="I2228" s="5">
        <v>44348</v>
      </c>
      <c r="J2228" s="6">
        <v>0</v>
      </c>
      <c r="K2228" s="6">
        <v>0</v>
      </c>
      <c r="L2228" s="6">
        <v>18.137</v>
      </c>
      <c r="M2228" s="6">
        <v>18.137</v>
      </c>
      <c r="N2228" s="6">
        <v>18.137</v>
      </c>
      <c r="O2228" s="6">
        <v>18.137</v>
      </c>
      <c r="P2228" s="6">
        <v>0</v>
      </c>
      <c r="Q2228" s="4" t="s">
        <v>26</v>
      </c>
      <c r="R2228" s="4">
        <v>0</v>
      </c>
      <c r="S2228" s="6">
        <v>0</v>
      </c>
      <c r="T2228" s="6">
        <v>71</v>
      </c>
      <c r="U2228" s="6">
        <v>77</v>
      </c>
      <c r="V2228" s="6">
        <f>IF(ISERROR(VLOOKUP($S$2228,'TAR FIN'!$A$1:$O$95,15,0)),0,VLOOKUP($S$2228,'TAR FIN'!$A$1:$O$95,15,0))</f>
        <v>0</v>
      </c>
      <c r="W2228" s="6">
        <f>IF(ISERROR(VLOOKUP($T$2228,'TAR FIN'!$A$1:$O$95,15,0)),0,VLOOKUP($T$2228,'TAR FIN'!$A$1:$O$95,15,0))</f>
        <v>381.34</v>
      </c>
      <c r="X2228" s="6">
        <f>IF(ISERROR(VLOOKUP($U$2228,'TAR FIN'!$A$1:$O$95,15,0)),0,VLOOKUP($U$2228,'TAR FIN'!$A$1:$O$95,15,0))</f>
        <v>230.03</v>
      </c>
      <c r="Y2228" s="6"/>
      <c r="Z2228" s="6">
        <f ca="1">('TUSD BE'!$AM$52+'TUSD BF'!$AM$52+'TUSD CVA'!$AM$52)*1</f>
        <v>429.45298114736829</v>
      </c>
      <c r="AA2228" s="6">
        <f>('TE BE'!$AA$40+'TE BF'!$AA$40+'TE CVA'!$AA$40)*1</f>
        <v>282.91739971702214</v>
      </c>
      <c r="AB2228" s="6">
        <f>$K$2228*$V$2228</f>
        <v>0</v>
      </c>
      <c r="AC2228" s="6">
        <f>$M$2228*$W$2228</f>
        <v>6916.3635799999993</v>
      </c>
      <c r="AD2228" s="6">
        <f>$O$2228*$X$2228</f>
        <v>4172.05411</v>
      </c>
      <c r="AE2228" s="6">
        <f>$K$2228*$Y$2228</f>
        <v>0</v>
      </c>
      <c r="AF2228" s="6">
        <f ca="1">$M$2228*$Z$2228</f>
        <v>7788.9887190698191</v>
      </c>
      <c r="AG2228" s="6">
        <f>$O$2228*$AA$2228</f>
        <v>5131.2728786676307</v>
      </c>
    </row>
    <row r="2229" spans="1:33" ht="11.25" customHeight="1" x14ac:dyDescent="0.25">
      <c r="A2229" s="4" t="s">
        <v>28</v>
      </c>
      <c r="B2229" s="4" t="s">
        <v>41</v>
      </c>
      <c r="C2229" s="4" t="s">
        <v>39</v>
      </c>
      <c r="D2229" s="4" t="s">
        <v>48</v>
      </c>
      <c r="E2229" s="4" t="s">
        <v>25</v>
      </c>
      <c r="F2229" s="4" t="s">
        <v>25</v>
      </c>
      <c r="G2229" s="4" t="s">
        <v>25</v>
      </c>
      <c r="H2229" s="4" t="s">
        <v>38</v>
      </c>
      <c r="I2229" s="5">
        <v>44348</v>
      </c>
      <c r="J2229" s="6">
        <v>0</v>
      </c>
      <c r="K2229" s="6">
        <v>0</v>
      </c>
      <c r="L2229" s="6">
        <v>14.135999999999999</v>
      </c>
      <c r="M2229" s="6">
        <v>14.135999999999999</v>
      </c>
      <c r="N2229" s="6">
        <v>14.135999999999999</v>
      </c>
      <c r="O2229" s="6">
        <v>14.135999999999999</v>
      </c>
      <c r="P2229" s="6">
        <v>0</v>
      </c>
      <c r="Q2229" s="4" t="s">
        <v>26</v>
      </c>
      <c r="R2229" s="4">
        <v>0</v>
      </c>
      <c r="S2229" s="6">
        <v>0</v>
      </c>
      <c r="T2229" s="6">
        <v>71</v>
      </c>
      <c r="U2229" s="6">
        <v>77</v>
      </c>
      <c r="V2229" s="6">
        <f>IF(ISERROR(VLOOKUP($S$2229,'TAR FIN'!$A$1:$O$95,15,0)),0,VLOOKUP($S$2229,'TAR FIN'!$A$1:$O$95,15,0))</f>
        <v>0</v>
      </c>
      <c r="W2229" s="6">
        <f>IF(ISERROR(VLOOKUP($T$2229,'TAR FIN'!$A$1:$O$95,15,0)),0,VLOOKUP($T$2229,'TAR FIN'!$A$1:$O$95,15,0))</f>
        <v>381.34</v>
      </c>
      <c r="X2229" s="6">
        <f>IF(ISERROR(VLOOKUP($U$2229,'TAR FIN'!$A$1:$O$95,15,0)),0,VLOOKUP($U$2229,'TAR FIN'!$A$1:$O$95,15,0))</f>
        <v>230.03</v>
      </c>
      <c r="Y2229" s="6"/>
      <c r="Z2229" s="6">
        <f ca="1">('TUSD BE'!$AM$52+'TUSD BF'!$AM$52+'TUSD CVA'!$AM$52)*1</f>
        <v>429.45298114736829</v>
      </c>
      <c r="AA2229" s="6">
        <f>('TE BE'!$AA$40+'TE BF'!$AA$40+'TE CVA'!$AA$40)*1</f>
        <v>282.91739971702214</v>
      </c>
      <c r="AB2229" s="6">
        <f>$K$2229*$V$2229</f>
        <v>0</v>
      </c>
      <c r="AC2229" s="6">
        <f>$M$2229*$W$2229</f>
        <v>5390.6222399999997</v>
      </c>
      <c r="AD2229" s="6">
        <f>$O$2229*$X$2229</f>
        <v>3251.70408</v>
      </c>
      <c r="AE2229" s="6">
        <f>$K$2229*$Y$2229</f>
        <v>0</v>
      </c>
      <c r="AF2229" s="6">
        <f ca="1">$M$2229*$Z$2229</f>
        <v>6070.7473414991982</v>
      </c>
      <c r="AG2229" s="6">
        <f>$O$2229*$AA$2229</f>
        <v>3999.3203623998247</v>
      </c>
    </row>
    <row r="2230" spans="1:33" ht="11.25" customHeight="1" x14ac:dyDescent="0.25">
      <c r="A2230" s="4" t="s">
        <v>21</v>
      </c>
      <c r="B2230" s="4" t="s">
        <v>41</v>
      </c>
      <c r="C2230" s="4" t="s">
        <v>39</v>
      </c>
      <c r="D2230" s="4" t="s">
        <v>48</v>
      </c>
      <c r="E2230" s="4" t="s">
        <v>25</v>
      </c>
      <c r="F2230" s="4" t="s">
        <v>25</v>
      </c>
      <c r="G2230" s="4" t="s">
        <v>25</v>
      </c>
      <c r="H2230" s="4" t="s">
        <v>38</v>
      </c>
      <c r="I2230" s="5">
        <v>44378</v>
      </c>
      <c r="J2230" s="6">
        <v>0</v>
      </c>
      <c r="K2230" s="6">
        <v>0</v>
      </c>
      <c r="L2230" s="6">
        <v>17.913</v>
      </c>
      <c r="M2230" s="6">
        <v>17.913</v>
      </c>
      <c r="N2230" s="6">
        <v>17.913</v>
      </c>
      <c r="O2230" s="6">
        <v>17.913</v>
      </c>
      <c r="P2230" s="6">
        <v>0</v>
      </c>
      <c r="Q2230" s="4" t="s">
        <v>26</v>
      </c>
      <c r="R2230" s="4">
        <v>0</v>
      </c>
      <c r="S2230" s="6">
        <v>0</v>
      </c>
      <c r="T2230" s="6">
        <v>71</v>
      </c>
      <c r="U2230" s="6">
        <v>77</v>
      </c>
      <c r="V2230" s="6">
        <f>IF(ISERROR(VLOOKUP($S$2230,'TAR FIN'!$A$1:$O$95,15,0)),0,VLOOKUP($S$2230,'TAR FIN'!$A$1:$O$95,15,0))</f>
        <v>0</v>
      </c>
      <c r="W2230" s="6">
        <f>IF(ISERROR(VLOOKUP($T$2230,'TAR FIN'!$A$1:$O$95,15,0)),0,VLOOKUP($T$2230,'TAR FIN'!$A$1:$O$95,15,0))</f>
        <v>381.34</v>
      </c>
      <c r="X2230" s="6">
        <f>IF(ISERROR(VLOOKUP($U$2230,'TAR FIN'!$A$1:$O$95,15,0)),0,VLOOKUP($U$2230,'TAR FIN'!$A$1:$O$95,15,0))</f>
        <v>230.03</v>
      </c>
      <c r="Y2230" s="6"/>
      <c r="Z2230" s="6">
        <f ca="1">('TUSD BE'!$AM$52+'TUSD BF'!$AM$52+'TUSD CVA'!$AM$52)*1</f>
        <v>429.45298114736829</v>
      </c>
      <c r="AA2230" s="6">
        <f>('TE BE'!$AA$40+'TE BF'!$AA$40+'TE CVA'!$AA$40)*1</f>
        <v>282.91739971702214</v>
      </c>
      <c r="AB2230" s="6">
        <f>$K$2230*$V$2230</f>
        <v>0</v>
      </c>
      <c r="AC2230" s="6">
        <f>$M$2230*$W$2230</f>
        <v>6830.9434199999996</v>
      </c>
      <c r="AD2230" s="6">
        <f>$O$2230*$X$2230</f>
        <v>4120.5273900000002</v>
      </c>
      <c r="AE2230" s="6">
        <f>$K$2230*$Y$2230</f>
        <v>0</v>
      </c>
      <c r="AF2230" s="6">
        <f ca="1">$M$2230*$Z$2230</f>
        <v>7692.7912512928087</v>
      </c>
      <c r="AG2230" s="6">
        <f>$O$2230*$AA$2230</f>
        <v>5067.8993811310174</v>
      </c>
    </row>
    <row r="2231" spans="1:33" ht="11.25" customHeight="1" x14ac:dyDescent="0.25">
      <c r="A2231" s="4" t="s">
        <v>28</v>
      </c>
      <c r="B2231" s="4" t="s">
        <v>41</v>
      </c>
      <c r="C2231" s="4" t="s">
        <v>39</v>
      </c>
      <c r="D2231" s="4" t="s">
        <v>48</v>
      </c>
      <c r="E2231" s="4" t="s">
        <v>25</v>
      </c>
      <c r="F2231" s="4" t="s">
        <v>25</v>
      </c>
      <c r="G2231" s="4" t="s">
        <v>25</v>
      </c>
      <c r="H2231" s="4" t="s">
        <v>38</v>
      </c>
      <c r="I2231" s="5">
        <v>44378</v>
      </c>
      <c r="J2231" s="6">
        <v>0</v>
      </c>
      <c r="K2231" s="6">
        <v>0</v>
      </c>
      <c r="L2231" s="6">
        <v>12.96</v>
      </c>
      <c r="M2231" s="6">
        <v>12.96</v>
      </c>
      <c r="N2231" s="6">
        <v>12.96</v>
      </c>
      <c r="O2231" s="6">
        <v>12.96</v>
      </c>
      <c r="P2231" s="6">
        <v>0</v>
      </c>
      <c r="Q2231" s="4" t="s">
        <v>26</v>
      </c>
      <c r="R2231" s="4">
        <v>0</v>
      </c>
      <c r="S2231" s="6">
        <v>0</v>
      </c>
      <c r="T2231" s="6">
        <v>71</v>
      </c>
      <c r="U2231" s="6">
        <v>77</v>
      </c>
      <c r="V2231" s="6">
        <f>IF(ISERROR(VLOOKUP($S$2231,'TAR FIN'!$A$1:$O$95,15,0)),0,VLOOKUP($S$2231,'TAR FIN'!$A$1:$O$95,15,0))</f>
        <v>0</v>
      </c>
      <c r="W2231" s="6">
        <f>IF(ISERROR(VLOOKUP($T$2231,'TAR FIN'!$A$1:$O$95,15,0)),0,VLOOKUP($T$2231,'TAR FIN'!$A$1:$O$95,15,0))</f>
        <v>381.34</v>
      </c>
      <c r="X2231" s="6">
        <f>IF(ISERROR(VLOOKUP($U$2231,'TAR FIN'!$A$1:$O$95,15,0)),0,VLOOKUP($U$2231,'TAR FIN'!$A$1:$O$95,15,0))</f>
        <v>230.03</v>
      </c>
      <c r="Y2231" s="6"/>
      <c r="Z2231" s="6">
        <f ca="1">('TUSD BE'!$AM$52+'TUSD BF'!$AM$52+'TUSD CVA'!$AM$52)*1</f>
        <v>429.45298114736829</v>
      </c>
      <c r="AA2231" s="6">
        <f>('TE BE'!$AA$40+'TE BF'!$AA$40+'TE CVA'!$AA$40)*1</f>
        <v>282.91739971702214</v>
      </c>
      <c r="AB2231" s="6">
        <f>$K$2231*$V$2231</f>
        <v>0</v>
      </c>
      <c r="AC2231" s="6">
        <f>$M$2231*$W$2231</f>
        <v>4942.1664000000001</v>
      </c>
      <c r="AD2231" s="6">
        <f>$O$2231*$X$2231</f>
        <v>2981.1888000000004</v>
      </c>
      <c r="AE2231" s="6">
        <f>$K$2231*$Y$2231</f>
        <v>0</v>
      </c>
      <c r="AF2231" s="6">
        <f ca="1">$M$2231*$Z$2231</f>
        <v>5565.7106356698932</v>
      </c>
      <c r="AG2231" s="6">
        <f>$O$2231*$AA$2231</f>
        <v>3666.6095003326072</v>
      </c>
    </row>
    <row r="2232" spans="1:33" ht="11.25" customHeight="1" x14ac:dyDescent="0.25">
      <c r="A2232" s="4" t="s">
        <v>21</v>
      </c>
      <c r="B2232" s="4" t="s">
        <v>41</v>
      </c>
      <c r="C2232" s="4" t="s">
        <v>39</v>
      </c>
      <c r="D2232" s="4" t="s">
        <v>48</v>
      </c>
      <c r="E2232" s="4" t="s">
        <v>25</v>
      </c>
      <c r="F2232" s="4" t="s">
        <v>25</v>
      </c>
      <c r="G2232" s="4" t="s">
        <v>25</v>
      </c>
      <c r="H2232" s="4" t="s">
        <v>38</v>
      </c>
      <c r="I2232" s="5">
        <v>44409</v>
      </c>
      <c r="J2232" s="6">
        <v>0</v>
      </c>
      <c r="K2232" s="6">
        <v>0</v>
      </c>
      <c r="L2232" s="6">
        <v>21.78</v>
      </c>
      <c r="M2232" s="6">
        <v>21.78</v>
      </c>
      <c r="N2232" s="6">
        <v>21.78</v>
      </c>
      <c r="O2232" s="6">
        <v>21.78</v>
      </c>
      <c r="P2232" s="6">
        <v>0</v>
      </c>
      <c r="Q2232" s="4" t="s">
        <v>26</v>
      </c>
      <c r="R2232" s="4">
        <v>0</v>
      </c>
      <c r="S2232" s="6">
        <v>0</v>
      </c>
      <c r="T2232" s="6">
        <v>71</v>
      </c>
      <c r="U2232" s="6">
        <v>77</v>
      </c>
      <c r="V2232" s="6">
        <f>IF(ISERROR(VLOOKUP($S$2232,'TAR FIN'!$A$1:$O$95,15,0)),0,VLOOKUP($S$2232,'TAR FIN'!$A$1:$O$95,15,0))</f>
        <v>0</v>
      </c>
      <c r="W2232" s="6">
        <f>IF(ISERROR(VLOOKUP($T$2232,'TAR FIN'!$A$1:$O$95,15,0)),0,VLOOKUP($T$2232,'TAR FIN'!$A$1:$O$95,15,0))</f>
        <v>381.34</v>
      </c>
      <c r="X2232" s="6">
        <f>IF(ISERROR(VLOOKUP($U$2232,'TAR FIN'!$A$1:$O$95,15,0)),0,VLOOKUP($U$2232,'TAR FIN'!$A$1:$O$95,15,0))</f>
        <v>230.03</v>
      </c>
      <c r="Y2232" s="6"/>
      <c r="Z2232" s="6">
        <f ca="1">('TUSD BE'!$AM$52+'TUSD BF'!$AM$52+'TUSD CVA'!$AM$52)*1</f>
        <v>429.45298114736829</v>
      </c>
      <c r="AA2232" s="6">
        <f>('TE BE'!$AA$40+'TE BF'!$AA$40+'TE CVA'!$AA$40)*1</f>
        <v>282.91739971702214</v>
      </c>
      <c r="AB2232" s="6">
        <f>$K$2232*$V$2232</f>
        <v>0</v>
      </c>
      <c r="AC2232" s="6">
        <f>$M$2232*$W$2232</f>
        <v>8305.5851999999995</v>
      </c>
      <c r="AD2232" s="6">
        <f>$O$2232*$X$2232</f>
        <v>5010.0534000000007</v>
      </c>
      <c r="AE2232" s="6">
        <f>$K$2232*$Y$2232</f>
        <v>0</v>
      </c>
      <c r="AF2232" s="6">
        <f ca="1">$M$2232*$Z$2232</f>
        <v>9353.4859293896825</v>
      </c>
      <c r="AG2232" s="6">
        <f>$O$2232*$AA$2232</f>
        <v>6161.9409658367422</v>
      </c>
    </row>
    <row r="2233" spans="1:33" ht="11.25" customHeight="1" x14ac:dyDescent="0.25">
      <c r="A2233" s="4" t="s">
        <v>28</v>
      </c>
      <c r="B2233" s="4" t="s">
        <v>41</v>
      </c>
      <c r="C2233" s="4" t="s">
        <v>39</v>
      </c>
      <c r="D2233" s="4" t="s">
        <v>48</v>
      </c>
      <c r="E2233" s="4" t="s">
        <v>25</v>
      </c>
      <c r="F2233" s="4" t="s">
        <v>25</v>
      </c>
      <c r="G2233" s="4" t="s">
        <v>25</v>
      </c>
      <c r="H2233" s="4" t="s">
        <v>38</v>
      </c>
      <c r="I2233" s="5">
        <v>44409</v>
      </c>
      <c r="J2233" s="6">
        <v>0</v>
      </c>
      <c r="K2233" s="6">
        <v>0</v>
      </c>
      <c r="L2233" s="6">
        <v>16.693999999999999</v>
      </c>
      <c r="M2233" s="6">
        <v>16.693999999999999</v>
      </c>
      <c r="N2233" s="6">
        <v>16.693999999999999</v>
      </c>
      <c r="O2233" s="6">
        <v>16.693999999999999</v>
      </c>
      <c r="P2233" s="6">
        <v>0</v>
      </c>
      <c r="Q2233" s="4" t="s">
        <v>26</v>
      </c>
      <c r="R2233" s="4">
        <v>0</v>
      </c>
      <c r="S2233" s="6">
        <v>0</v>
      </c>
      <c r="T2233" s="6">
        <v>71</v>
      </c>
      <c r="U2233" s="6">
        <v>77</v>
      </c>
      <c r="V2233" s="6">
        <f>IF(ISERROR(VLOOKUP($S$2233,'TAR FIN'!$A$1:$O$95,15,0)),0,VLOOKUP($S$2233,'TAR FIN'!$A$1:$O$95,15,0))</f>
        <v>0</v>
      </c>
      <c r="W2233" s="6">
        <f>IF(ISERROR(VLOOKUP($T$2233,'TAR FIN'!$A$1:$O$95,15,0)),0,VLOOKUP($T$2233,'TAR FIN'!$A$1:$O$95,15,0))</f>
        <v>381.34</v>
      </c>
      <c r="X2233" s="6">
        <f>IF(ISERROR(VLOOKUP($U$2233,'TAR FIN'!$A$1:$O$95,15,0)),0,VLOOKUP($U$2233,'TAR FIN'!$A$1:$O$95,15,0))</f>
        <v>230.03</v>
      </c>
      <c r="Y2233" s="6"/>
      <c r="Z2233" s="6">
        <f ca="1">('TUSD BE'!$AM$52+'TUSD BF'!$AM$52+'TUSD CVA'!$AM$52)*1</f>
        <v>429.45298114736829</v>
      </c>
      <c r="AA2233" s="6">
        <f>('TE BE'!$AA$40+'TE BF'!$AA$40+'TE CVA'!$AA$40)*1</f>
        <v>282.91739971702214</v>
      </c>
      <c r="AB2233" s="6">
        <f>$K$2233*$V$2233</f>
        <v>0</v>
      </c>
      <c r="AC2233" s="6">
        <f>$M$2233*$W$2233</f>
        <v>6366.0899599999993</v>
      </c>
      <c r="AD2233" s="6">
        <f>$O$2233*$X$2233</f>
        <v>3840.1208199999996</v>
      </c>
      <c r="AE2233" s="6">
        <f>$K$2233*$Y$2233</f>
        <v>0</v>
      </c>
      <c r="AF2233" s="6">
        <f ca="1">$M$2233*$Z$2233</f>
        <v>7169.2880672741658</v>
      </c>
      <c r="AG2233" s="6">
        <f>$O$2233*$AA$2233</f>
        <v>4723.0230708759673</v>
      </c>
    </row>
    <row r="2234" spans="1:33" ht="11.25" customHeight="1" x14ac:dyDescent="0.25">
      <c r="A2234" s="4" t="s">
        <v>21</v>
      </c>
      <c r="B2234" s="4" t="s">
        <v>41</v>
      </c>
      <c r="C2234" s="4" t="s">
        <v>39</v>
      </c>
      <c r="D2234" s="4" t="s">
        <v>48</v>
      </c>
      <c r="E2234" s="4" t="s">
        <v>25</v>
      </c>
      <c r="F2234" s="4" t="s">
        <v>25</v>
      </c>
      <c r="G2234" s="4" t="s">
        <v>25</v>
      </c>
      <c r="H2234" s="4" t="s">
        <v>38</v>
      </c>
      <c r="I2234" s="5">
        <v>44440</v>
      </c>
      <c r="J2234" s="6">
        <v>0</v>
      </c>
      <c r="K2234" s="6">
        <v>0</v>
      </c>
      <c r="L2234" s="6">
        <v>19.422999999999998</v>
      </c>
      <c r="M2234" s="6">
        <v>19.422999999999998</v>
      </c>
      <c r="N2234" s="6">
        <v>19.422999999999998</v>
      </c>
      <c r="O2234" s="6">
        <v>19.422999999999998</v>
      </c>
      <c r="P2234" s="6">
        <v>0</v>
      </c>
      <c r="Q2234" s="4" t="s">
        <v>26</v>
      </c>
      <c r="R2234" s="4">
        <v>0</v>
      </c>
      <c r="S2234" s="6">
        <v>0</v>
      </c>
      <c r="T2234" s="6">
        <v>71</v>
      </c>
      <c r="U2234" s="6">
        <v>77</v>
      </c>
      <c r="V2234" s="6">
        <f>IF(ISERROR(VLOOKUP($S$2234,'TAR FIN'!$A$1:$O$95,15,0)),0,VLOOKUP($S$2234,'TAR FIN'!$A$1:$O$95,15,0))</f>
        <v>0</v>
      </c>
      <c r="W2234" s="6">
        <f>IF(ISERROR(VLOOKUP($T$2234,'TAR FIN'!$A$1:$O$95,15,0)),0,VLOOKUP($T$2234,'TAR FIN'!$A$1:$O$95,15,0))</f>
        <v>381.34</v>
      </c>
      <c r="X2234" s="6">
        <f>IF(ISERROR(VLOOKUP($U$2234,'TAR FIN'!$A$1:$O$95,15,0)),0,VLOOKUP($U$2234,'TAR FIN'!$A$1:$O$95,15,0))</f>
        <v>230.03</v>
      </c>
      <c r="Y2234" s="6"/>
      <c r="Z2234" s="6">
        <f ca="1">('TUSD BE'!$AM$52+'TUSD BF'!$AM$52+'TUSD CVA'!$AM$52)*1</f>
        <v>429.45298114736829</v>
      </c>
      <c r="AA2234" s="6">
        <f>('TE BE'!$AA$40+'TE BF'!$AA$40+'TE CVA'!$AA$40)*1</f>
        <v>282.91739971702214</v>
      </c>
      <c r="AB2234" s="6">
        <f>$K$2234*$V$2234</f>
        <v>0</v>
      </c>
      <c r="AC2234" s="6">
        <f>$M$2234*$W$2234</f>
        <v>7406.7668199999989</v>
      </c>
      <c r="AD2234" s="6">
        <f>$O$2234*$X$2234</f>
        <v>4467.8726899999992</v>
      </c>
      <c r="AE2234" s="6">
        <f>$K$2234*$Y$2234</f>
        <v>0</v>
      </c>
      <c r="AF2234" s="6">
        <f ca="1">$M$2234*$Z$2234</f>
        <v>8341.2652528253329</v>
      </c>
      <c r="AG2234" s="6">
        <f>$O$2234*$AA$2234</f>
        <v>5495.1046547037204</v>
      </c>
    </row>
    <row r="2235" spans="1:33" ht="11.25" customHeight="1" x14ac:dyDescent="0.25">
      <c r="A2235" s="4" t="s">
        <v>28</v>
      </c>
      <c r="B2235" s="4" t="s">
        <v>41</v>
      </c>
      <c r="C2235" s="4" t="s">
        <v>39</v>
      </c>
      <c r="D2235" s="4" t="s">
        <v>48</v>
      </c>
      <c r="E2235" s="4" t="s">
        <v>25</v>
      </c>
      <c r="F2235" s="4" t="s">
        <v>25</v>
      </c>
      <c r="G2235" s="4" t="s">
        <v>25</v>
      </c>
      <c r="H2235" s="4" t="s">
        <v>38</v>
      </c>
      <c r="I2235" s="5">
        <v>44440</v>
      </c>
      <c r="J2235" s="6">
        <v>0</v>
      </c>
      <c r="K2235" s="6">
        <v>0</v>
      </c>
      <c r="L2235" s="6">
        <v>15.843999999999999</v>
      </c>
      <c r="M2235" s="6">
        <v>15.843999999999999</v>
      </c>
      <c r="N2235" s="6">
        <v>15.843999999999999</v>
      </c>
      <c r="O2235" s="6">
        <v>15.843999999999999</v>
      </c>
      <c r="P2235" s="6">
        <v>0</v>
      </c>
      <c r="Q2235" s="4" t="s">
        <v>26</v>
      </c>
      <c r="R2235" s="4">
        <v>0</v>
      </c>
      <c r="S2235" s="6">
        <v>0</v>
      </c>
      <c r="T2235" s="6">
        <v>71</v>
      </c>
      <c r="U2235" s="6">
        <v>77</v>
      </c>
      <c r="V2235" s="6">
        <f>IF(ISERROR(VLOOKUP($S$2235,'TAR FIN'!$A$1:$O$95,15,0)),0,VLOOKUP($S$2235,'TAR FIN'!$A$1:$O$95,15,0))</f>
        <v>0</v>
      </c>
      <c r="W2235" s="6">
        <f>IF(ISERROR(VLOOKUP($T$2235,'TAR FIN'!$A$1:$O$95,15,0)),0,VLOOKUP($T$2235,'TAR FIN'!$A$1:$O$95,15,0))</f>
        <v>381.34</v>
      </c>
      <c r="X2235" s="6">
        <f>IF(ISERROR(VLOOKUP($U$2235,'TAR FIN'!$A$1:$O$95,15,0)),0,VLOOKUP($U$2235,'TAR FIN'!$A$1:$O$95,15,0))</f>
        <v>230.03</v>
      </c>
      <c r="Y2235" s="6"/>
      <c r="Z2235" s="6">
        <f ca="1">('TUSD BE'!$AM$52+'TUSD BF'!$AM$52+'TUSD CVA'!$AM$52)*1</f>
        <v>429.45298114736829</v>
      </c>
      <c r="AA2235" s="6">
        <f>('TE BE'!$AA$40+'TE BF'!$AA$40+'TE CVA'!$AA$40)*1</f>
        <v>282.91739971702214</v>
      </c>
      <c r="AB2235" s="6">
        <f>$K$2235*$V$2235</f>
        <v>0</v>
      </c>
      <c r="AC2235" s="6">
        <f>$M$2235*$W$2235</f>
        <v>6041.9509599999992</v>
      </c>
      <c r="AD2235" s="6">
        <f>$O$2235*$X$2235</f>
        <v>3644.5953199999999</v>
      </c>
      <c r="AE2235" s="6">
        <f>$K$2235*$Y$2235</f>
        <v>0</v>
      </c>
      <c r="AF2235" s="6">
        <f ca="1">$M$2235*$Z$2235</f>
        <v>6804.2530332989027</v>
      </c>
      <c r="AG2235" s="6">
        <f>$O$2235*$AA$2235</f>
        <v>4482.5432811164983</v>
      </c>
    </row>
    <row r="2236" spans="1:33" ht="11.25" customHeight="1" x14ac:dyDescent="0.25">
      <c r="A2236" s="4" t="s">
        <v>59</v>
      </c>
      <c r="B2236" s="4" t="s">
        <v>41</v>
      </c>
      <c r="C2236" s="4" t="s">
        <v>39</v>
      </c>
      <c r="D2236" s="4" t="s">
        <v>48</v>
      </c>
      <c r="E2236" s="4" t="s">
        <v>25</v>
      </c>
      <c r="F2236" s="4" t="s">
        <v>25</v>
      </c>
      <c r="G2236" s="4" t="s">
        <v>25</v>
      </c>
      <c r="H2236" s="4" t="s">
        <v>38</v>
      </c>
      <c r="I2236" s="5">
        <v>44470</v>
      </c>
      <c r="J2236" s="6">
        <v>0</v>
      </c>
      <c r="K2236" s="6">
        <v>0</v>
      </c>
      <c r="L2236" s="6">
        <v>19.422999999999998</v>
      </c>
      <c r="M2236" s="6">
        <v>19.422999999999998</v>
      </c>
      <c r="N2236" s="6">
        <v>19.422999999999998</v>
      </c>
      <c r="O2236" s="6">
        <v>19.422999999999998</v>
      </c>
      <c r="P2236" s="6">
        <v>0</v>
      </c>
      <c r="Q2236" s="4" t="s">
        <v>26</v>
      </c>
      <c r="R2236" s="4">
        <v>0</v>
      </c>
      <c r="S2236" s="6">
        <v>0</v>
      </c>
      <c r="T2236" s="6">
        <v>71</v>
      </c>
      <c r="U2236" s="6">
        <v>77</v>
      </c>
      <c r="V2236" s="6">
        <f>IF(ISERROR(VLOOKUP($S$2236,'TAR FIN'!$A$1:$O$95,15,0)),0,VLOOKUP($S$2236,'TAR FIN'!$A$1:$O$95,15,0))</f>
        <v>0</v>
      </c>
      <c r="W2236" s="6">
        <f>IF(ISERROR(VLOOKUP($T$2236,'TAR FIN'!$A$1:$O$95,15,0)),0,VLOOKUP($T$2236,'TAR FIN'!$A$1:$O$95,15,0))</f>
        <v>381.34</v>
      </c>
      <c r="X2236" s="6">
        <f>IF(ISERROR(VLOOKUP($U$2236,'TAR FIN'!$A$1:$O$95,15,0)),0,VLOOKUP($U$2236,'TAR FIN'!$A$1:$O$95,15,0))</f>
        <v>230.03</v>
      </c>
      <c r="Y2236" s="6"/>
      <c r="Z2236" s="6">
        <f ca="1">('TUSD BE'!$AM$52+'TUSD BF'!$AM$52+'TUSD CVA'!$AM$52)*1</f>
        <v>429.45298114736829</v>
      </c>
      <c r="AA2236" s="6">
        <f>('TE BE'!$AA$40+'TE BF'!$AA$40+'TE CVA'!$AA$40)*1</f>
        <v>282.91739971702214</v>
      </c>
      <c r="AB2236" s="6">
        <f>$K$2236*$V$2236</f>
        <v>0</v>
      </c>
      <c r="AC2236" s="6">
        <f>$M$2236*$W$2236</f>
        <v>7406.7668199999989</v>
      </c>
      <c r="AD2236" s="6">
        <f>$O$2236*$X$2236</f>
        <v>4467.8726899999992</v>
      </c>
      <c r="AE2236" s="6">
        <f>$K$2236*$Y$2236</f>
        <v>0</v>
      </c>
      <c r="AF2236" s="6">
        <f ca="1">$M$2236*$Z$2236</f>
        <v>8341.2652528253329</v>
      </c>
      <c r="AG2236" s="6">
        <f>$O$2236*$AA$2236</f>
        <v>5495.1046547037204</v>
      </c>
    </row>
    <row r="2237" spans="1:33" ht="11.25" customHeight="1" x14ac:dyDescent="0.25">
      <c r="A2237" s="4" t="s">
        <v>59</v>
      </c>
      <c r="B2237" s="4" t="s">
        <v>41</v>
      </c>
      <c r="C2237" s="4" t="s">
        <v>39</v>
      </c>
      <c r="D2237" s="4" t="s">
        <v>48</v>
      </c>
      <c r="E2237" s="4" t="s">
        <v>25</v>
      </c>
      <c r="F2237" s="4" t="s">
        <v>25</v>
      </c>
      <c r="G2237" s="4" t="s">
        <v>25</v>
      </c>
      <c r="H2237" s="4" t="s">
        <v>38</v>
      </c>
      <c r="I2237" s="5">
        <v>44470</v>
      </c>
      <c r="J2237" s="6">
        <v>0</v>
      </c>
      <c r="K2237" s="6">
        <v>0</v>
      </c>
      <c r="L2237" s="6">
        <v>15.843999999999999</v>
      </c>
      <c r="M2237" s="6">
        <v>15.843999999999999</v>
      </c>
      <c r="N2237" s="6">
        <v>15.843999999999999</v>
      </c>
      <c r="O2237" s="6">
        <v>15.843999999999999</v>
      </c>
      <c r="P2237" s="6">
        <v>0</v>
      </c>
      <c r="Q2237" s="4" t="s">
        <v>26</v>
      </c>
      <c r="R2237" s="4">
        <v>0</v>
      </c>
      <c r="S2237" s="6">
        <v>0</v>
      </c>
      <c r="T2237" s="6">
        <v>71</v>
      </c>
      <c r="U2237" s="6">
        <v>77</v>
      </c>
      <c r="V2237" s="6">
        <f>IF(ISERROR(VLOOKUP($S$2237,'TAR FIN'!$A$1:$O$95,15,0)),0,VLOOKUP($S$2237,'TAR FIN'!$A$1:$O$95,15,0))</f>
        <v>0</v>
      </c>
      <c r="W2237" s="6">
        <f>IF(ISERROR(VLOOKUP($T$2237,'TAR FIN'!$A$1:$O$95,15,0)),0,VLOOKUP($T$2237,'TAR FIN'!$A$1:$O$95,15,0))</f>
        <v>381.34</v>
      </c>
      <c r="X2237" s="6">
        <f>IF(ISERROR(VLOOKUP($U$2237,'TAR FIN'!$A$1:$O$95,15,0)),0,VLOOKUP($U$2237,'TAR FIN'!$A$1:$O$95,15,0))</f>
        <v>230.03</v>
      </c>
      <c r="Y2237" s="6"/>
      <c r="Z2237" s="6">
        <f ca="1">('TUSD BE'!$AM$52+'TUSD BF'!$AM$52+'TUSD CVA'!$AM$52)*1</f>
        <v>429.45298114736829</v>
      </c>
      <c r="AA2237" s="6">
        <f>('TE BE'!$AA$40+'TE BF'!$AA$40+'TE CVA'!$AA$40)*1</f>
        <v>282.91739971702214</v>
      </c>
      <c r="AB2237" s="6">
        <f>$K$2237*$V$2237</f>
        <v>0</v>
      </c>
      <c r="AC2237" s="6">
        <f>$M$2237*$W$2237</f>
        <v>6041.9509599999992</v>
      </c>
      <c r="AD2237" s="6">
        <f>$O$2237*$X$2237</f>
        <v>3644.5953199999999</v>
      </c>
      <c r="AE2237" s="6">
        <f>$K$2237*$Y$2237</f>
        <v>0</v>
      </c>
      <c r="AF2237" s="6">
        <f ca="1">$M$2237*$Z$2237</f>
        <v>6804.2530332989027</v>
      </c>
      <c r="AG2237" s="6">
        <f>$O$2237*$AA$2237</f>
        <v>4482.5432811164983</v>
      </c>
    </row>
    <row r="2238" spans="1:33" ht="11.25" customHeight="1" x14ac:dyDescent="0.25">
      <c r="A2238" s="4" t="s">
        <v>21</v>
      </c>
      <c r="B2238" s="4" t="s">
        <v>41</v>
      </c>
      <c r="C2238" s="4" t="s">
        <v>39</v>
      </c>
      <c r="D2238" s="4" t="s">
        <v>48</v>
      </c>
      <c r="E2238" s="4" t="s">
        <v>25</v>
      </c>
      <c r="F2238" s="4" t="s">
        <v>25</v>
      </c>
      <c r="G2238" s="4" t="s">
        <v>25</v>
      </c>
      <c r="H2238" s="4" t="s">
        <v>40</v>
      </c>
      <c r="I2238" s="5">
        <v>44136</v>
      </c>
      <c r="J2238" s="6">
        <v>0</v>
      </c>
      <c r="K2238" s="6">
        <v>0</v>
      </c>
      <c r="L2238" s="6">
        <v>1.306</v>
      </c>
      <c r="M2238" s="6">
        <v>1.306</v>
      </c>
      <c r="N2238" s="6">
        <v>1.306</v>
      </c>
      <c r="O2238" s="6">
        <v>1.306</v>
      </c>
      <c r="P2238" s="6">
        <v>0</v>
      </c>
      <c r="Q2238" s="4" t="s">
        <v>26</v>
      </c>
      <c r="R2238" s="4">
        <v>0</v>
      </c>
      <c r="S2238" s="6">
        <v>0</v>
      </c>
      <c r="T2238" s="6">
        <v>75</v>
      </c>
      <c r="U2238" s="6">
        <v>76</v>
      </c>
      <c r="V2238" s="6">
        <f>IF(ISERROR(VLOOKUP($S$2238,'TAR FIN'!$A$1:$O$95,15,0)),0,VLOOKUP($S$2238,'TAR FIN'!$A$1:$O$95,15,0))</f>
        <v>0</v>
      </c>
      <c r="W2238" s="6">
        <f>IF(ISERROR(VLOOKUP($T$2238,'TAR FIN'!$A$1:$O$95,15,0)),0,VLOOKUP($T$2238,'TAR FIN'!$A$1:$O$95,15,0))</f>
        <v>735.45</v>
      </c>
      <c r="X2238" s="6">
        <f>IF(ISERROR(VLOOKUP($U$2238,'TAR FIN'!$A$1:$O$95,15,0)),0,VLOOKUP($U$2238,'TAR FIN'!$A$1:$O$95,15,0))</f>
        <v>230.03</v>
      </c>
      <c r="Y2238" s="6"/>
      <c r="Z2238" s="6">
        <f ca="1">('TUSD BE'!$AM$51+'TUSD BF'!$AM$51+'TUSD CVA'!$AM$51)*1</f>
        <v>825.79679216117552</v>
      </c>
      <c r="AA2238" s="6">
        <f>('TE BE'!$AA$39+'TE BF'!$AA$39+'TE CVA'!$AA$39)*1</f>
        <v>282.91739971702214</v>
      </c>
      <c r="AB2238" s="6">
        <f>$K$2238*$V$2238</f>
        <v>0</v>
      </c>
      <c r="AC2238" s="6">
        <f>$M$2238*$W$2238</f>
        <v>960.49770000000012</v>
      </c>
      <c r="AD2238" s="6">
        <f>$O$2238*$X$2238</f>
        <v>300.41918000000004</v>
      </c>
      <c r="AE2238" s="6">
        <f>$K$2238*$Y$2238</f>
        <v>0</v>
      </c>
      <c r="AF2238" s="6">
        <f ca="1">$M$2238*$Z$2238</f>
        <v>1078.4906105624952</v>
      </c>
      <c r="AG2238" s="6">
        <f>$O$2238*$AA$2238</f>
        <v>369.49012403043093</v>
      </c>
    </row>
    <row r="2239" spans="1:33" ht="11.25" customHeight="1" x14ac:dyDescent="0.25">
      <c r="A2239" s="4" t="s">
        <v>21</v>
      </c>
      <c r="B2239" s="4" t="s">
        <v>41</v>
      </c>
      <c r="C2239" s="4" t="s">
        <v>39</v>
      </c>
      <c r="D2239" s="4" t="s">
        <v>48</v>
      </c>
      <c r="E2239" s="4" t="s">
        <v>25</v>
      </c>
      <c r="F2239" s="4" t="s">
        <v>25</v>
      </c>
      <c r="G2239" s="4" t="s">
        <v>25</v>
      </c>
      <c r="H2239" s="4" t="s">
        <v>40</v>
      </c>
      <c r="I2239" s="5">
        <v>44166</v>
      </c>
      <c r="J2239" s="6">
        <v>0</v>
      </c>
      <c r="K2239" s="6">
        <v>0</v>
      </c>
      <c r="L2239" s="6">
        <v>1.536</v>
      </c>
      <c r="M2239" s="6">
        <v>1.536</v>
      </c>
      <c r="N2239" s="6">
        <v>1.536</v>
      </c>
      <c r="O2239" s="6">
        <v>1.536</v>
      </c>
      <c r="P2239" s="6">
        <v>0</v>
      </c>
      <c r="Q2239" s="4" t="s">
        <v>26</v>
      </c>
      <c r="R2239" s="4">
        <v>0</v>
      </c>
      <c r="S2239" s="6">
        <v>0</v>
      </c>
      <c r="T2239" s="6">
        <v>75</v>
      </c>
      <c r="U2239" s="6">
        <v>76</v>
      </c>
      <c r="V2239" s="6">
        <f>IF(ISERROR(VLOOKUP($S$2239,'TAR FIN'!$A$1:$O$95,15,0)),0,VLOOKUP($S$2239,'TAR FIN'!$A$1:$O$95,15,0))</f>
        <v>0</v>
      </c>
      <c r="W2239" s="6">
        <f>IF(ISERROR(VLOOKUP($T$2239,'TAR FIN'!$A$1:$O$95,15,0)),0,VLOOKUP($T$2239,'TAR FIN'!$A$1:$O$95,15,0))</f>
        <v>735.45</v>
      </c>
      <c r="X2239" s="6">
        <f>IF(ISERROR(VLOOKUP($U$2239,'TAR FIN'!$A$1:$O$95,15,0)),0,VLOOKUP($U$2239,'TAR FIN'!$A$1:$O$95,15,0))</f>
        <v>230.03</v>
      </c>
      <c r="Y2239" s="6"/>
      <c r="Z2239" s="6">
        <f ca="1">('TUSD BE'!$AM$51+'TUSD BF'!$AM$51+'TUSD CVA'!$AM$51)*1</f>
        <v>825.79679216117552</v>
      </c>
      <c r="AA2239" s="6">
        <f>('TE BE'!$AA$39+'TE BF'!$AA$39+'TE CVA'!$AA$39)*1</f>
        <v>282.91739971702214</v>
      </c>
      <c r="AB2239" s="6">
        <f>$K$2239*$V$2239</f>
        <v>0</v>
      </c>
      <c r="AC2239" s="6">
        <f>$M$2239*$W$2239</f>
        <v>1129.6512</v>
      </c>
      <c r="AD2239" s="6">
        <f>$O$2239*$X$2239</f>
        <v>353.32607999999999</v>
      </c>
      <c r="AE2239" s="6">
        <f>$K$2239*$Y$2239</f>
        <v>0</v>
      </c>
      <c r="AF2239" s="6">
        <f ca="1">$M$2239*$Z$2239</f>
        <v>1268.4238727595657</v>
      </c>
      <c r="AG2239" s="6">
        <f>$O$2239*$AA$2239</f>
        <v>434.56112596534604</v>
      </c>
    </row>
    <row r="2240" spans="1:33" ht="11.25" customHeight="1" x14ac:dyDescent="0.25">
      <c r="A2240" s="4" t="s">
        <v>21</v>
      </c>
      <c r="B2240" s="4" t="s">
        <v>41</v>
      </c>
      <c r="C2240" s="4" t="s">
        <v>39</v>
      </c>
      <c r="D2240" s="4" t="s">
        <v>48</v>
      </c>
      <c r="E2240" s="4" t="s">
        <v>25</v>
      </c>
      <c r="F2240" s="4" t="s">
        <v>25</v>
      </c>
      <c r="G2240" s="4" t="s">
        <v>25</v>
      </c>
      <c r="H2240" s="4" t="s">
        <v>40</v>
      </c>
      <c r="I2240" s="5">
        <v>44197</v>
      </c>
      <c r="J2240" s="6">
        <v>0</v>
      </c>
      <c r="K2240" s="6">
        <v>0</v>
      </c>
      <c r="L2240" s="6">
        <v>1.1679999999999999</v>
      </c>
      <c r="M2240" s="6">
        <v>1.1679999999999999</v>
      </c>
      <c r="N2240" s="6">
        <v>1.1679999999999999</v>
      </c>
      <c r="O2240" s="6">
        <v>1.1679999999999999</v>
      </c>
      <c r="P2240" s="6">
        <v>0</v>
      </c>
      <c r="Q2240" s="4" t="s">
        <v>26</v>
      </c>
      <c r="R2240" s="4">
        <v>0</v>
      </c>
      <c r="S2240" s="6">
        <v>0</v>
      </c>
      <c r="T2240" s="6">
        <v>75</v>
      </c>
      <c r="U2240" s="6">
        <v>76</v>
      </c>
      <c r="V2240" s="6">
        <f>IF(ISERROR(VLOOKUP($S$2240,'TAR FIN'!$A$1:$O$95,15,0)),0,VLOOKUP($S$2240,'TAR FIN'!$A$1:$O$95,15,0))</f>
        <v>0</v>
      </c>
      <c r="W2240" s="6">
        <f>IF(ISERROR(VLOOKUP($T$2240,'TAR FIN'!$A$1:$O$95,15,0)),0,VLOOKUP($T$2240,'TAR FIN'!$A$1:$O$95,15,0))</f>
        <v>735.45</v>
      </c>
      <c r="X2240" s="6">
        <f>IF(ISERROR(VLOOKUP($U$2240,'TAR FIN'!$A$1:$O$95,15,0)),0,VLOOKUP($U$2240,'TAR FIN'!$A$1:$O$95,15,0))</f>
        <v>230.03</v>
      </c>
      <c r="Y2240" s="6"/>
      <c r="Z2240" s="6">
        <f ca="1">('TUSD BE'!$AM$51+'TUSD BF'!$AM$51+'TUSD CVA'!$AM$51)*1</f>
        <v>825.79679216117552</v>
      </c>
      <c r="AA2240" s="6">
        <f>('TE BE'!$AA$39+'TE BF'!$AA$39+'TE CVA'!$AA$39)*1</f>
        <v>282.91739971702214</v>
      </c>
      <c r="AB2240" s="6">
        <f>$K$2240*$V$2240</f>
        <v>0</v>
      </c>
      <c r="AC2240" s="6">
        <f>$M$2240*$W$2240</f>
        <v>859.00559999999996</v>
      </c>
      <c r="AD2240" s="6">
        <f>$O$2240*$X$2240</f>
        <v>268.67503999999997</v>
      </c>
      <c r="AE2240" s="6">
        <f>$K$2240*$Y$2240</f>
        <v>0</v>
      </c>
      <c r="AF2240" s="6">
        <f ca="1">$M$2240*$Z$2240</f>
        <v>964.5306532442529</v>
      </c>
      <c r="AG2240" s="6">
        <f>$O$2240*$AA$2240</f>
        <v>330.44752286948182</v>
      </c>
    </row>
    <row r="2241" spans="1:33" ht="11.25" customHeight="1" x14ac:dyDescent="0.25">
      <c r="A2241" s="4" t="s">
        <v>27</v>
      </c>
      <c r="B2241" s="4" t="s">
        <v>41</v>
      </c>
      <c r="C2241" s="4" t="s">
        <v>39</v>
      </c>
      <c r="D2241" s="4" t="s">
        <v>48</v>
      </c>
      <c r="E2241" s="4" t="s">
        <v>25</v>
      </c>
      <c r="F2241" s="4" t="s">
        <v>25</v>
      </c>
      <c r="G2241" s="4" t="s">
        <v>25</v>
      </c>
      <c r="H2241" s="4" t="s">
        <v>40</v>
      </c>
      <c r="I2241" s="5">
        <v>44197</v>
      </c>
      <c r="J2241" s="6">
        <v>0</v>
      </c>
      <c r="K2241" s="6">
        <v>0</v>
      </c>
      <c r="L2241" s="6">
        <v>-1.7000000000000001E-2</v>
      </c>
      <c r="M2241" s="6">
        <v>-1.7000000000000001E-2</v>
      </c>
      <c r="N2241" s="6">
        <v>-1.7000000000000001E-2</v>
      </c>
      <c r="O2241" s="6">
        <v>-1.7000000000000001E-2</v>
      </c>
      <c r="P2241" s="6">
        <v>0</v>
      </c>
      <c r="Q2241" s="4" t="s">
        <v>26</v>
      </c>
      <c r="R2241" s="4">
        <v>0</v>
      </c>
      <c r="S2241" s="6">
        <v>0</v>
      </c>
      <c r="T2241" s="6">
        <v>75</v>
      </c>
      <c r="U2241" s="6">
        <v>76</v>
      </c>
      <c r="V2241" s="6">
        <f>IF(ISERROR(VLOOKUP($S$2241,'TAR FIN'!$A$1:$O$95,15,0)),0,VLOOKUP($S$2241,'TAR FIN'!$A$1:$O$95,15,0))</f>
        <v>0</v>
      </c>
      <c r="W2241" s="6">
        <f>IF(ISERROR(VLOOKUP($T$2241,'TAR FIN'!$A$1:$O$95,15,0)),0,VLOOKUP($T$2241,'TAR FIN'!$A$1:$O$95,15,0))</f>
        <v>735.45</v>
      </c>
      <c r="X2241" s="6">
        <f>IF(ISERROR(VLOOKUP($U$2241,'TAR FIN'!$A$1:$O$95,15,0)),0,VLOOKUP($U$2241,'TAR FIN'!$A$1:$O$95,15,0))</f>
        <v>230.03</v>
      </c>
      <c r="Y2241" s="6"/>
      <c r="Z2241" s="6">
        <f ca="1">('TUSD BE'!$AM$51+'TUSD BF'!$AM$51+'TUSD CVA'!$AM$51)*1</f>
        <v>825.79679216117552</v>
      </c>
      <c r="AA2241" s="6">
        <f>('TE BE'!$AA$39+'TE BF'!$AA$39+'TE CVA'!$AA$39)*1</f>
        <v>282.91739971702214</v>
      </c>
      <c r="AB2241" s="6">
        <f>$K$2241*$V$2241</f>
        <v>0</v>
      </c>
      <c r="AC2241" s="6">
        <f>$M$2241*$W$2241</f>
        <v>-12.502650000000001</v>
      </c>
      <c r="AD2241" s="6">
        <f>$O$2241*$X$2241</f>
        <v>-3.9105100000000004</v>
      </c>
      <c r="AE2241" s="6">
        <f>$K$2241*$Y$2241</f>
        <v>0</v>
      </c>
      <c r="AF2241" s="6">
        <f ca="1">$M$2241*$Z$2241</f>
        <v>-14.038545466739984</v>
      </c>
      <c r="AG2241" s="6">
        <f>$O$2241*$AA$2241</f>
        <v>-4.8095957951893764</v>
      </c>
    </row>
    <row r="2242" spans="1:33" ht="11.25" customHeight="1" x14ac:dyDescent="0.25">
      <c r="A2242" s="4" t="s">
        <v>21</v>
      </c>
      <c r="B2242" s="4" t="s">
        <v>41</v>
      </c>
      <c r="C2242" s="4" t="s">
        <v>39</v>
      </c>
      <c r="D2242" s="4" t="s">
        <v>48</v>
      </c>
      <c r="E2242" s="4" t="s">
        <v>25</v>
      </c>
      <c r="F2242" s="4" t="s">
        <v>25</v>
      </c>
      <c r="G2242" s="4" t="s">
        <v>25</v>
      </c>
      <c r="H2242" s="4" t="s">
        <v>40</v>
      </c>
      <c r="I2242" s="5">
        <v>44228</v>
      </c>
      <c r="J2242" s="6">
        <v>0</v>
      </c>
      <c r="K2242" s="6">
        <v>0</v>
      </c>
      <c r="L2242" s="6">
        <v>0.97299999999999998</v>
      </c>
      <c r="M2242" s="6">
        <v>0.97299999999999998</v>
      </c>
      <c r="N2242" s="6">
        <v>0.97299999999999998</v>
      </c>
      <c r="O2242" s="6">
        <v>0.97299999999999998</v>
      </c>
      <c r="P2242" s="6">
        <v>0</v>
      </c>
      <c r="Q2242" s="4" t="s">
        <v>26</v>
      </c>
      <c r="R2242" s="4">
        <v>0</v>
      </c>
      <c r="S2242" s="6">
        <v>0</v>
      </c>
      <c r="T2242" s="6">
        <v>75</v>
      </c>
      <c r="U2242" s="6">
        <v>76</v>
      </c>
      <c r="V2242" s="6">
        <f>IF(ISERROR(VLOOKUP($S$2242,'TAR FIN'!$A$1:$O$95,15,0)),0,VLOOKUP($S$2242,'TAR FIN'!$A$1:$O$95,15,0))</f>
        <v>0</v>
      </c>
      <c r="W2242" s="6">
        <f>IF(ISERROR(VLOOKUP($T$2242,'TAR FIN'!$A$1:$O$95,15,0)),0,VLOOKUP($T$2242,'TAR FIN'!$A$1:$O$95,15,0))</f>
        <v>735.45</v>
      </c>
      <c r="X2242" s="6">
        <f>IF(ISERROR(VLOOKUP($U$2242,'TAR FIN'!$A$1:$O$95,15,0)),0,VLOOKUP($U$2242,'TAR FIN'!$A$1:$O$95,15,0))</f>
        <v>230.03</v>
      </c>
      <c r="Y2242" s="6"/>
      <c r="Z2242" s="6">
        <f ca="1">('TUSD BE'!$AM$51+'TUSD BF'!$AM$51+'TUSD CVA'!$AM$51)*1</f>
        <v>825.79679216117552</v>
      </c>
      <c r="AA2242" s="6">
        <f>('TE BE'!$AA$39+'TE BF'!$AA$39+'TE CVA'!$AA$39)*1</f>
        <v>282.91739971702214</v>
      </c>
      <c r="AB2242" s="6">
        <f>$K$2242*$V$2242</f>
        <v>0</v>
      </c>
      <c r="AC2242" s="6">
        <f>$M$2242*$W$2242</f>
        <v>715.59285</v>
      </c>
      <c r="AD2242" s="6">
        <f>$O$2242*$X$2242</f>
        <v>223.81918999999999</v>
      </c>
      <c r="AE2242" s="6">
        <f>$K$2242*$Y$2242</f>
        <v>0</v>
      </c>
      <c r="AF2242" s="6">
        <f ca="1">$M$2242*$Z$2242</f>
        <v>803.50027877282378</v>
      </c>
      <c r="AG2242" s="6">
        <f>$O$2242*$AA$2242</f>
        <v>275.27862992466254</v>
      </c>
    </row>
    <row r="2243" spans="1:33" ht="11.25" customHeight="1" x14ac:dyDescent="0.25">
      <c r="A2243" s="4" t="s">
        <v>28</v>
      </c>
      <c r="B2243" s="4" t="s">
        <v>41</v>
      </c>
      <c r="C2243" s="4" t="s">
        <v>39</v>
      </c>
      <c r="D2243" s="4" t="s">
        <v>48</v>
      </c>
      <c r="E2243" s="4" t="s">
        <v>25</v>
      </c>
      <c r="F2243" s="4" t="s">
        <v>25</v>
      </c>
      <c r="G2243" s="4" t="s">
        <v>25</v>
      </c>
      <c r="H2243" s="4" t="s">
        <v>40</v>
      </c>
      <c r="I2243" s="5">
        <v>44228</v>
      </c>
      <c r="J2243" s="6">
        <v>0</v>
      </c>
      <c r="K2243" s="6">
        <v>0</v>
      </c>
      <c r="L2243" s="6">
        <v>5.0000000000000001E-3</v>
      </c>
      <c r="M2243" s="6">
        <v>5.0000000000000001E-3</v>
      </c>
      <c r="N2243" s="6">
        <v>5.0000000000000001E-3</v>
      </c>
      <c r="O2243" s="6">
        <v>5.0000000000000001E-3</v>
      </c>
      <c r="P2243" s="6">
        <v>0</v>
      </c>
      <c r="Q2243" s="4" t="s">
        <v>26</v>
      </c>
      <c r="R2243" s="4">
        <v>0</v>
      </c>
      <c r="S2243" s="6">
        <v>0</v>
      </c>
      <c r="T2243" s="6">
        <v>75</v>
      </c>
      <c r="U2243" s="6">
        <v>76</v>
      </c>
      <c r="V2243" s="6">
        <f>IF(ISERROR(VLOOKUP($S$2243,'TAR FIN'!$A$1:$O$95,15,0)),0,VLOOKUP($S$2243,'TAR FIN'!$A$1:$O$95,15,0))</f>
        <v>0</v>
      </c>
      <c r="W2243" s="6">
        <f>IF(ISERROR(VLOOKUP($T$2243,'TAR FIN'!$A$1:$O$95,15,0)),0,VLOOKUP($T$2243,'TAR FIN'!$A$1:$O$95,15,0))</f>
        <v>735.45</v>
      </c>
      <c r="X2243" s="6">
        <f>IF(ISERROR(VLOOKUP($U$2243,'TAR FIN'!$A$1:$O$95,15,0)),0,VLOOKUP($U$2243,'TAR FIN'!$A$1:$O$95,15,0))</f>
        <v>230.03</v>
      </c>
      <c r="Y2243" s="6"/>
      <c r="Z2243" s="6">
        <f ca="1">('TUSD BE'!$AM$51+'TUSD BF'!$AM$51+'TUSD CVA'!$AM$51)*1</f>
        <v>825.79679216117552</v>
      </c>
      <c r="AA2243" s="6">
        <f>('TE BE'!$AA$39+'TE BF'!$AA$39+'TE CVA'!$AA$39)*1</f>
        <v>282.91739971702214</v>
      </c>
      <c r="AB2243" s="6">
        <f>$K$2243*$V$2243</f>
        <v>0</v>
      </c>
      <c r="AC2243" s="6">
        <f>$M$2243*$W$2243</f>
        <v>3.6772500000000004</v>
      </c>
      <c r="AD2243" s="6">
        <f>$O$2243*$X$2243</f>
        <v>1.15015</v>
      </c>
      <c r="AE2243" s="6">
        <f>$K$2243*$Y$2243</f>
        <v>0</v>
      </c>
      <c r="AF2243" s="6">
        <f ca="1">$M$2243*$Z$2243</f>
        <v>4.1289839608058774</v>
      </c>
      <c r="AG2243" s="6">
        <f>$O$2243*$AA$2243</f>
        <v>1.4145869985851107</v>
      </c>
    </row>
    <row r="2244" spans="1:33" ht="11.25" customHeight="1" x14ac:dyDescent="0.25">
      <c r="A2244" s="4" t="s">
        <v>21</v>
      </c>
      <c r="B2244" s="4" t="s">
        <v>41</v>
      </c>
      <c r="C2244" s="4" t="s">
        <v>39</v>
      </c>
      <c r="D2244" s="4" t="s">
        <v>48</v>
      </c>
      <c r="E2244" s="4" t="s">
        <v>25</v>
      </c>
      <c r="F2244" s="4" t="s">
        <v>25</v>
      </c>
      <c r="G2244" s="4" t="s">
        <v>25</v>
      </c>
      <c r="H2244" s="4" t="s">
        <v>40</v>
      </c>
      <c r="I2244" s="5">
        <v>44256</v>
      </c>
      <c r="J2244" s="6">
        <v>0</v>
      </c>
      <c r="K2244" s="6">
        <v>0</v>
      </c>
      <c r="L2244" s="6">
        <v>1.2549999999999999</v>
      </c>
      <c r="M2244" s="6">
        <v>1.2549999999999999</v>
      </c>
      <c r="N2244" s="6">
        <v>1.2549999999999999</v>
      </c>
      <c r="O2244" s="6">
        <v>1.2549999999999999</v>
      </c>
      <c r="P2244" s="6">
        <v>0</v>
      </c>
      <c r="Q2244" s="4" t="s">
        <v>26</v>
      </c>
      <c r="R2244" s="4">
        <v>0</v>
      </c>
      <c r="S2244" s="6">
        <v>0</v>
      </c>
      <c r="T2244" s="6">
        <v>75</v>
      </c>
      <c r="U2244" s="6">
        <v>76</v>
      </c>
      <c r="V2244" s="6">
        <f>IF(ISERROR(VLOOKUP($S$2244,'TAR FIN'!$A$1:$O$95,15,0)),0,VLOOKUP($S$2244,'TAR FIN'!$A$1:$O$95,15,0))</f>
        <v>0</v>
      </c>
      <c r="W2244" s="6">
        <f>IF(ISERROR(VLOOKUP($T$2244,'TAR FIN'!$A$1:$O$95,15,0)),0,VLOOKUP($T$2244,'TAR FIN'!$A$1:$O$95,15,0))</f>
        <v>735.45</v>
      </c>
      <c r="X2244" s="6">
        <f>IF(ISERROR(VLOOKUP($U$2244,'TAR FIN'!$A$1:$O$95,15,0)),0,VLOOKUP($U$2244,'TAR FIN'!$A$1:$O$95,15,0))</f>
        <v>230.03</v>
      </c>
      <c r="Y2244" s="6"/>
      <c r="Z2244" s="6">
        <f ca="1">('TUSD BE'!$AM$51+'TUSD BF'!$AM$51+'TUSD CVA'!$AM$51)*1</f>
        <v>825.79679216117552</v>
      </c>
      <c r="AA2244" s="6">
        <f>('TE BE'!$AA$39+'TE BF'!$AA$39+'TE CVA'!$AA$39)*1</f>
        <v>282.91739971702214</v>
      </c>
      <c r="AB2244" s="6">
        <f>$K$2244*$V$2244</f>
        <v>0</v>
      </c>
      <c r="AC2244" s="6">
        <f>$M$2244*$W$2244</f>
        <v>922.98974999999996</v>
      </c>
      <c r="AD2244" s="6">
        <f>$O$2244*$X$2244</f>
        <v>288.68764999999996</v>
      </c>
      <c r="AE2244" s="6">
        <f>$K$2244*$Y$2244</f>
        <v>0</v>
      </c>
      <c r="AF2244" s="6">
        <f ca="1">$M$2244*$Z$2244</f>
        <v>1036.3749741622753</v>
      </c>
      <c r="AG2244" s="6">
        <f>$O$2244*$AA$2244</f>
        <v>355.06133664486276</v>
      </c>
    </row>
    <row r="2245" spans="1:33" ht="11.25" customHeight="1" x14ac:dyDescent="0.25">
      <c r="A2245" s="4" t="s">
        <v>28</v>
      </c>
      <c r="B2245" s="4" t="s">
        <v>41</v>
      </c>
      <c r="C2245" s="4" t="s">
        <v>39</v>
      </c>
      <c r="D2245" s="4" t="s">
        <v>48</v>
      </c>
      <c r="E2245" s="4" t="s">
        <v>25</v>
      </c>
      <c r="F2245" s="4" t="s">
        <v>25</v>
      </c>
      <c r="G2245" s="4" t="s">
        <v>25</v>
      </c>
      <c r="H2245" s="4" t="s">
        <v>40</v>
      </c>
      <c r="I2245" s="5">
        <v>44256</v>
      </c>
      <c r="J2245" s="6">
        <v>0</v>
      </c>
      <c r="K2245" s="6">
        <v>0</v>
      </c>
      <c r="L2245" s="6">
        <v>7.6999999999999999E-2</v>
      </c>
      <c r="M2245" s="6">
        <v>7.6999999999999999E-2</v>
      </c>
      <c r="N2245" s="6">
        <v>7.6999999999999999E-2</v>
      </c>
      <c r="O2245" s="6">
        <v>7.6999999999999999E-2</v>
      </c>
      <c r="P2245" s="6">
        <v>0</v>
      </c>
      <c r="Q2245" s="4" t="s">
        <v>26</v>
      </c>
      <c r="R2245" s="4">
        <v>0</v>
      </c>
      <c r="S2245" s="6">
        <v>0</v>
      </c>
      <c r="T2245" s="6">
        <v>75</v>
      </c>
      <c r="U2245" s="6">
        <v>76</v>
      </c>
      <c r="V2245" s="6">
        <f>IF(ISERROR(VLOOKUP($S$2245,'TAR FIN'!$A$1:$O$95,15,0)),0,VLOOKUP($S$2245,'TAR FIN'!$A$1:$O$95,15,0))</f>
        <v>0</v>
      </c>
      <c r="W2245" s="6">
        <f>IF(ISERROR(VLOOKUP($T$2245,'TAR FIN'!$A$1:$O$95,15,0)),0,VLOOKUP($T$2245,'TAR FIN'!$A$1:$O$95,15,0))</f>
        <v>735.45</v>
      </c>
      <c r="X2245" s="6">
        <f>IF(ISERROR(VLOOKUP($U$2245,'TAR FIN'!$A$1:$O$95,15,0)),0,VLOOKUP($U$2245,'TAR FIN'!$A$1:$O$95,15,0))</f>
        <v>230.03</v>
      </c>
      <c r="Y2245" s="6"/>
      <c r="Z2245" s="6">
        <f ca="1">('TUSD BE'!$AM$51+'TUSD BF'!$AM$51+'TUSD CVA'!$AM$51)*1</f>
        <v>825.79679216117552</v>
      </c>
      <c r="AA2245" s="6">
        <f>('TE BE'!$AA$39+'TE BF'!$AA$39+'TE CVA'!$AA$39)*1</f>
        <v>282.91739971702214</v>
      </c>
      <c r="AB2245" s="6">
        <f>$K$2245*$V$2245</f>
        <v>0</v>
      </c>
      <c r="AC2245" s="6">
        <f>$M$2245*$W$2245</f>
        <v>56.629650000000005</v>
      </c>
      <c r="AD2245" s="6">
        <f>$O$2245*$X$2245</f>
        <v>17.712309999999999</v>
      </c>
      <c r="AE2245" s="6">
        <f>$K$2245*$Y$2245</f>
        <v>0</v>
      </c>
      <c r="AF2245" s="6">
        <f ca="1">$M$2245*$Z$2245</f>
        <v>63.586352996410511</v>
      </c>
      <c r="AG2245" s="6">
        <f>$O$2245*$AA$2245</f>
        <v>21.784639778210703</v>
      </c>
    </row>
    <row r="2246" spans="1:33" ht="11.25" customHeight="1" x14ac:dyDescent="0.25">
      <c r="A2246" s="4" t="s">
        <v>21</v>
      </c>
      <c r="B2246" s="4" t="s">
        <v>41</v>
      </c>
      <c r="C2246" s="4" t="s">
        <v>39</v>
      </c>
      <c r="D2246" s="4" t="s">
        <v>48</v>
      </c>
      <c r="E2246" s="4" t="s">
        <v>25</v>
      </c>
      <c r="F2246" s="4" t="s">
        <v>25</v>
      </c>
      <c r="G2246" s="4" t="s">
        <v>25</v>
      </c>
      <c r="H2246" s="4" t="s">
        <v>40</v>
      </c>
      <c r="I2246" s="5">
        <v>44287</v>
      </c>
      <c r="J2246" s="6">
        <v>0</v>
      </c>
      <c r="K2246" s="6">
        <v>0</v>
      </c>
      <c r="L2246" s="6">
        <v>0.63800000000000001</v>
      </c>
      <c r="M2246" s="6">
        <v>0.63800000000000001</v>
      </c>
      <c r="N2246" s="6">
        <v>0.63800000000000001</v>
      </c>
      <c r="O2246" s="6">
        <v>0.63800000000000001</v>
      </c>
      <c r="P2246" s="6">
        <v>0</v>
      </c>
      <c r="Q2246" s="4" t="s">
        <v>26</v>
      </c>
      <c r="R2246" s="4">
        <v>0</v>
      </c>
      <c r="S2246" s="6">
        <v>0</v>
      </c>
      <c r="T2246" s="6">
        <v>75</v>
      </c>
      <c r="U2246" s="6">
        <v>76</v>
      </c>
      <c r="V2246" s="6">
        <f>IF(ISERROR(VLOOKUP($S$2246,'TAR FIN'!$A$1:$O$95,15,0)),0,VLOOKUP($S$2246,'TAR FIN'!$A$1:$O$95,15,0))</f>
        <v>0</v>
      </c>
      <c r="W2246" s="6">
        <f>IF(ISERROR(VLOOKUP($T$2246,'TAR FIN'!$A$1:$O$95,15,0)),0,VLOOKUP($T$2246,'TAR FIN'!$A$1:$O$95,15,0))</f>
        <v>735.45</v>
      </c>
      <c r="X2246" s="6">
        <f>IF(ISERROR(VLOOKUP($U$2246,'TAR FIN'!$A$1:$O$95,15,0)),0,VLOOKUP($U$2246,'TAR FIN'!$A$1:$O$95,15,0))</f>
        <v>230.03</v>
      </c>
      <c r="Y2246" s="6"/>
      <c r="Z2246" s="6">
        <f ca="1">('TUSD BE'!$AM$51+'TUSD BF'!$AM$51+'TUSD CVA'!$AM$51)*1</f>
        <v>825.79679216117552</v>
      </c>
      <c r="AA2246" s="6">
        <f>('TE BE'!$AA$39+'TE BF'!$AA$39+'TE CVA'!$AA$39)*1</f>
        <v>282.91739971702214</v>
      </c>
      <c r="AB2246" s="6">
        <f>$K$2246*$V$2246</f>
        <v>0</v>
      </c>
      <c r="AC2246" s="6">
        <f>$M$2246*$W$2246</f>
        <v>469.21710000000002</v>
      </c>
      <c r="AD2246" s="6">
        <f>$O$2246*$X$2246</f>
        <v>146.75914</v>
      </c>
      <c r="AE2246" s="6">
        <f>$K$2246*$Y$2246</f>
        <v>0</v>
      </c>
      <c r="AF2246" s="6">
        <f ca="1">$M$2246*$Z$2246</f>
        <v>526.85835339882999</v>
      </c>
      <c r="AG2246" s="6">
        <f>$O$2246*$AA$2246</f>
        <v>180.50130101946013</v>
      </c>
    </row>
    <row r="2247" spans="1:33" ht="11.25" customHeight="1" x14ac:dyDescent="0.25">
      <c r="A2247" s="4" t="s">
        <v>28</v>
      </c>
      <c r="B2247" s="4" t="s">
        <v>41</v>
      </c>
      <c r="C2247" s="4" t="s">
        <v>39</v>
      </c>
      <c r="D2247" s="4" t="s">
        <v>48</v>
      </c>
      <c r="E2247" s="4" t="s">
        <v>25</v>
      </c>
      <c r="F2247" s="4" t="s">
        <v>25</v>
      </c>
      <c r="G2247" s="4" t="s">
        <v>25</v>
      </c>
      <c r="H2247" s="4" t="s">
        <v>40</v>
      </c>
      <c r="I2247" s="5">
        <v>44287</v>
      </c>
      <c r="J2247" s="6">
        <v>0</v>
      </c>
      <c r="K2247" s="6">
        <v>0</v>
      </c>
      <c r="L2247" s="6">
        <v>9.1999999999999998E-2</v>
      </c>
      <c r="M2247" s="6">
        <v>9.1999999999999998E-2</v>
      </c>
      <c r="N2247" s="6">
        <v>9.1999999999999998E-2</v>
      </c>
      <c r="O2247" s="6">
        <v>9.1999999999999998E-2</v>
      </c>
      <c r="P2247" s="6">
        <v>0</v>
      </c>
      <c r="Q2247" s="4" t="s">
        <v>26</v>
      </c>
      <c r="R2247" s="4">
        <v>0</v>
      </c>
      <c r="S2247" s="6">
        <v>0</v>
      </c>
      <c r="T2247" s="6">
        <v>75</v>
      </c>
      <c r="U2247" s="6">
        <v>76</v>
      </c>
      <c r="V2247" s="6">
        <f>IF(ISERROR(VLOOKUP($S$2247,'TAR FIN'!$A$1:$O$95,15,0)),0,VLOOKUP($S$2247,'TAR FIN'!$A$1:$O$95,15,0))</f>
        <v>0</v>
      </c>
      <c r="W2247" s="6">
        <f>IF(ISERROR(VLOOKUP($T$2247,'TAR FIN'!$A$1:$O$95,15,0)),0,VLOOKUP($T$2247,'TAR FIN'!$A$1:$O$95,15,0))</f>
        <v>735.45</v>
      </c>
      <c r="X2247" s="6">
        <f>IF(ISERROR(VLOOKUP($U$2247,'TAR FIN'!$A$1:$O$95,15,0)),0,VLOOKUP($U$2247,'TAR FIN'!$A$1:$O$95,15,0))</f>
        <v>230.03</v>
      </c>
      <c r="Y2247" s="6"/>
      <c r="Z2247" s="6">
        <f ca="1">('TUSD BE'!$AM$51+'TUSD BF'!$AM$51+'TUSD CVA'!$AM$51)*1</f>
        <v>825.79679216117552</v>
      </c>
      <c r="AA2247" s="6">
        <f>('TE BE'!$AA$39+'TE BF'!$AA$39+'TE CVA'!$AA$39)*1</f>
        <v>282.91739971702214</v>
      </c>
      <c r="AB2247" s="6">
        <f>$K$2247*$V$2247</f>
        <v>0</v>
      </c>
      <c r="AC2247" s="6">
        <f>$M$2247*$W$2247</f>
        <v>67.6614</v>
      </c>
      <c r="AD2247" s="6">
        <f>$O$2247*$X$2247</f>
        <v>21.162759999999999</v>
      </c>
      <c r="AE2247" s="6">
        <f>$K$2247*$Y$2247</f>
        <v>0</v>
      </c>
      <c r="AF2247" s="6">
        <f ca="1">$M$2247*$Z$2247</f>
        <v>75.973304878828145</v>
      </c>
      <c r="AG2247" s="6">
        <f>$O$2247*$AA$2247</f>
        <v>26.028400773966037</v>
      </c>
    </row>
    <row r="2248" spans="1:33" ht="11.25" customHeight="1" x14ac:dyDescent="0.25">
      <c r="A2248" s="4" t="s">
        <v>21</v>
      </c>
      <c r="B2248" s="4" t="s">
        <v>41</v>
      </c>
      <c r="C2248" s="4" t="s">
        <v>39</v>
      </c>
      <c r="D2248" s="4" t="s">
        <v>48</v>
      </c>
      <c r="E2248" s="4" t="s">
        <v>25</v>
      </c>
      <c r="F2248" s="4" t="s">
        <v>25</v>
      </c>
      <c r="G2248" s="4" t="s">
        <v>25</v>
      </c>
      <c r="H2248" s="4" t="s">
        <v>40</v>
      </c>
      <c r="I2248" s="5">
        <v>44317</v>
      </c>
      <c r="J2248" s="6">
        <v>0</v>
      </c>
      <c r="K2248" s="6">
        <v>0</v>
      </c>
      <c r="L2248" s="6">
        <v>0.14099999999999999</v>
      </c>
      <c r="M2248" s="6">
        <v>0.14099999999999999</v>
      </c>
      <c r="N2248" s="6">
        <v>0.14099999999999999</v>
      </c>
      <c r="O2248" s="6">
        <v>0.14099999999999999</v>
      </c>
      <c r="P2248" s="6">
        <v>0</v>
      </c>
      <c r="Q2248" s="4" t="s">
        <v>26</v>
      </c>
      <c r="R2248" s="4">
        <v>0</v>
      </c>
      <c r="S2248" s="6">
        <v>0</v>
      </c>
      <c r="T2248" s="6">
        <v>75</v>
      </c>
      <c r="U2248" s="6">
        <v>76</v>
      </c>
      <c r="V2248" s="6">
        <f>IF(ISERROR(VLOOKUP($S$2248,'TAR FIN'!$A$1:$O$95,15,0)),0,VLOOKUP($S$2248,'TAR FIN'!$A$1:$O$95,15,0))</f>
        <v>0</v>
      </c>
      <c r="W2248" s="6">
        <f>IF(ISERROR(VLOOKUP($T$2248,'TAR FIN'!$A$1:$O$95,15,0)),0,VLOOKUP($T$2248,'TAR FIN'!$A$1:$O$95,15,0))</f>
        <v>735.45</v>
      </c>
      <c r="X2248" s="6">
        <f>IF(ISERROR(VLOOKUP($U$2248,'TAR FIN'!$A$1:$O$95,15,0)),0,VLOOKUP($U$2248,'TAR FIN'!$A$1:$O$95,15,0))</f>
        <v>230.03</v>
      </c>
      <c r="Y2248" s="6"/>
      <c r="Z2248" s="6">
        <f ca="1">('TUSD BE'!$AM$51+'TUSD BF'!$AM$51+'TUSD CVA'!$AM$51)*1</f>
        <v>825.79679216117552</v>
      </c>
      <c r="AA2248" s="6">
        <f>('TE BE'!$AA$39+'TE BF'!$AA$39+'TE CVA'!$AA$39)*1</f>
        <v>282.91739971702214</v>
      </c>
      <c r="AB2248" s="6">
        <f>$K$2248*$V$2248</f>
        <v>0</v>
      </c>
      <c r="AC2248" s="6">
        <f>$M$2248*$W$2248</f>
        <v>103.69844999999999</v>
      </c>
      <c r="AD2248" s="6">
        <f>$O$2248*$X$2248</f>
        <v>32.434229999999999</v>
      </c>
      <c r="AE2248" s="6">
        <f>$K$2248*$Y$2248</f>
        <v>0</v>
      </c>
      <c r="AF2248" s="6">
        <f ca="1">$M$2248*$Z$2248</f>
        <v>116.43734769472573</v>
      </c>
      <c r="AG2248" s="6">
        <f>$O$2248*$AA$2248</f>
        <v>39.891353360100119</v>
      </c>
    </row>
    <row r="2249" spans="1:33" ht="11.25" customHeight="1" x14ac:dyDescent="0.25">
      <c r="A2249" s="4" t="s">
        <v>28</v>
      </c>
      <c r="B2249" s="4" t="s">
        <v>41</v>
      </c>
      <c r="C2249" s="4" t="s">
        <v>39</v>
      </c>
      <c r="D2249" s="4" t="s">
        <v>48</v>
      </c>
      <c r="E2249" s="4" t="s">
        <v>25</v>
      </c>
      <c r="F2249" s="4" t="s">
        <v>25</v>
      </c>
      <c r="G2249" s="4" t="s">
        <v>25</v>
      </c>
      <c r="H2249" s="4" t="s">
        <v>40</v>
      </c>
      <c r="I2249" s="5">
        <v>44317</v>
      </c>
      <c r="J2249" s="6">
        <v>0</v>
      </c>
      <c r="K2249" s="6">
        <v>0</v>
      </c>
      <c r="L2249" s="6">
        <v>0.17100000000000001</v>
      </c>
      <c r="M2249" s="6">
        <v>0.17100000000000001</v>
      </c>
      <c r="N2249" s="6">
        <v>0.17100000000000001</v>
      </c>
      <c r="O2249" s="6">
        <v>0.17100000000000001</v>
      </c>
      <c r="P2249" s="6">
        <v>0</v>
      </c>
      <c r="Q2249" s="4" t="s">
        <v>26</v>
      </c>
      <c r="R2249" s="4">
        <v>0</v>
      </c>
      <c r="S2249" s="6">
        <v>0</v>
      </c>
      <c r="T2249" s="6">
        <v>75</v>
      </c>
      <c r="U2249" s="6">
        <v>76</v>
      </c>
      <c r="V2249" s="6">
        <f>IF(ISERROR(VLOOKUP($S$2249,'TAR FIN'!$A$1:$O$95,15,0)),0,VLOOKUP($S$2249,'TAR FIN'!$A$1:$O$95,15,0))</f>
        <v>0</v>
      </c>
      <c r="W2249" s="6">
        <f>IF(ISERROR(VLOOKUP($T$2249,'TAR FIN'!$A$1:$O$95,15,0)),0,VLOOKUP($T$2249,'TAR FIN'!$A$1:$O$95,15,0))</f>
        <v>735.45</v>
      </c>
      <c r="X2249" s="6">
        <f>IF(ISERROR(VLOOKUP($U$2249,'TAR FIN'!$A$1:$O$95,15,0)),0,VLOOKUP($U$2249,'TAR FIN'!$A$1:$O$95,15,0))</f>
        <v>230.03</v>
      </c>
      <c r="Y2249" s="6"/>
      <c r="Z2249" s="6">
        <f ca="1">('TUSD BE'!$AM$51+'TUSD BF'!$AM$51+'TUSD CVA'!$AM$51)*1</f>
        <v>825.79679216117552</v>
      </c>
      <c r="AA2249" s="6">
        <f>('TE BE'!$AA$39+'TE BF'!$AA$39+'TE CVA'!$AA$39)*1</f>
        <v>282.91739971702214</v>
      </c>
      <c r="AB2249" s="6">
        <f>$K$2249*$V$2249</f>
        <v>0</v>
      </c>
      <c r="AC2249" s="6">
        <f>$M$2249*$W$2249</f>
        <v>125.76195000000001</v>
      </c>
      <c r="AD2249" s="6">
        <f>$O$2249*$X$2249</f>
        <v>39.335130000000007</v>
      </c>
      <c r="AE2249" s="6">
        <f>$K$2249*$Y$2249</f>
        <v>0</v>
      </c>
      <c r="AF2249" s="6">
        <f ca="1">$M$2249*$Z$2249</f>
        <v>141.21125145956103</v>
      </c>
      <c r="AG2249" s="6">
        <f>$O$2249*$AA$2249</f>
        <v>48.378875351610787</v>
      </c>
    </row>
    <row r="2250" spans="1:33" ht="11.25" customHeight="1" x14ac:dyDescent="0.25">
      <c r="A2250" s="4" t="s">
        <v>21</v>
      </c>
      <c r="B2250" s="4" t="s">
        <v>41</v>
      </c>
      <c r="C2250" s="4" t="s">
        <v>39</v>
      </c>
      <c r="D2250" s="4" t="s">
        <v>48</v>
      </c>
      <c r="E2250" s="4" t="s">
        <v>25</v>
      </c>
      <c r="F2250" s="4" t="s">
        <v>25</v>
      </c>
      <c r="G2250" s="4" t="s">
        <v>25</v>
      </c>
      <c r="H2250" s="4" t="s">
        <v>40</v>
      </c>
      <c r="I2250" s="5">
        <v>44348</v>
      </c>
      <c r="J2250" s="6">
        <v>0</v>
      </c>
      <c r="K2250" s="6">
        <v>0</v>
      </c>
      <c r="L2250" s="6">
        <v>0.14499999999999999</v>
      </c>
      <c r="M2250" s="6">
        <v>0.14499999999999999</v>
      </c>
      <c r="N2250" s="6">
        <v>0.14499999999999999</v>
      </c>
      <c r="O2250" s="6">
        <v>0.14499999999999999</v>
      </c>
      <c r="P2250" s="6">
        <v>0</v>
      </c>
      <c r="Q2250" s="4" t="s">
        <v>26</v>
      </c>
      <c r="R2250" s="4">
        <v>0</v>
      </c>
      <c r="S2250" s="6">
        <v>0</v>
      </c>
      <c r="T2250" s="6">
        <v>75</v>
      </c>
      <c r="U2250" s="6">
        <v>76</v>
      </c>
      <c r="V2250" s="6">
        <f>IF(ISERROR(VLOOKUP($S$2250,'TAR FIN'!$A$1:$O$95,15,0)),0,VLOOKUP($S$2250,'TAR FIN'!$A$1:$O$95,15,0))</f>
        <v>0</v>
      </c>
      <c r="W2250" s="6">
        <f>IF(ISERROR(VLOOKUP($T$2250,'TAR FIN'!$A$1:$O$95,15,0)),0,VLOOKUP($T$2250,'TAR FIN'!$A$1:$O$95,15,0))</f>
        <v>735.45</v>
      </c>
      <c r="X2250" s="6">
        <f>IF(ISERROR(VLOOKUP($U$2250,'TAR FIN'!$A$1:$O$95,15,0)),0,VLOOKUP($U$2250,'TAR FIN'!$A$1:$O$95,15,0))</f>
        <v>230.03</v>
      </c>
      <c r="Y2250" s="6"/>
      <c r="Z2250" s="6">
        <f ca="1">('TUSD BE'!$AM$51+'TUSD BF'!$AM$51+'TUSD CVA'!$AM$51)*1</f>
        <v>825.79679216117552</v>
      </c>
      <c r="AA2250" s="6">
        <f>('TE BE'!$AA$39+'TE BF'!$AA$39+'TE CVA'!$AA$39)*1</f>
        <v>282.91739971702214</v>
      </c>
      <c r="AB2250" s="6">
        <f>$K$2250*$V$2250</f>
        <v>0</v>
      </c>
      <c r="AC2250" s="6">
        <f>$M$2250*$W$2250</f>
        <v>106.64024999999999</v>
      </c>
      <c r="AD2250" s="6">
        <f>$O$2250*$X$2250</f>
        <v>33.354349999999997</v>
      </c>
      <c r="AE2250" s="6">
        <f>$K$2250*$Y$2250</f>
        <v>0</v>
      </c>
      <c r="AF2250" s="6">
        <f ca="1">$M$2250*$Z$2250</f>
        <v>119.74053486337044</v>
      </c>
      <c r="AG2250" s="6">
        <f>$O$2250*$AA$2250</f>
        <v>41.023022958968205</v>
      </c>
    </row>
    <row r="2251" spans="1:33" ht="11.25" customHeight="1" x14ac:dyDescent="0.25">
      <c r="A2251" s="4" t="s">
        <v>28</v>
      </c>
      <c r="B2251" s="4" t="s">
        <v>41</v>
      </c>
      <c r="C2251" s="4" t="s">
        <v>39</v>
      </c>
      <c r="D2251" s="4" t="s">
        <v>48</v>
      </c>
      <c r="E2251" s="4" t="s">
        <v>25</v>
      </c>
      <c r="F2251" s="4" t="s">
        <v>25</v>
      </c>
      <c r="G2251" s="4" t="s">
        <v>25</v>
      </c>
      <c r="H2251" s="4" t="s">
        <v>40</v>
      </c>
      <c r="I2251" s="5">
        <v>44348</v>
      </c>
      <c r="J2251" s="6">
        <v>0</v>
      </c>
      <c r="K2251" s="6">
        <v>0</v>
      </c>
      <c r="L2251" s="6">
        <v>0.16600000000000001</v>
      </c>
      <c r="M2251" s="6">
        <v>0.16600000000000001</v>
      </c>
      <c r="N2251" s="6">
        <v>0.16600000000000001</v>
      </c>
      <c r="O2251" s="6">
        <v>0.16600000000000001</v>
      </c>
      <c r="P2251" s="6">
        <v>0</v>
      </c>
      <c r="Q2251" s="4" t="s">
        <v>26</v>
      </c>
      <c r="R2251" s="4">
        <v>0</v>
      </c>
      <c r="S2251" s="6">
        <v>0</v>
      </c>
      <c r="T2251" s="6">
        <v>75</v>
      </c>
      <c r="U2251" s="6">
        <v>76</v>
      </c>
      <c r="V2251" s="6">
        <f>IF(ISERROR(VLOOKUP($S$2251,'TAR FIN'!$A$1:$O$95,15,0)),0,VLOOKUP($S$2251,'TAR FIN'!$A$1:$O$95,15,0))</f>
        <v>0</v>
      </c>
      <c r="W2251" s="6">
        <f>IF(ISERROR(VLOOKUP($T$2251,'TAR FIN'!$A$1:$O$95,15,0)),0,VLOOKUP($T$2251,'TAR FIN'!$A$1:$O$95,15,0))</f>
        <v>735.45</v>
      </c>
      <c r="X2251" s="6">
        <f>IF(ISERROR(VLOOKUP($U$2251,'TAR FIN'!$A$1:$O$95,15,0)),0,VLOOKUP($U$2251,'TAR FIN'!$A$1:$O$95,15,0))</f>
        <v>230.03</v>
      </c>
      <c r="Y2251" s="6"/>
      <c r="Z2251" s="6">
        <f ca="1">('TUSD BE'!$AM$51+'TUSD BF'!$AM$51+'TUSD CVA'!$AM$51)*1</f>
        <v>825.79679216117552</v>
      </c>
      <c r="AA2251" s="6">
        <f>('TE BE'!$AA$39+'TE BF'!$AA$39+'TE CVA'!$AA$39)*1</f>
        <v>282.91739971702214</v>
      </c>
      <c r="AB2251" s="6">
        <f>$K$2251*$V$2251</f>
        <v>0</v>
      </c>
      <c r="AC2251" s="6">
        <f>$M$2251*$W$2251</f>
        <v>122.08470000000001</v>
      </c>
      <c r="AD2251" s="6">
        <f>$O$2251*$X$2251</f>
        <v>38.184980000000003</v>
      </c>
      <c r="AE2251" s="6">
        <f>$K$2251*$Y$2251</f>
        <v>0</v>
      </c>
      <c r="AF2251" s="6">
        <f ca="1">$M$2251*$Z$2251</f>
        <v>137.08226749875513</v>
      </c>
      <c r="AG2251" s="6">
        <f>$O$2251*$AA$2251</f>
        <v>46.96428835302568</v>
      </c>
    </row>
    <row r="2252" spans="1:33" ht="11.25" customHeight="1" x14ac:dyDescent="0.25">
      <c r="A2252" s="4" t="s">
        <v>21</v>
      </c>
      <c r="B2252" s="4" t="s">
        <v>41</v>
      </c>
      <c r="C2252" s="4" t="s">
        <v>39</v>
      </c>
      <c r="D2252" s="4" t="s">
        <v>48</v>
      </c>
      <c r="E2252" s="4" t="s">
        <v>25</v>
      </c>
      <c r="F2252" s="4" t="s">
        <v>25</v>
      </c>
      <c r="G2252" s="4" t="s">
        <v>25</v>
      </c>
      <c r="H2252" s="4" t="s">
        <v>40</v>
      </c>
      <c r="I2252" s="5">
        <v>44378</v>
      </c>
      <c r="J2252" s="6">
        <v>0</v>
      </c>
      <c r="K2252" s="6">
        <v>0</v>
      </c>
      <c r="L2252" s="6">
        <v>0.16</v>
      </c>
      <c r="M2252" s="6">
        <v>0.16</v>
      </c>
      <c r="N2252" s="6">
        <v>0.16</v>
      </c>
      <c r="O2252" s="6">
        <v>0.16</v>
      </c>
      <c r="P2252" s="6">
        <v>0</v>
      </c>
      <c r="Q2252" s="4" t="s">
        <v>26</v>
      </c>
      <c r="R2252" s="4">
        <v>0</v>
      </c>
      <c r="S2252" s="6">
        <v>0</v>
      </c>
      <c r="T2252" s="6">
        <v>75</v>
      </c>
      <c r="U2252" s="6">
        <v>76</v>
      </c>
      <c r="V2252" s="6">
        <f>IF(ISERROR(VLOOKUP($S$2252,'TAR FIN'!$A$1:$O$95,15,0)),0,VLOOKUP($S$2252,'TAR FIN'!$A$1:$O$95,15,0))</f>
        <v>0</v>
      </c>
      <c r="W2252" s="6">
        <f>IF(ISERROR(VLOOKUP($T$2252,'TAR FIN'!$A$1:$O$95,15,0)),0,VLOOKUP($T$2252,'TAR FIN'!$A$1:$O$95,15,0))</f>
        <v>735.45</v>
      </c>
      <c r="X2252" s="6">
        <f>IF(ISERROR(VLOOKUP($U$2252,'TAR FIN'!$A$1:$O$95,15,0)),0,VLOOKUP($U$2252,'TAR FIN'!$A$1:$O$95,15,0))</f>
        <v>230.03</v>
      </c>
      <c r="Y2252" s="6"/>
      <c r="Z2252" s="6">
        <f ca="1">('TUSD BE'!$AM$51+'TUSD BF'!$AM$51+'TUSD CVA'!$AM$51)*1</f>
        <v>825.79679216117552</v>
      </c>
      <c r="AA2252" s="6">
        <f>('TE BE'!$AA$39+'TE BF'!$AA$39+'TE CVA'!$AA$39)*1</f>
        <v>282.91739971702214</v>
      </c>
      <c r="AB2252" s="6">
        <f>$K$2252*$V$2252</f>
        <v>0</v>
      </c>
      <c r="AC2252" s="6">
        <f>$M$2252*$W$2252</f>
        <v>117.67200000000001</v>
      </c>
      <c r="AD2252" s="6">
        <f>$O$2252*$X$2252</f>
        <v>36.8048</v>
      </c>
      <c r="AE2252" s="6">
        <f>$K$2252*$Y$2252</f>
        <v>0</v>
      </c>
      <c r="AF2252" s="6">
        <f ca="1">$M$2252*$Z$2252</f>
        <v>132.12748674578808</v>
      </c>
      <c r="AG2252" s="6">
        <f>$O$2252*$AA$2252</f>
        <v>45.266783954723543</v>
      </c>
    </row>
    <row r="2253" spans="1:33" ht="11.25" customHeight="1" x14ac:dyDescent="0.25">
      <c r="A2253" s="4" t="s">
        <v>28</v>
      </c>
      <c r="B2253" s="4" t="s">
        <v>41</v>
      </c>
      <c r="C2253" s="4" t="s">
        <v>39</v>
      </c>
      <c r="D2253" s="4" t="s">
        <v>48</v>
      </c>
      <c r="E2253" s="4" t="s">
        <v>25</v>
      </c>
      <c r="F2253" s="4" t="s">
        <v>25</v>
      </c>
      <c r="G2253" s="4" t="s">
        <v>25</v>
      </c>
      <c r="H2253" s="4" t="s">
        <v>40</v>
      </c>
      <c r="I2253" s="5">
        <v>44378</v>
      </c>
      <c r="J2253" s="6">
        <v>0</v>
      </c>
      <c r="K2253" s="6">
        <v>0</v>
      </c>
      <c r="L2253" s="6">
        <v>0.19</v>
      </c>
      <c r="M2253" s="6">
        <v>0.19</v>
      </c>
      <c r="N2253" s="6">
        <v>0.19</v>
      </c>
      <c r="O2253" s="6">
        <v>0.19</v>
      </c>
      <c r="P2253" s="6">
        <v>0</v>
      </c>
      <c r="Q2253" s="4" t="s">
        <v>26</v>
      </c>
      <c r="R2253" s="4">
        <v>0</v>
      </c>
      <c r="S2253" s="6">
        <v>0</v>
      </c>
      <c r="T2253" s="6">
        <v>75</v>
      </c>
      <c r="U2253" s="6">
        <v>76</v>
      </c>
      <c r="V2253" s="6">
        <f>IF(ISERROR(VLOOKUP($S$2253,'TAR FIN'!$A$1:$O$95,15,0)),0,VLOOKUP($S$2253,'TAR FIN'!$A$1:$O$95,15,0))</f>
        <v>0</v>
      </c>
      <c r="W2253" s="6">
        <f>IF(ISERROR(VLOOKUP($T$2253,'TAR FIN'!$A$1:$O$95,15,0)),0,VLOOKUP($T$2253,'TAR FIN'!$A$1:$O$95,15,0))</f>
        <v>735.45</v>
      </c>
      <c r="X2253" s="6">
        <f>IF(ISERROR(VLOOKUP($U$2253,'TAR FIN'!$A$1:$O$95,15,0)),0,VLOOKUP($U$2253,'TAR FIN'!$A$1:$O$95,15,0))</f>
        <v>230.03</v>
      </c>
      <c r="Y2253" s="6"/>
      <c r="Z2253" s="6">
        <f ca="1">('TUSD BE'!$AM$51+'TUSD BF'!$AM$51+'TUSD CVA'!$AM$51)*1</f>
        <v>825.79679216117552</v>
      </c>
      <c r="AA2253" s="6">
        <f>('TE BE'!$AA$39+'TE BF'!$AA$39+'TE CVA'!$AA$39)*1</f>
        <v>282.91739971702214</v>
      </c>
      <c r="AB2253" s="6">
        <f>$K$2253*$V$2253</f>
        <v>0</v>
      </c>
      <c r="AC2253" s="6">
        <f>$M$2253*$W$2253</f>
        <v>139.7355</v>
      </c>
      <c r="AD2253" s="6">
        <f>$O$2253*$X$2253</f>
        <v>43.7057</v>
      </c>
      <c r="AE2253" s="6">
        <f>$K$2253*$Y$2253</f>
        <v>0</v>
      </c>
      <c r="AF2253" s="6">
        <f ca="1">$M$2253*$Z$2253</f>
        <v>156.90139051062334</v>
      </c>
      <c r="AG2253" s="6">
        <f>$O$2253*$AA$2253</f>
        <v>53.754305946234204</v>
      </c>
    </row>
    <row r="2254" spans="1:33" ht="11.25" customHeight="1" x14ac:dyDescent="0.25">
      <c r="A2254" s="4" t="s">
        <v>21</v>
      </c>
      <c r="B2254" s="4" t="s">
        <v>41</v>
      </c>
      <c r="C2254" s="4" t="s">
        <v>39</v>
      </c>
      <c r="D2254" s="4" t="s">
        <v>48</v>
      </c>
      <c r="E2254" s="4" t="s">
        <v>25</v>
      </c>
      <c r="F2254" s="4" t="s">
        <v>25</v>
      </c>
      <c r="G2254" s="4" t="s">
        <v>25</v>
      </c>
      <c r="H2254" s="4" t="s">
        <v>40</v>
      </c>
      <c r="I2254" s="5">
        <v>44409</v>
      </c>
      <c r="J2254" s="6">
        <v>0</v>
      </c>
      <c r="K2254" s="6">
        <v>0</v>
      </c>
      <c r="L2254" s="6">
        <v>0.159</v>
      </c>
      <c r="M2254" s="6">
        <v>0.159</v>
      </c>
      <c r="N2254" s="6">
        <v>0.159</v>
      </c>
      <c r="O2254" s="6">
        <v>0.159</v>
      </c>
      <c r="P2254" s="6">
        <v>0</v>
      </c>
      <c r="Q2254" s="4" t="s">
        <v>26</v>
      </c>
      <c r="R2254" s="4">
        <v>0</v>
      </c>
      <c r="S2254" s="6">
        <v>0</v>
      </c>
      <c r="T2254" s="6">
        <v>75</v>
      </c>
      <c r="U2254" s="6">
        <v>76</v>
      </c>
      <c r="V2254" s="6">
        <f>IF(ISERROR(VLOOKUP($S$2254,'TAR FIN'!$A$1:$O$95,15,0)),0,VLOOKUP($S$2254,'TAR FIN'!$A$1:$O$95,15,0))</f>
        <v>0</v>
      </c>
      <c r="W2254" s="6">
        <f>IF(ISERROR(VLOOKUP($T$2254,'TAR FIN'!$A$1:$O$95,15,0)),0,VLOOKUP($T$2254,'TAR FIN'!$A$1:$O$95,15,0))</f>
        <v>735.45</v>
      </c>
      <c r="X2254" s="6">
        <f>IF(ISERROR(VLOOKUP($U$2254,'TAR FIN'!$A$1:$O$95,15,0)),0,VLOOKUP($U$2254,'TAR FIN'!$A$1:$O$95,15,0))</f>
        <v>230.03</v>
      </c>
      <c r="Y2254" s="6"/>
      <c r="Z2254" s="6">
        <f ca="1">('TUSD BE'!$AM$51+'TUSD BF'!$AM$51+'TUSD CVA'!$AM$51)*1</f>
        <v>825.79679216117552</v>
      </c>
      <c r="AA2254" s="6">
        <f>('TE BE'!$AA$39+'TE BF'!$AA$39+'TE CVA'!$AA$39)*1</f>
        <v>282.91739971702214</v>
      </c>
      <c r="AB2254" s="6">
        <f>$K$2254*$V$2254</f>
        <v>0</v>
      </c>
      <c r="AC2254" s="6">
        <f>$M$2254*$W$2254</f>
        <v>116.93655000000001</v>
      </c>
      <c r="AD2254" s="6">
        <f>$O$2254*$X$2254</f>
        <v>36.574770000000001</v>
      </c>
      <c r="AE2254" s="6">
        <f>$K$2254*$Y$2254</f>
        <v>0</v>
      </c>
      <c r="AF2254" s="6">
        <f ca="1">$M$2254*$Z$2254</f>
        <v>131.30168995362692</v>
      </c>
      <c r="AG2254" s="6">
        <f>$O$2254*$AA$2254</f>
        <v>44.983866555006522</v>
      </c>
    </row>
    <row r="2255" spans="1:33" ht="11.25" customHeight="1" x14ac:dyDescent="0.25">
      <c r="A2255" s="4" t="s">
        <v>28</v>
      </c>
      <c r="B2255" s="4" t="s">
        <v>41</v>
      </c>
      <c r="C2255" s="4" t="s">
        <v>39</v>
      </c>
      <c r="D2255" s="4" t="s">
        <v>48</v>
      </c>
      <c r="E2255" s="4" t="s">
        <v>25</v>
      </c>
      <c r="F2255" s="4" t="s">
        <v>25</v>
      </c>
      <c r="G2255" s="4" t="s">
        <v>25</v>
      </c>
      <c r="H2255" s="4" t="s">
        <v>40</v>
      </c>
      <c r="I2255" s="5">
        <v>44409</v>
      </c>
      <c r="J2255" s="6">
        <v>0</v>
      </c>
      <c r="K2255" s="6">
        <v>0</v>
      </c>
      <c r="L2255" s="6">
        <v>0.182</v>
      </c>
      <c r="M2255" s="6">
        <v>0.182</v>
      </c>
      <c r="N2255" s="6">
        <v>0.182</v>
      </c>
      <c r="O2255" s="6">
        <v>0.182</v>
      </c>
      <c r="P2255" s="6">
        <v>0</v>
      </c>
      <c r="Q2255" s="4" t="s">
        <v>26</v>
      </c>
      <c r="R2255" s="4">
        <v>0</v>
      </c>
      <c r="S2255" s="6">
        <v>0</v>
      </c>
      <c r="T2255" s="6">
        <v>75</v>
      </c>
      <c r="U2255" s="6">
        <v>76</v>
      </c>
      <c r="V2255" s="6">
        <f>IF(ISERROR(VLOOKUP($S$2255,'TAR FIN'!$A$1:$O$95,15,0)),0,VLOOKUP($S$2255,'TAR FIN'!$A$1:$O$95,15,0))</f>
        <v>0</v>
      </c>
      <c r="W2255" s="6">
        <f>IF(ISERROR(VLOOKUP($T$2255,'TAR FIN'!$A$1:$O$95,15,0)),0,VLOOKUP($T$2255,'TAR FIN'!$A$1:$O$95,15,0))</f>
        <v>735.45</v>
      </c>
      <c r="X2255" s="6">
        <f>IF(ISERROR(VLOOKUP($U$2255,'TAR FIN'!$A$1:$O$95,15,0)),0,VLOOKUP($U$2255,'TAR FIN'!$A$1:$O$95,15,0))</f>
        <v>230.03</v>
      </c>
      <c r="Y2255" s="6"/>
      <c r="Z2255" s="6">
        <f ca="1">('TUSD BE'!$AM$51+'TUSD BF'!$AM$51+'TUSD CVA'!$AM$51)*1</f>
        <v>825.79679216117552</v>
      </c>
      <c r="AA2255" s="6">
        <f>('TE BE'!$AA$39+'TE BF'!$AA$39+'TE CVA'!$AA$39)*1</f>
        <v>282.91739971702214</v>
      </c>
      <c r="AB2255" s="6">
        <f>$K$2255*$V$2255</f>
        <v>0</v>
      </c>
      <c r="AC2255" s="6">
        <f>$M$2255*$W$2255</f>
        <v>133.8519</v>
      </c>
      <c r="AD2255" s="6">
        <f>$O$2255*$X$2255</f>
        <v>41.865459999999999</v>
      </c>
      <c r="AE2255" s="6">
        <f>$K$2255*$Y$2255</f>
        <v>0</v>
      </c>
      <c r="AF2255" s="6">
        <f ca="1">$M$2255*$Z$2255</f>
        <v>150.29501617333395</v>
      </c>
      <c r="AG2255" s="6">
        <f>$O$2255*$AA$2255</f>
        <v>51.490966748498025</v>
      </c>
    </row>
    <row r="2256" spans="1:33" ht="11.25" customHeight="1" x14ac:dyDescent="0.25">
      <c r="A2256" s="4" t="s">
        <v>21</v>
      </c>
      <c r="B2256" s="4" t="s">
        <v>41</v>
      </c>
      <c r="C2256" s="4" t="s">
        <v>39</v>
      </c>
      <c r="D2256" s="4" t="s">
        <v>48</v>
      </c>
      <c r="E2256" s="4" t="s">
        <v>25</v>
      </c>
      <c r="F2256" s="4" t="s">
        <v>25</v>
      </c>
      <c r="G2256" s="4" t="s">
        <v>25</v>
      </c>
      <c r="H2256" s="4" t="s">
        <v>40</v>
      </c>
      <c r="I2256" s="5">
        <v>44440</v>
      </c>
      <c r="J2256" s="6">
        <v>0</v>
      </c>
      <c r="K2256" s="6">
        <v>0</v>
      </c>
      <c r="L2256" s="6">
        <v>0.16</v>
      </c>
      <c r="M2256" s="6">
        <v>0.16</v>
      </c>
      <c r="N2256" s="6">
        <v>0.16</v>
      </c>
      <c r="O2256" s="6">
        <v>0.16</v>
      </c>
      <c r="P2256" s="6">
        <v>0</v>
      </c>
      <c r="Q2256" s="4" t="s">
        <v>26</v>
      </c>
      <c r="R2256" s="4">
        <v>0</v>
      </c>
      <c r="S2256" s="6">
        <v>0</v>
      </c>
      <c r="T2256" s="6">
        <v>75</v>
      </c>
      <c r="U2256" s="6">
        <v>76</v>
      </c>
      <c r="V2256" s="6">
        <f>IF(ISERROR(VLOOKUP($S$2256,'TAR FIN'!$A$1:$O$95,15,0)),0,VLOOKUP($S$2256,'TAR FIN'!$A$1:$O$95,15,0))</f>
        <v>0</v>
      </c>
      <c r="W2256" s="6">
        <f>IF(ISERROR(VLOOKUP($T$2256,'TAR FIN'!$A$1:$O$95,15,0)),0,VLOOKUP($T$2256,'TAR FIN'!$A$1:$O$95,15,0))</f>
        <v>735.45</v>
      </c>
      <c r="X2256" s="6">
        <f>IF(ISERROR(VLOOKUP($U$2256,'TAR FIN'!$A$1:$O$95,15,0)),0,VLOOKUP($U$2256,'TAR FIN'!$A$1:$O$95,15,0))</f>
        <v>230.03</v>
      </c>
      <c r="Y2256" s="6"/>
      <c r="Z2256" s="6">
        <f ca="1">('TUSD BE'!$AM$51+'TUSD BF'!$AM$51+'TUSD CVA'!$AM$51)*1</f>
        <v>825.79679216117552</v>
      </c>
      <c r="AA2256" s="6">
        <f>('TE BE'!$AA$39+'TE BF'!$AA$39+'TE CVA'!$AA$39)*1</f>
        <v>282.91739971702214</v>
      </c>
      <c r="AB2256" s="6">
        <f>$K$2256*$V$2256</f>
        <v>0</v>
      </c>
      <c r="AC2256" s="6">
        <f>$M$2256*$W$2256</f>
        <v>117.67200000000001</v>
      </c>
      <c r="AD2256" s="6">
        <f>$O$2256*$X$2256</f>
        <v>36.8048</v>
      </c>
      <c r="AE2256" s="6">
        <f>$K$2256*$Y$2256</f>
        <v>0</v>
      </c>
      <c r="AF2256" s="6">
        <f ca="1">$M$2256*$Z$2256</f>
        <v>132.12748674578808</v>
      </c>
      <c r="AG2256" s="6">
        <f>$O$2256*$AA$2256</f>
        <v>45.266783954723543</v>
      </c>
    </row>
    <row r="2257" spans="1:33" ht="11.25" customHeight="1" x14ac:dyDescent="0.25">
      <c r="A2257" s="4" t="s">
        <v>28</v>
      </c>
      <c r="B2257" s="4" t="s">
        <v>41</v>
      </c>
      <c r="C2257" s="4" t="s">
        <v>39</v>
      </c>
      <c r="D2257" s="4" t="s">
        <v>48</v>
      </c>
      <c r="E2257" s="4" t="s">
        <v>25</v>
      </c>
      <c r="F2257" s="4" t="s">
        <v>25</v>
      </c>
      <c r="G2257" s="4" t="s">
        <v>25</v>
      </c>
      <c r="H2257" s="4" t="s">
        <v>40</v>
      </c>
      <c r="I2257" s="5">
        <v>44440</v>
      </c>
      <c r="J2257" s="6">
        <v>0</v>
      </c>
      <c r="K2257" s="6">
        <v>0</v>
      </c>
      <c r="L2257" s="6">
        <v>0.16500000000000001</v>
      </c>
      <c r="M2257" s="6">
        <v>0.16500000000000001</v>
      </c>
      <c r="N2257" s="6">
        <v>0.16500000000000001</v>
      </c>
      <c r="O2257" s="6">
        <v>0.16500000000000001</v>
      </c>
      <c r="P2257" s="6">
        <v>0</v>
      </c>
      <c r="Q2257" s="4" t="s">
        <v>26</v>
      </c>
      <c r="R2257" s="4">
        <v>0</v>
      </c>
      <c r="S2257" s="6">
        <v>0</v>
      </c>
      <c r="T2257" s="6">
        <v>75</v>
      </c>
      <c r="U2257" s="6">
        <v>76</v>
      </c>
      <c r="V2257" s="6">
        <f>IF(ISERROR(VLOOKUP($S$2257,'TAR FIN'!$A$1:$O$95,15,0)),0,VLOOKUP($S$2257,'TAR FIN'!$A$1:$O$95,15,0))</f>
        <v>0</v>
      </c>
      <c r="W2257" s="6">
        <f>IF(ISERROR(VLOOKUP($T$2257,'TAR FIN'!$A$1:$O$95,15,0)),0,VLOOKUP($T$2257,'TAR FIN'!$A$1:$O$95,15,0))</f>
        <v>735.45</v>
      </c>
      <c r="X2257" s="6">
        <f>IF(ISERROR(VLOOKUP($U$2257,'TAR FIN'!$A$1:$O$95,15,0)),0,VLOOKUP($U$2257,'TAR FIN'!$A$1:$O$95,15,0))</f>
        <v>230.03</v>
      </c>
      <c r="Y2257" s="6"/>
      <c r="Z2257" s="6">
        <f ca="1">('TUSD BE'!$AM$51+'TUSD BF'!$AM$51+'TUSD CVA'!$AM$51)*1</f>
        <v>825.79679216117552</v>
      </c>
      <c r="AA2257" s="6">
        <f>('TE BE'!$AA$39+'TE BF'!$AA$39+'TE CVA'!$AA$39)*1</f>
        <v>282.91739971702214</v>
      </c>
      <c r="AB2257" s="6">
        <f>$K$2257*$V$2257</f>
        <v>0</v>
      </c>
      <c r="AC2257" s="6">
        <f>$M$2257*$W$2257</f>
        <v>121.34925000000001</v>
      </c>
      <c r="AD2257" s="6">
        <f>$O$2257*$X$2257</f>
        <v>37.954950000000004</v>
      </c>
      <c r="AE2257" s="6">
        <f>$K$2257*$Y$2257</f>
        <v>0</v>
      </c>
      <c r="AF2257" s="6">
        <f ca="1">$M$2257*$Z$2257</f>
        <v>136.25647070659397</v>
      </c>
      <c r="AG2257" s="6">
        <f>$O$2257*$AA$2257</f>
        <v>46.681370953308658</v>
      </c>
    </row>
    <row r="2258" spans="1:33" ht="11.25" customHeight="1" x14ac:dyDescent="0.25">
      <c r="A2258" s="4" t="s">
        <v>59</v>
      </c>
      <c r="B2258" s="4" t="s">
        <v>41</v>
      </c>
      <c r="C2258" s="4" t="s">
        <v>39</v>
      </c>
      <c r="D2258" s="4" t="s">
        <v>48</v>
      </c>
      <c r="E2258" s="4" t="s">
        <v>25</v>
      </c>
      <c r="F2258" s="4" t="s">
        <v>25</v>
      </c>
      <c r="G2258" s="4" t="s">
        <v>25</v>
      </c>
      <c r="H2258" s="4" t="s">
        <v>40</v>
      </c>
      <c r="I2258" s="5">
        <v>44470</v>
      </c>
      <c r="J2258" s="6">
        <v>0</v>
      </c>
      <c r="K2258" s="6">
        <v>0</v>
      </c>
      <c r="L2258" s="6">
        <v>0.16</v>
      </c>
      <c r="M2258" s="6">
        <v>0.16</v>
      </c>
      <c r="N2258" s="6">
        <v>0.16</v>
      </c>
      <c r="O2258" s="6">
        <v>0.16</v>
      </c>
      <c r="P2258" s="6">
        <v>0</v>
      </c>
      <c r="Q2258" s="4" t="s">
        <v>26</v>
      </c>
      <c r="R2258" s="4">
        <v>0</v>
      </c>
      <c r="S2258" s="6">
        <v>0</v>
      </c>
      <c r="T2258" s="6">
        <v>75</v>
      </c>
      <c r="U2258" s="6">
        <v>76</v>
      </c>
      <c r="V2258" s="6">
        <f>IF(ISERROR(VLOOKUP($S$2258,'TAR FIN'!$A$1:$O$95,15,0)),0,VLOOKUP($S$2258,'TAR FIN'!$A$1:$O$95,15,0))</f>
        <v>0</v>
      </c>
      <c r="W2258" s="6">
        <f>IF(ISERROR(VLOOKUP($T$2258,'TAR FIN'!$A$1:$O$95,15,0)),0,VLOOKUP($T$2258,'TAR FIN'!$A$1:$O$95,15,0))</f>
        <v>735.45</v>
      </c>
      <c r="X2258" s="6">
        <f>IF(ISERROR(VLOOKUP($U$2258,'TAR FIN'!$A$1:$O$95,15,0)),0,VLOOKUP($U$2258,'TAR FIN'!$A$1:$O$95,15,0))</f>
        <v>230.03</v>
      </c>
      <c r="Y2258" s="6"/>
      <c r="Z2258" s="6">
        <f ca="1">('TUSD BE'!$AM$51+'TUSD BF'!$AM$51+'TUSD CVA'!$AM$51)*1</f>
        <v>825.79679216117552</v>
      </c>
      <c r="AA2258" s="6">
        <f>('TE BE'!$AA$39+'TE BF'!$AA$39+'TE CVA'!$AA$39)*1</f>
        <v>282.91739971702214</v>
      </c>
      <c r="AB2258" s="6">
        <f>$K$2258*$V$2258</f>
        <v>0</v>
      </c>
      <c r="AC2258" s="6">
        <f>$M$2258*$W$2258</f>
        <v>117.67200000000001</v>
      </c>
      <c r="AD2258" s="6">
        <f>$O$2258*$X$2258</f>
        <v>36.8048</v>
      </c>
      <c r="AE2258" s="6">
        <f>$K$2258*$Y$2258</f>
        <v>0</v>
      </c>
      <c r="AF2258" s="6">
        <f ca="1">$M$2258*$Z$2258</f>
        <v>132.12748674578808</v>
      </c>
      <c r="AG2258" s="6">
        <f>$O$2258*$AA$2258</f>
        <v>45.266783954723543</v>
      </c>
    </row>
    <row r="2259" spans="1:33" ht="11.25" customHeight="1" x14ac:dyDescent="0.25">
      <c r="A2259" s="4" t="s">
        <v>59</v>
      </c>
      <c r="B2259" s="4" t="s">
        <v>41</v>
      </c>
      <c r="C2259" s="4" t="s">
        <v>39</v>
      </c>
      <c r="D2259" s="4" t="s">
        <v>48</v>
      </c>
      <c r="E2259" s="4" t="s">
        <v>25</v>
      </c>
      <c r="F2259" s="4" t="s">
        <v>25</v>
      </c>
      <c r="G2259" s="4" t="s">
        <v>25</v>
      </c>
      <c r="H2259" s="4" t="s">
        <v>40</v>
      </c>
      <c r="I2259" s="5">
        <v>44470</v>
      </c>
      <c r="J2259" s="6">
        <v>0</v>
      </c>
      <c r="K2259" s="6">
        <v>0</v>
      </c>
      <c r="L2259" s="6">
        <v>0.16500000000000001</v>
      </c>
      <c r="M2259" s="6">
        <v>0.16500000000000001</v>
      </c>
      <c r="N2259" s="6">
        <v>0.16500000000000001</v>
      </c>
      <c r="O2259" s="6">
        <v>0.16500000000000001</v>
      </c>
      <c r="P2259" s="6">
        <v>0</v>
      </c>
      <c r="Q2259" s="4" t="s">
        <v>26</v>
      </c>
      <c r="R2259" s="4">
        <v>0</v>
      </c>
      <c r="S2259" s="6">
        <v>0</v>
      </c>
      <c r="T2259" s="6">
        <v>75</v>
      </c>
      <c r="U2259" s="6">
        <v>76</v>
      </c>
      <c r="V2259" s="6">
        <f>IF(ISERROR(VLOOKUP($S$2259,'TAR FIN'!$A$1:$O$95,15,0)),0,VLOOKUP($S$2259,'TAR FIN'!$A$1:$O$95,15,0))</f>
        <v>0</v>
      </c>
      <c r="W2259" s="6">
        <f>IF(ISERROR(VLOOKUP($T$2259,'TAR FIN'!$A$1:$O$95,15,0)),0,VLOOKUP($T$2259,'TAR FIN'!$A$1:$O$95,15,0))</f>
        <v>735.45</v>
      </c>
      <c r="X2259" s="6">
        <f>IF(ISERROR(VLOOKUP($U$2259,'TAR FIN'!$A$1:$O$95,15,0)),0,VLOOKUP($U$2259,'TAR FIN'!$A$1:$O$95,15,0))</f>
        <v>230.03</v>
      </c>
      <c r="Y2259" s="6"/>
      <c r="Z2259" s="6">
        <f ca="1">('TUSD BE'!$AM$51+'TUSD BF'!$AM$51+'TUSD CVA'!$AM$51)*1</f>
        <v>825.79679216117552</v>
      </c>
      <c r="AA2259" s="6">
        <f>('TE BE'!$AA$39+'TE BF'!$AA$39+'TE CVA'!$AA$39)*1</f>
        <v>282.91739971702214</v>
      </c>
      <c r="AB2259" s="6">
        <f>$K$2259*$V$2259</f>
        <v>0</v>
      </c>
      <c r="AC2259" s="6">
        <f>$M$2259*$W$2259</f>
        <v>121.34925000000001</v>
      </c>
      <c r="AD2259" s="6">
        <f>$O$2259*$X$2259</f>
        <v>37.954950000000004</v>
      </c>
      <c r="AE2259" s="6">
        <f>$K$2259*$Y$2259</f>
        <v>0</v>
      </c>
      <c r="AF2259" s="6">
        <f ca="1">$M$2259*$Z$2259</f>
        <v>136.25647070659397</v>
      </c>
      <c r="AG2259" s="6">
        <f>$O$2259*$AA$2259</f>
        <v>46.681370953308658</v>
      </c>
    </row>
    <row r="2260" spans="1:33" ht="11.25" customHeight="1" x14ac:dyDescent="0.25">
      <c r="A2260" s="4" t="s">
        <v>21</v>
      </c>
      <c r="B2260" s="4" t="s">
        <v>41</v>
      </c>
      <c r="C2260" s="4" t="s">
        <v>39</v>
      </c>
      <c r="D2260" s="4" t="s">
        <v>48</v>
      </c>
      <c r="E2260" s="4" t="s">
        <v>25</v>
      </c>
      <c r="F2260" s="4" t="s">
        <v>25</v>
      </c>
      <c r="G2260" s="4" t="s">
        <v>25</v>
      </c>
      <c r="H2260" s="4" t="s">
        <v>37</v>
      </c>
      <c r="I2260" s="5">
        <v>44136</v>
      </c>
      <c r="J2260" s="6">
        <v>0</v>
      </c>
      <c r="K2260" s="6">
        <v>0</v>
      </c>
      <c r="L2260" s="6">
        <v>53.497999999999998</v>
      </c>
      <c r="M2260" s="6">
        <v>53.497999999999998</v>
      </c>
      <c r="N2260" s="6">
        <v>53.497999999999998</v>
      </c>
      <c r="O2260" s="6">
        <v>53.497999999999998</v>
      </c>
      <c r="P2260" s="6">
        <v>0</v>
      </c>
      <c r="Q2260" s="4" t="s">
        <v>26</v>
      </c>
      <c r="R2260" s="4">
        <v>0</v>
      </c>
      <c r="S2260" s="6">
        <v>0</v>
      </c>
      <c r="T2260" s="6">
        <v>74</v>
      </c>
      <c r="U2260" s="6">
        <v>82</v>
      </c>
      <c r="V2260" s="6">
        <f>IF(ISERROR(VLOOKUP($S$2260,'TAR FIN'!$A$1:$O$95,15,0)),0,VLOOKUP($S$2260,'TAR FIN'!$A$1:$O$95,15,0))</f>
        <v>0</v>
      </c>
      <c r="W2260" s="6">
        <f>IF(ISERROR(VLOOKUP($T$2260,'TAR FIN'!$A$1:$O$95,15,0)),0,VLOOKUP($T$2260,'TAR FIN'!$A$1:$O$95,15,0))</f>
        <v>1089.57</v>
      </c>
      <c r="X2260" s="6">
        <f>IF(ISERROR(VLOOKUP($U$2260,'TAR FIN'!$A$1:$O$95,15,0)),0,VLOOKUP($U$2260,'TAR FIN'!$A$1:$O$95,15,0))</f>
        <v>389.28</v>
      </c>
      <c r="Y2260" s="6"/>
      <c r="Z2260" s="6">
        <f ca="1">('TUSD BE'!$AM$50+'TUSD BF'!$AM$50+'TUSD CVA'!$AM$50)*1</f>
        <v>1222.1406132757641</v>
      </c>
      <c r="AA2260" s="6">
        <f>('TE BE'!$AA$38+'TE BF'!$AA$38+'TE CVA'!$AA$38)*1</f>
        <v>454.3285679284046</v>
      </c>
      <c r="AB2260" s="6">
        <f>$K$2260*$V$2260</f>
        <v>0</v>
      </c>
      <c r="AC2260" s="6">
        <f>$M$2260*$W$2260</f>
        <v>58289.815859999995</v>
      </c>
      <c r="AD2260" s="6">
        <f>$O$2260*$X$2260</f>
        <v>20825.701439999997</v>
      </c>
      <c r="AE2260" s="6">
        <f>$K$2260*$Y$2260</f>
        <v>0</v>
      </c>
      <c r="AF2260" s="6">
        <f ca="1">$M$2260*$Z$2260</f>
        <v>65382.078529026825</v>
      </c>
      <c r="AG2260" s="6">
        <f>$O$2260*$AA$2260</f>
        <v>24305.669727033786</v>
      </c>
    </row>
    <row r="2261" spans="1:33" ht="11.25" customHeight="1" x14ac:dyDescent="0.25">
      <c r="A2261" s="4" t="s">
        <v>27</v>
      </c>
      <c r="B2261" s="4" t="s">
        <v>41</v>
      </c>
      <c r="C2261" s="4" t="s">
        <v>39</v>
      </c>
      <c r="D2261" s="4" t="s">
        <v>48</v>
      </c>
      <c r="E2261" s="4" t="s">
        <v>25</v>
      </c>
      <c r="F2261" s="4" t="s">
        <v>25</v>
      </c>
      <c r="G2261" s="4" t="s">
        <v>25</v>
      </c>
      <c r="H2261" s="4" t="s">
        <v>37</v>
      </c>
      <c r="I2261" s="5">
        <v>44136</v>
      </c>
      <c r="J2261" s="6">
        <v>0</v>
      </c>
      <c r="K2261" s="6">
        <v>0</v>
      </c>
      <c r="L2261" s="6">
        <v>-41.277000000000001</v>
      </c>
      <c r="M2261" s="6">
        <v>-41.277000000000001</v>
      </c>
      <c r="N2261" s="6">
        <v>-41.277000000000001</v>
      </c>
      <c r="O2261" s="6">
        <v>-41.277000000000001</v>
      </c>
      <c r="P2261" s="6">
        <v>0</v>
      </c>
      <c r="Q2261" s="4" t="s">
        <v>26</v>
      </c>
      <c r="R2261" s="4">
        <v>0</v>
      </c>
      <c r="S2261" s="6">
        <v>0</v>
      </c>
      <c r="T2261" s="6">
        <v>74</v>
      </c>
      <c r="U2261" s="6">
        <v>82</v>
      </c>
      <c r="V2261" s="6">
        <f>IF(ISERROR(VLOOKUP($S$2261,'TAR FIN'!$A$1:$O$95,15,0)),0,VLOOKUP($S$2261,'TAR FIN'!$A$1:$O$95,15,0))</f>
        <v>0</v>
      </c>
      <c r="W2261" s="6">
        <f>IF(ISERROR(VLOOKUP($T$2261,'TAR FIN'!$A$1:$O$95,15,0)),0,VLOOKUP($T$2261,'TAR FIN'!$A$1:$O$95,15,0))</f>
        <v>1089.57</v>
      </c>
      <c r="X2261" s="6">
        <f>IF(ISERROR(VLOOKUP($U$2261,'TAR FIN'!$A$1:$O$95,15,0)),0,VLOOKUP($U$2261,'TAR FIN'!$A$1:$O$95,15,0))</f>
        <v>389.28</v>
      </c>
      <c r="Y2261" s="6"/>
      <c r="Z2261" s="6">
        <f ca="1">('TUSD BE'!$AM$50+'TUSD BF'!$AM$50+'TUSD CVA'!$AM$50)*1</f>
        <v>1222.1406132757641</v>
      </c>
      <c r="AA2261" s="6">
        <f>('TE BE'!$AA$38+'TE BF'!$AA$38+'TE CVA'!$AA$38)*1</f>
        <v>454.3285679284046</v>
      </c>
      <c r="AB2261" s="6">
        <f>$K$2261*$V$2261</f>
        <v>0</v>
      </c>
      <c r="AC2261" s="6">
        <f>$M$2261*$W$2261</f>
        <v>-44974.180889999996</v>
      </c>
      <c r="AD2261" s="6">
        <f>$O$2261*$X$2261</f>
        <v>-16068.31056</v>
      </c>
      <c r="AE2261" s="6">
        <f>$K$2261*$Y$2261</f>
        <v>0</v>
      </c>
      <c r="AF2261" s="6">
        <f ca="1">$M$2261*$Z$2261</f>
        <v>-50446.298094183716</v>
      </c>
      <c r="AG2261" s="6">
        <f>$O$2261*$AA$2261</f>
        <v>-18753.320298380757</v>
      </c>
    </row>
    <row r="2262" spans="1:33" ht="11.25" customHeight="1" x14ac:dyDescent="0.25">
      <c r="A2262" s="4" t="s">
        <v>21</v>
      </c>
      <c r="B2262" s="4" t="s">
        <v>41</v>
      </c>
      <c r="C2262" s="4" t="s">
        <v>39</v>
      </c>
      <c r="D2262" s="4" t="s">
        <v>48</v>
      </c>
      <c r="E2262" s="4" t="s">
        <v>25</v>
      </c>
      <c r="F2262" s="4" t="s">
        <v>25</v>
      </c>
      <c r="G2262" s="4" t="s">
        <v>25</v>
      </c>
      <c r="H2262" s="4" t="s">
        <v>37</v>
      </c>
      <c r="I2262" s="5">
        <v>44166</v>
      </c>
      <c r="J2262" s="6">
        <v>0</v>
      </c>
      <c r="K2262" s="6">
        <v>0</v>
      </c>
      <c r="L2262" s="6">
        <v>1.9350000000000001</v>
      </c>
      <c r="M2262" s="6">
        <v>1.9350000000000001</v>
      </c>
      <c r="N2262" s="6">
        <v>1.9350000000000001</v>
      </c>
      <c r="O2262" s="6">
        <v>1.9350000000000001</v>
      </c>
      <c r="P2262" s="6">
        <v>0</v>
      </c>
      <c r="Q2262" s="4" t="s">
        <v>26</v>
      </c>
      <c r="R2262" s="4">
        <v>0</v>
      </c>
      <c r="S2262" s="6">
        <v>0</v>
      </c>
      <c r="T2262" s="6">
        <v>74</v>
      </c>
      <c r="U2262" s="6">
        <v>82</v>
      </c>
      <c r="V2262" s="6">
        <f>IF(ISERROR(VLOOKUP($S$2262,'TAR FIN'!$A$1:$O$95,15,0)),0,VLOOKUP($S$2262,'TAR FIN'!$A$1:$O$95,15,0))</f>
        <v>0</v>
      </c>
      <c r="W2262" s="6">
        <f>IF(ISERROR(VLOOKUP($T$2262,'TAR FIN'!$A$1:$O$95,15,0)),0,VLOOKUP($T$2262,'TAR FIN'!$A$1:$O$95,15,0))</f>
        <v>1089.57</v>
      </c>
      <c r="X2262" s="6">
        <f>IF(ISERROR(VLOOKUP($U$2262,'TAR FIN'!$A$1:$O$95,15,0)),0,VLOOKUP($U$2262,'TAR FIN'!$A$1:$O$95,15,0))</f>
        <v>389.28</v>
      </c>
      <c r="Y2262" s="6"/>
      <c r="Z2262" s="6">
        <f ca="1">('TUSD BE'!$AM$50+'TUSD BF'!$AM$50+'TUSD CVA'!$AM$50)*1</f>
        <v>1222.1406132757641</v>
      </c>
      <c r="AA2262" s="6">
        <f>('TE BE'!$AA$38+'TE BF'!$AA$38+'TE CVA'!$AA$38)*1</f>
        <v>454.3285679284046</v>
      </c>
      <c r="AB2262" s="6">
        <f>$K$2262*$V$2262</f>
        <v>0</v>
      </c>
      <c r="AC2262" s="6">
        <f>$M$2262*$W$2262</f>
        <v>2108.3179500000001</v>
      </c>
      <c r="AD2262" s="6">
        <f>$O$2262*$X$2262</f>
        <v>753.2568</v>
      </c>
      <c r="AE2262" s="6">
        <f>$K$2262*$Y$2262</f>
        <v>0</v>
      </c>
      <c r="AF2262" s="6">
        <f ca="1">$M$2262*$Z$2262</f>
        <v>2364.8420866886036</v>
      </c>
      <c r="AG2262" s="6">
        <f>$O$2262*$AA$2262</f>
        <v>879.12577894146295</v>
      </c>
    </row>
    <row r="2263" spans="1:33" ht="11.25" customHeight="1" x14ac:dyDescent="0.25">
      <c r="A2263" s="4" t="s">
        <v>27</v>
      </c>
      <c r="B2263" s="4" t="s">
        <v>41</v>
      </c>
      <c r="C2263" s="4" t="s">
        <v>39</v>
      </c>
      <c r="D2263" s="4" t="s">
        <v>48</v>
      </c>
      <c r="E2263" s="4" t="s">
        <v>25</v>
      </c>
      <c r="F2263" s="4" t="s">
        <v>25</v>
      </c>
      <c r="G2263" s="4" t="s">
        <v>25</v>
      </c>
      <c r="H2263" s="4" t="s">
        <v>37</v>
      </c>
      <c r="I2263" s="5">
        <v>44166</v>
      </c>
      <c r="J2263" s="6">
        <v>0</v>
      </c>
      <c r="K2263" s="6">
        <v>0</v>
      </c>
      <c r="L2263" s="6">
        <v>-51.057000000000002</v>
      </c>
      <c r="M2263" s="6">
        <v>-51.057000000000002</v>
      </c>
      <c r="N2263" s="6">
        <v>-51.057000000000002</v>
      </c>
      <c r="O2263" s="6">
        <v>-51.057000000000002</v>
      </c>
      <c r="P2263" s="6">
        <v>0</v>
      </c>
      <c r="Q2263" s="4" t="s">
        <v>26</v>
      </c>
      <c r="R2263" s="4">
        <v>0</v>
      </c>
      <c r="S2263" s="6">
        <v>0</v>
      </c>
      <c r="T2263" s="6">
        <v>74</v>
      </c>
      <c r="U2263" s="6">
        <v>82</v>
      </c>
      <c r="V2263" s="6">
        <f>IF(ISERROR(VLOOKUP($S$2263,'TAR FIN'!$A$1:$O$95,15,0)),0,VLOOKUP($S$2263,'TAR FIN'!$A$1:$O$95,15,0))</f>
        <v>0</v>
      </c>
      <c r="W2263" s="6">
        <f>IF(ISERROR(VLOOKUP($T$2263,'TAR FIN'!$A$1:$O$95,15,0)),0,VLOOKUP($T$2263,'TAR FIN'!$A$1:$O$95,15,0))</f>
        <v>1089.57</v>
      </c>
      <c r="X2263" s="6">
        <f>IF(ISERROR(VLOOKUP($U$2263,'TAR FIN'!$A$1:$O$95,15,0)),0,VLOOKUP($U$2263,'TAR FIN'!$A$1:$O$95,15,0))</f>
        <v>389.28</v>
      </c>
      <c r="Y2263" s="6"/>
      <c r="Z2263" s="6">
        <f ca="1">('TUSD BE'!$AM$50+'TUSD BF'!$AM$50+'TUSD CVA'!$AM$50)*1</f>
        <v>1222.1406132757641</v>
      </c>
      <c r="AA2263" s="6">
        <f>('TE BE'!$AA$38+'TE BF'!$AA$38+'TE CVA'!$AA$38)*1</f>
        <v>454.3285679284046</v>
      </c>
      <c r="AB2263" s="6">
        <f>$K$2263*$V$2263</f>
        <v>0</v>
      </c>
      <c r="AC2263" s="6">
        <f>$M$2263*$W$2263</f>
        <v>-55630.175490000001</v>
      </c>
      <c r="AD2263" s="6">
        <f>$O$2263*$X$2263</f>
        <v>-19875.468959999998</v>
      </c>
      <c r="AE2263" s="6">
        <f>$K$2263*$Y$2263</f>
        <v>0</v>
      </c>
      <c r="AF2263" s="6">
        <f ca="1">$M$2263*$Z$2263</f>
        <v>-62398.833292020689</v>
      </c>
      <c r="AG2263" s="6">
        <f>$O$2263*$AA$2263</f>
        <v>-23196.653692720556</v>
      </c>
    </row>
    <row r="2264" spans="1:33" ht="11.25" customHeight="1" x14ac:dyDescent="0.25">
      <c r="A2264" s="4" t="s">
        <v>21</v>
      </c>
      <c r="B2264" s="4" t="s">
        <v>41</v>
      </c>
      <c r="C2264" s="4" t="s">
        <v>39</v>
      </c>
      <c r="D2264" s="4" t="s">
        <v>48</v>
      </c>
      <c r="E2264" s="4" t="s">
        <v>25</v>
      </c>
      <c r="F2264" s="4" t="s">
        <v>25</v>
      </c>
      <c r="G2264" s="4" t="s">
        <v>25</v>
      </c>
      <c r="H2264" s="4" t="s">
        <v>37</v>
      </c>
      <c r="I2264" s="5">
        <v>44197</v>
      </c>
      <c r="J2264" s="6">
        <v>0</v>
      </c>
      <c r="K2264" s="6">
        <v>0</v>
      </c>
      <c r="L2264" s="6">
        <v>1.819</v>
      </c>
      <c r="M2264" s="6">
        <v>1.819</v>
      </c>
      <c r="N2264" s="6">
        <v>1.819</v>
      </c>
      <c r="O2264" s="6">
        <v>1.819</v>
      </c>
      <c r="P2264" s="6">
        <v>0</v>
      </c>
      <c r="Q2264" s="4" t="s">
        <v>26</v>
      </c>
      <c r="R2264" s="4">
        <v>0</v>
      </c>
      <c r="S2264" s="6">
        <v>0</v>
      </c>
      <c r="T2264" s="6">
        <v>74</v>
      </c>
      <c r="U2264" s="6">
        <v>82</v>
      </c>
      <c r="V2264" s="6">
        <f>IF(ISERROR(VLOOKUP($S$2264,'TAR FIN'!$A$1:$O$95,15,0)),0,VLOOKUP($S$2264,'TAR FIN'!$A$1:$O$95,15,0))</f>
        <v>0</v>
      </c>
      <c r="W2264" s="6">
        <f>IF(ISERROR(VLOOKUP($T$2264,'TAR FIN'!$A$1:$O$95,15,0)),0,VLOOKUP($T$2264,'TAR FIN'!$A$1:$O$95,15,0))</f>
        <v>1089.57</v>
      </c>
      <c r="X2264" s="6">
        <f>IF(ISERROR(VLOOKUP($U$2264,'TAR FIN'!$A$1:$O$95,15,0)),0,VLOOKUP($U$2264,'TAR FIN'!$A$1:$O$95,15,0))</f>
        <v>389.28</v>
      </c>
      <c r="Y2264" s="6"/>
      <c r="Z2264" s="6">
        <f ca="1">('TUSD BE'!$AM$50+'TUSD BF'!$AM$50+'TUSD CVA'!$AM$50)*1</f>
        <v>1222.1406132757641</v>
      </c>
      <c r="AA2264" s="6">
        <f>('TE BE'!$AA$38+'TE BF'!$AA$38+'TE CVA'!$AA$38)*1</f>
        <v>454.3285679284046</v>
      </c>
      <c r="AB2264" s="6">
        <f>$K$2264*$V$2264</f>
        <v>0</v>
      </c>
      <c r="AC2264" s="6">
        <f>$M$2264*$W$2264</f>
        <v>1981.9278299999999</v>
      </c>
      <c r="AD2264" s="6">
        <f>$O$2264*$X$2264</f>
        <v>708.1003199999999</v>
      </c>
      <c r="AE2264" s="6">
        <f>$K$2264*$Y$2264</f>
        <v>0</v>
      </c>
      <c r="AF2264" s="6">
        <f ca="1">$M$2264*$Z$2264</f>
        <v>2223.0737755486148</v>
      </c>
      <c r="AG2264" s="6">
        <f>$O$2264*$AA$2264</f>
        <v>826.42366506176791</v>
      </c>
    </row>
    <row r="2265" spans="1:33" ht="11.25" customHeight="1" x14ac:dyDescent="0.25">
      <c r="A2265" s="4" t="s">
        <v>27</v>
      </c>
      <c r="B2265" s="4" t="s">
        <v>41</v>
      </c>
      <c r="C2265" s="4" t="s">
        <v>39</v>
      </c>
      <c r="D2265" s="4" t="s">
        <v>48</v>
      </c>
      <c r="E2265" s="4" t="s">
        <v>25</v>
      </c>
      <c r="F2265" s="4" t="s">
        <v>25</v>
      </c>
      <c r="G2265" s="4" t="s">
        <v>25</v>
      </c>
      <c r="H2265" s="4" t="s">
        <v>37</v>
      </c>
      <c r="I2265" s="5">
        <v>44197</v>
      </c>
      <c r="J2265" s="6">
        <v>0</v>
      </c>
      <c r="K2265" s="6">
        <v>0</v>
      </c>
      <c r="L2265" s="6">
        <v>-2.4E-2</v>
      </c>
      <c r="M2265" s="6">
        <v>-2.4E-2</v>
      </c>
      <c r="N2265" s="6">
        <v>-2.4E-2</v>
      </c>
      <c r="O2265" s="6">
        <v>-2.4E-2</v>
      </c>
      <c r="P2265" s="6">
        <v>0</v>
      </c>
      <c r="Q2265" s="4" t="s">
        <v>26</v>
      </c>
      <c r="R2265" s="4">
        <v>0</v>
      </c>
      <c r="S2265" s="6">
        <v>0</v>
      </c>
      <c r="T2265" s="6">
        <v>74</v>
      </c>
      <c r="U2265" s="6">
        <v>82</v>
      </c>
      <c r="V2265" s="6">
        <f>IF(ISERROR(VLOOKUP($S$2265,'TAR FIN'!$A$1:$O$95,15,0)),0,VLOOKUP($S$2265,'TAR FIN'!$A$1:$O$95,15,0))</f>
        <v>0</v>
      </c>
      <c r="W2265" s="6">
        <f>IF(ISERROR(VLOOKUP($T$2265,'TAR FIN'!$A$1:$O$95,15,0)),0,VLOOKUP($T$2265,'TAR FIN'!$A$1:$O$95,15,0))</f>
        <v>1089.57</v>
      </c>
      <c r="X2265" s="6">
        <f>IF(ISERROR(VLOOKUP($U$2265,'TAR FIN'!$A$1:$O$95,15,0)),0,VLOOKUP($U$2265,'TAR FIN'!$A$1:$O$95,15,0))</f>
        <v>389.28</v>
      </c>
      <c r="Y2265" s="6"/>
      <c r="Z2265" s="6">
        <f ca="1">('TUSD BE'!$AM$50+'TUSD BF'!$AM$50+'TUSD CVA'!$AM$50)*1</f>
        <v>1222.1406132757641</v>
      </c>
      <c r="AA2265" s="6">
        <f>('TE BE'!$AA$38+'TE BF'!$AA$38+'TE CVA'!$AA$38)*1</f>
        <v>454.3285679284046</v>
      </c>
      <c r="AB2265" s="6">
        <f>$K$2265*$V$2265</f>
        <v>0</v>
      </c>
      <c r="AC2265" s="6">
        <f>$M$2265*$W$2265</f>
        <v>-26.14968</v>
      </c>
      <c r="AD2265" s="6">
        <f>$O$2265*$X$2265</f>
        <v>-9.3427199999999999</v>
      </c>
      <c r="AE2265" s="6">
        <f>$K$2265*$Y$2265</f>
        <v>0</v>
      </c>
      <c r="AF2265" s="6">
        <f ca="1">$M$2265*$Z$2265</f>
        <v>-29.331374718618338</v>
      </c>
      <c r="AG2265" s="6">
        <f>$O$2265*$AA$2265</f>
        <v>-10.90388563028171</v>
      </c>
    </row>
    <row r="2266" spans="1:33" ht="11.25" customHeight="1" x14ac:dyDescent="0.25">
      <c r="A2266" s="4" t="s">
        <v>21</v>
      </c>
      <c r="B2266" s="4" t="s">
        <v>41</v>
      </c>
      <c r="C2266" s="4" t="s">
        <v>39</v>
      </c>
      <c r="D2266" s="4" t="s">
        <v>48</v>
      </c>
      <c r="E2266" s="4" t="s">
        <v>25</v>
      </c>
      <c r="F2266" s="4" t="s">
        <v>25</v>
      </c>
      <c r="G2266" s="4" t="s">
        <v>25</v>
      </c>
      <c r="H2266" s="4" t="s">
        <v>37</v>
      </c>
      <c r="I2266" s="5">
        <v>44228</v>
      </c>
      <c r="J2266" s="6">
        <v>0</v>
      </c>
      <c r="K2266" s="6">
        <v>0</v>
      </c>
      <c r="L2266" s="6">
        <v>2.992</v>
      </c>
      <c r="M2266" s="6">
        <v>2.992</v>
      </c>
      <c r="N2266" s="6">
        <v>2.992</v>
      </c>
      <c r="O2266" s="6">
        <v>2.992</v>
      </c>
      <c r="P2266" s="6">
        <v>0</v>
      </c>
      <c r="Q2266" s="4" t="s">
        <v>26</v>
      </c>
      <c r="R2266" s="4">
        <v>0</v>
      </c>
      <c r="S2266" s="6">
        <v>0</v>
      </c>
      <c r="T2266" s="6">
        <v>74</v>
      </c>
      <c r="U2266" s="6">
        <v>82</v>
      </c>
      <c r="V2266" s="6">
        <f>IF(ISERROR(VLOOKUP($S$2266,'TAR FIN'!$A$1:$O$95,15,0)),0,VLOOKUP($S$2266,'TAR FIN'!$A$1:$O$95,15,0))</f>
        <v>0</v>
      </c>
      <c r="W2266" s="6">
        <f>IF(ISERROR(VLOOKUP($T$2266,'TAR FIN'!$A$1:$O$95,15,0)),0,VLOOKUP($T$2266,'TAR FIN'!$A$1:$O$95,15,0))</f>
        <v>1089.57</v>
      </c>
      <c r="X2266" s="6">
        <f>IF(ISERROR(VLOOKUP($U$2266,'TAR FIN'!$A$1:$O$95,15,0)),0,VLOOKUP($U$2266,'TAR FIN'!$A$1:$O$95,15,0))</f>
        <v>389.28</v>
      </c>
      <c r="Y2266" s="6"/>
      <c r="Z2266" s="6">
        <f ca="1">('TUSD BE'!$AM$50+'TUSD BF'!$AM$50+'TUSD CVA'!$AM$50)*1</f>
        <v>1222.1406132757641</v>
      </c>
      <c r="AA2266" s="6">
        <f>('TE BE'!$AA$38+'TE BF'!$AA$38+'TE CVA'!$AA$38)*1</f>
        <v>454.3285679284046</v>
      </c>
      <c r="AB2266" s="6">
        <f>$K$2266*$V$2266</f>
        <v>0</v>
      </c>
      <c r="AC2266" s="6">
        <f>$M$2266*$W$2266</f>
        <v>3259.9934399999997</v>
      </c>
      <c r="AD2266" s="6">
        <f>$O$2266*$X$2266</f>
        <v>1164.7257599999998</v>
      </c>
      <c r="AE2266" s="6">
        <f>$K$2266*$Y$2266</f>
        <v>0</v>
      </c>
      <c r="AF2266" s="6">
        <f ca="1">$M$2266*$Z$2266</f>
        <v>3656.6447149210862</v>
      </c>
      <c r="AG2266" s="6">
        <f>$O$2266*$AA$2266</f>
        <v>1359.3510752417865</v>
      </c>
    </row>
    <row r="2267" spans="1:33" ht="11.25" customHeight="1" x14ac:dyDescent="0.25">
      <c r="A2267" s="4" t="s">
        <v>28</v>
      </c>
      <c r="B2267" s="4" t="s">
        <v>41</v>
      </c>
      <c r="C2267" s="4" t="s">
        <v>39</v>
      </c>
      <c r="D2267" s="4" t="s">
        <v>48</v>
      </c>
      <c r="E2267" s="4" t="s">
        <v>25</v>
      </c>
      <c r="F2267" s="4" t="s">
        <v>25</v>
      </c>
      <c r="G2267" s="4" t="s">
        <v>25</v>
      </c>
      <c r="H2267" s="4" t="s">
        <v>37</v>
      </c>
      <c r="I2267" s="5">
        <v>44228</v>
      </c>
      <c r="J2267" s="6">
        <v>0</v>
      </c>
      <c r="K2267" s="6">
        <v>0</v>
      </c>
      <c r="L2267" s="6">
        <v>2.581</v>
      </c>
      <c r="M2267" s="6">
        <v>2.581</v>
      </c>
      <c r="N2267" s="6">
        <v>2.581</v>
      </c>
      <c r="O2267" s="6">
        <v>2.581</v>
      </c>
      <c r="P2267" s="6">
        <v>0</v>
      </c>
      <c r="Q2267" s="4" t="s">
        <v>26</v>
      </c>
      <c r="R2267" s="4">
        <v>0</v>
      </c>
      <c r="S2267" s="6">
        <v>0</v>
      </c>
      <c r="T2267" s="6">
        <v>74</v>
      </c>
      <c r="U2267" s="6">
        <v>82</v>
      </c>
      <c r="V2267" s="6">
        <f>IF(ISERROR(VLOOKUP($S$2267,'TAR FIN'!$A$1:$O$95,15,0)),0,VLOOKUP($S$2267,'TAR FIN'!$A$1:$O$95,15,0))</f>
        <v>0</v>
      </c>
      <c r="W2267" s="6">
        <f>IF(ISERROR(VLOOKUP($T$2267,'TAR FIN'!$A$1:$O$95,15,0)),0,VLOOKUP($T$2267,'TAR FIN'!$A$1:$O$95,15,0))</f>
        <v>1089.57</v>
      </c>
      <c r="X2267" s="6">
        <f>IF(ISERROR(VLOOKUP($U$2267,'TAR FIN'!$A$1:$O$95,15,0)),0,VLOOKUP($U$2267,'TAR FIN'!$A$1:$O$95,15,0))</f>
        <v>389.28</v>
      </c>
      <c r="Y2267" s="6"/>
      <c r="Z2267" s="6">
        <f ca="1">('TUSD BE'!$AM$50+'TUSD BF'!$AM$50+'TUSD CVA'!$AM$50)*1</f>
        <v>1222.1406132757641</v>
      </c>
      <c r="AA2267" s="6">
        <f>('TE BE'!$AA$38+'TE BF'!$AA$38+'TE CVA'!$AA$38)*1</f>
        <v>454.3285679284046</v>
      </c>
      <c r="AB2267" s="6">
        <f>$K$2267*$V$2267</f>
        <v>0</v>
      </c>
      <c r="AC2267" s="6">
        <f>$M$2267*$W$2267</f>
        <v>2812.1801699999996</v>
      </c>
      <c r="AD2267" s="6">
        <f>$O$2267*$X$2267</f>
        <v>1004.7316799999999</v>
      </c>
      <c r="AE2267" s="6">
        <f>$K$2267*$Y$2267</f>
        <v>0</v>
      </c>
      <c r="AF2267" s="6">
        <f ca="1">$M$2267*$Z$2267</f>
        <v>3154.3449228647469</v>
      </c>
      <c r="AG2267" s="6">
        <f>$O$2267*$AA$2267</f>
        <v>1172.6220338232122</v>
      </c>
    </row>
    <row r="2268" spans="1:33" ht="11.25" customHeight="1" x14ac:dyDescent="0.25">
      <c r="A2268" s="4" t="s">
        <v>21</v>
      </c>
      <c r="B2268" s="4" t="s">
        <v>41</v>
      </c>
      <c r="C2268" s="4" t="s">
        <v>39</v>
      </c>
      <c r="D2268" s="4" t="s">
        <v>48</v>
      </c>
      <c r="E2268" s="4" t="s">
        <v>25</v>
      </c>
      <c r="F2268" s="4" t="s">
        <v>25</v>
      </c>
      <c r="G2268" s="4" t="s">
        <v>25</v>
      </c>
      <c r="H2268" s="4" t="s">
        <v>37</v>
      </c>
      <c r="I2268" s="5">
        <v>44256</v>
      </c>
      <c r="J2268" s="6">
        <v>0</v>
      </c>
      <c r="K2268" s="6">
        <v>0</v>
      </c>
      <c r="L2268" s="6">
        <v>2.004</v>
      </c>
      <c r="M2268" s="6">
        <v>2.004</v>
      </c>
      <c r="N2268" s="6">
        <v>2.004</v>
      </c>
      <c r="O2268" s="6">
        <v>2.004</v>
      </c>
      <c r="P2268" s="6">
        <v>0</v>
      </c>
      <c r="Q2268" s="4" t="s">
        <v>26</v>
      </c>
      <c r="R2268" s="4">
        <v>0</v>
      </c>
      <c r="S2268" s="6">
        <v>0</v>
      </c>
      <c r="T2268" s="6">
        <v>74</v>
      </c>
      <c r="U2268" s="6">
        <v>82</v>
      </c>
      <c r="V2268" s="6">
        <f>IF(ISERROR(VLOOKUP($S$2268,'TAR FIN'!$A$1:$O$95,15,0)),0,VLOOKUP($S$2268,'TAR FIN'!$A$1:$O$95,15,0))</f>
        <v>0</v>
      </c>
      <c r="W2268" s="6">
        <f>IF(ISERROR(VLOOKUP($T$2268,'TAR FIN'!$A$1:$O$95,15,0)),0,VLOOKUP($T$2268,'TAR FIN'!$A$1:$O$95,15,0))</f>
        <v>1089.57</v>
      </c>
      <c r="X2268" s="6">
        <f>IF(ISERROR(VLOOKUP($U$2268,'TAR FIN'!$A$1:$O$95,15,0)),0,VLOOKUP($U$2268,'TAR FIN'!$A$1:$O$95,15,0))</f>
        <v>389.28</v>
      </c>
      <c r="Y2268" s="6"/>
      <c r="Z2268" s="6">
        <f ca="1">('TUSD BE'!$AM$50+'TUSD BF'!$AM$50+'TUSD CVA'!$AM$50)*1</f>
        <v>1222.1406132757641</v>
      </c>
      <c r="AA2268" s="6">
        <f>('TE BE'!$AA$38+'TE BF'!$AA$38+'TE CVA'!$AA$38)*1</f>
        <v>454.3285679284046</v>
      </c>
      <c r="AB2268" s="6">
        <f>$K$2268*$V$2268</f>
        <v>0</v>
      </c>
      <c r="AC2268" s="6">
        <f>$M$2268*$W$2268</f>
        <v>2183.4982799999998</v>
      </c>
      <c r="AD2268" s="6">
        <f>$O$2268*$X$2268</f>
        <v>780.11712</v>
      </c>
      <c r="AE2268" s="6">
        <f>$K$2268*$Y$2268</f>
        <v>0</v>
      </c>
      <c r="AF2268" s="6">
        <f ca="1">$M$2268*$Z$2268</f>
        <v>2449.1697890046312</v>
      </c>
      <c r="AG2268" s="6">
        <f>$O$2268*$AA$2268</f>
        <v>910.47445012852279</v>
      </c>
    </row>
    <row r="2269" spans="1:33" ht="11.25" customHeight="1" x14ac:dyDescent="0.25">
      <c r="A2269" s="4" t="s">
        <v>28</v>
      </c>
      <c r="B2269" s="4" t="s">
        <v>41</v>
      </c>
      <c r="C2269" s="4" t="s">
        <v>39</v>
      </c>
      <c r="D2269" s="4" t="s">
        <v>48</v>
      </c>
      <c r="E2269" s="4" t="s">
        <v>25</v>
      </c>
      <c r="F2269" s="4" t="s">
        <v>25</v>
      </c>
      <c r="G2269" s="4" t="s">
        <v>25</v>
      </c>
      <c r="H2269" s="4" t="s">
        <v>37</v>
      </c>
      <c r="I2269" s="5">
        <v>44256</v>
      </c>
      <c r="J2269" s="6">
        <v>0</v>
      </c>
      <c r="K2269" s="6">
        <v>0</v>
      </c>
      <c r="L2269" s="6">
        <v>1.353</v>
      </c>
      <c r="M2269" s="6">
        <v>1.353</v>
      </c>
      <c r="N2269" s="6">
        <v>1.353</v>
      </c>
      <c r="O2269" s="6">
        <v>1.353</v>
      </c>
      <c r="P2269" s="6">
        <v>0</v>
      </c>
      <c r="Q2269" s="4" t="s">
        <v>26</v>
      </c>
      <c r="R2269" s="4">
        <v>0</v>
      </c>
      <c r="S2269" s="6">
        <v>0</v>
      </c>
      <c r="T2269" s="6">
        <v>74</v>
      </c>
      <c r="U2269" s="6">
        <v>82</v>
      </c>
      <c r="V2269" s="6">
        <f>IF(ISERROR(VLOOKUP($S$2269,'TAR FIN'!$A$1:$O$95,15,0)),0,VLOOKUP($S$2269,'TAR FIN'!$A$1:$O$95,15,0))</f>
        <v>0</v>
      </c>
      <c r="W2269" s="6">
        <f>IF(ISERROR(VLOOKUP($T$2269,'TAR FIN'!$A$1:$O$95,15,0)),0,VLOOKUP($T$2269,'TAR FIN'!$A$1:$O$95,15,0))</f>
        <v>1089.57</v>
      </c>
      <c r="X2269" s="6">
        <f>IF(ISERROR(VLOOKUP($U$2269,'TAR FIN'!$A$1:$O$95,15,0)),0,VLOOKUP($U$2269,'TAR FIN'!$A$1:$O$95,15,0))</f>
        <v>389.28</v>
      </c>
      <c r="Y2269" s="6"/>
      <c r="Z2269" s="6">
        <f ca="1">('TUSD BE'!$AM$50+'TUSD BF'!$AM$50+'TUSD CVA'!$AM$50)*1</f>
        <v>1222.1406132757641</v>
      </c>
      <c r="AA2269" s="6">
        <f>('TE BE'!$AA$38+'TE BF'!$AA$38+'TE CVA'!$AA$38)*1</f>
        <v>454.3285679284046</v>
      </c>
      <c r="AB2269" s="6">
        <f>$K$2269*$V$2269</f>
        <v>0</v>
      </c>
      <c r="AC2269" s="6">
        <f>$M$2269*$W$2269</f>
        <v>1474.1882099999998</v>
      </c>
      <c r="AD2269" s="6">
        <f>$O$2269*$X$2269</f>
        <v>526.69583999999998</v>
      </c>
      <c r="AE2269" s="6">
        <f>$K$2269*$Y$2269</f>
        <v>0</v>
      </c>
      <c r="AF2269" s="6">
        <f ca="1">$M$2269*$Z$2269</f>
        <v>1653.5562497621088</v>
      </c>
      <c r="AG2269" s="6">
        <f>$O$2269*$AA$2269</f>
        <v>614.70655240713143</v>
      </c>
    </row>
    <row r="2270" spans="1:33" ht="11.25" customHeight="1" x14ac:dyDescent="0.25">
      <c r="A2270" s="4" t="s">
        <v>21</v>
      </c>
      <c r="B2270" s="4" t="s">
        <v>41</v>
      </c>
      <c r="C2270" s="4" t="s">
        <v>39</v>
      </c>
      <c r="D2270" s="4" t="s">
        <v>48</v>
      </c>
      <c r="E2270" s="4" t="s">
        <v>25</v>
      </c>
      <c r="F2270" s="4" t="s">
        <v>25</v>
      </c>
      <c r="G2270" s="4" t="s">
        <v>25</v>
      </c>
      <c r="H2270" s="4" t="s">
        <v>37</v>
      </c>
      <c r="I2270" s="5">
        <v>44287</v>
      </c>
      <c r="J2270" s="6">
        <v>0</v>
      </c>
      <c r="K2270" s="6">
        <v>0</v>
      </c>
      <c r="L2270" s="6">
        <v>0.81899999999999995</v>
      </c>
      <c r="M2270" s="6">
        <v>0.81899999999999995</v>
      </c>
      <c r="N2270" s="6">
        <v>0.81899999999999995</v>
      </c>
      <c r="O2270" s="6">
        <v>0.81899999999999995</v>
      </c>
      <c r="P2270" s="6">
        <v>0</v>
      </c>
      <c r="Q2270" s="4" t="s">
        <v>26</v>
      </c>
      <c r="R2270" s="4">
        <v>0</v>
      </c>
      <c r="S2270" s="6">
        <v>0</v>
      </c>
      <c r="T2270" s="6">
        <v>74</v>
      </c>
      <c r="U2270" s="6">
        <v>82</v>
      </c>
      <c r="V2270" s="6">
        <f>IF(ISERROR(VLOOKUP($S$2270,'TAR FIN'!$A$1:$O$95,15,0)),0,VLOOKUP($S$2270,'TAR FIN'!$A$1:$O$95,15,0))</f>
        <v>0</v>
      </c>
      <c r="W2270" s="6">
        <f>IF(ISERROR(VLOOKUP($T$2270,'TAR FIN'!$A$1:$O$95,15,0)),0,VLOOKUP($T$2270,'TAR FIN'!$A$1:$O$95,15,0))</f>
        <v>1089.57</v>
      </c>
      <c r="X2270" s="6">
        <f>IF(ISERROR(VLOOKUP($U$2270,'TAR FIN'!$A$1:$O$95,15,0)),0,VLOOKUP($U$2270,'TAR FIN'!$A$1:$O$95,15,0))</f>
        <v>389.28</v>
      </c>
      <c r="Y2270" s="6"/>
      <c r="Z2270" s="6">
        <f ca="1">('TUSD BE'!$AM$50+'TUSD BF'!$AM$50+'TUSD CVA'!$AM$50)*1</f>
        <v>1222.1406132757641</v>
      </c>
      <c r="AA2270" s="6">
        <f>('TE BE'!$AA$38+'TE BF'!$AA$38+'TE CVA'!$AA$38)*1</f>
        <v>454.3285679284046</v>
      </c>
      <c r="AB2270" s="6">
        <f>$K$2270*$V$2270</f>
        <v>0</v>
      </c>
      <c r="AC2270" s="6">
        <f>$M$2270*$W$2270</f>
        <v>892.35782999999992</v>
      </c>
      <c r="AD2270" s="6">
        <f>$O$2270*$X$2270</f>
        <v>318.82031999999998</v>
      </c>
      <c r="AE2270" s="6">
        <f>$K$2270*$Y$2270</f>
        <v>0</v>
      </c>
      <c r="AF2270" s="6">
        <f ca="1">$M$2270*$Z$2270</f>
        <v>1000.9331622728507</v>
      </c>
      <c r="AG2270" s="6">
        <f>$O$2270*$AA$2270</f>
        <v>372.09509713336337</v>
      </c>
    </row>
    <row r="2271" spans="1:33" ht="11.25" customHeight="1" x14ac:dyDescent="0.25">
      <c r="A2271" s="4" t="s">
        <v>28</v>
      </c>
      <c r="B2271" s="4" t="s">
        <v>41</v>
      </c>
      <c r="C2271" s="4" t="s">
        <v>39</v>
      </c>
      <c r="D2271" s="4" t="s">
        <v>48</v>
      </c>
      <c r="E2271" s="4" t="s">
        <v>25</v>
      </c>
      <c r="F2271" s="4" t="s">
        <v>25</v>
      </c>
      <c r="G2271" s="4" t="s">
        <v>25</v>
      </c>
      <c r="H2271" s="4" t="s">
        <v>37</v>
      </c>
      <c r="I2271" s="5">
        <v>44287</v>
      </c>
      <c r="J2271" s="6">
        <v>0</v>
      </c>
      <c r="K2271" s="6">
        <v>0</v>
      </c>
      <c r="L2271" s="6">
        <v>2.9209999999999998</v>
      </c>
      <c r="M2271" s="6">
        <v>2.9209999999999998</v>
      </c>
      <c r="N2271" s="6">
        <v>2.9209999999999998</v>
      </c>
      <c r="O2271" s="6">
        <v>2.9209999999999998</v>
      </c>
      <c r="P2271" s="6">
        <v>0</v>
      </c>
      <c r="Q2271" s="4" t="s">
        <v>26</v>
      </c>
      <c r="R2271" s="4">
        <v>0</v>
      </c>
      <c r="S2271" s="6">
        <v>0</v>
      </c>
      <c r="T2271" s="6">
        <v>74</v>
      </c>
      <c r="U2271" s="6">
        <v>82</v>
      </c>
      <c r="V2271" s="6">
        <f>IF(ISERROR(VLOOKUP($S$2271,'TAR FIN'!$A$1:$O$95,15,0)),0,VLOOKUP($S$2271,'TAR FIN'!$A$1:$O$95,15,0))</f>
        <v>0</v>
      </c>
      <c r="W2271" s="6">
        <f>IF(ISERROR(VLOOKUP($T$2271,'TAR FIN'!$A$1:$O$95,15,0)),0,VLOOKUP($T$2271,'TAR FIN'!$A$1:$O$95,15,0))</f>
        <v>1089.57</v>
      </c>
      <c r="X2271" s="6">
        <f>IF(ISERROR(VLOOKUP($U$2271,'TAR FIN'!$A$1:$O$95,15,0)),0,VLOOKUP($U$2271,'TAR FIN'!$A$1:$O$95,15,0))</f>
        <v>389.28</v>
      </c>
      <c r="Y2271" s="6"/>
      <c r="Z2271" s="6">
        <f ca="1">('TUSD BE'!$AM$50+'TUSD BF'!$AM$50+'TUSD CVA'!$AM$50)*1</f>
        <v>1222.1406132757641</v>
      </c>
      <c r="AA2271" s="6">
        <f>('TE BE'!$AA$38+'TE BF'!$AA$38+'TE CVA'!$AA$38)*1</f>
        <v>454.3285679284046</v>
      </c>
      <c r="AB2271" s="6">
        <f>$K$2271*$V$2271</f>
        <v>0</v>
      </c>
      <c r="AC2271" s="6">
        <f>$M$2271*$W$2271</f>
        <v>3182.6339699999994</v>
      </c>
      <c r="AD2271" s="6">
        <f>$O$2271*$X$2271</f>
        <v>1137.0868799999998</v>
      </c>
      <c r="AE2271" s="6">
        <f>$K$2271*$Y$2271</f>
        <v>0</v>
      </c>
      <c r="AF2271" s="6">
        <f ca="1">$M$2271*$Z$2271</f>
        <v>3569.8727313785066</v>
      </c>
      <c r="AG2271" s="6">
        <f>$O$2271*$AA$2271</f>
        <v>1327.0937469188698</v>
      </c>
    </row>
    <row r="2272" spans="1:33" ht="11.25" customHeight="1" x14ac:dyDescent="0.25">
      <c r="A2272" s="4" t="s">
        <v>21</v>
      </c>
      <c r="B2272" s="4" t="s">
        <v>41</v>
      </c>
      <c r="C2272" s="4" t="s">
        <v>39</v>
      </c>
      <c r="D2272" s="4" t="s">
        <v>48</v>
      </c>
      <c r="E2272" s="4" t="s">
        <v>25</v>
      </c>
      <c r="F2272" s="4" t="s">
        <v>25</v>
      </c>
      <c r="G2272" s="4" t="s">
        <v>25</v>
      </c>
      <c r="H2272" s="4" t="s">
        <v>37</v>
      </c>
      <c r="I2272" s="5">
        <v>44317</v>
      </c>
      <c r="J2272" s="6">
        <v>0</v>
      </c>
      <c r="K2272" s="6">
        <v>0</v>
      </c>
      <c r="L2272" s="6">
        <v>0.23699999999999999</v>
      </c>
      <c r="M2272" s="6">
        <v>0.23699999999999999</v>
      </c>
      <c r="N2272" s="6">
        <v>0.23699999999999999</v>
      </c>
      <c r="O2272" s="6">
        <v>0.23699999999999999</v>
      </c>
      <c r="P2272" s="6">
        <v>0</v>
      </c>
      <c r="Q2272" s="4" t="s">
        <v>26</v>
      </c>
      <c r="R2272" s="4">
        <v>0</v>
      </c>
      <c r="S2272" s="6">
        <v>0</v>
      </c>
      <c r="T2272" s="6">
        <v>74</v>
      </c>
      <c r="U2272" s="6">
        <v>82</v>
      </c>
      <c r="V2272" s="6">
        <f>IF(ISERROR(VLOOKUP($S$2272,'TAR FIN'!$A$1:$O$95,15,0)),0,VLOOKUP($S$2272,'TAR FIN'!$A$1:$O$95,15,0))</f>
        <v>0</v>
      </c>
      <c r="W2272" s="6">
        <f>IF(ISERROR(VLOOKUP($T$2272,'TAR FIN'!$A$1:$O$95,15,0)),0,VLOOKUP($T$2272,'TAR FIN'!$A$1:$O$95,15,0))</f>
        <v>1089.57</v>
      </c>
      <c r="X2272" s="6">
        <f>IF(ISERROR(VLOOKUP($U$2272,'TAR FIN'!$A$1:$O$95,15,0)),0,VLOOKUP($U$2272,'TAR FIN'!$A$1:$O$95,15,0))</f>
        <v>389.28</v>
      </c>
      <c r="Y2272" s="6"/>
      <c r="Z2272" s="6">
        <f ca="1">('TUSD BE'!$AM$50+'TUSD BF'!$AM$50+'TUSD CVA'!$AM$50)*1</f>
        <v>1222.1406132757641</v>
      </c>
      <c r="AA2272" s="6">
        <f>('TE BE'!$AA$38+'TE BF'!$AA$38+'TE CVA'!$AA$38)*1</f>
        <v>454.3285679284046</v>
      </c>
      <c r="AB2272" s="6">
        <f>$K$2272*$V$2272</f>
        <v>0</v>
      </c>
      <c r="AC2272" s="6">
        <f>$M$2272*$W$2272</f>
        <v>258.22808999999995</v>
      </c>
      <c r="AD2272" s="6">
        <f>$O$2272*$X$2272</f>
        <v>92.259359999999987</v>
      </c>
      <c r="AE2272" s="6">
        <f>$K$2272*$Y$2272</f>
        <v>0</v>
      </c>
      <c r="AF2272" s="6">
        <f ca="1">$M$2272*$Z$2272</f>
        <v>289.64732534635607</v>
      </c>
      <c r="AG2272" s="6">
        <f>$O$2272*$AA$2272</f>
        <v>107.67587059903188</v>
      </c>
    </row>
    <row r="2273" spans="1:33" ht="11.25" customHeight="1" x14ac:dyDescent="0.25">
      <c r="A2273" s="4" t="s">
        <v>28</v>
      </c>
      <c r="B2273" s="4" t="s">
        <v>41</v>
      </c>
      <c r="C2273" s="4" t="s">
        <v>39</v>
      </c>
      <c r="D2273" s="4" t="s">
        <v>48</v>
      </c>
      <c r="E2273" s="4" t="s">
        <v>25</v>
      </c>
      <c r="F2273" s="4" t="s">
        <v>25</v>
      </c>
      <c r="G2273" s="4" t="s">
        <v>25</v>
      </c>
      <c r="H2273" s="4" t="s">
        <v>37</v>
      </c>
      <c r="I2273" s="5">
        <v>44317</v>
      </c>
      <c r="J2273" s="6">
        <v>0</v>
      </c>
      <c r="K2273" s="6">
        <v>0</v>
      </c>
      <c r="L2273" s="6">
        <v>0.23300000000000001</v>
      </c>
      <c r="M2273" s="6">
        <v>0.23300000000000001</v>
      </c>
      <c r="N2273" s="6">
        <v>0.23300000000000001</v>
      </c>
      <c r="O2273" s="6">
        <v>0.23300000000000001</v>
      </c>
      <c r="P2273" s="6">
        <v>0</v>
      </c>
      <c r="Q2273" s="4" t="s">
        <v>26</v>
      </c>
      <c r="R2273" s="4">
        <v>0</v>
      </c>
      <c r="S2273" s="6">
        <v>0</v>
      </c>
      <c r="T2273" s="6">
        <v>74</v>
      </c>
      <c r="U2273" s="6">
        <v>82</v>
      </c>
      <c r="V2273" s="6">
        <f>IF(ISERROR(VLOOKUP($S$2273,'TAR FIN'!$A$1:$O$95,15,0)),0,VLOOKUP($S$2273,'TAR FIN'!$A$1:$O$95,15,0))</f>
        <v>0</v>
      </c>
      <c r="W2273" s="6">
        <f>IF(ISERROR(VLOOKUP($T$2273,'TAR FIN'!$A$1:$O$95,15,0)),0,VLOOKUP($T$2273,'TAR FIN'!$A$1:$O$95,15,0))</f>
        <v>1089.57</v>
      </c>
      <c r="X2273" s="6">
        <f>IF(ISERROR(VLOOKUP($U$2273,'TAR FIN'!$A$1:$O$95,15,0)),0,VLOOKUP($U$2273,'TAR FIN'!$A$1:$O$95,15,0))</f>
        <v>389.28</v>
      </c>
      <c r="Y2273" s="6"/>
      <c r="Z2273" s="6">
        <f ca="1">('TUSD BE'!$AM$50+'TUSD BF'!$AM$50+'TUSD CVA'!$AM$50)*1</f>
        <v>1222.1406132757641</v>
      </c>
      <c r="AA2273" s="6">
        <f>('TE BE'!$AA$38+'TE BF'!$AA$38+'TE CVA'!$AA$38)*1</f>
        <v>454.3285679284046</v>
      </c>
      <c r="AB2273" s="6">
        <f>$K$2273*$V$2273</f>
        <v>0</v>
      </c>
      <c r="AC2273" s="6">
        <f>$M$2273*$W$2273</f>
        <v>253.86981</v>
      </c>
      <c r="AD2273" s="6">
        <f>$O$2273*$X$2273</f>
        <v>90.702240000000003</v>
      </c>
      <c r="AE2273" s="6">
        <f>$K$2273*$Y$2273</f>
        <v>0</v>
      </c>
      <c r="AF2273" s="6">
        <f ca="1">$M$2273*$Z$2273</f>
        <v>284.75876289325305</v>
      </c>
      <c r="AG2273" s="6">
        <f>$O$2273*$AA$2273</f>
        <v>105.85855632731828</v>
      </c>
    </row>
    <row r="2274" spans="1:33" ht="11.25" customHeight="1" x14ac:dyDescent="0.25">
      <c r="A2274" s="4" t="s">
        <v>21</v>
      </c>
      <c r="B2274" s="4" t="s">
        <v>41</v>
      </c>
      <c r="C2274" s="4" t="s">
        <v>39</v>
      </c>
      <c r="D2274" s="4" t="s">
        <v>48</v>
      </c>
      <c r="E2274" s="4" t="s">
        <v>25</v>
      </c>
      <c r="F2274" s="4" t="s">
        <v>25</v>
      </c>
      <c r="G2274" s="4" t="s">
        <v>25</v>
      </c>
      <c r="H2274" s="4" t="s">
        <v>37</v>
      </c>
      <c r="I2274" s="5">
        <v>44348</v>
      </c>
      <c r="J2274" s="6">
        <v>0</v>
      </c>
      <c r="K2274" s="6">
        <v>0</v>
      </c>
      <c r="L2274" s="6">
        <v>0.20699999999999999</v>
      </c>
      <c r="M2274" s="6">
        <v>0.20699999999999999</v>
      </c>
      <c r="N2274" s="6">
        <v>0.20699999999999999</v>
      </c>
      <c r="O2274" s="6">
        <v>0.20699999999999999</v>
      </c>
      <c r="P2274" s="6">
        <v>0</v>
      </c>
      <c r="Q2274" s="4" t="s">
        <v>26</v>
      </c>
      <c r="R2274" s="4">
        <v>0</v>
      </c>
      <c r="S2274" s="6">
        <v>0</v>
      </c>
      <c r="T2274" s="6">
        <v>74</v>
      </c>
      <c r="U2274" s="6">
        <v>82</v>
      </c>
      <c r="V2274" s="6">
        <f>IF(ISERROR(VLOOKUP($S$2274,'TAR FIN'!$A$1:$O$95,15,0)),0,VLOOKUP($S$2274,'TAR FIN'!$A$1:$O$95,15,0))</f>
        <v>0</v>
      </c>
      <c r="W2274" s="6">
        <f>IF(ISERROR(VLOOKUP($T$2274,'TAR FIN'!$A$1:$O$95,15,0)),0,VLOOKUP($T$2274,'TAR FIN'!$A$1:$O$95,15,0))</f>
        <v>1089.57</v>
      </c>
      <c r="X2274" s="6">
        <f>IF(ISERROR(VLOOKUP($U$2274,'TAR FIN'!$A$1:$O$95,15,0)),0,VLOOKUP($U$2274,'TAR FIN'!$A$1:$O$95,15,0))</f>
        <v>389.28</v>
      </c>
      <c r="Y2274" s="6"/>
      <c r="Z2274" s="6">
        <f ca="1">('TUSD BE'!$AM$50+'TUSD BF'!$AM$50+'TUSD CVA'!$AM$50)*1</f>
        <v>1222.1406132757641</v>
      </c>
      <c r="AA2274" s="6">
        <f>('TE BE'!$AA$38+'TE BF'!$AA$38+'TE CVA'!$AA$38)*1</f>
        <v>454.3285679284046</v>
      </c>
      <c r="AB2274" s="6">
        <f>$K$2274*$V$2274</f>
        <v>0</v>
      </c>
      <c r="AC2274" s="6">
        <f>$M$2274*$W$2274</f>
        <v>225.54098999999997</v>
      </c>
      <c r="AD2274" s="6">
        <f>$O$2274*$X$2274</f>
        <v>80.58095999999999</v>
      </c>
      <c r="AE2274" s="6">
        <f>$K$2274*$Y$2274</f>
        <v>0</v>
      </c>
      <c r="AF2274" s="6">
        <f ca="1">$M$2274*$Z$2274</f>
        <v>252.98310694808313</v>
      </c>
      <c r="AG2274" s="6">
        <f>$O$2274*$AA$2274</f>
        <v>94.046013561179748</v>
      </c>
    </row>
    <row r="2275" spans="1:33" ht="11.25" customHeight="1" x14ac:dyDescent="0.25">
      <c r="A2275" s="4" t="s">
        <v>28</v>
      </c>
      <c r="B2275" s="4" t="s">
        <v>41</v>
      </c>
      <c r="C2275" s="4" t="s">
        <v>39</v>
      </c>
      <c r="D2275" s="4" t="s">
        <v>48</v>
      </c>
      <c r="E2275" s="4" t="s">
        <v>25</v>
      </c>
      <c r="F2275" s="4" t="s">
        <v>25</v>
      </c>
      <c r="G2275" s="4" t="s">
        <v>25</v>
      </c>
      <c r="H2275" s="4" t="s">
        <v>37</v>
      </c>
      <c r="I2275" s="5">
        <v>44348</v>
      </c>
      <c r="J2275" s="6">
        <v>0</v>
      </c>
      <c r="K2275" s="6">
        <v>0</v>
      </c>
      <c r="L2275" s="6">
        <v>3.0270000000000001</v>
      </c>
      <c r="M2275" s="6">
        <v>3.0270000000000001</v>
      </c>
      <c r="N2275" s="6">
        <v>3.0270000000000001</v>
      </c>
      <c r="O2275" s="6">
        <v>3.0270000000000001</v>
      </c>
      <c r="P2275" s="6">
        <v>0</v>
      </c>
      <c r="Q2275" s="4" t="s">
        <v>26</v>
      </c>
      <c r="R2275" s="4">
        <v>0</v>
      </c>
      <c r="S2275" s="6">
        <v>0</v>
      </c>
      <c r="T2275" s="6">
        <v>74</v>
      </c>
      <c r="U2275" s="6">
        <v>82</v>
      </c>
      <c r="V2275" s="6">
        <f>IF(ISERROR(VLOOKUP($S$2275,'TAR FIN'!$A$1:$O$95,15,0)),0,VLOOKUP($S$2275,'TAR FIN'!$A$1:$O$95,15,0))</f>
        <v>0</v>
      </c>
      <c r="W2275" s="6">
        <f>IF(ISERROR(VLOOKUP($T$2275,'TAR FIN'!$A$1:$O$95,15,0)),0,VLOOKUP($T$2275,'TAR FIN'!$A$1:$O$95,15,0))</f>
        <v>1089.57</v>
      </c>
      <c r="X2275" s="6">
        <f>IF(ISERROR(VLOOKUP($U$2275,'TAR FIN'!$A$1:$O$95,15,0)),0,VLOOKUP($U$2275,'TAR FIN'!$A$1:$O$95,15,0))</f>
        <v>389.28</v>
      </c>
      <c r="Y2275" s="6"/>
      <c r="Z2275" s="6">
        <f ca="1">('TUSD BE'!$AM$50+'TUSD BF'!$AM$50+'TUSD CVA'!$AM$50)*1</f>
        <v>1222.1406132757641</v>
      </c>
      <c r="AA2275" s="6">
        <f>('TE BE'!$AA$38+'TE BF'!$AA$38+'TE CVA'!$AA$38)*1</f>
        <v>454.3285679284046</v>
      </c>
      <c r="AB2275" s="6">
        <f>$K$2275*$V$2275</f>
        <v>0</v>
      </c>
      <c r="AC2275" s="6">
        <f>$M$2275*$W$2275</f>
        <v>3298.1283899999999</v>
      </c>
      <c r="AD2275" s="6">
        <f>$O$2275*$X$2275</f>
        <v>1178.3505599999999</v>
      </c>
      <c r="AE2275" s="6">
        <f>$K$2275*$Y$2275</f>
        <v>0</v>
      </c>
      <c r="AF2275" s="6">
        <f ca="1">$M$2275*$Z$2275</f>
        <v>3699.4196363857382</v>
      </c>
      <c r="AG2275" s="6">
        <f>$O$2275*$AA$2275</f>
        <v>1375.2525751192807</v>
      </c>
    </row>
    <row r="2276" spans="1:33" ht="11.25" customHeight="1" x14ac:dyDescent="0.25">
      <c r="A2276" s="4" t="s">
        <v>21</v>
      </c>
      <c r="B2276" s="4" t="s">
        <v>41</v>
      </c>
      <c r="C2276" s="4" t="s">
        <v>39</v>
      </c>
      <c r="D2276" s="4" t="s">
        <v>48</v>
      </c>
      <c r="E2276" s="4" t="s">
        <v>25</v>
      </c>
      <c r="F2276" s="4" t="s">
        <v>25</v>
      </c>
      <c r="G2276" s="4" t="s">
        <v>25</v>
      </c>
      <c r="H2276" s="4" t="s">
        <v>37</v>
      </c>
      <c r="I2276" s="5">
        <v>44378</v>
      </c>
      <c r="J2276" s="6">
        <v>0</v>
      </c>
      <c r="K2276" s="6">
        <v>0</v>
      </c>
      <c r="L2276" s="6">
        <v>0.23200000000000001</v>
      </c>
      <c r="M2276" s="6">
        <v>0.23200000000000001</v>
      </c>
      <c r="N2276" s="6">
        <v>0.23200000000000001</v>
      </c>
      <c r="O2276" s="6">
        <v>0.23200000000000001</v>
      </c>
      <c r="P2276" s="6">
        <v>0</v>
      </c>
      <c r="Q2276" s="4" t="s">
        <v>26</v>
      </c>
      <c r="R2276" s="4">
        <v>0</v>
      </c>
      <c r="S2276" s="6">
        <v>0</v>
      </c>
      <c r="T2276" s="6">
        <v>74</v>
      </c>
      <c r="U2276" s="6">
        <v>82</v>
      </c>
      <c r="V2276" s="6">
        <f>IF(ISERROR(VLOOKUP($S$2276,'TAR FIN'!$A$1:$O$95,15,0)),0,VLOOKUP($S$2276,'TAR FIN'!$A$1:$O$95,15,0))</f>
        <v>0</v>
      </c>
      <c r="W2276" s="6">
        <f>IF(ISERROR(VLOOKUP($T$2276,'TAR FIN'!$A$1:$O$95,15,0)),0,VLOOKUP($T$2276,'TAR FIN'!$A$1:$O$95,15,0))</f>
        <v>1089.57</v>
      </c>
      <c r="X2276" s="6">
        <f>IF(ISERROR(VLOOKUP($U$2276,'TAR FIN'!$A$1:$O$95,15,0)),0,VLOOKUP($U$2276,'TAR FIN'!$A$1:$O$95,15,0))</f>
        <v>389.28</v>
      </c>
      <c r="Y2276" s="6"/>
      <c r="Z2276" s="6">
        <f ca="1">('TUSD BE'!$AM$50+'TUSD BF'!$AM$50+'TUSD CVA'!$AM$50)*1</f>
        <v>1222.1406132757641</v>
      </c>
      <c r="AA2276" s="6">
        <f>('TE BE'!$AA$38+'TE BF'!$AA$38+'TE CVA'!$AA$38)*1</f>
        <v>454.3285679284046</v>
      </c>
      <c r="AB2276" s="6">
        <f>$K$2276*$V$2276</f>
        <v>0</v>
      </c>
      <c r="AC2276" s="6">
        <f>$M$2276*$W$2276</f>
        <v>252.78023999999999</v>
      </c>
      <c r="AD2276" s="6">
        <f>$O$2276*$X$2276</f>
        <v>90.312960000000004</v>
      </c>
      <c r="AE2276" s="6">
        <f>$K$2276*$Y$2276</f>
        <v>0</v>
      </c>
      <c r="AF2276" s="6">
        <f ca="1">$M$2276*$Z$2276</f>
        <v>283.53662227997728</v>
      </c>
      <c r="AG2276" s="6">
        <f>$O$2276*$AA$2276</f>
        <v>105.40422775938987</v>
      </c>
    </row>
    <row r="2277" spans="1:33" ht="11.25" customHeight="1" x14ac:dyDescent="0.25">
      <c r="A2277" s="4" t="s">
        <v>28</v>
      </c>
      <c r="B2277" s="4" t="s">
        <v>41</v>
      </c>
      <c r="C2277" s="4" t="s">
        <v>39</v>
      </c>
      <c r="D2277" s="4" t="s">
        <v>48</v>
      </c>
      <c r="E2277" s="4" t="s">
        <v>25</v>
      </c>
      <c r="F2277" s="4" t="s">
        <v>25</v>
      </c>
      <c r="G2277" s="4" t="s">
        <v>25</v>
      </c>
      <c r="H2277" s="4" t="s">
        <v>37</v>
      </c>
      <c r="I2277" s="5">
        <v>44378</v>
      </c>
      <c r="J2277" s="6">
        <v>0</v>
      </c>
      <c r="K2277" s="6">
        <v>0</v>
      </c>
      <c r="L2277" s="6">
        <v>0.18099999999999999</v>
      </c>
      <c r="M2277" s="6">
        <v>0.18099999999999999</v>
      </c>
      <c r="N2277" s="6">
        <v>0.18099999999999999</v>
      </c>
      <c r="O2277" s="6">
        <v>0.18099999999999999</v>
      </c>
      <c r="P2277" s="6">
        <v>0</v>
      </c>
      <c r="Q2277" s="4" t="s">
        <v>26</v>
      </c>
      <c r="R2277" s="4">
        <v>0</v>
      </c>
      <c r="S2277" s="6">
        <v>0</v>
      </c>
      <c r="T2277" s="6">
        <v>74</v>
      </c>
      <c r="U2277" s="6">
        <v>82</v>
      </c>
      <c r="V2277" s="6">
        <f>IF(ISERROR(VLOOKUP($S$2277,'TAR FIN'!$A$1:$O$95,15,0)),0,VLOOKUP($S$2277,'TAR FIN'!$A$1:$O$95,15,0))</f>
        <v>0</v>
      </c>
      <c r="W2277" s="6">
        <f>IF(ISERROR(VLOOKUP($T$2277,'TAR FIN'!$A$1:$O$95,15,0)),0,VLOOKUP($T$2277,'TAR FIN'!$A$1:$O$95,15,0))</f>
        <v>1089.57</v>
      </c>
      <c r="X2277" s="6">
        <f>IF(ISERROR(VLOOKUP($U$2277,'TAR FIN'!$A$1:$O$95,15,0)),0,VLOOKUP($U$2277,'TAR FIN'!$A$1:$O$95,15,0))</f>
        <v>389.28</v>
      </c>
      <c r="Y2277" s="6"/>
      <c r="Z2277" s="6">
        <f ca="1">('TUSD BE'!$AM$50+'TUSD BF'!$AM$50+'TUSD CVA'!$AM$50)*1</f>
        <v>1222.1406132757641</v>
      </c>
      <c r="AA2277" s="6">
        <f>('TE BE'!$AA$38+'TE BF'!$AA$38+'TE CVA'!$AA$38)*1</f>
        <v>454.3285679284046</v>
      </c>
      <c r="AB2277" s="6">
        <f>$K$2277*$V$2277</f>
        <v>0</v>
      </c>
      <c r="AC2277" s="6">
        <f>$M$2277*$W$2277</f>
        <v>197.21216999999999</v>
      </c>
      <c r="AD2277" s="6">
        <f>$O$2277*$X$2277</f>
        <v>70.459679999999992</v>
      </c>
      <c r="AE2277" s="6">
        <f>$K$2277*$Y$2277</f>
        <v>0</v>
      </c>
      <c r="AF2277" s="6">
        <f ca="1">$M$2277*$Z$2277</f>
        <v>221.20745100291327</v>
      </c>
      <c r="AG2277" s="6">
        <f>$O$2277*$AA$2277</f>
        <v>82.233470795041228</v>
      </c>
    </row>
    <row r="2278" spans="1:33" ht="11.25" customHeight="1" x14ac:dyDescent="0.25">
      <c r="A2278" s="4" t="s">
        <v>21</v>
      </c>
      <c r="B2278" s="4" t="s">
        <v>41</v>
      </c>
      <c r="C2278" s="4" t="s">
        <v>39</v>
      </c>
      <c r="D2278" s="4" t="s">
        <v>48</v>
      </c>
      <c r="E2278" s="4" t="s">
        <v>25</v>
      </c>
      <c r="F2278" s="4" t="s">
        <v>25</v>
      </c>
      <c r="G2278" s="4" t="s">
        <v>25</v>
      </c>
      <c r="H2278" s="4" t="s">
        <v>37</v>
      </c>
      <c r="I2278" s="5">
        <v>44409</v>
      </c>
      <c r="J2278" s="6">
        <v>0</v>
      </c>
      <c r="K2278" s="6">
        <v>0</v>
      </c>
      <c r="L2278" s="6">
        <v>0.254</v>
      </c>
      <c r="M2278" s="6">
        <v>0.254</v>
      </c>
      <c r="N2278" s="6">
        <v>0.254</v>
      </c>
      <c r="O2278" s="6">
        <v>0.254</v>
      </c>
      <c r="P2278" s="6">
        <v>0</v>
      </c>
      <c r="Q2278" s="4" t="s">
        <v>26</v>
      </c>
      <c r="R2278" s="4">
        <v>0</v>
      </c>
      <c r="S2278" s="6">
        <v>0</v>
      </c>
      <c r="T2278" s="6">
        <v>74</v>
      </c>
      <c r="U2278" s="6">
        <v>82</v>
      </c>
      <c r="V2278" s="6">
        <f>IF(ISERROR(VLOOKUP($S$2278,'TAR FIN'!$A$1:$O$95,15,0)),0,VLOOKUP($S$2278,'TAR FIN'!$A$1:$O$95,15,0))</f>
        <v>0</v>
      </c>
      <c r="W2278" s="6">
        <f>IF(ISERROR(VLOOKUP($T$2278,'TAR FIN'!$A$1:$O$95,15,0)),0,VLOOKUP($T$2278,'TAR FIN'!$A$1:$O$95,15,0))</f>
        <v>1089.57</v>
      </c>
      <c r="X2278" s="6">
        <f>IF(ISERROR(VLOOKUP($U$2278,'TAR FIN'!$A$1:$O$95,15,0)),0,VLOOKUP($U$2278,'TAR FIN'!$A$1:$O$95,15,0))</f>
        <v>389.28</v>
      </c>
      <c r="Y2278" s="6"/>
      <c r="Z2278" s="6">
        <f ca="1">('TUSD BE'!$AM$50+'TUSD BF'!$AM$50+'TUSD CVA'!$AM$50)*1</f>
        <v>1222.1406132757641</v>
      </c>
      <c r="AA2278" s="6">
        <f>('TE BE'!$AA$38+'TE BF'!$AA$38+'TE CVA'!$AA$38)*1</f>
        <v>454.3285679284046</v>
      </c>
      <c r="AB2278" s="6">
        <f>$K$2278*$V$2278</f>
        <v>0</v>
      </c>
      <c r="AC2278" s="6">
        <f>$M$2278*$W$2278</f>
        <v>276.75077999999996</v>
      </c>
      <c r="AD2278" s="6">
        <f>$O$2278*$X$2278</f>
        <v>98.877119999999991</v>
      </c>
      <c r="AE2278" s="6">
        <f>$K$2278*$Y$2278</f>
        <v>0</v>
      </c>
      <c r="AF2278" s="6">
        <f ca="1">$M$2278*$Z$2278</f>
        <v>310.42371577204409</v>
      </c>
      <c r="AG2278" s="6">
        <f>$O$2278*$AA$2278</f>
        <v>115.39945625381476</v>
      </c>
    </row>
    <row r="2279" spans="1:33" ht="11.25" customHeight="1" x14ac:dyDescent="0.25">
      <c r="A2279" s="4" t="s">
        <v>28</v>
      </c>
      <c r="B2279" s="4" t="s">
        <v>41</v>
      </c>
      <c r="C2279" s="4" t="s">
        <v>39</v>
      </c>
      <c r="D2279" s="4" t="s">
        <v>48</v>
      </c>
      <c r="E2279" s="4" t="s">
        <v>25</v>
      </c>
      <c r="F2279" s="4" t="s">
        <v>25</v>
      </c>
      <c r="G2279" s="4" t="s">
        <v>25</v>
      </c>
      <c r="H2279" s="4" t="s">
        <v>37</v>
      </c>
      <c r="I2279" s="5">
        <v>44409</v>
      </c>
      <c r="J2279" s="6">
        <v>0</v>
      </c>
      <c r="K2279" s="6">
        <v>0</v>
      </c>
      <c r="L2279" s="6">
        <v>0.24399999999999999</v>
      </c>
      <c r="M2279" s="6">
        <v>0.24399999999999999</v>
      </c>
      <c r="N2279" s="6">
        <v>0.24399999999999999</v>
      </c>
      <c r="O2279" s="6">
        <v>0.24399999999999999</v>
      </c>
      <c r="P2279" s="6">
        <v>0</v>
      </c>
      <c r="Q2279" s="4" t="s">
        <v>26</v>
      </c>
      <c r="R2279" s="4">
        <v>0</v>
      </c>
      <c r="S2279" s="6">
        <v>0</v>
      </c>
      <c r="T2279" s="6">
        <v>74</v>
      </c>
      <c r="U2279" s="6">
        <v>82</v>
      </c>
      <c r="V2279" s="6">
        <f>IF(ISERROR(VLOOKUP($S$2279,'TAR FIN'!$A$1:$O$95,15,0)),0,VLOOKUP($S$2279,'TAR FIN'!$A$1:$O$95,15,0))</f>
        <v>0</v>
      </c>
      <c r="W2279" s="6">
        <f>IF(ISERROR(VLOOKUP($T$2279,'TAR FIN'!$A$1:$O$95,15,0)),0,VLOOKUP($T$2279,'TAR FIN'!$A$1:$O$95,15,0))</f>
        <v>1089.57</v>
      </c>
      <c r="X2279" s="6">
        <f>IF(ISERROR(VLOOKUP($U$2279,'TAR FIN'!$A$1:$O$95,15,0)),0,VLOOKUP($U$2279,'TAR FIN'!$A$1:$O$95,15,0))</f>
        <v>389.28</v>
      </c>
      <c r="Y2279" s="6"/>
      <c r="Z2279" s="6">
        <f ca="1">('TUSD BE'!$AM$50+'TUSD BF'!$AM$50+'TUSD CVA'!$AM$50)*1</f>
        <v>1222.1406132757641</v>
      </c>
      <c r="AA2279" s="6">
        <f>('TE BE'!$AA$38+'TE BF'!$AA$38+'TE CVA'!$AA$38)*1</f>
        <v>454.3285679284046</v>
      </c>
      <c r="AB2279" s="6">
        <f>$K$2279*$V$2279</f>
        <v>0</v>
      </c>
      <c r="AC2279" s="6">
        <f>$M$2279*$W$2279</f>
        <v>265.85507999999999</v>
      </c>
      <c r="AD2279" s="6">
        <f>$O$2279*$X$2279</f>
        <v>94.984319999999997</v>
      </c>
      <c r="AE2279" s="6">
        <f>$K$2279*$Y$2279</f>
        <v>0</v>
      </c>
      <c r="AF2279" s="6">
        <f ca="1">$M$2279*$Z$2279</f>
        <v>298.2023096392864</v>
      </c>
      <c r="AG2279" s="6">
        <f>$O$2279*$AA$2279</f>
        <v>110.85617057453072</v>
      </c>
    </row>
    <row r="2280" spans="1:33" ht="11.25" customHeight="1" x14ac:dyDescent="0.25">
      <c r="A2280" s="4" t="s">
        <v>21</v>
      </c>
      <c r="B2280" s="4" t="s">
        <v>41</v>
      </c>
      <c r="C2280" s="4" t="s">
        <v>39</v>
      </c>
      <c r="D2280" s="4" t="s">
        <v>48</v>
      </c>
      <c r="E2280" s="4" t="s">
        <v>25</v>
      </c>
      <c r="F2280" s="4" t="s">
        <v>25</v>
      </c>
      <c r="G2280" s="4" t="s">
        <v>25</v>
      </c>
      <c r="H2280" s="4" t="s">
        <v>37</v>
      </c>
      <c r="I2280" s="5">
        <v>44440</v>
      </c>
      <c r="J2280" s="6">
        <v>0</v>
      </c>
      <c r="K2280" s="6">
        <v>0</v>
      </c>
      <c r="L2280" s="6">
        <v>0.23</v>
      </c>
      <c r="M2280" s="6">
        <v>0.23</v>
      </c>
      <c r="N2280" s="6">
        <v>0.23</v>
      </c>
      <c r="O2280" s="6">
        <v>0.23</v>
      </c>
      <c r="P2280" s="6">
        <v>0</v>
      </c>
      <c r="Q2280" s="4" t="s">
        <v>26</v>
      </c>
      <c r="R2280" s="4">
        <v>0</v>
      </c>
      <c r="S2280" s="6">
        <v>0</v>
      </c>
      <c r="T2280" s="6">
        <v>74</v>
      </c>
      <c r="U2280" s="6">
        <v>82</v>
      </c>
      <c r="V2280" s="6">
        <f>IF(ISERROR(VLOOKUP($S$2280,'TAR FIN'!$A$1:$O$95,15,0)),0,VLOOKUP($S$2280,'TAR FIN'!$A$1:$O$95,15,0))</f>
        <v>0</v>
      </c>
      <c r="W2280" s="6">
        <f>IF(ISERROR(VLOOKUP($T$2280,'TAR FIN'!$A$1:$O$95,15,0)),0,VLOOKUP($T$2280,'TAR FIN'!$A$1:$O$95,15,0))</f>
        <v>1089.57</v>
      </c>
      <c r="X2280" s="6">
        <f>IF(ISERROR(VLOOKUP($U$2280,'TAR FIN'!$A$1:$O$95,15,0)),0,VLOOKUP($U$2280,'TAR FIN'!$A$1:$O$95,15,0))</f>
        <v>389.28</v>
      </c>
      <c r="Y2280" s="6"/>
      <c r="Z2280" s="6">
        <f ca="1">('TUSD BE'!$AM$50+'TUSD BF'!$AM$50+'TUSD CVA'!$AM$50)*1</f>
        <v>1222.1406132757641</v>
      </c>
      <c r="AA2280" s="6">
        <f>('TE BE'!$AA$38+'TE BF'!$AA$38+'TE CVA'!$AA$38)*1</f>
        <v>454.3285679284046</v>
      </c>
      <c r="AB2280" s="6">
        <f>$K$2280*$V$2280</f>
        <v>0</v>
      </c>
      <c r="AC2280" s="6">
        <f>$M$2280*$W$2280</f>
        <v>250.6011</v>
      </c>
      <c r="AD2280" s="6">
        <f>$O$2280*$X$2280</f>
        <v>89.534399999999991</v>
      </c>
      <c r="AE2280" s="6">
        <f>$K$2280*$Y$2280</f>
        <v>0</v>
      </c>
      <c r="AF2280" s="6">
        <f ca="1">$M$2280*$Z$2280</f>
        <v>281.09234105342574</v>
      </c>
      <c r="AG2280" s="6">
        <f>$O$2280*$AA$2280</f>
        <v>104.49557062353306</v>
      </c>
    </row>
    <row r="2281" spans="1:33" ht="11.25" customHeight="1" x14ac:dyDescent="0.25">
      <c r="A2281" s="4" t="s">
        <v>28</v>
      </c>
      <c r="B2281" s="4" t="s">
        <v>41</v>
      </c>
      <c r="C2281" s="4" t="s">
        <v>39</v>
      </c>
      <c r="D2281" s="4" t="s">
        <v>48</v>
      </c>
      <c r="E2281" s="4" t="s">
        <v>25</v>
      </c>
      <c r="F2281" s="4" t="s">
        <v>25</v>
      </c>
      <c r="G2281" s="4" t="s">
        <v>25</v>
      </c>
      <c r="H2281" s="4" t="s">
        <v>37</v>
      </c>
      <c r="I2281" s="5">
        <v>44440</v>
      </c>
      <c r="J2281" s="6">
        <v>0</v>
      </c>
      <c r="K2281" s="6">
        <v>0</v>
      </c>
      <c r="L2281" s="6">
        <v>1.44</v>
      </c>
      <c r="M2281" s="6">
        <v>1.44</v>
      </c>
      <c r="N2281" s="6">
        <v>1.44</v>
      </c>
      <c r="O2281" s="6">
        <v>1.44</v>
      </c>
      <c r="P2281" s="6">
        <v>0</v>
      </c>
      <c r="Q2281" s="4" t="s">
        <v>26</v>
      </c>
      <c r="R2281" s="4">
        <v>0</v>
      </c>
      <c r="S2281" s="6">
        <v>0</v>
      </c>
      <c r="T2281" s="6">
        <v>74</v>
      </c>
      <c r="U2281" s="6">
        <v>82</v>
      </c>
      <c r="V2281" s="6">
        <f>IF(ISERROR(VLOOKUP($S$2281,'TAR FIN'!$A$1:$O$95,15,0)),0,VLOOKUP($S$2281,'TAR FIN'!$A$1:$O$95,15,0))</f>
        <v>0</v>
      </c>
      <c r="W2281" s="6">
        <f>IF(ISERROR(VLOOKUP($T$2281,'TAR FIN'!$A$1:$O$95,15,0)),0,VLOOKUP($T$2281,'TAR FIN'!$A$1:$O$95,15,0))</f>
        <v>1089.57</v>
      </c>
      <c r="X2281" s="6">
        <f>IF(ISERROR(VLOOKUP($U$2281,'TAR FIN'!$A$1:$O$95,15,0)),0,VLOOKUP($U$2281,'TAR FIN'!$A$1:$O$95,15,0))</f>
        <v>389.28</v>
      </c>
      <c r="Y2281" s="6"/>
      <c r="Z2281" s="6">
        <f ca="1">('TUSD BE'!$AM$50+'TUSD BF'!$AM$50+'TUSD CVA'!$AM$50)*1</f>
        <v>1222.1406132757641</v>
      </c>
      <c r="AA2281" s="6">
        <f>('TE BE'!$AA$38+'TE BF'!$AA$38+'TE CVA'!$AA$38)*1</f>
        <v>454.3285679284046</v>
      </c>
      <c r="AB2281" s="6">
        <f>$K$2281*$V$2281</f>
        <v>0</v>
      </c>
      <c r="AC2281" s="6">
        <f>$M$2281*$W$2281</f>
        <v>1568.9807999999998</v>
      </c>
      <c r="AD2281" s="6">
        <f>$O$2281*$X$2281</f>
        <v>560.56319999999994</v>
      </c>
      <c r="AE2281" s="6">
        <f>$K$2281*$Y$2281</f>
        <v>0</v>
      </c>
      <c r="AF2281" s="6">
        <f ca="1">$M$2281*$Z$2281</f>
        <v>1759.8824831171003</v>
      </c>
      <c r="AG2281" s="6">
        <f>$O$2281*$AA$2281</f>
        <v>654.23313781690263</v>
      </c>
    </row>
    <row r="2282" spans="1:33" ht="11.25" customHeight="1" x14ac:dyDescent="0.25">
      <c r="A2282" s="4" t="s">
        <v>59</v>
      </c>
      <c r="B2282" s="4" t="s">
        <v>41</v>
      </c>
      <c r="C2282" s="4" t="s">
        <v>39</v>
      </c>
      <c r="D2282" s="4" t="s">
        <v>48</v>
      </c>
      <c r="E2282" s="4" t="s">
        <v>25</v>
      </c>
      <c r="F2282" s="4" t="s">
        <v>25</v>
      </c>
      <c r="G2282" s="4" t="s">
        <v>25</v>
      </c>
      <c r="H2282" s="4" t="s">
        <v>37</v>
      </c>
      <c r="I2282" s="5">
        <v>44470</v>
      </c>
      <c r="J2282" s="6">
        <v>0</v>
      </c>
      <c r="K2282" s="6">
        <v>0</v>
      </c>
      <c r="L2282" s="6">
        <v>0.23</v>
      </c>
      <c r="M2282" s="6">
        <v>0.23</v>
      </c>
      <c r="N2282" s="6">
        <v>0.23</v>
      </c>
      <c r="O2282" s="6">
        <v>0.23</v>
      </c>
      <c r="P2282" s="6">
        <v>0</v>
      </c>
      <c r="Q2282" s="4" t="s">
        <v>26</v>
      </c>
      <c r="R2282" s="4">
        <v>0</v>
      </c>
      <c r="S2282" s="6">
        <v>0</v>
      </c>
      <c r="T2282" s="6">
        <v>74</v>
      </c>
      <c r="U2282" s="6">
        <v>82</v>
      </c>
      <c r="V2282" s="6">
        <f>IF(ISERROR(VLOOKUP($S$2282,'TAR FIN'!$A$1:$O$95,15,0)),0,VLOOKUP($S$2282,'TAR FIN'!$A$1:$O$95,15,0))</f>
        <v>0</v>
      </c>
      <c r="W2282" s="6">
        <f>IF(ISERROR(VLOOKUP($T$2282,'TAR FIN'!$A$1:$O$95,15,0)),0,VLOOKUP($T$2282,'TAR FIN'!$A$1:$O$95,15,0))</f>
        <v>1089.57</v>
      </c>
      <c r="X2282" s="6">
        <f>IF(ISERROR(VLOOKUP($U$2282,'TAR FIN'!$A$1:$O$95,15,0)),0,VLOOKUP($U$2282,'TAR FIN'!$A$1:$O$95,15,0))</f>
        <v>389.28</v>
      </c>
      <c r="Y2282" s="6"/>
      <c r="Z2282" s="6">
        <f ca="1">('TUSD BE'!$AM$50+'TUSD BF'!$AM$50+'TUSD CVA'!$AM$50)*1</f>
        <v>1222.1406132757641</v>
      </c>
      <c r="AA2282" s="6">
        <f>('TE BE'!$AA$38+'TE BF'!$AA$38+'TE CVA'!$AA$38)*1</f>
        <v>454.3285679284046</v>
      </c>
      <c r="AB2282" s="6">
        <f>$K$2282*$V$2282</f>
        <v>0</v>
      </c>
      <c r="AC2282" s="6">
        <f>$M$2282*$W$2282</f>
        <v>250.6011</v>
      </c>
      <c r="AD2282" s="6">
        <f>$O$2282*$X$2282</f>
        <v>89.534399999999991</v>
      </c>
      <c r="AE2282" s="6">
        <f>$K$2282*$Y$2282</f>
        <v>0</v>
      </c>
      <c r="AF2282" s="6">
        <f ca="1">$M$2282*$Z$2282</f>
        <v>281.09234105342574</v>
      </c>
      <c r="AG2282" s="6">
        <f>$O$2282*$AA$2282</f>
        <v>104.49557062353306</v>
      </c>
    </row>
    <row r="2283" spans="1:33" ht="11.25" customHeight="1" x14ac:dyDescent="0.25">
      <c r="A2283" s="4" t="s">
        <v>59</v>
      </c>
      <c r="B2283" s="4" t="s">
        <v>41</v>
      </c>
      <c r="C2283" s="4" t="s">
        <v>39</v>
      </c>
      <c r="D2283" s="4" t="s">
        <v>48</v>
      </c>
      <c r="E2283" s="4" t="s">
        <v>25</v>
      </c>
      <c r="F2283" s="4" t="s">
        <v>25</v>
      </c>
      <c r="G2283" s="4" t="s">
        <v>25</v>
      </c>
      <c r="H2283" s="4" t="s">
        <v>37</v>
      </c>
      <c r="I2283" s="5">
        <v>44470</v>
      </c>
      <c r="J2283" s="6">
        <v>0</v>
      </c>
      <c r="K2283" s="6">
        <v>0</v>
      </c>
      <c r="L2283" s="6">
        <v>1.44</v>
      </c>
      <c r="M2283" s="6">
        <v>1.44</v>
      </c>
      <c r="N2283" s="6">
        <v>1.44</v>
      </c>
      <c r="O2283" s="6">
        <v>1.44</v>
      </c>
      <c r="P2283" s="6">
        <v>0</v>
      </c>
      <c r="Q2283" s="4" t="s">
        <v>26</v>
      </c>
      <c r="R2283" s="4">
        <v>0</v>
      </c>
      <c r="S2283" s="6">
        <v>0</v>
      </c>
      <c r="T2283" s="6">
        <v>74</v>
      </c>
      <c r="U2283" s="6">
        <v>82</v>
      </c>
      <c r="V2283" s="6">
        <f>IF(ISERROR(VLOOKUP($S$2283,'TAR FIN'!$A$1:$O$95,15,0)),0,VLOOKUP($S$2283,'TAR FIN'!$A$1:$O$95,15,0))</f>
        <v>0</v>
      </c>
      <c r="W2283" s="6">
        <f>IF(ISERROR(VLOOKUP($T$2283,'TAR FIN'!$A$1:$O$95,15,0)),0,VLOOKUP($T$2283,'TAR FIN'!$A$1:$O$95,15,0))</f>
        <v>1089.57</v>
      </c>
      <c r="X2283" s="6">
        <f>IF(ISERROR(VLOOKUP($U$2283,'TAR FIN'!$A$1:$O$95,15,0)),0,VLOOKUP($U$2283,'TAR FIN'!$A$1:$O$95,15,0))</f>
        <v>389.28</v>
      </c>
      <c r="Y2283" s="6"/>
      <c r="Z2283" s="6">
        <f ca="1">('TUSD BE'!$AM$50+'TUSD BF'!$AM$50+'TUSD CVA'!$AM$50)*1</f>
        <v>1222.1406132757641</v>
      </c>
      <c r="AA2283" s="6">
        <f>('TE BE'!$AA$38+'TE BF'!$AA$38+'TE CVA'!$AA$38)*1</f>
        <v>454.3285679284046</v>
      </c>
      <c r="AB2283" s="6">
        <f>$K$2283*$V$2283</f>
        <v>0</v>
      </c>
      <c r="AC2283" s="6">
        <f>$M$2283*$W$2283</f>
        <v>1568.9807999999998</v>
      </c>
      <c r="AD2283" s="6">
        <f>$O$2283*$X$2283</f>
        <v>560.56319999999994</v>
      </c>
      <c r="AE2283" s="6">
        <f>$K$2283*$Y$2283</f>
        <v>0</v>
      </c>
      <c r="AF2283" s="6">
        <f ca="1">$M$2283*$Z$2283</f>
        <v>1759.8824831171003</v>
      </c>
      <c r="AG2283" s="6">
        <f>$O$2283*$AA$2283</f>
        <v>654.23313781690263</v>
      </c>
    </row>
    <row r="2284" spans="1:33" ht="11.25" customHeight="1" x14ac:dyDescent="0.25">
      <c r="A2284" s="4" t="s">
        <v>21</v>
      </c>
      <c r="B2284" s="4" t="s">
        <v>41</v>
      </c>
      <c r="C2284" s="4" t="s">
        <v>23</v>
      </c>
      <c r="D2284" s="4" t="s">
        <v>45</v>
      </c>
      <c r="E2284" s="4" t="s">
        <v>25</v>
      </c>
      <c r="F2284" s="4" t="s">
        <v>25</v>
      </c>
      <c r="G2284" s="4" t="s">
        <v>25</v>
      </c>
      <c r="H2284" s="4" t="s">
        <v>25</v>
      </c>
      <c r="I2284" s="5">
        <v>44136</v>
      </c>
      <c r="J2284" s="6">
        <v>0</v>
      </c>
      <c r="K2284" s="6">
        <v>0</v>
      </c>
      <c r="L2284" s="6">
        <v>41387.96</v>
      </c>
      <c r="M2284" s="6">
        <v>41387.96</v>
      </c>
      <c r="N2284" s="6">
        <v>41387.96</v>
      </c>
      <c r="O2284" s="6">
        <v>41387.96</v>
      </c>
      <c r="P2284" s="6">
        <v>54246</v>
      </c>
      <c r="Q2284" s="4" t="s">
        <v>26</v>
      </c>
      <c r="R2284" s="4">
        <v>0</v>
      </c>
      <c r="S2284" s="6">
        <v>0</v>
      </c>
      <c r="T2284" s="6">
        <v>72</v>
      </c>
      <c r="U2284" s="6">
        <v>78</v>
      </c>
      <c r="V2284" s="6">
        <f>IF(ISERROR(VLOOKUP($S$2284,'TAR FIN'!$A$1:$O$95,15,0)),0,VLOOKUP($S$2284,'TAR FIN'!$A$1:$O$95,15,0))</f>
        <v>0</v>
      </c>
      <c r="W2284" s="6">
        <f>IF(ISERROR(VLOOKUP($T$2284,'TAR FIN'!$A$1:$O$95,15,0)),0,VLOOKUP($T$2284,'TAR FIN'!$A$1:$O$95,15,0))</f>
        <v>450.19</v>
      </c>
      <c r="X2284" s="6">
        <f>IF(ISERROR(VLOOKUP($U$2284,'TAR FIN'!$A$1:$O$95,15,0)),0,VLOOKUP($U$2284,'TAR FIN'!$A$1:$O$95,15,0))</f>
        <v>243.3</v>
      </c>
      <c r="Y2284" s="6"/>
      <c r="Z2284" s="6">
        <f ca="1">('TUSD BE'!$AM$53+'TUSD BF'!$AM$53+'TUSD CVA'!$AM$53)*1</f>
        <v>506.5198438752322</v>
      </c>
      <c r="AA2284" s="6">
        <f>('TE BE'!$AA$41+'TE BF'!$AA$41+'TE CVA'!$AA$41)*1</f>
        <v>297.20166373463735</v>
      </c>
      <c r="AB2284" s="6">
        <f>$K$2284*$V$2284</f>
        <v>0</v>
      </c>
      <c r="AC2284" s="6">
        <f>$M$2284*$W$2284</f>
        <v>18632445.712400001</v>
      </c>
      <c r="AD2284" s="6">
        <f>$O$2284*$X$2284</f>
        <v>10069690.668</v>
      </c>
      <c r="AE2284" s="6">
        <f>$K$2284*$Y$2284</f>
        <v>0</v>
      </c>
      <c r="AF2284" s="6">
        <f ca="1">$M$2284*$Z$2284</f>
        <v>20963823.037514355</v>
      </c>
      <c r="AG2284" s="6">
        <f>$O$2284*$AA$2284</f>
        <v>12300570.570582621</v>
      </c>
    </row>
    <row r="2285" spans="1:33" ht="11.25" customHeight="1" x14ac:dyDescent="0.25">
      <c r="A2285" s="4" t="s">
        <v>27</v>
      </c>
      <c r="B2285" s="4" t="s">
        <v>41</v>
      </c>
      <c r="C2285" s="4" t="s">
        <v>23</v>
      </c>
      <c r="D2285" s="4" t="s">
        <v>45</v>
      </c>
      <c r="E2285" s="4" t="s">
        <v>25</v>
      </c>
      <c r="F2285" s="4" t="s">
        <v>25</v>
      </c>
      <c r="G2285" s="4" t="s">
        <v>25</v>
      </c>
      <c r="H2285" s="4" t="s">
        <v>25</v>
      </c>
      <c r="I2285" s="5">
        <v>44136</v>
      </c>
      <c r="J2285" s="6">
        <v>0</v>
      </c>
      <c r="K2285" s="6">
        <v>0</v>
      </c>
      <c r="L2285" s="6">
        <v>-1782.422</v>
      </c>
      <c r="M2285" s="6">
        <v>-1782.422</v>
      </c>
      <c r="N2285" s="6">
        <v>-1782.422</v>
      </c>
      <c r="O2285" s="6">
        <v>-1782.422</v>
      </c>
      <c r="P2285" s="6">
        <v>43</v>
      </c>
      <c r="Q2285" s="4" t="s">
        <v>26</v>
      </c>
      <c r="R2285" s="4">
        <v>0</v>
      </c>
      <c r="S2285" s="6">
        <v>0</v>
      </c>
      <c r="T2285" s="6">
        <v>72</v>
      </c>
      <c r="U2285" s="6">
        <v>78</v>
      </c>
      <c r="V2285" s="6">
        <f>IF(ISERROR(VLOOKUP($S$2285,'TAR FIN'!$A$1:$O$95,15,0)),0,VLOOKUP($S$2285,'TAR FIN'!$A$1:$O$95,15,0))</f>
        <v>0</v>
      </c>
      <c r="W2285" s="6">
        <f>IF(ISERROR(VLOOKUP($T$2285,'TAR FIN'!$A$1:$O$95,15,0)),0,VLOOKUP($T$2285,'TAR FIN'!$A$1:$O$95,15,0))</f>
        <v>450.19</v>
      </c>
      <c r="X2285" s="6">
        <f>IF(ISERROR(VLOOKUP($U$2285,'TAR FIN'!$A$1:$O$95,15,0)),0,VLOOKUP($U$2285,'TAR FIN'!$A$1:$O$95,15,0))</f>
        <v>243.3</v>
      </c>
      <c r="Y2285" s="6"/>
      <c r="Z2285" s="6">
        <f ca="1">('TUSD BE'!$AM$53+'TUSD BF'!$AM$53+'TUSD CVA'!$AM$53)*1</f>
        <v>506.5198438752322</v>
      </c>
      <c r="AA2285" s="6">
        <f>('TE BE'!$AA$41+'TE BF'!$AA$41+'TE CVA'!$AA$41)*1</f>
        <v>297.20166373463735</v>
      </c>
      <c r="AB2285" s="6">
        <f>$K$2285*$V$2285</f>
        <v>0</v>
      </c>
      <c r="AC2285" s="6">
        <f>$M$2285*$W$2285</f>
        <v>-802428.56018000003</v>
      </c>
      <c r="AD2285" s="6">
        <f>$O$2285*$X$2285</f>
        <v>-433663.27260000003</v>
      </c>
      <c r="AE2285" s="6">
        <f>$K$2285*$Y$2285</f>
        <v>0</v>
      </c>
      <c r="AF2285" s="6">
        <f ca="1">$M$2285*$Z$2285</f>
        <v>-902832.11315977911</v>
      </c>
      <c r="AG2285" s="6">
        <f>$O$2285*$AA$2285</f>
        <v>-529738.78387721977</v>
      </c>
    </row>
    <row r="2286" spans="1:33" ht="11.25" customHeight="1" x14ac:dyDescent="0.25">
      <c r="A2286" s="4" t="s">
        <v>28</v>
      </c>
      <c r="B2286" s="4" t="s">
        <v>41</v>
      </c>
      <c r="C2286" s="4" t="s">
        <v>23</v>
      </c>
      <c r="D2286" s="4" t="s">
        <v>45</v>
      </c>
      <c r="E2286" s="4" t="s">
        <v>25</v>
      </c>
      <c r="F2286" s="4" t="s">
        <v>25</v>
      </c>
      <c r="G2286" s="4" t="s">
        <v>25</v>
      </c>
      <c r="H2286" s="4" t="s">
        <v>25</v>
      </c>
      <c r="I2286" s="5">
        <v>44136</v>
      </c>
      <c r="J2286" s="6">
        <v>0</v>
      </c>
      <c r="K2286" s="6">
        <v>0</v>
      </c>
      <c r="L2286" s="6">
        <v>12652.328</v>
      </c>
      <c r="M2286" s="6">
        <v>12652.328</v>
      </c>
      <c r="N2286" s="6">
        <v>12652.328</v>
      </c>
      <c r="O2286" s="6">
        <v>12652.328</v>
      </c>
      <c r="P2286" s="6">
        <v>25054</v>
      </c>
      <c r="Q2286" s="4" t="s">
        <v>26</v>
      </c>
      <c r="R2286" s="4">
        <v>0</v>
      </c>
      <c r="S2286" s="6">
        <v>0</v>
      </c>
      <c r="T2286" s="6">
        <v>72</v>
      </c>
      <c r="U2286" s="6">
        <v>78</v>
      </c>
      <c r="V2286" s="6">
        <f>IF(ISERROR(VLOOKUP($S$2286,'TAR FIN'!$A$1:$O$95,15,0)),0,VLOOKUP($S$2286,'TAR FIN'!$A$1:$O$95,15,0))</f>
        <v>0</v>
      </c>
      <c r="W2286" s="6">
        <f>IF(ISERROR(VLOOKUP($T$2286,'TAR FIN'!$A$1:$O$95,15,0)),0,VLOOKUP($T$2286,'TAR FIN'!$A$1:$O$95,15,0))</f>
        <v>450.19</v>
      </c>
      <c r="X2286" s="6">
        <f>IF(ISERROR(VLOOKUP($U$2286,'TAR FIN'!$A$1:$O$95,15,0)),0,VLOOKUP($U$2286,'TAR FIN'!$A$1:$O$95,15,0))</f>
        <v>243.3</v>
      </c>
      <c r="Y2286" s="6"/>
      <c r="Z2286" s="6">
        <f ca="1">('TUSD BE'!$AM$53+'TUSD BF'!$AM$53+'TUSD CVA'!$AM$53)*1</f>
        <v>506.5198438752322</v>
      </c>
      <c r="AA2286" s="6">
        <f>('TE BE'!$AA$41+'TE BF'!$AA$41+'TE CVA'!$AA$41)*1</f>
        <v>297.20166373463735</v>
      </c>
      <c r="AB2286" s="6">
        <f>$K$2286*$V$2286</f>
        <v>0</v>
      </c>
      <c r="AC2286" s="6">
        <f>$M$2286*$W$2286</f>
        <v>5695951.54232</v>
      </c>
      <c r="AD2286" s="6">
        <f>$O$2286*$X$2286</f>
        <v>3078311.4024</v>
      </c>
      <c r="AE2286" s="6">
        <f>$K$2286*$Y$2286</f>
        <v>0</v>
      </c>
      <c r="AF2286" s="6">
        <f ca="1">$M$2286*$Z$2286</f>
        <v>6408655.2032182282</v>
      </c>
      <c r="AG2286" s="6">
        <f>$O$2286*$AA$2286</f>
        <v>3760292.9317163364</v>
      </c>
    </row>
    <row r="2287" spans="1:33" ht="11.25" customHeight="1" x14ac:dyDescent="0.25">
      <c r="A2287" s="4" t="s">
        <v>29</v>
      </c>
      <c r="B2287" s="4" t="s">
        <v>41</v>
      </c>
      <c r="C2287" s="4" t="s">
        <v>23</v>
      </c>
      <c r="D2287" s="4" t="s">
        <v>45</v>
      </c>
      <c r="E2287" s="4" t="s">
        <v>25</v>
      </c>
      <c r="F2287" s="4" t="s">
        <v>25</v>
      </c>
      <c r="G2287" s="4" t="s">
        <v>25</v>
      </c>
      <c r="H2287" s="4" t="s">
        <v>25</v>
      </c>
      <c r="I2287" s="5">
        <v>44136</v>
      </c>
      <c r="J2287" s="6">
        <v>0</v>
      </c>
      <c r="K2287" s="6">
        <v>0</v>
      </c>
      <c r="L2287" s="6">
        <v>-28.741</v>
      </c>
      <c r="M2287" s="6">
        <v>-28.741</v>
      </c>
      <c r="N2287" s="6">
        <v>-28.741</v>
      </c>
      <c r="O2287" s="6">
        <v>-28.741</v>
      </c>
      <c r="P2287" s="6">
        <v>-9</v>
      </c>
      <c r="Q2287" s="4" t="s">
        <v>26</v>
      </c>
      <c r="R2287" s="4">
        <v>0</v>
      </c>
      <c r="S2287" s="6">
        <v>0</v>
      </c>
      <c r="T2287" s="6">
        <v>72</v>
      </c>
      <c r="U2287" s="6">
        <v>78</v>
      </c>
      <c r="V2287" s="6">
        <f>IF(ISERROR(VLOOKUP($S$2287,'TAR FIN'!$A$1:$O$95,15,0)),0,VLOOKUP($S$2287,'TAR FIN'!$A$1:$O$95,15,0))</f>
        <v>0</v>
      </c>
      <c r="W2287" s="6">
        <f>IF(ISERROR(VLOOKUP($T$2287,'TAR FIN'!$A$1:$O$95,15,0)),0,VLOOKUP($T$2287,'TAR FIN'!$A$1:$O$95,15,0))</f>
        <v>450.19</v>
      </c>
      <c r="X2287" s="6">
        <f>IF(ISERROR(VLOOKUP($U$2287,'TAR FIN'!$A$1:$O$95,15,0)),0,VLOOKUP($U$2287,'TAR FIN'!$A$1:$O$95,15,0))</f>
        <v>243.3</v>
      </c>
      <c r="Y2287" s="6"/>
      <c r="Z2287" s="6">
        <f ca="1">('TUSD BE'!$AM$53+'TUSD BF'!$AM$53+'TUSD CVA'!$AM$53)*1</f>
        <v>506.5198438752322</v>
      </c>
      <c r="AA2287" s="6">
        <f>('TE BE'!$AA$41+'TE BF'!$AA$41+'TE CVA'!$AA$41)*1</f>
        <v>297.20166373463735</v>
      </c>
      <c r="AB2287" s="6">
        <f>$K$2287*$V$2287</f>
        <v>0</v>
      </c>
      <c r="AC2287" s="6">
        <f>$M$2287*$W$2287</f>
        <v>-12938.91079</v>
      </c>
      <c r="AD2287" s="6">
        <f>$O$2287*$X$2287</f>
        <v>-6992.6853000000001</v>
      </c>
      <c r="AE2287" s="6">
        <f>$K$2287*$Y$2287</f>
        <v>0</v>
      </c>
      <c r="AF2287" s="6">
        <f ca="1">$M$2287*$Z$2287</f>
        <v>-14557.886832818049</v>
      </c>
      <c r="AG2287" s="6">
        <f>$O$2287*$AA$2287</f>
        <v>-8541.8730173972126</v>
      </c>
    </row>
    <row r="2288" spans="1:33" ht="11.25" customHeight="1" x14ac:dyDescent="0.25">
      <c r="A2288" s="4" t="s">
        <v>30</v>
      </c>
      <c r="B2288" s="4" t="s">
        <v>41</v>
      </c>
      <c r="C2288" s="4" t="s">
        <v>23</v>
      </c>
      <c r="D2288" s="4" t="s">
        <v>45</v>
      </c>
      <c r="E2288" s="4" t="s">
        <v>25</v>
      </c>
      <c r="F2288" s="4" t="s">
        <v>25</v>
      </c>
      <c r="G2288" s="4" t="s">
        <v>25</v>
      </c>
      <c r="H2288" s="4" t="s">
        <v>25</v>
      </c>
      <c r="I2288" s="5">
        <v>44136</v>
      </c>
      <c r="J2288" s="6">
        <v>0</v>
      </c>
      <c r="K2288" s="6">
        <v>0</v>
      </c>
      <c r="L2288" s="6">
        <v>683.14400000000001</v>
      </c>
      <c r="M2288" s="6">
        <v>683.14400000000001</v>
      </c>
      <c r="N2288" s="6">
        <v>683.14400000000001</v>
      </c>
      <c r="O2288" s="6">
        <v>683.14400000000001</v>
      </c>
      <c r="P2288" s="6">
        <v>248</v>
      </c>
      <c r="Q2288" s="4" t="s">
        <v>26</v>
      </c>
      <c r="R2288" s="4">
        <v>0</v>
      </c>
      <c r="S2288" s="6">
        <v>0</v>
      </c>
      <c r="T2288" s="6">
        <v>72</v>
      </c>
      <c r="U2288" s="6">
        <v>78</v>
      </c>
      <c r="V2288" s="6">
        <f>IF(ISERROR(VLOOKUP($S$2288,'TAR FIN'!$A$1:$O$95,15,0)),0,VLOOKUP($S$2288,'TAR FIN'!$A$1:$O$95,15,0))</f>
        <v>0</v>
      </c>
      <c r="W2288" s="6">
        <f>IF(ISERROR(VLOOKUP($T$2288,'TAR FIN'!$A$1:$O$95,15,0)),0,VLOOKUP($T$2288,'TAR FIN'!$A$1:$O$95,15,0))</f>
        <v>450.19</v>
      </c>
      <c r="X2288" s="6">
        <f>IF(ISERROR(VLOOKUP($U$2288,'TAR FIN'!$A$1:$O$95,15,0)),0,VLOOKUP($U$2288,'TAR FIN'!$A$1:$O$95,15,0))</f>
        <v>243.3</v>
      </c>
      <c r="Y2288" s="6"/>
      <c r="Z2288" s="6">
        <f ca="1">('TUSD BE'!$AM$53+'TUSD BF'!$AM$53+'TUSD CVA'!$AM$53)*1</f>
        <v>506.5198438752322</v>
      </c>
      <c r="AA2288" s="6">
        <f>('TE BE'!$AA$41+'TE BF'!$AA$41+'TE CVA'!$AA$41)*1</f>
        <v>297.20166373463735</v>
      </c>
      <c r="AB2288" s="6">
        <f>$K$2288*$V$2288</f>
        <v>0</v>
      </c>
      <c r="AC2288" s="6">
        <f>$M$2288*$W$2288</f>
        <v>307544.59736000001</v>
      </c>
      <c r="AD2288" s="6">
        <f>$O$2288*$X$2288</f>
        <v>166208.93520000001</v>
      </c>
      <c r="AE2288" s="6">
        <f>$K$2288*$Y$2288</f>
        <v>0</v>
      </c>
      <c r="AF2288" s="6">
        <f ca="1">$M$2288*$Z$2288</f>
        <v>346025.99222430162</v>
      </c>
      <c r="AG2288" s="6">
        <f>$O$2288*$AA$2288</f>
        <v>203031.53337033509</v>
      </c>
    </row>
    <row r="2289" spans="1:33" ht="11.25" customHeight="1" x14ac:dyDescent="0.25">
      <c r="A2289" s="4" t="s">
        <v>30</v>
      </c>
      <c r="B2289" s="4" t="s">
        <v>41</v>
      </c>
      <c r="C2289" s="4" t="s">
        <v>23</v>
      </c>
      <c r="D2289" s="4" t="s">
        <v>45</v>
      </c>
      <c r="E2289" s="4" t="s">
        <v>25</v>
      </c>
      <c r="F2289" s="4" t="s">
        <v>25</v>
      </c>
      <c r="G2289" s="4" t="s">
        <v>25</v>
      </c>
      <c r="H2289" s="4" t="s">
        <v>25</v>
      </c>
      <c r="I2289" s="5">
        <v>44136</v>
      </c>
      <c r="J2289" s="6">
        <v>0</v>
      </c>
      <c r="K2289" s="6">
        <v>0</v>
      </c>
      <c r="L2289" s="6">
        <v>-5.0730000000000004</v>
      </c>
      <c r="M2289" s="6">
        <v>-5.0730000000000004</v>
      </c>
      <c r="N2289" s="6">
        <v>-5.0730000000000004</v>
      </c>
      <c r="O2289" s="6">
        <v>-5.0730000000000004</v>
      </c>
      <c r="P2289" s="6">
        <v>-2</v>
      </c>
      <c r="Q2289" s="4" t="s">
        <v>26</v>
      </c>
      <c r="R2289" s="4">
        <v>0</v>
      </c>
      <c r="S2289" s="6">
        <v>0</v>
      </c>
      <c r="T2289" s="6">
        <v>72</v>
      </c>
      <c r="U2289" s="6">
        <v>78</v>
      </c>
      <c r="V2289" s="6">
        <f>IF(ISERROR(VLOOKUP($S$2289,'TAR FIN'!$A$1:$O$95,15,0)),0,VLOOKUP($S$2289,'TAR FIN'!$A$1:$O$95,15,0))</f>
        <v>0</v>
      </c>
      <c r="W2289" s="6">
        <f>IF(ISERROR(VLOOKUP($T$2289,'TAR FIN'!$A$1:$O$95,15,0)),0,VLOOKUP($T$2289,'TAR FIN'!$A$1:$O$95,15,0))</f>
        <v>450.19</v>
      </c>
      <c r="X2289" s="6">
        <f>IF(ISERROR(VLOOKUP($U$2289,'TAR FIN'!$A$1:$O$95,15,0)),0,VLOOKUP($U$2289,'TAR FIN'!$A$1:$O$95,15,0))</f>
        <v>243.3</v>
      </c>
      <c r="Y2289" s="6"/>
      <c r="Z2289" s="6">
        <f ca="1">('TUSD BE'!$AM$53+'TUSD BF'!$AM$53+'TUSD CVA'!$AM$53)*1</f>
        <v>506.5198438752322</v>
      </c>
      <c r="AA2289" s="6">
        <f>('TE BE'!$AA$41+'TE BF'!$AA$41+'TE CVA'!$AA$41)*1</f>
        <v>297.20166373463735</v>
      </c>
      <c r="AB2289" s="6">
        <f>$K$2289*$V$2289</f>
        <v>0</v>
      </c>
      <c r="AC2289" s="6">
        <f>$M$2289*$W$2289</f>
        <v>-2283.81387</v>
      </c>
      <c r="AD2289" s="6">
        <f>$O$2289*$X$2289</f>
        <v>-1234.2609000000002</v>
      </c>
      <c r="AE2289" s="6">
        <f>$K$2289*$Y$2289</f>
        <v>0</v>
      </c>
      <c r="AF2289" s="6">
        <f ca="1">$M$2289*$Z$2289</f>
        <v>-2569.5751679790533</v>
      </c>
      <c r="AG2289" s="6">
        <f>$O$2289*$AA$2289</f>
        <v>-1507.7040401258155</v>
      </c>
    </row>
    <row r="2290" spans="1:33" ht="11.25" customHeight="1" x14ac:dyDescent="0.25">
      <c r="A2290" s="4" t="s">
        <v>21</v>
      </c>
      <c r="B2290" s="4" t="s">
        <v>41</v>
      </c>
      <c r="C2290" s="4" t="s">
        <v>23</v>
      </c>
      <c r="D2290" s="4" t="s">
        <v>45</v>
      </c>
      <c r="E2290" s="4" t="s">
        <v>25</v>
      </c>
      <c r="F2290" s="4" t="s">
        <v>25</v>
      </c>
      <c r="G2290" s="4" t="s">
        <v>25</v>
      </c>
      <c r="H2290" s="4" t="s">
        <v>25</v>
      </c>
      <c r="I2290" s="5">
        <v>44166</v>
      </c>
      <c r="J2290" s="6">
        <v>0</v>
      </c>
      <c r="K2290" s="6">
        <v>0</v>
      </c>
      <c r="L2290" s="6">
        <v>38834.023000000001</v>
      </c>
      <c r="M2290" s="6">
        <v>38834.023000000001</v>
      </c>
      <c r="N2290" s="6">
        <v>38834.023000000001</v>
      </c>
      <c r="O2290" s="6">
        <v>38834.023000000001</v>
      </c>
      <c r="P2290" s="6">
        <v>53952</v>
      </c>
      <c r="Q2290" s="4" t="s">
        <v>26</v>
      </c>
      <c r="R2290" s="4">
        <v>0</v>
      </c>
      <c r="S2290" s="6">
        <v>0</v>
      </c>
      <c r="T2290" s="6">
        <v>72</v>
      </c>
      <c r="U2290" s="6">
        <v>78</v>
      </c>
      <c r="V2290" s="6">
        <f>IF(ISERROR(VLOOKUP($S$2290,'TAR FIN'!$A$1:$O$95,15,0)),0,VLOOKUP($S$2290,'TAR FIN'!$A$1:$O$95,15,0))</f>
        <v>0</v>
      </c>
      <c r="W2290" s="6">
        <f>IF(ISERROR(VLOOKUP($T$2290,'TAR FIN'!$A$1:$O$95,15,0)),0,VLOOKUP($T$2290,'TAR FIN'!$A$1:$O$95,15,0))</f>
        <v>450.19</v>
      </c>
      <c r="X2290" s="6">
        <f>IF(ISERROR(VLOOKUP($U$2290,'TAR FIN'!$A$1:$O$95,15,0)),0,VLOOKUP($U$2290,'TAR FIN'!$A$1:$O$95,15,0))</f>
        <v>243.3</v>
      </c>
      <c r="Y2290" s="6"/>
      <c r="Z2290" s="6">
        <f ca="1">('TUSD BE'!$AM$53+'TUSD BF'!$AM$53+'TUSD CVA'!$AM$53)*1</f>
        <v>506.5198438752322</v>
      </c>
      <c r="AA2290" s="6">
        <f>('TE BE'!$AA$41+'TE BF'!$AA$41+'TE CVA'!$AA$41)*1</f>
        <v>297.20166373463735</v>
      </c>
      <c r="AB2290" s="6">
        <f>$K$2290*$V$2290</f>
        <v>0</v>
      </c>
      <c r="AC2290" s="6">
        <f>$M$2290*$W$2290</f>
        <v>17482688.814369999</v>
      </c>
      <c r="AD2290" s="6">
        <f>$O$2290*$X$2290</f>
        <v>9448317.7959000003</v>
      </c>
      <c r="AE2290" s="6">
        <f>$K$2290*$Y$2290</f>
        <v>0</v>
      </c>
      <c r="AF2290" s="6">
        <f ca="1">$M$2290*$Z$2290</f>
        <v>19670203.267007176</v>
      </c>
      <c r="AG2290" s="6">
        <f>$O$2290*$AA$2290</f>
        <v>11541536.245109173</v>
      </c>
    </row>
    <row r="2291" spans="1:33" ht="11.25" customHeight="1" x14ac:dyDescent="0.25">
      <c r="A2291" s="4" t="s">
        <v>27</v>
      </c>
      <c r="B2291" s="4" t="s">
        <v>41</v>
      </c>
      <c r="C2291" s="4" t="s">
        <v>23</v>
      </c>
      <c r="D2291" s="4" t="s">
        <v>45</v>
      </c>
      <c r="E2291" s="4" t="s">
        <v>25</v>
      </c>
      <c r="F2291" s="4" t="s">
        <v>25</v>
      </c>
      <c r="G2291" s="4" t="s">
        <v>25</v>
      </c>
      <c r="H2291" s="4" t="s">
        <v>25</v>
      </c>
      <c r="I2291" s="5">
        <v>44166</v>
      </c>
      <c r="J2291" s="6">
        <v>0</v>
      </c>
      <c r="K2291" s="6">
        <v>0</v>
      </c>
      <c r="L2291" s="6">
        <v>-1802.249</v>
      </c>
      <c r="M2291" s="6">
        <v>-1802.249</v>
      </c>
      <c r="N2291" s="6">
        <v>-1802.249</v>
      </c>
      <c r="O2291" s="6">
        <v>-1802.249</v>
      </c>
      <c r="P2291" s="6">
        <v>0</v>
      </c>
      <c r="Q2291" s="4" t="s">
        <v>26</v>
      </c>
      <c r="R2291" s="4">
        <v>0</v>
      </c>
      <c r="S2291" s="6">
        <v>0</v>
      </c>
      <c r="T2291" s="6">
        <v>72</v>
      </c>
      <c r="U2291" s="6">
        <v>78</v>
      </c>
      <c r="V2291" s="6">
        <f>IF(ISERROR(VLOOKUP($S$2291,'TAR FIN'!$A$1:$O$95,15,0)),0,VLOOKUP($S$2291,'TAR FIN'!$A$1:$O$95,15,0))</f>
        <v>0</v>
      </c>
      <c r="W2291" s="6">
        <f>IF(ISERROR(VLOOKUP($T$2291,'TAR FIN'!$A$1:$O$95,15,0)),0,VLOOKUP($T$2291,'TAR FIN'!$A$1:$O$95,15,0))</f>
        <v>450.19</v>
      </c>
      <c r="X2291" s="6">
        <f>IF(ISERROR(VLOOKUP($U$2291,'TAR FIN'!$A$1:$O$95,15,0)),0,VLOOKUP($U$2291,'TAR FIN'!$A$1:$O$95,15,0))</f>
        <v>243.3</v>
      </c>
      <c r="Y2291" s="6"/>
      <c r="Z2291" s="6">
        <f ca="1">('TUSD BE'!$AM$53+'TUSD BF'!$AM$53+'TUSD CVA'!$AM$53)*1</f>
        <v>506.5198438752322</v>
      </c>
      <c r="AA2291" s="6">
        <f>('TE BE'!$AA$41+'TE BF'!$AA$41+'TE CVA'!$AA$41)*1</f>
        <v>297.20166373463735</v>
      </c>
      <c r="AB2291" s="6">
        <f>$K$2291*$V$2291</f>
        <v>0</v>
      </c>
      <c r="AC2291" s="6">
        <f>$M$2291*$W$2291</f>
        <v>-811354.47730999999</v>
      </c>
      <c r="AD2291" s="6">
        <f>$O$2291*$X$2291</f>
        <v>-438487.18170000002</v>
      </c>
      <c r="AE2291" s="6">
        <f>$K$2291*$Y$2291</f>
        <v>0</v>
      </c>
      <c r="AF2291" s="6">
        <f ca="1">$M$2291*$Z$2291</f>
        <v>-912874.88210429333</v>
      </c>
      <c r="AG2291" s="6">
        <f>$O$2291*$AA$2291</f>
        <v>-535631.40126408648</v>
      </c>
    </row>
    <row r="2292" spans="1:33" ht="11.25" customHeight="1" x14ac:dyDescent="0.25">
      <c r="A2292" s="4" t="s">
        <v>28</v>
      </c>
      <c r="B2292" s="4" t="s">
        <v>41</v>
      </c>
      <c r="C2292" s="4" t="s">
        <v>23</v>
      </c>
      <c r="D2292" s="4" t="s">
        <v>45</v>
      </c>
      <c r="E2292" s="4" t="s">
        <v>25</v>
      </c>
      <c r="F2292" s="4" t="s">
        <v>25</v>
      </c>
      <c r="G2292" s="4" t="s">
        <v>25</v>
      </c>
      <c r="H2292" s="4" t="s">
        <v>25</v>
      </c>
      <c r="I2292" s="5">
        <v>44166</v>
      </c>
      <c r="J2292" s="6">
        <v>0</v>
      </c>
      <c r="K2292" s="6">
        <v>0</v>
      </c>
      <c r="L2292" s="6">
        <v>12286.813</v>
      </c>
      <c r="M2292" s="6">
        <v>12286.813</v>
      </c>
      <c r="N2292" s="6">
        <v>12286.813</v>
      </c>
      <c r="O2292" s="6">
        <v>12286.813</v>
      </c>
      <c r="P2292" s="6">
        <v>24925</v>
      </c>
      <c r="Q2292" s="4" t="s">
        <v>26</v>
      </c>
      <c r="R2292" s="4">
        <v>0</v>
      </c>
      <c r="S2292" s="6">
        <v>0</v>
      </c>
      <c r="T2292" s="6">
        <v>72</v>
      </c>
      <c r="U2292" s="6">
        <v>78</v>
      </c>
      <c r="V2292" s="6">
        <f>IF(ISERROR(VLOOKUP($S$2292,'TAR FIN'!$A$1:$O$95,15,0)),0,VLOOKUP($S$2292,'TAR FIN'!$A$1:$O$95,15,0))</f>
        <v>0</v>
      </c>
      <c r="W2292" s="6">
        <f>IF(ISERROR(VLOOKUP($T$2292,'TAR FIN'!$A$1:$O$95,15,0)),0,VLOOKUP($T$2292,'TAR FIN'!$A$1:$O$95,15,0))</f>
        <v>450.19</v>
      </c>
      <c r="X2292" s="6">
        <f>IF(ISERROR(VLOOKUP($U$2292,'TAR FIN'!$A$1:$O$95,15,0)),0,VLOOKUP($U$2292,'TAR FIN'!$A$1:$O$95,15,0))</f>
        <v>243.3</v>
      </c>
      <c r="Y2292" s="6"/>
      <c r="Z2292" s="6">
        <f ca="1">('TUSD BE'!$AM$53+'TUSD BF'!$AM$53+'TUSD CVA'!$AM$53)*1</f>
        <v>506.5198438752322</v>
      </c>
      <c r="AA2292" s="6">
        <f>('TE BE'!$AA$41+'TE BF'!$AA$41+'TE CVA'!$AA$41)*1</f>
        <v>297.20166373463735</v>
      </c>
      <c r="AB2292" s="6">
        <f>$K$2292*$V$2292</f>
        <v>0</v>
      </c>
      <c r="AC2292" s="6">
        <f>$M$2292*$W$2292</f>
        <v>5531400.3444699999</v>
      </c>
      <c r="AD2292" s="6">
        <f>$O$2292*$X$2292</f>
        <v>2989381.6029000003</v>
      </c>
      <c r="AE2292" s="6">
        <f>$K$2292*$Y$2292</f>
        <v>0</v>
      </c>
      <c r="AF2292" s="6">
        <f ca="1">$M$2292*$Z$2292</f>
        <v>6223514.6024841731</v>
      </c>
      <c r="AG2292" s="6">
        <f>$O$2292*$AA$2292</f>
        <v>3651661.2655963707</v>
      </c>
    </row>
    <row r="2293" spans="1:33" ht="11.25" customHeight="1" x14ac:dyDescent="0.25">
      <c r="A2293" s="4" t="s">
        <v>29</v>
      </c>
      <c r="B2293" s="4" t="s">
        <v>41</v>
      </c>
      <c r="C2293" s="4" t="s">
        <v>23</v>
      </c>
      <c r="D2293" s="4" t="s">
        <v>45</v>
      </c>
      <c r="E2293" s="4" t="s">
        <v>25</v>
      </c>
      <c r="F2293" s="4" t="s">
        <v>25</v>
      </c>
      <c r="G2293" s="4" t="s">
        <v>25</v>
      </c>
      <c r="H2293" s="4" t="s">
        <v>25</v>
      </c>
      <c r="I2293" s="5">
        <v>44166</v>
      </c>
      <c r="J2293" s="6">
        <v>0</v>
      </c>
      <c r="K2293" s="6">
        <v>0</v>
      </c>
      <c r="L2293" s="6">
        <v>-123.036</v>
      </c>
      <c r="M2293" s="6">
        <v>-123.036</v>
      </c>
      <c r="N2293" s="6">
        <v>-123.036</v>
      </c>
      <c r="O2293" s="6">
        <v>-123.036</v>
      </c>
      <c r="P2293" s="6">
        <v>0</v>
      </c>
      <c r="Q2293" s="4" t="s">
        <v>26</v>
      </c>
      <c r="R2293" s="4">
        <v>0</v>
      </c>
      <c r="S2293" s="6">
        <v>0</v>
      </c>
      <c r="T2293" s="6">
        <v>72</v>
      </c>
      <c r="U2293" s="6">
        <v>78</v>
      </c>
      <c r="V2293" s="6">
        <f>IF(ISERROR(VLOOKUP($S$2293,'TAR FIN'!$A$1:$O$95,15,0)),0,VLOOKUP($S$2293,'TAR FIN'!$A$1:$O$95,15,0))</f>
        <v>0</v>
      </c>
      <c r="W2293" s="6">
        <f>IF(ISERROR(VLOOKUP($T$2293,'TAR FIN'!$A$1:$O$95,15,0)),0,VLOOKUP($T$2293,'TAR FIN'!$A$1:$O$95,15,0))</f>
        <v>450.19</v>
      </c>
      <c r="X2293" s="6">
        <f>IF(ISERROR(VLOOKUP($U$2293,'TAR FIN'!$A$1:$O$95,15,0)),0,VLOOKUP($U$2293,'TAR FIN'!$A$1:$O$95,15,0))</f>
        <v>243.3</v>
      </c>
      <c r="Y2293" s="6"/>
      <c r="Z2293" s="6">
        <f ca="1">('TUSD BE'!$AM$53+'TUSD BF'!$AM$53+'TUSD CVA'!$AM$53)*1</f>
        <v>506.5198438752322</v>
      </c>
      <c r="AA2293" s="6">
        <f>('TE BE'!$AA$41+'TE BF'!$AA$41+'TE CVA'!$AA$41)*1</f>
        <v>297.20166373463735</v>
      </c>
      <c r="AB2293" s="6">
        <f>$K$2293*$V$2293</f>
        <v>0</v>
      </c>
      <c r="AC2293" s="6">
        <f>$M$2293*$W$2293</f>
        <v>-55389.576840000002</v>
      </c>
      <c r="AD2293" s="6">
        <f>$O$2293*$X$2293</f>
        <v>-29934.658800000001</v>
      </c>
      <c r="AE2293" s="6">
        <f>$K$2293*$Y$2293</f>
        <v>0</v>
      </c>
      <c r="AF2293" s="6">
        <f ca="1">$M$2293*$Z$2293</f>
        <v>-62320.175511033071</v>
      </c>
      <c r="AG2293" s="6">
        <f>$O$2293*$AA$2293</f>
        <v>-36566.503899254843</v>
      </c>
    </row>
    <row r="2294" spans="1:33" ht="11.25" customHeight="1" x14ac:dyDescent="0.25">
      <c r="A2294" s="4" t="s">
        <v>30</v>
      </c>
      <c r="B2294" s="4" t="s">
        <v>41</v>
      </c>
      <c r="C2294" s="4" t="s">
        <v>23</v>
      </c>
      <c r="D2294" s="4" t="s">
        <v>45</v>
      </c>
      <c r="E2294" s="4" t="s">
        <v>25</v>
      </c>
      <c r="F2294" s="4" t="s">
        <v>25</v>
      </c>
      <c r="G2294" s="4" t="s">
        <v>25</v>
      </c>
      <c r="H2294" s="4" t="s">
        <v>25</v>
      </c>
      <c r="I2294" s="5">
        <v>44166</v>
      </c>
      <c r="J2294" s="6">
        <v>0</v>
      </c>
      <c r="K2294" s="6">
        <v>0</v>
      </c>
      <c r="L2294" s="6">
        <v>756.95600000000002</v>
      </c>
      <c r="M2294" s="6">
        <v>756.95600000000002</v>
      </c>
      <c r="N2294" s="6">
        <v>756.95600000000002</v>
      </c>
      <c r="O2294" s="6">
        <v>756.95600000000002</v>
      </c>
      <c r="P2294" s="6">
        <v>282</v>
      </c>
      <c r="Q2294" s="4" t="s">
        <v>26</v>
      </c>
      <c r="R2294" s="4">
        <v>0</v>
      </c>
      <c r="S2294" s="6">
        <v>0</v>
      </c>
      <c r="T2294" s="6">
        <v>72</v>
      </c>
      <c r="U2294" s="6">
        <v>78</v>
      </c>
      <c r="V2294" s="6">
        <f>IF(ISERROR(VLOOKUP($S$2294,'TAR FIN'!$A$1:$O$95,15,0)),0,VLOOKUP($S$2294,'TAR FIN'!$A$1:$O$95,15,0))</f>
        <v>0</v>
      </c>
      <c r="W2294" s="6">
        <f>IF(ISERROR(VLOOKUP($T$2294,'TAR FIN'!$A$1:$O$95,15,0)),0,VLOOKUP($T$2294,'TAR FIN'!$A$1:$O$95,15,0))</f>
        <v>450.19</v>
      </c>
      <c r="X2294" s="6">
        <f>IF(ISERROR(VLOOKUP($U$2294,'TAR FIN'!$A$1:$O$95,15,0)),0,VLOOKUP($U$2294,'TAR FIN'!$A$1:$O$95,15,0))</f>
        <v>243.3</v>
      </c>
      <c r="Y2294" s="6"/>
      <c r="Z2294" s="6">
        <f ca="1">('TUSD BE'!$AM$53+'TUSD BF'!$AM$53+'TUSD CVA'!$AM$53)*1</f>
        <v>506.5198438752322</v>
      </c>
      <c r="AA2294" s="6">
        <f>('TE BE'!$AA$41+'TE BF'!$AA$41+'TE CVA'!$AA$41)*1</f>
        <v>297.20166373463735</v>
      </c>
      <c r="AB2294" s="6">
        <f>$K$2294*$V$2294</f>
        <v>0</v>
      </c>
      <c r="AC2294" s="6">
        <f>$M$2294*$W$2294</f>
        <v>340774.02163999999</v>
      </c>
      <c r="AD2294" s="6">
        <f>$O$2294*$X$2294</f>
        <v>184167.39480000001</v>
      </c>
      <c r="AE2294" s="6">
        <f>$K$2294*$Y$2294</f>
        <v>0</v>
      </c>
      <c r="AF2294" s="6">
        <f ca="1">$M$2294*$Z$2294</f>
        <v>383413.23494042025</v>
      </c>
      <c r="AG2294" s="6">
        <f>$O$2294*$AA$2294</f>
        <v>224968.58257391615</v>
      </c>
    </row>
    <row r="2295" spans="1:33" ht="11.25" customHeight="1" x14ac:dyDescent="0.25">
      <c r="A2295" s="4" t="s">
        <v>30</v>
      </c>
      <c r="B2295" s="4" t="s">
        <v>41</v>
      </c>
      <c r="C2295" s="4" t="s">
        <v>23</v>
      </c>
      <c r="D2295" s="4" t="s">
        <v>45</v>
      </c>
      <c r="E2295" s="4" t="s">
        <v>25</v>
      </c>
      <c r="F2295" s="4" t="s">
        <v>25</v>
      </c>
      <c r="G2295" s="4" t="s">
        <v>25</v>
      </c>
      <c r="H2295" s="4" t="s">
        <v>25</v>
      </c>
      <c r="I2295" s="5">
        <v>44166</v>
      </c>
      <c r="J2295" s="6">
        <v>0</v>
      </c>
      <c r="K2295" s="6">
        <v>0</v>
      </c>
      <c r="L2295" s="6">
        <v>1.9990000000000001</v>
      </c>
      <c r="M2295" s="6">
        <v>1.9990000000000001</v>
      </c>
      <c r="N2295" s="6">
        <v>1.9990000000000001</v>
      </c>
      <c r="O2295" s="6">
        <v>1.9990000000000001</v>
      </c>
      <c r="P2295" s="6">
        <v>0</v>
      </c>
      <c r="Q2295" s="4" t="s">
        <v>26</v>
      </c>
      <c r="R2295" s="4">
        <v>0</v>
      </c>
      <c r="S2295" s="6">
        <v>0</v>
      </c>
      <c r="T2295" s="6">
        <v>72</v>
      </c>
      <c r="U2295" s="6">
        <v>78</v>
      </c>
      <c r="V2295" s="6">
        <f>IF(ISERROR(VLOOKUP($S$2295,'TAR FIN'!$A$1:$O$95,15,0)),0,VLOOKUP($S$2295,'TAR FIN'!$A$1:$O$95,15,0))</f>
        <v>0</v>
      </c>
      <c r="W2295" s="6">
        <f>IF(ISERROR(VLOOKUP($T$2295,'TAR FIN'!$A$1:$O$95,15,0)),0,VLOOKUP($T$2295,'TAR FIN'!$A$1:$O$95,15,0))</f>
        <v>450.19</v>
      </c>
      <c r="X2295" s="6">
        <f>IF(ISERROR(VLOOKUP($U$2295,'TAR FIN'!$A$1:$O$95,15,0)),0,VLOOKUP($U$2295,'TAR FIN'!$A$1:$O$95,15,0))</f>
        <v>243.3</v>
      </c>
      <c r="Y2295" s="6"/>
      <c r="Z2295" s="6">
        <f ca="1">('TUSD BE'!$AM$53+'TUSD BF'!$AM$53+'TUSD CVA'!$AM$53)*1</f>
        <v>506.5198438752322</v>
      </c>
      <c r="AA2295" s="6">
        <f>('TE BE'!$AA$41+'TE BF'!$AA$41+'TE CVA'!$AA$41)*1</f>
        <v>297.20166373463735</v>
      </c>
      <c r="AB2295" s="6">
        <f>$K$2295*$V$2295</f>
        <v>0</v>
      </c>
      <c r="AC2295" s="6">
        <f>$M$2295*$W$2295</f>
        <v>899.92981000000009</v>
      </c>
      <c r="AD2295" s="6">
        <f>$O$2295*$X$2295</f>
        <v>486.35670000000005</v>
      </c>
      <c r="AE2295" s="6">
        <f>$K$2295*$Y$2295</f>
        <v>0</v>
      </c>
      <c r="AF2295" s="6">
        <f ca="1">$M$2295*$Z$2295</f>
        <v>1012.5331679065893</v>
      </c>
      <c r="AG2295" s="6">
        <f>$O$2295*$AA$2295</f>
        <v>594.10612580554005</v>
      </c>
    </row>
    <row r="2296" spans="1:33" ht="11.25" customHeight="1" x14ac:dyDescent="0.25">
      <c r="A2296" s="4" t="s">
        <v>21</v>
      </c>
      <c r="B2296" s="4" t="s">
        <v>41</v>
      </c>
      <c r="C2296" s="4" t="s">
        <v>23</v>
      </c>
      <c r="D2296" s="4" t="s">
        <v>45</v>
      </c>
      <c r="E2296" s="4" t="s">
        <v>25</v>
      </c>
      <c r="F2296" s="4" t="s">
        <v>25</v>
      </c>
      <c r="G2296" s="4" t="s">
        <v>25</v>
      </c>
      <c r="H2296" s="4" t="s">
        <v>25</v>
      </c>
      <c r="I2296" s="5">
        <v>44197</v>
      </c>
      <c r="J2296" s="6">
        <v>0</v>
      </c>
      <c r="K2296" s="6">
        <v>0</v>
      </c>
      <c r="L2296" s="6">
        <v>33735.730000000003</v>
      </c>
      <c r="M2296" s="6">
        <v>33735.730000000003</v>
      </c>
      <c r="N2296" s="6">
        <v>33735.730000000003</v>
      </c>
      <c r="O2296" s="6">
        <v>33735.730000000003</v>
      </c>
      <c r="P2296" s="6">
        <v>53970</v>
      </c>
      <c r="Q2296" s="4" t="s">
        <v>26</v>
      </c>
      <c r="R2296" s="4">
        <v>0</v>
      </c>
      <c r="S2296" s="6">
        <v>0</v>
      </c>
      <c r="T2296" s="6">
        <v>72</v>
      </c>
      <c r="U2296" s="6">
        <v>78</v>
      </c>
      <c r="V2296" s="6">
        <f>IF(ISERROR(VLOOKUP($S$2296,'TAR FIN'!$A$1:$O$95,15,0)),0,VLOOKUP($S$2296,'TAR FIN'!$A$1:$O$95,15,0))</f>
        <v>0</v>
      </c>
      <c r="W2296" s="6">
        <f>IF(ISERROR(VLOOKUP($T$2296,'TAR FIN'!$A$1:$O$95,15,0)),0,VLOOKUP($T$2296,'TAR FIN'!$A$1:$O$95,15,0))</f>
        <v>450.19</v>
      </c>
      <c r="X2296" s="6">
        <f>IF(ISERROR(VLOOKUP($U$2296,'TAR FIN'!$A$1:$O$95,15,0)),0,VLOOKUP($U$2296,'TAR FIN'!$A$1:$O$95,15,0))</f>
        <v>243.3</v>
      </c>
      <c r="Y2296" s="6"/>
      <c r="Z2296" s="6">
        <f ca="1">('TUSD BE'!$AM$53+'TUSD BF'!$AM$53+'TUSD CVA'!$AM$53)*1</f>
        <v>506.5198438752322</v>
      </c>
      <c r="AA2296" s="6">
        <f>('TE BE'!$AA$41+'TE BF'!$AA$41+'TE CVA'!$AA$41)*1</f>
        <v>297.20166373463735</v>
      </c>
      <c r="AB2296" s="6">
        <f>$K$2296*$V$2296</f>
        <v>0</v>
      </c>
      <c r="AC2296" s="6">
        <f>$M$2296*$W$2296</f>
        <v>15187488.288700001</v>
      </c>
      <c r="AD2296" s="6">
        <f>$O$2296*$X$2296</f>
        <v>8207903.1090000011</v>
      </c>
      <c r="AE2296" s="6">
        <f>$K$2296*$Y$2296</f>
        <v>0</v>
      </c>
      <c r="AF2296" s="6">
        <f ca="1">$M$2296*$Z$2296</f>
        <v>17087816.692616988</v>
      </c>
      <c r="AG2296" s="6">
        <f>$O$2296*$AA$2296</f>
        <v>10026315.083302518</v>
      </c>
    </row>
    <row r="2297" spans="1:33" ht="11.25" customHeight="1" x14ac:dyDescent="0.25">
      <c r="A2297" s="4" t="s">
        <v>27</v>
      </c>
      <c r="B2297" s="4" t="s">
        <v>41</v>
      </c>
      <c r="C2297" s="4" t="s">
        <v>23</v>
      </c>
      <c r="D2297" s="4" t="s">
        <v>45</v>
      </c>
      <c r="E2297" s="4" t="s">
        <v>25</v>
      </c>
      <c r="F2297" s="4" t="s">
        <v>25</v>
      </c>
      <c r="G2297" s="4" t="s">
        <v>25</v>
      </c>
      <c r="H2297" s="4" t="s">
        <v>25</v>
      </c>
      <c r="I2297" s="5">
        <v>44197</v>
      </c>
      <c r="J2297" s="6">
        <v>0</v>
      </c>
      <c r="K2297" s="6">
        <v>0</v>
      </c>
      <c r="L2297" s="6">
        <v>-1044.953</v>
      </c>
      <c r="M2297" s="6">
        <v>-1044.953</v>
      </c>
      <c r="N2297" s="6">
        <v>-1044.953</v>
      </c>
      <c r="O2297" s="6">
        <v>-1044.953</v>
      </c>
      <c r="P2297" s="6">
        <v>0</v>
      </c>
      <c r="Q2297" s="4" t="s">
        <v>26</v>
      </c>
      <c r="R2297" s="4">
        <v>0</v>
      </c>
      <c r="S2297" s="6">
        <v>0</v>
      </c>
      <c r="T2297" s="6">
        <v>72</v>
      </c>
      <c r="U2297" s="6">
        <v>78</v>
      </c>
      <c r="V2297" s="6">
        <f>IF(ISERROR(VLOOKUP($S$2297,'TAR FIN'!$A$1:$O$95,15,0)),0,VLOOKUP($S$2297,'TAR FIN'!$A$1:$O$95,15,0))</f>
        <v>0</v>
      </c>
      <c r="W2297" s="6">
        <f>IF(ISERROR(VLOOKUP($T$2297,'TAR FIN'!$A$1:$O$95,15,0)),0,VLOOKUP($T$2297,'TAR FIN'!$A$1:$O$95,15,0))</f>
        <v>450.19</v>
      </c>
      <c r="X2297" s="6">
        <f>IF(ISERROR(VLOOKUP($U$2297,'TAR FIN'!$A$1:$O$95,15,0)),0,VLOOKUP($U$2297,'TAR FIN'!$A$1:$O$95,15,0))</f>
        <v>243.3</v>
      </c>
      <c r="Y2297" s="6"/>
      <c r="Z2297" s="6">
        <f ca="1">('TUSD BE'!$AM$53+'TUSD BF'!$AM$53+'TUSD CVA'!$AM$53)*1</f>
        <v>506.5198438752322</v>
      </c>
      <c r="AA2297" s="6">
        <f>('TE BE'!$AA$41+'TE BF'!$AA$41+'TE CVA'!$AA$41)*1</f>
        <v>297.20166373463735</v>
      </c>
      <c r="AB2297" s="6">
        <f>$K$2297*$V$2297</f>
        <v>0</v>
      </c>
      <c r="AC2297" s="6">
        <f>$M$2297*$W$2297</f>
        <v>-470427.39107000001</v>
      </c>
      <c r="AD2297" s="6">
        <f>$O$2297*$X$2297</f>
        <v>-254237.0649</v>
      </c>
      <c r="AE2297" s="6">
        <f>$K$2297*$Y$2297</f>
        <v>0</v>
      </c>
      <c r="AF2297" s="6">
        <f ca="1">$M$2297*$Z$2297</f>
        <v>-529289.4304169555</v>
      </c>
      <c r="AG2297" s="6">
        <f>$O$2297*$AA$2297</f>
        <v>-310561.7701245005</v>
      </c>
    </row>
    <row r="2298" spans="1:33" ht="11.25" customHeight="1" x14ac:dyDescent="0.25">
      <c r="A2298" s="4" t="s">
        <v>28</v>
      </c>
      <c r="B2298" s="4" t="s">
        <v>41</v>
      </c>
      <c r="C2298" s="4" t="s">
        <v>23</v>
      </c>
      <c r="D2298" s="4" t="s">
        <v>45</v>
      </c>
      <c r="E2298" s="4" t="s">
        <v>25</v>
      </c>
      <c r="F2298" s="4" t="s">
        <v>25</v>
      </c>
      <c r="G2298" s="4" t="s">
        <v>25</v>
      </c>
      <c r="H2298" s="4" t="s">
        <v>25</v>
      </c>
      <c r="I2298" s="5">
        <v>44197</v>
      </c>
      <c r="J2298" s="6">
        <v>0</v>
      </c>
      <c r="K2298" s="6">
        <v>0</v>
      </c>
      <c r="L2298" s="6">
        <v>11031.147999999999</v>
      </c>
      <c r="M2298" s="6">
        <v>11031.147999999999</v>
      </c>
      <c r="N2298" s="6">
        <v>11031.147999999999</v>
      </c>
      <c r="O2298" s="6">
        <v>11031.147999999999</v>
      </c>
      <c r="P2298" s="6">
        <v>24981</v>
      </c>
      <c r="Q2298" s="4" t="s">
        <v>26</v>
      </c>
      <c r="R2298" s="4">
        <v>0</v>
      </c>
      <c r="S2298" s="6">
        <v>0</v>
      </c>
      <c r="T2298" s="6">
        <v>72</v>
      </c>
      <c r="U2298" s="6">
        <v>78</v>
      </c>
      <c r="V2298" s="6">
        <f>IF(ISERROR(VLOOKUP($S$2298,'TAR FIN'!$A$1:$O$95,15,0)),0,VLOOKUP($S$2298,'TAR FIN'!$A$1:$O$95,15,0))</f>
        <v>0</v>
      </c>
      <c r="W2298" s="6">
        <f>IF(ISERROR(VLOOKUP($T$2298,'TAR FIN'!$A$1:$O$95,15,0)),0,VLOOKUP($T$2298,'TAR FIN'!$A$1:$O$95,15,0))</f>
        <v>450.19</v>
      </c>
      <c r="X2298" s="6">
        <f>IF(ISERROR(VLOOKUP($U$2298,'TAR FIN'!$A$1:$O$95,15,0)),0,VLOOKUP($U$2298,'TAR FIN'!$A$1:$O$95,15,0))</f>
        <v>243.3</v>
      </c>
      <c r="Y2298" s="6"/>
      <c r="Z2298" s="6">
        <f ca="1">('TUSD BE'!$AM$53+'TUSD BF'!$AM$53+'TUSD CVA'!$AM$53)*1</f>
        <v>506.5198438752322</v>
      </c>
      <c r="AA2298" s="6">
        <f>('TE BE'!$AA$41+'TE BF'!$AA$41+'TE CVA'!$AA$41)*1</f>
        <v>297.20166373463735</v>
      </c>
      <c r="AB2298" s="6">
        <f>$K$2298*$V$2298</f>
        <v>0</v>
      </c>
      <c r="AC2298" s="6">
        <f>$M$2298*$W$2298</f>
        <v>4966112.5181199992</v>
      </c>
      <c r="AD2298" s="6">
        <f>$O$2298*$X$2298</f>
        <v>2683878.3084</v>
      </c>
      <c r="AE2298" s="6">
        <f>$K$2298*$Y$2298</f>
        <v>0</v>
      </c>
      <c r="AF2298" s="6">
        <f ca="1">$M$2298*$Z$2298</f>
        <v>5587495.3627245799</v>
      </c>
      <c r="AG2298" s="6">
        <f>$O$2298*$AA$2298</f>
        <v>3278475.5385030173</v>
      </c>
    </row>
    <row r="2299" spans="1:33" ht="11.25" customHeight="1" x14ac:dyDescent="0.25">
      <c r="A2299" s="4" t="s">
        <v>29</v>
      </c>
      <c r="B2299" s="4" t="s">
        <v>41</v>
      </c>
      <c r="C2299" s="4" t="s">
        <v>23</v>
      </c>
      <c r="D2299" s="4" t="s">
        <v>45</v>
      </c>
      <c r="E2299" s="4" t="s">
        <v>25</v>
      </c>
      <c r="F2299" s="4" t="s">
        <v>25</v>
      </c>
      <c r="G2299" s="4" t="s">
        <v>25</v>
      </c>
      <c r="H2299" s="4" t="s">
        <v>25</v>
      </c>
      <c r="I2299" s="5">
        <v>44197</v>
      </c>
      <c r="J2299" s="6">
        <v>0</v>
      </c>
      <c r="K2299" s="6">
        <v>0</v>
      </c>
      <c r="L2299" s="6">
        <v>-70.558999999999997</v>
      </c>
      <c r="M2299" s="6">
        <v>-70.558999999999997</v>
      </c>
      <c r="N2299" s="6">
        <v>-70.558999999999997</v>
      </c>
      <c r="O2299" s="6">
        <v>-70.558999999999997</v>
      </c>
      <c r="P2299" s="6">
        <v>0</v>
      </c>
      <c r="Q2299" s="4" t="s">
        <v>26</v>
      </c>
      <c r="R2299" s="4">
        <v>0</v>
      </c>
      <c r="S2299" s="6">
        <v>0</v>
      </c>
      <c r="T2299" s="6">
        <v>72</v>
      </c>
      <c r="U2299" s="6">
        <v>78</v>
      </c>
      <c r="V2299" s="6">
        <f>IF(ISERROR(VLOOKUP($S$2299,'TAR FIN'!$A$1:$O$95,15,0)),0,VLOOKUP($S$2299,'TAR FIN'!$A$1:$O$95,15,0))</f>
        <v>0</v>
      </c>
      <c r="W2299" s="6">
        <f>IF(ISERROR(VLOOKUP($T$2299,'TAR FIN'!$A$1:$O$95,15,0)),0,VLOOKUP($T$2299,'TAR FIN'!$A$1:$O$95,15,0))</f>
        <v>450.19</v>
      </c>
      <c r="X2299" s="6">
        <f>IF(ISERROR(VLOOKUP($U$2299,'TAR FIN'!$A$1:$O$95,15,0)),0,VLOOKUP($U$2299,'TAR FIN'!$A$1:$O$95,15,0))</f>
        <v>243.3</v>
      </c>
      <c r="Y2299" s="6"/>
      <c r="Z2299" s="6">
        <f ca="1">('TUSD BE'!$AM$53+'TUSD BF'!$AM$53+'TUSD CVA'!$AM$53)*1</f>
        <v>506.5198438752322</v>
      </c>
      <c r="AA2299" s="6">
        <f>('TE BE'!$AA$41+'TE BF'!$AA$41+'TE CVA'!$AA$41)*1</f>
        <v>297.20166373463735</v>
      </c>
      <c r="AB2299" s="6">
        <f>$K$2299*$V$2299</f>
        <v>0</v>
      </c>
      <c r="AC2299" s="6">
        <f>$M$2299*$W$2299</f>
        <v>-31764.95621</v>
      </c>
      <c r="AD2299" s="6">
        <f>$O$2299*$X$2299</f>
        <v>-17167.004700000001</v>
      </c>
      <c r="AE2299" s="6">
        <f>$K$2299*$Y$2299</f>
        <v>0</v>
      </c>
      <c r="AF2299" s="6">
        <f ca="1">$M$2299*$Z$2299</f>
        <v>-35739.533663992508</v>
      </c>
      <c r="AG2299" s="6">
        <f>$O$2299*$AA$2299</f>
        <v>-20970.252191452277</v>
      </c>
    </row>
    <row r="2300" spans="1:33" ht="11.25" customHeight="1" x14ac:dyDescent="0.25">
      <c r="A2300" s="4" t="s">
        <v>30</v>
      </c>
      <c r="B2300" s="4" t="s">
        <v>41</v>
      </c>
      <c r="C2300" s="4" t="s">
        <v>23</v>
      </c>
      <c r="D2300" s="4" t="s">
        <v>45</v>
      </c>
      <c r="E2300" s="4" t="s">
        <v>25</v>
      </c>
      <c r="F2300" s="4" t="s">
        <v>25</v>
      </c>
      <c r="G2300" s="4" t="s">
        <v>25</v>
      </c>
      <c r="H2300" s="4" t="s">
        <v>25</v>
      </c>
      <c r="I2300" s="5">
        <v>44197</v>
      </c>
      <c r="J2300" s="6">
        <v>0</v>
      </c>
      <c r="K2300" s="6">
        <v>0</v>
      </c>
      <c r="L2300" s="6">
        <v>694.69200000000001</v>
      </c>
      <c r="M2300" s="6">
        <v>694.69200000000001</v>
      </c>
      <c r="N2300" s="6">
        <v>694.69200000000001</v>
      </c>
      <c r="O2300" s="6">
        <v>694.69200000000001</v>
      </c>
      <c r="P2300" s="6">
        <v>302</v>
      </c>
      <c r="Q2300" s="4" t="s">
        <v>26</v>
      </c>
      <c r="R2300" s="4">
        <v>0</v>
      </c>
      <c r="S2300" s="6">
        <v>0</v>
      </c>
      <c r="T2300" s="6">
        <v>72</v>
      </c>
      <c r="U2300" s="6">
        <v>78</v>
      </c>
      <c r="V2300" s="6">
        <f>IF(ISERROR(VLOOKUP($S$2300,'TAR FIN'!$A$1:$O$95,15,0)),0,VLOOKUP($S$2300,'TAR FIN'!$A$1:$O$95,15,0))</f>
        <v>0</v>
      </c>
      <c r="W2300" s="6">
        <f>IF(ISERROR(VLOOKUP($T$2300,'TAR FIN'!$A$1:$O$95,15,0)),0,VLOOKUP($T$2300,'TAR FIN'!$A$1:$O$95,15,0))</f>
        <v>450.19</v>
      </c>
      <c r="X2300" s="6">
        <f>IF(ISERROR(VLOOKUP($U$2300,'TAR FIN'!$A$1:$O$95,15,0)),0,VLOOKUP($U$2300,'TAR FIN'!$A$1:$O$95,15,0))</f>
        <v>243.3</v>
      </c>
      <c r="Y2300" s="6"/>
      <c r="Z2300" s="6">
        <f ca="1">('TUSD BE'!$AM$53+'TUSD BF'!$AM$53+'TUSD CVA'!$AM$53)*1</f>
        <v>506.5198438752322</v>
      </c>
      <c r="AA2300" s="6">
        <f>('TE BE'!$AA$41+'TE BF'!$AA$41+'TE CVA'!$AA$41)*1</f>
        <v>297.20166373463735</v>
      </c>
      <c r="AB2300" s="6">
        <f>$K$2300*$V$2300</f>
        <v>0</v>
      </c>
      <c r="AC2300" s="6">
        <f>$M$2300*$W$2300</f>
        <v>312743.39147999999</v>
      </c>
      <c r="AD2300" s="6">
        <f>$O$2300*$X$2300</f>
        <v>169018.56360000002</v>
      </c>
      <c r="AE2300" s="6">
        <f>$K$2300*$Y$2300</f>
        <v>0</v>
      </c>
      <c r="AF2300" s="6">
        <f ca="1">$M$2300*$Z$2300</f>
        <v>351875.28338137281</v>
      </c>
      <c r="AG2300" s="6">
        <f>$O$2300*$AA$2300</f>
        <v>206463.61818314268</v>
      </c>
    </row>
    <row r="2301" spans="1:33" ht="11.25" customHeight="1" x14ac:dyDescent="0.25">
      <c r="A2301" s="4" t="s">
        <v>30</v>
      </c>
      <c r="B2301" s="4" t="s">
        <v>41</v>
      </c>
      <c r="C2301" s="4" t="s">
        <v>23</v>
      </c>
      <c r="D2301" s="4" t="s">
        <v>45</v>
      </c>
      <c r="E2301" s="4" t="s">
        <v>25</v>
      </c>
      <c r="F2301" s="4" t="s">
        <v>25</v>
      </c>
      <c r="G2301" s="4" t="s">
        <v>25</v>
      </c>
      <c r="H2301" s="4" t="s">
        <v>25</v>
      </c>
      <c r="I2301" s="5">
        <v>44197</v>
      </c>
      <c r="J2301" s="6">
        <v>0</v>
      </c>
      <c r="K2301" s="6">
        <v>0</v>
      </c>
      <c r="L2301" s="6">
        <v>-1.6970000000000001</v>
      </c>
      <c r="M2301" s="6">
        <v>-1.6970000000000001</v>
      </c>
      <c r="N2301" s="6">
        <v>-1.6970000000000001</v>
      </c>
      <c r="O2301" s="6">
        <v>-1.6970000000000001</v>
      </c>
      <c r="P2301" s="6">
        <v>0</v>
      </c>
      <c r="Q2301" s="4" t="s">
        <v>26</v>
      </c>
      <c r="R2301" s="4">
        <v>0</v>
      </c>
      <c r="S2301" s="6">
        <v>0</v>
      </c>
      <c r="T2301" s="6">
        <v>72</v>
      </c>
      <c r="U2301" s="6">
        <v>78</v>
      </c>
      <c r="V2301" s="6">
        <f>IF(ISERROR(VLOOKUP($S$2301,'TAR FIN'!$A$1:$O$95,15,0)),0,VLOOKUP($S$2301,'TAR FIN'!$A$1:$O$95,15,0))</f>
        <v>0</v>
      </c>
      <c r="W2301" s="6">
        <f>IF(ISERROR(VLOOKUP($T$2301,'TAR FIN'!$A$1:$O$95,15,0)),0,VLOOKUP($T$2301,'TAR FIN'!$A$1:$O$95,15,0))</f>
        <v>450.19</v>
      </c>
      <c r="X2301" s="6">
        <f>IF(ISERROR(VLOOKUP($U$2301,'TAR FIN'!$A$1:$O$95,15,0)),0,VLOOKUP($U$2301,'TAR FIN'!$A$1:$O$95,15,0))</f>
        <v>243.3</v>
      </c>
      <c r="Y2301" s="6"/>
      <c r="Z2301" s="6">
        <f ca="1">('TUSD BE'!$AM$53+'TUSD BF'!$AM$53+'TUSD CVA'!$AM$53)*1</f>
        <v>506.5198438752322</v>
      </c>
      <c r="AA2301" s="6">
        <f>('TE BE'!$AA$41+'TE BF'!$AA$41+'TE CVA'!$AA$41)*1</f>
        <v>297.20166373463735</v>
      </c>
      <c r="AB2301" s="6">
        <f>$K$2301*$V$2301</f>
        <v>0</v>
      </c>
      <c r="AC2301" s="6">
        <f>$M$2301*$W$2301</f>
        <v>-763.97243000000003</v>
      </c>
      <c r="AD2301" s="6">
        <f>$O$2301*$X$2301</f>
        <v>-412.88010000000003</v>
      </c>
      <c r="AE2301" s="6">
        <f>$K$2301*$Y$2301</f>
        <v>0</v>
      </c>
      <c r="AF2301" s="6">
        <f ca="1">$M$2301*$Z$2301</f>
        <v>-859.56417505626905</v>
      </c>
      <c r="AG2301" s="6">
        <f>$O$2301*$AA$2301</f>
        <v>-504.3512233576796</v>
      </c>
    </row>
    <row r="2302" spans="1:33" ht="11.25" customHeight="1" x14ac:dyDescent="0.25">
      <c r="A2302" s="4" t="s">
        <v>21</v>
      </c>
      <c r="B2302" s="4" t="s">
        <v>41</v>
      </c>
      <c r="C2302" s="4" t="s">
        <v>23</v>
      </c>
      <c r="D2302" s="4" t="s">
        <v>45</v>
      </c>
      <c r="E2302" s="4" t="s">
        <v>25</v>
      </c>
      <c r="F2302" s="4" t="s">
        <v>25</v>
      </c>
      <c r="G2302" s="4" t="s">
        <v>25</v>
      </c>
      <c r="H2302" s="4" t="s">
        <v>25</v>
      </c>
      <c r="I2302" s="5">
        <v>44228</v>
      </c>
      <c r="J2302" s="6">
        <v>0</v>
      </c>
      <c r="K2302" s="6">
        <v>0</v>
      </c>
      <c r="L2302" s="6">
        <v>27326.363000000001</v>
      </c>
      <c r="M2302" s="6">
        <v>27326.363000000001</v>
      </c>
      <c r="N2302" s="6">
        <v>27326.363000000001</v>
      </c>
      <c r="O2302" s="6">
        <v>27326.363000000001</v>
      </c>
      <c r="P2302" s="6">
        <v>53924</v>
      </c>
      <c r="Q2302" s="4" t="s">
        <v>26</v>
      </c>
      <c r="R2302" s="4">
        <v>0</v>
      </c>
      <c r="S2302" s="6">
        <v>0</v>
      </c>
      <c r="T2302" s="6">
        <v>72</v>
      </c>
      <c r="U2302" s="6">
        <v>78</v>
      </c>
      <c r="V2302" s="6">
        <f>IF(ISERROR(VLOOKUP($S$2302,'TAR FIN'!$A$1:$O$95,15,0)),0,VLOOKUP($S$2302,'TAR FIN'!$A$1:$O$95,15,0))</f>
        <v>0</v>
      </c>
      <c r="W2302" s="6">
        <f>IF(ISERROR(VLOOKUP($T$2302,'TAR FIN'!$A$1:$O$95,15,0)),0,VLOOKUP($T$2302,'TAR FIN'!$A$1:$O$95,15,0))</f>
        <v>450.19</v>
      </c>
      <c r="X2302" s="6">
        <f>IF(ISERROR(VLOOKUP($U$2302,'TAR FIN'!$A$1:$O$95,15,0)),0,VLOOKUP($U$2302,'TAR FIN'!$A$1:$O$95,15,0))</f>
        <v>243.3</v>
      </c>
      <c r="Y2302" s="6"/>
      <c r="Z2302" s="6">
        <f ca="1">('TUSD BE'!$AM$53+'TUSD BF'!$AM$53+'TUSD CVA'!$AM$53)*1</f>
        <v>506.5198438752322</v>
      </c>
      <c r="AA2302" s="6">
        <f>('TE BE'!$AA$41+'TE BF'!$AA$41+'TE CVA'!$AA$41)*1</f>
        <v>297.20166373463735</v>
      </c>
      <c r="AB2302" s="6">
        <f>$K$2302*$V$2302</f>
        <v>0</v>
      </c>
      <c r="AC2302" s="6">
        <f>$M$2302*$W$2302</f>
        <v>12302055.358970001</v>
      </c>
      <c r="AD2302" s="6">
        <f>$O$2302*$X$2302</f>
        <v>6648504.1179000009</v>
      </c>
      <c r="AE2302" s="6">
        <f>$K$2302*$Y$2302</f>
        <v>0</v>
      </c>
      <c r="AF2302" s="6">
        <f ca="1">$M$2302*$Z$2302</f>
        <v>13841345.120437922</v>
      </c>
      <c r="AG2302" s="6">
        <f>$O$2302*$AA$2302</f>
        <v>8121440.5474166358</v>
      </c>
    </row>
    <row r="2303" spans="1:33" ht="11.25" customHeight="1" x14ac:dyDescent="0.25">
      <c r="A2303" s="4" t="s">
        <v>27</v>
      </c>
      <c r="B2303" s="4" t="s">
        <v>41</v>
      </c>
      <c r="C2303" s="4" t="s">
        <v>23</v>
      </c>
      <c r="D2303" s="4" t="s">
        <v>45</v>
      </c>
      <c r="E2303" s="4" t="s">
        <v>25</v>
      </c>
      <c r="F2303" s="4" t="s">
        <v>25</v>
      </c>
      <c r="G2303" s="4" t="s">
        <v>25</v>
      </c>
      <c r="H2303" s="4" t="s">
        <v>25</v>
      </c>
      <c r="I2303" s="5">
        <v>44228</v>
      </c>
      <c r="J2303" s="6">
        <v>0</v>
      </c>
      <c r="K2303" s="6">
        <v>0</v>
      </c>
      <c r="L2303" s="6">
        <v>-1482.4949999999999</v>
      </c>
      <c r="M2303" s="6">
        <v>-1482.4949999999999</v>
      </c>
      <c r="N2303" s="6">
        <v>-1482.4949999999999</v>
      </c>
      <c r="O2303" s="6">
        <v>-1482.4949999999999</v>
      </c>
      <c r="P2303" s="6">
        <v>0</v>
      </c>
      <c r="Q2303" s="4" t="s">
        <v>26</v>
      </c>
      <c r="R2303" s="4">
        <v>0</v>
      </c>
      <c r="S2303" s="6">
        <v>0</v>
      </c>
      <c r="T2303" s="6">
        <v>72</v>
      </c>
      <c r="U2303" s="6">
        <v>78</v>
      </c>
      <c r="V2303" s="6">
        <f>IF(ISERROR(VLOOKUP($S$2303,'TAR FIN'!$A$1:$O$95,15,0)),0,VLOOKUP($S$2303,'TAR FIN'!$A$1:$O$95,15,0))</f>
        <v>0</v>
      </c>
      <c r="W2303" s="6">
        <f>IF(ISERROR(VLOOKUP($T$2303,'TAR FIN'!$A$1:$O$95,15,0)),0,VLOOKUP($T$2303,'TAR FIN'!$A$1:$O$95,15,0))</f>
        <v>450.19</v>
      </c>
      <c r="X2303" s="6">
        <f>IF(ISERROR(VLOOKUP($U$2303,'TAR FIN'!$A$1:$O$95,15,0)),0,VLOOKUP($U$2303,'TAR FIN'!$A$1:$O$95,15,0))</f>
        <v>243.3</v>
      </c>
      <c r="Y2303" s="6"/>
      <c r="Z2303" s="6">
        <f ca="1">('TUSD BE'!$AM$53+'TUSD BF'!$AM$53+'TUSD CVA'!$AM$53)*1</f>
        <v>506.5198438752322</v>
      </c>
      <c r="AA2303" s="6">
        <f>('TE BE'!$AA$41+'TE BF'!$AA$41+'TE CVA'!$AA$41)*1</f>
        <v>297.20166373463735</v>
      </c>
      <c r="AB2303" s="6">
        <f>$K$2303*$V$2303</f>
        <v>0</v>
      </c>
      <c r="AC2303" s="6">
        <f>$M$2303*$W$2303</f>
        <v>-667404.42404999991</v>
      </c>
      <c r="AD2303" s="6">
        <f>$O$2303*$X$2303</f>
        <v>-360691.03349999996</v>
      </c>
      <c r="AE2303" s="6">
        <f>$K$2303*$Y$2303</f>
        <v>0</v>
      </c>
      <c r="AF2303" s="6">
        <f ca="1">$M$2303*$Z$2303</f>
        <v>-750913.13594581233</v>
      </c>
      <c r="AG2303" s="6">
        <f>$O$2303*$AA$2303</f>
        <v>-440599.98047828116</v>
      </c>
    </row>
    <row r="2304" spans="1:33" ht="11.25" customHeight="1" x14ac:dyDescent="0.25">
      <c r="A2304" s="4" t="s">
        <v>28</v>
      </c>
      <c r="B2304" s="4" t="s">
        <v>41</v>
      </c>
      <c r="C2304" s="4" t="s">
        <v>23</v>
      </c>
      <c r="D2304" s="4" t="s">
        <v>45</v>
      </c>
      <c r="E2304" s="4" t="s">
        <v>25</v>
      </c>
      <c r="F2304" s="4" t="s">
        <v>25</v>
      </c>
      <c r="G2304" s="4" t="s">
        <v>25</v>
      </c>
      <c r="H2304" s="4" t="s">
        <v>25</v>
      </c>
      <c r="I2304" s="5">
        <v>44228</v>
      </c>
      <c r="J2304" s="6">
        <v>0</v>
      </c>
      <c r="K2304" s="6">
        <v>0</v>
      </c>
      <c r="L2304" s="6">
        <v>10048.507</v>
      </c>
      <c r="M2304" s="6">
        <v>10048.507</v>
      </c>
      <c r="N2304" s="6">
        <v>10048.507</v>
      </c>
      <c r="O2304" s="6">
        <v>10048.507</v>
      </c>
      <c r="P2304" s="6">
        <v>24980</v>
      </c>
      <c r="Q2304" s="4" t="s">
        <v>26</v>
      </c>
      <c r="R2304" s="4">
        <v>0</v>
      </c>
      <c r="S2304" s="6">
        <v>0</v>
      </c>
      <c r="T2304" s="6">
        <v>72</v>
      </c>
      <c r="U2304" s="6">
        <v>78</v>
      </c>
      <c r="V2304" s="6">
        <f>IF(ISERROR(VLOOKUP($S$2304,'TAR FIN'!$A$1:$O$95,15,0)),0,VLOOKUP($S$2304,'TAR FIN'!$A$1:$O$95,15,0))</f>
        <v>0</v>
      </c>
      <c r="W2304" s="6">
        <f>IF(ISERROR(VLOOKUP($T$2304,'TAR FIN'!$A$1:$O$95,15,0)),0,VLOOKUP($T$2304,'TAR FIN'!$A$1:$O$95,15,0))</f>
        <v>450.19</v>
      </c>
      <c r="X2304" s="6">
        <f>IF(ISERROR(VLOOKUP($U$2304,'TAR FIN'!$A$1:$O$95,15,0)),0,VLOOKUP($U$2304,'TAR FIN'!$A$1:$O$95,15,0))</f>
        <v>243.3</v>
      </c>
      <c r="Y2304" s="6"/>
      <c r="Z2304" s="6">
        <f ca="1">('TUSD BE'!$AM$53+'TUSD BF'!$AM$53+'TUSD CVA'!$AM$53)*1</f>
        <v>506.5198438752322</v>
      </c>
      <c r="AA2304" s="6">
        <f>('TE BE'!$AA$41+'TE BF'!$AA$41+'TE CVA'!$AA$41)*1</f>
        <v>297.20166373463735</v>
      </c>
      <c r="AB2304" s="6">
        <f>$K$2304*$V$2304</f>
        <v>0</v>
      </c>
      <c r="AC2304" s="6">
        <f>$M$2304*$W$2304</f>
        <v>4523737.3663299996</v>
      </c>
      <c r="AD2304" s="6">
        <f>$O$2304*$X$2304</f>
        <v>2444801.7530999999</v>
      </c>
      <c r="AE2304" s="6">
        <f>$K$2304*$Y$2304</f>
        <v>0</v>
      </c>
      <c r="AF2304" s="6">
        <f ca="1">$M$2304*$Z$2304</f>
        <v>5089768.1968191778</v>
      </c>
      <c r="AG2304" s="6">
        <f>$O$2304*$AA$2304</f>
        <v>2986432.9984491495</v>
      </c>
    </row>
    <row r="2305" spans="1:33" ht="11.25" customHeight="1" x14ac:dyDescent="0.25">
      <c r="A2305" s="4" t="s">
        <v>29</v>
      </c>
      <c r="B2305" s="4" t="s">
        <v>41</v>
      </c>
      <c r="C2305" s="4" t="s">
        <v>23</v>
      </c>
      <c r="D2305" s="4" t="s">
        <v>45</v>
      </c>
      <c r="E2305" s="4" t="s">
        <v>25</v>
      </c>
      <c r="F2305" s="4" t="s">
        <v>25</v>
      </c>
      <c r="G2305" s="4" t="s">
        <v>25</v>
      </c>
      <c r="H2305" s="4" t="s">
        <v>25</v>
      </c>
      <c r="I2305" s="5">
        <v>44228</v>
      </c>
      <c r="J2305" s="6">
        <v>0</v>
      </c>
      <c r="K2305" s="6">
        <v>0</v>
      </c>
      <c r="L2305" s="6">
        <v>-192.215</v>
      </c>
      <c r="M2305" s="6">
        <v>-192.215</v>
      </c>
      <c r="N2305" s="6">
        <v>-192.215</v>
      </c>
      <c r="O2305" s="6">
        <v>-192.215</v>
      </c>
      <c r="P2305" s="6">
        <v>0</v>
      </c>
      <c r="Q2305" s="4" t="s">
        <v>26</v>
      </c>
      <c r="R2305" s="4">
        <v>0</v>
      </c>
      <c r="S2305" s="6">
        <v>0</v>
      </c>
      <c r="T2305" s="6">
        <v>72</v>
      </c>
      <c r="U2305" s="6">
        <v>78</v>
      </c>
      <c r="V2305" s="6">
        <f>IF(ISERROR(VLOOKUP($S$2305,'TAR FIN'!$A$1:$O$95,15,0)),0,VLOOKUP($S$2305,'TAR FIN'!$A$1:$O$95,15,0))</f>
        <v>0</v>
      </c>
      <c r="W2305" s="6">
        <f>IF(ISERROR(VLOOKUP($T$2305,'TAR FIN'!$A$1:$O$95,15,0)),0,VLOOKUP($T$2305,'TAR FIN'!$A$1:$O$95,15,0))</f>
        <v>450.19</v>
      </c>
      <c r="X2305" s="6">
        <f>IF(ISERROR(VLOOKUP($U$2305,'TAR FIN'!$A$1:$O$95,15,0)),0,VLOOKUP($U$2305,'TAR FIN'!$A$1:$O$95,15,0))</f>
        <v>243.3</v>
      </c>
      <c r="Y2305" s="6"/>
      <c r="Z2305" s="6">
        <f ca="1">('TUSD BE'!$AM$53+'TUSD BF'!$AM$53+'TUSD CVA'!$AM$53)*1</f>
        <v>506.5198438752322</v>
      </c>
      <c r="AA2305" s="6">
        <f>('TE BE'!$AA$41+'TE BF'!$AA$41+'TE CVA'!$AA$41)*1</f>
        <v>297.20166373463735</v>
      </c>
      <c r="AB2305" s="6">
        <f>$K$2305*$V$2305</f>
        <v>0</v>
      </c>
      <c r="AC2305" s="6">
        <f>$M$2305*$W$2305</f>
        <v>-86533.270850000001</v>
      </c>
      <c r="AD2305" s="6">
        <f>$O$2305*$X$2305</f>
        <v>-46765.909500000002</v>
      </c>
      <c r="AE2305" s="6">
        <f>$K$2305*$Y$2305</f>
        <v>0</v>
      </c>
      <c r="AF2305" s="6">
        <f ca="1">$M$2305*$Z$2305</f>
        <v>-97360.711790477755</v>
      </c>
      <c r="AG2305" s="6">
        <f>$O$2305*$AA$2305</f>
        <v>-57126.617794753322</v>
      </c>
    </row>
    <row r="2306" spans="1:33" ht="11.25" customHeight="1" x14ac:dyDescent="0.25">
      <c r="A2306" s="4" t="s">
        <v>30</v>
      </c>
      <c r="B2306" s="4" t="s">
        <v>41</v>
      </c>
      <c r="C2306" s="4" t="s">
        <v>23</v>
      </c>
      <c r="D2306" s="4" t="s">
        <v>45</v>
      </c>
      <c r="E2306" s="4" t="s">
        <v>25</v>
      </c>
      <c r="F2306" s="4" t="s">
        <v>25</v>
      </c>
      <c r="G2306" s="4" t="s">
        <v>25</v>
      </c>
      <c r="H2306" s="4" t="s">
        <v>25</v>
      </c>
      <c r="I2306" s="5">
        <v>44228</v>
      </c>
      <c r="J2306" s="6">
        <v>0</v>
      </c>
      <c r="K2306" s="6">
        <v>0</v>
      </c>
      <c r="L2306" s="6">
        <v>624.18100000000004</v>
      </c>
      <c r="M2306" s="6">
        <v>624.18100000000004</v>
      </c>
      <c r="N2306" s="6">
        <v>624.18100000000004</v>
      </c>
      <c r="O2306" s="6">
        <v>624.18100000000004</v>
      </c>
      <c r="P2306" s="6">
        <v>321</v>
      </c>
      <c r="Q2306" s="4" t="s">
        <v>26</v>
      </c>
      <c r="R2306" s="4">
        <v>0</v>
      </c>
      <c r="S2306" s="6">
        <v>0</v>
      </c>
      <c r="T2306" s="6">
        <v>72</v>
      </c>
      <c r="U2306" s="6">
        <v>78</v>
      </c>
      <c r="V2306" s="6">
        <f>IF(ISERROR(VLOOKUP($S$2306,'TAR FIN'!$A$1:$O$95,15,0)),0,VLOOKUP($S$2306,'TAR FIN'!$A$1:$O$95,15,0))</f>
        <v>0</v>
      </c>
      <c r="W2306" s="6">
        <f>IF(ISERROR(VLOOKUP($T$2306,'TAR FIN'!$A$1:$O$95,15,0)),0,VLOOKUP($T$2306,'TAR FIN'!$A$1:$O$95,15,0))</f>
        <v>450.19</v>
      </c>
      <c r="X2306" s="6">
        <f>IF(ISERROR(VLOOKUP($U$2306,'TAR FIN'!$A$1:$O$95,15,0)),0,VLOOKUP($U$2306,'TAR FIN'!$A$1:$O$95,15,0))</f>
        <v>243.3</v>
      </c>
      <c r="Y2306" s="6"/>
      <c r="Z2306" s="6">
        <f ca="1">('TUSD BE'!$AM$53+'TUSD BF'!$AM$53+'TUSD CVA'!$AM$53)*1</f>
        <v>506.5198438752322</v>
      </c>
      <c r="AA2306" s="6">
        <f>('TE BE'!$AA$41+'TE BF'!$AA$41+'TE CVA'!$AA$41)*1</f>
        <v>297.20166373463735</v>
      </c>
      <c r="AB2306" s="6">
        <f>$K$2306*$V$2306</f>
        <v>0</v>
      </c>
      <c r="AC2306" s="6">
        <f>$M$2306*$W$2306</f>
        <v>281000.04439</v>
      </c>
      <c r="AD2306" s="6">
        <f>$O$2306*$X$2306</f>
        <v>151863.23730000001</v>
      </c>
      <c r="AE2306" s="6">
        <f>$K$2306*$Y$2306</f>
        <v>0</v>
      </c>
      <c r="AF2306" s="6">
        <f ca="1">$M$2306*$Z$2306</f>
        <v>316160.06266988633</v>
      </c>
      <c r="AG2306" s="6">
        <f>$O$2306*$AA$2306</f>
        <v>185507.63167154969</v>
      </c>
    </row>
    <row r="2307" spans="1:33" ht="11.25" customHeight="1" x14ac:dyDescent="0.25">
      <c r="A2307" s="4" t="s">
        <v>21</v>
      </c>
      <c r="B2307" s="4" t="s">
        <v>41</v>
      </c>
      <c r="C2307" s="4" t="s">
        <v>23</v>
      </c>
      <c r="D2307" s="4" t="s">
        <v>45</v>
      </c>
      <c r="E2307" s="4" t="s">
        <v>25</v>
      </c>
      <c r="F2307" s="4" t="s">
        <v>25</v>
      </c>
      <c r="G2307" s="4" t="s">
        <v>25</v>
      </c>
      <c r="H2307" s="4" t="s">
        <v>25</v>
      </c>
      <c r="I2307" s="5">
        <v>44256</v>
      </c>
      <c r="J2307" s="6">
        <v>0</v>
      </c>
      <c r="K2307" s="6">
        <v>0</v>
      </c>
      <c r="L2307" s="6">
        <v>34194.228999999999</v>
      </c>
      <c r="M2307" s="6">
        <v>34194.228999999999</v>
      </c>
      <c r="N2307" s="6">
        <v>34194.228999999999</v>
      </c>
      <c r="O2307" s="6">
        <v>34194.228999999999</v>
      </c>
      <c r="P2307" s="6">
        <v>53891</v>
      </c>
      <c r="Q2307" s="4" t="s">
        <v>26</v>
      </c>
      <c r="R2307" s="4">
        <v>0</v>
      </c>
      <c r="S2307" s="6">
        <v>0</v>
      </c>
      <c r="T2307" s="6">
        <v>72</v>
      </c>
      <c r="U2307" s="6">
        <v>78</v>
      </c>
      <c r="V2307" s="6">
        <f>IF(ISERROR(VLOOKUP($S$2307,'TAR FIN'!$A$1:$O$95,15,0)),0,VLOOKUP($S$2307,'TAR FIN'!$A$1:$O$95,15,0))</f>
        <v>0</v>
      </c>
      <c r="W2307" s="6">
        <f>IF(ISERROR(VLOOKUP($T$2307,'TAR FIN'!$A$1:$O$95,15,0)),0,VLOOKUP($T$2307,'TAR FIN'!$A$1:$O$95,15,0))</f>
        <v>450.19</v>
      </c>
      <c r="X2307" s="6">
        <f>IF(ISERROR(VLOOKUP($U$2307,'TAR FIN'!$A$1:$O$95,15,0)),0,VLOOKUP($U$2307,'TAR FIN'!$A$1:$O$95,15,0))</f>
        <v>243.3</v>
      </c>
      <c r="Y2307" s="6"/>
      <c r="Z2307" s="6">
        <f ca="1">('TUSD BE'!$AM$53+'TUSD BF'!$AM$53+'TUSD CVA'!$AM$53)*1</f>
        <v>506.5198438752322</v>
      </c>
      <c r="AA2307" s="6">
        <f>('TE BE'!$AA$41+'TE BF'!$AA$41+'TE CVA'!$AA$41)*1</f>
        <v>297.20166373463735</v>
      </c>
      <c r="AB2307" s="6">
        <f>$K$2307*$V$2307</f>
        <v>0</v>
      </c>
      <c r="AC2307" s="6">
        <f>$M$2307*$W$2307</f>
        <v>15393899.953509999</v>
      </c>
      <c r="AD2307" s="6">
        <f>$O$2307*$X$2307</f>
        <v>8319455.9156999998</v>
      </c>
      <c r="AE2307" s="6">
        <f>$K$2307*$Y$2307</f>
        <v>0</v>
      </c>
      <c r="AF2307" s="6">
        <f ca="1">$M$2307*$Z$2307</f>
        <v>17320055.534513935</v>
      </c>
      <c r="AG2307" s="6">
        <f>$O$2307*$AA$2307</f>
        <v>10162581.748923184</v>
      </c>
    </row>
    <row r="2308" spans="1:33" ht="11.25" customHeight="1" x14ac:dyDescent="0.25">
      <c r="A2308" s="4" t="s">
        <v>27</v>
      </c>
      <c r="B2308" s="4" t="s">
        <v>41</v>
      </c>
      <c r="C2308" s="4" t="s">
        <v>23</v>
      </c>
      <c r="D2308" s="4" t="s">
        <v>45</v>
      </c>
      <c r="E2308" s="4" t="s">
        <v>25</v>
      </c>
      <c r="F2308" s="4" t="s">
        <v>25</v>
      </c>
      <c r="G2308" s="4" t="s">
        <v>25</v>
      </c>
      <c r="H2308" s="4" t="s">
        <v>25</v>
      </c>
      <c r="I2308" s="5">
        <v>44256</v>
      </c>
      <c r="J2308" s="6">
        <v>0</v>
      </c>
      <c r="K2308" s="6">
        <v>0</v>
      </c>
      <c r="L2308" s="6">
        <v>-2095.9349999999999</v>
      </c>
      <c r="M2308" s="6">
        <v>-2095.9349999999999</v>
      </c>
      <c r="N2308" s="6">
        <v>-2095.9349999999999</v>
      </c>
      <c r="O2308" s="6">
        <v>-2095.9349999999999</v>
      </c>
      <c r="P2308" s="6">
        <v>0</v>
      </c>
      <c r="Q2308" s="4" t="s">
        <v>26</v>
      </c>
      <c r="R2308" s="4">
        <v>0</v>
      </c>
      <c r="S2308" s="6">
        <v>0</v>
      </c>
      <c r="T2308" s="6">
        <v>72</v>
      </c>
      <c r="U2308" s="6">
        <v>78</v>
      </c>
      <c r="V2308" s="6">
        <f>IF(ISERROR(VLOOKUP($S$2308,'TAR FIN'!$A$1:$O$95,15,0)),0,VLOOKUP($S$2308,'TAR FIN'!$A$1:$O$95,15,0))</f>
        <v>0</v>
      </c>
      <c r="W2308" s="6">
        <f>IF(ISERROR(VLOOKUP($T$2308,'TAR FIN'!$A$1:$O$95,15,0)),0,VLOOKUP($T$2308,'TAR FIN'!$A$1:$O$95,15,0))</f>
        <v>450.19</v>
      </c>
      <c r="X2308" s="6">
        <f>IF(ISERROR(VLOOKUP($U$2308,'TAR FIN'!$A$1:$O$95,15,0)),0,VLOOKUP($U$2308,'TAR FIN'!$A$1:$O$95,15,0))</f>
        <v>243.3</v>
      </c>
      <c r="Y2308" s="6"/>
      <c r="Z2308" s="6">
        <f ca="1">('TUSD BE'!$AM$53+'TUSD BF'!$AM$53+'TUSD CVA'!$AM$53)*1</f>
        <v>506.5198438752322</v>
      </c>
      <c r="AA2308" s="6">
        <f>('TE BE'!$AA$41+'TE BF'!$AA$41+'TE CVA'!$AA$41)*1</f>
        <v>297.20166373463735</v>
      </c>
      <c r="AB2308" s="6">
        <f>$K$2308*$V$2308</f>
        <v>0</v>
      </c>
      <c r="AC2308" s="6">
        <f>$M$2308*$W$2308</f>
        <v>-943568.97765000002</v>
      </c>
      <c r="AD2308" s="6">
        <f>$O$2308*$X$2308</f>
        <v>-509940.98550000001</v>
      </c>
      <c r="AE2308" s="6">
        <f>$K$2308*$Y$2308</f>
        <v>0</v>
      </c>
      <c r="AF2308" s="6">
        <f ca="1">$M$2308*$Z$2308</f>
        <v>-1061632.6689726347</v>
      </c>
      <c r="AG2308" s="6">
        <f>$O$2308*$AA$2308</f>
        <v>-622915.36907965713</v>
      </c>
    </row>
    <row r="2309" spans="1:33" ht="11.25" customHeight="1" x14ac:dyDescent="0.25">
      <c r="A2309" s="4" t="s">
        <v>28</v>
      </c>
      <c r="B2309" s="4" t="s">
        <v>41</v>
      </c>
      <c r="C2309" s="4" t="s">
        <v>23</v>
      </c>
      <c r="D2309" s="4" t="s">
        <v>45</v>
      </c>
      <c r="E2309" s="4" t="s">
        <v>25</v>
      </c>
      <c r="F2309" s="4" t="s">
        <v>25</v>
      </c>
      <c r="G2309" s="4" t="s">
        <v>25</v>
      </c>
      <c r="H2309" s="4" t="s">
        <v>25</v>
      </c>
      <c r="I2309" s="5">
        <v>44256</v>
      </c>
      <c r="J2309" s="6">
        <v>0</v>
      </c>
      <c r="K2309" s="6">
        <v>0</v>
      </c>
      <c r="L2309" s="6">
        <v>10352.092000000001</v>
      </c>
      <c r="M2309" s="6">
        <v>10352.092000000001</v>
      </c>
      <c r="N2309" s="6">
        <v>10352.092000000001</v>
      </c>
      <c r="O2309" s="6">
        <v>10352.092000000001</v>
      </c>
      <c r="P2309" s="6">
        <v>24939</v>
      </c>
      <c r="Q2309" s="4" t="s">
        <v>26</v>
      </c>
      <c r="R2309" s="4">
        <v>0</v>
      </c>
      <c r="S2309" s="6">
        <v>0</v>
      </c>
      <c r="T2309" s="6">
        <v>72</v>
      </c>
      <c r="U2309" s="6">
        <v>78</v>
      </c>
      <c r="V2309" s="6">
        <f>IF(ISERROR(VLOOKUP($S$2309,'TAR FIN'!$A$1:$O$95,15,0)),0,VLOOKUP($S$2309,'TAR FIN'!$A$1:$O$95,15,0))</f>
        <v>0</v>
      </c>
      <c r="W2309" s="6">
        <f>IF(ISERROR(VLOOKUP($T$2309,'TAR FIN'!$A$1:$O$95,15,0)),0,VLOOKUP($T$2309,'TAR FIN'!$A$1:$O$95,15,0))</f>
        <v>450.19</v>
      </c>
      <c r="X2309" s="6">
        <f>IF(ISERROR(VLOOKUP($U$2309,'TAR FIN'!$A$1:$O$95,15,0)),0,VLOOKUP($U$2309,'TAR FIN'!$A$1:$O$95,15,0))</f>
        <v>243.3</v>
      </c>
      <c r="Y2309" s="6"/>
      <c r="Z2309" s="6">
        <f ca="1">('TUSD BE'!$AM$53+'TUSD BF'!$AM$53+'TUSD CVA'!$AM$53)*1</f>
        <v>506.5198438752322</v>
      </c>
      <c r="AA2309" s="6">
        <f>('TE BE'!$AA$41+'TE BF'!$AA$41+'TE CVA'!$AA$41)*1</f>
        <v>297.20166373463735</v>
      </c>
      <c r="AB2309" s="6">
        <f>$K$2309*$V$2309</f>
        <v>0</v>
      </c>
      <c r="AC2309" s="6">
        <f>$M$2309*$W$2309</f>
        <v>4660408.2974800002</v>
      </c>
      <c r="AD2309" s="6">
        <f>$O$2309*$X$2309</f>
        <v>2518663.9836000004</v>
      </c>
      <c r="AE2309" s="6">
        <f>$K$2309*$Y$2309</f>
        <v>0</v>
      </c>
      <c r="AF2309" s="6">
        <f ca="1">$M$2309*$Z$2309</f>
        <v>5243540.0236220406</v>
      </c>
      <c r="AG2309" s="6">
        <f>$O$2309*$AA$2309</f>
        <v>3076658.9655340295</v>
      </c>
    </row>
    <row r="2310" spans="1:33" ht="11.25" customHeight="1" x14ac:dyDescent="0.25">
      <c r="A2310" s="4" t="s">
        <v>29</v>
      </c>
      <c r="B2310" s="4" t="s">
        <v>41</v>
      </c>
      <c r="C2310" s="4" t="s">
        <v>23</v>
      </c>
      <c r="D2310" s="4" t="s">
        <v>45</v>
      </c>
      <c r="E2310" s="4" t="s">
        <v>25</v>
      </c>
      <c r="F2310" s="4" t="s">
        <v>25</v>
      </c>
      <c r="G2310" s="4" t="s">
        <v>25</v>
      </c>
      <c r="H2310" s="4" t="s">
        <v>25</v>
      </c>
      <c r="I2310" s="5">
        <v>44256</v>
      </c>
      <c r="J2310" s="6">
        <v>0</v>
      </c>
      <c r="K2310" s="6">
        <v>0</v>
      </c>
      <c r="L2310" s="6">
        <v>-697.44500000000005</v>
      </c>
      <c r="M2310" s="6">
        <v>-697.44500000000005</v>
      </c>
      <c r="N2310" s="6">
        <v>-697.44500000000005</v>
      </c>
      <c r="O2310" s="6">
        <v>-697.44500000000005</v>
      </c>
      <c r="P2310" s="6">
        <v>0</v>
      </c>
      <c r="Q2310" s="4" t="s">
        <v>26</v>
      </c>
      <c r="R2310" s="4">
        <v>0</v>
      </c>
      <c r="S2310" s="6">
        <v>0</v>
      </c>
      <c r="T2310" s="6">
        <v>72</v>
      </c>
      <c r="U2310" s="6">
        <v>78</v>
      </c>
      <c r="V2310" s="6">
        <f>IF(ISERROR(VLOOKUP($S$2310,'TAR FIN'!$A$1:$O$95,15,0)),0,VLOOKUP($S$2310,'TAR FIN'!$A$1:$O$95,15,0))</f>
        <v>0</v>
      </c>
      <c r="W2310" s="6">
        <f>IF(ISERROR(VLOOKUP($T$2310,'TAR FIN'!$A$1:$O$95,15,0)),0,VLOOKUP($T$2310,'TAR FIN'!$A$1:$O$95,15,0))</f>
        <v>450.19</v>
      </c>
      <c r="X2310" s="6">
        <f>IF(ISERROR(VLOOKUP($U$2310,'TAR FIN'!$A$1:$O$95,15,0)),0,VLOOKUP($U$2310,'TAR FIN'!$A$1:$O$95,15,0))</f>
        <v>243.3</v>
      </c>
      <c r="Y2310" s="6"/>
      <c r="Z2310" s="6">
        <f ca="1">('TUSD BE'!$AM$53+'TUSD BF'!$AM$53+'TUSD CVA'!$AM$53)*1</f>
        <v>506.5198438752322</v>
      </c>
      <c r="AA2310" s="6">
        <f>('TE BE'!$AA$41+'TE BF'!$AA$41+'TE CVA'!$AA$41)*1</f>
        <v>297.20166373463735</v>
      </c>
      <c r="AB2310" s="6">
        <f>$K$2310*$V$2310</f>
        <v>0</v>
      </c>
      <c r="AC2310" s="6">
        <f>$M$2310*$W$2310</f>
        <v>-313982.76455000002</v>
      </c>
      <c r="AD2310" s="6">
        <f>$O$2310*$X$2310</f>
        <v>-169688.36850000001</v>
      </c>
      <c r="AE2310" s="6">
        <f>$K$2310*$Y$2310</f>
        <v>0</v>
      </c>
      <c r="AF2310" s="6">
        <f ca="1">$M$2310*$Z$2310</f>
        <v>-353269.73251156136</v>
      </c>
      <c r="AG2310" s="6">
        <f>$O$2310*$AA$2310</f>
        <v>-207281.81436340415</v>
      </c>
    </row>
    <row r="2311" spans="1:33" ht="11.25" customHeight="1" x14ac:dyDescent="0.25">
      <c r="A2311" s="4" t="s">
        <v>30</v>
      </c>
      <c r="B2311" s="4" t="s">
        <v>41</v>
      </c>
      <c r="C2311" s="4" t="s">
        <v>23</v>
      </c>
      <c r="D2311" s="4" t="s">
        <v>45</v>
      </c>
      <c r="E2311" s="4" t="s">
        <v>25</v>
      </c>
      <c r="F2311" s="4" t="s">
        <v>25</v>
      </c>
      <c r="G2311" s="4" t="s">
        <v>25</v>
      </c>
      <c r="H2311" s="4" t="s">
        <v>25</v>
      </c>
      <c r="I2311" s="5">
        <v>44256</v>
      </c>
      <c r="J2311" s="6">
        <v>0</v>
      </c>
      <c r="K2311" s="6">
        <v>0</v>
      </c>
      <c r="L2311" s="6">
        <v>779.75199999999995</v>
      </c>
      <c r="M2311" s="6">
        <v>779.75199999999995</v>
      </c>
      <c r="N2311" s="6">
        <v>779.75199999999995</v>
      </c>
      <c r="O2311" s="6">
        <v>779.75199999999995</v>
      </c>
      <c r="P2311" s="6">
        <v>340</v>
      </c>
      <c r="Q2311" s="4" t="s">
        <v>26</v>
      </c>
      <c r="R2311" s="4">
        <v>0</v>
      </c>
      <c r="S2311" s="6">
        <v>0</v>
      </c>
      <c r="T2311" s="6">
        <v>72</v>
      </c>
      <c r="U2311" s="6">
        <v>78</v>
      </c>
      <c r="V2311" s="6">
        <f>IF(ISERROR(VLOOKUP($S$2311,'TAR FIN'!$A$1:$O$95,15,0)),0,VLOOKUP($S$2311,'TAR FIN'!$A$1:$O$95,15,0))</f>
        <v>0</v>
      </c>
      <c r="W2311" s="6">
        <f>IF(ISERROR(VLOOKUP($T$2311,'TAR FIN'!$A$1:$O$95,15,0)),0,VLOOKUP($T$2311,'TAR FIN'!$A$1:$O$95,15,0))</f>
        <v>450.19</v>
      </c>
      <c r="X2311" s="6">
        <f>IF(ISERROR(VLOOKUP($U$2311,'TAR FIN'!$A$1:$O$95,15,0)),0,VLOOKUP($U$2311,'TAR FIN'!$A$1:$O$95,15,0))</f>
        <v>243.3</v>
      </c>
      <c r="Y2311" s="6"/>
      <c r="Z2311" s="6">
        <f ca="1">('TUSD BE'!$AM$53+'TUSD BF'!$AM$53+'TUSD CVA'!$AM$53)*1</f>
        <v>506.5198438752322</v>
      </c>
      <c r="AA2311" s="6">
        <f>('TE BE'!$AA$41+'TE BF'!$AA$41+'TE CVA'!$AA$41)*1</f>
        <v>297.20166373463735</v>
      </c>
      <c r="AB2311" s="6">
        <f>$K$2311*$V$2311</f>
        <v>0</v>
      </c>
      <c r="AC2311" s="6">
        <f>$M$2311*$W$2311</f>
        <v>351036.55287999997</v>
      </c>
      <c r="AD2311" s="6">
        <f>$O$2311*$X$2311</f>
        <v>189713.66159999999</v>
      </c>
      <c r="AE2311" s="6">
        <f>$K$2311*$Y$2311</f>
        <v>0</v>
      </c>
      <c r="AF2311" s="6">
        <f ca="1">$M$2311*$Z$2311</f>
        <v>394959.86130140006</v>
      </c>
      <c r="AG2311" s="6">
        <f>$O$2311*$AA$2311</f>
        <v>231743.59170041094</v>
      </c>
    </row>
    <row r="2312" spans="1:33" ht="11.25" customHeight="1" x14ac:dyDescent="0.25">
      <c r="A2312" s="4" t="s">
        <v>30</v>
      </c>
      <c r="B2312" s="4" t="s">
        <v>41</v>
      </c>
      <c r="C2312" s="4" t="s">
        <v>23</v>
      </c>
      <c r="D2312" s="4" t="s">
        <v>45</v>
      </c>
      <c r="E2312" s="4" t="s">
        <v>25</v>
      </c>
      <c r="F2312" s="4" t="s">
        <v>25</v>
      </c>
      <c r="G2312" s="4" t="s">
        <v>25</v>
      </c>
      <c r="H2312" s="4" t="s">
        <v>25</v>
      </c>
      <c r="I2312" s="5">
        <v>44256</v>
      </c>
      <c r="J2312" s="6">
        <v>0</v>
      </c>
      <c r="K2312" s="6">
        <v>0</v>
      </c>
      <c r="L2312" s="6">
        <v>-1.0109999999999999</v>
      </c>
      <c r="M2312" s="6">
        <v>-1.0109999999999999</v>
      </c>
      <c r="N2312" s="6">
        <v>-1.0109999999999999</v>
      </c>
      <c r="O2312" s="6">
        <v>-1.0109999999999999</v>
      </c>
      <c r="P2312" s="6">
        <v>0</v>
      </c>
      <c r="Q2312" s="4" t="s">
        <v>26</v>
      </c>
      <c r="R2312" s="4">
        <v>0</v>
      </c>
      <c r="S2312" s="6">
        <v>0</v>
      </c>
      <c r="T2312" s="6">
        <v>72</v>
      </c>
      <c r="U2312" s="6">
        <v>78</v>
      </c>
      <c r="V2312" s="6">
        <f>IF(ISERROR(VLOOKUP($S$2312,'TAR FIN'!$A$1:$O$95,15,0)),0,VLOOKUP($S$2312,'TAR FIN'!$A$1:$O$95,15,0))</f>
        <v>0</v>
      </c>
      <c r="W2312" s="6">
        <f>IF(ISERROR(VLOOKUP($T$2312,'TAR FIN'!$A$1:$O$95,15,0)),0,VLOOKUP($T$2312,'TAR FIN'!$A$1:$O$95,15,0))</f>
        <v>450.19</v>
      </c>
      <c r="X2312" s="6">
        <f>IF(ISERROR(VLOOKUP($U$2312,'TAR FIN'!$A$1:$O$95,15,0)),0,VLOOKUP($U$2312,'TAR FIN'!$A$1:$O$95,15,0))</f>
        <v>243.3</v>
      </c>
      <c r="Y2312" s="6"/>
      <c r="Z2312" s="6">
        <f ca="1">('TUSD BE'!$AM$53+'TUSD BF'!$AM$53+'TUSD CVA'!$AM$53)*1</f>
        <v>506.5198438752322</v>
      </c>
      <c r="AA2312" s="6">
        <f>('TE BE'!$AA$41+'TE BF'!$AA$41+'TE CVA'!$AA$41)*1</f>
        <v>297.20166373463735</v>
      </c>
      <c r="AB2312" s="6">
        <f>$K$2312*$V$2312</f>
        <v>0</v>
      </c>
      <c r="AC2312" s="6">
        <f>$M$2312*$W$2312</f>
        <v>-455.14208999999994</v>
      </c>
      <c r="AD2312" s="6">
        <f>$O$2312*$X$2312</f>
        <v>-245.97629999999998</v>
      </c>
      <c r="AE2312" s="6">
        <f>$K$2312*$Y$2312</f>
        <v>0</v>
      </c>
      <c r="AF2312" s="6">
        <f ca="1">$M$2312*$Z$2312</f>
        <v>-512.0915621578597</v>
      </c>
      <c r="AG2312" s="6">
        <f>$O$2312*$AA$2312</f>
        <v>-300.47088203571832</v>
      </c>
    </row>
    <row r="2313" spans="1:33" ht="11.25" customHeight="1" x14ac:dyDescent="0.25">
      <c r="A2313" s="4" t="s">
        <v>21</v>
      </c>
      <c r="B2313" s="4" t="s">
        <v>41</v>
      </c>
      <c r="C2313" s="4" t="s">
        <v>23</v>
      </c>
      <c r="D2313" s="4" t="s">
        <v>45</v>
      </c>
      <c r="E2313" s="4" t="s">
        <v>25</v>
      </c>
      <c r="F2313" s="4" t="s">
        <v>25</v>
      </c>
      <c r="G2313" s="4" t="s">
        <v>25</v>
      </c>
      <c r="H2313" s="4" t="s">
        <v>25</v>
      </c>
      <c r="I2313" s="5">
        <v>44287</v>
      </c>
      <c r="J2313" s="6">
        <v>0</v>
      </c>
      <c r="K2313" s="6">
        <v>0</v>
      </c>
      <c r="L2313" s="6">
        <v>38872.491000000002</v>
      </c>
      <c r="M2313" s="6">
        <v>38872.491000000002</v>
      </c>
      <c r="N2313" s="6">
        <v>38872.491000000002</v>
      </c>
      <c r="O2313" s="6">
        <v>38872.491000000002</v>
      </c>
      <c r="P2313" s="6">
        <v>47474</v>
      </c>
      <c r="Q2313" s="4" t="s">
        <v>26</v>
      </c>
      <c r="R2313" s="4">
        <v>0</v>
      </c>
      <c r="S2313" s="6">
        <v>0</v>
      </c>
      <c r="T2313" s="6">
        <v>72</v>
      </c>
      <c r="U2313" s="6">
        <v>78</v>
      </c>
      <c r="V2313" s="6">
        <f>IF(ISERROR(VLOOKUP($S$2313,'TAR FIN'!$A$1:$O$95,15,0)),0,VLOOKUP($S$2313,'TAR FIN'!$A$1:$O$95,15,0))</f>
        <v>0</v>
      </c>
      <c r="W2313" s="6">
        <f>IF(ISERROR(VLOOKUP($T$2313,'TAR FIN'!$A$1:$O$95,15,0)),0,VLOOKUP($T$2313,'TAR FIN'!$A$1:$O$95,15,0))</f>
        <v>450.19</v>
      </c>
      <c r="X2313" s="6">
        <f>IF(ISERROR(VLOOKUP($U$2313,'TAR FIN'!$A$1:$O$95,15,0)),0,VLOOKUP($U$2313,'TAR FIN'!$A$1:$O$95,15,0))</f>
        <v>243.3</v>
      </c>
      <c r="Y2313" s="6"/>
      <c r="Z2313" s="6">
        <f ca="1">('TUSD BE'!$AM$53+'TUSD BF'!$AM$53+'TUSD CVA'!$AM$53)*1</f>
        <v>506.5198438752322</v>
      </c>
      <c r="AA2313" s="6">
        <f>('TE BE'!$AA$41+'TE BF'!$AA$41+'TE CVA'!$AA$41)*1</f>
        <v>297.20166373463735</v>
      </c>
      <c r="AB2313" s="6">
        <f>$K$2313*$V$2313</f>
        <v>0</v>
      </c>
      <c r="AC2313" s="6">
        <f>$M$2313*$W$2313</f>
        <v>17500006.72329</v>
      </c>
      <c r="AD2313" s="6">
        <f>$O$2313*$X$2313</f>
        <v>9457677.0603</v>
      </c>
      <c r="AE2313" s="6">
        <f>$K$2313*$Y$2313</f>
        <v>0</v>
      </c>
      <c r="AF2313" s="6">
        <f ca="1">$M$2313*$Z$2313</f>
        <v>19689688.072361369</v>
      </c>
      <c r="AG2313" s="6">
        <f>$O$2313*$AA$2313</f>
        <v>11552968.998709718</v>
      </c>
    </row>
    <row r="2314" spans="1:33" ht="11.25" customHeight="1" x14ac:dyDescent="0.25">
      <c r="A2314" s="4" t="s">
        <v>27</v>
      </c>
      <c r="B2314" s="4" t="s">
        <v>41</v>
      </c>
      <c r="C2314" s="4" t="s">
        <v>23</v>
      </c>
      <c r="D2314" s="4" t="s">
        <v>45</v>
      </c>
      <c r="E2314" s="4" t="s">
        <v>25</v>
      </c>
      <c r="F2314" s="4" t="s">
        <v>25</v>
      </c>
      <c r="G2314" s="4" t="s">
        <v>25</v>
      </c>
      <c r="H2314" s="4" t="s">
        <v>25</v>
      </c>
      <c r="I2314" s="5">
        <v>44287</v>
      </c>
      <c r="J2314" s="6">
        <v>0</v>
      </c>
      <c r="K2314" s="6">
        <v>0</v>
      </c>
      <c r="L2314" s="6">
        <v>-1902.2840000000001</v>
      </c>
      <c r="M2314" s="6">
        <v>-1902.2840000000001</v>
      </c>
      <c r="N2314" s="6">
        <v>-1902.2840000000001</v>
      </c>
      <c r="O2314" s="6">
        <v>-1902.2840000000001</v>
      </c>
      <c r="P2314" s="6">
        <v>0</v>
      </c>
      <c r="Q2314" s="4" t="s">
        <v>26</v>
      </c>
      <c r="R2314" s="4">
        <v>0</v>
      </c>
      <c r="S2314" s="6">
        <v>0</v>
      </c>
      <c r="T2314" s="6">
        <v>72</v>
      </c>
      <c r="U2314" s="6">
        <v>78</v>
      </c>
      <c r="V2314" s="6">
        <f>IF(ISERROR(VLOOKUP($S$2314,'TAR FIN'!$A$1:$O$95,15,0)),0,VLOOKUP($S$2314,'TAR FIN'!$A$1:$O$95,15,0))</f>
        <v>0</v>
      </c>
      <c r="W2314" s="6">
        <f>IF(ISERROR(VLOOKUP($T$2314,'TAR FIN'!$A$1:$O$95,15,0)),0,VLOOKUP($T$2314,'TAR FIN'!$A$1:$O$95,15,0))</f>
        <v>450.19</v>
      </c>
      <c r="X2314" s="6">
        <f>IF(ISERROR(VLOOKUP($U$2314,'TAR FIN'!$A$1:$O$95,15,0)),0,VLOOKUP($U$2314,'TAR FIN'!$A$1:$O$95,15,0))</f>
        <v>243.3</v>
      </c>
      <c r="Y2314" s="6"/>
      <c r="Z2314" s="6">
        <f ca="1">('TUSD BE'!$AM$53+'TUSD BF'!$AM$53+'TUSD CVA'!$AM$53)*1</f>
        <v>506.5198438752322</v>
      </c>
      <c r="AA2314" s="6">
        <f>('TE BE'!$AA$41+'TE BF'!$AA$41+'TE CVA'!$AA$41)*1</f>
        <v>297.20166373463735</v>
      </c>
      <c r="AB2314" s="6">
        <f>$K$2314*$V$2314</f>
        <v>0</v>
      </c>
      <c r="AC2314" s="6">
        <f>$M$2314*$W$2314</f>
        <v>-856389.2339600001</v>
      </c>
      <c r="AD2314" s="6">
        <f>$O$2314*$X$2314</f>
        <v>-462825.69720000005</v>
      </c>
      <c r="AE2314" s="6">
        <f>$K$2314*$Y$2314</f>
        <v>0</v>
      </c>
      <c r="AF2314" s="6">
        <f ca="1">$M$2314*$Z$2314</f>
        <v>-963544.5946863523</v>
      </c>
      <c r="AG2314" s="6">
        <f>$O$2314*$AA$2314</f>
        <v>-565361.96969578089</v>
      </c>
    </row>
    <row r="2315" spans="1:33" ht="11.25" customHeight="1" x14ac:dyDescent="0.25">
      <c r="A2315" s="4" t="s">
        <v>28</v>
      </c>
      <c r="B2315" s="4" t="s">
        <v>41</v>
      </c>
      <c r="C2315" s="4" t="s">
        <v>23</v>
      </c>
      <c r="D2315" s="4" t="s">
        <v>45</v>
      </c>
      <c r="E2315" s="4" t="s">
        <v>25</v>
      </c>
      <c r="F2315" s="4" t="s">
        <v>25</v>
      </c>
      <c r="G2315" s="4" t="s">
        <v>25</v>
      </c>
      <c r="H2315" s="4" t="s">
        <v>25</v>
      </c>
      <c r="I2315" s="5">
        <v>44287</v>
      </c>
      <c r="J2315" s="6">
        <v>0</v>
      </c>
      <c r="K2315" s="6">
        <v>0</v>
      </c>
      <c r="L2315" s="6">
        <v>11344.995000000001</v>
      </c>
      <c r="M2315" s="6">
        <v>11344.995000000001</v>
      </c>
      <c r="N2315" s="6">
        <v>11344.995000000001</v>
      </c>
      <c r="O2315" s="6">
        <v>11344.995000000001</v>
      </c>
      <c r="P2315" s="6">
        <v>23887</v>
      </c>
      <c r="Q2315" s="4" t="s">
        <v>26</v>
      </c>
      <c r="R2315" s="4">
        <v>0</v>
      </c>
      <c r="S2315" s="6">
        <v>0</v>
      </c>
      <c r="T2315" s="6">
        <v>72</v>
      </c>
      <c r="U2315" s="6">
        <v>78</v>
      </c>
      <c r="V2315" s="6">
        <f>IF(ISERROR(VLOOKUP($S$2315,'TAR FIN'!$A$1:$O$95,15,0)),0,VLOOKUP($S$2315,'TAR FIN'!$A$1:$O$95,15,0))</f>
        <v>0</v>
      </c>
      <c r="W2315" s="6">
        <f>IF(ISERROR(VLOOKUP($T$2315,'TAR FIN'!$A$1:$O$95,15,0)),0,VLOOKUP($T$2315,'TAR FIN'!$A$1:$O$95,15,0))</f>
        <v>450.19</v>
      </c>
      <c r="X2315" s="6">
        <f>IF(ISERROR(VLOOKUP($U$2315,'TAR FIN'!$A$1:$O$95,15,0)),0,VLOOKUP($U$2315,'TAR FIN'!$A$1:$O$95,15,0))</f>
        <v>243.3</v>
      </c>
      <c r="Y2315" s="6"/>
      <c r="Z2315" s="6">
        <f ca="1">('TUSD BE'!$AM$53+'TUSD BF'!$AM$53+'TUSD CVA'!$AM$53)*1</f>
        <v>506.5198438752322</v>
      </c>
      <c r="AA2315" s="6">
        <f>('TE BE'!$AA$41+'TE BF'!$AA$41+'TE CVA'!$AA$41)*1</f>
        <v>297.20166373463735</v>
      </c>
      <c r="AB2315" s="6">
        <f>$K$2315*$V$2315</f>
        <v>0</v>
      </c>
      <c r="AC2315" s="6">
        <f>$M$2315*$W$2315</f>
        <v>5107403.2990500005</v>
      </c>
      <c r="AD2315" s="6">
        <f>$O$2315*$X$2315</f>
        <v>2760237.2835000004</v>
      </c>
      <c r="AE2315" s="6">
        <f>$K$2315*$Y$2315</f>
        <v>0</v>
      </c>
      <c r="AF2315" s="6">
        <f ca="1">$M$2315*$Z$2315</f>
        <v>5746465.0961652901</v>
      </c>
      <c r="AG2315" s="6">
        <f>$O$2315*$AA$2315</f>
        <v>3371751.3890611422</v>
      </c>
    </row>
    <row r="2316" spans="1:33" ht="11.25" customHeight="1" x14ac:dyDescent="0.25">
      <c r="A2316" s="4" t="s">
        <v>29</v>
      </c>
      <c r="B2316" s="4" t="s">
        <v>41</v>
      </c>
      <c r="C2316" s="4" t="s">
        <v>23</v>
      </c>
      <c r="D2316" s="4" t="s">
        <v>45</v>
      </c>
      <c r="E2316" s="4" t="s">
        <v>25</v>
      </c>
      <c r="F2316" s="4" t="s">
        <v>25</v>
      </c>
      <c r="G2316" s="4" t="s">
        <v>25</v>
      </c>
      <c r="H2316" s="4" t="s">
        <v>25</v>
      </c>
      <c r="I2316" s="5">
        <v>44287</v>
      </c>
      <c r="J2316" s="6">
        <v>0</v>
      </c>
      <c r="K2316" s="6">
        <v>0</v>
      </c>
      <c r="L2316" s="6">
        <v>-247.63399999999999</v>
      </c>
      <c r="M2316" s="6">
        <v>-247.63399999999999</v>
      </c>
      <c r="N2316" s="6">
        <v>-247.63399999999999</v>
      </c>
      <c r="O2316" s="6">
        <v>-247.63399999999999</v>
      </c>
      <c r="P2316" s="6">
        <v>0</v>
      </c>
      <c r="Q2316" s="4" t="s">
        <v>26</v>
      </c>
      <c r="R2316" s="4">
        <v>0</v>
      </c>
      <c r="S2316" s="6">
        <v>0</v>
      </c>
      <c r="T2316" s="6">
        <v>72</v>
      </c>
      <c r="U2316" s="6">
        <v>78</v>
      </c>
      <c r="V2316" s="6">
        <f>IF(ISERROR(VLOOKUP($S$2316,'TAR FIN'!$A$1:$O$95,15,0)),0,VLOOKUP($S$2316,'TAR FIN'!$A$1:$O$95,15,0))</f>
        <v>0</v>
      </c>
      <c r="W2316" s="6">
        <f>IF(ISERROR(VLOOKUP($T$2316,'TAR FIN'!$A$1:$O$95,15,0)),0,VLOOKUP($T$2316,'TAR FIN'!$A$1:$O$95,15,0))</f>
        <v>450.19</v>
      </c>
      <c r="X2316" s="6">
        <f>IF(ISERROR(VLOOKUP($U$2316,'TAR FIN'!$A$1:$O$95,15,0)),0,VLOOKUP($U$2316,'TAR FIN'!$A$1:$O$95,15,0))</f>
        <v>243.3</v>
      </c>
      <c r="Y2316" s="6"/>
      <c r="Z2316" s="6">
        <f ca="1">('TUSD BE'!$AM$53+'TUSD BF'!$AM$53+'TUSD CVA'!$AM$53)*1</f>
        <v>506.5198438752322</v>
      </c>
      <c r="AA2316" s="6">
        <f>('TE BE'!$AA$41+'TE BF'!$AA$41+'TE CVA'!$AA$41)*1</f>
        <v>297.20166373463735</v>
      </c>
      <c r="AB2316" s="6">
        <f>$K$2316*$V$2316</f>
        <v>0</v>
      </c>
      <c r="AC2316" s="6">
        <f>$M$2316*$W$2316</f>
        <v>-111482.35045999999</v>
      </c>
      <c r="AD2316" s="6">
        <f>$O$2316*$X$2316</f>
        <v>-60249.352200000001</v>
      </c>
      <c r="AE2316" s="6">
        <f>$K$2316*$Y$2316</f>
        <v>0</v>
      </c>
      <c r="AF2316" s="6">
        <f ca="1">$M$2316*$Z$2316</f>
        <v>-125431.53501819924</v>
      </c>
      <c r="AG2316" s="6">
        <f>$O$2316*$AA$2316</f>
        <v>-73597.236797263176</v>
      </c>
    </row>
    <row r="2317" spans="1:33" ht="11.25" customHeight="1" x14ac:dyDescent="0.25">
      <c r="A2317" s="4" t="s">
        <v>30</v>
      </c>
      <c r="B2317" s="4" t="s">
        <v>41</v>
      </c>
      <c r="C2317" s="4" t="s">
        <v>23</v>
      </c>
      <c r="D2317" s="4" t="s">
        <v>45</v>
      </c>
      <c r="E2317" s="4" t="s">
        <v>25</v>
      </c>
      <c r="F2317" s="4" t="s">
        <v>25</v>
      </c>
      <c r="G2317" s="4" t="s">
        <v>25</v>
      </c>
      <c r="H2317" s="4" t="s">
        <v>25</v>
      </c>
      <c r="I2317" s="5">
        <v>44287</v>
      </c>
      <c r="J2317" s="6">
        <v>0</v>
      </c>
      <c r="K2317" s="6">
        <v>0</v>
      </c>
      <c r="L2317" s="6">
        <v>870.24800000000005</v>
      </c>
      <c r="M2317" s="6">
        <v>870.24800000000005</v>
      </c>
      <c r="N2317" s="6">
        <v>870.24800000000005</v>
      </c>
      <c r="O2317" s="6">
        <v>870.24800000000005</v>
      </c>
      <c r="P2317" s="6">
        <v>362</v>
      </c>
      <c r="Q2317" s="4" t="s">
        <v>26</v>
      </c>
      <c r="R2317" s="4">
        <v>0</v>
      </c>
      <c r="S2317" s="6">
        <v>0</v>
      </c>
      <c r="T2317" s="6">
        <v>72</v>
      </c>
      <c r="U2317" s="6">
        <v>78</v>
      </c>
      <c r="V2317" s="6">
        <f>IF(ISERROR(VLOOKUP($S$2317,'TAR FIN'!$A$1:$O$95,15,0)),0,VLOOKUP($S$2317,'TAR FIN'!$A$1:$O$95,15,0))</f>
        <v>0</v>
      </c>
      <c r="W2317" s="6">
        <f>IF(ISERROR(VLOOKUP($T$2317,'TAR FIN'!$A$1:$O$95,15,0)),0,VLOOKUP($T$2317,'TAR FIN'!$A$1:$O$95,15,0))</f>
        <v>450.19</v>
      </c>
      <c r="X2317" s="6">
        <f>IF(ISERROR(VLOOKUP($U$2317,'TAR FIN'!$A$1:$O$95,15,0)),0,VLOOKUP($U$2317,'TAR FIN'!$A$1:$O$95,15,0))</f>
        <v>243.3</v>
      </c>
      <c r="Y2317" s="6"/>
      <c r="Z2317" s="6">
        <f ca="1">('TUSD BE'!$AM$53+'TUSD BF'!$AM$53+'TUSD CVA'!$AM$53)*1</f>
        <v>506.5198438752322</v>
      </c>
      <c r="AA2317" s="6">
        <f>('TE BE'!$AA$41+'TE BF'!$AA$41+'TE CVA'!$AA$41)*1</f>
        <v>297.20166373463735</v>
      </c>
      <c r="AB2317" s="6">
        <f>$K$2317*$V$2317</f>
        <v>0</v>
      </c>
      <c r="AC2317" s="6">
        <f>$M$2317*$W$2317</f>
        <v>391776.94712000003</v>
      </c>
      <c r="AD2317" s="6">
        <f>$O$2317*$X$2317</f>
        <v>211731.33840000001</v>
      </c>
      <c r="AE2317" s="6">
        <f>$K$2317*$Y$2317</f>
        <v>0</v>
      </c>
      <c r="AF2317" s="6">
        <f ca="1">$M$2317*$Z$2317</f>
        <v>440797.88109273312</v>
      </c>
      <c r="AG2317" s="6">
        <f>$O$2317*$AA$2317</f>
        <v>258639.1534617407</v>
      </c>
    </row>
    <row r="2318" spans="1:33" ht="11.25" customHeight="1" x14ac:dyDescent="0.25">
      <c r="A2318" s="4" t="s">
        <v>30</v>
      </c>
      <c r="B2318" s="4" t="s">
        <v>41</v>
      </c>
      <c r="C2318" s="4" t="s">
        <v>23</v>
      </c>
      <c r="D2318" s="4" t="s">
        <v>45</v>
      </c>
      <c r="E2318" s="4" t="s">
        <v>25</v>
      </c>
      <c r="F2318" s="4" t="s">
        <v>25</v>
      </c>
      <c r="G2318" s="4" t="s">
        <v>25</v>
      </c>
      <c r="H2318" s="4" t="s">
        <v>25</v>
      </c>
      <c r="I2318" s="5">
        <v>44287</v>
      </c>
      <c r="J2318" s="6">
        <v>0</v>
      </c>
      <c r="K2318" s="6">
        <v>0</v>
      </c>
      <c r="L2318" s="6">
        <v>-1.647</v>
      </c>
      <c r="M2318" s="6">
        <v>-1.647</v>
      </c>
      <c r="N2318" s="6">
        <v>-1.647</v>
      </c>
      <c r="O2318" s="6">
        <v>-1.647</v>
      </c>
      <c r="P2318" s="6">
        <v>0</v>
      </c>
      <c r="Q2318" s="4" t="s">
        <v>26</v>
      </c>
      <c r="R2318" s="4">
        <v>0</v>
      </c>
      <c r="S2318" s="6">
        <v>0</v>
      </c>
      <c r="T2318" s="6">
        <v>72</v>
      </c>
      <c r="U2318" s="6">
        <v>78</v>
      </c>
      <c r="V2318" s="6">
        <f>IF(ISERROR(VLOOKUP($S$2318,'TAR FIN'!$A$1:$O$95,15,0)),0,VLOOKUP($S$2318,'TAR FIN'!$A$1:$O$95,15,0))</f>
        <v>0</v>
      </c>
      <c r="W2318" s="6">
        <f>IF(ISERROR(VLOOKUP($T$2318,'TAR FIN'!$A$1:$O$95,15,0)),0,VLOOKUP($T$2318,'TAR FIN'!$A$1:$O$95,15,0))</f>
        <v>450.19</v>
      </c>
      <c r="X2318" s="6">
        <f>IF(ISERROR(VLOOKUP($U$2318,'TAR FIN'!$A$1:$O$95,15,0)),0,VLOOKUP($U$2318,'TAR FIN'!$A$1:$O$95,15,0))</f>
        <v>243.3</v>
      </c>
      <c r="Y2318" s="6"/>
      <c r="Z2318" s="6">
        <f ca="1">('TUSD BE'!$AM$53+'TUSD BF'!$AM$53+'TUSD CVA'!$AM$53)*1</f>
        <v>506.5198438752322</v>
      </c>
      <c r="AA2318" s="6">
        <f>('TE BE'!$AA$41+'TE BF'!$AA$41+'TE CVA'!$AA$41)*1</f>
        <v>297.20166373463735</v>
      </c>
      <c r="AB2318" s="6">
        <f>$K$2318*$V$2318</f>
        <v>0</v>
      </c>
      <c r="AC2318" s="6">
        <f>$M$2318*$W$2318</f>
        <v>-741.46293000000003</v>
      </c>
      <c r="AD2318" s="6">
        <f>$O$2318*$X$2318</f>
        <v>-400.71510000000001</v>
      </c>
      <c r="AE2318" s="6">
        <f>$K$2318*$Y$2318</f>
        <v>0</v>
      </c>
      <c r="AF2318" s="6">
        <f ca="1">$M$2318*$Z$2318</f>
        <v>-834.23818286250741</v>
      </c>
      <c r="AG2318" s="6">
        <f>$O$2318*$AA$2318</f>
        <v>-489.49114017094774</v>
      </c>
    </row>
    <row r="2319" spans="1:33" ht="11.25" customHeight="1" x14ac:dyDescent="0.25">
      <c r="A2319" s="4" t="s">
        <v>21</v>
      </c>
      <c r="B2319" s="4" t="s">
        <v>41</v>
      </c>
      <c r="C2319" s="4" t="s">
        <v>23</v>
      </c>
      <c r="D2319" s="4" t="s">
        <v>45</v>
      </c>
      <c r="E2319" s="4" t="s">
        <v>25</v>
      </c>
      <c r="F2319" s="4" t="s">
        <v>25</v>
      </c>
      <c r="G2319" s="4" t="s">
        <v>25</v>
      </c>
      <c r="H2319" s="4" t="s">
        <v>25</v>
      </c>
      <c r="I2319" s="5">
        <v>44317</v>
      </c>
      <c r="J2319" s="6">
        <v>0</v>
      </c>
      <c r="K2319" s="6">
        <v>0</v>
      </c>
      <c r="L2319" s="6">
        <v>39987.773999999998</v>
      </c>
      <c r="M2319" s="6">
        <v>39987.773999999998</v>
      </c>
      <c r="N2319" s="6">
        <v>39987.773999999998</v>
      </c>
      <c r="O2319" s="6">
        <v>39987.773999999998</v>
      </c>
      <c r="P2319" s="6">
        <v>47751</v>
      </c>
      <c r="Q2319" s="4" t="s">
        <v>26</v>
      </c>
      <c r="R2319" s="4">
        <v>0</v>
      </c>
      <c r="S2319" s="6">
        <v>0</v>
      </c>
      <c r="T2319" s="6">
        <v>72</v>
      </c>
      <c r="U2319" s="6">
        <v>78</v>
      </c>
      <c r="V2319" s="6">
        <f>IF(ISERROR(VLOOKUP($S$2319,'TAR FIN'!$A$1:$O$95,15,0)),0,VLOOKUP($S$2319,'TAR FIN'!$A$1:$O$95,15,0))</f>
        <v>0</v>
      </c>
      <c r="W2319" s="6">
        <f>IF(ISERROR(VLOOKUP($T$2319,'TAR FIN'!$A$1:$O$95,15,0)),0,VLOOKUP($T$2319,'TAR FIN'!$A$1:$O$95,15,0))</f>
        <v>450.19</v>
      </c>
      <c r="X2319" s="6">
        <f>IF(ISERROR(VLOOKUP($U$2319,'TAR FIN'!$A$1:$O$95,15,0)),0,VLOOKUP($U$2319,'TAR FIN'!$A$1:$O$95,15,0))</f>
        <v>243.3</v>
      </c>
      <c r="Y2319" s="6"/>
      <c r="Z2319" s="6">
        <f ca="1">('TUSD BE'!$AM$53+'TUSD BF'!$AM$53+'TUSD CVA'!$AM$53)*1</f>
        <v>506.5198438752322</v>
      </c>
      <c r="AA2319" s="6">
        <f>('TE BE'!$AA$41+'TE BF'!$AA$41+'TE CVA'!$AA$41)*1</f>
        <v>297.20166373463735</v>
      </c>
      <c r="AB2319" s="6">
        <f>$K$2319*$V$2319</f>
        <v>0</v>
      </c>
      <c r="AC2319" s="6">
        <f>$M$2319*$W$2319</f>
        <v>18002095.977059998</v>
      </c>
      <c r="AD2319" s="6">
        <f>$O$2319*$X$2319</f>
        <v>9729025.4142000005</v>
      </c>
      <c r="AE2319" s="6">
        <f>$K$2319*$Y$2319</f>
        <v>0</v>
      </c>
      <c r="AF2319" s="6">
        <f ca="1">$M$2319*$Z$2319</f>
        <v>20254601.043398067</v>
      </c>
      <c r="AG2319" s="6">
        <f>$O$2319*$AA$2319</f>
        <v>11884432.961844673</v>
      </c>
    </row>
    <row r="2320" spans="1:33" ht="11.25" customHeight="1" x14ac:dyDescent="0.25">
      <c r="A2320" s="4" t="s">
        <v>27</v>
      </c>
      <c r="B2320" s="4" t="s">
        <v>41</v>
      </c>
      <c r="C2320" s="4" t="s">
        <v>23</v>
      </c>
      <c r="D2320" s="4" t="s">
        <v>45</v>
      </c>
      <c r="E2320" s="4" t="s">
        <v>25</v>
      </c>
      <c r="F2320" s="4" t="s">
        <v>25</v>
      </c>
      <c r="G2320" s="4" t="s">
        <v>25</v>
      </c>
      <c r="H2320" s="4" t="s">
        <v>25</v>
      </c>
      <c r="I2320" s="5">
        <v>44317</v>
      </c>
      <c r="J2320" s="6">
        <v>0</v>
      </c>
      <c r="K2320" s="6">
        <v>0</v>
      </c>
      <c r="L2320" s="6">
        <v>-1918.0930000000001</v>
      </c>
      <c r="M2320" s="6">
        <v>-1918.0930000000001</v>
      </c>
      <c r="N2320" s="6">
        <v>-1918.0930000000001</v>
      </c>
      <c r="O2320" s="6">
        <v>-1918.0930000000001</v>
      </c>
      <c r="P2320" s="6">
        <v>0</v>
      </c>
      <c r="Q2320" s="4" t="s">
        <v>26</v>
      </c>
      <c r="R2320" s="4">
        <v>0</v>
      </c>
      <c r="S2320" s="6">
        <v>0</v>
      </c>
      <c r="T2320" s="6">
        <v>72</v>
      </c>
      <c r="U2320" s="6">
        <v>78</v>
      </c>
      <c r="V2320" s="6">
        <f>IF(ISERROR(VLOOKUP($S$2320,'TAR FIN'!$A$1:$O$95,15,0)),0,VLOOKUP($S$2320,'TAR FIN'!$A$1:$O$95,15,0))</f>
        <v>0</v>
      </c>
      <c r="W2320" s="6">
        <f>IF(ISERROR(VLOOKUP($T$2320,'TAR FIN'!$A$1:$O$95,15,0)),0,VLOOKUP($T$2320,'TAR FIN'!$A$1:$O$95,15,0))</f>
        <v>450.19</v>
      </c>
      <c r="X2320" s="6">
        <f>IF(ISERROR(VLOOKUP($U$2320,'TAR FIN'!$A$1:$O$95,15,0)),0,VLOOKUP($U$2320,'TAR FIN'!$A$1:$O$95,15,0))</f>
        <v>243.3</v>
      </c>
      <c r="Y2320" s="6"/>
      <c r="Z2320" s="6">
        <f ca="1">('TUSD BE'!$AM$53+'TUSD BF'!$AM$53+'TUSD CVA'!$AM$53)*1</f>
        <v>506.5198438752322</v>
      </c>
      <c r="AA2320" s="6">
        <f>('TE BE'!$AA$41+'TE BF'!$AA$41+'TE CVA'!$AA$41)*1</f>
        <v>297.20166373463735</v>
      </c>
      <c r="AB2320" s="6">
        <f>$K$2320*$V$2320</f>
        <v>0</v>
      </c>
      <c r="AC2320" s="6">
        <f>$M$2320*$W$2320</f>
        <v>-863506.28766999999</v>
      </c>
      <c r="AD2320" s="6">
        <f>$O$2320*$X$2320</f>
        <v>-466672.02690000006</v>
      </c>
      <c r="AE2320" s="6">
        <f>$K$2320*$Y$2320</f>
        <v>0</v>
      </c>
      <c r="AF2320" s="6">
        <f ca="1">$M$2320*$Z$2320</f>
        <v>-971552.16689817584</v>
      </c>
      <c r="AG2320" s="6">
        <f>$O$2320*$AA$2320</f>
        <v>-570060.43079776177</v>
      </c>
    </row>
    <row r="2321" spans="1:33" ht="11.25" customHeight="1" x14ac:dyDescent="0.25">
      <c r="A2321" s="4" t="s">
        <v>28</v>
      </c>
      <c r="B2321" s="4" t="s">
        <v>41</v>
      </c>
      <c r="C2321" s="4" t="s">
        <v>23</v>
      </c>
      <c r="D2321" s="4" t="s">
        <v>45</v>
      </c>
      <c r="E2321" s="4" t="s">
        <v>25</v>
      </c>
      <c r="F2321" s="4" t="s">
        <v>25</v>
      </c>
      <c r="G2321" s="4" t="s">
        <v>25</v>
      </c>
      <c r="H2321" s="4" t="s">
        <v>25</v>
      </c>
      <c r="I2321" s="5">
        <v>44317</v>
      </c>
      <c r="J2321" s="6">
        <v>0</v>
      </c>
      <c r="K2321" s="6">
        <v>0</v>
      </c>
      <c r="L2321" s="6">
        <v>12087.911</v>
      </c>
      <c r="M2321" s="6">
        <v>12087.911</v>
      </c>
      <c r="N2321" s="6">
        <v>12087.911</v>
      </c>
      <c r="O2321" s="6">
        <v>12087.911</v>
      </c>
      <c r="P2321" s="6">
        <v>23963</v>
      </c>
      <c r="Q2321" s="4" t="s">
        <v>26</v>
      </c>
      <c r="R2321" s="4">
        <v>0</v>
      </c>
      <c r="S2321" s="6">
        <v>0</v>
      </c>
      <c r="T2321" s="6">
        <v>72</v>
      </c>
      <c r="U2321" s="6">
        <v>78</v>
      </c>
      <c r="V2321" s="6">
        <f>IF(ISERROR(VLOOKUP($S$2321,'TAR FIN'!$A$1:$O$95,15,0)),0,VLOOKUP($S$2321,'TAR FIN'!$A$1:$O$95,15,0))</f>
        <v>0</v>
      </c>
      <c r="W2321" s="6">
        <f>IF(ISERROR(VLOOKUP($T$2321,'TAR FIN'!$A$1:$O$95,15,0)),0,VLOOKUP($T$2321,'TAR FIN'!$A$1:$O$95,15,0))</f>
        <v>450.19</v>
      </c>
      <c r="X2321" s="6">
        <f>IF(ISERROR(VLOOKUP($U$2321,'TAR FIN'!$A$1:$O$95,15,0)),0,VLOOKUP($U$2321,'TAR FIN'!$A$1:$O$95,15,0))</f>
        <v>243.3</v>
      </c>
      <c r="Y2321" s="6"/>
      <c r="Z2321" s="6">
        <f ca="1">('TUSD BE'!$AM$53+'TUSD BF'!$AM$53+'TUSD CVA'!$AM$53)*1</f>
        <v>506.5198438752322</v>
      </c>
      <c r="AA2321" s="6">
        <f>('TE BE'!$AA$41+'TE BF'!$AA$41+'TE CVA'!$AA$41)*1</f>
        <v>297.20166373463735</v>
      </c>
      <c r="AB2321" s="6">
        <f>$K$2321*$V$2321</f>
        <v>0</v>
      </c>
      <c r="AC2321" s="6">
        <f>$M$2321*$W$2321</f>
        <v>5441856.6530900002</v>
      </c>
      <c r="AD2321" s="6">
        <f>$O$2321*$X$2321</f>
        <v>2940988.7463000002</v>
      </c>
      <c r="AE2321" s="6">
        <f>$K$2321*$Y$2321</f>
        <v>0</v>
      </c>
      <c r="AF2321" s="6">
        <f ca="1">$M$2321*$Z$2321</f>
        <v>6122766.7924977019</v>
      </c>
      <c r="AG2321" s="6">
        <f>$O$2321*$AA$2321</f>
        <v>3592547.260276224</v>
      </c>
    </row>
    <row r="2322" spans="1:33" ht="11.25" customHeight="1" x14ac:dyDescent="0.25">
      <c r="A2322" s="4" t="s">
        <v>29</v>
      </c>
      <c r="B2322" s="4" t="s">
        <v>41</v>
      </c>
      <c r="C2322" s="4" t="s">
        <v>23</v>
      </c>
      <c r="D2322" s="4" t="s">
        <v>45</v>
      </c>
      <c r="E2322" s="4" t="s">
        <v>25</v>
      </c>
      <c r="F2322" s="4" t="s">
        <v>25</v>
      </c>
      <c r="G2322" s="4" t="s">
        <v>25</v>
      </c>
      <c r="H2322" s="4" t="s">
        <v>25</v>
      </c>
      <c r="I2322" s="5">
        <v>44317</v>
      </c>
      <c r="J2322" s="6">
        <v>0</v>
      </c>
      <c r="K2322" s="6">
        <v>0</v>
      </c>
      <c r="L2322" s="6">
        <v>-144.208</v>
      </c>
      <c r="M2322" s="6">
        <v>-144.208</v>
      </c>
      <c r="N2322" s="6">
        <v>-144.208</v>
      </c>
      <c r="O2322" s="6">
        <v>-144.208</v>
      </c>
      <c r="P2322" s="6">
        <v>0</v>
      </c>
      <c r="Q2322" s="4" t="s">
        <v>26</v>
      </c>
      <c r="R2322" s="4">
        <v>0</v>
      </c>
      <c r="S2322" s="6">
        <v>0</v>
      </c>
      <c r="T2322" s="6">
        <v>72</v>
      </c>
      <c r="U2322" s="6">
        <v>78</v>
      </c>
      <c r="V2322" s="6">
        <f>IF(ISERROR(VLOOKUP($S$2322,'TAR FIN'!$A$1:$O$95,15,0)),0,VLOOKUP($S$2322,'TAR FIN'!$A$1:$O$95,15,0))</f>
        <v>0</v>
      </c>
      <c r="W2322" s="6">
        <f>IF(ISERROR(VLOOKUP($T$2322,'TAR FIN'!$A$1:$O$95,15,0)),0,VLOOKUP($T$2322,'TAR FIN'!$A$1:$O$95,15,0))</f>
        <v>450.19</v>
      </c>
      <c r="X2322" s="6">
        <f>IF(ISERROR(VLOOKUP($U$2322,'TAR FIN'!$A$1:$O$95,15,0)),0,VLOOKUP($U$2322,'TAR FIN'!$A$1:$O$95,15,0))</f>
        <v>243.3</v>
      </c>
      <c r="Y2322" s="6"/>
      <c r="Z2322" s="6">
        <f ca="1">('TUSD BE'!$AM$53+'TUSD BF'!$AM$53+'TUSD CVA'!$AM$53)*1</f>
        <v>506.5198438752322</v>
      </c>
      <c r="AA2322" s="6">
        <f>('TE BE'!$AA$41+'TE BF'!$AA$41+'TE CVA'!$AA$41)*1</f>
        <v>297.20166373463735</v>
      </c>
      <c r="AB2322" s="6">
        <f>$K$2322*$V$2322</f>
        <v>0</v>
      </c>
      <c r="AC2322" s="6">
        <f>$M$2322*$W$2322</f>
        <v>-64920.999519999998</v>
      </c>
      <c r="AD2322" s="6">
        <f>$O$2322*$X$2322</f>
        <v>-35085.806400000001</v>
      </c>
      <c r="AE2322" s="6">
        <f>$K$2322*$Y$2322</f>
        <v>0</v>
      </c>
      <c r="AF2322" s="6">
        <f ca="1">$M$2322*$Z$2322</f>
        <v>-73044.213645559488</v>
      </c>
      <c r="AG2322" s="6">
        <f>$O$2322*$AA$2322</f>
        <v>-42858.857523844585</v>
      </c>
    </row>
    <row r="2323" spans="1:33" ht="11.25" customHeight="1" x14ac:dyDescent="0.25">
      <c r="A2323" s="4" t="s">
        <v>30</v>
      </c>
      <c r="B2323" s="4" t="s">
        <v>41</v>
      </c>
      <c r="C2323" s="4" t="s">
        <v>23</v>
      </c>
      <c r="D2323" s="4" t="s">
        <v>45</v>
      </c>
      <c r="E2323" s="4" t="s">
        <v>25</v>
      </c>
      <c r="F2323" s="4" t="s">
        <v>25</v>
      </c>
      <c r="G2323" s="4" t="s">
        <v>25</v>
      </c>
      <c r="H2323" s="4" t="s">
        <v>25</v>
      </c>
      <c r="I2323" s="5">
        <v>44317</v>
      </c>
      <c r="J2323" s="6">
        <v>0</v>
      </c>
      <c r="K2323" s="6">
        <v>0</v>
      </c>
      <c r="L2323" s="6">
        <v>1020.754</v>
      </c>
      <c r="M2323" s="6">
        <v>1020.754</v>
      </c>
      <c r="N2323" s="6">
        <v>1020.754</v>
      </c>
      <c r="O2323" s="6">
        <v>1020.754</v>
      </c>
      <c r="P2323" s="6">
        <v>389</v>
      </c>
      <c r="Q2323" s="4" t="s">
        <v>26</v>
      </c>
      <c r="R2323" s="4">
        <v>0</v>
      </c>
      <c r="S2323" s="6">
        <v>0</v>
      </c>
      <c r="T2323" s="6">
        <v>72</v>
      </c>
      <c r="U2323" s="6">
        <v>78</v>
      </c>
      <c r="V2323" s="6">
        <f>IF(ISERROR(VLOOKUP($S$2323,'TAR FIN'!$A$1:$O$95,15,0)),0,VLOOKUP($S$2323,'TAR FIN'!$A$1:$O$95,15,0))</f>
        <v>0</v>
      </c>
      <c r="W2323" s="6">
        <f>IF(ISERROR(VLOOKUP($T$2323,'TAR FIN'!$A$1:$O$95,15,0)),0,VLOOKUP($T$2323,'TAR FIN'!$A$1:$O$95,15,0))</f>
        <v>450.19</v>
      </c>
      <c r="X2323" s="6">
        <f>IF(ISERROR(VLOOKUP($U$2323,'TAR FIN'!$A$1:$O$95,15,0)),0,VLOOKUP($U$2323,'TAR FIN'!$A$1:$O$95,15,0))</f>
        <v>243.3</v>
      </c>
      <c r="Y2323" s="6"/>
      <c r="Z2323" s="6">
        <f ca="1">('TUSD BE'!$AM$53+'TUSD BF'!$AM$53+'TUSD CVA'!$AM$53)*1</f>
        <v>506.5198438752322</v>
      </c>
      <c r="AA2323" s="6">
        <f>('TE BE'!$AA$41+'TE BF'!$AA$41+'TE CVA'!$AA$41)*1</f>
        <v>297.20166373463735</v>
      </c>
      <c r="AB2323" s="6">
        <f>$K$2323*$V$2323</f>
        <v>0</v>
      </c>
      <c r="AC2323" s="6">
        <f>$M$2323*$W$2323</f>
        <v>459533.24326000002</v>
      </c>
      <c r="AD2323" s="6">
        <f>$O$2323*$X$2323</f>
        <v>248349.44820000001</v>
      </c>
      <c r="AE2323" s="6">
        <f>$K$2323*$Y$2323</f>
        <v>0</v>
      </c>
      <c r="AF2323" s="6">
        <f ca="1">$M$2323*$Z$2323</f>
        <v>517032.15671501879</v>
      </c>
      <c r="AG2323" s="6">
        <f>$O$2323*$AA$2323</f>
        <v>303369.787063786</v>
      </c>
    </row>
    <row r="2324" spans="1:33" ht="11.25" customHeight="1" x14ac:dyDescent="0.25">
      <c r="A2324" s="4" t="s">
        <v>30</v>
      </c>
      <c r="B2324" s="4" t="s">
        <v>41</v>
      </c>
      <c r="C2324" s="4" t="s">
        <v>23</v>
      </c>
      <c r="D2324" s="4" t="s">
        <v>45</v>
      </c>
      <c r="E2324" s="4" t="s">
        <v>25</v>
      </c>
      <c r="F2324" s="4" t="s">
        <v>25</v>
      </c>
      <c r="G2324" s="4" t="s">
        <v>25</v>
      </c>
      <c r="H2324" s="4" t="s">
        <v>25</v>
      </c>
      <c r="I2324" s="5">
        <v>44317</v>
      </c>
      <c r="J2324" s="6">
        <v>0</v>
      </c>
      <c r="K2324" s="6">
        <v>0</v>
      </c>
      <c r="L2324" s="6">
        <v>-5.5629999999999997</v>
      </c>
      <c r="M2324" s="6">
        <v>-5.5629999999999997</v>
      </c>
      <c r="N2324" s="6">
        <v>-5.5629999999999997</v>
      </c>
      <c r="O2324" s="6">
        <v>-5.5629999999999997</v>
      </c>
      <c r="P2324" s="6">
        <v>0</v>
      </c>
      <c r="Q2324" s="4" t="s">
        <v>26</v>
      </c>
      <c r="R2324" s="4">
        <v>0</v>
      </c>
      <c r="S2324" s="6">
        <v>0</v>
      </c>
      <c r="T2324" s="6">
        <v>72</v>
      </c>
      <c r="U2324" s="6">
        <v>78</v>
      </c>
      <c r="V2324" s="6">
        <f>IF(ISERROR(VLOOKUP($S$2324,'TAR FIN'!$A$1:$O$95,15,0)),0,VLOOKUP($S$2324,'TAR FIN'!$A$1:$O$95,15,0))</f>
        <v>0</v>
      </c>
      <c r="W2324" s="6">
        <f>IF(ISERROR(VLOOKUP($T$2324,'TAR FIN'!$A$1:$O$95,15,0)),0,VLOOKUP($T$2324,'TAR FIN'!$A$1:$O$95,15,0))</f>
        <v>450.19</v>
      </c>
      <c r="X2324" s="6">
        <f>IF(ISERROR(VLOOKUP($U$2324,'TAR FIN'!$A$1:$O$95,15,0)),0,VLOOKUP($U$2324,'TAR FIN'!$A$1:$O$95,15,0))</f>
        <v>243.3</v>
      </c>
      <c r="Y2324" s="6"/>
      <c r="Z2324" s="6">
        <f ca="1">('TUSD BE'!$AM$53+'TUSD BF'!$AM$53+'TUSD CVA'!$AM$53)*1</f>
        <v>506.5198438752322</v>
      </c>
      <c r="AA2324" s="6">
        <f>('TE BE'!$AA$41+'TE BF'!$AA$41+'TE CVA'!$AA$41)*1</f>
        <v>297.20166373463735</v>
      </c>
      <c r="AB2324" s="6">
        <f>$K$2324*$V$2324</f>
        <v>0</v>
      </c>
      <c r="AC2324" s="6">
        <f>$M$2324*$W$2324</f>
        <v>-2504.40697</v>
      </c>
      <c r="AD2324" s="6">
        <f>$O$2324*$X$2324</f>
        <v>-1353.4779000000001</v>
      </c>
      <c r="AE2324" s="6">
        <f>$K$2324*$Y$2324</f>
        <v>0</v>
      </c>
      <c r="AF2324" s="6">
        <f ca="1">$M$2324*$Z$2324</f>
        <v>-2817.7698914779166</v>
      </c>
      <c r="AG2324" s="6">
        <f>$O$2324*$AA$2324</f>
        <v>-1653.3328553557874</v>
      </c>
    </row>
    <row r="2325" spans="1:33" ht="11.25" customHeight="1" x14ac:dyDescent="0.25">
      <c r="A2325" s="4" t="s">
        <v>21</v>
      </c>
      <c r="B2325" s="4" t="s">
        <v>41</v>
      </c>
      <c r="C2325" s="4" t="s">
        <v>23</v>
      </c>
      <c r="D2325" s="4" t="s">
        <v>45</v>
      </c>
      <c r="E2325" s="4" t="s">
        <v>25</v>
      </c>
      <c r="F2325" s="4" t="s">
        <v>25</v>
      </c>
      <c r="G2325" s="4" t="s">
        <v>25</v>
      </c>
      <c r="H2325" s="4" t="s">
        <v>25</v>
      </c>
      <c r="I2325" s="5">
        <v>44348</v>
      </c>
      <c r="J2325" s="6">
        <v>0</v>
      </c>
      <c r="K2325" s="6">
        <v>0</v>
      </c>
      <c r="L2325" s="6">
        <v>44464.385999999999</v>
      </c>
      <c r="M2325" s="6">
        <v>44464.385999999999</v>
      </c>
      <c r="N2325" s="6">
        <v>44464.385999999999</v>
      </c>
      <c r="O2325" s="6">
        <v>44464.385999999999</v>
      </c>
      <c r="P2325" s="6">
        <v>48305</v>
      </c>
      <c r="Q2325" s="4" t="s">
        <v>26</v>
      </c>
      <c r="R2325" s="4">
        <v>0</v>
      </c>
      <c r="S2325" s="6">
        <v>0</v>
      </c>
      <c r="T2325" s="6">
        <v>72</v>
      </c>
      <c r="U2325" s="6">
        <v>78</v>
      </c>
      <c r="V2325" s="6">
        <f>IF(ISERROR(VLOOKUP($S$2325,'TAR FIN'!$A$1:$O$95,15,0)),0,VLOOKUP($S$2325,'TAR FIN'!$A$1:$O$95,15,0))</f>
        <v>0</v>
      </c>
      <c r="W2325" s="6">
        <f>IF(ISERROR(VLOOKUP($T$2325,'TAR FIN'!$A$1:$O$95,15,0)),0,VLOOKUP($T$2325,'TAR FIN'!$A$1:$O$95,15,0))</f>
        <v>450.19</v>
      </c>
      <c r="X2325" s="6">
        <f>IF(ISERROR(VLOOKUP($U$2325,'TAR FIN'!$A$1:$O$95,15,0)),0,VLOOKUP($U$2325,'TAR FIN'!$A$1:$O$95,15,0))</f>
        <v>243.3</v>
      </c>
      <c r="Y2325" s="6"/>
      <c r="Z2325" s="6">
        <f ca="1">('TUSD BE'!$AM$53+'TUSD BF'!$AM$53+'TUSD CVA'!$AM$53)*1</f>
        <v>506.5198438752322</v>
      </c>
      <c r="AA2325" s="6">
        <f>('TE BE'!$AA$41+'TE BF'!$AA$41+'TE CVA'!$AA$41)*1</f>
        <v>297.20166373463735</v>
      </c>
      <c r="AB2325" s="6">
        <f>$K$2325*$V$2325</f>
        <v>0</v>
      </c>
      <c r="AC2325" s="6">
        <f>$M$2325*$W$2325</f>
        <v>20017421.933339998</v>
      </c>
      <c r="AD2325" s="6">
        <f>$O$2325*$X$2325</f>
        <v>10818185.1138</v>
      </c>
      <c r="AE2325" s="6">
        <f>$K$2325*$Y$2325</f>
        <v>0</v>
      </c>
      <c r="AF2325" s="6">
        <f ca="1">$M$2325*$Z$2325</f>
        <v>22522093.854728058</v>
      </c>
      <c r="AG2325" s="6">
        <f>$O$2325*$AA$2325</f>
        <v>13214889.496139117</v>
      </c>
    </row>
    <row r="2326" spans="1:33" ht="11.25" customHeight="1" x14ac:dyDescent="0.25">
      <c r="A2326" s="4" t="s">
        <v>27</v>
      </c>
      <c r="B2326" s="4" t="s">
        <v>41</v>
      </c>
      <c r="C2326" s="4" t="s">
        <v>23</v>
      </c>
      <c r="D2326" s="4" t="s">
        <v>45</v>
      </c>
      <c r="E2326" s="4" t="s">
        <v>25</v>
      </c>
      <c r="F2326" s="4" t="s">
        <v>25</v>
      </c>
      <c r="G2326" s="4" t="s">
        <v>25</v>
      </c>
      <c r="H2326" s="4" t="s">
        <v>25</v>
      </c>
      <c r="I2326" s="5">
        <v>44348</v>
      </c>
      <c r="J2326" s="6">
        <v>0</v>
      </c>
      <c r="K2326" s="6">
        <v>0</v>
      </c>
      <c r="L2326" s="6">
        <v>-2346.9409999999998</v>
      </c>
      <c r="M2326" s="6">
        <v>-2346.9409999999998</v>
      </c>
      <c r="N2326" s="6">
        <v>-2346.9409999999998</v>
      </c>
      <c r="O2326" s="6">
        <v>-2346.9409999999998</v>
      </c>
      <c r="P2326" s="6">
        <v>0</v>
      </c>
      <c r="Q2326" s="4" t="s">
        <v>26</v>
      </c>
      <c r="R2326" s="4">
        <v>0</v>
      </c>
      <c r="S2326" s="6">
        <v>0</v>
      </c>
      <c r="T2326" s="6">
        <v>72</v>
      </c>
      <c r="U2326" s="6">
        <v>78</v>
      </c>
      <c r="V2326" s="6">
        <f>IF(ISERROR(VLOOKUP($S$2326,'TAR FIN'!$A$1:$O$95,15,0)),0,VLOOKUP($S$2326,'TAR FIN'!$A$1:$O$95,15,0))</f>
        <v>0</v>
      </c>
      <c r="W2326" s="6">
        <f>IF(ISERROR(VLOOKUP($T$2326,'TAR FIN'!$A$1:$O$95,15,0)),0,VLOOKUP($T$2326,'TAR FIN'!$A$1:$O$95,15,0))</f>
        <v>450.19</v>
      </c>
      <c r="X2326" s="6">
        <f>IF(ISERROR(VLOOKUP($U$2326,'TAR FIN'!$A$1:$O$95,15,0)),0,VLOOKUP($U$2326,'TAR FIN'!$A$1:$O$95,15,0))</f>
        <v>243.3</v>
      </c>
      <c r="Y2326" s="6"/>
      <c r="Z2326" s="6">
        <f ca="1">('TUSD BE'!$AM$53+'TUSD BF'!$AM$53+'TUSD CVA'!$AM$53)*1</f>
        <v>506.5198438752322</v>
      </c>
      <c r="AA2326" s="6">
        <f>('TE BE'!$AA$41+'TE BF'!$AA$41+'TE CVA'!$AA$41)*1</f>
        <v>297.20166373463735</v>
      </c>
      <c r="AB2326" s="6">
        <f>$K$2326*$V$2326</f>
        <v>0</v>
      </c>
      <c r="AC2326" s="6">
        <f>$M$2326*$W$2326</f>
        <v>-1056569.36879</v>
      </c>
      <c r="AD2326" s="6">
        <f>$O$2326*$X$2326</f>
        <v>-571010.74529999995</v>
      </c>
      <c r="AE2326" s="6">
        <f>$K$2326*$Y$2326</f>
        <v>0</v>
      </c>
      <c r="AF2326" s="6">
        <f ca="1">$M$2326*$Z$2326</f>
        <v>-1188772.1889043811</v>
      </c>
      <c r="AG2326" s="6">
        <f>$O$2326*$AA$2326</f>
        <v>-697514.7698870335</v>
      </c>
    </row>
    <row r="2327" spans="1:33" ht="11.25" customHeight="1" x14ac:dyDescent="0.25">
      <c r="A2327" s="4" t="s">
        <v>28</v>
      </c>
      <c r="B2327" s="4" t="s">
        <v>41</v>
      </c>
      <c r="C2327" s="4" t="s">
        <v>23</v>
      </c>
      <c r="D2327" s="4" t="s">
        <v>45</v>
      </c>
      <c r="E2327" s="4" t="s">
        <v>25</v>
      </c>
      <c r="F2327" s="4" t="s">
        <v>25</v>
      </c>
      <c r="G2327" s="4" t="s">
        <v>25</v>
      </c>
      <c r="H2327" s="4" t="s">
        <v>25</v>
      </c>
      <c r="I2327" s="5">
        <v>44348</v>
      </c>
      <c r="J2327" s="6">
        <v>0</v>
      </c>
      <c r="K2327" s="6">
        <v>0</v>
      </c>
      <c r="L2327" s="6">
        <v>13332.038</v>
      </c>
      <c r="M2327" s="6">
        <v>13332.038</v>
      </c>
      <c r="N2327" s="6">
        <v>13332.038</v>
      </c>
      <c r="O2327" s="6">
        <v>13332.038</v>
      </c>
      <c r="P2327" s="6">
        <v>24072</v>
      </c>
      <c r="Q2327" s="4" t="s">
        <v>26</v>
      </c>
      <c r="R2327" s="4">
        <v>0</v>
      </c>
      <c r="S2327" s="6">
        <v>0</v>
      </c>
      <c r="T2327" s="6">
        <v>72</v>
      </c>
      <c r="U2327" s="6">
        <v>78</v>
      </c>
      <c r="V2327" s="6">
        <f>IF(ISERROR(VLOOKUP($S$2327,'TAR FIN'!$A$1:$O$95,15,0)),0,VLOOKUP($S$2327,'TAR FIN'!$A$1:$O$95,15,0))</f>
        <v>0</v>
      </c>
      <c r="W2327" s="6">
        <f>IF(ISERROR(VLOOKUP($T$2327,'TAR FIN'!$A$1:$O$95,15,0)),0,VLOOKUP($T$2327,'TAR FIN'!$A$1:$O$95,15,0))</f>
        <v>450.19</v>
      </c>
      <c r="X2327" s="6">
        <f>IF(ISERROR(VLOOKUP($U$2327,'TAR FIN'!$A$1:$O$95,15,0)),0,VLOOKUP($U$2327,'TAR FIN'!$A$1:$O$95,15,0))</f>
        <v>243.3</v>
      </c>
      <c r="Y2327" s="6"/>
      <c r="Z2327" s="6">
        <f ca="1">('TUSD BE'!$AM$53+'TUSD BF'!$AM$53+'TUSD CVA'!$AM$53)*1</f>
        <v>506.5198438752322</v>
      </c>
      <c r="AA2327" s="6">
        <f>('TE BE'!$AA$41+'TE BF'!$AA$41+'TE CVA'!$AA$41)*1</f>
        <v>297.20166373463735</v>
      </c>
      <c r="AB2327" s="6">
        <f>$K$2327*$V$2327</f>
        <v>0</v>
      </c>
      <c r="AC2327" s="6">
        <f>$M$2327*$W$2327</f>
        <v>6001950.1872199997</v>
      </c>
      <c r="AD2327" s="6">
        <f>$O$2327*$X$2327</f>
        <v>3243684.8454000005</v>
      </c>
      <c r="AE2327" s="6">
        <f>$K$2327*$Y$2327</f>
        <v>0</v>
      </c>
      <c r="AF2327" s="6">
        <f ca="1">$M$2327*$Z$2327</f>
        <v>6752941.8062986629</v>
      </c>
      <c r="AG2327" s="6">
        <f>$O$2327*$AA$2327</f>
        <v>3962303.8745734072</v>
      </c>
    </row>
    <row r="2328" spans="1:33" ht="11.25" customHeight="1" x14ac:dyDescent="0.25">
      <c r="A2328" s="4" t="s">
        <v>29</v>
      </c>
      <c r="B2328" s="4" t="s">
        <v>41</v>
      </c>
      <c r="C2328" s="4" t="s">
        <v>23</v>
      </c>
      <c r="D2328" s="4" t="s">
        <v>45</v>
      </c>
      <c r="E2328" s="4" t="s">
        <v>25</v>
      </c>
      <c r="F2328" s="4" t="s">
        <v>25</v>
      </c>
      <c r="G2328" s="4" t="s">
        <v>25</v>
      </c>
      <c r="H2328" s="4" t="s">
        <v>25</v>
      </c>
      <c r="I2328" s="5">
        <v>44348</v>
      </c>
      <c r="J2328" s="6">
        <v>0</v>
      </c>
      <c r="K2328" s="6">
        <v>0</v>
      </c>
      <c r="L2328" s="6">
        <v>-590.11300000000006</v>
      </c>
      <c r="M2328" s="6">
        <v>-590.11300000000006</v>
      </c>
      <c r="N2328" s="6">
        <v>-590.11300000000006</v>
      </c>
      <c r="O2328" s="6">
        <v>-590.11300000000006</v>
      </c>
      <c r="P2328" s="6">
        <v>0</v>
      </c>
      <c r="Q2328" s="4" t="s">
        <v>26</v>
      </c>
      <c r="R2328" s="4">
        <v>0</v>
      </c>
      <c r="S2328" s="6">
        <v>0</v>
      </c>
      <c r="T2328" s="6">
        <v>72</v>
      </c>
      <c r="U2328" s="6">
        <v>78</v>
      </c>
      <c r="V2328" s="6">
        <f>IF(ISERROR(VLOOKUP($S$2328,'TAR FIN'!$A$1:$O$95,15,0)),0,VLOOKUP($S$2328,'TAR FIN'!$A$1:$O$95,15,0))</f>
        <v>0</v>
      </c>
      <c r="W2328" s="6">
        <f>IF(ISERROR(VLOOKUP($T$2328,'TAR FIN'!$A$1:$O$95,15,0)),0,VLOOKUP($T$2328,'TAR FIN'!$A$1:$O$95,15,0))</f>
        <v>450.19</v>
      </c>
      <c r="X2328" s="6">
        <f>IF(ISERROR(VLOOKUP($U$2328,'TAR FIN'!$A$1:$O$95,15,0)),0,VLOOKUP($U$2328,'TAR FIN'!$A$1:$O$95,15,0))</f>
        <v>243.3</v>
      </c>
      <c r="Y2328" s="6"/>
      <c r="Z2328" s="6">
        <f ca="1">('TUSD BE'!$AM$53+'TUSD BF'!$AM$53+'TUSD CVA'!$AM$53)*1</f>
        <v>506.5198438752322</v>
      </c>
      <c r="AA2328" s="6">
        <f>('TE BE'!$AA$41+'TE BF'!$AA$41+'TE CVA'!$AA$41)*1</f>
        <v>297.20166373463735</v>
      </c>
      <c r="AB2328" s="6">
        <f>$K$2328*$V$2328</f>
        <v>0</v>
      </c>
      <c r="AC2328" s="6">
        <f>$M$2328*$W$2328</f>
        <v>-265662.97147000005</v>
      </c>
      <c r="AD2328" s="6">
        <f>$O$2328*$X$2328</f>
        <v>-143574.49290000001</v>
      </c>
      <c r="AE2328" s="6">
        <f>$K$2328*$Y$2328</f>
        <v>0</v>
      </c>
      <c r="AF2328" s="6">
        <f ca="1">$M$2328*$Z$2328</f>
        <v>-298903.94462874491</v>
      </c>
      <c r="AG2328" s="6">
        <f>$O$2328*$AA$2328</f>
        <v>-175382.56539143805</v>
      </c>
    </row>
    <row r="2329" spans="1:33" ht="11.25" customHeight="1" x14ac:dyDescent="0.25">
      <c r="A2329" s="4" t="s">
        <v>30</v>
      </c>
      <c r="B2329" s="4" t="s">
        <v>41</v>
      </c>
      <c r="C2329" s="4" t="s">
        <v>23</v>
      </c>
      <c r="D2329" s="4" t="s">
        <v>45</v>
      </c>
      <c r="E2329" s="4" t="s">
        <v>25</v>
      </c>
      <c r="F2329" s="4" t="s">
        <v>25</v>
      </c>
      <c r="G2329" s="4" t="s">
        <v>25</v>
      </c>
      <c r="H2329" s="4" t="s">
        <v>25</v>
      </c>
      <c r="I2329" s="5">
        <v>44348</v>
      </c>
      <c r="J2329" s="6">
        <v>0</v>
      </c>
      <c r="K2329" s="6">
        <v>0</v>
      </c>
      <c r="L2329" s="6">
        <v>1171.069</v>
      </c>
      <c r="M2329" s="6">
        <v>1171.069</v>
      </c>
      <c r="N2329" s="6">
        <v>1171.069</v>
      </c>
      <c r="O2329" s="6">
        <v>1171.069</v>
      </c>
      <c r="P2329" s="6">
        <v>434</v>
      </c>
      <c r="Q2329" s="4" t="s">
        <v>26</v>
      </c>
      <c r="R2329" s="4">
        <v>0</v>
      </c>
      <c r="S2329" s="6">
        <v>0</v>
      </c>
      <c r="T2329" s="6">
        <v>72</v>
      </c>
      <c r="U2329" s="6">
        <v>78</v>
      </c>
      <c r="V2329" s="6">
        <f>IF(ISERROR(VLOOKUP($S$2329,'TAR FIN'!$A$1:$O$95,15,0)),0,VLOOKUP($S$2329,'TAR FIN'!$A$1:$O$95,15,0))</f>
        <v>0</v>
      </c>
      <c r="W2329" s="6">
        <f>IF(ISERROR(VLOOKUP($T$2329,'TAR FIN'!$A$1:$O$95,15,0)),0,VLOOKUP($T$2329,'TAR FIN'!$A$1:$O$95,15,0))</f>
        <v>450.19</v>
      </c>
      <c r="X2329" s="6">
        <f>IF(ISERROR(VLOOKUP($U$2329,'TAR FIN'!$A$1:$O$95,15,0)),0,VLOOKUP($U$2329,'TAR FIN'!$A$1:$O$95,15,0))</f>
        <v>243.3</v>
      </c>
      <c r="Y2329" s="6"/>
      <c r="Z2329" s="6">
        <f ca="1">('TUSD BE'!$AM$53+'TUSD BF'!$AM$53+'TUSD CVA'!$AM$53)*1</f>
        <v>506.5198438752322</v>
      </c>
      <c r="AA2329" s="6">
        <f>('TE BE'!$AA$41+'TE BF'!$AA$41+'TE CVA'!$AA$41)*1</f>
        <v>297.20166373463735</v>
      </c>
      <c r="AB2329" s="6">
        <f>$K$2329*$V$2329</f>
        <v>0</v>
      </c>
      <c r="AC2329" s="6">
        <f>$M$2329*$W$2329</f>
        <v>527203.55310999998</v>
      </c>
      <c r="AD2329" s="6">
        <f>$O$2329*$X$2329</f>
        <v>284921.08769999997</v>
      </c>
      <c r="AE2329" s="6">
        <f>$K$2329*$Y$2329</f>
        <v>0</v>
      </c>
      <c r="AF2329" s="6">
        <f ca="1">$M$2329*$Z$2329</f>
        <v>593169.68704712426</v>
      </c>
      <c r="AG2329" s="6">
        <f>$O$2329*$AA$2329</f>
        <v>348043.65514805802</v>
      </c>
    </row>
    <row r="2330" spans="1:33" ht="11.25" customHeight="1" x14ac:dyDescent="0.25">
      <c r="A2330" s="4" t="s">
        <v>30</v>
      </c>
      <c r="B2330" s="4" t="s">
        <v>41</v>
      </c>
      <c r="C2330" s="4" t="s">
        <v>23</v>
      </c>
      <c r="D2330" s="4" t="s">
        <v>45</v>
      </c>
      <c r="E2330" s="4" t="s">
        <v>25</v>
      </c>
      <c r="F2330" s="4" t="s">
        <v>25</v>
      </c>
      <c r="G2330" s="4" t="s">
        <v>25</v>
      </c>
      <c r="H2330" s="4" t="s">
        <v>25</v>
      </c>
      <c r="I2330" s="5">
        <v>44348</v>
      </c>
      <c r="J2330" s="6">
        <v>0</v>
      </c>
      <c r="K2330" s="6">
        <v>0</v>
      </c>
      <c r="L2330" s="6">
        <v>-2.9119999999999999</v>
      </c>
      <c r="M2330" s="6">
        <v>-2.9119999999999999</v>
      </c>
      <c r="N2330" s="6">
        <v>-2.9119999999999999</v>
      </c>
      <c r="O2330" s="6">
        <v>-2.9119999999999999</v>
      </c>
      <c r="P2330" s="6">
        <v>0</v>
      </c>
      <c r="Q2330" s="4" t="s">
        <v>26</v>
      </c>
      <c r="R2330" s="4">
        <v>0</v>
      </c>
      <c r="S2330" s="6">
        <v>0</v>
      </c>
      <c r="T2330" s="6">
        <v>72</v>
      </c>
      <c r="U2330" s="6">
        <v>78</v>
      </c>
      <c r="V2330" s="6">
        <f>IF(ISERROR(VLOOKUP($S$2330,'TAR FIN'!$A$1:$O$95,15,0)),0,VLOOKUP($S$2330,'TAR FIN'!$A$1:$O$95,15,0))</f>
        <v>0</v>
      </c>
      <c r="W2330" s="6">
        <f>IF(ISERROR(VLOOKUP($T$2330,'TAR FIN'!$A$1:$O$95,15,0)),0,VLOOKUP($T$2330,'TAR FIN'!$A$1:$O$95,15,0))</f>
        <v>450.19</v>
      </c>
      <c r="X2330" s="6">
        <f>IF(ISERROR(VLOOKUP($U$2330,'TAR FIN'!$A$1:$O$95,15,0)),0,VLOOKUP($U$2330,'TAR FIN'!$A$1:$O$95,15,0))</f>
        <v>243.3</v>
      </c>
      <c r="Y2330" s="6"/>
      <c r="Z2330" s="6">
        <f ca="1">('TUSD BE'!$AM$53+'TUSD BF'!$AM$53+'TUSD CVA'!$AM$53)*1</f>
        <v>506.5198438752322</v>
      </c>
      <c r="AA2330" s="6">
        <f>('TE BE'!$AA$41+'TE BF'!$AA$41+'TE CVA'!$AA$41)*1</f>
        <v>297.20166373463735</v>
      </c>
      <c r="AB2330" s="6">
        <f>$K$2330*$V$2330</f>
        <v>0</v>
      </c>
      <c r="AC2330" s="6">
        <f>$M$2330*$W$2330</f>
        <v>-1310.9532799999999</v>
      </c>
      <c r="AD2330" s="6">
        <f>$O$2330*$X$2330</f>
        <v>-708.4896</v>
      </c>
      <c r="AE2330" s="6">
        <f>$K$2330*$Y$2330</f>
        <v>0</v>
      </c>
      <c r="AF2330" s="6">
        <f ca="1">$M$2330*$Z$2330</f>
        <v>-1474.9857853646761</v>
      </c>
      <c r="AG2330" s="6">
        <f>$O$2330*$AA$2330</f>
        <v>-865.45124479526396</v>
      </c>
    </row>
    <row r="2331" spans="1:33" ht="11.25" customHeight="1" x14ac:dyDescent="0.25">
      <c r="A2331" s="4" t="s">
        <v>21</v>
      </c>
      <c r="B2331" s="4" t="s">
        <v>41</v>
      </c>
      <c r="C2331" s="4" t="s">
        <v>23</v>
      </c>
      <c r="D2331" s="4" t="s">
        <v>45</v>
      </c>
      <c r="E2331" s="4" t="s">
        <v>25</v>
      </c>
      <c r="F2331" s="4" t="s">
        <v>25</v>
      </c>
      <c r="G2331" s="4" t="s">
        <v>25</v>
      </c>
      <c r="H2331" s="4" t="s">
        <v>25</v>
      </c>
      <c r="I2331" s="5">
        <v>44378</v>
      </c>
      <c r="J2331" s="6">
        <v>0</v>
      </c>
      <c r="K2331" s="6">
        <v>0</v>
      </c>
      <c r="L2331" s="6">
        <v>47190.413999999997</v>
      </c>
      <c r="M2331" s="6">
        <v>47190.413999999997</v>
      </c>
      <c r="N2331" s="6">
        <v>47190.413999999997</v>
      </c>
      <c r="O2331" s="6">
        <v>47190.413999999997</v>
      </c>
      <c r="P2331" s="6">
        <v>48805</v>
      </c>
      <c r="Q2331" s="4" t="s">
        <v>26</v>
      </c>
      <c r="R2331" s="4">
        <v>0</v>
      </c>
      <c r="S2331" s="6">
        <v>0</v>
      </c>
      <c r="T2331" s="6">
        <v>72</v>
      </c>
      <c r="U2331" s="6">
        <v>78</v>
      </c>
      <c r="V2331" s="6">
        <f>IF(ISERROR(VLOOKUP($S$2331,'TAR FIN'!$A$1:$O$95,15,0)),0,VLOOKUP($S$2331,'TAR FIN'!$A$1:$O$95,15,0))</f>
        <v>0</v>
      </c>
      <c r="W2331" s="6">
        <f>IF(ISERROR(VLOOKUP($T$2331,'TAR FIN'!$A$1:$O$95,15,0)),0,VLOOKUP($T$2331,'TAR FIN'!$A$1:$O$95,15,0))</f>
        <v>450.19</v>
      </c>
      <c r="X2331" s="6">
        <f>IF(ISERROR(VLOOKUP($U$2331,'TAR FIN'!$A$1:$O$95,15,0)),0,VLOOKUP($U$2331,'TAR FIN'!$A$1:$O$95,15,0))</f>
        <v>243.3</v>
      </c>
      <c r="Y2331" s="6"/>
      <c r="Z2331" s="6">
        <f ca="1">('TUSD BE'!$AM$53+'TUSD BF'!$AM$53+'TUSD CVA'!$AM$53)*1</f>
        <v>506.5198438752322</v>
      </c>
      <c r="AA2331" s="6">
        <f>('TE BE'!$AA$41+'TE BF'!$AA$41+'TE CVA'!$AA$41)*1</f>
        <v>297.20166373463735</v>
      </c>
      <c r="AB2331" s="6">
        <f>$K$2331*$V$2331</f>
        <v>0</v>
      </c>
      <c r="AC2331" s="6">
        <f>$M$2331*$W$2331</f>
        <v>21244652.478659999</v>
      </c>
      <c r="AD2331" s="6">
        <f>$O$2331*$X$2331</f>
        <v>11481427.726199999</v>
      </c>
      <c r="AE2331" s="6">
        <f>$K$2331*$Y$2331</f>
        <v>0</v>
      </c>
      <c r="AF2331" s="6">
        <f ca="1">$M$2331*$Z$2331</f>
        <v>23902881.13168757</v>
      </c>
      <c r="AG2331" s="6">
        <f>$O$2331*$AA$2331</f>
        <v>14025069.553126322</v>
      </c>
    </row>
    <row r="2332" spans="1:33" ht="11.25" customHeight="1" x14ac:dyDescent="0.25">
      <c r="A2332" s="4" t="s">
        <v>27</v>
      </c>
      <c r="B2332" s="4" t="s">
        <v>41</v>
      </c>
      <c r="C2332" s="4" t="s">
        <v>23</v>
      </c>
      <c r="D2332" s="4" t="s">
        <v>45</v>
      </c>
      <c r="E2332" s="4" t="s">
        <v>25</v>
      </c>
      <c r="F2332" s="4" t="s">
        <v>25</v>
      </c>
      <c r="G2332" s="4" t="s">
        <v>25</v>
      </c>
      <c r="H2332" s="4" t="s">
        <v>25</v>
      </c>
      <c r="I2332" s="5">
        <v>44378</v>
      </c>
      <c r="J2332" s="6">
        <v>0</v>
      </c>
      <c r="K2332" s="6">
        <v>0</v>
      </c>
      <c r="L2332" s="6">
        <v>-1382.42</v>
      </c>
      <c r="M2332" s="6">
        <v>-1382.42</v>
      </c>
      <c r="N2332" s="6">
        <v>-1382.42</v>
      </c>
      <c r="O2332" s="6">
        <v>-1382.42</v>
      </c>
      <c r="P2332" s="6">
        <v>0</v>
      </c>
      <c r="Q2332" s="4" t="s">
        <v>26</v>
      </c>
      <c r="R2332" s="4">
        <v>0</v>
      </c>
      <c r="S2332" s="6">
        <v>0</v>
      </c>
      <c r="T2332" s="6">
        <v>72</v>
      </c>
      <c r="U2332" s="6">
        <v>78</v>
      </c>
      <c r="V2332" s="6">
        <f>IF(ISERROR(VLOOKUP($S$2332,'TAR FIN'!$A$1:$O$95,15,0)),0,VLOOKUP($S$2332,'TAR FIN'!$A$1:$O$95,15,0))</f>
        <v>0</v>
      </c>
      <c r="W2332" s="6">
        <f>IF(ISERROR(VLOOKUP($T$2332,'TAR FIN'!$A$1:$O$95,15,0)),0,VLOOKUP($T$2332,'TAR FIN'!$A$1:$O$95,15,0))</f>
        <v>450.19</v>
      </c>
      <c r="X2332" s="6">
        <f>IF(ISERROR(VLOOKUP($U$2332,'TAR FIN'!$A$1:$O$95,15,0)),0,VLOOKUP($U$2332,'TAR FIN'!$A$1:$O$95,15,0))</f>
        <v>243.3</v>
      </c>
      <c r="Y2332" s="6"/>
      <c r="Z2332" s="6">
        <f ca="1">('TUSD BE'!$AM$53+'TUSD BF'!$AM$53+'TUSD CVA'!$AM$53)*1</f>
        <v>506.5198438752322</v>
      </c>
      <c r="AA2332" s="6">
        <f>('TE BE'!$AA$41+'TE BF'!$AA$41+'TE CVA'!$AA$41)*1</f>
        <v>297.20166373463735</v>
      </c>
      <c r="AB2332" s="6">
        <f>$K$2332*$V$2332</f>
        <v>0</v>
      </c>
      <c r="AC2332" s="6">
        <f>$M$2332*$W$2332</f>
        <v>-622351.65980000002</v>
      </c>
      <c r="AD2332" s="6">
        <f>$O$2332*$X$2332</f>
        <v>-336342.78600000002</v>
      </c>
      <c r="AE2332" s="6">
        <f>$K$2332*$Y$2332</f>
        <v>0</v>
      </c>
      <c r="AF2332" s="6">
        <f ca="1">$M$2332*$Z$2332</f>
        <v>-700223.16256999853</v>
      </c>
      <c r="AG2332" s="6">
        <f>$O$2332*$AA$2332</f>
        <v>-410857.52398003737</v>
      </c>
    </row>
    <row r="2333" spans="1:33" ht="11.25" customHeight="1" x14ac:dyDescent="0.25">
      <c r="A2333" s="4" t="s">
        <v>28</v>
      </c>
      <c r="B2333" s="4" t="s">
        <v>41</v>
      </c>
      <c r="C2333" s="4" t="s">
        <v>23</v>
      </c>
      <c r="D2333" s="4" t="s">
        <v>45</v>
      </c>
      <c r="E2333" s="4" t="s">
        <v>25</v>
      </c>
      <c r="F2333" s="4" t="s">
        <v>25</v>
      </c>
      <c r="G2333" s="4" t="s">
        <v>25</v>
      </c>
      <c r="H2333" s="4" t="s">
        <v>25</v>
      </c>
      <c r="I2333" s="5">
        <v>44378</v>
      </c>
      <c r="J2333" s="6">
        <v>0</v>
      </c>
      <c r="K2333" s="6">
        <v>0</v>
      </c>
      <c r="L2333" s="6">
        <v>12342.057000000001</v>
      </c>
      <c r="M2333" s="6">
        <v>12342.057000000001</v>
      </c>
      <c r="N2333" s="6">
        <v>12342.057000000001</v>
      </c>
      <c r="O2333" s="6">
        <v>12342.057000000001</v>
      </c>
      <c r="P2333" s="6">
        <v>23993</v>
      </c>
      <c r="Q2333" s="4" t="s">
        <v>26</v>
      </c>
      <c r="R2333" s="4">
        <v>0</v>
      </c>
      <c r="S2333" s="6">
        <v>0</v>
      </c>
      <c r="T2333" s="6">
        <v>72</v>
      </c>
      <c r="U2333" s="6">
        <v>78</v>
      </c>
      <c r="V2333" s="6">
        <f>IF(ISERROR(VLOOKUP($S$2333,'TAR FIN'!$A$1:$O$95,15,0)),0,VLOOKUP($S$2333,'TAR FIN'!$A$1:$O$95,15,0))</f>
        <v>0</v>
      </c>
      <c r="W2333" s="6">
        <f>IF(ISERROR(VLOOKUP($T$2333,'TAR FIN'!$A$1:$O$95,15,0)),0,VLOOKUP($T$2333,'TAR FIN'!$A$1:$O$95,15,0))</f>
        <v>450.19</v>
      </c>
      <c r="X2333" s="6">
        <f>IF(ISERROR(VLOOKUP($U$2333,'TAR FIN'!$A$1:$O$95,15,0)),0,VLOOKUP($U$2333,'TAR FIN'!$A$1:$O$95,15,0))</f>
        <v>243.3</v>
      </c>
      <c r="Y2333" s="6"/>
      <c r="Z2333" s="6">
        <f ca="1">('TUSD BE'!$AM$53+'TUSD BF'!$AM$53+'TUSD CVA'!$AM$53)*1</f>
        <v>506.5198438752322</v>
      </c>
      <c r="AA2333" s="6">
        <f>('TE BE'!$AA$41+'TE BF'!$AA$41+'TE CVA'!$AA$41)*1</f>
        <v>297.20166373463735</v>
      </c>
      <c r="AB2333" s="6">
        <f>$K$2333*$V$2333</f>
        <v>0</v>
      </c>
      <c r="AC2333" s="6">
        <f>$M$2333*$W$2333</f>
        <v>5556270.6408299999</v>
      </c>
      <c r="AD2333" s="6">
        <f>$O$2333*$X$2333</f>
        <v>3002822.4681000002</v>
      </c>
      <c r="AE2333" s="6">
        <f>$K$2333*$Y$2333</f>
        <v>0</v>
      </c>
      <c r="AF2333" s="6">
        <f ca="1">$M$2333*$Z$2333</f>
        <v>6251496.7847392168</v>
      </c>
      <c r="AG2333" s="6">
        <f>$O$2333*$AA$2333</f>
        <v>3668079.8743077274</v>
      </c>
    </row>
    <row r="2334" spans="1:33" ht="11.25" customHeight="1" x14ac:dyDescent="0.25">
      <c r="A2334" s="4" t="s">
        <v>29</v>
      </c>
      <c r="B2334" s="4" t="s">
        <v>41</v>
      </c>
      <c r="C2334" s="4" t="s">
        <v>23</v>
      </c>
      <c r="D2334" s="4" t="s">
        <v>45</v>
      </c>
      <c r="E2334" s="4" t="s">
        <v>25</v>
      </c>
      <c r="F2334" s="4" t="s">
        <v>25</v>
      </c>
      <c r="G2334" s="4" t="s">
        <v>25</v>
      </c>
      <c r="H2334" s="4" t="s">
        <v>25</v>
      </c>
      <c r="I2334" s="5">
        <v>44378</v>
      </c>
      <c r="J2334" s="6">
        <v>0</v>
      </c>
      <c r="K2334" s="6">
        <v>0</v>
      </c>
      <c r="L2334" s="6">
        <v>-154.84100000000001</v>
      </c>
      <c r="M2334" s="6">
        <v>-154.84100000000001</v>
      </c>
      <c r="N2334" s="6">
        <v>-154.84100000000001</v>
      </c>
      <c r="O2334" s="6">
        <v>-154.84100000000001</v>
      </c>
      <c r="P2334" s="6">
        <v>0</v>
      </c>
      <c r="Q2334" s="4" t="s">
        <v>26</v>
      </c>
      <c r="R2334" s="4">
        <v>0</v>
      </c>
      <c r="S2334" s="6">
        <v>0</v>
      </c>
      <c r="T2334" s="6">
        <v>72</v>
      </c>
      <c r="U2334" s="6">
        <v>78</v>
      </c>
      <c r="V2334" s="6">
        <f>IF(ISERROR(VLOOKUP($S$2334,'TAR FIN'!$A$1:$O$95,15,0)),0,VLOOKUP($S$2334,'TAR FIN'!$A$1:$O$95,15,0))</f>
        <v>0</v>
      </c>
      <c r="W2334" s="6">
        <f>IF(ISERROR(VLOOKUP($T$2334,'TAR FIN'!$A$1:$O$95,15,0)),0,VLOOKUP($T$2334,'TAR FIN'!$A$1:$O$95,15,0))</f>
        <v>450.19</v>
      </c>
      <c r="X2334" s="6">
        <f>IF(ISERROR(VLOOKUP($U$2334,'TAR FIN'!$A$1:$O$95,15,0)),0,VLOOKUP($U$2334,'TAR FIN'!$A$1:$O$95,15,0))</f>
        <v>243.3</v>
      </c>
      <c r="Y2334" s="6"/>
      <c r="Z2334" s="6">
        <f ca="1">('TUSD BE'!$AM$53+'TUSD BF'!$AM$53+'TUSD CVA'!$AM$53)*1</f>
        <v>506.5198438752322</v>
      </c>
      <c r="AA2334" s="6">
        <f>('TE BE'!$AA$41+'TE BF'!$AA$41+'TE CVA'!$AA$41)*1</f>
        <v>297.20166373463735</v>
      </c>
      <c r="AB2334" s="6">
        <f>$K$2334*$V$2334</f>
        <v>0</v>
      </c>
      <c r="AC2334" s="6">
        <f>$M$2334*$W$2334</f>
        <v>-69707.869789999997</v>
      </c>
      <c r="AD2334" s="6">
        <f>$O$2334*$X$2334</f>
        <v>-37672.815300000002</v>
      </c>
      <c r="AE2334" s="6">
        <f>$K$2334*$Y$2334</f>
        <v>0</v>
      </c>
      <c r="AF2334" s="6">
        <f ca="1">$M$2334*$Z$2334</f>
        <v>-78430.039145484829</v>
      </c>
      <c r="AG2334" s="6">
        <f>$O$2334*$AA$2334</f>
        <v>-46019.002814334985</v>
      </c>
    </row>
    <row r="2335" spans="1:33" ht="11.25" customHeight="1" x14ac:dyDescent="0.25">
      <c r="A2335" s="4" t="s">
        <v>30</v>
      </c>
      <c r="B2335" s="4" t="s">
        <v>41</v>
      </c>
      <c r="C2335" s="4" t="s">
        <v>23</v>
      </c>
      <c r="D2335" s="4" t="s">
        <v>45</v>
      </c>
      <c r="E2335" s="4" t="s">
        <v>25</v>
      </c>
      <c r="F2335" s="4" t="s">
        <v>25</v>
      </c>
      <c r="G2335" s="4" t="s">
        <v>25</v>
      </c>
      <c r="H2335" s="4" t="s">
        <v>25</v>
      </c>
      <c r="I2335" s="5">
        <v>44378</v>
      </c>
      <c r="J2335" s="6">
        <v>0</v>
      </c>
      <c r="K2335" s="6">
        <v>0</v>
      </c>
      <c r="L2335" s="6">
        <v>1233.58</v>
      </c>
      <c r="M2335" s="6">
        <v>1233.58</v>
      </c>
      <c r="N2335" s="6">
        <v>1233.58</v>
      </c>
      <c r="O2335" s="6">
        <v>1233.58</v>
      </c>
      <c r="P2335" s="6">
        <v>472</v>
      </c>
      <c r="Q2335" s="4" t="s">
        <v>26</v>
      </c>
      <c r="R2335" s="4">
        <v>0</v>
      </c>
      <c r="S2335" s="6">
        <v>0</v>
      </c>
      <c r="T2335" s="6">
        <v>72</v>
      </c>
      <c r="U2335" s="6">
        <v>78</v>
      </c>
      <c r="V2335" s="6">
        <f>IF(ISERROR(VLOOKUP($S$2335,'TAR FIN'!$A$1:$O$95,15,0)),0,VLOOKUP($S$2335,'TAR FIN'!$A$1:$O$95,15,0))</f>
        <v>0</v>
      </c>
      <c r="W2335" s="6">
        <f>IF(ISERROR(VLOOKUP($T$2335,'TAR FIN'!$A$1:$O$95,15,0)),0,VLOOKUP($T$2335,'TAR FIN'!$A$1:$O$95,15,0))</f>
        <v>450.19</v>
      </c>
      <c r="X2335" s="6">
        <f>IF(ISERROR(VLOOKUP($U$2335,'TAR FIN'!$A$1:$O$95,15,0)),0,VLOOKUP($U$2335,'TAR FIN'!$A$1:$O$95,15,0))</f>
        <v>243.3</v>
      </c>
      <c r="Y2335" s="6"/>
      <c r="Z2335" s="6">
        <f ca="1">('TUSD BE'!$AM$53+'TUSD BF'!$AM$53+'TUSD CVA'!$AM$53)*1</f>
        <v>506.5198438752322</v>
      </c>
      <c r="AA2335" s="6">
        <f>('TE BE'!$AA$41+'TE BF'!$AA$41+'TE CVA'!$AA$41)*1</f>
        <v>297.20166373463735</v>
      </c>
      <c r="AB2335" s="6">
        <f>$K$2335*$V$2335</f>
        <v>0</v>
      </c>
      <c r="AC2335" s="6">
        <f>$M$2335*$W$2335</f>
        <v>555345.38020000001</v>
      </c>
      <c r="AD2335" s="6">
        <f>$O$2335*$X$2335</f>
        <v>300130.01400000002</v>
      </c>
      <c r="AE2335" s="6">
        <f>$K$2335*$Y$2335</f>
        <v>0</v>
      </c>
      <c r="AF2335" s="6">
        <f ca="1">$M$2335*$Z$2335</f>
        <v>624832.74900760886</v>
      </c>
      <c r="AG2335" s="6">
        <f>$O$2335*$AA$2335</f>
        <v>366622.0283497739</v>
      </c>
    </row>
    <row r="2336" spans="1:33" ht="11.25" customHeight="1" x14ac:dyDescent="0.25">
      <c r="A2336" s="4" t="s">
        <v>30</v>
      </c>
      <c r="B2336" s="4" t="s">
        <v>41</v>
      </c>
      <c r="C2336" s="4" t="s">
        <v>23</v>
      </c>
      <c r="D2336" s="4" t="s">
        <v>45</v>
      </c>
      <c r="E2336" s="4" t="s">
        <v>25</v>
      </c>
      <c r="F2336" s="4" t="s">
        <v>25</v>
      </c>
      <c r="G2336" s="4" t="s">
        <v>25</v>
      </c>
      <c r="H2336" s="4" t="s">
        <v>25</v>
      </c>
      <c r="I2336" s="5">
        <v>44378</v>
      </c>
      <c r="J2336" s="6">
        <v>0</v>
      </c>
      <c r="K2336" s="6">
        <v>0</v>
      </c>
      <c r="L2336" s="6">
        <v>39.472999999999999</v>
      </c>
      <c r="M2336" s="6">
        <v>39.472999999999999</v>
      </c>
      <c r="N2336" s="6">
        <v>39.472999999999999</v>
      </c>
      <c r="O2336" s="6">
        <v>39.472999999999999</v>
      </c>
      <c r="P2336" s="6">
        <v>0</v>
      </c>
      <c r="Q2336" s="4" t="s">
        <v>26</v>
      </c>
      <c r="R2336" s="4">
        <v>0</v>
      </c>
      <c r="S2336" s="6">
        <v>0</v>
      </c>
      <c r="T2336" s="6">
        <v>72</v>
      </c>
      <c r="U2336" s="6">
        <v>78</v>
      </c>
      <c r="V2336" s="6">
        <f>IF(ISERROR(VLOOKUP($S$2336,'TAR FIN'!$A$1:$O$95,15,0)),0,VLOOKUP($S$2336,'TAR FIN'!$A$1:$O$95,15,0))</f>
        <v>0</v>
      </c>
      <c r="W2336" s="6">
        <f>IF(ISERROR(VLOOKUP($T$2336,'TAR FIN'!$A$1:$O$95,15,0)),0,VLOOKUP($T$2336,'TAR FIN'!$A$1:$O$95,15,0))</f>
        <v>450.19</v>
      </c>
      <c r="X2336" s="6">
        <f>IF(ISERROR(VLOOKUP($U$2336,'TAR FIN'!$A$1:$O$95,15,0)),0,VLOOKUP($U$2336,'TAR FIN'!$A$1:$O$95,15,0))</f>
        <v>243.3</v>
      </c>
      <c r="Y2336" s="6"/>
      <c r="Z2336" s="6">
        <f ca="1">('TUSD BE'!$AM$53+'TUSD BF'!$AM$53+'TUSD CVA'!$AM$53)*1</f>
        <v>506.5198438752322</v>
      </c>
      <c r="AA2336" s="6">
        <f>('TE BE'!$AA$41+'TE BF'!$AA$41+'TE CVA'!$AA$41)*1</f>
        <v>297.20166373463735</v>
      </c>
      <c r="AB2336" s="6">
        <f>$K$2336*$V$2336</f>
        <v>0</v>
      </c>
      <c r="AC2336" s="6">
        <f>$M$2336*$W$2336</f>
        <v>17770.349869999998</v>
      </c>
      <c r="AD2336" s="6">
        <f>$O$2336*$X$2336</f>
        <v>9603.7808999999997</v>
      </c>
      <c r="AE2336" s="6">
        <f>$K$2336*$Y$2336</f>
        <v>0</v>
      </c>
      <c r="AF2336" s="6">
        <f ca="1">$M$2336*$Z$2336</f>
        <v>19993.857797287041</v>
      </c>
      <c r="AG2336" s="6">
        <f>$O$2336*$AA$2336</f>
        <v>11731.44127259734</v>
      </c>
    </row>
    <row r="2337" spans="1:33" ht="11.25" customHeight="1" x14ac:dyDescent="0.25">
      <c r="A2337" s="4" t="s">
        <v>21</v>
      </c>
      <c r="B2337" s="4" t="s">
        <v>41</v>
      </c>
      <c r="C2337" s="4" t="s">
        <v>23</v>
      </c>
      <c r="D2337" s="4" t="s">
        <v>45</v>
      </c>
      <c r="E2337" s="4" t="s">
        <v>25</v>
      </c>
      <c r="F2337" s="4" t="s">
        <v>25</v>
      </c>
      <c r="G2337" s="4" t="s">
        <v>25</v>
      </c>
      <c r="H2337" s="4" t="s">
        <v>25</v>
      </c>
      <c r="I2337" s="5">
        <v>44409</v>
      </c>
      <c r="J2337" s="6">
        <v>0</v>
      </c>
      <c r="K2337" s="6">
        <v>0</v>
      </c>
      <c r="L2337" s="6">
        <v>53728.724000000002</v>
      </c>
      <c r="M2337" s="6">
        <v>53728.724000000002</v>
      </c>
      <c r="N2337" s="6">
        <v>53728.724000000002</v>
      </c>
      <c r="O2337" s="6">
        <v>53728.724000000002</v>
      </c>
      <c r="P2337" s="6">
        <v>49287</v>
      </c>
      <c r="Q2337" s="4" t="s">
        <v>26</v>
      </c>
      <c r="R2337" s="4">
        <v>0</v>
      </c>
      <c r="S2337" s="6">
        <v>0</v>
      </c>
      <c r="T2337" s="6">
        <v>72</v>
      </c>
      <c r="U2337" s="6">
        <v>78</v>
      </c>
      <c r="V2337" s="6">
        <f>IF(ISERROR(VLOOKUP($S$2337,'TAR FIN'!$A$1:$O$95,15,0)),0,VLOOKUP($S$2337,'TAR FIN'!$A$1:$O$95,15,0))</f>
        <v>0</v>
      </c>
      <c r="W2337" s="6">
        <f>IF(ISERROR(VLOOKUP($T$2337,'TAR FIN'!$A$1:$O$95,15,0)),0,VLOOKUP($T$2337,'TAR FIN'!$A$1:$O$95,15,0))</f>
        <v>450.19</v>
      </c>
      <c r="X2337" s="6">
        <f>IF(ISERROR(VLOOKUP($U$2337,'TAR FIN'!$A$1:$O$95,15,0)),0,VLOOKUP($U$2337,'TAR FIN'!$A$1:$O$95,15,0))</f>
        <v>243.3</v>
      </c>
      <c r="Y2337" s="6"/>
      <c r="Z2337" s="6">
        <f ca="1">('TUSD BE'!$AM$53+'TUSD BF'!$AM$53+'TUSD CVA'!$AM$53)*1</f>
        <v>506.5198438752322</v>
      </c>
      <c r="AA2337" s="6">
        <f>('TE BE'!$AA$41+'TE BF'!$AA$41+'TE CVA'!$AA$41)*1</f>
        <v>297.20166373463735</v>
      </c>
      <c r="AB2337" s="6">
        <f>$K$2337*$V$2337</f>
        <v>0</v>
      </c>
      <c r="AC2337" s="6">
        <f>$M$2337*$W$2337</f>
        <v>24188134.25756</v>
      </c>
      <c r="AD2337" s="6">
        <f>$O$2337*$X$2337</f>
        <v>13072198.5492</v>
      </c>
      <c r="AE2337" s="6">
        <f>$K$2337*$Y$2337</f>
        <v>0</v>
      </c>
      <c r="AF2337" s="6">
        <f ca="1">$M$2337*$Z$2337</f>
        <v>27214664.892095443</v>
      </c>
      <c r="AG2337" s="6">
        <f>$O$2337*$AA$2337</f>
        <v>15968266.16313914</v>
      </c>
    </row>
    <row r="2338" spans="1:33" ht="11.25" customHeight="1" x14ac:dyDescent="0.25">
      <c r="A2338" s="4" t="s">
        <v>27</v>
      </c>
      <c r="B2338" s="4" t="s">
        <v>41</v>
      </c>
      <c r="C2338" s="4" t="s">
        <v>23</v>
      </c>
      <c r="D2338" s="4" t="s">
        <v>45</v>
      </c>
      <c r="E2338" s="4" t="s">
        <v>25</v>
      </c>
      <c r="F2338" s="4" t="s">
        <v>25</v>
      </c>
      <c r="G2338" s="4" t="s">
        <v>25</v>
      </c>
      <c r="H2338" s="4" t="s">
        <v>25</v>
      </c>
      <c r="I2338" s="5">
        <v>44409</v>
      </c>
      <c r="J2338" s="6">
        <v>0</v>
      </c>
      <c r="K2338" s="6">
        <v>0</v>
      </c>
      <c r="L2338" s="6">
        <v>-1435.499</v>
      </c>
      <c r="M2338" s="6">
        <v>-1435.499</v>
      </c>
      <c r="N2338" s="6">
        <v>-1435.499</v>
      </c>
      <c r="O2338" s="6">
        <v>-1435.499</v>
      </c>
      <c r="P2338" s="6">
        <v>0</v>
      </c>
      <c r="Q2338" s="4" t="s">
        <v>26</v>
      </c>
      <c r="R2338" s="4">
        <v>0</v>
      </c>
      <c r="S2338" s="6">
        <v>0</v>
      </c>
      <c r="T2338" s="6">
        <v>72</v>
      </c>
      <c r="U2338" s="6">
        <v>78</v>
      </c>
      <c r="V2338" s="6">
        <f>IF(ISERROR(VLOOKUP($S$2338,'TAR FIN'!$A$1:$O$95,15,0)),0,VLOOKUP($S$2338,'TAR FIN'!$A$1:$O$95,15,0))</f>
        <v>0</v>
      </c>
      <c r="W2338" s="6">
        <f>IF(ISERROR(VLOOKUP($T$2338,'TAR FIN'!$A$1:$O$95,15,0)),0,VLOOKUP($T$2338,'TAR FIN'!$A$1:$O$95,15,0))</f>
        <v>450.19</v>
      </c>
      <c r="X2338" s="6">
        <f>IF(ISERROR(VLOOKUP($U$2338,'TAR FIN'!$A$1:$O$95,15,0)),0,VLOOKUP($U$2338,'TAR FIN'!$A$1:$O$95,15,0))</f>
        <v>243.3</v>
      </c>
      <c r="Y2338" s="6"/>
      <c r="Z2338" s="6">
        <f ca="1">('TUSD BE'!$AM$53+'TUSD BF'!$AM$53+'TUSD CVA'!$AM$53)*1</f>
        <v>506.5198438752322</v>
      </c>
      <c r="AA2338" s="6">
        <f>('TE BE'!$AA$41+'TE BF'!$AA$41+'TE CVA'!$AA$41)*1</f>
        <v>297.20166373463735</v>
      </c>
      <c r="AB2338" s="6">
        <f>$K$2338*$V$2338</f>
        <v>0</v>
      </c>
      <c r="AC2338" s="6">
        <f>$M$2338*$W$2338</f>
        <v>-646247.29480999999</v>
      </c>
      <c r="AD2338" s="6">
        <f>$O$2338*$X$2338</f>
        <v>-349256.90670000005</v>
      </c>
      <c r="AE2338" s="6">
        <f>$K$2338*$Y$2338</f>
        <v>0</v>
      </c>
      <c r="AF2338" s="6">
        <f ca="1">$M$2338*$Z$2338</f>
        <v>-727108.72936305194</v>
      </c>
      <c r="AG2338" s="6">
        <f>$O$2338*$AA$2338</f>
        <v>-426632.69108940818</v>
      </c>
    </row>
    <row r="2339" spans="1:33" ht="11.25" customHeight="1" x14ac:dyDescent="0.25">
      <c r="A2339" s="4" t="s">
        <v>28</v>
      </c>
      <c r="B2339" s="4" t="s">
        <v>41</v>
      </c>
      <c r="C2339" s="4" t="s">
        <v>23</v>
      </c>
      <c r="D2339" s="4" t="s">
        <v>45</v>
      </c>
      <c r="E2339" s="4" t="s">
        <v>25</v>
      </c>
      <c r="F2339" s="4" t="s">
        <v>25</v>
      </c>
      <c r="G2339" s="4" t="s">
        <v>25</v>
      </c>
      <c r="H2339" s="4" t="s">
        <v>25</v>
      </c>
      <c r="I2339" s="5">
        <v>44409</v>
      </c>
      <c r="J2339" s="6">
        <v>0</v>
      </c>
      <c r="K2339" s="6">
        <v>0</v>
      </c>
      <c r="L2339" s="6">
        <v>13270.448</v>
      </c>
      <c r="M2339" s="6">
        <v>13270.448</v>
      </c>
      <c r="N2339" s="6">
        <v>13270.448</v>
      </c>
      <c r="O2339" s="6">
        <v>13270.448</v>
      </c>
      <c r="P2339" s="6">
        <v>23966</v>
      </c>
      <c r="Q2339" s="4" t="s">
        <v>26</v>
      </c>
      <c r="R2339" s="4">
        <v>0</v>
      </c>
      <c r="S2339" s="6">
        <v>0</v>
      </c>
      <c r="T2339" s="6">
        <v>72</v>
      </c>
      <c r="U2339" s="6">
        <v>78</v>
      </c>
      <c r="V2339" s="6">
        <f>IF(ISERROR(VLOOKUP($S$2339,'TAR FIN'!$A$1:$O$95,15,0)),0,VLOOKUP($S$2339,'TAR FIN'!$A$1:$O$95,15,0))</f>
        <v>0</v>
      </c>
      <c r="W2339" s="6">
        <f>IF(ISERROR(VLOOKUP($T$2339,'TAR FIN'!$A$1:$O$95,15,0)),0,VLOOKUP($T$2339,'TAR FIN'!$A$1:$O$95,15,0))</f>
        <v>450.19</v>
      </c>
      <c r="X2339" s="6">
        <f>IF(ISERROR(VLOOKUP($U$2339,'TAR FIN'!$A$1:$O$95,15,0)),0,VLOOKUP($U$2339,'TAR FIN'!$A$1:$O$95,15,0))</f>
        <v>243.3</v>
      </c>
      <c r="Y2339" s="6"/>
      <c r="Z2339" s="6">
        <f ca="1">('TUSD BE'!$AM$53+'TUSD BF'!$AM$53+'TUSD CVA'!$AM$53)*1</f>
        <v>506.5198438752322</v>
      </c>
      <c r="AA2339" s="6">
        <f>('TE BE'!$AA$41+'TE BF'!$AA$41+'TE CVA'!$AA$41)*1</f>
        <v>297.20166373463735</v>
      </c>
      <c r="AB2339" s="6">
        <f>$K$2339*$V$2339</f>
        <v>0</v>
      </c>
      <c r="AC2339" s="6">
        <f>$M$2339*$W$2339</f>
        <v>5974222.9851200003</v>
      </c>
      <c r="AD2339" s="6">
        <f>$O$2339*$X$2339</f>
        <v>3228699.9984000004</v>
      </c>
      <c r="AE2339" s="6">
        <f>$K$2339*$Y$2339</f>
        <v>0</v>
      </c>
      <c r="AF2339" s="6">
        <f ca="1">$M$2339*$Z$2339</f>
        <v>6721745.2491143877</v>
      </c>
      <c r="AG2339" s="6">
        <f>$O$2339*$AA$2339</f>
        <v>3943999.2241039909</v>
      </c>
    </row>
    <row r="2340" spans="1:33" ht="11.25" customHeight="1" x14ac:dyDescent="0.25">
      <c r="A2340" s="4" t="s">
        <v>29</v>
      </c>
      <c r="B2340" s="4" t="s">
        <v>41</v>
      </c>
      <c r="C2340" s="4" t="s">
        <v>23</v>
      </c>
      <c r="D2340" s="4" t="s">
        <v>45</v>
      </c>
      <c r="E2340" s="4" t="s">
        <v>25</v>
      </c>
      <c r="F2340" s="4" t="s">
        <v>25</v>
      </c>
      <c r="G2340" s="4" t="s">
        <v>25</v>
      </c>
      <c r="H2340" s="4" t="s">
        <v>25</v>
      </c>
      <c r="I2340" s="5">
        <v>44409</v>
      </c>
      <c r="J2340" s="6">
        <v>0</v>
      </c>
      <c r="K2340" s="6">
        <v>0</v>
      </c>
      <c r="L2340" s="6">
        <v>-130.62</v>
      </c>
      <c r="M2340" s="6">
        <v>-130.62</v>
      </c>
      <c r="N2340" s="6">
        <v>-130.62</v>
      </c>
      <c r="O2340" s="6">
        <v>-130.62</v>
      </c>
      <c r="P2340" s="6">
        <v>0</v>
      </c>
      <c r="Q2340" s="4" t="s">
        <v>26</v>
      </c>
      <c r="R2340" s="4">
        <v>0</v>
      </c>
      <c r="S2340" s="6">
        <v>0</v>
      </c>
      <c r="T2340" s="6">
        <v>72</v>
      </c>
      <c r="U2340" s="6">
        <v>78</v>
      </c>
      <c r="V2340" s="6">
        <f>IF(ISERROR(VLOOKUP($S$2340,'TAR FIN'!$A$1:$O$95,15,0)),0,VLOOKUP($S$2340,'TAR FIN'!$A$1:$O$95,15,0))</f>
        <v>0</v>
      </c>
      <c r="W2340" s="6">
        <f>IF(ISERROR(VLOOKUP($T$2340,'TAR FIN'!$A$1:$O$95,15,0)),0,VLOOKUP($T$2340,'TAR FIN'!$A$1:$O$95,15,0))</f>
        <v>450.19</v>
      </c>
      <c r="X2340" s="6">
        <f>IF(ISERROR(VLOOKUP($U$2340,'TAR FIN'!$A$1:$O$95,15,0)),0,VLOOKUP($U$2340,'TAR FIN'!$A$1:$O$95,15,0))</f>
        <v>243.3</v>
      </c>
      <c r="Y2340" s="6"/>
      <c r="Z2340" s="6">
        <f ca="1">('TUSD BE'!$AM$53+'TUSD BF'!$AM$53+'TUSD CVA'!$AM$53)*1</f>
        <v>506.5198438752322</v>
      </c>
      <c r="AA2340" s="6">
        <f>('TE BE'!$AA$41+'TE BF'!$AA$41+'TE CVA'!$AA$41)*1</f>
        <v>297.20166373463735</v>
      </c>
      <c r="AB2340" s="6">
        <f>$K$2340*$V$2340</f>
        <v>0</v>
      </c>
      <c r="AC2340" s="6">
        <f>$M$2340*$W$2340</f>
        <v>-58803.817800000004</v>
      </c>
      <c r="AD2340" s="6">
        <f>$O$2340*$X$2340</f>
        <v>-31779.846000000001</v>
      </c>
      <c r="AE2340" s="6">
        <f>$K$2340*$Y$2340</f>
        <v>0</v>
      </c>
      <c r="AF2340" s="6">
        <f ca="1">$M$2340*$Z$2340</f>
        <v>-66161.622006982827</v>
      </c>
      <c r="AG2340" s="6">
        <f>$O$2340*$AA$2340</f>
        <v>-38820.481317018333</v>
      </c>
    </row>
    <row r="2341" spans="1:33" ht="11.25" customHeight="1" x14ac:dyDescent="0.25">
      <c r="A2341" s="4" t="s">
        <v>30</v>
      </c>
      <c r="B2341" s="4" t="s">
        <v>41</v>
      </c>
      <c r="C2341" s="4" t="s">
        <v>23</v>
      </c>
      <c r="D2341" s="4" t="s">
        <v>45</v>
      </c>
      <c r="E2341" s="4" t="s">
        <v>25</v>
      </c>
      <c r="F2341" s="4" t="s">
        <v>25</v>
      </c>
      <c r="G2341" s="4" t="s">
        <v>25</v>
      </c>
      <c r="H2341" s="4" t="s">
        <v>25</v>
      </c>
      <c r="I2341" s="5">
        <v>44409</v>
      </c>
      <c r="J2341" s="6">
        <v>0</v>
      </c>
      <c r="K2341" s="6">
        <v>0</v>
      </c>
      <c r="L2341" s="6">
        <v>1363.7249999999999</v>
      </c>
      <c r="M2341" s="6">
        <v>1363.7249999999999</v>
      </c>
      <c r="N2341" s="6">
        <v>1363.7249999999999</v>
      </c>
      <c r="O2341" s="6">
        <v>1363.7249999999999</v>
      </c>
      <c r="P2341" s="6">
        <v>511</v>
      </c>
      <c r="Q2341" s="4" t="s">
        <v>26</v>
      </c>
      <c r="R2341" s="4">
        <v>0</v>
      </c>
      <c r="S2341" s="6">
        <v>0</v>
      </c>
      <c r="T2341" s="6">
        <v>72</v>
      </c>
      <c r="U2341" s="6">
        <v>78</v>
      </c>
      <c r="V2341" s="6">
        <f>IF(ISERROR(VLOOKUP($S$2341,'TAR FIN'!$A$1:$O$95,15,0)),0,VLOOKUP($S$2341,'TAR FIN'!$A$1:$O$95,15,0))</f>
        <v>0</v>
      </c>
      <c r="W2341" s="6">
        <f>IF(ISERROR(VLOOKUP($T$2341,'TAR FIN'!$A$1:$O$95,15,0)),0,VLOOKUP($T$2341,'TAR FIN'!$A$1:$O$95,15,0))</f>
        <v>450.19</v>
      </c>
      <c r="X2341" s="6">
        <f>IF(ISERROR(VLOOKUP($U$2341,'TAR FIN'!$A$1:$O$95,15,0)),0,VLOOKUP($U$2341,'TAR FIN'!$A$1:$O$95,15,0))</f>
        <v>243.3</v>
      </c>
      <c r="Y2341" s="6"/>
      <c r="Z2341" s="6">
        <f ca="1">('TUSD BE'!$AM$53+'TUSD BF'!$AM$53+'TUSD CVA'!$AM$53)*1</f>
        <v>506.5198438752322</v>
      </c>
      <c r="AA2341" s="6">
        <f>('TE BE'!$AA$41+'TE BF'!$AA$41+'TE CVA'!$AA$41)*1</f>
        <v>297.20166373463735</v>
      </c>
      <c r="AB2341" s="6">
        <f>$K$2341*$V$2341</f>
        <v>0</v>
      </c>
      <c r="AC2341" s="6">
        <f>$M$2341*$W$2341</f>
        <v>613935.35774999997</v>
      </c>
      <c r="AD2341" s="6">
        <f>$O$2341*$X$2341</f>
        <v>331794.29249999998</v>
      </c>
      <c r="AE2341" s="6">
        <f>$K$2341*$Y$2341</f>
        <v>0</v>
      </c>
      <c r="AF2341" s="6">
        <f ca="1">$M$2341*$Z$2341</f>
        <v>690753.77408875094</v>
      </c>
      <c r="AG2341" s="6">
        <f>$O$2341*$AA$2341</f>
        <v>405301.3388765183</v>
      </c>
    </row>
    <row r="2342" spans="1:33" ht="11.25" customHeight="1" x14ac:dyDescent="0.25">
      <c r="A2342" s="4" t="s">
        <v>30</v>
      </c>
      <c r="B2342" s="4" t="s">
        <v>41</v>
      </c>
      <c r="C2342" s="4" t="s">
        <v>23</v>
      </c>
      <c r="D2342" s="4" t="s">
        <v>45</v>
      </c>
      <c r="E2342" s="4" t="s">
        <v>25</v>
      </c>
      <c r="F2342" s="4" t="s">
        <v>25</v>
      </c>
      <c r="G2342" s="4" t="s">
        <v>25</v>
      </c>
      <c r="H2342" s="4" t="s">
        <v>25</v>
      </c>
      <c r="I2342" s="5">
        <v>44409</v>
      </c>
      <c r="J2342" s="6">
        <v>0</v>
      </c>
      <c r="K2342" s="6">
        <v>0</v>
      </c>
      <c r="L2342" s="6">
        <v>-7.8319999999999999</v>
      </c>
      <c r="M2342" s="6">
        <v>-7.8319999999999999</v>
      </c>
      <c r="N2342" s="6">
        <v>-7.8319999999999999</v>
      </c>
      <c r="O2342" s="6">
        <v>-7.8319999999999999</v>
      </c>
      <c r="P2342" s="6">
        <v>0</v>
      </c>
      <c r="Q2342" s="4" t="s">
        <v>26</v>
      </c>
      <c r="R2342" s="4">
        <v>0</v>
      </c>
      <c r="S2342" s="6">
        <v>0</v>
      </c>
      <c r="T2342" s="6">
        <v>72</v>
      </c>
      <c r="U2342" s="6">
        <v>78</v>
      </c>
      <c r="V2342" s="6">
        <f>IF(ISERROR(VLOOKUP($S$2342,'TAR FIN'!$A$1:$O$95,15,0)),0,VLOOKUP($S$2342,'TAR FIN'!$A$1:$O$95,15,0))</f>
        <v>0</v>
      </c>
      <c r="W2342" s="6">
        <f>IF(ISERROR(VLOOKUP($T$2342,'TAR FIN'!$A$1:$O$95,15,0)),0,VLOOKUP($T$2342,'TAR FIN'!$A$1:$O$95,15,0))</f>
        <v>450.19</v>
      </c>
      <c r="X2342" s="6">
        <f>IF(ISERROR(VLOOKUP($U$2342,'TAR FIN'!$A$1:$O$95,15,0)),0,VLOOKUP($U$2342,'TAR FIN'!$A$1:$O$95,15,0))</f>
        <v>243.3</v>
      </c>
      <c r="Y2342" s="6"/>
      <c r="Z2342" s="6">
        <f ca="1">('TUSD BE'!$AM$53+'TUSD BF'!$AM$53+'TUSD CVA'!$AM$53)*1</f>
        <v>506.5198438752322</v>
      </c>
      <c r="AA2342" s="6">
        <f>('TE BE'!$AA$41+'TE BF'!$AA$41+'TE CVA'!$AA$41)*1</f>
        <v>297.20166373463735</v>
      </c>
      <c r="AB2342" s="6">
        <f>$K$2342*$V$2342</f>
        <v>0</v>
      </c>
      <c r="AC2342" s="6">
        <f>$M$2342*$W$2342</f>
        <v>-3525.8880799999997</v>
      </c>
      <c r="AD2342" s="6">
        <f>$O$2342*$X$2342</f>
        <v>-1905.5255999999999</v>
      </c>
      <c r="AE2342" s="6">
        <f>$K$2342*$Y$2342</f>
        <v>0</v>
      </c>
      <c r="AF2342" s="6">
        <f ca="1">$M$2342*$Z$2342</f>
        <v>-3967.0634172308187</v>
      </c>
      <c r="AG2342" s="6">
        <f>$O$2342*$AA$2342</f>
        <v>-2327.6834303696796</v>
      </c>
    </row>
    <row r="2343" spans="1:33" ht="11.25" customHeight="1" x14ac:dyDescent="0.25">
      <c r="A2343" s="4" t="s">
        <v>21</v>
      </c>
      <c r="B2343" s="4" t="s">
        <v>41</v>
      </c>
      <c r="C2343" s="4" t="s">
        <v>23</v>
      </c>
      <c r="D2343" s="4" t="s">
        <v>45</v>
      </c>
      <c r="E2343" s="4" t="s">
        <v>25</v>
      </c>
      <c r="F2343" s="4" t="s">
        <v>25</v>
      </c>
      <c r="G2343" s="4" t="s">
        <v>25</v>
      </c>
      <c r="H2343" s="4" t="s">
        <v>25</v>
      </c>
      <c r="I2343" s="5">
        <v>44440</v>
      </c>
      <c r="J2343" s="6">
        <v>0</v>
      </c>
      <c r="K2343" s="6">
        <v>0</v>
      </c>
      <c r="L2343" s="6">
        <v>50433.957000000002</v>
      </c>
      <c r="M2343" s="6">
        <v>50433.957000000002</v>
      </c>
      <c r="N2343" s="6">
        <v>50433.957000000002</v>
      </c>
      <c r="O2343" s="6">
        <v>50433.957000000002</v>
      </c>
      <c r="P2343" s="6">
        <v>49608</v>
      </c>
      <c r="Q2343" s="4" t="s">
        <v>26</v>
      </c>
      <c r="R2343" s="4">
        <v>0</v>
      </c>
      <c r="S2343" s="6">
        <v>0</v>
      </c>
      <c r="T2343" s="6">
        <v>72</v>
      </c>
      <c r="U2343" s="6">
        <v>78</v>
      </c>
      <c r="V2343" s="6">
        <f>IF(ISERROR(VLOOKUP($S$2343,'TAR FIN'!$A$1:$O$95,15,0)),0,VLOOKUP($S$2343,'TAR FIN'!$A$1:$O$95,15,0))</f>
        <v>0</v>
      </c>
      <c r="W2343" s="6">
        <f>IF(ISERROR(VLOOKUP($T$2343,'TAR FIN'!$A$1:$O$95,15,0)),0,VLOOKUP($T$2343,'TAR FIN'!$A$1:$O$95,15,0))</f>
        <v>450.19</v>
      </c>
      <c r="X2343" s="6">
        <f>IF(ISERROR(VLOOKUP($U$2343,'TAR FIN'!$A$1:$O$95,15,0)),0,VLOOKUP($U$2343,'TAR FIN'!$A$1:$O$95,15,0))</f>
        <v>243.3</v>
      </c>
      <c r="Y2343" s="6"/>
      <c r="Z2343" s="6">
        <f ca="1">('TUSD BE'!$AM$53+'TUSD BF'!$AM$53+'TUSD CVA'!$AM$53)*1</f>
        <v>506.5198438752322</v>
      </c>
      <c r="AA2343" s="6">
        <f>('TE BE'!$AA$41+'TE BF'!$AA$41+'TE CVA'!$AA$41)*1</f>
        <v>297.20166373463735</v>
      </c>
      <c r="AB2343" s="6">
        <f>$K$2343*$V$2343</f>
        <v>0</v>
      </c>
      <c r="AC2343" s="6">
        <f>$M$2343*$W$2343</f>
        <v>22704863.101830002</v>
      </c>
      <c r="AD2343" s="6">
        <f>$O$2343*$X$2343</f>
        <v>12270581.738100002</v>
      </c>
      <c r="AE2343" s="6">
        <f>$K$2343*$Y$2343</f>
        <v>0</v>
      </c>
      <c r="AF2343" s="6">
        <f ca="1">$M$2343*$Z$2343</f>
        <v>25545800.025650173</v>
      </c>
      <c r="AG2343" s="6">
        <f>$O$2343*$AA$2343</f>
        <v>14989055.929121161</v>
      </c>
    </row>
    <row r="2344" spans="1:33" ht="11.25" customHeight="1" x14ac:dyDescent="0.25">
      <c r="A2344" s="4" t="s">
        <v>27</v>
      </c>
      <c r="B2344" s="4" t="s">
        <v>41</v>
      </c>
      <c r="C2344" s="4" t="s">
        <v>23</v>
      </c>
      <c r="D2344" s="4" t="s">
        <v>45</v>
      </c>
      <c r="E2344" s="4" t="s">
        <v>25</v>
      </c>
      <c r="F2344" s="4" t="s">
        <v>25</v>
      </c>
      <c r="G2344" s="4" t="s">
        <v>25</v>
      </c>
      <c r="H2344" s="4" t="s">
        <v>25</v>
      </c>
      <c r="I2344" s="5">
        <v>44440</v>
      </c>
      <c r="J2344" s="6">
        <v>0</v>
      </c>
      <c r="K2344" s="6">
        <v>0</v>
      </c>
      <c r="L2344" s="6">
        <v>-2977.6590000000001</v>
      </c>
      <c r="M2344" s="6">
        <v>-2977.6590000000001</v>
      </c>
      <c r="N2344" s="6">
        <v>-2977.6590000000001</v>
      </c>
      <c r="O2344" s="6">
        <v>-2977.6590000000001</v>
      </c>
      <c r="P2344" s="6">
        <v>0</v>
      </c>
      <c r="Q2344" s="4" t="s">
        <v>26</v>
      </c>
      <c r="R2344" s="4">
        <v>0</v>
      </c>
      <c r="S2344" s="6">
        <v>0</v>
      </c>
      <c r="T2344" s="6">
        <v>72</v>
      </c>
      <c r="U2344" s="6">
        <v>78</v>
      </c>
      <c r="V2344" s="6">
        <f>IF(ISERROR(VLOOKUP($S$2344,'TAR FIN'!$A$1:$O$95,15,0)),0,VLOOKUP($S$2344,'TAR FIN'!$A$1:$O$95,15,0))</f>
        <v>0</v>
      </c>
      <c r="W2344" s="6">
        <f>IF(ISERROR(VLOOKUP($T$2344,'TAR FIN'!$A$1:$O$95,15,0)),0,VLOOKUP($T$2344,'TAR FIN'!$A$1:$O$95,15,0))</f>
        <v>450.19</v>
      </c>
      <c r="X2344" s="6">
        <f>IF(ISERROR(VLOOKUP($U$2344,'TAR FIN'!$A$1:$O$95,15,0)),0,VLOOKUP($U$2344,'TAR FIN'!$A$1:$O$95,15,0))</f>
        <v>243.3</v>
      </c>
      <c r="Y2344" s="6"/>
      <c r="Z2344" s="6">
        <f ca="1">('TUSD BE'!$AM$53+'TUSD BF'!$AM$53+'TUSD CVA'!$AM$53)*1</f>
        <v>506.5198438752322</v>
      </c>
      <c r="AA2344" s="6">
        <f>('TE BE'!$AA$41+'TE BF'!$AA$41+'TE CVA'!$AA$41)*1</f>
        <v>297.20166373463735</v>
      </c>
      <c r="AB2344" s="6">
        <f>$K$2344*$V$2344</f>
        <v>0</v>
      </c>
      <c r="AC2344" s="6">
        <f>$M$2344*$W$2344</f>
        <v>-1340512.3052100001</v>
      </c>
      <c r="AD2344" s="6">
        <f>$O$2344*$X$2344</f>
        <v>-724464.4347000001</v>
      </c>
      <c r="AE2344" s="6">
        <f>$K$2344*$Y$2344</f>
        <v>0</v>
      </c>
      <c r="AF2344" s="6">
        <f ca="1">$M$2344*$Z$2344</f>
        <v>-1508243.3717936801</v>
      </c>
      <c r="AG2344" s="6">
        <f>$O$2344*$AA$2344</f>
        <v>-884965.20883441658</v>
      </c>
    </row>
    <row r="2345" spans="1:33" ht="11.25" customHeight="1" x14ac:dyDescent="0.25">
      <c r="A2345" s="4" t="s">
        <v>28</v>
      </c>
      <c r="B2345" s="4" t="s">
        <v>41</v>
      </c>
      <c r="C2345" s="4" t="s">
        <v>23</v>
      </c>
      <c r="D2345" s="4" t="s">
        <v>45</v>
      </c>
      <c r="E2345" s="4" t="s">
        <v>25</v>
      </c>
      <c r="F2345" s="4" t="s">
        <v>25</v>
      </c>
      <c r="G2345" s="4" t="s">
        <v>25</v>
      </c>
      <c r="H2345" s="4" t="s">
        <v>25</v>
      </c>
      <c r="I2345" s="5">
        <v>44440</v>
      </c>
      <c r="J2345" s="6">
        <v>0</v>
      </c>
      <c r="K2345" s="6">
        <v>0</v>
      </c>
      <c r="L2345" s="6">
        <v>14906.736000000001</v>
      </c>
      <c r="M2345" s="6">
        <v>14906.736000000001</v>
      </c>
      <c r="N2345" s="6">
        <v>14906.736000000001</v>
      </c>
      <c r="O2345" s="6">
        <v>14906.736000000001</v>
      </c>
      <c r="P2345" s="6">
        <v>24200</v>
      </c>
      <c r="Q2345" s="4" t="s">
        <v>26</v>
      </c>
      <c r="R2345" s="4">
        <v>0</v>
      </c>
      <c r="S2345" s="6">
        <v>0</v>
      </c>
      <c r="T2345" s="6">
        <v>72</v>
      </c>
      <c r="U2345" s="6">
        <v>78</v>
      </c>
      <c r="V2345" s="6">
        <f>IF(ISERROR(VLOOKUP($S$2345,'TAR FIN'!$A$1:$O$95,15,0)),0,VLOOKUP($S$2345,'TAR FIN'!$A$1:$O$95,15,0))</f>
        <v>0</v>
      </c>
      <c r="W2345" s="6">
        <f>IF(ISERROR(VLOOKUP($T$2345,'TAR FIN'!$A$1:$O$95,15,0)),0,VLOOKUP($T$2345,'TAR FIN'!$A$1:$O$95,15,0))</f>
        <v>450.19</v>
      </c>
      <c r="X2345" s="6">
        <f>IF(ISERROR(VLOOKUP($U$2345,'TAR FIN'!$A$1:$O$95,15,0)),0,VLOOKUP($U$2345,'TAR FIN'!$A$1:$O$95,15,0))</f>
        <v>243.3</v>
      </c>
      <c r="Y2345" s="6"/>
      <c r="Z2345" s="6">
        <f ca="1">('TUSD BE'!$AM$53+'TUSD BF'!$AM$53+'TUSD CVA'!$AM$53)*1</f>
        <v>506.5198438752322</v>
      </c>
      <c r="AA2345" s="6">
        <f>('TE BE'!$AA$41+'TE BF'!$AA$41+'TE CVA'!$AA$41)*1</f>
        <v>297.20166373463735</v>
      </c>
      <c r="AB2345" s="6">
        <f>$K$2345*$V$2345</f>
        <v>0</v>
      </c>
      <c r="AC2345" s="6">
        <f>$M$2345*$W$2345</f>
        <v>6710863.4798400002</v>
      </c>
      <c r="AD2345" s="6">
        <f>$O$2345*$X$2345</f>
        <v>3626808.8688000003</v>
      </c>
      <c r="AE2345" s="6">
        <f>$K$2345*$Y$2345</f>
        <v>0</v>
      </c>
      <c r="AF2345" s="6">
        <f ca="1">$M$2345*$Z$2345</f>
        <v>7550557.5914093032</v>
      </c>
      <c r="AG2345" s="6">
        <f>$O$2345*$AA$2345</f>
        <v>4430306.740053013</v>
      </c>
    </row>
    <row r="2346" spans="1:33" ht="11.25" customHeight="1" x14ac:dyDescent="0.25">
      <c r="A2346" s="4" t="s">
        <v>29</v>
      </c>
      <c r="B2346" s="4" t="s">
        <v>41</v>
      </c>
      <c r="C2346" s="4" t="s">
        <v>23</v>
      </c>
      <c r="D2346" s="4" t="s">
        <v>45</v>
      </c>
      <c r="E2346" s="4" t="s">
        <v>25</v>
      </c>
      <c r="F2346" s="4" t="s">
        <v>25</v>
      </c>
      <c r="G2346" s="4" t="s">
        <v>25</v>
      </c>
      <c r="H2346" s="4" t="s">
        <v>25</v>
      </c>
      <c r="I2346" s="5">
        <v>44440</v>
      </c>
      <c r="J2346" s="6">
        <v>0</v>
      </c>
      <c r="K2346" s="6">
        <v>0</v>
      </c>
      <c r="L2346" s="6">
        <v>-122.572</v>
      </c>
      <c r="M2346" s="6">
        <v>-122.572</v>
      </c>
      <c r="N2346" s="6">
        <v>-122.572</v>
      </c>
      <c r="O2346" s="6">
        <v>-122.572</v>
      </c>
      <c r="P2346" s="6">
        <v>0</v>
      </c>
      <c r="Q2346" s="4" t="s">
        <v>26</v>
      </c>
      <c r="R2346" s="4">
        <v>0</v>
      </c>
      <c r="S2346" s="6">
        <v>0</v>
      </c>
      <c r="T2346" s="6">
        <v>72</v>
      </c>
      <c r="U2346" s="6">
        <v>78</v>
      </c>
      <c r="V2346" s="6">
        <f>IF(ISERROR(VLOOKUP($S$2346,'TAR FIN'!$A$1:$O$95,15,0)),0,VLOOKUP($S$2346,'TAR FIN'!$A$1:$O$95,15,0))</f>
        <v>0</v>
      </c>
      <c r="W2346" s="6">
        <f>IF(ISERROR(VLOOKUP($T$2346,'TAR FIN'!$A$1:$O$95,15,0)),0,VLOOKUP($T$2346,'TAR FIN'!$A$1:$O$95,15,0))</f>
        <v>450.19</v>
      </c>
      <c r="X2346" s="6">
        <f>IF(ISERROR(VLOOKUP($U$2346,'TAR FIN'!$A$1:$O$95,15,0)),0,VLOOKUP($U$2346,'TAR FIN'!$A$1:$O$95,15,0))</f>
        <v>243.3</v>
      </c>
      <c r="Y2346" s="6"/>
      <c r="Z2346" s="6">
        <f ca="1">('TUSD BE'!$AM$53+'TUSD BF'!$AM$53+'TUSD CVA'!$AM$53)*1</f>
        <v>506.5198438752322</v>
      </c>
      <c r="AA2346" s="6">
        <f>('TE BE'!$AA$41+'TE BF'!$AA$41+'TE CVA'!$AA$41)*1</f>
        <v>297.20166373463735</v>
      </c>
      <c r="AB2346" s="6">
        <f>$K$2346*$V$2346</f>
        <v>0</v>
      </c>
      <c r="AC2346" s="6">
        <f>$M$2346*$W$2346</f>
        <v>-55180.688679999999</v>
      </c>
      <c r="AD2346" s="6">
        <f>$O$2346*$X$2346</f>
        <v>-29821.767600000003</v>
      </c>
      <c r="AE2346" s="6">
        <f>$K$2346*$Y$2346</f>
        <v>0</v>
      </c>
      <c r="AF2346" s="6">
        <f ca="1">$M$2346*$Z$2346</f>
        <v>-62085.150303474962</v>
      </c>
      <c r="AG2346" s="6">
        <f>$O$2346*$AA$2346</f>
        <v>-36428.602327281973</v>
      </c>
    </row>
    <row r="2347" spans="1:33" ht="11.25" customHeight="1" x14ac:dyDescent="0.25">
      <c r="A2347" s="4" t="s">
        <v>30</v>
      </c>
      <c r="B2347" s="4" t="s">
        <v>41</v>
      </c>
      <c r="C2347" s="4" t="s">
        <v>23</v>
      </c>
      <c r="D2347" s="4" t="s">
        <v>45</v>
      </c>
      <c r="E2347" s="4" t="s">
        <v>25</v>
      </c>
      <c r="F2347" s="4" t="s">
        <v>25</v>
      </c>
      <c r="G2347" s="4" t="s">
        <v>25</v>
      </c>
      <c r="H2347" s="4" t="s">
        <v>25</v>
      </c>
      <c r="I2347" s="5">
        <v>44440</v>
      </c>
      <c r="J2347" s="6">
        <v>0</v>
      </c>
      <c r="K2347" s="6">
        <v>0</v>
      </c>
      <c r="L2347" s="6">
        <v>1501.827</v>
      </c>
      <c r="M2347" s="6">
        <v>1501.827</v>
      </c>
      <c r="N2347" s="6">
        <v>1501.827</v>
      </c>
      <c r="O2347" s="6">
        <v>1501.827</v>
      </c>
      <c r="P2347" s="6">
        <v>562</v>
      </c>
      <c r="Q2347" s="4" t="s">
        <v>26</v>
      </c>
      <c r="R2347" s="4">
        <v>0</v>
      </c>
      <c r="S2347" s="6">
        <v>0</v>
      </c>
      <c r="T2347" s="6">
        <v>72</v>
      </c>
      <c r="U2347" s="6">
        <v>78</v>
      </c>
      <c r="V2347" s="6">
        <f>IF(ISERROR(VLOOKUP($S$2347,'TAR FIN'!$A$1:$O$95,15,0)),0,VLOOKUP($S$2347,'TAR FIN'!$A$1:$O$95,15,0))</f>
        <v>0</v>
      </c>
      <c r="W2347" s="6">
        <f>IF(ISERROR(VLOOKUP($T$2347,'TAR FIN'!$A$1:$O$95,15,0)),0,VLOOKUP($T$2347,'TAR FIN'!$A$1:$O$95,15,0))</f>
        <v>450.19</v>
      </c>
      <c r="X2347" s="6">
        <f>IF(ISERROR(VLOOKUP($U$2347,'TAR FIN'!$A$1:$O$95,15,0)),0,VLOOKUP($U$2347,'TAR FIN'!$A$1:$O$95,15,0))</f>
        <v>243.3</v>
      </c>
      <c r="Y2347" s="6"/>
      <c r="Z2347" s="6">
        <f ca="1">('TUSD BE'!$AM$53+'TUSD BF'!$AM$53+'TUSD CVA'!$AM$53)*1</f>
        <v>506.5198438752322</v>
      </c>
      <c r="AA2347" s="6">
        <f>('TE BE'!$AA$41+'TE BF'!$AA$41+'TE CVA'!$AA$41)*1</f>
        <v>297.20166373463735</v>
      </c>
      <c r="AB2347" s="6">
        <f>$K$2347*$V$2347</f>
        <v>0</v>
      </c>
      <c r="AC2347" s="6">
        <f>$M$2347*$W$2347</f>
        <v>676107.49713000003</v>
      </c>
      <c r="AD2347" s="6">
        <f>$O$2347*$X$2347</f>
        <v>365394.50910000002</v>
      </c>
      <c r="AE2347" s="6">
        <f>$K$2347*$Y$2347</f>
        <v>0</v>
      </c>
      <c r="AF2347" s="6">
        <f ca="1">$M$2347*$Z$2347</f>
        <v>760705.17756760831</v>
      </c>
      <c r="AG2347" s="6">
        <f>$O$2347*$AA$2347</f>
        <v>446345.48304159922</v>
      </c>
    </row>
    <row r="2348" spans="1:33" ht="11.25" customHeight="1" x14ac:dyDescent="0.25">
      <c r="A2348" s="4" t="s">
        <v>30</v>
      </c>
      <c r="B2348" s="4" t="s">
        <v>41</v>
      </c>
      <c r="C2348" s="4" t="s">
        <v>23</v>
      </c>
      <c r="D2348" s="4" t="s">
        <v>45</v>
      </c>
      <c r="E2348" s="4" t="s">
        <v>25</v>
      </c>
      <c r="F2348" s="4" t="s">
        <v>25</v>
      </c>
      <c r="G2348" s="4" t="s">
        <v>25</v>
      </c>
      <c r="H2348" s="4" t="s">
        <v>25</v>
      </c>
      <c r="I2348" s="5">
        <v>44440</v>
      </c>
      <c r="J2348" s="6">
        <v>0</v>
      </c>
      <c r="K2348" s="6">
        <v>0</v>
      </c>
      <c r="L2348" s="6">
        <v>-1.734</v>
      </c>
      <c r="M2348" s="6">
        <v>-1.734</v>
      </c>
      <c r="N2348" s="6">
        <v>-1.734</v>
      </c>
      <c r="O2348" s="6">
        <v>-1.734</v>
      </c>
      <c r="P2348" s="6">
        <v>0</v>
      </c>
      <c r="Q2348" s="4" t="s">
        <v>26</v>
      </c>
      <c r="R2348" s="4">
        <v>0</v>
      </c>
      <c r="S2348" s="6">
        <v>0</v>
      </c>
      <c r="T2348" s="6">
        <v>72</v>
      </c>
      <c r="U2348" s="6">
        <v>78</v>
      </c>
      <c r="V2348" s="6">
        <f>IF(ISERROR(VLOOKUP($S$2348,'TAR FIN'!$A$1:$O$95,15,0)),0,VLOOKUP($S$2348,'TAR FIN'!$A$1:$O$95,15,0))</f>
        <v>0</v>
      </c>
      <c r="W2348" s="6">
        <f>IF(ISERROR(VLOOKUP($T$2348,'TAR FIN'!$A$1:$O$95,15,0)),0,VLOOKUP($T$2348,'TAR FIN'!$A$1:$O$95,15,0))</f>
        <v>450.19</v>
      </c>
      <c r="X2348" s="6">
        <f>IF(ISERROR(VLOOKUP($U$2348,'TAR FIN'!$A$1:$O$95,15,0)),0,VLOOKUP($U$2348,'TAR FIN'!$A$1:$O$95,15,0))</f>
        <v>243.3</v>
      </c>
      <c r="Y2348" s="6"/>
      <c r="Z2348" s="6">
        <f ca="1">('TUSD BE'!$AM$53+'TUSD BF'!$AM$53+'TUSD CVA'!$AM$53)*1</f>
        <v>506.5198438752322</v>
      </c>
      <c r="AA2348" s="6">
        <f>('TE BE'!$AA$41+'TE BF'!$AA$41+'TE CVA'!$AA$41)*1</f>
        <v>297.20166373463735</v>
      </c>
      <c r="AB2348" s="6">
        <f>$K$2348*$V$2348</f>
        <v>0</v>
      </c>
      <c r="AC2348" s="6">
        <f>$M$2348*$W$2348</f>
        <v>-780.62945999999999</v>
      </c>
      <c r="AD2348" s="6">
        <f>$O$2348*$X$2348</f>
        <v>-421.88220000000001</v>
      </c>
      <c r="AE2348" s="6">
        <f>$K$2348*$Y$2348</f>
        <v>0</v>
      </c>
      <c r="AF2348" s="6">
        <f ca="1">$M$2348*$Z$2348</f>
        <v>-878.30540927965262</v>
      </c>
      <c r="AG2348" s="6">
        <f>$O$2348*$AA$2348</f>
        <v>-515.34768491586112</v>
      </c>
    </row>
    <row r="2349" spans="1:33" ht="11.25" customHeight="1" x14ac:dyDescent="0.25">
      <c r="A2349" s="4" t="s">
        <v>59</v>
      </c>
      <c r="B2349" s="4" t="s">
        <v>41</v>
      </c>
      <c r="C2349" s="4" t="s">
        <v>23</v>
      </c>
      <c r="D2349" s="4" t="s">
        <v>45</v>
      </c>
      <c r="E2349" s="4" t="s">
        <v>25</v>
      </c>
      <c r="F2349" s="4" t="s">
        <v>25</v>
      </c>
      <c r="G2349" s="4" t="s">
        <v>25</v>
      </c>
      <c r="H2349" s="4" t="s">
        <v>25</v>
      </c>
      <c r="I2349" s="5">
        <v>44470</v>
      </c>
      <c r="J2349" s="6">
        <v>0</v>
      </c>
      <c r="K2349" s="6">
        <v>0</v>
      </c>
      <c r="L2349" s="6">
        <v>50433.957000000002</v>
      </c>
      <c r="M2349" s="6">
        <v>50433.957000000002</v>
      </c>
      <c r="N2349" s="6">
        <v>50433.957000000002</v>
      </c>
      <c r="O2349" s="6">
        <v>50433.957000000002</v>
      </c>
      <c r="P2349" s="6">
        <v>49608</v>
      </c>
      <c r="Q2349" s="4" t="s">
        <v>26</v>
      </c>
      <c r="R2349" s="4">
        <v>0</v>
      </c>
      <c r="S2349" s="6">
        <v>0</v>
      </c>
      <c r="T2349" s="6">
        <v>72</v>
      </c>
      <c r="U2349" s="6">
        <v>78</v>
      </c>
      <c r="V2349" s="6">
        <f>IF(ISERROR(VLOOKUP($S$2349,'TAR FIN'!$A$1:$O$95,15,0)),0,VLOOKUP($S$2349,'TAR FIN'!$A$1:$O$95,15,0))</f>
        <v>0</v>
      </c>
      <c r="W2349" s="6">
        <f>IF(ISERROR(VLOOKUP($T$2349,'TAR FIN'!$A$1:$O$95,15,0)),0,VLOOKUP($T$2349,'TAR FIN'!$A$1:$O$95,15,0))</f>
        <v>450.19</v>
      </c>
      <c r="X2349" s="6">
        <f>IF(ISERROR(VLOOKUP($U$2349,'TAR FIN'!$A$1:$O$95,15,0)),0,VLOOKUP($U$2349,'TAR FIN'!$A$1:$O$95,15,0))</f>
        <v>243.3</v>
      </c>
      <c r="Y2349" s="6"/>
      <c r="Z2349" s="6">
        <f ca="1">('TUSD BE'!$AM$53+'TUSD BF'!$AM$53+'TUSD CVA'!$AM$53)*1</f>
        <v>506.5198438752322</v>
      </c>
      <c r="AA2349" s="6">
        <f>('TE BE'!$AA$41+'TE BF'!$AA$41+'TE CVA'!$AA$41)*1</f>
        <v>297.20166373463735</v>
      </c>
      <c r="AB2349" s="6">
        <f>$K$2349*$V$2349</f>
        <v>0</v>
      </c>
      <c r="AC2349" s="6">
        <f>$M$2349*$W$2349</f>
        <v>22704863.101830002</v>
      </c>
      <c r="AD2349" s="6">
        <f>$O$2349*$X$2349</f>
        <v>12270581.738100002</v>
      </c>
      <c r="AE2349" s="6">
        <f>$K$2349*$Y$2349</f>
        <v>0</v>
      </c>
      <c r="AF2349" s="6">
        <f ca="1">$M$2349*$Z$2349</f>
        <v>25545800.025650173</v>
      </c>
      <c r="AG2349" s="6">
        <f>$O$2349*$AA$2349</f>
        <v>14989055.929121161</v>
      </c>
    </row>
    <row r="2350" spans="1:33" ht="11.25" customHeight="1" x14ac:dyDescent="0.25">
      <c r="A2350" s="4" t="s">
        <v>59</v>
      </c>
      <c r="B2350" s="4" t="s">
        <v>41</v>
      </c>
      <c r="C2350" s="4" t="s">
        <v>23</v>
      </c>
      <c r="D2350" s="4" t="s">
        <v>45</v>
      </c>
      <c r="E2350" s="4" t="s">
        <v>25</v>
      </c>
      <c r="F2350" s="4" t="s">
        <v>25</v>
      </c>
      <c r="G2350" s="4" t="s">
        <v>25</v>
      </c>
      <c r="H2350" s="4" t="s">
        <v>25</v>
      </c>
      <c r="I2350" s="5">
        <v>44470</v>
      </c>
      <c r="J2350" s="6">
        <v>0</v>
      </c>
      <c r="K2350" s="6">
        <v>0</v>
      </c>
      <c r="L2350" s="6">
        <v>-2977.6590000000001</v>
      </c>
      <c r="M2350" s="6">
        <v>-2977.6590000000001</v>
      </c>
      <c r="N2350" s="6">
        <v>-2977.6590000000001</v>
      </c>
      <c r="O2350" s="6">
        <v>-2977.6590000000001</v>
      </c>
      <c r="P2350" s="6">
        <v>0</v>
      </c>
      <c r="Q2350" s="4" t="s">
        <v>26</v>
      </c>
      <c r="R2350" s="4">
        <v>0</v>
      </c>
      <c r="S2350" s="6">
        <v>0</v>
      </c>
      <c r="T2350" s="6">
        <v>72</v>
      </c>
      <c r="U2350" s="6">
        <v>78</v>
      </c>
      <c r="V2350" s="6">
        <f>IF(ISERROR(VLOOKUP($S$2350,'TAR FIN'!$A$1:$O$95,15,0)),0,VLOOKUP($S$2350,'TAR FIN'!$A$1:$O$95,15,0))</f>
        <v>0</v>
      </c>
      <c r="W2350" s="6">
        <f>IF(ISERROR(VLOOKUP($T$2350,'TAR FIN'!$A$1:$O$95,15,0)),0,VLOOKUP($T$2350,'TAR FIN'!$A$1:$O$95,15,0))</f>
        <v>450.19</v>
      </c>
      <c r="X2350" s="6">
        <f>IF(ISERROR(VLOOKUP($U$2350,'TAR FIN'!$A$1:$O$95,15,0)),0,VLOOKUP($U$2350,'TAR FIN'!$A$1:$O$95,15,0))</f>
        <v>243.3</v>
      </c>
      <c r="Y2350" s="6"/>
      <c r="Z2350" s="6">
        <f ca="1">('TUSD BE'!$AM$53+'TUSD BF'!$AM$53+'TUSD CVA'!$AM$53)*1</f>
        <v>506.5198438752322</v>
      </c>
      <c r="AA2350" s="6">
        <f>('TE BE'!$AA$41+'TE BF'!$AA$41+'TE CVA'!$AA$41)*1</f>
        <v>297.20166373463735</v>
      </c>
      <c r="AB2350" s="6">
        <f>$K$2350*$V$2350</f>
        <v>0</v>
      </c>
      <c r="AC2350" s="6">
        <f>$M$2350*$W$2350</f>
        <v>-1340512.3052100001</v>
      </c>
      <c r="AD2350" s="6">
        <f>$O$2350*$X$2350</f>
        <v>-724464.4347000001</v>
      </c>
      <c r="AE2350" s="6">
        <f>$K$2350*$Y$2350</f>
        <v>0</v>
      </c>
      <c r="AF2350" s="6">
        <f ca="1">$M$2350*$Z$2350</f>
        <v>-1508243.3717936801</v>
      </c>
      <c r="AG2350" s="6">
        <f>$O$2350*$AA$2350</f>
        <v>-884965.20883441658</v>
      </c>
    </row>
    <row r="2351" spans="1:33" ht="11.25" customHeight="1" x14ac:dyDescent="0.25">
      <c r="A2351" s="4" t="s">
        <v>59</v>
      </c>
      <c r="B2351" s="4" t="s">
        <v>41</v>
      </c>
      <c r="C2351" s="4" t="s">
        <v>23</v>
      </c>
      <c r="D2351" s="4" t="s">
        <v>45</v>
      </c>
      <c r="E2351" s="4" t="s">
        <v>25</v>
      </c>
      <c r="F2351" s="4" t="s">
        <v>25</v>
      </c>
      <c r="G2351" s="4" t="s">
        <v>25</v>
      </c>
      <c r="H2351" s="4" t="s">
        <v>25</v>
      </c>
      <c r="I2351" s="5">
        <v>44470</v>
      </c>
      <c r="J2351" s="6">
        <v>0</v>
      </c>
      <c r="K2351" s="6">
        <v>0</v>
      </c>
      <c r="L2351" s="6">
        <v>14906.736000000001</v>
      </c>
      <c r="M2351" s="6">
        <v>14906.736000000001</v>
      </c>
      <c r="N2351" s="6">
        <v>14906.736000000001</v>
      </c>
      <c r="O2351" s="6">
        <v>14906.736000000001</v>
      </c>
      <c r="P2351" s="6">
        <v>24200</v>
      </c>
      <c r="Q2351" s="4" t="s">
        <v>26</v>
      </c>
      <c r="R2351" s="4">
        <v>0</v>
      </c>
      <c r="S2351" s="6">
        <v>0</v>
      </c>
      <c r="T2351" s="6">
        <v>72</v>
      </c>
      <c r="U2351" s="6">
        <v>78</v>
      </c>
      <c r="V2351" s="6">
        <f>IF(ISERROR(VLOOKUP($S$2351,'TAR FIN'!$A$1:$O$95,15,0)),0,VLOOKUP($S$2351,'TAR FIN'!$A$1:$O$95,15,0))</f>
        <v>0</v>
      </c>
      <c r="W2351" s="6">
        <f>IF(ISERROR(VLOOKUP($T$2351,'TAR FIN'!$A$1:$O$95,15,0)),0,VLOOKUP($T$2351,'TAR FIN'!$A$1:$O$95,15,0))</f>
        <v>450.19</v>
      </c>
      <c r="X2351" s="6">
        <f>IF(ISERROR(VLOOKUP($U$2351,'TAR FIN'!$A$1:$O$95,15,0)),0,VLOOKUP($U$2351,'TAR FIN'!$A$1:$O$95,15,0))</f>
        <v>243.3</v>
      </c>
      <c r="Y2351" s="6"/>
      <c r="Z2351" s="6">
        <f ca="1">('TUSD BE'!$AM$53+'TUSD BF'!$AM$53+'TUSD CVA'!$AM$53)*1</f>
        <v>506.5198438752322</v>
      </c>
      <c r="AA2351" s="6">
        <f>('TE BE'!$AA$41+'TE BF'!$AA$41+'TE CVA'!$AA$41)*1</f>
        <v>297.20166373463735</v>
      </c>
      <c r="AB2351" s="6">
        <f>$K$2351*$V$2351</f>
        <v>0</v>
      </c>
      <c r="AC2351" s="6">
        <f>$M$2351*$W$2351</f>
        <v>6710863.4798400002</v>
      </c>
      <c r="AD2351" s="6">
        <f>$O$2351*$X$2351</f>
        <v>3626808.8688000003</v>
      </c>
      <c r="AE2351" s="6">
        <f>$K$2351*$Y$2351</f>
        <v>0</v>
      </c>
      <c r="AF2351" s="6">
        <f ca="1">$M$2351*$Z$2351</f>
        <v>7550557.5914093032</v>
      </c>
      <c r="AG2351" s="6">
        <f>$O$2351*$AA$2351</f>
        <v>4430306.740053013</v>
      </c>
    </row>
    <row r="2352" spans="1:33" ht="11.25" customHeight="1" x14ac:dyDescent="0.25">
      <c r="A2352" s="4" t="s">
        <v>59</v>
      </c>
      <c r="B2352" s="4" t="s">
        <v>41</v>
      </c>
      <c r="C2352" s="4" t="s">
        <v>23</v>
      </c>
      <c r="D2352" s="4" t="s">
        <v>45</v>
      </c>
      <c r="E2352" s="4" t="s">
        <v>25</v>
      </c>
      <c r="F2352" s="4" t="s">
        <v>25</v>
      </c>
      <c r="G2352" s="4" t="s">
        <v>25</v>
      </c>
      <c r="H2352" s="4" t="s">
        <v>25</v>
      </c>
      <c r="I2352" s="5">
        <v>44470</v>
      </c>
      <c r="J2352" s="6">
        <v>0</v>
      </c>
      <c r="K2352" s="6">
        <v>0</v>
      </c>
      <c r="L2352" s="6">
        <v>-122.572</v>
      </c>
      <c r="M2352" s="6">
        <v>-122.572</v>
      </c>
      <c r="N2352" s="6">
        <v>-122.572</v>
      </c>
      <c r="O2352" s="6">
        <v>-122.572</v>
      </c>
      <c r="P2352" s="6">
        <v>0</v>
      </c>
      <c r="Q2352" s="4" t="s">
        <v>26</v>
      </c>
      <c r="R2352" s="4">
        <v>0</v>
      </c>
      <c r="S2352" s="6">
        <v>0</v>
      </c>
      <c r="T2352" s="6">
        <v>72</v>
      </c>
      <c r="U2352" s="6">
        <v>78</v>
      </c>
      <c r="V2352" s="6">
        <f>IF(ISERROR(VLOOKUP($S$2352,'TAR FIN'!$A$1:$O$95,15,0)),0,VLOOKUP($S$2352,'TAR FIN'!$A$1:$O$95,15,0))</f>
        <v>0</v>
      </c>
      <c r="W2352" s="6">
        <f>IF(ISERROR(VLOOKUP($T$2352,'TAR FIN'!$A$1:$O$95,15,0)),0,VLOOKUP($T$2352,'TAR FIN'!$A$1:$O$95,15,0))</f>
        <v>450.19</v>
      </c>
      <c r="X2352" s="6">
        <f>IF(ISERROR(VLOOKUP($U$2352,'TAR FIN'!$A$1:$O$95,15,0)),0,VLOOKUP($U$2352,'TAR FIN'!$A$1:$O$95,15,0))</f>
        <v>243.3</v>
      </c>
      <c r="Y2352" s="6"/>
      <c r="Z2352" s="6">
        <f ca="1">('TUSD BE'!$AM$53+'TUSD BF'!$AM$53+'TUSD CVA'!$AM$53)*1</f>
        <v>506.5198438752322</v>
      </c>
      <c r="AA2352" s="6">
        <f>('TE BE'!$AA$41+'TE BF'!$AA$41+'TE CVA'!$AA$41)*1</f>
        <v>297.20166373463735</v>
      </c>
      <c r="AB2352" s="6">
        <f>$K$2352*$V$2352</f>
        <v>0</v>
      </c>
      <c r="AC2352" s="6">
        <f>$M$2352*$W$2352</f>
        <v>-55180.688679999999</v>
      </c>
      <c r="AD2352" s="6">
        <f>$O$2352*$X$2352</f>
        <v>-29821.767600000003</v>
      </c>
      <c r="AE2352" s="6">
        <f>$K$2352*$Y$2352</f>
        <v>0</v>
      </c>
      <c r="AF2352" s="6">
        <f ca="1">$M$2352*$Z$2352</f>
        <v>-62085.150303474962</v>
      </c>
      <c r="AG2352" s="6">
        <f>$O$2352*$AA$2352</f>
        <v>-36428.602327281973</v>
      </c>
    </row>
    <row r="2353" spans="1:33" ht="11.25" customHeight="1" x14ac:dyDescent="0.25">
      <c r="A2353" s="4" t="s">
        <v>59</v>
      </c>
      <c r="B2353" s="4" t="s">
        <v>41</v>
      </c>
      <c r="C2353" s="4" t="s">
        <v>23</v>
      </c>
      <c r="D2353" s="4" t="s">
        <v>45</v>
      </c>
      <c r="E2353" s="4" t="s">
        <v>25</v>
      </c>
      <c r="F2353" s="4" t="s">
        <v>25</v>
      </c>
      <c r="G2353" s="4" t="s">
        <v>25</v>
      </c>
      <c r="H2353" s="4" t="s">
        <v>25</v>
      </c>
      <c r="I2353" s="5">
        <v>44470</v>
      </c>
      <c r="J2353" s="6">
        <v>0</v>
      </c>
      <c r="K2353" s="6">
        <v>0</v>
      </c>
      <c r="L2353" s="6">
        <v>1501.827</v>
      </c>
      <c r="M2353" s="6">
        <v>1501.827</v>
      </c>
      <c r="N2353" s="6">
        <v>1501.827</v>
      </c>
      <c r="O2353" s="6">
        <v>1501.827</v>
      </c>
      <c r="P2353" s="6">
        <v>562</v>
      </c>
      <c r="Q2353" s="4" t="s">
        <v>26</v>
      </c>
      <c r="R2353" s="4">
        <v>0</v>
      </c>
      <c r="S2353" s="6">
        <v>0</v>
      </c>
      <c r="T2353" s="6">
        <v>72</v>
      </c>
      <c r="U2353" s="6">
        <v>78</v>
      </c>
      <c r="V2353" s="6">
        <f>IF(ISERROR(VLOOKUP($S$2353,'TAR FIN'!$A$1:$O$95,15,0)),0,VLOOKUP($S$2353,'TAR FIN'!$A$1:$O$95,15,0))</f>
        <v>0</v>
      </c>
      <c r="W2353" s="6">
        <f>IF(ISERROR(VLOOKUP($T$2353,'TAR FIN'!$A$1:$O$95,15,0)),0,VLOOKUP($T$2353,'TAR FIN'!$A$1:$O$95,15,0))</f>
        <v>450.19</v>
      </c>
      <c r="X2353" s="6">
        <f>IF(ISERROR(VLOOKUP($U$2353,'TAR FIN'!$A$1:$O$95,15,0)),0,VLOOKUP($U$2353,'TAR FIN'!$A$1:$O$95,15,0))</f>
        <v>243.3</v>
      </c>
      <c r="Y2353" s="6"/>
      <c r="Z2353" s="6">
        <f ca="1">('TUSD BE'!$AM$53+'TUSD BF'!$AM$53+'TUSD CVA'!$AM$53)*1</f>
        <v>506.5198438752322</v>
      </c>
      <c r="AA2353" s="6">
        <f>('TE BE'!$AA$41+'TE BF'!$AA$41+'TE CVA'!$AA$41)*1</f>
        <v>297.20166373463735</v>
      </c>
      <c r="AB2353" s="6">
        <f>$K$2353*$V$2353</f>
        <v>0</v>
      </c>
      <c r="AC2353" s="6">
        <f>$M$2353*$W$2353</f>
        <v>676107.49713000003</v>
      </c>
      <c r="AD2353" s="6">
        <f>$O$2353*$X$2353</f>
        <v>365394.50910000002</v>
      </c>
      <c r="AE2353" s="6">
        <f>$K$2353*$Y$2353</f>
        <v>0</v>
      </c>
      <c r="AF2353" s="6">
        <f ca="1">$M$2353*$Z$2353</f>
        <v>760705.17756760831</v>
      </c>
      <c r="AG2353" s="6">
        <f>$O$2353*$AA$2353</f>
        <v>446345.48304159922</v>
      </c>
    </row>
    <row r="2354" spans="1:33" ht="11.25" customHeight="1" x14ac:dyDescent="0.25">
      <c r="A2354" s="4" t="s">
        <v>59</v>
      </c>
      <c r="B2354" s="4" t="s">
        <v>41</v>
      </c>
      <c r="C2354" s="4" t="s">
        <v>23</v>
      </c>
      <c r="D2354" s="4" t="s">
        <v>45</v>
      </c>
      <c r="E2354" s="4" t="s">
        <v>25</v>
      </c>
      <c r="F2354" s="4" t="s">
        <v>25</v>
      </c>
      <c r="G2354" s="4" t="s">
        <v>25</v>
      </c>
      <c r="H2354" s="4" t="s">
        <v>25</v>
      </c>
      <c r="I2354" s="5">
        <v>44470</v>
      </c>
      <c r="J2354" s="6">
        <v>0</v>
      </c>
      <c r="K2354" s="6">
        <v>0</v>
      </c>
      <c r="L2354" s="6">
        <v>-1.734</v>
      </c>
      <c r="M2354" s="6">
        <v>-1.734</v>
      </c>
      <c r="N2354" s="6">
        <v>-1.734</v>
      </c>
      <c r="O2354" s="6">
        <v>-1.734</v>
      </c>
      <c r="P2354" s="6">
        <v>0</v>
      </c>
      <c r="Q2354" s="4" t="s">
        <v>26</v>
      </c>
      <c r="R2354" s="4">
        <v>0</v>
      </c>
      <c r="S2354" s="6">
        <v>0</v>
      </c>
      <c r="T2354" s="6">
        <v>72</v>
      </c>
      <c r="U2354" s="6">
        <v>78</v>
      </c>
      <c r="V2354" s="6">
        <f>IF(ISERROR(VLOOKUP($S$2354,'TAR FIN'!$A$1:$O$95,15,0)),0,VLOOKUP($S$2354,'TAR FIN'!$A$1:$O$95,15,0))</f>
        <v>0</v>
      </c>
      <c r="W2354" s="6">
        <f>IF(ISERROR(VLOOKUP($T$2354,'TAR FIN'!$A$1:$O$95,15,0)),0,VLOOKUP($T$2354,'TAR FIN'!$A$1:$O$95,15,0))</f>
        <v>450.19</v>
      </c>
      <c r="X2354" s="6">
        <f>IF(ISERROR(VLOOKUP($U$2354,'TAR FIN'!$A$1:$O$95,15,0)),0,VLOOKUP($U$2354,'TAR FIN'!$A$1:$O$95,15,0))</f>
        <v>243.3</v>
      </c>
      <c r="Y2354" s="6"/>
      <c r="Z2354" s="6">
        <f ca="1">('TUSD BE'!$AM$53+'TUSD BF'!$AM$53+'TUSD CVA'!$AM$53)*1</f>
        <v>506.5198438752322</v>
      </c>
      <c r="AA2354" s="6">
        <f>('TE BE'!$AA$41+'TE BF'!$AA$41+'TE CVA'!$AA$41)*1</f>
        <v>297.20166373463735</v>
      </c>
      <c r="AB2354" s="6">
        <f>$K$2354*$V$2354</f>
        <v>0</v>
      </c>
      <c r="AC2354" s="6">
        <f>$M$2354*$W$2354</f>
        <v>-780.62945999999999</v>
      </c>
      <c r="AD2354" s="6">
        <f>$O$2354*$X$2354</f>
        <v>-421.88220000000001</v>
      </c>
      <c r="AE2354" s="6">
        <f>$K$2354*$Y$2354</f>
        <v>0</v>
      </c>
      <c r="AF2354" s="6">
        <f ca="1">$M$2354*$Z$2354</f>
        <v>-878.30540927965262</v>
      </c>
      <c r="AG2354" s="6">
        <f>$O$2354*$AA$2354</f>
        <v>-515.34768491586112</v>
      </c>
    </row>
    <row r="2355" spans="1:33" ht="11.25" customHeight="1" x14ac:dyDescent="0.25">
      <c r="A2355" s="4" t="s">
        <v>21</v>
      </c>
      <c r="B2355" s="4" t="s">
        <v>41</v>
      </c>
      <c r="C2355" s="4" t="s">
        <v>23</v>
      </c>
      <c r="D2355" s="4" t="s">
        <v>54</v>
      </c>
      <c r="E2355" s="4" t="s">
        <v>25</v>
      </c>
      <c r="F2355" s="4" t="s">
        <v>25</v>
      </c>
      <c r="G2355" s="4" t="s">
        <v>25</v>
      </c>
      <c r="H2355" s="4" t="s">
        <v>25</v>
      </c>
      <c r="I2355" s="5">
        <v>44136</v>
      </c>
      <c r="J2355" s="6">
        <v>0</v>
      </c>
      <c r="K2355" s="6">
        <v>0</v>
      </c>
      <c r="L2355" s="6">
        <v>561.19799999999998</v>
      </c>
      <c r="M2355" s="6">
        <v>561.19799999999998</v>
      </c>
      <c r="N2355" s="6">
        <v>561.19799999999998</v>
      </c>
      <c r="O2355" s="6">
        <v>561.19799999999998</v>
      </c>
      <c r="P2355" s="6">
        <v>56</v>
      </c>
      <c r="Q2355" s="4" t="s">
        <v>26</v>
      </c>
      <c r="R2355" s="4">
        <v>0</v>
      </c>
      <c r="S2355" s="6">
        <v>0</v>
      </c>
      <c r="T2355" s="6">
        <v>72</v>
      </c>
      <c r="U2355" s="6">
        <v>78</v>
      </c>
      <c r="V2355" s="6">
        <f>IF(ISERROR(VLOOKUP($S$2355,'TAR FIN'!$A$1:$O$95,15,0)),0,VLOOKUP($S$2355,'TAR FIN'!$A$1:$O$95,15,0))</f>
        <v>0</v>
      </c>
      <c r="W2355" s="6">
        <f>IF(ISERROR(VLOOKUP($T$2355,'TAR FIN'!$A$1:$O$95,15,0)),0,VLOOKUP($T$2355,'TAR FIN'!$A$1:$O$95,15,0))</f>
        <v>450.19</v>
      </c>
      <c r="X2355" s="6">
        <f>IF(ISERROR(VLOOKUP($U$2355,'TAR FIN'!$A$1:$O$95,15,0)),0,VLOOKUP($U$2355,'TAR FIN'!$A$1:$O$95,15,0))</f>
        <v>243.3</v>
      </c>
      <c r="Y2355" s="6"/>
      <c r="Z2355" s="6">
        <f ca="1">('TUSD BE'!$AM$53+'TUSD BF'!$AM$53+'TUSD CVA'!$AM$53)*1</f>
        <v>506.5198438752322</v>
      </c>
      <c r="AA2355" s="6">
        <f>('TE BE'!$AA$41+'TE BF'!$AA$41+'TE CVA'!$AA$41)*1</f>
        <v>297.20166373463735</v>
      </c>
      <c r="AB2355" s="6">
        <f>$K$2355*$V$2355</f>
        <v>0</v>
      </c>
      <c r="AC2355" s="6">
        <f>$M$2355*$W$2355</f>
        <v>252645.72761999999</v>
      </c>
      <c r="AD2355" s="6">
        <f>$O$2355*$X$2355</f>
        <v>136539.47339999999</v>
      </c>
      <c r="AE2355" s="6">
        <f>$K$2355*$Y$2355</f>
        <v>0</v>
      </c>
      <c r="AF2355" s="6">
        <f ca="1">$M$2355*$Z$2355</f>
        <v>284257.92334309255</v>
      </c>
      <c r="AG2355" s="6">
        <f>$O$2355*$AA$2355</f>
        <v>166788.97928455099</v>
      </c>
    </row>
    <row r="2356" spans="1:33" ht="11.25" customHeight="1" x14ac:dyDescent="0.25">
      <c r="A2356" s="4" t="s">
        <v>28</v>
      </c>
      <c r="B2356" s="4" t="s">
        <v>41</v>
      </c>
      <c r="C2356" s="4" t="s">
        <v>23</v>
      </c>
      <c r="D2356" s="4" t="s">
        <v>54</v>
      </c>
      <c r="E2356" s="4" t="s">
        <v>25</v>
      </c>
      <c r="F2356" s="4" t="s">
        <v>25</v>
      </c>
      <c r="G2356" s="4" t="s">
        <v>25</v>
      </c>
      <c r="H2356" s="4" t="s">
        <v>25</v>
      </c>
      <c r="I2356" s="5">
        <v>44136</v>
      </c>
      <c r="J2356" s="6">
        <v>0</v>
      </c>
      <c r="K2356" s="6">
        <v>0</v>
      </c>
      <c r="L2356" s="6">
        <v>269.08999999999997</v>
      </c>
      <c r="M2356" s="6">
        <v>269.08999999999997</v>
      </c>
      <c r="N2356" s="6">
        <v>269.08999999999997</v>
      </c>
      <c r="O2356" s="6">
        <v>269.08999999999997</v>
      </c>
      <c r="P2356" s="6">
        <v>191</v>
      </c>
      <c r="Q2356" s="4" t="s">
        <v>26</v>
      </c>
      <c r="R2356" s="4">
        <v>0</v>
      </c>
      <c r="S2356" s="6">
        <v>0</v>
      </c>
      <c r="T2356" s="6">
        <v>72</v>
      </c>
      <c r="U2356" s="6">
        <v>78</v>
      </c>
      <c r="V2356" s="6">
        <f>IF(ISERROR(VLOOKUP($S$2356,'TAR FIN'!$A$1:$O$95,15,0)),0,VLOOKUP($S$2356,'TAR FIN'!$A$1:$O$95,15,0))</f>
        <v>0</v>
      </c>
      <c r="W2356" s="6">
        <f>IF(ISERROR(VLOOKUP($T$2356,'TAR FIN'!$A$1:$O$95,15,0)),0,VLOOKUP($T$2356,'TAR FIN'!$A$1:$O$95,15,0))</f>
        <v>450.19</v>
      </c>
      <c r="X2356" s="6">
        <f>IF(ISERROR(VLOOKUP($U$2356,'TAR FIN'!$A$1:$O$95,15,0)),0,VLOOKUP($U$2356,'TAR FIN'!$A$1:$O$95,15,0))</f>
        <v>243.3</v>
      </c>
      <c r="Y2356" s="6"/>
      <c r="Z2356" s="6">
        <f ca="1">('TUSD BE'!$AM$53+'TUSD BF'!$AM$53+'TUSD CVA'!$AM$53)*1</f>
        <v>506.5198438752322</v>
      </c>
      <c r="AA2356" s="6">
        <f>('TE BE'!$AA$41+'TE BF'!$AA$41+'TE CVA'!$AA$41)*1</f>
        <v>297.20166373463735</v>
      </c>
      <c r="AB2356" s="6">
        <f>$K$2356*$V$2356</f>
        <v>0</v>
      </c>
      <c r="AC2356" s="6">
        <f>$M$2356*$W$2356</f>
        <v>121141.62709999998</v>
      </c>
      <c r="AD2356" s="6">
        <f>$O$2356*$X$2356</f>
        <v>65469.596999999994</v>
      </c>
      <c r="AE2356" s="6">
        <f>$K$2356*$Y$2356</f>
        <v>0</v>
      </c>
      <c r="AF2356" s="6">
        <f ca="1">$M$2356*$Z$2356</f>
        <v>136299.42478838621</v>
      </c>
      <c r="AG2356" s="6">
        <f>$O$2356*$AA$2356</f>
        <v>79973.995694353551</v>
      </c>
    </row>
    <row r="2357" spans="1:33" ht="11.25" customHeight="1" x14ac:dyDescent="0.25">
      <c r="A2357" s="4" t="s">
        <v>21</v>
      </c>
      <c r="B2357" s="4" t="s">
        <v>41</v>
      </c>
      <c r="C2357" s="4" t="s">
        <v>23</v>
      </c>
      <c r="D2357" s="4" t="s">
        <v>54</v>
      </c>
      <c r="E2357" s="4" t="s">
        <v>25</v>
      </c>
      <c r="F2357" s="4" t="s">
        <v>25</v>
      </c>
      <c r="G2357" s="4" t="s">
        <v>25</v>
      </c>
      <c r="H2357" s="4" t="s">
        <v>25</v>
      </c>
      <c r="I2357" s="5">
        <v>44166</v>
      </c>
      <c r="J2357" s="6">
        <v>0</v>
      </c>
      <c r="K2357" s="6">
        <v>0</v>
      </c>
      <c r="L2357" s="6">
        <v>569.69299999999998</v>
      </c>
      <c r="M2357" s="6">
        <v>569.69299999999998</v>
      </c>
      <c r="N2357" s="6">
        <v>569.69299999999998</v>
      </c>
      <c r="O2357" s="6">
        <v>569.69299999999998</v>
      </c>
      <c r="P2357" s="6">
        <v>56</v>
      </c>
      <c r="Q2357" s="4" t="s">
        <v>26</v>
      </c>
      <c r="R2357" s="4">
        <v>0</v>
      </c>
      <c r="S2357" s="6">
        <v>0</v>
      </c>
      <c r="T2357" s="6">
        <v>72</v>
      </c>
      <c r="U2357" s="6">
        <v>78</v>
      </c>
      <c r="V2357" s="6">
        <f>IF(ISERROR(VLOOKUP($S$2357,'TAR FIN'!$A$1:$O$95,15,0)),0,VLOOKUP($S$2357,'TAR FIN'!$A$1:$O$95,15,0))</f>
        <v>0</v>
      </c>
      <c r="W2357" s="6">
        <f>IF(ISERROR(VLOOKUP($T$2357,'TAR FIN'!$A$1:$O$95,15,0)),0,VLOOKUP($T$2357,'TAR FIN'!$A$1:$O$95,15,0))</f>
        <v>450.19</v>
      </c>
      <c r="X2357" s="6">
        <f>IF(ISERROR(VLOOKUP($U$2357,'TAR FIN'!$A$1:$O$95,15,0)),0,VLOOKUP($U$2357,'TAR FIN'!$A$1:$O$95,15,0))</f>
        <v>243.3</v>
      </c>
      <c r="Y2357" s="6"/>
      <c r="Z2357" s="6">
        <f ca="1">('TUSD BE'!$AM$53+'TUSD BF'!$AM$53+'TUSD CVA'!$AM$53)*1</f>
        <v>506.5198438752322</v>
      </c>
      <c r="AA2357" s="6">
        <f>('TE BE'!$AA$41+'TE BF'!$AA$41+'TE CVA'!$AA$41)*1</f>
        <v>297.20166373463735</v>
      </c>
      <c r="AB2357" s="6">
        <f>$K$2357*$V$2357</f>
        <v>0</v>
      </c>
      <c r="AC2357" s="6">
        <f>$M$2357*$W$2357</f>
        <v>256470.09166999999</v>
      </c>
      <c r="AD2357" s="6">
        <f>$O$2357*$X$2357</f>
        <v>138606.3069</v>
      </c>
      <c r="AE2357" s="6">
        <f>$K$2357*$Y$2357</f>
        <v>0</v>
      </c>
      <c r="AF2357" s="6">
        <f ca="1">$M$2357*$Z$2357</f>
        <v>288560.80941681267</v>
      </c>
      <c r="AG2357" s="6">
        <f>$O$2357*$AA$2357</f>
        <v>169313.70741797675</v>
      </c>
    </row>
    <row r="2358" spans="1:33" ht="11.25" customHeight="1" x14ac:dyDescent="0.25">
      <c r="A2358" s="4" t="s">
        <v>28</v>
      </c>
      <c r="B2358" s="4" t="s">
        <v>41</v>
      </c>
      <c r="C2358" s="4" t="s">
        <v>23</v>
      </c>
      <c r="D2358" s="4" t="s">
        <v>54</v>
      </c>
      <c r="E2358" s="4" t="s">
        <v>25</v>
      </c>
      <c r="F2358" s="4" t="s">
        <v>25</v>
      </c>
      <c r="G2358" s="4" t="s">
        <v>25</v>
      </c>
      <c r="H2358" s="4" t="s">
        <v>25</v>
      </c>
      <c r="I2358" s="5">
        <v>44166</v>
      </c>
      <c r="J2358" s="6">
        <v>0</v>
      </c>
      <c r="K2358" s="6">
        <v>0</v>
      </c>
      <c r="L2358" s="6">
        <v>254.846</v>
      </c>
      <c r="M2358" s="6">
        <v>254.846</v>
      </c>
      <c r="N2358" s="6">
        <v>254.846</v>
      </c>
      <c r="O2358" s="6">
        <v>254.846</v>
      </c>
      <c r="P2358" s="6">
        <v>192</v>
      </c>
      <c r="Q2358" s="4" t="s">
        <v>26</v>
      </c>
      <c r="R2358" s="4">
        <v>0</v>
      </c>
      <c r="S2358" s="6">
        <v>0</v>
      </c>
      <c r="T2358" s="6">
        <v>72</v>
      </c>
      <c r="U2358" s="6">
        <v>78</v>
      </c>
      <c r="V2358" s="6">
        <f>IF(ISERROR(VLOOKUP($S$2358,'TAR FIN'!$A$1:$O$95,15,0)),0,VLOOKUP($S$2358,'TAR FIN'!$A$1:$O$95,15,0))</f>
        <v>0</v>
      </c>
      <c r="W2358" s="6">
        <f>IF(ISERROR(VLOOKUP($T$2358,'TAR FIN'!$A$1:$O$95,15,0)),0,VLOOKUP($T$2358,'TAR FIN'!$A$1:$O$95,15,0))</f>
        <v>450.19</v>
      </c>
      <c r="X2358" s="6">
        <f>IF(ISERROR(VLOOKUP($U$2358,'TAR FIN'!$A$1:$O$95,15,0)),0,VLOOKUP($U$2358,'TAR FIN'!$A$1:$O$95,15,0))</f>
        <v>243.3</v>
      </c>
      <c r="Y2358" s="6"/>
      <c r="Z2358" s="6">
        <f ca="1">('TUSD BE'!$AM$53+'TUSD BF'!$AM$53+'TUSD CVA'!$AM$53)*1</f>
        <v>506.5198438752322</v>
      </c>
      <c r="AA2358" s="6">
        <f>('TE BE'!$AA$41+'TE BF'!$AA$41+'TE CVA'!$AA$41)*1</f>
        <v>297.20166373463735</v>
      </c>
      <c r="AB2358" s="6">
        <f>$K$2358*$V$2358</f>
        <v>0</v>
      </c>
      <c r="AC2358" s="6">
        <f>$M$2358*$W$2358</f>
        <v>114729.12074</v>
      </c>
      <c r="AD2358" s="6">
        <f>$O$2358*$X$2358</f>
        <v>62004.031800000004</v>
      </c>
      <c r="AE2358" s="6">
        <f>$K$2358*$Y$2358</f>
        <v>0</v>
      </c>
      <c r="AF2358" s="6">
        <f ca="1">$M$2358*$Z$2358</f>
        <v>129084.55613222743</v>
      </c>
      <c r="AG2358" s="6">
        <f>$O$2358*$AA$2358</f>
        <v>75740.655196117397</v>
      </c>
    </row>
    <row r="2359" spans="1:33" ht="11.25" customHeight="1" x14ac:dyDescent="0.25">
      <c r="A2359" s="4" t="s">
        <v>21</v>
      </c>
      <c r="B2359" s="4" t="s">
        <v>41</v>
      </c>
      <c r="C2359" s="4" t="s">
        <v>23</v>
      </c>
      <c r="D2359" s="4" t="s">
        <v>54</v>
      </c>
      <c r="E2359" s="4" t="s">
        <v>25</v>
      </c>
      <c r="F2359" s="4" t="s">
        <v>25</v>
      </c>
      <c r="G2359" s="4" t="s">
        <v>25</v>
      </c>
      <c r="H2359" s="4" t="s">
        <v>25</v>
      </c>
      <c r="I2359" s="5">
        <v>44197</v>
      </c>
      <c r="J2359" s="6">
        <v>0</v>
      </c>
      <c r="K2359" s="6">
        <v>0</v>
      </c>
      <c r="L2359" s="6">
        <v>510.62400000000002</v>
      </c>
      <c r="M2359" s="6">
        <v>510.62400000000002</v>
      </c>
      <c r="N2359" s="6">
        <v>510.62400000000002</v>
      </c>
      <c r="O2359" s="6">
        <v>510.62400000000002</v>
      </c>
      <c r="P2359" s="6">
        <v>56</v>
      </c>
      <c r="Q2359" s="4" t="s">
        <v>26</v>
      </c>
      <c r="R2359" s="4">
        <v>0</v>
      </c>
      <c r="S2359" s="6">
        <v>0</v>
      </c>
      <c r="T2359" s="6">
        <v>72</v>
      </c>
      <c r="U2359" s="6">
        <v>78</v>
      </c>
      <c r="V2359" s="6">
        <f>IF(ISERROR(VLOOKUP($S$2359,'TAR FIN'!$A$1:$O$95,15,0)),0,VLOOKUP($S$2359,'TAR FIN'!$A$1:$O$95,15,0))</f>
        <v>0</v>
      </c>
      <c r="W2359" s="6">
        <f>IF(ISERROR(VLOOKUP($T$2359,'TAR FIN'!$A$1:$O$95,15,0)),0,VLOOKUP($T$2359,'TAR FIN'!$A$1:$O$95,15,0))</f>
        <v>450.19</v>
      </c>
      <c r="X2359" s="6">
        <f>IF(ISERROR(VLOOKUP($U$2359,'TAR FIN'!$A$1:$O$95,15,0)),0,VLOOKUP($U$2359,'TAR FIN'!$A$1:$O$95,15,0))</f>
        <v>243.3</v>
      </c>
      <c r="Y2359" s="6"/>
      <c r="Z2359" s="6">
        <f ca="1">('TUSD BE'!$AM$53+'TUSD BF'!$AM$53+'TUSD CVA'!$AM$53)*1</f>
        <v>506.5198438752322</v>
      </c>
      <c r="AA2359" s="6">
        <f>('TE BE'!$AA$41+'TE BF'!$AA$41+'TE CVA'!$AA$41)*1</f>
        <v>297.20166373463735</v>
      </c>
      <c r="AB2359" s="6">
        <f>$K$2359*$V$2359</f>
        <v>0</v>
      </c>
      <c r="AC2359" s="6">
        <f>$M$2359*$W$2359</f>
        <v>229877.81856000001</v>
      </c>
      <c r="AD2359" s="6">
        <f>$O$2359*$X$2359</f>
        <v>124234.81920000001</v>
      </c>
      <c r="AE2359" s="6">
        <f>$K$2359*$Y$2359</f>
        <v>0</v>
      </c>
      <c r="AF2359" s="6">
        <f ca="1">$M$2359*$Z$2359</f>
        <v>258641.18875894658</v>
      </c>
      <c r="AG2359" s="6">
        <f>$O$2359*$AA$2359</f>
        <v>151758.30234283546</v>
      </c>
    </row>
    <row r="2360" spans="1:33" ht="11.25" customHeight="1" x14ac:dyDescent="0.25">
      <c r="A2360" s="4" t="s">
        <v>28</v>
      </c>
      <c r="B2360" s="4" t="s">
        <v>41</v>
      </c>
      <c r="C2360" s="4" t="s">
        <v>23</v>
      </c>
      <c r="D2360" s="4" t="s">
        <v>54</v>
      </c>
      <c r="E2360" s="4" t="s">
        <v>25</v>
      </c>
      <c r="F2360" s="4" t="s">
        <v>25</v>
      </c>
      <c r="G2360" s="4" t="s">
        <v>25</v>
      </c>
      <c r="H2360" s="4" t="s">
        <v>25</v>
      </c>
      <c r="I2360" s="5">
        <v>44197</v>
      </c>
      <c r="J2360" s="6">
        <v>0</v>
      </c>
      <c r="K2360" s="6">
        <v>0</v>
      </c>
      <c r="L2360" s="6">
        <v>213.67500000000001</v>
      </c>
      <c r="M2360" s="6">
        <v>213.67500000000001</v>
      </c>
      <c r="N2360" s="6">
        <v>213.67500000000001</v>
      </c>
      <c r="O2360" s="6">
        <v>213.67500000000001</v>
      </c>
      <c r="P2360" s="6">
        <v>190</v>
      </c>
      <c r="Q2360" s="4" t="s">
        <v>26</v>
      </c>
      <c r="R2360" s="4">
        <v>0</v>
      </c>
      <c r="S2360" s="6">
        <v>0</v>
      </c>
      <c r="T2360" s="6">
        <v>72</v>
      </c>
      <c r="U2360" s="6">
        <v>78</v>
      </c>
      <c r="V2360" s="6">
        <f>IF(ISERROR(VLOOKUP($S$2360,'TAR FIN'!$A$1:$O$95,15,0)),0,VLOOKUP($S$2360,'TAR FIN'!$A$1:$O$95,15,0))</f>
        <v>0</v>
      </c>
      <c r="W2360" s="6">
        <f>IF(ISERROR(VLOOKUP($T$2360,'TAR FIN'!$A$1:$O$95,15,0)),0,VLOOKUP($T$2360,'TAR FIN'!$A$1:$O$95,15,0))</f>
        <v>450.19</v>
      </c>
      <c r="X2360" s="6">
        <f>IF(ISERROR(VLOOKUP($U$2360,'TAR FIN'!$A$1:$O$95,15,0)),0,VLOOKUP($U$2360,'TAR FIN'!$A$1:$O$95,15,0))</f>
        <v>243.3</v>
      </c>
      <c r="Y2360" s="6"/>
      <c r="Z2360" s="6">
        <f ca="1">('TUSD BE'!$AM$53+'TUSD BF'!$AM$53+'TUSD CVA'!$AM$53)*1</f>
        <v>506.5198438752322</v>
      </c>
      <c r="AA2360" s="6">
        <f>('TE BE'!$AA$41+'TE BF'!$AA$41+'TE CVA'!$AA$41)*1</f>
        <v>297.20166373463735</v>
      </c>
      <c r="AB2360" s="6">
        <f>$K$2360*$V$2360</f>
        <v>0</v>
      </c>
      <c r="AC2360" s="6">
        <f>$M$2360*$W$2360</f>
        <v>96194.34825000001</v>
      </c>
      <c r="AD2360" s="6">
        <f>$O$2360*$X$2360</f>
        <v>51987.127500000002</v>
      </c>
      <c r="AE2360" s="6">
        <f>$K$2360*$Y$2360</f>
        <v>0</v>
      </c>
      <c r="AF2360" s="6">
        <f ca="1">$M$2360*$Z$2360</f>
        <v>108230.62764004024</v>
      </c>
      <c r="AG2360" s="6">
        <f>$O$2360*$AA$2360</f>
        <v>63504.565498498639</v>
      </c>
    </row>
    <row r="2361" spans="1:33" ht="11.25" customHeight="1" x14ac:dyDescent="0.25">
      <c r="A2361" s="4" t="s">
        <v>21</v>
      </c>
      <c r="B2361" s="4" t="s">
        <v>41</v>
      </c>
      <c r="C2361" s="4" t="s">
        <v>23</v>
      </c>
      <c r="D2361" s="4" t="s">
        <v>54</v>
      </c>
      <c r="E2361" s="4" t="s">
        <v>25</v>
      </c>
      <c r="F2361" s="4" t="s">
        <v>25</v>
      </c>
      <c r="G2361" s="4" t="s">
        <v>25</v>
      </c>
      <c r="H2361" s="4" t="s">
        <v>25</v>
      </c>
      <c r="I2361" s="5">
        <v>44228</v>
      </c>
      <c r="J2361" s="6">
        <v>0</v>
      </c>
      <c r="K2361" s="6">
        <v>0</v>
      </c>
      <c r="L2361" s="6">
        <v>471.78500000000003</v>
      </c>
      <c r="M2361" s="6">
        <v>471.78500000000003</v>
      </c>
      <c r="N2361" s="6">
        <v>471.78500000000003</v>
      </c>
      <c r="O2361" s="6">
        <v>471.78500000000003</v>
      </c>
      <c r="P2361" s="6">
        <v>56</v>
      </c>
      <c r="Q2361" s="4" t="s">
        <v>26</v>
      </c>
      <c r="R2361" s="4">
        <v>0</v>
      </c>
      <c r="S2361" s="6">
        <v>0</v>
      </c>
      <c r="T2361" s="6">
        <v>72</v>
      </c>
      <c r="U2361" s="6">
        <v>78</v>
      </c>
      <c r="V2361" s="6">
        <f>IF(ISERROR(VLOOKUP($S$2361,'TAR FIN'!$A$1:$O$95,15,0)),0,VLOOKUP($S$2361,'TAR FIN'!$A$1:$O$95,15,0))</f>
        <v>0</v>
      </c>
      <c r="W2361" s="6">
        <f>IF(ISERROR(VLOOKUP($T$2361,'TAR FIN'!$A$1:$O$95,15,0)),0,VLOOKUP($T$2361,'TAR FIN'!$A$1:$O$95,15,0))</f>
        <v>450.19</v>
      </c>
      <c r="X2361" s="6">
        <f>IF(ISERROR(VLOOKUP($U$2361,'TAR FIN'!$A$1:$O$95,15,0)),0,VLOOKUP($U$2361,'TAR FIN'!$A$1:$O$95,15,0))</f>
        <v>243.3</v>
      </c>
      <c r="Y2361" s="6"/>
      <c r="Z2361" s="6">
        <f ca="1">('TUSD BE'!$AM$53+'TUSD BF'!$AM$53+'TUSD CVA'!$AM$53)*1</f>
        <v>506.5198438752322</v>
      </c>
      <c r="AA2361" s="6">
        <f>('TE BE'!$AA$41+'TE BF'!$AA$41+'TE CVA'!$AA$41)*1</f>
        <v>297.20166373463735</v>
      </c>
      <c r="AB2361" s="6">
        <f>$K$2361*$V$2361</f>
        <v>0</v>
      </c>
      <c r="AC2361" s="6">
        <f>$M$2361*$W$2361</f>
        <v>212392.88915</v>
      </c>
      <c r="AD2361" s="6">
        <f>$O$2361*$X$2361</f>
        <v>114785.29050000002</v>
      </c>
      <c r="AE2361" s="6">
        <f>$K$2361*$Y$2361</f>
        <v>0</v>
      </c>
      <c r="AF2361" s="6">
        <f ca="1">$M$2361*$Z$2361</f>
        <v>238968.46454267643</v>
      </c>
      <c r="AG2361" s="6">
        <f>$O$2361*$AA$2361</f>
        <v>140215.28692504589</v>
      </c>
    </row>
    <row r="2362" spans="1:33" ht="11.25" customHeight="1" x14ac:dyDescent="0.25">
      <c r="A2362" s="4" t="s">
        <v>28</v>
      </c>
      <c r="B2362" s="4" t="s">
        <v>41</v>
      </c>
      <c r="C2362" s="4" t="s">
        <v>23</v>
      </c>
      <c r="D2362" s="4" t="s">
        <v>54</v>
      </c>
      <c r="E2362" s="4" t="s">
        <v>25</v>
      </c>
      <c r="F2362" s="4" t="s">
        <v>25</v>
      </c>
      <c r="G2362" s="4" t="s">
        <v>25</v>
      </c>
      <c r="H2362" s="4" t="s">
        <v>25</v>
      </c>
      <c r="I2362" s="5">
        <v>44228</v>
      </c>
      <c r="J2362" s="6">
        <v>0</v>
      </c>
      <c r="K2362" s="6">
        <v>0</v>
      </c>
      <c r="L2362" s="6">
        <v>215.227</v>
      </c>
      <c r="M2362" s="6">
        <v>215.227</v>
      </c>
      <c r="N2362" s="6">
        <v>215.227</v>
      </c>
      <c r="O2362" s="6">
        <v>215.227</v>
      </c>
      <c r="P2362" s="6">
        <v>191</v>
      </c>
      <c r="Q2362" s="4" t="s">
        <v>26</v>
      </c>
      <c r="R2362" s="4">
        <v>0</v>
      </c>
      <c r="S2362" s="6">
        <v>0</v>
      </c>
      <c r="T2362" s="6">
        <v>72</v>
      </c>
      <c r="U2362" s="6">
        <v>78</v>
      </c>
      <c r="V2362" s="6">
        <f>IF(ISERROR(VLOOKUP($S$2362,'TAR FIN'!$A$1:$O$95,15,0)),0,VLOOKUP($S$2362,'TAR FIN'!$A$1:$O$95,15,0))</f>
        <v>0</v>
      </c>
      <c r="W2362" s="6">
        <f>IF(ISERROR(VLOOKUP($T$2362,'TAR FIN'!$A$1:$O$95,15,0)),0,VLOOKUP($T$2362,'TAR FIN'!$A$1:$O$95,15,0))</f>
        <v>450.19</v>
      </c>
      <c r="X2362" s="6">
        <f>IF(ISERROR(VLOOKUP($U$2362,'TAR FIN'!$A$1:$O$95,15,0)),0,VLOOKUP($U$2362,'TAR FIN'!$A$1:$O$95,15,0))</f>
        <v>243.3</v>
      </c>
      <c r="Y2362" s="6"/>
      <c r="Z2362" s="6">
        <f ca="1">('TUSD BE'!$AM$53+'TUSD BF'!$AM$53+'TUSD CVA'!$AM$53)*1</f>
        <v>506.5198438752322</v>
      </c>
      <c r="AA2362" s="6">
        <f>('TE BE'!$AA$41+'TE BF'!$AA$41+'TE CVA'!$AA$41)*1</f>
        <v>297.20166373463735</v>
      </c>
      <c r="AB2362" s="6">
        <f>$K$2362*$V$2362</f>
        <v>0</v>
      </c>
      <c r="AC2362" s="6">
        <f>$M$2362*$W$2362</f>
        <v>96893.043130000005</v>
      </c>
      <c r="AD2362" s="6">
        <f>$O$2362*$X$2362</f>
        <v>52364.729100000004</v>
      </c>
      <c r="AE2362" s="6">
        <f>$K$2362*$Y$2362</f>
        <v>0</v>
      </c>
      <c r="AF2362" s="6">
        <f ca="1">$M$2362*$Z$2362</f>
        <v>109016.7464377346</v>
      </c>
      <c r="AG2362" s="6">
        <f>$O$2362*$AA$2362</f>
        <v>63965.822480614792</v>
      </c>
    </row>
    <row r="2363" spans="1:33" ht="11.25" customHeight="1" x14ac:dyDescent="0.25">
      <c r="A2363" s="4" t="s">
        <v>29</v>
      </c>
      <c r="B2363" s="4" t="s">
        <v>41</v>
      </c>
      <c r="C2363" s="4" t="s">
        <v>23</v>
      </c>
      <c r="D2363" s="4" t="s">
        <v>54</v>
      </c>
      <c r="E2363" s="4" t="s">
        <v>25</v>
      </c>
      <c r="F2363" s="4" t="s">
        <v>25</v>
      </c>
      <c r="G2363" s="4" t="s">
        <v>25</v>
      </c>
      <c r="H2363" s="4" t="s">
        <v>25</v>
      </c>
      <c r="I2363" s="5">
        <v>44228</v>
      </c>
      <c r="J2363" s="6">
        <v>0</v>
      </c>
      <c r="K2363" s="6">
        <v>0</v>
      </c>
      <c r="L2363" s="6">
        <v>-5.7629999999999999</v>
      </c>
      <c r="M2363" s="6">
        <v>-5.7629999999999999</v>
      </c>
      <c r="N2363" s="6">
        <v>-5.7629999999999999</v>
      </c>
      <c r="O2363" s="6">
        <v>-5.7629999999999999</v>
      </c>
      <c r="P2363" s="6">
        <v>0</v>
      </c>
      <c r="Q2363" s="4" t="s">
        <v>26</v>
      </c>
      <c r="R2363" s="4">
        <v>0</v>
      </c>
      <c r="S2363" s="6">
        <v>0</v>
      </c>
      <c r="T2363" s="6">
        <v>72</v>
      </c>
      <c r="U2363" s="6">
        <v>78</v>
      </c>
      <c r="V2363" s="6">
        <f>IF(ISERROR(VLOOKUP($S$2363,'TAR FIN'!$A$1:$O$95,15,0)),0,VLOOKUP($S$2363,'TAR FIN'!$A$1:$O$95,15,0))</f>
        <v>0</v>
      </c>
      <c r="W2363" s="6">
        <f>IF(ISERROR(VLOOKUP($T$2363,'TAR FIN'!$A$1:$O$95,15,0)),0,VLOOKUP($T$2363,'TAR FIN'!$A$1:$O$95,15,0))</f>
        <v>450.19</v>
      </c>
      <c r="X2363" s="6">
        <f>IF(ISERROR(VLOOKUP($U$2363,'TAR FIN'!$A$1:$O$95,15,0)),0,VLOOKUP($U$2363,'TAR FIN'!$A$1:$O$95,15,0))</f>
        <v>243.3</v>
      </c>
      <c r="Y2363" s="6"/>
      <c r="Z2363" s="6">
        <f ca="1">('TUSD BE'!$AM$53+'TUSD BF'!$AM$53+'TUSD CVA'!$AM$53)*1</f>
        <v>506.5198438752322</v>
      </c>
      <c r="AA2363" s="6">
        <f>('TE BE'!$AA$41+'TE BF'!$AA$41+'TE CVA'!$AA$41)*1</f>
        <v>297.20166373463735</v>
      </c>
      <c r="AB2363" s="6">
        <f>$K$2363*$V$2363</f>
        <v>0</v>
      </c>
      <c r="AC2363" s="6">
        <f>$M$2363*$W$2363</f>
        <v>-2594.44497</v>
      </c>
      <c r="AD2363" s="6">
        <f>$O$2363*$X$2363</f>
        <v>-1402.1378999999999</v>
      </c>
      <c r="AE2363" s="6">
        <f>$K$2363*$Y$2363</f>
        <v>0</v>
      </c>
      <c r="AF2363" s="6">
        <f ca="1">$M$2363*$Z$2363</f>
        <v>-2919.0738602529632</v>
      </c>
      <c r="AG2363" s="6">
        <f>$O$2363*$AA$2363</f>
        <v>-1712.773188102715</v>
      </c>
    </row>
    <row r="2364" spans="1:33" ht="11.25" customHeight="1" x14ac:dyDescent="0.25">
      <c r="A2364" s="4" t="s">
        <v>21</v>
      </c>
      <c r="B2364" s="4" t="s">
        <v>41</v>
      </c>
      <c r="C2364" s="4" t="s">
        <v>23</v>
      </c>
      <c r="D2364" s="4" t="s">
        <v>54</v>
      </c>
      <c r="E2364" s="4" t="s">
        <v>25</v>
      </c>
      <c r="F2364" s="4" t="s">
        <v>25</v>
      </c>
      <c r="G2364" s="4" t="s">
        <v>25</v>
      </c>
      <c r="H2364" s="4" t="s">
        <v>25</v>
      </c>
      <c r="I2364" s="5">
        <v>44256</v>
      </c>
      <c r="J2364" s="6">
        <v>0</v>
      </c>
      <c r="K2364" s="6">
        <v>0</v>
      </c>
      <c r="L2364" s="6">
        <v>495.88499999999999</v>
      </c>
      <c r="M2364" s="6">
        <v>495.88499999999999</v>
      </c>
      <c r="N2364" s="6">
        <v>495.88499999999999</v>
      </c>
      <c r="O2364" s="6">
        <v>495.88499999999999</v>
      </c>
      <c r="P2364" s="6">
        <v>58</v>
      </c>
      <c r="Q2364" s="4" t="s">
        <v>26</v>
      </c>
      <c r="R2364" s="4">
        <v>0</v>
      </c>
      <c r="S2364" s="6">
        <v>0</v>
      </c>
      <c r="T2364" s="6">
        <v>72</v>
      </c>
      <c r="U2364" s="6">
        <v>78</v>
      </c>
      <c r="V2364" s="6">
        <f>IF(ISERROR(VLOOKUP($S$2364,'TAR FIN'!$A$1:$O$95,15,0)),0,VLOOKUP($S$2364,'TAR FIN'!$A$1:$O$95,15,0))</f>
        <v>0</v>
      </c>
      <c r="W2364" s="6">
        <f>IF(ISERROR(VLOOKUP($T$2364,'TAR FIN'!$A$1:$O$95,15,0)),0,VLOOKUP($T$2364,'TAR FIN'!$A$1:$O$95,15,0))</f>
        <v>450.19</v>
      </c>
      <c r="X2364" s="6">
        <f>IF(ISERROR(VLOOKUP($U$2364,'TAR FIN'!$A$1:$O$95,15,0)),0,VLOOKUP($U$2364,'TAR FIN'!$A$1:$O$95,15,0))</f>
        <v>243.3</v>
      </c>
      <c r="Y2364" s="6"/>
      <c r="Z2364" s="6">
        <f ca="1">('TUSD BE'!$AM$53+'TUSD BF'!$AM$53+'TUSD CVA'!$AM$53)*1</f>
        <v>506.5198438752322</v>
      </c>
      <c r="AA2364" s="6">
        <f>('TE BE'!$AA$41+'TE BF'!$AA$41+'TE CVA'!$AA$41)*1</f>
        <v>297.20166373463735</v>
      </c>
      <c r="AB2364" s="6">
        <f>$K$2364*$V$2364</f>
        <v>0</v>
      </c>
      <c r="AC2364" s="6">
        <f>$M$2364*$W$2364</f>
        <v>223242.46815</v>
      </c>
      <c r="AD2364" s="6">
        <f>$O$2364*$X$2364</f>
        <v>120648.8205</v>
      </c>
      <c r="AE2364" s="6">
        <f>$K$2364*$Y$2364</f>
        <v>0</v>
      </c>
      <c r="AF2364" s="6">
        <f ca="1">$M$2364*$Z$2364</f>
        <v>251175.59278006951</v>
      </c>
      <c r="AG2364" s="6">
        <f>$O$2364*$AA$2364</f>
        <v>147377.84702105063</v>
      </c>
    </row>
    <row r="2365" spans="1:33" ht="11.25" customHeight="1" x14ac:dyDescent="0.25">
      <c r="A2365" s="4" t="s">
        <v>28</v>
      </c>
      <c r="B2365" s="4" t="s">
        <v>41</v>
      </c>
      <c r="C2365" s="4" t="s">
        <v>23</v>
      </c>
      <c r="D2365" s="4" t="s">
        <v>54</v>
      </c>
      <c r="E2365" s="4" t="s">
        <v>25</v>
      </c>
      <c r="F2365" s="4" t="s">
        <v>25</v>
      </c>
      <c r="G2365" s="4" t="s">
        <v>25</v>
      </c>
      <c r="H2365" s="4" t="s">
        <v>25</v>
      </c>
      <c r="I2365" s="5">
        <v>44256</v>
      </c>
      <c r="J2365" s="6">
        <v>0</v>
      </c>
      <c r="K2365" s="6">
        <v>0</v>
      </c>
      <c r="L2365" s="6">
        <v>204.517</v>
      </c>
      <c r="M2365" s="6">
        <v>204.517</v>
      </c>
      <c r="N2365" s="6">
        <v>204.517</v>
      </c>
      <c r="O2365" s="6">
        <v>204.517</v>
      </c>
      <c r="P2365" s="6">
        <v>190</v>
      </c>
      <c r="Q2365" s="4" t="s">
        <v>26</v>
      </c>
      <c r="R2365" s="4">
        <v>0</v>
      </c>
      <c r="S2365" s="6">
        <v>0</v>
      </c>
      <c r="T2365" s="6">
        <v>72</v>
      </c>
      <c r="U2365" s="6">
        <v>78</v>
      </c>
      <c r="V2365" s="6">
        <f>IF(ISERROR(VLOOKUP($S$2365,'TAR FIN'!$A$1:$O$95,15,0)),0,VLOOKUP($S$2365,'TAR FIN'!$A$1:$O$95,15,0))</f>
        <v>0</v>
      </c>
      <c r="W2365" s="6">
        <f>IF(ISERROR(VLOOKUP($T$2365,'TAR FIN'!$A$1:$O$95,15,0)),0,VLOOKUP($T$2365,'TAR FIN'!$A$1:$O$95,15,0))</f>
        <v>450.19</v>
      </c>
      <c r="X2365" s="6">
        <f>IF(ISERROR(VLOOKUP($U$2365,'TAR FIN'!$A$1:$O$95,15,0)),0,VLOOKUP($U$2365,'TAR FIN'!$A$1:$O$95,15,0))</f>
        <v>243.3</v>
      </c>
      <c r="Y2365" s="6"/>
      <c r="Z2365" s="6">
        <f ca="1">('TUSD BE'!$AM$53+'TUSD BF'!$AM$53+'TUSD CVA'!$AM$53)*1</f>
        <v>506.5198438752322</v>
      </c>
      <c r="AA2365" s="6">
        <f>('TE BE'!$AA$41+'TE BF'!$AA$41+'TE CVA'!$AA$41)*1</f>
        <v>297.20166373463735</v>
      </c>
      <c r="AB2365" s="6">
        <f>$K$2365*$V$2365</f>
        <v>0</v>
      </c>
      <c r="AC2365" s="6">
        <f>$M$2365*$W$2365</f>
        <v>92071.508229999992</v>
      </c>
      <c r="AD2365" s="6">
        <f>$O$2365*$X$2365</f>
        <v>49758.986100000002</v>
      </c>
      <c r="AE2365" s="6">
        <f>$K$2365*$Y$2365</f>
        <v>0</v>
      </c>
      <c r="AF2365" s="6">
        <f ca="1">$M$2365*$Z$2365</f>
        <v>103591.91890983086</v>
      </c>
      <c r="AG2365" s="6">
        <f>$O$2365*$AA$2365</f>
        <v>60782.792662016829</v>
      </c>
    </row>
    <row r="2366" spans="1:33" ht="11.25" customHeight="1" x14ac:dyDescent="0.25">
      <c r="A2366" s="4" t="s">
        <v>21</v>
      </c>
      <c r="B2366" s="4" t="s">
        <v>41</v>
      </c>
      <c r="C2366" s="4" t="s">
        <v>23</v>
      </c>
      <c r="D2366" s="4" t="s">
        <v>54</v>
      </c>
      <c r="E2366" s="4" t="s">
        <v>25</v>
      </c>
      <c r="F2366" s="4" t="s">
        <v>25</v>
      </c>
      <c r="G2366" s="4" t="s">
        <v>25</v>
      </c>
      <c r="H2366" s="4" t="s">
        <v>25</v>
      </c>
      <c r="I2366" s="5">
        <v>44287</v>
      </c>
      <c r="J2366" s="6">
        <v>0</v>
      </c>
      <c r="K2366" s="6">
        <v>0</v>
      </c>
      <c r="L2366" s="6">
        <v>512.63699999999994</v>
      </c>
      <c r="M2366" s="6">
        <v>512.63699999999994</v>
      </c>
      <c r="N2366" s="6">
        <v>512.63699999999994</v>
      </c>
      <c r="O2366" s="6">
        <v>512.63699999999994</v>
      </c>
      <c r="P2366" s="6">
        <v>57</v>
      </c>
      <c r="Q2366" s="4" t="s">
        <v>26</v>
      </c>
      <c r="R2366" s="4">
        <v>0</v>
      </c>
      <c r="S2366" s="6">
        <v>0</v>
      </c>
      <c r="T2366" s="6">
        <v>72</v>
      </c>
      <c r="U2366" s="6">
        <v>78</v>
      </c>
      <c r="V2366" s="6">
        <f>IF(ISERROR(VLOOKUP($S$2366,'TAR FIN'!$A$1:$O$95,15,0)),0,VLOOKUP($S$2366,'TAR FIN'!$A$1:$O$95,15,0))</f>
        <v>0</v>
      </c>
      <c r="W2366" s="6">
        <f>IF(ISERROR(VLOOKUP($T$2366,'TAR FIN'!$A$1:$O$95,15,0)),0,VLOOKUP($T$2366,'TAR FIN'!$A$1:$O$95,15,0))</f>
        <v>450.19</v>
      </c>
      <c r="X2366" s="6">
        <f>IF(ISERROR(VLOOKUP($U$2366,'TAR FIN'!$A$1:$O$95,15,0)),0,VLOOKUP($U$2366,'TAR FIN'!$A$1:$O$95,15,0))</f>
        <v>243.3</v>
      </c>
      <c r="Y2366" s="6"/>
      <c r="Z2366" s="6">
        <f ca="1">('TUSD BE'!$AM$53+'TUSD BF'!$AM$53+'TUSD CVA'!$AM$53)*1</f>
        <v>506.5198438752322</v>
      </c>
      <c r="AA2366" s="6">
        <f>('TE BE'!$AA$41+'TE BF'!$AA$41+'TE CVA'!$AA$41)*1</f>
        <v>297.20166373463735</v>
      </c>
      <c r="AB2366" s="6">
        <f>$K$2366*$V$2366</f>
        <v>0</v>
      </c>
      <c r="AC2366" s="6">
        <f>$M$2366*$W$2366</f>
        <v>230784.05102999997</v>
      </c>
      <c r="AD2366" s="6">
        <f>$O$2366*$X$2366</f>
        <v>124724.58209999999</v>
      </c>
      <c r="AE2366" s="6">
        <f>$K$2366*$Y$2366</f>
        <v>0</v>
      </c>
      <c r="AF2366" s="6">
        <f ca="1">$M$2366*$Z$2366</f>
        <v>259660.81320466739</v>
      </c>
      <c r="AG2366" s="6">
        <f>$O$2366*$AA$2366</f>
        <v>152356.56929193327</v>
      </c>
    </row>
    <row r="2367" spans="1:33" ht="11.25" customHeight="1" x14ac:dyDescent="0.25">
      <c r="A2367" s="4" t="s">
        <v>28</v>
      </c>
      <c r="B2367" s="4" t="s">
        <v>41</v>
      </c>
      <c r="C2367" s="4" t="s">
        <v>23</v>
      </c>
      <c r="D2367" s="4" t="s">
        <v>54</v>
      </c>
      <c r="E2367" s="4" t="s">
        <v>25</v>
      </c>
      <c r="F2367" s="4" t="s">
        <v>25</v>
      </c>
      <c r="G2367" s="4" t="s">
        <v>25</v>
      </c>
      <c r="H2367" s="4" t="s">
        <v>25</v>
      </c>
      <c r="I2367" s="5">
        <v>44287</v>
      </c>
      <c r="J2367" s="6">
        <v>0</v>
      </c>
      <c r="K2367" s="6">
        <v>0</v>
      </c>
      <c r="L2367" s="6">
        <v>222.268</v>
      </c>
      <c r="M2367" s="6">
        <v>222.268</v>
      </c>
      <c r="N2367" s="6">
        <v>222.268</v>
      </c>
      <c r="O2367" s="6">
        <v>222.268</v>
      </c>
      <c r="P2367" s="6">
        <v>190</v>
      </c>
      <c r="Q2367" s="4" t="s">
        <v>26</v>
      </c>
      <c r="R2367" s="4">
        <v>0</v>
      </c>
      <c r="S2367" s="6">
        <v>0</v>
      </c>
      <c r="T2367" s="6">
        <v>72</v>
      </c>
      <c r="U2367" s="6">
        <v>78</v>
      </c>
      <c r="V2367" s="6">
        <f>IF(ISERROR(VLOOKUP($S$2367,'TAR FIN'!$A$1:$O$95,15,0)),0,VLOOKUP($S$2367,'TAR FIN'!$A$1:$O$95,15,0))</f>
        <v>0</v>
      </c>
      <c r="W2367" s="6">
        <f>IF(ISERROR(VLOOKUP($T$2367,'TAR FIN'!$A$1:$O$95,15,0)),0,VLOOKUP($T$2367,'TAR FIN'!$A$1:$O$95,15,0))</f>
        <v>450.19</v>
      </c>
      <c r="X2367" s="6">
        <f>IF(ISERROR(VLOOKUP($U$2367,'TAR FIN'!$A$1:$O$95,15,0)),0,VLOOKUP($U$2367,'TAR FIN'!$A$1:$O$95,15,0))</f>
        <v>243.3</v>
      </c>
      <c r="Y2367" s="6"/>
      <c r="Z2367" s="6">
        <f ca="1">('TUSD BE'!$AM$53+'TUSD BF'!$AM$53+'TUSD CVA'!$AM$53)*1</f>
        <v>506.5198438752322</v>
      </c>
      <c r="AA2367" s="6">
        <f>('TE BE'!$AA$41+'TE BF'!$AA$41+'TE CVA'!$AA$41)*1</f>
        <v>297.20166373463735</v>
      </c>
      <c r="AB2367" s="6">
        <f>$K$2367*$V$2367</f>
        <v>0</v>
      </c>
      <c r="AC2367" s="6">
        <f>$M$2367*$W$2367</f>
        <v>100062.83091999999</v>
      </c>
      <c r="AD2367" s="6">
        <f>$O$2367*$X$2367</f>
        <v>54077.804400000001</v>
      </c>
      <c r="AE2367" s="6">
        <f>$K$2367*$Y$2367</f>
        <v>0</v>
      </c>
      <c r="AF2367" s="6">
        <f ca="1">$M$2367*$Z$2367</f>
        <v>112583.15265846011</v>
      </c>
      <c r="AG2367" s="6">
        <f>$O$2367*$AA$2367</f>
        <v>66058.419394970377</v>
      </c>
    </row>
    <row r="2368" spans="1:33" ht="11.25" customHeight="1" x14ac:dyDescent="0.25">
      <c r="A2368" s="4" t="s">
        <v>21</v>
      </c>
      <c r="B2368" s="4" t="s">
        <v>41</v>
      </c>
      <c r="C2368" s="4" t="s">
        <v>23</v>
      </c>
      <c r="D2368" s="4" t="s">
        <v>54</v>
      </c>
      <c r="E2368" s="4" t="s">
        <v>25</v>
      </c>
      <c r="F2368" s="4" t="s">
        <v>25</v>
      </c>
      <c r="G2368" s="4" t="s">
        <v>25</v>
      </c>
      <c r="H2368" s="4" t="s">
        <v>25</v>
      </c>
      <c r="I2368" s="5">
        <v>44317</v>
      </c>
      <c r="J2368" s="6">
        <v>0</v>
      </c>
      <c r="K2368" s="6">
        <v>0</v>
      </c>
      <c r="L2368" s="6">
        <v>507.54899999999998</v>
      </c>
      <c r="M2368" s="6">
        <v>507.54899999999998</v>
      </c>
      <c r="N2368" s="6">
        <v>507.54899999999998</v>
      </c>
      <c r="O2368" s="6">
        <v>507.54899999999998</v>
      </c>
      <c r="P2368" s="6">
        <v>57</v>
      </c>
      <c r="Q2368" s="4" t="s">
        <v>26</v>
      </c>
      <c r="R2368" s="4">
        <v>0</v>
      </c>
      <c r="S2368" s="6">
        <v>0</v>
      </c>
      <c r="T2368" s="6">
        <v>72</v>
      </c>
      <c r="U2368" s="6">
        <v>78</v>
      </c>
      <c r="V2368" s="6">
        <f>IF(ISERROR(VLOOKUP($S$2368,'TAR FIN'!$A$1:$O$95,15,0)),0,VLOOKUP($S$2368,'TAR FIN'!$A$1:$O$95,15,0))</f>
        <v>0</v>
      </c>
      <c r="W2368" s="6">
        <f>IF(ISERROR(VLOOKUP($T$2368,'TAR FIN'!$A$1:$O$95,15,0)),0,VLOOKUP($T$2368,'TAR FIN'!$A$1:$O$95,15,0))</f>
        <v>450.19</v>
      </c>
      <c r="X2368" s="6">
        <f>IF(ISERROR(VLOOKUP($U$2368,'TAR FIN'!$A$1:$O$95,15,0)),0,VLOOKUP($U$2368,'TAR FIN'!$A$1:$O$95,15,0))</f>
        <v>243.3</v>
      </c>
      <c r="Y2368" s="6"/>
      <c r="Z2368" s="6">
        <f ca="1">('TUSD BE'!$AM$53+'TUSD BF'!$AM$53+'TUSD CVA'!$AM$53)*1</f>
        <v>506.5198438752322</v>
      </c>
      <c r="AA2368" s="6">
        <f>('TE BE'!$AA$41+'TE BF'!$AA$41+'TE CVA'!$AA$41)*1</f>
        <v>297.20166373463735</v>
      </c>
      <c r="AB2368" s="6">
        <f>$K$2368*$V$2368</f>
        <v>0</v>
      </c>
      <c r="AC2368" s="6">
        <f>$M$2368*$W$2368</f>
        <v>228493.48431</v>
      </c>
      <c r="AD2368" s="6">
        <f>$O$2368*$X$2368</f>
        <v>123486.67170000001</v>
      </c>
      <c r="AE2368" s="6">
        <f>$K$2368*$Y$2368</f>
        <v>0</v>
      </c>
      <c r="AF2368" s="6">
        <f ca="1">$M$2368*$Z$2368</f>
        <v>257083.64023903021</v>
      </c>
      <c r="AG2368" s="6">
        <f>$O$2368*$AA$2368</f>
        <v>150844.40722685144</v>
      </c>
    </row>
    <row r="2369" spans="1:33" ht="11.25" customHeight="1" x14ac:dyDescent="0.25">
      <c r="A2369" s="4" t="s">
        <v>27</v>
      </c>
      <c r="B2369" s="4" t="s">
        <v>41</v>
      </c>
      <c r="C2369" s="4" t="s">
        <v>23</v>
      </c>
      <c r="D2369" s="4" t="s">
        <v>54</v>
      </c>
      <c r="E2369" s="4" t="s">
        <v>25</v>
      </c>
      <c r="F2369" s="4" t="s">
        <v>25</v>
      </c>
      <c r="G2369" s="4" t="s">
        <v>25</v>
      </c>
      <c r="H2369" s="4" t="s">
        <v>25</v>
      </c>
      <c r="I2369" s="5">
        <v>44317</v>
      </c>
      <c r="J2369" s="6">
        <v>0</v>
      </c>
      <c r="K2369" s="6">
        <v>0</v>
      </c>
      <c r="L2369" s="6">
        <v>1.833</v>
      </c>
      <c r="M2369" s="6">
        <v>1.833</v>
      </c>
      <c r="N2369" s="6">
        <v>1.833</v>
      </c>
      <c r="O2369" s="6">
        <v>1.833</v>
      </c>
      <c r="P2369" s="6">
        <v>0</v>
      </c>
      <c r="Q2369" s="4" t="s">
        <v>26</v>
      </c>
      <c r="R2369" s="4">
        <v>0</v>
      </c>
      <c r="S2369" s="6">
        <v>0</v>
      </c>
      <c r="T2369" s="6">
        <v>72</v>
      </c>
      <c r="U2369" s="6">
        <v>78</v>
      </c>
      <c r="V2369" s="6">
        <f>IF(ISERROR(VLOOKUP($S$2369,'TAR FIN'!$A$1:$O$95,15,0)),0,VLOOKUP($S$2369,'TAR FIN'!$A$1:$O$95,15,0))</f>
        <v>0</v>
      </c>
      <c r="W2369" s="6">
        <f>IF(ISERROR(VLOOKUP($T$2369,'TAR FIN'!$A$1:$O$95,15,0)),0,VLOOKUP($T$2369,'TAR FIN'!$A$1:$O$95,15,0))</f>
        <v>450.19</v>
      </c>
      <c r="X2369" s="6">
        <f>IF(ISERROR(VLOOKUP($U$2369,'TAR FIN'!$A$1:$O$95,15,0)),0,VLOOKUP($U$2369,'TAR FIN'!$A$1:$O$95,15,0))</f>
        <v>243.3</v>
      </c>
      <c r="Y2369" s="6"/>
      <c r="Z2369" s="6">
        <f ca="1">('TUSD BE'!$AM$53+'TUSD BF'!$AM$53+'TUSD CVA'!$AM$53)*1</f>
        <v>506.5198438752322</v>
      </c>
      <c r="AA2369" s="6">
        <f>('TE BE'!$AA$41+'TE BF'!$AA$41+'TE CVA'!$AA$41)*1</f>
        <v>297.20166373463735</v>
      </c>
      <c r="AB2369" s="6">
        <f>$K$2369*$V$2369</f>
        <v>0</v>
      </c>
      <c r="AC2369" s="6">
        <f>$M$2369*$W$2369</f>
        <v>825.19826999999998</v>
      </c>
      <c r="AD2369" s="6">
        <f>$O$2369*$X$2369</f>
        <v>445.96890000000002</v>
      </c>
      <c r="AE2369" s="6">
        <f>$K$2369*$Y$2369</f>
        <v>0</v>
      </c>
      <c r="AF2369" s="6">
        <f ca="1">$M$2369*$Z$2369</f>
        <v>928.45087382330064</v>
      </c>
      <c r="AG2369" s="6">
        <f>$O$2369*$AA$2369</f>
        <v>544.77064962559029</v>
      </c>
    </row>
    <row r="2370" spans="1:33" ht="11.25" customHeight="1" x14ac:dyDescent="0.25">
      <c r="A2370" s="4" t="s">
        <v>28</v>
      </c>
      <c r="B2370" s="4" t="s">
        <v>41</v>
      </c>
      <c r="C2370" s="4" t="s">
        <v>23</v>
      </c>
      <c r="D2370" s="4" t="s">
        <v>54</v>
      </c>
      <c r="E2370" s="4" t="s">
        <v>25</v>
      </c>
      <c r="F2370" s="4" t="s">
        <v>25</v>
      </c>
      <c r="G2370" s="4" t="s">
        <v>25</v>
      </c>
      <c r="H2370" s="4" t="s">
        <v>25</v>
      </c>
      <c r="I2370" s="5">
        <v>44317</v>
      </c>
      <c r="J2370" s="6">
        <v>0</v>
      </c>
      <c r="K2370" s="6">
        <v>0</v>
      </c>
      <c r="L2370" s="6">
        <v>222.87799999999999</v>
      </c>
      <c r="M2370" s="6">
        <v>222.87799999999999</v>
      </c>
      <c r="N2370" s="6">
        <v>222.87799999999999</v>
      </c>
      <c r="O2370" s="6">
        <v>222.87799999999999</v>
      </c>
      <c r="P2370" s="6">
        <v>190</v>
      </c>
      <c r="Q2370" s="4" t="s">
        <v>26</v>
      </c>
      <c r="R2370" s="4">
        <v>0</v>
      </c>
      <c r="S2370" s="6">
        <v>0</v>
      </c>
      <c r="T2370" s="6">
        <v>72</v>
      </c>
      <c r="U2370" s="6">
        <v>78</v>
      </c>
      <c r="V2370" s="6">
        <f>IF(ISERROR(VLOOKUP($S$2370,'TAR FIN'!$A$1:$O$95,15,0)),0,VLOOKUP($S$2370,'TAR FIN'!$A$1:$O$95,15,0))</f>
        <v>0</v>
      </c>
      <c r="W2370" s="6">
        <f>IF(ISERROR(VLOOKUP($T$2370,'TAR FIN'!$A$1:$O$95,15,0)),0,VLOOKUP($T$2370,'TAR FIN'!$A$1:$O$95,15,0))</f>
        <v>450.19</v>
      </c>
      <c r="X2370" s="6">
        <f>IF(ISERROR(VLOOKUP($U$2370,'TAR FIN'!$A$1:$O$95,15,0)),0,VLOOKUP($U$2370,'TAR FIN'!$A$1:$O$95,15,0))</f>
        <v>243.3</v>
      </c>
      <c r="Y2370" s="6"/>
      <c r="Z2370" s="6">
        <f ca="1">('TUSD BE'!$AM$53+'TUSD BF'!$AM$53+'TUSD CVA'!$AM$53)*1</f>
        <v>506.5198438752322</v>
      </c>
      <c r="AA2370" s="6">
        <f>('TE BE'!$AA$41+'TE BF'!$AA$41+'TE CVA'!$AA$41)*1</f>
        <v>297.20166373463735</v>
      </c>
      <c r="AB2370" s="6">
        <f>$K$2370*$V$2370</f>
        <v>0</v>
      </c>
      <c r="AC2370" s="6">
        <f>$M$2370*$W$2370</f>
        <v>100337.44682</v>
      </c>
      <c r="AD2370" s="6">
        <f>$O$2370*$X$2370</f>
        <v>54226.217400000001</v>
      </c>
      <c r="AE2370" s="6">
        <f>$K$2370*$Y$2370</f>
        <v>0</v>
      </c>
      <c r="AF2370" s="6">
        <f ca="1">$M$2370*$Z$2370</f>
        <v>112892.12976322399</v>
      </c>
      <c r="AG2370" s="6">
        <f>$O$2370*$AA$2370</f>
        <v>66239.712409848493</v>
      </c>
    </row>
    <row r="2371" spans="1:33" ht="11.25" customHeight="1" x14ac:dyDescent="0.25">
      <c r="A2371" s="4" t="s">
        <v>21</v>
      </c>
      <c r="B2371" s="4" t="s">
        <v>41</v>
      </c>
      <c r="C2371" s="4" t="s">
        <v>23</v>
      </c>
      <c r="D2371" s="4" t="s">
        <v>54</v>
      </c>
      <c r="E2371" s="4" t="s">
        <v>25</v>
      </c>
      <c r="F2371" s="4" t="s">
        <v>25</v>
      </c>
      <c r="G2371" s="4" t="s">
        <v>25</v>
      </c>
      <c r="H2371" s="4" t="s">
        <v>25</v>
      </c>
      <c r="I2371" s="5">
        <v>44348</v>
      </c>
      <c r="J2371" s="6">
        <v>0</v>
      </c>
      <c r="K2371" s="6">
        <v>0</v>
      </c>
      <c r="L2371" s="6">
        <v>512.31100000000004</v>
      </c>
      <c r="M2371" s="6">
        <v>512.31100000000004</v>
      </c>
      <c r="N2371" s="6">
        <v>512.31100000000004</v>
      </c>
      <c r="O2371" s="6">
        <v>512.31100000000004</v>
      </c>
      <c r="P2371" s="6">
        <v>58</v>
      </c>
      <c r="Q2371" s="4" t="s">
        <v>26</v>
      </c>
      <c r="R2371" s="4">
        <v>0</v>
      </c>
      <c r="S2371" s="6">
        <v>0</v>
      </c>
      <c r="T2371" s="6">
        <v>72</v>
      </c>
      <c r="U2371" s="6">
        <v>78</v>
      </c>
      <c r="V2371" s="6">
        <f>IF(ISERROR(VLOOKUP($S$2371,'TAR FIN'!$A$1:$O$95,15,0)),0,VLOOKUP($S$2371,'TAR FIN'!$A$1:$O$95,15,0))</f>
        <v>0</v>
      </c>
      <c r="W2371" s="6">
        <f>IF(ISERROR(VLOOKUP($T$2371,'TAR FIN'!$A$1:$O$95,15,0)),0,VLOOKUP($T$2371,'TAR FIN'!$A$1:$O$95,15,0))</f>
        <v>450.19</v>
      </c>
      <c r="X2371" s="6">
        <f>IF(ISERROR(VLOOKUP($U$2371,'TAR FIN'!$A$1:$O$95,15,0)),0,VLOOKUP($U$2371,'TAR FIN'!$A$1:$O$95,15,0))</f>
        <v>243.3</v>
      </c>
      <c r="Y2371" s="6"/>
      <c r="Z2371" s="6">
        <f ca="1">('TUSD BE'!$AM$53+'TUSD BF'!$AM$53+'TUSD CVA'!$AM$53)*1</f>
        <v>506.5198438752322</v>
      </c>
      <c r="AA2371" s="6">
        <f>('TE BE'!$AA$41+'TE BF'!$AA$41+'TE CVA'!$AA$41)*1</f>
        <v>297.20166373463735</v>
      </c>
      <c r="AB2371" s="6">
        <f>$K$2371*$V$2371</f>
        <v>0</v>
      </c>
      <c r="AC2371" s="6">
        <f>$M$2371*$W$2371</f>
        <v>230637.28909000001</v>
      </c>
      <c r="AD2371" s="6">
        <f>$O$2371*$X$2371</f>
        <v>124645.26630000002</v>
      </c>
      <c r="AE2371" s="6">
        <f>$K$2371*$Y$2371</f>
        <v>0</v>
      </c>
      <c r="AF2371" s="6">
        <f ca="1">$M$2371*$Z$2371</f>
        <v>259495.6877355641</v>
      </c>
      <c r="AG2371" s="6">
        <f>$O$2371*$AA$2371</f>
        <v>152259.6815495558</v>
      </c>
    </row>
    <row r="2372" spans="1:33" ht="11.25" customHeight="1" x14ac:dyDescent="0.25">
      <c r="A2372" s="4" t="s">
        <v>28</v>
      </c>
      <c r="B2372" s="4" t="s">
        <v>41</v>
      </c>
      <c r="C2372" s="4" t="s">
        <v>23</v>
      </c>
      <c r="D2372" s="4" t="s">
        <v>54</v>
      </c>
      <c r="E2372" s="4" t="s">
        <v>25</v>
      </c>
      <c r="F2372" s="4" t="s">
        <v>25</v>
      </c>
      <c r="G2372" s="4" t="s">
        <v>25</v>
      </c>
      <c r="H2372" s="4" t="s">
        <v>25</v>
      </c>
      <c r="I2372" s="5">
        <v>44348</v>
      </c>
      <c r="J2372" s="6">
        <v>0</v>
      </c>
      <c r="K2372" s="6">
        <v>0</v>
      </c>
      <c r="L2372" s="6">
        <v>226.05199999999999</v>
      </c>
      <c r="M2372" s="6">
        <v>226.05199999999999</v>
      </c>
      <c r="N2372" s="6">
        <v>226.05199999999999</v>
      </c>
      <c r="O2372" s="6">
        <v>226.05199999999999</v>
      </c>
      <c r="P2372" s="6">
        <v>188</v>
      </c>
      <c r="Q2372" s="4" t="s">
        <v>26</v>
      </c>
      <c r="R2372" s="4">
        <v>0</v>
      </c>
      <c r="S2372" s="6">
        <v>0</v>
      </c>
      <c r="T2372" s="6">
        <v>72</v>
      </c>
      <c r="U2372" s="6">
        <v>78</v>
      </c>
      <c r="V2372" s="6">
        <f>IF(ISERROR(VLOOKUP($S$2372,'TAR FIN'!$A$1:$O$95,15,0)),0,VLOOKUP($S$2372,'TAR FIN'!$A$1:$O$95,15,0))</f>
        <v>0</v>
      </c>
      <c r="W2372" s="6">
        <f>IF(ISERROR(VLOOKUP($T$2372,'TAR FIN'!$A$1:$O$95,15,0)),0,VLOOKUP($T$2372,'TAR FIN'!$A$1:$O$95,15,0))</f>
        <v>450.19</v>
      </c>
      <c r="X2372" s="6">
        <f>IF(ISERROR(VLOOKUP($U$2372,'TAR FIN'!$A$1:$O$95,15,0)),0,VLOOKUP($U$2372,'TAR FIN'!$A$1:$O$95,15,0))</f>
        <v>243.3</v>
      </c>
      <c r="Y2372" s="6"/>
      <c r="Z2372" s="6">
        <f ca="1">('TUSD BE'!$AM$53+'TUSD BF'!$AM$53+'TUSD CVA'!$AM$53)*1</f>
        <v>506.5198438752322</v>
      </c>
      <c r="AA2372" s="6">
        <f>('TE BE'!$AA$41+'TE BF'!$AA$41+'TE CVA'!$AA$41)*1</f>
        <v>297.20166373463735</v>
      </c>
      <c r="AB2372" s="6">
        <f>$K$2372*$V$2372</f>
        <v>0</v>
      </c>
      <c r="AC2372" s="6">
        <f>$M$2372*$W$2372</f>
        <v>101766.34987999999</v>
      </c>
      <c r="AD2372" s="6">
        <f>$O$2372*$X$2372</f>
        <v>54998.4516</v>
      </c>
      <c r="AE2372" s="6">
        <f>$K$2372*$Y$2372</f>
        <v>0</v>
      </c>
      <c r="AF2372" s="6">
        <f ca="1">$M$2372*$Z$2372</f>
        <v>114499.82374768399</v>
      </c>
      <c r="AG2372" s="6">
        <f>$O$2372*$AA$2372</f>
        <v>67183.030490542238</v>
      </c>
    </row>
    <row r="2373" spans="1:33" ht="11.25" customHeight="1" x14ac:dyDescent="0.25">
      <c r="A2373" s="4" t="s">
        <v>21</v>
      </c>
      <c r="B2373" s="4" t="s">
        <v>41</v>
      </c>
      <c r="C2373" s="4" t="s">
        <v>23</v>
      </c>
      <c r="D2373" s="4" t="s">
        <v>54</v>
      </c>
      <c r="E2373" s="4" t="s">
        <v>25</v>
      </c>
      <c r="F2373" s="4" t="s">
        <v>25</v>
      </c>
      <c r="G2373" s="4" t="s">
        <v>25</v>
      </c>
      <c r="H2373" s="4" t="s">
        <v>25</v>
      </c>
      <c r="I2373" s="5">
        <v>44378</v>
      </c>
      <c r="J2373" s="6">
        <v>0</v>
      </c>
      <c r="K2373" s="6">
        <v>0</v>
      </c>
      <c r="L2373" s="6">
        <v>544.17600000000004</v>
      </c>
      <c r="M2373" s="6">
        <v>544.17600000000004</v>
      </c>
      <c r="N2373" s="6">
        <v>544.17600000000004</v>
      </c>
      <c r="O2373" s="6">
        <v>544.17600000000004</v>
      </c>
      <c r="P2373" s="6">
        <v>59</v>
      </c>
      <c r="Q2373" s="4" t="s">
        <v>26</v>
      </c>
      <c r="R2373" s="4">
        <v>0</v>
      </c>
      <c r="S2373" s="6">
        <v>0</v>
      </c>
      <c r="T2373" s="6">
        <v>72</v>
      </c>
      <c r="U2373" s="6">
        <v>78</v>
      </c>
      <c r="V2373" s="6">
        <f>IF(ISERROR(VLOOKUP($S$2373,'TAR FIN'!$A$1:$O$95,15,0)),0,VLOOKUP($S$2373,'TAR FIN'!$A$1:$O$95,15,0))</f>
        <v>0</v>
      </c>
      <c r="W2373" s="6">
        <f>IF(ISERROR(VLOOKUP($T$2373,'TAR FIN'!$A$1:$O$95,15,0)),0,VLOOKUP($T$2373,'TAR FIN'!$A$1:$O$95,15,0))</f>
        <v>450.19</v>
      </c>
      <c r="X2373" s="6">
        <f>IF(ISERROR(VLOOKUP($U$2373,'TAR FIN'!$A$1:$O$95,15,0)),0,VLOOKUP($U$2373,'TAR FIN'!$A$1:$O$95,15,0))</f>
        <v>243.3</v>
      </c>
      <c r="Y2373" s="6"/>
      <c r="Z2373" s="6">
        <f ca="1">('TUSD BE'!$AM$53+'TUSD BF'!$AM$53+'TUSD CVA'!$AM$53)*1</f>
        <v>506.5198438752322</v>
      </c>
      <c r="AA2373" s="6">
        <f>('TE BE'!$AA$41+'TE BF'!$AA$41+'TE CVA'!$AA$41)*1</f>
        <v>297.20166373463735</v>
      </c>
      <c r="AB2373" s="6">
        <f>$K$2373*$V$2373</f>
        <v>0</v>
      </c>
      <c r="AC2373" s="6">
        <f>$M$2373*$W$2373</f>
        <v>244982.59344000003</v>
      </c>
      <c r="AD2373" s="6">
        <f>$O$2373*$X$2373</f>
        <v>132398.02080000003</v>
      </c>
      <c r="AE2373" s="6">
        <f>$K$2373*$Y$2373</f>
        <v>0</v>
      </c>
      <c r="AF2373" s="6">
        <f ca="1">$M$2373*$Z$2373</f>
        <v>275635.94256064837</v>
      </c>
      <c r="AG2373" s="6">
        <f>$O$2373*$AA$2373</f>
        <v>161730.01256446002</v>
      </c>
    </row>
    <row r="2374" spans="1:33" ht="11.25" customHeight="1" x14ac:dyDescent="0.25">
      <c r="A2374" s="4" t="s">
        <v>27</v>
      </c>
      <c r="B2374" s="4" t="s">
        <v>41</v>
      </c>
      <c r="C2374" s="4" t="s">
        <v>23</v>
      </c>
      <c r="D2374" s="4" t="s">
        <v>54</v>
      </c>
      <c r="E2374" s="4" t="s">
        <v>25</v>
      </c>
      <c r="F2374" s="4" t="s">
        <v>25</v>
      </c>
      <c r="G2374" s="4" t="s">
        <v>25</v>
      </c>
      <c r="H2374" s="4" t="s">
        <v>25</v>
      </c>
      <c r="I2374" s="5">
        <v>44378</v>
      </c>
      <c r="J2374" s="6">
        <v>0</v>
      </c>
      <c r="K2374" s="6">
        <v>0</v>
      </c>
      <c r="L2374" s="6">
        <v>3.992</v>
      </c>
      <c r="M2374" s="6">
        <v>3.992</v>
      </c>
      <c r="N2374" s="6">
        <v>3.992</v>
      </c>
      <c r="O2374" s="6">
        <v>3.992</v>
      </c>
      <c r="P2374" s="6">
        <v>0</v>
      </c>
      <c r="Q2374" s="4" t="s">
        <v>26</v>
      </c>
      <c r="R2374" s="4">
        <v>0</v>
      </c>
      <c r="S2374" s="6">
        <v>0</v>
      </c>
      <c r="T2374" s="6">
        <v>72</v>
      </c>
      <c r="U2374" s="6">
        <v>78</v>
      </c>
      <c r="V2374" s="6">
        <f>IF(ISERROR(VLOOKUP($S$2374,'TAR FIN'!$A$1:$O$95,15,0)),0,VLOOKUP($S$2374,'TAR FIN'!$A$1:$O$95,15,0))</f>
        <v>0</v>
      </c>
      <c r="W2374" s="6">
        <f>IF(ISERROR(VLOOKUP($T$2374,'TAR FIN'!$A$1:$O$95,15,0)),0,VLOOKUP($T$2374,'TAR FIN'!$A$1:$O$95,15,0))</f>
        <v>450.19</v>
      </c>
      <c r="X2374" s="6">
        <f>IF(ISERROR(VLOOKUP($U$2374,'TAR FIN'!$A$1:$O$95,15,0)),0,VLOOKUP($U$2374,'TAR FIN'!$A$1:$O$95,15,0))</f>
        <v>243.3</v>
      </c>
      <c r="Y2374" s="6"/>
      <c r="Z2374" s="6">
        <f ca="1">('TUSD BE'!$AM$53+'TUSD BF'!$AM$53+'TUSD CVA'!$AM$53)*1</f>
        <v>506.5198438752322</v>
      </c>
      <c r="AA2374" s="6">
        <f>('TE BE'!$AA$41+'TE BF'!$AA$41+'TE CVA'!$AA$41)*1</f>
        <v>297.20166373463735</v>
      </c>
      <c r="AB2374" s="6">
        <f>$K$2374*$V$2374</f>
        <v>0</v>
      </c>
      <c r="AC2374" s="6">
        <f>$M$2374*$W$2374</f>
        <v>1797.1584800000001</v>
      </c>
      <c r="AD2374" s="6">
        <f>$O$2374*$X$2374</f>
        <v>971.25360000000001</v>
      </c>
      <c r="AE2374" s="6">
        <f>$K$2374*$Y$2374</f>
        <v>0</v>
      </c>
      <c r="AF2374" s="6">
        <f ca="1">$M$2374*$Z$2374</f>
        <v>2022.027216749927</v>
      </c>
      <c r="AG2374" s="6">
        <f>$O$2374*$AA$2374</f>
        <v>1186.4290416286724</v>
      </c>
    </row>
    <row r="2375" spans="1:33" ht="11.25" customHeight="1" x14ac:dyDescent="0.25">
      <c r="A2375" s="4" t="s">
        <v>28</v>
      </c>
      <c r="B2375" s="4" t="s">
        <v>41</v>
      </c>
      <c r="C2375" s="4" t="s">
        <v>23</v>
      </c>
      <c r="D2375" s="4" t="s">
        <v>54</v>
      </c>
      <c r="E2375" s="4" t="s">
        <v>25</v>
      </c>
      <c r="F2375" s="4" t="s">
        <v>25</v>
      </c>
      <c r="G2375" s="4" t="s">
        <v>25</v>
      </c>
      <c r="H2375" s="4" t="s">
        <v>25</v>
      </c>
      <c r="I2375" s="5">
        <v>44378</v>
      </c>
      <c r="J2375" s="6">
        <v>0</v>
      </c>
      <c r="K2375" s="6">
        <v>0</v>
      </c>
      <c r="L2375" s="6">
        <v>229.4</v>
      </c>
      <c r="M2375" s="6">
        <v>229.4</v>
      </c>
      <c r="N2375" s="6">
        <v>229.4</v>
      </c>
      <c r="O2375" s="6">
        <v>229.4</v>
      </c>
      <c r="P2375" s="6">
        <v>189</v>
      </c>
      <c r="Q2375" s="4" t="s">
        <v>26</v>
      </c>
      <c r="R2375" s="4">
        <v>0</v>
      </c>
      <c r="S2375" s="6">
        <v>0</v>
      </c>
      <c r="T2375" s="6">
        <v>72</v>
      </c>
      <c r="U2375" s="6">
        <v>78</v>
      </c>
      <c r="V2375" s="6">
        <f>IF(ISERROR(VLOOKUP($S$2375,'TAR FIN'!$A$1:$O$95,15,0)),0,VLOOKUP($S$2375,'TAR FIN'!$A$1:$O$95,15,0))</f>
        <v>0</v>
      </c>
      <c r="W2375" s="6">
        <f>IF(ISERROR(VLOOKUP($T$2375,'TAR FIN'!$A$1:$O$95,15,0)),0,VLOOKUP($T$2375,'TAR FIN'!$A$1:$O$95,15,0))</f>
        <v>450.19</v>
      </c>
      <c r="X2375" s="6">
        <f>IF(ISERROR(VLOOKUP($U$2375,'TAR FIN'!$A$1:$O$95,15,0)),0,VLOOKUP($U$2375,'TAR FIN'!$A$1:$O$95,15,0))</f>
        <v>243.3</v>
      </c>
      <c r="Y2375" s="6"/>
      <c r="Z2375" s="6">
        <f ca="1">('TUSD BE'!$AM$53+'TUSD BF'!$AM$53+'TUSD CVA'!$AM$53)*1</f>
        <v>506.5198438752322</v>
      </c>
      <c r="AA2375" s="6">
        <f>('TE BE'!$AA$41+'TE BF'!$AA$41+'TE CVA'!$AA$41)*1</f>
        <v>297.20166373463735</v>
      </c>
      <c r="AB2375" s="6">
        <f>$K$2375*$V$2375</f>
        <v>0</v>
      </c>
      <c r="AC2375" s="6">
        <f>$M$2375*$W$2375</f>
        <v>103273.586</v>
      </c>
      <c r="AD2375" s="6">
        <f>$O$2375*$X$2375</f>
        <v>55813.020000000004</v>
      </c>
      <c r="AE2375" s="6">
        <f>$K$2375*$Y$2375</f>
        <v>0</v>
      </c>
      <c r="AF2375" s="6">
        <f ca="1">$M$2375*$Z$2375</f>
        <v>116195.65218497827</v>
      </c>
      <c r="AG2375" s="6">
        <f>$O$2375*$AA$2375</f>
        <v>68178.061660725813</v>
      </c>
    </row>
    <row r="2376" spans="1:33" ht="11.25" customHeight="1" x14ac:dyDescent="0.25">
      <c r="A2376" s="4" t="s">
        <v>21</v>
      </c>
      <c r="B2376" s="4" t="s">
        <v>41</v>
      </c>
      <c r="C2376" s="4" t="s">
        <v>23</v>
      </c>
      <c r="D2376" s="4" t="s">
        <v>54</v>
      </c>
      <c r="E2376" s="4" t="s">
        <v>25</v>
      </c>
      <c r="F2376" s="4" t="s">
        <v>25</v>
      </c>
      <c r="G2376" s="4" t="s">
        <v>25</v>
      </c>
      <c r="H2376" s="4" t="s">
        <v>25</v>
      </c>
      <c r="I2376" s="5">
        <v>44409</v>
      </c>
      <c r="J2376" s="6">
        <v>0</v>
      </c>
      <c r="K2376" s="6">
        <v>0</v>
      </c>
      <c r="L2376" s="6">
        <v>548.96100000000001</v>
      </c>
      <c r="M2376" s="6">
        <v>548.96100000000001</v>
      </c>
      <c r="N2376" s="6">
        <v>548.96100000000001</v>
      </c>
      <c r="O2376" s="6">
        <v>548.96100000000001</v>
      </c>
      <c r="P2376" s="6">
        <v>59</v>
      </c>
      <c r="Q2376" s="4" t="s">
        <v>26</v>
      </c>
      <c r="R2376" s="4">
        <v>0</v>
      </c>
      <c r="S2376" s="6">
        <v>0</v>
      </c>
      <c r="T2376" s="6">
        <v>72</v>
      </c>
      <c r="U2376" s="6">
        <v>78</v>
      </c>
      <c r="V2376" s="6">
        <f>IF(ISERROR(VLOOKUP($S$2376,'TAR FIN'!$A$1:$O$95,15,0)),0,VLOOKUP($S$2376,'TAR FIN'!$A$1:$O$95,15,0))</f>
        <v>0</v>
      </c>
      <c r="W2376" s="6">
        <f>IF(ISERROR(VLOOKUP($T$2376,'TAR FIN'!$A$1:$O$95,15,0)),0,VLOOKUP($T$2376,'TAR FIN'!$A$1:$O$95,15,0))</f>
        <v>450.19</v>
      </c>
      <c r="X2376" s="6">
        <f>IF(ISERROR(VLOOKUP($U$2376,'TAR FIN'!$A$1:$O$95,15,0)),0,VLOOKUP($U$2376,'TAR FIN'!$A$1:$O$95,15,0))</f>
        <v>243.3</v>
      </c>
      <c r="Y2376" s="6"/>
      <c r="Z2376" s="6">
        <f ca="1">('TUSD BE'!$AM$53+'TUSD BF'!$AM$53+'TUSD CVA'!$AM$53)*1</f>
        <v>506.5198438752322</v>
      </c>
      <c r="AA2376" s="6">
        <f>('TE BE'!$AA$41+'TE BF'!$AA$41+'TE CVA'!$AA$41)*1</f>
        <v>297.20166373463735</v>
      </c>
      <c r="AB2376" s="6">
        <f>$K$2376*$V$2376</f>
        <v>0</v>
      </c>
      <c r="AC2376" s="6">
        <f>$M$2376*$W$2376</f>
        <v>247136.75259000002</v>
      </c>
      <c r="AD2376" s="6">
        <f>$O$2376*$X$2376</f>
        <v>133562.2113</v>
      </c>
      <c r="AE2376" s="6">
        <f>$K$2376*$Y$2376</f>
        <v>0</v>
      </c>
      <c r="AF2376" s="6">
        <f ca="1">$M$2376*$Z$2376</f>
        <v>278059.64001359133</v>
      </c>
      <c r="AG2376" s="6">
        <f>$O$2376*$AA$2376</f>
        <v>163152.12252543026</v>
      </c>
    </row>
    <row r="2377" spans="1:33" ht="11.25" customHeight="1" x14ac:dyDescent="0.25">
      <c r="A2377" s="4" t="s">
        <v>28</v>
      </c>
      <c r="B2377" s="4" t="s">
        <v>41</v>
      </c>
      <c r="C2377" s="4" t="s">
        <v>23</v>
      </c>
      <c r="D2377" s="4" t="s">
        <v>54</v>
      </c>
      <c r="E2377" s="4" t="s">
        <v>25</v>
      </c>
      <c r="F2377" s="4" t="s">
        <v>25</v>
      </c>
      <c r="G2377" s="4" t="s">
        <v>25</v>
      </c>
      <c r="H2377" s="4" t="s">
        <v>25</v>
      </c>
      <c r="I2377" s="5">
        <v>44409</v>
      </c>
      <c r="J2377" s="6">
        <v>0</v>
      </c>
      <c r="K2377" s="6">
        <v>0</v>
      </c>
      <c r="L2377" s="6">
        <v>236.05799999999999</v>
      </c>
      <c r="M2377" s="6">
        <v>236.05799999999999</v>
      </c>
      <c r="N2377" s="6">
        <v>236.05799999999999</v>
      </c>
      <c r="O2377" s="6">
        <v>236.05799999999999</v>
      </c>
      <c r="P2377" s="6">
        <v>186</v>
      </c>
      <c r="Q2377" s="4" t="s">
        <v>26</v>
      </c>
      <c r="R2377" s="4">
        <v>0</v>
      </c>
      <c r="S2377" s="6">
        <v>0</v>
      </c>
      <c r="T2377" s="6">
        <v>72</v>
      </c>
      <c r="U2377" s="6">
        <v>78</v>
      </c>
      <c r="V2377" s="6">
        <f>IF(ISERROR(VLOOKUP($S$2377,'TAR FIN'!$A$1:$O$95,15,0)),0,VLOOKUP($S$2377,'TAR FIN'!$A$1:$O$95,15,0))</f>
        <v>0</v>
      </c>
      <c r="W2377" s="6">
        <f>IF(ISERROR(VLOOKUP($T$2377,'TAR FIN'!$A$1:$O$95,15,0)),0,VLOOKUP($T$2377,'TAR FIN'!$A$1:$O$95,15,0))</f>
        <v>450.19</v>
      </c>
      <c r="X2377" s="6">
        <f>IF(ISERROR(VLOOKUP($U$2377,'TAR FIN'!$A$1:$O$95,15,0)),0,VLOOKUP($U$2377,'TAR FIN'!$A$1:$O$95,15,0))</f>
        <v>243.3</v>
      </c>
      <c r="Y2377" s="6"/>
      <c r="Z2377" s="6">
        <f ca="1">('TUSD BE'!$AM$53+'TUSD BF'!$AM$53+'TUSD CVA'!$AM$53)*1</f>
        <v>506.5198438752322</v>
      </c>
      <c r="AA2377" s="6">
        <f>('TE BE'!$AA$41+'TE BF'!$AA$41+'TE CVA'!$AA$41)*1</f>
        <v>297.20166373463735</v>
      </c>
      <c r="AB2377" s="6">
        <f>$K$2377*$V$2377</f>
        <v>0</v>
      </c>
      <c r="AC2377" s="6">
        <f>$M$2377*$W$2377</f>
        <v>106270.95101999999</v>
      </c>
      <c r="AD2377" s="6">
        <f>$O$2377*$X$2377</f>
        <v>57432.911400000005</v>
      </c>
      <c r="AE2377" s="6">
        <f>$K$2377*$Y$2377</f>
        <v>0</v>
      </c>
      <c r="AF2377" s="6">
        <f ca="1">$M$2377*$Z$2377</f>
        <v>119568.06130549956</v>
      </c>
      <c r="AG2377" s="6">
        <f>$O$2377*$AA$2377</f>
        <v>70156.830337871026</v>
      </c>
    </row>
    <row r="2378" spans="1:33" ht="11.25" customHeight="1" x14ac:dyDescent="0.25">
      <c r="A2378" s="4" t="s">
        <v>21</v>
      </c>
      <c r="B2378" s="4" t="s">
        <v>41</v>
      </c>
      <c r="C2378" s="4" t="s">
        <v>23</v>
      </c>
      <c r="D2378" s="4" t="s">
        <v>54</v>
      </c>
      <c r="E2378" s="4" t="s">
        <v>25</v>
      </c>
      <c r="F2378" s="4" t="s">
        <v>25</v>
      </c>
      <c r="G2378" s="4" t="s">
        <v>25</v>
      </c>
      <c r="H2378" s="4" t="s">
        <v>25</v>
      </c>
      <c r="I2378" s="5">
        <v>44440</v>
      </c>
      <c r="J2378" s="6">
        <v>0</v>
      </c>
      <c r="K2378" s="6">
        <v>0</v>
      </c>
      <c r="L2378" s="6">
        <v>521.72500000000002</v>
      </c>
      <c r="M2378" s="6">
        <v>521.72500000000002</v>
      </c>
      <c r="N2378" s="6">
        <v>521.72500000000002</v>
      </c>
      <c r="O2378" s="6">
        <v>521.72500000000002</v>
      </c>
      <c r="P2378" s="6">
        <v>59</v>
      </c>
      <c r="Q2378" s="4" t="s">
        <v>26</v>
      </c>
      <c r="R2378" s="4">
        <v>0</v>
      </c>
      <c r="S2378" s="6">
        <v>0</v>
      </c>
      <c r="T2378" s="6">
        <v>72</v>
      </c>
      <c r="U2378" s="6">
        <v>78</v>
      </c>
      <c r="V2378" s="6">
        <f>IF(ISERROR(VLOOKUP($S$2378,'TAR FIN'!$A$1:$O$95,15,0)),0,VLOOKUP($S$2378,'TAR FIN'!$A$1:$O$95,15,0))</f>
        <v>0</v>
      </c>
      <c r="W2378" s="6">
        <f>IF(ISERROR(VLOOKUP($T$2378,'TAR FIN'!$A$1:$O$95,15,0)),0,VLOOKUP($T$2378,'TAR FIN'!$A$1:$O$95,15,0))</f>
        <v>450.19</v>
      </c>
      <c r="X2378" s="6">
        <f>IF(ISERROR(VLOOKUP($U$2378,'TAR FIN'!$A$1:$O$95,15,0)),0,VLOOKUP($U$2378,'TAR FIN'!$A$1:$O$95,15,0))</f>
        <v>243.3</v>
      </c>
      <c r="Y2378" s="6"/>
      <c r="Z2378" s="6">
        <f ca="1">('TUSD BE'!$AM$53+'TUSD BF'!$AM$53+'TUSD CVA'!$AM$53)*1</f>
        <v>506.5198438752322</v>
      </c>
      <c r="AA2378" s="6">
        <f>('TE BE'!$AA$41+'TE BF'!$AA$41+'TE CVA'!$AA$41)*1</f>
        <v>297.20166373463735</v>
      </c>
      <c r="AB2378" s="6">
        <f>$K$2378*$V$2378</f>
        <v>0</v>
      </c>
      <c r="AC2378" s="6">
        <f>$M$2378*$W$2378</f>
        <v>234875.37775000001</v>
      </c>
      <c r="AD2378" s="6">
        <f>$O$2378*$X$2378</f>
        <v>126935.6925</v>
      </c>
      <c r="AE2378" s="6">
        <f>$K$2378*$Y$2378</f>
        <v>0</v>
      </c>
      <c r="AF2378" s="6">
        <f ca="1">$M$2378*$Z$2378</f>
        <v>264264.06554580556</v>
      </c>
      <c r="AG2378" s="6">
        <f>$O$2378*$AA$2378</f>
        <v>155057.53801195367</v>
      </c>
    </row>
    <row r="2379" spans="1:33" ht="11.25" customHeight="1" x14ac:dyDescent="0.25">
      <c r="A2379" s="4" t="s">
        <v>28</v>
      </c>
      <c r="B2379" s="4" t="s">
        <v>41</v>
      </c>
      <c r="C2379" s="4" t="s">
        <v>23</v>
      </c>
      <c r="D2379" s="4" t="s">
        <v>54</v>
      </c>
      <c r="E2379" s="4" t="s">
        <v>25</v>
      </c>
      <c r="F2379" s="4" t="s">
        <v>25</v>
      </c>
      <c r="G2379" s="4" t="s">
        <v>25</v>
      </c>
      <c r="H2379" s="4" t="s">
        <v>25</v>
      </c>
      <c r="I2379" s="5">
        <v>44440</v>
      </c>
      <c r="J2379" s="6">
        <v>0</v>
      </c>
      <c r="K2379" s="6">
        <v>0</v>
      </c>
      <c r="L2379" s="6">
        <v>237.00899999999999</v>
      </c>
      <c r="M2379" s="6">
        <v>237.00899999999999</v>
      </c>
      <c r="N2379" s="6">
        <v>237.00899999999999</v>
      </c>
      <c r="O2379" s="6">
        <v>237.00899999999999</v>
      </c>
      <c r="P2379" s="6">
        <v>185</v>
      </c>
      <c r="Q2379" s="4" t="s">
        <v>26</v>
      </c>
      <c r="R2379" s="4">
        <v>0</v>
      </c>
      <c r="S2379" s="6">
        <v>0</v>
      </c>
      <c r="T2379" s="6">
        <v>72</v>
      </c>
      <c r="U2379" s="6">
        <v>78</v>
      </c>
      <c r="V2379" s="6">
        <f>IF(ISERROR(VLOOKUP($S$2379,'TAR FIN'!$A$1:$O$95,15,0)),0,VLOOKUP($S$2379,'TAR FIN'!$A$1:$O$95,15,0))</f>
        <v>0</v>
      </c>
      <c r="W2379" s="6">
        <f>IF(ISERROR(VLOOKUP($T$2379,'TAR FIN'!$A$1:$O$95,15,0)),0,VLOOKUP($T$2379,'TAR FIN'!$A$1:$O$95,15,0))</f>
        <v>450.19</v>
      </c>
      <c r="X2379" s="6">
        <f>IF(ISERROR(VLOOKUP($U$2379,'TAR FIN'!$A$1:$O$95,15,0)),0,VLOOKUP($U$2379,'TAR FIN'!$A$1:$O$95,15,0))</f>
        <v>243.3</v>
      </c>
      <c r="Y2379" s="6"/>
      <c r="Z2379" s="6">
        <f ca="1">('TUSD BE'!$AM$53+'TUSD BF'!$AM$53+'TUSD CVA'!$AM$53)*1</f>
        <v>506.5198438752322</v>
      </c>
      <c r="AA2379" s="6">
        <f>('TE BE'!$AA$41+'TE BF'!$AA$41+'TE CVA'!$AA$41)*1</f>
        <v>297.20166373463735</v>
      </c>
      <c r="AB2379" s="6">
        <f>$K$2379*$V$2379</f>
        <v>0</v>
      </c>
      <c r="AC2379" s="6">
        <f>$M$2379*$W$2379</f>
        <v>106699.08171</v>
      </c>
      <c r="AD2379" s="6">
        <f>$O$2379*$X$2379</f>
        <v>57664.289700000001</v>
      </c>
      <c r="AE2379" s="6">
        <f>$K$2379*$Y$2379</f>
        <v>0</v>
      </c>
      <c r="AF2379" s="6">
        <f ca="1">$M$2379*$Z$2379</f>
        <v>120049.7616770249</v>
      </c>
      <c r="AG2379" s="6">
        <f>$O$2379*$AA$2379</f>
        <v>70439.469120082664</v>
      </c>
    </row>
    <row r="2380" spans="1:33" ht="11.25" customHeight="1" x14ac:dyDescent="0.25">
      <c r="A2380" s="4" t="s">
        <v>59</v>
      </c>
      <c r="B2380" s="4" t="s">
        <v>41</v>
      </c>
      <c r="C2380" s="4" t="s">
        <v>23</v>
      </c>
      <c r="D2380" s="4" t="s">
        <v>54</v>
      </c>
      <c r="E2380" s="4" t="s">
        <v>25</v>
      </c>
      <c r="F2380" s="4" t="s">
        <v>25</v>
      </c>
      <c r="G2380" s="4" t="s">
        <v>25</v>
      </c>
      <c r="H2380" s="4" t="s">
        <v>25</v>
      </c>
      <c r="I2380" s="5">
        <v>44470</v>
      </c>
      <c r="J2380" s="6">
        <v>0</v>
      </c>
      <c r="K2380" s="6">
        <v>0</v>
      </c>
      <c r="L2380" s="6">
        <v>521.72500000000002</v>
      </c>
      <c r="M2380" s="6">
        <v>521.72500000000002</v>
      </c>
      <c r="N2380" s="6">
        <v>521.72500000000002</v>
      </c>
      <c r="O2380" s="6">
        <v>521.72500000000002</v>
      </c>
      <c r="P2380" s="6">
        <v>59</v>
      </c>
      <c r="Q2380" s="4" t="s">
        <v>26</v>
      </c>
      <c r="R2380" s="4">
        <v>0</v>
      </c>
      <c r="S2380" s="6">
        <v>0</v>
      </c>
      <c r="T2380" s="6">
        <v>72</v>
      </c>
      <c r="U2380" s="6">
        <v>78</v>
      </c>
      <c r="V2380" s="6">
        <f>IF(ISERROR(VLOOKUP($S$2380,'TAR FIN'!$A$1:$O$95,15,0)),0,VLOOKUP($S$2380,'TAR FIN'!$A$1:$O$95,15,0))</f>
        <v>0</v>
      </c>
      <c r="W2380" s="6">
        <f>IF(ISERROR(VLOOKUP($T$2380,'TAR FIN'!$A$1:$O$95,15,0)),0,VLOOKUP($T$2380,'TAR FIN'!$A$1:$O$95,15,0))</f>
        <v>450.19</v>
      </c>
      <c r="X2380" s="6">
        <f>IF(ISERROR(VLOOKUP($U$2380,'TAR FIN'!$A$1:$O$95,15,0)),0,VLOOKUP($U$2380,'TAR FIN'!$A$1:$O$95,15,0))</f>
        <v>243.3</v>
      </c>
      <c r="Y2380" s="6"/>
      <c r="Z2380" s="6">
        <f ca="1">('TUSD BE'!$AM$53+'TUSD BF'!$AM$53+'TUSD CVA'!$AM$53)*1</f>
        <v>506.5198438752322</v>
      </c>
      <c r="AA2380" s="6">
        <f>('TE BE'!$AA$41+'TE BF'!$AA$41+'TE CVA'!$AA$41)*1</f>
        <v>297.20166373463735</v>
      </c>
      <c r="AB2380" s="6">
        <f>$K$2380*$V$2380</f>
        <v>0</v>
      </c>
      <c r="AC2380" s="6">
        <f>$M$2380*$W$2380</f>
        <v>234875.37775000001</v>
      </c>
      <c r="AD2380" s="6">
        <f>$O$2380*$X$2380</f>
        <v>126935.6925</v>
      </c>
      <c r="AE2380" s="6">
        <f>$K$2380*$Y$2380</f>
        <v>0</v>
      </c>
      <c r="AF2380" s="6">
        <f ca="1">$M$2380*$Z$2380</f>
        <v>264264.06554580556</v>
      </c>
      <c r="AG2380" s="6">
        <f>$O$2380*$AA$2380</f>
        <v>155057.53801195367</v>
      </c>
    </row>
    <row r="2381" spans="1:33" ht="11.25" customHeight="1" x14ac:dyDescent="0.25">
      <c r="A2381" s="4" t="s">
        <v>59</v>
      </c>
      <c r="B2381" s="4" t="s">
        <v>41</v>
      </c>
      <c r="C2381" s="4" t="s">
        <v>23</v>
      </c>
      <c r="D2381" s="4" t="s">
        <v>54</v>
      </c>
      <c r="E2381" s="4" t="s">
        <v>25</v>
      </c>
      <c r="F2381" s="4" t="s">
        <v>25</v>
      </c>
      <c r="G2381" s="4" t="s">
        <v>25</v>
      </c>
      <c r="H2381" s="4" t="s">
        <v>25</v>
      </c>
      <c r="I2381" s="5">
        <v>44470</v>
      </c>
      <c r="J2381" s="6">
        <v>0</v>
      </c>
      <c r="K2381" s="6">
        <v>0</v>
      </c>
      <c r="L2381" s="6">
        <v>237.00899999999999</v>
      </c>
      <c r="M2381" s="6">
        <v>237.00899999999999</v>
      </c>
      <c r="N2381" s="6">
        <v>237.00899999999999</v>
      </c>
      <c r="O2381" s="6">
        <v>237.00899999999999</v>
      </c>
      <c r="P2381" s="6">
        <v>185</v>
      </c>
      <c r="Q2381" s="4" t="s">
        <v>26</v>
      </c>
      <c r="R2381" s="4">
        <v>0</v>
      </c>
      <c r="S2381" s="6">
        <v>0</v>
      </c>
      <c r="T2381" s="6">
        <v>72</v>
      </c>
      <c r="U2381" s="6">
        <v>78</v>
      </c>
      <c r="V2381" s="6">
        <f>IF(ISERROR(VLOOKUP($S$2381,'TAR FIN'!$A$1:$O$95,15,0)),0,VLOOKUP($S$2381,'TAR FIN'!$A$1:$O$95,15,0))</f>
        <v>0</v>
      </c>
      <c r="W2381" s="6">
        <f>IF(ISERROR(VLOOKUP($T$2381,'TAR FIN'!$A$1:$O$95,15,0)),0,VLOOKUP($T$2381,'TAR FIN'!$A$1:$O$95,15,0))</f>
        <v>450.19</v>
      </c>
      <c r="X2381" s="6">
        <f>IF(ISERROR(VLOOKUP($U$2381,'TAR FIN'!$A$1:$O$95,15,0)),0,VLOOKUP($U$2381,'TAR FIN'!$A$1:$O$95,15,0))</f>
        <v>243.3</v>
      </c>
      <c r="Y2381" s="6"/>
      <c r="Z2381" s="6">
        <f ca="1">('TUSD BE'!$AM$53+'TUSD BF'!$AM$53+'TUSD CVA'!$AM$53)*1</f>
        <v>506.5198438752322</v>
      </c>
      <c r="AA2381" s="6">
        <f>('TE BE'!$AA$41+'TE BF'!$AA$41+'TE CVA'!$AA$41)*1</f>
        <v>297.20166373463735</v>
      </c>
      <c r="AB2381" s="6">
        <f>$K$2381*$V$2381</f>
        <v>0</v>
      </c>
      <c r="AC2381" s="6">
        <f>$M$2381*$W$2381</f>
        <v>106699.08171</v>
      </c>
      <c r="AD2381" s="6">
        <f>$O$2381*$X$2381</f>
        <v>57664.289700000001</v>
      </c>
      <c r="AE2381" s="6">
        <f>$K$2381*$Y$2381</f>
        <v>0</v>
      </c>
      <c r="AF2381" s="6">
        <f ca="1">$M$2381*$Z$2381</f>
        <v>120049.7616770249</v>
      </c>
      <c r="AG2381" s="6">
        <f>$O$2381*$AA$2381</f>
        <v>70439.469120082664</v>
      </c>
    </row>
    <row r="2382" spans="1:33" ht="11.25" customHeight="1" x14ac:dyDescent="0.25">
      <c r="A2382" s="4" t="s">
        <v>21</v>
      </c>
      <c r="B2382" s="4" t="s">
        <v>41</v>
      </c>
      <c r="C2382" s="4" t="s">
        <v>23</v>
      </c>
      <c r="D2382" s="4" t="s">
        <v>42</v>
      </c>
      <c r="E2382" s="4" t="s">
        <v>25</v>
      </c>
      <c r="F2382" s="4" t="s">
        <v>25</v>
      </c>
      <c r="G2382" s="4" t="s">
        <v>25</v>
      </c>
      <c r="H2382" s="4" t="s">
        <v>25</v>
      </c>
      <c r="I2382" s="5">
        <v>44136</v>
      </c>
      <c r="J2382" s="6">
        <v>0</v>
      </c>
      <c r="K2382" s="6">
        <v>0</v>
      </c>
      <c r="L2382" s="6">
        <v>2160.0749999999998</v>
      </c>
      <c r="M2382" s="6">
        <v>2160.0749999999998</v>
      </c>
      <c r="N2382" s="6">
        <v>2160.0749999999998</v>
      </c>
      <c r="O2382" s="6">
        <v>2160.0749999999998</v>
      </c>
      <c r="P2382" s="6">
        <v>1312</v>
      </c>
      <c r="Q2382" s="4" t="s">
        <v>26</v>
      </c>
      <c r="R2382" s="4">
        <v>0</v>
      </c>
      <c r="S2382" s="6">
        <v>0</v>
      </c>
      <c r="T2382" s="6">
        <v>72</v>
      </c>
      <c r="U2382" s="6">
        <v>78</v>
      </c>
      <c r="V2382" s="6">
        <f>IF(ISERROR(VLOOKUP($S$2382,'TAR FIN'!$A$1:$O$95,15,0)),0,VLOOKUP($S$2382,'TAR FIN'!$A$1:$O$95,15,0))</f>
        <v>0</v>
      </c>
      <c r="W2382" s="6">
        <f>IF(ISERROR(VLOOKUP($T$2382,'TAR FIN'!$A$1:$O$95,15,0)),0,VLOOKUP($T$2382,'TAR FIN'!$A$1:$O$95,15,0))</f>
        <v>450.19</v>
      </c>
      <c r="X2382" s="6">
        <f>IF(ISERROR(VLOOKUP($U$2382,'TAR FIN'!$A$1:$O$95,15,0)),0,VLOOKUP($U$2382,'TAR FIN'!$A$1:$O$95,15,0))</f>
        <v>243.3</v>
      </c>
      <c r="Y2382" s="6"/>
      <c r="Z2382" s="6">
        <f ca="1">('TUSD BE'!$AM$53+'TUSD BF'!$AM$53+'TUSD CVA'!$AM$53)*1</f>
        <v>506.5198438752322</v>
      </c>
      <c r="AA2382" s="6">
        <f>('TE BE'!$AA$41+'TE BF'!$AA$41+'TE CVA'!$AA$41)*1</f>
        <v>297.20166373463735</v>
      </c>
      <c r="AB2382" s="6">
        <f>$K$2382*$V$2382</f>
        <v>0</v>
      </c>
      <c r="AC2382" s="6">
        <f>$M$2382*$W$2382</f>
        <v>972444.16424999991</v>
      </c>
      <c r="AD2382" s="6">
        <f>$O$2382*$X$2382</f>
        <v>525546.24749999994</v>
      </c>
      <c r="AE2382" s="6">
        <f>$K$2382*$Y$2382</f>
        <v>0</v>
      </c>
      <c r="AF2382" s="6">
        <f ca="1">$M$2382*$Z$2382</f>
        <v>1094120.8517587921</v>
      </c>
      <c r="AG2382" s="6">
        <f>$O$2382*$AA$2382</f>
        <v>641977.88379159675</v>
      </c>
    </row>
    <row r="2383" spans="1:33" ht="11.25" customHeight="1" x14ac:dyDescent="0.25">
      <c r="A2383" s="4" t="s">
        <v>27</v>
      </c>
      <c r="B2383" s="4" t="s">
        <v>41</v>
      </c>
      <c r="C2383" s="4" t="s">
        <v>23</v>
      </c>
      <c r="D2383" s="4" t="s">
        <v>42</v>
      </c>
      <c r="E2383" s="4" t="s">
        <v>25</v>
      </c>
      <c r="F2383" s="4" t="s">
        <v>25</v>
      </c>
      <c r="G2383" s="4" t="s">
        <v>25</v>
      </c>
      <c r="H2383" s="4" t="s">
        <v>25</v>
      </c>
      <c r="I2383" s="5">
        <v>44136</v>
      </c>
      <c r="J2383" s="6">
        <v>0</v>
      </c>
      <c r="K2383" s="6">
        <v>0</v>
      </c>
      <c r="L2383" s="6">
        <v>-133.995</v>
      </c>
      <c r="M2383" s="6">
        <v>-133.995</v>
      </c>
      <c r="N2383" s="6">
        <v>-133.995</v>
      </c>
      <c r="O2383" s="6">
        <v>-133.995</v>
      </c>
      <c r="P2383" s="6">
        <v>-69</v>
      </c>
      <c r="Q2383" s="4" t="s">
        <v>26</v>
      </c>
      <c r="R2383" s="4">
        <v>0</v>
      </c>
      <c r="S2383" s="6">
        <v>0</v>
      </c>
      <c r="T2383" s="6">
        <v>72</v>
      </c>
      <c r="U2383" s="6">
        <v>78</v>
      </c>
      <c r="V2383" s="6">
        <f>IF(ISERROR(VLOOKUP($S$2383,'TAR FIN'!$A$1:$O$95,15,0)),0,VLOOKUP($S$2383,'TAR FIN'!$A$1:$O$95,15,0))</f>
        <v>0</v>
      </c>
      <c r="W2383" s="6">
        <f>IF(ISERROR(VLOOKUP($T$2383,'TAR FIN'!$A$1:$O$95,15,0)),0,VLOOKUP($T$2383,'TAR FIN'!$A$1:$O$95,15,0))</f>
        <v>450.19</v>
      </c>
      <c r="X2383" s="6">
        <f>IF(ISERROR(VLOOKUP($U$2383,'TAR FIN'!$A$1:$O$95,15,0)),0,VLOOKUP($U$2383,'TAR FIN'!$A$1:$O$95,15,0))</f>
        <v>243.3</v>
      </c>
      <c r="Y2383" s="6"/>
      <c r="Z2383" s="6">
        <f ca="1">('TUSD BE'!$AM$53+'TUSD BF'!$AM$53+'TUSD CVA'!$AM$53)*1</f>
        <v>506.5198438752322</v>
      </c>
      <c r="AA2383" s="6">
        <f>('TE BE'!$AA$41+'TE BF'!$AA$41+'TE CVA'!$AA$41)*1</f>
        <v>297.20166373463735</v>
      </c>
      <c r="AB2383" s="6">
        <f>$K$2383*$V$2383</f>
        <v>0</v>
      </c>
      <c r="AC2383" s="6">
        <f>$M$2383*$W$2383</f>
        <v>-60323.209050000005</v>
      </c>
      <c r="AD2383" s="6">
        <f>$O$2383*$X$2383</f>
        <v>-32600.983500000002</v>
      </c>
      <c r="AE2383" s="6">
        <f>$K$2383*$Y$2383</f>
        <v>0</v>
      </c>
      <c r="AF2383" s="6">
        <f ca="1">$M$2383*$Z$2383</f>
        <v>-67871.126480061735</v>
      </c>
      <c r="AG2383" s="6">
        <f>$O$2383*$AA$2383</f>
        <v>-39823.536932122734</v>
      </c>
    </row>
    <row r="2384" spans="1:33" ht="11.25" customHeight="1" x14ac:dyDescent="0.25">
      <c r="A2384" s="4" t="s">
        <v>28</v>
      </c>
      <c r="B2384" s="4" t="s">
        <v>41</v>
      </c>
      <c r="C2384" s="4" t="s">
        <v>23</v>
      </c>
      <c r="D2384" s="4" t="s">
        <v>42</v>
      </c>
      <c r="E2384" s="4" t="s">
        <v>25</v>
      </c>
      <c r="F2384" s="4" t="s">
        <v>25</v>
      </c>
      <c r="G2384" s="4" t="s">
        <v>25</v>
      </c>
      <c r="H2384" s="4" t="s">
        <v>25</v>
      </c>
      <c r="I2384" s="5">
        <v>44136</v>
      </c>
      <c r="J2384" s="6">
        <v>0</v>
      </c>
      <c r="K2384" s="6">
        <v>0</v>
      </c>
      <c r="L2384" s="6">
        <v>1057.557</v>
      </c>
      <c r="M2384" s="6">
        <v>1057.557</v>
      </c>
      <c r="N2384" s="6">
        <v>1057.557</v>
      </c>
      <c r="O2384" s="6">
        <v>1057.557</v>
      </c>
      <c r="P2384" s="6">
        <v>759</v>
      </c>
      <c r="Q2384" s="4" t="s">
        <v>26</v>
      </c>
      <c r="R2384" s="4">
        <v>0</v>
      </c>
      <c r="S2384" s="6">
        <v>0</v>
      </c>
      <c r="T2384" s="6">
        <v>72</v>
      </c>
      <c r="U2384" s="6">
        <v>78</v>
      </c>
      <c r="V2384" s="6">
        <f>IF(ISERROR(VLOOKUP($S$2384,'TAR FIN'!$A$1:$O$95,15,0)),0,VLOOKUP($S$2384,'TAR FIN'!$A$1:$O$95,15,0))</f>
        <v>0</v>
      </c>
      <c r="W2384" s="6">
        <f>IF(ISERROR(VLOOKUP($T$2384,'TAR FIN'!$A$1:$O$95,15,0)),0,VLOOKUP($T$2384,'TAR FIN'!$A$1:$O$95,15,0))</f>
        <v>450.19</v>
      </c>
      <c r="X2384" s="6">
        <f>IF(ISERROR(VLOOKUP($U$2384,'TAR FIN'!$A$1:$O$95,15,0)),0,VLOOKUP($U$2384,'TAR FIN'!$A$1:$O$95,15,0))</f>
        <v>243.3</v>
      </c>
      <c r="Y2384" s="6"/>
      <c r="Z2384" s="6">
        <f ca="1">('TUSD BE'!$AM$53+'TUSD BF'!$AM$53+'TUSD CVA'!$AM$53)*1</f>
        <v>506.5198438752322</v>
      </c>
      <c r="AA2384" s="6">
        <f>('TE BE'!$AA$41+'TE BF'!$AA$41+'TE CVA'!$AA$41)*1</f>
        <v>297.20166373463735</v>
      </c>
      <c r="AB2384" s="6">
        <f>$K$2384*$V$2384</f>
        <v>0</v>
      </c>
      <c r="AC2384" s="6">
        <f>$M$2384*$W$2384</f>
        <v>476101.58583</v>
      </c>
      <c r="AD2384" s="6">
        <f>$O$2384*$X$2384</f>
        <v>257303.61810000002</v>
      </c>
      <c r="AE2384" s="6">
        <f>$K$2384*$Y$2384</f>
        <v>0</v>
      </c>
      <c r="AF2384" s="6">
        <f ca="1">$M$2384*$Z$2384</f>
        <v>535673.60652915889</v>
      </c>
      <c r="AG2384" s="6">
        <f>$O$2384*$AA$2384</f>
        <v>314307.6998942119</v>
      </c>
    </row>
    <row r="2385" spans="1:33" ht="11.25" customHeight="1" x14ac:dyDescent="0.25">
      <c r="A2385" s="4" t="s">
        <v>29</v>
      </c>
      <c r="B2385" s="4" t="s">
        <v>41</v>
      </c>
      <c r="C2385" s="4" t="s">
        <v>23</v>
      </c>
      <c r="D2385" s="4" t="s">
        <v>42</v>
      </c>
      <c r="E2385" s="4" t="s">
        <v>25</v>
      </c>
      <c r="F2385" s="4" t="s">
        <v>25</v>
      </c>
      <c r="G2385" s="4" t="s">
        <v>25</v>
      </c>
      <c r="H2385" s="4" t="s">
        <v>25</v>
      </c>
      <c r="I2385" s="5">
        <v>44136</v>
      </c>
      <c r="J2385" s="6">
        <v>0</v>
      </c>
      <c r="K2385" s="6">
        <v>0</v>
      </c>
      <c r="L2385" s="6">
        <v>-3.4039999999999999</v>
      </c>
      <c r="M2385" s="6">
        <v>-3.4039999999999999</v>
      </c>
      <c r="N2385" s="6">
        <v>-3.4039999999999999</v>
      </c>
      <c r="O2385" s="6">
        <v>-3.4039999999999999</v>
      </c>
      <c r="P2385" s="6">
        <v>0</v>
      </c>
      <c r="Q2385" s="4" t="s">
        <v>26</v>
      </c>
      <c r="R2385" s="4">
        <v>0</v>
      </c>
      <c r="S2385" s="6">
        <v>0</v>
      </c>
      <c r="T2385" s="6">
        <v>72</v>
      </c>
      <c r="U2385" s="6">
        <v>78</v>
      </c>
      <c r="V2385" s="6">
        <f>IF(ISERROR(VLOOKUP($S$2385,'TAR FIN'!$A$1:$O$95,15,0)),0,VLOOKUP($S$2385,'TAR FIN'!$A$1:$O$95,15,0))</f>
        <v>0</v>
      </c>
      <c r="W2385" s="6">
        <f>IF(ISERROR(VLOOKUP($T$2385,'TAR FIN'!$A$1:$O$95,15,0)),0,VLOOKUP($T$2385,'TAR FIN'!$A$1:$O$95,15,0))</f>
        <v>450.19</v>
      </c>
      <c r="X2385" s="6">
        <f>IF(ISERROR(VLOOKUP($U$2385,'TAR FIN'!$A$1:$O$95,15,0)),0,VLOOKUP($U$2385,'TAR FIN'!$A$1:$O$95,15,0))</f>
        <v>243.3</v>
      </c>
      <c r="Y2385" s="6"/>
      <c r="Z2385" s="6">
        <f ca="1">('TUSD BE'!$AM$53+'TUSD BF'!$AM$53+'TUSD CVA'!$AM$53)*1</f>
        <v>506.5198438752322</v>
      </c>
      <c r="AA2385" s="6">
        <f>('TE BE'!$AA$41+'TE BF'!$AA$41+'TE CVA'!$AA$41)*1</f>
        <v>297.20166373463735</v>
      </c>
      <c r="AB2385" s="6">
        <f>$K$2385*$V$2385</f>
        <v>0</v>
      </c>
      <c r="AC2385" s="6">
        <f>$M$2385*$W$2385</f>
        <v>-1532.44676</v>
      </c>
      <c r="AD2385" s="6">
        <f>$O$2385*$X$2385</f>
        <v>-828.19320000000005</v>
      </c>
      <c r="AE2385" s="6">
        <f>$K$2385*$Y$2385</f>
        <v>0</v>
      </c>
      <c r="AF2385" s="6">
        <f ca="1">$M$2385*$Z$2385</f>
        <v>-1724.1935485512904</v>
      </c>
      <c r="AG2385" s="6">
        <f>$O$2385*$AA$2385</f>
        <v>-1011.6744633527055</v>
      </c>
    </row>
    <row r="2386" spans="1:33" ht="11.25" customHeight="1" x14ac:dyDescent="0.25">
      <c r="A2386" s="4" t="s">
        <v>30</v>
      </c>
      <c r="B2386" s="4" t="s">
        <v>41</v>
      </c>
      <c r="C2386" s="4" t="s">
        <v>23</v>
      </c>
      <c r="D2386" s="4" t="s">
        <v>42</v>
      </c>
      <c r="E2386" s="4" t="s">
        <v>25</v>
      </c>
      <c r="F2386" s="4" t="s">
        <v>25</v>
      </c>
      <c r="G2386" s="4" t="s">
        <v>25</v>
      </c>
      <c r="H2386" s="4" t="s">
        <v>25</v>
      </c>
      <c r="I2386" s="5">
        <v>44136</v>
      </c>
      <c r="J2386" s="6">
        <v>0</v>
      </c>
      <c r="K2386" s="6">
        <v>0</v>
      </c>
      <c r="L2386" s="6">
        <v>43.497999999999998</v>
      </c>
      <c r="M2386" s="6">
        <v>43.497999999999998</v>
      </c>
      <c r="N2386" s="6">
        <v>43.497999999999998</v>
      </c>
      <c r="O2386" s="6">
        <v>43.497999999999998</v>
      </c>
      <c r="P2386" s="6">
        <v>12</v>
      </c>
      <c r="Q2386" s="4" t="s">
        <v>26</v>
      </c>
      <c r="R2386" s="4">
        <v>0</v>
      </c>
      <c r="S2386" s="6">
        <v>0</v>
      </c>
      <c r="T2386" s="6">
        <v>72</v>
      </c>
      <c r="U2386" s="6">
        <v>78</v>
      </c>
      <c r="V2386" s="6">
        <f>IF(ISERROR(VLOOKUP($S$2386,'TAR FIN'!$A$1:$O$95,15,0)),0,VLOOKUP($S$2386,'TAR FIN'!$A$1:$O$95,15,0))</f>
        <v>0</v>
      </c>
      <c r="W2386" s="6">
        <f>IF(ISERROR(VLOOKUP($T$2386,'TAR FIN'!$A$1:$O$95,15,0)),0,VLOOKUP($T$2386,'TAR FIN'!$A$1:$O$95,15,0))</f>
        <v>450.19</v>
      </c>
      <c r="X2386" s="6">
        <f>IF(ISERROR(VLOOKUP($U$2386,'TAR FIN'!$A$1:$O$95,15,0)),0,VLOOKUP($U$2386,'TAR FIN'!$A$1:$O$95,15,0))</f>
        <v>243.3</v>
      </c>
      <c r="Y2386" s="6"/>
      <c r="Z2386" s="6">
        <f ca="1">('TUSD BE'!$AM$53+'TUSD BF'!$AM$53+'TUSD CVA'!$AM$53)*1</f>
        <v>506.5198438752322</v>
      </c>
      <c r="AA2386" s="6">
        <f>('TE BE'!$AA$41+'TE BF'!$AA$41+'TE CVA'!$AA$41)*1</f>
        <v>297.20166373463735</v>
      </c>
      <c r="AB2386" s="6">
        <f>$K$2386*$V$2386</f>
        <v>0</v>
      </c>
      <c r="AC2386" s="6">
        <f>$M$2386*$W$2386</f>
        <v>19582.36462</v>
      </c>
      <c r="AD2386" s="6">
        <f>$O$2386*$X$2386</f>
        <v>10583.063399999999</v>
      </c>
      <c r="AE2386" s="6">
        <f>$K$2386*$Y$2386</f>
        <v>0</v>
      </c>
      <c r="AF2386" s="6">
        <f ca="1">$M$2386*$Z$2386</f>
        <v>22032.600168884848</v>
      </c>
      <c r="AG2386" s="6">
        <f>$O$2386*$AA$2386</f>
        <v>12927.677969129254</v>
      </c>
    </row>
    <row r="2387" spans="1:33" ht="11.25" customHeight="1" x14ac:dyDescent="0.25">
      <c r="A2387" s="4" t="s">
        <v>21</v>
      </c>
      <c r="B2387" s="4" t="s">
        <v>41</v>
      </c>
      <c r="C2387" s="4" t="s">
        <v>23</v>
      </c>
      <c r="D2387" s="4" t="s">
        <v>42</v>
      </c>
      <c r="E2387" s="4" t="s">
        <v>25</v>
      </c>
      <c r="F2387" s="4" t="s">
        <v>25</v>
      </c>
      <c r="G2387" s="4" t="s">
        <v>25</v>
      </c>
      <c r="H2387" s="4" t="s">
        <v>25</v>
      </c>
      <c r="I2387" s="5">
        <v>44166</v>
      </c>
      <c r="J2387" s="6">
        <v>0</v>
      </c>
      <c r="K2387" s="6">
        <v>0</v>
      </c>
      <c r="L2387" s="6">
        <v>2095.4360000000001</v>
      </c>
      <c r="M2387" s="6">
        <v>2095.4360000000001</v>
      </c>
      <c r="N2387" s="6">
        <v>2095.4360000000001</v>
      </c>
      <c r="O2387" s="6">
        <v>2095.4360000000001</v>
      </c>
      <c r="P2387" s="6">
        <v>1299</v>
      </c>
      <c r="Q2387" s="4" t="s">
        <v>26</v>
      </c>
      <c r="R2387" s="4">
        <v>0</v>
      </c>
      <c r="S2387" s="6">
        <v>0</v>
      </c>
      <c r="T2387" s="6">
        <v>72</v>
      </c>
      <c r="U2387" s="6">
        <v>78</v>
      </c>
      <c r="V2387" s="6">
        <f>IF(ISERROR(VLOOKUP($S$2387,'TAR FIN'!$A$1:$O$95,15,0)),0,VLOOKUP($S$2387,'TAR FIN'!$A$1:$O$95,15,0))</f>
        <v>0</v>
      </c>
      <c r="W2387" s="6">
        <f>IF(ISERROR(VLOOKUP($T$2387,'TAR FIN'!$A$1:$O$95,15,0)),0,VLOOKUP($T$2387,'TAR FIN'!$A$1:$O$95,15,0))</f>
        <v>450.19</v>
      </c>
      <c r="X2387" s="6">
        <f>IF(ISERROR(VLOOKUP($U$2387,'TAR FIN'!$A$1:$O$95,15,0)),0,VLOOKUP($U$2387,'TAR FIN'!$A$1:$O$95,15,0))</f>
        <v>243.3</v>
      </c>
      <c r="Y2387" s="6"/>
      <c r="Z2387" s="6">
        <f ca="1">('TUSD BE'!$AM$53+'TUSD BF'!$AM$53+'TUSD CVA'!$AM$53)*1</f>
        <v>506.5198438752322</v>
      </c>
      <c r="AA2387" s="6">
        <f>('TE BE'!$AA$41+'TE BF'!$AA$41+'TE CVA'!$AA$41)*1</f>
        <v>297.20166373463735</v>
      </c>
      <c r="AB2387" s="6">
        <f>$K$2387*$V$2387</f>
        <v>0</v>
      </c>
      <c r="AC2387" s="6">
        <f>$M$2387*$W$2387</f>
        <v>943344.33284000005</v>
      </c>
      <c r="AD2387" s="6">
        <f>$O$2387*$X$2387</f>
        <v>509819.57880000008</v>
      </c>
      <c r="AE2387" s="6">
        <f>$K$2387*$Y$2387</f>
        <v>0</v>
      </c>
      <c r="AF2387" s="6">
        <f ca="1">$M$2387*$Z$2387</f>
        <v>1061379.9155705411</v>
      </c>
      <c r="AG2387" s="6">
        <f>$O$2387*$AA$2387</f>
        <v>622767.06544945354</v>
      </c>
    </row>
    <row r="2388" spans="1:33" ht="11.25" customHeight="1" x14ac:dyDescent="0.25">
      <c r="A2388" s="4" t="s">
        <v>27</v>
      </c>
      <c r="B2388" s="4" t="s">
        <v>41</v>
      </c>
      <c r="C2388" s="4" t="s">
        <v>23</v>
      </c>
      <c r="D2388" s="4" t="s">
        <v>42</v>
      </c>
      <c r="E2388" s="4" t="s">
        <v>25</v>
      </c>
      <c r="F2388" s="4" t="s">
        <v>25</v>
      </c>
      <c r="G2388" s="4" t="s">
        <v>25</v>
      </c>
      <c r="H2388" s="4" t="s">
        <v>25</v>
      </c>
      <c r="I2388" s="5">
        <v>44166</v>
      </c>
      <c r="J2388" s="6">
        <v>0</v>
      </c>
      <c r="K2388" s="6">
        <v>0</v>
      </c>
      <c r="L2388" s="6">
        <v>-358.95800000000003</v>
      </c>
      <c r="M2388" s="6">
        <v>-358.95800000000003</v>
      </c>
      <c r="N2388" s="6">
        <v>-358.95800000000003</v>
      </c>
      <c r="O2388" s="6">
        <v>-358.95800000000003</v>
      </c>
      <c r="P2388" s="6">
        <v>0</v>
      </c>
      <c r="Q2388" s="4" t="s">
        <v>26</v>
      </c>
      <c r="R2388" s="4">
        <v>0</v>
      </c>
      <c r="S2388" s="6">
        <v>0</v>
      </c>
      <c r="T2388" s="6">
        <v>72</v>
      </c>
      <c r="U2388" s="6">
        <v>78</v>
      </c>
      <c r="V2388" s="6">
        <f>IF(ISERROR(VLOOKUP($S$2388,'TAR FIN'!$A$1:$O$95,15,0)),0,VLOOKUP($S$2388,'TAR FIN'!$A$1:$O$95,15,0))</f>
        <v>0</v>
      </c>
      <c r="W2388" s="6">
        <f>IF(ISERROR(VLOOKUP($T$2388,'TAR FIN'!$A$1:$O$95,15,0)),0,VLOOKUP($T$2388,'TAR FIN'!$A$1:$O$95,15,0))</f>
        <v>450.19</v>
      </c>
      <c r="X2388" s="6">
        <f>IF(ISERROR(VLOOKUP($U$2388,'TAR FIN'!$A$1:$O$95,15,0)),0,VLOOKUP($U$2388,'TAR FIN'!$A$1:$O$95,15,0))</f>
        <v>243.3</v>
      </c>
      <c r="Y2388" s="6"/>
      <c r="Z2388" s="6">
        <f ca="1">('TUSD BE'!$AM$53+'TUSD BF'!$AM$53+'TUSD CVA'!$AM$53)*1</f>
        <v>506.5198438752322</v>
      </c>
      <c r="AA2388" s="6">
        <f>('TE BE'!$AA$41+'TE BF'!$AA$41+'TE CVA'!$AA$41)*1</f>
        <v>297.20166373463735</v>
      </c>
      <c r="AB2388" s="6">
        <f>$K$2388*$V$2388</f>
        <v>0</v>
      </c>
      <c r="AC2388" s="6">
        <f>$M$2388*$W$2388</f>
        <v>-161599.30202</v>
      </c>
      <c r="AD2388" s="6">
        <f>$O$2388*$X$2388</f>
        <v>-87334.481400000004</v>
      </c>
      <c r="AE2388" s="6">
        <f>$K$2388*$Y$2388</f>
        <v>0</v>
      </c>
      <c r="AF2388" s="6">
        <f ca="1">$M$2388*$Z$2388</f>
        <v>-181819.3501177656</v>
      </c>
      <c r="AG2388" s="6">
        <f>$O$2388*$AA$2388</f>
        <v>-106682.91481085797</v>
      </c>
    </row>
    <row r="2389" spans="1:33" ht="11.25" customHeight="1" x14ac:dyDescent="0.25">
      <c r="A2389" s="4" t="s">
        <v>28</v>
      </c>
      <c r="B2389" s="4" t="s">
        <v>41</v>
      </c>
      <c r="C2389" s="4" t="s">
        <v>23</v>
      </c>
      <c r="D2389" s="4" t="s">
        <v>42</v>
      </c>
      <c r="E2389" s="4" t="s">
        <v>25</v>
      </c>
      <c r="F2389" s="4" t="s">
        <v>25</v>
      </c>
      <c r="G2389" s="4" t="s">
        <v>25</v>
      </c>
      <c r="H2389" s="4" t="s">
        <v>25</v>
      </c>
      <c r="I2389" s="5">
        <v>44166</v>
      </c>
      <c r="J2389" s="6">
        <v>0</v>
      </c>
      <c r="K2389" s="6">
        <v>0</v>
      </c>
      <c r="L2389" s="6">
        <v>1019.987</v>
      </c>
      <c r="M2389" s="6">
        <v>1019.987</v>
      </c>
      <c r="N2389" s="6">
        <v>1019.987</v>
      </c>
      <c r="O2389" s="6">
        <v>1019.987</v>
      </c>
      <c r="P2389" s="6">
        <v>756</v>
      </c>
      <c r="Q2389" s="4" t="s">
        <v>26</v>
      </c>
      <c r="R2389" s="4">
        <v>0</v>
      </c>
      <c r="S2389" s="6">
        <v>0</v>
      </c>
      <c r="T2389" s="6">
        <v>72</v>
      </c>
      <c r="U2389" s="6">
        <v>78</v>
      </c>
      <c r="V2389" s="6">
        <f>IF(ISERROR(VLOOKUP($S$2389,'TAR FIN'!$A$1:$O$95,15,0)),0,VLOOKUP($S$2389,'TAR FIN'!$A$1:$O$95,15,0))</f>
        <v>0</v>
      </c>
      <c r="W2389" s="6">
        <f>IF(ISERROR(VLOOKUP($T$2389,'TAR FIN'!$A$1:$O$95,15,0)),0,VLOOKUP($T$2389,'TAR FIN'!$A$1:$O$95,15,0))</f>
        <v>450.19</v>
      </c>
      <c r="X2389" s="6">
        <f>IF(ISERROR(VLOOKUP($U$2389,'TAR FIN'!$A$1:$O$95,15,0)),0,VLOOKUP($U$2389,'TAR FIN'!$A$1:$O$95,15,0))</f>
        <v>243.3</v>
      </c>
      <c r="Y2389" s="6"/>
      <c r="Z2389" s="6">
        <f ca="1">('TUSD BE'!$AM$53+'TUSD BF'!$AM$53+'TUSD CVA'!$AM$53)*1</f>
        <v>506.5198438752322</v>
      </c>
      <c r="AA2389" s="6">
        <f>('TE BE'!$AA$41+'TE BF'!$AA$41+'TE CVA'!$AA$41)*1</f>
        <v>297.20166373463735</v>
      </c>
      <c r="AB2389" s="6">
        <f>$K$2389*$V$2389</f>
        <v>0</v>
      </c>
      <c r="AC2389" s="6">
        <f>$M$2389*$W$2389</f>
        <v>459187.94753</v>
      </c>
      <c r="AD2389" s="6">
        <f>$O$2389*$X$2389</f>
        <v>248162.8371</v>
      </c>
      <c r="AE2389" s="6">
        <f>$K$2389*$Y$2389</f>
        <v>0</v>
      </c>
      <c r="AF2389" s="6">
        <f ca="1">$M$2389*$Z$2389</f>
        <v>516643.65599476645</v>
      </c>
      <c r="AG2389" s="6">
        <f>$O$2389*$AA$2389</f>
        <v>303141.83338770154</v>
      </c>
    </row>
    <row r="2390" spans="1:33" ht="11.25" customHeight="1" x14ac:dyDescent="0.25">
      <c r="A2390" s="4" t="s">
        <v>29</v>
      </c>
      <c r="B2390" s="4" t="s">
        <v>41</v>
      </c>
      <c r="C2390" s="4" t="s">
        <v>23</v>
      </c>
      <c r="D2390" s="4" t="s">
        <v>42</v>
      </c>
      <c r="E2390" s="4" t="s">
        <v>25</v>
      </c>
      <c r="F2390" s="4" t="s">
        <v>25</v>
      </c>
      <c r="G2390" s="4" t="s">
        <v>25</v>
      </c>
      <c r="H2390" s="4" t="s">
        <v>25</v>
      </c>
      <c r="I2390" s="5">
        <v>44166</v>
      </c>
      <c r="J2390" s="6">
        <v>0</v>
      </c>
      <c r="K2390" s="6">
        <v>0</v>
      </c>
      <c r="L2390" s="6">
        <v>-15.401</v>
      </c>
      <c r="M2390" s="6">
        <v>-15.401</v>
      </c>
      <c r="N2390" s="6">
        <v>-15.401</v>
      </c>
      <c r="O2390" s="6">
        <v>-15.401</v>
      </c>
      <c r="P2390" s="6">
        <v>0</v>
      </c>
      <c r="Q2390" s="4" t="s">
        <v>26</v>
      </c>
      <c r="R2390" s="4">
        <v>0</v>
      </c>
      <c r="S2390" s="6">
        <v>0</v>
      </c>
      <c r="T2390" s="6">
        <v>72</v>
      </c>
      <c r="U2390" s="6">
        <v>78</v>
      </c>
      <c r="V2390" s="6">
        <f>IF(ISERROR(VLOOKUP($S$2390,'TAR FIN'!$A$1:$O$95,15,0)),0,VLOOKUP($S$2390,'TAR FIN'!$A$1:$O$95,15,0))</f>
        <v>0</v>
      </c>
      <c r="W2390" s="6">
        <f>IF(ISERROR(VLOOKUP($T$2390,'TAR FIN'!$A$1:$O$95,15,0)),0,VLOOKUP($T$2390,'TAR FIN'!$A$1:$O$95,15,0))</f>
        <v>450.19</v>
      </c>
      <c r="X2390" s="6">
        <f>IF(ISERROR(VLOOKUP($U$2390,'TAR FIN'!$A$1:$O$95,15,0)),0,VLOOKUP($U$2390,'TAR FIN'!$A$1:$O$95,15,0))</f>
        <v>243.3</v>
      </c>
      <c r="Y2390" s="6"/>
      <c r="Z2390" s="6">
        <f ca="1">('TUSD BE'!$AM$53+'TUSD BF'!$AM$53+'TUSD CVA'!$AM$53)*1</f>
        <v>506.5198438752322</v>
      </c>
      <c r="AA2390" s="6">
        <f>('TE BE'!$AA$41+'TE BF'!$AA$41+'TE CVA'!$AA$41)*1</f>
        <v>297.20166373463735</v>
      </c>
      <c r="AB2390" s="6">
        <f>$K$2390*$V$2390</f>
        <v>0</v>
      </c>
      <c r="AC2390" s="6">
        <f>$M$2390*$W$2390</f>
        <v>-6933.37619</v>
      </c>
      <c r="AD2390" s="6">
        <f>$O$2390*$X$2390</f>
        <v>-3747.0633000000003</v>
      </c>
      <c r="AE2390" s="6">
        <f>$K$2390*$Y$2390</f>
        <v>0</v>
      </c>
      <c r="AF2390" s="6">
        <f ca="1">$M$2390*$Z$2390</f>
        <v>-7800.9121155224511</v>
      </c>
      <c r="AG2390" s="6">
        <f>$O$2390*$AA$2390</f>
        <v>-4577.2028231771501</v>
      </c>
    </row>
    <row r="2391" spans="1:33" ht="11.25" customHeight="1" x14ac:dyDescent="0.25">
      <c r="A2391" s="4" t="s">
        <v>30</v>
      </c>
      <c r="B2391" s="4" t="s">
        <v>41</v>
      </c>
      <c r="C2391" s="4" t="s">
        <v>23</v>
      </c>
      <c r="D2391" s="4" t="s">
        <v>42</v>
      </c>
      <c r="E2391" s="4" t="s">
        <v>25</v>
      </c>
      <c r="F2391" s="4" t="s">
        <v>25</v>
      </c>
      <c r="G2391" s="4" t="s">
        <v>25</v>
      </c>
      <c r="H2391" s="4" t="s">
        <v>25</v>
      </c>
      <c r="I2391" s="5">
        <v>44166</v>
      </c>
      <c r="J2391" s="6">
        <v>0</v>
      </c>
      <c r="K2391" s="6">
        <v>0</v>
      </c>
      <c r="L2391" s="6">
        <v>38.951000000000001</v>
      </c>
      <c r="M2391" s="6">
        <v>38.951000000000001</v>
      </c>
      <c r="N2391" s="6">
        <v>38.951000000000001</v>
      </c>
      <c r="O2391" s="6">
        <v>38.951000000000001</v>
      </c>
      <c r="P2391" s="6">
        <v>12</v>
      </c>
      <c r="Q2391" s="4" t="s">
        <v>26</v>
      </c>
      <c r="R2391" s="4">
        <v>0</v>
      </c>
      <c r="S2391" s="6">
        <v>0</v>
      </c>
      <c r="T2391" s="6">
        <v>72</v>
      </c>
      <c r="U2391" s="6">
        <v>78</v>
      </c>
      <c r="V2391" s="6">
        <f>IF(ISERROR(VLOOKUP($S$2391,'TAR FIN'!$A$1:$O$95,15,0)),0,VLOOKUP($S$2391,'TAR FIN'!$A$1:$O$95,15,0))</f>
        <v>0</v>
      </c>
      <c r="W2391" s="6">
        <f>IF(ISERROR(VLOOKUP($T$2391,'TAR FIN'!$A$1:$O$95,15,0)),0,VLOOKUP($T$2391,'TAR FIN'!$A$1:$O$95,15,0))</f>
        <v>450.19</v>
      </c>
      <c r="X2391" s="6">
        <f>IF(ISERROR(VLOOKUP($U$2391,'TAR FIN'!$A$1:$O$95,15,0)),0,VLOOKUP($U$2391,'TAR FIN'!$A$1:$O$95,15,0))</f>
        <v>243.3</v>
      </c>
      <c r="Y2391" s="6"/>
      <c r="Z2391" s="6">
        <f ca="1">('TUSD BE'!$AM$53+'TUSD BF'!$AM$53+'TUSD CVA'!$AM$53)*1</f>
        <v>506.5198438752322</v>
      </c>
      <c r="AA2391" s="6">
        <f>('TE BE'!$AA$41+'TE BF'!$AA$41+'TE CVA'!$AA$41)*1</f>
        <v>297.20166373463735</v>
      </c>
      <c r="AB2391" s="6">
        <f>$K$2391*$V$2391</f>
        <v>0</v>
      </c>
      <c r="AC2391" s="6">
        <f>$M$2391*$W$2391</f>
        <v>17535.350689999999</v>
      </c>
      <c r="AD2391" s="6">
        <f>$O$2391*$X$2391</f>
        <v>9476.7782999999999</v>
      </c>
      <c r="AE2391" s="6">
        <f>$K$2391*$Y$2391</f>
        <v>0</v>
      </c>
      <c r="AF2391" s="6">
        <f ca="1">$M$2391*$Z$2391</f>
        <v>19729.454438784171</v>
      </c>
      <c r="AG2391" s="6">
        <f>$O$2391*$AA$2391</f>
        <v>11576.30200412786</v>
      </c>
    </row>
    <row r="2392" spans="1:33" ht="11.25" customHeight="1" x14ac:dyDescent="0.25">
      <c r="A2392" s="4" t="s">
        <v>21</v>
      </c>
      <c r="B2392" s="4" t="s">
        <v>41</v>
      </c>
      <c r="C2392" s="4" t="s">
        <v>23</v>
      </c>
      <c r="D2392" s="4" t="s">
        <v>42</v>
      </c>
      <c r="E2392" s="4" t="s">
        <v>25</v>
      </c>
      <c r="F2392" s="4" t="s">
        <v>25</v>
      </c>
      <c r="G2392" s="4" t="s">
        <v>25</v>
      </c>
      <c r="H2392" s="4" t="s">
        <v>25</v>
      </c>
      <c r="I2392" s="5">
        <v>44197</v>
      </c>
      <c r="J2392" s="6">
        <v>0</v>
      </c>
      <c r="K2392" s="6">
        <v>0</v>
      </c>
      <c r="L2392" s="6">
        <v>1786.2080000000001</v>
      </c>
      <c r="M2392" s="6">
        <v>1786.2080000000001</v>
      </c>
      <c r="N2392" s="6">
        <v>1786.2080000000001</v>
      </c>
      <c r="O2392" s="6">
        <v>1786.2080000000001</v>
      </c>
      <c r="P2392" s="6">
        <v>1294</v>
      </c>
      <c r="Q2392" s="4" t="s">
        <v>26</v>
      </c>
      <c r="R2392" s="4">
        <v>0</v>
      </c>
      <c r="S2392" s="6">
        <v>0</v>
      </c>
      <c r="T2392" s="6">
        <v>72</v>
      </c>
      <c r="U2392" s="6">
        <v>78</v>
      </c>
      <c r="V2392" s="6">
        <f>IF(ISERROR(VLOOKUP($S$2392,'TAR FIN'!$A$1:$O$95,15,0)),0,VLOOKUP($S$2392,'TAR FIN'!$A$1:$O$95,15,0))</f>
        <v>0</v>
      </c>
      <c r="W2392" s="6">
        <f>IF(ISERROR(VLOOKUP($T$2392,'TAR FIN'!$A$1:$O$95,15,0)),0,VLOOKUP($T$2392,'TAR FIN'!$A$1:$O$95,15,0))</f>
        <v>450.19</v>
      </c>
      <c r="X2392" s="6">
        <f>IF(ISERROR(VLOOKUP($U$2392,'TAR FIN'!$A$1:$O$95,15,0)),0,VLOOKUP($U$2392,'TAR FIN'!$A$1:$O$95,15,0))</f>
        <v>243.3</v>
      </c>
      <c r="Y2392" s="6"/>
      <c r="Z2392" s="6">
        <f ca="1">('TUSD BE'!$AM$53+'TUSD BF'!$AM$53+'TUSD CVA'!$AM$53)*1</f>
        <v>506.5198438752322</v>
      </c>
      <c r="AA2392" s="6">
        <f>('TE BE'!$AA$41+'TE BF'!$AA$41+'TE CVA'!$AA$41)*1</f>
        <v>297.20166373463735</v>
      </c>
      <c r="AB2392" s="6">
        <f>$K$2392*$V$2392</f>
        <v>0</v>
      </c>
      <c r="AC2392" s="6">
        <f>$M$2392*$W$2392</f>
        <v>804132.97952000005</v>
      </c>
      <c r="AD2392" s="6">
        <f>$O$2392*$X$2392</f>
        <v>434584.40640000004</v>
      </c>
      <c r="AE2392" s="6">
        <f>$K$2392*$Y$2392</f>
        <v>0</v>
      </c>
      <c r="AF2392" s="6">
        <f ca="1">$M$2392*$Z$2392</f>
        <v>904749.79728869081</v>
      </c>
      <c r="AG2392" s="6">
        <f>$O$2392*$AA$2392</f>
        <v>530863.98937611911</v>
      </c>
    </row>
    <row r="2393" spans="1:33" ht="11.25" customHeight="1" x14ac:dyDescent="0.25">
      <c r="A2393" s="4" t="s">
        <v>27</v>
      </c>
      <c r="B2393" s="4" t="s">
        <v>41</v>
      </c>
      <c r="C2393" s="4" t="s">
        <v>23</v>
      </c>
      <c r="D2393" s="4" t="s">
        <v>42</v>
      </c>
      <c r="E2393" s="4" t="s">
        <v>25</v>
      </c>
      <c r="F2393" s="4" t="s">
        <v>25</v>
      </c>
      <c r="G2393" s="4" t="s">
        <v>25</v>
      </c>
      <c r="H2393" s="4" t="s">
        <v>25</v>
      </c>
      <c r="I2393" s="5">
        <v>44197</v>
      </c>
      <c r="J2393" s="6">
        <v>0</v>
      </c>
      <c r="K2393" s="6">
        <v>0</v>
      </c>
      <c r="L2393" s="6">
        <v>-53.73</v>
      </c>
      <c r="M2393" s="6">
        <v>-53.73</v>
      </c>
      <c r="N2393" s="6">
        <v>-53.73</v>
      </c>
      <c r="O2393" s="6">
        <v>-53.73</v>
      </c>
      <c r="P2393" s="6">
        <v>0</v>
      </c>
      <c r="Q2393" s="4" t="s">
        <v>26</v>
      </c>
      <c r="R2393" s="4">
        <v>0</v>
      </c>
      <c r="S2393" s="6">
        <v>0</v>
      </c>
      <c r="T2393" s="6">
        <v>72</v>
      </c>
      <c r="U2393" s="6">
        <v>78</v>
      </c>
      <c r="V2393" s="6">
        <f>IF(ISERROR(VLOOKUP($S$2393,'TAR FIN'!$A$1:$O$95,15,0)),0,VLOOKUP($S$2393,'TAR FIN'!$A$1:$O$95,15,0))</f>
        <v>0</v>
      </c>
      <c r="W2393" s="6">
        <f>IF(ISERROR(VLOOKUP($T$2393,'TAR FIN'!$A$1:$O$95,15,0)),0,VLOOKUP($T$2393,'TAR FIN'!$A$1:$O$95,15,0))</f>
        <v>450.19</v>
      </c>
      <c r="X2393" s="6">
        <f>IF(ISERROR(VLOOKUP($U$2393,'TAR FIN'!$A$1:$O$95,15,0)),0,VLOOKUP($U$2393,'TAR FIN'!$A$1:$O$95,15,0))</f>
        <v>243.3</v>
      </c>
      <c r="Y2393" s="6"/>
      <c r="Z2393" s="6">
        <f ca="1">('TUSD BE'!$AM$53+'TUSD BF'!$AM$53+'TUSD CVA'!$AM$53)*1</f>
        <v>506.5198438752322</v>
      </c>
      <c r="AA2393" s="6">
        <f>('TE BE'!$AA$41+'TE BF'!$AA$41+'TE CVA'!$AA$41)*1</f>
        <v>297.20166373463735</v>
      </c>
      <c r="AB2393" s="6">
        <f>$K$2393*$V$2393</f>
        <v>0</v>
      </c>
      <c r="AC2393" s="6">
        <f>$M$2393*$W$2393</f>
        <v>-24188.708699999999</v>
      </c>
      <c r="AD2393" s="6">
        <f>$O$2393*$X$2393</f>
        <v>-13072.509</v>
      </c>
      <c r="AE2393" s="6">
        <f>$K$2393*$Y$2393</f>
        <v>0</v>
      </c>
      <c r="AF2393" s="6">
        <f ca="1">$M$2393*$Z$2393</f>
        <v>-27215.311211416225</v>
      </c>
      <c r="AG2393" s="6">
        <f>$O$2393*$AA$2393</f>
        <v>-15968.645392462064</v>
      </c>
    </row>
    <row r="2394" spans="1:33" ht="11.25" customHeight="1" x14ac:dyDescent="0.25">
      <c r="A2394" s="4" t="s">
        <v>28</v>
      </c>
      <c r="B2394" s="4" t="s">
        <v>41</v>
      </c>
      <c r="C2394" s="4" t="s">
        <v>23</v>
      </c>
      <c r="D2394" s="4" t="s">
        <v>42</v>
      </c>
      <c r="E2394" s="4" t="s">
        <v>25</v>
      </c>
      <c r="F2394" s="4" t="s">
        <v>25</v>
      </c>
      <c r="G2394" s="4" t="s">
        <v>25</v>
      </c>
      <c r="H2394" s="4" t="s">
        <v>25</v>
      </c>
      <c r="I2394" s="5">
        <v>44197</v>
      </c>
      <c r="J2394" s="6">
        <v>0</v>
      </c>
      <c r="K2394" s="6">
        <v>0</v>
      </c>
      <c r="L2394" s="6">
        <v>899.77099999999996</v>
      </c>
      <c r="M2394" s="6">
        <v>899.77099999999996</v>
      </c>
      <c r="N2394" s="6">
        <v>899.77099999999996</v>
      </c>
      <c r="O2394" s="6">
        <v>899.77099999999996</v>
      </c>
      <c r="P2394" s="6">
        <v>756</v>
      </c>
      <c r="Q2394" s="4" t="s">
        <v>26</v>
      </c>
      <c r="R2394" s="4">
        <v>0</v>
      </c>
      <c r="S2394" s="6">
        <v>0</v>
      </c>
      <c r="T2394" s="6">
        <v>72</v>
      </c>
      <c r="U2394" s="6">
        <v>78</v>
      </c>
      <c r="V2394" s="6">
        <f>IF(ISERROR(VLOOKUP($S$2394,'TAR FIN'!$A$1:$O$95,15,0)),0,VLOOKUP($S$2394,'TAR FIN'!$A$1:$O$95,15,0))</f>
        <v>0</v>
      </c>
      <c r="W2394" s="6">
        <f>IF(ISERROR(VLOOKUP($T$2394,'TAR FIN'!$A$1:$O$95,15,0)),0,VLOOKUP($T$2394,'TAR FIN'!$A$1:$O$95,15,0))</f>
        <v>450.19</v>
      </c>
      <c r="X2394" s="6">
        <f>IF(ISERROR(VLOOKUP($U$2394,'TAR FIN'!$A$1:$O$95,15,0)),0,VLOOKUP($U$2394,'TAR FIN'!$A$1:$O$95,15,0))</f>
        <v>243.3</v>
      </c>
      <c r="Y2394" s="6"/>
      <c r="Z2394" s="6">
        <f ca="1">('TUSD BE'!$AM$53+'TUSD BF'!$AM$53+'TUSD CVA'!$AM$53)*1</f>
        <v>506.5198438752322</v>
      </c>
      <c r="AA2394" s="6">
        <f>('TE BE'!$AA$41+'TE BF'!$AA$41+'TE CVA'!$AA$41)*1</f>
        <v>297.20166373463735</v>
      </c>
      <c r="AB2394" s="6">
        <f>$K$2394*$V$2394</f>
        <v>0</v>
      </c>
      <c r="AC2394" s="6">
        <f>$M$2394*$W$2394</f>
        <v>405067.90648999996</v>
      </c>
      <c r="AD2394" s="6">
        <f>$O$2394*$X$2394</f>
        <v>218914.2843</v>
      </c>
      <c r="AE2394" s="6">
        <f>$K$2394*$Y$2394</f>
        <v>0</v>
      </c>
      <c r="AF2394" s="6">
        <f ca="1">$M$2394*$Z$2394</f>
        <v>455751.86644346151</v>
      </c>
      <c r="AG2394" s="6">
        <f>$O$2394*$AA$2394</f>
        <v>267413.43818017835</v>
      </c>
    </row>
    <row r="2395" spans="1:33" ht="11.25" customHeight="1" x14ac:dyDescent="0.25">
      <c r="A2395" s="4" t="s">
        <v>29</v>
      </c>
      <c r="B2395" s="4" t="s">
        <v>41</v>
      </c>
      <c r="C2395" s="4" t="s">
        <v>23</v>
      </c>
      <c r="D2395" s="4" t="s">
        <v>42</v>
      </c>
      <c r="E2395" s="4" t="s">
        <v>25</v>
      </c>
      <c r="F2395" s="4" t="s">
        <v>25</v>
      </c>
      <c r="G2395" s="4" t="s">
        <v>25</v>
      </c>
      <c r="H2395" s="4" t="s">
        <v>25</v>
      </c>
      <c r="I2395" s="5">
        <v>44197</v>
      </c>
      <c r="J2395" s="6">
        <v>0</v>
      </c>
      <c r="K2395" s="6">
        <v>0</v>
      </c>
      <c r="L2395" s="6">
        <v>-35.488</v>
      </c>
      <c r="M2395" s="6">
        <v>-35.488</v>
      </c>
      <c r="N2395" s="6">
        <v>-35.488</v>
      </c>
      <c r="O2395" s="6">
        <v>-35.488</v>
      </c>
      <c r="P2395" s="6">
        <v>0</v>
      </c>
      <c r="Q2395" s="4" t="s">
        <v>26</v>
      </c>
      <c r="R2395" s="4">
        <v>0</v>
      </c>
      <c r="S2395" s="6">
        <v>0</v>
      </c>
      <c r="T2395" s="6">
        <v>72</v>
      </c>
      <c r="U2395" s="6">
        <v>78</v>
      </c>
      <c r="V2395" s="6">
        <f>IF(ISERROR(VLOOKUP($S$2395,'TAR FIN'!$A$1:$O$95,15,0)),0,VLOOKUP($S$2395,'TAR FIN'!$A$1:$O$95,15,0))</f>
        <v>0</v>
      </c>
      <c r="W2395" s="6">
        <f>IF(ISERROR(VLOOKUP($T$2395,'TAR FIN'!$A$1:$O$95,15,0)),0,VLOOKUP($T$2395,'TAR FIN'!$A$1:$O$95,15,0))</f>
        <v>450.19</v>
      </c>
      <c r="X2395" s="6">
        <f>IF(ISERROR(VLOOKUP($U$2395,'TAR FIN'!$A$1:$O$95,15,0)),0,VLOOKUP($U$2395,'TAR FIN'!$A$1:$O$95,15,0))</f>
        <v>243.3</v>
      </c>
      <c r="Y2395" s="6"/>
      <c r="Z2395" s="6">
        <f ca="1">('TUSD BE'!$AM$53+'TUSD BF'!$AM$53+'TUSD CVA'!$AM$53)*1</f>
        <v>506.5198438752322</v>
      </c>
      <c r="AA2395" s="6">
        <f>('TE BE'!$AA$41+'TE BF'!$AA$41+'TE CVA'!$AA$41)*1</f>
        <v>297.20166373463735</v>
      </c>
      <c r="AB2395" s="6">
        <f>$K$2395*$V$2395</f>
        <v>0</v>
      </c>
      <c r="AC2395" s="6">
        <f>$M$2395*$W$2395</f>
        <v>-15976.342720000001</v>
      </c>
      <c r="AD2395" s="6">
        <f>$O$2395*$X$2395</f>
        <v>-8634.2304000000004</v>
      </c>
      <c r="AE2395" s="6">
        <f>$K$2395*$Y$2395</f>
        <v>0</v>
      </c>
      <c r="AF2395" s="6">
        <f ca="1">$M$2395*$Z$2395</f>
        <v>-17975.376219444239</v>
      </c>
      <c r="AG2395" s="6">
        <f>$O$2395*$AA$2395</f>
        <v>-10547.092642614811</v>
      </c>
    </row>
    <row r="2396" spans="1:33" ht="11.25" customHeight="1" x14ac:dyDescent="0.25">
      <c r="A2396" s="4" t="s">
        <v>30</v>
      </c>
      <c r="B2396" s="4" t="s">
        <v>41</v>
      </c>
      <c r="C2396" s="4" t="s">
        <v>23</v>
      </c>
      <c r="D2396" s="4" t="s">
        <v>42</v>
      </c>
      <c r="E2396" s="4" t="s">
        <v>25</v>
      </c>
      <c r="F2396" s="4" t="s">
        <v>25</v>
      </c>
      <c r="G2396" s="4" t="s">
        <v>25</v>
      </c>
      <c r="H2396" s="4" t="s">
        <v>25</v>
      </c>
      <c r="I2396" s="5">
        <v>44197</v>
      </c>
      <c r="J2396" s="6">
        <v>0</v>
      </c>
      <c r="K2396" s="6">
        <v>0</v>
      </c>
      <c r="L2396" s="6">
        <v>38.348999999999997</v>
      </c>
      <c r="M2396" s="6">
        <v>38.348999999999997</v>
      </c>
      <c r="N2396" s="6">
        <v>38.348999999999997</v>
      </c>
      <c r="O2396" s="6">
        <v>38.348999999999997</v>
      </c>
      <c r="P2396" s="6">
        <v>12</v>
      </c>
      <c r="Q2396" s="4" t="s">
        <v>26</v>
      </c>
      <c r="R2396" s="4">
        <v>0</v>
      </c>
      <c r="S2396" s="6">
        <v>0</v>
      </c>
      <c r="T2396" s="6">
        <v>72</v>
      </c>
      <c r="U2396" s="6">
        <v>78</v>
      </c>
      <c r="V2396" s="6">
        <f>IF(ISERROR(VLOOKUP($S$2396,'TAR FIN'!$A$1:$O$95,15,0)),0,VLOOKUP($S$2396,'TAR FIN'!$A$1:$O$95,15,0))</f>
        <v>0</v>
      </c>
      <c r="W2396" s="6">
        <f>IF(ISERROR(VLOOKUP($T$2396,'TAR FIN'!$A$1:$O$95,15,0)),0,VLOOKUP($T$2396,'TAR FIN'!$A$1:$O$95,15,0))</f>
        <v>450.19</v>
      </c>
      <c r="X2396" s="6">
        <f>IF(ISERROR(VLOOKUP($U$2396,'TAR FIN'!$A$1:$O$95,15,0)),0,VLOOKUP($U$2396,'TAR FIN'!$A$1:$O$95,15,0))</f>
        <v>243.3</v>
      </c>
      <c r="Y2396" s="6"/>
      <c r="Z2396" s="6">
        <f ca="1">('TUSD BE'!$AM$53+'TUSD BF'!$AM$53+'TUSD CVA'!$AM$53)*1</f>
        <v>506.5198438752322</v>
      </c>
      <c r="AA2396" s="6">
        <f>('TE BE'!$AA$41+'TE BF'!$AA$41+'TE CVA'!$AA$41)*1</f>
        <v>297.20166373463735</v>
      </c>
      <c r="AB2396" s="6">
        <f>$K$2396*$V$2396</f>
        <v>0</v>
      </c>
      <c r="AC2396" s="6">
        <f>$M$2396*$W$2396</f>
        <v>17264.336309999999</v>
      </c>
      <c r="AD2396" s="6">
        <f>$O$2396*$X$2396</f>
        <v>9330.3117000000002</v>
      </c>
      <c r="AE2396" s="6">
        <f>$K$2396*$Y$2396</f>
        <v>0</v>
      </c>
      <c r="AF2396" s="6">
        <f ca="1">$M$2396*$Z$2396</f>
        <v>19424.529492771278</v>
      </c>
      <c r="AG2396" s="6">
        <f>$O$2396*$AA$2396</f>
        <v>11397.386602559607</v>
      </c>
    </row>
    <row r="2397" spans="1:33" ht="11.25" customHeight="1" x14ac:dyDescent="0.25">
      <c r="A2397" s="4" t="s">
        <v>21</v>
      </c>
      <c r="B2397" s="4" t="s">
        <v>41</v>
      </c>
      <c r="C2397" s="4" t="s">
        <v>23</v>
      </c>
      <c r="D2397" s="4" t="s">
        <v>42</v>
      </c>
      <c r="E2397" s="4" t="s">
        <v>25</v>
      </c>
      <c r="F2397" s="4" t="s">
        <v>25</v>
      </c>
      <c r="G2397" s="4" t="s">
        <v>25</v>
      </c>
      <c r="H2397" s="4" t="s">
        <v>25</v>
      </c>
      <c r="I2397" s="5">
        <v>44228</v>
      </c>
      <c r="J2397" s="6">
        <v>0</v>
      </c>
      <c r="K2397" s="6">
        <v>0</v>
      </c>
      <c r="L2397" s="6">
        <v>1647.1030000000001</v>
      </c>
      <c r="M2397" s="6">
        <v>1647.1030000000001</v>
      </c>
      <c r="N2397" s="6">
        <v>1647.1030000000001</v>
      </c>
      <c r="O2397" s="6">
        <v>1647.1030000000001</v>
      </c>
      <c r="P2397" s="6">
        <v>1284</v>
      </c>
      <c r="Q2397" s="4" t="s">
        <v>26</v>
      </c>
      <c r="R2397" s="4">
        <v>0</v>
      </c>
      <c r="S2397" s="6">
        <v>0</v>
      </c>
      <c r="T2397" s="6">
        <v>72</v>
      </c>
      <c r="U2397" s="6">
        <v>78</v>
      </c>
      <c r="V2397" s="6">
        <f>IF(ISERROR(VLOOKUP($S$2397,'TAR FIN'!$A$1:$O$95,15,0)),0,VLOOKUP($S$2397,'TAR FIN'!$A$1:$O$95,15,0))</f>
        <v>0</v>
      </c>
      <c r="W2397" s="6">
        <f>IF(ISERROR(VLOOKUP($T$2397,'TAR FIN'!$A$1:$O$95,15,0)),0,VLOOKUP($T$2397,'TAR FIN'!$A$1:$O$95,15,0))</f>
        <v>450.19</v>
      </c>
      <c r="X2397" s="6">
        <f>IF(ISERROR(VLOOKUP($U$2397,'TAR FIN'!$A$1:$O$95,15,0)),0,VLOOKUP($U$2397,'TAR FIN'!$A$1:$O$95,15,0))</f>
        <v>243.3</v>
      </c>
      <c r="Y2397" s="6"/>
      <c r="Z2397" s="6">
        <f ca="1">('TUSD BE'!$AM$53+'TUSD BF'!$AM$53+'TUSD CVA'!$AM$53)*1</f>
        <v>506.5198438752322</v>
      </c>
      <c r="AA2397" s="6">
        <f>('TE BE'!$AA$41+'TE BF'!$AA$41+'TE CVA'!$AA$41)*1</f>
        <v>297.20166373463735</v>
      </c>
      <c r="AB2397" s="6">
        <f>$K$2397*$V$2397</f>
        <v>0</v>
      </c>
      <c r="AC2397" s="6">
        <f>$M$2397*$W$2397</f>
        <v>741509.29957000003</v>
      </c>
      <c r="AD2397" s="6">
        <f>$O$2397*$X$2397</f>
        <v>400740.15990000003</v>
      </c>
      <c r="AE2397" s="6">
        <f>$K$2397*$Y$2397</f>
        <v>0</v>
      </c>
      <c r="AF2397" s="6">
        <f ca="1">$M$2397*$Z$2397</f>
        <v>834290.35440642666</v>
      </c>
      <c r="AG2397" s="6">
        <f>$O$2397*$AA$2397</f>
        <v>489521.7519423124</v>
      </c>
    </row>
    <row r="2398" spans="1:33" ht="11.25" customHeight="1" x14ac:dyDescent="0.25">
      <c r="A2398" s="4" t="s">
        <v>27</v>
      </c>
      <c r="B2398" s="4" t="s">
        <v>41</v>
      </c>
      <c r="C2398" s="4" t="s">
        <v>23</v>
      </c>
      <c r="D2398" s="4" t="s">
        <v>42</v>
      </c>
      <c r="E2398" s="4" t="s">
        <v>25</v>
      </c>
      <c r="F2398" s="4" t="s">
        <v>25</v>
      </c>
      <c r="G2398" s="4" t="s">
        <v>25</v>
      </c>
      <c r="H2398" s="4" t="s">
        <v>25</v>
      </c>
      <c r="I2398" s="5">
        <v>44228</v>
      </c>
      <c r="J2398" s="6">
        <v>0</v>
      </c>
      <c r="K2398" s="6">
        <v>0</v>
      </c>
      <c r="L2398" s="6">
        <v>-174.26400000000001</v>
      </c>
      <c r="M2398" s="6">
        <v>-174.26400000000001</v>
      </c>
      <c r="N2398" s="6">
        <v>-174.26400000000001</v>
      </c>
      <c r="O2398" s="6">
        <v>-174.26400000000001</v>
      </c>
      <c r="P2398" s="6">
        <v>0</v>
      </c>
      <c r="Q2398" s="4" t="s">
        <v>26</v>
      </c>
      <c r="R2398" s="4">
        <v>0</v>
      </c>
      <c r="S2398" s="6">
        <v>0</v>
      </c>
      <c r="T2398" s="6">
        <v>72</v>
      </c>
      <c r="U2398" s="6">
        <v>78</v>
      </c>
      <c r="V2398" s="6">
        <f>IF(ISERROR(VLOOKUP($S$2398,'TAR FIN'!$A$1:$O$95,15,0)),0,VLOOKUP($S$2398,'TAR FIN'!$A$1:$O$95,15,0))</f>
        <v>0</v>
      </c>
      <c r="W2398" s="6">
        <f>IF(ISERROR(VLOOKUP($T$2398,'TAR FIN'!$A$1:$O$95,15,0)),0,VLOOKUP($T$2398,'TAR FIN'!$A$1:$O$95,15,0))</f>
        <v>450.19</v>
      </c>
      <c r="X2398" s="6">
        <f>IF(ISERROR(VLOOKUP($U$2398,'TAR FIN'!$A$1:$O$95,15,0)),0,VLOOKUP($U$2398,'TAR FIN'!$A$1:$O$95,15,0))</f>
        <v>243.3</v>
      </c>
      <c r="Y2398" s="6"/>
      <c r="Z2398" s="6">
        <f ca="1">('TUSD BE'!$AM$53+'TUSD BF'!$AM$53+'TUSD CVA'!$AM$53)*1</f>
        <v>506.5198438752322</v>
      </c>
      <c r="AA2398" s="6">
        <f>('TE BE'!$AA$41+'TE BF'!$AA$41+'TE CVA'!$AA$41)*1</f>
        <v>297.20166373463735</v>
      </c>
      <c r="AB2398" s="6">
        <f>$K$2398*$V$2398</f>
        <v>0</v>
      </c>
      <c r="AC2398" s="6">
        <f>$M$2398*$W$2398</f>
        <v>-78451.910159999999</v>
      </c>
      <c r="AD2398" s="6">
        <f>$O$2398*$X$2398</f>
        <v>-42398.431200000006</v>
      </c>
      <c r="AE2398" s="6">
        <f>$K$2398*$Y$2398</f>
        <v>0</v>
      </c>
      <c r="AF2398" s="6">
        <f ca="1">$M$2398*$Z$2398</f>
        <v>-88268.174073073475</v>
      </c>
      <c r="AG2398" s="6">
        <f>$O$2398*$AA$2398</f>
        <v>-51791.550729052848</v>
      </c>
    </row>
    <row r="2399" spans="1:33" ht="11.25" customHeight="1" x14ac:dyDescent="0.25">
      <c r="A2399" s="4" t="s">
        <v>28</v>
      </c>
      <c r="B2399" s="4" t="s">
        <v>41</v>
      </c>
      <c r="C2399" s="4" t="s">
        <v>23</v>
      </c>
      <c r="D2399" s="4" t="s">
        <v>42</v>
      </c>
      <c r="E2399" s="4" t="s">
        <v>25</v>
      </c>
      <c r="F2399" s="4" t="s">
        <v>25</v>
      </c>
      <c r="G2399" s="4" t="s">
        <v>25</v>
      </c>
      <c r="H2399" s="4" t="s">
        <v>25</v>
      </c>
      <c r="I2399" s="5">
        <v>44228</v>
      </c>
      <c r="J2399" s="6">
        <v>0</v>
      </c>
      <c r="K2399" s="6">
        <v>0</v>
      </c>
      <c r="L2399" s="6">
        <v>883.22799999999995</v>
      </c>
      <c r="M2399" s="6">
        <v>883.22799999999995</v>
      </c>
      <c r="N2399" s="6">
        <v>883.22799999999995</v>
      </c>
      <c r="O2399" s="6">
        <v>883.22799999999995</v>
      </c>
      <c r="P2399" s="6">
        <v>749</v>
      </c>
      <c r="Q2399" s="4" t="s">
        <v>26</v>
      </c>
      <c r="R2399" s="4">
        <v>0</v>
      </c>
      <c r="S2399" s="6">
        <v>0</v>
      </c>
      <c r="T2399" s="6">
        <v>72</v>
      </c>
      <c r="U2399" s="6">
        <v>78</v>
      </c>
      <c r="V2399" s="6">
        <f>IF(ISERROR(VLOOKUP($S$2399,'TAR FIN'!$A$1:$O$95,15,0)),0,VLOOKUP($S$2399,'TAR FIN'!$A$1:$O$95,15,0))</f>
        <v>0</v>
      </c>
      <c r="W2399" s="6">
        <f>IF(ISERROR(VLOOKUP($T$2399,'TAR FIN'!$A$1:$O$95,15,0)),0,VLOOKUP($T$2399,'TAR FIN'!$A$1:$O$95,15,0))</f>
        <v>450.19</v>
      </c>
      <c r="X2399" s="6">
        <f>IF(ISERROR(VLOOKUP($U$2399,'TAR FIN'!$A$1:$O$95,15,0)),0,VLOOKUP($U$2399,'TAR FIN'!$A$1:$O$95,15,0))</f>
        <v>243.3</v>
      </c>
      <c r="Y2399" s="6"/>
      <c r="Z2399" s="6">
        <f ca="1">('TUSD BE'!$AM$53+'TUSD BF'!$AM$53+'TUSD CVA'!$AM$53)*1</f>
        <v>506.5198438752322</v>
      </c>
      <c r="AA2399" s="6">
        <f>('TE BE'!$AA$41+'TE BF'!$AA$41+'TE CVA'!$AA$41)*1</f>
        <v>297.20166373463735</v>
      </c>
      <c r="AB2399" s="6">
        <f>$K$2399*$V$2399</f>
        <v>0</v>
      </c>
      <c r="AC2399" s="6">
        <f>$M$2399*$W$2399</f>
        <v>397620.41331999999</v>
      </c>
      <c r="AD2399" s="6">
        <f>$O$2399*$X$2399</f>
        <v>214889.37239999999</v>
      </c>
      <c r="AE2399" s="6">
        <f>$K$2399*$Y$2399</f>
        <v>0</v>
      </c>
      <c r="AF2399" s="6">
        <f ca="1">$M$2399*$Z$2399</f>
        <v>447372.50866623357</v>
      </c>
      <c r="AG2399" s="6">
        <f>$O$2399*$AA$2399</f>
        <v>262496.83105701627</v>
      </c>
    </row>
    <row r="2400" spans="1:33" ht="11.25" customHeight="1" x14ac:dyDescent="0.25">
      <c r="A2400" s="4" t="s">
        <v>29</v>
      </c>
      <c r="B2400" s="4" t="s">
        <v>41</v>
      </c>
      <c r="C2400" s="4" t="s">
        <v>23</v>
      </c>
      <c r="D2400" s="4" t="s">
        <v>42</v>
      </c>
      <c r="E2400" s="4" t="s">
        <v>25</v>
      </c>
      <c r="F2400" s="4" t="s">
        <v>25</v>
      </c>
      <c r="G2400" s="4" t="s">
        <v>25</v>
      </c>
      <c r="H2400" s="4" t="s">
        <v>25</v>
      </c>
      <c r="I2400" s="5">
        <v>44228</v>
      </c>
      <c r="J2400" s="6">
        <v>0</v>
      </c>
      <c r="K2400" s="6">
        <v>0</v>
      </c>
      <c r="L2400" s="6">
        <v>-104.58199999999999</v>
      </c>
      <c r="M2400" s="6">
        <v>-104.58199999999999</v>
      </c>
      <c r="N2400" s="6">
        <v>-104.58199999999999</v>
      </c>
      <c r="O2400" s="6">
        <v>-104.58199999999999</v>
      </c>
      <c r="P2400" s="6">
        <v>0</v>
      </c>
      <c r="Q2400" s="4" t="s">
        <v>26</v>
      </c>
      <c r="R2400" s="4">
        <v>0</v>
      </c>
      <c r="S2400" s="6">
        <v>0</v>
      </c>
      <c r="T2400" s="6">
        <v>72</v>
      </c>
      <c r="U2400" s="6">
        <v>78</v>
      </c>
      <c r="V2400" s="6">
        <f>IF(ISERROR(VLOOKUP($S$2400,'TAR FIN'!$A$1:$O$95,15,0)),0,VLOOKUP($S$2400,'TAR FIN'!$A$1:$O$95,15,0))</f>
        <v>0</v>
      </c>
      <c r="W2400" s="6">
        <f>IF(ISERROR(VLOOKUP($T$2400,'TAR FIN'!$A$1:$O$95,15,0)),0,VLOOKUP($T$2400,'TAR FIN'!$A$1:$O$95,15,0))</f>
        <v>450.19</v>
      </c>
      <c r="X2400" s="6">
        <f>IF(ISERROR(VLOOKUP($U$2400,'TAR FIN'!$A$1:$O$95,15,0)),0,VLOOKUP($U$2400,'TAR FIN'!$A$1:$O$95,15,0))</f>
        <v>243.3</v>
      </c>
      <c r="Y2400" s="6"/>
      <c r="Z2400" s="6">
        <f ca="1">('TUSD BE'!$AM$53+'TUSD BF'!$AM$53+'TUSD CVA'!$AM$53)*1</f>
        <v>506.5198438752322</v>
      </c>
      <c r="AA2400" s="6">
        <f>('TE BE'!$AA$41+'TE BF'!$AA$41+'TE CVA'!$AA$41)*1</f>
        <v>297.20166373463735</v>
      </c>
      <c r="AB2400" s="6">
        <f>$K$2400*$V$2400</f>
        <v>0</v>
      </c>
      <c r="AC2400" s="6">
        <f>$M$2400*$W$2400</f>
        <v>-47081.770579999997</v>
      </c>
      <c r="AD2400" s="6">
        <f>$O$2400*$X$2400</f>
        <v>-25444.800599999999</v>
      </c>
      <c r="AE2400" s="6">
        <f>$K$2400*$Y$2400</f>
        <v>0</v>
      </c>
      <c r="AF2400" s="6">
        <f ca="1">$M$2400*$Z$2400</f>
        <v>-52972.858312159529</v>
      </c>
      <c r="AG2400" s="6">
        <f>$O$2400*$AA$2400</f>
        <v>-31081.944396695842</v>
      </c>
    </row>
    <row r="2401" spans="1:33" ht="11.25" customHeight="1" x14ac:dyDescent="0.25">
      <c r="A2401" s="4" t="s">
        <v>30</v>
      </c>
      <c r="B2401" s="4" t="s">
        <v>41</v>
      </c>
      <c r="C2401" s="4" t="s">
        <v>23</v>
      </c>
      <c r="D2401" s="4" t="s">
        <v>42</v>
      </c>
      <c r="E2401" s="4" t="s">
        <v>25</v>
      </c>
      <c r="F2401" s="4" t="s">
        <v>25</v>
      </c>
      <c r="G2401" s="4" t="s">
        <v>25</v>
      </c>
      <c r="H2401" s="4" t="s">
        <v>25</v>
      </c>
      <c r="I2401" s="5">
        <v>44228</v>
      </c>
      <c r="J2401" s="6">
        <v>0</v>
      </c>
      <c r="K2401" s="6">
        <v>0</v>
      </c>
      <c r="L2401" s="6">
        <v>34.405999999999999</v>
      </c>
      <c r="M2401" s="6">
        <v>34.405999999999999</v>
      </c>
      <c r="N2401" s="6">
        <v>34.405999999999999</v>
      </c>
      <c r="O2401" s="6">
        <v>34.405999999999999</v>
      </c>
      <c r="P2401" s="6">
        <v>13</v>
      </c>
      <c r="Q2401" s="4" t="s">
        <v>26</v>
      </c>
      <c r="R2401" s="4">
        <v>0</v>
      </c>
      <c r="S2401" s="6">
        <v>0</v>
      </c>
      <c r="T2401" s="6">
        <v>72</v>
      </c>
      <c r="U2401" s="6">
        <v>78</v>
      </c>
      <c r="V2401" s="6">
        <f>IF(ISERROR(VLOOKUP($S$2401,'TAR FIN'!$A$1:$O$95,15,0)),0,VLOOKUP($S$2401,'TAR FIN'!$A$1:$O$95,15,0))</f>
        <v>0</v>
      </c>
      <c r="W2401" s="6">
        <f>IF(ISERROR(VLOOKUP($T$2401,'TAR FIN'!$A$1:$O$95,15,0)),0,VLOOKUP($T$2401,'TAR FIN'!$A$1:$O$95,15,0))</f>
        <v>450.19</v>
      </c>
      <c r="X2401" s="6">
        <f>IF(ISERROR(VLOOKUP($U$2401,'TAR FIN'!$A$1:$O$95,15,0)),0,VLOOKUP($U$2401,'TAR FIN'!$A$1:$O$95,15,0))</f>
        <v>243.3</v>
      </c>
      <c r="Y2401" s="6"/>
      <c r="Z2401" s="6">
        <f ca="1">('TUSD BE'!$AM$53+'TUSD BF'!$AM$53+'TUSD CVA'!$AM$53)*1</f>
        <v>506.5198438752322</v>
      </c>
      <c r="AA2401" s="6">
        <f>('TE BE'!$AA$41+'TE BF'!$AA$41+'TE CVA'!$AA$41)*1</f>
        <v>297.20166373463735</v>
      </c>
      <c r="AB2401" s="6">
        <f>$K$2401*$V$2401</f>
        <v>0</v>
      </c>
      <c r="AC2401" s="6">
        <f>$M$2401*$W$2401</f>
        <v>15489.237139999999</v>
      </c>
      <c r="AD2401" s="6">
        <f>$O$2401*$X$2401</f>
        <v>8370.979800000001</v>
      </c>
      <c r="AE2401" s="6">
        <f>$K$2401*$Y$2401</f>
        <v>0</v>
      </c>
      <c r="AF2401" s="6">
        <f ca="1">$M$2401*$Z$2401</f>
        <v>17427.32174837124</v>
      </c>
      <c r="AG2401" s="6">
        <f>$O$2401*$AA$2401</f>
        <v>10225.520442453932</v>
      </c>
    </row>
    <row r="2402" spans="1:33" ht="11.25" customHeight="1" x14ac:dyDescent="0.25">
      <c r="A2402" s="4" t="s">
        <v>21</v>
      </c>
      <c r="B2402" s="4" t="s">
        <v>41</v>
      </c>
      <c r="C2402" s="4" t="s">
        <v>23</v>
      </c>
      <c r="D2402" s="4" t="s">
        <v>42</v>
      </c>
      <c r="E2402" s="4" t="s">
        <v>25</v>
      </c>
      <c r="F2402" s="4" t="s">
        <v>25</v>
      </c>
      <c r="G2402" s="4" t="s">
        <v>25</v>
      </c>
      <c r="H2402" s="4" t="s">
        <v>25</v>
      </c>
      <c r="I2402" s="5">
        <v>44256</v>
      </c>
      <c r="J2402" s="6">
        <v>0</v>
      </c>
      <c r="K2402" s="6">
        <v>0</v>
      </c>
      <c r="L2402" s="6">
        <v>2264.518</v>
      </c>
      <c r="M2402" s="6">
        <v>2264.518</v>
      </c>
      <c r="N2402" s="6">
        <v>2264.518</v>
      </c>
      <c r="O2402" s="6">
        <v>2264.518</v>
      </c>
      <c r="P2402" s="6">
        <v>1285</v>
      </c>
      <c r="Q2402" s="4" t="s">
        <v>26</v>
      </c>
      <c r="R2402" s="4">
        <v>0</v>
      </c>
      <c r="S2402" s="6">
        <v>0</v>
      </c>
      <c r="T2402" s="6">
        <v>72</v>
      </c>
      <c r="U2402" s="6">
        <v>78</v>
      </c>
      <c r="V2402" s="6">
        <f>IF(ISERROR(VLOOKUP($S$2402,'TAR FIN'!$A$1:$O$95,15,0)),0,VLOOKUP($S$2402,'TAR FIN'!$A$1:$O$95,15,0))</f>
        <v>0</v>
      </c>
      <c r="W2402" s="6">
        <f>IF(ISERROR(VLOOKUP($T$2402,'TAR FIN'!$A$1:$O$95,15,0)),0,VLOOKUP($T$2402,'TAR FIN'!$A$1:$O$95,15,0))</f>
        <v>450.19</v>
      </c>
      <c r="X2402" s="6">
        <f>IF(ISERROR(VLOOKUP($U$2402,'TAR FIN'!$A$1:$O$95,15,0)),0,VLOOKUP($U$2402,'TAR FIN'!$A$1:$O$95,15,0))</f>
        <v>243.3</v>
      </c>
      <c r="Y2402" s="6"/>
      <c r="Z2402" s="6">
        <f ca="1">('TUSD BE'!$AM$53+'TUSD BF'!$AM$53+'TUSD CVA'!$AM$53)*1</f>
        <v>506.5198438752322</v>
      </c>
      <c r="AA2402" s="6">
        <f>('TE BE'!$AA$41+'TE BF'!$AA$41+'TE CVA'!$AA$41)*1</f>
        <v>297.20166373463735</v>
      </c>
      <c r="AB2402" s="6">
        <f>$K$2402*$V$2402</f>
        <v>0</v>
      </c>
      <c r="AC2402" s="6">
        <f>$M$2402*$W$2402</f>
        <v>1019463.3584200001</v>
      </c>
      <c r="AD2402" s="6">
        <f>$O$2402*$X$2402</f>
        <v>550957.22940000007</v>
      </c>
      <c r="AE2402" s="6">
        <f>$K$2402*$Y$2402</f>
        <v>0</v>
      </c>
      <c r="AF2402" s="6">
        <f ca="1">$M$2402*$Z$2402</f>
        <v>1147023.3038126531</v>
      </c>
      <c r="AG2402" s="6">
        <f>$O$2402*$AA$2402</f>
        <v>673018.51715703355</v>
      </c>
    </row>
    <row r="2403" spans="1:33" ht="11.25" customHeight="1" x14ac:dyDescent="0.25">
      <c r="A2403" s="4" t="s">
        <v>27</v>
      </c>
      <c r="B2403" s="4" t="s">
        <v>41</v>
      </c>
      <c r="C2403" s="4" t="s">
        <v>23</v>
      </c>
      <c r="D2403" s="4" t="s">
        <v>42</v>
      </c>
      <c r="E2403" s="4" t="s">
        <v>25</v>
      </c>
      <c r="F2403" s="4" t="s">
        <v>25</v>
      </c>
      <c r="G2403" s="4" t="s">
        <v>25</v>
      </c>
      <c r="H2403" s="4" t="s">
        <v>25</v>
      </c>
      <c r="I2403" s="5">
        <v>44256</v>
      </c>
      <c r="J2403" s="6">
        <v>0</v>
      </c>
      <c r="K2403" s="6">
        <v>0</v>
      </c>
      <c r="L2403" s="6">
        <v>-262.37099999999998</v>
      </c>
      <c r="M2403" s="6">
        <v>-262.37099999999998</v>
      </c>
      <c r="N2403" s="6">
        <v>-262.37099999999998</v>
      </c>
      <c r="O2403" s="6">
        <v>-262.37099999999998</v>
      </c>
      <c r="P2403" s="6">
        <v>0</v>
      </c>
      <c r="Q2403" s="4" t="s">
        <v>26</v>
      </c>
      <c r="R2403" s="4">
        <v>0</v>
      </c>
      <c r="S2403" s="6">
        <v>0</v>
      </c>
      <c r="T2403" s="6">
        <v>72</v>
      </c>
      <c r="U2403" s="6">
        <v>78</v>
      </c>
      <c r="V2403" s="6">
        <f>IF(ISERROR(VLOOKUP($S$2403,'TAR FIN'!$A$1:$O$95,15,0)),0,VLOOKUP($S$2403,'TAR FIN'!$A$1:$O$95,15,0))</f>
        <v>0</v>
      </c>
      <c r="W2403" s="6">
        <f>IF(ISERROR(VLOOKUP($T$2403,'TAR FIN'!$A$1:$O$95,15,0)),0,VLOOKUP($T$2403,'TAR FIN'!$A$1:$O$95,15,0))</f>
        <v>450.19</v>
      </c>
      <c r="X2403" s="6">
        <f>IF(ISERROR(VLOOKUP($U$2403,'TAR FIN'!$A$1:$O$95,15,0)),0,VLOOKUP($U$2403,'TAR FIN'!$A$1:$O$95,15,0))</f>
        <v>243.3</v>
      </c>
      <c r="Y2403" s="6"/>
      <c r="Z2403" s="6">
        <f ca="1">('TUSD BE'!$AM$53+'TUSD BF'!$AM$53+'TUSD CVA'!$AM$53)*1</f>
        <v>506.5198438752322</v>
      </c>
      <c r="AA2403" s="6">
        <f>('TE BE'!$AA$41+'TE BF'!$AA$41+'TE CVA'!$AA$41)*1</f>
        <v>297.20166373463735</v>
      </c>
      <c r="AB2403" s="6">
        <f>$K$2403*$V$2403</f>
        <v>0</v>
      </c>
      <c r="AC2403" s="6">
        <f>$M$2403*$W$2403</f>
        <v>-118116.80048999999</v>
      </c>
      <c r="AD2403" s="6">
        <f>$O$2403*$X$2403</f>
        <v>-63834.864300000001</v>
      </c>
      <c r="AE2403" s="6">
        <f>$K$2403*$Y$2403</f>
        <v>0</v>
      </c>
      <c r="AF2403" s="6">
        <f ca="1">$M$2403*$Z$2403</f>
        <v>-132896.11795738855</v>
      </c>
      <c r="AG2403" s="6">
        <f>$O$2403*$AA$2403</f>
        <v>-77977.097715720534</v>
      </c>
    </row>
    <row r="2404" spans="1:33" ht="11.25" customHeight="1" x14ac:dyDescent="0.25">
      <c r="A2404" s="4" t="s">
        <v>28</v>
      </c>
      <c r="B2404" s="4" t="s">
        <v>41</v>
      </c>
      <c r="C2404" s="4" t="s">
        <v>23</v>
      </c>
      <c r="D2404" s="4" t="s">
        <v>42</v>
      </c>
      <c r="E2404" s="4" t="s">
        <v>25</v>
      </c>
      <c r="F2404" s="4" t="s">
        <v>25</v>
      </c>
      <c r="G2404" s="4" t="s">
        <v>25</v>
      </c>
      <c r="H2404" s="4" t="s">
        <v>25</v>
      </c>
      <c r="I2404" s="5">
        <v>44256</v>
      </c>
      <c r="J2404" s="6">
        <v>0</v>
      </c>
      <c r="K2404" s="6">
        <v>0</v>
      </c>
      <c r="L2404" s="6">
        <v>1055.066</v>
      </c>
      <c r="M2404" s="6">
        <v>1055.066</v>
      </c>
      <c r="N2404" s="6">
        <v>1055.066</v>
      </c>
      <c r="O2404" s="6">
        <v>1055.066</v>
      </c>
      <c r="P2404" s="6">
        <v>744</v>
      </c>
      <c r="Q2404" s="4" t="s">
        <v>26</v>
      </c>
      <c r="R2404" s="4">
        <v>0</v>
      </c>
      <c r="S2404" s="6">
        <v>0</v>
      </c>
      <c r="T2404" s="6">
        <v>72</v>
      </c>
      <c r="U2404" s="6">
        <v>78</v>
      </c>
      <c r="V2404" s="6">
        <f>IF(ISERROR(VLOOKUP($S$2404,'TAR FIN'!$A$1:$O$95,15,0)),0,VLOOKUP($S$2404,'TAR FIN'!$A$1:$O$95,15,0))</f>
        <v>0</v>
      </c>
      <c r="W2404" s="6">
        <f>IF(ISERROR(VLOOKUP($T$2404,'TAR FIN'!$A$1:$O$95,15,0)),0,VLOOKUP($T$2404,'TAR FIN'!$A$1:$O$95,15,0))</f>
        <v>450.19</v>
      </c>
      <c r="X2404" s="6">
        <f>IF(ISERROR(VLOOKUP($U$2404,'TAR FIN'!$A$1:$O$95,15,0)),0,VLOOKUP($U$2404,'TAR FIN'!$A$1:$O$95,15,0))</f>
        <v>243.3</v>
      </c>
      <c r="Y2404" s="6"/>
      <c r="Z2404" s="6">
        <f ca="1">('TUSD BE'!$AM$53+'TUSD BF'!$AM$53+'TUSD CVA'!$AM$53)*1</f>
        <v>506.5198438752322</v>
      </c>
      <c r="AA2404" s="6">
        <f>('TE BE'!$AA$41+'TE BF'!$AA$41+'TE CVA'!$AA$41)*1</f>
        <v>297.20166373463735</v>
      </c>
      <c r="AB2404" s="6">
        <f>$K$2404*$V$2404</f>
        <v>0</v>
      </c>
      <c r="AC2404" s="6">
        <f>$M$2404*$W$2404</f>
        <v>474980.16253999999</v>
      </c>
      <c r="AD2404" s="6">
        <f>$O$2404*$X$2404</f>
        <v>256697.55780000001</v>
      </c>
      <c r="AE2404" s="6">
        <f>$K$2404*$Y$2404</f>
        <v>0</v>
      </c>
      <c r="AF2404" s="6">
        <f ca="1">$M$2404*$Z$2404</f>
        <v>534411.86559806578</v>
      </c>
      <c r="AG2404" s="6">
        <f>$O$2404*$AA$2404</f>
        <v>313567.37054984889</v>
      </c>
    </row>
    <row r="2405" spans="1:33" ht="11.25" customHeight="1" x14ac:dyDescent="0.25">
      <c r="A2405" s="4" t="s">
        <v>29</v>
      </c>
      <c r="B2405" s="4" t="s">
        <v>41</v>
      </c>
      <c r="C2405" s="4" t="s">
        <v>23</v>
      </c>
      <c r="D2405" s="4" t="s">
        <v>42</v>
      </c>
      <c r="E2405" s="4" t="s">
        <v>25</v>
      </c>
      <c r="F2405" s="4" t="s">
        <v>25</v>
      </c>
      <c r="G2405" s="4" t="s">
        <v>25</v>
      </c>
      <c r="H2405" s="4" t="s">
        <v>25</v>
      </c>
      <c r="I2405" s="5">
        <v>44256</v>
      </c>
      <c r="J2405" s="6">
        <v>0</v>
      </c>
      <c r="K2405" s="6">
        <v>0</v>
      </c>
      <c r="L2405" s="6">
        <v>-1.3089999999999999</v>
      </c>
      <c r="M2405" s="6">
        <v>-1.3089999999999999</v>
      </c>
      <c r="N2405" s="6">
        <v>-1.3089999999999999</v>
      </c>
      <c r="O2405" s="6">
        <v>-1.3089999999999999</v>
      </c>
      <c r="P2405" s="6">
        <v>0</v>
      </c>
      <c r="Q2405" s="4" t="s">
        <v>26</v>
      </c>
      <c r="R2405" s="4">
        <v>0</v>
      </c>
      <c r="S2405" s="6">
        <v>0</v>
      </c>
      <c r="T2405" s="6">
        <v>72</v>
      </c>
      <c r="U2405" s="6">
        <v>78</v>
      </c>
      <c r="V2405" s="6">
        <f>IF(ISERROR(VLOOKUP($S$2405,'TAR FIN'!$A$1:$O$95,15,0)),0,VLOOKUP($S$2405,'TAR FIN'!$A$1:$O$95,15,0))</f>
        <v>0</v>
      </c>
      <c r="W2405" s="6">
        <f>IF(ISERROR(VLOOKUP($T$2405,'TAR FIN'!$A$1:$O$95,15,0)),0,VLOOKUP($T$2405,'TAR FIN'!$A$1:$O$95,15,0))</f>
        <v>450.19</v>
      </c>
      <c r="X2405" s="6">
        <f>IF(ISERROR(VLOOKUP($U$2405,'TAR FIN'!$A$1:$O$95,15,0)),0,VLOOKUP($U$2405,'TAR FIN'!$A$1:$O$95,15,0))</f>
        <v>243.3</v>
      </c>
      <c r="Y2405" s="6"/>
      <c r="Z2405" s="6">
        <f ca="1">('TUSD BE'!$AM$53+'TUSD BF'!$AM$53+'TUSD CVA'!$AM$53)*1</f>
        <v>506.5198438752322</v>
      </c>
      <c r="AA2405" s="6">
        <f>('TE BE'!$AA$41+'TE BF'!$AA$41+'TE CVA'!$AA$41)*1</f>
        <v>297.20166373463735</v>
      </c>
      <c r="AB2405" s="6">
        <f>$K$2405*$V$2405</f>
        <v>0</v>
      </c>
      <c r="AC2405" s="6">
        <f>$M$2405*$W$2405</f>
        <v>-589.29870999999991</v>
      </c>
      <c r="AD2405" s="6">
        <f>$O$2405*$X$2405</f>
        <v>-318.47969999999998</v>
      </c>
      <c r="AE2405" s="6">
        <f>$K$2405*$Y$2405</f>
        <v>0</v>
      </c>
      <c r="AF2405" s="6">
        <f ca="1">$M$2405*$Z$2405</f>
        <v>-663.03447563267889</v>
      </c>
      <c r="AG2405" s="6">
        <f>$O$2405*$AA$2405</f>
        <v>-389.03697782864026</v>
      </c>
    </row>
    <row r="2406" spans="1:33" ht="11.25" customHeight="1" x14ac:dyDescent="0.25">
      <c r="A2406" s="4" t="s">
        <v>30</v>
      </c>
      <c r="B2406" s="4" t="s">
        <v>41</v>
      </c>
      <c r="C2406" s="4" t="s">
        <v>23</v>
      </c>
      <c r="D2406" s="4" t="s">
        <v>42</v>
      </c>
      <c r="E2406" s="4" t="s">
        <v>25</v>
      </c>
      <c r="F2406" s="4" t="s">
        <v>25</v>
      </c>
      <c r="G2406" s="4" t="s">
        <v>25</v>
      </c>
      <c r="H2406" s="4" t="s">
        <v>25</v>
      </c>
      <c r="I2406" s="5">
        <v>44256</v>
      </c>
      <c r="J2406" s="6">
        <v>0</v>
      </c>
      <c r="K2406" s="6">
        <v>0</v>
      </c>
      <c r="L2406" s="6">
        <v>42.841999999999999</v>
      </c>
      <c r="M2406" s="6">
        <v>42.841999999999999</v>
      </c>
      <c r="N2406" s="6">
        <v>42.841999999999999</v>
      </c>
      <c r="O2406" s="6">
        <v>42.841999999999999</v>
      </c>
      <c r="P2406" s="6">
        <v>13</v>
      </c>
      <c r="Q2406" s="4" t="s">
        <v>26</v>
      </c>
      <c r="R2406" s="4">
        <v>0</v>
      </c>
      <c r="S2406" s="6">
        <v>0</v>
      </c>
      <c r="T2406" s="6">
        <v>72</v>
      </c>
      <c r="U2406" s="6">
        <v>78</v>
      </c>
      <c r="V2406" s="6">
        <f>IF(ISERROR(VLOOKUP($S$2406,'TAR FIN'!$A$1:$O$95,15,0)),0,VLOOKUP($S$2406,'TAR FIN'!$A$1:$O$95,15,0))</f>
        <v>0</v>
      </c>
      <c r="W2406" s="6">
        <f>IF(ISERROR(VLOOKUP($T$2406,'TAR FIN'!$A$1:$O$95,15,0)),0,VLOOKUP($T$2406,'TAR FIN'!$A$1:$O$95,15,0))</f>
        <v>450.19</v>
      </c>
      <c r="X2406" s="6">
        <f>IF(ISERROR(VLOOKUP($U$2406,'TAR FIN'!$A$1:$O$95,15,0)),0,VLOOKUP($U$2406,'TAR FIN'!$A$1:$O$95,15,0))</f>
        <v>243.3</v>
      </c>
      <c r="Y2406" s="6"/>
      <c r="Z2406" s="6">
        <f ca="1">('TUSD BE'!$AM$53+'TUSD BF'!$AM$53+'TUSD CVA'!$AM$53)*1</f>
        <v>506.5198438752322</v>
      </c>
      <c r="AA2406" s="6">
        <f>('TE BE'!$AA$41+'TE BF'!$AA$41+'TE CVA'!$AA$41)*1</f>
        <v>297.20166373463735</v>
      </c>
      <c r="AB2406" s="6">
        <f>$K$2406*$V$2406</f>
        <v>0</v>
      </c>
      <c r="AC2406" s="6">
        <f>$M$2406*$W$2406</f>
        <v>19287.039979999998</v>
      </c>
      <c r="AD2406" s="6">
        <f>$O$2406*$X$2406</f>
        <v>10423.4586</v>
      </c>
      <c r="AE2406" s="6">
        <f>$K$2406*$Y$2406</f>
        <v>0</v>
      </c>
      <c r="AF2406" s="6">
        <f ca="1">$M$2406*$Z$2406</f>
        <v>21700.323151302699</v>
      </c>
      <c r="AG2406" s="6">
        <f>$O$2406*$AA$2406</f>
        <v>12732.713677719334</v>
      </c>
    </row>
    <row r="2407" spans="1:33" ht="11.25" customHeight="1" x14ac:dyDescent="0.25">
      <c r="A2407" s="4" t="s">
        <v>21</v>
      </c>
      <c r="B2407" s="4" t="s">
        <v>41</v>
      </c>
      <c r="C2407" s="4" t="s">
        <v>23</v>
      </c>
      <c r="D2407" s="4" t="s">
        <v>42</v>
      </c>
      <c r="E2407" s="4" t="s">
        <v>25</v>
      </c>
      <c r="F2407" s="4" t="s">
        <v>25</v>
      </c>
      <c r="G2407" s="4" t="s">
        <v>25</v>
      </c>
      <c r="H2407" s="4" t="s">
        <v>25</v>
      </c>
      <c r="I2407" s="5">
        <v>44287</v>
      </c>
      <c r="J2407" s="6">
        <v>0</v>
      </c>
      <c r="K2407" s="6">
        <v>0</v>
      </c>
      <c r="L2407" s="6">
        <v>2432.0189999999998</v>
      </c>
      <c r="M2407" s="6">
        <v>2432.0189999999998</v>
      </c>
      <c r="N2407" s="6">
        <v>2432.0189999999998</v>
      </c>
      <c r="O2407" s="6">
        <v>2432.0189999999998</v>
      </c>
      <c r="P2407" s="6">
        <v>1067</v>
      </c>
      <c r="Q2407" s="4" t="s">
        <v>26</v>
      </c>
      <c r="R2407" s="4">
        <v>0</v>
      </c>
      <c r="S2407" s="6">
        <v>0</v>
      </c>
      <c r="T2407" s="6">
        <v>72</v>
      </c>
      <c r="U2407" s="6">
        <v>78</v>
      </c>
      <c r="V2407" s="6">
        <f>IF(ISERROR(VLOOKUP($S$2407,'TAR FIN'!$A$1:$O$95,15,0)),0,VLOOKUP($S$2407,'TAR FIN'!$A$1:$O$95,15,0))</f>
        <v>0</v>
      </c>
      <c r="W2407" s="6">
        <f>IF(ISERROR(VLOOKUP($T$2407,'TAR FIN'!$A$1:$O$95,15,0)),0,VLOOKUP($T$2407,'TAR FIN'!$A$1:$O$95,15,0))</f>
        <v>450.19</v>
      </c>
      <c r="X2407" s="6">
        <f>IF(ISERROR(VLOOKUP($U$2407,'TAR FIN'!$A$1:$O$95,15,0)),0,VLOOKUP($U$2407,'TAR FIN'!$A$1:$O$95,15,0))</f>
        <v>243.3</v>
      </c>
      <c r="Y2407" s="6"/>
      <c r="Z2407" s="6">
        <f ca="1">('TUSD BE'!$AM$53+'TUSD BF'!$AM$53+'TUSD CVA'!$AM$53)*1</f>
        <v>506.5198438752322</v>
      </c>
      <c r="AA2407" s="6">
        <f>('TE BE'!$AA$41+'TE BF'!$AA$41+'TE CVA'!$AA$41)*1</f>
        <v>297.20166373463735</v>
      </c>
      <c r="AB2407" s="6">
        <f>$K$2407*$V$2407</f>
        <v>0</v>
      </c>
      <c r="AC2407" s="6">
        <f>$M$2407*$W$2407</f>
        <v>1094870.6336099999</v>
      </c>
      <c r="AD2407" s="6">
        <f>$O$2407*$X$2407</f>
        <v>591710.22269999993</v>
      </c>
      <c r="AE2407" s="6">
        <f>$K$2407*$Y$2407</f>
        <v>0</v>
      </c>
      <c r="AF2407" s="6">
        <f ca="1">$M$2407*$Z$2407</f>
        <v>1231865.8841815982</v>
      </c>
      <c r="AG2407" s="6">
        <f>$O$2407*$AA$2407</f>
        <v>722800.09303424892</v>
      </c>
    </row>
    <row r="2408" spans="1:33" ht="11.25" customHeight="1" x14ac:dyDescent="0.25">
      <c r="A2408" s="4" t="s">
        <v>27</v>
      </c>
      <c r="B2408" s="4" t="s">
        <v>41</v>
      </c>
      <c r="C2408" s="4" t="s">
        <v>23</v>
      </c>
      <c r="D2408" s="4" t="s">
        <v>42</v>
      </c>
      <c r="E2408" s="4" t="s">
        <v>25</v>
      </c>
      <c r="F2408" s="4" t="s">
        <v>25</v>
      </c>
      <c r="G2408" s="4" t="s">
        <v>25</v>
      </c>
      <c r="H2408" s="4" t="s">
        <v>25</v>
      </c>
      <c r="I2408" s="5">
        <v>44287</v>
      </c>
      <c r="J2408" s="6">
        <v>0</v>
      </c>
      <c r="K2408" s="6">
        <v>0</v>
      </c>
      <c r="L2408" s="6">
        <v>-646.37699999999995</v>
      </c>
      <c r="M2408" s="6">
        <v>-646.37699999999995</v>
      </c>
      <c r="N2408" s="6">
        <v>-646.37699999999995</v>
      </c>
      <c r="O2408" s="6">
        <v>-646.37699999999995</v>
      </c>
      <c r="P2408" s="6">
        <v>0</v>
      </c>
      <c r="Q2408" s="4" t="s">
        <v>26</v>
      </c>
      <c r="R2408" s="4">
        <v>0</v>
      </c>
      <c r="S2408" s="6">
        <v>0</v>
      </c>
      <c r="T2408" s="6">
        <v>72</v>
      </c>
      <c r="U2408" s="6">
        <v>78</v>
      </c>
      <c r="V2408" s="6">
        <f>IF(ISERROR(VLOOKUP($S$2408,'TAR FIN'!$A$1:$O$95,15,0)),0,VLOOKUP($S$2408,'TAR FIN'!$A$1:$O$95,15,0))</f>
        <v>0</v>
      </c>
      <c r="W2408" s="6">
        <f>IF(ISERROR(VLOOKUP($T$2408,'TAR FIN'!$A$1:$O$95,15,0)),0,VLOOKUP($T$2408,'TAR FIN'!$A$1:$O$95,15,0))</f>
        <v>450.19</v>
      </c>
      <c r="X2408" s="6">
        <f>IF(ISERROR(VLOOKUP($U$2408,'TAR FIN'!$A$1:$O$95,15,0)),0,VLOOKUP($U$2408,'TAR FIN'!$A$1:$O$95,15,0))</f>
        <v>243.3</v>
      </c>
      <c r="Y2408" s="6"/>
      <c r="Z2408" s="6">
        <f ca="1">('TUSD BE'!$AM$53+'TUSD BF'!$AM$53+'TUSD CVA'!$AM$53)*1</f>
        <v>506.5198438752322</v>
      </c>
      <c r="AA2408" s="6">
        <f>('TE BE'!$AA$41+'TE BF'!$AA$41+'TE CVA'!$AA$41)*1</f>
        <v>297.20166373463735</v>
      </c>
      <c r="AB2408" s="6">
        <f>$K$2408*$V$2408</f>
        <v>0</v>
      </c>
      <c r="AC2408" s="6">
        <f>$M$2408*$W$2408</f>
        <v>-290992.46162999998</v>
      </c>
      <c r="AD2408" s="6">
        <f>$O$2408*$X$2408</f>
        <v>-157263.52410000001</v>
      </c>
      <c r="AE2408" s="6">
        <f>$K$2408*$Y$2408</f>
        <v>0</v>
      </c>
      <c r="AF2408" s="6">
        <f ca="1">$M$2408*$Z$2408</f>
        <v>-327402.77712454094</v>
      </c>
      <c r="AG2408" s="6">
        <f>$O$2408*$AA$2408</f>
        <v>-192104.31979980366</v>
      </c>
    </row>
    <row r="2409" spans="1:33" ht="11.25" customHeight="1" x14ac:dyDescent="0.25">
      <c r="A2409" s="4" t="s">
        <v>28</v>
      </c>
      <c r="B2409" s="4" t="s">
        <v>41</v>
      </c>
      <c r="C2409" s="4" t="s">
        <v>23</v>
      </c>
      <c r="D2409" s="4" t="s">
        <v>42</v>
      </c>
      <c r="E2409" s="4" t="s">
        <v>25</v>
      </c>
      <c r="F2409" s="4" t="s">
        <v>25</v>
      </c>
      <c r="G2409" s="4" t="s">
        <v>25</v>
      </c>
      <c r="H2409" s="4" t="s">
        <v>25</v>
      </c>
      <c r="I2409" s="5">
        <v>44287</v>
      </c>
      <c r="J2409" s="6">
        <v>0</v>
      </c>
      <c r="K2409" s="6">
        <v>0</v>
      </c>
      <c r="L2409" s="6">
        <v>1097.6010000000001</v>
      </c>
      <c r="M2409" s="6">
        <v>1097.6010000000001</v>
      </c>
      <c r="N2409" s="6">
        <v>1097.6010000000001</v>
      </c>
      <c r="O2409" s="6">
        <v>1097.6010000000001</v>
      </c>
      <c r="P2409" s="6">
        <v>704</v>
      </c>
      <c r="Q2409" s="4" t="s">
        <v>26</v>
      </c>
      <c r="R2409" s="4">
        <v>0</v>
      </c>
      <c r="S2409" s="6">
        <v>0</v>
      </c>
      <c r="T2409" s="6">
        <v>72</v>
      </c>
      <c r="U2409" s="6">
        <v>78</v>
      </c>
      <c r="V2409" s="6">
        <f>IF(ISERROR(VLOOKUP($S$2409,'TAR FIN'!$A$1:$O$95,15,0)),0,VLOOKUP($S$2409,'TAR FIN'!$A$1:$O$95,15,0))</f>
        <v>0</v>
      </c>
      <c r="W2409" s="6">
        <f>IF(ISERROR(VLOOKUP($T$2409,'TAR FIN'!$A$1:$O$95,15,0)),0,VLOOKUP($T$2409,'TAR FIN'!$A$1:$O$95,15,0))</f>
        <v>450.19</v>
      </c>
      <c r="X2409" s="6">
        <f>IF(ISERROR(VLOOKUP($U$2409,'TAR FIN'!$A$1:$O$95,15,0)),0,VLOOKUP($U$2409,'TAR FIN'!$A$1:$O$95,15,0))</f>
        <v>243.3</v>
      </c>
      <c r="Y2409" s="6"/>
      <c r="Z2409" s="6">
        <f ca="1">('TUSD BE'!$AM$53+'TUSD BF'!$AM$53+'TUSD CVA'!$AM$53)*1</f>
        <v>506.5198438752322</v>
      </c>
      <c r="AA2409" s="6">
        <f>('TE BE'!$AA$41+'TE BF'!$AA$41+'TE CVA'!$AA$41)*1</f>
        <v>297.20166373463735</v>
      </c>
      <c r="AB2409" s="6">
        <f>$K$2409*$V$2409</f>
        <v>0</v>
      </c>
      <c r="AC2409" s="6">
        <f>$M$2409*$W$2409</f>
        <v>494128.99419000006</v>
      </c>
      <c r="AD2409" s="6">
        <f>$O$2409*$X$2409</f>
        <v>267046.32330000005</v>
      </c>
      <c r="AE2409" s="6">
        <f>$K$2409*$Y$2409</f>
        <v>0</v>
      </c>
      <c r="AF2409" s="6">
        <f ca="1">$M$2409*$Z$2409</f>
        <v>555956.68715729879</v>
      </c>
      <c r="AG2409" s="6">
        <f>$O$2409*$AA$2409</f>
        <v>326208.84331680171</v>
      </c>
    </row>
    <row r="2410" spans="1:33" ht="11.25" customHeight="1" x14ac:dyDescent="0.25">
      <c r="A2410" s="4" t="s">
        <v>29</v>
      </c>
      <c r="B2410" s="4" t="s">
        <v>41</v>
      </c>
      <c r="C2410" s="4" t="s">
        <v>23</v>
      </c>
      <c r="D2410" s="4" t="s">
        <v>42</v>
      </c>
      <c r="E2410" s="4" t="s">
        <v>25</v>
      </c>
      <c r="F2410" s="4" t="s">
        <v>25</v>
      </c>
      <c r="G2410" s="4" t="s">
        <v>25</v>
      </c>
      <c r="H2410" s="4" t="s">
        <v>25</v>
      </c>
      <c r="I2410" s="5">
        <v>44287</v>
      </c>
      <c r="J2410" s="6">
        <v>0</v>
      </c>
      <c r="K2410" s="6">
        <v>0</v>
      </c>
      <c r="L2410" s="6">
        <v>-13.717000000000001</v>
      </c>
      <c r="M2410" s="6">
        <v>-13.717000000000001</v>
      </c>
      <c r="N2410" s="6">
        <v>-13.717000000000001</v>
      </c>
      <c r="O2410" s="6">
        <v>-13.717000000000001</v>
      </c>
      <c r="P2410" s="6">
        <v>0</v>
      </c>
      <c r="Q2410" s="4" t="s">
        <v>26</v>
      </c>
      <c r="R2410" s="4">
        <v>0</v>
      </c>
      <c r="S2410" s="6">
        <v>0</v>
      </c>
      <c r="T2410" s="6">
        <v>72</v>
      </c>
      <c r="U2410" s="6">
        <v>78</v>
      </c>
      <c r="V2410" s="6">
        <f>IF(ISERROR(VLOOKUP($S$2410,'TAR FIN'!$A$1:$O$95,15,0)),0,VLOOKUP($S$2410,'TAR FIN'!$A$1:$O$95,15,0))</f>
        <v>0</v>
      </c>
      <c r="W2410" s="6">
        <f>IF(ISERROR(VLOOKUP($T$2410,'TAR FIN'!$A$1:$O$95,15,0)),0,VLOOKUP($T$2410,'TAR FIN'!$A$1:$O$95,15,0))</f>
        <v>450.19</v>
      </c>
      <c r="X2410" s="6">
        <f>IF(ISERROR(VLOOKUP($U$2410,'TAR FIN'!$A$1:$O$95,15,0)),0,VLOOKUP($U$2410,'TAR FIN'!$A$1:$O$95,15,0))</f>
        <v>243.3</v>
      </c>
      <c r="Y2410" s="6"/>
      <c r="Z2410" s="6">
        <f ca="1">('TUSD BE'!$AM$53+'TUSD BF'!$AM$53+'TUSD CVA'!$AM$53)*1</f>
        <v>506.5198438752322</v>
      </c>
      <c r="AA2410" s="6">
        <f>('TE BE'!$AA$41+'TE BF'!$AA$41+'TE CVA'!$AA$41)*1</f>
        <v>297.20166373463735</v>
      </c>
      <c r="AB2410" s="6">
        <f>$K$2410*$V$2410</f>
        <v>0</v>
      </c>
      <c r="AC2410" s="6">
        <f>$M$2410*$W$2410</f>
        <v>-6175.25623</v>
      </c>
      <c r="AD2410" s="6">
        <f>$O$2410*$X$2410</f>
        <v>-3337.3461000000002</v>
      </c>
      <c r="AE2410" s="6">
        <f>$K$2410*$Y$2410</f>
        <v>0</v>
      </c>
      <c r="AF2410" s="6">
        <f ca="1">$M$2410*$Z$2410</f>
        <v>-6947.9326984365607</v>
      </c>
      <c r="AG2410" s="6">
        <f>$O$2410*$AA$2410</f>
        <v>-4076.7152214480207</v>
      </c>
    </row>
    <row r="2411" spans="1:33" ht="11.25" customHeight="1" x14ac:dyDescent="0.25">
      <c r="A2411" s="4" t="s">
        <v>30</v>
      </c>
      <c r="B2411" s="4" t="s">
        <v>41</v>
      </c>
      <c r="C2411" s="4" t="s">
        <v>23</v>
      </c>
      <c r="D2411" s="4" t="s">
        <v>42</v>
      </c>
      <c r="E2411" s="4" t="s">
        <v>25</v>
      </c>
      <c r="F2411" s="4" t="s">
        <v>25</v>
      </c>
      <c r="G2411" s="4" t="s">
        <v>25</v>
      </c>
      <c r="H2411" s="4" t="s">
        <v>25</v>
      </c>
      <c r="I2411" s="5">
        <v>44287</v>
      </c>
      <c r="J2411" s="6">
        <v>0</v>
      </c>
      <c r="K2411" s="6">
        <v>0</v>
      </c>
      <c r="L2411" s="6">
        <v>44.2</v>
      </c>
      <c r="M2411" s="6">
        <v>44.2</v>
      </c>
      <c r="N2411" s="6">
        <v>44.2</v>
      </c>
      <c r="O2411" s="6">
        <v>44.2</v>
      </c>
      <c r="P2411" s="6">
        <v>14</v>
      </c>
      <c r="Q2411" s="4" t="s">
        <v>26</v>
      </c>
      <c r="R2411" s="4">
        <v>0</v>
      </c>
      <c r="S2411" s="6">
        <v>0</v>
      </c>
      <c r="T2411" s="6">
        <v>72</v>
      </c>
      <c r="U2411" s="6">
        <v>78</v>
      </c>
      <c r="V2411" s="6">
        <f>IF(ISERROR(VLOOKUP($S$2411,'TAR FIN'!$A$1:$O$95,15,0)),0,VLOOKUP($S$2411,'TAR FIN'!$A$1:$O$95,15,0))</f>
        <v>0</v>
      </c>
      <c r="W2411" s="6">
        <f>IF(ISERROR(VLOOKUP($T$2411,'TAR FIN'!$A$1:$O$95,15,0)),0,VLOOKUP($T$2411,'TAR FIN'!$A$1:$O$95,15,0))</f>
        <v>450.19</v>
      </c>
      <c r="X2411" s="6">
        <f>IF(ISERROR(VLOOKUP($U$2411,'TAR FIN'!$A$1:$O$95,15,0)),0,VLOOKUP($U$2411,'TAR FIN'!$A$1:$O$95,15,0))</f>
        <v>243.3</v>
      </c>
      <c r="Y2411" s="6"/>
      <c r="Z2411" s="6">
        <f ca="1">('TUSD BE'!$AM$53+'TUSD BF'!$AM$53+'TUSD CVA'!$AM$53)*1</f>
        <v>506.5198438752322</v>
      </c>
      <c r="AA2411" s="6">
        <f>('TE BE'!$AA$41+'TE BF'!$AA$41+'TE CVA'!$AA$41)*1</f>
        <v>297.20166373463735</v>
      </c>
      <c r="AB2411" s="6">
        <f>$K$2411*$V$2411</f>
        <v>0</v>
      </c>
      <c r="AC2411" s="6">
        <f>$M$2411*$W$2411</f>
        <v>19898.398000000001</v>
      </c>
      <c r="AD2411" s="6">
        <f>$O$2411*$X$2411</f>
        <v>10753.86</v>
      </c>
      <c r="AE2411" s="6">
        <f>$K$2411*$Y$2411</f>
        <v>0</v>
      </c>
      <c r="AF2411" s="6">
        <f ca="1">$M$2411*$Z$2411</f>
        <v>22388.177099285265</v>
      </c>
      <c r="AG2411" s="6">
        <f>$O$2411*$AA$2411</f>
        <v>13136.313537070972</v>
      </c>
    </row>
    <row r="2412" spans="1:33" ht="11.25" customHeight="1" x14ac:dyDescent="0.25">
      <c r="A2412" s="4" t="s">
        <v>21</v>
      </c>
      <c r="B2412" s="4" t="s">
        <v>41</v>
      </c>
      <c r="C2412" s="4" t="s">
        <v>23</v>
      </c>
      <c r="D2412" s="4" t="s">
        <v>42</v>
      </c>
      <c r="E2412" s="4" t="s">
        <v>25</v>
      </c>
      <c r="F2412" s="4" t="s">
        <v>25</v>
      </c>
      <c r="G2412" s="4" t="s">
        <v>25</v>
      </c>
      <c r="H2412" s="4" t="s">
        <v>25</v>
      </c>
      <c r="I2412" s="5">
        <v>44317</v>
      </c>
      <c r="J2412" s="6">
        <v>0</v>
      </c>
      <c r="K2412" s="6">
        <v>0</v>
      </c>
      <c r="L2412" s="6">
        <v>2445.741</v>
      </c>
      <c r="M2412" s="6">
        <v>2445.741</v>
      </c>
      <c r="N2412" s="6">
        <v>2445.741</v>
      </c>
      <c r="O2412" s="6">
        <v>2445.741</v>
      </c>
      <c r="P2412" s="6">
        <v>1057</v>
      </c>
      <c r="Q2412" s="4" t="s">
        <v>26</v>
      </c>
      <c r="R2412" s="4">
        <v>0</v>
      </c>
      <c r="S2412" s="6">
        <v>0</v>
      </c>
      <c r="T2412" s="6">
        <v>72</v>
      </c>
      <c r="U2412" s="6">
        <v>78</v>
      </c>
      <c r="V2412" s="6">
        <f>IF(ISERROR(VLOOKUP($S$2412,'TAR FIN'!$A$1:$O$95,15,0)),0,VLOOKUP($S$2412,'TAR FIN'!$A$1:$O$95,15,0))</f>
        <v>0</v>
      </c>
      <c r="W2412" s="6">
        <f>IF(ISERROR(VLOOKUP($T$2412,'TAR FIN'!$A$1:$O$95,15,0)),0,VLOOKUP($T$2412,'TAR FIN'!$A$1:$O$95,15,0))</f>
        <v>450.19</v>
      </c>
      <c r="X2412" s="6">
        <f>IF(ISERROR(VLOOKUP($U$2412,'TAR FIN'!$A$1:$O$95,15,0)),0,VLOOKUP($U$2412,'TAR FIN'!$A$1:$O$95,15,0))</f>
        <v>243.3</v>
      </c>
      <c r="Y2412" s="6"/>
      <c r="Z2412" s="6">
        <f ca="1">('TUSD BE'!$AM$53+'TUSD BF'!$AM$53+'TUSD CVA'!$AM$53)*1</f>
        <v>506.5198438752322</v>
      </c>
      <c r="AA2412" s="6">
        <f>('TE BE'!$AA$41+'TE BF'!$AA$41+'TE CVA'!$AA$41)*1</f>
        <v>297.20166373463735</v>
      </c>
      <c r="AB2412" s="6">
        <f>$K$2412*$V$2412</f>
        <v>0</v>
      </c>
      <c r="AC2412" s="6">
        <f>$M$2412*$W$2412</f>
        <v>1101048.1407900001</v>
      </c>
      <c r="AD2412" s="6">
        <f>$O$2412*$X$2412</f>
        <v>595048.78529999999</v>
      </c>
      <c r="AE2412" s="6">
        <f>$K$2412*$Y$2412</f>
        <v>0</v>
      </c>
      <c r="AF2412" s="6">
        <f ca="1">$M$2412*$Z$2412</f>
        <v>1238816.3494792543</v>
      </c>
      <c r="AG2412" s="6">
        <f>$O$2412*$AA$2412</f>
        <v>726878.29426401563</v>
      </c>
    </row>
    <row r="2413" spans="1:33" ht="11.25" customHeight="1" x14ac:dyDescent="0.25">
      <c r="A2413" s="4" t="s">
        <v>27</v>
      </c>
      <c r="B2413" s="4" t="s">
        <v>41</v>
      </c>
      <c r="C2413" s="4" t="s">
        <v>23</v>
      </c>
      <c r="D2413" s="4" t="s">
        <v>42</v>
      </c>
      <c r="E2413" s="4" t="s">
        <v>25</v>
      </c>
      <c r="F2413" s="4" t="s">
        <v>25</v>
      </c>
      <c r="G2413" s="4" t="s">
        <v>25</v>
      </c>
      <c r="H2413" s="4" t="s">
        <v>25</v>
      </c>
      <c r="I2413" s="5">
        <v>44317</v>
      </c>
      <c r="J2413" s="6">
        <v>0</v>
      </c>
      <c r="K2413" s="6">
        <v>0</v>
      </c>
      <c r="L2413" s="6">
        <v>-99.188999999999993</v>
      </c>
      <c r="M2413" s="6">
        <v>-99.188999999999993</v>
      </c>
      <c r="N2413" s="6">
        <v>-99.188999999999993</v>
      </c>
      <c r="O2413" s="6">
        <v>-99.188999999999993</v>
      </c>
      <c r="P2413" s="6">
        <v>0</v>
      </c>
      <c r="Q2413" s="4" t="s">
        <v>26</v>
      </c>
      <c r="R2413" s="4">
        <v>0</v>
      </c>
      <c r="S2413" s="6">
        <v>0</v>
      </c>
      <c r="T2413" s="6">
        <v>72</v>
      </c>
      <c r="U2413" s="6">
        <v>78</v>
      </c>
      <c r="V2413" s="6">
        <f>IF(ISERROR(VLOOKUP($S$2413,'TAR FIN'!$A$1:$O$95,15,0)),0,VLOOKUP($S$2413,'TAR FIN'!$A$1:$O$95,15,0))</f>
        <v>0</v>
      </c>
      <c r="W2413" s="6">
        <f>IF(ISERROR(VLOOKUP($T$2413,'TAR FIN'!$A$1:$O$95,15,0)),0,VLOOKUP($T$2413,'TAR FIN'!$A$1:$O$95,15,0))</f>
        <v>450.19</v>
      </c>
      <c r="X2413" s="6">
        <f>IF(ISERROR(VLOOKUP($U$2413,'TAR FIN'!$A$1:$O$95,15,0)),0,VLOOKUP($U$2413,'TAR FIN'!$A$1:$O$95,15,0))</f>
        <v>243.3</v>
      </c>
      <c r="Y2413" s="6"/>
      <c r="Z2413" s="6">
        <f ca="1">('TUSD BE'!$AM$53+'TUSD BF'!$AM$53+'TUSD CVA'!$AM$53)*1</f>
        <v>506.5198438752322</v>
      </c>
      <c r="AA2413" s="6">
        <f>('TE BE'!$AA$41+'TE BF'!$AA$41+'TE CVA'!$AA$41)*1</f>
        <v>297.20166373463735</v>
      </c>
      <c r="AB2413" s="6">
        <f>$K$2413*$V$2413</f>
        <v>0</v>
      </c>
      <c r="AC2413" s="6">
        <f>$M$2413*$W$2413</f>
        <v>-44653.895909999999</v>
      </c>
      <c r="AD2413" s="6">
        <f>$O$2413*$X$2413</f>
        <v>-24132.683699999998</v>
      </c>
      <c r="AE2413" s="6">
        <f>$K$2413*$Y$2413</f>
        <v>0</v>
      </c>
      <c r="AF2413" s="6">
        <f ca="1">$M$2413*$Z$2413</f>
        <v>-50241.1967941404</v>
      </c>
      <c r="AG2413" s="6">
        <f>$O$2413*$AA$2413</f>
        <v>-29479.13582417494</v>
      </c>
    </row>
    <row r="2414" spans="1:33" ht="11.25" customHeight="1" x14ac:dyDescent="0.25">
      <c r="A2414" s="4" t="s">
        <v>28</v>
      </c>
      <c r="B2414" s="4" t="s">
        <v>41</v>
      </c>
      <c r="C2414" s="4" t="s">
        <v>23</v>
      </c>
      <c r="D2414" s="4" t="s">
        <v>42</v>
      </c>
      <c r="E2414" s="4" t="s">
        <v>25</v>
      </c>
      <c r="F2414" s="4" t="s">
        <v>25</v>
      </c>
      <c r="G2414" s="4" t="s">
        <v>25</v>
      </c>
      <c r="H2414" s="4" t="s">
        <v>25</v>
      </c>
      <c r="I2414" s="5">
        <v>44317</v>
      </c>
      <c r="J2414" s="6">
        <v>0</v>
      </c>
      <c r="K2414" s="6">
        <v>0</v>
      </c>
      <c r="L2414" s="6">
        <v>998.69100000000003</v>
      </c>
      <c r="M2414" s="6">
        <v>998.69100000000003</v>
      </c>
      <c r="N2414" s="6">
        <v>998.69100000000003</v>
      </c>
      <c r="O2414" s="6">
        <v>998.69100000000003</v>
      </c>
      <c r="P2414" s="6">
        <v>701</v>
      </c>
      <c r="Q2414" s="4" t="s">
        <v>26</v>
      </c>
      <c r="R2414" s="4">
        <v>0</v>
      </c>
      <c r="S2414" s="6">
        <v>0</v>
      </c>
      <c r="T2414" s="6">
        <v>72</v>
      </c>
      <c r="U2414" s="6">
        <v>78</v>
      </c>
      <c r="V2414" s="6">
        <f>IF(ISERROR(VLOOKUP($S$2414,'TAR FIN'!$A$1:$O$95,15,0)),0,VLOOKUP($S$2414,'TAR FIN'!$A$1:$O$95,15,0))</f>
        <v>0</v>
      </c>
      <c r="W2414" s="6">
        <f>IF(ISERROR(VLOOKUP($T$2414,'TAR FIN'!$A$1:$O$95,15,0)),0,VLOOKUP($T$2414,'TAR FIN'!$A$1:$O$95,15,0))</f>
        <v>450.19</v>
      </c>
      <c r="X2414" s="6">
        <f>IF(ISERROR(VLOOKUP($U$2414,'TAR FIN'!$A$1:$O$95,15,0)),0,VLOOKUP($U$2414,'TAR FIN'!$A$1:$O$95,15,0))</f>
        <v>243.3</v>
      </c>
      <c r="Y2414" s="6"/>
      <c r="Z2414" s="6">
        <f ca="1">('TUSD BE'!$AM$53+'TUSD BF'!$AM$53+'TUSD CVA'!$AM$53)*1</f>
        <v>506.5198438752322</v>
      </c>
      <c r="AA2414" s="6">
        <f>('TE BE'!$AA$41+'TE BF'!$AA$41+'TE CVA'!$AA$41)*1</f>
        <v>297.20166373463735</v>
      </c>
      <c r="AB2414" s="6">
        <f>$K$2414*$V$2414</f>
        <v>0</v>
      </c>
      <c r="AC2414" s="6">
        <f>$M$2414*$W$2414</f>
        <v>449600.70129</v>
      </c>
      <c r="AD2414" s="6">
        <f>$O$2414*$X$2414</f>
        <v>242981.52030000003</v>
      </c>
      <c r="AE2414" s="6">
        <f>$K$2414*$Y$2414</f>
        <v>0</v>
      </c>
      <c r="AF2414" s="6">
        <f ca="1">$M$2414*$Z$2414</f>
        <v>505856.80939959956</v>
      </c>
      <c r="AG2414" s="6">
        <f>$O$2414*$AA$2414</f>
        <v>296812.62675680872</v>
      </c>
    </row>
    <row r="2415" spans="1:33" ht="11.25" customHeight="1" x14ac:dyDescent="0.25">
      <c r="A2415" s="4" t="s">
        <v>29</v>
      </c>
      <c r="B2415" s="4" t="s">
        <v>41</v>
      </c>
      <c r="C2415" s="4" t="s">
        <v>23</v>
      </c>
      <c r="D2415" s="4" t="s">
        <v>42</v>
      </c>
      <c r="E2415" s="4" t="s">
        <v>25</v>
      </c>
      <c r="F2415" s="4" t="s">
        <v>25</v>
      </c>
      <c r="G2415" s="4" t="s">
        <v>25</v>
      </c>
      <c r="H2415" s="4" t="s">
        <v>25</v>
      </c>
      <c r="I2415" s="5">
        <v>44317</v>
      </c>
      <c r="J2415" s="6">
        <v>0</v>
      </c>
      <c r="K2415" s="6">
        <v>0</v>
      </c>
      <c r="L2415" s="6">
        <v>-0.14099999999999999</v>
      </c>
      <c r="M2415" s="6">
        <v>-0.14099999999999999</v>
      </c>
      <c r="N2415" s="6">
        <v>-0.14099999999999999</v>
      </c>
      <c r="O2415" s="6">
        <v>-0.14099999999999999</v>
      </c>
      <c r="P2415" s="6">
        <v>0</v>
      </c>
      <c r="Q2415" s="4" t="s">
        <v>26</v>
      </c>
      <c r="R2415" s="4">
        <v>0</v>
      </c>
      <c r="S2415" s="6">
        <v>0</v>
      </c>
      <c r="T2415" s="6">
        <v>72</v>
      </c>
      <c r="U2415" s="6">
        <v>78</v>
      </c>
      <c r="V2415" s="6">
        <f>IF(ISERROR(VLOOKUP($S$2415,'TAR FIN'!$A$1:$O$95,15,0)),0,VLOOKUP($S$2415,'TAR FIN'!$A$1:$O$95,15,0))</f>
        <v>0</v>
      </c>
      <c r="W2415" s="6">
        <f>IF(ISERROR(VLOOKUP($T$2415,'TAR FIN'!$A$1:$O$95,15,0)),0,VLOOKUP($T$2415,'TAR FIN'!$A$1:$O$95,15,0))</f>
        <v>450.19</v>
      </c>
      <c r="X2415" s="6">
        <f>IF(ISERROR(VLOOKUP($U$2415,'TAR FIN'!$A$1:$O$95,15,0)),0,VLOOKUP($U$2415,'TAR FIN'!$A$1:$O$95,15,0))</f>
        <v>243.3</v>
      </c>
      <c r="Y2415" s="6"/>
      <c r="Z2415" s="6">
        <f ca="1">('TUSD BE'!$AM$53+'TUSD BF'!$AM$53+'TUSD CVA'!$AM$53)*1</f>
        <v>506.5198438752322</v>
      </c>
      <c r="AA2415" s="6">
        <f>('TE BE'!$AA$41+'TE BF'!$AA$41+'TE CVA'!$AA$41)*1</f>
        <v>297.20166373463735</v>
      </c>
      <c r="AB2415" s="6">
        <f>$K$2415*$V$2415</f>
        <v>0</v>
      </c>
      <c r="AC2415" s="6">
        <f>$M$2415*$W$2415</f>
        <v>-63.476789999999994</v>
      </c>
      <c r="AD2415" s="6">
        <f>$O$2415*$X$2415</f>
        <v>-34.305299999999995</v>
      </c>
      <c r="AE2415" s="6">
        <f>$K$2415*$Y$2415</f>
        <v>0</v>
      </c>
      <c r="AF2415" s="6">
        <f ca="1">$M$2415*$Z$2415</f>
        <v>-71.419297986407727</v>
      </c>
      <c r="AG2415" s="6">
        <f>$O$2415*$AA$2415</f>
        <v>-41.905434586583866</v>
      </c>
    </row>
    <row r="2416" spans="1:33" ht="11.25" customHeight="1" x14ac:dyDescent="0.25">
      <c r="A2416" s="4" t="s">
        <v>30</v>
      </c>
      <c r="B2416" s="4" t="s">
        <v>41</v>
      </c>
      <c r="C2416" s="4" t="s">
        <v>23</v>
      </c>
      <c r="D2416" s="4" t="s">
        <v>42</v>
      </c>
      <c r="E2416" s="4" t="s">
        <v>25</v>
      </c>
      <c r="F2416" s="4" t="s">
        <v>25</v>
      </c>
      <c r="G2416" s="4" t="s">
        <v>25</v>
      </c>
      <c r="H2416" s="4" t="s">
        <v>25</v>
      </c>
      <c r="I2416" s="5">
        <v>44317</v>
      </c>
      <c r="J2416" s="6">
        <v>0</v>
      </c>
      <c r="K2416" s="6">
        <v>0</v>
      </c>
      <c r="L2416" s="6">
        <v>39.142000000000003</v>
      </c>
      <c r="M2416" s="6">
        <v>39.142000000000003</v>
      </c>
      <c r="N2416" s="6">
        <v>39.142000000000003</v>
      </c>
      <c r="O2416" s="6">
        <v>39.142000000000003</v>
      </c>
      <c r="P2416" s="6">
        <v>16</v>
      </c>
      <c r="Q2416" s="4" t="s">
        <v>26</v>
      </c>
      <c r="R2416" s="4">
        <v>0</v>
      </c>
      <c r="S2416" s="6">
        <v>0</v>
      </c>
      <c r="T2416" s="6">
        <v>72</v>
      </c>
      <c r="U2416" s="6">
        <v>78</v>
      </c>
      <c r="V2416" s="6">
        <f>IF(ISERROR(VLOOKUP($S$2416,'TAR FIN'!$A$1:$O$95,15,0)),0,VLOOKUP($S$2416,'TAR FIN'!$A$1:$O$95,15,0))</f>
        <v>0</v>
      </c>
      <c r="W2416" s="6">
        <f>IF(ISERROR(VLOOKUP($T$2416,'TAR FIN'!$A$1:$O$95,15,0)),0,VLOOKUP($T$2416,'TAR FIN'!$A$1:$O$95,15,0))</f>
        <v>450.19</v>
      </c>
      <c r="X2416" s="6">
        <f>IF(ISERROR(VLOOKUP($U$2416,'TAR FIN'!$A$1:$O$95,15,0)),0,VLOOKUP($U$2416,'TAR FIN'!$A$1:$O$95,15,0))</f>
        <v>243.3</v>
      </c>
      <c r="Y2416" s="6"/>
      <c r="Z2416" s="6">
        <f ca="1">('TUSD BE'!$AM$53+'TUSD BF'!$AM$53+'TUSD CVA'!$AM$53)*1</f>
        <v>506.5198438752322</v>
      </c>
      <c r="AA2416" s="6">
        <f>('TE BE'!$AA$41+'TE BF'!$AA$41+'TE CVA'!$AA$41)*1</f>
        <v>297.20166373463735</v>
      </c>
      <c r="AB2416" s="6">
        <f>$K$2416*$V$2416</f>
        <v>0</v>
      </c>
      <c r="AC2416" s="6">
        <f>$M$2416*$W$2416</f>
        <v>17621.33698</v>
      </c>
      <c r="AD2416" s="6">
        <f>$O$2416*$X$2416</f>
        <v>9523.2486000000008</v>
      </c>
      <c r="AE2416" s="6">
        <f>$K$2416*$Y$2416</f>
        <v>0</v>
      </c>
      <c r="AF2416" s="6">
        <f ca="1">$M$2416*$Z$2416</f>
        <v>19826.19972896434</v>
      </c>
      <c r="AG2416" s="6">
        <f>$O$2416*$AA$2416</f>
        <v>11633.067521901175</v>
      </c>
    </row>
    <row r="2417" spans="1:33" ht="11.25" customHeight="1" x14ac:dyDescent="0.25">
      <c r="A2417" s="4" t="s">
        <v>21</v>
      </c>
      <c r="B2417" s="4" t="s">
        <v>41</v>
      </c>
      <c r="C2417" s="4" t="s">
        <v>23</v>
      </c>
      <c r="D2417" s="4" t="s">
        <v>42</v>
      </c>
      <c r="E2417" s="4" t="s">
        <v>25</v>
      </c>
      <c r="F2417" s="4" t="s">
        <v>25</v>
      </c>
      <c r="G2417" s="4" t="s">
        <v>25</v>
      </c>
      <c r="H2417" s="4" t="s">
        <v>25</v>
      </c>
      <c r="I2417" s="5">
        <v>44348</v>
      </c>
      <c r="J2417" s="6">
        <v>0</v>
      </c>
      <c r="K2417" s="6">
        <v>0</v>
      </c>
      <c r="L2417" s="6">
        <v>2396.7190000000001</v>
      </c>
      <c r="M2417" s="6">
        <v>2396.7190000000001</v>
      </c>
      <c r="N2417" s="6">
        <v>2396.7190000000001</v>
      </c>
      <c r="O2417" s="6">
        <v>2396.7190000000001</v>
      </c>
      <c r="P2417" s="6">
        <v>1050</v>
      </c>
      <c r="Q2417" s="4" t="s">
        <v>26</v>
      </c>
      <c r="R2417" s="4">
        <v>0</v>
      </c>
      <c r="S2417" s="6">
        <v>0</v>
      </c>
      <c r="T2417" s="6">
        <v>72</v>
      </c>
      <c r="U2417" s="6">
        <v>78</v>
      </c>
      <c r="V2417" s="6">
        <f>IF(ISERROR(VLOOKUP($S$2417,'TAR FIN'!$A$1:$O$95,15,0)),0,VLOOKUP($S$2417,'TAR FIN'!$A$1:$O$95,15,0))</f>
        <v>0</v>
      </c>
      <c r="W2417" s="6">
        <f>IF(ISERROR(VLOOKUP($T$2417,'TAR FIN'!$A$1:$O$95,15,0)),0,VLOOKUP($T$2417,'TAR FIN'!$A$1:$O$95,15,0))</f>
        <v>450.19</v>
      </c>
      <c r="X2417" s="6">
        <f>IF(ISERROR(VLOOKUP($U$2417,'TAR FIN'!$A$1:$O$95,15,0)),0,VLOOKUP($U$2417,'TAR FIN'!$A$1:$O$95,15,0))</f>
        <v>243.3</v>
      </c>
      <c r="Y2417" s="6"/>
      <c r="Z2417" s="6">
        <f ca="1">('TUSD BE'!$AM$53+'TUSD BF'!$AM$53+'TUSD CVA'!$AM$53)*1</f>
        <v>506.5198438752322</v>
      </c>
      <c r="AA2417" s="6">
        <f>('TE BE'!$AA$41+'TE BF'!$AA$41+'TE CVA'!$AA$41)*1</f>
        <v>297.20166373463735</v>
      </c>
      <c r="AB2417" s="6">
        <f>$K$2417*$V$2417</f>
        <v>0</v>
      </c>
      <c r="AC2417" s="6">
        <f>$M$2417*$W$2417</f>
        <v>1078978.92661</v>
      </c>
      <c r="AD2417" s="6">
        <f>$O$2417*$X$2417</f>
        <v>583121.73270000005</v>
      </c>
      <c r="AE2417" s="6">
        <f>$K$2417*$Y$2417</f>
        <v>0</v>
      </c>
      <c r="AF2417" s="6">
        <f ca="1">$M$2417*$Z$2417</f>
        <v>1213985.7336928027</v>
      </c>
      <c r="AG2417" s="6">
        <f>$O$2417*$AA$2417</f>
        <v>712308.87430441636</v>
      </c>
    </row>
    <row r="2418" spans="1:33" ht="11.25" customHeight="1" x14ac:dyDescent="0.25">
      <c r="A2418" s="4" t="s">
        <v>28</v>
      </c>
      <c r="B2418" s="4" t="s">
        <v>41</v>
      </c>
      <c r="C2418" s="4" t="s">
        <v>23</v>
      </c>
      <c r="D2418" s="4" t="s">
        <v>42</v>
      </c>
      <c r="E2418" s="4" t="s">
        <v>25</v>
      </c>
      <c r="F2418" s="4" t="s">
        <v>25</v>
      </c>
      <c r="G2418" s="4" t="s">
        <v>25</v>
      </c>
      <c r="H2418" s="4" t="s">
        <v>25</v>
      </c>
      <c r="I2418" s="5">
        <v>44348</v>
      </c>
      <c r="J2418" s="6">
        <v>0</v>
      </c>
      <c r="K2418" s="6">
        <v>0</v>
      </c>
      <c r="L2418" s="6">
        <v>906.35799999999995</v>
      </c>
      <c r="M2418" s="6">
        <v>906.35799999999995</v>
      </c>
      <c r="N2418" s="6">
        <v>906.35799999999995</v>
      </c>
      <c r="O2418" s="6">
        <v>906.35799999999995</v>
      </c>
      <c r="P2418" s="6">
        <v>697</v>
      </c>
      <c r="Q2418" s="4" t="s">
        <v>26</v>
      </c>
      <c r="R2418" s="4">
        <v>0</v>
      </c>
      <c r="S2418" s="6">
        <v>0</v>
      </c>
      <c r="T2418" s="6">
        <v>72</v>
      </c>
      <c r="U2418" s="6">
        <v>78</v>
      </c>
      <c r="V2418" s="6">
        <f>IF(ISERROR(VLOOKUP($S$2418,'TAR FIN'!$A$1:$O$95,15,0)),0,VLOOKUP($S$2418,'TAR FIN'!$A$1:$O$95,15,0))</f>
        <v>0</v>
      </c>
      <c r="W2418" s="6">
        <f>IF(ISERROR(VLOOKUP($T$2418,'TAR FIN'!$A$1:$O$95,15,0)),0,VLOOKUP($T$2418,'TAR FIN'!$A$1:$O$95,15,0))</f>
        <v>450.19</v>
      </c>
      <c r="X2418" s="6">
        <f>IF(ISERROR(VLOOKUP($U$2418,'TAR FIN'!$A$1:$O$95,15,0)),0,VLOOKUP($U$2418,'TAR FIN'!$A$1:$O$95,15,0))</f>
        <v>243.3</v>
      </c>
      <c r="Y2418" s="6"/>
      <c r="Z2418" s="6">
        <f ca="1">('TUSD BE'!$AM$53+'TUSD BF'!$AM$53+'TUSD CVA'!$AM$53)*1</f>
        <v>506.5198438752322</v>
      </c>
      <c r="AA2418" s="6">
        <f>('TE BE'!$AA$41+'TE BF'!$AA$41+'TE CVA'!$AA$41)*1</f>
        <v>297.20166373463735</v>
      </c>
      <c r="AB2418" s="6">
        <f>$K$2418*$V$2418</f>
        <v>0</v>
      </c>
      <c r="AC2418" s="6">
        <f>$M$2418*$W$2418</f>
        <v>408033.30802</v>
      </c>
      <c r="AD2418" s="6">
        <f>$O$2418*$X$2418</f>
        <v>220516.9014</v>
      </c>
      <c r="AE2418" s="6">
        <f>$K$2418*$Y$2418</f>
        <v>0</v>
      </c>
      <c r="AF2418" s="6">
        <f ca="1">$M$2418*$Z$2418</f>
        <v>459088.31265506765</v>
      </c>
      <c r="AG2418" s="6">
        <f>$O$2418*$AA$2418</f>
        <v>269371.10553919844</v>
      </c>
    </row>
    <row r="2419" spans="1:33" ht="11.25" customHeight="1" x14ac:dyDescent="0.25">
      <c r="A2419" s="4" t="s">
        <v>29</v>
      </c>
      <c r="B2419" s="4" t="s">
        <v>41</v>
      </c>
      <c r="C2419" s="4" t="s">
        <v>23</v>
      </c>
      <c r="D2419" s="4" t="s">
        <v>42</v>
      </c>
      <c r="E2419" s="4" t="s">
        <v>25</v>
      </c>
      <c r="F2419" s="4" t="s">
        <v>25</v>
      </c>
      <c r="G2419" s="4" t="s">
        <v>25</v>
      </c>
      <c r="H2419" s="4" t="s">
        <v>25</v>
      </c>
      <c r="I2419" s="5">
        <v>44348</v>
      </c>
      <c r="J2419" s="6">
        <v>0</v>
      </c>
      <c r="K2419" s="6">
        <v>0</v>
      </c>
      <c r="L2419" s="6">
        <v>-43.301000000000002</v>
      </c>
      <c r="M2419" s="6">
        <v>-43.301000000000002</v>
      </c>
      <c r="N2419" s="6">
        <v>-43.301000000000002</v>
      </c>
      <c r="O2419" s="6">
        <v>-43.301000000000002</v>
      </c>
      <c r="P2419" s="6">
        <v>0</v>
      </c>
      <c r="Q2419" s="4" t="s">
        <v>26</v>
      </c>
      <c r="R2419" s="4">
        <v>0</v>
      </c>
      <c r="S2419" s="6">
        <v>0</v>
      </c>
      <c r="T2419" s="6">
        <v>72</v>
      </c>
      <c r="U2419" s="6">
        <v>78</v>
      </c>
      <c r="V2419" s="6">
        <f>IF(ISERROR(VLOOKUP($S$2419,'TAR FIN'!$A$1:$O$95,15,0)),0,VLOOKUP($S$2419,'TAR FIN'!$A$1:$O$95,15,0))</f>
        <v>0</v>
      </c>
      <c r="W2419" s="6">
        <f>IF(ISERROR(VLOOKUP($T$2419,'TAR FIN'!$A$1:$O$95,15,0)),0,VLOOKUP($T$2419,'TAR FIN'!$A$1:$O$95,15,0))</f>
        <v>450.19</v>
      </c>
      <c r="X2419" s="6">
        <f>IF(ISERROR(VLOOKUP($U$2419,'TAR FIN'!$A$1:$O$95,15,0)),0,VLOOKUP($U$2419,'TAR FIN'!$A$1:$O$95,15,0))</f>
        <v>243.3</v>
      </c>
      <c r="Y2419" s="6"/>
      <c r="Z2419" s="6">
        <f ca="1">('TUSD BE'!$AM$53+'TUSD BF'!$AM$53+'TUSD CVA'!$AM$53)*1</f>
        <v>506.5198438752322</v>
      </c>
      <c r="AA2419" s="6">
        <f>('TE BE'!$AA$41+'TE BF'!$AA$41+'TE CVA'!$AA$41)*1</f>
        <v>297.20166373463735</v>
      </c>
      <c r="AB2419" s="6">
        <f>$K$2419*$V$2419</f>
        <v>0</v>
      </c>
      <c r="AC2419" s="6">
        <f>$M$2419*$W$2419</f>
        <v>-19493.677190000002</v>
      </c>
      <c r="AD2419" s="6">
        <f>$O$2419*$X$2419</f>
        <v>-10535.133300000001</v>
      </c>
      <c r="AE2419" s="6">
        <f>$K$2419*$Y$2419</f>
        <v>0</v>
      </c>
      <c r="AF2419" s="6">
        <f ca="1">$M$2419*$Z$2419</f>
        <v>-21932.815759641431</v>
      </c>
      <c r="AG2419" s="6">
        <f>$O$2419*$AA$2419</f>
        <v>-12869.129241373532</v>
      </c>
    </row>
    <row r="2420" spans="1:33" ht="11.25" customHeight="1" x14ac:dyDescent="0.25">
      <c r="A2420" s="4" t="s">
        <v>30</v>
      </c>
      <c r="B2420" s="4" t="s">
        <v>41</v>
      </c>
      <c r="C2420" s="4" t="s">
        <v>23</v>
      </c>
      <c r="D2420" s="4" t="s">
        <v>42</v>
      </c>
      <c r="E2420" s="4" t="s">
        <v>25</v>
      </c>
      <c r="F2420" s="4" t="s">
        <v>25</v>
      </c>
      <c r="G2420" s="4" t="s">
        <v>25</v>
      </c>
      <c r="H2420" s="4" t="s">
        <v>25</v>
      </c>
      <c r="I2420" s="5">
        <v>44348</v>
      </c>
      <c r="J2420" s="6">
        <v>0</v>
      </c>
      <c r="K2420" s="6">
        <v>0</v>
      </c>
      <c r="L2420" s="6">
        <v>59.628999999999998</v>
      </c>
      <c r="M2420" s="6">
        <v>59.628999999999998</v>
      </c>
      <c r="N2420" s="6">
        <v>59.628999999999998</v>
      </c>
      <c r="O2420" s="6">
        <v>59.628999999999998</v>
      </c>
      <c r="P2420" s="6">
        <v>19</v>
      </c>
      <c r="Q2420" s="4" t="s">
        <v>26</v>
      </c>
      <c r="R2420" s="4">
        <v>0</v>
      </c>
      <c r="S2420" s="6">
        <v>0</v>
      </c>
      <c r="T2420" s="6">
        <v>72</v>
      </c>
      <c r="U2420" s="6">
        <v>78</v>
      </c>
      <c r="V2420" s="6">
        <f>IF(ISERROR(VLOOKUP($S$2420,'TAR FIN'!$A$1:$O$95,15,0)),0,VLOOKUP($S$2420,'TAR FIN'!$A$1:$O$95,15,0))</f>
        <v>0</v>
      </c>
      <c r="W2420" s="6">
        <f>IF(ISERROR(VLOOKUP($T$2420,'TAR FIN'!$A$1:$O$95,15,0)),0,VLOOKUP($T$2420,'TAR FIN'!$A$1:$O$95,15,0))</f>
        <v>450.19</v>
      </c>
      <c r="X2420" s="6">
        <f>IF(ISERROR(VLOOKUP($U$2420,'TAR FIN'!$A$1:$O$95,15,0)),0,VLOOKUP($U$2420,'TAR FIN'!$A$1:$O$95,15,0))</f>
        <v>243.3</v>
      </c>
      <c r="Y2420" s="6"/>
      <c r="Z2420" s="6">
        <f ca="1">('TUSD BE'!$AM$53+'TUSD BF'!$AM$53+'TUSD CVA'!$AM$53)*1</f>
        <v>506.5198438752322</v>
      </c>
      <c r="AA2420" s="6">
        <f>('TE BE'!$AA$41+'TE BF'!$AA$41+'TE CVA'!$AA$41)*1</f>
        <v>297.20166373463735</v>
      </c>
      <c r="AB2420" s="6">
        <f>$K$2420*$V$2420</f>
        <v>0</v>
      </c>
      <c r="AC2420" s="6">
        <f>$M$2420*$W$2420</f>
        <v>26844.379509999999</v>
      </c>
      <c r="AD2420" s="6">
        <f>$O$2420*$X$2420</f>
        <v>14507.735699999999</v>
      </c>
      <c r="AE2420" s="6">
        <f>$K$2420*$Y$2420</f>
        <v>0</v>
      </c>
      <c r="AF2420" s="6">
        <f ca="1">$M$2420*$Z$2420</f>
        <v>30203.271770436219</v>
      </c>
      <c r="AG2420" s="6">
        <f>$O$2420*$AA$2420</f>
        <v>17721.838006832691</v>
      </c>
    </row>
    <row r="2421" spans="1:33" ht="11.25" customHeight="1" x14ac:dyDescent="0.25">
      <c r="A2421" s="4" t="s">
        <v>21</v>
      </c>
      <c r="B2421" s="4" t="s">
        <v>41</v>
      </c>
      <c r="C2421" s="4" t="s">
        <v>23</v>
      </c>
      <c r="D2421" s="4" t="s">
        <v>42</v>
      </c>
      <c r="E2421" s="4" t="s">
        <v>25</v>
      </c>
      <c r="F2421" s="4" t="s">
        <v>25</v>
      </c>
      <c r="G2421" s="4" t="s">
        <v>25</v>
      </c>
      <c r="H2421" s="4" t="s">
        <v>25</v>
      </c>
      <c r="I2421" s="5">
        <v>44378</v>
      </c>
      <c r="J2421" s="6">
        <v>0</v>
      </c>
      <c r="K2421" s="6">
        <v>0</v>
      </c>
      <c r="L2421" s="6">
        <v>2408.8809999999999</v>
      </c>
      <c r="M2421" s="6">
        <v>2408.8809999999999</v>
      </c>
      <c r="N2421" s="6">
        <v>2408.8809999999999</v>
      </c>
      <c r="O2421" s="6">
        <v>2408.8809999999999</v>
      </c>
      <c r="P2421" s="6">
        <v>1036</v>
      </c>
      <c r="Q2421" s="4" t="s">
        <v>26</v>
      </c>
      <c r="R2421" s="4">
        <v>0</v>
      </c>
      <c r="S2421" s="6">
        <v>0</v>
      </c>
      <c r="T2421" s="6">
        <v>72</v>
      </c>
      <c r="U2421" s="6">
        <v>78</v>
      </c>
      <c r="V2421" s="6">
        <f>IF(ISERROR(VLOOKUP($S$2421,'TAR FIN'!$A$1:$O$95,15,0)),0,VLOOKUP($S$2421,'TAR FIN'!$A$1:$O$95,15,0))</f>
        <v>0</v>
      </c>
      <c r="W2421" s="6">
        <f>IF(ISERROR(VLOOKUP($T$2421,'TAR FIN'!$A$1:$O$95,15,0)),0,VLOOKUP($T$2421,'TAR FIN'!$A$1:$O$95,15,0))</f>
        <v>450.19</v>
      </c>
      <c r="X2421" s="6">
        <f>IF(ISERROR(VLOOKUP($U$2421,'TAR FIN'!$A$1:$O$95,15,0)),0,VLOOKUP($U$2421,'TAR FIN'!$A$1:$O$95,15,0))</f>
        <v>243.3</v>
      </c>
      <c r="Y2421" s="6"/>
      <c r="Z2421" s="6">
        <f ca="1">('TUSD BE'!$AM$53+'TUSD BF'!$AM$53+'TUSD CVA'!$AM$53)*1</f>
        <v>506.5198438752322</v>
      </c>
      <c r="AA2421" s="6">
        <f>('TE BE'!$AA$41+'TE BF'!$AA$41+'TE CVA'!$AA$41)*1</f>
        <v>297.20166373463735</v>
      </c>
      <c r="AB2421" s="6">
        <f>$K$2421*$V$2421</f>
        <v>0</v>
      </c>
      <c r="AC2421" s="6">
        <f>$M$2421*$W$2421</f>
        <v>1084454.1373899998</v>
      </c>
      <c r="AD2421" s="6">
        <f>$O$2421*$X$2421</f>
        <v>586080.74730000005</v>
      </c>
      <c r="AE2421" s="6">
        <f>$K$2421*$Y$2421</f>
        <v>0</v>
      </c>
      <c r="AF2421" s="6">
        <f ca="1">$M$2421*$Z$2421</f>
        <v>1220146.0280340132</v>
      </c>
      <c r="AG2421" s="6">
        <f>$O$2421*$AA$2421</f>
        <v>715923.44093875692</v>
      </c>
    </row>
    <row r="2422" spans="1:33" ht="11.25" customHeight="1" x14ac:dyDescent="0.25">
      <c r="A2422" s="4" t="s">
        <v>27</v>
      </c>
      <c r="B2422" s="4" t="s">
        <v>41</v>
      </c>
      <c r="C2422" s="4" t="s">
        <v>23</v>
      </c>
      <c r="D2422" s="4" t="s">
        <v>42</v>
      </c>
      <c r="E2422" s="4" t="s">
        <v>25</v>
      </c>
      <c r="F2422" s="4" t="s">
        <v>25</v>
      </c>
      <c r="G2422" s="4" t="s">
        <v>25</v>
      </c>
      <c r="H2422" s="4" t="s">
        <v>25</v>
      </c>
      <c r="I2422" s="5">
        <v>44378</v>
      </c>
      <c r="J2422" s="6">
        <v>0</v>
      </c>
      <c r="K2422" s="6">
        <v>0</v>
      </c>
      <c r="L2422" s="6">
        <v>-22.704000000000001</v>
      </c>
      <c r="M2422" s="6">
        <v>-22.704000000000001</v>
      </c>
      <c r="N2422" s="6">
        <v>-22.704000000000001</v>
      </c>
      <c r="O2422" s="6">
        <v>-22.704000000000001</v>
      </c>
      <c r="P2422" s="6">
        <v>0</v>
      </c>
      <c r="Q2422" s="4" t="s">
        <v>26</v>
      </c>
      <c r="R2422" s="4">
        <v>0</v>
      </c>
      <c r="S2422" s="6">
        <v>0</v>
      </c>
      <c r="T2422" s="6">
        <v>72</v>
      </c>
      <c r="U2422" s="6">
        <v>78</v>
      </c>
      <c r="V2422" s="6">
        <f>IF(ISERROR(VLOOKUP($S$2422,'TAR FIN'!$A$1:$O$95,15,0)),0,VLOOKUP($S$2422,'TAR FIN'!$A$1:$O$95,15,0))</f>
        <v>0</v>
      </c>
      <c r="W2422" s="6">
        <f>IF(ISERROR(VLOOKUP($T$2422,'TAR FIN'!$A$1:$O$95,15,0)),0,VLOOKUP($T$2422,'TAR FIN'!$A$1:$O$95,15,0))</f>
        <v>450.19</v>
      </c>
      <c r="X2422" s="6">
        <f>IF(ISERROR(VLOOKUP($U$2422,'TAR FIN'!$A$1:$O$95,15,0)),0,VLOOKUP($U$2422,'TAR FIN'!$A$1:$O$95,15,0))</f>
        <v>243.3</v>
      </c>
      <c r="Y2422" s="6"/>
      <c r="Z2422" s="6">
        <f ca="1">('TUSD BE'!$AM$53+'TUSD BF'!$AM$53+'TUSD CVA'!$AM$53)*1</f>
        <v>506.5198438752322</v>
      </c>
      <c r="AA2422" s="6">
        <f>('TE BE'!$AA$41+'TE BF'!$AA$41+'TE CVA'!$AA$41)*1</f>
        <v>297.20166373463735</v>
      </c>
      <c r="AB2422" s="6">
        <f>$K$2422*$V$2422</f>
        <v>0</v>
      </c>
      <c r="AC2422" s="6">
        <f>$M$2422*$W$2422</f>
        <v>-10221.11376</v>
      </c>
      <c r="AD2422" s="6">
        <f>$O$2422*$X$2422</f>
        <v>-5523.8832000000002</v>
      </c>
      <c r="AE2422" s="6">
        <f>$K$2422*$Y$2422</f>
        <v>0</v>
      </c>
      <c r="AF2422" s="6">
        <f ca="1">$M$2422*$Z$2422</f>
        <v>-11500.026535343271</v>
      </c>
      <c r="AG2422" s="6">
        <f>$O$2422*$AA$2422</f>
        <v>-6747.6665734312064</v>
      </c>
    </row>
    <row r="2423" spans="1:33" ht="11.25" customHeight="1" x14ac:dyDescent="0.25">
      <c r="A2423" s="4" t="s">
        <v>28</v>
      </c>
      <c r="B2423" s="4" t="s">
        <v>41</v>
      </c>
      <c r="C2423" s="4" t="s">
        <v>23</v>
      </c>
      <c r="D2423" s="4" t="s">
        <v>42</v>
      </c>
      <c r="E2423" s="4" t="s">
        <v>25</v>
      </c>
      <c r="F2423" s="4" t="s">
        <v>25</v>
      </c>
      <c r="G2423" s="4" t="s">
        <v>25</v>
      </c>
      <c r="H2423" s="4" t="s">
        <v>25</v>
      </c>
      <c r="I2423" s="5">
        <v>44378</v>
      </c>
      <c r="J2423" s="6">
        <v>0</v>
      </c>
      <c r="K2423" s="6">
        <v>0</v>
      </c>
      <c r="L2423" s="6">
        <v>1148.9929999999999</v>
      </c>
      <c r="M2423" s="6">
        <v>1148.9929999999999</v>
      </c>
      <c r="N2423" s="6">
        <v>1148.9929999999999</v>
      </c>
      <c r="O2423" s="6">
        <v>1148.9929999999999</v>
      </c>
      <c r="P2423" s="6">
        <v>696</v>
      </c>
      <c r="Q2423" s="4" t="s">
        <v>26</v>
      </c>
      <c r="R2423" s="4">
        <v>0</v>
      </c>
      <c r="S2423" s="6">
        <v>0</v>
      </c>
      <c r="T2423" s="6">
        <v>72</v>
      </c>
      <c r="U2423" s="6">
        <v>78</v>
      </c>
      <c r="V2423" s="6">
        <f>IF(ISERROR(VLOOKUP($S$2423,'TAR FIN'!$A$1:$O$95,15,0)),0,VLOOKUP($S$2423,'TAR FIN'!$A$1:$O$95,15,0))</f>
        <v>0</v>
      </c>
      <c r="W2423" s="6">
        <f>IF(ISERROR(VLOOKUP($T$2423,'TAR FIN'!$A$1:$O$95,15,0)),0,VLOOKUP($T$2423,'TAR FIN'!$A$1:$O$95,15,0))</f>
        <v>450.19</v>
      </c>
      <c r="X2423" s="6">
        <f>IF(ISERROR(VLOOKUP($U$2423,'TAR FIN'!$A$1:$O$95,15,0)),0,VLOOKUP($U$2423,'TAR FIN'!$A$1:$O$95,15,0))</f>
        <v>243.3</v>
      </c>
      <c r="Y2423" s="6"/>
      <c r="Z2423" s="6">
        <f ca="1">('TUSD BE'!$AM$53+'TUSD BF'!$AM$53+'TUSD CVA'!$AM$53)*1</f>
        <v>506.5198438752322</v>
      </c>
      <c r="AA2423" s="6">
        <f>('TE BE'!$AA$41+'TE BF'!$AA$41+'TE CVA'!$AA$41)*1</f>
        <v>297.20166373463735</v>
      </c>
      <c r="AB2423" s="6">
        <f>$K$2423*$V$2423</f>
        <v>0</v>
      </c>
      <c r="AC2423" s="6">
        <f>$M$2423*$W$2423</f>
        <v>517265.15866999998</v>
      </c>
      <c r="AD2423" s="6">
        <f>$O$2423*$X$2423</f>
        <v>279549.99689999997</v>
      </c>
      <c r="AE2423" s="6">
        <f>$K$2423*$Y$2423</f>
        <v>0</v>
      </c>
      <c r="AF2423" s="6">
        <f ca="1">$M$2423*$Z$2423</f>
        <v>581987.75497373461</v>
      </c>
      <c r="AG2423" s="6">
        <f>$O$2423*$AA$2423</f>
        <v>341482.63121945213</v>
      </c>
    </row>
    <row r="2424" spans="1:33" ht="11.25" customHeight="1" x14ac:dyDescent="0.25">
      <c r="A2424" s="4" t="s">
        <v>29</v>
      </c>
      <c r="B2424" s="4" t="s">
        <v>41</v>
      </c>
      <c r="C2424" s="4" t="s">
        <v>23</v>
      </c>
      <c r="D2424" s="4" t="s">
        <v>42</v>
      </c>
      <c r="E2424" s="4" t="s">
        <v>25</v>
      </c>
      <c r="F2424" s="4" t="s">
        <v>25</v>
      </c>
      <c r="G2424" s="4" t="s">
        <v>25</v>
      </c>
      <c r="H2424" s="4" t="s">
        <v>25</v>
      </c>
      <c r="I2424" s="5">
        <v>44378</v>
      </c>
      <c r="J2424" s="6">
        <v>0</v>
      </c>
      <c r="K2424" s="6">
        <v>0</v>
      </c>
      <c r="L2424" s="6">
        <v>-2.968</v>
      </c>
      <c r="M2424" s="6">
        <v>-2.968</v>
      </c>
      <c r="N2424" s="6">
        <v>-2.968</v>
      </c>
      <c r="O2424" s="6">
        <v>-2.968</v>
      </c>
      <c r="P2424" s="6">
        <v>0</v>
      </c>
      <c r="Q2424" s="4" t="s">
        <v>26</v>
      </c>
      <c r="R2424" s="4">
        <v>0</v>
      </c>
      <c r="S2424" s="6">
        <v>0</v>
      </c>
      <c r="T2424" s="6">
        <v>72</v>
      </c>
      <c r="U2424" s="6">
        <v>78</v>
      </c>
      <c r="V2424" s="6">
        <f>IF(ISERROR(VLOOKUP($S$2424,'TAR FIN'!$A$1:$O$95,15,0)),0,VLOOKUP($S$2424,'TAR FIN'!$A$1:$O$95,15,0))</f>
        <v>0</v>
      </c>
      <c r="W2424" s="6">
        <f>IF(ISERROR(VLOOKUP($T$2424,'TAR FIN'!$A$1:$O$95,15,0)),0,VLOOKUP($T$2424,'TAR FIN'!$A$1:$O$95,15,0))</f>
        <v>450.19</v>
      </c>
      <c r="X2424" s="6">
        <f>IF(ISERROR(VLOOKUP($U$2424,'TAR FIN'!$A$1:$O$95,15,0)),0,VLOOKUP($U$2424,'TAR FIN'!$A$1:$O$95,15,0))</f>
        <v>243.3</v>
      </c>
      <c r="Y2424" s="6"/>
      <c r="Z2424" s="6">
        <f ca="1">('TUSD BE'!$AM$53+'TUSD BF'!$AM$53+'TUSD CVA'!$AM$53)*1</f>
        <v>506.5198438752322</v>
      </c>
      <c r="AA2424" s="6">
        <f>('TE BE'!$AA$41+'TE BF'!$AA$41+'TE CVA'!$AA$41)*1</f>
        <v>297.20166373463735</v>
      </c>
      <c r="AB2424" s="6">
        <f>$K$2424*$V$2424</f>
        <v>0</v>
      </c>
      <c r="AC2424" s="6">
        <f>$M$2424*$W$2424</f>
        <v>-1336.16392</v>
      </c>
      <c r="AD2424" s="6">
        <f>$O$2424*$X$2424</f>
        <v>-722.11440000000005</v>
      </c>
      <c r="AE2424" s="6">
        <f>$K$2424*$Y$2424</f>
        <v>0</v>
      </c>
      <c r="AF2424" s="6">
        <f ca="1">$M$2424*$Z$2424</f>
        <v>-1503.3508966216891</v>
      </c>
      <c r="AG2424" s="6">
        <f>$O$2424*$AA$2424</f>
        <v>-882.09453796440368</v>
      </c>
    </row>
    <row r="2425" spans="1:33" ht="11.25" customHeight="1" x14ac:dyDescent="0.25">
      <c r="A2425" s="4" t="s">
        <v>30</v>
      </c>
      <c r="B2425" s="4" t="s">
        <v>41</v>
      </c>
      <c r="C2425" s="4" t="s">
        <v>23</v>
      </c>
      <c r="D2425" s="4" t="s">
        <v>42</v>
      </c>
      <c r="E2425" s="4" t="s">
        <v>25</v>
      </c>
      <c r="F2425" s="4" t="s">
        <v>25</v>
      </c>
      <c r="G2425" s="4" t="s">
        <v>25</v>
      </c>
      <c r="H2425" s="4" t="s">
        <v>25</v>
      </c>
      <c r="I2425" s="5">
        <v>44378</v>
      </c>
      <c r="J2425" s="6">
        <v>0</v>
      </c>
      <c r="K2425" s="6">
        <v>0</v>
      </c>
      <c r="L2425" s="6">
        <v>51.043999999999997</v>
      </c>
      <c r="M2425" s="6">
        <v>51.043999999999997</v>
      </c>
      <c r="N2425" s="6">
        <v>51.043999999999997</v>
      </c>
      <c r="O2425" s="6">
        <v>51.043999999999997</v>
      </c>
      <c r="P2425" s="6">
        <v>19</v>
      </c>
      <c r="Q2425" s="4" t="s">
        <v>26</v>
      </c>
      <c r="R2425" s="4">
        <v>0</v>
      </c>
      <c r="S2425" s="6">
        <v>0</v>
      </c>
      <c r="T2425" s="6">
        <v>72</v>
      </c>
      <c r="U2425" s="6">
        <v>78</v>
      </c>
      <c r="V2425" s="6">
        <f>IF(ISERROR(VLOOKUP($S$2425,'TAR FIN'!$A$1:$O$95,15,0)),0,VLOOKUP($S$2425,'TAR FIN'!$A$1:$O$95,15,0))</f>
        <v>0</v>
      </c>
      <c r="W2425" s="6">
        <f>IF(ISERROR(VLOOKUP($T$2425,'TAR FIN'!$A$1:$O$95,15,0)),0,VLOOKUP($T$2425,'TAR FIN'!$A$1:$O$95,15,0))</f>
        <v>450.19</v>
      </c>
      <c r="X2425" s="6">
        <f>IF(ISERROR(VLOOKUP($U$2425,'TAR FIN'!$A$1:$O$95,15,0)),0,VLOOKUP($U$2425,'TAR FIN'!$A$1:$O$95,15,0))</f>
        <v>243.3</v>
      </c>
      <c r="Y2425" s="6"/>
      <c r="Z2425" s="6">
        <f ca="1">('TUSD BE'!$AM$53+'TUSD BF'!$AM$53+'TUSD CVA'!$AM$53)*1</f>
        <v>506.5198438752322</v>
      </c>
      <c r="AA2425" s="6">
        <f>('TE BE'!$AA$41+'TE BF'!$AA$41+'TE CVA'!$AA$41)*1</f>
        <v>297.20166373463735</v>
      </c>
      <c r="AB2425" s="6">
        <f>$K$2425*$V$2425</f>
        <v>0</v>
      </c>
      <c r="AC2425" s="6">
        <f>$M$2425*$W$2425</f>
        <v>22979.498359999998</v>
      </c>
      <c r="AD2425" s="6">
        <f>$O$2425*$X$2425</f>
        <v>12419.0052</v>
      </c>
      <c r="AE2425" s="6">
        <f>$K$2425*$Y$2425</f>
        <v>0</v>
      </c>
      <c r="AF2425" s="6">
        <f ca="1">$M$2425*$Z$2425</f>
        <v>25854.798910767349</v>
      </c>
      <c r="AG2425" s="6">
        <f>$O$2425*$AA$2425</f>
        <v>15170.361723670829</v>
      </c>
    </row>
    <row r="2426" spans="1:33" ht="11.25" customHeight="1" x14ac:dyDescent="0.25">
      <c r="A2426" s="4" t="s">
        <v>30</v>
      </c>
      <c r="B2426" s="4" t="s">
        <v>41</v>
      </c>
      <c r="C2426" s="4" t="s">
        <v>23</v>
      </c>
      <c r="D2426" s="4" t="s">
        <v>42</v>
      </c>
      <c r="E2426" s="4" t="s">
        <v>25</v>
      </c>
      <c r="F2426" s="4" t="s">
        <v>25</v>
      </c>
      <c r="G2426" s="4" t="s">
        <v>25</v>
      </c>
      <c r="H2426" s="4" t="s">
        <v>25</v>
      </c>
      <c r="I2426" s="5">
        <v>44378</v>
      </c>
      <c r="J2426" s="6">
        <v>0</v>
      </c>
      <c r="K2426" s="6">
        <v>0</v>
      </c>
      <c r="L2426" s="6">
        <v>-2.125</v>
      </c>
      <c r="M2426" s="6">
        <v>-2.125</v>
      </c>
      <c r="N2426" s="6">
        <v>-2.125</v>
      </c>
      <c r="O2426" s="6">
        <v>-2.125</v>
      </c>
      <c r="P2426" s="6">
        <v>0</v>
      </c>
      <c r="Q2426" s="4" t="s">
        <v>26</v>
      </c>
      <c r="R2426" s="4">
        <v>0</v>
      </c>
      <c r="S2426" s="6">
        <v>0</v>
      </c>
      <c r="T2426" s="6">
        <v>72</v>
      </c>
      <c r="U2426" s="6">
        <v>78</v>
      </c>
      <c r="V2426" s="6">
        <f>IF(ISERROR(VLOOKUP($S$2426,'TAR FIN'!$A$1:$O$95,15,0)),0,VLOOKUP($S$2426,'TAR FIN'!$A$1:$O$95,15,0))</f>
        <v>0</v>
      </c>
      <c r="W2426" s="6">
        <f>IF(ISERROR(VLOOKUP($T$2426,'TAR FIN'!$A$1:$O$95,15,0)),0,VLOOKUP($T$2426,'TAR FIN'!$A$1:$O$95,15,0))</f>
        <v>450.19</v>
      </c>
      <c r="X2426" s="6">
        <f>IF(ISERROR(VLOOKUP($U$2426,'TAR FIN'!$A$1:$O$95,15,0)),0,VLOOKUP($U$2426,'TAR FIN'!$A$1:$O$95,15,0))</f>
        <v>243.3</v>
      </c>
      <c r="Y2426" s="6"/>
      <c r="Z2426" s="6">
        <f ca="1">('TUSD BE'!$AM$53+'TUSD BF'!$AM$53+'TUSD CVA'!$AM$53)*1</f>
        <v>506.5198438752322</v>
      </c>
      <c r="AA2426" s="6">
        <f>('TE BE'!$AA$41+'TE BF'!$AA$41+'TE CVA'!$AA$41)*1</f>
        <v>297.20166373463735</v>
      </c>
      <c r="AB2426" s="6">
        <f>$K$2426*$V$2426</f>
        <v>0</v>
      </c>
      <c r="AC2426" s="6">
        <f>$M$2426*$W$2426</f>
        <v>-956.65374999999995</v>
      </c>
      <c r="AD2426" s="6">
        <f>$O$2426*$X$2426</f>
        <v>-517.01250000000005</v>
      </c>
      <c r="AE2426" s="6">
        <f>$K$2426*$Y$2426</f>
        <v>0</v>
      </c>
      <c r="AF2426" s="6">
        <f ca="1">$M$2426*$Z$2426</f>
        <v>-1076.3546682348683</v>
      </c>
      <c r="AG2426" s="6">
        <f>$O$2426*$AA$2426</f>
        <v>-631.55353543610431</v>
      </c>
    </row>
    <row r="2427" spans="1:33" ht="11.25" customHeight="1" x14ac:dyDescent="0.25">
      <c r="A2427" s="4" t="s">
        <v>21</v>
      </c>
      <c r="B2427" s="4" t="s">
        <v>41</v>
      </c>
      <c r="C2427" s="4" t="s">
        <v>23</v>
      </c>
      <c r="D2427" s="4" t="s">
        <v>42</v>
      </c>
      <c r="E2427" s="4" t="s">
        <v>25</v>
      </c>
      <c r="F2427" s="4" t="s">
        <v>25</v>
      </c>
      <c r="G2427" s="4" t="s">
        <v>25</v>
      </c>
      <c r="H2427" s="4" t="s">
        <v>25</v>
      </c>
      <c r="I2427" s="5">
        <v>44409</v>
      </c>
      <c r="J2427" s="6">
        <v>0</v>
      </c>
      <c r="K2427" s="6">
        <v>0</v>
      </c>
      <c r="L2427" s="6">
        <v>2718.8209999999999</v>
      </c>
      <c r="M2427" s="6">
        <v>2718.8209999999999</v>
      </c>
      <c r="N2427" s="6">
        <v>2718.8209999999999</v>
      </c>
      <c r="O2427" s="6">
        <v>2718.8209999999999</v>
      </c>
      <c r="P2427" s="6">
        <v>1037</v>
      </c>
      <c r="Q2427" s="4" t="s">
        <v>26</v>
      </c>
      <c r="R2427" s="4">
        <v>0</v>
      </c>
      <c r="S2427" s="6">
        <v>0</v>
      </c>
      <c r="T2427" s="6">
        <v>72</v>
      </c>
      <c r="U2427" s="6">
        <v>78</v>
      </c>
      <c r="V2427" s="6">
        <f>IF(ISERROR(VLOOKUP($S$2427,'TAR FIN'!$A$1:$O$95,15,0)),0,VLOOKUP($S$2427,'TAR FIN'!$A$1:$O$95,15,0))</f>
        <v>0</v>
      </c>
      <c r="W2427" s="6">
        <f>IF(ISERROR(VLOOKUP($T$2427,'TAR FIN'!$A$1:$O$95,15,0)),0,VLOOKUP($T$2427,'TAR FIN'!$A$1:$O$95,15,0))</f>
        <v>450.19</v>
      </c>
      <c r="X2427" s="6">
        <f>IF(ISERROR(VLOOKUP($U$2427,'TAR FIN'!$A$1:$O$95,15,0)),0,VLOOKUP($U$2427,'TAR FIN'!$A$1:$O$95,15,0))</f>
        <v>243.3</v>
      </c>
      <c r="Y2427" s="6"/>
      <c r="Z2427" s="6">
        <f ca="1">('TUSD BE'!$AM$53+'TUSD BF'!$AM$53+'TUSD CVA'!$AM$53)*1</f>
        <v>506.5198438752322</v>
      </c>
      <c r="AA2427" s="6">
        <f>('TE BE'!$AA$41+'TE BF'!$AA$41+'TE CVA'!$AA$41)*1</f>
        <v>297.20166373463735</v>
      </c>
      <c r="AB2427" s="6">
        <f>$K$2427*$V$2427</f>
        <v>0</v>
      </c>
      <c r="AC2427" s="6">
        <f>$M$2427*$W$2427</f>
        <v>1223986.02599</v>
      </c>
      <c r="AD2427" s="6">
        <f>$O$2427*$X$2427</f>
        <v>661489.14930000005</v>
      </c>
      <c r="AE2427" s="6">
        <f>$K$2427*$Y$2427</f>
        <v>0</v>
      </c>
      <c r="AF2427" s="6">
        <f ca="1">$M$2427*$Z$2427</f>
        <v>1377136.7884447027</v>
      </c>
      <c r="AG2427" s="6">
        <f>$O$2427*$AA$2427</f>
        <v>808038.12459667039</v>
      </c>
    </row>
    <row r="2428" spans="1:33" ht="11.25" customHeight="1" x14ac:dyDescent="0.25">
      <c r="A2428" s="4" t="s">
        <v>27</v>
      </c>
      <c r="B2428" s="4" t="s">
        <v>41</v>
      </c>
      <c r="C2428" s="4" t="s">
        <v>23</v>
      </c>
      <c r="D2428" s="4" t="s">
        <v>42</v>
      </c>
      <c r="E2428" s="4" t="s">
        <v>25</v>
      </c>
      <c r="F2428" s="4" t="s">
        <v>25</v>
      </c>
      <c r="G2428" s="4" t="s">
        <v>25</v>
      </c>
      <c r="H2428" s="4" t="s">
        <v>25</v>
      </c>
      <c r="I2428" s="5">
        <v>44409</v>
      </c>
      <c r="J2428" s="6">
        <v>0</v>
      </c>
      <c r="K2428" s="6">
        <v>0</v>
      </c>
      <c r="L2428" s="6">
        <v>-69.606999999999999</v>
      </c>
      <c r="M2428" s="6">
        <v>-69.606999999999999</v>
      </c>
      <c r="N2428" s="6">
        <v>-69.606999999999999</v>
      </c>
      <c r="O2428" s="6">
        <v>-69.606999999999999</v>
      </c>
      <c r="P2428" s="6">
        <v>0</v>
      </c>
      <c r="Q2428" s="4" t="s">
        <v>26</v>
      </c>
      <c r="R2428" s="4">
        <v>0</v>
      </c>
      <c r="S2428" s="6">
        <v>0</v>
      </c>
      <c r="T2428" s="6">
        <v>72</v>
      </c>
      <c r="U2428" s="6">
        <v>78</v>
      </c>
      <c r="V2428" s="6">
        <f>IF(ISERROR(VLOOKUP($S$2428,'TAR FIN'!$A$1:$O$95,15,0)),0,VLOOKUP($S$2428,'TAR FIN'!$A$1:$O$95,15,0))</f>
        <v>0</v>
      </c>
      <c r="W2428" s="6">
        <f>IF(ISERROR(VLOOKUP($T$2428,'TAR FIN'!$A$1:$O$95,15,0)),0,VLOOKUP($T$2428,'TAR FIN'!$A$1:$O$95,15,0))</f>
        <v>450.19</v>
      </c>
      <c r="X2428" s="6">
        <f>IF(ISERROR(VLOOKUP($U$2428,'TAR FIN'!$A$1:$O$95,15,0)),0,VLOOKUP($U$2428,'TAR FIN'!$A$1:$O$95,15,0))</f>
        <v>243.3</v>
      </c>
      <c r="Y2428" s="6"/>
      <c r="Z2428" s="6">
        <f ca="1">('TUSD BE'!$AM$53+'TUSD BF'!$AM$53+'TUSD CVA'!$AM$53)*1</f>
        <v>506.5198438752322</v>
      </c>
      <c r="AA2428" s="6">
        <f>('TE BE'!$AA$41+'TE BF'!$AA$41+'TE CVA'!$AA$41)*1</f>
        <v>297.20166373463735</v>
      </c>
      <c r="AB2428" s="6">
        <f>$K$2428*$V$2428</f>
        <v>0</v>
      </c>
      <c r="AC2428" s="6">
        <f>$M$2428*$W$2428</f>
        <v>-31336.375329999999</v>
      </c>
      <c r="AD2428" s="6">
        <f>$O$2428*$X$2428</f>
        <v>-16935.383099999999</v>
      </c>
      <c r="AE2428" s="6">
        <f>$K$2428*$Y$2428</f>
        <v>0</v>
      </c>
      <c r="AF2428" s="6">
        <f ca="1">$M$2428*$Z$2428</f>
        <v>-35257.326772623288</v>
      </c>
      <c r="AG2428" s="6">
        <f>$O$2428*$AA$2428</f>
        <v>-20687.316207576903</v>
      </c>
    </row>
    <row r="2429" spans="1:33" ht="11.25" customHeight="1" x14ac:dyDescent="0.25">
      <c r="A2429" s="4" t="s">
        <v>28</v>
      </c>
      <c r="B2429" s="4" t="s">
        <v>41</v>
      </c>
      <c r="C2429" s="4" t="s">
        <v>23</v>
      </c>
      <c r="D2429" s="4" t="s">
        <v>42</v>
      </c>
      <c r="E2429" s="4" t="s">
        <v>25</v>
      </c>
      <c r="F2429" s="4" t="s">
        <v>25</v>
      </c>
      <c r="G2429" s="4" t="s">
        <v>25</v>
      </c>
      <c r="H2429" s="4" t="s">
        <v>25</v>
      </c>
      <c r="I2429" s="5">
        <v>44409</v>
      </c>
      <c r="J2429" s="6">
        <v>0</v>
      </c>
      <c r="K2429" s="6">
        <v>0</v>
      </c>
      <c r="L2429" s="6">
        <v>1051.758</v>
      </c>
      <c r="M2429" s="6">
        <v>1051.758</v>
      </c>
      <c r="N2429" s="6">
        <v>1051.758</v>
      </c>
      <c r="O2429" s="6">
        <v>1051.758</v>
      </c>
      <c r="P2429" s="6">
        <v>694</v>
      </c>
      <c r="Q2429" s="4" t="s">
        <v>26</v>
      </c>
      <c r="R2429" s="4">
        <v>0</v>
      </c>
      <c r="S2429" s="6">
        <v>0</v>
      </c>
      <c r="T2429" s="6">
        <v>72</v>
      </c>
      <c r="U2429" s="6">
        <v>78</v>
      </c>
      <c r="V2429" s="6">
        <f>IF(ISERROR(VLOOKUP($S$2429,'TAR FIN'!$A$1:$O$95,15,0)),0,VLOOKUP($S$2429,'TAR FIN'!$A$1:$O$95,15,0))</f>
        <v>0</v>
      </c>
      <c r="W2429" s="6">
        <f>IF(ISERROR(VLOOKUP($T$2429,'TAR FIN'!$A$1:$O$95,15,0)),0,VLOOKUP($T$2429,'TAR FIN'!$A$1:$O$95,15,0))</f>
        <v>450.19</v>
      </c>
      <c r="X2429" s="6">
        <f>IF(ISERROR(VLOOKUP($U$2429,'TAR FIN'!$A$1:$O$95,15,0)),0,VLOOKUP($U$2429,'TAR FIN'!$A$1:$O$95,15,0))</f>
        <v>243.3</v>
      </c>
      <c r="Y2429" s="6"/>
      <c r="Z2429" s="6">
        <f ca="1">('TUSD BE'!$AM$53+'TUSD BF'!$AM$53+'TUSD CVA'!$AM$53)*1</f>
        <v>506.5198438752322</v>
      </c>
      <c r="AA2429" s="6">
        <f>('TE BE'!$AA$41+'TE BF'!$AA$41+'TE CVA'!$AA$41)*1</f>
        <v>297.20166373463735</v>
      </c>
      <c r="AB2429" s="6">
        <f>$K$2429*$V$2429</f>
        <v>0</v>
      </c>
      <c r="AC2429" s="6">
        <f>$M$2429*$W$2429</f>
        <v>473490.93401999999</v>
      </c>
      <c r="AD2429" s="6">
        <f>$O$2429*$X$2429</f>
        <v>255892.72140000001</v>
      </c>
      <c r="AE2429" s="6">
        <f>$K$2429*$Y$2429</f>
        <v>0</v>
      </c>
      <c r="AF2429" s="6">
        <f ca="1">$M$2429*$Z$2429</f>
        <v>532736.2979545265</v>
      </c>
      <c r="AG2429" s="6">
        <f>$O$2429*$AA$2429</f>
        <v>312584.2274462147</v>
      </c>
    </row>
    <row r="2430" spans="1:33" ht="11.25" customHeight="1" x14ac:dyDescent="0.25">
      <c r="A2430" s="4" t="s">
        <v>29</v>
      </c>
      <c r="B2430" s="4" t="s">
        <v>41</v>
      </c>
      <c r="C2430" s="4" t="s">
        <v>23</v>
      </c>
      <c r="D2430" s="4" t="s">
        <v>42</v>
      </c>
      <c r="E2430" s="4" t="s">
        <v>25</v>
      </c>
      <c r="F2430" s="4" t="s">
        <v>25</v>
      </c>
      <c r="G2430" s="4" t="s">
        <v>25</v>
      </c>
      <c r="H2430" s="4" t="s">
        <v>25</v>
      </c>
      <c r="I2430" s="5">
        <v>44409</v>
      </c>
      <c r="J2430" s="6">
        <v>0</v>
      </c>
      <c r="K2430" s="6">
        <v>0</v>
      </c>
      <c r="L2430" s="6">
        <v>4</v>
      </c>
      <c r="M2430" s="6">
        <v>4</v>
      </c>
      <c r="N2430" s="6">
        <v>4</v>
      </c>
      <c r="O2430" s="6">
        <v>4</v>
      </c>
      <c r="P2430" s="6">
        <v>0</v>
      </c>
      <c r="Q2430" s="4" t="s">
        <v>26</v>
      </c>
      <c r="R2430" s="4">
        <v>0</v>
      </c>
      <c r="S2430" s="6">
        <v>0</v>
      </c>
      <c r="T2430" s="6">
        <v>72</v>
      </c>
      <c r="U2430" s="6">
        <v>78</v>
      </c>
      <c r="V2430" s="6">
        <f>IF(ISERROR(VLOOKUP($S$2430,'TAR FIN'!$A$1:$O$95,15,0)),0,VLOOKUP($S$2430,'TAR FIN'!$A$1:$O$95,15,0))</f>
        <v>0</v>
      </c>
      <c r="W2430" s="6">
        <f>IF(ISERROR(VLOOKUP($T$2430,'TAR FIN'!$A$1:$O$95,15,0)),0,VLOOKUP($T$2430,'TAR FIN'!$A$1:$O$95,15,0))</f>
        <v>450.19</v>
      </c>
      <c r="X2430" s="6">
        <f>IF(ISERROR(VLOOKUP($U$2430,'TAR FIN'!$A$1:$O$95,15,0)),0,VLOOKUP($U$2430,'TAR FIN'!$A$1:$O$95,15,0))</f>
        <v>243.3</v>
      </c>
      <c r="Y2430" s="6"/>
      <c r="Z2430" s="6">
        <f ca="1">('TUSD BE'!$AM$53+'TUSD BF'!$AM$53+'TUSD CVA'!$AM$53)*1</f>
        <v>506.5198438752322</v>
      </c>
      <c r="AA2430" s="6">
        <f>('TE BE'!$AA$41+'TE BF'!$AA$41+'TE CVA'!$AA$41)*1</f>
        <v>297.20166373463735</v>
      </c>
      <c r="AB2430" s="6">
        <f>$K$2430*$V$2430</f>
        <v>0</v>
      </c>
      <c r="AC2430" s="6">
        <f>$M$2430*$W$2430</f>
        <v>1800.76</v>
      </c>
      <c r="AD2430" s="6">
        <f>$O$2430*$X$2430</f>
        <v>973.2</v>
      </c>
      <c r="AE2430" s="6">
        <f>$K$2430*$Y$2430</f>
        <v>0</v>
      </c>
      <c r="AF2430" s="6">
        <f ca="1">$M$2430*$Z$2430</f>
        <v>2026.0793755009288</v>
      </c>
      <c r="AG2430" s="6">
        <f>$O$2430*$AA$2430</f>
        <v>1188.8066549385494</v>
      </c>
    </row>
    <row r="2431" spans="1:33" ht="11.25" customHeight="1" x14ac:dyDescent="0.25">
      <c r="A2431" s="4" t="s">
        <v>30</v>
      </c>
      <c r="B2431" s="4" t="s">
        <v>41</v>
      </c>
      <c r="C2431" s="4" t="s">
        <v>23</v>
      </c>
      <c r="D2431" s="4" t="s">
        <v>42</v>
      </c>
      <c r="E2431" s="4" t="s">
        <v>25</v>
      </c>
      <c r="F2431" s="4" t="s">
        <v>25</v>
      </c>
      <c r="G2431" s="4" t="s">
        <v>25</v>
      </c>
      <c r="H2431" s="4" t="s">
        <v>25</v>
      </c>
      <c r="I2431" s="5">
        <v>44409</v>
      </c>
      <c r="J2431" s="6">
        <v>0</v>
      </c>
      <c r="K2431" s="6">
        <v>0</v>
      </c>
      <c r="L2431" s="6">
        <v>50.966999999999999</v>
      </c>
      <c r="M2431" s="6">
        <v>50.966999999999999</v>
      </c>
      <c r="N2431" s="6">
        <v>50.966999999999999</v>
      </c>
      <c r="O2431" s="6">
        <v>50.966999999999999</v>
      </c>
      <c r="P2431" s="6">
        <v>20</v>
      </c>
      <c r="Q2431" s="4" t="s">
        <v>26</v>
      </c>
      <c r="R2431" s="4">
        <v>0</v>
      </c>
      <c r="S2431" s="6">
        <v>0</v>
      </c>
      <c r="T2431" s="6">
        <v>72</v>
      </c>
      <c r="U2431" s="6">
        <v>78</v>
      </c>
      <c r="V2431" s="6">
        <f>IF(ISERROR(VLOOKUP($S$2431,'TAR FIN'!$A$1:$O$95,15,0)),0,VLOOKUP($S$2431,'TAR FIN'!$A$1:$O$95,15,0))</f>
        <v>0</v>
      </c>
      <c r="W2431" s="6">
        <f>IF(ISERROR(VLOOKUP($T$2431,'TAR FIN'!$A$1:$O$95,15,0)),0,VLOOKUP($T$2431,'TAR FIN'!$A$1:$O$95,15,0))</f>
        <v>450.19</v>
      </c>
      <c r="X2431" s="6">
        <f>IF(ISERROR(VLOOKUP($U$2431,'TAR FIN'!$A$1:$O$95,15,0)),0,VLOOKUP($U$2431,'TAR FIN'!$A$1:$O$95,15,0))</f>
        <v>243.3</v>
      </c>
      <c r="Y2431" s="6"/>
      <c r="Z2431" s="6">
        <f ca="1">('TUSD BE'!$AM$53+'TUSD BF'!$AM$53+'TUSD CVA'!$AM$53)*1</f>
        <v>506.5198438752322</v>
      </c>
      <c r="AA2431" s="6">
        <f>('TE BE'!$AA$41+'TE BF'!$AA$41+'TE CVA'!$AA$41)*1</f>
        <v>297.20166373463735</v>
      </c>
      <c r="AB2431" s="6">
        <f>$K$2431*$V$2431</f>
        <v>0</v>
      </c>
      <c r="AC2431" s="6">
        <f>$M$2431*$W$2431</f>
        <v>22944.833729999998</v>
      </c>
      <c r="AD2431" s="6">
        <f>$O$2431*$X$2431</f>
        <v>12400.2711</v>
      </c>
      <c r="AE2431" s="6">
        <f>$K$2431*$Y$2431</f>
        <v>0</v>
      </c>
      <c r="AF2431" s="6">
        <f ca="1">$M$2431*$Z$2431</f>
        <v>25815.79688278896</v>
      </c>
      <c r="AG2431" s="6">
        <f>$O$2431*$AA$2431</f>
        <v>15147.477195563262</v>
      </c>
    </row>
    <row r="2432" spans="1:33" ht="11.25" customHeight="1" x14ac:dyDescent="0.25">
      <c r="A2432" s="4" t="s">
        <v>21</v>
      </c>
      <c r="B2432" s="4" t="s">
        <v>41</v>
      </c>
      <c r="C2432" s="4" t="s">
        <v>23</v>
      </c>
      <c r="D2432" s="4" t="s">
        <v>42</v>
      </c>
      <c r="E2432" s="4" t="s">
        <v>25</v>
      </c>
      <c r="F2432" s="4" t="s">
        <v>25</v>
      </c>
      <c r="G2432" s="4" t="s">
        <v>25</v>
      </c>
      <c r="H2432" s="4" t="s">
        <v>25</v>
      </c>
      <c r="I2432" s="5">
        <v>44440</v>
      </c>
      <c r="J2432" s="6">
        <v>0</v>
      </c>
      <c r="K2432" s="6">
        <v>0</v>
      </c>
      <c r="L2432" s="6">
        <v>2325.569</v>
      </c>
      <c r="M2432" s="6">
        <v>2325.569</v>
      </c>
      <c r="N2432" s="6">
        <v>2325.569</v>
      </c>
      <c r="O2432" s="6">
        <v>2325.569</v>
      </c>
      <c r="P2432" s="6">
        <v>1018</v>
      </c>
      <c r="Q2432" s="4" t="s">
        <v>26</v>
      </c>
      <c r="R2432" s="4">
        <v>0</v>
      </c>
      <c r="S2432" s="6">
        <v>0</v>
      </c>
      <c r="T2432" s="6">
        <v>72</v>
      </c>
      <c r="U2432" s="6">
        <v>78</v>
      </c>
      <c r="V2432" s="6">
        <f>IF(ISERROR(VLOOKUP($S$2432,'TAR FIN'!$A$1:$O$95,15,0)),0,VLOOKUP($S$2432,'TAR FIN'!$A$1:$O$95,15,0))</f>
        <v>0</v>
      </c>
      <c r="W2432" s="6">
        <f>IF(ISERROR(VLOOKUP($T$2432,'TAR FIN'!$A$1:$O$95,15,0)),0,VLOOKUP($T$2432,'TAR FIN'!$A$1:$O$95,15,0))</f>
        <v>450.19</v>
      </c>
      <c r="X2432" s="6">
        <f>IF(ISERROR(VLOOKUP($U$2432,'TAR FIN'!$A$1:$O$95,15,0)),0,VLOOKUP($U$2432,'TAR FIN'!$A$1:$O$95,15,0))</f>
        <v>243.3</v>
      </c>
      <c r="Y2432" s="6"/>
      <c r="Z2432" s="6">
        <f ca="1">('TUSD BE'!$AM$53+'TUSD BF'!$AM$53+'TUSD CVA'!$AM$53)*1</f>
        <v>506.5198438752322</v>
      </c>
      <c r="AA2432" s="6">
        <f>('TE BE'!$AA$41+'TE BF'!$AA$41+'TE CVA'!$AA$41)*1</f>
        <v>297.20166373463735</v>
      </c>
      <c r="AB2432" s="6">
        <f>$K$2432*$V$2432</f>
        <v>0</v>
      </c>
      <c r="AC2432" s="6">
        <f>$M$2432*$W$2432</f>
        <v>1046947.90811</v>
      </c>
      <c r="AD2432" s="6">
        <f>$O$2432*$X$2432</f>
        <v>565810.93770000001</v>
      </c>
      <c r="AE2432" s="6">
        <f>$K$2432*$Y$2432</f>
        <v>0</v>
      </c>
      <c r="AF2432" s="6">
        <f ca="1">$M$2432*$Z$2432</f>
        <v>1177946.8468010798</v>
      </c>
      <c r="AG2432" s="6">
        <f>$O$2432*$AA$2432</f>
        <v>691162.97592969681</v>
      </c>
    </row>
    <row r="2433" spans="1:33" ht="11.25" customHeight="1" x14ac:dyDescent="0.25">
      <c r="A2433" s="4" t="s">
        <v>27</v>
      </c>
      <c r="B2433" s="4" t="s">
        <v>41</v>
      </c>
      <c r="C2433" s="4" t="s">
        <v>23</v>
      </c>
      <c r="D2433" s="4" t="s">
        <v>42</v>
      </c>
      <c r="E2433" s="4" t="s">
        <v>25</v>
      </c>
      <c r="F2433" s="4" t="s">
        <v>25</v>
      </c>
      <c r="G2433" s="4" t="s">
        <v>25</v>
      </c>
      <c r="H2433" s="4" t="s">
        <v>25</v>
      </c>
      <c r="I2433" s="5">
        <v>44440</v>
      </c>
      <c r="J2433" s="6">
        <v>0</v>
      </c>
      <c r="K2433" s="6">
        <v>0</v>
      </c>
      <c r="L2433" s="6">
        <v>-176.99700000000001</v>
      </c>
      <c r="M2433" s="6">
        <v>-176.99700000000001</v>
      </c>
      <c r="N2433" s="6">
        <v>-176.99700000000001</v>
      </c>
      <c r="O2433" s="6">
        <v>-176.99700000000001</v>
      </c>
      <c r="P2433" s="6">
        <v>0</v>
      </c>
      <c r="Q2433" s="4" t="s">
        <v>26</v>
      </c>
      <c r="R2433" s="4">
        <v>0</v>
      </c>
      <c r="S2433" s="6">
        <v>0</v>
      </c>
      <c r="T2433" s="6">
        <v>72</v>
      </c>
      <c r="U2433" s="6">
        <v>78</v>
      </c>
      <c r="V2433" s="6">
        <f>IF(ISERROR(VLOOKUP($S$2433,'TAR FIN'!$A$1:$O$95,15,0)),0,VLOOKUP($S$2433,'TAR FIN'!$A$1:$O$95,15,0))</f>
        <v>0</v>
      </c>
      <c r="W2433" s="6">
        <f>IF(ISERROR(VLOOKUP($T$2433,'TAR FIN'!$A$1:$O$95,15,0)),0,VLOOKUP($T$2433,'TAR FIN'!$A$1:$O$95,15,0))</f>
        <v>450.19</v>
      </c>
      <c r="X2433" s="6">
        <f>IF(ISERROR(VLOOKUP($U$2433,'TAR FIN'!$A$1:$O$95,15,0)),0,VLOOKUP($U$2433,'TAR FIN'!$A$1:$O$95,15,0))</f>
        <v>243.3</v>
      </c>
      <c r="Y2433" s="6"/>
      <c r="Z2433" s="6">
        <f ca="1">('TUSD BE'!$AM$53+'TUSD BF'!$AM$53+'TUSD CVA'!$AM$53)*1</f>
        <v>506.5198438752322</v>
      </c>
      <c r="AA2433" s="6">
        <f>('TE BE'!$AA$41+'TE BF'!$AA$41+'TE CVA'!$AA$41)*1</f>
        <v>297.20166373463735</v>
      </c>
      <c r="AB2433" s="6">
        <f>$K$2433*$V$2433</f>
        <v>0</v>
      </c>
      <c r="AC2433" s="6">
        <f>$M$2433*$W$2433</f>
        <v>-79682.27943000001</v>
      </c>
      <c r="AD2433" s="6">
        <f>$O$2433*$X$2433</f>
        <v>-43063.370100000007</v>
      </c>
      <c r="AE2433" s="6">
        <f>$K$2433*$Y$2433</f>
        <v>0</v>
      </c>
      <c r="AF2433" s="6">
        <f ca="1">$M$2433*$Z$2433</f>
        <v>-89652.492806384485</v>
      </c>
      <c r="AG2433" s="6">
        <f>$O$2433*$AA$2433</f>
        <v>-52603.802876039612</v>
      </c>
    </row>
    <row r="2434" spans="1:33" ht="11.25" customHeight="1" x14ac:dyDescent="0.25">
      <c r="A2434" s="4" t="s">
        <v>28</v>
      </c>
      <c r="B2434" s="4" t="s">
        <v>41</v>
      </c>
      <c r="C2434" s="4" t="s">
        <v>23</v>
      </c>
      <c r="D2434" s="4" t="s">
        <v>42</v>
      </c>
      <c r="E2434" s="4" t="s">
        <v>25</v>
      </c>
      <c r="F2434" s="4" t="s">
        <v>25</v>
      </c>
      <c r="G2434" s="4" t="s">
        <v>25</v>
      </c>
      <c r="H2434" s="4" t="s">
        <v>25</v>
      </c>
      <c r="I2434" s="5">
        <v>44440</v>
      </c>
      <c r="J2434" s="6">
        <v>0</v>
      </c>
      <c r="K2434" s="6">
        <v>0</v>
      </c>
      <c r="L2434" s="6">
        <v>1043.4449999999999</v>
      </c>
      <c r="M2434" s="6">
        <v>1043.4449999999999</v>
      </c>
      <c r="N2434" s="6">
        <v>1043.4449999999999</v>
      </c>
      <c r="O2434" s="6">
        <v>1043.4449999999999</v>
      </c>
      <c r="P2434" s="6">
        <v>689</v>
      </c>
      <c r="Q2434" s="4" t="s">
        <v>26</v>
      </c>
      <c r="R2434" s="4">
        <v>0</v>
      </c>
      <c r="S2434" s="6">
        <v>0</v>
      </c>
      <c r="T2434" s="6">
        <v>72</v>
      </c>
      <c r="U2434" s="6">
        <v>78</v>
      </c>
      <c r="V2434" s="6">
        <f>IF(ISERROR(VLOOKUP($S$2434,'TAR FIN'!$A$1:$O$95,15,0)),0,VLOOKUP($S$2434,'TAR FIN'!$A$1:$O$95,15,0))</f>
        <v>0</v>
      </c>
      <c r="W2434" s="6">
        <f>IF(ISERROR(VLOOKUP($T$2434,'TAR FIN'!$A$1:$O$95,15,0)),0,VLOOKUP($T$2434,'TAR FIN'!$A$1:$O$95,15,0))</f>
        <v>450.19</v>
      </c>
      <c r="X2434" s="6">
        <f>IF(ISERROR(VLOOKUP($U$2434,'TAR FIN'!$A$1:$O$95,15,0)),0,VLOOKUP($U$2434,'TAR FIN'!$A$1:$O$95,15,0))</f>
        <v>243.3</v>
      </c>
      <c r="Y2434" s="6"/>
      <c r="Z2434" s="6">
        <f ca="1">('TUSD BE'!$AM$53+'TUSD BF'!$AM$53+'TUSD CVA'!$AM$53)*1</f>
        <v>506.5198438752322</v>
      </c>
      <c r="AA2434" s="6">
        <f>('TE BE'!$AA$41+'TE BF'!$AA$41+'TE CVA'!$AA$41)*1</f>
        <v>297.20166373463735</v>
      </c>
      <c r="AB2434" s="6">
        <f>$K$2434*$V$2434</f>
        <v>0</v>
      </c>
      <c r="AC2434" s="6">
        <f>$M$2434*$W$2434</f>
        <v>469748.50454999995</v>
      </c>
      <c r="AD2434" s="6">
        <f>$O$2434*$X$2434</f>
        <v>253870.1685</v>
      </c>
      <c r="AE2434" s="6">
        <f>$K$2434*$Y$2434</f>
        <v>0</v>
      </c>
      <c r="AF2434" s="6">
        <f ca="1">$M$2434*$Z$2434</f>
        <v>528525.59849239164</v>
      </c>
      <c r="AG2434" s="6">
        <f>$O$2434*$AA$2434</f>
        <v>310113.59001558868</v>
      </c>
    </row>
    <row r="2435" spans="1:33" ht="11.25" customHeight="1" x14ac:dyDescent="0.25">
      <c r="A2435" s="4" t="s">
        <v>29</v>
      </c>
      <c r="B2435" s="4" t="s">
        <v>41</v>
      </c>
      <c r="C2435" s="4" t="s">
        <v>23</v>
      </c>
      <c r="D2435" s="4" t="s">
        <v>42</v>
      </c>
      <c r="E2435" s="4" t="s">
        <v>25</v>
      </c>
      <c r="F2435" s="4" t="s">
        <v>25</v>
      </c>
      <c r="G2435" s="4" t="s">
        <v>25</v>
      </c>
      <c r="H2435" s="4" t="s">
        <v>25</v>
      </c>
      <c r="I2435" s="5">
        <v>44440</v>
      </c>
      <c r="J2435" s="6">
        <v>0</v>
      </c>
      <c r="K2435" s="6">
        <v>0</v>
      </c>
      <c r="L2435" s="6">
        <v>-1.5129999999999999</v>
      </c>
      <c r="M2435" s="6">
        <v>-1.5129999999999999</v>
      </c>
      <c r="N2435" s="6">
        <v>-1.5129999999999999</v>
      </c>
      <c r="O2435" s="6">
        <v>-1.5129999999999999</v>
      </c>
      <c r="P2435" s="6">
        <v>0</v>
      </c>
      <c r="Q2435" s="4" t="s">
        <v>26</v>
      </c>
      <c r="R2435" s="4">
        <v>0</v>
      </c>
      <c r="S2435" s="6">
        <v>0</v>
      </c>
      <c r="T2435" s="6">
        <v>72</v>
      </c>
      <c r="U2435" s="6">
        <v>78</v>
      </c>
      <c r="V2435" s="6">
        <f>IF(ISERROR(VLOOKUP($S$2435,'TAR FIN'!$A$1:$O$95,15,0)),0,VLOOKUP($S$2435,'TAR FIN'!$A$1:$O$95,15,0))</f>
        <v>0</v>
      </c>
      <c r="W2435" s="6">
        <f>IF(ISERROR(VLOOKUP($T$2435,'TAR FIN'!$A$1:$O$95,15,0)),0,VLOOKUP($T$2435,'TAR FIN'!$A$1:$O$95,15,0))</f>
        <v>450.19</v>
      </c>
      <c r="X2435" s="6">
        <f>IF(ISERROR(VLOOKUP($U$2435,'TAR FIN'!$A$1:$O$95,15,0)),0,VLOOKUP($U$2435,'TAR FIN'!$A$1:$O$95,15,0))</f>
        <v>243.3</v>
      </c>
      <c r="Y2435" s="6"/>
      <c r="Z2435" s="6">
        <f ca="1">('TUSD BE'!$AM$53+'TUSD BF'!$AM$53+'TUSD CVA'!$AM$53)*1</f>
        <v>506.5198438752322</v>
      </c>
      <c r="AA2435" s="6">
        <f>('TE BE'!$AA$41+'TE BF'!$AA$41+'TE CVA'!$AA$41)*1</f>
        <v>297.20166373463735</v>
      </c>
      <c r="AB2435" s="6">
        <f>$K$2435*$V$2435</f>
        <v>0</v>
      </c>
      <c r="AC2435" s="6">
        <f>$M$2435*$W$2435</f>
        <v>-681.13747000000001</v>
      </c>
      <c r="AD2435" s="6">
        <f>$O$2435*$X$2435</f>
        <v>-368.11289999999997</v>
      </c>
      <c r="AE2435" s="6">
        <f>$K$2435*$Y$2435</f>
        <v>0</v>
      </c>
      <c r="AF2435" s="6">
        <f ca="1">$M$2435*$Z$2435</f>
        <v>-766.36452378322622</v>
      </c>
      <c r="AG2435" s="6">
        <f>$O$2435*$AA$2435</f>
        <v>-449.6661172305063</v>
      </c>
    </row>
    <row r="2436" spans="1:33" ht="11.25" customHeight="1" x14ac:dyDescent="0.25">
      <c r="A2436" s="4" t="s">
        <v>30</v>
      </c>
      <c r="B2436" s="4" t="s">
        <v>41</v>
      </c>
      <c r="C2436" s="4" t="s">
        <v>23</v>
      </c>
      <c r="D2436" s="4" t="s">
        <v>42</v>
      </c>
      <c r="E2436" s="4" t="s">
        <v>25</v>
      </c>
      <c r="F2436" s="4" t="s">
        <v>25</v>
      </c>
      <c r="G2436" s="4" t="s">
        <v>25</v>
      </c>
      <c r="H2436" s="4" t="s">
        <v>25</v>
      </c>
      <c r="I2436" s="5">
        <v>44440</v>
      </c>
      <c r="J2436" s="6">
        <v>0</v>
      </c>
      <c r="K2436" s="6">
        <v>0</v>
      </c>
      <c r="L2436" s="6">
        <v>67.442999999999998</v>
      </c>
      <c r="M2436" s="6">
        <v>67.442999999999998</v>
      </c>
      <c r="N2436" s="6">
        <v>67.442999999999998</v>
      </c>
      <c r="O2436" s="6">
        <v>67.442999999999998</v>
      </c>
      <c r="P2436" s="6">
        <v>22</v>
      </c>
      <c r="Q2436" s="4" t="s">
        <v>26</v>
      </c>
      <c r="R2436" s="4">
        <v>0</v>
      </c>
      <c r="S2436" s="6">
        <v>0</v>
      </c>
      <c r="T2436" s="6">
        <v>72</v>
      </c>
      <c r="U2436" s="6">
        <v>78</v>
      </c>
      <c r="V2436" s="6">
        <f>IF(ISERROR(VLOOKUP($S$2436,'TAR FIN'!$A$1:$O$95,15,0)),0,VLOOKUP($S$2436,'TAR FIN'!$A$1:$O$95,15,0))</f>
        <v>0</v>
      </c>
      <c r="W2436" s="6">
        <f>IF(ISERROR(VLOOKUP($T$2436,'TAR FIN'!$A$1:$O$95,15,0)),0,VLOOKUP($T$2436,'TAR FIN'!$A$1:$O$95,15,0))</f>
        <v>450.19</v>
      </c>
      <c r="X2436" s="6">
        <f>IF(ISERROR(VLOOKUP($U$2436,'TAR FIN'!$A$1:$O$95,15,0)),0,VLOOKUP($U$2436,'TAR FIN'!$A$1:$O$95,15,0))</f>
        <v>243.3</v>
      </c>
      <c r="Y2436" s="6"/>
      <c r="Z2436" s="6">
        <f ca="1">('TUSD BE'!$AM$53+'TUSD BF'!$AM$53+'TUSD CVA'!$AM$53)*1</f>
        <v>506.5198438752322</v>
      </c>
      <c r="AA2436" s="6">
        <f>('TE BE'!$AA$41+'TE BF'!$AA$41+'TE CVA'!$AA$41)*1</f>
        <v>297.20166373463735</v>
      </c>
      <c r="AB2436" s="6">
        <f>$K$2436*$V$2436</f>
        <v>0</v>
      </c>
      <c r="AC2436" s="6">
        <f>$M$2436*$W$2436</f>
        <v>30362.16417</v>
      </c>
      <c r="AD2436" s="6">
        <f>$O$2436*$X$2436</f>
        <v>16408.8819</v>
      </c>
      <c r="AE2436" s="6">
        <f>$K$2436*$Y$2436</f>
        <v>0</v>
      </c>
      <c r="AF2436" s="6">
        <f ca="1">$M$2436*$Z$2436</f>
        <v>34161.217830477282</v>
      </c>
      <c r="AG2436" s="6">
        <f>$O$2436*$AA$2436</f>
        <v>20044.171807255145</v>
      </c>
    </row>
    <row r="2437" spans="1:33" ht="11.25" customHeight="1" x14ac:dyDescent="0.25">
      <c r="A2437" s="4" t="s">
        <v>30</v>
      </c>
      <c r="B2437" s="4" t="s">
        <v>41</v>
      </c>
      <c r="C2437" s="4" t="s">
        <v>23</v>
      </c>
      <c r="D2437" s="4" t="s">
        <v>42</v>
      </c>
      <c r="E2437" s="4" t="s">
        <v>25</v>
      </c>
      <c r="F2437" s="4" t="s">
        <v>25</v>
      </c>
      <c r="G2437" s="4" t="s">
        <v>25</v>
      </c>
      <c r="H2437" s="4" t="s">
        <v>25</v>
      </c>
      <c r="I2437" s="5">
        <v>44440</v>
      </c>
      <c r="J2437" s="6">
        <v>0</v>
      </c>
      <c r="K2437" s="6">
        <v>0</v>
      </c>
      <c r="L2437" s="6">
        <v>-1.542</v>
      </c>
      <c r="M2437" s="6">
        <v>-1.542</v>
      </c>
      <c r="N2437" s="6">
        <v>-1.542</v>
      </c>
      <c r="O2437" s="6">
        <v>-1.542</v>
      </c>
      <c r="P2437" s="6">
        <v>0</v>
      </c>
      <c r="Q2437" s="4" t="s">
        <v>26</v>
      </c>
      <c r="R2437" s="4">
        <v>0</v>
      </c>
      <c r="S2437" s="6">
        <v>0</v>
      </c>
      <c r="T2437" s="6">
        <v>72</v>
      </c>
      <c r="U2437" s="6">
        <v>78</v>
      </c>
      <c r="V2437" s="6">
        <f>IF(ISERROR(VLOOKUP($S$2437,'TAR FIN'!$A$1:$O$95,15,0)),0,VLOOKUP($S$2437,'TAR FIN'!$A$1:$O$95,15,0))</f>
        <v>0</v>
      </c>
      <c r="W2437" s="6">
        <f>IF(ISERROR(VLOOKUP($T$2437,'TAR FIN'!$A$1:$O$95,15,0)),0,VLOOKUP($T$2437,'TAR FIN'!$A$1:$O$95,15,0))</f>
        <v>450.19</v>
      </c>
      <c r="X2437" s="6">
        <f>IF(ISERROR(VLOOKUP($U$2437,'TAR FIN'!$A$1:$O$95,15,0)),0,VLOOKUP($U$2437,'TAR FIN'!$A$1:$O$95,15,0))</f>
        <v>243.3</v>
      </c>
      <c r="Y2437" s="6"/>
      <c r="Z2437" s="6">
        <f ca="1">('TUSD BE'!$AM$53+'TUSD BF'!$AM$53+'TUSD CVA'!$AM$53)*1</f>
        <v>506.5198438752322</v>
      </c>
      <c r="AA2437" s="6">
        <f>('TE BE'!$AA$41+'TE BF'!$AA$41+'TE CVA'!$AA$41)*1</f>
        <v>297.20166373463735</v>
      </c>
      <c r="AB2437" s="6">
        <f>$K$2437*$V$2437</f>
        <v>0</v>
      </c>
      <c r="AC2437" s="6">
        <f>$M$2437*$W$2437</f>
        <v>-694.19298000000003</v>
      </c>
      <c r="AD2437" s="6">
        <f>$O$2437*$X$2437</f>
        <v>-375.16860000000003</v>
      </c>
      <c r="AE2437" s="6">
        <f>$K$2437*$Y$2437</f>
        <v>0</v>
      </c>
      <c r="AF2437" s="6">
        <f ca="1">$M$2437*$Z$2437</f>
        <v>-781.05359925560811</v>
      </c>
      <c r="AG2437" s="6">
        <f>$O$2437*$AA$2437</f>
        <v>-458.28496547881082</v>
      </c>
    </row>
    <row r="2438" spans="1:33" ht="11.25" customHeight="1" x14ac:dyDescent="0.25">
      <c r="A2438" s="4" t="s">
        <v>59</v>
      </c>
      <c r="B2438" s="4" t="s">
        <v>41</v>
      </c>
      <c r="C2438" s="4" t="s">
        <v>23</v>
      </c>
      <c r="D2438" s="4" t="s">
        <v>42</v>
      </c>
      <c r="E2438" s="4" t="s">
        <v>25</v>
      </c>
      <c r="F2438" s="4" t="s">
        <v>25</v>
      </c>
      <c r="G2438" s="4" t="s">
        <v>25</v>
      </c>
      <c r="H2438" s="4" t="s">
        <v>25</v>
      </c>
      <c r="I2438" s="5">
        <v>44470</v>
      </c>
      <c r="J2438" s="6">
        <v>0</v>
      </c>
      <c r="K2438" s="6">
        <v>0</v>
      </c>
      <c r="L2438" s="6">
        <v>2325.569</v>
      </c>
      <c r="M2438" s="6">
        <v>2325.569</v>
      </c>
      <c r="N2438" s="6">
        <v>2325.569</v>
      </c>
      <c r="O2438" s="6">
        <v>2325.569</v>
      </c>
      <c r="P2438" s="6">
        <v>1018</v>
      </c>
      <c r="Q2438" s="4" t="s">
        <v>26</v>
      </c>
      <c r="R2438" s="4">
        <v>0</v>
      </c>
      <c r="S2438" s="6">
        <v>0</v>
      </c>
      <c r="T2438" s="6">
        <v>72</v>
      </c>
      <c r="U2438" s="6">
        <v>78</v>
      </c>
      <c r="V2438" s="6">
        <f>IF(ISERROR(VLOOKUP($S$2438,'TAR FIN'!$A$1:$O$95,15,0)),0,VLOOKUP($S$2438,'TAR FIN'!$A$1:$O$95,15,0))</f>
        <v>0</v>
      </c>
      <c r="W2438" s="6">
        <f>IF(ISERROR(VLOOKUP($T$2438,'TAR FIN'!$A$1:$O$95,15,0)),0,VLOOKUP($T$2438,'TAR FIN'!$A$1:$O$95,15,0))</f>
        <v>450.19</v>
      </c>
      <c r="X2438" s="6">
        <f>IF(ISERROR(VLOOKUP($U$2438,'TAR FIN'!$A$1:$O$95,15,0)),0,VLOOKUP($U$2438,'TAR FIN'!$A$1:$O$95,15,0))</f>
        <v>243.3</v>
      </c>
      <c r="Y2438" s="6"/>
      <c r="Z2438" s="6">
        <f ca="1">('TUSD BE'!$AM$53+'TUSD BF'!$AM$53+'TUSD CVA'!$AM$53)*1</f>
        <v>506.5198438752322</v>
      </c>
      <c r="AA2438" s="6">
        <f>('TE BE'!$AA$41+'TE BF'!$AA$41+'TE CVA'!$AA$41)*1</f>
        <v>297.20166373463735</v>
      </c>
      <c r="AB2438" s="6">
        <f>$K$2438*$V$2438</f>
        <v>0</v>
      </c>
      <c r="AC2438" s="6">
        <f>$M$2438*$W$2438</f>
        <v>1046947.90811</v>
      </c>
      <c r="AD2438" s="6">
        <f>$O$2438*$X$2438</f>
        <v>565810.93770000001</v>
      </c>
      <c r="AE2438" s="6">
        <f>$K$2438*$Y$2438</f>
        <v>0</v>
      </c>
      <c r="AF2438" s="6">
        <f ca="1">$M$2438*$Z$2438</f>
        <v>1177946.8468010798</v>
      </c>
      <c r="AG2438" s="6">
        <f>$O$2438*$AA$2438</f>
        <v>691162.97592969681</v>
      </c>
    </row>
    <row r="2439" spans="1:33" ht="11.25" customHeight="1" x14ac:dyDescent="0.25">
      <c r="A2439" s="4" t="s">
        <v>59</v>
      </c>
      <c r="B2439" s="4" t="s">
        <v>41</v>
      </c>
      <c r="C2439" s="4" t="s">
        <v>23</v>
      </c>
      <c r="D2439" s="4" t="s">
        <v>42</v>
      </c>
      <c r="E2439" s="4" t="s">
        <v>25</v>
      </c>
      <c r="F2439" s="4" t="s">
        <v>25</v>
      </c>
      <c r="G2439" s="4" t="s">
        <v>25</v>
      </c>
      <c r="H2439" s="4" t="s">
        <v>25</v>
      </c>
      <c r="I2439" s="5">
        <v>44470</v>
      </c>
      <c r="J2439" s="6">
        <v>0</v>
      </c>
      <c r="K2439" s="6">
        <v>0</v>
      </c>
      <c r="L2439" s="6">
        <v>-176.99700000000001</v>
      </c>
      <c r="M2439" s="6">
        <v>-176.99700000000001</v>
      </c>
      <c r="N2439" s="6">
        <v>-176.99700000000001</v>
      </c>
      <c r="O2439" s="6">
        <v>-176.99700000000001</v>
      </c>
      <c r="P2439" s="6">
        <v>0</v>
      </c>
      <c r="Q2439" s="4" t="s">
        <v>26</v>
      </c>
      <c r="R2439" s="4">
        <v>0</v>
      </c>
      <c r="S2439" s="6">
        <v>0</v>
      </c>
      <c r="T2439" s="6">
        <v>72</v>
      </c>
      <c r="U2439" s="6">
        <v>78</v>
      </c>
      <c r="V2439" s="6">
        <f>IF(ISERROR(VLOOKUP($S$2439,'TAR FIN'!$A$1:$O$95,15,0)),0,VLOOKUP($S$2439,'TAR FIN'!$A$1:$O$95,15,0))</f>
        <v>0</v>
      </c>
      <c r="W2439" s="6">
        <f>IF(ISERROR(VLOOKUP($T$2439,'TAR FIN'!$A$1:$O$95,15,0)),0,VLOOKUP($T$2439,'TAR FIN'!$A$1:$O$95,15,0))</f>
        <v>450.19</v>
      </c>
      <c r="X2439" s="6">
        <f>IF(ISERROR(VLOOKUP($U$2439,'TAR FIN'!$A$1:$O$95,15,0)),0,VLOOKUP($U$2439,'TAR FIN'!$A$1:$O$95,15,0))</f>
        <v>243.3</v>
      </c>
      <c r="Y2439" s="6"/>
      <c r="Z2439" s="6">
        <f ca="1">('TUSD BE'!$AM$53+'TUSD BF'!$AM$53+'TUSD CVA'!$AM$53)*1</f>
        <v>506.5198438752322</v>
      </c>
      <c r="AA2439" s="6">
        <f>('TE BE'!$AA$41+'TE BF'!$AA$41+'TE CVA'!$AA$41)*1</f>
        <v>297.20166373463735</v>
      </c>
      <c r="AB2439" s="6">
        <f>$K$2439*$V$2439</f>
        <v>0</v>
      </c>
      <c r="AC2439" s="6">
        <f>$M$2439*$W$2439</f>
        <v>-79682.27943000001</v>
      </c>
      <c r="AD2439" s="6">
        <f>$O$2439*$X$2439</f>
        <v>-43063.370100000007</v>
      </c>
      <c r="AE2439" s="6">
        <f>$K$2439*$Y$2439</f>
        <v>0</v>
      </c>
      <c r="AF2439" s="6">
        <f ca="1">$M$2439*$Z$2439</f>
        <v>-89652.492806384485</v>
      </c>
      <c r="AG2439" s="6">
        <f>$O$2439*$AA$2439</f>
        <v>-52603.802876039612</v>
      </c>
    </row>
    <row r="2440" spans="1:33" ht="11.25" customHeight="1" x14ac:dyDescent="0.25">
      <c r="A2440" s="4" t="s">
        <v>59</v>
      </c>
      <c r="B2440" s="4" t="s">
        <v>41</v>
      </c>
      <c r="C2440" s="4" t="s">
        <v>23</v>
      </c>
      <c r="D2440" s="4" t="s">
        <v>42</v>
      </c>
      <c r="E2440" s="4" t="s">
        <v>25</v>
      </c>
      <c r="F2440" s="4" t="s">
        <v>25</v>
      </c>
      <c r="G2440" s="4" t="s">
        <v>25</v>
      </c>
      <c r="H2440" s="4" t="s">
        <v>25</v>
      </c>
      <c r="I2440" s="5">
        <v>44470</v>
      </c>
      <c r="J2440" s="6">
        <v>0</v>
      </c>
      <c r="K2440" s="6">
        <v>0</v>
      </c>
      <c r="L2440" s="6">
        <v>1043.4449999999999</v>
      </c>
      <c r="M2440" s="6">
        <v>1043.4449999999999</v>
      </c>
      <c r="N2440" s="6">
        <v>1043.4449999999999</v>
      </c>
      <c r="O2440" s="6">
        <v>1043.4449999999999</v>
      </c>
      <c r="P2440" s="6">
        <v>689</v>
      </c>
      <c r="Q2440" s="4" t="s">
        <v>26</v>
      </c>
      <c r="R2440" s="4">
        <v>0</v>
      </c>
      <c r="S2440" s="6">
        <v>0</v>
      </c>
      <c r="T2440" s="6">
        <v>72</v>
      </c>
      <c r="U2440" s="6">
        <v>78</v>
      </c>
      <c r="V2440" s="6">
        <f>IF(ISERROR(VLOOKUP($S$2440,'TAR FIN'!$A$1:$O$95,15,0)),0,VLOOKUP($S$2440,'TAR FIN'!$A$1:$O$95,15,0))</f>
        <v>0</v>
      </c>
      <c r="W2440" s="6">
        <f>IF(ISERROR(VLOOKUP($T$2440,'TAR FIN'!$A$1:$O$95,15,0)),0,VLOOKUP($T$2440,'TAR FIN'!$A$1:$O$95,15,0))</f>
        <v>450.19</v>
      </c>
      <c r="X2440" s="6">
        <f>IF(ISERROR(VLOOKUP($U$2440,'TAR FIN'!$A$1:$O$95,15,0)),0,VLOOKUP($U$2440,'TAR FIN'!$A$1:$O$95,15,0))</f>
        <v>243.3</v>
      </c>
      <c r="Y2440" s="6"/>
      <c r="Z2440" s="6">
        <f ca="1">('TUSD BE'!$AM$53+'TUSD BF'!$AM$53+'TUSD CVA'!$AM$53)*1</f>
        <v>506.5198438752322</v>
      </c>
      <c r="AA2440" s="6">
        <f>('TE BE'!$AA$41+'TE BF'!$AA$41+'TE CVA'!$AA$41)*1</f>
        <v>297.20166373463735</v>
      </c>
      <c r="AB2440" s="6">
        <f>$K$2440*$V$2440</f>
        <v>0</v>
      </c>
      <c r="AC2440" s="6">
        <f>$M$2440*$W$2440</f>
        <v>469748.50454999995</v>
      </c>
      <c r="AD2440" s="6">
        <f>$O$2440*$X$2440</f>
        <v>253870.1685</v>
      </c>
      <c r="AE2440" s="6">
        <f>$K$2440*$Y$2440</f>
        <v>0</v>
      </c>
      <c r="AF2440" s="6">
        <f ca="1">$M$2440*$Z$2440</f>
        <v>528525.59849239164</v>
      </c>
      <c r="AG2440" s="6">
        <f>$O$2440*$AA$2440</f>
        <v>310113.59001558868</v>
      </c>
    </row>
    <row r="2441" spans="1:33" ht="11.25" customHeight="1" x14ac:dyDescent="0.25">
      <c r="A2441" s="4" t="s">
        <v>59</v>
      </c>
      <c r="B2441" s="4" t="s">
        <v>41</v>
      </c>
      <c r="C2441" s="4" t="s">
        <v>23</v>
      </c>
      <c r="D2441" s="4" t="s">
        <v>42</v>
      </c>
      <c r="E2441" s="4" t="s">
        <v>25</v>
      </c>
      <c r="F2441" s="4" t="s">
        <v>25</v>
      </c>
      <c r="G2441" s="4" t="s">
        <v>25</v>
      </c>
      <c r="H2441" s="4" t="s">
        <v>25</v>
      </c>
      <c r="I2441" s="5">
        <v>44470</v>
      </c>
      <c r="J2441" s="6">
        <v>0</v>
      </c>
      <c r="K2441" s="6">
        <v>0</v>
      </c>
      <c r="L2441" s="6">
        <v>-1.5129999999999999</v>
      </c>
      <c r="M2441" s="6">
        <v>-1.5129999999999999</v>
      </c>
      <c r="N2441" s="6">
        <v>-1.5129999999999999</v>
      </c>
      <c r="O2441" s="6">
        <v>-1.5129999999999999</v>
      </c>
      <c r="P2441" s="6">
        <v>0</v>
      </c>
      <c r="Q2441" s="4" t="s">
        <v>26</v>
      </c>
      <c r="R2441" s="4">
        <v>0</v>
      </c>
      <c r="S2441" s="6">
        <v>0</v>
      </c>
      <c r="T2441" s="6">
        <v>72</v>
      </c>
      <c r="U2441" s="6">
        <v>78</v>
      </c>
      <c r="V2441" s="6">
        <f>IF(ISERROR(VLOOKUP($S$2441,'TAR FIN'!$A$1:$O$95,15,0)),0,VLOOKUP($S$2441,'TAR FIN'!$A$1:$O$95,15,0))</f>
        <v>0</v>
      </c>
      <c r="W2441" s="6">
        <f>IF(ISERROR(VLOOKUP($T$2441,'TAR FIN'!$A$1:$O$95,15,0)),0,VLOOKUP($T$2441,'TAR FIN'!$A$1:$O$95,15,0))</f>
        <v>450.19</v>
      </c>
      <c r="X2441" s="6">
        <f>IF(ISERROR(VLOOKUP($U$2441,'TAR FIN'!$A$1:$O$95,15,0)),0,VLOOKUP($U$2441,'TAR FIN'!$A$1:$O$95,15,0))</f>
        <v>243.3</v>
      </c>
      <c r="Y2441" s="6"/>
      <c r="Z2441" s="6">
        <f ca="1">('TUSD BE'!$AM$53+'TUSD BF'!$AM$53+'TUSD CVA'!$AM$53)*1</f>
        <v>506.5198438752322</v>
      </c>
      <c r="AA2441" s="6">
        <f>('TE BE'!$AA$41+'TE BF'!$AA$41+'TE CVA'!$AA$41)*1</f>
        <v>297.20166373463735</v>
      </c>
      <c r="AB2441" s="6">
        <f>$K$2441*$V$2441</f>
        <v>0</v>
      </c>
      <c r="AC2441" s="6">
        <f>$M$2441*$W$2441</f>
        <v>-681.13747000000001</v>
      </c>
      <c r="AD2441" s="6">
        <f>$O$2441*$X$2441</f>
        <v>-368.11289999999997</v>
      </c>
      <c r="AE2441" s="6">
        <f>$K$2441*$Y$2441</f>
        <v>0</v>
      </c>
      <c r="AF2441" s="6">
        <f ca="1">$M$2441*$Z$2441</f>
        <v>-766.36452378322622</v>
      </c>
      <c r="AG2441" s="6">
        <f>$O$2441*$AA$2441</f>
        <v>-449.6661172305063</v>
      </c>
    </row>
    <row r="2442" spans="1:33" ht="11.25" customHeight="1" x14ac:dyDescent="0.25">
      <c r="A2442" s="4" t="s">
        <v>59</v>
      </c>
      <c r="B2442" s="4" t="s">
        <v>41</v>
      </c>
      <c r="C2442" s="4" t="s">
        <v>23</v>
      </c>
      <c r="D2442" s="4" t="s">
        <v>42</v>
      </c>
      <c r="E2442" s="4" t="s">
        <v>25</v>
      </c>
      <c r="F2442" s="4" t="s">
        <v>25</v>
      </c>
      <c r="G2442" s="4" t="s">
        <v>25</v>
      </c>
      <c r="H2442" s="4" t="s">
        <v>25</v>
      </c>
      <c r="I2442" s="5">
        <v>44470</v>
      </c>
      <c r="J2442" s="6">
        <v>0</v>
      </c>
      <c r="K2442" s="6">
        <v>0</v>
      </c>
      <c r="L2442" s="6">
        <v>67.442999999999998</v>
      </c>
      <c r="M2442" s="6">
        <v>67.442999999999998</v>
      </c>
      <c r="N2442" s="6">
        <v>67.442999999999998</v>
      </c>
      <c r="O2442" s="6">
        <v>67.442999999999998</v>
      </c>
      <c r="P2442" s="6">
        <v>22</v>
      </c>
      <c r="Q2442" s="4" t="s">
        <v>26</v>
      </c>
      <c r="R2442" s="4">
        <v>0</v>
      </c>
      <c r="S2442" s="6">
        <v>0</v>
      </c>
      <c r="T2442" s="6">
        <v>72</v>
      </c>
      <c r="U2442" s="6">
        <v>78</v>
      </c>
      <c r="V2442" s="6">
        <f>IF(ISERROR(VLOOKUP($S$2442,'TAR FIN'!$A$1:$O$95,15,0)),0,VLOOKUP($S$2442,'TAR FIN'!$A$1:$O$95,15,0))</f>
        <v>0</v>
      </c>
      <c r="W2442" s="6">
        <f>IF(ISERROR(VLOOKUP($T$2442,'TAR FIN'!$A$1:$O$95,15,0)),0,VLOOKUP($T$2442,'TAR FIN'!$A$1:$O$95,15,0))</f>
        <v>450.19</v>
      </c>
      <c r="X2442" s="6">
        <f>IF(ISERROR(VLOOKUP($U$2442,'TAR FIN'!$A$1:$O$95,15,0)),0,VLOOKUP($U$2442,'TAR FIN'!$A$1:$O$95,15,0))</f>
        <v>243.3</v>
      </c>
      <c r="Y2442" s="6"/>
      <c r="Z2442" s="6">
        <f ca="1">('TUSD BE'!$AM$53+'TUSD BF'!$AM$53+'TUSD CVA'!$AM$53)*1</f>
        <v>506.5198438752322</v>
      </c>
      <c r="AA2442" s="6">
        <f>('TE BE'!$AA$41+'TE BF'!$AA$41+'TE CVA'!$AA$41)*1</f>
        <v>297.20166373463735</v>
      </c>
      <c r="AB2442" s="6">
        <f>$K$2442*$V$2442</f>
        <v>0</v>
      </c>
      <c r="AC2442" s="6">
        <f>$M$2442*$W$2442</f>
        <v>30362.16417</v>
      </c>
      <c r="AD2442" s="6">
        <f>$O$2442*$X$2442</f>
        <v>16408.8819</v>
      </c>
      <c r="AE2442" s="6">
        <f>$K$2442*$Y$2442</f>
        <v>0</v>
      </c>
      <c r="AF2442" s="6">
        <f ca="1">$M$2442*$Z$2442</f>
        <v>34161.217830477282</v>
      </c>
      <c r="AG2442" s="6">
        <f>$O$2442*$AA$2442</f>
        <v>20044.171807255145</v>
      </c>
    </row>
    <row r="2443" spans="1:33" ht="11.25" customHeight="1" x14ac:dyDescent="0.25">
      <c r="A2443" s="4" t="s">
        <v>59</v>
      </c>
      <c r="B2443" s="4" t="s">
        <v>41</v>
      </c>
      <c r="C2443" s="4" t="s">
        <v>23</v>
      </c>
      <c r="D2443" s="4" t="s">
        <v>42</v>
      </c>
      <c r="E2443" s="4" t="s">
        <v>25</v>
      </c>
      <c r="F2443" s="4" t="s">
        <v>25</v>
      </c>
      <c r="G2443" s="4" t="s">
        <v>25</v>
      </c>
      <c r="H2443" s="4" t="s">
        <v>25</v>
      </c>
      <c r="I2443" s="5">
        <v>44470</v>
      </c>
      <c r="J2443" s="6">
        <v>0</v>
      </c>
      <c r="K2443" s="6">
        <v>0</v>
      </c>
      <c r="L2443" s="6">
        <v>-1.542</v>
      </c>
      <c r="M2443" s="6">
        <v>-1.542</v>
      </c>
      <c r="N2443" s="6">
        <v>-1.542</v>
      </c>
      <c r="O2443" s="6">
        <v>-1.542</v>
      </c>
      <c r="P2443" s="6">
        <v>0</v>
      </c>
      <c r="Q2443" s="4" t="s">
        <v>26</v>
      </c>
      <c r="R2443" s="4">
        <v>0</v>
      </c>
      <c r="S2443" s="6">
        <v>0</v>
      </c>
      <c r="T2443" s="6">
        <v>72</v>
      </c>
      <c r="U2443" s="6">
        <v>78</v>
      </c>
      <c r="V2443" s="6">
        <f>IF(ISERROR(VLOOKUP($S$2443,'TAR FIN'!$A$1:$O$95,15,0)),0,VLOOKUP($S$2443,'TAR FIN'!$A$1:$O$95,15,0))</f>
        <v>0</v>
      </c>
      <c r="W2443" s="6">
        <f>IF(ISERROR(VLOOKUP($T$2443,'TAR FIN'!$A$1:$O$95,15,0)),0,VLOOKUP($T$2443,'TAR FIN'!$A$1:$O$95,15,0))</f>
        <v>450.19</v>
      </c>
      <c r="X2443" s="6">
        <f>IF(ISERROR(VLOOKUP($U$2443,'TAR FIN'!$A$1:$O$95,15,0)),0,VLOOKUP($U$2443,'TAR FIN'!$A$1:$O$95,15,0))</f>
        <v>243.3</v>
      </c>
      <c r="Y2443" s="6"/>
      <c r="Z2443" s="6">
        <f ca="1">('TUSD BE'!$AM$53+'TUSD BF'!$AM$53+'TUSD CVA'!$AM$53)*1</f>
        <v>506.5198438752322</v>
      </c>
      <c r="AA2443" s="6">
        <f>('TE BE'!$AA$41+'TE BF'!$AA$41+'TE CVA'!$AA$41)*1</f>
        <v>297.20166373463735</v>
      </c>
      <c r="AB2443" s="6">
        <f>$K$2443*$V$2443</f>
        <v>0</v>
      </c>
      <c r="AC2443" s="6">
        <f>$M$2443*$W$2443</f>
        <v>-694.19298000000003</v>
      </c>
      <c r="AD2443" s="6">
        <f>$O$2443*$X$2443</f>
        <v>-375.16860000000003</v>
      </c>
      <c r="AE2443" s="6">
        <f>$K$2443*$Y$2443</f>
        <v>0</v>
      </c>
      <c r="AF2443" s="6">
        <f ca="1">$M$2443*$Z$2443</f>
        <v>-781.05359925560811</v>
      </c>
      <c r="AG2443" s="6">
        <f>$O$2443*$AA$2443</f>
        <v>-458.28496547881082</v>
      </c>
    </row>
    <row r="2444" spans="1:33" ht="11.25" customHeight="1" x14ac:dyDescent="0.25">
      <c r="A2444" s="4" t="s">
        <v>21</v>
      </c>
      <c r="B2444" s="4" t="s">
        <v>41</v>
      </c>
      <c r="C2444" s="4" t="s">
        <v>23</v>
      </c>
      <c r="D2444" s="4" t="s">
        <v>48</v>
      </c>
      <c r="E2444" s="4" t="s">
        <v>25</v>
      </c>
      <c r="F2444" s="4" t="s">
        <v>25</v>
      </c>
      <c r="G2444" s="4" t="s">
        <v>25</v>
      </c>
      <c r="H2444" s="4" t="s">
        <v>25</v>
      </c>
      <c r="I2444" s="5">
        <v>44136</v>
      </c>
      <c r="J2444" s="6">
        <v>0</v>
      </c>
      <c r="K2444" s="6">
        <v>0</v>
      </c>
      <c r="L2444" s="6">
        <v>4135.0119999999997</v>
      </c>
      <c r="M2444" s="6">
        <v>4135.0119999999997</v>
      </c>
      <c r="N2444" s="6">
        <v>4135.0119999999997</v>
      </c>
      <c r="O2444" s="6">
        <v>4135.0119999999997</v>
      </c>
      <c r="P2444" s="6">
        <v>2094</v>
      </c>
      <c r="Q2444" s="4" t="s">
        <v>26</v>
      </c>
      <c r="R2444" s="4">
        <v>0</v>
      </c>
      <c r="S2444" s="6">
        <v>0</v>
      </c>
      <c r="T2444" s="6">
        <v>72</v>
      </c>
      <c r="U2444" s="6">
        <v>78</v>
      </c>
      <c r="V2444" s="6">
        <f>IF(ISERROR(VLOOKUP($S$2444,'TAR FIN'!$A$1:$O$95,15,0)),0,VLOOKUP($S$2444,'TAR FIN'!$A$1:$O$95,15,0))</f>
        <v>0</v>
      </c>
      <c r="W2444" s="6">
        <f>IF(ISERROR(VLOOKUP($T$2444,'TAR FIN'!$A$1:$O$95,15,0)),0,VLOOKUP($T$2444,'TAR FIN'!$A$1:$O$95,15,0))</f>
        <v>450.19</v>
      </c>
      <c r="X2444" s="6">
        <f>IF(ISERROR(VLOOKUP($U$2444,'TAR FIN'!$A$1:$O$95,15,0)),0,VLOOKUP($U$2444,'TAR FIN'!$A$1:$O$95,15,0))</f>
        <v>243.3</v>
      </c>
      <c r="Y2444" s="6"/>
      <c r="Z2444" s="6">
        <f ca="1">('TUSD BE'!$AM$53+'TUSD BF'!$AM$53+'TUSD CVA'!$AM$53)*1</f>
        <v>506.5198438752322</v>
      </c>
      <c r="AA2444" s="6">
        <f>('TE BE'!$AA$41+'TE BF'!$AA$41+'TE CVA'!$AA$41)*1</f>
        <v>297.20166373463735</v>
      </c>
      <c r="AB2444" s="6">
        <f>$K$2444*$V$2444</f>
        <v>0</v>
      </c>
      <c r="AC2444" s="6">
        <f>$M$2444*$W$2444</f>
        <v>1861541.0522799999</v>
      </c>
      <c r="AD2444" s="6">
        <f>$O$2444*$X$2444</f>
        <v>1006048.4196</v>
      </c>
      <c r="AE2444" s="6">
        <f>$K$2444*$Y$2444</f>
        <v>0</v>
      </c>
      <c r="AF2444" s="6">
        <f ca="1">$M$2444*$Z$2444</f>
        <v>2094465.6326622115</v>
      </c>
      <c r="AG2444" s="6">
        <f>$O$2444*$AA$2444</f>
        <v>1228932.4459626903</v>
      </c>
    </row>
    <row r="2445" spans="1:33" ht="11.25" customHeight="1" x14ac:dyDescent="0.25">
      <c r="A2445" s="4" t="s">
        <v>27</v>
      </c>
      <c r="B2445" s="4" t="s">
        <v>41</v>
      </c>
      <c r="C2445" s="4" t="s">
        <v>23</v>
      </c>
      <c r="D2445" s="4" t="s">
        <v>48</v>
      </c>
      <c r="E2445" s="4" t="s">
        <v>25</v>
      </c>
      <c r="F2445" s="4" t="s">
        <v>25</v>
      </c>
      <c r="G2445" s="4" t="s">
        <v>25</v>
      </c>
      <c r="H2445" s="4" t="s">
        <v>25</v>
      </c>
      <c r="I2445" s="5">
        <v>44136</v>
      </c>
      <c r="J2445" s="6">
        <v>0</v>
      </c>
      <c r="K2445" s="6">
        <v>0</v>
      </c>
      <c r="L2445" s="6">
        <v>12.967000000000001</v>
      </c>
      <c r="M2445" s="6">
        <v>12.967000000000001</v>
      </c>
      <c r="N2445" s="6">
        <v>12.967000000000001</v>
      </c>
      <c r="O2445" s="6">
        <v>12.967000000000001</v>
      </c>
      <c r="P2445" s="6">
        <v>-11</v>
      </c>
      <c r="Q2445" s="4" t="s">
        <v>26</v>
      </c>
      <c r="R2445" s="4">
        <v>0</v>
      </c>
      <c r="S2445" s="6">
        <v>0</v>
      </c>
      <c r="T2445" s="6">
        <v>72</v>
      </c>
      <c r="U2445" s="6">
        <v>78</v>
      </c>
      <c r="V2445" s="6">
        <f>IF(ISERROR(VLOOKUP($S$2445,'TAR FIN'!$A$1:$O$95,15,0)),0,VLOOKUP($S$2445,'TAR FIN'!$A$1:$O$95,15,0))</f>
        <v>0</v>
      </c>
      <c r="W2445" s="6">
        <f>IF(ISERROR(VLOOKUP($T$2445,'TAR FIN'!$A$1:$O$95,15,0)),0,VLOOKUP($T$2445,'TAR FIN'!$A$1:$O$95,15,0))</f>
        <v>450.19</v>
      </c>
      <c r="X2445" s="6">
        <f>IF(ISERROR(VLOOKUP($U$2445,'TAR FIN'!$A$1:$O$95,15,0)),0,VLOOKUP($U$2445,'TAR FIN'!$A$1:$O$95,15,0))</f>
        <v>243.3</v>
      </c>
      <c r="Y2445" s="6"/>
      <c r="Z2445" s="6">
        <f ca="1">('TUSD BE'!$AM$53+'TUSD BF'!$AM$53+'TUSD CVA'!$AM$53)*1</f>
        <v>506.5198438752322</v>
      </c>
      <c r="AA2445" s="6">
        <f>('TE BE'!$AA$41+'TE BF'!$AA$41+'TE CVA'!$AA$41)*1</f>
        <v>297.20166373463735</v>
      </c>
      <c r="AB2445" s="6">
        <f>$K$2445*$V$2445</f>
        <v>0</v>
      </c>
      <c r="AC2445" s="6">
        <f>$M$2445*$W$2445</f>
        <v>5837.61373</v>
      </c>
      <c r="AD2445" s="6">
        <f>$O$2445*$X$2445</f>
        <v>3154.8711000000003</v>
      </c>
      <c r="AE2445" s="6">
        <f>$K$2445*$Y$2445</f>
        <v>0</v>
      </c>
      <c r="AF2445" s="6">
        <f ca="1">$M$2445*$Z$2445</f>
        <v>6568.0428155301361</v>
      </c>
      <c r="AG2445" s="6">
        <f>$O$2445*$AA$2445</f>
        <v>3853.8139736470425</v>
      </c>
    </row>
    <row r="2446" spans="1:33" ht="11.25" customHeight="1" x14ac:dyDescent="0.25">
      <c r="A2446" s="4" t="s">
        <v>28</v>
      </c>
      <c r="B2446" s="4" t="s">
        <v>41</v>
      </c>
      <c r="C2446" s="4" t="s">
        <v>23</v>
      </c>
      <c r="D2446" s="4" t="s">
        <v>48</v>
      </c>
      <c r="E2446" s="4" t="s">
        <v>25</v>
      </c>
      <c r="F2446" s="4" t="s">
        <v>25</v>
      </c>
      <c r="G2446" s="4" t="s">
        <v>25</v>
      </c>
      <c r="H2446" s="4" t="s">
        <v>25</v>
      </c>
      <c r="I2446" s="5">
        <v>44136</v>
      </c>
      <c r="J2446" s="6">
        <v>0</v>
      </c>
      <c r="K2446" s="6">
        <v>0</v>
      </c>
      <c r="L2446" s="6">
        <v>6593.9489999999996</v>
      </c>
      <c r="M2446" s="6">
        <v>6593.9489999999996</v>
      </c>
      <c r="N2446" s="6">
        <v>6593.9489999999996</v>
      </c>
      <c r="O2446" s="6">
        <v>6593.9489999999996</v>
      </c>
      <c r="P2446" s="6">
        <v>6611</v>
      </c>
      <c r="Q2446" s="4" t="s">
        <v>26</v>
      </c>
      <c r="R2446" s="4">
        <v>0</v>
      </c>
      <c r="S2446" s="6">
        <v>0</v>
      </c>
      <c r="T2446" s="6">
        <v>72</v>
      </c>
      <c r="U2446" s="6">
        <v>78</v>
      </c>
      <c r="V2446" s="6">
        <f>IF(ISERROR(VLOOKUP($S$2446,'TAR FIN'!$A$1:$O$95,15,0)),0,VLOOKUP($S$2446,'TAR FIN'!$A$1:$O$95,15,0))</f>
        <v>0</v>
      </c>
      <c r="W2446" s="6">
        <f>IF(ISERROR(VLOOKUP($T$2446,'TAR FIN'!$A$1:$O$95,15,0)),0,VLOOKUP($T$2446,'TAR FIN'!$A$1:$O$95,15,0))</f>
        <v>450.19</v>
      </c>
      <c r="X2446" s="6">
        <f>IF(ISERROR(VLOOKUP($U$2446,'TAR FIN'!$A$1:$O$95,15,0)),0,VLOOKUP($U$2446,'TAR FIN'!$A$1:$O$95,15,0))</f>
        <v>243.3</v>
      </c>
      <c r="Y2446" s="6"/>
      <c r="Z2446" s="6">
        <f ca="1">('TUSD BE'!$AM$53+'TUSD BF'!$AM$53+'TUSD CVA'!$AM$53)*1</f>
        <v>506.5198438752322</v>
      </c>
      <c r="AA2446" s="6">
        <f>('TE BE'!$AA$41+'TE BF'!$AA$41+'TE CVA'!$AA$41)*1</f>
        <v>297.20166373463735</v>
      </c>
      <c r="AB2446" s="6">
        <f>$K$2446*$V$2446</f>
        <v>0</v>
      </c>
      <c r="AC2446" s="6">
        <f>$M$2446*$W$2446</f>
        <v>2968529.9003099999</v>
      </c>
      <c r="AD2446" s="6">
        <f>$O$2446*$X$2446</f>
        <v>1604307.7916999999</v>
      </c>
      <c r="AE2446" s="6">
        <f>$K$2446*$Y$2446</f>
        <v>0</v>
      </c>
      <c r="AF2446" s="6">
        <f ca="1">$M$2446*$Z$2446</f>
        <v>3339966.0180012435</v>
      </c>
      <c r="AG2446" s="6">
        <f>$O$2446*$AA$2446</f>
        <v>1959732.6133813481</v>
      </c>
    </row>
    <row r="2447" spans="1:33" ht="11.25" customHeight="1" x14ac:dyDescent="0.25">
      <c r="A2447" s="4" t="s">
        <v>29</v>
      </c>
      <c r="B2447" s="4" t="s">
        <v>41</v>
      </c>
      <c r="C2447" s="4" t="s">
        <v>23</v>
      </c>
      <c r="D2447" s="4" t="s">
        <v>48</v>
      </c>
      <c r="E2447" s="4" t="s">
        <v>25</v>
      </c>
      <c r="F2447" s="4" t="s">
        <v>25</v>
      </c>
      <c r="G2447" s="4" t="s">
        <v>25</v>
      </c>
      <c r="H2447" s="4" t="s">
        <v>25</v>
      </c>
      <c r="I2447" s="5">
        <v>44136</v>
      </c>
      <c r="J2447" s="6">
        <v>0</v>
      </c>
      <c r="K2447" s="6">
        <v>0</v>
      </c>
      <c r="L2447" s="6">
        <v>-7.9560000000000004</v>
      </c>
      <c r="M2447" s="6">
        <v>-7.9560000000000004</v>
      </c>
      <c r="N2447" s="6">
        <v>-7.9560000000000004</v>
      </c>
      <c r="O2447" s="6">
        <v>-7.9560000000000004</v>
      </c>
      <c r="P2447" s="6">
        <v>0</v>
      </c>
      <c r="Q2447" s="4" t="s">
        <v>26</v>
      </c>
      <c r="R2447" s="4">
        <v>0</v>
      </c>
      <c r="S2447" s="6">
        <v>0</v>
      </c>
      <c r="T2447" s="6">
        <v>72</v>
      </c>
      <c r="U2447" s="6">
        <v>78</v>
      </c>
      <c r="V2447" s="6">
        <f>IF(ISERROR(VLOOKUP($S$2447,'TAR FIN'!$A$1:$O$95,15,0)),0,VLOOKUP($S$2447,'TAR FIN'!$A$1:$O$95,15,0))</f>
        <v>0</v>
      </c>
      <c r="W2447" s="6">
        <f>IF(ISERROR(VLOOKUP($T$2447,'TAR FIN'!$A$1:$O$95,15,0)),0,VLOOKUP($T$2447,'TAR FIN'!$A$1:$O$95,15,0))</f>
        <v>450.19</v>
      </c>
      <c r="X2447" s="6">
        <f>IF(ISERROR(VLOOKUP($U$2447,'TAR FIN'!$A$1:$O$95,15,0)),0,VLOOKUP($U$2447,'TAR FIN'!$A$1:$O$95,15,0))</f>
        <v>243.3</v>
      </c>
      <c r="Y2447" s="6"/>
      <c r="Z2447" s="6">
        <f ca="1">('TUSD BE'!$AM$53+'TUSD BF'!$AM$53+'TUSD CVA'!$AM$53)*1</f>
        <v>506.5198438752322</v>
      </c>
      <c r="AA2447" s="6">
        <f>('TE BE'!$AA$41+'TE BF'!$AA$41+'TE CVA'!$AA$41)*1</f>
        <v>297.20166373463735</v>
      </c>
      <c r="AB2447" s="6">
        <f>$K$2447*$V$2447</f>
        <v>0</v>
      </c>
      <c r="AC2447" s="6">
        <f>$M$2447*$W$2447</f>
        <v>-3581.71164</v>
      </c>
      <c r="AD2447" s="6">
        <f>$O$2447*$X$2447</f>
        <v>-1935.6948000000002</v>
      </c>
      <c r="AE2447" s="6">
        <f>$K$2447*$Y$2447</f>
        <v>0</v>
      </c>
      <c r="AF2447" s="6">
        <f ca="1">$M$2447*$Z$2447</f>
        <v>-4029.8718778713474</v>
      </c>
      <c r="AG2447" s="6">
        <f>$O$2447*$AA$2447</f>
        <v>-2364.5364366727749</v>
      </c>
    </row>
    <row r="2448" spans="1:33" ht="11.25" customHeight="1" x14ac:dyDescent="0.25">
      <c r="A2448" s="4" t="s">
        <v>30</v>
      </c>
      <c r="B2448" s="4" t="s">
        <v>41</v>
      </c>
      <c r="C2448" s="4" t="s">
        <v>23</v>
      </c>
      <c r="D2448" s="4" t="s">
        <v>48</v>
      </c>
      <c r="E2448" s="4" t="s">
        <v>25</v>
      </c>
      <c r="F2448" s="4" t="s">
        <v>25</v>
      </c>
      <c r="G2448" s="4" t="s">
        <v>25</v>
      </c>
      <c r="H2448" s="4" t="s">
        <v>25</v>
      </c>
      <c r="I2448" s="5">
        <v>44136</v>
      </c>
      <c r="J2448" s="6">
        <v>0</v>
      </c>
      <c r="K2448" s="6">
        <v>0</v>
      </c>
      <c r="L2448" s="6">
        <v>7.6890000000000001</v>
      </c>
      <c r="M2448" s="6">
        <v>7.6890000000000001</v>
      </c>
      <c r="N2448" s="6">
        <v>7.6890000000000001</v>
      </c>
      <c r="O2448" s="6">
        <v>7.6890000000000001</v>
      </c>
      <c r="P2448" s="6">
        <v>2</v>
      </c>
      <c r="Q2448" s="4" t="s">
        <v>26</v>
      </c>
      <c r="R2448" s="4">
        <v>0</v>
      </c>
      <c r="S2448" s="6">
        <v>0</v>
      </c>
      <c r="T2448" s="6">
        <v>72</v>
      </c>
      <c r="U2448" s="6">
        <v>78</v>
      </c>
      <c r="V2448" s="6">
        <f>IF(ISERROR(VLOOKUP($S$2448,'TAR FIN'!$A$1:$O$95,15,0)),0,VLOOKUP($S$2448,'TAR FIN'!$A$1:$O$95,15,0))</f>
        <v>0</v>
      </c>
      <c r="W2448" s="6">
        <f>IF(ISERROR(VLOOKUP($T$2448,'TAR FIN'!$A$1:$O$95,15,0)),0,VLOOKUP($T$2448,'TAR FIN'!$A$1:$O$95,15,0))</f>
        <v>450.19</v>
      </c>
      <c r="X2448" s="6">
        <f>IF(ISERROR(VLOOKUP($U$2448,'TAR FIN'!$A$1:$O$95,15,0)),0,VLOOKUP($U$2448,'TAR FIN'!$A$1:$O$95,15,0))</f>
        <v>243.3</v>
      </c>
      <c r="Y2448" s="6"/>
      <c r="Z2448" s="6">
        <f ca="1">('TUSD BE'!$AM$53+'TUSD BF'!$AM$53+'TUSD CVA'!$AM$53)*1</f>
        <v>506.5198438752322</v>
      </c>
      <c r="AA2448" s="6">
        <f>('TE BE'!$AA$41+'TE BF'!$AA$41+'TE CVA'!$AA$41)*1</f>
        <v>297.20166373463735</v>
      </c>
      <c r="AB2448" s="6">
        <f>$K$2448*$V$2448</f>
        <v>0</v>
      </c>
      <c r="AC2448" s="6">
        <f>$M$2448*$W$2448</f>
        <v>3461.51091</v>
      </c>
      <c r="AD2448" s="6">
        <f>$O$2448*$X$2448</f>
        <v>1870.7337</v>
      </c>
      <c r="AE2448" s="6">
        <f>$K$2448*$Y$2448</f>
        <v>0</v>
      </c>
      <c r="AF2448" s="6">
        <f ca="1">$M$2448*$Z$2448</f>
        <v>3894.6310795566606</v>
      </c>
      <c r="AG2448" s="6">
        <f>$O$2448*$AA$2448</f>
        <v>2285.1835924556267</v>
      </c>
    </row>
    <row r="2449" spans="1:33" ht="11.25" customHeight="1" x14ac:dyDescent="0.25">
      <c r="A2449" s="4" t="s">
        <v>21</v>
      </c>
      <c r="B2449" s="4" t="s">
        <v>41</v>
      </c>
      <c r="C2449" s="4" t="s">
        <v>23</v>
      </c>
      <c r="D2449" s="4" t="s">
        <v>48</v>
      </c>
      <c r="E2449" s="4" t="s">
        <v>25</v>
      </c>
      <c r="F2449" s="4" t="s">
        <v>25</v>
      </c>
      <c r="G2449" s="4" t="s">
        <v>25</v>
      </c>
      <c r="H2449" s="4" t="s">
        <v>25</v>
      </c>
      <c r="I2449" s="5">
        <v>44166</v>
      </c>
      <c r="J2449" s="6">
        <v>0</v>
      </c>
      <c r="K2449" s="6">
        <v>0</v>
      </c>
      <c r="L2449" s="6">
        <v>3859.7179999999998</v>
      </c>
      <c r="M2449" s="6">
        <v>3859.7179999999998</v>
      </c>
      <c r="N2449" s="6">
        <v>3859.7179999999998</v>
      </c>
      <c r="O2449" s="6">
        <v>3859.7179999999998</v>
      </c>
      <c r="P2449" s="6">
        <v>2055</v>
      </c>
      <c r="Q2449" s="4" t="s">
        <v>26</v>
      </c>
      <c r="R2449" s="4">
        <v>0</v>
      </c>
      <c r="S2449" s="6">
        <v>0</v>
      </c>
      <c r="T2449" s="6">
        <v>72</v>
      </c>
      <c r="U2449" s="6">
        <v>78</v>
      </c>
      <c r="V2449" s="6">
        <f>IF(ISERROR(VLOOKUP($S$2449,'TAR FIN'!$A$1:$O$95,15,0)),0,VLOOKUP($S$2449,'TAR FIN'!$A$1:$O$95,15,0))</f>
        <v>0</v>
      </c>
      <c r="W2449" s="6">
        <f>IF(ISERROR(VLOOKUP($T$2449,'TAR FIN'!$A$1:$O$95,15,0)),0,VLOOKUP($T$2449,'TAR FIN'!$A$1:$O$95,15,0))</f>
        <v>450.19</v>
      </c>
      <c r="X2449" s="6">
        <f>IF(ISERROR(VLOOKUP($U$2449,'TAR FIN'!$A$1:$O$95,15,0)),0,VLOOKUP($U$2449,'TAR FIN'!$A$1:$O$95,15,0))</f>
        <v>243.3</v>
      </c>
      <c r="Y2449" s="6"/>
      <c r="Z2449" s="6">
        <f ca="1">('TUSD BE'!$AM$53+'TUSD BF'!$AM$53+'TUSD CVA'!$AM$53)*1</f>
        <v>506.5198438752322</v>
      </c>
      <c r="AA2449" s="6">
        <f>('TE BE'!$AA$41+'TE BF'!$AA$41+'TE CVA'!$AA$41)*1</f>
        <v>297.20166373463735</v>
      </c>
      <c r="AB2449" s="6">
        <f>$K$2449*$V$2449</f>
        <v>0</v>
      </c>
      <c r="AC2449" s="6">
        <f>$M$2449*$W$2449</f>
        <v>1737606.4464199999</v>
      </c>
      <c r="AD2449" s="6">
        <f>$O$2449*$X$2449</f>
        <v>939069.38939999999</v>
      </c>
      <c r="AE2449" s="6">
        <f>$K$2449*$Y$2449</f>
        <v>0</v>
      </c>
      <c r="AF2449" s="6">
        <f ca="1">$M$2449*$Z$2449</f>
        <v>1955023.7587624234</v>
      </c>
      <c r="AG2449" s="6">
        <f>$O$2449*$AA$2449</f>
        <v>1147114.6111465269</v>
      </c>
    </row>
    <row r="2450" spans="1:33" ht="11.25" customHeight="1" x14ac:dyDescent="0.25">
      <c r="A2450" s="4" t="s">
        <v>27</v>
      </c>
      <c r="B2450" s="4" t="s">
        <v>41</v>
      </c>
      <c r="C2450" s="4" t="s">
        <v>23</v>
      </c>
      <c r="D2450" s="4" t="s">
        <v>48</v>
      </c>
      <c r="E2450" s="4" t="s">
        <v>25</v>
      </c>
      <c r="F2450" s="4" t="s">
        <v>25</v>
      </c>
      <c r="G2450" s="4" t="s">
        <v>25</v>
      </c>
      <c r="H2450" s="4" t="s">
        <v>25</v>
      </c>
      <c r="I2450" s="5">
        <v>44166</v>
      </c>
      <c r="J2450" s="6">
        <v>0</v>
      </c>
      <c r="K2450" s="6">
        <v>0</v>
      </c>
      <c r="L2450" s="6">
        <v>-7.1890000000000001</v>
      </c>
      <c r="M2450" s="6">
        <v>-7.1890000000000001</v>
      </c>
      <c r="N2450" s="6">
        <v>-7.1890000000000001</v>
      </c>
      <c r="O2450" s="6">
        <v>-7.1890000000000001</v>
      </c>
      <c r="P2450" s="6">
        <v>0</v>
      </c>
      <c r="Q2450" s="4" t="s">
        <v>26</v>
      </c>
      <c r="R2450" s="4">
        <v>0</v>
      </c>
      <c r="S2450" s="6">
        <v>0</v>
      </c>
      <c r="T2450" s="6">
        <v>72</v>
      </c>
      <c r="U2450" s="6">
        <v>78</v>
      </c>
      <c r="V2450" s="6">
        <f>IF(ISERROR(VLOOKUP($S$2450,'TAR FIN'!$A$1:$O$95,15,0)),0,VLOOKUP($S$2450,'TAR FIN'!$A$1:$O$95,15,0))</f>
        <v>0</v>
      </c>
      <c r="W2450" s="6">
        <f>IF(ISERROR(VLOOKUP($T$2450,'TAR FIN'!$A$1:$O$95,15,0)),0,VLOOKUP($T$2450,'TAR FIN'!$A$1:$O$95,15,0))</f>
        <v>450.19</v>
      </c>
      <c r="X2450" s="6">
        <f>IF(ISERROR(VLOOKUP($U$2450,'TAR FIN'!$A$1:$O$95,15,0)),0,VLOOKUP($U$2450,'TAR FIN'!$A$1:$O$95,15,0))</f>
        <v>243.3</v>
      </c>
      <c r="Y2450" s="6"/>
      <c r="Z2450" s="6">
        <f ca="1">('TUSD BE'!$AM$53+'TUSD BF'!$AM$53+'TUSD CVA'!$AM$53)*1</f>
        <v>506.5198438752322</v>
      </c>
      <c r="AA2450" s="6">
        <f>('TE BE'!$AA$41+'TE BF'!$AA$41+'TE CVA'!$AA$41)*1</f>
        <v>297.20166373463735</v>
      </c>
      <c r="AB2450" s="6">
        <f>$K$2450*$V$2450</f>
        <v>0</v>
      </c>
      <c r="AC2450" s="6">
        <f>$M$2450*$W$2450</f>
        <v>-3236.4159100000002</v>
      </c>
      <c r="AD2450" s="6">
        <f>$O$2450*$X$2450</f>
        <v>-1749.0837000000001</v>
      </c>
      <c r="AE2450" s="6">
        <f>$K$2450*$Y$2450</f>
        <v>0</v>
      </c>
      <c r="AF2450" s="6">
        <f ca="1">$M$2450*$Z$2450</f>
        <v>-3641.3711576190444</v>
      </c>
      <c r="AG2450" s="6">
        <f>$O$2450*$AA$2450</f>
        <v>-2136.5827605883078</v>
      </c>
    </row>
    <row r="2451" spans="1:33" ht="11.25" customHeight="1" x14ac:dyDescent="0.25">
      <c r="A2451" s="4" t="s">
        <v>28</v>
      </c>
      <c r="B2451" s="4" t="s">
        <v>41</v>
      </c>
      <c r="C2451" s="4" t="s">
        <v>23</v>
      </c>
      <c r="D2451" s="4" t="s">
        <v>48</v>
      </c>
      <c r="E2451" s="4" t="s">
        <v>25</v>
      </c>
      <c r="F2451" s="4" t="s">
        <v>25</v>
      </c>
      <c r="G2451" s="4" t="s">
        <v>25</v>
      </c>
      <c r="H2451" s="4" t="s">
        <v>25</v>
      </c>
      <c r="I2451" s="5">
        <v>44166</v>
      </c>
      <c r="J2451" s="6">
        <v>0</v>
      </c>
      <c r="K2451" s="6">
        <v>0</v>
      </c>
      <c r="L2451" s="6">
        <v>6221.8379999999997</v>
      </c>
      <c r="M2451" s="6">
        <v>6221.8379999999997</v>
      </c>
      <c r="N2451" s="6">
        <v>6221.8379999999997</v>
      </c>
      <c r="O2451" s="6">
        <v>6221.8379999999997</v>
      </c>
      <c r="P2451" s="6">
        <v>6526</v>
      </c>
      <c r="Q2451" s="4" t="s">
        <v>26</v>
      </c>
      <c r="R2451" s="4">
        <v>0</v>
      </c>
      <c r="S2451" s="6">
        <v>0</v>
      </c>
      <c r="T2451" s="6">
        <v>72</v>
      </c>
      <c r="U2451" s="6">
        <v>78</v>
      </c>
      <c r="V2451" s="6">
        <f>IF(ISERROR(VLOOKUP($S$2451,'TAR FIN'!$A$1:$O$95,15,0)),0,VLOOKUP($S$2451,'TAR FIN'!$A$1:$O$95,15,0))</f>
        <v>0</v>
      </c>
      <c r="W2451" s="6">
        <f>IF(ISERROR(VLOOKUP($T$2451,'TAR FIN'!$A$1:$O$95,15,0)),0,VLOOKUP($T$2451,'TAR FIN'!$A$1:$O$95,15,0))</f>
        <v>450.19</v>
      </c>
      <c r="X2451" s="6">
        <f>IF(ISERROR(VLOOKUP($U$2451,'TAR FIN'!$A$1:$O$95,15,0)),0,VLOOKUP($U$2451,'TAR FIN'!$A$1:$O$95,15,0))</f>
        <v>243.3</v>
      </c>
      <c r="Y2451" s="6"/>
      <c r="Z2451" s="6">
        <f ca="1">('TUSD BE'!$AM$53+'TUSD BF'!$AM$53+'TUSD CVA'!$AM$53)*1</f>
        <v>506.5198438752322</v>
      </c>
      <c r="AA2451" s="6">
        <f>('TE BE'!$AA$41+'TE BF'!$AA$41+'TE CVA'!$AA$41)*1</f>
        <v>297.20166373463735</v>
      </c>
      <c r="AB2451" s="6">
        <f>$K$2451*$V$2451</f>
        <v>0</v>
      </c>
      <c r="AC2451" s="6">
        <f>$M$2451*$W$2451</f>
        <v>2801009.2492199996</v>
      </c>
      <c r="AD2451" s="6">
        <f>$O$2451*$X$2451</f>
        <v>1513773.1854000001</v>
      </c>
      <c r="AE2451" s="6">
        <f>$K$2451*$Y$2451</f>
        <v>0</v>
      </c>
      <c r="AF2451" s="6">
        <f ca="1">$M$2451*$Z$2451</f>
        <v>3151484.4123769868</v>
      </c>
      <c r="AG2451" s="6">
        <f>$O$2451*$AA$2451</f>
        <v>1849140.6050873885</v>
      </c>
    </row>
    <row r="2452" spans="1:33" ht="11.25" customHeight="1" x14ac:dyDescent="0.25">
      <c r="A2452" s="4" t="s">
        <v>29</v>
      </c>
      <c r="B2452" s="4" t="s">
        <v>41</v>
      </c>
      <c r="C2452" s="4" t="s">
        <v>23</v>
      </c>
      <c r="D2452" s="4" t="s">
        <v>48</v>
      </c>
      <c r="E2452" s="4" t="s">
        <v>25</v>
      </c>
      <c r="F2452" s="4" t="s">
        <v>25</v>
      </c>
      <c r="G2452" s="4" t="s">
        <v>25</v>
      </c>
      <c r="H2452" s="4" t="s">
        <v>25</v>
      </c>
      <c r="I2452" s="5">
        <v>44166</v>
      </c>
      <c r="J2452" s="6">
        <v>0</v>
      </c>
      <c r="K2452" s="6">
        <v>0</v>
      </c>
      <c r="L2452" s="6">
        <v>-26.065000000000001</v>
      </c>
      <c r="M2452" s="6">
        <v>-26.065000000000001</v>
      </c>
      <c r="N2452" s="6">
        <v>-26.065000000000001</v>
      </c>
      <c r="O2452" s="6">
        <v>-26.065000000000001</v>
      </c>
      <c r="P2452" s="6">
        <v>0</v>
      </c>
      <c r="Q2452" s="4" t="s">
        <v>26</v>
      </c>
      <c r="R2452" s="4">
        <v>0</v>
      </c>
      <c r="S2452" s="6">
        <v>0</v>
      </c>
      <c r="T2452" s="6">
        <v>72</v>
      </c>
      <c r="U2452" s="6">
        <v>78</v>
      </c>
      <c r="V2452" s="6">
        <f>IF(ISERROR(VLOOKUP($S$2452,'TAR FIN'!$A$1:$O$95,15,0)),0,VLOOKUP($S$2452,'TAR FIN'!$A$1:$O$95,15,0))</f>
        <v>0</v>
      </c>
      <c r="W2452" s="6">
        <f>IF(ISERROR(VLOOKUP($T$2452,'TAR FIN'!$A$1:$O$95,15,0)),0,VLOOKUP($T$2452,'TAR FIN'!$A$1:$O$95,15,0))</f>
        <v>450.19</v>
      </c>
      <c r="X2452" s="6">
        <f>IF(ISERROR(VLOOKUP($U$2452,'TAR FIN'!$A$1:$O$95,15,0)),0,VLOOKUP($U$2452,'TAR FIN'!$A$1:$O$95,15,0))</f>
        <v>243.3</v>
      </c>
      <c r="Y2452" s="6"/>
      <c r="Z2452" s="6">
        <f ca="1">('TUSD BE'!$AM$53+'TUSD BF'!$AM$53+'TUSD CVA'!$AM$53)*1</f>
        <v>506.5198438752322</v>
      </c>
      <c r="AA2452" s="6">
        <f>('TE BE'!$AA$41+'TE BF'!$AA$41+'TE CVA'!$AA$41)*1</f>
        <v>297.20166373463735</v>
      </c>
      <c r="AB2452" s="6">
        <f>$K$2452*$V$2452</f>
        <v>0</v>
      </c>
      <c r="AC2452" s="6">
        <f>$M$2452*$W$2452</f>
        <v>-11734.202350000001</v>
      </c>
      <c r="AD2452" s="6">
        <f>$O$2452*$X$2452</f>
        <v>-6341.6145000000006</v>
      </c>
      <c r="AE2452" s="6">
        <f>$K$2452*$Y$2452</f>
        <v>0</v>
      </c>
      <c r="AF2452" s="6">
        <f ca="1">$M$2452*$Z$2452</f>
        <v>-13202.439730607928</v>
      </c>
      <c r="AG2452" s="6">
        <f>$O$2452*$AA$2452</f>
        <v>-7746.5613652433231</v>
      </c>
    </row>
    <row r="2453" spans="1:33" ht="11.25" customHeight="1" x14ac:dyDescent="0.25">
      <c r="A2453" s="4" t="s">
        <v>30</v>
      </c>
      <c r="B2453" s="4" t="s">
        <v>41</v>
      </c>
      <c r="C2453" s="4" t="s">
        <v>23</v>
      </c>
      <c r="D2453" s="4" t="s">
        <v>48</v>
      </c>
      <c r="E2453" s="4" t="s">
        <v>25</v>
      </c>
      <c r="F2453" s="4" t="s">
        <v>25</v>
      </c>
      <c r="G2453" s="4" t="s">
        <v>25</v>
      </c>
      <c r="H2453" s="4" t="s">
        <v>25</v>
      </c>
      <c r="I2453" s="5">
        <v>44166</v>
      </c>
      <c r="J2453" s="6">
        <v>0</v>
      </c>
      <c r="K2453" s="6">
        <v>0</v>
      </c>
      <c r="L2453" s="6">
        <v>6.3739999999999997</v>
      </c>
      <c r="M2453" s="6">
        <v>6.3739999999999997</v>
      </c>
      <c r="N2453" s="6">
        <v>6.3739999999999997</v>
      </c>
      <c r="O2453" s="6">
        <v>6.3739999999999997</v>
      </c>
      <c r="P2453" s="6">
        <v>3</v>
      </c>
      <c r="Q2453" s="4" t="s">
        <v>26</v>
      </c>
      <c r="R2453" s="4">
        <v>0</v>
      </c>
      <c r="S2453" s="6">
        <v>0</v>
      </c>
      <c r="T2453" s="6">
        <v>72</v>
      </c>
      <c r="U2453" s="6">
        <v>78</v>
      </c>
      <c r="V2453" s="6">
        <f>IF(ISERROR(VLOOKUP($S$2453,'TAR FIN'!$A$1:$O$95,15,0)),0,VLOOKUP($S$2453,'TAR FIN'!$A$1:$O$95,15,0))</f>
        <v>0</v>
      </c>
      <c r="W2453" s="6">
        <f>IF(ISERROR(VLOOKUP($T$2453,'TAR FIN'!$A$1:$O$95,15,0)),0,VLOOKUP($T$2453,'TAR FIN'!$A$1:$O$95,15,0))</f>
        <v>450.19</v>
      </c>
      <c r="X2453" s="6">
        <f>IF(ISERROR(VLOOKUP($U$2453,'TAR FIN'!$A$1:$O$95,15,0)),0,VLOOKUP($U$2453,'TAR FIN'!$A$1:$O$95,15,0))</f>
        <v>243.3</v>
      </c>
      <c r="Y2453" s="6"/>
      <c r="Z2453" s="6">
        <f ca="1">('TUSD BE'!$AM$53+'TUSD BF'!$AM$53+'TUSD CVA'!$AM$53)*1</f>
        <v>506.5198438752322</v>
      </c>
      <c r="AA2453" s="6">
        <f>('TE BE'!$AA$41+'TE BF'!$AA$41+'TE CVA'!$AA$41)*1</f>
        <v>297.20166373463735</v>
      </c>
      <c r="AB2453" s="6">
        <f>$K$2453*$V$2453</f>
        <v>0</v>
      </c>
      <c r="AC2453" s="6">
        <f>$M$2453*$W$2453</f>
        <v>2869.5110599999998</v>
      </c>
      <c r="AD2453" s="6">
        <f>$O$2453*$X$2453</f>
        <v>1550.7942</v>
      </c>
      <c r="AE2453" s="6">
        <f>$K$2453*$Y$2453</f>
        <v>0</v>
      </c>
      <c r="AF2453" s="6">
        <f ca="1">$M$2453*$Z$2453</f>
        <v>3228.5574848607298</v>
      </c>
      <c r="AG2453" s="6">
        <f>$O$2453*$AA$2453</f>
        <v>1894.3634046445784</v>
      </c>
    </row>
    <row r="2454" spans="1:33" ht="11.25" customHeight="1" x14ac:dyDescent="0.25">
      <c r="A2454" s="4" t="s">
        <v>21</v>
      </c>
      <c r="B2454" s="4" t="s">
        <v>41</v>
      </c>
      <c r="C2454" s="4" t="s">
        <v>23</v>
      </c>
      <c r="D2454" s="4" t="s">
        <v>48</v>
      </c>
      <c r="E2454" s="4" t="s">
        <v>25</v>
      </c>
      <c r="F2454" s="4" t="s">
        <v>25</v>
      </c>
      <c r="G2454" s="4" t="s">
        <v>25</v>
      </c>
      <c r="H2454" s="4" t="s">
        <v>25</v>
      </c>
      <c r="I2454" s="5">
        <v>44197</v>
      </c>
      <c r="J2454" s="6">
        <v>0</v>
      </c>
      <c r="K2454" s="6">
        <v>0</v>
      </c>
      <c r="L2454" s="6">
        <v>3141.83</v>
      </c>
      <c r="M2454" s="6">
        <v>3141.83</v>
      </c>
      <c r="N2454" s="6">
        <v>3141.83</v>
      </c>
      <c r="O2454" s="6">
        <v>3141.83</v>
      </c>
      <c r="P2454" s="6">
        <v>2082</v>
      </c>
      <c r="Q2454" s="4" t="s">
        <v>26</v>
      </c>
      <c r="R2454" s="4">
        <v>0</v>
      </c>
      <c r="S2454" s="6">
        <v>0</v>
      </c>
      <c r="T2454" s="6">
        <v>72</v>
      </c>
      <c r="U2454" s="6">
        <v>78</v>
      </c>
      <c r="V2454" s="6">
        <f>IF(ISERROR(VLOOKUP($S$2454,'TAR FIN'!$A$1:$O$95,15,0)),0,VLOOKUP($S$2454,'TAR FIN'!$A$1:$O$95,15,0))</f>
        <v>0</v>
      </c>
      <c r="W2454" s="6">
        <f>IF(ISERROR(VLOOKUP($T$2454,'TAR FIN'!$A$1:$O$95,15,0)),0,VLOOKUP($T$2454,'TAR FIN'!$A$1:$O$95,15,0))</f>
        <v>450.19</v>
      </c>
      <c r="X2454" s="6">
        <f>IF(ISERROR(VLOOKUP($U$2454,'TAR FIN'!$A$1:$O$95,15,0)),0,VLOOKUP($U$2454,'TAR FIN'!$A$1:$O$95,15,0))</f>
        <v>243.3</v>
      </c>
      <c r="Y2454" s="6"/>
      <c r="Z2454" s="6">
        <f ca="1">('TUSD BE'!$AM$53+'TUSD BF'!$AM$53+'TUSD CVA'!$AM$53)*1</f>
        <v>506.5198438752322</v>
      </c>
      <c r="AA2454" s="6">
        <f>('TE BE'!$AA$41+'TE BF'!$AA$41+'TE CVA'!$AA$41)*1</f>
        <v>297.20166373463735</v>
      </c>
      <c r="AB2454" s="6">
        <f>$K$2454*$V$2454</f>
        <v>0</v>
      </c>
      <c r="AC2454" s="6">
        <f>$M$2454*$W$2454</f>
        <v>1414420.4476999999</v>
      </c>
      <c r="AD2454" s="6">
        <f>$O$2454*$X$2454</f>
        <v>764407.23900000006</v>
      </c>
      <c r="AE2454" s="6">
        <f>$K$2454*$Y$2454</f>
        <v>0</v>
      </c>
      <c r="AF2454" s="6">
        <f ca="1">$M$2454*$Z$2454</f>
        <v>1591399.2410825207</v>
      </c>
      <c r="AG2454" s="6">
        <f>$O$2454*$AA$2454</f>
        <v>933757.1031713956</v>
      </c>
    </row>
    <row r="2455" spans="1:33" ht="11.25" customHeight="1" x14ac:dyDescent="0.25">
      <c r="A2455" s="4" t="s">
        <v>27</v>
      </c>
      <c r="B2455" s="4" t="s">
        <v>41</v>
      </c>
      <c r="C2455" s="4" t="s">
        <v>23</v>
      </c>
      <c r="D2455" s="4" t="s">
        <v>48</v>
      </c>
      <c r="E2455" s="4" t="s">
        <v>25</v>
      </c>
      <c r="F2455" s="4" t="s">
        <v>25</v>
      </c>
      <c r="G2455" s="4" t="s">
        <v>25</v>
      </c>
      <c r="H2455" s="4" t="s">
        <v>25</v>
      </c>
      <c r="I2455" s="5">
        <v>44197</v>
      </c>
      <c r="J2455" s="6">
        <v>0</v>
      </c>
      <c r="K2455" s="6">
        <v>0</v>
      </c>
      <c r="L2455" s="6">
        <v>-5.3959999999999999</v>
      </c>
      <c r="M2455" s="6">
        <v>-5.3959999999999999</v>
      </c>
      <c r="N2455" s="6">
        <v>-5.3959999999999999</v>
      </c>
      <c r="O2455" s="6">
        <v>-5.3959999999999999</v>
      </c>
      <c r="P2455" s="6">
        <v>0</v>
      </c>
      <c r="Q2455" s="4" t="s">
        <v>26</v>
      </c>
      <c r="R2455" s="4">
        <v>0</v>
      </c>
      <c r="S2455" s="6">
        <v>0</v>
      </c>
      <c r="T2455" s="6">
        <v>72</v>
      </c>
      <c r="U2455" s="6">
        <v>78</v>
      </c>
      <c r="V2455" s="6">
        <f>IF(ISERROR(VLOOKUP($S$2455,'TAR FIN'!$A$1:$O$95,15,0)),0,VLOOKUP($S$2455,'TAR FIN'!$A$1:$O$95,15,0))</f>
        <v>0</v>
      </c>
      <c r="W2455" s="6">
        <f>IF(ISERROR(VLOOKUP($T$2455,'TAR FIN'!$A$1:$O$95,15,0)),0,VLOOKUP($T$2455,'TAR FIN'!$A$1:$O$95,15,0))</f>
        <v>450.19</v>
      </c>
      <c r="X2455" s="6">
        <f>IF(ISERROR(VLOOKUP($U$2455,'TAR FIN'!$A$1:$O$95,15,0)),0,VLOOKUP($U$2455,'TAR FIN'!$A$1:$O$95,15,0))</f>
        <v>243.3</v>
      </c>
      <c r="Y2455" s="6"/>
      <c r="Z2455" s="6">
        <f ca="1">('TUSD BE'!$AM$53+'TUSD BF'!$AM$53+'TUSD CVA'!$AM$53)*1</f>
        <v>506.5198438752322</v>
      </c>
      <c r="AA2455" s="6">
        <f>('TE BE'!$AA$41+'TE BF'!$AA$41+'TE CVA'!$AA$41)*1</f>
        <v>297.20166373463735</v>
      </c>
      <c r="AB2455" s="6">
        <f>$K$2455*$V$2455</f>
        <v>0</v>
      </c>
      <c r="AC2455" s="6">
        <f>$M$2455*$W$2455</f>
        <v>-2429.2252399999998</v>
      </c>
      <c r="AD2455" s="6">
        <f>$O$2455*$X$2455</f>
        <v>-1312.8468</v>
      </c>
      <c r="AE2455" s="6">
        <f>$K$2455*$Y$2455</f>
        <v>0</v>
      </c>
      <c r="AF2455" s="6">
        <f ca="1">$M$2455*$Z$2455</f>
        <v>-2733.1810775507529</v>
      </c>
      <c r="AG2455" s="6">
        <f>$O$2455*$AA$2455</f>
        <v>-1603.7001775121032</v>
      </c>
    </row>
    <row r="2456" spans="1:33" ht="11.25" customHeight="1" x14ac:dyDescent="0.25">
      <c r="A2456" s="4" t="s">
        <v>28</v>
      </c>
      <c r="B2456" s="4" t="s">
        <v>41</v>
      </c>
      <c r="C2456" s="4" t="s">
        <v>23</v>
      </c>
      <c r="D2456" s="4" t="s">
        <v>48</v>
      </c>
      <c r="E2456" s="4" t="s">
        <v>25</v>
      </c>
      <c r="F2456" s="4" t="s">
        <v>25</v>
      </c>
      <c r="G2456" s="4" t="s">
        <v>25</v>
      </c>
      <c r="H2456" s="4" t="s">
        <v>25</v>
      </c>
      <c r="I2456" s="5">
        <v>44197</v>
      </c>
      <c r="J2456" s="6">
        <v>0</v>
      </c>
      <c r="K2456" s="6">
        <v>0</v>
      </c>
      <c r="L2456" s="6">
        <v>5590.9669999999996</v>
      </c>
      <c r="M2456" s="6">
        <v>5590.9669999999996</v>
      </c>
      <c r="N2456" s="6">
        <v>5590.9669999999996</v>
      </c>
      <c r="O2456" s="6">
        <v>5590.9669999999996</v>
      </c>
      <c r="P2456" s="6">
        <v>6578</v>
      </c>
      <c r="Q2456" s="4" t="s">
        <v>26</v>
      </c>
      <c r="R2456" s="4">
        <v>0</v>
      </c>
      <c r="S2456" s="6">
        <v>0</v>
      </c>
      <c r="T2456" s="6">
        <v>72</v>
      </c>
      <c r="U2456" s="6">
        <v>78</v>
      </c>
      <c r="V2456" s="6">
        <f>IF(ISERROR(VLOOKUP($S$2456,'TAR FIN'!$A$1:$O$95,15,0)),0,VLOOKUP($S$2456,'TAR FIN'!$A$1:$O$95,15,0))</f>
        <v>0</v>
      </c>
      <c r="W2456" s="6">
        <f>IF(ISERROR(VLOOKUP($T$2456,'TAR FIN'!$A$1:$O$95,15,0)),0,VLOOKUP($T$2456,'TAR FIN'!$A$1:$O$95,15,0))</f>
        <v>450.19</v>
      </c>
      <c r="X2456" s="6">
        <f>IF(ISERROR(VLOOKUP($U$2456,'TAR FIN'!$A$1:$O$95,15,0)),0,VLOOKUP($U$2456,'TAR FIN'!$A$1:$O$95,15,0))</f>
        <v>243.3</v>
      </c>
      <c r="Y2456" s="6"/>
      <c r="Z2456" s="6">
        <f ca="1">('TUSD BE'!$AM$53+'TUSD BF'!$AM$53+'TUSD CVA'!$AM$53)*1</f>
        <v>506.5198438752322</v>
      </c>
      <c r="AA2456" s="6">
        <f>('TE BE'!$AA$41+'TE BF'!$AA$41+'TE CVA'!$AA$41)*1</f>
        <v>297.20166373463735</v>
      </c>
      <c r="AB2456" s="6">
        <f>$K$2456*$V$2456</f>
        <v>0</v>
      </c>
      <c r="AC2456" s="6">
        <f>$M$2456*$W$2456</f>
        <v>2516997.4337299997</v>
      </c>
      <c r="AD2456" s="6">
        <f>$O$2456*$X$2456</f>
        <v>1360282.2711</v>
      </c>
      <c r="AE2456" s="6">
        <f>$K$2456*$Y$2456</f>
        <v>0</v>
      </c>
      <c r="AF2456" s="6">
        <f ca="1">$M$2456*$Z$2456</f>
        <v>2831935.7319515753</v>
      </c>
      <c r="AG2456" s="6">
        <f>$O$2456*$AA$2456</f>
        <v>1661644.694285454</v>
      </c>
    </row>
    <row r="2457" spans="1:33" ht="11.25" customHeight="1" x14ac:dyDescent="0.25">
      <c r="A2457" s="4" t="s">
        <v>29</v>
      </c>
      <c r="B2457" s="4" t="s">
        <v>41</v>
      </c>
      <c r="C2457" s="4" t="s">
        <v>23</v>
      </c>
      <c r="D2457" s="4" t="s">
        <v>48</v>
      </c>
      <c r="E2457" s="4" t="s">
        <v>25</v>
      </c>
      <c r="F2457" s="4" t="s">
        <v>25</v>
      </c>
      <c r="G2457" s="4" t="s">
        <v>25</v>
      </c>
      <c r="H2457" s="4" t="s">
        <v>25</v>
      </c>
      <c r="I2457" s="5">
        <v>44197</v>
      </c>
      <c r="J2457" s="6">
        <v>0</v>
      </c>
      <c r="K2457" s="6">
        <v>0</v>
      </c>
      <c r="L2457" s="6">
        <v>37.682000000000002</v>
      </c>
      <c r="M2457" s="6">
        <v>37.682000000000002</v>
      </c>
      <c r="N2457" s="6">
        <v>37.682000000000002</v>
      </c>
      <c r="O2457" s="6">
        <v>37.682000000000002</v>
      </c>
      <c r="P2457" s="6">
        <v>0</v>
      </c>
      <c r="Q2457" s="4" t="s">
        <v>26</v>
      </c>
      <c r="R2457" s="4">
        <v>0</v>
      </c>
      <c r="S2457" s="6">
        <v>0</v>
      </c>
      <c r="T2457" s="6">
        <v>72</v>
      </c>
      <c r="U2457" s="6">
        <v>78</v>
      </c>
      <c r="V2457" s="6">
        <f>IF(ISERROR(VLOOKUP($S$2457,'TAR FIN'!$A$1:$O$95,15,0)),0,VLOOKUP($S$2457,'TAR FIN'!$A$1:$O$95,15,0))</f>
        <v>0</v>
      </c>
      <c r="W2457" s="6">
        <f>IF(ISERROR(VLOOKUP($T$2457,'TAR FIN'!$A$1:$O$95,15,0)),0,VLOOKUP($T$2457,'TAR FIN'!$A$1:$O$95,15,0))</f>
        <v>450.19</v>
      </c>
      <c r="X2457" s="6">
        <f>IF(ISERROR(VLOOKUP($U$2457,'TAR FIN'!$A$1:$O$95,15,0)),0,VLOOKUP($U$2457,'TAR FIN'!$A$1:$O$95,15,0))</f>
        <v>243.3</v>
      </c>
      <c r="Y2457" s="6"/>
      <c r="Z2457" s="6">
        <f ca="1">('TUSD BE'!$AM$53+'TUSD BF'!$AM$53+'TUSD CVA'!$AM$53)*1</f>
        <v>506.5198438752322</v>
      </c>
      <c r="AA2457" s="6">
        <f>('TE BE'!$AA$41+'TE BF'!$AA$41+'TE CVA'!$AA$41)*1</f>
        <v>297.20166373463735</v>
      </c>
      <c r="AB2457" s="6">
        <f>$K$2457*$V$2457</f>
        <v>0</v>
      </c>
      <c r="AC2457" s="6">
        <f>$M$2457*$W$2457</f>
        <v>16964.059580000001</v>
      </c>
      <c r="AD2457" s="6">
        <f>$O$2457*$X$2457</f>
        <v>9168.0306</v>
      </c>
      <c r="AE2457" s="6">
        <f>$K$2457*$Y$2457</f>
        <v>0</v>
      </c>
      <c r="AF2457" s="6">
        <f ca="1">$M$2457*$Z$2457</f>
        <v>19086.680756906502</v>
      </c>
      <c r="AG2457" s="6">
        <f>$O$2457*$AA$2457</f>
        <v>11199.153092848605</v>
      </c>
    </row>
    <row r="2458" spans="1:33" ht="11.25" customHeight="1" x14ac:dyDescent="0.25">
      <c r="A2458" s="4" t="s">
        <v>30</v>
      </c>
      <c r="B2458" s="4" t="s">
        <v>41</v>
      </c>
      <c r="C2458" s="4" t="s">
        <v>23</v>
      </c>
      <c r="D2458" s="4" t="s">
        <v>48</v>
      </c>
      <c r="E2458" s="4" t="s">
        <v>25</v>
      </c>
      <c r="F2458" s="4" t="s">
        <v>25</v>
      </c>
      <c r="G2458" s="4" t="s">
        <v>25</v>
      </c>
      <c r="H2458" s="4" t="s">
        <v>25</v>
      </c>
      <c r="I2458" s="5">
        <v>44197</v>
      </c>
      <c r="J2458" s="6">
        <v>0</v>
      </c>
      <c r="K2458" s="6">
        <v>0</v>
      </c>
      <c r="L2458" s="6">
        <v>5.7489999999999997</v>
      </c>
      <c r="M2458" s="6">
        <v>5.7489999999999997</v>
      </c>
      <c r="N2458" s="6">
        <v>5.7489999999999997</v>
      </c>
      <c r="O2458" s="6">
        <v>5.7489999999999997</v>
      </c>
      <c r="P2458" s="6">
        <v>3</v>
      </c>
      <c r="Q2458" s="4" t="s">
        <v>26</v>
      </c>
      <c r="R2458" s="4">
        <v>0</v>
      </c>
      <c r="S2458" s="6">
        <v>0</v>
      </c>
      <c r="T2458" s="6">
        <v>72</v>
      </c>
      <c r="U2458" s="6">
        <v>78</v>
      </c>
      <c r="V2458" s="6">
        <f>IF(ISERROR(VLOOKUP($S$2458,'TAR FIN'!$A$1:$O$95,15,0)),0,VLOOKUP($S$2458,'TAR FIN'!$A$1:$O$95,15,0))</f>
        <v>0</v>
      </c>
      <c r="W2458" s="6">
        <f>IF(ISERROR(VLOOKUP($T$2458,'TAR FIN'!$A$1:$O$95,15,0)),0,VLOOKUP($T$2458,'TAR FIN'!$A$1:$O$95,15,0))</f>
        <v>450.19</v>
      </c>
      <c r="X2458" s="6">
        <f>IF(ISERROR(VLOOKUP($U$2458,'TAR FIN'!$A$1:$O$95,15,0)),0,VLOOKUP($U$2458,'TAR FIN'!$A$1:$O$95,15,0))</f>
        <v>243.3</v>
      </c>
      <c r="Y2458" s="6"/>
      <c r="Z2458" s="6">
        <f ca="1">('TUSD BE'!$AM$53+'TUSD BF'!$AM$53+'TUSD CVA'!$AM$53)*1</f>
        <v>506.5198438752322</v>
      </c>
      <c r="AA2458" s="6">
        <f>('TE BE'!$AA$41+'TE BF'!$AA$41+'TE CVA'!$AA$41)*1</f>
        <v>297.20166373463735</v>
      </c>
      <c r="AB2458" s="6">
        <f>$K$2458*$V$2458</f>
        <v>0</v>
      </c>
      <c r="AC2458" s="6">
        <f>$M$2458*$W$2458</f>
        <v>2588.1423099999997</v>
      </c>
      <c r="AD2458" s="6">
        <f>$O$2458*$X$2458</f>
        <v>1398.7317</v>
      </c>
      <c r="AE2458" s="6">
        <f>$K$2458*$Y$2458</f>
        <v>0</v>
      </c>
      <c r="AF2458" s="6">
        <f ca="1">$M$2458*$Z$2458</f>
        <v>2911.9825824387099</v>
      </c>
      <c r="AG2458" s="6">
        <f>$O$2458*$AA$2458</f>
        <v>1708.6123648104301</v>
      </c>
    </row>
    <row r="2459" spans="1:33" ht="11.25" customHeight="1" x14ac:dyDescent="0.25">
      <c r="A2459" s="4" t="s">
        <v>21</v>
      </c>
      <c r="B2459" s="4" t="s">
        <v>41</v>
      </c>
      <c r="C2459" s="4" t="s">
        <v>23</v>
      </c>
      <c r="D2459" s="4" t="s">
        <v>48</v>
      </c>
      <c r="E2459" s="4" t="s">
        <v>25</v>
      </c>
      <c r="F2459" s="4" t="s">
        <v>25</v>
      </c>
      <c r="G2459" s="4" t="s">
        <v>25</v>
      </c>
      <c r="H2459" s="4" t="s">
        <v>25</v>
      </c>
      <c r="I2459" s="5">
        <v>44228</v>
      </c>
      <c r="J2459" s="6">
        <v>0</v>
      </c>
      <c r="K2459" s="6">
        <v>0</v>
      </c>
      <c r="L2459" s="6">
        <v>2931.6689999999999</v>
      </c>
      <c r="M2459" s="6">
        <v>2931.6689999999999</v>
      </c>
      <c r="N2459" s="6">
        <v>2931.6689999999999</v>
      </c>
      <c r="O2459" s="6">
        <v>2931.6689999999999</v>
      </c>
      <c r="P2459" s="6">
        <v>2078</v>
      </c>
      <c r="Q2459" s="4" t="s">
        <v>26</v>
      </c>
      <c r="R2459" s="4">
        <v>0</v>
      </c>
      <c r="S2459" s="6">
        <v>0</v>
      </c>
      <c r="T2459" s="6">
        <v>72</v>
      </c>
      <c r="U2459" s="6">
        <v>78</v>
      </c>
      <c r="V2459" s="6">
        <f>IF(ISERROR(VLOOKUP($S$2459,'TAR FIN'!$A$1:$O$95,15,0)),0,VLOOKUP($S$2459,'TAR FIN'!$A$1:$O$95,15,0))</f>
        <v>0</v>
      </c>
      <c r="W2459" s="6">
        <f>IF(ISERROR(VLOOKUP($T$2459,'TAR FIN'!$A$1:$O$95,15,0)),0,VLOOKUP($T$2459,'TAR FIN'!$A$1:$O$95,15,0))</f>
        <v>450.19</v>
      </c>
      <c r="X2459" s="6">
        <f>IF(ISERROR(VLOOKUP($U$2459,'TAR FIN'!$A$1:$O$95,15,0)),0,VLOOKUP($U$2459,'TAR FIN'!$A$1:$O$95,15,0))</f>
        <v>243.3</v>
      </c>
      <c r="Y2459" s="6"/>
      <c r="Z2459" s="6">
        <f ca="1">('TUSD BE'!$AM$53+'TUSD BF'!$AM$53+'TUSD CVA'!$AM$53)*1</f>
        <v>506.5198438752322</v>
      </c>
      <c r="AA2459" s="6">
        <f>('TE BE'!$AA$41+'TE BF'!$AA$41+'TE CVA'!$AA$41)*1</f>
        <v>297.20166373463735</v>
      </c>
      <c r="AB2459" s="6">
        <f>$K$2459*$V$2459</f>
        <v>0</v>
      </c>
      <c r="AC2459" s="6">
        <f>$M$2459*$W$2459</f>
        <v>1319808.0671099999</v>
      </c>
      <c r="AD2459" s="6">
        <f>$O$2459*$X$2459</f>
        <v>713275.06770000001</v>
      </c>
      <c r="AE2459" s="6">
        <f>$K$2459*$Y$2459</f>
        <v>0</v>
      </c>
      <c r="AF2459" s="6">
        <f ca="1">$M$2459*$Z$2459</f>
        <v>1484948.5241738581</v>
      </c>
      <c r="AG2459" s="6">
        <f>$O$2459*$AA$2459</f>
        <v>871296.9043192605</v>
      </c>
    </row>
    <row r="2460" spans="1:33" ht="11.25" customHeight="1" x14ac:dyDescent="0.25">
      <c r="A2460" s="4" t="s">
        <v>27</v>
      </c>
      <c r="B2460" s="4" t="s">
        <v>41</v>
      </c>
      <c r="C2460" s="4" t="s">
        <v>23</v>
      </c>
      <c r="D2460" s="4" t="s">
        <v>48</v>
      </c>
      <c r="E2460" s="4" t="s">
        <v>25</v>
      </c>
      <c r="F2460" s="4" t="s">
        <v>25</v>
      </c>
      <c r="G2460" s="4" t="s">
        <v>25</v>
      </c>
      <c r="H2460" s="4" t="s">
        <v>25</v>
      </c>
      <c r="I2460" s="5">
        <v>44228</v>
      </c>
      <c r="J2460" s="6">
        <v>0</v>
      </c>
      <c r="K2460" s="6">
        <v>0</v>
      </c>
      <c r="L2460" s="6">
        <v>-9.3529999999999998</v>
      </c>
      <c r="M2460" s="6">
        <v>-9.3529999999999998</v>
      </c>
      <c r="N2460" s="6">
        <v>-9.3529999999999998</v>
      </c>
      <c r="O2460" s="6">
        <v>-9.3529999999999998</v>
      </c>
      <c r="P2460" s="6">
        <v>0</v>
      </c>
      <c r="Q2460" s="4" t="s">
        <v>26</v>
      </c>
      <c r="R2460" s="4">
        <v>0</v>
      </c>
      <c r="S2460" s="6">
        <v>0</v>
      </c>
      <c r="T2460" s="6">
        <v>72</v>
      </c>
      <c r="U2460" s="6">
        <v>78</v>
      </c>
      <c r="V2460" s="6">
        <f>IF(ISERROR(VLOOKUP($S$2460,'TAR FIN'!$A$1:$O$95,15,0)),0,VLOOKUP($S$2460,'TAR FIN'!$A$1:$O$95,15,0))</f>
        <v>0</v>
      </c>
      <c r="W2460" s="6">
        <f>IF(ISERROR(VLOOKUP($T$2460,'TAR FIN'!$A$1:$O$95,15,0)),0,VLOOKUP($T$2460,'TAR FIN'!$A$1:$O$95,15,0))</f>
        <v>450.19</v>
      </c>
      <c r="X2460" s="6">
        <f>IF(ISERROR(VLOOKUP($U$2460,'TAR FIN'!$A$1:$O$95,15,0)),0,VLOOKUP($U$2460,'TAR FIN'!$A$1:$O$95,15,0))</f>
        <v>243.3</v>
      </c>
      <c r="Y2460" s="6"/>
      <c r="Z2460" s="6">
        <f ca="1">('TUSD BE'!$AM$53+'TUSD BF'!$AM$53+'TUSD CVA'!$AM$53)*1</f>
        <v>506.5198438752322</v>
      </c>
      <c r="AA2460" s="6">
        <f>('TE BE'!$AA$41+'TE BF'!$AA$41+'TE CVA'!$AA$41)*1</f>
        <v>297.20166373463735</v>
      </c>
      <c r="AB2460" s="6">
        <f>$K$2460*$V$2460</f>
        <v>0</v>
      </c>
      <c r="AC2460" s="6">
        <f>$M$2460*$W$2460</f>
        <v>-4210.6270699999995</v>
      </c>
      <c r="AD2460" s="6">
        <f>$O$2460*$X$2460</f>
        <v>-2275.5848999999998</v>
      </c>
      <c r="AE2460" s="6">
        <f>$K$2460*$Y$2460</f>
        <v>0</v>
      </c>
      <c r="AF2460" s="6">
        <f ca="1">$M$2460*$Z$2460</f>
        <v>-4737.4800997650464</v>
      </c>
      <c r="AG2460" s="6">
        <f>$O$2460*$AA$2460</f>
        <v>-2779.727160910063</v>
      </c>
    </row>
    <row r="2461" spans="1:33" ht="11.25" customHeight="1" x14ac:dyDescent="0.25">
      <c r="A2461" s="4" t="s">
        <v>28</v>
      </c>
      <c r="B2461" s="4" t="s">
        <v>41</v>
      </c>
      <c r="C2461" s="4" t="s">
        <v>23</v>
      </c>
      <c r="D2461" s="4" t="s">
        <v>48</v>
      </c>
      <c r="E2461" s="4" t="s">
        <v>25</v>
      </c>
      <c r="F2461" s="4" t="s">
        <v>25</v>
      </c>
      <c r="G2461" s="4" t="s">
        <v>25</v>
      </c>
      <c r="H2461" s="4" t="s">
        <v>25</v>
      </c>
      <c r="I2461" s="5">
        <v>44228</v>
      </c>
      <c r="J2461" s="6">
        <v>0</v>
      </c>
      <c r="K2461" s="6">
        <v>0</v>
      </c>
      <c r="L2461" s="6">
        <v>5498.6490000000003</v>
      </c>
      <c r="M2461" s="6">
        <v>5498.6490000000003</v>
      </c>
      <c r="N2461" s="6">
        <v>5498.6490000000003</v>
      </c>
      <c r="O2461" s="6">
        <v>5498.6490000000003</v>
      </c>
      <c r="P2461" s="6">
        <v>6575</v>
      </c>
      <c r="Q2461" s="4" t="s">
        <v>26</v>
      </c>
      <c r="R2461" s="4">
        <v>0</v>
      </c>
      <c r="S2461" s="6">
        <v>0</v>
      </c>
      <c r="T2461" s="6">
        <v>72</v>
      </c>
      <c r="U2461" s="6">
        <v>78</v>
      </c>
      <c r="V2461" s="6">
        <f>IF(ISERROR(VLOOKUP($S$2461,'TAR FIN'!$A$1:$O$95,15,0)),0,VLOOKUP($S$2461,'TAR FIN'!$A$1:$O$95,15,0))</f>
        <v>0</v>
      </c>
      <c r="W2461" s="6">
        <f>IF(ISERROR(VLOOKUP($T$2461,'TAR FIN'!$A$1:$O$95,15,0)),0,VLOOKUP($T$2461,'TAR FIN'!$A$1:$O$95,15,0))</f>
        <v>450.19</v>
      </c>
      <c r="X2461" s="6">
        <f>IF(ISERROR(VLOOKUP($U$2461,'TAR FIN'!$A$1:$O$95,15,0)),0,VLOOKUP($U$2461,'TAR FIN'!$A$1:$O$95,15,0))</f>
        <v>243.3</v>
      </c>
      <c r="Y2461" s="6"/>
      <c r="Z2461" s="6">
        <f ca="1">('TUSD BE'!$AM$53+'TUSD BF'!$AM$53+'TUSD CVA'!$AM$53)*1</f>
        <v>506.5198438752322</v>
      </c>
      <c r="AA2461" s="6">
        <f>('TE BE'!$AA$41+'TE BF'!$AA$41+'TE CVA'!$AA$41)*1</f>
        <v>297.20166373463735</v>
      </c>
      <c r="AB2461" s="6">
        <f>$K$2461*$V$2461</f>
        <v>0</v>
      </c>
      <c r="AC2461" s="6">
        <f>$M$2461*$W$2461</f>
        <v>2475436.7933100001</v>
      </c>
      <c r="AD2461" s="6">
        <f>$O$2461*$X$2461</f>
        <v>1337821.3017000002</v>
      </c>
      <c r="AE2461" s="6">
        <f>$K$2461*$Y$2461</f>
        <v>0</v>
      </c>
      <c r="AF2461" s="6">
        <f ca="1">$M$2461*$Z$2461</f>
        <v>2785174.8330047019</v>
      </c>
      <c r="AG2461" s="6">
        <f>$O$2461*$AA$2461</f>
        <v>1634207.6310928001</v>
      </c>
    </row>
    <row r="2462" spans="1:33" ht="11.25" customHeight="1" x14ac:dyDescent="0.25">
      <c r="A2462" s="4" t="s">
        <v>29</v>
      </c>
      <c r="B2462" s="4" t="s">
        <v>41</v>
      </c>
      <c r="C2462" s="4" t="s">
        <v>23</v>
      </c>
      <c r="D2462" s="4" t="s">
        <v>48</v>
      </c>
      <c r="E2462" s="4" t="s">
        <v>25</v>
      </c>
      <c r="F2462" s="4" t="s">
        <v>25</v>
      </c>
      <c r="G2462" s="4" t="s">
        <v>25</v>
      </c>
      <c r="H2462" s="4" t="s">
        <v>25</v>
      </c>
      <c r="I2462" s="5">
        <v>44228</v>
      </c>
      <c r="J2462" s="6">
        <v>0</v>
      </c>
      <c r="K2462" s="6">
        <v>0</v>
      </c>
      <c r="L2462" s="6">
        <v>-12.305</v>
      </c>
      <c r="M2462" s="6">
        <v>-12.305</v>
      </c>
      <c r="N2462" s="6">
        <v>-12.305</v>
      </c>
      <c r="O2462" s="6">
        <v>-12.305</v>
      </c>
      <c r="P2462" s="6">
        <v>0</v>
      </c>
      <c r="Q2462" s="4" t="s">
        <v>26</v>
      </c>
      <c r="R2462" s="4">
        <v>0</v>
      </c>
      <c r="S2462" s="6">
        <v>0</v>
      </c>
      <c r="T2462" s="6">
        <v>72</v>
      </c>
      <c r="U2462" s="6">
        <v>78</v>
      </c>
      <c r="V2462" s="6">
        <f>IF(ISERROR(VLOOKUP($S$2462,'TAR FIN'!$A$1:$O$95,15,0)),0,VLOOKUP($S$2462,'TAR FIN'!$A$1:$O$95,15,0))</f>
        <v>0</v>
      </c>
      <c r="W2462" s="6">
        <f>IF(ISERROR(VLOOKUP($T$2462,'TAR FIN'!$A$1:$O$95,15,0)),0,VLOOKUP($T$2462,'TAR FIN'!$A$1:$O$95,15,0))</f>
        <v>450.19</v>
      </c>
      <c r="X2462" s="6">
        <f>IF(ISERROR(VLOOKUP($U$2462,'TAR FIN'!$A$1:$O$95,15,0)),0,VLOOKUP($U$2462,'TAR FIN'!$A$1:$O$95,15,0))</f>
        <v>243.3</v>
      </c>
      <c r="Y2462" s="6"/>
      <c r="Z2462" s="6">
        <f ca="1">('TUSD BE'!$AM$53+'TUSD BF'!$AM$53+'TUSD CVA'!$AM$53)*1</f>
        <v>506.5198438752322</v>
      </c>
      <c r="AA2462" s="6">
        <f>('TE BE'!$AA$41+'TE BF'!$AA$41+'TE CVA'!$AA$41)*1</f>
        <v>297.20166373463735</v>
      </c>
      <c r="AB2462" s="6">
        <f>$K$2462*$V$2462</f>
        <v>0</v>
      </c>
      <c r="AC2462" s="6">
        <f>$M$2462*$W$2462</f>
        <v>-5539.5879500000001</v>
      </c>
      <c r="AD2462" s="6">
        <f>$O$2462*$X$2462</f>
        <v>-2993.8065000000001</v>
      </c>
      <c r="AE2462" s="6">
        <f>$K$2462*$Y$2462</f>
        <v>0</v>
      </c>
      <c r="AF2462" s="6">
        <f ca="1">$M$2462*$Z$2462</f>
        <v>-6232.7266788847319</v>
      </c>
      <c r="AG2462" s="6">
        <f>$O$2462*$AA$2462</f>
        <v>-3657.0664722547126</v>
      </c>
    </row>
    <row r="2463" spans="1:33" ht="11.25" customHeight="1" x14ac:dyDescent="0.25">
      <c r="A2463" s="4" t="s">
        <v>30</v>
      </c>
      <c r="B2463" s="4" t="s">
        <v>41</v>
      </c>
      <c r="C2463" s="4" t="s">
        <v>23</v>
      </c>
      <c r="D2463" s="4" t="s">
        <v>48</v>
      </c>
      <c r="E2463" s="4" t="s">
        <v>25</v>
      </c>
      <c r="F2463" s="4" t="s">
        <v>25</v>
      </c>
      <c r="G2463" s="4" t="s">
        <v>25</v>
      </c>
      <c r="H2463" s="4" t="s">
        <v>25</v>
      </c>
      <c r="I2463" s="5">
        <v>44228</v>
      </c>
      <c r="J2463" s="6">
        <v>0</v>
      </c>
      <c r="K2463" s="6">
        <v>0</v>
      </c>
      <c r="L2463" s="6">
        <v>4.9429999999999996</v>
      </c>
      <c r="M2463" s="6">
        <v>4.9429999999999996</v>
      </c>
      <c r="N2463" s="6">
        <v>4.9429999999999996</v>
      </c>
      <c r="O2463" s="6">
        <v>4.9429999999999996</v>
      </c>
      <c r="P2463" s="6">
        <v>3</v>
      </c>
      <c r="Q2463" s="4" t="s">
        <v>26</v>
      </c>
      <c r="R2463" s="4">
        <v>0</v>
      </c>
      <c r="S2463" s="6">
        <v>0</v>
      </c>
      <c r="T2463" s="6">
        <v>72</v>
      </c>
      <c r="U2463" s="6">
        <v>78</v>
      </c>
      <c r="V2463" s="6">
        <f>IF(ISERROR(VLOOKUP($S$2463,'TAR FIN'!$A$1:$O$95,15,0)),0,VLOOKUP($S$2463,'TAR FIN'!$A$1:$O$95,15,0))</f>
        <v>0</v>
      </c>
      <c r="W2463" s="6">
        <f>IF(ISERROR(VLOOKUP($T$2463,'TAR FIN'!$A$1:$O$95,15,0)),0,VLOOKUP($T$2463,'TAR FIN'!$A$1:$O$95,15,0))</f>
        <v>450.19</v>
      </c>
      <c r="X2463" s="6">
        <f>IF(ISERROR(VLOOKUP($U$2463,'TAR FIN'!$A$1:$O$95,15,0)),0,VLOOKUP($U$2463,'TAR FIN'!$A$1:$O$95,15,0))</f>
        <v>243.3</v>
      </c>
      <c r="Y2463" s="6"/>
      <c r="Z2463" s="6">
        <f ca="1">('TUSD BE'!$AM$53+'TUSD BF'!$AM$53+'TUSD CVA'!$AM$53)*1</f>
        <v>506.5198438752322</v>
      </c>
      <c r="AA2463" s="6">
        <f>('TE BE'!$AA$41+'TE BF'!$AA$41+'TE CVA'!$AA$41)*1</f>
        <v>297.20166373463735</v>
      </c>
      <c r="AB2463" s="6">
        <f>$K$2463*$V$2463</f>
        <v>0</v>
      </c>
      <c r="AC2463" s="6">
        <f>$M$2463*$W$2463</f>
        <v>2225.28917</v>
      </c>
      <c r="AD2463" s="6">
        <f>$O$2463*$X$2463</f>
        <v>1202.6318999999999</v>
      </c>
      <c r="AE2463" s="6">
        <f>$K$2463*$Y$2463</f>
        <v>0</v>
      </c>
      <c r="AF2463" s="6">
        <f ca="1">$M$2463*$Z$2463</f>
        <v>2503.7275882752724</v>
      </c>
      <c r="AG2463" s="6">
        <f>$O$2463*$AA$2463</f>
        <v>1469.0678238403123</v>
      </c>
    </row>
    <row r="2464" spans="1:33" ht="11.25" customHeight="1" x14ac:dyDescent="0.25">
      <c r="A2464" s="4" t="s">
        <v>21</v>
      </c>
      <c r="B2464" s="4" t="s">
        <v>41</v>
      </c>
      <c r="C2464" s="4" t="s">
        <v>23</v>
      </c>
      <c r="D2464" s="4" t="s">
        <v>48</v>
      </c>
      <c r="E2464" s="4" t="s">
        <v>25</v>
      </c>
      <c r="F2464" s="4" t="s">
        <v>25</v>
      </c>
      <c r="G2464" s="4" t="s">
        <v>25</v>
      </c>
      <c r="H2464" s="4" t="s">
        <v>25</v>
      </c>
      <c r="I2464" s="5">
        <v>44256</v>
      </c>
      <c r="J2464" s="6">
        <v>0</v>
      </c>
      <c r="K2464" s="6">
        <v>0</v>
      </c>
      <c r="L2464" s="6">
        <v>3216.8150000000001</v>
      </c>
      <c r="M2464" s="6">
        <v>3216.8150000000001</v>
      </c>
      <c r="N2464" s="6">
        <v>3216.8150000000001</v>
      </c>
      <c r="O2464" s="6">
        <v>3216.8150000000001</v>
      </c>
      <c r="P2464" s="6">
        <v>2077</v>
      </c>
      <c r="Q2464" s="4" t="s">
        <v>26</v>
      </c>
      <c r="R2464" s="4">
        <v>0</v>
      </c>
      <c r="S2464" s="6">
        <v>0</v>
      </c>
      <c r="T2464" s="6">
        <v>72</v>
      </c>
      <c r="U2464" s="6">
        <v>78</v>
      </c>
      <c r="V2464" s="6">
        <f>IF(ISERROR(VLOOKUP($S$2464,'TAR FIN'!$A$1:$O$95,15,0)),0,VLOOKUP($S$2464,'TAR FIN'!$A$1:$O$95,15,0))</f>
        <v>0</v>
      </c>
      <c r="W2464" s="6">
        <f>IF(ISERROR(VLOOKUP($T$2464,'TAR FIN'!$A$1:$O$95,15,0)),0,VLOOKUP($T$2464,'TAR FIN'!$A$1:$O$95,15,0))</f>
        <v>450.19</v>
      </c>
      <c r="X2464" s="6">
        <f>IF(ISERROR(VLOOKUP($U$2464,'TAR FIN'!$A$1:$O$95,15,0)),0,VLOOKUP($U$2464,'TAR FIN'!$A$1:$O$95,15,0))</f>
        <v>243.3</v>
      </c>
      <c r="Y2464" s="6"/>
      <c r="Z2464" s="6">
        <f ca="1">('TUSD BE'!$AM$53+'TUSD BF'!$AM$53+'TUSD CVA'!$AM$53)*1</f>
        <v>506.5198438752322</v>
      </c>
      <c r="AA2464" s="6">
        <f>('TE BE'!$AA$41+'TE BF'!$AA$41+'TE CVA'!$AA$41)*1</f>
        <v>297.20166373463735</v>
      </c>
      <c r="AB2464" s="6">
        <f>$K$2464*$V$2464</f>
        <v>0</v>
      </c>
      <c r="AC2464" s="6">
        <f>$M$2464*$W$2464</f>
        <v>1448177.9448500001</v>
      </c>
      <c r="AD2464" s="6">
        <f>$O$2464*$X$2464</f>
        <v>782651.0895</v>
      </c>
      <c r="AE2464" s="6">
        <f>$K$2464*$Y$2464</f>
        <v>0</v>
      </c>
      <c r="AF2464" s="6">
        <f ca="1">$M$2464*$Z$2464</f>
        <v>1629380.631575505</v>
      </c>
      <c r="AG2464" s="6">
        <f>$O$2464*$AA$2464</f>
        <v>956042.76992653741</v>
      </c>
    </row>
    <row r="2465" spans="1:33" ht="11.25" customHeight="1" x14ac:dyDescent="0.25">
      <c r="A2465" s="4" t="s">
        <v>27</v>
      </c>
      <c r="B2465" s="4" t="s">
        <v>41</v>
      </c>
      <c r="C2465" s="4" t="s">
        <v>23</v>
      </c>
      <c r="D2465" s="4" t="s">
        <v>48</v>
      </c>
      <c r="E2465" s="4" t="s">
        <v>25</v>
      </c>
      <c r="F2465" s="4" t="s">
        <v>25</v>
      </c>
      <c r="G2465" s="4" t="s">
        <v>25</v>
      </c>
      <c r="H2465" s="4" t="s">
        <v>25</v>
      </c>
      <c r="I2465" s="5">
        <v>44256</v>
      </c>
      <c r="J2465" s="6">
        <v>0</v>
      </c>
      <c r="K2465" s="6">
        <v>0</v>
      </c>
      <c r="L2465" s="6">
        <v>-41.341999999999999</v>
      </c>
      <c r="M2465" s="6">
        <v>-41.341999999999999</v>
      </c>
      <c r="N2465" s="6">
        <v>-41.341999999999999</v>
      </c>
      <c r="O2465" s="6">
        <v>-41.341999999999999</v>
      </c>
      <c r="P2465" s="6">
        <v>0</v>
      </c>
      <c r="Q2465" s="4" t="s">
        <v>26</v>
      </c>
      <c r="R2465" s="4">
        <v>0</v>
      </c>
      <c r="S2465" s="6">
        <v>0</v>
      </c>
      <c r="T2465" s="6">
        <v>72</v>
      </c>
      <c r="U2465" s="6">
        <v>78</v>
      </c>
      <c r="V2465" s="6">
        <f>IF(ISERROR(VLOOKUP($S$2465,'TAR FIN'!$A$1:$O$95,15,0)),0,VLOOKUP($S$2465,'TAR FIN'!$A$1:$O$95,15,0))</f>
        <v>0</v>
      </c>
      <c r="W2465" s="6">
        <f>IF(ISERROR(VLOOKUP($T$2465,'TAR FIN'!$A$1:$O$95,15,0)),0,VLOOKUP($T$2465,'TAR FIN'!$A$1:$O$95,15,0))</f>
        <v>450.19</v>
      </c>
      <c r="X2465" s="6">
        <f>IF(ISERROR(VLOOKUP($U$2465,'TAR FIN'!$A$1:$O$95,15,0)),0,VLOOKUP($U$2465,'TAR FIN'!$A$1:$O$95,15,0))</f>
        <v>243.3</v>
      </c>
      <c r="Y2465" s="6"/>
      <c r="Z2465" s="6">
        <f ca="1">('TUSD BE'!$AM$53+'TUSD BF'!$AM$53+'TUSD CVA'!$AM$53)*1</f>
        <v>506.5198438752322</v>
      </c>
      <c r="AA2465" s="6">
        <f>('TE BE'!$AA$41+'TE BF'!$AA$41+'TE CVA'!$AA$41)*1</f>
        <v>297.20166373463735</v>
      </c>
      <c r="AB2465" s="6">
        <f>$K$2465*$V$2465</f>
        <v>0</v>
      </c>
      <c r="AC2465" s="6">
        <f>$M$2465*$W$2465</f>
        <v>-18611.754979999998</v>
      </c>
      <c r="AD2465" s="6">
        <f>$O$2465*$X$2465</f>
        <v>-10058.508600000001</v>
      </c>
      <c r="AE2465" s="6">
        <f>$K$2465*$Y$2465</f>
        <v>0</v>
      </c>
      <c r="AF2465" s="6">
        <f ca="1">$M$2465*$Z$2465</f>
        <v>-20940.543385489847</v>
      </c>
      <c r="AG2465" s="6">
        <f>$O$2465*$AA$2465</f>
        <v>-12286.911182117377</v>
      </c>
    </row>
    <row r="2466" spans="1:33" ht="11.25" customHeight="1" x14ac:dyDescent="0.25">
      <c r="A2466" s="4" t="s">
        <v>28</v>
      </c>
      <c r="B2466" s="4" t="s">
        <v>41</v>
      </c>
      <c r="C2466" s="4" t="s">
        <v>23</v>
      </c>
      <c r="D2466" s="4" t="s">
        <v>48</v>
      </c>
      <c r="E2466" s="4" t="s">
        <v>25</v>
      </c>
      <c r="F2466" s="4" t="s">
        <v>25</v>
      </c>
      <c r="G2466" s="4" t="s">
        <v>25</v>
      </c>
      <c r="H2466" s="4" t="s">
        <v>25</v>
      </c>
      <c r="I2466" s="5">
        <v>44256</v>
      </c>
      <c r="J2466" s="6">
        <v>0</v>
      </c>
      <c r="K2466" s="6">
        <v>0</v>
      </c>
      <c r="L2466" s="6">
        <v>5903.4809999999998</v>
      </c>
      <c r="M2466" s="6">
        <v>5903.4809999999998</v>
      </c>
      <c r="N2466" s="6">
        <v>5903.4809999999998</v>
      </c>
      <c r="O2466" s="6">
        <v>5903.4809999999998</v>
      </c>
      <c r="P2466" s="6">
        <v>6562</v>
      </c>
      <c r="Q2466" s="4" t="s">
        <v>26</v>
      </c>
      <c r="R2466" s="4">
        <v>0</v>
      </c>
      <c r="S2466" s="6">
        <v>0</v>
      </c>
      <c r="T2466" s="6">
        <v>72</v>
      </c>
      <c r="U2466" s="6">
        <v>78</v>
      </c>
      <c r="V2466" s="6">
        <f>IF(ISERROR(VLOOKUP($S$2466,'TAR FIN'!$A$1:$O$95,15,0)),0,VLOOKUP($S$2466,'TAR FIN'!$A$1:$O$95,15,0))</f>
        <v>0</v>
      </c>
      <c r="W2466" s="6">
        <f>IF(ISERROR(VLOOKUP($T$2466,'TAR FIN'!$A$1:$O$95,15,0)),0,VLOOKUP($T$2466,'TAR FIN'!$A$1:$O$95,15,0))</f>
        <v>450.19</v>
      </c>
      <c r="X2466" s="6">
        <f>IF(ISERROR(VLOOKUP($U$2466,'TAR FIN'!$A$1:$O$95,15,0)),0,VLOOKUP($U$2466,'TAR FIN'!$A$1:$O$95,15,0))</f>
        <v>243.3</v>
      </c>
      <c r="Y2466" s="6"/>
      <c r="Z2466" s="6">
        <f ca="1">('TUSD BE'!$AM$53+'TUSD BF'!$AM$53+'TUSD CVA'!$AM$53)*1</f>
        <v>506.5198438752322</v>
      </c>
      <c r="AA2466" s="6">
        <f>('TE BE'!$AA$41+'TE BF'!$AA$41+'TE CVA'!$AA$41)*1</f>
        <v>297.20166373463735</v>
      </c>
      <c r="AB2466" s="6">
        <f>$K$2466*$V$2466</f>
        <v>0</v>
      </c>
      <c r="AC2466" s="6">
        <f>$M$2466*$W$2466</f>
        <v>2657688.1113899997</v>
      </c>
      <c r="AD2466" s="6">
        <f>$O$2466*$X$2466</f>
        <v>1436316.9273000001</v>
      </c>
      <c r="AE2466" s="6">
        <f>$K$2466*$Y$2466</f>
        <v>0</v>
      </c>
      <c r="AF2466" s="6">
        <f ca="1">$M$2466*$Z$2466</f>
        <v>2990230.2744403994</v>
      </c>
      <c r="AG2466" s="6">
        <f>$O$2466*$AA$2466</f>
        <v>1754524.3750258205</v>
      </c>
    </row>
    <row r="2467" spans="1:33" ht="11.25" customHeight="1" x14ac:dyDescent="0.25">
      <c r="A2467" s="4" t="s">
        <v>29</v>
      </c>
      <c r="B2467" s="4" t="s">
        <v>41</v>
      </c>
      <c r="C2467" s="4" t="s">
        <v>23</v>
      </c>
      <c r="D2467" s="4" t="s">
        <v>48</v>
      </c>
      <c r="E2467" s="4" t="s">
        <v>25</v>
      </c>
      <c r="F2467" s="4" t="s">
        <v>25</v>
      </c>
      <c r="G2467" s="4" t="s">
        <v>25</v>
      </c>
      <c r="H2467" s="4" t="s">
        <v>25</v>
      </c>
      <c r="I2467" s="5">
        <v>44256</v>
      </c>
      <c r="J2467" s="6">
        <v>0</v>
      </c>
      <c r="K2467" s="6">
        <v>0</v>
      </c>
      <c r="L2467" s="6">
        <v>-76.259</v>
      </c>
      <c r="M2467" s="6">
        <v>-76.259</v>
      </c>
      <c r="N2467" s="6">
        <v>-76.259</v>
      </c>
      <c r="O2467" s="6">
        <v>-76.259</v>
      </c>
      <c r="P2467" s="6">
        <v>0</v>
      </c>
      <c r="Q2467" s="4" t="s">
        <v>26</v>
      </c>
      <c r="R2467" s="4">
        <v>0</v>
      </c>
      <c r="S2467" s="6">
        <v>0</v>
      </c>
      <c r="T2467" s="6">
        <v>72</v>
      </c>
      <c r="U2467" s="6">
        <v>78</v>
      </c>
      <c r="V2467" s="6">
        <f>IF(ISERROR(VLOOKUP($S$2467,'TAR FIN'!$A$1:$O$95,15,0)),0,VLOOKUP($S$2467,'TAR FIN'!$A$1:$O$95,15,0))</f>
        <v>0</v>
      </c>
      <c r="W2467" s="6">
        <f>IF(ISERROR(VLOOKUP($T$2467,'TAR FIN'!$A$1:$O$95,15,0)),0,VLOOKUP($T$2467,'TAR FIN'!$A$1:$O$95,15,0))</f>
        <v>450.19</v>
      </c>
      <c r="X2467" s="6">
        <f>IF(ISERROR(VLOOKUP($U$2467,'TAR FIN'!$A$1:$O$95,15,0)),0,VLOOKUP($U$2467,'TAR FIN'!$A$1:$O$95,15,0))</f>
        <v>243.3</v>
      </c>
      <c r="Y2467" s="6"/>
      <c r="Z2467" s="6">
        <f ca="1">('TUSD BE'!$AM$53+'TUSD BF'!$AM$53+'TUSD CVA'!$AM$53)*1</f>
        <v>506.5198438752322</v>
      </c>
      <c r="AA2467" s="6">
        <f>('TE BE'!$AA$41+'TE BF'!$AA$41+'TE CVA'!$AA$41)*1</f>
        <v>297.20166373463735</v>
      </c>
      <c r="AB2467" s="6">
        <f>$K$2467*$V$2467</f>
        <v>0</v>
      </c>
      <c r="AC2467" s="6">
        <f>$M$2467*$W$2467</f>
        <v>-34331.039210000003</v>
      </c>
      <c r="AD2467" s="6">
        <f>$O$2467*$X$2467</f>
        <v>-18553.814700000003</v>
      </c>
      <c r="AE2467" s="6">
        <f>$K$2467*$Y$2467</f>
        <v>0</v>
      </c>
      <c r="AF2467" s="6">
        <f ca="1">$M$2467*$Z$2467</f>
        <v>-38626.696774081334</v>
      </c>
      <c r="AG2467" s="6">
        <f>$O$2467*$AA$2467</f>
        <v>-22664.301674739709</v>
      </c>
    </row>
    <row r="2468" spans="1:33" ht="11.25" customHeight="1" x14ac:dyDescent="0.25">
      <c r="A2468" s="4" t="s">
        <v>30</v>
      </c>
      <c r="B2468" s="4" t="s">
        <v>41</v>
      </c>
      <c r="C2468" s="4" t="s">
        <v>23</v>
      </c>
      <c r="D2468" s="4" t="s">
        <v>48</v>
      </c>
      <c r="E2468" s="4" t="s">
        <v>25</v>
      </c>
      <c r="F2468" s="4" t="s">
        <v>25</v>
      </c>
      <c r="G2468" s="4" t="s">
        <v>25</v>
      </c>
      <c r="H2468" s="4" t="s">
        <v>25</v>
      </c>
      <c r="I2468" s="5">
        <v>44256</v>
      </c>
      <c r="J2468" s="6">
        <v>0</v>
      </c>
      <c r="K2468" s="6">
        <v>0</v>
      </c>
      <c r="L2468" s="6">
        <v>5.9450000000000003</v>
      </c>
      <c r="M2468" s="6">
        <v>5.9450000000000003</v>
      </c>
      <c r="N2468" s="6">
        <v>5.9450000000000003</v>
      </c>
      <c r="O2468" s="6">
        <v>5.9450000000000003</v>
      </c>
      <c r="P2468" s="6">
        <v>3</v>
      </c>
      <c r="Q2468" s="4" t="s">
        <v>26</v>
      </c>
      <c r="R2468" s="4">
        <v>0</v>
      </c>
      <c r="S2468" s="6">
        <v>0</v>
      </c>
      <c r="T2468" s="6">
        <v>72</v>
      </c>
      <c r="U2468" s="6">
        <v>78</v>
      </c>
      <c r="V2468" s="6">
        <f>IF(ISERROR(VLOOKUP($S$2468,'TAR FIN'!$A$1:$O$95,15,0)),0,VLOOKUP($S$2468,'TAR FIN'!$A$1:$O$95,15,0))</f>
        <v>0</v>
      </c>
      <c r="W2468" s="6">
        <f>IF(ISERROR(VLOOKUP($T$2468,'TAR FIN'!$A$1:$O$95,15,0)),0,VLOOKUP($T$2468,'TAR FIN'!$A$1:$O$95,15,0))</f>
        <v>450.19</v>
      </c>
      <c r="X2468" s="6">
        <f>IF(ISERROR(VLOOKUP($U$2468,'TAR FIN'!$A$1:$O$95,15,0)),0,VLOOKUP($U$2468,'TAR FIN'!$A$1:$O$95,15,0))</f>
        <v>243.3</v>
      </c>
      <c r="Y2468" s="6"/>
      <c r="Z2468" s="6">
        <f ca="1">('TUSD BE'!$AM$53+'TUSD BF'!$AM$53+'TUSD CVA'!$AM$53)*1</f>
        <v>506.5198438752322</v>
      </c>
      <c r="AA2468" s="6">
        <f>('TE BE'!$AA$41+'TE BF'!$AA$41+'TE CVA'!$AA$41)*1</f>
        <v>297.20166373463735</v>
      </c>
      <c r="AB2468" s="6">
        <f>$K$2468*$V$2468</f>
        <v>0</v>
      </c>
      <c r="AC2468" s="6">
        <f>$M$2468*$W$2468</f>
        <v>2676.3795500000001</v>
      </c>
      <c r="AD2468" s="6">
        <f>$O$2468*$X$2468</f>
        <v>1446.4185000000002</v>
      </c>
      <c r="AE2468" s="6">
        <f>$K$2468*$Y$2468</f>
        <v>0</v>
      </c>
      <c r="AF2468" s="6">
        <f ca="1">$M$2468*$Z$2468</f>
        <v>3011.2604718382554</v>
      </c>
      <c r="AG2468" s="6">
        <f>$O$2468*$AA$2468</f>
        <v>1766.8638909024191</v>
      </c>
    </row>
    <row r="2469" spans="1:33" ht="11.25" customHeight="1" x14ac:dyDescent="0.25">
      <c r="A2469" s="4" t="s">
        <v>21</v>
      </c>
      <c r="B2469" s="4" t="s">
        <v>41</v>
      </c>
      <c r="C2469" s="4" t="s">
        <v>23</v>
      </c>
      <c r="D2469" s="4" t="s">
        <v>48</v>
      </c>
      <c r="E2469" s="4" t="s">
        <v>25</v>
      </c>
      <c r="F2469" s="4" t="s">
        <v>25</v>
      </c>
      <c r="G2469" s="4" t="s">
        <v>25</v>
      </c>
      <c r="H2469" s="4" t="s">
        <v>25</v>
      </c>
      <c r="I2469" s="5">
        <v>44287</v>
      </c>
      <c r="J2469" s="6">
        <v>0</v>
      </c>
      <c r="K2469" s="6">
        <v>0</v>
      </c>
      <c r="L2469" s="6">
        <v>3520.5279999999998</v>
      </c>
      <c r="M2469" s="6">
        <v>3520.5279999999998</v>
      </c>
      <c r="N2469" s="6">
        <v>3520.5279999999998</v>
      </c>
      <c r="O2469" s="6">
        <v>3520.5279999999998</v>
      </c>
      <c r="P2469" s="6">
        <v>2028</v>
      </c>
      <c r="Q2469" s="4" t="s">
        <v>26</v>
      </c>
      <c r="R2469" s="4">
        <v>0</v>
      </c>
      <c r="S2469" s="6">
        <v>0</v>
      </c>
      <c r="T2469" s="6">
        <v>72</v>
      </c>
      <c r="U2469" s="6">
        <v>78</v>
      </c>
      <c r="V2469" s="6">
        <f>IF(ISERROR(VLOOKUP($S$2469,'TAR FIN'!$A$1:$O$95,15,0)),0,VLOOKUP($S$2469,'TAR FIN'!$A$1:$O$95,15,0))</f>
        <v>0</v>
      </c>
      <c r="W2469" s="6">
        <f>IF(ISERROR(VLOOKUP($T$2469,'TAR FIN'!$A$1:$O$95,15,0)),0,VLOOKUP($T$2469,'TAR FIN'!$A$1:$O$95,15,0))</f>
        <v>450.19</v>
      </c>
      <c r="X2469" s="6">
        <f>IF(ISERROR(VLOOKUP($U$2469,'TAR FIN'!$A$1:$O$95,15,0)),0,VLOOKUP($U$2469,'TAR FIN'!$A$1:$O$95,15,0))</f>
        <v>243.3</v>
      </c>
      <c r="Y2469" s="6"/>
      <c r="Z2469" s="6">
        <f ca="1">('TUSD BE'!$AM$53+'TUSD BF'!$AM$53+'TUSD CVA'!$AM$53)*1</f>
        <v>506.5198438752322</v>
      </c>
      <c r="AA2469" s="6">
        <f>('TE BE'!$AA$41+'TE BF'!$AA$41+'TE CVA'!$AA$41)*1</f>
        <v>297.20166373463735</v>
      </c>
      <c r="AB2469" s="6">
        <f>$K$2469*$V$2469</f>
        <v>0</v>
      </c>
      <c r="AC2469" s="6">
        <f>$M$2469*$W$2469</f>
        <v>1584906.5003199999</v>
      </c>
      <c r="AD2469" s="6">
        <f>$O$2469*$X$2469</f>
        <v>856544.46239999996</v>
      </c>
      <c r="AE2469" s="6">
        <f>$K$2469*$Y$2469</f>
        <v>0</v>
      </c>
      <c r="AF2469" s="6">
        <f ca="1">$M$2469*$Z$2469</f>
        <v>1783217.2929183834</v>
      </c>
      <c r="AG2469" s="6">
        <f>$O$2469*$AA$2469</f>
        <v>1046306.7788243752</v>
      </c>
    </row>
    <row r="2470" spans="1:33" ht="11.25" customHeight="1" x14ac:dyDescent="0.25">
      <c r="A2470" s="4" t="s">
        <v>27</v>
      </c>
      <c r="B2470" s="4" t="s">
        <v>41</v>
      </c>
      <c r="C2470" s="4" t="s">
        <v>23</v>
      </c>
      <c r="D2470" s="4" t="s">
        <v>48</v>
      </c>
      <c r="E2470" s="4" t="s">
        <v>25</v>
      </c>
      <c r="F2470" s="4" t="s">
        <v>25</v>
      </c>
      <c r="G2470" s="4" t="s">
        <v>25</v>
      </c>
      <c r="H2470" s="4" t="s">
        <v>25</v>
      </c>
      <c r="I2470" s="5">
        <v>44287</v>
      </c>
      <c r="J2470" s="6">
        <v>0</v>
      </c>
      <c r="K2470" s="6">
        <v>0</v>
      </c>
      <c r="L2470" s="6">
        <v>-8.0719999999999992</v>
      </c>
      <c r="M2470" s="6">
        <v>-8.0719999999999992</v>
      </c>
      <c r="N2470" s="6">
        <v>-8.0719999999999992</v>
      </c>
      <c r="O2470" s="6">
        <v>-8.0719999999999992</v>
      </c>
      <c r="P2470" s="6">
        <v>0</v>
      </c>
      <c r="Q2470" s="4" t="s">
        <v>26</v>
      </c>
      <c r="R2470" s="4">
        <v>0</v>
      </c>
      <c r="S2470" s="6">
        <v>0</v>
      </c>
      <c r="T2470" s="6">
        <v>72</v>
      </c>
      <c r="U2470" s="6">
        <v>78</v>
      </c>
      <c r="V2470" s="6">
        <f>IF(ISERROR(VLOOKUP($S$2470,'TAR FIN'!$A$1:$O$95,15,0)),0,VLOOKUP($S$2470,'TAR FIN'!$A$1:$O$95,15,0))</f>
        <v>0</v>
      </c>
      <c r="W2470" s="6">
        <f>IF(ISERROR(VLOOKUP($T$2470,'TAR FIN'!$A$1:$O$95,15,0)),0,VLOOKUP($T$2470,'TAR FIN'!$A$1:$O$95,15,0))</f>
        <v>450.19</v>
      </c>
      <c r="X2470" s="6">
        <f>IF(ISERROR(VLOOKUP($U$2470,'TAR FIN'!$A$1:$O$95,15,0)),0,VLOOKUP($U$2470,'TAR FIN'!$A$1:$O$95,15,0))</f>
        <v>243.3</v>
      </c>
      <c r="Y2470" s="6"/>
      <c r="Z2470" s="6">
        <f ca="1">('TUSD BE'!$AM$53+'TUSD BF'!$AM$53+'TUSD CVA'!$AM$53)*1</f>
        <v>506.5198438752322</v>
      </c>
      <c r="AA2470" s="6">
        <f>('TE BE'!$AA$41+'TE BF'!$AA$41+'TE CVA'!$AA$41)*1</f>
        <v>297.20166373463735</v>
      </c>
      <c r="AB2470" s="6">
        <f>$K$2470*$V$2470</f>
        <v>0</v>
      </c>
      <c r="AC2470" s="6">
        <f>$M$2470*$W$2470</f>
        <v>-3633.9336799999996</v>
      </c>
      <c r="AD2470" s="6">
        <f>$O$2470*$X$2470</f>
        <v>-1963.9176</v>
      </c>
      <c r="AE2470" s="6">
        <f>$K$2470*$Y$2470</f>
        <v>0</v>
      </c>
      <c r="AF2470" s="6">
        <f ca="1">$M$2470*$Z$2470</f>
        <v>-4088.628179760874</v>
      </c>
      <c r="AG2470" s="6">
        <f>$O$2470*$AA$2470</f>
        <v>-2399.0118296659925</v>
      </c>
    </row>
    <row r="2471" spans="1:33" ht="11.25" customHeight="1" x14ac:dyDescent="0.25">
      <c r="A2471" s="4" t="s">
        <v>28</v>
      </c>
      <c r="B2471" s="4" t="s">
        <v>41</v>
      </c>
      <c r="C2471" s="4" t="s">
        <v>23</v>
      </c>
      <c r="D2471" s="4" t="s">
        <v>48</v>
      </c>
      <c r="E2471" s="4" t="s">
        <v>25</v>
      </c>
      <c r="F2471" s="4" t="s">
        <v>25</v>
      </c>
      <c r="G2471" s="4" t="s">
        <v>25</v>
      </c>
      <c r="H2471" s="4" t="s">
        <v>25</v>
      </c>
      <c r="I2471" s="5">
        <v>44287</v>
      </c>
      <c r="J2471" s="6">
        <v>0</v>
      </c>
      <c r="K2471" s="6">
        <v>0</v>
      </c>
      <c r="L2471" s="6">
        <v>5704.3509999999997</v>
      </c>
      <c r="M2471" s="6">
        <v>5704.3509999999997</v>
      </c>
      <c r="N2471" s="6">
        <v>5704.3509999999997</v>
      </c>
      <c r="O2471" s="6">
        <v>5704.3509999999997</v>
      </c>
      <c r="P2471" s="6">
        <v>6177</v>
      </c>
      <c r="Q2471" s="4" t="s">
        <v>26</v>
      </c>
      <c r="R2471" s="4">
        <v>0</v>
      </c>
      <c r="S2471" s="6">
        <v>0</v>
      </c>
      <c r="T2471" s="6">
        <v>72</v>
      </c>
      <c r="U2471" s="6">
        <v>78</v>
      </c>
      <c r="V2471" s="6">
        <f>IF(ISERROR(VLOOKUP($S$2471,'TAR FIN'!$A$1:$O$95,15,0)),0,VLOOKUP($S$2471,'TAR FIN'!$A$1:$O$95,15,0))</f>
        <v>0</v>
      </c>
      <c r="W2471" s="6">
        <f>IF(ISERROR(VLOOKUP($T$2471,'TAR FIN'!$A$1:$O$95,15,0)),0,VLOOKUP($T$2471,'TAR FIN'!$A$1:$O$95,15,0))</f>
        <v>450.19</v>
      </c>
      <c r="X2471" s="6">
        <f>IF(ISERROR(VLOOKUP($U$2471,'TAR FIN'!$A$1:$O$95,15,0)),0,VLOOKUP($U$2471,'TAR FIN'!$A$1:$O$95,15,0))</f>
        <v>243.3</v>
      </c>
      <c r="Y2471" s="6"/>
      <c r="Z2471" s="6">
        <f ca="1">('TUSD BE'!$AM$53+'TUSD BF'!$AM$53+'TUSD CVA'!$AM$53)*1</f>
        <v>506.5198438752322</v>
      </c>
      <c r="AA2471" s="6">
        <f>('TE BE'!$AA$41+'TE BF'!$AA$41+'TE CVA'!$AA$41)*1</f>
        <v>297.20166373463735</v>
      </c>
      <c r="AB2471" s="6">
        <f>$K$2471*$V$2471</f>
        <v>0</v>
      </c>
      <c r="AC2471" s="6">
        <f>$M$2471*$W$2471</f>
        <v>2568041.7766899997</v>
      </c>
      <c r="AD2471" s="6">
        <f>$O$2471*$X$2471</f>
        <v>1387868.5983</v>
      </c>
      <c r="AE2471" s="6">
        <f>$K$2471*$Y$2471</f>
        <v>0</v>
      </c>
      <c r="AF2471" s="6">
        <f ca="1">$M$2471*$Z$2471</f>
        <v>2889366.9779295246</v>
      </c>
      <c r="AG2471" s="6">
        <f>$O$2471*$AA$2471</f>
        <v>1695342.6077263423</v>
      </c>
    </row>
    <row r="2472" spans="1:33" ht="11.25" customHeight="1" x14ac:dyDescent="0.25">
      <c r="A2472" s="4" t="s">
        <v>29</v>
      </c>
      <c r="B2472" s="4" t="s">
        <v>41</v>
      </c>
      <c r="C2472" s="4" t="s">
        <v>23</v>
      </c>
      <c r="D2472" s="4" t="s">
        <v>48</v>
      </c>
      <c r="E2472" s="4" t="s">
        <v>25</v>
      </c>
      <c r="F2472" s="4" t="s">
        <v>25</v>
      </c>
      <c r="G2472" s="4" t="s">
        <v>25</v>
      </c>
      <c r="H2472" s="4" t="s">
        <v>25</v>
      </c>
      <c r="I2472" s="5">
        <v>44287</v>
      </c>
      <c r="J2472" s="6">
        <v>0</v>
      </c>
      <c r="K2472" s="6">
        <v>0</v>
      </c>
      <c r="L2472" s="6">
        <v>-122.529</v>
      </c>
      <c r="M2472" s="6">
        <v>-122.529</v>
      </c>
      <c r="N2472" s="6">
        <v>-122.529</v>
      </c>
      <c r="O2472" s="6">
        <v>-122.529</v>
      </c>
      <c r="P2472" s="6">
        <v>0</v>
      </c>
      <c r="Q2472" s="4" t="s">
        <v>26</v>
      </c>
      <c r="R2472" s="4">
        <v>0</v>
      </c>
      <c r="S2472" s="6">
        <v>0</v>
      </c>
      <c r="T2472" s="6">
        <v>72</v>
      </c>
      <c r="U2472" s="6">
        <v>78</v>
      </c>
      <c r="V2472" s="6">
        <f>IF(ISERROR(VLOOKUP($S$2472,'TAR FIN'!$A$1:$O$95,15,0)),0,VLOOKUP($S$2472,'TAR FIN'!$A$1:$O$95,15,0))</f>
        <v>0</v>
      </c>
      <c r="W2472" s="6">
        <f>IF(ISERROR(VLOOKUP($T$2472,'TAR FIN'!$A$1:$O$95,15,0)),0,VLOOKUP($T$2472,'TAR FIN'!$A$1:$O$95,15,0))</f>
        <v>450.19</v>
      </c>
      <c r="X2472" s="6">
        <f>IF(ISERROR(VLOOKUP($U$2472,'TAR FIN'!$A$1:$O$95,15,0)),0,VLOOKUP($U$2472,'TAR FIN'!$A$1:$O$95,15,0))</f>
        <v>243.3</v>
      </c>
      <c r="Y2472" s="6"/>
      <c r="Z2472" s="6">
        <f ca="1">('TUSD BE'!$AM$53+'TUSD BF'!$AM$53+'TUSD CVA'!$AM$53)*1</f>
        <v>506.5198438752322</v>
      </c>
      <c r="AA2472" s="6">
        <f>('TE BE'!$AA$41+'TE BF'!$AA$41+'TE CVA'!$AA$41)*1</f>
        <v>297.20166373463735</v>
      </c>
      <c r="AB2472" s="6">
        <f>$K$2472*$V$2472</f>
        <v>0</v>
      </c>
      <c r="AC2472" s="6">
        <f>$M$2472*$W$2472</f>
        <v>-55161.33051</v>
      </c>
      <c r="AD2472" s="6">
        <f>$O$2472*$X$2472</f>
        <v>-29811.305700000001</v>
      </c>
      <c r="AE2472" s="6">
        <f>$K$2472*$Y$2472</f>
        <v>0</v>
      </c>
      <c r="AF2472" s="6">
        <f ca="1">$M$2472*$Z$2472</f>
        <v>-62063.369950188324</v>
      </c>
      <c r="AG2472" s="6">
        <f>$O$2472*$AA$2472</f>
        <v>-36415.82265574138</v>
      </c>
    </row>
    <row r="2473" spans="1:33" ht="11.25" customHeight="1" x14ac:dyDescent="0.25">
      <c r="A2473" s="4" t="s">
        <v>30</v>
      </c>
      <c r="B2473" s="4" t="s">
        <v>41</v>
      </c>
      <c r="C2473" s="4" t="s">
        <v>23</v>
      </c>
      <c r="D2473" s="4" t="s">
        <v>48</v>
      </c>
      <c r="E2473" s="4" t="s">
        <v>25</v>
      </c>
      <c r="F2473" s="4" t="s">
        <v>25</v>
      </c>
      <c r="G2473" s="4" t="s">
        <v>25</v>
      </c>
      <c r="H2473" s="4" t="s">
        <v>25</v>
      </c>
      <c r="I2473" s="5">
        <v>44287</v>
      </c>
      <c r="J2473" s="6">
        <v>0</v>
      </c>
      <c r="K2473" s="6">
        <v>0</v>
      </c>
      <c r="L2473" s="6">
        <v>4.7350000000000003</v>
      </c>
      <c r="M2473" s="6">
        <v>4.7350000000000003</v>
      </c>
      <c r="N2473" s="6">
        <v>4.7350000000000003</v>
      </c>
      <c r="O2473" s="6">
        <v>4.7350000000000003</v>
      </c>
      <c r="P2473" s="6">
        <v>3</v>
      </c>
      <c r="Q2473" s="4" t="s">
        <v>26</v>
      </c>
      <c r="R2473" s="4">
        <v>0</v>
      </c>
      <c r="S2473" s="6">
        <v>0</v>
      </c>
      <c r="T2473" s="6">
        <v>72</v>
      </c>
      <c r="U2473" s="6">
        <v>78</v>
      </c>
      <c r="V2473" s="6">
        <f>IF(ISERROR(VLOOKUP($S$2473,'TAR FIN'!$A$1:$O$95,15,0)),0,VLOOKUP($S$2473,'TAR FIN'!$A$1:$O$95,15,0))</f>
        <v>0</v>
      </c>
      <c r="W2473" s="6">
        <f>IF(ISERROR(VLOOKUP($T$2473,'TAR FIN'!$A$1:$O$95,15,0)),0,VLOOKUP($T$2473,'TAR FIN'!$A$1:$O$95,15,0))</f>
        <v>450.19</v>
      </c>
      <c r="X2473" s="6">
        <f>IF(ISERROR(VLOOKUP($U$2473,'TAR FIN'!$A$1:$O$95,15,0)),0,VLOOKUP($U$2473,'TAR FIN'!$A$1:$O$95,15,0))</f>
        <v>243.3</v>
      </c>
      <c r="Y2473" s="6"/>
      <c r="Z2473" s="6">
        <f ca="1">('TUSD BE'!$AM$53+'TUSD BF'!$AM$53+'TUSD CVA'!$AM$53)*1</f>
        <v>506.5198438752322</v>
      </c>
      <c r="AA2473" s="6">
        <f>('TE BE'!$AA$41+'TE BF'!$AA$41+'TE CVA'!$AA$41)*1</f>
        <v>297.20166373463735</v>
      </c>
      <c r="AB2473" s="6">
        <f>$K$2473*$V$2473</f>
        <v>0</v>
      </c>
      <c r="AC2473" s="6">
        <f>$M$2473*$W$2473</f>
        <v>2131.6496500000003</v>
      </c>
      <c r="AD2473" s="6">
        <f>$O$2473*$X$2473</f>
        <v>1152.0255000000002</v>
      </c>
      <c r="AE2473" s="6">
        <f>$K$2473*$Y$2473</f>
        <v>0</v>
      </c>
      <c r="AF2473" s="6">
        <f ca="1">$M$2473*$Z$2473</f>
        <v>2398.3714607492248</v>
      </c>
      <c r="AG2473" s="6">
        <f>$O$2473*$AA$2473</f>
        <v>1407.2498777835081</v>
      </c>
    </row>
    <row r="2474" spans="1:33" ht="11.25" customHeight="1" x14ac:dyDescent="0.25">
      <c r="A2474" s="4" t="s">
        <v>21</v>
      </c>
      <c r="B2474" s="4" t="s">
        <v>41</v>
      </c>
      <c r="C2474" s="4" t="s">
        <v>23</v>
      </c>
      <c r="D2474" s="4" t="s">
        <v>48</v>
      </c>
      <c r="E2474" s="4" t="s">
        <v>25</v>
      </c>
      <c r="F2474" s="4" t="s">
        <v>25</v>
      </c>
      <c r="G2474" s="4" t="s">
        <v>25</v>
      </c>
      <c r="H2474" s="4" t="s">
        <v>25</v>
      </c>
      <c r="I2474" s="5">
        <v>44317</v>
      </c>
      <c r="J2474" s="6">
        <v>0</v>
      </c>
      <c r="K2474" s="6">
        <v>0</v>
      </c>
      <c r="L2474" s="6">
        <v>3794.1480000000001</v>
      </c>
      <c r="M2474" s="6">
        <v>3794.1480000000001</v>
      </c>
      <c r="N2474" s="6">
        <v>3794.1480000000001</v>
      </c>
      <c r="O2474" s="6">
        <v>3794.1480000000001</v>
      </c>
      <c r="P2474" s="6">
        <v>2048</v>
      </c>
      <c r="Q2474" s="4" t="s">
        <v>26</v>
      </c>
      <c r="R2474" s="4">
        <v>0</v>
      </c>
      <c r="S2474" s="6">
        <v>0</v>
      </c>
      <c r="T2474" s="6">
        <v>72</v>
      </c>
      <c r="U2474" s="6">
        <v>78</v>
      </c>
      <c r="V2474" s="6">
        <f>IF(ISERROR(VLOOKUP($S$2474,'TAR FIN'!$A$1:$O$95,15,0)),0,VLOOKUP($S$2474,'TAR FIN'!$A$1:$O$95,15,0))</f>
        <v>0</v>
      </c>
      <c r="W2474" s="6">
        <f>IF(ISERROR(VLOOKUP($T$2474,'TAR FIN'!$A$1:$O$95,15,0)),0,VLOOKUP($T$2474,'TAR FIN'!$A$1:$O$95,15,0))</f>
        <v>450.19</v>
      </c>
      <c r="X2474" s="6">
        <f>IF(ISERROR(VLOOKUP($U$2474,'TAR FIN'!$A$1:$O$95,15,0)),0,VLOOKUP($U$2474,'TAR FIN'!$A$1:$O$95,15,0))</f>
        <v>243.3</v>
      </c>
      <c r="Y2474" s="6"/>
      <c r="Z2474" s="6">
        <f ca="1">('TUSD BE'!$AM$53+'TUSD BF'!$AM$53+'TUSD CVA'!$AM$53)*1</f>
        <v>506.5198438752322</v>
      </c>
      <c r="AA2474" s="6">
        <f>('TE BE'!$AA$41+'TE BF'!$AA$41+'TE CVA'!$AA$41)*1</f>
        <v>297.20166373463735</v>
      </c>
      <c r="AB2474" s="6">
        <f>$K$2474*$V$2474</f>
        <v>0</v>
      </c>
      <c r="AC2474" s="6">
        <f>$M$2474*$W$2474</f>
        <v>1708087.4881200001</v>
      </c>
      <c r="AD2474" s="6">
        <f>$O$2474*$X$2474</f>
        <v>923116.20840000012</v>
      </c>
      <c r="AE2474" s="6">
        <f>$K$2474*$Y$2474</f>
        <v>0</v>
      </c>
      <c r="AF2474" s="6">
        <f ca="1">$M$2474*$Z$2474</f>
        <v>1921811.2525995246</v>
      </c>
      <c r="AG2474" s="6">
        <f>$O$2474*$AA$2474</f>
        <v>1127627.098055447</v>
      </c>
    </row>
    <row r="2475" spans="1:33" ht="11.25" customHeight="1" x14ac:dyDescent="0.25">
      <c r="A2475" s="4" t="s">
        <v>27</v>
      </c>
      <c r="B2475" s="4" t="s">
        <v>41</v>
      </c>
      <c r="C2475" s="4" t="s">
        <v>23</v>
      </c>
      <c r="D2475" s="4" t="s">
        <v>48</v>
      </c>
      <c r="E2475" s="4" t="s">
        <v>25</v>
      </c>
      <c r="F2475" s="4" t="s">
        <v>25</v>
      </c>
      <c r="G2475" s="4" t="s">
        <v>25</v>
      </c>
      <c r="H2475" s="4" t="s">
        <v>25</v>
      </c>
      <c r="I2475" s="5">
        <v>44317</v>
      </c>
      <c r="J2475" s="6">
        <v>0</v>
      </c>
      <c r="K2475" s="6">
        <v>0</v>
      </c>
      <c r="L2475" s="6">
        <v>-7.2850000000000001</v>
      </c>
      <c r="M2475" s="6">
        <v>-7.2850000000000001</v>
      </c>
      <c r="N2475" s="6">
        <v>-7.2850000000000001</v>
      </c>
      <c r="O2475" s="6">
        <v>-7.2850000000000001</v>
      </c>
      <c r="P2475" s="6">
        <v>0</v>
      </c>
      <c r="Q2475" s="4" t="s">
        <v>26</v>
      </c>
      <c r="R2475" s="4">
        <v>0</v>
      </c>
      <c r="S2475" s="6">
        <v>0</v>
      </c>
      <c r="T2475" s="6">
        <v>72</v>
      </c>
      <c r="U2475" s="6">
        <v>78</v>
      </c>
      <c r="V2475" s="6">
        <f>IF(ISERROR(VLOOKUP($S$2475,'TAR FIN'!$A$1:$O$95,15,0)),0,VLOOKUP($S$2475,'TAR FIN'!$A$1:$O$95,15,0))</f>
        <v>0</v>
      </c>
      <c r="W2475" s="6">
        <f>IF(ISERROR(VLOOKUP($T$2475,'TAR FIN'!$A$1:$O$95,15,0)),0,VLOOKUP($T$2475,'TAR FIN'!$A$1:$O$95,15,0))</f>
        <v>450.19</v>
      </c>
      <c r="X2475" s="6">
        <f>IF(ISERROR(VLOOKUP($U$2475,'TAR FIN'!$A$1:$O$95,15,0)),0,VLOOKUP($U$2475,'TAR FIN'!$A$1:$O$95,15,0))</f>
        <v>243.3</v>
      </c>
      <c r="Y2475" s="6"/>
      <c r="Z2475" s="6">
        <f ca="1">('TUSD BE'!$AM$53+'TUSD BF'!$AM$53+'TUSD CVA'!$AM$53)*1</f>
        <v>506.5198438752322</v>
      </c>
      <c r="AA2475" s="6">
        <f>('TE BE'!$AA$41+'TE BF'!$AA$41+'TE CVA'!$AA$41)*1</f>
        <v>297.20166373463735</v>
      </c>
      <c r="AB2475" s="6">
        <f>$K$2475*$V$2475</f>
        <v>0</v>
      </c>
      <c r="AC2475" s="6">
        <f>$M$2475*$W$2475</f>
        <v>-3279.6341499999999</v>
      </c>
      <c r="AD2475" s="6">
        <f>$O$2475*$X$2475</f>
        <v>-1772.4405000000002</v>
      </c>
      <c r="AE2475" s="6">
        <f>$K$2475*$Y$2475</f>
        <v>0</v>
      </c>
      <c r="AF2475" s="6">
        <f ca="1">$M$2475*$Z$2475</f>
        <v>-3689.9970626310665</v>
      </c>
      <c r="AG2475" s="6">
        <f>$O$2475*$AA$2475</f>
        <v>-2165.1141203068332</v>
      </c>
    </row>
    <row r="2476" spans="1:33" ht="11.25" customHeight="1" x14ac:dyDescent="0.25">
      <c r="A2476" s="4" t="s">
        <v>28</v>
      </c>
      <c r="B2476" s="4" t="s">
        <v>41</v>
      </c>
      <c r="C2476" s="4" t="s">
        <v>23</v>
      </c>
      <c r="D2476" s="4" t="s">
        <v>48</v>
      </c>
      <c r="E2476" s="4" t="s">
        <v>25</v>
      </c>
      <c r="F2476" s="4" t="s">
        <v>25</v>
      </c>
      <c r="G2476" s="4" t="s">
        <v>25</v>
      </c>
      <c r="H2476" s="4" t="s">
        <v>25</v>
      </c>
      <c r="I2476" s="5">
        <v>44317</v>
      </c>
      <c r="J2476" s="6">
        <v>0</v>
      </c>
      <c r="K2476" s="6">
        <v>0</v>
      </c>
      <c r="L2476" s="6">
        <v>5438.2860000000001</v>
      </c>
      <c r="M2476" s="6">
        <v>5438.2860000000001</v>
      </c>
      <c r="N2476" s="6">
        <v>5438.2860000000001</v>
      </c>
      <c r="O2476" s="6">
        <v>5438.2860000000001</v>
      </c>
      <c r="P2476" s="6">
        <v>5841</v>
      </c>
      <c r="Q2476" s="4" t="s">
        <v>26</v>
      </c>
      <c r="R2476" s="4">
        <v>0</v>
      </c>
      <c r="S2476" s="6">
        <v>0</v>
      </c>
      <c r="T2476" s="6">
        <v>72</v>
      </c>
      <c r="U2476" s="6">
        <v>78</v>
      </c>
      <c r="V2476" s="6">
        <f>IF(ISERROR(VLOOKUP($S$2476,'TAR FIN'!$A$1:$O$95,15,0)),0,VLOOKUP($S$2476,'TAR FIN'!$A$1:$O$95,15,0))</f>
        <v>0</v>
      </c>
      <c r="W2476" s="6">
        <f>IF(ISERROR(VLOOKUP($T$2476,'TAR FIN'!$A$1:$O$95,15,0)),0,VLOOKUP($T$2476,'TAR FIN'!$A$1:$O$95,15,0))</f>
        <v>450.19</v>
      </c>
      <c r="X2476" s="6">
        <f>IF(ISERROR(VLOOKUP($U$2476,'TAR FIN'!$A$1:$O$95,15,0)),0,VLOOKUP($U$2476,'TAR FIN'!$A$1:$O$95,15,0))</f>
        <v>243.3</v>
      </c>
      <c r="Y2476" s="6"/>
      <c r="Z2476" s="6">
        <f ca="1">('TUSD BE'!$AM$53+'TUSD BF'!$AM$53+'TUSD CVA'!$AM$53)*1</f>
        <v>506.5198438752322</v>
      </c>
      <c r="AA2476" s="6">
        <f>('TE BE'!$AA$41+'TE BF'!$AA$41+'TE CVA'!$AA$41)*1</f>
        <v>297.20166373463735</v>
      </c>
      <c r="AB2476" s="6">
        <f>$K$2476*$V$2476</f>
        <v>0</v>
      </c>
      <c r="AC2476" s="6">
        <f>$M$2476*$W$2476</f>
        <v>2448261.9743400002</v>
      </c>
      <c r="AD2476" s="6">
        <f>$O$2476*$X$2476</f>
        <v>1323134.9838</v>
      </c>
      <c r="AE2476" s="6">
        <f>$K$2476*$Y$2476</f>
        <v>0</v>
      </c>
      <c r="AF2476" s="6">
        <f ca="1">$M$2476*$Z$2476</f>
        <v>2754599.7756688609</v>
      </c>
      <c r="AG2476" s="6">
        <f>$O$2476*$AA$2476</f>
        <v>1616267.6470647859</v>
      </c>
    </row>
    <row r="2477" spans="1:33" ht="11.25" customHeight="1" x14ac:dyDescent="0.25">
      <c r="A2477" s="4" t="s">
        <v>29</v>
      </c>
      <c r="B2477" s="4" t="s">
        <v>41</v>
      </c>
      <c r="C2477" s="4" t="s">
        <v>23</v>
      </c>
      <c r="D2477" s="4" t="s">
        <v>48</v>
      </c>
      <c r="E2477" s="4" t="s">
        <v>25</v>
      </c>
      <c r="F2477" s="4" t="s">
        <v>25</v>
      </c>
      <c r="G2477" s="4" t="s">
        <v>25</v>
      </c>
      <c r="H2477" s="4" t="s">
        <v>25</v>
      </c>
      <c r="I2477" s="5">
        <v>44317</v>
      </c>
      <c r="J2477" s="6">
        <v>0</v>
      </c>
      <c r="K2477" s="6">
        <v>0</v>
      </c>
      <c r="L2477" s="6">
        <v>-59.942999999999998</v>
      </c>
      <c r="M2477" s="6">
        <v>-59.942999999999998</v>
      </c>
      <c r="N2477" s="6">
        <v>-59.942999999999998</v>
      </c>
      <c r="O2477" s="6">
        <v>-59.942999999999998</v>
      </c>
      <c r="P2477" s="6">
        <v>0</v>
      </c>
      <c r="Q2477" s="4" t="s">
        <v>26</v>
      </c>
      <c r="R2477" s="4">
        <v>0</v>
      </c>
      <c r="S2477" s="6">
        <v>0</v>
      </c>
      <c r="T2477" s="6">
        <v>72</v>
      </c>
      <c r="U2477" s="6">
        <v>78</v>
      </c>
      <c r="V2477" s="6">
        <f>IF(ISERROR(VLOOKUP($S$2477,'TAR FIN'!$A$1:$O$95,15,0)),0,VLOOKUP($S$2477,'TAR FIN'!$A$1:$O$95,15,0))</f>
        <v>0</v>
      </c>
      <c r="W2477" s="6">
        <f>IF(ISERROR(VLOOKUP($T$2477,'TAR FIN'!$A$1:$O$95,15,0)),0,VLOOKUP($T$2477,'TAR FIN'!$A$1:$O$95,15,0))</f>
        <v>450.19</v>
      </c>
      <c r="X2477" s="6">
        <f>IF(ISERROR(VLOOKUP($U$2477,'TAR FIN'!$A$1:$O$95,15,0)),0,VLOOKUP($U$2477,'TAR FIN'!$A$1:$O$95,15,0))</f>
        <v>243.3</v>
      </c>
      <c r="Y2477" s="6"/>
      <c r="Z2477" s="6">
        <f ca="1">('TUSD BE'!$AM$53+'TUSD BF'!$AM$53+'TUSD CVA'!$AM$53)*1</f>
        <v>506.5198438752322</v>
      </c>
      <c r="AA2477" s="6">
        <f>('TE BE'!$AA$41+'TE BF'!$AA$41+'TE CVA'!$AA$41)*1</f>
        <v>297.20166373463735</v>
      </c>
      <c r="AB2477" s="6">
        <f>$K$2477*$V$2477</f>
        <v>0</v>
      </c>
      <c r="AC2477" s="6">
        <f>$M$2477*$W$2477</f>
        <v>-26985.739169999997</v>
      </c>
      <c r="AD2477" s="6">
        <f>$O$2477*$X$2477</f>
        <v>-14584.1319</v>
      </c>
      <c r="AE2477" s="6">
        <f>$K$2477*$Y$2477</f>
        <v>0</v>
      </c>
      <c r="AF2477" s="6">
        <f ca="1">$M$2477*$Z$2477</f>
        <v>-30362.319001413041</v>
      </c>
      <c r="AG2477" s="6">
        <f>$O$2477*$AA$2477</f>
        <v>-17815.159329245365</v>
      </c>
    </row>
    <row r="2478" spans="1:33" ht="11.25" customHeight="1" x14ac:dyDescent="0.25">
      <c r="A2478" s="4" t="s">
        <v>30</v>
      </c>
      <c r="B2478" s="4" t="s">
        <v>41</v>
      </c>
      <c r="C2478" s="4" t="s">
        <v>23</v>
      </c>
      <c r="D2478" s="4" t="s">
        <v>48</v>
      </c>
      <c r="E2478" s="4" t="s">
        <v>25</v>
      </c>
      <c r="F2478" s="4" t="s">
        <v>25</v>
      </c>
      <c r="G2478" s="4" t="s">
        <v>25</v>
      </c>
      <c r="H2478" s="4" t="s">
        <v>25</v>
      </c>
      <c r="I2478" s="5">
        <v>44317</v>
      </c>
      <c r="J2478" s="6">
        <v>0</v>
      </c>
      <c r="K2478" s="6">
        <v>0</v>
      </c>
      <c r="L2478" s="6">
        <v>5.6479999999999997</v>
      </c>
      <c r="M2478" s="6">
        <v>5.6479999999999997</v>
      </c>
      <c r="N2478" s="6">
        <v>5.6479999999999997</v>
      </c>
      <c r="O2478" s="6">
        <v>5.6479999999999997</v>
      </c>
      <c r="P2478" s="6">
        <v>3</v>
      </c>
      <c r="Q2478" s="4" t="s">
        <v>26</v>
      </c>
      <c r="R2478" s="4">
        <v>0</v>
      </c>
      <c r="S2478" s="6">
        <v>0</v>
      </c>
      <c r="T2478" s="6">
        <v>72</v>
      </c>
      <c r="U2478" s="6">
        <v>78</v>
      </c>
      <c r="V2478" s="6">
        <f>IF(ISERROR(VLOOKUP($S$2478,'TAR FIN'!$A$1:$O$95,15,0)),0,VLOOKUP($S$2478,'TAR FIN'!$A$1:$O$95,15,0))</f>
        <v>0</v>
      </c>
      <c r="W2478" s="6">
        <f>IF(ISERROR(VLOOKUP($T$2478,'TAR FIN'!$A$1:$O$95,15,0)),0,VLOOKUP($T$2478,'TAR FIN'!$A$1:$O$95,15,0))</f>
        <v>450.19</v>
      </c>
      <c r="X2478" s="6">
        <f>IF(ISERROR(VLOOKUP($U$2478,'TAR FIN'!$A$1:$O$95,15,0)),0,VLOOKUP($U$2478,'TAR FIN'!$A$1:$O$95,15,0))</f>
        <v>243.3</v>
      </c>
      <c r="Y2478" s="6"/>
      <c r="Z2478" s="6">
        <f ca="1">('TUSD BE'!$AM$53+'TUSD BF'!$AM$53+'TUSD CVA'!$AM$53)*1</f>
        <v>506.5198438752322</v>
      </c>
      <c r="AA2478" s="6">
        <f>('TE BE'!$AA$41+'TE BF'!$AA$41+'TE CVA'!$AA$41)*1</f>
        <v>297.20166373463735</v>
      </c>
      <c r="AB2478" s="6">
        <f>$K$2478*$V$2478</f>
        <v>0</v>
      </c>
      <c r="AC2478" s="6">
        <f>$M$2478*$W$2478</f>
        <v>2542.6731199999999</v>
      </c>
      <c r="AD2478" s="6">
        <f>$O$2478*$X$2478</f>
        <v>1374.1584</v>
      </c>
      <c r="AE2478" s="6">
        <f>$K$2478*$Y$2478</f>
        <v>0</v>
      </c>
      <c r="AF2478" s="6">
        <f ca="1">$M$2478*$Z$2478</f>
        <v>2860.8240782073112</v>
      </c>
      <c r="AG2478" s="6">
        <f>$O$2478*$AA$2478</f>
        <v>1678.5949967732317</v>
      </c>
    </row>
    <row r="2479" spans="1:33" ht="11.25" customHeight="1" x14ac:dyDescent="0.25">
      <c r="A2479" s="4" t="s">
        <v>21</v>
      </c>
      <c r="B2479" s="4" t="s">
        <v>41</v>
      </c>
      <c r="C2479" s="4" t="s">
        <v>23</v>
      </c>
      <c r="D2479" s="4" t="s">
        <v>48</v>
      </c>
      <c r="E2479" s="4" t="s">
        <v>25</v>
      </c>
      <c r="F2479" s="4" t="s">
        <v>25</v>
      </c>
      <c r="G2479" s="4" t="s">
        <v>25</v>
      </c>
      <c r="H2479" s="4" t="s">
        <v>25</v>
      </c>
      <c r="I2479" s="5">
        <v>44348</v>
      </c>
      <c r="J2479" s="6">
        <v>0</v>
      </c>
      <c r="K2479" s="6">
        <v>0</v>
      </c>
      <c r="L2479" s="6">
        <v>4464.9049999999997</v>
      </c>
      <c r="M2479" s="6">
        <v>4464.9049999999997</v>
      </c>
      <c r="N2479" s="6">
        <v>4464.9049999999997</v>
      </c>
      <c r="O2479" s="6">
        <v>4464.9049999999997</v>
      </c>
      <c r="P2479" s="6">
        <v>2045</v>
      </c>
      <c r="Q2479" s="4" t="s">
        <v>26</v>
      </c>
      <c r="R2479" s="4">
        <v>0</v>
      </c>
      <c r="S2479" s="6">
        <v>0</v>
      </c>
      <c r="T2479" s="6">
        <v>72</v>
      </c>
      <c r="U2479" s="6">
        <v>78</v>
      </c>
      <c r="V2479" s="6">
        <f>IF(ISERROR(VLOOKUP($S$2479,'TAR FIN'!$A$1:$O$95,15,0)),0,VLOOKUP($S$2479,'TAR FIN'!$A$1:$O$95,15,0))</f>
        <v>0</v>
      </c>
      <c r="W2479" s="6">
        <f>IF(ISERROR(VLOOKUP($T$2479,'TAR FIN'!$A$1:$O$95,15,0)),0,VLOOKUP($T$2479,'TAR FIN'!$A$1:$O$95,15,0))</f>
        <v>450.19</v>
      </c>
      <c r="X2479" s="6">
        <f>IF(ISERROR(VLOOKUP($U$2479,'TAR FIN'!$A$1:$O$95,15,0)),0,VLOOKUP($U$2479,'TAR FIN'!$A$1:$O$95,15,0))</f>
        <v>243.3</v>
      </c>
      <c r="Y2479" s="6"/>
      <c r="Z2479" s="6">
        <f ca="1">('TUSD BE'!$AM$53+'TUSD BF'!$AM$53+'TUSD CVA'!$AM$53)*1</f>
        <v>506.5198438752322</v>
      </c>
      <c r="AA2479" s="6">
        <f>('TE BE'!$AA$41+'TE BF'!$AA$41+'TE CVA'!$AA$41)*1</f>
        <v>297.20166373463735</v>
      </c>
      <c r="AB2479" s="6">
        <f>$K$2479*$V$2479</f>
        <v>0</v>
      </c>
      <c r="AC2479" s="6">
        <f>$M$2479*$W$2479</f>
        <v>2010055.5819499998</v>
      </c>
      <c r="AD2479" s="6">
        <f>$O$2479*$X$2479</f>
        <v>1086311.3865</v>
      </c>
      <c r="AE2479" s="6">
        <f>$K$2479*$Y$2479</f>
        <v>0</v>
      </c>
      <c r="AF2479" s="6">
        <f ca="1">$M$2479*$Z$2479</f>
        <v>2261562.9835177436</v>
      </c>
      <c r="AG2479" s="6">
        <f>$O$2479*$AA$2479</f>
        <v>1326977.1944171009</v>
      </c>
    </row>
    <row r="2480" spans="1:33" ht="11.25" customHeight="1" x14ac:dyDescent="0.25">
      <c r="A2480" s="4" t="s">
        <v>27</v>
      </c>
      <c r="B2480" s="4" t="s">
        <v>41</v>
      </c>
      <c r="C2480" s="4" t="s">
        <v>23</v>
      </c>
      <c r="D2480" s="4" t="s">
        <v>48</v>
      </c>
      <c r="E2480" s="4" t="s">
        <v>25</v>
      </c>
      <c r="F2480" s="4" t="s">
        <v>25</v>
      </c>
      <c r="G2480" s="4" t="s">
        <v>25</v>
      </c>
      <c r="H2480" s="4" t="s">
        <v>25</v>
      </c>
      <c r="I2480" s="5">
        <v>44348</v>
      </c>
      <c r="J2480" s="6">
        <v>0</v>
      </c>
      <c r="K2480" s="6">
        <v>0</v>
      </c>
      <c r="L2480" s="6">
        <v>9.9789999999999992</v>
      </c>
      <c r="M2480" s="6">
        <v>9.9789999999999992</v>
      </c>
      <c r="N2480" s="6">
        <v>9.9789999999999992</v>
      </c>
      <c r="O2480" s="6">
        <v>9.9789999999999992</v>
      </c>
      <c r="P2480" s="6">
        <v>0</v>
      </c>
      <c r="Q2480" s="4" t="s">
        <v>26</v>
      </c>
      <c r="R2480" s="4">
        <v>0</v>
      </c>
      <c r="S2480" s="6">
        <v>0</v>
      </c>
      <c r="T2480" s="6">
        <v>72</v>
      </c>
      <c r="U2480" s="6">
        <v>78</v>
      </c>
      <c r="V2480" s="6">
        <f>IF(ISERROR(VLOOKUP($S$2480,'TAR FIN'!$A$1:$O$95,15,0)),0,VLOOKUP($S$2480,'TAR FIN'!$A$1:$O$95,15,0))</f>
        <v>0</v>
      </c>
      <c r="W2480" s="6">
        <f>IF(ISERROR(VLOOKUP($T$2480,'TAR FIN'!$A$1:$O$95,15,0)),0,VLOOKUP($T$2480,'TAR FIN'!$A$1:$O$95,15,0))</f>
        <v>450.19</v>
      </c>
      <c r="X2480" s="6">
        <f>IF(ISERROR(VLOOKUP($U$2480,'TAR FIN'!$A$1:$O$95,15,0)),0,VLOOKUP($U$2480,'TAR FIN'!$A$1:$O$95,15,0))</f>
        <v>243.3</v>
      </c>
      <c r="Y2480" s="6"/>
      <c r="Z2480" s="6">
        <f ca="1">('TUSD BE'!$AM$53+'TUSD BF'!$AM$53+'TUSD CVA'!$AM$53)*1</f>
        <v>506.5198438752322</v>
      </c>
      <c r="AA2480" s="6">
        <f>('TE BE'!$AA$41+'TE BF'!$AA$41+'TE CVA'!$AA$41)*1</f>
        <v>297.20166373463735</v>
      </c>
      <c r="AB2480" s="6">
        <f>$K$2480*$V$2480</f>
        <v>0</v>
      </c>
      <c r="AC2480" s="6">
        <f>$M$2480*$W$2480</f>
        <v>4492.4460099999997</v>
      </c>
      <c r="AD2480" s="6">
        <f>$O$2480*$X$2480</f>
        <v>2427.8906999999999</v>
      </c>
      <c r="AE2480" s="6">
        <f>$K$2480*$Y$2480</f>
        <v>0</v>
      </c>
      <c r="AF2480" s="6">
        <f ca="1">$M$2480*$Z$2480</f>
        <v>5054.5615220309419</v>
      </c>
      <c r="AG2480" s="6">
        <f>$O$2480*$AA$2480</f>
        <v>2965.7754024079459</v>
      </c>
    </row>
    <row r="2481" spans="1:33" ht="11.25" customHeight="1" x14ac:dyDescent="0.25">
      <c r="A2481" s="4" t="s">
        <v>28</v>
      </c>
      <c r="B2481" s="4" t="s">
        <v>41</v>
      </c>
      <c r="C2481" s="4" t="s">
        <v>23</v>
      </c>
      <c r="D2481" s="4" t="s">
        <v>48</v>
      </c>
      <c r="E2481" s="4" t="s">
        <v>25</v>
      </c>
      <c r="F2481" s="4" t="s">
        <v>25</v>
      </c>
      <c r="G2481" s="4" t="s">
        <v>25</v>
      </c>
      <c r="H2481" s="4" t="s">
        <v>25</v>
      </c>
      <c r="I2481" s="5">
        <v>44348</v>
      </c>
      <c r="J2481" s="6">
        <v>0</v>
      </c>
      <c r="K2481" s="6">
        <v>0</v>
      </c>
      <c r="L2481" s="6">
        <v>5860.5889999999999</v>
      </c>
      <c r="M2481" s="6">
        <v>5860.5889999999999</v>
      </c>
      <c r="N2481" s="6">
        <v>5860.5889999999999</v>
      </c>
      <c r="O2481" s="6">
        <v>5860.5889999999999</v>
      </c>
      <c r="P2481" s="6">
        <v>5868</v>
      </c>
      <c r="Q2481" s="4" t="s">
        <v>26</v>
      </c>
      <c r="R2481" s="4">
        <v>0</v>
      </c>
      <c r="S2481" s="6">
        <v>0</v>
      </c>
      <c r="T2481" s="6">
        <v>72</v>
      </c>
      <c r="U2481" s="6">
        <v>78</v>
      </c>
      <c r="V2481" s="6">
        <f>IF(ISERROR(VLOOKUP($S$2481,'TAR FIN'!$A$1:$O$95,15,0)),0,VLOOKUP($S$2481,'TAR FIN'!$A$1:$O$95,15,0))</f>
        <v>0</v>
      </c>
      <c r="W2481" s="6">
        <f>IF(ISERROR(VLOOKUP($T$2481,'TAR FIN'!$A$1:$O$95,15,0)),0,VLOOKUP($T$2481,'TAR FIN'!$A$1:$O$95,15,0))</f>
        <v>450.19</v>
      </c>
      <c r="X2481" s="6">
        <f>IF(ISERROR(VLOOKUP($U$2481,'TAR FIN'!$A$1:$O$95,15,0)),0,VLOOKUP($U$2481,'TAR FIN'!$A$1:$O$95,15,0))</f>
        <v>243.3</v>
      </c>
      <c r="Y2481" s="6"/>
      <c r="Z2481" s="6">
        <f ca="1">('TUSD BE'!$AM$53+'TUSD BF'!$AM$53+'TUSD CVA'!$AM$53)*1</f>
        <v>506.5198438752322</v>
      </c>
      <c r="AA2481" s="6">
        <f>('TE BE'!$AA$41+'TE BF'!$AA$41+'TE CVA'!$AA$41)*1</f>
        <v>297.20166373463735</v>
      </c>
      <c r="AB2481" s="6">
        <f>$K$2481*$V$2481</f>
        <v>0</v>
      </c>
      <c r="AC2481" s="6">
        <f>$M$2481*$W$2481</f>
        <v>2638378.5619100002</v>
      </c>
      <c r="AD2481" s="6">
        <f>$O$2481*$X$2481</f>
        <v>1425881.3037</v>
      </c>
      <c r="AE2481" s="6">
        <f>$K$2481*$Y$2481</f>
        <v>0</v>
      </c>
      <c r="AF2481" s="6">
        <f ca="1">$M$2481*$Z$2481</f>
        <v>2968504.6252969033</v>
      </c>
      <c r="AG2481" s="6">
        <f>$O$2481*$AA$2481</f>
        <v>1741776.8012649145</v>
      </c>
    </row>
    <row r="2482" spans="1:33" ht="11.25" customHeight="1" x14ac:dyDescent="0.25">
      <c r="A2482" s="4" t="s">
        <v>29</v>
      </c>
      <c r="B2482" s="4" t="s">
        <v>41</v>
      </c>
      <c r="C2482" s="4" t="s">
        <v>23</v>
      </c>
      <c r="D2482" s="4" t="s">
        <v>48</v>
      </c>
      <c r="E2482" s="4" t="s">
        <v>25</v>
      </c>
      <c r="F2482" s="4" t="s">
        <v>25</v>
      </c>
      <c r="G2482" s="4" t="s">
        <v>25</v>
      </c>
      <c r="H2482" s="4" t="s">
        <v>25</v>
      </c>
      <c r="I2482" s="5">
        <v>44348</v>
      </c>
      <c r="J2482" s="6">
        <v>0</v>
      </c>
      <c r="K2482" s="6">
        <v>0</v>
      </c>
      <c r="L2482" s="6">
        <v>-41.241</v>
      </c>
      <c r="M2482" s="6">
        <v>-41.241</v>
      </c>
      <c r="N2482" s="6">
        <v>-41.241</v>
      </c>
      <c r="O2482" s="6">
        <v>-41.241</v>
      </c>
      <c r="P2482" s="6">
        <v>0</v>
      </c>
      <c r="Q2482" s="4" t="s">
        <v>26</v>
      </c>
      <c r="R2482" s="4">
        <v>0</v>
      </c>
      <c r="S2482" s="6">
        <v>0</v>
      </c>
      <c r="T2482" s="6">
        <v>72</v>
      </c>
      <c r="U2482" s="6">
        <v>78</v>
      </c>
      <c r="V2482" s="6">
        <f>IF(ISERROR(VLOOKUP($S$2482,'TAR FIN'!$A$1:$O$95,15,0)),0,VLOOKUP($S$2482,'TAR FIN'!$A$1:$O$95,15,0))</f>
        <v>0</v>
      </c>
      <c r="W2482" s="6">
        <f>IF(ISERROR(VLOOKUP($T$2482,'TAR FIN'!$A$1:$O$95,15,0)),0,VLOOKUP($T$2482,'TAR FIN'!$A$1:$O$95,15,0))</f>
        <v>450.19</v>
      </c>
      <c r="X2482" s="6">
        <f>IF(ISERROR(VLOOKUP($U$2482,'TAR FIN'!$A$1:$O$95,15,0)),0,VLOOKUP($U$2482,'TAR FIN'!$A$1:$O$95,15,0))</f>
        <v>243.3</v>
      </c>
      <c r="Y2482" s="6"/>
      <c r="Z2482" s="6">
        <f ca="1">('TUSD BE'!$AM$53+'TUSD BF'!$AM$53+'TUSD CVA'!$AM$53)*1</f>
        <v>506.5198438752322</v>
      </c>
      <c r="AA2482" s="6">
        <f>('TE BE'!$AA$41+'TE BF'!$AA$41+'TE CVA'!$AA$41)*1</f>
        <v>297.20166373463735</v>
      </c>
      <c r="AB2482" s="6">
        <f>$K$2482*$V$2482</f>
        <v>0</v>
      </c>
      <c r="AC2482" s="6">
        <f>$M$2482*$W$2482</f>
        <v>-18566.285789999998</v>
      </c>
      <c r="AD2482" s="6">
        <f>$O$2482*$X$2482</f>
        <v>-10033.935300000001</v>
      </c>
      <c r="AE2482" s="6">
        <f>$K$2482*$Y$2482</f>
        <v>0</v>
      </c>
      <c r="AF2482" s="6">
        <f ca="1">$M$2482*$Z$2482</f>
        <v>-20889.384881258451</v>
      </c>
      <c r="AG2482" s="6">
        <f>$O$2482*$AA$2482</f>
        <v>-12256.893814080178</v>
      </c>
    </row>
    <row r="2483" spans="1:33" ht="11.25" customHeight="1" x14ac:dyDescent="0.25">
      <c r="A2483" s="4" t="s">
        <v>30</v>
      </c>
      <c r="B2483" s="4" t="s">
        <v>41</v>
      </c>
      <c r="C2483" s="4" t="s">
        <v>23</v>
      </c>
      <c r="D2483" s="4" t="s">
        <v>48</v>
      </c>
      <c r="E2483" s="4" t="s">
        <v>25</v>
      </c>
      <c r="F2483" s="4" t="s">
        <v>25</v>
      </c>
      <c r="G2483" s="4" t="s">
        <v>25</v>
      </c>
      <c r="H2483" s="4" t="s">
        <v>25</v>
      </c>
      <c r="I2483" s="5">
        <v>44348</v>
      </c>
      <c r="J2483" s="6">
        <v>0</v>
      </c>
      <c r="K2483" s="6">
        <v>0</v>
      </c>
      <c r="L2483" s="6">
        <v>7.1139999999999999</v>
      </c>
      <c r="M2483" s="6">
        <v>7.1139999999999999</v>
      </c>
      <c r="N2483" s="6">
        <v>7.1139999999999999</v>
      </c>
      <c r="O2483" s="6">
        <v>7.1139999999999999</v>
      </c>
      <c r="P2483" s="6">
        <v>3</v>
      </c>
      <c r="Q2483" s="4" t="s">
        <v>26</v>
      </c>
      <c r="R2483" s="4">
        <v>0</v>
      </c>
      <c r="S2483" s="6">
        <v>0</v>
      </c>
      <c r="T2483" s="6">
        <v>72</v>
      </c>
      <c r="U2483" s="6">
        <v>78</v>
      </c>
      <c r="V2483" s="6">
        <f>IF(ISERROR(VLOOKUP($S$2483,'TAR FIN'!$A$1:$O$95,15,0)),0,VLOOKUP($S$2483,'TAR FIN'!$A$1:$O$95,15,0))</f>
        <v>0</v>
      </c>
      <c r="W2483" s="6">
        <f>IF(ISERROR(VLOOKUP($T$2483,'TAR FIN'!$A$1:$O$95,15,0)),0,VLOOKUP($T$2483,'TAR FIN'!$A$1:$O$95,15,0))</f>
        <v>450.19</v>
      </c>
      <c r="X2483" s="6">
        <f>IF(ISERROR(VLOOKUP($U$2483,'TAR FIN'!$A$1:$O$95,15,0)),0,VLOOKUP($U$2483,'TAR FIN'!$A$1:$O$95,15,0))</f>
        <v>243.3</v>
      </c>
      <c r="Y2483" s="6"/>
      <c r="Z2483" s="6">
        <f ca="1">('TUSD BE'!$AM$53+'TUSD BF'!$AM$53+'TUSD CVA'!$AM$53)*1</f>
        <v>506.5198438752322</v>
      </c>
      <c r="AA2483" s="6">
        <f>('TE BE'!$AA$41+'TE BF'!$AA$41+'TE CVA'!$AA$41)*1</f>
        <v>297.20166373463735</v>
      </c>
      <c r="AB2483" s="6">
        <f>$K$2483*$V$2483</f>
        <v>0</v>
      </c>
      <c r="AC2483" s="6">
        <f>$M$2483*$W$2483</f>
        <v>3202.65166</v>
      </c>
      <c r="AD2483" s="6">
        <f>$O$2483*$X$2483</f>
        <v>1730.8362</v>
      </c>
      <c r="AE2483" s="6">
        <f>$K$2483*$Y$2483</f>
        <v>0</v>
      </c>
      <c r="AF2483" s="6">
        <f ca="1">$M$2483*$Z$2483</f>
        <v>3603.3821693284017</v>
      </c>
      <c r="AG2483" s="6">
        <f>$O$2483*$AA$2483</f>
        <v>2114.29263580821</v>
      </c>
    </row>
    <row r="2484" spans="1:33" ht="11.25" customHeight="1" x14ac:dyDescent="0.25">
      <c r="A2484" s="4" t="s">
        <v>21</v>
      </c>
      <c r="B2484" s="4" t="s">
        <v>41</v>
      </c>
      <c r="C2484" s="4" t="s">
        <v>23</v>
      </c>
      <c r="D2484" s="4" t="s">
        <v>48</v>
      </c>
      <c r="E2484" s="4" t="s">
        <v>25</v>
      </c>
      <c r="F2484" s="4" t="s">
        <v>25</v>
      </c>
      <c r="G2484" s="4" t="s">
        <v>25</v>
      </c>
      <c r="H2484" s="4" t="s">
        <v>25</v>
      </c>
      <c r="I2484" s="5">
        <v>44378</v>
      </c>
      <c r="J2484" s="6">
        <v>0</v>
      </c>
      <c r="K2484" s="6">
        <v>0</v>
      </c>
      <c r="L2484" s="6">
        <v>4892.8339999999998</v>
      </c>
      <c r="M2484" s="6">
        <v>4892.8339999999998</v>
      </c>
      <c r="N2484" s="6">
        <v>4892.8339999999998</v>
      </c>
      <c r="O2484" s="6">
        <v>4892.8339999999998</v>
      </c>
      <c r="P2484" s="6">
        <v>2020</v>
      </c>
      <c r="Q2484" s="4" t="s">
        <v>26</v>
      </c>
      <c r="R2484" s="4">
        <v>0</v>
      </c>
      <c r="S2484" s="6">
        <v>0</v>
      </c>
      <c r="T2484" s="6">
        <v>72</v>
      </c>
      <c r="U2484" s="6">
        <v>78</v>
      </c>
      <c r="V2484" s="6">
        <f>IF(ISERROR(VLOOKUP($S$2484,'TAR FIN'!$A$1:$O$95,15,0)),0,VLOOKUP($S$2484,'TAR FIN'!$A$1:$O$95,15,0))</f>
        <v>0</v>
      </c>
      <c r="W2484" s="6">
        <f>IF(ISERROR(VLOOKUP($T$2484,'TAR FIN'!$A$1:$O$95,15,0)),0,VLOOKUP($T$2484,'TAR FIN'!$A$1:$O$95,15,0))</f>
        <v>450.19</v>
      </c>
      <c r="X2484" s="6">
        <f>IF(ISERROR(VLOOKUP($U$2484,'TAR FIN'!$A$1:$O$95,15,0)),0,VLOOKUP($U$2484,'TAR FIN'!$A$1:$O$95,15,0))</f>
        <v>243.3</v>
      </c>
      <c r="Y2484" s="6"/>
      <c r="Z2484" s="6">
        <f ca="1">('TUSD BE'!$AM$53+'TUSD BF'!$AM$53+'TUSD CVA'!$AM$53)*1</f>
        <v>506.5198438752322</v>
      </c>
      <c r="AA2484" s="6">
        <f>('TE BE'!$AA$41+'TE BF'!$AA$41+'TE CVA'!$AA$41)*1</f>
        <v>297.20166373463735</v>
      </c>
      <c r="AB2484" s="6">
        <f>$K$2484*$V$2484</f>
        <v>0</v>
      </c>
      <c r="AC2484" s="6">
        <f>$M$2484*$W$2484</f>
        <v>2202704.9384599999</v>
      </c>
      <c r="AD2484" s="6">
        <f>$O$2484*$X$2484</f>
        <v>1190426.5122</v>
      </c>
      <c r="AE2484" s="6">
        <f>$K$2484*$Y$2484</f>
        <v>0</v>
      </c>
      <c r="AF2484" s="6">
        <f ca="1">$M$2484*$Z$2484</f>
        <v>2478317.5137874279</v>
      </c>
      <c r="AG2484" s="6">
        <f>$O$2484*$AA$2484</f>
        <v>1454158.4051774004</v>
      </c>
    </row>
    <row r="2485" spans="1:33" ht="11.25" customHeight="1" x14ac:dyDescent="0.25">
      <c r="A2485" s="4" t="s">
        <v>27</v>
      </c>
      <c r="B2485" s="4" t="s">
        <v>41</v>
      </c>
      <c r="C2485" s="4" t="s">
        <v>23</v>
      </c>
      <c r="D2485" s="4" t="s">
        <v>48</v>
      </c>
      <c r="E2485" s="4" t="s">
        <v>25</v>
      </c>
      <c r="F2485" s="4" t="s">
        <v>25</v>
      </c>
      <c r="G2485" s="4" t="s">
        <v>25</v>
      </c>
      <c r="H2485" s="4" t="s">
        <v>25</v>
      </c>
      <c r="I2485" s="5">
        <v>44378</v>
      </c>
      <c r="J2485" s="6">
        <v>0</v>
      </c>
      <c r="K2485" s="6">
        <v>0</v>
      </c>
      <c r="L2485" s="6">
        <v>41.883000000000003</v>
      </c>
      <c r="M2485" s="6">
        <v>41.883000000000003</v>
      </c>
      <c r="N2485" s="6">
        <v>41.883000000000003</v>
      </c>
      <c r="O2485" s="6">
        <v>41.883000000000003</v>
      </c>
      <c r="P2485" s="6">
        <v>0</v>
      </c>
      <c r="Q2485" s="4" t="s">
        <v>26</v>
      </c>
      <c r="R2485" s="4">
        <v>0</v>
      </c>
      <c r="S2485" s="6">
        <v>0</v>
      </c>
      <c r="T2485" s="6">
        <v>72</v>
      </c>
      <c r="U2485" s="6">
        <v>78</v>
      </c>
      <c r="V2485" s="6">
        <f>IF(ISERROR(VLOOKUP($S$2485,'TAR FIN'!$A$1:$O$95,15,0)),0,VLOOKUP($S$2485,'TAR FIN'!$A$1:$O$95,15,0))</f>
        <v>0</v>
      </c>
      <c r="W2485" s="6">
        <f>IF(ISERROR(VLOOKUP($T$2485,'TAR FIN'!$A$1:$O$95,15,0)),0,VLOOKUP($T$2485,'TAR FIN'!$A$1:$O$95,15,0))</f>
        <v>450.19</v>
      </c>
      <c r="X2485" s="6">
        <f>IF(ISERROR(VLOOKUP($U$2485,'TAR FIN'!$A$1:$O$95,15,0)),0,VLOOKUP($U$2485,'TAR FIN'!$A$1:$O$95,15,0))</f>
        <v>243.3</v>
      </c>
      <c r="Y2485" s="6"/>
      <c r="Z2485" s="6">
        <f ca="1">('TUSD BE'!$AM$53+'TUSD BF'!$AM$53+'TUSD CVA'!$AM$53)*1</f>
        <v>506.5198438752322</v>
      </c>
      <c r="AA2485" s="6">
        <f>('TE BE'!$AA$41+'TE BF'!$AA$41+'TE CVA'!$AA$41)*1</f>
        <v>297.20166373463735</v>
      </c>
      <c r="AB2485" s="6">
        <f>$K$2485*$V$2485</f>
        <v>0</v>
      </c>
      <c r="AC2485" s="6">
        <f>$M$2485*$W$2485</f>
        <v>18855.307769999999</v>
      </c>
      <c r="AD2485" s="6">
        <f>$O$2485*$X$2485</f>
        <v>10190.133900000001</v>
      </c>
      <c r="AE2485" s="6">
        <f>$K$2485*$Y$2485</f>
        <v>0</v>
      </c>
      <c r="AF2485" s="6">
        <f ca="1">$M$2485*$Z$2485</f>
        <v>21214.570621026352</v>
      </c>
      <c r="AG2485" s="6">
        <f>$O$2485*$AA$2485</f>
        <v>12447.697282197816</v>
      </c>
    </row>
    <row r="2486" spans="1:33" ht="11.25" customHeight="1" x14ac:dyDescent="0.25">
      <c r="A2486" s="4" t="s">
        <v>28</v>
      </c>
      <c r="B2486" s="4" t="s">
        <v>41</v>
      </c>
      <c r="C2486" s="4" t="s">
        <v>23</v>
      </c>
      <c r="D2486" s="4" t="s">
        <v>48</v>
      </c>
      <c r="E2486" s="4" t="s">
        <v>25</v>
      </c>
      <c r="F2486" s="4" t="s">
        <v>25</v>
      </c>
      <c r="G2486" s="4" t="s">
        <v>25</v>
      </c>
      <c r="H2486" s="4" t="s">
        <v>25</v>
      </c>
      <c r="I2486" s="5">
        <v>44378</v>
      </c>
      <c r="J2486" s="6">
        <v>0</v>
      </c>
      <c r="K2486" s="6">
        <v>0</v>
      </c>
      <c r="L2486" s="6">
        <v>5574.9920000000002</v>
      </c>
      <c r="M2486" s="6">
        <v>5574.9920000000002</v>
      </c>
      <c r="N2486" s="6">
        <v>5574.9920000000002</v>
      </c>
      <c r="O2486" s="6">
        <v>5574.9920000000002</v>
      </c>
      <c r="P2486" s="6">
        <v>5879</v>
      </c>
      <c r="Q2486" s="4" t="s">
        <v>26</v>
      </c>
      <c r="R2486" s="4">
        <v>0</v>
      </c>
      <c r="S2486" s="6">
        <v>0</v>
      </c>
      <c r="T2486" s="6">
        <v>72</v>
      </c>
      <c r="U2486" s="6">
        <v>78</v>
      </c>
      <c r="V2486" s="6">
        <f>IF(ISERROR(VLOOKUP($S$2486,'TAR FIN'!$A$1:$O$95,15,0)),0,VLOOKUP($S$2486,'TAR FIN'!$A$1:$O$95,15,0))</f>
        <v>0</v>
      </c>
      <c r="W2486" s="6">
        <f>IF(ISERROR(VLOOKUP($T$2486,'TAR FIN'!$A$1:$O$95,15,0)),0,VLOOKUP($T$2486,'TAR FIN'!$A$1:$O$95,15,0))</f>
        <v>450.19</v>
      </c>
      <c r="X2486" s="6">
        <f>IF(ISERROR(VLOOKUP($U$2486,'TAR FIN'!$A$1:$O$95,15,0)),0,VLOOKUP($U$2486,'TAR FIN'!$A$1:$O$95,15,0))</f>
        <v>243.3</v>
      </c>
      <c r="Y2486" s="6"/>
      <c r="Z2486" s="6">
        <f ca="1">('TUSD BE'!$AM$53+'TUSD BF'!$AM$53+'TUSD CVA'!$AM$53)*1</f>
        <v>506.5198438752322</v>
      </c>
      <c r="AA2486" s="6">
        <f>('TE BE'!$AA$41+'TE BF'!$AA$41+'TE CVA'!$AA$41)*1</f>
        <v>297.20166373463735</v>
      </c>
      <c r="AB2486" s="6">
        <f>$K$2486*$V$2486</f>
        <v>0</v>
      </c>
      <c r="AC2486" s="6">
        <f>$M$2486*$W$2486</f>
        <v>2509805.64848</v>
      </c>
      <c r="AD2486" s="6">
        <f>$O$2486*$X$2486</f>
        <v>1356395.5536000002</v>
      </c>
      <c r="AE2486" s="6">
        <f>$K$2486*$Y$2486</f>
        <v>0</v>
      </c>
      <c r="AF2486" s="6">
        <f ca="1">$M$2486*$Z$2486</f>
        <v>2823844.0774456686</v>
      </c>
      <c r="AG2486" s="6">
        <f>$O$2486*$AA$2486</f>
        <v>1656896.8977072935</v>
      </c>
    </row>
    <row r="2487" spans="1:33" ht="11.25" customHeight="1" x14ac:dyDescent="0.25">
      <c r="A2487" s="4" t="s">
        <v>29</v>
      </c>
      <c r="B2487" s="4" t="s">
        <v>41</v>
      </c>
      <c r="C2487" s="4" t="s">
        <v>23</v>
      </c>
      <c r="D2487" s="4" t="s">
        <v>48</v>
      </c>
      <c r="E2487" s="4" t="s">
        <v>25</v>
      </c>
      <c r="F2487" s="4" t="s">
        <v>25</v>
      </c>
      <c r="G2487" s="4" t="s">
        <v>25</v>
      </c>
      <c r="H2487" s="4" t="s">
        <v>25</v>
      </c>
      <c r="I2487" s="5">
        <v>44378</v>
      </c>
      <c r="J2487" s="6">
        <v>0</v>
      </c>
      <c r="K2487" s="6">
        <v>0</v>
      </c>
      <c r="L2487" s="6">
        <v>2.3820000000000001</v>
      </c>
      <c r="M2487" s="6">
        <v>2.3820000000000001</v>
      </c>
      <c r="N2487" s="6">
        <v>2.3820000000000001</v>
      </c>
      <c r="O2487" s="6">
        <v>2.3820000000000001</v>
      </c>
      <c r="P2487" s="6">
        <v>0</v>
      </c>
      <c r="Q2487" s="4" t="s">
        <v>26</v>
      </c>
      <c r="R2487" s="4">
        <v>0</v>
      </c>
      <c r="S2487" s="6">
        <v>0</v>
      </c>
      <c r="T2487" s="6">
        <v>72</v>
      </c>
      <c r="U2487" s="6">
        <v>78</v>
      </c>
      <c r="V2487" s="6">
        <f>IF(ISERROR(VLOOKUP($S$2487,'TAR FIN'!$A$1:$O$95,15,0)),0,VLOOKUP($S$2487,'TAR FIN'!$A$1:$O$95,15,0))</f>
        <v>0</v>
      </c>
      <c r="W2487" s="6">
        <f>IF(ISERROR(VLOOKUP($T$2487,'TAR FIN'!$A$1:$O$95,15,0)),0,VLOOKUP($T$2487,'TAR FIN'!$A$1:$O$95,15,0))</f>
        <v>450.19</v>
      </c>
      <c r="X2487" s="6">
        <f>IF(ISERROR(VLOOKUP($U$2487,'TAR FIN'!$A$1:$O$95,15,0)),0,VLOOKUP($U$2487,'TAR FIN'!$A$1:$O$95,15,0))</f>
        <v>243.3</v>
      </c>
      <c r="Y2487" s="6"/>
      <c r="Z2487" s="6">
        <f ca="1">('TUSD BE'!$AM$53+'TUSD BF'!$AM$53+'TUSD CVA'!$AM$53)*1</f>
        <v>506.5198438752322</v>
      </c>
      <c r="AA2487" s="6">
        <f>('TE BE'!$AA$41+'TE BF'!$AA$41+'TE CVA'!$AA$41)*1</f>
        <v>297.20166373463735</v>
      </c>
      <c r="AB2487" s="6">
        <f>$K$2487*$V$2487</f>
        <v>0</v>
      </c>
      <c r="AC2487" s="6">
        <f>$M$2487*$W$2487</f>
        <v>1072.35258</v>
      </c>
      <c r="AD2487" s="6">
        <f>$O$2487*$X$2487</f>
        <v>579.54060000000004</v>
      </c>
      <c r="AE2487" s="6">
        <f>$K$2487*$Y$2487</f>
        <v>0</v>
      </c>
      <c r="AF2487" s="6">
        <f ca="1">$M$2487*$Z$2487</f>
        <v>1206.5302681108033</v>
      </c>
      <c r="AG2487" s="6">
        <f>$O$2487*$AA$2487</f>
        <v>707.93436301590623</v>
      </c>
    </row>
    <row r="2488" spans="1:33" ht="11.25" customHeight="1" x14ac:dyDescent="0.25">
      <c r="A2488" s="4" t="s">
        <v>30</v>
      </c>
      <c r="B2488" s="4" t="s">
        <v>41</v>
      </c>
      <c r="C2488" s="4" t="s">
        <v>23</v>
      </c>
      <c r="D2488" s="4" t="s">
        <v>48</v>
      </c>
      <c r="E2488" s="4" t="s">
        <v>25</v>
      </c>
      <c r="F2488" s="4" t="s">
        <v>25</v>
      </c>
      <c r="G2488" s="4" t="s">
        <v>25</v>
      </c>
      <c r="H2488" s="4" t="s">
        <v>25</v>
      </c>
      <c r="I2488" s="5">
        <v>44378</v>
      </c>
      <c r="J2488" s="6">
        <v>0</v>
      </c>
      <c r="K2488" s="6">
        <v>0</v>
      </c>
      <c r="L2488" s="6">
        <v>7.4189999999999996</v>
      </c>
      <c r="M2488" s="6">
        <v>7.4189999999999996</v>
      </c>
      <c r="N2488" s="6">
        <v>7.4189999999999996</v>
      </c>
      <c r="O2488" s="6">
        <v>7.4189999999999996</v>
      </c>
      <c r="P2488" s="6">
        <v>3</v>
      </c>
      <c r="Q2488" s="4" t="s">
        <v>26</v>
      </c>
      <c r="R2488" s="4">
        <v>0</v>
      </c>
      <c r="S2488" s="6">
        <v>0</v>
      </c>
      <c r="T2488" s="6">
        <v>72</v>
      </c>
      <c r="U2488" s="6">
        <v>78</v>
      </c>
      <c r="V2488" s="6">
        <f>IF(ISERROR(VLOOKUP($S$2488,'TAR FIN'!$A$1:$O$95,15,0)),0,VLOOKUP($S$2488,'TAR FIN'!$A$1:$O$95,15,0))</f>
        <v>0</v>
      </c>
      <c r="W2488" s="6">
        <f>IF(ISERROR(VLOOKUP($T$2488,'TAR FIN'!$A$1:$O$95,15,0)),0,VLOOKUP($T$2488,'TAR FIN'!$A$1:$O$95,15,0))</f>
        <v>450.19</v>
      </c>
      <c r="X2488" s="6">
        <f>IF(ISERROR(VLOOKUP($U$2488,'TAR FIN'!$A$1:$O$95,15,0)),0,VLOOKUP($U$2488,'TAR FIN'!$A$1:$O$95,15,0))</f>
        <v>243.3</v>
      </c>
      <c r="Y2488" s="6"/>
      <c r="Z2488" s="6">
        <f ca="1">('TUSD BE'!$AM$53+'TUSD BF'!$AM$53+'TUSD CVA'!$AM$53)*1</f>
        <v>506.5198438752322</v>
      </c>
      <c r="AA2488" s="6">
        <f>('TE BE'!$AA$41+'TE BF'!$AA$41+'TE CVA'!$AA$41)*1</f>
        <v>297.20166373463735</v>
      </c>
      <c r="AB2488" s="6">
        <f>$K$2488*$V$2488</f>
        <v>0</v>
      </c>
      <c r="AC2488" s="6">
        <f>$M$2488*$W$2488</f>
        <v>3339.9596099999999</v>
      </c>
      <c r="AD2488" s="6">
        <f>$O$2488*$X$2488</f>
        <v>1805.0427</v>
      </c>
      <c r="AE2488" s="6">
        <f>$K$2488*$Y$2488</f>
        <v>0</v>
      </c>
      <c r="AF2488" s="6">
        <f ca="1">$M$2488*$Z$2488</f>
        <v>3757.8707217103474</v>
      </c>
      <c r="AG2488" s="6">
        <f>$O$2488*$AA$2488</f>
        <v>2204.9391432472744</v>
      </c>
    </row>
    <row r="2489" spans="1:33" ht="11.25" customHeight="1" x14ac:dyDescent="0.25">
      <c r="A2489" s="4" t="s">
        <v>21</v>
      </c>
      <c r="B2489" s="4" t="s">
        <v>41</v>
      </c>
      <c r="C2489" s="4" t="s">
        <v>23</v>
      </c>
      <c r="D2489" s="4" t="s">
        <v>48</v>
      </c>
      <c r="E2489" s="4" t="s">
        <v>25</v>
      </c>
      <c r="F2489" s="4" t="s">
        <v>25</v>
      </c>
      <c r="G2489" s="4" t="s">
        <v>25</v>
      </c>
      <c r="H2489" s="4" t="s">
        <v>25</v>
      </c>
      <c r="I2489" s="5">
        <v>44409</v>
      </c>
      <c r="J2489" s="6">
        <v>0</v>
      </c>
      <c r="K2489" s="6">
        <v>0</v>
      </c>
      <c r="L2489" s="6">
        <v>6359.41</v>
      </c>
      <c r="M2489" s="6">
        <v>6359.41</v>
      </c>
      <c r="N2489" s="6">
        <v>6359.41</v>
      </c>
      <c r="O2489" s="6">
        <v>6359.41</v>
      </c>
      <c r="P2489" s="6">
        <v>2065</v>
      </c>
      <c r="Q2489" s="4" t="s">
        <v>26</v>
      </c>
      <c r="R2489" s="4">
        <v>0</v>
      </c>
      <c r="S2489" s="6">
        <v>0</v>
      </c>
      <c r="T2489" s="6">
        <v>72</v>
      </c>
      <c r="U2489" s="6">
        <v>78</v>
      </c>
      <c r="V2489" s="6">
        <f>IF(ISERROR(VLOOKUP($S$2489,'TAR FIN'!$A$1:$O$95,15,0)),0,VLOOKUP($S$2489,'TAR FIN'!$A$1:$O$95,15,0))</f>
        <v>0</v>
      </c>
      <c r="W2489" s="6">
        <f>IF(ISERROR(VLOOKUP($T$2489,'TAR FIN'!$A$1:$O$95,15,0)),0,VLOOKUP($T$2489,'TAR FIN'!$A$1:$O$95,15,0))</f>
        <v>450.19</v>
      </c>
      <c r="X2489" s="6">
        <f>IF(ISERROR(VLOOKUP($U$2489,'TAR FIN'!$A$1:$O$95,15,0)),0,VLOOKUP($U$2489,'TAR FIN'!$A$1:$O$95,15,0))</f>
        <v>243.3</v>
      </c>
      <c r="Y2489" s="6"/>
      <c r="Z2489" s="6">
        <f ca="1">('TUSD BE'!$AM$53+'TUSD BF'!$AM$53+'TUSD CVA'!$AM$53)*1</f>
        <v>506.5198438752322</v>
      </c>
      <c r="AA2489" s="6">
        <f>('TE BE'!$AA$41+'TE BF'!$AA$41+'TE CVA'!$AA$41)*1</f>
        <v>297.20166373463735</v>
      </c>
      <c r="AB2489" s="6">
        <f>$K$2489*$V$2489</f>
        <v>0</v>
      </c>
      <c r="AC2489" s="6">
        <f>$M$2489*$W$2489</f>
        <v>2862942.7878999999</v>
      </c>
      <c r="AD2489" s="6">
        <f>$O$2489*$X$2489</f>
        <v>1547244.453</v>
      </c>
      <c r="AE2489" s="6">
        <f>$K$2489*$Y$2489</f>
        <v>0</v>
      </c>
      <c r="AF2489" s="6">
        <f ca="1">$M$2489*$Z$2489</f>
        <v>3221167.3603385901</v>
      </c>
      <c r="AG2489" s="6">
        <f>$O$2489*$AA$2489</f>
        <v>1890027.23237069</v>
      </c>
    </row>
    <row r="2490" spans="1:33" ht="11.25" customHeight="1" x14ac:dyDescent="0.25">
      <c r="A2490" s="4" t="s">
        <v>27</v>
      </c>
      <c r="B2490" s="4" t="s">
        <v>41</v>
      </c>
      <c r="C2490" s="4" t="s">
        <v>23</v>
      </c>
      <c r="D2490" s="4" t="s">
        <v>48</v>
      </c>
      <c r="E2490" s="4" t="s">
        <v>25</v>
      </c>
      <c r="F2490" s="4" t="s">
        <v>25</v>
      </c>
      <c r="G2490" s="4" t="s">
        <v>25</v>
      </c>
      <c r="H2490" s="4" t="s">
        <v>25</v>
      </c>
      <c r="I2490" s="5">
        <v>44409</v>
      </c>
      <c r="J2490" s="6">
        <v>0</v>
      </c>
      <c r="K2490" s="6">
        <v>0</v>
      </c>
      <c r="L2490" s="6">
        <v>27.46</v>
      </c>
      <c r="M2490" s="6">
        <v>27.46</v>
      </c>
      <c r="N2490" s="6">
        <v>27.46</v>
      </c>
      <c r="O2490" s="6">
        <v>27.46</v>
      </c>
      <c r="P2490" s="6">
        <v>0</v>
      </c>
      <c r="Q2490" s="4" t="s">
        <v>26</v>
      </c>
      <c r="R2490" s="4">
        <v>0</v>
      </c>
      <c r="S2490" s="6">
        <v>0</v>
      </c>
      <c r="T2490" s="6">
        <v>72</v>
      </c>
      <c r="U2490" s="6">
        <v>78</v>
      </c>
      <c r="V2490" s="6">
        <f>IF(ISERROR(VLOOKUP($S$2490,'TAR FIN'!$A$1:$O$95,15,0)),0,VLOOKUP($S$2490,'TAR FIN'!$A$1:$O$95,15,0))</f>
        <v>0</v>
      </c>
      <c r="W2490" s="6">
        <f>IF(ISERROR(VLOOKUP($T$2490,'TAR FIN'!$A$1:$O$95,15,0)),0,VLOOKUP($T$2490,'TAR FIN'!$A$1:$O$95,15,0))</f>
        <v>450.19</v>
      </c>
      <c r="X2490" s="6">
        <f>IF(ISERROR(VLOOKUP($U$2490,'TAR FIN'!$A$1:$O$95,15,0)),0,VLOOKUP($U$2490,'TAR FIN'!$A$1:$O$95,15,0))</f>
        <v>243.3</v>
      </c>
      <c r="Y2490" s="6"/>
      <c r="Z2490" s="6">
        <f ca="1">('TUSD BE'!$AM$53+'TUSD BF'!$AM$53+'TUSD CVA'!$AM$53)*1</f>
        <v>506.5198438752322</v>
      </c>
      <c r="AA2490" s="6">
        <f>('TE BE'!$AA$41+'TE BF'!$AA$41+'TE CVA'!$AA$41)*1</f>
        <v>297.20166373463735</v>
      </c>
      <c r="AB2490" s="6">
        <f>$K$2490*$V$2490</f>
        <v>0</v>
      </c>
      <c r="AC2490" s="6">
        <f>$M$2490*$W$2490</f>
        <v>12362.2174</v>
      </c>
      <c r="AD2490" s="6">
        <f>$O$2490*$X$2490</f>
        <v>6681.0180000000009</v>
      </c>
      <c r="AE2490" s="6">
        <f>$K$2490*$Y$2490</f>
        <v>0</v>
      </c>
      <c r="AF2490" s="6">
        <f ca="1">$M$2490*$Z$2490</f>
        <v>13909.034912813877</v>
      </c>
      <c r="AG2490" s="6">
        <f>$O$2490*$AA$2490</f>
        <v>8161.1576861531421</v>
      </c>
    </row>
    <row r="2491" spans="1:33" ht="11.25" customHeight="1" x14ac:dyDescent="0.25">
      <c r="A2491" s="4" t="s">
        <v>28</v>
      </c>
      <c r="B2491" s="4" t="s">
        <v>41</v>
      </c>
      <c r="C2491" s="4" t="s">
        <v>23</v>
      </c>
      <c r="D2491" s="4" t="s">
        <v>48</v>
      </c>
      <c r="E2491" s="4" t="s">
        <v>25</v>
      </c>
      <c r="F2491" s="4" t="s">
        <v>25</v>
      </c>
      <c r="G2491" s="4" t="s">
        <v>25</v>
      </c>
      <c r="H2491" s="4" t="s">
        <v>25</v>
      </c>
      <c r="I2491" s="5">
        <v>44409</v>
      </c>
      <c r="J2491" s="6">
        <v>0</v>
      </c>
      <c r="K2491" s="6">
        <v>0</v>
      </c>
      <c r="L2491" s="6">
        <v>7367.24</v>
      </c>
      <c r="M2491" s="6">
        <v>7367.24</v>
      </c>
      <c r="N2491" s="6">
        <v>7367.24</v>
      </c>
      <c r="O2491" s="6">
        <v>7367.24</v>
      </c>
      <c r="P2491" s="6">
        <v>5979</v>
      </c>
      <c r="Q2491" s="4" t="s">
        <v>26</v>
      </c>
      <c r="R2491" s="4">
        <v>0</v>
      </c>
      <c r="S2491" s="6">
        <v>0</v>
      </c>
      <c r="T2491" s="6">
        <v>72</v>
      </c>
      <c r="U2491" s="6">
        <v>78</v>
      </c>
      <c r="V2491" s="6">
        <f>IF(ISERROR(VLOOKUP($S$2491,'TAR FIN'!$A$1:$O$95,15,0)),0,VLOOKUP($S$2491,'TAR FIN'!$A$1:$O$95,15,0))</f>
        <v>0</v>
      </c>
      <c r="W2491" s="6">
        <f>IF(ISERROR(VLOOKUP($T$2491,'TAR FIN'!$A$1:$O$95,15,0)),0,VLOOKUP($T$2491,'TAR FIN'!$A$1:$O$95,15,0))</f>
        <v>450.19</v>
      </c>
      <c r="X2491" s="6">
        <f>IF(ISERROR(VLOOKUP($U$2491,'TAR FIN'!$A$1:$O$95,15,0)),0,VLOOKUP($U$2491,'TAR FIN'!$A$1:$O$95,15,0))</f>
        <v>243.3</v>
      </c>
      <c r="Y2491" s="6"/>
      <c r="Z2491" s="6">
        <f ca="1">('TUSD BE'!$AM$53+'TUSD BF'!$AM$53+'TUSD CVA'!$AM$53)*1</f>
        <v>506.5198438752322</v>
      </c>
      <c r="AA2491" s="6">
        <f>('TE BE'!$AA$41+'TE BF'!$AA$41+'TE CVA'!$AA$41)*1</f>
        <v>297.20166373463735</v>
      </c>
      <c r="AB2491" s="6">
        <f>$K$2491*$V$2491</f>
        <v>0</v>
      </c>
      <c r="AC2491" s="6">
        <f>$M$2491*$W$2491</f>
        <v>3316657.7755999998</v>
      </c>
      <c r="AD2491" s="6">
        <f>$O$2491*$X$2491</f>
        <v>1792449.4920000001</v>
      </c>
      <c r="AE2491" s="6">
        <f>$K$2491*$Y$2491</f>
        <v>0</v>
      </c>
      <c r="AF2491" s="6">
        <f ca="1">$M$2491*$Z$2491</f>
        <v>3731653.2545913653</v>
      </c>
      <c r="AG2491" s="6">
        <f>$O$2491*$AA$2491</f>
        <v>2189555.9851323697</v>
      </c>
    </row>
    <row r="2492" spans="1:33" ht="11.25" customHeight="1" x14ac:dyDescent="0.25">
      <c r="A2492" s="4" t="s">
        <v>29</v>
      </c>
      <c r="B2492" s="4" t="s">
        <v>41</v>
      </c>
      <c r="C2492" s="4" t="s">
        <v>23</v>
      </c>
      <c r="D2492" s="4" t="s">
        <v>48</v>
      </c>
      <c r="E2492" s="4" t="s">
        <v>25</v>
      </c>
      <c r="F2492" s="4" t="s">
        <v>25</v>
      </c>
      <c r="G2492" s="4" t="s">
        <v>25</v>
      </c>
      <c r="H2492" s="4" t="s">
        <v>25</v>
      </c>
      <c r="I2492" s="5">
        <v>44409</v>
      </c>
      <c r="J2492" s="6">
        <v>0</v>
      </c>
      <c r="K2492" s="6">
        <v>0</v>
      </c>
      <c r="L2492" s="6">
        <v>-239.89</v>
      </c>
      <c r="M2492" s="6">
        <v>-239.89</v>
      </c>
      <c r="N2492" s="6">
        <v>-239.89</v>
      </c>
      <c r="O2492" s="6">
        <v>-239.89</v>
      </c>
      <c r="P2492" s="6">
        <v>0</v>
      </c>
      <c r="Q2492" s="4" t="s">
        <v>26</v>
      </c>
      <c r="R2492" s="4">
        <v>0</v>
      </c>
      <c r="S2492" s="6">
        <v>0</v>
      </c>
      <c r="T2492" s="6">
        <v>72</v>
      </c>
      <c r="U2492" s="6">
        <v>78</v>
      </c>
      <c r="V2492" s="6">
        <f>IF(ISERROR(VLOOKUP($S$2492,'TAR FIN'!$A$1:$O$95,15,0)),0,VLOOKUP($S$2492,'TAR FIN'!$A$1:$O$95,15,0))</f>
        <v>0</v>
      </c>
      <c r="W2492" s="6">
        <f>IF(ISERROR(VLOOKUP($T$2492,'TAR FIN'!$A$1:$O$95,15,0)),0,VLOOKUP($T$2492,'TAR FIN'!$A$1:$O$95,15,0))</f>
        <v>450.19</v>
      </c>
      <c r="X2492" s="6">
        <f>IF(ISERROR(VLOOKUP($U$2492,'TAR FIN'!$A$1:$O$95,15,0)),0,VLOOKUP($U$2492,'TAR FIN'!$A$1:$O$95,15,0))</f>
        <v>243.3</v>
      </c>
      <c r="Y2492" s="6"/>
      <c r="Z2492" s="6">
        <f ca="1">('TUSD BE'!$AM$53+'TUSD BF'!$AM$53+'TUSD CVA'!$AM$53)*1</f>
        <v>506.5198438752322</v>
      </c>
      <c r="AA2492" s="6">
        <f>('TE BE'!$AA$41+'TE BF'!$AA$41+'TE CVA'!$AA$41)*1</f>
        <v>297.20166373463735</v>
      </c>
      <c r="AB2492" s="6">
        <f>$K$2492*$V$2492</f>
        <v>0</v>
      </c>
      <c r="AC2492" s="6">
        <f>$M$2492*$W$2492</f>
        <v>-107996.07909999999</v>
      </c>
      <c r="AD2492" s="6">
        <f>$O$2492*$X$2492</f>
        <v>-58365.237000000001</v>
      </c>
      <c r="AE2492" s="6">
        <f>$K$2492*$Y$2492</f>
        <v>0</v>
      </c>
      <c r="AF2492" s="6">
        <f ca="1">$M$2492*$Z$2492</f>
        <v>-121509.04534722945</v>
      </c>
      <c r="AG2492" s="6">
        <f>$O$2492*$AA$2492</f>
        <v>-71295.707113302153</v>
      </c>
    </row>
    <row r="2493" spans="1:33" ht="11.25" customHeight="1" x14ac:dyDescent="0.25">
      <c r="A2493" s="4" t="s">
        <v>30</v>
      </c>
      <c r="B2493" s="4" t="s">
        <v>41</v>
      </c>
      <c r="C2493" s="4" t="s">
        <v>23</v>
      </c>
      <c r="D2493" s="4" t="s">
        <v>48</v>
      </c>
      <c r="E2493" s="4" t="s">
        <v>25</v>
      </c>
      <c r="F2493" s="4" t="s">
        <v>25</v>
      </c>
      <c r="G2493" s="4" t="s">
        <v>25</v>
      </c>
      <c r="H2493" s="4" t="s">
        <v>25</v>
      </c>
      <c r="I2493" s="5">
        <v>44409</v>
      </c>
      <c r="J2493" s="6">
        <v>0</v>
      </c>
      <c r="K2493" s="6">
        <v>0</v>
      </c>
      <c r="L2493" s="6">
        <v>27.321000000000002</v>
      </c>
      <c r="M2493" s="6">
        <v>27.321000000000002</v>
      </c>
      <c r="N2493" s="6">
        <v>27.321000000000002</v>
      </c>
      <c r="O2493" s="6">
        <v>27.321000000000002</v>
      </c>
      <c r="P2493" s="6">
        <v>3</v>
      </c>
      <c r="Q2493" s="4" t="s">
        <v>26</v>
      </c>
      <c r="R2493" s="4">
        <v>0</v>
      </c>
      <c r="S2493" s="6">
        <v>0</v>
      </c>
      <c r="T2493" s="6">
        <v>72</v>
      </c>
      <c r="U2493" s="6">
        <v>78</v>
      </c>
      <c r="V2493" s="6">
        <f>IF(ISERROR(VLOOKUP($S$2493,'TAR FIN'!$A$1:$O$95,15,0)),0,VLOOKUP($S$2493,'TAR FIN'!$A$1:$O$95,15,0))</f>
        <v>0</v>
      </c>
      <c r="W2493" s="6">
        <f>IF(ISERROR(VLOOKUP($T$2493,'TAR FIN'!$A$1:$O$95,15,0)),0,VLOOKUP($T$2493,'TAR FIN'!$A$1:$O$95,15,0))</f>
        <v>450.19</v>
      </c>
      <c r="X2493" s="6">
        <f>IF(ISERROR(VLOOKUP($U$2493,'TAR FIN'!$A$1:$O$95,15,0)),0,VLOOKUP($U$2493,'TAR FIN'!$A$1:$O$95,15,0))</f>
        <v>243.3</v>
      </c>
      <c r="Y2493" s="6"/>
      <c r="Z2493" s="6">
        <f ca="1">('TUSD BE'!$AM$53+'TUSD BF'!$AM$53+'TUSD CVA'!$AM$53)*1</f>
        <v>506.5198438752322</v>
      </c>
      <c r="AA2493" s="6">
        <f>('TE BE'!$AA$41+'TE BF'!$AA$41+'TE CVA'!$AA$41)*1</f>
        <v>297.20166373463735</v>
      </c>
      <c r="AB2493" s="6">
        <f>$K$2493*$V$2493</f>
        <v>0</v>
      </c>
      <c r="AC2493" s="6">
        <f>$M$2493*$W$2493</f>
        <v>12299.64099</v>
      </c>
      <c r="AD2493" s="6">
        <f>$O$2493*$X$2493</f>
        <v>6647.1993000000011</v>
      </c>
      <c r="AE2493" s="6">
        <f>$K$2493*$Y$2493</f>
        <v>0</v>
      </c>
      <c r="AF2493" s="6">
        <f ca="1">$M$2493*$Z$2493</f>
        <v>13838.62865451522</v>
      </c>
      <c r="AG2493" s="6">
        <f>$O$2493*$AA$2493</f>
        <v>8119.8466548940278</v>
      </c>
    </row>
    <row r="2494" spans="1:33" ht="11.25" customHeight="1" x14ac:dyDescent="0.25">
      <c r="A2494" s="4" t="s">
        <v>21</v>
      </c>
      <c r="B2494" s="4" t="s">
        <v>41</v>
      </c>
      <c r="C2494" s="4" t="s">
        <v>23</v>
      </c>
      <c r="D2494" s="4" t="s">
        <v>48</v>
      </c>
      <c r="E2494" s="4" t="s">
        <v>25</v>
      </c>
      <c r="F2494" s="4" t="s">
        <v>25</v>
      </c>
      <c r="G2494" s="4" t="s">
        <v>25</v>
      </c>
      <c r="H2494" s="4" t="s">
        <v>25</v>
      </c>
      <c r="I2494" s="5">
        <v>44440</v>
      </c>
      <c r="J2494" s="6">
        <v>0</v>
      </c>
      <c r="K2494" s="6">
        <v>0</v>
      </c>
      <c r="L2494" s="6">
        <v>6327.5519999999997</v>
      </c>
      <c r="M2494" s="6">
        <v>6327.5519999999997</v>
      </c>
      <c r="N2494" s="6">
        <v>6327.5519999999997</v>
      </c>
      <c r="O2494" s="6">
        <v>6327.5519999999997</v>
      </c>
      <c r="P2494" s="6">
        <v>2041</v>
      </c>
      <c r="Q2494" s="4" t="s">
        <v>26</v>
      </c>
      <c r="R2494" s="4">
        <v>0</v>
      </c>
      <c r="S2494" s="6">
        <v>0</v>
      </c>
      <c r="T2494" s="6">
        <v>72</v>
      </c>
      <c r="U2494" s="6">
        <v>78</v>
      </c>
      <c r="V2494" s="6">
        <f>IF(ISERROR(VLOOKUP($S$2494,'TAR FIN'!$A$1:$O$95,15,0)),0,VLOOKUP($S$2494,'TAR FIN'!$A$1:$O$95,15,0))</f>
        <v>0</v>
      </c>
      <c r="W2494" s="6">
        <f>IF(ISERROR(VLOOKUP($T$2494,'TAR FIN'!$A$1:$O$95,15,0)),0,VLOOKUP($T$2494,'TAR FIN'!$A$1:$O$95,15,0))</f>
        <v>450.19</v>
      </c>
      <c r="X2494" s="6">
        <f>IF(ISERROR(VLOOKUP($U$2494,'TAR FIN'!$A$1:$O$95,15,0)),0,VLOOKUP($U$2494,'TAR FIN'!$A$1:$O$95,15,0))</f>
        <v>243.3</v>
      </c>
      <c r="Y2494" s="6"/>
      <c r="Z2494" s="6">
        <f ca="1">('TUSD BE'!$AM$53+'TUSD BF'!$AM$53+'TUSD CVA'!$AM$53)*1</f>
        <v>506.5198438752322</v>
      </c>
      <c r="AA2494" s="6">
        <f>('TE BE'!$AA$41+'TE BF'!$AA$41+'TE CVA'!$AA$41)*1</f>
        <v>297.20166373463735</v>
      </c>
      <c r="AB2494" s="6">
        <f>$K$2494*$V$2494</f>
        <v>0</v>
      </c>
      <c r="AC2494" s="6">
        <f>$M$2494*$W$2494</f>
        <v>2848600.6348799998</v>
      </c>
      <c r="AD2494" s="6">
        <f>$O$2494*$X$2494</f>
        <v>1539493.4016</v>
      </c>
      <c r="AE2494" s="6">
        <f>$K$2494*$Y$2494</f>
        <v>0</v>
      </c>
      <c r="AF2494" s="6">
        <f ca="1">$M$2494*$Z$2494</f>
        <v>3205030.6511524129</v>
      </c>
      <c r="AG2494" s="6">
        <f>$O$2494*$AA$2494</f>
        <v>1880558.9817674318</v>
      </c>
    </row>
    <row r="2495" spans="1:33" ht="11.25" customHeight="1" x14ac:dyDescent="0.25">
      <c r="A2495" s="4" t="s">
        <v>27</v>
      </c>
      <c r="B2495" s="4" t="s">
        <v>41</v>
      </c>
      <c r="C2495" s="4" t="s">
        <v>23</v>
      </c>
      <c r="D2495" s="4" t="s">
        <v>48</v>
      </c>
      <c r="E2495" s="4" t="s">
        <v>25</v>
      </c>
      <c r="F2495" s="4" t="s">
        <v>25</v>
      </c>
      <c r="G2495" s="4" t="s">
        <v>25</v>
      </c>
      <c r="H2495" s="4" t="s">
        <v>25</v>
      </c>
      <c r="I2495" s="5">
        <v>44440</v>
      </c>
      <c r="J2495" s="6">
        <v>0</v>
      </c>
      <c r="K2495" s="6">
        <v>0</v>
      </c>
      <c r="L2495" s="6">
        <v>-44.237000000000002</v>
      </c>
      <c r="M2495" s="6">
        <v>-44.237000000000002</v>
      </c>
      <c r="N2495" s="6">
        <v>-44.237000000000002</v>
      </c>
      <c r="O2495" s="6">
        <v>-44.237000000000002</v>
      </c>
      <c r="P2495" s="6">
        <v>0</v>
      </c>
      <c r="Q2495" s="4" t="s">
        <v>26</v>
      </c>
      <c r="R2495" s="4">
        <v>0</v>
      </c>
      <c r="S2495" s="6">
        <v>0</v>
      </c>
      <c r="T2495" s="6">
        <v>72</v>
      </c>
      <c r="U2495" s="6">
        <v>78</v>
      </c>
      <c r="V2495" s="6">
        <f>IF(ISERROR(VLOOKUP($S$2495,'TAR FIN'!$A$1:$O$95,15,0)),0,VLOOKUP($S$2495,'TAR FIN'!$A$1:$O$95,15,0))</f>
        <v>0</v>
      </c>
      <c r="W2495" s="6">
        <f>IF(ISERROR(VLOOKUP($T$2495,'TAR FIN'!$A$1:$O$95,15,0)),0,VLOOKUP($T$2495,'TAR FIN'!$A$1:$O$95,15,0))</f>
        <v>450.19</v>
      </c>
      <c r="X2495" s="6">
        <f>IF(ISERROR(VLOOKUP($U$2495,'TAR FIN'!$A$1:$O$95,15,0)),0,VLOOKUP($U$2495,'TAR FIN'!$A$1:$O$95,15,0))</f>
        <v>243.3</v>
      </c>
      <c r="Y2495" s="6"/>
      <c r="Z2495" s="6">
        <f ca="1">('TUSD BE'!$AM$53+'TUSD BF'!$AM$53+'TUSD CVA'!$AM$53)*1</f>
        <v>506.5198438752322</v>
      </c>
      <c r="AA2495" s="6">
        <f>('TE BE'!$AA$41+'TE BF'!$AA$41+'TE CVA'!$AA$41)*1</f>
        <v>297.20166373463735</v>
      </c>
      <c r="AB2495" s="6">
        <f>$K$2495*$V$2495</f>
        <v>0</v>
      </c>
      <c r="AC2495" s="6">
        <f>$M$2495*$W$2495</f>
        <v>-19915.05503</v>
      </c>
      <c r="AD2495" s="6">
        <f>$O$2495*$X$2495</f>
        <v>-10762.8621</v>
      </c>
      <c r="AE2495" s="6">
        <f>$K$2495*$Y$2495</f>
        <v>0</v>
      </c>
      <c r="AF2495" s="6">
        <f ca="1">$M$2495*$Z$2495</f>
        <v>-22406.918333508649</v>
      </c>
      <c r="AG2495" s="6">
        <f>$O$2495*$AA$2495</f>
        <v>-13147.309998629153</v>
      </c>
    </row>
    <row r="2496" spans="1:33" ht="11.25" customHeight="1" x14ac:dyDescent="0.25">
      <c r="A2496" s="4" t="s">
        <v>28</v>
      </c>
      <c r="B2496" s="4" t="s">
        <v>41</v>
      </c>
      <c r="C2496" s="4" t="s">
        <v>23</v>
      </c>
      <c r="D2496" s="4" t="s">
        <v>48</v>
      </c>
      <c r="E2496" s="4" t="s">
        <v>25</v>
      </c>
      <c r="F2496" s="4" t="s">
        <v>25</v>
      </c>
      <c r="G2496" s="4" t="s">
        <v>25</v>
      </c>
      <c r="H2496" s="4" t="s">
        <v>25</v>
      </c>
      <c r="I2496" s="5">
        <v>44440</v>
      </c>
      <c r="J2496" s="6">
        <v>0</v>
      </c>
      <c r="K2496" s="6">
        <v>0</v>
      </c>
      <c r="L2496" s="6">
        <v>7807.22</v>
      </c>
      <c r="M2496" s="6">
        <v>7807.22</v>
      </c>
      <c r="N2496" s="6">
        <v>7807.22</v>
      </c>
      <c r="O2496" s="6">
        <v>7807.22</v>
      </c>
      <c r="P2496" s="6">
        <v>5989</v>
      </c>
      <c r="Q2496" s="4" t="s">
        <v>26</v>
      </c>
      <c r="R2496" s="4">
        <v>0</v>
      </c>
      <c r="S2496" s="6">
        <v>0</v>
      </c>
      <c r="T2496" s="6">
        <v>72</v>
      </c>
      <c r="U2496" s="6">
        <v>78</v>
      </c>
      <c r="V2496" s="6">
        <f>IF(ISERROR(VLOOKUP($S$2496,'TAR FIN'!$A$1:$O$95,15,0)),0,VLOOKUP($S$2496,'TAR FIN'!$A$1:$O$95,15,0))</f>
        <v>0</v>
      </c>
      <c r="W2496" s="6">
        <f>IF(ISERROR(VLOOKUP($T$2496,'TAR FIN'!$A$1:$O$95,15,0)),0,VLOOKUP($T$2496,'TAR FIN'!$A$1:$O$95,15,0))</f>
        <v>450.19</v>
      </c>
      <c r="X2496" s="6">
        <f>IF(ISERROR(VLOOKUP($U$2496,'TAR FIN'!$A$1:$O$95,15,0)),0,VLOOKUP($U$2496,'TAR FIN'!$A$1:$O$95,15,0))</f>
        <v>243.3</v>
      </c>
      <c r="Y2496" s="6"/>
      <c r="Z2496" s="6">
        <f ca="1">('TUSD BE'!$AM$53+'TUSD BF'!$AM$53+'TUSD CVA'!$AM$53)*1</f>
        <v>506.5198438752322</v>
      </c>
      <c r="AA2496" s="6">
        <f>('TE BE'!$AA$41+'TE BF'!$AA$41+'TE CVA'!$AA$41)*1</f>
        <v>297.20166373463735</v>
      </c>
      <c r="AB2496" s="6">
        <f>$K$2496*$V$2496</f>
        <v>0</v>
      </c>
      <c r="AC2496" s="6">
        <f>$M$2496*$W$2496</f>
        <v>3514732.3718000003</v>
      </c>
      <c r="AD2496" s="6">
        <f>$O$2496*$X$2496</f>
        <v>1899496.6260000002</v>
      </c>
      <c r="AE2496" s="6">
        <f>$K$2496*$Y$2496</f>
        <v>0</v>
      </c>
      <c r="AF2496" s="6">
        <f ca="1">$M$2496*$Z$2496</f>
        <v>3954511.8554995903</v>
      </c>
      <c r="AG2496" s="6">
        <f>$O$2496*$AA$2496</f>
        <v>2320318.7731423355</v>
      </c>
    </row>
    <row r="2497" spans="1:33" ht="11.25" customHeight="1" x14ac:dyDescent="0.25">
      <c r="A2497" s="4" t="s">
        <v>29</v>
      </c>
      <c r="B2497" s="4" t="s">
        <v>41</v>
      </c>
      <c r="C2497" s="4" t="s">
        <v>23</v>
      </c>
      <c r="D2497" s="4" t="s">
        <v>48</v>
      </c>
      <c r="E2497" s="4" t="s">
        <v>25</v>
      </c>
      <c r="F2497" s="4" t="s">
        <v>25</v>
      </c>
      <c r="G2497" s="4" t="s">
        <v>25</v>
      </c>
      <c r="H2497" s="4" t="s">
        <v>25</v>
      </c>
      <c r="I2497" s="5">
        <v>44440</v>
      </c>
      <c r="J2497" s="6">
        <v>0</v>
      </c>
      <c r="K2497" s="6">
        <v>0</v>
      </c>
      <c r="L2497" s="6">
        <v>-151.976</v>
      </c>
      <c r="M2497" s="6">
        <v>-151.976</v>
      </c>
      <c r="N2497" s="6">
        <v>-151.976</v>
      </c>
      <c r="O2497" s="6">
        <v>-151.976</v>
      </c>
      <c r="P2497" s="6">
        <v>0</v>
      </c>
      <c r="Q2497" s="4" t="s">
        <v>26</v>
      </c>
      <c r="R2497" s="4">
        <v>0</v>
      </c>
      <c r="S2497" s="6">
        <v>0</v>
      </c>
      <c r="T2497" s="6">
        <v>72</v>
      </c>
      <c r="U2497" s="6">
        <v>78</v>
      </c>
      <c r="V2497" s="6">
        <f>IF(ISERROR(VLOOKUP($S$2497,'TAR FIN'!$A$1:$O$95,15,0)),0,VLOOKUP($S$2497,'TAR FIN'!$A$1:$O$95,15,0))</f>
        <v>0</v>
      </c>
      <c r="W2497" s="6">
        <f>IF(ISERROR(VLOOKUP($T$2497,'TAR FIN'!$A$1:$O$95,15,0)),0,VLOOKUP($T$2497,'TAR FIN'!$A$1:$O$95,15,0))</f>
        <v>450.19</v>
      </c>
      <c r="X2497" s="6">
        <f>IF(ISERROR(VLOOKUP($U$2497,'TAR FIN'!$A$1:$O$95,15,0)),0,VLOOKUP($U$2497,'TAR FIN'!$A$1:$O$95,15,0))</f>
        <v>243.3</v>
      </c>
      <c r="Y2497" s="6"/>
      <c r="Z2497" s="6">
        <f ca="1">('TUSD BE'!$AM$53+'TUSD BF'!$AM$53+'TUSD CVA'!$AM$53)*1</f>
        <v>506.5198438752322</v>
      </c>
      <c r="AA2497" s="6">
        <f>('TE BE'!$AA$41+'TE BF'!$AA$41+'TE CVA'!$AA$41)*1</f>
        <v>297.20166373463735</v>
      </c>
      <c r="AB2497" s="6">
        <f>$K$2497*$V$2497</f>
        <v>0</v>
      </c>
      <c r="AC2497" s="6">
        <f>$M$2497*$W$2497</f>
        <v>-68418.075440000001</v>
      </c>
      <c r="AD2497" s="6">
        <f>$O$2497*$X$2497</f>
        <v>-36975.760800000004</v>
      </c>
      <c r="AE2497" s="6">
        <f>$K$2497*$Y$2497</f>
        <v>0</v>
      </c>
      <c r="AF2497" s="6">
        <f ca="1">$M$2497*$Z$2497</f>
        <v>-76978.859792782285</v>
      </c>
      <c r="AG2497" s="6">
        <f>$O$2497*$AA$2497</f>
        <v>-45167.520047735248</v>
      </c>
    </row>
    <row r="2498" spans="1:33" ht="11.25" customHeight="1" x14ac:dyDescent="0.25">
      <c r="A2498" s="4" t="s">
        <v>30</v>
      </c>
      <c r="B2498" s="4" t="s">
        <v>41</v>
      </c>
      <c r="C2498" s="4" t="s">
        <v>23</v>
      </c>
      <c r="D2498" s="4" t="s">
        <v>48</v>
      </c>
      <c r="E2498" s="4" t="s">
        <v>25</v>
      </c>
      <c r="F2498" s="4" t="s">
        <v>25</v>
      </c>
      <c r="G2498" s="4" t="s">
        <v>25</v>
      </c>
      <c r="H2498" s="4" t="s">
        <v>25</v>
      </c>
      <c r="I2498" s="5">
        <v>44440</v>
      </c>
      <c r="J2498" s="6">
        <v>0</v>
      </c>
      <c r="K2498" s="6">
        <v>0</v>
      </c>
      <c r="L2498" s="6">
        <v>8.2569999999999997</v>
      </c>
      <c r="M2498" s="6">
        <v>8.2569999999999997</v>
      </c>
      <c r="N2498" s="6">
        <v>8.2569999999999997</v>
      </c>
      <c r="O2498" s="6">
        <v>8.2569999999999997</v>
      </c>
      <c r="P2498" s="6">
        <v>3</v>
      </c>
      <c r="Q2498" s="4" t="s">
        <v>26</v>
      </c>
      <c r="R2498" s="4">
        <v>0</v>
      </c>
      <c r="S2498" s="6">
        <v>0</v>
      </c>
      <c r="T2498" s="6">
        <v>72</v>
      </c>
      <c r="U2498" s="6">
        <v>78</v>
      </c>
      <c r="V2498" s="6">
        <f>IF(ISERROR(VLOOKUP($S$2498,'TAR FIN'!$A$1:$O$95,15,0)),0,VLOOKUP($S$2498,'TAR FIN'!$A$1:$O$95,15,0))</f>
        <v>0</v>
      </c>
      <c r="W2498" s="6">
        <f>IF(ISERROR(VLOOKUP($T$2498,'TAR FIN'!$A$1:$O$95,15,0)),0,VLOOKUP($T$2498,'TAR FIN'!$A$1:$O$95,15,0))</f>
        <v>450.19</v>
      </c>
      <c r="X2498" s="6">
        <f>IF(ISERROR(VLOOKUP($U$2498,'TAR FIN'!$A$1:$O$95,15,0)),0,VLOOKUP($U$2498,'TAR FIN'!$A$1:$O$95,15,0))</f>
        <v>243.3</v>
      </c>
      <c r="Y2498" s="6"/>
      <c r="Z2498" s="6">
        <f ca="1">('TUSD BE'!$AM$53+'TUSD BF'!$AM$53+'TUSD CVA'!$AM$53)*1</f>
        <v>506.5198438752322</v>
      </c>
      <c r="AA2498" s="6">
        <f>('TE BE'!$AA$41+'TE BF'!$AA$41+'TE CVA'!$AA$41)*1</f>
        <v>297.20166373463735</v>
      </c>
      <c r="AB2498" s="6">
        <f>$K$2498*$V$2498</f>
        <v>0</v>
      </c>
      <c r="AC2498" s="6">
        <f>$M$2498*$W$2498</f>
        <v>3717.2188299999998</v>
      </c>
      <c r="AD2498" s="6">
        <f>$O$2498*$X$2498</f>
        <v>2008.9281000000001</v>
      </c>
      <c r="AE2498" s="6">
        <f>$K$2498*$Y$2498</f>
        <v>0</v>
      </c>
      <c r="AF2498" s="6">
        <f ca="1">$M$2498*$Z$2498</f>
        <v>4182.3343508777925</v>
      </c>
      <c r="AG2498" s="6">
        <f>$O$2498*$AA$2498</f>
        <v>2453.9941374569007</v>
      </c>
    </row>
    <row r="2499" spans="1:33" ht="11.25" customHeight="1" x14ac:dyDescent="0.25">
      <c r="A2499" s="4" t="s">
        <v>30</v>
      </c>
      <c r="B2499" s="4" t="s">
        <v>41</v>
      </c>
      <c r="C2499" s="4" t="s">
        <v>23</v>
      </c>
      <c r="D2499" s="4" t="s">
        <v>48</v>
      </c>
      <c r="E2499" s="4" t="s">
        <v>25</v>
      </c>
      <c r="F2499" s="4" t="s">
        <v>25</v>
      </c>
      <c r="G2499" s="4" t="s">
        <v>25</v>
      </c>
      <c r="H2499" s="4" t="s">
        <v>25</v>
      </c>
      <c r="I2499" s="5">
        <v>44440</v>
      </c>
      <c r="J2499" s="6">
        <v>0</v>
      </c>
      <c r="K2499" s="6">
        <v>0</v>
      </c>
      <c r="L2499" s="6">
        <v>-19.922000000000001</v>
      </c>
      <c r="M2499" s="6">
        <v>-19.922000000000001</v>
      </c>
      <c r="N2499" s="6">
        <v>-19.922000000000001</v>
      </c>
      <c r="O2499" s="6">
        <v>-19.922000000000001</v>
      </c>
      <c r="P2499" s="6">
        <v>0</v>
      </c>
      <c r="Q2499" s="4" t="s">
        <v>26</v>
      </c>
      <c r="R2499" s="4">
        <v>0</v>
      </c>
      <c r="S2499" s="6">
        <v>0</v>
      </c>
      <c r="T2499" s="6">
        <v>72</v>
      </c>
      <c r="U2499" s="6">
        <v>78</v>
      </c>
      <c r="V2499" s="6">
        <f>IF(ISERROR(VLOOKUP($S$2499,'TAR FIN'!$A$1:$O$95,15,0)),0,VLOOKUP($S$2499,'TAR FIN'!$A$1:$O$95,15,0))</f>
        <v>0</v>
      </c>
      <c r="W2499" s="6">
        <f>IF(ISERROR(VLOOKUP($T$2499,'TAR FIN'!$A$1:$O$95,15,0)),0,VLOOKUP($T$2499,'TAR FIN'!$A$1:$O$95,15,0))</f>
        <v>450.19</v>
      </c>
      <c r="X2499" s="6">
        <f>IF(ISERROR(VLOOKUP($U$2499,'TAR FIN'!$A$1:$O$95,15,0)),0,VLOOKUP($U$2499,'TAR FIN'!$A$1:$O$95,15,0))</f>
        <v>243.3</v>
      </c>
      <c r="Y2499" s="6"/>
      <c r="Z2499" s="6">
        <f ca="1">('TUSD BE'!$AM$53+'TUSD BF'!$AM$53+'TUSD CVA'!$AM$53)*1</f>
        <v>506.5198438752322</v>
      </c>
      <c r="AA2499" s="6">
        <f>('TE BE'!$AA$41+'TE BF'!$AA$41+'TE CVA'!$AA$41)*1</f>
        <v>297.20166373463735</v>
      </c>
      <c r="AB2499" s="6">
        <f>$K$2499*$V$2499</f>
        <v>0</v>
      </c>
      <c r="AC2499" s="6">
        <f>$M$2499*$W$2499</f>
        <v>-8968.6851800000004</v>
      </c>
      <c r="AD2499" s="6">
        <f>$O$2499*$X$2499</f>
        <v>-4847.0226000000002</v>
      </c>
      <c r="AE2499" s="6">
        <f>$K$2499*$Y$2499</f>
        <v>0</v>
      </c>
      <c r="AF2499" s="6">
        <f ca="1">$M$2499*$Z$2499</f>
        <v>-10090.888329682377</v>
      </c>
      <c r="AG2499" s="6">
        <f>$O$2499*$AA$2499</f>
        <v>-5920.8515449214456</v>
      </c>
    </row>
    <row r="2500" spans="1:33" ht="11.25" customHeight="1" x14ac:dyDescent="0.25">
      <c r="A2500" s="4" t="s">
        <v>59</v>
      </c>
      <c r="B2500" s="4" t="s">
        <v>41</v>
      </c>
      <c r="C2500" s="4" t="s">
        <v>23</v>
      </c>
      <c r="D2500" s="4" t="s">
        <v>48</v>
      </c>
      <c r="E2500" s="4" t="s">
        <v>25</v>
      </c>
      <c r="F2500" s="4" t="s">
        <v>25</v>
      </c>
      <c r="G2500" s="4" t="s">
        <v>25</v>
      </c>
      <c r="H2500" s="4" t="s">
        <v>25</v>
      </c>
      <c r="I2500" s="5">
        <v>44470</v>
      </c>
      <c r="J2500" s="6">
        <v>0</v>
      </c>
      <c r="K2500" s="6">
        <v>0</v>
      </c>
      <c r="L2500" s="6">
        <v>6327.5519999999997</v>
      </c>
      <c r="M2500" s="6">
        <v>6327.5519999999997</v>
      </c>
      <c r="N2500" s="6">
        <v>6327.5519999999997</v>
      </c>
      <c r="O2500" s="6">
        <v>6327.5519999999997</v>
      </c>
      <c r="P2500" s="6">
        <v>2041</v>
      </c>
      <c r="Q2500" s="4" t="s">
        <v>26</v>
      </c>
      <c r="R2500" s="4">
        <v>0</v>
      </c>
      <c r="S2500" s="6">
        <v>0</v>
      </c>
      <c r="T2500" s="6">
        <v>72</v>
      </c>
      <c r="U2500" s="6">
        <v>78</v>
      </c>
      <c r="V2500" s="6">
        <f>IF(ISERROR(VLOOKUP($S$2500,'TAR FIN'!$A$1:$O$95,15,0)),0,VLOOKUP($S$2500,'TAR FIN'!$A$1:$O$95,15,0))</f>
        <v>0</v>
      </c>
      <c r="W2500" s="6">
        <f>IF(ISERROR(VLOOKUP($T$2500,'TAR FIN'!$A$1:$O$95,15,0)),0,VLOOKUP($T$2500,'TAR FIN'!$A$1:$O$95,15,0))</f>
        <v>450.19</v>
      </c>
      <c r="X2500" s="6">
        <f>IF(ISERROR(VLOOKUP($U$2500,'TAR FIN'!$A$1:$O$95,15,0)),0,VLOOKUP($U$2500,'TAR FIN'!$A$1:$O$95,15,0))</f>
        <v>243.3</v>
      </c>
      <c r="Y2500" s="6"/>
      <c r="Z2500" s="6">
        <f ca="1">('TUSD BE'!$AM$53+'TUSD BF'!$AM$53+'TUSD CVA'!$AM$53)*1</f>
        <v>506.5198438752322</v>
      </c>
      <c r="AA2500" s="6">
        <f>('TE BE'!$AA$41+'TE BF'!$AA$41+'TE CVA'!$AA$41)*1</f>
        <v>297.20166373463735</v>
      </c>
      <c r="AB2500" s="6">
        <f>$K$2500*$V$2500</f>
        <v>0</v>
      </c>
      <c r="AC2500" s="6">
        <f>$M$2500*$W$2500</f>
        <v>2848600.6348799998</v>
      </c>
      <c r="AD2500" s="6">
        <f>$O$2500*$X$2500</f>
        <v>1539493.4016</v>
      </c>
      <c r="AE2500" s="6">
        <f>$K$2500*$Y$2500</f>
        <v>0</v>
      </c>
      <c r="AF2500" s="6">
        <f ca="1">$M$2500*$Z$2500</f>
        <v>3205030.6511524129</v>
      </c>
      <c r="AG2500" s="6">
        <f>$O$2500*$AA$2500</f>
        <v>1880558.9817674318</v>
      </c>
    </row>
    <row r="2501" spans="1:33" ht="11.25" customHeight="1" x14ac:dyDescent="0.25">
      <c r="A2501" s="4" t="s">
        <v>59</v>
      </c>
      <c r="B2501" s="4" t="s">
        <v>41</v>
      </c>
      <c r="C2501" s="4" t="s">
        <v>23</v>
      </c>
      <c r="D2501" s="4" t="s">
        <v>48</v>
      </c>
      <c r="E2501" s="4" t="s">
        <v>25</v>
      </c>
      <c r="F2501" s="4" t="s">
        <v>25</v>
      </c>
      <c r="G2501" s="4" t="s">
        <v>25</v>
      </c>
      <c r="H2501" s="4" t="s">
        <v>25</v>
      </c>
      <c r="I2501" s="5">
        <v>44470</v>
      </c>
      <c r="J2501" s="6">
        <v>0</v>
      </c>
      <c r="K2501" s="6">
        <v>0</v>
      </c>
      <c r="L2501" s="6">
        <v>-44.237000000000002</v>
      </c>
      <c r="M2501" s="6">
        <v>-44.237000000000002</v>
      </c>
      <c r="N2501" s="6">
        <v>-44.237000000000002</v>
      </c>
      <c r="O2501" s="6">
        <v>-44.237000000000002</v>
      </c>
      <c r="P2501" s="6">
        <v>0</v>
      </c>
      <c r="Q2501" s="4" t="s">
        <v>26</v>
      </c>
      <c r="R2501" s="4">
        <v>0</v>
      </c>
      <c r="S2501" s="6">
        <v>0</v>
      </c>
      <c r="T2501" s="6">
        <v>72</v>
      </c>
      <c r="U2501" s="6">
        <v>78</v>
      </c>
      <c r="V2501" s="6">
        <f>IF(ISERROR(VLOOKUP($S$2501,'TAR FIN'!$A$1:$O$95,15,0)),0,VLOOKUP($S$2501,'TAR FIN'!$A$1:$O$95,15,0))</f>
        <v>0</v>
      </c>
      <c r="W2501" s="6">
        <f>IF(ISERROR(VLOOKUP($T$2501,'TAR FIN'!$A$1:$O$95,15,0)),0,VLOOKUP($T$2501,'TAR FIN'!$A$1:$O$95,15,0))</f>
        <v>450.19</v>
      </c>
      <c r="X2501" s="6">
        <f>IF(ISERROR(VLOOKUP($U$2501,'TAR FIN'!$A$1:$O$95,15,0)),0,VLOOKUP($U$2501,'TAR FIN'!$A$1:$O$95,15,0))</f>
        <v>243.3</v>
      </c>
      <c r="Y2501" s="6"/>
      <c r="Z2501" s="6">
        <f ca="1">('TUSD BE'!$AM$53+'TUSD BF'!$AM$53+'TUSD CVA'!$AM$53)*1</f>
        <v>506.5198438752322</v>
      </c>
      <c r="AA2501" s="6">
        <f>('TE BE'!$AA$41+'TE BF'!$AA$41+'TE CVA'!$AA$41)*1</f>
        <v>297.20166373463735</v>
      </c>
      <c r="AB2501" s="6">
        <f>$K$2501*$V$2501</f>
        <v>0</v>
      </c>
      <c r="AC2501" s="6">
        <f>$M$2501*$W$2501</f>
        <v>-19915.05503</v>
      </c>
      <c r="AD2501" s="6">
        <f>$O$2501*$X$2501</f>
        <v>-10762.8621</v>
      </c>
      <c r="AE2501" s="6">
        <f>$K$2501*$Y$2501</f>
        <v>0</v>
      </c>
      <c r="AF2501" s="6">
        <f ca="1">$M$2501*$Z$2501</f>
        <v>-22406.918333508649</v>
      </c>
      <c r="AG2501" s="6">
        <f>$O$2501*$AA$2501</f>
        <v>-13147.309998629153</v>
      </c>
    </row>
    <row r="2502" spans="1:33" ht="11.25" customHeight="1" x14ac:dyDescent="0.25">
      <c r="A2502" s="4" t="s">
        <v>59</v>
      </c>
      <c r="B2502" s="4" t="s">
        <v>41</v>
      </c>
      <c r="C2502" s="4" t="s">
        <v>23</v>
      </c>
      <c r="D2502" s="4" t="s">
        <v>48</v>
      </c>
      <c r="E2502" s="4" t="s">
        <v>25</v>
      </c>
      <c r="F2502" s="4" t="s">
        <v>25</v>
      </c>
      <c r="G2502" s="4" t="s">
        <v>25</v>
      </c>
      <c r="H2502" s="4" t="s">
        <v>25</v>
      </c>
      <c r="I2502" s="5">
        <v>44470</v>
      </c>
      <c r="J2502" s="6">
        <v>0</v>
      </c>
      <c r="K2502" s="6">
        <v>0</v>
      </c>
      <c r="L2502" s="6">
        <v>7807.22</v>
      </c>
      <c r="M2502" s="6">
        <v>7807.22</v>
      </c>
      <c r="N2502" s="6">
        <v>7807.22</v>
      </c>
      <c r="O2502" s="6">
        <v>7807.22</v>
      </c>
      <c r="P2502" s="6">
        <v>5989</v>
      </c>
      <c r="Q2502" s="4" t="s">
        <v>26</v>
      </c>
      <c r="R2502" s="4">
        <v>0</v>
      </c>
      <c r="S2502" s="6">
        <v>0</v>
      </c>
      <c r="T2502" s="6">
        <v>72</v>
      </c>
      <c r="U2502" s="6">
        <v>78</v>
      </c>
      <c r="V2502" s="6">
        <f>IF(ISERROR(VLOOKUP($S$2502,'TAR FIN'!$A$1:$O$95,15,0)),0,VLOOKUP($S$2502,'TAR FIN'!$A$1:$O$95,15,0))</f>
        <v>0</v>
      </c>
      <c r="W2502" s="6">
        <f>IF(ISERROR(VLOOKUP($T$2502,'TAR FIN'!$A$1:$O$95,15,0)),0,VLOOKUP($T$2502,'TAR FIN'!$A$1:$O$95,15,0))</f>
        <v>450.19</v>
      </c>
      <c r="X2502" s="6">
        <f>IF(ISERROR(VLOOKUP($U$2502,'TAR FIN'!$A$1:$O$95,15,0)),0,VLOOKUP($U$2502,'TAR FIN'!$A$1:$O$95,15,0))</f>
        <v>243.3</v>
      </c>
      <c r="Y2502" s="6"/>
      <c r="Z2502" s="6">
        <f ca="1">('TUSD BE'!$AM$53+'TUSD BF'!$AM$53+'TUSD CVA'!$AM$53)*1</f>
        <v>506.5198438752322</v>
      </c>
      <c r="AA2502" s="6">
        <f>('TE BE'!$AA$41+'TE BF'!$AA$41+'TE CVA'!$AA$41)*1</f>
        <v>297.20166373463735</v>
      </c>
      <c r="AB2502" s="6">
        <f>$K$2502*$V$2502</f>
        <v>0</v>
      </c>
      <c r="AC2502" s="6">
        <f>$M$2502*$W$2502</f>
        <v>3514732.3718000003</v>
      </c>
      <c r="AD2502" s="6">
        <f>$O$2502*$X$2502</f>
        <v>1899496.6260000002</v>
      </c>
      <c r="AE2502" s="6">
        <f>$K$2502*$Y$2502</f>
        <v>0</v>
      </c>
      <c r="AF2502" s="6">
        <f ca="1">$M$2502*$Z$2502</f>
        <v>3954511.8554995903</v>
      </c>
      <c r="AG2502" s="6">
        <f>$O$2502*$AA$2502</f>
        <v>2320318.7731423355</v>
      </c>
    </row>
    <row r="2503" spans="1:33" ht="11.25" customHeight="1" x14ac:dyDescent="0.25">
      <c r="A2503" s="4" t="s">
        <v>59</v>
      </c>
      <c r="B2503" s="4" t="s">
        <v>41</v>
      </c>
      <c r="C2503" s="4" t="s">
        <v>23</v>
      </c>
      <c r="D2503" s="4" t="s">
        <v>48</v>
      </c>
      <c r="E2503" s="4" t="s">
        <v>25</v>
      </c>
      <c r="F2503" s="4" t="s">
        <v>25</v>
      </c>
      <c r="G2503" s="4" t="s">
        <v>25</v>
      </c>
      <c r="H2503" s="4" t="s">
        <v>25</v>
      </c>
      <c r="I2503" s="5">
        <v>44470</v>
      </c>
      <c r="J2503" s="6">
        <v>0</v>
      </c>
      <c r="K2503" s="6">
        <v>0</v>
      </c>
      <c r="L2503" s="6">
        <v>-151.976</v>
      </c>
      <c r="M2503" s="6">
        <v>-151.976</v>
      </c>
      <c r="N2503" s="6">
        <v>-151.976</v>
      </c>
      <c r="O2503" s="6">
        <v>-151.976</v>
      </c>
      <c r="P2503" s="6">
        <v>0</v>
      </c>
      <c r="Q2503" s="4" t="s">
        <v>26</v>
      </c>
      <c r="R2503" s="4">
        <v>0</v>
      </c>
      <c r="S2503" s="6">
        <v>0</v>
      </c>
      <c r="T2503" s="6">
        <v>72</v>
      </c>
      <c r="U2503" s="6">
        <v>78</v>
      </c>
      <c r="V2503" s="6">
        <f>IF(ISERROR(VLOOKUP($S$2503,'TAR FIN'!$A$1:$O$95,15,0)),0,VLOOKUP($S$2503,'TAR FIN'!$A$1:$O$95,15,0))</f>
        <v>0</v>
      </c>
      <c r="W2503" s="6">
        <f>IF(ISERROR(VLOOKUP($T$2503,'TAR FIN'!$A$1:$O$95,15,0)),0,VLOOKUP($T$2503,'TAR FIN'!$A$1:$O$95,15,0))</f>
        <v>450.19</v>
      </c>
      <c r="X2503" s="6">
        <f>IF(ISERROR(VLOOKUP($U$2503,'TAR FIN'!$A$1:$O$95,15,0)),0,VLOOKUP($U$2503,'TAR FIN'!$A$1:$O$95,15,0))</f>
        <v>243.3</v>
      </c>
      <c r="Y2503" s="6"/>
      <c r="Z2503" s="6">
        <f ca="1">('TUSD BE'!$AM$53+'TUSD BF'!$AM$53+'TUSD CVA'!$AM$53)*1</f>
        <v>506.5198438752322</v>
      </c>
      <c r="AA2503" s="6">
        <f>('TE BE'!$AA$41+'TE BF'!$AA$41+'TE CVA'!$AA$41)*1</f>
        <v>297.20166373463735</v>
      </c>
      <c r="AB2503" s="6">
        <f>$K$2503*$V$2503</f>
        <v>0</v>
      </c>
      <c r="AC2503" s="6">
        <f>$M$2503*$W$2503</f>
        <v>-68418.075440000001</v>
      </c>
      <c r="AD2503" s="6">
        <f>$O$2503*$X$2503</f>
        <v>-36975.760800000004</v>
      </c>
      <c r="AE2503" s="6">
        <f>$K$2503*$Y$2503</f>
        <v>0</v>
      </c>
      <c r="AF2503" s="6">
        <f ca="1">$M$2503*$Z$2503</f>
        <v>-76978.859792782285</v>
      </c>
      <c r="AG2503" s="6">
        <f>$O$2503*$AA$2503</f>
        <v>-45167.520047735248</v>
      </c>
    </row>
    <row r="2504" spans="1:33" ht="11.25" customHeight="1" x14ac:dyDescent="0.25">
      <c r="A2504" s="4" t="s">
        <v>59</v>
      </c>
      <c r="B2504" s="4" t="s">
        <v>41</v>
      </c>
      <c r="C2504" s="4" t="s">
        <v>23</v>
      </c>
      <c r="D2504" s="4" t="s">
        <v>48</v>
      </c>
      <c r="E2504" s="4" t="s">
        <v>25</v>
      </c>
      <c r="F2504" s="4" t="s">
        <v>25</v>
      </c>
      <c r="G2504" s="4" t="s">
        <v>25</v>
      </c>
      <c r="H2504" s="4" t="s">
        <v>25</v>
      </c>
      <c r="I2504" s="5">
        <v>44470</v>
      </c>
      <c r="J2504" s="6">
        <v>0</v>
      </c>
      <c r="K2504" s="6">
        <v>0</v>
      </c>
      <c r="L2504" s="6">
        <v>8.2569999999999997</v>
      </c>
      <c r="M2504" s="6">
        <v>8.2569999999999997</v>
      </c>
      <c r="N2504" s="6">
        <v>8.2569999999999997</v>
      </c>
      <c r="O2504" s="6">
        <v>8.2569999999999997</v>
      </c>
      <c r="P2504" s="6">
        <v>3</v>
      </c>
      <c r="Q2504" s="4" t="s">
        <v>26</v>
      </c>
      <c r="R2504" s="4">
        <v>0</v>
      </c>
      <c r="S2504" s="6">
        <v>0</v>
      </c>
      <c r="T2504" s="6">
        <v>72</v>
      </c>
      <c r="U2504" s="6">
        <v>78</v>
      </c>
      <c r="V2504" s="6">
        <f>IF(ISERROR(VLOOKUP($S$2504,'TAR FIN'!$A$1:$O$95,15,0)),0,VLOOKUP($S$2504,'TAR FIN'!$A$1:$O$95,15,0))</f>
        <v>0</v>
      </c>
      <c r="W2504" s="6">
        <f>IF(ISERROR(VLOOKUP($T$2504,'TAR FIN'!$A$1:$O$95,15,0)),0,VLOOKUP($T$2504,'TAR FIN'!$A$1:$O$95,15,0))</f>
        <v>450.19</v>
      </c>
      <c r="X2504" s="6">
        <f>IF(ISERROR(VLOOKUP($U$2504,'TAR FIN'!$A$1:$O$95,15,0)),0,VLOOKUP($U$2504,'TAR FIN'!$A$1:$O$95,15,0))</f>
        <v>243.3</v>
      </c>
      <c r="Y2504" s="6"/>
      <c r="Z2504" s="6">
        <f ca="1">('TUSD BE'!$AM$53+'TUSD BF'!$AM$53+'TUSD CVA'!$AM$53)*1</f>
        <v>506.5198438752322</v>
      </c>
      <c r="AA2504" s="6">
        <f>('TE BE'!$AA$41+'TE BF'!$AA$41+'TE CVA'!$AA$41)*1</f>
        <v>297.20166373463735</v>
      </c>
      <c r="AB2504" s="6">
        <f>$K$2504*$V$2504</f>
        <v>0</v>
      </c>
      <c r="AC2504" s="6">
        <f>$M$2504*$W$2504</f>
        <v>3717.2188299999998</v>
      </c>
      <c r="AD2504" s="6">
        <f>$O$2504*$X$2504</f>
        <v>2008.9281000000001</v>
      </c>
      <c r="AE2504" s="6">
        <f>$K$2504*$Y$2504</f>
        <v>0</v>
      </c>
      <c r="AF2504" s="6">
        <f ca="1">$M$2504*$Z$2504</f>
        <v>4182.3343508777925</v>
      </c>
      <c r="AG2504" s="6">
        <f>$O$2504*$AA$2504</f>
        <v>2453.9941374569007</v>
      </c>
    </row>
    <row r="2505" spans="1:33" ht="11.25" customHeight="1" x14ac:dyDescent="0.25">
      <c r="A2505" s="4" t="s">
        <v>59</v>
      </c>
      <c r="B2505" s="4" t="s">
        <v>41</v>
      </c>
      <c r="C2505" s="4" t="s">
        <v>23</v>
      </c>
      <c r="D2505" s="4" t="s">
        <v>48</v>
      </c>
      <c r="E2505" s="4" t="s">
        <v>25</v>
      </c>
      <c r="F2505" s="4" t="s">
        <v>25</v>
      </c>
      <c r="G2505" s="4" t="s">
        <v>25</v>
      </c>
      <c r="H2505" s="4" t="s">
        <v>25</v>
      </c>
      <c r="I2505" s="5">
        <v>44470</v>
      </c>
      <c r="J2505" s="6">
        <v>0</v>
      </c>
      <c r="K2505" s="6">
        <v>0</v>
      </c>
      <c r="L2505" s="6">
        <v>-19.922000000000001</v>
      </c>
      <c r="M2505" s="6">
        <v>-19.922000000000001</v>
      </c>
      <c r="N2505" s="6">
        <v>-19.922000000000001</v>
      </c>
      <c r="O2505" s="6">
        <v>-19.922000000000001</v>
      </c>
      <c r="P2505" s="6">
        <v>0</v>
      </c>
      <c r="Q2505" s="4" t="s">
        <v>26</v>
      </c>
      <c r="R2505" s="4">
        <v>0</v>
      </c>
      <c r="S2505" s="6">
        <v>0</v>
      </c>
      <c r="T2505" s="6">
        <v>72</v>
      </c>
      <c r="U2505" s="6">
        <v>78</v>
      </c>
      <c r="V2505" s="6">
        <f>IF(ISERROR(VLOOKUP($S$2505,'TAR FIN'!$A$1:$O$95,15,0)),0,VLOOKUP($S$2505,'TAR FIN'!$A$1:$O$95,15,0))</f>
        <v>0</v>
      </c>
      <c r="W2505" s="6">
        <f>IF(ISERROR(VLOOKUP($T$2505,'TAR FIN'!$A$1:$O$95,15,0)),0,VLOOKUP($T$2505,'TAR FIN'!$A$1:$O$95,15,0))</f>
        <v>450.19</v>
      </c>
      <c r="X2505" s="6">
        <f>IF(ISERROR(VLOOKUP($U$2505,'TAR FIN'!$A$1:$O$95,15,0)),0,VLOOKUP($U$2505,'TAR FIN'!$A$1:$O$95,15,0))</f>
        <v>243.3</v>
      </c>
      <c r="Y2505" s="6"/>
      <c r="Z2505" s="6">
        <f ca="1">('TUSD BE'!$AM$53+'TUSD BF'!$AM$53+'TUSD CVA'!$AM$53)*1</f>
        <v>506.5198438752322</v>
      </c>
      <c r="AA2505" s="6">
        <f>('TE BE'!$AA$41+'TE BF'!$AA$41+'TE CVA'!$AA$41)*1</f>
        <v>297.20166373463735</v>
      </c>
      <c r="AB2505" s="6">
        <f>$K$2505*$V$2505</f>
        <v>0</v>
      </c>
      <c r="AC2505" s="6">
        <f>$M$2505*$W$2505</f>
        <v>-8968.6851800000004</v>
      </c>
      <c r="AD2505" s="6">
        <f>$O$2505*$X$2505</f>
        <v>-4847.0226000000002</v>
      </c>
      <c r="AE2505" s="6">
        <f>$K$2505*$Y$2505</f>
        <v>0</v>
      </c>
      <c r="AF2505" s="6">
        <f ca="1">$M$2505*$Z$2505</f>
        <v>-10090.888329682377</v>
      </c>
      <c r="AG2505" s="6">
        <f>$O$2505*$AA$2505</f>
        <v>-5920.8515449214456</v>
      </c>
    </row>
    <row r="2506" spans="1:33" ht="11.25" customHeight="1" x14ac:dyDescent="0.25">
      <c r="A2506" s="4" t="s">
        <v>21</v>
      </c>
      <c r="B2506" s="4" t="s">
        <v>41</v>
      </c>
      <c r="C2506" s="4" t="s">
        <v>23</v>
      </c>
      <c r="D2506" s="4" t="s">
        <v>52</v>
      </c>
      <c r="E2506" s="4" t="s">
        <v>53</v>
      </c>
      <c r="F2506" s="4" t="s">
        <v>25</v>
      </c>
      <c r="G2506" s="4" t="s">
        <v>25</v>
      </c>
      <c r="H2506" s="4" t="s">
        <v>25</v>
      </c>
      <c r="I2506" s="5">
        <v>44136</v>
      </c>
      <c r="J2506" s="6">
        <v>0</v>
      </c>
      <c r="K2506" s="77">
        <v>0</v>
      </c>
      <c r="L2506" s="6">
        <v>795.45899999999995</v>
      </c>
      <c r="M2506" s="77">
        <v>795.45899999999995</v>
      </c>
      <c r="N2506" s="6">
        <v>795.45899999999995</v>
      </c>
      <c r="O2506" s="77">
        <v>795.45899999999995</v>
      </c>
      <c r="P2506" s="6">
        <v>208</v>
      </c>
      <c r="Q2506" s="4" t="s">
        <v>26</v>
      </c>
      <c r="R2506" s="4">
        <v>0</v>
      </c>
      <c r="S2506" s="6">
        <v>0</v>
      </c>
      <c r="T2506" s="6">
        <v>72</v>
      </c>
      <c r="U2506" s="6">
        <v>78</v>
      </c>
      <c r="V2506" s="77">
        <f>IF(ISERROR(VLOOKUP($S$2506,'TAR FIN'!$A$1:$O$95,15,0)),0,VLOOKUP($S$2506,'TAR FIN'!$A$1:$O$95,15,0))</f>
        <v>0</v>
      </c>
      <c r="W2506" s="77">
        <f>IF(ISERROR(VLOOKUP($T$2506,'TAR FIN'!$A$1:$O$95,15,0)),0,VLOOKUP($T$2506,'TAR FIN'!$A$1:$O$95,15,0))*(1-0.09)</f>
        <v>409.67290000000003</v>
      </c>
      <c r="X2506" s="77">
        <f>IF(ISERROR(VLOOKUP($U$2506,'TAR FIN'!$A$1:$O$95,15,0)),0,VLOOKUP($U$2506,'TAR FIN'!$A$1:$O$95,15,0))*(1-0.09)</f>
        <v>221.40300000000002</v>
      </c>
      <c r="Y2506" s="77"/>
      <c r="Z2506" s="77">
        <f ca="1">('TUSD BE'!$AM$53+'TUSD BF'!$AM$53+'TUSD CVA'!$AM$53)*1*(1-0.06)</f>
        <v>476.12865324271826</v>
      </c>
      <c r="AA2506" s="77">
        <f>('TE BE'!$AA$41+'TE BF'!$AA$41+'TE CVA'!$AA$41)*1*(1-0.06)</f>
        <v>279.36956391055907</v>
      </c>
      <c r="AB2506" s="6">
        <f>$K$2506*$V$2506</f>
        <v>0</v>
      </c>
      <c r="AC2506" s="6">
        <f>$M$2506*$W$2506</f>
        <v>325877.99536110001</v>
      </c>
      <c r="AD2506" s="6">
        <f>$O$2506*$X$2506</f>
        <v>176117.00897699999</v>
      </c>
      <c r="AE2506" s="6">
        <f>$K$2506*$Y$2506</f>
        <v>0</v>
      </c>
      <c r="AF2506" s="6">
        <f ca="1">$M$2506*$Z$2506</f>
        <v>378740.82237979939</v>
      </c>
      <c r="AG2506" s="6">
        <f>$O$2506*$AA$2506</f>
        <v>222227.03393872938</v>
      </c>
    </row>
    <row r="2507" spans="1:33" ht="11.25" customHeight="1" x14ac:dyDescent="0.25">
      <c r="A2507" s="4" t="s">
        <v>27</v>
      </c>
      <c r="B2507" s="4" t="s">
        <v>41</v>
      </c>
      <c r="C2507" s="4" t="s">
        <v>23</v>
      </c>
      <c r="D2507" s="4" t="s">
        <v>52</v>
      </c>
      <c r="E2507" s="4" t="s">
        <v>53</v>
      </c>
      <c r="F2507" s="4" t="s">
        <v>25</v>
      </c>
      <c r="G2507" s="4" t="s">
        <v>25</v>
      </c>
      <c r="H2507" s="4" t="s">
        <v>25</v>
      </c>
      <c r="I2507" s="5">
        <v>44136</v>
      </c>
      <c r="J2507" s="6">
        <v>0</v>
      </c>
      <c r="K2507" s="77">
        <v>0</v>
      </c>
      <c r="L2507" s="6">
        <v>1.8360000000000001</v>
      </c>
      <c r="M2507" s="77">
        <v>1.8360000000000001</v>
      </c>
      <c r="N2507" s="6">
        <v>1.8360000000000001</v>
      </c>
      <c r="O2507" s="77">
        <v>1.8360000000000001</v>
      </c>
      <c r="P2507" s="6">
        <v>0</v>
      </c>
      <c r="Q2507" s="4" t="s">
        <v>26</v>
      </c>
      <c r="R2507" s="4">
        <v>0</v>
      </c>
      <c r="S2507" s="6">
        <v>0</v>
      </c>
      <c r="T2507" s="6">
        <v>72</v>
      </c>
      <c r="U2507" s="6">
        <v>78</v>
      </c>
      <c r="V2507" s="77">
        <f>IF(ISERROR(VLOOKUP($S$2507,'TAR FIN'!$A$1:$O$95,15,0)),0,VLOOKUP($S$2507,'TAR FIN'!$A$1:$O$95,15,0))</f>
        <v>0</v>
      </c>
      <c r="W2507" s="77">
        <f>IF(ISERROR(VLOOKUP($T$2507,'TAR FIN'!$A$1:$O$95,15,0)),0,VLOOKUP($T$2507,'TAR FIN'!$A$1:$O$95,15,0))*(1-0.09)</f>
        <v>409.67290000000003</v>
      </c>
      <c r="X2507" s="77">
        <f>IF(ISERROR(VLOOKUP($U$2507,'TAR FIN'!$A$1:$O$95,15,0)),0,VLOOKUP($U$2507,'TAR FIN'!$A$1:$O$95,15,0))*(1-0.09)</f>
        <v>221.40300000000002</v>
      </c>
      <c r="Y2507" s="77"/>
      <c r="Z2507" s="77">
        <f ca="1">('TUSD BE'!$AM$53+'TUSD BF'!$AM$53+'TUSD CVA'!$AM$53)*1*(1-0.06)</f>
        <v>476.12865324271826</v>
      </c>
      <c r="AA2507" s="77">
        <f>('TE BE'!$AA$41+'TE BF'!$AA$41+'TE CVA'!$AA$41)*1*(1-0.06)</f>
        <v>279.36956391055907</v>
      </c>
      <c r="AB2507" s="6">
        <f>$K$2507*$V$2507</f>
        <v>0</v>
      </c>
      <c r="AC2507" s="6">
        <f>$M$2507*$W$2507</f>
        <v>752.1594444000001</v>
      </c>
      <c r="AD2507" s="6">
        <f>$O$2507*$X$2507</f>
        <v>406.49590800000004</v>
      </c>
      <c r="AE2507" s="6">
        <f>$K$2507*$Y$2507</f>
        <v>0</v>
      </c>
      <c r="AF2507" s="6">
        <f ca="1">$M$2507*$Z$2507</f>
        <v>874.17220735363071</v>
      </c>
      <c r="AG2507" s="6">
        <f>$O$2507*$AA$2507</f>
        <v>512.9225193397865</v>
      </c>
    </row>
    <row r="2508" spans="1:33" ht="11.25" customHeight="1" x14ac:dyDescent="0.25">
      <c r="A2508" s="4" t="s">
        <v>28</v>
      </c>
      <c r="B2508" s="4" t="s">
        <v>41</v>
      </c>
      <c r="C2508" s="4" t="s">
        <v>23</v>
      </c>
      <c r="D2508" s="4" t="s">
        <v>52</v>
      </c>
      <c r="E2508" s="4" t="s">
        <v>53</v>
      </c>
      <c r="F2508" s="4" t="s">
        <v>25</v>
      </c>
      <c r="G2508" s="4" t="s">
        <v>25</v>
      </c>
      <c r="H2508" s="4" t="s">
        <v>25</v>
      </c>
      <c r="I2508" s="5">
        <v>44136</v>
      </c>
      <c r="J2508" s="6">
        <v>0</v>
      </c>
      <c r="K2508" s="77">
        <v>0</v>
      </c>
      <c r="L2508" s="6">
        <v>2055.0189999999998</v>
      </c>
      <c r="M2508" s="77">
        <v>2055.0189999999998</v>
      </c>
      <c r="N2508" s="6">
        <v>2055.0189999999998</v>
      </c>
      <c r="O2508" s="77">
        <v>2055.0189999999998</v>
      </c>
      <c r="P2508" s="6">
        <v>641</v>
      </c>
      <c r="Q2508" s="4" t="s">
        <v>26</v>
      </c>
      <c r="R2508" s="4">
        <v>0</v>
      </c>
      <c r="S2508" s="6">
        <v>0</v>
      </c>
      <c r="T2508" s="6">
        <v>72</v>
      </c>
      <c r="U2508" s="6">
        <v>78</v>
      </c>
      <c r="V2508" s="77">
        <f>IF(ISERROR(VLOOKUP($S$2508,'TAR FIN'!$A$1:$O$95,15,0)),0,VLOOKUP($S$2508,'TAR FIN'!$A$1:$O$95,15,0))</f>
        <v>0</v>
      </c>
      <c r="W2508" s="77">
        <f>IF(ISERROR(VLOOKUP($T$2508,'TAR FIN'!$A$1:$O$95,15,0)),0,VLOOKUP($T$2508,'TAR FIN'!$A$1:$O$95,15,0))*(1-0.09)</f>
        <v>409.67290000000003</v>
      </c>
      <c r="X2508" s="77">
        <f>IF(ISERROR(VLOOKUP($U$2508,'TAR FIN'!$A$1:$O$95,15,0)),0,VLOOKUP($U$2508,'TAR FIN'!$A$1:$O$95,15,0))*(1-0.09)</f>
        <v>221.40300000000002</v>
      </c>
      <c r="Y2508" s="77"/>
      <c r="Z2508" s="77">
        <f ca="1">('TUSD BE'!$AM$53+'TUSD BF'!$AM$53+'TUSD CVA'!$AM$53)*1*(1-0.06)</f>
        <v>476.12865324271826</v>
      </c>
      <c r="AA2508" s="77">
        <f>('TE BE'!$AA$41+'TE BF'!$AA$41+'TE CVA'!$AA$41)*1*(1-0.06)</f>
        <v>279.36956391055907</v>
      </c>
      <c r="AB2508" s="6">
        <f>$K$2508*$V$2508</f>
        <v>0</v>
      </c>
      <c r="AC2508" s="6">
        <f>$M$2508*$W$2508</f>
        <v>841885.59328509995</v>
      </c>
      <c r="AD2508" s="6">
        <f>$O$2508*$X$2508</f>
        <v>454987.37165699998</v>
      </c>
      <c r="AE2508" s="6">
        <f>$K$2508*$Y$2508</f>
        <v>0</v>
      </c>
      <c r="AF2508" s="6">
        <f ca="1">$M$2508*$Z$2508</f>
        <v>978453.42885819753</v>
      </c>
      <c r="AG2508" s="6">
        <f>$O$2508*$AA$2508</f>
        <v>574109.76185791311</v>
      </c>
    </row>
    <row r="2509" spans="1:33" ht="11.25" customHeight="1" x14ac:dyDescent="0.25">
      <c r="A2509" s="4" t="s">
        <v>29</v>
      </c>
      <c r="B2509" s="4" t="s">
        <v>41</v>
      </c>
      <c r="C2509" s="4" t="s">
        <v>23</v>
      </c>
      <c r="D2509" s="4" t="s">
        <v>52</v>
      </c>
      <c r="E2509" s="4" t="s">
        <v>53</v>
      </c>
      <c r="F2509" s="4" t="s">
        <v>25</v>
      </c>
      <c r="G2509" s="4" t="s">
        <v>25</v>
      </c>
      <c r="H2509" s="4" t="s">
        <v>25</v>
      </c>
      <c r="I2509" s="5">
        <v>44136</v>
      </c>
      <c r="J2509" s="6">
        <v>0</v>
      </c>
      <c r="K2509" s="77">
        <v>0</v>
      </c>
      <c r="L2509" s="6">
        <v>-2.7309999999999999</v>
      </c>
      <c r="M2509" s="77">
        <v>-2.7309999999999999</v>
      </c>
      <c r="N2509" s="6">
        <v>-2.7309999999999999</v>
      </c>
      <c r="O2509" s="77">
        <v>-2.7309999999999999</v>
      </c>
      <c r="P2509" s="6">
        <v>0</v>
      </c>
      <c r="Q2509" s="4" t="s">
        <v>26</v>
      </c>
      <c r="R2509" s="4">
        <v>0</v>
      </c>
      <c r="S2509" s="6">
        <v>0</v>
      </c>
      <c r="T2509" s="6">
        <v>72</v>
      </c>
      <c r="U2509" s="6">
        <v>78</v>
      </c>
      <c r="V2509" s="77">
        <f>IF(ISERROR(VLOOKUP($S$2509,'TAR FIN'!$A$1:$O$95,15,0)),0,VLOOKUP($S$2509,'TAR FIN'!$A$1:$O$95,15,0))</f>
        <v>0</v>
      </c>
      <c r="W2509" s="77">
        <f>IF(ISERROR(VLOOKUP($T$2509,'TAR FIN'!$A$1:$O$95,15,0)),0,VLOOKUP($T$2509,'TAR FIN'!$A$1:$O$95,15,0))*(1-0.09)</f>
        <v>409.67290000000003</v>
      </c>
      <c r="X2509" s="77">
        <f>IF(ISERROR(VLOOKUP($U$2509,'TAR FIN'!$A$1:$O$95,15,0)),0,VLOOKUP($U$2509,'TAR FIN'!$A$1:$O$95,15,0))*(1-0.09)</f>
        <v>221.40300000000002</v>
      </c>
      <c r="Y2509" s="77"/>
      <c r="Z2509" s="77">
        <f ca="1">('TUSD BE'!$AM$53+'TUSD BF'!$AM$53+'TUSD CVA'!$AM$53)*1*(1-0.06)</f>
        <v>476.12865324271826</v>
      </c>
      <c r="AA2509" s="77">
        <f>('TE BE'!$AA$41+'TE BF'!$AA$41+'TE CVA'!$AA$41)*1*(1-0.06)</f>
        <v>279.36956391055907</v>
      </c>
      <c r="AB2509" s="6">
        <f>$K$2509*$V$2509</f>
        <v>0</v>
      </c>
      <c r="AC2509" s="6">
        <f>$M$2509*$W$2509</f>
        <v>-1118.8166899</v>
      </c>
      <c r="AD2509" s="6">
        <f>$O$2509*$X$2509</f>
        <v>-604.65159300000005</v>
      </c>
      <c r="AE2509" s="6">
        <f>$K$2509*$Y$2509</f>
        <v>0</v>
      </c>
      <c r="AF2509" s="6">
        <f ca="1">$M$2509*$Z$2509</f>
        <v>-1300.3073520058635</v>
      </c>
      <c r="AG2509" s="6">
        <f>$O$2509*$AA$2509</f>
        <v>-762.95827903973679</v>
      </c>
    </row>
    <row r="2510" spans="1:33" ht="11.25" customHeight="1" x14ac:dyDescent="0.25">
      <c r="A2510" s="4" t="s">
        <v>21</v>
      </c>
      <c r="B2510" s="4" t="s">
        <v>41</v>
      </c>
      <c r="C2510" s="4" t="s">
        <v>23</v>
      </c>
      <c r="D2510" s="4" t="s">
        <v>52</v>
      </c>
      <c r="E2510" s="4" t="s">
        <v>53</v>
      </c>
      <c r="F2510" s="4" t="s">
        <v>25</v>
      </c>
      <c r="G2510" s="4" t="s">
        <v>25</v>
      </c>
      <c r="H2510" s="4" t="s">
        <v>25</v>
      </c>
      <c r="I2510" s="5">
        <v>44166</v>
      </c>
      <c r="J2510" s="6">
        <v>0</v>
      </c>
      <c r="K2510" s="77">
        <v>0</v>
      </c>
      <c r="L2510" s="6">
        <v>788.59500000000003</v>
      </c>
      <c r="M2510" s="77">
        <v>788.59500000000003</v>
      </c>
      <c r="N2510" s="6">
        <v>788.59500000000003</v>
      </c>
      <c r="O2510" s="77">
        <v>788.59500000000003</v>
      </c>
      <c r="P2510" s="6">
        <v>206</v>
      </c>
      <c r="Q2510" s="4" t="s">
        <v>26</v>
      </c>
      <c r="R2510" s="4">
        <v>0</v>
      </c>
      <c r="S2510" s="6">
        <v>0</v>
      </c>
      <c r="T2510" s="6">
        <v>72</v>
      </c>
      <c r="U2510" s="6">
        <v>78</v>
      </c>
      <c r="V2510" s="77">
        <f>IF(ISERROR(VLOOKUP($S$2510,'TAR FIN'!$A$1:$O$95,15,0)),0,VLOOKUP($S$2510,'TAR FIN'!$A$1:$O$95,15,0))</f>
        <v>0</v>
      </c>
      <c r="W2510" s="77">
        <f>IF(ISERROR(VLOOKUP($T$2510,'TAR FIN'!$A$1:$O$95,15,0)),0,VLOOKUP($T$2510,'TAR FIN'!$A$1:$O$95,15,0))*(1-0.09)</f>
        <v>409.67290000000003</v>
      </c>
      <c r="X2510" s="77">
        <f>IF(ISERROR(VLOOKUP($U$2510,'TAR FIN'!$A$1:$O$95,15,0)),0,VLOOKUP($U$2510,'TAR FIN'!$A$1:$O$95,15,0))*(1-0.09)</f>
        <v>221.40300000000002</v>
      </c>
      <c r="Y2510" s="77"/>
      <c r="Z2510" s="77">
        <f ca="1">('TUSD BE'!$AM$53+'TUSD BF'!$AM$53+'TUSD CVA'!$AM$53)*1*(1-0.06)</f>
        <v>476.12865324271826</v>
      </c>
      <c r="AA2510" s="77">
        <f>('TE BE'!$AA$41+'TE BF'!$AA$41+'TE CVA'!$AA$41)*1*(1-0.06)</f>
        <v>279.36956391055907</v>
      </c>
      <c r="AB2510" s="6">
        <f>$K$2510*$V$2510</f>
        <v>0</v>
      </c>
      <c r="AC2510" s="6">
        <f>$M$2510*$W$2510</f>
        <v>323066.00057550002</v>
      </c>
      <c r="AD2510" s="6">
        <f>$O$2510*$X$2510</f>
        <v>174597.29878500002</v>
      </c>
      <c r="AE2510" s="6">
        <f>$K$2510*$Y$2510</f>
        <v>0</v>
      </c>
      <c r="AF2510" s="6">
        <f ca="1">$M$2510*$Z$2510</f>
        <v>375472.67530394142</v>
      </c>
      <c r="AG2510" s="6">
        <f>$O$2510*$AA$2510</f>
        <v>220309.44125204734</v>
      </c>
    </row>
    <row r="2511" spans="1:33" ht="11.25" customHeight="1" x14ac:dyDescent="0.25">
      <c r="A2511" s="4" t="s">
        <v>27</v>
      </c>
      <c r="B2511" s="4" t="s">
        <v>41</v>
      </c>
      <c r="C2511" s="4" t="s">
        <v>23</v>
      </c>
      <c r="D2511" s="4" t="s">
        <v>52</v>
      </c>
      <c r="E2511" s="4" t="s">
        <v>53</v>
      </c>
      <c r="F2511" s="4" t="s">
        <v>25</v>
      </c>
      <c r="G2511" s="4" t="s">
        <v>25</v>
      </c>
      <c r="H2511" s="4" t="s">
        <v>25</v>
      </c>
      <c r="I2511" s="5">
        <v>44166</v>
      </c>
      <c r="J2511" s="6">
        <v>0</v>
      </c>
      <c r="K2511" s="77">
        <v>0</v>
      </c>
      <c r="L2511" s="6">
        <v>-8.2550000000000008</v>
      </c>
      <c r="M2511" s="77">
        <v>-8.2550000000000008</v>
      </c>
      <c r="N2511" s="6">
        <v>-8.2550000000000008</v>
      </c>
      <c r="O2511" s="77">
        <v>-8.2550000000000008</v>
      </c>
      <c r="P2511" s="6">
        <v>0</v>
      </c>
      <c r="Q2511" s="4" t="s">
        <v>26</v>
      </c>
      <c r="R2511" s="4">
        <v>0</v>
      </c>
      <c r="S2511" s="6">
        <v>0</v>
      </c>
      <c r="T2511" s="6">
        <v>72</v>
      </c>
      <c r="U2511" s="6">
        <v>78</v>
      </c>
      <c r="V2511" s="77">
        <f>IF(ISERROR(VLOOKUP($S$2511,'TAR FIN'!$A$1:$O$95,15,0)),0,VLOOKUP($S$2511,'TAR FIN'!$A$1:$O$95,15,0))</f>
        <v>0</v>
      </c>
      <c r="W2511" s="77">
        <f>IF(ISERROR(VLOOKUP($T$2511,'TAR FIN'!$A$1:$O$95,15,0)),0,VLOOKUP($T$2511,'TAR FIN'!$A$1:$O$95,15,0))*(1-0.09)</f>
        <v>409.67290000000003</v>
      </c>
      <c r="X2511" s="77">
        <f>IF(ISERROR(VLOOKUP($U$2511,'TAR FIN'!$A$1:$O$95,15,0)),0,VLOOKUP($U$2511,'TAR FIN'!$A$1:$O$95,15,0))*(1-0.09)</f>
        <v>221.40300000000002</v>
      </c>
      <c r="Y2511" s="77"/>
      <c r="Z2511" s="77">
        <f ca="1">('TUSD BE'!$AM$53+'TUSD BF'!$AM$53+'TUSD CVA'!$AM$53)*1*(1-0.06)</f>
        <v>476.12865324271826</v>
      </c>
      <c r="AA2511" s="77">
        <f>('TE BE'!$AA$41+'TE BF'!$AA$41+'TE CVA'!$AA$41)*1*(1-0.06)</f>
        <v>279.36956391055907</v>
      </c>
      <c r="AB2511" s="6">
        <f>$K$2511*$V$2511</f>
        <v>0</v>
      </c>
      <c r="AC2511" s="6">
        <f>$M$2511*$W$2511</f>
        <v>-3381.8497895000005</v>
      </c>
      <c r="AD2511" s="6">
        <f>$O$2511*$X$2511</f>
        <v>-1827.6817650000003</v>
      </c>
      <c r="AE2511" s="6">
        <f>$K$2511*$Y$2511</f>
        <v>0</v>
      </c>
      <c r="AF2511" s="6">
        <f ca="1">$M$2511*$Z$2511</f>
        <v>-3930.4420325186397</v>
      </c>
      <c r="AG2511" s="6">
        <f>$O$2511*$AA$2511</f>
        <v>-2306.1957500816652</v>
      </c>
    </row>
    <row r="2512" spans="1:33" ht="11.25" customHeight="1" x14ac:dyDescent="0.25">
      <c r="A2512" s="4" t="s">
        <v>28</v>
      </c>
      <c r="B2512" s="4" t="s">
        <v>41</v>
      </c>
      <c r="C2512" s="4" t="s">
        <v>23</v>
      </c>
      <c r="D2512" s="4" t="s">
        <v>52</v>
      </c>
      <c r="E2512" s="4" t="s">
        <v>53</v>
      </c>
      <c r="F2512" s="4" t="s">
        <v>25</v>
      </c>
      <c r="G2512" s="4" t="s">
        <v>25</v>
      </c>
      <c r="H2512" s="4" t="s">
        <v>25</v>
      </c>
      <c r="I2512" s="5">
        <v>44166</v>
      </c>
      <c r="J2512" s="6">
        <v>0</v>
      </c>
      <c r="K2512" s="77">
        <v>0</v>
      </c>
      <c r="L2512" s="6">
        <v>2063.1239999999998</v>
      </c>
      <c r="M2512" s="77">
        <v>2063.1239999999998</v>
      </c>
      <c r="N2512" s="6">
        <v>2063.1239999999998</v>
      </c>
      <c r="O2512" s="77">
        <v>2063.1239999999998</v>
      </c>
      <c r="P2512" s="6">
        <v>639</v>
      </c>
      <c r="Q2512" s="4" t="s">
        <v>26</v>
      </c>
      <c r="R2512" s="4">
        <v>0</v>
      </c>
      <c r="S2512" s="6">
        <v>0</v>
      </c>
      <c r="T2512" s="6">
        <v>72</v>
      </c>
      <c r="U2512" s="6">
        <v>78</v>
      </c>
      <c r="V2512" s="77">
        <f>IF(ISERROR(VLOOKUP($S$2512,'TAR FIN'!$A$1:$O$95,15,0)),0,VLOOKUP($S$2512,'TAR FIN'!$A$1:$O$95,15,0))</f>
        <v>0</v>
      </c>
      <c r="W2512" s="77">
        <f>IF(ISERROR(VLOOKUP($T$2512,'TAR FIN'!$A$1:$O$95,15,0)),0,VLOOKUP($T$2512,'TAR FIN'!$A$1:$O$95,15,0))*(1-0.09)</f>
        <v>409.67290000000003</v>
      </c>
      <c r="X2512" s="77">
        <f>IF(ISERROR(VLOOKUP($U$2512,'TAR FIN'!$A$1:$O$95,15,0)),0,VLOOKUP($U$2512,'TAR FIN'!$A$1:$O$95,15,0))*(1-0.09)</f>
        <v>221.40300000000002</v>
      </c>
      <c r="Y2512" s="77"/>
      <c r="Z2512" s="77">
        <f ca="1">('TUSD BE'!$AM$53+'TUSD BF'!$AM$53+'TUSD CVA'!$AM$53)*1*(1-0.06)</f>
        <v>476.12865324271826</v>
      </c>
      <c r="AA2512" s="77">
        <f>('TE BE'!$AA$41+'TE BF'!$AA$41+'TE CVA'!$AA$41)*1*(1-0.06)</f>
        <v>279.36956391055907</v>
      </c>
      <c r="AB2512" s="6">
        <f>$K$2512*$V$2512</f>
        <v>0</v>
      </c>
      <c r="AC2512" s="6">
        <f>$M$2512*$W$2512</f>
        <v>845205.99213959998</v>
      </c>
      <c r="AD2512" s="6">
        <f>$O$2512*$X$2512</f>
        <v>456781.84297200001</v>
      </c>
      <c r="AE2512" s="6">
        <f>$K$2512*$Y$2512</f>
        <v>0</v>
      </c>
      <c r="AF2512" s="6">
        <f ca="1">$M$2512*$Z$2512</f>
        <v>982312.45159272978</v>
      </c>
      <c r="AG2512" s="6">
        <f>$O$2512*$AA$2512</f>
        <v>576374.05217340821</v>
      </c>
    </row>
    <row r="2513" spans="1:33" ht="11.25" customHeight="1" x14ac:dyDescent="0.25">
      <c r="A2513" s="4" t="s">
        <v>29</v>
      </c>
      <c r="B2513" s="4" t="s">
        <v>41</v>
      </c>
      <c r="C2513" s="4" t="s">
        <v>23</v>
      </c>
      <c r="D2513" s="4" t="s">
        <v>52</v>
      </c>
      <c r="E2513" s="4" t="s">
        <v>53</v>
      </c>
      <c r="F2513" s="4" t="s">
        <v>25</v>
      </c>
      <c r="G2513" s="4" t="s">
        <v>25</v>
      </c>
      <c r="H2513" s="4" t="s">
        <v>25</v>
      </c>
      <c r="I2513" s="5">
        <v>44166</v>
      </c>
      <c r="J2513" s="6">
        <v>0</v>
      </c>
      <c r="K2513" s="77">
        <v>0</v>
      </c>
      <c r="L2513" s="6">
        <v>-36.978999999999999</v>
      </c>
      <c r="M2513" s="77">
        <v>-36.978999999999999</v>
      </c>
      <c r="N2513" s="6">
        <v>-36.978999999999999</v>
      </c>
      <c r="O2513" s="77">
        <v>-36.978999999999999</v>
      </c>
      <c r="P2513" s="6">
        <v>0</v>
      </c>
      <c r="Q2513" s="4" t="s">
        <v>26</v>
      </c>
      <c r="R2513" s="4">
        <v>0</v>
      </c>
      <c r="S2513" s="6">
        <v>0</v>
      </c>
      <c r="T2513" s="6">
        <v>72</v>
      </c>
      <c r="U2513" s="6">
        <v>78</v>
      </c>
      <c r="V2513" s="77">
        <f>IF(ISERROR(VLOOKUP($S$2513,'TAR FIN'!$A$1:$O$95,15,0)),0,VLOOKUP($S$2513,'TAR FIN'!$A$1:$O$95,15,0))</f>
        <v>0</v>
      </c>
      <c r="W2513" s="77">
        <f>IF(ISERROR(VLOOKUP($T$2513,'TAR FIN'!$A$1:$O$95,15,0)),0,VLOOKUP($T$2513,'TAR FIN'!$A$1:$O$95,15,0))*(1-0.09)</f>
        <v>409.67290000000003</v>
      </c>
      <c r="X2513" s="77">
        <f>IF(ISERROR(VLOOKUP($U$2513,'TAR FIN'!$A$1:$O$95,15,0)),0,VLOOKUP($U$2513,'TAR FIN'!$A$1:$O$95,15,0))*(1-0.09)</f>
        <v>221.40300000000002</v>
      </c>
      <c r="Y2513" s="77"/>
      <c r="Z2513" s="77">
        <f ca="1">('TUSD BE'!$AM$53+'TUSD BF'!$AM$53+'TUSD CVA'!$AM$53)*1*(1-0.06)</f>
        <v>476.12865324271826</v>
      </c>
      <c r="AA2513" s="77">
        <f>('TE BE'!$AA$41+'TE BF'!$AA$41+'TE CVA'!$AA$41)*1*(1-0.06)</f>
        <v>279.36956391055907</v>
      </c>
      <c r="AB2513" s="6">
        <f>$K$2513*$V$2513</f>
        <v>0</v>
      </c>
      <c r="AC2513" s="6">
        <f>$M$2513*$W$2513</f>
        <v>-15149.294169100001</v>
      </c>
      <c r="AD2513" s="6">
        <f>$O$2513*$X$2513</f>
        <v>-8187.2615370000003</v>
      </c>
      <c r="AE2513" s="6">
        <f>$K$2513*$Y$2513</f>
        <v>0</v>
      </c>
      <c r="AF2513" s="6">
        <f ca="1">$M$2513*$Z$2513</f>
        <v>-17606.761468262477</v>
      </c>
      <c r="AG2513" s="6">
        <f>$O$2513*$AA$2513</f>
        <v>-10330.807103848563</v>
      </c>
    </row>
    <row r="2514" spans="1:33" ht="11.25" customHeight="1" x14ac:dyDescent="0.25">
      <c r="A2514" s="4" t="s">
        <v>21</v>
      </c>
      <c r="B2514" s="4" t="s">
        <v>41</v>
      </c>
      <c r="C2514" s="4" t="s">
        <v>23</v>
      </c>
      <c r="D2514" s="4" t="s">
        <v>52</v>
      </c>
      <c r="E2514" s="4" t="s">
        <v>53</v>
      </c>
      <c r="F2514" s="4" t="s">
        <v>25</v>
      </c>
      <c r="G2514" s="4" t="s">
        <v>25</v>
      </c>
      <c r="H2514" s="4" t="s">
        <v>25</v>
      </c>
      <c r="I2514" s="5">
        <v>44197</v>
      </c>
      <c r="J2514" s="6">
        <v>0</v>
      </c>
      <c r="K2514" s="77">
        <v>0</v>
      </c>
      <c r="L2514" s="6">
        <v>852.98800000000006</v>
      </c>
      <c r="M2514" s="77">
        <v>852.98800000000006</v>
      </c>
      <c r="N2514" s="6">
        <v>852.98800000000006</v>
      </c>
      <c r="O2514" s="77">
        <v>852.98800000000006</v>
      </c>
      <c r="P2514" s="6">
        <v>207</v>
      </c>
      <c r="Q2514" s="4" t="s">
        <v>26</v>
      </c>
      <c r="R2514" s="4">
        <v>0</v>
      </c>
      <c r="S2514" s="6">
        <v>0</v>
      </c>
      <c r="T2514" s="6">
        <v>72</v>
      </c>
      <c r="U2514" s="6">
        <v>78</v>
      </c>
      <c r="V2514" s="77">
        <f>IF(ISERROR(VLOOKUP($S$2514,'TAR FIN'!$A$1:$O$95,15,0)),0,VLOOKUP($S$2514,'TAR FIN'!$A$1:$O$95,15,0))</f>
        <v>0</v>
      </c>
      <c r="W2514" s="77">
        <f>IF(ISERROR(VLOOKUP($T$2514,'TAR FIN'!$A$1:$O$95,15,0)),0,VLOOKUP($T$2514,'TAR FIN'!$A$1:$O$95,15,0))*(1-0.09)</f>
        <v>409.67290000000003</v>
      </c>
      <c r="X2514" s="77">
        <f>IF(ISERROR(VLOOKUP($U$2514,'TAR FIN'!$A$1:$O$95,15,0)),0,VLOOKUP($U$2514,'TAR FIN'!$A$1:$O$95,15,0))*(1-0.09)</f>
        <v>221.40300000000002</v>
      </c>
      <c r="Y2514" s="77"/>
      <c r="Z2514" s="77">
        <f ca="1">('TUSD BE'!$AM$53+'TUSD BF'!$AM$53+'TUSD CVA'!$AM$53)*1*(1-0.06)</f>
        <v>476.12865324271826</v>
      </c>
      <c r="AA2514" s="77">
        <f>('TE BE'!$AA$41+'TE BF'!$AA$41+'TE CVA'!$AA$41)*1*(1-0.06)</f>
        <v>279.36956391055907</v>
      </c>
      <c r="AB2514" s="6">
        <f>$K$2514*$V$2514</f>
        <v>0</v>
      </c>
      <c r="AC2514" s="6">
        <f>$M$2514*$W$2514</f>
        <v>349446.06762520003</v>
      </c>
      <c r="AD2514" s="6">
        <f>$O$2514*$X$2514</f>
        <v>188854.10216400004</v>
      </c>
      <c r="AE2514" s="6">
        <f>$K$2514*$Y$2514</f>
        <v>0</v>
      </c>
      <c r="AF2514" s="6">
        <f ca="1">$M$2514*$Z$2514</f>
        <v>406132.02767219977</v>
      </c>
      <c r="AG2514" s="6">
        <f>$O$2514*$AA$2514</f>
        <v>238298.88558093997</v>
      </c>
    </row>
    <row r="2515" spans="1:33" ht="11.25" customHeight="1" x14ac:dyDescent="0.25">
      <c r="A2515" s="4" t="s">
        <v>27</v>
      </c>
      <c r="B2515" s="4" t="s">
        <v>41</v>
      </c>
      <c r="C2515" s="4" t="s">
        <v>23</v>
      </c>
      <c r="D2515" s="4" t="s">
        <v>52</v>
      </c>
      <c r="E2515" s="4" t="s">
        <v>53</v>
      </c>
      <c r="F2515" s="4" t="s">
        <v>25</v>
      </c>
      <c r="G2515" s="4" t="s">
        <v>25</v>
      </c>
      <c r="H2515" s="4" t="s">
        <v>25</v>
      </c>
      <c r="I2515" s="5">
        <v>44197</v>
      </c>
      <c r="J2515" s="6">
        <v>0</v>
      </c>
      <c r="K2515" s="77">
        <v>0</v>
      </c>
      <c r="L2515" s="6">
        <v>-0.17799999999999999</v>
      </c>
      <c r="M2515" s="77">
        <v>-0.17799999999999999</v>
      </c>
      <c r="N2515" s="6">
        <v>-0.17799999999999999</v>
      </c>
      <c r="O2515" s="77">
        <v>-0.17799999999999999</v>
      </c>
      <c r="P2515" s="6">
        <v>0</v>
      </c>
      <c r="Q2515" s="4" t="s">
        <v>26</v>
      </c>
      <c r="R2515" s="4">
        <v>0</v>
      </c>
      <c r="S2515" s="6">
        <v>0</v>
      </c>
      <c r="T2515" s="6">
        <v>72</v>
      </c>
      <c r="U2515" s="6">
        <v>78</v>
      </c>
      <c r="V2515" s="77">
        <f>IF(ISERROR(VLOOKUP($S$2515,'TAR FIN'!$A$1:$O$95,15,0)),0,VLOOKUP($S$2515,'TAR FIN'!$A$1:$O$95,15,0))</f>
        <v>0</v>
      </c>
      <c r="W2515" s="77">
        <f>IF(ISERROR(VLOOKUP($T$2515,'TAR FIN'!$A$1:$O$95,15,0)),0,VLOOKUP($T$2515,'TAR FIN'!$A$1:$O$95,15,0))*(1-0.09)</f>
        <v>409.67290000000003</v>
      </c>
      <c r="X2515" s="77">
        <f>IF(ISERROR(VLOOKUP($U$2515,'TAR FIN'!$A$1:$O$95,15,0)),0,VLOOKUP($U$2515,'TAR FIN'!$A$1:$O$95,15,0))*(1-0.09)</f>
        <v>221.40300000000002</v>
      </c>
      <c r="Y2515" s="77"/>
      <c r="Z2515" s="77">
        <f ca="1">('TUSD BE'!$AM$53+'TUSD BF'!$AM$53+'TUSD CVA'!$AM$53)*1*(1-0.06)</f>
        <v>476.12865324271826</v>
      </c>
      <c r="AA2515" s="77">
        <f>('TE BE'!$AA$41+'TE BF'!$AA$41+'TE CVA'!$AA$41)*1*(1-0.06)</f>
        <v>279.36956391055907</v>
      </c>
      <c r="AB2515" s="6">
        <f>$K$2515*$V$2515</f>
        <v>0</v>
      </c>
      <c r="AC2515" s="6">
        <f>$M$2515*$W$2515</f>
        <v>-72.921776199999996</v>
      </c>
      <c r="AD2515" s="6">
        <f>$O$2515*$X$2515</f>
        <v>-39.409734</v>
      </c>
      <c r="AE2515" s="6">
        <f>$K$2515*$Y$2515</f>
        <v>0</v>
      </c>
      <c r="AF2515" s="6">
        <f ca="1">$M$2515*$Z$2515</f>
        <v>-84.75090027720384</v>
      </c>
      <c r="AG2515" s="6">
        <f>$O$2515*$AA$2515</f>
        <v>-49.72778237607951</v>
      </c>
    </row>
    <row r="2516" spans="1:33" ht="11.25" customHeight="1" x14ac:dyDescent="0.25">
      <c r="A2516" s="4" t="s">
        <v>28</v>
      </c>
      <c r="B2516" s="4" t="s">
        <v>41</v>
      </c>
      <c r="C2516" s="4" t="s">
        <v>23</v>
      </c>
      <c r="D2516" s="4" t="s">
        <v>52</v>
      </c>
      <c r="E2516" s="4" t="s">
        <v>53</v>
      </c>
      <c r="F2516" s="4" t="s">
        <v>25</v>
      </c>
      <c r="G2516" s="4" t="s">
        <v>25</v>
      </c>
      <c r="H2516" s="4" t="s">
        <v>25</v>
      </c>
      <c r="I2516" s="5">
        <v>44197</v>
      </c>
      <c r="J2516" s="6">
        <v>0</v>
      </c>
      <c r="K2516" s="77">
        <v>0</v>
      </c>
      <c r="L2516" s="6">
        <v>2048.2930000000001</v>
      </c>
      <c r="M2516" s="77">
        <v>2048.2930000000001</v>
      </c>
      <c r="N2516" s="6">
        <v>2048.2930000000001</v>
      </c>
      <c r="O2516" s="77">
        <v>2048.2930000000001</v>
      </c>
      <c r="P2516" s="6">
        <v>637</v>
      </c>
      <c r="Q2516" s="4" t="s">
        <v>26</v>
      </c>
      <c r="R2516" s="4">
        <v>0</v>
      </c>
      <c r="S2516" s="6">
        <v>0</v>
      </c>
      <c r="T2516" s="6">
        <v>72</v>
      </c>
      <c r="U2516" s="6">
        <v>78</v>
      </c>
      <c r="V2516" s="77">
        <f>IF(ISERROR(VLOOKUP($S$2516,'TAR FIN'!$A$1:$O$95,15,0)),0,VLOOKUP($S$2516,'TAR FIN'!$A$1:$O$95,15,0))</f>
        <v>0</v>
      </c>
      <c r="W2516" s="77">
        <f>IF(ISERROR(VLOOKUP($T$2516,'TAR FIN'!$A$1:$O$95,15,0)),0,VLOOKUP($T$2516,'TAR FIN'!$A$1:$O$95,15,0))*(1-0.09)</f>
        <v>409.67290000000003</v>
      </c>
      <c r="X2516" s="77">
        <f>IF(ISERROR(VLOOKUP($U$2516,'TAR FIN'!$A$1:$O$95,15,0)),0,VLOOKUP($U$2516,'TAR FIN'!$A$1:$O$95,15,0))*(1-0.09)</f>
        <v>221.40300000000002</v>
      </c>
      <c r="Y2516" s="77"/>
      <c r="Z2516" s="77">
        <f ca="1">('TUSD BE'!$AM$53+'TUSD BF'!$AM$53+'TUSD CVA'!$AM$53)*1*(1-0.06)</f>
        <v>476.12865324271826</v>
      </c>
      <c r="AA2516" s="77">
        <f>('TE BE'!$AA$41+'TE BF'!$AA$41+'TE CVA'!$AA$41)*1*(1-0.06)</f>
        <v>279.36956391055907</v>
      </c>
      <c r="AB2516" s="6">
        <f>$K$2516*$V$2516</f>
        <v>0</v>
      </c>
      <c r="AC2516" s="6">
        <f>$M$2516*$W$2516</f>
        <v>839130.13335970009</v>
      </c>
      <c r="AD2516" s="6">
        <f>$O$2516*$X$2516</f>
        <v>453498.21507900005</v>
      </c>
      <c r="AE2516" s="6">
        <f>$K$2516*$Y$2516</f>
        <v>0</v>
      </c>
      <c r="AF2516" s="6">
        <f ca="1">$M$2516*$Z$2516</f>
        <v>975250.98753648717</v>
      </c>
      <c r="AG2516" s="6">
        <f>$O$2516*$AA$2516</f>
        <v>572230.72217105085</v>
      </c>
    </row>
    <row r="2517" spans="1:33" ht="11.25" customHeight="1" x14ac:dyDescent="0.25">
      <c r="A2517" s="4" t="s">
        <v>21</v>
      </c>
      <c r="B2517" s="4" t="s">
        <v>41</v>
      </c>
      <c r="C2517" s="4" t="s">
        <v>23</v>
      </c>
      <c r="D2517" s="4" t="s">
        <v>52</v>
      </c>
      <c r="E2517" s="4" t="s">
        <v>53</v>
      </c>
      <c r="F2517" s="4" t="s">
        <v>25</v>
      </c>
      <c r="G2517" s="4" t="s">
        <v>25</v>
      </c>
      <c r="H2517" s="4" t="s">
        <v>25</v>
      </c>
      <c r="I2517" s="5">
        <v>44228</v>
      </c>
      <c r="J2517" s="6">
        <v>0</v>
      </c>
      <c r="K2517" s="77">
        <v>0</v>
      </c>
      <c r="L2517" s="6">
        <v>820.86500000000001</v>
      </c>
      <c r="M2517" s="77">
        <v>820.86500000000001</v>
      </c>
      <c r="N2517" s="6">
        <v>820.86500000000001</v>
      </c>
      <c r="O2517" s="77">
        <v>820.86500000000001</v>
      </c>
      <c r="P2517" s="6">
        <v>208</v>
      </c>
      <c r="Q2517" s="4" t="s">
        <v>26</v>
      </c>
      <c r="R2517" s="4">
        <v>0</v>
      </c>
      <c r="S2517" s="6">
        <v>0</v>
      </c>
      <c r="T2517" s="6">
        <v>72</v>
      </c>
      <c r="U2517" s="6">
        <v>78</v>
      </c>
      <c r="V2517" s="77">
        <f>IF(ISERROR(VLOOKUP($S$2517,'TAR FIN'!$A$1:$O$95,15,0)),0,VLOOKUP($S$2517,'TAR FIN'!$A$1:$O$95,15,0))</f>
        <v>0</v>
      </c>
      <c r="W2517" s="77">
        <f>IF(ISERROR(VLOOKUP($T$2517,'TAR FIN'!$A$1:$O$95,15,0)),0,VLOOKUP($T$2517,'TAR FIN'!$A$1:$O$95,15,0))*(1-0.09)</f>
        <v>409.67290000000003</v>
      </c>
      <c r="X2517" s="77">
        <f>IF(ISERROR(VLOOKUP($U$2517,'TAR FIN'!$A$1:$O$95,15,0)),0,VLOOKUP($U$2517,'TAR FIN'!$A$1:$O$95,15,0))*(1-0.09)</f>
        <v>221.40300000000002</v>
      </c>
      <c r="Y2517" s="77"/>
      <c r="Z2517" s="77">
        <f ca="1">('TUSD BE'!$AM$53+'TUSD BF'!$AM$53+'TUSD CVA'!$AM$53)*1*(1-0.06)</f>
        <v>476.12865324271826</v>
      </c>
      <c r="AA2517" s="77">
        <f>('TE BE'!$AA$41+'TE BF'!$AA$41+'TE CVA'!$AA$41)*1*(1-0.06)</f>
        <v>279.36956391055907</v>
      </c>
      <c r="AB2517" s="6">
        <f>$K$2517*$V$2517</f>
        <v>0</v>
      </c>
      <c r="AC2517" s="6">
        <f>$M$2517*$W$2517</f>
        <v>336286.1450585</v>
      </c>
      <c r="AD2517" s="6">
        <f>$O$2517*$X$2517</f>
        <v>181741.97359500002</v>
      </c>
      <c r="AE2517" s="6">
        <f>$K$2517*$Y$2517</f>
        <v>0</v>
      </c>
      <c r="AF2517" s="6">
        <f ca="1">$M$2517*$Z$2517</f>
        <v>390837.34694408393</v>
      </c>
      <c r="AG2517" s="6">
        <f>$O$2517*$AA$2517</f>
        <v>229324.69707944107</v>
      </c>
    </row>
    <row r="2518" spans="1:33" ht="11.25" customHeight="1" x14ac:dyDescent="0.25">
      <c r="A2518" s="4" t="s">
        <v>27</v>
      </c>
      <c r="B2518" s="4" t="s">
        <v>41</v>
      </c>
      <c r="C2518" s="4" t="s">
        <v>23</v>
      </c>
      <c r="D2518" s="4" t="s">
        <v>52</v>
      </c>
      <c r="E2518" s="4" t="s">
        <v>53</v>
      </c>
      <c r="F2518" s="4" t="s">
        <v>25</v>
      </c>
      <c r="G2518" s="4" t="s">
        <v>25</v>
      </c>
      <c r="H2518" s="4" t="s">
        <v>25</v>
      </c>
      <c r="I2518" s="5">
        <v>44228</v>
      </c>
      <c r="J2518" s="6">
        <v>0</v>
      </c>
      <c r="K2518" s="77">
        <v>0</v>
      </c>
      <c r="L2518" s="6">
        <v>0.25800000000000001</v>
      </c>
      <c r="M2518" s="77">
        <v>0.25800000000000001</v>
      </c>
      <c r="N2518" s="6">
        <v>0.25800000000000001</v>
      </c>
      <c r="O2518" s="77">
        <v>0.25800000000000001</v>
      </c>
      <c r="P2518" s="6">
        <v>0</v>
      </c>
      <c r="Q2518" s="4" t="s">
        <v>26</v>
      </c>
      <c r="R2518" s="4">
        <v>0</v>
      </c>
      <c r="S2518" s="6">
        <v>0</v>
      </c>
      <c r="T2518" s="6">
        <v>72</v>
      </c>
      <c r="U2518" s="6">
        <v>78</v>
      </c>
      <c r="V2518" s="77">
        <f>IF(ISERROR(VLOOKUP($S$2518,'TAR FIN'!$A$1:$O$95,15,0)),0,VLOOKUP($S$2518,'TAR FIN'!$A$1:$O$95,15,0))</f>
        <v>0</v>
      </c>
      <c r="W2518" s="77">
        <f>IF(ISERROR(VLOOKUP($T$2518,'TAR FIN'!$A$1:$O$95,15,0)),0,VLOOKUP($T$2518,'TAR FIN'!$A$1:$O$95,15,0))*(1-0.09)</f>
        <v>409.67290000000003</v>
      </c>
      <c r="X2518" s="77">
        <f>IF(ISERROR(VLOOKUP($U$2518,'TAR FIN'!$A$1:$O$95,15,0)),0,VLOOKUP($U$2518,'TAR FIN'!$A$1:$O$95,15,0))*(1-0.09)</f>
        <v>221.40300000000002</v>
      </c>
      <c r="Y2518" s="77"/>
      <c r="Z2518" s="77">
        <f ca="1">('TUSD BE'!$AM$53+'TUSD BF'!$AM$53+'TUSD CVA'!$AM$53)*1*(1-0.06)</f>
        <v>476.12865324271826</v>
      </c>
      <c r="AA2518" s="77">
        <f>('TE BE'!$AA$41+'TE BF'!$AA$41+'TE CVA'!$AA$41)*1*(1-0.06)</f>
        <v>279.36956391055907</v>
      </c>
      <c r="AB2518" s="6">
        <f>$K$2518*$V$2518</f>
        <v>0</v>
      </c>
      <c r="AC2518" s="6">
        <f>$M$2518*$W$2518</f>
        <v>105.69560820000001</v>
      </c>
      <c r="AD2518" s="6">
        <f>$O$2518*$X$2518</f>
        <v>57.121974000000009</v>
      </c>
      <c r="AE2518" s="6">
        <f>$K$2518*$Y$2518</f>
        <v>0</v>
      </c>
      <c r="AF2518" s="6">
        <f ca="1">$M$2518*$Z$2518</f>
        <v>122.84119253662131</v>
      </c>
      <c r="AG2518" s="6">
        <f>$O$2518*$AA$2518</f>
        <v>72.077347488924246</v>
      </c>
    </row>
    <row r="2519" spans="1:33" ht="11.25" customHeight="1" x14ac:dyDescent="0.25">
      <c r="A2519" s="4" t="s">
        <v>28</v>
      </c>
      <c r="B2519" s="4" t="s">
        <v>41</v>
      </c>
      <c r="C2519" s="4" t="s">
        <v>23</v>
      </c>
      <c r="D2519" s="4" t="s">
        <v>52</v>
      </c>
      <c r="E2519" s="4" t="s">
        <v>53</v>
      </c>
      <c r="F2519" s="4" t="s">
        <v>25</v>
      </c>
      <c r="G2519" s="4" t="s">
        <v>25</v>
      </c>
      <c r="H2519" s="4" t="s">
        <v>25</v>
      </c>
      <c r="I2519" s="5">
        <v>44228</v>
      </c>
      <c r="J2519" s="6">
        <v>0</v>
      </c>
      <c r="K2519" s="77">
        <v>0</v>
      </c>
      <c r="L2519" s="6">
        <v>1974.415</v>
      </c>
      <c r="M2519" s="77">
        <v>1974.415</v>
      </c>
      <c r="N2519" s="6">
        <v>1974.415</v>
      </c>
      <c r="O2519" s="77">
        <v>1974.415</v>
      </c>
      <c r="P2519" s="6">
        <v>638</v>
      </c>
      <c r="Q2519" s="4" t="s">
        <v>26</v>
      </c>
      <c r="R2519" s="4">
        <v>0</v>
      </c>
      <c r="S2519" s="6">
        <v>0</v>
      </c>
      <c r="T2519" s="6">
        <v>72</v>
      </c>
      <c r="U2519" s="6">
        <v>78</v>
      </c>
      <c r="V2519" s="77">
        <f>IF(ISERROR(VLOOKUP($S$2519,'TAR FIN'!$A$1:$O$95,15,0)),0,VLOOKUP($S$2519,'TAR FIN'!$A$1:$O$95,15,0))</f>
        <v>0</v>
      </c>
      <c r="W2519" s="77">
        <f>IF(ISERROR(VLOOKUP($T$2519,'TAR FIN'!$A$1:$O$95,15,0)),0,VLOOKUP($T$2519,'TAR FIN'!$A$1:$O$95,15,0))*(1-0.09)</f>
        <v>409.67290000000003</v>
      </c>
      <c r="X2519" s="77">
        <f>IF(ISERROR(VLOOKUP($U$2519,'TAR FIN'!$A$1:$O$95,15,0)),0,VLOOKUP($U$2519,'TAR FIN'!$A$1:$O$95,15,0))*(1-0.09)</f>
        <v>221.40300000000002</v>
      </c>
      <c r="Y2519" s="77"/>
      <c r="Z2519" s="77">
        <f ca="1">('TUSD BE'!$AM$53+'TUSD BF'!$AM$53+'TUSD CVA'!$AM$53)*1*(1-0.06)</f>
        <v>476.12865324271826</v>
      </c>
      <c r="AA2519" s="77">
        <f>('TE BE'!$AA$41+'TE BF'!$AA$41+'TE CVA'!$AA$41)*1*(1-0.06)</f>
        <v>279.36956391055907</v>
      </c>
      <c r="AB2519" s="6">
        <f>$K$2519*$V$2519</f>
        <v>0</v>
      </c>
      <c r="AC2519" s="6">
        <f>$M$2519*$W$2519</f>
        <v>808864.31885350007</v>
      </c>
      <c r="AD2519" s="6">
        <f>$O$2519*$X$2519</f>
        <v>437141.40424500004</v>
      </c>
      <c r="AE2519" s="6">
        <f>$K$2519*$Y$2519</f>
        <v>0</v>
      </c>
      <c r="AF2519" s="6">
        <f ca="1">$M$2519*$Z$2519</f>
        <v>940075.55489222158</v>
      </c>
      <c r="AG2519" s="6">
        <f>$O$2519*$AA$2519</f>
        <v>551591.45752846648</v>
      </c>
    </row>
    <row r="2520" spans="1:33" ht="11.25" customHeight="1" x14ac:dyDescent="0.25">
      <c r="A2520" s="4" t="s">
        <v>29</v>
      </c>
      <c r="B2520" s="4" t="s">
        <v>41</v>
      </c>
      <c r="C2520" s="4" t="s">
        <v>23</v>
      </c>
      <c r="D2520" s="4" t="s">
        <v>52</v>
      </c>
      <c r="E2520" s="4" t="s">
        <v>53</v>
      </c>
      <c r="F2520" s="4" t="s">
        <v>25</v>
      </c>
      <c r="G2520" s="4" t="s">
        <v>25</v>
      </c>
      <c r="H2520" s="4" t="s">
        <v>25</v>
      </c>
      <c r="I2520" s="5">
        <v>44228</v>
      </c>
      <c r="J2520" s="6">
        <v>0</v>
      </c>
      <c r="K2520" s="77">
        <v>0</v>
      </c>
      <c r="L2520" s="6">
        <v>-19.899999999999999</v>
      </c>
      <c r="M2520" s="77">
        <v>-19.899999999999999</v>
      </c>
      <c r="N2520" s="6">
        <v>-19.899999999999999</v>
      </c>
      <c r="O2520" s="77">
        <v>-19.899999999999999</v>
      </c>
      <c r="P2520" s="6">
        <v>0</v>
      </c>
      <c r="Q2520" s="4" t="s">
        <v>26</v>
      </c>
      <c r="R2520" s="4">
        <v>0</v>
      </c>
      <c r="S2520" s="6">
        <v>0</v>
      </c>
      <c r="T2520" s="6">
        <v>72</v>
      </c>
      <c r="U2520" s="6">
        <v>78</v>
      </c>
      <c r="V2520" s="77">
        <f>IF(ISERROR(VLOOKUP($S$2520,'TAR FIN'!$A$1:$O$95,15,0)),0,VLOOKUP($S$2520,'TAR FIN'!$A$1:$O$95,15,0))</f>
        <v>0</v>
      </c>
      <c r="W2520" s="77">
        <f>IF(ISERROR(VLOOKUP($T$2520,'TAR FIN'!$A$1:$O$95,15,0)),0,VLOOKUP($T$2520,'TAR FIN'!$A$1:$O$95,15,0))*(1-0.09)</f>
        <v>409.67290000000003</v>
      </c>
      <c r="X2520" s="77">
        <f>IF(ISERROR(VLOOKUP($U$2520,'TAR FIN'!$A$1:$O$95,15,0)),0,VLOOKUP($U$2520,'TAR FIN'!$A$1:$O$95,15,0))*(1-0.09)</f>
        <v>221.40300000000002</v>
      </c>
      <c r="Y2520" s="77"/>
      <c r="Z2520" s="77">
        <f ca="1">('TUSD BE'!$AM$53+'TUSD BF'!$AM$53+'TUSD CVA'!$AM$53)*1*(1-0.06)</f>
        <v>476.12865324271826</v>
      </c>
      <c r="AA2520" s="77">
        <f>('TE BE'!$AA$41+'TE BF'!$AA$41+'TE CVA'!$AA$41)*1*(1-0.06)</f>
        <v>279.36956391055907</v>
      </c>
      <c r="AB2520" s="6">
        <f>$K$2520*$V$2520</f>
        <v>0</v>
      </c>
      <c r="AC2520" s="6">
        <f>$M$2520*$W$2520</f>
        <v>-8152.49071</v>
      </c>
      <c r="AD2520" s="6">
        <f>$O$2520*$X$2520</f>
        <v>-4405.9197000000004</v>
      </c>
      <c r="AE2520" s="6">
        <f>$K$2520*$Y$2520</f>
        <v>0</v>
      </c>
      <c r="AF2520" s="6">
        <f ca="1">$M$2520*$Z$2520</f>
        <v>-9474.9601995300927</v>
      </c>
      <c r="AG2520" s="6">
        <f>$O$2520*$AA$2520</f>
        <v>-5559.4543218201252</v>
      </c>
    </row>
    <row r="2521" spans="1:33" ht="11.25" customHeight="1" x14ac:dyDescent="0.25">
      <c r="A2521" s="4" t="s">
        <v>21</v>
      </c>
      <c r="B2521" s="4" t="s">
        <v>41</v>
      </c>
      <c r="C2521" s="4" t="s">
        <v>23</v>
      </c>
      <c r="D2521" s="4" t="s">
        <v>52</v>
      </c>
      <c r="E2521" s="4" t="s">
        <v>53</v>
      </c>
      <c r="F2521" s="4" t="s">
        <v>25</v>
      </c>
      <c r="G2521" s="4" t="s">
        <v>25</v>
      </c>
      <c r="H2521" s="4" t="s">
        <v>25</v>
      </c>
      <c r="I2521" s="5">
        <v>44256</v>
      </c>
      <c r="J2521" s="6">
        <v>0</v>
      </c>
      <c r="K2521" s="77">
        <v>0</v>
      </c>
      <c r="L2521" s="6">
        <v>816.702</v>
      </c>
      <c r="M2521" s="77">
        <v>816.702</v>
      </c>
      <c r="N2521" s="6">
        <v>816.702</v>
      </c>
      <c r="O2521" s="77">
        <v>816.702</v>
      </c>
      <c r="P2521" s="6">
        <v>213</v>
      </c>
      <c r="Q2521" s="4" t="s">
        <v>26</v>
      </c>
      <c r="R2521" s="4">
        <v>0</v>
      </c>
      <c r="S2521" s="6">
        <v>0</v>
      </c>
      <c r="T2521" s="6">
        <v>72</v>
      </c>
      <c r="U2521" s="6">
        <v>78</v>
      </c>
      <c r="V2521" s="77">
        <f>IF(ISERROR(VLOOKUP($S$2521,'TAR FIN'!$A$1:$O$95,15,0)),0,VLOOKUP($S$2521,'TAR FIN'!$A$1:$O$95,15,0))</f>
        <v>0</v>
      </c>
      <c r="W2521" s="77">
        <f>IF(ISERROR(VLOOKUP($T$2521,'TAR FIN'!$A$1:$O$95,15,0)),0,VLOOKUP($T$2521,'TAR FIN'!$A$1:$O$95,15,0))*(1-0.09)</f>
        <v>409.67290000000003</v>
      </c>
      <c r="X2521" s="77">
        <f>IF(ISERROR(VLOOKUP($U$2521,'TAR FIN'!$A$1:$O$95,15,0)),0,VLOOKUP($U$2521,'TAR FIN'!$A$1:$O$95,15,0))*(1-0.09)</f>
        <v>221.40300000000002</v>
      </c>
      <c r="Y2521" s="77"/>
      <c r="Z2521" s="77">
        <f ca="1">('TUSD BE'!$AM$53+'TUSD BF'!$AM$53+'TUSD CVA'!$AM$53)*1*(1-0.06)</f>
        <v>476.12865324271826</v>
      </c>
      <c r="AA2521" s="77">
        <f>('TE BE'!$AA$41+'TE BF'!$AA$41+'TE CVA'!$AA$41)*1*(1-0.06)</f>
        <v>279.36956391055907</v>
      </c>
      <c r="AB2521" s="6">
        <f>$K$2521*$V$2521</f>
        <v>0</v>
      </c>
      <c r="AC2521" s="6">
        <f>$M$2521*$W$2521</f>
        <v>334580.67677580001</v>
      </c>
      <c r="AD2521" s="6">
        <f>$O$2521*$X$2521</f>
        <v>180820.27290600003</v>
      </c>
      <c r="AE2521" s="6">
        <f>$K$2521*$Y$2521</f>
        <v>0</v>
      </c>
      <c r="AF2521" s="6">
        <f ca="1">$M$2521*$Z$2521</f>
        <v>388855.22336063447</v>
      </c>
      <c r="AG2521" s="6">
        <f>$O$2521*$AA$2521</f>
        <v>228161.68158488141</v>
      </c>
    </row>
    <row r="2522" spans="1:33" ht="11.25" customHeight="1" x14ac:dyDescent="0.25">
      <c r="A2522" s="4" t="s">
        <v>28</v>
      </c>
      <c r="B2522" s="4" t="s">
        <v>41</v>
      </c>
      <c r="C2522" s="4" t="s">
        <v>23</v>
      </c>
      <c r="D2522" s="4" t="s">
        <v>52</v>
      </c>
      <c r="E2522" s="4" t="s">
        <v>53</v>
      </c>
      <c r="F2522" s="4" t="s">
        <v>25</v>
      </c>
      <c r="G2522" s="4" t="s">
        <v>25</v>
      </c>
      <c r="H2522" s="4" t="s">
        <v>25</v>
      </c>
      <c r="I2522" s="5">
        <v>44256</v>
      </c>
      <c r="J2522" s="6">
        <v>0</v>
      </c>
      <c r="K2522" s="77">
        <v>0</v>
      </c>
      <c r="L2522" s="6">
        <v>2085.8470000000002</v>
      </c>
      <c r="M2522" s="77">
        <v>2085.8470000000002</v>
      </c>
      <c r="N2522" s="6">
        <v>2085.8470000000002</v>
      </c>
      <c r="O2522" s="77">
        <v>2085.8470000000002</v>
      </c>
      <c r="P2522" s="6">
        <v>639</v>
      </c>
      <c r="Q2522" s="4" t="s">
        <v>26</v>
      </c>
      <c r="R2522" s="4">
        <v>0</v>
      </c>
      <c r="S2522" s="6">
        <v>0</v>
      </c>
      <c r="T2522" s="6">
        <v>72</v>
      </c>
      <c r="U2522" s="6">
        <v>78</v>
      </c>
      <c r="V2522" s="77">
        <f>IF(ISERROR(VLOOKUP($S$2522,'TAR FIN'!$A$1:$O$95,15,0)),0,VLOOKUP($S$2522,'TAR FIN'!$A$1:$O$95,15,0))</f>
        <v>0</v>
      </c>
      <c r="W2522" s="77">
        <f>IF(ISERROR(VLOOKUP($T$2522,'TAR FIN'!$A$1:$O$95,15,0)),0,VLOOKUP($T$2522,'TAR FIN'!$A$1:$O$95,15,0))*(1-0.09)</f>
        <v>409.67290000000003</v>
      </c>
      <c r="X2522" s="77">
        <f>IF(ISERROR(VLOOKUP($U$2522,'TAR FIN'!$A$1:$O$95,15,0)),0,VLOOKUP($U$2522,'TAR FIN'!$A$1:$O$95,15,0))*(1-0.09)</f>
        <v>221.40300000000002</v>
      </c>
      <c r="Y2522" s="77"/>
      <c r="Z2522" s="77">
        <f ca="1">('TUSD BE'!$AM$53+'TUSD BF'!$AM$53+'TUSD CVA'!$AM$53)*1*(1-0.06)</f>
        <v>476.12865324271826</v>
      </c>
      <c r="AA2522" s="77">
        <f>('TE BE'!$AA$41+'TE BF'!$AA$41+'TE CVA'!$AA$41)*1*(1-0.06)</f>
        <v>279.36956391055907</v>
      </c>
      <c r="AB2522" s="6">
        <f>$K$2522*$V$2522</f>
        <v>0</v>
      </c>
      <c r="AC2522" s="6">
        <f>$M$2522*$W$2522</f>
        <v>854514.9894463002</v>
      </c>
      <c r="AD2522" s="6">
        <f>$O$2522*$X$2522</f>
        <v>461812.78334100009</v>
      </c>
      <c r="AE2522" s="6">
        <f>$K$2522*$Y$2522</f>
        <v>0</v>
      </c>
      <c r="AF2522" s="6">
        <f ca="1">$M$2522*$Z$2522</f>
        <v>993131.52298036427</v>
      </c>
      <c r="AG2522" s="6">
        <f>$O$2522*$AA$2522</f>
        <v>582722.16677414801</v>
      </c>
    </row>
    <row r="2523" spans="1:33" ht="11.25" customHeight="1" x14ac:dyDescent="0.25">
      <c r="A2523" s="4" t="s">
        <v>29</v>
      </c>
      <c r="B2523" s="4" t="s">
        <v>41</v>
      </c>
      <c r="C2523" s="4" t="s">
        <v>23</v>
      </c>
      <c r="D2523" s="4" t="s">
        <v>52</v>
      </c>
      <c r="E2523" s="4" t="s">
        <v>53</v>
      </c>
      <c r="F2523" s="4" t="s">
        <v>25</v>
      </c>
      <c r="G2523" s="4" t="s">
        <v>25</v>
      </c>
      <c r="H2523" s="4" t="s">
        <v>25</v>
      </c>
      <c r="I2523" s="5">
        <v>44256</v>
      </c>
      <c r="J2523" s="6">
        <v>0</v>
      </c>
      <c r="K2523" s="77">
        <v>0</v>
      </c>
      <c r="L2523" s="6">
        <v>-36.567999999999998</v>
      </c>
      <c r="M2523" s="77">
        <v>-36.567999999999998</v>
      </c>
      <c r="N2523" s="6">
        <v>-36.567999999999998</v>
      </c>
      <c r="O2523" s="77">
        <v>-36.567999999999998</v>
      </c>
      <c r="P2523" s="6">
        <v>0</v>
      </c>
      <c r="Q2523" s="4" t="s">
        <v>26</v>
      </c>
      <c r="R2523" s="4">
        <v>0</v>
      </c>
      <c r="S2523" s="6">
        <v>0</v>
      </c>
      <c r="T2523" s="6">
        <v>72</v>
      </c>
      <c r="U2523" s="6">
        <v>78</v>
      </c>
      <c r="V2523" s="77">
        <f>IF(ISERROR(VLOOKUP($S$2523,'TAR FIN'!$A$1:$O$95,15,0)),0,VLOOKUP($S$2523,'TAR FIN'!$A$1:$O$95,15,0))</f>
        <v>0</v>
      </c>
      <c r="W2523" s="77">
        <f>IF(ISERROR(VLOOKUP($T$2523,'TAR FIN'!$A$1:$O$95,15,0)),0,VLOOKUP($T$2523,'TAR FIN'!$A$1:$O$95,15,0))*(1-0.09)</f>
        <v>409.67290000000003</v>
      </c>
      <c r="X2523" s="77">
        <f>IF(ISERROR(VLOOKUP($U$2523,'TAR FIN'!$A$1:$O$95,15,0)),0,VLOOKUP($U$2523,'TAR FIN'!$A$1:$O$95,15,0))*(1-0.09)</f>
        <v>221.40300000000002</v>
      </c>
      <c r="Y2523" s="77"/>
      <c r="Z2523" s="77">
        <f ca="1">('TUSD BE'!$AM$53+'TUSD BF'!$AM$53+'TUSD CVA'!$AM$53)*1*(1-0.06)</f>
        <v>476.12865324271826</v>
      </c>
      <c r="AA2523" s="77">
        <f>('TE BE'!$AA$41+'TE BF'!$AA$41+'TE CVA'!$AA$41)*1*(1-0.06)</f>
        <v>279.36956391055907</v>
      </c>
      <c r="AB2523" s="6">
        <f>$K$2523*$V$2523</f>
        <v>0</v>
      </c>
      <c r="AC2523" s="6">
        <f>$M$2523*$W$2523</f>
        <v>-14980.918607199999</v>
      </c>
      <c r="AD2523" s="6">
        <f>$O$2523*$X$2523</f>
        <v>-8096.2649040000006</v>
      </c>
      <c r="AE2523" s="6">
        <f>$K$2523*$Y$2523</f>
        <v>0</v>
      </c>
      <c r="AF2523" s="6">
        <f ca="1">$M$2523*$Z$2523</f>
        <v>-17411.072591779721</v>
      </c>
      <c r="AG2523" s="6">
        <f>$O$2523*$AA$2523</f>
        <v>-10215.986213081324</v>
      </c>
    </row>
    <row r="2524" spans="1:33" ht="11.25" customHeight="1" x14ac:dyDescent="0.25">
      <c r="A2524" s="4" t="s">
        <v>21</v>
      </c>
      <c r="B2524" s="4" t="s">
        <v>41</v>
      </c>
      <c r="C2524" s="4" t="s">
        <v>23</v>
      </c>
      <c r="D2524" s="4" t="s">
        <v>52</v>
      </c>
      <c r="E2524" s="4" t="s">
        <v>53</v>
      </c>
      <c r="F2524" s="4" t="s">
        <v>25</v>
      </c>
      <c r="G2524" s="4" t="s">
        <v>25</v>
      </c>
      <c r="H2524" s="4" t="s">
        <v>25</v>
      </c>
      <c r="I2524" s="5">
        <v>44287</v>
      </c>
      <c r="J2524" s="6">
        <v>0</v>
      </c>
      <c r="K2524" s="77">
        <v>0</v>
      </c>
      <c r="L2524" s="6">
        <v>862.18600000000004</v>
      </c>
      <c r="M2524" s="77">
        <v>862.18600000000004</v>
      </c>
      <c r="N2524" s="6">
        <v>862.18600000000004</v>
      </c>
      <c r="O2524" s="77">
        <v>862.18600000000004</v>
      </c>
      <c r="P2524" s="6">
        <v>226</v>
      </c>
      <c r="Q2524" s="4" t="s">
        <v>26</v>
      </c>
      <c r="R2524" s="4">
        <v>0</v>
      </c>
      <c r="S2524" s="6">
        <v>0</v>
      </c>
      <c r="T2524" s="6">
        <v>72</v>
      </c>
      <c r="U2524" s="6">
        <v>78</v>
      </c>
      <c r="V2524" s="77">
        <f>IF(ISERROR(VLOOKUP($S$2524,'TAR FIN'!$A$1:$O$95,15,0)),0,VLOOKUP($S$2524,'TAR FIN'!$A$1:$O$95,15,0))</f>
        <v>0</v>
      </c>
      <c r="W2524" s="77">
        <f>IF(ISERROR(VLOOKUP($T$2524,'TAR FIN'!$A$1:$O$95,15,0)),0,VLOOKUP($T$2524,'TAR FIN'!$A$1:$O$95,15,0))*(1-0.09)</f>
        <v>409.67290000000003</v>
      </c>
      <c r="X2524" s="77">
        <f>IF(ISERROR(VLOOKUP($U$2524,'TAR FIN'!$A$1:$O$95,15,0)),0,VLOOKUP($U$2524,'TAR FIN'!$A$1:$O$95,15,0))*(1-0.09)</f>
        <v>221.40300000000002</v>
      </c>
      <c r="Y2524" s="77"/>
      <c r="Z2524" s="77">
        <f ca="1">('TUSD BE'!$AM$53+'TUSD BF'!$AM$53+'TUSD CVA'!$AM$53)*1*(1-0.06)</f>
        <v>476.12865324271826</v>
      </c>
      <c r="AA2524" s="77">
        <f>('TE BE'!$AA$41+'TE BF'!$AA$41+'TE CVA'!$AA$41)*1*(1-0.06)</f>
        <v>279.36956391055907</v>
      </c>
      <c r="AB2524" s="6">
        <f>$K$2524*$V$2524</f>
        <v>0</v>
      </c>
      <c r="AC2524" s="6">
        <f>$M$2524*$W$2524</f>
        <v>353214.23895940004</v>
      </c>
      <c r="AD2524" s="6">
        <f>$O$2524*$X$2524</f>
        <v>190890.56695800004</v>
      </c>
      <c r="AE2524" s="6">
        <f>$K$2524*$Y$2524</f>
        <v>0</v>
      </c>
      <c r="AF2524" s="6">
        <f ca="1">$M$2524*$Z$2524</f>
        <v>410511.4590247263</v>
      </c>
      <c r="AG2524" s="6">
        <f>$O$2524*$AA$2524</f>
        <v>240868.52682978928</v>
      </c>
    </row>
    <row r="2525" spans="1:33" ht="11.25" customHeight="1" x14ac:dyDescent="0.25">
      <c r="A2525" s="4" t="s">
        <v>27</v>
      </c>
      <c r="B2525" s="4" t="s">
        <v>41</v>
      </c>
      <c r="C2525" s="4" t="s">
        <v>23</v>
      </c>
      <c r="D2525" s="4" t="s">
        <v>52</v>
      </c>
      <c r="E2525" s="4" t="s">
        <v>53</v>
      </c>
      <c r="F2525" s="4" t="s">
        <v>25</v>
      </c>
      <c r="G2525" s="4" t="s">
        <v>25</v>
      </c>
      <c r="H2525" s="4" t="s">
        <v>25</v>
      </c>
      <c r="I2525" s="5">
        <v>44287</v>
      </c>
      <c r="J2525" s="6">
        <v>0</v>
      </c>
      <c r="K2525" s="77">
        <v>0</v>
      </c>
      <c r="L2525" s="6">
        <v>-0.1</v>
      </c>
      <c r="M2525" s="77">
        <v>-0.1</v>
      </c>
      <c r="N2525" s="6">
        <v>-0.1</v>
      </c>
      <c r="O2525" s="77">
        <v>-0.1</v>
      </c>
      <c r="P2525" s="6">
        <v>0</v>
      </c>
      <c r="Q2525" s="4" t="s">
        <v>26</v>
      </c>
      <c r="R2525" s="4">
        <v>0</v>
      </c>
      <c r="S2525" s="6">
        <v>0</v>
      </c>
      <c r="T2525" s="6">
        <v>72</v>
      </c>
      <c r="U2525" s="6">
        <v>78</v>
      </c>
      <c r="V2525" s="77">
        <f>IF(ISERROR(VLOOKUP($S$2525,'TAR FIN'!$A$1:$O$95,15,0)),0,VLOOKUP($S$2525,'TAR FIN'!$A$1:$O$95,15,0))</f>
        <v>0</v>
      </c>
      <c r="W2525" s="77">
        <f>IF(ISERROR(VLOOKUP($T$2525,'TAR FIN'!$A$1:$O$95,15,0)),0,VLOOKUP($T$2525,'TAR FIN'!$A$1:$O$95,15,0))*(1-0.09)</f>
        <v>409.67290000000003</v>
      </c>
      <c r="X2525" s="77">
        <f>IF(ISERROR(VLOOKUP($U$2525,'TAR FIN'!$A$1:$O$95,15,0)),0,VLOOKUP($U$2525,'TAR FIN'!$A$1:$O$95,15,0))*(1-0.09)</f>
        <v>221.40300000000002</v>
      </c>
      <c r="Y2525" s="77"/>
      <c r="Z2525" s="77">
        <f ca="1">('TUSD BE'!$AM$53+'TUSD BF'!$AM$53+'TUSD CVA'!$AM$53)*1*(1-0.06)</f>
        <v>476.12865324271826</v>
      </c>
      <c r="AA2525" s="77">
        <f>('TE BE'!$AA$41+'TE BF'!$AA$41+'TE CVA'!$AA$41)*1*(1-0.06)</f>
        <v>279.36956391055907</v>
      </c>
      <c r="AB2525" s="6">
        <f>$K$2525*$V$2525</f>
        <v>0</v>
      </c>
      <c r="AC2525" s="6">
        <f>$M$2525*$W$2525</f>
        <v>-40.967290000000006</v>
      </c>
      <c r="AD2525" s="6">
        <f>$O$2525*$X$2525</f>
        <v>-22.140300000000003</v>
      </c>
      <c r="AE2525" s="6">
        <f>$K$2525*$Y$2525</f>
        <v>0</v>
      </c>
      <c r="AF2525" s="6">
        <f ca="1">$M$2525*$Z$2525</f>
        <v>-47.61286532427183</v>
      </c>
      <c r="AG2525" s="6">
        <f>$O$2525*$AA$2525</f>
        <v>-27.936956391055908</v>
      </c>
    </row>
    <row r="2526" spans="1:33" ht="11.25" customHeight="1" x14ac:dyDescent="0.25">
      <c r="A2526" s="4" t="s">
        <v>28</v>
      </c>
      <c r="B2526" s="4" t="s">
        <v>41</v>
      </c>
      <c r="C2526" s="4" t="s">
        <v>23</v>
      </c>
      <c r="D2526" s="4" t="s">
        <v>52</v>
      </c>
      <c r="E2526" s="4" t="s">
        <v>53</v>
      </c>
      <c r="F2526" s="4" t="s">
        <v>25</v>
      </c>
      <c r="G2526" s="4" t="s">
        <v>25</v>
      </c>
      <c r="H2526" s="4" t="s">
        <v>25</v>
      </c>
      <c r="I2526" s="5">
        <v>44287</v>
      </c>
      <c r="J2526" s="6">
        <v>0</v>
      </c>
      <c r="K2526" s="77">
        <v>0</v>
      </c>
      <c r="L2526" s="6">
        <v>2482.41</v>
      </c>
      <c r="M2526" s="77">
        <v>2482.41</v>
      </c>
      <c r="N2526" s="6">
        <v>2482.41</v>
      </c>
      <c r="O2526" s="77">
        <v>2482.41</v>
      </c>
      <c r="P2526" s="6">
        <v>955</v>
      </c>
      <c r="Q2526" s="4" t="s">
        <v>26</v>
      </c>
      <c r="R2526" s="4">
        <v>0</v>
      </c>
      <c r="S2526" s="6">
        <v>0</v>
      </c>
      <c r="T2526" s="6">
        <v>72</v>
      </c>
      <c r="U2526" s="6">
        <v>78</v>
      </c>
      <c r="V2526" s="77">
        <f>IF(ISERROR(VLOOKUP($S$2526,'TAR FIN'!$A$1:$O$95,15,0)),0,VLOOKUP($S$2526,'TAR FIN'!$A$1:$O$95,15,0))</f>
        <v>0</v>
      </c>
      <c r="W2526" s="77">
        <f>IF(ISERROR(VLOOKUP($T$2526,'TAR FIN'!$A$1:$O$95,15,0)),0,VLOOKUP($T$2526,'TAR FIN'!$A$1:$O$95,15,0))*(1-0.09)</f>
        <v>409.67290000000003</v>
      </c>
      <c r="X2526" s="77">
        <f>IF(ISERROR(VLOOKUP($U$2526,'TAR FIN'!$A$1:$O$95,15,0)),0,VLOOKUP($U$2526,'TAR FIN'!$A$1:$O$95,15,0))*(1-0.09)</f>
        <v>221.40300000000002</v>
      </c>
      <c r="Y2526" s="77"/>
      <c r="Z2526" s="77">
        <f ca="1">('TUSD BE'!$AM$53+'TUSD BF'!$AM$53+'TUSD CVA'!$AM$53)*1*(1-0.06)</f>
        <v>476.12865324271826</v>
      </c>
      <c r="AA2526" s="77">
        <f>('TE BE'!$AA$41+'TE BF'!$AA$41+'TE CVA'!$AA$41)*1*(1-0.06)</f>
        <v>279.36956391055907</v>
      </c>
      <c r="AB2526" s="6">
        <f>$K$2526*$V$2526</f>
        <v>0</v>
      </c>
      <c r="AC2526" s="6">
        <f>$M$2526*$W$2526</f>
        <v>1016976.103689</v>
      </c>
      <c r="AD2526" s="6">
        <f>$O$2526*$X$2526</f>
        <v>549613.02123000007</v>
      </c>
      <c r="AE2526" s="6">
        <f>$K$2526*$Y$2526</f>
        <v>0</v>
      </c>
      <c r="AF2526" s="6">
        <f ca="1">$M$2526*$Z$2526</f>
        <v>1181946.5300962562</v>
      </c>
      <c r="AG2526" s="6">
        <f>$O$2526*$AA$2526</f>
        <v>693509.7991472109</v>
      </c>
    </row>
    <row r="2527" spans="1:33" ht="11.25" customHeight="1" x14ac:dyDescent="0.25">
      <c r="A2527" s="4" t="s">
        <v>29</v>
      </c>
      <c r="B2527" s="4" t="s">
        <v>41</v>
      </c>
      <c r="C2527" s="4" t="s">
        <v>23</v>
      </c>
      <c r="D2527" s="4" t="s">
        <v>52</v>
      </c>
      <c r="E2527" s="4" t="s">
        <v>53</v>
      </c>
      <c r="F2527" s="4" t="s">
        <v>25</v>
      </c>
      <c r="G2527" s="4" t="s">
        <v>25</v>
      </c>
      <c r="H2527" s="4" t="s">
        <v>25</v>
      </c>
      <c r="I2527" s="5">
        <v>44287</v>
      </c>
      <c r="J2527" s="6">
        <v>0</v>
      </c>
      <c r="K2527" s="77">
        <v>0</v>
      </c>
      <c r="L2527" s="6">
        <v>-20.713000000000001</v>
      </c>
      <c r="M2527" s="77">
        <v>-20.713000000000001</v>
      </c>
      <c r="N2527" s="6">
        <v>-20.713000000000001</v>
      </c>
      <c r="O2527" s="77">
        <v>-20.713000000000001</v>
      </c>
      <c r="P2527" s="6">
        <v>0</v>
      </c>
      <c r="Q2527" s="4" t="s">
        <v>26</v>
      </c>
      <c r="R2527" s="4">
        <v>0</v>
      </c>
      <c r="S2527" s="6">
        <v>0</v>
      </c>
      <c r="T2527" s="6">
        <v>72</v>
      </c>
      <c r="U2527" s="6">
        <v>78</v>
      </c>
      <c r="V2527" s="77">
        <f>IF(ISERROR(VLOOKUP($S$2527,'TAR FIN'!$A$1:$O$95,15,0)),0,VLOOKUP($S$2527,'TAR FIN'!$A$1:$O$95,15,0))</f>
        <v>0</v>
      </c>
      <c r="W2527" s="77">
        <f>IF(ISERROR(VLOOKUP($T$2527,'TAR FIN'!$A$1:$O$95,15,0)),0,VLOOKUP($T$2527,'TAR FIN'!$A$1:$O$95,15,0))*(1-0.09)</f>
        <v>409.67290000000003</v>
      </c>
      <c r="X2527" s="77">
        <f>IF(ISERROR(VLOOKUP($U$2527,'TAR FIN'!$A$1:$O$95,15,0)),0,VLOOKUP($U$2527,'TAR FIN'!$A$1:$O$95,15,0))*(1-0.09)</f>
        <v>221.40300000000002</v>
      </c>
      <c r="Y2527" s="77"/>
      <c r="Z2527" s="77">
        <f ca="1">('TUSD BE'!$AM$53+'TUSD BF'!$AM$53+'TUSD CVA'!$AM$53)*1*(1-0.06)</f>
        <v>476.12865324271826</v>
      </c>
      <c r="AA2527" s="77">
        <f>('TE BE'!$AA$41+'TE BF'!$AA$41+'TE CVA'!$AA$41)*1*(1-0.06)</f>
        <v>279.36956391055907</v>
      </c>
      <c r="AB2527" s="6">
        <f>$K$2527*$V$2527</f>
        <v>0</v>
      </c>
      <c r="AC2527" s="6">
        <f>$M$2527*$W$2527</f>
        <v>-8485.5547777000011</v>
      </c>
      <c r="AD2527" s="6">
        <f>$O$2527*$X$2527</f>
        <v>-4585.9203390000002</v>
      </c>
      <c r="AE2527" s="6">
        <f>$K$2527*$Y$2527</f>
        <v>0</v>
      </c>
      <c r="AF2527" s="6">
        <f ca="1">$M$2527*$Z$2527</f>
        <v>-9862.0527946164239</v>
      </c>
      <c r="AG2527" s="6">
        <f>$O$2527*$AA$2527</f>
        <v>-5786.5817772794098</v>
      </c>
    </row>
    <row r="2528" spans="1:33" ht="11.25" customHeight="1" x14ac:dyDescent="0.25">
      <c r="A2528" s="4" t="s">
        <v>21</v>
      </c>
      <c r="B2528" s="4" t="s">
        <v>41</v>
      </c>
      <c r="C2528" s="4" t="s">
        <v>23</v>
      </c>
      <c r="D2528" s="4" t="s">
        <v>52</v>
      </c>
      <c r="E2528" s="4" t="s">
        <v>53</v>
      </c>
      <c r="F2528" s="4" t="s">
        <v>25</v>
      </c>
      <c r="G2528" s="4" t="s">
        <v>25</v>
      </c>
      <c r="H2528" s="4" t="s">
        <v>25</v>
      </c>
      <c r="I2528" s="5">
        <v>44317</v>
      </c>
      <c r="J2528" s="6">
        <v>0</v>
      </c>
      <c r="K2528" s="77">
        <v>0</v>
      </c>
      <c r="L2528" s="6">
        <v>886.2</v>
      </c>
      <c r="M2528" s="77">
        <v>886.2</v>
      </c>
      <c r="N2528" s="6">
        <v>886.2</v>
      </c>
      <c r="O2528" s="77">
        <v>886.2</v>
      </c>
      <c r="P2528" s="6">
        <v>235</v>
      </c>
      <c r="Q2528" s="4" t="s">
        <v>26</v>
      </c>
      <c r="R2528" s="4">
        <v>0</v>
      </c>
      <c r="S2528" s="6">
        <v>0</v>
      </c>
      <c r="T2528" s="6">
        <v>72</v>
      </c>
      <c r="U2528" s="6">
        <v>78</v>
      </c>
      <c r="V2528" s="77">
        <f>IF(ISERROR(VLOOKUP($S$2528,'TAR FIN'!$A$1:$O$95,15,0)),0,VLOOKUP($S$2528,'TAR FIN'!$A$1:$O$95,15,0))</f>
        <v>0</v>
      </c>
      <c r="W2528" s="77">
        <f>IF(ISERROR(VLOOKUP($T$2528,'TAR FIN'!$A$1:$O$95,15,0)),0,VLOOKUP($T$2528,'TAR FIN'!$A$1:$O$95,15,0))*(1-0.09)</f>
        <v>409.67290000000003</v>
      </c>
      <c r="X2528" s="77">
        <f>IF(ISERROR(VLOOKUP($U$2528,'TAR FIN'!$A$1:$O$95,15,0)),0,VLOOKUP($U$2528,'TAR FIN'!$A$1:$O$95,15,0))*(1-0.09)</f>
        <v>221.40300000000002</v>
      </c>
      <c r="Y2528" s="77"/>
      <c r="Z2528" s="77">
        <f ca="1">('TUSD BE'!$AM$53+'TUSD BF'!$AM$53+'TUSD CVA'!$AM$53)*1*(1-0.06)</f>
        <v>476.12865324271826</v>
      </c>
      <c r="AA2528" s="77">
        <f>('TE BE'!$AA$41+'TE BF'!$AA$41+'TE CVA'!$AA$41)*1*(1-0.06)</f>
        <v>279.36956391055907</v>
      </c>
      <c r="AB2528" s="6">
        <f>$K$2528*$V$2528</f>
        <v>0</v>
      </c>
      <c r="AC2528" s="6">
        <f>$M$2528*$W$2528</f>
        <v>363052.12398000003</v>
      </c>
      <c r="AD2528" s="6">
        <f>$O$2528*$X$2528</f>
        <v>196207.33860000002</v>
      </c>
      <c r="AE2528" s="6">
        <f>$K$2528*$Y$2528</f>
        <v>0</v>
      </c>
      <c r="AF2528" s="6">
        <f ca="1">$M$2528*$Z$2528</f>
        <v>421945.21250369697</v>
      </c>
      <c r="AG2528" s="6">
        <f>$O$2528*$AA$2528</f>
        <v>247577.30753753745</v>
      </c>
    </row>
    <row r="2529" spans="1:33" ht="11.25" customHeight="1" x14ac:dyDescent="0.25">
      <c r="A2529" s="4" t="s">
        <v>28</v>
      </c>
      <c r="B2529" s="4" t="s">
        <v>41</v>
      </c>
      <c r="C2529" s="4" t="s">
        <v>23</v>
      </c>
      <c r="D2529" s="4" t="s">
        <v>52</v>
      </c>
      <c r="E2529" s="4" t="s">
        <v>53</v>
      </c>
      <c r="F2529" s="4" t="s">
        <v>25</v>
      </c>
      <c r="G2529" s="4" t="s">
        <v>25</v>
      </c>
      <c r="H2529" s="4" t="s">
        <v>25</v>
      </c>
      <c r="I2529" s="5">
        <v>44317</v>
      </c>
      <c r="J2529" s="6">
        <v>0</v>
      </c>
      <c r="K2529" s="77">
        <v>0</v>
      </c>
      <c r="L2529" s="6">
        <v>2832.8850000000002</v>
      </c>
      <c r="M2529" s="77">
        <v>2832.8850000000002</v>
      </c>
      <c r="N2529" s="6">
        <v>2832.8850000000002</v>
      </c>
      <c r="O2529" s="77">
        <v>2832.8850000000002</v>
      </c>
      <c r="P2529" s="6">
        <v>1296</v>
      </c>
      <c r="Q2529" s="4" t="s">
        <v>26</v>
      </c>
      <c r="R2529" s="4">
        <v>0</v>
      </c>
      <c r="S2529" s="6">
        <v>0</v>
      </c>
      <c r="T2529" s="6">
        <v>72</v>
      </c>
      <c r="U2529" s="6">
        <v>78</v>
      </c>
      <c r="V2529" s="77">
        <f>IF(ISERROR(VLOOKUP($S$2529,'TAR FIN'!$A$1:$O$95,15,0)),0,VLOOKUP($S$2529,'TAR FIN'!$A$1:$O$95,15,0))</f>
        <v>0</v>
      </c>
      <c r="W2529" s="77">
        <f>IF(ISERROR(VLOOKUP($T$2529,'TAR FIN'!$A$1:$O$95,15,0)),0,VLOOKUP($T$2529,'TAR FIN'!$A$1:$O$95,15,0))*(1-0.09)</f>
        <v>409.67290000000003</v>
      </c>
      <c r="X2529" s="77">
        <f>IF(ISERROR(VLOOKUP($U$2529,'TAR FIN'!$A$1:$O$95,15,0)),0,VLOOKUP($U$2529,'TAR FIN'!$A$1:$O$95,15,0))*(1-0.09)</f>
        <v>221.40300000000002</v>
      </c>
      <c r="Y2529" s="77"/>
      <c r="Z2529" s="77">
        <f ca="1">('TUSD BE'!$AM$53+'TUSD BF'!$AM$53+'TUSD CVA'!$AM$53)*1*(1-0.06)</f>
        <v>476.12865324271826</v>
      </c>
      <c r="AA2529" s="77">
        <f>('TE BE'!$AA$41+'TE BF'!$AA$41+'TE CVA'!$AA$41)*1*(1-0.06)</f>
        <v>279.36956391055907</v>
      </c>
      <c r="AB2529" s="6">
        <f>$K$2529*$V$2529</f>
        <v>0</v>
      </c>
      <c r="AC2529" s="6">
        <f>$M$2529*$W$2529</f>
        <v>1160556.2133165002</v>
      </c>
      <c r="AD2529" s="6">
        <f>$O$2529*$X$2529</f>
        <v>627209.23765500006</v>
      </c>
      <c r="AE2529" s="6">
        <f>$K$2529*$Y$2529</f>
        <v>0</v>
      </c>
      <c r="AF2529" s="6">
        <f ca="1">$M$2529*$Z$2529</f>
        <v>1348817.719841498</v>
      </c>
      <c r="AG2529" s="6">
        <f>$O$2529*$AA$2529</f>
        <v>791421.84705876419</v>
      </c>
    </row>
    <row r="2530" spans="1:33" ht="11.25" customHeight="1" x14ac:dyDescent="0.25">
      <c r="A2530" s="4" t="s">
        <v>29</v>
      </c>
      <c r="B2530" s="4" t="s">
        <v>41</v>
      </c>
      <c r="C2530" s="4" t="s">
        <v>23</v>
      </c>
      <c r="D2530" s="4" t="s">
        <v>52</v>
      </c>
      <c r="E2530" s="4" t="s">
        <v>53</v>
      </c>
      <c r="F2530" s="4" t="s">
        <v>25</v>
      </c>
      <c r="G2530" s="4" t="s">
        <v>25</v>
      </c>
      <c r="H2530" s="4" t="s">
        <v>25</v>
      </c>
      <c r="I2530" s="5">
        <v>44317</v>
      </c>
      <c r="J2530" s="6">
        <v>0</v>
      </c>
      <c r="K2530" s="77">
        <v>0</v>
      </c>
      <c r="L2530" s="6">
        <v>36.384</v>
      </c>
      <c r="M2530" s="77">
        <v>36.384</v>
      </c>
      <c r="N2530" s="6">
        <v>36.384</v>
      </c>
      <c r="O2530" s="77">
        <v>36.384</v>
      </c>
      <c r="P2530" s="6">
        <v>0</v>
      </c>
      <c r="Q2530" s="4" t="s">
        <v>26</v>
      </c>
      <c r="R2530" s="4">
        <v>0</v>
      </c>
      <c r="S2530" s="6">
        <v>0</v>
      </c>
      <c r="T2530" s="6">
        <v>72</v>
      </c>
      <c r="U2530" s="6">
        <v>78</v>
      </c>
      <c r="V2530" s="77">
        <f>IF(ISERROR(VLOOKUP($S$2530,'TAR FIN'!$A$1:$O$95,15,0)),0,VLOOKUP($S$2530,'TAR FIN'!$A$1:$O$95,15,0))</f>
        <v>0</v>
      </c>
      <c r="W2530" s="77">
        <f>IF(ISERROR(VLOOKUP($T$2530,'TAR FIN'!$A$1:$O$95,15,0)),0,VLOOKUP($T$2530,'TAR FIN'!$A$1:$O$95,15,0))*(1-0.09)</f>
        <v>409.67290000000003</v>
      </c>
      <c r="X2530" s="77">
        <f>IF(ISERROR(VLOOKUP($U$2530,'TAR FIN'!$A$1:$O$95,15,0)),0,VLOOKUP($U$2530,'TAR FIN'!$A$1:$O$95,15,0))*(1-0.09)</f>
        <v>221.40300000000002</v>
      </c>
      <c r="Y2530" s="77"/>
      <c r="Z2530" s="77">
        <f ca="1">('TUSD BE'!$AM$53+'TUSD BF'!$AM$53+'TUSD CVA'!$AM$53)*1*(1-0.06)</f>
        <v>476.12865324271826</v>
      </c>
      <c r="AA2530" s="77">
        <f>('TE BE'!$AA$41+'TE BF'!$AA$41+'TE CVA'!$AA$41)*1*(1-0.06)</f>
        <v>279.36956391055907</v>
      </c>
      <c r="AB2530" s="6">
        <f>$K$2530*$V$2530</f>
        <v>0</v>
      </c>
      <c r="AC2530" s="6">
        <f>$M$2530*$W$2530</f>
        <v>14905.538793600001</v>
      </c>
      <c r="AD2530" s="6">
        <f>$O$2530*$X$2530</f>
        <v>8055.5267520000007</v>
      </c>
      <c r="AE2530" s="6">
        <f>$K$2530*$Y$2530</f>
        <v>0</v>
      </c>
      <c r="AF2530" s="6">
        <f ca="1">$M$2530*$Z$2530</f>
        <v>17323.464919583061</v>
      </c>
      <c r="AG2530" s="6">
        <f>$O$2530*$AA$2530</f>
        <v>10164.582213321781</v>
      </c>
    </row>
    <row r="2531" spans="1:33" ht="11.25" customHeight="1" x14ac:dyDescent="0.25">
      <c r="A2531" s="4" t="s">
        <v>21</v>
      </c>
      <c r="B2531" s="4" t="s">
        <v>41</v>
      </c>
      <c r="C2531" s="4" t="s">
        <v>23</v>
      </c>
      <c r="D2531" s="4" t="s">
        <v>52</v>
      </c>
      <c r="E2531" s="4" t="s">
        <v>53</v>
      </c>
      <c r="F2531" s="4" t="s">
        <v>25</v>
      </c>
      <c r="G2531" s="4" t="s">
        <v>25</v>
      </c>
      <c r="H2531" s="4" t="s">
        <v>25</v>
      </c>
      <c r="I2531" s="5">
        <v>44348</v>
      </c>
      <c r="J2531" s="6">
        <v>0</v>
      </c>
      <c r="K2531" s="77">
        <v>0</v>
      </c>
      <c r="L2531" s="6">
        <v>983.73</v>
      </c>
      <c r="M2531" s="77">
        <v>983.73</v>
      </c>
      <c r="N2531" s="6">
        <v>983.73</v>
      </c>
      <c r="O2531" s="77">
        <v>983.73</v>
      </c>
      <c r="P2531" s="6">
        <v>238</v>
      </c>
      <c r="Q2531" s="4" t="s">
        <v>26</v>
      </c>
      <c r="R2531" s="4">
        <v>0</v>
      </c>
      <c r="S2531" s="6">
        <v>0</v>
      </c>
      <c r="T2531" s="6">
        <v>72</v>
      </c>
      <c r="U2531" s="6">
        <v>78</v>
      </c>
      <c r="V2531" s="77">
        <f>IF(ISERROR(VLOOKUP($S$2531,'TAR FIN'!$A$1:$O$95,15,0)),0,VLOOKUP($S$2531,'TAR FIN'!$A$1:$O$95,15,0))</f>
        <v>0</v>
      </c>
      <c r="W2531" s="77">
        <f>IF(ISERROR(VLOOKUP($T$2531,'TAR FIN'!$A$1:$O$95,15,0)),0,VLOOKUP($T$2531,'TAR FIN'!$A$1:$O$95,15,0))*(1-0.09)</f>
        <v>409.67290000000003</v>
      </c>
      <c r="X2531" s="77">
        <f>IF(ISERROR(VLOOKUP($U$2531,'TAR FIN'!$A$1:$O$95,15,0)),0,VLOOKUP($U$2531,'TAR FIN'!$A$1:$O$95,15,0))*(1-0.09)</f>
        <v>221.40300000000002</v>
      </c>
      <c r="Y2531" s="77"/>
      <c r="Z2531" s="77">
        <f ca="1">('TUSD BE'!$AM$53+'TUSD BF'!$AM$53+'TUSD CVA'!$AM$53)*1*(1-0.06)</f>
        <v>476.12865324271826</v>
      </c>
      <c r="AA2531" s="77">
        <f>('TE BE'!$AA$41+'TE BF'!$AA$41+'TE CVA'!$AA$41)*1*(1-0.06)</f>
        <v>279.36956391055907</v>
      </c>
      <c r="AB2531" s="6">
        <f>$K$2531*$V$2531</f>
        <v>0</v>
      </c>
      <c r="AC2531" s="6">
        <f>$M$2531*$W$2531</f>
        <v>403007.52191700001</v>
      </c>
      <c r="AD2531" s="6">
        <f>$O$2531*$X$2531</f>
        <v>217800.77319000004</v>
      </c>
      <c r="AE2531" s="6">
        <f>$K$2531*$Y$2531</f>
        <v>0</v>
      </c>
      <c r="AF2531" s="6">
        <f ca="1">$M$2531*$Z$2531</f>
        <v>468382.04005445924</v>
      </c>
      <c r="AG2531" s="6">
        <f>$O$2531*$AA$2531</f>
        <v>274824.22110573429</v>
      </c>
    </row>
    <row r="2532" spans="1:33" ht="11.25" customHeight="1" x14ac:dyDescent="0.25">
      <c r="A2532" s="4" t="s">
        <v>28</v>
      </c>
      <c r="B2532" s="4" t="s">
        <v>41</v>
      </c>
      <c r="C2532" s="4" t="s">
        <v>23</v>
      </c>
      <c r="D2532" s="4" t="s">
        <v>52</v>
      </c>
      <c r="E2532" s="4" t="s">
        <v>53</v>
      </c>
      <c r="F2532" s="4" t="s">
        <v>25</v>
      </c>
      <c r="G2532" s="4" t="s">
        <v>25</v>
      </c>
      <c r="H2532" s="4" t="s">
        <v>25</v>
      </c>
      <c r="I2532" s="5">
        <v>44348</v>
      </c>
      <c r="J2532" s="6">
        <v>0</v>
      </c>
      <c r="K2532" s="77">
        <v>0</v>
      </c>
      <c r="L2532" s="6">
        <v>3058.877</v>
      </c>
      <c r="M2532" s="77">
        <v>3058.877</v>
      </c>
      <c r="N2532" s="6">
        <v>3058.877</v>
      </c>
      <c r="O2532" s="77">
        <v>3058.877</v>
      </c>
      <c r="P2532" s="6">
        <v>1313</v>
      </c>
      <c r="Q2532" s="4" t="s">
        <v>26</v>
      </c>
      <c r="R2532" s="4">
        <v>0</v>
      </c>
      <c r="S2532" s="6">
        <v>0</v>
      </c>
      <c r="T2532" s="6">
        <v>72</v>
      </c>
      <c r="U2532" s="6">
        <v>78</v>
      </c>
      <c r="V2532" s="77">
        <f>IF(ISERROR(VLOOKUP($S$2532,'TAR FIN'!$A$1:$O$95,15,0)),0,VLOOKUP($S$2532,'TAR FIN'!$A$1:$O$95,15,0))</f>
        <v>0</v>
      </c>
      <c r="W2532" s="77">
        <f>IF(ISERROR(VLOOKUP($T$2532,'TAR FIN'!$A$1:$O$95,15,0)),0,VLOOKUP($T$2532,'TAR FIN'!$A$1:$O$95,15,0))*(1-0.09)</f>
        <v>409.67290000000003</v>
      </c>
      <c r="X2532" s="77">
        <f>IF(ISERROR(VLOOKUP($U$2532,'TAR FIN'!$A$1:$O$95,15,0)),0,VLOOKUP($U$2532,'TAR FIN'!$A$1:$O$95,15,0))*(1-0.09)</f>
        <v>221.40300000000002</v>
      </c>
      <c r="Y2532" s="77"/>
      <c r="Z2532" s="77">
        <f ca="1">('TUSD BE'!$AM$53+'TUSD BF'!$AM$53+'TUSD CVA'!$AM$53)*1*(1-0.06)</f>
        <v>476.12865324271826</v>
      </c>
      <c r="AA2532" s="77">
        <f>('TE BE'!$AA$41+'TE BF'!$AA$41+'TE CVA'!$AA$41)*1*(1-0.06)</f>
        <v>279.36956391055907</v>
      </c>
      <c r="AB2532" s="6">
        <f>$K$2532*$V$2532</f>
        <v>0</v>
      </c>
      <c r="AC2532" s="6">
        <f>$M$2532*$W$2532</f>
        <v>1253139.0113333</v>
      </c>
      <c r="AD2532" s="6">
        <f>$O$2532*$X$2532</f>
        <v>677244.54443100002</v>
      </c>
      <c r="AE2532" s="6">
        <f>$K$2532*$Y$2532</f>
        <v>0</v>
      </c>
      <c r="AF2532" s="6">
        <f ca="1">$M$2532*$Z$2532</f>
        <v>1456418.9864451264</v>
      </c>
      <c r="AG2532" s="6">
        <f>$O$2532*$AA$2532</f>
        <v>854557.13354603911</v>
      </c>
    </row>
    <row r="2533" spans="1:33" ht="11.25" customHeight="1" x14ac:dyDescent="0.25">
      <c r="A2533" s="4" t="s">
        <v>29</v>
      </c>
      <c r="B2533" s="4" t="s">
        <v>41</v>
      </c>
      <c r="C2533" s="4" t="s">
        <v>23</v>
      </c>
      <c r="D2533" s="4" t="s">
        <v>52</v>
      </c>
      <c r="E2533" s="4" t="s">
        <v>53</v>
      </c>
      <c r="F2533" s="4" t="s">
        <v>25</v>
      </c>
      <c r="G2533" s="4" t="s">
        <v>25</v>
      </c>
      <c r="H2533" s="4" t="s">
        <v>25</v>
      </c>
      <c r="I2533" s="5">
        <v>44348</v>
      </c>
      <c r="J2533" s="6">
        <v>0</v>
      </c>
      <c r="K2533" s="77">
        <v>0</v>
      </c>
      <c r="L2533" s="6">
        <v>29.552</v>
      </c>
      <c r="M2533" s="77">
        <v>29.552</v>
      </c>
      <c r="N2533" s="6">
        <v>29.552</v>
      </c>
      <c r="O2533" s="77">
        <v>29.552</v>
      </c>
      <c r="P2533" s="6">
        <v>0</v>
      </c>
      <c r="Q2533" s="4" t="s">
        <v>26</v>
      </c>
      <c r="R2533" s="4">
        <v>0</v>
      </c>
      <c r="S2533" s="6">
        <v>0</v>
      </c>
      <c r="T2533" s="6">
        <v>72</v>
      </c>
      <c r="U2533" s="6">
        <v>78</v>
      </c>
      <c r="V2533" s="77">
        <f>IF(ISERROR(VLOOKUP($S$2533,'TAR FIN'!$A$1:$O$95,15,0)),0,VLOOKUP($S$2533,'TAR FIN'!$A$1:$O$95,15,0))</f>
        <v>0</v>
      </c>
      <c r="W2533" s="77">
        <f>IF(ISERROR(VLOOKUP($T$2533,'TAR FIN'!$A$1:$O$95,15,0)),0,VLOOKUP($T$2533,'TAR FIN'!$A$1:$O$95,15,0))*(1-0.09)</f>
        <v>409.67290000000003</v>
      </c>
      <c r="X2533" s="77">
        <f>IF(ISERROR(VLOOKUP($U$2533,'TAR FIN'!$A$1:$O$95,15,0)),0,VLOOKUP($U$2533,'TAR FIN'!$A$1:$O$95,15,0))*(1-0.09)</f>
        <v>221.40300000000002</v>
      </c>
      <c r="Y2533" s="77"/>
      <c r="Z2533" s="77">
        <f ca="1">('TUSD BE'!$AM$53+'TUSD BF'!$AM$53+'TUSD CVA'!$AM$53)*1*(1-0.06)</f>
        <v>476.12865324271826</v>
      </c>
      <c r="AA2533" s="77">
        <f>('TE BE'!$AA$41+'TE BF'!$AA$41+'TE CVA'!$AA$41)*1*(1-0.06)</f>
        <v>279.36956391055907</v>
      </c>
      <c r="AB2533" s="6">
        <f>$K$2533*$V$2533</f>
        <v>0</v>
      </c>
      <c r="AC2533" s="6">
        <f>$M$2533*$W$2533</f>
        <v>12106.6535408</v>
      </c>
      <c r="AD2533" s="6">
        <f>$O$2533*$X$2533</f>
        <v>6542.9014560000005</v>
      </c>
      <c r="AE2533" s="6">
        <f>$K$2533*$Y$2533</f>
        <v>0</v>
      </c>
      <c r="AF2533" s="6">
        <f ca="1">$M$2533*$Z$2533</f>
        <v>14070.553960628809</v>
      </c>
      <c r="AG2533" s="6">
        <f>$O$2533*$AA$2533</f>
        <v>8255.9293526848414</v>
      </c>
    </row>
    <row r="2534" spans="1:33" ht="11.25" customHeight="1" x14ac:dyDescent="0.25">
      <c r="A2534" s="4" t="s">
        <v>21</v>
      </c>
      <c r="B2534" s="4" t="s">
        <v>41</v>
      </c>
      <c r="C2534" s="4" t="s">
        <v>23</v>
      </c>
      <c r="D2534" s="4" t="s">
        <v>52</v>
      </c>
      <c r="E2534" s="4" t="s">
        <v>53</v>
      </c>
      <c r="F2534" s="4" t="s">
        <v>25</v>
      </c>
      <c r="G2534" s="4" t="s">
        <v>25</v>
      </c>
      <c r="H2534" s="4" t="s">
        <v>25</v>
      </c>
      <c r="I2534" s="5">
        <v>44378</v>
      </c>
      <c r="J2534" s="6">
        <v>0</v>
      </c>
      <c r="K2534" s="77">
        <v>0</v>
      </c>
      <c r="L2534" s="6">
        <v>924.31700000000001</v>
      </c>
      <c r="M2534" s="77">
        <v>924.31700000000001</v>
      </c>
      <c r="N2534" s="6">
        <v>924.31700000000001</v>
      </c>
      <c r="O2534" s="77">
        <v>924.31700000000001</v>
      </c>
      <c r="P2534" s="6">
        <v>238</v>
      </c>
      <c r="Q2534" s="4" t="s">
        <v>26</v>
      </c>
      <c r="R2534" s="4">
        <v>0</v>
      </c>
      <c r="S2534" s="6">
        <v>0</v>
      </c>
      <c r="T2534" s="6">
        <v>72</v>
      </c>
      <c r="U2534" s="6">
        <v>78</v>
      </c>
      <c r="V2534" s="77">
        <f>IF(ISERROR(VLOOKUP($S$2534,'TAR FIN'!$A$1:$O$95,15,0)),0,VLOOKUP($S$2534,'TAR FIN'!$A$1:$O$95,15,0))</f>
        <v>0</v>
      </c>
      <c r="W2534" s="77">
        <f>IF(ISERROR(VLOOKUP($T$2534,'TAR FIN'!$A$1:$O$95,15,0)),0,VLOOKUP($T$2534,'TAR FIN'!$A$1:$O$95,15,0))*(1-0.09)</f>
        <v>409.67290000000003</v>
      </c>
      <c r="X2534" s="77">
        <f>IF(ISERROR(VLOOKUP($U$2534,'TAR FIN'!$A$1:$O$95,15,0)),0,VLOOKUP($U$2534,'TAR FIN'!$A$1:$O$95,15,0))*(1-0.09)</f>
        <v>221.40300000000002</v>
      </c>
      <c r="Y2534" s="77"/>
      <c r="Z2534" s="77">
        <f ca="1">('TUSD BE'!$AM$53+'TUSD BF'!$AM$53+'TUSD CVA'!$AM$53)*1*(1-0.06)</f>
        <v>476.12865324271826</v>
      </c>
      <c r="AA2534" s="77">
        <f>('TE BE'!$AA$41+'TE BF'!$AA$41+'TE CVA'!$AA$41)*1*(1-0.06)</f>
        <v>279.36956391055907</v>
      </c>
      <c r="AB2534" s="6">
        <f>$K$2534*$V$2534</f>
        <v>0</v>
      </c>
      <c r="AC2534" s="6">
        <f>$M$2534*$W$2534</f>
        <v>378667.62590930006</v>
      </c>
      <c r="AD2534" s="6">
        <f>$O$2534*$X$2534</f>
        <v>204646.55675100003</v>
      </c>
      <c r="AE2534" s="6">
        <f>$K$2534*$Y$2534</f>
        <v>0</v>
      </c>
      <c r="AF2534" s="6">
        <f ca="1">$M$2534*$Z$2534</f>
        <v>440093.80837934959</v>
      </c>
      <c r="AG2534" s="6">
        <f>$O$2534*$AA$2534</f>
        <v>258226.03720511621</v>
      </c>
    </row>
    <row r="2535" spans="1:33" ht="11.25" customHeight="1" x14ac:dyDescent="0.25">
      <c r="A2535" s="4" t="s">
        <v>28</v>
      </c>
      <c r="B2535" s="4" t="s">
        <v>41</v>
      </c>
      <c r="C2535" s="4" t="s">
        <v>23</v>
      </c>
      <c r="D2535" s="4" t="s">
        <v>52</v>
      </c>
      <c r="E2535" s="4" t="s">
        <v>53</v>
      </c>
      <c r="F2535" s="4" t="s">
        <v>25</v>
      </c>
      <c r="G2535" s="4" t="s">
        <v>25</v>
      </c>
      <c r="H2535" s="4" t="s">
        <v>25</v>
      </c>
      <c r="I2535" s="5">
        <v>44378</v>
      </c>
      <c r="J2535" s="6">
        <v>0</v>
      </c>
      <c r="K2535" s="77">
        <v>0</v>
      </c>
      <c r="L2535" s="6">
        <v>3026.7339999999999</v>
      </c>
      <c r="M2535" s="77">
        <v>3026.7339999999999</v>
      </c>
      <c r="N2535" s="6">
        <v>3026.7339999999999</v>
      </c>
      <c r="O2535" s="77">
        <v>3026.7339999999999</v>
      </c>
      <c r="P2535" s="6">
        <v>1326</v>
      </c>
      <c r="Q2535" s="4" t="s">
        <v>26</v>
      </c>
      <c r="R2535" s="4">
        <v>0</v>
      </c>
      <c r="S2535" s="6">
        <v>0</v>
      </c>
      <c r="T2535" s="6">
        <v>72</v>
      </c>
      <c r="U2535" s="6">
        <v>78</v>
      </c>
      <c r="V2535" s="77">
        <f>IF(ISERROR(VLOOKUP($S$2535,'TAR FIN'!$A$1:$O$95,15,0)),0,VLOOKUP($S$2535,'TAR FIN'!$A$1:$O$95,15,0))</f>
        <v>0</v>
      </c>
      <c r="W2535" s="77">
        <f>IF(ISERROR(VLOOKUP($T$2535,'TAR FIN'!$A$1:$O$95,15,0)),0,VLOOKUP($T$2535,'TAR FIN'!$A$1:$O$95,15,0))*(1-0.09)</f>
        <v>409.67290000000003</v>
      </c>
      <c r="X2535" s="77">
        <f>IF(ISERROR(VLOOKUP($U$2535,'TAR FIN'!$A$1:$O$95,15,0)),0,VLOOKUP($U$2535,'TAR FIN'!$A$1:$O$95,15,0))*(1-0.09)</f>
        <v>221.40300000000002</v>
      </c>
      <c r="Y2535" s="77"/>
      <c r="Z2535" s="77">
        <f ca="1">('TUSD BE'!$AM$53+'TUSD BF'!$AM$53+'TUSD CVA'!$AM$53)*1*(1-0.06)</f>
        <v>476.12865324271826</v>
      </c>
      <c r="AA2535" s="77">
        <f>('TE BE'!$AA$41+'TE BF'!$AA$41+'TE CVA'!$AA$41)*1*(1-0.06)</f>
        <v>279.36956391055907</v>
      </c>
      <c r="AB2535" s="6">
        <f>$K$2535*$V$2535</f>
        <v>0</v>
      </c>
      <c r="AC2535" s="6">
        <f>$M$2535*$W$2535</f>
        <v>1239970.8953086</v>
      </c>
      <c r="AD2535" s="6">
        <f>$O$2535*$X$2535</f>
        <v>670127.98780200002</v>
      </c>
      <c r="AE2535" s="6">
        <f>$K$2535*$Y$2535</f>
        <v>0</v>
      </c>
      <c r="AF2535" s="6">
        <f ca="1">$M$2535*$Z$2535</f>
        <v>1441114.7831439455</v>
      </c>
      <c r="AG2535" s="6">
        <f>$O$2535*$AA$2535</f>
        <v>845577.35765326209</v>
      </c>
    </row>
    <row r="2536" spans="1:33" ht="11.25" customHeight="1" x14ac:dyDescent="0.25">
      <c r="A2536" s="4" t="s">
        <v>29</v>
      </c>
      <c r="B2536" s="4" t="s">
        <v>41</v>
      </c>
      <c r="C2536" s="4" t="s">
        <v>23</v>
      </c>
      <c r="D2536" s="4" t="s">
        <v>52</v>
      </c>
      <c r="E2536" s="4" t="s">
        <v>53</v>
      </c>
      <c r="F2536" s="4" t="s">
        <v>25</v>
      </c>
      <c r="G2536" s="4" t="s">
        <v>25</v>
      </c>
      <c r="H2536" s="4" t="s">
        <v>25</v>
      </c>
      <c r="I2536" s="5">
        <v>44378</v>
      </c>
      <c r="J2536" s="6">
        <v>0</v>
      </c>
      <c r="K2536" s="77">
        <v>0</v>
      </c>
      <c r="L2536" s="6">
        <v>-5.4509999999999996</v>
      </c>
      <c r="M2536" s="77">
        <v>-5.4509999999999996</v>
      </c>
      <c r="N2536" s="6">
        <v>-5.4509999999999996</v>
      </c>
      <c r="O2536" s="77">
        <v>-5.4509999999999996</v>
      </c>
      <c r="P2536" s="6">
        <v>0</v>
      </c>
      <c r="Q2536" s="4" t="s">
        <v>26</v>
      </c>
      <c r="R2536" s="4">
        <v>0</v>
      </c>
      <c r="S2536" s="6">
        <v>0</v>
      </c>
      <c r="T2536" s="6">
        <v>72</v>
      </c>
      <c r="U2536" s="6">
        <v>78</v>
      </c>
      <c r="V2536" s="77">
        <f>IF(ISERROR(VLOOKUP($S$2536,'TAR FIN'!$A$1:$O$95,15,0)),0,VLOOKUP($S$2536,'TAR FIN'!$A$1:$O$95,15,0))</f>
        <v>0</v>
      </c>
      <c r="W2536" s="77">
        <f>IF(ISERROR(VLOOKUP($T$2536,'TAR FIN'!$A$1:$O$95,15,0)),0,VLOOKUP($T$2536,'TAR FIN'!$A$1:$O$95,15,0))*(1-0.09)</f>
        <v>409.67290000000003</v>
      </c>
      <c r="X2536" s="77">
        <f>IF(ISERROR(VLOOKUP($U$2536,'TAR FIN'!$A$1:$O$95,15,0)),0,VLOOKUP($U$2536,'TAR FIN'!$A$1:$O$95,15,0))*(1-0.09)</f>
        <v>221.40300000000002</v>
      </c>
      <c r="Y2536" s="77"/>
      <c r="Z2536" s="77">
        <f ca="1">('TUSD BE'!$AM$53+'TUSD BF'!$AM$53+'TUSD CVA'!$AM$53)*1*(1-0.06)</f>
        <v>476.12865324271826</v>
      </c>
      <c r="AA2536" s="77">
        <f>('TE BE'!$AA$41+'TE BF'!$AA$41+'TE CVA'!$AA$41)*1*(1-0.06)</f>
        <v>279.36956391055907</v>
      </c>
      <c r="AB2536" s="6">
        <f>$K$2536*$V$2536</f>
        <v>0</v>
      </c>
      <c r="AC2536" s="6">
        <f>$M$2536*$W$2536</f>
        <v>-2233.1269778999999</v>
      </c>
      <c r="AD2536" s="6">
        <f>$O$2536*$X$2536</f>
        <v>-1206.867753</v>
      </c>
      <c r="AE2536" s="6">
        <f>$K$2536*$Y$2536</f>
        <v>0</v>
      </c>
      <c r="AF2536" s="6">
        <f ca="1">$M$2536*$Z$2536</f>
        <v>-2595.3772888260569</v>
      </c>
      <c r="AG2536" s="6">
        <f>$O$2536*$AA$2536</f>
        <v>-1522.8434928764573</v>
      </c>
    </row>
    <row r="2537" spans="1:33" ht="11.25" customHeight="1" x14ac:dyDescent="0.25">
      <c r="A2537" s="4" t="s">
        <v>21</v>
      </c>
      <c r="B2537" s="4" t="s">
        <v>41</v>
      </c>
      <c r="C2537" s="4" t="s">
        <v>23</v>
      </c>
      <c r="D2537" s="4" t="s">
        <v>52</v>
      </c>
      <c r="E2537" s="4" t="s">
        <v>53</v>
      </c>
      <c r="F2537" s="4" t="s">
        <v>25</v>
      </c>
      <c r="G2537" s="4" t="s">
        <v>25</v>
      </c>
      <c r="H2537" s="4" t="s">
        <v>25</v>
      </c>
      <c r="I2537" s="5">
        <v>44409</v>
      </c>
      <c r="J2537" s="6">
        <v>0</v>
      </c>
      <c r="K2537" s="77">
        <v>0</v>
      </c>
      <c r="L2537" s="6">
        <v>972.60799999999995</v>
      </c>
      <c r="M2537" s="77">
        <v>972.60799999999995</v>
      </c>
      <c r="N2537" s="6">
        <v>972.60799999999995</v>
      </c>
      <c r="O2537" s="77">
        <v>972.60799999999995</v>
      </c>
      <c r="P2537" s="6">
        <v>245</v>
      </c>
      <c r="Q2537" s="4" t="s">
        <v>26</v>
      </c>
      <c r="R2537" s="4">
        <v>0</v>
      </c>
      <c r="S2537" s="6">
        <v>0</v>
      </c>
      <c r="T2537" s="6">
        <v>72</v>
      </c>
      <c r="U2537" s="6">
        <v>78</v>
      </c>
      <c r="V2537" s="77">
        <f>IF(ISERROR(VLOOKUP($S$2537,'TAR FIN'!$A$1:$O$95,15,0)),0,VLOOKUP($S$2537,'TAR FIN'!$A$1:$O$95,15,0))</f>
        <v>0</v>
      </c>
      <c r="W2537" s="77">
        <f>IF(ISERROR(VLOOKUP($T$2537,'TAR FIN'!$A$1:$O$95,15,0)),0,VLOOKUP($T$2537,'TAR FIN'!$A$1:$O$95,15,0))*(1-0.09)</f>
        <v>409.67290000000003</v>
      </c>
      <c r="X2537" s="77">
        <f>IF(ISERROR(VLOOKUP($U$2537,'TAR FIN'!$A$1:$O$95,15,0)),0,VLOOKUP($U$2537,'TAR FIN'!$A$1:$O$95,15,0))*(1-0.09)</f>
        <v>221.40300000000002</v>
      </c>
      <c r="Y2537" s="77"/>
      <c r="Z2537" s="77">
        <f ca="1">('TUSD BE'!$AM$53+'TUSD BF'!$AM$53+'TUSD CVA'!$AM$53)*1*(1-0.06)</f>
        <v>476.12865324271826</v>
      </c>
      <c r="AA2537" s="77">
        <f>('TE BE'!$AA$41+'TE BF'!$AA$41+'TE CVA'!$AA$41)*1*(1-0.06)</f>
        <v>279.36956391055907</v>
      </c>
      <c r="AB2537" s="6">
        <f>$K$2537*$V$2537</f>
        <v>0</v>
      </c>
      <c r="AC2537" s="6">
        <f>$M$2537*$W$2537</f>
        <v>398451.13992320001</v>
      </c>
      <c r="AD2537" s="6">
        <f>$O$2537*$X$2537</f>
        <v>215338.32902400001</v>
      </c>
      <c r="AE2537" s="6">
        <f>$K$2537*$Y$2537</f>
        <v>0</v>
      </c>
      <c r="AF2537" s="6">
        <f ca="1">$M$2537*$Z$2537</f>
        <v>463086.5371730937</v>
      </c>
      <c r="AG2537" s="6">
        <f>$O$2537*$AA$2537</f>
        <v>271717.07281592104</v>
      </c>
    </row>
    <row r="2538" spans="1:33" ht="11.25" customHeight="1" x14ac:dyDescent="0.25">
      <c r="A2538" s="4" t="s">
        <v>27</v>
      </c>
      <c r="B2538" s="4" t="s">
        <v>41</v>
      </c>
      <c r="C2538" s="4" t="s">
        <v>23</v>
      </c>
      <c r="D2538" s="4" t="s">
        <v>52</v>
      </c>
      <c r="E2538" s="4" t="s">
        <v>53</v>
      </c>
      <c r="F2538" s="4" t="s">
        <v>25</v>
      </c>
      <c r="G2538" s="4" t="s">
        <v>25</v>
      </c>
      <c r="H2538" s="4" t="s">
        <v>25</v>
      </c>
      <c r="I2538" s="5">
        <v>44409</v>
      </c>
      <c r="J2538" s="6">
        <v>0</v>
      </c>
      <c r="K2538" s="77">
        <v>0</v>
      </c>
      <c r="L2538" s="6">
        <v>13.105</v>
      </c>
      <c r="M2538" s="77">
        <v>13.105</v>
      </c>
      <c r="N2538" s="6">
        <v>13.105</v>
      </c>
      <c r="O2538" s="77">
        <v>13.105</v>
      </c>
      <c r="P2538" s="6">
        <v>0</v>
      </c>
      <c r="Q2538" s="4" t="s">
        <v>26</v>
      </c>
      <c r="R2538" s="4">
        <v>0</v>
      </c>
      <c r="S2538" s="6">
        <v>0</v>
      </c>
      <c r="T2538" s="6">
        <v>72</v>
      </c>
      <c r="U2538" s="6">
        <v>78</v>
      </c>
      <c r="V2538" s="77">
        <f>IF(ISERROR(VLOOKUP($S$2538,'TAR FIN'!$A$1:$O$95,15,0)),0,VLOOKUP($S$2538,'TAR FIN'!$A$1:$O$95,15,0))</f>
        <v>0</v>
      </c>
      <c r="W2538" s="77">
        <f>IF(ISERROR(VLOOKUP($T$2538,'TAR FIN'!$A$1:$O$95,15,0)),0,VLOOKUP($T$2538,'TAR FIN'!$A$1:$O$95,15,0))*(1-0.09)</f>
        <v>409.67290000000003</v>
      </c>
      <c r="X2538" s="77">
        <f>IF(ISERROR(VLOOKUP($U$2538,'TAR FIN'!$A$1:$O$95,15,0)),0,VLOOKUP($U$2538,'TAR FIN'!$A$1:$O$95,15,0))*(1-0.09)</f>
        <v>221.40300000000002</v>
      </c>
      <c r="Y2538" s="77"/>
      <c r="Z2538" s="77">
        <f ca="1">('TUSD BE'!$AM$53+'TUSD BF'!$AM$53+'TUSD CVA'!$AM$53)*1*(1-0.06)</f>
        <v>476.12865324271826</v>
      </c>
      <c r="AA2538" s="77">
        <f>('TE BE'!$AA$41+'TE BF'!$AA$41+'TE CVA'!$AA$41)*1*(1-0.06)</f>
        <v>279.36956391055907</v>
      </c>
      <c r="AB2538" s="6">
        <f>$K$2538*$V$2538</f>
        <v>0</v>
      </c>
      <c r="AC2538" s="6">
        <f>$M$2538*$W$2538</f>
        <v>5368.7633545000008</v>
      </c>
      <c r="AD2538" s="6">
        <f>$O$2538*$X$2538</f>
        <v>2901.4863150000006</v>
      </c>
      <c r="AE2538" s="6">
        <f>$K$2538*$Y$2538</f>
        <v>0</v>
      </c>
      <c r="AF2538" s="6">
        <f ca="1">$M$2538*$Z$2538</f>
        <v>6239.6660007458231</v>
      </c>
      <c r="AG2538" s="6">
        <f>$O$2538*$AA$2538</f>
        <v>3661.1381350478769</v>
      </c>
    </row>
    <row r="2539" spans="1:33" ht="11.25" customHeight="1" x14ac:dyDescent="0.25">
      <c r="A2539" s="4" t="s">
        <v>28</v>
      </c>
      <c r="B2539" s="4" t="s">
        <v>41</v>
      </c>
      <c r="C2539" s="4" t="s">
        <v>23</v>
      </c>
      <c r="D2539" s="4" t="s">
        <v>52</v>
      </c>
      <c r="E2539" s="4" t="s">
        <v>53</v>
      </c>
      <c r="F2539" s="4" t="s">
        <v>25</v>
      </c>
      <c r="G2539" s="4" t="s">
        <v>25</v>
      </c>
      <c r="H2539" s="4" t="s">
        <v>25</v>
      </c>
      <c r="I2539" s="5">
        <v>44409</v>
      </c>
      <c r="J2539" s="6">
        <v>0</v>
      </c>
      <c r="K2539" s="77">
        <v>0</v>
      </c>
      <c r="L2539" s="6">
        <v>3053.116</v>
      </c>
      <c r="M2539" s="77">
        <v>3053.116</v>
      </c>
      <c r="N2539" s="6">
        <v>3053.116</v>
      </c>
      <c r="O2539" s="77">
        <v>3053.116</v>
      </c>
      <c r="P2539" s="6">
        <v>1327</v>
      </c>
      <c r="Q2539" s="4" t="s">
        <v>26</v>
      </c>
      <c r="R2539" s="4">
        <v>0</v>
      </c>
      <c r="S2539" s="6">
        <v>0</v>
      </c>
      <c r="T2539" s="6">
        <v>72</v>
      </c>
      <c r="U2539" s="6">
        <v>78</v>
      </c>
      <c r="V2539" s="77">
        <f>IF(ISERROR(VLOOKUP($S$2539,'TAR FIN'!$A$1:$O$95,15,0)),0,VLOOKUP($S$2539,'TAR FIN'!$A$1:$O$95,15,0))</f>
        <v>0</v>
      </c>
      <c r="W2539" s="77">
        <f>IF(ISERROR(VLOOKUP($T$2539,'TAR FIN'!$A$1:$O$95,15,0)),0,VLOOKUP($T$2539,'TAR FIN'!$A$1:$O$95,15,0))*(1-0.09)</f>
        <v>409.67290000000003</v>
      </c>
      <c r="X2539" s="77">
        <f>IF(ISERROR(VLOOKUP($U$2539,'TAR FIN'!$A$1:$O$95,15,0)),0,VLOOKUP($U$2539,'TAR FIN'!$A$1:$O$95,15,0))*(1-0.09)</f>
        <v>221.40300000000002</v>
      </c>
      <c r="Y2539" s="77"/>
      <c r="Z2539" s="77">
        <f ca="1">('TUSD BE'!$AM$53+'TUSD BF'!$AM$53+'TUSD CVA'!$AM$53)*1*(1-0.06)</f>
        <v>476.12865324271826</v>
      </c>
      <c r="AA2539" s="77">
        <f>('TE BE'!$AA$41+'TE BF'!$AA$41+'TE CVA'!$AA$41)*1*(1-0.06)</f>
        <v>279.36956391055907</v>
      </c>
      <c r="AB2539" s="6">
        <f>$K$2539*$V$2539</f>
        <v>0</v>
      </c>
      <c r="AC2539" s="6">
        <f>$M$2539*$W$2539</f>
        <v>1250778.8857564002</v>
      </c>
      <c r="AD2539" s="6">
        <f>$O$2539*$X$2539</f>
        <v>675969.04174800008</v>
      </c>
      <c r="AE2539" s="6">
        <f>$K$2539*$Y$2539</f>
        <v>0</v>
      </c>
      <c r="AF2539" s="6">
        <f ca="1">$M$2539*$Z$2539</f>
        <v>1453676.0092737949</v>
      </c>
      <c r="AG2539" s="6">
        <f>$O$2539*$AA$2539</f>
        <v>852947.68548835046</v>
      </c>
    </row>
    <row r="2540" spans="1:33" ht="11.25" customHeight="1" x14ac:dyDescent="0.25">
      <c r="A2540" s="4" t="s">
        <v>29</v>
      </c>
      <c r="B2540" s="4" t="s">
        <v>41</v>
      </c>
      <c r="C2540" s="4" t="s">
        <v>23</v>
      </c>
      <c r="D2540" s="4" t="s">
        <v>52</v>
      </c>
      <c r="E2540" s="4" t="s">
        <v>53</v>
      </c>
      <c r="F2540" s="4" t="s">
        <v>25</v>
      </c>
      <c r="G2540" s="4" t="s">
        <v>25</v>
      </c>
      <c r="H2540" s="4" t="s">
        <v>25</v>
      </c>
      <c r="I2540" s="5">
        <v>44409</v>
      </c>
      <c r="J2540" s="6">
        <v>0</v>
      </c>
      <c r="K2540" s="77">
        <v>0</v>
      </c>
      <c r="L2540" s="6">
        <v>22.221</v>
      </c>
      <c r="M2540" s="77">
        <v>22.221</v>
      </c>
      <c r="N2540" s="6">
        <v>22.221</v>
      </c>
      <c r="O2540" s="77">
        <v>22.221</v>
      </c>
      <c r="P2540" s="6">
        <v>0</v>
      </c>
      <c r="Q2540" s="4" t="s">
        <v>26</v>
      </c>
      <c r="R2540" s="4">
        <v>0</v>
      </c>
      <c r="S2540" s="6">
        <v>0</v>
      </c>
      <c r="T2540" s="6">
        <v>72</v>
      </c>
      <c r="U2540" s="6">
        <v>78</v>
      </c>
      <c r="V2540" s="77">
        <f>IF(ISERROR(VLOOKUP($S$2540,'TAR FIN'!$A$1:$O$95,15,0)),0,VLOOKUP($S$2540,'TAR FIN'!$A$1:$O$95,15,0))</f>
        <v>0</v>
      </c>
      <c r="W2540" s="77">
        <f>IF(ISERROR(VLOOKUP($T$2540,'TAR FIN'!$A$1:$O$95,15,0)),0,VLOOKUP($T$2540,'TAR FIN'!$A$1:$O$95,15,0))*(1-0.09)</f>
        <v>409.67290000000003</v>
      </c>
      <c r="X2540" s="77">
        <f>IF(ISERROR(VLOOKUP($U$2540,'TAR FIN'!$A$1:$O$95,15,0)),0,VLOOKUP($U$2540,'TAR FIN'!$A$1:$O$95,15,0))*(1-0.09)</f>
        <v>221.40300000000002</v>
      </c>
      <c r="Y2540" s="77"/>
      <c r="Z2540" s="77">
        <f ca="1">('TUSD BE'!$AM$53+'TUSD BF'!$AM$53+'TUSD CVA'!$AM$53)*1*(1-0.06)</f>
        <v>476.12865324271826</v>
      </c>
      <c r="AA2540" s="77">
        <f>('TE BE'!$AA$41+'TE BF'!$AA$41+'TE CVA'!$AA$41)*1*(1-0.06)</f>
        <v>279.36956391055907</v>
      </c>
      <c r="AB2540" s="6">
        <f>$K$2540*$V$2540</f>
        <v>0</v>
      </c>
      <c r="AC2540" s="6">
        <f>$M$2540*$W$2540</f>
        <v>9103.3415108999998</v>
      </c>
      <c r="AD2540" s="6">
        <f>$O$2540*$X$2540</f>
        <v>4919.7960630000007</v>
      </c>
      <c r="AE2540" s="6">
        <f>$K$2540*$Y$2540</f>
        <v>0</v>
      </c>
      <c r="AF2540" s="6">
        <f ca="1">$M$2540*$Z$2540</f>
        <v>10580.054803706442</v>
      </c>
      <c r="AG2540" s="6">
        <f>$O$2540*$AA$2540</f>
        <v>6207.8710796565329</v>
      </c>
    </row>
    <row r="2541" spans="1:33" ht="11.25" customHeight="1" x14ac:dyDescent="0.25">
      <c r="A2541" s="4" t="s">
        <v>21</v>
      </c>
      <c r="B2541" s="4" t="s">
        <v>41</v>
      </c>
      <c r="C2541" s="4" t="s">
        <v>23</v>
      </c>
      <c r="D2541" s="4" t="s">
        <v>52</v>
      </c>
      <c r="E2541" s="4" t="s">
        <v>53</v>
      </c>
      <c r="F2541" s="4" t="s">
        <v>25</v>
      </c>
      <c r="G2541" s="4" t="s">
        <v>25</v>
      </c>
      <c r="H2541" s="4" t="s">
        <v>25</v>
      </c>
      <c r="I2541" s="5">
        <v>44440</v>
      </c>
      <c r="J2541" s="6">
        <v>0</v>
      </c>
      <c r="K2541" s="77">
        <v>0</v>
      </c>
      <c r="L2541" s="6">
        <v>886.77099999999996</v>
      </c>
      <c r="M2541" s="77">
        <v>886.77099999999996</v>
      </c>
      <c r="N2541" s="6">
        <v>886.77099999999996</v>
      </c>
      <c r="O2541" s="77">
        <v>886.77099999999996</v>
      </c>
      <c r="P2541" s="6">
        <v>241</v>
      </c>
      <c r="Q2541" s="4" t="s">
        <v>26</v>
      </c>
      <c r="R2541" s="4">
        <v>0</v>
      </c>
      <c r="S2541" s="6">
        <v>0</v>
      </c>
      <c r="T2541" s="6">
        <v>72</v>
      </c>
      <c r="U2541" s="6">
        <v>78</v>
      </c>
      <c r="V2541" s="77">
        <f>IF(ISERROR(VLOOKUP($S$2541,'TAR FIN'!$A$1:$O$95,15,0)),0,VLOOKUP($S$2541,'TAR FIN'!$A$1:$O$95,15,0))</f>
        <v>0</v>
      </c>
      <c r="W2541" s="77">
        <f>IF(ISERROR(VLOOKUP($T$2541,'TAR FIN'!$A$1:$O$95,15,0)),0,VLOOKUP($T$2541,'TAR FIN'!$A$1:$O$95,15,0))*(1-0.09)</f>
        <v>409.67290000000003</v>
      </c>
      <c r="X2541" s="77">
        <f>IF(ISERROR(VLOOKUP($U$2541,'TAR FIN'!$A$1:$O$95,15,0)),0,VLOOKUP($U$2541,'TAR FIN'!$A$1:$O$95,15,0))*(1-0.09)</f>
        <v>221.40300000000002</v>
      </c>
      <c r="Y2541" s="77"/>
      <c r="Z2541" s="77">
        <f ca="1">('TUSD BE'!$AM$53+'TUSD BF'!$AM$53+'TUSD CVA'!$AM$53)*1*(1-0.06)</f>
        <v>476.12865324271826</v>
      </c>
      <c r="AA2541" s="77">
        <f>('TE BE'!$AA$41+'TE BF'!$AA$41+'TE CVA'!$AA$41)*1*(1-0.06)</f>
        <v>279.36956391055907</v>
      </c>
      <c r="AB2541" s="6">
        <f>$K$2541*$V$2541</f>
        <v>0</v>
      </c>
      <c r="AC2541" s="6">
        <f>$M$2541*$W$2541</f>
        <v>363286.04720590002</v>
      </c>
      <c r="AD2541" s="6">
        <f>$O$2541*$X$2541</f>
        <v>196333.75971300001</v>
      </c>
      <c r="AE2541" s="6">
        <f>$K$2541*$Y$2541</f>
        <v>0</v>
      </c>
      <c r="AF2541" s="6">
        <f ca="1">$M$2541*$Z$2541</f>
        <v>422217.0819646985</v>
      </c>
      <c r="AG2541" s="6">
        <f>$O$2541*$AA$2541</f>
        <v>247736.82755853035</v>
      </c>
    </row>
    <row r="2542" spans="1:33" ht="11.25" customHeight="1" x14ac:dyDescent="0.25">
      <c r="A2542" s="4" t="s">
        <v>27</v>
      </c>
      <c r="B2542" s="4" t="s">
        <v>41</v>
      </c>
      <c r="C2542" s="4" t="s">
        <v>23</v>
      </c>
      <c r="D2542" s="4" t="s">
        <v>52</v>
      </c>
      <c r="E2542" s="4" t="s">
        <v>53</v>
      </c>
      <c r="F2542" s="4" t="s">
        <v>25</v>
      </c>
      <c r="G2542" s="4" t="s">
        <v>25</v>
      </c>
      <c r="H2542" s="4" t="s">
        <v>25</v>
      </c>
      <c r="I2542" s="5">
        <v>44440</v>
      </c>
      <c r="J2542" s="6">
        <v>0</v>
      </c>
      <c r="K2542" s="77">
        <v>0</v>
      </c>
      <c r="L2542" s="6">
        <v>-768.45</v>
      </c>
      <c r="M2542" s="77">
        <v>-768.45</v>
      </c>
      <c r="N2542" s="6">
        <v>-768.45</v>
      </c>
      <c r="O2542" s="77">
        <v>-768.45</v>
      </c>
      <c r="P2542" s="6">
        <v>0</v>
      </c>
      <c r="Q2542" s="4" t="s">
        <v>26</v>
      </c>
      <c r="R2542" s="4">
        <v>0</v>
      </c>
      <c r="S2542" s="6">
        <v>0</v>
      </c>
      <c r="T2542" s="6">
        <v>72</v>
      </c>
      <c r="U2542" s="6">
        <v>78</v>
      </c>
      <c r="V2542" s="77">
        <f>IF(ISERROR(VLOOKUP($S$2542,'TAR FIN'!$A$1:$O$95,15,0)),0,VLOOKUP($S$2542,'TAR FIN'!$A$1:$O$95,15,0))</f>
        <v>0</v>
      </c>
      <c r="W2542" s="77">
        <f>IF(ISERROR(VLOOKUP($T$2542,'TAR FIN'!$A$1:$O$95,15,0)),0,VLOOKUP($T$2542,'TAR FIN'!$A$1:$O$95,15,0))*(1-0.09)</f>
        <v>409.67290000000003</v>
      </c>
      <c r="X2542" s="77">
        <f>IF(ISERROR(VLOOKUP($U$2542,'TAR FIN'!$A$1:$O$95,15,0)),0,VLOOKUP($U$2542,'TAR FIN'!$A$1:$O$95,15,0))*(1-0.09)</f>
        <v>221.40300000000002</v>
      </c>
      <c r="Y2542" s="77"/>
      <c r="Z2542" s="77">
        <f ca="1">('TUSD BE'!$AM$53+'TUSD BF'!$AM$53+'TUSD CVA'!$AM$53)*1*(1-0.06)</f>
        <v>476.12865324271826</v>
      </c>
      <c r="AA2542" s="77">
        <f>('TE BE'!$AA$41+'TE BF'!$AA$41+'TE CVA'!$AA$41)*1*(1-0.06)</f>
        <v>279.36956391055907</v>
      </c>
      <c r="AB2542" s="6">
        <f>$K$2542*$V$2542</f>
        <v>0</v>
      </c>
      <c r="AC2542" s="6">
        <f>$M$2542*$W$2542</f>
        <v>-314813.14000500005</v>
      </c>
      <c r="AD2542" s="6">
        <f>$O$2542*$X$2542</f>
        <v>-170137.13535000003</v>
      </c>
      <c r="AE2542" s="6">
        <f>$K$2542*$Y$2542</f>
        <v>0</v>
      </c>
      <c r="AF2542" s="6">
        <f ca="1">$M$2542*$Z$2542</f>
        <v>-365881.06358436687</v>
      </c>
      <c r="AG2542" s="6">
        <f>$O$2542*$AA$2542</f>
        <v>-214681.54138706913</v>
      </c>
    </row>
    <row r="2543" spans="1:33" ht="11.25" customHeight="1" x14ac:dyDescent="0.25">
      <c r="A2543" s="4" t="s">
        <v>28</v>
      </c>
      <c r="B2543" s="4" t="s">
        <v>41</v>
      </c>
      <c r="C2543" s="4" t="s">
        <v>23</v>
      </c>
      <c r="D2543" s="4" t="s">
        <v>52</v>
      </c>
      <c r="E2543" s="4" t="s">
        <v>53</v>
      </c>
      <c r="F2543" s="4" t="s">
        <v>25</v>
      </c>
      <c r="G2543" s="4" t="s">
        <v>25</v>
      </c>
      <c r="H2543" s="4" t="s">
        <v>25</v>
      </c>
      <c r="I2543" s="5">
        <v>44440</v>
      </c>
      <c r="J2543" s="6">
        <v>0</v>
      </c>
      <c r="K2543" s="77">
        <v>0</v>
      </c>
      <c r="L2543" s="6">
        <v>3230.107</v>
      </c>
      <c r="M2543" s="77">
        <v>3230.107</v>
      </c>
      <c r="N2543" s="6">
        <v>3230.107</v>
      </c>
      <c r="O2543" s="77">
        <v>3230.107</v>
      </c>
      <c r="P2543" s="6">
        <v>1331</v>
      </c>
      <c r="Q2543" s="4" t="s">
        <v>26</v>
      </c>
      <c r="R2543" s="4">
        <v>0</v>
      </c>
      <c r="S2543" s="6">
        <v>0</v>
      </c>
      <c r="T2543" s="6">
        <v>72</v>
      </c>
      <c r="U2543" s="6">
        <v>78</v>
      </c>
      <c r="V2543" s="77">
        <f>IF(ISERROR(VLOOKUP($S$2543,'TAR FIN'!$A$1:$O$95,15,0)),0,VLOOKUP($S$2543,'TAR FIN'!$A$1:$O$95,15,0))</f>
        <v>0</v>
      </c>
      <c r="W2543" s="77">
        <f>IF(ISERROR(VLOOKUP($T$2543,'TAR FIN'!$A$1:$O$95,15,0)),0,VLOOKUP($T$2543,'TAR FIN'!$A$1:$O$95,15,0))*(1-0.09)</f>
        <v>409.67290000000003</v>
      </c>
      <c r="X2543" s="77">
        <f>IF(ISERROR(VLOOKUP($U$2543,'TAR FIN'!$A$1:$O$95,15,0)),0,VLOOKUP($U$2543,'TAR FIN'!$A$1:$O$95,15,0))*(1-0.09)</f>
        <v>221.40300000000002</v>
      </c>
      <c r="Y2543" s="77"/>
      <c r="Z2543" s="77">
        <f ca="1">('TUSD BE'!$AM$53+'TUSD BF'!$AM$53+'TUSD CVA'!$AM$53)*1*(1-0.06)</f>
        <v>476.12865324271826</v>
      </c>
      <c r="AA2543" s="77">
        <f>('TE BE'!$AA$41+'TE BF'!$AA$41+'TE CVA'!$AA$41)*1*(1-0.06)</f>
        <v>279.36956391055907</v>
      </c>
      <c r="AB2543" s="6">
        <f>$K$2543*$V$2543</f>
        <v>0</v>
      </c>
      <c r="AC2543" s="6">
        <f>$M$2543*$W$2543</f>
        <v>1323287.3020003</v>
      </c>
      <c r="AD2543" s="6">
        <f>$O$2543*$X$2543</f>
        <v>715155.38012100011</v>
      </c>
      <c r="AE2543" s="6">
        <f>$K$2543*$Y$2543</f>
        <v>0</v>
      </c>
      <c r="AF2543" s="6">
        <f ca="1">$M$2543*$Z$2543</f>
        <v>1537946.495739877</v>
      </c>
      <c r="AG2543" s="6">
        <f>$O$2543*$AA$2543</f>
        <v>902393.58397444419</v>
      </c>
    </row>
    <row r="2544" spans="1:33" ht="11.25" customHeight="1" x14ac:dyDescent="0.25">
      <c r="A2544" s="4" t="s">
        <v>29</v>
      </c>
      <c r="B2544" s="4" t="s">
        <v>41</v>
      </c>
      <c r="C2544" s="4" t="s">
        <v>23</v>
      </c>
      <c r="D2544" s="4" t="s">
        <v>52</v>
      </c>
      <c r="E2544" s="4" t="s">
        <v>53</v>
      </c>
      <c r="F2544" s="4" t="s">
        <v>25</v>
      </c>
      <c r="G2544" s="4" t="s">
        <v>25</v>
      </c>
      <c r="H2544" s="4" t="s">
        <v>25</v>
      </c>
      <c r="I2544" s="5">
        <v>44440</v>
      </c>
      <c r="J2544" s="6">
        <v>0</v>
      </c>
      <c r="K2544" s="77">
        <v>0</v>
      </c>
      <c r="L2544" s="6">
        <v>30.367999999999999</v>
      </c>
      <c r="M2544" s="77">
        <v>30.367999999999999</v>
      </c>
      <c r="N2544" s="6">
        <v>30.367999999999999</v>
      </c>
      <c r="O2544" s="77">
        <v>30.367999999999999</v>
      </c>
      <c r="P2544" s="6">
        <v>0</v>
      </c>
      <c r="Q2544" s="4" t="s">
        <v>26</v>
      </c>
      <c r="R2544" s="4">
        <v>0</v>
      </c>
      <c r="S2544" s="6">
        <v>0</v>
      </c>
      <c r="T2544" s="6">
        <v>72</v>
      </c>
      <c r="U2544" s="6">
        <v>78</v>
      </c>
      <c r="V2544" s="77">
        <f>IF(ISERROR(VLOOKUP($S$2544,'TAR FIN'!$A$1:$O$95,15,0)),0,VLOOKUP($S$2544,'TAR FIN'!$A$1:$O$95,15,0))</f>
        <v>0</v>
      </c>
      <c r="W2544" s="77">
        <f>IF(ISERROR(VLOOKUP($T$2544,'TAR FIN'!$A$1:$O$95,15,0)),0,VLOOKUP($T$2544,'TAR FIN'!$A$1:$O$95,15,0))*(1-0.09)</f>
        <v>409.67290000000003</v>
      </c>
      <c r="X2544" s="77">
        <f>IF(ISERROR(VLOOKUP($U$2544,'TAR FIN'!$A$1:$O$95,15,0)),0,VLOOKUP($U$2544,'TAR FIN'!$A$1:$O$95,15,0))*(1-0.09)</f>
        <v>221.40300000000002</v>
      </c>
      <c r="Y2544" s="77"/>
      <c r="Z2544" s="77">
        <f ca="1">('TUSD BE'!$AM$53+'TUSD BF'!$AM$53+'TUSD CVA'!$AM$53)*1*(1-0.06)</f>
        <v>476.12865324271826</v>
      </c>
      <c r="AA2544" s="77">
        <f>('TE BE'!$AA$41+'TE BF'!$AA$41+'TE CVA'!$AA$41)*1*(1-0.06)</f>
        <v>279.36956391055907</v>
      </c>
      <c r="AB2544" s="6">
        <f>$K$2544*$V$2544</f>
        <v>0</v>
      </c>
      <c r="AC2544" s="6">
        <f>$M$2544*$W$2544</f>
        <v>12440.946627200001</v>
      </c>
      <c r="AD2544" s="6">
        <f>$O$2544*$X$2544</f>
        <v>6723.5663039999999</v>
      </c>
      <c r="AE2544" s="6">
        <f>$K$2544*$Y$2544</f>
        <v>0</v>
      </c>
      <c r="AF2544" s="6">
        <f ca="1">$M$2544*$Z$2544</f>
        <v>14459.074941674868</v>
      </c>
      <c r="AG2544" s="6">
        <f>$O$2544*$AA$2544</f>
        <v>8483.8949168358577</v>
      </c>
    </row>
    <row r="2545" spans="1:33" ht="11.25" customHeight="1" x14ac:dyDescent="0.25">
      <c r="A2545" s="4" t="s">
        <v>59</v>
      </c>
      <c r="B2545" s="4" t="s">
        <v>41</v>
      </c>
      <c r="C2545" s="4" t="s">
        <v>23</v>
      </c>
      <c r="D2545" s="4" t="s">
        <v>52</v>
      </c>
      <c r="E2545" s="4" t="s">
        <v>53</v>
      </c>
      <c r="F2545" s="4" t="s">
        <v>25</v>
      </c>
      <c r="G2545" s="4" t="s">
        <v>25</v>
      </c>
      <c r="H2545" s="4" t="s">
        <v>25</v>
      </c>
      <c r="I2545" s="5">
        <v>44470</v>
      </c>
      <c r="J2545" s="6">
        <v>0</v>
      </c>
      <c r="K2545" s="77">
        <v>0</v>
      </c>
      <c r="L2545" s="6">
        <v>886.77099999999996</v>
      </c>
      <c r="M2545" s="77">
        <v>886.77099999999996</v>
      </c>
      <c r="N2545" s="6">
        <v>886.77099999999996</v>
      </c>
      <c r="O2545" s="77">
        <v>886.77099999999996</v>
      </c>
      <c r="P2545" s="6">
        <v>241</v>
      </c>
      <c r="Q2545" s="4" t="s">
        <v>26</v>
      </c>
      <c r="R2545" s="4">
        <v>0</v>
      </c>
      <c r="S2545" s="6">
        <v>0</v>
      </c>
      <c r="T2545" s="6">
        <v>72</v>
      </c>
      <c r="U2545" s="6">
        <v>78</v>
      </c>
      <c r="V2545" s="77">
        <f>IF(ISERROR(VLOOKUP($S$2545,'TAR FIN'!$A$1:$O$95,15,0)),0,VLOOKUP($S$2545,'TAR FIN'!$A$1:$O$95,15,0))</f>
        <v>0</v>
      </c>
      <c r="W2545" s="77">
        <f>IF(ISERROR(VLOOKUP($T$2545,'TAR FIN'!$A$1:$O$95,15,0)),0,VLOOKUP($T$2545,'TAR FIN'!$A$1:$O$95,15,0))*(1-0.09)</f>
        <v>409.67290000000003</v>
      </c>
      <c r="X2545" s="77">
        <f>IF(ISERROR(VLOOKUP($U$2545,'TAR FIN'!$A$1:$O$95,15,0)),0,VLOOKUP($U$2545,'TAR FIN'!$A$1:$O$95,15,0))*(1-0.09)</f>
        <v>221.40300000000002</v>
      </c>
      <c r="Y2545" s="77"/>
      <c r="Z2545" s="77">
        <f ca="1">('TUSD BE'!$AM$53+'TUSD BF'!$AM$53+'TUSD CVA'!$AM$53)*1*(1-0.06)</f>
        <v>476.12865324271826</v>
      </c>
      <c r="AA2545" s="77">
        <f>('TE BE'!$AA$41+'TE BF'!$AA$41+'TE CVA'!$AA$41)*1*(1-0.06)</f>
        <v>279.36956391055907</v>
      </c>
      <c r="AB2545" s="6">
        <f>$K$2545*$V$2545</f>
        <v>0</v>
      </c>
      <c r="AC2545" s="6">
        <f>$M$2545*$W$2545</f>
        <v>363286.04720590002</v>
      </c>
      <c r="AD2545" s="6">
        <f>$O$2545*$X$2545</f>
        <v>196333.75971300001</v>
      </c>
      <c r="AE2545" s="6">
        <f>$K$2545*$Y$2545</f>
        <v>0</v>
      </c>
      <c r="AF2545" s="6">
        <f ca="1">$M$2545*$Z$2545</f>
        <v>422217.0819646985</v>
      </c>
      <c r="AG2545" s="6">
        <f>$O$2545*$AA$2545</f>
        <v>247736.82755853035</v>
      </c>
    </row>
    <row r="2546" spans="1:33" ht="11.25" customHeight="1" x14ac:dyDescent="0.25">
      <c r="A2546" s="4" t="s">
        <v>59</v>
      </c>
      <c r="B2546" s="4" t="s">
        <v>41</v>
      </c>
      <c r="C2546" s="4" t="s">
        <v>23</v>
      </c>
      <c r="D2546" s="4" t="s">
        <v>52</v>
      </c>
      <c r="E2546" s="4" t="s">
        <v>53</v>
      </c>
      <c r="F2546" s="4" t="s">
        <v>25</v>
      </c>
      <c r="G2546" s="4" t="s">
        <v>25</v>
      </c>
      <c r="H2546" s="4" t="s">
        <v>25</v>
      </c>
      <c r="I2546" s="5">
        <v>44470</v>
      </c>
      <c r="J2546" s="6">
        <v>0</v>
      </c>
      <c r="K2546" s="77">
        <v>0</v>
      </c>
      <c r="L2546" s="6">
        <v>-768.45</v>
      </c>
      <c r="M2546" s="77">
        <v>-768.45</v>
      </c>
      <c r="N2546" s="6">
        <v>-768.45</v>
      </c>
      <c r="O2546" s="77">
        <v>-768.45</v>
      </c>
      <c r="P2546" s="6">
        <v>0</v>
      </c>
      <c r="Q2546" s="4" t="s">
        <v>26</v>
      </c>
      <c r="R2546" s="4">
        <v>0</v>
      </c>
      <c r="S2546" s="6">
        <v>0</v>
      </c>
      <c r="T2546" s="6">
        <v>72</v>
      </c>
      <c r="U2546" s="6">
        <v>78</v>
      </c>
      <c r="V2546" s="77">
        <f>IF(ISERROR(VLOOKUP($S$2546,'TAR FIN'!$A$1:$O$95,15,0)),0,VLOOKUP($S$2546,'TAR FIN'!$A$1:$O$95,15,0))</f>
        <v>0</v>
      </c>
      <c r="W2546" s="77">
        <f>IF(ISERROR(VLOOKUP($T$2546,'TAR FIN'!$A$1:$O$95,15,0)),0,VLOOKUP($T$2546,'TAR FIN'!$A$1:$O$95,15,0))*(1-0.09)</f>
        <v>409.67290000000003</v>
      </c>
      <c r="X2546" s="77">
        <f>IF(ISERROR(VLOOKUP($U$2546,'TAR FIN'!$A$1:$O$95,15,0)),0,VLOOKUP($U$2546,'TAR FIN'!$A$1:$O$95,15,0))*(1-0.09)</f>
        <v>221.40300000000002</v>
      </c>
      <c r="Y2546" s="77"/>
      <c r="Z2546" s="77">
        <f ca="1">('TUSD BE'!$AM$53+'TUSD BF'!$AM$53+'TUSD CVA'!$AM$53)*1*(1-0.06)</f>
        <v>476.12865324271826</v>
      </c>
      <c r="AA2546" s="77">
        <f>('TE BE'!$AA$41+'TE BF'!$AA$41+'TE CVA'!$AA$41)*1*(1-0.06)</f>
        <v>279.36956391055907</v>
      </c>
      <c r="AB2546" s="6">
        <f>$K$2546*$V$2546</f>
        <v>0</v>
      </c>
      <c r="AC2546" s="6">
        <f>$M$2546*$W$2546</f>
        <v>-314813.14000500005</v>
      </c>
      <c r="AD2546" s="6">
        <f>$O$2546*$X$2546</f>
        <v>-170137.13535000003</v>
      </c>
      <c r="AE2546" s="6">
        <f>$K$2546*$Y$2546</f>
        <v>0</v>
      </c>
      <c r="AF2546" s="6">
        <f ca="1">$M$2546*$Z$2546</f>
        <v>-365881.06358436687</v>
      </c>
      <c r="AG2546" s="6">
        <f>$O$2546*$AA$2546</f>
        <v>-214681.54138706913</v>
      </c>
    </row>
    <row r="2547" spans="1:33" ht="11.25" customHeight="1" x14ac:dyDescent="0.25">
      <c r="A2547" s="4" t="s">
        <v>59</v>
      </c>
      <c r="B2547" s="4" t="s">
        <v>41</v>
      </c>
      <c r="C2547" s="4" t="s">
        <v>23</v>
      </c>
      <c r="D2547" s="4" t="s">
        <v>52</v>
      </c>
      <c r="E2547" s="4" t="s">
        <v>53</v>
      </c>
      <c r="F2547" s="4" t="s">
        <v>25</v>
      </c>
      <c r="G2547" s="4" t="s">
        <v>25</v>
      </c>
      <c r="H2547" s="4" t="s">
        <v>25</v>
      </c>
      <c r="I2547" s="5">
        <v>44470</v>
      </c>
      <c r="J2547" s="6">
        <v>0</v>
      </c>
      <c r="K2547" s="77">
        <v>0</v>
      </c>
      <c r="L2547" s="6">
        <v>3230.107</v>
      </c>
      <c r="M2547" s="77">
        <v>3230.107</v>
      </c>
      <c r="N2547" s="6">
        <v>3230.107</v>
      </c>
      <c r="O2547" s="77">
        <v>3230.107</v>
      </c>
      <c r="P2547" s="6">
        <v>1331</v>
      </c>
      <c r="Q2547" s="4" t="s">
        <v>26</v>
      </c>
      <c r="R2547" s="4">
        <v>0</v>
      </c>
      <c r="S2547" s="6">
        <v>0</v>
      </c>
      <c r="T2547" s="6">
        <v>72</v>
      </c>
      <c r="U2547" s="6">
        <v>78</v>
      </c>
      <c r="V2547" s="77">
        <f>IF(ISERROR(VLOOKUP($S$2547,'TAR FIN'!$A$1:$O$95,15,0)),0,VLOOKUP($S$2547,'TAR FIN'!$A$1:$O$95,15,0))</f>
        <v>0</v>
      </c>
      <c r="W2547" s="77">
        <f>IF(ISERROR(VLOOKUP($T$2547,'TAR FIN'!$A$1:$O$95,15,0)),0,VLOOKUP($T$2547,'TAR FIN'!$A$1:$O$95,15,0))*(1-0.09)</f>
        <v>409.67290000000003</v>
      </c>
      <c r="X2547" s="77">
        <f>IF(ISERROR(VLOOKUP($U$2547,'TAR FIN'!$A$1:$O$95,15,0)),0,VLOOKUP($U$2547,'TAR FIN'!$A$1:$O$95,15,0))*(1-0.09)</f>
        <v>221.40300000000002</v>
      </c>
      <c r="Y2547" s="77"/>
      <c r="Z2547" s="77">
        <f ca="1">('TUSD BE'!$AM$53+'TUSD BF'!$AM$53+'TUSD CVA'!$AM$53)*1*(1-0.06)</f>
        <v>476.12865324271826</v>
      </c>
      <c r="AA2547" s="77">
        <f>('TE BE'!$AA$41+'TE BF'!$AA$41+'TE CVA'!$AA$41)*1*(1-0.06)</f>
        <v>279.36956391055907</v>
      </c>
      <c r="AB2547" s="6">
        <f>$K$2547*$V$2547</f>
        <v>0</v>
      </c>
      <c r="AC2547" s="6">
        <f>$M$2547*$W$2547</f>
        <v>1323287.3020003</v>
      </c>
      <c r="AD2547" s="6">
        <f>$O$2547*$X$2547</f>
        <v>715155.38012100011</v>
      </c>
      <c r="AE2547" s="6">
        <f>$K$2547*$Y$2547</f>
        <v>0</v>
      </c>
      <c r="AF2547" s="6">
        <f ca="1">$M$2547*$Z$2547</f>
        <v>1537946.495739877</v>
      </c>
      <c r="AG2547" s="6">
        <f>$O$2547*$AA$2547</f>
        <v>902393.58397444419</v>
      </c>
    </row>
    <row r="2548" spans="1:33" ht="11.25" customHeight="1" x14ac:dyDescent="0.25">
      <c r="A2548" s="4" t="s">
        <v>59</v>
      </c>
      <c r="B2548" s="4" t="s">
        <v>41</v>
      </c>
      <c r="C2548" s="4" t="s">
        <v>23</v>
      </c>
      <c r="D2548" s="4" t="s">
        <v>52</v>
      </c>
      <c r="E2548" s="4" t="s">
        <v>53</v>
      </c>
      <c r="F2548" s="4" t="s">
        <v>25</v>
      </c>
      <c r="G2548" s="4" t="s">
        <v>25</v>
      </c>
      <c r="H2548" s="4" t="s">
        <v>25</v>
      </c>
      <c r="I2548" s="5">
        <v>44470</v>
      </c>
      <c r="J2548" s="6">
        <v>0</v>
      </c>
      <c r="K2548" s="77">
        <v>0</v>
      </c>
      <c r="L2548" s="6">
        <v>30.367999999999999</v>
      </c>
      <c r="M2548" s="77">
        <v>30.367999999999999</v>
      </c>
      <c r="N2548" s="6">
        <v>30.367999999999999</v>
      </c>
      <c r="O2548" s="77">
        <v>30.367999999999999</v>
      </c>
      <c r="P2548" s="6">
        <v>0</v>
      </c>
      <c r="Q2548" s="4" t="s">
        <v>26</v>
      </c>
      <c r="R2548" s="4">
        <v>0</v>
      </c>
      <c r="S2548" s="6">
        <v>0</v>
      </c>
      <c r="T2548" s="6">
        <v>72</v>
      </c>
      <c r="U2548" s="6">
        <v>78</v>
      </c>
      <c r="V2548" s="77">
        <f>IF(ISERROR(VLOOKUP($S$2548,'TAR FIN'!$A$1:$O$95,15,0)),0,VLOOKUP($S$2548,'TAR FIN'!$A$1:$O$95,15,0))</f>
        <v>0</v>
      </c>
      <c r="W2548" s="77">
        <f>IF(ISERROR(VLOOKUP($T$2548,'TAR FIN'!$A$1:$O$95,15,0)),0,VLOOKUP($T$2548,'TAR FIN'!$A$1:$O$95,15,0))*(1-0.09)</f>
        <v>409.67290000000003</v>
      </c>
      <c r="X2548" s="77">
        <f>IF(ISERROR(VLOOKUP($U$2548,'TAR FIN'!$A$1:$O$95,15,0)),0,VLOOKUP($U$2548,'TAR FIN'!$A$1:$O$95,15,0))*(1-0.09)</f>
        <v>221.40300000000002</v>
      </c>
      <c r="Y2548" s="77"/>
      <c r="Z2548" s="77">
        <f ca="1">('TUSD BE'!$AM$53+'TUSD BF'!$AM$53+'TUSD CVA'!$AM$53)*1*(1-0.06)</f>
        <v>476.12865324271826</v>
      </c>
      <c r="AA2548" s="77">
        <f>('TE BE'!$AA$41+'TE BF'!$AA$41+'TE CVA'!$AA$41)*1*(1-0.06)</f>
        <v>279.36956391055907</v>
      </c>
      <c r="AB2548" s="6">
        <f>$K$2548*$V$2548</f>
        <v>0</v>
      </c>
      <c r="AC2548" s="6">
        <f>$M$2548*$W$2548</f>
        <v>12440.946627200001</v>
      </c>
      <c r="AD2548" s="6">
        <f>$O$2548*$X$2548</f>
        <v>6723.5663039999999</v>
      </c>
      <c r="AE2548" s="6">
        <f>$K$2548*$Y$2548</f>
        <v>0</v>
      </c>
      <c r="AF2548" s="6">
        <f ca="1">$M$2548*$Z$2548</f>
        <v>14459.074941674868</v>
      </c>
      <c r="AG2548" s="6">
        <f>$O$2548*$AA$2548</f>
        <v>8483.8949168358577</v>
      </c>
    </row>
    <row r="2549" spans="1:33" ht="11.25" customHeight="1" x14ac:dyDescent="0.25">
      <c r="A2549" s="4" t="s">
        <v>21</v>
      </c>
      <c r="B2549" s="4" t="s">
        <v>49</v>
      </c>
      <c r="C2549" s="4" t="s">
        <v>23</v>
      </c>
      <c r="D2549" s="4" t="s">
        <v>50</v>
      </c>
      <c r="E2549" s="4" t="s">
        <v>51</v>
      </c>
      <c r="F2549" s="4" t="s">
        <v>25</v>
      </c>
      <c r="G2549" s="4" t="s">
        <v>25</v>
      </c>
      <c r="H2549" s="4" t="s">
        <v>25</v>
      </c>
      <c r="I2549" s="5">
        <v>44136</v>
      </c>
      <c r="J2549" s="6">
        <v>0</v>
      </c>
      <c r="K2549" s="6">
        <v>0</v>
      </c>
      <c r="L2549" s="6">
        <v>12271.55</v>
      </c>
      <c r="M2549" s="6">
        <v>12271.55</v>
      </c>
      <c r="N2549" s="6">
        <v>12271.55</v>
      </c>
      <c r="O2549" s="6">
        <v>12271.55</v>
      </c>
      <c r="P2549" s="6">
        <v>423</v>
      </c>
      <c r="Q2549" s="4" t="s">
        <v>26</v>
      </c>
      <c r="R2549" s="4">
        <v>0</v>
      </c>
      <c r="S2549" s="6">
        <v>0</v>
      </c>
      <c r="T2549" s="6">
        <v>68</v>
      </c>
      <c r="U2549" s="6">
        <v>83</v>
      </c>
      <c r="V2549" s="6">
        <f>IF(ISERROR(VLOOKUP($S$2549,'TAR FIN'!$A$1:$O$95,15,0)),0,VLOOKUP($S$2549,'TAR FIN'!$A$1:$O$95,15,0))</f>
        <v>0</v>
      </c>
      <c r="W2549" s="6">
        <f>IF(ISERROR(VLOOKUP($T$2549,'TAR FIN'!$A$1:$O$95,15,0)),0,VLOOKUP($T$2549,'TAR FIN'!$A$1:$O$95,15,0))</f>
        <v>247.61</v>
      </c>
      <c r="X2549" s="6">
        <f>IF(ISERROR(VLOOKUP($U$2549,'TAR FIN'!$A$1:$O$95,15,0)),0,VLOOKUP($U$2549,'TAR FIN'!$A$1:$O$95,15,0))</f>
        <v>133.82</v>
      </c>
      <c r="Y2549" s="6"/>
      <c r="Z2549" s="6">
        <f ca="1">('TUSD BE'!$AM$55+'TUSD BF'!$AM$55+'TUSD CVA'!$AM$55)*1</f>
        <v>278.58591413137776</v>
      </c>
      <c r="AA2549" s="6">
        <f>('TE BE'!$AA$43+'TE BF'!$AA$43+'TE CVA'!$AA$43)*1</f>
        <v>163.46091505405056</v>
      </c>
      <c r="AB2549" s="6">
        <f>$K$2549*$V$2549</f>
        <v>0</v>
      </c>
      <c r="AC2549" s="6">
        <f>$M$2549*$W$2549</f>
        <v>3038558.4955000002</v>
      </c>
      <c r="AD2549" s="6">
        <f>$O$2549*$X$2549</f>
        <v>1642178.8209999998</v>
      </c>
      <c r="AE2549" s="6">
        <f>$K$2549*$Y$2549</f>
        <v>0</v>
      </c>
      <c r="AF2549" s="6">
        <f ca="1">$M$2549*$Z$2549</f>
        <v>3418680.9745589085</v>
      </c>
      <c r="AG2549" s="6">
        <f>$O$2549*$AA$2549</f>
        <v>2005918.7921315341</v>
      </c>
    </row>
    <row r="2550" spans="1:33" ht="11.25" customHeight="1" x14ac:dyDescent="0.25">
      <c r="A2550" s="4" t="s">
        <v>28</v>
      </c>
      <c r="B2550" s="4" t="s">
        <v>49</v>
      </c>
      <c r="C2550" s="4" t="s">
        <v>23</v>
      </c>
      <c r="D2550" s="4" t="s">
        <v>50</v>
      </c>
      <c r="E2550" s="4" t="s">
        <v>51</v>
      </c>
      <c r="F2550" s="4" t="s">
        <v>25</v>
      </c>
      <c r="G2550" s="4" t="s">
        <v>25</v>
      </c>
      <c r="H2550" s="4" t="s">
        <v>25</v>
      </c>
      <c r="I2550" s="5">
        <v>44136</v>
      </c>
      <c r="J2550" s="6">
        <v>0</v>
      </c>
      <c r="K2550" s="6">
        <v>0</v>
      </c>
      <c r="L2550" s="6">
        <v>5717.28</v>
      </c>
      <c r="M2550" s="6">
        <v>5717.28</v>
      </c>
      <c r="N2550" s="6">
        <v>5717.28</v>
      </c>
      <c r="O2550" s="6">
        <v>5717.28</v>
      </c>
      <c r="P2550" s="6">
        <v>242</v>
      </c>
      <c r="Q2550" s="4" t="s">
        <v>26</v>
      </c>
      <c r="R2550" s="4">
        <v>0</v>
      </c>
      <c r="S2550" s="6">
        <v>0</v>
      </c>
      <c r="T2550" s="6">
        <v>68</v>
      </c>
      <c r="U2550" s="6">
        <v>83</v>
      </c>
      <c r="V2550" s="6">
        <f>IF(ISERROR(VLOOKUP($S$2550,'TAR FIN'!$A$1:$O$95,15,0)),0,VLOOKUP($S$2550,'TAR FIN'!$A$1:$O$95,15,0))</f>
        <v>0</v>
      </c>
      <c r="W2550" s="6">
        <f>IF(ISERROR(VLOOKUP($T$2550,'TAR FIN'!$A$1:$O$95,15,0)),0,VLOOKUP($T$2550,'TAR FIN'!$A$1:$O$95,15,0))</f>
        <v>247.61</v>
      </c>
      <c r="X2550" s="6">
        <f>IF(ISERROR(VLOOKUP($U$2550,'TAR FIN'!$A$1:$O$95,15,0)),0,VLOOKUP($U$2550,'TAR FIN'!$A$1:$O$95,15,0))</f>
        <v>133.82</v>
      </c>
      <c r="Y2550" s="6"/>
      <c r="Z2550" s="6">
        <f ca="1">('TUSD BE'!$AM$55+'TUSD BF'!$AM$55+'TUSD CVA'!$AM$55)*1</f>
        <v>278.58591413137776</v>
      </c>
      <c r="AA2550" s="6">
        <f>('TE BE'!$AA$43+'TE BF'!$AA$43+'TE CVA'!$AA$43)*1</f>
        <v>163.46091505405056</v>
      </c>
      <c r="AB2550" s="6">
        <f>$K$2550*$V$2550</f>
        <v>0</v>
      </c>
      <c r="AC2550" s="6">
        <f>$M$2550*$W$2550</f>
        <v>1415655.7008</v>
      </c>
      <c r="AD2550" s="6">
        <f>$O$2550*$X$2550</f>
        <v>765086.4095999999</v>
      </c>
      <c r="AE2550" s="6">
        <f>$K$2550*$Y$2550</f>
        <v>0</v>
      </c>
      <c r="AF2550" s="6">
        <f ca="1">$M$2550*$Z$2550</f>
        <v>1592753.6751450433</v>
      </c>
      <c r="AG2550" s="6">
        <f>$O$2550*$AA$2550</f>
        <v>934551.82042022212</v>
      </c>
    </row>
    <row r="2551" spans="1:33" ht="11.25" customHeight="1" x14ac:dyDescent="0.25">
      <c r="A2551" s="4" t="s">
        <v>21</v>
      </c>
      <c r="B2551" s="4" t="s">
        <v>49</v>
      </c>
      <c r="C2551" s="4" t="s">
        <v>23</v>
      </c>
      <c r="D2551" s="4" t="s">
        <v>50</v>
      </c>
      <c r="E2551" s="4" t="s">
        <v>51</v>
      </c>
      <c r="F2551" s="4" t="s">
        <v>25</v>
      </c>
      <c r="G2551" s="4" t="s">
        <v>25</v>
      </c>
      <c r="H2551" s="4" t="s">
        <v>25</v>
      </c>
      <c r="I2551" s="5">
        <v>44166</v>
      </c>
      <c r="J2551" s="6">
        <v>0</v>
      </c>
      <c r="K2551" s="6">
        <v>0</v>
      </c>
      <c r="L2551" s="6">
        <v>12659.062</v>
      </c>
      <c r="M2551" s="6">
        <v>12659.062</v>
      </c>
      <c r="N2551" s="6">
        <v>12659.062</v>
      </c>
      <c r="O2551" s="6">
        <v>12659.062</v>
      </c>
      <c r="P2551" s="6">
        <v>423</v>
      </c>
      <c r="Q2551" s="4" t="s">
        <v>26</v>
      </c>
      <c r="R2551" s="4">
        <v>0</v>
      </c>
      <c r="S2551" s="6">
        <v>0</v>
      </c>
      <c r="T2551" s="6">
        <v>68</v>
      </c>
      <c r="U2551" s="6">
        <v>83</v>
      </c>
      <c r="V2551" s="6">
        <f>IF(ISERROR(VLOOKUP($S$2551,'TAR FIN'!$A$1:$O$95,15,0)),0,VLOOKUP($S$2551,'TAR FIN'!$A$1:$O$95,15,0))</f>
        <v>0</v>
      </c>
      <c r="W2551" s="6">
        <f>IF(ISERROR(VLOOKUP($T$2551,'TAR FIN'!$A$1:$O$95,15,0)),0,VLOOKUP($T$2551,'TAR FIN'!$A$1:$O$95,15,0))</f>
        <v>247.61</v>
      </c>
      <c r="X2551" s="6">
        <f>IF(ISERROR(VLOOKUP($U$2551,'TAR FIN'!$A$1:$O$95,15,0)),0,VLOOKUP($U$2551,'TAR FIN'!$A$1:$O$95,15,0))</f>
        <v>133.82</v>
      </c>
      <c r="Y2551" s="6"/>
      <c r="Z2551" s="6">
        <f ca="1">('TUSD BE'!$AM$55+'TUSD BF'!$AM$55+'TUSD CVA'!$AM$55)*1</f>
        <v>278.58591413137776</v>
      </c>
      <c r="AA2551" s="6">
        <f>('TE BE'!$AA$43+'TE BF'!$AA$43+'TE CVA'!$AA$43)*1</f>
        <v>163.46091505405056</v>
      </c>
      <c r="AB2551" s="6">
        <f>$K$2551*$V$2551</f>
        <v>0</v>
      </c>
      <c r="AC2551" s="6">
        <f>$M$2551*$W$2551</f>
        <v>3134510.3418200002</v>
      </c>
      <c r="AD2551" s="6">
        <f>$O$2551*$X$2551</f>
        <v>1694035.6768399999</v>
      </c>
      <c r="AE2551" s="6">
        <f>$K$2551*$Y$2551</f>
        <v>0</v>
      </c>
      <c r="AF2551" s="6">
        <f ca="1">$M$2551*$Z$2551</f>
        <v>3526636.3593157874</v>
      </c>
      <c r="AG2551" s="6">
        <f>$O$2551*$AA$2551</f>
        <v>2069261.8582459593</v>
      </c>
    </row>
    <row r="2552" spans="1:33" ht="11.25" customHeight="1" x14ac:dyDescent="0.25">
      <c r="A2552" s="4" t="s">
        <v>28</v>
      </c>
      <c r="B2552" s="4" t="s">
        <v>49</v>
      </c>
      <c r="C2552" s="4" t="s">
        <v>23</v>
      </c>
      <c r="D2552" s="4" t="s">
        <v>50</v>
      </c>
      <c r="E2552" s="4" t="s">
        <v>51</v>
      </c>
      <c r="F2552" s="4" t="s">
        <v>25</v>
      </c>
      <c r="G2552" s="4" t="s">
        <v>25</v>
      </c>
      <c r="H2552" s="4" t="s">
        <v>25</v>
      </c>
      <c r="I2552" s="5">
        <v>44166</v>
      </c>
      <c r="J2552" s="6">
        <v>0</v>
      </c>
      <c r="K2552" s="6">
        <v>0</v>
      </c>
      <c r="L2552" s="6">
        <v>5920.5249999999996</v>
      </c>
      <c r="M2552" s="6">
        <v>5920.5249999999996</v>
      </c>
      <c r="N2552" s="6">
        <v>5920.5249999999996</v>
      </c>
      <c r="O2552" s="6">
        <v>5920.5249999999996</v>
      </c>
      <c r="P2552" s="6">
        <v>243</v>
      </c>
      <c r="Q2552" s="4" t="s">
        <v>26</v>
      </c>
      <c r="R2552" s="4">
        <v>0</v>
      </c>
      <c r="S2552" s="6">
        <v>0</v>
      </c>
      <c r="T2552" s="6">
        <v>68</v>
      </c>
      <c r="U2552" s="6">
        <v>83</v>
      </c>
      <c r="V2552" s="6">
        <f>IF(ISERROR(VLOOKUP($S$2552,'TAR FIN'!$A$1:$O$95,15,0)),0,VLOOKUP($S$2552,'TAR FIN'!$A$1:$O$95,15,0))</f>
        <v>0</v>
      </c>
      <c r="W2552" s="6">
        <f>IF(ISERROR(VLOOKUP($T$2552,'TAR FIN'!$A$1:$O$95,15,0)),0,VLOOKUP($T$2552,'TAR FIN'!$A$1:$O$95,15,0))</f>
        <v>247.61</v>
      </c>
      <c r="X2552" s="6">
        <f>IF(ISERROR(VLOOKUP($U$2552,'TAR FIN'!$A$1:$O$95,15,0)),0,VLOOKUP($U$2552,'TAR FIN'!$A$1:$O$95,15,0))</f>
        <v>133.82</v>
      </c>
      <c r="Y2552" s="6"/>
      <c r="Z2552" s="6">
        <f ca="1">('TUSD BE'!$AM$55+'TUSD BF'!$AM$55+'TUSD CVA'!$AM$55)*1</f>
        <v>278.58591413137776</v>
      </c>
      <c r="AA2552" s="6">
        <f>('TE BE'!$AA$43+'TE BF'!$AA$43+'TE CVA'!$AA$43)*1</f>
        <v>163.46091505405056</v>
      </c>
      <c r="AB2552" s="6">
        <f>$K$2552*$V$2552</f>
        <v>0</v>
      </c>
      <c r="AC2552" s="6">
        <f>$M$2552*$W$2552</f>
        <v>1465981.1952500001</v>
      </c>
      <c r="AD2552" s="6">
        <f>$O$2552*$X$2552</f>
        <v>792284.65549999988</v>
      </c>
      <c r="AE2552" s="6">
        <f>$K$2552*$Y$2552</f>
        <v>0</v>
      </c>
      <c r="AF2552" s="6">
        <f ca="1">$M$2552*$Z$2552</f>
        <v>1649374.8692626753</v>
      </c>
      <c r="AG2552" s="6">
        <f>$O$2552*$AA$2552</f>
        <v>967774.43410038261</v>
      </c>
    </row>
    <row r="2553" spans="1:33" ht="11.25" customHeight="1" x14ac:dyDescent="0.25">
      <c r="A2553" s="4" t="s">
        <v>21</v>
      </c>
      <c r="B2553" s="4" t="s">
        <v>49</v>
      </c>
      <c r="C2553" s="4" t="s">
        <v>23</v>
      </c>
      <c r="D2553" s="4" t="s">
        <v>50</v>
      </c>
      <c r="E2553" s="4" t="s">
        <v>51</v>
      </c>
      <c r="F2553" s="4" t="s">
        <v>25</v>
      </c>
      <c r="G2553" s="4" t="s">
        <v>25</v>
      </c>
      <c r="H2553" s="4" t="s">
        <v>25</v>
      </c>
      <c r="I2553" s="5">
        <v>44197</v>
      </c>
      <c r="J2553" s="6">
        <v>0</v>
      </c>
      <c r="K2553" s="6">
        <v>0</v>
      </c>
      <c r="L2553" s="6">
        <v>12697.362999999999</v>
      </c>
      <c r="M2553" s="6">
        <v>12697.362999999999</v>
      </c>
      <c r="N2553" s="6">
        <v>12697.362999999999</v>
      </c>
      <c r="O2553" s="6">
        <v>12697.362999999999</v>
      </c>
      <c r="P2553" s="6">
        <v>423</v>
      </c>
      <c r="Q2553" s="4" t="s">
        <v>26</v>
      </c>
      <c r="R2553" s="4">
        <v>0</v>
      </c>
      <c r="S2553" s="6">
        <v>0</v>
      </c>
      <c r="T2553" s="6">
        <v>68</v>
      </c>
      <c r="U2553" s="6">
        <v>83</v>
      </c>
      <c r="V2553" s="6">
        <f>IF(ISERROR(VLOOKUP($S$2553,'TAR FIN'!$A$1:$O$95,15,0)),0,VLOOKUP($S$2553,'TAR FIN'!$A$1:$O$95,15,0))</f>
        <v>0</v>
      </c>
      <c r="W2553" s="6">
        <f>IF(ISERROR(VLOOKUP($T$2553,'TAR FIN'!$A$1:$O$95,15,0)),0,VLOOKUP($T$2553,'TAR FIN'!$A$1:$O$95,15,0))</f>
        <v>247.61</v>
      </c>
      <c r="X2553" s="6">
        <f>IF(ISERROR(VLOOKUP($U$2553,'TAR FIN'!$A$1:$O$95,15,0)),0,VLOOKUP($U$2553,'TAR FIN'!$A$1:$O$95,15,0))</f>
        <v>133.82</v>
      </c>
      <c r="Y2553" s="6"/>
      <c r="Z2553" s="6">
        <f ca="1">('TUSD BE'!$AM$55+'TUSD BF'!$AM$55+'TUSD CVA'!$AM$55)*1</f>
        <v>278.58591413137776</v>
      </c>
      <c r="AA2553" s="6">
        <f>('TE BE'!$AA$43+'TE BF'!$AA$43+'TE CVA'!$AA$43)*1</f>
        <v>163.46091505405056</v>
      </c>
      <c r="AB2553" s="6">
        <f>$K$2553*$V$2553</f>
        <v>0</v>
      </c>
      <c r="AC2553" s="6">
        <f>$M$2553*$W$2553</f>
        <v>3143994.0524300002</v>
      </c>
      <c r="AD2553" s="6">
        <f>$O$2553*$X$2553</f>
        <v>1699161.1166599998</v>
      </c>
      <c r="AE2553" s="6">
        <f>$K$2553*$Y$2553</f>
        <v>0</v>
      </c>
      <c r="AF2553" s="6">
        <f ca="1">$M$2553*$Z$2553</f>
        <v>3537306.4784129332</v>
      </c>
      <c r="AG2553" s="6">
        <f>$O$2553*$AA$2553</f>
        <v>2075522.5747534444</v>
      </c>
    </row>
    <row r="2554" spans="1:33" ht="11.25" customHeight="1" x14ac:dyDescent="0.25">
      <c r="A2554" s="4" t="s">
        <v>28</v>
      </c>
      <c r="B2554" s="4" t="s">
        <v>49</v>
      </c>
      <c r="C2554" s="4" t="s">
        <v>23</v>
      </c>
      <c r="D2554" s="4" t="s">
        <v>50</v>
      </c>
      <c r="E2554" s="4" t="s">
        <v>51</v>
      </c>
      <c r="F2554" s="4" t="s">
        <v>25</v>
      </c>
      <c r="G2554" s="4" t="s">
        <v>25</v>
      </c>
      <c r="H2554" s="4" t="s">
        <v>25</v>
      </c>
      <c r="I2554" s="5">
        <v>44197</v>
      </c>
      <c r="J2554" s="6">
        <v>0</v>
      </c>
      <c r="K2554" s="6">
        <v>0</v>
      </c>
      <c r="L2554" s="6">
        <v>5923.8029999999999</v>
      </c>
      <c r="M2554" s="6">
        <v>5923.8029999999999</v>
      </c>
      <c r="N2554" s="6">
        <v>5923.8029999999999</v>
      </c>
      <c r="O2554" s="6">
        <v>5923.8029999999999</v>
      </c>
      <c r="P2554" s="6">
        <v>243</v>
      </c>
      <c r="Q2554" s="4" t="s">
        <v>26</v>
      </c>
      <c r="R2554" s="4">
        <v>0</v>
      </c>
      <c r="S2554" s="6">
        <v>0</v>
      </c>
      <c r="T2554" s="6">
        <v>68</v>
      </c>
      <c r="U2554" s="6">
        <v>83</v>
      </c>
      <c r="V2554" s="6">
        <f>IF(ISERROR(VLOOKUP($S$2554,'TAR FIN'!$A$1:$O$95,15,0)),0,VLOOKUP($S$2554,'TAR FIN'!$A$1:$O$95,15,0))</f>
        <v>0</v>
      </c>
      <c r="W2554" s="6">
        <f>IF(ISERROR(VLOOKUP($T$2554,'TAR FIN'!$A$1:$O$95,15,0)),0,VLOOKUP($T$2554,'TAR FIN'!$A$1:$O$95,15,0))</f>
        <v>247.61</v>
      </c>
      <c r="X2554" s="6">
        <f>IF(ISERROR(VLOOKUP($U$2554,'TAR FIN'!$A$1:$O$95,15,0)),0,VLOOKUP($U$2554,'TAR FIN'!$A$1:$O$95,15,0))</f>
        <v>133.82</v>
      </c>
      <c r="Y2554" s="6"/>
      <c r="Z2554" s="6">
        <f ca="1">('TUSD BE'!$AM$55+'TUSD BF'!$AM$55+'TUSD CVA'!$AM$55)*1</f>
        <v>278.58591413137776</v>
      </c>
      <c r="AA2554" s="6">
        <f>('TE BE'!$AA$43+'TE BF'!$AA$43+'TE CVA'!$AA$43)*1</f>
        <v>163.46091505405056</v>
      </c>
      <c r="AB2554" s="6">
        <f>$K$2554*$V$2554</f>
        <v>0</v>
      </c>
      <c r="AC2554" s="6">
        <f>$M$2554*$W$2554</f>
        <v>1466792.8608300001</v>
      </c>
      <c r="AD2554" s="6">
        <f>$O$2554*$X$2554</f>
        <v>792723.31745999993</v>
      </c>
      <c r="AE2554" s="6">
        <f>$K$2554*$Y$2554</f>
        <v>0</v>
      </c>
      <c r="AF2554" s="6">
        <f ca="1">$M$2554*$Z$2554</f>
        <v>1650288.073889198</v>
      </c>
      <c r="AG2554" s="6">
        <f>$O$2554*$AA$2554</f>
        <v>968310.25897992984</v>
      </c>
    </row>
    <row r="2555" spans="1:33" ht="11.25" customHeight="1" x14ac:dyDescent="0.25">
      <c r="A2555" s="4" t="s">
        <v>21</v>
      </c>
      <c r="B2555" s="4" t="s">
        <v>49</v>
      </c>
      <c r="C2555" s="4" t="s">
        <v>23</v>
      </c>
      <c r="D2555" s="4" t="s">
        <v>50</v>
      </c>
      <c r="E2555" s="4" t="s">
        <v>51</v>
      </c>
      <c r="F2555" s="4" t="s">
        <v>25</v>
      </c>
      <c r="G2555" s="4" t="s">
        <v>25</v>
      </c>
      <c r="H2555" s="4" t="s">
        <v>25</v>
      </c>
      <c r="I2555" s="5">
        <v>44228</v>
      </c>
      <c r="J2555" s="6">
        <v>0</v>
      </c>
      <c r="K2555" s="6">
        <v>0</v>
      </c>
      <c r="L2555" s="6">
        <v>11438.359</v>
      </c>
      <c r="M2555" s="6">
        <v>11438.359</v>
      </c>
      <c r="N2555" s="6">
        <v>11438.359</v>
      </c>
      <c r="O2555" s="6">
        <v>11438.359</v>
      </c>
      <c r="P2555" s="6">
        <v>423</v>
      </c>
      <c r="Q2555" s="4" t="s">
        <v>26</v>
      </c>
      <c r="R2555" s="4">
        <v>0</v>
      </c>
      <c r="S2555" s="6">
        <v>0</v>
      </c>
      <c r="T2555" s="6">
        <v>68</v>
      </c>
      <c r="U2555" s="6">
        <v>83</v>
      </c>
      <c r="V2555" s="6">
        <f>IF(ISERROR(VLOOKUP($S$2555,'TAR FIN'!$A$1:$O$95,15,0)),0,VLOOKUP($S$2555,'TAR FIN'!$A$1:$O$95,15,0))</f>
        <v>0</v>
      </c>
      <c r="W2555" s="6">
        <f>IF(ISERROR(VLOOKUP($T$2555,'TAR FIN'!$A$1:$O$95,15,0)),0,VLOOKUP($T$2555,'TAR FIN'!$A$1:$O$95,15,0))</f>
        <v>247.61</v>
      </c>
      <c r="X2555" s="6">
        <f>IF(ISERROR(VLOOKUP($U$2555,'TAR FIN'!$A$1:$O$95,15,0)),0,VLOOKUP($U$2555,'TAR FIN'!$A$1:$O$95,15,0))</f>
        <v>133.82</v>
      </c>
      <c r="Y2555" s="6"/>
      <c r="Z2555" s="6">
        <f ca="1">('TUSD BE'!$AM$55+'TUSD BF'!$AM$55+'TUSD CVA'!$AM$55)*1</f>
        <v>278.58591413137776</v>
      </c>
      <c r="AA2555" s="6">
        <f>('TE BE'!$AA$43+'TE BF'!$AA$43+'TE CVA'!$AA$43)*1</f>
        <v>163.46091505405056</v>
      </c>
      <c r="AB2555" s="6">
        <f>$K$2555*$V$2555</f>
        <v>0</v>
      </c>
      <c r="AC2555" s="6">
        <f>$M$2555*$W$2555</f>
        <v>2832252.0719900001</v>
      </c>
      <c r="AD2555" s="6">
        <f>$O$2555*$X$2555</f>
        <v>1530681.20138</v>
      </c>
      <c r="AE2555" s="6">
        <f>$K$2555*$Y$2555</f>
        <v>0</v>
      </c>
      <c r="AF2555" s="6">
        <f ca="1">$M$2555*$Z$2555</f>
        <v>3186565.6981778722</v>
      </c>
      <c r="AG2555" s="6">
        <f>$O$2555*$AA$2555</f>
        <v>1869724.6288567348</v>
      </c>
    </row>
    <row r="2556" spans="1:33" ht="11.25" customHeight="1" x14ac:dyDescent="0.25">
      <c r="A2556" s="4" t="s">
        <v>28</v>
      </c>
      <c r="B2556" s="4" t="s">
        <v>49</v>
      </c>
      <c r="C2556" s="4" t="s">
        <v>23</v>
      </c>
      <c r="D2556" s="4" t="s">
        <v>50</v>
      </c>
      <c r="E2556" s="4" t="s">
        <v>51</v>
      </c>
      <c r="F2556" s="4" t="s">
        <v>25</v>
      </c>
      <c r="G2556" s="4" t="s">
        <v>25</v>
      </c>
      <c r="H2556" s="4" t="s">
        <v>25</v>
      </c>
      <c r="I2556" s="5">
        <v>44228</v>
      </c>
      <c r="J2556" s="6">
        <v>0</v>
      </c>
      <c r="K2556" s="6">
        <v>0</v>
      </c>
      <c r="L2556" s="6">
        <v>5358.1279999999997</v>
      </c>
      <c r="M2556" s="6">
        <v>5358.1279999999997</v>
      </c>
      <c r="N2556" s="6">
        <v>5358.1279999999997</v>
      </c>
      <c r="O2556" s="6">
        <v>5358.1279999999997</v>
      </c>
      <c r="P2556" s="6">
        <v>243</v>
      </c>
      <c r="Q2556" s="4" t="s">
        <v>26</v>
      </c>
      <c r="R2556" s="4">
        <v>0</v>
      </c>
      <c r="S2556" s="6">
        <v>0</v>
      </c>
      <c r="T2556" s="6">
        <v>68</v>
      </c>
      <c r="U2556" s="6">
        <v>83</v>
      </c>
      <c r="V2556" s="6">
        <f>IF(ISERROR(VLOOKUP($S$2556,'TAR FIN'!$A$1:$O$95,15,0)),0,VLOOKUP($S$2556,'TAR FIN'!$A$1:$O$95,15,0))</f>
        <v>0</v>
      </c>
      <c r="W2556" s="6">
        <f>IF(ISERROR(VLOOKUP($T$2556,'TAR FIN'!$A$1:$O$95,15,0)),0,VLOOKUP($T$2556,'TAR FIN'!$A$1:$O$95,15,0))</f>
        <v>247.61</v>
      </c>
      <c r="X2556" s="6">
        <f>IF(ISERROR(VLOOKUP($U$2556,'TAR FIN'!$A$1:$O$95,15,0)),0,VLOOKUP($U$2556,'TAR FIN'!$A$1:$O$95,15,0))</f>
        <v>133.82</v>
      </c>
      <c r="Y2556" s="6"/>
      <c r="Z2556" s="6">
        <f ca="1">('TUSD BE'!$AM$55+'TUSD BF'!$AM$55+'TUSD CVA'!$AM$55)*1</f>
        <v>278.58591413137776</v>
      </c>
      <c r="AA2556" s="6">
        <f>('TE BE'!$AA$43+'TE BF'!$AA$43+'TE CVA'!$AA$43)*1</f>
        <v>163.46091505405056</v>
      </c>
      <c r="AB2556" s="6">
        <f>$K$2556*$V$2556</f>
        <v>0</v>
      </c>
      <c r="AC2556" s="6">
        <f>$M$2556*$W$2556</f>
        <v>1326726.0740799999</v>
      </c>
      <c r="AD2556" s="6">
        <f>$O$2556*$X$2556</f>
        <v>717024.68895999994</v>
      </c>
      <c r="AE2556" s="6">
        <f>$K$2556*$Y$2556</f>
        <v>0</v>
      </c>
      <c r="AF2556" s="6">
        <f ca="1">$M$2556*$Z$2556</f>
        <v>1492698.9869129308</v>
      </c>
      <c r="AG2556" s="6">
        <f>$O$2556*$AA$2556</f>
        <v>875844.50585672981</v>
      </c>
    </row>
    <row r="2557" spans="1:33" ht="11.25" customHeight="1" x14ac:dyDescent="0.25">
      <c r="A2557" s="4" t="s">
        <v>21</v>
      </c>
      <c r="B2557" s="4" t="s">
        <v>49</v>
      </c>
      <c r="C2557" s="4" t="s">
        <v>23</v>
      </c>
      <c r="D2557" s="4" t="s">
        <v>50</v>
      </c>
      <c r="E2557" s="4" t="s">
        <v>51</v>
      </c>
      <c r="F2557" s="4" t="s">
        <v>25</v>
      </c>
      <c r="G2557" s="4" t="s">
        <v>25</v>
      </c>
      <c r="H2557" s="4" t="s">
        <v>25</v>
      </c>
      <c r="I2557" s="5">
        <v>44256</v>
      </c>
      <c r="J2557" s="6">
        <v>0</v>
      </c>
      <c r="K2557" s="6">
        <v>0</v>
      </c>
      <c r="L2557" s="6">
        <v>10497.264999999999</v>
      </c>
      <c r="M2557" s="6">
        <v>10497.264999999999</v>
      </c>
      <c r="N2557" s="6">
        <v>10497.264999999999</v>
      </c>
      <c r="O2557" s="6">
        <v>10497.264999999999</v>
      </c>
      <c r="P2557" s="6">
        <v>422</v>
      </c>
      <c r="Q2557" s="4" t="s">
        <v>26</v>
      </c>
      <c r="R2557" s="4">
        <v>0</v>
      </c>
      <c r="S2557" s="6">
        <v>0</v>
      </c>
      <c r="T2557" s="6">
        <v>68</v>
      </c>
      <c r="U2557" s="6">
        <v>83</v>
      </c>
      <c r="V2557" s="6">
        <f>IF(ISERROR(VLOOKUP($S$2557,'TAR FIN'!$A$1:$O$95,15,0)),0,VLOOKUP($S$2557,'TAR FIN'!$A$1:$O$95,15,0))</f>
        <v>0</v>
      </c>
      <c r="W2557" s="6">
        <f>IF(ISERROR(VLOOKUP($T$2557,'TAR FIN'!$A$1:$O$95,15,0)),0,VLOOKUP($T$2557,'TAR FIN'!$A$1:$O$95,15,0))</f>
        <v>247.61</v>
      </c>
      <c r="X2557" s="6">
        <f>IF(ISERROR(VLOOKUP($U$2557,'TAR FIN'!$A$1:$O$95,15,0)),0,VLOOKUP($U$2557,'TAR FIN'!$A$1:$O$95,15,0))</f>
        <v>133.82</v>
      </c>
      <c r="Y2557" s="6"/>
      <c r="Z2557" s="6">
        <f ca="1">('TUSD BE'!$AM$55+'TUSD BF'!$AM$55+'TUSD CVA'!$AM$55)*1</f>
        <v>278.58591413137776</v>
      </c>
      <c r="AA2557" s="6">
        <f>('TE BE'!$AA$43+'TE BF'!$AA$43+'TE CVA'!$AA$43)*1</f>
        <v>163.46091505405056</v>
      </c>
      <c r="AB2557" s="6">
        <f>$K$2557*$V$2557</f>
        <v>0</v>
      </c>
      <c r="AC2557" s="6">
        <f>$M$2557*$W$2557</f>
        <v>2599227.7866500001</v>
      </c>
      <c r="AD2557" s="6">
        <f>$O$2557*$X$2557</f>
        <v>1404744.0022999998</v>
      </c>
      <c r="AE2557" s="6">
        <f>$K$2557*$Y$2557</f>
        <v>0</v>
      </c>
      <c r="AF2557" s="6">
        <f ca="1">$M$2557*$Z$2557</f>
        <v>2924390.1659043171</v>
      </c>
      <c r="AG2557" s="6">
        <f>$O$2557*$AA$2557</f>
        <v>1715892.5424648579</v>
      </c>
    </row>
    <row r="2558" spans="1:33" ht="11.25" customHeight="1" x14ac:dyDescent="0.25">
      <c r="A2558" s="4" t="s">
        <v>27</v>
      </c>
      <c r="B2558" s="4" t="s">
        <v>49</v>
      </c>
      <c r="C2558" s="4" t="s">
        <v>23</v>
      </c>
      <c r="D2558" s="4" t="s">
        <v>50</v>
      </c>
      <c r="E2558" s="4" t="s">
        <v>51</v>
      </c>
      <c r="F2558" s="4" t="s">
        <v>25</v>
      </c>
      <c r="G2558" s="4" t="s">
        <v>25</v>
      </c>
      <c r="H2558" s="4" t="s">
        <v>25</v>
      </c>
      <c r="I2558" s="5">
        <v>44256</v>
      </c>
      <c r="J2558" s="6">
        <v>0</v>
      </c>
      <c r="K2558" s="6">
        <v>0</v>
      </c>
      <c r="L2558" s="6">
        <v>-1195.78</v>
      </c>
      <c r="M2558" s="6">
        <v>-1195.78</v>
      </c>
      <c r="N2558" s="6">
        <v>-1195.78</v>
      </c>
      <c r="O2558" s="6">
        <v>-1195.78</v>
      </c>
      <c r="P2558" s="6">
        <v>0</v>
      </c>
      <c r="Q2558" s="4" t="s">
        <v>26</v>
      </c>
      <c r="R2558" s="4">
        <v>0</v>
      </c>
      <c r="S2558" s="6">
        <v>0</v>
      </c>
      <c r="T2558" s="6">
        <v>68</v>
      </c>
      <c r="U2558" s="6">
        <v>83</v>
      </c>
      <c r="V2558" s="6">
        <f>IF(ISERROR(VLOOKUP($S$2558,'TAR FIN'!$A$1:$O$95,15,0)),0,VLOOKUP($S$2558,'TAR FIN'!$A$1:$O$95,15,0))</f>
        <v>0</v>
      </c>
      <c r="W2558" s="6">
        <f>IF(ISERROR(VLOOKUP($T$2558,'TAR FIN'!$A$1:$O$95,15,0)),0,VLOOKUP($T$2558,'TAR FIN'!$A$1:$O$95,15,0))</f>
        <v>247.61</v>
      </c>
      <c r="X2558" s="6">
        <f>IF(ISERROR(VLOOKUP($U$2558,'TAR FIN'!$A$1:$O$95,15,0)),0,VLOOKUP($U$2558,'TAR FIN'!$A$1:$O$95,15,0))</f>
        <v>133.82</v>
      </c>
      <c r="Y2558" s="6"/>
      <c r="Z2558" s="6">
        <f ca="1">('TUSD BE'!$AM$55+'TUSD BF'!$AM$55+'TUSD CVA'!$AM$55)*1</f>
        <v>278.58591413137776</v>
      </c>
      <c r="AA2558" s="6">
        <f>('TE BE'!$AA$43+'TE BF'!$AA$43+'TE CVA'!$AA$43)*1</f>
        <v>163.46091505405056</v>
      </c>
      <c r="AB2558" s="6">
        <f>$K$2558*$V$2558</f>
        <v>0</v>
      </c>
      <c r="AC2558" s="6">
        <f>$M$2558*$W$2558</f>
        <v>-296087.0858</v>
      </c>
      <c r="AD2558" s="6">
        <f>$O$2558*$X$2558</f>
        <v>-160019.27959999998</v>
      </c>
      <c r="AE2558" s="6">
        <f>$K$2558*$Y$2558</f>
        <v>0</v>
      </c>
      <c r="AF2558" s="6">
        <f ca="1">$M$2558*$Z$2558</f>
        <v>-333127.46440001891</v>
      </c>
      <c r="AG2558" s="6">
        <f>$O$2558*$AA$2558</f>
        <v>-195463.29300333257</v>
      </c>
    </row>
    <row r="2559" spans="1:33" ht="11.25" customHeight="1" x14ac:dyDescent="0.25">
      <c r="A2559" s="4" t="s">
        <v>28</v>
      </c>
      <c r="B2559" s="4" t="s">
        <v>49</v>
      </c>
      <c r="C2559" s="4" t="s">
        <v>23</v>
      </c>
      <c r="D2559" s="4" t="s">
        <v>50</v>
      </c>
      <c r="E2559" s="4" t="s">
        <v>51</v>
      </c>
      <c r="F2559" s="4" t="s">
        <v>25</v>
      </c>
      <c r="G2559" s="4" t="s">
        <v>25</v>
      </c>
      <c r="H2559" s="4" t="s">
        <v>25</v>
      </c>
      <c r="I2559" s="5">
        <v>44256</v>
      </c>
      <c r="J2559" s="6">
        <v>0</v>
      </c>
      <c r="K2559" s="6">
        <v>0</v>
      </c>
      <c r="L2559" s="6">
        <v>5956.5889999999999</v>
      </c>
      <c r="M2559" s="6">
        <v>5956.5889999999999</v>
      </c>
      <c r="N2559" s="6">
        <v>5956.5889999999999</v>
      </c>
      <c r="O2559" s="6">
        <v>5956.5889999999999</v>
      </c>
      <c r="P2559" s="6">
        <v>248</v>
      </c>
      <c r="Q2559" s="4" t="s">
        <v>26</v>
      </c>
      <c r="R2559" s="4">
        <v>0</v>
      </c>
      <c r="S2559" s="6">
        <v>0</v>
      </c>
      <c r="T2559" s="6">
        <v>68</v>
      </c>
      <c r="U2559" s="6">
        <v>83</v>
      </c>
      <c r="V2559" s="6">
        <f>IF(ISERROR(VLOOKUP($S$2559,'TAR FIN'!$A$1:$O$95,15,0)),0,VLOOKUP($S$2559,'TAR FIN'!$A$1:$O$95,15,0))</f>
        <v>0</v>
      </c>
      <c r="W2559" s="6">
        <f>IF(ISERROR(VLOOKUP($T$2559,'TAR FIN'!$A$1:$O$95,15,0)),0,VLOOKUP($T$2559,'TAR FIN'!$A$1:$O$95,15,0))</f>
        <v>247.61</v>
      </c>
      <c r="X2559" s="6">
        <f>IF(ISERROR(VLOOKUP($U$2559,'TAR FIN'!$A$1:$O$95,15,0)),0,VLOOKUP($U$2559,'TAR FIN'!$A$1:$O$95,15,0))</f>
        <v>133.82</v>
      </c>
      <c r="Y2559" s="6"/>
      <c r="Z2559" s="6">
        <f ca="1">('TUSD BE'!$AM$55+'TUSD BF'!$AM$55+'TUSD CVA'!$AM$55)*1</f>
        <v>278.58591413137776</v>
      </c>
      <c r="AA2559" s="6">
        <f>('TE BE'!$AA$43+'TE BF'!$AA$43+'TE CVA'!$AA$43)*1</f>
        <v>163.46091505405056</v>
      </c>
      <c r="AB2559" s="6">
        <f>$K$2559*$V$2559</f>
        <v>0</v>
      </c>
      <c r="AC2559" s="6">
        <f>$M$2559*$W$2559</f>
        <v>1474911.00229</v>
      </c>
      <c r="AD2559" s="6">
        <f>$O$2559*$X$2559</f>
        <v>797110.73997999995</v>
      </c>
      <c r="AE2559" s="6">
        <f>$K$2559*$Y$2559</f>
        <v>0</v>
      </c>
      <c r="AF2559" s="6">
        <f ca="1">$M$2559*$Z$2559</f>
        <v>1659421.7916699094</v>
      </c>
      <c r="AG2559" s="6">
        <f>$O$2559*$AA$2559</f>
        <v>973669.48854089191</v>
      </c>
    </row>
    <row r="2560" spans="1:33" ht="11.25" customHeight="1" x14ac:dyDescent="0.25">
      <c r="A2560" s="4" t="s">
        <v>21</v>
      </c>
      <c r="B2560" s="4" t="s">
        <v>49</v>
      </c>
      <c r="C2560" s="4" t="s">
        <v>23</v>
      </c>
      <c r="D2560" s="4" t="s">
        <v>50</v>
      </c>
      <c r="E2560" s="4" t="s">
        <v>51</v>
      </c>
      <c r="F2560" s="4" t="s">
        <v>25</v>
      </c>
      <c r="G2560" s="4" t="s">
        <v>25</v>
      </c>
      <c r="H2560" s="4" t="s">
        <v>25</v>
      </c>
      <c r="I2560" s="5">
        <v>44287</v>
      </c>
      <c r="J2560" s="6">
        <v>0</v>
      </c>
      <c r="K2560" s="6">
        <v>0</v>
      </c>
      <c r="L2560" s="6">
        <v>10336.496999999999</v>
      </c>
      <c r="M2560" s="6">
        <v>10336.496999999999</v>
      </c>
      <c r="N2560" s="6">
        <v>10336.496999999999</v>
      </c>
      <c r="O2560" s="6">
        <v>10336.496999999999</v>
      </c>
      <c r="P2560" s="6">
        <v>427</v>
      </c>
      <c r="Q2560" s="4" t="s">
        <v>26</v>
      </c>
      <c r="R2560" s="4">
        <v>0</v>
      </c>
      <c r="S2560" s="6">
        <v>0</v>
      </c>
      <c r="T2560" s="6">
        <v>68</v>
      </c>
      <c r="U2560" s="6">
        <v>83</v>
      </c>
      <c r="V2560" s="6">
        <f>IF(ISERROR(VLOOKUP($S$2560,'TAR FIN'!$A$1:$O$95,15,0)),0,VLOOKUP($S$2560,'TAR FIN'!$A$1:$O$95,15,0))</f>
        <v>0</v>
      </c>
      <c r="W2560" s="6">
        <f>IF(ISERROR(VLOOKUP($T$2560,'TAR FIN'!$A$1:$O$95,15,0)),0,VLOOKUP($T$2560,'TAR FIN'!$A$1:$O$95,15,0))</f>
        <v>247.61</v>
      </c>
      <c r="X2560" s="6">
        <f>IF(ISERROR(VLOOKUP($U$2560,'TAR FIN'!$A$1:$O$95,15,0)),0,VLOOKUP($U$2560,'TAR FIN'!$A$1:$O$95,15,0))</f>
        <v>133.82</v>
      </c>
      <c r="Y2560" s="6"/>
      <c r="Z2560" s="6">
        <f ca="1">('TUSD BE'!$AM$55+'TUSD BF'!$AM$55+'TUSD CVA'!$AM$55)*1</f>
        <v>278.58591413137776</v>
      </c>
      <c r="AA2560" s="6">
        <f>('TE BE'!$AA$43+'TE BF'!$AA$43+'TE CVA'!$AA$43)*1</f>
        <v>163.46091505405056</v>
      </c>
      <c r="AB2560" s="6">
        <f>$K$2560*$V$2560</f>
        <v>0</v>
      </c>
      <c r="AC2560" s="6">
        <f>$M$2560*$W$2560</f>
        <v>2559420.0221699998</v>
      </c>
      <c r="AD2560" s="6">
        <f>$O$2560*$X$2560</f>
        <v>1383230.0285399999</v>
      </c>
      <c r="AE2560" s="6">
        <f>$K$2560*$Y$2560</f>
        <v>0</v>
      </c>
      <c r="AF2560" s="6">
        <f ca="1">$M$2560*$Z$2560</f>
        <v>2879602.4656612435</v>
      </c>
      <c r="AG2560" s="6">
        <f>$O$2560*$AA$2560</f>
        <v>1689613.2580734484</v>
      </c>
    </row>
    <row r="2561" spans="1:33" ht="11.25" customHeight="1" x14ac:dyDescent="0.25">
      <c r="A2561" s="4" t="s">
        <v>27</v>
      </c>
      <c r="B2561" s="4" t="s">
        <v>49</v>
      </c>
      <c r="C2561" s="4" t="s">
        <v>23</v>
      </c>
      <c r="D2561" s="4" t="s">
        <v>50</v>
      </c>
      <c r="E2561" s="4" t="s">
        <v>51</v>
      </c>
      <c r="F2561" s="4" t="s">
        <v>25</v>
      </c>
      <c r="G2561" s="4" t="s">
        <v>25</v>
      </c>
      <c r="H2561" s="4" t="s">
        <v>25</v>
      </c>
      <c r="I2561" s="5">
        <v>44287</v>
      </c>
      <c r="J2561" s="6">
        <v>0</v>
      </c>
      <c r="K2561" s="6">
        <v>0</v>
      </c>
      <c r="L2561" s="6">
        <v>-0.63600000000000001</v>
      </c>
      <c r="M2561" s="6">
        <v>-0.63600000000000001</v>
      </c>
      <c r="N2561" s="6">
        <v>-0.63600000000000001</v>
      </c>
      <c r="O2561" s="6">
        <v>-0.63600000000000001</v>
      </c>
      <c r="P2561" s="6">
        <v>0</v>
      </c>
      <c r="Q2561" s="4" t="s">
        <v>26</v>
      </c>
      <c r="R2561" s="4">
        <v>0</v>
      </c>
      <c r="S2561" s="6">
        <v>0</v>
      </c>
      <c r="T2561" s="6">
        <v>68</v>
      </c>
      <c r="U2561" s="6">
        <v>83</v>
      </c>
      <c r="V2561" s="6">
        <f>IF(ISERROR(VLOOKUP($S$2561,'TAR FIN'!$A$1:$O$95,15,0)),0,VLOOKUP($S$2561,'TAR FIN'!$A$1:$O$95,15,0))</f>
        <v>0</v>
      </c>
      <c r="W2561" s="6">
        <f>IF(ISERROR(VLOOKUP($T$2561,'TAR FIN'!$A$1:$O$95,15,0)),0,VLOOKUP($T$2561,'TAR FIN'!$A$1:$O$95,15,0))</f>
        <v>247.61</v>
      </c>
      <c r="X2561" s="6">
        <f>IF(ISERROR(VLOOKUP($U$2561,'TAR FIN'!$A$1:$O$95,15,0)),0,VLOOKUP($U$2561,'TAR FIN'!$A$1:$O$95,15,0))</f>
        <v>133.82</v>
      </c>
      <c r="Y2561" s="6"/>
      <c r="Z2561" s="6">
        <f ca="1">('TUSD BE'!$AM$55+'TUSD BF'!$AM$55+'TUSD CVA'!$AM$55)*1</f>
        <v>278.58591413137776</v>
      </c>
      <c r="AA2561" s="6">
        <f>('TE BE'!$AA$43+'TE BF'!$AA$43+'TE CVA'!$AA$43)*1</f>
        <v>163.46091505405056</v>
      </c>
      <c r="AB2561" s="6">
        <f>$K$2561*$V$2561</f>
        <v>0</v>
      </c>
      <c r="AC2561" s="6">
        <f>$M$2561*$W$2561</f>
        <v>-157.47996000000001</v>
      </c>
      <c r="AD2561" s="6">
        <f>$O$2561*$X$2561</f>
        <v>-85.109520000000003</v>
      </c>
      <c r="AE2561" s="6">
        <f>$K$2561*$Y$2561</f>
        <v>0</v>
      </c>
      <c r="AF2561" s="6">
        <f ca="1">$M$2561*$Z$2561</f>
        <v>-177.18064138755625</v>
      </c>
      <c r="AG2561" s="6">
        <f>$O$2561*$AA$2561</f>
        <v>-103.96114197437616</v>
      </c>
    </row>
    <row r="2562" spans="1:33" ht="11.25" customHeight="1" x14ac:dyDescent="0.25">
      <c r="A2562" s="4" t="s">
        <v>28</v>
      </c>
      <c r="B2562" s="4" t="s">
        <v>49</v>
      </c>
      <c r="C2562" s="4" t="s">
        <v>23</v>
      </c>
      <c r="D2562" s="4" t="s">
        <v>50</v>
      </c>
      <c r="E2562" s="4" t="s">
        <v>51</v>
      </c>
      <c r="F2562" s="4" t="s">
        <v>25</v>
      </c>
      <c r="G2562" s="4" t="s">
        <v>25</v>
      </c>
      <c r="H2562" s="4" t="s">
        <v>25</v>
      </c>
      <c r="I2562" s="5">
        <v>44287</v>
      </c>
      <c r="J2562" s="6">
        <v>0</v>
      </c>
      <c r="K2562" s="6">
        <v>0</v>
      </c>
      <c r="L2562" s="6">
        <v>5780.54</v>
      </c>
      <c r="M2562" s="6">
        <v>5780.54</v>
      </c>
      <c r="N2562" s="6">
        <v>5780.54</v>
      </c>
      <c r="O2562" s="6">
        <v>5780.54</v>
      </c>
      <c r="P2562" s="6">
        <v>269</v>
      </c>
      <c r="Q2562" s="4" t="s">
        <v>26</v>
      </c>
      <c r="R2562" s="4">
        <v>0</v>
      </c>
      <c r="S2562" s="6">
        <v>0</v>
      </c>
      <c r="T2562" s="6">
        <v>68</v>
      </c>
      <c r="U2562" s="6">
        <v>83</v>
      </c>
      <c r="V2562" s="6">
        <f>IF(ISERROR(VLOOKUP($S$2562,'TAR FIN'!$A$1:$O$95,15,0)),0,VLOOKUP($S$2562,'TAR FIN'!$A$1:$O$95,15,0))</f>
        <v>0</v>
      </c>
      <c r="W2562" s="6">
        <f>IF(ISERROR(VLOOKUP($T$2562,'TAR FIN'!$A$1:$O$95,15,0)),0,VLOOKUP($T$2562,'TAR FIN'!$A$1:$O$95,15,0))</f>
        <v>247.61</v>
      </c>
      <c r="X2562" s="6">
        <f>IF(ISERROR(VLOOKUP($U$2562,'TAR FIN'!$A$1:$O$95,15,0)),0,VLOOKUP($U$2562,'TAR FIN'!$A$1:$O$95,15,0))</f>
        <v>133.82</v>
      </c>
      <c r="Y2562" s="6"/>
      <c r="Z2562" s="6">
        <f ca="1">('TUSD BE'!$AM$55+'TUSD BF'!$AM$55+'TUSD CVA'!$AM$55)*1</f>
        <v>278.58591413137776</v>
      </c>
      <c r="AA2562" s="6">
        <f>('TE BE'!$AA$43+'TE BF'!$AA$43+'TE CVA'!$AA$43)*1</f>
        <v>163.46091505405056</v>
      </c>
      <c r="AB2562" s="6">
        <f>$K$2562*$V$2562</f>
        <v>0</v>
      </c>
      <c r="AC2562" s="6">
        <f>$M$2562*$W$2562</f>
        <v>1431319.5094000001</v>
      </c>
      <c r="AD2562" s="6">
        <f>$O$2562*$X$2562</f>
        <v>773551.8628</v>
      </c>
      <c r="AE2562" s="6">
        <f>$K$2562*$Y$2562</f>
        <v>0</v>
      </c>
      <c r="AF2562" s="6">
        <f ca="1">$M$2562*$Z$2562</f>
        <v>1610377.0200729943</v>
      </c>
      <c r="AG2562" s="6">
        <f>$O$2562*$AA$2562</f>
        <v>944892.35790654144</v>
      </c>
    </row>
    <row r="2563" spans="1:33" ht="11.25" customHeight="1" x14ac:dyDescent="0.25">
      <c r="A2563" s="4" t="s">
        <v>21</v>
      </c>
      <c r="B2563" s="4" t="s">
        <v>49</v>
      </c>
      <c r="C2563" s="4" t="s">
        <v>23</v>
      </c>
      <c r="D2563" s="4" t="s">
        <v>50</v>
      </c>
      <c r="E2563" s="4" t="s">
        <v>51</v>
      </c>
      <c r="F2563" s="4" t="s">
        <v>25</v>
      </c>
      <c r="G2563" s="4" t="s">
        <v>25</v>
      </c>
      <c r="H2563" s="4" t="s">
        <v>25</v>
      </c>
      <c r="I2563" s="5">
        <v>44317</v>
      </c>
      <c r="J2563" s="6">
        <v>0</v>
      </c>
      <c r="K2563" s="6">
        <v>0</v>
      </c>
      <c r="L2563" s="6">
        <v>10680.907999999999</v>
      </c>
      <c r="M2563" s="6">
        <v>10680.907999999999</v>
      </c>
      <c r="N2563" s="6">
        <v>10680.907999999999</v>
      </c>
      <c r="O2563" s="6">
        <v>10680.907999999999</v>
      </c>
      <c r="P2563" s="6">
        <v>427</v>
      </c>
      <c r="Q2563" s="4" t="s">
        <v>26</v>
      </c>
      <c r="R2563" s="4">
        <v>0</v>
      </c>
      <c r="S2563" s="6">
        <v>0</v>
      </c>
      <c r="T2563" s="6">
        <v>68</v>
      </c>
      <c r="U2563" s="6">
        <v>83</v>
      </c>
      <c r="V2563" s="6">
        <f>IF(ISERROR(VLOOKUP($S$2563,'TAR FIN'!$A$1:$O$95,15,0)),0,VLOOKUP($S$2563,'TAR FIN'!$A$1:$O$95,15,0))</f>
        <v>0</v>
      </c>
      <c r="W2563" s="6">
        <f>IF(ISERROR(VLOOKUP($T$2563,'TAR FIN'!$A$1:$O$95,15,0)),0,VLOOKUP($T$2563,'TAR FIN'!$A$1:$O$95,15,0))</f>
        <v>247.61</v>
      </c>
      <c r="X2563" s="6">
        <f>IF(ISERROR(VLOOKUP($U$2563,'TAR FIN'!$A$1:$O$95,15,0)),0,VLOOKUP($U$2563,'TAR FIN'!$A$1:$O$95,15,0))</f>
        <v>133.82</v>
      </c>
      <c r="Y2563" s="6"/>
      <c r="Z2563" s="6">
        <f ca="1">('TUSD BE'!$AM$55+'TUSD BF'!$AM$55+'TUSD CVA'!$AM$55)*1</f>
        <v>278.58591413137776</v>
      </c>
      <c r="AA2563" s="6">
        <f>('TE BE'!$AA$43+'TE BF'!$AA$43+'TE CVA'!$AA$43)*1</f>
        <v>163.46091505405056</v>
      </c>
      <c r="AB2563" s="6">
        <f>$K$2563*$V$2563</f>
        <v>0</v>
      </c>
      <c r="AC2563" s="6">
        <f>$M$2563*$W$2563</f>
        <v>2644699.6298799999</v>
      </c>
      <c r="AD2563" s="6">
        <f>$O$2563*$X$2563</f>
        <v>1429319.1085599998</v>
      </c>
      <c r="AE2563" s="6">
        <f>$K$2563*$Y$2563</f>
        <v>0</v>
      </c>
      <c r="AF2563" s="6">
        <f ca="1">$M$2563*$Z$2563</f>
        <v>2975550.5189331458</v>
      </c>
      <c r="AG2563" s="6">
        <f>$O$2563*$AA$2563</f>
        <v>1745910.995288129</v>
      </c>
    </row>
    <row r="2564" spans="1:33" ht="11.25" customHeight="1" x14ac:dyDescent="0.25">
      <c r="A2564" s="4" t="s">
        <v>28</v>
      </c>
      <c r="B2564" s="4" t="s">
        <v>49</v>
      </c>
      <c r="C2564" s="4" t="s">
        <v>23</v>
      </c>
      <c r="D2564" s="4" t="s">
        <v>50</v>
      </c>
      <c r="E2564" s="4" t="s">
        <v>51</v>
      </c>
      <c r="F2564" s="4" t="s">
        <v>25</v>
      </c>
      <c r="G2564" s="4" t="s">
        <v>25</v>
      </c>
      <c r="H2564" s="4" t="s">
        <v>25</v>
      </c>
      <c r="I2564" s="5">
        <v>44317</v>
      </c>
      <c r="J2564" s="6">
        <v>0</v>
      </c>
      <c r="K2564" s="6">
        <v>0</v>
      </c>
      <c r="L2564" s="6">
        <v>6233.6149999999998</v>
      </c>
      <c r="M2564" s="6">
        <v>6233.6149999999998</v>
      </c>
      <c r="N2564" s="6">
        <v>6233.6149999999998</v>
      </c>
      <c r="O2564" s="6">
        <v>6233.6149999999998</v>
      </c>
      <c r="P2564" s="6">
        <v>287</v>
      </c>
      <c r="Q2564" s="4" t="s">
        <v>26</v>
      </c>
      <c r="R2564" s="4">
        <v>0</v>
      </c>
      <c r="S2564" s="6">
        <v>0</v>
      </c>
      <c r="T2564" s="6">
        <v>68</v>
      </c>
      <c r="U2564" s="6">
        <v>83</v>
      </c>
      <c r="V2564" s="6">
        <f>IF(ISERROR(VLOOKUP($S$2564,'TAR FIN'!$A$1:$O$95,15,0)),0,VLOOKUP($S$2564,'TAR FIN'!$A$1:$O$95,15,0))</f>
        <v>0</v>
      </c>
      <c r="W2564" s="6">
        <f>IF(ISERROR(VLOOKUP($T$2564,'TAR FIN'!$A$1:$O$95,15,0)),0,VLOOKUP($T$2564,'TAR FIN'!$A$1:$O$95,15,0))</f>
        <v>247.61</v>
      </c>
      <c r="X2564" s="6">
        <f>IF(ISERROR(VLOOKUP($U$2564,'TAR FIN'!$A$1:$O$95,15,0)),0,VLOOKUP($U$2564,'TAR FIN'!$A$1:$O$95,15,0))</f>
        <v>133.82</v>
      </c>
      <c r="Y2564" s="6"/>
      <c r="Z2564" s="6">
        <f ca="1">('TUSD BE'!$AM$55+'TUSD BF'!$AM$55+'TUSD CVA'!$AM$55)*1</f>
        <v>278.58591413137776</v>
      </c>
      <c r="AA2564" s="6">
        <f>('TE BE'!$AA$43+'TE BF'!$AA$43+'TE CVA'!$AA$43)*1</f>
        <v>163.46091505405056</v>
      </c>
      <c r="AB2564" s="6">
        <f>$K$2564*$V$2564</f>
        <v>0</v>
      </c>
      <c r="AC2564" s="6">
        <f>$M$2564*$W$2564</f>
        <v>1543505.4101500001</v>
      </c>
      <c r="AD2564" s="6">
        <f>$O$2564*$X$2564</f>
        <v>834182.35929999989</v>
      </c>
      <c r="AE2564" s="6">
        <f>$K$2564*$Y$2564</f>
        <v>0</v>
      </c>
      <c r="AF2564" s="6">
        <f ca="1">$M$2564*$Z$2564</f>
        <v>1736597.3331180683</v>
      </c>
      <c r="AG2564" s="6">
        <f>$O$2564*$AA$2564</f>
        <v>1018952.4119946554</v>
      </c>
    </row>
    <row r="2565" spans="1:33" ht="11.25" customHeight="1" x14ac:dyDescent="0.25">
      <c r="A2565" s="4" t="s">
        <v>29</v>
      </c>
      <c r="B2565" s="4" t="s">
        <v>49</v>
      </c>
      <c r="C2565" s="4" t="s">
        <v>23</v>
      </c>
      <c r="D2565" s="4" t="s">
        <v>50</v>
      </c>
      <c r="E2565" s="4" t="s">
        <v>51</v>
      </c>
      <c r="F2565" s="4" t="s">
        <v>25</v>
      </c>
      <c r="G2565" s="4" t="s">
        <v>25</v>
      </c>
      <c r="H2565" s="4" t="s">
        <v>25</v>
      </c>
      <c r="I2565" s="5">
        <v>44317</v>
      </c>
      <c r="J2565" s="6">
        <v>0</v>
      </c>
      <c r="K2565" s="6">
        <v>0</v>
      </c>
      <c r="L2565" s="6">
        <v>18.949000000000002</v>
      </c>
      <c r="M2565" s="6">
        <v>18.949000000000002</v>
      </c>
      <c r="N2565" s="6">
        <v>18.949000000000002</v>
      </c>
      <c r="O2565" s="6">
        <v>18.949000000000002</v>
      </c>
      <c r="P2565" s="6">
        <v>0</v>
      </c>
      <c r="Q2565" s="4" t="s">
        <v>26</v>
      </c>
      <c r="R2565" s="4">
        <v>0</v>
      </c>
      <c r="S2565" s="6">
        <v>0</v>
      </c>
      <c r="T2565" s="6">
        <v>68</v>
      </c>
      <c r="U2565" s="6">
        <v>83</v>
      </c>
      <c r="V2565" s="6">
        <f>IF(ISERROR(VLOOKUP($S$2565,'TAR FIN'!$A$1:$O$95,15,0)),0,VLOOKUP($S$2565,'TAR FIN'!$A$1:$O$95,15,0))</f>
        <v>0</v>
      </c>
      <c r="W2565" s="6">
        <f>IF(ISERROR(VLOOKUP($T$2565,'TAR FIN'!$A$1:$O$95,15,0)),0,VLOOKUP($T$2565,'TAR FIN'!$A$1:$O$95,15,0))</f>
        <v>247.61</v>
      </c>
      <c r="X2565" s="6">
        <f>IF(ISERROR(VLOOKUP($U$2565,'TAR FIN'!$A$1:$O$95,15,0)),0,VLOOKUP($U$2565,'TAR FIN'!$A$1:$O$95,15,0))</f>
        <v>133.82</v>
      </c>
      <c r="Y2565" s="6"/>
      <c r="Z2565" s="6">
        <f ca="1">('TUSD BE'!$AM$55+'TUSD BF'!$AM$55+'TUSD CVA'!$AM$55)*1</f>
        <v>278.58591413137776</v>
      </c>
      <c r="AA2565" s="6">
        <f>('TE BE'!$AA$43+'TE BF'!$AA$43+'TE CVA'!$AA$43)*1</f>
        <v>163.46091505405056</v>
      </c>
      <c r="AB2565" s="6">
        <f>$K$2565*$V$2565</f>
        <v>0</v>
      </c>
      <c r="AC2565" s="6">
        <f>$M$2565*$W$2565</f>
        <v>4691.9618900000005</v>
      </c>
      <c r="AD2565" s="6">
        <f>$O$2565*$X$2565</f>
        <v>2535.7551800000001</v>
      </c>
      <c r="AE2565" s="6">
        <f>$K$2565*$Y$2565</f>
        <v>0</v>
      </c>
      <c r="AF2565" s="6">
        <f ca="1">$M$2565*$Z$2565</f>
        <v>5278.9244868754777</v>
      </c>
      <c r="AG2565" s="6">
        <f>$O$2565*$AA$2565</f>
        <v>3097.4208793592043</v>
      </c>
    </row>
    <row r="2566" spans="1:33" ht="11.25" customHeight="1" x14ac:dyDescent="0.25">
      <c r="A2566" s="4" t="s">
        <v>21</v>
      </c>
      <c r="B2566" s="4" t="s">
        <v>49</v>
      </c>
      <c r="C2566" s="4" t="s">
        <v>23</v>
      </c>
      <c r="D2566" s="4" t="s">
        <v>50</v>
      </c>
      <c r="E2566" s="4" t="s">
        <v>51</v>
      </c>
      <c r="F2566" s="4" t="s">
        <v>25</v>
      </c>
      <c r="G2566" s="4" t="s">
        <v>25</v>
      </c>
      <c r="H2566" s="4" t="s">
        <v>25</v>
      </c>
      <c r="I2566" s="5">
        <v>44348</v>
      </c>
      <c r="J2566" s="6">
        <v>0</v>
      </c>
      <c r="K2566" s="6">
        <v>0</v>
      </c>
      <c r="L2566" s="6">
        <v>10286.813</v>
      </c>
      <c r="M2566" s="6">
        <v>10286.813</v>
      </c>
      <c r="N2566" s="6">
        <v>10286.813</v>
      </c>
      <c r="O2566" s="6">
        <v>10286.813</v>
      </c>
      <c r="P2566" s="6">
        <v>426</v>
      </c>
      <c r="Q2566" s="4" t="s">
        <v>26</v>
      </c>
      <c r="R2566" s="4">
        <v>0</v>
      </c>
      <c r="S2566" s="6">
        <v>0</v>
      </c>
      <c r="T2566" s="6">
        <v>68</v>
      </c>
      <c r="U2566" s="6">
        <v>83</v>
      </c>
      <c r="V2566" s="6">
        <f>IF(ISERROR(VLOOKUP($S$2566,'TAR FIN'!$A$1:$O$95,15,0)),0,VLOOKUP($S$2566,'TAR FIN'!$A$1:$O$95,15,0))</f>
        <v>0</v>
      </c>
      <c r="W2566" s="6">
        <f>IF(ISERROR(VLOOKUP($T$2566,'TAR FIN'!$A$1:$O$95,15,0)),0,VLOOKUP($T$2566,'TAR FIN'!$A$1:$O$95,15,0))</f>
        <v>247.61</v>
      </c>
      <c r="X2566" s="6">
        <f>IF(ISERROR(VLOOKUP($U$2566,'TAR FIN'!$A$1:$O$95,15,0)),0,VLOOKUP($U$2566,'TAR FIN'!$A$1:$O$95,15,0))</f>
        <v>133.82</v>
      </c>
      <c r="Y2566" s="6"/>
      <c r="Z2566" s="6">
        <f ca="1">('TUSD BE'!$AM$55+'TUSD BF'!$AM$55+'TUSD CVA'!$AM$55)*1</f>
        <v>278.58591413137776</v>
      </c>
      <c r="AA2566" s="6">
        <f>('TE BE'!$AA$43+'TE BF'!$AA$43+'TE CVA'!$AA$43)*1</f>
        <v>163.46091505405056</v>
      </c>
      <c r="AB2566" s="6">
        <f>$K$2566*$V$2566</f>
        <v>0</v>
      </c>
      <c r="AC2566" s="6">
        <f>$M$2566*$W$2566</f>
        <v>2547117.7669300004</v>
      </c>
      <c r="AD2566" s="6">
        <f>$O$2566*$X$2566</f>
        <v>1376581.3156599998</v>
      </c>
      <c r="AE2566" s="6">
        <f>$K$2566*$Y$2566</f>
        <v>0</v>
      </c>
      <c r="AF2566" s="6">
        <f ca="1">$M$2566*$Z$2566</f>
        <v>2865761.2031035405</v>
      </c>
      <c r="AG2566" s="6">
        <f>$O$2566*$AA$2566</f>
        <v>1681491.8659699031</v>
      </c>
    </row>
    <row r="2567" spans="1:33" ht="11.25" customHeight="1" x14ac:dyDescent="0.25">
      <c r="A2567" s="4" t="s">
        <v>28</v>
      </c>
      <c r="B2567" s="4" t="s">
        <v>49</v>
      </c>
      <c r="C2567" s="4" t="s">
        <v>23</v>
      </c>
      <c r="D2567" s="4" t="s">
        <v>50</v>
      </c>
      <c r="E2567" s="4" t="s">
        <v>51</v>
      </c>
      <c r="F2567" s="4" t="s">
        <v>25</v>
      </c>
      <c r="G2567" s="4" t="s">
        <v>25</v>
      </c>
      <c r="H2567" s="4" t="s">
        <v>25</v>
      </c>
      <c r="I2567" s="5">
        <v>44348</v>
      </c>
      <c r="J2567" s="6">
        <v>0</v>
      </c>
      <c r="K2567" s="6">
        <v>0</v>
      </c>
      <c r="L2567" s="6">
        <v>6110.7489999999998</v>
      </c>
      <c r="M2567" s="6">
        <v>6110.7489999999998</v>
      </c>
      <c r="N2567" s="6">
        <v>6110.7489999999998</v>
      </c>
      <c r="O2567" s="6">
        <v>6110.7489999999998</v>
      </c>
      <c r="P2567" s="6">
        <v>286</v>
      </c>
      <c r="Q2567" s="4" t="s">
        <v>26</v>
      </c>
      <c r="R2567" s="4">
        <v>0</v>
      </c>
      <c r="S2567" s="6">
        <v>0</v>
      </c>
      <c r="T2567" s="6">
        <v>68</v>
      </c>
      <c r="U2567" s="6">
        <v>83</v>
      </c>
      <c r="V2567" s="6">
        <f>IF(ISERROR(VLOOKUP($S$2567,'TAR FIN'!$A$1:$O$95,15,0)),0,VLOOKUP($S$2567,'TAR FIN'!$A$1:$O$95,15,0))</f>
        <v>0</v>
      </c>
      <c r="W2567" s="6">
        <f>IF(ISERROR(VLOOKUP($T$2567,'TAR FIN'!$A$1:$O$95,15,0)),0,VLOOKUP($T$2567,'TAR FIN'!$A$1:$O$95,15,0))</f>
        <v>247.61</v>
      </c>
      <c r="X2567" s="6">
        <f>IF(ISERROR(VLOOKUP($U$2567,'TAR FIN'!$A$1:$O$95,15,0)),0,VLOOKUP($U$2567,'TAR FIN'!$A$1:$O$95,15,0))</f>
        <v>133.82</v>
      </c>
      <c r="Y2567" s="6"/>
      <c r="Z2567" s="6">
        <f ca="1">('TUSD BE'!$AM$55+'TUSD BF'!$AM$55+'TUSD CVA'!$AM$55)*1</f>
        <v>278.58591413137776</v>
      </c>
      <c r="AA2567" s="6">
        <f>('TE BE'!$AA$43+'TE BF'!$AA$43+'TE CVA'!$AA$43)*1</f>
        <v>163.46091505405056</v>
      </c>
      <c r="AB2567" s="6">
        <f>$K$2567*$V$2567</f>
        <v>0</v>
      </c>
      <c r="AC2567" s="6">
        <f>$M$2567*$W$2567</f>
        <v>1513082.5598899999</v>
      </c>
      <c r="AD2567" s="6">
        <f>$O$2567*$X$2567</f>
        <v>817740.43117999996</v>
      </c>
      <c r="AE2567" s="6">
        <f>$K$2567*$Y$2567</f>
        <v>0</v>
      </c>
      <c r="AF2567" s="6">
        <f ca="1">$M$2567*$Z$2567</f>
        <v>1702368.5961924025</v>
      </c>
      <c r="AG2567" s="6">
        <f>$O$2567*$AA$2567</f>
        <v>998868.6232056244</v>
      </c>
    </row>
    <row r="2568" spans="1:33" ht="11.25" customHeight="1" x14ac:dyDescent="0.25">
      <c r="A2568" s="4" t="s">
        <v>21</v>
      </c>
      <c r="B2568" s="4" t="s">
        <v>49</v>
      </c>
      <c r="C2568" s="4" t="s">
        <v>23</v>
      </c>
      <c r="D2568" s="4" t="s">
        <v>50</v>
      </c>
      <c r="E2568" s="4" t="s">
        <v>51</v>
      </c>
      <c r="F2568" s="4" t="s">
        <v>25</v>
      </c>
      <c r="G2568" s="4" t="s">
        <v>25</v>
      </c>
      <c r="H2568" s="4" t="s">
        <v>25</v>
      </c>
      <c r="I2568" s="5">
        <v>44378</v>
      </c>
      <c r="J2568" s="6">
        <v>0</v>
      </c>
      <c r="K2568" s="6">
        <v>0</v>
      </c>
      <c r="L2568" s="6">
        <v>10799.734</v>
      </c>
      <c r="M2568" s="6">
        <v>10799.734</v>
      </c>
      <c r="N2568" s="6">
        <v>10799.734</v>
      </c>
      <c r="O2568" s="6">
        <v>10799.734</v>
      </c>
      <c r="P2568" s="6">
        <v>427</v>
      </c>
      <c r="Q2568" s="4" t="s">
        <v>26</v>
      </c>
      <c r="R2568" s="4">
        <v>0</v>
      </c>
      <c r="S2568" s="6">
        <v>0</v>
      </c>
      <c r="T2568" s="6">
        <v>68</v>
      </c>
      <c r="U2568" s="6">
        <v>83</v>
      </c>
      <c r="V2568" s="6">
        <f>IF(ISERROR(VLOOKUP($S$2568,'TAR FIN'!$A$1:$O$95,15,0)),0,VLOOKUP($S$2568,'TAR FIN'!$A$1:$O$95,15,0))</f>
        <v>0</v>
      </c>
      <c r="W2568" s="6">
        <f>IF(ISERROR(VLOOKUP($T$2568,'TAR FIN'!$A$1:$O$95,15,0)),0,VLOOKUP($T$2568,'TAR FIN'!$A$1:$O$95,15,0))</f>
        <v>247.61</v>
      </c>
      <c r="X2568" s="6">
        <f>IF(ISERROR(VLOOKUP($U$2568,'TAR FIN'!$A$1:$O$95,15,0)),0,VLOOKUP($U$2568,'TAR FIN'!$A$1:$O$95,15,0))</f>
        <v>133.82</v>
      </c>
      <c r="Y2568" s="6"/>
      <c r="Z2568" s="6">
        <f ca="1">('TUSD BE'!$AM$55+'TUSD BF'!$AM$55+'TUSD CVA'!$AM$55)*1</f>
        <v>278.58591413137776</v>
      </c>
      <c r="AA2568" s="6">
        <f>('TE BE'!$AA$43+'TE BF'!$AA$43+'TE CVA'!$AA$43)*1</f>
        <v>163.46091505405056</v>
      </c>
      <c r="AB2568" s="6">
        <f>$K$2568*$V$2568</f>
        <v>0</v>
      </c>
      <c r="AC2568" s="6">
        <f>$M$2568*$W$2568</f>
        <v>2674122.1357400003</v>
      </c>
      <c r="AD2568" s="6">
        <f>$O$2568*$X$2568</f>
        <v>1445220.4038799999</v>
      </c>
      <c r="AE2568" s="6">
        <f>$K$2568*$Y$2568</f>
        <v>0</v>
      </c>
      <c r="AF2568" s="6">
        <f ca="1">$M$2568*$Z$2568</f>
        <v>3008653.768765721</v>
      </c>
      <c r="AG2568" s="6">
        <f>$O$2568*$AA$2568</f>
        <v>1765334.4019803416</v>
      </c>
    </row>
    <row r="2569" spans="1:33" ht="11.25" customHeight="1" x14ac:dyDescent="0.25">
      <c r="A2569" s="4" t="s">
        <v>28</v>
      </c>
      <c r="B2569" s="4" t="s">
        <v>49</v>
      </c>
      <c r="C2569" s="4" t="s">
        <v>23</v>
      </c>
      <c r="D2569" s="4" t="s">
        <v>50</v>
      </c>
      <c r="E2569" s="4" t="s">
        <v>51</v>
      </c>
      <c r="F2569" s="4" t="s">
        <v>25</v>
      </c>
      <c r="G2569" s="4" t="s">
        <v>25</v>
      </c>
      <c r="H2569" s="4" t="s">
        <v>25</v>
      </c>
      <c r="I2569" s="5">
        <v>44378</v>
      </c>
      <c r="J2569" s="6">
        <v>0</v>
      </c>
      <c r="K2569" s="6">
        <v>0</v>
      </c>
      <c r="L2569" s="6">
        <v>6332.259</v>
      </c>
      <c r="M2569" s="6">
        <v>6332.259</v>
      </c>
      <c r="N2569" s="6">
        <v>6332.259</v>
      </c>
      <c r="O2569" s="6">
        <v>6332.259</v>
      </c>
      <c r="P2569" s="6">
        <v>286</v>
      </c>
      <c r="Q2569" s="4" t="s">
        <v>26</v>
      </c>
      <c r="R2569" s="4">
        <v>0</v>
      </c>
      <c r="S2569" s="6">
        <v>0</v>
      </c>
      <c r="T2569" s="6">
        <v>68</v>
      </c>
      <c r="U2569" s="6">
        <v>83</v>
      </c>
      <c r="V2569" s="6">
        <f>IF(ISERROR(VLOOKUP($S$2569,'TAR FIN'!$A$1:$O$95,15,0)),0,VLOOKUP($S$2569,'TAR FIN'!$A$1:$O$95,15,0))</f>
        <v>0</v>
      </c>
      <c r="W2569" s="6">
        <f>IF(ISERROR(VLOOKUP($T$2569,'TAR FIN'!$A$1:$O$95,15,0)),0,VLOOKUP($T$2569,'TAR FIN'!$A$1:$O$95,15,0))</f>
        <v>247.61</v>
      </c>
      <c r="X2569" s="6">
        <f>IF(ISERROR(VLOOKUP($U$2569,'TAR FIN'!$A$1:$O$95,15,0)),0,VLOOKUP($U$2569,'TAR FIN'!$A$1:$O$95,15,0))</f>
        <v>133.82</v>
      </c>
      <c r="Y2569" s="6"/>
      <c r="Z2569" s="6">
        <f ca="1">('TUSD BE'!$AM$55+'TUSD BF'!$AM$55+'TUSD CVA'!$AM$55)*1</f>
        <v>278.58591413137776</v>
      </c>
      <c r="AA2569" s="6">
        <f>('TE BE'!$AA$43+'TE BF'!$AA$43+'TE CVA'!$AA$43)*1</f>
        <v>163.46091505405056</v>
      </c>
      <c r="AB2569" s="6">
        <f>$K$2569*$V$2569</f>
        <v>0</v>
      </c>
      <c r="AC2569" s="6">
        <f>$M$2569*$W$2569</f>
        <v>1567930.65099</v>
      </c>
      <c r="AD2569" s="6">
        <f>$O$2569*$X$2569</f>
        <v>847382.89937999996</v>
      </c>
      <c r="AE2569" s="6">
        <f>$K$2569*$Y$2569</f>
        <v>0</v>
      </c>
      <c r="AF2569" s="6">
        <f ca="1">$M$2569*$Z$2569</f>
        <v>1764078.162031644</v>
      </c>
      <c r="AG2569" s="6">
        <f>$O$2569*$AA$2569</f>
        <v>1035076.8504992472</v>
      </c>
    </row>
    <row r="2570" spans="1:33" ht="11.25" customHeight="1" x14ac:dyDescent="0.25">
      <c r="A2570" s="4" t="s">
        <v>21</v>
      </c>
      <c r="B2570" s="4" t="s">
        <v>49</v>
      </c>
      <c r="C2570" s="4" t="s">
        <v>23</v>
      </c>
      <c r="D2570" s="4" t="s">
        <v>50</v>
      </c>
      <c r="E2570" s="4" t="s">
        <v>51</v>
      </c>
      <c r="F2570" s="4" t="s">
        <v>25</v>
      </c>
      <c r="G2570" s="4" t="s">
        <v>25</v>
      </c>
      <c r="H2570" s="4" t="s">
        <v>25</v>
      </c>
      <c r="I2570" s="5">
        <v>44409</v>
      </c>
      <c r="J2570" s="6">
        <v>0</v>
      </c>
      <c r="K2570" s="6">
        <v>0</v>
      </c>
      <c r="L2570" s="6">
        <v>10453.691999999999</v>
      </c>
      <c r="M2570" s="6">
        <v>10453.691999999999</v>
      </c>
      <c r="N2570" s="6">
        <v>10453.691999999999</v>
      </c>
      <c r="O2570" s="6">
        <v>10453.691999999999</v>
      </c>
      <c r="P2570" s="6">
        <v>426</v>
      </c>
      <c r="Q2570" s="4" t="s">
        <v>26</v>
      </c>
      <c r="R2570" s="4">
        <v>0</v>
      </c>
      <c r="S2570" s="6">
        <v>0</v>
      </c>
      <c r="T2570" s="6">
        <v>68</v>
      </c>
      <c r="U2570" s="6">
        <v>83</v>
      </c>
      <c r="V2570" s="6">
        <f>IF(ISERROR(VLOOKUP($S$2570,'TAR FIN'!$A$1:$O$95,15,0)),0,VLOOKUP($S$2570,'TAR FIN'!$A$1:$O$95,15,0))</f>
        <v>0</v>
      </c>
      <c r="W2570" s="6">
        <f>IF(ISERROR(VLOOKUP($T$2570,'TAR FIN'!$A$1:$O$95,15,0)),0,VLOOKUP($T$2570,'TAR FIN'!$A$1:$O$95,15,0))</f>
        <v>247.61</v>
      </c>
      <c r="X2570" s="6">
        <f>IF(ISERROR(VLOOKUP($U$2570,'TAR FIN'!$A$1:$O$95,15,0)),0,VLOOKUP($U$2570,'TAR FIN'!$A$1:$O$95,15,0))</f>
        <v>133.82</v>
      </c>
      <c r="Y2570" s="6"/>
      <c r="Z2570" s="6">
        <f ca="1">('TUSD BE'!$AM$55+'TUSD BF'!$AM$55+'TUSD CVA'!$AM$55)*1</f>
        <v>278.58591413137776</v>
      </c>
      <c r="AA2570" s="6">
        <f>('TE BE'!$AA$43+'TE BF'!$AA$43+'TE CVA'!$AA$43)*1</f>
        <v>163.46091505405056</v>
      </c>
      <c r="AB2570" s="6">
        <f>$K$2570*$V$2570</f>
        <v>0</v>
      </c>
      <c r="AC2570" s="6">
        <f>$M$2570*$W$2570</f>
        <v>2588438.67612</v>
      </c>
      <c r="AD2570" s="6">
        <f>$O$2570*$X$2570</f>
        <v>1398913.0634399997</v>
      </c>
      <c r="AE2570" s="6">
        <f>$K$2570*$Y$2570</f>
        <v>0</v>
      </c>
      <c r="AF2570" s="6">
        <f ca="1">$M$2570*$Z$2570</f>
        <v>2912251.3418678702</v>
      </c>
      <c r="AG2570" s="6">
        <f>$O$2570*$AA$2570</f>
        <v>1708770.0600132078</v>
      </c>
    </row>
    <row r="2571" spans="1:33" ht="11.25" customHeight="1" x14ac:dyDescent="0.25">
      <c r="A2571" s="4" t="s">
        <v>28</v>
      </c>
      <c r="B2571" s="4" t="s">
        <v>49</v>
      </c>
      <c r="C2571" s="4" t="s">
        <v>23</v>
      </c>
      <c r="D2571" s="4" t="s">
        <v>50</v>
      </c>
      <c r="E2571" s="4" t="s">
        <v>51</v>
      </c>
      <c r="F2571" s="4" t="s">
        <v>25</v>
      </c>
      <c r="G2571" s="4" t="s">
        <v>25</v>
      </c>
      <c r="H2571" s="4" t="s">
        <v>25</v>
      </c>
      <c r="I2571" s="5">
        <v>44409</v>
      </c>
      <c r="J2571" s="6">
        <v>0</v>
      </c>
      <c r="K2571" s="6">
        <v>0</v>
      </c>
      <c r="L2571" s="6">
        <v>6326.9110000000001</v>
      </c>
      <c r="M2571" s="6">
        <v>6326.9110000000001</v>
      </c>
      <c r="N2571" s="6">
        <v>6326.9110000000001</v>
      </c>
      <c r="O2571" s="6">
        <v>6326.9110000000001</v>
      </c>
      <c r="P2571" s="6">
        <v>286</v>
      </c>
      <c r="Q2571" s="4" t="s">
        <v>26</v>
      </c>
      <c r="R2571" s="4">
        <v>0</v>
      </c>
      <c r="S2571" s="6">
        <v>0</v>
      </c>
      <c r="T2571" s="6">
        <v>68</v>
      </c>
      <c r="U2571" s="6">
        <v>83</v>
      </c>
      <c r="V2571" s="6">
        <f>IF(ISERROR(VLOOKUP($S$2571,'TAR FIN'!$A$1:$O$95,15,0)),0,VLOOKUP($S$2571,'TAR FIN'!$A$1:$O$95,15,0))</f>
        <v>0</v>
      </c>
      <c r="W2571" s="6">
        <f>IF(ISERROR(VLOOKUP($T$2571,'TAR FIN'!$A$1:$O$95,15,0)),0,VLOOKUP($T$2571,'TAR FIN'!$A$1:$O$95,15,0))</f>
        <v>247.61</v>
      </c>
      <c r="X2571" s="6">
        <f>IF(ISERROR(VLOOKUP($U$2571,'TAR FIN'!$A$1:$O$95,15,0)),0,VLOOKUP($U$2571,'TAR FIN'!$A$1:$O$95,15,0))</f>
        <v>133.82</v>
      </c>
      <c r="Y2571" s="6"/>
      <c r="Z2571" s="6">
        <f ca="1">('TUSD BE'!$AM$55+'TUSD BF'!$AM$55+'TUSD CVA'!$AM$55)*1</f>
        <v>278.58591413137776</v>
      </c>
      <c r="AA2571" s="6">
        <f>('TE BE'!$AA$43+'TE BF'!$AA$43+'TE CVA'!$AA$43)*1</f>
        <v>163.46091505405056</v>
      </c>
      <c r="AB2571" s="6">
        <f>$K$2571*$V$2571</f>
        <v>0</v>
      </c>
      <c r="AC2571" s="6">
        <f>$M$2571*$W$2571</f>
        <v>1566606.4327100001</v>
      </c>
      <c r="AD2571" s="6">
        <f>$O$2571*$X$2571</f>
        <v>846667.23002000002</v>
      </c>
      <c r="AE2571" s="6">
        <f>$K$2571*$Y$2571</f>
        <v>0</v>
      </c>
      <c r="AF2571" s="6">
        <f ca="1">$M$2571*$Z$2571</f>
        <v>1762588.2845628695</v>
      </c>
      <c r="AG2571" s="6">
        <f>$O$2571*$AA$2571</f>
        <v>1034202.6615255381</v>
      </c>
    </row>
    <row r="2572" spans="1:33" ht="11.25" customHeight="1" x14ac:dyDescent="0.25">
      <c r="A2572" s="4" t="s">
        <v>29</v>
      </c>
      <c r="B2572" s="4" t="s">
        <v>49</v>
      </c>
      <c r="C2572" s="4" t="s">
        <v>23</v>
      </c>
      <c r="D2572" s="4" t="s">
        <v>50</v>
      </c>
      <c r="E2572" s="4" t="s">
        <v>51</v>
      </c>
      <c r="F2572" s="4" t="s">
        <v>25</v>
      </c>
      <c r="G2572" s="4" t="s">
        <v>25</v>
      </c>
      <c r="H2572" s="4" t="s">
        <v>25</v>
      </c>
      <c r="I2572" s="5">
        <v>44409</v>
      </c>
      <c r="J2572" s="6">
        <v>0</v>
      </c>
      <c r="K2572" s="6">
        <v>0</v>
      </c>
      <c r="L2572" s="6">
        <v>-0.313</v>
      </c>
      <c r="M2572" s="6">
        <v>-0.313</v>
      </c>
      <c r="N2572" s="6">
        <v>-0.313</v>
      </c>
      <c r="O2572" s="6">
        <v>-0.313</v>
      </c>
      <c r="P2572" s="6">
        <v>0</v>
      </c>
      <c r="Q2572" s="4" t="s">
        <v>26</v>
      </c>
      <c r="R2572" s="4">
        <v>0</v>
      </c>
      <c r="S2572" s="6">
        <v>0</v>
      </c>
      <c r="T2572" s="6">
        <v>68</v>
      </c>
      <c r="U2572" s="6">
        <v>83</v>
      </c>
      <c r="V2572" s="6">
        <f>IF(ISERROR(VLOOKUP($S$2572,'TAR FIN'!$A$1:$O$95,15,0)),0,VLOOKUP($S$2572,'TAR FIN'!$A$1:$O$95,15,0))</f>
        <v>0</v>
      </c>
      <c r="W2572" s="6">
        <f>IF(ISERROR(VLOOKUP($T$2572,'TAR FIN'!$A$1:$O$95,15,0)),0,VLOOKUP($T$2572,'TAR FIN'!$A$1:$O$95,15,0))</f>
        <v>247.61</v>
      </c>
      <c r="X2572" s="6">
        <f>IF(ISERROR(VLOOKUP($U$2572,'TAR FIN'!$A$1:$O$95,15,0)),0,VLOOKUP($U$2572,'TAR FIN'!$A$1:$O$95,15,0))</f>
        <v>133.82</v>
      </c>
      <c r="Y2572" s="6"/>
      <c r="Z2572" s="6">
        <f ca="1">('TUSD BE'!$AM$55+'TUSD BF'!$AM$55+'TUSD CVA'!$AM$55)*1</f>
        <v>278.58591413137776</v>
      </c>
      <c r="AA2572" s="6">
        <f>('TE BE'!$AA$43+'TE BF'!$AA$43+'TE CVA'!$AA$43)*1</f>
        <v>163.46091505405056</v>
      </c>
      <c r="AB2572" s="6">
        <f>$K$2572*$V$2572</f>
        <v>0</v>
      </c>
      <c r="AC2572" s="6">
        <f>$M$2572*$W$2572</f>
        <v>-77.501930000000002</v>
      </c>
      <c r="AD2572" s="6">
        <f>$O$2572*$X$2572</f>
        <v>-41.885660000000001</v>
      </c>
      <c r="AE2572" s="6">
        <f>$K$2572*$Y$2572</f>
        <v>0</v>
      </c>
      <c r="AF2572" s="6">
        <f ca="1">$M$2572*$Z$2572</f>
        <v>-87.197391123121236</v>
      </c>
      <c r="AG2572" s="6">
        <f>$O$2572*$AA$2572</f>
        <v>-51.163266411917824</v>
      </c>
    </row>
    <row r="2573" spans="1:33" ht="11.25" customHeight="1" x14ac:dyDescent="0.25">
      <c r="A2573" s="4" t="s">
        <v>21</v>
      </c>
      <c r="B2573" s="4" t="s">
        <v>49</v>
      </c>
      <c r="C2573" s="4" t="s">
        <v>23</v>
      </c>
      <c r="D2573" s="4" t="s">
        <v>50</v>
      </c>
      <c r="E2573" s="4" t="s">
        <v>51</v>
      </c>
      <c r="F2573" s="4" t="s">
        <v>25</v>
      </c>
      <c r="G2573" s="4" t="s">
        <v>25</v>
      </c>
      <c r="H2573" s="4" t="s">
        <v>25</v>
      </c>
      <c r="I2573" s="5">
        <v>44440</v>
      </c>
      <c r="J2573" s="6">
        <v>0</v>
      </c>
      <c r="K2573" s="6">
        <v>0</v>
      </c>
      <c r="L2573" s="6">
        <v>8696.3729999999996</v>
      </c>
      <c r="M2573" s="6">
        <v>8696.3729999999996</v>
      </c>
      <c r="N2573" s="6">
        <v>8696.3729999999996</v>
      </c>
      <c r="O2573" s="6">
        <v>8696.3729999999996</v>
      </c>
      <c r="P2573" s="6">
        <v>427</v>
      </c>
      <c r="Q2573" s="4" t="s">
        <v>26</v>
      </c>
      <c r="R2573" s="4">
        <v>0</v>
      </c>
      <c r="S2573" s="6">
        <v>0</v>
      </c>
      <c r="T2573" s="6">
        <v>68</v>
      </c>
      <c r="U2573" s="6">
        <v>83</v>
      </c>
      <c r="V2573" s="6">
        <f>IF(ISERROR(VLOOKUP($S$2573,'TAR FIN'!$A$1:$O$95,15,0)),0,VLOOKUP($S$2573,'TAR FIN'!$A$1:$O$95,15,0))</f>
        <v>0</v>
      </c>
      <c r="W2573" s="6">
        <f>IF(ISERROR(VLOOKUP($T$2573,'TAR FIN'!$A$1:$O$95,15,0)),0,VLOOKUP($T$2573,'TAR FIN'!$A$1:$O$95,15,0))</f>
        <v>247.61</v>
      </c>
      <c r="X2573" s="6">
        <f>IF(ISERROR(VLOOKUP($U$2573,'TAR FIN'!$A$1:$O$95,15,0)),0,VLOOKUP($U$2573,'TAR FIN'!$A$1:$O$95,15,0))</f>
        <v>133.82</v>
      </c>
      <c r="Y2573" s="6"/>
      <c r="Z2573" s="6">
        <f ca="1">('TUSD BE'!$AM$55+'TUSD BF'!$AM$55+'TUSD CVA'!$AM$55)*1</f>
        <v>278.58591413137776</v>
      </c>
      <c r="AA2573" s="6">
        <f>('TE BE'!$AA$43+'TE BF'!$AA$43+'TE CVA'!$AA$43)*1</f>
        <v>163.46091505405056</v>
      </c>
      <c r="AB2573" s="6">
        <f>$K$2573*$V$2573</f>
        <v>0</v>
      </c>
      <c r="AC2573" s="6">
        <f>$M$2573*$W$2573</f>
        <v>2153308.9185299999</v>
      </c>
      <c r="AD2573" s="6">
        <f>$O$2573*$X$2573</f>
        <v>1163748.6348599999</v>
      </c>
      <c r="AE2573" s="6">
        <f>$K$2573*$Y$2573</f>
        <v>0</v>
      </c>
      <c r="AF2573" s="6">
        <f ca="1">$M$2573*$Z$2573</f>
        <v>2422687.0218324321</v>
      </c>
      <c r="AG2573" s="6">
        <f>$O$2573*$AA$2573</f>
        <v>1421517.0882313387</v>
      </c>
    </row>
    <row r="2574" spans="1:33" ht="11.25" customHeight="1" x14ac:dyDescent="0.25">
      <c r="A2574" s="4" t="s">
        <v>27</v>
      </c>
      <c r="B2574" s="4" t="s">
        <v>49</v>
      </c>
      <c r="C2574" s="4" t="s">
        <v>23</v>
      </c>
      <c r="D2574" s="4" t="s">
        <v>50</v>
      </c>
      <c r="E2574" s="4" t="s">
        <v>51</v>
      </c>
      <c r="F2574" s="4" t="s">
        <v>25</v>
      </c>
      <c r="G2574" s="4" t="s">
        <v>25</v>
      </c>
      <c r="H2574" s="4" t="s">
        <v>25</v>
      </c>
      <c r="I2574" s="5">
        <v>44440</v>
      </c>
      <c r="J2574" s="6">
        <v>0</v>
      </c>
      <c r="K2574" s="6">
        <v>0</v>
      </c>
      <c r="L2574" s="6">
        <v>-12.782</v>
      </c>
      <c r="M2574" s="6">
        <v>-12.782</v>
      </c>
      <c r="N2574" s="6">
        <v>-12.782</v>
      </c>
      <c r="O2574" s="6">
        <v>-12.782</v>
      </c>
      <c r="P2574" s="6">
        <v>0</v>
      </c>
      <c r="Q2574" s="4" t="s">
        <v>26</v>
      </c>
      <c r="R2574" s="4">
        <v>0</v>
      </c>
      <c r="S2574" s="6">
        <v>0</v>
      </c>
      <c r="T2574" s="6">
        <v>68</v>
      </c>
      <c r="U2574" s="6">
        <v>83</v>
      </c>
      <c r="V2574" s="6">
        <f>IF(ISERROR(VLOOKUP($S$2574,'TAR FIN'!$A$1:$O$95,15,0)),0,VLOOKUP($S$2574,'TAR FIN'!$A$1:$O$95,15,0))</f>
        <v>0</v>
      </c>
      <c r="W2574" s="6">
        <f>IF(ISERROR(VLOOKUP($T$2574,'TAR FIN'!$A$1:$O$95,15,0)),0,VLOOKUP($T$2574,'TAR FIN'!$A$1:$O$95,15,0))</f>
        <v>247.61</v>
      </c>
      <c r="X2574" s="6">
        <f>IF(ISERROR(VLOOKUP($U$2574,'TAR FIN'!$A$1:$O$95,15,0)),0,VLOOKUP($U$2574,'TAR FIN'!$A$1:$O$95,15,0))</f>
        <v>133.82</v>
      </c>
      <c r="Y2574" s="6"/>
      <c r="Z2574" s="6">
        <f ca="1">('TUSD BE'!$AM$55+'TUSD BF'!$AM$55+'TUSD CVA'!$AM$55)*1</f>
        <v>278.58591413137776</v>
      </c>
      <c r="AA2574" s="6">
        <f>('TE BE'!$AA$43+'TE BF'!$AA$43+'TE CVA'!$AA$43)*1</f>
        <v>163.46091505405056</v>
      </c>
      <c r="AB2574" s="6">
        <f>$K$2574*$V$2574</f>
        <v>0</v>
      </c>
      <c r="AC2574" s="6">
        <f>$M$2574*$W$2574</f>
        <v>-3164.95102</v>
      </c>
      <c r="AD2574" s="6">
        <f>$O$2574*$X$2574</f>
        <v>-1710.4872399999999</v>
      </c>
      <c r="AE2574" s="6">
        <f>$K$2574*$Y$2574</f>
        <v>0</v>
      </c>
      <c r="AF2574" s="6">
        <f ca="1">$M$2574*$Z$2574</f>
        <v>-3560.8851544272707</v>
      </c>
      <c r="AG2574" s="6">
        <f>$O$2574*$AA$2574</f>
        <v>-2089.3574162208743</v>
      </c>
    </row>
    <row r="2575" spans="1:33" ht="11.25" customHeight="1" x14ac:dyDescent="0.25">
      <c r="A2575" s="4" t="s">
        <v>28</v>
      </c>
      <c r="B2575" s="4" t="s">
        <v>49</v>
      </c>
      <c r="C2575" s="4" t="s">
        <v>23</v>
      </c>
      <c r="D2575" s="4" t="s">
        <v>50</v>
      </c>
      <c r="E2575" s="4" t="s">
        <v>51</v>
      </c>
      <c r="F2575" s="4" t="s">
        <v>25</v>
      </c>
      <c r="G2575" s="4" t="s">
        <v>25</v>
      </c>
      <c r="H2575" s="4" t="s">
        <v>25</v>
      </c>
      <c r="I2575" s="5">
        <v>44440</v>
      </c>
      <c r="J2575" s="6">
        <v>0</v>
      </c>
      <c r="K2575" s="6">
        <v>0</v>
      </c>
      <c r="L2575" s="6">
        <v>6105.53</v>
      </c>
      <c r="M2575" s="6">
        <v>6105.53</v>
      </c>
      <c r="N2575" s="6">
        <v>6105.53</v>
      </c>
      <c r="O2575" s="6">
        <v>6105.53</v>
      </c>
      <c r="P2575" s="6">
        <v>286</v>
      </c>
      <c r="Q2575" s="4" t="s">
        <v>26</v>
      </c>
      <c r="R2575" s="4">
        <v>0</v>
      </c>
      <c r="S2575" s="6">
        <v>0</v>
      </c>
      <c r="T2575" s="6">
        <v>68</v>
      </c>
      <c r="U2575" s="6">
        <v>83</v>
      </c>
      <c r="V2575" s="6">
        <f>IF(ISERROR(VLOOKUP($S$2575,'TAR FIN'!$A$1:$O$95,15,0)),0,VLOOKUP($S$2575,'TAR FIN'!$A$1:$O$95,15,0))</f>
        <v>0</v>
      </c>
      <c r="W2575" s="6">
        <f>IF(ISERROR(VLOOKUP($T$2575,'TAR FIN'!$A$1:$O$95,15,0)),0,VLOOKUP($T$2575,'TAR FIN'!$A$1:$O$95,15,0))</f>
        <v>247.61</v>
      </c>
      <c r="X2575" s="6">
        <f>IF(ISERROR(VLOOKUP($U$2575,'TAR FIN'!$A$1:$O$95,15,0)),0,VLOOKUP($U$2575,'TAR FIN'!$A$1:$O$95,15,0))</f>
        <v>133.82</v>
      </c>
      <c r="Y2575" s="6"/>
      <c r="Z2575" s="6">
        <f ca="1">('TUSD BE'!$AM$55+'TUSD BF'!$AM$55+'TUSD CVA'!$AM$55)*1</f>
        <v>278.58591413137776</v>
      </c>
      <c r="AA2575" s="6">
        <f>('TE BE'!$AA$43+'TE BF'!$AA$43+'TE CVA'!$AA$43)*1</f>
        <v>163.46091505405056</v>
      </c>
      <c r="AB2575" s="6">
        <f>$K$2575*$V$2575</f>
        <v>0</v>
      </c>
      <c r="AC2575" s="6">
        <f>$M$2575*$W$2575</f>
        <v>1511790.2833</v>
      </c>
      <c r="AD2575" s="6">
        <f>$O$2575*$X$2575</f>
        <v>817042.02459999989</v>
      </c>
      <c r="AE2575" s="6">
        <f>$K$2575*$Y$2575</f>
        <v>0</v>
      </c>
      <c r="AF2575" s="6">
        <f ca="1">$M$2575*$Z$2575</f>
        <v>1700914.6563065508</v>
      </c>
      <c r="AG2575" s="6">
        <f>$O$2575*$AA$2575</f>
        <v>998015.52068995731</v>
      </c>
    </row>
    <row r="2576" spans="1:33" ht="11.25" customHeight="1" x14ac:dyDescent="0.25">
      <c r="A2576" s="4" t="s">
        <v>59</v>
      </c>
      <c r="B2576" s="4" t="s">
        <v>49</v>
      </c>
      <c r="C2576" s="4" t="s">
        <v>23</v>
      </c>
      <c r="D2576" s="4" t="s">
        <v>50</v>
      </c>
      <c r="E2576" s="4" t="s">
        <v>51</v>
      </c>
      <c r="F2576" s="4" t="s">
        <v>25</v>
      </c>
      <c r="G2576" s="4" t="s">
        <v>25</v>
      </c>
      <c r="H2576" s="4" t="s">
        <v>25</v>
      </c>
      <c r="I2576" s="5">
        <v>44470</v>
      </c>
      <c r="J2576" s="6">
        <v>0</v>
      </c>
      <c r="K2576" s="6">
        <v>0</v>
      </c>
      <c r="L2576" s="6">
        <v>8696.3729999999996</v>
      </c>
      <c r="M2576" s="6">
        <v>8696.3729999999996</v>
      </c>
      <c r="N2576" s="6">
        <v>8696.3729999999996</v>
      </c>
      <c r="O2576" s="6">
        <v>8696.3729999999996</v>
      </c>
      <c r="P2576" s="6">
        <v>427</v>
      </c>
      <c r="Q2576" s="4" t="s">
        <v>26</v>
      </c>
      <c r="R2576" s="4">
        <v>0</v>
      </c>
      <c r="S2576" s="6">
        <v>0</v>
      </c>
      <c r="T2576" s="6">
        <v>68</v>
      </c>
      <c r="U2576" s="6">
        <v>83</v>
      </c>
      <c r="V2576" s="6">
        <f>IF(ISERROR(VLOOKUP($S$2576,'TAR FIN'!$A$1:$O$95,15,0)),0,VLOOKUP($S$2576,'TAR FIN'!$A$1:$O$95,15,0))</f>
        <v>0</v>
      </c>
      <c r="W2576" s="6">
        <f>IF(ISERROR(VLOOKUP($T$2576,'TAR FIN'!$A$1:$O$95,15,0)),0,VLOOKUP($T$2576,'TAR FIN'!$A$1:$O$95,15,0))</f>
        <v>247.61</v>
      </c>
      <c r="X2576" s="6">
        <f>IF(ISERROR(VLOOKUP($U$2576,'TAR FIN'!$A$1:$O$95,15,0)),0,VLOOKUP($U$2576,'TAR FIN'!$A$1:$O$95,15,0))</f>
        <v>133.82</v>
      </c>
      <c r="Y2576" s="6"/>
      <c r="Z2576" s="6">
        <f ca="1">('TUSD BE'!$AM$55+'TUSD BF'!$AM$55+'TUSD CVA'!$AM$55)*1</f>
        <v>278.58591413137776</v>
      </c>
      <c r="AA2576" s="6">
        <f>('TE BE'!$AA$43+'TE BF'!$AA$43+'TE CVA'!$AA$43)*1</f>
        <v>163.46091505405056</v>
      </c>
      <c r="AB2576" s="6">
        <f>$K$2576*$V$2576</f>
        <v>0</v>
      </c>
      <c r="AC2576" s="6">
        <f>$M$2576*$W$2576</f>
        <v>2153308.9185299999</v>
      </c>
      <c r="AD2576" s="6">
        <f>$O$2576*$X$2576</f>
        <v>1163748.6348599999</v>
      </c>
      <c r="AE2576" s="6">
        <f>$K$2576*$Y$2576</f>
        <v>0</v>
      </c>
      <c r="AF2576" s="6">
        <f ca="1">$M$2576*$Z$2576</f>
        <v>2422687.0218324321</v>
      </c>
      <c r="AG2576" s="6">
        <f>$O$2576*$AA$2576</f>
        <v>1421517.0882313387</v>
      </c>
    </row>
    <row r="2577" spans="1:33" ht="11.25" customHeight="1" x14ac:dyDescent="0.25">
      <c r="A2577" s="4" t="s">
        <v>59</v>
      </c>
      <c r="B2577" s="4" t="s">
        <v>49</v>
      </c>
      <c r="C2577" s="4" t="s">
        <v>23</v>
      </c>
      <c r="D2577" s="4" t="s">
        <v>50</v>
      </c>
      <c r="E2577" s="4" t="s">
        <v>51</v>
      </c>
      <c r="F2577" s="4" t="s">
        <v>25</v>
      </c>
      <c r="G2577" s="4" t="s">
        <v>25</v>
      </c>
      <c r="H2577" s="4" t="s">
        <v>25</v>
      </c>
      <c r="I2577" s="5">
        <v>44470</v>
      </c>
      <c r="J2577" s="6">
        <v>0</v>
      </c>
      <c r="K2577" s="6">
        <v>0</v>
      </c>
      <c r="L2577" s="6">
        <v>-12.782</v>
      </c>
      <c r="M2577" s="6">
        <v>-12.782</v>
      </c>
      <c r="N2577" s="6">
        <v>-12.782</v>
      </c>
      <c r="O2577" s="6">
        <v>-12.782</v>
      </c>
      <c r="P2577" s="6">
        <v>0</v>
      </c>
      <c r="Q2577" s="4" t="s">
        <v>26</v>
      </c>
      <c r="R2577" s="4">
        <v>0</v>
      </c>
      <c r="S2577" s="6">
        <v>0</v>
      </c>
      <c r="T2577" s="6">
        <v>68</v>
      </c>
      <c r="U2577" s="6">
        <v>83</v>
      </c>
      <c r="V2577" s="6">
        <f>IF(ISERROR(VLOOKUP($S$2577,'TAR FIN'!$A$1:$O$95,15,0)),0,VLOOKUP($S$2577,'TAR FIN'!$A$1:$O$95,15,0))</f>
        <v>0</v>
      </c>
      <c r="W2577" s="6">
        <f>IF(ISERROR(VLOOKUP($T$2577,'TAR FIN'!$A$1:$O$95,15,0)),0,VLOOKUP($T$2577,'TAR FIN'!$A$1:$O$95,15,0))</f>
        <v>247.61</v>
      </c>
      <c r="X2577" s="6">
        <f>IF(ISERROR(VLOOKUP($U$2577,'TAR FIN'!$A$1:$O$95,15,0)),0,VLOOKUP($U$2577,'TAR FIN'!$A$1:$O$95,15,0))</f>
        <v>133.82</v>
      </c>
      <c r="Y2577" s="6"/>
      <c r="Z2577" s="6">
        <f ca="1">('TUSD BE'!$AM$55+'TUSD BF'!$AM$55+'TUSD CVA'!$AM$55)*1</f>
        <v>278.58591413137776</v>
      </c>
      <c r="AA2577" s="6">
        <f>('TE BE'!$AA$43+'TE BF'!$AA$43+'TE CVA'!$AA$43)*1</f>
        <v>163.46091505405056</v>
      </c>
      <c r="AB2577" s="6">
        <f>$K$2577*$V$2577</f>
        <v>0</v>
      </c>
      <c r="AC2577" s="6">
        <f>$M$2577*$W$2577</f>
        <v>-3164.95102</v>
      </c>
      <c r="AD2577" s="6">
        <f>$O$2577*$X$2577</f>
        <v>-1710.4872399999999</v>
      </c>
      <c r="AE2577" s="6">
        <f>$K$2577*$Y$2577</f>
        <v>0</v>
      </c>
      <c r="AF2577" s="6">
        <f ca="1">$M$2577*$Z$2577</f>
        <v>-3560.8851544272707</v>
      </c>
      <c r="AG2577" s="6">
        <f>$O$2577*$AA$2577</f>
        <v>-2089.3574162208743</v>
      </c>
    </row>
    <row r="2578" spans="1:33" ht="11.25" customHeight="1" x14ac:dyDescent="0.25">
      <c r="A2578" s="4" t="s">
        <v>59</v>
      </c>
      <c r="B2578" s="4" t="s">
        <v>49</v>
      </c>
      <c r="C2578" s="4" t="s">
        <v>23</v>
      </c>
      <c r="D2578" s="4" t="s">
        <v>50</v>
      </c>
      <c r="E2578" s="4" t="s">
        <v>51</v>
      </c>
      <c r="F2578" s="4" t="s">
        <v>25</v>
      </c>
      <c r="G2578" s="4" t="s">
        <v>25</v>
      </c>
      <c r="H2578" s="4" t="s">
        <v>25</v>
      </c>
      <c r="I2578" s="5">
        <v>44470</v>
      </c>
      <c r="J2578" s="6">
        <v>0</v>
      </c>
      <c r="K2578" s="6">
        <v>0</v>
      </c>
      <c r="L2578" s="6">
        <v>6105.53</v>
      </c>
      <c r="M2578" s="6">
        <v>6105.53</v>
      </c>
      <c r="N2578" s="6">
        <v>6105.53</v>
      </c>
      <c r="O2578" s="6">
        <v>6105.53</v>
      </c>
      <c r="P2578" s="6">
        <v>286</v>
      </c>
      <c r="Q2578" s="4" t="s">
        <v>26</v>
      </c>
      <c r="R2578" s="4">
        <v>0</v>
      </c>
      <c r="S2578" s="6">
        <v>0</v>
      </c>
      <c r="T2578" s="6">
        <v>68</v>
      </c>
      <c r="U2578" s="6">
        <v>83</v>
      </c>
      <c r="V2578" s="6">
        <f>IF(ISERROR(VLOOKUP($S$2578,'TAR FIN'!$A$1:$O$95,15,0)),0,VLOOKUP($S$2578,'TAR FIN'!$A$1:$O$95,15,0))</f>
        <v>0</v>
      </c>
      <c r="W2578" s="6">
        <f>IF(ISERROR(VLOOKUP($T$2578,'TAR FIN'!$A$1:$O$95,15,0)),0,VLOOKUP($T$2578,'TAR FIN'!$A$1:$O$95,15,0))</f>
        <v>247.61</v>
      </c>
      <c r="X2578" s="6">
        <f>IF(ISERROR(VLOOKUP($U$2578,'TAR FIN'!$A$1:$O$95,15,0)),0,VLOOKUP($U$2578,'TAR FIN'!$A$1:$O$95,15,0))</f>
        <v>133.82</v>
      </c>
      <c r="Y2578" s="6"/>
      <c r="Z2578" s="6">
        <f ca="1">('TUSD BE'!$AM$55+'TUSD BF'!$AM$55+'TUSD CVA'!$AM$55)*1</f>
        <v>278.58591413137776</v>
      </c>
      <c r="AA2578" s="6">
        <f>('TE BE'!$AA$43+'TE BF'!$AA$43+'TE CVA'!$AA$43)*1</f>
        <v>163.46091505405056</v>
      </c>
      <c r="AB2578" s="6">
        <f>$K$2578*$V$2578</f>
        <v>0</v>
      </c>
      <c r="AC2578" s="6">
        <f>$M$2578*$W$2578</f>
        <v>1511790.2833</v>
      </c>
      <c r="AD2578" s="6">
        <f>$O$2578*$X$2578</f>
        <v>817042.02459999989</v>
      </c>
      <c r="AE2578" s="6">
        <f>$K$2578*$Y$2578</f>
        <v>0</v>
      </c>
      <c r="AF2578" s="6">
        <f ca="1">$M$2578*$Z$2578</f>
        <v>1700914.6563065508</v>
      </c>
      <c r="AG2578" s="6">
        <f>$O$2578*$AA$2578</f>
        <v>998015.52068995731</v>
      </c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0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BA339-E8F3-437B-9F20-D04F08A32AEB}">
  <dimension ref="A1:AJ2579"/>
  <sheetViews>
    <sheetView showGridLines="0" topLeftCell="AB1" workbookViewId="0">
      <selection activeCell="AI2" sqref="AI2:AJ9"/>
    </sheetView>
  </sheetViews>
  <sheetFormatPr defaultRowHeight="11.25" customHeight="1" x14ac:dyDescent="0.25"/>
  <cols>
    <col min="1" max="1" width="23.7109375" style="4" bestFit="1" customWidth="1"/>
    <col min="2" max="2" width="13.28515625" style="4" bestFit="1" customWidth="1"/>
    <col min="3" max="3" width="14.5703125" style="4" bestFit="1" customWidth="1"/>
    <col min="4" max="4" width="11.5703125" style="4" bestFit="1" customWidth="1"/>
    <col min="5" max="5" width="25.140625" style="4" bestFit="1" customWidth="1"/>
    <col min="6" max="6" width="13.28515625" style="4" bestFit="1" customWidth="1"/>
    <col min="7" max="7" width="15.42578125" style="4" bestFit="1" customWidth="1"/>
    <col min="8" max="8" width="10.28515625" style="4" bestFit="1" customWidth="1"/>
    <col min="9" max="9" width="12.140625" style="5" bestFit="1" customWidth="1"/>
    <col min="10" max="11" width="8.7109375" style="6" bestFit="1" customWidth="1"/>
    <col min="12" max="12" width="11.28515625" style="6" bestFit="1" customWidth="1"/>
    <col min="13" max="13" width="12.5703125" style="6" bestFit="1" customWidth="1"/>
    <col min="14" max="14" width="9.140625" style="6" bestFit="1" customWidth="1"/>
    <col min="15" max="15" width="10.42578125" style="6" bestFit="1" customWidth="1"/>
    <col min="16" max="16" width="8.7109375" style="6" bestFit="1" customWidth="1"/>
    <col min="17" max="17" width="11.140625" style="4" bestFit="1" customWidth="1"/>
    <col min="18" max="18" width="13.140625" style="4" bestFit="1" customWidth="1"/>
    <col min="19" max="19" width="23" style="4" bestFit="1" customWidth="1"/>
    <col min="20" max="20" width="24.42578125" style="4" bestFit="1" customWidth="1"/>
    <col min="21" max="21" width="22.28515625" style="4" bestFit="1" customWidth="1"/>
    <col min="22" max="22" width="15.85546875" style="4" bestFit="1" customWidth="1"/>
    <col min="23" max="23" width="17.28515625" style="4" bestFit="1" customWidth="1"/>
    <col min="24" max="24" width="15.140625" style="4" bestFit="1" customWidth="1"/>
    <col min="25" max="25" width="20.85546875" style="4" bestFit="1" customWidth="1"/>
    <col min="26" max="26" width="22.42578125" style="4" bestFit="1" customWidth="1"/>
    <col min="27" max="27" width="20.140625" style="4" bestFit="1" customWidth="1"/>
    <col min="28" max="28" width="19.140625" style="4" bestFit="1" customWidth="1"/>
    <col min="29" max="29" width="20.5703125" style="4" bestFit="1" customWidth="1"/>
    <col min="30" max="30" width="19" style="4" bestFit="1" customWidth="1"/>
    <col min="31" max="31" width="20.42578125" style="4" bestFit="1" customWidth="1"/>
    <col min="32" max="32" width="32.140625" style="4" bestFit="1" customWidth="1"/>
    <col min="33" max="33" width="9.140625" style="4"/>
    <col min="34" max="34" width="32.140625" style="4" bestFit="1" customWidth="1"/>
    <col min="35" max="36" width="10.85546875" style="4" bestFit="1" customWidth="1"/>
    <col min="37" max="16384" width="9.140625" style="4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793</v>
      </c>
      <c r="W1" s="1" t="s">
        <v>794</v>
      </c>
      <c r="X1" s="1" t="s">
        <v>795</v>
      </c>
      <c r="Y1" s="1" t="s">
        <v>796</v>
      </c>
      <c r="Z1" s="1" t="s">
        <v>797</v>
      </c>
      <c r="AA1" s="1" t="s">
        <v>798</v>
      </c>
      <c r="AB1" s="1" t="s">
        <v>836</v>
      </c>
      <c r="AC1" s="1" t="s">
        <v>837</v>
      </c>
      <c r="AD1" s="1" t="s">
        <v>838</v>
      </c>
      <c r="AE1" s="1" t="s">
        <v>839</v>
      </c>
      <c r="AF1" s="1" t="s">
        <v>840</v>
      </c>
      <c r="AH1" s="56" t="s">
        <v>840</v>
      </c>
      <c r="AI1" s="56" t="s">
        <v>847</v>
      </c>
      <c r="AJ1" s="56" t="s">
        <v>848</v>
      </c>
    </row>
    <row r="2" spans="1:36" ht="11.25" customHeight="1" x14ac:dyDescent="0.25">
      <c r="A2" s="4" t="s">
        <v>21</v>
      </c>
      <c r="B2" s="4" t="s">
        <v>43</v>
      </c>
      <c r="C2" s="4" t="s">
        <v>44</v>
      </c>
      <c r="D2" s="4" t="s">
        <v>42</v>
      </c>
      <c r="E2" s="4" t="s">
        <v>25</v>
      </c>
      <c r="F2" s="4" t="s">
        <v>62</v>
      </c>
      <c r="G2" s="4" t="s">
        <v>25</v>
      </c>
      <c r="H2" s="4" t="s">
        <v>38</v>
      </c>
      <c r="I2" s="5">
        <v>44136</v>
      </c>
      <c r="J2" s="6">
        <v>23256</v>
      </c>
      <c r="K2" s="6">
        <v>12241.9584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4" t="s">
        <v>60</v>
      </c>
      <c r="R2" s="4">
        <v>0</v>
      </c>
      <c r="S2" s="4">
        <v>2</v>
      </c>
      <c r="T2" s="4">
        <v>0</v>
      </c>
      <c r="U2" s="4">
        <v>0</v>
      </c>
      <c r="V2" s="6">
        <f>IF(ISERROR(VLOOKUP($S$2,'TAR FIN'!$A$1:$O$95,15,0)),0,VLOOKUP($S$2,'TAR FIN'!$A$1:$O$95,15,0))</f>
        <v>5.9</v>
      </c>
      <c r="W2" s="6">
        <f>IF(ISERROR(VLOOKUP($T$2,'TAR FIN'!$A$1:$O$95,15,0)),0,VLOOKUP($T$2,'TAR FIN'!$A$1:$O$95,15,0))</f>
        <v>0</v>
      </c>
      <c r="X2" s="6">
        <f>IF(ISERROR(VLOOKUP($U$2,'TAR FIN'!$A$1:$O$95,15,0)),0,VLOOKUP($U$2,'TAR FIN'!$A$1:$O$95,15,0))</f>
        <v>0</v>
      </c>
      <c r="Y2" s="6">
        <f ca="1">('TUSD BE'!$AM$6+'TUSD BF'!$AM$6+'TUSD CVA'!$AM$6)*1</f>
        <v>6.4798355258986495</v>
      </c>
      <c r="Z2" s="6">
        <f ca="1">('TUSD BE'!$AM$7+'TUSD BF'!$AM$7+'TUSD CVA'!$AM$7)*1</f>
        <v>66.362434908719237</v>
      </c>
      <c r="AA2" s="6"/>
      <c r="AB2" s="6">
        <f t="shared" ref="AB2:AB37" si="0">(J2-K2)*V2</f>
        <v>64982.845440000005</v>
      </c>
      <c r="AC2" s="6">
        <f t="shared" ref="AC2:AC37" si="1">(L2-M2)*W2+(N2-O2)*X2</f>
        <v>0</v>
      </c>
      <c r="AD2" s="6">
        <f t="shared" ref="AD2:AD37" ca="1" si="2">(J2-K2)*Y2</f>
        <v>71369.178043405613</v>
      </c>
      <c r="AE2" s="6">
        <f t="shared" ref="AE2:AE37" ca="1" si="3">(L2-M2)*Z2+(N2-O2)*AA2</f>
        <v>0</v>
      </c>
      <c r="AF2" s="4" t="s">
        <v>841</v>
      </c>
      <c r="AH2" s="57" t="s">
        <v>841</v>
      </c>
      <c r="AI2" s="58">
        <f t="shared" ref="AI2:AI9" si="4">SUMIF($AF$2:$AF$2579,AH2,$AB$2:$AB$2579)+SUMIF($AF$2:$AF$2579,AH2,$AC$2:$AC$2579)</f>
        <v>64853356.955354899</v>
      </c>
      <c r="AJ2" s="58">
        <f t="shared" ref="AJ2:AJ9" ca="1" si="5">SUMIF($AF$2:$AF$2579,AH2,$AD$2:$AD$2579)+SUMIF($AF$2:$AF$2579,AH2,$AE$2:$AE$2579)</f>
        <v>72505099.98567453</v>
      </c>
    </row>
    <row r="3" spans="1:36" ht="11.25" customHeight="1" x14ac:dyDescent="0.25">
      <c r="A3" s="4" t="s">
        <v>21</v>
      </c>
      <c r="B3" s="4" t="s">
        <v>43</v>
      </c>
      <c r="C3" s="4" t="s">
        <v>44</v>
      </c>
      <c r="D3" s="4" t="s">
        <v>42</v>
      </c>
      <c r="E3" s="4" t="s">
        <v>25</v>
      </c>
      <c r="F3" s="4" t="s">
        <v>62</v>
      </c>
      <c r="G3" s="4" t="s">
        <v>25</v>
      </c>
      <c r="H3" s="4" t="s">
        <v>38</v>
      </c>
      <c r="I3" s="5">
        <v>44166</v>
      </c>
      <c r="J3" s="6">
        <v>23851</v>
      </c>
      <c r="K3" s="6">
        <v>14603.9673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4" t="s">
        <v>60</v>
      </c>
      <c r="R3" s="4">
        <v>0</v>
      </c>
      <c r="S3" s="4">
        <v>2</v>
      </c>
      <c r="T3" s="4">
        <v>0</v>
      </c>
      <c r="U3" s="4">
        <v>0</v>
      </c>
      <c r="V3" s="6">
        <f>IF(ISERROR(VLOOKUP($S$3,'TAR FIN'!$A$1:$O$95,15,0)),0,VLOOKUP($S$3,'TAR FIN'!$A$1:$O$95,15,0))</f>
        <v>5.9</v>
      </c>
      <c r="W3" s="6">
        <f>IF(ISERROR(VLOOKUP($T$3,'TAR FIN'!$A$1:$O$95,15,0)),0,VLOOKUP($T$3,'TAR FIN'!$A$1:$O$95,15,0))</f>
        <v>0</v>
      </c>
      <c r="X3" s="6">
        <f>IF(ISERROR(VLOOKUP($U$3,'TAR FIN'!$A$1:$O$95,15,0)),0,VLOOKUP($U$3,'TAR FIN'!$A$1:$O$95,15,0))</f>
        <v>0</v>
      </c>
      <c r="Y3" s="6">
        <f ca="1">('TUSD BE'!$AM$6+'TUSD BF'!$AM$6+'TUSD CVA'!$AM$6)*1</f>
        <v>6.4798355258986495</v>
      </c>
      <c r="Z3" s="6">
        <f ca="1">('TUSD BE'!$AM$7+'TUSD BF'!$AM$7+'TUSD CVA'!$AM$7)*1</f>
        <v>66.362434908719237</v>
      </c>
      <c r="AA3" s="6"/>
      <c r="AB3" s="6">
        <f t="shared" si="0"/>
        <v>54557.49293</v>
      </c>
      <c r="AC3" s="6">
        <f t="shared" si="1"/>
        <v>0</v>
      </c>
      <c r="AD3" s="6">
        <f t="shared" ca="1" si="2"/>
        <v>59919.250998606505</v>
      </c>
      <c r="AE3" s="6">
        <f t="shared" ca="1" si="3"/>
        <v>0</v>
      </c>
      <c r="AF3" s="4" t="s">
        <v>841</v>
      </c>
      <c r="AH3" s="57" t="s">
        <v>843</v>
      </c>
      <c r="AI3" s="58">
        <f t="shared" si="4"/>
        <v>0</v>
      </c>
      <c r="AJ3" s="58">
        <f t="shared" ca="1" si="5"/>
        <v>0</v>
      </c>
    </row>
    <row r="4" spans="1:36" ht="11.25" customHeight="1" x14ac:dyDescent="0.25">
      <c r="A4" s="4" t="s">
        <v>21</v>
      </c>
      <c r="B4" s="4" t="s">
        <v>43</v>
      </c>
      <c r="C4" s="4" t="s">
        <v>44</v>
      </c>
      <c r="D4" s="4" t="s">
        <v>42</v>
      </c>
      <c r="E4" s="4" t="s">
        <v>25</v>
      </c>
      <c r="F4" s="4" t="s">
        <v>62</v>
      </c>
      <c r="G4" s="4" t="s">
        <v>25</v>
      </c>
      <c r="H4" s="4" t="s">
        <v>38</v>
      </c>
      <c r="I4" s="5">
        <v>44197</v>
      </c>
      <c r="J4" s="6">
        <v>23851</v>
      </c>
      <c r="K4" s="6">
        <v>14603.9673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4" t="s">
        <v>60</v>
      </c>
      <c r="R4" s="4">
        <v>0</v>
      </c>
      <c r="S4" s="4">
        <v>2</v>
      </c>
      <c r="T4" s="4">
        <v>0</v>
      </c>
      <c r="U4" s="4">
        <v>0</v>
      </c>
      <c r="V4" s="6">
        <f>IF(ISERROR(VLOOKUP($S$4,'TAR FIN'!$A$1:$O$95,15,0)),0,VLOOKUP($S$4,'TAR FIN'!$A$1:$O$95,15,0))</f>
        <v>5.9</v>
      </c>
      <c r="W4" s="6">
        <f>IF(ISERROR(VLOOKUP($T$4,'TAR FIN'!$A$1:$O$95,15,0)),0,VLOOKUP($T$4,'TAR FIN'!$A$1:$O$95,15,0))</f>
        <v>0</v>
      </c>
      <c r="X4" s="6">
        <f>IF(ISERROR(VLOOKUP($U$4,'TAR FIN'!$A$1:$O$95,15,0)),0,VLOOKUP($U$4,'TAR FIN'!$A$1:$O$95,15,0))</f>
        <v>0</v>
      </c>
      <c r="Y4" s="6">
        <f ca="1">('TUSD BE'!$AM$6+'TUSD BF'!$AM$6+'TUSD CVA'!$AM$6)*1</f>
        <v>6.4798355258986495</v>
      </c>
      <c r="Z4" s="6">
        <f ca="1">('TUSD BE'!$AM$7+'TUSD BF'!$AM$7+'TUSD CVA'!$AM$7)*1</f>
        <v>66.362434908719237</v>
      </c>
      <c r="AA4" s="6"/>
      <c r="AB4" s="6">
        <f t="shared" si="0"/>
        <v>54557.49293</v>
      </c>
      <c r="AC4" s="6">
        <f t="shared" si="1"/>
        <v>0</v>
      </c>
      <c r="AD4" s="6">
        <f t="shared" ca="1" si="2"/>
        <v>59919.250998606505</v>
      </c>
      <c r="AE4" s="6">
        <f t="shared" ca="1" si="3"/>
        <v>0</v>
      </c>
      <c r="AF4" s="4" t="s">
        <v>841</v>
      </c>
      <c r="AH4" s="57" t="s">
        <v>849</v>
      </c>
      <c r="AI4" s="58">
        <f t="shared" si="4"/>
        <v>0</v>
      </c>
      <c r="AJ4" s="58">
        <f t="shared" si="5"/>
        <v>0</v>
      </c>
    </row>
    <row r="5" spans="1:36" ht="11.25" customHeight="1" x14ac:dyDescent="0.25">
      <c r="A5" s="4" t="s">
        <v>21</v>
      </c>
      <c r="B5" s="4" t="s">
        <v>43</v>
      </c>
      <c r="C5" s="4" t="s">
        <v>44</v>
      </c>
      <c r="D5" s="4" t="s">
        <v>42</v>
      </c>
      <c r="E5" s="4" t="s">
        <v>25</v>
      </c>
      <c r="F5" s="4" t="s">
        <v>62</v>
      </c>
      <c r="G5" s="4" t="s">
        <v>25</v>
      </c>
      <c r="H5" s="4" t="s">
        <v>38</v>
      </c>
      <c r="I5" s="5">
        <v>44228</v>
      </c>
      <c r="J5" s="6">
        <v>23959</v>
      </c>
      <c r="K5" s="6">
        <v>14670.0957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4" t="s">
        <v>60</v>
      </c>
      <c r="R5" s="4">
        <v>0</v>
      </c>
      <c r="S5" s="4">
        <v>2</v>
      </c>
      <c r="T5" s="4">
        <v>0</v>
      </c>
      <c r="U5" s="4">
        <v>0</v>
      </c>
      <c r="V5" s="6">
        <f>IF(ISERROR(VLOOKUP($S$5,'TAR FIN'!$A$1:$O$95,15,0)),0,VLOOKUP($S$5,'TAR FIN'!$A$1:$O$95,15,0))</f>
        <v>5.9</v>
      </c>
      <c r="W5" s="6">
        <f>IF(ISERROR(VLOOKUP($T$5,'TAR FIN'!$A$1:$O$95,15,0)),0,VLOOKUP($T$5,'TAR FIN'!$A$1:$O$95,15,0))</f>
        <v>0</v>
      </c>
      <c r="X5" s="6">
        <f>IF(ISERROR(VLOOKUP($U$5,'TAR FIN'!$A$1:$O$95,15,0)),0,VLOOKUP($U$5,'TAR FIN'!$A$1:$O$95,15,0))</f>
        <v>0</v>
      </c>
      <c r="Y5" s="6">
        <f ca="1">('TUSD BE'!$AM$6+'TUSD BF'!$AM$6+'TUSD CVA'!$AM$6)*1</f>
        <v>6.4798355258986495</v>
      </c>
      <c r="Z5" s="6">
        <f ca="1">('TUSD BE'!$AM$7+'TUSD BF'!$AM$7+'TUSD CVA'!$AM$7)*1</f>
        <v>66.362434908719237</v>
      </c>
      <c r="AA5" s="6"/>
      <c r="AB5" s="6">
        <f t="shared" si="0"/>
        <v>54804.535370000005</v>
      </c>
      <c r="AC5" s="6">
        <f t="shared" si="1"/>
        <v>0</v>
      </c>
      <c r="AD5" s="6">
        <f t="shared" ca="1" si="2"/>
        <v>60190.572079812729</v>
      </c>
      <c r="AE5" s="6">
        <f t="shared" ca="1" si="3"/>
        <v>0</v>
      </c>
      <c r="AF5" s="4" t="s">
        <v>841</v>
      </c>
      <c r="AH5" s="57" t="s">
        <v>842</v>
      </c>
      <c r="AI5" s="58">
        <f t="shared" si="4"/>
        <v>5010598.8836477995</v>
      </c>
      <c r="AJ5" s="58">
        <f t="shared" ca="1" si="5"/>
        <v>3899711.3592525255</v>
      </c>
    </row>
    <row r="6" spans="1:36" ht="11.25" customHeight="1" x14ac:dyDescent="0.25">
      <c r="A6" s="4" t="s">
        <v>21</v>
      </c>
      <c r="B6" s="4" t="s">
        <v>43</v>
      </c>
      <c r="C6" s="4" t="s">
        <v>44</v>
      </c>
      <c r="D6" s="4" t="s">
        <v>42</v>
      </c>
      <c r="E6" s="4" t="s">
        <v>25</v>
      </c>
      <c r="F6" s="4" t="s">
        <v>62</v>
      </c>
      <c r="G6" s="4" t="s">
        <v>25</v>
      </c>
      <c r="H6" s="4" t="s">
        <v>38</v>
      </c>
      <c r="I6" s="5">
        <v>44256</v>
      </c>
      <c r="J6" s="6">
        <v>23851</v>
      </c>
      <c r="K6" s="6">
        <v>14603.9673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4" t="s">
        <v>60</v>
      </c>
      <c r="R6" s="4">
        <v>0</v>
      </c>
      <c r="S6" s="4">
        <v>2</v>
      </c>
      <c r="T6" s="4">
        <v>0</v>
      </c>
      <c r="U6" s="4">
        <v>0</v>
      </c>
      <c r="V6" s="6">
        <f>IF(ISERROR(VLOOKUP($S$6,'TAR FIN'!$A$1:$O$95,15,0)),0,VLOOKUP($S$6,'TAR FIN'!$A$1:$O$95,15,0))</f>
        <v>5.9</v>
      </c>
      <c r="W6" s="6">
        <f>IF(ISERROR(VLOOKUP($T$6,'TAR FIN'!$A$1:$O$95,15,0)),0,VLOOKUP($T$6,'TAR FIN'!$A$1:$O$95,15,0))</f>
        <v>0</v>
      </c>
      <c r="X6" s="6">
        <f>IF(ISERROR(VLOOKUP($U$6,'TAR FIN'!$A$1:$O$95,15,0)),0,VLOOKUP($U$6,'TAR FIN'!$A$1:$O$95,15,0))</f>
        <v>0</v>
      </c>
      <c r="Y6" s="6">
        <f ca="1">('TUSD BE'!$AM$6+'TUSD BF'!$AM$6+'TUSD CVA'!$AM$6)*1</f>
        <v>6.4798355258986495</v>
      </c>
      <c r="Z6" s="6">
        <f ca="1">('TUSD BE'!$AM$7+'TUSD BF'!$AM$7+'TUSD CVA'!$AM$7)*1</f>
        <v>66.362434908719237</v>
      </c>
      <c r="AA6" s="6"/>
      <c r="AB6" s="6">
        <f t="shared" si="0"/>
        <v>54557.49293</v>
      </c>
      <c r="AC6" s="6">
        <f t="shared" si="1"/>
        <v>0</v>
      </c>
      <c r="AD6" s="6">
        <f t="shared" ca="1" si="2"/>
        <v>59919.250998606505</v>
      </c>
      <c r="AE6" s="6">
        <f t="shared" ca="1" si="3"/>
        <v>0</v>
      </c>
      <c r="AF6" s="4" t="s">
        <v>841</v>
      </c>
      <c r="AH6" s="57" t="s">
        <v>844</v>
      </c>
      <c r="AI6" s="58">
        <f t="shared" si="4"/>
        <v>8493841.8552775811</v>
      </c>
      <c r="AJ6" s="58">
        <f t="shared" ca="1" si="5"/>
        <v>6563994.4090830637</v>
      </c>
    </row>
    <row r="7" spans="1:36" ht="11.25" customHeight="1" x14ac:dyDescent="0.25">
      <c r="A7" s="4" t="s">
        <v>21</v>
      </c>
      <c r="B7" s="4" t="s">
        <v>43</v>
      </c>
      <c r="C7" s="4" t="s">
        <v>44</v>
      </c>
      <c r="D7" s="4" t="s">
        <v>42</v>
      </c>
      <c r="E7" s="4" t="s">
        <v>25</v>
      </c>
      <c r="F7" s="4" t="s">
        <v>62</v>
      </c>
      <c r="G7" s="4" t="s">
        <v>25</v>
      </c>
      <c r="H7" s="4" t="s">
        <v>38</v>
      </c>
      <c r="I7" s="5">
        <v>44287</v>
      </c>
      <c r="J7" s="6">
        <v>23851</v>
      </c>
      <c r="K7" s="6">
        <v>14603.9673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4" t="s">
        <v>60</v>
      </c>
      <c r="R7" s="4">
        <v>0</v>
      </c>
      <c r="S7" s="4">
        <v>2</v>
      </c>
      <c r="T7" s="4">
        <v>0</v>
      </c>
      <c r="U7" s="4">
        <v>0</v>
      </c>
      <c r="V7" s="6">
        <f>IF(ISERROR(VLOOKUP($S$7,'TAR FIN'!$A$1:$O$95,15,0)),0,VLOOKUP($S$7,'TAR FIN'!$A$1:$O$95,15,0))</f>
        <v>5.9</v>
      </c>
      <c r="W7" s="6">
        <f>IF(ISERROR(VLOOKUP($T$7,'TAR FIN'!$A$1:$O$95,15,0)),0,VLOOKUP($T$7,'TAR FIN'!$A$1:$O$95,15,0))</f>
        <v>0</v>
      </c>
      <c r="X7" s="6">
        <f>IF(ISERROR(VLOOKUP($U$7,'TAR FIN'!$A$1:$O$95,15,0)),0,VLOOKUP($U$7,'TAR FIN'!$A$1:$O$95,15,0))</f>
        <v>0</v>
      </c>
      <c r="Y7" s="6">
        <f ca="1">('TUSD BE'!$AM$6+'TUSD BF'!$AM$6+'TUSD CVA'!$AM$6)*1</f>
        <v>6.4798355258986495</v>
      </c>
      <c r="Z7" s="6">
        <f ca="1">('TUSD BE'!$AM$7+'TUSD BF'!$AM$7+'TUSD CVA'!$AM$7)*1</f>
        <v>66.362434908719237</v>
      </c>
      <c r="AA7" s="6"/>
      <c r="AB7" s="6">
        <f t="shared" si="0"/>
        <v>54557.49293</v>
      </c>
      <c r="AC7" s="6">
        <f t="shared" si="1"/>
        <v>0</v>
      </c>
      <c r="AD7" s="6">
        <f t="shared" ca="1" si="2"/>
        <v>59919.250998606505</v>
      </c>
      <c r="AE7" s="6">
        <f t="shared" ca="1" si="3"/>
        <v>0</v>
      </c>
      <c r="AF7" s="4" t="s">
        <v>841</v>
      </c>
      <c r="AH7" s="57" t="s">
        <v>846</v>
      </c>
      <c r="AI7" s="58">
        <f t="shared" si="4"/>
        <v>75130.635010800004</v>
      </c>
      <c r="AJ7" s="58">
        <f t="shared" ca="1" si="5"/>
        <v>84604.819556441507</v>
      </c>
    </row>
    <row r="8" spans="1:36" ht="11.25" customHeight="1" x14ac:dyDescent="0.25">
      <c r="A8" s="4" t="s">
        <v>21</v>
      </c>
      <c r="B8" s="4" t="s">
        <v>43</v>
      </c>
      <c r="C8" s="4" t="s">
        <v>44</v>
      </c>
      <c r="D8" s="4" t="s">
        <v>42</v>
      </c>
      <c r="E8" s="4" t="s">
        <v>25</v>
      </c>
      <c r="F8" s="4" t="s">
        <v>62</v>
      </c>
      <c r="G8" s="4" t="s">
        <v>25</v>
      </c>
      <c r="H8" s="4" t="s">
        <v>38</v>
      </c>
      <c r="I8" s="5">
        <v>44317</v>
      </c>
      <c r="J8" s="6">
        <v>23851</v>
      </c>
      <c r="K8" s="6">
        <v>14603.9673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4" t="s">
        <v>60</v>
      </c>
      <c r="R8" s="4">
        <v>0</v>
      </c>
      <c r="S8" s="4">
        <v>2</v>
      </c>
      <c r="T8" s="4">
        <v>0</v>
      </c>
      <c r="U8" s="4">
        <v>0</v>
      </c>
      <c r="V8" s="6">
        <f>IF(ISERROR(VLOOKUP($S$8,'TAR FIN'!$A$1:$O$95,15,0)),0,VLOOKUP($S$8,'TAR FIN'!$A$1:$O$95,15,0))</f>
        <v>5.9</v>
      </c>
      <c r="W8" s="6">
        <f>IF(ISERROR(VLOOKUP($T$8,'TAR FIN'!$A$1:$O$95,15,0)),0,VLOOKUP($T$8,'TAR FIN'!$A$1:$O$95,15,0))</f>
        <v>0</v>
      </c>
      <c r="X8" s="6">
        <f>IF(ISERROR(VLOOKUP($U$8,'TAR FIN'!$A$1:$O$95,15,0)),0,VLOOKUP($U$8,'TAR FIN'!$A$1:$O$95,15,0))</f>
        <v>0</v>
      </c>
      <c r="Y8" s="6">
        <f ca="1">('TUSD BE'!$AM$6+'TUSD BF'!$AM$6+'TUSD CVA'!$AM$6)*1</f>
        <v>6.4798355258986495</v>
      </c>
      <c r="Z8" s="6">
        <f ca="1">('TUSD BE'!$AM$7+'TUSD BF'!$AM$7+'TUSD CVA'!$AM$7)*1</f>
        <v>66.362434908719237</v>
      </c>
      <c r="AA8" s="6"/>
      <c r="AB8" s="6">
        <f t="shared" si="0"/>
        <v>54557.49293</v>
      </c>
      <c r="AC8" s="6">
        <f t="shared" si="1"/>
        <v>0</v>
      </c>
      <c r="AD8" s="6">
        <f t="shared" ca="1" si="2"/>
        <v>59919.250998606505</v>
      </c>
      <c r="AE8" s="6">
        <f t="shared" ca="1" si="3"/>
        <v>0</v>
      </c>
      <c r="AF8" s="4" t="s">
        <v>841</v>
      </c>
      <c r="AH8" s="57" t="s">
        <v>845</v>
      </c>
      <c r="AI8" s="58">
        <f t="shared" si="4"/>
        <v>69144902.109500065</v>
      </c>
      <c r="AJ8" s="58">
        <f t="shared" ca="1" si="5"/>
        <v>78893829.967931241</v>
      </c>
    </row>
    <row r="9" spans="1:36" ht="11.25" customHeight="1" x14ac:dyDescent="0.25">
      <c r="A9" s="4" t="s">
        <v>21</v>
      </c>
      <c r="B9" s="4" t="s">
        <v>43</v>
      </c>
      <c r="C9" s="4" t="s">
        <v>44</v>
      </c>
      <c r="D9" s="4" t="s">
        <v>42</v>
      </c>
      <c r="E9" s="4" t="s">
        <v>25</v>
      </c>
      <c r="F9" s="4" t="s">
        <v>62</v>
      </c>
      <c r="G9" s="4" t="s">
        <v>25</v>
      </c>
      <c r="H9" s="4" t="s">
        <v>38</v>
      </c>
      <c r="I9" s="5">
        <v>44348</v>
      </c>
      <c r="J9" s="6">
        <v>23851</v>
      </c>
      <c r="K9" s="6">
        <v>14603.9673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4" t="s">
        <v>60</v>
      </c>
      <c r="R9" s="4">
        <v>0</v>
      </c>
      <c r="S9" s="4">
        <v>2</v>
      </c>
      <c r="T9" s="4">
        <v>0</v>
      </c>
      <c r="U9" s="4">
        <v>0</v>
      </c>
      <c r="V9" s="6">
        <f>IF(ISERROR(VLOOKUP($S$9,'TAR FIN'!$A$1:$O$95,15,0)),0,VLOOKUP($S$9,'TAR FIN'!$A$1:$O$95,15,0))</f>
        <v>5.9</v>
      </c>
      <c r="W9" s="6">
        <f>IF(ISERROR(VLOOKUP($T$9,'TAR FIN'!$A$1:$O$95,15,0)),0,VLOOKUP($T$9,'TAR FIN'!$A$1:$O$95,15,0))</f>
        <v>0</v>
      </c>
      <c r="X9" s="6">
        <f>IF(ISERROR(VLOOKUP($U$9,'TAR FIN'!$A$1:$O$95,15,0)),0,VLOOKUP($U$9,'TAR FIN'!$A$1:$O$95,15,0))</f>
        <v>0</v>
      </c>
      <c r="Y9" s="6">
        <f ca="1">('TUSD BE'!$AM$6+'TUSD BF'!$AM$6+'TUSD CVA'!$AM$6)*1</f>
        <v>6.4798355258986495</v>
      </c>
      <c r="Z9" s="6">
        <f ca="1">('TUSD BE'!$AM$7+'TUSD BF'!$AM$7+'TUSD CVA'!$AM$7)*1</f>
        <v>66.362434908719237</v>
      </c>
      <c r="AA9" s="6"/>
      <c r="AB9" s="6">
        <f t="shared" si="0"/>
        <v>54557.49293</v>
      </c>
      <c r="AC9" s="6">
        <f t="shared" si="1"/>
        <v>0</v>
      </c>
      <c r="AD9" s="6">
        <f t="shared" ca="1" si="2"/>
        <v>59919.250998606505</v>
      </c>
      <c r="AE9" s="6">
        <f t="shared" ca="1" si="3"/>
        <v>0</v>
      </c>
      <c r="AF9" s="4" t="s">
        <v>841</v>
      </c>
      <c r="AH9" s="57" t="s">
        <v>850</v>
      </c>
      <c r="AI9" s="58">
        <f t="shared" si="4"/>
        <v>0</v>
      </c>
      <c r="AJ9" s="58">
        <f t="shared" si="5"/>
        <v>0</v>
      </c>
    </row>
    <row r="10" spans="1:36" ht="11.25" customHeight="1" x14ac:dyDescent="0.25">
      <c r="A10" s="4" t="s">
        <v>21</v>
      </c>
      <c r="B10" s="4" t="s">
        <v>43</v>
      </c>
      <c r="C10" s="4" t="s">
        <v>44</v>
      </c>
      <c r="D10" s="4" t="s">
        <v>42</v>
      </c>
      <c r="E10" s="4" t="s">
        <v>25</v>
      </c>
      <c r="F10" s="4" t="s">
        <v>62</v>
      </c>
      <c r="G10" s="4" t="s">
        <v>25</v>
      </c>
      <c r="H10" s="4" t="s">
        <v>38</v>
      </c>
      <c r="I10" s="5">
        <v>44378</v>
      </c>
      <c r="J10" s="6">
        <v>23851</v>
      </c>
      <c r="K10" s="6">
        <v>14603.9673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4" t="s">
        <v>60</v>
      </c>
      <c r="R10" s="4">
        <v>0</v>
      </c>
      <c r="S10" s="4">
        <v>2</v>
      </c>
      <c r="T10" s="4">
        <v>0</v>
      </c>
      <c r="U10" s="4">
        <v>0</v>
      </c>
      <c r="V10" s="6">
        <f>IF(ISERROR(VLOOKUP($S$10,'TAR FIN'!$A$1:$O$95,15,0)),0,VLOOKUP($S$10,'TAR FIN'!$A$1:$O$95,15,0))</f>
        <v>5.9</v>
      </c>
      <c r="W10" s="6">
        <f>IF(ISERROR(VLOOKUP($T$10,'TAR FIN'!$A$1:$O$95,15,0)),0,VLOOKUP($T$10,'TAR FIN'!$A$1:$O$95,15,0))</f>
        <v>0</v>
      </c>
      <c r="X10" s="6">
        <f>IF(ISERROR(VLOOKUP($U$10,'TAR FIN'!$A$1:$O$95,15,0)),0,VLOOKUP($U$10,'TAR FIN'!$A$1:$O$95,15,0))</f>
        <v>0</v>
      </c>
      <c r="Y10" s="6">
        <f ca="1">('TUSD BE'!$AM$6+'TUSD BF'!$AM$6+'TUSD CVA'!$AM$6)*1</f>
        <v>6.4798355258986495</v>
      </c>
      <c r="Z10" s="6">
        <f ca="1">('TUSD BE'!$AM$7+'TUSD BF'!$AM$7+'TUSD CVA'!$AM$7)*1</f>
        <v>66.362434908719237</v>
      </c>
      <c r="AA10" s="6"/>
      <c r="AB10" s="6">
        <f t="shared" si="0"/>
        <v>54557.49293</v>
      </c>
      <c r="AC10" s="6">
        <f t="shared" si="1"/>
        <v>0</v>
      </c>
      <c r="AD10" s="6">
        <f t="shared" ca="1" si="2"/>
        <v>59919.250998606505</v>
      </c>
      <c r="AE10" s="6">
        <f t="shared" ca="1" si="3"/>
        <v>0</v>
      </c>
      <c r="AF10" s="4" t="s">
        <v>841</v>
      </c>
    </row>
    <row r="11" spans="1:36" ht="11.25" customHeight="1" x14ac:dyDescent="0.25">
      <c r="A11" s="4" t="s">
        <v>21</v>
      </c>
      <c r="B11" s="4" t="s">
        <v>43</v>
      </c>
      <c r="C11" s="4" t="s">
        <v>44</v>
      </c>
      <c r="D11" s="4" t="s">
        <v>42</v>
      </c>
      <c r="E11" s="4" t="s">
        <v>25</v>
      </c>
      <c r="F11" s="4" t="s">
        <v>62</v>
      </c>
      <c r="G11" s="4" t="s">
        <v>25</v>
      </c>
      <c r="H11" s="4" t="s">
        <v>38</v>
      </c>
      <c r="I11" s="5">
        <v>44409</v>
      </c>
      <c r="J11" s="6">
        <v>26750</v>
      </c>
      <c r="K11" s="6">
        <v>16756.2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4" t="s">
        <v>60</v>
      </c>
      <c r="R11" s="4">
        <v>0</v>
      </c>
      <c r="S11" s="4">
        <v>2</v>
      </c>
      <c r="T11" s="4">
        <v>0</v>
      </c>
      <c r="U11" s="4">
        <v>0</v>
      </c>
      <c r="V11" s="6">
        <f>IF(ISERROR(VLOOKUP($S$11,'TAR FIN'!$A$1:$O$95,15,0)),0,VLOOKUP($S$11,'TAR FIN'!$A$1:$O$95,15,0))</f>
        <v>5.9</v>
      </c>
      <c r="W11" s="6">
        <f>IF(ISERROR(VLOOKUP($T$11,'TAR FIN'!$A$1:$O$95,15,0)),0,VLOOKUP($T$11,'TAR FIN'!$A$1:$O$95,15,0))</f>
        <v>0</v>
      </c>
      <c r="X11" s="6">
        <f>IF(ISERROR(VLOOKUP($U$11,'TAR FIN'!$A$1:$O$95,15,0)),0,VLOOKUP($U$11,'TAR FIN'!$A$1:$O$95,15,0))</f>
        <v>0</v>
      </c>
      <c r="Y11" s="6">
        <f ca="1">('TUSD BE'!$AM$6+'TUSD BF'!$AM$6+'TUSD CVA'!$AM$6)*1</f>
        <v>6.4798355258986495</v>
      </c>
      <c r="Z11" s="6">
        <f ca="1">('TUSD BE'!$AM$7+'TUSD BF'!$AM$7+'TUSD CVA'!$AM$7)*1</f>
        <v>66.362434908719237</v>
      </c>
      <c r="AA11" s="6"/>
      <c r="AB11" s="6">
        <f t="shared" si="0"/>
        <v>58963.42</v>
      </c>
      <c r="AC11" s="6">
        <f t="shared" si="1"/>
        <v>0</v>
      </c>
      <c r="AD11" s="6">
        <f t="shared" ca="1" si="2"/>
        <v>64758.180278725922</v>
      </c>
      <c r="AE11" s="6">
        <f t="shared" ca="1" si="3"/>
        <v>0</v>
      </c>
      <c r="AF11" s="4" t="s">
        <v>841</v>
      </c>
    </row>
    <row r="12" spans="1:36" ht="11.25" customHeight="1" x14ac:dyDescent="0.25">
      <c r="A12" s="4" t="s">
        <v>21</v>
      </c>
      <c r="B12" s="4" t="s">
        <v>43</v>
      </c>
      <c r="C12" s="4" t="s">
        <v>44</v>
      </c>
      <c r="D12" s="4" t="s">
        <v>42</v>
      </c>
      <c r="E12" s="4" t="s">
        <v>25</v>
      </c>
      <c r="F12" s="4" t="s">
        <v>62</v>
      </c>
      <c r="G12" s="4" t="s">
        <v>25</v>
      </c>
      <c r="H12" s="4" t="s">
        <v>38</v>
      </c>
      <c r="I12" s="5">
        <v>44440</v>
      </c>
      <c r="J12" s="6">
        <v>26732</v>
      </c>
      <c r="K12" s="6">
        <v>16084.644399999999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4" t="s">
        <v>60</v>
      </c>
      <c r="R12" s="4">
        <v>0</v>
      </c>
      <c r="S12" s="4">
        <v>2</v>
      </c>
      <c r="T12" s="4">
        <v>0</v>
      </c>
      <c r="U12" s="4">
        <v>0</v>
      </c>
      <c r="V12" s="6">
        <f>IF(ISERROR(VLOOKUP($S$12,'TAR FIN'!$A$1:$O$95,15,0)),0,VLOOKUP($S$12,'TAR FIN'!$A$1:$O$95,15,0))</f>
        <v>5.9</v>
      </c>
      <c r="W12" s="6">
        <f>IF(ISERROR(VLOOKUP($T$12,'TAR FIN'!$A$1:$O$95,15,0)),0,VLOOKUP($T$12,'TAR FIN'!$A$1:$O$95,15,0))</f>
        <v>0</v>
      </c>
      <c r="X12" s="6">
        <f>IF(ISERROR(VLOOKUP($U$12,'TAR FIN'!$A$1:$O$95,15,0)),0,VLOOKUP($U$12,'TAR FIN'!$A$1:$O$95,15,0))</f>
        <v>0</v>
      </c>
      <c r="Y12" s="6">
        <f ca="1">('TUSD BE'!$AM$6+'TUSD BF'!$AM$6+'TUSD CVA'!$AM$6)*1</f>
        <v>6.4798355258986495</v>
      </c>
      <c r="Z12" s="6">
        <f ca="1">('TUSD BE'!$AM$7+'TUSD BF'!$AM$7+'TUSD CVA'!$AM$7)*1</f>
        <v>66.362434908719237</v>
      </c>
      <c r="AA12" s="6"/>
      <c r="AB12" s="6">
        <f t="shared" si="0"/>
        <v>62819.398040000007</v>
      </c>
      <c r="AC12" s="6">
        <f t="shared" si="1"/>
        <v>0</v>
      </c>
      <c r="AD12" s="6">
        <f t="shared" ca="1" si="2"/>
        <v>68993.113073755943</v>
      </c>
      <c r="AE12" s="6">
        <f t="shared" ca="1" si="3"/>
        <v>0</v>
      </c>
      <c r="AF12" s="4" t="s">
        <v>841</v>
      </c>
    </row>
    <row r="13" spans="1:36" ht="11.25" customHeight="1" x14ac:dyDescent="0.25">
      <c r="A13" s="4" t="s">
        <v>59</v>
      </c>
      <c r="B13" s="4" t="s">
        <v>43</v>
      </c>
      <c r="C13" s="4" t="s">
        <v>44</v>
      </c>
      <c r="D13" s="4" t="s">
        <v>42</v>
      </c>
      <c r="E13" s="4" t="s">
        <v>25</v>
      </c>
      <c r="F13" s="4" t="s">
        <v>62</v>
      </c>
      <c r="G13" s="4" t="s">
        <v>25</v>
      </c>
      <c r="H13" s="4" t="s">
        <v>38</v>
      </c>
      <c r="I13" s="5">
        <v>44470</v>
      </c>
      <c r="J13" s="6">
        <v>26732</v>
      </c>
      <c r="K13" s="6">
        <v>16084.644399999999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4" t="s">
        <v>60</v>
      </c>
      <c r="R13" s="4">
        <v>0</v>
      </c>
      <c r="S13" s="4">
        <v>2</v>
      </c>
      <c r="T13" s="4">
        <v>0</v>
      </c>
      <c r="U13" s="4">
        <v>0</v>
      </c>
      <c r="V13" s="6">
        <f>IF(ISERROR(VLOOKUP($S$13,'TAR FIN'!$A$1:$O$95,15,0)),0,VLOOKUP($S$13,'TAR FIN'!$A$1:$O$95,15,0))</f>
        <v>5.9</v>
      </c>
      <c r="W13" s="6">
        <f>IF(ISERROR(VLOOKUP($T$13,'TAR FIN'!$A$1:$O$95,15,0)),0,VLOOKUP($T$13,'TAR FIN'!$A$1:$O$95,15,0))</f>
        <v>0</v>
      </c>
      <c r="X13" s="6">
        <f>IF(ISERROR(VLOOKUP($U$13,'TAR FIN'!$A$1:$O$95,15,0)),0,VLOOKUP($U$13,'TAR FIN'!$A$1:$O$95,15,0))</f>
        <v>0</v>
      </c>
      <c r="Y13" s="6">
        <f ca="1">('TUSD BE'!$AM$6+'TUSD BF'!$AM$6+'TUSD CVA'!$AM$6)*1</f>
        <v>6.4798355258986495</v>
      </c>
      <c r="Z13" s="6">
        <f ca="1">('TUSD BE'!$AM$7+'TUSD BF'!$AM$7+'TUSD CVA'!$AM$7)*1</f>
        <v>66.362434908719237</v>
      </c>
      <c r="AA13" s="6"/>
      <c r="AB13" s="6">
        <f t="shared" si="0"/>
        <v>62819.398040000007</v>
      </c>
      <c r="AC13" s="6">
        <f t="shared" si="1"/>
        <v>0</v>
      </c>
      <c r="AD13" s="6">
        <f t="shared" ca="1" si="2"/>
        <v>68993.113073755943</v>
      </c>
      <c r="AE13" s="6">
        <f t="shared" ca="1" si="3"/>
        <v>0</v>
      </c>
      <c r="AF13" s="4" t="s">
        <v>841</v>
      </c>
    </row>
    <row r="14" spans="1:36" ht="11.25" customHeight="1" x14ac:dyDescent="0.25">
      <c r="A14" s="4" t="s">
        <v>21</v>
      </c>
      <c r="B14" s="4" t="s">
        <v>43</v>
      </c>
      <c r="C14" s="4" t="s">
        <v>44</v>
      </c>
      <c r="D14" s="4" t="s">
        <v>42</v>
      </c>
      <c r="E14" s="4" t="s">
        <v>25</v>
      </c>
      <c r="F14" s="4" t="s">
        <v>62</v>
      </c>
      <c r="G14" s="4" t="s">
        <v>25</v>
      </c>
      <c r="H14" s="4" t="s">
        <v>25</v>
      </c>
      <c r="I14" s="5">
        <v>44136</v>
      </c>
      <c r="J14" s="6">
        <v>0</v>
      </c>
      <c r="K14" s="6">
        <v>0</v>
      </c>
      <c r="L14" s="6">
        <v>6813.7240000000002</v>
      </c>
      <c r="M14" s="6">
        <v>6813.7240000000002</v>
      </c>
      <c r="N14" s="6">
        <v>0</v>
      </c>
      <c r="O14" s="6">
        <v>0</v>
      </c>
      <c r="P14" s="6">
        <v>9</v>
      </c>
      <c r="Q14" s="4" t="s">
        <v>60</v>
      </c>
      <c r="R14" s="4">
        <v>0</v>
      </c>
      <c r="S14" s="4">
        <v>0</v>
      </c>
      <c r="T14" s="4">
        <v>25</v>
      </c>
      <c r="U14" s="4">
        <v>0</v>
      </c>
      <c r="V14" s="6">
        <f>IF(ISERROR(VLOOKUP($S$14,'TAR FIN'!$A$1:$O$95,15,0)),0,VLOOKUP($S$14,'TAR FIN'!$A$1:$O$95,15,0))</f>
        <v>0</v>
      </c>
      <c r="W14" s="6">
        <f>IF(ISERROR(VLOOKUP($T$14,'TAR FIN'!$A$1:$O$95,15,0)),0,VLOOKUP($T$14,'TAR FIN'!$A$1:$O$95,15,0))</f>
        <v>52.77</v>
      </c>
      <c r="X14" s="6">
        <f>IF(ISERROR(VLOOKUP($U$14,'TAR FIN'!$A$1:$O$95,15,0)),0,VLOOKUP($U$14,'TAR FIN'!$A$1:$O$95,15,0))</f>
        <v>0</v>
      </c>
      <c r="Y14" s="6"/>
      <c r="Z14" s="6">
        <f ca="1">('TUSD BE'!$AM$7+'TUSD BF'!$AM$7+'TUSD CVA'!$AM$7)*1</f>
        <v>66.362434908719237</v>
      </c>
      <c r="AA14" s="6"/>
      <c r="AB14" s="6">
        <f t="shared" si="0"/>
        <v>0</v>
      </c>
      <c r="AC14" s="6">
        <f t="shared" si="1"/>
        <v>0</v>
      </c>
      <c r="AD14" s="6">
        <f t="shared" si="2"/>
        <v>0</v>
      </c>
      <c r="AE14" s="6">
        <f t="shared" ca="1" si="3"/>
        <v>0</v>
      </c>
      <c r="AF14" s="4" t="s">
        <v>841</v>
      </c>
    </row>
    <row r="15" spans="1:36" ht="11.25" customHeight="1" x14ac:dyDescent="0.25">
      <c r="A15" s="4" t="s">
        <v>21</v>
      </c>
      <c r="B15" s="4" t="s">
        <v>43</v>
      </c>
      <c r="C15" s="4" t="s">
        <v>44</v>
      </c>
      <c r="D15" s="4" t="s">
        <v>42</v>
      </c>
      <c r="E15" s="4" t="s">
        <v>25</v>
      </c>
      <c r="F15" s="4" t="s">
        <v>62</v>
      </c>
      <c r="G15" s="4" t="s">
        <v>25</v>
      </c>
      <c r="H15" s="4" t="s">
        <v>25</v>
      </c>
      <c r="I15" s="5">
        <v>44166</v>
      </c>
      <c r="J15" s="6">
        <v>0</v>
      </c>
      <c r="K15" s="6">
        <v>0</v>
      </c>
      <c r="L15" s="6">
        <v>6483.4480000000003</v>
      </c>
      <c r="M15" s="6">
        <v>6483.4480000000003</v>
      </c>
      <c r="N15" s="6">
        <v>0</v>
      </c>
      <c r="O15" s="6">
        <v>0</v>
      </c>
      <c r="P15" s="6">
        <v>9</v>
      </c>
      <c r="Q15" s="4" t="s">
        <v>60</v>
      </c>
      <c r="R15" s="4">
        <v>0</v>
      </c>
      <c r="S15" s="4">
        <v>0</v>
      </c>
      <c r="T15" s="4">
        <v>25</v>
      </c>
      <c r="U15" s="4">
        <v>0</v>
      </c>
      <c r="V15" s="6">
        <f>IF(ISERROR(VLOOKUP($S$15,'TAR FIN'!$A$1:$O$95,15,0)),0,VLOOKUP($S$15,'TAR FIN'!$A$1:$O$95,15,0))</f>
        <v>0</v>
      </c>
      <c r="W15" s="6">
        <f>IF(ISERROR(VLOOKUP($T$15,'TAR FIN'!$A$1:$O$95,15,0)),0,VLOOKUP($T$15,'TAR FIN'!$A$1:$O$95,15,0))</f>
        <v>52.77</v>
      </c>
      <c r="X15" s="6">
        <f>IF(ISERROR(VLOOKUP($U$15,'TAR FIN'!$A$1:$O$95,15,0)),0,VLOOKUP($U$15,'TAR FIN'!$A$1:$O$95,15,0))</f>
        <v>0</v>
      </c>
      <c r="Y15" s="6"/>
      <c r="Z15" s="6">
        <f ca="1">('TUSD BE'!$AM$7+'TUSD BF'!$AM$7+'TUSD CVA'!$AM$7)*1</f>
        <v>66.362434908719237</v>
      </c>
      <c r="AA15" s="6"/>
      <c r="AB15" s="6">
        <f t="shared" si="0"/>
        <v>0</v>
      </c>
      <c r="AC15" s="6">
        <f t="shared" si="1"/>
        <v>0</v>
      </c>
      <c r="AD15" s="6">
        <f t="shared" si="2"/>
        <v>0</v>
      </c>
      <c r="AE15" s="6">
        <f t="shared" ca="1" si="3"/>
        <v>0</v>
      </c>
      <c r="AF15" s="4" t="s">
        <v>841</v>
      </c>
    </row>
    <row r="16" spans="1:36" ht="11.25" customHeight="1" x14ac:dyDescent="0.25">
      <c r="A16" s="4" t="s">
        <v>21</v>
      </c>
      <c r="B16" s="4" t="s">
        <v>43</v>
      </c>
      <c r="C16" s="4" t="s">
        <v>44</v>
      </c>
      <c r="D16" s="4" t="s">
        <v>42</v>
      </c>
      <c r="E16" s="4" t="s">
        <v>25</v>
      </c>
      <c r="F16" s="4" t="s">
        <v>62</v>
      </c>
      <c r="G16" s="4" t="s">
        <v>25</v>
      </c>
      <c r="H16" s="4" t="s">
        <v>25</v>
      </c>
      <c r="I16" s="5">
        <v>44197</v>
      </c>
      <c r="J16" s="6">
        <v>0</v>
      </c>
      <c r="K16" s="6">
        <v>0</v>
      </c>
      <c r="L16" s="6">
        <v>4973.5590000000002</v>
      </c>
      <c r="M16" s="6">
        <v>4973.5590000000002</v>
      </c>
      <c r="N16" s="6">
        <v>0</v>
      </c>
      <c r="O16" s="6">
        <v>0</v>
      </c>
      <c r="P16" s="6">
        <v>9</v>
      </c>
      <c r="Q16" s="4" t="s">
        <v>60</v>
      </c>
      <c r="R16" s="4">
        <v>0</v>
      </c>
      <c r="S16" s="4">
        <v>0</v>
      </c>
      <c r="T16" s="4">
        <v>25</v>
      </c>
      <c r="U16" s="4">
        <v>0</v>
      </c>
      <c r="V16" s="6">
        <f>IF(ISERROR(VLOOKUP($S$16,'TAR FIN'!$A$1:$O$95,15,0)),0,VLOOKUP($S$16,'TAR FIN'!$A$1:$O$95,15,0))</f>
        <v>0</v>
      </c>
      <c r="W16" s="6">
        <f>IF(ISERROR(VLOOKUP($T$16,'TAR FIN'!$A$1:$O$95,15,0)),0,VLOOKUP($T$16,'TAR FIN'!$A$1:$O$95,15,0))</f>
        <v>52.77</v>
      </c>
      <c r="X16" s="6">
        <f>IF(ISERROR(VLOOKUP($U$16,'TAR FIN'!$A$1:$O$95,15,0)),0,VLOOKUP($U$16,'TAR FIN'!$A$1:$O$95,15,0))</f>
        <v>0</v>
      </c>
      <c r="Y16" s="6"/>
      <c r="Z16" s="6">
        <f ca="1">('TUSD BE'!$AM$7+'TUSD BF'!$AM$7+'TUSD CVA'!$AM$7)*1</f>
        <v>66.362434908719237</v>
      </c>
      <c r="AA16" s="6"/>
      <c r="AB16" s="6">
        <f t="shared" si="0"/>
        <v>0</v>
      </c>
      <c r="AC16" s="6">
        <f t="shared" si="1"/>
        <v>0</v>
      </c>
      <c r="AD16" s="6">
        <f t="shared" si="2"/>
        <v>0</v>
      </c>
      <c r="AE16" s="6">
        <f t="shared" ca="1" si="3"/>
        <v>0</v>
      </c>
      <c r="AF16" s="4" t="s">
        <v>841</v>
      </c>
    </row>
    <row r="17" spans="1:32" ht="11.25" customHeight="1" x14ac:dyDescent="0.25">
      <c r="A17" s="4" t="s">
        <v>21</v>
      </c>
      <c r="B17" s="4" t="s">
        <v>43</v>
      </c>
      <c r="C17" s="4" t="s">
        <v>44</v>
      </c>
      <c r="D17" s="4" t="s">
        <v>42</v>
      </c>
      <c r="E17" s="4" t="s">
        <v>25</v>
      </c>
      <c r="F17" s="4" t="s">
        <v>62</v>
      </c>
      <c r="G17" s="4" t="s">
        <v>25</v>
      </c>
      <c r="H17" s="4" t="s">
        <v>25</v>
      </c>
      <c r="I17" s="5">
        <v>44228</v>
      </c>
      <c r="J17" s="6">
        <v>0</v>
      </c>
      <c r="K17" s="6">
        <v>0</v>
      </c>
      <c r="L17" s="6">
        <v>4976.5720000000001</v>
      </c>
      <c r="M17" s="6">
        <v>4976.5720000000001</v>
      </c>
      <c r="N17" s="6">
        <v>0</v>
      </c>
      <c r="O17" s="6">
        <v>0</v>
      </c>
      <c r="P17" s="6">
        <v>9</v>
      </c>
      <c r="Q17" s="4" t="s">
        <v>60</v>
      </c>
      <c r="R17" s="4">
        <v>0</v>
      </c>
      <c r="S17" s="4">
        <v>0</v>
      </c>
      <c r="T17" s="4">
        <v>25</v>
      </c>
      <c r="U17" s="4">
        <v>0</v>
      </c>
      <c r="V17" s="6">
        <f>IF(ISERROR(VLOOKUP($S$17,'TAR FIN'!$A$1:$O$95,15,0)),0,VLOOKUP($S$17,'TAR FIN'!$A$1:$O$95,15,0))</f>
        <v>0</v>
      </c>
      <c r="W17" s="6">
        <f>IF(ISERROR(VLOOKUP($T$17,'TAR FIN'!$A$1:$O$95,15,0)),0,VLOOKUP($T$17,'TAR FIN'!$A$1:$O$95,15,0))</f>
        <v>52.77</v>
      </c>
      <c r="X17" s="6">
        <f>IF(ISERROR(VLOOKUP($U$17,'TAR FIN'!$A$1:$O$95,15,0)),0,VLOOKUP($U$17,'TAR FIN'!$A$1:$O$95,15,0))</f>
        <v>0</v>
      </c>
      <c r="Y17" s="6"/>
      <c r="Z17" s="6">
        <f ca="1">('TUSD BE'!$AM$7+'TUSD BF'!$AM$7+'TUSD CVA'!$AM$7)*1</f>
        <v>66.362434908719237</v>
      </c>
      <c r="AA17" s="6"/>
      <c r="AB17" s="6">
        <f t="shared" si="0"/>
        <v>0</v>
      </c>
      <c r="AC17" s="6">
        <f t="shared" si="1"/>
        <v>0</v>
      </c>
      <c r="AD17" s="6">
        <f t="shared" si="2"/>
        <v>0</v>
      </c>
      <c r="AE17" s="6">
        <f t="shared" ca="1" si="3"/>
        <v>0</v>
      </c>
      <c r="AF17" s="4" t="s">
        <v>841</v>
      </c>
    </row>
    <row r="18" spans="1:32" ht="11.25" customHeight="1" x14ac:dyDescent="0.25">
      <c r="A18" s="4" t="s">
        <v>21</v>
      </c>
      <c r="B18" s="4" t="s">
        <v>43</v>
      </c>
      <c r="C18" s="4" t="s">
        <v>44</v>
      </c>
      <c r="D18" s="4" t="s">
        <v>42</v>
      </c>
      <c r="E18" s="4" t="s">
        <v>25</v>
      </c>
      <c r="F18" s="4" t="s">
        <v>62</v>
      </c>
      <c r="G18" s="4" t="s">
        <v>25</v>
      </c>
      <c r="H18" s="4" t="s">
        <v>25</v>
      </c>
      <c r="I18" s="5">
        <v>44256</v>
      </c>
      <c r="J18" s="6">
        <v>0</v>
      </c>
      <c r="K18" s="6">
        <v>0</v>
      </c>
      <c r="L18" s="6">
        <v>6646.13</v>
      </c>
      <c r="M18" s="6">
        <v>6646.13</v>
      </c>
      <c r="N18" s="6">
        <v>0</v>
      </c>
      <c r="O18" s="6">
        <v>0</v>
      </c>
      <c r="P18" s="6">
        <v>9</v>
      </c>
      <c r="Q18" s="4" t="s">
        <v>60</v>
      </c>
      <c r="R18" s="4">
        <v>0</v>
      </c>
      <c r="S18" s="4">
        <v>0</v>
      </c>
      <c r="T18" s="4">
        <v>25</v>
      </c>
      <c r="U18" s="4">
        <v>0</v>
      </c>
      <c r="V18" s="6">
        <f>IF(ISERROR(VLOOKUP($S$18,'TAR FIN'!$A$1:$O$95,15,0)),0,VLOOKUP($S$18,'TAR FIN'!$A$1:$O$95,15,0))</f>
        <v>0</v>
      </c>
      <c r="W18" s="6">
        <f>IF(ISERROR(VLOOKUP($T$18,'TAR FIN'!$A$1:$O$95,15,0)),0,VLOOKUP($T$18,'TAR FIN'!$A$1:$O$95,15,0))</f>
        <v>52.77</v>
      </c>
      <c r="X18" s="6">
        <f>IF(ISERROR(VLOOKUP($U$18,'TAR FIN'!$A$1:$O$95,15,0)),0,VLOOKUP($U$18,'TAR FIN'!$A$1:$O$95,15,0))</f>
        <v>0</v>
      </c>
      <c r="Y18" s="6"/>
      <c r="Z18" s="6">
        <f ca="1">('TUSD BE'!$AM$7+'TUSD BF'!$AM$7+'TUSD CVA'!$AM$7)*1</f>
        <v>66.362434908719237</v>
      </c>
      <c r="AA18" s="6"/>
      <c r="AB18" s="6">
        <f t="shared" si="0"/>
        <v>0</v>
      </c>
      <c r="AC18" s="6">
        <f t="shared" si="1"/>
        <v>0</v>
      </c>
      <c r="AD18" s="6">
        <f t="shared" si="2"/>
        <v>0</v>
      </c>
      <c r="AE18" s="6">
        <f t="shared" ca="1" si="3"/>
        <v>0</v>
      </c>
      <c r="AF18" s="4" t="s">
        <v>841</v>
      </c>
    </row>
    <row r="19" spans="1:32" ht="11.25" customHeight="1" x14ac:dyDescent="0.25">
      <c r="A19" s="4" t="s">
        <v>21</v>
      </c>
      <c r="B19" s="4" t="s">
        <v>43</v>
      </c>
      <c r="C19" s="4" t="s">
        <v>44</v>
      </c>
      <c r="D19" s="4" t="s">
        <v>42</v>
      </c>
      <c r="E19" s="4" t="s">
        <v>25</v>
      </c>
      <c r="F19" s="4" t="s">
        <v>62</v>
      </c>
      <c r="G19" s="4" t="s">
        <v>25</v>
      </c>
      <c r="H19" s="4" t="s">
        <v>25</v>
      </c>
      <c r="I19" s="5">
        <v>44287</v>
      </c>
      <c r="J19" s="6">
        <v>0</v>
      </c>
      <c r="K19" s="6">
        <v>0</v>
      </c>
      <c r="L19" s="6">
        <v>6696.0010000000002</v>
      </c>
      <c r="M19" s="6">
        <v>6696.0010000000002</v>
      </c>
      <c r="N19" s="6">
        <v>0</v>
      </c>
      <c r="O19" s="6">
        <v>0</v>
      </c>
      <c r="P19" s="6">
        <v>9</v>
      </c>
      <c r="Q19" s="4" t="s">
        <v>60</v>
      </c>
      <c r="R19" s="4">
        <v>0</v>
      </c>
      <c r="S19" s="4">
        <v>0</v>
      </c>
      <c r="T19" s="4">
        <v>25</v>
      </c>
      <c r="U19" s="4">
        <v>0</v>
      </c>
      <c r="V19" s="6">
        <f>IF(ISERROR(VLOOKUP($S$19,'TAR FIN'!$A$1:$O$95,15,0)),0,VLOOKUP($S$19,'TAR FIN'!$A$1:$O$95,15,0))</f>
        <v>0</v>
      </c>
      <c r="W19" s="6">
        <f>IF(ISERROR(VLOOKUP($T$19,'TAR FIN'!$A$1:$O$95,15,0)),0,VLOOKUP($T$19,'TAR FIN'!$A$1:$O$95,15,0))</f>
        <v>52.77</v>
      </c>
      <c r="X19" s="6">
        <f>IF(ISERROR(VLOOKUP($U$19,'TAR FIN'!$A$1:$O$95,15,0)),0,VLOOKUP($U$19,'TAR FIN'!$A$1:$O$95,15,0))</f>
        <v>0</v>
      </c>
      <c r="Y19" s="6"/>
      <c r="Z19" s="6">
        <f ca="1">('TUSD BE'!$AM$7+'TUSD BF'!$AM$7+'TUSD CVA'!$AM$7)*1</f>
        <v>66.362434908719237</v>
      </c>
      <c r="AA19" s="6"/>
      <c r="AB19" s="6">
        <f t="shared" si="0"/>
        <v>0</v>
      </c>
      <c r="AC19" s="6">
        <f t="shared" si="1"/>
        <v>0</v>
      </c>
      <c r="AD19" s="6">
        <f t="shared" si="2"/>
        <v>0</v>
      </c>
      <c r="AE19" s="6">
        <f t="shared" ca="1" si="3"/>
        <v>0</v>
      </c>
      <c r="AF19" s="4" t="s">
        <v>841</v>
      </c>
    </row>
    <row r="20" spans="1:32" ht="11.25" customHeight="1" x14ac:dyDescent="0.25">
      <c r="A20" s="4" t="s">
        <v>21</v>
      </c>
      <c r="B20" s="4" t="s">
        <v>43</v>
      </c>
      <c r="C20" s="4" t="s">
        <v>44</v>
      </c>
      <c r="D20" s="4" t="s">
        <v>42</v>
      </c>
      <c r="E20" s="4" t="s">
        <v>25</v>
      </c>
      <c r="F20" s="4" t="s">
        <v>62</v>
      </c>
      <c r="G20" s="4" t="s">
        <v>25</v>
      </c>
      <c r="H20" s="4" t="s">
        <v>25</v>
      </c>
      <c r="I20" s="5">
        <v>44317</v>
      </c>
      <c r="J20" s="6">
        <v>0</v>
      </c>
      <c r="K20" s="6">
        <v>0</v>
      </c>
      <c r="L20" s="6">
        <v>7155.2470000000003</v>
      </c>
      <c r="M20" s="6">
        <v>7155.2470000000003</v>
      </c>
      <c r="N20" s="6">
        <v>0</v>
      </c>
      <c r="O20" s="6">
        <v>0</v>
      </c>
      <c r="P20" s="6">
        <v>9</v>
      </c>
      <c r="Q20" s="4" t="s">
        <v>60</v>
      </c>
      <c r="R20" s="4">
        <v>0</v>
      </c>
      <c r="S20" s="4">
        <v>0</v>
      </c>
      <c r="T20" s="4">
        <v>25</v>
      </c>
      <c r="U20" s="4">
        <v>0</v>
      </c>
      <c r="V20" s="6">
        <f>IF(ISERROR(VLOOKUP($S$20,'TAR FIN'!$A$1:$O$95,15,0)),0,VLOOKUP($S$20,'TAR FIN'!$A$1:$O$95,15,0))</f>
        <v>0</v>
      </c>
      <c r="W20" s="6">
        <f>IF(ISERROR(VLOOKUP($T$20,'TAR FIN'!$A$1:$O$95,15,0)),0,VLOOKUP($T$20,'TAR FIN'!$A$1:$O$95,15,0))</f>
        <v>52.77</v>
      </c>
      <c r="X20" s="6">
        <f>IF(ISERROR(VLOOKUP($U$20,'TAR FIN'!$A$1:$O$95,15,0)),0,VLOOKUP($U$20,'TAR FIN'!$A$1:$O$95,15,0))</f>
        <v>0</v>
      </c>
      <c r="Y20" s="6"/>
      <c r="Z20" s="6">
        <f ca="1">('TUSD BE'!$AM$7+'TUSD BF'!$AM$7+'TUSD CVA'!$AM$7)*1</f>
        <v>66.362434908719237</v>
      </c>
      <c r="AA20" s="6"/>
      <c r="AB20" s="6">
        <f t="shared" si="0"/>
        <v>0</v>
      </c>
      <c r="AC20" s="6">
        <f t="shared" si="1"/>
        <v>0</v>
      </c>
      <c r="AD20" s="6">
        <f t="shared" si="2"/>
        <v>0</v>
      </c>
      <c r="AE20" s="6">
        <f t="shared" ca="1" si="3"/>
        <v>0</v>
      </c>
      <c r="AF20" s="4" t="s">
        <v>841</v>
      </c>
    </row>
    <row r="21" spans="1:32" ht="11.25" customHeight="1" x14ac:dyDescent="0.25">
      <c r="A21" s="4" t="s">
        <v>21</v>
      </c>
      <c r="B21" s="4" t="s">
        <v>43</v>
      </c>
      <c r="C21" s="4" t="s">
        <v>44</v>
      </c>
      <c r="D21" s="4" t="s">
        <v>42</v>
      </c>
      <c r="E21" s="4" t="s">
        <v>25</v>
      </c>
      <c r="F21" s="4" t="s">
        <v>62</v>
      </c>
      <c r="G21" s="4" t="s">
        <v>25</v>
      </c>
      <c r="H21" s="4" t="s">
        <v>25</v>
      </c>
      <c r="I21" s="5">
        <v>44348</v>
      </c>
      <c r="J21" s="6">
        <v>0</v>
      </c>
      <c r="K21" s="6">
        <v>0</v>
      </c>
      <c r="L21" s="6">
        <v>4973.5590000000002</v>
      </c>
      <c r="M21" s="6">
        <v>4973.5590000000002</v>
      </c>
      <c r="N21" s="6">
        <v>0</v>
      </c>
      <c r="O21" s="6">
        <v>0</v>
      </c>
      <c r="P21" s="6">
        <v>9</v>
      </c>
      <c r="Q21" s="4" t="s">
        <v>60</v>
      </c>
      <c r="R21" s="4">
        <v>0</v>
      </c>
      <c r="S21" s="4">
        <v>0</v>
      </c>
      <c r="T21" s="4">
        <v>25</v>
      </c>
      <c r="U21" s="4">
        <v>0</v>
      </c>
      <c r="V21" s="6">
        <f>IF(ISERROR(VLOOKUP($S$21,'TAR FIN'!$A$1:$O$95,15,0)),0,VLOOKUP($S$21,'TAR FIN'!$A$1:$O$95,15,0))</f>
        <v>0</v>
      </c>
      <c r="W21" s="6">
        <f>IF(ISERROR(VLOOKUP($T$21,'TAR FIN'!$A$1:$O$95,15,0)),0,VLOOKUP($T$21,'TAR FIN'!$A$1:$O$95,15,0))</f>
        <v>52.77</v>
      </c>
      <c r="X21" s="6">
        <f>IF(ISERROR(VLOOKUP($U$21,'TAR FIN'!$A$1:$O$95,15,0)),0,VLOOKUP($U$21,'TAR FIN'!$A$1:$O$95,15,0))</f>
        <v>0</v>
      </c>
      <c r="Y21" s="6"/>
      <c r="Z21" s="6">
        <f ca="1">('TUSD BE'!$AM$7+'TUSD BF'!$AM$7+'TUSD CVA'!$AM$7)*1</f>
        <v>66.362434908719237</v>
      </c>
      <c r="AA21" s="6"/>
      <c r="AB21" s="6">
        <f t="shared" si="0"/>
        <v>0</v>
      </c>
      <c r="AC21" s="6">
        <f t="shared" si="1"/>
        <v>0</v>
      </c>
      <c r="AD21" s="6">
        <f t="shared" si="2"/>
        <v>0</v>
      </c>
      <c r="AE21" s="6">
        <f t="shared" ca="1" si="3"/>
        <v>0</v>
      </c>
      <c r="AF21" s="4" t="s">
        <v>841</v>
      </c>
    </row>
    <row r="22" spans="1:32" ht="11.25" customHeight="1" x14ac:dyDescent="0.25">
      <c r="A22" s="4" t="s">
        <v>21</v>
      </c>
      <c r="B22" s="4" t="s">
        <v>43</v>
      </c>
      <c r="C22" s="4" t="s">
        <v>44</v>
      </c>
      <c r="D22" s="4" t="s">
        <v>42</v>
      </c>
      <c r="E22" s="4" t="s">
        <v>25</v>
      </c>
      <c r="F22" s="4" t="s">
        <v>62</v>
      </c>
      <c r="G22" s="4" t="s">
        <v>25</v>
      </c>
      <c r="H22" s="4" t="s">
        <v>25</v>
      </c>
      <c r="I22" s="5">
        <v>44378</v>
      </c>
      <c r="J22" s="6">
        <v>0</v>
      </c>
      <c r="K22" s="6">
        <v>0</v>
      </c>
      <c r="L22" s="6">
        <v>6277.7579999999998</v>
      </c>
      <c r="M22" s="6">
        <v>6277.7579999999998</v>
      </c>
      <c r="N22" s="6">
        <v>0</v>
      </c>
      <c r="O22" s="6">
        <v>0</v>
      </c>
      <c r="P22" s="6">
        <v>9</v>
      </c>
      <c r="Q22" s="4" t="s">
        <v>60</v>
      </c>
      <c r="R22" s="4">
        <v>0</v>
      </c>
      <c r="S22" s="4">
        <v>0</v>
      </c>
      <c r="T22" s="4">
        <v>25</v>
      </c>
      <c r="U22" s="4">
        <v>0</v>
      </c>
      <c r="V22" s="6">
        <f>IF(ISERROR(VLOOKUP($S$22,'TAR FIN'!$A$1:$O$95,15,0)),0,VLOOKUP($S$22,'TAR FIN'!$A$1:$O$95,15,0))</f>
        <v>0</v>
      </c>
      <c r="W22" s="6">
        <f>IF(ISERROR(VLOOKUP($T$22,'TAR FIN'!$A$1:$O$95,15,0)),0,VLOOKUP($T$22,'TAR FIN'!$A$1:$O$95,15,0))</f>
        <v>52.77</v>
      </c>
      <c r="X22" s="6">
        <f>IF(ISERROR(VLOOKUP($U$22,'TAR FIN'!$A$1:$O$95,15,0)),0,VLOOKUP($U$22,'TAR FIN'!$A$1:$O$95,15,0))</f>
        <v>0</v>
      </c>
      <c r="Y22" s="6"/>
      <c r="Z22" s="6">
        <f ca="1">('TUSD BE'!$AM$7+'TUSD BF'!$AM$7+'TUSD CVA'!$AM$7)*1</f>
        <v>66.362434908719237</v>
      </c>
      <c r="AA22" s="6"/>
      <c r="AB22" s="6">
        <f t="shared" si="0"/>
        <v>0</v>
      </c>
      <c r="AC22" s="6">
        <f t="shared" si="1"/>
        <v>0</v>
      </c>
      <c r="AD22" s="6">
        <f t="shared" si="2"/>
        <v>0</v>
      </c>
      <c r="AE22" s="6">
        <f t="shared" ca="1" si="3"/>
        <v>0</v>
      </c>
      <c r="AF22" s="4" t="s">
        <v>841</v>
      </c>
    </row>
    <row r="23" spans="1:32" ht="11.25" customHeight="1" x14ac:dyDescent="0.25">
      <c r="A23" s="4" t="s">
        <v>21</v>
      </c>
      <c r="B23" s="4" t="s">
        <v>43</v>
      </c>
      <c r="C23" s="4" t="s">
        <v>44</v>
      </c>
      <c r="D23" s="4" t="s">
        <v>42</v>
      </c>
      <c r="E23" s="4" t="s">
        <v>25</v>
      </c>
      <c r="F23" s="4" t="s">
        <v>62</v>
      </c>
      <c r="G23" s="4" t="s">
        <v>25</v>
      </c>
      <c r="H23" s="4" t="s">
        <v>25</v>
      </c>
      <c r="I23" s="5">
        <v>44409</v>
      </c>
      <c r="J23" s="6">
        <v>0</v>
      </c>
      <c r="K23" s="6">
        <v>0</v>
      </c>
      <c r="L23" s="6">
        <v>8817.0329999999994</v>
      </c>
      <c r="M23" s="6">
        <v>8817.0329999999994</v>
      </c>
      <c r="N23" s="6">
        <v>0</v>
      </c>
      <c r="O23" s="6">
        <v>0</v>
      </c>
      <c r="P23" s="6">
        <v>10</v>
      </c>
      <c r="Q23" s="4" t="s">
        <v>60</v>
      </c>
      <c r="R23" s="4">
        <v>0</v>
      </c>
      <c r="S23" s="4">
        <v>0</v>
      </c>
      <c r="T23" s="4">
        <v>25</v>
      </c>
      <c r="U23" s="4">
        <v>0</v>
      </c>
      <c r="V23" s="6">
        <f>IF(ISERROR(VLOOKUP($S$23,'TAR FIN'!$A$1:$O$95,15,0)),0,VLOOKUP($S$23,'TAR FIN'!$A$1:$O$95,15,0))</f>
        <v>0</v>
      </c>
      <c r="W23" s="6">
        <f>IF(ISERROR(VLOOKUP($T$23,'TAR FIN'!$A$1:$O$95,15,0)),0,VLOOKUP($T$23,'TAR FIN'!$A$1:$O$95,15,0))</f>
        <v>52.77</v>
      </c>
      <c r="X23" s="6">
        <f>IF(ISERROR(VLOOKUP($U$23,'TAR FIN'!$A$1:$O$95,15,0)),0,VLOOKUP($U$23,'TAR FIN'!$A$1:$O$95,15,0))</f>
        <v>0</v>
      </c>
      <c r="Y23" s="6"/>
      <c r="Z23" s="6">
        <f ca="1">('TUSD BE'!$AM$7+'TUSD BF'!$AM$7+'TUSD CVA'!$AM$7)*1</f>
        <v>66.362434908719237</v>
      </c>
      <c r="AA23" s="6"/>
      <c r="AB23" s="6">
        <f t="shared" si="0"/>
        <v>0</v>
      </c>
      <c r="AC23" s="6">
        <f t="shared" si="1"/>
        <v>0</v>
      </c>
      <c r="AD23" s="6">
        <f t="shared" si="2"/>
        <v>0</v>
      </c>
      <c r="AE23" s="6">
        <f t="shared" ca="1" si="3"/>
        <v>0</v>
      </c>
      <c r="AF23" s="4" t="s">
        <v>841</v>
      </c>
    </row>
    <row r="24" spans="1:32" ht="11.25" customHeight="1" x14ac:dyDescent="0.25">
      <c r="A24" s="4" t="s">
        <v>21</v>
      </c>
      <c r="B24" s="4" t="s">
        <v>43</v>
      </c>
      <c r="C24" s="4" t="s">
        <v>44</v>
      </c>
      <c r="D24" s="4" t="s">
        <v>42</v>
      </c>
      <c r="E24" s="4" t="s">
        <v>25</v>
      </c>
      <c r="F24" s="4" t="s">
        <v>62</v>
      </c>
      <c r="G24" s="4" t="s">
        <v>25</v>
      </c>
      <c r="H24" s="4" t="s">
        <v>25</v>
      </c>
      <c r="I24" s="5">
        <v>44440</v>
      </c>
      <c r="J24" s="6">
        <v>0</v>
      </c>
      <c r="K24" s="6">
        <v>0</v>
      </c>
      <c r="L24" s="6">
        <v>8915.491</v>
      </c>
      <c r="M24" s="6">
        <v>8915.491</v>
      </c>
      <c r="N24" s="6">
        <v>0</v>
      </c>
      <c r="O24" s="6">
        <v>0</v>
      </c>
      <c r="P24" s="6">
        <v>10</v>
      </c>
      <c r="Q24" s="4" t="s">
        <v>60</v>
      </c>
      <c r="R24" s="4">
        <v>0</v>
      </c>
      <c r="S24" s="4">
        <v>0</v>
      </c>
      <c r="T24" s="4">
        <v>25</v>
      </c>
      <c r="U24" s="4">
        <v>0</v>
      </c>
      <c r="V24" s="6">
        <f>IF(ISERROR(VLOOKUP($S$24,'TAR FIN'!$A$1:$O$95,15,0)),0,VLOOKUP($S$24,'TAR FIN'!$A$1:$O$95,15,0))</f>
        <v>0</v>
      </c>
      <c r="W24" s="6">
        <f>IF(ISERROR(VLOOKUP($T$24,'TAR FIN'!$A$1:$O$95,15,0)),0,VLOOKUP($T$24,'TAR FIN'!$A$1:$O$95,15,0))</f>
        <v>52.77</v>
      </c>
      <c r="X24" s="6">
        <f>IF(ISERROR(VLOOKUP($U$24,'TAR FIN'!$A$1:$O$95,15,0)),0,VLOOKUP($U$24,'TAR FIN'!$A$1:$O$95,15,0))</f>
        <v>0</v>
      </c>
      <c r="Y24" s="6"/>
      <c r="Z24" s="6">
        <f ca="1">('TUSD BE'!$AM$7+'TUSD BF'!$AM$7+'TUSD CVA'!$AM$7)*1</f>
        <v>66.362434908719237</v>
      </c>
      <c r="AA24" s="6"/>
      <c r="AB24" s="6">
        <f t="shared" si="0"/>
        <v>0</v>
      </c>
      <c r="AC24" s="6">
        <f t="shared" si="1"/>
        <v>0</v>
      </c>
      <c r="AD24" s="6">
        <f t="shared" si="2"/>
        <v>0</v>
      </c>
      <c r="AE24" s="6">
        <f t="shared" ca="1" si="3"/>
        <v>0</v>
      </c>
      <c r="AF24" s="4" t="s">
        <v>841</v>
      </c>
    </row>
    <row r="25" spans="1:32" ht="11.25" customHeight="1" x14ac:dyDescent="0.25">
      <c r="A25" s="4" t="s">
        <v>59</v>
      </c>
      <c r="B25" s="4" t="s">
        <v>43</v>
      </c>
      <c r="C25" s="4" t="s">
        <v>44</v>
      </c>
      <c r="D25" s="4" t="s">
        <v>42</v>
      </c>
      <c r="E25" s="4" t="s">
        <v>25</v>
      </c>
      <c r="F25" s="4" t="s">
        <v>62</v>
      </c>
      <c r="G25" s="4" t="s">
        <v>25</v>
      </c>
      <c r="H25" s="4" t="s">
        <v>25</v>
      </c>
      <c r="I25" s="5">
        <v>44470</v>
      </c>
      <c r="J25" s="6">
        <v>0</v>
      </c>
      <c r="K25" s="6">
        <v>0</v>
      </c>
      <c r="L25" s="6">
        <v>8915.491</v>
      </c>
      <c r="M25" s="6">
        <v>8915.491</v>
      </c>
      <c r="N25" s="6">
        <v>0</v>
      </c>
      <c r="O25" s="6">
        <v>0</v>
      </c>
      <c r="P25" s="6">
        <v>10</v>
      </c>
      <c r="Q25" s="4" t="s">
        <v>60</v>
      </c>
      <c r="R25" s="4">
        <v>0</v>
      </c>
      <c r="S25" s="4">
        <v>0</v>
      </c>
      <c r="T25" s="4">
        <v>25</v>
      </c>
      <c r="U25" s="4">
        <v>0</v>
      </c>
      <c r="V25" s="6">
        <f>IF(ISERROR(VLOOKUP($S$25,'TAR FIN'!$A$1:$O$95,15,0)),0,VLOOKUP($S$25,'TAR FIN'!$A$1:$O$95,15,0))</f>
        <v>0</v>
      </c>
      <c r="W25" s="6">
        <f>IF(ISERROR(VLOOKUP($T$25,'TAR FIN'!$A$1:$O$95,15,0)),0,VLOOKUP($T$25,'TAR FIN'!$A$1:$O$95,15,0))</f>
        <v>52.77</v>
      </c>
      <c r="X25" s="6">
        <f>IF(ISERROR(VLOOKUP($U$25,'TAR FIN'!$A$1:$O$95,15,0)),0,VLOOKUP($U$25,'TAR FIN'!$A$1:$O$95,15,0))</f>
        <v>0</v>
      </c>
      <c r="Y25" s="6"/>
      <c r="Z25" s="6">
        <f ca="1">('TUSD BE'!$AM$7+'TUSD BF'!$AM$7+'TUSD CVA'!$AM$7)*1</f>
        <v>66.362434908719237</v>
      </c>
      <c r="AA25" s="6"/>
      <c r="AB25" s="6">
        <f t="shared" si="0"/>
        <v>0</v>
      </c>
      <c r="AC25" s="6">
        <f t="shared" si="1"/>
        <v>0</v>
      </c>
      <c r="AD25" s="6">
        <f t="shared" si="2"/>
        <v>0</v>
      </c>
      <c r="AE25" s="6">
        <f t="shared" ca="1" si="3"/>
        <v>0</v>
      </c>
      <c r="AF25" s="4" t="s">
        <v>841</v>
      </c>
    </row>
    <row r="26" spans="1:32" ht="11.25" customHeight="1" x14ac:dyDescent="0.25">
      <c r="A26" s="4" t="s">
        <v>21</v>
      </c>
      <c r="B26" s="4" t="s">
        <v>43</v>
      </c>
      <c r="C26" s="4" t="s">
        <v>44</v>
      </c>
      <c r="D26" s="4" t="s">
        <v>42</v>
      </c>
      <c r="E26" s="4" t="s">
        <v>25</v>
      </c>
      <c r="F26" s="4" t="s">
        <v>62</v>
      </c>
      <c r="G26" s="4" t="s">
        <v>25</v>
      </c>
      <c r="H26" s="4" t="s">
        <v>37</v>
      </c>
      <c r="I26" s="5">
        <v>44136</v>
      </c>
      <c r="J26" s="6">
        <v>20434</v>
      </c>
      <c r="K26" s="6">
        <v>10756.4576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4" t="s">
        <v>60</v>
      </c>
      <c r="R26" s="4">
        <v>0</v>
      </c>
      <c r="S26" s="4">
        <v>1</v>
      </c>
      <c r="T26" s="4">
        <v>0</v>
      </c>
      <c r="U26" s="4">
        <v>0</v>
      </c>
      <c r="V26" s="6">
        <f>IF(ISERROR(VLOOKUP($S$26,'TAR FIN'!$A$1:$O$95,15,0)),0,VLOOKUP($S$26,'TAR FIN'!$A$1:$O$95,15,0))</f>
        <v>7.24</v>
      </c>
      <c r="W26" s="6">
        <f>IF(ISERROR(VLOOKUP($T$26,'TAR FIN'!$A$1:$O$95,15,0)),0,VLOOKUP($T$26,'TAR FIN'!$A$1:$O$95,15,0))</f>
        <v>0</v>
      </c>
      <c r="X26" s="6">
        <f>IF(ISERROR(VLOOKUP($U$26,'TAR FIN'!$A$1:$O$95,15,0)),0,VLOOKUP($U$26,'TAR FIN'!$A$1:$O$95,15,0))</f>
        <v>0</v>
      </c>
      <c r="Y26" s="6">
        <f ca="1">('TUSD BE'!$AM$5+'TUSD BF'!$AM$5+'TUSD CVA'!$AM$5)*1</f>
        <v>7.9533527807993183</v>
      </c>
      <c r="Z26" s="6">
        <f ca="1">('TUSD BE'!$AM$7+'TUSD BF'!$AM$7+'TUSD CVA'!$AM$7)*1</f>
        <v>66.362434908719237</v>
      </c>
      <c r="AA26" s="6"/>
      <c r="AB26" s="6">
        <f t="shared" si="0"/>
        <v>70065.406975999998</v>
      </c>
      <c r="AC26" s="6">
        <f t="shared" si="1"/>
        <v>0</v>
      </c>
      <c r="AD26" s="6">
        <f t="shared" ca="1" si="2"/>
        <v>76968.908758343314</v>
      </c>
      <c r="AE26" s="6">
        <f t="shared" ca="1" si="3"/>
        <v>0</v>
      </c>
      <c r="AF26" s="4" t="s">
        <v>841</v>
      </c>
    </row>
    <row r="27" spans="1:32" ht="11.25" customHeight="1" x14ac:dyDescent="0.25">
      <c r="A27" s="4" t="s">
        <v>21</v>
      </c>
      <c r="B27" s="4" t="s">
        <v>43</v>
      </c>
      <c r="C27" s="4" t="s">
        <v>44</v>
      </c>
      <c r="D27" s="4" t="s">
        <v>42</v>
      </c>
      <c r="E27" s="4" t="s">
        <v>25</v>
      </c>
      <c r="F27" s="4" t="s">
        <v>62</v>
      </c>
      <c r="G27" s="4" t="s">
        <v>25</v>
      </c>
      <c r="H27" s="4" t="s">
        <v>37</v>
      </c>
      <c r="I27" s="5">
        <v>44166</v>
      </c>
      <c r="J27" s="6">
        <v>21254</v>
      </c>
      <c r="K27" s="6">
        <v>13013.824199999999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4" t="s">
        <v>60</v>
      </c>
      <c r="R27" s="4">
        <v>0</v>
      </c>
      <c r="S27" s="4">
        <v>1</v>
      </c>
      <c r="T27" s="4">
        <v>0</v>
      </c>
      <c r="U27" s="4">
        <v>0</v>
      </c>
      <c r="V27" s="6">
        <f>IF(ISERROR(VLOOKUP($S$27,'TAR FIN'!$A$1:$O$95,15,0)),0,VLOOKUP($S$27,'TAR FIN'!$A$1:$O$95,15,0))</f>
        <v>7.24</v>
      </c>
      <c r="W27" s="6">
        <f>IF(ISERROR(VLOOKUP($T$27,'TAR FIN'!$A$1:$O$95,15,0)),0,VLOOKUP($T$27,'TAR FIN'!$A$1:$O$95,15,0))</f>
        <v>0</v>
      </c>
      <c r="X27" s="6">
        <f>IF(ISERROR(VLOOKUP($U$27,'TAR FIN'!$A$1:$O$95,15,0)),0,VLOOKUP($U$27,'TAR FIN'!$A$1:$O$95,15,0))</f>
        <v>0</v>
      </c>
      <c r="Y27" s="6">
        <f ca="1">('TUSD BE'!$AM$5+'TUSD BF'!$AM$5+'TUSD CVA'!$AM$5)*1</f>
        <v>7.9533527807993183</v>
      </c>
      <c r="Z27" s="6">
        <f ca="1">('TUSD BE'!$AM$7+'TUSD BF'!$AM$7+'TUSD CVA'!$AM$7)*1</f>
        <v>66.362434908719237</v>
      </c>
      <c r="AA27" s="6"/>
      <c r="AB27" s="6">
        <f t="shared" si="0"/>
        <v>59658.872792000009</v>
      </c>
      <c r="AC27" s="6">
        <f t="shared" si="1"/>
        <v>0</v>
      </c>
      <c r="AD27" s="6">
        <f t="shared" ca="1" si="2"/>
        <v>65537.025113205251</v>
      </c>
      <c r="AE27" s="6">
        <f t="shared" ca="1" si="3"/>
        <v>0</v>
      </c>
      <c r="AF27" s="4" t="s">
        <v>841</v>
      </c>
    </row>
    <row r="28" spans="1:32" ht="11.25" customHeight="1" x14ac:dyDescent="0.25">
      <c r="A28" s="4" t="s">
        <v>21</v>
      </c>
      <c r="B28" s="4" t="s">
        <v>43</v>
      </c>
      <c r="C28" s="4" t="s">
        <v>44</v>
      </c>
      <c r="D28" s="4" t="s">
        <v>42</v>
      </c>
      <c r="E28" s="4" t="s">
        <v>25</v>
      </c>
      <c r="F28" s="4" t="s">
        <v>62</v>
      </c>
      <c r="G28" s="4" t="s">
        <v>25</v>
      </c>
      <c r="H28" s="4" t="s">
        <v>37</v>
      </c>
      <c r="I28" s="5">
        <v>44197</v>
      </c>
      <c r="J28" s="6">
        <v>21228</v>
      </c>
      <c r="K28" s="6">
        <v>12997.904399999999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4" t="s">
        <v>60</v>
      </c>
      <c r="R28" s="4">
        <v>0</v>
      </c>
      <c r="S28" s="4">
        <v>1</v>
      </c>
      <c r="T28" s="4">
        <v>0</v>
      </c>
      <c r="U28" s="4">
        <v>0</v>
      </c>
      <c r="V28" s="6">
        <f>IF(ISERROR(VLOOKUP($S$28,'TAR FIN'!$A$1:$O$95,15,0)),0,VLOOKUP($S$28,'TAR FIN'!$A$1:$O$95,15,0))</f>
        <v>7.24</v>
      </c>
      <c r="W28" s="6">
        <f>IF(ISERROR(VLOOKUP($T$28,'TAR FIN'!$A$1:$O$95,15,0)),0,VLOOKUP($T$28,'TAR FIN'!$A$1:$O$95,15,0))</f>
        <v>0</v>
      </c>
      <c r="X28" s="6">
        <f>IF(ISERROR(VLOOKUP($U$28,'TAR FIN'!$A$1:$O$95,15,0)),0,VLOOKUP($U$28,'TAR FIN'!$A$1:$O$95,15,0))</f>
        <v>0</v>
      </c>
      <c r="Y28" s="6">
        <f ca="1">('TUSD BE'!$AM$5+'TUSD BF'!$AM$5+'TUSD CVA'!$AM$5)*1</f>
        <v>7.9533527807993183</v>
      </c>
      <c r="Z28" s="6">
        <f ca="1">('TUSD BE'!$AM$7+'TUSD BF'!$AM$7+'TUSD CVA'!$AM$7)*1</f>
        <v>66.362434908719237</v>
      </c>
      <c r="AA28" s="6"/>
      <c r="AB28" s="6">
        <f t="shared" si="0"/>
        <v>59585.892144000005</v>
      </c>
      <c r="AC28" s="6">
        <f t="shared" si="1"/>
        <v>0</v>
      </c>
      <c r="AD28" s="6">
        <f t="shared" ca="1" si="2"/>
        <v>65456.85372650424</v>
      </c>
      <c r="AE28" s="6">
        <f t="shared" ca="1" si="3"/>
        <v>0</v>
      </c>
      <c r="AF28" s="4" t="s">
        <v>841</v>
      </c>
    </row>
    <row r="29" spans="1:32" ht="11.25" customHeight="1" x14ac:dyDescent="0.25">
      <c r="A29" s="4" t="s">
        <v>21</v>
      </c>
      <c r="B29" s="4" t="s">
        <v>43</v>
      </c>
      <c r="C29" s="4" t="s">
        <v>44</v>
      </c>
      <c r="D29" s="4" t="s">
        <v>42</v>
      </c>
      <c r="E29" s="4" t="s">
        <v>25</v>
      </c>
      <c r="F29" s="4" t="s">
        <v>62</v>
      </c>
      <c r="G29" s="4" t="s">
        <v>25</v>
      </c>
      <c r="H29" s="4" t="s">
        <v>37</v>
      </c>
      <c r="I29" s="5">
        <v>44228</v>
      </c>
      <c r="J29" s="6">
        <v>21228</v>
      </c>
      <c r="K29" s="6">
        <v>12997.904399999999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4" t="s">
        <v>60</v>
      </c>
      <c r="R29" s="4">
        <v>0</v>
      </c>
      <c r="S29" s="4">
        <v>1</v>
      </c>
      <c r="T29" s="4">
        <v>0</v>
      </c>
      <c r="U29" s="4">
        <v>0</v>
      </c>
      <c r="V29" s="6">
        <f>IF(ISERROR(VLOOKUP($S$29,'TAR FIN'!$A$1:$O$95,15,0)),0,VLOOKUP($S$29,'TAR FIN'!$A$1:$O$95,15,0))</f>
        <v>7.24</v>
      </c>
      <c r="W29" s="6">
        <f>IF(ISERROR(VLOOKUP($T$29,'TAR FIN'!$A$1:$O$95,15,0)),0,VLOOKUP($T$29,'TAR FIN'!$A$1:$O$95,15,0))</f>
        <v>0</v>
      </c>
      <c r="X29" s="6">
        <f>IF(ISERROR(VLOOKUP($U$29,'TAR FIN'!$A$1:$O$95,15,0)),0,VLOOKUP($U$29,'TAR FIN'!$A$1:$O$95,15,0))</f>
        <v>0</v>
      </c>
      <c r="Y29" s="6">
        <f ca="1">('TUSD BE'!$AM$5+'TUSD BF'!$AM$5+'TUSD CVA'!$AM$5)*1</f>
        <v>7.9533527807993183</v>
      </c>
      <c r="Z29" s="6">
        <f ca="1">('TUSD BE'!$AM$7+'TUSD BF'!$AM$7+'TUSD CVA'!$AM$7)*1</f>
        <v>66.362434908719237</v>
      </c>
      <c r="AA29" s="6"/>
      <c r="AB29" s="6">
        <f t="shared" si="0"/>
        <v>59585.892144000005</v>
      </c>
      <c r="AC29" s="6">
        <f t="shared" si="1"/>
        <v>0</v>
      </c>
      <c r="AD29" s="6">
        <f t="shared" ca="1" si="2"/>
        <v>65456.85372650424</v>
      </c>
      <c r="AE29" s="6">
        <f t="shared" ca="1" si="3"/>
        <v>0</v>
      </c>
      <c r="AF29" s="4" t="s">
        <v>841</v>
      </c>
    </row>
    <row r="30" spans="1:32" ht="11.25" customHeight="1" x14ac:dyDescent="0.25">
      <c r="A30" s="4" t="s">
        <v>21</v>
      </c>
      <c r="B30" s="4" t="s">
        <v>43</v>
      </c>
      <c r="C30" s="4" t="s">
        <v>44</v>
      </c>
      <c r="D30" s="4" t="s">
        <v>42</v>
      </c>
      <c r="E30" s="4" t="s">
        <v>25</v>
      </c>
      <c r="F30" s="4" t="s">
        <v>62</v>
      </c>
      <c r="G30" s="4" t="s">
        <v>25</v>
      </c>
      <c r="H30" s="4" t="s">
        <v>37</v>
      </c>
      <c r="I30" s="5">
        <v>44256</v>
      </c>
      <c r="J30" s="6">
        <v>21228</v>
      </c>
      <c r="K30" s="6">
        <v>12997.904399999999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4" t="s">
        <v>60</v>
      </c>
      <c r="R30" s="4">
        <v>0</v>
      </c>
      <c r="S30" s="4">
        <v>1</v>
      </c>
      <c r="T30" s="4">
        <v>0</v>
      </c>
      <c r="U30" s="4">
        <v>0</v>
      </c>
      <c r="V30" s="6">
        <f>IF(ISERROR(VLOOKUP($S$30,'TAR FIN'!$A$1:$O$95,15,0)),0,VLOOKUP($S$30,'TAR FIN'!$A$1:$O$95,15,0))</f>
        <v>7.24</v>
      </c>
      <c r="W30" s="6">
        <f>IF(ISERROR(VLOOKUP($T$30,'TAR FIN'!$A$1:$O$95,15,0)),0,VLOOKUP($T$30,'TAR FIN'!$A$1:$O$95,15,0))</f>
        <v>0</v>
      </c>
      <c r="X30" s="6">
        <f>IF(ISERROR(VLOOKUP($U$30,'TAR FIN'!$A$1:$O$95,15,0)),0,VLOOKUP($U$30,'TAR FIN'!$A$1:$O$95,15,0))</f>
        <v>0</v>
      </c>
      <c r="Y30" s="6">
        <f ca="1">('TUSD BE'!$AM$5+'TUSD BF'!$AM$5+'TUSD CVA'!$AM$5)*1</f>
        <v>7.9533527807993183</v>
      </c>
      <c r="Z30" s="6">
        <f ca="1">('TUSD BE'!$AM$7+'TUSD BF'!$AM$7+'TUSD CVA'!$AM$7)*1</f>
        <v>66.362434908719237</v>
      </c>
      <c r="AA30" s="6"/>
      <c r="AB30" s="6">
        <f t="shared" si="0"/>
        <v>59585.892144000005</v>
      </c>
      <c r="AC30" s="6">
        <f t="shared" si="1"/>
        <v>0</v>
      </c>
      <c r="AD30" s="6">
        <f t="shared" ca="1" si="2"/>
        <v>65456.85372650424</v>
      </c>
      <c r="AE30" s="6">
        <f t="shared" ca="1" si="3"/>
        <v>0</v>
      </c>
      <c r="AF30" s="4" t="s">
        <v>841</v>
      </c>
    </row>
    <row r="31" spans="1:32" ht="11.25" customHeight="1" x14ac:dyDescent="0.25">
      <c r="A31" s="4" t="s">
        <v>21</v>
      </c>
      <c r="B31" s="4" t="s">
        <v>43</v>
      </c>
      <c r="C31" s="4" t="s">
        <v>44</v>
      </c>
      <c r="D31" s="4" t="s">
        <v>42</v>
      </c>
      <c r="E31" s="4" t="s">
        <v>25</v>
      </c>
      <c r="F31" s="4" t="s">
        <v>62</v>
      </c>
      <c r="G31" s="4" t="s">
        <v>25</v>
      </c>
      <c r="H31" s="4" t="s">
        <v>37</v>
      </c>
      <c r="I31" s="5">
        <v>44287</v>
      </c>
      <c r="J31" s="6">
        <v>21228</v>
      </c>
      <c r="K31" s="6">
        <v>12997.904399999999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4" t="s">
        <v>60</v>
      </c>
      <c r="R31" s="4">
        <v>0</v>
      </c>
      <c r="S31" s="4">
        <v>1</v>
      </c>
      <c r="T31" s="4">
        <v>0</v>
      </c>
      <c r="U31" s="4">
        <v>0</v>
      </c>
      <c r="V31" s="6">
        <f>IF(ISERROR(VLOOKUP($S$31,'TAR FIN'!$A$1:$O$95,15,0)),0,VLOOKUP($S$31,'TAR FIN'!$A$1:$O$95,15,0))</f>
        <v>7.24</v>
      </c>
      <c r="W31" s="6">
        <f>IF(ISERROR(VLOOKUP($T$31,'TAR FIN'!$A$1:$O$95,15,0)),0,VLOOKUP($T$31,'TAR FIN'!$A$1:$O$95,15,0))</f>
        <v>0</v>
      </c>
      <c r="X31" s="6">
        <f>IF(ISERROR(VLOOKUP($U$31,'TAR FIN'!$A$1:$O$95,15,0)),0,VLOOKUP($U$31,'TAR FIN'!$A$1:$O$95,15,0))</f>
        <v>0</v>
      </c>
      <c r="Y31" s="6">
        <f ca="1">('TUSD BE'!$AM$5+'TUSD BF'!$AM$5+'TUSD CVA'!$AM$5)*1</f>
        <v>7.9533527807993183</v>
      </c>
      <c r="Z31" s="6">
        <f ca="1">('TUSD BE'!$AM$7+'TUSD BF'!$AM$7+'TUSD CVA'!$AM$7)*1</f>
        <v>66.362434908719237</v>
      </c>
      <c r="AA31" s="6"/>
      <c r="AB31" s="6">
        <f t="shared" si="0"/>
        <v>59585.892144000005</v>
      </c>
      <c r="AC31" s="6">
        <f t="shared" si="1"/>
        <v>0</v>
      </c>
      <c r="AD31" s="6">
        <f t="shared" ca="1" si="2"/>
        <v>65456.85372650424</v>
      </c>
      <c r="AE31" s="6">
        <f t="shared" ca="1" si="3"/>
        <v>0</v>
      </c>
      <c r="AF31" s="4" t="s">
        <v>841</v>
      </c>
    </row>
    <row r="32" spans="1:32" ht="11.25" customHeight="1" x14ac:dyDescent="0.25">
      <c r="A32" s="4" t="s">
        <v>21</v>
      </c>
      <c r="B32" s="4" t="s">
        <v>43</v>
      </c>
      <c r="C32" s="4" t="s">
        <v>44</v>
      </c>
      <c r="D32" s="4" t="s">
        <v>42</v>
      </c>
      <c r="E32" s="4" t="s">
        <v>25</v>
      </c>
      <c r="F32" s="4" t="s">
        <v>62</v>
      </c>
      <c r="G32" s="4" t="s">
        <v>25</v>
      </c>
      <c r="H32" s="4" t="s">
        <v>37</v>
      </c>
      <c r="I32" s="5">
        <v>44317</v>
      </c>
      <c r="J32" s="6">
        <v>21228</v>
      </c>
      <c r="K32" s="6">
        <v>12997.904399999999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4" t="s">
        <v>60</v>
      </c>
      <c r="R32" s="4">
        <v>0</v>
      </c>
      <c r="S32" s="4">
        <v>1</v>
      </c>
      <c r="T32" s="4">
        <v>0</v>
      </c>
      <c r="U32" s="4">
        <v>0</v>
      </c>
      <c r="V32" s="6">
        <f>IF(ISERROR(VLOOKUP($S$32,'TAR FIN'!$A$1:$O$95,15,0)),0,VLOOKUP($S$32,'TAR FIN'!$A$1:$O$95,15,0))</f>
        <v>7.24</v>
      </c>
      <c r="W32" s="6">
        <f>IF(ISERROR(VLOOKUP($T$32,'TAR FIN'!$A$1:$O$95,15,0)),0,VLOOKUP($T$32,'TAR FIN'!$A$1:$O$95,15,0))</f>
        <v>0</v>
      </c>
      <c r="X32" s="6">
        <f>IF(ISERROR(VLOOKUP($U$32,'TAR FIN'!$A$1:$O$95,15,0)),0,VLOOKUP($U$32,'TAR FIN'!$A$1:$O$95,15,0))</f>
        <v>0</v>
      </c>
      <c r="Y32" s="6">
        <f ca="1">('TUSD BE'!$AM$5+'TUSD BF'!$AM$5+'TUSD CVA'!$AM$5)*1</f>
        <v>7.9533527807993183</v>
      </c>
      <c r="Z32" s="6">
        <f ca="1">('TUSD BE'!$AM$7+'TUSD BF'!$AM$7+'TUSD CVA'!$AM$7)*1</f>
        <v>66.362434908719237</v>
      </c>
      <c r="AA32" s="6"/>
      <c r="AB32" s="6">
        <f t="shared" si="0"/>
        <v>59585.892144000005</v>
      </c>
      <c r="AC32" s="6">
        <f t="shared" si="1"/>
        <v>0</v>
      </c>
      <c r="AD32" s="6">
        <f t="shared" ca="1" si="2"/>
        <v>65456.85372650424</v>
      </c>
      <c r="AE32" s="6">
        <f t="shared" ca="1" si="3"/>
        <v>0</v>
      </c>
      <c r="AF32" s="4" t="s">
        <v>841</v>
      </c>
    </row>
    <row r="33" spans="1:32" ht="11.25" customHeight="1" x14ac:dyDescent="0.25">
      <c r="A33" s="4" t="s">
        <v>21</v>
      </c>
      <c r="B33" s="4" t="s">
        <v>43</v>
      </c>
      <c r="C33" s="4" t="s">
        <v>44</v>
      </c>
      <c r="D33" s="4" t="s">
        <v>42</v>
      </c>
      <c r="E33" s="4" t="s">
        <v>25</v>
      </c>
      <c r="F33" s="4" t="s">
        <v>62</v>
      </c>
      <c r="G33" s="4" t="s">
        <v>25</v>
      </c>
      <c r="H33" s="4" t="s">
        <v>37</v>
      </c>
      <c r="I33" s="5">
        <v>44348</v>
      </c>
      <c r="J33" s="6">
        <v>21228</v>
      </c>
      <c r="K33" s="6">
        <v>12997.904399999999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4" t="s">
        <v>60</v>
      </c>
      <c r="R33" s="4">
        <v>0</v>
      </c>
      <c r="S33" s="4">
        <v>1</v>
      </c>
      <c r="T33" s="4">
        <v>0</v>
      </c>
      <c r="U33" s="4">
        <v>0</v>
      </c>
      <c r="V33" s="6">
        <f>IF(ISERROR(VLOOKUP($S$33,'TAR FIN'!$A$1:$O$95,15,0)),0,VLOOKUP($S$33,'TAR FIN'!$A$1:$O$95,15,0))</f>
        <v>7.24</v>
      </c>
      <c r="W33" s="6">
        <f>IF(ISERROR(VLOOKUP($T$33,'TAR FIN'!$A$1:$O$95,15,0)),0,VLOOKUP($T$33,'TAR FIN'!$A$1:$O$95,15,0))</f>
        <v>0</v>
      </c>
      <c r="X33" s="6">
        <f>IF(ISERROR(VLOOKUP($U$33,'TAR FIN'!$A$1:$O$95,15,0)),0,VLOOKUP($U$33,'TAR FIN'!$A$1:$O$95,15,0))</f>
        <v>0</v>
      </c>
      <c r="Y33" s="6">
        <f ca="1">('TUSD BE'!$AM$5+'TUSD BF'!$AM$5+'TUSD CVA'!$AM$5)*1</f>
        <v>7.9533527807993183</v>
      </c>
      <c r="Z33" s="6">
        <f ca="1">('TUSD BE'!$AM$7+'TUSD BF'!$AM$7+'TUSD CVA'!$AM$7)*1</f>
        <v>66.362434908719237</v>
      </c>
      <c r="AA33" s="6"/>
      <c r="AB33" s="6">
        <f t="shared" si="0"/>
        <v>59585.892144000005</v>
      </c>
      <c r="AC33" s="6">
        <f t="shared" si="1"/>
        <v>0</v>
      </c>
      <c r="AD33" s="6">
        <f t="shared" ca="1" si="2"/>
        <v>65456.85372650424</v>
      </c>
      <c r="AE33" s="6">
        <f t="shared" ca="1" si="3"/>
        <v>0</v>
      </c>
      <c r="AF33" s="4" t="s">
        <v>841</v>
      </c>
    </row>
    <row r="34" spans="1:32" ht="11.25" customHeight="1" x14ac:dyDescent="0.25">
      <c r="A34" s="4" t="s">
        <v>21</v>
      </c>
      <c r="B34" s="4" t="s">
        <v>43</v>
      </c>
      <c r="C34" s="4" t="s">
        <v>44</v>
      </c>
      <c r="D34" s="4" t="s">
        <v>42</v>
      </c>
      <c r="E34" s="4" t="s">
        <v>25</v>
      </c>
      <c r="F34" s="4" t="s">
        <v>62</v>
      </c>
      <c r="G34" s="4" t="s">
        <v>25</v>
      </c>
      <c r="H34" s="4" t="s">
        <v>37</v>
      </c>
      <c r="I34" s="5">
        <v>44378</v>
      </c>
      <c r="J34" s="6">
        <v>21228</v>
      </c>
      <c r="K34" s="6">
        <v>12997.904399999999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4" t="s">
        <v>60</v>
      </c>
      <c r="R34" s="4">
        <v>0</v>
      </c>
      <c r="S34" s="4">
        <v>1</v>
      </c>
      <c r="T34" s="4">
        <v>0</v>
      </c>
      <c r="U34" s="4">
        <v>0</v>
      </c>
      <c r="V34" s="6">
        <f>IF(ISERROR(VLOOKUP($S$34,'TAR FIN'!$A$1:$O$95,15,0)),0,VLOOKUP($S$34,'TAR FIN'!$A$1:$O$95,15,0))</f>
        <v>7.24</v>
      </c>
      <c r="W34" s="6">
        <f>IF(ISERROR(VLOOKUP($T$34,'TAR FIN'!$A$1:$O$95,15,0)),0,VLOOKUP($T$34,'TAR FIN'!$A$1:$O$95,15,0))</f>
        <v>0</v>
      </c>
      <c r="X34" s="6">
        <f>IF(ISERROR(VLOOKUP($U$34,'TAR FIN'!$A$1:$O$95,15,0)),0,VLOOKUP($U$34,'TAR FIN'!$A$1:$O$95,15,0))</f>
        <v>0</v>
      </c>
      <c r="Y34" s="6">
        <f ca="1">('TUSD BE'!$AM$5+'TUSD BF'!$AM$5+'TUSD CVA'!$AM$5)*1</f>
        <v>7.9533527807993183</v>
      </c>
      <c r="Z34" s="6">
        <f ca="1">('TUSD BE'!$AM$7+'TUSD BF'!$AM$7+'TUSD CVA'!$AM$7)*1</f>
        <v>66.362434908719237</v>
      </c>
      <c r="AA34" s="6"/>
      <c r="AB34" s="6">
        <f t="shared" si="0"/>
        <v>59585.892144000005</v>
      </c>
      <c r="AC34" s="6">
        <f t="shared" si="1"/>
        <v>0</v>
      </c>
      <c r="AD34" s="6">
        <f t="shared" ca="1" si="2"/>
        <v>65456.85372650424</v>
      </c>
      <c r="AE34" s="6">
        <f t="shared" ca="1" si="3"/>
        <v>0</v>
      </c>
      <c r="AF34" s="4" t="s">
        <v>841</v>
      </c>
    </row>
    <row r="35" spans="1:32" ht="11.25" customHeight="1" x14ac:dyDescent="0.25">
      <c r="A35" s="4" t="s">
        <v>21</v>
      </c>
      <c r="B35" s="4" t="s">
        <v>43</v>
      </c>
      <c r="C35" s="4" t="s">
        <v>44</v>
      </c>
      <c r="D35" s="4" t="s">
        <v>42</v>
      </c>
      <c r="E35" s="4" t="s">
        <v>25</v>
      </c>
      <c r="F35" s="4" t="s">
        <v>62</v>
      </c>
      <c r="G35" s="4" t="s">
        <v>25</v>
      </c>
      <c r="H35" s="4" t="s">
        <v>37</v>
      </c>
      <c r="I35" s="5">
        <v>44409</v>
      </c>
      <c r="J35" s="6">
        <v>23872</v>
      </c>
      <c r="K35" s="6">
        <v>14953.4208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4" t="s">
        <v>60</v>
      </c>
      <c r="R35" s="4">
        <v>0</v>
      </c>
      <c r="S35" s="4">
        <v>1</v>
      </c>
      <c r="T35" s="4">
        <v>0</v>
      </c>
      <c r="U35" s="4">
        <v>0</v>
      </c>
      <c r="V35" s="6">
        <f>IF(ISERROR(VLOOKUP($S$35,'TAR FIN'!$A$1:$O$95,15,0)),0,VLOOKUP($S$35,'TAR FIN'!$A$1:$O$95,15,0))</f>
        <v>7.24</v>
      </c>
      <c r="W35" s="6">
        <f>IF(ISERROR(VLOOKUP($T$35,'TAR FIN'!$A$1:$O$95,15,0)),0,VLOOKUP($T$35,'TAR FIN'!$A$1:$O$95,15,0))</f>
        <v>0</v>
      </c>
      <c r="X35" s="6">
        <f>IF(ISERROR(VLOOKUP($U$35,'TAR FIN'!$A$1:$O$95,15,0)),0,VLOOKUP($U$35,'TAR FIN'!$A$1:$O$95,15,0))</f>
        <v>0</v>
      </c>
      <c r="Y35" s="6">
        <f ca="1">('TUSD BE'!$AM$5+'TUSD BF'!$AM$5+'TUSD CVA'!$AM$5)*1</f>
        <v>7.9533527807993183</v>
      </c>
      <c r="Z35" s="6">
        <f ca="1">('TUSD BE'!$AM$7+'TUSD BF'!$AM$7+'TUSD CVA'!$AM$7)*1</f>
        <v>66.362434908719237</v>
      </c>
      <c r="AA35" s="6"/>
      <c r="AB35" s="6">
        <f t="shared" si="0"/>
        <v>64570.513408000006</v>
      </c>
      <c r="AC35" s="6">
        <f t="shared" si="1"/>
        <v>0</v>
      </c>
      <c r="AD35" s="6">
        <f t="shared" ca="1" si="2"/>
        <v>70932.606681098958</v>
      </c>
      <c r="AE35" s="6">
        <f t="shared" ca="1" si="3"/>
        <v>0</v>
      </c>
      <c r="AF35" s="4" t="s">
        <v>841</v>
      </c>
    </row>
    <row r="36" spans="1:32" ht="11.25" customHeight="1" x14ac:dyDescent="0.25">
      <c r="A36" s="4" t="s">
        <v>21</v>
      </c>
      <c r="B36" s="4" t="s">
        <v>43</v>
      </c>
      <c r="C36" s="4" t="s">
        <v>44</v>
      </c>
      <c r="D36" s="4" t="s">
        <v>42</v>
      </c>
      <c r="E36" s="4" t="s">
        <v>25</v>
      </c>
      <c r="F36" s="4" t="s">
        <v>62</v>
      </c>
      <c r="G36" s="4" t="s">
        <v>25</v>
      </c>
      <c r="H36" s="4" t="s">
        <v>37</v>
      </c>
      <c r="I36" s="5">
        <v>44440</v>
      </c>
      <c r="J36" s="6">
        <v>24156</v>
      </c>
      <c r="K36" s="6">
        <v>14534.665199999999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4" t="s">
        <v>60</v>
      </c>
      <c r="R36" s="4">
        <v>0</v>
      </c>
      <c r="S36" s="4">
        <v>1</v>
      </c>
      <c r="T36" s="4">
        <v>0</v>
      </c>
      <c r="U36" s="4">
        <v>0</v>
      </c>
      <c r="V36" s="6">
        <f>IF(ISERROR(VLOOKUP($S$36,'TAR FIN'!$A$1:$O$95,15,0)),0,VLOOKUP($S$36,'TAR FIN'!$A$1:$O$95,15,0))</f>
        <v>7.24</v>
      </c>
      <c r="W36" s="6">
        <f>IF(ISERROR(VLOOKUP($T$36,'TAR FIN'!$A$1:$O$95,15,0)),0,VLOOKUP($T$36,'TAR FIN'!$A$1:$O$95,15,0))</f>
        <v>0</v>
      </c>
      <c r="X36" s="6">
        <f>IF(ISERROR(VLOOKUP($U$36,'TAR FIN'!$A$1:$O$95,15,0)),0,VLOOKUP($U$36,'TAR FIN'!$A$1:$O$95,15,0))</f>
        <v>0</v>
      </c>
      <c r="Y36" s="6">
        <f ca="1">('TUSD BE'!$AM$5+'TUSD BF'!$AM$5+'TUSD CVA'!$AM$5)*1</f>
        <v>7.9533527807993183</v>
      </c>
      <c r="Z36" s="6">
        <f ca="1">('TUSD BE'!$AM$7+'TUSD BF'!$AM$7+'TUSD CVA'!$AM$7)*1</f>
        <v>66.362434908719237</v>
      </c>
      <c r="AA36" s="6"/>
      <c r="AB36" s="6">
        <f t="shared" si="0"/>
        <v>69658.463952000006</v>
      </c>
      <c r="AC36" s="6">
        <f t="shared" si="1"/>
        <v>0</v>
      </c>
      <c r="AD36" s="6">
        <f t="shared" ca="1" si="2"/>
        <v>76521.869886581262</v>
      </c>
      <c r="AE36" s="6">
        <f t="shared" ca="1" si="3"/>
        <v>0</v>
      </c>
      <c r="AF36" s="4" t="s">
        <v>841</v>
      </c>
    </row>
    <row r="37" spans="1:32" ht="11.25" customHeight="1" x14ac:dyDescent="0.25">
      <c r="A37" s="4" t="s">
        <v>59</v>
      </c>
      <c r="B37" s="4" t="s">
        <v>43</v>
      </c>
      <c r="C37" s="4" t="s">
        <v>44</v>
      </c>
      <c r="D37" s="4" t="s">
        <v>42</v>
      </c>
      <c r="E37" s="4" t="s">
        <v>25</v>
      </c>
      <c r="F37" s="4" t="s">
        <v>62</v>
      </c>
      <c r="G37" s="4" t="s">
        <v>25</v>
      </c>
      <c r="H37" s="4" t="s">
        <v>37</v>
      </c>
      <c r="I37" s="5">
        <v>44470</v>
      </c>
      <c r="J37" s="6">
        <v>24156</v>
      </c>
      <c r="K37" s="6">
        <v>14534.665199999999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4" t="s">
        <v>60</v>
      </c>
      <c r="R37" s="4">
        <v>0</v>
      </c>
      <c r="S37" s="4">
        <v>1</v>
      </c>
      <c r="T37" s="4">
        <v>0</v>
      </c>
      <c r="U37" s="4">
        <v>0</v>
      </c>
      <c r="V37" s="6">
        <f>IF(ISERROR(VLOOKUP($S$37,'TAR FIN'!$A$1:$O$95,15,0)),0,VLOOKUP($S$37,'TAR FIN'!$A$1:$O$95,15,0))</f>
        <v>7.24</v>
      </c>
      <c r="W37" s="6">
        <f>IF(ISERROR(VLOOKUP($T$37,'TAR FIN'!$A$1:$O$95,15,0)),0,VLOOKUP($T$37,'TAR FIN'!$A$1:$O$95,15,0))</f>
        <v>0</v>
      </c>
      <c r="X37" s="6">
        <f>IF(ISERROR(VLOOKUP($U$37,'TAR FIN'!$A$1:$O$95,15,0)),0,VLOOKUP($U$37,'TAR FIN'!$A$1:$O$95,15,0))</f>
        <v>0</v>
      </c>
      <c r="Y37" s="6">
        <f ca="1">('TUSD BE'!$AM$5+'TUSD BF'!$AM$5+'TUSD CVA'!$AM$5)*1</f>
        <v>7.9533527807993183</v>
      </c>
      <c r="Z37" s="6">
        <f ca="1">('TUSD BE'!$AM$7+'TUSD BF'!$AM$7+'TUSD CVA'!$AM$7)*1</f>
        <v>66.362434908719237</v>
      </c>
      <c r="AA37" s="6"/>
      <c r="AB37" s="6">
        <f t="shared" si="0"/>
        <v>69658.463952000006</v>
      </c>
      <c r="AC37" s="6">
        <f t="shared" si="1"/>
        <v>0</v>
      </c>
      <c r="AD37" s="6">
        <f t="shared" ca="1" si="2"/>
        <v>76521.869886581262</v>
      </c>
      <c r="AE37" s="6">
        <f t="shared" ca="1" si="3"/>
        <v>0</v>
      </c>
      <c r="AF37" s="4" t="s">
        <v>841</v>
      </c>
    </row>
    <row r="38" spans="1:32" ht="11.25" customHeight="1" x14ac:dyDescent="0.25">
      <c r="A38" s="4" t="s">
        <v>21</v>
      </c>
      <c r="B38" s="4" t="s">
        <v>43</v>
      </c>
      <c r="C38" s="4" t="s">
        <v>44</v>
      </c>
      <c r="D38" s="4" t="s">
        <v>61</v>
      </c>
      <c r="E38" s="4" t="s">
        <v>53</v>
      </c>
      <c r="F38" s="4" t="s">
        <v>25</v>
      </c>
      <c r="G38" s="4" t="s">
        <v>25</v>
      </c>
      <c r="H38" s="4" t="s">
        <v>38</v>
      </c>
      <c r="I38" s="5">
        <v>44136</v>
      </c>
      <c r="J38" s="6">
        <v>15217</v>
      </c>
      <c r="K38" s="77">
        <v>15217</v>
      </c>
      <c r="L38" s="6">
        <v>0</v>
      </c>
      <c r="M38" s="77">
        <v>0</v>
      </c>
      <c r="N38" s="6">
        <v>0</v>
      </c>
      <c r="O38" s="77">
        <v>0</v>
      </c>
      <c r="P38" s="6">
        <v>0</v>
      </c>
      <c r="Q38" s="4" t="s">
        <v>60</v>
      </c>
      <c r="R38" s="4">
        <v>0</v>
      </c>
      <c r="S38" s="4">
        <v>2</v>
      </c>
      <c r="T38" s="4">
        <v>0</v>
      </c>
      <c r="U38" s="4">
        <v>0</v>
      </c>
      <c r="V38" s="77">
        <f>IF(ISERROR(VLOOKUP($S$38,'TAR FIN'!$A$1:$O$95,15,0)),0,VLOOKUP($S$38,'TAR FIN'!$A$1:$O$95,15,0))*(1-0.09)</f>
        <v>5.3690000000000007</v>
      </c>
      <c r="W38" s="77">
        <f>IF(ISERROR(VLOOKUP($T$38,'TAR FIN'!$A$1:$O$95,15,0)),0,VLOOKUP($T$38,'TAR FIN'!$A$1:$O$95,15,0))*(1-0.09)</f>
        <v>0</v>
      </c>
      <c r="X38" s="77">
        <f>IF(ISERROR(VLOOKUP($U$38,'TAR FIN'!$A$1:$O$95,15,0)),0,VLOOKUP($U$38,'TAR FIN'!$A$1:$O$95,15,0))</f>
        <v>0</v>
      </c>
      <c r="Y38" s="77">
        <f ca="1">('TUSD BE'!$AM$6+'TUSD BF'!$AM$6+'TUSD CVA'!$AM$6)*1*(1-0.06)</f>
        <v>6.0910453943447305</v>
      </c>
      <c r="Z38" s="77">
        <f ca="1">('TUSD BE'!$AM$7+'TUSD BF'!$AM$7+'TUSD CVA'!$AM$7)*1*(1-0.06)</f>
        <v>62.380688814196077</v>
      </c>
      <c r="AA38" s="77"/>
      <c r="AB38" s="77">
        <f>(SUBSIDIO!$J$38*SUBSIDIO!$V$38)*(0.09)/(1-0.09)</f>
        <v>8080.2269999999999</v>
      </c>
      <c r="AC38" s="77">
        <f>((SUBSIDIO!$L$38*SUBSIDIO!$W$38)+(SUBSIDIO!$N$38*SUBSIDIO!$X$38))*(0.09)/(1-0.09)</f>
        <v>0</v>
      </c>
      <c r="AD38" s="77">
        <f ca="1">(SUBSIDIO!$J$38*SUBSIDIO!$Y$38)*(0.06)/(1-0.06)</f>
        <v>5916.219431855985</v>
      </c>
      <c r="AE38" s="77">
        <f ca="1">((SUBSIDIO!$L$38*SUBSIDIO!$Z$38)+(SUBSIDIO!$N$38*SUBSIDIO!$AA$38))*(0.06)/(1-0.06)</f>
        <v>0</v>
      </c>
      <c r="AF38" s="4" t="s">
        <v>842</v>
      </c>
    </row>
    <row r="39" spans="1:32" ht="11.25" customHeight="1" x14ac:dyDescent="0.25">
      <c r="A39" s="4" t="s">
        <v>21</v>
      </c>
      <c r="B39" s="4" t="s">
        <v>43</v>
      </c>
      <c r="C39" s="4" t="s">
        <v>44</v>
      </c>
      <c r="D39" s="4" t="s">
        <v>61</v>
      </c>
      <c r="E39" s="4" t="s">
        <v>53</v>
      </c>
      <c r="F39" s="4" t="s">
        <v>25</v>
      </c>
      <c r="G39" s="4" t="s">
        <v>25</v>
      </c>
      <c r="H39" s="4" t="s">
        <v>38</v>
      </c>
      <c r="I39" s="5">
        <v>44166</v>
      </c>
      <c r="J39" s="6">
        <v>15621</v>
      </c>
      <c r="K39" s="77">
        <v>15621</v>
      </c>
      <c r="L39" s="6">
        <v>0</v>
      </c>
      <c r="M39" s="77">
        <v>0</v>
      </c>
      <c r="N39" s="6">
        <v>0</v>
      </c>
      <c r="O39" s="77">
        <v>0</v>
      </c>
      <c r="P39" s="6">
        <v>0</v>
      </c>
      <c r="Q39" s="4" t="s">
        <v>60</v>
      </c>
      <c r="R39" s="4">
        <v>0</v>
      </c>
      <c r="S39" s="4">
        <v>2</v>
      </c>
      <c r="T39" s="4">
        <v>0</v>
      </c>
      <c r="U39" s="4">
        <v>0</v>
      </c>
      <c r="V39" s="77">
        <f>IF(ISERROR(VLOOKUP($S$39,'TAR FIN'!$A$1:$O$95,15,0)),0,VLOOKUP($S$39,'TAR FIN'!$A$1:$O$95,15,0))*(1-0.09)</f>
        <v>5.3690000000000007</v>
      </c>
      <c r="W39" s="77">
        <f>IF(ISERROR(VLOOKUP($T$39,'TAR FIN'!$A$1:$O$95,15,0)),0,VLOOKUP($T$39,'TAR FIN'!$A$1:$O$95,15,0))*(1-0.09)</f>
        <v>0</v>
      </c>
      <c r="X39" s="77">
        <f>IF(ISERROR(VLOOKUP($U$39,'TAR FIN'!$A$1:$O$95,15,0)),0,VLOOKUP($U$39,'TAR FIN'!$A$1:$O$95,15,0))</f>
        <v>0</v>
      </c>
      <c r="Y39" s="77">
        <f ca="1">('TUSD BE'!$AM$6+'TUSD BF'!$AM$6+'TUSD CVA'!$AM$6)*1*(1-0.06)</f>
        <v>6.0910453943447305</v>
      </c>
      <c r="Z39" s="77">
        <f ca="1">('TUSD BE'!$AM$7+'TUSD BF'!$AM$7+'TUSD CVA'!$AM$7)*1*(1-0.06)</f>
        <v>62.380688814196077</v>
      </c>
      <c r="AA39" s="77"/>
      <c r="AB39" s="77">
        <f>(SUBSIDIO!$J$39*SUBSIDIO!$V$39)*(0.09)/(1-0.09)</f>
        <v>8294.7510000000002</v>
      </c>
      <c r="AC39" s="77">
        <f>((SUBSIDIO!$L$39*SUBSIDIO!$W$39)+(SUBSIDIO!$N$39*SUBSIDIO!$X$39))*(0.09)/(1-0.09)</f>
        <v>0</v>
      </c>
      <c r="AD39" s="77">
        <f ca="1">(SUBSIDIO!$J$39*SUBSIDIO!$Y$39)*(0.06)/(1-0.06)</f>
        <v>6073.2906450037681</v>
      </c>
      <c r="AE39" s="77">
        <f ca="1">((SUBSIDIO!$L$39*SUBSIDIO!$Z$39)+(SUBSIDIO!$N$39*SUBSIDIO!$AA$39))*(0.06)/(1-0.06)</f>
        <v>0</v>
      </c>
      <c r="AF39" s="4" t="s">
        <v>842</v>
      </c>
    </row>
    <row r="40" spans="1:32" ht="11.25" customHeight="1" x14ac:dyDescent="0.25">
      <c r="A40" s="4" t="s">
        <v>21</v>
      </c>
      <c r="B40" s="4" t="s">
        <v>43</v>
      </c>
      <c r="C40" s="4" t="s">
        <v>44</v>
      </c>
      <c r="D40" s="4" t="s">
        <v>61</v>
      </c>
      <c r="E40" s="4" t="s">
        <v>53</v>
      </c>
      <c r="F40" s="4" t="s">
        <v>25</v>
      </c>
      <c r="G40" s="4" t="s">
        <v>25</v>
      </c>
      <c r="H40" s="4" t="s">
        <v>38</v>
      </c>
      <c r="I40" s="5">
        <v>44197</v>
      </c>
      <c r="J40" s="6">
        <v>14839</v>
      </c>
      <c r="K40" s="77">
        <v>14839</v>
      </c>
      <c r="L40" s="6">
        <v>0</v>
      </c>
      <c r="M40" s="77">
        <v>0</v>
      </c>
      <c r="N40" s="6">
        <v>0</v>
      </c>
      <c r="O40" s="77">
        <v>0</v>
      </c>
      <c r="P40" s="6">
        <v>0</v>
      </c>
      <c r="Q40" s="4" t="s">
        <v>60</v>
      </c>
      <c r="R40" s="4">
        <v>0</v>
      </c>
      <c r="S40" s="4">
        <v>2</v>
      </c>
      <c r="T40" s="4">
        <v>0</v>
      </c>
      <c r="U40" s="4">
        <v>0</v>
      </c>
      <c r="V40" s="77">
        <f>IF(ISERROR(VLOOKUP($S$40,'TAR FIN'!$A$1:$O$95,15,0)),0,VLOOKUP($S$40,'TAR FIN'!$A$1:$O$95,15,0))*(1-0.09)</f>
        <v>5.3690000000000007</v>
      </c>
      <c r="W40" s="77">
        <f>IF(ISERROR(VLOOKUP($T$40,'TAR FIN'!$A$1:$O$95,15,0)),0,VLOOKUP($T$40,'TAR FIN'!$A$1:$O$95,15,0))*(1-0.09)</f>
        <v>0</v>
      </c>
      <c r="X40" s="77">
        <f>IF(ISERROR(VLOOKUP($U$40,'TAR FIN'!$A$1:$O$95,15,0)),0,VLOOKUP($U$40,'TAR FIN'!$A$1:$O$95,15,0))</f>
        <v>0</v>
      </c>
      <c r="Y40" s="77">
        <f ca="1">('TUSD BE'!$AM$6+'TUSD BF'!$AM$6+'TUSD CVA'!$AM$6)*1*(1-0.06)</f>
        <v>6.0910453943447305</v>
      </c>
      <c r="Z40" s="77">
        <f ca="1">('TUSD BE'!$AM$7+'TUSD BF'!$AM$7+'TUSD CVA'!$AM$7)*1*(1-0.06)</f>
        <v>62.380688814196077</v>
      </c>
      <c r="AA40" s="77"/>
      <c r="AB40" s="77">
        <f>(SUBSIDIO!$J$40*SUBSIDIO!$V$40)*(0.09)/(1-0.09)</f>
        <v>7879.5090000000009</v>
      </c>
      <c r="AC40" s="77">
        <f>((SUBSIDIO!$L$40*SUBSIDIO!$W$40)+(SUBSIDIO!$N$40*SUBSIDIO!$X$40))*(0.09)/(1-0.09)</f>
        <v>0</v>
      </c>
      <c r="AD40" s="77">
        <f ca="1">(SUBSIDIO!$J$40*SUBSIDIO!$Y$40)*(0.06)/(1-0.06)</f>
        <v>5769.2567621286034</v>
      </c>
      <c r="AE40" s="77">
        <f ca="1">((SUBSIDIO!$L$40*SUBSIDIO!$Z$40)+(SUBSIDIO!$N$40*SUBSIDIO!$AA$40))*(0.06)/(1-0.06)</f>
        <v>0</v>
      </c>
      <c r="AF40" s="4" t="s">
        <v>842</v>
      </c>
    </row>
    <row r="41" spans="1:32" ht="11.25" customHeight="1" x14ac:dyDescent="0.25">
      <c r="A41" s="4" t="s">
        <v>21</v>
      </c>
      <c r="B41" s="4" t="s">
        <v>43</v>
      </c>
      <c r="C41" s="4" t="s">
        <v>44</v>
      </c>
      <c r="D41" s="4" t="s">
        <v>61</v>
      </c>
      <c r="E41" s="4" t="s">
        <v>53</v>
      </c>
      <c r="F41" s="4" t="s">
        <v>25</v>
      </c>
      <c r="G41" s="4" t="s">
        <v>25</v>
      </c>
      <c r="H41" s="4" t="s">
        <v>38</v>
      </c>
      <c r="I41" s="5">
        <v>44228</v>
      </c>
      <c r="J41" s="6">
        <v>14839</v>
      </c>
      <c r="K41" s="77">
        <v>14839</v>
      </c>
      <c r="L41" s="6">
        <v>0</v>
      </c>
      <c r="M41" s="77">
        <v>0</v>
      </c>
      <c r="N41" s="6">
        <v>0</v>
      </c>
      <c r="O41" s="77">
        <v>0</v>
      </c>
      <c r="P41" s="6">
        <v>0</v>
      </c>
      <c r="Q41" s="4" t="s">
        <v>60</v>
      </c>
      <c r="R41" s="4">
        <v>0</v>
      </c>
      <c r="S41" s="4">
        <v>2</v>
      </c>
      <c r="T41" s="4">
        <v>0</v>
      </c>
      <c r="U41" s="4">
        <v>0</v>
      </c>
      <c r="V41" s="77">
        <f>IF(ISERROR(VLOOKUP($S$41,'TAR FIN'!$A$1:$O$95,15,0)),0,VLOOKUP($S$41,'TAR FIN'!$A$1:$O$95,15,0))*(1-0.09)</f>
        <v>5.3690000000000007</v>
      </c>
      <c r="W41" s="77">
        <f>IF(ISERROR(VLOOKUP($T$41,'TAR FIN'!$A$1:$O$95,15,0)),0,VLOOKUP($T$41,'TAR FIN'!$A$1:$O$95,15,0))*(1-0.09)</f>
        <v>0</v>
      </c>
      <c r="X41" s="77">
        <f>IF(ISERROR(VLOOKUP($U$41,'TAR FIN'!$A$1:$O$95,15,0)),0,VLOOKUP($U$41,'TAR FIN'!$A$1:$O$95,15,0))</f>
        <v>0</v>
      </c>
      <c r="Y41" s="77">
        <f ca="1">('TUSD BE'!$AM$6+'TUSD BF'!$AM$6+'TUSD CVA'!$AM$6)*1*(1-0.06)</f>
        <v>6.0910453943447305</v>
      </c>
      <c r="Z41" s="77">
        <f ca="1">('TUSD BE'!$AM$7+'TUSD BF'!$AM$7+'TUSD CVA'!$AM$7)*1*(1-0.06)</f>
        <v>62.380688814196077</v>
      </c>
      <c r="AA41" s="77"/>
      <c r="AB41" s="77">
        <f>(SUBSIDIO!$J$41*SUBSIDIO!$V$41)*(0.09)/(1-0.09)</f>
        <v>7879.5090000000009</v>
      </c>
      <c r="AC41" s="77">
        <f>((SUBSIDIO!$L$41*SUBSIDIO!$W$41)+(SUBSIDIO!$N$41*SUBSIDIO!$X$41))*(0.09)/(1-0.09)</f>
        <v>0</v>
      </c>
      <c r="AD41" s="77">
        <f ca="1">(SUBSIDIO!$J$41*SUBSIDIO!$Y$41)*(0.06)/(1-0.06)</f>
        <v>5769.2567621286034</v>
      </c>
      <c r="AE41" s="77">
        <f ca="1">((SUBSIDIO!$L$41*SUBSIDIO!$Z$41)+(SUBSIDIO!$N$41*SUBSIDIO!$AA$41))*(0.06)/(1-0.06)</f>
        <v>0</v>
      </c>
      <c r="AF41" s="4" t="s">
        <v>842</v>
      </c>
    </row>
    <row r="42" spans="1:32" ht="11.25" customHeight="1" x14ac:dyDescent="0.25">
      <c r="A42" s="4" t="s">
        <v>21</v>
      </c>
      <c r="B42" s="4" t="s">
        <v>43</v>
      </c>
      <c r="C42" s="4" t="s">
        <v>44</v>
      </c>
      <c r="D42" s="4" t="s">
        <v>61</v>
      </c>
      <c r="E42" s="4" t="s">
        <v>53</v>
      </c>
      <c r="F42" s="4" t="s">
        <v>25</v>
      </c>
      <c r="G42" s="4" t="s">
        <v>25</v>
      </c>
      <c r="H42" s="4" t="s">
        <v>38</v>
      </c>
      <c r="I42" s="5">
        <v>44256</v>
      </c>
      <c r="J42" s="6">
        <v>14839</v>
      </c>
      <c r="K42" s="77">
        <v>14839</v>
      </c>
      <c r="L42" s="6">
        <v>0</v>
      </c>
      <c r="M42" s="77">
        <v>0</v>
      </c>
      <c r="N42" s="6">
        <v>0</v>
      </c>
      <c r="O42" s="77">
        <v>0</v>
      </c>
      <c r="P42" s="6">
        <v>0</v>
      </c>
      <c r="Q42" s="4" t="s">
        <v>60</v>
      </c>
      <c r="R42" s="4">
        <v>0</v>
      </c>
      <c r="S42" s="4">
        <v>2</v>
      </c>
      <c r="T42" s="4">
        <v>0</v>
      </c>
      <c r="U42" s="4">
        <v>0</v>
      </c>
      <c r="V42" s="77">
        <f>IF(ISERROR(VLOOKUP($S$42,'TAR FIN'!$A$1:$O$95,15,0)),0,VLOOKUP($S$42,'TAR FIN'!$A$1:$O$95,15,0))*(1-0.09)</f>
        <v>5.3690000000000007</v>
      </c>
      <c r="W42" s="77">
        <f>IF(ISERROR(VLOOKUP($T$42,'TAR FIN'!$A$1:$O$95,15,0)),0,VLOOKUP($T$42,'TAR FIN'!$A$1:$O$95,15,0))*(1-0.09)</f>
        <v>0</v>
      </c>
      <c r="X42" s="77">
        <f>IF(ISERROR(VLOOKUP($U$42,'TAR FIN'!$A$1:$O$95,15,0)),0,VLOOKUP($U$42,'TAR FIN'!$A$1:$O$95,15,0))</f>
        <v>0</v>
      </c>
      <c r="Y42" s="77">
        <f ca="1">('TUSD BE'!$AM$6+'TUSD BF'!$AM$6+'TUSD CVA'!$AM$6)*1*(1-0.06)</f>
        <v>6.0910453943447305</v>
      </c>
      <c r="Z42" s="77">
        <f ca="1">('TUSD BE'!$AM$7+'TUSD BF'!$AM$7+'TUSD CVA'!$AM$7)*1*(1-0.06)</f>
        <v>62.380688814196077</v>
      </c>
      <c r="AA42" s="77"/>
      <c r="AB42" s="77">
        <f>(SUBSIDIO!$J$42*SUBSIDIO!$V$42)*(0.09)/(1-0.09)</f>
        <v>7879.5090000000009</v>
      </c>
      <c r="AC42" s="77">
        <f>((SUBSIDIO!$L$42*SUBSIDIO!$W$42)+(SUBSIDIO!$N$42*SUBSIDIO!$X$42))*(0.09)/(1-0.09)</f>
        <v>0</v>
      </c>
      <c r="AD42" s="77">
        <f ca="1">(SUBSIDIO!$J$42*SUBSIDIO!$Y$42)*(0.06)/(1-0.06)</f>
        <v>5769.2567621286034</v>
      </c>
      <c r="AE42" s="77">
        <f ca="1">((SUBSIDIO!$L$42*SUBSIDIO!$Z$42)+(SUBSIDIO!$N$42*SUBSIDIO!$AA$42))*(0.06)/(1-0.06)</f>
        <v>0</v>
      </c>
      <c r="AF42" s="4" t="s">
        <v>842</v>
      </c>
    </row>
    <row r="43" spans="1:32" ht="11.25" customHeight="1" x14ac:dyDescent="0.25">
      <c r="A43" s="4" t="s">
        <v>21</v>
      </c>
      <c r="B43" s="4" t="s">
        <v>43</v>
      </c>
      <c r="C43" s="4" t="s">
        <v>44</v>
      </c>
      <c r="D43" s="4" t="s">
        <v>61</v>
      </c>
      <c r="E43" s="4" t="s">
        <v>53</v>
      </c>
      <c r="F43" s="4" t="s">
        <v>25</v>
      </c>
      <c r="G43" s="4" t="s">
        <v>25</v>
      </c>
      <c r="H43" s="4" t="s">
        <v>38</v>
      </c>
      <c r="I43" s="5">
        <v>44287</v>
      </c>
      <c r="J43" s="6">
        <v>14839</v>
      </c>
      <c r="K43" s="77">
        <v>14839</v>
      </c>
      <c r="L43" s="6">
        <v>0</v>
      </c>
      <c r="M43" s="77">
        <v>0</v>
      </c>
      <c r="N43" s="6">
        <v>0</v>
      </c>
      <c r="O43" s="77">
        <v>0</v>
      </c>
      <c r="P43" s="6">
        <v>0</v>
      </c>
      <c r="Q43" s="4" t="s">
        <v>60</v>
      </c>
      <c r="R43" s="4">
        <v>0</v>
      </c>
      <c r="S43" s="4">
        <v>2</v>
      </c>
      <c r="T43" s="4">
        <v>0</v>
      </c>
      <c r="U43" s="4">
        <v>0</v>
      </c>
      <c r="V43" s="77">
        <f>IF(ISERROR(VLOOKUP($S$43,'TAR FIN'!$A$1:$O$95,15,0)),0,VLOOKUP($S$43,'TAR FIN'!$A$1:$O$95,15,0))*(1-0.09)</f>
        <v>5.3690000000000007</v>
      </c>
      <c r="W43" s="77">
        <f>IF(ISERROR(VLOOKUP($T$43,'TAR FIN'!$A$1:$O$95,15,0)),0,VLOOKUP($T$43,'TAR FIN'!$A$1:$O$95,15,0))*(1-0.09)</f>
        <v>0</v>
      </c>
      <c r="X43" s="77">
        <f>IF(ISERROR(VLOOKUP($U$43,'TAR FIN'!$A$1:$O$95,15,0)),0,VLOOKUP($U$43,'TAR FIN'!$A$1:$O$95,15,0))</f>
        <v>0</v>
      </c>
      <c r="Y43" s="77">
        <f ca="1">('TUSD BE'!$AM$6+'TUSD BF'!$AM$6+'TUSD CVA'!$AM$6)*1*(1-0.06)</f>
        <v>6.0910453943447305</v>
      </c>
      <c r="Z43" s="77">
        <f ca="1">('TUSD BE'!$AM$7+'TUSD BF'!$AM$7+'TUSD CVA'!$AM$7)*1*(1-0.06)</f>
        <v>62.380688814196077</v>
      </c>
      <c r="AA43" s="77"/>
      <c r="AB43" s="77">
        <f>(SUBSIDIO!$J$43*SUBSIDIO!$V$43)*(0.09)/(1-0.09)</f>
        <v>7879.5090000000009</v>
      </c>
      <c r="AC43" s="77">
        <f>((SUBSIDIO!$L$43*SUBSIDIO!$W$43)+(SUBSIDIO!$N$43*SUBSIDIO!$X$43))*(0.09)/(1-0.09)</f>
        <v>0</v>
      </c>
      <c r="AD43" s="77">
        <f ca="1">(SUBSIDIO!$J$43*SUBSIDIO!$Y$43)*(0.06)/(1-0.06)</f>
        <v>5769.2567621286034</v>
      </c>
      <c r="AE43" s="77">
        <f ca="1">((SUBSIDIO!$L$43*SUBSIDIO!$Z$43)+(SUBSIDIO!$N$43*SUBSIDIO!$AA$43))*(0.06)/(1-0.06)</f>
        <v>0</v>
      </c>
      <c r="AF43" s="4" t="s">
        <v>842</v>
      </c>
    </row>
    <row r="44" spans="1:32" ht="11.25" customHeight="1" x14ac:dyDescent="0.25">
      <c r="A44" s="4" t="s">
        <v>21</v>
      </c>
      <c r="B44" s="4" t="s">
        <v>43</v>
      </c>
      <c r="C44" s="4" t="s">
        <v>44</v>
      </c>
      <c r="D44" s="4" t="s">
        <v>61</v>
      </c>
      <c r="E44" s="4" t="s">
        <v>53</v>
      </c>
      <c r="F44" s="4" t="s">
        <v>25</v>
      </c>
      <c r="G44" s="4" t="s">
        <v>25</v>
      </c>
      <c r="H44" s="4" t="s">
        <v>38</v>
      </c>
      <c r="I44" s="5">
        <v>44317</v>
      </c>
      <c r="J44" s="6">
        <v>14839</v>
      </c>
      <c r="K44" s="77">
        <v>14839</v>
      </c>
      <c r="L44" s="6">
        <v>0</v>
      </c>
      <c r="M44" s="77">
        <v>0</v>
      </c>
      <c r="N44" s="6">
        <v>0</v>
      </c>
      <c r="O44" s="77">
        <v>0</v>
      </c>
      <c r="P44" s="6">
        <v>0</v>
      </c>
      <c r="Q44" s="4" t="s">
        <v>60</v>
      </c>
      <c r="R44" s="4">
        <v>0</v>
      </c>
      <c r="S44" s="4">
        <v>2</v>
      </c>
      <c r="T44" s="4">
        <v>0</v>
      </c>
      <c r="U44" s="4">
        <v>0</v>
      </c>
      <c r="V44" s="77">
        <f>IF(ISERROR(VLOOKUP($S$44,'TAR FIN'!$A$1:$O$95,15,0)),0,VLOOKUP($S$44,'TAR FIN'!$A$1:$O$95,15,0))*(1-0.09)</f>
        <v>5.3690000000000007</v>
      </c>
      <c r="W44" s="77">
        <f>IF(ISERROR(VLOOKUP($T$44,'TAR FIN'!$A$1:$O$95,15,0)),0,VLOOKUP($T$44,'TAR FIN'!$A$1:$O$95,15,0))*(1-0.09)</f>
        <v>0</v>
      </c>
      <c r="X44" s="77">
        <f>IF(ISERROR(VLOOKUP($U$44,'TAR FIN'!$A$1:$O$95,15,0)),0,VLOOKUP($U$44,'TAR FIN'!$A$1:$O$95,15,0))</f>
        <v>0</v>
      </c>
      <c r="Y44" s="77">
        <f ca="1">('TUSD BE'!$AM$6+'TUSD BF'!$AM$6+'TUSD CVA'!$AM$6)*1*(1-0.06)</f>
        <v>6.0910453943447305</v>
      </c>
      <c r="Z44" s="77">
        <f ca="1">('TUSD BE'!$AM$7+'TUSD BF'!$AM$7+'TUSD CVA'!$AM$7)*1*(1-0.06)</f>
        <v>62.380688814196077</v>
      </c>
      <c r="AA44" s="77"/>
      <c r="AB44" s="77">
        <f>(SUBSIDIO!$J$44*SUBSIDIO!$V$44)*(0.09)/(1-0.09)</f>
        <v>7879.5090000000009</v>
      </c>
      <c r="AC44" s="77">
        <f>((SUBSIDIO!$L$44*SUBSIDIO!$W$44)+(SUBSIDIO!$N$44*SUBSIDIO!$X$44))*(0.09)/(1-0.09)</f>
        <v>0</v>
      </c>
      <c r="AD44" s="77">
        <f ca="1">(SUBSIDIO!$J$44*SUBSIDIO!$Y$44)*(0.06)/(1-0.06)</f>
        <v>5769.2567621286034</v>
      </c>
      <c r="AE44" s="77">
        <f ca="1">((SUBSIDIO!$L$44*SUBSIDIO!$Z$44)+(SUBSIDIO!$N$44*SUBSIDIO!$AA$44))*(0.06)/(1-0.06)</f>
        <v>0</v>
      </c>
      <c r="AF44" s="4" t="s">
        <v>842</v>
      </c>
    </row>
    <row r="45" spans="1:32" ht="11.25" customHeight="1" x14ac:dyDescent="0.25">
      <c r="A45" s="4" t="s">
        <v>21</v>
      </c>
      <c r="B45" s="4" t="s">
        <v>43</v>
      </c>
      <c r="C45" s="4" t="s">
        <v>44</v>
      </c>
      <c r="D45" s="4" t="s">
        <v>61</v>
      </c>
      <c r="E45" s="4" t="s">
        <v>53</v>
      </c>
      <c r="F45" s="4" t="s">
        <v>25</v>
      </c>
      <c r="G45" s="4" t="s">
        <v>25</v>
      </c>
      <c r="H45" s="4" t="s">
        <v>38</v>
      </c>
      <c r="I45" s="5">
        <v>44348</v>
      </c>
      <c r="J45" s="6">
        <v>14839</v>
      </c>
      <c r="K45" s="77">
        <v>14839</v>
      </c>
      <c r="L45" s="6">
        <v>0</v>
      </c>
      <c r="M45" s="77">
        <v>0</v>
      </c>
      <c r="N45" s="6">
        <v>0</v>
      </c>
      <c r="O45" s="77">
        <v>0</v>
      </c>
      <c r="P45" s="6">
        <v>0</v>
      </c>
      <c r="Q45" s="4" t="s">
        <v>60</v>
      </c>
      <c r="R45" s="4">
        <v>0</v>
      </c>
      <c r="S45" s="4">
        <v>2</v>
      </c>
      <c r="T45" s="4">
        <v>0</v>
      </c>
      <c r="U45" s="4">
        <v>0</v>
      </c>
      <c r="V45" s="77">
        <f>IF(ISERROR(VLOOKUP($S$45,'TAR FIN'!$A$1:$O$95,15,0)),0,VLOOKUP($S$45,'TAR FIN'!$A$1:$O$95,15,0))*(1-0.09)</f>
        <v>5.3690000000000007</v>
      </c>
      <c r="W45" s="77">
        <f>IF(ISERROR(VLOOKUP($T$45,'TAR FIN'!$A$1:$O$95,15,0)),0,VLOOKUP($T$45,'TAR FIN'!$A$1:$O$95,15,0))*(1-0.09)</f>
        <v>0</v>
      </c>
      <c r="X45" s="77">
        <f>IF(ISERROR(VLOOKUP($U$45,'TAR FIN'!$A$1:$O$95,15,0)),0,VLOOKUP($U$45,'TAR FIN'!$A$1:$O$95,15,0))</f>
        <v>0</v>
      </c>
      <c r="Y45" s="77">
        <f ca="1">('TUSD BE'!$AM$6+'TUSD BF'!$AM$6+'TUSD CVA'!$AM$6)*1*(1-0.06)</f>
        <v>6.0910453943447305</v>
      </c>
      <c r="Z45" s="77">
        <f ca="1">('TUSD BE'!$AM$7+'TUSD BF'!$AM$7+'TUSD CVA'!$AM$7)*1*(1-0.06)</f>
        <v>62.380688814196077</v>
      </c>
      <c r="AA45" s="77"/>
      <c r="AB45" s="77">
        <f>(SUBSIDIO!$J$45*SUBSIDIO!$V$45)*(0.09)/(1-0.09)</f>
        <v>7879.5090000000009</v>
      </c>
      <c r="AC45" s="77">
        <f>((SUBSIDIO!$L$45*SUBSIDIO!$W$45)+(SUBSIDIO!$N$45*SUBSIDIO!$X$45))*(0.09)/(1-0.09)</f>
        <v>0</v>
      </c>
      <c r="AD45" s="77">
        <f ca="1">(SUBSIDIO!$J$45*SUBSIDIO!$Y$45)*(0.06)/(1-0.06)</f>
        <v>5769.2567621286034</v>
      </c>
      <c r="AE45" s="77">
        <f ca="1">((SUBSIDIO!$L$45*SUBSIDIO!$Z$45)+(SUBSIDIO!$N$45*SUBSIDIO!$AA$45))*(0.06)/(1-0.06)</f>
        <v>0</v>
      </c>
      <c r="AF45" s="4" t="s">
        <v>842</v>
      </c>
    </row>
    <row r="46" spans="1:32" ht="11.25" customHeight="1" x14ac:dyDescent="0.25">
      <c r="A46" s="4" t="s">
        <v>21</v>
      </c>
      <c r="B46" s="4" t="s">
        <v>43</v>
      </c>
      <c r="C46" s="4" t="s">
        <v>44</v>
      </c>
      <c r="D46" s="4" t="s">
        <v>61</v>
      </c>
      <c r="E46" s="4" t="s">
        <v>53</v>
      </c>
      <c r="F46" s="4" t="s">
        <v>25</v>
      </c>
      <c r="G46" s="4" t="s">
        <v>25</v>
      </c>
      <c r="H46" s="4" t="s">
        <v>38</v>
      </c>
      <c r="I46" s="5">
        <v>44378</v>
      </c>
      <c r="J46" s="6">
        <v>14839</v>
      </c>
      <c r="K46" s="77">
        <v>14839</v>
      </c>
      <c r="L46" s="6">
        <v>0</v>
      </c>
      <c r="M46" s="77">
        <v>0</v>
      </c>
      <c r="N46" s="6">
        <v>0</v>
      </c>
      <c r="O46" s="77">
        <v>0</v>
      </c>
      <c r="P46" s="6">
        <v>0</v>
      </c>
      <c r="Q46" s="4" t="s">
        <v>60</v>
      </c>
      <c r="R46" s="4">
        <v>0</v>
      </c>
      <c r="S46" s="4">
        <v>2</v>
      </c>
      <c r="T46" s="4">
        <v>0</v>
      </c>
      <c r="U46" s="4">
        <v>0</v>
      </c>
      <c r="V46" s="77">
        <f>IF(ISERROR(VLOOKUP($S$46,'TAR FIN'!$A$1:$O$95,15,0)),0,VLOOKUP($S$46,'TAR FIN'!$A$1:$O$95,15,0))*(1-0.09)</f>
        <v>5.3690000000000007</v>
      </c>
      <c r="W46" s="77">
        <f>IF(ISERROR(VLOOKUP($T$46,'TAR FIN'!$A$1:$O$95,15,0)),0,VLOOKUP($T$46,'TAR FIN'!$A$1:$O$95,15,0))*(1-0.09)</f>
        <v>0</v>
      </c>
      <c r="X46" s="77">
        <f>IF(ISERROR(VLOOKUP($U$46,'TAR FIN'!$A$1:$O$95,15,0)),0,VLOOKUP($U$46,'TAR FIN'!$A$1:$O$95,15,0))</f>
        <v>0</v>
      </c>
      <c r="Y46" s="77">
        <f ca="1">('TUSD BE'!$AM$6+'TUSD BF'!$AM$6+'TUSD CVA'!$AM$6)*1*(1-0.06)</f>
        <v>6.0910453943447305</v>
      </c>
      <c r="Z46" s="77">
        <f ca="1">('TUSD BE'!$AM$7+'TUSD BF'!$AM$7+'TUSD CVA'!$AM$7)*1*(1-0.06)</f>
        <v>62.380688814196077</v>
      </c>
      <c r="AA46" s="77"/>
      <c r="AB46" s="77">
        <f>(SUBSIDIO!$J$46*SUBSIDIO!$V$46)*(0.09)/(1-0.09)</f>
        <v>7879.5090000000009</v>
      </c>
      <c r="AC46" s="77">
        <f>((SUBSIDIO!$L$46*SUBSIDIO!$W$46)+(SUBSIDIO!$N$46*SUBSIDIO!$X$46))*(0.09)/(1-0.09)</f>
        <v>0</v>
      </c>
      <c r="AD46" s="77">
        <f ca="1">(SUBSIDIO!$J$46*SUBSIDIO!$Y$46)*(0.06)/(1-0.06)</f>
        <v>5769.2567621286034</v>
      </c>
      <c r="AE46" s="77">
        <f ca="1">((SUBSIDIO!$L$46*SUBSIDIO!$Z$46)+(SUBSIDIO!$N$46*SUBSIDIO!$AA$46))*(0.06)/(1-0.06)</f>
        <v>0</v>
      </c>
      <c r="AF46" s="4" t="s">
        <v>842</v>
      </c>
    </row>
    <row r="47" spans="1:32" ht="11.25" customHeight="1" x14ac:dyDescent="0.25">
      <c r="A47" s="4" t="s">
        <v>21</v>
      </c>
      <c r="B47" s="4" t="s">
        <v>43</v>
      </c>
      <c r="C47" s="4" t="s">
        <v>44</v>
      </c>
      <c r="D47" s="4" t="s">
        <v>61</v>
      </c>
      <c r="E47" s="4" t="s">
        <v>53</v>
      </c>
      <c r="F47" s="4" t="s">
        <v>25</v>
      </c>
      <c r="G47" s="4" t="s">
        <v>25</v>
      </c>
      <c r="H47" s="4" t="s">
        <v>38</v>
      </c>
      <c r="I47" s="5">
        <v>44409</v>
      </c>
      <c r="J47" s="6">
        <v>14839</v>
      </c>
      <c r="K47" s="77">
        <v>14839</v>
      </c>
      <c r="L47" s="6">
        <v>0</v>
      </c>
      <c r="M47" s="77">
        <v>0</v>
      </c>
      <c r="N47" s="6">
        <v>0</v>
      </c>
      <c r="O47" s="77">
        <v>0</v>
      </c>
      <c r="P47" s="6">
        <v>0</v>
      </c>
      <c r="Q47" s="4" t="s">
        <v>60</v>
      </c>
      <c r="R47" s="4">
        <v>0</v>
      </c>
      <c r="S47" s="4">
        <v>2</v>
      </c>
      <c r="T47" s="4">
        <v>0</v>
      </c>
      <c r="U47" s="4">
        <v>0</v>
      </c>
      <c r="V47" s="77">
        <f>IF(ISERROR(VLOOKUP($S$47,'TAR FIN'!$A$1:$O$95,15,0)),0,VLOOKUP($S$47,'TAR FIN'!$A$1:$O$95,15,0))*(1-0.09)</f>
        <v>5.3690000000000007</v>
      </c>
      <c r="W47" s="77">
        <f>IF(ISERROR(VLOOKUP($T$47,'TAR FIN'!$A$1:$O$95,15,0)),0,VLOOKUP($T$47,'TAR FIN'!$A$1:$O$95,15,0))*(1-0.09)</f>
        <v>0</v>
      </c>
      <c r="X47" s="77">
        <f>IF(ISERROR(VLOOKUP($U$47,'TAR FIN'!$A$1:$O$95,15,0)),0,VLOOKUP($U$47,'TAR FIN'!$A$1:$O$95,15,0))</f>
        <v>0</v>
      </c>
      <c r="Y47" s="77">
        <f ca="1">('TUSD BE'!$AM$6+'TUSD BF'!$AM$6+'TUSD CVA'!$AM$6)*1*(1-0.06)</f>
        <v>6.0910453943447305</v>
      </c>
      <c r="Z47" s="77">
        <f ca="1">('TUSD BE'!$AM$7+'TUSD BF'!$AM$7+'TUSD CVA'!$AM$7)*1*(1-0.06)</f>
        <v>62.380688814196077</v>
      </c>
      <c r="AA47" s="77"/>
      <c r="AB47" s="77">
        <f>(SUBSIDIO!$J$47*SUBSIDIO!$V$47)*(0.09)/(1-0.09)</f>
        <v>7879.5090000000009</v>
      </c>
      <c r="AC47" s="77">
        <f>((SUBSIDIO!$L$47*SUBSIDIO!$W$47)+(SUBSIDIO!$N$47*SUBSIDIO!$X$47))*(0.09)/(1-0.09)</f>
        <v>0</v>
      </c>
      <c r="AD47" s="77">
        <f ca="1">(SUBSIDIO!$J$47*SUBSIDIO!$Y$47)*(0.06)/(1-0.06)</f>
        <v>5769.2567621286034</v>
      </c>
      <c r="AE47" s="77">
        <f ca="1">((SUBSIDIO!$L$47*SUBSIDIO!$Z$47)+(SUBSIDIO!$N$47*SUBSIDIO!$AA$47))*(0.06)/(1-0.06)</f>
        <v>0</v>
      </c>
      <c r="AF47" s="4" t="s">
        <v>842</v>
      </c>
    </row>
    <row r="48" spans="1:32" ht="11.25" customHeight="1" x14ac:dyDescent="0.25">
      <c r="A48" s="4" t="s">
        <v>21</v>
      </c>
      <c r="B48" s="4" t="s">
        <v>43</v>
      </c>
      <c r="C48" s="4" t="s">
        <v>44</v>
      </c>
      <c r="D48" s="4" t="s">
        <v>61</v>
      </c>
      <c r="E48" s="4" t="s">
        <v>53</v>
      </c>
      <c r="F48" s="4" t="s">
        <v>25</v>
      </c>
      <c r="G48" s="4" t="s">
        <v>25</v>
      </c>
      <c r="H48" s="4" t="s">
        <v>38</v>
      </c>
      <c r="I48" s="5">
        <v>44440</v>
      </c>
      <c r="J48" s="6">
        <v>14839</v>
      </c>
      <c r="K48" s="77">
        <v>14839</v>
      </c>
      <c r="L48" s="6">
        <v>0</v>
      </c>
      <c r="M48" s="77">
        <v>0</v>
      </c>
      <c r="N48" s="6">
        <v>0</v>
      </c>
      <c r="O48" s="77">
        <v>0</v>
      </c>
      <c r="P48" s="6">
        <v>0</v>
      </c>
      <c r="Q48" s="4" t="s">
        <v>60</v>
      </c>
      <c r="R48" s="4">
        <v>0</v>
      </c>
      <c r="S48" s="4">
        <v>2</v>
      </c>
      <c r="T48" s="4">
        <v>0</v>
      </c>
      <c r="U48" s="4">
        <v>0</v>
      </c>
      <c r="V48" s="77">
        <f>IF(ISERROR(VLOOKUP($S$48,'TAR FIN'!$A$1:$O$95,15,0)),0,VLOOKUP($S$48,'TAR FIN'!$A$1:$O$95,15,0))*(1-0.09)</f>
        <v>5.3690000000000007</v>
      </c>
      <c r="W48" s="77">
        <f>IF(ISERROR(VLOOKUP($T$48,'TAR FIN'!$A$1:$O$95,15,0)),0,VLOOKUP($T$48,'TAR FIN'!$A$1:$O$95,15,0))*(1-0.09)</f>
        <v>0</v>
      </c>
      <c r="X48" s="77">
        <f>IF(ISERROR(VLOOKUP($U$48,'TAR FIN'!$A$1:$O$95,15,0)),0,VLOOKUP($U$48,'TAR FIN'!$A$1:$O$95,15,0))</f>
        <v>0</v>
      </c>
      <c r="Y48" s="77">
        <f ca="1">('TUSD BE'!$AM$6+'TUSD BF'!$AM$6+'TUSD CVA'!$AM$6)*1*(1-0.06)</f>
        <v>6.0910453943447305</v>
      </c>
      <c r="Z48" s="77">
        <f ca="1">('TUSD BE'!$AM$7+'TUSD BF'!$AM$7+'TUSD CVA'!$AM$7)*1*(1-0.06)</f>
        <v>62.380688814196077</v>
      </c>
      <c r="AA48" s="77"/>
      <c r="AB48" s="77">
        <f>(SUBSIDIO!$J$48*SUBSIDIO!$V$48)*(0.09)/(1-0.09)</f>
        <v>7879.5090000000009</v>
      </c>
      <c r="AC48" s="77">
        <f>((SUBSIDIO!$L$48*SUBSIDIO!$W$48)+(SUBSIDIO!$N$48*SUBSIDIO!$X$48))*(0.09)/(1-0.09)</f>
        <v>0</v>
      </c>
      <c r="AD48" s="77">
        <f ca="1">(SUBSIDIO!$J$48*SUBSIDIO!$Y$48)*(0.06)/(1-0.06)</f>
        <v>5769.2567621286034</v>
      </c>
      <c r="AE48" s="77">
        <f ca="1">((SUBSIDIO!$L$48*SUBSIDIO!$Z$48)+(SUBSIDIO!$N$48*SUBSIDIO!$AA$48))*(0.06)/(1-0.06)</f>
        <v>0</v>
      </c>
      <c r="AF48" s="4" t="s">
        <v>842</v>
      </c>
    </row>
    <row r="49" spans="1:32" ht="11.25" customHeight="1" x14ac:dyDescent="0.25">
      <c r="A49" s="4" t="s">
        <v>59</v>
      </c>
      <c r="B49" s="4" t="s">
        <v>43</v>
      </c>
      <c r="C49" s="4" t="s">
        <v>44</v>
      </c>
      <c r="D49" s="4" t="s">
        <v>61</v>
      </c>
      <c r="E49" s="4" t="s">
        <v>53</v>
      </c>
      <c r="F49" s="4" t="s">
        <v>25</v>
      </c>
      <c r="G49" s="4" t="s">
        <v>25</v>
      </c>
      <c r="H49" s="4" t="s">
        <v>38</v>
      </c>
      <c r="I49" s="5">
        <v>44470</v>
      </c>
      <c r="J49" s="6">
        <v>14839</v>
      </c>
      <c r="K49" s="77">
        <v>14839</v>
      </c>
      <c r="L49" s="6">
        <v>0</v>
      </c>
      <c r="M49" s="77">
        <v>0</v>
      </c>
      <c r="N49" s="6">
        <v>0</v>
      </c>
      <c r="O49" s="77">
        <v>0</v>
      </c>
      <c r="P49" s="6">
        <v>0</v>
      </c>
      <c r="Q49" s="4" t="s">
        <v>60</v>
      </c>
      <c r="R49" s="4">
        <v>0</v>
      </c>
      <c r="S49" s="4">
        <v>2</v>
      </c>
      <c r="T49" s="4">
        <v>0</v>
      </c>
      <c r="U49" s="4">
        <v>0</v>
      </c>
      <c r="V49" s="77">
        <f>IF(ISERROR(VLOOKUP($S$49,'TAR FIN'!$A$1:$O$95,15,0)),0,VLOOKUP($S$49,'TAR FIN'!$A$1:$O$95,15,0))*(1-0.09)</f>
        <v>5.3690000000000007</v>
      </c>
      <c r="W49" s="77">
        <f>IF(ISERROR(VLOOKUP($T$49,'TAR FIN'!$A$1:$O$95,15,0)),0,VLOOKUP($T$49,'TAR FIN'!$A$1:$O$95,15,0))*(1-0.09)</f>
        <v>0</v>
      </c>
      <c r="X49" s="77">
        <f>IF(ISERROR(VLOOKUP($U$49,'TAR FIN'!$A$1:$O$95,15,0)),0,VLOOKUP($U$49,'TAR FIN'!$A$1:$O$95,15,0))</f>
        <v>0</v>
      </c>
      <c r="Y49" s="77">
        <f ca="1">('TUSD BE'!$AM$6+'TUSD BF'!$AM$6+'TUSD CVA'!$AM$6)*1*(1-0.06)</f>
        <v>6.0910453943447305</v>
      </c>
      <c r="Z49" s="77">
        <f ca="1">('TUSD BE'!$AM$7+'TUSD BF'!$AM$7+'TUSD CVA'!$AM$7)*1*(1-0.06)</f>
        <v>62.380688814196077</v>
      </c>
      <c r="AA49" s="77"/>
      <c r="AB49" s="77">
        <f>(SUBSIDIO!$J$49*SUBSIDIO!$V$49)*(0.09)/(1-0.09)</f>
        <v>7879.5090000000009</v>
      </c>
      <c r="AC49" s="77">
        <f>((SUBSIDIO!$L$49*SUBSIDIO!$W$49)+(SUBSIDIO!$N$49*SUBSIDIO!$X$49))*(0.09)/(1-0.09)</f>
        <v>0</v>
      </c>
      <c r="AD49" s="77">
        <f ca="1">(SUBSIDIO!$J$49*SUBSIDIO!$Y$49)*(0.06)/(1-0.06)</f>
        <v>5769.2567621286034</v>
      </c>
      <c r="AE49" s="77">
        <f ca="1">((SUBSIDIO!$L$49*SUBSIDIO!$Z$49)+(SUBSIDIO!$N$49*SUBSIDIO!$AA$49))*(0.06)/(1-0.06)</f>
        <v>0</v>
      </c>
      <c r="AF49" s="4" t="s">
        <v>842</v>
      </c>
    </row>
    <row r="50" spans="1:32" ht="11.25" customHeight="1" x14ac:dyDescent="0.25">
      <c r="A50" s="4" t="s">
        <v>21</v>
      </c>
      <c r="B50" s="4" t="s">
        <v>43</v>
      </c>
      <c r="C50" s="4" t="s">
        <v>44</v>
      </c>
      <c r="D50" s="4" t="s">
        <v>61</v>
      </c>
      <c r="E50" s="4" t="s">
        <v>53</v>
      </c>
      <c r="F50" s="4" t="s">
        <v>25</v>
      </c>
      <c r="G50" s="4" t="s">
        <v>25</v>
      </c>
      <c r="H50" s="4" t="s">
        <v>25</v>
      </c>
      <c r="I50" s="5">
        <v>44136</v>
      </c>
      <c r="J50" s="6">
        <v>0</v>
      </c>
      <c r="K50" s="77">
        <v>0</v>
      </c>
      <c r="L50" s="6">
        <v>9891.32</v>
      </c>
      <c r="M50" s="77">
        <v>9891.32</v>
      </c>
      <c r="N50" s="6">
        <v>0</v>
      </c>
      <c r="O50" s="77">
        <v>0</v>
      </c>
      <c r="P50" s="6">
        <v>2</v>
      </c>
      <c r="Q50" s="4" t="s">
        <v>60</v>
      </c>
      <c r="R50" s="4">
        <v>0</v>
      </c>
      <c r="S50" s="4">
        <v>0</v>
      </c>
      <c r="T50" s="4">
        <v>25</v>
      </c>
      <c r="U50" s="4">
        <v>0</v>
      </c>
      <c r="V50" s="77">
        <f>IF(ISERROR(VLOOKUP($S$50,'TAR FIN'!$A$1:$O$95,15,0)),0,VLOOKUP($S$50,'TAR FIN'!$A$1:$O$95,15,0))</f>
        <v>0</v>
      </c>
      <c r="W50" s="77">
        <f>IF(ISERROR(VLOOKUP($T$50,'TAR FIN'!$A$1:$O$95,15,0)),0,VLOOKUP($T$50,'TAR FIN'!$A$1:$O$95,15,0))*(1-0.09)</f>
        <v>48.020700000000005</v>
      </c>
      <c r="X50" s="77">
        <f>IF(ISERROR(VLOOKUP($U$50,'TAR FIN'!$A$1:$O$95,15,0)),0,VLOOKUP($U$50,'TAR FIN'!$A$1:$O$95,15,0))</f>
        <v>0</v>
      </c>
      <c r="Y50" s="77"/>
      <c r="Z50" s="77">
        <f ca="1">('TUSD BE'!$AM$7+'TUSD BF'!$AM$7+'TUSD CVA'!$AM$7)*1*(1-0.06)</f>
        <v>62.380688814196077</v>
      </c>
      <c r="AA50" s="77"/>
      <c r="AB50" s="77">
        <f>(SUBSIDIO!$J$50*SUBSIDIO!$V$50)*(0.09)/(1-0.09)</f>
        <v>0</v>
      </c>
      <c r="AC50" s="77">
        <f>((SUBSIDIO!$L$50*SUBSIDIO!$W$50)+(SUBSIDIO!$N$50*SUBSIDIO!$X$50))*(0.09)/(1-0.09)</f>
        <v>46976.846075999994</v>
      </c>
      <c r="AD50" s="77">
        <f>(SUBSIDIO!$J$50*SUBSIDIO!$Y$50)*(0.06)/(1-0.06)</f>
        <v>0</v>
      </c>
      <c r="AE50" s="77">
        <f ca="1">((SUBSIDIO!$L$50*SUBSIDIO!$Z$50)+(SUBSIDIO!$N$50*SUBSIDIO!$AA$50))*(0.06)/(1-0.06)</f>
        <v>39384.724779678763</v>
      </c>
      <c r="AF50" s="4" t="s">
        <v>842</v>
      </c>
    </row>
    <row r="51" spans="1:32" ht="11.25" customHeight="1" x14ac:dyDescent="0.25">
      <c r="A51" s="4" t="s">
        <v>21</v>
      </c>
      <c r="B51" s="4" t="s">
        <v>43</v>
      </c>
      <c r="C51" s="4" t="s">
        <v>44</v>
      </c>
      <c r="D51" s="4" t="s">
        <v>61</v>
      </c>
      <c r="E51" s="4" t="s">
        <v>53</v>
      </c>
      <c r="F51" s="4" t="s">
        <v>25</v>
      </c>
      <c r="G51" s="4" t="s">
        <v>25</v>
      </c>
      <c r="H51" s="4" t="s">
        <v>25</v>
      </c>
      <c r="I51" s="5">
        <v>44166</v>
      </c>
      <c r="J51" s="6">
        <v>0</v>
      </c>
      <c r="K51" s="77">
        <v>0</v>
      </c>
      <c r="L51" s="6">
        <v>10165.280000000001</v>
      </c>
      <c r="M51" s="77">
        <v>10165.280000000001</v>
      </c>
      <c r="N51" s="6">
        <v>0</v>
      </c>
      <c r="O51" s="77">
        <v>0</v>
      </c>
      <c r="P51" s="6">
        <v>2</v>
      </c>
      <c r="Q51" s="4" t="s">
        <v>60</v>
      </c>
      <c r="R51" s="4">
        <v>0</v>
      </c>
      <c r="S51" s="4">
        <v>0</v>
      </c>
      <c r="T51" s="4">
        <v>25</v>
      </c>
      <c r="U51" s="4">
        <v>0</v>
      </c>
      <c r="V51" s="77">
        <f>IF(ISERROR(VLOOKUP($S$51,'TAR FIN'!$A$1:$O$95,15,0)),0,VLOOKUP($S$51,'TAR FIN'!$A$1:$O$95,15,0))</f>
        <v>0</v>
      </c>
      <c r="W51" s="77">
        <f>IF(ISERROR(VLOOKUP($T$51,'TAR FIN'!$A$1:$O$95,15,0)),0,VLOOKUP($T$51,'TAR FIN'!$A$1:$O$95,15,0))*(1-0.09)</f>
        <v>48.020700000000005</v>
      </c>
      <c r="X51" s="77">
        <f>IF(ISERROR(VLOOKUP($U$51,'TAR FIN'!$A$1:$O$95,15,0)),0,VLOOKUP($U$51,'TAR FIN'!$A$1:$O$95,15,0))</f>
        <v>0</v>
      </c>
      <c r="Y51" s="77"/>
      <c r="Z51" s="77">
        <f ca="1">('TUSD BE'!$AM$7+'TUSD BF'!$AM$7+'TUSD CVA'!$AM$7)*1*(1-0.06)</f>
        <v>62.380688814196077</v>
      </c>
      <c r="AA51" s="77"/>
      <c r="AB51" s="77">
        <f>(SUBSIDIO!$J$51*SUBSIDIO!$V$51)*(0.09)/(1-0.09)</f>
        <v>0</v>
      </c>
      <c r="AC51" s="77">
        <f>((SUBSIDIO!$L$51*SUBSIDIO!$W$51)+(SUBSIDIO!$N$51*SUBSIDIO!$X$51))*(0.09)/(1-0.09)</f>
        <v>48277.964304000008</v>
      </c>
      <c r="AD51" s="77">
        <f>(SUBSIDIO!$J$51*SUBSIDIO!$Y$51)*(0.06)/(1-0.06)</f>
        <v>0</v>
      </c>
      <c r="AE51" s="77">
        <f ca="1">((SUBSIDIO!$L$51*SUBSIDIO!$Z$51)+(SUBSIDIO!$N$51*SUBSIDIO!$AA$51))*(0.06)/(1-0.06)</f>
        <v>40475.563939734333</v>
      </c>
      <c r="AF51" s="4" t="s">
        <v>842</v>
      </c>
    </row>
    <row r="52" spans="1:32" ht="11.25" customHeight="1" x14ac:dyDescent="0.25">
      <c r="A52" s="4" t="s">
        <v>21</v>
      </c>
      <c r="B52" s="4" t="s">
        <v>43</v>
      </c>
      <c r="C52" s="4" t="s">
        <v>44</v>
      </c>
      <c r="D52" s="4" t="s">
        <v>61</v>
      </c>
      <c r="E52" s="4" t="s">
        <v>53</v>
      </c>
      <c r="F52" s="4" t="s">
        <v>25</v>
      </c>
      <c r="G52" s="4" t="s">
        <v>25</v>
      </c>
      <c r="H52" s="4" t="s">
        <v>25</v>
      </c>
      <c r="I52" s="5">
        <v>44197</v>
      </c>
      <c r="J52" s="6">
        <v>0</v>
      </c>
      <c r="K52" s="77">
        <v>0</v>
      </c>
      <c r="L52" s="6">
        <v>9394.52</v>
      </c>
      <c r="M52" s="77">
        <v>9394.52</v>
      </c>
      <c r="N52" s="6">
        <v>0</v>
      </c>
      <c r="O52" s="77">
        <v>0</v>
      </c>
      <c r="P52" s="6">
        <v>2</v>
      </c>
      <c r="Q52" s="4" t="s">
        <v>60</v>
      </c>
      <c r="R52" s="4">
        <v>0</v>
      </c>
      <c r="S52" s="4">
        <v>0</v>
      </c>
      <c r="T52" s="4">
        <v>25</v>
      </c>
      <c r="U52" s="4">
        <v>0</v>
      </c>
      <c r="V52" s="77">
        <f>IF(ISERROR(VLOOKUP($S$52,'TAR FIN'!$A$1:$O$95,15,0)),0,VLOOKUP($S$52,'TAR FIN'!$A$1:$O$95,15,0))</f>
        <v>0</v>
      </c>
      <c r="W52" s="77">
        <f>IF(ISERROR(VLOOKUP($T$52,'TAR FIN'!$A$1:$O$95,15,0)),0,VLOOKUP($T$52,'TAR FIN'!$A$1:$O$95,15,0))*(1-0.09)</f>
        <v>48.020700000000005</v>
      </c>
      <c r="X52" s="77">
        <f>IF(ISERROR(VLOOKUP($U$52,'TAR FIN'!$A$1:$O$95,15,0)),0,VLOOKUP($U$52,'TAR FIN'!$A$1:$O$95,15,0))</f>
        <v>0</v>
      </c>
      <c r="Y52" s="77"/>
      <c r="Z52" s="77">
        <f ca="1">('TUSD BE'!$AM$7+'TUSD BF'!$AM$7+'TUSD CVA'!$AM$7)*1*(1-0.06)</f>
        <v>62.380688814196077</v>
      </c>
      <c r="AA52" s="77"/>
      <c r="AB52" s="77">
        <f>(SUBSIDIO!$J$52*SUBSIDIO!$V$52)*(0.09)/(1-0.09)</f>
        <v>0</v>
      </c>
      <c r="AC52" s="77">
        <f>((SUBSIDIO!$L$52*SUBSIDIO!$W$52)+(SUBSIDIO!$N$52*SUBSIDIO!$X$52))*(0.09)/(1-0.09)</f>
        <v>44617.393836000003</v>
      </c>
      <c r="AD52" s="77">
        <f>(SUBSIDIO!$J$52*SUBSIDIO!$Y$52)*(0.06)/(1-0.06)</f>
        <v>0</v>
      </c>
      <c r="AE52" s="77">
        <f ca="1">((SUBSIDIO!$L$52*SUBSIDIO!$Z$52)+(SUBSIDIO!$N$52*SUBSIDIO!$AA$52))*(0.06)/(1-0.06)</f>
        <v>37406.593319919666</v>
      </c>
      <c r="AF52" s="4" t="s">
        <v>842</v>
      </c>
    </row>
    <row r="53" spans="1:32" ht="11.25" customHeight="1" x14ac:dyDescent="0.25">
      <c r="A53" s="4" t="s">
        <v>21</v>
      </c>
      <c r="B53" s="4" t="s">
        <v>43</v>
      </c>
      <c r="C53" s="4" t="s">
        <v>44</v>
      </c>
      <c r="D53" s="4" t="s">
        <v>61</v>
      </c>
      <c r="E53" s="4" t="s">
        <v>53</v>
      </c>
      <c r="F53" s="4" t="s">
        <v>25</v>
      </c>
      <c r="G53" s="4" t="s">
        <v>25</v>
      </c>
      <c r="H53" s="4" t="s">
        <v>25</v>
      </c>
      <c r="I53" s="5">
        <v>44228</v>
      </c>
      <c r="J53" s="6">
        <v>0</v>
      </c>
      <c r="K53" s="77">
        <v>0</v>
      </c>
      <c r="L53" s="6">
        <v>8105</v>
      </c>
      <c r="M53" s="77">
        <v>8105</v>
      </c>
      <c r="N53" s="6">
        <v>0</v>
      </c>
      <c r="O53" s="77">
        <v>0</v>
      </c>
      <c r="P53" s="6">
        <v>2</v>
      </c>
      <c r="Q53" s="4" t="s">
        <v>60</v>
      </c>
      <c r="R53" s="4">
        <v>0</v>
      </c>
      <c r="S53" s="4">
        <v>0</v>
      </c>
      <c r="T53" s="4">
        <v>25</v>
      </c>
      <c r="U53" s="4">
        <v>0</v>
      </c>
      <c r="V53" s="77">
        <f>IF(ISERROR(VLOOKUP($S$53,'TAR FIN'!$A$1:$O$95,15,0)),0,VLOOKUP($S$53,'TAR FIN'!$A$1:$O$95,15,0))</f>
        <v>0</v>
      </c>
      <c r="W53" s="77">
        <f>IF(ISERROR(VLOOKUP($T$53,'TAR FIN'!$A$1:$O$95,15,0)),0,VLOOKUP($T$53,'TAR FIN'!$A$1:$O$95,15,0))*(1-0.09)</f>
        <v>48.020700000000005</v>
      </c>
      <c r="X53" s="77">
        <f>IF(ISERROR(VLOOKUP($U$53,'TAR FIN'!$A$1:$O$95,15,0)),0,VLOOKUP($U$53,'TAR FIN'!$A$1:$O$95,15,0))</f>
        <v>0</v>
      </c>
      <c r="Y53" s="77"/>
      <c r="Z53" s="77">
        <f ca="1">('TUSD BE'!$AM$7+'TUSD BF'!$AM$7+'TUSD CVA'!$AM$7)*1*(1-0.06)</f>
        <v>62.380688814196077</v>
      </c>
      <c r="AA53" s="77"/>
      <c r="AB53" s="77">
        <f>(SUBSIDIO!$J$53*SUBSIDIO!$V$53)*(0.09)/(1-0.09)</f>
        <v>0</v>
      </c>
      <c r="AC53" s="77">
        <f>((SUBSIDIO!$L$53*SUBSIDIO!$W$53)+(SUBSIDIO!$N$53*SUBSIDIO!$X$53))*(0.09)/(1-0.09)</f>
        <v>38493.076500000003</v>
      </c>
      <c r="AD53" s="77">
        <f>(SUBSIDIO!$J$53*SUBSIDIO!$Y$53)*(0.06)/(1-0.06)</f>
        <v>0</v>
      </c>
      <c r="AE53" s="77">
        <f ca="1">((SUBSIDIO!$L$53*SUBSIDIO!$Z$53)+(SUBSIDIO!$N$53*SUBSIDIO!$AA$53))*(0.06)/(1-0.06)</f>
        <v>32272.052096110165</v>
      </c>
      <c r="AF53" s="4" t="s">
        <v>842</v>
      </c>
    </row>
    <row r="54" spans="1:32" ht="11.25" customHeight="1" x14ac:dyDescent="0.25">
      <c r="A54" s="4" t="s">
        <v>21</v>
      </c>
      <c r="B54" s="4" t="s">
        <v>43</v>
      </c>
      <c r="C54" s="4" t="s">
        <v>44</v>
      </c>
      <c r="D54" s="4" t="s">
        <v>61</v>
      </c>
      <c r="E54" s="4" t="s">
        <v>53</v>
      </c>
      <c r="F54" s="4" t="s">
        <v>25</v>
      </c>
      <c r="G54" s="4" t="s">
        <v>25</v>
      </c>
      <c r="H54" s="4" t="s">
        <v>25</v>
      </c>
      <c r="I54" s="5">
        <v>44256</v>
      </c>
      <c r="J54" s="6">
        <v>0</v>
      </c>
      <c r="K54" s="77">
        <v>0</v>
      </c>
      <c r="L54" s="6">
        <v>8950.14</v>
      </c>
      <c r="M54" s="77">
        <v>8950.14</v>
      </c>
      <c r="N54" s="6">
        <v>0</v>
      </c>
      <c r="O54" s="77">
        <v>0</v>
      </c>
      <c r="P54" s="6">
        <v>2</v>
      </c>
      <c r="Q54" s="4" t="s">
        <v>60</v>
      </c>
      <c r="R54" s="4">
        <v>0</v>
      </c>
      <c r="S54" s="4">
        <v>0</v>
      </c>
      <c r="T54" s="4">
        <v>25</v>
      </c>
      <c r="U54" s="4">
        <v>0</v>
      </c>
      <c r="V54" s="77">
        <f>IF(ISERROR(VLOOKUP($S$54,'TAR FIN'!$A$1:$O$95,15,0)),0,VLOOKUP($S$54,'TAR FIN'!$A$1:$O$95,15,0))</f>
        <v>0</v>
      </c>
      <c r="W54" s="77">
        <f>IF(ISERROR(VLOOKUP($T$54,'TAR FIN'!$A$1:$O$95,15,0)),0,VLOOKUP($T$54,'TAR FIN'!$A$1:$O$95,15,0))*(1-0.09)</f>
        <v>48.020700000000005</v>
      </c>
      <c r="X54" s="77">
        <f>IF(ISERROR(VLOOKUP($U$54,'TAR FIN'!$A$1:$O$95,15,0)),0,VLOOKUP($U$54,'TAR FIN'!$A$1:$O$95,15,0))</f>
        <v>0</v>
      </c>
      <c r="Y54" s="77"/>
      <c r="Z54" s="77">
        <f ca="1">('TUSD BE'!$AM$7+'TUSD BF'!$AM$7+'TUSD CVA'!$AM$7)*1*(1-0.06)</f>
        <v>62.380688814196077</v>
      </c>
      <c r="AA54" s="77"/>
      <c r="AB54" s="77">
        <f>(SUBSIDIO!$J$54*SUBSIDIO!$V$54)*(0.09)/(1-0.09)</f>
        <v>0</v>
      </c>
      <c r="AC54" s="77">
        <f>((SUBSIDIO!$L$54*SUBSIDIO!$W$54)+(SUBSIDIO!$N$54*SUBSIDIO!$X$54))*(0.09)/(1-0.09)</f>
        <v>42506.899901999997</v>
      </c>
      <c r="AD54" s="77">
        <f>(SUBSIDIO!$J$54*SUBSIDIO!$Y$54)*(0.06)/(1-0.06)</f>
        <v>0</v>
      </c>
      <c r="AE54" s="77">
        <f ca="1">((SUBSIDIO!$L$54*SUBSIDIO!$Z$54)+(SUBSIDIO!$N$54*SUBSIDIO!$AA$54))*(0.06)/(1-0.06)</f>
        <v>35637.18499043546</v>
      </c>
      <c r="AF54" s="4" t="s">
        <v>842</v>
      </c>
    </row>
    <row r="55" spans="1:32" ht="11.25" customHeight="1" x14ac:dyDescent="0.25">
      <c r="A55" s="4" t="s">
        <v>21</v>
      </c>
      <c r="B55" s="4" t="s">
        <v>43</v>
      </c>
      <c r="C55" s="4" t="s">
        <v>44</v>
      </c>
      <c r="D55" s="4" t="s">
        <v>61</v>
      </c>
      <c r="E55" s="4" t="s">
        <v>53</v>
      </c>
      <c r="F55" s="4" t="s">
        <v>25</v>
      </c>
      <c r="G55" s="4" t="s">
        <v>25</v>
      </c>
      <c r="H55" s="4" t="s">
        <v>25</v>
      </c>
      <c r="I55" s="5">
        <v>44287</v>
      </c>
      <c r="J55" s="6">
        <v>0</v>
      </c>
      <c r="K55" s="77">
        <v>0</v>
      </c>
      <c r="L55" s="6">
        <v>8538.34</v>
      </c>
      <c r="M55" s="77">
        <v>8538.34</v>
      </c>
      <c r="N55" s="6">
        <v>0</v>
      </c>
      <c r="O55" s="77">
        <v>0</v>
      </c>
      <c r="P55" s="6">
        <v>2</v>
      </c>
      <c r="Q55" s="4" t="s">
        <v>60</v>
      </c>
      <c r="R55" s="4">
        <v>0</v>
      </c>
      <c r="S55" s="4">
        <v>0</v>
      </c>
      <c r="T55" s="4">
        <v>25</v>
      </c>
      <c r="U55" s="4">
        <v>0</v>
      </c>
      <c r="V55" s="77">
        <f>IF(ISERROR(VLOOKUP($S$55,'TAR FIN'!$A$1:$O$95,15,0)),0,VLOOKUP($S$55,'TAR FIN'!$A$1:$O$95,15,0))</f>
        <v>0</v>
      </c>
      <c r="W55" s="77">
        <f>IF(ISERROR(VLOOKUP($T$55,'TAR FIN'!$A$1:$O$95,15,0)),0,VLOOKUP($T$55,'TAR FIN'!$A$1:$O$95,15,0))*(1-0.09)</f>
        <v>48.020700000000005</v>
      </c>
      <c r="X55" s="77">
        <f>IF(ISERROR(VLOOKUP($U$55,'TAR FIN'!$A$1:$O$95,15,0)),0,VLOOKUP($U$55,'TAR FIN'!$A$1:$O$95,15,0))</f>
        <v>0</v>
      </c>
      <c r="Y55" s="77"/>
      <c r="Z55" s="77">
        <f ca="1">('TUSD BE'!$AM$7+'TUSD BF'!$AM$7+'TUSD CVA'!$AM$7)*1*(1-0.06)</f>
        <v>62.380688814196077</v>
      </c>
      <c r="AA55" s="77"/>
      <c r="AB55" s="77">
        <f>(SUBSIDIO!$J$55*SUBSIDIO!$V$55)*(0.09)/(1-0.09)</f>
        <v>0</v>
      </c>
      <c r="AC55" s="77">
        <f>((SUBSIDIO!$L$55*SUBSIDIO!$W$55)+(SUBSIDIO!$N$55*SUBSIDIO!$X$55))*(0.09)/(1-0.09)</f>
        <v>40551.138161999996</v>
      </c>
      <c r="AD55" s="77">
        <f>(SUBSIDIO!$J$55*SUBSIDIO!$Y$55)*(0.06)/(1-0.06)</f>
        <v>0</v>
      </c>
      <c r="AE55" s="77">
        <f ca="1">((SUBSIDIO!$L$55*SUBSIDIO!$Z$55)+(SUBSIDIO!$N$55*SUBSIDIO!$AA$55))*(0.06)/(1-0.06)</f>
        <v>33997.501948710822</v>
      </c>
      <c r="AF55" s="4" t="s">
        <v>842</v>
      </c>
    </row>
    <row r="56" spans="1:32" ht="11.25" customHeight="1" x14ac:dyDescent="0.25">
      <c r="A56" s="4" t="s">
        <v>21</v>
      </c>
      <c r="B56" s="4" t="s">
        <v>43</v>
      </c>
      <c r="C56" s="4" t="s">
        <v>44</v>
      </c>
      <c r="D56" s="4" t="s">
        <v>61</v>
      </c>
      <c r="E56" s="4" t="s">
        <v>53</v>
      </c>
      <c r="F56" s="4" t="s">
        <v>25</v>
      </c>
      <c r="G56" s="4" t="s">
        <v>25</v>
      </c>
      <c r="H56" s="4" t="s">
        <v>25</v>
      </c>
      <c r="I56" s="5">
        <v>44317</v>
      </c>
      <c r="J56" s="6">
        <v>0</v>
      </c>
      <c r="K56" s="77">
        <v>0</v>
      </c>
      <c r="L56" s="6">
        <v>8682.68</v>
      </c>
      <c r="M56" s="77">
        <v>8682.68</v>
      </c>
      <c r="N56" s="6">
        <v>0</v>
      </c>
      <c r="O56" s="77">
        <v>0</v>
      </c>
      <c r="P56" s="6">
        <v>2</v>
      </c>
      <c r="Q56" s="4" t="s">
        <v>60</v>
      </c>
      <c r="R56" s="4">
        <v>0</v>
      </c>
      <c r="S56" s="4">
        <v>0</v>
      </c>
      <c r="T56" s="4">
        <v>25</v>
      </c>
      <c r="U56" s="4">
        <v>0</v>
      </c>
      <c r="V56" s="77">
        <f>IF(ISERROR(VLOOKUP($S$56,'TAR FIN'!$A$1:$O$95,15,0)),0,VLOOKUP($S$56,'TAR FIN'!$A$1:$O$95,15,0))</f>
        <v>0</v>
      </c>
      <c r="W56" s="77">
        <f>IF(ISERROR(VLOOKUP($T$56,'TAR FIN'!$A$1:$O$95,15,0)),0,VLOOKUP($T$56,'TAR FIN'!$A$1:$O$95,15,0))*(1-0.09)</f>
        <v>48.020700000000005</v>
      </c>
      <c r="X56" s="77">
        <f>IF(ISERROR(VLOOKUP($U$56,'TAR FIN'!$A$1:$O$95,15,0)),0,VLOOKUP($U$56,'TAR FIN'!$A$1:$O$95,15,0))</f>
        <v>0</v>
      </c>
      <c r="Y56" s="77"/>
      <c r="Z56" s="77">
        <f ca="1">('TUSD BE'!$AM$7+'TUSD BF'!$AM$7+'TUSD CVA'!$AM$7)*1*(1-0.06)</f>
        <v>62.380688814196077</v>
      </c>
      <c r="AA56" s="77"/>
      <c r="AB56" s="77">
        <f>(SUBSIDIO!$J$56*SUBSIDIO!$V$56)*(0.09)/(1-0.09)</f>
        <v>0</v>
      </c>
      <c r="AC56" s="77">
        <f>((SUBSIDIO!$L$56*SUBSIDIO!$W$56)+(SUBSIDIO!$N$56*SUBSIDIO!$X$56))*(0.09)/(1-0.09)</f>
        <v>41236.652124000007</v>
      </c>
      <c r="AD56" s="77">
        <f>(SUBSIDIO!$J$56*SUBSIDIO!$Y$56)*(0.06)/(1-0.06)</f>
        <v>0</v>
      </c>
      <c r="AE56" s="77">
        <f ca="1">((SUBSIDIO!$L$56*SUBSIDIO!$Z$56)+(SUBSIDIO!$N$56*SUBSIDIO!$AA$56))*(0.06)/(1-0.06)</f>
        <v>34572.227179994297</v>
      </c>
      <c r="AF56" s="4" t="s">
        <v>842</v>
      </c>
    </row>
    <row r="57" spans="1:32" ht="11.25" customHeight="1" x14ac:dyDescent="0.25">
      <c r="A57" s="4" t="s">
        <v>21</v>
      </c>
      <c r="B57" s="4" t="s">
        <v>43</v>
      </c>
      <c r="C57" s="4" t="s">
        <v>44</v>
      </c>
      <c r="D57" s="4" t="s">
        <v>61</v>
      </c>
      <c r="E57" s="4" t="s">
        <v>53</v>
      </c>
      <c r="F57" s="4" t="s">
        <v>25</v>
      </c>
      <c r="G57" s="4" t="s">
        <v>25</v>
      </c>
      <c r="H57" s="4" t="s">
        <v>25</v>
      </c>
      <c r="I57" s="5">
        <v>44348</v>
      </c>
      <c r="J57" s="6">
        <v>0</v>
      </c>
      <c r="K57" s="77">
        <v>0</v>
      </c>
      <c r="L57" s="6">
        <v>9394.52</v>
      </c>
      <c r="M57" s="77">
        <v>9394.52</v>
      </c>
      <c r="N57" s="6">
        <v>0</v>
      </c>
      <c r="O57" s="77">
        <v>0</v>
      </c>
      <c r="P57" s="6">
        <v>2</v>
      </c>
      <c r="Q57" s="4" t="s">
        <v>60</v>
      </c>
      <c r="R57" s="4">
        <v>0</v>
      </c>
      <c r="S57" s="4">
        <v>0</v>
      </c>
      <c r="T57" s="4">
        <v>25</v>
      </c>
      <c r="U57" s="4">
        <v>0</v>
      </c>
      <c r="V57" s="77">
        <f>IF(ISERROR(VLOOKUP($S$57,'TAR FIN'!$A$1:$O$95,15,0)),0,VLOOKUP($S$57,'TAR FIN'!$A$1:$O$95,15,0))</f>
        <v>0</v>
      </c>
      <c r="W57" s="77">
        <f>IF(ISERROR(VLOOKUP($T$57,'TAR FIN'!$A$1:$O$95,15,0)),0,VLOOKUP($T$57,'TAR FIN'!$A$1:$O$95,15,0))*(1-0.09)</f>
        <v>48.020700000000005</v>
      </c>
      <c r="X57" s="77">
        <f>IF(ISERROR(VLOOKUP($U$57,'TAR FIN'!$A$1:$O$95,15,0)),0,VLOOKUP($U$57,'TAR FIN'!$A$1:$O$95,15,0))</f>
        <v>0</v>
      </c>
      <c r="Y57" s="77"/>
      <c r="Z57" s="77">
        <f ca="1">('TUSD BE'!$AM$7+'TUSD BF'!$AM$7+'TUSD CVA'!$AM$7)*1*(1-0.06)</f>
        <v>62.380688814196077</v>
      </c>
      <c r="AA57" s="77"/>
      <c r="AB57" s="77">
        <f>(SUBSIDIO!$J$57*SUBSIDIO!$V$57)*(0.09)/(1-0.09)</f>
        <v>0</v>
      </c>
      <c r="AC57" s="77">
        <f>((SUBSIDIO!$L$57*SUBSIDIO!$W$57)+(SUBSIDIO!$N$57*SUBSIDIO!$X$57))*(0.09)/(1-0.09)</f>
        <v>44617.393836000003</v>
      </c>
      <c r="AD57" s="77">
        <f>(SUBSIDIO!$J$57*SUBSIDIO!$Y$57)*(0.06)/(1-0.06)</f>
        <v>0</v>
      </c>
      <c r="AE57" s="77">
        <f ca="1">((SUBSIDIO!$L$57*SUBSIDIO!$Z$57)+(SUBSIDIO!$N$57*SUBSIDIO!$AA$57))*(0.06)/(1-0.06)</f>
        <v>37406.593319919666</v>
      </c>
      <c r="AF57" s="4" t="s">
        <v>842</v>
      </c>
    </row>
    <row r="58" spans="1:32" ht="11.25" customHeight="1" x14ac:dyDescent="0.25">
      <c r="A58" s="4" t="s">
        <v>21</v>
      </c>
      <c r="B58" s="4" t="s">
        <v>43</v>
      </c>
      <c r="C58" s="4" t="s">
        <v>44</v>
      </c>
      <c r="D58" s="4" t="s">
        <v>61</v>
      </c>
      <c r="E58" s="4" t="s">
        <v>53</v>
      </c>
      <c r="F58" s="4" t="s">
        <v>25</v>
      </c>
      <c r="G58" s="4" t="s">
        <v>25</v>
      </c>
      <c r="H58" s="4" t="s">
        <v>25</v>
      </c>
      <c r="I58" s="5">
        <v>44378</v>
      </c>
      <c r="J58" s="6">
        <v>0</v>
      </c>
      <c r="K58" s="77">
        <v>0</v>
      </c>
      <c r="L58" s="6">
        <v>8935.16</v>
      </c>
      <c r="M58" s="77">
        <v>8935.16</v>
      </c>
      <c r="N58" s="6">
        <v>0</v>
      </c>
      <c r="O58" s="77">
        <v>0</v>
      </c>
      <c r="P58" s="6">
        <v>2</v>
      </c>
      <c r="Q58" s="4" t="s">
        <v>60</v>
      </c>
      <c r="R58" s="4">
        <v>0</v>
      </c>
      <c r="S58" s="4">
        <v>0</v>
      </c>
      <c r="T58" s="4">
        <v>25</v>
      </c>
      <c r="U58" s="4">
        <v>0</v>
      </c>
      <c r="V58" s="77">
        <f>IF(ISERROR(VLOOKUP($S$58,'TAR FIN'!$A$1:$O$95,15,0)),0,VLOOKUP($S$58,'TAR FIN'!$A$1:$O$95,15,0))</f>
        <v>0</v>
      </c>
      <c r="W58" s="77">
        <f>IF(ISERROR(VLOOKUP($T$58,'TAR FIN'!$A$1:$O$95,15,0)),0,VLOOKUP($T$58,'TAR FIN'!$A$1:$O$95,15,0))*(1-0.09)</f>
        <v>48.020700000000005</v>
      </c>
      <c r="X58" s="77">
        <f>IF(ISERROR(VLOOKUP($U$58,'TAR FIN'!$A$1:$O$95,15,0)),0,VLOOKUP($U$58,'TAR FIN'!$A$1:$O$95,15,0))</f>
        <v>0</v>
      </c>
      <c r="Y58" s="77"/>
      <c r="Z58" s="77">
        <f ca="1">('TUSD BE'!$AM$7+'TUSD BF'!$AM$7+'TUSD CVA'!$AM$7)*1*(1-0.06)</f>
        <v>62.380688814196077</v>
      </c>
      <c r="AA58" s="77"/>
      <c r="AB58" s="77">
        <f>(SUBSIDIO!$J$58*SUBSIDIO!$V$58)*(0.09)/(1-0.09)</f>
        <v>0</v>
      </c>
      <c r="AC58" s="77">
        <f>((SUBSIDIO!$L$58*SUBSIDIO!$W$58)+(SUBSIDIO!$N$58*SUBSIDIO!$X$58))*(0.09)/(1-0.09)</f>
        <v>42435.755387999998</v>
      </c>
      <c r="AD58" s="77">
        <f>(SUBSIDIO!$J$58*SUBSIDIO!$Y$58)*(0.06)/(1-0.06)</f>
        <v>0</v>
      </c>
      <c r="AE58" s="77">
        <f ca="1">((SUBSIDIO!$L$58*SUBSIDIO!$Z$58)+(SUBSIDIO!$N$58*SUBSIDIO!$AA$58))*(0.06)/(1-0.06)</f>
        <v>35577.538433939502</v>
      </c>
      <c r="AF58" s="4" t="s">
        <v>842</v>
      </c>
    </row>
    <row r="59" spans="1:32" ht="11.25" customHeight="1" x14ac:dyDescent="0.25">
      <c r="A59" s="4" t="s">
        <v>21</v>
      </c>
      <c r="B59" s="4" t="s">
        <v>43</v>
      </c>
      <c r="C59" s="4" t="s">
        <v>44</v>
      </c>
      <c r="D59" s="4" t="s">
        <v>61</v>
      </c>
      <c r="E59" s="4" t="s">
        <v>53</v>
      </c>
      <c r="F59" s="4" t="s">
        <v>25</v>
      </c>
      <c r="G59" s="4" t="s">
        <v>25</v>
      </c>
      <c r="H59" s="4" t="s">
        <v>25</v>
      </c>
      <c r="I59" s="5">
        <v>44409</v>
      </c>
      <c r="J59" s="6">
        <v>0</v>
      </c>
      <c r="K59" s="77">
        <v>0</v>
      </c>
      <c r="L59" s="6">
        <v>9188.86</v>
      </c>
      <c r="M59" s="77">
        <v>9188.86</v>
      </c>
      <c r="N59" s="6">
        <v>0</v>
      </c>
      <c r="O59" s="77">
        <v>0</v>
      </c>
      <c r="P59" s="6">
        <v>2</v>
      </c>
      <c r="Q59" s="4" t="s">
        <v>60</v>
      </c>
      <c r="R59" s="4">
        <v>0</v>
      </c>
      <c r="S59" s="4">
        <v>0</v>
      </c>
      <c r="T59" s="4">
        <v>25</v>
      </c>
      <c r="U59" s="4">
        <v>0</v>
      </c>
      <c r="V59" s="77">
        <f>IF(ISERROR(VLOOKUP($S$59,'TAR FIN'!$A$1:$O$95,15,0)),0,VLOOKUP($S$59,'TAR FIN'!$A$1:$O$95,15,0))</f>
        <v>0</v>
      </c>
      <c r="W59" s="77">
        <f>IF(ISERROR(VLOOKUP($T$59,'TAR FIN'!$A$1:$O$95,15,0)),0,VLOOKUP($T$59,'TAR FIN'!$A$1:$O$95,15,0))*(1-0.09)</f>
        <v>48.020700000000005</v>
      </c>
      <c r="X59" s="77">
        <f>IF(ISERROR(VLOOKUP($U$59,'TAR FIN'!$A$1:$O$95,15,0)),0,VLOOKUP($U$59,'TAR FIN'!$A$1:$O$95,15,0))</f>
        <v>0</v>
      </c>
      <c r="Y59" s="77"/>
      <c r="Z59" s="77">
        <f ca="1">('TUSD BE'!$AM$7+'TUSD BF'!$AM$7+'TUSD CVA'!$AM$7)*1*(1-0.06)</f>
        <v>62.380688814196077</v>
      </c>
      <c r="AA59" s="77"/>
      <c r="AB59" s="77">
        <f>(SUBSIDIO!$J$59*SUBSIDIO!$V$59)*(0.09)/(1-0.09)</f>
        <v>0</v>
      </c>
      <c r="AC59" s="77">
        <f>((SUBSIDIO!$L$59*SUBSIDIO!$W$59)+(SUBSIDIO!$N$59*SUBSIDIO!$X$59))*(0.09)/(1-0.09)</f>
        <v>43640.652798000003</v>
      </c>
      <c r="AD59" s="77">
        <f>(SUBSIDIO!$J$59*SUBSIDIO!$Y$59)*(0.06)/(1-0.06)</f>
        <v>0</v>
      </c>
      <c r="AE59" s="77">
        <f ca="1">((SUBSIDIO!$L$59*SUBSIDIO!$Z$59)+(SUBSIDIO!$N$59*SUBSIDIO!$AA$59))*(0.06)/(1-0.06)</f>
        <v>36587.70741812003</v>
      </c>
      <c r="AF59" s="4" t="s">
        <v>842</v>
      </c>
    </row>
    <row r="60" spans="1:32" ht="11.25" customHeight="1" x14ac:dyDescent="0.25">
      <c r="A60" s="4" t="s">
        <v>21</v>
      </c>
      <c r="B60" s="4" t="s">
        <v>43</v>
      </c>
      <c r="C60" s="4" t="s">
        <v>44</v>
      </c>
      <c r="D60" s="4" t="s">
        <v>61</v>
      </c>
      <c r="E60" s="4" t="s">
        <v>53</v>
      </c>
      <c r="F60" s="4" t="s">
        <v>25</v>
      </c>
      <c r="G60" s="4" t="s">
        <v>25</v>
      </c>
      <c r="H60" s="4" t="s">
        <v>25</v>
      </c>
      <c r="I60" s="5">
        <v>44440</v>
      </c>
      <c r="J60" s="6">
        <v>0</v>
      </c>
      <c r="K60" s="77">
        <v>0</v>
      </c>
      <c r="L60" s="6">
        <v>8943.06</v>
      </c>
      <c r="M60" s="77">
        <v>8943.06</v>
      </c>
      <c r="N60" s="6">
        <v>0</v>
      </c>
      <c r="O60" s="77">
        <v>0</v>
      </c>
      <c r="P60" s="6">
        <v>2</v>
      </c>
      <c r="Q60" s="4" t="s">
        <v>60</v>
      </c>
      <c r="R60" s="4">
        <v>0</v>
      </c>
      <c r="S60" s="4">
        <v>0</v>
      </c>
      <c r="T60" s="4">
        <v>25</v>
      </c>
      <c r="U60" s="4">
        <v>0</v>
      </c>
      <c r="V60" s="77">
        <f>IF(ISERROR(VLOOKUP($S$60,'TAR FIN'!$A$1:$O$95,15,0)),0,VLOOKUP($S$60,'TAR FIN'!$A$1:$O$95,15,0))</f>
        <v>0</v>
      </c>
      <c r="W60" s="77">
        <f>IF(ISERROR(VLOOKUP($T$60,'TAR FIN'!$A$1:$O$95,15,0)),0,VLOOKUP($T$60,'TAR FIN'!$A$1:$O$95,15,0))*(1-0.09)</f>
        <v>48.020700000000005</v>
      </c>
      <c r="X60" s="77">
        <f>IF(ISERROR(VLOOKUP($U$60,'TAR FIN'!$A$1:$O$95,15,0)),0,VLOOKUP($U$60,'TAR FIN'!$A$1:$O$95,15,0))</f>
        <v>0</v>
      </c>
      <c r="Y60" s="77"/>
      <c r="Z60" s="77">
        <f ca="1">('TUSD BE'!$AM$7+'TUSD BF'!$AM$7+'TUSD CVA'!$AM$7)*1*(1-0.06)</f>
        <v>62.380688814196077</v>
      </c>
      <c r="AA60" s="77"/>
      <c r="AB60" s="77">
        <f>(SUBSIDIO!$J$60*SUBSIDIO!$V$60)*(0.09)/(1-0.09)</f>
        <v>0</v>
      </c>
      <c r="AC60" s="77">
        <f>((SUBSIDIO!$L$60*SUBSIDIO!$W$60)+(SUBSIDIO!$N$60*SUBSIDIO!$X$60))*(0.09)/(1-0.09)</f>
        <v>42473.274857999997</v>
      </c>
      <c r="AD60" s="77">
        <f>(SUBSIDIO!$J$60*SUBSIDIO!$Y$60)*(0.06)/(1-0.06)</f>
        <v>0</v>
      </c>
      <c r="AE60" s="77">
        <f ca="1">((SUBSIDIO!$L$60*SUBSIDIO!$Z$60)+(SUBSIDIO!$N$60*SUBSIDIO!$AA$60))*(0.06)/(1-0.06)</f>
        <v>35608.994228086231</v>
      </c>
      <c r="AF60" s="4" t="s">
        <v>842</v>
      </c>
    </row>
    <row r="61" spans="1:32" ht="11.25" customHeight="1" x14ac:dyDescent="0.25">
      <c r="A61" s="4" t="s">
        <v>59</v>
      </c>
      <c r="B61" s="4" t="s">
        <v>43</v>
      </c>
      <c r="C61" s="4" t="s">
        <v>44</v>
      </c>
      <c r="D61" s="4" t="s">
        <v>61</v>
      </c>
      <c r="E61" s="4" t="s">
        <v>53</v>
      </c>
      <c r="F61" s="4" t="s">
        <v>25</v>
      </c>
      <c r="G61" s="4" t="s">
        <v>25</v>
      </c>
      <c r="H61" s="4" t="s">
        <v>25</v>
      </c>
      <c r="I61" s="5">
        <v>44470</v>
      </c>
      <c r="J61" s="6">
        <v>0</v>
      </c>
      <c r="K61" s="77">
        <v>0</v>
      </c>
      <c r="L61" s="6">
        <v>8943.06</v>
      </c>
      <c r="M61" s="77">
        <v>8943.06</v>
      </c>
      <c r="N61" s="6">
        <v>0</v>
      </c>
      <c r="O61" s="77">
        <v>0</v>
      </c>
      <c r="P61" s="6">
        <v>2</v>
      </c>
      <c r="Q61" s="4" t="s">
        <v>60</v>
      </c>
      <c r="R61" s="4">
        <v>0</v>
      </c>
      <c r="S61" s="4">
        <v>0</v>
      </c>
      <c r="T61" s="4">
        <v>25</v>
      </c>
      <c r="U61" s="4">
        <v>0</v>
      </c>
      <c r="V61" s="77">
        <f>IF(ISERROR(VLOOKUP($S$61,'TAR FIN'!$A$1:$O$95,15,0)),0,VLOOKUP($S$61,'TAR FIN'!$A$1:$O$95,15,0))</f>
        <v>0</v>
      </c>
      <c r="W61" s="77">
        <f>IF(ISERROR(VLOOKUP($T$61,'TAR FIN'!$A$1:$O$95,15,0)),0,VLOOKUP($T$61,'TAR FIN'!$A$1:$O$95,15,0))*(1-0.09)</f>
        <v>48.020700000000005</v>
      </c>
      <c r="X61" s="77">
        <f>IF(ISERROR(VLOOKUP($U$61,'TAR FIN'!$A$1:$O$95,15,0)),0,VLOOKUP($U$61,'TAR FIN'!$A$1:$O$95,15,0))</f>
        <v>0</v>
      </c>
      <c r="Y61" s="77"/>
      <c r="Z61" s="77">
        <f ca="1">('TUSD BE'!$AM$7+'TUSD BF'!$AM$7+'TUSD CVA'!$AM$7)*1*(1-0.06)</f>
        <v>62.380688814196077</v>
      </c>
      <c r="AA61" s="77"/>
      <c r="AB61" s="77">
        <f>(SUBSIDIO!$J$61*SUBSIDIO!$V$61)*(0.09)/(1-0.09)</f>
        <v>0</v>
      </c>
      <c r="AC61" s="77">
        <f>((SUBSIDIO!$L$61*SUBSIDIO!$W$61)+(SUBSIDIO!$N$61*SUBSIDIO!$X$61))*(0.09)/(1-0.09)</f>
        <v>42473.274857999997</v>
      </c>
      <c r="AD61" s="77">
        <f>(SUBSIDIO!$J$61*SUBSIDIO!$Y$61)*(0.06)/(1-0.06)</f>
        <v>0</v>
      </c>
      <c r="AE61" s="77">
        <f ca="1">((SUBSIDIO!$L$61*SUBSIDIO!$Z$61)+(SUBSIDIO!$N$61*SUBSIDIO!$AA$61))*(0.06)/(1-0.06)</f>
        <v>35608.994228086231</v>
      </c>
      <c r="AF61" s="4" t="s">
        <v>842</v>
      </c>
    </row>
    <row r="62" spans="1:32" ht="11.25" customHeight="1" x14ac:dyDescent="0.25">
      <c r="A62" s="4" t="s">
        <v>21</v>
      </c>
      <c r="B62" s="4" t="s">
        <v>43</v>
      </c>
      <c r="C62" s="4" t="s">
        <v>44</v>
      </c>
      <c r="D62" s="4" t="s">
        <v>61</v>
      </c>
      <c r="E62" s="4" t="s">
        <v>53</v>
      </c>
      <c r="F62" s="4" t="s">
        <v>25</v>
      </c>
      <c r="G62" s="4" t="s">
        <v>25</v>
      </c>
      <c r="H62" s="4" t="s">
        <v>37</v>
      </c>
      <c r="I62" s="5">
        <v>44136</v>
      </c>
      <c r="J62" s="6">
        <v>15174</v>
      </c>
      <c r="K62" s="77">
        <v>15174</v>
      </c>
      <c r="L62" s="6">
        <v>0</v>
      </c>
      <c r="M62" s="77">
        <v>0</v>
      </c>
      <c r="N62" s="6">
        <v>0</v>
      </c>
      <c r="O62" s="77">
        <v>0</v>
      </c>
      <c r="P62" s="6">
        <v>0</v>
      </c>
      <c r="Q62" s="4" t="s">
        <v>60</v>
      </c>
      <c r="R62" s="4">
        <v>0</v>
      </c>
      <c r="S62" s="4">
        <v>1</v>
      </c>
      <c r="T62" s="4">
        <v>0</v>
      </c>
      <c r="U62" s="4">
        <v>0</v>
      </c>
      <c r="V62" s="77">
        <f>IF(ISERROR(VLOOKUP($S$62,'TAR FIN'!$A$1:$O$95,15,0)),0,VLOOKUP($S$62,'TAR FIN'!$A$1:$O$95,15,0))*(1-0.09)</f>
        <v>6.5884</v>
      </c>
      <c r="W62" s="77">
        <f>IF(ISERROR(VLOOKUP($T$62,'TAR FIN'!$A$1:$O$95,15,0)),0,VLOOKUP($T$62,'TAR FIN'!$A$1:$O$95,15,0))*(1-0.09)</f>
        <v>0</v>
      </c>
      <c r="X62" s="77">
        <f>IF(ISERROR(VLOOKUP($U$62,'TAR FIN'!$A$1:$O$95,15,0)),0,VLOOKUP($U$62,'TAR FIN'!$A$1:$O$95,15,0))</f>
        <v>0</v>
      </c>
      <c r="Y62" s="77">
        <f ca="1">('TUSD BE'!$AM$5+'TUSD BF'!$AM$5+'TUSD CVA'!$AM$5)*1*(1-0.06)</f>
        <v>7.4761516139513589</v>
      </c>
      <c r="Z62" s="77">
        <f ca="1">('TUSD BE'!$AM$7+'TUSD BF'!$AM$7+'TUSD CVA'!$AM$7)*1*(1-0.06)</f>
        <v>62.380688814196077</v>
      </c>
      <c r="AA62" s="77"/>
      <c r="AB62" s="77">
        <f>(SUBSIDIO!$J$62*SUBSIDIO!$V$62)*(0.09)/(1-0.09)</f>
        <v>9887.3783999999996</v>
      </c>
      <c r="AC62" s="77">
        <f>((SUBSIDIO!$L$62*SUBSIDIO!$W$62)+(SUBSIDIO!$N$62*SUBSIDIO!$X$62))*(0.09)/(1-0.09)</f>
        <v>0</v>
      </c>
      <c r="AD62" s="77">
        <f ca="1">(SUBSIDIO!$J$62*SUBSIDIO!$Y$62)*(0.06)/(1-0.06)</f>
        <v>7241.0505057509299</v>
      </c>
      <c r="AE62" s="77">
        <f ca="1">((SUBSIDIO!$L$62*SUBSIDIO!$Z$62)+(SUBSIDIO!$N$62*SUBSIDIO!$AA$62))*(0.06)/(1-0.06)</f>
        <v>0</v>
      </c>
      <c r="AF62" s="4" t="s">
        <v>842</v>
      </c>
    </row>
    <row r="63" spans="1:32" ht="11.25" customHeight="1" x14ac:dyDescent="0.25">
      <c r="A63" s="4" t="s">
        <v>21</v>
      </c>
      <c r="B63" s="4" t="s">
        <v>43</v>
      </c>
      <c r="C63" s="4" t="s">
        <v>44</v>
      </c>
      <c r="D63" s="4" t="s">
        <v>61</v>
      </c>
      <c r="E63" s="4" t="s">
        <v>53</v>
      </c>
      <c r="F63" s="4" t="s">
        <v>25</v>
      </c>
      <c r="G63" s="4" t="s">
        <v>25</v>
      </c>
      <c r="H63" s="4" t="s">
        <v>37</v>
      </c>
      <c r="I63" s="5">
        <v>44166</v>
      </c>
      <c r="J63" s="6">
        <v>15448</v>
      </c>
      <c r="K63" s="77">
        <v>15448</v>
      </c>
      <c r="L63" s="6">
        <v>0</v>
      </c>
      <c r="M63" s="77">
        <v>0</v>
      </c>
      <c r="N63" s="6">
        <v>0</v>
      </c>
      <c r="O63" s="77">
        <v>0</v>
      </c>
      <c r="P63" s="6">
        <v>0</v>
      </c>
      <c r="Q63" s="4" t="s">
        <v>60</v>
      </c>
      <c r="R63" s="4">
        <v>0</v>
      </c>
      <c r="S63" s="4">
        <v>1</v>
      </c>
      <c r="T63" s="4">
        <v>0</v>
      </c>
      <c r="U63" s="4">
        <v>0</v>
      </c>
      <c r="V63" s="77">
        <f>IF(ISERROR(VLOOKUP($S$63,'TAR FIN'!$A$1:$O$95,15,0)),0,VLOOKUP($S$63,'TAR FIN'!$A$1:$O$95,15,0))*(1-0.09)</f>
        <v>6.5884</v>
      </c>
      <c r="W63" s="77">
        <f>IF(ISERROR(VLOOKUP($T$63,'TAR FIN'!$A$1:$O$95,15,0)),0,VLOOKUP($T$63,'TAR FIN'!$A$1:$O$95,15,0))*(1-0.09)</f>
        <v>0</v>
      </c>
      <c r="X63" s="77">
        <f>IF(ISERROR(VLOOKUP($U$63,'TAR FIN'!$A$1:$O$95,15,0)),0,VLOOKUP($U$63,'TAR FIN'!$A$1:$O$95,15,0))</f>
        <v>0</v>
      </c>
      <c r="Y63" s="77">
        <f ca="1">('TUSD BE'!$AM$5+'TUSD BF'!$AM$5+'TUSD CVA'!$AM$5)*1*(1-0.06)</f>
        <v>7.4761516139513589</v>
      </c>
      <c r="Z63" s="77">
        <f ca="1">('TUSD BE'!$AM$7+'TUSD BF'!$AM$7+'TUSD CVA'!$AM$7)*1*(1-0.06)</f>
        <v>62.380688814196077</v>
      </c>
      <c r="AA63" s="77"/>
      <c r="AB63" s="77">
        <f>(SUBSIDIO!$J$63*SUBSIDIO!$V$63)*(0.09)/(1-0.09)</f>
        <v>10065.916799999999</v>
      </c>
      <c r="AC63" s="77">
        <f>((SUBSIDIO!$L$63*SUBSIDIO!$W$63)+(SUBSIDIO!$N$63*SUBSIDIO!$X$63))*(0.09)/(1-0.09)</f>
        <v>0</v>
      </c>
      <c r="AD63" s="77">
        <f ca="1">(SUBSIDIO!$J$63*SUBSIDIO!$Y$63)*(0.06)/(1-0.06)</f>
        <v>7371.8036254672725</v>
      </c>
      <c r="AE63" s="77">
        <f ca="1">((SUBSIDIO!$L$63*SUBSIDIO!$Z$63)+(SUBSIDIO!$N$63*SUBSIDIO!$AA$63))*(0.06)/(1-0.06)</f>
        <v>0</v>
      </c>
      <c r="AF63" s="4" t="s">
        <v>842</v>
      </c>
    </row>
    <row r="64" spans="1:32" ht="11.25" customHeight="1" x14ac:dyDescent="0.25">
      <c r="A64" s="4" t="s">
        <v>21</v>
      </c>
      <c r="B64" s="4" t="s">
        <v>43</v>
      </c>
      <c r="C64" s="4" t="s">
        <v>44</v>
      </c>
      <c r="D64" s="4" t="s">
        <v>61</v>
      </c>
      <c r="E64" s="4" t="s">
        <v>53</v>
      </c>
      <c r="F64" s="4" t="s">
        <v>25</v>
      </c>
      <c r="G64" s="4" t="s">
        <v>25</v>
      </c>
      <c r="H64" s="4" t="s">
        <v>37</v>
      </c>
      <c r="I64" s="5">
        <v>44197</v>
      </c>
      <c r="J64" s="6">
        <v>14784</v>
      </c>
      <c r="K64" s="77">
        <v>14784</v>
      </c>
      <c r="L64" s="6">
        <v>0</v>
      </c>
      <c r="M64" s="77">
        <v>0</v>
      </c>
      <c r="N64" s="6">
        <v>0</v>
      </c>
      <c r="O64" s="77">
        <v>0</v>
      </c>
      <c r="P64" s="6">
        <v>0</v>
      </c>
      <c r="Q64" s="4" t="s">
        <v>60</v>
      </c>
      <c r="R64" s="4">
        <v>0</v>
      </c>
      <c r="S64" s="4">
        <v>1</v>
      </c>
      <c r="T64" s="4">
        <v>0</v>
      </c>
      <c r="U64" s="4">
        <v>0</v>
      </c>
      <c r="V64" s="77">
        <f>IF(ISERROR(VLOOKUP($S$64,'TAR FIN'!$A$1:$O$95,15,0)),0,VLOOKUP($S$64,'TAR FIN'!$A$1:$O$95,15,0))*(1-0.09)</f>
        <v>6.5884</v>
      </c>
      <c r="W64" s="77">
        <f>IF(ISERROR(VLOOKUP($T$64,'TAR FIN'!$A$1:$O$95,15,0)),0,VLOOKUP($T$64,'TAR FIN'!$A$1:$O$95,15,0))*(1-0.09)</f>
        <v>0</v>
      </c>
      <c r="X64" s="77">
        <f>IF(ISERROR(VLOOKUP($U$64,'TAR FIN'!$A$1:$O$95,15,0)),0,VLOOKUP($U$64,'TAR FIN'!$A$1:$O$95,15,0))</f>
        <v>0</v>
      </c>
      <c r="Y64" s="77">
        <f ca="1">('TUSD BE'!$AM$5+'TUSD BF'!$AM$5+'TUSD CVA'!$AM$5)*1*(1-0.06)</f>
        <v>7.4761516139513589</v>
      </c>
      <c r="Z64" s="77">
        <f ca="1">('TUSD BE'!$AM$7+'TUSD BF'!$AM$7+'TUSD CVA'!$AM$7)*1*(1-0.06)</f>
        <v>62.380688814196077</v>
      </c>
      <c r="AA64" s="77"/>
      <c r="AB64" s="77">
        <f>(SUBSIDIO!$J$64*SUBSIDIO!$V$64)*(0.09)/(1-0.09)</f>
        <v>9633.2543999999998</v>
      </c>
      <c r="AC64" s="77">
        <f>((SUBSIDIO!$L$64*SUBSIDIO!$W$64)+(SUBSIDIO!$N$64*SUBSIDIO!$X$64))*(0.09)/(1-0.09)</f>
        <v>0</v>
      </c>
      <c r="AD64" s="77">
        <f ca="1">(SUBSIDIO!$J$64*SUBSIDIO!$Y$64)*(0.06)/(1-0.06)</f>
        <v>7054.9420506802262</v>
      </c>
      <c r="AE64" s="77">
        <f ca="1">((SUBSIDIO!$L$64*SUBSIDIO!$Z$64)+(SUBSIDIO!$N$64*SUBSIDIO!$AA$64))*(0.06)/(1-0.06)</f>
        <v>0</v>
      </c>
      <c r="AF64" s="4" t="s">
        <v>842</v>
      </c>
    </row>
    <row r="65" spans="1:32" ht="11.25" customHeight="1" x14ac:dyDescent="0.25">
      <c r="A65" s="4" t="s">
        <v>21</v>
      </c>
      <c r="B65" s="4" t="s">
        <v>43</v>
      </c>
      <c r="C65" s="4" t="s">
        <v>44</v>
      </c>
      <c r="D65" s="4" t="s">
        <v>61</v>
      </c>
      <c r="E65" s="4" t="s">
        <v>53</v>
      </c>
      <c r="F65" s="4" t="s">
        <v>25</v>
      </c>
      <c r="G65" s="4" t="s">
        <v>25</v>
      </c>
      <c r="H65" s="4" t="s">
        <v>37</v>
      </c>
      <c r="I65" s="5">
        <v>44228</v>
      </c>
      <c r="J65" s="6">
        <v>14784</v>
      </c>
      <c r="K65" s="77">
        <v>14784</v>
      </c>
      <c r="L65" s="6">
        <v>0</v>
      </c>
      <c r="M65" s="77">
        <v>0</v>
      </c>
      <c r="N65" s="6">
        <v>0</v>
      </c>
      <c r="O65" s="77">
        <v>0</v>
      </c>
      <c r="P65" s="6">
        <v>0</v>
      </c>
      <c r="Q65" s="4" t="s">
        <v>60</v>
      </c>
      <c r="R65" s="4">
        <v>0</v>
      </c>
      <c r="S65" s="4">
        <v>1</v>
      </c>
      <c r="T65" s="4">
        <v>0</v>
      </c>
      <c r="U65" s="4">
        <v>0</v>
      </c>
      <c r="V65" s="77">
        <f>IF(ISERROR(VLOOKUP($S$65,'TAR FIN'!$A$1:$O$95,15,0)),0,VLOOKUP($S$65,'TAR FIN'!$A$1:$O$95,15,0))*(1-0.09)</f>
        <v>6.5884</v>
      </c>
      <c r="W65" s="77">
        <f>IF(ISERROR(VLOOKUP($T$65,'TAR FIN'!$A$1:$O$95,15,0)),0,VLOOKUP($T$65,'TAR FIN'!$A$1:$O$95,15,0))*(1-0.09)</f>
        <v>0</v>
      </c>
      <c r="X65" s="77">
        <f>IF(ISERROR(VLOOKUP($U$65,'TAR FIN'!$A$1:$O$95,15,0)),0,VLOOKUP($U$65,'TAR FIN'!$A$1:$O$95,15,0))</f>
        <v>0</v>
      </c>
      <c r="Y65" s="77">
        <f ca="1">('TUSD BE'!$AM$5+'TUSD BF'!$AM$5+'TUSD CVA'!$AM$5)*1*(1-0.06)</f>
        <v>7.4761516139513589</v>
      </c>
      <c r="Z65" s="77">
        <f ca="1">('TUSD BE'!$AM$7+'TUSD BF'!$AM$7+'TUSD CVA'!$AM$7)*1*(1-0.06)</f>
        <v>62.380688814196077</v>
      </c>
      <c r="AA65" s="77"/>
      <c r="AB65" s="77">
        <f>(SUBSIDIO!$J$65*SUBSIDIO!$V$65)*(0.09)/(1-0.09)</f>
        <v>9633.2543999999998</v>
      </c>
      <c r="AC65" s="77">
        <f>((SUBSIDIO!$L$65*SUBSIDIO!$W$65)+(SUBSIDIO!$N$65*SUBSIDIO!$X$65))*(0.09)/(1-0.09)</f>
        <v>0</v>
      </c>
      <c r="AD65" s="77">
        <f ca="1">(SUBSIDIO!$J$65*SUBSIDIO!$Y$65)*(0.06)/(1-0.06)</f>
        <v>7054.9420506802262</v>
      </c>
      <c r="AE65" s="77">
        <f ca="1">((SUBSIDIO!$L$65*SUBSIDIO!$Z$65)+(SUBSIDIO!$N$65*SUBSIDIO!$AA$65))*(0.06)/(1-0.06)</f>
        <v>0</v>
      </c>
      <c r="AF65" s="4" t="s">
        <v>842</v>
      </c>
    </row>
    <row r="66" spans="1:32" ht="11.25" customHeight="1" x14ac:dyDescent="0.25">
      <c r="A66" s="4" t="s">
        <v>21</v>
      </c>
      <c r="B66" s="4" t="s">
        <v>43</v>
      </c>
      <c r="C66" s="4" t="s">
        <v>44</v>
      </c>
      <c r="D66" s="4" t="s">
        <v>61</v>
      </c>
      <c r="E66" s="4" t="s">
        <v>53</v>
      </c>
      <c r="F66" s="4" t="s">
        <v>25</v>
      </c>
      <c r="G66" s="4" t="s">
        <v>25</v>
      </c>
      <c r="H66" s="4" t="s">
        <v>37</v>
      </c>
      <c r="I66" s="5">
        <v>44256</v>
      </c>
      <c r="J66" s="6">
        <v>14784</v>
      </c>
      <c r="K66" s="77">
        <v>14784</v>
      </c>
      <c r="L66" s="6">
        <v>0</v>
      </c>
      <c r="M66" s="77">
        <v>0</v>
      </c>
      <c r="N66" s="6">
        <v>0</v>
      </c>
      <c r="O66" s="77">
        <v>0</v>
      </c>
      <c r="P66" s="6">
        <v>0</v>
      </c>
      <c r="Q66" s="4" t="s">
        <v>60</v>
      </c>
      <c r="R66" s="4">
        <v>0</v>
      </c>
      <c r="S66" s="4">
        <v>1</v>
      </c>
      <c r="T66" s="4">
        <v>0</v>
      </c>
      <c r="U66" s="4">
        <v>0</v>
      </c>
      <c r="V66" s="77">
        <f>IF(ISERROR(VLOOKUP($S$66,'TAR FIN'!$A$1:$O$95,15,0)),0,VLOOKUP($S$66,'TAR FIN'!$A$1:$O$95,15,0))*(1-0.09)</f>
        <v>6.5884</v>
      </c>
      <c r="W66" s="77">
        <f>IF(ISERROR(VLOOKUP($T$66,'TAR FIN'!$A$1:$O$95,15,0)),0,VLOOKUP($T$66,'TAR FIN'!$A$1:$O$95,15,0))*(1-0.09)</f>
        <v>0</v>
      </c>
      <c r="X66" s="77">
        <f>IF(ISERROR(VLOOKUP($U$66,'TAR FIN'!$A$1:$O$95,15,0)),0,VLOOKUP($U$66,'TAR FIN'!$A$1:$O$95,15,0))</f>
        <v>0</v>
      </c>
      <c r="Y66" s="77">
        <f ca="1">('TUSD BE'!$AM$5+'TUSD BF'!$AM$5+'TUSD CVA'!$AM$5)*1*(1-0.06)</f>
        <v>7.4761516139513589</v>
      </c>
      <c r="Z66" s="77">
        <f ca="1">('TUSD BE'!$AM$7+'TUSD BF'!$AM$7+'TUSD CVA'!$AM$7)*1*(1-0.06)</f>
        <v>62.380688814196077</v>
      </c>
      <c r="AA66" s="77"/>
      <c r="AB66" s="77">
        <f>(SUBSIDIO!$J$66*SUBSIDIO!$V$66)*(0.09)/(1-0.09)</f>
        <v>9633.2543999999998</v>
      </c>
      <c r="AC66" s="77">
        <f>((SUBSIDIO!$L$66*SUBSIDIO!$W$66)+(SUBSIDIO!$N$66*SUBSIDIO!$X$66))*(0.09)/(1-0.09)</f>
        <v>0</v>
      </c>
      <c r="AD66" s="77">
        <f ca="1">(SUBSIDIO!$J$66*SUBSIDIO!$Y$66)*(0.06)/(1-0.06)</f>
        <v>7054.9420506802262</v>
      </c>
      <c r="AE66" s="77">
        <f ca="1">((SUBSIDIO!$L$66*SUBSIDIO!$Z$66)+(SUBSIDIO!$N$66*SUBSIDIO!$AA$66))*(0.06)/(1-0.06)</f>
        <v>0</v>
      </c>
      <c r="AF66" s="4" t="s">
        <v>842</v>
      </c>
    </row>
    <row r="67" spans="1:32" ht="11.25" customHeight="1" x14ac:dyDescent="0.25">
      <c r="A67" s="4" t="s">
        <v>21</v>
      </c>
      <c r="B67" s="4" t="s">
        <v>43</v>
      </c>
      <c r="C67" s="4" t="s">
        <v>44</v>
      </c>
      <c r="D67" s="4" t="s">
        <v>61</v>
      </c>
      <c r="E67" s="4" t="s">
        <v>53</v>
      </c>
      <c r="F67" s="4" t="s">
        <v>25</v>
      </c>
      <c r="G67" s="4" t="s">
        <v>25</v>
      </c>
      <c r="H67" s="4" t="s">
        <v>37</v>
      </c>
      <c r="I67" s="5">
        <v>44287</v>
      </c>
      <c r="J67" s="6">
        <v>14784</v>
      </c>
      <c r="K67" s="77">
        <v>14784</v>
      </c>
      <c r="L67" s="6">
        <v>0</v>
      </c>
      <c r="M67" s="77">
        <v>0</v>
      </c>
      <c r="N67" s="6">
        <v>0</v>
      </c>
      <c r="O67" s="77">
        <v>0</v>
      </c>
      <c r="P67" s="6">
        <v>0</v>
      </c>
      <c r="Q67" s="4" t="s">
        <v>60</v>
      </c>
      <c r="R67" s="4">
        <v>0</v>
      </c>
      <c r="S67" s="4">
        <v>1</v>
      </c>
      <c r="T67" s="4">
        <v>0</v>
      </c>
      <c r="U67" s="4">
        <v>0</v>
      </c>
      <c r="V67" s="77">
        <f>IF(ISERROR(VLOOKUP($S$67,'TAR FIN'!$A$1:$O$95,15,0)),0,VLOOKUP($S$67,'TAR FIN'!$A$1:$O$95,15,0))*(1-0.09)</f>
        <v>6.5884</v>
      </c>
      <c r="W67" s="77">
        <f>IF(ISERROR(VLOOKUP($T$67,'TAR FIN'!$A$1:$O$95,15,0)),0,VLOOKUP($T$67,'TAR FIN'!$A$1:$O$95,15,0))*(1-0.09)</f>
        <v>0</v>
      </c>
      <c r="X67" s="77">
        <f>IF(ISERROR(VLOOKUP($U$67,'TAR FIN'!$A$1:$O$95,15,0)),0,VLOOKUP($U$67,'TAR FIN'!$A$1:$O$95,15,0))</f>
        <v>0</v>
      </c>
      <c r="Y67" s="77">
        <f ca="1">('TUSD BE'!$AM$5+'TUSD BF'!$AM$5+'TUSD CVA'!$AM$5)*1*(1-0.06)</f>
        <v>7.4761516139513589</v>
      </c>
      <c r="Z67" s="77">
        <f ca="1">('TUSD BE'!$AM$7+'TUSD BF'!$AM$7+'TUSD CVA'!$AM$7)*1*(1-0.06)</f>
        <v>62.380688814196077</v>
      </c>
      <c r="AA67" s="77"/>
      <c r="AB67" s="77">
        <f>(SUBSIDIO!$J$67*SUBSIDIO!$V$67)*(0.09)/(1-0.09)</f>
        <v>9633.2543999999998</v>
      </c>
      <c r="AC67" s="77">
        <f>((SUBSIDIO!$L$67*SUBSIDIO!$W$67)+(SUBSIDIO!$N$67*SUBSIDIO!$X$67))*(0.09)/(1-0.09)</f>
        <v>0</v>
      </c>
      <c r="AD67" s="77">
        <f ca="1">(SUBSIDIO!$J$67*SUBSIDIO!$Y$67)*(0.06)/(1-0.06)</f>
        <v>7054.9420506802262</v>
      </c>
      <c r="AE67" s="77">
        <f ca="1">((SUBSIDIO!$L$67*SUBSIDIO!$Z$67)+(SUBSIDIO!$N$67*SUBSIDIO!$AA$67))*(0.06)/(1-0.06)</f>
        <v>0</v>
      </c>
      <c r="AF67" s="4" t="s">
        <v>842</v>
      </c>
    </row>
    <row r="68" spans="1:32" ht="11.25" customHeight="1" x14ac:dyDescent="0.25">
      <c r="A68" s="4" t="s">
        <v>21</v>
      </c>
      <c r="B68" s="4" t="s">
        <v>43</v>
      </c>
      <c r="C68" s="4" t="s">
        <v>44</v>
      </c>
      <c r="D68" s="4" t="s">
        <v>61</v>
      </c>
      <c r="E68" s="4" t="s">
        <v>53</v>
      </c>
      <c r="F68" s="4" t="s">
        <v>25</v>
      </c>
      <c r="G68" s="4" t="s">
        <v>25</v>
      </c>
      <c r="H68" s="4" t="s">
        <v>37</v>
      </c>
      <c r="I68" s="5">
        <v>44317</v>
      </c>
      <c r="J68" s="6">
        <v>14784</v>
      </c>
      <c r="K68" s="77">
        <v>14784</v>
      </c>
      <c r="L68" s="6">
        <v>0</v>
      </c>
      <c r="M68" s="77">
        <v>0</v>
      </c>
      <c r="N68" s="6">
        <v>0</v>
      </c>
      <c r="O68" s="77">
        <v>0</v>
      </c>
      <c r="P68" s="6">
        <v>0</v>
      </c>
      <c r="Q68" s="4" t="s">
        <v>60</v>
      </c>
      <c r="R68" s="4">
        <v>0</v>
      </c>
      <c r="S68" s="4">
        <v>1</v>
      </c>
      <c r="T68" s="4">
        <v>0</v>
      </c>
      <c r="U68" s="4">
        <v>0</v>
      </c>
      <c r="V68" s="77">
        <f>IF(ISERROR(VLOOKUP($S$68,'TAR FIN'!$A$1:$O$95,15,0)),0,VLOOKUP($S$68,'TAR FIN'!$A$1:$O$95,15,0))*(1-0.09)</f>
        <v>6.5884</v>
      </c>
      <c r="W68" s="77">
        <f>IF(ISERROR(VLOOKUP($T$68,'TAR FIN'!$A$1:$O$95,15,0)),0,VLOOKUP($T$68,'TAR FIN'!$A$1:$O$95,15,0))*(1-0.09)</f>
        <v>0</v>
      </c>
      <c r="X68" s="77">
        <f>IF(ISERROR(VLOOKUP($U$68,'TAR FIN'!$A$1:$O$95,15,0)),0,VLOOKUP($U$68,'TAR FIN'!$A$1:$O$95,15,0))</f>
        <v>0</v>
      </c>
      <c r="Y68" s="77">
        <f ca="1">('TUSD BE'!$AM$5+'TUSD BF'!$AM$5+'TUSD CVA'!$AM$5)*1*(1-0.06)</f>
        <v>7.4761516139513589</v>
      </c>
      <c r="Z68" s="77">
        <f ca="1">('TUSD BE'!$AM$7+'TUSD BF'!$AM$7+'TUSD CVA'!$AM$7)*1*(1-0.06)</f>
        <v>62.380688814196077</v>
      </c>
      <c r="AA68" s="77"/>
      <c r="AB68" s="77">
        <f>(SUBSIDIO!$J$68*SUBSIDIO!$V$68)*(0.09)/(1-0.09)</f>
        <v>9633.2543999999998</v>
      </c>
      <c r="AC68" s="77">
        <f>((SUBSIDIO!$L$68*SUBSIDIO!$W$68)+(SUBSIDIO!$N$68*SUBSIDIO!$X$68))*(0.09)/(1-0.09)</f>
        <v>0</v>
      </c>
      <c r="AD68" s="77">
        <f ca="1">(SUBSIDIO!$J$68*SUBSIDIO!$Y$68)*(0.06)/(1-0.06)</f>
        <v>7054.9420506802262</v>
      </c>
      <c r="AE68" s="77">
        <f ca="1">((SUBSIDIO!$L$68*SUBSIDIO!$Z$68)+(SUBSIDIO!$N$68*SUBSIDIO!$AA$68))*(0.06)/(1-0.06)</f>
        <v>0</v>
      </c>
      <c r="AF68" s="4" t="s">
        <v>842</v>
      </c>
    </row>
    <row r="69" spans="1:32" ht="11.25" customHeight="1" x14ac:dyDescent="0.25">
      <c r="A69" s="4" t="s">
        <v>21</v>
      </c>
      <c r="B69" s="4" t="s">
        <v>43</v>
      </c>
      <c r="C69" s="4" t="s">
        <v>44</v>
      </c>
      <c r="D69" s="4" t="s">
        <v>61</v>
      </c>
      <c r="E69" s="4" t="s">
        <v>53</v>
      </c>
      <c r="F69" s="4" t="s">
        <v>25</v>
      </c>
      <c r="G69" s="4" t="s">
        <v>25</v>
      </c>
      <c r="H69" s="4" t="s">
        <v>37</v>
      </c>
      <c r="I69" s="5">
        <v>44348</v>
      </c>
      <c r="J69" s="6">
        <v>14784</v>
      </c>
      <c r="K69" s="77">
        <v>14784</v>
      </c>
      <c r="L69" s="6">
        <v>0</v>
      </c>
      <c r="M69" s="77">
        <v>0</v>
      </c>
      <c r="N69" s="6">
        <v>0</v>
      </c>
      <c r="O69" s="77">
        <v>0</v>
      </c>
      <c r="P69" s="6">
        <v>0</v>
      </c>
      <c r="Q69" s="4" t="s">
        <v>60</v>
      </c>
      <c r="R69" s="4">
        <v>0</v>
      </c>
      <c r="S69" s="4">
        <v>1</v>
      </c>
      <c r="T69" s="4">
        <v>0</v>
      </c>
      <c r="U69" s="4">
        <v>0</v>
      </c>
      <c r="V69" s="77">
        <f>IF(ISERROR(VLOOKUP($S$69,'TAR FIN'!$A$1:$O$95,15,0)),0,VLOOKUP($S$69,'TAR FIN'!$A$1:$O$95,15,0))*(1-0.09)</f>
        <v>6.5884</v>
      </c>
      <c r="W69" s="77">
        <f>IF(ISERROR(VLOOKUP($T$69,'TAR FIN'!$A$1:$O$95,15,0)),0,VLOOKUP($T$69,'TAR FIN'!$A$1:$O$95,15,0))*(1-0.09)</f>
        <v>0</v>
      </c>
      <c r="X69" s="77">
        <f>IF(ISERROR(VLOOKUP($U$69,'TAR FIN'!$A$1:$O$95,15,0)),0,VLOOKUP($U$69,'TAR FIN'!$A$1:$O$95,15,0))</f>
        <v>0</v>
      </c>
      <c r="Y69" s="77">
        <f ca="1">('TUSD BE'!$AM$5+'TUSD BF'!$AM$5+'TUSD CVA'!$AM$5)*1*(1-0.06)</f>
        <v>7.4761516139513589</v>
      </c>
      <c r="Z69" s="77">
        <f ca="1">('TUSD BE'!$AM$7+'TUSD BF'!$AM$7+'TUSD CVA'!$AM$7)*1*(1-0.06)</f>
        <v>62.380688814196077</v>
      </c>
      <c r="AA69" s="77"/>
      <c r="AB69" s="77">
        <f>(SUBSIDIO!$J$69*SUBSIDIO!$V$69)*(0.09)/(1-0.09)</f>
        <v>9633.2543999999998</v>
      </c>
      <c r="AC69" s="77">
        <f>((SUBSIDIO!$L$69*SUBSIDIO!$W$69)+(SUBSIDIO!$N$69*SUBSIDIO!$X$69))*(0.09)/(1-0.09)</f>
        <v>0</v>
      </c>
      <c r="AD69" s="77">
        <f ca="1">(SUBSIDIO!$J$69*SUBSIDIO!$Y$69)*(0.06)/(1-0.06)</f>
        <v>7054.9420506802262</v>
      </c>
      <c r="AE69" s="77">
        <f ca="1">((SUBSIDIO!$L$69*SUBSIDIO!$Z$69)+(SUBSIDIO!$N$69*SUBSIDIO!$AA$69))*(0.06)/(1-0.06)</f>
        <v>0</v>
      </c>
      <c r="AF69" s="4" t="s">
        <v>842</v>
      </c>
    </row>
    <row r="70" spans="1:32" ht="11.25" customHeight="1" x14ac:dyDescent="0.25">
      <c r="A70" s="4" t="s">
        <v>21</v>
      </c>
      <c r="B70" s="4" t="s">
        <v>43</v>
      </c>
      <c r="C70" s="4" t="s">
        <v>44</v>
      </c>
      <c r="D70" s="4" t="s">
        <v>61</v>
      </c>
      <c r="E70" s="4" t="s">
        <v>53</v>
      </c>
      <c r="F70" s="4" t="s">
        <v>25</v>
      </c>
      <c r="G70" s="4" t="s">
        <v>25</v>
      </c>
      <c r="H70" s="4" t="s">
        <v>37</v>
      </c>
      <c r="I70" s="5">
        <v>44378</v>
      </c>
      <c r="J70" s="6">
        <v>14784</v>
      </c>
      <c r="K70" s="77">
        <v>14784</v>
      </c>
      <c r="L70" s="6">
        <v>0</v>
      </c>
      <c r="M70" s="77">
        <v>0</v>
      </c>
      <c r="N70" s="6">
        <v>0</v>
      </c>
      <c r="O70" s="77">
        <v>0</v>
      </c>
      <c r="P70" s="6">
        <v>0</v>
      </c>
      <c r="Q70" s="4" t="s">
        <v>60</v>
      </c>
      <c r="R70" s="4">
        <v>0</v>
      </c>
      <c r="S70" s="4">
        <v>1</v>
      </c>
      <c r="T70" s="4">
        <v>0</v>
      </c>
      <c r="U70" s="4">
        <v>0</v>
      </c>
      <c r="V70" s="77">
        <f>IF(ISERROR(VLOOKUP($S$70,'TAR FIN'!$A$1:$O$95,15,0)),0,VLOOKUP($S$70,'TAR FIN'!$A$1:$O$95,15,0))*(1-0.09)</f>
        <v>6.5884</v>
      </c>
      <c r="W70" s="77">
        <f>IF(ISERROR(VLOOKUP($T$70,'TAR FIN'!$A$1:$O$95,15,0)),0,VLOOKUP($T$70,'TAR FIN'!$A$1:$O$95,15,0))*(1-0.09)</f>
        <v>0</v>
      </c>
      <c r="X70" s="77">
        <f>IF(ISERROR(VLOOKUP($U$70,'TAR FIN'!$A$1:$O$95,15,0)),0,VLOOKUP($U$70,'TAR FIN'!$A$1:$O$95,15,0))</f>
        <v>0</v>
      </c>
      <c r="Y70" s="77">
        <f ca="1">('TUSD BE'!$AM$5+'TUSD BF'!$AM$5+'TUSD CVA'!$AM$5)*1*(1-0.06)</f>
        <v>7.4761516139513589</v>
      </c>
      <c r="Z70" s="77">
        <f ca="1">('TUSD BE'!$AM$7+'TUSD BF'!$AM$7+'TUSD CVA'!$AM$7)*1*(1-0.06)</f>
        <v>62.380688814196077</v>
      </c>
      <c r="AA70" s="77"/>
      <c r="AB70" s="77">
        <f>(SUBSIDIO!$J$70*SUBSIDIO!$V$70)*(0.09)/(1-0.09)</f>
        <v>9633.2543999999998</v>
      </c>
      <c r="AC70" s="77">
        <f>((SUBSIDIO!$L$70*SUBSIDIO!$W$70)+(SUBSIDIO!$N$70*SUBSIDIO!$X$70))*(0.09)/(1-0.09)</f>
        <v>0</v>
      </c>
      <c r="AD70" s="77">
        <f ca="1">(SUBSIDIO!$J$70*SUBSIDIO!$Y$70)*(0.06)/(1-0.06)</f>
        <v>7054.9420506802262</v>
      </c>
      <c r="AE70" s="77">
        <f ca="1">((SUBSIDIO!$L$70*SUBSIDIO!$Z$70)+(SUBSIDIO!$N$70*SUBSIDIO!$AA$70))*(0.06)/(1-0.06)</f>
        <v>0</v>
      </c>
      <c r="AF70" s="4" t="s">
        <v>842</v>
      </c>
    </row>
    <row r="71" spans="1:32" ht="11.25" customHeight="1" x14ac:dyDescent="0.25">
      <c r="A71" s="4" t="s">
        <v>21</v>
      </c>
      <c r="B71" s="4" t="s">
        <v>43</v>
      </c>
      <c r="C71" s="4" t="s">
        <v>44</v>
      </c>
      <c r="D71" s="4" t="s">
        <v>61</v>
      </c>
      <c r="E71" s="4" t="s">
        <v>53</v>
      </c>
      <c r="F71" s="4" t="s">
        <v>25</v>
      </c>
      <c r="G71" s="4" t="s">
        <v>25</v>
      </c>
      <c r="H71" s="4" t="s">
        <v>37</v>
      </c>
      <c r="I71" s="5">
        <v>44409</v>
      </c>
      <c r="J71" s="6">
        <v>14784</v>
      </c>
      <c r="K71" s="77">
        <v>14784</v>
      </c>
      <c r="L71" s="6">
        <v>0</v>
      </c>
      <c r="M71" s="77">
        <v>0</v>
      </c>
      <c r="N71" s="6">
        <v>0</v>
      </c>
      <c r="O71" s="77">
        <v>0</v>
      </c>
      <c r="P71" s="6">
        <v>0</v>
      </c>
      <c r="Q71" s="4" t="s">
        <v>60</v>
      </c>
      <c r="R71" s="4">
        <v>0</v>
      </c>
      <c r="S71" s="4">
        <v>1</v>
      </c>
      <c r="T71" s="4">
        <v>0</v>
      </c>
      <c r="U71" s="4">
        <v>0</v>
      </c>
      <c r="V71" s="77">
        <f>IF(ISERROR(VLOOKUP($S$71,'TAR FIN'!$A$1:$O$95,15,0)),0,VLOOKUP($S$71,'TAR FIN'!$A$1:$O$95,15,0))*(1-0.09)</f>
        <v>6.5884</v>
      </c>
      <c r="W71" s="77">
        <f>IF(ISERROR(VLOOKUP($T$71,'TAR FIN'!$A$1:$O$95,15,0)),0,VLOOKUP($T$71,'TAR FIN'!$A$1:$O$95,15,0))*(1-0.09)</f>
        <v>0</v>
      </c>
      <c r="X71" s="77">
        <f>IF(ISERROR(VLOOKUP($U$71,'TAR FIN'!$A$1:$O$95,15,0)),0,VLOOKUP($U$71,'TAR FIN'!$A$1:$O$95,15,0))</f>
        <v>0</v>
      </c>
      <c r="Y71" s="77">
        <f ca="1">('TUSD BE'!$AM$5+'TUSD BF'!$AM$5+'TUSD CVA'!$AM$5)*1*(1-0.06)</f>
        <v>7.4761516139513589</v>
      </c>
      <c r="Z71" s="77">
        <f ca="1">('TUSD BE'!$AM$7+'TUSD BF'!$AM$7+'TUSD CVA'!$AM$7)*1*(1-0.06)</f>
        <v>62.380688814196077</v>
      </c>
      <c r="AA71" s="77"/>
      <c r="AB71" s="77">
        <f>(SUBSIDIO!$J$71*SUBSIDIO!$V$71)*(0.09)/(1-0.09)</f>
        <v>9633.2543999999998</v>
      </c>
      <c r="AC71" s="77">
        <f>((SUBSIDIO!$L$71*SUBSIDIO!$W$71)+(SUBSIDIO!$N$71*SUBSIDIO!$X$71))*(0.09)/(1-0.09)</f>
        <v>0</v>
      </c>
      <c r="AD71" s="77">
        <f ca="1">(SUBSIDIO!$J$71*SUBSIDIO!$Y$71)*(0.06)/(1-0.06)</f>
        <v>7054.9420506802262</v>
      </c>
      <c r="AE71" s="77">
        <f ca="1">((SUBSIDIO!$L$71*SUBSIDIO!$Z$71)+(SUBSIDIO!$N$71*SUBSIDIO!$AA$71))*(0.06)/(1-0.06)</f>
        <v>0</v>
      </c>
      <c r="AF71" s="4" t="s">
        <v>842</v>
      </c>
    </row>
    <row r="72" spans="1:32" ht="11.25" customHeight="1" x14ac:dyDescent="0.25">
      <c r="A72" s="4" t="s">
        <v>21</v>
      </c>
      <c r="B72" s="4" t="s">
        <v>43</v>
      </c>
      <c r="C72" s="4" t="s">
        <v>44</v>
      </c>
      <c r="D72" s="4" t="s">
        <v>61</v>
      </c>
      <c r="E72" s="4" t="s">
        <v>53</v>
      </c>
      <c r="F72" s="4" t="s">
        <v>25</v>
      </c>
      <c r="G72" s="4" t="s">
        <v>25</v>
      </c>
      <c r="H72" s="4" t="s">
        <v>37</v>
      </c>
      <c r="I72" s="5">
        <v>44440</v>
      </c>
      <c r="J72" s="6">
        <v>14784</v>
      </c>
      <c r="K72" s="77">
        <v>14784</v>
      </c>
      <c r="L72" s="6">
        <v>0</v>
      </c>
      <c r="M72" s="77">
        <v>0</v>
      </c>
      <c r="N72" s="6">
        <v>0</v>
      </c>
      <c r="O72" s="77">
        <v>0</v>
      </c>
      <c r="P72" s="6">
        <v>0</v>
      </c>
      <c r="Q72" s="4" t="s">
        <v>60</v>
      </c>
      <c r="R72" s="4">
        <v>0</v>
      </c>
      <c r="S72" s="4">
        <v>1</v>
      </c>
      <c r="T72" s="4">
        <v>0</v>
      </c>
      <c r="U72" s="4">
        <v>0</v>
      </c>
      <c r="V72" s="77">
        <f>IF(ISERROR(VLOOKUP($S$72,'TAR FIN'!$A$1:$O$95,15,0)),0,VLOOKUP($S$72,'TAR FIN'!$A$1:$O$95,15,0))*(1-0.09)</f>
        <v>6.5884</v>
      </c>
      <c r="W72" s="77">
        <f>IF(ISERROR(VLOOKUP($T$72,'TAR FIN'!$A$1:$O$95,15,0)),0,VLOOKUP($T$72,'TAR FIN'!$A$1:$O$95,15,0))*(1-0.09)</f>
        <v>0</v>
      </c>
      <c r="X72" s="77">
        <f>IF(ISERROR(VLOOKUP($U$72,'TAR FIN'!$A$1:$O$95,15,0)),0,VLOOKUP($U$72,'TAR FIN'!$A$1:$O$95,15,0))</f>
        <v>0</v>
      </c>
      <c r="Y72" s="77">
        <f ca="1">('TUSD BE'!$AM$5+'TUSD BF'!$AM$5+'TUSD CVA'!$AM$5)*1*(1-0.06)</f>
        <v>7.4761516139513589</v>
      </c>
      <c r="Z72" s="77">
        <f ca="1">('TUSD BE'!$AM$7+'TUSD BF'!$AM$7+'TUSD CVA'!$AM$7)*1*(1-0.06)</f>
        <v>62.380688814196077</v>
      </c>
      <c r="AA72" s="77"/>
      <c r="AB72" s="77">
        <f>(SUBSIDIO!$J$72*SUBSIDIO!$V$72)*(0.09)/(1-0.09)</f>
        <v>9633.2543999999998</v>
      </c>
      <c r="AC72" s="77">
        <f>((SUBSIDIO!$L$72*SUBSIDIO!$W$72)+(SUBSIDIO!$N$72*SUBSIDIO!$X$72))*(0.09)/(1-0.09)</f>
        <v>0</v>
      </c>
      <c r="AD72" s="77">
        <f ca="1">(SUBSIDIO!$J$72*SUBSIDIO!$Y$72)*(0.06)/(1-0.06)</f>
        <v>7054.9420506802262</v>
      </c>
      <c r="AE72" s="77">
        <f ca="1">((SUBSIDIO!$L$72*SUBSIDIO!$Z$72)+(SUBSIDIO!$N$72*SUBSIDIO!$AA$72))*(0.06)/(1-0.06)</f>
        <v>0</v>
      </c>
      <c r="AF72" s="4" t="s">
        <v>842</v>
      </c>
    </row>
    <row r="73" spans="1:32" ht="11.25" customHeight="1" x14ac:dyDescent="0.25">
      <c r="A73" s="4" t="s">
        <v>59</v>
      </c>
      <c r="B73" s="4" t="s">
        <v>43</v>
      </c>
      <c r="C73" s="4" t="s">
        <v>44</v>
      </c>
      <c r="D73" s="4" t="s">
        <v>61</v>
      </c>
      <c r="E73" s="4" t="s">
        <v>53</v>
      </c>
      <c r="F73" s="4" t="s">
        <v>25</v>
      </c>
      <c r="G73" s="4" t="s">
        <v>25</v>
      </c>
      <c r="H73" s="4" t="s">
        <v>37</v>
      </c>
      <c r="I73" s="5">
        <v>44470</v>
      </c>
      <c r="J73" s="6">
        <v>14784</v>
      </c>
      <c r="K73" s="77">
        <v>14784</v>
      </c>
      <c r="L73" s="6">
        <v>0</v>
      </c>
      <c r="M73" s="77">
        <v>0</v>
      </c>
      <c r="N73" s="6">
        <v>0</v>
      </c>
      <c r="O73" s="77">
        <v>0</v>
      </c>
      <c r="P73" s="6">
        <v>0</v>
      </c>
      <c r="Q73" s="4" t="s">
        <v>60</v>
      </c>
      <c r="R73" s="4">
        <v>0</v>
      </c>
      <c r="S73" s="4">
        <v>1</v>
      </c>
      <c r="T73" s="4">
        <v>0</v>
      </c>
      <c r="U73" s="4">
        <v>0</v>
      </c>
      <c r="V73" s="77">
        <f>IF(ISERROR(VLOOKUP($S$73,'TAR FIN'!$A$1:$O$95,15,0)),0,VLOOKUP($S$73,'TAR FIN'!$A$1:$O$95,15,0))*(1-0.09)</f>
        <v>6.5884</v>
      </c>
      <c r="W73" s="77">
        <f>IF(ISERROR(VLOOKUP($T$73,'TAR FIN'!$A$1:$O$95,15,0)),0,VLOOKUP($T$73,'TAR FIN'!$A$1:$O$95,15,0))*(1-0.09)</f>
        <v>0</v>
      </c>
      <c r="X73" s="77">
        <f>IF(ISERROR(VLOOKUP($U$73,'TAR FIN'!$A$1:$O$95,15,0)),0,VLOOKUP($U$73,'TAR FIN'!$A$1:$O$95,15,0))</f>
        <v>0</v>
      </c>
      <c r="Y73" s="77">
        <f ca="1">('TUSD BE'!$AM$5+'TUSD BF'!$AM$5+'TUSD CVA'!$AM$5)*1*(1-0.06)</f>
        <v>7.4761516139513589</v>
      </c>
      <c r="Z73" s="77">
        <f ca="1">('TUSD BE'!$AM$7+'TUSD BF'!$AM$7+'TUSD CVA'!$AM$7)*1*(1-0.06)</f>
        <v>62.380688814196077</v>
      </c>
      <c r="AA73" s="77"/>
      <c r="AB73" s="77">
        <f>(SUBSIDIO!$J$73*SUBSIDIO!$V$73)*(0.09)/(1-0.09)</f>
        <v>9633.2543999999998</v>
      </c>
      <c r="AC73" s="77">
        <f>((SUBSIDIO!$L$73*SUBSIDIO!$W$73)+(SUBSIDIO!$N$73*SUBSIDIO!$X$73))*(0.09)/(1-0.09)</f>
        <v>0</v>
      </c>
      <c r="AD73" s="77">
        <f ca="1">(SUBSIDIO!$J$73*SUBSIDIO!$Y$73)*(0.06)/(1-0.06)</f>
        <v>7054.9420506802262</v>
      </c>
      <c r="AE73" s="77">
        <f ca="1">((SUBSIDIO!$L$73*SUBSIDIO!$Z$73)+(SUBSIDIO!$N$73*SUBSIDIO!$AA$73))*(0.06)/(1-0.06)</f>
        <v>0</v>
      </c>
      <c r="AF73" s="4" t="s">
        <v>842</v>
      </c>
    </row>
    <row r="74" spans="1:32" ht="11.25" customHeight="1" x14ac:dyDescent="0.25">
      <c r="A74" s="4" t="s">
        <v>21</v>
      </c>
      <c r="B74" s="4" t="s">
        <v>43</v>
      </c>
      <c r="C74" s="4" t="s">
        <v>63</v>
      </c>
      <c r="D74" s="4" t="s">
        <v>25</v>
      </c>
      <c r="E74" s="4" t="s">
        <v>25</v>
      </c>
      <c r="F74" s="4" t="s">
        <v>25</v>
      </c>
      <c r="G74" s="4" t="s">
        <v>64</v>
      </c>
      <c r="H74" s="4" t="s">
        <v>25</v>
      </c>
      <c r="I74" s="5">
        <v>44136</v>
      </c>
      <c r="J74" s="6">
        <v>157500</v>
      </c>
      <c r="K74" s="6">
        <v>157500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4" t="s">
        <v>65</v>
      </c>
      <c r="R74" s="4">
        <v>27250</v>
      </c>
      <c r="S74" s="4">
        <v>27</v>
      </c>
      <c r="T74" s="4">
        <v>0</v>
      </c>
      <c r="U74" s="4">
        <v>0</v>
      </c>
      <c r="V74" s="6">
        <f>IF(ISERROR(VLOOKUP($S$74,'TAR FIN'!$A$1:$O$95,15,0)),0,VLOOKUP($S$74,'TAR FIN'!$A$1:$O$95,15,0))</f>
        <v>7.58</v>
      </c>
      <c r="W74" s="6">
        <f>IF(ISERROR(VLOOKUP($T$74,'TAR FIN'!$A$1:$O$95,15,0)),0,VLOOKUP($T$74,'TAR FIN'!$A$1:$O$95,15,0))</f>
        <v>0</v>
      </c>
      <c r="X74" s="6">
        <f>IF(ISERROR(VLOOKUP($U$74,'TAR FIN'!$A$1:$O$95,15,0)),0,VLOOKUP($U$74,'TAR FIN'!$A$1:$O$95,15,0))</f>
        <v>0</v>
      </c>
      <c r="Y74" s="6">
        <f ca="1">('TUSD BE'!$AM$9+'TUSD BF'!$AM$9+'TUSD CVA'!$AM$9)*1</f>
        <v>9.1574451247299731</v>
      </c>
      <c r="Z74" s="6"/>
      <c r="AA74" s="6"/>
      <c r="AB74" s="6">
        <f t="shared" ref="AB74:AB129" si="6">(J74-K74)*V74</f>
        <v>0</v>
      </c>
      <c r="AC74" s="6">
        <f t="shared" ref="AC74:AC129" si="7">(L74-M74)*W74+(N74-O74)*X74</f>
        <v>0</v>
      </c>
      <c r="AD74" s="6">
        <f t="shared" ref="AD74:AD129" ca="1" si="8">(J74-K74)*Y74</f>
        <v>0</v>
      </c>
      <c r="AE74" s="6">
        <f t="shared" ref="AE74:AE129" si="9">(L74-M74)*Z74+(N74-O74)*AA74</f>
        <v>0</v>
      </c>
      <c r="AF74" s="4" t="s">
        <v>843</v>
      </c>
    </row>
    <row r="75" spans="1:32" ht="11.25" customHeight="1" x14ac:dyDescent="0.25">
      <c r="A75" s="4" t="s">
        <v>21</v>
      </c>
      <c r="B75" s="4" t="s">
        <v>43</v>
      </c>
      <c r="C75" s="4" t="s">
        <v>63</v>
      </c>
      <c r="D75" s="4" t="s">
        <v>25</v>
      </c>
      <c r="E75" s="4" t="s">
        <v>25</v>
      </c>
      <c r="F75" s="4" t="s">
        <v>25</v>
      </c>
      <c r="G75" s="4" t="s">
        <v>66</v>
      </c>
      <c r="H75" s="4" t="s">
        <v>25</v>
      </c>
      <c r="I75" s="5">
        <v>44136</v>
      </c>
      <c r="J75" s="6">
        <v>60000</v>
      </c>
      <c r="K75" s="6">
        <v>60000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4" t="s">
        <v>65</v>
      </c>
      <c r="R75" s="4">
        <v>29272</v>
      </c>
      <c r="S75" s="4">
        <v>27</v>
      </c>
      <c r="T75" s="4">
        <v>0</v>
      </c>
      <c r="U75" s="4">
        <v>0</v>
      </c>
      <c r="V75" s="6">
        <f>IF(ISERROR(VLOOKUP($S$75,'TAR FIN'!$A$1:$O$95,15,0)),0,VLOOKUP($S$75,'TAR FIN'!$A$1:$O$95,15,0))</f>
        <v>7.58</v>
      </c>
      <c r="W75" s="6">
        <f>IF(ISERROR(VLOOKUP($T$75,'TAR FIN'!$A$1:$O$95,15,0)),0,VLOOKUP($T$75,'TAR FIN'!$A$1:$O$95,15,0))</f>
        <v>0</v>
      </c>
      <c r="X75" s="6">
        <f>IF(ISERROR(VLOOKUP($U$75,'TAR FIN'!$A$1:$O$95,15,0)),0,VLOOKUP($U$75,'TAR FIN'!$A$1:$O$95,15,0))</f>
        <v>0</v>
      </c>
      <c r="Y75" s="6">
        <f ca="1">('TUSD BE'!$AM$9+'TUSD BF'!$AM$9+'TUSD CVA'!$AM$9)*1</f>
        <v>9.1574451247299731</v>
      </c>
      <c r="Z75" s="6"/>
      <c r="AA75" s="6"/>
      <c r="AB75" s="6">
        <f t="shared" si="6"/>
        <v>0</v>
      </c>
      <c r="AC75" s="6">
        <f t="shared" si="7"/>
        <v>0</v>
      </c>
      <c r="AD75" s="6">
        <f t="shared" ca="1" si="8"/>
        <v>0</v>
      </c>
      <c r="AE75" s="6">
        <f t="shared" si="9"/>
        <v>0</v>
      </c>
      <c r="AF75" s="4" t="s">
        <v>843</v>
      </c>
    </row>
    <row r="76" spans="1:32" ht="11.25" customHeight="1" x14ac:dyDescent="0.25">
      <c r="A76" s="4" t="s">
        <v>21</v>
      </c>
      <c r="B76" s="4" t="s">
        <v>43</v>
      </c>
      <c r="C76" s="4" t="s">
        <v>63</v>
      </c>
      <c r="D76" s="4" t="s">
        <v>25</v>
      </c>
      <c r="E76" s="4" t="s">
        <v>25</v>
      </c>
      <c r="F76" s="4" t="s">
        <v>25</v>
      </c>
      <c r="G76" s="4" t="s">
        <v>67</v>
      </c>
      <c r="H76" s="4" t="s">
        <v>25</v>
      </c>
      <c r="I76" s="5">
        <v>44136</v>
      </c>
      <c r="J76" s="6">
        <v>60000</v>
      </c>
      <c r="K76" s="6">
        <v>60000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4" t="s">
        <v>65</v>
      </c>
      <c r="R76" s="4">
        <v>29276</v>
      </c>
      <c r="S76" s="4">
        <v>27</v>
      </c>
      <c r="T76" s="4">
        <v>0</v>
      </c>
      <c r="U76" s="4">
        <v>0</v>
      </c>
      <c r="V76" s="6">
        <f>IF(ISERROR(VLOOKUP($S$76,'TAR FIN'!$A$1:$O$95,15,0)),0,VLOOKUP($S$76,'TAR FIN'!$A$1:$O$95,15,0))</f>
        <v>7.58</v>
      </c>
      <c r="W76" s="6">
        <f>IF(ISERROR(VLOOKUP($T$76,'TAR FIN'!$A$1:$O$95,15,0)),0,VLOOKUP($T$76,'TAR FIN'!$A$1:$O$95,15,0))</f>
        <v>0</v>
      </c>
      <c r="X76" s="6">
        <f>IF(ISERROR(VLOOKUP($U$76,'TAR FIN'!$A$1:$O$95,15,0)),0,VLOOKUP($U$76,'TAR FIN'!$A$1:$O$95,15,0))</f>
        <v>0</v>
      </c>
      <c r="Y76" s="6">
        <f ca="1">('TUSD BE'!$AM$9+'TUSD BF'!$AM$9+'TUSD CVA'!$AM$9)*1</f>
        <v>9.1574451247299731</v>
      </c>
      <c r="Z76" s="6"/>
      <c r="AA76" s="6"/>
      <c r="AB76" s="6">
        <f t="shared" si="6"/>
        <v>0</v>
      </c>
      <c r="AC76" s="6">
        <f t="shared" si="7"/>
        <v>0</v>
      </c>
      <c r="AD76" s="6">
        <f t="shared" ca="1" si="8"/>
        <v>0</v>
      </c>
      <c r="AE76" s="6">
        <f t="shared" si="9"/>
        <v>0</v>
      </c>
      <c r="AF76" s="4" t="s">
        <v>843</v>
      </c>
    </row>
    <row r="77" spans="1:32" ht="11.25" customHeight="1" x14ac:dyDescent="0.25">
      <c r="A77" s="4" t="s">
        <v>21</v>
      </c>
      <c r="B77" s="4" t="s">
        <v>43</v>
      </c>
      <c r="C77" s="4" t="s">
        <v>63</v>
      </c>
      <c r="D77" s="4" t="s">
        <v>25</v>
      </c>
      <c r="E77" s="4" t="s">
        <v>25</v>
      </c>
      <c r="F77" s="4" t="s">
        <v>25</v>
      </c>
      <c r="G77" s="4" t="s">
        <v>68</v>
      </c>
      <c r="H77" s="4" t="s">
        <v>25</v>
      </c>
      <c r="I77" s="5">
        <v>44136</v>
      </c>
      <c r="J77" s="6">
        <v>60000</v>
      </c>
      <c r="K77" s="6">
        <v>60000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4" t="s">
        <v>65</v>
      </c>
      <c r="R77" s="4">
        <v>29361</v>
      </c>
      <c r="S77" s="4">
        <v>27</v>
      </c>
      <c r="T77" s="4">
        <v>0</v>
      </c>
      <c r="U77" s="4">
        <v>0</v>
      </c>
      <c r="V77" s="6">
        <f>IF(ISERROR(VLOOKUP($S$77,'TAR FIN'!$A$1:$O$95,15,0)),0,VLOOKUP($S$77,'TAR FIN'!$A$1:$O$95,15,0))</f>
        <v>7.58</v>
      </c>
      <c r="W77" s="6">
        <f>IF(ISERROR(VLOOKUP($T$77,'TAR FIN'!$A$1:$O$95,15,0)),0,VLOOKUP($T$77,'TAR FIN'!$A$1:$O$95,15,0))</f>
        <v>0</v>
      </c>
      <c r="X77" s="6">
        <f>IF(ISERROR(VLOOKUP($U$77,'TAR FIN'!$A$1:$O$95,15,0)),0,VLOOKUP($U$77,'TAR FIN'!$A$1:$O$95,15,0))</f>
        <v>0</v>
      </c>
      <c r="Y77" s="6">
        <f ca="1">('TUSD BE'!$AM$9+'TUSD BF'!$AM$9+'TUSD CVA'!$AM$9)*1</f>
        <v>9.1574451247299731</v>
      </c>
      <c r="Z77" s="6"/>
      <c r="AA77" s="6"/>
      <c r="AB77" s="6">
        <f t="shared" si="6"/>
        <v>0</v>
      </c>
      <c r="AC77" s="6">
        <f t="shared" si="7"/>
        <v>0</v>
      </c>
      <c r="AD77" s="6">
        <f t="shared" ca="1" si="8"/>
        <v>0</v>
      </c>
      <c r="AE77" s="6">
        <f t="shared" si="9"/>
        <v>0</v>
      </c>
      <c r="AF77" s="4" t="s">
        <v>843</v>
      </c>
    </row>
    <row r="78" spans="1:32" ht="11.25" customHeight="1" x14ac:dyDescent="0.25">
      <c r="A78" s="4" t="s">
        <v>21</v>
      </c>
      <c r="B78" s="4" t="s">
        <v>43</v>
      </c>
      <c r="C78" s="4" t="s">
        <v>63</v>
      </c>
      <c r="D78" s="4" t="s">
        <v>25</v>
      </c>
      <c r="E78" s="4" t="s">
        <v>25</v>
      </c>
      <c r="F78" s="4" t="s">
        <v>25</v>
      </c>
      <c r="G78" s="4" t="s">
        <v>69</v>
      </c>
      <c r="H78" s="4" t="s">
        <v>25</v>
      </c>
      <c r="I78" s="5">
        <v>44136</v>
      </c>
      <c r="J78" s="6">
        <v>63000</v>
      </c>
      <c r="K78" s="6">
        <v>63000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4" t="s">
        <v>65</v>
      </c>
      <c r="R78" s="4">
        <v>29432</v>
      </c>
      <c r="S78" s="4">
        <v>27</v>
      </c>
      <c r="T78" s="4">
        <v>0</v>
      </c>
      <c r="U78" s="4">
        <v>0</v>
      </c>
      <c r="V78" s="6">
        <f>IF(ISERROR(VLOOKUP($S$78,'TAR FIN'!$A$1:$O$95,15,0)),0,VLOOKUP($S$78,'TAR FIN'!$A$1:$O$95,15,0))</f>
        <v>7.58</v>
      </c>
      <c r="W78" s="6">
        <f>IF(ISERROR(VLOOKUP($T$78,'TAR FIN'!$A$1:$O$95,15,0)),0,VLOOKUP($T$78,'TAR FIN'!$A$1:$O$95,15,0))</f>
        <v>0</v>
      </c>
      <c r="X78" s="6">
        <f>IF(ISERROR(VLOOKUP($U$78,'TAR FIN'!$A$1:$O$95,15,0)),0,VLOOKUP($U$78,'TAR FIN'!$A$1:$O$95,15,0))</f>
        <v>0</v>
      </c>
      <c r="Y78" s="6">
        <f ca="1">('TUSD BE'!$AM$9+'TUSD BF'!$AM$9+'TUSD CVA'!$AM$9)*1</f>
        <v>9.1574451247299731</v>
      </c>
      <c r="Z78" s="6"/>
      <c r="AA78" s="6"/>
      <c r="AB78" s="6">
        <f t="shared" si="6"/>
        <v>0</v>
      </c>
      <c r="AC78" s="6">
        <f t="shared" si="7"/>
        <v>0</v>
      </c>
      <c r="AD78" s="6">
        <f t="shared" ca="1" si="8"/>
        <v>0</v>
      </c>
      <c r="AE78" s="6">
        <f t="shared" si="9"/>
        <v>0</v>
      </c>
      <c r="AF78" s="4" t="s">
        <v>843</v>
      </c>
    </row>
    <row r="79" spans="1:32" ht="11.25" customHeight="1" x14ac:dyDescent="0.25">
      <c r="A79" s="4" t="s">
        <v>21</v>
      </c>
      <c r="B79" s="4" t="s">
        <v>43</v>
      </c>
      <c r="C79" s="4" t="s">
        <v>63</v>
      </c>
      <c r="D79" s="4" t="s">
        <v>25</v>
      </c>
      <c r="E79" s="4" t="s">
        <v>25</v>
      </c>
      <c r="F79" s="4" t="s">
        <v>25</v>
      </c>
      <c r="G79" s="4" t="s">
        <v>64</v>
      </c>
      <c r="H79" s="4" t="s">
        <v>25</v>
      </c>
      <c r="I79" s="5">
        <v>44166</v>
      </c>
      <c r="J79" s="6">
        <v>157500</v>
      </c>
      <c r="K79" s="6">
        <v>157500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4" t="s">
        <v>65</v>
      </c>
      <c r="R79" s="4">
        <v>27250</v>
      </c>
      <c r="S79" s="4">
        <v>27</v>
      </c>
      <c r="T79" s="4">
        <v>0</v>
      </c>
      <c r="U79" s="4">
        <v>0</v>
      </c>
      <c r="V79" s="6">
        <f>IF(ISERROR(VLOOKUP($S$79,'TAR FIN'!$A$1:$O$95,15,0)),0,VLOOKUP($S$79,'TAR FIN'!$A$1:$O$95,15,0))</f>
        <v>7.58</v>
      </c>
      <c r="W79" s="6">
        <f>IF(ISERROR(VLOOKUP($T$79,'TAR FIN'!$A$1:$O$95,15,0)),0,VLOOKUP($T$79,'TAR FIN'!$A$1:$O$95,15,0))</f>
        <v>0</v>
      </c>
      <c r="X79" s="6">
        <f>IF(ISERROR(VLOOKUP($U$79,'TAR FIN'!$A$1:$O$95,15,0)),0,VLOOKUP($U$79,'TAR FIN'!$A$1:$O$95,15,0))</f>
        <v>0</v>
      </c>
      <c r="Y79" s="6">
        <f ca="1">('TUSD BE'!$AM$9+'TUSD BF'!$AM$9+'TUSD CVA'!$AM$9)*1</f>
        <v>9.1574451247299731</v>
      </c>
      <c r="Z79" s="6"/>
      <c r="AA79" s="6"/>
      <c r="AB79" s="6">
        <f t="shared" si="6"/>
        <v>0</v>
      </c>
      <c r="AC79" s="6">
        <f t="shared" si="7"/>
        <v>0</v>
      </c>
      <c r="AD79" s="6">
        <f t="shared" ca="1" si="8"/>
        <v>0</v>
      </c>
      <c r="AE79" s="6">
        <f t="shared" si="9"/>
        <v>0</v>
      </c>
      <c r="AF79" s="4" t="s">
        <v>843</v>
      </c>
    </row>
    <row r="80" spans="1:32" ht="11.25" customHeight="1" x14ac:dyDescent="0.25">
      <c r="A80" s="4" t="s">
        <v>21</v>
      </c>
      <c r="B80" s="4" t="s">
        <v>43</v>
      </c>
      <c r="C80" s="4" t="s">
        <v>63</v>
      </c>
      <c r="D80" s="4" t="s">
        <v>25</v>
      </c>
      <c r="E80" s="4" t="s">
        <v>25</v>
      </c>
      <c r="F80" s="4" t="s">
        <v>25</v>
      </c>
      <c r="G80" s="4" t="s">
        <v>66</v>
      </c>
      <c r="H80" s="4" t="s">
        <v>25</v>
      </c>
      <c r="I80" s="5">
        <v>44166</v>
      </c>
      <c r="J80" s="6">
        <v>60000</v>
      </c>
      <c r="K80" s="6">
        <v>60000</v>
      </c>
      <c r="L80" s="6">
        <v>0</v>
      </c>
      <c r="M80" s="6">
        <v>0</v>
      </c>
      <c r="N80" s="6">
        <v>0</v>
      </c>
      <c r="O80" s="6">
        <v>0</v>
      </c>
      <c r="P80" s="6">
        <v>0</v>
      </c>
      <c r="Q80" s="4" t="s">
        <v>65</v>
      </c>
      <c r="R80" s="4">
        <v>29272</v>
      </c>
      <c r="S80" s="4">
        <v>27</v>
      </c>
      <c r="T80" s="4">
        <v>0</v>
      </c>
      <c r="U80" s="4">
        <v>0</v>
      </c>
      <c r="V80" s="6">
        <f>IF(ISERROR(VLOOKUP($S$80,'TAR FIN'!$A$1:$O$95,15,0)),0,VLOOKUP($S$80,'TAR FIN'!$A$1:$O$95,15,0))</f>
        <v>7.58</v>
      </c>
      <c r="W80" s="6">
        <f>IF(ISERROR(VLOOKUP($T$80,'TAR FIN'!$A$1:$O$95,15,0)),0,VLOOKUP($T$80,'TAR FIN'!$A$1:$O$95,15,0))</f>
        <v>0</v>
      </c>
      <c r="X80" s="6">
        <f>IF(ISERROR(VLOOKUP($U$80,'TAR FIN'!$A$1:$O$95,15,0)),0,VLOOKUP($U$80,'TAR FIN'!$A$1:$O$95,15,0))</f>
        <v>0</v>
      </c>
      <c r="Y80" s="6">
        <f ca="1">('TUSD BE'!$AM$9+'TUSD BF'!$AM$9+'TUSD CVA'!$AM$9)*1</f>
        <v>9.1574451247299731</v>
      </c>
      <c r="Z80" s="6"/>
      <c r="AA80" s="6"/>
      <c r="AB80" s="6">
        <f t="shared" si="6"/>
        <v>0</v>
      </c>
      <c r="AC80" s="6">
        <f t="shared" si="7"/>
        <v>0</v>
      </c>
      <c r="AD80" s="6">
        <f t="shared" ca="1" si="8"/>
        <v>0</v>
      </c>
      <c r="AE80" s="6">
        <f t="shared" si="9"/>
        <v>0</v>
      </c>
      <c r="AF80" s="4" t="s">
        <v>843</v>
      </c>
    </row>
    <row r="81" spans="1:32" ht="11.25" customHeight="1" x14ac:dyDescent="0.25">
      <c r="A81" s="4" t="s">
        <v>21</v>
      </c>
      <c r="B81" s="4" t="s">
        <v>43</v>
      </c>
      <c r="C81" s="4" t="s">
        <v>63</v>
      </c>
      <c r="D81" s="4" t="s">
        <v>25</v>
      </c>
      <c r="E81" s="4" t="s">
        <v>25</v>
      </c>
      <c r="F81" s="4" t="s">
        <v>25</v>
      </c>
      <c r="G81" s="4" t="s">
        <v>67</v>
      </c>
      <c r="H81" s="4" t="s">
        <v>25</v>
      </c>
      <c r="I81" s="5">
        <v>44166</v>
      </c>
      <c r="J81" s="6">
        <v>60000</v>
      </c>
      <c r="K81" s="6">
        <v>60000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4" t="s">
        <v>65</v>
      </c>
      <c r="R81" s="4">
        <v>29276</v>
      </c>
      <c r="S81" s="4">
        <v>27</v>
      </c>
      <c r="T81" s="4">
        <v>0</v>
      </c>
      <c r="U81" s="4">
        <v>0</v>
      </c>
      <c r="V81" s="6">
        <f>IF(ISERROR(VLOOKUP($S$81,'TAR FIN'!$A$1:$O$95,15,0)),0,VLOOKUP($S$81,'TAR FIN'!$A$1:$O$95,15,0))</f>
        <v>7.58</v>
      </c>
      <c r="W81" s="6">
        <f>IF(ISERROR(VLOOKUP($T$81,'TAR FIN'!$A$1:$O$95,15,0)),0,VLOOKUP($T$81,'TAR FIN'!$A$1:$O$95,15,0))</f>
        <v>0</v>
      </c>
      <c r="X81" s="6">
        <f>IF(ISERROR(VLOOKUP($U$81,'TAR FIN'!$A$1:$O$95,15,0)),0,VLOOKUP($U$81,'TAR FIN'!$A$1:$O$95,15,0))</f>
        <v>0</v>
      </c>
      <c r="Y81" s="6">
        <f ca="1">('TUSD BE'!$AM$9+'TUSD BF'!$AM$9+'TUSD CVA'!$AM$9)*1</f>
        <v>9.1574451247299731</v>
      </c>
      <c r="Z81" s="6"/>
      <c r="AA81" s="6"/>
      <c r="AB81" s="6">
        <f t="shared" si="6"/>
        <v>0</v>
      </c>
      <c r="AC81" s="6">
        <f t="shared" si="7"/>
        <v>0</v>
      </c>
      <c r="AD81" s="6">
        <f t="shared" ca="1" si="8"/>
        <v>0</v>
      </c>
      <c r="AE81" s="6">
        <f t="shared" si="9"/>
        <v>0</v>
      </c>
      <c r="AF81" s="4" t="s">
        <v>843</v>
      </c>
    </row>
    <row r="82" spans="1:32" ht="11.25" customHeight="1" x14ac:dyDescent="0.25">
      <c r="A82" s="4" t="s">
        <v>21</v>
      </c>
      <c r="B82" s="4" t="s">
        <v>43</v>
      </c>
      <c r="C82" s="4" t="s">
        <v>63</v>
      </c>
      <c r="D82" s="4" t="s">
        <v>25</v>
      </c>
      <c r="E82" s="4" t="s">
        <v>25</v>
      </c>
      <c r="F82" s="4" t="s">
        <v>25</v>
      </c>
      <c r="G82" s="4" t="s">
        <v>68</v>
      </c>
      <c r="H82" s="4" t="s">
        <v>25</v>
      </c>
      <c r="I82" s="5">
        <v>44166</v>
      </c>
      <c r="J82" s="6">
        <v>60000</v>
      </c>
      <c r="K82" s="6">
        <v>60000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4" t="s">
        <v>65</v>
      </c>
      <c r="R82" s="4">
        <v>29361</v>
      </c>
      <c r="S82" s="4">
        <v>27</v>
      </c>
      <c r="T82" s="4">
        <v>0</v>
      </c>
      <c r="U82" s="4">
        <v>0</v>
      </c>
      <c r="V82" s="6">
        <f>IF(ISERROR(VLOOKUP($S$82,'TAR FIN'!$A$1:$O$95,15,0)),0,VLOOKUP($S$82,'TAR FIN'!$A$1:$O$95,15,0))</f>
        <v>7.58</v>
      </c>
      <c r="W82" s="6">
        <f>IF(ISERROR(VLOOKUP($T$82,'TAR FIN'!$A$1:$O$95,15,0)),0,VLOOKUP($T$82,'TAR FIN'!$A$1:$O$95,15,0))</f>
        <v>0</v>
      </c>
      <c r="X82" s="6">
        <f>IF(ISERROR(VLOOKUP($U$82,'TAR FIN'!$A$1:$O$95,15,0)),0,VLOOKUP($U$82,'TAR FIN'!$A$1:$O$95,15,0))</f>
        <v>0</v>
      </c>
      <c r="Y82" s="6">
        <f ca="1">('TUSD BE'!$AM$9+'TUSD BF'!$AM$9+'TUSD CVA'!$AM$9)*1</f>
        <v>9.1574451247299731</v>
      </c>
      <c r="Z82" s="6"/>
      <c r="AA82" s="6"/>
      <c r="AB82" s="6">
        <f t="shared" si="6"/>
        <v>0</v>
      </c>
      <c r="AC82" s="6">
        <f t="shared" si="7"/>
        <v>0</v>
      </c>
      <c r="AD82" s="6">
        <f t="shared" ca="1" si="8"/>
        <v>0</v>
      </c>
      <c r="AE82" s="6">
        <f t="shared" si="9"/>
        <v>0</v>
      </c>
      <c r="AF82" s="4" t="s">
        <v>843</v>
      </c>
    </row>
    <row r="83" spans="1:32" ht="11.25" customHeight="1" x14ac:dyDescent="0.25">
      <c r="A83" s="4" t="s">
        <v>21</v>
      </c>
      <c r="B83" s="4" t="s">
        <v>43</v>
      </c>
      <c r="C83" s="4" t="s">
        <v>63</v>
      </c>
      <c r="D83" s="4" t="s">
        <v>25</v>
      </c>
      <c r="E83" s="4" t="s">
        <v>25</v>
      </c>
      <c r="F83" s="4" t="s">
        <v>25</v>
      </c>
      <c r="G83" s="4" t="s">
        <v>69</v>
      </c>
      <c r="H83" s="4" t="s">
        <v>25</v>
      </c>
      <c r="I83" s="5">
        <v>44166</v>
      </c>
      <c r="J83" s="6">
        <v>63000</v>
      </c>
      <c r="K83" s="6">
        <v>63000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4" t="s">
        <v>65</v>
      </c>
      <c r="R83" s="4">
        <v>29432</v>
      </c>
      <c r="S83" s="4">
        <v>27</v>
      </c>
      <c r="T83" s="4">
        <v>0</v>
      </c>
      <c r="U83" s="4">
        <v>0</v>
      </c>
      <c r="V83" s="6">
        <f>IF(ISERROR(VLOOKUP($S$83,'TAR FIN'!$A$1:$O$95,15,0)),0,VLOOKUP($S$83,'TAR FIN'!$A$1:$O$95,15,0))</f>
        <v>7.58</v>
      </c>
      <c r="W83" s="6">
        <f>IF(ISERROR(VLOOKUP($T$83,'TAR FIN'!$A$1:$O$95,15,0)),0,VLOOKUP($T$83,'TAR FIN'!$A$1:$O$95,15,0))</f>
        <v>0</v>
      </c>
      <c r="X83" s="6">
        <f>IF(ISERROR(VLOOKUP($U$83,'TAR FIN'!$A$1:$O$95,15,0)),0,VLOOKUP($U$83,'TAR FIN'!$A$1:$O$95,15,0))</f>
        <v>0</v>
      </c>
      <c r="Y83" s="6">
        <f ca="1">('TUSD BE'!$AM$9+'TUSD BF'!$AM$9+'TUSD CVA'!$AM$9)*1</f>
        <v>9.1574451247299731</v>
      </c>
      <c r="Z83" s="6"/>
      <c r="AA83" s="6"/>
      <c r="AB83" s="6">
        <f t="shared" si="6"/>
        <v>0</v>
      </c>
      <c r="AC83" s="6">
        <f t="shared" si="7"/>
        <v>0</v>
      </c>
      <c r="AD83" s="6">
        <f t="shared" ca="1" si="8"/>
        <v>0</v>
      </c>
      <c r="AE83" s="6">
        <f t="shared" si="9"/>
        <v>0</v>
      </c>
      <c r="AF83" s="4" t="s">
        <v>843</v>
      </c>
    </row>
    <row r="84" spans="1:32" ht="11.25" customHeight="1" x14ac:dyDescent="0.25">
      <c r="A84" s="4" t="s">
        <v>21</v>
      </c>
      <c r="B84" s="4" t="s">
        <v>43</v>
      </c>
      <c r="C84" s="4" t="s">
        <v>63</v>
      </c>
      <c r="D84" s="4" t="s">
        <v>25</v>
      </c>
      <c r="E84" s="4" t="s">
        <v>25</v>
      </c>
      <c r="F84" s="4" t="s">
        <v>25</v>
      </c>
      <c r="G84" s="4" t="s">
        <v>64</v>
      </c>
      <c r="H84" s="4" t="s">
        <v>25</v>
      </c>
      <c r="I84" s="5">
        <v>44197</v>
      </c>
      <c r="J84" s="6">
        <v>157500</v>
      </c>
      <c r="K84" s="6">
        <v>157500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4" t="s">
        <v>65</v>
      </c>
      <c r="R84" s="4">
        <v>27250</v>
      </c>
      <c r="S84" s="4">
        <v>27</v>
      </c>
      <c r="T84" s="4">
        <v>0</v>
      </c>
      <c r="U84" s="4">
        <v>0</v>
      </c>
      <c r="V84" s="6">
        <f>IF(ISERROR(VLOOKUP($S$84,'TAR FIN'!$A$1:$O$95,15,0)),0,VLOOKUP($S$84,'TAR FIN'!$A$1:$O$95,15,0))</f>
        <v>7.58</v>
      </c>
      <c r="W84" s="6">
        <f>IF(ISERROR(VLOOKUP($T$84,'TAR FIN'!$A$1:$O$95,15,0)),0,VLOOKUP($T$84,'TAR FIN'!$A$1:$O$95,15,0))</f>
        <v>0</v>
      </c>
      <c r="X84" s="6">
        <f>IF(ISERROR(VLOOKUP($U$84,'TAR FIN'!$A$1:$O$95,15,0)),0,VLOOKUP($U$84,'TAR FIN'!$A$1:$O$95,15,0))</f>
        <v>0</v>
      </c>
      <c r="Y84" s="6">
        <f ca="1">('TUSD BE'!$AM$9+'TUSD BF'!$AM$9+'TUSD CVA'!$AM$9)*1</f>
        <v>9.1574451247299731</v>
      </c>
      <c r="Z84" s="6"/>
      <c r="AA84" s="6"/>
      <c r="AB84" s="6">
        <f t="shared" si="6"/>
        <v>0</v>
      </c>
      <c r="AC84" s="6">
        <f t="shared" si="7"/>
        <v>0</v>
      </c>
      <c r="AD84" s="6">
        <f t="shared" ca="1" si="8"/>
        <v>0</v>
      </c>
      <c r="AE84" s="6">
        <f t="shared" si="9"/>
        <v>0</v>
      </c>
      <c r="AF84" s="4" t="s">
        <v>843</v>
      </c>
    </row>
    <row r="85" spans="1:32" ht="11.25" customHeight="1" x14ac:dyDescent="0.25">
      <c r="A85" s="4" t="s">
        <v>21</v>
      </c>
      <c r="B85" s="4" t="s">
        <v>43</v>
      </c>
      <c r="C85" s="4" t="s">
        <v>63</v>
      </c>
      <c r="D85" s="4" t="s">
        <v>25</v>
      </c>
      <c r="E85" s="4" t="s">
        <v>25</v>
      </c>
      <c r="F85" s="4" t="s">
        <v>25</v>
      </c>
      <c r="G85" s="4" t="s">
        <v>66</v>
      </c>
      <c r="H85" s="4" t="s">
        <v>25</v>
      </c>
      <c r="I85" s="5">
        <v>44197</v>
      </c>
      <c r="J85" s="6">
        <v>60000</v>
      </c>
      <c r="K85" s="6">
        <v>60000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4" t="s">
        <v>65</v>
      </c>
      <c r="R85" s="4">
        <v>29272</v>
      </c>
      <c r="S85" s="4">
        <v>27</v>
      </c>
      <c r="T85" s="4">
        <v>0</v>
      </c>
      <c r="U85" s="4">
        <v>0</v>
      </c>
      <c r="V85" s="6">
        <f>IF(ISERROR(VLOOKUP($S$85,'TAR FIN'!$A$1:$O$95,15,0)),0,VLOOKUP($S$85,'TAR FIN'!$A$1:$O$95,15,0))</f>
        <v>7.58</v>
      </c>
      <c r="W85" s="6">
        <f>IF(ISERROR(VLOOKUP($T$85,'TAR FIN'!$A$1:$O$95,15,0)),0,VLOOKUP($T$85,'TAR FIN'!$A$1:$O$95,15,0))</f>
        <v>0</v>
      </c>
      <c r="X85" s="6">
        <f>IF(ISERROR(VLOOKUP($U$85,'TAR FIN'!$A$1:$O$95,15,0)),0,VLOOKUP($U$85,'TAR FIN'!$A$1:$O$95,15,0))</f>
        <v>0</v>
      </c>
      <c r="Y85" s="6">
        <f ca="1">('TUSD BE'!$AM$9+'TUSD BF'!$AM$9+'TUSD CVA'!$AM$9)*1</f>
        <v>9.1574451247299731</v>
      </c>
      <c r="Z85" s="6"/>
      <c r="AA85" s="6"/>
      <c r="AB85" s="6">
        <f t="shared" si="6"/>
        <v>0</v>
      </c>
      <c r="AC85" s="6">
        <f t="shared" si="7"/>
        <v>0</v>
      </c>
      <c r="AD85" s="6">
        <f t="shared" ca="1" si="8"/>
        <v>0</v>
      </c>
      <c r="AE85" s="6">
        <f t="shared" si="9"/>
        <v>0</v>
      </c>
      <c r="AF85" s="4" t="s">
        <v>843</v>
      </c>
    </row>
    <row r="86" spans="1:32" ht="11.25" customHeight="1" x14ac:dyDescent="0.25">
      <c r="A86" s="4" t="s">
        <v>21</v>
      </c>
      <c r="B86" s="4" t="s">
        <v>43</v>
      </c>
      <c r="C86" s="4" t="s">
        <v>63</v>
      </c>
      <c r="D86" s="4" t="s">
        <v>25</v>
      </c>
      <c r="E86" s="4" t="s">
        <v>25</v>
      </c>
      <c r="F86" s="4" t="s">
        <v>25</v>
      </c>
      <c r="G86" s="4" t="s">
        <v>67</v>
      </c>
      <c r="H86" s="4" t="s">
        <v>25</v>
      </c>
      <c r="I86" s="5">
        <v>44197</v>
      </c>
      <c r="J86" s="6">
        <v>60000</v>
      </c>
      <c r="K86" s="6">
        <v>60000</v>
      </c>
      <c r="L86" s="6">
        <v>0</v>
      </c>
      <c r="M86" s="6">
        <v>0</v>
      </c>
      <c r="N86" s="6">
        <v>0</v>
      </c>
      <c r="O86" s="6">
        <v>0</v>
      </c>
      <c r="P86" s="6">
        <v>0</v>
      </c>
      <c r="Q86" s="4" t="s">
        <v>65</v>
      </c>
      <c r="R86" s="4">
        <v>29276</v>
      </c>
      <c r="S86" s="4">
        <v>27</v>
      </c>
      <c r="T86" s="4">
        <v>0</v>
      </c>
      <c r="U86" s="4">
        <v>0</v>
      </c>
      <c r="V86" s="6">
        <f>IF(ISERROR(VLOOKUP($S$86,'TAR FIN'!$A$1:$O$95,15,0)),0,VLOOKUP($S$86,'TAR FIN'!$A$1:$O$95,15,0))</f>
        <v>7.58</v>
      </c>
      <c r="W86" s="6">
        <f>IF(ISERROR(VLOOKUP($T$86,'TAR FIN'!$A$1:$O$95,15,0)),0,VLOOKUP($T$86,'TAR FIN'!$A$1:$O$95,15,0))</f>
        <v>0</v>
      </c>
      <c r="X86" s="6">
        <f>IF(ISERROR(VLOOKUP($U$86,'TAR FIN'!$A$1:$O$95,15,0)),0,VLOOKUP($U$86,'TAR FIN'!$A$1:$O$95,15,0))</f>
        <v>0</v>
      </c>
      <c r="Y86" s="6">
        <f ca="1">('TUSD BE'!$AM$9+'TUSD BF'!$AM$9+'TUSD CVA'!$AM$9)*1</f>
        <v>9.1574451247299731</v>
      </c>
      <c r="Z86" s="6"/>
      <c r="AA86" s="6"/>
      <c r="AB86" s="6">
        <f t="shared" si="6"/>
        <v>0</v>
      </c>
      <c r="AC86" s="6">
        <f t="shared" si="7"/>
        <v>0</v>
      </c>
      <c r="AD86" s="6">
        <f t="shared" ca="1" si="8"/>
        <v>0</v>
      </c>
      <c r="AE86" s="6">
        <f t="shared" si="9"/>
        <v>0</v>
      </c>
      <c r="AF86" s="4" t="s">
        <v>843</v>
      </c>
    </row>
    <row r="87" spans="1:32" ht="11.25" customHeight="1" x14ac:dyDescent="0.25">
      <c r="A87" s="4" t="s">
        <v>21</v>
      </c>
      <c r="B87" s="4" t="s">
        <v>43</v>
      </c>
      <c r="C87" s="4" t="s">
        <v>63</v>
      </c>
      <c r="D87" s="4" t="s">
        <v>25</v>
      </c>
      <c r="E87" s="4" t="s">
        <v>25</v>
      </c>
      <c r="F87" s="4" t="s">
        <v>25</v>
      </c>
      <c r="G87" s="4" t="s">
        <v>68</v>
      </c>
      <c r="H87" s="4" t="s">
        <v>25</v>
      </c>
      <c r="I87" s="5">
        <v>44197</v>
      </c>
      <c r="J87" s="6">
        <v>60000</v>
      </c>
      <c r="K87" s="6">
        <v>60000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4" t="s">
        <v>65</v>
      </c>
      <c r="R87" s="4">
        <v>29361</v>
      </c>
      <c r="S87" s="4">
        <v>27</v>
      </c>
      <c r="T87" s="4">
        <v>0</v>
      </c>
      <c r="U87" s="4">
        <v>0</v>
      </c>
      <c r="V87" s="6">
        <f>IF(ISERROR(VLOOKUP($S$87,'TAR FIN'!$A$1:$O$95,15,0)),0,VLOOKUP($S$87,'TAR FIN'!$A$1:$O$95,15,0))</f>
        <v>7.58</v>
      </c>
      <c r="W87" s="6">
        <f>IF(ISERROR(VLOOKUP($T$87,'TAR FIN'!$A$1:$O$95,15,0)),0,VLOOKUP($T$87,'TAR FIN'!$A$1:$O$95,15,0))</f>
        <v>0</v>
      </c>
      <c r="X87" s="6">
        <f>IF(ISERROR(VLOOKUP($U$87,'TAR FIN'!$A$1:$O$95,15,0)),0,VLOOKUP($U$87,'TAR FIN'!$A$1:$O$95,15,0))</f>
        <v>0</v>
      </c>
      <c r="Y87" s="6">
        <f ca="1">('TUSD BE'!$AM$9+'TUSD BF'!$AM$9+'TUSD CVA'!$AM$9)*1</f>
        <v>9.1574451247299731</v>
      </c>
      <c r="Z87" s="6"/>
      <c r="AA87" s="6"/>
      <c r="AB87" s="6">
        <f t="shared" si="6"/>
        <v>0</v>
      </c>
      <c r="AC87" s="6">
        <f t="shared" si="7"/>
        <v>0</v>
      </c>
      <c r="AD87" s="6">
        <f t="shared" ca="1" si="8"/>
        <v>0</v>
      </c>
      <c r="AE87" s="6">
        <f t="shared" si="9"/>
        <v>0</v>
      </c>
      <c r="AF87" s="4" t="s">
        <v>843</v>
      </c>
    </row>
    <row r="88" spans="1:32" ht="11.25" customHeight="1" x14ac:dyDescent="0.25">
      <c r="A88" s="4" t="s">
        <v>21</v>
      </c>
      <c r="B88" s="4" t="s">
        <v>43</v>
      </c>
      <c r="C88" s="4" t="s">
        <v>63</v>
      </c>
      <c r="D88" s="4" t="s">
        <v>25</v>
      </c>
      <c r="E88" s="4" t="s">
        <v>25</v>
      </c>
      <c r="F88" s="4" t="s">
        <v>25</v>
      </c>
      <c r="G88" s="4" t="s">
        <v>69</v>
      </c>
      <c r="H88" s="4" t="s">
        <v>25</v>
      </c>
      <c r="I88" s="5">
        <v>44197</v>
      </c>
      <c r="J88" s="6">
        <v>63000</v>
      </c>
      <c r="K88" s="6">
        <v>63000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4" t="s">
        <v>65</v>
      </c>
      <c r="R88" s="4">
        <v>29432</v>
      </c>
      <c r="S88" s="4">
        <v>27</v>
      </c>
      <c r="T88" s="4">
        <v>0</v>
      </c>
      <c r="U88" s="4">
        <v>0</v>
      </c>
      <c r="V88" s="6">
        <f>IF(ISERROR(VLOOKUP($S$88,'TAR FIN'!$A$1:$O$95,15,0)),0,VLOOKUP($S$88,'TAR FIN'!$A$1:$O$95,15,0))</f>
        <v>7.58</v>
      </c>
      <c r="W88" s="6">
        <f>IF(ISERROR(VLOOKUP($T$88,'TAR FIN'!$A$1:$O$95,15,0)),0,VLOOKUP($T$88,'TAR FIN'!$A$1:$O$95,15,0))</f>
        <v>0</v>
      </c>
      <c r="X88" s="6">
        <f>IF(ISERROR(VLOOKUP($U$88,'TAR FIN'!$A$1:$O$95,15,0)),0,VLOOKUP($U$88,'TAR FIN'!$A$1:$O$95,15,0))</f>
        <v>0</v>
      </c>
      <c r="Y88" s="6">
        <f ca="1">('TUSD BE'!$AM$9+'TUSD BF'!$AM$9+'TUSD CVA'!$AM$9)*1</f>
        <v>9.1574451247299731</v>
      </c>
      <c r="Z88" s="6"/>
      <c r="AA88" s="6"/>
      <c r="AB88" s="6">
        <f t="shared" si="6"/>
        <v>0</v>
      </c>
      <c r="AC88" s="6">
        <f t="shared" si="7"/>
        <v>0</v>
      </c>
      <c r="AD88" s="6">
        <f t="shared" ca="1" si="8"/>
        <v>0</v>
      </c>
      <c r="AE88" s="6">
        <f t="shared" si="9"/>
        <v>0</v>
      </c>
      <c r="AF88" s="4" t="s">
        <v>843</v>
      </c>
    </row>
    <row r="89" spans="1:32" ht="11.25" customHeight="1" x14ac:dyDescent="0.25">
      <c r="A89" s="4" t="s">
        <v>21</v>
      </c>
      <c r="B89" s="4" t="s">
        <v>43</v>
      </c>
      <c r="C89" s="4" t="s">
        <v>63</v>
      </c>
      <c r="D89" s="4" t="s">
        <v>25</v>
      </c>
      <c r="E89" s="4" t="s">
        <v>25</v>
      </c>
      <c r="F89" s="4" t="s">
        <v>25</v>
      </c>
      <c r="G89" s="4" t="s">
        <v>64</v>
      </c>
      <c r="H89" s="4" t="s">
        <v>25</v>
      </c>
      <c r="I89" s="5">
        <v>44228</v>
      </c>
      <c r="J89" s="6">
        <v>157500</v>
      </c>
      <c r="K89" s="6">
        <v>157500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4" t="s">
        <v>65</v>
      </c>
      <c r="R89" s="4">
        <v>27250</v>
      </c>
      <c r="S89" s="4">
        <v>27</v>
      </c>
      <c r="T89" s="4">
        <v>0</v>
      </c>
      <c r="U89" s="4">
        <v>0</v>
      </c>
      <c r="V89" s="6">
        <f>IF(ISERROR(VLOOKUP($S$89,'TAR FIN'!$A$1:$O$95,15,0)),0,VLOOKUP($S$89,'TAR FIN'!$A$1:$O$95,15,0))</f>
        <v>7.58</v>
      </c>
      <c r="W89" s="6">
        <f>IF(ISERROR(VLOOKUP($T$89,'TAR FIN'!$A$1:$O$95,15,0)),0,VLOOKUP($T$89,'TAR FIN'!$A$1:$O$95,15,0))</f>
        <v>0</v>
      </c>
      <c r="X89" s="6">
        <f>IF(ISERROR(VLOOKUP($U$89,'TAR FIN'!$A$1:$O$95,15,0)),0,VLOOKUP($U$89,'TAR FIN'!$A$1:$O$95,15,0))</f>
        <v>0</v>
      </c>
      <c r="Y89" s="6">
        <f ca="1">('TUSD BE'!$AM$9+'TUSD BF'!$AM$9+'TUSD CVA'!$AM$9)*1</f>
        <v>9.1574451247299731</v>
      </c>
      <c r="Z89" s="6"/>
      <c r="AA89" s="6"/>
      <c r="AB89" s="6">
        <f t="shared" si="6"/>
        <v>0</v>
      </c>
      <c r="AC89" s="6">
        <f t="shared" si="7"/>
        <v>0</v>
      </c>
      <c r="AD89" s="6">
        <f t="shared" ca="1" si="8"/>
        <v>0</v>
      </c>
      <c r="AE89" s="6">
        <f t="shared" si="9"/>
        <v>0</v>
      </c>
      <c r="AF89" s="4" t="s">
        <v>843</v>
      </c>
    </row>
    <row r="90" spans="1:32" ht="11.25" customHeight="1" x14ac:dyDescent="0.25">
      <c r="A90" s="4" t="s">
        <v>21</v>
      </c>
      <c r="B90" s="4" t="s">
        <v>43</v>
      </c>
      <c r="C90" s="4" t="s">
        <v>63</v>
      </c>
      <c r="D90" s="4" t="s">
        <v>25</v>
      </c>
      <c r="E90" s="4" t="s">
        <v>25</v>
      </c>
      <c r="F90" s="4" t="s">
        <v>25</v>
      </c>
      <c r="G90" s="4" t="s">
        <v>66</v>
      </c>
      <c r="H90" s="4" t="s">
        <v>25</v>
      </c>
      <c r="I90" s="5">
        <v>44228</v>
      </c>
      <c r="J90" s="6">
        <v>60000</v>
      </c>
      <c r="K90" s="6">
        <v>60000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4" t="s">
        <v>65</v>
      </c>
      <c r="R90" s="4">
        <v>29272</v>
      </c>
      <c r="S90" s="4">
        <v>27</v>
      </c>
      <c r="T90" s="4">
        <v>0</v>
      </c>
      <c r="U90" s="4">
        <v>0</v>
      </c>
      <c r="V90" s="6">
        <f>IF(ISERROR(VLOOKUP($S$90,'TAR FIN'!$A$1:$O$95,15,0)),0,VLOOKUP($S$90,'TAR FIN'!$A$1:$O$95,15,0))</f>
        <v>7.58</v>
      </c>
      <c r="W90" s="6">
        <f>IF(ISERROR(VLOOKUP($T$90,'TAR FIN'!$A$1:$O$95,15,0)),0,VLOOKUP($T$90,'TAR FIN'!$A$1:$O$95,15,0))</f>
        <v>0</v>
      </c>
      <c r="X90" s="6">
        <f>IF(ISERROR(VLOOKUP($U$90,'TAR FIN'!$A$1:$O$95,15,0)),0,VLOOKUP($U$90,'TAR FIN'!$A$1:$O$95,15,0))</f>
        <v>0</v>
      </c>
      <c r="Y90" s="6">
        <f ca="1">('TUSD BE'!$AM$9+'TUSD BF'!$AM$9+'TUSD CVA'!$AM$9)*1</f>
        <v>9.1574451247299731</v>
      </c>
      <c r="Z90" s="6"/>
      <c r="AA90" s="6"/>
      <c r="AB90" s="6">
        <f t="shared" si="6"/>
        <v>0</v>
      </c>
      <c r="AC90" s="6">
        <f t="shared" si="7"/>
        <v>0</v>
      </c>
      <c r="AD90" s="6">
        <f t="shared" ca="1" si="8"/>
        <v>0</v>
      </c>
      <c r="AE90" s="6">
        <f t="shared" si="9"/>
        <v>0</v>
      </c>
      <c r="AF90" s="4" t="s">
        <v>843</v>
      </c>
    </row>
    <row r="91" spans="1:32" ht="11.25" customHeight="1" x14ac:dyDescent="0.25">
      <c r="A91" s="4" t="s">
        <v>21</v>
      </c>
      <c r="B91" s="4" t="s">
        <v>43</v>
      </c>
      <c r="C91" s="4" t="s">
        <v>63</v>
      </c>
      <c r="D91" s="4" t="s">
        <v>25</v>
      </c>
      <c r="E91" s="4" t="s">
        <v>25</v>
      </c>
      <c r="F91" s="4" t="s">
        <v>25</v>
      </c>
      <c r="G91" s="4" t="s">
        <v>67</v>
      </c>
      <c r="H91" s="4" t="s">
        <v>25</v>
      </c>
      <c r="I91" s="5">
        <v>44228</v>
      </c>
      <c r="J91" s="6">
        <v>60000</v>
      </c>
      <c r="K91" s="6">
        <v>60000</v>
      </c>
      <c r="L91" s="6">
        <v>0</v>
      </c>
      <c r="M91" s="6">
        <v>0</v>
      </c>
      <c r="N91" s="6">
        <v>0</v>
      </c>
      <c r="O91" s="6">
        <v>0</v>
      </c>
      <c r="P91" s="6">
        <v>0</v>
      </c>
      <c r="Q91" s="4" t="s">
        <v>65</v>
      </c>
      <c r="R91" s="4">
        <v>29276</v>
      </c>
      <c r="S91" s="4">
        <v>27</v>
      </c>
      <c r="T91" s="4">
        <v>0</v>
      </c>
      <c r="U91" s="4">
        <v>0</v>
      </c>
      <c r="V91" s="6">
        <f>IF(ISERROR(VLOOKUP($S$91,'TAR FIN'!$A$1:$O$95,15,0)),0,VLOOKUP($S$91,'TAR FIN'!$A$1:$O$95,15,0))</f>
        <v>7.58</v>
      </c>
      <c r="W91" s="6">
        <f>IF(ISERROR(VLOOKUP($T$91,'TAR FIN'!$A$1:$O$95,15,0)),0,VLOOKUP($T$91,'TAR FIN'!$A$1:$O$95,15,0))</f>
        <v>0</v>
      </c>
      <c r="X91" s="6">
        <f>IF(ISERROR(VLOOKUP($U$91,'TAR FIN'!$A$1:$O$95,15,0)),0,VLOOKUP($U$91,'TAR FIN'!$A$1:$O$95,15,0))</f>
        <v>0</v>
      </c>
      <c r="Y91" s="6">
        <f ca="1">('TUSD BE'!$AM$9+'TUSD BF'!$AM$9+'TUSD CVA'!$AM$9)*1</f>
        <v>9.1574451247299731</v>
      </c>
      <c r="Z91" s="6"/>
      <c r="AA91" s="6"/>
      <c r="AB91" s="6">
        <f t="shared" si="6"/>
        <v>0</v>
      </c>
      <c r="AC91" s="6">
        <f t="shared" si="7"/>
        <v>0</v>
      </c>
      <c r="AD91" s="6">
        <f t="shared" ca="1" si="8"/>
        <v>0</v>
      </c>
      <c r="AE91" s="6">
        <f t="shared" si="9"/>
        <v>0</v>
      </c>
      <c r="AF91" s="4" t="s">
        <v>843</v>
      </c>
    </row>
    <row r="92" spans="1:32" ht="11.25" customHeight="1" x14ac:dyDescent="0.25">
      <c r="A92" s="4" t="s">
        <v>21</v>
      </c>
      <c r="B92" s="4" t="s">
        <v>43</v>
      </c>
      <c r="C92" s="4" t="s">
        <v>63</v>
      </c>
      <c r="D92" s="4" t="s">
        <v>25</v>
      </c>
      <c r="E92" s="4" t="s">
        <v>25</v>
      </c>
      <c r="F92" s="4" t="s">
        <v>25</v>
      </c>
      <c r="G92" s="4" t="s">
        <v>68</v>
      </c>
      <c r="H92" s="4" t="s">
        <v>25</v>
      </c>
      <c r="I92" s="5">
        <v>44228</v>
      </c>
      <c r="J92" s="6">
        <v>60000</v>
      </c>
      <c r="K92" s="6">
        <v>60000</v>
      </c>
      <c r="L92" s="6">
        <v>0</v>
      </c>
      <c r="M92" s="6">
        <v>0</v>
      </c>
      <c r="N92" s="6">
        <v>0</v>
      </c>
      <c r="O92" s="6">
        <v>0</v>
      </c>
      <c r="P92" s="6">
        <v>0</v>
      </c>
      <c r="Q92" s="4" t="s">
        <v>65</v>
      </c>
      <c r="R92" s="4">
        <v>29361</v>
      </c>
      <c r="S92" s="4">
        <v>27</v>
      </c>
      <c r="T92" s="4">
        <v>0</v>
      </c>
      <c r="U92" s="4">
        <v>0</v>
      </c>
      <c r="V92" s="6">
        <f>IF(ISERROR(VLOOKUP($S$92,'TAR FIN'!$A$1:$O$95,15,0)),0,VLOOKUP($S$92,'TAR FIN'!$A$1:$O$95,15,0))</f>
        <v>7.58</v>
      </c>
      <c r="W92" s="6">
        <f>IF(ISERROR(VLOOKUP($T$92,'TAR FIN'!$A$1:$O$95,15,0)),0,VLOOKUP($T$92,'TAR FIN'!$A$1:$O$95,15,0))</f>
        <v>0</v>
      </c>
      <c r="X92" s="6">
        <f>IF(ISERROR(VLOOKUP($U$92,'TAR FIN'!$A$1:$O$95,15,0)),0,VLOOKUP($U$92,'TAR FIN'!$A$1:$O$95,15,0))</f>
        <v>0</v>
      </c>
      <c r="Y92" s="6">
        <f ca="1">('TUSD BE'!$AM$9+'TUSD BF'!$AM$9+'TUSD CVA'!$AM$9)*1</f>
        <v>9.1574451247299731</v>
      </c>
      <c r="Z92" s="6"/>
      <c r="AA92" s="6"/>
      <c r="AB92" s="6">
        <f t="shared" si="6"/>
        <v>0</v>
      </c>
      <c r="AC92" s="6">
        <f t="shared" si="7"/>
        <v>0</v>
      </c>
      <c r="AD92" s="6">
        <f t="shared" ca="1" si="8"/>
        <v>0</v>
      </c>
      <c r="AE92" s="6">
        <f t="shared" si="9"/>
        <v>0</v>
      </c>
      <c r="AF92" s="4" t="s">
        <v>843</v>
      </c>
    </row>
    <row r="93" spans="1:32" ht="11.25" customHeight="1" x14ac:dyDescent="0.25">
      <c r="A93" s="4" t="s">
        <v>21</v>
      </c>
      <c r="B93" s="4" t="s">
        <v>43</v>
      </c>
      <c r="C93" s="4" t="s">
        <v>63</v>
      </c>
      <c r="D93" s="4" t="s">
        <v>25</v>
      </c>
      <c r="E93" s="4" t="s">
        <v>25</v>
      </c>
      <c r="F93" s="4" t="s">
        <v>25</v>
      </c>
      <c r="G93" s="4" t="s">
        <v>69</v>
      </c>
      <c r="H93" s="4" t="s">
        <v>25</v>
      </c>
      <c r="I93" s="5">
        <v>44228</v>
      </c>
      <c r="J93" s="6">
        <v>63000</v>
      </c>
      <c r="K93" s="6">
        <v>63000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4" t="s">
        <v>65</v>
      </c>
      <c r="R93" s="4">
        <v>29432</v>
      </c>
      <c r="S93" s="4">
        <v>27</v>
      </c>
      <c r="T93" s="4">
        <v>0</v>
      </c>
      <c r="U93" s="4">
        <v>0</v>
      </c>
      <c r="V93" s="6">
        <f>IF(ISERROR(VLOOKUP($S$93,'TAR FIN'!$A$1:$O$95,15,0)),0,VLOOKUP($S$93,'TAR FIN'!$A$1:$O$95,15,0))</f>
        <v>7.58</v>
      </c>
      <c r="W93" s="6">
        <f>IF(ISERROR(VLOOKUP($T$93,'TAR FIN'!$A$1:$O$95,15,0)),0,VLOOKUP($T$93,'TAR FIN'!$A$1:$O$95,15,0))</f>
        <v>0</v>
      </c>
      <c r="X93" s="6">
        <f>IF(ISERROR(VLOOKUP($U$93,'TAR FIN'!$A$1:$O$95,15,0)),0,VLOOKUP($U$93,'TAR FIN'!$A$1:$O$95,15,0))</f>
        <v>0</v>
      </c>
      <c r="Y93" s="6">
        <f ca="1">('TUSD BE'!$AM$9+'TUSD BF'!$AM$9+'TUSD CVA'!$AM$9)*1</f>
        <v>9.1574451247299731</v>
      </c>
      <c r="Z93" s="6"/>
      <c r="AA93" s="6"/>
      <c r="AB93" s="6">
        <f t="shared" si="6"/>
        <v>0</v>
      </c>
      <c r="AC93" s="6">
        <f t="shared" si="7"/>
        <v>0</v>
      </c>
      <c r="AD93" s="6">
        <f t="shared" ca="1" si="8"/>
        <v>0</v>
      </c>
      <c r="AE93" s="6">
        <f t="shared" si="9"/>
        <v>0</v>
      </c>
      <c r="AF93" s="4" t="s">
        <v>843</v>
      </c>
    </row>
    <row r="94" spans="1:32" ht="11.25" customHeight="1" x14ac:dyDescent="0.25">
      <c r="A94" s="4" t="s">
        <v>21</v>
      </c>
      <c r="B94" s="4" t="s">
        <v>43</v>
      </c>
      <c r="C94" s="4" t="s">
        <v>63</v>
      </c>
      <c r="D94" s="4" t="s">
        <v>25</v>
      </c>
      <c r="E94" s="4" t="s">
        <v>25</v>
      </c>
      <c r="F94" s="4" t="s">
        <v>25</v>
      </c>
      <c r="G94" s="4" t="s">
        <v>64</v>
      </c>
      <c r="H94" s="4" t="s">
        <v>25</v>
      </c>
      <c r="I94" s="5">
        <v>44256</v>
      </c>
      <c r="J94" s="6">
        <v>157500</v>
      </c>
      <c r="K94" s="6">
        <v>157500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4" t="s">
        <v>65</v>
      </c>
      <c r="R94" s="4">
        <v>27250</v>
      </c>
      <c r="S94" s="4">
        <v>27</v>
      </c>
      <c r="T94" s="4">
        <v>0</v>
      </c>
      <c r="U94" s="4">
        <v>0</v>
      </c>
      <c r="V94" s="6">
        <f>IF(ISERROR(VLOOKUP($S$94,'TAR FIN'!$A$1:$O$95,15,0)),0,VLOOKUP($S$94,'TAR FIN'!$A$1:$O$95,15,0))</f>
        <v>7.58</v>
      </c>
      <c r="W94" s="6">
        <f>IF(ISERROR(VLOOKUP($T$94,'TAR FIN'!$A$1:$O$95,15,0)),0,VLOOKUP($T$94,'TAR FIN'!$A$1:$O$95,15,0))</f>
        <v>0</v>
      </c>
      <c r="X94" s="6">
        <f>IF(ISERROR(VLOOKUP($U$94,'TAR FIN'!$A$1:$O$95,15,0)),0,VLOOKUP($U$94,'TAR FIN'!$A$1:$O$95,15,0))</f>
        <v>0</v>
      </c>
      <c r="Y94" s="6">
        <f ca="1">('TUSD BE'!$AM$9+'TUSD BF'!$AM$9+'TUSD CVA'!$AM$9)*1</f>
        <v>9.1574451247299731</v>
      </c>
      <c r="Z94" s="6"/>
      <c r="AA94" s="6"/>
      <c r="AB94" s="6">
        <f t="shared" si="6"/>
        <v>0</v>
      </c>
      <c r="AC94" s="6">
        <f t="shared" si="7"/>
        <v>0</v>
      </c>
      <c r="AD94" s="6">
        <f t="shared" ca="1" si="8"/>
        <v>0</v>
      </c>
      <c r="AE94" s="6">
        <f t="shared" si="9"/>
        <v>0</v>
      </c>
      <c r="AF94" s="4" t="s">
        <v>843</v>
      </c>
    </row>
    <row r="95" spans="1:32" ht="11.25" customHeight="1" x14ac:dyDescent="0.25">
      <c r="A95" s="4" t="s">
        <v>21</v>
      </c>
      <c r="B95" s="4" t="s">
        <v>43</v>
      </c>
      <c r="C95" s="4" t="s">
        <v>63</v>
      </c>
      <c r="D95" s="4" t="s">
        <v>25</v>
      </c>
      <c r="E95" s="4" t="s">
        <v>25</v>
      </c>
      <c r="F95" s="4" t="s">
        <v>25</v>
      </c>
      <c r="G95" s="4" t="s">
        <v>66</v>
      </c>
      <c r="H95" s="4" t="s">
        <v>25</v>
      </c>
      <c r="I95" s="5">
        <v>44256</v>
      </c>
      <c r="J95" s="6">
        <v>60000</v>
      </c>
      <c r="K95" s="6">
        <v>60000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4" t="s">
        <v>65</v>
      </c>
      <c r="R95" s="4">
        <v>29272</v>
      </c>
      <c r="S95" s="4">
        <v>27</v>
      </c>
      <c r="T95" s="4">
        <v>0</v>
      </c>
      <c r="U95" s="4">
        <v>0</v>
      </c>
      <c r="V95" s="6">
        <f>IF(ISERROR(VLOOKUP($S$95,'TAR FIN'!$A$1:$O$95,15,0)),0,VLOOKUP($S$95,'TAR FIN'!$A$1:$O$95,15,0))</f>
        <v>7.58</v>
      </c>
      <c r="W95" s="6">
        <f>IF(ISERROR(VLOOKUP($T$95,'TAR FIN'!$A$1:$O$95,15,0)),0,VLOOKUP($T$95,'TAR FIN'!$A$1:$O$95,15,0))</f>
        <v>0</v>
      </c>
      <c r="X95" s="6">
        <f>IF(ISERROR(VLOOKUP($U$95,'TAR FIN'!$A$1:$O$95,15,0)),0,VLOOKUP($U$95,'TAR FIN'!$A$1:$O$95,15,0))</f>
        <v>0</v>
      </c>
      <c r="Y95" s="6">
        <f ca="1">('TUSD BE'!$AM$9+'TUSD BF'!$AM$9+'TUSD CVA'!$AM$9)*1</f>
        <v>9.1574451247299731</v>
      </c>
      <c r="Z95" s="6"/>
      <c r="AA95" s="6"/>
      <c r="AB95" s="6">
        <f t="shared" si="6"/>
        <v>0</v>
      </c>
      <c r="AC95" s="6">
        <f t="shared" si="7"/>
        <v>0</v>
      </c>
      <c r="AD95" s="6">
        <f t="shared" ca="1" si="8"/>
        <v>0</v>
      </c>
      <c r="AE95" s="6">
        <f t="shared" si="9"/>
        <v>0</v>
      </c>
      <c r="AF95" s="4" t="s">
        <v>843</v>
      </c>
    </row>
    <row r="96" spans="1:32" ht="11.25" customHeight="1" x14ac:dyDescent="0.25">
      <c r="A96" s="4" t="s">
        <v>21</v>
      </c>
      <c r="B96" s="4" t="s">
        <v>43</v>
      </c>
      <c r="C96" s="4" t="s">
        <v>63</v>
      </c>
      <c r="D96" s="4" t="s">
        <v>25</v>
      </c>
      <c r="E96" s="4" t="s">
        <v>25</v>
      </c>
      <c r="F96" s="4" t="s">
        <v>25</v>
      </c>
      <c r="G96" s="4" t="s">
        <v>67</v>
      </c>
      <c r="H96" s="4" t="s">
        <v>25</v>
      </c>
      <c r="I96" s="5">
        <v>44256</v>
      </c>
      <c r="J96" s="6">
        <v>60000</v>
      </c>
      <c r="K96" s="6">
        <v>60000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4" t="s">
        <v>65</v>
      </c>
      <c r="R96" s="4">
        <v>29276</v>
      </c>
      <c r="S96" s="4">
        <v>27</v>
      </c>
      <c r="T96" s="4">
        <v>0</v>
      </c>
      <c r="U96" s="4">
        <v>0</v>
      </c>
      <c r="V96" s="6">
        <f>IF(ISERROR(VLOOKUP($S$96,'TAR FIN'!$A$1:$O$95,15,0)),0,VLOOKUP($S$96,'TAR FIN'!$A$1:$O$95,15,0))</f>
        <v>7.58</v>
      </c>
      <c r="W96" s="6">
        <f>IF(ISERROR(VLOOKUP($T$96,'TAR FIN'!$A$1:$O$95,15,0)),0,VLOOKUP($T$96,'TAR FIN'!$A$1:$O$95,15,0))</f>
        <v>0</v>
      </c>
      <c r="X96" s="6">
        <f>IF(ISERROR(VLOOKUP($U$96,'TAR FIN'!$A$1:$O$95,15,0)),0,VLOOKUP($U$96,'TAR FIN'!$A$1:$O$95,15,0))</f>
        <v>0</v>
      </c>
      <c r="Y96" s="6">
        <f ca="1">('TUSD BE'!$AM$9+'TUSD BF'!$AM$9+'TUSD CVA'!$AM$9)*1</f>
        <v>9.1574451247299731</v>
      </c>
      <c r="Z96" s="6"/>
      <c r="AA96" s="6"/>
      <c r="AB96" s="6">
        <f t="shared" si="6"/>
        <v>0</v>
      </c>
      <c r="AC96" s="6">
        <f t="shared" si="7"/>
        <v>0</v>
      </c>
      <c r="AD96" s="6">
        <f t="shared" ca="1" si="8"/>
        <v>0</v>
      </c>
      <c r="AE96" s="6">
        <f t="shared" si="9"/>
        <v>0</v>
      </c>
      <c r="AF96" s="4" t="s">
        <v>843</v>
      </c>
    </row>
    <row r="97" spans="1:32" ht="11.25" customHeight="1" x14ac:dyDescent="0.25">
      <c r="A97" s="4" t="s">
        <v>21</v>
      </c>
      <c r="B97" s="4" t="s">
        <v>43</v>
      </c>
      <c r="C97" s="4" t="s">
        <v>63</v>
      </c>
      <c r="D97" s="4" t="s">
        <v>25</v>
      </c>
      <c r="E97" s="4" t="s">
        <v>25</v>
      </c>
      <c r="F97" s="4" t="s">
        <v>25</v>
      </c>
      <c r="G97" s="4" t="s">
        <v>68</v>
      </c>
      <c r="H97" s="4" t="s">
        <v>25</v>
      </c>
      <c r="I97" s="5">
        <v>44256</v>
      </c>
      <c r="J97" s="6">
        <v>60000</v>
      </c>
      <c r="K97" s="6">
        <v>60000</v>
      </c>
      <c r="L97" s="6">
        <v>0</v>
      </c>
      <c r="M97" s="6">
        <v>0</v>
      </c>
      <c r="N97" s="6">
        <v>0</v>
      </c>
      <c r="O97" s="6">
        <v>0</v>
      </c>
      <c r="P97" s="6">
        <v>0</v>
      </c>
      <c r="Q97" s="4" t="s">
        <v>65</v>
      </c>
      <c r="R97" s="4">
        <v>29361</v>
      </c>
      <c r="S97" s="4">
        <v>27</v>
      </c>
      <c r="T97" s="4">
        <v>0</v>
      </c>
      <c r="U97" s="4">
        <v>0</v>
      </c>
      <c r="V97" s="6">
        <f>IF(ISERROR(VLOOKUP($S$97,'TAR FIN'!$A$1:$O$95,15,0)),0,VLOOKUP($S$97,'TAR FIN'!$A$1:$O$95,15,0))</f>
        <v>7.58</v>
      </c>
      <c r="W97" s="6">
        <f>IF(ISERROR(VLOOKUP($T$97,'TAR FIN'!$A$1:$O$95,15,0)),0,VLOOKUP($T$97,'TAR FIN'!$A$1:$O$95,15,0))</f>
        <v>0</v>
      </c>
      <c r="X97" s="6">
        <f>IF(ISERROR(VLOOKUP($U$97,'TAR FIN'!$A$1:$O$95,15,0)),0,VLOOKUP($U$97,'TAR FIN'!$A$1:$O$95,15,0))</f>
        <v>0</v>
      </c>
      <c r="Y97" s="6">
        <f ca="1">('TUSD BE'!$AM$9+'TUSD BF'!$AM$9+'TUSD CVA'!$AM$9)*1</f>
        <v>9.1574451247299731</v>
      </c>
      <c r="Z97" s="6"/>
      <c r="AA97" s="6"/>
      <c r="AB97" s="6">
        <f t="shared" si="6"/>
        <v>0</v>
      </c>
      <c r="AC97" s="6">
        <f t="shared" si="7"/>
        <v>0</v>
      </c>
      <c r="AD97" s="6">
        <f t="shared" ca="1" si="8"/>
        <v>0</v>
      </c>
      <c r="AE97" s="6">
        <f t="shared" si="9"/>
        <v>0</v>
      </c>
      <c r="AF97" s="4" t="s">
        <v>843</v>
      </c>
    </row>
    <row r="98" spans="1:32" ht="11.25" customHeight="1" x14ac:dyDescent="0.25">
      <c r="A98" s="4" t="s">
        <v>21</v>
      </c>
      <c r="B98" s="4" t="s">
        <v>43</v>
      </c>
      <c r="C98" s="4" t="s">
        <v>63</v>
      </c>
      <c r="D98" s="4" t="s">
        <v>25</v>
      </c>
      <c r="E98" s="4" t="s">
        <v>25</v>
      </c>
      <c r="F98" s="4" t="s">
        <v>25</v>
      </c>
      <c r="G98" s="4" t="s">
        <v>69</v>
      </c>
      <c r="H98" s="4" t="s">
        <v>25</v>
      </c>
      <c r="I98" s="5">
        <v>44256</v>
      </c>
      <c r="J98" s="6">
        <v>63000</v>
      </c>
      <c r="K98" s="6">
        <v>63000</v>
      </c>
      <c r="L98" s="6">
        <v>0</v>
      </c>
      <c r="M98" s="6">
        <v>0</v>
      </c>
      <c r="N98" s="6">
        <v>0</v>
      </c>
      <c r="O98" s="6">
        <v>0</v>
      </c>
      <c r="P98" s="6">
        <v>0</v>
      </c>
      <c r="Q98" s="4" t="s">
        <v>65</v>
      </c>
      <c r="R98" s="4">
        <v>29432</v>
      </c>
      <c r="S98" s="4">
        <v>27</v>
      </c>
      <c r="T98" s="4">
        <v>0</v>
      </c>
      <c r="U98" s="4">
        <v>0</v>
      </c>
      <c r="V98" s="6">
        <f>IF(ISERROR(VLOOKUP($S$98,'TAR FIN'!$A$1:$O$95,15,0)),0,VLOOKUP($S$98,'TAR FIN'!$A$1:$O$95,15,0))</f>
        <v>7.58</v>
      </c>
      <c r="W98" s="6">
        <f>IF(ISERROR(VLOOKUP($T$98,'TAR FIN'!$A$1:$O$95,15,0)),0,VLOOKUP($T$98,'TAR FIN'!$A$1:$O$95,15,0))</f>
        <v>0</v>
      </c>
      <c r="X98" s="6">
        <f>IF(ISERROR(VLOOKUP($U$98,'TAR FIN'!$A$1:$O$95,15,0)),0,VLOOKUP($U$98,'TAR FIN'!$A$1:$O$95,15,0))</f>
        <v>0</v>
      </c>
      <c r="Y98" s="6">
        <f ca="1">('TUSD BE'!$AM$9+'TUSD BF'!$AM$9+'TUSD CVA'!$AM$9)*1</f>
        <v>9.1574451247299731</v>
      </c>
      <c r="Z98" s="6"/>
      <c r="AA98" s="6"/>
      <c r="AB98" s="6">
        <f t="shared" si="6"/>
        <v>0</v>
      </c>
      <c r="AC98" s="6">
        <f t="shared" si="7"/>
        <v>0</v>
      </c>
      <c r="AD98" s="6">
        <f t="shared" ca="1" si="8"/>
        <v>0</v>
      </c>
      <c r="AE98" s="6">
        <f t="shared" si="9"/>
        <v>0</v>
      </c>
      <c r="AF98" s="4" t="s">
        <v>843</v>
      </c>
    </row>
    <row r="99" spans="1:32" ht="11.25" customHeight="1" x14ac:dyDescent="0.25">
      <c r="A99" s="4" t="s">
        <v>21</v>
      </c>
      <c r="B99" s="4" t="s">
        <v>43</v>
      </c>
      <c r="C99" s="4" t="s">
        <v>63</v>
      </c>
      <c r="D99" s="4" t="s">
        <v>25</v>
      </c>
      <c r="E99" s="4" t="s">
        <v>25</v>
      </c>
      <c r="F99" s="4" t="s">
        <v>25</v>
      </c>
      <c r="G99" s="4" t="s">
        <v>64</v>
      </c>
      <c r="H99" s="4" t="s">
        <v>25</v>
      </c>
      <c r="I99" s="5">
        <v>44287</v>
      </c>
      <c r="J99" s="6">
        <v>157500</v>
      </c>
      <c r="K99" s="6">
        <v>157500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4" t="s">
        <v>65</v>
      </c>
      <c r="R99" s="4">
        <v>27250</v>
      </c>
      <c r="S99" s="4">
        <v>27</v>
      </c>
      <c r="T99" s="4">
        <v>0</v>
      </c>
      <c r="U99" s="4">
        <v>0</v>
      </c>
      <c r="V99" s="6">
        <f>IF(ISERROR(VLOOKUP($S$99,'TAR FIN'!$A$1:$O$95,15,0)),0,VLOOKUP($S$99,'TAR FIN'!$A$1:$O$95,15,0))</f>
        <v>7.58</v>
      </c>
      <c r="W99" s="6">
        <f>IF(ISERROR(VLOOKUP($T$99,'TAR FIN'!$A$1:$O$95,15,0)),0,VLOOKUP($T$99,'TAR FIN'!$A$1:$O$95,15,0))</f>
        <v>0</v>
      </c>
      <c r="X99" s="6">
        <f>IF(ISERROR(VLOOKUP($U$99,'TAR FIN'!$A$1:$O$95,15,0)),0,VLOOKUP($U$99,'TAR FIN'!$A$1:$O$95,15,0))</f>
        <v>0</v>
      </c>
      <c r="Y99" s="6">
        <f ca="1">('TUSD BE'!$AM$9+'TUSD BF'!$AM$9+'TUSD CVA'!$AM$9)*1</f>
        <v>9.1574451247299731</v>
      </c>
      <c r="Z99" s="6"/>
      <c r="AA99" s="6"/>
      <c r="AB99" s="6">
        <f t="shared" si="6"/>
        <v>0</v>
      </c>
      <c r="AC99" s="6">
        <f t="shared" si="7"/>
        <v>0</v>
      </c>
      <c r="AD99" s="6">
        <f t="shared" ca="1" si="8"/>
        <v>0</v>
      </c>
      <c r="AE99" s="6">
        <f t="shared" si="9"/>
        <v>0</v>
      </c>
      <c r="AF99" s="4" t="s">
        <v>843</v>
      </c>
    </row>
    <row r="100" spans="1:32" ht="11.25" customHeight="1" x14ac:dyDescent="0.25">
      <c r="A100" s="4" t="s">
        <v>21</v>
      </c>
      <c r="B100" s="4" t="s">
        <v>43</v>
      </c>
      <c r="C100" s="4" t="s">
        <v>63</v>
      </c>
      <c r="D100" s="4" t="s">
        <v>25</v>
      </c>
      <c r="E100" s="4" t="s">
        <v>25</v>
      </c>
      <c r="F100" s="4" t="s">
        <v>25</v>
      </c>
      <c r="G100" s="4" t="s">
        <v>66</v>
      </c>
      <c r="H100" s="4" t="s">
        <v>25</v>
      </c>
      <c r="I100" s="5">
        <v>44287</v>
      </c>
      <c r="J100" s="6">
        <v>60000</v>
      </c>
      <c r="K100" s="6">
        <v>60000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4" t="s">
        <v>65</v>
      </c>
      <c r="R100" s="4">
        <v>29272</v>
      </c>
      <c r="S100" s="4">
        <v>27</v>
      </c>
      <c r="T100" s="4">
        <v>0</v>
      </c>
      <c r="U100" s="4">
        <v>0</v>
      </c>
      <c r="V100" s="6">
        <f>IF(ISERROR(VLOOKUP($S$100,'TAR FIN'!$A$1:$O$95,15,0)),0,VLOOKUP($S$100,'TAR FIN'!$A$1:$O$95,15,0))</f>
        <v>7.58</v>
      </c>
      <c r="W100" s="6">
        <f>IF(ISERROR(VLOOKUP($T$100,'TAR FIN'!$A$1:$O$95,15,0)),0,VLOOKUP($T$100,'TAR FIN'!$A$1:$O$95,15,0))</f>
        <v>0</v>
      </c>
      <c r="X100" s="6">
        <f>IF(ISERROR(VLOOKUP($U$100,'TAR FIN'!$A$1:$O$95,15,0)),0,VLOOKUP($U$100,'TAR FIN'!$A$1:$O$95,15,0))</f>
        <v>0</v>
      </c>
      <c r="Y100" s="6">
        <f ca="1">('TUSD BE'!$AM$9+'TUSD BF'!$AM$9+'TUSD CVA'!$AM$9)*1</f>
        <v>9.1574451247299731</v>
      </c>
      <c r="Z100" s="6"/>
      <c r="AA100" s="6"/>
      <c r="AB100" s="6">
        <f t="shared" si="6"/>
        <v>0</v>
      </c>
      <c r="AC100" s="6">
        <f t="shared" si="7"/>
        <v>0</v>
      </c>
      <c r="AD100" s="6">
        <f t="shared" ca="1" si="8"/>
        <v>0</v>
      </c>
      <c r="AE100" s="6">
        <f t="shared" si="9"/>
        <v>0</v>
      </c>
      <c r="AF100" s="4" t="s">
        <v>843</v>
      </c>
    </row>
    <row r="101" spans="1:32" ht="11.25" customHeight="1" x14ac:dyDescent="0.25">
      <c r="A101" s="4" t="s">
        <v>21</v>
      </c>
      <c r="B101" s="4" t="s">
        <v>43</v>
      </c>
      <c r="C101" s="4" t="s">
        <v>63</v>
      </c>
      <c r="D101" s="4" t="s">
        <v>25</v>
      </c>
      <c r="E101" s="4" t="s">
        <v>25</v>
      </c>
      <c r="F101" s="4" t="s">
        <v>25</v>
      </c>
      <c r="G101" s="4" t="s">
        <v>67</v>
      </c>
      <c r="H101" s="4" t="s">
        <v>25</v>
      </c>
      <c r="I101" s="5">
        <v>44287</v>
      </c>
      <c r="J101" s="6">
        <v>60000</v>
      </c>
      <c r="K101" s="6">
        <v>60000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4" t="s">
        <v>65</v>
      </c>
      <c r="R101" s="4">
        <v>29276</v>
      </c>
      <c r="S101" s="4">
        <v>27</v>
      </c>
      <c r="T101" s="4">
        <v>0</v>
      </c>
      <c r="U101" s="4">
        <v>0</v>
      </c>
      <c r="V101" s="6">
        <f>IF(ISERROR(VLOOKUP($S$101,'TAR FIN'!$A$1:$O$95,15,0)),0,VLOOKUP($S$101,'TAR FIN'!$A$1:$O$95,15,0))</f>
        <v>7.58</v>
      </c>
      <c r="W101" s="6">
        <f>IF(ISERROR(VLOOKUP($T$101,'TAR FIN'!$A$1:$O$95,15,0)),0,VLOOKUP($T$101,'TAR FIN'!$A$1:$O$95,15,0))</f>
        <v>0</v>
      </c>
      <c r="X101" s="6">
        <f>IF(ISERROR(VLOOKUP($U$101,'TAR FIN'!$A$1:$O$95,15,0)),0,VLOOKUP($U$101,'TAR FIN'!$A$1:$O$95,15,0))</f>
        <v>0</v>
      </c>
      <c r="Y101" s="6">
        <f ca="1">('TUSD BE'!$AM$9+'TUSD BF'!$AM$9+'TUSD CVA'!$AM$9)*1</f>
        <v>9.1574451247299731</v>
      </c>
      <c r="Z101" s="6"/>
      <c r="AA101" s="6"/>
      <c r="AB101" s="6">
        <f t="shared" si="6"/>
        <v>0</v>
      </c>
      <c r="AC101" s="6">
        <f t="shared" si="7"/>
        <v>0</v>
      </c>
      <c r="AD101" s="6">
        <f t="shared" ca="1" si="8"/>
        <v>0</v>
      </c>
      <c r="AE101" s="6">
        <f t="shared" si="9"/>
        <v>0</v>
      </c>
      <c r="AF101" s="4" t="s">
        <v>843</v>
      </c>
    </row>
    <row r="102" spans="1:32" ht="11.25" customHeight="1" x14ac:dyDescent="0.25">
      <c r="A102" s="4" t="s">
        <v>21</v>
      </c>
      <c r="B102" s="4" t="s">
        <v>43</v>
      </c>
      <c r="C102" s="4" t="s">
        <v>63</v>
      </c>
      <c r="D102" s="4" t="s">
        <v>25</v>
      </c>
      <c r="E102" s="4" t="s">
        <v>25</v>
      </c>
      <c r="F102" s="4" t="s">
        <v>25</v>
      </c>
      <c r="G102" s="4" t="s">
        <v>68</v>
      </c>
      <c r="H102" s="4" t="s">
        <v>25</v>
      </c>
      <c r="I102" s="5">
        <v>44287</v>
      </c>
      <c r="J102" s="6">
        <v>60000</v>
      </c>
      <c r="K102" s="6">
        <v>60000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4" t="s">
        <v>65</v>
      </c>
      <c r="R102" s="4">
        <v>29361</v>
      </c>
      <c r="S102" s="4">
        <v>27</v>
      </c>
      <c r="T102" s="4">
        <v>0</v>
      </c>
      <c r="U102" s="4">
        <v>0</v>
      </c>
      <c r="V102" s="6">
        <f>IF(ISERROR(VLOOKUP($S$102,'TAR FIN'!$A$1:$O$95,15,0)),0,VLOOKUP($S$102,'TAR FIN'!$A$1:$O$95,15,0))</f>
        <v>7.58</v>
      </c>
      <c r="W102" s="6">
        <f>IF(ISERROR(VLOOKUP($T$102,'TAR FIN'!$A$1:$O$95,15,0)),0,VLOOKUP($T$102,'TAR FIN'!$A$1:$O$95,15,0))</f>
        <v>0</v>
      </c>
      <c r="X102" s="6">
        <f>IF(ISERROR(VLOOKUP($U$102,'TAR FIN'!$A$1:$O$95,15,0)),0,VLOOKUP($U$102,'TAR FIN'!$A$1:$O$95,15,0))</f>
        <v>0</v>
      </c>
      <c r="Y102" s="6">
        <f ca="1">('TUSD BE'!$AM$9+'TUSD BF'!$AM$9+'TUSD CVA'!$AM$9)*1</f>
        <v>9.1574451247299731</v>
      </c>
      <c r="Z102" s="6"/>
      <c r="AA102" s="6"/>
      <c r="AB102" s="6">
        <f t="shared" si="6"/>
        <v>0</v>
      </c>
      <c r="AC102" s="6">
        <f t="shared" si="7"/>
        <v>0</v>
      </c>
      <c r="AD102" s="6">
        <f t="shared" ca="1" si="8"/>
        <v>0</v>
      </c>
      <c r="AE102" s="6">
        <f t="shared" si="9"/>
        <v>0</v>
      </c>
      <c r="AF102" s="4" t="s">
        <v>843</v>
      </c>
    </row>
    <row r="103" spans="1:32" ht="11.25" customHeight="1" x14ac:dyDescent="0.25">
      <c r="A103" s="4" t="s">
        <v>21</v>
      </c>
      <c r="B103" s="4" t="s">
        <v>43</v>
      </c>
      <c r="C103" s="4" t="s">
        <v>63</v>
      </c>
      <c r="D103" s="4" t="s">
        <v>25</v>
      </c>
      <c r="E103" s="4" t="s">
        <v>25</v>
      </c>
      <c r="F103" s="4" t="s">
        <v>25</v>
      </c>
      <c r="G103" s="4" t="s">
        <v>69</v>
      </c>
      <c r="H103" s="4" t="s">
        <v>25</v>
      </c>
      <c r="I103" s="5">
        <v>44287</v>
      </c>
      <c r="J103" s="6">
        <v>63000</v>
      </c>
      <c r="K103" s="6">
        <v>63000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4" t="s">
        <v>65</v>
      </c>
      <c r="R103" s="4">
        <v>29432</v>
      </c>
      <c r="S103" s="4">
        <v>27</v>
      </c>
      <c r="T103" s="4">
        <v>0</v>
      </c>
      <c r="U103" s="4">
        <v>0</v>
      </c>
      <c r="V103" s="6">
        <f>IF(ISERROR(VLOOKUP($S$103,'TAR FIN'!$A$1:$O$95,15,0)),0,VLOOKUP($S$103,'TAR FIN'!$A$1:$O$95,15,0))</f>
        <v>7.58</v>
      </c>
      <c r="W103" s="6">
        <f>IF(ISERROR(VLOOKUP($T$103,'TAR FIN'!$A$1:$O$95,15,0)),0,VLOOKUP($T$103,'TAR FIN'!$A$1:$O$95,15,0))</f>
        <v>0</v>
      </c>
      <c r="X103" s="6">
        <f>IF(ISERROR(VLOOKUP($U$103,'TAR FIN'!$A$1:$O$95,15,0)),0,VLOOKUP($U$103,'TAR FIN'!$A$1:$O$95,15,0))</f>
        <v>0</v>
      </c>
      <c r="Y103" s="6">
        <f ca="1">('TUSD BE'!$AM$9+'TUSD BF'!$AM$9+'TUSD CVA'!$AM$9)*1</f>
        <v>9.1574451247299731</v>
      </c>
      <c r="Z103" s="6"/>
      <c r="AA103" s="6"/>
      <c r="AB103" s="6">
        <f t="shared" si="6"/>
        <v>0</v>
      </c>
      <c r="AC103" s="6">
        <f t="shared" si="7"/>
        <v>0</v>
      </c>
      <c r="AD103" s="6">
        <f t="shared" ca="1" si="8"/>
        <v>0</v>
      </c>
      <c r="AE103" s="6">
        <f t="shared" si="9"/>
        <v>0</v>
      </c>
      <c r="AF103" s="4" t="s">
        <v>843</v>
      </c>
    </row>
    <row r="104" spans="1:32" ht="11.25" customHeight="1" x14ac:dyDescent="0.25">
      <c r="A104" s="4" t="s">
        <v>21</v>
      </c>
      <c r="B104" s="4" t="s">
        <v>43</v>
      </c>
      <c r="C104" s="4" t="s">
        <v>63</v>
      </c>
      <c r="D104" s="4" t="s">
        <v>25</v>
      </c>
      <c r="E104" s="4" t="s">
        <v>25</v>
      </c>
      <c r="F104" s="4" t="s">
        <v>25</v>
      </c>
      <c r="G104" s="4" t="s">
        <v>64</v>
      </c>
      <c r="H104" s="4" t="s">
        <v>25</v>
      </c>
      <c r="I104" s="5">
        <v>44317</v>
      </c>
      <c r="J104" s="6">
        <v>157500</v>
      </c>
      <c r="K104" s="6">
        <v>157500</v>
      </c>
      <c r="L104" s="6">
        <v>0</v>
      </c>
      <c r="M104" s="6">
        <v>0</v>
      </c>
      <c r="N104" s="6">
        <v>0</v>
      </c>
      <c r="O104" s="6">
        <v>0</v>
      </c>
      <c r="P104" s="6">
        <v>0</v>
      </c>
      <c r="Q104" s="4" t="s">
        <v>65</v>
      </c>
      <c r="R104" s="4">
        <v>27250</v>
      </c>
      <c r="S104" s="4">
        <v>27</v>
      </c>
      <c r="T104" s="4">
        <v>0</v>
      </c>
      <c r="U104" s="4">
        <v>0</v>
      </c>
      <c r="V104" s="6">
        <f>IF(ISERROR(VLOOKUP($S$104,'TAR FIN'!$A$1:$O$95,15,0)),0,VLOOKUP($S$104,'TAR FIN'!$A$1:$O$95,15,0))</f>
        <v>7.58</v>
      </c>
      <c r="W104" s="6">
        <f>IF(ISERROR(VLOOKUP($T$104,'TAR FIN'!$A$1:$O$95,15,0)),0,VLOOKUP($T$104,'TAR FIN'!$A$1:$O$95,15,0))</f>
        <v>0</v>
      </c>
      <c r="X104" s="6">
        <f>IF(ISERROR(VLOOKUP($U$104,'TAR FIN'!$A$1:$O$95,15,0)),0,VLOOKUP($U$104,'TAR FIN'!$A$1:$O$95,15,0))</f>
        <v>0</v>
      </c>
      <c r="Y104" s="6">
        <f ca="1">('TUSD BE'!$AM$9+'TUSD BF'!$AM$9+'TUSD CVA'!$AM$9)*1</f>
        <v>9.1574451247299731</v>
      </c>
      <c r="Z104" s="6"/>
      <c r="AA104" s="6"/>
      <c r="AB104" s="6">
        <f t="shared" si="6"/>
        <v>0</v>
      </c>
      <c r="AC104" s="6">
        <f t="shared" si="7"/>
        <v>0</v>
      </c>
      <c r="AD104" s="6">
        <f t="shared" ca="1" si="8"/>
        <v>0</v>
      </c>
      <c r="AE104" s="6">
        <f t="shared" si="9"/>
        <v>0</v>
      </c>
      <c r="AF104" s="4" t="s">
        <v>843</v>
      </c>
    </row>
    <row r="105" spans="1:32" ht="11.25" customHeight="1" x14ac:dyDescent="0.25">
      <c r="A105" s="4" t="s">
        <v>21</v>
      </c>
      <c r="B105" s="4" t="s">
        <v>43</v>
      </c>
      <c r="C105" s="4" t="s">
        <v>63</v>
      </c>
      <c r="D105" s="4" t="s">
        <v>25</v>
      </c>
      <c r="E105" s="4" t="s">
        <v>25</v>
      </c>
      <c r="F105" s="4" t="s">
        <v>25</v>
      </c>
      <c r="G105" s="4" t="s">
        <v>66</v>
      </c>
      <c r="H105" s="4" t="s">
        <v>25</v>
      </c>
      <c r="I105" s="5">
        <v>44317</v>
      </c>
      <c r="J105" s="6">
        <v>60000</v>
      </c>
      <c r="K105" s="6">
        <v>60000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4" t="s">
        <v>65</v>
      </c>
      <c r="R105" s="4">
        <v>29272</v>
      </c>
      <c r="S105" s="4">
        <v>27</v>
      </c>
      <c r="T105" s="4">
        <v>0</v>
      </c>
      <c r="U105" s="4">
        <v>0</v>
      </c>
      <c r="V105" s="6">
        <f>IF(ISERROR(VLOOKUP($S$105,'TAR FIN'!$A$1:$O$95,15,0)),0,VLOOKUP($S$105,'TAR FIN'!$A$1:$O$95,15,0))</f>
        <v>7.58</v>
      </c>
      <c r="W105" s="6">
        <f>IF(ISERROR(VLOOKUP($T$105,'TAR FIN'!$A$1:$O$95,15,0)),0,VLOOKUP($T$105,'TAR FIN'!$A$1:$O$95,15,0))</f>
        <v>0</v>
      </c>
      <c r="X105" s="6">
        <f>IF(ISERROR(VLOOKUP($U$105,'TAR FIN'!$A$1:$O$95,15,0)),0,VLOOKUP($U$105,'TAR FIN'!$A$1:$O$95,15,0))</f>
        <v>0</v>
      </c>
      <c r="Y105" s="6">
        <f ca="1">('TUSD BE'!$AM$9+'TUSD BF'!$AM$9+'TUSD CVA'!$AM$9)*1</f>
        <v>9.1574451247299731</v>
      </c>
      <c r="Z105" s="6"/>
      <c r="AA105" s="6"/>
      <c r="AB105" s="6">
        <f t="shared" si="6"/>
        <v>0</v>
      </c>
      <c r="AC105" s="6">
        <f t="shared" si="7"/>
        <v>0</v>
      </c>
      <c r="AD105" s="6">
        <f t="shared" ca="1" si="8"/>
        <v>0</v>
      </c>
      <c r="AE105" s="6">
        <f t="shared" si="9"/>
        <v>0</v>
      </c>
      <c r="AF105" s="4" t="s">
        <v>843</v>
      </c>
    </row>
    <row r="106" spans="1:32" ht="11.25" customHeight="1" x14ac:dyDescent="0.25">
      <c r="A106" s="4" t="s">
        <v>21</v>
      </c>
      <c r="B106" s="4" t="s">
        <v>43</v>
      </c>
      <c r="C106" s="4" t="s">
        <v>63</v>
      </c>
      <c r="D106" s="4" t="s">
        <v>25</v>
      </c>
      <c r="E106" s="4" t="s">
        <v>25</v>
      </c>
      <c r="F106" s="4" t="s">
        <v>25</v>
      </c>
      <c r="G106" s="4" t="s">
        <v>67</v>
      </c>
      <c r="H106" s="4" t="s">
        <v>25</v>
      </c>
      <c r="I106" s="5">
        <v>44317</v>
      </c>
      <c r="J106" s="6">
        <v>60000</v>
      </c>
      <c r="K106" s="6">
        <v>60000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4" t="s">
        <v>65</v>
      </c>
      <c r="R106" s="4">
        <v>29276</v>
      </c>
      <c r="S106" s="4">
        <v>27</v>
      </c>
      <c r="T106" s="4">
        <v>0</v>
      </c>
      <c r="U106" s="4">
        <v>0</v>
      </c>
      <c r="V106" s="6">
        <f>IF(ISERROR(VLOOKUP($S$106,'TAR FIN'!$A$1:$O$95,15,0)),0,VLOOKUP($S$106,'TAR FIN'!$A$1:$O$95,15,0))</f>
        <v>7.58</v>
      </c>
      <c r="W106" s="6">
        <f>IF(ISERROR(VLOOKUP($T$106,'TAR FIN'!$A$1:$O$95,15,0)),0,VLOOKUP($T$106,'TAR FIN'!$A$1:$O$95,15,0))</f>
        <v>0</v>
      </c>
      <c r="X106" s="6">
        <f>IF(ISERROR(VLOOKUP($U$106,'TAR FIN'!$A$1:$O$95,15,0)),0,VLOOKUP($U$106,'TAR FIN'!$A$1:$O$95,15,0))</f>
        <v>0</v>
      </c>
      <c r="Y106" s="6">
        <f ca="1">('TUSD BE'!$AM$9+'TUSD BF'!$AM$9+'TUSD CVA'!$AM$9)*1</f>
        <v>9.1574451247299731</v>
      </c>
      <c r="Z106" s="6"/>
      <c r="AA106" s="6"/>
      <c r="AB106" s="6">
        <f t="shared" si="6"/>
        <v>0</v>
      </c>
      <c r="AC106" s="6">
        <f t="shared" si="7"/>
        <v>0</v>
      </c>
      <c r="AD106" s="6">
        <f t="shared" ca="1" si="8"/>
        <v>0</v>
      </c>
      <c r="AE106" s="6">
        <f t="shared" si="9"/>
        <v>0</v>
      </c>
      <c r="AF106" s="4" t="s">
        <v>843</v>
      </c>
    </row>
    <row r="107" spans="1:32" ht="11.25" customHeight="1" x14ac:dyDescent="0.25">
      <c r="A107" s="4" t="s">
        <v>21</v>
      </c>
      <c r="B107" s="4" t="s">
        <v>43</v>
      </c>
      <c r="C107" s="4" t="s">
        <v>63</v>
      </c>
      <c r="D107" s="4" t="s">
        <v>25</v>
      </c>
      <c r="E107" s="4" t="s">
        <v>25</v>
      </c>
      <c r="F107" s="4" t="s">
        <v>25</v>
      </c>
      <c r="G107" s="4" t="s">
        <v>68</v>
      </c>
      <c r="H107" s="4" t="s">
        <v>25</v>
      </c>
      <c r="I107" s="5">
        <v>44317</v>
      </c>
      <c r="J107" s="6">
        <v>60000</v>
      </c>
      <c r="K107" s="6">
        <v>60000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4" t="s">
        <v>65</v>
      </c>
      <c r="R107" s="4">
        <v>29361</v>
      </c>
      <c r="S107" s="4">
        <v>27</v>
      </c>
      <c r="T107" s="4">
        <v>0</v>
      </c>
      <c r="U107" s="4">
        <v>0</v>
      </c>
      <c r="V107" s="6">
        <f>IF(ISERROR(VLOOKUP($S$107,'TAR FIN'!$A$1:$O$95,15,0)),0,VLOOKUP($S$107,'TAR FIN'!$A$1:$O$95,15,0))</f>
        <v>7.58</v>
      </c>
      <c r="W107" s="6">
        <f>IF(ISERROR(VLOOKUP($T$107,'TAR FIN'!$A$1:$O$95,15,0)),0,VLOOKUP($T$107,'TAR FIN'!$A$1:$O$95,15,0))</f>
        <v>0</v>
      </c>
      <c r="X107" s="6">
        <f>IF(ISERROR(VLOOKUP($U$107,'TAR FIN'!$A$1:$O$95,15,0)),0,VLOOKUP($U$107,'TAR FIN'!$A$1:$O$95,15,0))</f>
        <v>0</v>
      </c>
      <c r="Y107" s="6">
        <f ca="1">('TUSD BE'!$AM$9+'TUSD BF'!$AM$9+'TUSD CVA'!$AM$9)*1</f>
        <v>9.1574451247299731</v>
      </c>
      <c r="Z107" s="6"/>
      <c r="AA107" s="6"/>
      <c r="AB107" s="6">
        <f t="shared" si="6"/>
        <v>0</v>
      </c>
      <c r="AC107" s="6">
        <f t="shared" si="7"/>
        <v>0</v>
      </c>
      <c r="AD107" s="6">
        <f t="shared" ca="1" si="8"/>
        <v>0</v>
      </c>
      <c r="AE107" s="6">
        <f t="shared" si="9"/>
        <v>0</v>
      </c>
      <c r="AF107" s="4" t="s">
        <v>843</v>
      </c>
    </row>
    <row r="108" spans="1:32" ht="11.25" customHeight="1" x14ac:dyDescent="0.25">
      <c r="A108" s="4" t="s">
        <v>21</v>
      </c>
      <c r="B108" s="4" t="s">
        <v>43</v>
      </c>
      <c r="C108" s="4" t="s">
        <v>63</v>
      </c>
      <c r="D108" s="4" t="s">
        <v>25</v>
      </c>
      <c r="E108" s="4" t="s">
        <v>25</v>
      </c>
      <c r="F108" s="4" t="s">
        <v>25</v>
      </c>
      <c r="G108" s="4" t="s">
        <v>69</v>
      </c>
      <c r="H108" s="4" t="s">
        <v>25</v>
      </c>
      <c r="I108" s="5">
        <v>44317</v>
      </c>
      <c r="J108" s="6">
        <v>63000</v>
      </c>
      <c r="K108" s="6">
        <v>63000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4" t="s">
        <v>65</v>
      </c>
      <c r="R108" s="4">
        <v>29432</v>
      </c>
      <c r="S108" s="4">
        <v>27</v>
      </c>
      <c r="T108" s="4">
        <v>0</v>
      </c>
      <c r="U108" s="4">
        <v>0</v>
      </c>
      <c r="V108" s="6">
        <f>IF(ISERROR(VLOOKUP($S$108,'TAR FIN'!$A$1:$O$95,15,0)),0,VLOOKUP($S$108,'TAR FIN'!$A$1:$O$95,15,0))</f>
        <v>7.58</v>
      </c>
      <c r="W108" s="6">
        <f>IF(ISERROR(VLOOKUP($T$108,'TAR FIN'!$A$1:$O$95,15,0)),0,VLOOKUP($T$108,'TAR FIN'!$A$1:$O$95,15,0))</f>
        <v>0</v>
      </c>
      <c r="X108" s="6">
        <f>IF(ISERROR(VLOOKUP($U$108,'TAR FIN'!$A$1:$O$95,15,0)),0,VLOOKUP($U$108,'TAR FIN'!$A$1:$O$95,15,0))</f>
        <v>0</v>
      </c>
      <c r="Y108" s="6">
        <f ca="1">('TUSD BE'!$AM$9+'TUSD BF'!$AM$9+'TUSD CVA'!$AM$9)*1</f>
        <v>9.1574451247299731</v>
      </c>
      <c r="Z108" s="6"/>
      <c r="AA108" s="6"/>
      <c r="AB108" s="6">
        <f t="shared" si="6"/>
        <v>0</v>
      </c>
      <c r="AC108" s="6">
        <f t="shared" si="7"/>
        <v>0</v>
      </c>
      <c r="AD108" s="6">
        <f t="shared" ca="1" si="8"/>
        <v>0</v>
      </c>
      <c r="AE108" s="6">
        <f t="shared" si="9"/>
        <v>0</v>
      </c>
      <c r="AF108" s="4" t="s">
        <v>843</v>
      </c>
    </row>
    <row r="109" spans="1:32" ht="11.25" customHeight="1" x14ac:dyDescent="0.25">
      <c r="A109" s="4" t="s">
        <v>21</v>
      </c>
      <c r="B109" s="4" t="s">
        <v>43</v>
      </c>
      <c r="C109" s="4" t="s">
        <v>63</v>
      </c>
      <c r="D109" s="4" t="s">
        <v>25</v>
      </c>
      <c r="E109" s="4" t="s">
        <v>25</v>
      </c>
      <c r="F109" s="4" t="s">
        <v>25</v>
      </c>
      <c r="G109" s="4" t="s">
        <v>64</v>
      </c>
      <c r="H109" s="4" t="s">
        <v>25</v>
      </c>
      <c r="I109" s="5">
        <v>44348</v>
      </c>
      <c r="J109" s="6">
        <v>157500</v>
      </c>
      <c r="K109" s="6">
        <v>157500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4" t="s">
        <v>65</v>
      </c>
      <c r="R109" s="4">
        <v>27250</v>
      </c>
      <c r="S109" s="4">
        <v>27</v>
      </c>
      <c r="T109" s="4">
        <v>0</v>
      </c>
      <c r="U109" s="4">
        <v>0</v>
      </c>
      <c r="V109" s="6">
        <f>IF(ISERROR(VLOOKUP($S$109,'TAR FIN'!$A$1:$O$95,15,0)),0,VLOOKUP($S$109,'TAR FIN'!$A$1:$O$95,15,0))</f>
        <v>7.58</v>
      </c>
      <c r="W109" s="6">
        <f>IF(ISERROR(VLOOKUP($T$109,'TAR FIN'!$A$1:$O$95,15,0)),0,VLOOKUP($T$109,'TAR FIN'!$A$1:$O$95,15,0))</f>
        <v>0</v>
      </c>
      <c r="X109" s="6">
        <f>IF(ISERROR(VLOOKUP($U$109,'TAR FIN'!$A$1:$O$95,15,0)),0,VLOOKUP($U$109,'TAR FIN'!$A$1:$O$95,15,0))</f>
        <v>0</v>
      </c>
      <c r="Y109" s="6">
        <f ca="1">('TUSD BE'!$AM$9+'TUSD BF'!$AM$9+'TUSD CVA'!$AM$9)*1</f>
        <v>9.1574451247299731</v>
      </c>
      <c r="Z109" s="6"/>
      <c r="AA109" s="6"/>
      <c r="AB109" s="6">
        <f t="shared" si="6"/>
        <v>0</v>
      </c>
      <c r="AC109" s="6">
        <f t="shared" si="7"/>
        <v>0</v>
      </c>
      <c r="AD109" s="6">
        <f t="shared" ca="1" si="8"/>
        <v>0</v>
      </c>
      <c r="AE109" s="6">
        <f t="shared" si="9"/>
        <v>0</v>
      </c>
      <c r="AF109" s="4" t="s">
        <v>843</v>
      </c>
    </row>
    <row r="110" spans="1:32" ht="11.25" customHeight="1" x14ac:dyDescent="0.25">
      <c r="A110" s="4" t="s">
        <v>21</v>
      </c>
      <c r="B110" s="4" t="s">
        <v>43</v>
      </c>
      <c r="C110" s="4" t="s">
        <v>63</v>
      </c>
      <c r="D110" s="4" t="s">
        <v>25</v>
      </c>
      <c r="E110" s="4" t="s">
        <v>25</v>
      </c>
      <c r="F110" s="4" t="s">
        <v>25</v>
      </c>
      <c r="G110" s="4" t="s">
        <v>66</v>
      </c>
      <c r="H110" s="4" t="s">
        <v>25</v>
      </c>
      <c r="I110" s="5">
        <v>44348</v>
      </c>
      <c r="J110" s="6">
        <v>60000</v>
      </c>
      <c r="K110" s="6">
        <v>60000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4" t="s">
        <v>65</v>
      </c>
      <c r="R110" s="4">
        <v>29272</v>
      </c>
      <c r="S110" s="4">
        <v>27</v>
      </c>
      <c r="T110" s="4">
        <v>0</v>
      </c>
      <c r="U110" s="4">
        <v>0</v>
      </c>
      <c r="V110" s="6">
        <f>IF(ISERROR(VLOOKUP($S$110,'TAR FIN'!$A$1:$O$95,15,0)),0,VLOOKUP($S$110,'TAR FIN'!$A$1:$O$95,15,0))</f>
        <v>7.58</v>
      </c>
      <c r="W110" s="6">
        <f>IF(ISERROR(VLOOKUP($T$110,'TAR FIN'!$A$1:$O$95,15,0)),0,VLOOKUP($T$110,'TAR FIN'!$A$1:$O$95,15,0))</f>
        <v>0</v>
      </c>
      <c r="X110" s="6">
        <f>IF(ISERROR(VLOOKUP($U$110,'TAR FIN'!$A$1:$O$95,15,0)),0,VLOOKUP($U$110,'TAR FIN'!$A$1:$O$95,15,0))</f>
        <v>0</v>
      </c>
      <c r="Y110" s="6">
        <f ca="1">('TUSD BE'!$AM$9+'TUSD BF'!$AM$9+'TUSD CVA'!$AM$9)*1</f>
        <v>9.1574451247299731</v>
      </c>
      <c r="Z110" s="6"/>
      <c r="AA110" s="6"/>
      <c r="AB110" s="6">
        <f t="shared" si="6"/>
        <v>0</v>
      </c>
      <c r="AC110" s="6">
        <f t="shared" si="7"/>
        <v>0</v>
      </c>
      <c r="AD110" s="6">
        <f t="shared" ca="1" si="8"/>
        <v>0</v>
      </c>
      <c r="AE110" s="6">
        <f t="shared" si="9"/>
        <v>0</v>
      </c>
      <c r="AF110" s="4" t="s">
        <v>843</v>
      </c>
    </row>
    <row r="111" spans="1:32" ht="11.25" customHeight="1" x14ac:dyDescent="0.25">
      <c r="A111" s="4" t="s">
        <v>21</v>
      </c>
      <c r="B111" s="4" t="s">
        <v>43</v>
      </c>
      <c r="C111" s="4" t="s">
        <v>63</v>
      </c>
      <c r="D111" s="4" t="s">
        <v>25</v>
      </c>
      <c r="E111" s="4" t="s">
        <v>25</v>
      </c>
      <c r="F111" s="4" t="s">
        <v>25</v>
      </c>
      <c r="G111" s="4" t="s">
        <v>67</v>
      </c>
      <c r="H111" s="4" t="s">
        <v>25</v>
      </c>
      <c r="I111" s="5">
        <v>44348</v>
      </c>
      <c r="J111" s="6">
        <v>60000</v>
      </c>
      <c r="K111" s="6">
        <v>60000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4" t="s">
        <v>65</v>
      </c>
      <c r="R111" s="4">
        <v>29276</v>
      </c>
      <c r="S111" s="4">
        <v>27</v>
      </c>
      <c r="T111" s="4">
        <v>0</v>
      </c>
      <c r="U111" s="4">
        <v>0</v>
      </c>
      <c r="V111" s="6">
        <f>IF(ISERROR(VLOOKUP($S$111,'TAR FIN'!$A$1:$O$95,15,0)),0,VLOOKUP($S$111,'TAR FIN'!$A$1:$O$95,15,0))</f>
        <v>7.58</v>
      </c>
      <c r="W111" s="6">
        <f>IF(ISERROR(VLOOKUP($T$111,'TAR FIN'!$A$1:$O$95,15,0)),0,VLOOKUP($T$111,'TAR FIN'!$A$1:$O$95,15,0))</f>
        <v>0</v>
      </c>
      <c r="X111" s="6">
        <f>IF(ISERROR(VLOOKUP($U$111,'TAR FIN'!$A$1:$O$95,15,0)),0,VLOOKUP($U$111,'TAR FIN'!$A$1:$O$95,15,0))</f>
        <v>0</v>
      </c>
      <c r="Y111" s="6">
        <f ca="1">('TUSD BE'!$AM$9+'TUSD BF'!$AM$9+'TUSD CVA'!$AM$9)*1</f>
        <v>9.1574451247299731</v>
      </c>
      <c r="Z111" s="6"/>
      <c r="AA111" s="6"/>
      <c r="AB111" s="6">
        <f t="shared" si="6"/>
        <v>0</v>
      </c>
      <c r="AC111" s="6">
        <f t="shared" si="7"/>
        <v>0</v>
      </c>
      <c r="AD111" s="6">
        <f t="shared" ca="1" si="8"/>
        <v>0</v>
      </c>
      <c r="AE111" s="6">
        <f t="shared" si="9"/>
        <v>0</v>
      </c>
      <c r="AF111" s="4" t="s">
        <v>843</v>
      </c>
    </row>
    <row r="112" spans="1:32" ht="11.25" customHeight="1" x14ac:dyDescent="0.25">
      <c r="A112" s="4" t="s">
        <v>21</v>
      </c>
      <c r="B112" s="4" t="s">
        <v>43</v>
      </c>
      <c r="C112" s="4" t="s">
        <v>63</v>
      </c>
      <c r="D112" s="4" t="s">
        <v>25</v>
      </c>
      <c r="E112" s="4" t="s">
        <v>25</v>
      </c>
      <c r="F112" s="4" t="s">
        <v>25</v>
      </c>
      <c r="G112" s="4" t="s">
        <v>68</v>
      </c>
      <c r="H112" s="4" t="s">
        <v>25</v>
      </c>
      <c r="I112" s="5">
        <v>44348</v>
      </c>
      <c r="J112" s="6">
        <v>60000</v>
      </c>
      <c r="K112" s="6">
        <v>60000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4" t="s">
        <v>65</v>
      </c>
      <c r="R112" s="4">
        <v>29361</v>
      </c>
      <c r="S112" s="4">
        <v>27</v>
      </c>
      <c r="T112" s="4">
        <v>0</v>
      </c>
      <c r="U112" s="4">
        <v>0</v>
      </c>
      <c r="V112" s="6">
        <f>IF(ISERROR(VLOOKUP($S$112,'TAR FIN'!$A$1:$O$95,15,0)),0,VLOOKUP($S$112,'TAR FIN'!$A$1:$O$95,15,0))</f>
        <v>7.58</v>
      </c>
      <c r="W112" s="6">
        <f>IF(ISERROR(VLOOKUP($T$112,'TAR FIN'!$A$1:$O$95,15,0)),0,VLOOKUP($T$112,'TAR FIN'!$A$1:$O$95,15,0))</f>
        <v>0</v>
      </c>
      <c r="X112" s="6">
        <f>IF(ISERROR(VLOOKUP($U$112,'TAR FIN'!$A$1:$O$95,15,0)),0,VLOOKUP($U$112,'TAR FIN'!$A$1:$O$95,15,0))</f>
        <v>0</v>
      </c>
      <c r="Y112" s="6">
        <f ca="1">('TUSD BE'!$AM$9+'TUSD BF'!$AM$9+'TUSD CVA'!$AM$9)*1</f>
        <v>9.1574451247299731</v>
      </c>
      <c r="Z112" s="6"/>
      <c r="AA112" s="6"/>
      <c r="AB112" s="6">
        <f t="shared" si="6"/>
        <v>0</v>
      </c>
      <c r="AC112" s="6">
        <f t="shared" si="7"/>
        <v>0</v>
      </c>
      <c r="AD112" s="6">
        <f t="shared" ca="1" si="8"/>
        <v>0</v>
      </c>
      <c r="AE112" s="6">
        <f t="shared" si="9"/>
        <v>0</v>
      </c>
      <c r="AF112" s="4" t="s">
        <v>843</v>
      </c>
    </row>
    <row r="113" spans="1:32" ht="11.25" customHeight="1" x14ac:dyDescent="0.25">
      <c r="A113" s="4" t="s">
        <v>21</v>
      </c>
      <c r="B113" s="4" t="s">
        <v>43</v>
      </c>
      <c r="C113" s="4" t="s">
        <v>63</v>
      </c>
      <c r="D113" s="4" t="s">
        <v>25</v>
      </c>
      <c r="E113" s="4" t="s">
        <v>25</v>
      </c>
      <c r="F113" s="4" t="s">
        <v>25</v>
      </c>
      <c r="G113" s="4" t="s">
        <v>69</v>
      </c>
      <c r="H113" s="4" t="s">
        <v>25</v>
      </c>
      <c r="I113" s="5">
        <v>44348</v>
      </c>
      <c r="J113" s="6">
        <v>63000</v>
      </c>
      <c r="K113" s="6">
        <v>63000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4" t="s">
        <v>65</v>
      </c>
      <c r="R113" s="4">
        <v>29432</v>
      </c>
      <c r="S113" s="4">
        <v>27</v>
      </c>
      <c r="T113" s="4">
        <v>0</v>
      </c>
      <c r="U113" s="4">
        <v>0</v>
      </c>
      <c r="V113" s="6">
        <f>IF(ISERROR(VLOOKUP($S$113,'TAR FIN'!$A$1:$O$95,15,0)),0,VLOOKUP($S$113,'TAR FIN'!$A$1:$O$95,15,0))</f>
        <v>7.58</v>
      </c>
      <c r="W113" s="6">
        <f>IF(ISERROR(VLOOKUP($T$113,'TAR FIN'!$A$1:$O$95,15,0)),0,VLOOKUP($T$113,'TAR FIN'!$A$1:$O$95,15,0))</f>
        <v>0</v>
      </c>
      <c r="X113" s="6">
        <f>IF(ISERROR(VLOOKUP($U$113,'TAR FIN'!$A$1:$O$95,15,0)),0,VLOOKUP($U$113,'TAR FIN'!$A$1:$O$95,15,0))</f>
        <v>0</v>
      </c>
      <c r="Y113" s="6">
        <f ca="1">('TUSD BE'!$AM$9+'TUSD BF'!$AM$9+'TUSD CVA'!$AM$9)*1</f>
        <v>9.1574451247299731</v>
      </c>
      <c r="Z113" s="6"/>
      <c r="AA113" s="6"/>
      <c r="AB113" s="6">
        <f t="shared" si="6"/>
        <v>0</v>
      </c>
      <c r="AC113" s="6">
        <f t="shared" si="7"/>
        <v>0</v>
      </c>
      <c r="AD113" s="6">
        <f t="shared" ca="1" si="8"/>
        <v>0</v>
      </c>
      <c r="AE113" s="6">
        <f t="shared" si="9"/>
        <v>0</v>
      </c>
      <c r="AF113" s="4" t="s">
        <v>843</v>
      </c>
    </row>
    <row r="114" spans="1:32" ht="11.25" customHeight="1" x14ac:dyDescent="0.25">
      <c r="A114" s="4" t="s">
        <v>21</v>
      </c>
      <c r="B114" s="4" t="s">
        <v>43</v>
      </c>
      <c r="C114" s="4" t="s">
        <v>63</v>
      </c>
      <c r="D114" s="4" t="s">
        <v>25</v>
      </c>
      <c r="E114" s="4" t="s">
        <v>25</v>
      </c>
      <c r="F114" s="4" t="s">
        <v>25</v>
      </c>
      <c r="G114" s="4" t="s">
        <v>64</v>
      </c>
      <c r="H114" s="4" t="s">
        <v>25</v>
      </c>
      <c r="I114" s="5">
        <v>44378</v>
      </c>
      <c r="J114" s="6">
        <v>157500</v>
      </c>
      <c r="K114" s="6">
        <v>157500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4" t="s">
        <v>65</v>
      </c>
      <c r="R114" s="4">
        <v>27250</v>
      </c>
      <c r="S114" s="4">
        <v>27</v>
      </c>
      <c r="T114" s="4">
        <v>0</v>
      </c>
      <c r="U114" s="4">
        <v>0</v>
      </c>
      <c r="V114" s="6">
        <f>IF(ISERROR(VLOOKUP($S$114,'TAR FIN'!$A$1:$O$95,15,0)),0,VLOOKUP($S$114,'TAR FIN'!$A$1:$O$95,15,0))</f>
        <v>7.58</v>
      </c>
      <c r="W114" s="6">
        <f>IF(ISERROR(VLOOKUP($T$114,'TAR FIN'!$A$1:$O$95,15,0)),0,VLOOKUP($T$114,'TAR FIN'!$A$1:$O$95,15,0))</f>
        <v>0</v>
      </c>
      <c r="X114" s="6">
        <f>IF(ISERROR(VLOOKUP($U$114,'TAR FIN'!$A$1:$O$95,15,0)),0,VLOOKUP($U$114,'TAR FIN'!$A$1:$O$95,15,0))</f>
        <v>0</v>
      </c>
      <c r="Y114" s="6">
        <f ca="1">('TUSD BE'!$AM$9+'TUSD BF'!$AM$9+'TUSD CVA'!$AM$9)*1</f>
        <v>9.1574451247299731</v>
      </c>
      <c r="Z114" s="6"/>
      <c r="AA114" s="6"/>
      <c r="AB114" s="6">
        <f t="shared" si="6"/>
        <v>0</v>
      </c>
      <c r="AC114" s="6">
        <f t="shared" si="7"/>
        <v>0</v>
      </c>
      <c r="AD114" s="6">
        <f t="shared" ca="1" si="8"/>
        <v>0</v>
      </c>
      <c r="AE114" s="6">
        <f t="shared" si="9"/>
        <v>0</v>
      </c>
      <c r="AF114" s="4" t="s">
        <v>843</v>
      </c>
    </row>
    <row r="115" spans="1:32" ht="11.25" customHeight="1" x14ac:dyDescent="0.25">
      <c r="A115" s="4" t="s">
        <v>21</v>
      </c>
      <c r="B115" s="4" t="s">
        <v>43</v>
      </c>
      <c r="C115" s="4" t="s">
        <v>63</v>
      </c>
      <c r="D115" s="4" t="s">
        <v>25</v>
      </c>
      <c r="E115" s="4" t="s">
        <v>25</v>
      </c>
      <c r="F115" s="4" t="s">
        <v>25</v>
      </c>
      <c r="G115" s="4" t="s">
        <v>66</v>
      </c>
      <c r="H115" s="4" t="s">
        <v>25</v>
      </c>
      <c r="I115" s="5">
        <v>44378</v>
      </c>
      <c r="J115" s="6">
        <v>60000</v>
      </c>
      <c r="K115" s="6">
        <v>60000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4" t="s">
        <v>65</v>
      </c>
      <c r="R115" s="4">
        <v>29272</v>
      </c>
      <c r="S115" s="4">
        <v>27</v>
      </c>
      <c r="T115" s="4">
        <v>0</v>
      </c>
      <c r="U115" s="4">
        <v>0</v>
      </c>
      <c r="V115" s="6">
        <f>IF(ISERROR(VLOOKUP($S$115,'TAR FIN'!$A$1:$O$95,15,0)),0,VLOOKUP($S$115,'TAR FIN'!$A$1:$O$95,15,0))</f>
        <v>7.58</v>
      </c>
      <c r="W115" s="6">
        <f>IF(ISERROR(VLOOKUP($T$115,'TAR FIN'!$A$1:$O$95,15,0)),0,VLOOKUP($T$115,'TAR FIN'!$A$1:$O$95,15,0))</f>
        <v>0</v>
      </c>
      <c r="X115" s="6">
        <f>IF(ISERROR(VLOOKUP($U$115,'TAR FIN'!$A$1:$O$95,15,0)),0,VLOOKUP($U$115,'TAR FIN'!$A$1:$O$95,15,0))</f>
        <v>0</v>
      </c>
      <c r="Y115" s="6">
        <f ca="1">('TUSD BE'!$AM$9+'TUSD BF'!$AM$9+'TUSD CVA'!$AM$9)*1</f>
        <v>9.1574451247299731</v>
      </c>
      <c r="Z115" s="6"/>
      <c r="AA115" s="6"/>
      <c r="AB115" s="6">
        <f t="shared" si="6"/>
        <v>0</v>
      </c>
      <c r="AC115" s="6">
        <f t="shared" si="7"/>
        <v>0</v>
      </c>
      <c r="AD115" s="6">
        <f t="shared" ca="1" si="8"/>
        <v>0</v>
      </c>
      <c r="AE115" s="6">
        <f t="shared" si="9"/>
        <v>0</v>
      </c>
      <c r="AF115" s="4" t="s">
        <v>843</v>
      </c>
    </row>
    <row r="116" spans="1:32" ht="11.25" customHeight="1" x14ac:dyDescent="0.25">
      <c r="A116" s="4" t="s">
        <v>21</v>
      </c>
      <c r="B116" s="4" t="s">
        <v>43</v>
      </c>
      <c r="C116" s="4" t="s">
        <v>63</v>
      </c>
      <c r="D116" s="4" t="s">
        <v>25</v>
      </c>
      <c r="E116" s="4" t="s">
        <v>25</v>
      </c>
      <c r="F116" s="4" t="s">
        <v>25</v>
      </c>
      <c r="G116" s="4" t="s">
        <v>67</v>
      </c>
      <c r="H116" s="4" t="s">
        <v>25</v>
      </c>
      <c r="I116" s="5">
        <v>44378</v>
      </c>
      <c r="J116" s="6">
        <v>60000</v>
      </c>
      <c r="K116" s="6">
        <v>60000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4" t="s">
        <v>65</v>
      </c>
      <c r="R116" s="4">
        <v>29276</v>
      </c>
      <c r="S116" s="4">
        <v>27</v>
      </c>
      <c r="T116" s="4">
        <v>0</v>
      </c>
      <c r="U116" s="4">
        <v>0</v>
      </c>
      <c r="V116" s="6">
        <f>IF(ISERROR(VLOOKUP($S$116,'TAR FIN'!$A$1:$O$95,15,0)),0,VLOOKUP($S$116,'TAR FIN'!$A$1:$O$95,15,0))</f>
        <v>7.58</v>
      </c>
      <c r="W116" s="6">
        <f>IF(ISERROR(VLOOKUP($T$116,'TAR FIN'!$A$1:$O$95,15,0)),0,VLOOKUP($T$116,'TAR FIN'!$A$1:$O$95,15,0))</f>
        <v>0</v>
      </c>
      <c r="X116" s="6">
        <f>IF(ISERROR(VLOOKUP($U$116,'TAR FIN'!$A$1:$O$95,15,0)),0,VLOOKUP($U$116,'TAR FIN'!$A$1:$O$95,15,0))</f>
        <v>0</v>
      </c>
      <c r="Y116" s="6">
        <f ca="1">('TUSD BE'!$AM$9+'TUSD BF'!$AM$9+'TUSD CVA'!$AM$9)*1</f>
        <v>9.1574451247299731</v>
      </c>
      <c r="Z116" s="6"/>
      <c r="AA116" s="6"/>
      <c r="AB116" s="6">
        <f t="shared" si="6"/>
        <v>0</v>
      </c>
      <c r="AC116" s="6">
        <f t="shared" si="7"/>
        <v>0</v>
      </c>
      <c r="AD116" s="6">
        <f t="shared" ca="1" si="8"/>
        <v>0</v>
      </c>
      <c r="AE116" s="6">
        <f t="shared" si="9"/>
        <v>0</v>
      </c>
      <c r="AF116" s="4" t="s">
        <v>843</v>
      </c>
    </row>
    <row r="117" spans="1:32" ht="11.25" customHeight="1" x14ac:dyDescent="0.25">
      <c r="A117" s="4" t="s">
        <v>21</v>
      </c>
      <c r="B117" s="4" t="s">
        <v>43</v>
      </c>
      <c r="C117" s="4" t="s">
        <v>63</v>
      </c>
      <c r="D117" s="4" t="s">
        <v>25</v>
      </c>
      <c r="E117" s="4" t="s">
        <v>25</v>
      </c>
      <c r="F117" s="4" t="s">
        <v>25</v>
      </c>
      <c r="G117" s="4" t="s">
        <v>68</v>
      </c>
      <c r="H117" s="4" t="s">
        <v>25</v>
      </c>
      <c r="I117" s="5">
        <v>44378</v>
      </c>
      <c r="J117" s="6">
        <v>60000</v>
      </c>
      <c r="K117" s="6">
        <v>60000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4" t="s">
        <v>65</v>
      </c>
      <c r="R117" s="4">
        <v>29361</v>
      </c>
      <c r="S117" s="4">
        <v>27</v>
      </c>
      <c r="T117" s="4">
        <v>0</v>
      </c>
      <c r="U117" s="4">
        <v>0</v>
      </c>
      <c r="V117" s="6">
        <f>IF(ISERROR(VLOOKUP($S$117,'TAR FIN'!$A$1:$O$95,15,0)),0,VLOOKUP($S$117,'TAR FIN'!$A$1:$O$95,15,0))</f>
        <v>7.58</v>
      </c>
      <c r="W117" s="6">
        <f>IF(ISERROR(VLOOKUP($T$117,'TAR FIN'!$A$1:$O$95,15,0)),0,VLOOKUP($T$117,'TAR FIN'!$A$1:$O$95,15,0))</f>
        <v>0</v>
      </c>
      <c r="X117" s="6">
        <f>IF(ISERROR(VLOOKUP($U$117,'TAR FIN'!$A$1:$O$95,15,0)),0,VLOOKUP($U$117,'TAR FIN'!$A$1:$O$95,15,0))</f>
        <v>0</v>
      </c>
      <c r="Y117" s="6">
        <f ca="1">('TUSD BE'!$AM$9+'TUSD BF'!$AM$9+'TUSD CVA'!$AM$9)*1</f>
        <v>9.1574451247299731</v>
      </c>
      <c r="Z117" s="6"/>
      <c r="AA117" s="6"/>
      <c r="AB117" s="6">
        <f t="shared" si="6"/>
        <v>0</v>
      </c>
      <c r="AC117" s="6">
        <f t="shared" si="7"/>
        <v>0</v>
      </c>
      <c r="AD117" s="6">
        <f t="shared" ca="1" si="8"/>
        <v>0</v>
      </c>
      <c r="AE117" s="6">
        <f t="shared" si="9"/>
        <v>0</v>
      </c>
      <c r="AF117" s="4" t="s">
        <v>843</v>
      </c>
    </row>
    <row r="118" spans="1:32" ht="11.25" customHeight="1" x14ac:dyDescent="0.25">
      <c r="A118" s="4" t="s">
        <v>21</v>
      </c>
      <c r="B118" s="4" t="s">
        <v>43</v>
      </c>
      <c r="C118" s="4" t="s">
        <v>63</v>
      </c>
      <c r="D118" s="4" t="s">
        <v>25</v>
      </c>
      <c r="E118" s="4" t="s">
        <v>25</v>
      </c>
      <c r="F118" s="4" t="s">
        <v>25</v>
      </c>
      <c r="G118" s="4" t="s">
        <v>69</v>
      </c>
      <c r="H118" s="4" t="s">
        <v>25</v>
      </c>
      <c r="I118" s="5">
        <v>44378</v>
      </c>
      <c r="J118" s="6">
        <v>63434</v>
      </c>
      <c r="K118" s="6">
        <v>63434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4" t="s">
        <v>65</v>
      </c>
      <c r="R118" s="4">
        <v>29432</v>
      </c>
      <c r="S118" s="4">
        <v>27</v>
      </c>
      <c r="T118" s="4">
        <v>0</v>
      </c>
      <c r="U118" s="4">
        <v>0</v>
      </c>
      <c r="V118" s="6">
        <f>IF(ISERROR(VLOOKUP($S$118,'TAR FIN'!$A$1:$O$95,15,0)),0,VLOOKUP($S$118,'TAR FIN'!$A$1:$O$95,15,0))</f>
        <v>7.58</v>
      </c>
      <c r="W118" s="6">
        <f>IF(ISERROR(VLOOKUP($T$118,'TAR FIN'!$A$1:$O$95,15,0)),0,VLOOKUP($T$118,'TAR FIN'!$A$1:$O$95,15,0))</f>
        <v>0</v>
      </c>
      <c r="X118" s="6">
        <f>IF(ISERROR(VLOOKUP($U$118,'TAR FIN'!$A$1:$O$95,15,0)),0,VLOOKUP($U$118,'TAR FIN'!$A$1:$O$95,15,0))</f>
        <v>0</v>
      </c>
      <c r="Y118" s="6">
        <f ca="1">('TUSD BE'!$AM$9+'TUSD BF'!$AM$9+'TUSD CVA'!$AM$9)*1</f>
        <v>9.1574451247299731</v>
      </c>
      <c r="Z118" s="6"/>
      <c r="AA118" s="6"/>
      <c r="AB118" s="6">
        <f t="shared" si="6"/>
        <v>0</v>
      </c>
      <c r="AC118" s="6">
        <f t="shared" si="7"/>
        <v>0</v>
      </c>
      <c r="AD118" s="6">
        <f t="shared" ca="1" si="8"/>
        <v>0</v>
      </c>
      <c r="AE118" s="6">
        <f t="shared" si="9"/>
        <v>0</v>
      </c>
      <c r="AF118" s="4" t="s">
        <v>843</v>
      </c>
    </row>
    <row r="119" spans="1:32" ht="11.25" customHeight="1" x14ac:dyDescent="0.25">
      <c r="A119" s="4" t="s">
        <v>21</v>
      </c>
      <c r="B119" s="4" t="s">
        <v>43</v>
      </c>
      <c r="C119" s="4" t="s">
        <v>63</v>
      </c>
      <c r="D119" s="4" t="s">
        <v>25</v>
      </c>
      <c r="E119" s="4" t="s">
        <v>25</v>
      </c>
      <c r="F119" s="4" t="s">
        <v>25</v>
      </c>
      <c r="G119" s="4" t="s">
        <v>64</v>
      </c>
      <c r="H119" s="4" t="s">
        <v>25</v>
      </c>
      <c r="I119" s="5">
        <v>44409</v>
      </c>
      <c r="J119" s="6">
        <v>157500</v>
      </c>
      <c r="K119" s="6">
        <v>157500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4" t="s">
        <v>65</v>
      </c>
      <c r="R119" s="4">
        <v>27250</v>
      </c>
      <c r="S119" s="4">
        <v>27</v>
      </c>
      <c r="T119" s="4">
        <v>0</v>
      </c>
      <c r="U119" s="4">
        <v>0</v>
      </c>
      <c r="V119" s="6">
        <f>IF(ISERROR(VLOOKUP($S$119,'TAR FIN'!$A$1:$O$95,15,0)),0,VLOOKUP($S$119,'TAR FIN'!$A$1:$O$95,15,0))</f>
        <v>7.58</v>
      </c>
      <c r="W119" s="6">
        <f>IF(ISERROR(VLOOKUP($T$119,'TAR FIN'!$A$1:$O$95,15,0)),0,VLOOKUP($T$119,'TAR FIN'!$A$1:$O$95,15,0))</f>
        <v>0</v>
      </c>
      <c r="X119" s="6">
        <f>IF(ISERROR(VLOOKUP($U$119,'TAR FIN'!$A$1:$O$95,15,0)),0,VLOOKUP($U$119,'TAR FIN'!$A$1:$O$95,15,0))</f>
        <v>0</v>
      </c>
      <c r="Y119" s="6">
        <f ca="1">('TUSD BE'!$AM$9+'TUSD BF'!$AM$9+'TUSD CVA'!$AM$9)*1</f>
        <v>9.1574451247299731</v>
      </c>
      <c r="Z119" s="6"/>
      <c r="AA119" s="6"/>
      <c r="AB119" s="6">
        <f t="shared" si="6"/>
        <v>0</v>
      </c>
      <c r="AC119" s="6">
        <f t="shared" si="7"/>
        <v>0</v>
      </c>
      <c r="AD119" s="6">
        <f t="shared" ca="1" si="8"/>
        <v>0</v>
      </c>
      <c r="AE119" s="6">
        <f t="shared" si="9"/>
        <v>0</v>
      </c>
      <c r="AF119" s="4" t="s">
        <v>843</v>
      </c>
    </row>
    <row r="120" spans="1:32" ht="11.25" customHeight="1" x14ac:dyDescent="0.25">
      <c r="A120" s="4" t="s">
        <v>21</v>
      </c>
      <c r="B120" s="4" t="s">
        <v>43</v>
      </c>
      <c r="C120" s="4" t="s">
        <v>63</v>
      </c>
      <c r="D120" s="4" t="s">
        <v>25</v>
      </c>
      <c r="E120" s="4" t="s">
        <v>25</v>
      </c>
      <c r="F120" s="4" t="s">
        <v>25</v>
      </c>
      <c r="G120" s="4" t="s">
        <v>66</v>
      </c>
      <c r="H120" s="4" t="s">
        <v>25</v>
      </c>
      <c r="I120" s="5">
        <v>44409</v>
      </c>
      <c r="J120" s="6">
        <v>60000</v>
      </c>
      <c r="K120" s="6">
        <v>60000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4" t="s">
        <v>65</v>
      </c>
      <c r="R120" s="4">
        <v>29272</v>
      </c>
      <c r="S120" s="4">
        <v>27</v>
      </c>
      <c r="T120" s="4">
        <v>0</v>
      </c>
      <c r="U120" s="4">
        <v>0</v>
      </c>
      <c r="V120" s="6">
        <f>IF(ISERROR(VLOOKUP($S$120,'TAR FIN'!$A$1:$O$95,15,0)),0,VLOOKUP($S$120,'TAR FIN'!$A$1:$O$95,15,0))</f>
        <v>7.58</v>
      </c>
      <c r="W120" s="6">
        <f>IF(ISERROR(VLOOKUP($T$120,'TAR FIN'!$A$1:$O$95,15,0)),0,VLOOKUP($T$120,'TAR FIN'!$A$1:$O$95,15,0))</f>
        <v>0</v>
      </c>
      <c r="X120" s="6">
        <f>IF(ISERROR(VLOOKUP($U$120,'TAR FIN'!$A$1:$O$95,15,0)),0,VLOOKUP($U$120,'TAR FIN'!$A$1:$O$95,15,0))</f>
        <v>0</v>
      </c>
      <c r="Y120" s="6">
        <f ca="1">('TUSD BE'!$AM$9+'TUSD BF'!$AM$9+'TUSD CVA'!$AM$9)*1</f>
        <v>9.1574451247299731</v>
      </c>
      <c r="Z120" s="6"/>
      <c r="AA120" s="6"/>
      <c r="AB120" s="6">
        <f t="shared" si="6"/>
        <v>0</v>
      </c>
      <c r="AC120" s="6">
        <f t="shared" si="7"/>
        <v>0</v>
      </c>
      <c r="AD120" s="6">
        <f t="shared" ca="1" si="8"/>
        <v>0</v>
      </c>
      <c r="AE120" s="6">
        <f t="shared" si="9"/>
        <v>0</v>
      </c>
      <c r="AF120" s="4" t="s">
        <v>843</v>
      </c>
    </row>
    <row r="121" spans="1:32" ht="11.25" customHeight="1" x14ac:dyDescent="0.25">
      <c r="A121" s="4" t="s">
        <v>21</v>
      </c>
      <c r="B121" s="4" t="s">
        <v>43</v>
      </c>
      <c r="C121" s="4" t="s">
        <v>63</v>
      </c>
      <c r="D121" s="4" t="s">
        <v>25</v>
      </c>
      <c r="E121" s="4" t="s">
        <v>25</v>
      </c>
      <c r="F121" s="4" t="s">
        <v>25</v>
      </c>
      <c r="G121" s="4" t="s">
        <v>67</v>
      </c>
      <c r="H121" s="4" t="s">
        <v>25</v>
      </c>
      <c r="I121" s="5">
        <v>44409</v>
      </c>
      <c r="J121" s="6">
        <v>60000</v>
      </c>
      <c r="K121" s="6">
        <v>60000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4" t="s">
        <v>65</v>
      </c>
      <c r="R121" s="4">
        <v>29276</v>
      </c>
      <c r="S121" s="4">
        <v>27</v>
      </c>
      <c r="T121" s="4">
        <v>0</v>
      </c>
      <c r="U121" s="4">
        <v>0</v>
      </c>
      <c r="V121" s="6">
        <f>IF(ISERROR(VLOOKUP($S$121,'TAR FIN'!$A$1:$O$95,15,0)),0,VLOOKUP($S$121,'TAR FIN'!$A$1:$O$95,15,0))</f>
        <v>7.58</v>
      </c>
      <c r="W121" s="6">
        <f>IF(ISERROR(VLOOKUP($T$121,'TAR FIN'!$A$1:$O$95,15,0)),0,VLOOKUP($T$121,'TAR FIN'!$A$1:$O$95,15,0))</f>
        <v>0</v>
      </c>
      <c r="X121" s="6">
        <f>IF(ISERROR(VLOOKUP($U$121,'TAR FIN'!$A$1:$O$95,15,0)),0,VLOOKUP($U$121,'TAR FIN'!$A$1:$O$95,15,0))</f>
        <v>0</v>
      </c>
      <c r="Y121" s="6">
        <f ca="1">('TUSD BE'!$AM$9+'TUSD BF'!$AM$9+'TUSD CVA'!$AM$9)*1</f>
        <v>9.1574451247299731</v>
      </c>
      <c r="Z121" s="6"/>
      <c r="AA121" s="6"/>
      <c r="AB121" s="6">
        <f t="shared" si="6"/>
        <v>0</v>
      </c>
      <c r="AC121" s="6">
        <f t="shared" si="7"/>
        <v>0</v>
      </c>
      <c r="AD121" s="6">
        <f t="shared" ca="1" si="8"/>
        <v>0</v>
      </c>
      <c r="AE121" s="6">
        <f t="shared" si="9"/>
        <v>0</v>
      </c>
      <c r="AF121" s="4" t="s">
        <v>843</v>
      </c>
    </row>
    <row r="122" spans="1:32" ht="11.25" customHeight="1" x14ac:dyDescent="0.25">
      <c r="A122" s="4" t="s">
        <v>21</v>
      </c>
      <c r="B122" s="4" t="s">
        <v>43</v>
      </c>
      <c r="C122" s="4" t="s">
        <v>63</v>
      </c>
      <c r="D122" s="4" t="s">
        <v>25</v>
      </c>
      <c r="E122" s="4" t="s">
        <v>25</v>
      </c>
      <c r="F122" s="4" t="s">
        <v>25</v>
      </c>
      <c r="G122" s="4" t="s">
        <v>68</v>
      </c>
      <c r="H122" s="4" t="s">
        <v>25</v>
      </c>
      <c r="I122" s="5">
        <v>44409</v>
      </c>
      <c r="J122" s="6">
        <v>60000</v>
      </c>
      <c r="K122" s="6">
        <v>60000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4" t="s">
        <v>65</v>
      </c>
      <c r="R122" s="4">
        <v>29361</v>
      </c>
      <c r="S122" s="4">
        <v>27</v>
      </c>
      <c r="T122" s="4">
        <v>0</v>
      </c>
      <c r="U122" s="4">
        <v>0</v>
      </c>
      <c r="V122" s="6">
        <f>IF(ISERROR(VLOOKUP($S$122,'TAR FIN'!$A$1:$O$95,15,0)),0,VLOOKUP($S$122,'TAR FIN'!$A$1:$O$95,15,0))</f>
        <v>7.58</v>
      </c>
      <c r="W122" s="6">
        <f>IF(ISERROR(VLOOKUP($T$122,'TAR FIN'!$A$1:$O$95,15,0)),0,VLOOKUP($T$122,'TAR FIN'!$A$1:$O$95,15,0))</f>
        <v>0</v>
      </c>
      <c r="X122" s="6">
        <f>IF(ISERROR(VLOOKUP($U$122,'TAR FIN'!$A$1:$O$95,15,0)),0,VLOOKUP($U$122,'TAR FIN'!$A$1:$O$95,15,0))</f>
        <v>0</v>
      </c>
      <c r="Y122" s="6">
        <f ca="1">('TUSD BE'!$AM$9+'TUSD BF'!$AM$9+'TUSD CVA'!$AM$9)*1</f>
        <v>9.1574451247299731</v>
      </c>
      <c r="Z122" s="6"/>
      <c r="AA122" s="6"/>
      <c r="AB122" s="6">
        <f t="shared" si="6"/>
        <v>0</v>
      </c>
      <c r="AC122" s="6">
        <f t="shared" si="7"/>
        <v>0</v>
      </c>
      <c r="AD122" s="6">
        <f t="shared" ca="1" si="8"/>
        <v>0</v>
      </c>
      <c r="AE122" s="6">
        <f t="shared" si="9"/>
        <v>0</v>
      </c>
      <c r="AF122" s="4" t="s">
        <v>843</v>
      </c>
    </row>
    <row r="123" spans="1:32" ht="11.25" customHeight="1" x14ac:dyDescent="0.25">
      <c r="A123" s="4" t="s">
        <v>21</v>
      </c>
      <c r="B123" s="4" t="s">
        <v>43</v>
      </c>
      <c r="C123" s="4" t="s">
        <v>63</v>
      </c>
      <c r="D123" s="4" t="s">
        <v>25</v>
      </c>
      <c r="E123" s="4" t="s">
        <v>25</v>
      </c>
      <c r="F123" s="4" t="s">
        <v>25</v>
      </c>
      <c r="G123" s="4" t="s">
        <v>69</v>
      </c>
      <c r="H123" s="4" t="s">
        <v>25</v>
      </c>
      <c r="I123" s="5">
        <v>44409</v>
      </c>
      <c r="J123" s="6">
        <v>63434</v>
      </c>
      <c r="K123" s="6">
        <v>63434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4" t="s">
        <v>65</v>
      </c>
      <c r="R123" s="4">
        <v>29432</v>
      </c>
      <c r="S123" s="4">
        <v>27</v>
      </c>
      <c r="T123" s="4">
        <v>0</v>
      </c>
      <c r="U123" s="4">
        <v>0</v>
      </c>
      <c r="V123" s="6">
        <f>IF(ISERROR(VLOOKUP($S$123,'TAR FIN'!$A$1:$O$95,15,0)),0,VLOOKUP($S$123,'TAR FIN'!$A$1:$O$95,15,0))</f>
        <v>7.58</v>
      </c>
      <c r="W123" s="6">
        <f>IF(ISERROR(VLOOKUP($T$123,'TAR FIN'!$A$1:$O$95,15,0)),0,VLOOKUP($T$123,'TAR FIN'!$A$1:$O$95,15,0))</f>
        <v>0</v>
      </c>
      <c r="X123" s="6">
        <f>IF(ISERROR(VLOOKUP($U$123,'TAR FIN'!$A$1:$O$95,15,0)),0,VLOOKUP($U$123,'TAR FIN'!$A$1:$O$95,15,0))</f>
        <v>0</v>
      </c>
      <c r="Y123" s="6">
        <f ca="1">('TUSD BE'!$AM$9+'TUSD BF'!$AM$9+'TUSD CVA'!$AM$9)*1</f>
        <v>9.1574451247299731</v>
      </c>
      <c r="Z123" s="6"/>
      <c r="AA123" s="6"/>
      <c r="AB123" s="6">
        <f t="shared" si="6"/>
        <v>0</v>
      </c>
      <c r="AC123" s="6">
        <f t="shared" si="7"/>
        <v>0</v>
      </c>
      <c r="AD123" s="6">
        <f t="shared" ca="1" si="8"/>
        <v>0</v>
      </c>
      <c r="AE123" s="6">
        <f t="shared" si="9"/>
        <v>0</v>
      </c>
      <c r="AF123" s="4" t="s">
        <v>843</v>
      </c>
    </row>
    <row r="124" spans="1:32" ht="11.25" customHeight="1" x14ac:dyDescent="0.25">
      <c r="A124" s="4" t="s">
        <v>21</v>
      </c>
      <c r="B124" s="4" t="s">
        <v>43</v>
      </c>
      <c r="C124" s="4" t="s">
        <v>63</v>
      </c>
      <c r="D124" s="4" t="s">
        <v>25</v>
      </c>
      <c r="E124" s="4" t="s">
        <v>25</v>
      </c>
      <c r="F124" s="4" t="s">
        <v>25</v>
      </c>
      <c r="G124" s="4" t="s">
        <v>64</v>
      </c>
      <c r="H124" s="4" t="s">
        <v>25</v>
      </c>
      <c r="I124" s="5">
        <v>44440</v>
      </c>
      <c r="J124" s="6">
        <v>157500</v>
      </c>
      <c r="K124" s="6">
        <v>157500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4" t="s">
        <v>65</v>
      </c>
      <c r="R124" s="4">
        <v>27250</v>
      </c>
      <c r="S124" s="4">
        <v>27</v>
      </c>
      <c r="T124" s="4">
        <v>0</v>
      </c>
      <c r="U124" s="4">
        <v>0</v>
      </c>
      <c r="V124" s="6">
        <f>IF(ISERROR(VLOOKUP($S$124,'TAR FIN'!$A$1:$O$95,15,0)),0,VLOOKUP($S$124,'TAR FIN'!$A$1:$O$95,15,0))</f>
        <v>7.58</v>
      </c>
      <c r="W124" s="6">
        <f>IF(ISERROR(VLOOKUP($T$124,'TAR FIN'!$A$1:$O$95,15,0)),0,VLOOKUP($T$124,'TAR FIN'!$A$1:$O$95,15,0))</f>
        <v>0</v>
      </c>
      <c r="X124" s="6">
        <f>IF(ISERROR(VLOOKUP($U$124,'TAR FIN'!$A$1:$O$95,15,0)),0,VLOOKUP($U$124,'TAR FIN'!$A$1:$O$95,15,0))</f>
        <v>0</v>
      </c>
      <c r="Y124" s="6">
        <f ca="1">('TUSD BE'!$AM$9+'TUSD BF'!$AM$9+'TUSD CVA'!$AM$9)*1</f>
        <v>9.1574451247299731</v>
      </c>
      <c r="Z124" s="6"/>
      <c r="AA124" s="6"/>
      <c r="AB124" s="6">
        <f t="shared" si="6"/>
        <v>0</v>
      </c>
      <c r="AC124" s="6">
        <f t="shared" si="7"/>
        <v>0</v>
      </c>
      <c r="AD124" s="6">
        <f t="shared" ca="1" si="8"/>
        <v>0</v>
      </c>
      <c r="AE124" s="6">
        <f t="shared" si="9"/>
        <v>0</v>
      </c>
      <c r="AF124" s="4" t="s">
        <v>843</v>
      </c>
    </row>
    <row r="125" spans="1:32" ht="11.25" customHeight="1" x14ac:dyDescent="0.25">
      <c r="A125" s="4" t="s">
        <v>21</v>
      </c>
      <c r="B125" s="4" t="s">
        <v>43</v>
      </c>
      <c r="C125" s="4" t="s">
        <v>63</v>
      </c>
      <c r="D125" s="4" t="s">
        <v>25</v>
      </c>
      <c r="E125" s="4" t="s">
        <v>25</v>
      </c>
      <c r="F125" s="4" t="s">
        <v>25</v>
      </c>
      <c r="G125" s="4" t="s">
        <v>66</v>
      </c>
      <c r="H125" s="4" t="s">
        <v>25</v>
      </c>
      <c r="I125" s="5">
        <v>44440</v>
      </c>
      <c r="J125" s="6">
        <v>60000</v>
      </c>
      <c r="K125" s="6">
        <v>60000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4" t="s">
        <v>65</v>
      </c>
      <c r="R125" s="4">
        <v>29272</v>
      </c>
      <c r="S125" s="4">
        <v>27</v>
      </c>
      <c r="T125" s="4">
        <v>0</v>
      </c>
      <c r="U125" s="4">
        <v>0</v>
      </c>
      <c r="V125" s="6">
        <f>IF(ISERROR(VLOOKUP($S$125,'TAR FIN'!$A$1:$O$95,15,0)),0,VLOOKUP($S$125,'TAR FIN'!$A$1:$O$95,15,0))</f>
        <v>7.58</v>
      </c>
      <c r="W125" s="6">
        <f>IF(ISERROR(VLOOKUP($T$125,'TAR FIN'!$A$1:$O$95,15,0)),0,VLOOKUP($T$125,'TAR FIN'!$A$1:$O$95,15,0))</f>
        <v>0</v>
      </c>
      <c r="X125" s="6">
        <f>IF(ISERROR(VLOOKUP($U$125,'TAR FIN'!$A$1:$O$95,15,0)),0,VLOOKUP($U$125,'TAR FIN'!$A$1:$O$95,15,0))</f>
        <v>0</v>
      </c>
      <c r="Y125" s="6">
        <f ca="1">('TUSD BE'!$AM$9+'TUSD BF'!$AM$9+'TUSD CVA'!$AM$9)*1</f>
        <v>9.1574451247299731</v>
      </c>
      <c r="Z125" s="6"/>
      <c r="AA125" s="6"/>
      <c r="AB125" s="6">
        <f t="shared" si="6"/>
        <v>0</v>
      </c>
      <c r="AC125" s="6">
        <f t="shared" si="7"/>
        <v>0</v>
      </c>
      <c r="AD125" s="6">
        <f t="shared" ca="1" si="8"/>
        <v>0</v>
      </c>
      <c r="AE125" s="6">
        <f t="shared" si="9"/>
        <v>0</v>
      </c>
      <c r="AF125" s="4" t="s">
        <v>843</v>
      </c>
    </row>
    <row r="126" spans="1:32" ht="11.25" customHeight="1" x14ac:dyDescent="0.25">
      <c r="A126" s="4" t="s">
        <v>21</v>
      </c>
      <c r="B126" s="4" t="s">
        <v>43</v>
      </c>
      <c r="C126" s="4" t="s">
        <v>63</v>
      </c>
      <c r="D126" s="4" t="s">
        <v>25</v>
      </c>
      <c r="E126" s="4" t="s">
        <v>25</v>
      </c>
      <c r="F126" s="4" t="s">
        <v>25</v>
      </c>
      <c r="G126" s="4" t="s">
        <v>67</v>
      </c>
      <c r="H126" s="4" t="s">
        <v>25</v>
      </c>
      <c r="I126" s="5">
        <v>44440</v>
      </c>
      <c r="J126" s="6">
        <v>60000</v>
      </c>
      <c r="K126" s="6">
        <v>60000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4" t="s">
        <v>65</v>
      </c>
      <c r="R126" s="4">
        <v>29276</v>
      </c>
      <c r="S126" s="4">
        <v>27</v>
      </c>
      <c r="T126" s="4">
        <v>0</v>
      </c>
      <c r="U126" s="4">
        <v>0</v>
      </c>
      <c r="V126" s="6">
        <f>IF(ISERROR(VLOOKUP($S$126,'TAR FIN'!$A$1:$O$95,15,0)),0,VLOOKUP($S$126,'TAR FIN'!$A$1:$O$95,15,0))</f>
        <v>7.58</v>
      </c>
      <c r="W126" s="6">
        <f>IF(ISERROR(VLOOKUP($T$126,'TAR FIN'!$A$1:$O$95,15,0)),0,VLOOKUP($T$126,'TAR FIN'!$A$1:$O$95,15,0))</f>
        <v>0</v>
      </c>
      <c r="X126" s="6">
        <f>IF(ISERROR(VLOOKUP($U$126,'TAR FIN'!$A$1:$O$95,15,0)),0,VLOOKUP($U$126,'TAR FIN'!$A$1:$O$95,15,0))</f>
        <v>0</v>
      </c>
      <c r="Y126" s="6">
        <f ca="1">('TUSD BE'!$AM$9+'TUSD BF'!$AM$9+'TUSD CVA'!$AM$9)*1</f>
        <v>9.1574451247299731</v>
      </c>
      <c r="Z126" s="6"/>
      <c r="AA126" s="6"/>
      <c r="AB126" s="6">
        <f t="shared" si="6"/>
        <v>0</v>
      </c>
      <c r="AC126" s="6">
        <f t="shared" si="7"/>
        <v>0</v>
      </c>
      <c r="AD126" s="6">
        <f t="shared" ca="1" si="8"/>
        <v>0</v>
      </c>
      <c r="AE126" s="6">
        <f t="shared" si="9"/>
        <v>0</v>
      </c>
      <c r="AF126" s="4" t="s">
        <v>843</v>
      </c>
    </row>
    <row r="127" spans="1:32" ht="11.25" customHeight="1" x14ac:dyDescent="0.25">
      <c r="A127" s="4" t="s">
        <v>21</v>
      </c>
      <c r="B127" s="4" t="s">
        <v>43</v>
      </c>
      <c r="C127" s="4" t="s">
        <v>63</v>
      </c>
      <c r="D127" s="4" t="s">
        <v>25</v>
      </c>
      <c r="E127" s="4" t="s">
        <v>25</v>
      </c>
      <c r="F127" s="4" t="s">
        <v>25</v>
      </c>
      <c r="G127" s="4" t="s">
        <v>68</v>
      </c>
      <c r="H127" s="4" t="s">
        <v>25</v>
      </c>
      <c r="I127" s="5">
        <v>44440</v>
      </c>
      <c r="J127" s="6">
        <v>60000</v>
      </c>
      <c r="K127" s="6">
        <v>60000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4" t="s">
        <v>65</v>
      </c>
      <c r="R127" s="4">
        <v>29361</v>
      </c>
      <c r="S127" s="4">
        <v>27</v>
      </c>
      <c r="T127" s="4">
        <v>0</v>
      </c>
      <c r="U127" s="4">
        <v>0</v>
      </c>
      <c r="V127" s="6">
        <f>IF(ISERROR(VLOOKUP($S$127,'TAR FIN'!$A$1:$O$95,15,0)),0,VLOOKUP($S$127,'TAR FIN'!$A$1:$O$95,15,0))</f>
        <v>7.58</v>
      </c>
      <c r="W127" s="6">
        <f>IF(ISERROR(VLOOKUP($T$127,'TAR FIN'!$A$1:$O$95,15,0)),0,VLOOKUP($T$127,'TAR FIN'!$A$1:$O$95,15,0))</f>
        <v>0</v>
      </c>
      <c r="X127" s="6">
        <f>IF(ISERROR(VLOOKUP($U$127,'TAR FIN'!$A$1:$O$95,15,0)),0,VLOOKUP($U$127,'TAR FIN'!$A$1:$O$95,15,0))</f>
        <v>0</v>
      </c>
      <c r="Y127" s="6">
        <f ca="1">('TUSD BE'!$AM$9+'TUSD BF'!$AM$9+'TUSD CVA'!$AM$9)*1</f>
        <v>9.1574451247299731</v>
      </c>
      <c r="Z127" s="6"/>
      <c r="AA127" s="6"/>
      <c r="AB127" s="6">
        <f t="shared" si="6"/>
        <v>0</v>
      </c>
      <c r="AC127" s="6">
        <f t="shared" si="7"/>
        <v>0</v>
      </c>
      <c r="AD127" s="6">
        <f t="shared" ca="1" si="8"/>
        <v>0</v>
      </c>
      <c r="AE127" s="6">
        <f t="shared" si="9"/>
        <v>0</v>
      </c>
      <c r="AF127" s="4" t="s">
        <v>843</v>
      </c>
    </row>
    <row r="128" spans="1:32" ht="11.25" customHeight="1" x14ac:dyDescent="0.25">
      <c r="A128" s="4" t="s">
        <v>21</v>
      </c>
      <c r="B128" s="4" t="s">
        <v>43</v>
      </c>
      <c r="C128" s="4" t="s">
        <v>63</v>
      </c>
      <c r="D128" s="4" t="s">
        <v>25</v>
      </c>
      <c r="E128" s="4" t="s">
        <v>25</v>
      </c>
      <c r="F128" s="4" t="s">
        <v>25</v>
      </c>
      <c r="G128" s="4" t="s">
        <v>69</v>
      </c>
      <c r="H128" s="4" t="s">
        <v>25</v>
      </c>
      <c r="I128" s="5">
        <v>44440</v>
      </c>
      <c r="J128" s="6">
        <v>63434</v>
      </c>
      <c r="K128" s="6">
        <v>63434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4" t="s">
        <v>65</v>
      </c>
      <c r="R128" s="4">
        <v>29432</v>
      </c>
      <c r="S128" s="4">
        <v>27</v>
      </c>
      <c r="T128" s="4">
        <v>0</v>
      </c>
      <c r="U128" s="4">
        <v>0</v>
      </c>
      <c r="V128" s="6">
        <f>IF(ISERROR(VLOOKUP($S$128,'TAR FIN'!$A$1:$O$95,15,0)),0,VLOOKUP($S$128,'TAR FIN'!$A$1:$O$95,15,0))</f>
        <v>7.58</v>
      </c>
      <c r="W128" s="6">
        <f>IF(ISERROR(VLOOKUP($T$128,'TAR FIN'!$A$1:$O$95,15,0)),0,VLOOKUP($T$128,'TAR FIN'!$A$1:$O$95,15,0))</f>
        <v>0</v>
      </c>
      <c r="X128" s="6">
        <f>IF(ISERROR(VLOOKUP($U$128,'TAR FIN'!$A$1:$O$95,15,0)),0,VLOOKUP($U$128,'TAR FIN'!$A$1:$O$95,15,0))</f>
        <v>0</v>
      </c>
      <c r="Y128" s="6">
        <f ca="1">('TUSD BE'!$AM$9+'TUSD BF'!$AM$9+'TUSD CVA'!$AM$9)*1</f>
        <v>9.1574451247299731</v>
      </c>
      <c r="Z128" s="6"/>
      <c r="AA128" s="6"/>
      <c r="AB128" s="6">
        <f t="shared" si="6"/>
        <v>0</v>
      </c>
      <c r="AC128" s="6">
        <f t="shared" si="7"/>
        <v>0</v>
      </c>
      <c r="AD128" s="6">
        <f t="shared" ca="1" si="8"/>
        <v>0</v>
      </c>
      <c r="AE128" s="6">
        <f t="shared" si="9"/>
        <v>0</v>
      </c>
      <c r="AF128" s="4" t="s">
        <v>843</v>
      </c>
    </row>
    <row r="129" spans="1:32" ht="11.25" customHeight="1" x14ac:dyDescent="0.25">
      <c r="A129" s="4" t="s">
        <v>59</v>
      </c>
      <c r="B129" s="4" t="s">
        <v>43</v>
      </c>
      <c r="C129" s="4" t="s">
        <v>63</v>
      </c>
      <c r="D129" s="4" t="s">
        <v>25</v>
      </c>
      <c r="E129" s="4" t="s">
        <v>25</v>
      </c>
      <c r="F129" s="4" t="s">
        <v>25</v>
      </c>
      <c r="G129" s="4" t="s">
        <v>64</v>
      </c>
      <c r="H129" s="4" t="s">
        <v>25</v>
      </c>
      <c r="I129" s="5">
        <v>44470</v>
      </c>
      <c r="J129" s="6">
        <v>157500</v>
      </c>
      <c r="K129" s="6">
        <v>157500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4" t="s">
        <v>65</v>
      </c>
      <c r="R129" s="4">
        <v>27250</v>
      </c>
      <c r="S129" s="4">
        <v>27</v>
      </c>
      <c r="T129" s="4">
        <v>0</v>
      </c>
      <c r="U129" s="4">
        <v>0</v>
      </c>
      <c r="V129" s="6">
        <f>IF(ISERROR(VLOOKUP($S$129,'TAR FIN'!$A$1:$O$95,15,0)),0,VLOOKUP($S$129,'TAR FIN'!$A$1:$O$95,15,0))</f>
        <v>7.58</v>
      </c>
      <c r="W129" s="6">
        <f>IF(ISERROR(VLOOKUP($T$129,'TAR FIN'!$A$1:$O$95,15,0)),0,VLOOKUP($T$129,'TAR FIN'!$A$1:$O$95,15,0))</f>
        <v>0</v>
      </c>
      <c r="X129" s="6">
        <f>IF(ISERROR(VLOOKUP($U$129,'TAR FIN'!$A$1:$O$95,15,0)),0,VLOOKUP($U$129,'TAR FIN'!$A$1:$O$95,15,0))</f>
        <v>0</v>
      </c>
      <c r="Y129" s="6">
        <f ca="1">('TUSD BE'!$AM$9+'TUSD BF'!$AM$9+'TUSD CVA'!$AM$9)*1</f>
        <v>9.1574451247299731</v>
      </c>
      <c r="Z129" s="6"/>
      <c r="AA129" s="6"/>
      <c r="AB129" s="6">
        <f t="shared" si="6"/>
        <v>0</v>
      </c>
      <c r="AC129" s="6">
        <f t="shared" si="7"/>
        <v>0</v>
      </c>
      <c r="AD129" s="6">
        <f t="shared" ca="1" si="8"/>
        <v>0</v>
      </c>
      <c r="AE129" s="6">
        <f t="shared" si="9"/>
        <v>0</v>
      </c>
      <c r="AF129" s="4" t="s">
        <v>843</v>
      </c>
    </row>
    <row r="130" spans="1:32" ht="11.25" customHeight="1" x14ac:dyDescent="0.25">
      <c r="A130" s="4" t="s">
        <v>59</v>
      </c>
      <c r="B130" s="4" t="s">
        <v>43</v>
      </c>
      <c r="C130" s="4" t="s">
        <v>63</v>
      </c>
      <c r="D130" s="4" t="s">
        <v>25</v>
      </c>
      <c r="E130" s="4" t="s">
        <v>25</v>
      </c>
      <c r="F130" s="4" t="s">
        <v>25</v>
      </c>
      <c r="G130" s="4" t="s">
        <v>66</v>
      </c>
      <c r="H130" s="4" t="s">
        <v>25</v>
      </c>
      <c r="I130" s="5">
        <v>44470</v>
      </c>
      <c r="J130" s="6">
        <v>60000</v>
      </c>
      <c r="K130" s="6">
        <v>60000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4" t="s">
        <v>65</v>
      </c>
      <c r="R130" s="4">
        <v>29272</v>
      </c>
      <c r="S130" s="4">
        <v>27</v>
      </c>
      <c r="T130" s="4">
        <v>0</v>
      </c>
      <c r="U130" s="4">
        <v>0</v>
      </c>
      <c r="V130" s="6">
        <f>IF(ISERROR(VLOOKUP($S$130,'TAR FIN'!$A$1:$O$95,15,0)),0,VLOOKUP($S$130,'TAR FIN'!$A$1:$O$95,15,0))</f>
        <v>7.58</v>
      </c>
      <c r="W130" s="6">
        <f>IF(ISERROR(VLOOKUP($T$130,'TAR FIN'!$A$1:$O$95,15,0)),0,VLOOKUP($T$130,'TAR FIN'!$A$1:$O$95,15,0))</f>
        <v>0</v>
      </c>
      <c r="X130" s="6">
        <f>IF(ISERROR(VLOOKUP($U$130,'TAR FIN'!$A$1:$O$95,15,0)),0,VLOOKUP($U$130,'TAR FIN'!$A$1:$O$95,15,0))</f>
        <v>0</v>
      </c>
      <c r="Y130" s="6">
        <f ca="1">('TUSD BE'!$AM$9+'TUSD BF'!$AM$9+'TUSD CVA'!$AM$9)*1</f>
        <v>9.1574451247299731</v>
      </c>
      <c r="Z130" s="6"/>
      <c r="AA130" s="6"/>
      <c r="AB130" s="6">
        <f t="shared" ref="AB130:AB169" si="10">(J130-K130)*V130</f>
        <v>0</v>
      </c>
      <c r="AC130" s="6">
        <f t="shared" ref="AC130:AC169" si="11">(L130-M130)*W130+(N130-O130)*X130</f>
        <v>0</v>
      </c>
      <c r="AD130" s="6">
        <f t="shared" ref="AD130:AD169" ca="1" si="12">(J130-K130)*Y130</f>
        <v>0</v>
      </c>
      <c r="AE130" s="6">
        <f t="shared" ref="AE130:AE169" si="13">(L130-M130)*Z130+(N130-O130)*AA130</f>
        <v>0</v>
      </c>
      <c r="AF130" s="4" t="s">
        <v>843</v>
      </c>
    </row>
    <row r="131" spans="1:32" ht="11.25" customHeight="1" x14ac:dyDescent="0.25">
      <c r="A131" s="4" t="s">
        <v>59</v>
      </c>
      <c r="B131" s="4" t="s">
        <v>43</v>
      </c>
      <c r="C131" s="4" t="s">
        <v>63</v>
      </c>
      <c r="D131" s="4" t="s">
        <v>25</v>
      </c>
      <c r="E131" s="4" t="s">
        <v>25</v>
      </c>
      <c r="F131" s="4" t="s">
        <v>25</v>
      </c>
      <c r="G131" s="4" t="s">
        <v>67</v>
      </c>
      <c r="H131" s="4" t="s">
        <v>25</v>
      </c>
      <c r="I131" s="5">
        <v>44470</v>
      </c>
      <c r="J131" s="6">
        <v>60000</v>
      </c>
      <c r="K131" s="6">
        <v>60000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4" t="s">
        <v>65</v>
      </c>
      <c r="R131" s="4">
        <v>29276</v>
      </c>
      <c r="S131" s="4">
        <v>27</v>
      </c>
      <c r="T131" s="4">
        <v>0</v>
      </c>
      <c r="U131" s="4">
        <v>0</v>
      </c>
      <c r="V131" s="6">
        <f>IF(ISERROR(VLOOKUP($S$131,'TAR FIN'!$A$1:$O$95,15,0)),0,VLOOKUP($S$131,'TAR FIN'!$A$1:$O$95,15,0))</f>
        <v>7.58</v>
      </c>
      <c r="W131" s="6">
        <f>IF(ISERROR(VLOOKUP($T$131,'TAR FIN'!$A$1:$O$95,15,0)),0,VLOOKUP($T$131,'TAR FIN'!$A$1:$O$95,15,0))</f>
        <v>0</v>
      </c>
      <c r="X131" s="6">
        <f>IF(ISERROR(VLOOKUP($U$131,'TAR FIN'!$A$1:$O$95,15,0)),0,VLOOKUP($U$131,'TAR FIN'!$A$1:$O$95,15,0))</f>
        <v>0</v>
      </c>
      <c r="Y131" s="6">
        <f ca="1">('TUSD BE'!$AM$9+'TUSD BF'!$AM$9+'TUSD CVA'!$AM$9)*1</f>
        <v>9.1574451247299731</v>
      </c>
      <c r="Z131" s="6"/>
      <c r="AA131" s="6"/>
      <c r="AB131" s="6">
        <f t="shared" si="10"/>
        <v>0</v>
      </c>
      <c r="AC131" s="6">
        <f t="shared" si="11"/>
        <v>0</v>
      </c>
      <c r="AD131" s="6">
        <f t="shared" ca="1" si="12"/>
        <v>0</v>
      </c>
      <c r="AE131" s="6">
        <f t="shared" si="13"/>
        <v>0</v>
      </c>
      <c r="AF131" s="4" t="s">
        <v>843</v>
      </c>
    </row>
    <row r="132" spans="1:32" ht="11.25" customHeight="1" x14ac:dyDescent="0.25">
      <c r="A132" s="4" t="s">
        <v>59</v>
      </c>
      <c r="B132" s="4" t="s">
        <v>43</v>
      </c>
      <c r="C132" s="4" t="s">
        <v>63</v>
      </c>
      <c r="D132" s="4" t="s">
        <v>25</v>
      </c>
      <c r="E132" s="4" t="s">
        <v>25</v>
      </c>
      <c r="F132" s="4" t="s">
        <v>25</v>
      </c>
      <c r="G132" s="4" t="s">
        <v>68</v>
      </c>
      <c r="H132" s="4" t="s">
        <v>25</v>
      </c>
      <c r="I132" s="5">
        <v>44470</v>
      </c>
      <c r="J132" s="6">
        <v>60000</v>
      </c>
      <c r="K132" s="6">
        <v>60000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4" t="s">
        <v>65</v>
      </c>
      <c r="R132" s="4">
        <v>29361</v>
      </c>
      <c r="S132" s="4">
        <v>27</v>
      </c>
      <c r="T132" s="4">
        <v>0</v>
      </c>
      <c r="U132" s="4">
        <v>0</v>
      </c>
      <c r="V132" s="6">
        <f>IF(ISERROR(VLOOKUP($S$132,'TAR FIN'!$A$1:$O$95,15,0)),0,VLOOKUP($S$132,'TAR FIN'!$A$1:$O$95,15,0))</f>
        <v>7.58</v>
      </c>
      <c r="W132" s="6">
        <f>IF(ISERROR(VLOOKUP($T$132,'TAR FIN'!$A$1:$O$95,15,0)),0,VLOOKUP($T$132,'TAR FIN'!$A$1:$O$95,15,0))</f>
        <v>0</v>
      </c>
      <c r="X132" s="6">
        <f>IF(ISERROR(VLOOKUP($U$132,'TAR FIN'!$A$1:$O$95,15,0)),0,VLOOKUP($U$132,'TAR FIN'!$A$1:$O$95,15,0))</f>
        <v>0</v>
      </c>
      <c r="Y132" s="6">
        <f ca="1">('TUSD BE'!$AM$9+'TUSD BF'!$AM$9+'TUSD CVA'!$AM$9)*1</f>
        <v>9.1574451247299731</v>
      </c>
      <c r="Z132" s="6"/>
      <c r="AA132" s="6"/>
      <c r="AB132" s="6">
        <f t="shared" si="10"/>
        <v>0</v>
      </c>
      <c r="AC132" s="6">
        <f t="shared" si="11"/>
        <v>0</v>
      </c>
      <c r="AD132" s="6">
        <f t="shared" ca="1" si="12"/>
        <v>0</v>
      </c>
      <c r="AE132" s="6">
        <f t="shared" si="13"/>
        <v>0</v>
      </c>
      <c r="AF132" s="4" t="s">
        <v>843</v>
      </c>
    </row>
    <row r="133" spans="1:32" ht="11.25" customHeight="1" x14ac:dyDescent="0.25">
      <c r="A133" s="4" t="s">
        <v>59</v>
      </c>
      <c r="B133" s="4" t="s">
        <v>43</v>
      </c>
      <c r="C133" s="4" t="s">
        <v>63</v>
      </c>
      <c r="D133" s="4" t="s">
        <v>25</v>
      </c>
      <c r="E133" s="4" t="s">
        <v>25</v>
      </c>
      <c r="F133" s="4" t="s">
        <v>25</v>
      </c>
      <c r="G133" s="4" t="s">
        <v>69</v>
      </c>
      <c r="H133" s="4" t="s">
        <v>25</v>
      </c>
      <c r="I133" s="5">
        <v>44470</v>
      </c>
      <c r="J133" s="6">
        <v>63434</v>
      </c>
      <c r="K133" s="6">
        <v>63434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4" t="s">
        <v>65</v>
      </c>
      <c r="R133" s="4">
        <v>29432</v>
      </c>
      <c r="S133" s="4">
        <v>27</v>
      </c>
      <c r="T133" s="4">
        <v>0</v>
      </c>
      <c r="U133" s="4">
        <v>0</v>
      </c>
      <c r="V133" s="6">
        <f>IF(ISERROR(VLOOKUP($S$133,'TAR FIN'!$A$1:$O$95,15,0)),0,VLOOKUP($S$133,'TAR FIN'!$A$1:$O$95,15,0))</f>
        <v>7.58</v>
      </c>
      <c r="W133" s="6">
        <f>IF(ISERROR(VLOOKUP($T$133,'TAR FIN'!$A$1:$O$95,15,0)),0,VLOOKUP($T$133,'TAR FIN'!$A$1:$O$95,15,0))</f>
        <v>0</v>
      </c>
      <c r="X133" s="6">
        <f>IF(ISERROR(VLOOKUP($U$133,'TAR FIN'!$A$1:$O$95,15,0)),0,VLOOKUP($U$133,'TAR FIN'!$A$1:$O$95,15,0))</f>
        <v>0</v>
      </c>
      <c r="Y133" s="6">
        <f ca="1">('TUSD BE'!$AM$9+'TUSD BF'!$AM$9+'TUSD CVA'!$AM$9)*1</f>
        <v>9.1574451247299731</v>
      </c>
      <c r="Z133" s="6"/>
      <c r="AA133" s="6"/>
      <c r="AB133" s="6">
        <f t="shared" si="10"/>
        <v>0</v>
      </c>
      <c r="AC133" s="6">
        <f t="shared" si="11"/>
        <v>0</v>
      </c>
      <c r="AD133" s="6">
        <f t="shared" ca="1" si="12"/>
        <v>0</v>
      </c>
      <c r="AE133" s="6">
        <f t="shared" si="13"/>
        <v>0</v>
      </c>
      <c r="AF133" s="4" t="s">
        <v>843</v>
      </c>
    </row>
    <row r="134" spans="1:32" ht="11.25" customHeight="1" x14ac:dyDescent="0.25">
      <c r="A134" s="4" t="s">
        <v>21</v>
      </c>
      <c r="B134" s="4" t="s">
        <v>35</v>
      </c>
      <c r="C134" s="4" t="s">
        <v>44</v>
      </c>
      <c r="D134" s="4" t="s">
        <v>42</v>
      </c>
      <c r="E134" s="4" t="s">
        <v>25</v>
      </c>
      <c r="F134" s="4" t="s">
        <v>62</v>
      </c>
      <c r="G134" s="4" t="s">
        <v>25</v>
      </c>
      <c r="H134" s="4" t="s">
        <v>38</v>
      </c>
      <c r="I134" s="5">
        <v>44136</v>
      </c>
      <c r="J134" s="6">
        <v>49402</v>
      </c>
      <c r="K134" s="6">
        <v>25446.9702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4" t="s">
        <v>60</v>
      </c>
      <c r="R134" s="4">
        <v>0</v>
      </c>
      <c r="S134" s="4">
        <v>29</v>
      </c>
      <c r="T134" s="4">
        <v>0</v>
      </c>
      <c r="U134" s="4">
        <v>0</v>
      </c>
      <c r="V134" s="6">
        <f>IF(ISERROR(VLOOKUP($S$134,'TAR FIN'!$A$1:$O$95,15,0)),0,VLOOKUP($S$134,'TAR FIN'!$A$1:$O$95,15,0))</f>
        <v>28.57</v>
      </c>
      <c r="W134" s="6">
        <f>IF(ISERROR(VLOOKUP($T$134,'TAR FIN'!$A$1:$O$95,15,0)),0,VLOOKUP($T$134,'TAR FIN'!$A$1:$O$95,15,0))</f>
        <v>0</v>
      </c>
      <c r="X134" s="6">
        <f>IF(ISERROR(VLOOKUP($U$134,'TAR FIN'!$A$1:$O$95,15,0)),0,VLOOKUP($U$134,'TAR FIN'!$A$1:$O$95,15,0))</f>
        <v>0</v>
      </c>
      <c r="Y134" s="6">
        <f ca="1">('TUSD BE'!$AM$11+'TUSD BF'!$AM$11+'TUSD CVA'!$AM$11)*1</f>
        <v>31.93064187172984</v>
      </c>
      <c r="Z134" s="6">
        <f ca="1">('TUSD BE'!$AM$12+'TUSD BF'!$AM$12+'TUSD CVA'!$AM$12)*1</f>
        <v>168.51338132937991</v>
      </c>
      <c r="AA134" s="6"/>
      <c r="AB134" s="6">
        <f t="shared" si="10"/>
        <v>684395.20138600003</v>
      </c>
      <c r="AC134" s="6">
        <f t="shared" si="11"/>
        <v>0</v>
      </c>
      <c r="AD134" s="6">
        <f t="shared" ca="1" si="12"/>
        <v>764899.47757041606</v>
      </c>
      <c r="AE134" s="6">
        <f t="shared" ca="1" si="13"/>
        <v>0</v>
      </c>
      <c r="AF134" s="4" t="s">
        <v>841</v>
      </c>
    </row>
    <row r="135" spans="1:32" ht="11.25" customHeight="1" x14ac:dyDescent="0.25">
      <c r="A135" s="4" t="s">
        <v>21</v>
      </c>
      <c r="B135" s="4" t="s">
        <v>35</v>
      </c>
      <c r="C135" s="4" t="s">
        <v>44</v>
      </c>
      <c r="D135" s="4" t="s">
        <v>42</v>
      </c>
      <c r="E135" s="4" t="s">
        <v>25</v>
      </c>
      <c r="F135" s="4" t="s">
        <v>62</v>
      </c>
      <c r="G135" s="4" t="s">
        <v>25</v>
      </c>
      <c r="H135" s="4" t="s">
        <v>38</v>
      </c>
      <c r="I135" s="5">
        <v>44166</v>
      </c>
      <c r="J135" s="6">
        <v>50390</v>
      </c>
      <c r="K135" s="6">
        <v>25890.382000000001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4" t="s">
        <v>60</v>
      </c>
      <c r="R135" s="4">
        <v>0</v>
      </c>
      <c r="S135" s="4">
        <v>29</v>
      </c>
      <c r="T135" s="4">
        <v>0</v>
      </c>
      <c r="U135" s="4">
        <v>0</v>
      </c>
      <c r="V135" s="6">
        <f>IF(ISERROR(VLOOKUP($S$135,'TAR FIN'!$A$1:$O$95,15,0)),0,VLOOKUP($S$135,'TAR FIN'!$A$1:$O$95,15,0))</f>
        <v>28.57</v>
      </c>
      <c r="W135" s="6">
        <f>IF(ISERROR(VLOOKUP($T$135,'TAR FIN'!$A$1:$O$95,15,0)),0,VLOOKUP($T$135,'TAR FIN'!$A$1:$O$95,15,0))</f>
        <v>0</v>
      </c>
      <c r="X135" s="6">
        <f>IF(ISERROR(VLOOKUP($U$135,'TAR FIN'!$A$1:$O$95,15,0)),0,VLOOKUP($U$135,'TAR FIN'!$A$1:$O$95,15,0))</f>
        <v>0</v>
      </c>
      <c r="Y135" s="6">
        <f ca="1">('TUSD BE'!$AM$11+'TUSD BF'!$AM$11+'TUSD CVA'!$AM$11)*1</f>
        <v>31.93064187172984</v>
      </c>
      <c r="Z135" s="6">
        <f ca="1">('TUSD BE'!$AM$12+'TUSD BF'!$AM$12+'TUSD CVA'!$AM$12)*1</f>
        <v>168.51338132937991</v>
      </c>
      <c r="AA135" s="6"/>
      <c r="AB135" s="6">
        <f t="shared" si="10"/>
        <v>699954.08626000001</v>
      </c>
      <c r="AC135" s="6">
        <f t="shared" si="11"/>
        <v>0</v>
      </c>
      <c r="AD135" s="6">
        <f t="shared" ca="1" si="12"/>
        <v>782288.52835218608</v>
      </c>
      <c r="AE135" s="6">
        <f t="shared" ca="1" si="13"/>
        <v>0</v>
      </c>
      <c r="AF135" s="4" t="s">
        <v>841</v>
      </c>
    </row>
    <row r="136" spans="1:32" ht="11.25" customHeight="1" x14ac:dyDescent="0.25">
      <c r="A136" s="4" t="s">
        <v>21</v>
      </c>
      <c r="B136" s="4" t="s">
        <v>35</v>
      </c>
      <c r="C136" s="4" t="s">
        <v>44</v>
      </c>
      <c r="D136" s="4" t="s">
        <v>42</v>
      </c>
      <c r="E136" s="4" t="s">
        <v>25</v>
      </c>
      <c r="F136" s="4" t="s">
        <v>62</v>
      </c>
      <c r="G136" s="4" t="s">
        <v>25</v>
      </c>
      <c r="H136" s="4" t="s">
        <v>38</v>
      </c>
      <c r="I136" s="5">
        <v>44197</v>
      </c>
      <c r="J136" s="6">
        <v>45662</v>
      </c>
      <c r="K136" s="6">
        <v>24378.941800000001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4" t="s">
        <v>60</v>
      </c>
      <c r="R136" s="4">
        <v>0</v>
      </c>
      <c r="S136" s="4">
        <v>29</v>
      </c>
      <c r="T136" s="4">
        <v>0</v>
      </c>
      <c r="U136" s="4">
        <v>0</v>
      </c>
      <c r="V136" s="6">
        <f>IF(ISERROR(VLOOKUP($S$136,'TAR FIN'!$A$1:$O$95,15,0)),0,VLOOKUP($S$136,'TAR FIN'!$A$1:$O$95,15,0))</f>
        <v>28.57</v>
      </c>
      <c r="W136" s="6">
        <f>IF(ISERROR(VLOOKUP($T$136,'TAR FIN'!$A$1:$O$95,15,0)),0,VLOOKUP($T$136,'TAR FIN'!$A$1:$O$95,15,0))</f>
        <v>0</v>
      </c>
      <c r="X136" s="6">
        <f>IF(ISERROR(VLOOKUP($U$136,'TAR FIN'!$A$1:$O$95,15,0)),0,VLOOKUP($U$136,'TAR FIN'!$A$1:$O$95,15,0))</f>
        <v>0</v>
      </c>
      <c r="Y136" s="6">
        <f ca="1">('TUSD BE'!$AM$11+'TUSD BF'!$AM$11+'TUSD CVA'!$AM$11)*1</f>
        <v>31.93064187172984</v>
      </c>
      <c r="Z136" s="6">
        <f ca="1">('TUSD BE'!$AM$12+'TUSD BF'!$AM$12+'TUSD CVA'!$AM$12)*1</f>
        <v>168.51338132937991</v>
      </c>
      <c r="AA136" s="6"/>
      <c r="AB136" s="6">
        <f t="shared" si="10"/>
        <v>608056.97277400002</v>
      </c>
      <c r="AC136" s="6">
        <f t="shared" si="11"/>
        <v>0</v>
      </c>
      <c r="AD136" s="6">
        <f t="shared" ca="1" si="12"/>
        <v>679581.70931938314</v>
      </c>
      <c r="AE136" s="6">
        <f t="shared" ca="1" si="13"/>
        <v>0</v>
      </c>
      <c r="AF136" s="4" t="s">
        <v>841</v>
      </c>
    </row>
    <row r="137" spans="1:32" ht="11.25" customHeight="1" x14ac:dyDescent="0.25">
      <c r="A137" s="4" t="s">
        <v>21</v>
      </c>
      <c r="B137" s="4" t="s">
        <v>35</v>
      </c>
      <c r="C137" s="4" t="s">
        <v>44</v>
      </c>
      <c r="D137" s="4" t="s">
        <v>42</v>
      </c>
      <c r="E137" s="4" t="s">
        <v>25</v>
      </c>
      <c r="F137" s="4" t="s">
        <v>62</v>
      </c>
      <c r="G137" s="4" t="s">
        <v>25</v>
      </c>
      <c r="H137" s="4" t="s">
        <v>38</v>
      </c>
      <c r="I137" s="5">
        <v>44228</v>
      </c>
      <c r="J137" s="6">
        <v>52318</v>
      </c>
      <c r="K137" s="6">
        <v>26394.431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4" t="s">
        <v>60</v>
      </c>
      <c r="R137" s="4">
        <v>0</v>
      </c>
      <c r="S137" s="4">
        <v>29</v>
      </c>
      <c r="T137" s="4">
        <v>0</v>
      </c>
      <c r="U137" s="4">
        <v>0</v>
      </c>
      <c r="V137" s="6">
        <f>IF(ISERROR(VLOOKUP($S$137,'TAR FIN'!$A$1:$O$95,15,0)),0,VLOOKUP($S$137,'TAR FIN'!$A$1:$O$95,15,0))</f>
        <v>28.57</v>
      </c>
      <c r="W137" s="6">
        <f>IF(ISERROR(VLOOKUP($T$137,'TAR FIN'!$A$1:$O$95,15,0)),0,VLOOKUP($T$137,'TAR FIN'!$A$1:$O$95,15,0))</f>
        <v>0</v>
      </c>
      <c r="X137" s="6">
        <f>IF(ISERROR(VLOOKUP($U$137,'TAR FIN'!$A$1:$O$95,15,0)),0,VLOOKUP($U$137,'TAR FIN'!$A$1:$O$95,15,0))</f>
        <v>0</v>
      </c>
      <c r="Y137" s="6">
        <f ca="1">('TUSD BE'!$AM$11+'TUSD BF'!$AM$11+'TUSD CVA'!$AM$11)*1</f>
        <v>31.93064187172984</v>
      </c>
      <c r="Z137" s="6">
        <f ca="1">('TUSD BE'!$AM$12+'TUSD BF'!$AM$12+'TUSD CVA'!$AM$12)*1</f>
        <v>168.51338132937991</v>
      </c>
      <c r="AA137" s="6"/>
      <c r="AB137" s="6">
        <f t="shared" si="10"/>
        <v>740636.36632999999</v>
      </c>
      <c r="AC137" s="6">
        <f t="shared" si="11"/>
        <v>0</v>
      </c>
      <c r="AD137" s="6">
        <f t="shared" ca="1" si="12"/>
        <v>827756.19777607766</v>
      </c>
      <c r="AE137" s="6">
        <f t="shared" ca="1" si="13"/>
        <v>0</v>
      </c>
      <c r="AF137" s="4" t="s">
        <v>841</v>
      </c>
    </row>
    <row r="138" spans="1:32" ht="11.25" customHeight="1" x14ac:dyDescent="0.25">
      <c r="A138" s="4" t="s">
        <v>21</v>
      </c>
      <c r="B138" s="4" t="s">
        <v>35</v>
      </c>
      <c r="C138" s="4" t="s">
        <v>44</v>
      </c>
      <c r="D138" s="4" t="s">
        <v>42</v>
      </c>
      <c r="E138" s="4" t="s">
        <v>25</v>
      </c>
      <c r="F138" s="4" t="s">
        <v>62</v>
      </c>
      <c r="G138" s="4" t="s">
        <v>25</v>
      </c>
      <c r="H138" s="4" t="s">
        <v>38</v>
      </c>
      <c r="I138" s="5">
        <v>44256</v>
      </c>
      <c r="J138" s="6">
        <v>52801</v>
      </c>
      <c r="K138" s="6">
        <v>26632.824400000001</v>
      </c>
      <c r="L138" s="6">
        <v>0</v>
      </c>
      <c r="M138" s="6">
        <v>0</v>
      </c>
      <c r="N138" s="6">
        <v>0</v>
      </c>
      <c r="O138" s="6">
        <v>0</v>
      </c>
      <c r="P138" s="6">
        <v>0</v>
      </c>
      <c r="Q138" s="4" t="s">
        <v>60</v>
      </c>
      <c r="R138" s="4">
        <v>0</v>
      </c>
      <c r="S138" s="4">
        <v>29</v>
      </c>
      <c r="T138" s="4">
        <v>0</v>
      </c>
      <c r="U138" s="4">
        <v>0</v>
      </c>
      <c r="V138" s="6">
        <f>IF(ISERROR(VLOOKUP($S$138,'TAR FIN'!$A$1:$O$95,15,0)),0,VLOOKUP($S$138,'TAR FIN'!$A$1:$O$95,15,0))</f>
        <v>28.57</v>
      </c>
      <c r="W138" s="6">
        <f>IF(ISERROR(VLOOKUP($T$138,'TAR FIN'!$A$1:$O$95,15,0)),0,VLOOKUP($T$138,'TAR FIN'!$A$1:$O$95,15,0))</f>
        <v>0</v>
      </c>
      <c r="X138" s="6">
        <f>IF(ISERROR(VLOOKUP($U$138,'TAR FIN'!$A$1:$O$95,15,0)),0,VLOOKUP($U$138,'TAR FIN'!$A$1:$O$95,15,0))</f>
        <v>0</v>
      </c>
      <c r="Y138" s="6">
        <f ca="1">('TUSD BE'!$AM$11+'TUSD BF'!$AM$11+'TUSD CVA'!$AM$11)*1</f>
        <v>31.93064187172984</v>
      </c>
      <c r="Z138" s="6">
        <f ca="1">('TUSD BE'!$AM$12+'TUSD BF'!$AM$12+'TUSD CVA'!$AM$12)*1</f>
        <v>168.51338132937991</v>
      </c>
      <c r="AA138" s="6"/>
      <c r="AB138" s="6">
        <f t="shared" si="10"/>
        <v>747624.77689199999</v>
      </c>
      <c r="AC138" s="6">
        <f t="shared" si="11"/>
        <v>0</v>
      </c>
      <c r="AD138" s="6">
        <f t="shared" ca="1" si="12"/>
        <v>835566.64352013904</v>
      </c>
      <c r="AE138" s="6">
        <f t="shared" ca="1" si="13"/>
        <v>0</v>
      </c>
      <c r="AF138" s="4" t="s">
        <v>841</v>
      </c>
    </row>
    <row r="139" spans="1:32" ht="11.25" customHeight="1" x14ac:dyDescent="0.25">
      <c r="A139" s="4" t="s">
        <v>21</v>
      </c>
      <c r="B139" s="4" t="s">
        <v>35</v>
      </c>
      <c r="C139" s="4" t="s">
        <v>44</v>
      </c>
      <c r="D139" s="4" t="s">
        <v>42</v>
      </c>
      <c r="E139" s="4" t="s">
        <v>25</v>
      </c>
      <c r="F139" s="4" t="s">
        <v>62</v>
      </c>
      <c r="G139" s="4" t="s">
        <v>25</v>
      </c>
      <c r="H139" s="4" t="s">
        <v>38</v>
      </c>
      <c r="I139" s="5">
        <v>44287</v>
      </c>
      <c r="J139" s="6">
        <v>53590</v>
      </c>
      <c r="K139" s="6">
        <v>26987.923999999999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4" t="s">
        <v>60</v>
      </c>
      <c r="R139" s="4">
        <v>0</v>
      </c>
      <c r="S139" s="4">
        <v>29</v>
      </c>
      <c r="T139" s="4">
        <v>0</v>
      </c>
      <c r="U139" s="4">
        <v>0</v>
      </c>
      <c r="V139" s="6">
        <f>IF(ISERROR(VLOOKUP($S$139,'TAR FIN'!$A$1:$O$95,15,0)),0,VLOOKUP($S$139,'TAR FIN'!$A$1:$O$95,15,0))</f>
        <v>28.57</v>
      </c>
      <c r="W139" s="6">
        <f>IF(ISERROR(VLOOKUP($T$139,'TAR FIN'!$A$1:$O$95,15,0)),0,VLOOKUP($T$139,'TAR FIN'!$A$1:$O$95,15,0))</f>
        <v>0</v>
      </c>
      <c r="X139" s="6">
        <f>IF(ISERROR(VLOOKUP($U$139,'TAR FIN'!$A$1:$O$95,15,0)),0,VLOOKUP($U$139,'TAR FIN'!$A$1:$O$95,15,0))</f>
        <v>0</v>
      </c>
      <c r="Y139" s="6">
        <f ca="1">('TUSD BE'!$AM$11+'TUSD BF'!$AM$11+'TUSD CVA'!$AM$11)*1</f>
        <v>31.93064187172984</v>
      </c>
      <c r="Z139" s="6">
        <f ca="1">('TUSD BE'!$AM$12+'TUSD BF'!$AM$12+'TUSD CVA'!$AM$12)*1</f>
        <v>168.51338132937991</v>
      </c>
      <c r="AA139" s="6"/>
      <c r="AB139" s="6">
        <f t="shared" si="10"/>
        <v>760021.31131999998</v>
      </c>
      <c r="AC139" s="6">
        <f t="shared" si="11"/>
        <v>0</v>
      </c>
      <c r="AD139" s="6">
        <f t="shared" ca="1" si="12"/>
        <v>849421.36180053954</v>
      </c>
      <c r="AE139" s="6">
        <f t="shared" ca="1" si="13"/>
        <v>0</v>
      </c>
      <c r="AF139" s="4" t="s">
        <v>841</v>
      </c>
    </row>
    <row r="140" spans="1:32" ht="11.25" customHeight="1" x14ac:dyDescent="0.25">
      <c r="A140" s="4" t="s">
        <v>21</v>
      </c>
      <c r="B140" s="4" t="s">
        <v>35</v>
      </c>
      <c r="C140" s="4" t="s">
        <v>44</v>
      </c>
      <c r="D140" s="4" t="s">
        <v>42</v>
      </c>
      <c r="E140" s="4" t="s">
        <v>25</v>
      </c>
      <c r="F140" s="4" t="s">
        <v>62</v>
      </c>
      <c r="G140" s="4" t="s">
        <v>25</v>
      </c>
      <c r="H140" s="4" t="s">
        <v>38</v>
      </c>
      <c r="I140" s="5">
        <v>44317</v>
      </c>
      <c r="J140" s="6">
        <v>54209</v>
      </c>
      <c r="K140" s="6">
        <v>27332.177800000001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4" t="s">
        <v>60</v>
      </c>
      <c r="R140" s="4">
        <v>0</v>
      </c>
      <c r="S140" s="4">
        <v>29</v>
      </c>
      <c r="T140" s="4">
        <v>0</v>
      </c>
      <c r="U140" s="4">
        <v>0</v>
      </c>
      <c r="V140" s="6">
        <f>IF(ISERROR(VLOOKUP($S$140,'TAR FIN'!$A$1:$O$95,15,0)),0,VLOOKUP($S$140,'TAR FIN'!$A$1:$O$95,15,0))</f>
        <v>28.57</v>
      </c>
      <c r="W140" s="6">
        <f>IF(ISERROR(VLOOKUP($T$140,'TAR FIN'!$A$1:$O$95,15,0)),0,VLOOKUP($T$140,'TAR FIN'!$A$1:$O$95,15,0))</f>
        <v>0</v>
      </c>
      <c r="X140" s="6">
        <f>IF(ISERROR(VLOOKUP($U$140,'TAR FIN'!$A$1:$O$95,15,0)),0,VLOOKUP($U$140,'TAR FIN'!$A$1:$O$95,15,0))</f>
        <v>0</v>
      </c>
      <c r="Y140" s="6">
        <f ca="1">('TUSD BE'!$AM$11+'TUSD BF'!$AM$11+'TUSD CVA'!$AM$11)*1</f>
        <v>31.93064187172984</v>
      </c>
      <c r="Z140" s="6">
        <f ca="1">('TUSD BE'!$AM$12+'TUSD BF'!$AM$12+'TUSD CVA'!$AM$12)*1</f>
        <v>168.51338132937991</v>
      </c>
      <c r="AA140" s="6"/>
      <c r="AB140" s="6">
        <f t="shared" si="10"/>
        <v>767870.81025400001</v>
      </c>
      <c r="AC140" s="6">
        <f t="shared" si="11"/>
        <v>0</v>
      </c>
      <c r="AD140" s="6">
        <f t="shared" ca="1" si="12"/>
        <v>858194.18431835808</v>
      </c>
      <c r="AE140" s="6">
        <f t="shared" ca="1" si="13"/>
        <v>0</v>
      </c>
      <c r="AF140" s="4" t="s">
        <v>841</v>
      </c>
    </row>
    <row r="141" spans="1:32" ht="11.25" customHeight="1" x14ac:dyDescent="0.25">
      <c r="A141" s="4" t="s">
        <v>21</v>
      </c>
      <c r="B141" s="4" t="s">
        <v>35</v>
      </c>
      <c r="C141" s="4" t="s">
        <v>44</v>
      </c>
      <c r="D141" s="4" t="s">
        <v>42</v>
      </c>
      <c r="E141" s="4" t="s">
        <v>25</v>
      </c>
      <c r="F141" s="4" t="s">
        <v>62</v>
      </c>
      <c r="G141" s="4" t="s">
        <v>25</v>
      </c>
      <c r="H141" s="4" t="s">
        <v>38</v>
      </c>
      <c r="I141" s="5">
        <v>44348</v>
      </c>
      <c r="J141" s="6">
        <v>45662</v>
      </c>
      <c r="K141" s="6">
        <v>24378.941800000001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4" t="s">
        <v>60</v>
      </c>
      <c r="R141" s="4">
        <v>0</v>
      </c>
      <c r="S141" s="4">
        <v>29</v>
      </c>
      <c r="T141" s="4">
        <v>0</v>
      </c>
      <c r="U141" s="4">
        <v>0</v>
      </c>
      <c r="V141" s="6">
        <f>IF(ISERROR(VLOOKUP($S$141,'TAR FIN'!$A$1:$O$95,15,0)),0,VLOOKUP($S$141,'TAR FIN'!$A$1:$O$95,15,0))</f>
        <v>28.57</v>
      </c>
      <c r="W141" s="6">
        <f>IF(ISERROR(VLOOKUP($T$141,'TAR FIN'!$A$1:$O$95,15,0)),0,VLOOKUP($T$141,'TAR FIN'!$A$1:$O$95,15,0))</f>
        <v>0</v>
      </c>
      <c r="X141" s="6">
        <f>IF(ISERROR(VLOOKUP($U$141,'TAR FIN'!$A$1:$O$95,15,0)),0,VLOOKUP($U$141,'TAR FIN'!$A$1:$O$95,15,0))</f>
        <v>0</v>
      </c>
      <c r="Y141" s="6">
        <f ca="1">('TUSD BE'!$AM$11+'TUSD BF'!$AM$11+'TUSD CVA'!$AM$11)*1</f>
        <v>31.93064187172984</v>
      </c>
      <c r="Z141" s="6">
        <f ca="1">('TUSD BE'!$AM$12+'TUSD BF'!$AM$12+'TUSD CVA'!$AM$12)*1</f>
        <v>168.51338132937991</v>
      </c>
      <c r="AA141" s="6"/>
      <c r="AB141" s="6">
        <f t="shared" si="10"/>
        <v>608056.97277400002</v>
      </c>
      <c r="AC141" s="6">
        <f t="shared" si="11"/>
        <v>0</v>
      </c>
      <c r="AD141" s="6">
        <f t="shared" ca="1" si="12"/>
        <v>679581.70931938314</v>
      </c>
      <c r="AE141" s="6">
        <f t="shared" ca="1" si="13"/>
        <v>0</v>
      </c>
      <c r="AF141" s="4" t="s">
        <v>841</v>
      </c>
    </row>
    <row r="142" spans="1:32" ht="11.25" customHeight="1" x14ac:dyDescent="0.25">
      <c r="A142" s="4" t="s">
        <v>21</v>
      </c>
      <c r="B142" s="4" t="s">
        <v>35</v>
      </c>
      <c r="C142" s="4" t="s">
        <v>44</v>
      </c>
      <c r="D142" s="4" t="s">
        <v>42</v>
      </c>
      <c r="E142" s="4" t="s">
        <v>25</v>
      </c>
      <c r="F142" s="4" t="s">
        <v>62</v>
      </c>
      <c r="G142" s="4" t="s">
        <v>25</v>
      </c>
      <c r="H142" s="4" t="s">
        <v>38</v>
      </c>
      <c r="I142" s="5">
        <v>44378</v>
      </c>
      <c r="J142" s="6">
        <v>55486</v>
      </c>
      <c r="K142" s="6">
        <v>27476.6672</v>
      </c>
      <c r="L142" s="6">
        <v>0</v>
      </c>
      <c r="M142" s="6">
        <v>0</v>
      </c>
      <c r="N142" s="6">
        <v>0</v>
      </c>
      <c r="O142" s="6">
        <v>0</v>
      </c>
      <c r="P142" s="6">
        <v>0</v>
      </c>
      <c r="Q142" s="4" t="s">
        <v>60</v>
      </c>
      <c r="R142" s="4">
        <v>0</v>
      </c>
      <c r="S142" s="4">
        <v>29</v>
      </c>
      <c r="T142" s="4">
        <v>0</v>
      </c>
      <c r="U142" s="4">
        <v>0</v>
      </c>
      <c r="V142" s="6">
        <f>IF(ISERROR(VLOOKUP($S$142,'TAR FIN'!$A$1:$O$95,15,0)),0,VLOOKUP($S$142,'TAR FIN'!$A$1:$O$95,15,0))</f>
        <v>28.57</v>
      </c>
      <c r="W142" s="6">
        <f>IF(ISERROR(VLOOKUP($T$142,'TAR FIN'!$A$1:$O$95,15,0)),0,VLOOKUP($T$142,'TAR FIN'!$A$1:$O$95,15,0))</f>
        <v>0</v>
      </c>
      <c r="X142" s="6">
        <f>IF(ISERROR(VLOOKUP($U$142,'TAR FIN'!$A$1:$O$95,15,0)),0,VLOOKUP($U$142,'TAR FIN'!$A$1:$O$95,15,0))</f>
        <v>0</v>
      </c>
      <c r="Y142" s="6">
        <f ca="1">('TUSD BE'!$AM$11+'TUSD BF'!$AM$11+'TUSD CVA'!$AM$11)*1</f>
        <v>31.93064187172984</v>
      </c>
      <c r="Z142" s="6">
        <f ca="1">('TUSD BE'!$AM$12+'TUSD BF'!$AM$12+'TUSD CVA'!$AM$12)*1</f>
        <v>168.51338132937991</v>
      </c>
      <c r="AA142" s="6"/>
      <c r="AB142" s="6">
        <f t="shared" si="10"/>
        <v>800226.63809600007</v>
      </c>
      <c r="AC142" s="6">
        <f t="shared" si="11"/>
        <v>0</v>
      </c>
      <c r="AD142" s="6">
        <f t="shared" ca="1" si="12"/>
        <v>894355.97470289597</v>
      </c>
      <c r="AE142" s="6">
        <f t="shared" ca="1" si="13"/>
        <v>0</v>
      </c>
      <c r="AF142" s="4" t="s">
        <v>841</v>
      </c>
    </row>
    <row r="143" spans="1:32" ht="11.25" customHeight="1" x14ac:dyDescent="0.25">
      <c r="A143" s="4" t="s">
        <v>21</v>
      </c>
      <c r="B143" s="4" t="s">
        <v>35</v>
      </c>
      <c r="C143" s="4" t="s">
        <v>44</v>
      </c>
      <c r="D143" s="4" t="s">
        <v>42</v>
      </c>
      <c r="E143" s="4" t="s">
        <v>25</v>
      </c>
      <c r="F143" s="4" t="s">
        <v>62</v>
      </c>
      <c r="G143" s="4" t="s">
        <v>25</v>
      </c>
      <c r="H143" s="4" t="s">
        <v>38</v>
      </c>
      <c r="I143" s="5">
        <v>44409</v>
      </c>
      <c r="J143" s="6">
        <v>53748</v>
      </c>
      <c r="K143" s="6">
        <v>27889.837200000002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4" t="s">
        <v>60</v>
      </c>
      <c r="R143" s="4">
        <v>0</v>
      </c>
      <c r="S143" s="4">
        <v>29</v>
      </c>
      <c r="T143" s="4">
        <v>0</v>
      </c>
      <c r="U143" s="4">
        <v>0</v>
      </c>
      <c r="V143" s="6">
        <f>IF(ISERROR(VLOOKUP($S$143,'TAR FIN'!$A$1:$O$95,15,0)),0,VLOOKUP($S$143,'TAR FIN'!$A$1:$O$95,15,0))</f>
        <v>28.57</v>
      </c>
      <c r="W143" s="6">
        <f>IF(ISERROR(VLOOKUP($T$143,'TAR FIN'!$A$1:$O$95,15,0)),0,VLOOKUP($T$143,'TAR FIN'!$A$1:$O$95,15,0))</f>
        <v>0</v>
      </c>
      <c r="X143" s="6">
        <f>IF(ISERROR(VLOOKUP($U$143,'TAR FIN'!$A$1:$O$95,15,0)),0,VLOOKUP($U$143,'TAR FIN'!$A$1:$O$95,15,0))</f>
        <v>0</v>
      </c>
      <c r="Y143" s="6">
        <f ca="1">('TUSD BE'!$AM$11+'TUSD BF'!$AM$11+'TUSD CVA'!$AM$11)*1</f>
        <v>31.93064187172984</v>
      </c>
      <c r="Z143" s="6">
        <f ca="1">('TUSD BE'!$AM$12+'TUSD BF'!$AM$12+'TUSD CVA'!$AM$12)*1</f>
        <v>168.51338132937991</v>
      </c>
      <c r="AA143" s="6"/>
      <c r="AB143" s="6">
        <f t="shared" si="10"/>
        <v>738767.71119599999</v>
      </c>
      <c r="AC143" s="6">
        <f t="shared" si="11"/>
        <v>0</v>
      </c>
      <c r="AD143" s="6">
        <f t="shared" ca="1" si="12"/>
        <v>825667.73582768685</v>
      </c>
      <c r="AE143" s="6">
        <f t="shared" ca="1" si="13"/>
        <v>0</v>
      </c>
      <c r="AF143" s="4" t="s">
        <v>841</v>
      </c>
    </row>
    <row r="144" spans="1:32" ht="11.25" customHeight="1" x14ac:dyDescent="0.25">
      <c r="A144" s="4" t="s">
        <v>21</v>
      </c>
      <c r="B144" s="4" t="s">
        <v>35</v>
      </c>
      <c r="C144" s="4" t="s">
        <v>44</v>
      </c>
      <c r="D144" s="4" t="s">
        <v>42</v>
      </c>
      <c r="E144" s="4" t="s">
        <v>25</v>
      </c>
      <c r="F144" s="4" t="s">
        <v>62</v>
      </c>
      <c r="G144" s="4" t="s">
        <v>25</v>
      </c>
      <c r="H144" s="4" t="s">
        <v>38</v>
      </c>
      <c r="I144" s="5">
        <v>44440</v>
      </c>
      <c r="J144" s="6">
        <v>56211</v>
      </c>
      <c r="K144" s="6">
        <v>25300.571100000001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4" t="s">
        <v>60</v>
      </c>
      <c r="R144" s="4">
        <v>0</v>
      </c>
      <c r="S144" s="4">
        <v>29</v>
      </c>
      <c r="T144" s="4">
        <v>0</v>
      </c>
      <c r="U144" s="4">
        <v>0</v>
      </c>
      <c r="V144" s="6">
        <f>IF(ISERROR(VLOOKUP($S$144,'TAR FIN'!$A$1:$O$95,15,0)),0,VLOOKUP($S$144,'TAR FIN'!$A$1:$O$95,15,0))</f>
        <v>28.57</v>
      </c>
      <c r="W144" s="6">
        <f>IF(ISERROR(VLOOKUP($T$144,'TAR FIN'!$A$1:$O$95,15,0)),0,VLOOKUP($T$144,'TAR FIN'!$A$1:$O$95,15,0))</f>
        <v>0</v>
      </c>
      <c r="X144" s="6">
        <f>IF(ISERROR(VLOOKUP($U$144,'TAR FIN'!$A$1:$O$95,15,0)),0,VLOOKUP($U$144,'TAR FIN'!$A$1:$O$95,15,0))</f>
        <v>0</v>
      </c>
      <c r="Y144" s="6">
        <f ca="1">('TUSD BE'!$AM$11+'TUSD BF'!$AM$11+'TUSD CVA'!$AM$11)*1</f>
        <v>31.93064187172984</v>
      </c>
      <c r="Z144" s="6">
        <f ca="1">('TUSD BE'!$AM$12+'TUSD BF'!$AM$12+'TUSD CVA'!$AM$12)*1</f>
        <v>168.51338132937991</v>
      </c>
      <c r="AA144" s="6"/>
      <c r="AB144" s="6">
        <f t="shared" si="10"/>
        <v>883110.95367299998</v>
      </c>
      <c r="AC144" s="6">
        <f t="shared" si="11"/>
        <v>0</v>
      </c>
      <c r="AD144" s="6">
        <f t="shared" ca="1" si="12"/>
        <v>986989.83530746808</v>
      </c>
      <c r="AE144" s="6">
        <f t="shared" ca="1" si="13"/>
        <v>0</v>
      </c>
      <c r="AF144" s="4" t="s">
        <v>841</v>
      </c>
    </row>
    <row r="145" spans="1:32" ht="11.25" customHeight="1" x14ac:dyDescent="0.25">
      <c r="A145" s="4" t="s">
        <v>59</v>
      </c>
      <c r="B145" s="4" t="s">
        <v>35</v>
      </c>
      <c r="C145" s="4" t="s">
        <v>44</v>
      </c>
      <c r="D145" s="4" t="s">
        <v>42</v>
      </c>
      <c r="E145" s="4" t="s">
        <v>25</v>
      </c>
      <c r="F145" s="4" t="s">
        <v>62</v>
      </c>
      <c r="G145" s="4" t="s">
        <v>25</v>
      </c>
      <c r="H145" s="4" t="s">
        <v>38</v>
      </c>
      <c r="I145" s="5">
        <v>44470</v>
      </c>
      <c r="J145" s="6">
        <v>56211</v>
      </c>
      <c r="K145" s="6">
        <v>25300.571100000001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4" t="s">
        <v>60</v>
      </c>
      <c r="R145" s="4">
        <v>0</v>
      </c>
      <c r="S145" s="4">
        <v>29</v>
      </c>
      <c r="T145" s="4">
        <v>0</v>
      </c>
      <c r="U145" s="4">
        <v>0</v>
      </c>
      <c r="V145" s="6">
        <f>IF(ISERROR(VLOOKUP($S$145,'TAR FIN'!$A$1:$O$95,15,0)),0,VLOOKUP($S$145,'TAR FIN'!$A$1:$O$95,15,0))</f>
        <v>28.57</v>
      </c>
      <c r="W145" s="6">
        <f>IF(ISERROR(VLOOKUP($T$145,'TAR FIN'!$A$1:$O$95,15,0)),0,VLOOKUP($T$145,'TAR FIN'!$A$1:$O$95,15,0))</f>
        <v>0</v>
      </c>
      <c r="X145" s="6">
        <f>IF(ISERROR(VLOOKUP($U$145,'TAR FIN'!$A$1:$O$95,15,0)),0,VLOOKUP($U$145,'TAR FIN'!$A$1:$O$95,15,0))</f>
        <v>0</v>
      </c>
      <c r="Y145" s="6">
        <f ca="1">('TUSD BE'!$AM$11+'TUSD BF'!$AM$11+'TUSD CVA'!$AM$11)*1</f>
        <v>31.93064187172984</v>
      </c>
      <c r="Z145" s="6">
        <f ca="1">('TUSD BE'!$AM$12+'TUSD BF'!$AM$12+'TUSD CVA'!$AM$12)*1</f>
        <v>168.51338132937991</v>
      </c>
      <c r="AA145" s="6"/>
      <c r="AB145" s="6">
        <f t="shared" si="10"/>
        <v>883110.95367299998</v>
      </c>
      <c r="AC145" s="6">
        <f t="shared" si="11"/>
        <v>0</v>
      </c>
      <c r="AD145" s="6">
        <f t="shared" ca="1" si="12"/>
        <v>986989.83530746808</v>
      </c>
      <c r="AE145" s="6">
        <f t="shared" ca="1" si="13"/>
        <v>0</v>
      </c>
      <c r="AF145" s="4" t="s">
        <v>841</v>
      </c>
    </row>
    <row r="146" spans="1:32" ht="11.25" customHeight="1" x14ac:dyDescent="0.25">
      <c r="A146" s="4" t="s">
        <v>21</v>
      </c>
      <c r="B146" s="4" t="s">
        <v>35</v>
      </c>
      <c r="C146" s="4" t="s">
        <v>44</v>
      </c>
      <c r="D146" s="4" t="s">
        <v>42</v>
      </c>
      <c r="E146" s="4" t="s">
        <v>25</v>
      </c>
      <c r="F146" s="4" t="s">
        <v>62</v>
      </c>
      <c r="G146" s="4" t="s">
        <v>25</v>
      </c>
      <c r="H146" s="4" t="s">
        <v>25</v>
      </c>
      <c r="I146" s="5">
        <v>44136</v>
      </c>
      <c r="J146" s="6">
        <v>0</v>
      </c>
      <c r="K146" s="6">
        <v>0</v>
      </c>
      <c r="L146" s="6">
        <v>22084.305</v>
      </c>
      <c r="M146" s="6">
        <v>22084.305</v>
      </c>
      <c r="N146" s="6">
        <v>0</v>
      </c>
      <c r="O146" s="6">
        <v>0</v>
      </c>
      <c r="P146" s="6">
        <v>51</v>
      </c>
      <c r="Q146" s="4" t="s">
        <v>60</v>
      </c>
      <c r="R146" s="4">
        <v>0</v>
      </c>
      <c r="S146" s="4">
        <v>0</v>
      </c>
      <c r="T146" s="4">
        <v>30</v>
      </c>
      <c r="U146" s="4">
        <v>0</v>
      </c>
      <c r="V146" s="6">
        <f>IF(ISERROR(VLOOKUP($S$146,'TAR FIN'!$A$1:$O$95,15,0)),0,VLOOKUP($S$146,'TAR FIN'!$A$1:$O$95,15,0))</f>
        <v>0</v>
      </c>
      <c r="W146" s="6">
        <f>IF(ISERROR(VLOOKUP($T$146,'TAR FIN'!$A$1:$O$95,15,0)),0,VLOOKUP($T$146,'TAR FIN'!$A$1:$O$95,15,0))</f>
        <v>149.63</v>
      </c>
      <c r="X146" s="6">
        <f>IF(ISERROR(VLOOKUP($U$146,'TAR FIN'!$A$1:$O$95,15,0)),0,VLOOKUP($U$146,'TAR FIN'!$A$1:$O$95,15,0))</f>
        <v>0</v>
      </c>
      <c r="Y146" s="6"/>
      <c r="Z146" s="6">
        <f ca="1">('TUSD BE'!$AM$12+'TUSD BF'!$AM$12+'TUSD CVA'!$AM$12)*1</f>
        <v>168.51338132937991</v>
      </c>
      <c r="AA146" s="6"/>
      <c r="AB146" s="6">
        <f t="shared" si="10"/>
        <v>0</v>
      </c>
      <c r="AC146" s="6">
        <f t="shared" si="11"/>
        <v>0</v>
      </c>
      <c r="AD146" s="6">
        <f t="shared" si="12"/>
        <v>0</v>
      </c>
      <c r="AE146" s="6">
        <f t="shared" ca="1" si="13"/>
        <v>0</v>
      </c>
      <c r="AF146" s="4" t="s">
        <v>841</v>
      </c>
    </row>
    <row r="147" spans="1:32" ht="11.25" customHeight="1" x14ac:dyDescent="0.25">
      <c r="A147" s="4" t="s">
        <v>21</v>
      </c>
      <c r="B147" s="4" t="s">
        <v>35</v>
      </c>
      <c r="C147" s="4" t="s">
        <v>44</v>
      </c>
      <c r="D147" s="4" t="s">
        <v>42</v>
      </c>
      <c r="E147" s="4" t="s">
        <v>25</v>
      </c>
      <c r="F147" s="4" t="s">
        <v>62</v>
      </c>
      <c r="G147" s="4" t="s">
        <v>25</v>
      </c>
      <c r="H147" s="4" t="s">
        <v>25</v>
      </c>
      <c r="I147" s="5">
        <v>44166</v>
      </c>
      <c r="J147" s="6">
        <v>0</v>
      </c>
      <c r="K147" s="6">
        <v>0</v>
      </c>
      <c r="L147" s="6">
        <v>22080.807000000001</v>
      </c>
      <c r="M147" s="6">
        <v>22080.807000000001</v>
      </c>
      <c r="N147" s="6">
        <v>0</v>
      </c>
      <c r="O147" s="6">
        <v>0</v>
      </c>
      <c r="P147" s="6">
        <v>52</v>
      </c>
      <c r="Q147" s="4" t="s">
        <v>60</v>
      </c>
      <c r="R147" s="4">
        <v>0</v>
      </c>
      <c r="S147" s="4">
        <v>0</v>
      </c>
      <c r="T147" s="4">
        <v>30</v>
      </c>
      <c r="U147" s="4">
        <v>0</v>
      </c>
      <c r="V147" s="6">
        <f>IF(ISERROR(VLOOKUP($S$147,'TAR FIN'!$A$1:$O$95,15,0)),0,VLOOKUP($S$147,'TAR FIN'!$A$1:$O$95,15,0))</f>
        <v>0</v>
      </c>
      <c r="W147" s="6">
        <f>IF(ISERROR(VLOOKUP($T$147,'TAR FIN'!$A$1:$O$95,15,0)),0,VLOOKUP($T$147,'TAR FIN'!$A$1:$O$95,15,0))</f>
        <v>149.63</v>
      </c>
      <c r="X147" s="6">
        <f>IF(ISERROR(VLOOKUP($U$147,'TAR FIN'!$A$1:$O$95,15,0)),0,VLOOKUP($U$147,'TAR FIN'!$A$1:$O$95,15,0))</f>
        <v>0</v>
      </c>
      <c r="Y147" s="6"/>
      <c r="Z147" s="6">
        <f ca="1">('TUSD BE'!$AM$12+'TUSD BF'!$AM$12+'TUSD CVA'!$AM$12)*1</f>
        <v>168.51338132937991</v>
      </c>
      <c r="AA147" s="6"/>
      <c r="AB147" s="6">
        <f t="shared" si="10"/>
        <v>0</v>
      </c>
      <c r="AC147" s="6">
        <f t="shared" si="11"/>
        <v>0</v>
      </c>
      <c r="AD147" s="6">
        <f t="shared" si="12"/>
        <v>0</v>
      </c>
      <c r="AE147" s="6">
        <f t="shared" ca="1" si="13"/>
        <v>0</v>
      </c>
      <c r="AF147" s="4" t="s">
        <v>841</v>
      </c>
    </row>
    <row r="148" spans="1:32" ht="11.25" customHeight="1" x14ac:dyDescent="0.25">
      <c r="A148" s="4" t="s">
        <v>21</v>
      </c>
      <c r="B148" s="4" t="s">
        <v>35</v>
      </c>
      <c r="C148" s="4" t="s">
        <v>44</v>
      </c>
      <c r="D148" s="4" t="s">
        <v>42</v>
      </c>
      <c r="E148" s="4" t="s">
        <v>25</v>
      </c>
      <c r="F148" s="4" t="s">
        <v>62</v>
      </c>
      <c r="G148" s="4" t="s">
        <v>25</v>
      </c>
      <c r="H148" s="4" t="s">
        <v>25</v>
      </c>
      <c r="I148" s="5">
        <v>44197</v>
      </c>
      <c r="J148" s="6">
        <v>0</v>
      </c>
      <c r="K148" s="6">
        <v>0</v>
      </c>
      <c r="L148" s="6">
        <v>19711.32</v>
      </c>
      <c r="M148" s="6">
        <v>19711.32</v>
      </c>
      <c r="N148" s="6">
        <v>0</v>
      </c>
      <c r="O148" s="6">
        <v>0</v>
      </c>
      <c r="P148" s="6">
        <v>52</v>
      </c>
      <c r="Q148" s="4" t="s">
        <v>60</v>
      </c>
      <c r="R148" s="4">
        <v>0</v>
      </c>
      <c r="S148" s="4">
        <v>0</v>
      </c>
      <c r="T148" s="4">
        <v>30</v>
      </c>
      <c r="U148" s="4">
        <v>0</v>
      </c>
      <c r="V148" s="6">
        <f>IF(ISERROR(VLOOKUP($S$148,'TAR FIN'!$A$1:$O$95,15,0)),0,VLOOKUP($S$148,'TAR FIN'!$A$1:$O$95,15,0))</f>
        <v>0</v>
      </c>
      <c r="W148" s="6">
        <f>IF(ISERROR(VLOOKUP($T$148,'TAR FIN'!$A$1:$O$95,15,0)),0,VLOOKUP($T$148,'TAR FIN'!$A$1:$O$95,15,0))</f>
        <v>149.63</v>
      </c>
      <c r="X148" s="6">
        <f>IF(ISERROR(VLOOKUP($U$148,'TAR FIN'!$A$1:$O$95,15,0)),0,VLOOKUP($U$148,'TAR FIN'!$A$1:$O$95,15,0))</f>
        <v>0</v>
      </c>
      <c r="Y148" s="6"/>
      <c r="Z148" s="6">
        <f ca="1">('TUSD BE'!$AM$12+'TUSD BF'!$AM$12+'TUSD CVA'!$AM$12)*1</f>
        <v>168.51338132937991</v>
      </c>
      <c r="AA148" s="6"/>
      <c r="AB148" s="6">
        <f t="shared" si="10"/>
        <v>0</v>
      </c>
      <c r="AC148" s="6">
        <f t="shared" si="11"/>
        <v>0</v>
      </c>
      <c r="AD148" s="6">
        <f t="shared" si="12"/>
        <v>0</v>
      </c>
      <c r="AE148" s="6">
        <f t="shared" ca="1" si="13"/>
        <v>0</v>
      </c>
      <c r="AF148" s="4" t="s">
        <v>841</v>
      </c>
    </row>
    <row r="149" spans="1:32" ht="11.25" customHeight="1" x14ac:dyDescent="0.25">
      <c r="A149" s="4" t="s">
        <v>21</v>
      </c>
      <c r="B149" s="4" t="s">
        <v>35</v>
      </c>
      <c r="C149" s="4" t="s">
        <v>44</v>
      </c>
      <c r="D149" s="4" t="s">
        <v>42</v>
      </c>
      <c r="E149" s="4" t="s">
        <v>25</v>
      </c>
      <c r="F149" s="4" t="s">
        <v>62</v>
      </c>
      <c r="G149" s="4" t="s">
        <v>25</v>
      </c>
      <c r="H149" s="4" t="s">
        <v>25</v>
      </c>
      <c r="I149" s="5">
        <v>44228</v>
      </c>
      <c r="J149" s="6">
        <v>0</v>
      </c>
      <c r="K149" s="6">
        <v>0</v>
      </c>
      <c r="L149" s="6">
        <v>19764.91</v>
      </c>
      <c r="M149" s="6">
        <v>19764.91</v>
      </c>
      <c r="N149" s="6">
        <v>0</v>
      </c>
      <c r="O149" s="6">
        <v>0</v>
      </c>
      <c r="P149" s="6">
        <v>54</v>
      </c>
      <c r="Q149" s="4" t="s">
        <v>60</v>
      </c>
      <c r="R149" s="4">
        <v>0</v>
      </c>
      <c r="S149" s="4">
        <v>0</v>
      </c>
      <c r="T149" s="4">
        <v>30</v>
      </c>
      <c r="U149" s="4">
        <v>0</v>
      </c>
      <c r="V149" s="6">
        <f>IF(ISERROR(VLOOKUP($S$149,'TAR FIN'!$A$1:$O$95,15,0)),0,VLOOKUP($S$149,'TAR FIN'!$A$1:$O$95,15,0))</f>
        <v>0</v>
      </c>
      <c r="W149" s="6">
        <f>IF(ISERROR(VLOOKUP($T$149,'TAR FIN'!$A$1:$O$95,15,0)),0,VLOOKUP($T$149,'TAR FIN'!$A$1:$O$95,15,0))</f>
        <v>149.63</v>
      </c>
      <c r="X149" s="6">
        <f>IF(ISERROR(VLOOKUP($U$149,'TAR FIN'!$A$1:$O$95,15,0)),0,VLOOKUP($U$149,'TAR FIN'!$A$1:$O$95,15,0))</f>
        <v>0</v>
      </c>
      <c r="Y149" s="6"/>
      <c r="Z149" s="6">
        <f ca="1">('TUSD BE'!$AM$12+'TUSD BF'!$AM$12+'TUSD CVA'!$AM$12)*1</f>
        <v>168.51338132937991</v>
      </c>
      <c r="AA149" s="6"/>
      <c r="AB149" s="6">
        <f t="shared" si="10"/>
        <v>0</v>
      </c>
      <c r="AC149" s="6">
        <f t="shared" si="11"/>
        <v>0</v>
      </c>
      <c r="AD149" s="6">
        <f t="shared" si="12"/>
        <v>0</v>
      </c>
      <c r="AE149" s="6">
        <f t="shared" ca="1" si="13"/>
        <v>0</v>
      </c>
      <c r="AF149" s="4" t="s">
        <v>841</v>
      </c>
    </row>
    <row r="150" spans="1:32" ht="11.25" customHeight="1" x14ac:dyDescent="0.25">
      <c r="A150" s="4" t="s">
        <v>21</v>
      </c>
      <c r="B150" s="4" t="s">
        <v>35</v>
      </c>
      <c r="C150" s="4" t="s">
        <v>44</v>
      </c>
      <c r="D150" s="4" t="s">
        <v>42</v>
      </c>
      <c r="E150" s="4" t="s">
        <v>25</v>
      </c>
      <c r="F150" s="4" t="s">
        <v>62</v>
      </c>
      <c r="G150" s="4" t="s">
        <v>25</v>
      </c>
      <c r="H150" s="4" t="s">
        <v>25</v>
      </c>
      <c r="I150" s="5">
        <v>44256</v>
      </c>
      <c r="J150" s="6">
        <v>0</v>
      </c>
      <c r="K150" s="6">
        <v>0</v>
      </c>
      <c r="L150" s="6">
        <v>23506.096000000001</v>
      </c>
      <c r="M150" s="6">
        <v>23506.096000000001</v>
      </c>
      <c r="N150" s="6">
        <v>0</v>
      </c>
      <c r="O150" s="6">
        <v>0</v>
      </c>
      <c r="P150" s="6">
        <v>55</v>
      </c>
      <c r="Q150" s="4" t="s">
        <v>60</v>
      </c>
      <c r="R150" s="4">
        <v>0</v>
      </c>
      <c r="S150" s="4">
        <v>0</v>
      </c>
      <c r="T150" s="4">
        <v>30</v>
      </c>
      <c r="U150" s="4">
        <v>0</v>
      </c>
      <c r="V150" s="6">
        <f>IF(ISERROR(VLOOKUP($S$150,'TAR FIN'!$A$1:$O$95,15,0)),0,VLOOKUP($S$150,'TAR FIN'!$A$1:$O$95,15,0))</f>
        <v>0</v>
      </c>
      <c r="W150" s="6">
        <f>IF(ISERROR(VLOOKUP($T$150,'TAR FIN'!$A$1:$O$95,15,0)),0,VLOOKUP($T$150,'TAR FIN'!$A$1:$O$95,15,0))</f>
        <v>149.63</v>
      </c>
      <c r="X150" s="6">
        <f>IF(ISERROR(VLOOKUP($U$150,'TAR FIN'!$A$1:$O$95,15,0)),0,VLOOKUP($U$150,'TAR FIN'!$A$1:$O$95,15,0))</f>
        <v>0</v>
      </c>
      <c r="Y150" s="6"/>
      <c r="Z150" s="6">
        <f ca="1">('TUSD BE'!$AM$12+'TUSD BF'!$AM$12+'TUSD CVA'!$AM$12)*1</f>
        <v>168.51338132937991</v>
      </c>
      <c r="AA150" s="6"/>
      <c r="AB150" s="6">
        <f t="shared" si="10"/>
        <v>0</v>
      </c>
      <c r="AC150" s="6">
        <f t="shared" si="11"/>
        <v>0</v>
      </c>
      <c r="AD150" s="6">
        <f t="shared" si="12"/>
        <v>0</v>
      </c>
      <c r="AE150" s="6">
        <f t="shared" ca="1" si="13"/>
        <v>0</v>
      </c>
      <c r="AF150" s="4" t="s">
        <v>841</v>
      </c>
    </row>
    <row r="151" spans="1:32" ht="11.25" customHeight="1" x14ac:dyDescent="0.25">
      <c r="A151" s="4" t="s">
        <v>21</v>
      </c>
      <c r="B151" s="4" t="s">
        <v>35</v>
      </c>
      <c r="C151" s="4" t="s">
        <v>44</v>
      </c>
      <c r="D151" s="4" t="s">
        <v>42</v>
      </c>
      <c r="E151" s="4" t="s">
        <v>25</v>
      </c>
      <c r="F151" s="4" t="s">
        <v>62</v>
      </c>
      <c r="G151" s="4" t="s">
        <v>25</v>
      </c>
      <c r="H151" s="4" t="s">
        <v>25</v>
      </c>
      <c r="I151" s="5">
        <v>44287</v>
      </c>
      <c r="J151" s="6">
        <v>0</v>
      </c>
      <c r="K151" s="6">
        <v>0</v>
      </c>
      <c r="L151" s="6">
        <v>22172.080000000002</v>
      </c>
      <c r="M151" s="6">
        <v>22172.080000000002</v>
      </c>
      <c r="N151" s="6">
        <v>0</v>
      </c>
      <c r="O151" s="6">
        <v>0</v>
      </c>
      <c r="P151" s="6">
        <v>58</v>
      </c>
      <c r="Q151" s="4" t="s">
        <v>60</v>
      </c>
      <c r="R151" s="4">
        <v>0</v>
      </c>
      <c r="S151" s="4">
        <v>0</v>
      </c>
      <c r="T151" s="4">
        <v>30</v>
      </c>
      <c r="U151" s="4">
        <v>0</v>
      </c>
      <c r="V151" s="6">
        <f>IF(ISERROR(VLOOKUP($S$151,'TAR FIN'!$A$1:$O$95,15,0)),0,VLOOKUP($S$151,'TAR FIN'!$A$1:$O$95,15,0))</f>
        <v>0</v>
      </c>
      <c r="W151" s="6">
        <f>IF(ISERROR(VLOOKUP($T$151,'TAR FIN'!$A$1:$O$95,15,0)),0,VLOOKUP($T$151,'TAR FIN'!$A$1:$O$95,15,0))</f>
        <v>149.63</v>
      </c>
      <c r="X151" s="6">
        <f>IF(ISERROR(VLOOKUP($U$151,'TAR FIN'!$A$1:$O$95,15,0)),0,VLOOKUP($U$151,'TAR FIN'!$A$1:$O$95,15,0))</f>
        <v>0</v>
      </c>
      <c r="Y151" s="6"/>
      <c r="Z151" s="6">
        <f ca="1">('TUSD BE'!$AM$12+'TUSD BF'!$AM$12+'TUSD CVA'!$AM$12)*1</f>
        <v>168.51338132937991</v>
      </c>
      <c r="AA151" s="6"/>
      <c r="AB151" s="6">
        <f t="shared" si="10"/>
        <v>0</v>
      </c>
      <c r="AC151" s="6">
        <f t="shared" si="11"/>
        <v>0</v>
      </c>
      <c r="AD151" s="6">
        <f t="shared" si="12"/>
        <v>0</v>
      </c>
      <c r="AE151" s="6">
        <f t="shared" ca="1" si="13"/>
        <v>0</v>
      </c>
      <c r="AF151" s="4" t="s">
        <v>841</v>
      </c>
    </row>
    <row r="152" spans="1:32" ht="11.25" customHeight="1" x14ac:dyDescent="0.25">
      <c r="A152" s="4" t="s">
        <v>21</v>
      </c>
      <c r="B152" s="4" t="s">
        <v>35</v>
      </c>
      <c r="C152" s="4" t="s">
        <v>44</v>
      </c>
      <c r="D152" s="4" t="s">
        <v>42</v>
      </c>
      <c r="E152" s="4" t="s">
        <v>25</v>
      </c>
      <c r="F152" s="4" t="s">
        <v>62</v>
      </c>
      <c r="G152" s="4" t="s">
        <v>25</v>
      </c>
      <c r="H152" s="4" t="s">
        <v>25</v>
      </c>
      <c r="I152" s="5">
        <v>44317</v>
      </c>
      <c r="J152" s="6">
        <v>0</v>
      </c>
      <c r="K152" s="6">
        <v>0</v>
      </c>
      <c r="L152" s="6">
        <v>23639.417000000001</v>
      </c>
      <c r="M152" s="6">
        <v>23639.417000000001</v>
      </c>
      <c r="N152" s="6">
        <v>0</v>
      </c>
      <c r="O152" s="6">
        <v>0</v>
      </c>
      <c r="P152" s="6">
        <v>58</v>
      </c>
      <c r="Q152" s="4" t="s">
        <v>60</v>
      </c>
      <c r="R152" s="4">
        <v>0</v>
      </c>
      <c r="S152" s="4">
        <v>0</v>
      </c>
      <c r="T152" s="4">
        <v>30</v>
      </c>
      <c r="U152" s="4">
        <v>0</v>
      </c>
      <c r="V152" s="6">
        <f>IF(ISERROR(VLOOKUP($S$152,'TAR FIN'!$A$1:$O$95,15,0)),0,VLOOKUP($S$152,'TAR FIN'!$A$1:$O$95,15,0))</f>
        <v>0</v>
      </c>
      <c r="W152" s="6">
        <f>IF(ISERROR(VLOOKUP($T$152,'TAR FIN'!$A$1:$O$95,15,0)),0,VLOOKUP($T$152,'TAR FIN'!$A$1:$O$95,15,0))</f>
        <v>149.63</v>
      </c>
      <c r="X152" s="6">
        <f>IF(ISERROR(VLOOKUP($U$152,'TAR FIN'!$A$1:$O$95,15,0)),0,VLOOKUP($U$152,'TAR FIN'!$A$1:$O$95,15,0))</f>
        <v>0</v>
      </c>
      <c r="Y152" s="6"/>
      <c r="Z152" s="6">
        <f ca="1">('TUSD BE'!$AM$12+'TUSD BF'!$AM$12+'TUSD CVA'!$AM$12)*1</f>
        <v>168.51338132937991</v>
      </c>
      <c r="AA152" s="6"/>
      <c r="AB152" s="6">
        <f t="shared" si="10"/>
        <v>0</v>
      </c>
      <c r="AC152" s="6">
        <f t="shared" si="11"/>
        <v>0</v>
      </c>
      <c r="AD152" s="6">
        <f t="shared" si="12"/>
        <v>0</v>
      </c>
      <c r="AE152" s="6">
        <f t="shared" ca="1" si="13"/>
        <v>0</v>
      </c>
      <c r="AF152" s="4" t="s">
        <v>841</v>
      </c>
    </row>
    <row r="153" spans="1:32" ht="11.25" customHeight="1" x14ac:dyDescent="0.25">
      <c r="A153" s="4" t="s">
        <v>21</v>
      </c>
      <c r="B153" s="4" t="s">
        <v>35</v>
      </c>
      <c r="C153" s="4" t="s">
        <v>44</v>
      </c>
      <c r="D153" s="4" t="s">
        <v>42</v>
      </c>
      <c r="E153" s="4" t="s">
        <v>25</v>
      </c>
      <c r="F153" s="4" t="s">
        <v>62</v>
      </c>
      <c r="G153" s="4" t="s">
        <v>25</v>
      </c>
      <c r="H153" s="4" t="s">
        <v>25</v>
      </c>
      <c r="I153" s="5">
        <v>44348</v>
      </c>
      <c r="J153" s="6">
        <v>0</v>
      </c>
      <c r="K153" s="6">
        <v>0</v>
      </c>
      <c r="L153" s="6">
        <v>19711.32</v>
      </c>
      <c r="M153" s="6">
        <v>19711.32</v>
      </c>
      <c r="N153" s="6">
        <v>0</v>
      </c>
      <c r="O153" s="6">
        <v>0</v>
      </c>
      <c r="P153" s="6">
        <v>52</v>
      </c>
      <c r="Q153" s="4" t="s">
        <v>60</v>
      </c>
      <c r="R153" s="4">
        <v>0</v>
      </c>
      <c r="S153" s="4">
        <v>0</v>
      </c>
      <c r="T153" s="4">
        <v>30</v>
      </c>
      <c r="U153" s="4">
        <v>0</v>
      </c>
      <c r="V153" s="6">
        <f>IF(ISERROR(VLOOKUP($S$153,'TAR FIN'!$A$1:$O$95,15,0)),0,VLOOKUP($S$153,'TAR FIN'!$A$1:$O$95,15,0))</f>
        <v>0</v>
      </c>
      <c r="W153" s="6">
        <f>IF(ISERROR(VLOOKUP($T$153,'TAR FIN'!$A$1:$O$95,15,0)),0,VLOOKUP($T$153,'TAR FIN'!$A$1:$O$95,15,0))</f>
        <v>149.63</v>
      </c>
      <c r="X153" s="6">
        <f>IF(ISERROR(VLOOKUP($U$153,'TAR FIN'!$A$1:$O$95,15,0)),0,VLOOKUP($U$153,'TAR FIN'!$A$1:$O$95,15,0))</f>
        <v>0</v>
      </c>
      <c r="Y153" s="6"/>
      <c r="Z153" s="6">
        <f ca="1">('TUSD BE'!$AM$12+'TUSD BF'!$AM$12+'TUSD CVA'!$AM$12)*1</f>
        <v>168.51338132937991</v>
      </c>
      <c r="AA153" s="6"/>
      <c r="AB153" s="6">
        <f t="shared" si="10"/>
        <v>0</v>
      </c>
      <c r="AC153" s="6">
        <f t="shared" si="11"/>
        <v>0</v>
      </c>
      <c r="AD153" s="6">
        <f t="shared" si="12"/>
        <v>0</v>
      </c>
      <c r="AE153" s="6">
        <f t="shared" ca="1" si="13"/>
        <v>0</v>
      </c>
      <c r="AF153" s="4" t="s">
        <v>841</v>
      </c>
    </row>
    <row r="154" spans="1:32" ht="11.25" customHeight="1" x14ac:dyDescent="0.25">
      <c r="A154" s="4" t="s">
        <v>21</v>
      </c>
      <c r="B154" s="4" t="s">
        <v>35</v>
      </c>
      <c r="C154" s="4" t="s">
        <v>44</v>
      </c>
      <c r="D154" s="4" t="s">
        <v>42</v>
      </c>
      <c r="E154" s="4" t="s">
        <v>25</v>
      </c>
      <c r="F154" s="4" t="s">
        <v>62</v>
      </c>
      <c r="G154" s="4" t="s">
        <v>25</v>
      </c>
      <c r="H154" s="4" t="s">
        <v>25</v>
      </c>
      <c r="I154" s="5">
        <v>44378</v>
      </c>
      <c r="J154" s="6">
        <v>0</v>
      </c>
      <c r="K154" s="6">
        <v>0</v>
      </c>
      <c r="L154" s="6">
        <v>23526.059000000001</v>
      </c>
      <c r="M154" s="6">
        <v>23526.059000000001</v>
      </c>
      <c r="N154" s="6">
        <v>0</v>
      </c>
      <c r="O154" s="6">
        <v>0</v>
      </c>
      <c r="P154" s="6">
        <v>60</v>
      </c>
      <c r="Q154" s="4" t="s">
        <v>60</v>
      </c>
      <c r="R154" s="4">
        <v>0</v>
      </c>
      <c r="S154" s="4">
        <v>0</v>
      </c>
      <c r="T154" s="4">
        <v>30</v>
      </c>
      <c r="U154" s="4">
        <v>0</v>
      </c>
      <c r="V154" s="6">
        <f>IF(ISERROR(VLOOKUP($S$154,'TAR FIN'!$A$1:$O$95,15,0)),0,VLOOKUP($S$154,'TAR FIN'!$A$1:$O$95,15,0))</f>
        <v>0</v>
      </c>
      <c r="W154" s="6">
        <f>IF(ISERROR(VLOOKUP($T$154,'TAR FIN'!$A$1:$O$95,15,0)),0,VLOOKUP($T$154,'TAR FIN'!$A$1:$O$95,15,0))</f>
        <v>149.63</v>
      </c>
      <c r="X154" s="6">
        <f>IF(ISERROR(VLOOKUP($U$154,'TAR FIN'!$A$1:$O$95,15,0)),0,VLOOKUP($U$154,'TAR FIN'!$A$1:$O$95,15,0))</f>
        <v>0</v>
      </c>
      <c r="Y154" s="6"/>
      <c r="Z154" s="6">
        <f ca="1">('TUSD BE'!$AM$12+'TUSD BF'!$AM$12+'TUSD CVA'!$AM$12)*1</f>
        <v>168.51338132937991</v>
      </c>
      <c r="AA154" s="6"/>
      <c r="AB154" s="6">
        <f t="shared" si="10"/>
        <v>0</v>
      </c>
      <c r="AC154" s="6">
        <f t="shared" si="11"/>
        <v>0</v>
      </c>
      <c r="AD154" s="6">
        <f t="shared" si="12"/>
        <v>0</v>
      </c>
      <c r="AE154" s="6">
        <f t="shared" ca="1" si="13"/>
        <v>0</v>
      </c>
      <c r="AF154" s="4" t="s">
        <v>841</v>
      </c>
    </row>
    <row r="155" spans="1:32" ht="11.25" customHeight="1" x14ac:dyDescent="0.25">
      <c r="A155" s="4" t="s">
        <v>21</v>
      </c>
      <c r="B155" s="4" t="s">
        <v>35</v>
      </c>
      <c r="C155" s="4" t="s">
        <v>44</v>
      </c>
      <c r="D155" s="4" t="s">
        <v>42</v>
      </c>
      <c r="E155" s="4" t="s">
        <v>25</v>
      </c>
      <c r="F155" s="4" t="s">
        <v>62</v>
      </c>
      <c r="G155" s="4" t="s">
        <v>25</v>
      </c>
      <c r="H155" s="4" t="s">
        <v>25</v>
      </c>
      <c r="I155" s="5">
        <v>44409</v>
      </c>
      <c r="J155" s="6">
        <v>0</v>
      </c>
      <c r="K155" s="6">
        <v>0</v>
      </c>
      <c r="L155" s="6">
        <v>23038.815999999999</v>
      </c>
      <c r="M155" s="6">
        <v>23038.815999999999</v>
      </c>
      <c r="N155" s="6">
        <v>0</v>
      </c>
      <c r="O155" s="6">
        <v>0</v>
      </c>
      <c r="P155" s="6">
        <v>59</v>
      </c>
      <c r="Q155" s="4" t="s">
        <v>60</v>
      </c>
      <c r="R155" s="4">
        <v>0</v>
      </c>
      <c r="S155" s="4">
        <v>0</v>
      </c>
      <c r="T155" s="4">
        <v>30</v>
      </c>
      <c r="U155" s="4">
        <v>0</v>
      </c>
      <c r="V155" s="6">
        <f>IF(ISERROR(VLOOKUP($S$155,'TAR FIN'!$A$1:$O$95,15,0)),0,VLOOKUP($S$155,'TAR FIN'!$A$1:$O$95,15,0))</f>
        <v>0</v>
      </c>
      <c r="W155" s="6">
        <f>IF(ISERROR(VLOOKUP($T$155,'TAR FIN'!$A$1:$O$95,15,0)),0,VLOOKUP($T$155,'TAR FIN'!$A$1:$O$95,15,0))</f>
        <v>149.63</v>
      </c>
      <c r="X155" s="6">
        <f>IF(ISERROR(VLOOKUP($U$155,'TAR FIN'!$A$1:$O$95,15,0)),0,VLOOKUP($U$155,'TAR FIN'!$A$1:$O$95,15,0))</f>
        <v>0</v>
      </c>
      <c r="Y155" s="6"/>
      <c r="Z155" s="6">
        <f ca="1">('TUSD BE'!$AM$12+'TUSD BF'!$AM$12+'TUSD CVA'!$AM$12)*1</f>
        <v>168.51338132937991</v>
      </c>
      <c r="AA155" s="6"/>
      <c r="AB155" s="6">
        <f t="shared" si="10"/>
        <v>0</v>
      </c>
      <c r="AC155" s="6">
        <f t="shared" si="11"/>
        <v>0</v>
      </c>
      <c r="AD155" s="6">
        <f t="shared" si="12"/>
        <v>0</v>
      </c>
      <c r="AE155" s="6">
        <f t="shared" ca="1" si="13"/>
        <v>0</v>
      </c>
      <c r="AF155" s="4" t="s">
        <v>841</v>
      </c>
    </row>
    <row r="156" spans="1:32" ht="11.25" customHeight="1" x14ac:dyDescent="0.25">
      <c r="A156" s="4" t="s">
        <v>21</v>
      </c>
      <c r="B156" s="4" t="s">
        <v>35</v>
      </c>
      <c r="C156" s="4" t="s">
        <v>44</v>
      </c>
      <c r="D156" s="4" t="s">
        <v>42</v>
      </c>
      <c r="E156" s="4" t="s">
        <v>25</v>
      </c>
      <c r="F156" s="4" t="s">
        <v>62</v>
      </c>
      <c r="G156" s="4" t="s">
        <v>25</v>
      </c>
      <c r="H156" s="4" t="s">
        <v>25</v>
      </c>
      <c r="I156" s="5">
        <v>44440</v>
      </c>
      <c r="J156" s="6">
        <v>0</v>
      </c>
      <c r="K156" s="6">
        <v>0</v>
      </c>
      <c r="L156" s="6">
        <v>23946.001</v>
      </c>
      <c r="M156" s="6">
        <v>23946.001</v>
      </c>
      <c r="N156" s="6">
        <v>0</v>
      </c>
      <c r="O156" s="6">
        <v>0</v>
      </c>
      <c r="P156" s="6">
        <v>62</v>
      </c>
      <c r="Q156" s="4" t="s">
        <v>60</v>
      </c>
      <c r="R156" s="4">
        <v>0</v>
      </c>
      <c r="S156" s="4">
        <v>0</v>
      </c>
      <c r="T156" s="4">
        <v>30</v>
      </c>
      <c r="U156" s="4">
        <v>0</v>
      </c>
      <c r="V156" s="6">
        <f>IF(ISERROR(VLOOKUP($S$156,'TAR FIN'!$A$1:$O$95,15,0)),0,VLOOKUP($S$156,'TAR FIN'!$A$1:$O$95,15,0))</f>
        <v>0</v>
      </c>
      <c r="W156" s="6">
        <f>IF(ISERROR(VLOOKUP($T$156,'TAR FIN'!$A$1:$O$95,15,0)),0,VLOOKUP($T$156,'TAR FIN'!$A$1:$O$95,15,0))</f>
        <v>149.63</v>
      </c>
      <c r="X156" s="6">
        <f>IF(ISERROR(VLOOKUP($U$156,'TAR FIN'!$A$1:$O$95,15,0)),0,VLOOKUP($U$156,'TAR FIN'!$A$1:$O$95,15,0))</f>
        <v>0</v>
      </c>
      <c r="Y156" s="6"/>
      <c r="Z156" s="6">
        <f ca="1">('TUSD BE'!$AM$12+'TUSD BF'!$AM$12+'TUSD CVA'!$AM$12)*1</f>
        <v>168.51338132937991</v>
      </c>
      <c r="AA156" s="6"/>
      <c r="AB156" s="6">
        <f t="shared" si="10"/>
        <v>0</v>
      </c>
      <c r="AC156" s="6">
        <f t="shared" si="11"/>
        <v>0</v>
      </c>
      <c r="AD156" s="6">
        <f t="shared" si="12"/>
        <v>0</v>
      </c>
      <c r="AE156" s="6">
        <f t="shared" ca="1" si="13"/>
        <v>0</v>
      </c>
      <c r="AF156" s="4" t="s">
        <v>841</v>
      </c>
    </row>
    <row r="157" spans="1:32" ht="11.25" customHeight="1" x14ac:dyDescent="0.25">
      <c r="A157" s="4" t="s">
        <v>59</v>
      </c>
      <c r="B157" s="4" t="s">
        <v>35</v>
      </c>
      <c r="C157" s="4" t="s">
        <v>44</v>
      </c>
      <c r="D157" s="4" t="s">
        <v>42</v>
      </c>
      <c r="E157" s="4" t="s">
        <v>25</v>
      </c>
      <c r="F157" s="4" t="s">
        <v>62</v>
      </c>
      <c r="G157" s="4" t="s">
        <v>25</v>
      </c>
      <c r="H157" s="4" t="s">
        <v>25</v>
      </c>
      <c r="I157" s="5">
        <v>44470</v>
      </c>
      <c r="J157" s="6">
        <v>0</v>
      </c>
      <c r="K157" s="6">
        <v>0</v>
      </c>
      <c r="L157" s="6">
        <v>23946.001</v>
      </c>
      <c r="M157" s="6">
        <v>23946.001</v>
      </c>
      <c r="N157" s="6">
        <v>0</v>
      </c>
      <c r="O157" s="6">
        <v>0</v>
      </c>
      <c r="P157" s="6">
        <v>62</v>
      </c>
      <c r="Q157" s="4" t="s">
        <v>60</v>
      </c>
      <c r="R157" s="4">
        <v>0</v>
      </c>
      <c r="S157" s="4">
        <v>0</v>
      </c>
      <c r="T157" s="4">
        <v>30</v>
      </c>
      <c r="U157" s="4">
        <v>0</v>
      </c>
      <c r="V157" s="6">
        <f>IF(ISERROR(VLOOKUP($S$157,'TAR FIN'!$A$1:$O$95,15,0)),0,VLOOKUP($S$157,'TAR FIN'!$A$1:$O$95,15,0))</f>
        <v>0</v>
      </c>
      <c r="W157" s="6">
        <f>IF(ISERROR(VLOOKUP($T$157,'TAR FIN'!$A$1:$O$95,15,0)),0,VLOOKUP($T$157,'TAR FIN'!$A$1:$O$95,15,0))</f>
        <v>149.63</v>
      </c>
      <c r="X157" s="6">
        <f>IF(ISERROR(VLOOKUP($U$157,'TAR FIN'!$A$1:$O$95,15,0)),0,VLOOKUP($U$157,'TAR FIN'!$A$1:$O$95,15,0))</f>
        <v>0</v>
      </c>
      <c r="Y157" s="6"/>
      <c r="Z157" s="6">
        <f ca="1">('TUSD BE'!$AM$12+'TUSD BF'!$AM$12+'TUSD CVA'!$AM$12)*1</f>
        <v>168.51338132937991</v>
      </c>
      <c r="AA157" s="6"/>
      <c r="AB157" s="6">
        <f t="shared" si="10"/>
        <v>0</v>
      </c>
      <c r="AC157" s="6">
        <f t="shared" si="11"/>
        <v>0</v>
      </c>
      <c r="AD157" s="6">
        <f t="shared" si="12"/>
        <v>0</v>
      </c>
      <c r="AE157" s="6">
        <f t="shared" ca="1" si="13"/>
        <v>0</v>
      </c>
      <c r="AF157" s="4" t="s">
        <v>841</v>
      </c>
    </row>
    <row r="158" spans="1:32" ht="11.25" customHeight="1" x14ac:dyDescent="0.25">
      <c r="A158" s="4" t="s">
        <v>21</v>
      </c>
      <c r="B158" s="4" t="s">
        <v>35</v>
      </c>
      <c r="C158" s="4" t="s">
        <v>44</v>
      </c>
      <c r="D158" s="4" t="s">
        <v>42</v>
      </c>
      <c r="E158" s="4" t="s">
        <v>25</v>
      </c>
      <c r="F158" s="4" t="s">
        <v>62</v>
      </c>
      <c r="G158" s="4" t="s">
        <v>25</v>
      </c>
      <c r="H158" s="4" t="s">
        <v>37</v>
      </c>
      <c r="I158" s="5">
        <v>44136</v>
      </c>
      <c r="J158" s="6">
        <v>45185</v>
      </c>
      <c r="K158" s="6">
        <v>23274.7935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4" t="s">
        <v>60</v>
      </c>
      <c r="R158" s="4">
        <v>0</v>
      </c>
      <c r="S158" s="4">
        <v>28</v>
      </c>
      <c r="T158" s="4">
        <v>0</v>
      </c>
      <c r="U158" s="4">
        <v>0</v>
      </c>
      <c r="V158" s="6">
        <f>IF(ISERROR(VLOOKUP($S$158,'TAR FIN'!$A$1:$O$95,15,0)),0,VLOOKUP($S$158,'TAR FIN'!$A$1:$O$95,15,0))</f>
        <v>52.99</v>
      </c>
      <c r="W158" s="6">
        <f>IF(ISERROR(VLOOKUP($T$158,'TAR FIN'!$A$1:$O$95,15,0)),0,VLOOKUP($T$158,'TAR FIN'!$A$1:$O$95,15,0))</f>
        <v>0</v>
      </c>
      <c r="X158" s="6">
        <f>IF(ISERROR(VLOOKUP($U$158,'TAR FIN'!$A$1:$O$95,15,0)),0,VLOOKUP($U$158,'TAR FIN'!$A$1:$O$95,15,0))</f>
        <v>0</v>
      </c>
      <c r="Y158" s="6">
        <f ca="1">('TUSD BE'!$AM$10+'TUSD BF'!$AM$10+'TUSD CVA'!$AM$10)*1</f>
        <v>59.276351675174958</v>
      </c>
      <c r="Z158" s="6">
        <f ca="1">('TUSD BE'!$AM$12+'TUSD BF'!$AM$12+'TUSD CVA'!$AM$12)*1</f>
        <v>168.51338132937991</v>
      </c>
      <c r="AA158" s="6"/>
      <c r="AB158" s="6">
        <f t="shared" si="10"/>
        <v>1161021.842435</v>
      </c>
      <c r="AC158" s="6">
        <f t="shared" si="11"/>
        <v>0</v>
      </c>
      <c r="AD158" s="6">
        <f t="shared" ca="1" si="12"/>
        <v>1298757.1057697043</v>
      </c>
      <c r="AE158" s="6">
        <f t="shared" ca="1" si="13"/>
        <v>0</v>
      </c>
      <c r="AF158" s="4" t="s">
        <v>841</v>
      </c>
    </row>
    <row r="159" spans="1:32" ht="11.25" customHeight="1" x14ac:dyDescent="0.25">
      <c r="A159" s="4" t="s">
        <v>21</v>
      </c>
      <c r="B159" s="4" t="s">
        <v>35</v>
      </c>
      <c r="C159" s="4" t="s">
        <v>44</v>
      </c>
      <c r="D159" s="4" t="s">
        <v>42</v>
      </c>
      <c r="E159" s="4" t="s">
        <v>25</v>
      </c>
      <c r="F159" s="4" t="s">
        <v>62</v>
      </c>
      <c r="G159" s="4" t="s">
        <v>25</v>
      </c>
      <c r="H159" s="4" t="s">
        <v>37</v>
      </c>
      <c r="I159" s="5">
        <v>44166</v>
      </c>
      <c r="J159" s="6">
        <v>45430</v>
      </c>
      <c r="K159" s="6">
        <v>23341.934000000001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4" t="s">
        <v>60</v>
      </c>
      <c r="R159" s="4">
        <v>0</v>
      </c>
      <c r="S159" s="4">
        <v>28</v>
      </c>
      <c r="T159" s="4">
        <v>0</v>
      </c>
      <c r="U159" s="4">
        <v>0</v>
      </c>
      <c r="V159" s="6">
        <f>IF(ISERROR(VLOOKUP($S$159,'TAR FIN'!$A$1:$O$95,15,0)),0,VLOOKUP($S$159,'TAR FIN'!$A$1:$O$95,15,0))</f>
        <v>52.99</v>
      </c>
      <c r="W159" s="6">
        <f>IF(ISERROR(VLOOKUP($T$159,'TAR FIN'!$A$1:$O$95,15,0)),0,VLOOKUP($T$159,'TAR FIN'!$A$1:$O$95,15,0))</f>
        <v>0</v>
      </c>
      <c r="X159" s="6">
        <f>IF(ISERROR(VLOOKUP($U$159,'TAR FIN'!$A$1:$O$95,15,0)),0,VLOOKUP($U$159,'TAR FIN'!$A$1:$O$95,15,0))</f>
        <v>0</v>
      </c>
      <c r="Y159" s="6">
        <f ca="1">('TUSD BE'!$AM$10+'TUSD BF'!$AM$10+'TUSD CVA'!$AM$10)*1</f>
        <v>59.276351675174958</v>
      </c>
      <c r="Z159" s="6">
        <f ca="1">('TUSD BE'!$AM$12+'TUSD BF'!$AM$12+'TUSD CVA'!$AM$12)*1</f>
        <v>168.51338132937991</v>
      </c>
      <c r="AA159" s="6"/>
      <c r="AB159" s="6">
        <f t="shared" si="10"/>
        <v>1170446.6173399999</v>
      </c>
      <c r="AC159" s="6">
        <f t="shared" si="11"/>
        <v>0</v>
      </c>
      <c r="AD159" s="6">
        <f t="shared" ca="1" si="12"/>
        <v>1309299.9680404749</v>
      </c>
      <c r="AE159" s="6">
        <f t="shared" ca="1" si="13"/>
        <v>0</v>
      </c>
      <c r="AF159" s="4" t="s">
        <v>841</v>
      </c>
    </row>
    <row r="160" spans="1:32" ht="11.25" customHeight="1" x14ac:dyDescent="0.25">
      <c r="A160" s="4" t="s">
        <v>21</v>
      </c>
      <c r="B160" s="4" t="s">
        <v>35</v>
      </c>
      <c r="C160" s="4" t="s">
        <v>44</v>
      </c>
      <c r="D160" s="4" t="s">
        <v>42</v>
      </c>
      <c r="E160" s="4" t="s">
        <v>25</v>
      </c>
      <c r="F160" s="4" t="s">
        <v>62</v>
      </c>
      <c r="G160" s="4" t="s">
        <v>25</v>
      </c>
      <c r="H160" s="4" t="s">
        <v>37</v>
      </c>
      <c r="I160" s="5">
        <v>44197</v>
      </c>
      <c r="J160" s="6">
        <v>39704</v>
      </c>
      <c r="K160" s="6">
        <v>21197.9656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4" t="s">
        <v>60</v>
      </c>
      <c r="R160" s="4">
        <v>0</v>
      </c>
      <c r="S160" s="4">
        <v>28</v>
      </c>
      <c r="T160" s="4">
        <v>0</v>
      </c>
      <c r="U160" s="4">
        <v>0</v>
      </c>
      <c r="V160" s="6">
        <f>IF(ISERROR(VLOOKUP($S$160,'TAR FIN'!$A$1:$O$95,15,0)),0,VLOOKUP($S$160,'TAR FIN'!$A$1:$O$95,15,0))</f>
        <v>52.99</v>
      </c>
      <c r="W160" s="6">
        <f>IF(ISERROR(VLOOKUP($T$160,'TAR FIN'!$A$1:$O$95,15,0)),0,VLOOKUP($T$160,'TAR FIN'!$A$1:$O$95,15,0))</f>
        <v>0</v>
      </c>
      <c r="X160" s="6">
        <f>IF(ISERROR(VLOOKUP($U$160,'TAR FIN'!$A$1:$O$95,15,0)),0,VLOOKUP($U$160,'TAR FIN'!$A$1:$O$95,15,0))</f>
        <v>0</v>
      </c>
      <c r="Y160" s="6">
        <f ca="1">('TUSD BE'!$AM$10+'TUSD BF'!$AM$10+'TUSD CVA'!$AM$10)*1</f>
        <v>59.276351675174958</v>
      </c>
      <c r="Z160" s="6">
        <f ca="1">('TUSD BE'!$AM$12+'TUSD BF'!$AM$12+'TUSD CVA'!$AM$12)*1</f>
        <v>168.51338132937991</v>
      </c>
      <c r="AA160" s="6"/>
      <c r="AB160" s="6">
        <f t="shared" si="10"/>
        <v>980634.7628560001</v>
      </c>
      <c r="AC160" s="6">
        <f t="shared" si="11"/>
        <v>0</v>
      </c>
      <c r="AD160" s="6">
        <f t="shared" ca="1" si="12"/>
        <v>1096970.2032072854</v>
      </c>
      <c r="AE160" s="6">
        <f t="shared" ca="1" si="13"/>
        <v>0</v>
      </c>
      <c r="AF160" s="4" t="s">
        <v>841</v>
      </c>
    </row>
    <row r="161" spans="1:32" ht="11.25" customHeight="1" x14ac:dyDescent="0.25">
      <c r="A161" s="4" t="s">
        <v>21</v>
      </c>
      <c r="B161" s="4" t="s">
        <v>35</v>
      </c>
      <c r="C161" s="4" t="s">
        <v>44</v>
      </c>
      <c r="D161" s="4" t="s">
        <v>42</v>
      </c>
      <c r="E161" s="4" t="s">
        <v>25</v>
      </c>
      <c r="F161" s="4" t="s">
        <v>62</v>
      </c>
      <c r="G161" s="4" t="s">
        <v>25</v>
      </c>
      <c r="H161" s="4" t="s">
        <v>37</v>
      </c>
      <c r="I161" s="5">
        <v>44228</v>
      </c>
      <c r="J161" s="6">
        <v>47096</v>
      </c>
      <c r="K161" s="6">
        <v>23759.932000000001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4" t="s">
        <v>60</v>
      </c>
      <c r="R161" s="4">
        <v>0</v>
      </c>
      <c r="S161" s="4">
        <v>28</v>
      </c>
      <c r="T161" s="4">
        <v>0</v>
      </c>
      <c r="U161" s="4">
        <v>0</v>
      </c>
      <c r="V161" s="6">
        <f>IF(ISERROR(VLOOKUP($S$161,'TAR FIN'!$A$1:$O$95,15,0)),0,VLOOKUP($S$161,'TAR FIN'!$A$1:$O$95,15,0))</f>
        <v>52.99</v>
      </c>
      <c r="W161" s="6">
        <f>IF(ISERROR(VLOOKUP($T$161,'TAR FIN'!$A$1:$O$95,15,0)),0,VLOOKUP($T$161,'TAR FIN'!$A$1:$O$95,15,0))</f>
        <v>0</v>
      </c>
      <c r="X161" s="6">
        <f>IF(ISERROR(VLOOKUP($U$161,'TAR FIN'!$A$1:$O$95,15,0)),0,VLOOKUP($U$161,'TAR FIN'!$A$1:$O$95,15,0))</f>
        <v>0</v>
      </c>
      <c r="Y161" s="6">
        <f ca="1">('TUSD BE'!$AM$10+'TUSD BF'!$AM$10+'TUSD CVA'!$AM$10)*1</f>
        <v>59.276351675174958</v>
      </c>
      <c r="Z161" s="6">
        <f ca="1">('TUSD BE'!$AM$12+'TUSD BF'!$AM$12+'TUSD CVA'!$AM$12)*1</f>
        <v>168.51338132937991</v>
      </c>
      <c r="AA161" s="6"/>
      <c r="AB161" s="6">
        <f t="shared" si="10"/>
        <v>1236578.2433200001</v>
      </c>
      <c r="AC161" s="6">
        <f t="shared" si="11"/>
        <v>0</v>
      </c>
      <c r="AD161" s="6">
        <f t="shared" ca="1" si="12"/>
        <v>1383276.9734837967</v>
      </c>
      <c r="AE161" s="6">
        <f t="shared" ca="1" si="13"/>
        <v>0</v>
      </c>
      <c r="AF161" s="4" t="s">
        <v>841</v>
      </c>
    </row>
    <row r="162" spans="1:32" ht="11.25" customHeight="1" x14ac:dyDescent="0.25">
      <c r="A162" s="4" t="s">
        <v>21</v>
      </c>
      <c r="B162" s="4" t="s">
        <v>35</v>
      </c>
      <c r="C162" s="4" t="s">
        <v>44</v>
      </c>
      <c r="D162" s="4" t="s">
        <v>42</v>
      </c>
      <c r="E162" s="4" t="s">
        <v>25</v>
      </c>
      <c r="F162" s="4" t="s">
        <v>62</v>
      </c>
      <c r="G162" s="4" t="s">
        <v>25</v>
      </c>
      <c r="H162" s="4" t="s">
        <v>37</v>
      </c>
      <c r="I162" s="5">
        <v>44256</v>
      </c>
      <c r="J162" s="6">
        <v>47824</v>
      </c>
      <c r="K162" s="6">
        <v>24122.425599999999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4" t="s">
        <v>60</v>
      </c>
      <c r="R162" s="4">
        <v>0</v>
      </c>
      <c r="S162" s="4">
        <v>28</v>
      </c>
      <c r="T162" s="4">
        <v>0</v>
      </c>
      <c r="U162" s="4">
        <v>0</v>
      </c>
      <c r="V162" s="6">
        <f>IF(ISERROR(VLOOKUP($S$162,'TAR FIN'!$A$1:$O$95,15,0)),0,VLOOKUP($S$162,'TAR FIN'!$A$1:$O$95,15,0))</f>
        <v>52.99</v>
      </c>
      <c r="W162" s="6">
        <f>IF(ISERROR(VLOOKUP($T$162,'TAR FIN'!$A$1:$O$95,15,0)),0,VLOOKUP($T$162,'TAR FIN'!$A$1:$O$95,15,0))</f>
        <v>0</v>
      </c>
      <c r="X162" s="6">
        <f>IF(ISERROR(VLOOKUP($U$162,'TAR FIN'!$A$1:$O$95,15,0)),0,VLOOKUP($U$162,'TAR FIN'!$A$1:$O$95,15,0))</f>
        <v>0</v>
      </c>
      <c r="Y162" s="6">
        <f ca="1">('TUSD BE'!$AM$10+'TUSD BF'!$AM$10+'TUSD CVA'!$AM$10)*1</f>
        <v>59.276351675174958</v>
      </c>
      <c r="Z162" s="6">
        <f ca="1">('TUSD BE'!$AM$12+'TUSD BF'!$AM$12+'TUSD CVA'!$AM$12)*1</f>
        <v>168.51338132937991</v>
      </c>
      <c r="AA162" s="6"/>
      <c r="AB162" s="6">
        <f t="shared" si="10"/>
        <v>1255946.4274560001</v>
      </c>
      <c r="AC162" s="6">
        <f t="shared" si="11"/>
        <v>0</v>
      </c>
      <c r="AD162" s="6">
        <f t="shared" ca="1" si="12"/>
        <v>1404942.859389724</v>
      </c>
      <c r="AE162" s="6">
        <f t="shared" ca="1" si="13"/>
        <v>0</v>
      </c>
      <c r="AF162" s="4" t="s">
        <v>841</v>
      </c>
    </row>
    <row r="163" spans="1:32" ht="11.25" customHeight="1" x14ac:dyDescent="0.25">
      <c r="A163" s="4" t="s">
        <v>21</v>
      </c>
      <c r="B163" s="4" t="s">
        <v>35</v>
      </c>
      <c r="C163" s="4" t="s">
        <v>44</v>
      </c>
      <c r="D163" s="4" t="s">
        <v>42</v>
      </c>
      <c r="E163" s="4" t="s">
        <v>25</v>
      </c>
      <c r="F163" s="4" t="s">
        <v>62</v>
      </c>
      <c r="G163" s="4" t="s">
        <v>25</v>
      </c>
      <c r="H163" s="4" t="s">
        <v>37</v>
      </c>
      <c r="I163" s="5">
        <v>44287</v>
      </c>
      <c r="J163" s="6">
        <v>48502</v>
      </c>
      <c r="K163" s="6">
        <v>24425.607199999999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4" t="s">
        <v>60</v>
      </c>
      <c r="R163" s="4">
        <v>0</v>
      </c>
      <c r="S163" s="4">
        <v>28</v>
      </c>
      <c r="T163" s="4">
        <v>0</v>
      </c>
      <c r="U163" s="4">
        <v>0</v>
      </c>
      <c r="V163" s="6">
        <f>IF(ISERROR(VLOOKUP($S$163,'TAR FIN'!$A$1:$O$95,15,0)),0,VLOOKUP($S$163,'TAR FIN'!$A$1:$O$95,15,0))</f>
        <v>52.99</v>
      </c>
      <c r="W163" s="6">
        <f>IF(ISERROR(VLOOKUP($T$163,'TAR FIN'!$A$1:$O$95,15,0)),0,VLOOKUP($T$163,'TAR FIN'!$A$1:$O$95,15,0))</f>
        <v>0</v>
      </c>
      <c r="X163" s="6">
        <f>IF(ISERROR(VLOOKUP($U$163,'TAR FIN'!$A$1:$O$95,15,0)),0,VLOOKUP($U$163,'TAR FIN'!$A$1:$O$95,15,0))</f>
        <v>0</v>
      </c>
      <c r="Y163" s="6">
        <f ca="1">('TUSD BE'!$AM$10+'TUSD BF'!$AM$10+'TUSD CVA'!$AM$10)*1</f>
        <v>59.276351675174958</v>
      </c>
      <c r="Z163" s="6">
        <f ca="1">('TUSD BE'!$AM$12+'TUSD BF'!$AM$12+'TUSD CVA'!$AM$12)*1</f>
        <v>168.51338132937991</v>
      </c>
      <c r="AA163" s="6"/>
      <c r="AB163" s="6">
        <f t="shared" si="10"/>
        <v>1275808.0544720001</v>
      </c>
      <c r="AC163" s="6">
        <f t="shared" si="11"/>
        <v>0</v>
      </c>
      <c r="AD163" s="6">
        <f t="shared" ca="1" si="12"/>
        <v>1427160.7266824504</v>
      </c>
      <c r="AE163" s="6">
        <f t="shared" ca="1" si="13"/>
        <v>0</v>
      </c>
      <c r="AF163" s="4" t="s">
        <v>841</v>
      </c>
    </row>
    <row r="164" spans="1:32" ht="11.25" customHeight="1" x14ac:dyDescent="0.25">
      <c r="A164" s="4" t="s">
        <v>21</v>
      </c>
      <c r="B164" s="4" t="s">
        <v>35</v>
      </c>
      <c r="C164" s="4" t="s">
        <v>44</v>
      </c>
      <c r="D164" s="4" t="s">
        <v>42</v>
      </c>
      <c r="E164" s="4" t="s">
        <v>25</v>
      </c>
      <c r="F164" s="4" t="s">
        <v>62</v>
      </c>
      <c r="G164" s="4" t="s">
        <v>25</v>
      </c>
      <c r="H164" s="4" t="s">
        <v>37</v>
      </c>
      <c r="I164" s="5">
        <v>44317</v>
      </c>
      <c r="J164" s="6">
        <v>49206</v>
      </c>
      <c r="K164" s="6">
        <v>24809.665199999999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4" t="s">
        <v>60</v>
      </c>
      <c r="R164" s="4">
        <v>0</v>
      </c>
      <c r="S164" s="4">
        <v>28</v>
      </c>
      <c r="T164" s="4">
        <v>0</v>
      </c>
      <c r="U164" s="4">
        <v>0</v>
      </c>
      <c r="V164" s="6">
        <f>IF(ISERROR(VLOOKUP($S$164,'TAR FIN'!$A$1:$O$95,15,0)),0,VLOOKUP($S$164,'TAR FIN'!$A$1:$O$95,15,0))</f>
        <v>52.99</v>
      </c>
      <c r="W164" s="6">
        <f>IF(ISERROR(VLOOKUP($T$164,'TAR FIN'!$A$1:$O$95,15,0)),0,VLOOKUP($T$164,'TAR FIN'!$A$1:$O$95,15,0))</f>
        <v>0</v>
      </c>
      <c r="X164" s="6">
        <f>IF(ISERROR(VLOOKUP($U$164,'TAR FIN'!$A$1:$O$95,15,0)),0,VLOOKUP($U$164,'TAR FIN'!$A$1:$O$95,15,0))</f>
        <v>0</v>
      </c>
      <c r="Y164" s="6">
        <f ca="1">('TUSD BE'!$AM$10+'TUSD BF'!$AM$10+'TUSD CVA'!$AM$10)*1</f>
        <v>59.276351675174958</v>
      </c>
      <c r="Z164" s="6">
        <f ca="1">('TUSD BE'!$AM$12+'TUSD BF'!$AM$12+'TUSD CVA'!$AM$12)*1</f>
        <v>168.51338132937991</v>
      </c>
      <c r="AA164" s="6"/>
      <c r="AB164" s="6">
        <f t="shared" si="10"/>
        <v>1292761.7810520001</v>
      </c>
      <c r="AC164" s="6">
        <f t="shared" si="11"/>
        <v>0</v>
      </c>
      <c r="AD164" s="6">
        <f t="shared" ca="1" si="12"/>
        <v>1446125.7211901092</v>
      </c>
      <c r="AE164" s="6">
        <f t="shared" ca="1" si="13"/>
        <v>0</v>
      </c>
      <c r="AF164" s="4" t="s">
        <v>841</v>
      </c>
    </row>
    <row r="165" spans="1:32" ht="11.25" customHeight="1" x14ac:dyDescent="0.25">
      <c r="A165" s="4" t="s">
        <v>21</v>
      </c>
      <c r="B165" s="4" t="s">
        <v>35</v>
      </c>
      <c r="C165" s="4" t="s">
        <v>44</v>
      </c>
      <c r="D165" s="4" t="s">
        <v>42</v>
      </c>
      <c r="E165" s="4" t="s">
        <v>25</v>
      </c>
      <c r="F165" s="4" t="s">
        <v>62</v>
      </c>
      <c r="G165" s="4" t="s">
        <v>25</v>
      </c>
      <c r="H165" s="4" t="s">
        <v>37</v>
      </c>
      <c r="I165" s="5">
        <v>44348</v>
      </c>
      <c r="J165" s="6">
        <v>39704</v>
      </c>
      <c r="K165" s="6">
        <v>21197.9656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4" t="s">
        <v>60</v>
      </c>
      <c r="R165" s="4">
        <v>0</v>
      </c>
      <c r="S165" s="4">
        <v>28</v>
      </c>
      <c r="T165" s="4">
        <v>0</v>
      </c>
      <c r="U165" s="4">
        <v>0</v>
      </c>
      <c r="V165" s="6">
        <f>IF(ISERROR(VLOOKUP($S$165,'TAR FIN'!$A$1:$O$95,15,0)),0,VLOOKUP($S$165,'TAR FIN'!$A$1:$O$95,15,0))</f>
        <v>52.99</v>
      </c>
      <c r="W165" s="6">
        <f>IF(ISERROR(VLOOKUP($T$165,'TAR FIN'!$A$1:$O$95,15,0)),0,VLOOKUP($T$165,'TAR FIN'!$A$1:$O$95,15,0))</f>
        <v>0</v>
      </c>
      <c r="X165" s="6">
        <f>IF(ISERROR(VLOOKUP($U$165,'TAR FIN'!$A$1:$O$95,15,0)),0,VLOOKUP($U$165,'TAR FIN'!$A$1:$O$95,15,0))</f>
        <v>0</v>
      </c>
      <c r="Y165" s="6">
        <f ca="1">('TUSD BE'!$AM$10+'TUSD BF'!$AM$10+'TUSD CVA'!$AM$10)*1</f>
        <v>59.276351675174958</v>
      </c>
      <c r="Z165" s="6">
        <f ca="1">('TUSD BE'!$AM$12+'TUSD BF'!$AM$12+'TUSD CVA'!$AM$12)*1</f>
        <v>168.51338132937991</v>
      </c>
      <c r="AA165" s="6"/>
      <c r="AB165" s="6">
        <f t="shared" si="10"/>
        <v>980634.7628560001</v>
      </c>
      <c r="AC165" s="6">
        <f t="shared" si="11"/>
        <v>0</v>
      </c>
      <c r="AD165" s="6">
        <f t="shared" ca="1" si="12"/>
        <v>1096970.2032072854</v>
      </c>
      <c r="AE165" s="6">
        <f t="shared" ca="1" si="13"/>
        <v>0</v>
      </c>
      <c r="AF165" s="4" t="s">
        <v>841</v>
      </c>
    </row>
    <row r="166" spans="1:32" ht="11.25" customHeight="1" x14ac:dyDescent="0.25">
      <c r="A166" s="4" t="s">
        <v>21</v>
      </c>
      <c r="B166" s="4" t="s">
        <v>35</v>
      </c>
      <c r="C166" s="4" t="s">
        <v>44</v>
      </c>
      <c r="D166" s="4" t="s">
        <v>42</v>
      </c>
      <c r="E166" s="4" t="s">
        <v>25</v>
      </c>
      <c r="F166" s="4" t="s">
        <v>62</v>
      </c>
      <c r="G166" s="4" t="s">
        <v>25</v>
      </c>
      <c r="H166" s="4" t="s">
        <v>37</v>
      </c>
      <c r="I166" s="5">
        <v>44378</v>
      </c>
      <c r="J166" s="6">
        <v>50383</v>
      </c>
      <c r="K166" s="6">
        <v>24949.661599999999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4" t="s">
        <v>60</v>
      </c>
      <c r="R166" s="4">
        <v>0</v>
      </c>
      <c r="S166" s="4">
        <v>28</v>
      </c>
      <c r="T166" s="4">
        <v>0</v>
      </c>
      <c r="U166" s="4">
        <v>0</v>
      </c>
      <c r="V166" s="6">
        <f>IF(ISERROR(VLOOKUP($S$166,'TAR FIN'!$A$1:$O$95,15,0)),0,VLOOKUP($S$166,'TAR FIN'!$A$1:$O$95,15,0))</f>
        <v>52.99</v>
      </c>
      <c r="W166" s="6">
        <f>IF(ISERROR(VLOOKUP($T$166,'TAR FIN'!$A$1:$O$95,15,0)),0,VLOOKUP($T$166,'TAR FIN'!$A$1:$O$95,15,0))</f>
        <v>0</v>
      </c>
      <c r="X166" s="6">
        <f>IF(ISERROR(VLOOKUP($U$166,'TAR FIN'!$A$1:$O$95,15,0)),0,VLOOKUP($U$166,'TAR FIN'!$A$1:$O$95,15,0))</f>
        <v>0</v>
      </c>
      <c r="Y166" s="6">
        <f ca="1">('TUSD BE'!$AM$10+'TUSD BF'!$AM$10+'TUSD CVA'!$AM$10)*1</f>
        <v>59.276351675174958</v>
      </c>
      <c r="Z166" s="6">
        <f ca="1">('TUSD BE'!$AM$12+'TUSD BF'!$AM$12+'TUSD CVA'!$AM$12)*1</f>
        <v>168.51338132937991</v>
      </c>
      <c r="AA166" s="6"/>
      <c r="AB166" s="6">
        <f t="shared" si="10"/>
        <v>1347712.6018160002</v>
      </c>
      <c r="AC166" s="6">
        <f t="shared" si="11"/>
        <v>0</v>
      </c>
      <c r="AD166" s="6">
        <f t="shared" ca="1" si="12"/>
        <v>1507595.5112721317</v>
      </c>
      <c r="AE166" s="6">
        <f t="shared" ca="1" si="13"/>
        <v>0</v>
      </c>
      <c r="AF166" s="4" t="s">
        <v>841</v>
      </c>
    </row>
    <row r="167" spans="1:32" ht="11.25" customHeight="1" x14ac:dyDescent="0.25">
      <c r="A167" s="4" t="s">
        <v>21</v>
      </c>
      <c r="B167" s="4" t="s">
        <v>35</v>
      </c>
      <c r="C167" s="4" t="s">
        <v>44</v>
      </c>
      <c r="D167" s="4" t="s">
        <v>42</v>
      </c>
      <c r="E167" s="4" t="s">
        <v>25</v>
      </c>
      <c r="F167" s="4" t="s">
        <v>62</v>
      </c>
      <c r="G167" s="4" t="s">
        <v>25</v>
      </c>
      <c r="H167" s="4" t="s">
        <v>37</v>
      </c>
      <c r="I167" s="5">
        <v>44409</v>
      </c>
      <c r="J167" s="6">
        <v>48876</v>
      </c>
      <c r="K167" s="6">
        <v>25361.756399999998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4" t="s">
        <v>60</v>
      </c>
      <c r="R167" s="4">
        <v>0</v>
      </c>
      <c r="S167" s="4">
        <v>28</v>
      </c>
      <c r="T167" s="4">
        <v>0</v>
      </c>
      <c r="U167" s="4">
        <v>0</v>
      </c>
      <c r="V167" s="6">
        <f>IF(ISERROR(VLOOKUP($S$167,'TAR FIN'!$A$1:$O$95,15,0)),0,VLOOKUP($S$167,'TAR FIN'!$A$1:$O$95,15,0))</f>
        <v>52.99</v>
      </c>
      <c r="W167" s="6">
        <f>IF(ISERROR(VLOOKUP($T$167,'TAR FIN'!$A$1:$O$95,15,0)),0,VLOOKUP($T$167,'TAR FIN'!$A$1:$O$95,15,0))</f>
        <v>0</v>
      </c>
      <c r="X167" s="6">
        <f>IF(ISERROR(VLOOKUP($U$167,'TAR FIN'!$A$1:$O$95,15,0)),0,VLOOKUP($U$167,'TAR FIN'!$A$1:$O$95,15,0))</f>
        <v>0</v>
      </c>
      <c r="Y167" s="6">
        <f ca="1">('TUSD BE'!$AM$10+'TUSD BF'!$AM$10+'TUSD CVA'!$AM$10)*1</f>
        <v>59.276351675174958</v>
      </c>
      <c r="Z167" s="6">
        <f ca="1">('TUSD BE'!$AM$12+'TUSD BF'!$AM$12+'TUSD CVA'!$AM$12)*1</f>
        <v>168.51338132937991</v>
      </c>
      <c r="AA167" s="6"/>
      <c r="AB167" s="6">
        <f t="shared" si="10"/>
        <v>1246019.7683640001</v>
      </c>
      <c r="AC167" s="6">
        <f t="shared" si="11"/>
        <v>0</v>
      </c>
      <c r="AD167" s="6">
        <f t="shared" ca="1" si="12"/>
        <v>1393838.5730093322</v>
      </c>
      <c r="AE167" s="6">
        <f t="shared" ca="1" si="13"/>
        <v>0</v>
      </c>
      <c r="AF167" s="4" t="s">
        <v>841</v>
      </c>
    </row>
    <row r="168" spans="1:32" ht="11.25" customHeight="1" x14ac:dyDescent="0.25">
      <c r="A168" s="4" t="s">
        <v>21</v>
      </c>
      <c r="B168" s="4" t="s">
        <v>35</v>
      </c>
      <c r="C168" s="4" t="s">
        <v>44</v>
      </c>
      <c r="D168" s="4" t="s">
        <v>42</v>
      </c>
      <c r="E168" s="4" t="s">
        <v>25</v>
      </c>
      <c r="F168" s="4" t="s">
        <v>62</v>
      </c>
      <c r="G168" s="4" t="s">
        <v>25</v>
      </c>
      <c r="H168" s="4" t="s">
        <v>37</v>
      </c>
      <c r="I168" s="5">
        <v>44440</v>
      </c>
      <c r="J168" s="6">
        <v>50775</v>
      </c>
      <c r="K168" s="6">
        <v>22853.827499999999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4" t="s">
        <v>60</v>
      </c>
      <c r="R168" s="4">
        <v>0</v>
      </c>
      <c r="S168" s="4">
        <v>28</v>
      </c>
      <c r="T168" s="4">
        <v>0</v>
      </c>
      <c r="U168" s="4">
        <v>0</v>
      </c>
      <c r="V168" s="6">
        <f>IF(ISERROR(VLOOKUP($S$168,'TAR FIN'!$A$1:$O$95,15,0)),0,VLOOKUP($S$168,'TAR FIN'!$A$1:$O$95,15,0))</f>
        <v>52.99</v>
      </c>
      <c r="W168" s="6">
        <f>IF(ISERROR(VLOOKUP($T$168,'TAR FIN'!$A$1:$O$95,15,0)),0,VLOOKUP($T$168,'TAR FIN'!$A$1:$O$95,15,0))</f>
        <v>0</v>
      </c>
      <c r="X168" s="6">
        <f>IF(ISERROR(VLOOKUP($U$168,'TAR FIN'!$A$1:$O$95,15,0)),0,VLOOKUP($U$168,'TAR FIN'!$A$1:$O$95,15,0))</f>
        <v>0</v>
      </c>
      <c r="Y168" s="6">
        <f ca="1">('TUSD BE'!$AM$10+'TUSD BF'!$AM$10+'TUSD CVA'!$AM$10)*1</f>
        <v>59.276351675174958</v>
      </c>
      <c r="Z168" s="6">
        <f ca="1">('TUSD BE'!$AM$12+'TUSD BF'!$AM$12+'TUSD CVA'!$AM$12)*1</f>
        <v>168.51338132937991</v>
      </c>
      <c r="AA168" s="6"/>
      <c r="AB168" s="6">
        <f t="shared" si="10"/>
        <v>1479542.930775</v>
      </c>
      <c r="AC168" s="6">
        <f t="shared" si="11"/>
        <v>0</v>
      </c>
      <c r="AD168" s="6">
        <f t="shared" ca="1" si="12"/>
        <v>1655065.2402932241</v>
      </c>
      <c r="AE168" s="6">
        <f t="shared" ca="1" si="13"/>
        <v>0</v>
      </c>
      <c r="AF168" s="4" t="s">
        <v>841</v>
      </c>
    </row>
    <row r="169" spans="1:32" ht="11.25" customHeight="1" x14ac:dyDescent="0.25">
      <c r="A169" s="4" t="s">
        <v>59</v>
      </c>
      <c r="B169" s="4" t="s">
        <v>35</v>
      </c>
      <c r="C169" s="4" t="s">
        <v>44</v>
      </c>
      <c r="D169" s="4" t="s">
        <v>42</v>
      </c>
      <c r="E169" s="4" t="s">
        <v>25</v>
      </c>
      <c r="F169" s="4" t="s">
        <v>62</v>
      </c>
      <c r="G169" s="4" t="s">
        <v>25</v>
      </c>
      <c r="H169" s="4" t="s">
        <v>37</v>
      </c>
      <c r="I169" s="5">
        <v>44470</v>
      </c>
      <c r="J169" s="6">
        <v>50775</v>
      </c>
      <c r="K169" s="6">
        <v>22853.827499999999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4" t="s">
        <v>60</v>
      </c>
      <c r="R169" s="4">
        <v>0</v>
      </c>
      <c r="S169" s="4">
        <v>28</v>
      </c>
      <c r="T169" s="4">
        <v>0</v>
      </c>
      <c r="U169" s="4">
        <v>0</v>
      </c>
      <c r="V169" s="6">
        <f>IF(ISERROR(VLOOKUP($S$169,'TAR FIN'!$A$1:$O$95,15,0)),0,VLOOKUP($S$169,'TAR FIN'!$A$1:$O$95,15,0))</f>
        <v>52.99</v>
      </c>
      <c r="W169" s="6">
        <f>IF(ISERROR(VLOOKUP($T$169,'TAR FIN'!$A$1:$O$95,15,0)),0,VLOOKUP($T$169,'TAR FIN'!$A$1:$O$95,15,0))</f>
        <v>0</v>
      </c>
      <c r="X169" s="6">
        <f>IF(ISERROR(VLOOKUP($U$169,'TAR FIN'!$A$1:$O$95,15,0)),0,VLOOKUP($U$169,'TAR FIN'!$A$1:$O$95,15,0))</f>
        <v>0</v>
      </c>
      <c r="Y169" s="6">
        <f ca="1">('TUSD BE'!$AM$10+'TUSD BF'!$AM$10+'TUSD CVA'!$AM$10)*1</f>
        <v>59.276351675174958</v>
      </c>
      <c r="Z169" s="6">
        <f ca="1">('TUSD BE'!$AM$12+'TUSD BF'!$AM$12+'TUSD CVA'!$AM$12)*1</f>
        <v>168.51338132937991</v>
      </c>
      <c r="AA169" s="6"/>
      <c r="AB169" s="6">
        <f t="shared" si="10"/>
        <v>1479542.930775</v>
      </c>
      <c r="AC169" s="6">
        <f t="shared" si="11"/>
        <v>0</v>
      </c>
      <c r="AD169" s="6">
        <f t="shared" ca="1" si="12"/>
        <v>1655065.2402932241</v>
      </c>
      <c r="AE169" s="6">
        <f t="shared" ca="1" si="13"/>
        <v>0</v>
      </c>
      <c r="AF169" s="4" t="s">
        <v>841</v>
      </c>
    </row>
    <row r="170" spans="1:32" ht="11.25" customHeight="1" x14ac:dyDescent="0.25">
      <c r="A170" s="4" t="s">
        <v>21</v>
      </c>
      <c r="B170" s="4" t="s">
        <v>35</v>
      </c>
      <c r="C170" s="4" t="s">
        <v>44</v>
      </c>
      <c r="D170" s="4" t="s">
        <v>47</v>
      </c>
      <c r="E170" s="4" t="s">
        <v>25</v>
      </c>
      <c r="F170" s="4" t="s">
        <v>25</v>
      </c>
      <c r="G170" s="4" t="s">
        <v>25</v>
      </c>
      <c r="H170" s="4" t="s">
        <v>38</v>
      </c>
      <c r="I170" s="5">
        <v>44136</v>
      </c>
      <c r="J170" s="6">
        <v>173</v>
      </c>
      <c r="K170" s="77">
        <v>173</v>
      </c>
      <c r="L170" s="6">
        <v>37.149000000000001</v>
      </c>
      <c r="M170" s="77">
        <v>37.149000000000001</v>
      </c>
      <c r="N170" s="6">
        <v>37.149000000000001</v>
      </c>
      <c r="O170" s="77">
        <v>37.149000000000001</v>
      </c>
      <c r="P170" s="6">
        <v>0</v>
      </c>
      <c r="Q170" s="4" t="s">
        <v>26</v>
      </c>
      <c r="R170" s="4">
        <v>0</v>
      </c>
      <c r="S170" s="4">
        <v>29</v>
      </c>
      <c r="T170" s="4">
        <v>30</v>
      </c>
      <c r="U170" s="4">
        <v>67</v>
      </c>
      <c r="V170" s="77">
        <f>IF(ISERROR(VLOOKUP($S$170,'TAR FIN'!$A$1:$O$95,15,0)),0,VLOOKUP($S$170,'TAR FIN'!$A$1:$O$95,15,0))*(1-0.06)</f>
        <v>26.855799999999999</v>
      </c>
      <c r="W170" s="77">
        <f>IF(ISERROR(VLOOKUP($T$170,'TAR FIN'!$A$1:$O$95,15,0)),0,VLOOKUP($T$170,'TAR FIN'!$A$1:$O$95,15,0))*(1-0.06)</f>
        <v>140.65219999999999</v>
      </c>
      <c r="X170" s="77">
        <f>IF(ISERROR(VLOOKUP($U$170,'TAR FIN'!$A$1:$O$95,15,0)),0,VLOOKUP($U$170,'TAR FIN'!$A$1:$O$95,15,0))*(1-0.06)</f>
        <v>216.22819999999999</v>
      </c>
      <c r="Y170" s="77">
        <f ca="1">('TUSD BE'!$AM$11+'TUSD BF'!$AM$11+'TUSD CVA'!$AM$11)*1*(1-0.04)</f>
        <v>30.653416196860647</v>
      </c>
      <c r="Z170" s="77">
        <f ca="1">('TUSD BE'!$AM$12+'TUSD BF'!$AM$12+'TUSD CVA'!$AM$12)*1*(1-0.04)</f>
        <v>161.7728460762047</v>
      </c>
      <c r="AA170" s="77">
        <f>('TE BE'!$AA$8+'TE BF'!$AA$8+'TE CVA'!$AA$8)*1*(1-0.04)</f>
        <v>271.60070372834122</v>
      </c>
      <c r="AB170" s="77">
        <f>(SUBSIDIO!$J$170*SUBSIDIO!$V$170)*(0.06)/(1-0.06)</f>
        <v>296.5566</v>
      </c>
      <c r="AC170" s="77">
        <f>((SUBSIDIO!$L$170*SUBSIDIO!$W$170)+(SUBSIDIO!$N$170*SUBSIDIO!$X$170))*(0.06)/(1-0.06)</f>
        <v>846.23936040000001</v>
      </c>
      <c r="AD170" s="77">
        <f ca="1">(SUBSIDIO!$J$170*SUBSIDIO!$Y$170)*(0.04)/(1-0.04)</f>
        <v>220.9600417523705</v>
      </c>
      <c r="AE170" s="77">
        <f ca="1">((SUBSIDIO!$L$170*SUBSIDIO!$Z$170)+(SUBSIDIO!$N$170*SUBSIDIO!$AA$170))*(0.04)/(1-0.04)</f>
        <v>670.80808340371152</v>
      </c>
      <c r="AF170" s="4" t="s">
        <v>844</v>
      </c>
    </row>
    <row r="171" spans="1:32" ht="11.25" customHeight="1" x14ac:dyDescent="0.25">
      <c r="A171" s="4" t="s">
        <v>28</v>
      </c>
      <c r="B171" s="4" t="s">
        <v>35</v>
      </c>
      <c r="C171" s="4" t="s">
        <v>44</v>
      </c>
      <c r="D171" s="4" t="s">
        <v>47</v>
      </c>
      <c r="E171" s="4" t="s">
        <v>25</v>
      </c>
      <c r="F171" s="4" t="s">
        <v>25</v>
      </c>
      <c r="G171" s="4" t="s">
        <v>25</v>
      </c>
      <c r="H171" s="4" t="s">
        <v>38</v>
      </c>
      <c r="I171" s="5">
        <v>44136</v>
      </c>
      <c r="J171" s="6">
        <v>768</v>
      </c>
      <c r="K171" s="77">
        <v>768</v>
      </c>
      <c r="L171" s="6">
        <v>173.52</v>
      </c>
      <c r="M171" s="77">
        <v>173.52</v>
      </c>
      <c r="N171" s="6">
        <v>173.52</v>
      </c>
      <c r="O171" s="77">
        <v>173.52</v>
      </c>
      <c r="P171" s="6">
        <v>0</v>
      </c>
      <c r="Q171" s="4" t="s">
        <v>26</v>
      </c>
      <c r="R171" s="4">
        <v>0</v>
      </c>
      <c r="S171" s="4">
        <v>29</v>
      </c>
      <c r="T171" s="4">
        <v>30</v>
      </c>
      <c r="U171" s="4">
        <v>67</v>
      </c>
      <c r="V171" s="77">
        <f>IF(ISERROR(VLOOKUP($S$171,'TAR FIN'!$A$1:$O$95,15,0)),0,VLOOKUP($S$171,'TAR FIN'!$A$1:$O$95,15,0))*(1-0.06)</f>
        <v>26.855799999999999</v>
      </c>
      <c r="W171" s="77">
        <f>IF(ISERROR(VLOOKUP($T$171,'TAR FIN'!$A$1:$O$95,15,0)),0,VLOOKUP($T$171,'TAR FIN'!$A$1:$O$95,15,0))*(1-0.06)</f>
        <v>140.65219999999999</v>
      </c>
      <c r="X171" s="77">
        <f>IF(ISERROR(VLOOKUP($U$171,'TAR FIN'!$A$1:$O$95,15,0)),0,VLOOKUP($U$171,'TAR FIN'!$A$1:$O$95,15,0))*(1-0.06)</f>
        <v>216.22819999999999</v>
      </c>
      <c r="Y171" s="77">
        <f ca="1">('TUSD BE'!$AM$11+'TUSD BF'!$AM$11+'TUSD CVA'!$AM$11)*1*(1-0.04)</f>
        <v>30.653416196860647</v>
      </c>
      <c r="Z171" s="77">
        <f ca="1">('TUSD BE'!$AM$12+'TUSD BF'!$AM$12+'TUSD CVA'!$AM$12)*1*(1-0.04)</f>
        <v>161.7728460762047</v>
      </c>
      <c r="AA171" s="77">
        <f>('TE BE'!$AA$8+'TE BF'!$AA$8+'TE CVA'!$AA$8)*1*(1-0.04)</f>
        <v>271.60070372834122</v>
      </c>
      <c r="AB171" s="77">
        <f>(SUBSIDIO!$J$171*SUBSIDIO!$V$171)*(0.06)/(1-0.06)</f>
        <v>1316.5056</v>
      </c>
      <c r="AC171" s="77">
        <f>((SUBSIDIO!$L$171*SUBSIDIO!$W$171)+(SUBSIDIO!$N$171*SUBSIDIO!$X$171))*(0.06)/(1-0.06)</f>
        <v>3952.7161920000003</v>
      </c>
      <c r="AD171" s="77">
        <f ca="1">(SUBSIDIO!$J$171*SUBSIDIO!$Y$171)*(0.04)/(1-0.04)</f>
        <v>980.9093182995407</v>
      </c>
      <c r="AE171" s="77">
        <f ca="1">((SUBSIDIO!$L$171*SUBSIDIO!$Z$171)+(SUBSIDIO!$N$171*SUBSIDIO!$AA$171))*(0.04)/(1-0.04)</f>
        <v>3133.2907650868679</v>
      </c>
      <c r="AF171" s="4" t="s">
        <v>844</v>
      </c>
    </row>
    <row r="172" spans="1:32" ht="11.25" customHeight="1" x14ac:dyDescent="0.25">
      <c r="A172" s="4" t="s">
        <v>21</v>
      </c>
      <c r="B172" s="4" t="s">
        <v>35</v>
      </c>
      <c r="C172" s="4" t="s">
        <v>44</v>
      </c>
      <c r="D172" s="4" t="s">
        <v>47</v>
      </c>
      <c r="E172" s="4" t="s">
        <v>25</v>
      </c>
      <c r="F172" s="4" t="s">
        <v>25</v>
      </c>
      <c r="G172" s="4" t="s">
        <v>25</v>
      </c>
      <c r="H172" s="4" t="s">
        <v>38</v>
      </c>
      <c r="I172" s="5">
        <v>44166</v>
      </c>
      <c r="J172" s="6">
        <v>190</v>
      </c>
      <c r="K172" s="77">
        <v>190</v>
      </c>
      <c r="L172" s="6">
        <v>41.014000000000003</v>
      </c>
      <c r="M172" s="77">
        <v>41.014000000000003</v>
      </c>
      <c r="N172" s="6">
        <v>41.014000000000003</v>
      </c>
      <c r="O172" s="77">
        <v>41.014000000000003</v>
      </c>
      <c r="P172" s="6">
        <v>0</v>
      </c>
      <c r="Q172" s="4" t="s">
        <v>26</v>
      </c>
      <c r="R172" s="4">
        <v>0</v>
      </c>
      <c r="S172" s="4">
        <v>29</v>
      </c>
      <c r="T172" s="4">
        <v>30</v>
      </c>
      <c r="U172" s="4">
        <v>67</v>
      </c>
      <c r="V172" s="77">
        <f>IF(ISERROR(VLOOKUP($S$172,'TAR FIN'!$A$1:$O$95,15,0)),0,VLOOKUP($S$172,'TAR FIN'!$A$1:$O$95,15,0))*(1-0.06)</f>
        <v>26.855799999999999</v>
      </c>
      <c r="W172" s="77">
        <f>IF(ISERROR(VLOOKUP($T$172,'TAR FIN'!$A$1:$O$95,15,0)),0,VLOOKUP($T$172,'TAR FIN'!$A$1:$O$95,15,0))*(1-0.06)</f>
        <v>140.65219999999999</v>
      </c>
      <c r="X172" s="77">
        <f>IF(ISERROR(VLOOKUP($U$172,'TAR FIN'!$A$1:$O$95,15,0)),0,VLOOKUP($U$172,'TAR FIN'!$A$1:$O$95,15,0))*(1-0.06)</f>
        <v>216.22819999999999</v>
      </c>
      <c r="Y172" s="77">
        <f ca="1">('TUSD BE'!$AM$11+'TUSD BF'!$AM$11+'TUSD CVA'!$AM$11)*1*(1-0.04)</f>
        <v>30.653416196860647</v>
      </c>
      <c r="Z172" s="77">
        <f ca="1">('TUSD BE'!$AM$12+'TUSD BF'!$AM$12+'TUSD CVA'!$AM$12)*1*(1-0.04)</f>
        <v>161.7728460762047</v>
      </c>
      <c r="AA172" s="77">
        <f>('TE BE'!$AA$8+'TE BF'!$AA$8+'TE CVA'!$AA$8)*1*(1-0.04)</f>
        <v>271.60070372834122</v>
      </c>
      <c r="AB172" s="77">
        <f>(SUBSIDIO!$J$172*SUBSIDIO!$V$172)*(0.06)/(1-0.06)</f>
        <v>325.69799999999998</v>
      </c>
      <c r="AC172" s="77">
        <f>((SUBSIDIO!$L$172*SUBSIDIO!$W$172)+(SUBSIDIO!$N$172*SUBSIDIO!$X$172))*(0.06)/(1-0.06)</f>
        <v>934.28251440000008</v>
      </c>
      <c r="AD172" s="77">
        <f ca="1">(SUBSIDIO!$J$172*SUBSIDIO!$Y$172)*(0.04)/(1-0.04)</f>
        <v>242.6728782251468</v>
      </c>
      <c r="AE172" s="77">
        <f ca="1">((SUBSIDIO!$L$172*SUBSIDIO!$Z$172)+(SUBSIDIO!$N$172*SUBSIDIO!$AA$172))*(0.04)/(1-0.04)</f>
        <v>740.59928215348521</v>
      </c>
      <c r="AF172" s="4" t="s">
        <v>844</v>
      </c>
    </row>
    <row r="173" spans="1:32" ht="11.25" customHeight="1" x14ac:dyDescent="0.25">
      <c r="A173" s="4" t="s">
        <v>28</v>
      </c>
      <c r="B173" s="4" t="s">
        <v>35</v>
      </c>
      <c r="C173" s="4" t="s">
        <v>44</v>
      </c>
      <c r="D173" s="4" t="s">
        <v>47</v>
      </c>
      <c r="E173" s="4" t="s">
        <v>25</v>
      </c>
      <c r="F173" s="4" t="s">
        <v>25</v>
      </c>
      <c r="G173" s="4" t="s">
        <v>25</v>
      </c>
      <c r="H173" s="4" t="s">
        <v>38</v>
      </c>
      <c r="I173" s="5">
        <v>44166</v>
      </c>
      <c r="J173" s="6">
        <v>722</v>
      </c>
      <c r="K173" s="77">
        <v>722</v>
      </c>
      <c r="L173" s="6">
        <v>136.32</v>
      </c>
      <c r="M173" s="77">
        <v>136.32</v>
      </c>
      <c r="N173" s="6">
        <v>136.32</v>
      </c>
      <c r="O173" s="77">
        <v>136.32</v>
      </c>
      <c r="P173" s="6">
        <v>0</v>
      </c>
      <c r="Q173" s="4" t="s">
        <v>26</v>
      </c>
      <c r="R173" s="4">
        <v>0</v>
      </c>
      <c r="S173" s="4">
        <v>29</v>
      </c>
      <c r="T173" s="4">
        <v>30</v>
      </c>
      <c r="U173" s="4">
        <v>67</v>
      </c>
      <c r="V173" s="77">
        <f>IF(ISERROR(VLOOKUP($S$173,'TAR FIN'!$A$1:$O$95,15,0)),0,VLOOKUP($S$173,'TAR FIN'!$A$1:$O$95,15,0))*(1-0.06)</f>
        <v>26.855799999999999</v>
      </c>
      <c r="W173" s="77">
        <f>IF(ISERROR(VLOOKUP($T$173,'TAR FIN'!$A$1:$O$95,15,0)),0,VLOOKUP($T$173,'TAR FIN'!$A$1:$O$95,15,0))*(1-0.06)</f>
        <v>140.65219999999999</v>
      </c>
      <c r="X173" s="77">
        <f>IF(ISERROR(VLOOKUP($U$173,'TAR FIN'!$A$1:$O$95,15,0)),0,VLOOKUP($U$173,'TAR FIN'!$A$1:$O$95,15,0))*(1-0.06)</f>
        <v>216.22819999999999</v>
      </c>
      <c r="Y173" s="77">
        <f ca="1">('TUSD BE'!$AM$11+'TUSD BF'!$AM$11+'TUSD CVA'!$AM$11)*1*(1-0.04)</f>
        <v>30.653416196860647</v>
      </c>
      <c r="Z173" s="77">
        <f ca="1">('TUSD BE'!$AM$12+'TUSD BF'!$AM$12+'TUSD CVA'!$AM$12)*1*(1-0.04)</f>
        <v>161.7728460762047</v>
      </c>
      <c r="AA173" s="77">
        <f>('TE BE'!$AA$8+'TE BF'!$AA$8+'TE CVA'!$AA$8)*1*(1-0.04)</f>
        <v>271.60070372834122</v>
      </c>
      <c r="AB173" s="77">
        <f>(SUBSIDIO!$J$173*SUBSIDIO!$V$173)*(0.06)/(1-0.06)</f>
        <v>1237.6523999999999</v>
      </c>
      <c r="AC173" s="77">
        <f>((SUBSIDIO!$L$173*SUBSIDIO!$W$173)+(SUBSIDIO!$N$173*SUBSIDIO!$X$173))*(0.06)/(1-0.06)</f>
        <v>3105.3150719999994</v>
      </c>
      <c r="AD173" s="77">
        <f ca="1">(SUBSIDIO!$J$173*SUBSIDIO!$Y$173)*(0.04)/(1-0.04)</f>
        <v>922.15693725555786</v>
      </c>
      <c r="AE173" s="77">
        <f ca="1">((SUBSIDIO!$L$173*SUBSIDIO!$Z$173)+(SUBSIDIO!$N$173*SUBSIDIO!$AA$173))*(0.04)/(1-0.04)</f>
        <v>2461.5617628898208</v>
      </c>
      <c r="AF173" s="4" t="s">
        <v>844</v>
      </c>
    </row>
    <row r="174" spans="1:32" ht="11.25" customHeight="1" x14ac:dyDescent="0.25">
      <c r="A174" s="4" t="s">
        <v>21</v>
      </c>
      <c r="B174" s="4" t="s">
        <v>35</v>
      </c>
      <c r="C174" s="4" t="s">
        <v>44</v>
      </c>
      <c r="D174" s="4" t="s">
        <v>47</v>
      </c>
      <c r="E174" s="4" t="s">
        <v>25</v>
      </c>
      <c r="F174" s="4" t="s">
        <v>25</v>
      </c>
      <c r="G174" s="4" t="s">
        <v>25</v>
      </c>
      <c r="H174" s="4" t="s">
        <v>38</v>
      </c>
      <c r="I174" s="5">
        <v>44197</v>
      </c>
      <c r="J174" s="6">
        <v>191</v>
      </c>
      <c r="K174" s="77">
        <v>191</v>
      </c>
      <c r="L174" s="6">
        <v>40.171999999999997</v>
      </c>
      <c r="M174" s="77">
        <v>40.171999999999997</v>
      </c>
      <c r="N174" s="6">
        <v>40.171999999999997</v>
      </c>
      <c r="O174" s="77">
        <v>40.171999999999997</v>
      </c>
      <c r="P174" s="6">
        <v>0</v>
      </c>
      <c r="Q174" s="4" t="s">
        <v>26</v>
      </c>
      <c r="R174" s="4">
        <v>0</v>
      </c>
      <c r="S174" s="4">
        <v>29</v>
      </c>
      <c r="T174" s="4">
        <v>30</v>
      </c>
      <c r="U174" s="4">
        <v>67</v>
      </c>
      <c r="V174" s="77">
        <f>IF(ISERROR(VLOOKUP($S$174,'TAR FIN'!$A$1:$O$95,15,0)),0,VLOOKUP($S$174,'TAR FIN'!$A$1:$O$95,15,0))*(1-0.06)</f>
        <v>26.855799999999999</v>
      </c>
      <c r="W174" s="77">
        <f>IF(ISERROR(VLOOKUP($T$174,'TAR FIN'!$A$1:$O$95,15,0)),0,VLOOKUP($T$174,'TAR FIN'!$A$1:$O$95,15,0))*(1-0.06)</f>
        <v>140.65219999999999</v>
      </c>
      <c r="X174" s="77">
        <f>IF(ISERROR(VLOOKUP($U$174,'TAR FIN'!$A$1:$O$95,15,0)),0,VLOOKUP($U$174,'TAR FIN'!$A$1:$O$95,15,0))*(1-0.06)</f>
        <v>216.22819999999999</v>
      </c>
      <c r="Y174" s="77">
        <f ca="1">('TUSD BE'!$AM$11+'TUSD BF'!$AM$11+'TUSD CVA'!$AM$11)*1*(1-0.04)</f>
        <v>30.653416196860647</v>
      </c>
      <c r="Z174" s="77">
        <f ca="1">('TUSD BE'!$AM$12+'TUSD BF'!$AM$12+'TUSD CVA'!$AM$12)*1*(1-0.04)</f>
        <v>161.7728460762047</v>
      </c>
      <c r="AA174" s="77">
        <f>('TE BE'!$AA$8+'TE BF'!$AA$8+'TE CVA'!$AA$8)*1*(1-0.04)</f>
        <v>271.60070372834122</v>
      </c>
      <c r="AB174" s="77">
        <f>(SUBSIDIO!$J$174*SUBSIDIO!$V$174)*(0.06)/(1-0.06)</f>
        <v>327.41220000000004</v>
      </c>
      <c r="AC174" s="77">
        <f>((SUBSIDIO!$L$174*SUBSIDIO!$W$174)+(SUBSIDIO!$N$174*SUBSIDIO!$X$174))*(0.06)/(1-0.06)</f>
        <v>915.10209119999979</v>
      </c>
      <c r="AD174" s="77">
        <f ca="1">(SUBSIDIO!$J$174*SUBSIDIO!$Y$174)*(0.04)/(1-0.04)</f>
        <v>243.95010390001602</v>
      </c>
      <c r="AE174" s="77">
        <f ca="1">((SUBSIDIO!$L$174*SUBSIDIO!$Z$174)+(SUBSIDIO!$N$174*SUBSIDIO!$AA$174))*(0.04)/(1-0.04)</f>
        <v>725.39509344784244</v>
      </c>
      <c r="AF174" s="4" t="s">
        <v>844</v>
      </c>
    </row>
    <row r="175" spans="1:32" ht="11.25" customHeight="1" x14ac:dyDescent="0.25">
      <c r="A175" s="4" t="s">
        <v>28</v>
      </c>
      <c r="B175" s="4" t="s">
        <v>35</v>
      </c>
      <c r="C175" s="4" t="s">
        <v>44</v>
      </c>
      <c r="D175" s="4" t="s">
        <v>47</v>
      </c>
      <c r="E175" s="4" t="s">
        <v>25</v>
      </c>
      <c r="F175" s="4" t="s">
        <v>25</v>
      </c>
      <c r="G175" s="4" t="s">
        <v>25</v>
      </c>
      <c r="H175" s="4" t="s">
        <v>38</v>
      </c>
      <c r="I175" s="5">
        <v>44197</v>
      </c>
      <c r="J175" s="6">
        <v>720</v>
      </c>
      <c r="K175" s="77">
        <v>720</v>
      </c>
      <c r="L175" s="6">
        <v>147.6</v>
      </c>
      <c r="M175" s="77">
        <v>147.6</v>
      </c>
      <c r="N175" s="6">
        <v>147.6</v>
      </c>
      <c r="O175" s="77">
        <v>147.6</v>
      </c>
      <c r="P175" s="6">
        <v>0</v>
      </c>
      <c r="Q175" s="4" t="s">
        <v>26</v>
      </c>
      <c r="R175" s="4">
        <v>0</v>
      </c>
      <c r="S175" s="4">
        <v>29</v>
      </c>
      <c r="T175" s="4">
        <v>30</v>
      </c>
      <c r="U175" s="4">
        <v>67</v>
      </c>
      <c r="V175" s="77">
        <f>IF(ISERROR(VLOOKUP($S$175,'TAR FIN'!$A$1:$O$95,15,0)),0,VLOOKUP($S$175,'TAR FIN'!$A$1:$O$95,15,0))*(1-0.06)</f>
        <v>26.855799999999999</v>
      </c>
      <c r="W175" s="77">
        <f>IF(ISERROR(VLOOKUP($T$175,'TAR FIN'!$A$1:$O$95,15,0)),0,VLOOKUP($T$175,'TAR FIN'!$A$1:$O$95,15,0))*(1-0.06)</f>
        <v>140.65219999999999</v>
      </c>
      <c r="X175" s="77">
        <f>IF(ISERROR(VLOOKUP($U$175,'TAR FIN'!$A$1:$O$95,15,0)),0,VLOOKUP($U$175,'TAR FIN'!$A$1:$O$95,15,0))*(1-0.06)</f>
        <v>216.22819999999999</v>
      </c>
      <c r="Y175" s="77">
        <f ca="1">('TUSD BE'!$AM$11+'TUSD BF'!$AM$11+'TUSD CVA'!$AM$11)*1*(1-0.04)</f>
        <v>30.653416196860647</v>
      </c>
      <c r="Z175" s="77">
        <f ca="1">('TUSD BE'!$AM$12+'TUSD BF'!$AM$12+'TUSD CVA'!$AM$12)*1*(1-0.04)</f>
        <v>161.7728460762047</v>
      </c>
      <c r="AA175" s="77">
        <f>('TE BE'!$AA$8+'TE BF'!$AA$8+'TE CVA'!$AA$8)*1*(1-0.04)</f>
        <v>271.60070372834122</v>
      </c>
      <c r="AB175" s="77">
        <f>(SUBSIDIO!$J$175*SUBSIDIO!$V$175)*(0.06)/(1-0.06)</f>
        <v>1234.2240000000002</v>
      </c>
      <c r="AC175" s="77">
        <f>((SUBSIDIO!$L$175*SUBSIDIO!$W$175)+(SUBSIDIO!$N$175*SUBSIDIO!$X$175))*(0.06)/(1-0.06)</f>
        <v>3362.2689599999999</v>
      </c>
      <c r="AD175" s="77">
        <f ca="1">(SUBSIDIO!$J$175*SUBSIDIO!$Y$175)*(0.04)/(1-0.04)</f>
        <v>919.60248590581955</v>
      </c>
      <c r="AE175" s="77">
        <f ca="1">((SUBSIDIO!$L$175*SUBSIDIO!$Z$175)+(SUBSIDIO!$N$175*SUBSIDIO!$AA$175))*(0.04)/(1-0.04)</f>
        <v>2665.2473312979578</v>
      </c>
      <c r="AF175" s="4" t="s">
        <v>844</v>
      </c>
    </row>
    <row r="176" spans="1:32" ht="11.25" customHeight="1" x14ac:dyDescent="0.25">
      <c r="A176" s="4" t="s">
        <v>21</v>
      </c>
      <c r="B176" s="4" t="s">
        <v>35</v>
      </c>
      <c r="C176" s="4" t="s">
        <v>44</v>
      </c>
      <c r="D176" s="4" t="s">
        <v>47</v>
      </c>
      <c r="E176" s="4" t="s">
        <v>25</v>
      </c>
      <c r="F176" s="4" t="s">
        <v>25</v>
      </c>
      <c r="G176" s="4" t="s">
        <v>25</v>
      </c>
      <c r="H176" s="4" t="s">
        <v>38</v>
      </c>
      <c r="I176" s="5">
        <v>44228</v>
      </c>
      <c r="J176" s="6">
        <v>182</v>
      </c>
      <c r="K176" s="77">
        <v>182</v>
      </c>
      <c r="L176" s="6">
        <v>44.427999999999997</v>
      </c>
      <c r="M176" s="77">
        <v>44.427999999999997</v>
      </c>
      <c r="N176" s="6">
        <v>44.427999999999997</v>
      </c>
      <c r="O176" s="77">
        <v>44.427999999999997</v>
      </c>
      <c r="P176" s="6">
        <v>0</v>
      </c>
      <c r="Q176" s="4" t="s">
        <v>26</v>
      </c>
      <c r="R176" s="4">
        <v>0</v>
      </c>
      <c r="S176" s="4">
        <v>29</v>
      </c>
      <c r="T176" s="4">
        <v>30</v>
      </c>
      <c r="U176" s="4">
        <v>67</v>
      </c>
      <c r="V176" s="77">
        <f>IF(ISERROR(VLOOKUP($S$176,'TAR FIN'!$A$1:$O$95,15,0)),0,VLOOKUP($S$176,'TAR FIN'!$A$1:$O$95,15,0))*(1-0.06)</f>
        <v>26.855799999999999</v>
      </c>
      <c r="W176" s="77">
        <f>IF(ISERROR(VLOOKUP($T$176,'TAR FIN'!$A$1:$O$95,15,0)),0,VLOOKUP($T$176,'TAR FIN'!$A$1:$O$95,15,0))*(1-0.06)</f>
        <v>140.65219999999999</v>
      </c>
      <c r="X176" s="77">
        <f>IF(ISERROR(VLOOKUP($U$176,'TAR FIN'!$A$1:$O$95,15,0)),0,VLOOKUP($U$176,'TAR FIN'!$A$1:$O$95,15,0))*(1-0.06)</f>
        <v>216.22819999999999</v>
      </c>
      <c r="Y176" s="77">
        <f ca="1">('TUSD BE'!$AM$11+'TUSD BF'!$AM$11+'TUSD CVA'!$AM$11)*1*(1-0.04)</f>
        <v>30.653416196860647</v>
      </c>
      <c r="Z176" s="77">
        <f ca="1">('TUSD BE'!$AM$12+'TUSD BF'!$AM$12+'TUSD CVA'!$AM$12)*1*(1-0.04)</f>
        <v>161.7728460762047</v>
      </c>
      <c r="AA176" s="77">
        <f>('TE BE'!$AA$8+'TE BF'!$AA$8+'TE CVA'!$AA$8)*1*(1-0.04)</f>
        <v>271.60070372834122</v>
      </c>
      <c r="AB176" s="77">
        <f>(SUBSIDIO!$J$176*SUBSIDIO!$V$176)*(0.06)/(1-0.06)</f>
        <v>311.98439999999994</v>
      </c>
      <c r="AC176" s="77">
        <f>((SUBSIDIO!$L$176*SUBSIDIO!$W$176)+(SUBSIDIO!$N$176*SUBSIDIO!$X$176))*(0.06)/(1-0.06)</f>
        <v>1012.0520688</v>
      </c>
      <c r="AD176" s="77">
        <f ca="1">(SUBSIDIO!$J$176*SUBSIDIO!$Y$176)*(0.04)/(1-0.04)</f>
        <v>232.45507282619323</v>
      </c>
      <c r="AE176" s="77">
        <f ca="1">((SUBSIDIO!$L$176*SUBSIDIO!$Z$176)+(SUBSIDIO!$N$176*SUBSIDIO!$AA$176))*(0.04)/(1-0.04)</f>
        <v>802.24666961318178</v>
      </c>
      <c r="AF176" s="4" t="s">
        <v>844</v>
      </c>
    </row>
    <row r="177" spans="1:32" ht="11.25" customHeight="1" x14ac:dyDescent="0.25">
      <c r="A177" s="4" t="s">
        <v>28</v>
      </c>
      <c r="B177" s="4" t="s">
        <v>35</v>
      </c>
      <c r="C177" s="4" t="s">
        <v>44</v>
      </c>
      <c r="D177" s="4" t="s">
        <v>47</v>
      </c>
      <c r="E177" s="4" t="s">
        <v>25</v>
      </c>
      <c r="F177" s="4" t="s">
        <v>25</v>
      </c>
      <c r="G177" s="4" t="s">
        <v>25</v>
      </c>
      <c r="H177" s="4" t="s">
        <v>38</v>
      </c>
      <c r="I177" s="5">
        <v>44228</v>
      </c>
      <c r="J177" s="6">
        <v>705</v>
      </c>
      <c r="K177" s="77">
        <v>705</v>
      </c>
      <c r="L177" s="6">
        <v>154.696</v>
      </c>
      <c r="M177" s="77">
        <v>154.696</v>
      </c>
      <c r="N177" s="6">
        <v>154.696</v>
      </c>
      <c r="O177" s="77">
        <v>154.696</v>
      </c>
      <c r="P177" s="6">
        <v>0</v>
      </c>
      <c r="Q177" s="4" t="s">
        <v>26</v>
      </c>
      <c r="R177" s="4">
        <v>0</v>
      </c>
      <c r="S177" s="4">
        <v>29</v>
      </c>
      <c r="T177" s="4">
        <v>30</v>
      </c>
      <c r="U177" s="4">
        <v>67</v>
      </c>
      <c r="V177" s="77">
        <f>IF(ISERROR(VLOOKUP($S$177,'TAR FIN'!$A$1:$O$95,15,0)),0,VLOOKUP($S$177,'TAR FIN'!$A$1:$O$95,15,0))*(1-0.06)</f>
        <v>26.855799999999999</v>
      </c>
      <c r="W177" s="77">
        <f>IF(ISERROR(VLOOKUP($T$177,'TAR FIN'!$A$1:$O$95,15,0)),0,VLOOKUP($T$177,'TAR FIN'!$A$1:$O$95,15,0))*(1-0.06)</f>
        <v>140.65219999999999</v>
      </c>
      <c r="X177" s="77">
        <f>IF(ISERROR(VLOOKUP($U$177,'TAR FIN'!$A$1:$O$95,15,0)),0,VLOOKUP($U$177,'TAR FIN'!$A$1:$O$95,15,0))*(1-0.06)</f>
        <v>216.22819999999999</v>
      </c>
      <c r="Y177" s="77">
        <f ca="1">('TUSD BE'!$AM$11+'TUSD BF'!$AM$11+'TUSD CVA'!$AM$11)*1*(1-0.04)</f>
        <v>30.653416196860647</v>
      </c>
      <c r="Z177" s="77">
        <f ca="1">('TUSD BE'!$AM$12+'TUSD BF'!$AM$12+'TUSD CVA'!$AM$12)*1*(1-0.04)</f>
        <v>161.7728460762047</v>
      </c>
      <c r="AA177" s="77">
        <f>('TE BE'!$AA$8+'TE BF'!$AA$8+'TE CVA'!$AA$8)*1*(1-0.04)</f>
        <v>271.60070372834122</v>
      </c>
      <c r="AB177" s="77">
        <f>(SUBSIDIO!$J$177*SUBSIDIO!$V$177)*(0.06)/(1-0.06)</f>
        <v>1208.5110000000002</v>
      </c>
      <c r="AC177" s="77">
        <f>((SUBSIDIO!$L$177*SUBSIDIO!$W$177)+(SUBSIDIO!$N$177*SUBSIDIO!$X$177))*(0.06)/(1-0.06)</f>
        <v>3523.9130015999999</v>
      </c>
      <c r="AD177" s="77">
        <f ca="1">(SUBSIDIO!$J$177*SUBSIDIO!$Y$177)*(0.04)/(1-0.04)</f>
        <v>900.44410078278156</v>
      </c>
      <c r="AE177" s="77">
        <f ca="1">((SUBSIDIO!$L$177*SUBSIDIO!$Z$177)+(SUBSIDIO!$N$177*SUBSIDIO!$AA$177))*(0.04)/(1-0.04)</f>
        <v>2793.3814441901682</v>
      </c>
      <c r="AF177" s="4" t="s">
        <v>844</v>
      </c>
    </row>
    <row r="178" spans="1:32" ht="11.25" customHeight="1" x14ac:dyDescent="0.25">
      <c r="A178" s="4" t="s">
        <v>21</v>
      </c>
      <c r="B178" s="4" t="s">
        <v>35</v>
      </c>
      <c r="C178" s="4" t="s">
        <v>44</v>
      </c>
      <c r="D178" s="4" t="s">
        <v>47</v>
      </c>
      <c r="E178" s="4" t="s">
        <v>25</v>
      </c>
      <c r="F178" s="4" t="s">
        <v>25</v>
      </c>
      <c r="G178" s="4" t="s">
        <v>25</v>
      </c>
      <c r="H178" s="4" t="s">
        <v>38</v>
      </c>
      <c r="I178" s="5">
        <v>44256</v>
      </c>
      <c r="J178" s="6">
        <v>173</v>
      </c>
      <c r="K178" s="77">
        <v>173</v>
      </c>
      <c r="L178" s="6">
        <v>40.174999999999997</v>
      </c>
      <c r="M178" s="77">
        <v>40.174999999999997</v>
      </c>
      <c r="N178" s="6">
        <v>40.174999999999997</v>
      </c>
      <c r="O178" s="77">
        <v>40.174999999999997</v>
      </c>
      <c r="P178" s="6">
        <v>0</v>
      </c>
      <c r="Q178" s="4" t="s">
        <v>26</v>
      </c>
      <c r="R178" s="4">
        <v>0</v>
      </c>
      <c r="S178" s="4">
        <v>29</v>
      </c>
      <c r="T178" s="4">
        <v>30</v>
      </c>
      <c r="U178" s="4">
        <v>67</v>
      </c>
      <c r="V178" s="77">
        <f>IF(ISERROR(VLOOKUP($S$178,'TAR FIN'!$A$1:$O$95,15,0)),0,VLOOKUP($S$178,'TAR FIN'!$A$1:$O$95,15,0))*(1-0.06)</f>
        <v>26.855799999999999</v>
      </c>
      <c r="W178" s="77">
        <f>IF(ISERROR(VLOOKUP($T$178,'TAR FIN'!$A$1:$O$95,15,0)),0,VLOOKUP($T$178,'TAR FIN'!$A$1:$O$95,15,0))*(1-0.06)</f>
        <v>140.65219999999999</v>
      </c>
      <c r="X178" s="77">
        <f>IF(ISERROR(VLOOKUP($U$178,'TAR FIN'!$A$1:$O$95,15,0)),0,VLOOKUP($U$178,'TAR FIN'!$A$1:$O$95,15,0))*(1-0.06)</f>
        <v>216.22819999999999</v>
      </c>
      <c r="Y178" s="77">
        <f ca="1">('TUSD BE'!$AM$11+'TUSD BF'!$AM$11+'TUSD CVA'!$AM$11)*1*(1-0.04)</f>
        <v>30.653416196860647</v>
      </c>
      <c r="Z178" s="77">
        <f ca="1">('TUSD BE'!$AM$12+'TUSD BF'!$AM$12+'TUSD CVA'!$AM$12)*1*(1-0.04)</f>
        <v>161.7728460762047</v>
      </c>
      <c r="AA178" s="77">
        <f>('TE BE'!$AA$8+'TE BF'!$AA$8+'TE CVA'!$AA$8)*1*(1-0.04)</f>
        <v>271.60070372834122</v>
      </c>
      <c r="AB178" s="77">
        <f>(SUBSIDIO!$J$178*SUBSIDIO!$V$178)*(0.06)/(1-0.06)</f>
        <v>296.5566</v>
      </c>
      <c r="AC178" s="77">
        <f>((SUBSIDIO!$L$178*SUBSIDIO!$W$178)+(SUBSIDIO!$N$178*SUBSIDIO!$X$178))*(0.06)/(1-0.06)</f>
        <v>915.1704299999999</v>
      </c>
      <c r="AD178" s="77">
        <f ca="1">(SUBSIDIO!$J$178*SUBSIDIO!$Y$178)*(0.04)/(1-0.04)</f>
        <v>220.9600417523705</v>
      </c>
      <c r="AE178" s="77">
        <f ca="1">((SUBSIDIO!$L$178*SUBSIDIO!$Z$178)+(SUBSIDIO!$N$178*SUBSIDIO!$AA$178))*(0.04)/(1-0.04)</f>
        <v>725.44926514156793</v>
      </c>
      <c r="AF178" s="4" t="s">
        <v>844</v>
      </c>
    </row>
    <row r="179" spans="1:32" ht="11.25" customHeight="1" x14ac:dyDescent="0.25">
      <c r="A179" s="4" t="s">
        <v>28</v>
      </c>
      <c r="B179" s="4" t="s">
        <v>35</v>
      </c>
      <c r="C179" s="4" t="s">
        <v>44</v>
      </c>
      <c r="D179" s="4" t="s">
        <v>47</v>
      </c>
      <c r="E179" s="4" t="s">
        <v>25</v>
      </c>
      <c r="F179" s="4" t="s">
        <v>25</v>
      </c>
      <c r="G179" s="4" t="s">
        <v>25</v>
      </c>
      <c r="H179" s="4" t="s">
        <v>38</v>
      </c>
      <c r="I179" s="5">
        <v>44256</v>
      </c>
      <c r="J179" s="6">
        <v>718</v>
      </c>
      <c r="K179" s="77">
        <v>718</v>
      </c>
      <c r="L179" s="6">
        <v>172.09200000000001</v>
      </c>
      <c r="M179" s="77">
        <v>172.09200000000001</v>
      </c>
      <c r="N179" s="6">
        <v>172.09200000000001</v>
      </c>
      <c r="O179" s="77">
        <v>172.09200000000001</v>
      </c>
      <c r="P179" s="6">
        <v>0</v>
      </c>
      <c r="Q179" s="4" t="s">
        <v>26</v>
      </c>
      <c r="R179" s="4">
        <v>0</v>
      </c>
      <c r="S179" s="4">
        <v>29</v>
      </c>
      <c r="T179" s="4">
        <v>30</v>
      </c>
      <c r="U179" s="4">
        <v>67</v>
      </c>
      <c r="V179" s="77">
        <f>IF(ISERROR(VLOOKUP($S$179,'TAR FIN'!$A$1:$O$95,15,0)),0,VLOOKUP($S$179,'TAR FIN'!$A$1:$O$95,15,0))*(1-0.06)</f>
        <v>26.855799999999999</v>
      </c>
      <c r="W179" s="77">
        <f>IF(ISERROR(VLOOKUP($T$179,'TAR FIN'!$A$1:$O$95,15,0)),0,VLOOKUP($T$179,'TAR FIN'!$A$1:$O$95,15,0))*(1-0.06)</f>
        <v>140.65219999999999</v>
      </c>
      <c r="X179" s="77">
        <f>IF(ISERROR(VLOOKUP($U$179,'TAR FIN'!$A$1:$O$95,15,0)),0,VLOOKUP($U$179,'TAR FIN'!$A$1:$O$95,15,0))*(1-0.06)</f>
        <v>216.22819999999999</v>
      </c>
      <c r="Y179" s="77">
        <f ca="1">('TUSD BE'!$AM$11+'TUSD BF'!$AM$11+'TUSD CVA'!$AM$11)*1*(1-0.04)</f>
        <v>30.653416196860647</v>
      </c>
      <c r="Z179" s="77">
        <f ca="1">('TUSD BE'!$AM$12+'TUSD BF'!$AM$12+'TUSD CVA'!$AM$12)*1*(1-0.04)</f>
        <v>161.7728460762047</v>
      </c>
      <c r="AA179" s="77">
        <f>('TE BE'!$AA$8+'TE BF'!$AA$8+'TE CVA'!$AA$8)*1*(1-0.04)</f>
        <v>271.60070372834122</v>
      </c>
      <c r="AB179" s="77">
        <f>(SUBSIDIO!$J$179*SUBSIDIO!$V$179)*(0.06)/(1-0.06)</f>
        <v>1230.7956000000001</v>
      </c>
      <c r="AC179" s="77">
        <f>((SUBSIDIO!$L$179*SUBSIDIO!$W$179)+(SUBSIDIO!$N$179*SUBSIDIO!$X$179))*(0.06)/(1-0.06)</f>
        <v>3920.1869231999999</v>
      </c>
      <c r="AD179" s="77">
        <f ca="1">(SUBSIDIO!$J$179*SUBSIDIO!$Y$179)*(0.04)/(1-0.04)</f>
        <v>917.04803455608112</v>
      </c>
      <c r="AE179" s="77">
        <f ca="1">((SUBSIDIO!$L$179*SUBSIDIO!$Z$179)+(SUBSIDIO!$N$179*SUBSIDIO!$AA$179))*(0.04)/(1-0.04)</f>
        <v>3107.5050388734971</v>
      </c>
      <c r="AF179" s="4" t="s">
        <v>844</v>
      </c>
    </row>
    <row r="180" spans="1:32" ht="11.25" customHeight="1" x14ac:dyDescent="0.25">
      <c r="A180" s="4" t="s">
        <v>21</v>
      </c>
      <c r="B180" s="4" t="s">
        <v>35</v>
      </c>
      <c r="C180" s="4" t="s">
        <v>44</v>
      </c>
      <c r="D180" s="4" t="s">
        <v>47</v>
      </c>
      <c r="E180" s="4" t="s">
        <v>25</v>
      </c>
      <c r="F180" s="4" t="s">
        <v>25</v>
      </c>
      <c r="G180" s="4" t="s">
        <v>25</v>
      </c>
      <c r="H180" s="4" t="s">
        <v>38</v>
      </c>
      <c r="I180" s="5">
        <v>44287</v>
      </c>
      <c r="J180" s="6">
        <v>165</v>
      </c>
      <c r="K180" s="77">
        <v>165</v>
      </c>
      <c r="L180" s="6">
        <v>39.329000000000001</v>
      </c>
      <c r="M180" s="77">
        <v>39.329000000000001</v>
      </c>
      <c r="N180" s="6">
        <v>39.329000000000001</v>
      </c>
      <c r="O180" s="77">
        <v>39.329000000000001</v>
      </c>
      <c r="P180" s="6">
        <v>0</v>
      </c>
      <c r="Q180" s="4" t="s">
        <v>26</v>
      </c>
      <c r="R180" s="4">
        <v>0</v>
      </c>
      <c r="S180" s="4">
        <v>29</v>
      </c>
      <c r="T180" s="4">
        <v>30</v>
      </c>
      <c r="U180" s="4">
        <v>67</v>
      </c>
      <c r="V180" s="77">
        <f>IF(ISERROR(VLOOKUP($S$180,'TAR FIN'!$A$1:$O$95,15,0)),0,VLOOKUP($S$180,'TAR FIN'!$A$1:$O$95,15,0))*(1-0.06)</f>
        <v>26.855799999999999</v>
      </c>
      <c r="W180" s="77">
        <f>IF(ISERROR(VLOOKUP($T$180,'TAR FIN'!$A$1:$O$95,15,0)),0,VLOOKUP($T$180,'TAR FIN'!$A$1:$O$95,15,0))*(1-0.06)</f>
        <v>140.65219999999999</v>
      </c>
      <c r="X180" s="77">
        <f>IF(ISERROR(VLOOKUP($U$180,'TAR FIN'!$A$1:$O$95,15,0)),0,VLOOKUP($U$180,'TAR FIN'!$A$1:$O$95,15,0))*(1-0.06)</f>
        <v>216.22819999999999</v>
      </c>
      <c r="Y180" s="77">
        <f ca="1">('TUSD BE'!$AM$11+'TUSD BF'!$AM$11+'TUSD CVA'!$AM$11)*1*(1-0.04)</f>
        <v>30.653416196860647</v>
      </c>
      <c r="Z180" s="77">
        <f ca="1">('TUSD BE'!$AM$12+'TUSD BF'!$AM$12+'TUSD CVA'!$AM$12)*1*(1-0.04)</f>
        <v>161.7728460762047</v>
      </c>
      <c r="AA180" s="77">
        <f>('TE BE'!$AA$8+'TE BF'!$AA$8+'TE CVA'!$AA$8)*1*(1-0.04)</f>
        <v>271.60070372834122</v>
      </c>
      <c r="AB180" s="77">
        <f>(SUBSIDIO!$J$180*SUBSIDIO!$V$180)*(0.06)/(1-0.06)</f>
        <v>282.84300000000002</v>
      </c>
      <c r="AC180" s="77">
        <f>((SUBSIDIO!$L$180*SUBSIDIO!$W$180)+(SUBSIDIO!$N$180*SUBSIDIO!$X$180))*(0.06)/(1-0.06)</f>
        <v>895.89888839999992</v>
      </c>
      <c r="AD180" s="77">
        <f ca="1">(SUBSIDIO!$J$180*SUBSIDIO!$Y$180)*(0.04)/(1-0.04)</f>
        <v>210.74223635341696</v>
      </c>
      <c r="AE180" s="77">
        <f ca="1">((SUBSIDIO!$L$180*SUBSIDIO!$Z$180)+(SUBSIDIO!$N$180*SUBSIDIO!$AA$180))*(0.04)/(1-0.04)</f>
        <v>710.17284751095781</v>
      </c>
      <c r="AF180" s="4" t="s">
        <v>844</v>
      </c>
    </row>
    <row r="181" spans="1:32" ht="11.25" customHeight="1" x14ac:dyDescent="0.25">
      <c r="A181" s="4" t="s">
        <v>28</v>
      </c>
      <c r="B181" s="4" t="s">
        <v>35</v>
      </c>
      <c r="C181" s="4" t="s">
        <v>44</v>
      </c>
      <c r="D181" s="4" t="s">
        <v>47</v>
      </c>
      <c r="E181" s="4" t="s">
        <v>25</v>
      </c>
      <c r="F181" s="4" t="s">
        <v>25</v>
      </c>
      <c r="G181" s="4" t="s">
        <v>25</v>
      </c>
      <c r="H181" s="4" t="s">
        <v>38</v>
      </c>
      <c r="I181" s="5">
        <v>44287</v>
      </c>
      <c r="J181" s="6">
        <v>696</v>
      </c>
      <c r="K181" s="77">
        <v>696</v>
      </c>
      <c r="L181" s="6">
        <v>154.584</v>
      </c>
      <c r="M181" s="77">
        <v>154.584</v>
      </c>
      <c r="N181" s="6">
        <v>154.584</v>
      </c>
      <c r="O181" s="77">
        <v>154.584</v>
      </c>
      <c r="P181" s="6">
        <v>0</v>
      </c>
      <c r="Q181" s="4" t="s">
        <v>26</v>
      </c>
      <c r="R181" s="4">
        <v>0</v>
      </c>
      <c r="S181" s="4">
        <v>29</v>
      </c>
      <c r="T181" s="4">
        <v>30</v>
      </c>
      <c r="U181" s="4">
        <v>67</v>
      </c>
      <c r="V181" s="77">
        <f>IF(ISERROR(VLOOKUP($S$181,'TAR FIN'!$A$1:$O$95,15,0)),0,VLOOKUP($S$181,'TAR FIN'!$A$1:$O$95,15,0))*(1-0.06)</f>
        <v>26.855799999999999</v>
      </c>
      <c r="W181" s="77">
        <f>IF(ISERROR(VLOOKUP($T$181,'TAR FIN'!$A$1:$O$95,15,0)),0,VLOOKUP($T$181,'TAR FIN'!$A$1:$O$95,15,0))*(1-0.06)</f>
        <v>140.65219999999999</v>
      </c>
      <c r="X181" s="77">
        <f>IF(ISERROR(VLOOKUP($U$181,'TAR FIN'!$A$1:$O$95,15,0)),0,VLOOKUP($U$181,'TAR FIN'!$A$1:$O$95,15,0))*(1-0.06)</f>
        <v>216.22819999999999</v>
      </c>
      <c r="Y181" s="77">
        <f ca="1">('TUSD BE'!$AM$11+'TUSD BF'!$AM$11+'TUSD CVA'!$AM$11)*1*(1-0.04)</f>
        <v>30.653416196860647</v>
      </c>
      <c r="Z181" s="77">
        <f ca="1">('TUSD BE'!$AM$12+'TUSD BF'!$AM$12+'TUSD CVA'!$AM$12)*1*(1-0.04)</f>
        <v>161.7728460762047</v>
      </c>
      <c r="AA181" s="77">
        <f>('TE BE'!$AA$8+'TE BF'!$AA$8+'TE CVA'!$AA$8)*1*(1-0.04)</f>
        <v>271.60070372834122</v>
      </c>
      <c r="AB181" s="77">
        <f>(SUBSIDIO!$J$181*SUBSIDIO!$V$181)*(0.06)/(1-0.06)</f>
        <v>1193.0832</v>
      </c>
      <c r="AC181" s="77">
        <f>((SUBSIDIO!$L$181*SUBSIDIO!$W$181)+(SUBSIDIO!$N$181*SUBSIDIO!$X$181))*(0.06)/(1-0.06)</f>
        <v>3521.3616864000001</v>
      </c>
      <c r="AD181" s="77">
        <f ca="1">(SUBSIDIO!$J$181*SUBSIDIO!$Y$181)*(0.04)/(1-0.04)</f>
        <v>888.94906970895886</v>
      </c>
      <c r="AE181" s="77">
        <f ca="1">((SUBSIDIO!$L$181*SUBSIDIO!$Z$181)+(SUBSIDIO!$N$181*SUBSIDIO!$AA$181))*(0.04)/(1-0.04)</f>
        <v>2791.3590342910807</v>
      </c>
      <c r="AF181" s="4" t="s">
        <v>844</v>
      </c>
    </row>
    <row r="182" spans="1:32" ht="11.25" customHeight="1" x14ac:dyDescent="0.25">
      <c r="A182" s="4" t="s">
        <v>21</v>
      </c>
      <c r="B182" s="4" t="s">
        <v>35</v>
      </c>
      <c r="C182" s="4" t="s">
        <v>44</v>
      </c>
      <c r="D182" s="4" t="s">
        <v>47</v>
      </c>
      <c r="E182" s="4" t="s">
        <v>25</v>
      </c>
      <c r="F182" s="4" t="s">
        <v>25</v>
      </c>
      <c r="G182" s="4" t="s">
        <v>25</v>
      </c>
      <c r="H182" s="4" t="s">
        <v>38</v>
      </c>
      <c r="I182" s="5">
        <v>44317</v>
      </c>
      <c r="J182" s="6">
        <v>169</v>
      </c>
      <c r="K182" s="77">
        <v>169</v>
      </c>
      <c r="L182" s="6">
        <v>36.453000000000003</v>
      </c>
      <c r="M182" s="77">
        <v>36.453000000000003</v>
      </c>
      <c r="N182" s="6">
        <v>36.453000000000003</v>
      </c>
      <c r="O182" s="77">
        <v>36.453000000000003</v>
      </c>
      <c r="P182" s="6">
        <v>0</v>
      </c>
      <c r="Q182" s="4" t="s">
        <v>26</v>
      </c>
      <c r="R182" s="4">
        <v>0</v>
      </c>
      <c r="S182" s="4">
        <v>29</v>
      </c>
      <c r="T182" s="4">
        <v>30</v>
      </c>
      <c r="U182" s="4">
        <v>67</v>
      </c>
      <c r="V182" s="77">
        <f>IF(ISERROR(VLOOKUP($S$182,'TAR FIN'!$A$1:$O$95,15,0)),0,VLOOKUP($S$182,'TAR FIN'!$A$1:$O$95,15,0))*(1-0.06)</f>
        <v>26.855799999999999</v>
      </c>
      <c r="W182" s="77">
        <f>IF(ISERROR(VLOOKUP($T$182,'TAR FIN'!$A$1:$O$95,15,0)),0,VLOOKUP($T$182,'TAR FIN'!$A$1:$O$95,15,0))*(1-0.06)</f>
        <v>140.65219999999999</v>
      </c>
      <c r="X182" s="77">
        <f>IF(ISERROR(VLOOKUP($U$182,'TAR FIN'!$A$1:$O$95,15,0)),0,VLOOKUP($U$182,'TAR FIN'!$A$1:$O$95,15,0))*(1-0.06)</f>
        <v>216.22819999999999</v>
      </c>
      <c r="Y182" s="77">
        <f ca="1">('TUSD BE'!$AM$11+'TUSD BF'!$AM$11+'TUSD CVA'!$AM$11)*1*(1-0.04)</f>
        <v>30.653416196860647</v>
      </c>
      <c r="Z182" s="77">
        <f ca="1">('TUSD BE'!$AM$12+'TUSD BF'!$AM$12+'TUSD CVA'!$AM$12)*1*(1-0.04)</f>
        <v>161.7728460762047</v>
      </c>
      <c r="AA182" s="77">
        <f>('TE BE'!$AA$8+'TE BF'!$AA$8+'TE CVA'!$AA$8)*1*(1-0.04)</f>
        <v>271.60070372834122</v>
      </c>
      <c r="AB182" s="77">
        <f>(SUBSIDIO!$J$182*SUBSIDIO!$V$182)*(0.06)/(1-0.06)</f>
        <v>289.69979999999998</v>
      </c>
      <c r="AC182" s="77">
        <f>((SUBSIDIO!$L$182*SUBSIDIO!$W$182)+(SUBSIDIO!$N$182*SUBSIDIO!$X$182))*(0.06)/(1-0.06)</f>
        <v>830.3847588000001</v>
      </c>
      <c r="AD182" s="77">
        <f ca="1">(SUBSIDIO!$J$182*SUBSIDIO!$Y$182)*(0.04)/(1-0.04)</f>
        <v>215.85113905289373</v>
      </c>
      <c r="AE182" s="77">
        <f ca="1">((SUBSIDIO!$L$182*SUBSIDIO!$Z$182)+(SUBSIDIO!$N$182*SUBSIDIO!$AA$182))*(0.04)/(1-0.04)</f>
        <v>658.24025045937969</v>
      </c>
      <c r="AF182" s="4" t="s">
        <v>844</v>
      </c>
    </row>
    <row r="183" spans="1:32" ht="11.25" customHeight="1" x14ac:dyDescent="0.25">
      <c r="A183" s="4" t="s">
        <v>28</v>
      </c>
      <c r="B183" s="4" t="s">
        <v>35</v>
      </c>
      <c r="C183" s="4" t="s">
        <v>44</v>
      </c>
      <c r="D183" s="4" t="s">
        <v>47</v>
      </c>
      <c r="E183" s="4" t="s">
        <v>25</v>
      </c>
      <c r="F183" s="4" t="s">
        <v>25</v>
      </c>
      <c r="G183" s="4" t="s">
        <v>25</v>
      </c>
      <c r="H183" s="4" t="s">
        <v>38</v>
      </c>
      <c r="I183" s="5">
        <v>44317</v>
      </c>
      <c r="J183" s="6">
        <v>582</v>
      </c>
      <c r="K183" s="77">
        <v>582</v>
      </c>
      <c r="L183" s="6">
        <v>189.24</v>
      </c>
      <c r="M183" s="77">
        <v>189.24</v>
      </c>
      <c r="N183" s="6">
        <v>189.24</v>
      </c>
      <c r="O183" s="77">
        <v>189.24</v>
      </c>
      <c r="P183" s="6">
        <v>0</v>
      </c>
      <c r="Q183" s="4" t="s">
        <v>26</v>
      </c>
      <c r="R183" s="4">
        <v>0</v>
      </c>
      <c r="S183" s="4">
        <v>29</v>
      </c>
      <c r="T183" s="4">
        <v>30</v>
      </c>
      <c r="U183" s="4">
        <v>67</v>
      </c>
      <c r="V183" s="77">
        <f>IF(ISERROR(VLOOKUP($S$183,'TAR FIN'!$A$1:$O$95,15,0)),0,VLOOKUP($S$183,'TAR FIN'!$A$1:$O$95,15,0))*(1-0.06)</f>
        <v>26.855799999999999</v>
      </c>
      <c r="W183" s="77">
        <f>IF(ISERROR(VLOOKUP($T$183,'TAR FIN'!$A$1:$O$95,15,0)),0,VLOOKUP($T$183,'TAR FIN'!$A$1:$O$95,15,0))*(1-0.06)</f>
        <v>140.65219999999999</v>
      </c>
      <c r="X183" s="77">
        <f>IF(ISERROR(VLOOKUP($U$183,'TAR FIN'!$A$1:$O$95,15,0)),0,VLOOKUP($U$183,'TAR FIN'!$A$1:$O$95,15,0))*(1-0.06)</f>
        <v>216.22819999999999</v>
      </c>
      <c r="Y183" s="77">
        <f ca="1">('TUSD BE'!$AM$11+'TUSD BF'!$AM$11+'TUSD CVA'!$AM$11)*1*(1-0.04)</f>
        <v>30.653416196860647</v>
      </c>
      <c r="Z183" s="77">
        <f ca="1">('TUSD BE'!$AM$12+'TUSD BF'!$AM$12+'TUSD CVA'!$AM$12)*1*(1-0.04)</f>
        <v>161.7728460762047</v>
      </c>
      <c r="AA183" s="77">
        <f>('TE BE'!$AA$8+'TE BF'!$AA$8+'TE CVA'!$AA$8)*1*(1-0.04)</f>
        <v>271.60070372834122</v>
      </c>
      <c r="AB183" s="77">
        <f>(SUBSIDIO!$J$183*SUBSIDIO!$V$183)*(0.06)/(1-0.06)</f>
        <v>997.66439999999989</v>
      </c>
      <c r="AC183" s="77">
        <f>((SUBSIDIO!$L$183*SUBSIDIO!$W$183)+(SUBSIDIO!$N$183*SUBSIDIO!$X$183))*(0.06)/(1-0.06)</f>
        <v>4310.8115040000002</v>
      </c>
      <c r="AD183" s="77">
        <f ca="1">(SUBSIDIO!$J$183*SUBSIDIO!$Y$183)*(0.04)/(1-0.04)</f>
        <v>743.3453427738707</v>
      </c>
      <c r="AE183" s="77">
        <f ca="1">((SUBSIDIO!$L$183*SUBSIDIO!$Z$183)+(SUBSIDIO!$N$183*SUBSIDIO!$AA$183))*(0.04)/(1-0.04)</f>
        <v>3417.1504402088449</v>
      </c>
      <c r="AF183" s="4" t="s">
        <v>844</v>
      </c>
    </row>
    <row r="184" spans="1:32" ht="11.25" customHeight="1" x14ac:dyDescent="0.25">
      <c r="A184" s="4" t="s">
        <v>21</v>
      </c>
      <c r="B184" s="4" t="s">
        <v>35</v>
      </c>
      <c r="C184" s="4" t="s">
        <v>44</v>
      </c>
      <c r="D184" s="4" t="s">
        <v>47</v>
      </c>
      <c r="E184" s="4" t="s">
        <v>25</v>
      </c>
      <c r="F184" s="4" t="s">
        <v>25</v>
      </c>
      <c r="G184" s="4" t="s">
        <v>25</v>
      </c>
      <c r="H184" s="4" t="s">
        <v>38</v>
      </c>
      <c r="I184" s="5">
        <v>44348</v>
      </c>
      <c r="J184" s="6">
        <v>150</v>
      </c>
      <c r="K184" s="77">
        <v>150</v>
      </c>
      <c r="L184" s="6">
        <v>35.372</v>
      </c>
      <c r="M184" s="77">
        <v>35.372</v>
      </c>
      <c r="N184" s="6">
        <v>35.372</v>
      </c>
      <c r="O184" s="77">
        <v>35.372</v>
      </c>
      <c r="P184" s="6">
        <v>0</v>
      </c>
      <c r="Q184" s="4" t="s">
        <v>26</v>
      </c>
      <c r="R184" s="4">
        <v>0</v>
      </c>
      <c r="S184" s="4">
        <v>29</v>
      </c>
      <c r="T184" s="4">
        <v>30</v>
      </c>
      <c r="U184" s="4">
        <v>67</v>
      </c>
      <c r="V184" s="77">
        <f>IF(ISERROR(VLOOKUP($S$184,'TAR FIN'!$A$1:$O$95,15,0)),0,VLOOKUP($S$184,'TAR FIN'!$A$1:$O$95,15,0))*(1-0.06)</f>
        <v>26.855799999999999</v>
      </c>
      <c r="W184" s="77">
        <f>IF(ISERROR(VLOOKUP($T$184,'TAR FIN'!$A$1:$O$95,15,0)),0,VLOOKUP($T$184,'TAR FIN'!$A$1:$O$95,15,0))*(1-0.06)</f>
        <v>140.65219999999999</v>
      </c>
      <c r="X184" s="77">
        <f>IF(ISERROR(VLOOKUP($U$184,'TAR FIN'!$A$1:$O$95,15,0)),0,VLOOKUP($U$184,'TAR FIN'!$A$1:$O$95,15,0))*(1-0.06)</f>
        <v>216.22819999999999</v>
      </c>
      <c r="Y184" s="77">
        <f ca="1">('TUSD BE'!$AM$11+'TUSD BF'!$AM$11+'TUSD CVA'!$AM$11)*1*(1-0.04)</f>
        <v>30.653416196860647</v>
      </c>
      <c r="Z184" s="77">
        <f ca="1">('TUSD BE'!$AM$12+'TUSD BF'!$AM$12+'TUSD CVA'!$AM$12)*1*(1-0.04)</f>
        <v>161.7728460762047</v>
      </c>
      <c r="AA184" s="77">
        <f>('TE BE'!$AA$8+'TE BF'!$AA$8+'TE CVA'!$AA$8)*1*(1-0.04)</f>
        <v>271.60070372834122</v>
      </c>
      <c r="AB184" s="77">
        <f>(SUBSIDIO!$J$184*SUBSIDIO!$V$184)*(0.06)/(1-0.06)</f>
        <v>257.13</v>
      </c>
      <c r="AC184" s="77">
        <f>((SUBSIDIO!$L$184*SUBSIDIO!$W$184)+(SUBSIDIO!$N$184*SUBSIDIO!$X$184))*(0.06)/(1-0.06)</f>
        <v>805.76001120000001</v>
      </c>
      <c r="AD184" s="77">
        <f ca="1">(SUBSIDIO!$J$184*SUBSIDIO!$Y$184)*(0.04)/(1-0.04)</f>
        <v>191.58385123037905</v>
      </c>
      <c r="AE184" s="77">
        <f ca="1">((SUBSIDIO!$L$184*SUBSIDIO!$Z$184)+(SUBSIDIO!$N$184*SUBSIDIO!$AA$184))*(0.04)/(1-0.04)</f>
        <v>638.7203834869332</v>
      </c>
      <c r="AF184" s="4" t="s">
        <v>844</v>
      </c>
    </row>
    <row r="185" spans="1:32" ht="11.25" customHeight="1" x14ac:dyDescent="0.25">
      <c r="A185" s="4" t="s">
        <v>28</v>
      </c>
      <c r="B185" s="4" t="s">
        <v>35</v>
      </c>
      <c r="C185" s="4" t="s">
        <v>44</v>
      </c>
      <c r="D185" s="4" t="s">
        <v>47</v>
      </c>
      <c r="E185" s="4" t="s">
        <v>25</v>
      </c>
      <c r="F185" s="4" t="s">
        <v>25</v>
      </c>
      <c r="G185" s="4" t="s">
        <v>25</v>
      </c>
      <c r="H185" s="4" t="s">
        <v>38</v>
      </c>
      <c r="I185" s="5">
        <v>44348</v>
      </c>
      <c r="J185" s="6">
        <v>741</v>
      </c>
      <c r="K185" s="77">
        <v>741</v>
      </c>
      <c r="L185" s="6">
        <v>160.12799999999999</v>
      </c>
      <c r="M185" s="77">
        <v>160.12799999999999</v>
      </c>
      <c r="N185" s="6">
        <v>160.12799999999999</v>
      </c>
      <c r="O185" s="77">
        <v>160.12799999999999</v>
      </c>
      <c r="P185" s="6">
        <v>0</v>
      </c>
      <c r="Q185" s="4" t="s">
        <v>26</v>
      </c>
      <c r="R185" s="4">
        <v>0</v>
      </c>
      <c r="S185" s="4">
        <v>29</v>
      </c>
      <c r="T185" s="4">
        <v>30</v>
      </c>
      <c r="U185" s="4">
        <v>67</v>
      </c>
      <c r="V185" s="77">
        <f>IF(ISERROR(VLOOKUP($S$185,'TAR FIN'!$A$1:$O$95,15,0)),0,VLOOKUP($S$185,'TAR FIN'!$A$1:$O$95,15,0))*(1-0.06)</f>
        <v>26.855799999999999</v>
      </c>
      <c r="W185" s="77">
        <f>IF(ISERROR(VLOOKUP($T$185,'TAR FIN'!$A$1:$O$95,15,0)),0,VLOOKUP($T$185,'TAR FIN'!$A$1:$O$95,15,0))*(1-0.06)</f>
        <v>140.65219999999999</v>
      </c>
      <c r="X185" s="77">
        <f>IF(ISERROR(VLOOKUP($U$185,'TAR FIN'!$A$1:$O$95,15,0)),0,VLOOKUP($U$185,'TAR FIN'!$A$1:$O$95,15,0))*(1-0.06)</f>
        <v>216.22819999999999</v>
      </c>
      <c r="Y185" s="77">
        <f ca="1">('TUSD BE'!$AM$11+'TUSD BF'!$AM$11+'TUSD CVA'!$AM$11)*1*(1-0.04)</f>
        <v>30.653416196860647</v>
      </c>
      <c r="Z185" s="77">
        <f ca="1">('TUSD BE'!$AM$12+'TUSD BF'!$AM$12+'TUSD CVA'!$AM$12)*1*(1-0.04)</f>
        <v>161.7728460762047</v>
      </c>
      <c r="AA185" s="77">
        <f>('TE BE'!$AA$8+'TE BF'!$AA$8+'TE CVA'!$AA$8)*1*(1-0.04)</f>
        <v>271.60070372834122</v>
      </c>
      <c r="AB185" s="77">
        <f>(SUBSIDIO!$J$185*SUBSIDIO!$V$185)*(0.06)/(1-0.06)</f>
        <v>1270.2221999999999</v>
      </c>
      <c r="AC185" s="77">
        <f>((SUBSIDIO!$L$185*SUBSIDIO!$W$185)+(SUBSIDIO!$N$185*SUBSIDIO!$X$185))*(0.06)/(1-0.06)</f>
        <v>3647.6517887999998</v>
      </c>
      <c r="AD185" s="77">
        <f ca="1">(SUBSIDIO!$J$185*SUBSIDIO!$Y$185)*(0.04)/(1-0.04)</f>
        <v>946.42422507807248</v>
      </c>
      <c r="AE185" s="77">
        <f ca="1">((SUBSIDIO!$L$185*SUBSIDIO!$Z$185)+(SUBSIDIO!$N$185*SUBSIDIO!$AA$185))*(0.04)/(1-0.04)</f>
        <v>2891.4683242959304</v>
      </c>
      <c r="AF185" s="4" t="s">
        <v>844</v>
      </c>
    </row>
    <row r="186" spans="1:32" ht="11.25" customHeight="1" x14ac:dyDescent="0.25">
      <c r="A186" s="4" t="s">
        <v>21</v>
      </c>
      <c r="B186" s="4" t="s">
        <v>35</v>
      </c>
      <c r="C186" s="4" t="s">
        <v>44</v>
      </c>
      <c r="D186" s="4" t="s">
        <v>47</v>
      </c>
      <c r="E186" s="4" t="s">
        <v>25</v>
      </c>
      <c r="F186" s="4" t="s">
        <v>25</v>
      </c>
      <c r="G186" s="4" t="s">
        <v>25</v>
      </c>
      <c r="H186" s="4" t="s">
        <v>38</v>
      </c>
      <c r="I186" s="5">
        <v>44378</v>
      </c>
      <c r="J186" s="6">
        <v>175</v>
      </c>
      <c r="K186" s="77">
        <v>175</v>
      </c>
      <c r="L186" s="6">
        <v>40.423000000000002</v>
      </c>
      <c r="M186" s="77">
        <v>40.423000000000002</v>
      </c>
      <c r="N186" s="6">
        <v>40.423000000000002</v>
      </c>
      <c r="O186" s="77">
        <v>40.423000000000002</v>
      </c>
      <c r="P186" s="6">
        <v>0</v>
      </c>
      <c r="Q186" s="4" t="s">
        <v>26</v>
      </c>
      <c r="R186" s="4">
        <v>0</v>
      </c>
      <c r="S186" s="4">
        <v>29</v>
      </c>
      <c r="T186" s="4">
        <v>30</v>
      </c>
      <c r="U186" s="4">
        <v>67</v>
      </c>
      <c r="V186" s="77">
        <f>IF(ISERROR(VLOOKUP($S$186,'TAR FIN'!$A$1:$O$95,15,0)),0,VLOOKUP($S$186,'TAR FIN'!$A$1:$O$95,15,0))*(1-0.06)</f>
        <v>26.855799999999999</v>
      </c>
      <c r="W186" s="77">
        <f>IF(ISERROR(VLOOKUP($T$186,'TAR FIN'!$A$1:$O$95,15,0)),0,VLOOKUP($T$186,'TAR FIN'!$A$1:$O$95,15,0))*(1-0.06)</f>
        <v>140.65219999999999</v>
      </c>
      <c r="X186" s="77">
        <f>IF(ISERROR(VLOOKUP($U$186,'TAR FIN'!$A$1:$O$95,15,0)),0,VLOOKUP($U$186,'TAR FIN'!$A$1:$O$95,15,0))*(1-0.06)</f>
        <v>216.22819999999999</v>
      </c>
      <c r="Y186" s="77">
        <f ca="1">('TUSD BE'!$AM$11+'TUSD BF'!$AM$11+'TUSD CVA'!$AM$11)*1*(1-0.04)</f>
        <v>30.653416196860647</v>
      </c>
      <c r="Z186" s="77">
        <f ca="1">('TUSD BE'!$AM$12+'TUSD BF'!$AM$12+'TUSD CVA'!$AM$12)*1*(1-0.04)</f>
        <v>161.7728460762047</v>
      </c>
      <c r="AA186" s="77">
        <f>('TE BE'!$AA$8+'TE BF'!$AA$8+'TE CVA'!$AA$8)*1*(1-0.04)</f>
        <v>271.60070372834122</v>
      </c>
      <c r="AB186" s="77">
        <f>(SUBSIDIO!$J$186*SUBSIDIO!$V$186)*(0.06)/(1-0.06)</f>
        <v>299.98499999999996</v>
      </c>
      <c r="AC186" s="77">
        <f>((SUBSIDIO!$L$186*SUBSIDIO!$W$186)+(SUBSIDIO!$N$186*SUBSIDIO!$X$186))*(0.06)/(1-0.06)</f>
        <v>920.81977080000001</v>
      </c>
      <c r="AD186" s="77">
        <f ca="1">(SUBSIDIO!$J$186*SUBSIDIO!$Y$186)*(0.04)/(1-0.04)</f>
        <v>223.51449310210887</v>
      </c>
      <c r="AE186" s="77">
        <f ca="1">((SUBSIDIO!$L$186*SUBSIDIO!$Z$186)+(SUBSIDIO!$N$186*SUBSIDIO!$AA$186))*(0.04)/(1-0.04)</f>
        <v>729.92745848954848</v>
      </c>
      <c r="AF186" s="4" t="s">
        <v>844</v>
      </c>
    </row>
    <row r="187" spans="1:32" ht="11.25" customHeight="1" x14ac:dyDescent="0.25">
      <c r="A187" s="4" t="s">
        <v>28</v>
      </c>
      <c r="B187" s="4" t="s">
        <v>35</v>
      </c>
      <c r="C187" s="4" t="s">
        <v>44</v>
      </c>
      <c r="D187" s="4" t="s">
        <v>47</v>
      </c>
      <c r="E187" s="4" t="s">
        <v>25</v>
      </c>
      <c r="F187" s="4" t="s">
        <v>25</v>
      </c>
      <c r="G187" s="4" t="s">
        <v>25</v>
      </c>
      <c r="H187" s="4" t="s">
        <v>38</v>
      </c>
      <c r="I187" s="5">
        <v>44378</v>
      </c>
      <c r="J187" s="6">
        <v>813</v>
      </c>
      <c r="K187" s="77">
        <v>813</v>
      </c>
      <c r="L187" s="6">
        <v>167.11199999999999</v>
      </c>
      <c r="M187" s="77">
        <v>167.11199999999999</v>
      </c>
      <c r="N187" s="6">
        <v>167.11199999999999</v>
      </c>
      <c r="O187" s="77">
        <v>167.11199999999999</v>
      </c>
      <c r="P187" s="6">
        <v>0</v>
      </c>
      <c r="Q187" s="4" t="s">
        <v>26</v>
      </c>
      <c r="R187" s="4">
        <v>0</v>
      </c>
      <c r="S187" s="4">
        <v>29</v>
      </c>
      <c r="T187" s="4">
        <v>30</v>
      </c>
      <c r="U187" s="4">
        <v>67</v>
      </c>
      <c r="V187" s="77">
        <f>IF(ISERROR(VLOOKUP($S$187,'TAR FIN'!$A$1:$O$95,15,0)),0,VLOOKUP($S$187,'TAR FIN'!$A$1:$O$95,15,0))*(1-0.06)</f>
        <v>26.855799999999999</v>
      </c>
      <c r="W187" s="77">
        <f>IF(ISERROR(VLOOKUP($T$187,'TAR FIN'!$A$1:$O$95,15,0)),0,VLOOKUP($T$187,'TAR FIN'!$A$1:$O$95,15,0))*(1-0.06)</f>
        <v>140.65219999999999</v>
      </c>
      <c r="X187" s="77">
        <f>IF(ISERROR(VLOOKUP($U$187,'TAR FIN'!$A$1:$O$95,15,0)),0,VLOOKUP($U$187,'TAR FIN'!$A$1:$O$95,15,0))*(1-0.06)</f>
        <v>216.22819999999999</v>
      </c>
      <c r="Y187" s="77">
        <f ca="1">('TUSD BE'!$AM$11+'TUSD BF'!$AM$11+'TUSD CVA'!$AM$11)*1*(1-0.04)</f>
        <v>30.653416196860647</v>
      </c>
      <c r="Z187" s="77">
        <f ca="1">('TUSD BE'!$AM$12+'TUSD BF'!$AM$12+'TUSD CVA'!$AM$12)*1*(1-0.04)</f>
        <v>161.7728460762047</v>
      </c>
      <c r="AA187" s="77">
        <f>('TE BE'!$AA$8+'TE BF'!$AA$8+'TE CVA'!$AA$8)*1*(1-0.04)</f>
        <v>271.60070372834122</v>
      </c>
      <c r="AB187" s="77">
        <f>(SUBSIDIO!$J$187*SUBSIDIO!$V$187)*(0.06)/(1-0.06)</f>
        <v>1393.6446000000001</v>
      </c>
      <c r="AC187" s="77">
        <f>((SUBSIDIO!$L$187*SUBSIDIO!$W$187)+(SUBSIDIO!$N$187*SUBSIDIO!$X$187))*(0.06)/(1-0.06)</f>
        <v>3806.7445151999996</v>
      </c>
      <c r="AD187" s="77">
        <f ca="1">(SUBSIDIO!$J$187*SUBSIDIO!$Y$187)*(0.04)/(1-0.04)</f>
        <v>1038.3844736686544</v>
      </c>
      <c r="AE187" s="77">
        <f ca="1">((SUBSIDIO!$L$187*SUBSIDIO!$Z$187)+(SUBSIDIO!$N$187*SUBSIDIO!$AA$187))*(0.04)/(1-0.04)</f>
        <v>3017.5800272890533</v>
      </c>
      <c r="AF187" s="4" t="s">
        <v>844</v>
      </c>
    </row>
    <row r="188" spans="1:32" ht="11.25" customHeight="1" x14ac:dyDescent="0.25">
      <c r="A188" s="4" t="s">
        <v>21</v>
      </c>
      <c r="B188" s="4" t="s">
        <v>35</v>
      </c>
      <c r="C188" s="4" t="s">
        <v>44</v>
      </c>
      <c r="D188" s="4" t="s">
        <v>47</v>
      </c>
      <c r="E188" s="4" t="s">
        <v>25</v>
      </c>
      <c r="F188" s="4" t="s">
        <v>25</v>
      </c>
      <c r="G188" s="4" t="s">
        <v>25</v>
      </c>
      <c r="H188" s="4" t="s">
        <v>38</v>
      </c>
      <c r="I188" s="5">
        <v>44409</v>
      </c>
      <c r="J188" s="6">
        <v>190</v>
      </c>
      <c r="K188" s="77">
        <v>190</v>
      </c>
      <c r="L188" s="6">
        <v>43.35</v>
      </c>
      <c r="M188" s="77">
        <v>43.35</v>
      </c>
      <c r="N188" s="6">
        <v>43.35</v>
      </c>
      <c r="O188" s="77">
        <v>43.35</v>
      </c>
      <c r="P188" s="6">
        <v>0</v>
      </c>
      <c r="Q188" s="4" t="s">
        <v>26</v>
      </c>
      <c r="R188" s="4">
        <v>0</v>
      </c>
      <c r="S188" s="4">
        <v>29</v>
      </c>
      <c r="T188" s="4">
        <v>30</v>
      </c>
      <c r="U188" s="4">
        <v>67</v>
      </c>
      <c r="V188" s="77">
        <f>IF(ISERROR(VLOOKUP($S$188,'TAR FIN'!$A$1:$O$95,15,0)),0,VLOOKUP($S$188,'TAR FIN'!$A$1:$O$95,15,0))*(1-0.06)</f>
        <v>26.855799999999999</v>
      </c>
      <c r="W188" s="77">
        <f>IF(ISERROR(VLOOKUP($T$188,'TAR FIN'!$A$1:$O$95,15,0)),0,VLOOKUP($T$188,'TAR FIN'!$A$1:$O$95,15,0))*(1-0.06)</f>
        <v>140.65219999999999</v>
      </c>
      <c r="X188" s="77">
        <f>IF(ISERROR(VLOOKUP($U$188,'TAR FIN'!$A$1:$O$95,15,0)),0,VLOOKUP($U$188,'TAR FIN'!$A$1:$O$95,15,0))*(1-0.06)</f>
        <v>216.22819999999999</v>
      </c>
      <c r="Y188" s="77">
        <f ca="1">('TUSD BE'!$AM$11+'TUSD BF'!$AM$11+'TUSD CVA'!$AM$11)*1*(1-0.04)</f>
        <v>30.653416196860647</v>
      </c>
      <c r="Z188" s="77">
        <f ca="1">('TUSD BE'!$AM$12+'TUSD BF'!$AM$12+'TUSD CVA'!$AM$12)*1*(1-0.04)</f>
        <v>161.7728460762047</v>
      </c>
      <c r="AA188" s="77">
        <f>('TE BE'!$AA$8+'TE BF'!$AA$8+'TE CVA'!$AA$8)*1*(1-0.04)</f>
        <v>271.60070372834122</v>
      </c>
      <c r="AB188" s="77">
        <f>(SUBSIDIO!$J$188*SUBSIDIO!$V$188)*(0.06)/(1-0.06)</f>
        <v>325.69799999999998</v>
      </c>
      <c r="AC188" s="77">
        <f>((SUBSIDIO!$L$188*SUBSIDIO!$W$188)+(SUBSIDIO!$N$188*SUBSIDIO!$X$188))*(0.06)/(1-0.06)</f>
        <v>987.49565999999982</v>
      </c>
      <c r="AD188" s="77">
        <f ca="1">(SUBSIDIO!$J$188*SUBSIDIO!$Y$188)*(0.04)/(1-0.04)</f>
        <v>242.6728782251468</v>
      </c>
      <c r="AE188" s="77">
        <f ca="1">((SUBSIDIO!$L$188*SUBSIDIO!$Z$188)+(SUBSIDIO!$N$188*SUBSIDIO!$AA$188))*(0.04)/(1-0.04)</f>
        <v>782.78097433446123</v>
      </c>
      <c r="AF188" s="4" t="s">
        <v>844</v>
      </c>
    </row>
    <row r="189" spans="1:32" ht="11.25" customHeight="1" x14ac:dyDescent="0.25">
      <c r="A189" s="4" t="s">
        <v>28</v>
      </c>
      <c r="B189" s="4" t="s">
        <v>35</v>
      </c>
      <c r="C189" s="4" t="s">
        <v>44</v>
      </c>
      <c r="D189" s="4" t="s">
        <v>47</v>
      </c>
      <c r="E189" s="4" t="s">
        <v>25</v>
      </c>
      <c r="F189" s="4" t="s">
        <v>25</v>
      </c>
      <c r="G189" s="4" t="s">
        <v>25</v>
      </c>
      <c r="H189" s="4" t="s">
        <v>38</v>
      </c>
      <c r="I189" s="5">
        <v>44409</v>
      </c>
      <c r="J189" s="6">
        <v>804</v>
      </c>
      <c r="K189" s="77">
        <v>804</v>
      </c>
      <c r="L189" s="6">
        <v>188.06399999999999</v>
      </c>
      <c r="M189" s="77">
        <v>188.06399999999999</v>
      </c>
      <c r="N189" s="6">
        <v>188.06399999999999</v>
      </c>
      <c r="O189" s="77">
        <v>188.06399999999999</v>
      </c>
      <c r="P189" s="6">
        <v>0</v>
      </c>
      <c r="Q189" s="4" t="s">
        <v>26</v>
      </c>
      <c r="R189" s="4">
        <v>0</v>
      </c>
      <c r="S189" s="4">
        <v>29</v>
      </c>
      <c r="T189" s="4">
        <v>30</v>
      </c>
      <c r="U189" s="4">
        <v>67</v>
      </c>
      <c r="V189" s="77">
        <f>IF(ISERROR(VLOOKUP($S$189,'TAR FIN'!$A$1:$O$95,15,0)),0,VLOOKUP($S$189,'TAR FIN'!$A$1:$O$95,15,0))*(1-0.06)</f>
        <v>26.855799999999999</v>
      </c>
      <c r="W189" s="77">
        <f>IF(ISERROR(VLOOKUP($T$189,'TAR FIN'!$A$1:$O$95,15,0)),0,VLOOKUP($T$189,'TAR FIN'!$A$1:$O$95,15,0))*(1-0.06)</f>
        <v>140.65219999999999</v>
      </c>
      <c r="X189" s="77">
        <f>IF(ISERROR(VLOOKUP($U$189,'TAR FIN'!$A$1:$O$95,15,0)),0,VLOOKUP($U$189,'TAR FIN'!$A$1:$O$95,15,0))*(1-0.06)</f>
        <v>216.22819999999999</v>
      </c>
      <c r="Y189" s="77">
        <f ca="1">('TUSD BE'!$AM$11+'TUSD BF'!$AM$11+'TUSD CVA'!$AM$11)*1*(1-0.04)</f>
        <v>30.653416196860647</v>
      </c>
      <c r="Z189" s="77">
        <f ca="1">('TUSD BE'!$AM$12+'TUSD BF'!$AM$12+'TUSD CVA'!$AM$12)*1*(1-0.04)</f>
        <v>161.7728460762047</v>
      </c>
      <c r="AA189" s="77">
        <f>('TE BE'!$AA$8+'TE BF'!$AA$8+'TE CVA'!$AA$8)*1*(1-0.04)</f>
        <v>271.60070372834122</v>
      </c>
      <c r="AB189" s="77">
        <f>(SUBSIDIO!$J$189*SUBSIDIO!$V$189)*(0.06)/(1-0.06)</f>
        <v>1378.2167999999999</v>
      </c>
      <c r="AC189" s="77">
        <f>((SUBSIDIO!$L$189*SUBSIDIO!$W$189)+(SUBSIDIO!$N$189*SUBSIDIO!$X$189))*(0.06)/(1-0.06)</f>
        <v>4284.0226943999996</v>
      </c>
      <c r="AD189" s="77">
        <f ca="1">(SUBSIDIO!$J$189*SUBSIDIO!$Y$189)*(0.04)/(1-0.04)</f>
        <v>1026.8894425948317</v>
      </c>
      <c r="AE189" s="77">
        <f ca="1">((SUBSIDIO!$L$189*SUBSIDIO!$Z$189)+(SUBSIDIO!$N$189*SUBSIDIO!$AA$189))*(0.04)/(1-0.04)</f>
        <v>3395.915136268422</v>
      </c>
      <c r="AF189" s="4" t="s">
        <v>844</v>
      </c>
    </row>
    <row r="190" spans="1:32" ht="11.25" customHeight="1" x14ac:dyDescent="0.25">
      <c r="A190" s="4" t="s">
        <v>21</v>
      </c>
      <c r="B190" s="4" t="s">
        <v>35</v>
      </c>
      <c r="C190" s="4" t="s">
        <v>44</v>
      </c>
      <c r="D190" s="4" t="s">
        <v>47</v>
      </c>
      <c r="E190" s="4" t="s">
        <v>25</v>
      </c>
      <c r="F190" s="4" t="s">
        <v>25</v>
      </c>
      <c r="G190" s="4" t="s">
        <v>25</v>
      </c>
      <c r="H190" s="4" t="s">
        <v>38</v>
      </c>
      <c r="I190" s="5">
        <v>44440</v>
      </c>
      <c r="J190" s="6">
        <v>509</v>
      </c>
      <c r="K190" s="77">
        <v>509</v>
      </c>
      <c r="L190" s="6">
        <v>43.2</v>
      </c>
      <c r="M190" s="77">
        <v>43.2</v>
      </c>
      <c r="N190" s="6">
        <v>43.2</v>
      </c>
      <c r="O190" s="77">
        <v>43.2</v>
      </c>
      <c r="P190" s="6">
        <v>0</v>
      </c>
      <c r="Q190" s="4" t="s">
        <v>26</v>
      </c>
      <c r="R190" s="4">
        <v>0</v>
      </c>
      <c r="S190" s="4">
        <v>29</v>
      </c>
      <c r="T190" s="4">
        <v>30</v>
      </c>
      <c r="U190" s="4">
        <v>67</v>
      </c>
      <c r="V190" s="77">
        <f>IF(ISERROR(VLOOKUP($S$190,'TAR FIN'!$A$1:$O$95,15,0)),0,VLOOKUP($S$190,'TAR FIN'!$A$1:$O$95,15,0))*(1-0.06)</f>
        <v>26.855799999999999</v>
      </c>
      <c r="W190" s="77">
        <f>IF(ISERROR(VLOOKUP($T$190,'TAR FIN'!$A$1:$O$95,15,0)),0,VLOOKUP($T$190,'TAR FIN'!$A$1:$O$95,15,0))*(1-0.06)</f>
        <v>140.65219999999999</v>
      </c>
      <c r="X190" s="77">
        <f>IF(ISERROR(VLOOKUP($U$190,'TAR FIN'!$A$1:$O$95,15,0)),0,VLOOKUP($U$190,'TAR FIN'!$A$1:$O$95,15,0))*(1-0.06)</f>
        <v>216.22819999999999</v>
      </c>
      <c r="Y190" s="77">
        <f ca="1">('TUSD BE'!$AM$11+'TUSD BF'!$AM$11+'TUSD CVA'!$AM$11)*1*(1-0.04)</f>
        <v>30.653416196860647</v>
      </c>
      <c r="Z190" s="77">
        <f ca="1">('TUSD BE'!$AM$12+'TUSD BF'!$AM$12+'TUSD CVA'!$AM$12)*1*(1-0.04)</f>
        <v>161.7728460762047</v>
      </c>
      <c r="AA190" s="77">
        <f>('TE BE'!$AA$8+'TE BF'!$AA$8+'TE CVA'!$AA$8)*1*(1-0.04)</f>
        <v>271.60070372834122</v>
      </c>
      <c r="AB190" s="77">
        <f>(SUBSIDIO!$J$190*SUBSIDIO!$V$190)*(0.06)/(1-0.06)</f>
        <v>872.52779999999996</v>
      </c>
      <c r="AC190" s="77">
        <f>((SUBSIDIO!$L$190*SUBSIDIO!$W$190)+(SUBSIDIO!$N$190*SUBSIDIO!$X$190))*(0.06)/(1-0.06)</f>
        <v>984.07871999999998</v>
      </c>
      <c r="AD190" s="77">
        <f ca="1">(SUBSIDIO!$J$190*SUBSIDIO!$Y$190)*(0.04)/(1-0.04)</f>
        <v>650.10786850841953</v>
      </c>
      <c r="AE190" s="77">
        <f ca="1">((SUBSIDIO!$L$190*SUBSIDIO!$Z$190)+(SUBSIDIO!$N$190*SUBSIDIO!$AA$190))*(0.04)/(1-0.04)</f>
        <v>780.07238964818271</v>
      </c>
      <c r="AF190" s="4" t="s">
        <v>844</v>
      </c>
    </row>
    <row r="191" spans="1:32" ht="11.25" customHeight="1" x14ac:dyDescent="0.25">
      <c r="A191" s="4" t="s">
        <v>28</v>
      </c>
      <c r="B191" s="4" t="s">
        <v>35</v>
      </c>
      <c r="C191" s="4" t="s">
        <v>44</v>
      </c>
      <c r="D191" s="4" t="s">
        <v>47</v>
      </c>
      <c r="E191" s="4" t="s">
        <v>25</v>
      </c>
      <c r="F191" s="4" t="s">
        <v>25</v>
      </c>
      <c r="G191" s="4" t="s">
        <v>25</v>
      </c>
      <c r="H191" s="4" t="s">
        <v>38</v>
      </c>
      <c r="I191" s="5">
        <v>44440</v>
      </c>
      <c r="J191" s="6">
        <v>791</v>
      </c>
      <c r="K191" s="77">
        <v>791</v>
      </c>
      <c r="L191" s="6">
        <v>146.88</v>
      </c>
      <c r="M191" s="77">
        <v>146.88</v>
      </c>
      <c r="N191" s="6">
        <v>146.88</v>
      </c>
      <c r="O191" s="77">
        <v>146.88</v>
      </c>
      <c r="P191" s="6">
        <v>0</v>
      </c>
      <c r="Q191" s="4" t="s">
        <v>26</v>
      </c>
      <c r="R191" s="4">
        <v>0</v>
      </c>
      <c r="S191" s="4">
        <v>29</v>
      </c>
      <c r="T191" s="4">
        <v>30</v>
      </c>
      <c r="U191" s="4">
        <v>67</v>
      </c>
      <c r="V191" s="77">
        <f>IF(ISERROR(VLOOKUP($S$191,'TAR FIN'!$A$1:$O$95,15,0)),0,VLOOKUP($S$191,'TAR FIN'!$A$1:$O$95,15,0))*(1-0.06)</f>
        <v>26.855799999999999</v>
      </c>
      <c r="W191" s="77">
        <f>IF(ISERROR(VLOOKUP($T$191,'TAR FIN'!$A$1:$O$95,15,0)),0,VLOOKUP($T$191,'TAR FIN'!$A$1:$O$95,15,0))*(1-0.06)</f>
        <v>140.65219999999999</v>
      </c>
      <c r="X191" s="77">
        <f>IF(ISERROR(VLOOKUP($U$191,'TAR FIN'!$A$1:$O$95,15,0)),0,VLOOKUP($U$191,'TAR FIN'!$A$1:$O$95,15,0))*(1-0.06)</f>
        <v>216.22819999999999</v>
      </c>
      <c r="Y191" s="77">
        <f ca="1">('TUSD BE'!$AM$11+'TUSD BF'!$AM$11+'TUSD CVA'!$AM$11)*1*(1-0.04)</f>
        <v>30.653416196860647</v>
      </c>
      <c r="Z191" s="77">
        <f ca="1">('TUSD BE'!$AM$12+'TUSD BF'!$AM$12+'TUSD CVA'!$AM$12)*1*(1-0.04)</f>
        <v>161.7728460762047</v>
      </c>
      <c r="AA191" s="77">
        <f>('TE BE'!$AA$8+'TE BF'!$AA$8+'TE CVA'!$AA$8)*1*(1-0.04)</f>
        <v>271.60070372834122</v>
      </c>
      <c r="AB191" s="77">
        <f>(SUBSIDIO!$J$191*SUBSIDIO!$V$191)*(0.06)/(1-0.06)</f>
        <v>1355.9322000000002</v>
      </c>
      <c r="AC191" s="77">
        <f>((SUBSIDIO!$L$191*SUBSIDIO!$W$191)+(SUBSIDIO!$N$191*SUBSIDIO!$X$191))*(0.06)/(1-0.06)</f>
        <v>3345.8676479999999</v>
      </c>
      <c r="AD191" s="77">
        <f ca="1">(SUBSIDIO!$J$191*SUBSIDIO!$Y$191)*(0.04)/(1-0.04)</f>
        <v>1010.2855088215322</v>
      </c>
      <c r="AE191" s="77">
        <f ca="1">((SUBSIDIO!$L$191*SUBSIDIO!$Z$191)+(SUBSIDIO!$N$191*SUBSIDIO!$AA$191))*(0.04)/(1-0.04)</f>
        <v>2652.2461248038212</v>
      </c>
      <c r="AF191" s="4" t="s">
        <v>844</v>
      </c>
    </row>
    <row r="192" spans="1:32" ht="11.25" customHeight="1" x14ac:dyDescent="0.25">
      <c r="A192" s="4" t="s">
        <v>59</v>
      </c>
      <c r="B192" s="4" t="s">
        <v>35</v>
      </c>
      <c r="C192" s="4" t="s">
        <v>44</v>
      </c>
      <c r="D192" s="4" t="s">
        <v>47</v>
      </c>
      <c r="E192" s="4" t="s">
        <v>25</v>
      </c>
      <c r="F192" s="4" t="s">
        <v>25</v>
      </c>
      <c r="G192" s="4" t="s">
        <v>25</v>
      </c>
      <c r="H192" s="4" t="s">
        <v>38</v>
      </c>
      <c r="I192" s="5">
        <v>44470</v>
      </c>
      <c r="J192" s="6">
        <v>509</v>
      </c>
      <c r="K192" s="77">
        <v>509</v>
      </c>
      <c r="L192" s="6">
        <v>43.2</v>
      </c>
      <c r="M192" s="77">
        <v>43.2</v>
      </c>
      <c r="N192" s="6">
        <v>43.2</v>
      </c>
      <c r="O192" s="77">
        <v>43.2</v>
      </c>
      <c r="P192" s="6">
        <v>0</v>
      </c>
      <c r="Q192" s="4" t="s">
        <v>26</v>
      </c>
      <c r="R192" s="4">
        <v>0</v>
      </c>
      <c r="S192" s="4">
        <v>29</v>
      </c>
      <c r="T192" s="4">
        <v>30</v>
      </c>
      <c r="U192" s="4">
        <v>67</v>
      </c>
      <c r="V192" s="77">
        <f>IF(ISERROR(VLOOKUP($S$192,'TAR FIN'!$A$1:$O$95,15,0)),0,VLOOKUP($S$192,'TAR FIN'!$A$1:$O$95,15,0))*(1-0.06)</f>
        <v>26.855799999999999</v>
      </c>
      <c r="W192" s="77">
        <f>IF(ISERROR(VLOOKUP($T$192,'TAR FIN'!$A$1:$O$95,15,0)),0,VLOOKUP($T$192,'TAR FIN'!$A$1:$O$95,15,0))*(1-0.06)</f>
        <v>140.65219999999999</v>
      </c>
      <c r="X192" s="77">
        <f>IF(ISERROR(VLOOKUP($U$192,'TAR FIN'!$A$1:$O$95,15,0)),0,VLOOKUP($U$192,'TAR FIN'!$A$1:$O$95,15,0))*(1-0.06)</f>
        <v>216.22819999999999</v>
      </c>
      <c r="Y192" s="77">
        <f ca="1">('TUSD BE'!$AM$11+'TUSD BF'!$AM$11+'TUSD CVA'!$AM$11)*1*(1-0.04)</f>
        <v>30.653416196860647</v>
      </c>
      <c r="Z192" s="77">
        <f ca="1">('TUSD BE'!$AM$12+'TUSD BF'!$AM$12+'TUSD CVA'!$AM$12)*1*(1-0.04)</f>
        <v>161.7728460762047</v>
      </c>
      <c r="AA192" s="77">
        <f>('TE BE'!$AA$8+'TE BF'!$AA$8+'TE CVA'!$AA$8)*1*(1-0.04)</f>
        <v>271.60070372834122</v>
      </c>
      <c r="AB192" s="77">
        <f>(SUBSIDIO!$J$192*SUBSIDIO!$V$192)*(0.06)/(1-0.06)</f>
        <v>872.52779999999996</v>
      </c>
      <c r="AC192" s="77">
        <f>((SUBSIDIO!$L$192*SUBSIDIO!$W$192)+(SUBSIDIO!$N$192*SUBSIDIO!$X$192))*(0.06)/(1-0.06)</f>
        <v>984.07871999999998</v>
      </c>
      <c r="AD192" s="77">
        <f ca="1">(SUBSIDIO!$J$192*SUBSIDIO!$Y$192)*(0.04)/(1-0.04)</f>
        <v>650.10786850841953</v>
      </c>
      <c r="AE192" s="77">
        <f ca="1">((SUBSIDIO!$L$192*SUBSIDIO!$Z$192)+(SUBSIDIO!$N$192*SUBSIDIO!$AA$192))*(0.04)/(1-0.04)</f>
        <v>780.07238964818271</v>
      </c>
      <c r="AF192" s="4" t="s">
        <v>844</v>
      </c>
    </row>
    <row r="193" spans="1:32" ht="11.25" customHeight="1" x14ac:dyDescent="0.25">
      <c r="A193" s="4" t="s">
        <v>59</v>
      </c>
      <c r="B193" s="4" t="s">
        <v>35</v>
      </c>
      <c r="C193" s="4" t="s">
        <v>44</v>
      </c>
      <c r="D193" s="4" t="s">
        <v>47</v>
      </c>
      <c r="E193" s="4" t="s">
        <v>25</v>
      </c>
      <c r="F193" s="4" t="s">
        <v>25</v>
      </c>
      <c r="G193" s="4" t="s">
        <v>25</v>
      </c>
      <c r="H193" s="4" t="s">
        <v>38</v>
      </c>
      <c r="I193" s="5">
        <v>44470</v>
      </c>
      <c r="J193" s="6">
        <v>791</v>
      </c>
      <c r="K193" s="77">
        <v>791</v>
      </c>
      <c r="L193" s="6">
        <v>146.88</v>
      </c>
      <c r="M193" s="77">
        <v>146.88</v>
      </c>
      <c r="N193" s="6">
        <v>146.88</v>
      </c>
      <c r="O193" s="77">
        <v>146.88</v>
      </c>
      <c r="P193" s="6">
        <v>0</v>
      </c>
      <c r="Q193" s="4" t="s">
        <v>26</v>
      </c>
      <c r="R193" s="4">
        <v>0</v>
      </c>
      <c r="S193" s="4">
        <v>29</v>
      </c>
      <c r="T193" s="4">
        <v>30</v>
      </c>
      <c r="U193" s="4">
        <v>67</v>
      </c>
      <c r="V193" s="77">
        <f>IF(ISERROR(VLOOKUP($S$193,'TAR FIN'!$A$1:$O$95,15,0)),0,VLOOKUP($S$193,'TAR FIN'!$A$1:$O$95,15,0))*(1-0.06)</f>
        <v>26.855799999999999</v>
      </c>
      <c r="W193" s="77">
        <f>IF(ISERROR(VLOOKUP($T$193,'TAR FIN'!$A$1:$O$95,15,0)),0,VLOOKUP($T$193,'TAR FIN'!$A$1:$O$95,15,0))*(1-0.06)</f>
        <v>140.65219999999999</v>
      </c>
      <c r="X193" s="77">
        <f>IF(ISERROR(VLOOKUP($U$193,'TAR FIN'!$A$1:$O$95,15,0)),0,VLOOKUP($U$193,'TAR FIN'!$A$1:$O$95,15,0))*(1-0.06)</f>
        <v>216.22819999999999</v>
      </c>
      <c r="Y193" s="77">
        <f ca="1">('TUSD BE'!$AM$11+'TUSD BF'!$AM$11+'TUSD CVA'!$AM$11)*1*(1-0.04)</f>
        <v>30.653416196860647</v>
      </c>
      <c r="Z193" s="77">
        <f ca="1">('TUSD BE'!$AM$12+'TUSD BF'!$AM$12+'TUSD CVA'!$AM$12)*1*(1-0.04)</f>
        <v>161.7728460762047</v>
      </c>
      <c r="AA193" s="77">
        <f>('TE BE'!$AA$8+'TE BF'!$AA$8+'TE CVA'!$AA$8)*1*(1-0.04)</f>
        <v>271.60070372834122</v>
      </c>
      <c r="AB193" s="77">
        <f>(SUBSIDIO!$J$193*SUBSIDIO!$V$193)*(0.06)/(1-0.06)</f>
        <v>1355.9322000000002</v>
      </c>
      <c r="AC193" s="77">
        <f>((SUBSIDIO!$L$193*SUBSIDIO!$W$193)+(SUBSIDIO!$N$193*SUBSIDIO!$X$193))*(0.06)/(1-0.06)</f>
        <v>3345.8676479999999</v>
      </c>
      <c r="AD193" s="77">
        <f ca="1">(SUBSIDIO!$J$193*SUBSIDIO!$Y$193)*(0.04)/(1-0.04)</f>
        <v>1010.2855088215322</v>
      </c>
      <c r="AE193" s="77">
        <f ca="1">((SUBSIDIO!$L$193*SUBSIDIO!$Z$193)+(SUBSIDIO!$N$193*SUBSIDIO!$AA$193))*(0.04)/(1-0.04)</f>
        <v>2652.2461248038212</v>
      </c>
      <c r="AF193" s="4" t="s">
        <v>844</v>
      </c>
    </row>
    <row r="194" spans="1:32" ht="11.25" customHeight="1" x14ac:dyDescent="0.25">
      <c r="A194" s="4" t="s">
        <v>21</v>
      </c>
      <c r="B194" s="4" t="s">
        <v>35</v>
      </c>
      <c r="C194" s="4" t="s">
        <v>44</v>
      </c>
      <c r="D194" s="4" t="s">
        <v>47</v>
      </c>
      <c r="E194" s="4" t="s">
        <v>25</v>
      </c>
      <c r="F194" s="4" t="s">
        <v>25</v>
      </c>
      <c r="G194" s="4" t="s">
        <v>25</v>
      </c>
      <c r="H194" s="4" t="s">
        <v>37</v>
      </c>
      <c r="I194" s="5">
        <v>44136</v>
      </c>
      <c r="J194" s="6">
        <v>107</v>
      </c>
      <c r="K194" s="77">
        <v>107</v>
      </c>
      <c r="L194" s="6">
        <v>3.6070000000000002</v>
      </c>
      <c r="M194" s="77">
        <v>3.6070000000000002</v>
      </c>
      <c r="N194" s="6">
        <v>3.6070000000000002</v>
      </c>
      <c r="O194" s="77">
        <v>3.6070000000000002</v>
      </c>
      <c r="P194" s="6">
        <v>0</v>
      </c>
      <c r="Q194" s="4" t="s">
        <v>26</v>
      </c>
      <c r="R194" s="4">
        <v>0</v>
      </c>
      <c r="S194" s="4">
        <v>28</v>
      </c>
      <c r="T194" s="4">
        <v>30</v>
      </c>
      <c r="U194" s="4">
        <v>66</v>
      </c>
      <c r="V194" s="77">
        <f>IF(ISERROR(VLOOKUP($S$194,'TAR FIN'!$A$1:$O$95,15,0)),0,VLOOKUP($S$194,'TAR FIN'!$A$1:$O$95,15,0))*(1-0.06)</f>
        <v>49.810600000000001</v>
      </c>
      <c r="W194" s="77">
        <f>IF(ISERROR(VLOOKUP($T$194,'TAR FIN'!$A$1:$O$95,15,0)),0,VLOOKUP($T$194,'TAR FIN'!$A$1:$O$95,15,0))*(1-0.06)</f>
        <v>140.65219999999999</v>
      </c>
      <c r="X194" s="77">
        <f>IF(ISERROR(VLOOKUP($U$194,'TAR FIN'!$A$1:$O$95,15,0)),0,VLOOKUP($U$194,'TAR FIN'!$A$1:$O$95,15,0))*(1-0.06)</f>
        <v>365.92319999999995</v>
      </c>
      <c r="Y194" s="77">
        <f ca="1">('TUSD BE'!$AM$10+'TUSD BF'!$AM$10+'TUSD CVA'!$AM$10)*1*(1-0.04)</f>
        <v>56.905297608167956</v>
      </c>
      <c r="Z194" s="77">
        <f ca="1">('TUSD BE'!$AM$12+'TUSD BF'!$AM$12+'TUSD CVA'!$AM$12)*1*(1-0.04)</f>
        <v>161.7728460762047</v>
      </c>
      <c r="AA194" s="77">
        <f>('TE BE'!$AA$7+'TE BF'!$AA$7+'TE CVA'!$AA$7)*1*(1-0.04)</f>
        <v>436.15542521126838</v>
      </c>
      <c r="AB194" s="77">
        <f>(SUBSIDIO!$J$194*SUBSIDIO!$V$194)*(0.06)/(1-0.06)</f>
        <v>340.19580000000002</v>
      </c>
      <c r="AC194" s="77">
        <f>((SUBSIDIO!$L$194*SUBSIDIO!$W$194)+(SUBSIDIO!$N$194*SUBSIDIO!$X$194))*(0.06)/(1-0.06)</f>
        <v>116.63090219999999</v>
      </c>
      <c r="AD194" s="77">
        <f ca="1">(SUBSIDIO!$J$194*SUBSIDIO!$Y$194)*(0.04)/(1-0.04)</f>
        <v>253.70278516974881</v>
      </c>
      <c r="AE194" s="77">
        <f ca="1">((SUBSIDIO!$L$194*SUBSIDIO!$Z$194)+(SUBSIDIO!$N$194*SUBSIDIO!$AA$194))*(0.04)/(1-0.04)</f>
        <v>89.863636438913161</v>
      </c>
      <c r="AF194" s="4" t="s">
        <v>844</v>
      </c>
    </row>
    <row r="195" spans="1:32" ht="11.25" customHeight="1" x14ac:dyDescent="0.25">
      <c r="A195" s="4" t="s">
        <v>28</v>
      </c>
      <c r="B195" s="4" t="s">
        <v>35</v>
      </c>
      <c r="C195" s="4" t="s">
        <v>44</v>
      </c>
      <c r="D195" s="4" t="s">
        <v>47</v>
      </c>
      <c r="E195" s="4" t="s">
        <v>25</v>
      </c>
      <c r="F195" s="4" t="s">
        <v>25</v>
      </c>
      <c r="G195" s="4" t="s">
        <v>25</v>
      </c>
      <c r="H195" s="4" t="s">
        <v>37</v>
      </c>
      <c r="I195" s="5">
        <v>44136</v>
      </c>
      <c r="J195" s="6">
        <v>741</v>
      </c>
      <c r="K195" s="77">
        <v>741</v>
      </c>
      <c r="L195" s="6">
        <v>28.32</v>
      </c>
      <c r="M195" s="77">
        <v>28.32</v>
      </c>
      <c r="N195" s="6">
        <v>28.32</v>
      </c>
      <c r="O195" s="77">
        <v>28.32</v>
      </c>
      <c r="P195" s="6">
        <v>0</v>
      </c>
      <c r="Q195" s="4" t="s">
        <v>26</v>
      </c>
      <c r="R195" s="4">
        <v>0</v>
      </c>
      <c r="S195" s="4">
        <v>28</v>
      </c>
      <c r="T195" s="4">
        <v>30</v>
      </c>
      <c r="U195" s="4">
        <v>66</v>
      </c>
      <c r="V195" s="77">
        <f>IF(ISERROR(VLOOKUP($S$195,'TAR FIN'!$A$1:$O$95,15,0)),0,VLOOKUP($S$195,'TAR FIN'!$A$1:$O$95,15,0))*(1-0.06)</f>
        <v>49.810600000000001</v>
      </c>
      <c r="W195" s="77">
        <f>IF(ISERROR(VLOOKUP($T$195,'TAR FIN'!$A$1:$O$95,15,0)),0,VLOOKUP($T$195,'TAR FIN'!$A$1:$O$95,15,0))*(1-0.06)</f>
        <v>140.65219999999999</v>
      </c>
      <c r="X195" s="77">
        <f>IF(ISERROR(VLOOKUP($U$195,'TAR FIN'!$A$1:$O$95,15,0)),0,VLOOKUP($U$195,'TAR FIN'!$A$1:$O$95,15,0))*(1-0.06)</f>
        <v>365.92319999999995</v>
      </c>
      <c r="Y195" s="77">
        <f ca="1">('TUSD BE'!$AM$10+'TUSD BF'!$AM$10+'TUSD CVA'!$AM$10)*1*(1-0.04)</f>
        <v>56.905297608167956</v>
      </c>
      <c r="Z195" s="77">
        <f ca="1">('TUSD BE'!$AM$12+'TUSD BF'!$AM$12+'TUSD CVA'!$AM$12)*1*(1-0.04)</f>
        <v>161.7728460762047</v>
      </c>
      <c r="AA195" s="77">
        <f>('TE BE'!$AA$7+'TE BF'!$AA$7+'TE CVA'!$AA$7)*1*(1-0.04)</f>
        <v>436.15542521126838</v>
      </c>
      <c r="AB195" s="77">
        <f>(SUBSIDIO!$J$195*SUBSIDIO!$V$195)*(0.06)/(1-0.06)</f>
        <v>2355.9353999999998</v>
      </c>
      <c r="AC195" s="77">
        <f>((SUBSIDIO!$L$195*SUBSIDIO!$W$195)+(SUBSIDIO!$N$195*SUBSIDIO!$X$195))*(0.06)/(1-0.06)</f>
        <v>915.71587199999988</v>
      </c>
      <c r="AD195" s="77">
        <f ca="1">(SUBSIDIO!$J$195*SUBSIDIO!$Y$195)*(0.04)/(1-0.04)</f>
        <v>1756.9510636521859</v>
      </c>
      <c r="AE195" s="77">
        <f ca="1">((SUBSIDIO!$L$195*SUBSIDIO!$Z$195)+(SUBSIDIO!$N$195*SUBSIDIO!$AA$195))*(0.04)/(1-0.04)</f>
        <v>705.55536011921834</v>
      </c>
      <c r="AF195" s="4" t="s">
        <v>844</v>
      </c>
    </row>
    <row r="196" spans="1:32" ht="11.25" customHeight="1" x14ac:dyDescent="0.25">
      <c r="A196" s="4" t="s">
        <v>21</v>
      </c>
      <c r="B196" s="4" t="s">
        <v>35</v>
      </c>
      <c r="C196" s="4" t="s">
        <v>44</v>
      </c>
      <c r="D196" s="4" t="s">
        <v>47</v>
      </c>
      <c r="E196" s="4" t="s">
        <v>25</v>
      </c>
      <c r="F196" s="4" t="s">
        <v>25</v>
      </c>
      <c r="G196" s="4" t="s">
        <v>25</v>
      </c>
      <c r="H196" s="4" t="s">
        <v>37</v>
      </c>
      <c r="I196" s="5">
        <v>44166</v>
      </c>
      <c r="J196" s="6">
        <v>103</v>
      </c>
      <c r="K196" s="77">
        <v>103</v>
      </c>
      <c r="L196" s="6">
        <v>3.8490000000000002</v>
      </c>
      <c r="M196" s="77">
        <v>3.8490000000000002</v>
      </c>
      <c r="N196" s="6">
        <v>3.8490000000000002</v>
      </c>
      <c r="O196" s="77">
        <v>3.8490000000000002</v>
      </c>
      <c r="P196" s="6">
        <v>0</v>
      </c>
      <c r="Q196" s="4" t="s">
        <v>26</v>
      </c>
      <c r="R196" s="4">
        <v>0</v>
      </c>
      <c r="S196" s="4">
        <v>28</v>
      </c>
      <c r="T196" s="4">
        <v>30</v>
      </c>
      <c r="U196" s="4">
        <v>66</v>
      </c>
      <c r="V196" s="77">
        <f>IF(ISERROR(VLOOKUP($S$196,'TAR FIN'!$A$1:$O$95,15,0)),0,VLOOKUP($S$196,'TAR FIN'!$A$1:$O$95,15,0))*(1-0.06)</f>
        <v>49.810600000000001</v>
      </c>
      <c r="W196" s="77">
        <f>IF(ISERROR(VLOOKUP($T$196,'TAR FIN'!$A$1:$O$95,15,0)),0,VLOOKUP($T$196,'TAR FIN'!$A$1:$O$95,15,0))*(1-0.06)</f>
        <v>140.65219999999999</v>
      </c>
      <c r="X196" s="77">
        <f>IF(ISERROR(VLOOKUP($U$196,'TAR FIN'!$A$1:$O$95,15,0)),0,VLOOKUP($U$196,'TAR FIN'!$A$1:$O$95,15,0))*(1-0.06)</f>
        <v>365.92319999999995</v>
      </c>
      <c r="Y196" s="77">
        <f ca="1">('TUSD BE'!$AM$10+'TUSD BF'!$AM$10+'TUSD CVA'!$AM$10)*1*(1-0.04)</f>
        <v>56.905297608167956</v>
      </c>
      <c r="Z196" s="77">
        <f ca="1">('TUSD BE'!$AM$12+'TUSD BF'!$AM$12+'TUSD CVA'!$AM$12)*1*(1-0.04)</f>
        <v>161.7728460762047</v>
      </c>
      <c r="AA196" s="77">
        <f>('TE BE'!$AA$7+'TE BF'!$AA$7+'TE CVA'!$AA$7)*1*(1-0.04)</f>
        <v>436.15542521126838</v>
      </c>
      <c r="AB196" s="77">
        <f>(SUBSIDIO!$J$196*SUBSIDIO!$V$196)*(0.06)/(1-0.06)</f>
        <v>327.47820000000002</v>
      </c>
      <c r="AC196" s="77">
        <f>((SUBSIDIO!$L$196*SUBSIDIO!$W$196)+(SUBSIDIO!$N$196*SUBSIDIO!$X$196))*(0.06)/(1-0.06)</f>
        <v>124.4558754</v>
      </c>
      <c r="AD196" s="77">
        <f ca="1">(SUBSIDIO!$J$196*SUBSIDIO!$Y$196)*(0.04)/(1-0.04)</f>
        <v>244.2185689017208</v>
      </c>
      <c r="AE196" s="77">
        <f ca="1">((SUBSIDIO!$L$196*SUBSIDIO!$Z$196)+(SUBSIDIO!$N$196*SUBSIDIO!$AA$196))*(0.04)/(1-0.04)</f>
        <v>95.892746507728518</v>
      </c>
      <c r="AF196" s="4" t="s">
        <v>844</v>
      </c>
    </row>
    <row r="197" spans="1:32" ht="11.25" customHeight="1" x14ac:dyDescent="0.25">
      <c r="A197" s="4" t="s">
        <v>28</v>
      </c>
      <c r="B197" s="4" t="s">
        <v>35</v>
      </c>
      <c r="C197" s="4" t="s">
        <v>44</v>
      </c>
      <c r="D197" s="4" t="s">
        <v>47</v>
      </c>
      <c r="E197" s="4" t="s">
        <v>25</v>
      </c>
      <c r="F197" s="4" t="s">
        <v>25</v>
      </c>
      <c r="G197" s="4" t="s">
        <v>25</v>
      </c>
      <c r="H197" s="4" t="s">
        <v>37</v>
      </c>
      <c r="I197" s="5">
        <v>44166</v>
      </c>
      <c r="J197" s="6">
        <v>703</v>
      </c>
      <c r="K197" s="77">
        <v>703</v>
      </c>
      <c r="L197" s="6">
        <v>21.36</v>
      </c>
      <c r="M197" s="77">
        <v>21.36</v>
      </c>
      <c r="N197" s="6">
        <v>21.36</v>
      </c>
      <c r="O197" s="77">
        <v>21.36</v>
      </c>
      <c r="P197" s="6">
        <v>0</v>
      </c>
      <c r="Q197" s="4" t="s">
        <v>26</v>
      </c>
      <c r="R197" s="4">
        <v>0</v>
      </c>
      <c r="S197" s="4">
        <v>28</v>
      </c>
      <c r="T197" s="4">
        <v>30</v>
      </c>
      <c r="U197" s="4">
        <v>66</v>
      </c>
      <c r="V197" s="77">
        <f>IF(ISERROR(VLOOKUP($S$197,'TAR FIN'!$A$1:$O$95,15,0)),0,VLOOKUP($S$197,'TAR FIN'!$A$1:$O$95,15,0))*(1-0.06)</f>
        <v>49.810600000000001</v>
      </c>
      <c r="W197" s="77">
        <f>IF(ISERROR(VLOOKUP($T$197,'TAR FIN'!$A$1:$O$95,15,0)),0,VLOOKUP($T$197,'TAR FIN'!$A$1:$O$95,15,0))*(1-0.06)</f>
        <v>140.65219999999999</v>
      </c>
      <c r="X197" s="77">
        <f>IF(ISERROR(VLOOKUP($U$197,'TAR FIN'!$A$1:$O$95,15,0)),0,VLOOKUP($U$197,'TAR FIN'!$A$1:$O$95,15,0))*(1-0.06)</f>
        <v>365.92319999999995</v>
      </c>
      <c r="Y197" s="77">
        <f ca="1">('TUSD BE'!$AM$10+'TUSD BF'!$AM$10+'TUSD CVA'!$AM$10)*1*(1-0.04)</f>
        <v>56.905297608167956</v>
      </c>
      <c r="Z197" s="77">
        <f ca="1">('TUSD BE'!$AM$12+'TUSD BF'!$AM$12+'TUSD CVA'!$AM$12)*1*(1-0.04)</f>
        <v>161.7728460762047</v>
      </c>
      <c r="AA197" s="77">
        <f>('TE BE'!$AA$7+'TE BF'!$AA$7+'TE CVA'!$AA$7)*1*(1-0.04)</f>
        <v>436.15542521126838</v>
      </c>
      <c r="AB197" s="77">
        <f>(SUBSIDIO!$J$197*SUBSIDIO!$V$197)*(0.06)/(1-0.06)</f>
        <v>2235.1182000000003</v>
      </c>
      <c r="AC197" s="77">
        <f>((SUBSIDIO!$L$197*SUBSIDIO!$W$197)+(SUBSIDIO!$N$197*SUBSIDIO!$X$197))*(0.06)/(1-0.06)</f>
        <v>690.667056</v>
      </c>
      <c r="AD197" s="77">
        <f ca="1">(SUBSIDIO!$J$197*SUBSIDIO!$Y$197)*(0.04)/(1-0.04)</f>
        <v>1666.8510091059197</v>
      </c>
      <c r="AE197" s="77">
        <f ca="1">((SUBSIDIO!$L$197*SUBSIDIO!$Z$197)+(SUBSIDIO!$N$197*SUBSIDIO!$AA$197))*(0.04)/(1-0.04)</f>
        <v>532.15616144585101</v>
      </c>
      <c r="AF197" s="4" t="s">
        <v>844</v>
      </c>
    </row>
    <row r="198" spans="1:32" ht="11.25" customHeight="1" x14ac:dyDescent="0.25">
      <c r="A198" s="4" t="s">
        <v>21</v>
      </c>
      <c r="B198" s="4" t="s">
        <v>35</v>
      </c>
      <c r="C198" s="4" t="s">
        <v>44</v>
      </c>
      <c r="D198" s="4" t="s">
        <v>47</v>
      </c>
      <c r="E198" s="4" t="s">
        <v>25</v>
      </c>
      <c r="F198" s="4" t="s">
        <v>25</v>
      </c>
      <c r="G198" s="4" t="s">
        <v>25</v>
      </c>
      <c r="H198" s="4" t="s">
        <v>37</v>
      </c>
      <c r="I198" s="5">
        <v>44197</v>
      </c>
      <c r="J198" s="6">
        <v>111</v>
      </c>
      <c r="K198" s="77">
        <v>111</v>
      </c>
      <c r="L198" s="6">
        <v>3.835</v>
      </c>
      <c r="M198" s="77">
        <v>3.835</v>
      </c>
      <c r="N198" s="6">
        <v>3.835</v>
      </c>
      <c r="O198" s="77">
        <v>3.835</v>
      </c>
      <c r="P198" s="6">
        <v>0</v>
      </c>
      <c r="Q198" s="4" t="s">
        <v>26</v>
      </c>
      <c r="R198" s="4">
        <v>0</v>
      </c>
      <c r="S198" s="4">
        <v>28</v>
      </c>
      <c r="T198" s="4">
        <v>30</v>
      </c>
      <c r="U198" s="4">
        <v>66</v>
      </c>
      <c r="V198" s="77">
        <f>IF(ISERROR(VLOOKUP($S$198,'TAR FIN'!$A$1:$O$95,15,0)),0,VLOOKUP($S$198,'TAR FIN'!$A$1:$O$95,15,0))*(1-0.06)</f>
        <v>49.810600000000001</v>
      </c>
      <c r="W198" s="77">
        <f>IF(ISERROR(VLOOKUP($T$198,'TAR FIN'!$A$1:$O$95,15,0)),0,VLOOKUP($T$198,'TAR FIN'!$A$1:$O$95,15,0))*(1-0.06)</f>
        <v>140.65219999999999</v>
      </c>
      <c r="X198" s="77">
        <f>IF(ISERROR(VLOOKUP($U$198,'TAR FIN'!$A$1:$O$95,15,0)),0,VLOOKUP($U$198,'TAR FIN'!$A$1:$O$95,15,0))*(1-0.06)</f>
        <v>365.92319999999995</v>
      </c>
      <c r="Y198" s="77">
        <f ca="1">('TUSD BE'!$AM$10+'TUSD BF'!$AM$10+'TUSD CVA'!$AM$10)*1*(1-0.04)</f>
        <v>56.905297608167956</v>
      </c>
      <c r="Z198" s="77">
        <f ca="1">('TUSD BE'!$AM$12+'TUSD BF'!$AM$12+'TUSD CVA'!$AM$12)*1*(1-0.04)</f>
        <v>161.7728460762047</v>
      </c>
      <c r="AA198" s="77">
        <f>('TE BE'!$AA$7+'TE BF'!$AA$7+'TE CVA'!$AA$7)*1*(1-0.04)</f>
        <v>436.15542521126838</v>
      </c>
      <c r="AB198" s="77">
        <f>(SUBSIDIO!$J$198*SUBSIDIO!$V$198)*(0.06)/(1-0.06)</f>
        <v>352.91339999999997</v>
      </c>
      <c r="AC198" s="77">
        <f>((SUBSIDIO!$L$198*SUBSIDIO!$W$198)+(SUBSIDIO!$N$198*SUBSIDIO!$X$198))*(0.06)/(1-0.06)</f>
        <v>124.00319099999999</v>
      </c>
      <c r="AD198" s="77">
        <f ca="1">(SUBSIDIO!$J$198*SUBSIDIO!$Y$198)*(0.04)/(1-0.04)</f>
        <v>263.18700143777681</v>
      </c>
      <c r="AE198" s="77">
        <f ca="1">((SUBSIDIO!$L$198*SUBSIDIO!$Z$198)+(SUBSIDIO!$N$198*SUBSIDIO!$AA$198))*(0.04)/(1-0.04)</f>
        <v>95.543955016144153</v>
      </c>
      <c r="AF198" s="4" t="s">
        <v>844</v>
      </c>
    </row>
    <row r="199" spans="1:32" ht="11.25" customHeight="1" x14ac:dyDescent="0.25">
      <c r="A199" s="4" t="s">
        <v>28</v>
      </c>
      <c r="B199" s="4" t="s">
        <v>35</v>
      </c>
      <c r="C199" s="4" t="s">
        <v>44</v>
      </c>
      <c r="D199" s="4" t="s">
        <v>47</v>
      </c>
      <c r="E199" s="4" t="s">
        <v>25</v>
      </c>
      <c r="F199" s="4" t="s">
        <v>25</v>
      </c>
      <c r="G199" s="4" t="s">
        <v>25</v>
      </c>
      <c r="H199" s="4" t="s">
        <v>37</v>
      </c>
      <c r="I199" s="5">
        <v>44197</v>
      </c>
      <c r="J199" s="6">
        <v>712</v>
      </c>
      <c r="K199" s="77">
        <v>712</v>
      </c>
      <c r="L199" s="6">
        <v>23.76</v>
      </c>
      <c r="M199" s="77">
        <v>23.76</v>
      </c>
      <c r="N199" s="6">
        <v>23.76</v>
      </c>
      <c r="O199" s="77">
        <v>23.76</v>
      </c>
      <c r="P199" s="6">
        <v>0</v>
      </c>
      <c r="Q199" s="4" t="s">
        <v>26</v>
      </c>
      <c r="R199" s="4">
        <v>0</v>
      </c>
      <c r="S199" s="4">
        <v>28</v>
      </c>
      <c r="T199" s="4">
        <v>30</v>
      </c>
      <c r="U199" s="4">
        <v>66</v>
      </c>
      <c r="V199" s="77">
        <f>IF(ISERROR(VLOOKUP($S$199,'TAR FIN'!$A$1:$O$95,15,0)),0,VLOOKUP($S$199,'TAR FIN'!$A$1:$O$95,15,0))*(1-0.06)</f>
        <v>49.810600000000001</v>
      </c>
      <c r="W199" s="77">
        <f>IF(ISERROR(VLOOKUP($T$199,'TAR FIN'!$A$1:$O$95,15,0)),0,VLOOKUP($T$199,'TAR FIN'!$A$1:$O$95,15,0))*(1-0.06)</f>
        <v>140.65219999999999</v>
      </c>
      <c r="X199" s="77">
        <f>IF(ISERROR(VLOOKUP($U$199,'TAR FIN'!$A$1:$O$95,15,0)),0,VLOOKUP($U$199,'TAR FIN'!$A$1:$O$95,15,0))*(1-0.06)</f>
        <v>365.92319999999995</v>
      </c>
      <c r="Y199" s="77">
        <f ca="1">('TUSD BE'!$AM$10+'TUSD BF'!$AM$10+'TUSD CVA'!$AM$10)*1*(1-0.04)</f>
        <v>56.905297608167956</v>
      </c>
      <c r="Z199" s="77">
        <f ca="1">('TUSD BE'!$AM$12+'TUSD BF'!$AM$12+'TUSD CVA'!$AM$12)*1*(1-0.04)</f>
        <v>161.7728460762047</v>
      </c>
      <c r="AA199" s="77">
        <f>('TE BE'!$AA$7+'TE BF'!$AA$7+'TE CVA'!$AA$7)*1*(1-0.04)</f>
        <v>436.15542521126838</v>
      </c>
      <c r="AB199" s="77">
        <f>(SUBSIDIO!$J$199*SUBSIDIO!$V$199)*(0.06)/(1-0.06)</f>
        <v>2263.7328000000002</v>
      </c>
      <c r="AC199" s="77">
        <f>((SUBSIDIO!$L$199*SUBSIDIO!$W$199)+(SUBSIDIO!$N$199*SUBSIDIO!$X$199))*(0.06)/(1-0.06)</f>
        <v>768.27009600000008</v>
      </c>
      <c r="AD199" s="77">
        <f ca="1">(SUBSIDIO!$J$199*SUBSIDIO!$Y$199)*(0.04)/(1-0.04)</f>
        <v>1688.1904957089828</v>
      </c>
      <c r="AE199" s="77">
        <f ca="1">((SUBSIDIO!$L$199*SUBSIDIO!$Z$199)+(SUBSIDIO!$N$199*SUBSIDIO!$AA$199))*(0.04)/(1-0.04)</f>
        <v>591.9489885745985</v>
      </c>
      <c r="AF199" s="4" t="s">
        <v>844</v>
      </c>
    </row>
    <row r="200" spans="1:32" ht="11.25" customHeight="1" x14ac:dyDescent="0.25">
      <c r="A200" s="4" t="s">
        <v>21</v>
      </c>
      <c r="B200" s="4" t="s">
        <v>35</v>
      </c>
      <c r="C200" s="4" t="s">
        <v>44</v>
      </c>
      <c r="D200" s="4" t="s">
        <v>47</v>
      </c>
      <c r="E200" s="4" t="s">
        <v>25</v>
      </c>
      <c r="F200" s="4" t="s">
        <v>25</v>
      </c>
      <c r="G200" s="4" t="s">
        <v>25</v>
      </c>
      <c r="H200" s="4" t="s">
        <v>37</v>
      </c>
      <c r="I200" s="5">
        <v>44228</v>
      </c>
      <c r="J200" s="6">
        <v>103</v>
      </c>
      <c r="K200" s="77">
        <v>103</v>
      </c>
      <c r="L200" s="6">
        <v>4.008</v>
      </c>
      <c r="M200" s="77">
        <v>4.008</v>
      </c>
      <c r="N200" s="6">
        <v>4.008</v>
      </c>
      <c r="O200" s="77">
        <v>4.008</v>
      </c>
      <c r="P200" s="6">
        <v>0</v>
      </c>
      <c r="Q200" s="4" t="s">
        <v>26</v>
      </c>
      <c r="R200" s="4">
        <v>0</v>
      </c>
      <c r="S200" s="4">
        <v>28</v>
      </c>
      <c r="T200" s="4">
        <v>30</v>
      </c>
      <c r="U200" s="4">
        <v>66</v>
      </c>
      <c r="V200" s="77">
        <f>IF(ISERROR(VLOOKUP($S$200,'TAR FIN'!$A$1:$O$95,15,0)),0,VLOOKUP($S$200,'TAR FIN'!$A$1:$O$95,15,0))*(1-0.06)</f>
        <v>49.810600000000001</v>
      </c>
      <c r="W200" s="77">
        <f>IF(ISERROR(VLOOKUP($T$200,'TAR FIN'!$A$1:$O$95,15,0)),0,VLOOKUP($T$200,'TAR FIN'!$A$1:$O$95,15,0))*(1-0.06)</f>
        <v>140.65219999999999</v>
      </c>
      <c r="X200" s="77">
        <f>IF(ISERROR(VLOOKUP($U$200,'TAR FIN'!$A$1:$O$95,15,0)),0,VLOOKUP($U$200,'TAR FIN'!$A$1:$O$95,15,0))*(1-0.06)</f>
        <v>365.92319999999995</v>
      </c>
      <c r="Y200" s="77">
        <f ca="1">('TUSD BE'!$AM$10+'TUSD BF'!$AM$10+'TUSD CVA'!$AM$10)*1*(1-0.04)</f>
        <v>56.905297608167956</v>
      </c>
      <c r="Z200" s="77">
        <f ca="1">('TUSD BE'!$AM$12+'TUSD BF'!$AM$12+'TUSD CVA'!$AM$12)*1*(1-0.04)</f>
        <v>161.7728460762047</v>
      </c>
      <c r="AA200" s="77">
        <f>('TE BE'!$AA$7+'TE BF'!$AA$7+'TE CVA'!$AA$7)*1*(1-0.04)</f>
        <v>436.15542521126838</v>
      </c>
      <c r="AB200" s="77">
        <f>(SUBSIDIO!$J$200*SUBSIDIO!$V$200)*(0.06)/(1-0.06)</f>
        <v>327.47820000000002</v>
      </c>
      <c r="AC200" s="77">
        <f>((SUBSIDIO!$L$200*SUBSIDIO!$W$200)+(SUBSIDIO!$N$200*SUBSIDIO!$X$200))*(0.06)/(1-0.06)</f>
        <v>129.5970768</v>
      </c>
      <c r="AD200" s="77">
        <f ca="1">(SUBSIDIO!$J$200*SUBSIDIO!$Y$200)*(0.04)/(1-0.04)</f>
        <v>244.2185689017208</v>
      </c>
      <c r="AE200" s="77">
        <f ca="1">((SUBSIDIO!$L$200*SUBSIDIO!$Z$200)+(SUBSIDIO!$N$200*SUBSIDIO!$AA$200))*(0.04)/(1-0.04)</f>
        <v>99.854021305008004</v>
      </c>
      <c r="AF200" s="4" t="s">
        <v>844</v>
      </c>
    </row>
    <row r="201" spans="1:32" ht="11.25" customHeight="1" x14ac:dyDescent="0.25">
      <c r="A201" s="4" t="s">
        <v>28</v>
      </c>
      <c r="B201" s="4" t="s">
        <v>35</v>
      </c>
      <c r="C201" s="4" t="s">
        <v>44</v>
      </c>
      <c r="D201" s="4" t="s">
        <v>47</v>
      </c>
      <c r="E201" s="4" t="s">
        <v>25</v>
      </c>
      <c r="F201" s="4" t="s">
        <v>25</v>
      </c>
      <c r="G201" s="4" t="s">
        <v>25</v>
      </c>
      <c r="H201" s="4" t="s">
        <v>37</v>
      </c>
      <c r="I201" s="5">
        <v>44228</v>
      </c>
      <c r="J201" s="6">
        <v>688</v>
      </c>
      <c r="K201" s="77">
        <v>688</v>
      </c>
      <c r="L201" s="6">
        <v>25.777999999999999</v>
      </c>
      <c r="M201" s="77">
        <v>25.777999999999999</v>
      </c>
      <c r="N201" s="6">
        <v>25.777999999999999</v>
      </c>
      <c r="O201" s="77">
        <v>25.777999999999999</v>
      </c>
      <c r="P201" s="6">
        <v>0</v>
      </c>
      <c r="Q201" s="4" t="s">
        <v>26</v>
      </c>
      <c r="R201" s="4">
        <v>0</v>
      </c>
      <c r="S201" s="4">
        <v>28</v>
      </c>
      <c r="T201" s="4">
        <v>30</v>
      </c>
      <c r="U201" s="4">
        <v>66</v>
      </c>
      <c r="V201" s="77">
        <f>IF(ISERROR(VLOOKUP($S$201,'TAR FIN'!$A$1:$O$95,15,0)),0,VLOOKUP($S$201,'TAR FIN'!$A$1:$O$95,15,0))*(1-0.06)</f>
        <v>49.810600000000001</v>
      </c>
      <c r="W201" s="77">
        <f>IF(ISERROR(VLOOKUP($T$201,'TAR FIN'!$A$1:$O$95,15,0)),0,VLOOKUP($T$201,'TAR FIN'!$A$1:$O$95,15,0))*(1-0.06)</f>
        <v>140.65219999999999</v>
      </c>
      <c r="X201" s="77">
        <f>IF(ISERROR(VLOOKUP($U$201,'TAR FIN'!$A$1:$O$95,15,0)),0,VLOOKUP($U$201,'TAR FIN'!$A$1:$O$95,15,0))*(1-0.06)</f>
        <v>365.92319999999995</v>
      </c>
      <c r="Y201" s="77">
        <f ca="1">('TUSD BE'!$AM$10+'TUSD BF'!$AM$10+'TUSD CVA'!$AM$10)*1*(1-0.04)</f>
        <v>56.905297608167956</v>
      </c>
      <c r="Z201" s="77">
        <f ca="1">('TUSD BE'!$AM$12+'TUSD BF'!$AM$12+'TUSD CVA'!$AM$12)*1*(1-0.04)</f>
        <v>161.7728460762047</v>
      </c>
      <c r="AA201" s="77">
        <f>('TE BE'!$AA$7+'TE BF'!$AA$7+'TE CVA'!$AA$7)*1*(1-0.04)</f>
        <v>436.15542521126838</v>
      </c>
      <c r="AB201" s="77">
        <f>(SUBSIDIO!$J$201*SUBSIDIO!$V$201)*(0.06)/(1-0.06)</f>
        <v>2187.4272000000001</v>
      </c>
      <c r="AC201" s="77">
        <f>((SUBSIDIO!$L$201*SUBSIDIO!$W$201)+(SUBSIDIO!$N$201*SUBSIDIO!$X$201))*(0.06)/(1-0.06)</f>
        <v>833.5213187999999</v>
      </c>
      <c r="AD201" s="77">
        <f ca="1">(SUBSIDIO!$J$201*SUBSIDIO!$Y$201)*(0.04)/(1-0.04)</f>
        <v>1631.2851981008148</v>
      </c>
      <c r="AE201" s="77">
        <f ca="1">((SUBSIDIO!$L$201*SUBSIDIO!$Z$201)+(SUBSIDIO!$N$201*SUBSIDIO!$AA$201))*(0.04)/(1-0.04)</f>
        <v>642.22479071868679</v>
      </c>
      <c r="AF201" s="4" t="s">
        <v>844</v>
      </c>
    </row>
    <row r="202" spans="1:32" ht="11.25" customHeight="1" x14ac:dyDescent="0.25">
      <c r="A202" s="4" t="s">
        <v>21</v>
      </c>
      <c r="B202" s="4" t="s">
        <v>35</v>
      </c>
      <c r="C202" s="4" t="s">
        <v>44</v>
      </c>
      <c r="D202" s="4" t="s">
        <v>47</v>
      </c>
      <c r="E202" s="4" t="s">
        <v>25</v>
      </c>
      <c r="F202" s="4" t="s">
        <v>25</v>
      </c>
      <c r="G202" s="4" t="s">
        <v>25</v>
      </c>
      <c r="H202" s="4" t="s">
        <v>37</v>
      </c>
      <c r="I202" s="5">
        <v>44256</v>
      </c>
      <c r="J202" s="6">
        <v>100</v>
      </c>
      <c r="K202" s="77">
        <v>100</v>
      </c>
      <c r="L202" s="6">
        <v>4.0199999999999996</v>
      </c>
      <c r="M202" s="77">
        <v>4.0199999999999996</v>
      </c>
      <c r="N202" s="6">
        <v>4.0199999999999996</v>
      </c>
      <c r="O202" s="77">
        <v>4.0199999999999996</v>
      </c>
      <c r="P202" s="6">
        <v>0</v>
      </c>
      <c r="Q202" s="4" t="s">
        <v>26</v>
      </c>
      <c r="R202" s="4">
        <v>0</v>
      </c>
      <c r="S202" s="4">
        <v>28</v>
      </c>
      <c r="T202" s="4">
        <v>30</v>
      </c>
      <c r="U202" s="4">
        <v>66</v>
      </c>
      <c r="V202" s="77">
        <f>IF(ISERROR(VLOOKUP($S$202,'TAR FIN'!$A$1:$O$95,15,0)),0,VLOOKUP($S$202,'TAR FIN'!$A$1:$O$95,15,0))*(1-0.06)</f>
        <v>49.810600000000001</v>
      </c>
      <c r="W202" s="77">
        <f>IF(ISERROR(VLOOKUP($T$202,'TAR FIN'!$A$1:$O$95,15,0)),0,VLOOKUP($T$202,'TAR FIN'!$A$1:$O$95,15,0))*(1-0.06)</f>
        <v>140.65219999999999</v>
      </c>
      <c r="X202" s="77">
        <f>IF(ISERROR(VLOOKUP($U$202,'TAR FIN'!$A$1:$O$95,15,0)),0,VLOOKUP($U$202,'TAR FIN'!$A$1:$O$95,15,0))*(1-0.06)</f>
        <v>365.92319999999995</v>
      </c>
      <c r="Y202" s="77">
        <f ca="1">('TUSD BE'!$AM$10+'TUSD BF'!$AM$10+'TUSD CVA'!$AM$10)*1*(1-0.04)</f>
        <v>56.905297608167956</v>
      </c>
      <c r="Z202" s="77">
        <f ca="1">('TUSD BE'!$AM$12+'TUSD BF'!$AM$12+'TUSD CVA'!$AM$12)*1*(1-0.04)</f>
        <v>161.7728460762047</v>
      </c>
      <c r="AA202" s="77">
        <f>('TE BE'!$AA$7+'TE BF'!$AA$7+'TE CVA'!$AA$7)*1*(1-0.04)</f>
        <v>436.15542521126838</v>
      </c>
      <c r="AB202" s="77">
        <f>(SUBSIDIO!$J$202*SUBSIDIO!$V$202)*(0.06)/(1-0.06)</f>
        <v>317.94000000000005</v>
      </c>
      <c r="AC202" s="77">
        <f>((SUBSIDIO!$L$202*SUBSIDIO!$W$202)+(SUBSIDIO!$N$202*SUBSIDIO!$X$202))*(0.06)/(1-0.06)</f>
        <v>129.98509199999998</v>
      </c>
      <c r="AD202" s="77">
        <f ca="1">(SUBSIDIO!$J$202*SUBSIDIO!$Y$202)*(0.04)/(1-0.04)</f>
        <v>237.10540670069983</v>
      </c>
      <c r="AE202" s="77">
        <f ca="1">((SUBSIDIO!$L$202*SUBSIDIO!$Z$202)+(SUBSIDIO!$N$202*SUBSIDIO!$AA$202))*(0.04)/(1-0.04)</f>
        <v>100.15298544065172</v>
      </c>
      <c r="AF202" s="4" t="s">
        <v>844</v>
      </c>
    </row>
    <row r="203" spans="1:32" ht="11.25" customHeight="1" x14ac:dyDescent="0.25">
      <c r="A203" s="4" t="s">
        <v>28</v>
      </c>
      <c r="B203" s="4" t="s">
        <v>35</v>
      </c>
      <c r="C203" s="4" t="s">
        <v>44</v>
      </c>
      <c r="D203" s="4" t="s">
        <v>47</v>
      </c>
      <c r="E203" s="4" t="s">
        <v>25</v>
      </c>
      <c r="F203" s="4" t="s">
        <v>25</v>
      </c>
      <c r="G203" s="4" t="s">
        <v>25</v>
      </c>
      <c r="H203" s="4" t="s">
        <v>37</v>
      </c>
      <c r="I203" s="5">
        <v>44256</v>
      </c>
      <c r="J203" s="6">
        <v>584</v>
      </c>
      <c r="K203" s="77">
        <v>584</v>
      </c>
      <c r="L203" s="6">
        <v>27.468</v>
      </c>
      <c r="M203" s="77">
        <v>27.468</v>
      </c>
      <c r="N203" s="6">
        <v>27.468</v>
      </c>
      <c r="O203" s="77">
        <v>27.468</v>
      </c>
      <c r="P203" s="6">
        <v>0</v>
      </c>
      <c r="Q203" s="4" t="s">
        <v>26</v>
      </c>
      <c r="R203" s="4">
        <v>0</v>
      </c>
      <c r="S203" s="4">
        <v>28</v>
      </c>
      <c r="T203" s="4">
        <v>30</v>
      </c>
      <c r="U203" s="4">
        <v>66</v>
      </c>
      <c r="V203" s="77">
        <f>IF(ISERROR(VLOOKUP($S$203,'TAR FIN'!$A$1:$O$95,15,0)),0,VLOOKUP($S$203,'TAR FIN'!$A$1:$O$95,15,0))*(1-0.06)</f>
        <v>49.810600000000001</v>
      </c>
      <c r="W203" s="77">
        <f>IF(ISERROR(VLOOKUP($T$203,'TAR FIN'!$A$1:$O$95,15,0)),0,VLOOKUP($T$203,'TAR FIN'!$A$1:$O$95,15,0))*(1-0.06)</f>
        <v>140.65219999999999</v>
      </c>
      <c r="X203" s="77">
        <f>IF(ISERROR(VLOOKUP($U$203,'TAR FIN'!$A$1:$O$95,15,0)),0,VLOOKUP($U$203,'TAR FIN'!$A$1:$O$95,15,0))*(1-0.06)</f>
        <v>365.92319999999995</v>
      </c>
      <c r="Y203" s="77">
        <f ca="1">('TUSD BE'!$AM$10+'TUSD BF'!$AM$10+'TUSD CVA'!$AM$10)*1*(1-0.04)</f>
        <v>56.905297608167956</v>
      </c>
      <c r="Z203" s="77">
        <f ca="1">('TUSD BE'!$AM$12+'TUSD BF'!$AM$12+'TUSD CVA'!$AM$12)*1*(1-0.04)</f>
        <v>161.7728460762047</v>
      </c>
      <c r="AA203" s="77">
        <f>('TE BE'!$AA$7+'TE BF'!$AA$7+'TE CVA'!$AA$7)*1*(1-0.04)</f>
        <v>436.15542521126838</v>
      </c>
      <c r="AB203" s="77">
        <f>(SUBSIDIO!$J$203*SUBSIDIO!$V$203)*(0.06)/(1-0.06)</f>
        <v>1856.7696000000001</v>
      </c>
      <c r="AC203" s="77">
        <f>((SUBSIDIO!$L$203*SUBSIDIO!$W$203)+(SUBSIDIO!$N$203*SUBSIDIO!$X$203))*(0.06)/(1-0.06)</f>
        <v>888.16679280000005</v>
      </c>
      <c r="AD203" s="77">
        <f ca="1">(SUBSIDIO!$J$203*SUBSIDIO!$Y$203)*(0.04)/(1-0.04)</f>
        <v>1384.695575132087</v>
      </c>
      <c r="AE203" s="77">
        <f ca="1">((SUBSIDIO!$L$203*SUBSIDIO!$Z$203)+(SUBSIDIO!$N$203*SUBSIDIO!$AA$203))*(0.04)/(1-0.04)</f>
        <v>684.3289064885131</v>
      </c>
      <c r="AF203" s="4" t="s">
        <v>844</v>
      </c>
    </row>
    <row r="204" spans="1:32" ht="11.25" customHeight="1" x14ac:dyDescent="0.25">
      <c r="A204" s="4" t="s">
        <v>21</v>
      </c>
      <c r="B204" s="4" t="s">
        <v>35</v>
      </c>
      <c r="C204" s="4" t="s">
        <v>44</v>
      </c>
      <c r="D204" s="4" t="s">
        <v>47</v>
      </c>
      <c r="E204" s="4" t="s">
        <v>25</v>
      </c>
      <c r="F204" s="4" t="s">
        <v>25</v>
      </c>
      <c r="G204" s="4" t="s">
        <v>25</v>
      </c>
      <c r="H204" s="4" t="s">
        <v>37</v>
      </c>
      <c r="I204" s="5">
        <v>44287</v>
      </c>
      <c r="J204" s="6">
        <v>95</v>
      </c>
      <c r="K204" s="77">
        <v>95</v>
      </c>
      <c r="L204" s="6">
        <v>3.58</v>
      </c>
      <c r="M204" s="77">
        <v>3.58</v>
      </c>
      <c r="N204" s="6">
        <v>3.58</v>
      </c>
      <c r="O204" s="77">
        <v>3.58</v>
      </c>
      <c r="P204" s="6">
        <v>0</v>
      </c>
      <c r="Q204" s="4" t="s">
        <v>26</v>
      </c>
      <c r="R204" s="4">
        <v>0</v>
      </c>
      <c r="S204" s="4">
        <v>28</v>
      </c>
      <c r="T204" s="4">
        <v>30</v>
      </c>
      <c r="U204" s="4">
        <v>66</v>
      </c>
      <c r="V204" s="77">
        <f>IF(ISERROR(VLOOKUP($S$204,'TAR FIN'!$A$1:$O$95,15,0)),0,VLOOKUP($S$204,'TAR FIN'!$A$1:$O$95,15,0))*(1-0.06)</f>
        <v>49.810600000000001</v>
      </c>
      <c r="W204" s="77">
        <f>IF(ISERROR(VLOOKUP($T$204,'TAR FIN'!$A$1:$O$95,15,0)),0,VLOOKUP($T$204,'TAR FIN'!$A$1:$O$95,15,0))*(1-0.06)</f>
        <v>140.65219999999999</v>
      </c>
      <c r="X204" s="77">
        <f>IF(ISERROR(VLOOKUP($U$204,'TAR FIN'!$A$1:$O$95,15,0)),0,VLOOKUP($U$204,'TAR FIN'!$A$1:$O$95,15,0))*(1-0.06)</f>
        <v>365.92319999999995</v>
      </c>
      <c r="Y204" s="77">
        <f ca="1">('TUSD BE'!$AM$10+'TUSD BF'!$AM$10+'TUSD CVA'!$AM$10)*1*(1-0.04)</f>
        <v>56.905297608167956</v>
      </c>
      <c r="Z204" s="77">
        <f ca="1">('TUSD BE'!$AM$12+'TUSD BF'!$AM$12+'TUSD CVA'!$AM$12)*1*(1-0.04)</f>
        <v>161.7728460762047</v>
      </c>
      <c r="AA204" s="77">
        <f>('TE BE'!$AA$7+'TE BF'!$AA$7+'TE CVA'!$AA$7)*1*(1-0.04)</f>
        <v>436.15542521126838</v>
      </c>
      <c r="AB204" s="77">
        <f>(SUBSIDIO!$J$204*SUBSIDIO!$V$204)*(0.06)/(1-0.06)</f>
        <v>302.04300000000006</v>
      </c>
      <c r="AC204" s="77">
        <f>((SUBSIDIO!$L$204*SUBSIDIO!$W$204)+(SUBSIDIO!$N$204*SUBSIDIO!$X$204))*(0.06)/(1-0.06)</f>
        <v>115.75786799999997</v>
      </c>
      <c r="AD204" s="77">
        <f ca="1">(SUBSIDIO!$J$204*SUBSIDIO!$Y$204)*(0.04)/(1-0.04)</f>
        <v>225.25013636566484</v>
      </c>
      <c r="AE204" s="77">
        <f ca="1">((SUBSIDIO!$L$204*SUBSIDIO!$Z$204)+(SUBSIDIO!$N$204*SUBSIDIO!$AA$204))*(0.04)/(1-0.04)</f>
        <v>89.19096713371475</v>
      </c>
      <c r="AF204" s="4" t="s">
        <v>844</v>
      </c>
    </row>
    <row r="205" spans="1:32" ht="11.25" customHeight="1" x14ac:dyDescent="0.25">
      <c r="A205" s="4" t="s">
        <v>28</v>
      </c>
      <c r="B205" s="4" t="s">
        <v>35</v>
      </c>
      <c r="C205" s="4" t="s">
        <v>44</v>
      </c>
      <c r="D205" s="4" t="s">
        <v>47</v>
      </c>
      <c r="E205" s="4" t="s">
        <v>25</v>
      </c>
      <c r="F205" s="4" t="s">
        <v>25</v>
      </c>
      <c r="G205" s="4" t="s">
        <v>25</v>
      </c>
      <c r="H205" s="4" t="s">
        <v>37</v>
      </c>
      <c r="I205" s="5">
        <v>44287</v>
      </c>
      <c r="J205" s="6">
        <v>702</v>
      </c>
      <c r="K205" s="77">
        <v>702</v>
      </c>
      <c r="L205" s="6">
        <v>27.431999999999999</v>
      </c>
      <c r="M205" s="77">
        <v>27.431999999999999</v>
      </c>
      <c r="N205" s="6">
        <v>27.431999999999999</v>
      </c>
      <c r="O205" s="77">
        <v>27.431999999999999</v>
      </c>
      <c r="P205" s="6">
        <v>0</v>
      </c>
      <c r="Q205" s="4" t="s">
        <v>26</v>
      </c>
      <c r="R205" s="4">
        <v>0</v>
      </c>
      <c r="S205" s="4">
        <v>28</v>
      </c>
      <c r="T205" s="4">
        <v>30</v>
      </c>
      <c r="U205" s="4">
        <v>66</v>
      </c>
      <c r="V205" s="77">
        <f>IF(ISERROR(VLOOKUP($S$205,'TAR FIN'!$A$1:$O$95,15,0)),0,VLOOKUP($S$205,'TAR FIN'!$A$1:$O$95,15,0))*(1-0.06)</f>
        <v>49.810600000000001</v>
      </c>
      <c r="W205" s="77">
        <f>IF(ISERROR(VLOOKUP($T$205,'TAR FIN'!$A$1:$O$95,15,0)),0,VLOOKUP($T$205,'TAR FIN'!$A$1:$O$95,15,0))*(1-0.06)</f>
        <v>140.65219999999999</v>
      </c>
      <c r="X205" s="77">
        <f>IF(ISERROR(VLOOKUP($U$205,'TAR FIN'!$A$1:$O$95,15,0)),0,VLOOKUP($U$205,'TAR FIN'!$A$1:$O$95,15,0))*(1-0.06)</f>
        <v>365.92319999999995</v>
      </c>
      <c r="Y205" s="77">
        <f ca="1">('TUSD BE'!$AM$10+'TUSD BF'!$AM$10+'TUSD CVA'!$AM$10)*1*(1-0.04)</f>
        <v>56.905297608167956</v>
      </c>
      <c r="Z205" s="77">
        <f ca="1">('TUSD BE'!$AM$12+'TUSD BF'!$AM$12+'TUSD CVA'!$AM$12)*1*(1-0.04)</f>
        <v>161.7728460762047</v>
      </c>
      <c r="AA205" s="77">
        <f>('TE BE'!$AA$7+'TE BF'!$AA$7+'TE CVA'!$AA$7)*1*(1-0.04)</f>
        <v>436.15542521126838</v>
      </c>
      <c r="AB205" s="77">
        <f>(SUBSIDIO!$J$205*SUBSIDIO!$V$205)*(0.06)/(1-0.06)</f>
        <v>2231.9388000000004</v>
      </c>
      <c r="AC205" s="77">
        <f>((SUBSIDIO!$L$205*SUBSIDIO!$W$205)+(SUBSIDIO!$N$205*SUBSIDIO!$X$205))*(0.06)/(1-0.06)</f>
        <v>887.00274719999982</v>
      </c>
      <c r="AD205" s="77">
        <f ca="1">(SUBSIDIO!$J$205*SUBSIDIO!$Y$205)*(0.04)/(1-0.04)</f>
        <v>1664.479955038913</v>
      </c>
      <c r="AE205" s="77">
        <f ca="1">((SUBSIDIO!$L$205*SUBSIDIO!$Z$205)+(SUBSIDIO!$N$205*SUBSIDIO!$AA$205))*(0.04)/(1-0.04)</f>
        <v>683.43201408158177</v>
      </c>
      <c r="AF205" s="4" t="s">
        <v>844</v>
      </c>
    </row>
    <row r="206" spans="1:32" ht="11.25" customHeight="1" x14ac:dyDescent="0.25">
      <c r="A206" s="4" t="s">
        <v>21</v>
      </c>
      <c r="B206" s="4" t="s">
        <v>35</v>
      </c>
      <c r="C206" s="4" t="s">
        <v>44</v>
      </c>
      <c r="D206" s="4" t="s">
        <v>47</v>
      </c>
      <c r="E206" s="4" t="s">
        <v>25</v>
      </c>
      <c r="F206" s="4" t="s">
        <v>25</v>
      </c>
      <c r="G206" s="4" t="s">
        <v>25</v>
      </c>
      <c r="H206" s="4" t="s">
        <v>37</v>
      </c>
      <c r="I206" s="5">
        <v>44317</v>
      </c>
      <c r="J206" s="6">
        <v>94</v>
      </c>
      <c r="K206" s="77">
        <v>94</v>
      </c>
      <c r="L206" s="6">
        <v>3.7749999999999999</v>
      </c>
      <c r="M206" s="77">
        <v>3.7749999999999999</v>
      </c>
      <c r="N206" s="6">
        <v>3.7749999999999999</v>
      </c>
      <c r="O206" s="77">
        <v>3.7749999999999999</v>
      </c>
      <c r="P206" s="6">
        <v>0</v>
      </c>
      <c r="Q206" s="4" t="s">
        <v>26</v>
      </c>
      <c r="R206" s="4">
        <v>0</v>
      </c>
      <c r="S206" s="4">
        <v>28</v>
      </c>
      <c r="T206" s="4">
        <v>30</v>
      </c>
      <c r="U206" s="4">
        <v>66</v>
      </c>
      <c r="V206" s="77">
        <f>IF(ISERROR(VLOOKUP($S$206,'TAR FIN'!$A$1:$O$95,15,0)),0,VLOOKUP($S$206,'TAR FIN'!$A$1:$O$95,15,0))*(1-0.06)</f>
        <v>49.810600000000001</v>
      </c>
      <c r="W206" s="77">
        <f>IF(ISERROR(VLOOKUP($T$206,'TAR FIN'!$A$1:$O$95,15,0)),0,VLOOKUP($T$206,'TAR FIN'!$A$1:$O$95,15,0))*(1-0.06)</f>
        <v>140.65219999999999</v>
      </c>
      <c r="X206" s="77">
        <f>IF(ISERROR(VLOOKUP($U$206,'TAR FIN'!$A$1:$O$95,15,0)),0,VLOOKUP($U$206,'TAR FIN'!$A$1:$O$95,15,0))*(1-0.06)</f>
        <v>365.92319999999995</v>
      </c>
      <c r="Y206" s="77">
        <f ca="1">('TUSD BE'!$AM$10+'TUSD BF'!$AM$10+'TUSD CVA'!$AM$10)*1*(1-0.04)</f>
        <v>56.905297608167956</v>
      </c>
      <c r="Z206" s="77">
        <f ca="1">('TUSD BE'!$AM$12+'TUSD BF'!$AM$12+'TUSD CVA'!$AM$12)*1*(1-0.04)</f>
        <v>161.7728460762047</v>
      </c>
      <c r="AA206" s="77">
        <f>('TE BE'!$AA$7+'TE BF'!$AA$7+'TE CVA'!$AA$7)*1*(1-0.04)</f>
        <v>436.15542521126838</v>
      </c>
      <c r="AB206" s="77">
        <f>(SUBSIDIO!$J$206*SUBSIDIO!$V$206)*(0.06)/(1-0.06)</f>
        <v>298.86360000000002</v>
      </c>
      <c r="AC206" s="77">
        <f>((SUBSIDIO!$L$206*SUBSIDIO!$W$206)+(SUBSIDIO!$N$206*SUBSIDIO!$X$206))*(0.06)/(1-0.06)</f>
        <v>122.06311499999998</v>
      </c>
      <c r="AD206" s="77">
        <f ca="1">(SUBSIDIO!$J$206*SUBSIDIO!$Y$206)*(0.04)/(1-0.04)</f>
        <v>222.87908229865783</v>
      </c>
      <c r="AE206" s="77">
        <f ca="1">((SUBSIDIO!$L$206*SUBSIDIO!$Z$206)+(SUBSIDIO!$N$206*SUBSIDIO!$AA$206))*(0.04)/(1-0.04)</f>
        <v>94.049134337925452</v>
      </c>
      <c r="AF206" s="4" t="s">
        <v>844</v>
      </c>
    </row>
    <row r="207" spans="1:32" ht="11.25" customHeight="1" x14ac:dyDescent="0.25">
      <c r="A207" s="4" t="s">
        <v>28</v>
      </c>
      <c r="B207" s="4" t="s">
        <v>35</v>
      </c>
      <c r="C207" s="4" t="s">
        <v>44</v>
      </c>
      <c r="D207" s="4" t="s">
        <v>47</v>
      </c>
      <c r="E207" s="4" t="s">
        <v>25</v>
      </c>
      <c r="F207" s="4" t="s">
        <v>25</v>
      </c>
      <c r="G207" s="4" t="s">
        <v>25</v>
      </c>
      <c r="H207" s="4" t="s">
        <v>37</v>
      </c>
      <c r="I207" s="5">
        <v>44317</v>
      </c>
      <c r="J207" s="6">
        <v>638</v>
      </c>
      <c r="K207" s="77">
        <v>638</v>
      </c>
      <c r="L207" s="6">
        <v>32.472000000000001</v>
      </c>
      <c r="M207" s="77">
        <v>32.472000000000001</v>
      </c>
      <c r="N207" s="6">
        <v>32.472000000000001</v>
      </c>
      <c r="O207" s="77">
        <v>32.472000000000001</v>
      </c>
      <c r="P207" s="6">
        <v>0</v>
      </c>
      <c r="Q207" s="4" t="s">
        <v>26</v>
      </c>
      <c r="R207" s="4">
        <v>0</v>
      </c>
      <c r="S207" s="4">
        <v>28</v>
      </c>
      <c r="T207" s="4">
        <v>30</v>
      </c>
      <c r="U207" s="4">
        <v>66</v>
      </c>
      <c r="V207" s="77">
        <f>IF(ISERROR(VLOOKUP($S$207,'TAR FIN'!$A$1:$O$95,15,0)),0,VLOOKUP($S$207,'TAR FIN'!$A$1:$O$95,15,0))*(1-0.06)</f>
        <v>49.810600000000001</v>
      </c>
      <c r="W207" s="77">
        <f>IF(ISERROR(VLOOKUP($T$207,'TAR FIN'!$A$1:$O$95,15,0)),0,VLOOKUP($T$207,'TAR FIN'!$A$1:$O$95,15,0))*(1-0.06)</f>
        <v>140.65219999999999</v>
      </c>
      <c r="X207" s="77">
        <f>IF(ISERROR(VLOOKUP($U$207,'TAR FIN'!$A$1:$O$95,15,0)),0,VLOOKUP($U$207,'TAR FIN'!$A$1:$O$95,15,0))*(1-0.06)</f>
        <v>365.92319999999995</v>
      </c>
      <c r="Y207" s="77">
        <f ca="1">('TUSD BE'!$AM$10+'TUSD BF'!$AM$10+'TUSD CVA'!$AM$10)*1*(1-0.04)</f>
        <v>56.905297608167956</v>
      </c>
      <c r="Z207" s="77">
        <f ca="1">('TUSD BE'!$AM$12+'TUSD BF'!$AM$12+'TUSD CVA'!$AM$12)*1*(1-0.04)</f>
        <v>161.7728460762047</v>
      </c>
      <c r="AA207" s="77">
        <f>('TE BE'!$AA$7+'TE BF'!$AA$7+'TE CVA'!$AA$7)*1*(1-0.04)</f>
        <v>436.15542521126838</v>
      </c>
      <c r="AB207" s="77">
        <f>(SUBSIDIO!$J$207*SUBSIDIO!$V$207)*(0.06)/(1-0.06)</f>
        <v>2028.4572000000003</v>
      </c>
      <c r="AC207" s="77">
        <f>((SUBSIDIO!$L$207*SUBSIDIO!$W$207)+(SUBSIDIO!$N$207*SUBSIDIO!$X$207))*(0.06)/(1-0.06)</f>
        <v>1049.9691312</v>
      </c>
      <c r="AD207" s="77">
        <f ca="1">(SUBSIDIO!$J$207*SUBSIDIO!$Y$207)*(0.04)/(1-0.04)</f>
        <v>1512.7324947504651</v>
      </c>
      <c r="AE207" s="77">
        <f ca="1">((SUBSIDIO!$L$207*SUBSIDIO!$Z$207)+(SUBSIDIO!$N$207*SUBSIDIO!$AA$207))*(0.04)/(1-0.04)</f>
        <v>808.99695105195121</v>
      </c>
      <c r="AF207" s="4" t="s">
        <v>844</v>
      </c>
    </row>
    <row r="208" spans="1:32" ht="11.25" customHeight="1" x14ac:dyDescent="0.25">
      <c r="A208" s="4" t="s">
        <v>21</v>
      </c>
      <c r="B208" s="4" t="s">
        <v>35</v>
      </c>
      <c r="C208" s="4" t="s">
        <v>44</v>
      </c>
      <c r="D208" s="4" t="s">
        <v>47</v>
      </c>
      <c r="E208" s="4" t="s">
        <v>25</v>
      </c>
      <c r="F208" s="4" t="s">
        <v>25</v>
      </c>
      <c r="G208" s="4" t="s">
        <v>25</v>
      </c>
      <c r="H208" s="4" t="s">
        <v>37</v>
      </c>
      <c r="I208" s="5">
        <v>44348</v>
      </c>
      <c r="J208" s="6">
        <v>91</v>
      </c>
      <c r="K208" s="77">
        <v>91</v>
      </c>
      <c r="L208" s="6">
        <v>3.9079999999999999</v>
      </c>
      <c r="M208" s="77">
        <v>3.9079999999999999</v>
      </c>
      <c r="N208" s="6">
        <v>3.9079999999999999</v>
      </c>
      <c r="O208" s="77">
        <v>3.9079999999999999</v>
      </c>
      <c r="P208" s="6">
        <v>0</v>
      </c>
      <c r="Q208" s="4" t="s">
        <v>26</v>
      </c>
      <c r="R208" s="4">
        <v>0</v>
      </c>
      <c r="S208" s="4">
        <v>28</v>
      </c>
      <c r="T208" s="4">
        <v>30</v>
      </c>
      <c r="U208" s="4">
        <v>66</v>
      </c>
      <c r="V208" s="77">
        <f>IF(ISERROR(VLOOKUP($S$208,'TAR FIN'!$A$1:$O$95,15,0)),0,VLOOKUP($S$208,'TAR FIN'!$A$1:$O$95,15,0))*(1-0.06)</f>
        <v>49.810600000000001</v>
      </c>
      <c r="W208" s="77">
        <f>IF(ISERROR(VLOOKUP($T$208,'TAR FIN'!$A$1:$O$95,15,0)),0,VLOOKUP($T$208,'TAR FIN'!$A$1:$O$95,15,0))*(1-0.06)</f>
        <v>140.65219999999999</v>
      </c>
      <c r="X208" s="77">
        <f>IF(ISERROR(VLOOKUP($U$208,'TAR FIN'!$A$1:$O$95,15,0)),0,VLOOKUP($U$208,'TAR FIN'!$A$1:$O$95,15,0))*(1-0.06)</f>
        <v>365.92319999999995</v>
      </c>
      <c r="Y208" s="77">
        <f ca="1">('TUSD BE'!$AM$10+'TUSD BF'!$AM$10+'TUSD CVA'!$AM$10)*1*(1-0.04)</f>
        <v>56.905297608167956</v>
      </c>
      <c r="Z208" s="77">
        <f ca="1">('TUSD BE'!$AM$12+'TUSD BF'!$AM$12+'TUSD CVA'!$AM$12)*1*(1-0.04)</f>
        <v>161.7728460762047</v>
      </c>
      <c r="AA208" s="77">
        <f>('TE BE'!$AA$7+'TE BF'!$AA$7+'TE CVA'!$AA$7)*1*(1-0.04)</f>
        <v>436.15542521126838</v>
      </c>
      <c r="AB208" s="77">
        <f>(SUBSIDIO!$J$208*SUBSIDIO!$V$208)*(0.06)/(1-0.06)</f>
        <v>289.32540000000006</v>
      </c>
      <c r="AC208" s="77">
        <f>((SUBSIDIO!$L$208*SUBSIDIO!$W$208)+(SUBSIDIO!$N$208*SUBSIDIO!$X$208))*(0.06)/(1-0.06)</f>
        <v>126.36361679999999</v>
      </c>
      <c r="AD208" s="77">
        <f ca="1">(SUBSIDIO!$J$208*SUBSIDIO!$Y$208)*(0.04)/(1-0.04)</f>
        <v>215.76592009763687</v>
      </c>
      <c r="AE208" s="77">
        <f ca="1">((SUBSIDIO!$L$208*SUBSIDIO!$Z$208)+(SUBSIDIO!$N$208*SUBSIDIO!$AA$208))*(0.04)/(1-0.04)</f>
        <v>97.362653507976887</v>
      </c>
      <c r="AF208" s="4" t="s">
        <v>844</v>
      </c>
    </row>
    <row r="209" spans="1:32" ht="11.25" customHeight="1" x14ac:dyDescent="0.25">
      <c r="A209" s="4" t="s">
        <v>28</v>
      </c>
      <c r="B209" s="4" t="s">
        <v>35</v>
      </c>
      <c r="C209" s="4" t="s">
        <v>44</v>
      </c>
      <c r="D209" s="4" t="s">
        <v>47</v>
      </c>
      <c r="E209" s="4" t="s">
        <v>25</v>
      </c>
      <c r="F209" s="4" t="s">
        <v>25</v>
      </c>
      <c r="G209" s="4" t="s">
        <v>25</v>
      </c>
      <c r="H209" s="4" t="s">
        <v>37</v>
      </c>
      <c r="I209" s="5">
        <v>44348</v>
      </c>
      <c r="J209" s="6">
        <v>615</v>
      </c>
      <c r="K209" s="77">
        <v>615</v>
      </c>
      <c r="L209" s="6">
        <v>21.815999999999999</v>
      </c>
      <c r="M209" s="77">
        <v>21.815999999999999</v>
      </c>
      <c r="N209" s="6">
        <v>21.815999999999999</v>
      </c>
      <c r="O209" s="77">
        <v>21.815999999999999</v>
      </c>
      <c r="P209" s="6">
        <v>0</v>
      </c>
      <c r="Q209" s="4" t="s">
        <v>26</v>
      </c>
      <c r="R209" s="4">
        <v>0</v>
      </c>
      <c r="S209" s="4">
        <v>28</v>
      </c>
      <c r="T209" s="4">
        <v>30</v>
      </c>
      <c r="U209" s="4">
        <v>66</v>
      </c>
      <c r="V209" s="77">
        <f>IF(ISERROR(VLOOKUP($S$209,'TAR FIN'!$A$1:$O$95,15,0)),0,VLOOKUP($S$209,'TAR FIN'!$A$1:$O$95,15,0))*(1-0.06)</f>
        <v>49.810600000000001</v>
      </c>
      <c r="W209" s="77">
        <f>IF(ISERROR(VLOOKUP($T$209,'TAR FIN'!$A$1:$O$95,15,0)),0,VLOOKUP($T$209,'TAR FIN'!$A$1:$O$95,15,0))*(1-0.06)</f>
        <v>140.65219999999999</v>
      </c>
      <c r="X209" s="77">
        <f>IF(ISERROR(VLOOKUP($U$209,'TAR FIN'!$A$1:$O$95,15,0)),0,VLOOKUP($U$209,'TAR FIN'!$A$1:$O$95,15,0))*(1-0.06)</f>
        <v>365.92319999999995</v>
      </c>
      <c r="Y209" s="77">
        <f ca="1">('TUSD BE'!$AM$10+'TUSD BF'!$AM$10+'TUSD CVA'!$AM$10)*1*(1-0.04)</f>
        <v>56.905297608167956</v>
      </c>
      <c r="Z209" s="77">
        <f ca="1">('TUSD BE'!$AM$12+'TUSD BF'!$AM$12+'TUSD CVA'!$AM$12)*1*(1-0.04)</f>
        <v>161.7728460762047</v>
      </c>
      <c r="AA209" s="77">
        <f>('TE BE'!$AA$7+'TE BF'!$AA$7+'TE CVA'!$AA$7)*1*(1-0.04)</f>
        <v>436.15542521126838</v>
      </c>
      <c r="AB209" s="77">
        <f>(SUBSIDIO!$J$209*SUBSIDIO!$V$209)*(0.06)/(1-0.06)</f>
        <v>1955.3309999999999</v>
      </c>
      <c r="AC209" s="77">
        <f>((SUBSIDIO!$L$209*SUBSIDIO!$W$209)+(SUBSIDIO!$N$209*SUBSIDIO!$X$209))*(0.06)/(1-0.06)</f>
        <v>705.41163359999996</v>
      </c>
      <c r="AD209" s="77">
        <f ca="1">(SUBSIDIO!$J$209*SUBSIDIO!$Y$209)*(0.04)/(1-0.04)</f>
        <v>1458.1982512093041</v>
      </c>
      <c r="AE209" s="77">
        <f ca="1">((SUBSIDIO!$L$209*SUBSIDIO!$Z$209)+(SUBSIDIO!$N$209*SUBSIDIO!$AA$209))*(0.04)/(1-0.04)</f>
        <v>543.516798600313</v>
      </c>
      <c r="AF209" s="4" t="s">
        <v>844</v>
      </c>
    </row>
    <row r="210" spans="1:32" ht="11.25" customHeight="1" x14ac:dyDescent="0.25">
      <c r="A210" s="4" t="s">
        <v>21</v>
      </c>
      <c r="B210" s="4" t="s">
        <v>35</v>
      </c>
      <c r="C210" s="4" t="s">
        <v>44</v>
      </c>
      <c r="D210" s="4" t="s">
        <v>47</v>
      </c>
      <c r="E210" s="4" t="s">
        <v>25</v>
      </c>
      <c r="F210" s="4" t="s">
        <v>25</v>
      </c>
      <c r="G210" s="4" t="s">
        <v>25</v>
      </c>
      <c r="H210" s="4" t="s">
        <v>37</v>
      </c>
      <c r="I210" s="5">
        <v>44378</v>
      </c>
      <c r="J210" s="6">
        <v>99</v>
      </c>
      <c r="K210" s="77">
        <v>99</v>
      </c>
      <c r="L210" s="6">
        <v>4.2619999999999996</v>
      </c>
      <c r="M210" s="77">
        <v>4.2619999999999996</v>
      </c>
      <c r="N210" s="6">
        <v>4.2619999999999996</v>
      </c>
      <c r="O210" s="77">
        <v>4.2619999999999996</v>
      </c>
      <c r="P210" s="6">
        <v>0</v>
      </c>
      <c r="Q210" s="4" t="s">
        <v>26</v>
      </c>
      <c r="R210" s="4">
        <v>0</v>
      </c>
      <c r="S210" s="4">
        <v>28</v>
      </c>
      <c r="T210" s="4">
        <v>30</v>
      </c>
      <c r="U210" s="4">
        <v>66</v>
      </c>
      <c r="V210" s="77">
        <f>IF(ISERROR(VLOOKUP($S$210,'TAR FIN'!$A$1:$O$95,15,0)),0,VLOOKUP($S$210,'TAR FIN'!$A$1:$O$95,15,0))*(1-0.06)</f>
        <v>49.810600000000001</v>
      </c>
      <c r="W210" s="77">
        <f>IF(ISERROR(VLOOKUP($T$210,'TAR FIN'!$A$1:$O$95,15,0)),0,VLOOKUP($T$210,'TAR FIN'!$A$1:$O$95,15,0))*(1-0.06)</f>
        <v>140.65219999999999</v>
      </c>
      <c r="X210" s="77">
        <f>IF(ISERROR(VLOOKUP($U$210,'TAR FIN'!$A$1:$O$95,15,0)),0,VLOOKUP($U$210,'TAR FIN'!$A$1:$O$95,15,0))*(1-0.06)</f>
        <v>365.92319999999995</v>
      </c>
      <c r="Y210" s="77">
        <f ca="1">('TUSD BE'!$AM$10+'TUSD BF'!$AM$10+'TUSD CVA'!$AM$10)*1*(1-0.04)</f>
        <v>56.905297608167956</v>
      </c>
      <c r="Z210" s="77">
        <f ca="1">('TUSD BE'!$AM$12+'TUSD BF'!$AM$12+'TUSD CVA'!$AM$12)*1*(1-0.04)</f>
        <v>161.7728460762047</v>
      </c>
      <c r="AA210" s="77">
        <f>('TE BE'!$AA$7+'TE BF'!$AA$7+'TE CVA'!$AA$7)*1*(1-0.04)</f>
        <v>436.15542521126838</v>
      </c>
      <c r="AB210" s="77">
        <f>(SUBSIDIO!$J$210*SUBSIDIO!$V$210)*(0.06)/(1-0.06)</f>
        <v>314.76060000000001</v>
      </c>
      <c r="AC210" s="77">
        <f>((SUBSIDIO!$L$210*SUBSIDIO!$W$210)+(SUBSIDIO!$N$210*SUBSIDIO!$X$210))*(0.06)/(1-0.06)</f>
        <v>137.81006519999997</v>
      </c>
      <c r="AD210" s="77">
        <f ca="1">(SUBSIDIO!$J$210*SUBSIDIO!$Y$210)*(0.04)/(1-0.04)</f>
        <v>234.73435263369282</v>
      </c>
      <c r="AE210" s="77">
        <f ca="1">((SUBSIDIO!$L$210*SUBSIDIO!$Z$210)+(SUBSIDIO!$N$210*SUBSIDIO!$AA$210))*(0.04)/(1-0.04)</f>
        <v>106.18209550946709</v>
      </c>
      <c r="AF210" s="4" t="s">
        <v>844</v>
      </c>
    </row>
    <row r="211" spans="1:32" ht="11.25" customHeight="1" x14ac:dyDescent="0.25">
      <c r="A211" s="4" t="s">
        <v>28</v>
      </c>
      <c r="B211" s="4" t="s">
        <v>35</v>
      </c>
      <c r="C211" s="4" t="s">
        <v>44</v>
      </c>
      <c r="D211" s="4" t="s">
        <v>47</v>
      </c>
      <c r="E211" s="4" t="s">
        <v>25</v>
      </c>
      <c r="F211" s="4" t="s">
        <v>25</v>
      </c>
      <c r="G211" s="4" t="s">
        <v>25</v>
      </c>
      <c r="H211" s="4" t="s">
        <v>37</v>
      </c>
      <c r="I211" s="5">
        <v>44378</v>
      </c>
      <c r="J211" s="6">
        <v>461</v>
      </c>
      <c r="K211" s="77">
        <v>461</v>
      </c>
      <c r="L211" s="6">
        <v>9.5039999999999996</v>
      </c>
      <c r="M211" s="77">
        <v>9.5039999999999996</v>
      </c>
      <c r="N211" s="6">
        <v>9.5039999999999996</v>
      </c>
      <c r="O211" s="77">
        <v>9.5039999999999996</v>
      </c>
      <c r="P211" s="6">
        <v>0</v>
      </c>
      <c r="Q211" s="4" t="s">
        <v>26</v>
      </c>
      <c r="R211" s="4">
        <v>0</v>
      </c>
      <c r="S211" s="4">
        <v>28</v>
      </c>
      <c r="T211" s="4">
        <v>30</v>
      </c>
      <c r="U211" s="4">
        <v>66</v>
      </c>
      <c r="V211" s="77">
        <f>IF(ISERROR(VLOOKUP($S$211,'TAR FIN'!$A$1:$O$95,15,0)),0,VLOOKUP($S$211,'TAR FIN'!$A$1:$O$95,15,0))*(1-0.06)</f>
        <v>49.810600000000001</v>
      </c>
      <c r="W211" s="77">
        <f>IF(ISERROR(VLOOKUP($T$211,'TAR FIN'!$A$1:$O$95,15,0)),0,VLOOKUP($T$211,'TAR FIN'!$A$1:$O$95,15,0))*(1-0.06)</f>
        <v>140.65219999999999</v>
      </c>
      <c r="X211" s="77">
        <f>IF(ISERROR(VLOOKUP($U$211,'TAR FIN'!$A$1:$O$95,15,0)),0,VLOOKUP($U$211,'TAR FIN'!$A$1:$O$95,15,0))*(1-0.06)</f>
        <v>365.92319999999995</v>
      </c>
      <c r="Y211" s="77">
        <f ca="1">('TUSD BE'!$AM$10+'TUSD BF'!$AM$10+'TUSD CVA'!$AM$10)*1*(1-0.04)</f>
        <v>56.905297608167956</v>
      </c>
      <c r="Z211" s="77">
        <f ca="1">('TUSD BE'!$AM$12+'TUSD BF'!$AM$12+'TUSD CVA'!$AM$12)*1*(1-0.04)</f>
        <v>161.7728460762047</v>
      </c>
      <c r="AA211" s="77">
        <f>('TE BE'!$AA$7+'TE BF'!$AA$7+'TE CVA'!$AA$7)*1*(1-0.04)</f>
        <v>436.15542521126838</v>
      </c>
      <c r="AB211" s="77">
        <f>(SUBSIDIO!$J$211*SUBSIDIO!$V$211)*(0.06)/(1-0.06)</f>
        <v>1465.7034000000001</v>
      </c>
      <c r="AC211" s="77">
        <f>((SUBSIDIO!$L$211*SUBSIDIO!$W$211)+(SUBSIDIO!$N$211*SUBSIDIO!$X$211))*(0.06)/(1-0.06)</f>
        <v>307.30803839999993</v>
      </c>
      <c r="AD211" s="77">
        <f ca="1">(SUBSIDIO!$J$211*SUBSIDIO!$Y$211)*(0.04)/(1-0.04)</f>
        <v>1093.0559248902264</v>
      </c>
      <c r="AE211" s="77">
        <f ca="1">((SUBSIDIO!$L$211*SUBSIDIO!$Z$211)+(SUBSIDIO!$N$211*SUBSIDIO!$AA$211))*(0.04)/(1-0.04)</f>
        <v>236.77959542983933</v>
      </c>
      <c r="AF211" s="4" t="s">
        <v>844</v>
      </c>
    </row>
    <row r="212" spans="1:32" ht="11.25" customHeight="1" x14ac:dyDescent="0.25">
      <c r="A212" s="4" t="s">
        <v>21</v>
      </c>
      <c r="B212" s="4" t="s">
        <v>35</v>
      </c>
      <c r="C212" s="4" t="s">
        <v>44</v>
      </c>
      <c r="D212" s="4" t="s">
        <v>47</v>
      </c>
      <c r="E212" s="4" t="s">
        <v>25</v>
      </c>
      <c r="F212" s="4" t="s">
        <v>25</v>
      </c>
      <c r="G212" s="4" t="s">
        <v>25</v>
      </c>
      <c r="H212" s="4" t="s">
        <v>37</v>
      </c>
      <c r="I212" s="5">
        <v>44409</v>
      </c>
      <c r="J212" s="6">
        <v>102</v>
      </c>
      <c r="K212" s="77">
        <v>102</v>
      </c>
      <c r="L212" s="6">
        <v>4.093</v>
      </c>
      <c r="M212" s="77">
        <v>4.093</v>
      </c>
      <c r="N212" s="6">
        <v>4.093</v>
      </c>
      <c r="O212" s="77">
        <v>4.093</v>
      </c>
      <c r="P212" s="6">
        <v>0</v>
      </c>
      <c r="Q212" s="4" t="s">
        <v>26</v>
      </c>
      <c r="R212" s="4">
        <v>0</v>
      </c>
      <c r="S212" s="4">
        <v>28</v>
      </c>
      <c r="T212" s="4">
        <v>30</v>
      </c>
      <c r="U212" s="4">
        <v>66</v>
      </c>
      <c r="V212" s="77">
        <f>IF(ISERROR(VLOOKUP($S$212,'TAR FIN'!$A$1:$O$95,15,0)),0,VLOOKUP($S$212,'TAR FIN'!$A$1:$O$95,15,0))*(1-0.06)</f>
        <v>49.810600000000001</v>
      </c>
      <c r="W212" s="77">
        <f>IF(ISERROR(VLOOKUP($T$212,'TAR FIN'!$A$1:$O$95,15,0)),0,VLOOKUP($T$212,'TAR FIN'!$A$1:$O$95,15,0))*(1-0.06)</f>
        <v>140.65219999999999</v>
      </c>
      <c r="X212" s="77">
        <f>IF(ISERROR(VLOOKUP($U$212,'TAR FIN'!$A$1:$O$95,15,0)),0,VLOOKUP($U$212,'TAR FIN'!$A$1:$O$95,15,0))*(1-0.06)</f>
        <v>365.92319999999995</v>
      </c>
      <c r="Y212" s="77">
        <f ca="1">('TUSD BE'!$AM$10+'TUSD BF'!$AM$10+'TUSD CVA'!$AM$10)*1*(1-0.04)</f>
        <v>56.905297608167956</v>
      </c>
      <c r="Z212" s="77">
        <f ca="1">('TUSD BE'!$AM$12+'TUSD BF'!$AM$12+'TUSD CVA'!$AM$12)*1*(1-0.04)</f>
        <v>161.7728460762047</v>
      </c>
      <c r="AA212" s="77">
        <f>('TE BE'!$AA$7+'TE BF'!$AA$7+'TE CVA'!$AA$7)*1*(1-0.04)</f>
        <v>436.15542521126838</v>
      </c>
      <c r="AB212" s="77">
        <f>(SUBSIDIO!$J$212*SUBSIDIO!$V$212)*(0.06)/(1-0.06)</f>
        <v>324.29880000000003</v>
      </c>
      <c r="AC212" s="77">
        <f>((SUBSIDIO!$L$212*SUBSIDIO!$W$212)+(SUBSIDIO!$N$212*SUBSIDIO!$X$212))*(0.06)/(1-0.06)</f>
        <v>132.34551780000001</v>
      </c>
      <c r="AD212" s="77">
        <f ca="1">(SUBSIDIO!$J$212*SUBSIDIO!$Y$212)*(0.04)/(1-0.04)</f>
        <v>241.84751483471385</v>
      </c>
      <c r="AE212" s="77">
        <f ca="1">((SUBSIDIO!$L$212*SUBSIDIO!$Z$212)+(SUBSIDIO!$N$212*SUBSIDIO!$AA$212))*(0.04)/(1-0.04)</f>
        <v>101.97168393248448</v>
      </c>
      <c r="AF212" s="4" t="s">
        <v>844</v>
      </c>
    </row>
    <row r="213" spans="1:32" ht="11.25" customHeight="1" x14ac:dyDescent="0.25">
      <c r="A213" s="4" t="s">
        <v>28</v>
      </c>
      <c r="B213" s="4" t="s">
        <v>35</v>
      </c>
      <c r="C213" s="4" t="s">
        <v>44</v>
      </c>
      <c r="D213" s="4" t="s">
        <v>47</v>
      </c>
      <c r="E213" s="4" t="s">
        <v>25</v>
      </c>
      <c r="F213" s="4" t="s">
        <v>25</v>
      </c>
      <c r="G213" s="4" t="s">
        <v>25</v>
      </c>
      <c r="H213" s="4" t="s">
        <v>37</v>
      </c>
      <c r="I213" s="5">
        <v>44409</v>
      </c>
      <c r="J213" s="6">
        <v>719</v>
      </c>
      <c r="K213" s="77">
        <v>719</v>
      </c>
      <c r="L213" s="6">
        <v>10.656000000000001</v>
      </c>
      <c r="M213" s="77">
        <v>10.656000000000001</v>
      </c>
      <c r="N213" s="6">
        <v>10.656000000000001</v>
      </c>
      <c r="O213" s="77">
        <v>10.656000000000001</v>
      </c>
      <c r="P213" s="6">
        <v>0</v>
      </c>
      <c r="Q213" s="4" t="s">
        <v>26</v>
      </c>
      <c r="R213" s="4">
        <v>0</v>
      </c>
      <c r="S213" s="4">
        <v>28</v>
      </c>
      <c r="T213" s="4">
        <v>30</v>
      </c>
      <c r="U213" s="4">
        <v>66</v>
      </c>
      <c r="V213" s="77">
        <f>IF(ISERROR(VLOOKUP($S$213,'TAR FIN'!$A$1:$O$95,15,0)),0,VLOOKUP($S$213,'TAR FIN'!$A$1:$O$95,15,0))*(1-0.06)</f>
        <v>49.810600000000001</v>
      </c>
      <c r="W213" s="77">
        <f>IF(ISERROR(VLOOKUP($T$213,'TAR FIN'!$A$1:$O$95,15,0)),0,VLOOKUP($T$213,'TAR FIN'!$A$1:$O$95,15,0))*(1-0.06)</f>
        <v>140.65219999999999</v>
      </c>
      <c r="X213" s="77">
        <f>IF(ISERROR(VLOOKUP($U$213,'TAR FIN'!$A$1:$O$95,15,0)),0,VLOOKUP($U$213,'TAR FIN'!$A$1:$O$95,15,0))*(1-0.06)</f>
        <v>365.92319999999995</v>
      </c>
      <c r="Y213" s="77">
        <f ca="1">('TUSD BE'!$AM$10+'TUSD BF'!$AM$10+'TUSD CVA'!$AM$10)*1*(1-0.04)</f>
        <v>56.905297608167956</v>
      </c>
      <c r="Z213" s="77">
        <f ca="1">('TUSD BE'!$AM$12+'TUSD BF'!$AM$12+'TUSD CVA'!$AM$12)*1*(1-0.04)</f>
        <v>161.7728460762047</v>
      </c>
      <c r="AA213" s="77">
        <f>('TE BE'!$AA$7+'TE BF'!$AA$7+'TE CVA'!$AA$7)*1*(1-0.04)</f>
        <v>436.15542521126838</v>
      </c>
      <c r="AB213" s="77">
        <f>(SUBSIDIO!$J$213*SUBSIDIO!$V$213)*(0.06)/(1-0.06)</f>
        <v>2285.9886000000001</v>
      </c>
      <c r="AC213" s="77">
        <f>((SUBSIDIO!$L$213*SUBSIDIO!$W$213)+(SUBSIDIO!$N$213*SUBSIDIO!$X$213))*(0.06)/(1-0.06)</f>
        <v>344.55749759999992</v>
      </c>
      <c r="AD213" s="77">
        <f ca="1">(SUBSIDIO!$J$213*SUBSIDIO!$Y$213)*(0.04)/(1-0.04)</f>
        <v>1704.7878741780319</v>
      </c>
      <c r="AE213" s="77">
        <f ca="1">((SUBSIDIO!$L$213*SUBSIDIO!$Z$213)+(SUBSIDIO!$N$213*SUBSIDIO!$AA$213))*(0.04)/(1-0.04)</f>
        <v>265.48015245163811</v>
      </c>
      <c r="AF213" s="4" t="s">
        <v>844</v>
      </c>
    </row>
    <row r="214" spans="1:32" ht="11.25" customHeight="1" x14ac:dyDescent="0.25">
      <c r="A214" s="4" t="s">
        <v>21</v>
      </c>
      <c r="B214" s="4" t="s">
        <v>35</v>
      </c>
      <c r="C214" s="4" t="s">
        <v>44</v>
      </c>
      <c r="D214" s="4" t="s">
        <v>47</v>
      </c>
      <c r="E214" s="4" t="s">
        <v>25</v>
      </c>
      <c r="F214" s="4" t="s">
        <v>25</v>
      </c>
      <c r="G214" s="4" t="s">
        <v>25</v>
      </c>
      <c r="H214" s="4" t="s">
        <v>37</v>
      </c>
      <c r="I214" s="5">
        <v>44440</v>
      </c>
      <c r="J214" s="6">
        <v>660</v>
      </c>
      <c r="K214" s="77">
        <v>660</v>
      </c>
      <c r="L214" s="6">
        <v>4.327</v>
      </c>
      <c r="M214" s="77">
        <v>4.327</v>
      </c>
      <c r="N214" s="6">
        <v>4.327</v>
      </c>
      <c r="O214" s="77">
        <v>4.327</v>
      </c>
      <c r="P214" s="6">
        <v>0</v>
      </c>
      <c r="Q214" s="4" t="s">
        <v>26</v>
      </c>
      <c r="R214" s="4">
        <v>0</v>
      </c>
      <c r="S214" s="4">
        <v>28</v>
      </c>
      <c r="T214" s="4">
        <v>30</v>
      </c>
      <c r="U214" s="4">
        <v>66</v>
      </c>
      <c r="V214" s="77">
        <f>IF(ISERROR(VLOOKUP($S$214,'TAR FIN'!$A$1:$O$95,15,0)),0,VLOOKUP($S$214,'TAR FIN'!$A$1:$O$95,15,0))*(1-0.06)</f>
        <v>49.810600000000001</v>
      </c>
      <c r="W214" s="77">
        <f>IF(ISERROR(VLOOKUP($T$214,'TAR FIN'!$A$1:$O$95,15,0)),0,VLOOKUP($T$214,'TAR FIN'!$A$1:$O$95,15,0))*(1-0.06)</f>
        <v>140.65219999999999</v>
      </c>
      <c r="X214" s="77">
        <f>IF(ISERROR(VLOOKUP($U$214,'TAR FIN'!$A$1:$O$95,15,0)),0,VLOOKUP($U$214,'TAR FIN'!$A$1:$O$95,15,0))*(1-0.06)</f>
        <v>365.92319999999995</v>
      </c>
      <c r="Y214" s="77">
        <f ca="1">('TUSD BE'!$AM$10+'TUSD BF'!$AM$10+'TUSD CVA'!$AM$10)*1*(1-0.04)</f>
        <v>56.905297608167956</v>
      </c>
      <c r="Z214" s="77">
        <f ca="1">('TUSD BE'!$AM$12+'TUSD BF'!$AM$12+'TUSD CVA'!$AM$12)*1*(1-0.04)</f>
        <v>161.7728460762047</v>
      </c>
      <c r="AA214" s="77">
        <f>('TE BE'!$AA$7+'TE BF'!$AA$7+'TE CVA'!$AA$7)*1*(1-0.04)</f>
        <v>436.15542521126838</v>
      </c>
      <c r="AB214" s="77">
        <f>(SUBSIDIO!$J$214*SUBSIDIO!$V$214)*(0.06)/(1-0.06)</f>
        <v>2098.404</v>
      </c>
      <c r="AC214" s="77">
        <f>((SUBSIDIO!$L$214*SUBSIDIO!$W$214)+(SUBSIDIO!$N$214*SUBSIDIO!$X$214))*(0.06)/(1-0.06)</f>
        <v>139.91181419999998</v>
      </c>
      <c r="AD214" s="77">
        <f ca="1">(SUBSIDIO!$J$214*SUBSIDIO!$Y$214)*(0.04)/(1-0.04)</f>
        <v>1564.8956842246189</v>
      </c>
      <c r="AE214" s="77">
        <f ca="1">((SUBSIDIO!$L$214*SUBSIDIO!$Z$214)+(SUBSIDIO!$N$214*SUBSIDIO!$AA$214))*(0.04)/(1-0.04)</f>
        <v>107.80148457753735</v>
      </c>
      <c r="AF214" s="4" t="s">
        <v>844</v>
      </c>
    </row>
    <row r="215" spans="1:32" ht="11.25" customHeight="1" x14ac:dyDescent="0.25">
      <c r="A215" s="4" t="s">
        <v>28</v>
      </c>
      <c r="B215" s="4" t="s">
        <v>35</v>
      </c>
      <c r="C215" s="4" t="s">
        <v>44</v>
      </c>
      <c r="D215" s="4" t="s">
        <v>47</v>
      </c>
      <c r="E215" s="4" t="s">
        <v>25</v>
      </c>
      <c r="F215" s="4" t="s">
        <v>25</v>
      </c>
      <c r="G215" s="4" t="s">
        <v>25</v>
      </c>
      <c r="H215" s="4" t="s">
        <v>37</v>
      </c>
      <c r="I215" s="5">
        <v>44440</v>
      </c>
      <c r="J215" s="6">
        <v>671</v>
      </c>
      <c r="K215" s="77">
        <v>671</v>
      </c>
      <c r="L215" s="6">
        <v>7.6319999999999997</v>
      </c>
      <c r="M215" s="77">
        <v>7.6319999999999997</v>
      </c>
      <c r="N215" s="6">
        <v>7.6319999999999997</v>
      </c>
      <c r="O215" s="77">
        <v>7.6319999999999997</v>
      </c>
      <c r="P215" s="6">
        <v>0</v>
      </c>
      <c r="Q215" s="4" t="s">
        <v>26</v>
      </c>
      <c r="R215" s="4">
        <v>0</v>
      </c>
      <c r="S215" s="4">
        <v>28</v>
      </c>
      <c r="T215" s="4">
        <v>30</v>
      </c>
      <c r="U215" s="4">
        <v>66</v>
      </c>
      <c r="V215" s="77">
        <f>IF(ISERROR(VLOOKUP($S$215,'TAR FIN'!$A$1:$O$95,15,0)),0,VLOOKUP($S$215,'TAR FIN'!$A$1:$O$95,15,0))*(1-0.06)</f>
        <v>49.810600000000001</v>
      </c>
      <c r="W215" s="77">
        <f>IF(ISERROR(VLOOKUP($T$215,'TAR FIN'!$A$1:$O$95,15,0)),0,VLOOKUP($T$215,'TAR FIN'!$A$1:$O$95,15,0))*(1-0.06)</f>
        <v>140.65219999999999</v>
      </c>
      <c r="X215" s="77">
        <f>IF(ISERROR(VLOOKUP($U$215,'TAR FIN'!$A$1:$O$95,15,0)),0,VLOOKUP($U$215,'TAR FIN'!$A$1:$O$95,15,0))*(1-0.06)</f>
        <v>365.92319999999995</v>
      </c>
      <c r="Y215" s="77">
        <f ca="1">('TUSD BE'!$AM$10+'TUSD BF'!$AM$10+'TUSD CVA'!$AM$10)*1*(1-0.04)</f>
        <v>56.905297608167956</v>
      </c>
      <c r="Z215" s="77">
        <f ca="1">('TUSD BE'!$AM$12+'TUSD BF'!$AM$12+'TUSD CVA'!$AM$12)*1*(1-0.04)</f>
        <v>161.7728460762047</v>
      </c>
      <c r="AA215" s="77">
        <f>('TE BE'!$AA$7+'TE BF'!$AA$7+'TE CVA'!$AA$7)*1*(1-0.04)</f>
        <v>436.15542521126838</v>
      </c>
      <c r="AB215" s="77">
        <f>(SUBSIDIO!$J$215*SUBSIDIO!$V$215)*(0.06)/(1-0.06)</f>
        <v>2133.3774000000003</v>
      </c>
      <c r="AC215" s="77">
        <f>((SUBSIDIO!$L$215*SUBSIDIO!$W$215)+(SUBSIDIO!$N$215*SUBSIDIO!$X$215))*(0.06)/(1-0.06)</f>
        <v>246.7776672</v>
      </c>
      <c r="AD215" s="77">
        <f ca="1">(SUBSIDIO!$J$215*SUBSIDIO!$Y$215)*(0.04)/(1-0.04)</f>
        <v>1590.9772789616959</v>
      </c>
      <c r="AE215" s="77">
        <f ca="1">((SUBSIDIO!$L$215*SUBSIDIO!$Z$215)+(SUBSIDIO!$N$215*SUBSIDIO!$AA$215))*(0.04)/(1-0.04)</f>
        <v>190.14119026941646</v>
      </c>
      <c r="AF215" s="4" t="s">
        <v>844</v>
      </c>
    </row>
    <row r="216" spans="1:32" ht="11.25" customHeight="1" x14ac:dyDescent="0.25">
      <c r="A216" s="4" t="s">
        <v>59</v>
      </c>
      <c r="B216" s="4" t="s">
        <v>35</v>
      </c>
      <c r="C216" s="4" t="s">
        <v>44</v>
      </c>
      <c r="D216" s="4" t="s">
        <v>47</v>
      </c>
      <c r="E216" s="4" t="s">
        <v>25</v>
      </c>
      <c r="F216" s="4" t="s">
        <v>25</v>
      </c>
      <c r="G216" s="4" t="s">
        <v>25</v>
      </c>
      <c r="H216" s="4" t="s">
        <v>37</v>
      </c>
      <c r="I216" s="5">
        <v>44470</v>
      </c>
      <c r="J216" s="6">
        <v>660</v>
      </c>
      <c r="K216" s="77">
        <v>660</v>
      </c>
      <c r="L216" s="6">
        <v>4.327</v>
      </c>
      <c r="M216" s="77">
        <v>4.327</v>
      </c>
      <c r="N216" s="6">
        <v>4.327</v>
      </c>
      <c r="O216" s="77">
        <v>4.327</v>
      </c>
      <c r="P216" s="6">
        <v>0</v>
      </c>
      <c r="Q216" s="4" t="s">
        <v>26</v>
      </c>
      <c r="R216" s="4">
        <v>0</v>
      </c>
      <c r="S216" s="4">
        <v>28</v>
      </c>
      <c r="T216" s="4">
        <v>30</v>
      </c>
      <c r="U216" s="4">
        <v>66</v>
      </c>
      <c r="V216" s="77">
        <f>IF(ISERROR(VLOOKUP($S$216,'TAR FIN'!$A$1:$O$95,15,0)),0,VLOOKUP($S$216,'TAR FIN'!$A$1:$O$95,15,0))*(1-0.06)</f>
        <v>49.810600000000001</v>
      </c>
      <c r="W216" s="77">
        <f>IF(ISERROR(VLOOKUP($T$216,'TAR FIN'!$A$1:$O$95,15,0)),0,VLOOKUP($T$216,'TAR FIN'!$A$1:$O$95,15,0))*(1-0.06)</f>
        <v>140.65219999999999</v>
      </c>
      <c r="X216" s="77">
        <f>IF(ISERROR(VLOOKUP($U$216,'TAR FIN'!$A$1:$O$95,15,0)),0,VLOOKUP($U$216,'TAR FIN'!$A$1:$O$95,15,0))*(1-0.06)</f>
        <v>365.92319999999995</v>
      </c>
      <c r="Y216" s="77">
        <f ca="1">('TUSD BE'!$AM$10+'TUSD BF'!$AM$10+'TUSD CVA'!$AM$10)*1*(1-0.04)</f>
        <v>56.905297608167956</v>
      </c>
      <c r="Z216" s="77">
        <f ca="1">('TUSD BE'!$AM$12+'TUSD BF'!$AM$12+'TUSD CVA'!$AM$12)*1*(1-0.04)</f>
        <v>161.7728460762047</v>
      </c>
      <c r="AA216" s="77">
        <f>('TE BE'!$AA$7+'TE BF'!$AA$7+'TE CVA'!$AA$7)*1*(1-0.04)</f>
        <v>436.15542521126838</v>
      </c>
      <c r="AB216" s="77">
        <f>(SUBSIDIO!$J$216*SUBSIDIO!$V$216)*(0.06)/(1-0.06)</f>
        <v>2098.404</v>
      </c>
      <c r="AC216" s="77">
        <f>((SUBSIDIO!$L$216*SUBSIDIO!$W$216)+(SUBSIDIO!$N$216*SUBSIDIO!$X$216))*(0.06)/(1-0.06)</f>
        <v>139.91181419999998</v>
      </c>
      <c r="AD216" s="77">
        <f ca="1">(SUBSIDIO!$J$216*SUBSIDIO!$Y$216)*(0.04)/(1-0.04)</f>
        <v>1564.8956842246189</v>
      </c>
      <c r="AE216" s="77">
        <f ca="1">((SUBSIDIO!$L$216*SUBSIDIO!$Z$216)+(SUBSIDIO!$N$216*SUBSIDIO!$AA$216))*(0.04)/(1-0.04)</f>
        <v>107.80148457753735</v>
      </c>
      <c r="AF216" s="4" t="s">
        <v>844</v>
      </c>
    </row>
    <row r="217" spans="1:32" ht="11.25" customHeight="1" x14ac:dyDescent="0.25">
      <c r="A217" s="4" t="s">
        <v>59</v>
      </c>
      <c r="B217" s="4" t="s">
        <v>35</v>
      </c>
      <c r="C217" s="4" t="s">
        <v>44</v>
      </c>
      <c r="D217" s="4" t="s">
        <v>47</v>
      </c>
      <c r="E217" s="4" t="s">
        <v>25</v>
      </c>
      <c r="F217" s="4" t="s">
        <v>25</v>
      </c>
      <c r="G217" s="4" t="s">
        <v>25</v>
      </c>
      <c r="H217" s="4" t="s">
        <v>37</v>
      </c>
      <c r="I217" s="5">
        <v>44470</v>
      </c>
      <c r="J217" s="6">
        <v>671</v>
      </c>
      <c r="K217" s="77">
        <v>671</v>
      </c>
      <c r="L217" s="6">
        <v>7.6319999999999997</v>
      </c>
      <c r="M217" s="77">
        <v>7.6319999999999997</v>
      </c>
      <c r="N217" s="6">
        <v>7.6319999999999997</v>
      </c>
      <c r="O217" s="77">
        <v>7.6319999999999997</v>
      </c>
      <c r="P217" s="6">
        <v>0</v>
      </c>
      <c r="Q217" s="4" t="s">
        <v>26</v>
      </c>
      <c r="R217" s="4">
        <v>0</v>
      </c>
      <c r="S217" s="4">
        <v>28</v>
      </c>
      <c r="T217" s="4">
        <v>30</v>
      </c>
      <c r="U217" s="4">
        <v>66</v>
      </c>
      <c r="V217" s="77">
        <f>IF(ISERROR(VLOOKUP($S$217,'TAR FIN'!$A$1:$O$95,15,0)),0,VLOOKUP($S$217,'TAR FIN'!$A$1:$O$95,15,0))*(1-0.06)</f>
        <v>49.810600000000001</v>
      </c>
      <c r="W217" s="77">
        <f>IF(ISERROR(VLOOKUP($T$217,'TAR FIN'!$A$1:$O$95,15,0)),0,VLOOKUP($T$217,'TAR FIN'!$A$1:$O$95,15,0))*(1-0.06)</f>
        <v>140.65219999999999</v>
      </c>
      <c r="X217" s="77">
        <f>IF(ISERROR(VLOOKUP($U$217,'TAR FIN'!$A$1:$O$95,15,0)),0,VLOOKUP($U$217,'TAR FIN'!$A$1:$O$95,15,0))*(1-0.06)</f>
        <v>365.92319999999995</v>
      </c>
      <c r="Y217" s="77">
        <f ca="1">('TUSD BE'!$AM$10+'TUSD BF'!$AM$10+'TUSD CVA'!$AM$10)*1*(1-0.04)</f>
        <v>56.905297608167956</v>
      </c>
      <c r="Z217" s="77">
        <f ca="1">('TUSD BE'!$AM$12+'TUSD BF'!$AM$12+'TUSD CVA'!$AM$12)*1*(1-0.04)</f>
        <v>161.7728460762047</v>
      </c>
      <c r="AA217" s="77">
        <f>('TE BE'!$AA$7+'TE BF'!$AA$7+'TE CVA'!$AA$7)*1*(1-0.04)</f>
        <v>436.15542521126838</v>
      </c>
      <c r="AB217" s="77">
        <f>(SUBSIDIO!$J$217*SUBSIDIO!$V$217)*(0.06)/(1-0.06)</f>
        <v>2133.3774000000003</v>
      </c>
      <c r="AC217" s="77">
        <f>((SUBSIDIO!$L$217*SUBSIDIO!$W$217)+(SUBSIDIO!$N$217*SUBSIDIO!$X$217))*(0.06)/(1-0.06)</f>
        <v>246.7776672</v>
      </c>
      <c r="AD217" s="77">
        <f ca="1">(SUBSIDIO!$J$217*SUBSIDIO!$Y$217)*(0.04)/(1-0.04)</f>
        <v>1590.9772789616959</v>
      </c>
      <c r="AE217" s="77">
        <f ca="1">((SUBSIDIO!$L$217*SUBSIDIO!$Z$217)+(SUBSIDIO!$N$217*SUBSIDIO!$AA$217))*(0.04)/(1-0.04)</f>
        <v>190.14119026941646</v>
      </c>
      <c r="AF217" s="4" t="s">
        <v>844</v>
      </c>
    </row>
    <row r="218" spans="1:32" ht="11.25" customHeight="1" x14ac:dyDescent="0.25">
      <c r="A218" s="4" t="s">
        <v>21</v>
      </c>
      <c r="B218" s="4" t="s">
        <v>35</v>
      </c>
      <c r="C218" s="4" t="s">
        <v>44</v>
      </c>
      <c r="D218" s="4" t="s">
        <v>52</v>
      </c>
      <c r="E218" s="4" t="s">
        <v>53</v>
      </c>
      <c r="F218" s="4" t="s">
        <v>25</v>
      </c>
      <c r="G218" s="4" t="s">
        <v>25</v>
      </c>
      <c r="H218" s="4" t="s">
        <v>38</v>
      </c>
      <c r="I218" s="5">
        <v>44136</v>
      </c>
      <c r="J218" s="6">
        <v>1274</v>
      </c>
      <c r="K218" s="78">
        <v>1274</v>
      </c>
      <c r="L218" s="6">
        <v>446.23700000000002</v>
      </c>
      <c r="M218" s="77">
        <v>446.23700000000002</v>
      </c>
      <c r="N218" s="6">
        <v>446.23700000000002</v>
      </c>
      <c r="O218" s="77">
        <v>446.23700000000002</v>
      </c>
      <c r="P218" s="6">
        <v>0</v>
      </c>
      <c r="Q218" s="4" t="s">
        <v>26</v>
      </c>
      <c r="R218" s="4">
        <v>0</v>
      </c>
      <c r="S218" s="4">
        <v>29</v>
      </c>
      <c r="T218" s="4">
        <v>30</v>
      </c>
      <c r="U218" s="4">
        <v>67</v>
      </c>
      <c r="V218" s="77">
        <f>IF(ISERROR(VLOOKUP($S$218,'TAR FIN'!$A$1:$O$95,15,0)),0,VLOOKUP($S$218,'TAR FIN'!$A$1:$O$95,15,0))*(1-0.09)</f>
        <v>25.998699999999999</v>
      </c>
      <c r="W218" s="77">
        <f>IF(ISERROR(VLOOKUP($T$218,'TAR FIN'!$A$1:$O$95,15,0)),0,VLOOKUP($T$218,'TAR FIN'!$A$1:$O$95,15,0))*(1-0.09)</f>
        <v>136.16329999999999</v>
      </c>
      <c r="X218" s="77">
        <f>IF(ISERROR(VLOOKUP($U$218,'TAR FIN'!$A$1:$O$95,15,0)),0,VLOOKUP($U$218,'TAR FIN'!$A$1:$O$95,15,0))*(1-0.09)</f>
        <v>209.32730000000001</v>
      </c>
      <c r="Y218" s="77">
        <f ca="1">('TUSD BE'!$AM$11+'TUSD BF'!$AM$11+'TUSD CVA'!$AM$11)*1*(1-0.06)</f>
        <v>30.014803359426047</v>
      </c>
      <c r="Z218" s="77">
        <f ca="1">('TUSD BE'!$AM$12+'TUSD BF'!$AM$12+'TUSD CVA'!$AM$12)*1*(1-0.06)</f>
        <v>158.4025784496171</v>
      </c>
      <c r="AA218" s="77">
        <f>('TE BE'!$AA$8+'TE BF'!$AA$8+'TE CVA'!$AA$8)*1*(1-0.06)</f>
        <v>265.94235573400078</v>
      </c>
      <c r="AB218" s="77">
        <f>(SUBSIDIO!$J$218*SUBSIDIO!$V$218)*(0.09)/(1-0.09)</f>
        <v>3275.8361999999997</v>
      </c>
      <c r="AC218" s="77">
        <f>((SUBSIDIO!$L$218*SUBSIDIO!$W$218)+(SUBSIDIO!$N$218*SUBSIDIO!$X$218))*(0.09)/(1-0.09)</f>
        <v>15247.6505478</v>
      </c>
      <c r="AD218" s="77">
        <f ca="1">(SUBSIDIO!$J$218*SUBSIDIO!$Y$218)*(0.06)/(1-0.06)</f>
        <v>2440.7782646750288</v>
      </c>
      <c r="AE218" s="77">
        <f ca="1">((SUBSIDIO!$L$218*SUBSIDIO!$Z$218)+(SUBSIDIO!$N$218*SUBSIDIO!$AA$218))*(0.06)/(1-0.06)</f>
        <v>12086.707046508198</v>
      </c>
      <c r="AF218" s="4" t="s">
        <v>842</v>
      </c>
    </row>
    <row r="219" spans="1:32" ht="11.25" customHeight="1" x14ac:dyDescent="0.25">
      <c r="A219" s="4" t="s">
        <v>28</v>
      </c>
      <c r="B219" s="4" t="s">
        <v>35</v>
      </c>
      <c r="C219" s="4" t="s">
        <v>44</v>
      </c>
      <c r="D219" s="4" t="s">
        <v>52</v>
      </c>
      <c r="E219" s="4" t="s">
        <v>53</v>
      </c>
      <c r="F219" s="4" t="s">
        <v>25</v>
      </c>
      <c r="G219" s="4" t="s">
        <v>25</v>
      </c>
      <c r="H219" s="4" t="s">
        <v>38</v>
      </c>
      <c r="I219" s="5">
        <v>44136</v>
      </c>
      <c r="J219" s="6">
        <v>605</v>
      </c>
      <c r="K219" s="78">
        <v>605</v>
      </c>
      <c r="L219" s="6">
        <v>261.67700000000002</v>
      </c>
      <c r="M219" s="77">
        <v>261.67700000000002</v>
      </c>
      <c r="N219" s="6">
        <v>261.67700000000002</v>
      </c>
      <c r="O219" s="77">
        <v>261.67700000000002</v>
      </c>
      <c r="P219" s="6">
        <v>0</v>
      </c>
      <c r="Q219" s="4" t="s">
        <v>26</v>
      </c>
      <c r="R219" s="4">
        <v>0</v>
      </c>
      <c r="S219" s="4">
        <v>29</v>
      </c>
      <c r="T219" s="4">
        <v>30</v>
      </c>
      <c r="U219" s="4">
        <v>67</v>
      </c>
      <c r="V219" s="77">
        <f>IF(ISERROR(VLOOKUP($S$219,'TAR FIN'!$A$1:$O$95,15,0)),0,VLOOKUP($S$219,'TAR FIN'!$A$1:$O$95,15,0))*(1-0.09)</f>
        <v>25.998699999999999</v>
      </c>
      <c r="W219" s="77">
        <f>IF(ISERROR(VLOOKUP($T$219,'TAR FIN'!$A$1:$O$95,15,0)),0,VLOOKUP($T$219,'TAR FIN'!$A$1:$O$95,15,0))*(1-0.09)</f>
        <v>136.16329999999999</v>
      </c>
      <c r="X219" s="77">
        <f>IF(ISERROR(VLOOKUP($U$219,'TAR FIN'!$A$1:$O$95,15,0)),0,VLOOKUP($U$219,'TAR FIN'!$A$1:$O$95,15,0))*(1-0.09)</f>
        <v>209.32730000000001</v>
      </c>
      <c r="Y219" s="77">
        <f ca="1">('TUSD BE'!$AM$11+'TUSD BF'!$AM$11+'TUSD CVA'!$AM$11)*1*(1-0.06)</f>
        <v>30.014803359426047</v>
      </c>
      <c r="Z219" s="77">
        <f ca="1">('TUSD BE'!$AM$12+'TUSD BF'!$AM$12+'TUSD CVA'!$AM$12)*1*(1-0.06)</f>
        <v>158.4025784496171</v>
      </c>
      <c r="AA219" s="77">
        <f>('TE BE'!$AA$8+'TE BF'!$AA$8+'TE CVA'!$AA$8)*1*(1-0.06)</f>
        <v>265.94235573400078</v>
      </c>
      <c r="AB219" s="77">
        <f>(SUBSIDIO!$J$219*SUBSIDIO!$V$219)*(0.09)/(1-0.09)</f>
        <v>1555.6364999999998</v>
      </c>
      <c r="AC219" s="77">
        <f>((SUBSIDIO!$L$219*SUBSIDIO!$W$219)+(SUBSIDIO!$N$219*SUBSIDIO!$X$219))*(0.09)/(1-0.09)</f>
        <v>8941.3460837999992</v>
      </c>
      <c r="AD219" s="77">
        <f ca="1">(SUBSIDIO!$J$219*SUBSIDIO!$Y$219)*(0.06)/(1-0.06)</f>
        <v>1159.082299943793</v>
      </c>
      <c r="AE219" s="77">
        <f ca="1">((SUBSIDIO!$L$219*SUBSIDIO!$Z$219)+(SUBSIDIO!$N$219*SUBSIDIO!$AA$219))*(0.06)/(1-0.06)</f>
        <v>7087.7431495127612</v>
      </c>
      <c r="AF219" s="4" t="s">
        <v>842</v>
      </c>
    </row>
    <row r="220" spans="1:32" ht="11.25" customHeight="1" x14ac:dyDescent="0.25">
      <c r="A220" s="4" t="s">
        <v>21</v>
      </c>
      <c r="B220" s="4" t="s">
        <v>35</v>
      </c>
      <c r="C220" s="4" t="s">
        <v>44</v>
      </c>
      <c r="D220" s="4" t="s">
        <v>52</v>
      </c>
      <c r="E220" s="4" t="s">
        <v>53</v>
      </c>
      <c r="F220" s="4" t="s">
        <v>25</v>
      </c>
      <c r="G220" s="4" t="s">
        <v>25</v>
      </c>
      <c r="H220" s="4" t="s">
        <v>38</v>
      </c>
      <c r="I220" s="5">
        <v>44166</v>
      </c>
      <c r="J220" s="6">
        <v>1275</v>
      </c>
      <c r="K220" s="78">
        <v>1275</v>
      </c>
      <c r="L220" s="6">
        <v>462.72300000000001</v>
      </c>
      <c r="M220" s="77">
        <v>462.72300000000001</v>
      </c>
      <c r="N220" s="6">
        <v>462.72300000000001</v>
      </c>
      <c r="O220" s="77">
        <v>462.72300000000001</v>
      </c>
      <c r="P220" s="6">
        <v>0</v>
      </c>
      <c r="Q220" s="4" t="s">
        <v>26</v>
      </c>
      <c r="R220" s="4">
        <v>0</v>
      </c>
      <c r="S220" s="4">
        <v>29</v>
      </c>
      <c r="T220" s="4">
        <v>30</v>
      </c>
      <c r="U220" s="4">
        <v>67</v>
      </c>
      <c r="V220" s="77">
        <f>IF(ISERROR(VLOOKUP($S$220,'TAR FIN'!$A$1:$O$95,15,0)),0,VLOOKUP($S$220,'TAR FIN'!$A$1:$O$95,15,0))*(1-0.09)</f>
        <v>25.998699999999999</v>
      </c>
      <c r="W220" s="77">
        <f>IF(ISERROR(VLOOKUP($T$220,'TAR FIN'!$A$1:$O$95,15,0)),0,VLOOKUP($T$220,'TAR FIN'!$A$1:$O$95,15,0))*(1-0.09)</f>
        <v>136.16329999999999</v>
      </c>
      <c r="X220" s="77">
        <f>IF(ISERROR(VLOOKUP($U$220,'TAR FIN'!$A$1:$O$95,15,0)),0,VLOOKUP($U$220,'TAR FIN'!$A$1:$O$95,15,0))*(1-0.09)</f>
        <v>209.32730000000001</v>
      </c>
      <c r="Y220" s="77">
        <f ca="1">('TUSD BE'!$AM$11+'TUSD BF'!$AM$11+'TUSD CVA'!$AM$11)*1*(1-0.06)</f>
        <v>30.014803359426047</v>
      </c>
      <c r="Z220" s="77">
        <f ca="1">('TUSD BE'!$AM$12+'TUSD BF'!$AM$12+'TUSD CVA'!$AM$12)*1*(1-0.06)</f>
        <v>158.4025784496171</v>
      </c>
      <c r="AA220" s="77">
        <f>('TE BE'!$AA$8+'TE BF'!$AA$8+'TE CVA'!$AA$8)*1*(1-0.06)</f>
        <v>265.94235573400078</v>
      </c>
      <c r="AB220" s="77">
        <f>(SUBSIDIO!$J$220*SUBSIDIO!$V$220)*(0.09)/(1-0.09)</f>
        <v>3278.4074999999998</v>
      </c>
      <c r="AC220" s="77">
        <f>((SUBSIDIO!$L$220*SUBSIDIO!$W$220)+(SUBSIDIO!$N$220*SUBSIDIO!$X$220))*(0.09)/(1-0.09)</f>
        <v>15810.967276200001</v>
      </c>
      <c r="AD220" s="77">
        <f ca="1">(SUBSIDIO!$J$220*SUBSIDIO!$Y$220)*(0.06)/(1-0.06)</f>
        <v>2442.6941031873325</v>
      </c>
      <c r="AE220" s="77">
        <f ca="1">((SUBSIDIO!$L$220*SUBSIDIO!$Z$220)+(SUBSIDIO!$N$220*SUBSIDIO!$AA$220))*(0.06)/(1-0.06)</f>
        <v>12533.244317888055</v>
      </c>
      <c r="AF220" s="4" t="s">
        <v>842</v>
      </c>
    </row>
    <row r="221" spans="1:32" ht="11.25" customHeight="1" x14ac:dyDescent="0.25">
      <c r="A221" s="4" t="s">
        <v>28</v>
      </c>
      <c r="B221" s="4" t="s">
        <v>35</v>
      </c>
      <c r="C221" s="4" t="s">
        <v>44</v>
      </c>
      <c r="D221" s="4" t="s">
        <v>52</v>
      </c>
      <c r="E221" s="4" t="s">
        <v>53</v>
      </c>
      <c r="F221" s="4" t="s">
        <v>25</v>
      </c>
      <c r="G221" s="4" t="s">
        <v>25</v>
      </c>
      <c r="H221" s="4" t="s">
        <v>38</v>
      </c>
      <c r="I221" s="5">
        <v>44166</v>
      </c>
      <c r="J221" s="6">
        <v>612</v>
      </c>
      <c r="K221" s="78">
        <v>612</v>
      </c>
      <c r="L221" s="6">
        <v>299.572</v>
      </c>
      <c r="M221" s="77">
        <v>299.572</v>
      </c>
      <c r="N221" s="6">
        <v>299.572</v>
      </c>
      <c r="O221" s="77">
        <v>299.572</v>
      </c>
      <c r="P221" s="6">
        <v>0</v>
      </c>
      <c r="Q221" s="4" t="s">
        <v>26</v>
      </c>
      <c r="R221" s="4">
        <v>0</v>
      </c>
      <c r="S221" s="4">
        <v>29</v>
      </c>
      <c r="T221" s="4">
        <v>30</v>
      </c>
      <c r="U221" s="4">
        <v>67</v>
      </c>
      <c r="V221" s="77">
        <f>IF(ISERROR(VLOOKUP($S$221,'TAR FIN'!$A$1:$O$95,15,0)),0,VLOOKUP($S$221,'TAR FIN'!$A$1:$O$95,15,0))*(1-0.09)</f>
        <v>25.998699999999999</v>
      </c>
      <c r="W221" s="77">
        <f>IF(ISERROR(VLOOKUP($T$221,'TAR FIN'!$A$1:$O$95,15,0)),0,VLOOKUP($T$221,'TAR FIN'!$A$1:$O$95,15,0))*(1-0.09)</f>
        <v>136.16329999999999</v>
      </c>
      <c r="X221" s="77">
        <f>IF(ISERROR(VLOOKUP($U$221,'TAR FIN'!$A$1:$O$95,15,0)),0,VLOOKUP($U$221,'TAR FIN'!$A$1:$O$95,15,0))*(1-0.09)</f>
        <v>209.32730000000001</v>
      </c>
      <c r="Y221" s="77">
        <f ca="1">('TUSD BE'!$AM$11+'TUSD BF'!$AM$11+'TUSD CVA'!$AM$11)*1*(1-0.06)</f>
        <v>30.014803359426047</v>
      </c>
      <c r="Z221" s="77">
        <f ca="1">('TUSD BE'!$AM$12+'TUSD BF'!$AM$12+'TUSD CVA'!$AM$12)*1*(1-0.06)</f>
        <v>158.4025784496171</v>
      </c>
      <c r="AA221" s="77">
        <f>('TE BE'!$AA$8+'TE BF'!$AA$8+'TE CVA'!$AA$8)*1*(1-0.06)</f>
        <v>265.94235573400078</v>
      </c>
      <c r="AB221" s="77">
        <f>(SUBSIDIO!$J$221*SUBSIDIO!$V$221)*(0.09)/(1-0.09)</f>
        <v>1573.6355999999998</v>
      </c>
      <c r="AC221" s="77">
        <f>((SUBSIDIO!$L$221*SUBSIDIO!$W$221)+(SUBSIDIO!$N$221*SUBSIDIO!$X$221))*(0.09)/(1-0.09)</f>
        <v>10236.195496799999</v>
      </c>
      <c r="AD221" s="77">
        <f ca="1">(SUBSIDIO!$J$221*SUBSIDIO!$Y$221)*(0.06)/(1-0.06)</f>
        <v>1172.4931695299194</v>
      </c>
      <c r="AE221" s="77">
        <f ca="1">((SUBSIDIO!$L$221*SUBSIDIO!$Z$221)+(SUBSIDIO!$N$221*SUBSIDIO!$AA$221))*(0.06)/(1-0.06)</f>
        <v>8114.1613163779657</v>
      </c>
      <c r="AF221" s="4" t="s">
        <v>842</v>
      </c>
    </row>
    <row r="222" spans="1:32" ht="11.25" customHeight="1" x14ac:dyDescent="0.25">
      <c r="A222" s="4" t="s">
        <v>21</v>
      </c>
      <c r="B222" s="4" t="s">
        <v>35</v>
      </c>
      <c r="C222" s="4" t="s">
        <v>44</v>
      </c>
      <c r="D222" s="4" t="s">
        <v>52</v>
      </c>
      <c r="E222" s="4" t="s">
        <v>53</v>
      </c>
      <c r="F222" s="4" t="s">
        <v>25</v>
      </c>
      <c r="G222" s="4" t="s">
        <v>25</v>
      </c>
      <c r="H222" s="4" t="s">
        <v>38</v>
      </c>
      <c r="I222" s="5">
        <v>44197</v>
      </c>
      <c r="J222" s="6">
        <v>1336</v>
      </c>
      <c r="K222" s="78">
        <v>1336</v>
      </c>
      <c r="L222" s="6">
        <v>461.69600000000003</v>
      </c>
      <c r="M222" s="77">
        <v>461.69600000000003</v>
      </c>
      <c r="N222" s="6">
        <v>461.69600000000003</v>
      </c>
      <c r="O222" s="77">
        <v>461.69600000000003</v>
      </c>
      <c r="P222" s="6">
        <v>0</v>
      </c>
      <c r="Q222" s="4" t="s">
        <v>26</v>
      </c>
      <c r="R222" s="4">
        <v>0</v>
      </c>
      <c r="S222" s="4">
        <v>29</v>
      </c>
      <c r="T222" s="4">
        <v>30</v>
      </c>
      <c r="U222" s="4">
        <v>67</v>
      </c>
      <c r="V222" s="77">
        <f>IF(ISERROR(VLOOKUP($S$222,'TAR FIN'!$A$1:$O$95,15,0)),0,VLOOKUP($S$222,'TAR FIN'!$A$1:$O$95,15,0))*(1-0.09)</f>
        <v>25.998699999999999</v>
      </c>
      <c r="W222" s="77">
        <f>IF(ISERROR(VLOOKUP($T$222,'TAR FIN'!$A$1:$O$95,15,0)),0,VLOOKUP($T$222,'TAR FIN'!$A$1:$O$95,15,0))*(1-0.09)</f>
        <v>136.16329999999999</v>
      </c>
      <c r="X222" s="77">
        <f>IF(ISERROR(VLOOKUP($U$222,'TAR FIN'!$A$1:$O$95,15,0)),0,VLOOKUP($U$222,'TAR FIN'!$A$1:$O$95,15,0))*(1-0.09)</f>
        <v>209.32730000000001</v>
      </c>
      <c r="Y222" s="77">
        <f ca="1">('TUSD BE'!$AM$11+'TUSD BF'!$AM$11+'TUSD CVA'!$AM$11)*1*(1-0.06)</f>
        <v>30.014803359426047</v>
      </c>
      <c r="Z222" s="77">
        <f ca="1">('TUSD BE'!$AM$12+'TUSD BF'!$AM$12+'TUSD CVA'!$AM$12)*1*(1-0.06)</f>
        <v>158.4025784496171</v>
      </c>
      <c r="AA222" s="77">
        <f>('TE BE'!$AA$8+'TE BF'!$AA$8+'TE CVA'!$AA$8)*1*(1-0.06)</f>
        <v>265.94235573400078</v>
      </c>
      <c r="AB222" s="77">
        <f>(SUBSIDIO!$J$222*SUBSIDIO!$V$222)*(0.09)/(1-0.09)</f>
        <v>3435.2568000000001</v>
      </c>
      <c r="AC222" s="77">
        <f>((SUBSIDIO!$L$222*SUBSIDIO!$W$222)+(SUBSIDIO!$N$222*SUBSIDIO!$X$222))*(0.09)/(1-0.09)</f>
        <v>15775.8753024</v>
      </c>
      <c r="AD222" s="77">
        <f ca="1">(SUBSIDIO!$J$222*SUBSIDIO!$Y$222)*(0.06)/(1-0.06)</f>
        <v>2559.5602524378637</v>
      </c>
      <c r="AE222" s="77">
        <f ca="1">((SUBSIDIO!$L$222*SUBSIDIO!$Z$222)+(SUBSIDIO!$N$222*SUBSIDIO!$AA$222))*(0.06)/(1-0.06)</f>
        <v>12505.427153159977</v>
      </c>
      <c r="AF222" s="4" t="s">
        <v>842</v>
      </c>
    </row>
    <row r="223" spans="1:32" ht="11.25" customHeight="1" x14ac:dyDescent="0.25">
      <c r="A223" s="4" t="s">
        <v>28</v>
      </c>
      <c r="B223" s="4" t="s">
        <v>35</v>
      </c>
      <c r="C223" s="4" t="s">
        <v>44</v>
      </c>
      <c r="D223" s="4" t="s">
        <v>52</v>
      </c>
      <c r="E223" s="4" t="s">
        <v>53</v>
      </c>
      <c r="F223" s="4" t="s">
        <v>25</v>
      </c>
      <c r="G223" s="4" t="s">
        <v>25</v>
      </c>
      <c r="H223" s="4" t="s">
        <v>38</v>
      </c>
      <c r="I223" s="5">
        <v>44197</v>
      </c>
      <c r="J223" s="6">
        <v>611</v>
      </c>
      <c r="K223" s="78">
        <v>611</v>
      </c>
      <c r="L223" s="6">
        <v>293.57900000000001</v>
      </c>
      <c r="M223" s="77">
        <v>293.57900000000001</v>
      </c>
      <c r="N223" s="6">
        <v>293.57900000000001</v>
      </c>
      <c r="O223" s="77">
        <v>293.57900000000001</v>
      </c>
      <c r="P223" s="6">
        <v>0</v>
      </c>
      <c r="Q223" s="4" t="s">
        <v>26</v>
      </c>
      <c r="R223" s="4">
        <v>0</v>
      </c>
      <c r="S223" s="4">
        <v>29</v>
      </c>
      <c r="T223" s="4">
        <v>30</v>
      </c>
      <c r="U223" s="4">
        <v>67</v>
      </c>
      <c r="V223" s="77">
        <f>IF(ISERROR(VLOOKUP($S$223,'TAR FIN'!$A$1:$O$95,15,0)),0,VLOOKUP($S$223,'TAR FIN'!$A$1:$O$95,15,0))*(1-0.09)</f>
        <v>25.998699999999999</v>
      </c>
      <c r="W223" s="77">
        <f>IF(ISERROR(VLOOKUP($T$223,'TAR FIN'!$A$1:$O$95,15,0)),0,VLOOKUP($T$223,'TAR FIN'!$A$1:$O$95,15,0))*(1-0.09)</f>
        <v>136.16329999999999</v>
      </c>
      <c r="X223" s="77">
        <f>IF(ISERROR(VLOOKUP($U$223,'TAR FIN'!$A$1:$O$95,15,0)),0,VLOOKUP($U$223,'TAR FIN'!$A$1:$O$95,15,0))*(1-0.09)</f>
        <v>209.32730000000001</v>
      </c>
      <c r="Y223" s="77">
        <f ca="1">('TUSD BE'!$AM$11+'TUSD BF'!$AM$11+'TUSD CVA'!$AM$11)*1*(1-0.06)</f>
        <v>30.014803359426047</v>
      </c>
      <c r="Z223" s="77">
        <f ca="1">('TUSD BE'!$AM$12+'TUSD BF'!$AM$12+'TUSD CVA'!$AM$12)*1*(1-0.06)</f>
        <v>158.4025784496171</v>
      </c>
      <c r="AA223" s="77">
        <f>('TE BE'!$AA$8+'TE BF'!$AA$8+'TE CVA'!$AA$8)*1*(1-0.06)</f>
        <v>265.94235573400078</v>
      </c>
      <c r="AB223" s="77">
        <f>(SUBSIDIO!$J$223*SUBSIDIO!$V$223)*(0.09)/(1-0.09)</f>
        <v>1571.0643</v>
      </c>
      <c r="AC223" s="77">
        <f>((SUBSIDIO!$L$223*SUBSIDIO!$W$223)+(SUBSIDIO!$N$223*SUBSIDIO!$X$223))*(0.09)/(1-0.09)</f>
        <v>10031.418282599998</v>
      </c>
      <c r="AD223" s="77">
        <f ca="1">(SUBSIDIO!$J$223*SUBSIDIO!$Y$223)*(0.06)/(1-0.06)</f>
        <v>1170.5773310176157</v>
      </c>
      <c r="AE223" s="77">
        <f ca="1">((SUBSIDIO!$L$223*SUBSIDIO!$Z$223)+(SUBSIDIO!$N$223*SUBSIDIO!$AA$223))*(0.06)/(1-0.06)</f>
        <v>7951.8358361292994</v>
      </c>
      <c r="AF223" s="4" t="s">
        <v>842</v>
      </c>
    </row>
    <row r="224" spans="1:32" ht="11.25" customHeight="1" x14ac:dyDescent="0.25">
      <c r="A224" s="4" t="s">
        <v>21</v>
      </c>
      <c r="B224" s="4" t="s">
        <v>35</v>
      </c>
      <c r="C224" s="4" t="s">
        <v>44</v>
      </c>
      <c r="D224" s="4" t="s">
        <v>52</v>
      </c>
      <c r="E224" s="4" t="s">
        <v>53</v>
      </c>
      <c r="F224" s="4" t="s">
        <v>25</v>
      </c>
      <c r="G224" s="4" t="s">
        <v>25</v>
      </c>
      <c r="H224" s="4" t="s">
        <v>38</v>
      </c>
      <c r="I224" s="5">
        <v>44228</v>
      </c>
      <c r="J224" s="6">
        <v>1365</v>
      </c>
      <c r="K224" s="78">
        <v>1365</v>
      </c>
      <c r="L224" s="6">
        <v>405.6</v>
      </c>
      <c r="M224" s="77">
        <v>405.6</v>
      </c>
      <c r="N224" s="6">
        <v>405.6</v>
      </c>
      <c r="O224" s="77">
        <v>405.6</v>
      </c>
      <c r="P224" s="6">
        <v>0</v>
      </c>
      <c r="Q224" s="4" t="s">
        <v>26</v>
      </c>
      <c r="R224" s="4">
        <v>0</v>
      </c>
      <c r="S224" s="4">
        <v>29</v>
      </c>
      <c r="T224" s="4">
        <v>30</v>
      </c>
      <c r="U224" s="4">
        <v>67</v>
      </c>
      <c r="V224" s="77">
        <f>IF(ISERROR(VLOOKUP($S$224,'TAR FIN'!$A$1:$O$95,15,0)),0,VLOOKUP($S$224,'TAR FIN'!$A$1:$O$95,15,0))*(1-0.09)</f>
        <v>25.998699999999999</v>
      </c>
      <c r="W224" s="77">
        <f>IF(ISERROR(VLOOKUP($T$224,'TAR FIN'!$A$1:$O$95,15,0)),0,VLOOKUP($T$224,'TAR FIN'!$A$1:$O$95,15,0))*(1-0.09)</f>
        <v>136.16329999999999</v>
      </c>
      <c r="X224" s="77">
        <f>IF(ISERROR(VLOOKUP($U$224,'TAR FIN'!$A$1:$O$95,15,0)),0,VLOOKUP($U$224,'TAR FIN'!$A$1:$O$95,15,0))*(1-0.09)</f>
        <v>209.32730000000001</v>
      </c>
      <c r="Y224" s="77">
        <f ca="1">('TUSD BE'!$AM$11+'TUSD BF'!$AM$11+'TUSD CVA'!$AM$11)*1*(1-0.06)</f>
        <v>30.014803359426047</v>
      </c>
      <c r="Z224" s="77">
        <f ca="1">('TUSD BE'!$AM$12+'TUSD BF'!$AM$12+'TUSD CVA'!$AM$12)*1*(1-0.06)</f>
        <v>158.4025784496171</v>
      </c>
      <c r="AA224" s="77">
        <f>('TE BE'!$AA$8+'TE BF'!$AA$8+'TE CVA'!$AA$8)*1*(1-0.06)</f>
        <v>265.94235573400078</v>
      </c>
      <c r="AB224" s="77">
        <f>(SUBSIDIO!$J$224*SUBSIDIO!$V$224)*(0.09)/(1-0.09)</f>
        <v>3509.8244999999997</v>
      </c>
      <c r="AC224" s="77">
        <f>((SUBSIDIO!$L$224*SUBSIDIO!$W$224)+(SUBSIDIO!$N$224*SUBSIDIO!$X$224))*(0.09)/(1-0.09)</f>
        <v>13859.108639999999</v>
      </c>
      <c r="AD224" s="77">
        <f ca="1">(SUBSIDIO!$J$224*SUBSIDIO!$Y$224)*(0.06)/(1-0.06)</f>
        <v>2615.119569294674</v>
      </c>
      <c r="AE224" s="77">
        <f ca="1">((SUBSIDIO!$L$224*SUBSIDIO!$Z$224)+(SUBSIDIO!$N$224*SUBSIDIO!$AA$224))*(0.06)/(1-0.06)</f>
        <v>10986.01948754524</v>
      </c>
      <c r="AF224" s="4" t="s">
        <v>842</v>
      </c>
    </row>
    <row r="225" spans="1:32" ht="11.25" customHeight="1" x14ac:dyDescent="0.25">
      <c r="A225" s="4" t="s">
        <v>28</v>
      </c>
      <c r="B225" s="4" t="s">
        <v>35</v>
      </c>
      <c r="C225" s="4" t="s">
        <v>44</v>
      </c>
      <c r="D225" s="4" t="s">
        <v>52</v>
      </c>
      <c r="E225" s="4" t="s">
        <v>53</v>
      </c>
      <c r="F225" s="4" t="s">
        <v>25</v>
      </c>
      <c r="G225" s="4" t="s">
        <v>25</v>
      </c>
      <c r="H225" s="4" t="s">
        <v>38</v>
      </c>
      <c r="I225" s="5">
        <v>44228</v>
      </c>
      <c r="J225" s="6">
        <v>611</v>
      </c>
      <c r="K225" s="78">
        <v>611</v>
      </c>
      <c r="L225" s="6">
        <v>256.74900000000002</v>
      </c>
      <c r="M225" s="77">
        <v>256.74900000000002</v>
      </c>
      <c r="N225" s="6">
        <v>256.74900000000002</v>
      </c>
      <c r="O225" s="77">
        <v>256.74900000000002</v>
      </c>
      <c r="P225" s="6">
        <v>0</v>
      </c>
      <c r="Q225" s="4" t="s">
        <v>26</v>
      </c>
      <c r="R225" s="4">
        <v>0</v>
      </c>
      <c r="S225" s="4">
        <v>29</v>
      </c>
      <c r="T225" s="4">
        <v>30</v>
      </c>
      <c r="U225" s="4">
        <v>67</v>
      </c>
      <c r="V225" s="77">
        <f>IF(ISERROR(VLOOKUP($S$225,'TAR FIN'!$A$1:$O$95,15,0)),0,VLOOKUP($S$225,'TAR FIN'!$A$1:$O$95,15,0))*(1-0.09)</f>
        <v>25.998699999999999</v>
      </c>
      <c r="W225" s="77">
        <f>IF(ISERROR(VLOOKUP($T$225,'TAR FIN'!$A$1:$O$95,15,0)),0,VLOOKUP($T$225,'TAR FIN'!$A$1:$O$95,15,0))*(1-0.09)</f>
        <v>136.16329999999999</v>
      </c>
      <c r="X225" s="77">
        <f>IF(ISERROR(VLOOKUP($U$225,'TAR FIN'!$A$1:$O$95,15,0)),0,VLOOKUP($U$225,'TAR FIN'!$A$1:$O$95,15,0))*(1-0.09)</f>
        <v>209.32730000000001</v>
      </c>
      <c r="Y225" s="77">
        <f ca="1">('TUSD BE'!$AM$11+'TUSD BF'!$AM$11+'TUSD CVA'!$AM$11)*1*(1-0.06)</f>
        <v>30.014803359426047</v>
      </c>
      <c r="Z225" s="77">
        <f ca="1">('TUSD BE'!$AM$12+'TUSD BF'!$AM$12+'TUSD CVA'!$AM$12)*1*(1-0.06)</f>
        <v>158.4025784496171</v>
      </c>
      <c r="AA225" s="77">
        <f>('TE BE'!$AA$8+'TE BF'!$AA$8+'TE CVA'!$AA$8)*1*(1-0.06)</f>
        <v>265.94235573400078</v>
      </c>
      <c r="AB225" s="77">
        <f>(SUBSIDIO!$J$225*SUBSIDIO!$V$225)*(0.09)/(1-0.09)</f>
        <v>1571.0643</v>
      </c>
      <c r="AC225" s="77">
        <f>((SUBSIDIO!$L$225*SUBSIDIO!$W$225)+(SUBSIDIO!$N$225*SUBSIDIO!$X$225))*(0.09)/(1-0.09)</f>
        <v>8772.9592806000001</v>
      </c>
      <c r="AD225" s="77">
        <f ca="1">(SUBSIDIO!$J$225*SUBSIDIO!$Y$225)*(0.06)/(1-0.06)</f>
        <v>1170.5773310176157</v>
      </c>
      <c r="AE225" s="77">
        <f ca="1">((SUBSIDIO!$L$225*SUBSIDIO!$Z$225)+(SUBSIDIO!$N$225*SUBSIDIO!$AA$225))*(0.06)/(1-0.06)</f>
        <v>6954.2640961729603</v>
      </c>
      <c r="AF225" s="4" t="s">
        <v>842</v>
      </c>
    </row>
    <row r="226" spans="1:32" ht="11.25" customHeight="1" x14ac:dyDescent="0.25">
      <c r="A226" s="4" t="s">
        <v>21</v>
      </c>
      <c r="B226" s="4" t="s">
        <v>35</v>
      </c>
      <c r="C226" s="4" t="s">
        <v>44</v>
      </c>
      <c r="D226" s="4" t="s">
        <v>52</v>
      </c>
      <c r="E226" s="4" t="s">
        <v>53</v>
      </c>
      <c r="F226" s="4" t="s">
        <v>25</v>
      </c>
      <c r="G226" s="4" t="s">
        <v>25</v>
      </c>
      <c r="H226" s="4" t="s">
        <v>38</v>
      </c>
      <c r="I226" s="5">
        <v>44256</v>
      </c>
      <c r="J226" s="6">
        <v>1320</v>
      </c>
      <c r="K226" s="78">
        <v>1320</v>
      </c>
      <c r="L226" s="6">
        <v>418.74900000000002</v>
      </c>
      <c r="M226" s="77">
        <v>418.74900000000002</v>
      </c>
      <c r="N226" s="6">
        <v>418.74900000000002</v>
      </c>
      <c r="O226" s="77">
        <v>418.74900000000002</v>
      </c>
      <c r="P226" s="6">
        <v>0</v>
      </c>
      <c r="Q226" s="4" t="s">
        <v>26</v>
      </c>
      <c r="R226" s="4">
        <v>0</v>
      </c>
      <c r="S226" s="4">
        <v>29</v>
      </c>
      <c r="T226" s="4">
        <v>30</v>
      </c>
      <c r="U226" s="4">
        <v>67</v>
      </c>
      <c r="V226" s="77">
        <f>IF(ISERROR(VLOOKUP($S$226,'TAR FIN'!$A$1:$O$95,15,0)),0,VLOOKUP($S$226,'TAR FIN'!$A$1:$O$95,15,0))*(1-0.09)</f>
        <v>25.998699999999999</v>
      </c>
      <c r="W226" s="77">
        <f>IF(ISERROR(VLOOKUP($T$226,'TAR FIN'!$A$1:$O$95,15,0)),0,VLOOKUP($T$226,'TAR FIN'!$A$1:$O$95,15,0))*(1-0.09)</f>
        <v>136.16329999999999</v>
      </c>
      <c r="X226" s="77">
        <f>IF(ISERROR(VLOOKUP($U$226,'TAR FIN'!$A$1:$O$95,15,0)),0,VLOOKUP($U$226,'TAR FIN'!$A$1:$O$95,15,0))*(1-0.09)</f>
        <v>209.32730000000001</v>
      </c>
      <c r="Y226" s="77">
        <f ca="1">('TUSD BE'!$AM$11+'TUSD BF'!$AM$11+'TUSD CVA'!$AM$11)*1*(1-0.06)</f>
        <v>30.014803359426047</v>
      </c>
      <c r="Z226" s="77">
        <f ca="1">('TUSD BE'!$AM$12+'TUSD BF'!$AM$12+'TUSD CVA'!$AM$12)*1*(1-0.06)</f>
        <v>158.4025784496171</v>
      </c>
      <c r="AA226" s="77">
        <f>('TE BE'!$AA$8+'TE BF'!$AA$8+'TE CVA'!$AA$8)*1*(1-0.06)</f>
        <v>265.94235573400078</v>
      </c>
      <c r="AB226" s="77">
        <f>(SUBSIDIO!$J$226*SUBSIDIO!$V$226)*(0.09)/(1-0.09)</f>
        <v>3394.116</v>
      </c>
      <c r="AC226" s="77">
        <f>((SUBSIDIO!$L$226*SUBSIDIO!$W$226)+(SUBSIDIO!$N$226*SUBSIDIO!$X$226))*(0.09)/(1-0.09)</f>
        <v>14308.402080599997</v>
      </c>
      <c r="AD226" s="77">
        <f ca="1">(SUBSIDIO!$J$226*SUBSIDIO!$Y$226)*(0.06)/(1-0.06)</f>
        <v>2528.906836241003</v>
      </c>
      <c r="AE226" s="77">
        <f ca="1">((SUBSIDIO!$L$226*SUBSIDIO!$Z$226)+(SUBSIDIO!$N$226*SUBSIDIO!$AA$226))*(0.06)/(1-0.06)</f>
        <v>11342.171287943986</v>
      </c>
      <c r="AF226" s="4" t="s">
        <v>842</v>
      </c>
    </row>
    <row r="227" spans="1:32" ht="11.25" customHeight="1" x14ac:dyDescent="0.25">
      <c r="A227" s="4" t="s">
        <v>28</v>
      </c>
      <c r="B227" s="4" t="s">
        <v>35</v>
      </c>
      <c r="C227" s="4" t="s">
        <v>44</v>
      </c>
      <c r="D227" s="4" t="s">
        <v>52</v>
      </c>
      <c r="E227" s="4" t="s">
        <v>53</v>
      </c>
      <c r="F227" s="4" t="s">
        <v>25</v>
      </c>
      <c r="G227" s="4" t="s">
        <v>25</v>
      </c>
      <c r="H227" s="4" t="s">
        <v>38</v>
      </c>
      <c r="I227" s="5">
        <v>44256</v>
      </c>
      <c r="J227" s="6">
        <v>610</v>
      </c>
      <c r="K227" s="78">
        <v>610</v>
      </c>
      <c r="L227" s="6">
        <v>289.87400000000002</v>
      </c>
      <c r="M227" s="77">
        <v>289.87400000000002</v>
      </c>
      <c r="N227" s="6">
        <v>289.87400000000002</v>
      </c>
      <c r="O227" s="77">
        <v>289.87400000000002</v>
      </c>
      <c r="P227" s="6">
        <v>0</v>
      </c>
      <c r="Q227" s="4" t="s">
        <v>26</v>
      </c>
      <c r="R227" s="4">
        <v>0</v>
      </c>
      <c r="S227" s="4">
        <v>29</v>
      </c>
      <c r="T227" s="4">
        <v>30</v>
      </c>
      <c r="U227" s="4">
        <v>67</v>
      </c>
      <c r="V227" s="77">
        <f>IF(ISERROR(VLOOKUP($S$227,'TAR FIN'!$A$1:$O$95,15,0)),0,VLOOKUP($S$227,'TAR FIN'!$A$1:$O$95,15,0))*(1-0.09)</f>
        <v>25.998699999999999</v>
      </c>
      <c r="W227" s="77">
        <f>IF(ISERROR(VLOOKUP($T$227,'TAR FIN'!$A$1:$O$95,15,0)),0,VLOOKUP($T$227,'TAR FIN'!$A$1:$O$95,15,0))*(1-0.09)</f>
        <v>136.16329999999999</v>
      </c>
      <c r="X227" s="77">
        <f>IF(ISERROR(VLOOKUP($U$227,'TAR FIN'!$A$1:$O$95,15,0)),0,VLOOKUP($U$227,'TAR FIN'!$A$1:$O$95,15,0))*(1-0.09)</f>
        <v>209.32730000000001</v>
      </c>
      <c r="Y227" s="77">
        <f ca="1">('TUSD BE'!$AM$11+'TUSD BF'!$AM$11+'TUSD CVA'!$AM$11)*1*(1-0.06)</f>
        <v>30.014803359426047</v>
      </c>
      <c r="Z227" s="77">
        <f ca="1">('TUSD BE'!$AM$12+'TUSD BF'!$AM$12+'TUSD CVA'!$AM$12)*1*(1-0.06)</f>
        <v>158.4025784496171</v>
      </c>
      <c r="AA227" s="77">
        <f>('TE BE'!$AA$8+'TE BF'!$AA$8+'TE CVA'!$AA$8)*1*(1-0.06)</f>
        <v>265.94235573400078</v>
      </c>
      <c r="AB227" s="77">
        <f>(SUBSIDIO!$J$227*SUBSIDIO!$V$227)*(0.09)/(1-0.09)</f>
        <v>1568.4929999999999</v>
      </c>
      <c r="AC227" s="77">
        <f>((SUBSIDIO!$L$227*SUBSIDIO!$W$227)+(SUBSIDIO!$N$227*SUBSIDIO!$X$227))*(0.09)/(1-0.09)</f>
        <v>9904.8206555999986</v>
      </c>
      <c r="AD227" s="77">
        <f ca="1">(SUBSIDIO!$J$227*SUBSIDIO!$Y$227)*(0.06)/(1-0.06)</f>
        <v>1168.661492505312</v>
      </c>
      <c r="AE227" s="77">
        <f ca="1">((SUBSIDIO!$L$227*SUBSIDIO!$Z$227)+(SUBSIDIO!$N$227*SUBSIDIO!$AA$227))*(0.06)/(1-0.06)</f>
        <v>7851.4827735026847</v>
      </c>
      <c r="AF227" s="4" t="s">
        <v>842</v>
      </c>
    </row>
    <row r="228" spans="1:32" ht="11.25" customHeight="1" x14ac:dyDescent="0.25">
      <c r="A228" s="4" t="s">
        <v>21</v>
      </c>
      <c r="B228" s="4" t="s">
        <v>35</v>
      </c>
      <c r="C228" s="4" t="s">
        <v>44</v>
      </c>
      <c r="D228" s="4" t="s">
        <v>52</v>
      </c>
      <c r="E228" s="4" t="s">
        <v>53</v>
      </c>
      <c r="F228" s="4" t="s">
        <v>25</v>
      </c>
      <c r="G228" s="4" t="s">
        <v>25</v>
      </c>
      <c r="H228" s="4" t="s">
        <v>38</v>
      </c>
      <c r="I228" s="5">
        <v>44287</v>
      </c>
      <c r="J228" s="6">
        <v>938</v>
      </c>
      <c r="K228" s="78">
        <v>938</v>
      </c>
      <c r="L228" s="6">
        <v>263.48</v>
      </c>
      <c r="M228" s="77">
        <v>263.48</v>
      </c>
      <c r="N228" s="6">
        <v>263.48</v>
      </c>
      <c r="O228" s="77">
        <v>263.48</v>
      </c>
      <c r="P228" s="6">
        <v>0</v>
      </c>
      <c r="Q228" s="4" t="s">
        <v>26</v>
      </c>
      <c r="R228" s="4">
        <v>0</v>
      </c>
      <c r="S228" s="4">
        <v>29</v>
      </c>
      <c r="T228" s="4">
        <v>30</v>
      </c>
      <c r="U228" s="4">
        <v>67</v>
      </c>
      <c r="V228" s="77">
        <f>IF(ISERROR(VLOOKUP($S$228,'TAR FIN'!$A$1:$O$95,15,0)),0,VLOOKUP($S$228,'TAR FIN'!$A$1:$O$95,15,0))*(1-0.09)</f>
        <v>25.998699999999999</v>
      </c>
      <c r="W228" s="77">
        <f>IF(ISERROR(VLOOKUP($T$228,'TAR FIN'!$A$1:$O$95,15,0)),0,VLOOKUP($T$228,'TAR FIN'!$A$1:$O$95,15,0))*(1-0.09)</f>
        <v>136.16329999999999</v>
      </c>
      <c r="X228" s="77">
        <f>IF(ISERROR(VLOOKUP($U$228,'TAR FIN'!$A$1:$O$95,15,0)),0,VLOOKUP($U$228,'TAR FIN'!$A$1:$O$95,15,0))*(1-0.09)</f>
        <v>209.32730000000001</v>
      </c>
      <c r="Y228" s="77">
        <f ca="1">('TUSD BE'!$AM$11+'TUSD BF'!$AM$11+'TUSD CVA'!$AM$11)*1*(1-0.06)</f>
        <v>30.014803359426047</v>
      </c>
      <c r="Z228" s="77">
        <f ca="1">('TUSD BE'!$AM$12+'TUSD BF'!$AM$12+'TUSD CVA'!$AM$12)*1*(1-0.06)</f>
        <v>158.4025784496171</v>
      </c>
      <c r="AA228" s="77">
        <f>('TE BE'!$AA$8+'TE BF'!$AA$8+'TE CVA'!$AA$8)*1*(1-0.06)</f>
        <v>265.94235573400078</v>
      </c>
      <c r="AB228" s="77">
        <f>(SUBSIDIO!$J$228*SUBSIDIO!$V$228)*(0.09)/(1-0.09)</f>
        <v>2411.8793999999998</v>
      </c>
      <c r="AC228" s="77">
        <f>((SUBSIDIO!$L$228*SUBSIDIO!$W$228)+(SUBSIDIO!$N$228*SUBSIDIO!$X$228))*(0.09)/(1-0.09)</f>
        <v>9002.953512</v>
      </c>
      <c r="AD228" s="77">
        <f ca="1">(SUBSIDIO!$J$228*SUBSIDIO!$Y$228)*(0.06)/(1-0.06)</f>
        <v>1797.0565245409553</v>
      </c>
      <c r="AE228" s="77">
        <f ca="1">((SUBSIDIO!$L$228*SUBSIDIO!$Z$228)+(SUBSIDIO!$N$228*SUBSIDIO!$AA$228))*(0.06)/(1-0.06)</f>
        <v>7136.5789314063613</v>
      </c>
      <c r="AF228" s="4" t="s">
        <v>842</v>
      </c>
    </row>
    <row r="229" spans="1:32" ht="11.25" customHeight="1" x14ac:dyDescent="0.25">
      <c r="A229" s="4" t="s">
        <v>28</v>
      </c>
      <c r="B229" s="4" t="s">
        <v>35</v>
      </c>
      <c r="C229" s="4" t="s">
        <v>44</v>
      </c>
      <c r="D229" s="4" t="s">
        <v>52</v>
      </c>
      <c r="E229" s="4" t="s">
        <v>53</v>
      </c>
      <c r="F229" s="4" t="s">
        <v>25</v>
      </c>
      <c r="G229" s="4" t="s">
        <v>25</v>
      </c>
      <c r="H229" s="4" t="s">
        <v>38</v>
      </c>
      <c r="I229" s="5">
        <v>44287</v>
      </c>
      <c r="J229" s="6">
        <v>616</v>
      </c>
      <c r="K229" s="78">
        <v>616</v>
      </c>
      <c r="L229" s="6">
        <v>273.05500000000001</v>
      </c>
      <c r="M229" s="77">
        <v>273.05500000000001</v>
      </c>
      <c r="N229" s="6">
        <v>273.05500000000001</v>
      </c>
      <c r="O229" s="77">
        <v>273.05500000000001</v>
      </c>
      <c r="P229" s="6">
        <v>0</v>
      </c>
      <c r="Q229" s="4" t="s">
        <v>26</v>
      </c>
      <c r="R229" s="4">
        <v>0</v>
      </c>
      <c r="S229" s="4">
        <v>29</v>
      </c>
      <c r="T229" s="4">
        <v>30</v>
      </c>
      <c r="U229" s="4">
        <v>67</v>
      </c>
      <c r="V229" s="77">
        <f>IF(ISERROR(VLOOKUP($S$229,'TAR FIN'!$A$1:$O$95,15,0)),0,VLOOKUP($S$229,'TAR FIN'!$A$1:$O$95,15,0))*(1-0.09)</f>
        <v>25.998699999999999</v>
      </c>
      <c r="W229" s="77">
        <f>IF(ISERROR(VLOOKUP($T$229,'TAR FIN'!$A$1:$O$95,15,0)),0,VLOOKUP($T$229,'TAR FIN'!$A$1:$O$95,15,0))*(1-0.09)</f>
        <v>136.16329999999999</v>
      </c>
      <c r="X229" s="77">
        <f>IF(ISERROR(VLOOKUP($U$229,'TAR FIN'!$A$1:$O$95,15,0)),0,VLOOKUP($U$229,'TAR FIN'!$A$1:$O$95,15,0))*(1-0.09)</f>
        <v>209.32730000000001</v>
      </c>
      <c r="Y229" s="77">
        <f ca="1">('TUSD BE'!$AM$11+'TUSD BF'!$AM$11+'TUSD CVA'!$AM$11)*1*(1-0.06)</f>
        <v>30.014803359426047</v>
      </c>
      <c r="Z229" s="77">
        <f ca="1">('TUSD BE'!$AM$12+'TUSD BF'!$AM$12+'TUSD CVA'!$AM$12)*1*(1-0.06)</f>
        <v>158.4025784496171</v>
      </c>
      <c r="AA229" s="77">
        <f>('TE BE'!$AA$8+'TE BF'!$AA$8+'TE CVA'!$AA$8)*1*(1-0.06)</f>
        <v>265.94235573400078</v>
      </c>
      <c r="AB229" s="77">
        <f>(SUBSIDIO!$J$229*SUBSIDIO!$V$229)*(0.09)/(1-0.09)</f>
        <v>1583.9207999999999</v>
      </c>
      <c r="AC229" s="77">
        <f>((SUBSIDIO!$L$229*SUBSIDIO!$W$229)+(SUBSIDIO!$N$229*SUBSIDIO!$X$229))*(0.09)/(1-0.09)</f>
        <v>9330.1255169999986</v>
      </c>
      <c r="AD229" s="77">
        <f ca="1">(SUBSIDIO!$J$229*SUBSIDIO!$Y$229)*(0.06)/(1-0.06)</f>
        <v>1180.1565235791347</v>
      </c>
      <c r="AE229" s="77">
        <f ca="1">((SUBSIDIO!$L$229*SUBSIDIO!$Z$229)+(SUBSIDIO!$N$229*SUBSIDIO!$AA$229))*(0.06)/(1-0.06)</f>
        <v>7395.9259151175183</v>
      </c>
      <c r="AF229" s="4" t="s">
        <v>842</v>
      </c>
    </row>
    <row r="230" spans="1:32" ht="11.25" customHeight="1" x14ac:dyDescent="0.25">
      <c r="A230" s="4" t="s">
        <v>21</v>
      </c>
      <c r="B230" s="4" t="s">
        <v>35</v>
      </c>
      <c r="C230" s="4" t="s">
        <v>44</v>
      </c>
      <c r="D230" s="4" t="s">
        <v>52</v>
      </c>
      <c r="E230" s="4" t="s">
        <v>53</v>
      </c>
      <c r="F230" s="4" t="s">
        <v>25</v>
      </c>
      <c r="G230" s="4" t="s">
        <v>25</v>
      </c>
      <c r="H230" s="4" t="s">
        <v>38</v>
      </c>
      <c r="I230" s="5">
        <v>44317</v>
      </c>
      <c r="J230" s="6">
        <v>1114</v>
      </c>
      <c r="K230" s="78">
        <v>1114</v>
      </c>
      <c r="L230" s="6">
        <v>295.05900000000003</v>
      </c>
      <c r="M230" s="77">
        <v>295.05900000000003</v>
      </c>
      <c r="N230" s="6">
        <v>295.05900000000003</v>
      </c>
      <c r="O230" s="77">
        <v>295.05900000000003</v>
      </c>
      <c r="P230" s="6">
        <v>0</v>
      </c>
      <c r="Q230" s="4" t="s">
        <v>26</v>
      </c>
      <c r="R230" s="4">
        <v>0</v>
      </c>
      <c r="S230" s="4">
        <v>29</v>
      </c>
      <c r="T230" s="4">
        <v>30</v>
      </c>
      <c r="U230" s="4">
        <v>67</v>
      </c>
      <c r="V230" s="77">
        <f>IF(ISERROR(VLOOKUP($S$230,'TAR FIN'!$A$1:$O$95,15,0)),0,VLOOKUP($S$230,'TAR FIN'!$A$1:$O$95,15,0))*(1-0.09)</f>
        <v>25.998699999999999</v>
      </c>
      <c r="W230" s="77">
        <f>IF(ISERROR(VLOOKUP($T$230,'TAR FIN'!$A$1:$O$95,15,0)),0,VLOOKUP($T$230,'TAR FIN'!$A$1:$O$95,15,0))*(1-0.09)</f>
        <v>136.16329999999999</v>
      </c>
      <c r="X230" s="77">
        <f>IF(ISERROR(VLOOKUP($U$230,'TAR FIN'!$A$1:$O$95,15,0)),0,VLOOKUP($U$230,'TAR FIN'!$A$1:$O$95,15,0))*(1-0.09)</f>
        <v>209.32730000000001</v>
      </c>
      <c r="Y230" s="77">
        <f ca="1">('TUSD BE'!$AM$11+'TUSD BF'!$AM$11+'TUSD CVA'!$AM$11)*1*(1-0.06)</f>
        <v>30.014803359426047</v>
      </c>
      <c r="Z230" s="77">
        <f ca="1">('TUSD BE'!$AM$12+'TUSD BF'!$AM$12+'TUSD CVA'!$AM$12)*1*(1-0.06)</f>
        <v>158.4025784496171</v>
      </c>
      <c r="AA230" s="77">
        <f>('TE BE'!$AA$8+'TE BF'!$AA$8+'TE CVA'!$AA$8)*1*(1-0.06)</f>
        <v>265.94235573400078</v>
      </c>
      <c r="AB230" s="77">
        <f>(SUBSIDIO!$J$230*SUBSIDIO!$V$230)*(0.09)/(1-0.09)</f>
        <v>2864.4281999999998</v>
      </c>
      <c r="AC230" s="77">
        <f>((SUBSIDIO!$L$230*SUBSIDIO!$W$230)+(SUBSIDIO!$N$230*SUBSIDIO!$X$230))*(0.09)/(1-0.09)</f>
        <v>10081.9889946</v>
      </c>
      <c r="AD230" s="77">
        <f ca="1">(SUBSIDIO!$J$230*SUBSIDIO!$Y$230)*(0.06)/(1-0.06)</f>
        <v>2134.2441027064224</v>
      </c>
      <c r="AE230" s="77">
        <f ca="1">((SUBSIDIO!$L$230*SUBSIDIO!$Z$230)+(SUBSIDIO!$N$230*SUBSIDIO!$AA$230))*(0.06)/(1-0.06)</f>
        <v>7991.9228894862217</v>
      </c>
      <c r="AF230" s="4" t="s">
        <v>842</v>
      </c>
    </row>
    <row r="231" spans="1:32" ht="11.25" customHeight="1" x14ac:dyDescent="0.25">
      <c r="A231" s="4" t="s">
        <v>28</v>
      </c>
      <c r="B231" s="4" t="s">
        <v>35</v>
      </c>
      <c r="C231" s="4" t="s">
        <v>44</v>
      </c>
      <c r="D231" s="4" t="s">
        <v>52</v>
      </c>
      <c r="E231" s="4" t="s">
        <v>53</v>
      </c>
      <c r="F231" s="4" t="s">
        <v>25</v>
      </c>
      <c r="G231" s="4" t="s">
        <v>25</v>
      </c>
      <c r="H231" s="4" t="s">
        <v>38</v>
      </c>
      <c r="I231" s="5">
        <v>44317</v>
      </c>
      <c r="J231" s="6">
        <v>640</v>
      </c>
      <c r="K231" s="78">
        <v>640</v>
      </c>
      <c r="L231" s="6">
        <v>277.32</v>
      </c>
      <c r="M231" s="77">
        <v>277.32</v>
      </c>
      <c r="N231" s="6">
        <v>277.32</v>
      </c>
      <c r="O231" s="77">
        <v>277.32</v>
      </c>
      <c r="P231" s="6">
        <v>0</v>
      </c>
      <c r="Q231" s="4" t="s">
        <v>26</v>
      </c>
      <c r="R231" s="4">
        <v>0</v>
      </c>
      <c r="S231" s="4">
        <v>29</v>
      </c>
      <c r="T231" s="4">
        <v>30</v>
      </c>
      <c r="U231" s="4">
        <v>67</v>
      </c>
      <c r="V231" s="77">
        <f>IF(ISERROR(VLOOKUP($S$231,'TAR FIN'!$A$1:$O$95,15,0)),0,VLOOKUP($S$231,'TAR FIN'!$A$1:$O$95,15,0))*(1-0.09)</f>
        <v>25.998699999999999</v>
      </c>
      <c r="W231" s="77">
        <f>IF(ISERROR(VLOOKUP($T$231,'TAR FIN'!$A$1:$O$95,15,0)),0,VLOOKUP($T$231,'TAR FIN'!$A$1:$O$95,15,0))*(1-0.09)</f>
        <v>136.16329999999999</v>
      </c>
      <c r="X231" s="77">
        <f>IF(ISERROR(VLOOKUP($U$231,'TAR FIN'!$A$1:$O$95,15,0)),0,VLOOKUP($U$231,'TAR FIN'!$A$1:$O$95,15,0))*(1-0.09)</f>
        <v>209.32730000000001</v>
      </c>
      <c r="Y231" s="77">
        <f ca="1">('TUSD BE'!$AM$11+'TUSD BF'!$AM$11+'TUSD CVA'!$AM$11)*1*(1-0.06)</f>
        <v>30.014803359426047</v>
      </c>
      <c r="Z231" s="77">
        <f ca="1">('TUSD BE'!$AM$12+'TUSD BF'!$AM$12+'TUSD CVA'!$AM$12)*1*(1-0.06)</f>
        <v>158.4025784496171</v>
      </c>
      <c r="AA231" s="77">
        <f>('TE BE'!$AA$8+'TE BF'!$AA$8+'TE CVA'!$AA$8)*1*(1-0.06)</f>
        <v>265.94235573400078</v>
      </c>
      <c r="AB231" s="77">
        <f>(SUBSIDIO!$J$231*SUBSIDIO!$V$231)*(0.09)/(1-0.09)</f>
        <v>1645.6319999999996</v>
      </c>
      <c r="AC231" s="77">
        <f>((SUBSIDIO!$L$231*SUBSIDIO!$W$231)+(SUBSIDIO!$N$231*SUBSIDIO!$X$231))*(0.09)/(1-0.09)</f>
        <v>9475.8580079999974</v>
      </c>
      <c r="AD231" s="77">
        <f ca="1">(SUBSIDIO!$J$231*SUBSIDIO!$Y$231)*(0.06)/(1-0.06)</f>
        <v>1226.136647874426</v>
      </c>
      <c r="AE231" s="77">
        <f ca="1">((SUBSIDIO!$L$231*SUBSIDIO!$Z$231)+(SUBSIDIO!$N$231*SUBSIDIO!$AA$231))*(0.06)/(1-0.06)</f>
        <v>7511.447051987293</v>
      </c>
      <c r="AF231" s="4" t="s">
        <v>842</v>
      </c>
    </row>
    <row r="232" spans="1:32" ht="11.25" customHeight="1" x14ac:dyDescent="0.25">
      <c r="A232" s="4" t="s">
        <v>21</v>
      </c>
      <c r="B232" s="4" t="s">
        <v>35</v>
      </c>
      <c r="C232" s="4" t="s">
        <v>44</v>
      </c>
      <c r="D232" s="4" t="s">
        <v>52</v>
      </c>
      <c r="E232" s="4" t="s">
        <v>53</v>
      </c>
      <c r="F232" s="4" t="s">
        <v>25</v>
      </c>
      <c r="G232" s="4" t="s">
        <v>25</v>
      </c>
      <c r="H232" s="4" t="s">
        <v>38</v>
      </c>
      <c r="I232" s="5">
        <v>44348</v>
      </c>
      <c r="J232" s="6">
        <v>966</v>
      </c>
      <c r="K232" s="78">
        <v>966</v>
      </c>
      <c r="L232" s="6">
        <v>238.61199999999999</v>
      </c>
      <c r="M232" s="77">
        <v>238.61199999999999</v>
      </c>
      <c r="N232" s="6">
        <v>238.61199999999999</v>
      </c>
      <c r="O232" s="77">
        <v>238.61199999999999</v>
      </c>
      <c r="P232" s="6">
        <v>0</v>
      </c>
      <c r="Q232" s="4" t="s">
        <v>26</v>
      </c>
      <c r="R232" s="4">
        <v>0</v>
      </c>
      <c r="S232" s="4">
        <v>29</v>
      </c>
      <c r="T232" s="4">
        <v>30</v>
      </c>
      <c r="U232" s="4">
        <v>67</v>
      </c>
      <c r="V232" s="77">
        <f>IF(ISERROR(VLOOKUP($S$232,'TAR FIN'!$A$1:$O$95,15,0)),0,VLOOKUP($S$232,'TAR FIN'!$A$1:$O$95,15,0))*(1-0.09)</f>
        <v>25.998699999999999</v>
      </c>
      <c r="W232" s="77">
        <f>IF(ISERROR(VLOOKUP($T$232,'TAR FIN'!$A$1:$O$95,15,0)),0,VLOOKUP($T$232,'TAR FIN'!$A$1:$O$95,15,0))*(1-0.09)</f>
        <v>136.16329999999999</v>
      </c>
      <c r="X232" s="77">
        <f>IF(ISERROR(VLOOKUP($U$232,'TAR FIN'!$A$1:$O$95,15,0)),0,VLOOKUP($U$232,'TAR FIN'!$A$1:$O$95,15,0))*(1-0.09)</f>
        <v>209.32730000000001</v>
      </c>
      <c r="Y232" s="77">
        <f ca="1">('TUSD BE'!$AM$11+'TUSD BF'!$AM$11+'TUSD CVA'!$AM$11)*1*(1-0.06)</f>
        <v>30.014803359426047</v>
      </c>
      <c r="Z232" s="77">
        <f ca="1">('TUSD BE'!$AM$12+'TUSD BF'!$AM$12+'TUSD CVA'!$AM$12)*1*(1-0.06)</f>
        <v>158.4025784496171</v>
      </c>
      <c r="AA232" s="77">
        <f>('TE BE'!$AA$8+'TE BF'!$AA$8+'TE CVA'!$AA$8)*1*(1-0.06)</f>
        <v>265.94235573400078</v>
      </c>
      <c r="AB232" s="77">
        <f>(SUBSIDIO!$J$232*SUBSIDIO!$V$232)*(0.09)/(1-0.09)</f>
        <v>2483.8757999999998</v>
      </c>
      <c r="AC232" s="77">
        <f>((SUBSIDIO!$L$232*SUBSIDIO!$W$232)+(SUBSIDIO!$N$232*SUBSIDIO!$X$232))*(0.09)/(1-0.09)</f>
        <v>8153.2288727999976</v>
      </c>
      <c r="AD232" s="77">
        <f ca="1">(SUBSIDIO!$J$232*SUBSIDIO!$Y$232)*(0.06)/(1-0.06)</f>
        <v>1850.7000028854613</v>
      </c>
      <c r="AE232" s="77">
        <f ca="1">((SUBSIDIO!$L$232*SUBSIDIO!$Z$232)+(SUBSIDIO!$N$232*SUBSIDIO!$AA$232))*(0.06)/(1-0.06)</f>
        <v>6463.0080916226443</v>
      </c>
      <c r="AF232" s="4" t="s">
        <v>842</v>
      </c>
    </row>
    <row r="233" spans="1:32" ht="11.25" customHeight="1" x14ac:dyDescent="0.25">
      <c r="A233" s="4" t="s">
        <v>28</v>
      </c>
      <c r="B233" s="4" t="s">
        <v>35</v>
      </c>
      <c r="C233" s="4" t="s">
        <v>44</v>
      </c>
      <c r="D233" s="4" t="s">
        <v>52</v>
      </c>
      <c r="E233" s="4" t="s">
        <v>53</v>
      </c>
      <c r="F233" s="4" t="s">
        <v>25</v>
      </c>
      <c r="G233" s="4" t="s">
        <v>25</v>
      </c>
      <c r="H233" s="4" t="s">
        <v>38</v>
      </c>
      <c r="I233" s="5">
        <v>44348</v>
      </c>
      <c r="J233" s="6">
        <v>646</v>
      </c>
      <c r="K233" s="78">
        <v>646</v>
      </c>
      <c r="L233" s="6">
        <v>264.84899999999999</v>
      </c>
      <c r="M233" s="77">
        <v>264.84899999999999</v>
      </c>
      <c r="N233" s="6">
        <v>264.84899999999999</v>
      </c>
      <c r="O233" s="77">
        <v>264.84899999999999</v>
      </c>
      <c r="P233" s="6">
        <v>0</v>
      </c>
      <c r="Q233" s="4" t="s">
        <v>26</v>
      </c>
      <c r="R233" s="4">
        <v>0</v>
      </c>
      <c r="S233" s="4">
        <v>29</v>
      </c>
      <c r="T233" s="4">
        <v>30</v>
      </c>
      <c r="U233" s="4">
        <v>67</v>
      </c>
      <c r="V233" s="77">
        <f>IF(ISERROR(VLOOKUP($S$233,'TAR FIN'!$A$1:$O$95,15,0)),0,VLOOKUP($S$233,'TAR FIN'!$A$1:$O$95,15,0))*(1-0.09)</f>
        <v>25.998699999999999</v>
      </c>
      <c r="W233" s="77">
        <f>IF(ISERROR(VLOOKUP($T$233,'TAR FIN'!$A$1:$O$95,15,0)),0,VLOOKUP($T$233,'TAR FIN'!$A$1:$O$95,15,0))*(1-0.09)</f>
        <v>136.16329999999999</v>
      </c>
      <c r="X233" s="77">
        <f>IF(ISERROR(VLOOKUP($U$233,'TAR FIN'!$A$1:$O$95,15,0)),0,VLOOKUP($U$233,'TAR FIN'!$A$1:$O$95,15,0))*(1-0.09)</f>
        <v>209.32730000000001</v>
      </c>
      <c r="Y233" s="77">
        <f ca="1">('TUSD BE'!$AM$11+'TUSD BF'!$AM$11+'TUSD CVA'!$AM$11)*1*(1-0.06)</f>
        <v>30.014803359426047</v>
      </c>
      <c r="Z233" s="77">
        <f ca="1">('TUSD BE'!$AM$12+'TUSD BF'!$AM$12+'TUSD CVA'!$AM$12)*1*(1-0.06)</f>
        <v>158.4025784496171</v>
      </c>
      <c r="AA233" s="77">
        <f>('TE BE'!$AA$8+'TE BF'!$AA$8+'TE CVA'!$AA$8)*1*(1-0.06)</f>
        <v>265.94235573400078</v>
      </c>
      <c r="AB233" s="77">
        <f>(SUBSIDIO!$J$233*SUBSIDIO!$V$233)*(0.09)/(1-0.09)</f>
        <v>1661.0597999999995</v>
      </c>
      <c r="AC233" s="77">
        <f>((SUBSIDIO!$L$233*SUBSIDIO!$W$233)+(SUBSIDIO!$N$233*SUBSIDIO!$X$233))*(0.09)/(1-0.09)</f>
        <v>9049.7314205999992</v>
      </c>
      <c r="AD233" s="77">
        <f ca="1">(SUBSIDIO!$J$233*SUBSIDIO!$Y$233)*(0.06)/(1-0.06)</f>
        <v>1237.6316789482485</v>
      </c>
      <c r="AE233" s="77">
        <f ca="1">((SUBSIDIO!$L$233*SUBSIDIO!$Z$233)+(SUBSIDIO!$N$233*SUBSIDIO!$AA$233))*(0.06)/(1-0.06)</f>
        <v>7173.6594557615108</v>
      </c>
      <c r="AF233" s="4" t="s">
        <v>842</v>
      </c>
    </row>
    <row r="234" spans="1:32" ht="11.25" customHeight="1" x14ac:dyDescent="0.25">
      <c r="A234" s="4" t="s">
        <v>21</v>
      </c>
      <c r="B234" s="4" t="s">
        <v>35</v>
      </c>
      <c r="C234" s="4" t="s">
        <v>44</v>
      </c>
      <c r="D234" s="4" t="s">
        <v>52</v>
      </c>
      <c r="E234" s="4" t="s">
        <v>53</v>
      </c>
      <c r="F234" s="4" t="s">
        <v>25</v>
      </c>
      <c r="G234" s="4" t="s">
        <v>25</v>
      </c>
      <c r="H234" s="4" t="s">
        <v>38</v>
      </c>
      <c r="I234" s="5">
        <v>44378</v>
      </c>
      <c r="J234" s="6">
        <v>1746</v>
      </c>
      <c r="K234" s="78">
        <v>1746</v>
      </c>
      <c r="L234" s="6">
        <v>157.25700000000001</v>
      </c>
      <c r="M234" s="77">
        <v>157.25700000000001</v>
      </c>
      <c r="N234" s="6">
        <v>157.25700000000001</v>
      </c>
      <c r="O234" s="77">
        <v>157.25700000000001</v>
      </c>
      <c r="P234" s="6">
        <v>0</v>
      </c>
      <c r="Q234" s="4" t="s">
        <v>26</v>
      </c>
      <c r="R234" s="4">
        <v>0</v>
      </c>
      <c r="S234" s="4">
        <v>29</v>
      </c>
      <c r="T234" s="4">
        <v>30</v>
      </c>
      <c r="U234" s="4">
        <v>67</v>
      </c>
      <c r="V234" s="77">
        <f>IF(ISERROR(VLOOKUP($S$234,'TAR FIN'!$A$1:$O$95,15,0)),0,VLOOKUP($S$234,'TAR FIN'!$A$1:$O$95,15,0))*(1-0.09)</f>
        <v>25.998699999999999</v>
      </c>
      <c r="W234" s="77">
        <f>IF(ISERROR(VLOOKUP($T$234,'TAR FIN'!$A$1:$O$95,15,0)),0,VLOOKUP($T$234,'TAR FIN'!$A$1:$O$95,15,0))*(1-0.09)</f>
        <v>136.16329999999999</v>
      </c>
      <c r="X234" s="77">
        <f>IF(ISERROR(VLOOKUP($U$234,'TAR FIN'!$A$1:$O$95,15,0)),0,VLOOKUP($U$234,'TAR FIN'!$A$1:$O$95,15,0))*(1-0.09)</f>
        <v>209.32730000000001</v>
      </c>
      <c r="Y234" s="77">
        <f ca="1">('TUSD BE'!$AM$11+'TUSD BF'!$AM$11+'TUSD CVA'!$AM$11)*1*(1-0.06)</f>
        <v>30.014803359426047</v>
      </c>
      <c r="Z234" s="77">
        <f ca="1">('TUSD BE'!$AM$12+'TUSD BF'!$AM$12+'TUSD CVA'!$AM$12)*1*(1-0.06)</f>
        <v>158.4025784496171</v>
      </c>
      <c r="AA234" s="77">
        <f>('TE BE'!$AA$8+'TE BF'!$AA$8+'TE CVA'!$AA$8)*1*(1-0.06)</f>
        <v>265.94235573400078</v>
      </c>
      <c r="AB234" s="77">
        <f>(SUBSIDIO!$J$234*SUBSIDIO!$V$234)*(0.09)/(1-0.09)</f>
        <v>4489.4897999999994</v>
      </c>
      <c r="AC234" s="77">
        <f>((SUBSIDIO!$L$234*SUBSIDIO!$W$234)+(SUBSIDIO!$N$234*SUBSIDIO!$X$234))*(0.09)/(1-0.09)</f>
        <v>5373.3773357999999</v>
      </c>
      <c r="AD234" s="77">
        <f ca="1">(SUBSIDIO!$J$234*SUBSIDIO!$Y$234)*(0.06)/(1-0.06)</f>
        <v>3345.054042482418</v>
      </c>
      <c r="AE234" s="77">
        <f ca="1">((SUBSIDIO!$L$234*SUBSIDIO!$Z$234)+(SUBSIDIO!$N$234*SUBSIDIO!$AA$234))*(0.06)/(1-0.06)</f>
        <v>4259.4390201008428</v>
      </c>
      <c r="AF234" s="4" t="s">
        <v>842</v>
      </c>
    </row>
    <row r="235" spans="1:32" ht="11.25" customHeight="1" x14ac:dyDescent="0.25">
      <c r="A235" s="4" t="s">
        <v>28</v>
      </c>
      <c r="B235" s="4" t="s">
        <v>35</v>
      </c>
      <c r="C235" s="4" t="s">
        <v>44</v>
      </c>
      <c r="D235" s="4" t="s">
        <v>52</v>
      </c>
      <c r="E235" s="4" t="s">
        <v>53</v>
      </c>
      <c r="F235" s="4" t="s">
        <v>25</v>
      </c>
      <c r="G235" s="4" t="s">
        <v>25</v>
      </c>
      <c r="H235" s="4" t="s">
        <v>38</v>
      </c>
      <c r="I235" s="5">
        <v>44378</v>
      </c>
      <c r="J235" s="6">
        <v>624</v>
      </c>
      <c r="K235" s="78">
        <v>624</v>
      </c>
      <c r="L235" s="6">
        <v>283.92599999999999</v>
      </c>
      <c r="M235" s="77">
        <v>283.92599999999999</v>
      </c>
      <c r="N235" s="6">
        <v>283.92599999999999</v>
      </c>
      <c r="O235" s="77">
        <v>283.92599999999999</v>
      </c>
      <c r="P235" s="6">
        <v>0</v>
      </c>
      <c r="Q235" s="4" t="s">
        <v>26</v>
      </c>
      <c r="R235" s="4">
        <v>0</v>
      </c>
      <c r="S235" s="4">
        <v>29</v>
      </c>
      <c r="T235" s="4">
        <v>30</v>
      </c>
      <c r="U235" s="4">
        <v>67</v>
      </c>
      <c r="V235" s="77">
        <f>IF(ISERROR(VLOOKUP($S$235,'TAR FIN'!$A$1:$O$95,15,0)),0,VLOOKUP($S$235,'TAR FIN'!$A$1:$O$95,15,0))*(1-0.09)</f>
        <v>25.998699999999999</v>
      </c>
      <c r="W235" s="77">
        <f>IF(ISERROR(VLOOKUP($T$235,'TAR FIN'!$A$1:$O$95,15,0)),0,VLOOKUP($T$235,'TAR FIN'!$A$1:$O$95,15,0))*(1-0.09)</f>
        <v>136.16329999999999</v>
      </c>
      <c r="X235" s="77">
        <f>IF(ISERROR(VLOOKUP($U$235,'TAR FIN'!$A$1:$O$95,15,0)),0,VLOOKUP($U$235,'TAR FIN'!$A$1:$O$95,15,0))*(1-0.09)</f>
        <v>209.32730000000001</v>
      </c>
      <c r="Y235" s="77">
        <f ca="1">('TUSD BE'!$AM$11+'TUSD BF'!$AM$11+'TUSD CVA'!$AM$11)*1*(1-0.06)</f>
        <v>30.014803359426047</v>
      </c>
      <c r="Z235" s="77">
        <f ca="1">('TUSD BE'!$AM$12+'TUSD BF'!$AM$12+'TUSD CVA'!$AM$12)*1*(1-0.06)</f>
        <v>158.4025784496171</v>
      </c>
      <c r="AA235" s="77">
        <f>('TE BE'!$AA$8+'TE BF'!$AA$8+'TE CVA'!$AA$8)*1*(1-0.06)</f>
        <v>265.94235573400078</v>
      </c>
      <c r="AB235" s="77">
        <f>(SUBSIDIO!$J$235*SUBSIDIO!$V$235)*(0.09)/(1-0.09)</f>
        <v>1604.4911999999999</v>
      </c>
      <c r="AC235" s="77">
        <f>((SUBSIDIO!$L$235*SUBSIDIO!$W$235)+(SUBSIDIO!$N$235*SUBSIDIO!$X$235))*(0.09)/(1-0.09)</f>
        <v>9701.5810643999994</v>
      </c>
      <c r="AD235" s="77">
        <f ca="1">(SUBSIDIO!$J$235*SUBSIDIO!$Y$235)*(0.06)/(1-0.06)</f>
        <v>1195.4832316775651</v>
      </c>
      <c r="AE235" s="77">
        <f ca="1">((SUBSIDIO!$L$235*SUBSIDIO!$Z$235)+(SUBSIDIO!$N$235*SUBSIDIO!$AA$235))*(0.06)/(1-0.06)</f>
        <v>7690.3761563628441</v>
      </c>
      <c r="AF235" s="4" t="s">
        <v>842</v>
      </c>
    </row>
    <row r="236" spans="1:32" ht="11.25" customHeight="1" x14ac:dyDescent="0.25">
      <c r="A236" s="4" t="s">
        <v>21</v>
      </c>
      <c r="B236" s="4" t="s">
        <v>35</v>
      </c>
      <c r="C236" s="4" t="s">
        <v>44</v>
      </c>
      <c r="D236" s="4" t="s">
        <v>52</v>
      </c>
      <c r="E236" s="4" t="s">
        <v>53</v>
      </c>
      <c r="F236" s="4" t="s">
        <v>25</v>
      </c>
      <c r="G236" s="4" t="s">
        <v>25</v>
      </c>
      <c r="H236" s="4" t="s">
        <v>38</v>
      </c>
      <c r="I236" s="5">
        <v>44409</v>
      </c>
      <c r="J236" s="6">
        <v>1746</v>
      </c>
      <c r="K236" s="78">
        <v>1746</v>
      </c>
      <c r="L236" s="6">
        <v>129.04400000000001</v>
      </c>
      <c r="M236" s="77">
        <v>129.04400000000001</v>
      </c>
      <c r="N236" s="6">
        <v>129.04400000000001</v>
      </c>
      <c r="O236" s="77">
        <v>129.04400000000001</v>
      </c>
      <c r="P236" s="6">
        <v>0</v>
      </c>
      <c r="Q236" s="4" t="s">
        <v>26</v>
      </c>
      <c r="R236" s="4">
        <v>0</v>
      </c>
      <c r="S236" s="4">
        <v>29</v>
      </c>
      <c r="T236" s="4">
        <v>30</v>
      </c>
      <c r="U236" s="4">
        <v>67</v>
      </c>
      <c r="V236" s="77">
        <f>IF(ISERROR(VLOOKUP($S$236,'TAR FIN'!$A$1:$O$95,15,0)),0,VLOOKUP($S$236,'TAR FIN'!$A$1:$O$95,15,0))*(1-0.09)</f>
        <v>25.998699999999999</v>
      </c>
      <c r="W236" s="77">
        <f>IF(ISERROR(VLOOKUP($T$236,'TAR FIN'!$A$1:$O$95,15,0)),0,VLOOKUP($T$236,'TAR FIN'!$A$1:$O$95,15,0))*(1-0.09)</f>
        <v>136.16329999999999</v>
      </c>
      <c r="X236" s="77">
        <f>IF(ISERROR(VLOOKUP($U$236,'TAR FIN'!$A$1:$O$95,15,0)),0,VLOOKUP($U$236,'TAR FIN'!$A$1:$O$95,15,0))*(1-0.09)</f>
        <v>209.32730000000001</v>
      </c>
      <c r="Y236" s="77">
        <f ca="1">('TUSD BE'!$AM$11+'TUSD BF'!$AM$11+'TUSD CVA'!$AM$11)*1*(1-0.06)</f>
        <v>30.014803359426047</v>
      </c>
      <c r="Z236" s="77">
        <f ca="1">('TUSD BE'!$AM$12+'TUSD BF'!$AM$12+'TUSD CVA'!$AM$12)*1*(1-0.06)</f>
        <v>158.4025784496171</v>
      </c>
      <c r="AA236" s="77">
        <f>('TE BE'!$AA$8+'TE BF'!$AA$8+'TE CVA'!$AA$8)*1*(1-0.06)</f>
        <v>265.94235573400078</v>
      </c>
      <c r="AB236" s="77">
        <f>(SUBSIDIO!$J$236*SUBSIDIO!$V$236)*(0.09)/(1-0.09)</f>
        <v>4489.4897999999994</v>
      </c>
      <c r="AC236" s="77">
        <f>((SUBSIDIO!$L$236*SUBSIDIO!$W$236)+(SUBSIDIO!$N$236*SUBSIDIO!$X$236))*(0.09)/(1-0.09)</f>
        <v>4409.3560535999995</v>
      </c>
      <c r="AD236" s="77">
        <f ca="1">(SUBSIDIO!$J$236*SUBSIDIO!$Y$236)*(0.06)/(1-0.06)</f>
        <v>3345.054042482418</v>
      </c>
      <c r="AE236" s="77">
        <f ca="1">((SUBSIDIO!$L$236*SUBSIDIO!$Z$236)+(SUBSIDIO!$N$236*SUBSIDIO!$AA$236))*(0.06)/(1-0.06)</f>
        <v>3495.2660225611144</v>
      </c>
      <c r="AF236" s="4" t="s">
        <v>842</v>
      </c>
    </row>
    <row r="237" spans="1:32" ht="11.25" customHeight="1" x14ac:dyDescent="0.25">
      <c r="A237" s="4" t="s">
        <v>28</v>
      </c>
      <c r="B237" s="4" t="s">
        <v>35</v>
      </c>
      <c r="C237" s="4" t="s">
        <v>44</v>
      </c>
      <c r="D237" s="4" t="s">
        <v>52</v>
      </c>
      <c r="E237" s="4" t="s">
        <v>53</v>
      </c>
      <c r="F237" s="4" t="s">
        <v>25</v>
      </c>
      <c r="G237" s="4" t="s">
        <v>25</v>
      </c>
      <c r="H237" s="4" t="s">
        <v>38</v>
      </c>
      <c r="I237" s="5">
        <v>44409</v>
      </c>
      <c r="J237" s="6">
        <v>648</v>
      </c>
      <c r="K237" s="78">
        <v>648</v>
      </c>
      <c r="L237" s="6">
        <v>268.27699999999999</v>
      </c>
      <c r="M237" s="77">
        <v>268.27699999999999</v>
      </c>
      <c r="N237" s="6">
        <v>268.27699999999999</v>
      </c>
      <c r="O237" s="77">
        <v>268.27699999999999</v>
      </c>
      <c r="P237" s="6">
        <v>0</v>
      </c>
      <c r="Q237" s="4" t="s">
        <v>26</v>
      </c>
      <c r="R237" s="4">
        <v>0</v>
      </c>
      <c r="S237" s="4">
        <v>29</v>
      </c>
      <c r="T237" s="4">
        <v>30</v>
      </c>
      <c r="U237" s="4">
        <v>67</v>
      </c>
      <c r="V237" s="77">
        <f>IF(ISERROR(VLOOKUP($S$237,'TAR FIN'!$A$1:$O$95,15,0)),0,VLOOKUP($S$237,'TAR FIN'!$A$1:$O$95,15,0))*(1-0.09)</f>
        <v>25.998699999999999</v>
      </c>
      <c r="W237" s="77">
        <f>IF(ISERROR(VLOOKUP($T$237,'TAR FIN'!$A$1:$O$95,15,0)),0,VLOOKUP($T$237,'TAR FIN'!$A$1:$O$95,15,0))*(1-0.09)</f>
        <v>136.16329999999999</v>
      </c>
      <c r="X237" s="77">
        <f>IF(ISERROR(VLOOKUP($U$237,'TAR FIN'!$A$1:$O$95,15,0)),0,VLOOKUP($U$237,'TAR FIN'!$A$1:$O$95,15,0))*(1-0.09)</f>
        <v>209.32730000000001</v>
      </c>
      <c r="Y237" s="77">
        <f ca="1">('TUSD BE'!$AM$11+'TUSD BF'!$AM$11+'TUSD CVA'!$AM$11)*1*(1-0.06)</f>
        <v>30.014803359426047</v>
      </c>
      <c r="Z237" s="77">
        <f ca="1">('TUSD BE'!$AM$12+'TUSD BF'!$AM$12+'TUSD CVA'!$AM$12)*1*(1-0.06)</f>
        <v>158.4025784496171</v>
      </c>
      <c r="AA237" s="77">
        <f>('TE BE'!$AA$8+'TE BF'!$AA$8+'TE CVA'!$AA$8)*1*(1-0.06)</f>
        <v>265.94235573400078</v>
      </c>
      <c r="AB237" s="77">
        <f>(SUBSIDIO!$J$237*SUBSIDIO!$V$237)*(0.09)/(1-0.09)</f>
        <v>1666.2023999999999</v>
      </c>
      <c r="AC237" s="77">
        <f>((SUBSIDIO!$L$237*SUBSIDIO!$W$237)+(SUBSIDIO!$N$237*SUBSIDIO!$X$237))*(0.09)/(1-0.09)</f>
        <v>9166.8641237999982</v>
      </c>
      <c r="AD237" s="77">
        <f ca="1">(SUBSIDIO!$J$237*SUBSIDIO!$Y$237)*(0.06)/(1-0.06)</f>
        <v>1241.4633559728561</v>
      </c>
      <c r="AE237" s="77">
        <f ca="1">((SUBSIDIO!$L$237*SUBSIDIO!$Z$237)+(SUBSIDIO!$N$237*SUBSIDIO!$AA$237))*(0.06)/(1-0.06)</f>
        <v>7266.5097388071363</v>
      </c>
      <c r="AF237" s="4" t="s">
        <v>842</v>
      </c>
    </row>
    <row r="238" spans="1:32" ht="11.25" customHeight="1" x14ac:dyDescent="0.25">
      <c r="A238" s="4" t="s">
        <v>21</v>
      </c>
      <c r="B238" s="4" t="s">
        <v>35</v>
      </c>
      <c r="C238" s="4" t="s">
        <v>44</v>
      </c>
      <c r="D238" s="4" t="s">
        <v>52</v>
      </c>
      <c r="E238" s="4" t="s">
        <v>53</v>
      </c>
      <c r="F238" s="4" t="s">
        <v>25</v>
      </c>
      <c r="G238" s="4" t="s">
        <v>25</v>
      </c>
      <c r="H238" s="4" t="s">
        <v>38</v>
      </c>
      <c r="I238" s="5">
        <v>44440</v>
      </c>
      <c r="J238" s="6">
        <v>1952</v>
      </c>
      <c r="K238" s="78">
        <v>1952</v>
      </c>
      <c r="L238" s="6">
        <v>340.94600000000003</v>
      </c>
      <c r="M238" s="77">
        <v>340.94600000000003</v>
      </c>
      <c r="N238" s="6">
        <v>340.94600000000003</v>
      </c>
      <c r="O238" s="77">
        <v>340.94600000000003</v>
      </c>
      <c r="P238" s="6">
        <v>0</v>
      </c>
      <c r="Q238" s="4" t="s">
        <v>26</v>
      </c>
      <c r="R238" s="4">
        <v>0</v>
      </c>
      <c r="S238" s="4">
        <v>29</v>
      </c>
      <c r="T238" s="4">
        <v>30</v>
      </c>
      <c r="U238" s="4">
        <v>67</v>
      </c>
      <c r="V238" s="77">
        <f>IF(ISERROR(VLOOKUP($S$238,'TAR FIN'!$A$1:$O$95,15,0)),0,VLOOKUP($S$238,'TAR FIN'!$A$1:$O$95,15,0))*(1-0.09)</f>
        <v>25.998699999999999</v>
      </c>
      <c r="W238" s="77">
        <f>IF(ISERROR(VLOOKUP($T$238,'TAR FIN'!$A$1:$O$95,15,0)),0,VLOOKUP($T$238,'TAR FIN'!$A$1:$O$95,15,0))*(1-0.09)</f>
        <v>136.16329999999999</v>
      </c>
      <c r="X238" s="77">
        <f>IF(ISERROR(VLOOKUP($U$238,'TAR FIN'!$A$1:$O$95,15,0)),0,VLOOKUP($U$238,'TAR FIN'!$A$1:$O$95,15,0))*(1-0.09)</f>
        <v>209.32730000000001</v>
      </c>
      <c r="Y238" s="77">
        <f ca="1">('TUSD BE'!$AM$11+'TUSD BF'!$AM$11+'TUSD CVA'!$AM$11)*1*(1-0.06)</f>
        <v>30.014803359426047</v>
      </c>
      <c r="Z238" s="77">
        <f ca="1">('TUSD BE'!$AM$12+'TUSD BF'!$AM$12+'TUSD CVA'!$AM$12)*1*(1-0.06)</f>
        <v>158.4025784496171</v>
      </c>
      <c r="AA238" s="77">
        <f>('TE BE'!$AA$8+'TE BF'!$AA$8+'TE CVA'!$AA$8)*1*(1-0.06)</f>
        <v>265.94235573400078</v>
      </c>
      <c r="AB238" s="77">
        <f>(SUBSIDIO!$J$238*SUBSIDIO!$V$238)*(0.09)/(1-0.09)</f>
        <v>5019.1775999999991</v>
      </c>
      <c r="AC238" s="77">
        <f>((SUBSIDIO!$L$238*SUBSIDIO!$W$238)+(SUBSIDIO!$N$238*SUBSIDIO!$X$238))*(0.09)/(1-0.09)</f>
        <v>11649.920252400001</v>
      </c>
      <c r="AD238" s="77">
        <f ca="1">(SUBSIDIO!$J$238*SUBSIDIO!$Y$238)*(0.06)/(1-0.06)</f>
        <v>3739.7167760169987</v>
      </c>
      <c r="AE238" s="77">
        <f ca="1">((SUBSIDIO!$L$238*SUBSIDIO!$Z$238)+(SUBSIDIO!$N$238*SUBSIDIO!$AA$238))*(0.06)/(1-0.06)</f>
        <v>9234.8111444787955</v>
      </c>
      <c r="AF238" s="4" t="s">
        <v>842</v>
      </c>
    </row>
    <row r="239" spans="1:32" ht="11.25" customHeight="1" x14ac:dyDescent="0.25">
      <c r="A239" s="4" t="s">
        <v>28</v>
      </c>
      <c r="B239" s="4" t="s">
        <v>35</v>
      </c>
      <c r="C239" s="4" t="s">
        <v>44</v>
      </c>
      <c r="D239" s="4" t="s">
        <v>52</v>
      </c>
      <c r="E239" s="4" t="s">
        <v>53</v>
      </c>
      <c r="F239" s="4" t="s">
        <v>25</v>
      </c>
      <c r="G239" s="4" t="s">
        <v>25</v>
      </c>
      <c r="H239" s="4" t="s">
        <v>38</v>
      </c>
      <c r="I239" s="5">
        <v>44440</v>
      </c>
      <c r="J239" s="6">
        <v>662</v>
      </c>
      <c r="K239" s="78">
        <v>662</v>
      </c>
      <c r="L239" s="6">
        <v>253.947</v>
      </c>
      <c r="M239" s="77">
        <v>253.947</v>
      </c>
      <c r="N239" s="6">
        <v>253.947</v>
      </c>
      <c r="O239" s="77">
        <v>253.947</v>
      </c>
      <c r="P239" s="6">
        <v>0</v>
      </c>
      <c r="Q239" s="4" t="s">
        <v>26</v>
      </c>
      <c r="R239" s="4">
        <v>0</v>
      </c>
      <c r="S239" s="4">
        <v>29</v>
      </c>
      <c r="T239" s="4">
        <v>30</v>
      </c>
      <c r="U239" s="4">
        <v>67</v>
      </c>
      <c r="V239" s="77">
        <f>IF(ISERROR(VLOOKUP($S$239,'TAR FIN'!$A$1:$O$95,15,0)),0,VLOOKUP($S$239,'TAR FIN'!$A$1:$O$95,15,0))*(1-0.09)</f>
        <v>25.998699999999999</v>
      </c>
      <c r="W239" s="77">
        <f>IF(ISERROR(VLOOKUP($T$239,'TAR FIN'!$A$1:$O$95,15,0)),0,VLOOKUP($T$239,'TAR FIN'!$A$1:$O$95,15,0))*(1-0.09)</f>
        <v>136.16329999999999</v>
      </c>
      <c r="X239" s="77">
        <f>IF(ISERROR(VLOOKUP($U$239,'TAR FIN'!$A$1:$O$95,15,0)),0,VLOOKUP($U$239,'TAR FIN'!$A$1:$O$95,15,0))*(1-0.09)</f>
        <v>209.32730000000001</v>
      </c>
      <c r="Y239" s="77">
        <f ca="1">('TUSD BE'!$AM$11+'TUSD BF'!$AM$11+'TUSD CVA'!$AM$11)*1*(1-0.06)</f>
        <v>30.014803359426047</v>
      </c>
      <c r="Z239" s="77">
        <f ca="1">('TUSD BE'!$AM$12+'TUSD BF'!$AM$12+'TUSD CVA'!$AM$12)*1*(1-0.06)</f>
        <v>158.4025784496171</v>
      </c>
      <c r="AA239" s="77">
        <f>('TE BE'!$AA$8+'TE BF'!$AA$8+'TE CVA'!$AA$8)*1*(1-0.06)</f>
        <v>265.94235573400078</v>
      </c>
      <c r="AB239" s="77">
        <f>(SUBSIDIO!$J$239*SUBSIDIO!$V$239)*(0.09)/(1-0.09)</f>
        <v>1702.2005999999999</v>
      </c>
      <c r="AC239" s="77">
        <f>((SUBSIDIO!$L$239*SUBSIDIO!$W$239)+(SUBSIDIO!$N$239*SUBSIDIO!$X$239))*(0.09)/(1-0.09)</f>
        <v>8677.2166218000002</v>
      </c>
      <c r="AD239" s="77">
        <f ca="1">(SUBSIDIO!$J$239*SUBSIDIO!$Y$239)*(0.06)/(1-0.06)</f>
        <v>1268.2850951451092</v>
      </c>
      <c r="AE239" s="77">
        <f ca="1">((SUBSIDIO!$L$239*SUBSIDIO!$Z$239)+(SUBSIDIO!$N$239*SUBSIDIO!$AA$239))*(0.06)/(1-0.06)</f>
        <v>6878.3695532634392</v>
      </c>
      <c r="AF239" s="4" t="s">
        <v>842</v>
      </c>
    </row>
    <row r="240" spans="1:32" ht="11.25" customHeight="1" x14ac:dyDescent="0.25">
      <c r="A240" s="4" t="s">
        <v>59</v>
      </c>
      <c r="B240" s="4" t="s">
        <v>35</v>
      </c>
      <c r="C240" s="4" t="s">
        <v>44</v>
      </c>
      <c r="D240" s="4" t="s">
        <v>52</v>
      </c>
      <c r="E240" s="4" t="s">
        <v>53</v>
      </c>
      <c r="F240" s="4" t="s">
        <v>25</v>
      </c>
      <c r="G240" s="4" t="s">
        <v>25</v>
      </c>
      <c r="H240" s="4" t="s">
        <v>38</v>
      </c>
      <c r="I240" s="5">
        <v>44470</v>
      </c>
      <c r="J240" s="6">
        <v>1952</v>
      </c>
      <c r="K240" s="78">
        <v>1952</v>
      </c>
      <c r="L240" s="6">
        <v>340.94600000000003</v>
      </c>
      <c r="M240" s="77">
        <v>340.94600000000003</v>
      </c>
      <c r="N240" s="6">
        <v>340.94600000000003</v>
      </c>
      <c r="O240" s="77">
        <v>340.94600000000003</v>
      </c>
      <c r="P240" s="6">
        <v>0</v>
      </c>
      <c r="Q240" s="4" t="s">
        <v>26</v>
      </c>
      <c r="R240" s="4">
        <v>0</v>
      </c>
      <c r="S240" s="4">
        <v>29</v>
      </c>
      <c r="T240" s="4">
        <v>30</v>
      </c>
      <c r="U240" s="4">
        <v>67</v>
      </c>
      <c r="V240" s="77">
        <f>IF(ISERROR(VLOOKUP($S$240,'TAR FIN'!$A$1:$O$95,15,0)),0,VLOOKUP($S$240,'TAR FIN'!$A$1:$O$95,15,0))*(1-0.09)</f>
        <v>25.998699999999999</v>
      </c>
      <c r="W240" s="77">
        <f>IF(ISERROR(VLOOKUP($T$240,'TAR FIN'!$A$1:$O$95,15,0)),0,VLOOKUP($T$240,'TAR FIN'!$A$1:$O$95,15,0))*(1-0.09)</f>
        <v>136.16329999999999</v>
      </c>
      <c r="X240" s="77">
        <f>IF(ISERROR(VLOOKUP($U$240,'TAR FIN'!$A$1:$O$95,15,0)),0,VLOOKUP($U$240,'TAR FIN'!$A$1:$O$95,15,0))*(1-0.09)</f>
        <v>209.32730000000001</v>
      </c>
      <c r="Y240" s="77">
        <f ca="1">('TUSD BE'!$AM$11+'TUSD BF'!$AM$11+'TUSD CVA'!$AM$11)*1*(1-0.06)</f>
        <v>30.014803359426047</v>
      </c>
      <c r="Z240" s="77">
        <f ca="1">('TUSD BE'!$AM$12+'TUSD BF'!$AM$12+'TUSD CVA'!$AM$12)*1*(1-0.06)</f>
        <v>158.4025784496171</v>
      </c>
      <c r="AA240" s="77">
        <f>('TE BE'!$AA$8+'TE BF'!$AA$8+'TE CVA'!$AA$8)*1*(1-0.06)</f>
        <v>265.94235573400078</v>
      </c>
      <c r="AB240" s="77">
        <f>(SUBSIDIO!$J$240*SUBSIDIO!$V$240)*(0.09)/(1-0.09)</f>
        <v>5019.1775999999991</v>
      </c>
      <c r="AC240" s="77">
        <f>((SUBSIDIO!$L$240*SUBSIDIO!$W$240)+(SUBSIDIO!$N$240*SUBSIDIO!$X$240))*(0.09)/(1-0.09)</f>
        <v>11649.920252400001</v>
      </c>
      <c r="AD240" s="77">
        <f ca="1">(SUBSIDIO!$J$240*SUBSIDIO!$Y$240)*(0.06)/(1-0.06)</f>
        <v>3739.7167760169987</v>
      </c>
      <c r="AE240" s="77">
        <f ca="1">((SUBSIDIO!$L$240*SUBSIDIO!$Z$240)+(SUBSIDIO!$N$240*SUBSIDIO!$AA$240))*(0.06)/(1-0.06)</f>
        <v>9234.8111444787955</v>
      </c>
      <c r="AF240" s="4" t="s">
        <v>842</v>
      </c>
    </row>
    <row r="241" spans="1:32" ht="11.25" customHeight="1" x14ac:dyDescent="0.25">
      <c r="A241" s="4" t="s">
        <v>59</v>
      </c>
      <c r="B241" s="4" t="s">
        <v>35</v>
      </c>
      <c r="C241" s="4" t="s">
        <v>44</v>
      </c>
      <c r="D241" s="4" t="s">
        <v>52</v>
      </c>
      <c r="E241" s="4" t="s">
        <v>53</v>
      </c>
      <c r="F241" s="4" t="s">
        <v>25</v>
      </c>
      <c r="G241" s="4" t="s">
        <v>25</v>
      </c>
      <c r="H241" s="4" t="s">
        <v>38</v>
      </c>
      <c r="I241" s="5">
        <v>44470</v>
      </c>
      <c r="J241" s="6">
        <v>662</v>
      </c>
      <c r="K241" s="78">
        <v>662</v>
      </c>
      <c r="L241" s="6">
        <v>253.947</v>
      </c>
      <c r="M241" s="77">
        <v>253.947</v>
      </c>
      <c r="N241" s="6">
        <v>253.947</v>
      </c>
      <c r="O241" s="77">
        <v>253.947</v>
      </c>
      <c r="P241" s="6">
        <v>0</v>
      </c>
      <c r="Q241" s="4" t="s">
        <v>26</v>
      </c>
      <c r="R241" s="4">
        <v>0</v>
      </c>
      <c r="S241" s="4">
        <v>29</v>
      </c>
      <c r="T241" s="4">
        <v>30</v>
      </c>
      <c r="U241" s="4">
        <v>67</v>
      </c>
      <c r="V241" s="77">
        <f>IF(ISERROR(VLOOKUP($S$241,'TAR FIN'!$A$1:$O$95,15,0)),0,VLOOKUP($S$241,'TAR FIN'!$A$1:$O$95,15,0))*(1-0.09)</f>
        <v>25.998699999999999</v>
      </c>
      <c r="W241" s="77">
        <f>IF(ISERROR(VLOOKUP($T$241,'TAR FIN'!$A$1:$O$95,15,0)),0,VLOOKUP($T$241,'TAR FIN'!$A$1:$O$95,15,0))*(1-0.09)</f>
        <v>136.16329999999999</v>
      </c>
      <c r="X241" s="77">
        <f>IF(ISERROR(VLOOKUP($U$241,'TAR FIN'!$A$1:$O$95,15,0)),0,VLOOKUP($U$241,'TAR FIN'!$A$1:$O$95,15,0))*(1-0.09)</f>
        <v>209.32730000000001</v>
      </c>
      <c r="Y241" s="77">
        <f ca="1">('TUSD BE'!$AM$11+'TUSD BF'!$AM$11+'TUSD CVA'!$AM$11)*1*(1-0.06)</f>
        <v>30.014803359426047</v>
      </c>
      <c r="Z241" s="77">
        <f ca="1">('TUSD BE'!$AM$12+'TUSD BF'!$AM$12+'TUSD CVA'!$AM$12)*1*(1-0.06)</f>
        <v>158.4025784496171</v>
      </c>
      <c r="AA241" s="77">
        <f>('TE BE'!$AA$8+'TE BF'!$AA$8+'TE CVA'!$AA$8)*1*(1-0.06)</f>
        <v>265.94235573400078</v>
      </c>
      <c r="AB241" s="77">
        <f>(SUBSIDIO!$J$241*SUBSIDIO!$V$241)*(0.09)/(1-0.09)</f>
        <v>1702.2005999999999</v>
      </c>
      <c r="AC241" s="77">
        <f>((SUBSIDIO!$L$241*SUBSIDIO!$W$241)+(SUBSIDIO!$N$241*SUBSIDIO!$X$241))*(0.09)/(1-0.09)</f>
        <v>8677.2166218000002</v>
      </c>
      <c r="AD241" s="77">
        <f ca="1">(SUBSIDIO!$J$241*SUBSIDIO!$Y$241)*(0.06)/(1-0.06)</f>
        <v>1268.2850951451092</v>
      </c>
      <c r="AE241" s="77">
        <f ca="1">((SUBSIDIO!$L$241*SUBSIDIO!$Z$241)+(SUBSIDIO!$N$241*SUBSIDIO!$AA$241))*(0.06)/(1-0.06)</f>
        <v>6878.3695532634392</v>
      </c>
      <c r="AF241" s="4" t="s">
        <v>842</v>
      </c>
    </row>
    <row r="242" spans="1:32" ht="11.25" customHeight="1" x14ac:dyDescent="0.25">
      <c r="A242" s="4" t="s">
        <v>21</v>
      </c>
      <c r="B242" s="4" t="s">
        <v>35</v>
      </c>
      <c r="C242" s="4" t="s">
        <v>44</v>
      </c>
      <c r="D242" s="4" t="s">
        <v>52</v>
      </c>
      <c r="E242" s="4" t="s">
        <v>53</v>
      </c>
      <c r="F242" s="4" t="s">
        <v>25</v>
      </c>
      <c r="G242" s="4" t="s">
        <v>25</v>
      </c>
      <c r="H242" s="4" t="s">
        <v>37</v>
      </c>
      <c r="I242" s="5">
        <v>44136</v>
      </c>
      <c r="J242" s="6">
        <v>1264</v>
      </c>
      <c r="K242" s="78">
        <v>1264</v>
      </c>
      <c r="L242" s="6">
        <v>39.17</v>
      </c>
      <c r="M242" s="77">
        <v>39.17</v>
      </c>
      <c r="N242" s="6">
        <v>39.17</v>
      </c>
      <c r="O242" s="77">
        <v>39.17</v>
      </c>
      <c r="P242" s="6">
        <v>0</v>
      </c>
      <c r="Q242" s="4" t="s">
        <v>26</v>
      </c>
      <c r="R242" s="4">
        <v>0</v>
      </c>
      <c r="S242" s="4">
        <v>28</v>
      </c>
      <c r="T242" s="4">
        <v>30</v>
      </c>
      <c r="U242" s="4">
        <v>66</v>
      </c>
      <c r="V242" s="77">
        <f>IF(ISERROR(VLOOKUP($S$242,'TAR FIN'!$A$1:$O$95,15,0)),0,VLOOKUP($S$242,'TAR FIN'!$A$1:$O$95,15,0))*(1-0.09)</f>
        <v>48.2209</v>
      </c>
      <c r="W242" s="77">
        <f>IF(ISERROR(VLOOKUP($T$242,'TAR FIN'!$A$1:$O$95,15,0)),0,VLOOKUP($T$242,'TAR FIN'!$A$1:$O$95,15,0))*(1-0.09)</f>
        <v>136.16329999999999</v>
      </c>
      <c r="X242" s="77">
        <f>IF(ISERROR(VLOOKUP($U$242,'TAR FIN'!$A$1:$O$95,15,0)),0,VLOOKUP($U$242,'TAR FIN'!$A$1:$O$95,15,0))*(1-0.09)</f>
        <v>354.2448</v>
      </c>
      <c r="Y242" s="77">
        <f ca="1">('TUSD BE'!$AM$10+'TUSD BF'!$AM$10+'TUSD CVA'!$AM$10)*1*(1-0.06)</f>
        <v>55.719770574664459</v>
      </c>
      <c r="Z242" s="77">
        <f ca="1">('TUSD BE'!$AM$12+'TUSD BF'!$AM$12+'TUSD CVA'!$AM$12)*1*(1-0.06)</f>
        <v>158.4025784496171</v>
      </c>
      <c r="AA242" s="77">
        <f>('TE BE'!$AA$7+'TE BF'!$AA$7+'TE CVA'!$AA$7)*1*(1-0.06)</f>
        <v>427.06885385270027</v>
      </c>
      <c r="AB242" s="77">
        <f>(SUBSIDIO!$J$242*SUBSIDIO!$V$242)*(0.09)/(1-0.09)</f>
        <v>6028.1423999999997</v>
      </c>
      <c r="AC242" s="77">
        <f>((SUBSIDIO!$L$242*SUBSIDIO!$W$242)+(SUBSIDIO!$N$242*SUBSIDIO!$X$242))*(0.09)/(1-0.09)</f>
        <v>1899.8194229999997</v>
      </c>
      <c r="AD242" s="77">
        <f ca="1">(SUBSIDIO!$J$242*SUBSIDIO!$Y$242)*(0.06)/(1-0.06)</f>
        <v>4495.5185110452685</v>
      </c>
      <c r="AE242" s="77">
        <f ca="1">((SUBSIDIO!$L$242*SUBSIDIO!$Z$242)+(SUBSIDIO!$N$242*SUBSIDIO!$AA$242))*(0.06)/(1-0.06)</f>
        <v>1463.8031491456454</v>
      </c>
      <c r="AF242" s="4" t="s">
        <v>842</v>
      </c>
    </row>
    <row r="243" spans="1:32" ht="11.25" customHeight="1" x14ac:dyDescent="0.25">
      <c r="A243" s="4" t="s">
        <v>28</v>
      </c>
      <c r="B243" s="4" t="s">
        <v>35</v>
      </c>
      <c r="C243" s="4" t="s">
        <v>44</v>
      </c>
      <c r="D243" s="4" t="s">
        <v>52</v>
      </c>
      <c r="E243" s="4" t="s">
        <v>53</v>
      </c>
      <c r="F243" s="4" t="s">
        <v>25</v>
      </c>
      <c r="G243" s="4" t="s">
        <v>25</v>
      </c>
      <c r="H243" s="4" t="s">
        <v>37</v>
      </c>
      <c r="I243" s="5">
        <v>44136</v>
      </c>
      <c r="J243" s="6">
        <v>604</v>
      </c>
      <c r="K243" s="78">
        <v>604</v>
      </c>
      <c r="L243" s="6">
        <v>26.055</v>
      </c>
      <c r="M243" s="77">
        <v>26.055</v>
      </c>
      <c r="N243" s="6">
        <v>26.055</v>
      </c>
      <c r="O243" s="77">
        <v>26.055</v>
      </c>
      <c r="P243" s="6">
        <v>0</v>
      </c>
      <c r="Q243" s="4" t="s">
        <v>26</v>
      </c>
      <c r="R243" s="4">
        <v>0</v>
      </c>
      <c r="S243" s="4">
        <v>28</v>
      </c>
      <c r="T243" s="4">
        <v>30</v>
      </c>
      <c r="U243" s="4">
        <v>66</v>
      </c>
      <c r="V243" s="77">
        <f>IF(ISERROR(VLOOKUP($S$243,'TAR FIN'!$A$1:$O$95,15,0)),0,VLOOKUP($S$243,'TAR FIN'!$A$1:$O$95,15,0))*(1-0.09)</f>
        <v>48.2209</v>
      </c>
      <c r="W243" s="77">
        <f>IF(ISERROR(VLOOKUP($T$243,'TAR FIN'!$A$1:$O$95,15,0)),0,VLOOKUP($T$243,'TAR FIN'!$A$1:$O$95,15,0))*(1-0.09)</f>
        <v>136.16329999999999</v>
      </c>
      <c r="X243" s="77">
        <f>IF(ISERROR(VLOOKUP($U$243,'TAR FIN'!$A$1:$O$95,15,0)),0,VLOOKUP($U$243,'TAR FIN'!$A$1:$O$95,15,0))*(1-0.09)</f>
        <v>354.2448</v>
      </c>
      <c r="Y243" s="77">
        <f ca="1">('TUSD BE'!$AM$10+'TUSD BF'!$AM$10+'TUSD CVA'!$AM$10)*1*(1-0.06)</f>
        <v>55.719770574664459</v>
      </c>
      <c r="Z243" s="77">
        <f ca="1">('TUSD BE'!$AM$12+'TUSD BF'!$AM$12+'TUSD CVA'!$AM$12)*1*(1-0.06)</f>
        <v>158.4025784496171</v>
      </c>
      <c r="AA243" s="77">
        <f>('TE BE'!$AA$7+'TE BF'!$AA$7+'TE CVA'!$AA$7)*1*(1-0.06)</f>
        <v>427.06885385270027</v>
      </c>
      <c r="AB243" s="77">
        <f>(SUBSIDIO!$J$243*SUBSIDIO!$V$243)*(0.09)/(1-0.09)</f>
        <v>2880.5364</v>
      </c>
      <c r="AC243" s="77">
        <f>((SUBSIDIO!$L$243*SUBSIDIO!$W$243)+(SUBSIDIO!$N$243*SUBSIDIO!$X$243))*(0.09)/(1-0.09)</f>
        <v>1263.7170044999998</v>
      </c>
      <c r="AD243" s="77">
        <f ca="1">(SUBSIDIO!$J$243*SUBSIDIO!$Y$243)*(0.06)/(1-0.06)</f>
        <v>2148.1749847083402</v>
      </c>
      <c r="AE243" s="77">
        <f ca="1">((SUBSIDIO!$L$243*SUBSIDIO!$Z$243)+(SUBSIDIO!$N$243*SUBSIDIO!$AA$243))*(0.06)/(1-0.06)</f>
        <v>973.68881927469454</v>
      </c>
      <c r="AF243" s="4" t="s">
        <v>842</v>
      </c>
    </row>
    <row r="244" spans="1:32" ht="11.25" customHeight="1" x14ac:dyDescent="0.25">
      <c r="A244" s="4" t="s">
        <v>21</v>
      </c>
      <c r="B244" s="4" t="s">
        <v>35</v>
      </c>
      <c r="C244" s="4" t="s">
        <v>44</v>
      </c>
      <c r="D244" s="4" t="s">
        <v>52</v>
      </c>
      <c r="E244" s="4" t="s">
        <v>53</v>
      </c>
      <c r="F244" s="4" t="s">
        <v>25</v>
      </c>
      <c r="G244" s="4" t="s">
        <v>25</v>
      </c>
      <c r="H244" s="4" t="s">
        <v>37</v>
      </c>
      <c r="I244" s="5">
        <v>44166</v>
      </c>
      <c r="J244" s="6">
        <v>1275</v>
      </c>
      <c r="K244" s="78">
        <v>1275</v>
      </c>
      <c r="L244" s="6">
        <v>40.924999999999997</v>
      </c>
      <c r="M244" s="77">
        <v>40.924999999999997</v>
      </c>
      <c r="N244" s="6">
        <v>40.924999999999997</v>
      </c>
      <c r="O244" s="77">
        <v>40.924999999999997</v>
      </c>
      <c r="P244" s="6">
        <v>0</v>
      </c>
      <c r="Q244" s="4" t="s">
        <v>26</v>
      </c>
      <c r="R244" s="4">
        <v>0</v>
      </c>
      <c r="S244" s="4">
        <v>28</v>
      </c>
      <c r="T244" s="4">
        <v>30</v>
      </c>
      <c r="U244" s="4">
        <v>66</v>
      </c>
      <c r="V244" s="77">
        <f>IF(ISERROR(VLOOKUP($S$244,'TAR FIN'!$A$1:$O$95,15,0)),0,VLOOKUP($S$244,'TAR FIN'!$A$1:$O$95,15,0))*(1-0.09)</f>
        <v>48.2209</v>
      </c>
      <c r="W244" s="77">
        <f>IF(ISERROR(VLOOKUP($T$244,'TAR FIN'!$A$1:$O$95,15,0)),0,VLOOKUP($T$244,'TAR FIN'!$A$1:$O$95,15,0))*(1-0.09)</f>
        <v>136.16329999999999</v>
      </c>
      <c r="X244" s="77">
        <f>IF(ISERROR(VLOOKUP($U$244,'TAR FIN'!$A$1:$O$95,15,0)),0,VLOOKUP($U$244,'TAR FIN'!$A$1:$O$95,15,0))*(1-0.09)</f>
        <v>354.2448</v>
      </c>
      <c r="Y244" s="77">
        <f ca="1">('TUSD BE'!$AM$10+'TUSD BF'!$AM$10+'TUSD CVA'!$AM$10)*1*(1-0.06)</f>
        <v>55.719770574664459</v>
      </c>
      <c r="Z244" s="77">
        <f ca="1">('TUSD BE'!$AM$12+'TUSD BF'!$AM$12+'TUSD CVA'!$AM$12)*1*(1-0.06)</f>
        <v>158.4025784496171</v>
      </c>
      <c r="AA244" s="77">
        <f>('TE BE'!$AA$7+'TE BF'!$AA$7+'TE CVA'!$AA$7)*1*(1-0.06)</f>
        <v>427.06885385270027</v>
      </c>
      <c r="AB244" s="77">
        <f>(SUBSIDIO!$J$244*SUBSIDIO!$V$244)*(0.09)/(1-0.09)</f>
        <v>6080.6024999999991</v>
      </c>
      <c r="AC244" s="77">
        <f>((SUBSIDIO!$L$244*SUBSIDIO!$W$244)+(SUBSIDIO!$N$244*SUBSIDIO!$X$244))*(0.09)/(1-0.09)</f>
        <v>1984.9402574999995</v>
      </c>
      <c r="AD244" s="77">
        <f ca="1">(SUBSIDIO!$J$244*SUBSIDIO!$Y$244)*(0.06)/(1-0.06)</f>
        <v>4534.6409031508838</v>
      </c>
      <c r="AE244" s="77">
        <f ca="1">((SUBSIDIO!$L$244*SUBSIDIO!$Z$244)+(SUBSIDIO!$N$244*SUBSIDIO!$AA$244))*(0.06)/(1-0.06)</f>
        <v>1529.3884064024896</v>
      </c>
      <c r="AF244" s="4" t="s">
        <v>842</v>
      </c>
    </row>
    <row r="245" spans="1:32" ht="11.25" customHeight="1" x14ac:dyDescent="0.25">
      <c r="A245" s="4" t="s">
        <v>28</v>
      </c>
      <c r="B245" s="4" t="s">
        <v>35</v>
      </c>
      <c r="C245" s="4" t="s">
        <v>44</v>
      </c>
      <c r="D245" s="4" t="s">
        <v>52</v>
      </c>
      <c r="E245" s="4" t="s">
        <v>53</v>
      </c>
      <c r="F245" s="4" t="s">
        <v>25</v>
      </c>
      <c r="G245" s="4" t="s">
        <v>25</v>
      </c>
      <c r="H245" s="4" t="s">
        <v>37</v>
      </c>
      <c r="I245" s="5">
        <v>44166</v>
      </c>
      <c r="J245" s="6">
        <v>611</v>
      </c>
      <c r="K245" s="78">
        <v>611</v>
      </c>
      <c r="L245" s="6">
        <v>30.416</v>
      </c>
      <c r="M245" s="77">
        <v>30.416</v>
      </c>
      <c r="N245" s="6">
        <v>30.416</v>
      </c>
      <c r="O245" s="77">
        <v>30.416</v>
      </c>
      <c r="P245" s="6">
        <v>0</v>
      </c>
      <c r="Q245" s="4" t="s">
        <v>26</v>
      </c>
      <c r="R245" s="4">
        <v>0</v>
      </c>
      <c r="S245" s="4">
        <v>28</v>
      </c>
      <c r="T245" s="4">
        <v>30</v>
      </c>
      <c r="U245" s="4">
        <v>66</v>
      </c>
      <c r="V245" s="77">
        <f>IF(ISERROR(VLOOKUP($S$245,'TAR FIN'!$A$1:$O$95,15,0)),0,VLOOKUP($S$245,'TAR FIN'!$A$1:$O$95,15,0))*(1-0.09)</f>
        <v>48.2209</v>
      </c>
      <c r="W245" s="77">
        <f>IF(ISERROR(VLOOKUP($T$245,'TAR FIN'!$A$1:$O$95,15,0)),0,VLOOKUP($T$245,'TAR FIN'!$A$1:$O$95,15,0))*(1-0.09)</f>
        <v>136.16329999999999</v>
      </c>
      <c r="X245" s="77">
        <f>IF(ISERROR(VLOOKUP($U$245,'TAR FIN'!$A$1:$O$95,15,0)),0,VLOOKUP($U$245,'TAR FIN'!$A$1:$O$95,15,0))*(1-0.09)</f>
        <v>354.2448</v>
      </c>
      <c r="Y245" s="77">
        <f ca="1">('TUSD BE'!$AM$10+'TUSD BF'!$AM$10+'TUSD CVA'!$AM$10)*1*(1-0.06)</f>
        <v>55.719770574664459</v>
      </c>
      <c r="Z245" s="77">
        <f ca="1">('TUSD BE'!$AM$12+'TUSD BF'!$AM$12+'TUSD CVA'!$AM$12)*1*(1-0.06)</f>
        <v>158.4025784496171</v>
      </c>
      <c r="AA245" s="77">
        <f>('TE BE'!$AA$7+'TE BF'!$AA$7+'TE CVA'!$AA$7)*1*(1-0.06)</f>
        <v>427.06885385270027</v>
      </c>
      <c r="AB245" s="77">
        <f>(SUBSIDIO!$J$245*SUBSIDIO!$V$245)*(0.09)/(1-0.09)</f>
        <v>2913.9200999999998</v>
      </c>
      <c r="AC245" s="77">
        <f>((SUBSIDIO!$L$245*SUBSIDIO!$W$245)+(SUBSIDIO!$N$245*SUBSIDIO!$X$245))*(0.09)/(1-0.09)</f>
        <v>1475.2337903999999</v>
      </c>
      <c r="AD245" s="77">
        <f ca="1">(SUBSIDIO!$J$245*SUBSIDIO!$Y$245)*(0.06)/(1-0.06)</f>
        <v>2173.071052411914</v>
      </c>
      <c r="AE245" s="77">
        <f ca="1">((SUBSIDIO!$L$245*SUBSIDIO!$Z$245)+(SUBSIDIO!$N$245*SUBSIDIO!$AA$245))*(0.06)/(1-0.06)</f>
        <v>1136.6616437174864</v>
      </c>
      <c r="AF245" s="4" t="s">
        <v>842</v>
      </c>
    </row>
    <row r="246" spans="1:32" ht="11.25" customHeight="1" x14ac:dyDescent="0.25">
      <c r="A246" s="4" t="s">
        <v>21</v>
      </c>
      <c r="B246" s="4" t="s">
        <v>35</v>
      </c>
      <c r="C246" s="4" t="s">
        <v>44</v>
      </c>
      <c r="D246" s="4" t="s">
        <v>52</v>
      </c>
      <c r="E246" s="4" t="s">
        <v>53</v>
      </c>
      <c r="F246" s="4" t="s">
        <v>25</v>
      </c>
      <c r="G246" s="4" t="s">
        <v>25</v>
      </c>
      <c r="H246" s="4" t="s">
        <v>37</v>
      </c>
      <c r="I246" s="5">
        <v>44197</v>
      </c>
      <c r="J246" s="6">
        <v>1288</v>
      </c>
      <c r="K246" s="78">
        <v>1288</v>
      </c>
      <c r="L246" s="6">
        <v>40.505000000000003</v>
      </c>
      <c r="M246" s="77">
        <v>40.505000000000003</v>
      </c>
      <c r="N246" s="6">
        <v>40.505000000000003</v>
      </c>
      <c r="O246" s="77">
        <v>40.505000000000003</v>
      </c>
      <c r="P246" s="6">
        <v>0</v>
      </c>
      <c r="Q246" s="4" t="s">
        <v>26</v>
      </c>
      <c r="R246" s="4">
        <v>0</v>
      </c>
      <c r="S246" s="4">
        <v>28</v>
      </c>
      <c r="T246" s="4">
        <v>30</v>
      </c>
      <c r="U246" s="4">
        <v>66</v>
      </c>
      <c r="V246" s="77">
        <f>IF(ISERROR(VLOOKUP($S$246,'TAR FIN'!$A$1:$O$95,15,0)),0,VLOOKUP($S$246,'TAR FIN'!$A$1:$O$95,15,0))*(1-0.09)</f>
        <v>48.2209</v>
      </c>
      <c r="W246" s="77">
        <f>IF(ISERROR(VLOOKUP($T$246,'TAR FIN'!$A$1:$O$95,15,0)),0,VLOOKUP($T$246,'TAR FIN'!$A$1:$O$95,15,0))*(1-0.09)</f>
        <v>136.16329999999999</v>
      </c>
      <c r="X246" s="77">
        <f>IF(ISERROR(VLOOKUP($U$246,'TAR FIN'!$A$1:$O$95,15,0)),0,VLOOKUP($U$246,'TAR FIN'!$A$1:$O$95,15,0))*(1-0.09)</f>
        <v>354.2448</v>
      </c>
      <c r="Y246" s="77">
        <f ca="1">('TUSD BE'!$AM$10+'TUSD BF'!$AM$10+'TUSD CVA'!$AM$10)*1*(1-0.06)</f>
        <v>55.719770574664459</v>
      </c>
      <c r="Z246" s="77">
        <f ca="1">('TUSD BE'!$AM$12+'TUSD BF'!$AM$12+'TUSD CVA'!$AM$12)*1*(1-0.06)</f>
        <v>158.4025784496171</v>
      </c>
      <c r="AA246" s="77">
        <f>('TE BE'!$AA$7+'TE BF'!$AA$7+'TE CVA'!$AA$7)*1*(1-0.06)</f>
        <v>427.06885385270027</v>
      </c>
      <c r="AB246" s="77">
        <f>(SUBSIDIO!$J$246*SUBSIDIO!$V$246)*(0.09)/(1-0.09)</f>
        <v>6142.6007999999993</v>
      </c>
      <c r="AC246" s="77">
        <f>((SUBSIDIO!$L$246*SUBSIDIO!$W$246)+(SUBSIDIO!$N$246*SUBSIDIO!$X$246))*(0.09)/(1-0.09)</f>
        <v>1964.5694595</v>
      </c>
      <c r="AD246" s="77">
        <f ca="1">(SUBSIDIO!$J$246*SUBSIDIO!$Y$246)*(0.06)/(1-0.06)</f>
        <v>4580.8764574575207</v>
      </c>
      <c r="AE246" s="77">
        <f ca="1">((SUBSIDIO!$L$246*SUBSIDIO!$Z$246)+(SUBSIDIO!$N$246*SUBSIDIO!$AA$246))*(0.06)/(1-0.06)</f>
        <v>1513.6927892811934</v>
      </c>
      <c r="AF246" s="4" t="s">
        <v>842</v>
      </c>
    </row>
    <row r="247" spans="1:32" ht="11.25" customHeight="1" x14ac:dyDescent="0.25">
      <c r="A247" s="4" t="s">
        <v>28</v>
      </c>
      <c r="B247" s="4" t="s">
        <v>35</v>
      </c>
      <c r="C247" s="4" t="s">
        <v>44</v>
      </c>
      <c r="D247" s="4" t="s">
        <v>52</v>
      </c>
      <c r="E247" s="4" t="s">
        <v>53</v>
      </c>
      <c r="F247" s="4" t="s">
        <v>25</v>
      </c>
      <c r="G247" s="4" t="s">
        <v>25</v>
      </c>
      <c r="H247" s="4" t="s">
        <v>37</v>
      </c>
      <c r="I247" s="5">
        <v>44197</v>
      </c>
      <c r="J247" s="6">
        <v>610</v>
      </c>
      <c r="K247" s="78">
        <v>610</v>
      </c>
      <c r="L247" s="6">
        <v>30</v>
      </c>
      <c r="M247" s="77">
        <v>30</v>
      </c>
      <c r="N247" s="6">
        <v>30</v>
      </c>
      <c r="O247" s="77">
        <v>30</v>
      </c>
      <c r="P247" s="6">
        <v>0</v>
      </c>
      <c r="Q247" s="4" t="s">
        <v>26</v>
      </c>
      <c r="R247" s="4">
        <v>0</v>
      </c>
      <c r="S247" s="4">
        <v>28</v>
      </c>
      <c r="T247" s="4">
        <v>30</v>
      </c>
      <c r="U247" s="4">
        <v>66</v>
      </c>
      <c r="V247" s="77">
        <f>IF(ISERROR(VLOOKUP($S$247,'TAR FIN'!$A$1:$O$95,15,0)),0,VLOOKUP($S$247,'TAR FIN'!$A$1:$O$95,15,0))*(1-0.09)</f>
        <v>48.2209</v>
      </c>
      <c r="W247" s="77">
        <f>IF(ISERROR(VLOOKUP($T$247,'TAR FIN'!$A$1:$O$95,15,0)),0,VLOOKUP($T$247,'TAR FIN'!$A$1:$O$95,15,0))*(1-0.09)</f>
        <v>136.16329999999999</v>
      </c>
      <c r="X247" s="77">
        <f>IF(ISERROR(VLOOKUP($U$247,'TAR FIN'!$A$1:$O$95,15,0)),0,VLOOKUP($U$247,'TAR FIN'!$A$1:$O$95,15,0))*(1-0.09)</f>
        <v>354.2448</v>
      </c>
      <c r="Y247" s="77">
        <f ca="1">('TUSD BE'!$AM$10+'TUSD BF'!$AM$10+'TUSD CVA'!$AM$10)*1*(1-0.06)</f>
        <v>55.719770574664459</v>
      </c>
      <c r="Z247" s="77">
        <f ca="1">('TUSD BE'!$AM$12+'TUSD BF'!$AM$12+'TUSD CVA'!$AM$12)*1*(1-0.06)</f>
        <v>158.4025784496171</v>
      </c>
      <c r="AA247" s="77">
        <f>('TE BE'!$AA$7+'TE BF'!$AA$7+'TE CVA'!$AA$7)*1*(1-0.06)</f>
        <v>427.06885385270027</v>
      </c>
      <c r="AB247" s="77">
        <f>(SUBSIDIO!$J$247*SUBSIDIO!$V$247)*(0.09)/(1-0.09)</f>
        <v>2909.1509999999998</v>
      </c>
      <c r="AC247" s="77">
        <f>((SUBSIDIO!$L$247*SUBSIDIO!$W$247)+(SUBSIDIO!$N$247*SUBSIDIO!$X$247))*(0.09)/(1-0.09)</f>
        <v>1455.0569999999996</v>
      </c>
      <c r="AD247" s="77">
        <f ca="1">(SUBSIDIO!$J$247*SUBSIDIO!$Y$247)*(0.06)/(1-0.06)</f>
        <v>2169.5144713114032</v>
      </c>
      <c r="AE247" s="77">
        <f ca="1">((SUBSIDIO!$L$247*SUBSIDIO!$Z$247)+(SUBSIDIO!$N$247*SUBSIDIO!$AA$247))*(0.06)/(1-0.06)</f>
        <v>1121.1155086640122</v>
      </c>
      <c r="AF247" s="4" t="s">
        <v>842</v>
      </c>
    </row>
    <row r="248" spans="1:32" ht="11.25" customHeight="1" x14ac:dyDescent="0.25">
      <c r="A248" s="4" t="s">
        <v>21</v>
      </c>
      <c r="B248" s="4" t="s">
        <v>35</v>
      </c>
      <c r="C248" s="4" t="s">
        <v>44</v>
      </c>
      <c r="D248" s="4" t="s">
        <v>52</v>
      </c>
      <c r="E248" s="4" t="s">
        <v>53</v>
      </c>
      <c r="F248" s="4" t="s">
        <v>25</v>
      </c>
      <c r="G248" s="4" t="s">
        <v>25</v>
      </c>
      <c r="H248" s="4" t="s">
        <v>37</v>
      </c>
      <c r="I248" s="5">
        <v>44228</v>
      </c>
      <c r="J248" s="6">
        <v>1273</v>
      </c>
      <c r="K248" s="78">
        <v>1273</v>
      </c>
      <c r="L248" s="6">
        <v>36.959000000000003</v>
      </c>
      <c r="M248" s="77">
        <v>36.959000000000003</v>
      </c>
      <c r="N248" s="6">
        <v>36.959000000000003</v>
      </c>
      <c r="O248" s="77">
        <v>36.959000000000003</v>
      </c>
      <c r="P248" s="6">
        <v>0</v>
      </c>
      <c r="Q248" s="4" t="s">
        <v>26</v>
      </c>
      <c r="R248" s="4">
        <v>0</v>
      </c>
      <c r="S248" s="4">
        <v>28</v>
      </c>
      <c r="T248" s="4">
        <v>30</v>
      </c>
      <c r="U248" s="4">
        <v>66</v>
      </c>
      <c r="V248" s="77">
        <f>IF(ISERROR(VLOOKUP($S$248,'TAR FIN'!$A$1:$O$95,15,0)),0,VLOOKUP($S$248,'TAR FIN'!$A$1:$O$95,15,0))*(1-0.09)</f>
        <v>48.2209</v>
      </c>
      <c r="W248" s="77">
        <f>IF(ISERROR(VLOOKUP($T$248,'TAR FIN'!$A$1:$O$95,15,0)),0,VLOOKUP($T$248,'TAR FIN'!$A$1:$O$95,15,0))*(1-0.09)</f>
        <v>136.16329999999999</v>
      </c>
      <c r="X248" s="77">
        <f>IF(ISERROR(VLOOKUP($U$248,'TAR FIN'!$A$1:$O$95,15,0)),0,VLOOKUP($U$248,'TAR FIN'!$A$1:$O$95,15,0))*(1-0.09)</f>
        <v>354.2448</v>
      </c>
      <c r="Y248" s="77">
        <f ca="1">('TUSD BE'!$AM$10+'TUSD BF'!$AM$10+'TUSD CVA'!$AM$10)*1*(1-0.06)</f>
        <v>55.719770574664459</v>
      </c>
      <c r="Z248" s="77">
        <f ca="1">('TUSD BE'!$AM$12+'TUSD BF'!$AM$12+'TUSD CVA'!$AM$12)*1*(1-0.06)</f>
        <v>158.4025784496171</v>
      </c>
      <c r="AA248" s="77">
        <f>('TE BE'!$AA$7+'TE BF'!$AA$7+'TE CVA'!$AA$7)*1*(1-0.06)</f>
        <v>427.06885385270027</v>
      </c>
      <c r="AB248" s="77">
        <f>(SUBSIDIO!$J$248*SUBSIDIO!$V$248)*(0.09)/(1-0.09)</f>
        <v>6071.0642999999991</v>
      </c>
      <c r="AC248" s="77">
        <f>((SUBSIDIO!$L$248*SUBSIDIO!$W$248)+(SUBSIDIO!$N$248*SUBSIDIO!$X$248))*(0.09)/(1-0.09)</f>
        <v>1792.5817221</v>
      </c>
      <c r="AD248" s="77">
        <f ca="1">(SUBSIDIO!$J$248*SUBSIDIO!$Y$248)*(0.06)/(1-0.06)</f>
        <v>4527.5277409498631</v>
      </c>
      <c r="AE248" s="77">
        <f ca="1">((SUBSIDIO!$L$248*SUBSIDIO!$Z$248)+(SUBSIDIO!$N$248*SUBSIDIO!$AA$248))*(0.06)/(1-0.06)</f>
        <v>1381.1769361571073</v>
      </c>
      <c r="AF248" s="4" t="s">
        <v>842</v>
      </c>
    </row>
    <row r="249" spans="1:32" ht="11.25" customHeight="1" x14ac:dyDescent="0.25">
      <c r="A249" s="4" t="s">
        <v>28</v>
      </c>
      <c r="B249" s="4" t="s">
        <v>35</v>
      </c>
      <c r="C249" s="4" t="s">
        <v>44</v>
      </c>
      <c r="D249" s="4" t="s">
        <v>52</v>
      </c>
      <c r="E249" s="4" t="s">
        <v>53</v>
      </c>
      <c r="F249" s="4" t="s">
        <v>25</v>
      </c>
      <c r="G249" s="4" t="s">
        <v>25</v>
      </c>
      <c r="H249" s="4" t="s">
        <v>37</v>
      </c>
      <c r="I249" s="5">
        <v>44228</v>
      </c>
      <c r="J249" s="6">
        <v>612</v>
      </c>
      <c r="K249" s="78">
        <v>612</v>
      </c>
      <c r="L249" s="6">
        <v>25.771999999999998</v>
      </c>
      <c r="M249" s="77">
        <v>25.771999999999998</v>
      </c>
      <c r="N249" s="6">
        <v>25.771999999999998</v>
      </c>
      <c r="O249" s="77">
        <v>25.771999999999998</v>
      </c>
      <c r="P249" s="6">
        <v>0</v>
      </c>
      <c r="Q249" s="4" t="s">
        <v>26</v>
      </c>
      <c r="R249" s="4">
        <v>0</v>
      </c>
      <c r="S249" s="4">
        <v>28</v>
      </c>
      <c r="T249" s="4">
        <v>30</v>
      </c>
      <c r="U249" s="4">
        <v>66</v>
      </c>
      <c r="V249" s="77">
        <f>IF(ISERROR(VLOOKUP($S$249,'TAR FIN'!$A$1:$O$95,15,0)),0,VLOOKUP($S$249,'TAR FIN'!$A$1:$O$95,15,0))*(1-0.09)</f>
        <v>48.2209</v>
      </c>
      <c r="W249" s="77">
        <f>IF(ISERROR(VLOOKUP($T$249,'TAR FIN'!$A$1:$O$95,15,0)),0,VLOOKUP($T$249,'TAR FIN'!$A$1:$O$95,15,0))*(1-0.09)</f>
        <v>136.16329999999999</v>
      </c>
      <c r="X249" s="77">
        <f>IF(ISERROR(VLOOKUP($U$249,'TAR FIN'!$A$1:$O$95,15,0)),0,VLOOKUP($U$249,'TAR FIN'!$A$1:$O$95,15,0))*(1-0.09)</f>
        <v>354.2448</v>
      </c>
      <c r="Y249" s="77">
        <f ca="1">('TUSD BE'!$AM$10+'TUSD BF'!$AM$10+'TUSD CVA'!$AM$10)*1*(1-0.06)</f>
        <v>55.719770574664459</v>
      </c>
      <c r="Z249" s="77">
        <f ca="1">('TUSD BE'!$AM$12+'TUSD BF'!$AM$12+'TUSD CVA'!$AM$12)*1*(1-0.06)</f>
        <v>158.4025784496171</v>
      </c>
      <c r="AA249" s="77">
        <f>('TE BE'!$AA$7+'TE BF'!$AA$7+'TE CVA'!$AA$7)*1*(1-0.06)</f>
        <v>427.06885385270027</v>
      </c>
      <c r="AB249" s="77">
        <f>(SUBSIDIO!$J$249*SUBSIDIO!$V$249)*(0.09)/(1-0.09)</f>
        <v>2918.6891999999998</v>
      </c>
      <c r="AC249" s="77">
        <f>((SUBSIDIO!$L$249*SUBSIDIO!$W$249)+(SUBSIDIO!$N$249*SUBSIDIO!$X$249))*(0.09)/(1-0.09)</f>
        <v>1249.9909667999998</v>
      </c>
      <c r="AD249" s="77">
        <f ca="1">(SUBSIDIO!$J$249*SUBSIDIO!$Y$249)*(0.06)/(1-0.06)</f>
        <v>2176.6276335124248</v>
      </c>
      <c r="AE249" s="77">
        <f ca="1">((SUBSIDIO!$L$249*SUBSIDIO!$Z$249)+(SUBSIDIO!$N$249*SUBSIDIO!$AA$249))*(0.06)/(1-0.06)</f>
        <v>963.11296297629713</v>
      </c>
      <c r="AF249" s="4" t="s">
        <v>842</v>
      </c>
    </row>
    <row r="250" spans="1:32" ht="11.25" customHeight="1" x14ac:dyDescent="0.25">
      <c r="A250" s="4" t="s">
        <v>21</v>
      </c>
      <c r="B250" s="4" t="s">
        <v>35</v>
      </c>
      <c r="C250" s="4" t="s">
        <v>44</v>
      </c>
      <c r="D250" s="4" t="s">
        <v>52</v>
      </c>
      <c r="E250" s="4" t="s">
        <v>53</v>
      </c>
      <c r="F250" s="4" t="s">
        <v>25</v>
      </c>
      <c r="G250" s="4" t="s">
        <v>25</v>
      </c>
      <c r="H250" s="4" t="s">
        <v>37</v>
      </c>
      <c r="I250" s="5">
        <v>44256</v>
      </c>
      <c r="J250" s="6">
        <v>1273</v>
      </c>
      <c r="K250" s="78">
        <v>1273</v>
      </c>
      <c r="L250" s="6">
        <v>41.055999999999997</v>
      </c>
      <c r="M250" s="77">
        <v>41.055999999999997</v>
      </c>
      <c r="N250" s="6">
        <v>41.055999999999997</v>
      </c>
      <c r="O250" s="77">
        <v>41.055999999999997</v>
      </c>
      <c r="P250" s="6">
        <v>0</v>
      </c>
      <c r="Q250" s="4" t="s">
        <v>26</v>
      </c>
      <c r="R250" s="4">
        <v>0</v>
      </c>
      <c r="S250" s="4">
        <v>28</v>
      </c>
      <c r="T250" s="4">
        <v>30</v>
      </c>
      <c r="U250" s="4">
        <v>66</v>
      </c>
      <c r="V250" s="77">
        <f>IF(ISERROR(VLOOKUP($S$250,'TAR FIN'!$A$1:$O$95,15,0)),0,VLOOKUP($S$250,'TAR FIN'!$A$1:$O$95,15,0))*(1-0.09)</f>
        <v>48.2209</v>
      </c>
      <c r="W250" s="77">
        <f>IF(ISERROR(VLOOKUP($T$250,'TAR FIN'!$A$1:$O$95,15,0)),0,VLOOKUP($T$250,'TAR FIN'!$A$1:$O$95,15,0))*(1-0.09)</f>
        <v>136.16329999999999</v>
      </c>
      <c r="X250" s="77">
        <f>IF(ISERROR(VLOOKUP($U$250,'TAR FIN'!$A$1:$O$95,15,0)),0,VLOOKUP($U$250,'TAR FIN'!$A$1:$O$95,15,0))*(1-0.09)</f>
        <v>354.2448</v>
      </c>
      <c r="Y250" s="77">
        <f ca="1">('TUSD BE'!$AM$10+'TUSD BF'!$AM$10+'TUSD CVA'!$AM$10)*1*(1-0.06)</f>
        <v>55.719770574664459</v>
      </c>
      <c r="Z250" s="77">
        <f ca="1">('TUSD BE'!$AM$12+'TUSD BF'!$AM$12+'TUSD CVA'!$AM$12)*1*(1-0.06)</f>
        <v>158.4025784496171</v>
      </c>
      <c r="AA250" s="77">
        <f>('TE BE'!$AA$7+'TE BF'!$AA$7+'TE CVA'!$AA$7)*1*(1-0.06)</f>
        <v>427.06885385270027</v>
      </c>
      <c r="AB250" s="77">
        <f>(SUBSIDIO!$J$250*SUBSIDIO!$V$250)*(0.09)/(1-0.09)</f>
        <v>6071.0642999999991</v>
      </c>
      <c r="AC250" s="77">
        <f>((SUBSIDIO!$L$250*SUBSIDIO!$W$250)+(SUBSIDIO!$N$250*SUBSIDIO!$X$250))*(0.09)/(1-0.09)</f>
        <v>1991.2940063999997</v>
      </c>
      <c r="AD250" s="77">
        <f ca="1">(SUBSIDIO!$J$250*SUBSIDIO!$Y$250)*(0.06)/(1-0.06)</f>
        <v>4527.5277409498631</v>
      </c>
      <c r="AE250" s="77">
        <f ca="1">((SUBSIDIO!$L$250*SUBSIDIO!$Z$250)+(SUBSIDIO!$N$250*SUBSIDIO!$AA$250))*(0.06)/(1-0.06)</f>
        <v>1534.2839441236556</v>
      </c>
      <c r="AF250" s="4" t="s">
        <v>842</v>
      </c>
    </row>
    <row r="251" spans="1:32" ht="11.25" customHeight="1" x14ac:dyDescent="0.25">
      <c r="A251" s="4" t="s">
        <v>28</v>
      </c>
      <c r="B251" s="4" t="s">
        <v>35</v>
      </c>
      <c r="C251" s="4" t="s">
        <v>44</v>
      </c>
      <c r="D251" s="4" t="s">
        <v>52</v>
      </c>
      <c r="E251" s="4" t="s">
        <v>53</v>
      </c>
      <c r="F251" s="4" t="s">
        <v>25</v>
      </c>
      <c r="G251" s="4" t="s">
        <v>25</v>
      </c>
      <c r="H251" s="4" t="s">
        <v>37</v>
      </c>
      <c r="I251" s="5">
        <v>44256</v>
      </c>
      <c r="J251" s="6">
        <v>601</v>
      </c>
      <c r="K251" s="78">
        <v>601</v>
      </c>
      <c r="L251" s="6">
        <v>28.513000000000002</v>
      </c>
      <c r="M251" s="77">
        <v>28.513000000000002</v>
      </c>
      <c r="N251" s="6">
        <v>28.513000000000002</v>
      </c>
      <c r="O251" s="77">
        <v>28.513000000000002</v>
      </c>
      <c r="P251" s="6">
        <v>0</v>
      </c>
      <c r="Q251" s="4" t="s">
        <v>26</v>
      </c>
      <c r="R251" s="4">
        <v>0</v>
      </c>
      <c r="S251" s="4">
        <v>28</v>
      </c>
      <c r="T251" s="4">
        <v>30</v>
      </c>
      <c r="U251" s="4">
        <v>66</v>
      </c>
      <c r="V251" s="77">
        <f>IF(ISERROR(VLOOKUP($S$251,'TAR FIN'!$A$1:$O$95,15,0)),0,VLOOKUP($S$251,'TAR FIN'!$A$1:$O$95,15,0))*(1-0.09)</f>
        <v>48.2209</v>
      </c>
      <c r="W251" s="77">
        <f>IF(ISERROR(VLOOKUP($T$251,'TAR FIN'!$A$1:$O$95,15,0)),0,VLOOKUP($T$251,'TAR FIN'!$A$1:$O$95,15,0))*(1-0.09)</f>
        <v>136.16329999999999</v>
      </c>
      <c r="X251" s="77">
        <f>IF(ISERROR(VLOOKUP($U$251,'TAR FIN'!$A$1:$O$95,15,0)),0,VLOOKUP($U$251,'TAR FIN'!$A$1:$O$95,15,0))*(1-0.09)</f>
        <v>354.2448</v>
      </c>
      <c r="Y251" s="77">
        <f ca="1">('TUSD BE'!$AM$10+'TUSD BF'!$AM$10+'TUSD CVA'!$AM$10)*1*(1-0.06)</f>
        <v>55.719770574664459</v>
      </c>
      <c r="Z251" s="77">
        <f ca="1">('TUSD BE'!$AM$12+'TUSD BF'!$AM$12+'TUSD CVA'!$AM$12)*1*(1-0.06)</f>
        <v>158.4025784496171</v>
      </c>
      <c r="AA251" s="77">
        <f>('TE BE'!$AA$7+'TE BF'!$AA$7+'TE CVA'!$AA$7)*1*(1-0.06)</f>
        <v>427.06885385270027</v>
      </c>
      <c r="AB251" s="77">
        <f>(SUBSIDIO!$J$251*SUBSIDIO!$V$251)*(0.09)/(1-0.09)</f>
        <v>2866.2291</v>
      </c>
      <c r="AC251" s="77">
        <f>((SUBSIDIO!$L$251*SUBSIDIO!$W$251)+(SUBSIDIO!$N$251*SUBSIDIO!$X$251))*(0.09)/(1-0.09)</f>
        <v>1382.9346747</v>
      </c>
      <c r="AD251" s="77">
        <f ca="1">(SUBSIDIO!$J$251*SUBSIDIO!$Y$251)*(0.06)/(1-0.06)</f>
        <v>2137.5052414068091</v>
      </c>
      <c r="AE251" s="77">
        <f ca="1">((SUBSIDIO!$L$251*SUBSIDIO!$Z$251)+(SUBSIDIO!$N$251*SUBSIDIO!$AA$251))*(0.06)/(1-0.06)</f>
        <v>1065.5455499512325</v>
      </c>
      <c r="AF251" s="4" t="s">
        <v>842</v>
      </c>
    </row>
    <row r="252" spans="1:32" ht="11.25" customHeight="1" x14ac:dyDescent="0.25">
      <c r="A252" s="4" t="s">
        <v>21</v>
      </c>
      <c r="B252" s="4" t="s">
        <v>35</v>
      </c>
      <c r="C252" s="4" t="s">
        <v>44</v>
      </c>
      <c r="D252" s="4" t="s">
        <v>52</v>
      </c>
      <c r="E252" s="4" t="s">
        <v>53</v>
      </c>
      <c r="F252" s="4" t="s">
        <v>25</v>
      </c>
      <c r="G252" s="4" t="s">
        <v>25</v>
      </c>
      <c r="H252" s="4" t="s">
        <v>37</v>
      </c>
      <c r="I252" s="5">
        <v>44287</v>
      </c>
      <c r="J252" s="6">
        <v>749</v>
      </c>
      <c r="K252" s="78">
        <v>749</v>
      </c>
      <c r="L252" s="6">
        <v>22.044</v>
      </c>
      <c r="M252" s="77">
        <v>22.044</v>
      </c>
      <c r="N252" s="6">
        <v>22.044</v>
      </c>
      <c r="O252" s="77">
        <v>22.044</v>
      </c>
      <c r="P252" s="6">
        <v>0</v>
      </c>
      <c r="Q252" s="4" t="s">
        <v>26</v>
      </c>
      <c r="R252" s="4">
        <v>0</v>
      </c>
      <c r="S252" s="4">
        <v>28</v>
      </c>
      <c r="T252" s="4">
        <v>30</v>
      </c>
      <c r="U252" s="4">
        <v>66</v>
      </c>
      <c r="V252" s="77">
        <f>IF(ISERROR(VLOOKUP($S$252,'TAR FIN'!$A$1:$O$95,15,0)),0,VLOOKUP($S$252,'TAR FIN'!$A$1:$O$95,15,0))*(1-0.09)</f>
        <v>48.2209</v>
      </c>
      <c r="W252" s="77">
        <f>IF(ISERROR(VLOOKUP($T$252,'TAR FIN'!$A$1:$O$95,15,0)),0,VLOOKUP($T$252,'TAR FIN'!$A$1:$O$95,15,0))*(1-0.09)</f>
        <v>136.16329999999999</v>
      </c>
      <c r="X252" s="77">
        <f>IF(ISERROR(VLOOKUP($U$252,'TAR FIN'!$A$1:$O$95,15,0)),0,VLOOKUP($U$252,'TAR FIN'!$A$1:$O$95,15,0))*(1-0.09)</f>
        <v>354.2448</v>
      </c>
      <c r="Y252" s="77">
        <f ca="1">('TUSD BE'!$AM$10+'TUSD BF'!$AM$10+'TUSD CVA'!$AM$10)*1*(1-0.06)</f>
        <v>55.719770574664459</v>
      </c>
      <c r="Z252" s="77">
        <f ca="1">('TUSD BE'!$AM$12+'TUSD BF'!$AM$12+'TUSD CVA'!$AM$12)*1*(1-0.06)</f>
        <v>158.4025784496171</v>
      </c>
      <c r="AA252" s="77">
        <f>('TE BE'!$AA$7+'TE BF'!$AA$7+'TE CVA'!$AA$7)*1*(1-0.06)</f>
        <v>427.06885385270027</v>
      </c>
      <c r="AB252" s="77">
        <f>(SUBSIDIO!$J$252*SUBSIDIO!$V$252)*(0.09)/(1-0.09)</f>
        <v>3572.0558999999998</v>
      </c>
      <c r="AC252" s="77">
        <f>((SUBSIDIO!$L$252*SUBSIDIO!$W$252)+(SUBSIDIO!$N$252*SUBSIDIO!$X$252))*(0.09)/(1-0.09)</f>
        <v>1069.1758835999999</v>
      </c>
      <c r="AD252" s="77">
        <f ca="1">(SUBSIDIO!$J$252*SUBSIDIO!$Y$252)*(0.06)/(1-0.06)</f>
        <v>2663.8792442823624</v>
      </c>
      <c r="AE252" s="77">
        <f ca="1">((SUBSIDIO!$L$252*SUBSIDIO!$Z$252)+(SUBSIDIO!$N$252*SUBSIDIO!$AA$252))*(0.06)/(1-0.06)</f>
        <v>823.79567576631598</v>
      </c>
      <c r="AF252" s="4" t="s">
        <v>842</v>
      </c>
    </row>
    <row r="253" spans="1:32" ht="11.25" customHeight="1" x14ac:dyDescent="0.25">
      <c r="A253" s="4" t="s">
        <v>28</v>
      </c>
      <c r="B253" s="4" t="s">
        <v>35</v>
      </c>
      <c r="C253" s="4" t="s">
        <v>44</v>
      </c>
      <c r="D253" s="4" t="s">
        <v>52</v>
      </c>
      <c r="E253" s="4" t="s">
        <v>53</v>
      </c>
      <c r="F253" s="4" t="s">
        <v>25</v>
      </c>
      <c r="G253" s="4" t="s">
        <v>25</v>
      </c>
      <c r="H253" s="4" t="s">
        <v>37</v>
      </c>
      <c r="I253" s="5">
        <v>44287</v>
      </c>
      <c r="J253" s="6">
        <v>610</v>
      </c>
      <c r="K253" s="78">
        <v>610</v>
      </c>
      <c r="L253" s="6">
        <v>28.16</v>
      </c>
      <c r="M253" s="77">
        <v>28.16</v>
      </c>
      <c r="N253" s="6">
        <v>28.16</v>
      </c>
      <c r="O253" s="77">
        <v>28.16</v>
      </c>
      <c r="P253" s="6">
        <v>0</v>
      </c>
      <c r="Q253" s="4" t="s">
        <v>26</v>
      </c>
      <c r="R253" s="4">
        <v>0</v>
      </c>
      <c r="S253" s="4">
        <v>28</v>
      </c>
      <c r="T253" s="4">
        <v>30</v>
      </c>
      <c r="U253" s="4">
        <v>66</v>
      </c>
      <c r="V253" s="77">
        <f>IF(ISERROR(VLOOKUP($S$253,'TAR FIN'!$A$1:$O$95,15,0)),0,VLOOKUP($S$253,'TAR FIN'!$A$1:$O$95,15,0))*(1-0.09)</f>
        <v>48.2209</v>
      </c>
      <c r="W253" s="77">
        <f>IF(ISERROR(VLOOKUP($T$253,'TAR FIN'!$A$1:$O$95,15,0)),0,VLOOKUP($T$253,'TAR FIN'!$A$1:$O$95,15,0))*(1-0.09)</f>
        <v>136.16329999999999</v>
      </c>
      <c r="X253" s="77">
        <f>IF(ISERROR(VLOOKUP($U$253,'TAR FIN'!$A$1:$O$95,15,0)),0,VLOOKUP($U$253,'TAR FIN'!$A$1:$O$95,15,0))*(1-0.09)</f>
        <v>354.2448</v>
      </c>
      <c r="Y253" s="77">
        <f ca="1">('TUSD BE'!$AM$10+'TUSD BF'!$AM$10+'TUSD CVA'!$AM$10)*1*(1-0.06)</f>
        <v>55.719770574664459</v>
      </c>
      <c r="Z253" s="77">
        <f ca="1">('TUSD BE'!$AM$12+'TUSD BF'!$AM$12+'TUSD CVA'!$AM$12)*1*(1-0.06)</f>
        <v>158.4025784496171</v>
      </c>
      <c r="AA253" s="77">
        <f>('TE BE'!$AA$7+'TE BF'!$AA$7+'TE CVA'!$AA$7)*1*(1-0.06)</f>
        <v>427.06885385270027</v>
      </c>
      <c r="AB253" s="77">
        <f>(SUBSIDIO!$J$253*SUBSIDIO!$V$253)*(0.09)/(1-0.09)</f>
        <v>2909.1509999999998</v>
      </c>
      <c r="AC253" s="77">
        <f>((SUBSIDIO!$L$253*SUBSIDIO!$W$253)+(SUBSIDIO!$N$253*SUBSIDIO!$X$253))*(0.09)/(1-0.09)</f>
        <v>1365.8135039999997</v>
      </c>
      <c r="AD253" s="77">
        <f ca="1">(SUBSIDIO!$J$253*SUBSIDIO!$Y$253)*(0.06)/(1-0.06)</f>
        <v>2169.5144713114032</v>
      </c>
      <c r="AE253" s="77">
        <f ca="1">((SUBSIDIO!$L$253*SUBSIDIO!$Z$253)+(SUBSIDIO!$N$253*SUBSIDIO!$AA$253))*(0.06)/(1-0.06)</f>
        <v>1052.3537574659526</v>
      </c>
      <c r="AF253" s="4" t="s">
        <v>842</v>
      </c>
    </row>
    <row r="254" spans="1:32" ht="11.25" customHeight="1" x14ac:dyDescent="0.25">
      <c r="A254" s="4" t="s">
        <v>21</v>
      </c>
      <c r="B254" s="4" t="s">
        <v>35</v>
      </c>
      <c r="C254" s="4" t="s">
        <v>44</v>
      </c>
      <c r="D254" s="4" t="s">
        <v>52</v>
      </c>
      <c r="E254" s="4" t="s">
        <v>53</v>
      </c>
      <c r="F254" s="4" t="s">
        <v>25</v>
      </c>
      <c r="G254" s="4" t="s">
        <v>25</v>
      </c>
      <c r="H254" s="4" t="s">
        <v>37</v>
      </c>
      <c r="I254" s="5">
        <v>44317</v>
      </c>
      <c r="J254" s="6">
        <v>823</v>
      </c>
      <c r="K254" s="78">
        <v>823</v>
      </c>
      <c r="L254" s="6">
        <v>25.006</v>
      </c>
      <c r="M254" s="77">
        <v>25.006</v>
      </c>
      <c r="N254" s="6">
        <v>25.006</v>
      </c>
      <c r="O254" s="77">
        <v>25.006</v>
      </c>
      <c r="P254" s="6">
        <v>0</v>
      </c>
      <c r="Q254" s="4" t="s">
        <v>26</v>
      </c>
      <c r="R254" s="4">
        <v>0</v>
      </c>
      <c r="S254" s="4">
        <v>28</v>
      </c>
      <c r="T254" s="4">
        <v>30</v>
      </c>
      <c r="U254" s="4">
        <v>66</v>
      </c>
      <c r="V254" s="77">
        <f>IF(ISERROR(VLOOKUP($S$254,'TAR FIN'!$A$1:$O$95,15,0)),0,VLOOKUP($S$254,'TAR FIN'!$A$1:$O$95,15,0))*(1-0.09)</f>
        <v>48.2209</v>
      </c>
      <c r="W254" s="77">
        <f>IF(ISERROR(VLOOKUP($T$254,'TAR FIN'!$A$1:$O$95,15,0)),0,VLOOKUP($T$254,'TAR FIN'!$A$1:$O$95,15,0))*(1-0.09)</f>
        <v>136.16329999999999</v>
      </c>
      <c r="X254" s="77">
        <f>IF(ISERROR(VLOOKUP($U$254,'TAR FIN'!$A$1:$O$95,15,0)),0,VLOOKUP($U$254,'TAR FIN'!$A$1:$O$95,15,0))*(1-0.09)</f>
        <v>354.2448</v>
      </c>
      <c r="Y254" s="77">
        <f ca="1">('TUSD BE'!$AM$10+'TUSD BF'!$AM$10+'TUSD CVA'!$AM$10)*1*(1-0.06)</f>
        <v>55.719770574664459</v>
      </c>
      <c r="Z254" s="77">
        <f ca="1">('TUSD BE'!$AM$12+'TUSD BF'!$AM$12+'TUSD CVA'!$AM$12)*1*(1-0.06)</f>
        <v>158.4025784496171</v>
      </c>
      <c r="AA254" s="77">
        <f>('TE BE'!$AA$7+'TE BF'!$AA$7+'TE CVA'!$AA$7)*1*(1-0.06)</f>
        <v>427.06885385270027</v>
      </c>
      <c r="AB254" s="77">
        <f>(SUBSIDIO!$J$254*SUBSIDIO!$V$254)*(0.09)/(1-0.09)</f>
        <v>3924.9692999999997</v>
      </c>
      <c r="AC254" s="77">
        <f>((SUBSIDIO!$L$254*SUBSIDIO!$W$254)+(SUBSIDIO!$N$254*SUBSIDIO!$X$254))*(0.09)/(1-0.09)</f>
        <v>1212.8385113999998</v>
      </c>
      <c r="AD254" s="77">
        <f ca="1">(SUBSIDIO!$J$254*SUBSIDIO!$Y$254)*(0.06)/(1-0.06)</f>
        <v>2927.0662457201397</v>
      </c>
      <c r="AE254" s="77">
        <f ca="1">((SUBSIDIO!$L$254*SUBSIDIO!$Z$254)+(SUBSIDIO!$N$254*SUBSIDIO!$AA$254))*(0.06)/(1-0.06)</f>
        <v>934.48714698840945</v>
      </c>
      <c r="AF254" s="4" t="s">
        <v>842</v>
      </c>
    </row>
    <row r="255" spans="1:32" ht="11.25" customHeight="1" x14ac:dyDescent="0.25">
      <c r="A255" s="4" t="s">
        <v>28</v>
      </c>
      <c r="B255" s="4" t="s">
        <v>35</v>
      </c>
      <c r="C255" s="4" t="s">
        <v>44</v>
      </c>
      <c r="D255" s="4" t="s">
        <v>52</v>
      </c>
      <c r="E255" s="4" t="s">
        <v>53</v>
      </c>
      <c r="F255" s="4" t="s">
        <v>25</v>
      </c>
      <c r="G255" s="4" t="s">
        <v>25</v>
      </c>
      <c r="H255" s="4" t="s">
        <v>37</v>
      </c>
      <c r="I255" s="5">
        <v>44317</v>
      </c>
      <c r="J255" s="6">
        <v>607</v>
      </c>
      <c r="K255" s="78">
        <v>607</v>
      </c>
      <c r="L255" s="6">
        <v>26.632000000000001</v>
      </c>
      <c r="M255" s="77">
        <v>26.632000000000001</v>
      </c>
      <c r="N255" s="6">
        <v>26.632000000000001</v>
      </c>
      <c r="O255" s="77">
        <v>26.632000000000001</v>
      </c>
      <c r="P255" s="6">
        <v>0</v>
      </c>
      <c r="Q255" s="4" t="s">
        <v>26</v>
      </c>
      <c r="R255" s="4">
        <v>0</v>
      </c>
      <c r="S255" s="4">
        <v>28</v>
      </c>
      <c r="T255" s="4">
        <v>30</v>
      </c>
      <c r="U255" s="4">
        <v>66</v>
      </c>
      <c r="V255" s="77">
        <f>IF(ISERROR(VLOOKUP($S$255,'TAR FIN'!$A$1:$O$95,15,0)),0,VLOOKUP($S$255,'TAR FIN'!$A$1:$O$95,15,0))*(1-0.09)</f>
        <v>48.2209</v>
      </c>
      <c r="W255" s="77">
        <f>IF(ISERROR(VLOOKUP($T$255,'TAR FIN'!$A$1:$O$95,15,0)),0,VLOOKUP($T$255,'TAR FIN'!$A$1:$O$95,15,0))*(1-0.09)</f>
        <v>136.16329999999999</v>
      </c>
      <c r="X255" s="77">
        <f>IF(ISERROR(VLOOKUP($U$255,'TAR FIN'!$A$1:$O$95,15,0)),0,VLOOKUP($U$255,'TAR FIN'!$A$1:$O$95,15,0))*(1-0.09)</f>
        <v>354.2448</v>
      </c>
      <c r="Y255" s="77">
        <f ca="1">('TUSD BE'!$AM$10+'TUSD BF'!$AM$10+'TUSD CVA'!$AM$10)*1*(1-0.06)</f>
        <v>55.719770574664459</v>
      </c>
      <c r="Z255" s="77">
        <f ca="1">('TUSD BE'!$AM$12+'TUSD BF'!$AM$12+'TUSD CVA'!$AM$12)*1*(1-0.06)</f>
        <v>158.4025784496171</v>
      </c>
      <c r="AA255" s="77">
        <f>('TE BE'!$AA$7+'TE BF'!$AA$7+'TE CVA'!$AA$7)*1*(1-0.06)</f>
        <v>427.06885385270027</v>
      </c>
      <c r="AB255" s="77">
        <f>(SUBSIDIO!$J$255*SUBSIDIO!$V$255)*(0.09)/(1-0.09)</f>
        <v>2894.8436999999994</v>
      </c>
      <c r="AC255" s="77">
        <f>((SUBSIDIO!$L$255*SUBSIDIO!$W$255)+(SUBSIDIO!$N$255*SUBSIDIO!$X$255))*(0.09)/(1-0.09)</f>
        <v>1291.7026008</v>
      </c>
      <c r="AD255" s="77">
        <f ca="1">(SUBSIDIO!$J$255*SUBSIDIO!$Y$255)*(0.06)/(1-0.06)</f>
        <v>2158.8447280098721</v>
      </c>
      <c r="AE255" s="77">
        <f ca="1">((SUBSIDIO!$L$255*SUBSIDIO!$Z$255)+(SUBSIDIO!$N$255*SUBSIDIO!$AA$255))*(0.06)/(1-0.06)</f>
        <v>995.25160755799891</v>
      </c>
      <c r="AF255" s="4" t="s">
        <v>842</v>
      </c>
    </row>
    <row r="256" spans="1:32" ht="11.25" customHeight="1" x14ac:dyDescent="0.25">
      <c r="A256" s="4" t="s">
        <v>21</v>
      </c>
      <c r="B256" s="4" t="s">
        <v>35</v>
      </c>
      <c r="C256" s="4" t="s">
        <v>44</v>
      </c>
      <c r="D256" s="4" t="s">
        <v>52</v>
      </c>
      <c r="E256" s="4" t="s">
        <v>53</v>
      </c>
      <c r="F256" s="4" t="s">
        <v>25</v>
      </c>
      <c r="G256" s="4" t="s">
        <v>25</v>
      </c>
      <c r="H256" s="4" t="s">
        <v>37</v>
      </c>
      <c r="I256" s="5">
        <v>44348</v>
      </c>
      <c r="J256" s="6">
        <v>605</v>
      </c>
      <c r="K256" s="78">
        <v>605</v>
      </c>
      <c r="L256" s="6">
        <v>22.829000000000001</v>
      </c>
      <c r="M256" s="77">
        <v>22.829000000000001</v>
      </c>
      <c r="N256" s="6">
        <v>22.829000000000001</v>
      </c>
      <c r="O256" s="77">
        <v>22.829000000000001</v>
      </c>
      <c r="P256" s="6">
        <v>0</v>
      </c>
      <c r="Q256" s="4" t="s">
        <v>26</v>
      </c>
      <c r="R256" s="4">
        <v>0</v>
      </c>
      <c r="S256" s="4">
        <v>28</v>
      </c>
      <c r="T256" s="4">
        <v>30</v>
      </c>
      <c r="U256" s="4">
        <v>66</v>
      </c>
      <c r="V256" s="77">
        <f>IF(ISERROR(VLOOKUP($S$256,'TAR FIN'!$A$1:$O$95,15,0)),0,VLOOKUP($S$256,'TAR FIN'!$A$1:$O$95,15,0))*(1-0.09)</f>
        <v>48.2209</v>
      </c>
      <c r="W256" s="77">
        <f>IF(ISERROR(VLOOKUP($T$256,'TAR FIN'!$A$1:$O$95,15,0)),0,VLOOKUP($T$256,'TAR FIN'!$A$1:$O$95,15,0))*(1-0.09)</f>
        <v>136.16329999999999</v>
      </c>
      <c r="X256" s="77">
        <f>IF(ISERROR(VLOOKUP($U$256,'TAR FIN'!$A$1:$O$95,15,0)),0,VLOOKUP($U$256,'TAR FIN'!$A$1:$O$95,15,0))*(1-0.09)</f>
        <v>354.2448</v>
      </c>
      <c r="Y256" s="77">
        <f ca="1">('TUSD BE'!$AM$10+'TUSD BF'!$AM$10+'TUSD CVA'!$AM$10)*1*(1-0.06)</f>
        <v>55.719770574664459</v>
      </c>
      <c r="Z256" s="77">
        <f ca="1">('TUSD BE'!$AM$12+'TUSD BF'!$AM$12+'TUSD CVA'!$AM$12)*1*(1-0.06)</f>
        <v>158.4025784496171</v>
      </c>
      <c r="AA256" s="77">
        <f>('TE BE'!$AA$7+'TE BF'!$AA$7+'TE CVA'!$AA$7)*1*(1-0.06)</f>
        <v>427.06885385270027</v>
      </c>
      <c r="AB256" s="77">
        <f>(SUBSIDIO!$J$256*SUBSIDIO!$V$256)*(0.09)/(1-0.09)</f>
        <v>2885.3054999999995</v>
      </c>
      <c r="AC256" s="77">
        <f>((SUBSIDIO!$L$256*SUBSIDIO!$W$256)+(SUBSIDIO!$N$256*SUBSIDIO!$X$256))*(0.09)/(1-0.09)</f>
        <v>1107.2498751000001</v>
      </c>
      <c r="AD256" s="77">
        <f ca="1">(SUBSIDIO!$J$256*SUBSIDIO!$Y$256)*(0.06)/(1-0.06)</f>
        <v>2151.731565808851</v>
      </c>
      <c r="AE256" s="77">
        <f ca="1">((SUBSIDIO!$L$256*SUBSIDIO!$Z$256)+(SUBSIDIO!$N$256*SUBSIDIO!$AA$256))*(0.06)/(1-0.06)</f>
        <v>853.1315315763577</v>
      </c>
      <c r="AF256" s="4" t="s">
        <v>842</v>
      </c>
    </row>
    <row r="257" spans="1:32" ht="11.25" customHeight="1" x14ac:dyDescent="0.25">
      <c r="A257" s="4" t="s">
        <v>28</v>
      </c>
      <c r="B257" s="4" t="s">
        <v>35</v>
      </c>
      <c r="C257" s="4" t="s">
        <v>44</v>
      </c>
      <c r="D257" s="4" t="s">
        <v>52</v>
      </c>
      <c r="E257" s="4" t="s">
        <v>53</v>
      </c>
      <c r="F257" s="4" t="s">
        <v>25</v>
      </c>
      <c r="G257" s="4" t="s">
        <v>25</v>
      </c>
      <c r="H257" s="4" t="s">
        <v>37</v>
      </c>
      <c r="I257" s="5">
        <v>44348</v>
      </c>
      <c r="J257" s="6">
        <v>615</v>
      </c>
      <c r="K257" s="78">
        <v>615</v>
      </c>
      <c r="L257" s="6">
        <v>27.882000000000001</v>
      </c>
      <c r="M257" s="77">
        <v>27.882000000000001</v>
      </c>
      <c r="N257" s="6">
        <v>27.882000000000001</v>
      </c>
      <c r="O257" s="77">
        <v>27.882000000000001</v>
      </c>
      <c r="P257" s="6">
        <v>0</v>
      </c>
      <c r="Q257" s="4" t="s">
        <v>26</v>
      </c>
      <c r="R257" s="4">
        <v>0</v>
      </c>
      <c r="S257" s="4">
        <v>28</v>
      </c>
      <c r="T257" s="4">
        <v>30</v>
      </c>
      <c r="U257" s="4">
        <v>66</v>
      </c>
      <c r="V257" s="77">
        <f>IF(ISERROR(VLOOKUP($S$257,'TAR FIN'!$A$1:$O$95,15,0)),0,VLOOKUP($S$257,'TAR FIN'!$A$1:$O$95,15,0))*(1-0.09)</f>
        <v>48.2209</v>
      </c>
      <c r="W257" s="77">
        <f>IF(ISERROR(VLOOKUP($T$257,'TAR FIN'!$A$1:$O$95,15,0)),0,VLOOKUP($T$257,'TAR FIN'!$A$1:$O$95,15,0))*(1-0.09)</f>
        <v>136.16329999999999</v>
      </c>
      <c r="X257" s="77">
        <f>IF(ISERROR(VLOOKUP($U$257,'TAR FIN'!$A$1:$O$95,15,0)),0,VLOOKUP($U$257,'TAR FIN'!$A$1:$O$95,15,0))*(1-0.09)</f>
        <v>354.2448</v>
      </c>
      <c r="Y257" s="77">
        <f ca="1">('TUSD BE'!$AM$10+'TUSD BF'!$AM$10+'TUSD CVA'!$AM$10)*1*(1-0.06)</f>
        <v>55.719770574664459</v>
      </c>
      <c r="Z257" s="77">
        <f ca="1">('TUSD BE'!$AM$12+'TUSD BF'!$AM$12+'TUSD CVA'!$AM$12)*1*(1-0.06)</f>
        <v>158.4025784496171</v>
      </c>
      <c r="AA257" s="77">
        <f>('TE BE'!$AA$7+'TE BF'!$AA$7+'TE CVA'!$AA$7)*1*(1-0.06)</f>
        <v>427.06885385270027</v>
      </c>
      <c r="AB257" s="77">
        <f>(SUBSIDIO!$J$257*SUBSIDIO!$V$257)*(0.09)/(1-0.09)</f>
        <v>2932.9965000000002</v>
      </c>
      <c r="AC257" s="77">
        <f>((SUBSIDIO!$L$257*SUBSIDIO!$W$257)+(SUBSIDIO!$N$257*SUBSIDIO!$X$257))*(0.09)/(1-0.09)</f>
        <v>1352.3299757999998</v>
      </c>
      <c r="AD257" s="77">
        <f ca="1">(SUBSIDIO!$J$257*SUBSIDIO!$Y$257)*(0.06)/(1-0.06)</f>
        <v>2187.2973768139559</v>
      </c>
      <c r="AE257" s="77">
        <f ca="1">((SUBSIDIO!$L$257*SUBSIDIO!$Z$257)+(SUBSIDIO!$N$257*SUBSIDIO!$AA$257))*(0.06)/(1-0.06)</f>
        <v>1041.9647537523329</v>
      </c>
      <c r="AF257" s="4" t="s">
        <v>842</v>
      </c>
    </row>
    <row r="258" spans="1:32" ht="11.25" customHeight="1" x14ac:dyDescent="0.25">
      <c r="A258" s="4" t="s">
        <v>21</v>
      </c>
      <c r="B258" s="4" t="s">
        <v>35</v>
      </c>
      <c r="C258" s="4" t="s">
        <v>44</v>
      </c>
      <c r="D258" s="4" t="s">
        <v>52</v>
      </c>
      <c r="E258" s="4" t="s">
        <v>53</v>
      </c>
      <c r="F258" s="4" t="s">
        <v>25</v>
      </c>
      <c r="G258" s="4" t="s">
        <v>25</v>
      </c>
      <c r="H258" s="4" t="s">
        <v>37</v>
      </c>
      <c r="I258" s="5">
        <v>44378</v>
      </c>
      <c r="J258" s="6">
        <v>1715</v>
      </c>
      <c r="K258" s="78">
        <v>1715</v>
      </c>
      <c r="L258" s="6">
        <v>14.938000000000001</v>
      </c>
      <c r="M258" s="77">
        <v>14.938000000000001</v>
      </c>
      <c r="N258" s="6">
        <v>14.938000000000001</v>
      </c>
      <c r="O258" s="77">
        <v>14.938000000000001</v>
      </c>
      <c r="P258" s="6">
        <v>0</v>
      </c>
      <c r="Q258" s="4" t="s">
        <v>26</v>
      </c>
      <c r="R258" s="4">
        <v>0</v>
      </c>
      <c r="S258" s="4">
        <v>28</v>
      </c>
      <c r="T258" s="4">
        <v>30</v>
      </c>
      <c r="U258" s="4">
        <v>66</v>
      </c>
      <c r="V258" s="77">
        <f>IF(ISERROR(VLOOKUP($S$258,'TAR FIN'!$A$1:$O$95,15,0)),0,VLOOKUP($S$258,'TAR FIN'!$A$1:$O$95,15,0))*(1-0.09)</f>
        <v>48.2209</v>
      </c>
      <c r="W258" s="77">
        <f>IF(ISERROR(VLOOKUP($T$258,'TAR FIN'!$A$1:$O$95,15,0)),0,VLOOKUP($T$258,'TAR FIN'!$A$1:$O$95,15,0))*(1-0.09)</f>
        <v>136.16329999999999</v>
      </c>
      <c r="X258" s="77">
        <f>IF(ISERROR(VLOOKUP($U$258,'TAR FIN'!$A$1:$O$95,15,0)),0,VLOOKUP($U$258,'TAR FIN'!$A$1:$O$95,15,0))*(1-0.09)</f>
        <v>354.2448</v>
      </c>
      <c r="Y258" s="77">
        <f ca="1">('TUSD BE'!$AM$10+'TUSD BF'!$AM$10+'TUSD CVA'!$AM$10)*1*(1-0.06)</f>
        <v>55.719770574664459</v>
      </c>
      <c r="Z258" s="77">
        <f ca="1">('TUSD BE'!$AM$12+'TUSD BF'!$AM$12+'TUSD CVA'!$AM$12)*1*(1-0.06)</f>
        <v>158.4025784496171</v>
      </c>
      <c r="AA258" s="77">
        <f>('TE BE'!$AA$7+'TE BF'!$AA$7+'TE CVA'!$AA$7)*1*(1-0.06)</f>
        <v>427.06885385270027</v>
      </c>
      <c r="AB258" s="77">
        <f>(SUBSIDIO!$J$258*SUBSIDIO!$V$258)*(0.09)/(1-0.09)</f>
        <v>8179.0064999999995</v>
      </c>
      <c r="AC258" s="77">
        <f>((SUBSIDIO!$L$258*SUBSIDIO!$W$258)+(SUBSIDIO!$N$258*SUBSIDIO!$X$258))*(0.09)/(1-0.09)</f>
        <v>724.52138219999995</v>
      </c>
      <c r="AD258" s="77">
        <f ca="1">(SUBSIDIO!$J$258*SUBSIDIO!$Y$258)*(0.06)/(1-0.06)</f>
        <v>6099.5365873755027</v>
      </c>
      <c r="AE258" s="77">
        <f ca="1">((SUBSIDIO!$L$258*SUBSIDIO!$Z$258)+(SUBSIDIO!$N$258*SUBSIDIO!$AA$258))*(0.06)/(1-0.06)</f>
        <v>558.24078228076701</v>
      </c>
      <c r="AF258" s="4" t="s">
        <v>842</v>
      </c>
    </row>
    <row r="259" spans="1:32" ht="11.25" customHeight="1" x14ac:dyDescent="0.25">
      <c r="A259" s="4" t="s">
        <v>28</v>
      </c>
      <c r="B259" s="4" t="s">
        <v>35</v>
      </c>
      <c r="C259" s="4" t="s">
        <v>44</v>
      </c>
      <c r="D259" s="4" t="s">
        <v>52</v>
      </c>
      <c r="E259" s="4" t="s">
        <v>53</v>
      </c>
      <c r="F259" s="4" t="s">
        <v>25</v>
      </c>
      <c r="G259" s="4" t="s">
        <v>25</v>
      </c>
      <c r="H259" s="4" t="s">
        <v>37</v>
      </c>
      <c r="I259" s="5">
        <v>44378</v>
      </c>
      <c r="J259" s="6">
        <v>613</v>
      </c>
      <c r="K259" s="78">
        <v>613</v>
      </c>
      <c r="L259" s="6">
        <v>31.35</v>
      </c>
      <c r="M259" s="77">
        <v>31.35</v>
      </c>
      <c r="N259" s="6">
        <v>31.35</v>
      </c>
      <c r="O259" s="77">
        <v>31.35</v>
      </c>
      <c r="P259" s="6">
        <v>0</v>
      </c>
      <c r="Q259" s="4" t="s">
        <v>26</v>
      </c>
      <c r="R259" s="4">
        <v>0</v>
      </c>
      <c r="S259" s="4">
        <v>28</v>
      </c>
      <c r="T259" s="4">
        <v>30</v>
      </c>
      <c r="U259" s="4">
        <v>66</v>
      </c>
      <c r="V259" s="77">
        <f>IF(ISERROR(VLOOKUP($S$259,'TAR FIN'!$A$1:$O$95,15,0)),0,VLOOKUP($S$259,'TAR FIN'!$A$1:$O$95,15,0))*(1-0.09)</f>
        <v>48.2209</v>
      </c>
      <c r="W259" s="77">
        <f>IF(ISERROR(VLOOKUP($T$259,'TAR FIN'!$A$1:$O$95,15,0)),0,VLOOKUP($T$259,'TAR FIN'!$A$1:$O$95,15,0))*(1-0.09)</f>
        <v>136.16329999999999</v>
      </c>
      <c r="X259" s="77">
        <f>IF(ISERROR(VLOOKUP($U$259,'TAR FIN'!$A$1:$O$95,15,0)),0,VLOOKUP($U$259,'TAR FIN'!$A$1:$O$95,15,0))*(1-0.09)</f>
        <v>354.2448</v>
      </c>
      <c r="Y259" s="77">
        <f ca="1">('TUSD BE'!$AM$10+'TUSD BF'!$AM$10+'TUSD CVA'!$AM$10)*1*(1-0.06)</f>
        <v>55.719770574664459</v>
      </c>
      <c r="Z259" s="77">
        <f ca="1">('TUSD BE'!$AM$12+'TUSD BF'!$AM$12+'TUSD CVA'!$AM$12)*1*(1-0.06)</f>
        <v>158.4025784496171</v>
      </c>
      <c r="AA259" s="77">
        <f>('TE BE'!$AA$7+'TE BF'!$AA$7+'TE CVA'!$AA$7)*1*(1-0.06)</f>
        <v>427.06885385270027</v>
      </c>
      <c r="AB259" s="77">
        <f>(SUBSIDIO!$J$259*SUBSIDIO!$V$259)*(0.09)/(1-0.09)</f>
        <v>2923.4582999999998</v>
      </c>
      <c r="AC259" s="77">
        <f>((SUBSIDIO!$L$259*SUBSIDIO!$W$259)+(SUBSIDIO!$N$259*SUBSIDIO!$X$259))*(0.09)/(1-0.09)</f>
        <v>1520.5345650000002</v>
      </c>
      <c r="AD259" s="77">
        <f ca="1">(SUBSIDIO!$J$259*SUBSIDIO!$Y$259)*(0.06)/(1-0.06)</f>
        <v>2180.1842146129352</v>
      </c>
      <c r="AE259" s="77">
        <f ca="1">((SUBSIDIO!$L$259*SUBSIDIO!$Z$259)+(SUBSIDIO!$N$259*SUBSIDIO!$AA$259))*(0.06)/(1-0.06)</f>
        <v>1171.5657065538926</v>
      </c>
      <c r="AF259" s="4" t="s">
        <v>842</v>
      </c>
    </row>
    <row r="260" spans="1:32" ht="11.25" customHeight="1" x14ac:dyDescent="0.25">
      <c r="A260" s="4" t="s">
        <v>21</v>
      </c>
      <c r="B260" s="4" t="s">
        <v>35</v>
      </c>
      <c r="C260" s="4" t="s">
        <v>44</v>
      </c>
      <c r="D260" s="4" t="s">
        <v>52</v>
      </c>
      <c r="E260" s="4" t="s">
        <v>53</v>
      </c>
      <c r="F260" s="4" t="s">
        <v>25</v>
      </c>
      <c r="G260" s="4" t="s">
        <v>25</v>
      </c>
      <c r="H260" s="4" t="s">
        <v>37</v>
      </c>
      <c r="I260" s="5">
        <v>44409</v>
      </c>
      <c r="J260" s="6">
        <v>1715</v>
      </c>
      <c r="K260" s="78">
        <v>1715</v>
      </c>
      <c r="L260" s="6">
        <v>12.472</v>
      </c>
      <c r="M260" s="77">
        <v>12.472</v>
      </c>
      <c r="N260" s="6">
        <v>12.472</v>
      </c>
      <c r="O260" s="77">
        <v>12.472</v>
      </c>
      <c r="P260" s="6">
        <v>0</v>
      </c>
      <c r="Q260" s="4" t="s">
        <v>26</v>
      </c>
      <c r="R260" s="4">
        <v>0</v>
      </c>
      <c r="S260" s="4">
        <v>28</v>
      </c>
      <c r="T260" s="4">
        <v>30</v>
      </c>
      <c r="U260" s="4">
        <v>66</v>
      </c>
      <c r="V260" s="77">
        <f>IF(ISERROR(VLOOKUP($S$260,'TAR FIN'!$A$1:$O$95,15,0)),0,VLOOKUP($S$260,'TAR FIN'!$A$1:$O$95,15,0))*(1-0.09)</f>
        <v>48.2209</v>
      </c>
      <c r="W260" s="77">
        <f>IF(ISERROR(VLOOKUP($T$260,'TAR FIN'!$A$1:$O$95,15,0)),0,VLOOKUP($T$260,'TAR FIN'!$A$1:$O$95,15,0))*(1-0.09)</f>
        <v>136.16329999999999</v>
      </c>
      <c r="X260" s="77">
        <f>IF(ISERROR(VLOOKUP($U$260,'TAR FIN'!$A$1:$O$95,15,0)),0,VLOOKUP($U$260,'TAR FIN'!$A$1:$O$95,15,0))*(1-0.09)</f>
        <v>354.2448</v>
      </c>
      <c r="Y260" s="77">
        <f ca="1">('TUSD BE'!$AM$10+'TUSD BF'!$AM$10+'TUSD CVA'!$AM$10)*1*(1-0.06)</f>
        <v>55.719770574664459</v>
      </c>
      <c r="Z260" s="77">
        <f ca="1">('TUSD BE'!$AM$12+'TUSD BF'!$AM$12+'TUSD CVA'!$AM$12)*1*(1-0.06)</f>
        <v>158.4025784496171</v>
      </c>
      <c r="AA260" s="77">
        <f>('TE BE'!$AA$7+'TE BF'!$AA$7+'TE CVA'!$AA$7)*1*(1-0.06)</f>
        <v>427.06885385270027</v>
      </c>
      <c r="AB260" s="77">
        <f>(SUBSIDIO!$J$260*SUBSIDIO!$V$260)*(0.09)/(1-0.09)</f>
        <v>8179.0064999999995</v>
      </c>
      <c r="AC260" s="77">
        <f>((SUBSIDIO!$L$260*SUBSIDIO!$W$260)+(SUBSIDIO!$N$260*SUBSIDIO!$X$260))*(0.09)/(1-0.09)</f>
        <v>604.91569679999986</v>
      </c>
      <c r="AD260" s="77">
        <f ca="1">(SUBSIDIO!$J$260*SUBSIDIO!$Y$260)*(0.06)/(1-0.06)</f>
        <v>6099.5365873755027</v>
      </c>
      <c r="AE260" s="77">
        <f ca="1">((SUBSIDIO!$L$260*SUBSIDIO!$Z$260)+(SUBSIDIO!$N$260*SUBSIDIO!$AA$260))*(0.06)/(1-0.06)</f>
        <v>466.08508746858524</v>
      </c>
      <c r="AF260" s="4" t="s">
        <v>842</v>
      </c>
    </row>
    <row r="261" spans="1:32" ht="11.25" customHeight="1" x14ac:dyDescent="0.25">
      <c r="A261" s="4" t="s">
        <v>28</v>
      </c>
      <c r="B261" s="4" t="s">
        <v>35</v>
      </c>
      <c r="C261" s="4" t="s">
        <v>44</v>
      </c>
      <c r="D261" s="4" t="s">
        <v>52</v>
      </c>
      <c r="E261" s="4" t="s">
        <v>53</v>
      </c>
      <c r="F261" s="4" t="s">
        <v>25</v>
      </c>
      <c r="G261" s="4" t="s">
        <v>25</v>
      </c>
      <c r="H261" s="4" t="s">
        <v>37</v>
      </c>
      <c r="I261" s="5">
        <v>44409</v>
      </c>
      <c r="J261" s="6">
        <v>613</v>
      </c>
      <c r="K261" s="78">
        <v>613</v>
      </c>
      <c r="L261" s="6">
        <v>27.288</v>
      </c>
      <c r="M261" s="77">
        <v>27.288</v>
      </c>
      <c r="N261" s="6">
        <v>27.288</v>
      </c>
      <c r="O261" s="77">
        <v>27.288</v>
      </c>
      <c r="P261" s="6">
        <v>0</v>
      </c>
      <c r="Q261" s="4" t="s">
        <v>26</v>
      </c>
      <c r="R261" s="4">
        <v>0</v>
      </c>
      <c r="S261" s="4">
        <v>28</v>
      </c>
      <c r="T261" s="4">
        <v>30</v>
      </c>
      <c r="U261" s="4">
        <v>66</v>
      </c>
      <c r="V261" s="77">
        <f>IF(ISERROR(VLOOKUP($S$261,'TAR FIN'!$A$1:$O$95,15,0)),0,VLOOKUP($S$261,'TAR FIN'!$A$1:$O$95,15,0))*(1-0.09)</f>
        <v>48.2209</v>
      </c>
      <c r="W261" s="77">
        <f>IF(ISERROR(VLOOKUP($T$261,'TAR FIN'!$A$1:$O$95,15,0)),0,VLOOKUP($T$261,'TAR FIN'!$A$1:$O$95,15,0))*(1-0.09)</f>
        <v>136.16329999999999</v>
      </c>
      <c r="X261" s="77">
        <f>IF(ISERROR(VLOOKUP($U$261,'TAR FIN'!$A$1:$O$95,15,0)),0,VLOOKUP($U$261,'TAR FIN'!$A$1:$O$95,15,0))*(1-0.09)</f>
        <v>354.2448</v>
      </c>
      <c r="Y261" s="77">
        <f ca="1">('TUSD BE'!$AM$10+'TUSD BF'!$AM$10+'TUSD CVA'!$AM$10)*1*(1-0.06)</f>
        <v>55.719770574664459</v>
      </c>
      <c r="Z261" s="77">
        <f ca="1">('TUSD BE'!$AM$12+'TUSD BF'!$AM$12+'TUSD CVA'!$AM$12)*1*(1-0.06)</f>
        <v>158.4025784496171</v>
      </c>
      <c r="AA261" s="77">
        <f>('TE BE'!$AA$7+'TE BF'!$AA$7+'TE CVA'!$AA$7)*1*(1-0.06)</f>
        <v>427.06885385270027</v>
      </c>
      <c r="AB261" s="77">
        <f>(SUBSIDIO!$J$261*SUBSIDIO!$V$261)*(0.09)/(1-0.09)</f>
        <v>2923.4582999999998</v>
      </c>
      <c r="AC261" s="77">
        <f>((SUBSIDIO!$L$261*SUBSIDIO!$W$261)+(SUBSIDIO!$N$261*SUBSIDIO!$X$261))*(0.09)/(1-0.09)</f>
        <v>1323.5198472</v>
      </c>
      <c r="AD261" s="77">
        <f ca="1">(SUBSIDIO!$J$261*SUBSIDIO!$Y$261)*(0.06)/(1-0.06)</f>
        <v>2180.1842146129352</v>
      </c>
      <c r="AE261" s="77">
        <f ca="1">((SUBSIDIO!$L$261*SUBSIDIO!$Z$261)+(SUBSIDIO!$N$261*SUBSIDIO!$AA$261))*(0.06)/(1-0.06)</f>
        <v>1019.7666666807852</v>
      </c>
      <c r="AF261" s="4" t="s">
        <v>842</v>
      </c>
    </row>
    <row r="262" spans="1:32" ht="11.25" customHeight="1" x14ac:dyDescent="0.25">
      <c r="A262" s="4" t="s">
        <v>21</v>
      </c>
      <c r="B262" s="4" t="s">
        <v>35</v>
      </c>
      <c r="C262" s="4" t="s">
        <v>44</v>
      </c>
      <c r="D262" s="4" t="s">
        <v>52</v>
      </c>
      <c r="E262" s="4" t="s">
        <v>53</v>
      </c>
      <c r="F262" s="4" t="s">
        <v>25</v>
      </c>
      <c r="G262" s="4" t="s">
        <v>25</v>
      </c>
      <c r="H262" s="4" t="s">
        <v>37</v>
      </c>
      <c r="I262" s="5">
        <v>44440</v>
      </c>
      <c r="J262" s="6">
        <v>1917</v>
      </c>
      <c r="K262" s="78">
        <v>1917</v>
      </c>
      <c r="L262" s="6">
        <v>33.853000000000002</v>
      </c>
      <c r="M262" s="77">
        <v>33.853000000000002</v>
      </c>
      <c r="N262" s="6">
        <v>33.853000000000002</v>
      </c>
      <c r="O262" s="77">
        <v>33.853000000000002</v>
      </c>
      <c r="P262" s="6">
        <v>0</v>
      </c>
      <c r="Q262" s="4" t="s">
        <v>26</v>
      </c>
      <c r="R262" s="4">
        <v>0</v>
      </c>
      <c r="S262" s="4">
        <v>28</v>
      </c>
      <c r="T262" s="4">
        <v>30</v>
      </c>
      <c r="U262" s="4">
        <v>66</v>
      </c>
      <c r="V262" s="77">
        <f>IF(ISERROR(VLOOKUP($S$262,'TAR FIN'!$A$1:$O$95,15,0)),0,VLOOKUP($S$262,'TAR FIN'!$A$1:$O$95,15,0))*(1-0.09)</f>
        <v>48.2209</v>
      </c>
      <c r="W262" s="77">
        <f>IF(ISERROR(VLOOKUP($T$262,'TAR FIN'!$A$1:$O$95,15,0)),0,VLOOKUP($T$262,'TAR FIN'!$A$1:$O$95,15,0))*(1-0.09)</f>
        <v>136.16329999999999</v>
      </c>
      <c r="X262" s="77">
        <f>IF(ISERROR(VLOOKUP($U$262,'TAR FIN'!$A$1:$O$95,15,0)),0,VLOOKUP($U$262,'TAR FIN'!$A$1:$O$95,15,0))*(1-0.09)</f>
        <v>354.2448</v>
      </c>
      <c r="Y262" s="77">
        <f ca="1">('TUSD BE'!$AM$10+'TUSD BF'!$AM$10+'TUSD CVA'!$AM$10)*1*(1-0.06)</f>
        <v>55.719770574664459</v>
      </c>
      <c r="Z262" s="77">
        <f ca="1">('TUSD BE'!$AM$12+'TUSD BF'!$AM$12+'TUSD CVA'!$AM$12)*1*(1-0.06)</f>
        <v>158.4025784496171</v>
      </c>
      <c r="AA262" s="77">
        <f>('TE BE'!$AA$7+'TE BF'!$AA$7+'TE CVA'!$AA$7)*1*(1-0.06)</f>
        <v>427.06885385270027</v>
      </c>
      <c r="AB262" s="77">
        <f>(SUBSIDIO!$J$262*SUBSIDIO!$V$262)*(0.09)/(1-0.09)</f>
        <v>9142.3647000000001</v>
      </c>
      <c r="AC262" s="77">
        <f>((SUBSIDIO!$L$262*SUBSIDIO!$W$262)+(SUBSIDIO!$N$262*SUBSIDIO!$X$262))*(0.09)/(1-0.09)</f>
        <v>1641.9348206999996</v>
      </c>
      <c r="AD262" s="77">
        <f ca="1">(SUBSIDIO!$J$262*SUBSIDIO!$Y$262)*(0.06)/(1-0.06)</f>
        <v>6817.9659696786248</v>
      </c>
      <c r="AE262" s="77">
        <f ca="1">((SUBSIDIO!$L$262*SUBSIDIO!$Z$262)+(SUBSIDIO!$N$262*SUBSIDIO!$AA$262))*(0.06)/(1-0.06)</f>
        <v>1265.1041104934266</v>
      </c>
      <c r="AF262" s="4" t="s">
        <v>842</v>
      </c>
    </row>
    <row r="263" spans="1:32" ht="11.25" customHeight="1" x14ac:dyDescent="0.25">
      <c r="A263" s="4" t="s">
        <v>28</v>
      </c>
      <c r="B263" s="4" t="s">
        <v>35</v>
      </c>
      <c r="C263" s="4" t="s">
        <v>44</v>
      </c>
      <c r="D263" s="4" t="s">
        <v>52</v>
      </c>
      <c r="E263" s="4" t="s">
        <v>53</v>
      </c>
      <c r="F263" s="4" t="s">
        <v>25</v>
      </c>
      <c r="G263" s="4" t="s">
        <v>25</v>
      </c>
      <c r="H263" s="4" t="s">
        <v>37</v>
      </c>
      <c r="I263" s="5">
        <v>44440</v>
      </c>
      <c r="J263" s="6">
        <v>609</v>
      </c>
      <c r="K263" s="78">
        <v>609</v>
      </c>
      <c r="L263" s="6">
        <v>27.219000000000001</v>
      </c>
      <c r="M263" s="77">
        <v>27.219000000000001</v>
      </c>
      <c r="N263" s="6">
        <v>27.219000000000001</v>
      </c>
      <c r="O263" s="77">
        <v>27.219000000000001</v>
      </c>
      <c r="P263" s="6">
        <v>0</v>
      </c>
      <c r="Q263" s="4" t="s">
        <v>26</v>
      </c>
      <c r="R263" s="4">
        <v>0</v>
      </c>
      <c r="S263" s="4">
        <v>28</v>
      </c>
      <c r="T263" s="4">
        <v>30</v>
      </c>
      <c r="U263" s="4">
        <v>66</v>
      </c>
      <c r="V263" s="77">
        <f>IF(ISERROR(VLOOKUP($S$263,'TAR FIN'!$A$1:$O$95,15,0)),0,VLOOKUP($S$263,'TAR FIN'!$A$1:$O$95,15,0))*(1-0.09)</f>
        <v>48.2209</v>
      </c>
      <c r="W263" s="77">
        <f>IF(ISERROR(VLOOKUP($T$263,'TAR FIN'!$A$1:$O$95,15,0)),0,VLOOKUP($T$263,'TAR FIN'!$A$1:$O$95,15,0))*(1-0.09)</f>
        <v>136.16329999999999</v>
      </c>
      <c r="X263" s="77">
        <f>IF(ISERROR(VLOOKUP($U$263,'TAR FIN'!$A$1:$O$95,15,0)),0,VLOOKUP($U$263,'TAR FIN'!$A$1:$O$95,15,0))*(1-0.09)</f>
        <v>354.2448</v>
      </c>
      <c r="Y263" s="77">
        <f ca="1">('TUSD BE'!$AM$10+'TUSD BF'!$AM$10+'TUSD CVA'!$AM$10)*1*(1-0.06)</f>
        <v>55.719770574664459</v>
      </c>
      <c r="Z263" s="77">
        <f ca="1">('TUSD BE'!$AM$12+'TUSD BF'!$AM$12+'TUSD CVA'!$AM$12)*1*(1-0.06)</f>
        <v>158.4025784496171</v>
      </c>
      <c r="AA263" s="77">
        <f>('TE BE'!$AA$7+'TE BF'!$AA$7+'TE CVA'!$AA$7)*1*(1-0.06)</f>
        <v>427.06885385270027</v>
      </c>
      <c r="AB263" s="77">
        <f>(SUBSIDIO!$J$263*SUBSIDIO!$V$263)*(0.09)/(1-0.09)</f>
        <v>2904.3818999999999</v>
      </c>
      <c r="AC263" s="77">
        <f>((SUBSIDIO!$L$263*SUBSIDIO!$W$263)+(SUBSIDIO!$N$263*SUBSIDIO!$X$263))*(0.09)/(1-0.09)</f>
        <v>1320.1732160999998</v>
      </c>
      <c r="AD263" s="77">
        <f ca="1">(SUBSIDIO!$J$263*SUBSIDIO!$Y$263)*(0.06)/(1-0.06)</f>
        <v>2165.9578902108929</v>
      </c>
      <c r="AE263" s="77">
        <f ca="1">((SUBSIDIO!$L$263*SUBSIDIO!$Z$263)+(SUBSIDIO!$N$263*SUBSIDIO!$AA$263))*(0.06)/(1-0.06)</f>
        <v>1017.1881010108581</v>
      </c>
      <c r="AF263" s="4" t="s">
        <v>842</v>
      </c>
    </row>
    <row r="264" spans="1:32" ht="11.25" customHeight="1" x14ac:dyDescent="0.25">
      <c r="A264" s="4" t="s">
        <v>59</v>
      </c>
      <c r="B264" s="4" t="s">
        <v>35</v>
      </c>
      <c r="C264" s="4" t="s">
        <v>44</v>
      </c>
      <c r="D264" s="4" t="s">
        <v>52</v>
      </c>
      <c r="E264" s="4" t="s">
        <v>53</v>
      </c>
      <c r="F264" s="4" t="s">
        <v>25</v>
      </c>
      <c r="G264" s="4" t="s">
        <v>25</v>
      </c>
      <c r="H264" s="4" t="s">
        <v>37</v>
      </c>
      <c r="I264" s="5">
        <v>44470</v>
      </c>
      <c r="J264" s="6">
        <v>1917</v>
      </c>
      <c r="K264" s="78">
        <v>1917</v>
      </c>
      <c r="L264" s="6">
        <v>33.853000000000002</v>
      </c>
      <c r="M264" s="77">
        <v>33.853000000000002</v>
      </c>
      <c r="N264" s="6">
        <v>33.853000000000002</v>
      </c>
      <c r="O264" s="77">
        <v>33.853000000000002</v>
      </c>
      <c r="P264" s="6">
        <v>0</v>
      </c>
      <c r="Q264" s="4" t="s">
        <v>26</v>
      </c>
      <c r="R264" s="4">
        <v>0</v>
      </c>
      <c r="S264" s="4">
        <v>28</v>
      </c>
      <c r="T264" s="4">
        <v>30</v>
      </c>
      <c r="U264" s="4">
        <v>66</v>
      </c>
      <c r="V264" s="77">
        <f>IF(ISERROR(VLOOKUP($S$264,'TAR FIN'!$A$1:$O$95,15,0)),0,VLOOKUP($S$264,'TAR FIN'!$A$1:$O$95,15,0))*(1-0.09)</f>
        <v>48.2209</v>
      </c>
      <c r="W264" s="77">
        <f>IF(ISERROR(VLOOKUP($T$264,'TAR FIN'!$A$1:$O$95,15,0)),0,VLOOKUP($T$264,'TAR FIN'!$A$1:$O$95,15,0))*(1-0.09)</f>
        <v>136.16329999999999</v>
      </c>
      <c r="X264" s="77">
        <f>IF(ISERROR(VLOOKUP($U$264,'TAR FIN'!$A$1:$O$95,15,0)),0,VLOOKUP($U$264,'TAR FIN'!$A$1:$O$95,15,0))*(1-0.09)</f>
        <v>354.2448</v>
      </c>
      <c r="Y264" s="77">
        <f ca="1">('TUSD BE'!$AM$10+'TUSD BF'!$AM$10+'TUSD CVA'!$AM$10)*1*(1-0.06)</f>
        <v>55.719770574664459</v>
      </c>
      <c r="Z264" s="77">
        <f ca="1">('TUSD BE'!$AM$12+'TUSD BF'!$AM$12+'TUSD CVA'!$AM$12)*1*(1-0.06)</f>
        <v>158.4025784496171</v>
      </c>
      <c r="AA264" s="77">
        <f>('TE BE'!$AA$7+'TE BF'!$AA$7+'TE CVA'!$AA$7)*1*(1-0.06)</f>
        <v>427.06885385270027</v>
      </c>
      <c r="AB264" s="77">
        <f>(SUBSIDIO!$J$264*SUBSIDIO!$V$264)*(0.09)/(1-0.09)</f>
        <v>9142.3647000000001</v>
      </c>
      <c r="AC264" s="77">
        <f>((SUBSIDIO!$L$264*SUBSIDIO!$W$264)+(SUBSIDIO!$N$264*SUBSIDIO!$X$264))*(0.09)/(1-0.09)</f>
        <v>1641.9348206999996</v>
      </c>
      <c r="AD264" s="77">
        <f ca="1">(SUBSIDIO!$J$264*SUBSIDIO!$Y$264)*(0.06)/(1-0.06)</f>
        <v>6817.9659696786248</v>
      </c>
      <c r="AE264" s="77">
        <f ca="1">((SUBSIDIO!$L$264*SUBSIDIO!$Z$264)+(SUBSIDIO!$N$264*SUBSIDIO!$AA$264))*(0.06)/(1-0.06)</f>
        <v>1265.1041104934266</v>
      </c>
      <c r="AF264" s="4" t="s">
        <v>842</v>
      </c>
    </row>
    <row r="265" spans="1:32" ht="11.25" customHeight="1" x14ac:dyDescent="0.25">
      <c r="A265" s="4" t="s">
        <v>59</v>
      </c>
      <c r="B265" s="4" t="s">
        <v>35</v>
      </c>
      <c r="C265" s="4" t="s">
        <v>44</v>
      </c>
      <c r="D265" s="4" t="s">
        <v>52</v>
      </c>
      <c r="E265" s="4" t="s">
        <v>53</v>
      </c>
      <c r="F265" s="4" t="s">
        <v>25</v>
      </c>
      <c r="G265" s="4" t="s">
        <v>25</v>
      </c>
      <c r="H265" s="4" t="s">
        <v>37</v>
      </c>
      <c r="I265" s="5">
        <v>44470</v>
      </c>
      <c r="J265" s="6">
        <v>609</v>
      </c>
      <c r="K265" s="78">
        <v>609</v>
      </c>
      <c r="L265" s="6">
        <v>27.219000000000001</v>
      </c>
      <c r="M265" s="77">
        <v>27.219000000000001</v>
      </c>
      <c r="N265" s="6">
        <v>27.219000000000001</v>
      </c>
      <c r="O265" s="77">
        <v>27.219000000000001</v>
      </c>
      <c r="P265" s="6">
        <v>0</v>
      </c>
      <c r="Q265" s="4" t="s">
        <v>26</v>
      </c>
      <c r="R265" s="4">
        <v>0</v>
      </c>
      <c r="S265" s="4">
        <v>28</v>
      </c>
      <c r="T265" s="4">
        <v>30</v>
      </c>
      <c r="U265" s="4">
        <v>66</v>
      </c>
      <c r="V265" s="77">
        <f>IF(ISERROR(VLOOKUP($S$265,'TAR FIN'!$A$1:$O$95,15,0)),0,VLOOKUP($S$265,'TAR FIN'!$A$1:$O$95,15,0))*(1-0.09)</f>
        <v>48.2209</v>
      </c>
      <c r="W265" s="77">
        <f>IF(ISERROR(VLOOKUP($T$265,'TAR FIN'!$A$1:$O$95,15,0)),0,VLOOKUP($T$265,'TAR FIN'!$A$1:$O$95,15,0))*(1-0.09)</f>
        <v>136.16329999999999</v>
      </c>
      <c r="X265" s="77">
        <f>IF(ISERROR(VLOOKUP($U$265,'TAR FIN'!$A$1:$O$95,15,0)),0,VLOOKUP($U$265,'TAR FIN'!$A$1:$O$95,15,0))*(1-0.09)</f>
        <v>354.2448</v>
      </c>
      <c r="Y265" s="77">
        <f ca="1">('TUSD BE'!$AM$10+'TUSD BF'!$AM$10+'TUSD CVA'!$AM$10)*1*(1-0.06)</f>
        <v>55.719770574664459</v>
      </c>
      <c r="Z265" s="77">
        <f ca="1">('TUSD BE'!$AM$12+'TUSD BF'!$AM$12+'TUSD CVA'!$AM$12)*1*(1-0.06)</f>
        <v>158.4025784496171</v>
      </c>
      <c r="AA265" s="77">
        <f>('TE BE'!$AA$7+'TE BF'!$AA$7+'TE CVA'!$AA$7)*1*(1-0.06)</f>
        <v>427.06885385270027</v>
      </c>
      <c r="AB265" s="77">
        <f>(SUBSIDIO!$J$265*SUBSIDIO!$V$265)*(0.09)/(1-0.09)</f>
        <v>2904.3818999999999</v>
      </c>
      <c r="AC265" s="77">
        <f>((SUBSIDIO!$L$265*SUBSIDIO!$W$265)+(SUBSIDIO!$N$265*SUBSIDIO!$X$265))*(0.09)/(1-0.09)</f>
        <v>1320.1732160999998</v>
      </c>
      <c r="AD265" s="77">
        <f ca="1">(SUBSIDIO!$J$265*SUBSIDIO!$Y$265)*(0.06)/(1-0.06)</f>
        <v>2165.9578902108929</v>
      </c>
      <c r="AE265" s="77">
        <f ca="1">((SUBSIDIO!$L$265*SUBSIDIO!$Z$265)+(SUBSIDIO!$N$265*SUBSIDIO!$AA$265))*(0.06)/(1-0.06)</f>
        <v>1017.1881010108581</v>
      </c>
      <c r="AF265" s="4" t="s">
        <v>842</v>
      </c>
    </row>
    <row r="266" spans="1:32" ht="11.25" customHeight="1" x14ac:dyDescent="0.25">
      <c r="A266" s="4" t="s">
        <v>21</v>
      </c>
      <c r="B266" s="4" t="s">
        <v>35</v>
      </c>
      <c r="C266" s="4" t="s">
        <v>36</v>
      </c>
      <c r="D266" s="4" t="s">
        <v>42</v>
      </c>
      <c r="E266" s="4" t="s">
        <v>25</v>
      </c>
      <c r="F266" s="4" t="s">
        <v>62</v>
      </c>
      <c r="G266" s="4" t="s">
        <v>25</v>
      </c>
      <c r="H266" s="4" t="s">
        <v>38</v>
      </c>
      <c r="I266" s="5">
        <v>44136</v>
      </c>
      <c r="J266" s="6">
        <v>0</v>
      </c>
      <c r="K266" s="6">
        <v>0</v>
      </c>
      <c r="L266" s="6">
        <v>27701.027999999998</v>
      </c>
      <c r="M266" s="6">
        <v>27701.027999999998</v>
      </c>
      <c r="N266" s="6">
        <v>0</v>
      </c>
      <c r="O266" s="6">
        <v>0</v>
      </c>
      <c r="P266" s="6">
        <v>0</v>
      </c>
      <c r="Q266" s="4" t="s">
        <v>60</v>
      </c>
      <c r="R266" s="4">
        <v>0</v>
      </c>
      <c r="S266" s="4">
        <v>0</v>
      </c>
      <c r="T266" s="4">
        <v>19</v>
      </c>
      <c r="U266" s="4">
        <v>0</v>
      </c>
      <c r="V266" s="6">
        <f>IF(ISERROR(VLOOKUP($S$266,'TAR FIN'!$A$1:$O$95,15,0)),0,VLOOKUP($S$266,'TAR FIN'!$A$1:$O$95,15,0))</f>
        <v>0</v>
      </c>
      <c r="W266" s="6">
        <f>IF(ISERROR(VLOOKUP($T$266,'TAR FIN'!$A$1:$O$95,15,0)),0,VLOOKUP($T$266,'TAR FIN'!$A$1:$O$95,15,0))</f>
        <v>149.63</v>
      </c>
      <c r="X266" s="6">
        <f>IF(ISERROR(VLOOKUP($U$266,'TAR FIN'!$A$1:$O$95,15,0)),0,VLOOKUP($U$266,'TAR FIN'!$A$1:$O$95,15,0))</f>
        <v>0</v>
      </c>
      <c r="Y266" s="6"/>
      <c r="Z266" s="6">
        <f ca="1">('TUSD BE'!$AM$17+'TUSD BF'!$AM$17+'TUSD CVA'!$AM$17)*1</f>
        <v>168.51338132937991</v>
      </c>
      <c r="AA266" s="6"/>
      <c r="AB266" s="6">
        <f t="shared" ref="AB266:AB315" si="14">(J266-K266)*V266</f>
        <v>0</v>
      </c>
      <c r="AC266" s="6">
        <f t="shared" ref="AC266:AC315" si="15">(L266-M266)*W266+(N266-O266)*X266</f>
        <v>0</v>
      </c>
      <c r="AD266" s="6">
        <f t="shared" ref="AD266:AD315" si="16">(J266-K266)*Y266</f>
        <v>0</v>
      </c>
      <c r="AE266" s="6">
        <f t="shared" ref="AE266:AE315" ca="1" si="17">(L266-M266)*Z266+(N266-O266)*AA266</f>
        <v>0</v>
      </c>
      <c r="AF266" s="4" t="s">
        <v>841</v>
      </c>
    </row>
    <row r="267" spans="1:32" ht="11.25" customHeight="1" x14ac:dyDescent="0.25">
      <c r="A267" s="4" t="s">
        <v>21</v>
      </c>
      <c r="B267" s="4" t="s">
        <v>35</v>
      </c>
      <c r="C267" s="4" t="s">
        <v>36</v>
      </c>
      <c r="D267" s="4" t="s">
        <v>42</v>
      </c>
      <c r="E267" s="4" t="s">
        <v>25</v>
      </c>
      <c r="F267" s="4" t="s">
        <v>62</v>
      </c>
      <c r="G267" s="4" t="s">
        <v>25</v>
      </c>
      <c r="H267" s="4" t="s">
        <v>38</v>
      </c>
      <c r="I267" s="5">
        <v>44166</v>
      </c>
      <c r="J267" s="6">
        <v>0</v>
      </c>
      <c r="K267" s="6">
        <v>0</v>
      </c>
      <c r="L267" s="6">
        <v>25931.152999999998</v>
      </c>
      <c r="M267" s="6">
        <v>25931.152999999998</v>
      </c>
      <c r="N267" s="6">
        <v>0</v>
      </c>
      <c r="O267" s="6">
        <v>0</v>
      </c>
      <c r="P267" s="6">
        <v>0</v>
      </c>
      <c r="Q267" s="4" t="s">
        <v>60</v>
      </c>
      <c r="R267" s="4">
        <v>0</v>
      </c>
      <c r="S267" s="4">
        <v>0</v>
      </c>
      <c r="T267" s="4">
        <v>19</v>
      </c>
      <c r="U267" s="4">
        <v>0</v>
      </c>
      <c r="V267" s="6">
        <f>IF(ISERROR(VLOOKUP($S$267,'TAR FIN'!$A$1:$O$95,15,0)),0,VLOOKUP($S$267,'TAR FIN'!$A$1:$O$95,15,0))</f>
        <v>0</v>
      </c>
      <c r="W267" s="6">
        <f>IF(ISERROR(VLOOKUP($T$267,'TAR FIN'!$A$1:$O$95,15,0)),0,VLOOKUP($T$267,'TAR FIN'!$A$1:$O$95,15,0))</f>
        <v>149.63</v>
      </c>
      <c r="X267" s="6">
        <f>IF(ISERROR(VLOOKUP($U$267,'TAR FIN'!$A$1:$O$95,15,0)),0,VLOOKUP($U$267,'TAR FIN'!$A$1:$O$95,15,0))</f>
        <v>0</v>
      </c>
      <c r="Y267" s="6"/>
      <c r="Z267" s="6">
        <f ca="1">('TUSD BE'!$AM$17+'TUSD BF'!$AM$17+'TUSD CVA'!$AM$17)*1</f>
        <v>168.51338132937991</v>
      </c>
      <c r="AA267" s="6"/>
      <c r="AB267" s="6">
        <f t="shared" si="14"/>
        <v>0</v>
      </c>
      <c r="AC267" s="6">
        <f t="shared" si="15"/>
        <v>0</v>
      </c>
      <c r="AD267" s="6">
        <f t="shared" si="16"/>
        <v>0</v>
      </c>
      <c r="AE267" s="6">
        <f t="shared" ca="1" si="17"/>
        <v>0</v>
      </c>
      <c r="AF267" s="4" t="s">
        <v>841</v>
      </c>
    </row>
    <row r="268" spans="1:32" ht="11.25" customHeight="1" x14ac:dyDescent="0.25">
      <c r="A268" s="4" t="s">
        <v>21</v>
      </c>
      <c r="B268" s="4" t="s">
        <v>35</v>
      </c>
      <c r="C268" s="4" t="s">
        <v>36</v>
      </c>
      <c r="D268" s="4" t="s">
        <v>42</v>
      </c>
      <c r="E268" s="4" t="s">
        <v>25</v>
      </c>
      <c r="F268" s="4" t="s">
        <v>62</v>
      </c>
      <c r="G268" s="4" t="s">
        <v>25</v>
      </c>
      <c r="H268" s="4" t="s">
        <v>38</v>
      </c>
      <c r="I268" s="5">
        <v>44197</v>
      </c>
      <c r="J268" s="6">
        <v>0</v>
      </c>
      <c r="K268" s="6">
        <v>0</v>
      </c>
      <c r="L268" s="6">
        <v>21403.15</v>
      </c>
      <c r="M268" s="6">
        <v>21403.15</v>
      </c>
      <c r="N268" s="6">
        <v>0</v>
      </c>
      <c r="O268" s="6">
        <v>0</v>
      </c>
      <c r="P268" s="6">
        <v>0</v>
      </c>
      <c r="Q268" s="4" t="s">
        <v>60</v>
      </c>
      <c r="R268" s="4">
        <v>0</v>
      </c>
      <c r="S268" s="4">
        <v>0</v>
      </c>
      <c r="T268" s="4">
        <v>19</v>
      </c>
      <c r="U268" s="4">
        <v>0</v>
      </c>
      <c r="V268" s="6">
        <f>IF(ISERROR(VLOOKUP($S$268,'TAR FIN'!$A$1:$O$95,15,0)),0,VLOOKUP($S$268,'TAR FIN'!$A$1:$O$95,15,0))</f>
        <v>0</v>
      </c>
      <c r="W268" s="6">
        <f>IF(ISERROR(VLOOKUP($T$268,'TAR FIN'!$A$1:$O$95,15,0)),0,VLOOKUP($T$268,'TAR FIN'!$A$1:$O$95,15,0))</f>
        <v>149.63</v>
      </c>
      <c r="X268" s="6">
        <f>IF(ISERROR(VLOOKUP($U$268,'TAR FIN'!$A$1:$O$95,15,0)),0,VLOOKUP($U$268,'TAR FIN'!$A$1:$O$95,15,0))</f>
        <v>0</v>
      </c>
      <c r="Y268" s="6"/>
      <c r="Z268" s="6">
        <f ca="1">('TUSD BE'!$AM$17+'TUSD BF'!$AM$17+'TUSD CVA'!$AM$17)*1</f>
        <v>168.51338132937991</v>
      </c>
      <c r="AA268" s="6"/>
      <c r="AB268" s="6">
        <f t="shared" si="14"/>
        <v>0</v>
      </c>
      <c r="AC268" s="6">
        <f t="shared" si="15"/>
        <v>0</v>
      </c>
      <c r="AD268" s="6">
        <f t="shared" si="16"/>
        <v>0</v>
      </c>
      <c r="AE268" s="6">
        <f t="shared" ca="1" si="17"/>
        <v>0</v>
      </c>
      <c r="AF268" s="4" t="s">
        <v>841</v>
      </c>
    </row>
    <row r="269" spans="1:32" ht="11.25" customHeight="1" x14ac:dyDescent="0.25">
      <c r="A269" s="4" t="s">
        <v>21</v>
      </c>
      <c r="B269" s="4" t="s">
        <v>35</v>
      </c>
      <c r="C269" s="4" t="s">
        <v>36</v>
      </c>
      <c r="D269" s="4" t="s">
        <v>42</v>
      </c>
      <c r="E269" s="4" t="s">
        <v>25</v>
      </c>
      <c r="F269" s="4" t="s">
        <v>62</v>
      </c>
      <c r="G269" s="4" t="s">
        <v>25</v>
      </c>
      <c r="H269" s="4" t="s">
        <v>38</v>
      </c>
      <c r="I269" s="5">
        <v>44228</v>
      </c>
      <c r="J269" s="6">
        <v>0</v>
      </c>
      <c r="K269" s="6">
        <v>0</v>
      </c>
      <c r="L269" s="6">
        <v>22032.32</v>
      </c>
      <c r="M269" s="6">
        <v>22032.32</v>
      </c>
      <c r="N269" s="6">
        <v>0</v>
      </c>
      <c r="O269" s="6">
        <v>0</v>
      </c>
      <c r="P269" s="6">
        <v>0</v>
      </c>
      <c r="Q269" s="4" t="s">
        <v>60</v>
      </c>
      <c r="R269" s="4">
        <v>0</v>
      </c>
      <c r="S269" s="4">
        <v>0</v>
      </c>
      <c r="T269" s="4">
        <v>19</v>
      </c>
      <c r="U269" s="4">
        <v>0</v>
      </c>
      <c r="V269" s="6">
        <f>IF(ISERROR(VLOOKUP($S$269,'TAR FIN'!$A$1:$O$95,15,0)),0,VLOOKUP($S$269,'TAR FIN'!$A$1:$O$95,15,0))</f>
        <v>0</v>
      </c>
      <c r="W269" s="6">
        <f>IF(ISERROR(VLOOKUP($T$269,'TAR FIN'!$A$1:$O$95,15,0)),0,VLOOKUP($T$269,'TAR FIN'!$A$1:$O$95,15,0))</f>
        <v>149.63</v>
      </c>
      <c r="X269" s="6">
        <f>IF(ISERROR(VLOOKUP($U$269,'TAR FIN'!$A$1:$O$95,15,0)),0,VLOOKUP($U$269,'TAR FIN'!$A$1:$O$95,15,0))</f>
        <v>0</v>
      </c>
      <c r="Y269" s="6"/>
      <c r="Z269" s="6">
        <f ca="1">('TUSD BE'!$AM$17+'TUSD BF'!$AM$17+'TUSD CVA'!$AM$17)*1</f>
        <v>168.51338132937991</v>
      </c>
      <c r="AA269" s="6"/>
      <c r="AB269" s="6">
        <f t="shared" si="14"/>
        <v>0</v>
      </c>
      <c r="AC269" s="6">
        <f t="shared" si="15"/>
        <v>0</v>
      </c>
      <c r="AD269" s="6">
        <f t="shared" si="16"/>
        <v>0</v>
      </c>
      <c r="AE269" s="6">
        <f t="shared" ca="1" si="17"/>
        <v>0</v>
      </c>
      <c r="AF269" s="4" t="s">
        <v>841</v>
      </c>
    </row>
    <row r="270" spans="1:32" ht="11.25" customHeight="1" x14ac:dyDescent="0.25">
      <c r="A270" s="4" t="s">
        <v>21</v>
      </c>
      <c r="B270" s="4" t="s">
        <v>35</v>
      </c>
      <c r="C270" s="4" t="s">
        <v>36</v>
      </c>
      <c r="D270" s="4" t="s">
        <v>42</v>
      </c>
      <c r="E270" s="4" t="s">
        <v>25</v>
      </c>
      <c r="F270" s="4" t="s">
        <v>62</v>
      </c>
      <c r="G270" s="4" t="s">
        <v>25</v>
      </c>
      <c r="H270" s="4" t="s">
        <v>38</v>
      </c>
      <c r="I270" s="5">
        <v>44256</v>
      </c>
      <c r="J270" s="6">
        <v>0</v>
      </c>
      <c r="K270" s="6">
        <v>0</v>
      </c>
      <c r="L270" s="6">
        <v>28997.48</v>
      </c>
      <c r="M270" s="6">
        <v>28997.48</v>
      </c>
      <c r="N270" s="6">
        <v>0</v>
      </c>
      <c r="O270" s="6">
        <v>0</v>
      </c>
      <c r="P270" s="6">
        <v>0</v>
      </c>
      <c r="Q270" s="4" t="s">
        <v>60</v>
      </c>
      <c r="R270" s="4">
        <v>0</v>
      </c>
      <c r="S270" s="4">
        <v>0</v>
      </c>
      <c r="T270" s="4">
        <v>19</v>
      </c>
      <c r="U270" s="4">
        <v>0</v>
      </c>
      <c r="V270" s="6">
        <f>IF(ISERROR(VLOOKUP($S$270,'TAR FIN'!$A$1:$O$95,15,0)),0,VLOOKUP($S$270,'TAR FIN'!$A$1:$O$95,15,0))</f>
        <v>0</v>
      </c>
      <c r="W270" s="6">
        <f>IF(ISERROR(VLOOKUP($T$270,'TAR FIN'!$A$1:$O$95,15,0)),0,VLOOKUP($T$270,'TAR FIN'!$A$1:$O$95,15,0))</f>
        <v>149.63</v>
      </c>
      <c r="X270" s="6">
        <f>IF(ISERROR(VLOOKUP($U$270,'TAR FIN'!$A$1:$O$95,15,0)),0,VLOOKUP($U$270,'TAR FIN'!$A$1:$O$95,15,0))</f>
        <v>0</v>
      </c>
      <c r="Y270" s="6"/>
      <c r="Z270" s="6">
        <f ca="1">('TUSD BE'!$AM$17+'TUSD BF'!$AM$17+'TUSD CVA'!$AM$17)*1</f>
        <v>168.51338132937991</v>
      </c>
      <c r="AA270" s="6"/>
      <c r="AB270" s="6">
        <f t="shared" si="14"/>
        <v>0</v>
      </c>
      <c r="AC270" s="6">
        <f t="shared" si="15"/>
        <v>0</v>
      </c>
      <c r="AD270" s="6">
        <f t="shared" si="16"/>
        <v>0</v>
      </c>
      <c r="AE270" s="6">
        <f t="shared" ca="1" si="17"/>
        <v>0</v>
      </c>
      <c r="AF270" s="4" t="s">
        <v>841</v>
      </c>
    </row>
    <row r="271" spans="1:32" ht="11.25" customHeight="1" x14ac:dyDescent="0.25">
      <c r="A271" s="4" t="s">
        <v>21</v>
      </c>
      <c r="B271" s="4" t="s">
        <v>35</v>
      </c>
      <c r="C271" s="4" t="s">
        <v>36</v>
      </c>
      <c r="D271" s="4" t="s">
        <v>42</v>
      </c>
      <c r="E271" s="4" t="s">
        <v>25</v>
      </c>
      <c r="F271" s="4" t="s">
        <v>62</v>
      </c>
      <c r="G271" s="4" t="s">
        <v>25</v>
      </c>
      <c r="H271" s="4" t="s">
        <v>38</v>
      </c>
      <c r="I271" s="5">
        <v>44287</v>
      </c>
      <c r="J271" s="6">
        <v>0</v>
      </c>
      <c r="K271" s="6">
        <v>0</v>
      </c>
      <c r="L271" s="6">
        <v>28943.581999999999</v>
      </c>
      <c r="M271" s="6">
        <v>28943.581999999999</v>
      </c>
      <c r="N271" s="6">
        <v>0</v>
      </c>
      <c r="O271" s="6">
        <v>0</v>
      </c>
      <c r="P271" s="6">
        <v>0</v>
      </c>
      <c r="Q271" s="4" t="s">
        <v>60</v>
      </c>
      <c r="R271" s="4">
        <v>0</v>
      </c>
      <c r="S271" s="4">
        <v>0</v>
      </c>
      <c r="T271" s="4">
        <v>19</v>
      </c>
      <c r="U271" s="4">
        <v>0</v>
      </c>
      <c r="V271" s="6">
        <f>IF(ISERROR(VLOOKUP($S$271,'TAR FIN'!$A$1:$O$95,15,0)),0,VLOOKUP($S$271,'TAR FIN'!$A$1:$O$95,15,0))</f>
        <v>0</v>
      </c>
      <c r="W271" s="6">
        <f>IF(ISERROR(VLOOKUP($T$271,'TAR FIN'!$A$1:$O$95,15,0)),0,VLOOKUP($T$271,'TAR FIN'!$A$1:$O$95,15,0))</f>
        <v>149.63</v>
      </c>
      <c r="X271" s="6">
        <f>IF(ISERROR(VLOOKUP($U$271,'TAR FIN'!$A$1:$O$95,15,0)),0,VLOOKUP($U$271,'TAR FIN'!$A$1:$O$95,15,0))</f>
        <v>0</v>
      </c>
      <c r="Y271" s="6"/>
      <c r="Z271" s="6">
        <f ca="1">('TUSD BE'!$AM$17+'TUSD BF'!$AM$17+'TUSD CVA'!$AM$17)*1</f>
        <v>168.51338132937991</v>
      </c>
      <c r="AA271" s="6"/>
      <c r="AB271" s="6">
        <f t="shared" si="14"/>
        <v>0</v>
      </c>
      <c r="AC271" s="6">
        <f t="shared" si="15"/>
        <v>0</v>
      </c>
      <c r="AD271" s="6">
        <f t="shared" si="16"/>
        <v>0</v>
      </c>
      <c r="AE271" s="6">
        <f t="shared" ca="1" si="17"/>
        <v>0</v>
      </c>
      <c r="AF271" s="4" t="s">
        <v>841</v>
      </c>
    </row>
    <row r="272" spans="1:32" ht="11.25" customHeight="1" x14ac:dyDescent="0.25">
      <c r="A272" s="4" t="s">
        <v>21</v>
      </c>
      <c r="B272" s="4" t="s">
        <v>35</v>
      </c>
      <c r="C272" s="4" t="s">
        <v>36</v>
      </c>
      <c r="D272" s="4" t="s">
        <v>42</v>
      </c>
      <c r="E272" s="4" t="s">
        <v>25</v>
      </c>
      <c r="F272" s="4" t="s">
        <v>62</v>
      </c>
      <c r="G272" s="4" t="s">
        <v>25</v>
      </c>
      <c r="H272" s="4" t="s">
        <v>38</v>
      </c>
      <c r="I272" s="5">
        <v>44317</v>
      </c>
      <c r="J272" s="6">
        <v>0</v>
      </c>
      <c r="K272" s="6">
        <v>0</v>
      </c>
      <c r="L272" s="6">
        <v>30874.821</v>
      </c>
      <c r="M272" s="6">
        <v>30874.821</v>
      </c>
      <c r="N272" s="6">
        <v>0</v>
      </c>
      <c r="O272" s="6">
        <v>0</v>
      </c>
      <c r="P272" s="6">
        <v>0</v>
      </c>
      <c r="Q272" s="4" t="s">
        <v>60</v>
      </c>
      <c r="R272" s="4">
        <v>0</v>
      </c>
      <c r="S272" s="4">
        <v>0</v>
      </c>
      <c r="T272" s="4">
        <v>19</v>
      </c>
      <c r="U272" s="4">
        <v>0</v>
      </c>
      <c r="V272" s="6">
        <f>IF(ISERROR(VLOOKUP($S$272,'TAR FIN'!$A$1:$O$95,15,0)),0,VLOOKUP($S$272,'TAR FIN'!$A$1:$O$95,15,0))</f>
        <v>0</v>
      </c>
      <c r="W272" s="6">
        <f>IF(ISERROR(VLOOKUP($T$272,'TAR FIN'!$A$1:$O$95,15,0)),0,VLOOKUP($T$272,'TAR FIN'!$A$1:$O$95,15,0))</f>
        <v>149.63</v>
      </c>
      <c r="X272" s="6">
        <f>IF(ISERROR(VLOOKUP($U$272,'TAR FIN'!$A$1:$O$95,15,0)),0,VLOOKUP($U$272,'TAR FIN'!$A$1:$O$95,15,0))</f>
        <v>0</v>
      </c>
      <c r="Y272" s="6"/>
      <c r="Z272" s="6">
        <f ca="1">('TUSD BE'!$AM$17+'TUSD BF'!$AM$17+'TUSD CVA'!$AM$17)*1</f>
        <v>168.51338132937991</v>
      </c>
      <c r="AA272" s="6"/>
      <c r="AB272" s="6">
        <f t="shared" si="14"/>
        <v>0</v>
      </c>
      <c r="AC272" s="6">
        <f t="shared" si="15"/>
        <v>0</v>
      </c>
      <c r="AD272" s="6">
        <f t="shared" si="16"/>
        <v>0</v>
      </c>
      <c r="AE272" s="6">
        <f t="shared" ca="1" si="17"/>
        <v>0</v>
      </c>
      <c r="AF272" s="4" t="s">
        <v>841</v>
      </c>
    </row>
    <row r="273" spans="1:32" ht="11.25" customHeight="1" x14ac:dyDescent="0.25">
      <c r="A273" s="4" t="s">
        <v>21</v>
      </c>
      <c r="B273" s="4" t="s">
        <v>35</v>
      </c>
      <c r="C273" s="4" t="s">
        <v>36</v>
      </c>
      <c r="D273" s="4" t="s">
        <v>42</v>
      </c>
      <c r="E273" s="4" t="s">
        <v>25</v>
      </c>
      <c r="F273" s="4" t="s">
        <v>62</v>
      </c>
      <c r="G273" s="4" t="s">
        <v>25</v>
      </c>
      <c r="H273" s="4" t="s">
        <v>38</v>
      </c>
      <c r="I273" s="5">
        <v>44348</v>
      </c>
      <c r="J273" s="6">
        <v>0</v>
      </c>
      <c r="K273" s="6">
        <v>0</v>
      </c>
      <c r="L273" s="6">
        <v>21403.15</v>
      </c>
      <c r="M273" s="6">
        <v>21403.15</v>
      </c>
      <c r="N273" s="6">
        <v>0</v>
      </c>
      <c r="O273" s="6">
        <v>0</v>
      </c>
      <c r="P273" s="6">
        <v>0</v>
      </c>
      <c r="Q273" s="4" t="s">
        <v>60</v>
      </c>
      <c r="R273" s="4">
        <v>0</v>
      </c>
      <c r="S273" s="4">
        <v>0</v>
      </c>
      <c r="T273" s="4">
        <v>19</v>
      </c>
      <c r="U273" s="4">
        <v>0</v>
      </c>
      <c r="V273" s="6">
        <f>IF(ISERROR(VLOOKUP($S$273,'TAR FIN'!$A$1:$O$95,15,0)),0,VLOOKUP($S$273,'TAR FIN'!$A$1:$O$95,15,0))</f>
        <v>0</v>
      </c>
      <c r="W273" s="6">
        <f>IF(ISERROR(VLOOKUP($T$273,'TAR FIN'!$A$1:$O$95,15,0)),0,VLOOKUP($T$273,'TAR FIN'!$A$1:$O$95,15,0))</f>
        <v>149.63</v>
      </c>
      <c r="X273" s="6">
        <f>IF(ISERROR(VLOOKUP($U$273,'TAR FIN'!$A$1:$O$95,15,0)),0,VLOOKUP($U$273,'TAR FIN'!$A$1:$O$95,15,0))</f>
        <v>0</v>
      </c>
      <c r="Y273" s="6"/>
      <c r="Z273" s="6">
        <f ca="1">('TUSD BE'!$AM$17+'TUSD BF'!$AM$17+'TUSD CVA'!$AM$17)*1</f>
        <v>168.51338132937991</v>
      </c>
      <c r="AA273" s="6"/>
      <c r="AB273" s="6">
        <f t="shared" si="14"/>
        <v>0</v>
      </c>
      <c r="AC273" s="6">
        <f t="shared" si="15"/>
        <v>0</v>
      </c>
      <c r="AD273" s="6">
        <f t="shared" si="16"/>
        <v>0</v>
      </c>
      <c r="AE273" s="6">
        <f t="shared" ca="1" si="17"/>
        <v>0</v>
      </c>
      <c r="AF273" s="4" t="s">
        <v>841</v>
      </c>
    </row>
    <row r="274" spans="1:32" ht="11.25" customHeight="1" x14ac:dyDescent="0.25">
      <c r="A274" s="4" t="s">
        <v>21</v>
      </c>
      <c r="B274" s="4" t="s">
        <v>35</v>
      </c>
      <c r="C274" s="4" t="s">
        <v>36</v>
      </c>
      <c r="D274" s="4" t="s">
        <v>42</v>
      </c>
      <c r="E274" s="4" t="s">
        <v>25</v>
      </c>
      <c r="F274" s="4" t="s">
        <v>62</v>
      </c>
      <c r="G274" s="4" t="s">
        <v>25</v>
      </c>
      <c r="H274" s="4" t="s">
        <v>38</v>
      </c>
      <c r="I274" s="5">
        <v>44378</v>
      </c>
      <c r="J274" s="6">
        <v>0</v>
      </c>
      <c r="K274" s="6">
        <v>0</v>
      </c>
      <c r="L274" s="6">
        <v>31734.306</v>
      </c>
      <c r="M274" s="6">
        <v>31734.306</v>
      </c>
      <c r="N274" s="6">
        <v>0</v>
      </c>
      <c r="O274" s="6">
        <v>0</v>
      </c>
      <c r="P274" s="6">
        <v>0</v>
      </c>
      <c r="Q274" s="4" t="s">
        <v>60</v>
      </c>
      <c r="R274" s="4">
        <v>0</v>
      </c>
      <c r="S274" s="4">
        <v>0</v>
      </c>
      <c r="T274" s="4">
        <v>19</v>
      </c>
      <c r="U274" s="4">
        <v>0</v>
      </c>
      <c r="V274" s="6">
        <f>IF(ISERROR(VLOOKUP($S$274,'TAR FIN'!$A$1:$O$95,15,0)),0,VLOOKUP($S$274,'TAR FIN'!$A$1:$O$95,15,0))</f>
        <v>0</v>
      </c>
      <c r="W274" s="6">
        <f>IF(ISERROR(VLOOKUP($T$274,'TAR FIN'!$A$1:$O$95,15,0)),0,VLOOKUP($T$274,'TAR FIN'!$A$1:$O$95,15,0))</f>
        <v>149.63</v>
      </c>
      <c r="X274" s="6">
        <f>IF(ISERROR(VLOOKUP($U$274,'TAR FIN'!$A$1:$O$95,15,0)),0,VLOOKUP($U$274,'TAR FIN'!$A$1:$O$95,15,0))</f>
        <v>0</v>
      </c>
      <c r="Y274" s="6"/>
      <c r="Z274" s="6">
        <f ca="1">('TUSD BE'!$AM$17+'TUSD BF'!$AM$17+'TUSD CVA'!$AM$17)*1</f>
        <v>168.51338132937991</v>
      </c>
      <c r="AA274" s="6"/>
      <c r="AB274" s="6">
        <f t="shared" si="14"/>
        <v>0</v>
      </c>
      <c r="AC274" s="6">
        <f t="shared" si="15"/>
        <v>0</v>
      </c>
      <c r="AD274" s="6">
        <f t="shared" si="16"/>
        <v>0</v>
      </c>
      <c r="AE274" s="6">
        <f t="shared" ca="1" si="17"/>
        <v>0</v>
      </c>
      <c r="AF274" s="4" t="s">
        <v>841</v>
      </c>
    </row>
    <row r="275" spans="1:32" ht="11.25" customHeight="1" x14ac:dyDescent="0.25">
      <c r="A275" s="4" t="s">
        <v>21</v>
      </c>
      <c r="B275" s="4" t="s">
        <v>35</v>
      </c>
      <c r="C275" s="4" t="s">
        <v>36</v>
      </c>
      <c r="D275" s="4" t="s">
        <v>42</v>
      </c>
      <c r="E275" s="4" t="s">
        <v>25</v>
      </c>
      <c r="F275" s="4" t="s">
        <v>62</v>
      </c>
      <c r="G275" s="4" t="s">
        <v>25</v>
      </c>
      <c r="H275" s="4" t="s">
        <v>38</v>
      </c>
      <c r="I275" s="5">
        <v>44409</v>
      </c>
      <c r="J275" s="6">
        <v>0</v>
      </c>
      <c r="K275" s="6">
        <v>0</v>
      </c>
      <c r="L275" s="6">
        <v>32571.826000000001</v>
      </c>
      <c r="M275" s="6">
        <v>32571.826000000001</v>
      </c>
      <c r="N275" s="6">
        <v>0</v>
      </c>
      <c r="O275" s="6">
        <v>0</v>
      </c>
      <c r="P275" s="6">
        <v>0</v>
      </c>
      <c r="Q275" s="4" t="s">
        <v>60</v>
      </c>
      <c r="R275" s="4">
        <v>0</v>
      </c>
      <c r="S275" s="4">
        <v>0</v>
      </c>
      <c r="T275" s="4">
        <v>19</v>
      </c>
      <c r="U275" s="4">
        <v>0</v>
      </c>
      <c r="V275" s="6">
        <f>IF(ISERROR(VLOOKUP($S$275,'TAR FIN'!$A$1:$O$95,15,0)),0,VLOOKUP($S$275,'TAR FIN'!$A$1:$O$95,15,0))</f>
        <v>0</v>
      </c>
      <c r="W275" s="6">
        <f>IF(ISERROR(VLOOKUP($T$275,'TAR FIN'!$A$1:$O$95,15,0)),0,VLOOKUP($T$275,'TAR FIN'!$A$1:$O$95,15,0))</f>
        <v>149.63</v>
      </c>
      <c r="X275" s="6">
        <f>IF(ISERROR(VLOOKUP($U$275,'TAR FIN'!$A$1:$O$95,15,0)),0,VLOOKUP($U$275,'TAR FIN'!$A$1:$O$95,15,0))</f>
        <v>0</v>
      </c>
      <c r="Y275" s="6"/>
      <c r="Z275" s="6">
        <f ca="1">('TUSD BE'!$AM$17+'TUSD BF'!$AM$17+'TUSD CVA'!$AM$17)*1</f>
        <v>168.51338132937991</v>
      </c>
      <c r="AA275" s="6"/>
      <c r="AB275" s="6">
        <f t="shared" si="14"/>
        <v>0</v>
      </c>
      <c r="AC275" s="6">
        <f t="shared" si="15"/>
        <v>0</v>
      </c>
      <c r="AD275" s="6">
        <f t="shared" si="16"/>
        <v>0</v>
      </c>
      <c r="AE275" s="6">
        <f t="shared" ca="1" si="17"/>
        <v>0</v>
      </c>
      <c r="AF275" s="4" t="s">
        <v>841</v>
      </c>
    </row>
    <row r="276" spans="1:32" ht="11.25" customHeight="1" x14ac:dyDescent="0.25">
      <c r="A276" s="4" t="s">
        <v>21</v>
      </c>
      <c r="B276" s="4" t="s">
        <v>35</v>
      </c>
      <c r="C276" s="4" t="s">
        <v>36</v>
      </c>
      <c r="D276" s="4" t="s">
        <v>42</v>
      </c>
      <c r="E276" s="4" t="s">
        <v>25</v>
      </c>
      <c r="F276" s="4" t="s">
        <v>62</v>
      </c>
      <c r="G276" s="4" t="s">
        <v>25</v>
      </c>
      <c r="H276" s="4" t="s">
        <v>38</v>
      </c>
      <c r="I276" s="5">
        <v>44440</v>
      </c>
      <c r="J276" s="6">
        <v>0</v>
      </c>
      <c r="K276" s="6">
        <v>0</v>
      </c>
      <c r="L276" s="6">
        <v>32074.414000000001</v>
      </c>
      <c r="M276" s="6">
        <v>32074.414000000001</v>
      </c>
      <c r="N276" s="6">
        <v>0</v>
      </c>
      <c r="O276" s="6">
        <v>0</v>
      </c>
      <c r="P276" s="6">
        <v>0</v>
      </c>
      <c r="Q276" s="4" t="s">
        <v>60</v>
      </c>
      <c r="R276" s="4">
        <v>0</v>
      </c>
      <c r="S276" s="4">
        <v>0</v>
      </c>
      <c r="T276" s="4">
        <v>19</v>
      </c>
      <c r="U276" s="4">
        <v>0</v>
      </c>
      <c r="V276" s="6">
        <f>IF(ISERROR(VLOOKUP($S$276,'TAR FIN'!$A$1:$O$95,15,0)),0,VLOOKUP($S$276,'TAR FIN'!$A$1:$O$95,15,0))</f>
        <v>0</v>
      </c>
      <c r="W276" s="6">
        <f>IF(ISERROR(VLOOKUP($T$276,'TAR FIN'!$A$1:$O$95,15,0)),0,VLOOKUP($T$276,'TAR FIN'!$A$1:$O$95,15,0))</f>
        <v>149.63</v>
      </c>
      <c r="X276" s="6">
        <f>IF(ISERROR(VLOOKUP($U$276,'TAR FIN'!$A$1:$O$95,15,0)),0,VLOOKUP($U$276,'TAR FIN'!$A$1:$O$95,15,0))</f>
        <v>0</v>
      </c>
      <c r="Y276" s="6"/>
      <c r="Z276" s="6">
        <f ca="1">('TUSD BE'!$AM$17+'TUSD BF'!$AM$17+'TUSD CVA'!$AM$17)*1</f>
        <v>168.51338132937991</v>
      </c>
      <c r="AA276" s="6"/>
      <c r="AB276" s="6">
        <f t="shared" si="14"/>
        <v>0</v>
      </c>
      <c r="AC276" s="6">
        <f t="shared" si="15"/>
        <v>0</v>
      </c>
      <c r="AD276" s="6">
        <f t="shared" si="16"/>
        <v>0</v>
      </c>
      <c r="AE276" s="6">
        <f t="shared" ca="1" si="17"/>
        <v>0</v>
      </c>
      <c r="AF276" s="4" t="s">
        <v>841</v>
      </c>
    </row>
    <row r="277" spans="1:32" ht="11.25" customHeight="1" x14ac:dyDescent="0.25">
      <c r="A277" s="4" t="s">
        <v>59</v>
      </c>
      <c r="B277" s="4" t="s">
        <v>35</v>
      </c>
      <c r="C277" s="4" t="s">
        <v>36</v>
      </c>
      <c r="D277" s="4" t="s">
        <v>42</v>
      </c>
      <c r="E277" s="4" t="s">
        <v>25</v>
      </c>
      <c r="F277" s="4" t="s">
        <v>62</v>
      </c>
      <c r="G277" s="4" t="s">
        <v>25</v>
      </c>
      <c r="H277" s="4" t="s">
        <v>38</v>
      </c>
      <c r="I277" s="5">
        <v>44470</v>
      </c>
      <c r="J277" s="6">
        <v>0</v>
      </c>
      <c r="K277" s="6">
        <v>0</v>
      </c>
      <c r="L277" s="6">
        <v>32074.414000000001</v>
      </c>
      <c r="M277" s="6">
        <v>32074.414000000001</v>
      </c>
      <c r="N277" s="6">
        <v>0</v>
      </c>
      <c r="O277" s="6">
        <v>0</v>
      </c>
      <c r="P277" s="6">
        <v>0</v>
      </c>
      <c r="Q277" s="4" t="s">
        <v>60</v>
      </c>
      <c r="R277" s="4">
        <v>0</v>
      </c>
      <c r="S277" s="4">
        <v>0</v>
      </c>
      <c r="T277" s="4">
        <v>19</v>
      </c>
      <c r="U277" s="4">
        <v>0</v>
      </c>
      <c r="V277" s="6">
        <f>IF(ISERROR(VLOOKUP($S$277,'TAR FIN'!$A$1:$O$95,15,0)),0,VLOOKUP($S$277,'TAR FIN'!$A$1:$O$95,15,0))</f>
        <v>0</v>
      </c>
      <c r="W277" s="6">
        <f>IF(ISERROR(VLOOKUP($T$277,'TAR FIN'!$A$1:$O$95,15,0)),0,VLOOKUP($T$277,'TAR FIN'!$A$1:$O$95,15,0))</f>
        <v>149.63</v>
      </c>
      <c r="X277" s="6">
        <f>IF(ISERROR(VLOOKUP($U$277,'TAR FIN'!$A$1:$O$95,15,0)),0,VLOOKUP($U$277,'TAR FIN'!$A$1:$O$95,15,0))</f>
        <v>0</v>
      </c>
      <c r="Y277" s="6"/>
      <c r="Z277" s="6">
        <f ca="1">('TUSD BE'!$AM$17+'TUSD BF'!$AM$17+'TUSD CVA'!$AM$17)*1</f>
        <v>168.51338132937991</v>
      </c>
      <c r="AA277" s="6"/>
      <c r="AB277" s="6">
        <f t="shared" si="14"/>
        <v>0</v>
      </c>
      <c r="AC277" s="6">
        <f t="shared" si="15"/>
        <v>0</v>
      </c>
      <c r="AD277" s="6">
        <f t="shared" si="16"/>
        <v>0</v>
      </c>
      <c r="AE277" s="6">
        <f t="shared" ca="1" si="17"/>
        <v>0</v>
      </c>
      <c r="AF277" s="4" t="s">
        <v>841</v>
      </c>
    </row>
    <row r="278" spans="1:32" ht="11.25" customHeight="1" x14ac:dyDescent="0.25">
      <c r="A278" s="4" t="s">
        <v>21</v>
      </c>
      <c r="B278" s="4" t="s">
        <v>35</v>
      </c>
      <c r="C278" s="4" t="s">
        <v>36</v>
      </c>
      <c r="D278" s="4" t="s">
        <v>42</v>
      </c>
      <c r="E278" s="4" t="s">
        <v>25</v>
      </c>
      <c r="F278" s="4" t="s">
        <v>62</v>
      </c>
      <c r="G278" s="4" t="s">
        <v>25</v>
      </c>
      <c r="H278" s="4" t="s">
        <v>25</v>
      </c>
      <c r="I278" s="5">
        <v>44136</v>
      </c>
      <c r="J278" s="6">
        <v>101900</v>
      </c>
      <c r="K278" s="6">
        <v>52060.71</v>
      </c>
      <c r="L278" s="6">
        <v>0</v>
      </c>
      <c r="M278" s="6">
        <v>0</v>
      </c>
      <c r="N278" s="6">
        <v>0</v>
      </c>
      <c r="O278" s="6">
        <v>0</v>
      </c>
      <c r="P278" s="6">
        <v>123</v>
      </c>
      <c r="Q278" s="4" t="s">
        <v>60</v>
      </c>
      <c r="R278" s="4">
        <v>0</v>
      </c>
      <c r="S278" s="4">
        <v>23</v>
      </c>
      <c r="T278" s="4">
        <v>0</v>
      </c>
      <c r="U278" s="4">
        <v>0</v>
      </c>
      <c r="V278" s="6">
        <f>IF(ISERROR(VLOOKUP($S$278,'TAR FIN'!$A$1:$O$95,15,0)),0,VLOOKUP($S$278,'TAR FIN'!$A$1:$O$95,15,0))</f>
        <v>28.57</v>
      </c>
      <c r="W278" s="6">
        <f>IF(ISERROR(VLOOKUP($T$278,'TAR FIN'!$A$1:$O$95,15,0)),0,VLOOKUP($T$278,'TAR FIN'!$A$1:$O$95,15,0))</f>
        <v>0</v>
      </c>
      <c r="X278" s="6">
        <f>IF(ISERROR(VLOOKUP($U$278,'TAR FIN'!$A$1:$O$95,15,0)),0,VLOOKUP($U$278,'TAR FIN'!$A$1:$O$95,15,0))</f>
        <v>0</v>
      </c>
      <c r="Y278" s="6">
        <f ca="1">('TUSD BE'!$AM$15+'TUSD BF'!$AM$15+'TUSD CVA'!$AM$15)*1</f>
        <v>31.93064187172984</v>
      </c>
      <c r="Z278" s="6"/>
      <c r="AA278" s="6"/>
      <c r="AB278" s="6">
        <f t="shared" si="14"/>
        <v>1423908.5153000001</v>
      </c>
      <c r="AC278" s="6">
        <f t="shared" si="15"/>
        <v>0</v>
      </c>
      <c r="AD278" s="6">
        <f t="shared" ca="1" si="16"/>
        <v>1591400.5201312862</v>
      </c>
      <c r="AE278" s="6">
        <f t="shared" si="17"/>
        <v>0</v>
      </c>
      <c r="AF278" s="4" t="s">
        <v>841</v>
      </c>
    </row>
    <row r="279" spans="1:32" ht="11.25" customHeight="1" x14ac:dyDescent="0.25">
      <c r="A279" s="4" t="s">
        <v>21</v>
      </c>
      <c r="B279" s="4" t="s">
        <v>35</v>
      </c>
      <c r="C279" s="4" t="s">
        <v>36</v>
      </c>
      <c r="D279" s="4" t="s">
        <v>42</v>
      </c>
      <c r="E279" s="4" t="s">
        <v>25</v>
      </c>
      <c r="F279" s="4" t="s">
        <v>62</v>
      </c>
      <c r="G279" s="4" t="s">
        <v>25</v>
      </c>
      <c r="H279" s="4" t="s">
        <v>25</v>
      </c>
      <c r="I279" s="5">
        <v>44166</v>
      </c>
      <c r="J279" s="6">
        <v>97385</v>
      </c>
      <c r="K279" s="6">
        <v>47932.896999999997</v>
      </c>
      <c r="L279" s="6">
        <v>0</v>
      </c>
      <c r="M279" s="6">
        <v>0</v>
      </c>
      <c r="N279" s="6">
        <v>0</v>
      </c>
      <c r="O279" s="6">
        <v>0</v>
      </c>
      <c r="P279" s="6">
        <v>123</v>
      </c>
      <c r="Q279" s="4" t="s">
        <v>60</v>
      </c>
      <c r="R279" s="4">
        <v>0</v>
      </c>
      <c r="S279" s="4">
        <v>23</v>
      </c>
      <c r="T279" s="4">
        <v>0</v>
      </c>
      <c r="U279" s="4">
        <v>0</v>
      </c>
      <c r="V279" s="6">
        <f>IF(ISERROR(VLOOKUP($S$279,'TAR FIN'!$A$1:$O$95,15,0)),0,VLOOKUP($S$279,'TAR FIN'!$A$1:$O$95,15,0))</f>
        <v>28.57</v>
      </c>
      <c r="W279" s="6">
        <f>IF(ISERROR(VLOOKUP($T$279,'TAR FIN'!$A$1:$O$95,15,0)),0,VLOOKUP($T$279,'TAR FIN'!$A$1:$O$95,15,0))</f>
        <v>0</v>
      </c>
      <c r="X279" s="6">
        <f>IF(ISERROR(VLOOKUP($U$279,'TAR FIN'!$A$1:$O$95,15,0)),0,VLOOKUP($U$279,'TAR FIN'!$A$1:$O$95,15,0))</f>
        <v>0</v>
      </c>
      <c r="Y279" s="6">
        <f ca="1">('TUSD BE'!$AM$15+'TUSD BF'!$AM$15+'TUSD CVA'!$AM$15)*1</f>
        <v>31.93064187172984</v>
      </c>
      <c r="Z279" s="6"/>
      <c r="AA279" s="6"/>
      <c r="AB279" s="6">
        <f t="shared" si="14"/>
        <v>1412846.58271</v>
      </c>
      <c r="AC279" s="6">
        <f t="shared" si="15"/>
        <v>0</v>
      </c>
      <c r="AD279" s="6">
        <f t="shared" ca="1" si="16"/>
        <v>1579037.3906968969</v>
      </c>
      <c r="AE279" s="6">
        <f t="shared" si="17"/>
        <v>0</v>
      </c>
      <c r="AF279" s="4" t="s">
        <v>841</v>
      </c>
    </row>
    <row r="280" spans="1:32" ht="11.25" customHeight="1" x14ac:dyDescent="0.25">
      <c r="A280" s="4" t="s">
        <v>21</v>
      </c>
      <c r="B280" s="4" t="s">
        <v>35</v>
      </c>
      <c r="C280" s="4" t="s">
        <v>36</v>
      </c>
      <c r="D280" s="4" t="s">
        <v>42</v>
      </c>
      <c r="E280" s="4" t="s">
        <v>25</v>
      </c>
      <c r="F280" s="4" t="s">
        <v>62</v>
      </c>
      <c r="G280" s="4" t="s">
        <v>25</v>
      </c>
      <c r="H280" s="4" t="s">
        <v>25</v>
      </c>
      <c r="I280" s="5">
        <v>44197</v>
      </c>
      <c r="J280" s="6">
        <v>97560</v>
      </c>
      <c r="K280" s="6">
        <v>49140.972000000002</v>
      </c>
      <c r="L280" s="6">
        <v>0</v>
      </c>
      <c r="M280" s="6">
        <v>0</v>
      </c>
      <c r="N280" s="6">
        <v>0</v>
      </c>
      <c r="O280" s="6">
        <v>0</v>
      </c>
      <c r="P280" s="6">
        <v>124</v>
      </c>
      <c r="Q280" s="4" t="s">
        <v>60</v>
      </c>
      <c r="R280" s="4">
        <v>0</v>
      </c>
      <c r="S280" s="4">
        <v>23</v>
      </c>
      <c r="T280" s="4">
        <v>0</v>
      </c>
      <c r="U280" s="4">
        <v>0</v>
      </c>
      <c r="V280" s="6">
        <f>IF(ISERROR(VLOOKUP($S$280,'TAR FIN'!$A$1:$O$95,15,0)),0,VLOOKUP($S$280,'TAR FIN'!$A$1:$O$95,15,0))</f>
        <v>28.57</v>
      </c>
      <c r="W280" s="6">
        <f>IF(ISERROR(VLOOKUP($T$280,'TAR FIN'!$A$1:$O$95,15,0)),0,VLOOKUP($T$280,'TAR FIN'!$A$1:$O$95,15,0))</f>
        <v>0</v>
      </c>
      <c r="X280" s="6">
        <f>IF(ISERROR(VLOOKUP($U$280,'TAR FIN'!$A$1:$O$95,15,0)),0,VLOOKUP($U$280,'TAR FIN'!$A$1:$O$95,15,0))</f>
        <v>0</v>
      </c>
      <c r="Y280" s="6">
        <f ca="1">('TUSD BE'!$AM$15+'TUSD BF'!$AM$15+'TUSD CVA'!$AM$15)*1</f>
        <v>31.93064187172984</v>
      </c>
      <c r="Z280" s="6"/>
      <c r="AA280" s="6"/>
      <c r="AB280" s="6">
        <f t="shared" si="14"/>
        <v>1383331.62996</v>
      </c>
      <c r="AC280" s="6">
        <f t="shared" si="15"/>
        <v>0</v>
      </c>
      <c r="AD280" s="6">
        <f t="shared" ca="1" si="16"/>
        <v>1546050.6428452595</v>
      </c>
      <c r="AE280" s="6">
        <f t="shared" si="17"/>
        <v>0</v>
      </c>
      <c r="AF280" s="4" t="s">
        <v>841</v>
      </c>
    </row>
    <row r="281" spans="1:32" ht="11.25" customHeight="1" x14ac:dyDescent="0.25">
      <c r="A281" s="4" t="s">
        <v>21</v>
      </c>
      <c r="B281" s="4" t="s">
        <v>35</v>
      </c>
      <c r="C281" s="4" t="s">
        <v>36</v>
      </c>
      <c r="D281" s="4" t="s">
        <v>42</v>
      </c>
      <c r="E281" s="4" t="s">
        <v>25</v>
      </c>
      <c r="F281" s="4" t="s">
        <v>62</v>
      </c>
      <c r="G281" s="4" t="s">
        <v>25</v>
      </c>
      <c r="H281" s="4" t="s">
        <v>25</v>
      </c>
      <c r="I281" s="5">
        <v>44228</v>
      </c>
      <c r="J281" s="6">
        <v>101350</v>
      </c>
      <c r="K281" s="6">
        <v>50279.735000000001</v>
      </c>
      <c r="L281" s="6">
        <v>0</v>
      </c>
      <c r="M281" s="6">
        <v>0</v>
      </c>
      <c r="N281" s="6">
        <v>0</v>
      </c>
      <c r="O281" s="6">
        <v>0</v>
      </c>
      <c r="P281" s="6">
        <v>127</v>
      </c>
      <c r="Q281" s="4" t="s">
        <v>60</v>
      </c>
      <c r="R281" s="4">
        <v>0</v>
      </c>
      <c r="S281" s="4">
        <v>23</v>
      </c>
      <c r="T281" s="4">
        <v>0</v>
      </c>
      <c r="U281" s="4">
        <v>0</v>
      </c>
      <c r="V281" s="6">
        <f>IF(ISERROR(VLOOKUP($S$281,'TAR FIN'!$A$1:$O$95,15,0)),0,VLOOKUP($S$281,'TAR FIN'!$A$1:$O$95,15,0))</f>
        <v>28.57</v>
      </c>
      <c r="W281" s="6">
        <f>IF(ISERROR(VLOOKUP($T$281,'TAR FIN'!$A$1:$O$95,15,0)),0,VLOOKUP($T$281,'TAR FIN'!$A$1:$O$95,15,0))</f>
        <v>0</v>
      </c>
      <c r="X281" s="6">
        <f>IF(ISERROR(VLOOKUP($U$281,'TAR FIN'!$A$1:$O$95,15,0)),0,VLOOKUP($U$281,'TAR FIN'!$A$1:$O$95,15,0))</f>
        <v>0</v>
      </c>
      <c r="Y281" s="6">
        <f ca="1">('TUSD BE'!$AM$15+'TUSD BF'!$AM$15+'TUSD CVA'!$AM$15)*1</f>
        <v>31.93064187172984</v>
      </c>
      <c r="Z281" s="6"/>
      <c r="AA281" s="6"/>
      <c r="AB281" s="6">
        <f t="shared" si="14"/>
        <v>1459077.4710500001</v>
      </c>
      <c r="AC281" s="6">
        <f t="shared" si="15"/>
        <v>0</v>
      </c>
      <c r="AD281" s="6">
        <f t="shared" ca="1" si="16"/>
        <v>1630706.342009339</v>
      </c>
      <c r="AE281" s="6">
        <f t="shared" si="17"/>
        <v>0</v>
      </c>
      <c r="AF281" s="4" t="s">
        <v>841</v>
      </c>
    </row>
    <row r="282" spans="1:32" ht="11.25" customHeight="1" x14ac:dyDescent="0.25">
      <c r="A282" s="4" t="s">
        <v>21</v>
      </c>
      <c r="B282" s="4" t="s">
        <v>35</v>
      </c>
      <c r="C282" s="4" t="s">
        <v>36</v>
      </c>
      <c r="D282" s="4" t="s">
        <v>42</v>
      </c>
      <c r="E282" s="4" t="s">
        <v>25</v>
      </c>
      <c r="F282" s="4" t="s">
        <v>62</v>
      </c>
      <c r="G282" s="4" t="s">
        <v>25</v>
      </c>
      <c r="H282" s="4" t="s">
        <v>25</v>
      </c>
      <c r="I282" s="5">
        <v>44256</v>
      </c>
      <c r="J282" s="6">
        <v>102537</v>
      </c>
      <c r="K282" s="6">
        <v>49709.937599999997</v>
      </c>
      <c r="L282" s="6">
        <v>0</v>
      </c>
      <c r="M282" s="6">
        <v>0</v>
      </c>
      <c r="N282" s="6">
        <v>0</v>
      </c>
      <c r="O282" s="6">
        <v>0</v>
      </c>
      <c r="P282" s="6">
        <v>129</v>
      </c>
      <c r="Q282" s="4" t="s">
        <v>60</v>
      </c>
      <c r="R282" s="4">
        <v>0</v>
      </c>
      <c r="S282" s="4">
        <v>23</v>
      </c>
      <c r="T282" s="4">
        <v>0</v>
      </c>
      <c r="U282" s="4">
        <v>0</v>
      </c>
      <c r="V282" s="6">
        <f>IF(ISERROR(VLOOKUP($S$282,'TAR FIN'!$A$1:$O$95,15,0)),0,VLOOKUP($S$282,'TAR FIN'!$A$1:$O$95,15,0))</f>
        <v>28.57</v>
      </c>
      <c r="W282" s="6">
        <f>IF(ISERROR(VLOOKUP($T$282,'TAR FIN'!$A$1:$O$95,15,0)),0,VLOOKUP($T$282,'TAR FIN'!$A$1:$O$95,15,0))</f>
        <v>0</v>
      </c>
      <c r="X282" s="6">
        <f>IF(ISERROR(VLOOKUP($U$282,'TAR FIN'!$A$1:$O$95,15,0)),0,VLOOKUP($U$282,'TAR FIN'!$A$1:$O$95,15,0))</f>
        <v>0</v>
      </c>
      <c r="Y282" s="6">
        <f ca="1">('TUSD BE'!$AM$15+'TUSD BF'!$AM$15+'TUSD CVA'!$AM$15)*1</f>
        <v>31.93064187172984</v>
      </c>
      <c r="Z282" s="6"/>
      <c r="AA282" s="6"/>
      <c r="AB282" s="6">
        <f t="shared" si="14"/>
        <v>1509269.172768</v>
      </c>
      <c r="AC282" s="6">
        <f t="shared" si="15"/>
        <v>0</v>
      </c>
      <c r="AD282" s="6">
        <f t="shared" ca="1" si="16"/>
        <v>1686802.0106299252</v>
      </c>
      <c r="AE282" s="6">
        <f t="shared" si="17"/>
        <v>0</v>
      </c>
      <c r="AF282" s="4" t="s">
        <v>841</v>
      </c>
    </row>
    <row r="283" spans="1:32" ht="11.25" customHeight="1" x14ac:dyDescent="0.25">
      <c r="A283" s="4" t="s">
        <v>21</v>
      </c>
      <c r="B283" s="4" t="s">
        <v>35</v>
      </c>
      <c r="C283" s="4" t="s">
        <v>36</v>
      </c>
      <c r="D283" s="4" t="s">
        <v>42</v>
      </c>
      <c r="E283" s="4" t="s">
        <v>25</v>
      </c>
      <c r="F283" s="4" t="s">
        <v>62</v>
      </c>
      <c r="G283" s="4" t="s">
        <v>25</v>
      </c>
      <c r="H283" s="4" t="s">
        <v>25</v>
      </c>
      <c r="I283" s="5">
        <v>44287</v>
      </c>
      <c r="J283" s="6">
        <v>108267</v>
      </c>
      <c r="K283" s="6">
        <v>51318.557999999997</v>
      </c>
      <c r="L283" s="6">
        <v>0</v>
      </c>
      <c r="M283" s="6">
        <v>0</v>
      </c>
      <c r="N283" s="6">
        <v>0</v>
      </c>
      <c r="O283" s="6">
        <v>0</v>
      </c>
      <c r="P283" s="6">
        <v>134</v>
      </c>
      <c r="Q283" s="4" t="s">
        <v>60</v>
      </c>
      <c r="R283" s="4">
        <v>0</v>
      </c>
      <c r="S283" s="4">
        <v>23</v>
      </c>
      <c r="T283" s="4">
        <v>0</v>
      </c>
      <c r="U283" s="4">
        <v>0</v>
      </c>
      <c r="V283" s="6">
        <f>IF(ISERROR(VLOOKUP($S$283,'TAR FIN'!$A$1:$O$95,15,0)),0,VLOOKUP($S$283,'TAR FIN'!$A$1:$O$95,15,0))</f>
        <v>28.57</v>
      </c>
      <c r="W283" s="6">
        <f>IF(ISERROR(VLOOKUP($T$283,'TAR FIN'!$A$1:$O$95,15,0)),0,VLOOKUP($T$283,'TAR FIN'!$A$1:$O$95,15,0))</f>
        <v>0</v>
      </c>
      <c r="X283" s="6">
        <f>IF(ISERROR(VLOOKUP($U$283,'TAR FIN'!$A$1:$O$95,15,0)),0,VLOOKUP($U$283,'TAR FIN'!$A$1:$O$95,15,0))</f>
        <v>0</v>
      </c>
      <c r="Y283" s="6">
        <f ca="1">('TUSD BE'!$AM$15+'TUSD BF'!$AM$15+'TUSD CVA'!$AM$15)*1</f>
        <v>31.93064187172984</v>
      </c>
      <c r="Z283" s="6"/>
      <c r="AA283" s="6"/>
      <c r="AB283" s="6">
        <f t="shared" si="14"/>
        <v>1627016.9879400001</v>
      </c>
      <c r="AC283" s="6">
        <f t="shared" si="15"/>
        <v>0</v>
      </c>
      <c r="AD283" s="6">
        <f t="shared" ca="1" si="16"/>
        <v>1818400.3066549783</v>
      </c>
      <c r="AE283" s="6">
        <f t="shared" si="17"/>
        <v>0</v>
      </c>
      <c r="AF283" s="4" t="s">
        <v>841</v>
      </c>
    </row>
    <row r="284" spans="1:32" ht="11.25" customHeight="1" x14ac:dyDescent="0.25">
      <c r="A284" s="4" t="s">
        <v>21</v>
      </c>
      <c r="B284" s="4" t="s">
        <v>35</v>
      </c>
      <c r="C284" s="4" t="s">
        <v>36</v>
      </c>
      <c r="D284" s="4" t="s">
        <v>42</v>
      </c>
      <c r="E284" s="4" t="s">
        <v>25</v>
      </c>
      <c r="F284" s="4" t="s">
        <v>62</v>
      </c>
      <c r="G284" s="4" t="s">
        <v>25</v>
      </c>
      <c r="H284" s="4" t="s">
        <v>25</v>
      </c>
      <c r="I284" s="5">
        <v>44317</v>
      </c>
      <c r="J284" s="6">
        <v>110368</v>
      </c>
      <c r="K284" s="6">
        <v>52766.940799999997</v>
      </c>
      <c r="L284" s="6">
        <v>0</v>
      </c>
      <c r="M284" s="6">
        <v>0</v>
      </c>
      <c r="N284" s="6">
        <v>0</v>
      </c>
      <c r="O284" s="6">
        <v>0</v>
      </c>
      <c r="P284" s="6">
        <v>136</v>
      </c>
      <c r="Q284" s="4" t="s">
        <v>60</v>
      </c>
      <c r="R284" s="4">
        <v>0</v>
      </c>
      <c r="S284" s="4">
        <v>23</v>
      </c>
      <c r="T284" s="4">
        <v>0</v>
      </c>
      <c r="U284" s="4">
        <v>0</v>
      </c>
      <c r="V284" s="6">
        <f>IF(ISERROR(VLOOKUP($S$284,'TAR FIN'!$A$1:$O$95,15,0)),0,VLOOKUP($S$284,'TAR FIN'!$A$1:$O$95,15,0))</f>
        <v>28.57</v>
      </c>
      <c r="W284" s="6">
        <f>IF(ISERROR(VLOOKUP($T$284,'TAR FIN'!$A$1:$O$95,15,0)),0,VLOOKUP($T$284,'TAR FIN'!$A$1:$O$95,15,0))</f>
        <v>0</v>
      </c>
      <c r="X284" s="6">
        <f>IF(ISERROR(VLOOKUP($U$284,'TAR FIN'!$A$1:$O$95,15,0)),0,VLOOKUP($U$284,'TAR FIN'!$A$1:$O$95,15,0))</f>
        <v>0</v>
      </c>
      <c r="Y284" s="6">
        <f ca="1">('TUSD BE'!$AM$15+'TUSD BF'!$AM$15+'TUSD CVA'!$AM$15)*1</f>
        <v>31.93064187172984</v>
      </c>
      <c r="Z284" s="6"/>
      <c r="AA284" s="6"/>
      <c r="AB284" s="6">
        <f t="shared" si="14"/>
        <v>1645662.261344</v>
      </c>
      <c r="AC284" s="6">
        <f t="shared" si="15"/>
        <v>0</v>
      </c>
      <c r="AD284" s="6">
        <f t="shared" ca="1" si="16"/>
        <v>1839238.7927475094</v>
      </c>
      <c r="AE284" s="6">
        <f t="shared" si="17"/>
        <v>0</v>
      </c>
      <c r="AF284" s="4" t="s">
        <v>841</v>
      </c>
    </row>
    <row r="285" spans="1:32" ht="11.25" customHeight="1" x14ac:dyDescent="0.25">
      <c r="A285" s="4" t="s">
        <v>21</v>
      </c>
      <c r="B285" s="4" t="s">
        <v>35</v>
      </c>
      <c r="C285" s="4" t="s">
        <v>36</v>
      </c>
      <c r="D285" s="4" t="s">
        <v>42</v>
      </c>
      <c r="E285" s="4" t="s">
        <v>25</v>
      </c>
      <c r="F285" s="4" t="s">
        <v>62</v>
      </c>
      <c r="G285" s="4" t="s">
        <v>25</v>
      </c>
      <c r="H285" s="4" t="s">
        <v>25</v>
      </c>
      <c r="I285" s="5">
        <v>44348</v>
      </c>
      <c r="J285" s="6">
        <v>97560</v>
      </c>
      <c r="K285" s="6">
        <v>49140.972000000002</v>
      </c>
      <c r="L285" s="6">
        <v>0</v>
      </c>
      <c r="M285" s="6">
        <v>0</v>
      </c>
      <c r="N285" s="6">
        <v>0</v>
      </c>
      <c r="O285" s="6">
        <v>0</v>
      </c>
      <c r="P285" s="6">
        <v>124</v>
      </c>
      <c r="Q285" s="4" t="s">
        <v>60</v>
      </c>
      <c r="R285" s="4">
        <v>0</v>
      </c>
      <c r="S285" s="4">
        <v>23</v>
      </c>
      <c r="T285" s="4">
        <v>0</v>
      </c>
      <c r="U285" s="4">
        <v>0</v>
      </c>
      <c r="V285" s="6">
        <f>IF(ISERROR(VLOOKUP($S$285,'TAR FIN'!$A$1:$O$95,15,0)),0,VLOOKUP($S$285,'TAR FIN'!$A$1:$O$95,15,0))</f>
        <v>28.57</v>
      </c>
      <c r="W285" s="6">
        <f>IF(ISERROR(VLOOKUP($T$285,'TAR FIN'!$A$1:$O$95,15,0)),0,VLOOKUP($T$285,'TAR FIN'!$A$1:$O$95,15,0))</f>
        <v>0</v>
      </c>
      <c r="X285" s="6">
        <f>IF(ISERROR(VLOOKUP($U$285,'TAR FIN'!$A$1:$O$95,15,0)),0,VLOOKUP($U$285,'TAR FIN'!$A$1:$O$95,15,0))</f>
        <v>0</v>
      </c>
      <c r="Y285" s="6">
        <f ca="1">('TUSD BE'!$AM$15+'TUSD BF'!$AM$15+'TUSD CVA'!$AM$15)*1</f>
        <v>31.93064187172984</v>
      </c>
      <c r="Z285" s="6"/>
      <c r="AA285" s="6"/>
      <c r="AB285" s="6">
        <f t="shared" si="14"/>
        <v>1383331.62996</v>
      </c>
      <c r="AC285" s="6">
        <f t="shared" si="15"/>
        <v>0</v>
      </c>
      <c r="AD285" s="6">
        <f t="shared" ca="1" si="16"/>
        <v>1546050.6428452595</v>
      </c>
      <c r="AE285" s="6">
        <f t="shared" si="17"/>
        <v>0</v>
      </c>
      <c r="AF285" s="4" t="s">
        <v>841</v>
      </c>
    </row>
    <row r="286" spans="1:32" ht="11.25" customHeight="1" x14ac:dyDescent="0.25">
      <c r="A286" s="4" t="s">
        <v>21</v>
      </c>
      <c r="B286" s="4" t="s">
        <v>35</v>
      </c>
      <c r="C286" s="4" t="s">
        <v>36</v>
      </c>
      <c r="D286" s="4" t="s">
        <v>42</v>
      </c>
      <c r="E286" s="4" t="s">
        <v>25</v>
      </c>
      <c r="F286" s="4" t="s">
        <v>62</v>
      </c>
      <c r="G286" s="4" t="s">
        <v>25</v>
      </c>
      <c r="H286" s="4" t="s">
        <v>25</v>
      </c>
      <c r="I286" s="5">
        <v>44378</v>
      </c>
      <c r="J286" s="6">
        <v>107052</v>
      </c>
      <c r="K286" s="6">
        <v>50742.648000000001</v>
      </c>
      <c r="L286" s="6">
        <v>0</v>
      </c>
      <c r="M286" s="6">
        <v>0</v>
      </c>
      <c r="N286" s="6">
        <v>0</v>
      </c>
      <c r="O286" s="6">
        <v>0</v>
      </c>
      <c r="P286" s="6">
        <v>138</v>
      </c>
      <c r="Q286" s="4" t="s">
        <v>60</v>
      </c>
      <c r="R286" s="4">
        <v>0</v>
      </c>
      <c r="S286" s="4">
        <v>23</v>
      </c>
      <c r="T286" s="4">
        <v>0</v>
      </c>
      <c r="U286" s="4">
        <v>0</v>
      </c>
      <c r="V286" s="6">
        <f>IF(ISERROR(VLOOKUP($S$286,'TAR FIN'!$A$1:$O$95,15,0)),0,VLOOKUP($S$286,'TAR FIN'!$A$1:$O$95,15,0))</f>
        <v>28.57</v>
      </c>
      <c r="W286" s="6">
        <f>IF(ISERROR(VLOOKUP($T$286,'TAR FIN'!$A$1:$O$95,15,0)),0,VLOOKUP($T$286,'TAR FIN'!$A$1:$O$95,15,0))</f>
        <v>0</v>
      </c>
      <c r="X286" s="6">
        <f>IF(ISERROR(VLOOKUP($U$286,'TAR FIN'!$A$1:$O$95,15,0)),0,VLOOKUP($U$286,'TAR FIN'!$A$1:$O$95,15,0))</f>
        <v>0</v>
      </c>
      <c r="Y286" s="6">
        <f ca="1">('TUSD BE'!$AM$15+'TUSD BF'!$AM$15+'TUSD CVA'!$AM$15)*1</f>
        <v>31.93064187172984</v>
      </c>
      <c r="Z286" s="6"/>
      <c r="AA286" s="6"/>
      <c r="AB286" s="6">
        <f t="shared" si="14"/>
        <v>1608758.18664</v>
      </c>
      <c r="AC286" s="6">
        <f t="shared" si="15"/>
        <v>0</v>
      </c>
      <c r="AD286" s="6">
        <f t="shared" ca="1" si="16"/>
        <v>1797993.7527411743</v>
      </c>
      <c r="AE286" s="6">
        <f t="shared" si="17"/>
        <v>0</v>
      </c>
      <c r="AF286" s="4" t="s">
        <v>841</v>
      </c>
    </row>
    <row r="287" spans="1:32" ht="11.25" customHeight="1" x14ac:dyDescent="0.25">
      <c r="A287" s="4" t="s">
        <v>21</v>
      </c>
      <c r="B287" s="4" t="s">
        <v>35</v>
      </c>
      <c r="C287" s="4" t="s">
        <v>36</v>
      </c>
      <c r="D287" s="4" t="s">
        <v>42</v>
      </c>
      <c r="E287" s="4" t="s">
        <v>25</v>
      </c>
      <c r="F287" s="4" t="s">
        <v>62</v>
      </c>
      <c r="G287" s="4" t="s">
        <v>25</v>
      </c>
      <c r="H287" s="4" t="s">
        <v>25</v>
      </c>
      <c r="I287" s="5">
        <v>44409</v>
      </c>
      <c r="J287" s="6">
        <v>106883</v>
      </c>
      <c r="K287" s="6">
        <v>48610.388400000003</v>
      </c>
      <c r="L287" s="6">
        <v>0</v>
      </c>
      <c r="M287" s="6">
        <v>0</v>
      </c>
      <c r="N287" s="6">
        <v>0</v>
      </c>
      <c r="O287" s="6">
        <v>0</v>
      </c>
      <c r="P287" s="6">
        <v>138</v>
      </c>
      <c r="Q287" s="4" t="s">
        <v>60</v>
      </c>
      <c r="R287" s="4">
        <v>0</v>
      </c>
      <c r="S287" s="4">
        <v>23</v>
      </c>
      <c r="T287" s="4">
        <v>0</v>
      </c>
      <c r="U287" s="4">
        <v>0</v>
      </c>
      <c r="V287" s="6">
        <f>IF(ISERROR(VLOOKUP($S$287,'TAR FIN'!$A$1:$O$95,15,0)),0,VLOOKUP($S$287,'TAR FIN'!$A$1:$O$95,15,0))</f>
        <v>28.57</v>
      </c>
      <c r="W287" s="6">
        <f>IF(ISERROR(VLOOKUP($T$287,'TAR FIN'!$A$1:$O$95,15,0)),0,VLOOKUP($T$287,'TAR FIN'!$A$1:$O$95,15,0))</f>
        <v>0</v>
      </c>
      <c r="X287" s="6">
        <f>IF(ISERROR(VLOOKUP($U$287,'TAR FIN'!$A$1:$O$95,15,0)),0,VLOOKUP($U$287,'TAR FIN'!$A$1:$O$95,15,0))</f>
        <v>0</v>
      </c>
      <c r="Y287" s="6">
        <f ca="1">('TUSD BE'!$AM$15+'TUSD BF'!$AM$15+'TUSD CVA'!$AM$15)*1</f>
        <v>31.93064187172984</v>
      </c>
      <c r="Z287" s="6"/>
      <c r="AA287" s="6"/>
      <c r="AB287" s="6">
        <f t="shared" si="14"/>
        <v>1664848.5134119999</v>
      </c>
      <c r="AC287" s="6">
        <f t="shared" si="15"/>
        <v>0</v>
      </c>
      <c r="AD287" s="6">
        <f t="shared" ca="1" si="16"/>
        <v>1860681.8919300099</v>
      </c>
      <c r="AE287" s="6">
        <f t="shared" si="17"/>
        <v>0</v>
      </c>
      <c r="AF287" s="4" t="s">
        <v>841</v>
      </c>
    </row>
    <row r="288" spans="1:32" ht="11.25" customHeight="1" x14ac:dyDescent="0.25">
      <c r="A288" s="4" t="s">
        <v>21</v>
      </c>
      <c r="B288" s="4" t="s">
        <v>35</v>
      </c>
      <c r="C288" s="4" t="s">
        <v>36</v>
      </c>
      <c r="D288" s="4" t="s">
        <v>42</v>
      </c>
      <c r="E288" s="4" t="s">
        <v>25</v>
      </c>
      <c r="F288" s="4" t="s">
        <v>62</v>
      </c>
      <c r="G288" s="4" t="s">
        <v>25</v>
      </c>
      <c r="H288" s="4" t="s">
        <v>25</v>
      </c>
      <c r="I288" s="5">
        <v>44440</v>
      </c>
      <c r="J288" s="6">
        <v>109926</v>
      </c>
      <c r="K288" s="6">
        <v>51621.249600000003</v>
      </c>
      <c r="L288" s="6">
        <v>0</v>
      </c>
      <c r="M288" s="6">
        <v>0</v>
      </c>
      <c r="N288" s="6">
        <v>0</v>
      </c>
      <c r="O288" s="6">
        <v>0</v>
      </c>
      <c r="P288" s="6">
        <v>140</v>
      </c>
      <c r="Q288" s="4" t="s">
        <v>60</v>
      </c>
      <c r="R288" s="4">
        <v>0</v>
      </c>
      <c r="S288" s="4">
        <v>23</v>
      </c>
      <c r="T288" s="4">
        <v>0</v>
      </c>
      <c r="U288" s="4">
        <v>0</v>
      </c>
      <c r="V288" s="6">
        <f>IF(ISERROR(VLOOKUP($S$288,'TAR FIN'!$A$1:$O$95,15,0)),0,VLOOKUP($S$288,'TAR FIN'!$A$1:$O$95,15,0))</f>
        <v>28.57</v>
      </c>
      <c r="W288" s="6">
        <f>IF(ISERROR(VLOOKUP($T$288,'TAR FIN'!$A$1:$O$95,15,0)),0,VLOOKUP($T$288,'TAR FIN'!$A$1:$O$95,15,0))</f>
        <v>0</v>
      </c>
      <c r="X288" s="6">
        <f>IF(ISERROR(VLOOKUP($U$288,'TAR FIN'!$A$1:$O$95,15,0)),0,VLOOKUP($U$288,'TAR FIN'!$A$1:$O$95,15,0))</f>
        <v>0</v>
      </c>
      <c r="Y288" s="6">
        <f ca="1">('TUSD BE'!$AM$15+'TUSD BF'!$AM$15+'TUSD CVA'!$AM$15)*1</f>
        <v>31.93064187172984</v>
      </c>
      <c r="Z288" s="6"/>
      <c r="AA288" s="6"/>
      <c r="AB288" s="6">
        <f t="shared" si="14"/>
        <v>1665766.718928</v>
      </c>
      <c r="AC288" s="6">
        <f t="shared" si="15"/>
        <v>0</v>
      </c>
      <c r="AD288" s="6">
        <f t="shared" ca="1" si="16"/>
        <v>1861708.1044429971</v>
      </c>
      <c r="AE288" s="6">
        <f t="shared" si="17"/>
        <v>0</v>
      </c>
      <c r="AF288" s="4" t="s">
        <v>841</v>
      </c>
    </row>
    <row r="289" spans="1:32" ht="11.25" customHeight="1" x14ac:dyDescent="0.25">
      <c r="A289" s="4" t="s">
        <v>59</v>
      </c>
      <c r="B289" s="4" t="s">
        <v>35</v>
      </c>
      <c r="C289" s="4" t="s">
        <v>36</v>
      </c>
      <c r="D289" s="4" t="s">
        <v>42</v>
      </c>
      <c r="E289" s="4" t="s">
        <v>25</v>
      </c>
      <c r="F289" s="4" t="s">
        <v>62</v>
      </c>
      <c r="G289" s="4" t="s">
        <v>25</v>
      </c>
      <c r="H289" s="4" t="s">
        <v>25</v>
      </c>
      <c r="I289" s="5">
        <v>44470</v>
      </c>
      <c r="J289" s="6">
        <v>109926</v>
      </c>
      <c r="K289" s="6">
        <v>51621.249600000003</v>
      </c>
      <c r="L289" s="6">
        <v>0</v>
      </c>
      <c r="M289" s="6">
        <v>0</v>
      </c>
      <c r="N289" s="6">
        <v>0</v>
      </c>
      <c r="O289" s="6">
        <v>0</v>
      </c>
      <c r="P289" s="6">
        <v>140</v>
      </c>
      <c r="Q289" s="4" t="s">
        <v>60</v>
      </c>
      <c r="R289" s="4">
        <v>0</v>
      </c>
      <c r="S289" s="4">
        <v>23</v>
      </c>
      <c r="T289" s="4">
        <v>0</v>
      </c>
      <c r="U289" s="4">
        <v>0</v>
      </c>
      <c r="V289" s="6">
        <f>IF(ISERROR(VLOOKUP($S$289,'TAR FIN'!$A$1:$O$95,15,0)),0,VLOOKUP($S$289,'TAR FIN'!$A$1:$O$95,15,0))</f>
        <v>28.57</v>
      </c>
      <c r="W289" s="6">
        <f>IF(ISERROR(VLOOKUP($T$289,'TAR FIN'!$A$1:$O$95,15,0)),0,VLOOKUP($T$289,'TAR FIN'!$A$1:$O$95,15,0))</f>
        <v>0</v>
      </c>
      <c r="X289" s="6">
        <f>IF(ISERROR(VLOOKUP($U$289,'TAR FIN'!$A$1:$O$95,15,0)),0,VLOOKUP($U$289,'TAR FIN'!$A$1:$O$95,15,0))</f>
        <v>0</v>
      </c>
      <c r="Y289" s="6">
        <f ca="1">('TUSD BE'!$AM$15+'TUSD BF'!$AM$15+'TUSD CVA'!$AM$15)*1</f>
        <v>31.93064187172984</v>
      </c>
      <c r="Z289" s="6"/>
      <c r="AA289" s="6"/>
      <c r="AB289" s="6">
        <f t="shared" si="14"/>
        <v>1665766.718928</v>
      </c>
      <c r="AC289" s="6">
        <f t="shared" si="15"/>
        <v>0</v>
      </c>
      <c r="AD289" s="6">
        <f t="shared" ca="1" si="16"/>
        <v>1861708.1044429971</v>
      </c>
      <c r="AE289" s="6">
        <f t="shared" si="17"/>
        <v>0</v>
      </c>
      <c r="AF289" s="4" t="s">
        <v>841</v>
      </c>
    </row>
    <row r="290" spans="1:32" ht="11.25" customHeight="1" x14ac:dyDescent="0.25">
      <c r="A290" s="4" t="s">
        <v>21</v>
      </c>
      <c r="B290" s="4" t="s">
        <v>35</v>
      </c>
      <c r="C290" s="4" t="s">
        <v>36</v>
      </c>
      <c r="D290" s="4" t="s">
        <v>42</v>
      </c>
      <c r="E290" s="4" t="s">
        <v>25</v>
      </c>
      <c r="F290" s="4" t="s">
        <v>62</v>
      </c>
      <c r="G290" s="4" t="s">
        <v>25</v>
      </c>
      <c r="H290" s="4" t="s">
        <v>37</v>
      </c>
      <c r="I290" s="5">
        <v>44136</v>
      </c>
      <c r="J290" s="6">
        <v>0</v>
      </c>
      <c r="K290" s="6">
        <v>0</v>
      </c>
      <c r="L290" s="6">
        <v>2704.8609999999999</v>
      </c>
      <c r="M290" s="6">
        <v>1360.2745969</v>
      </c>
      <c r="N290" s="6">
        <v>0</v>
      </c>
      <c r="O290" s="6">
        <v>0</v>
      </c>
      <c r="P290" s="6">
        <v>0</v>
      </c>
      <c r="Q290" s="4" t="s">
        <v>60</v>
      </c>
      <c r="R290" s="4">
        <v>0</v>
      </c>
      <c r="S290" s="4">
        <v>0</v>
      </c>
      <c r="T290" s="4">
        <v>24</v>
      </c>
      <c r="U290" s="4">
        <v>0</v>
      </c>
      <c r="V290" s="6">
        <f>IF(ISERROR(VLOOKUP($S$290,'TAR FIN'!$A$1:$O$95,15,0)),0,VLOOKUP($S$290,'TAR FIN'!$A$1:$O$95,15,0))</f>
        <v>0</v>
      </c>
      <c r="W290" s="6">
        <f>IF(ISERROR(VLOOKUP($T$290,'TAR FIN'!$A$1:$O$95,15,0)),0,VLOOKUP($T$290,'TAR FIN'!$A$1:$O$95,15,0))</f>
        <v>1434.79</v>
      </c>
      <c r="X290" s="6">
        <f>IF(ISERROR(VLOOKUP($U$290,'TAR FIN'!$A$1:$O$95,15,0)),0,VLOOKUP($U$290,'TAR FIN'!$A$1:$O$95,15,0))</f>
        <v>0</v>
      </c>
      <c r="Y290" s="6"/>
      <c r="Z290" s="6">
        <f ca="1">('TUSD BE'!$AM$16+'TUSD BF'!$AM$16+'TUSD CVA'!$AM$16)*1</f>
        <v>1605.9916314233351</v>
      </c>
      <c r="AA290" s="6"/>
      <c r="AB290" s="6">
        <f t="shared" si="14"/>
        <v>0</v>
      </c>
      <c r="AC290" s="6">
        <f t="shared" si="15"/>
        <v>1929199.1253038489</v>
      </c>
      <c r="AD290" s="6">
        <f t="shared" si="16"/>
        <v>0</v>
      </c>
      <c r="AE290" s="6">
        <f t="shared" ca="1" si="17"/>
        <v>2159394.5111042028</v>
      </c>
      <c r="AF290" s="4" t="s">
        <v>841</v>
      </c>
    </row>
    <row r="291" spans="1:32" ht="11.25" customHeight="1" x14ac:dyDescent="0.25">
      <c r="A291" s="4" t="s">
        <v>21</v>
      </c>
      <c r="B291" s="4" t="s">
        <v>35</v>
      </c>
      <c r="C291" s="4" t="s">
        <v>36</v>
      </c>
      <c r="D291" s="4" t="s">
        <v>42</v>
      </c>
      <c r="E291" s="4" t="s">
        <v>25</v>
      </c>
      <c r="F291" s="4" t="s">
        <v>62</v>
      </c>
      <c r="G291" s="4" t="s">
        <v>25</v>
      </c>
      <c r="H291" s="4" t="s">
        <v>37</v>
      </c>
      <c r="I291" s="5">
        <v>44166</v>
      </c>
      <c r="J291" s="6">
        <v>0</v>
      </c>
      <c r="K291" s="6">
        <v>0</v>
      </c>
      <c r="L291" s="6">
        <v>2518.8159999999998</v>
      </c>
      <c r="M291" s="6">
        <v>1343.0326912</v>
      </c>
      <c r="N291" s="6">
        <v>0</v>
      </c>
      <c r="O291" s="6">
        <v>0</v>
      </c>
      <c r="P291" s="6">
        <v>0</v>
      </c>
      <c r="Q291" s="4" t="s">
        <v>60</v>
      </c>
      <c r="R291" s="4">
        <v>0</v>
      </c>
      <c r="S291" s="4">
        <v>0</v>
      </c>
      <c r="T291" s="4">
        <v>24</v>
      </c>
      <c r="U291" s="4">
        <v>0</v>
      </c>
      <c r="V291" s="6">
        <f>IF(ISERROR(VLOOKUP($S$291,'TAR FIN'!$A$1:$O$95,15,0)),0,VLOOKUP($S$291,'TAR FIN'!$A$1:$O$95,15,0))</f>
        <v>0</v>
      </c>
      <c r="W291" s="6">
        <f>IF(ISERROR(VLOOKUP($T$291,'TAR FIN'!$A$1:$O$95,15,0)),0,VLOOKUP($T$291,'TAR FIN'!$A$1:$O$95,15,0))</f>
        <v>1434.79</v>
      </c>
      <c r="X291" s="6">
        <f>IF(ISERROR(VLOOKUP($U$291,'TAR FIN'!$A$1:$O$95,15,0)),0,VLOOKUP($U$291,'TAR FIN'!$A$1:$O$95,15,0))</f>
        <v>0</v>
      </c>
      <c r="Y291" s="6"/>
      <c r="Z291" s="6">
        <f ca="1">('TUSD BE'!$AM$16+'TUSD BF'!$AM$16+'TUSD CVA'!$AM$16)*1</f>
        <v>1605.9916314233351</v>
      </c>
      <c r="AA291" s="6"/>
      <c r="AB291" s="6">
        <f t="shared" si="14"/>
        <v>0</v>
      </c>
      <c r="AC291" s="6">
        <f t="shared" si="15"/>
        <v>1687002.1336331517</v>
      </c>
      <c r="AD291" s="6">
        <f t="shared" si="16"/>
        <v>0</v>
      </c>
      <c r="AE291" s="6">
        <f t="shared" ca="1" si="17"/>
        <v>1888298.1543000387</v>
      </c>
      <c r="AF291" s="4" t="s">
        <v>841</v>
      </c>
    </row>
    <row r="292" spans="1:32" ht="11.25" customHeight="1" x14ac:dyDescent="0.25">
      <c r="A292" s="4" t="s">
        <v>21</v>
      </c>
      <c r="B292" s="4" t="s">
        <v>35</v>
      </c>
      <c r="C292" s="4" t="s">
        <v>36</v>
      </c>
      <c r="D292" s="4" t="s">
        <v>42</v>
      </c>
      <c r="E292" s="4" t="s">
        <v>25</v>
      </c>
      <c r="F292" s="4" t="s">
        <v>62</v>
      </c>
      <c r="G292" s="4" t="s">
        <v>25</v>
      </c>
      <c r="H292" s="4" t="s">
        <v>37</v>
      </c>
      <c r="I292" s="5">
        <v>44197</v>
      </c>
      <c r="J292" s="6">
        <v>0</v>
      </c>
      <c r="K292" s="6">
        <v>0</v>
      </c>
      <c r="L292" s="6">
        <v>1639.9290000000001</v>
      </c>
      <c r="M292" s="6">
        <v>866.70247649999999</v>
      </c>
      <c r="N292" s="6">
        <v>0</v>
      </c>
      <c r="O292" s="6">
        <v>0</v>
      </c>
      <c r="P292" s="6">
        <v>0</v>
      </c>
      <c r="Q292" s="4" t="s">
        <v>60</v>
      </c>
      <c r="R292" s="4">
        <v>0</v>
      </c>
      <c r="S292" s="4">
        <v>0</v>
      </c>
      <c r="T292" s="4">
        <v>24</v>
      </c>
      <c r="U292" s="4">
        <v>0</v>
      </c>
      <c r="V292" s="6">
        <f>IF(ISERROR(VLOOKUP($S$292,'TAR FIN'!$A$1:$O$95,15,0)),0,VLOOKUP($S$292,'TAR FIN'!$A$1:$O$95,15,0))</f>
        <v>0</v>
      </c>
      <c r="W292" s="6">
        <f>IF(ISERROR(VLOOKUP($T$292,'TAR FIN'!$A$1:$O$95,15,0)),0,VLOOKUP($T$292,'TAR FIN'!$A$1:$O$95,15,0))</f>
        <v>1434.79</v>
      </c>
      <c r="X292" s="6">
        <f>IF(ISERROR(VLOOKUP($U$292,'TAR FIN'!$A$1:$O$95,15,0)),0,VLOOKUP($U$292,'TAR FIN'!$A$1:$O$95,15,0))</f>
        <v>0</v>
      </c>
      <c r="Y292" s="6"/>
      <c r="Z292" s="6">
        <f ca="1">('TUSD BE'!$AM$16+'TUSD BF'!$AM$16+'TUSD CVA'!$AM$16)*1</f>
        <v>1605.9916314233351</v>
      </c>
      <c r="AA292" s="6"/>
      <c r="AB292" s="6">
        <f t="shared" si="14"/>
        <v>0</v>
      </c>
      <c r="AC292" s="6">
        <f t="shared" si="15"/>
        <v>1109417.6836525651</v>
      </c>
      <c r="AD292" s="6">
        <f t="shared" si="16"/>
        <v>0</v>
      </c>
      <c r="AE292" s="6">
        <f t="shared" ca="1" si="17"/>
        <v>1241795.3259355589</v>
      </c>
      <c r="AF292" s="4" t="s">
        <v>841</v>
      </c>
    </row>
    <row r="293" spans="1:32" ht="11.25" customHeight="1" x14ac:dyDescent="0.25">
      <c r="A293" s="4" t="s">
        <v>21</v>
      </c>
      <c r="B293" s="4" t="s">
        <v>35</v>
      </c>
      <c r="C293" s="4" t="s">
        <v>36</v>
      </c>
      <c r="D293" s="4" t="s">
        <v>42</v>
      </c>
      <c r="E293" s="4" t="s">
        <v>25</v>
      </c>
      <c r="F293" s="4" t="s">
        <v>62</v>
      </c>
      <c r="G293" s="4" t="s">
        <v>25</v>
      </c>
      <c r="H293" s="4" t="s">
        <v>37</v>
      </c>
      <c r="I293" s="5">
        <v>44228</v>
      </c>
      <c r="J293" s="6">
        <v>0</v>
      </c>
      <c r="K293" s="6">
        <v>0</v>
      </c>
      <c r="L293" s="6">
        <v>1712.6179999999999</v>
      </c>
      <c r="M293" s="6">
        <v>906.65996919999998</v>
      </c>
      <c r="N293" s="6">
        <v>0</v>
      </c>
      <c r="O293" s="6">
        <v>0</v>
      </c>
      <c r="P293" s="6">
        <v>0</v>
      </c>
      <c r="Q293" s="4" t="s">
        <v>60</v>
      </c>
      <c r="R293" s="4">
        <v>0</v>
      </c>
      <c r="S293" s="4">
        <v>0</v>
      </c>
      <c r="T293" s="4">
        <v>24</v>
      </c>
      <c r="U293" s="4">
        <v>0</v>
      </c>
      <c r="V293" s="6">
        <f>IF(ISERROR(VLOOKUP($S$293,'TAR FIN'!$A$1:$O$95,15,0)),0,VLOOKUP($S$293,'TAR FIN'!$A$1:$O$95,15,0))</f>
        <v>0</v>
      </c>
      <c r="W293" s="6">
        <f>IF(ISERROR(VLOOKUP($T$293,'TAR FIN'!$A$1:$O$95,15,0)),0,VLOOKUP($T$293,'TAR FIN'!$A$1:$O$95,15,0))</f>
        <v>1434.79</v>
      </c>
      <c r="X293" s="6">
        <f>IF(ISERROR(VLOOKUP($U$293,'TAR FIN'!$A$1:$O$95,15,0)),0,VLOOKUP($U$293,'TAR FIN'!$A$1:$O$95,15,0))</f>
        <v>0</v>
      </c>
      <c r="Y293" s="6"/>
      <c r="Z293" s="6">
        <f ca="1">('TUSD BE'!$AM$16+'TUSD BF'!$AM$16+'TUSD CVA'!$AM$16)*1</f>
        <v>1605.9916314233351</v>
      </c>
      <c r="AA293" s="6"/>
      <c r="AB293" s="6">
        <f t="shared" si="14"/>
        <v>0</v>
      </c>
      <c r="AC293" s="6">
        <f t="shared" si="15"/>
        <v>1156380.5230115319</v>
      </c>
      <c r="AD293" s="6">
        <f t="shared" si="16"/>
        <v>0</v>
      </c>
      <c r="AE293" s="6">
        <f t="shared" ca="1" si="17"/>
        <v>1294361.8527432305</v>
      </c>
      <c r="AF293" s="4" t="s">
        <v>841</v>
      </c>
    </row>
    <row r="294" spans="1:32" ht="11.25" customHeight="1" x14ac:dyDescent="0.25">
      <c r="A294" s="4" t="s">
        <v>21</v>
      </c>
      <c r="B294" s="4" t="s">
        <v>35</v>
      </c>
      <c r="C294" s="4" t="s">
        <v>36</v>
      </c>
      <c r="D294" s="4" t="s">
        <v>42</v>
      </c>
      <c r="E294" s="4" t="s">
        <v>25</v>
      </c>
      <c r="F294" s="4" t="s">
        <v>62</v>
      </c>
      <c r="G294" s="4" t="s">
        <v>25</v>
      </c>
      <c r="H294" s="4" t="s">
        <v>37</v>
      </c>
      <c r="I294" s="5">
        <v>44256</v>
      </c>
      <c r="J294" s="6">
        <v>0</v>
      </c>
      <c r="K294" s="6">
        <v>0</v>
      </c>
      <c r="L294" s="6">
        <v>2639.7460000000001</v>
      </c>
      <c r="M294" s="6">
        <v>1410.6802623999999</v>
      </c>
      <c r="N294" s="6">
        <v>0</v>
      </c>
      <c r="O294" s="6">
        <v>0</v>
      </c>
      <c r="P294" s="6">
        <v>0</v>
      </c>
      <c r="Q294" s="4" t="s">
        <v>60</v>
      </c>
      <c r="R294" s="4">
        <v>0</v>
      </c>
      <c r="S294" s="4">
        <v>0</v>
      </c>
      <c r="T294" s="4">
        <v>24</v>
      </c>
      <c r="U294" s="4">
        <v>0</v>
      </c>
      <c r="V294" s="6">
        <f>IF(ISERROR(VLOOKUP($S$294,'TAR FIN'!$A$1:$O$95,15,0)),0,VLOOKUP($S$294,'TAR FIN'!$A$1:$O$95,15,0))</f>
        <v>0</v>
      </c>
      <c r="W294" s="6">
        <f>IF(ISERROR(VLOOKUP($T$294,'TAR FIN'!$A$1:$O$95,15,0)),0,VLOOKUP($T$294,'TAR FIN'!$A$1:$O$95,15,0))</f>
        <v>1434.79</v>
      </c>
      <c r="X294" s="6">
        <f>IF(ISERROR(VLOOKUP($U$294,'TAR FIN'!$A$1:$O$95,15,0)),0,VLOOKUP($U$294,'TAR FIN'!$A$1:$O$95,15,0))</f>
        <v>0</v>
      </c>
      <c r="Y294" s="6"/>
      <c r="Z294" s="6">
        <f ca="1">('TUSD BE'!$AM$16+'TUSD BF'!$AM$16+'TUSD CVA'!$AM$16)*1</f>
        <v>1605.9916314233351</v>
      </c>
      <c r="AA294" s="6"/>
      <c r="AB294" s="6">
        <f t="shared" si="14"/>
        <v>0</v>
      </c>
      <c r="AC294" s="6">
        <f t="shared" si="15"/>
        <v>1763451.2296511042</v>
      </c>
      <c r="AD294" s="6">
        <f t="shared" si="16"/>
        <v>0</v>
      </c>
      <c r="AE294" s="6">
        <f t="shared" ca="1" si="17"/>
        <v>1973869.2890547488</v>
      </c>
      <c r="AF294" s="4" t="s">
        <v>841</v>
      </c>
    </row>
    <row r="295" spans="1:32" ht="11.25" customHeight="1" x14ac:dyDescent="0.25">
      <c r="A295" s="4" t="s">
        <v>21</v>
      </c>
      <c r="B295" s="4" t="s">
        <v>35</v>
      </c>
      <c r="C295" s="4" t="s">
        <v>36</v>
      </c>
      <c r="D295" s="4" t="s">
        <v>42</v>
      </c>
      <c r="E295" s="4" t="s">
        <v>25</v>
      </c>
      <c r="F295" s="4" t="s">
        <v>62</v>
      </c>
      <c r="G295" s="4" t="s">
        <v>25</v>
      </c>
      <c r="H295" s="4" t="s">
        <v>37</v>
      </c>
      <c r="I295" s="5">
        <v>44287</v>
      </c>
      <c r="J295" s="6">
        <v>0</v>
      </c>
      <c r="K295" s="6">
        <v>0</v>
      </c>
      <c r="L295" s="6">
        <v>2612.0300000000002</v>
      </c>
      <c r="M295" s="6">
        <v>1390.1223660000001</v>
      </c>
      <c r="N295" s="6">
        <v>0</v>
      </c>
      <c r="O295" s="6">
        <v>0</v>
      </c>
      <c r="P295" s="6">
        <v>0</v>
      </c>
      <c r="Q295" s="4" t="s">
        <v>60</v>
      </c>
      <c r="R295" s="4">
        <v>0</v>
      </c>
      <c r="S295" s="4">
        <v>0</v>
      </c>
      <c r="T295" s="4">
        <v>24</v>
      </c>
      <c r="U295" s="4">
        <v>0</v>
      </c>
      <c r="V295" s="6">
        <f>IF(ISERROR(VLOOKUP($S$295,'TAR FIN'!$A$1:$O$95,15,0)),0,VLOOKUP($S$295,'TAR FIN'!$A$1:$O$95,15,0))</f>
        <v>0</v>
      </c>
      <c r="W295" s="6">
        <f>IF(ISERROR(VLOOKUP($T$295,'TAR FIN'!$A$1:$O$95,15,0)),0,VLOOKUP($T$295,'TAR FIN'!$A$1:$O$95,15,0))</f>
        <v>1434.79</v>
      </c>
      <c r="X295" s="6">
        <f>IF(ISERROR(VLOOKUP($U$295,'TAR FIN'!$A$1:$O$95,15,0)),0,VLOOKUP($U$295,'TAR FIN'!$A$1:$O$95,15,0))</f>
        <v>0</v>
      </c>
      <c r="Y295" s="6"/>
      <c r="Z295" s="6">
        <f ca="1">('TUSD BE'!$AM$16+'TUSD BF'!$AM$16+'TUSD CVA'!$AM$16)*1</f>
        <v>1605.9916314233351</v>
      </c>
      <c r="AA295" s="6"/>
      <c r="AB295" s="6">
        <f t="shared" si="14"/>
        <v>0</v>
      </c>
      <c r="AC295" s="6">
        <f t="shared" si="15"/>
        <v>1753180.8541868601</v>
      </c>
      <c r="AD295" s="6">
        <f t="shared" si="16"/>
        <v>0</v>
      </c>
      <c r="AE295" s="6">
        <f t="shared" ca="1" si="17"/>
        <v>1962373.4345762876</v>
      </c>
      <c r="AF295" s="4" t="s">
        <v>841</v>
      </c>
    </row>
    <row r="296" spans="1:32" ht="11.25" customHeight="1" x14ac:dyDescent="0.25">
      <c r="A296" s="4" t="s">
        <v>21</v>
      </c>
      <c r="B296" s="4" t="s">
        <v>35</v>
      </c>
      <c r="C296" s="4" t="s">
        <v>36</v>
      </c>
      <c r="D296" s="4" t="s">
        <v>42</v>
      </c>
      <c r="E296" s="4" t="s">
        <v>25</v>
      </c>
      <c r="F296" s="4" t="s">
        <v>62</v>
      </c>
      <c r="G296" s="4" t="s">
        <v>25</v>
      </c>
      <c r="H296" s="4" t="s">
        <v>37</v>
      </c>
      <c r="I296" s="5">
        <v>44317</v>
      </c>
      <c r="J296" s="6">
        <v>0</v>
      </c>
      <c r="K296" s="6">
        <v>0</v>
      </c>
      <c r="L296" s="6">
        <v>2902.4670000000001</v>
      </c>
      <c r="M296" s="6">
        <v>1564.429713</v>
      </c>
      <c r="N296" s="6">
        <v>0</v>
      </c>
      <c r="O296" s="6">
        <v>0</v>
      </c>
      <c r="P296" s="6">
        <v>0</v>
      </c>
      <c r="Q296" s="4" t="s">
        <v>60</v>
      </c>
      <c r="R296" s="4">
        <v>0</v>
      </c>
      <c r="S296" s="4">
        <v>0</v>
      </c>
      <c r="T296" s="4">
        <v>24</v>
      </c>
      <c r="U296" s="4">
        <v>0</v>
      </c>
      <c r="V296" s="6">
        <f>IF(ISERROR(VLOOKUP($S$296,'TAR FIN'!$A$1:$O$95,15,0)),0,VLOOKUP($S$296,'TAR FIN'!$A$1:$O$95,15,0))</f>
        <v>0</v>
      </c>
      <c r="W296" s="6">
        <f>IF(ISERROR(VLOOKUP($T$296,'TAR FIN'!$A$1:$O$95,15,0)),0,VLOOKUP($T$296,'TAR FIN'!$A$1:$O$95,15,0))</f>
        <v>1434.79</v>
      </c>
      <c r="X296" s="6">
        <f>IF(ISERROR(VLOOKUP($U$296,'TAR FIN'!$A$1:$O$95,15,0)),0,VLOOKUP($U$296,'TAR FIN'!$A$1:$O$95,15,0))</f>
        <v>0</v>
      </c>
      <c r="Y296" s="6"/>
      <c r="Z296" s="6">
        <f ca="1">('TUSD BE'!$AM$16+'TUSD BF'!$AM$16+'TUSD CVA'!$AM$16)*1</f>
        <v>1605.9916314233351</v>
      </c>
      <c r="AA296" s="6"/>
      <c r="AB296" s="6">
        <f t="shared" si="14"/>
        <v>0</v>
      </c>
      <c r="AC296" s="6">
        <f t="shared" si="15"/>
        <v>1919802.5190147301</v>
      </c>
      <c r="AD296" s="6">
        <f t="shared" si="16"/>
        <v>0</v>
      </c>
      <c r="AE296" s="6">
        <f t="shared" ca="1" si="17"/>
        <v>2148876.6854543835</v>
      </c>
      <c r="AF296" s="4" t="s">
        <v>841</v>
      </c>
    </row>
    <row r="297" spans="1:32" ht="11.25" customHeight="1" x14ac:dyDescent="0.25">
      <c r="A297" s="4" t="s">
        <v>21</v>
      </c>
      <c r="B297" s="4" t="s">
        <v>35</v>
      </c>
      <c r="C297" s="4" t="s">
        <v>36</v>
      </c>
      <c r="D297" s="4" t="s">
        <v>42</v>
      </c>
      <c r="E297" s="4" t="s">
        <v>25</v>
      </c>
      <c r="F297" s="4" t="s">
        <v>62</v>
      </c>
      <c r="G297" s="4" t="s">
        <v>25</v>
      </c>
      <c r="H297" s="4" t="s">
        <v>37</v>
      </c>
      <c r="I297" s="5">
        <v>44348</v>
      </c>
      <c r="J297" s="6">
        <v>0</v>
      </c>
      <c r="K297" s="6">
        <v>0</v>
      </c>
      <c r="L297" s="6">
        <v>1639.9290000000001</v>
      </c>
      <c r="M297" s="6">
        <v>866.70247649999999</v>
      </c>
      <c r="N297" s="6">
        <v>0</v>
      </c>
      <c r="O297" s="6">
        <v>0</v>
      </c>
      <c r="P297" s="6">
        <v>0</v>
      </c>
      <c r="Q297" s="4" t="s">
        <v>60</v>
      </c>
      <c r="R297" s="4">
        <v>0</v>
      </c>
      <c r="S297" s="4">
        <v>0</v>
      </c>
      <c r="T297" s="4">
        <v>24</v>
      </c>
      <c r="U297" s="4">
        <v>0</v>
      </c>
      <c r="V297" s="6">
        <f>IF(ISERROR(VLOOKUP($S$297,'TAR FIN'!$A$1:$O$95,15,0)),0,VLOOKUP($S$297,'TAR FIN'!$A$1:$O$95,15,0))</f>
        <v>0</v>
      </c>
      <c r="W297" s="6">
        <f>IF(ISERROR(VLOOKUP($T$297,'TAR FIN'!$A$1:$O$95,15,0)),0,VLOOKUP($T$297,'TAR FIN'!$A$1:$O$95,15,0))</f>
        <v>1434.79</v>
      </c>
      <c r="X297" s="6">
        <f>IF(ISERROR(VLOOKUP($U$297,'TAR FIN'!$A$1:$O$95,15,0)),0,VLOOKUP($U$297,'TAR FIN'!$A$1:$O$95,15,0))</f>
        <v>0</v>
      </c>
      <c r="Y297" s="6"/>
      <c r="Z297" s="6">
        <f ca="1">('TUSD BE'!$AM$16+'TUSD BF'!$AM$16+'TUSD CVA'!$AM$16)*1</f>
        <v>1605.9916314233351</v>
      </c>
      <c r="AA297" s="6"/>
      <c r="AB297" s="6">
        <f t="shared" si="14"/>
        <v>0</v>
      </c>
      <c r="AC297" s="6">
        <f t="shared" si="15"/>
        <v>1109417.6836525651</v>
      </c>
      <c r="AD297" s="6">
        <f t="shared" si="16"/>
        <v>0</v>
      </c>
      <c r="AE297" s="6">
        <f t="shared" ca="1" si="17"/>
        <v>1241795.3259355589</v>
      </c>
      <c r="AF297" s="4" t="s">
        <v>841</v>
      </c>
    </row>
    <row r="298" spans="1:32" ht="11.25" customHeight="1" x14ac:dyDescent="0.25">
      <c r="A298" s="4" t="s">
        <v>21</v>
      </c>
      <c r="B298" s="4" t="s">
        <v>35</v>
      </c>
      <c r="C298" s="4" t="s">
        <v>36</v>
      </c>
      <c r="D298" s="4" t="s">
        <v>42</v>
      </c>
      <c r="E298" s="4" t="s">
        <v>25</v>
      </c>
      <c r="F298" s="4" t="s">
        <v>62</v>
      </c>
      <c r="G298" s="4" t="s">
        <v>25</v>
      </c>
      <c r="H298" s="4" t="s">
        <v>37</v>
      </c>
      <c r="I298" s="5">
        <v>44378</v>
      </c>
      <c r="J298" s="6">
        <v>0</v>
      </c>
      <c r="K298" s="6">
        <v>0</v>
      </c>
      <c r="L298" s="6">
        <v>3131.4769999999999</v>
      </c>
      <c r="M298" s="6">
        <v>1666.5720593999999</v>
      </c>
      <c r="N298" s="6">
        <v>0</v>
      </c>
      <c r="O298" s="6">
        <v>0</v>
      </c>
      <c r="P298" s="6">
        <v>0</v>
      </c>
      <c r="Q298" s="4" t="s">
        <v>60</v>
      </c>
      <c r="R298" s="4">
        <v>0</v>
      </c>
      <c r="S298" s="4">
        <v>0</v>
      </c>
      <c r="T298" s="4">
        <v>24</v>
      </c>
      <c r="U298" s="4">
        <v>0</v>
      </c>
      <c r="V298" s="6">
        <f>IF(ISERROR(VLOOKUP($S$298,'TAR FIN'!$A$1:$O$95,15,0)),0,VLOOKUP($S$298,'TAR FIN'!$A$1:$O$95,15,0))</f>
        <v>0</v>
      </c>
      <c r="W298" s="6">
        <f>IF(ISERROR(VLOOKUP($T$298,'TAR FIN'!$A$1:$O$95,15,0)),0,VLOOKUP($T$298,'TAR FIN'!$A$1:$O$95,15,0))</f>
        <v>1434.79</v>
      </c>
      <c r="X298" s="6">
        <f>IF(ISERROR(VLOOKUP($U$298,'TAR FIN'!$A$1:$O$95,15,0)),0,VLOOKUP($U$298,'TAR FIN'!$A$1:$O$95,15,0))</f>
        <v>0</v>
      </c>
      <c r="Y298" s="6"/>
      <c r="Z298" s="6">
        <f ca="1">('TUSD BE'!$AM$16+'TUSD BF'!$AM$16+'TUSD CVA'!$AM$16)*1</f>
        <v>1605.9916314233351</v>
      </c>
      <c r="AA298" s="6"/>
      <c r="AB298" s="6">
        <f t="shared" si="14"/>
        <v>0</v>
      </c>
      <c r="AC298" s="6">
        <f t="shared" si="15"/>
        <v>2101830.959723474</v>
      </c>
      <c r="AD298" s="6">
        <f t="shared" si="16"/>
        <v>0</v>
      </c>
      <c r="AE298" s="6">
        <f t="shared" ca="1" si="17"/>
        <v>2352625.0754342978</v>
      </c>
      <c r="AF298" s="4" t="s">
        <v>841</v>
      </c>
    </row>
    <row r="299" spans="1:32" ht="11.25" customHeight="1" x14ac:dyDescent="0.25">
      <c r="A299" s="4" t="s">
        <v>21</v>
      </c>
      <c r="B299" s="4" t="s">
        <v>35</v>
      </c>
      <c r="C299" s="4" t="s">
        <v>36</v>
      </c>
      <c r="D299" s="4" t="s">
        <v>42</v>
      </c>
      <c r="E299" s="4" t="s">
        <v>25</v>
      </c>
      <c r="F299" s="4" t="s">
        <v>62</v>
      </c>
      <c r="G299" s="4" t="s">
        <v>25</v>
      </c>
      <c r="H299" s="4" t="s">
        <v>37</v>
      </c>
      <c r="I299" s="5">
        <v>44409</v>
      </c>
      <c r="J299" s="6">
        <v>0</v>
      </c>
      <c r="K299" s="6">
        <v>0</v>
      </c>
      <c r="L299" s="6">
        <v>3242.9160000000002</v>
      </c>
      <c r="M299" s="6">
        <v>1669.4531568</v>
      </c>
      <c r="N299" s="6">
        <v>0</v>
      </c>
      <c r="O299" s="6">
        <v>0</v>
      </c>
      <c r="P299" s="6">
        <v>0</v>
      </c>
      <c r="Q299" s="4" t="s">
        <v>60</v>
      </c>
      <c r="R299" s="4">
        <v>0</v>
      </c>
      <c r="S299" s="4">
        <v>0</v>
      </c>
      <c r="T299" s="4">
        <v>24</v>
      </c>
      <c r="U299" s="4">
        <v>0</v>
      </c>
      <c r="V299" s="6">
        <f>IF(ISERROR(VLOOKUP($S$299,'TAR FIN'!$A$1:$O$95,15,0)),0,VLOOKUP($S$299,'TAR FIN'!$A$1:$O$95,15,0))</f>
        <v>0</v>
      </c>
      <c r="W299" s="6">
        <f>IF(ISERROR(VLOOKUP($T$299,'TAR FIN'!$A$1:$O$95,15,0)),0,VLOOKUP($T$299,'TAR FIN'!$A$1:$O$95,15,0))</f>
        <v>1434.79</v>
      </c>
      <c r="X299" s="6">
        <f>IF(ISERROR(VLOOKUP($U$299,'TAR FIN'!$A$1:$O$95,15,0)),0,VLOOKUP($U$299,'TAR FIN'!$A$1:$O$95,15,0))</f>
        <v>0</v>
      </c>
      <c r="Y299" s="6"/>
      <c r="Z299" s="6">
        <f ca="1">('TUSD BE'!$AM$16+'TUSD BF'!$AM$16+'TUSD CVA'!$AM$16)*1</f>
        <v>1605.9916314233351</v>
      </c>
      <c r="AA299" s="6"/>
      <c r="AB299" s="6">
        <f t="shared" si="14"/>
        <v>0</v>
      </c>
      <c r="AC299" s="6">
        <f t="shared" si="15"/>
        <v>2257588.7527949284</v>
      </c>
      <c r="AD299" s="6">
        <f t="shared" si="16"/>
        <v>0</v>
      </c>
      <c r="AE299" s="6">
        <f t="shared" ca="1" si="17"/>
        <v>2526968.1585347676</v>
      </c>
      <c r="AF299" s="4" t="s">
        <v>841</v>
      </c>
    </row>
    <row r="300" spans="1:32" ht="11.25" customHeight="1" x14ac:dyDescent="0.25">
      <c r="A300" s="4" t="s">
        <v>21</v>
      </c>
      <c r="B300" s="4" t="s">
        <v>35</v>
      </c>
      <c r="C300" s="4" t="s">
        <v>36</v>
      </c>
      <c r="D300" s="4" t="s">
        <v>42</v>
      </c>
      <c r="E300" s="4" t="s">
        <v>25</v>
      </c>
      <c r="F300" s="4" t="s">
        <v>62</v>
      </c>
      <c r="G300" s="4" t="s">
        <v>25</v>
      </c>
      <c r="H300" s="4" t="s">
        <v>37</v>
      </c>
      <c r="I300" s="5">
        <v>44440</v>
      </c>
      <c r="J300" s="6">
        <v>0</v>
      </c>
      <c r="K300" s="6">
        <v>0</v>
      </c>
      <c r="L300" s="6">
        <v>3049.5859999999998</v>
      </c>
      <c r="M300" s="6">
        <v>1533.3318408</v>
      </c>
      <c r="N300" s="6">
        <v>0</v>
      </c>
      <c r="O300" s="6">
        <v>0</v>
      </c>
      <c r="P300" s="6">
        <v>0</v>
      </c>
      <c r="Q300" s="4" t="s">
        <v>60</v>
      </c>
      <c r="R300" s="4">
        <v>0</v>
      </c>
      <c r="S300" s="4">
        <v>0</v>
      </c>
      <c r="T300" s="4">
        <v>24</v>
      </c>
      <c r="U300" s="4">
        <v>0</v>
      </c>
      <c r="V300" s="6">
        <f>IF(ISERROR(VLOOKUP($S$300,'TAR FIN'!$A$1:$O$95,15,0)),0,VLOOKUP($S$300,'TAR FIN'!$A$1:$O$95,15,0))</f>
        <v>0</v>
      </c>
      <c r="W300" s="6">
        <f>IF(ISERROR(VLOOKUP($T$300,'TAR FIN'!$A$1:$O$95,15,0)),0,VLOOKUP($T$300,'TAR FIN'!$A$1:$O$95,15,0))</f>
        <v>1434.79</v>
      </c>
      <c r="X300" s="6">
        <f>IF(ISERROR(VLOOKUP($U$300,'TAR FIN'!$A$1:$O$95,15,0)),0,VLOOKUP($U$300,'TAR FIN'!$A$1:$O$95,15,0))</f>
        <v>0</v>
      </c>
      <c r="Y300" s="6"/>
      <c r="Z300" s="6">
        <f ca="1">('TUSD BE'!$AM$16+'TUSD BF'!$AM$16+'TUSD CVA'!$AM$16)*1</f>
        <v>1605.9916314233351</v>
      </c>
      <c r="AA300" s="6"/>
      <c r="AB300" s="6">
        <f t="shared" si="14"/>
        <v>0</v>
      </c>
      <c r="AC300" s="6">
        <f t="shared" si="15"/>
        <v>2175506.3050785675</v>
      </c>
      <c r="AD300" s="6">
        <f t="shared" si="16"/>
        <v>0</v>
      </c>
      <c r="AE300" s="6">
        <f t="shared" ca="1" si="17"/>
        <v>2435091.4907860248</v>
      </c>
      <c r="AF300" s="4" t="s">
        <v>841</v>
      </c>
    </row>
    <row r="301" spans="1:32" ht="11.25" customHeight="1" x14ac:dyDescent="0.25">
      <c r="A301" s="4" t="s">
        <v>59</v>
      </c>
      <c r="B301" s="4" t="s">
        <v>35</v>
      </c>
      <c r="C301" s="4" t="s">
        <v>36</v>
      </c>
      <c r="D301" s="4" t="s">
        <v>42</v>
      </c>
      <c r="E301" s="4" t="s">
        <v>25</v>
      </c>
      <c r="F301" s="4" t="s">
        <v>62</v>
      </c>
      <c r="G301" s="4" t="s">
        <v>25</v>
      </c>
      <c r="H301" s="4" t="s">
        <v>37</v>
      </c>
      <c r="I301" s="5">
        <v>44470</v>
      </c>
      <c r="J301" s="6">
        <v>0</v>
      </c>
      <c r="K301" s="6">
        <v>0</v>
      </c>
      <c r="L301" s="6">
        <v>3049.5859999999998</v>
      </c>
      <c r="M301" s="6">
        <v>1533.3318408</v>
      </c>
      <c r="N301" s="6">
        <v>0</v>
      </c>
      <c r="O301" s="6">
        <v>0</v>
      </c>
      <c r="P301" s="6">
        <v>0</v>
      </c>
      <c r="Q301" s="4" t="s">
        <v>60</v>
      </c>
      <c r="R301" s="4">
        <v>0</v>
      </c>
      <c r="S301" s="4">
        <v>0</v>
      </c>
      <c r="T301" s="4">
        <v>24</v>
      </c>
      <c r="U301" s="4">
        <v>0</v>
      </c>
      <c r="V301" s="6">
        <f>IF(ISERROR(VLOOKUP($S$301,'TAR FIN'!$A$1:$O$95,15,0)),0,VLOOKUP($S$301,'TAR FIN'!$A$1:$O$95,15,0))</f>
        <v>0</v>
      </c>
      <c r="W301" s="6">
        <f>IF(ISERROR(VLOOKUP($T$301,'TAR FIN'!$A$1:$O$95,15,0)),0,VLOOKUP($T$301,'TAR FIN'!$A$1:$O$95,15,0))</f>
        <v>1434.79</v>
      </c>
      <c r="X301" s="6">
        <f>IF(ISERROR(VLOOKUP($U$301,'TAR FIN'!$A$1:$O$95,15,0)),0,VLOOKUP($U$301,'TAR FIN'!$A$1:$O$95,15,0))</f>
        <v>0</v>
      </c>
      <c r="Y301" s="6"/>
      <c r="Z301" s="6">
        <f ca="1">('TUSD BE'!$AM$16+'TUSD BF'!$AM$16+'TUSD CVA'!$AM$16)*1</f>
        <v>1605.9916314233351</v>
      </c>
      <c r="AA301" s="6"/>
      <c r="AB301" s="6">
        <f t="shared" si="14"/>
        <v>0</v>
      </c>
      <c r="AC301" s="6">
        <f t="shared" si="15"/>
        <v>2175506.3050785675</v>
      </c>
      <c r="AD301" s="6">
        <f t="shared" si="16"/>
        <v>0</v>
      </c>
      <c r="AE301" s="6">
        <f t="shared" ca="1" si="17"/>
        <v>2435091.4907860248</v>
      </c>
      <c r="AF301" s="4" t="s">
        <v>841</v>
      </c>
    </row>
    <row r="302" spans="1:32" ht="11.25" customHeight="1" x14ac:dyDescent="0.25">
      <c r="A302" s="4" t="s">
        <v>28</v>
      </c>
      <c r="B302" s="4" t="s">
        <v>35</v>
      </c>
      <c r="C302" s="4" t="s">
        <v>36</v>
      </c>
      <c r="D302" s="4" t="s">
        <v>47</v>
      </c>
      <c r="E302" s="4" t="s">
        <v>58</v>
      </c>
      <c r="F302" s="4" t="s">
        <v>56</v>
      </c>
      <c r="G302" s="4" t="s">
        <v>25</v>
      </c>
      <c r="H302" s="4" t="s">
        <v>38</v>
      </c>
      <c r="I302" s="5">
        <v>44378</v>
      </c>
      <c r="J302" s="6">
        <v>0</v>
      </c>
      <c r="K302" s="77">
        <v>0</v>
      </c>
      <c r="L302" s="6">
        <v>4.34</v>
      </c>
      <c r="M302" s="77">
        <v>4.34</v>
      </c>
      <c r="N302" s="6">
        <v>4.34</v>
      </c>
      <c r="O302" s="77">
        <v>4.34</v>
      </c>
      <c r="P302" s="6">
        <v>0</v>
      </c>
      <c r="Q302" s="4" t="s">
        <v>26</v>
      </c>
      <c r="R302" s="4">
        <v>0</v>
      </c>
      <c r="S302" s="4">
        <v>0</v>
      </c>
      <c r="T302" s="4">
        <v>19</v>
      </c>
      <c r="U302" s="4">
        <v>67</v>
      </c>
      <c r="V302" s="77">
        <f>IF(ISERROR(VLOOKUP($S$302,'TAR FIN'!$A$1:$O$95,15,0)),0,VLOOKUP($S$302,'TAR FIN'!$A$1:$O$95,15,0))</f>
        <v>0</v>
      </c>
      <c r="W302" s="77">
        <f>IF(ISERROR(VLOOKUP($T$302,'TAR FIN'!$A$1:$O$95,15,0)),0,VLOOKUP($T$302,'TAR FIN'!$A$1:$O$95,15,0))*(1-0.06)</f>
        <v>140.65219999999999</v>
      </c>
      <c r="X302" s="77">
        <f>IF(ISERROR(VLOOKUP($U$302,'TAR FIN'!$A$1:$O$95,15,0)),0,VLOOKUP($U$302,'TAR FIN'!$A$1:$O$95,15,0))*(1-0.06)</f>
        <v>216.22819999999999</v>
      </c>
      <c r="Y302" s="77"/>
      <c r="Z302" s="77">
        <f ca="1">('TUSD BE'!$AM$17+'TUSD BF'!$AM$17+'TUSD CVA'!$AM$17)*1*(1-0.04)</f>
        <v>161.7728460762047</v>
      </c>
      <c r="AA302" s="77">
        <f>('TE BE'!$AA$8+'TE BF'!$AA$8+'TE CVA'!$AA$8)*1*(1-0.04)</f>
        <v>271.60070372834122</v>
      </c>
      <c r="AB302" s="77">
        <f>(SUBSIDIO!$J$302*SUBSIDIO!$V$302)*(0.06)/(1-0.06)</f>
        <v>0</v>
      </c>
      <c r="AC302" s="77">
        <f>((SUBSIDIO!$L$302*SUBSIDIO!$W$302)+(SUBSIDIO!$N$302*SUBSIDIO!$X$302))*(0.06)/(1-0.06)</f>
        <v>98.863463999999993</v>
      </c>
      <c r="AD302" s="77">
        <f>(SUBSIDIO!$J$302*SUBSIDIO!$Y$302)*(0.04)/(1-0.04)</f>
        <v>0</v>
      </c>
      <c r="AE302" s="77">
        <f ca="1">((SUBSIDIO!$L$302*SUBSIDIO!$Z$302)+(SUBSIDIO!$N$302*SUBSIDIO!$AA$302))*(0.04)/(1-0.04)</f>
        <v>78.36838358965538</v>
      </c>
      <c r="AF302" s="4" t="s">
        <v>844</v>
      </c>
    </row>
    <row r="303" spans="1:32" ht="11.25" customHeight="1" x14ac:dyDescent="0.25">
      <c r="A303" s="4" t="s">
        <v>28</v>
      </c>
      <c r="B303" s="4" t="s">
        <v>35</v>
      </c>
      <c r="C303" s="4" t="s">
        <v>36</v>
      </c>
      <c r="D303" s="4" t="s">
        <v>47</v>
      </c>
      <c r="E303" s="4" t="s">
        <v>58</v>
      </c>
      <c r="F303" s="4" t="s">
        <v>56</v>
      </c>
      <c r="G303" s="4" t="s">
        <v>25</v>
      </c>
      <c r="H303" s="4" t="s">
        <v>38</v>
      </c>
      <c r="I303" s="5">
        <v>44409</v>
      </c>
      <c r="J303" s="6">
        <v>0</v>
      </c>
      <c r="K303" s="77">
        <v>0</v>
      </c>
      <c r="L303" s="6">
        <v>12.124000000000001</v>
      </c>
      <c r="M303" s="77">
        <v>12.124000000000001</v>
      </c>
      <c r="N303" s="6">
        <v>12.124000000000001</v>
      </c>
      <c r="O303" s="77">
        <v>12.124000000000001</v>
      </c>
      <c r="P303" s="6">
        <v>0</v>
      </c>
      <c r="Q303" s="4" t="s">
        <v>26</v>
      </c>
      <c r="R303" s="4">
        <v>0</v>
      </c>
      <c r="S303" s="4">
        <v>0</v>
      </c>
      <c r="T303" s="4">
        <v>19</v>
      </c>
      <c r="U303" s="4">
        <v>67</v>
      </c>
      <c r="V303" s="77">
        <f>IF(ISERROR(VLOOKUP($S$303,'TAR FIN'!$A$1:$O$95,15,0)),0,VLOOKUP($S$303,'TAR FIN'!$A$1:$O$95,15,0))</f>
        <v>0</v>
      </c>
      <c r="W303" s="77">
        <f>IF(ISERROR(VLOOKUP($T$303,'TAR FIN'!$A$1:$O$95,15,0)),0,VLOOKUP($T$303,'TAR FIN'!$A$1:$O$95,15,0))*(1-0.06)</f>
        <v>140.65219999999999</v>
      </c>
      <c r="X303" s="77">
        <f>IF(ISERROR(VLOOKUP($U$303,'TAR FIN'!$A$1:$O$95,15,0)),0,VLOOKUP($U$303,'TAR FIN'!$A$1:$O$95,15,0))*(1-0.06)</f>
        <v>216.22819999999999</v>
      </c>
      <c r="Y303" s="77"/>
      <c r="Z303" s="77">
        <f ca="1">('TUSD BE'!$AM$17+'TUSD BF'!$AM$17+'TUSD CVA'!$AM$17)*1*(1-0.04)</f>
        <v>161.7728460762047</v>
      </c>
      <c r="AA303" s="77">
        <f>('TE BE'!$AA$8+'TE BF'!$AA$8+'TE CVA'!$AA$8)*1*(1-0.04)</f>
        <v>271.60070372834122</v>
      </c>
      <c r="AB303" s="77">
        <f>(SUBSIDIO!$J$303*SUBSIDIO!$V$303)*(0.06)/(1-0.06)</f>
        <v>0</v>
      </c>
      <c r="AC303" s="77">
        <f>((SUBSIDIO!$L$303*SUBSIDIO!$W$303)+(SUBSIDIO!$N$303*SUBSIDIO!$X$303))*(0.06)/(1-0.06)</f>
        <v>276.17987039999997</v>
      </c>
      <c r="AD303" s="77">
        <f>(SUBSIDIO!$J$303*SUBSIDIO!$Y$303)*(0.04)/(1-0.04)</f>
        <v>0</v>
      </c>
      <c r="AE303" s="77">
        <f ca="1">((SUBSIDIO!$L$303*SUBSIDIO!$Z$303)+(SUBSIDIO!$N$303*SUBSIDIO!$AA$303))*(0.04)/(1-0.04)</f>
        <v>218.92587157626312</v>
      </c>
      <c r="AF303" s="4" t="s">
        <v>844</v>
      </c>
    </row>
    <row r="304" spans="1:32" ht="11.25" customHeight="1" x14ac:dyDescent="0.25">
      <c r="A304" s="4" t="s">
        <v>29</v>
      </c>
      <c r="B304" s="4" t="s">
        <v>35</v>
      </c>
      <c r="C304" s="4" t="s">
        <v>36</v>
      </c>
      <c r="D304" s="4" t="s">
        <v>47</v>
      </c>
      <c r="E304" s="4" t="s">
        <v>58</v>
      </c>
      <c r="F304" s="4" t="s">
        <v>56</v>
      </c>
      <c r="G304" s="4" t="s">
        <v>25</v>
      </c>
      <c r="H304" s="4" t="s">
        <v>38</v>
      </c>
      <c r="I304" s="5">
        <v>44409</v>
      </c>
      <c r="J304" s="6">
        <v>0</v>
      </c>
      <c r="K304" s="77">
        <v>0</v>
      </c>
      <c r="L304" s="6">
        <v>14.76</v>
      </c>
      <c r="M304" s="77">
        <v>14.76</v>
      </c>
      <c r="N304" s="6">
        <v>14.76</v>
      </c>
      <c r="O304" s="77">
        <v>14.76</v>
      </c>
      <c r="P304" s="6">
        <v>0</v>
      </c>
      <c r="Q304" s="4" t="s">
        <v>26</v>
      </c>
      <c r="R304" s="4">
        <v>0</v>
      </c>
      <c r="S304" s="4">
        <v>0</v>
      </c>
      <c r="T304" s="4">
        <v>19</v>
      </c>
      <c r="U304" s="4">
        <v>67</v>
      </c>
      <c r="V304" s="77">
        <f>IF(ISERROR(VLOOKUP($S$304,'TAR FIN'!$A$1:$O$95,15,0)),0,VLOOKUP($S$304,'TAR FIN'!$A$1:$O$95,15,0))</f>
        <v>0</v>
      </c>
      <c r="W304" s="77">
        <f>IF(ISERROR(VLOOKUP($T$304,'TAR FIN'!$A$1:$O$95,15,0)),0,VLOOKUP($T$304,'TAR FIN'!$A$1:$O$95,15,0))*(1-0.06)</f>
        <v>140.65219999999999</v>
      </c>
      <c r="X304" s="77">
        <f>IF(ISERROR(VLOOKUP($U$304,'TAR FIN'!$A$1:$O$95,15,0)),0,VLOOKUP($U$304,'TAR FIN'!$A$1:$O$95,15,0))*(1-0.06)</f>
        <v>216.22819999999999</v>
      </c>
      <c r="Y304" s="77"/>
      <c r="Z304" s="77">
        <f ca="1">('TUSD BE'!$AM$17+'TUSD BF'!$AM$17+'TUSD CVA'!$AM$17)*1*(1-0.04)</f>
        <v>161.7728460762047</v>
      </c>
      <c r="AA304" s="77">
        <f>('TE BE'!$AA$8+'TE BF'!$AA$8+'TE CVA'!$AA$8)*1*(1-0.04)</f>
        <v>271.60070372834122</v>
      </c>
      <c r="AB304" s="77">
        <f>(SUBSIDIO!$J$304*SUBSIDIO!$V$304)*(0.06)/(1-0.06)</f>
        <v>0</v>
      </c>
      <c r="AC304" s="77">
        <f>((SUBSIDIO!$L$304*SUBSIDIO!$W$304)+(SUBSIDIO!$N$304*SUBSIDIO!$X$304))*(0.06)/(1-0.06)</f>
        <v>336.22689600000001</v>
      </c>
      <c r="AD304" s="77">
        <f>(SUBSIDIO!$J$304*SUBSIDIO!$Y$304)*(0.04)/(1-0.04)</f>
        <v>0</v>
      </c>
      <c r="AE304" s="77">
        <f ca="1">((SUBSIDIO!$L$304*SUBSIDIO!$Z$304)+(SUBSIDIO!$N$304*SUBSIDIO!$AA$304))*(0.04)/(1-0.04)</f>
        <v>266.52473312979578</v>
      </c>
      <c r="AF304" s="4" t="s">
        <v>844</v>
      </c>
    </row>
    <row r="305" spans="1:32" ht="11.25" customHeight="1" x14ac:dyDescent="0.25">
      <c r="A305" s="4" t="s">
        <v>28</v>
      </c>
      <c r="B305" s="4" t="s">
        <v>35</v>
      </c>
      <c r="C305" s="4" t="s">
        <v>36</v>
      </c>
      <c r="D305" s="4" t="s">
        <v>47</v>
      </c>
      <c r="E305" s="4" t="s">
        <v>58</v>
      </c>
      <c r="F305" s="4" t="s">
        <v>56</v>
      </c>
      <c r="G305" s="4" t="s">
        <v>25</v>
      </c>
      <c r="H305" s="4" t="s">
        <v>38</v>
      </c>
      <c r="I305" s="5">
        <v>44440</v>
      </c>
      <c r="J305" s="6">
        <v>0</v>
      </c>
      <c r="K305" s="77">
        <v>0</v>
      </c>
      <c r="L305" s="6">
        <v>13.739000000000001</v>
      </c>
      <c r="M305" s="77">
        <v>13.739000000000001</v>
      </c>
      <c r="N305" s="6">
        <v>13.739000000000001</v>
      </c>
      <c r="O305" s="77">
        <v>13.739000000000001</v>
      </c>
      <c r="P305" s="6">
        <v>0</v>
      </c>
      <c r="Q305" s="4" t="s">
        <v>26</v>
      </c>
      <c r="R305" s="4">
        <v>0</v>
      </c>
      <c r="S305" s="4">
        <v>0</v>
      </c>
      <c r="T305" s="4">
        <v>19</v>
      </c>
      <c r="U305" s="4">
        <v>67</v>
      </c>
      <c r="V305" s="77">
        <f>IF(ISERROR(VLOOKUP($S$305,'TAR FIN'!$A$1:$O$95,15,0)),0,VLOOKUP($S$305,'TAR FIN'!$A$1:$O$95,15,0))</f>
        <v>0</v>
      </c>
      <c r="W305" s="77">
        <f>IF(ISERROR(VLOOKUP($T$305,'TAR FIN'!$A$1:$O$95,15,0)),0,VLOOKUP($T$305,'TAR FIN'!$A$1:$O$95,15,0))*(1-0.06)</f>
        <v>140.65219999999999</v>
      </c>
      <c r="X305" s="77">
        <f>IF(ISERROR(VLOOKUP($U$305,'TAR FIN'!$A$1:$O$95,15,0)),0,VLOOKUP($U$305,'TAR FIN'!$A$1:$O$95,15,0))*(1-0.06)</f>
        <v>216.22819999999999</v>
      </c>
      <c r="Y305" s="77"/>
      <c r="Z305" s="77">
        <f ca="1">('TUSD BE'!$AM$17+'TUSD BF'!$AM$17+'TUSD CVA'!$AM$17)*1*(1-0.04)</f>
        <v>161.7728460762047</v>
      </c>
      <c r="AA305" s="77">
        <f>('TE BE'!$AA$8+'TE BF'!$AA$8+'TE CVA'!$AA$8)*1*(1-0.04)</f>
        <v>271.60070372834122</v>
      </c>
      <c r="AB305" s="77">
        <f>(SUBSIDIO!$J$305*SUBSIDIO!$V$305)*(0.06)/(1-0.06)</f>
        <v>0</v>
      </c>
      <c r="AC305" s="77">
        <f>((SUBSIDIO!$L$305*SUBSIDIO!$W$305)+(SUBSIDIO!$N$305*SUBSIDIO!$X$305))*(0.06)/(1-0.06)</f>
        <v>312.96892439999999</v>
      </c>
      <c r="AD305" s="77">
        <f>(SUBSIDIO!$J$305*SUBSIDIO!$Y$305)*(0.04)/(1-0.04)</f>
        <v>0</v>
      </c>
      <c r="AE305" s="77">
        <f ca="1">((SUBSIDIO!$L$305*SUBSIDIO!$Z$305)+(SUBSIDIO!$N$305*SUBSIDIO!$AA$305))*(0.04)/(1-0.04)</f>
        <v>248.08830003186071</v>
      </c>
      <c r="AF305" s="4" t="s">
        <v>844</v>
      </c>
    </row>
    <row r="306" spans="1:32" ht="11.25" customHeight="1" x14ac:dyDescent="0.25">
      <c r="A306" s="4" t="s">
        <v>59</v>
      </c>
      <c r="B306" s="4" t="s">
        <v>35</v>
      </c>
      <c r="C306" s="4" t="s">
        <v>36</v>
      </c>
      <c r="D306" s="4" t="s">
        <v>47</v>
      </c>
      <c r="E306" s="4" t="s">
        <v>58</v>
      </c>
      <c r="F306" s="4" t="s">
        <v>56</v>
      </c>
      <c r="G306" s="4" t="s">
        <v>25</v>
      </c>
      <c r="H306" s="4" t="s">
        <v>38</v>
      </c>
      <c r="I306" s="5">
        <v>44470</v>
      </c>
      <c r="J306" s="6">
        <v>0</v>
      </c>
      <c r="K306" s="77">
        <v>0</v>
      </c>
      <c r="L306" s="6">
        <v>13.739000000000001</v>
      </c>
      <c r="M306" s="77">
        <v>13.739000000000001</v>
      </c>
      <c r="N306" s="6">
        <v>13.739000000000001</v>
      </c>
      <c r="O306" s="77">
        <v>13.739000000000001</v>
      </c>
      <c r="P306" s="6">
        <v>0</v>
      </c>
      <c r="Q306" s="4" t="s">
        <v>26</v>
      </c>
      <c r="R306" s="4">
        <v>0</v>
      </c>
      <c r="S306" s="4">
        <v>0</v>
      </c>
      <c r="T306" s="4">
        <v>19</v>
      </c>
      <c r="U306" s="4">
        <v>67</v>
      </c>
      <c r="V306" s="77">
        <f>IF(ISERROR(VLOOKUP($S$306,'TAR FIN'!$A$1:$O$95,15,0)),0,VLOOKUP($S$306,'TAR FIN'!$A$1:$O$95,15,0))</f>
        <v>0</v>
      </c>
      <c r="W306" s="77">
        <f>IF(ISERROR(VLOOKUP($T$306,'TAR FIN'!$A$1:$O$95,15,0)),0,VLOOKUP($T$306,'TAR FIN'!$A$1:$O$95,15,0))*(1-0.06)</f>
        <v>140.65219999999999</v>
      </c>
      <c r="X306" s="77">
        <f>IF(ISERROR(VLOOKUP($U$306,'TAR FIN'!$A$1:$O$95,15,0)),0,VLOOKUP($U$306,'TAR FIN'!$A$1:$O$95,15,0))*(1-0.06)</f>
        <v>216.22819999999999</v>
      </c>
      <c r="Y306" s="77"/>
      <c r="Z306" s="77">
        <f ca="1">('TUSD BE'!$AM$17+'TUSD BF'!$AM$17+'TUSD CVA'!$AM$17)*1*(1-0.04)</f>
        <v>161.7728460762047</v>
      </c>
      <c r="AA306" s="77">
        <f>('TE BE'!$AA$8+'TE BF'!$AA$8+'TE CVA'!$AA$8)*1*(1-0.04)</f>
        <v>271.60070372834122</v>
      </c>
      <c r="AB306" s="77">
        <f>(SUBSIDIO!$J$306*SUBSIDIO!$V$306)*(0.06)/(1-0.06)</f>
        <v>0</v>
      </c>
      <c r="AC306" s="77">
        <f>((SUBSIDIO!$L$306*SUBSIDIO!$W$306)+(SUBSIDIO!$N$306*SUBSIDIO!$X$306))*(0.06)/(1-0.06)</f>
        <v>312.96892439999999</v>
      </c>
      <c r="AD306" s="77">
        <f>(SUBSIDIO!$J$306*SUBSIDIO!$Y$306)*(0.04)/(1-0.04)</f>
        <v>0</v>
      </c>
      <c r="AE306" s="77">
        <f ca="1">((SUBSIDIO!$L$306*SUBSIDIO!$Z$306)+(SUBSIDIO!$N$306*SUBSIDIO!$AA$306))*(0.04)/(1-0.04)</f>
        <v>248.08830003186071</v>
      </c>
      <c r="AF306" s="4" t="s">
        <v>844</v>
      </c>
    </row>
    <row r="307" spans="1:32" ht="11.25" customHeight="1" x14ac:dyDescent="0.25">
      <c r="A307" s="4" t="s">
        <v>28</v>
      </c>
      <c r="B307" s="4" t="s">
        <v>35</v>
      </c>
      <c r="C307" s="4" t="s">
        <v>36</v>
      </c>
      <c r="D307" s="4" t="s">
        <v>47</v>
      </c>
      <c r="E307" s="4" t="s">
        <v>58</v>
      </c>
      <c r="F307" s="4" t="s">
        <v>56</v>
      </c>
      <c r="G307" s="4" t="s">
        <v>25</v>
      </c>
      <c r="H307" s="4" t="s">
        <v>37</v>
      </c>
      <c r="I307" s="5">
        <v>44378</v>
      </c>
      <c r="J307" s="6">
        <v>0</v>
      </c>
      <c r="K307" s="77">
        <v>0</v>
      </c>
      <c r="L307" s="6">
        <v>3.7519999999999998</v>
      </c>
      <c r="M307" s="77">
        <v>3.7519999999999998</v>
      </c>
      <c r="N307" s="6">
        <v>3.7519999999999998</v>
      </c>
      <c r="O307" s="77">
        <v>3.7519999999999998</v>
      </c>
      <c r="P307" s="6">
        <v>0</v>
      </c>
      <c r="Q307" s="4" t="s">
        <v>26</v>
      </c>
      <c r="R307" s="4">
        <v>0</v>
      </c>
      <c r="S307" s="4">
        <v>0</v>
      </c>
      <c r="T307" s="4">
        <v>24</v>
      </c>
      <c r="U307" s="4">
        <v>66</v>
      </c>
      <c r="V307" s="77">
        <f>IF(ISERROR(VLOOKUP($S$307,'TAR FIN'!$A$1:$O$95,15,0)),0,VLOOKUP($S$307,'TAR FIN'!$A$1:$O$95,15,0))</f>
        <v>0</v>
      </c>
      <c r="W307" s="77">
        <f>IF(ISERROR(VLOOKUP($T$307,'TAR FIN'!$A$1:$O$95,15,0)),0,VLOOKUP($T$307,'TAR FIN'!$A$1:$O$95,15,0))*(1-0.06)</f>
        <v>1348.7025999999998</v>
      </c>
      <c r="X307" s="77">
        <f>IF(ISERROR(VLOOKUP($U$307,'TAR FIN'!$A$1:$O$95,15,0)),0,VLOOKUP($U$307,'TAR FIN'!$A$1:$O$95,15,0))*(1-0.06)</f>
        <v>365.92319999999995</v>
      </c>
      <c r="Y307" s="77"/>
      <c r="Z307" s="77">
        <f ca="1">('TUSD BE'!$AM$16+'TUSD BF'!$AM$16+'TUSD CVA'!$AM$16)*1*(1-0.04)</f>
        <v>1541.7519661664016</v>
      </c>
      <c r="AA307" s="77">
        <f>('TE BE'!$AA$7+'TE BF'!$AA$7+'TE CVA'!$AA$7)*1*(1-0.04)</f>
        <v>436.15542521126838</v>
      </c>
      <c r="AB307" s="77">
        <f>(SUBSIDIO!$J$307*SUBSIDIO!$V$307)*(0.06)/(1-0.06)</f>
        <v>0</v>
      </c>
      <c r="AC307" s="77">
        <f>((SUBSIDIO!$L$307*SUBSIDIO!$W$307)+(SUBSIDIO!$N$307*SUBSIDIO!$X$307))*(0.06)/(1-0.06)</f>
        <v>410.63463839999991</v>
      </c>
      <c r="AD307" s="77">
        <f>(SUBSIDIO!$J$307*SUBSIDIO!$Y$307)*(0.04)/(1-0.04)</f>
        <v>0</v>
      </c>
      <c r="AE307" s="77">
        <f ca="1">((SUBSIDIO!$L$307*SUBSIDIO!$Z$307)+(SUBSIDIO!$N$307*SUBSIDIO!$AA$307))*(0.04)/(1-0.04)</f>
        <v>309.21285551870903</v>
      </c>
      <c r="AF307" s="4" t="s">
        <v>844</v>
      </c>
    </row>
    <row r="308" spans="1:32" ht="11.25" customHeight="1" x14ac:dyDescent="0.25">
      <c r="A308" s="4" t="s">
        <v>28</v>
      </c>
      <c r="B308" s="4" t="s">
        <v>35</v>
      </c>
      <c r="C308" s="4" t="s">
        <v>36</v>
      </c>
      <c r="D308" s="4" t="s">
        <v>47</v>
      </c>
      <c r="E308" s="4" t="s">
        <v>58</v>
      </c>
      <c r="F308" s="4" t="s">
        <v>56</v>
      </c>
      <c r="G308" s="4" t="s">
        <v>25</v>
      </c>
      <c r="H308" s="4" t="s">
        <v>37</v>
      </c>
      <c r="I308" s="5">
        <v>44409</v>
      </c>
      <c r="J308" s="6">
        <v>0</v>
      </c>
      <c r="K308" s="77">
        <v>0</v>
      </c>
      <c r="L308" s="6">
        <v>0.28000000000000003</v>
      </c>
      <c r="M308" s="77">
        <v>0.28000000000000003</v>
      </c>
      <c r="N308" s="6">
        <v>0.28000000000000003</v>
      </c>
      <c r="O308" s="77">
        <v>0.28000000000000003</v>
      </c>
      <c r="P308" s="6">
        <v>0</v>
      </c>
      <c r="Q308" s="4" t="s">
        <v>26</v>
      </c>
      <c r="R308" s="4">
        <v>0</v>
      </c>
      <c r="S308" s="4">
        <v>0</v>
      </c>
      <c r="T308" s="4">
        <v>24</v>
      </c>
      <c r="U308" s="4">
        <v>66</v>
      </c>
      <c r="V308" s="77">
        <f>IF(ISERROR(VLOOKUP($S$308,'TAR FIN'!$A$1:$O$95,15,0)),0,VLOOKUP($S$308,'TAR FIN'!$A$1:$O$95,15,0))</f>
        <v>0</v>
      </c>
      <c r="W308" s="77">
        <f>IF(ISERROR(VLOOKUP($T$308,'TAR FIN'!$A$1:$O$95,15,0)),0,VLOOKUP($T$308,'TAR FIN'!$A$1:$O$95,15,0))*(1-0.06)</f>
        <v>1348.7025999999998</v>
      </c>
      <c r="X308" s="77">
        <f>IF(ISERROR(VLOOKUP($U$308,'TAR FIN'!$A$1:$O$95,15,0)),0,VLOOKUP($U$308,'TAR FIN'!$A$1:$O$95,15,0))*(1-0.06)</f>
        <v>365.92319999999995</v>
      </c>
      <c r="Y308" s="77"/>
      <c r="Z308" s="77">
        <f ca="1">('TUSD BE'!$AM$16+'TUSD BF'!$AM$16+'TUSD CVA'!$AM$16)*1*(1-0.04)</f>
        <v>1541.7519661664016</v>
      </c>
      <c r="AA308" s="77">
        <f>('TE BE'!$AA$7+'TE BF'!$AA$7+'TE CVA'!$AA$7)*1*(1-0.04)</f>
        <v>436.15542521126838</v>
      </c>
      <c r="AB308" s="77">
        <f>(SUBSIDIO!$J$308*SUBSIDIO!$V$308)*(0.06)/(1-0.06)</f>
        <v>0</v>
      </c>
      <c r="AC308" s="77">
        <f>((SUBSIDIO!$L$308*SUBSIDIO!$W$308)+(SUBSIDIO!$N$308*SUBSIDIO!$X$308))*(0.06)/(1-0.06)</f>
        <v>30.644376000000005</v>
      </c>
      <c r="AD308" s="77">
        <f>(SUBSIDIO!$J$308*SUBSIDIO!$Y$308)*(0.04)/(1-0.04)</f>
        <v>0</v>
      </c>
      <c r="AE308" s="77">
        <f ca="1">((SUBSIDIO!$L$308*SUBSIDIO!$Z$308)+(SUBSIDIO!$N$308*SUBSIDIO!$AA$308))*(0.04)/(1-0.04)</f>
        <v>23.075586232739486</v>
      </c>
      <c r="AF308" s="4" t="s">
        <v>844</v>
      </c>
    </row>
    <row r="309" spans="1:32" ht="11.25" customHeight="1" x14ac:dyDescent="0.25">
      <c r="A309" s="4" t="s">
        <v>28</v>
      </c>
      <c r="B309" s="4" t="s">
        <v>35</v>
      </c>
      <c r="C309" s="4" t="s">
        <v>36</v>
      </c>
      <c r="D309" s="4" t="s">
        <v>47</v>
      </c>
      <c r="E309" s="4" t="s">
        <v>58</v>
      </c>
      <c r="F309" s="4" t="s">
        <v>56</v>
      </c>
      <c r="G309" s="4" t="s">
        <v>25</v>
      </c>
      <c r="H309" s="4" t="s">
        <v>37</v>
      </c>
      <c r="I309" s="5">
        <v>44440</v>
      </c>
      <c r="J309" s="6">
        <v>0</v>
      </c>
      <c r="K309" s="77">
        <v>0</v>
      </c>
      <c r="L309" s="6">
        <v>0.313</v>
      </c>
      <c r="M309" s="77">
        <v>0.313</v>
      </c>
      <c r="N309" s="6">
        <v>0.313</v>
      </c>
      <c r="O309" s="77">
        <v>0.313</v>
      </c>
      <c r="P309" s="6">
        <v>0</v>
      </c>
      <c r="Q309" s="4" t="s">
        <v>26</v>
      </c>
      <c r="R309" s="4">
        <v>0</v>
      </c>
      <c r="S309" s="4">
        <v>0</v>
      </c>
      <c r="T309" s="4">
        <v>24</v>
      </c>
      <c r="U309" s="4">
        <v>66</v>
      </c>
      <c r="V309" s="77">
        <f>IF(ISERROR(VLOOKUP($S$309,'TAR FIN'!$A$1:$O$95,15,0)),0,VLOOKUP($S$309,'TAR FIN'!$A$1:$O$95,15,0))</f>
        <v>0</v>
      </c>
      <c r="W309" s="77">
        <f>IF(ISERROR(VLOOKUP($T$309,'TAR FIN'!$A$1:$O$95,15,0)),0,VLOOKUP($T$309,'TAR FIN'!$A$1:$O$95,15,0))*(1-0.06)</f>
        <v>1348.7025999999998</v>
      </c>
      <c r="X309" s="77">
        <f>IF(ISERROR(VLOOKUP($U$309,'TAR FIN'!$A$1:$O$95,15,0)),0,VLOOKUP($U$309,'TAR FIN'!$A$1:$O$95,15,0))*(1-0.06)</f>
        <v>365.92319999999995</v>
      </c>
      <c r="Y309" s="77"/>
      <c r="Z309" s="77">
        <f ca="1">('TUSD BE'!$AM$16+'TUSD BF'!$AM$16+'TUSD CVA'!$AM$16)*1*(1-0.04)</f>
        <v>1541.7519661664016</v>
      </c>
      <c r="AA309" s="77">
        <f>('TE BE'!$AA$7+'TE BF'!$AA$7+'TE CVA'!$AA$7)*1*(1-0.04)</f>
        <v>436.15542521126838</v>
      </c>
      <c r="AB309" s="77">
        <f>(SUBSIDIO!$J$309*SUBSIDIO!$V$309)*(0.06)/(1-0.06)</f>
        <v>0</v>
      </c>
      <c r="AC309" s="77">
        <f>((SUBSIDIO!$L$309*SUBSIDIO!$W$309)+(SUBSIDIO!$N$309*SUBSIDIO!$X$309))*(0.06)/(1-0.06)</f>
        <v>34.2560346</v>
      </c>
      <c r="AD309" s="77">
        <f>(SUBSIDIO!$J$309*SUBSIDIO!$Y$309)*(0.04)/(1-0.04)</f>
        <v>0</v>
      </c>
      <c r="AE309" s="77">
        <f ca="1">((SUBSIDIO!$L$309*SUBSIDIO!$Z$309)+(SUBSIDIO!$N$309*SUBSIDIO!$AA$309))*(0.04)/(1-0.04)</f>
        <v>25.795208895883782</v>
      </c>
      <c r="AF309" s="4" t="s">
        <v>844</v>
      </c>
    </row>
    <row r="310" spans="1:32" ht="11.25" customHeight="1" x14ac:dyDescent="0.25">
      <c r="A310" s="4" t="s">
        <v>59</v>
      </c>
      <c r="B310" s="4" t="s">
        <v>35</v>
      </c>
      <c r="C310" s="4" t="s">
        <v>36</v>
      </c>
      <c r="D310" s="4" t="s">
        <v>47</v>
      </c>
      <c r="E310" s="4" t="s">
        <v>58</v>
      </c>
      <c r="F310" s="4" t="s">
        <v>56</v>
      </c>
      <c r="G310" s="4" t="s">
        <v>25</v>
      </c>
      <c r="H310" s="4" t="s">
        <v>37</v>
      </c>
      <c r="I310" s="5">
        <v>44470</v>
      </c>
      <c r="J310" s="6">
        <v>0</v>
      </c>
      <c r="K310" s="77">
        <v>0</v>
      </c>
      <c r="L310" s="6">
        <v>0.313</v>
      </c>
      <c r="M310" s="77">
        <v>0.313</v>
      </c>
      <c r="N310" s="6">
        <v>0.313</v>
      </c>
      <c r="O310" s="77">
        <v>0.313</v>
      </c>
      <c r="P310" s="6">
        <v>0</v>
      </c>
      <c r="Q310" s="4" t="s">
        <v>26</v>
      </c>
      <c r="R310" s="4">
        <v>0</v>
      </c>
      <c r="S310" s="4">
        <v>0</v>
      </c>
      <c r="T310" s="4">
        <v>24</v>
      </c>
      <c r="U310" s="4">
        <v>66</v>
      </c>
      <c r="V310" s="77">
        <f>IF(ISERROR(VLOOKUP($S$310,'TAR FIN'!$A$1:$O$95,15,0)),0,VLOOKUP($S$310,'TAR FIN'!$A$1:$O$95,15,0))</f>
        <v>0</v>
      </c>
      <c r="W310" s="77">
        <f>IF(ISERROR(VLOOKUP($T$310,'TAR FIN'!$A$1:$O$95,15,0)),0,VLOOKUP($T$310,'TAR FIN'!$A$1:$O$95,15,0))*(1-0.06)</f>
        <v>1348.7025999999998</v>
      </c>
      <c r="X310" s="77">
        <f>IF(ISERROR(VLOOKUP($U$310,'TAR FIN'!$A$1:$O$95,15,0)),0,VLOOKUP($U$310,'TAR FIN'!$A$1:$O$95,15,0))*(1-0.06)</f>
        <v>365.92319999999995</v>
      </c>
      <c r="Y310" s="77"/>
      <c r="Z310" s="77">
        <f ca="1">('TUSD BE'!$AM$16+'TUSD BF'!$AM$16+'TUSD CVA'!$AM$16)*1*(1-0.04)</f>
        <v>1541.7519661664016</v>
      </c>
      <c r="AA310" s="77">
        <f>('TE BE'!$AA$7+'TE BF'!$AA$7+'TE CVA'!$AA$7)*1*(1-0.04)</f>
        <v>436.15542521126838</v>
      </c>
      <c r="AB310" s="77">
        <f>(SUBSIDIO!$J$310*SUBSIDIO!$V$310)*(0.06)/(1-0.06)</f>
        <v>0</v>
      </c>
      <c r="AC310" s="77">
        <f>((SUBSIDIO!$L$310*SUBSIDIO!$W$310)+(SUBSIDIO!$N$310*SUBSIDIO!$X$310))*(0.06)/(1-0.06)</f>
        <v>34.2560346</v>
      </c>
      <c r="AD310" s="77">
        <f>(SUBSIDIO!$J$310*SUBSIDIO!$Y$310)*(0.04)/(1-0.04)</f>
        <v>0</v>
      </c>
      <c r="AE310" s="77">
        <f ca="1">((SUBSIDIO!$L$310*SUBSIDIO!$Z$310)+(SUBSIDIO!$N$310*SUBSIDIO!$AA$310))*(0.04)/(1-0.04)</f>
        <v>25.795208895883782</v>
      </c>
      <c r="AF310" s="4" t="s">
        <v>844</v>
      </c>
    </row>
    <row r="311" spans="1:32" ht="11.25" customHeight="1" x14ac:dyDescent="0.25">
      <c r="A311" s="4" t="s">
        <v>28</v>
      </c>
      <c r="B311" s="4" t="s">
        <v>35</v>
      </c>
      <c r="C311" s="4" t="s">
        <v>36</v>
      </c>
      <c r="D311" s="4" t="s">
        <v>47</v>
      </c>
      <c r="E311" s="4" t="s">
        <v>58</v>
      </c>
      <c r="F311" s="4" t="s">
        <v>57</v>
      </c>
      <c r="G311" s="4" t="s">
        <v>25</v>
      </c>
      <c r="H311" s="4" t="s">
        <v>38</v>
      </c>
      <c r="I311" s="5">
        <v>44378</v>
      </c>
      <c r="J311" s="6">
        <v>0</v>
      </c>
      <c r="K311" s="6">
        <v>0</v>
      </c>
      <c r="L311" s="6">
        <v>3.7240000000000002</v>
      </c>
      <c r="M311" s="6">
        <v>3.5005600000000001</v>
      </c>
      <c r="N311" s="6">
        <v>3.7240000000000002</v>
      </c>
      <c r="O311" s="6">
        <v>3.5005600000000001</v>
      </c>
      <c r="P311" s="6">
        <v>0</v>
      </c>
      <c r="Q311" s="4" t="s">
        <v>26</v>
      </c>
      <c r="R311" s="4">
        <v>0</v>
      </c>
      <c r="S311" s="4">
        <v>0</v>
      </c>
      <c r="T311" s="4">
        <v>19</v>
      </c>
      <c r="U311" s="4">
        <v>67</v>
      </c>
      <c r="V311" s="6">
        <f>IF(ISERROR(VLOOKUP($S$311,'TAR FIN'!$A$1:$O$95,15,0)),0,VLOOKUP($S$311,'TAR FIN'!$A$1:$O$95,15,0))</f>
        <v>0</v>
      </c>
      <c r="W311" s="6">
        <f>IF(ISERROR(VLOOKUP($T$311,'TAR FIN'!$A$1:$O$95,15,0)),0,VLOOKUP($T$311,'TAR FIN'!$A$1:$O$95,15,0))</f>
        <v>149.63</v>
      </c>
      <c r="X311" s="6">
        <f>IF(ISERROR(VLOOKUP($U$311,'TAR FIN'!$A$1:$O$95,15,0)),0,VLOOKUP($U$311,'TAR FIN'!$A$1:$O$95,15,0))</f>
        <v>230.03</v>
      </c>
      <c r="Y311" s="6"/>
      <c r="Z311" s="6">
        <f ca="1">('TUSD BE'!$AM$17+'TUSD BF'!$AM$17+'TUSD CVA'!$AM$17)*1</f>
        <v>168.51338132937991</v>
      </c>
      <c r="AA311" s="6">
        <f>('TE BE'!$AA$8+'TE BF'!$AA$8+'TE CVA'!$AA$8)*1</f>
        <v>282.91739971702214</v>
      </c>
      <c r="AB311" s="6">
        <f t="shared" si="14"/>
        <v>0</v>
      </c>
      <c r="AC311" s="6">
        <f t="shared" si="15"/>
        <v>84.831230400000024</v>
      </c>
      <c r="AD311" s="6">
        <f t="shared" si="16"/>
        <v>0</v>
      </c>
      <c r="AE311" s="6">
        <f t="shared" ca="1" si="17"/>
        <v>100.86769371700811</v>
      </c>
      <c r="AF311" s="4" t="s">
        <v>844</v>
      </c>
    </row>
    <row r="312" spans="1:32" ht="11.25" customHeight="1" x14ac:dyDescent="0.25">
      <c r="A312" s="4" t="s">
        <v>28</v>
      </c>
      <c r="B312" s="4" t="s">
        <v>35</v>
      </c>
      <c r="C312" s="4" t="s">
        <v>36</v>
      </c>
      <c r="D312" s="4" t="s">
        <v>47</v>
      </c>
      <c r="E312" s="4" t="s">
        <v>58</v>
      </c>
      <c r="F312" s="4" t="s">
        <v>57</v>
      </c>
      <c r="G312" s="4" t="s">
        <v>25</v>
      </c>
      <c r="H312" s="4" t="s">
        <v>38</v>
      </c>
      <c r="I312" s="5">
        <v>44409</v>
      </c>
      <c r="J312" s="6">
        <v>0</v>
      </c>
      <c r="K312" s="6">
        <v>0</v>
      </c>
      <c r="L312" s="6">
        <v>7.1680000000000001</v>
      </c>
      <c r="M312" s="6">
        <v>6.7379199999999999</v>
      </c>
      <c r="N312" s="6">
        <v>7.1680000000000001</v>
      </c>
      <c r="O312" s="6">
        <v>6.7379199999999999</v>
      </c>
      <c r="P312" s="6">
        <v>0</v>
      </c>
      <c r="Q312" s="4" t="s">
        <v>26</v>
      </c>
      <c r="R312" s="4">
        <v>0</v>
      </c>
      <c r="S312" s="4">
        <v>0</v>
      </c>
      <c r="T312" s="4">
        <v>19</v>
      </c>
      <c r="U312" s="4">
        <v>67</v>
      </c>
      <c r="V312" s="6">
        <f>IF(ISERROR(VLOOKUP($S$312,'TAR FIN'!$A$1:$O$95,15,0)),0,VLOOKUP($S$312,'TAR FIN'!$A$1:$O$95,15,0))</f>
        <v>0</v>
      </c>
      <c r="W312" s="6">
        <f>IF(ISERROR(VLOOKUP($T$312,'TAR FIN'!$A$1:$O$95,15,0)),0,VLOOKUP($T$312,'TAR FIN'!$A$1:$O$95,15,0))</f>
        <v>149.63</v>
      </c>
      <c r="X312" s="6">
        <f>IF(ISERROR(VLOOKUP($U$312,'TAR FIN'!$A$1:$O$95,15,0)),0,VLOOKUP($U$312,'TAR FIN'!$A$1:$O$95,15,0))</f>
        <v>230.03</v>
      </c>
      <c r="Y312" s="6"/>
      <c r="Z312" s="6">
        <f ca="1">('TUSD BE'!$AM$17+'TUSD BF'!$AM$17+'TUSD CVA'!$AM$17)*1</f>
        <v>168.51338132937991</v>
      </c>
      <c r="AA312" s="6">
        <f>('TE BE'!$AA$8+'TE BF'!$AA$8+'TE CVA'!$AA$8)*1</f>
        <v>282.91739971702214</v>
      </c>
      <c r="AB312" s="6">
        <f t="shared" si="14"/>
        <v>0</v>
      </c>
      <c r="AC312" s="6">
        <f t="shared" si="15"/>
        <v>163.28417280000008</v>
      </c>
      <c r="AD312" s="6">
        <f t="shared" si="16"/>
        <v>0</v>
      </c>
      <c r="AE312" s="6">
        <f t="shared" ca="1" si="17"/>
        <v>194.1513503124367</v>
      </c>
      <c r="AF312" s="4" t="s">
        <v>844</v>
      </c>
    </row>
    <row r="313" spans="1:32" ht="11.25" customHeight="1" x14ac:dyDescent="0.25">
      <c r="A313" s="4" t="s">
        <v>29</v>
      </c>
      <c r="B313" s="4" t="s">
        <v>35</v>
      </c>
      <c r="C313" s="4" t="s">
        <v>36</v>
      </c>
      <c r="D313" s="4" t="s">
        <v>47</v>
      </c>
      <c r="E313" s="4" t="s">
        <v>58</v>
      </c>
      <c r="F313" s="4" t="s">
        <v>57</v>
      </c>
      <c r="G313" s="4" t="s">
        <v>25</v>
      </c>
      <c r="H313" s="4" t="s">
        <v>38</v>
      </c>
      <c r="I313" s="5">
        <v>44409</v>
      </c>
      <c r="J313" s="6">
        <v>0</v>
      </c>
      <c r="K313" s="6">
        <v>0</v>
      </c>
      <c r="L313" s="6">
        <v>3.6589999999999998</v>
      </c>
      <c r="M313" s="6">
        <v>3.4394599999999995</v>
      </c>
      <c r="N313" s="6">
        <v>3.6589999999999998</v>
      </c>
      <c r="O313" s="6">
        <v>3.4394599999999995</v>
      </c>
      <c r="P313" s="6">
        <v>0</v>
      </c>
      <c r="Q313" s="4" t="s">
        <v>26</v>
      </c>
      <c r="R313" s="4">
        <v>0</v>
      </c>
      <c r="S313" s="4">
        <v>0</v>
      </c>
      <c r="T313" s="4">
        <v>19</v>
      </c>
      <c r="U313" s="4">
        <v>67</v>
      </c>
      <c r="V313" s="6">
        <f>IF(ISERROR(VLOOKUP($S$313,'TAR FIN'!$A$1:$O$95,15,0)),0,VLOOKUP($S$313,'TAR FIN'!$A$1:$O$95,15,0))</f>
        <v>0</v>
      </c>
      <c r="W313" s="6">
        <f>IF(ISERROR(VLOOKUP($T$313,'TAR FIN'!$A$1:$O$95,15,0)),0,VLOOKUP($T$313,'TAR FIN'!$A$1:$O$95,15,0))</f>
        <v>149.63</v>
      </c>
      <c r="X313" s="6">
        <f>IF(ISERROR(VLOOKUP($U$313,'TAR FIN'!$A$1:$O$95,15,0)),0,VLOOKUP($U$313,'TAR FIN'!$A$1:$O$95,15,0))</f>
        <v>230.03</v>
      </c>
      <c r="Y313" s="6"/>
      <c r="Z313" s="6">
        <f ca="1">('TUSD BE'!$AM$17+'TUSD BF'!$AM$17+'TUSD CVA'!$AM$17)*1</f>
        <v>168.51338132937991</v>
      </c>
      <c r="AA313" s="6">
        <f>('TE BE'!$AA$8+'TE BF'!$AA$8+'TE CVA'!$AA$8)*1</f>
        <v>282.91739971702214</v>
      </c>
      <c r="AB313" s="6">
        <f t="shared" si="14"/>
        <v>0</v>
      </c>
      <c r="AC313" s="6">
        <f t="shared" si="15"/>
        <v>83.350556400000102</v>
      </c>
      <c r="AD313" s="6">
        <f t="shared" si="16"/>
        <v>0</v>
      </c>
      <c r="AE313" s="6">
        <f t="shared" ca="1" si="17"/>
        <v>99.107113670927234</v>
      </c>
      <c r="AF313" s="4" t="s">
        <v>844</v>
      </c>
    </row>
    <row r="314" spans="1:32" ht="11.25" customHeight="1" x14ac:dyDescent="0.25">
      <c r="A314" s="4" t="s">
        <v>28</v>
      </c>
      <c r="B314" s="4" t="s">
        <v>35</v>
      </c>
      <c r="C314" s="4" t="s">
        <v>36</v>
      </c>
      <c r="D314" s="4" t="s">
        <v>47</v>
      </c>
      <c r="E314" s="4" t="s">
        <v>58</v>
      </c>
      <c r="F314" s="4" t="s">
        <v>57</v>
      </c>
      <c r="G314" s="4" t="s">
        <v>25</v>
      </c>
      <c r="H314" s="4" t="s">
        <v>38</v>
      </c>
      <c r="I314" s="5">
        <v>44440</v>
      </c>
      <c r="J314" s="6">
        <v>0</v>
      </c>
      <c r="K314" s="6">
        <v>0</v>
      </c>
      <c r="L314" s="6">
        <v>11.260999999999999</v>
      </c>
      <c r="M314" s="6">
        <v>10.585339999999999</v>
      </c>
      <c r="N314" s="6">
        <v>11.260999999999999</v>
      </c>
      <c r="O314" s="6">
        <v>10.585339999999999</v>
      </c>
      <c r="P314" s="6">
        <v>0</v>
      </c>
      <c r="Q314" s="4" t="s">
        <v>26</v>
      </c>
      <c r="R314" s="4">
        <v>0</v>
      </c>
      <c r="S314" s="4">
        <v>0</v>
      </c>
      <c r="T314" s="4">
        <v>19</v>
      </c>
      <c r="U314" s="4">
        <v>67</v>
      </c>
      <c r="V314" s="6">
        <f>IF(ISERROR(VLOOKUP($S$314,'TAR FIN'!$A$1:$O$95,15,0)),0,VLOOKUP($S$314,'TAR FIN'!$A$1:$O$95,15,0))</f>
        <v>0</v>
      </c>
      <c r="W314" s="6">
        <f>IF(ISERROR(VLOOKUP($T$314,'TAR FIN'!$A$1:$O$95,15,0)),0,VLOOKUP($T$314,'TAR FIN'!$A$1:$O$95,15,0))</f>
        <v>149.63</v>
      </c>
      <c r="X314" s="6">
        <f>IF(ISERROR(VLOOKUP($U$314,'TAR FIN'!$A$1:$O$95,15,0)),0,VLOOKUP($U$314,'TAR FIN'!$A$1:$O$95,15,0))</f>
        <v>230.03</v>
      </c>
      <c r="Y314" s="6"/>
      <c r="Z314" s="6">
        <f ca="1">('TUSD BE'!$AM$17+'TUSD BF'!$AM$17+'TUSD CVA'!$AM$17)*1</f>
        <v>168.51338132937991</v>
      </c>
      <c r="AA314" s="6">
        <f>('TE BE'!$AA$8+'TE BF'!$AA$8+'TE CVA'!$AA$8)*1</f>
        <v>282.91739971702214</v>
      </c>
      <c r="AB314" s="6">
        <f t="shared" si="14"/>
        <v>0</v>
      </c>
      <c r="AC314" s="6">
        <f t="shared" si="15"/>
        <v>256.52107560000024</v>
      </c>
      <c r="AD314" s="6">
        <f t="shared" si="16"/>
        <v>0</v>
      </c>
      <c r="AE314" s="6">
        <f t="shared" ca="1" si="17"/>
        <v>305.01372152181227</v>
      </c>
      <c r="AF314" s="4" t="s">
        <v>844</v>
      </c>
    </row>
    <row r="315" spans="1:32" ht="11.25" customHeight="1" x14ac:dyDescent="0.25">
      <c r="A315" s="4" t="s">
        <v>59</v>
      </c>
      <c r="B315" s="4" t="s">
        <v>35</v>
      </c>
      <c r="C315" s="4" t="s">
        <v>36</v>
      </c>
      <c r="D315" s="4" t="s">
        <v>47</v>
      </c>
      <c r="E315" s="4" t="s">
        <v>58</v>
      </c>
      <c r="F315" s="4" t="s">
        <v>57</v>
      </c>
      <c r="G315" s="4" t="s">
        <v>25</v>
      </c>
      <c r="H315" s="4" t="s">
        <v>38</v>
      </c>
      <c r="I315" s="5">
        <v>44470</v>
      </c>
      <c r="J315" s="6">
        <v>0</v>
      </c>
      <c r="K315" s="6">
        <v>0</v>
      </c>
      <c r="L315" s="6">
        <v>11.260999999999999</v>
      </c>
      <c r="M315" s="6">
        <v>10.585339999999999</v>
      </c>
      <c r="N315" s="6">
        <v>11.260999999999999</v>
      </c>
      <c r="O315" s="6">
        <v>10.585339999999999</v>
      </c>
      <c r="P315" s="6">
        <v>0</v>
      </c>
      <c r="Q315" s="4" t="s">
        <v>26</v>
      </c>
      <c r="R315" s="4">
        <v>0</v>
      </c>
      <c r="S315" s="4">
        <v>0</v>
      </c>
      <c r="T315" s="4">
        <v>19</v>
      </c>
      <c r="U315" s="4">
        <v>67</v>
      </c>
      <c r="V315" s="6">
        <f>IF(ISERROR(VLOOKUP($S$315,'TAR FIN'!$A$1:$O$95,15,0)),0,VLOOKUP($S$315,'TAR FIN'!$A$1:$O$95,15,0))</f>
        <v>0</v>
      </c>
      <c r="W315" s="6">
        <f>IF(ISERROR(VLOOKUP($T$315,'TAR FIN'!$A$1:$O$95,15,0)),0,VLOOKUP($T$315,'TAR FIN'!$A$1:$O$95,15,0))</f>
        <v>149.63</v>
      </c>
      <c r="X315" s="6">
        <f>IF(ISERROR(VLOOKUP($U$315,'TAR FIN'!$A$1:$O$95,15,0)),0,VLOOKUP($U$315,'TAR FIN'!$A$1:$O$95,15,0))</f>
        <v>230.03</v>
      </c>
      <c r="Y315" s="6"/>
      <c r="Z315" s="6">
        <f ca="1">('TUSD BE'!$AM$17+'TUSD BF'!$AM$17+'TUSD CVA'!$AM$17)*1</f>
        <v>168.51338132937991</v>
      </c>
      <c r="AA315" s="6">
        <f>('TE BE'!$AA$8+'TE BF'!$AA$8+'TE CVA'!$AA$8)*1</f>
        <v>282.91739971702214</v>
      </c>
      <c r="AB315" s="6">
        <f t="shared" si="14"/>
        <v>0</v>
      </c>
      <c r="AC315" s="6">
        <f t="shared" si="15"/>
        <v>256.52107560000024</v>
      </c>
      <c r="AD315" s="6">
        <f t="shared" si="16"/>
        <v>0</v>
      </c>
      <c r="AE315" s="6">
        <f t="shared" ca="1" si="17"/>
        <v>305.01372152181227</v>
      </c>
      <c r="AF315" s="4" t="s">
        <v>844</v>
      </c>
    </row>
    <row r="316" spans="1:32" ht="11.25" customHeight="1" x14ac:dyDescent="0.25">
      <c r="A316" s="4" t="s">
        <v>28</v>
      </c>
      <c r="B316" s="4" t="s">
        <v>35</v>
      </c>
      <c r="C316" s="4" t="s">
        <v>36</v>
      </c>
      <c r="D316" s="4" t="s">
        <v>47</v>
      </c>
      <c r="E316" s="4" t="s">
        <v>58</v>
      </c>
      <c r="F316" s="4" t="s">
        <v>25</v>
      </c>
      <c r="G316" s="4" t="s">
        <v>25</v>
      </c>
      <c r="H316" s="4" t="s">
        <v>25</v>
      </c>
      <c r="I316" s="5">
        <v>44378</v>
      </c>
      <c r="J316" s="6">
        <v>43</v>
      </c>
      <c r="K316" s="77">
        <v>43</v>
      </c>
      <c r="L316" s="6">
        <v>0</v>
      </c>
      <c r="M316" s="77">
        <v>0</v>
      </c>
      <c r="N316" s="6">
        <v>0</v>
      </c>
      <c r="O316" s="77">
        <v>0</v>
      </c>
      <c r="P316" s="6">
        <v>1</v>
      </c>
      <c r="Q316" s="4" t="s">
        <v>26</v>
      </c>
      <c r="R316" s="4">
        <v>0</v>
      </c>
      <c r="S316" s="4">
        <v>23</v>
      </c>
      <c r="T316" s="4">
        <v>0</v>
      </c>
      <c r="U316" s="4">
        <v>0</v>
      </c>
      <c r="V316" s="77">
        <f>IF(ISERROR(VLOOKUP($S$316,'TAR FIN'!$A$1:$O$95,15,0)),0,VLOOKUP($S$316,'TAR FIN'!$A$1:$O$95,15,0))*(1-0.06)</f>
        <v>26.855799999999999</v>
      </c>
      <c r="W316" s="77">
        <f>IF(ISERROR(VLOOKUP($T$316,'TAR FIN'!$A$1:$O$95,15,0)),0,VLOOKUP($T$316,'TAR FIN'!$A$1:$O$95,15,0))</f>
        <v>0</v>
      </c>
      <c r="X316" s="77">
        <f>IF(ISERROR(VLOOKUP($U$316,'TAR FIN'!$A$1:$O$95,15,0)),0,VLOOKUP($U$316,'TAR FIN'!$A$1:$O$95,15,0))</f>
        <v>0</v>
      </c>
      <c r="Y316" s="77">
        <f ca="1">('TUSD BE'!$AM$15+'TUSD BF'!$AM$15+'TUSD CVA'!$AM$15)*1*(1-0.04)</f>
        <v>30.653416196860647</v>
      </c>
      <c r="Z316" s="77"/>
      <c r="AA316" s="77"/>
      <c r="AB316" s="77">
        <f>(SUBSIDIO!$J$316*SUBSIDIO!$V$316)*(0.06)/(1-0.06)</f>
        <v>73.710599999999985</v>
      </c>
      <c r="AC316" s="77">
        <f>((SUBSIDIO!$L$316*SUBSIDIO!$W$316)+(SUBSIDIO!$N$316*SUBSIDIO!$X$316))*(0.06)/(1-0.06)</f>
        <v>0</v>
      </c>
      <c r="AD316" s="77">
        <f ca="1">(SUBSIDIO!$J$316*SUBSIDIO!$Y$316)*(0.04)/(1-0.04)</f>
        <v>54.920704019375329</v>
      </c>
      <c r="AE316" s="77">
        <f>((SUBSIDIO!$L$316*SUBSIDIO!$Z$316)+(SUBSIDIO!$N$316*SUBSIDIO!$AA$316))*(0.04)/(1-0.04)</f>
        <v>0</v>
      </c>
      <c r="AF316" s="4" t="s">
        <v>844</v>
      </c>
    </row>
    <row r="317" spans="1:32" ht="11.25" customHeight="1" x14ac:dyDescent="0.25">
      <c r="A317" s="4" t="s">
        <v>28</v>
      </c>
      <c r="B317" s="4" t="s">
        <v>35</v>
      </c>
      <c r="C317" s="4" t="s">
        <v>36</v>
      </c>
      <c r="D317" s="4" t="s">
        <v>47</v>
      </c>
      <c r="E317" s="4" t="s">
        <v>58</v>
      </c>
      <c r="F317" s="4" t="s">
        <v>25</v>
      </c>
      <c r="G317" s="4" t="s">
        <v>25</v>
      </c>
      <c r="H317" s="4" t="s">
        <v>25</v>
      </c>
      <c r="I317" s="5">
        <v>44409</v>
      </c>
      <c r="J317" s="6">
        <v>88</v>
      </c>
      <c r="K317" s="77">
        <v>88</v>
      </c>
      <c r="L317" s="6">
        <v>0</v>
      </c>
      <c r="M317" s="77">
        <v>0</v>
      </c>
      <c r="N317" s="6">
        <v>0</v>
      </c>
      <c r="O317" s="77">
        <v>0</v>
      </c>
      <c r="P317" s="6">
        <v>1</v>
      </c>
      <c r="Q317" s="4" t="s">
        <v>26</v>
      </c>
      <c r="R317" s="4">
        <v>0</v>
      </c>
      <c r="S317" s="4">
        <v>23</v>
      </c>
      <c r="T317" s="4">
        <v>0</v>
      </c>
      <c r="U317" s="4">
        <v>0</v>
      </c>
      <c r="V317" s="77">
        <f>IF(ISERROR(VLOOKUP($S$317,'TAR FIN'!$A$1:$O$95,15,0)),0,VLOOKUP($S$317,'TAR FIN'!$A$1:$O$95,15,0))*(1-0.06)</f>
        <v>26.855799999999999</v>
      </c>
      <c r="W317" s="77">
        <f>IF(ISERROR(VLOOKUP($T$317,'TAR FIN'!$A$1:$O$95,15,0)),0,VLOOKUP($T$317,'TAR FIN'!$A$1:$O$95,15,0))</f>
        <v>0</v>
      </c>
      <c r="X317" s="77">
        <f>IF(ISERROR(VLOOKUP($U$317,'TAR FIN'!$A$1:$O$95,15,0)),0,VLOOKUP($U$317,'TAR FIN'!$A$1:$O$95,15,0))</f>
        <v>0</v>
      </c>
      <c r="Y317" s="77">
        <f ca="1">('TUSD BE'!$AM$15+'TUSD BF'!$AM$15+'TUSD CVA'!$AM$15)*1*(1-0.04)</f>
        <v>30.653416196860647</v>
      </c>
      <c r="Z317" s="77"/>
      <c r="AA317" s="77"/>
      <c r="AB317" s="77">
        <f>(SUBSIDIO!$J$317*SUBSIDIO!$V$317)*(0.06)/(1-0.06)</f>
        <v>150.84960000000001</v>
      </c>
      <c r="AC317" s="77">
        <f>((SUBSIDIO!$L$317*SUBSIDIO!$W$317)+(SUBSIDIO!$N$317*SUBSIDIO!$X$317))*(0.06)/(1-0.06)</f>
        <v>0</v>
      </c>
      <c r="AD317" s="77">
        <f ca="1">(SUBSIDIO!$J$317*SUBSIDIO!$Y$317)*(0.04)/(1-0.04)</f>
        <v>112.39585938848906</v>
      </c>
      <c r="AE317" s="77">
        <f>((SUBSIDIO!$L$317*SUBSIDIO!$Z$317)+(SUBSIDIO!$N$317*SUBSIDIO!$AA$317))*(0.04)/(1-0.04)</f>
        <v>0</v>
      </c>
      <c r="AF317" s="4" t="s">
        <v>844</v>
      </c>
    </row>
    <row r="318" spans="1:32" ht="11.25" customHeight="1" x14ac:dyDescent="0.25">
      <c r="A318" s="4" t="s">
        <v>28</v>
      </c>
      <c r="B318" s="4" t="s">
        <v>35</v>
      </c>
      <c r="C318" s="4" t="s">
        <v>36</v>
      </c>
      <c r="D318" s="4" t="s">
        <v>47</v>
      </c>
      <c r="E318" s="4" t="s">
        <v>58</v>
      </c>
      <c r="F318" s="4" t="s">
        <v>25</v>
      </c>
      <c r="G318" s="4" t="s">
        <v>25</v>
      </c>
      <c r="H318" s="4" t="s">
        <v>25</v>
      </c>
      <c r="I318" s="5">
        <v>44440</v>
      </c>
      <c r="J318" s="6">
        <v>50</v>
      </c>
      <c r="K318" s="77">
        <v>50</v>
      </c>
      <c r="L318" s="6">
        <v>0</v>
      </c>
      <c r="M318" s="77">
        <v>0</v>
      </c>
      <c r="N318" s="6">
        <v>0</v>
      </c>
      <c r="O318" s="77">
        <v>0</v>
      </c>
      <c r="P318" s="6">
        <v>1</v>
      </c>
      <c r="Q318" s="4" t="s">
        <v>26</v>
      </c>
      <c r="R318" s="4">
        <v>0</v>
      </c>
      <c r="S318" s="4">
        <v>23</v>
      </c>
      <c r="T318" s="4">
        <v>0</v>
      </c>
      <c r="U318" s="4">
        <v>0</v>
      </c>
      <c r="V318" s="77">
        <f>IF(ISERROR(VLOOKUP($S$318,'TAR FIN'!$A$1:$O$95,15,0)),0,VLOOKUP($S$318,'TAR FIN'!$A$1:$O$95,15,0))*(1-0.06)</f>
        <v>26.855799999999999</v>
      </c>
      <c r="W318" s="77">
        <f>IF(ISERROR(VLOOKUP($T$318,'TAR FIN'!$A$1:$O$95,15,0)),0,VLOOKUP($T$318,'TAR FIN'!$A$1:$O$95,15,0))</f>
        <v>0</v>
      </c>
      <c r="X318" s="77">
        <f>IF(ISERROR(VLOOKUP($U$318,'TAR FIN'!$A$1:$O$95,15,0)),0,VLOOKUP($U$318,'TAR FIN'!$A$1:$O$95,15,0))</f>
        <v>0</v>
      </c>
      <c r="Y318" s="77">
        <f ca="1">('TUSD BE'!$AM$15+'TUSD BF'!$AM$15+'TUSD CVA'!$AM$15)*1*(1-0.04)</f>
        <v>30.653416196860647</v>
      </c>
      <c r="Z318" s="77"/>
      <c r="AA318" s="77"/>
      <c r="AB318" s="77">
        <f>(SUBSIDIO!$J$318*SUBSIDIO!$V$318)*(0.06)/(1-0.06)</f>
        <v>85.71</v>
      </c>
      <c r="AC318" s="77">
        <f>((SUBSIDIO!$L$318*SUBSIDIO!$W$318)+(SUBSIDIO!$N$318*SUBSIDIO!$X$318))*(0.06)/(1-0.06)</f>
        <v>0</v>
      </c>
      <c r="AD318" s="77">
        <f ca="1">(SUBSIDIO!$J$318*SUBSIDIO!$Y$318)*(0.04)/(1-0.04)</f>
        <v>63.861283743459694</v>
      </c>
      <c r="AE318" s="77">
        <f>((SUBSIDIO!$L$318*SUBSIDIO!$Z$318)+(SUBSIDIO!$N$318*SUBSIDIO!$AA$318))*(0.04)/(1-0.04)</f>
        <v>0</v>
      </c>
      <c r="AF318" s="4" t="s">
        <v>844</v>
      </c>
    </row>
    <row r="319" spans="1:32" ht="11.25" customHeight="1" x14ac:dyDescent="0.25">
      <c r="A319" s="4" t="s">
        <v>59</v>
      </c>
      <c r="B319" s="4" t="s">
        <v>35</v>
      </c>
      <c r="C319" s="4" t="s">
        <v>36</v>
      </c>
      <c r="D319" s="4" t="s">
        <v>47</v>
      </c>
      <c r="E319" s="4" t="s">
        <v>58</v>
      </c>
      <c r="F319" s="4" t="s">
        <v>25</v>
      </c>
      <c r="G319" s="4" t="s">
        <v>25</v>
      </c>
      <c r="H319" s="4" t="s">
        <v>25</v>
      </c>
      <c r="I319" s="5">
        <v>44470</v>
      </c>
      <c r="J319" s="6">
        <v>50</v>
      </c>
      <c r="K319" s="77">
        <v>50</v>
      </c>
      <c r="L319" s="6">
        <v>0</v>
      </c>
      <c r="M319" s="77">
        <v>0</v>
      </c>
      <c r="N319" s="6">
        <v>0</v>
      </c>
      <c r="O319" s="77">
        <v>0</v>
      </c>
      <c r="P319" s="6">
        <v>1</v>
      </c>
      <c r="Q319" s="4" t="s">
        <v>26</v>
      </c>
      <c r="R319" s="4">
        <v>0</v>
      </c>
      <c r="S319" s="4">
        <v>23</v>
      </c>
      <c r="T319" s="4">
        <v>0</v>
      </c>
      <c r="U319" s="4">
        <v>0</v>
      </c>
      <c r="V319" s="77">
        <f>IF(ISERROR(VLOOKUP($S$319,'TAR FIN'!$A$1:$O$95,15,0)),0,VLOOKUP($S$319,'TAR FIN'!$A$1:$O$95,15,0))*(1-0.06)</f>
        <v>26.855799999999999</v>
      </c>
      <c r="W319" s="77">
        <f>IF(ISERROR(VLOOKUP($T$319,'TAR FIN'!$A$1:$O$95,15,0)),0,VLOOKUP($T$319,'TAR FIN'!$A$1:$O$95,15,0))</f>
        <v>0</v>
      </c>
      <c r="X319" s="77">
        <f>IF(ISERROR(VLOOKUP($U$319,'TAR FIN'!$A$1:$O$95,15,0)),0,VLOOKUP($U$319,'TAR FIN'!$A$1:$O$95,15,0))</f>
        <v>0</v>
      </c>
      <c r="Y319" s="77">
        <f ca="1">('TUSD BE'!$AM$15+'TUSD BF'!$AM$15+'TUSD CVA'!$AM$15)*1*(1-0.04)</f>
        <v>30.653416196860647</v>
      </c>
      <c r="Z319" s="77"/>
      <c r="AA319" s="77"/>
      <c r="AB319" s="77">
        <f>(SUBSIDIO!$J$319*SUBSIDIO!$V$319)*(0.06)/(1-0.06)</f>
        <v>85.71</v>
      </c>
      <c r="AC319" s="77">
        <f>((SUBSIDIO!$L$319*SUBSIDIO!$W$319)+(SUBSIDIO!$N$319*SUBSIDIO!$X$319))*(0.06)/(1-0.06)</f>
        <v>0</v>
      </c>
      <c r="AD319" s="77">
        <f ca="1">(SUBSIDIO!$J$319*SUBSIDIO!$Y$319)*(0.04)/(1-0.04)</f>
        <v>63.861283743459694</v>
      </c>
      <c r="AE319" s="77">
        <f>((SUBSIDIO!$L$319*SUBSIDIO!$Z$319)+(SUBSIDIO!$N$319*SUBSIDIO!$AA$319))*(0.04)/(1-0.04)</f>
        <v>0</v>
      </c>
      <c r="AF319" s="4" t="s">
        <v>844</v>
      </c>
    </row>
    <row r="320" spans="1:32" ht="11.25" customHeight="1" x14ac:dyDescent="0.25">
      <c r="A320" s="4" t="s">
        <v>29</v>
      </c>
      <c r="B320" s="4" t="s">
        <v>35</v>
      </c>
      <c r="C320" s="4" t="s">
        <v>36</v>
      </c>
      <c r="D320" s="4" t="s">
        <v>47</v>
      </c>
      <c r="E320" s="4" t="s">
        <v>58</v>
      </c>
      <c r="F320" s="4" t="s">
        <v>25</v>
      </c>
      <c r="G320" s="4" t="s">
        <v>25</v>
      </c>
      <c r="H320" s="4" t="s">
        <v>37</v>
      </c>
      <c r="I320" s="5">
        <v>44409</v>
      </c>
      <c r="J320" s="6">
        <v>0</v>
      </c>
      <c r="K320" s="77">
        <v>0</v>
      </c>
      <c r="L320" s="6">
        <v>-8.6419999999999995</v>
      </c>
      <c r="M320" s="77">
        <v>-8.6419999999999995</v>
      </c>
      <c r="N320" s="6">
        <v>-8.6419999999999995</v>
      </c>
      <c r="O320" s="77">
        <v>-8.6419999999999995</v>
      </c>
      <c r="P320" s="6">
        <v>0</v>
      </c>
      <c r="Q320" s="4" t="s">
        <v>26</v>
      </c>
      <c r="R320" s="4">
        <v>0</v>
      </c>
      <c r="S320" s="4">
        <v>0</v>
      </c>
      <c r="T320" s="4">
        <v>24</v>
      </c>
      <c r="U320" s="4">
        <v>66</v>
      </c>
      <c r="V320" s="77">
        <f>IF(ISERROR(VLOOKUP($S$320,'TAR FIN'!$A$1:$O$95,15,0)),0,VLOOKUP($S$320,'TAR FIN'!$A$1:$O$95,15,0))</f>
        <v>0</v>
      </c>
      <c r="W320" s="77">
        <f>IF(ISERROR(VLOOKUP($T$320,'TAR FIN'!$A$1:$O$95,15,0)),0,VLOOKUP($T$320,'TAR FIN'!$A$1:$O$95,15,0))*(1-0.06)</f>
        <v>1348.7025999999998</v>
      </c>
      <c r="X320" s="77">
        <f>IF(ISERROR(VLOOKUP($U$320,'TAR FIN'!$A$1:$O$95,15,0)),0,VLOOKUP($U$320,'TAR FIN'!$A$1:$O$95,15,0))*(1-0.06)</f>
        <v>365.92319999999995</v>
      </c>
      <c r="Y320" s="77"/>
      <c r="Z320" s="77">
        <f ca="1">('TUSD BE'!$AM$16+'TUSD BF'!$AM$16+'TUSD CVA'!$AM$16)*1*(1-0.04)</f>
        <v>1541.7519661664016</v>
      </c>
      <c r="AA320" s="77">
        <f>('TE BE'!$AA$7+'TE BF'!$AA$7+'TE CVA'!$AA$7)*1*(1-0.04)</f>
        <v>436.15542521126838</v>
      </c>
      <c r="AB320" s="77">
        <f>(SUBSIDIO!$J$320*SUBSIDIO!$V$320)*(0.06)/(1-0.06)</f>
        <v>0</v>
      </c>
      <c r="AC320" s="77">
        <f>((SUBSIDIO!$L$320*SUBSIDIO!$W$320)+(SUBSIDIO!$N$320*SUBSIDIO!$X$320))*(0.06)/(1-0.06)</f>
        <v>-945.81677639999998</v>
      </c>
      <c r="AD320" s="77">
        <f>(SUBSIDIO!$J$320*SUBSIDIO!$Y$320)*(0.04)/(1-0.04)</f>
        <v>0</v>
      </c>
      <c r="AE320" s="77">
        <f ca="1">((SUBSIDIO!$L$320*SUBSIDIO!$Z$320)+(SUBSIDIO!$N$320*SUBSIDIO!$AA$320))*(0.04)/(1-0.04)</f>
        <v>-712.21148651190924</v>
      </c>
      <c r="AF320" s="4" t="s">
        <v>844</v>
      </c>
    </row>
    <row r="321" spans="1:32" ht="11.25" customHeight="1" x14ac:dyDescent="0.25">
      <c r="A321" s="4" t="s">
        <v>21</v>
      </c>
      <c r="B321" s="4" t="s">
        <v>35</v>
      </c>
      <c r="C321" s="4" t="s">
        <v>36</v>
      </c>
      <c r="D321" s="4" t="s">
        <v>47</v>
      </c>
      <c r="E321" s="4" t="s">
        <v>25</v>
      </c>
      <c r="F321" s="4" t="s">
        <v>25</v>
      </c>
      <c r="G321" s="4" t="s">
        <v>25</v>
      </c>
      <c r="H321" s="4" t="s">
        <v>38</v>
      </c>
      <c r="I321" s="5">
        <v>44136</v>
      </c>
      <c r="J321" s="6">
        <v>0</v>
      </c>
      <c r="K321" s="77">
        <v>0</v>
      </c>
      <c r="L321" s="6">
        <v>603.09500000000003</v>
      </c>
      <c r="M321" s="77">
        <v>603.09500000000003</v>
      </c>
      <c r="N321" s="6">
        <v>603.09500000000003</v>
      </c>
      <c r="O321" s="77">
        <v>603.09500000000003</v>
      </c>
      <c r="P321" s="6">
        <v>0</v>
      </c>
      <c r="Q321" s="4" t="s">
        <v>26</v>
      </c>
      <c r="R321" s="4">
        <v>0</v>
      </c>
      <c r="S321" s="4">
        <v>0</v>
      </c>
      <c r="T321" s="4">
        <v>19</v>
      </c>
      <c r="U321" s="4">
        <v>67</v>
      </c>
      <c r="V321" s="77">
        <f>IF(ISERROR(VLOOKUP($S$321,'TAR FIN'!$A$1:$O$95,15,0)),0,VLOOKUP($S$321,'TAR FIN'!$A$1:$O$95,15,0))</f>
        <v>0</v>
      </c>
      <c r="W321" s="77">
        <f>IF(ISERROR(VLOOKUP($T$321,'TAR FIN'!$A$1:$O$95,15,0)),0,VLOOKUP($T$321,'TAR FIN'!$A$1:$O$95,15,0))*(1-0.06)</f>
        <v>140.65219999999999</v>
      </c>
      <c r="X321" s="77">
        <f>IF(ISERROR(VLOOKUP($U$321,'TAR FIN'!$A$1:$O$95,15,0)),0,VLOOKUP($U$321,'TAR FIN'!$A$1:$O$95,15,0))*(1-0.06)</f>
        <v>216.22819999999999</v>
      </c>
      <c r="Y321" s="77"/>
      <c r="Z321" s="77">
        <f ca="1">('TUSD BE'!$AM$17+'TUSD BF'!$AM$17+'TUSD CVA'!$AM$17)*1*(1-0.04)</f>
        <v>161.7728460762047</v>
      </c>
      <c r="AA321" s="77">
        <f>('TE BE'!$AA$8+'TE BF'!$AA$8+'TE CVA'!$AA$8)*1*(1-0.04)</f>
        <v>271.60070372834122</v>
      </c>
      <c r="AB321" s="77">
        <f>(SUBSIDIO!$J$321*SUBSIDIO!$V$321)*(0.06)/(1-0.06)</f>
        <v>0</v>
      </c>
      <c r="AC321" s="77">
        <f>((SUBSIDIO!$L$321*SUBSIDIO!$W$321)+(SUBSIDIO!$N$321*SUBSIDIO!$X$321))*(0.06)/(1-0.06)</f>
        <v>13738.262862</v>
      </c>
      <c r="AD321" s="77">
        <f>(SUBSIDIO!$J$321*SUBSIDIO!$Y$321)*(0.04)/(1-0.04)</f>
        <v>0</v>
      </c>
      <c r="AE321" s="77">
        <f ca="1">((SUBSIDIO!$L$321*SUBSIDIO!$Z$321)+(SUBSIDIO!$N$321*SUBSIDIO!$AA$321))*(0.04)/(1-0.04)</f>
        <v>10890.225875807195</v>
      </c>
      <c r="AF321" s="4" t="s">
        <v>844</v>
      </c>
    </row>
    <row r="322" spans="1:32" ht="11.25" customHeight="1" x14ac:dyDescent="0.25">
      <c r="A322" s="4" t="s">
        <v>28</v>
      </c>
      <c r="B322" s="4" t="s">
        <v>35</v>
      </c>
      <c r="C322" s="4" t="s">
        <v>36</v>
      </c>
      <c r="D322" s="4" t="s">
        <v>47</v>
      </c>
      <c r="E322" s="4" t="s">
        <v>25</v>
      </c>
      <c r="F322" s="4" t="s">
        <v>25</v>
      </c>
      <c r="G322" s="4" t="s">
        <v>25</v>
      </c>
      <c r="H322" s="4" t="s">
        <v>38</v>
      </c>
      <c r="I322" s="5">
        <v>44136</v>
      </c>
      <c r="J322" s="6">
        <v>0</v>
      </c>
      <c r="K322" s="77">
        <v>0</v>
      </c>
      <c r="L322" s="6">
        <v>91.853999999999999</v>
      </c>
      <c r="M322" s="77">
        <v>91.853999999999999</v>
      </c>
      <c r="N322" s="6">
        <v>91.853999999999999</v>
      </c>
      <c r="O322" s="77">
        <v>91.853999999999999</v>
      </c>
      <c r="P322" s="6">
        <v>0</v>
      </c>
      <c r="Q322" s="4" t="s">
        <v>26</v>
      </c>
      <c r="R322" s="4">
        <v>0</v>
      </c>
      <c r="S322" s="4">
        <v>0</v>
      </c>
      <c r="T322" s="4">
        <v>19</v>
      </c>
      <c r="U322" s="4">
        <v>67</v>
      </c>
      <c r="V322" s="77">
        <f>IF(ISERROR(VLOOKUP($S$322,'TAR FIN'!$A$1:$O$95,15,0)),0,VLOOKUP($S$322,'TAR FIN'!$A$1:$O$95,15,0))</f>
        <v>0</v>
      </c>
      <c r="W322" s="77">
        <f>IF(ISERROR(VLOOKUP($T$322,'TAR FIN'!$A$1:$O$95,15,0)),0,VLOOKUP($T$322,'TAR FIN'!$A$1:$O$95,15,0))*(1-0.06)</f>
        <v>140.65219999999999</v>
      </c>
      <c r="X322" s="77">
        <f>IF(ISERROR(VLOOKUP($U$322,'TAR FIN'!$A$1:$O$95,15,0)),0,VLOOKUP($U$322,'TAR FIN'!$A$1:$O$95,15,0))*(1-0.06)</f>
        <v>216.22819999999999</v>
      </c>
      <c r="Y322" s="77"/>
      <c r="Z322" s="77">
        <f ca="1">('TUSD BE'!$AM$17+'TUSD BF'!$AM$17+'TUSD CVA'!$AM$17)*1*(1-0.04)</f>
        <v>161.7728460762047</v>
      </c>
      <c r="AA322" s="77">
        <f>('TE BE'!$AA$8+'TE BF'!$AA$8+'TE CVA'!$AA$8)*1*(1-0.04)</f>
        <v>271.60070372834122</v>
      </c>
      <c r="AB322" s="77">
        <f>(SUBSIDIO!$J$322*SUBSIDIO!$V$322)*(0.06)/(1-0.06)</f>
        <v>0</v>
      </c>
      <c r="AC322" s="77">
        <f>((SUBSIDIO!$L$322*SUBSIDIO!$W$322)+(SUBSIDIO!$N$322*SUBSIDIO!$X$322))*(0.06)/(1-0.06)</f>
        <v>2092.3973784</v>
      </c>
      <c r="AD322" s="77">
        <f>(SUBSIDIO!$J$322*SUBSIDIO!$Y$322)*(0.04)/(1-0.04)</f>
        <v>0</v>
      </c>
      <c r="AE322" s="77">
        <f ca="1">((SUBSIDIO!$L$322*SUBSIDIO!$Z$322)+(SUBSIDIO!$N$322*SUBSIDIO!$AA$322))*(0.04)/(1-0.04)</f>
        <v>1658.6289184894486</v>
      </c>
      <c r="AF322" s="4" t="s">
        <v>844</v>
      </c>
    </row>
    <row r="323" spans="1:32" ht="11.25" customHeight="1" x14ac:dyDescent="0.25">
      <c r="A323" s="4" t="s">
        <v>21</v>
      </c>
      <c r="B323" s="4" t="s">
        <v>35</v>
      </c>
      <c r="C323" s="4" t="s">
        <v>36</v>
      </c>
      <c r="D323" s="4" t="s">
        <v>47</v>
      </c>
      <c r="E323" s="4" t="s">
        <v>25</v>
      </c>
      <c r="F323" s="4" t="s">
        <v>25</v>
      </c>
      <c r="G323" s="4" t="s">
        <v>25</v>
      </c>
      <c r="H323" s="4" t="s">
        <v>38</v>
      </c>
      <c r="I323" s="5">
        <v>44166</v>
      </c>
      <c r="J323" s="6">
        <v>0</v>
      </c>
      <c r="K323" s="77">
        <v>0</v>
      </c>
      <c r="L323" s="6">
        <v>599.38499999999999</v>
      </c>
      <c r="M323" s="77">
        <v>599.38499999999999</v>
      </c>
      <c r="N323" s="6">
        <v>599.38499999999999</v>
      </c>
      <c r="O323" s="77">
        <v>599.38499999999999</v>
      </c>
      <c r="P323" s="6">
        <v>0</v>
      </c>
      <c r="Q323" s="4" t="s">
        <v>26</v>
      </c>
      <c r="R323" s="4">
        <v>0</v>
      </c>
      <c r="S323" s="4">
        <v>0</v>
      </c>
      <c r="T323" s="4">
        <v>19</v>
      </c>
      <c r="U323" s="4">
        <v>67</v>
      </c>
      <c r="V323" s="77">
        <f>IF(ISERROR(VLOOKUP($S$323,'TAR FIN'!$A$1:$O$95,15,0)),0,VLOOKUP($S$323,'TAR FIN'!$A$1:$O$95,15,0))</f>
        <v>0</v>
      </c>
      <c r="W323" s="77">
        <f>IF(ISERROR(VLOOKUP($T$323,'TAR FIN'!$A$1:$O$95,15,0)),0,VLOOKUP($T$323,'TAR FIN'!$A$1:$O$95,15,0))*(1-0.06)</f>
        <v>140.65219999999999</v>
      </c>
      <c r="X323" s="77">
        <f>IF(ISERROR(VLOOKUP($U$323,'TAR FIN'!$A$1:$O$95,15,0)),0,VLOOKUP($U$323,'TAR FIN'!$A$1:$O$95,15,0))*(1-0.06)</f>
        <v>216.22819999999999</v>
      </c>
      <c r="Y323" s="77"/>
      <c r="Z323" s="77">
        <f ca="1">('TUSD BE'!$AM$17+'TUSD BF'!$AM$17+'TUSD CVA'!$AM$17)*1*(1-0.04)</f>
        <v>161.7728460762047</v>
      </c>
      <c r="AA323" s="77">
        <f>('TE BE'!$AA$8+'TE BF'!$AA$8+'TE CVA'!$AA$8)*1*(1-0.04)</f>
        <v>271.60070372834122</v>
      </c>
      <c r="AB323" s="77">
        <f>(SUBSIDIO!$J$323*SUBSIDIO!$V$323)*(0.06)/(1-0.06)</f>
        <v>0</v>
      </c>
      <c r="AC323" s="77">
        <f>((SUBSIDIO!$L$323*SUBSIDIO!$W$323)+(SUBSIDIO!$N$323*SUBSIDIO!$X$323))*(0.06)/(1-0.06)</f>
        <v>13653.750546000001</v>
      </c>
      <c r="AD323" s="77">
        <f>(SUBSIDIO!$J$323*SUBSIDIO!$Y$323)*(0.04)/(1-0.04)</f>
        <v>0</v>
      </c>
      <c r="AE323" s="77">
        <f ca="1">((SUBSIDIO!$L$323*SUBSIDIO!$Z$323)+(SUBSIDIO!$N$323*SUBSIDIO!$AA$323))*(0.04)/(1-0.04)</f>
        <v>10823.233547899907</v>
      </c>
      <c r="AF323" s="4" t="s">
        <v>844</v>
      </c>
    </row>
    <row r="324" spans="1:32" ht="11.25" customHeight="1" x14ac:dyDescent="0.25">
      <c r="A324" s="4" t="s">
        <v>28</v>
      </c>
      <c r="B324" s="4" t="s">
        <v>35</v>
      </c>
      <c r="C324" s="4" t="s">
        <v>36</v>
      </c>
      <c r="D324" s="4" t="s">
        <v>47</v>
      </c>
      <c r="E324" s="4" t="s">
        <v>25</v>
      </c>
      <c r="F324" s="4" t="s">
        <v>25</v>
      </c>
      <c r="G324" s="4" t="s">
        <v>25</v>
      </c>
      <c r="H324" s="4" t="s">
        <v>38</v>
      </c>
      <c r="I324" s="5">
        <v>44166</v>
      </c>
      <c r="J324" s="6">
        <v>0</v>
      </c>
      <c r="K324" s="77">
        <v>0</v>
      </c>
      <c r="L324" s="6">
        <v>99.043999999999997</v>
      </c>
      <c r="M324" s="77">
        <v>99.043999999999997</v>
      </c>
      <c r="N324" s="6">
        <v>99.043999999999997</v>
      </c>
      <c r="O324" s="77">
        <v>99.043999999999997</v>
      </c>
      <c r="P324" s="6">
        <v>0</v>
      </c>
      <c r="Q324" s="4" t="s">
        <v>26</v>
      </c>
      <c r="R324" s="4">
        <v>0</v>
      </c>
      <c r="S324" s="4">
        <v>0</v>
      </c>
      <c r="T324" s="4">
        <v>19</v>
      </c>
      <c r="U324" s="4">
        <v>67</v>
      </c>
      <c r="V324" s="77">
        <f>IF(ISERROR(VLOOKUP($S$324,'TAR FIN'!$A$1:$O$95,15,0)),0,VLOOKUP($S$324,'TAR FIN'!$A$1:$O$95,15,0))</f>
        <v>0</v>
      </c>
      <c r="W324" s="77">
        <f>IF(ISERROR(VLOOKUP($T$324,'TAR FIN'!$A$1:$O$95,15,0)),0,VLOOKUP($T$324,'TAR FIN'!$A$1:$O$95,15,0))*(1-0.06)</f>
        <v>140.65219999999999</v>
      </c>
      <c r="X324" s="77">
        <f>IF(ISERROR(VLOOKUP($U$324,'TAR FIN'!$A$1:$O$95,15,0)),0,VLOOKUP($U$324,'TAR FIN'!$A$1:$O$95,15,0))*(1-0.06)</f>
        <v>216.22819999999999</v>
      </c>
      <c r="Y324" s="77"/>
      <c r="Z324" s="77">
        <f ca="1">('TUSD BE'!$AM$17+'TUSD BF'!$AM$17+'TUSD CVA'!$AM$17)*1*(1-0.04)</f>
        <v>161.7728460762047</v>
      </c>
      <c r="AA324" s="77">
        <f>('TE BE'!$AA$8+'TE BF'!$AA$8+'TE CVA'!$AA$8)*1*(1-0.04)</f>
        <v>271.60070372834122</v>
      </c>
      <c r="AB324" s="77">
        <f>(SUBSIDIO!$J$324*SUBSIDIO!$V$324)*(0.06)/(1-0.06)</f>
        <v>0</v>
      </c>
      <c r="AC324" s="77">
        <f>((SUBSIDIO!$L$324*SUBSIDIO!$W$324)+(SUBSIDIO!$N$324*SUBSIDIO!$X$324))*(0.06)/(1-0.06)</f>
        <v>2256.1827023999999</v>
      </c>
      <c r="AD324" s="77">
        <f>(SUBSIDIO!$J$324*SUBSIDIO!$Y$324)*(0.04)/(1-0.04)</f>
        <v>0</v>
      </c>
      <c r="AE324" s="77">
        <f ca="1">((SUBSIDIO!$L$324*SUBSIDIO!$Z$324)+(SUBSIDIO!$N$324*SUBSIDIO!$AA$324))*(0.04)/(1-0.04)</f>
        <v>1788.4604111183935</v>
      </c>
      <c r="AF324" s="4" t="s">
        <v>844</v>
      </c>
    </row>
    <row r="325" spans="1:32" ht="11.25" customHeight="1" x14ac:dyDescent="0.25">
      <c r="A325" s="4" t="s">
        <v>21</v>
      </c>
      <c r="B325" s="4" t="s">
        <v>35</v>
      </c>
      <c r="C325" s="4" t="s">
        <v>36</v>
      </c>
      <c r="D325" s="4" t="s">
        <v>47</v>
      </c>
      <c r="E325" s="4" t="s">
        <v>25</v>
      </c>
      <c r="F325" s="4" t="s">
        <v>25</v>
      </c>
      <c r="G325" s="4" t="s">
        <v>25</v>
      </c>
      <c r="H325" s="4" t="s">
        <v>38</v>
      </c>
      <c r="I325" s="5">
        <v>44197</v>
      </c>
      <c r="J325" s="6">
        <v>0</v>
      </c>
      <c r="K325" s="77">
        <v>0</v>
      </c>
      <c r="L325" s="6">
        <v>532.41700000000003</v>
      </c>
      <c r="M325" s="77">
        <v>532.41700000000003</v>
      </c>
      <c r="N325" s="6">
        <v>532.41700000000003</v>
      </c>
      <c r="O325" s="77">
        <v>532.41700000000003</v>
      </c>
      <c r="P325" s="6">
        <v>0</v>
      </c>
      <c r="Q325" s="4" t="s">
        <v>26</v>
      </c>
      <c r="R325" s="4">
        <v>0</v>
      </c>
      <c r="S325" s="4">
        <v>0</v>
      </c>
      <c r="T325" s="4">
        <v>19</v>
      </c>
      <c r="U325" s="4">
        <v>67</v>
      </c>
      <c r="V325" s="77">
        <f>IF(ISERROR(VLOOKUP($S$325,'TAR FIN'!$A$1:$O$95,15,0)),0,VLOOKUP($S$325,'TAR FIN'!$A$1:$O$95,15,0))</f>
        <v>0</v>
      </c>
      <c r="W325" s="77">
        <f>IF(ISERROR(VLOOKUP($T$325,'TAR FIN'!$A$1:$O$95,15,0)),0,VLOOKUP($T$325,'TAR FIN'!$A$1:$O$95,15,0))*(1-0.06)</f>
        <v>140.65219999999999</v>
      </c>
      <c r="X325" s="77">
        <f>IF(ISERROR(VLOOKUP($U$325,'TAR FIN'!$A$1:$O$95,15,0)),0,VLOOKUP($U$325,'TAR FIN'!$A$1:$O$95,15,0))*(1-0.06)</f>
        <v>216.22819999999999</v>
      </c>
      <c r="Y325" s="77"/>
      <c r="Z325" s="77">
        <f ca="1">('TUSD BE'!$AM$17+'TUSD BF'!$AM$17+'TUSD CVA'!$AM$17)*1*(1-0.04)</f>
        <v>161.7728460762047</v>
      </c>
      <c r="AA325" s="77">
        <f>('TE BE'!$AA$8+'TE BF'!$AA$8+'TE CVA'!$AA$8)*1*(1-0.04)</f>
        <v>271.60070372834122</v>
      </c>
      <c r="AB325" s="77">
        <f>(SUBSIDIO!$J$325*SUBSIDIO!$V$325)*(0.06)/(1-0.06)</f>
        <v>0</v>
      </c>
      <c r="AC325" s="77">
        <f>((SUBSIDIO!$L$325*SUBSIDIO!$W$325)+(SUBSIDIO!$N$325*SUBSIDIO!$X$325))*(0.06)/(1-0.06)</f>
        <v>12128.2462932</v>
      </c>
      <c r="AD325" s="77">
        <f>(SUBSIDIO!$J$325*SUBSIDIO!$Y$325)*(0.04)/(1-0.04)</f>
        <v>0</v>
      </c>
      <c r="AE325" s="77">
        <f ca="1">((SUBSIDIO!$L$325*SUBSIDIO!$Z$325)+(SUBSIDIO!$N$325*SUBSIDIO!$AA$325))*(0.04)/(1-0.04)</f>
        <v>9613.9768860952918</v>
      </c>
      <c r="AF325" s="4" t="s">
        <v>844</v>
      </c>
    </row>
    <row r="326" spans="1:32" ht="11.25" customHeight="1" x14ac:dyDescent="0.25">
      <c r="A326" s="4" t="s">
        <v>28</v>
      </c>
      <c r="B326" s="4" t="s">
        <v>35</v>
      </c>
      <c r="C326" s="4" t="s">
        <v>36</v>
      </c>
      <c r="D326" s="4" t="s">
        <v>47</v>
      </c>
      <c r="E326" s="4" t="s">
        <v>25</v>
      </c>
      <c r="F326" s="4" t="s">
        <v>25</v>
      </c>
      <c r="G326" s="4" t="s">
        <v>25</v>
      </c>
      <c r="H326" s="4" t="s">
        <v>38</v>
      </c>
      <c r="I326" s="5">
        <v>44197</v>
      </c>
      <c r="J326" s="6">
        <v>0</v>
      </c>
      <c r="K326" s="77">
        <v>0</v>
      </c>
      <c r="L326" s="6">
        <v>104.44</v>
      </c>
      <c r="M326" s="77">
        <v>104.44</v>
      </c>
      <c r="N326" s="6">
        <v>104.44</v>
      </c>
      <c r="O326" s="77">
        <v>104.44</v>
      </c>
      <c r="P326" s="6">
        <v>0</v>
      </c>
      <c r="Q326" s="4" t="s">
        <v>26</v>
      </c>
      <c r="R326" s="4">
        <v>0</v>
      </c>
      <c r="S326" s="4">
        <v>0</v>
      </c>
      <c r="T326" s="4">
        <v>19</v>
      </c>
      <c r="U326" s="4">
        <v>67</v>
      </c>
      <c r="V326" s="77">
        <f>IF(ISERROR(VLOOKUP($S$326,'TAR FIN'!$A$1:$O$95,15,0)),0,VLOOKUP($S$326,'TAR FIN'!$A$1:$O$95,15,0))</f>
        <v>0</v>
      </c>
      <c r="W326" s="77">
        <f>IF(ISERROR(VLOOKUP($T$326,'TAR FIN'!$A$1:$O$95,15,0)),0,VLOOKUP($T$326,'TAR FIN'!$A$1:$O$95,15,0))*(1-0.06)</f>
        <v>140.65219999999999</v>
      </c>
      <c r="X326" s="77">
        <f>IF(ISERROR(VLOOKUP($U$326,'TAR FIN'!$A$1:$O$95,15,0)),0,VLOOKUP($U$326,'TAR FIN'!$A$1:$O$95,15,0))*(1-0.06)</f>
        <v>216.22819999999999</v>
      </c>
      <c r="Y326" s="77"/>
      <c r="Z326" s="77">
        <f ca="1">('TUSD BE'!$AM$17+'TUSD BF'!$AM$17+'TUSD CVA'!$AM$17)*1*(1-0.04)</f>
        <v>161.7728460762047</v>
      </c>
      <c r="AA326" s="77">
        <f>('TE BE'!$AA$8+'TE BF'!$AA$8+'TE CVA'!$AA$8)*1*(1-0.04)</f>
        <v>271.60070372834122</v>
      </c>
      <c r="AB326" s="77">
        <f>(SUBSIDIO!$J$326*SUBSIDIO!$V$326)*(0.06)/(1-0.06)</f>
        <v>0</v>
      </c>
      <c r="AC326" s="77">
        <f>((SUBSIDIO!$L$326*SUBSIDIO!$W$326)+(SUBSIDIO!$N$326*SUBSIDIO!$X$326))*(0.06)/(1-0.06)</f>
        <v>2379.101424</v>
      </c>
      <c r="AD326" s="77">
        <f>(SUBSIDIO!$J$326*SUBSIDIO!$Y$326)*(0.04)/(1-0.04)</f>
        <v>0</v>
      </c>
      <c r="AE326" s="77">
        <f ca="1">((SUBSIDIO!$L$326*SUBSIDIO!$Z$326)+(SUBSIDIO!$N$326*SUBSIDIO!$AA$326))*(0.04)/(1-0.04)</f>
        <v>1885.8972308994491</v>
      </c>
      <c r="AF326" s="4" t="s">
        <v>844</v>
      </c>
    </row>
    <row r="327" spans="1:32" ht="11.25" customHeight="1" x14ac:dyDescent="0.25">
      <c r="A327" s="4" t="s">
        <v>21</v>
      </c>
      <c r="B327" s="4" t="s">
        <v>35</v>
      </c>
      <c r="C327" s="4" t="s">
        <v>36</v>
      </c>
      <c r="D327" s="4" t="s">
        <v>47</v>
      </c>
      <c r="E327" s="4" t="s">
        <v>25</v>
      </c>
      <c r="F327" s="4" t="s">
        <v>25</v>
      </c>
      <c r="G327" s="4" t="s">
        <v>25</v>
      </c>
      <c r="H327" s="4" t="s">
        <v>38</v>
      </c>
      <c r="I327" s="5">
        <v>44228</v>
      </c>
      <c r="J327" s="6">
        <v>0</v>
      </c>
      <c r="K327" s="77">
        <v>0</v>
      </c>
      <c r="L327" s="6">
        <v>510.512</v>
      </c>
      <c r="M327" s="77">
        <v>510.512</v>
      </c>
      <c r="N327" s="6">
        <v>510.512</v>
      </c>
      <c r="O327" s="77">
        <v>510.512</v>
      </c>
      <c r="P327" s="6">
        <v>0</v>
      </c>
      <c r="Q327" s="4" t="s">
        <v>26</v>
      </c>
      <c r="R327" s="4">
        <v>0</v>
      </c>
      <c r="S327" s="4">
        <v>0</v>
      </c>
      <c r="T327" s="4">
        <v>19</v>
      </c>
      <c r="U327" s="4">
        <v>67</v>
      </c>
      <c r="V327" s="77">
        <f>IF(ISERROR(VLOOKUP($S$327,'TAR FIN'!$A$1:$O$95,15,0)),0,VLOOKUP($S$327,'TAR FIN'!$A$1:$O$95,15,0))</f>
        <v>0</v>
      </c>
      <c r="W327" s="77">
        <f>IF(ISERROR(VLOOKUP($T$327,'TAR FIN'!$A$1:$O$95,15,0)),0,VLOOKUP($T$327,'TAR FIN'!$A$1:$O$95,15,0))*(1-0.06)</f>
        <v>140.65219999999999</v>
      </c>
      <c r="X327" s="77">
        <f>IF(ISERROR(VLOOKUP($U$327,'TAR FIN'!$A$1:$O$95,15,0)),0,VLOOKUP($U$327,'TAR FIN'!$A$1:$O$95,15,0))*(1-0.06)</f>
        <v>216.22819999999999</v>
      </c>
      <c r="Y327" s="77"/>
      <c r="Z327" s="77">
        <f ca="1">('TUSD BE'!$AM$17+'TUSD BF'!$AM$17+'TUSD CVA'!$AM$17)*1*(1-0.04)</f>
        <v>161.7728460762047</v>
      </c>
      <c r="AA327" s="77">
        <f>('TE BE'!$AA$8+'TE BF'!$AA$8+'TE CVA'!$AA$8)*1*(1-0.04)</f>
        <v>271.60070372834122</v>
      </c>
      <c r="AB327" s="77">
        <f>(SUBSIDIO!$J$327*SUBSIDIO!$V$327)*(0.06)/(1-0.06)</f>
        <v>0</v>
      </c>
      <c r="AC327" s="77">
        <f>((SUBSIDIO!$L$327*SUBSIDIO!$W$327)+(SUBSIDIO!$N$327*SUBSIDIO!$X$327))*(0.06)/(1-0.06)</f>
        <v>11629.259155199998</v>
      </c>
      <c r="AD327" s="77">
        <f>(SUBSIDIO!$J$327*SUBSIDIO!$Y$327)*(0.04)/(1-0.04)</f>
        <v>0</v>
      </c>
      <c r="AE327" s="77">
        <f ca="1">((SUBSIDIO!$L$327*SUBSIDIO!$Z$327)+(SUBSIDIO!$N$327*SUBSIDIO!$AA$327))*(0.04)/(1-0.04)</f>
        <v>9218.4332357424319</v>
      </c>
      <c r="AF327" s="4" t="s">
        <v>844</v>
      </c>
    </row>
    <row r="328" spans="1:32" ht="11.25" customHeight="1" x14ac:dyDescent="0.25">
      <c r="A328" s="4" t="s">
        <v>28</v>
      </c>
      <c r="B328" s="4" t="s">
        <v>35</v>
      </c>
      <c r="C328" s="4" t="s">
        <v>36</v>
      </c>
      <c r="D328" s="4" t="s">
        <v>47</v>
      </c>
      <c r="E328" s="4" t="s">
        <v>25</v>
      </c>
      <c r="F328" s="4" t="s">
        <v>25</v>
      </c>
      <c r="G328" s="4" t="s">
        <v>25</v>
      </c>
      <c r="H328" s="4" t="s">
        <v>38</v>
      </c>
      <c r="I328" s="5">
        <v>44228</v>
      </c>
      <c r="J328" s="6">
        <v>0</v>
      </c>
      <c r="K328" s="77">
        <v>0</v>
      </c>
      <c r="L328" s="6">
        <v>91.816999999999993</v>
      </c>
      <c r="M328" s="77">
        <v>91.816999999999993</v>
      </c>
      <c r="N328" s="6">
        <v>91.816999999999993</v>
      </c>
      <c r="O328" s="77">
        <v>91.816999999999993</v>
      </c>
      <c r="P328" s="6">
        <v>0</v>
      </c>
      <c r="Q328" s="4" t="s">
        <v>26</v>
      </c>
      <c r="R328" s="4">
        <v>0</v>
      </c>
      <c r="S328" s="4">
        <v>0</v>
      </c>
      <c r="T328" s="4">
        <v>19</v>
      </c>
      <c r="U328" s="4">
        <v>67</v>
      </c>
      <c r="V328" s="77">
        <f>IF(ISERROR(VLOOKUP($S$328,'TAR FIN'!$A$1:$O$95,15,0)),0,VLOOKUP($S$328,'TAR FIN'!$A$1:$O$95,15,0))</f>
        <v>0</v>
      </c>
      <c r="W328" s="77">
        <f>IF(ISERROR(VLOOKUP($T$328,'TAR FIN'!$A$1:$O$95,15,0)),0,VLOOKUP($T$328,'TAR FIN'!$A$1:$O$95,15,0))*(1-0.06)</f>
        <v>140.65219999999999</v>
      </c>
      <c r="X328" s="77">
        <f>IF(ISERROR(VLOOKUP($U$328,'TAR FIN'!$A$1:$O$95,15,0)),0,VLOOKUP($U$328,'TAR FIN'!$A$1:$O$95,15,0))*(1-0.06)</f>
        <v>216.22819999999999</v>
      </c>
      <c r="Y328" s="77"/>
      <c r="Z328" s="77">
        <f ca="1">('TUSD BE'!$AM$17+'TUSD BF'!$AM$17+'TUSD CVA'!$AM$17)*1*(1-0.04)</f>
        <v>161.7728460762047</v>
      </c>
      <c r="AA328" s="77">
        <f>('TE BE'!$AA$8+'TE BF'!$AA$8+'TE CVA'!$AA$8)*1*(1-0.04)</f>
        <v>271.60070372834122</v>
      </c>
      <c r="AB328" s="77">
        <f>(SUBSIDIO!$J$328*SUBSIDIO!$V$328)*(0.06)/(1-0.06)</f>
        <v>0</v>
      </c>
      <c r="AC328" s="77">
        <f>((SUBSIDIO!$L$328*SUBSIDIO!$W$328)+(SUBSIDIO!$N$328*SUBSIDIO!$X$328))*(0.06)/(1-0.06)</f>
        <v>2091.5545331999997</v>
      </c>
      <c r="AD328" s="77">
        <f>(SUBSIDIO!$J$328*SUBSIDIO!$Y$328)*(0.04)/(1-0.04)</f>
        <v>0</v>
      </c>
      <c r="AE328" s="77">
        <f ca="1">((SUBSIDIO!$L$328*SUBSIDIO!$Z$328)+(SUBSIDIO!$N$328*SUBSIDIO!$AA$328))*(0.04)/(1-0.04)</f>
        <v>1657.9608009334995</v>
      </c>
      <c r="AF328" s="4" t="s">
        <v>844</v>
      </c>
    </row>
    <row r="329" spans="1:32" ht="11.25" customHeight="1" x14ac:dyDescent="0.25">
      <c r="A329" s="4" t="s">
        <v>21</v>
      </c>
      <c r="B329" s="4" t="s">
        <v>35</v>
      </c>
      <c r="C329" s="4" t="s">
        <v>36</v>
      </c>
      <c r="D329" s="4" t="s">
        <v>47</v>
      </c>
      <c r="E329" s="4" t="s">
        <v>25</v>
      </c>
      <c r="F329" s="4" t="s">
        <v>25</v>
      </c>
      <c r="G329" s="4" t="s">
        <v>25</v>
      </c>
      <c r="H329" s="4" t="s">
        <v>38</v>
      </c>
      <c r="I329" s="5">
        <v>44256</v>
      </c>
      <c r="J329" s="6">
        <v>0</v>
      </c>
      <c r="K329" s="77">
        <v>0</v>
      </c>
      <c r="L329" s="6">
        <v>660.69299999999998</v>
      </c>
      <c r="M329" s="77">
        <v>660.69299999999998</v>
      </c>
      <c r="N329" s="6">
        <v>660.69299999999998</v>
      </c>
      <c r="O329" s="77">
        <v>660.69299999999998</v>
      </c>
      <c r="P329" s="6">
        <v>0</v>
      </c>
      <c r="Q329" s="4" t="s">
        <v>26</v>
      </c>
      <c r="R329" s="4">
        <v>0</v>
      </c>
      <c r="S329" s="4">
        <v>0</v>
      </c>
      <c r="T329" s="4">
        <v>19</v>
      </c>
      <c r="U329" s="4">
        <v>67</v>
      </c>
      <c r="V329" s="77">
        <f>IF(ISERROR(VLOOKUP($S$329,'TAR FIN'!$A$1:$O$95,15,0)),0,VLOOKUP($S$329,'TAR FIN'!$A$1:$O$95,15,0))</f>
        <v>0</v>
      </c>
      <c r="W329" s="77">
        <f>IF(ISERROR(VLOOKUP($T$329,'TAR FIN'!$A$1:$O$95,15,0)),0,VLOOKUP($T$329,'TAR FIN'!$A$1:$O$95,15,0))*(1-0.06)</f>
        <v>140.65219999999999</v>
      </c>
      <c r="X329" s="77">
        <f>IF(ISERROR(VLOOKUP($U$329,'TAR FIN'!$A$1:$O$95,15,0)),0,VLOOKUP($U$329,'TAR FIN'!$A$1:$O$95,15,0))*(1-0.06)</f>
        <v>216.22819999999999</v>
      </c>
      <c r="Y329" s="77"/>
      <c r="Z329" s="77">
        <f ca="1">('TUSD BE'!$AM$17+'TUSD BF'!$AM$17+'TUSD CVA'!$AM$17)*1*(1-0.04)</f>
        <v>161.7728460762047</v>
      </c>
      <c r="AA329" s="77">
        <f>('TE BE'!$AA$8+'TE BF'!$AA$8+'TE CVA'!$AA$8)*1*(1-0.04)</f>
        <v>271.60070372834122</v>
      </c>
      <c r="AB329" s="77">
        <f>(SUBSIDIO!$J$329*SUBSIDIO!$V$329)*(0.06)/(1-0.06)</f>
        <v>0</v>
      </c>
      <c r="AC329" s="77">
        <f>((SUBSIDIO!$L$329*SUBSIDIO!$W$329)+(SUBSIDIO!$N$329*SUBSIDIO!$X$329))*(0.06)/(1-0.06)</f>
        <v>15050.3222628</v>
      </c>
      <c r="AD329" s="77">
        <f>(SUBSIDIO!$J$329*SUBSIDIO!$Y$329)*(0.04)/(1-0.04)</f>
        <v>0</v>
      </c>
      <c r="AE329" s="77">
        <f ca="1">((SUBSIDIO!$L$329*SUBSIDIO!$Z$329)+(SUBSIDIO!$N$329*SUBSIDIO!$AA$329))*(0.04)/(1-0.04)</f>
        <v>11930.286280875618</v>
      </c>
      <c r="AF329" s="4" t="s">
        <v>844</v>
      </c>
    </row>
    <row r="330" spans="1:32" ht="11.25" customHeight="1" x14ac:dyDescent="0.25">
      <c r="A330" s="4" t="s">
        <v>28</v>
      </c>
      <c r="B330" s="4" t="s">
        <v>35</v>
      </c>
      <c r="C330" s="4" t="s">
        <v>36</v>
      </c>
      <c r="D330" s="4" t="s">
        <v>47</v>
      </c>
      <c r="E330" s="4" t="s">
        <v>25</v>
      </c>
      <c r="F330" s="4" t="s">
        <v>25</v>
      </c>
      <c r="G330" s="4" t="s">
        <v>25</v>
      </c>
      <c r="H330" s="4" t="s">
        <v>38</v>
      </c>
      <c r="I330" s="5">
        <v>44256</v>
      </c>
      <c r="J330" s="6">
        <v>0</v>
      </c>
      <c r="K330" s="77">
        <v>0</v>
      </c>
      <c r="L330" s="6">
        <v>87.51</v>
      </c>
      <c r="M330" s="77">
        <v>87.51</v>
      </c>
      <c r="N330" s="6">
        <v>87.51</v>
      </c>
      <c r="O330" s="77">
        <v>87.51</v>
      </c>
      <c r="P330" s="6">
        <v>0</v>
      </c>
      <c r="Q330" s="4" t="s">
        <v>26</v>
      </c>
      <c r="R330" s="4">
        <v>0</v>
      </c>
      <c r="S330" s="4">
        <v>0</v>
      </c>
      <c r="T330" s="4">
        <v>19</v>
      </c>
      <c r="U330" s="4">
        <v>67</v>
      </c>
      <c r="V330" s="77">
        <f>IF(ISERROR(VLOOKUP($S$330,'TAR FIN'!$A$1:$O$95,15,0)),0,VLOOKUP($S$330,'TAR FIN'!$A$1:$O$95,15,0))</f>
        <v>0</v>
      </c>
      <c r="W330" s="77">
        <f>IF(ISERROR(VLOOKUP($T$330,'TAR FIN'!$A$1:$O$95,15,0)),0,VLOOKUP($T$330,'TAR FIN'!$A$1:$O$95,15,0))*(1-0.06)</f>
        <v>140.65219999999999</v>
      </c>
      <c r="X330" s="77">
        <f>IF(ISERROR(VLOOKUP($U$330,'TAR FIN'!$A$1:$O$95,15,0)),0,VLOOKUP($U$330,'TAR FIN'!$A$1:$O$95,15,0))*(1-0.06)</f>
        <v>216.22819999999999</v>
      </c>
      <c r="Y330" s="77"/>
      <c r="Z330" s="77">
        <f ca="1">('TUSD BE'!$AM$17+'TUSD BF'!$AM$17+'TUSD CVA'!$AM$17)*1*(1-0.04)</f>
        <v>161.7728460762047</v>
      </c>
      <c r="AA330" s="77">
        <f>('TE BE'!$AA$8+'TE BF'!$AA$8+'TE CVA'!$AA$8)*1*(1-0.04)</f>
        <v>271.60070372834122</v>
      </c>
      <c r="AB330" s="77">
        <f>(SUBSIDIO!$J$330*SUBSIDIO!$V$330)*(0.06)/(1-0.06)</f>
        <v>0</v>
      </c>
      <c r="AC330" s="77">
        <f>((SUBSIDIO!$L$330*SUBSIDIO!$W$330)+(SUBSIDIO!$N$330*SUBSIDIO!$X$330))*(0.06)/(1-0.06)</f>
        <v>1993.442796</v>
      </c>
      <c r="AD330" s="77">
        <f>(SUBSIDIO!$J$330*SUBSIDIO!$Y$330)*(0.04)/(1-0.04)</f>
        <v>0</v>
      </c>
      <c r="AE330" s="77">
        <f ca="1">((SUBSIDIO!$L$330*SUBSIDIO!$Z$330)+(SUBSIDIO!$N$330*SUBSIDIO!$AA$330))*(0.04)/(1-0.04)</f>
        <v>1580.1883059748257</v>
      </c>
      <c r="AF330" s="4" t="s">
        <v>844</v>
      </c>
    </row>
    <row r="331" spans="1:32" ht="11.25" customHeight="1" x14ac:dyDescent="0.25">
      <c r="A331" s="4" t="s">
        <v>21</v>
      </c>
      <c r="B331" s="4" t="s">
        <v>35</v>
      </c>
      <c r="C331" s="4" t="s">
        <v>36</v>
      </c>
      <c r="D331" s="4" t="s">
        <v>47</v>
      </c>
      <c r="E331" s="4" t="s">
        <v>25</v>
      </c>
      <c r="F331" s="4" t="s">
        <v>25</v>
      </c>
      <c r="G331" s="4" t="s">
        <v>25</v>
      </c>
      <c r="H331" s="4" t="s">
        <v>38</v>
      </c>
      <c r="I331" s="5">
        <v>44287</v>
      </c>
      <c r="J331" s="6">
        <v>0</v>
      </c>
      <c r="K331" s="77">
        <v>0</v>
      </c>
      <c r="L331" s="6">
        <v>627.84500000000003</v>
      </c>
      <c r="M331" s="77">
        <v>627.84500000000003</v>
      </c>
      <c r="N331" s="6">
        <v>627.84500000000003</v>
      </c>
      <c r="O331" s="77">
        <v>627.84500000000003</v>
      </c>
      <c r="P331" s="6">
        <v>0</v>
      </c>
      <c r="Q331" s="4" t="s">
        <v>26</v>
      </c>
      <c r="R331" s="4">
        <v>0</v>
      </c>
      <c r="S331" s="4">
        <v>0</v>
      </c>
      <c r="T331" s="4">
        <v>19</v>
      </c>
      <c r="U331" s="4">
        <v>67</v>
      </c>
      <c r="V331" s="77">
        <f>IF(ISERROR(VLOOKUP($S$331,'TAR FIN'!$A$1:$O$95,15,0)),0,VLOOKUP($S$331,'TAR FIN'!$A$1:$O$95,15,0))</f>
        <v>0</v>
      </c>
      <c r="W331" s="77">
        <f>IF(ISERROR(VLOOKUP($T$331,'TAR FIN'!$A$1:$O$95,15,0)),0,VLOOKUP($T$331,'TAR FIN'!$A$1:$O$95,15,0))*(1-0.06)</f>
        <v>140.65219999999999</v>
      </c>
      <c r="X331" s="77">
        <f>IF(ISERROR(VLOOKUP($U$331,'TAR FIN'!$A$1:$O$95,15,0)),0,VLOOKUP($U$331,'TAR FIN'!$A$1:$O$95,15,0))*(1-0.06)</f>
        <v>216.22819999999999</v>
      </c>
      <c r="Y331" s="77"/>
      <c r="Z331" s="77">
        <f ca="1">('TUSD BE'!$AM$17+'TUSD BF'!$AM$17+'TUSD CVA'!$AM$17)*1*(1-0.04)</f>
        <v>161.7728460762047</v>
      </c>
      <c r="AA331" s="77">
        <f>('TE BE'!$AA$8+'TE BF'!$AA$8+'TE CVA'!$AA$8)*1*(1-0.04)</f>
        <v>271.60070372834122</v>
      </c>
      <c r="AB331" s="77">
        <f>(SUBSIDIO!$J$331*SUBSIDIO!$V$331)*(0.06)/(1-0.06)</f>
        <v>0</v>
      </c>
      <c r="AC331" s="77">
        <f>((SUBSIDIO!$L$331*SUBSIDIO!$W$331)+(SUBSIDIO!$N$331*SUBSIDIO!$X$331))*(0.06)/(1-0.06)</f>
        <v>14302.057962000001</v>
      </c>
      <c r="AD331" s="77">
        <f>(SUBSIDIO!$J$331*SUBSIDIO!$Y$331)*(0.04)/(1-0.04)</f>
        <v>0</v>
      </c>
      <c r="AE331" s="77">
        <f ca="1">((SUBSIDIO!$L$331*SUBSIDIO!$Z$331)+(SUBSIDIO!$N$331*SUBSIDIO!$AA$331))*(0.04)/(1-0.04)</f>
        <v>11337.142349043132</v>
      </c>
      <c r="AF331" s="4" t="s">
        <v>844</v>
      </c>
    </row>
    <row r="332" spans="1:32" ht="11.25" customHeight="1" x14ac:dyDescent="0.25">
      <c r="A332" s="4" t="s">
        <v>28</v>
      </c>
      <c r="B332" s="4" t="s">
        <v>35</v>
      </c>
      <c r="C332" s="4" t="s">
        <v>36</v>
      </c>
      <c r="D332" s="4" t="s">
        <v>47</v>
      </c>
      <c r="E332" s="4" t="s">
        <v>25</v>
      </c>
      <c r="F332" s="4" t="s">
        <v>25</v>
      </c>
      <c r="G332" s="4" t="s">
        <v>25</v>
      </c>
      <c r="H332" s="4" t="s">
        <v>38</v>
      </c>
      <c r="I332" s="5">
        <v>44287</v>
      </c>
      <c r="J332" s="6">
        <v>0</v>
      </c>
      <c r="K332" s="77">
        <v>0</v>
      </c>
      <c r="L332" s="6">
        <v>103.523</v>
      </c>
      <c r="M332" s="77">
        <v>103.523</v>
      </c>
      <c r="N332" s="6">
        <v>103.523</v>
      </c>
      <c r="O332" s="77">
        <v>103.523</v>
      </c>
      <c r="P332" s="6">
        <v>0</v>
      </c>
      <c r="Q332" s="4" t="s">
        <v>26</v>
      </c>
      <c r="R332" s="4">
        <v>0</v>
      </c>
      <c r="S332" s="4">
        <v>0</v>
      </c>
      <c r="T332" s="4">
        <v>19</v>
      </c>
      <c r="U332" s="4">
        <v>67</v>
      </c>
      <c r="V332" s="77">
        <f>IF(ISERROR(VLOOKUP($S$332,'TAR FIN'!$A$1:$O$95,15,0)),0,VLOOKUP($S$332,'TAR FIN'!$A$1:$O$95,15,0))</f>
        <v>0</v>
      </c>
      <c r="W332" s="77">
        <f>IF(ISERROR(VLOOKUP($T$332,'TAR FIN'!$A$1:$O$95,15,0)),0,VLOOKUP($T$332,'TAR FIN'!$A$1:$O$95,15,0))*(1-0.06)</f>
        <v>140.65219999999999</v>
      </c>
      <c r="X332" s="77">
        <f>IF(ISERROR(VLOOKUP($U$332,'TAR FIN'!$A$1:$O$95,15,0)),0,VLOOKUP($U$332,'TAR FIN'!$A$1:$O$95,15,0))*(1-0.06)</f>
        <v>216.22819999999999</v>
      </c>
      <c r="Y332" s="77"/>
      <c r="Z332" s="77">
        <f ca="1">('TUSD BE'!$AM$17+'TUSD BF'!$AM$17+'TUSD CVA'!$AM$17)*1*(1-0.04)</f>
        <v>161.7728460762047</v>
      </c>
      <c r="AA332" s="77">
        <f>('TE BE'!$AA$8+'TE BF'!$AA$8+'TE CVA'!$AA$8)*1*(1-0.04)</f>
        <v>271.60070372834122</v>
      </c>
      <c r="AB332" s="77">
        <f>(SUBSIDIO!$J$332*SUBSIDIO!$V$332)*(0.06)/(1-0.06)</f>
        <v>0</v>
      </c>
      <c r="AC332" s="77">
        <f>((SUBSIDIO!$L$332*SUBSIDIO!$W$332)+(SUBSIDIO!$N$332*SUBSIDIO!$X$332))*(0.06)/(1-0.06)</f>
        <v>2358.2125307999995</v>
      </c>
      <c r="AD332" s="77">
        <f>(SUBSIDIO!$J$332*SUBSIDIO!$Y$332)*(0.04)/(1-0.04)</f>
        <v>0</v>
      </c>
      <c r="AE332" s="77">
        <f ca="1">((SUBSIDIO!$L$332*SUBSIDIO!$Z$332)+(SUBSIDIO!$N$332*SUBSIDIO!$AA$332))*(0.04)/(1-0.04)</f>
        <v>1869.338749850667</v>
      </c>
      <c r="AF332" s="4" t="s">
        <v>844</v>
      </c>
    </row>
    <row r="333" spans="1:32" ht="11.25" customHeight="1" x14ac:dyDescent="0.25">
      <c r="A333" s="4" t="s">
        <v>21</v>
      </c>
      <c r="B333" s="4" t="s">
        <v>35</v>
      </c>
      <c r="C333" s="4" t="s">
        <v>36</v>
      </c>
      <c r="D333" s="4" t="s">
        <v>47</v>
      </c>
      <c r="E333" s="4" t="s">
        <v>25</v>
      </c>
      <c r="F333" s="4" t="s">
        <v>25</v>
      </c>
      <c r="G333" s="4" t="s">
        <v>25</v>
      </c>
      <c r="H333" s="4" t="s">
        <v>38</v>
      </c>
      <c r="I333" s="5">
        <v>44317</v>
      </c>
      <c r="J333" s="6">
        <v>0</v>
      </c>
      <c r="K333" s="77">
        <v>0</v>
      </c>
      <c r="L333" s="6">
        <v>751.38199999999995</v>
      </c>
      <c r="M333" s="77">
        <v>751.38199999999995</v>
      </c>
      <c r="N333" s="6">
        <v>751.38199999999995</v>
      </c>
      <c r="O333" s="77">
        <v>751.38199999999995</v>
      </c>
      <c r="P333" s="6">
        <v>0</v>
      </c>
      <c r="Q333" s="4" t="s">
        <v>26</v>
      </c>
      <c r="R333" s="4">
        <v>0</v>
      </c>
      <c r="S333" s="4">
        <v>0</v>
      </c>
      <c r="T333" s="4">
        <v>19</v>
      </c>
      <c r="U333" s="4">
        <v>67</v>
      </c>
      <c r="V333" s="77">
        <f>IF(ISERROR(VLOOKUP($S$333,'TAR FIN'!$A$1:$O$95,15,0)),0,VLOOKUP($S$333,'TAR FIN'!$A$1:$O$95,15,0))</f>
        <v>0</v>
      </c>
      <c r="W333" s="77">
        <f>IF(ISERROR(VLOOKUP($T$333,'TAR FIN'!$A$1:$O$95,15,0)),0,VLOOKUP($T$333,'TAR FIN'!$A$1:$O$95,15,0))*(1-0.06)</f>
        <v>140.65219999999999</v>
      </c>
      <c r="X333" s="77">
        <f>IF(ISERROR(VLOOKUP($U$333,'TAR FIN'!$A$1:$O$95,15,0)),0,VLOOKUP($U$333,'TAR FIN'!$A$1:$O$95,15,0))*(1-0.06)</f>
        <v>216.22819999999999</v>
      </c>
      <c r="Y333" s="77"/>
      <c r="Z333" s="77">
        <f ca="1">('TUSD BE'!$AM$17+'TUSD BF'!$AM$17+'TUSD CVA'!$AM$17)*1*(1-0.04)</f>
        <v>161.7728460762047</v>
      </c>
      <c r="AA333" s="77">
        <f>('TE BE'!$AA$8+'TE BF'!$AA$8+'TE CVA'!$AA$8)*1*(1-0.04)</f>
        <v>271.60070372834122</v>
      </c>
      <c r="AB333" s="77">
        <f>(SUBSIDIO!$J$333*SUBSIDIO!$V$333)*(0.06)/(1-0.06)</f>
        <v>0</v>
      </c>
      <c r="AC333" s="77">
        <f>((SUBSIDIO!$L$333*SUBSIDIO!$W$333)+(SUBSIDIO!$N$333*SUBSIDIO!$X$333))*(0.06)/(1-0.06)</f>
        <v>17116.181407199998</v>
      </c>
      <c r="AD333" s="77">
        <f>(SUBSIDIO!$J$333*SUBSIDIO!$Y$333)*(0.04)/(1-0.04)</f>
        <v>0</v>
      </c>
      <c r="AE333" s="77">
        <f ca="1">((SUBSIDIO!$L$333*SUBSIDIO!$Z$333)+(SUBSIDIO!$N$333*SUBSIDIO!$AA$333))*(0.04)/(1-0.04)</f>
        <v>13567.878524968304</v>
      </c>
      <c r="AF333" s="4" t="s">
        <v>844</v>
      </c>
    </row>
    <row r="334" spans="1:32" ht="11.25" customHeight="1" x14ac:dyDescent="0.25">
      <c r="A334" s="4" t="s">
        <v>28</v>
      </c>
      <c r="B334" s="4" t="s">
        <v>35</v>
      </c>
      <c r="C334" s="4" t="s">
        <v>36</v>
      </c>
      <c r="D334" s="4" t="s">
        <v>47</v>
      </c>
      <c r="E334" s="4" t="s">
        <v>25</v>
      </c>
      <c r="F334" s="4" t="s">
        <v>25</v>
      </c>
      <c r="G334" s="4" t="s">
        <v>25</v>
      </c>
      <c r="H334" s="4" t="s">
        <v>38</v>
      </c>
      <c r="I334" s="5">
        <v>44317</v>
      </c>
      <c r="J334" s="6">
        <v>0</v>
      </c>
      <c r="K334" s="77">
        <v>0</v>
      </c>
      <c r="L334" s="6">
        <v>105.182</v>
      </c>
      <c r="M334" s="77">
        <v>105.182</v>
      </c>
      <c r="N334" s="6">
        <v>105.182</v>
      </c>
      <c r="O334" s="77">
        <v>105.182</v>
      </c>
      <c r="P334" s="6">
        <v>0</v>
      </c>
      <c r="Q334" s="4" t="s">
        <v>26</v>
      </c>
      <c r="R334" s="4">
        <v>0</v>
      </c>
      <c r="S334" s="4">
        <v>0</v>
      </c>
      <c r="T334" s="4">
        <v>19</v>
      </c>
      <c r="U334" s="4">
        <v>67</v>
      </c>
      <c r="V334" s="77">
        <f>IF(ISERROR(VLOOKUP($S$334,'TAR FIN'!$A$1:$O$95,15,0)),0,VLOOKUP($S$334,'TAR FIN'!$A$1:$O$95,15,0))</f>
        <v>0</v>
      </c>
      <c r="W334" s="77">
        <f>IF(ISERROR(VLOOKUP($T$334,'TAR FIN'!$A$1:$O$95,15,0)),0,VLOOKUP($T$334,'TAR FIN'!$A$1:$O$95,15,0))*(1-0.06)</f>
        <v>140.65219999999999</v>
      </c>
      <c r="X334" s="77">
        <f>IF(ISERROR(VLOOKUP($U$334,'TAR FIN'!$A$1:$O$95,15,0)),0,VLOOKUP($U$334,'TAR FIN'!$A$1:$O$95,15,0))*(1-0.06)</f>
        <v>216.22819999999999</v>
      </c>
      <c r="Y334" s="77"/>
      <c r="Z334" s="77">
        <f ca="1">('TUSD BE'!$AM$17+'TUSD BF'!$AM$17+'TUSD CVA'!$AM$17)*1*(1-0.04)</f>
        <v>161.7728460762047</v>
      </c>
      <c r="AA334" s="77">
        <f>('TE BE'!$AA$8+'TE BF'!$AA$8+'TE CVA'!$AA$8)*1*(1-0.04)</f>
        <v>271.60070372834122</v>
      </c>
      <c r="AB334" s="77">
        <f>(SUBSIDIO!$J$334*SUBSIDIO!$V$334)*(0.06)/(1-0.06)</f>
        <v>0</v>
      </c>
      <c r="AC334" s="77">
        <f>((SUBSIDIO!$L$334*SUBSIDIO!$W$334)+(SUBSIDIO!$N$334*SUBSIDIO!$X$334))*(0.06)/(1-0.06)</f>
        <v>2396.0038872</v>
      </c>
      <c r="AD334" s="77">
        <f>(SUBSIDIO!$J$334*SUBSIDIO!$Y$334)*(0.04)/(1-0.04)</f>
        <v>0</v>
      </c>
      <c r="AE334" s="77">
        <f ca="1">((SUBSIDIO!$L$334*SUBSIDIO!$Z$334)+(SUBSIDIO!$N$334*SUBSIDIO!$AA$334))*(0.04)/(1-0.04)</f>
        <v>1899.2956964809061</v>
      </c>
      <c r="AF334" s="4" t="s">
        <v>844</v>
      </c>
    </row>
    <row r="335" spans="1:32" ht="11.25" customHeight="1" x14ac:dyDescent="0.25">
      <c r="A335" s="4" t="s">
        <v>21</v>
      </c>
      <c r="B335" s="4" t="s">
        <v>35</v>
      </c>
      <c r="C335" s="4" t="s">
        <v>36</v>
      </c>
      <c r="D335" s="4" t="s">
        <v>47</v>
      </c>
      <c r="E335" s="4" t="s">
        <v>25</v>
      </c>
      <c r="F335" s="4" t="s">
        <v>25</v>
      </c>
      <c r="G335" s="4" t="s">
        <v>25</v>
      </c>
      <c r="H335" s="4" t="s">
        <v>38</v>
      </c>
      <c r="I335" s="5">
        <v>44348</v>
      </c>
      <c r="J335" s="6">
        <v>0</v>
      </c>
      <c r="K335" s="77">
        <v>0</v>
      </c>
      <c r="L335" s="6">
        <v>690.61699999999996</v>
      </c>
      <c r="M335" s="77">
        <v>690.61699999999996</v>
      </c>
      <c r="N335" s="6">
        <v>690.61699999999996</v>
      </c>
      <c r="O335" s="77">
        <v>690.61699999999996</v>
      </c>
      <c r="P335" s="6">
        <v>0</v>
      </c>
      <c r="Q335" s="4" t="s">
        <v>26</v>
      </c>
      <c r="R335" s="4">
        <v>0</v>
      </c>
      <c r="S335" s="4">
        <v>0</v>
      </c>
      <c r="T335" s="4">
        <v>19</v>
      </c>
      <c r="U335" s="4">
        <v>67</v>
      </c>
      <c r="V335" s="77">
        <f>IF(ISERROR(VLOOKUP($S$335,'TAR FIN'!$A$1:$O$95,15,0)),0,VLOOKUP($S$335,'TAR FIN'!$A$1:$O$95,15,0))</f>
        <v>0</v>
      </c>
      <c r="W335" s="77">
        <f>IF(ISERROR(VLOOKUP($T$335,'TAR FIN'!$A$1:$O$95,15,0)),0,VLOOKUP($T$335,'TAR FIN'!$A$1:$O$95,15,0))*(1-0.06)</f>
        <v>140.65219999999999</v>
      </c>
      <c r="X335" s="77">
        <f>IF(ISERROR(VLOOKUP($U$335,'TAR FIN'!$A$1:$O$95,15,0)),0,VLOOKUP($U$335,'TAR FIN'!$A$1:$O$95,15,0))*(1-0.06)</f>
        <v>216.22819999999999</v>
      </c>
      <c r="Y335" s="77"/>
      <c r="Z335" s="77">
        <f ca="1">('TUSD BE'!$AM$17+'TUSD BF'!$AM$17+'TUSD CVA'!$AM$17)*1*(1-0.04)</f>
        <v>161.7728460762047</v>
      </c>
      <c r="AA335" s="77">
        <f>('TE BE'!$AA$8+'TE BF'!$AA$8+'TE CVA'!$AA$8)*1*(1-0.04)</f>
        <v>271.60070372834122</v>
      </c>
      <c r="AB335" s="77">
        <f>(SUBSIDIO!$J$335*SUBSIDIO!$V$335)*(0.06)/(1-0.06)</f>
        <v>0</v>
      </c>
      <c r="AC335" s="77">
        <f>((SUBSIDIO!$L$335*SUBSIDIO!$W$335)+(SUBSIDIO!$N$335*SUBSIDIO!$X$335))*(0.06)/(1-0.06)</f>
        <v>15731.979013199998</v>
      </c>
      <c r="AD335" s="77">
        <f>(SUBSIDIO!$J$335*SUBSIDIO!$Y$335)*(0.04)/(1-0.04)</f>
        <v>0</v>
      </c>
      <c r="AE335" s="77">
        <f ca="1">((SUBSIDIO!$L$335*SUBSIDIO!$Z$335)+(SUBSIDIO!$N$335*SUBSIDIO!$AA$335))*(0.04)/(1-0.04)</f>
        <v>12470.630868556918</v>
      </c>
      <c r="AF335" s="4" t="s">
        <v>844</v>
      </c>
    </row>
    <row r="336" spans="1:32" ht="11.25" customHeight="1" x14ac:dyDescent="0.25">
      <c r="A336" s="4" t="s">
        <v>28</v>
      </c>
      <c r="B336" s="4" t="s">
        <v>35</v>
      </c>
      <c r="C336" s="4" t="s">
        <v>36</v>
      </c>
      <c r="D336" s="4" t="s">
        <v>47</v>
      </c>
      <c r="E336" s="4" t="s">
        <v>25</v>
      </c>
      <c r="F336" s="4" t="s">
        <v>25</v>
      </c>
      <c r="G336" s="4" t="s">
        <v>25</v>
      </c>
      <c r="H336" s="4" t="s">
        <v>38</v>
      </c>
      <c r="I336" s="5">
        <v>44348</v>
      </c>
      <c r="J336" s="6">
        <v>0</v>
      </c>
      <c r="K336" s="77">
        <v>0</v>
      </c>
      <c r="L336" s="6">
        <v>87.930999999999997</v>
      </c>
      <c r="M336" s="77">
        <v>87.930999999999997</v>
      </c>
      <c r="N336" s="6">
        <v>87.930999999999997</v>
      </c>
      <c r="O336" s="77">
        <v>87.930999999999997</v>
      </c>
      <c r="P336" s="6">
        <v>0</v>
      </c>
      <c r="Q336" s="4" t="s">
        <v>26</v>
      </c>
      <c r="R336" s="4">
        <v>0</v>
      </c>
      <c r="S336" s="4">
        <v>0</v>
      </c>
      <c r="T336" s="4">
        <v>19</v>
      </c>
      <c r="U336" s="4">
        <v>67</v>
      </c>
      <c r="V336" s="77">
        <f>IF(ISERROR(VLOOKUP($S$336,'TAR FIN'!$A$1:$O$95,15,0)),0,VLOOKUP($S$336,'TAR FIN'!$A$1:$O$95,15,0))</f>
        <v>0</v>
      </c>
      <c r="W336" s="77">
        <f>IF(ISERROR(VLOOKUP($T$336,'TAR FIN'!$A$1:$O$95,15,0)),0,VLOOKUP($T$336,'TAR FIN'!$A$1:$O$95,15,0))*(1-0.06)</f>
        <v>140.65219999999999</v>
      </c>
      <c r="X336" s="77">
        <f>IF(ISERROR(VLOOKUP($U$336,'TAR FIN'!$A$1:$O$95,15,0)),0,VLOOKUP($U$336,'TAR FIN'!$A$1:$O$95,15,0))*(1-0.06)</f>
        <v>216.22819999999999</v>
      </c>
      <c r="Y336" s="77"/>
      <c r="Z336" s="77">
        <f ca="1">('TUSD BE'!$AM$17+'TUSD BF'!$AM$17+'TUSD CVA'!$AM$17)*1*(1-0.04)</f>
        <v>161.7728460762047</v>
      </c>
      <c r="AA336" s="77">
        <f>('TE BE'!$AA$8+'TE BF'!$AA$8+'TE CVA'!$AA$8)*1*(1-0.04)</f>
        <v>271.60070372834122</v>
      </c>
      <c r="AB336" s="77">
        <f>(SUBSIDIO!$J$336*SUBSIDIO!$V$336)*(0.06)/(1-0.06)</f>
        <v>0</v>
      </c>
      <c r="AC336" s="77">
        <f>((SUBSIDIO!$L$336*SUBSIDIO!$W$336)+(SUBSIDIO!$N$336*SUBSIDIO!$X$336))*(0.06)/(1-0.06)</f>
        <v>2003.0330075999998</v>
      </c>
      <c r="AD336" s="77">
        <f>(SUBSIDIO!$J$336*SUBSIDIO!$Y$336)*(0.04)/(1-0.04)</f>
        <v>0</v>
      </c>
      <c r="AE336" s="77">
        <f ca="1">((SUBSIDIO!$L$336*SUBSIDIO!$Z$336)+(SUBSIDIO!$N$336*SUBSIDIO!$AA$336))*(0.04)/(1-0.04)</f>
        <v>1587.7904003276471</v>
      </c>
      <c r="AF336" s="4" t="s">
        <v>844</v>
      </c>
    </row>
    <row r="337" spans="1:32" ht="11.25" customHeight="1" x14ac:dyDescent="0.25">
      <c r="A337" s="4" t="s">
        <v>21</v>
      </c>
      <c r="B337" s="4" t="s">
        <v>35</v>
      </c>
      <c r="C337" s="4" t="s">
        <v>36</v>
      </c>
      <c r="D337" s="4" t="s">
        <v>47</v>
      </c>
      <c r="E337" s="4" t="s">
        <v>25</v>
      </c>
      <c r="F337" s="4" t="s">
        <v>25</v>
      </c>
      <c r="G337" s="4" t="s">
        <v>25</v>
      </c>
      <c r="H337" s="4" t="s">
        <v>38</v>
      </c>
      <c r="I337" s="5">
        <v>44378</v>
      </c>
      <c r="J337" s="6">
        <v>0</v>
      </c>
      <c r="K337" s="77">
        <v>0</v>
      </c>
      <c r="L337" s="6">
        <v>730.80399999999997</v>
      </c>
      <c r="M337" s="77">
        <v>730.80399999999997</v>
      </c>
      <c r="N337" s="6">
        <v>730.80399999999997</v>
      </c>
      <c r="O337" s="77">
        <v>730.80399999999997</v>
      </c>
      <c r="P337" s="6">
        <v>0</v>
      </c>
      <c r="Q337" s="4" t="s">
        <v>26</v>
      </c>
      <c r="R337" s="4">
        <v>0</v>
      </c>
      <c r="S337" s="4">
        <v>0</v>
      </c>
      <c r="T337" s="4">
        <v>19</v>
      </c>
      <c r="U337" s="4">
        <v>67</v>
      </c>
      <c r="V337" s="77">
        <f>IF(ISERROR(VLOOKUP($S$337,'TAR FIN'!$A$1:$O$95,15,0)),0,VLOOKUP($S$337,'TAR FIN'!$A$1:$O$95,15,0))</f>
        <v>0</v>
      </c>
      <c r="W337" s="77">
        <f>IF(ISERROR(VLOOKUP($T$337,'TAR FIN'!$A$1:$O$95,15,0)),0,VLOOKUP($T$337,'TAR FIN'!$A$1:$O$95,15,0))*(1-0.06)</f>
        <v>140.65219999999999</v>
      </c>
      <c r="X337" s="77">
        <f>IF(ISERROR(VLOOKUP($U$337,'TAR FIN'!$A$1:$O$95,15,0)),0,VLOOKUP($U$337,'TAR FIN'!$A$1:$O$95,15,0))*(1-0.06)</f>
        <v>216.22819999999999</v>
      </c>
      <c r="Y337" s="77"/>
      <c r="Z337" s="77">
        <f ca="1">('TUSD BE'!$AM$17+'TUSD BF'!$AM$17+'TUSD CVA'!$AM$17)*1*(1-0.04)</f>
        <v>161.7728460762047</v>
      </c>
      <c r="AA337" s="77">
        <f>('TE BE'!$AA$8+'TE BF'!$AA$8+'TE CVA'!$AA$8)*1*(1-0.04)</f>
        <v>271.60070372834122</v>
      </c>
      <c r="AB337" s="77">
        <f>(SUBSIDIO!$J$337*SUBSIDIO!$V$337)*(0.06)/(1-0.06)</f>
        <v>0</v>
      </c>
      <c r="AC337" s="77">
        <f>((SUBSIDIO!$L$337*SUBSIDIO!$W$337)+(SUBSIDIO!$N$337*SUBSIDIO!$X$337))*(0.06)/(1-0.06)</f>
        <v>16647.422798399999</v>
      </c>
      <c r="AD337" s="77">
        <f>(SUBSIDIO!$J$337*SUBSIDIO!$Y$337)*(0.04)/(1-0.04)</f>
        <v>0</v>
      </c>
      <c r="AE337" s="77">
        <f ca="1">((SUBSIDIO!$L$337*SUBSIDIO!$Z$337)+(SUBSIDIO!$N$337*SUBSIDIO!$AA$337))*(0.04)/(1-0.04)</f>
        <v>13196.296820473392</v>
      </c>
      <c r="AF337" s="4" t="s">
        <v>844</v>
      </c>
    </row>
    <row r="338" spans="1:32" ht="11.25" customHeight="1" x14ac:dyDescent="0.25">
      <c r="A338" s="4" t="s">
        <v>28</v>
      </c>
      <c r="B338" s="4" t="s">
        <v>35</v>
      </c>
      <c r="C338" s="4" t="s">
        <v>36</v>
      </c>
      <c r="D338" s="4" t="s">
        <v>47</v>
      </c>
      <c r="E338" s="4" t="s">
        <v>25</v>
      </c>
      <c r="F338" s="4" t="s">
        <v>25</v>
      </c>
      <c r="G338" s="4" t="s">
        <v>25</v>
      </c>
      <c r="H338" s="4" t="s">
        <v>38</v>
      </c>
      <c r="I338" s="5">
        <v>44378</v>
      </c>
      <c r="J338" s="6">
        <v>0</v>
      </c>
      <c r="K338" s="77">
        <v>0</v>
      </c>
      <c r="L338" s="6">
        <v>81.924999999999997</v>
      </c>
      <c r="M338" s="77">
        <v>81.924999999999997</v>
      </c>
      <c r="N338" s="6">
        <v>81.924999999999997</v>
      </c>
      <c r="O338" s="77">
        <v>81.924999999999997</v>
      </c>
      <c r="P338" s="6">
        <v>0</v>
      </c>
      <c r="Q338" s="4" t="s">
        <v>26</v>
      </c>
      <c r="R338" s="4">
        <v>0</v>
      </c>
      <c r="S338" s="4">
        <v>0</v>
      </c>
      <c r="T338" s="4">
        <v>19</v>
      </c>
      <c r="U338" s="4">
        <v>67</v>
      </c>
      <c r="V338" s="77">
        <f>IF(ISERROR(VLOOKUP($S$338,'TAR FIN'!$A$1:$O$95,15,0)),0,VLOOKUP($S$338,'TAR FIN'!$A$1:$O$95,15,0))</f>
        <v>0</v>
      </c>
      <c r="W338" s="77">
        <f>IF(ISERROR(VLOOKUP($T$338,'TAR FIN'!$A$1:$O$95,15,0)),0,VLOOKUP($T$338,'TAR FIN'!$A$1:$O$95,15,0))*(1-0.06)</f>
        <v>140.65219999999999</v>
      </c>
      <c r="X338" s="77">
        <f>IF(ISERROR(VLOOKUP($U$338,'TAR FIN'!$A$1:$O$95,15,0)),0,VLOOKUP($U$338,'TAR FIN'!$A$1:$O$95,15,0))*(1-0.06)</f>
        <v>216.22819999999999</v>
      </c>
      <c r="Y338" s="77"/>
      <c r="Z338" s="77">
        <f ca="1">('TUSD BE'!$AM$17+'TUSD BF'!$AM$17+'TUSD CVA'!$AM$17)*1*(1-0.04)</f>
        <v>161.7728460762047</v>
      </c>
      <c r="AA338" s="77">
        <f>('TE BE'!$AA$8+'TE BF'!$AA$8+'TE CVA'!$AA$8)*1*(1-0.04)</f>
        <v>271.60070372834122</v>
      </c>
      <c r="AB338" s="77">
        <f>(SUBSIDIO!$J$338*SUBSIDIO!$V$338)*(0.06)/(1-0.06)</f>
        <v>0</v>
      </c>
      <c r="AC338" s="77">
        <f>((SUBSIDIO!$L$338*SUBSIDIO!$W$338)+(SUBSIDIO!$N$338*SUBSIDIO!$X$338))*(0.06)/(1-0.06)</f>
        <v>1866.2187300000001</v>
      </c>
      <c r="AD338" s="77">
        <f>(SUBSIDIO!$J$338*SUBSIDIO!$Y$338)*(0.04)/(1-0.04)</f>
        <v>0</v>
      </c>
      <c r="AE338" s="77">
        <f ca="1">((SUBSIDIO!$L$338*SUBSIDIO!$Z$338)+(SUBSIDIO!$N$338*SUBSIDIO!$AA$338))*(0.04)/(1-0.04)</f>
        <v>1479.3386694890594</v>
      </c>
      <c r="AF338" s="4" t="s">
        <v>844</v>
      </c>
    </row>
    <row r="339" spans="1:32" ht="11.25" customHeight="1" x14ac:dyDescent="0.25">
      <c r="A339" s="4" t="s">
        <v>30</v>
      </c>
      <c r="B339" s="4" t="s">
        <v>35</v>
      </c>
      <c r="C339" s="4" t="s">
        <v>36</v>
      </c>
      <c r="D339" s="4" t="s">
        <v>47</v>
      </c>
      <c r="E339" s="4" t="s">
        <v>25</v>
      </c>
      <c r="F339" s="4" t="s">
        <v>25</v>
      </c>
      <c r="G339" s="4" t="s">
        <v>25</v>
      </c>
      <c r="H339" s="4" t="s">
        <v>38</v>
      </c>
      <c r="I339" s="5">
        <v>44378</v>
      </c>
      <c r="J339" s="6">
        <v>0</v>
      </c>
      <c r="K339" s="77">
        <v>0</v>
      </c>
      <c r="L339" s="6">
        <v>7.8120000000000003</v>
      </c>
      <c r="M339" s="77">
        <v>7.8120000000000003</v>
      </c>
      <c r="N339" s="6">
        <v>7.8120000000000003</v>
      </c>
      <c r="O339" s="77">
        <v>7.8120000000000003</v>
      </c>
      <c r="P339" s="6">
        <v>0</v>
      </c>
      <c r="Q339" s="4" t="s">
        <v>26</v>
      </c>
      <c r="R339" s="4">
        <v>0</v>
      </c>
      <c r="S339" s="4">
        <v>0</v>
      </c>
      <c r="T339" s="4">
        <v>19</v>
      </c>
      <c r="U339" s="4">
        <v>67</v>
      </c>
      <c r="V339" s="77">
        <f>IF(ISERROR(VLOOKUP($S$339,'TAR FIN'!$A$1:$O$95,15,0)),0,VLOOKUP($S$339,'TAR FIN'!$A$1:$O$95,15,0))</f>
        <v>0</v>
      </c>
      <c r="W339" s="77">
        <f>IF(ISERROR(VLOOKUP($T$339,'TAR FIN'!$A$1:$O$95,15,0)),0,VLOOKUP($T$339,'TAR FIN'!$A$1:$O$95,15,0))*(1-0.06)</f>
        <v>140.65219999999999</v>
      </c>
      <c r="X339" s="77">
        <f>IF(ISERROR(VLOOKUP($U$339,'TAR FIN'!$A$1:$O$95,15,0)),0,VLOOKUP($U$339,'TAR FIN'!$A$1:$O$95,15,0))*(1-0.06)</f>
        <v>216.22819999999999</v>
      </c>
      <c r="Y339" s="77"/>
      <c r="Z339" s="77">
        <f ca="1">('TUSD BE'!$AM$17+'TUSD BF'!$AM$17+'TUSD CVA'!$AM$17)*1*(1-0.04)</f>
        <v>161.7728460762047</v>
      </c>
      <c r="AA339" s="77">
        <f>('TE BE'!$AA$8+'TE BF'!$AA$8+'TE CVA'!$AA$8)*1*(1-0.04)</f>
        <v>271.60070372834122</v>
      </c>
      <c r="AB339" s="77">
        <f>(SUBSIDIO!$J$339*SUBSIDIO!$V$339)*(0.06)/(1-0.06)</f>
        <v>0</v>
      </c>
      <c r="AC339" s="77">
        <f>((SUBSIDIO!$L$339*SUBSIDIO!$W$339)+(SUBSIDIO!$N$339*SUBSIDIO!$X$339))*(0.06)/(1-0.06)</f>
        <v>177.9542352</v>
      </c>
      <c r="AD339" s="77">
        <f>(SUBSIDIO!$J$339*SUBSIDIO!$Y$339)*(0.04)/(1-0.04)</f>
        <v>0</v>
      </c>
      <c r="AE339" s="77">
        <f ca="1">((SUBSIDIO!$L$339*SUBSIDIO!$Z$339)+(SUBSIDIO!$N$339*SUBSIDIO!$AA$339))*(0.04)/(1-0.04)</f>
        <v>141.06309046137972</v>
      </c>
      <c r="AF339" s="4" t="s">
        <v>844</v>
      </c>
    </row>
    <row r="340" spans="1:32" ht="11.25" customHeight="1" x14ac:dyDescent="0.25">
      <c r="A340" s="4" t="s">
        <v>21</v>
      </c>
      <c r="B340" s="4" t="s">
        <v>35</v>
      </c>
      <c r="C340" s="4" t="s">
        <v>36</v>
      </c>
      <c r="D340" s="4" t="s">
        <v>47</v>
      </c>
      <c r="E340" s="4" t="s">
        <v>25</v>
      </c>
      <c r="F340" s="4" t="s">
        <v>25</v>
      </c>
      <c r="G340" s="4" t="s">
        <v>25</v>
      </c>
      <c r="H340" s="4" t="s">
        <v>38</v>
      </c>
      <c r="I340" s="5">
        <v>44409</v>
      </c>
      <c r="J340" s="6">
        <v>0</v>
      </c>
      <c r="K340" s="77">
        <v>0</v>
      </c>
      <c r="L340" s="6">
        <v>725.05899999999997</v>
      </c>
      <c r="M340" s="77">
        <v>725.05899999999997</v>
      </c>
      <c r="N340" s="6">
        <v>725.05899999999997</v>
      </c>
      <c r="O340" s="77">
        <v>725.05899999999997</v>
      </c>
      <c r="P340" s="6">
        <v>0</v>
      </c>
      <c r="Q340" s="4" t="s">
        <v>26</v>
      </c>
      <c r="R340" s="4">
        <v>0</v>
      </c>
      <c r="S340" s="4">
        <v>0</v>
      </c>
      <c r="T340" s="4">
        <v>19</v>
      </c>
      <c r="U340" s="4">
        <v>67</v>
      </c>
      <c r="V340" s="77">
        <f>IF(ISERROR(VLOOKUP($S$340,'TAR FIN'!$A$1:$O$95,15,0)),0,VLOOKUP($S$340,'TAR FIN'!$A$1:$O$95,15,0))</f>
        <v>0</v>
      </c>
      <c r="W340" s="77">
        <f>IF(ISERROR(VLOOKUP($T$340,'TAR FIN'!$A$1:$O$95,15,0)),0,VLOOKUP($T$340,'TAR FIN'!$A$1:$O$95,15,0))*(1-0.06)</f>
        <v>140.65219999999999</v>
      </c>
      <c r="X340" s="77">
        <f>IF(ISERROR(VLOOKUP($U$340,'TAR FIN'!$A$1:$O$95,15,0)),0,VLOOKUP($U$340,'TAR FIN'!$A$1:$O$95,15,0))*(1-0.06)</f>
        <v>216.22819999999999</v>
      </c>
      <c r="Y340" s="77"/>
      <c r="Z340" s="77">
        <f ca="1">('TUSD BE'!$AM$17+'TUSD BF'!$AM$17+'TUSD CVA'!$AM$17)*1*(1-0.04)</f>
        <v>161.7728460762047</v>
      </c>
      <c r="AA340" s="77">
        <f>('TE BE'!$AA$8+'TE BF'!$AA$8+'TE CVA'!$AA$8)*1*(1-0.04)</f>
        <v>271.60070372834122</v>
      </c>
      <c r="AB340" s="77">
        <f>(SUBSIDIO!$J$340*SUBSIDIO!$V$340)*(0.06)/(1-0.06)</f>
        <v>0</v>
      </c>
      <c r="AC340" s="77">
        <f>((SUBSIDIO!$L$340*SUBSIDIO!$W$340)+(SUBSIDIO!$N$340*SUBSIDIO!$X$340))*(0.06)/(1-0.06)</f>
        <v>16516.553996399998</v>
      </c>
      <c r="AD340" s="77">
        <f>(SUBSIDIO!$J$340*SUBSIDIO!$Y$340)*(0.04)/(1-0.04)</f>
        <v>0</v>
      </c>
      <c r="AE340" s="77">
        <f ca="1">((SUBSIDIO!$L$340*SUBSIDIO!$Z$340)+(SUBSIDIO!$N$340*SUBSIDIO!$AA$340))*(0.04)/(1-0.04)</f>
        <v>13092.558026988929</v>
      </c>
      <c r="AF340" s="4" t="s">
        <v>844</v>
      </c>
    </row>
    <row r="341" spans="1:32" ht="11.25" customHeight="1" x14ac:dyDescent="0.25">
      <c r="A341" s="4" t="s">
        <v>28</v>
      </c>
      <c r="B341" s="4" t="s">
        <v>35</v>
      </c>
      <c r="C341" s="4" t="s">
        <v>36</v>
      </c>
      <c r="D341" s="4" t="s">
        <v>47</v>
      </c>
      <c r="E341" s="4" t="s">
        <v>25</v>
      </c>
      <c r="F341" s="4" t="s">
        <v>25</v>
      </c>
      <c r="G341" s="4" t="s">
        <v>25</v>
      </c>
      <c r="H341" s="4" t="s">
        <v>38</v>
      </c>
      <c r="I341" s="5">
        <v>44409</v>
      </c>
      <c r="J341" s="6">
        <v>0</v>
      </c>
      <c r="K341" s="77">
        <v>0</v>
      </c>
      <c r="L341" s="6">
        <v>90.111000000000004</v>
      </c>
      <c r="M341" s="77">
        <v>90.111000000000004</v>
      </c>
      <c r="N341" s="6">
        <v>90.111000000000004</v>
      </c>
      <c r="O341" s="77">
        <v>90.111000000000004</v>
      </c>
      <c r="P341" s="6">
        <v>0</v>
      </c>
      <c r="Q341" s="4" t="s">
        <v>26</v>
      </c>
      <c r="R341" s="4">
        <v>0</v>
      </c>
      <c r="S341" s="4">
        <v>0</v>
      </c>
      <c r="T341" s="4">
        <v>19</v>
      </c>
      <c r="U341" s="4">
        <v>67</v>
      </c>
      <c r="V341" s="77">
        <f>IF(ISERROR(VLOOKUP($S$341,'TAR FIN'!$A$1:$O$95,15,0)),0,VLOOKUP($S$341,'TAR FIN'!$A$1:$O$95,15,0))</f>
        <v>0</v>
      </c>
      <c r="W341" s="77">
        <f>IF(ISERROR(VLOOKUP($T$341,'TAR FIN'!$A$1:$O$95,15,0)),0,VLOOKUP($T$341,'TAR FIN'!$A$1:$O$95,15,0))*(1-0.06)</f>
        <v>140.65219999999999</v>
      </c>
      <c r="X341" s="77">
        <f>IF(ISERROR(VLOOKUP($U$341,'TAR FIN'!$A$1:$O$95,15,0)),0,VLOOKUP($U$341,'TAR FIN'!$A$1:$O$95,15,0))*(1-0.06)</f>
        <v>216.22819999999999</v>
      </c>
      <c r="Y341" s="77"/>
      <c r="Z341" s="77">
        <f ca="1">('TUSD BE'!$AM$17+'TUSD BF'!$AM$17+'TUSD CVA'!$AM$17)*1*(1-0.04)</f>
        <v>161.7728460762047</v>
      </c>
      <c r="AA341" s="77">
        <f>('TE BE'!$AA$8+'TE BF'!$AA$8+'TE CVA'!$AA$8)*1*(1-0.04)</f>
        <v>271.60070372834122</v>
      </c>
      <c r="AB341" s="77">
        <f>(SUBSIDIO!$J$341*SUBSIDIO!$V$341)*(0.06)/(1-0.06)</f>
        <v>0</v>
      </c>
      <c r="AC341" s="77">
        <f>((SUBSIDIO!$L$341*SUBSIDIO!$W$341)+(SUBSIDIO!$N$341*SUBSIDIO!$X$341))*(0.06)/(1-0.06)</f>
        <v>2052.6925356000002</v>
      </c>
      <c r="AD341" s="77">
        <f>(SUBSIDIO!$J$341*SUBSIDIO!$Y$341)*(0.04)/(1-0.04)</f>
        <v>0</v>
      </c>
      <c r="AE341" s="77">
        <f ca="1">((SUBSIDIO!$L$341*SUBSIDIO!$Z$341)+(SUBSIDIO!$N$341*SUBSIDIO!$AA$341))*(0.04)/(1-0.04)</f>
        <v>1627.1551644348935</v>
      </c>
      <c r="AF341" s="4" t="s">
        <v>844</v>
      </c>
    </row>
    <row r="342" spans="1:32" ht="11.25" customHeight="1" x14ac:dyDescent="0.25">
      <c r="A342" s="4" t="s">
        <v>30</v>
      </c>
      <c r="B342" s="4" t="s">
        <v>35</v>
      </c>
      <c r="C342" s="4" t="s">
        <v>36</v>
      </c>
      <c r="D342" s="4" t="s">
        <v>47</v>
      </c>
      <c r="E342" s="4" t="s">
        <v>25</v>
      </c>
      <c r="F342" s="4" t="s">
        <v>25</v>
      </c>
      <c r="G342" s="4" t="s">
        <v>25</v>
      </c>
      <c r="H342" s="4" t="s">
        <v>38</v>
      </c>
      <c r="I342" s="5">
        <v>44409</v>
      </c>
      <c r="J342" s="6">
        <v>0</v>
      </c>
      <c r="K342" s="77">
        <v>0</v>
      </c>
      <c r="L342" s="6">
        <v>10.981</v>
      </c>
      <c r="M342" s="77">
        <v>10.981</v>
      </c>
      <c r="N342" s="6">
        <v>10.981</v>
      </c>
      <c r="O342" s="77">
        <v>10.981</v>
      </c>
      <c r="P342" s="6">
        <v>0</v>
      </c>
      <c r="Q342" s="4" t="s">
        <v>26</v>
      </c>
      <c r="R342" s="4">
        <v>0</v>
      </c>
      <c r="S342" s="4">
        <v>0</v>
      </c>
      <c r="T342" s="4">
        <v>19</v>
      </c>
      <c r="U342" s="4">
        <v>67</v>
      </c>
      <c r="V342" s="77">
        <f>IF(ISERROR(VLOOKUP($S$342,'TAR FIN'!$A$1:$O$95,15,0)),0,VLOOKUP($S$342,'TAR FIN'!$A$1:$O$95,15,0))</f>
        <v>0</v>
      </c>
      <c r="W342" s="77">
        <f>IF(ISERROR(VLOOKUP($T$342,'TAR FIN'!$A$1:$O$95,15,0)),0,VLOOKUP($T$342,'TAR FIN'!$A$1:$O$95,15,0))*(1-0.06)</f>
        <v>140.65219999999999</v>
      </c>
      <c r="X342" s="77">
        <f>IF(ISERROR(VLOOKUP($U$342,'TAR FIN'!$A$1:$O$95,15,0)),0,VLOOKUP($U$342,'TAR FIN'!$A$1:$O$95,15,0))*(1-0.06)</f>
        <v>216.22819999999999</v>
      </c>
      <c r="Y342" s="77"/>
      <c r="Z342" s="77">
        <f ca="1">('TUSD BE'!$AM$17+'TUSD BF'!$AM$17+'TUSD CVA'!$AM$17)*1*(1-0.04)</f>
        <v>161.7728460762047</v>
      </c>
      <c r="AA342" s="77">
        <f>('TE BE'!$AA$8+'TE BF'!$AA$8+'TE CVA'!$AA$8)*1*(1-0.04)</f>
        <v>271.60070372834122</v>
      </c>
      <c r="AB342" s="77">
        <f>(SUBSIDIO!$J$342*SUBSIDIO!$V$342)*(0.06)/(1-0.06)</f>
        <v>0</v>
      </c>
      <c r="AC342" s="77">
        <f>((SUBSIDIO!$L$342*SUBSIDIO!$W$342)+(SUBSIDIO!$N$342*SUBSIDIO!$X$342))*(0.06)/(1-0.06)</f>
        <v>250.14278759999999</v>
      </c>
      <c r="AD342" s="77">
        <f>(SUBSIDIO!$J$342*SUBSIDIO!$Y$342)*(0.04)/(1-0.04)</f>
        <v>0</v>
      </c>
      <c r="AE342" s="77">
        <f ca="1">((SUBSIDIO!$L$342*SUBSIDIO!$Z$342)+(SUBSIDIO!$N$342*SUBSIDIO!$AA$342))*(0.04)/(1-0.04)</f>
        <v>198.28645626682163</v>
      </c>
      <c r="AF342" s="4" t="s">
        <v>844</v>
      </c>
    </row>
    <row r="343" spans="1:32" ht="11.25" customHeight="1" x14ac:dyDescent="0.25">
      <c r="A343" s="4" t="s">
        <v>21</v>
      </c>
      <c r="B343" s="4" t="s">
        <v>35</v>
      </c>
      <c r="C343" s="4" t="s">
        <v>36</v>
      </c>
      <c r="D343" s="4" t="s">
        <v>47</v>
      </c>
      <c r="E343" s="4" t="s">
        <v>25</v>
      </c>
      <c r="F343" s="4" t="s">
        <v>25</v>
      </c>
      <c r="G343" s="4" t="s">
        <v>25</v>
      </c>
      <c r="H343" s="4" t="s">
        <v>38</v>
      </c>
      <c r="I343" s="5">
        <v>44440</v>
      </c>
      <c r="J343" s="6">
        <v>0</v>
      </c>
      <c r="K343" s="77">
        <v>0</v>
      </c>
      <c r="L343" s="6">
        <v>714.33</v>
      </c>
      <c r="M343" s="77">
        <v>714.33</v>
      </c>
      <c r="N343" s="6">
        <v>714.33</v>
      </c>
      <c r="O343" s="77">
        <v>714.33</v>
      </c>
      <c r="P343" s="6">
        <v>0</v>
      </c>
      <c r="Q343" s="4" t="s">
        <v>26</v>
      </c>
      <c r="R343" s="4">
        <v>0</v>
      </c>
      <c r="S343" s="4">
        <v>0</v>
      </c>
      <c r="T343" s="4">
        <v>19</v>
      </c>
      <c r="U343" s="4">
        <v>67</v>
      </c>
      <c r="V343" s="77">
        <f>IF(ISERROR(VLOOKUP($S$343,'TAR FIN'!$A$1:$O$95,15,0)),0,VLOOKUP($S$343,'TAR FIN'!$A$1:$O$95,15,0))</f>
        <v>0</v>
      </c>
      <c r="W343" s="77">
        <f>IF(ISERROR(VLOOKUP($T$343,'TAR FIN'!$A$1:$O$95,15,0)),0,VLOOKUP($T$343,'TAR FIN'!$A$1:$O$95,15,0))*(1-0.06)</f>
        <v>140.65219999999999</v>
      </c>
      <c r="X343" s="77">
        <f>IF(ISERROR(VLOOKUP($U$343,'TAR FIN'!$A$1:$O$95,15,0)),0,VLOOKUP($U$343,'TAR FIN'!$A$1:$O$95,15,0))*(1-0.06)</f>
        <v>216.22819999999999</v>
      </c>
      <c r="Y343" s="77"/>
      <c r="Z343" s="77">
        <f ca="1">('TUSD BE'!$AM$17+'TUSD BF'!$AM$17+'TUSD CVA'!$AM$17)*1*(1-0.04)</f>
        <v>161.7728460762047</v>
      </c>
      <c r="AA343" s="77">
        <f>('TE BE'!$AA$8+'TE BF'!$AA$8+'TE CVA'!$AA$8)*1*(1-0.04)</f>
        <v>271.60070372834122</v>
      </c>
      <c r="AB343" s="77">
        <f>(SUBSIDIO!$J$343*SUBSIDIO!$V$343)*(0.06)/(1-0.06)</f>
        <v>0</v>
      </c>
      <c r="AC343" s="77">
        <f>((SUBSIDIO!$L$343*SUBSIDIO!$W$343)+(SUBSIDIO!$N$343*SUBSIDIO!$X$343))*(0.06)/(1-0.06)</f>
        <v>16272.151668000002</v>
      </c>
      <c r="AD343" s="77">
        <f>(SUBSIDIO!$J$343*SUBSIDIO!$Y$343)*(0.04)/(1-0.04)</f>
        <v>0</v>
      </c>
      <c r="AE343" s="77">
        <f ca="1">((SUBSIDIO!$L$343*SUBSIDIO!$Z$343)+(SUBSIDIO!$N$343*SUBSIDIO!$AA$343))*(0.04)/(1-0.04)</f>
        <v>12898.821992995057</v>
      </c>
      <c r="AF343" s="4" t="s">
        <v>844</v>
      </c>
    </row>
    <row r="344" spans="1:32" ht="11.25" customHeight="1" x14ac:dyDescent="0.25">
      <c r="A344" s="4" t="s">
        <v>28</v>
      </c>
      <c r="B344" s="4" t="s">
        <v>35</v>
      </c>
      <c r="C344" s="4" t="s">
        <v>36</v>
      </c>
      <c r="D344" s="4" t="s">
        <v>47</v>
      </c>
      <c r="E344" s="4" t="s">
        <v>25</v>
      </c>
      <c r="F344" s="4" t="s">
        <v>25</v>
      </c>
      <c r="G344" s="4" t="s">
        <v>25</v>
      </c>
      <c r="H344" s="4" t="s">
        <v>38</v>
      </c>
      <c r="I344" s="5">
        <v>44440</v>
      </c>
      <c r="J344" s="6">
        <v>0</v>
      </c>
      <c r="K344" s="77">
        <v>0</v>
      </c>
      <c r="L344" s="6">
        <v>130.505</v>
      </c>
      <c r="M344" s="77">
        <v>130.505</v>
      </c>
      <c r="N344" s="6">
        <v>130.505</v>
      </c>
      <c r="O344" s="77">
        <v>130.505</v>
      </c>
      <c r="P344" s="6">
        <v>0</v>
      </c>
      <c r="Q344" s="4" t="s">
        <v>26</v>
      </c>
      <c r="R344" s="4">
        <v>0</v>
      </c>
      <c r="S344" s="4">
        <v>0</v>
      </c>
      <c r="T344" s="4">
        <v>19</v>
      </c>
      <c r="U344" s="4">
        <v>67</v>
      </c>
      <c r="V344" s="77">
        <f>IF(ISERROR(VLOOKUP($S$344,'TAR FIN'!$A$1:$O$95,15,0)),0,VLOOKUP($S$344,'TAR FIN'!$A$1:$O$95,15,0))</f>
        <v>0</v>
      </c>
      <c r="W344" s="77">
        <f>IF(ISERROR(VLOOKUP($T$344,'TAR FIN'!$A$1:$O$95,15,0)),0,VLOOKUP($T$344,'TAR FIN'!$A$1:$O$95,15,0))*(1-0.06)</f>
        <v>140.65219999999999</v>
      </c>
      <c r="X344" s="77">
        <f>IF(ISERROR(VLOOKUP($U$344,'TAR FIN'!$A$1:$O$95,15,0)),0,VLOOKUP($U$344,'TAR FIN'!$A$1:$O$95,15,0))*(1-0.06)</f>
        <v>216.22819999999999</v>
      </c>
      <c r="Y344" s="77"/>
      <c r="Z344" s="77">
        <f ca="1">('TUSD BE'!$AM$17+'TUSD BF'!$AM$17+'TUSD CVA'!$AM$17)*1*(1-0.04)</f>
        <v>161.7728460762047</v>
      </c>
      <c r="AA344" s="77">
        <f>('TE BE'!$AA$8+'TE BF'!$AA$8+'TE CVA'!$AA$8)*1*(1-0.04)</f>
        <v>271.60070372834122</v>
      </c>
      <c r="AB344" s="77">
        <f>(SUBSIDIO!$J$344*SUBSIDIO!$V$344)*(0.06)/(1-0.06)</f>
        <v>0</v>
      </c>
      <c r="AC344" s="77">
        <f>((SUBSIDIO!$L$344*SUBSIDIO!$W$344)+(SUBSIDIO!$N$344*SUBSIDIO!$X$344))*(0.06)/(1-0.06)</f>
        <v>2972.8516979999995</v>
      </c>
      <c r="AD344" s="77">
        <f>(SUBSIDIO!$J$344*SUBSIDIO!$Y$344)*(0.04)/(1-0.04)</f>
        <v>0</v>
      </c>
      <c r="AE344" s="77">
        <f ca="1">((SUBSIDIO!$L$344*SUBSIDIO!$Z$344)+(SUBSIDIO!$N$344*SUBSIDIO!$AA$344))*(0.04)/(1-0.04)</f>
        <v>2356.5589632184274</v>
      </c>
      <c r="AF344" s="4" t="s">
        <v>844</v>
      </c>
    </row>
    <row r="345" spans="1:32" ht="11.25" customHeight="1" x14ac:dyDescent="0.25">
      <c r="A345" s="4" t="s">
        <v>30</v>
      </c>
      <c r="B345" s="4" t="s">
        <v>35</v>
      </c>
      <c r="C345" s="4" t="s">
        <v>36</v>
      </c>
      <c r="D345" s="4" t="s">
        <v>47</v>
      </c>
      <c r="E345" s="4" t="s">
        <v>25</v>
      </c>
      <c r="F345" s="4" t="s">
        <v>25</v>
      </c>
      <c r="G345" s="4" t="s">
        <v>25</v>
      </c>
      <c r="H345" s="4" t="s">
        <v>38</v>
      </c>
      <c r="I345" s="5">
        <v>44440</v>
      </c>
      <c r="J345" s="6">
        <v>0</v>
      </c>
      <c r="K345" s="77">
        <v>0</v>
      </c>
      <c r="L345" s="6">
        <v>16.239999999999998</v>
      </c>
      <c r="M345" s="77">
        <v>16.239999999999998</v>
      </c>
      <c r="N345" s="6">
        <v>16.239999999999998</v>
      </c>
      <c r="O345" s="77">
        <v>16.239999999999998</v>
      </c>
      <c r="P345" s="6">
        <v>0</v>
      </c>
      <c r="Q345" s="4" t="s">
        <v>26</v>
      </c>
      <c r="R345" s="4">
        <v>0</v>
      </c>
      <c r="S345" s="4">
        <v>0</v>
      </c>
      <c r="T345" s="4">
        <v>19</v>
      </c>
      <c r="U345" s="4">
        <v>67</v>
      </c>
      <c r="V345" s="77">
        <f>IF(ISERROR(VLOOKUP($S$345,'TAR FIN'!$A$1:$O$95,15,0)),0,VLOOKUP($S$345,'TAR FIN'!$A$1:$O$95,15,0))</f>
        <v>0</v>
      </c>
      <c r="W345" s="77">
        <f>IF(ISERROR(VLOOKUP($T$345,'TAR FIN'!$A$1:$O$95,15,0)),0,VLOOKUP($T$345,'TAR FIN'!$A$1:$O$95,15,0))*(1-0.06)</f>
        <v>140.65219999999999</v>
      </c>
      <c r="X345" s="77">
        <f>IF(ISERROR(VLOOKUP($U$345,'TAR FIN'!$A$1:$O$95,15,0)),0,VLOOKUP($U$345,'TAR FIN'!$A$1:$O$95,15,0))*(1-0.06)</f>
        <v>216.22819999999999</v>
      </c>
      <c r="Y345" s="77"/>
      <c r="Z345" s="77">
        <f ca="1">('TUSD BE'!$AM$17+'TUSD BF'!$AM$17+'TUSD CVA'!$AM$17)*1*(1-0.04)</f>
        <v>161.7728460762047</v>
      </c>
      <c r="AA345" s="77">
        <f>('TE BE'!$AA$8+'TE BF'!$AA$8+'TE CVA'!$AA$8)*1*(1-0.04)</f>
        <v>271.60070372834122</v>
      </c>
      <c r="AB345" s="77">
        <f>(SUBSIDIO!$J$345*SUBSIDIO!$V$345)*(0.06)/(1-0.06)</f>
        <v>0</v>
      </c>
      <c r="AC345" s="77">
        <f>((SUBSIDIO!$L$345*SUBSIDIO!$W$345)+(SUBSIDIO!$N$345*SUBSIDIO!$X$345))*(0.06)/(1-0.06)</f>
        <v>369.94070399999993</v>
      </c>
      <c r="AD345" s="77">
        <f>(SUBSIDIO!$J$345*SUBSIDIO!$Y$345)*(0.04)/(1-0.04)</f>
        <v>0</v>
      </c>
      <c r="AE345" s="77">
        <f ca="1">((SUBSIDIO!$L$345*SUBSIDIO!$Z$345)+(SUBSIDIO!$N$345*SUBSIDIO!$AA$345))*(0.04)/(1-0.04)</f>
        <v>293.24943536774271</v>
      </c>
      <c r="AF345" s="4" t="s">
        <v>844</v>
      </c>
    </row>
    <row r="346" spans="1:32" ht="11.25" customHeight="1" x14ac:dyDescent="0.25">
      <c r="A346" s="4" t="s">
        <v>59</v>
      </c>
      <c r="B346" s="4" t="s">
        <v>35</v>
      </c>
      <c r="C346" s="4" t="s">
        <v>36</v>
      </c>
      <c r="D346" s="4" t="s">
        <v>47</v>
      </c>
      <c r="E346" s="4" t="s">
        <v>25</v>
      </c>
      <c r="F346" s="4" t="s">
        <v>25</v>
      </c>
      <c r="G346" s="4" t="s">
        <v>25</v>
      </c>
      <c r="H346" s="4" t="s">
        <v>38</v>
      </c>
      <c r="I346" s="5">
        <v>44470</v>
      </c>
      <c r="J346" s="6">
        <v>0</v>
      </c>
      <c r="K346" s="77">
        <v>0</v>
      </c>
      <c r="L346" s="6">
        <v>714.33</v>
      </c>
      <c r="M346" s="77">
        <v>714.33</v>
      </c>
      <c r="N346" s="6">
        <v>714.33</v>
      </c>
      <c r="O346" s="77">
        <v>714.33</v>
      </c>
      <c r="P346" s="6">
        <v>0</v>
      </c>
      <c r="Q346" s="4" t="s">
        <v>26</v>
      </c>
      <c r="R346" s="4">
        <v>0</v>
      </c>
      <c r="S346" s="4">
        <v>0</v>
      </c>
      <c r="T346" s="4">
        <v>19</v>
      </c>
      <c r="U346" s="4">
        <v>67</v>
      </c>
      <c r="V346" s="77">
        <f>IF(ISERROR(VLOOKUP($S$346,'TAR FIN'!$A$1:$O$95,15,0)),0,VLOOKUP($S$346,'TAR FIN'!$A$1:$O$95,15,0))</f>
        <v>0</v>
      </c>
      <c r="W346" s="77">
        <f>IF(ISERROR(VLOOKUP($T$346,'TAR FIN'!$A$1:$O$95,15,0)),0,VLOOKUP($T$346,'TAR FIN'!$A$1:$O$95,15,0))*(1-0.06)</f>
        <v>140.65219999999999</v>
      </c>
      <c r="X346" s="77">
        <f>IF(ISERROR(VLOOKUP($U$346,'TAR FIN'!$A$1:$O$95,15,0)),0,VLOOKUP($U$346,'TAR FIN'!$A$1:$O$95,15,0))*(1-0.06)</f>
        <v>216.22819999999999</v>
      </c>
      <c r="Y346" s="77"/>
      <c r="Z346" s="77">
        <f ca="1">('TUSD BE'!$AM$17+'TUSD BF'!$AM$17+'TUSD CVA'!$AM$17)*1*(1-0.04)</f>
        <v>161.7728460762047</v>
      </c>
      <c r="AA346" s="77">
        <f>('TE BE'!$AA$8+'TE BF'!$AA$8+'TE CVA'!$AA$8)*1*(1-0.04)</f>
        <v>271.60070372834122</v>
      </c>
      <c r="AB346" s="77">
        <f>(SUBSIDIO!$J$346*SUBSIDIO!$V$346)*(0.06)/(1-0.06)</f>
        <v>0</v>
      </c>
      <c r="AC346" s="77">
        <f>((SUBSIDIO!$L$346*SUBSIDIO!$W$346)+(SUBSIDIO!$N$346*SUBSIDIO!$X$346))*(0.06)/(1-0.06)</f>
        <v>16272.151668000002</v>
      </c>
      <c r="AD346" s="77">
        <f>(SUBSIDIO!$J$346*SUBSIDIO!$Y$346)*(0.04)/(1-0.04)</f>
        <v>0</v>
      </c>
      <c r="AE346" s="77">
        <f ca="1">((SUBSIDIO!$L$346*SUBSIDIO!$Z$346)+(SUBSIDIO!$N$346*SUBSIDIO!$AA$346))*(0.04)/(1-0.04)</f>
        <v>12898.821992995057</v>
      </c>
      <c r="AF346" s="4" t="s">
        <v>844</v>
      </c>
    </row>
    <row r="347" spans="1:32" ht="11.25" customHeight="1" x14ac:dyDescent="0.25">
      <c r="A347" s="4" t="s">
        <v>59</v>
      </c>
      <c r="B347" s="4" t="s">
        <v>35</v>
      </c>
      <c r="C347" s="4" t="s">
        <v>36</v>
      </c>
      <c r="D347" s="4" t="s">
        <v>47</v>
      </c>
      <c r="E347" s="4" t="s">
        <v>25</v>
      </c>
      <c r="F347" s="4" t="s">
        <v>25</v>
      </c>
      <c r="G347" s="4" t="s">
        <v>25</v>
      </c>
      <c r="H347" s="4" t="s">
        <v>38</v>
      </c>
      <c r="I347" s="5">
        <v>44470</v>
      </c>
      <c r="J347" s="6">
        <v>0</v>
      </c>
      <c r="K347" s="77">
        <v>0</v>
      </c>
      <c r="L347" s="6">
        <v>130.505</v>
      </c>
      <c r="M347" s="77">
        <v>130.505</v>
      </c>
      <c r="N347" s="6">
        <v>130.505</v>
      </c>
      <c r="O347" s="77">
        <v>130.505</v>
      </c>
      <c r="P347" s="6">
        <v>0</v>
      </c>
      <c r="Q347" s="4" t="s">
        <v>26</v>
      </c>
      <c r="R347" s="4">
        <v>0</v>
      </c>
      <c r="S347" s="4">
        <v>0</v>
      </c>
      <c r="T347" s="4">
        <v>19</v>
      </c>
      <c r="U347" s="4">
        <v>67</v>
      </c>
      <c r="V347" s="77">
        <f>IF(ISERROR(VLOOKUP($S$347,'TAR FIN'!$A$1:$O$95,15,0)),0,VLOOKUP($S$347,'TAR FIN'!$A$1:$O$95,15,0))</f>
        <v>0</v>
      </c>
      <c r="W347" s="77">
        <f>IF(ISERROR(VLOOKUP($T$347,'TAR FIN'!$A$1:$O$95,15,0)),0,VLOOKUP($T$347,'TAR FIN'!$A$1:$O$95,15,0))*(1-0.06)</f>
        <v>140.65219999999999</v>
      </c>
      <c r="X347" s="77">
        <f>IF(ISERROR(VLOOKUP($U$347,'TAR FIN'!$A$1:$O$95,15,0)),0,VLOOKUP($U$347,'TAR FIN'!$A$1:$O$95,15,0))*(1-0.06)</f>
        <v>216.22819999999999</v>
      </c>
      <c r="Y347" s="77"/>
      <c r="Z347" s="77">
        <f ca="1">('TUSD BE'!$AM$17+'TUSD BF'!$AM$17+'TUSD CVA'!$AM$17)*1*(1-0.04)</f>
        <v>161.7728460762047</v>
      </c>
      <c r="AA347" s="77">
        <f>('TE BE'!$AA$8+'TE BF'!$AA$8+'TE CVA'!$AA$8)*1*(1-0.04)</f>
        <v>271.60070372834122</v>
      </c>
      <c r="AB347" s="77">
        <f>(SUBSIDIO!$J$347*SUBSIDIO!$V$347)*(0.06)/(1-0.06)</f>
        <v>0</v>
      </c>
      <c r="AC347" s="77">
        <f>((SUBSIDIO!$L$347*SUBSIDIO!$W$347)+(SUBSIDIO!$N$347*SUBSIDIO!$X$347))*(0.06)/(1-0.06)</f>
        <v>2972.8516979999995</v>
      </c>
      <c r="AD347" s="77">
        <f>(SUBSIDIO!$J$347*SUBSIDIO!$Y$347)*(0.04)/(1-0.04)</f>
        <v>0</v>
      </c>
      <c r="AE347" s="77">
        <f ca="1">((SUBSIDIO!$L$347*SUBSIDIO!$Z$347)+(SUBSIDIO!$N$347*SUBSIDIO!$AA$347))*(0.04)/(1-0.04)</f>
        <v>2356.5589632184274</v>
      </c>
      <c r="AF347" s="4" t="s">
        <v>844</v>
      </c>
    </row>
    <row r="348" spans="1:32" ht="11.25" customHeight="1" x14ac:dyDescent="0.25">
      <c r="A348" s="4" t="s">
        <v>59</v>
      </c>
      <c r="B348" s="4" t="s">
        <v>35</v>
      </c>
      <c r="C348" s="4" t="s">
        <v>36</v>
      </c>
      <c r="D348" s="4" t="s">
        <v>47</v>
      </c>
      <c r="E348" s="4" t="s">
        <v>25</v>
      </c>
      <c r="F348" s="4" t="s">
        <v>25</v>
      </c>
      <c r="G348" s="4" t="s">
        <v>25</v>
      </c>
      <c r="H348" s="4" t="s">
        <v>38</v>
      </c>
      <c r="I348" s="5">
        <v>44470</v>
      </c>
      <c r="J348" s="6">
        <v>0</v>
      </c>
      <c r="K348" s="77">
        <v>0</v>
      </c>
      <c r="L348" s="6">
        <v>16.239999999999998</v>
      </c>
      <c r="M348" s="77">
        <v>16.239999999999998</v>
      </c>
      <c r="N348" s="6">
        <v>16.239999999999998</v>
      </c>
      <c r="O348" s="77">
        <v>16.239999999999998</v>
      </c>
      <c r="P348" s="6">
        <v>0</v>
      </c>
      <c r="Q348" s="4" t="s">
        <v>26</v>
      </c>
      <c r="R348" s="4">
        <v>0</v>
      </c>
      <c r="S348" s="4">
        <v>0</v>
      </c>
      <c r="T348" s="4">
        <v>19</v>
      </c>
      <c r="U348" s="4">
        <v>67</v>
      </c>
      <c r="V348" s="77">
        <f>IF(ISERROR(VLOOKUP($S$348,'TAR FIN'!$A$1:$O$95,15,0)),0,VLOOKUP($S$348,'TAR FIN'!$A$1:$O$95,15,0))</f>
        <v>0</v>
      </c>
      <c r="W348" s="77">
        <f>IF(ISERROR(VLOOKUP($T$348,'TAR FIN'!$A$1:$O$95,15,0)),0,VLOOKUP($T$348,'TAR FIN'!$A$1:$O$95,15,0))*(1-0.06)</f>
        <v>140.65219999999999</v>
      </c>
      <c r="X348" s="77">
        <f>IF(ISERROR(VLOOKUP($U$348,'TAR FIN'!$A$1:$O$95,15,0)),0,VLOOKUP($U$348,'TAR FIN'!$A$1:$O$95,15,0))*(1-0.06)</f>
        <v>216.22819999999999</v>
      </c>
      <c r="Y348" s="77"/>
      <c r="Z348" s="77">
        <f ca="1">('TUSD BE'!$AM$17+'TUSD BF'!$AM$17+'TUSD CVA'!$AM$17)*1*(1-0.04)</f>
        <v>161.7728460762047</v>
      </c>
      <c r="AA348" s="77">
        <f>('TE BE'!$AA$8+'TE BF'!$AA$8+'TE CVA'!$AA$8)*1*(1-0.04)</f>
        <v>271.60070372834122</v>
      </c>
      <c r="AB348" s="77">
        <f>(SUBSIDIO!$J$348*SUBSIDIO!$V$348)*(0.06)/(1-0.06)</f>
        <v>0</v>
      </c>
      <c r="AC348" s="77">
        <f>((SUBSIDIO!$L$348*SUBSIDIO!$W$348)+(SUBSIDIO!$N$348*SUBSIDIO!$X$348))*(0.06)/(1-0.06)</f>
        <v>369.94070399999993</v>
      </c>
      <c r="AD348" s="77">
        <f>(SUBSIDIO!$J$348*SUBSIDIO!$Y$348)*(0.04)/(1-0.04)</f>
        <v>0</v>
      </c>
      <c r="AE348" s="77">
        <f ca="1">((SUBSIDIO!$L$348*SUBSIDIO!$Z$348)+(SUBSIDIO!$N$348*SUBSIDIO!$AA$348))*(0.04)/(1-0.04)</f>
        <v>293.24943536774271</v>
      </c>
      <c r="AF348" s="4" t="s">
        <v>844</v>
      </c>
    </row>
    <row r="349" spans="1:32" ht="11.25" customHeight="1" x14ac:dyDescent="0.25">
      <c r="A349" s="4" t="s">
        <v>21</v>
      </c>
      <c r="B349" s="4" t="s">
        <v>35</v>
      </c>
      <c r="C349" s="4" t="s">
        <v>36</v>
      </c>
      <c r="D349" s="4" t="s">
        <v>47</v>
      </c>
      <c r="E349" s="4" t="s">
        <v>25</v>
      </c>
      <c r="F349" s="4" t="s">
        <v>25</v>
      </c>
      <c r="G349" s="4" t="s">
        <v>25</v>
      </c>
      <c r="H349" s="4" t="s">
        <v>25</v>
      </c>
      <c r="I349" s="5">
        <v>44136</v>
      </c>
      <c r="J349" s="6">
        <v>2386</v>
      </c>
      <c r="K349" s="77">
        <v>2386</v>
      </c>
      <c r="L349" s="6">
        <v>0</v>
      </c>
      <c r="M349" s="77">
        <v>0</v>
      </c>
      <c r="N349" s="6">
        <v>0</v>
      </c>
      <c r="O349" s="77">
        <v>0</v>
      </c>
      <c r="P349" s="6">
        <v>17</v>
      </c>
      <c r="Q349" s="4" t="s">
        <v>26</v>
      </c>
      <c r="R349" s="4">
        <v>0</v>
      </c>
      <c r="S349" s="4">
        <v>23</v>
      </c>
      <c r="T349" s="4">
        <v>0</v>
      </c>
      <c r="U349" s="4">
        <v>0</v>
      </c>
      <c r="V349" s="77">
        <f>IF(ISERROR(VLOOKUP($S$349,'TAR FIN'!$A$1:$O$95,15,0)),0,VLOOKUP($S$349,'TAR FIN'!$A$1:$O$95,15,0))*(1-0.06)</f>
        <v>26.855799999999999</v>
      </c>
      <c r="W349" s="77">
        <f>IF(ISERROR(VLOOKUP($T$349,'TAR FIN'!$A$1:$O$95,15,0)),0,VLOOKUP($T$349,'TAR FIN'!$A$1:$O$95,15,0))</f>
        <v>0</v>
      </c>
      <c r="X349" s="77">
        <f>IF(ISERROR(VLOOKUP($U$349,'TAR FIN'!$A$1:$O$95,15,0)),0,VLOOKUP($U$349,'TAR FIN'!$A$1:$O$95,15,0))</f>
        <v>0</v>
      </c>
      <c r="Y349" s="77">
        <f ca="1">('TUSD BE'!$AM$15+'TUSD BF'!$AM$15+'TUSD CVA'!$AM$15)*1*(1-0.04)</f>
        <v>30.653416196860647</v>
      </c>
      <c r="Z349" s="77"/>
      <c r="AA349" s="77"/>
      <c r="AB349" s="77">
        <f>(SUBSIDIO!$J$349*SUBSIDIO!$V$349)*(0.06)/(1-0.06)</f>
        <v>4090.0811999999996</v>
      </c>
      <c r="AC349" s="77">
        <f>((SUBSIDIO!$L$349*SUBSIDIO!$W$349)+(SUBSIDIO!$N$349*SUBSIDIO!$X$349))*(0.06)/(1-0.06)</f>
        <v>0</v>
      </c>
      <c r="AD349" s="77">
        <f ca="1">(SUBSIDIO!$J$349*SUBSIDIO!$Y$349)*(0.04)/(1-0.04)</f>
        <v>3047.4604602378963</v>
      </c>
      <c r="AE349" s="77">
        <f>((SUBSIDIO!$L$349*SUBSIDIO!$Z$349)+(SUBSIDIO!$N$349*SUBSIDIO!$AA$349))*(0.04)/(1-0.04)</f>
        <v>0</v>
      </c>
      <c r="AF349" s="4" t="s">
        <v>844</v>
      </c>
    </row>
    <row r="350" spans="1:32" ht="11.25" customHeight="1" x14ac:dyDescent="0.25">
      <c r="A350" s="4" t="s">
        <v>28</v>
      </c>
      <c r="B350" s="4" t="s">
        <v>35</v>
      </c>
      <c r="C350" s="4" t="s">
        <v>36</v>
      </c>
      <c r="D350" s="4" t="s">
        <v>47</v>
      </c>
      <c r="E350" s="4" t="s">
        <v>25</v>
      </c>
      <c r="F350" s="4" t="s">
        <v>25</v>
      </c>
      <c r="G350" s="4" t="s">
        <v>25</v>
      </c>
      <c r="H350" s="4" t="s">
        <v>25</v>
      </c>
      <c r="I350" s="5">
        <v>44136</v>
      </c>
      <c r="J350" s="6">
        <v>734</v>
      </c>
      <c r="K350" s="77">
        <v>734</v>
      </c>
      <c r="L350" s="6">
        <v>0</v>
      </c>
      <c r="M350" s="77">
        <v>0</v>
      </c>
      <c r="N350" s="6">
        <v>0</v>
      </c>
      <c r="O350" s="77">
        <v>0</v>
      </c>
      <c r="P350" s="6">
        <v>7</v>
      </c>
      <c r="Q350" s="4" t="s">
        <v>26</v>
      </c>
      <c r="R350" s="4">
        <v>0</v>
      </c>
      <c r="S350" s="4">
        <v>23</v>
      </c>
      <c r="T350" s="4">
        <v>0</v>
      </c>
      <c r="U350" s="4">
        <v>0</v>
      </c>
      <c r="V350" s="77">
        <f>IF(ISERROR(VLOOKUP($S$350,'TAR FIN'!$A$1:$O$95,15,0)),0,VLOOKUP($S$350,'TAR FIN'!$A$1:$O$95,15,0))*(1-0.06)</f>
        <v>26.855799999999999</v>
      </c>
      <c r="W350" s="77">
        <f>IF(ISERROR(VLOOKUP($T$350,'TAR FIN'!$A$1:$O$95,15,0)),0,VLOOKUP($T$350,'TAR FIN'!$A$1:$O$95,15,0))</f>
        <v>0</v>
      </c>
      <c r="X350" s="77">
        <f>IF(ISERROR(VLOOKUP($U$350,'TAR FIN'!$A$1:$O$95,15,0)),0,VLOOKUP($U$350,'TAR FIN'!$A$1:$O$95,15,0))</f>
        <v>0</v>
      </c>
      <c r="Y350" s="77">
        <f ca="1">('TUSD BE'!$AM$15+'TUSD BF'!$AM$15+'TUSD CVA'!$AM$15)*1*(1-0.04)</f>
        <v>30.653416196860647</v>
      </c>
      <c r="Z350" s="77"/>
      <c r="AA350" s="77"/>
      <c r="AB350" s="77">
        <f>(SUBSIDIO!$J$350*SUBSIDIO!$V$350)*(0.06)/(1-0.06)</f>
        <v>1258.2228</v>
      </c>
      <c r="AC350" s="77">
        <f>((SUBSIDIO!$L$350*SUBSIDIO!$W$350)+(SUBSIDIO!$N$350*SUBSIDIO!$X$350))*(0.06)/(1-0.06)</f>
        <v>0</v>
      </c>
      <c r="AD350" s="77">
        <f ca="1">(SUBSIDIO!$J$350*SUBSIDIO!$Y$350)*(0.04)/(1-0.04)</f>
        <v>937.48364535398821</v>
      </c>
      <c r="AE350" s="77">
        <f>((SUBSIDIO!$L$350*SUBSIDIO!$Z$350)+(SUBSIDIO!$N$350*SUBSIDIO!$AA$350))*(0.04)/(1-0.04)</f>
        <v>0</v>
      </c>
      <c r="AF350" s="4" t="s">
        <v>844</v>
      </c>
    </row>
    <row r="351" spans="1:32" ht="11.25" customHeight="1" x14ac:dyDescent="0.25">
      <c r="A351" s="4" t="s">
        <v>21</v>
      </c>
      <c r="B351" s="4" t="s">
        <v>35</v>
      </c>
      <c r="C351" s="4" t="s">
        <v>36</v>
      </c>
      <c r="D351" s="4" t="s">
        <v>47</v>
      </c>
      <c r="E351" s="4" t="s">
        <v>25</v>
      </c>
      <c r="F351" s="4" t="s">
        <v>25</v>
      </c>
      <c r="G351" s="4" t="s">
        <v>25</v>
      </c>
      <c r="H351" s="4" t="s">
        <v>25</v>
      </c>
      <c r="I351" s="5">
        <v>44166</v>
      </c>
      <c r="J351" s="6">
        <v>2017</v>
      </c>
      <c r="K351" s="77">
        <v>2017</v>
      </c>
      <c r="L351" s="6">
        <v>0</v>
      </c>
      <c r="M351" s="77">
        <v>0</v>
      </c>
      <c r="N351" s="6">
        <v>0</v>
      </c>
      <c r="O351" s="77">
        <v>0</v>
      </c>
      <c r="P351" s="6">
        <v>13</v>
      </c>
      <c r="Q351" s="4" t="s">
        <v>26</v>
      </c>
      <c r="R351" s="4">
        <v>0</v>
      </c>
      <c r="S351" s="4">
        <v>23</v>
      </c>
      <c r="T351" s="4">
        <v>0</v>
      </c>
      <c r="U351" s="4">
        <v>0</v>
      </c>
      <c r="V351" s="77">
        <f>IF(ISERROR(VLOOKUP($S$351,'TAR FIN'!$A$1:$O$95,15,0)),0,VLOOKUP($S$351,'TAR FIN'!$A$1:$O$95,15,0))*(1-0.06)</f>
        <v>26.855799999999999</v>
      </c>
      <c r="W351" s="77">
        <f>IF(ISERROR(VLOOKUP($T$351,'TAR FIN'!$A$1:$O$95,15,0)),0,VLOOKUP($T$351,'TAR FIN'!$A$1:$O$95,15,0))</f>
        <v>0</v>
      </c>
      <c r="X351" s="77">
        <f>IF(ISERROR(VLOOKUP($U$351,'TAR FIN'!$A$1:$O$95,15,0)),0,VLOOKUP($U$351,'TAR FIN'!$A$1:$O$95,15,0))</f>
        <v>0</v>
      </c>
      <c r="Y351" s="77">
        <f ca="1">('TUSD BE'!$AM$15+'TUSD BF'!$AM$15+'TUSD CVA'!$AM$15)*1*(1-0.04)</f>
        <v>30.653416196860647</v>
      </c>
      <c r="Z351" s="77"/>
      <c r="AA351" s="77"/>
      <c r="AB351" s="77">
        <f>(SUBSIDIO!$J$351*SUBSIDIO!$V$351)*(0.06)/(1-0.06)</f>
        <v>3457.5414000000001</v>
      </c>
      <c r="AC351" s="77">
        <f>((SUBSIDIO!$L$351*SUBSIDIO!$W$351)+(SUBSIDIO!$N$351*SUBSIDIO!$X$351))*(0.06)/(1-0.06)</f>
        <v>0</v>
      </c>
      <c r="AD351" s="77">
        <f ca="1">(SUBSIDIO!$J$351*SUBSIDIO!$Y$351)*(0.04)/(1-0.04)</f>
        <v>2576.1641862111637</v>
      </c>
      <c r="AE351" s="77">
        <f>((SUBSIDIO!$L$351*SUBSIDIO!$Z$351)+(SUBSIDIO!$N$351*SUBSIDIO!$AA$351))*(0.04)/(1-0.04)</f>
        <v>0</v>
      </c>
      <c r="AF351" s="4" t="s">
        <v>844</v>
      </c>
    </row>
    <row r="352" spans="1:32" ht="11.25" customHeight="1" x14ac:dyDescent="0.25">
      <c r="A352" s="4" t="s">
        <v>28</v>
      </c>
      <c r="B352" s="4" t="s">
        <v>35</v>
      </c>
      <c r="C352" s="4" t="s">
        <v>36</v>
      </c>
      <c r="D352" s="4" t="s">
        <v>47</v>
      </c>
      <c r="E352" s="4" t="s">
        <v>25</v>
      </c>
      <c r="F352" s="4" t="s">
        <v>25</v>
      </c>
      <c r="G352" s="4" t="s">
        <v>25</v>
      </c>
      <c r="H352" s="4" t="s">
        <v>25</v>
      </c>
      <c r="I352" s="5">
        <v>44166</v>
      </c>
      <c r="J352" s="6">
        <v>732</v>
      </c>
      <c r="K352" s="77">
        <v>732</v>
      </c>
      <c r="L352" s="6">
        <v>0</v>
      </c>
      <c r="M352" s="77">
        <v>0</v>
      </c>
      <c r="N352" s="6">
        <v>0</v>
      </c>
      <c r="O352" s="77">
        <v>0</v>
      </c>
      <c r="P352" s="6">
        <v>7</v>
      </c>
      <c r="Q352" s="4" t="s">
        <v>26</v>
      </c>
      <c r="R352" s="4">
        <v>0</v>
      </c>
      <c r="S352" s="4">
        <v>23</v>
      </c>
      <c r="T352" s="4">
        <v>0</v>
      </c>
      <c r="U352" s="4">
        <v>0</v>
      </c>
      <c r="V352" s="77">
        <f>IF(ISERROR(VLOOKUP($S$352,'TAR FIN'!$A$1:$O$95,15,0)),0,VLOOKUP($S$352,'TAR FIN'!$A$1:$O$95,15,0))*(1-0.06)</f>
        <v>26.855799999999999</v>
      </c>
      <c r="W352" s="77">
        <f>IF(ISERROR(VLOOKUP($T$352,'TAR FIN'!$A$1:$O$95,15,0)),0,VLOOKUP($T$352,'TAR FIN'!$A$1:$O$95,15,0))</f>
        <v>0</v>
      </c>
      <c r="X352" s="77">
        <f>IF(ISERROR(VLOOKUP($U$352,'TAR FIN'!$A$1:$O$95,15,0)),0,VLOOKUP($U$352,'TAR FIN'!$A$1:$O$95,15,0))</f>
        <v>0</v>
      </c>
      <c r="Y352" s="77">
        <f ca="1">('TUSD BE'!$AM$15+'TUSD BF'!$AM$15+'TUSD CVA'!$AM$15)*1*(1-0.04)</f>
        <v>30.653416196860647</v>
      </c>
      <c r="Z352" s="77"/>
      <c r="AA352" s="77"/>
      <c r="AB352" s="77">
        <f>(SUBSIDIO!$J$352*SUBSIDIO!$V$352)*(0.06)/(1-0.06)</f>
        <v>1254.7943999999998</v>
      </c>
      <c r="AC352" s="77">
        <f>((SUBSIDIO!$L$352*SUBSIDIO!$W$352)+(SUBSIDIO!$N$352*SUBSIDIO!$X$352))*(0.06)/(1-0.06)</f>
        <v>0</v>
      </c>
      <c r="AD352" s="77">
        <f ca="1">(SUBSIDIO!$J$352*SUBSIDIO!$Y$352)*(0.04)/(1-0.04)</f>
        <v>934.92919400424989</v>
      </c>
      <c r="AE352" s="77">
        <f>((SUBSIDIO!$L$352*SUBSIDIO!$Z$352)+(SUBSIDIO!$N$352*SUBSIDIO!$AA$352))*(0.04)/(1-0.04)</f>
        <v>0</v>
      </c>
      <c r="AF352" s="4" t="s">
        <v>844</v>
      </c>
    </row>
    <row r="353" spans="1:32" ht="11.25" customHeight="1" x14ac:dyDescent="0.25">
      <c r="A353" s="4" t="s">
        <v>21</v>
      </c>
      <c r="B353" s="4" t="s">
        <v>35</v>
      </c>
      <c r="C353" s="4" t="s">
        <v>36</v>
      </c>
      <c r="D353" s="4" t="s">
        <v>47</v>
      </c>
      <c r="E353" s="4" t="s">
        <v>25</v>
      </c>
      <c r="F353" s="4" t="s">
        <v>25</v>
      </c>
      <c r="G353" s="4" t="s">
        <v>25</v>
      </c>
      <c r="H353" s="4" t="s">
        <v>25</v>
      </c>
      <c r="I353" s="5">
        <v>44197</v>
      </c>
      <c r="J353" s="6">
        <v>2301</v>
      </c>
      <c r="K353" s="77">
        <v>2301</v>
      </c>
      <c r="L353" s="6">
        <v>0</v>
      </c>
      <c r="M353" s="77">
        <v>0</v>
      </c>
      <c r="N353" s="6">
        <v>0</v>
      </c>
      <c r="O353" s="77">
        <v>0</v>
      </c>
      <c r="P353" s="6">
        <v>13</v>
      </c>
      <c r="Q353" s="4" t="s">
        <v>26</v>
      </c>
      <c r="R353" s="4">
        <v>0</v>
      </c>
      <c r="S353" s="4">
        <v>23</v>
      </c>
      <c r="T353" s="4">
        <v>0</v>
      </c>
      <c r="U353" s="4">
        <v>0</v>
      </c>
      <c r="V353" s="77">
        <f>IF(ISERROR(VLOOKUP($S$353,'TAR FIN'!$A$1:$O$95,15,0)),0,VLOOKUP($S$353,'TAR FIN'!$A$1:$O$95,15,0))*(1-0.06)</f>
        <v>26.855799999999999</v>
      </c>
      <c r="W353" s="77">
        <f>IF(ISERROR(VLOOKUP($T$353,'TAR FIN'!$A$1:$O$95,15,0)),0,VLOOKUP($T$353,'TAR FIN'!$A$1:$O$95,15,0))</f>
        <v>0</v>
      </c>
      <c r="X353" s="77">
        <f>IF(ISERROR(VLOOKUP($U$353,'TAR FIN'!$A$1:$O$95,15,0)),0,VLOOKUP($U$353,'TAR FIN'!$A$1:$O$95,15,0))</f>
        <v>0</v>
      </c>
      <c r="Y353" s="77">
        <f ca="1">('TUSD BE'!$AM$15+'TUSD BF'!$AM$15+'TUSD CVA'!$AM$15)*1*(1-0.04)</f>
        <v>30.653416196860647</v>
      </c>
      <c r="Z353" s="77"/>
      <c r="AA353" s="77"/>
      <c r="AB353" s="77">
        <f>(SUBSIDIO!$J$353*SUBSIDIO!$V$353)*(0.06)/(1-0.06)</f>
        <v>3944.3741999999997</v>
      </c>
      <c r="AC353" s="77">
        <f>((SUBSIDIO!$L$353*SUBSIDIO!$W$353)+(SUBSIDIO!$N$353*SUBSIDIO!$X$353))*(0.06)/(1-0.06)</f>
        <v>0</v>
      </c>
      <c r="AD353" s="77">
        <f ca="1">(SUBSIDIO!$J$353*SUBSIDIO!$Y$353)*(0.04)/(1-0.04)</f>
        <v>2938.8962778740147</v>
      </c>
      <c r="AE353" s="77">
        <f>((SUBSIDIO!$L$353*SUBSIDIO!$Z$353)+(SUBSIDIO!$N$353*SUBSIDIO!$AA$353))*(0.04)/(1-0.04)</f>
        <v>0</v>
      </c>
      <c r="AF353" s="4" t="s">
        <v>844</v>
      </c>
    </row>
    <row r="354" spans="1:32" ht="11.25" customHeight="1" x14ac:dyDescent="0.25">
      <c r="A354" s="4" t="s">
        <v>28</v>
      </c>
      <c r="B354" s="4" t="s">
        <v>35</v>
      </c>
      <c r="C354" s="4" t="s">
        <v>36</v>
      </c>
      <c r="D354" s="4" t="s">
        <v>47</v>
      </c>
      <c r="E354" s="4" t="s">
        <v>25</v>
      </c>
      <c r="F354" s="4" t="s">
        <v>25</v>
      </c>
      <c r="G354" s="4" t="s">
        <v>25</v>
      </c>
      <c r="H354" s="4" t="s">
        <v>25</v>
      </c>
      <c r="I354" s="5">
        <v>44197</v>
      </c>
      <c r="J354" s="6">
        <v>768</v>
      </c>
      <c r="K354" s="77">
        <v>768</v>
      </c>
      <c r="L354" s="6">
        <v>0</v>
      </c>
      <c r="M354" s="77">
        <v>0</v>
      </c>
      <c r="N354" s="6">
        <v>0</v>
      </c>
      <c r="O354" s="77">
        <v>0</v>
      </c>
      <c r="P354" s="6">
        <v>7</v>
      </c>
      <c r="Q354" s="4" t="s">
        <v>26</v>
      </c>
      <c r="R354" s="4">
        <v>0</v>
      </c>
      <c r="S354" s="4">
        <v>23</v>
      </c>
      <c r="T354" s="4">
        <v>0</v>
      </c>
      <c r="U354" s="4">
        <v>0</v>
      </c>
      <c r="V354" s="77">
        <f>IF(ISERROR(VLOOKUP($S$354,'TAR FIN'!$A$1:$O$95,15,0)),0,VLOOKUP($S$354,'TAR FIN'!$A$1:$O$95,15,0))*(1-0.06)</f>
        <v>26.855799999999999</v>
      </c>
      <c r="W354" s="77">
        <f>IF(ISERROR(VLOOKUP($T$354,'TAR FIN'!$A$1:$O$95,15,0)),0,VLOOKUP($T$354,'TAR FIN'!$A$1:$O$95,15,0))</f>
        <v>0</v>
      </c>
      <c r="X354" s="77">
        <f>IF(ISERROR(VLOOKUP($U$354,'TAR FIN'!$A$1:$O$95,15,0)),0,VLOOKUP($U$354,'TAR FIN'!$A$1:$O$95,15,0))</f>
        <v>0</v>
      </c>
      <c r="Y354" s="77">
        <f ca="1">('TUSD BE'!$AM$15+'TUSD BF'!$AM$15+'TUSD CVA'!$AM$15)*1*(1-0.04)</f>
        <v>30.653416196860647</v>
      </c>
      <c r="Z354" s="77"/>
      <c r="AA354" s="77"/>
      <c r="AB354" s="77">
        <f>(SUBSIDIO!$J$354*SUBSIDIO!$V$354)*(0.06)/(1-0.06)</f>
        <v>1316.5056</v>
      </c>
      <c r="AC354" s="77">
        <f>((SUBSIDIO!$L$354*SUBSIDIO!$W$354)+(SUBSIDIO!$N$354*SUBSIDIO!$X$354))*(0.06)/(1-0.06)</f>
        <v>0</v>
      </c>
      <c r="AD354" s="77">
        <f ca="1">(SUBSIDIO!$J$354*SUBSIDIO!$Y$354)*(0.04)/(1-0.04)</f>
        <v>980.9093182995407</v>
      </c>
      <c r="AE354" s="77">
        <f>((SUBSIDIO!$L$354*SUBSIDIO!$Z$354)+(SUBSIDIO!$N$354*SUBSIDIO!$AA$354))*(0.04)/(1-0.04)</f>
        <v>0</v>
      </c>
      <c r="AF354" s="4" t="s">
        <v>844</v>
      </c>
    </row>
    <row r="355" spans="1:32" ht="11.25" customHeight="1" x14ac:dyDescent="0.25">
      <c r="A355" s="4" t="s">
        <v>21</v>
      </c>
      <c r="B355" s="4" t="s">
        <v>35</v>
      </c>
      <c r="C355" s="4" t="s">
        <v>36</v>
      </c>
      <c r="D355" s="4" t="s">
        <v>47</v>
      </c>
      <c r="E355" s="4" t="s">
        <v>25</v>
      </c>
      <c r="F355" s="4" t="s">
        <v>25</v>
      </c>
      <c r="G355" s="4" t="s">
        <v>25</v>
      </c>
      <c r="H355" s="4" t="s">
        <v>25</v>
      </c>
      <c r="I355" s="5">
        <v>44228</v>
      </c>
      <c r="J355" s="6">
        <v>1751</v>
      </c>
      <c r="K355" s="77">
        <v>1751</v>
      </c>
      <c r="L355" s="6">
        <v>0</v>
      </c>
      <c r="M355" s="77">
        <v>0</v>
      </c>
      <c r="N355" s="6">
        <v>0</v>
      </c>
      <c r="O355" s="77">
        <v>0</v>
      </c>
      <c r="P355" s="6">
        <v>13</v>
      </c>
      <c r="Q355" s="4" t="s">
        <v>26</v>
      </c>
      <c r="R355" s="4">
        <v>0</v>
      </c>
      <c r="S355" s="4">
        <v>23</v>
      </c>
      <c r="T355" s="4">
        <v>0</v>
      </c>
      <c r="U355" s="4">
        <v>0</v>
      </c>
      <c r="V355" s="77">
        <f>IF(ISERROR(VLOOKUP($S$355,'TAR FIN'!$A$1:$O$95,15,0)),0,VLOOKUP($S$355,'TAR FIN'!$A$1:$O$95,15,0))*(1-0.06)</f>
        <v>26.855799999999999</v>
      </c>
      <c r="W355" s="77">
        <f>IF(ISERROR(VLOOKUP($T$355,'TAR FIN'!$A$1:$O$95,15,0)),0,VLOOKUP($T$355,'TAR FIN'!$A$1:$O$95,15,0))</f>
        <v>0</v>
      </c>
      <c r="X355" s="77">
        <f>IF(ISERROR(VLOOKUP($U$355,'TAR FIN'!$A$1:$O$95,15,0)),0,VLOOKUP($U$355,'TAR FIN'!$A$1:$O$95,15,0))</f>
        <v>0</v>
      </c>
      <c r="Y355" s="77">
        <f ca="1">('TUSD BE'!$AM$15+'TUSD BF'!$AM$15+'TUSD CVA'!$AM$15)*1*(1-0.04)</f>
        <v>30.653416196860647</v>
      </c>
      <c r="Z355" s="77"/>
      <c r="AA355" s="77"/>
      <c r="AB355" s="77">
        <f>(SUBSIDIO!$J$355*SUBSIDIO!$V$355)*(0.06)/(1-0.06)</f>
        <v>3001.5641999999998</v>
      </c>
      <c r="AC355" s="77">
        <f>((SUBSIDIO!$L$355*SUBSIDIO!$W$355)+(SUBSIDIO!$N$355*SUBSIDIO!$X$355))*(0.06)/(1-0.06)</f>
        <v>0</v>
      </c>
      <c r="AD355" s="77">
        <f ca="1">(SUBSIDIO!$J$355*SUBSIDIO!$Y$355)*(0.04)/(1-0.04)</f>
        <v>2236.4221566959582</v>
      </c>
      <c r="AE355" s="77">
        <f>((SUBSIDIO!$L$355*SUBSIDIO!$Z$355)+(SUBSIDIO!$N$355*SUBSIDIO!$AA$355))*(0.04)/(1-0.04)</f>
        <v>0</v>
      </c>
      <c r="AF355" s="4" t="s">
        <v>844</v>
      </c>
    </row>
    <row r="356" spans="1:32" ht="11.25" customHeight="1" x14ac:dyDescent="0.25">
      <c r="A356" s="4" t="s">
        <v>28</v>
      </c>
      <c r="B356" s="4" t="s">
        <v>35</v>
      </c>
      <c r="C356" s="4" t="s">
        <v>36</v>
      </c>
      <c r="D356" s="4" t="s">
        <v>47</v>
      </c>
      <c r="E356" s="4" t="s">
        <v>25</v>
      </c>
      <c r="F356" s="4" t="s">
        <v>25</v>
      </c>
      <c r="G356" s="4" t="s">
        <v>25</v>
      </c>
      <c r="H356" s="4" t="s">
        <v>25</v>
      </c>
      <c r="I356" s="5">
        <v>44228</v>
      </c>
      <c r="J356" s="6">
        <v>1103</v>
      </c>
      <c r="K356" s="77">
        <v>1103</v>
      </c>
      <c r="L356" s="6">
        <v>0</v>
      </c>
      <c r="M356" s="77">
        <v>0</v>
      </c>
      <c r="N356" s="6">
        <v>0</v>
      </c>
      <c r="O356" s="77">
        <v>0</v>
      </c>
      <c r="P356" s="6">
        <v>7</v>
      </c>
      <c r="Q356" s="4" t="s">
        <v>26</v>
      </c>
      <c r="R356" s="4">
        <v>0</v>
      </c>
      <c r="S356" s="4">
        <v>23</v>
      </c>
      <c r="T356" s="4">
        <v>0</v>
      </c>
      <c r="U356" s="4">
        <v>0</v>
      </c>
      <c r="V356" s="77">
        <f>IF(ISERROR(VLOOKUP($S$356,'TAR FIN'!$A$1:$O$95,15,0)),0,VLOOKUP($S$356,'TAR FIN'!$A$1:$O$95,15,0))*(1-0.06)</f>
        <v>26.855799999999999</v>
      </c>
      <c r="W356" s="77">
        <f>IF(ISERROR(VLOOKUP($T$356,'TAR FIN'!$A$1:$O$95,15,0)),0,VLOOKUP($T$356,'TAR FIN'!$A$1:$O$95,15,0))</f>
        <v>0</v>
      </c>
      <c r="X356" s="77">
        <f>IF(ISERROR(VLOOKUP($U$356,'TAR FIN'!$A$1:$O$95,15,0)),0,VLOOKUP($U$356,'TAR FIN'!$A$1:$O$95,15,0))</f>
        <v>0</v>
      </c>
      <c r="Y356" s="77">
        <f ca="1">('TUSD BE'!$AM$15+'TUSD BF'!$AM$15+'TUSD CVA'!$AM$15)*1*(1-0.04)</f>
        <v>30.653416196860647</v>
      </c>
      <c r="Z356" s="77"/>
      <c r="AA356" s="77"/>
      <c r="AB356" s="77">
        <f>(SUBSIDIO!$J$356*SUBSIDIO!$V$356)*(0.06)/(1-0.06)</f>
        <v>1890.7625999999998</v>
      </c>
      <c r="AC356" s="77">
        <f>((SUBSIDIO!$L$356*SUBSIDIO!$W$356)+(SUBSIDIO!$N$356*SUBSIDIO!$X$356))*(0.06)/(1-0.06)</f>
        <v>0</v>
      </c>
      <c r="AD356" s="77">
        <f ca="1">(SUBSIDIO!$J$356*SUBSIDIO!$Y$356)*(0.04)/(1-0.04)</f>
        <v>1408.7799193807205</v>
      </c>
      <c r="AE356" s="77">
        <f>((SUBSIDIO!$L$356*SUBSIDIO!$Z$356)+(SUBSIDIO!$N$356*SUBSIDIO!$AA$356))*(0.04)/(1-0.04)</f>
        <v>0</v>
      </c>
      <c r="AF356" s="4" t="s">
        <v>844</v>
      </c>
    </row>
    <row r="357" spans="1:32" ht="11.25" customHeight="1" x14ac:dyDescent="0.25">
      <c r="A357" s="4" t="s">
        <v>21</v>
      </c>
      <c r="B357" s="4" t="s">
        <v>35</v>
      </c>
      <c r="C357" s="4" t="s">
        <v>36</v>
      </c>
      <c r="D357" s="4" t="s">
        <v>47</v>
      </c>
      <c r="E357" s="4" t="s">
        <v>25</v>
      </c>
      <c r="F357" s="4" t="s">
        <v>25</v>
      </c>
      <c r="G357" s="4" t="s">
        <v>25</v>
      </c>
      <c r="H357" s="4" t="s">
        <v>25</v>
      </c>
      <c r="I357" s="5">
        <v>44256</v>
      </c>
      <c r="J357" s="6">
        <v>3088</v>
      </c>
      <c r="K357" s="77">
        <v>3088</v>
      </c>
      <c r="L357" s="6">
        <v>0</v>
      </c>
      <c r="M357" s="77">
        <v>0</v>
      </c>
      <c r="N357" s="6">
        <v>0</v>
      </c>
      <c r="O357" s="77">
        <v>0</v>
      </c>
      <c r="P357" s="6">
        <v>14</v>
      </c>
      <c r="Q357" s="4" t="s">
        <v>26</v>
      </c>
      <c r="R357" s="4">
        <v>0</v>
      </c>
      <c r="S357" s="4">
        <v>23</v>
      </c>
      <c r="T357" s="4">
        <v>0</v>
      </c>
      <c r="U357" s="4">
        <v>0</v>
      </c>
      <c r="V357" s="77">
        <f>IF(ISERROR(VLOOKUP($S$357,'TAR FIN'!$A$1:$O$95,15,0)),0,VLOOKUP($S$357,'TAR FIN'!$A$1:$O$95,15,0))*(1-0.06)</f>
        <v>26.855799999999999</v>
      </c>
      <c r="W357" s="77">
        <f>IF(ISERROR(VLOOKUP($T$357,'TAR FIN'!$A$1:$O$95,15,0)),0,VLOOKUP($T$357,'TAR FIN'!$A$1:$O$95,15,0))</f>
        <v>0</v>
      </c>
      <c r="X357" s="77">
        <f>IF(ISERROR(VLOOKUP($U$357,'TAR FIN'!$A$1:$O$95,15,0)),0,VLOOKUP($U$357,'TAR FIN'!$A$1:$O$95,15,0))</f>
        <v>0</v>
      </c>
      <c r="Y357" s="77">
        <f ca="1">('TUSD BE'!$AM$15+'TUSD BF'!$AM$15+'TUSD CVA'!$AM$15)*1*(1-0.04)</f>
        <v>30.653416196860647</v>
      </c>
      <c r="Z357" s="77"/>
      <c r="AA357" s="77"/>
      <c r="AB357" s="77">
        <f>(SUBSIDIO!$J$357*SUBSIDIO!$V$357)*(0.06)/(1-0.06)</f>
        <v>5293.4495999999999</v>
      </c>
      <c r="AC357" s="77">
        <f>((SUBSIDIO!$L$357*SUBSIDIO!$W$357)+(SUBSIDIO!$N$357*SUBSIDIO!$X$357))*(0.06)/(1-0.06)</f>
        <v>0</v>
      </c>
      <c r="AD357" s="77">
        <f ca="1">(SUBSIDIO!$J$357*SUBSIDIO!$Y$357)*(0.04)/(1-0.04)</f>
        <v>3944.0728839960698</v>
      </c>
      <c r="AE357" s="77">
        <f>((SUBSIDIO!$L$357*SUBSIDIO!$Z$357)+(SUBSIDIO!$N$357*SUBSIDIO!$AA$357))*(0.04)/(1-0.04)</f>
        <v>0</v>
      </c>
      <c r="AF357" s="4" t="s">
        <v>844</v>
      </c>
    </row>
    <row r="358" spans="1:32" ht="11.25" customHeight="1" x14ac:dyDescent="0.25">
      <c r="A358" s="4" t="s">
        <v>28</v>
      </c>
      <c r="B358" s="4" t="s">
        <v>35</v>
      </c>
      <c r="C358" s="4" t="s">
        <v>36</v>
      </c>
      <c r="D358" s="4" t="s">
        <v>47</v>
      </c>
      <c r="E358" s="4" t="s">
        <v>25</v>
      </c>
      <c r="F358" s="4" t="s">
        <v>25</v>
      </c>
      <c r="G358" s="4" t="s">
        <v>25</v>
      </c>
      <c r="H358" s="4" t="s">
        <v>25</v>
      </c>
      <c r="I358" s="5">
        <v>44256</v>
      </c>
      <c r="J358" s="6">
        <v>615</v>
      </c>
      <c r="K358" s="77">
        <v>615</v>
      </c>
      <c r="L358" s="6">
        <v>0</v>
      </c>
      <c r="M358" s="77">
        <v>0</v>
      </c>
      <c r="N358" s="6">
        <v>0</v>
      </c>
      <c r="O358" s="77">
        <v>0</v>
      </c>
      <c r="P358" s="6">
        <v>7</v>
      </c>
      <c r="Q358" s="4" t="s">
        <v>26</v>
      </c>
      <c r="R358" s="4">
        <v>0</v>
      </c>
      <c r="S358" s="4">
        <v>23</v>
      </c>
      <c r="T358" s="4">
        <v>0</v>
      </c>
      <c r="U358" s="4">
        <v>0</v>
      </c>
      <c r="V358" s="77">
        <f>IF(ISERROR(VLOOKUP($S$358,'TAR FIN'!$A$1:$O$95,15,0)),0,VLOOKUP($S$358,'TAR FIN'!$A$1:$O$95,15,0))*(1-0.06)</f>
        <v>26.855799999999999</v>
      </c>
      <c r="W358" s="77">
        <f>IF(ISERROR(VLOOKUP($T$358,'TAR FIN'!$A$1:$O$95,15,0)),0,VLOOKUP($T$358,'TAR FIN'!$A$1:$O$95,15,0))</f>
        <v>0</v>
      </c>
      <c r="X358" s="77">
        <f>IF(ISERROR(VLOOKUP($U$358,'TAR FIN'!$A$1:$O$95,15,0)),0,VLOOKUP($U$358,'TAR FIN'!$A$1:$O$95,15,0))</f>
        <v>0</v>
      </c>
      <c r="Y358" s="77">
        <f ca="1">('TUSD BE'!$AM$15+'TUSD BF'!$AM$15+'TUSD CVA'!$AM$15)*1*(1-0.04)</f>
        <v>30.653416196860647</v>
      </c>
      <c r="Z358" s="77"/>
      <c r="AA358" s="77"/>
      <c r="AB358" s="77">
        <f>(SUBSIDIO!$J$358*SUBSIDIO!$V$358)*(0.06)/(1-0.06)</f>
        <v>1054.2329999999999</v>
      </c>
      <c r="AC358" s="77">
        <f>((SUBSIDIO!$L$358*SUBSIDIO!$W$358)+(SUBSIDIO!$N$358*SUBSIDIO!$X$358))*(0.06)/(1-0.06)</f>
        <v>0</v>
      </c>
      <c r="AD358" s="77">
        <f ca="1">(SUBSIDIO!$J$358*SUBSIDIO!$Y$358)*(0.04)/(1-0.04)</f>
        <v>785.49379004455409</v>
      </c>
      <c r="AE358" s="77">
        <f>((SUBSIDIO!$L$358*SUBSIDIO!$Z$358)+(SUBSIDIO!$N$358*SUBSIDIO!$AA$358))*(0.04)/(1-0.04)</f>
        <v>0</v>
      </c>
      <c r="AF358" s="4" t="s">
        <v>844</v>
      </c>
    </row>
    <row r="359" spans="1:32" ht="11.25" customHeight="1" x14ac:dyDescent="0.25">
      <c r="A359" s="4" t="s">
        <v>21</v>
      </c>
      <c r="B359" s="4" t="s">
        <v>35</v>
      </c>
      <c r="C359" s="4" t="s">
        <v>36</v>
      </c>
      <c r="D359" s="4" t="s">
        <v>47</v>
      </c>
      <c r="E359" s="4" t="s">
        <v>25</v>
      </c>
      <c r="F359" s="4" t="s">
        <v>25</v>
      </c>
      <c r="G359" s="4" t="s">
        <v>25</v>
      </c>
      <c r="H359" s="4" t="s">
        <v>25</v>
      </c>
      <c r="I359" s="5">
        <v>44287</v>
      </c>
      <c r="J359" s="6">
        <v>2012</v>
      </c>
      <c r="K359" s="77">
        <v>2012</v>
      </c>
      <c r="L359" s="6">
        <v>0</v>
      </c>
      <c r="M359" s="77">
        <v>0</v>
      </c>
      <c r="N359" s="6">
        <v>0</v>
      </c>
      <c r="O359" s="77">
        <v>0</v>
      </c>
      <c r="P359" s="6">
        <v>14</v>
      </c>
      <c r="Q359" s="4" t="s">
        <v>26</v>
      </c>
      <c r="R359" s="4">
        <v>0</v>
      </c>
      <c r="S359" s="4">
        <v>23</v>
      </c>
      <c r="T359" s="4">
        <v>0</v>
      </c>
      <c r="U359" s="4">
        <v>0</v>
      </c>
      <c r="V359" s="77">
        <f>IF(ISERROR(VLOOKUP($S$359,'TAR FIN'!$A$1:$O$95,15,0)),0,VLOOKUP($S$359,'TAR FIN'!$A$1:$O$95,15,0))*(1-0.06)</f>
        <v>26.855799999999999</v>
      </c>
      <c r="W359" s="77">
        <f>IF(ISERROR(VLOOKUP($T$359,'TAR FIN'!$A$1:$O$95,15,0)),0,VLOOKUP($T$359,'TAR FIN'!$A$1:$O$95,15,0))</f>
        <v>0</v>
      </c>
      <c r="X359" s="77">
        <f>IF(ISERROR(VLOOKUP($U$359,'TAR FIN'!$A$1:$O$95,15,0)),0,VLOOKUP($U$359,'TAR FIN'!$A$1:$O$95,15,0))</f>
        <v>0</v>
      </c>
      <c r="Y359" s="77">
        <f ca="1">('TUSD BE'!$AM$15+'TUSD BF'!$AM$15+'TUSD CVA'!$AM$15)*1*(1-0.04)</f>
        <v>30.653416196860647</v>
      </c>
      <c r="Z359" s="77"/>
      <c r="AA359" s="77"/>
      <c r="AB359" s="77">
        <f>(SUBSIDIO!$J$359*SUBSIDIO!$V$359)*(0.06)/(1-0.06)</f>
        <v>3448.9703999999997</v>
      </c>
      <c r="AC359" s="77">
        <f>((SUBSIDIO!$L$359*SUBSIDIO!$W$359)+(SUBSIDIO!$N$359*SUBSIDIO!$X$359))*(0.06)/(1-0.06)</f>
        <v>0</v>
      </c>
      <c r="AD359" s="77">
        <f ca="1">(SUBSIDIO!$J$359*SUBSIDIO!$Y$359)*(0.04)/(1-0.04)</f>
        <v>2569.7780578368179</v>
      </c>
      <c r="AE359" s="77">
        <f>((SUBSIDIO!$L$359*SUBSIDIO!$Z$359)+(SUBSIDIO!$N$359*SUBSIDIO!$AA$359))*(0.04)/(1-0.04)</f>
        <v>0</v>
      </c>
      <c r="AF359" s="4" t="s">
        <v>844</v>
      </c>
    </row>
    <row r="360" spans="1:32" ht="11.25" customHeight="1" x14ac:dyDescent="0.25">
      <c r="A360" s="4" t="s">
        <v>28</v>
      </c>
      <c r="B360" s="4" t="s">
        <v>35</v>
      </c>
      <c r="C360" s="4" t="s">
        <v>36</v>
      </c>
      <c r="D360" s="4" t="s">
        <v>47</v>
      </c>
      <c r="E360" s="4" t="s">
        <v>25</v>
      </c>
      <c r="F360" s="4" t="s">
        <v>25</v>
      </c>
      <c r="G360" s="4" t="s">
        <v>25</v>
      </c>
      <c r="H360" s="4" t="s">
        <v>25</v>
      </c>
      <c r="I360" s="5">
        <v>44287</v>
      </c>
      <c r="J360" s="6">
        <v>721</v>
      </c>
      <c r="K360" s="77">
        <v>721</v>
      </c>
      <c r="L360" s="6">
        <v>0</v>
      </c>
      <c r="M360" s="77">
        <v>0</v>
      </c>
      <c r="N360" s="6">
        <v>0</v>
      </c>
      <c r="O360" s="77">
        <v>0</v>
      </c>
      <c r="P360" s="6">
        <v>9</v>
      </c>
      <c r="Q360" s="4" t="s">
        <v>26</v>
      </c>
      <c r="R360" s="4">
        <v>0</v>
      </c>
      <c r="S360" s="4">
        <v>23</v>
      </c>
      <c r="T360" s="4">
        <v>0</v>
      </c>
      <c r="U360" s="4">
        <v>0</v>
      </c>
      <c r="V360" s="77">
        <f>IF(ISERROR(VLOOKUP($S$360,'TAR FIN'!$A$1:$O$95,15,0)),0,VLOOKUP($S$360,'TAR FIN'!$A$1:$O$95,15,0))*(1-0.06)</f>
        <v>26.855799999999999</v>
      </c>
      <c r="W360" s="77">
        <f>IF(ISERROR(VLOOKUP($T$360,'TAR FIN'!$A$1:$O$95,15,0)),0,VLOOKUP($T$360,'TAR FIN'!$A$1:$O$95,15,0))</f>
        <v>0</v>
      </c>
      <c r="X360" s="77">
        <f>IF(ISERROR(VLOOKUP($U$360,'TAR FIN'!$A$1:$O$95,15,0)),0,VLOOKUP($U$360,'TAR FIN'!$A$1:$O$95,15,0))</f>
        <v>0</v>
      </c>
      <c r="Y360" s="77">
        <f ca="1">('TUSD BE'!$AM$15+'TUSD BF'!$AM$15+'TUSD CVA'!$AM$15)*1*(1-0.04)</f>
        <v>30.653416196860647</v>
      </c>
      <c r="Z360" s="77"/>
      <c r="AA360" s="77"/>
      <c r="AB360" s="77">
        <f>(SUBSIDIO!$J$360*SUBSIDIO!$V$360)*(0.06)/(1-0.06)</f>
        <v>1235.9382000000001</v>
      </c>
      <c r="AC360" s="77">
        <f>((SUBSIDIO!$L$360*SUBSIDIO!$W$360)+(SUBSIDIO!$N$360*SUBSIDIO!$X$360))*(0.06)/(1-0.06)</f>
        <v>0</v>
      </c>
      <c r="AD360" s="77">
        <f ca="1">(SUBSIDIO!$J$360*SUBSIDIO!$Y$360)*(0.04)/(1-0.04)</f>
        <v>920.87971158068865</v>
      </c>
      <c r="AE360" s="77">
        <f>((SUBSIDIO!$L$360*SUBSIDIO!$Z$360)+(SUBSIDIO!$N$360*SUBSIDIO!$AA$360))*(0.04)/(1-0.04)</f>
        <v>0</v>
      </c>
      <c r="AF360" s="4" t="s">
        <v>844</v>
      </c>
    </row>
    <row r="361" spans="1:32" ht="11.25" customHeight="1" x14ac:dyDescent="0.25">
      <c r="A361" s="4" t="s">
        <v>21</v>
      </c>
      <c r="B361" s="4" t="s">
        <v>35</v>
      </c>
      <c r="C361" s="4" t="s">
        <v>36</v>
      </c>
      <c r="D361" s="4" t="s">
        <v>47</v>
      </c>
      <c r="E361" s="4" t="s">
        <v>25</v>
      </c>
      <c r="F361" s="4" t="s">
        <v>25</v>
      </c>
      <c r="G361" s="4" t="s">
        <v>25</v>
      </c>
      <c r="H361" s="4" t="s">
        <v>25</v>
      </c>
      <c r="I361" s="5">
        <v>44317</v>
      </c>
      <c r="J361" s="6">
        <v>2765</v>
      </c>
      <c r="K361" s="77">
        <v>2765</v>
      </c>
      <c r="L361" s="6">
        <v>0</v>
      </c>
      <c r="M361" s="77">
        <v>0</v>
      </c>
      <c r="N361" s="6">
        <v>0</v>
      </c>
      <c r="O361" s="77">
        <v>0</v>
      </c>
      <c r="P361" s="6">
        <v>14</v>
      </c>
      <c r="Q361" s="4" t="s">
        <v>26</v>
      </c>
      <c r="R361" s="4">
        <v>0</v>
      </c>
      <c r="S361" s="4">
        <v>23</v>
      </c>
      <c r="T361" s="4">
        <v>0</v>
      </c>
      <c r="U361" s="4">
        <v>0</v>
      </c>
      <c r="V361" s="77">
        <f>IF(ISERROR(VLOOKUP($S$361,'TAR FIN'!$A$1:$O$95,15,0)),0,VLOOKUP($S$361,'TAR FIN'!$A$1:$O$95,15,0))*(1-0.06)</f>
        <v>26.855799999999999</v>
      </c>
      <c r="W361" s="77">
        <f>IF(ISERROR(VLOOKUP($T$361,'TAR FIN'!$A$1:$O$95,15,0)),0,VLOOKUP($T$361,'TAR FIN'!$A$1:$O$95,15,0))</f>
        <v>0</v>
      </c>
      <c r="X361" s="77">
        <f>IF(ISERROR(VLOOKUP($U$361,'TAR FIN'!$A$1:$O$95,15,0)),0,VLOOKUP($U$361,'TAR FIN'!$A$1:$O$95,15,0))</f>
        <v>0</v>
      </c>
      <c r="Y361" s="77">
        <f ca="1">('TUSD BE'!$AM$15+'TUSD BF'!$AM$15+'TUSD CVA'!$AM$15)*1*(1-0.04)</f>
        <v>30.653416196860647</v>
      </c>
      <c r="Z361" s="77"/>
      <c r="AA361" s="77"/>
      <c r="AB361" s="77">
        <f>(SUBSIDIO!$J$361*SUBSIDIO!$V$361)*(0.06)/(1-0.06)</f>
        <v>4739.7629999999999</v>
      </c>
      <c r="AC361" s="77">
        <f>((SUBSIDIO!$L$361*SUBSIDIO!$W$361)+(SUBSIDIO!$N$361*SUBSIDIO!$X$361))*(0.06)/(1-0.06)</f>
        <v>0</v>
      </c>
      <c r="AD361" s="77">
        <f ca="1">(SUBSIDIO!$J$361*SUBSIDIO!$Y$361)*(0.04)/(1-0.04)</f>
        <v>3531.5289910133206</v>
      </c>
      <c r="AE361" s="77">
        <f>((SUBSIDIO!$L$361*SUBSIDIO!$Z$361)+(SUBSIDIO!$N$361*SUBSIDIO!$AA$361))*(0.04)/(1-0.04)</f>
        <v>0</v>
      </c>
      <c r="AF361" s="4" t="s">
        <v>844</v>
      </c>
    </row>
    <row r="362" spans="1:32" ht="11.25" customHeight="1" x14ac:dyDescent="0.25">
      <c r="A362" s="4" t="s">
        <v>28</v>
      </c>
      <c r="B362" s="4" t="s">
        <v>35</v>
      </c>
      <c r="C362" s="4" t="s">
        <v>36</v>
      </c>
      <c r="D362" s="4" t="s">
        <v>47</v>
      </c>
      <c r="E362" s="4" t="s">
        <v>25</v>
      </c>
      <c r="F362" s="4" t="s">
        <v>25</v>
      </c>
      <c r="G362" s="4" t="s">
        <v>25</v>
      </c>
      <c r="H362" s="4" t="s">
        <v>25</v>
      </c>
      <c r="I362" s="5">
        <v>44317</v>
      </c>
      <c r="J362" s="6">
        <v>546</v>
      </c>
      <c r="K362" s="77">
        <v>546</v>
      </c>
      <c r="L362" s="6">
        <v>0</v>
      </c>
      <c r="M362" s="77">
        <v>0</v>
      </c>
      <c r="N362" s="6">
        <v>0</v>
      </c>
      <c r="O362" s="77">
        <v>0</v>
      </c>
      <c r="P362" s="6">
        <v>9</v>
      </c>
      <c r="Q362" s="4" t="s">
        <v>26</v>
      </c>
      <c r="R362" s="4">
        <v>0</v>
      </c>
      <c r="S362" s="4">
        <v>23</v>
      </c>
      <c r="T362" s="4">
        <v>0</v>
      </c>
      <c r="U362" s="4">
        <v>0</v>
      </c>
      <c r="V362" s="77">
        <f>IF(ISERROR(VLOOKUP($S$362,'TAR FIN'!$A$1:$O$95,15,0)),0,VLOOKUP($S$362,'TAR FIN'!$A$1:$O$95,15,0))*(1-0.06)</f>
        <v>26.855799999999999</v>
      </c>
      <c r="W362" s="77">
        <f>IF(ISERROR(VLOOKUP($T$362,'TAR FIN'!$A$1:$O$95,15,0)),0,VLOOKUP($T$362,'TAR FIN'!$A$1:$O$95,15,0))</f>
        <v>0</v>
      </c>
      <c r="X362" s="77">
        <f>IF(ISERROR(VLOOKUP($U$362,'TAR FIN'!$A$1:$O$95,15,0)),0,VLOOKUP($U$362,'TAR FIN'!$A$1:$O$95,15,0))</f>
        <v>0</v>
      </c>
      <c r="Y362" s="77">
        <f ca="1">('TUSD BE'!$AM$15+'TUSD BF'!$AM$15+'TUSD CVA'!$AM$15)*1*(1-0.04)</f>
        <v>30.653416196860647</v>
      </c>
      <c r="Z362" s="77"/>
      <c r="AA362" s="77"/>
      <c r="AB362" s="77">
        <f>(SUBSIDIO!$J$362*SUBSIDIO!$V$362)*(0.06)/(1-0.06)</f>
        <v>935.95319999999992</v>
      </c>
      <c r="AC362" s="77">
        <f>((SUBSIDIO!$L$362*SUBSIDIO!$W$362)+(SUBSIDIO!$N$362*SUBSIDIO!$X$362))*(0.06)/(1-0.06)</f>
        <v>0</v>
      </c>
      <c r="AD362" s="77">
        <f ca="1">(SUBSIDIO!$J$362*SUBSIDIO!$Y$362)*(0.04)/(1-0.04)</f>
        <v>697.36521847857966</v>
      </c>
      <c r="AE362" s="77">
        <f>((SUBSIDIO!$L$362*SUBSIDIO!$Z$362)+(SUBSIDIO!$N$362*SUBSIDIO!$AA$362))*(0.04)/(1-0.04)</f>
        <v>0</v>
      </c>
      <c r="AF362" s="4" t="s">
        <v>844</v>
      </c>
    </row>
    <row r="363" spans="1:32" ht="11.25" customHeight="1" x14ac:dyDescent="0.25">
      <c r="A363" s="4" t="s">
        <v>21</v>
      </c>
      <c r="B363" s="4" t="s">
        <v>35</v>
      </c>
      <c r="C363" s="4" t="s">
        <v>36</v>
      </c>
      <c r="D363" s="4" t="s">
        <v>47</v>
      </c>
      <c r="E363" s="4" t="s">
        <v>25</v>
      </c>
      <c r="F363" s="4" t="s">
        <v>25</v>
      </c>
      <c r="G363" s="4" t="s">
        <v>25</v>
      </c>
      <c r="H363" s="4" t="s">
        <v>25</v>
      </c>
      <c r="I363" s="5">
        <v>44348</v>
      </c>
      <c r="J363" s="6">
        <v>2405</v>
      </c>
      <c r="K363" s="77">
        <v>2405</v>
      </c>
      <c r="L363" s="6">
        <v>0</v>
      </c>
      <c r="M363" s="77">
        <v>0</v>
      </c>
      <c r="N363" s="6">
        <v>0</v>
      </c>
      <c r="O363" s="77">
        <v>0</v>
      </c>
      <c r="P363" s="6">
        <v>14</v>
      </c>
      <c r="Q363" s="4" t="s">
        <v>26</v>
      </c>
      <c r="R363" s="4">
        <v>0</v>
      </c>
      <c r="S363" s="4">
        <v>23</v>
      </c>
      <c r="T363" s="4">
        <v>0</v>
      </c>
      <c r="U363" s="4">
        <v>0</v>
      </c>
      <c r="V363" s="77">
        <f>IF(ISERROR(VLOOKUP($S$363,'TAR FIN'!$A$1:$O$95,15,0)),0,VLOOKUP($S$363,'TAR FIN'!$A$1:$O$95,15,0))*(1-0.06)</f>
        <v>26.855799999999999</v>
      </c>
      <c r="W363" s="77">
        <f>IF(ISERROR(VLOOKUP($T$363,'TAR FIN'!$A$1:$O$95,15,0)),0,VLOOKUP($T$363,'TAR FIN'!$A$1:$O$95,15,0))</f>
        <v>0</v>
      </c>
      <c r="X363" s="77">
        <f>IF(ISERROR(VLOOKUP($U$363,'TAR FIN'!$A$1:$O$95,15,0)),0,VLOOKUP($U$363,'TAR FIN'!$A$1:$O$95,15,0))</f>
        <v>0</v>
      </c>
      <c r="Y363" s="77">
        <f ca="1">('TUSD BE'!$AM$15+'TUSD BF'!$AM$15+'TUSD CVA'!$AM$15)*1*(1-0.04)</f>
        <v>30.653416196860647</v>
      </c>
      <c r="Z363" s="77"/>
      <c r="AA363" s="77"/>
      <c r="AB363" s="77">
        <f>(SUBSIDIO!$J$363*SUBSIDIO!$V$363)*(0.06)/(1-0.06)</f>
        <v>4122.6509999999998</v>
      </c>
      <c r="AC363" s="77">
        <f>((SUBSIDIO!$L$363*SUBSIDIO!$W$363)+(SUBSIDIO!$N$363*SUBSIDIO!$X$363))*(0.06)/(1-0.06)</f>
        <v>0</v>
      </c>
      <c r="AD363" s="77">
        <f ca="1">(SUBSIDIO!$J$363*SUBSIDIO!$Y$363)*(0.04)/(1-0.04)</f>
        <v>3071.7277480604107</v>
      </c>
      <c r="AE363" s="77">
        <f>((SUBSIDIO!$L$363*SUBSIDIO!$Z$363)+(SUBSIDIO!$N$363*SUBSIDIO!$AA$363))*(0.04)/(1-0.04)</f>
        <v>0</v>
      </c>
      <c r="AF363" s="4" t="s">
        <v>844</v>
      </c>
    </row>
    <row r="364" spans="1:32" ht="11.25" customHeight="1" x14ac:dyDescent="0.25">
      <c r="A364" s="4" t="s">
        <v>28</v>
      </c>
      <c r="B364" s="4" t="s">
        <v>35</v>
      </c>
      <c r="C364" s="4" t="s">
        <v>36</v>
      </c>
      <c r="D364" s="4" t="s">
        <v>47</v>
      </c>
      <c r="E364" s="4" t="s">
        <v>25</v>
      </c>
      <c r="F364" s="4" t="s">
        <v>25</v>
      </c>
      <c r="G364" s="4" t="s">
        <v>25</v>
      </c>
      <c r="H364" s="4" t="s">
        <v>25</v>
      </c>
      <c r="I364" s="5">
        <v>44348</v>
      </c>
      <c r="J364" s="6">
        <v>1194</v>
      </c>
      <c r="K364" s="77">
        <v>1194</v>
      </c>
      <c r="L364" s="6">
        <v>0</v>
      </c>
      <c r="M364" s="77">
        <v>0</v>
      </c>
      <c r="N364" s="6">
        <v>0</v>
      </c>
      <c r="O364" s="77">
        <v>0</v>
      </c>
      <c r="P364" s="6">
        <v>9</v>
      </c>
      <c r="Q364" s="4" t="s">
        <v>26</v>
      </c>
      <c r="R364" s="4">
        <v>0</v>
      </c>
      <c r="S364" s="4">
        <v>23</v>
      </c>
      <c r="T364" s="4">
        <v>0</v>
      </c>
      <c r="U364" s="4">
        <v>0</v>
      </c>
      <c r="V364" s="77">
        <f>IF(ISERROR(VLOOKUP($S$364,'TAR FIN'!$A$1:$O$95,15,0)),0,VLOOKUP($S$364,'TAR FIN'!$A$1:$O$95,15,0))*(1-0.06)</f>
        <v>26.855799999999999</v>
      </c>
      <c r="W364" s="77">
        <f>IF(ISERROR(VLOOKUP($T$364,'TAR FIN'!$A$1:$O$95,15,0)),0,VLOOKUP($T$364,'TAR FIN'!$A$1:$O$95,15,0))</f>
        <v>0</v>
      </c>
      <c r="X364" s="77">
        <f>IF(ISERROR(VLOOKUP($U$364,'TAR FIN'!$A$1:$O$95,15,0)),0,VLOOKUP($U$364,'TAR FIN'!$A$1:$O$95,15,0))</f>
        <v>0</v>
      </c>
      <c r="Y364" s="77">
        <f ca="1">('TUSD BE'!$AM$15+'TUSD BF'!$AM$15+'TUSD CVA'!$AM$15)*1*(1-0.04)</f>
        <v>30.653416196860647</v>
      </c>
      <c r="Z364" s="77"/>
      <c r="AA364" s="77"/>
      <c r="AB364" s="77">
        <f>(SUBSIDIO!$J$364*SUBSIDIO!$V$364)*(0.06)/(1-0.06)</f>
        <v>2046.7547999999999</v>
      </c>
      <c r="AC364" s="77">
        <f>((SUBSIDIO!$L$364*SUBSIDIO!$W$364)+(SUBSIDIO!$N$364*SUBSIDIO!$X$364))*(0.06)/(1-0.06)</f>
        <v>0</v>
      </c>
      <c r="AD364" s="77">
        <f ca="1">(SUBSIDIO!$J$364*SUBSIDIO!$Y$364)*(0.04)/(1-0.04)</f>
        <v>1525.0074557938174</v>
      </c>
      <c r="AE364" s="77">
        <f>((SUBSIDIO!$L$364*SUBSIDIO!$Z$364)+(SUBSIDIO!$N$364*SUBSIDIO!$AA$364))*(0.04)/(1-0.04)</f>
        <v>0</v>
      </c>
      <c r="AF364" s="4" t="s">
        <v>844</v>
      </c>
    </row>
    <row r="365" spans="1:32" ht="11.25" customHeight="1" x14ac:dyDescent="0.25">
      <c r="A365" s="4" t="s">
        <v>21</v>
      </c>
      <c r="B365" s="4" t="s">
        <v>35</v>
      </c>
      <c r="C365" s="4" t="s">
        <v>36</v>
      </c>
      <c r="D365" s="4" t="s">
        <v>47</v>
      </c>
      <c r="E365" s="4" t="s">
        <v>25</v>
      </c>
      <c r="F365" s="4" t="s">
        <v>25</v>
      </c>
      <c r="G365" s="4" t="s">
        <v>25</v>
      </c>
      <c r="H365" s="4" t="s">
        <v>25</v>
      </c>
      <c r="I365" s="5">
        <v>44378</v>
      </c>
      <c r="J365" s="6">
        <v>2222</v>
      </c>
      <c r="K365" s="77">
        <v>2222</v>
      </c>
      <c r="L365" s="6">
        <v>0</v>
      </c>
      <c r="M365" s="77">
        <v>0</v>
      </c>
      <c r="N365" s="6">
        <v>0</v>
      </c>
      <c r="O365" s="77">
        <v>0</v>
      </c>
      <c r="P365" s="6">
        <v>13</v>
      </c>
      <c r="Q365" s="4" t="s">
        <v>26</v>
      </c>
      <c r="R365" s="4">
        <v>0</v>
      </c>
      <c r="S365" s="4">
        <v>23</v>
      </c>
      <c r="T365" s="4">
        <v>0</v>
      </c>
      <c r="U365" s="4">
        <v>0</v>
      </c>
      <c r="V365" s="77">
        <f>IF(ISERROR(VLOOKUP($S$365,'TAR FIN'!$A$1:$O$95,15,0)),0,VLOOKUP($S$365,'TAR FIN'!$A$1:$O$95,15,0))*(1-0.06)</f>
        <v>26.855799999999999</v>
      </c>
      <c r="W365" s="77">
        <f>IF(ISERROR(VLOOKUP($T$365,'TAR FIN'!$A$1:$O$95,15,0)),0,VLOOKUP($T$365,'TAR FIN'!$A$1:$O$95,15,0))</f>
        <v>0</v>
      </c>
      <c r="X365" s="77">
        <f>IF(ISERROR(VLOOKUP($U$365,'TAR FIN'!$A$1:$O$95,15,0)),0,VLOOKUP($U$365,'TAR FIN'!$A$1:$O$95,15,0))</f>
        <v>0</v>
      </c>
      <c r="Y365" s="77">
        <f ca="1">('TUSD BE'!$AM$15+'TUSD BF'!$AM$15+'TUSD CVA'!$AM$15)*1*(1-0.04)</f>
        <v>30.653416196860647</v>
      </c>
      <c r="Z365" s="77"/>
      <c r="AA365" s="77"/>
      <c r="AB365" s="77">
        <f>(SUBSIDIO!$J$365*SUBSIDIO!$V$365)*(0.06)/(1-0.06)</f>
        <v>3808.9524000000001</v>
      </c>
      <c r="AC365" s="77">
        <f>((SUBSIDIO!$L$365*SUBSIDIO!$W$365)+(SUBSIDIO!$N$365*SUBSIDIO!$X$365))*(0.06)/(1-0.06)</f>
        <v>0</v>
      </c>
      <c r="AD365" s="77">
        <f ca="1">(SUBSIDIO!$J$365*SUBSIDIO!$Y$365)*(0.04)/(1-0.04)</f>
        <v>2837.9954495593488</v>
      </c>
      <c r="AE365" s="77">
        <f>((SUBSIDIO!$L$365*SUBSIDIO!$Z$365)+(SUBSIDIO!$N$365*SUBSIDIO!$AA$365))*(0.04)/(1-0.04)</f>
        <v>0</v>
      </c>
      <c r="AF365" s="4" t="s">
        <v>844</v>
      </c>
    </row>
    <row r="366" spans="1:32" ht="11.25" customHeight="1" x14ac:dyDescent="0.25">
      <c r="A366" s="4" t="s">
        <v>28</v>
      </c>
      <c r="B366" s="4" t="s">
        <v>35</v>
      </c>
      <c r="C366" s="4" t="s">
        <v>36</v>
      </c>
      <c r="D366" s="4" t="s">
        <v>47</v>
      </c>
      <c r="E366" s="4" t="s">
        <v>25</v>
      </c>
      <c r="F366" s="4" t="s">
        <v>25</v>
      </c>
      <c r="G366" s="4" t="s">
        <v>25</v>
      </c>
      <c r="H366" s="4" t="s">
        <v>25</v>
      </c>
      <c r="I366" s="5">
        <v>44378</v>
      </c>
      <c r="J366" s="6">
        <v>737</v>
      </c>
      <c r="K366" s="77">
        <v>737</v>
      </c>
      <c r="L366" s="6">
        <v>0</v>
      </c>
      <c r="M366" s="77">
        <v>0</v>
      </c>
      <c r="N366" s="6">
        <v>0</v>
      </c>
      <c r="O366" s="77">
        <v>0</v>
      </c>
      <c r="P366" s="6">
        <v>8</v>
      </c>
      <c r="Q366" s="4" t="s">
        <v>26</v>
      </c>
      <c r="R366" s="4">
        <v>0</v>
      </c>
      <c r="S366" s="4">
        <v>23</v>
      </c>
      <c r="T366" s="4">
        <v>0</v>
      </c>
      <c r="U366" s="4">
        <v>0</v>
      </c>
      <c r="V366" s="77">
        <f>IF(ISERROR(VLOOKUP($S$366,'TAR FIN'!$A$1:$O$95,15,0)),0,VLOOKUP($S$366,'TAR FIN'!$A$1:$O$95,15,0))*(1-0.06)</f>
        <v>26.855799999999999</v>
      </c>
      <c r="W366" s="77">
        <f>IF(ISERROR(VLOOKUP($T$366,'TAR FIN'!$A$1:$O$95,15,0)),0,VLOOKUP($T$366,'TAR FIN'!$A$1:$O$95,15,0))</f>
        <v>0</v>
      </c>
      <c r="X366" s="77">
        <f>IF(ISERROR(VLOOKUP($U$366,'TAR FIN'!$A$1:$O$95,15,0)),0,VLOOKUP($U$366,'TAR FIN'!$A$1:$O$95,15,0))</f>
        <v>0</v>
      </c>
      <c r="Y366" s="77">
        <f ca="1">('TUSD BE'!$AM$15+'TUSD BF'!$AM$15+'TUSD CVA'!$AM$15)*1*(1-0.04)</f>
        <v>30.653416196860647</v>
      </c>
      <c r="Z366" s="77"/>
      <c r="AA366" s="77"/>
      <c r="AB366" s="77">
        <f>(SUBSIDIO!$J$366*SUBSIDIO!$V$366)*(0.06)/(1-0.06)</f>
        <v>1263.3653999999999</v>
      </c>
      <c r="AC366" s="77">
        <f>((SUBSIDIO!$L$366*SUBSIDIO!$W$366)+(SUBSIDIO!$N$366*SUBSIDIO!$X$366))*(0.06)/(1-0.06)</f>
        <v>0</v>
      </c>
      <c r="AD366" s="77">
        <f ca="1">(SUBSIDIO!$J$366*SUBSIDIO!$Y$366)*(0.04)/(1-0.04)</f>
        <v>941.31532237859585</v>
      </c>
      <c r="AE366" s="77">
        <f>((SUBSIDIO!$L$366*SUBSIDIO!$Z$366)+(SUBSIDIO!$N$366*SUBSIDIO!$AA$366))*(0.04)/(1-0.04)</f>
        <v>0</v>
      </c>
      <c r="AF366" s="4" t="s">
        <v>844</v>
      </c>
    </row>
    <row r="367" spans="1:32" ht="11.25" customHeight="1" x14ac:dyDescent="0.25">
      <c r="A367" s="4" t="s">
        <v>29</v>
      </c>
      <c r="B367" s="4" t="s">
        <v>35</v>
      </c>
      <c r="C367" s="4" t="s">
        <v>36</v>
      </c>
      <c r="D367" s="4" t="s">
        <v>47</v>
      </c>
      <c r="E367" s="4" t="s">
        <v>25</v>
      </c>
      <c r="F367" s="4" t="s">
        <v>25</v>
      </c>
      <c r="G367" s="4" t="s">
        <v>25</v>
      </c>
      <c r="H367" s="4" t="s">
        <v>25</v>
      </c>
      <c r="I367" s="5">
        <v>44378</v>
      </c>
      <c r="J367" s="6">
        <v>-353</v>
      </c>
      <c r="K367" s="77">
        <v>-353</v>
      </c>
      <c r="L367" s="6">
        <v>0</v>
      </c>
      <c r="M367" s="77">
        <v>0</v>
      </c>
      <c r="N367" s="6">
        <v>0</v>
      </c>
      <c r="O367" s="77">
        <v>0</v>
      </c>
      <c r="P367" s="6">
        <v>0</v>
      </c>
      <c r="Q367" s="4" t="s">
        <v>26</v>
      </c>
      <c r="R367" s="4">
        <v>0</v>
      </c>
      <c r="S367" s="4">
        <v>23</v>
      </c>
      <c r="T367" s="4">
        <v>0</v>
      </c>
      <c r="U367" s="4">
        <v>0</v>
      </c>
      <c r="V367" s="77">
        <f>IF(ISERROR(VLOOKUP($S$367,'TAR FIN'!$A$1:$O$95,15,0)),0,VLOOKUP($S$367,'TAR FIN'!$A$1:$O$95,15,0))*(1-0.06)</f>
        <v>26.855799999999999</v>
      </c>
      <c r="W367" s="77">
        <f>IF(ISERROR(VLOOKUP($T$367,'TAR FIN'!$A$1:$O$95,15,0)),0,VLOOKUP($T$367,'TAR FIN'!$A$1:$O$95,15,0))</f>
        <v>0</v>
      </c>
      <c r="X367" s="77">
        <f>IF(ISERROR(VLOOKUP($U$367,'TAR FIN'!$A$1:$O$95,15,0)),0,VLOOKUP($U$367,'TAR FIN'!$A$1:$O$95,15,0))</f>
        <v>0</v>
      </c>
      <c r="Y367" s="77">
        <f ca="1">('TUSD BE'!$AM$15+'TUSD BF'!$AM$15+'TUSD CVA'!$AM$15)*1*(1-0.04)</f>
        <v>30.653416196860647</v>
      </c>
      <c r="Z367" s="77"/>
      <c r="AA367" s="77"/>
      <c r="AB367" s="77">
        <f>(SUBSIDIO!$J$367*SUBSIDIO!$V$367)*(0.06)/(1-0.06)</f>
        <v>-605.11259999999993</v>
      </c>
      <c r="AC367" s="77">
        <f>((SUBSIDIO!$L$367*SUBSIDIO!$W$367)+(SUBSIDIO!$N$367*SUBSIDIO!$X$367))*(0.06)/(1-0.06)</f>
        <v>0</v>
      </c>
      <c r="AD367" s="77">
        <f ca="1">(SUBSIDIO!$J$367*SUBSIDIO!$Y$367)*(0.04)/(1-0.04)</f>
        <v>-450.86066322882539</v>
      </c>
      <c r="AE367" s="77">
        <f>((SUBSIDIO!$L$367*SUBSIDIO!$Z$367)+(SUBSIDIO!$N$367*SUBSIDIO!$AA$367))*(0.04)/(1-0.04)</f>
        <v>0</v>
      </c>
      <c r="AF367" s="4" t="s">
        <v>844</v>
      </c>
    </row>
    <row r="368" spans="1:32" ht="11.25" customHeight="1" x14ac:dyDescent="0.25">
      <c r="A368" s="4" t="s">
        <v>30</v>
      </c>
      <c r="B368" s="4" t="s">
        <v>35</v>
      </c>
      <c r="C368" s="4" t="s">
        <v>36</v>
      </c>
      <c r="D368" s="4" t="s">
        <v>47</v>
      </c>
      <c r="E368" s="4" t="s">
        <v>25</v>
      </c>
      <c r="F368" s="4" t="s">
        <v>25</v>
      </c>
      <c r="G368" s="4" t="s">
        <v>25</v>
      </c>
      <c r="H368" s="4" t="s">
        <v>25</v>
      </c>
      <c r="I368" s="5">
        <v>44378</v>
      </c>
      <c r="J368" s="6">
        <v>35</v>
      </c>
      <c r="K368" s="77">
        <v>35</v>
      </c>
      <c r="L368" s="6">
        <v>0</v>
      </c>
      <c r="M368" s="77">
        <v>0</v>
      </c>
      <c r="N368" s="6">
        <v>0</v>
      </c>
      <c r="O368" s="77">
        <v>0</v>
      </c>
      <c r="P368" s="6">
        <v>1</v>
      </c>
      <c r="Q368" s="4" t="s">
        <v>26</v>
      </c>
      <c r="R368" s="4">
        <v>0</v>
      </c>
      <c r="S368" s="4">
        <v>23</v>
      </c>
      <c r="T368" s="4">
        <v>0</v>
      </c>
      <c r="U368" s="4">
        <v>0</v>
      </c>
      <c r="V368" s="77">
        <f>IF(ISERROR(VLOOKUP($S$368,'TAR FIN'!$A$1:$O$95,15,0)),0,VLOOKUP($S$368,'TAR FIN'!$A$1:$O$95,15,0))*(1-0.06)</f>
        <v>26.855799999999999</v>
      </c>
      <c r="W368" s="77">
        <f>IF(ISERROR(VLOOKUP($T$368,'TAR FIN'!$A$1:$O$95,15,0)),0,VLOOKUP($T$368,'TAR FIN'!$A$1:$O$95,15,0))</f>
        <v>0</v>
      </c>
      <c r="X368" s="77">
        <f>IF(ISERROR(VLOOKUP($U$368,'TAR FIN'!$A$1:$O$95,15,0)),0,VLOOKUP($U$368,'TAR FIN'!$A$1:$O$95,15,0))</f>
        <v>0</v>
      </c>
      <c r="Y368" s="77">
        <f ca="1">('TUSD BE'!$AM$15+'TUSD BF'!$AM$15+'TUSD CVA'!$AM$15)*1*(1-0.04)</f>
        <v>30.653416196860647</v>
      </c>
      <c r="Z368" s="77"/>
      <c r="AA368" s="77"/>
      <c r="AB368" s="77">
        <f>(SUBSIDIO!$J$368*SUBSIDIO!$V$368)*(0.06)/(1-0.06)</f>
        <v>59.997</v>
      </c>
      <c r="AC368" s="77">
        <f>((SUBSIDIO!$L$368*SUBSIDIO!$W$368)+(SUBSIDIO!$N$368*SUBSIDIO!$X$368))*(0.06)/(1-0.06)</f>
        <v>0</v>
      </c>
      <c r="AD368" s="77">
        <f ca="1">(SUBSIDIO!$J$368*SUBSIDIO!$Y$368)*(0.04)/(1-0.04)</f>
        <v>44.702898620421777</v>
      </c>
      <c r="AE368" s="77">
        <f>((SUBSIDIO!$L$368*SUBSIDIO!$Z$368)+(SUBSIDIO!$N$368*SUBSIDIO!$AA$368))*(0.04)/(1-0.04)</f>
        <v>0</v>
      </c>
      <c r="AF368" s="4" t="s">
        <v>844</v>
      </c>
    </row>
    <row r="369" spans="1:32" ht="11.25" customHeight="1" x14ac:dyDescent="0.25">
      <c r="A369" s="4" t="s">
        <v>21</v>
      </c>
      <c r="B369" s="4" t="s">
        <v>35</v>
      </c>
      <c r="C369" s="4" t="s">
        <v>36</v>
      </c>
      <c r="D369" s="4" t="s">
        <v>47</v>
      </c>
      <c r="E369" s="4" t="s">
        <v>25</v>
      </c>
      <c r="F369" s="4" t="s">
        <v>25</v>
      </c>
      <c r="G369" s="4" t="s">
        <v>25</v>
      </c>
      <c r="H369" s="4" t="s">
        <v>25</v>
      </c>
      <c r="I369" s="5">
        <v>44409</v>
      </c>
      <c r="J369" s="6">
        <v>2243</v>
      </c>
      <c r="K369" s="77">
        <v>2243</v>
      </c>
      <c r="L369" s="6">
        <v>0</v>
      </c>
      <c r="M369" s="77">
        <v>0</v>
      </c>
      <c r="N369" s="6">
        <v>0</v>
      </c>
      <c r="O369" s="77">
        <v>0</v>
      </c>
      <c r="P369" s="6">
        <v>12</v>
      </c>
      <c r="Q369" s="4" t="s">
        <v>26</v>
      </c>
      <c r="R369" s="4">
        <v>0</v>
      </c>
      <c r="S369" s="4">
        <v>23</v>
      </c>
      <c r="T369" s="4">
        <v>0</v>
      </c>
      <c r="U369" s="4">
        <v>0</v>
      </c>
      <c r="V369" s="77">
        <f>IF(ISERROR(VLOOKUP($S$369,'TAR FIN'!$A$1:$O$95,15,0)),0,VLOOKUP($S$369,'TAR FIN'!$A$1:$O$95,15,0))*(1-0.06)</f>
        <v>26.855799999999999</v>
      </c>
      <c r="W369" s="77">
        <f>IF(ISERROR(VLOOKUP($T$369,'TAR FIN'!$A$1:$O$95,15,0)),0,VLOOKUP($T$369,'TAR FIN'!$A$1:$O$95,15,0))</f>
        <v>0</v>
      </c>
      <c r="X369" s="77">
        <f>IF(ISERROR(VLOOKUP($U$369,'TAR FIN'!$A$1:$O$95,15,0)),0,VLOOKUP($U$369,'TAR FIN'!$A$1:$O$95,15,0))</f>
        <v>0</v>
      </c>
      <c r="Y369" s="77">
        <f ca="1">('TUSD BE'!$AM$15+'TUSD BF'!$AM$15+'TUSD CVA'!$AM$15)*1*(1-0.04)</f>
        <v>30.653416196860647</v>
      </c>
      <c r="Z369" s="77"/>
      <c r="AA369" s="77"/>
      <c r="AB369" s="77">
        <f>(SUBSIDIO!$J$369*SUBSIDIO!$V$369)*(0.06)/(1-0.06)</f>
        <v>3844.9505999999997</v>
      </c>
      <c r="AC369" s="77">
        <f>((SUBSIDIO!$L$369*SUBSIDIO!$W$369)+(SUBSIDIO!$N$369*SUBSIDIO!$X$369))*(0.06)/(1-0.06)</f>
        <v>0</v>
      </c>
      <c r="AD369" s="77">
        <f ca="1">(SUBSIDIO!$J$369*SUBSIDIO!$Y$369)*(0.04)/(1-0.04)</f>
        <v>2864.8171887316016</v>
      </c>
      <c r="AE369" s="77">
        <f>((SUBSIDIO!$L$369*SUBSIDIO!$Z$369)+(SUBSIDIO!$N$369*SUBSIDIO!$AA$369))*(0.04)/(1-0.04)</f>
        <v>0</v>
      </c>
      <c r="AF369" s="4" t="s">
        <v>844</v>
      </c>
    </row>
    <row r="370" spans="1:32" ht="11.25" customHeight="1" x14ac:dyDescent="0.25">
      <c r="A370" s="4" t="s">
        <v>28</v>
      </c>
      <c r="B370" s="4" t="s">
        <v>35</v>
      </c>
      <c r="C370" s="4" t="s">
        <v>36</v>
      </c>
      <c r="D370" s="4" t="s">
        <v>47</v>
      </c>
      <c r="E370" s="4" t="s">
        <v>25</v>
      </c>
      <c r="F370" s="4" t="s">
        <v>25</v>
      </c>
      <c r="G370" s="4" t="s">
        <v>25</v>
      </c>
      <c r="H370" s="4" t="s">
        <v>25</v>
      </c>
      <c r="I370" s="5">
        <v>44409</v>
      </c>
      <c r="J370" s="6">
        <v>761</v>
      </c>
      <c r="K370" s="77">
        <v>761</v>
      </c>
      <c r="L370" s="6">
        <v>0</v>
      </c>
      <c r="M370" s="77">
        <v>0</v>
      </c>
      <c r="N370" s="6">
        <v>0</v>
      </c>
      <c r="O370" s="77">
        <v>0</v>
      </c>
      <c r="P370" s="6">
        <v>8</v>
      </c>
      <c r="Q370" s="4" t="s">
        <v>26</v>
      </c>
      <c r="R370" s="4">
        <v>0</v>
      </c>
      <c r="S370" s="4">
        <v>23</v>
      </c>
      <c r="T370" s="4">
        <v>0</v>
      </c>
      <c r="U370" s="4">
        <v>0</v>
      </c>
      <c r="V370" s="77">
        <f>IF(ISERROR(VLOOKUP($S$370,'TAR FIN'!$A$1:$O$95,15,0)),0,VLOOKUP($S$370,'TAR FIN'!$A$1:$O$95,15,0))*(1-0.06)</f>
        <v>26.855799999999999</v>
      </c>
      <c r="W370" s="77">
        <f>IF(ISERROR(VLOOKUP($T$370,'TAR FIN'!$A$1:$O$95,15,0)),0,VLOOKUP($T$370,'TAR FIN'!$A$1:$O$95,15,0))</f>
        <v>0</v>
      </c>
      <c r="X370" s="77">
        <f>IF(ISERROR(VLOOKUP($U$370,'TAR FIN'!$A$1:$O$95,15,0)),0,VLOOKUP($U$370,'TAR FIN'!$A$1:$O$95,15,0))</f>
        <v>0</v>
      </c>
      <c r="Y370" s="77">
        <f ca="1">('TUSD BE'!$AM$15+'TUSD BF'!$AM$15+'TUSD CVA'!$AM$15)*1*(1-0.04)</f>
        <v>30.653416196860647</v>
      </c>
      <c r="Z370" s="77"/>
      <c r="AA370" s="77"/>
      <c r="AB370" s="77">
        <f>(SUBSIDIO!$J$370*SUBSIDIO!$V$370)*(0.06)/(1-0.06)</f>
        <v>1304.5062000000003</v>
      </c>
      <c r="AC370" s="77">
        <f>((SUBSIDIO!$L$370*SUBSIDIO!$W$370)+(SUBSIDIO!$N$370*SUBSIDIO!$X$370))*(0.06)/(1-0.06)</f>
        <v>0</v>
      </c>
      <c r="AD370" s="77">
        <f ca="1">(SUBSIDIO!$J$370*SUBSIDIO!$Y$370)*(0.04)/(1-0.04)</f>
        <v>971.96873857545643</v>
      </c>
      <c r="AE370" s="77">
        <f>((SUBSIDIO!$L$370*SUBSIDIO!$Z$370)+(SUBSIDIO!$N$370*SUBSIDIO!$AA$370))*(0.04)/(1-0.04)</f>
        <v>0</v>
      </c>
      <c r="AF370" s="4" t="s">
        <v>844</v>
      </c>
    </row>
    <row r="371" spans="1:32" ht="11.25" customHeight="1" x14ac:dyDescent="0.25">
      <c r="A371" s="4" t="s">
        <v>30</v>
      </c>
      <c r="B371" s="4" t="s">
        <v>35</v>
      </c>
      <c r="C371" s="4" t="s">
        <v>36</v>
      </c>
      <c r="D371" s="4" t="s">
        <v>47</v>
      </c>
      <c r="E371" s="4" t="s">
        <v>25</v>
      </c>
      <c r="F371" s="4" t="s">
        <v>25</v>
      </c>
      <c r="G371" s="4" t="s">
        <v>25</v>
      </c>
      <c r="H371" s="4" t="s">
        <v>25</v>
      </c>
      <c r="I371" s="5">
        <v>44409</v>
      </c>
      <c r="J371" s="6">
        <v>34</v>
      </c>
      <c r="K371" s="77">
        <v>34</v>
      </c>
      <c r="L371" s="6">
        <v>0</v>
      </c>
      <c r="M371" s="77">
        <v>0</v>
      </c>
      <c r="N371" s="6">
        <v>0</v>
      </c>
      <c r="O371" s="77">
        <v>0</v>
      </c>
      <c r="P371" s="6">
        <v>1</v>
      </c>
      <c r="Q371" s="4" t="s">
        <v>26</v>
      </c>
      <c r="R371" s="4">
        <v>0</v>
      </c>
      <c r="S371" s="4">
        <v>23</v>
      </c>
      <c r="T371" s="4">
        <v>0</v>
      </c>
      <c r="U371" s="4">
        <v>0</v>
      </c>
      <c r="V371" s="77">
        <f>IF(ISERROR(VLOOKUP($S$371,'TAR FIN'!$A$1:$O$95,15,0)),0,VLOOKUP($S$371,'TAR FIN'!$A$1:$O$95,15,0))*(1-0.06)</f>
        <v>26.855799999999999</v>
      </c>
      <c r="W371" s="77">
        <f>IF(ISERROR(VLOOKUP($T$371,'TAR FIN'!$A$1:$O$95,15,0)),0,VLOOKUP($T$371,'TAR FIN'!$A$1:$O$95,15,0))</f>
        <v>0</v>
      </c>
      <c r="X371" s="77">
        <f>IF(ISERROR(VLOOKUP($U$371,'TAR FIN'!$A$1:$O$95,15,0)),0,VLOOKUP($U$371,'TAR FIN'!$A$1:$O$95,15,0))</f>
        <v>0</v>
      </c>
      <c r="Y371" s="77">
        <f ca="1">('TUSD BE'!$AM$15+'TUSD BF'!$AM$15+'TUSD CVA'!$AM$15)*1*(1-0.04)</f>
        <v>30.653416196860647</v>
      </c>
      <c r="Z371" s="77"/>
      <c r="AA371" s="77"/>
      <c r="AB371" s="77">
        <f>(SUBSIDIO!$J$371*SUBSIDIO!$V$371)*(0.06)/(1-0.06)</f>
        <v>58.282799999999995</v>
      </c>
      <c r="AC371" s="77">
        <f>((SUBSIDIO!$L$371*SUBSIDIO!$W$371)+(SUBSIDIO!$N$371*SUBSIDIO!$X$371))*(0.06)/(1-0.06)</f>
        <v>0</v>
      </c>
      <c r="AD371" s="77">
        <f ca="1">(SUBSIDIO!$J$371*SUBSIDIO!$Y$371)*(0.04)/(1-0.04)</f>
        <v>43.425672945552591</v>
      </c>
      <c r="AE371" s="77">
        <f>((SUBSIDIO!$L$371*SUBSIDIO!$Z$371)+(SUBSIDIO!$N$371*SUBSIDIO!$AA$371))*(0.04)/(1-0.04)</f>
        <v>0</v>
      </c>
      <c r="AF371" s="4" t="s">
        <v>844</v>
      </c>
    </row>
    <row r="372" spans="1:32" ht="11.25" customHeight="1" x14ac:dyDescent="0.25">
      <c r="A372" s="4" t="s">
        <v>21</v>
      </c>
      <c r="B372" s="4" t="s">
        <v>35</v>
      </c>
      <c r="C372" s="4" t="s">
        <v>36</v>
      </c>
      <c r="D372" s="4" t="s">
        <v>47</v>
      </c>
      <c r="E372" s="4" t="s">
        <v>25</v>
      </c>
      <c r="F372" s="4" t="s">
        <v>25</v>
      </c>
      <c r="G372" s="4" t="s">
        <v>25</v>
      </c>
      <c r="H372" s="4" t="s">
        <v>25</v>
      </c>
      <c r="I372" s="5">
        <v>44440</v>
      </c>
      <c r="J372" s="6">
        <v>2514</v>
      </c>
      <c r="K372" s="77">
        <v>2514</v>
      </c>
      <c r="L372" s="6">
        <v>0</v>
      </c>
      <c r="M372" s="77">
        <v>0</v>
      </c>
      <c r="N372" s="6">
        <v>0</v>
      </c>
      <c r="O372" s="77">
        <v>0</v>
      </c>
      <c r="P372" s="6">
        <v>12</v>
      </c>
      <c r="Q372" s="4" t="s">
        <v>26</v>
      </c>
      <c r="R372" s="4">
        <v>0</v>
      </c>
      <c r="S372" s="4">
        <v>23</v>
      </c>
      <c r="T372" s="4">
        <v>0</v>
      </c>
      <c r="U372" s="4">
        <v>0</v>
      </c>
      <c r="V372" s="77">
        <f>IF(ISERROR(VLOOKUP($S$372,'TAR FIN'!$A$1:$O$95,15,0)),0,VLOOKUP($S$372,'TAR FIN'!$A$1:$O$95,15,0))*(1-0.06)</f>
        <v>26.855799999999999</v>
      </c>
      <c r="W372" s="77">
        <f>IF(ISERROR(VLOOKUP($T$372,'TAR FIN'!$A$1:$O$95,15,0)),0,VLOOKUP($T$372,'TAR FIN'!$A$1:$O$95,15,0))</f>
        <v>0</v>
      </c>
      <c r="X372" s="77">
        <f>IF(ISERROR(VLOOKUP($U$372,'TAR FIN'!$A$1:$O$95,15,0)),0,VLOOKUP($U$372,'TAR FIN'!$A$1:$O$95,15,0))</f>
        <v>0</v>
      </c>
      <c r="Y372" s="77">
        <f ca="1">('TUSD BE'!$AM$15+'TUSD BF'!$AM$15+'TUSD CVA'!$AM$15)*1*(1-0.04)</f>
        <v>30.653416196860647</v>
      </c>
      <c r="Z372" s="77"/>
      <c r="AA372" s="77"/>
      <c r="AB372" s="77">
        <f>(SUBSIDIO!$J$372*SUBSIDIO!$V$372)*(0.06)/(1-0.06)</f>
        <v>4309.4987999999994</v>
      </c>
      <c r="AC372" s="77">
        <f>((SUBSIDIO!$L$372*SUBSIDIO!$W$372)+(SUBSIDIO!$N$372*SUBSIDIO!$X$372))*(0.06)/(1-0.06)</f>
        <v>0</v>
      </c>
      <c r="AD372" s="77">
        <f ca="1">(SUBSIDIO!$J$372*SUBSIDIO!$Y$372)*(0.04)/(1-0.04)</f>
        <v>3210.9453466211526</v>
      </c>
      <c r="AE372" s="77">
        <f>((SUBSIDIO!$L$372*SUBSIDIO!$Z$372)+(SUBSIDIO!$N$372*SUBSIDIO!$AA$372))*(0.04)/(1-0.04)</f>
        <v>0</v>
      </c>
      <c r="AF372" s="4" t="s">
        <v>844</v>
      </c>
    </row>
    <row r="373" spans="1:32" ht="11.25" customHeight="1" x14ac:dyDescent="0.25">
      <c r="A373" s="4" t="s">
        <v>28</v>
      </c>
      <c r="B373" s="4" t="s">
        <v>35</v>
      </c>
      <c r="C373" s="4" t="s">
        <v>36</v>
      </c>
      <c r="D373" s="4" t="s">
        <v>47</v>
      </c>
      <c r="E373" s="4" t="s">
        <v>25</v>
      </c>
      <c r="F373" s="4" t="s">
        <v>25</v>
      </c>
      <c r="G373" s="4" t="s">
        <v>25</v>
      </c>
      <c r="H373" s="4" t="s">
        <v>25</v>
      </c>
      <c r="I373" s="5">
        <v>44440</v>
      </c>
      <c r="J373" s="6">
        <v>750</v>
      </c>
      <c r="K373" s="77">
        <v>750</v>
      </c>
      <c r="L373" s="6">
        <v>0</v>
      </c>
      <c r="M373" s="77">
        <v>0</v>
      </c>
      <c r="N373" s="6">
        <v>0</v>
      </c>
      <c r="O373" s="77">
        <v>0</v>
      </c>
      <c r="P373" s="6">
        <v>7</v>
      </c>
      <c r="Q373" s="4" t="s">
        <v>26</v>
      </c>
      <c r="R373" s="4">
        <v>0</v>
      </c>
      <c r="S373" s="4">
        <v>23</v>
      </c>
      <c r="T373" s="4">
        <v>0</v>
      </c>
      <c r="U373" s="4">
        <v>0</v>
      </c>
      <c r="V373" s="77">
        <f>IF(ISERROR(VLOOKUP($S$373,'TAR FIN'!$A$1:$O$95,15,0)),0,VLOOKUP($S$373,'TAR FIN'!$A$1:$O$95,15,0))*(1-0.06)</f>
        <v>26.855799999999999</v>
      </c>
      <c r="W373" s="77">
        <f>IF(ISERROR(VLOOKUP($T$373,'TAR FIN'!$A$1:$O$95,15,0)),0,VLOOKUP($T$373,'TAR FIN'!$A$1:$O$95,15,0))</f>
        <v>0</v>
      </c>
      <c r="X373" s="77">
        <f>IF(ISERROR(VLOOKUP($U$373,'TAR FIN'!$A$1:$O$95,15,0)),0,VLOOKUP($U$373,'TAR FIN'!$A$1:$O$95,15,0))</f>
        <v>0</v>
      </c>
      <c r="Y373" s="77">
        <f ca="1">('TUSD BE'!$AM$15+'TUSD BF'!$AM$15+'TUSD CVA'!$AM$15)*1*(1-0.04)</f>
        <v>30.653416196860647</v>
      </c>
      <c r="Z373" s="77"/>
      <c r="AA373" s="77"/>
      <c r="AB373" s="77">
        <f>(SUBSIDIO!$J$373*SUBSIDIO!$V$373)*(0.06)/(1-0.06)</f>
        <v>1285.6500000000001</v>
      </c>
      <c r="AC373" s="77">
        <f>((SUBSIDIO!$L$373*SUBSIDIO!$W$373)+(SUBSIDIO!$N$373*SUBSIDIO!$X$373))*(0.06)/(1-0.06)</f>
        <v>0</v>
      </c>
      <c r="AD373" s="77">
        <f ca="1">(SUBSIDIO!$J$373*SUBSIDIO!$Y$373)*(0.04)/(1-0.04)</f>
        <v>957.91925615189518</v>
      </c>
      <c r="AE373" s="77">
        <f>((SUBSIDIO!$L$373*SUBSIDIO!$Z$373)+(SUBSIDIO!$N$373*SUBSIDIO!$AA$373))*(0.04)/(1-0.04)</f>
        <v>0</v>
      </c>
      <c r="AF373" s="4" t="s">
        <v>844</v>
      </c>
    </row>
    <row r="374" spans="1:32" ht="11.25" customHeight="1" x14ac:dyDescent="0.25">
      <c r="A374" s="4" t="s">
        <v>30</v>
      </c>
      <c r="B374" s="4" t="s">
        <v>35</v>
      </c>
      <c r="C374" s="4" t="s">
        <v>36</v>
      </c>
      <c r="D374" s="4" t="s">
        <v>47</v>
      </c>
      <c r="E374" s="4" t="s">
        <v>25</v>
      </c>
      <c r="F374" s="4" t="s">
        <v>25</v>
      </c>
      <c r="G374" s="4" t="s">
        <v>25</v>
      </c>
      <c r="H374" s="4" t="s">
        <v>25</v>
      </c>
      <c r="I374" s="5">
        <v>44440</v>
      </c>
      <c r="J374" s="6">
        <v>98</v>
      </c>
      <c r="K374" s="77">
        <v>98</v>
      </c>
      <c r="L374" s="6">
        <v>0</v>
      </c>
      <c r="M374" s="77">
        <v>0</v>
      </c>
      <c r="N374" s="6">
        <v>0</v>
      </c>
      <c r="O374" s="77">
        <v>0</v>
      </c>
      <c r="P374" s="6">
        <v>1</v>
      </c>
      <c r="Q374" s="4" t="s">
        <v>26</v>
      </c>
      <c r="R374" s="4">
        <v>0</v>
      </c>
      <c r="S374" s="4">
        <v>23</v>
      </c>
      <c r="T374" s="4">
        <v>0</v>
      </c>
      <c r="U374" s="4">
        <v>0</v>
      </c>
      <c r="V374" s="77">
        <f>IF(ISERROR(VLOOKUP($S$374,'TAR FIN'!$A$1:$O$95,15,0)),0,VLOOKUP($S$374,'TAR FIN'!$A$1:$O$95,15,0))*(1-0.06)</f>
        <v>26.855799999999999</v>
      </c>
      <c r="W374" s="77">
        <f>IF(ISERROR(VLOOKUP($T$374,'TAR FIN'!$A$1:$O$95,15,0)),0,VLOOKUP($T$374,'TAR FIN'!$A$1:$O$95,15,0))</f>
        <v>0</v>
      </c>
      <c r="X374" s="77">
        <f>IF(ISERROR(VLOOKUP($U$374,'TAR FIN'!$A$1:$O$95,15,0)),0,VLOOKUP($U$374,'TAR FIN'!$A$1:$O$95,15,0))</f>
        <v>0</v>
      </c>
      <c r="Y374" s="77">
        <f ca="1">('TUSD BE'!$AM$15+'TUSD BF'!$AM$15+'TUSD CVA'!$AM$15)*1*(1-0.04)</f>
        <v>30.653416196860647</v>
      </c>
      <c r="Z374" s="77"/>
      <c r="AA374" s="77"/>
      <c r="AB374" s="77">
        <f>(SUBSIDIO!$J$374*SUBSIDIO!$V$374)*(0.06)/(1-0.06)</f>
        <v>167.99159999999998</v>
      </c>
      <c r="AC374" s="77">
        <f>((SUBSIDIO!$L$374*SUBSIDIO!$W$374)+(SUBSIDIO!$N$374*SUBSIDIO!$X$374))*(0.06)/(1-0.06)</f>
        <v>0</v>
      </c>
      <c r="AD374" s="77">
        <f ca="1">(SUBSIDIO!$J$374*SUBSIDIO!$Y$374)*(0.04)/(1-0.04)</f>
        <v>125.16811613718097</v>
      </c>
      <c r="AE374" s="77">
        <f>((SUBSIDIO!$L$374*SUBSIDIO!$Z$374)+(SUBSIDIO!$N$374*SUBSIDIO!$AA$374))*(0.04)/(1-0.04)</f>
        <v>0</v>
      </c>
      <c r="AF374" s="4" t="s">
        <v>844</v>
      </c>
    </row>
    <row r="375" spans="1:32" ht="11.25" customHeight="1" x14ac:dyDescent="0.25">
      <c r="A375" s="4" t="s">
        <v>59</v>
      </c>
      <c r="B375" s="4" t="s">
        <v>35</v>
      </c>
      <c r="C375" s="4" t="s">
        <v>36</v>
      </c>
      <c r="D375" s="4" t="s">
        <v>47</v>
      </c>
      <c r="E375" s="4" t="s">
        <v>25</v>
      </c>
      <c r="F375" s="4" t="s">
        <v>25</v>
      </c>
      <c r="G375" s="4" t="s">
        <v>25</v>
      </c>
      <c r="H375" s="4" t="s">
        <v>25</v>
      </c>
      <c r="I375" s="5">
        <v>44470</v>
      </c>
      <c r="J375" s="6">
        <v>2514</v>
      </c>
      <c r="K375" s="77">
        <v>2514</v>
      </c>
      <c r="L375" s="6">
        <v>0</v>
      </c>
      <c r="M375" s="77">
        <v>0</v>
      </c>
      <c r="N375" s="6">
        <v>0</v>
      </c>
      <c r="O375" s="77">
        <v>0</v>
      </c>
      <c r="P375" s="6">
        <v>12</v>
      </c>
      <c r="Q375" s="4" t="s">
        <v>26</v>
      </c>
      <c r="R375" s="4">
        <v>0</v>
      </c>
      <c r="S375" s="4">
        <v>23</v>
      </c>
      <c r="T375" s="4">
        <v>0</v>
      </c>
      <c r="U375" s="4">
        <v>0</v>
      </c>
      <c r="V375" s="77">
        <f>IF(ISERROR(VLOOKUP($S$375,'TAR FIN'!$A$1:$O$95,15,0)),0,VLOOKUP($S$375,'TAR FIN'!$A$1:$O$95,15,0))*(1-0.06)</f>
        <v>26.855799999999999</v>
      </c>
      <c r="W375" s="77">
        <f>IF(ISERROR(VLOOKUP($T$375,'TAR FIN'!$A$1:$O$95,15,0)),0,VLOOKUP($T$375,'TAR FIN'!$A$1:$O$95,15,0))</f>
        <v>0</v>
      </c>
      <c r="X375" s="77">
        <f>IF(ISERROR(VLOOKUP($U$375,'TAR FIN'!$A$1:$O$95,15,0)),0,VLOOKUP($U$375,'TAR FIN'!$A$1:$O$95,15,0))</f>
        <v>0</v>
      </c>
      <c r="Y375" s="77">
        <f ca="1">('TUSD BE'!$AM$15+'TUSD BF'!$AM$15+'TUSD CVA'!$AM$15)*1*(1-0.04)</f>
        <v>30.653416196860647</v>
      </c>
      <c r="Z375" s="77"/>
      <c r="AA375" s="77"/>
      <c r="AB375" s="77">
        <f>(SUBSIDIO!$J$375*SUBSIDIO!$V$375)*(0.06)/(1-0.06)</f>
        <v>4309.4987999999994</v>
      </c>
      <c r="AC375" s="77">
        <f>((SUBSIDIO!$L$375*SUBSIDIO!$W$375)+(SUBSIDIO!$N$375*SUBSIDIO!$X$375))*(0.06)/(1-0.06)</f>
        <v>0</v>
      </c>
      <c r="AD375" s="77">
        <f ca="1">(SUBSIDIO!$J$375*SUBSIDIO!$Y$375)*(0.04)/(1-0.04)</f>
        <v>3210.9453466211526</v>
      </c>
      <c r="AE375" s="77">
        <f>((SUBSIDIO!$L$375*SUBSIDIO!$Z$375)+(SUBSIDIO!$N$375*SUBSIDIO!$AA$375))*(0.04)/(1-0.04)</f>
        <v>0</v>
      </c>
      <c r="AF375" s="4" t="s">
        <v>844</v>
      </c>
    </row>
    <row r="376" spans="1:32" ht="11.25" customHeight="1" x14ac:dyDescent="0.25">
      <c r="A376" s="4" t="s">
        <v>59</v>
      </c>
      <c r="B376" s="4" t="s">
        <v>35</v>
      </c>
      <c r="C376" s="4" t="s">
        <v>36</v>
      </c>
      <c r="D376" s="4" t="s">
        <v>47</v>
      </c>
      <c r="E376" s="4" t="s">
        <v>25</v>
      </c>
      <c r="F376" s="4" t="s">
        <v>25</v>
      </c>
      <c r="G376" s="4" t="s">
        <v>25</v>
      </c>
      <c r="H376" s="4" t="s">
        <v>25</v>
      </c>
      <c r="I376" s="5">
        <v>44470</v>
      </c>
      <c r="J376" s="6">
        <v>750</v>
      </c>
      <c r="K376" s="77">
        <v>750</v>
      </c>
      <c r="L376" s="6">
        <v>0</v>
      </c>
      <c r="M376" s="77">
        <v>0</v>
      </c>
      <c r="N376" s="6">
        <v>0</v>
      </c>
      <c r="O376" s="77">
        <v>0</v>
      </c>
      <c r="P376" s="6">
        <v>7</v>
      </c>
      <c r="Q376" s="4" t="s">
        <v>26</v>
      </c>
      <c r="R376" s="4">
        <v>0</v>
      </c>
      <c r="S376" s="4">
        <v>23</v>
      </c>
      <c r="T376" s="4">
        <v>0</v>
      </c>
      <c r="U376" s="4">
        <v>0</v>
      </c>
      <c r="V376" s="77">
        <f>IF(ISERROR(VLOOKUP($S$376,'TAR FIN'!$A$1:$O$95,15,0)),0,VLOOKUP($S$376,'TAR FIN'!$A$1:$O$95,15,0))*(1-0.06)</f>
        <v>26.855799999999999</v>
      </c>
      <c r="W376" s="77">
        <f>IF(ISERROR(VLOOKUP($T$376,'TAR FIN'!$A$1:$O$95,15,0)),0,VLOOKUP($T$376,'TAR FIN'!$A$1:$O$95,15,0))</f>
        <v>0</v>
      </c>
      <c r="X376" s="77">
        <f>IF(ISERROR(VLOOKUP($U$376,'TAR FIN'!$A$1:$O$95,15,0)),0,VLOOKUP($U$376,'TAR FIN'!$A$1:$O$95,15,0))</f>
        <v>0</v>
      </c>
      <c r="Y376" s="77">
        <f ca="1">('TUSD BE'!$AM$15+'TUSD BF'!$AM$15+'TUSD CVA'!$AM$15)*1*(1-0.04)</f>
        <v>30.653416196860647</v>
      </c>
      <c r="Z376" s="77"/>
      <c r="AA376" s="77"/>
      <c r="AB376" s="77">
        <f>(SUBSIDIO!$J$376*SUBSIDIO!$V$376)*(0.06)/(1-0.06)</f>
        <v>1285.6500000000001</v>
      </c>
      <c r="AC376" s="77">
        <f>((SUBSIDIO!$L$376*SUBSIDIO!$W$376)+(SUBSIDIO!$N$376*SUBSIDIO!$X$376))*(0.06)/(1-0.06)</f>
        <v>0</v>
      </c>
      <c r="AD376" s="77">
        <f ca="1">(SUBSIDIO!$J$376*SUBSIDIO!$Y$376)*(0.04)/(1-0.04)</f>
        <v>957.91925615189518</v>
      </c>
      <c r="AE376" s="77">
        <f>((SUBSIDIO!$L$376*SUBSIDIO!$Z$376)+(SUBSIDIO!$N$376*SUBSIDIO!$AA$376))*(0.04)/(1-0.04)</f>
        <v>0</v>
      </c>
      <c r="AF376" s="4" t="s">
        <v>844</v>
      </c>
    </row>
    <row r="377" spans="1:32" ht="11.25" customHeight="1" x14ac:dyDescent="0.25">
      <c r="A377" s="4" t="s">
        <v>59</v>
      </c>
      <c r="B377" s="4" t="s">
        <v>35</v>
      </c>
      <c r="C377" s="4" t="s">
        <v>36</v>
      </c>
      <c r="D377" s="4" t="s">
        <v>47</v>
      </c>
      <c r="E377" s="4" t="s">
        <v>25</v>
      </c>
      <c r="F377" s="4" t="s">
        <v>25</v>
      </c>
      <c r="G377" s="4" t="s">
        <v>25</v>
      </c>
      <c r="H377" s="4" t="s">
        <v>25</v>
      </c>
      <c r="I377" s="5">
        <v>44470</v>
      </c>
      <c r="J377" s="6">
        <v>98</v>
      </c>
      <c r="K377" s="77">
        <v>98</v>
      </c>
      <c r="L377" s="6">
        <v>0</v>
      </c>
      <c r="M377" s="77">
        <v>0</v>
      </c>
      <c r="N377" s="6">
        <v>0</v>
      </c>
      <c r="O377" s="77">
        <v>0</v>
      </c>
      <c r="P377" s="6">
        <v>1</v>
      </c>
      <c r="Q377" s="4" t="s">
        <v>26</v>
      </c>
      <c r="R377" s="4">
        <v>0</v>
      </c>
      <c r="S377" s="4">
        <v>23</v>
      </c>
      <c r="T377" s="4">
        <v>0</v>
      </c>
      <c r="U377" s="4">
        <v>0</v>
      </c>
      <c r="V377" s="77">
        <f>IF(ISERROR(VLOOKUP($S$377,'TAR FIN'!$A$1:$O$95,15,0)),0,VLOOKUP($S$377,'TAR FIN'!$A$1:$O$95,15,0))*(1-0.06)</f>
        <v>26.855799999999999</v>
      </c>
      <c r="W377" s="77">
        <f>IF(ISERROR(VLOOKUP($T$377,'TAR FIN'!$A$1:$O$95,15,0)),0,VLOOKUP($T$377,'TAR FIN'!$A$1:$O$95,15,0))</f>
        <v>0</v>
      </c>
      <c r="X377" s="77">
        <f>IF(ISERROR(VLOOKUP($U$377,'TAR FIN'!$A$1:$O$95,15,0)),0,VLOOKUP($U$377,'TAR FIN'!$A$1:$O$95,15,0))</f>
        <v>0</v>
      </c>
      <c r="Y377" s="77">
        <f ca="1">('TUSD BE'!$AM$15+'TUSD BF'!$AM$15+'TUSD CVA'!$AM$15)*1*(1-0.04)</f>
        <v>30.653416196860647</v>
      </c>
      <c r="Z377" s="77"/>
      <c r="AA377" s="77"/>
      <c r="AB377" s="77">
        <f>(SUBSIDIO!$J$377*SUBSIDIO!$V$377)*(0.06)/(1-0.06)</f>
        <v>167.99159999999998</v>
      </c>
      <c r="AC377" s="77">
        <f>((SUBSIDIO!$L$377*SUBSIDIO!$W$377)+(SUBSIDIO!$N$377*SUBSIDIO!$X$377))*(0.06)/(1-0.06)</f>
        <v>0</v>
      </c>
      <c r="AD377" s="77">
        <f ca="1">(SUBSIDIO!$J$377*SUBSIDIO!$Y$377)*(0.04)/(1-0.04)</f>
        <v>125.16811613718097</v>
      </c>
      <c r="AE377" s="77">
        <f>((SUBSIDIO!$L$377*SUBSIDIO!$Z$377)+(SUBSIDIO!$N$377*SUBSIDIO!$AA$377))*(0.04)/(1-0.04)</f>
        <v>0</v>
      </c>
      <c r="AF377" s="4" t="s">
        <v>844</v>
      </c>
    </row>
    <row r="378" spans="1:32" ht="11.25" customHeight="1" x14ac:dyDescent="0.25">
      <c r="A378" s="4" t="s">
        <v>21</v>
      </c>
      <c r="B378" s="4" t="s">
        <v>35</v>
      </c>
      <c r="C378" s="4" t="s">
        <v>36</v>
      </c>
      <c r="D378" s="4" t="s">
        <v>47</v>
      </c>
      <c r="E378" s="4" t="s">
        <v>25</v>
      </c>
      <c r="F378" s="4" t="s">
        <v>25</v>
      </c>
      <c r="G378" s="4" t="s">
        <v>25</v>
      </c>
      <c r="H378" s="4" t="s">
        <v>37</v>
      </c>
      <c r="I378" s="5">
        <v>44136</v>
      </c>
      <c r="J378" s="6">
        <v>0</v>
      </c>
      <c r="K378" s="77">
        <v>0</v>
      </c>
      <c r="L378" s="6">
        <v>48.37</v>
      </c>
      <c r="M378" s="77">
        <v>48.37</v>
      </c>
      <c r="N378" s="6">
        <v>48.37</v>
      </c>
      <c r="O378" s="77">
        <v>48.37</v>
      </c>
      <c r="P378" s="6">
        <v>0</v>
      </c>
      <c r="Q378" s="4" t="s">
        <v>26</v>
      </c>
      <c r="R378" s="4">
        <v>0</v>
      </c>
      <c r="S378" s="4">
        <v>0</v>
      </c>
      <c r="T378" s="4">
        <v>24</v>
      </c>
      <c r="U378" s="4">
        <v>66</v>
      </c>
      <c r="V378" s="77">
        <f>IF(ISERROR(VLOOKUP($S$378,'TAR FIN'!$A$1:$O$95,15,0)),0,VLOOKUP($S$378,'TAR FIN'!$A$1:$O$95,15,0))</f>
        <v>0</v>
      </c>
      <c r="W378" s="77">
        <f>IF(ISERROR(VLOOKUP($T$378,'TAR FIN'!$A$1:$O$95,15,0)),0,VLOOKUP($T$378,'TAR FIN'!$A$1:$O$95,15,0))*(1-0.06)</f>
        <v>1348.7025999999998</v>
      </c>
      <c r="X378" s="77">
        <f>IF(ISERROR(VLOOKUP($U$378,'TAR FIN'!$A$1:$O$95,15,0)),0,VLOOKUP($U$378,'TAR FIN'!$A$1:$O$95,15,0))*(1-0.06)</f>
        <v>365.92319999999995</v>
      </c>
      <c r="Y378" s="77"/>
      <c r="Z378" s="77">
        <f ca="1">('TUSD BE'!$AM$16+'TUSD BF'!$AM$16+'TUSD CVA'!$AM$16)*1*(1-0.04)</f>
        <v>1541.7519661664016</v>
      </c>
      <c r="AA378" s="77">
        <f>('TE BE'!$AA$7+'TE BF'!$AA$7+'TE CVA'!$AA$7)*1*(1-0.04)</f>
        <v>436.15542521126838</v>
      </c>
      <c r="AB378" s="77">
        <f>(SUBSIDIO!$J$378*SUBSIDIO!$V$378)*(0.06)/(1-0.06)</f>
        <v>0</v>
      </c>
      <c r="AC378" s="77">
        <f>((SUBSIDIO!$L$378*SUBSIDIO!$W$378)+(SUBSIDIO!$N$378*SUBSIDIO!$X$378))*(0.06)/(1-0.06)</f>
        <v>5293.8159539999988</v>
      </c>
      <c r="AD378" s="77">
        <f>(SUBSIDIO!$J$378*SUBSIDIO!$Y$378)*(0.04)/(1-0.04)</f>
        <v>0</v>
      </c>
      <c r="AE378" s="77">
        <f ca="1">((SUBSIDIO!$L$378*SUBSIDIO!$Z$378)+(SUBSIDIO!$N$378*SUBSIDIO!$AA$378))*(0.04)/(1-0.04)</f>
        <v>3986.3075217057458</v>
      </c>
      <c r="AF378" s="4" t="s">
        <v>844</v>
      </c>
    </row>
    <row r="379" spans="1:32" ht="11.25" customHeight="1" x14ac:dyDescent="0.25">
      <c r="A379" s="4" t="s">
        <v>28</v>
      </c>
      <c r="B379" s="4" t="s">
        <v>35</v>
      </c>
      <c r="C379" s="4" t="s">
        <v>36</v>
      </c>
      <c r="D379" s="4" t="s">
        <v>47</v>
      </c>
      <c r="E379" s="4" t="s">
        <v>25</v>
      </c>
      <c r="F379" s="4" t="s">
        <v>25</v>
      </c>
      <c r="G379" s="4" t="s">
        <v>25</v>
      </c>
      <c r="H379" s="4" t="s">
        <v>37</v>
      </c>
      <c r="I379" s="5">
        <v>44136</v>
      </c>
      <c r="J379" s="6">
        <v>0</v>
      </c>
      <c r="K379" s="77">
        <v>0</v>
      </c>
      <c r="L379" s="6">
        <v>8.5139999999999993</v>
      </c>
      <c r="M379" s="77">
        <v>8.5139999999999993</v>
      </c>
      <c r="N379" s="6">
        <v>8.5139999999999993</v>
      </c>
      <c r="O379" s="77">
        <v>8.5139999999999993</v>
      </c>
      <c r="P379" s="6">
        <v>0</v>
      </c>
      <c r="Q379" s="4" t="s">
        <v>26</v>
      </c>
      <c r="R379" s="4">
        <v>0</v>
      </c>
      <c r="S379" s="4">
        <v>0</v>
      </c>
      <c r="T379" s="4">
        <v>24</v>
      </c>
      <c r="U379" s="4">
        <v>66</v>
      </c>
      <c r="V379" s="77">
        <f>IF(ISERROR(VLOOKUP($S$379,'TAR FIN'!$A$1:$O$95,15,0)),0,VLOOKUP($S$379,'TAR FIN'!$A$1:$O$95,15,0))</f>
        <v>0</v>
      </c>
      <c r="W379" s="77">
        <f>IF(ISERROR(VLOOKUP($T$379,'TAR FIN'!$A$1:$O$95,15,0)),0,VLOOKUP($T$379,'TAR FIN'!$A$1:$O$95,15,0))*(1-0.06)</f>
        <v>1348.7025999999998</v>
      </c>
      <c r="X379" s="77">
        <f>IF(ISERROR(VLOOKUP($U$379,'TAR FIN'!$A$1:$O$95,15,0)),0,VLOOKUP($U$379,'TAR FIN'!$A$1:$O$95,15,0))*(1-0.06)</f>
        <v>365.92319999999995</v>
      </c>
      <c r="Y379" s="77"/>
      <c r="Z379" s="77">
        <f ca="1">('TUSD BE'!$AM$16+'TUSD BF'!$AM$16+'TUSD CVA'!$AM$16)*1*(1-0.04)</f>
        <v>1541.7519661664016</v>
      </c>
      <c r="AA379" s="77">
        <f>('TE BE'!$AA$7+'TE BF'!$AA$7+'TE CVA'!$AA$7)*1*(1-0.04)</f>
        <v>436.15542521126838</v>
      </c>
      <c r="AB379" s="77">
        <f>(SUBSIDIO!$J$379*SUBSIDIO!$V$379)*(0.06)/(1-0.06)</f>
        <v>0</v>
      </c>
      <c r="AC379" s="77">
        <f>((SUBSIDIO!$L$379*SUBSIDIO!$W$379)+(SUBSIDIO!$N$379*SUBSIDIO!$X$379))*(0.06)/(1-0.06)</f>
        <v>931.80791879999992</v>
      </c>
      <c r="AD379" s="77">
        <f>(SUBSIDIO!$J$379*SUBSIDIO!$Y$379)*(0.04)/(1-0.04)</f>
        <v>0</v>
      </c>
      <c r="AE379" s="77">
        <f ca="1">((SUBSIDIO!$L$379*SUBSIDIO!$Z$379)+(SUBSIDIO!$N$379*SUBSIDIO!$AA$379))*(0.04)/(1-0.04)</f>
        <v>701.66264709122834</v>
      </c>
      <c r="AF379" s="4" t="s">
        <v>844</v>
      </c>
    </row>
    <row r="380" spans="1:32" ht="11.25" customHeight="1" x14ac:dyDescent="0.25">
      <c r="A380" s="4" t="s">
        <v>21</v>
      </c>
      <c r="B380" s="4" t="s">
        <v>35</v>
      </c>
      <c r="C380" s="4" t="s">
        <v>36</v>
      </c>
      <c r="D380" s="4" t="s">
        <v>47</v>
      </c>
      <c r="E380" s="4" t="s">
        <v>25</v>
      </c>
      <c r="F380" s="4" t="s">
        <v>25</v>
      </c>
      <c r="G380" s="4" t="s">
        <v>25</v>
      </c>
      <c r="H380" s="4" t="s">
        <v>37</v>
      </c>
      <c r="I380" s="5">
        <v>44166</v>
      </c>
      <c r="J380" s="6">
        <v>0</v>
      </c>
      <c r="K380" s="77">
        <v>0</v>
      </c>
      <c r="L380" s="6">
        <v>48.774000000000001</v>
      </c>
      <c r="M380" s="77">
        <v>48.774000000000001</v>
      </c>
      <c r="N380" s="6">
        <v>48.774000000000001</v>
      </c>
      <c r="O380" s="77">
        <v>48.774000000000001</v>
      </c>
      <c r="P380" s="6">
        <v>0</v>
      </c>
      <c r="Q380" s="4" t="s">
        <v>26</v>
      </c>
      <c r="R380" s="4">
        <v>0</v>
      </c>
      <c r="S380" s="4">
        <v>0</v>
      </c>
      <c r="T380" s="4">
        <v>24</v>
      </c>
      <c r="U380" s="4">
        <v>66</v>
      </c>
      <c r="V380" s="77">
        <f>IF(ISERROR(VLOOKUP($S$380,'TAR FIN'!$A$1:$O$95,15,0)),0,VLOOKUP($S$380,'TAR FIN'!$A$1:$O$95,15,0))</f>
        <v>0</v>
      </c>
      <c r="W380" s="77">
        <f>IF(ISERROR(VLOOKUP($T$380,'TAR FIN'!$A$1:$O$95,15,0)),0,VLOOKUP($T$380,'TAR FIN'!$A$1:$O$95,15,0))*(1-0.06)</f>
        <v>1348.7025999999998</v>
      </c>
      <c r="X380" s="77">
        <f>IF(ISERROR(VLOOKUP($U$380,'TAR FIN'!$A$1:$O$95,15,0)),0,VLOOKUP($U$380,'TAR FIN'!$A$1:$O$95,15,0))*(1-0.06)</f>
        <v>365.92319999999995</v>
      </c>
      <c r="Y380" s="77"/>
      <c r="Z380" s="77">
        <f ca="1">('TUSD BE'!$AM$16+'TUSD BF'!$AM$16+'TUSD CVA'!$AM$16)*1*(1-0.04)</f>
        <v>1541.7519661664016</v>
      </c>
      <c r="AA380" s="77">
        <f>('TE BE'!$AA$7+'TE BF'!$AA$7+'TE CVA'!$AA$7)*1*(1-0.04)</f>
        <v>436.15542521126838</v>
      </c>
      <c r="AB380" s="77">
        <f>(SUBSIDIO!$J$380*SUBSIDIO!$V$380)*(0.06)/(1-0.06)</f>
        <v>0</v>
      </c>
      <c r="AC380" s="77">
        <f>((SUBSIDIO!$L$380*SUBSIDIO!$W$380)+(SUBSIDIO!$N$380*SUBSIDIO!$X$380))*(0.06)/(1-0.06)</f>
        <v>5338.0314107999993</v>
      </c>
      <c r="AD380" s="77">
        <f>(SUBSIDIO!$J$380*SUBSIDIO!$Y$380)*(0.04)/(1-0.04)</f>
        <v>0</v>
      </c>
      <c r="AE380" s="77">
        <f ca="1">((SUBSIDIO!$L$380*SUBSIDIO!$Z$380)+(SUBSIDIO!$N$380*SUBSIDIO!$AA$380))*(0.04)/(1-0.04)</f>
        <v>4019.6022961272706</v>
      </c>
      <c r="AF380" s="4" t="s">
        <v>844</v>
      </c>
    </row>
    <row r="381" spans="1:32" ht="11.25" customHeight="1" x14ac:dyDescent="0.25">
      <c r="A381" s="4" t="s">
        <v>28</v>
      </c>
      <c r="B381" s="4" t="s">
        <v>35</v>
      </c>
      <c r="C381" s="4" t="s">
        <v>36</v>
      </c>
      <c r="D381" s="4" t="s">
        <v>47</v>
      </c>
      <c r="E381" s="4" t="s">
        <v>25</v>
      </c>
      <c r="F381" s="4" t="s">
        <v>25</v>
      </c>
      <c r="G381" s="4" t="s">
        <v>25</v>
      </c>
      <c r="H381" s="4" t="s">
        <v>37</v>
      </c>
      <c r="I381" s="5">
        <v>44166</v>
      </c>
      <c r="J381" s="6">
        <v>0</v>
      </c>
      <c r="K381" s="77">
        <v>0</v>
      </c>
      <c r="L381" s="6">
        <v>8.6110000000000007</v>
      </c>
      <c r="M381" s="77">
        <v>8.6110000000000007</v>
      </c>
      <c r="N381" s="6">
        <v>8.6110000000000007</v>
      </c>
      <c r="O381" s="77">
        <v>8.6110000000000007</v>
      </c>
      <c r="P381" s="6">
        <v>0</v>
      </c>
      <c r="Q381" s="4" t="s">
        <v>26</v>
      </c>
      <c r="R381" s="4">
        <v>0</v>
      </c>
      <c r="S381" s="4">
        <v>0</v>
      </c>
      <c r="T381" s="4">
        <v>24</v>
      </c>
      <c r="U381" s="4">
        <v>66</v>
      </c>
      <c r="V381" s="77">
        <f>IF(ISERROR(VLOOKUP($S$381,'TAR FIN'!$A$1:$O$95,15,0)),0,VLOOKUP($S$381,'TAR FIN'!$A$1:$O$95,15,0))</f>
        <v>0</v>
      </c>
      <c r="W381" s="77">
        <f>IF(ISERROR(VLOOKUP($T$381,'TAR FIN'!$A$1:$O$95,15,0)),0,VLOOKUP($T$381,'TAR FIN'!$A$1:$O$95,15,0))*(1-0.06)</f>
        <v>1348.7025999999998</v>
      </c>
      <c r="X381" s="77">
        <f>IF(ISERROR(VLOOKUP($U$381,'TAR FIN'!$A$1:$O$95,15,0)),0,VLOOKUP($U$381,'TAR FIN'!$A$1:$O$95,15,0))*(1-0.06)</f>
        <v>365.92319999999995</v>
      </c>
      <c r="Y381" s="77"/>
      <c r="Z381" s="77">
        <f ca="1">('TUSD BE'!$AM$16+'TUSD BF'!$AM$16+'TUSD CVA'!$AM$16)*1*(1-0.04)</f>
        <v>1541.7519661664016</v>
      </c>
      <c r="AA381" s="77">
        <f>('TE BE'!$AA$7+'TE BF'!$AA$7+'TE CVA'!$AA$7)*1*(1-0.04)</f>
        <v>436.15542521126838</v>
      </c>
      <c r="AB381" s="77">
        <f>(SUBSIDIO!$J$381*SUBSIDIO!$V$381)*(0.06)/(1-0.06)</f>
        <v>0</v>
      </c>
      <c r="AC381" s="77">
        <f>((SUBSIDIO!$L$381*SUBSIDIO!$W$381)+(SUBSIDIO!$N$381*SUBSIDIO!$X$381))*(0.06)/(1-0.06)</f>
        <v>942.42400619999989</v>
      </c>
      <c r="AD381" s="77">
        <f>(SUBSIDIO!$J$381*SUBSIDIO!$Y$381)*(0.04)/(1-0.04)</f>
        <v>0</v>
      </c>
      <c r="AE381" s="77">
        <f ca="1">((SUBSIDIO!$L$381*SUBSIDIO!$Z$381)+(SUBSIDIO!$N$381*SUBSIDIO!$AA$381))*(0.04)/(1-0.04)</f>
        <v>709.65668946471328</v>
      </c>
      <c r="AF381" s="4" t="s">
        <v>844</v>
      </c>
    </row>
    <row r="382" spans="1:32" ht="11.25" customHeight="1" x14ac:dyDescent="0.25">
      <c r="A382" s="4" t="s">
        <v>21</v>
      </c>
      <c r="B382" s="4" t="s">
        <v>35</v>
      </c>
      <c r="C382" s="4" t="s">
        <v>36</v>
      </c>
      <c r="D382" s="4" t="s">
        <v>47</v>
      </c>
      <c r="E382" s="4" t="s">
        <v>25</v>
      </c>
      <c r="F382" s="4" t="s">
        <v>25</v>
      </c>
      <c r="G382" s="4" t="s">
        <v>25</v>
      </c>
      <c r="H382" s="4" t="s">
        <v>37</v>
      </c>
      <c r="I382" s="5">
        <v>44197</v>
      </c>
      <c r="J382" s="6">
        <v>0</v>
      </c>
      <c r="K382" s="77">
        <v>0</v>
      </c>
      <c r="L382" s="6">
        <v>45.341000000000001</v>
      </c>
      <c r="M382" s="77">
        <v>45.341000000000001</v>
      </c>
      <c r="N382" s="6">
        <v>45.341000000000001</v>
      </c>
      <c r="O382" s="77">
        <v>45.341000000000001</v>
      </c>
      <c r="P382" s="6">
        <v>0</v>
      </c>
      <c r="Q382" s="4" t="s">
        <v>26</v>
      </c>
      <c r="R382" s="4">
        <v>0</v>
      </c>
      <c r="S382" s="4">
        <v>0</v>
      </c>
      <c r="T382" s="4">
        <v>24</v>
      </c>
      <c r="U382" s="4">
        <v>66</v>
      </c>
      <c r="V382" s="77">
        <f>IF(ISERROR(VLOOKUP($S$382,'TAR FIN'!$A$1:$O$95,15,0)),0,VLOOKUP($S$382,'TAR FIN'!$A$1:$O$95,15,0))</f>
        <v>0</v>
      </c>
      <c r="W382" s="77">
        <f>IF(ISERROR(VLOOKUP($T$382,'TAR FIN'!$A$1:$O$95,15,0)),0,VLOOKUP($T$382,'TAR FIN'!$A$1:$O$95,15,0))*(1-0.06)</f>
        <v>1348.7025999999998</v>
      </c>
      <c r="X382" s="77">
        <f>IF(ISERROR(VLOOKUP($U$382,'TAR FIN'!$A$1:$O$95,15,0)),0,VLOOKUP($U$382,'TAR FIN'!$A$1:$O$95,15,0))*(1-0.06)</f>
        <v>365.92319999999995</v>
      </c>
      <c r="Y382" s="77"/>
      <c r="Z382" s="77">
        <f ca="1">('TUSD BE'!$AM$16+'TUSD BF'!$AM$16+'TUSD CVA'!$AM$16)*1*(1-0.04)</f>
        <v>1541.7519661664016</v>
      </c>
      <c r="AA382" s="77">
        <f>('TE BE'!$AA$7+'TE BF'!$AA$7+'TE CVA'!$AA$7)*1*(1-0.04)</f>
        <v>436.15542521126838</v>
      </c>
      <c r="AB382" s="77">
        <f>(SUBSIDIO!$J$382*SUBSIDIO!$V$382)*(0.06)/(1-0.06)</f>
        <v>0</v>
      </c>
      <c r="AC382" s="77">
        <f>((SUBSIDIO!$L$382*SUBSIDIO!$W$382)+(SUBSIDIO!$N$382*SUBSIDIO!$X$382))*(0.06)/(1-0.06)</f>
        <v>4962.3094721999996</v>
      </c>
      <c r="AD382" s="77">
        <f>(SUBSIDIO!$J$382*SUBSIDIO!$Y$382)*(0.04)/(1-0.04)</f>
        <v>0</v>
      </c>
      <c r="AE382" s="77">
        <f ca="1">((SUBSIDIO!$L$382*SUBSIDIO!$Z$382)+(SUBSIDIO!$N$382*SUBSIDIO!$AA$382))*(0.04)/(1-0.04)</f>
        <v>3736.6791263522896</v>
      </c>
      <c r="AF382" s="4" t="s">
        <v>844</v>
      </c>
    </row>
    <row r="383" spans="1:32" ht="11.25" customHeight="1" x14ac:dyDescent="0.25">
      <c r="A383" s="4" t="s">
        <v>28</v>
      </c>
      <c r="B383" s="4" t="s">
        <v>35</v>
      </c>
      <c r="C383" s="4" t="s">
        <v>36</v>
      </c>
      <c r="D383" s="4" t="s">
        <v>47</v>
      </c>
      <c r="E383" s="4" t="s">
        <v>25</v>
      </c>
      <c r="F383" s="4" t="s">
        <v>25</v>
      </c>
      <c r="G383" s="4" t="s">
        <v>25</v>
      </c>
      <c r="H383" s="4" t="s">
        <v>37</v>
      </c>
      <c r="I383" s="5">
        <v>44197</v>
      </c>
      <c r="J383" s="6">
        <v>0</v>
      </c>
      <c r="K383" s="77">
        <v>0</v>
      </c>
      <c r="L383" s="6">
        <v>9.6530000000000005</v>
      </c>
      <c r="M383" s="77">
        <v>9.6530000000000005</v>
      </c>
      <c r="N383" s="6">
        <v>9.6530000000000005</v>
      </c>
      <c r="O383" s="77">
        <v>9.6530000000000005</v>
      </c>
      <c r="P383" s="6">
        <v>0</v>
      </c>
      <c r="Q383" s="4" t="s">
        <v>26</v>
      </c>
      <c r="R383" s="4">
        <v>0</v>
      </c>
      <c r="S383" s="4">
        <v>0</v>
      </c>
      <c r="T383" s="4">
        <v>24</v>
      </c>
      <c r="U383" s="4">
        <v>66</v>
      </c>
      <c r="V383" s="77">
        <f>IF(ISERROR(VLOOKUP($S$383,'TAR FIN'!$A$1:$O$95,15,0)),0,VLOOKUP($S$383,'TAR FIN'!$A$1:$O$95,15,0))</f>
        <v>0</v>
      </c>
      <c r="W383" s="77">
        <f>IF(ISERROR(VLOOKUP($T$383,'TAR FIN'!$A$1:$O$95,15,0)),0,VLOOKUP($T$383,'TAR FIN'!$A$1:$O$95,15,0))*(1-0.06)</f>
        <v>1348.7025999999998</v>
      </c>
      <c r="X383" s="77">
        <f>IF(ISERROR(VLOOKUP($U$383,'TAR FIN'!$A$1:$O$95,15,0)),0,VLOOKUP($U$383,'TAR FIN'!$A$1:$O$95,15,0))*(1-0.06)</f>
        <v>365.92319999999995</v>
      </c>
      <c r="Y383" s="77"/>
      <c r="Z383" s="77">
        <f ca="1">('TUSD BE'!$AM$16+'TUSD BF'!$AM$16+'TUSD CVA'!$AM$16)*1*(1-0.04)</f>
        <v>1541.7519661664016</v>
      </c>
      <c r="AA383" s="77">
        <f>('TE BE'!$AA$7+'TE BF'!$AA$7+'TE CVA'!$AA$7)*1*(1-0.04)</f>
        <v>436.15542521126838</v>
      </c>
      <c r="AB383" s="77">
        <f>(SUBSIDIO!$J$383*SUBSIDIO!$V$383)*(0.06)/(1-0.06)</f>
        <v>0</v>
      </c>
      <c r="AC383" s="77">
        <f>((SUBSIDIO!$L$383*SUBSIDIO!$W$383)+(SUBSIDIO!$N$383*SUBSIDIO!$X$383))*(0.06)/(1-0.06)</f>
        <v>1056.4648625999998</v>
      </c>
      <c r="AD383" s="77">
        <f>(SUBSIDIO!$J$383*SUBSIDIO!$Y$383)*(0.04)/(1-0.04)</f>
        <v>0</v>
      </c>
      <c r="AE383" s="77">
        <f ca="1">((SUBSIDIO!$L$383*SUBSIDIO!$Z$383)+(SUBSIDIO!$N$383*SUBSIDIO!$AA$383))*(0.04)/(1-0.04)</f>
        <v>795.53083537369366</v>
      </c>
      <c r="AF383" s="4" t="s">
        <v>844</v>
      </c>
    </row>
    <row r="384" spans="1:32" ht="11.25" customHeight="1" x14ac:dyDescent="0.25">
      <c r="A384" s="4" t="s">
        <v>21</v>
      </c>
      <c r="B384" s="4" t="s">
        <v>35</v>
      </c>
      <c r="C384" s="4" t="s">
        <v>36</v>
      </c>
      <c r="D384" s="4" t="s">
        <v>47</v>
      </c>
      <c r="E384" s="4" t="s">
        <v>25</v>
      </c>
      <c r="F384" s="4" t="s">
        <v>25</v>
      </c>
      <c r="G384" s="4" t="s">
        <v>25</v>
      </c>
      <c r="H384" s="4" t="s">
        <v>37</v>
      </c>
      <c r="I384" s="5">
        <v>44228</v>
      </c>
      <c r="J384" s="6">
        <v>0</v>
      </c>
      <c r="K384" s="77">
        <v>0</v>
      </c>
      <c r="L384" s="6">
        <v>40.584000000000003</v>
      </c>
      <c r="M384" s="77">
        <v>40.584000000000003</v>
      </c>
      <c r="N384" s="6">
        <v>40.584000000000003</v>
      </c>
      <c r="O384" s="77">
        <v>40.584000000000003</v>
      </c>
      <c r="P384" s="6">
        <v>0</v>
      </c>
      <c r="Q384" s="4" t="s">
        <v>26</v>
      </c>
      <c r="R384" s="4">
        <v>0</v>
      </c>
      <c r="S384" s="4">
        <v>0</v>
      </c>
      <c r="T384" s="4">
        <v>24</v>
      </c>
      <c r="U384" s="4">
        <v>66</v>
      </c>
      <c r="V384" s="77">
        <f>IF(ISERROR(VLOOKUP($S$384,'TAR FIN'!$A$1:$O$95,15,0)),0,VLOOKUP($S$384,'TAR FIN'!$A$1:$O$95,15,0))</f>
        <v>0</v>
      </c>
      <c r="W384" s="77">
        <f>IF(ISERROR(VLOOKUP($T$384,'TAR FIN'!$A$1:$O$95,15,0)),0,VLOOKUP($T$384,'TAR FIN'!$A$1:$O$95,15,0))*(1-0.06)</f>
        <v>1348.7025999999998</v>
      </c>
      <c r="X384" s="77">
        <f>IF(ISERROR(VLOOKUP($U$384,'TAR FIN'!$A$1:$O$95,15,0)),0,VLOOKUP($U$384,'TAR FIN'!$A$1:$O$95,15,0))*(1-0.06)</f>
        <v>365.92319999999995</v>
      </c>
      <c r="Y384" s="77"/>
      <c r="Z384" s="77">
        <f ca="1">('TUSD BE'!$AM$16+'TUSD BF'!$AM$16+'TUSD CVA'!$AM$16)*1*(1-0.04)</f>
        <v>1541.7519661664016</v>
      </c>
      <c r="AA384" s="77">
        <f>('TE BE'!$AA$7+'TE BF'!$AA$7+'TE CVA'!$AA$7)*1*(1-0.04)</f>
        <v>436.15542521126838</v>
      </c>
      <c r="AB384" s="77">
        <f>(SUBSIDIO!$J$384*SUBSIDIO!$V$384)*(0.06)/(1-0.06)</f>
        <v>0</v>
      </c>
      <c r="AC384" s="77">
        <f>((SUBSIDIO!$L$384*SUBSIDIO!$W$384)+(SUBSIDIO!$N$384*SUBSIDIO!$X$384))*(0.06)/(1-0.06)</f>
        <v>4441.683412800001</v>
      </c>
      <c r="AD384" s="77">
        <f>(SUBSIDIO!$J$384*SUBSIDIO!$Y$384)*(0.04)/(1-0.04)</f>
        <v>0</v>
      </c>
      <c r="AE384" s="77">
        <f ca="1">((SUBSIDIO!$L$384*SUBSIDIO!$Z$384)+(SUBSIDIO!$N$384*SUBSIDIO!$AA$384))*(0.04)/(1-0.04)</f>
        <v>3344.6413988196405</v>
      </c>
      <c r="AF384" s="4" t="s">
        <v>844</v>
      </c>
    </row>
    <row r="385" spans="1:32" ht="11.25" customHeight="1" x14ac:dyDescent="0.25">
      <c r="A385" s="4" t="s">
        <v>28</v>
      </c>
      <c r="B385" s="4" t="s">
        <v>35</v>
      </c>
      <c r="C385" s="4" t="s">
        <v>36</v>
      </c>
      <c r="D385" s="4" t="s">
        <v>47</v>
      </c>
      <c r="E385" s="4" t="s">
        <v>25</v>
      </c>
      <c r="F385" s="4" t="s">
        <v>25</v>
      </c>
      <c r="G385" s="4" t="s">
        <v>25</v>
      </c>
      <c r="H385" s="4" t="s">
        <v>37</v>
      </c>
      <c r="I385" s="5">
        <v>44228</v>
      </c>
      <c r="J385" s="6">
        <v>0</v>
      </c>
      <c r="K385" s="77">
        <v>0</v>
      </c>
      <c r="L385" s="6">
        <v>9.6539999999999999</v>
      </c>
      <c r="M385" s="77">
        <v>9.6539999999999999</v>
      </c>
      <c r="N385" s="6">
        <v>9.6539999999999999</v>
      </c>
      <c r="O385" s="77">
        <v>9.6539999999999999</v>
      </c>
      <c r="P385" s="6">
        <v>0</v>
      </c>
      <c r="Q385" s="4" t="s">
        <v>26</v>
      </c>
      <c r="R385" s="4">
        <v>0</v>
      </c>
      <c r="S385" s="4">
        <v>0</v>
      </c>
      <c r="T385" s="4">
        <v>24</v>
      </c>
      <c r="U385" s="4">
        <v>66</v>
      </c>
      <c r="V385" s="77">
        <f>IF(ISERROR(VLOOKUP($S$385,'TAR FIN'!$A$1:$O$95,15,0)),0,VLOOKUP($S$385,'TAR FIN'!$A$1:$O$95,15,0))</f>
        <v>0</v>
      </c>
      <c r="W385" s="77">
        <f>IF(ISERROR(VLOOKUP($T$385,'TAR FIN'!$A$1:$O$95,15,0)),0,VLOOKUP($T$385,'TAR FIN'!$A$1:$O$95,15,0))*(1-0.06)</f>
        <v>1348.7025999999998</v>
      </c>
      <c r="X385" s="77">
        <f>IF(ISERROR(VLOOKUP($U$385,'TAR FIN'!$A$1:$O$95,15,0)),0,VLOOKUP($U$385,'TAR FIN'!$A$1:$O$95,15,0))*(1-0.06)</f>
        <v>365.92319999999995</v>
      </c>
      <c r="Y385" s="77"/>
      <c r="Z385" s="77">
        <f ca="1">('TUSD BE'!$AM$16+'TUSD BF'!$AM$16+'TUSD CVA'!$AM$16)*1*(1-0.04)</f>
        <v>1541.7519661664016</v>
      </c>
      <c r="AA385" s="77">
        <f>('TE BE'!$AA$7+'TE BF'!$AA$7+'TE CVA'!$AA$7)*1*(1-0.04)</f>
        <v>436.15542521126838</v>
      </c>
      <c r="AB385" s="77">
        <f>(SUBSIDIO!$J$385*SUBSIDIO!$V$385)*(0.06)/(1-0.06)</f>
        <v>0</v>
      </c>
      <c r="AC385" s="77">
        <f>((SUBSIDIO!$L$385*SUBSIDIO!$W$385)+(SUBSIDIO!$N$385*SUBSIDIO!$X$385))*(0.06)/(1-0.06)</f>
        <v>1056.5743067999999</v>
      </c>
      <c r="AD385" s="77">
        <f>(SUBSIDIO!$J$385*SUBSIDIO!$Y$385)*(0.04)/(1-0.04)</f>
        <v>0</v>
      </c>
      <c r="AE385" s="77">
        <f ca="1">((SUBSIDIO!$L$385*SUBSIDIO!$Z$385)+(SUBSIDIO!$N$385*SUBSIDIO!$AA$385))*(0.04)/(1-0.04)</f>
        <v>795.61324818166781</v>
      </c>
      <c r="AF385" s="4" t="s">
        <v>844</v>
      </c>
    </row>
    <row r="386" spans="1:32" ht="11.25" customHeight="1" x14ac:dyDescent="0.25">
      <c r="A386" s="4" t="s">
        <v>21</v>
      </c>
      <c r="B386" s="4" t="s">
        <v>35</v>
      </c>
      <c r="C386" s="4" t="s">
        <v>36</v>
      </c>
      <c r="D386" s="4" t="s">
        <v>47</v>
      </c>
      <c r="E386" s="4" t="s">
        <v>25</v>
      </c>
      <c r="F386" s="4" t="s">
        <v>25</v>
      </c>
      <c r="G386" s="4" t="s">
        <v>25</v>
      </c>
      <c r="H386" s="4" t="s">
        <v>37</v>
      </c>
      <c r="I386" s="5">
        <v>44256</v>
      </c>
      <c r="J386" s="6">
        <v>0</v>
      </c>
      <c r="K386" s="77">
        <v>0</v>
      </c>
      <c r="L386" s="6">
        <v>58.384</v>
      </c>
      <c r="M386" s="77">
        <v>58.384</v>
      </c>
      <c r="N386" s="6">
        <v>58.384</v>
      </c>
      <c r="O386" s="77">
        <v>58.384</v>
      </c>
      <c r="P386" s="6">
        <v>0</v>
      </c>
      <c r="Q386" s="4" t="s">
        <v>26</v>
      </c>
      <c r="R386" s="4">
        <v>0</v>
      </c>
      <c r="S386" s="4">
        <v>0</v>
      </c>
      <c r="T386" s="4">
        <v>24</v>
      </c>
      <c r="U386" s="4">
        <v>66</v>
      </c>
      <c r="V386" s="77">
        <f>IF(ISERROR(VLOOKUP($S$386,'TAR FIN'!$A$1:$O$95,15,0)),0,VLOOKUP($S$386,'TAR FIN'!$A$1:$O$95,15,0))</f>
        <v>0</v>
      </c>
      <c r="W386" s="77">
        <f>IF(ISERROR(VLOOKUP($T$386,'TAR FIN'!$A$1:$O$95,15,0)),0,VLOOKUP($T$386,'TAR FIN'!$A$1:$O$95,15,0))*(1-0.06)</f>
        <v>1348.7025999999998</v>
      </c>
      <c r="X386" s="77">
        <f>IF(ISERROR(VLOOKUP($U$386,'TAR FIN'!$A$1:$O$95,15,0)),0,VLOOKUP($U$386,'TAR FIN'!$A$1:$O$95,15,0))*(1-0.06)</f>
        <v>365.92319999999995</v>
      </c>
      <c r="Y386" s="77"/>
      <c r="Z386" s="77">
        <f ca="1">('TUSD BE'!$AM$16+'TUSD BF'!$AM$16+'TUSD CVA'!$AM$16)*1*(1-0.04)</f>
        <v>1541.7519661664016</v>
      </c>
      <c r="AA386" s="77">
        <f>('TE BE'!$AA$7+'TE BF'!$AA$7+'TE CVA'!$AA$7)*1*(1-0.04)</f>
        <v>436.15542521126838</v>
      </c>
      <c r="AB386" s="77">
        <f>(SUBSIDIO!$J$386*SUBSIDIO!$V$386)*(0.06)/(1-0.06)</f>
        <v>0</v>
      </c>
      <c r="AC386" s="77">
        <f>((SUBSIDIO!$L$386*SUBSIDIO!$W$386)+(SUBSIDIO!$N$386*SUBSIDIO!$X$386))*(0.06)/(1-0.06)</f>
        <v>6389.7901727999988</v>
      </c>
      <c r="AD386" s="77">
        <f>(SUBSIDIO!$J$386*SUBSIDIO!$Y$386)*(0.04)/(1-0.04)</f>
        <v>0</v>
      </c>
      <c r="AE386" s="77">
        <f ca="1">((SUBSIDIO!$L$386*SUBSIDIO!$Z$386)+(SUBSIDIO!$N$386*SUBSIDIO!$AA$386))*(0.04)/(1-0.04)</f>
        <v>4811.5893807580787</v>
      </c>
      <c r="AF386" s="4" t="s">
        <v>844</v>
      </c>
    </row>
    <row r="387" spans="1:32" ht="11.25" customHeight="1" x14ac:dyDescent="0.25">
      <c r="A387" s="4" t="s">
        <v>28</v>
      </c>
      <c r="B387" s="4" t="s">
        <v>35</v>
      </c>
      <c r="C387" s="4" t="s">
        <v>36</v>
      </c>
      <c r="D387" s="4" t="s">
        <v>47</v>
      </c>
      <c r="E387" s="4" t="s">
        <v>25</v>
      </c>
      <c r="F387" s="4" t="s">
        <v>25</v>
      </c>
      <c r="G387" s="4" t="s">
        <v>25</v>
      </c>
      <c r="H387" s="4" t="s">
        <v>37</v>
      </c>
      <c r="I387" s="5">
        <v>44256</v>
      </c>
      <c r="J387" s="6">
        <v>0</v>
      </c>
      <c r="K387" s="77">
        <v>0</v>
      </c>
      <c r="L387" s="6">
        <v>9.3800000000000008</v>
      </c>
      <c r="M387" s="77">
        <v>9.3800000000000008</v>
      </c>
      <c r="N387" s="6">
        <v>9.3800000000000008</v>
      </c>
      <c r="O387" s="77">
        <v>9.3800000000000008</v>
      </c>
      <c r="P387" s="6">
        <v>0</v>
      </c>
      <c r="Q387" s="4" t="s">
        <v>26</v>
      </c>
      <c r="R387" s="4">
        <v>0</v>
      </c>
      <c r="S387" s="4">
        <v>0</v>
      </c>
      <c r="T387" s="4">
        <v>24</v>
      </c>
      <c r="U387" s="4">
        <v>66</v>
      </c>
      <c r="V387" s="77">
        <f>IF(ISERROR(VLOOKUP($S$387,'TAR FIN'!$A$1:$O$95,15,0)),0,VLOOKUP($S$387,'TAR FIN'!$A$1:$O$95,15,0))</f>
        <v>0</v>
      </c>
      <c r="W387" s="77">
        <f>IF(ISERROR(VLOOKUP($T$387,'TAR FIN'!$A$1:$O$95,15,0)),0,VLOOKUP($T$387,'TAR FIN'!$A$1:$O$95,15,0))*(1-0.06)</f>
        <v>1348.7025999999998</v>
      </c>
      <c r="X387" s="77">
        <f>IF(ISERROR(VLOOKUP($U$387,'TAR FIN'!$A$1:$O$95,15,0)),0,VLOOKUP($U$387,'TAR FIN'!$A$1:$O$95,15,0))*(1-0.06)</f>
        <v>365.92319999999995</v>
      </c>
      <c r="Y387" s="77"/>
      <c r="Z387" s="77">
        <f ca="1">('TUSD BE'!$AM$16+'TUSD BF'!$AM$16+'TUSD CVA'!$AM$16)*1*(1-0.04)</f>
        <v>1541.7519661664016</v>
      </c>
      <c r="AA387" s="77">
        <f>('TE BE'!$AA$7+'TE BF'!$AA$7+'TE CVA'!$AA$7)*1*(1-0.04)</f>
        <v>436.15542521126838</v>
      </c>
      <c r="AB387" s="77">
        <f>(SUBSIDIO!$J$387*SUBSIDIO!$V$387)*(0.06)/(1-0.06)</f>
        <v>0</v>
      </c>
      <c r="AC387" s="77">
        <f>((SUBSIDIO!$L$387*SUBSIDIO!$W$387)+(SUBSIDIO!$N$387*SUBSIDIO!$X$387))*(0.06)/(1-0.06)</f>
        <v>1026.5865960000001</v>
      </c>
      <c r="AD387" s="77">
        <f>(SUBSIDIO!$J$387*SUBSIDIO!$Y$387)*(0.04)/(1-0.04)</f>
        <v>0</v>
      </c>
      <c r="AE387" s="77">
        <f ca="1">((SUBSIDIO!$L$387*SUBSIDIO!$Z$387)+(SUBSIDIO!$N$387*SUBSIDIO!$AA$387))*(0.04)/(1-0.04)</f>
        <v>773.03213879677276</v>
      </c>
      <c r="AF387" s="4" t="s">
        <v>844</v>
      </c>
    </row>
    <row r="388" spans="1:32" ht="11.25" customHeight="1" x14ac:dyDescent="0.25">
      <c r="A388" s="4" t="s">
        <v>21</v>
      </c>
      <c r="B388" s="4" t="s">
        <v>35</v>
      </c>
      <c r="C388" s="4" t="s">
        <v>36</v>
      </c>
      <c r="D388" s="4" t="s">
        <v>47</v>
      </c>
      <c r="E388" s="4" t="s">
        <v>25</v>
      </c>
      <c r="F388" s="4" t="s">
        <v>25</v>
      </c>
      <c r="G388" s="4" t="s">
        <v>25</v>
      </c>
      <c r="H388" s="4" t="s">
        <v>37</v>
      </c>
      <c r="I388" s="5">
        <v>44287</v>
      </c>
      <c r="J388" s="6">
        <v>0</v>
      </c>
      <c r="K388" s="77">
        <v>0</v>
      </c>
      <c r="L388" s="6">
        <v>47.512999999999998</v>
      </c>
      <c r="M388" s="77">
        <v>47.512999999999998</v>
      </c>
      <c r="N388" s="6">
        <v>47.512999999999998</v>
      </c>
      <c r="O388" s="77">
        <v>47.512999999999998</v>
      </c>
      <c r="P388" s="6">
        <v>0</v>
      </c>
      <c r="Q388" s="4" t="s">
        <v>26</v>
      </c>
      <c r="R388" s="4">
        <v>0</v>
      </c>
      <c r="S388" s="4">
        <v>0</v>
      </c>
      <c r="T388" s="4">
        <v>24</v>
      </c>
      <c r="U388" s="4">
        <v>66</v>
      </c>
      <c r="V388" s="77">
        <f>IF(ISERROR(VLOOKUP($S$388,'TAR FIN'!$A$1:$O$95,15,0)),0,VLOOKUP($S$388,'TAR FIN'!$A$1:$O$95,15,0))</f>
        <v>0</v>
      </c>
      <c r="W388" s="77">
        <f>IF(ISERROR(VLOOKUP($T$388,'TAR FIN'!$A$1:$O$95,15,0)),0,VLOOKUP($T$388,'TAR FIN'!$A$1:$O$95,15,0))*(1-0.06)</f>
        <v>1348.7025999999998</v>
      </c>
      <c r="X388" s="77">
        <f>IF(ISERROR(VLOOKUP($U$388,'TAR FIN'!$A$1:$O$95,15,0)),0,VLOOKUP($U$388,'TAR FIN'!$A$1:$O$95,15,0))*(1-0.06)</f>
        <v>365.92319999999995</v>
      </c>
      <c r="Y388" s="77"/>
      <c r="Z388" s="77">
        <f ca="1">('TUSD BE'!$AM$16+'TUSD BF'!$AM$16+'TUSD CVA'!$AM$16)*1*(1-0.04)</f>
        <v>1541.7519661664016</v>
      </c>
      <c r="AA388" s="77">
        <f>('TE BE'!$AA$7+'TE BF'!$AA$7+'TE CVA'!$AA$7)*1*(1-0.04)</f>
        <v>436.15542521126838</v>
      </c>
      <c r="AB388" s="77">
        <f>(SUBSIDIO!$J$388*SUBSIDIO!$V$388)*(0.06)/(1-0.06)</f>
        <v>0</v>
      </c>
      <c r="AC388" s="77">
        <f>((SUBSIDIO!$L$388*SUBSIDIO!$W$388)+(SUBSIDIO!$N$388*SUBSIDIO!$X$388))*(0.06)/(1-0.06)</f>
        <v>5200.0222745999999</v>
      </c>
      <c r="AD388" s="77">
        <f>(SUBSIDIO!$J$388*SUBSIDIO!$Y$388)*(0.04)/(1-0.04)</f>
        <v>0</v>
      </c>
      <c r="AE388" s="77">
        <f ca="1">((SUBSIDIO!$L$388*SUBSIDIO!$Z$388)+(SUBSIDIO!$N$388*SUBSIDIO!$AA$388))*(0.04)/(1-0.04)</f>
        <v>3915.6797452719684</v>
      </c>
      <c r="AF388" s="4" t="s">
        <v>844</v>
      </c>
    </row>
    <row r="389" spans="1:32" ht="11.25" customHeight="1" x14ac:dyDescent="0.25">
      <c r="A389" s="4" t="s">
        <v>28</v>
      </c>
      <c r="B389" s="4" t="s">
        <v>35</v>
      </c>
      <c r="C389" s="4" t="s">
        <v>36</v>
      </c>
      <c r="D389" s="4" t="s">
        <v>47</v>
      </c>
      <c r="E389" s="4" t="s">
        <v>25</v>
      </c>
      <c r="F389" s="4" t="s">
        <v>25</v>
      </c>
      <c r="G389" s="4" t="s">
        <v>25</v>
      </c>
      <c r="H389" s="4" t="s">
        <v>37</v>
      </c>
      <c r="I389" s="5">
        <v>44287</v>
      </c>
      <c r="J389" s="6">
        <v>0</v>
      </c>
      <c r="K389" s="77">
        <v>0</v>
      </c>
      <c r="L389" s="6">
        <v>9.5039999999999996</v>
      </c>
      <c r="M389" s="77">
        <v>9.5039999999999996</v>
      </c>
      <c r="N389" s="6">
        <v>9.5039999999999996</v>
      </c>
      <c r="O389" s="77">
        <v>9.5039999999999996</v>
      </c>
      <c r="P389" s="6">
        <v>0</v>
      </c>
      <c r="Q389" s="4" t="s">
        <v>26</v>
      </c>
      <c r="R389" s="4">
        <v>0</v>
      </c>
      <c r="S389" s="4">
        <v>0</v>
      </c>
      <c r="T389" s="4">
        <v>24</v>
      </c>
      <c r="U389" s="4">
        <v>66</v>
      </c>
      <c r="V389" s="77">
        <f>IF(ISERROR(VLOOKUP($S$389,'TAR FIN'!$A$1:$O$95,15,0)),0,VLOOKUP($S$389,'TAR FIN'!$A$1:$O$95,15,0))</f>
        <v>0</v>
      </c>
      <c r="W389" s="77">
        <f>IF(ISERROR(VLOOKUP($T$389,'TAR FIN'!$A$1:$O$95,15,0)),0,VLOOKUP($T$389,'TAR FIN'!$A$1:$O$95,15,0))*(1-0.06)</f>
        <v>1348.7025999999998</v>
      </c>
      <c r="X389" s="77">
        <f>IF(ISERROR(VLOOKUP($U$389,'TAR FIN'!$A$1:$O$95,15,0)),0,VLOOKUP($U$389,'TAR FIN'!$A$1:$O$95,15,0))*(1-0.06)</f>
        <v>365.92319999999995</v>
      </c>
      <c r="Y389" s="77"/>
      <c r="Z389" s="77">
        <f ca="1">('TUSD BE'!$AM$16+'TUSD BF'!$AM$16+'TUSD CVA'!$AM$16)*1*(1-0.04)</f>
        <v>1541.7519661664016</v>
      </c>
      <c r="AA389" s="77">
        <f>('TE BE'!$AA$7+'TE BF'!$AA$7+'TE CVA'!$AA$7)*1*(1-0.04)</f>
        <v>436.15542521126838</v>
      </c>
      <c r="AB389" s="77">
        <f>(SUBSIDIO!$J$389*SUBSIDIO!$V$389)*(0.06)/(1-0.06)</f>
        <v>0</v>
      </c>
      <c r="AC389" s="77">
        <f>((SUBSIDIO!$L$389*SUBSIDIO!$W$389)+(SUBSIDIO!$N$389*SUBSIDIO!$X$389))*(0.06)/(1-0.06)</f>
        <v>1040.1576768</v>
      </c>
      <c r="AD389" s="77">
        <f>(SUBSIDIO!$J$389*SUBSIDIO!$Y$389)*(0.04)/(1-0.04)</f>
        <v>0</v>
      </c>
      <c r="AE389" s="77">
        <f ca="1">((SUBSIDIO!$L$389*SUBSIDIO!$Z$389)+(SUBSIDIO!$N$389*SUBSIDIO!$AA$389))*(0.04)/(1-0.04)</f>
        <v>783.2513269855574</v>
      </c>
      <c r="AF389" s="4" t="s">
        <v>844</v>
      </c>
    </row>
    <row r="390" spans="1:32" ht="11.25" customHeight="1" x14ac:dyDescent="0.25">
      <c r="A390" s="4" t="s">
        <v>21</v>
      </c>
      <c r="B390" s="4" t="s">
        <v>35</v>
      </c>
      <c r="C390" s="4" t="s">
        <v>36</v>
      </c>
      <c r="D390" s="4" t="s">
        <v>47</v>
      </c>
      <c r="E390" s="4" t="s">
        <v>25</v>
      </c>
      <c r="F390" s="4" t="s">
        <v>25</v>
      </c>
      <c r="G390" s="4" t="s">
        <v>25</v>
      </c>
      <c r="H390" s="4" t="s">
        <v>37</v>
      </c>
      <c r="I390" s="5">
        <v>44317</v>
      </c>
      <c r="J390" s="6">
        <v>0</v>
      </c>
      <c r="K390" s="77">
        <v>0</v>
      </c>
      <c r="L390" s="6">
        <v>47.2</v>
      </c>
      <c r="M390" s="77">
        <v>47.2</v>
      </c>
      <c r="N390" s="6">
        <v>47.2</v>
      </c>
      <c r="O390" s="77">
        <v>47.2</v>
      </c>
      <c r="P390" s="6">
        <v>0</v>
      </c>
      <c r="Q390" s="4" t="s">
        <v>26</v>
      </c>
      <c r="R390" s="4">
        <v>0</v>
      </c>
      <c r="S390" s="4">
        <v>0</v>
      </c>
      <c r="T390" s="4">
        <v>24</v>
      </c>
      <c r="U390" s="4">
        <v>66</v>
      </c>
      <c r="V390" s="77">
        <f>IF(ISERROR(VLOOKUP($S$390,'TAR FIN'!$A$1:$O$95,15,0)),0,VLOOKUP($S$390,'TAR FIN'!$A$1:$O$95,15,0))</f>
        <v>0</v>
      </c>
      <c r="W390" s="77">
        <f>IF(ISERROR(VLOOKUP($T$390,'TAR FIN'!$A$1:$O$95,15,0)),0,VLOOKUP($T$390,'TAR FIN'!$A$1:$O$95,15,0))*(1-0.06)</f>
        <v>1348.7025999999998</v>
      </c>
      <c r="X390" s="77">
        <f>IF(ISERROR(VLOOKUP($U$390,'TAR FIN'!$A$1:$O$95,15,0)),0,VLOOKUP($U$390,'TAR FIN'!$A$1:$O$95,15,0))*(1-0.06)</f>
        <v>365.92319999999995</v>
      </c>
      <c r="Y390" s="77"/>
      <c r="Z390" s="77">
        <f ca="1">('TUSD BE'!$AM$16+'TUSD BF'!$AM$16+'TUSD CVA'!$AM$16)*1*(1-0.04)</f>
        <v>1541.7519661664016</v>
      </c>
      <c r="AA390" s="77">
        <f>('TE BE'!$AA$7+'TE BF'!$AA$7+'TE CVA'!$AA$7)*1*(1-0.04)</f>
        <v>436.15542521126838</v>
      </c>
      <c r="AB390" s="77">
        <f>(SUBSIDIO!$J$390*SUBSIDIO!$V$390)*(0.06)/(1-0.06)</f>
        <v>0</v>
      </c>
      <c r="AC390" s="77">
        <f>((SUBSIDIO!$L$390*SUBSIDIO!$W$390)+(SUBSIDIO!$N$390*SUBSIDIO!$X$390))*(0.06)/(1-0.06)</f>
        <v>5165.7662399999999</v>
      </c>
      <c r="AD390" s="77">
        <f>(SUBSIDIO!$J$390*SUBSIDIO!$Y$390)*(0.04)/(1-0.04)</f>
        <v>0</v>
      </c>
      <c r="AE390" s="77">
        <f ca="1">((SUBSIDIO!$L$390*SUBSIDIO!$Z$390)+(SUBSIDIO!$N$390*SUBSIDIO!$AA$390))*(0.04)/(1-0.04)</f>
        <v>3889.8845363760847</v>
      </c>
      <c r="AF390" s="4" t="s">
        <v>844</v>
      </c>
    </row>
    <row r="391" spans="1:32" ht="11.25" customHeight="1" x14ac:dyDescent="0.25">
      <c r="A391" s="4" t="s">
        <v>28</v>
      </c>
      <c r="B391" s="4" t="s">
        <v>35</v>
      </c>
      <c r="C391" s="4" t="s">
        <v>36</v>
      </c>
      <c r="D391" s="4" t="s">
        <v>47</v>
      </c>
      <c r="E391" s="4" t="s">
        <v>25</v>
      </c>
      <c r="F391" s="4" t="s">
        <v>25</v>
      </c>
      <c r="G391" s="4" t="s">
        <v>25</v>
      </c>
      <c r="H391" s="4" t="s">
        <v>37</v>
      </c>
      <c r="I391" s="5">
        <v>44317</v>
      </c>
      <c r="J391" s="6">
        <v>0</v>
      </c>
      <c r="K391" s="77">
        <v>0</v>
      </c>
      <c r="L391" s="6">
        <v>9.3490000000000002</v>
      </c>
      <c r="M391" s="77">
        <v>9.3490000000000002</v>
      </c>
      <c r="N391" s="6">
        <v>9.3490000000000002</v>
      </c>
      <c r="O391" s="77">
        <v>9.3490000000000002</v>
      </c>
      <c r="P391" s="6">
        <v>0</v>
      </c>
      <c r="Q391" s="4" t="s">
        <v>26</v>
      </c>
      <c r="R391" s="4">
        <v>0</v>
      </c>
      <c r="S391" s="4">
        <v>0</v>
      </c>
      <c r="T391" s="4">
        <v>24</v>
      </c>
      <c r="U391" s="4">
        <v>66</v>
      </c>
      <c r="V391" s="77">
        <f>IF(ISERROR(VLOOKUP($S$391,'TAR FIN'!$A$1:$O$95,15,0)),0,VLOOKUP($S$391,'TAR FIN'!$A$1:$O$95,15,0))</f>
        <v>0</v>
      </c>
      <c r="W391" s="77">
        <f>IF(ISERROR(VLOOKUP($T$391,'TAR FIN'!$A$1:$O$95,15,0)),0,VLOOKUP($T$391,'TAR FIN'!$A$1:$O$95,15,0))*(1-0.06)</f>
        <v>1348.7025999999998</v>
      </c>
      <c r="X391" s="77">
        <f>IF(ISERROR(VLOOKUP($U$391,'TAR FIN'!$A$1:$O$95,15,0)),0,VLOOKUP($U$391,'TAR FIN'!$A$1:$O$95,15,0))*(1-0.06)</f>
        <v>365.92319999999995</v>
      </c>
      <c r="Y391" s="77"/>
      <c r="Z391" s="77">
        <f ca="1">('TUSD BE'!$AM$16+'TUSD BF'!$AM$16+'TUSD CVA'!$AM$16)*1*(1-0.04)</f>
        <v>1541.7519661664016</v>
      </c>
      <c r="AA391" s="77">
        <f>('TE BE'!$AA$7+'TE BF'!$AA$7+'TE CVA'!$AA$7)*1*(1-0.04)</f>
        <v>436.15542521126838</v>
      </c>
      <c r="AB391" s="77">
        <f>(SUBSIDIO!$J$391*SUBSIDIO!$V$391)*(0.06)/(1-0.06)</f>
        <v>0</v>
      </c>
      <c r="AC391" s="77">
        <f>((SUBSIDIO!$L$391*SUBSIDIO!$W$391)+(SUBSIDIO!$N$391*SUBSIDIO!$X$391))*(0.06)/(1-0.06)</f>
        <v>1023.1938258</v>
      </c>
      <c r="AD391" s="77">
        <f>(SUBSIDIO!$J$391*SUBSIDIO!$Y$391)*(0.04)/(1-0.04)</f>
        <v>0</v>
      </c>
      <c r="AE391" s="77">
        <f ca="1">((SUBSIDIO!$L$391*SUBSIDIO!$Z$391)+(SUBSIDIO!$N$391*SUBSIDIO!$AA$391))*(0.04)/(1-0.04)</f>
        <v>770.47734174957657</v>
      </c>
      <c r="AF391" s="4" t="s">
        <v>844</v>
      </c>
    </row>
    <row r="392" spans="1:32" ht="11.25" customHeight="1" x14ac:dyDescent="0.25">
      <c r="A392" s="4" t="s">
        <v>21</v>
      </c>
      <c r="B392" s="4" t="s">
        <v>35</v>
      </c>
      <c r="C392" s="4" t="s">
        <v>36</v>
      </c>
      <c r="D392" s="4" t="s">
        <v>47</v>
      </c>
      <c r="E392" s="4" t="s">
        <v>25</v>
      </c>
      <c r="F392" s="4" t="s">
        <v>25</v>
      </c>
      <c r="G392" s="4" t="s">
        <v>25</v>
      </c>
      <c r="H392" s="4" t="s">
        <v>37</v>
      </c>
      <c r="I392" s="5">
        <v>44348</v>
      </c>
      <c r="J392" s="6">
        <v>0</v>
      </c>
      <c r="K392" s="77">
        <v>0</v>
      </c>
      <c r="L392" s="6">
        <v>59.685000000000002</v>
      </c>
      <c r="M392" s="77">
        <v>59.685000000000002</v>
      </c>
      <c r="N392" s="6">
        <v>59.685000000000002</v>
      </c>
      <c r="O392" s="77">
        <v>59.685000000000002</v>
      </c>
      <c r="P392" s="6">
        <v>0</v>
      </c>
      <c r="Q392" s="4" t="s">
        <v>26</v>
      </c>
      <c r="R392" s="4">
        <v>0</v>
      </c>
      <c r="S392" s="4">
        <v>0</v>
      </c>
      <c r="T392" s="4">
        <v>24</v>
      </c>
      <c r="U392" s="4">
        <v>66</v>
      </c>
      <c r="V392" s="77">
        <f>IF(ISERROR(VLOOKUP($S$392,'TAR FIN'!$A$1:$O$95,15,0)),0,VLOOKUP($S$392,'TAR FIN'!$A$1:$O$95,15,0))</f>
        <v>0</v>
      </c>
      <c r="W392" s="77">
        <f>IF(ISERROR(VLOOKUP($T$392,'TAR FIN'!$A$1:$O$95,15,0)),0,VLOOKUP($T$392,'TAR FIN'!$A$1:$O$95,15,0))*(1-0.06)</f>
        <v>1348.7025999999998</v>
      </c>
      <c r="X392" s="77">
        <f>IF(ISERROR(VLOOKUP($U$392,'TAR FIN'!$A$1:$O$95,15,0)),0,VLOOKUP($U$392,'TAR FIN'!$A$1:$O$95,15,0))*(1-0.06)</f>
        <v>365.92319999999995</v>
      </c>
      <c r="Y392" s="77"/>
      <c r="Z392" s="77">
        <f ca="1">('TUSD BE'!$AM$16+'TUSD BF'!$AM$16+'TUSD CVA'!$AM$16)*1*(1-0.04)</f>
        <v>1541.7519661664016</v>
      </c>
      <c r="AA392" s="77">
        <f>('TE BE'!$AA$7+'TE BF'!$AA$7+'TE CVA'!$AA$7)*1*(1-0.04)</f>
        <v>436.15542521126838</v>
      </c>
      <c r="AB392" s="77">
        <f>(SUBSIDIO!$J$392*SUBSIDIO!$V$392)*(0.06)/(1-0.06)</f>
        <v>0</v>
      </c>
      <c r="AC392" s="77">
        <f>((SUBSIDIO!$L$392*SUBSIDIO!$W$392)+(SUBSIDIO!$N$392*SUBSIDIO!$X$392))*(0.06)/(1-0.06)</f>
        <v>6532.1770769999994</v>
      </c>
      <c r="AD392" s="77">
        <f>(SUBSIDIO!$J$392*SUBSIDIO!$Y$392)*(0.04)/(1-0.04)</f>
        <v>0</v>
      </c>
      <c r="AE392" s="77">
        <f ca="1">((SUBSIDIO!$L$392*SUBSIDIO!$Z$392)+(SUBSIDIO!$N$392*SUBSIDIO!$AA$392))*(0.04)/(1-0.04)</f>
        <v>4918.8084439323438</v>
      </c>
      <c r="AF392" s="4" t="s">
        <v>844</v>
      </c>
    </row>
    <row r="393" spans="1:32" ht="11.25" customHeight="1" x14ac:dyDescent="0.25">
      <c r="A393" s="4" t="s">
        <v>28</v>
      </c>
      <c r="B393" s="4" t="s">
        <v>35</v>
      </c>
      <c r="C393" s="4" t="s">
        <v>36</v>
      </c>
      <c r="D393" s="4" t="s">
        <v>47</v>
      </c>
      <c r="E393" s="4" t="s">
        <v>25</v>
      </c>
      <c r="F393" s="4" t="s">
        <v>25</v>
      </c>
      <c r="G393" s="4" t="s">
        <v>25</v>
      </c>
      <c r="H393" s="4" t="s">
        <v>37</v>
      </c>
      <c r="I393" s="5">
        <v>44348</v>
      </c>
      <c r="J393" s="6">
        <v>0</v>
      </c>
      <c r="K393" s="77">
        <v>0</v>
      </c>
      <c r="L393" s="6">
        <v>8.9809999999999999</v>
      </c>
      <c r="M393" s="77">
        <v>8.9809999999999999</v>
      </c>
      <c r="N393" s="6">
        <v>8.9809999999999999</v>
      </c>
      <c r="O393" s="77">
        <v>8.9809999999999999</v>
      </c>
      <c r="P393" s="6">
        <v>0</v>
      </c>
      <c r="Q393" s="4" t="s">
        <v>26</v>
      </c>
      <c r="R393" s="4">
        <v>0</v>
      </c>
      <c r="S393" s="4">
        <v>0</v>
      </c>
      <c r="T393" s="4">
        <v>24</v>
      </c>
      <c r="U393" s="4">
        <v>66</v>
      </c>
      <c r="V393" s="77">
        <f>IF(ISERROR(VLOOKUP($S$393,'TAR FIN'!$A$1:$O$95,15,0)),0,VLOOKUP($S$393,'TAR FIN'!$A$1:$O$95,15,0))</f>
        <v>0</v>
      </c>
      <c r="W393" s="77">
        <f>IF(ISERROR(VLOOKUP($T$393,'TAR FIN'!$A$1:$O$95,15,0)),0,VLOOKUP($T$393,'TAR FIN'!$A$1:$O$95,15,0))*(1-0.06)</f>
        <v>1348.7025999999998</v>
      </c>
      <c r="X393" s="77">
        <f>IF(ISERROR(VLOOKUP($U$393,'TAR FIN'!$A$1:$O$95,15,0)),0,VLOOKUP($U$393,'TAR FIN'!$A$1:$O$95,15,0))*(1-0.06)</f>
        <v>365.92319999999995</v>
      </c>
      <c r="Y393" s="77"/>
      <c r="Z393" s="77">
        <f ca="1">('TUSD BE'!$AM$16+'TUSD BF'!$AM$16+'TUSD CVA'!$AM$16)*1*(1-0.04)</f>
        <v>1541.7519661664016</v>
      </c>
      <c r="AA393" s="77">
        <f>('TE BE'!$AA$7+'TE BF'!$AA$7+'TE CVA'!$AA$7)*1*(1-0.04)</f>
        <v>436.15542521126838</v>
      </c>
      <c r="AB393" s="77">
        <f>(SUBSIDIO!$J$393*SUBSIDIO!$V$393)*(0.06)/(1-0.06)</f>
        <v>0</v>
      </c>
      <c r="AC393" s="77">
        <f>((SUBSIDIO!$L$393*SUBSIDIO!$W$393)+(SUBSIDIO!$N$393*SUBSIDIO!$X$393))*(0.06)/(1-0.06)</f>
        <v>982.91836019999982</v>
      </c>
      <c r="AD393" s="77">
        <f>(SUBSIDIO!$J$393*SUBSIDIO!$Y$393)*(0.04)/(1-0.04)</f>
        <v>0</v>
      </c>
      <c r="AE393" s="77">
        <f ca="1">((SUBSIDIO!$L$393*SUBSIDIO!$Z$393)+(SUBSIDIO!$N$393*SUBSIDIO!$AA$393))*(0.04)/(1-0.04)</f>
        <v>740.1494284151189</v>
      </c>
      <c r="AF393" s="4" t="s">
        <v>844</v>
      </c>
    </row>
    <row r="394" spans="1:32" ht="11.25" customHeight="1" x14ac:dyDescent="0.25">
      <c r="A394" s="4" t="s">
        <v>21</v>
      </c>
      <c r="B394" s="4" t="s">
        <v>35</v>
      </c>
      <c r="C394" s="4" t="s">
        <v>36</v>
      </c>
      <c r="D394" s="4" t="s">
        <v>47</v>
      </c>
      <c r="E394" s="4" t="s">
        <v>25</v>
      </c>
      <c r="F394" s="4" t="s">
        <v>25</v>
      </c>
      <c r="G394" s="4" t="s">
        <v>25</v>
      </c>
      <c r="H394" s="4" t="s">
        <v>37</v>
      </c>
      <c r="I394" s="5">
        <v>44378</v>
      </c>
      <c r="J394" s="6">
        <v>0</v>
      </c>
      <c r="K394" s="77">
        <v>0</v>
      </c>
      <c r="L394" s="6">
        <v>42.317</v>
      </c>
      <c r="M394" s="77">
        <v>42.317</v>
      </c>
      <c r="N394" s="6">
        <v>42.317</v>
      </c>
      <c r="O394" s="77">
        <v>42.317</v>
      </c>
      <c r="P394" s="6">
        <v>0</v>
      </c>
      <c r="Q394" s="4" t="s">
        <v>26</v>
      </c>
      <c r="R394" s="4">
        <v>0</v>
      </c>
      <c r="S394" s="4">
        <v>0</v>
      </c>
      <c r="T394" s="4">
        <v>24</v>
      </c>
      <c r="U394" s="4">
        <v>66</v>
      </c>
      <c r="V394" s="77">
        <f>IF(ISERROR(VLOOKUP($S$394,'TAR FIN'!$A$1:$O$95,15,0)),0,VLOOKUP($S$394,'TAR FIN'!$A$1:$O$95,15,0))</f>
        <v>0</v>
      </c>
      <c r="W394" s="77">
        <f>IF(ISERROR(VLOOKUP($T$394,'TAR FIN'!$A$1:$O$95,15,0)),0,VLOOKUP($T$394,'TAR FIN'!$A$1:$O$95,15,0))*(1-0.06)</f>
        <v>1348.7025999999998</v>
      </c>
      <c r="X394" s="77">
        <f>IF(ISERROR(VLOOKUP($U$394,'TAR FIN'!$A$1:$O$95,15,0)),0,VLOOKUP($U$394,'TAR FIN'!$A$1:$O$95,15,0))*(1-0.06)</f>
        <v>365.92319999999995</v>
      </c>
      <c r="Y394" s="77"/>
      <c r="Z394" s="77">
        <f ca="1">('TUSD BE'!$AM$16+'TUSD BF'!$AM$16+'TUSD CVA'!$AM$16)*1*(1-0.04)</f>
        <v>1541.7519661664016</v>
      </c>
      <c r="AA394" s="77">
        <f>('TE BE'!$AA$7+'TE BF'!$AA$7+'TE CVA'!$AA$7)*1*(1-0.04)</f>
        <v>436.15542521126838</v>
      </c>
      <c r="AB394" s="77">
        <f>(SUBSIDIO!$J$394*SUBSIDIO!$V$394)*(0.06)/(1-0.06)</f>
        <v>0</v>
      </c>
      <c r="AC394" s="77">
        <f>((SUBSIDIO!$L$394*SUBSIDIO!$W$394)+(SUBSIDIO!$N$394*SUBSIDIO!$X$394))*(0.06)/(1-0.06)</f>
        <v>4631.3502113999994</v>
      </c>
      <c r="AD394" s="77">
        <f>(SUBSIDIO!$J$394*SUBSIDIO!$Y$394)*(0.04)/(1-0.04)</f>
        <v>0</v>
      </c>
      <c r="AE394" s="77">
        <f ca="1">((SUBSIDIO!$L$394*SUBSIDIO!$Z$394)+(SUBSIDIO!$N$394*SUBSIDIO!$AA$394))*(0.04)/(1-0.04)</f>
        <v>3487.462795038703</v>
      </c>
      <c r="AF394" s="4" t="s">
        <v>844</v>
      </c>
    </row>
    <row r="395" spans="1:32" ht="11.25" customHeight="1" x14ac:dyDescent="0.25">
      <c r="A395" s="4" t="s">
        <v>28</v>
      </c>
      <c r="B395" s="4" t="s">
        <v>35</v>
      </c>
      <c r="C395" s="4" t="s">
        <v>36</v>
      </c>
      <c r="D395" s="4" t="s">
        <v>47</v>
      </c>
      <c r="E395" s="4" t="s">
        <v>25</v>
      </c>
      <c r="F395" s="4" t="s">
        <v>25</v>
      </c>
      <c r="G395" s="4" t="s">
        <v>25</v>
      </c>
      <c r="H395" s="4" t="s">
        <v>37</v>
      </c>
      <c r="I395" s="5">
        <v>44378</v>
      </c>
      <c r="J395" s="6">
        <v>0</v>
      </c>
      <c r="K395" s="77">
        <v>0</v>
      </c>
      <c r="L395" s="6">
        <v>7.0359999999999996</v>
      </c>
      <c r="M395" s="77">
        <v>7.0359999999999996</v>
      </c>
      <c r="N395" s="6">
        <v>7.0359999999999996</v>
      </c>
      <c r="O395" s="77">
        <v>7.0359999999999996</v>
      </c>
      <c r="P395" s="6">
        <v>0</v>
      </c>
      <c r="Q395" s="4" t="s">
        <v>26</v>
      </c>
      <c r="R395" s="4">
        <v>0</v>
      </c>
      <c r="S395" s="4">
        <v>0</v>
      </c>
      <c r="T395" s="4">
        <v>24</v>
      </c>
      <c r="U395" s="4">
        <v>66</v>
      </c>
      <c r="V395" s="77">
        <f>IF(ISERROR(VLOOKUP($S$395,'TAR FIN'!$A$1:$O$95,15,0)),0,VLOOKUP($S$395,'TAR FIN'!$A$1:$O$95,15,0))</f>
        <v>0</v>
      </c>
      <c r="W395" s="77">
        <f>IF(ISERROR(VLOOKUP($T$395,'TAR FIN'!$A$1:$O$95,15,0)),0,VLOOKUP($T$395,'TAR FIN'!$A$1:$O$95,15,0))*(1-0.06)</f>
        <v>1348.7025999999998</v>
      </c>
      <c r="X395" s="77">
        <f>IF(ISERROR(VLOOKUP($U$395,'TAR FIN'!$A$1:$O$95,15,0)),0,VLOOKUP($U$395,'TAR FIN'!$A$1:$O$95,15,0))*(1-0.06)</f>
        <v>365.92319999999995</v>
      </c>
      <c r="Y395" s="77"/>
      <c r="Z395" s="77">
        <f ca="1">('TUSD BE'!$AM$16+'TUSD BF'!$AM$16+'TUSD CVA'!$AM$16)*1*(1-0.04)</f>
        <v>1541.7519661664016</v>
      </c>
      <c r="AA395" s="77">
        <f>('TE BE'!$AA$7+'TE BF'!$AA$7+'TE CVA'!$AA$7)*1*(1-0.04)</f>
        <v>436.15542521126838</v>
      </c>
      <c r="AB395" s="77">
        <f>(SUBSIDIO!$J$395*SUBSIDIO!$V$395)*(0.06)/(1-0.06)</f>
        <v>0</v>
      </c>
      <c r="AC395" s="77">
        <f>((SUBSIDIO!$L$395*SUBSIDIO!$W$395)+(SUBSIDIO!$N$395*SUBSIDIO!$X$395))*(0.06)/(1-0.06)</f>
        <v>770.04939119999995</v>
      </c>
      <c r="AD395" s="77">
        <f>(SUBSIDIO!$J$395*SUBSIDIO!$Y$395)*(0.04)/(1-0.04)</f>
        <v>0</v>
      </c>
      <c r="AE395" s="77">
        <f ca="1">((SUBSIDIO!$L$395*SUBSIDIO!$Z$395)+(SUBSIDIO!$N$395*SUBSIDIO!$AA$395))*(0.04)/(1-0.04)</f>
        <v>579.85651690555358</v>
      </c>
      <c r="AF395" s="4" t="s">
        <v>844</v>
      </c>
    </row>
    <row r="396" spans="1:32" ht="11.25" customHeight="1" x14ac:dyDescent="0.25">
      <c r="A396" s="4" t="s">
        <v>30</v>
      </c>
      <c r="B396" s="4" t="s">
        <v>35</v>
      </c>
      <c r="C396" s="4" t="s">
        <v>36</v>
      </c>
      <c r="D396" s="4" t="s">
        <v>47</v>
      </c>
      <c r="E396" s="4" t="s">
        <v>25</v>
      </c>
      <c r="F396" s="4" t="s">
        <v>25</v>
      </c>
      <c r="G396" s="4" t="s">
        <v>25</v>
      </c>
      <c r="H396" s="4" t="s">
        <v>37</v>
      </c>
      <c r="I396" s="5">
        <v>44378</v>
      </c>
      <c r="J396" s="6">
        <v>0</v>
      </c>
      <c r="K396" s="77">
        <v>0</v>
      </c>
      <c r="L396" s="6">
        <v>1.9950000000000001</v>
      </c>
      <c r="M396" s="77">
        <v>1.9950000000000001</v>
      </c>
      <c r="N396" s="6">
        <v>1.9950000000000001</v>
      </c>
      <c r="O396" s="77">
        <v>1.9950000000000001</v>
      </c>
      <c r="P396" s="6">
        <v>0</v>
      </c>
      <c r="Q396" s="4" t="s">
        <v>26</v>
      </c>
      <c r="R396" s="4">
        <v>0</v>
      </c>
      <c r="S396" s="4">
        <v>0</v>
      </c>
      <c r="T396" s="4">
        <v>24</v>
      </c>
      <c r="U396" s="4">
        <v>66</v>
      </c>
      <c r="V396" s="77">
        <f>IF(ISERROR(VLOOKUP($S$396,'TAR FIN'!$A$1:$O$95,15,0)),0,VLOOKUP($S$396,'TAR FIN'!$A$1:$O$95,15,0))</f>
        <v>0</v>
      </c>
      <c r="W396" s="77">
        <f>IF(ISERROR(VLOOKUP($T$396,'TAR FIN'!$A$1:$O$95,15,0)),0,VLOOKUP($T$396,'TAR FIN'!$A$1:$O$95,15,0))*(1-0.06)</f>
        <v>1348.7025999999998</v>
      </c>
      <c r="X396" s="77">
        <f>IF(ISERROR(VLOOKUP($U$396,'TAR FIN'!$A$1:$O$95,15,0)),0,VLOOKUP($U$396,'TAR FIN'!$A$1:$O$95,15,0))*(1-0.06)</f>
        <v>365.92319999999995</v>
      </c>
      <c r="Y396" s="77"/>
      <c r="Z396" s="77">
        <f ca="1">('TUSD BE'!$AM$16+'TUSD BF'!$AM$16+'TUSD CVA'!$AM$16)*1*(1-0.04)</f>
        <v>1541.7519661664016</v>
      </c>
      <c r="AA396" s="77">
        <f>('TE BE'!$AA$7+'TE BF'!$AA$7+'TE CVA'!$AA$7)*1*(1-0.04)</f>
        <v>436.15542521126838</v>
      </c>
      <c r="AB396" s="77">
        <f>(SUBSIDIO!$J$396*SUBSIDIO!$V$396)*(0.06)/(1-0.06)</f>
        <v>0</v>
      </c>
      <c r="AC396" s="77">
        <f>((SUBSIDIO!$L$396*SUBSIDIO!$W$396)+(SUBSIDIO!$N$396*SUBSIDIO!$X$396))*(0.06)/(1-0.06)</f>
        <v>218.34117899999998</v>
      </c>
      <c r="AD396" s="77">
        <f>(SUBSIDIO!$J$396*SUBSIDIO!$Y$396)*(0.04)/(1-0.04)</f>
        <v>0</v>
      </c>
      <c r="AE396" s="77">
        <f ca="1">((SUBSIDIO!$L$396*SUBSIDIO!$Z$396)+(SUBSIDIO!$N$396*SUBSIDIO!$AA$396))*(0.04)/(1-0.04)</f>
        <v>164.41355190826883</v>
      </c>
      <c r="AF396" s="4" t="s">
        <v>844</v>
      </c>
    </row>
    <row r="397" spans="1:32" ht="11.25" customHeight="1" x14ac:dyDescent="0.25">
      <c r="A397" s="4" t="s">
        <v>21</v>
      </c>
      <c r="B397" s="4" t="s">
        <v>35</v>
      </c>
      <c r="C397" s="4" t="s">
        <v>36</v>
      </c>
      <c r="D397" s="4" t="s">
        <v>47</v>
      </c>
      <c r="E397" s="4" t="s">
        <v>25</v>
      </c>
      <c r="F397" s="4" t="s">
        <v>25</v>
      </c>
      <c r="G397" s="4" t="s">
        <v>25</v>
      </c>
      <c r="H397" s="4" t="s">
        <v>37</v>
      </c>
      <c r="I397" s="5">
        <v>44409</v>
      </c>
      <c r="J397" s="6">
        <v>0</v>
      </c>
      <c r="K397" s="77">
        <v>0</v>
      </c>
      <c r="L397" s="6">
        <v>45.572000000000003</v>
      </c>
      <c r="M397" s="77">
        <v>45.572000000000003</v>
      </c>
      <c r="N397" s="6">
        <v>45.572000000000003</v>
      </c>
      <c r="O397" s="77">
        <v>45.572000000000003</v>
      </c>
      <c r="P397" s="6">
        <v>0</v>
      </c>
      <c r="Q397" s="4" t="s">
        <v>26</v>
      </c>
      <c r="R397" s="4">
        <v>0</v>
      </c>
      <c r="S397" s="4">
        <v>0</v>
      </c>
      <c r="T397" s="4">
        <v>24</v>
      </c>
      <c r="U397" s="4">
        <v>66</v>
      </c>
      <c r="V397" s="77">
        <f>IF(ISERROR(VLOOKUP($S$397,'TAR FIN'!$A$1:$O$95,15,0)),0,VLOOKUP($S$397,'TAR FIN'!$A$1:$O$95,15,0))</f>
        <v>0</v>
      </c>
      <c r="W397" s="77">
        <f>IF(ISERROR(VLOOKUP($T$397,'TAR FIN'!$A$1:$O$95,15,0)),0,VLOOKUP($T$397,'TAR FIN'!$A$1:$O$95,15,0))*(1-0.06)</f>
        <v>1348.7025999999998</v>
      </c>
      <c r="X397" s="77">
        <f>IF(ISERROR(VLOOKUP($U$397,'TAR FIN'!$A$1:$O$95,15,0)),0,VLOOKUP($U$397,'TAR FIN'!$A$1:$O$95,15,0))*(1-0.06)</f>
        <v>365.92319999999995</v>
      </c>
      <c r="Y397" s="77"/>
      <c r="Z397" s="77">
        <f ca="1">('TUSD BE'!$AM$16+'TUSD BF'!$AM$16+'TUSD CVA'!$AM$16)*1*(1-0.04)</f>
        <v>1541.7519661664016</v>
      </c>
      <c r="AA397" s="77">
        <f>('TE BE'!$AA$7+'TE BF'!$AA$7+'TE CVA'!$AA$7)*1*(1-0.04)</f>
        <v>436.15542521126838</v>
      </c>
      <c r="AB397" s="77">
        <f>(SUBSIDIO!$J$397*SUBSIDIO!$V$397)*(0.06)/(1-0.06)</f>
        <v>0</v>
      </c>
      <c r="AC397" s="77">
        <f>((SUBSIDIO!$L$397*SUBSIDIO!$W$397)+(SUBSIDIO!$N$397*SUBSIDIO!$X$397))*(0.06)/(1-0.06)</f>
        <v>4987.5910823999993</v>
      </c>
      <c r="AD397" s="77">
        <f>(SUBSIDIO!$J$397*SUBSIDIO!$Y$397)*(0.04)/(1-0.04)</f>
        <v>0</v>
      </c>
      <c r="AE397" s="77">
        <f ca="1">((SUBSIDIO!$L$397*SUBSIDIO!$Z$397)+(SUBSIDIO!$N$397*SUBSIDIO!$AA$397))*(0.04)/(1-0.04)</f>
        <v>3755.7164849942997</v>
      </c>
      <c r="AF397" s="4" t="s">
        <v>844</v>
      </c>
    </row>
    <row r="398" spans="1:32" ht="11.25" customHeight="1" x14ac:dyDescent="0.25">
      <c r="A398" s="4" t="s">
        <v>28</v>
      </c>
      <c r="B398" s="4" t="s">
        <v>35</v>
      </c>
      <c r="C398" s="4" t="s">
        <v>36</v>
      </c>
      <c r="D398" s="4" t="s">
        <v>47</v>
      </c>
      <c r="E398" s="4" t="s">
        <v>25</v>
      </c>
      <c r="F398" s="4" t="s">
        <v>25</v>
      </c>
      <c r="G398" s="4" t="s">
        <v>25</v>
      </c>
      <c r="H398" s="4" t="s">
        <v>37</v>
      </c>
      <c r="I398" s="5">
        <v>44409</v>
      </c>
      <c r="J398" s="6">
        <v>0</v>
      </c>
      <c r="K398" s="77">
        <v>0</v>
      </c>
      <c r="L398" s="6">
        <v>8.2919999999999998</v>
      </c>
      <c r="M398" s="77">
        <v>8.2919999999999998</v>
      </c>
      <c r="N398" s="6">
        <v>8.2919999999999998</v>
      </c>
      <c r="O398" s="77">
        <v>8.2919999999999998</v>
      </c>
      <c r="P398" s="6">
        <v>0</v>
      </c>
      <c r="Q398" s="4" t="s">
        <v>26</v>
      </c>
      <c r="R398" s="4">
        <v>0</v>
      </c>
      <c r="S398" s="4">
        <v>0</v>
      </c>
      <c r="T398" s="4">
        <v>24</v>
      </c>
      <c r="U398" s="4">
        <v>66</v>
      </c>
      <c r="V398" s="77">
        <f>IF(ISERROR(VLOOKUP($S$398,'TAR FIN'!$A$1:$O$95,15,0)),0,VLOOKUP($S$398,'TAR FIN'!$A$1:$O$95,15,0))</f>
        <v>0</v>
      </c>
      <c r="W398" s="77">
        <f>IF(ISERROR(VLOOKUP($T$398,'TAR FIN'!$A$1:$O$95,15,0)),0,VLOOKUP($T$398,'TAR FIN'!$A$1:$O$95,15,0))*(1-0.06)</f>
        <v>1348.7025999999998</v>
      </c>
      <c r="X398" s="77">
        <f>IF(ISERROR(VLOOKUP($U$398,'TAR FIN'!$A$1:$O$95,15,0)),0,VLOOKUP($U$398,'TAR FIN'!$A$1:$O$95,15,0))*(1-0.06)</f>
        <v>365.92319999999995</v>
      </c>
      <c r="Y398" s="77"/>
      <c r="Z398" s="77">
        <f ca="1">('TUSD BE'!$AM$16+'TUSD BF'!$AM$16+'TUSD CVA'!$AM$16)*1*(1-0.04)</f>
        <v>1541.7519661664016</v>
      </c>
      <c r="AA398" s="77">
        <f>('TE BE'!$AA$7+'TE BF'!$AA$7+'TE CVA'!$AA$7)*1*(1-0.04)</f>
        <v>436.15542521126838</v>
      </c>
      <c r="AB398" s="77">
        <f>(SUBSIDIO!$J$398*SUBSIDIO!$V$398)*(0.06)/(1-0.06)</f>
        <v>0</v>
      </c>
      <c r="AC398" s="77">
        <f>((SUBSIDIO!$L$398*SUBSIDIO!$W$398)+(SUBSIDIO!$N$398*SUBSIDIO!$X$398))*(0.06)/(1-0.06)</f>
        <v>907.51130639999985</v>
      </c>
      <c r="AD398" s="77">
        <f>(SUBSIDIO!$J$398*SUBSIDIO!$Y$398)*(0.04)/(1-0.04)</f>
        <v>0</v>
      </c>
      <c r="AE398" s="77">
        <f ca="1">((SUBSIDIO!$L$398*SUBSIDIO!$Z$398)+(SUBSIDIO!$N$398*SUBSIDIO!$AA$398))*(0.04)/(1-0.04)</f>
        <v>683.36700372098494</v>
      </c>
      <c r="AF398" s="4" t="s">
        <v>844</v>
      </c>
    </row>
    <row r="399" spans="1:32" ht="11.25" customHeight="1" x14ac:dyDescent="0.25">
      <c r="A399" s="4" t="s">
        <v>30</v>
      </c>
      <c r="B399" s="4" t="s">
        <v>35</v>
      </c>
      <c r="C399" s="4" t="s">
        <v>36</v>
      </c>
      <c r="D399" s="4" t="s">
        <v>47</v>
      </c>
      <c r="E399" s="4" t="s">
        <v>25</v>
      </c>
      <c r="F399" s="4" t="s">
        <v>25</v>
      </c>
      <c r="G399" s="4" t="s">
        <v>25</v>
      </c>
      <c r="H399" s="4" t="s">
        <v>37</v>
      </c>
      <c r="I399" s="5">
        <v>44409</v>
      </c>
      <c r="J399" s="6">
        <v>0</v>
      </c>
      <c r="K399" s="77">
        <v>0</v>
      </c>
      <c r="L399" s="6">
        <v>1.304</v>
      </c>
      <c r="M399" s="77">
        <v>1.304</v>
      </c>
      <c r="N399" s="6">
        <v>1.304</v>
      </c>
      <c r="O399" s="77">
        <v>1.304</v>
      </c>
      <c r="P399" s="6">
        <v>0</v>
      </c>
      <c r="Q399" s="4" t="s">
        <v>26</v>
      </c>
      <c r="R399" s="4">
        <v>0</v>
      </c>
      <c r="S399" s="4">
        <v>0</v>
      </c>
      <c r="T399" s="4">
        <v>24</v>
      </c>
      <c r="U399" s="4">
        <v>66</v>
      </c>
      <c r="V399" s="77">
        <f>IF(ISERROR(VLOOKUP($S$399,'TAR FIN'!$A$1:$O$95,15,0)),0,VLOOKUP($S$399,'TAR FIN'!$A$1:$O$95,15,0))</f>
        <v>0</v>
      </c>
      <c r="W399" s="77">
        <f>IF(ISERROR(VLOOKUP($T$399,'TAR FIN'!$A$1:$O$95,15,0)),0,VLOOKUP($T$399,'TAR FIN'!$A$1:$O$95,15,0))*(1-0.06)</f>
        <v>1348.7025999999998</v>
      </c>
      <c r="X399" s="77">
        <f>IF(ISERROR(VLOOKUP($U$399,'TAR FIN'!$A$1:$O$95,15,0)),0,VLOOKUP($U$399,'TAR FIN'!$A$1:$O$95,15,0))*(1-0.06)</f>
        <v>365.92319999999995</v>
      </c>
      <c r="Y399" s="77"/>
      <c r="Z399" s="77">
        <f ca="1">('TUSD BE'!$AM$16+'TUSD BF'!$AM$16+'TUSD CVA'!$AM$16)*1*(1-0.04)</f>
        <v>1541.7519661664016</v>
      </c>
      <c r="AA399" s="77">
        <f>('TE BE'!$AA$7+'TE BF'!$AA$7+'TE CVA'!$AA$7)*1*(1-0.04)</f>
        <v>436.15542521126838</v>
      </c>
      <c r="AB399" s="77">
        <f>(SUBSIDIO!$J$399*SUBSIDIO!$V$399)*(0.06)/(1-0.06)</f>
        <v>0</v>
      </c>
      <c r="AC399" s="77">
        <f>((SUBSIDIO!$L$399*SUBSIDIO!$W$399)+(SUBSIDIO!$N$399*SUBSIDIO!$X$399))*(0.06)/(1-0.06)</f>
        <v>142.71523679999999</v>
      </c>
      <c r="AD399" s="77">
        <f>(SUBSIDIO!$J$399*SUBSIDIO!$Y$399)*(0.04)/(1-0.04)</f>
        <v>0</v>
      </c>
      <c r="AE399" s="77">
        <f ca="1">((SUBSIDIO!$L$399*SUBSIDIO!$Z$399)+(SUBSIDIO!$N$399*SUBSIDIO!$AA$399))*(0.04)/(1-0.04)</f>
        <v>107.46630159818675</v>
      </c>
      <c r="AF399" s="4" t="s">
        <v>844</v>
      </c>
    </row>
    <row r="400" spans="1:32" ht="11.25" customHeight="1" x14ac:dyDescent="0.25">
      <c r="A400" s="4" t="s">
        <v>21</v>
      </c>
      <c r="B400" s="4" t="s">
        <v>35</v>
      </c>
      <c r="C400" s="4" t="s">
        <v>36</v>
      </c>
      <c r="D400" s="4" t="s">
        <v>47</v>
      </c>
      <c r="E400" s="4" t="s">
        <v>25</v>
      </c>
      <c r="F400" s="4" t="s">
        <v>25</v>
      </c>
      <c r="G400" s="4" t="s">
        <v>25</v>
      </c>
      <c r="H400" s="4" t="s">
        <v>37</v>
      </c>
      <c r="I400" s="5">
        <v>44440</v>
      </c>
      <c r="J400" s="6">
        <v>0</v>
      </c>
      <c r="K400" s="77">
        <v>0</v>
      </c>
      <c r="L400" s="6">
        <v>43.832999999999998</v>
      </c>
      <c r="M400" s="77">
        <v>43.832999999999998</v>
      </c>
      <c r="N400" s="6">
        <v>43.832999999999998</v>
      </c>
      <c r="O400" s="77">
        <v>43.832999999999998</v>
      </c>
      <c r="P400" s="6">
        <v>0</v>
      </c>
      <c r="Q400" s="4" t="s">
        <v>26</v>
      </c>
      <c r="R400" s="4">
        <v>0</v>
      </c>
      <c r="S400" s="4">
        <v>0</v>
      </c>
      <c r="T400" s="4">
        <v>24</v>
      </c>
      <c r="U400" s="4">
        <v>66</v>
      </c>
      <c r="V400" s="77">
        <f>IF(ISERROR(VLOOKUP($S$400,'TAR FIN'!$A$1:$O$95,15,0)),0,VLOOKUP($S$400,'TAR FIN'!$A$1:$O$95,15,0))</f>
        <v>0</v>
      </c>
      <c r="W400" s="77">
        <f>IF(ISERROR(VLOOKUP($T$400,'TAR FIN'!$A$1:$O$95,15,0)),0,VLOOKUP($T$400,'TAR FIN'!$A$1:$O$95,15,0))*(1-0.06)</f>
        <v>1348.7025999999998</v>
      </c>
      <c r="X400" s="77">
        <f>IF(ISERROR(VLOOKUP($U$400,'TAR FIN'!$A$1:$O$95,15,0)),0,VLOOKUP($U$400,'TAR FIN'!$A$1:$O$95,15,0))*(1-0.06)</f>
        <v>365.92319999999995</v>
      </c>
      <c r="Y400" s="77"/>
      <c r="Z400" s="77">
        <f ca="1">('TUSD BE'!$AM$16+'TUSD BF'!$AM$16+'TUSD CVA'!$AM$16)*1*(1-0.04)</f>
        <v>1541.7519661664016</v>
      </c>
      <c r="AA400" s="77">
        <f>('TE BE'!$AA$7+'TE BF'!$AA$7+'TE CVA'!$AA$7)*1*(1-0.04)</f>
        <v>436.15542521126838</v>
      </c>
      <c r="AB400" s="77">
        <f>(SUBSIDIO!$J$400*SUBSIDIO!$V$400)*(0.06)/(1-0.06)</f>
        <v>0</v>
      </c>
      <c r="AC400" s="77">
        <f>((SUBSIDIO!$L$400*SUBSIDIO!$W$400)+(SUBSIDIO!$N$400*SUBSIDIO!$X$400))*(0.06)/(1-0.06)</f>
        <v>4797.267618599999</v>
      </c>
      <c r="AD400" s="77">
        <f>(SUBSIDIO!$J$400*SUBSIDIO!$Y$400)*(0.04)/(1-0.04)</f>
        <v>0</v>
      </c>
      <c r="AE400" s="77">
        <f ca="1">((SUBSIDIO!$L$400*SUBSIDIO!$Z$400)+(SUBSIDIO!$N$400*SUBSIDIO!$AA$400))*(0.04)/(1-0.04)</f>
        <v>3612.4006119273922</v>
      </c>
      <c r="AF400" s="4" t="s">
        <v>844</v>
      </c>
    </row>
    <row r="401" spans="1:32" ht="11.25" customHeight="1" x14ac:dyDescent="0.25">
      <c r="A401" s="4" t="s">
        <v>28</v>
      </c>
      <c r="B401" s="4" t="s">
        <v>35</v>
      </c>
      <c r="C401" s="4" t="s">
        <v>36</v>
      </c>
      <c r="D401" s="4" t="s">
        <v>47</v>
      </c>
      <c r="E401" s="4" t="s">
        <v>25</v>
      </c>
      <c r="F401" s="4" t="s">
        <v>25</v>
      </c>
      <c r="G401" s="4" t="s">
        <v>25</v>
      </c>
      <c r="H401" s="4" t="s">
        <v>37</v>
      </c>
      <c r="I401" s="5">
        <v>44440</v>
      </c>
      <c r="J401" s="6">
        <v>0</v>
      </c>
      <c r="K401" s="77">
        <v>0</v>
      </c>
      <c r="L401" s="6">
        <v>13.313000000000001</v>
      </c>
      <c r="M401" s="77">
        <v>13.313000000000001</v>
      </c>
      <c r="N401" s="6">
        <v>13.313000000000001</v>
      </c>
      <c r="O401" s="77">
        <v>13.313000000000001</v>
      </c>
      <c r="P401" s="6">
        <v>0</v>
      </c>
      <c r="Q401" s="4" t="s">
        <v>26</v>
      </c>
      <c r="R401" s="4">
        <v>0</v>
      </c>
      <c r="S401" s="4">
        <v>0</v>
      </c>
      <c r="T401" s="4">
        <v>24</v>
      </c>
      <c r="U401" s="4">
        <v>66</v>
      </c>
      <c r="V401" s="77">
        <f>IF(ISERROR(VLOOKUP($S$401,'TAR FIN'!$A$1:$O$95,15,0)),0,VLOOKUP($S$401,'TAR FIN'!$A$1:$O$95,15,0))</f>
        <v>0</v>
      </c>
      <c r="W401" s="77">
        <f>IF(ISERROR(VLOOKUP($T$401,'TAR FIN'!$A$1:$O$95,15,0)),0,VLOOKUP($T$401,'TAR FIN'!$A$1:$O$95,15,0))*(1-0.06)</f>
        <v>1348.7025999999998</v>
      </c>
      <c r="X401" s="77">
        <f>IF(ISERROR(VLOOKUP($U$401,'TAR FIN'!$A$1:$O$95,15,0)),0,VLOOKUP($U$401,'TAR FIN'!$A$1:$O$95,15,0))*(1-0.06)</f>
        <v>365.92319999999995</v>
      </c>
      <c r="Y401" s="77"/>
      <c r="Z401" s="77">
        <f ca="1">('TUSD BE'!$AM$16+'TUSD BF'!$AM$16+'TUSD CVA'!$AM$16)*1*(1-0.04)</f>
        <v>1541.7519661664016</v>
      </c>
      <c r="AA401" s="77">
        <f>('TE BE'!$AA$7+'TE BF'!$AA$7+'TE CVA'!$AA$7)*1*(1-0.04)</f>
        <v>436.15542521126838</v>
      </c>
      <c r="AB401" s="77">
        <f>(SUBSIDIO!$J$401*SUBSIDIO!$V$401)*(0.06)/(1-0.06)</f>
        <v>0</v>
      </c>
      <c r="AC401" s="77">
        <f>((SUBSIDIO!$L$401*SUBSIDIO!$W$401)+(SUBSIDIO!$N$401*SUBSIDIO!$X$401))*(0.06)/(1-0.06)</f>
        <v>1457.0306345999998</v>
      </c>
      <c r="AD401" s="77">
        <f>(SUBSIDIO!$J$401*SUBSIDIO!$Y$401)*(0.04)/(1-0.04)</f>
        <v>0</v>
      </c>
      <c r="AE401" s="77">
        <f ca="1">((SUBSIDIO!$L$401*SUBSIDIO!$Z$401)+(SUBSIDIO!$N$401*SUBSIDIO!$AA$401))*(0.04)/(1-0.04)</f>
        <v>1097.1617125587886</v>
      </c>
      <c r="AF401" s="4" t="s">
        <v>844</v>
      </c>
    </row>
    <row r="402" spans="1:32" ht="11.25" customHeight="1" x14ac:dyDescent="0.25">
      <c r="A402" s="4" t="s">
        <v>30</v>
      </c>
      <c r="B402" s="4" t="s">
        <v>35</v>
      </c>
      <c r="C402" s="4" t="s">
        <v>36</v>
      </c>
      <c r="D402" s="4" t="s">
        <v>47</v>
      </c>
      <c r="E402" s="4" t="s">
        <v>25</v>
      </c>
      <c r="F402" s="4" t="s">
        <v>25</v>
      </c>
      <c r="G402" s="4" t="s">
        <v>25</v>
      </c>
      <c r="H402" s="4" t="s">
        <v>37</v>
      </c>
      <c r="I402" s="5">
        <v>44440</v>
      </c>
      <c r="J402" s="6">
        <v>0</v>
      </c>
      <c r="K402" s="77">
        <v>0</v>
      </c>
      <c r="L402" s="6">
        <v>3.5640000000000001</v>
      </c>
      <c r="M402" s="77">
        <v>3.5640000000000001</v>
      </c>
      <c r="N402" s="6">
        <v>3.5640000000000001</v>
      </c>
      <c r="O402" s="77">
        <v>3.5640000000000001</v>
      </c>
      <c r="P402" s="6">
        <v>0</v>
      </c>
      <c r="Q402" s="4" t="s">
        <v>26</v>
      </c>
      <c r="R402" s="4">
        <v>0</v>
      </c>
      <c r="S402" s="4">
        <v>0</v>
      </c>
      <c r="T402" s="4">
        <v>24</v>
      </c>
      <c r="U402" s="4">
        <v>66</v>
      </c>
      <c r="V402" s="77">
        <f>IF(ISERROR(VLOOKUP($S$402,'TAR FIN'!$A$1:$O$95,15,0)),0,VLOOKUP($S$402,'TAR FIN'!$A$1:$O$95,15,0))</f>
        <v>0</v>
      </c>
      <c r="W402" s="77">
        <f>IF(ISERROR(VLOOKUP($T$402,'TAR FIN'!$A$1:$O$95,15,0)),0,VLOOKUP($T$402,'TAR FIN'!$A$1:$O$95,15,0))*(1-0.06)</f>
        <v>1348.7025999999998</v>
      </c>
      <c r="X402" s="77">
        <f>IF(ISERROR(VLOOKUP($U$402,'TAR FIN'!$A$1:$O$95,15,0)),0,VLOOKUP($U$402,'TAR FIN'!$A$1:$O$95,15,0))*(1-0.06)</f>
        <v>365.92319999999995</v>
      </c>
      <c r="Y402" s="77"/>
      <c r="Z402" s="77">
        <f ca="1">('TUSD BE'!$AM$16+'TUSD BF'!$AM$16+'TUSD CVA'!$AM$16)*1*(1-0.04)</f>
        <v>1541.7519661664016</v>
      </c>
      <c r="AA402" s="77">
        <f>('TE BE'!$AA$7+'TE BF'!$AA$7+'TE CVA'!$AA$7)*1*(1-0.04)</f>
        <v>436.15542521126838</v>
      </c>
      <c r="AB402" s="77">
        <f>(SUBSIDIO!$J$402*SUBSIDIO!$V$402)*(0.06)/(1-0.06)</f>
        <v>0</v>
      </c>
      <c r="AC402" s="77">
        <f>((SUBSIDIO!$L$402*SUBSIDIO!$W$402)+(SUBSIDIO!$N$402*SUBSIDIO!$X$402))*(0.06)/(1-0.06)</f>
        <v>390.0591288</v>
      </c>
      <c r="AD402" s="77">
        <f>(SUBSIDIO!$J$402*SUBSIDIO!$Y$402)*(0.04)/(1-0.04)</f>
        <v>0</v>
      </c>
      <c r="AE402" s="77">
        <f ca="1">((SUBSIDIO!$L$402*SUBSIDIO!$Z$402)+(SUBSIDIO!$N$402*SUBSIDIO!$AA$402))*(0.04)/(1-0.04)</f>
        <v>293.71924761958405</v>
      </c>
      <c r="AF402" s="4" t="s">
        <v>844</v>
      </c>
    </row>
    <row r="403" spans="1:32" ht="11.25" customHeight="1" x14ac:dyDescent="0.25">
      <c r="A403" s="4" t="s">
        <v>59</v>
      </c>
      <c r="B403" s="4" t="s">
        <v>35</v>
      </c>
      <c r="C403" s="4" t="s">
        <v>36</v>
      </c>
      <c r="D403" s="4" t="s">
        <v>47</v>
      </c>
      <c r="E403" s="4" t="s">
        <v>25</v>
      </c>
      <c r="F403" s="4" t="s">
        <v>25</v>
      </c>
      <c r="G403" s="4" t="s">
        <v>25</v>
      </c>
      <c r="H403" s="4" t="s">
        <v>37</v>
      </c>
      <c r="I403" s="5">
        <v>44470</v>
      </c>
      <c r="J403" s="6">
        <v>0</v>
      </c>
      <c r="K403" s="77">
        <v>0</v>
      </c>
      <c r="L403" s="6">
        <v>43.832999999999998</v>
      </c>
      <c r="M403" s="77">
        <v>43.832999999999998</v>
      </c>
      <c r="N403" s="6">
        <v>43.832999999999998</v>
      </c>
      <c r="O403" s="77">
        <v>43.832999999999998</v>
      </c>
      <c r="P403" s="6">
        <v>0</v>
      </c>
      <c r="Q403" s="4" t="s">
        <v>26</v>
      </c>
      <c r="R403" s="4">
        <v>0</v>
      </c>
      <c r="S403" s="4">
        <v>0</v>
      </c>
      <c r="T403" s="4">
        <v>24</v>
      </c>
      <c r="U403" s="4">
        <v>66</v>
      </c>
      <c r="V403" s="77">
        <f>IF(ISERROR(VLOOKUP($S$403,'TAR FIN'!$A$1:$O$95,15,0)),0,VLOOKUP($S$403,'TAR FIN'!$A$1:$O$95,15,0))</f>
        <v>0</v>
      </c>
      <c r="W403" s="77">
        <f>IF(ISERROR(VLOOKUP($T$403,'TAR FIN'!$A$1:$O$95,15,0)),0,VLOOKUP($T$403,'TAR FIN'!$A$1:$O$95,15,0))*(1-0.06)</f>
        <v>1348.7025999999998</v>
      </c>
      <c r="X403" s="77">
        <f>IF(ISERROR(VLOOKUP($U$403,'TAR FIN'!$A$1:$O$95,15,0)),0,VLOOKUP($U$403,'TAR FIN'!$A$1:$O$95,15,0))*(1-0.06)</f>
        <v>365.92319999999995</v>
      </c>
      <c r="Y403" s="77"/>
      <c r="Z403" s="77">
        <f ca="1">('TUSD BE'!$AM$16+'TUSD BF'!$AM$16+'TUSD CVA'!$AM$16)*1*(1-0.04)</f>
        <v>1541.7519661664016</v>
      </c>
      <c r="AA403" s="77">
        <f>('TE BE'!$AA$7+'TE BF'!$AA$7+'TE CVA'!$AA$7)*1*(1-0.04)</f>
        <v>436.15542521126838</v>
      </c>
      <c r="AB403" s="77">
        <f>(SUBSIDIO!$J$403*SUBSIDIO!$V$403)*(0.06)/(1-0.06)</f>
        <v>0</v>
      </c>
      <c r="AC403" s="77">
        <f>((SUBSIDIO!$L$403*SUBSIDIO!$W$403)+(SUBSIDIO!$N$403*SUBSIDIO!$X$403))*(0.06)/(1-0.06)</f>
        <v>4797.267618599999</v>
      </c>
      <c r="AD403" s="77">
        <f>(SUBSIDIO!$J$403*SUBSIDIO!$Y$403)*(0.04)/(1-0.04)</f>
        <v>0</v>
      </c>
      <c r="AE403" s="77">
        <f ca="1">((SUBSIDIO!$L$403*SUBSIDIO!$Z$403)+(SUBSIDIO!$N$403*SUBSIDIO!$AA$403))*(0.04)/(1-0.04)</f>
        <v>3612.4006119273922</v>
      </c>
      <c r="AF403" s="4" t="s">
        <v>844</v>
      </c>
    </row>
    <row r="404" spans="1:32" ht="11.25" customHeight="1" x14ac:dyDescent="0.25">
      <c r="A404" s="4" t="s">
        <v>59</v>
      </c>
      <c r="B404" s="4" t="s">
        <v>35</v>
      </c>
      <c r="C404" s="4" t="s">
        <v>36</v>
      </c>
      <c r="D404" s="4" t="s">
        <v>47</v>
      </c>
      <c r="E404" s="4" t="s">
        <v>25</v>
      </c>
      <c r="F404" s="4" t="s">
        <v>25</v>
      </c>
      <c r="G404" s="4" t="s">
        <v>25</v>
      </c>
      <c r="H404" s="4" t="s">
        <v>37</v>
      </c>
      <c r="I404" s="5">
        <v>44470</v>
      </c>
      <c r="J404" s="6">
        <v>0</v>
      </c>
      <c r="K404" s="77">
        <v>0</v>
      </c>
      <c r="L404" s="6">
        <v>13.313000000000001</v>
      </c>
      <c r="M404" s="77">
        <v>13.313000000000001</v>
      </c>
      <c r="N404" s="6">
        <v>13.313000000000001</v>
      </c>
      <c r="O404" s="77">
        <v>13.313000000000001</v>
      </c>
      <c r="P404" s="6">
        <v>0</v>
      </c>
      <c r="Q404" s="4" t="s">
        <v>26</v>
      </c>
      <c r="R404" s="4">
        <v>0</v>
      </c>
      <c r="S404" s="4">
        <v>0</v>
      </c>
      <c r="T404" s="4">
        <v>24</v>
      </c>
      <c r="U404" s="4">
        <v>66</v>
      </c>
      <c r="V404" s="77">
        <f>IF(ISERROR(VLOOKUP($S$404,'TAR FIN'!$A$1:$O$95,15,0)),0,VLOOKUP($S$404,'TAR FIN'!$A$1:$O$95,15,0))</f>
        <v>0</v>
      </c>
      <c r="W404" s="77">
        <f>IF(ISERROR(VLOOKUP($T$404,'TAR FIN'!$A$1:$O$95,15,0)),0,VLOOKUP($T$404,'TAR FIN'!$A$1:$O$95,15,0))*(1-0.06)</f>
        <v>1348.7025999999998</v>
      </c>
      <c r="X404" s="77">
        <f>IF(ISERROR(VLOOKUP($U$404,'TAR FIN'!$A$1:$O$95,15,0)),0,VLOOKUP($U$404,'TAR FIN'!$A$1:$O$95,15,0))*(1-0.06)</f>
        <v>365.92319999999995</v>
      </c>
      <c r="Y404" s="77"/>
      <c r="Z404" s="77">
        <f ca="1">('TUSD BE'!$AM$16+'TUSD BF'!$AM$16+'TUSD CVA'!$AM$16)*1*(1-0.04)</f>
        <v>1541.7519661664016</v>
      </c>
      <c r="AA404" s="77">
        <f>('TE BE'!$AA$7+'TE BF'!$AA$7+'TE CVA'!$AA$7)*1*(1-0.04)</f>
        <v>436.15542521126838</v>
      </c>
      <c r="AB404" s="77">
        <f>(SUBSIDIO!$J$404*SUBSIDIO!$V$404)*(0.06)/(1-0.06)</f>
        <v>0</v>
      </c>
      <c r="AC404" s="77">
        <f>((SUBSIDIO!$L$404*SUBSIDIO!$W$404)+(SUBSIDIO!$N$404*SUBSIDIO!$X$404))*(0.06)/(1-0.06)</f>
        <v>1457.0306345999998</v>
      </c>
      <c r="AD404" s="77">
        <f>(SUBSIDIO!$J$404*SUBSIDIO!$Y$404)*(0.04)/(1-0.04)</f>
        <v>0</v>
      </c>
      <c r="AE404" s="77">
        <f ca="1">((SUBSIDIO!$L$404*SUBSIDIO!$Z$404)+(SUBSIDIO!$N$404*SUBSIDIO!$AA$404))*(0.04)/(1-0.04)</f>
        <v>1097.1617125587886</v>
      </c>
      <c r="AF404" s="4" t="s">
        <v>844</v>
      </c>
    </row>
    <row r="405" spans="1:32" ht="11.25" customHeight="1" x14ac:dyDescent="0.25">
      <c r="A405" s="4" t="s">
        <v>59</v>
      </c>
      <c r="B405" s="4" t="s">
        <v>35</v>
      </c>
      <c r="C405" s="4" t="s">
        <v>36</v>
      </c>
      <c r="D405" s="4" t="s">
        <v>47</v>
      </c>
      <c r="E405" s="4" t="s">
        <v>25</v>
      </c>
      <c r="F405" s="4" t="s">
        <v>25</v>
      </c>
      <c r="G405" s="4" t="s">
        <v>25</v>
      </c>
      <c r="H405" s="4" t="s">
        <v>37</v>
      </c>
      <c r="I405" s="5">
        <v>44470</v>
      </c>
      <c r="J405" s="6">
        <v>0</v>
      </c>
      <c r="K405" s="77">
        <v>0</v>
      </c>
      <c r="L405" s="6">
        <v>3.5640000000000001</v>
      </c>
      <c r="M405" s="77">
        <v>3.5640000000000001</v>
      </c>
      <c r="N405" s="6">
        <v>3.5640000000000001</v>
      </c>
      <c r="O405" s="77">
        <v>3.5640000000000001</v>
      </c>
      <c r="P405" s="6">
        <v>0</v>
      </c>
      <c r="Q405" s="4" t="s">
        <v>26</v>
      </c>
      <c r="R405" s="4">
        <v>0</v>
      </c>
      <c r="S405" s="4">
        <v>0</v>
      </c>
      <c r="T405" s="4">
        <v>24</v>
      </c>
      <c r="U405" s="4">
        <v>66</v>
      </c>
      <c r="V405" s="77">
        <f>IF(ISERROR(VLOOKUP($S$405,'TAR FIN'!$A$1:$O$95,15,0)),0,VLOOKUP($S$405,'TAR FIN'!$A$1:$O$95,15,0))</f>
        <v>0</v>
      </c>
      <c r="W405" s="77">
        <f>IF(ISERROR(VLOOKUP($T$405,'TAR FIN'!$A$1:$O$95,15,0)),0,VLOOKUP($T$405,'TAR FIN'!$A$1:$O$95,15,0))*(1-0.06)</f>
        <v>1348.7025999999998</v>
      </c>
      <c r="X405" s="77">
        <f>IF(ISERROR(VLOOKUP($U$405,'TAR FIN'!$A$1:$O$95,15,0)),0,VLOOKUP($U$405,'TAR FIN'!$A$1:$O$95,15,0))*(1-0.06)</f>
        <v>365.92319999999995</v>
      </c>
      <c r="Y405" s="77"/>
      <c r="Z405" s="77">
        <f ca="1">('TUSD BE'!$AM$16+'TUSD BF'!$AM$16+'TUSD CVA'!$AM$16)*1*(1-0.04)</f>
        <v>1541.7519661664016</v>
      </c>
      <c r="AA405" s="77">
        <f>('TE BE'!$AA$7+'TE BF'!$AA$7+'TE CVA'!$AA$7)*1*(1-0.04)</f>
        <v>436.15542521126838</v>
      </c>
      <c r="AB405" s="77">
        <f>(SUBSIDIO!$J$405*SUBSIDIO!$V$405)*(0.06)/(1-0.06)</f>
        <v>0</v>
      </c>
      <c r="AC405" s="77">
        <f>((SUBSIDIO!$L$405*SUBSIDIO!$W$405)+(SUBSIDIO!$N$405*SUBSIDIO!$X$405))*(0.06)/(1-0.06)</f>
        <v>390.0591288</v>
      </c>
      <c r="AD405" s="77">
        <f>(SUBSIDIO!$J$405*SUBSIDIO!$Y$405)*(0.04)/(1-0.04)</f>
        <v>0</v>
      </c>
      <c r="AE405" s="77">
        <f ca="1">((SUBSIDIO!$L$405*SUBSIDIO!$Z$405)+(SUBSIDIO!$N$405*SUBSIDIO!$AA$405))*(0.04)/(1-0.04)</f>
        <v>293.71924761958405</v>
      </c>
      <c r="AF405" s="4" t="s">
        <v>844</v>
      </c>
    </row>
    <row r="406" spans="1:32" ht="11.25" customHeight="1" x14ac:dyDescent="0.25">
      <c r="A406" s="4" t="s">
        <v>21</v>
      </c>
      <c r="B406" s="4" t="s">
        <v>35</v>
      </c>
      <c r="C406" s="4" t="s">
        <v>36</v>
      </c>
      <c r="D406" s="4" t="s">
        <v>52</v>
      </c>
      <c r="E406" s="4" t="s">
        <v>53</v>
      </c>
      <c r="F406" s="4" t="s">
        <v>25</v>
      </c>
      <c r="G406" s="4" t="s">
        <v>25</v>
      </c>
      <c r="H406" s="4" t="s">
        <v>38</v>
      </c>
      <c r="I406" s="5">
        <v>44136</v>
      </c>
      <c r="J406" s="6">
        <v>0</v>
      </c>
      <c r="K406" s="77">
        <v>0</v>
      </c>
      <c r="L406" s="6">
        <v>1303.7059999999999</v>
      </c>
      <c r="M406" s="77">
        <v>1303.7059999999999</v>
      </c>
      <c r="N406" s="6">
        <v>1303.7059999999999</v>
      </c>
      <c r="O406" s="77">
        <v>1303.7059999999999</v>
      </c>
      <c r="P406" s="6">
        <v>0</v>
      </c>
      <c r="Q406" s="4" t="s">
        <v>26</v>
      </c>
      <c r="R406" s="4">
        <v>0</v>
      </c>
      <c r="S406" s="4">
        <v>0</v>
      </c>
      <c r="T406" s="4">
        <v>19</v>
      </c>
      <c r="U406" s="4">
        <v>67</v>
      </c>
      <c r="V406" s="77">
        <f>IF(ISERROR(VLOOKUP($S$406,'TAR FIN'!$A$1:$O$95,15,0)),0,VLOOKUP($S$406,'TAR FIN'!$A$1:$O$95,15,0))</f>
        <v>0</v>
      </c>
      <c r="W406" s="77">
        <f>IF(ISERROR(VLOOKUP($T$406,'TAR FIN'!$A$1:$O$95,15,0)),0,VLOOKUP($T$406,'TAR FIN'!$A$1:$O$95,15,0))*(1-0.09)</f>
        <v>136.16329999999999</v>
      </c>
      <c r="X406" s="77">
        <f>IF(ISERROR(VLOOKUP($U$406,'TAR FIN'!$A$1:$O$95,15,0)),0,VLOOKUP($U$406,'TAR FIN'!$A$1:$O$95,15,0))*(1-0.09)</f>
        <v>209.32730000000001</v>
      </c>
      <c r="Y406" s="77"/>
      <c r="Z406" s="77">
        <f ca="1">('TUSD BE'!$AM$17+'TUSD BF'!$AM$17+'TUSD CVA'!$AM$17)*1*(1-0.06)</f>
        <v>158.4025784496171</v>
      </c>
      <c r="AA406" s="77">
        <f>('TE BE'!$AA$8+'TE BF'!$AA$8+'TE CVA'!$AA$8)*1*(1-0.06)</f>
        <v>265.94235573400078</v>
      </c>
      <c r="AB406" s="77">
        <f>(SUBSIDIO!$J$406*SUBSIDIO!$V$406)*(0.09)/(1-0.09)</f>
        <v>0</v>
      </c>
      <c r="AC406" s="77">
        <f>((SUBSIDIO!$L$406*SUBSIDIO!$W$406)+(SUBSIDIO!$N$406*SUBSIDIO!$X$406))*(0.09)/(1-0.09)</f>
        <v>44546.851796399998</v>
      </c>
      <c r="AD406" s="77">
        <f>(SUBSIDIO!$J$406*SUBSIDIO!$Y$406)*(0.06)/(1-0.06)</f>
        <v>0</v>
      </c>
      <c r="AE406" s="77">
        <f ca="1">((SUBSIDIO!$L$406*SUBSIDIO!$Z$406)+(SUBSIDIO!$N$406*SUBSIDIO!$AA$406))*(0.06)/(1-0.06)</f>
        <v>35311.981070092836</v>
      </c>
      <c r="AF406" s="4" t="s">
        <v>842</v>
      </c>
    </row>
    <row r="407" spans="1:32" ht="11.25" customHeight="1" x14ac:dyDescent="0.25">
      <c r="A407" s="4" t="s">
        <v>28</v>
      </c>
      <c r="B407" s="4" t="s">
        <v>35</v>
      </c>
      <c r="C407" s="4" t="s">
        <v>36</v>
      </c>
      <c r="D407" s="4" t="s">
        <v>52</v>
      </c>
      <c r="E407" s="4" t="s">
        <v>53</v>
      </c>
      <c r="F407" s="4" t="s">
        <v>25</v>
      </c>
      <c r="G407" s="4" t="s">
        <v>25</v>
      </c>
      <c r="H407" s="4" t="s">
        <v>38</v>
      </c>
      <c r="I407" s="5">
        <v>44136</v>
      </c>
      <c r="J407" s="6">
        <v>0</v>
      </c>
      <c r="K407" s="77">
        <v>0</v>
      </c>
      <c r="L407" s="6">
        <v>526.71500000000003</v>
      </c>
      <c r="M407" s="77">
        <v>526.71500000000003</v>
      </c>
      <c r="N407" s="6">
        <v>526.71500000000003</v>
      </c>
      <c r="O407" s="77">
        <v>526.71500000000003</v>
      </c>
      <c r="P407" s="6">
        <v>0</v>
      </c>
      <c r="Q407" s="4" t="s">
        <v>26</v>
      </c>
      <c r="R407" s="4">
        <v>0</v>
      </c>
      <c r="S407" s="4">
        <v>0</v>
      </c>
      <c r="T407" s="4">
        <v>19</v>
      </c>
      <c r="U407" s="4">
        <v>67</v>
      </c>
      <c r="V407" s="77">
        <f>IF(ISERROR(VLOOKUP($S$407,'TAR FIN'!$A$1:$O$95,15,0)),0,VLOOKUP($S$407,'TAR FIN'!$A$1:$O$95,15,0))</f>
        <v>0</v>
      </c>
      <c r="W407" s="77">
        <f>IF(ISERROR(VLOOKUP($T$407,'TAR FIN'!$A$1:$O$95,15,0)),0,VLOOKUP($T$407,'TAR FIN'!$A$1:$O$95,15,0))*(1-0.09)</f>
        <v>136.16329999999999</v>
      </c>
      <c r="X407" s="77">
        <f>IF(ISERROR(VLOOKUP($U$407,'TAR FIN'!$A$1:$O$95,15,0)),0,VLOOKUP($U$407,'TAR FIN'!$A$1:$O$95,15,0))*(1-0.09)</f>
        <v>209.32730000000001</v>
      </c>
      <c r="Y407" s="77"/>
      <c r="Z407" s="77">
        <f ca="1">('TUSD BE'!$AM$17+'TUSD BF'!$AM$17+'TUSD CVA'!$AM$17)*1*(1-0.06)</f>
        <v>158.4025784496171</v>
      </c>
      <c r="AA407" s="77">
        <f>('TE BE'!$AA$8+'TE BF'!$AA$8+'TE CVA'!$AA$8)*1*(1-0.06)</f>
        <v>265.94235573400078</v>
      </c>
      <c r="AB407" s="77">
        <f>(SUBSIDIO!$J$407*SUBSIDIO!$V$407)*(0.09)/(1-0.09)</f>
        <v>0</v>
      </c>
      <c r="AC407" s="77">
        <f>((SUBSIDIO!$L$407*SUBSIDIO!$W$407)+(SUBSIDIO!$N$407*SUBSIDIO!$X$407))*(0.09)/(1-0.09)</f>
        <v>17997.535520999998</v>
      </c>
      <c r="AD407" s="77">
        <f>(SUBSIDIO!$J$407*SUBSIDIO!$Y$407)*(0.06)/(1-0.06)</f>
        <v>0</v>
      </c>
      <c r="AE407" s="77">
        <f ca="1">((SUBSIDIO!$L$407*SUBSIDIO!$Z$407)+(SUBSIDIO!$N$407*SUBSIDIO!$AA$407))*(0.06)/(1-0.06)</f>
        <v>14266.52183033134</v>
      </c>
      <c r="AF407" s="4" t="s">
        <v>842</v>
      </c>
    </row>
    <row r="408" spans="1:32" ht="11.25" customHeight="1" x14ac:dyDescent="0.25">
      <c r="A408" s="4" t="s">
        <v>21</v>
      </c>
      <c r="B408" s="4" t="s">
        <v>35</v>
      </c>
      <c r="C408" s="4" t="s">
        <v>36</v>
      </c>
      <c r="D408" s="4" t="s">
        <v>52</v>
      </c>
      <c r="E408" s="4" t="s">
        <v>53</v>
      </c>
      <c r="F408" s="4" t="s">
        <v>25</v>
      </c>
      <c r="G408" s="4" t="s">
        <v>25</v>
      </c>
      <c r="H408" s="4" t="s">
        <v>38</v>
      </c>
      <c r="I408" s="5">
        <v>44166</v>
      </c>
      <c r="J408" s="6">
        <v>0</v>
      </c>
      <c r="K408" s="77">
        <v>0</v>
      </c>
      <c r="L408" s="6">
        <v>1315.575</v>
      </c>
      <c r="M408" s="77">
        <v>1315.575</v>
      </c>
      <c r="N408" s="6">
        <v>1315.575</v>
      </c>
      <c r="O408" s="77">
        <v>1315.575</v>
      </c>
      <c r="P408" s="6">
        <v>0</v>
      </c>
      <c r="Q408" s="4" t="s">
        <v>26</v>
      </c>
      <c r="R408" s="4">
        <v>0</v>
      </c>
      <c r="S408" s="4">
        <v>0</v>
      </c>
      <c r="T408" s="4">
        <v>19</v>
      </c>
      <c r="U408" s="4">
        <v>67</v>
      </c>
      <c r="V408" s="77">
        <f>IF(ISERROR(VLOOKUP($S$408,'TAR FIN'!$A$1:$O$95,15,0)),0,VLOOKUP($S$408,'TAR FIN'!$A$1:$O$95,15,0))</f>
        <v>0</v>
      </c>
      <c r="W408" s="77">
        <f>IF(ISERROR(VLOOKUP($T$408,'TAR FIN'!$A$1:$O$95,15,0)),0,VLOOKUP($T$408,'TAR FIN'!$A$1:$O$95,15,0))*(1-0.09)</f>
        <v>136.16329999999999</v>
      </c>
      <c r="X408" s="77">
        <f>IF(ISERROR(VLOOKUP($U$408,'TAR FIN'!$A$1:$O$95,15,0)),0,VLOOKUP($U$408,'TAR FIN'!$A$1:$O$95,15,0))*(1-0.09)</f>
        <v>209.32730000000001</v>
      </c>
      <c r="Y408" s="77"/>
      <c r="Z408" s="77">
        <f ca="1">('TUSD BE'!$AM$17+'TUSD BF'!$AM$17+'TUSD CVA'!$AM$17)*1*(1-0.06)</f>
        <v>158.4025784496171</v>
      </c>
      <c r="AA408" s="77">
        <f>('TE BE'!$AA$8+'TE BF'!$AA$8+'TE CVA'!$AA$8)*1*(1-0.06)</f>
        <v>265.94235573400078</v>
      </c>
      <c r="AB408" s="77">
        <f>(SUBSIDIO!$J$408*SUBSIDIO!$V$408)*(0.09)/(1-0.09)</f>
        <v>0</v>
      </c>
      <c r="AC408" s="77">
        <f>((SUBSIDIO!$L$408*SUBSIDIO!$W$408)+(SUBSIDIO!$N$408*SUBSIDIO!$X$408))*(0.09)/(1-0.09)</f>
        <v>44952.408404999995</v>
      </c>
      <c r="AD408" s="77">
        <f>(SUBSIDIO!$J$408*SUBSIDIO!$Y$408)*(0.06)/(1-0.06)</f>
        <v>0</v>
      </c>
      <c r="AE408" s="77">
        <f ca="1">((SUBSIDIO!$L$408*SUBSIDIO!$Z$408)+(SUBSIDIO!$N$408*SUBSIDIO!$AA$408))*(0.06)/(1-0.06)</f>
        <v>35633.46298650722</v>
      </c>
      <c r="AF408" s="4" t="s">
        <v>842</v>
      </c>
    </row>
    <row r="409" spans="1:32" ht="11.25" customHeight="1" x14ac:dyDescent="0.25">
      <c r="A409" s="4" t="s">
        <v>28</v>
      </c>
      <c r="B409" s="4" t="s">
        <v>35</v>
      </c>
      <c r="C409" s="4" t="s">
        <v>36</v>
      </c>
      <c r="D409" s="4" t="s">
        <v>52</v>
      </c>
      <c r="E409" s="4" t="s">
        <v>53</v>
      </c>
      <c r="F409" s="4" t="s">
        <v>25</v>
      </c>
      <c r="G409" s="4" t="s">
        <v>25</v>
      </c>
      <c r="H409" s="4" t="s">
        <v>38</v>
      </c>
      <c r="I409" s="5">
        <v>44166</v>
      </c>
      <c r="J409" s="6">
        <v>0</v>
      </c>
      <c r="K409" s="77">
        <v>0</v>
      </c>
      <c r="L409" s="6">
        <v>573.81399999999996</v>
      </c>
      <c r="M409" s="77">
        <v>573.81399999999996</v>
      </c>
      <c r="N409" s="6">
        <v>573.81399999999996</v>
      </c>
      <c r="O409" s="77">
        <v>573.81399999999996</v>
      </c>
      <c r="P409" s="6">
        <v>0</v>
      </c>
      <c r="Q409" s="4" t="s">
        <v>26</v>
      </c>
      <c r="R409" s="4">
        <v>0</v>
      </c>
      <c r="S409" s="4">
        <v>0</v>
      </c>
      <c r="T409" s="4">
        <v>19</v>
      </c>
      <c r="U409" s="4">
        <v>67</v>
      </c>
      <c r="V409" s="77">
        <f>IF(ISERROR(VLOOKUP($S$409,'TAR FIN'!$A$1:$O$95,15,0)),0,VLOOKUP($S$409,'TAR FIN'!$A$1:$O$95,15,0))</f>
        <v>0</v>
      </c>
      <c r="W409" s="77">
        <f>IF(ISERROR(VLOOKUP($T$409,'TAR FIN'!$A$1:$O$95,15,0)),0,VLOOKUP($T$409,'TAR FIN'!$A$1:$O$95,15,0))*(1-0.09)</f>
        <v>136.16329999999999</v>
      </c>
      <c r="X409" s="77">
        <f>IF(ISERROR(VLOOKUP($U$409,'TAR FIN'!$A$1:$O$95,15,0)),0,VLOOKUP($U$409,'TAR FIN'!$A$1:$O$95,15,0))*(1-0.09)</f>
        <v>209.32730000000001</v>
      </c>
      <c r="Y409" s="77"/>
      <c r="Z409" s="77">
        <f ca="1">('TUSD BE'!$AM$17+'TUSD BF'!$AM$17+'TUSD CVA'!$AM$17)*1*(1-0.06)</f>
        <v>158.4025784496171</v>
      </c>
      <c r="AA409" s="77">
        <f>('TE BE'!$AA$8+'TE BF'!$AA$8+'TE CVA'!$AA$8)*1*(1-0.06)</f>
        <v>265.94235573400078</v>
      </c>
      <c r="AB409" s="77">
        <f>(SUBSIDIO!$J$409*SUBSIDIO!$V$409)*(0.09)/(1-0.09)</f>
        <v>0</v>
      </c>
      <c r="AC409" s="77">
        <f>((SUBSIDIO!$L$409*SUBSIDIO!$W$409)+(SUBSIDIO!$N$409*SUBSIDIO!$X$409))*(0.09)/(1-0.09)</f>
        <v>19606.880091599996</v>
      </c>
      <c r="AD409" s="77">
        <f>(SUBSIDIO!$J$409*SUBSIDIO!$Y$409)*(0.06)/(1-0.06)</f>
        <v>0</v>
      </c>
      <c r="AE409" s="77">
        <f ca="1">((SUBSIDIO!$L$409*SUBSIDIO!$Z$409)+(SUBSIDIO!$N$409*SUBSIDIO!$AA$409))*(0.06)/(1-0.06)</f>
        <v>15542.238131721606</v>
      </c>
      <c r="AF409" s="4" t="s">
        <v>842</v>
      </c>
    </row>
    <row r="410" spans="1:32" ht="11.25" customHeight="1" x14ac:dyDescent="0.25">
      <c r="A410" s="4" t="s">
        <v>21</v>
      </c>
      <c r="B410" s="4" t="s">
        <v>35</v>
      </c>
      <c r="C410" s="4" t="s">
        <v>36</v>
      </c>
      <c r="D410" s="4" t="s">
        <v>52</v>
      </c>
      <c r="E410" s="4" t="s">
        <v>53</v>
      </c>
      <c r="F410" s="4" t="s">
        <v>25</v>
      </c>
      <c r="G410" s="4" t="s">
        <v>25</v>
      </c>
      <c r="H410" s="4" t="s">
        <v>38</v>
      </c>
      <c r="I410" s="5">
        <v>44197</v>
      </c>
      <c r="J410" s="6">
        <v>0</v>
      </c>
      <c r="K410" s="77">
        <v>0</v>
      </c>
      <c r="L410" s="6">
        <v>1346.4849999999999</v>
      </c>
      <c r="M410" s="77">
        <v>1346.4849999999999</v>
      </c>
      <c r="N410" s="6">
        <v>1346.4849999999999</v>
      </c>
      <c r="O410" s="77">
        <v>1346.4849999999999</v>
      </c>
      <c r="P410" s="6">
        <v>0</v>
      </c>
      <c r="Q410" s="4" t="s">
        <v>26</v>
      </c>
      <c r="R410" s="4">
        <v>0</v>
      </c>
      <c r="S410" s="4">
        <v>0</v>
      </c>
      <c r="T410" s="4">
        <v>19</v>
      </c>
      <c r="U410" s="4">
        <v>67</v>
      </c>
      <c r="V410" s="77">
        <f>IF(ISERROR(VLOOKUP($S$410,'TAR FIN'!$A$1:$O$95,15,0)),0,VLOOKUP($S$410,'TAR FIN'!$A$1:$O$95,15,0))</f>
        <v>0</v>
      </c>
      <c r="W410" s="77">
        <f>IF(ISERROR(VLOOKUP($T$410,'TAR FIN'!$A$1:$O$95,15,0)),0,VLOOKUP($T$410,'TAR FIN'!$A$1:$O$95,15,0))*(1-0.09)</f>
        <v>136.16329999999999</v>
      </c>
      <c r="X410" s="77">
        <f>IF(ISERROR(VLOOKUP($U$410,'TAR FIN'!$A$1:$O$95,15,0)),0,VLOOKUP($U$410,'TAR FIN'!$A$1:$O$95,15,0))*(1-0.09)</f>
        <v>209.32730000000001</v>
      </c>
      <c r="Y410" s="77"/>
      <c r="Z410" s="77">
        <f ca="1">('TUSD BE'!$AM$17+'TUSD BF'!$AM$17+'TUSD CVA'!$AM$17)*1*(1-0.06)</f>
        <v>158.4025784496171</v>
      </c>
      <c r="AA410" s="77">
        <f>('TE BE'!$AA$8+'TE BF'!$AA$8+'TE CVA'!$AA$8)*1*(1-0.06)</f>
        <v>265.94235573400078</v>
      </c>
      <c r="AB410" s="77">
        <f>(SUBSIDIO!$J$410*SUBSIDIO!$V$410)*(0.09)/(1-0.09)</f>
        <v>0</v>
      </c>
      <c r="AC410" s="77">
        <f>((SUBSIDIO!$L$410*SUBSIDIO!$W$410)+(SUBSIDIO!$N$410*SUBSIDIO!$X$410))*(0.09)/(1-0.09)</f>
        <v>46008.584558999995</v>
      </c>
      <c r="AD410" s="77">
        <f>(SUBSIDIO!$J$410*SUBSIDIO!$Y$410)*(0.06)/(1-0.06)</f>
        <v>0</v>
      </c>
      <c r="AE410" s="77">
        <f ca="1">((SUBSIDIO!$L$410*SUBSIDIO!$Z$410)+(SUBSIDIO!$N$410*SUBSIDIO!$AA$410))*(0.06)/(1-0.06)</f>
        <v>36470.686513035871</v>
      </c>
      <c r="AF410" s="4" t="s">
        <v>842</v>
      </c>
    </row>
    <row r="411" spans="1:32" ht="11.25" customHeight="1" x14ac:dyDescent="0.25">
      <c r="A411" s="4" t="s">
        <v>28</v>
      </c>
      <c r="B411" s="4" t="s">
        <v>35</v>
      </c>
      <c r="C411" s="4" t="s">
        <v>36</v>
      </c>
      <c r="D411" s="4" t="s">
        <v>52</v>
      </c>
      <c r="E411" s="4" t="s">
        <v>53</v>
      </c>
      <c r="F411" s="4" t="s">
        <v>25</v>
      </c>
      <c r="G411" s="4" t="s">
        <v>25</v>
      </c>
      <c r="H411" s="4" t="s">
        <v>38</v>
      </c>
      <c r="I411" s="5">
        <v>44197</v>
      </c>
      <c r="J411" s="6">
        <v>0</v>
      </c>
      <c r="K411" s="77">
        <v>0</v>
      </c>
      <c r="L411" s="6">
        <v>537.18399999999997</v>
      </c>
      <c r="M411" s="77">
        <v>537.18399999999997</v>
      </c>
      <c r="N411" s="6">
        <v>537.18399999999997</v>
      </c>
      <c r="O411" s="77">
        <v>537.18399999999997</v>
      </c>
      <c r="P411" s="6">
        <v>0</v>
      </c>
      <c r="Q411" s="4" t="s">
        <v>26</v>
      </c>
      <c r="R411" s="4">
        <v>0</v>
      </c>
      <c r="S411" s="4">
        <v>0</v>
      </c>
      <c r="T411" s="4">
        <v>19</v>
      </c>
      <c r="U411" s="4">
        <v>67</v>
      </c>
      <c r="V411" s="77">
        <f>IF(ISERROR(VLOOKUP($S$411,'TAR FIN'!$A$1:$O$95,15,0)),0,VLOOKUP($S$411,'TAR FIN'!$A$1:$O$95,15,0))</f>
        <v>0</v>
      </c>
      <c r="W411" s="77">
        <f>IF(ISERROR(VLOOKUP($T$411,'TAR FIN'!$A$1:$O$95,15,0)),0,VLOOKUP($T$411,'TAR FIN'!$A$1:$O$95,15,0))*(1-0.09)</f>
        <v>136.16329999999999</v>
      </c>
      <c r="X411" s="77">
        <f>IF(ISERROR(VLOOKUP($U$411,'TAR FIN'!$A$1:$O$95,15,0)),0,VLOOKUP($U$411,'TAR FIN'!$A$1:$O$95,15,0))*(1-0.09)</f>
        <v>209.32730000000001</v>
      </c>
      <c r="Y411" s="77"/>
      <c r="Z411" s="77">
        <f ca="1">('TUSD BE'!$AM$17+'TUSD BF'!$AM$17+'TUSD CVA'!$AM$17)*1*(1-0.06)</f>
        <v>158.4025784496171</v>
      </c>
      <c r="AA411" s="77">
        <f>('TE BE'!$AA$8+'TE BF'!$AA$8+'TE CVA'!$AA$8)*1*(1-0.06)</f>
        <v>265.94235573400078</v>
      </c>
      <c r="AB411" s="77">
        <f>(SUBSIDIO!$J$411*SUBSIDIO!$V$411)*(0.09)/(1-0.09)</f>
        <v>0</v>
      </c>
      <c r="AC411" s="77">
        <f>((SUBSIDIO!$L$411*SUBSIDIO!$W$411)+(SUBSIDIO!$N$411*SUBSIDIO!$X$411))*(0.09)/(1-0.09)</f>
        <v>18355.254969599995</v>
      </c>
      <c r="AD411" s="77">
        <f>(SUBSIDIO!$J$411*SUBSIDIO!$Y$411)*(0.06)/(1-0.06)</f>
        <v>0</v>
      </c>
      <c r="AE411" s="77">
        <f ca="1">((SUBSIDIO!$L$411*SUBSIDIO!$Z$411)+(SUBSIDIO!$N$411*SUBSIDIO!$AA$411))*(0.06)/(1-0.06)</f>
        <v>14550.083561137822</v>
      </c>
      <c r="AF411" s="4" t="s">
        <v>842</v>
      </c>
    </row>
    <row r="412" spans="1:32" ht="11.25" customHeight="1" x14ac:dyDescent="0.25">
      <c r="A412" s="4" t="s">
        <v>21</v>
      </c>
      <c r="B412" s="4" t="s">
        <v>35</v>
      </c>
      <c r="C412" s="4" t="s">
        <v>36</v>
      </c>
      <c r="D412" s="4" t="s">
        <v>52</v>
      </c>
      <c r="E412" s="4" t="s">
        <v>53</v>
      </c>
      <c r="F412" s="4" t="s">
        <v>25</v>
      </c>
      <c r="G412" s="4" t="s">
        <v>25</v>
      </c>
      <c r="H412" s="4" t="s">
        <v>38</v>
      </c>
      <c r="I412" s="5">
        <v>44228</v>
      </c>
      <c r="J412" s="6">
        <v>0</v>
      </c>
      <c r="K412" s="77">
        <v>0</v>
      </c>
      <c r="L412" s="6">
        <v>1201.9860000000001</v>
      </c>
      <c r="M412" s="77">
        <v>1201.9860000000001</v>
      </c>
      <c r="N412" s="6">
        <v>1201.9860000000001</v>
      </c>
      <c r="O412" s="77">
        <v>1201.9860000000001</v>
      </c>
      <c r="P412" s="6">
        <v>0</v>
      </c>
      <c r="Q412" s="4" t="s">
        <v>26</v>
      </c>
      <c r="R412" s="4">
        <v>0</v>
      </c>
      <c r="S412" s="4">
        <v>0</v>
      </c>
      <c r="T412" s="4">
        <v>19</v>
      </c>
      <c r="U412" s="4">
        <v>67</v>
      </c>
      <c r="V412" s="77">
        <f>IF(ISERROR(VLOOKUP($S$412,'TAR FIN'!$A$1:$O$95,15,0)),0,VLOOKUP($S$412,'TAR FIN'!$A$1:$O$95,15,0))</f>
        <v>0</v>
      </c>
      <c r="W412" s="77">
        <f>IF(ISERROR(VLOOKUP($T$412,'TAR FIN'!$A$1:$O$95,15,0)),0,VLOOKUP($T$412,'TAR FIN'!$A$1:$O$95,15,0))*(1-0.09)</f>
        <v>136.16329999999999</v>
      </c>
      <c r="X412" s="77">
        <f>IF(ISERROR(VLOOKUP($U$412,'TAR FIN'!$A$1:$O$95,15,0)),0,VLOOKUP($U$412,'TAR FIN'!$A$1:$O$95,15,0))*(1-0.09)</f>
        <v>209.32730000000001</v>
      </c>
      <c r="Y412" s="77"/>
      <c r="Z412" s="77">
        <f ca="1">('TUSD BE'!$AM$17+'TUSD BF'!$AM$17+'TUSD CVA'!$AM$17)*1*(1-0.06)</f>
        <v>158.4025784496171</v>
      </c>
      <c r="AA412" s="77">
        <f>('TE BE'!$AA$8+'TE BF'!$AA$8+'TE CVA'!$AA$8)*1*(1-0.06)</f>
        <v>265.94235573400078</v>
      </c>
      <c r="AB412" s="77">
        <f>(SUBSIDIO!$J$412*SUBSIDIO!$V$412)*(0.09)/(1-0.09)</f>
        <v>0</v>
      </c>
      <c r="AC412" s="77">
        <f>((SUBSIDIO!$L$412*SUBSIDIO!$W$412)+(SUBSIDIO!$N$412*SUBSIDIO!$X$412))*(0.09)/(1-0.09)</f>
        <v>41071.140428400002</v>
      </c>
      <c r="AD412" s="77">
        <f>(SUBSIDIO!$J$412*SUBSIDIO!$Y$412)*(0.06)/(1-0.06)</f>
        <v>0</v>
      </c>
      <c r="AE412" s="77">
        <f ca="1">((SUBSIDIO!$L$412*SUBSIDIO!$Z$412)+(SUBSIDIO!$N$412*SUBSIDIO!$AA$412))*(0.06)/(1-0.06)</f>
        <v>32556.808727210439</v>
      </c>
      <c r="AF412" s="4" t="s">
        <v>842</v>
      </c>
    </row>
    <row r="413" spans="1:32" ht="11.25" customHeight="1" x14ac:dyDescent="0.25">
      <c r="A413" s="4" t="s">
        <v>28</v>
      </c>
      <c r="B413" s="4" t="s">
        <v>35</v>
      </c>
      <c r="C413" s="4" t="s">
        <v>36</v>
      </c>
      <c r="D413" s="4" t="s">
        <v>52</v>
      </c>
      <c r="E413" s="4" t="s">
        <v>53</v>
      </c>
      <c r="F413" s="4" t="s">
        <v>25</v>
      </c>
      <c r="G413" s="4" t="s">
        <v>25</v>
      </c>
      <c r="H413" s="4" t="s">
        <v>38</v>
      </c>
      <c r="I413" s="5">
        <v>44228</v>
      </c>
      <c r="J413" s="6">
        <v>0</v>
      </c>
      <c r="K413" s="77">
        <v>0</v>
      </c>
      <c r="L413" s="6">
        <v>475.80500000000001</v>
      </c>
      <c r="M413" s="77">
        <v>475.80500000000001</v>
      </c>
      <c r="N413" s="6">
        <v>475.80500000000001</v>
      </c>
      <c r="O413" s="77">
        <v>475.80500000000001</v>
      </c>
      <c r="P413" s="6">
        <v>0</v>
      </c>
      <c r="Q413" s="4" t="s">
        <v>26</v>
      </c>
      <c r="R413" s="4">
        <v>0</v>
      </c>
      <c r="S413" s="4">
        <v>0</v>
      </c>
      <c r="T413" s="4">
        <v>19</v>
      </c>
      <c r="U413" s="4">
        <v>67</v>
      </c>
      <c r="V413" s="77">
        <f>IF(ISERROR(VLOOKUP($S$413,'TAR FIN'!$A$1:$O$95,15,0)),0,VLOOKUP($S$413,'TAR FIN'!$A$1:$O$95,15,0))</f>
        <v>0</v>
      </c>
      <c r="W413" s="77">
        <f>IF(ISERROR(VLOOKUP($T$413,'TAR FIN'!$A$1:$O$95,15,0)),0,VLOOKUP($T$413,'TAR FIN'!$A$1:$O$95,15,0))*(1-0.09)</f>
        <v>136.16329999999999</v>
      </c>
      <c r="X413" s="77">
        <f>IF(ISERROR(VLOOKUP($U$413,'TAR FIN'!$A$1:$O$95,15,0)),0,VLOOKUP($U$413,'TAR FIN'!$A$1:$O$95,15,0))*(1-0.09)</f>
        <v>209.32730000000001</v>
      </c>
      <c r="Y413" s="77"/>
      <c r="Z413" s="77">
        <f ca="1">('TUSD BE'!$AM$17+'TUSD BF'!$AM$17+'TUSD CVA'!$AM$17)*1*(1-0.06)</f>
        <v>158.4025784496171</v>
      </c>
      <c r="AA413" s="77">
        <f>('TE BE'!$AA$8+'TE BF'!$AA$8+'TE CVA'!$AA$8)*1*(1-0.06)</f>
        <v>265.94235573400078</v>
      </c>
      <c r="AB413" s="77">
        <f>(SUBSIDIO!$J$413*SUBSIDIO!$V$413)*(0.09)/(1-0.09)</f>
        <v>0</v>
      </c>
      <c r="AC413" s="77">
        <f>((SUBSIDIO!$L$413*SUBSIDIO!$W$413)+(SUBSIDIO!$N$413*SUBSIDIO!$X$413))*(0.09)/(1-0.09)</f>
        <v>16257.971367</v>
      </c>
      <c r="AD413" s="77">
        <f>(SUBSIDIO!$J$413*SUBSIDIO!$Y$413)*(0.06)/(1-0.06)</f>
        <v>0</v>
      </c>
      <c r="AE413" s="77">
        <f ca="1">((SUBSIDIO!$L$413*SUBSIDIO!$Z$413)+(SUBSIDIO!$N$413*SUBSIDIO!$AA$413))*(0.06)/(1-0.06)</f>
        <v>12887.581366546998</v>
      </c>
      <c r="AF413" s="4" t="s">
        <v>842</v>
      </c>
    </row>
    <row r="414" spans="1:32" ht="11.25" customHeight="1" x14ac:dyDescent="0.25">
      <c r="A414" s="4" t="s">
        <v>21</v>
      </c>
      <c r="B414" s="4" t="s">
        <v>35</v>
      </c>
      <c r="C414" s="4" t="s">
        <v>36</v>
      </c>
      <c r="D414" s="4" t="s">
        <v>52</v>
      </c>
      <c r="E414" s="4" t="s">
        <v>53</v>
      </c>
      <c r="F414" s="4" t="s">
        <v>25</v>
      </c>
      <c r="G414" s="4" t="s">
        <v>25</v>
      </c>
      <c r="H414" s="4" t="s">
        <v>38</v>
      </c>
      <c r="I414" s="5">
        <v>44256</v>
      </c>
      <c r="J414" s="6">
        <v>0</v>
      </c>
      <c r="K414" s="77">
        <v>0</v>
      </c>
      <c r="L414" s="6">
        <v>1313.335</v>
      </c>
      <c r="M414" s="77">
        <v>1313.335</v>
      </c>
      <c r="N414" s="6">
        <v>1313.335</v>
      </c>
      <c r="O414" s="77">
        <v>1313.335</v>
      </c>
      <c r="P414" s="6">
        <v>0</v>
      </c>
      <c r="Q414" s="4" t="s">
        <v>26</v>
      </c>
      <c r="R414" s="4">
        <v>0</v>
      </c>
      <c r="S414" s="4">
        <v>0</v>
      </c>
      <c r="T414" s="4">
        <v>19</v>
      </c>
      <c r="U414" s="4">
        <v>67</v>
      </c>
      <c r="V414" s="77">
        <f>IF(ISERROR(VLOOKUP($S$414,'TAR FIN'!$A$1:$O$95,15,0)),0,VLOOKUP($S$414,'TAR FIN'!$A$1:$O$95,15,0))</f>
        <v>0</v>
      </c>
      <c r="W414" s="77">
        <f>IF(ISERROR(VLOOKUP($T$414,'TAR FIN'!$A$1:$O$95,15,0)),0,VLOOKUP($T$414,'TAR FIN'!$A$1:$O$95,15,0))*(1-0.09)</f>
        <v>136.16329999999999</v>
      </c>
      <c r="X414" s="77">
        <f>IF(ISERROR(VLOOKUP($U$414,'TAR FIN'!$A$1:$O$95,15,0)),0,VLOOKUP($U$414,'TAR FIN'!$A$1:$O$95,15,0))*(1-0.09)</f>
        <v>209.32730000000001</v>
      </c>
      <c r="Y414" s="77"/>
      <c r="Z414" s="77">
        <f ca="1">('TUSD BE'!$AM$17+'TUSD BF'!$AM$17+'TUSD CVA'!$AM$17)*1*(1-0.06)</f>
        <v>158.4025784496171</v>
      </c>
      <c r="AA414" s="77">
        <f>('TE BE'!$AA$8+'TE BF'!$AA$8+'TE CVA'!$AA$8)*1*(1-0.06)</f>
        <v>265.94235573400078</v>
      </c>
      <c r="AB414" s="77">
        <f>(SUBSIDIO!$J$414*SUBSIDIO!$V$414)*(0.09)/(1-0.09)</f>
        <v>0</v>
      </c>
      <c r="AC414" s="77">
        <f>((SUBSIDIO!$L$414*SUBSIDIO!$W$414)+(SUBSIDIO!$N$414*SUBSIDIO!$X$414))*(0.09)/(1-0.09)</f>
        <v>44875.868948999996</v>
      </c>
      <c r="AD414" s="77">
        <f>(SUBSIDIO!$J$414*SUBSIDIO!$Y$414)*(0.06)/(1-0.06)</f>
        <v>0</v>
      </c>
      <c r="AE414" s="77">
        <f ca="1">((SUBSIDIO!$L$414*SUBSIDIO!$Z$414)+(SUBSIDIO!$N$414*SUBSIDIO!$AA$414))*(0.06)/(1-0.06)</f>
        <v>35572.790689534588</v>
      </c>
      <c r="AF414" s="4" t="s">
        <v>842</v>
      </c>
    </row>
    <row r="415" spans="1:32" ht="11.25" customHeight="1" x14ac:dyDescent="0.25">
      <c r="A415" s="4" t="s">
        <v>28</v>
      </c>
      <c r="B415" s="4" t="s">
        <v>35</v>
      </c>
      <c r="C415" s="4" t="s">
        <v>36</v>
      </c>
      <c r="D415" s="4" t="s">
        <v>52</v>
      </c>
      <c r="E415" s="4" t="s">
        <v>53</v>
      </c>
      <c r="F415" s="4" t="s">
        <v>25</v>
      </c>
      <c r="G415" s="4" t="s">
        <v>25</v>
      </c>
      <c r="H415" s="4" t="s">
        <v>38</v>
      </c>
      <c r="I415" s="5">
        <v>44256</v>
      </c>
      <c r="J415" s="6">
        <v>0</v>
      </c>
      <c r="K415" s="77">
        <v>0</v>
      </c>
      <c r="L415" s="6">
        <v>523.48400000000004</v>
      </c>
      <c r="M415" s="77">
        <v>523.48400000000004</v>
      </c>
      <c r="N415" s="6">
        <v>523.48400000000004</v>
      </c>
      <c r="O415" s="77">
        <v>523.48400000000004</v>
      </c>
      <c r="P415" s="6">
        <v>0</v>
      </c>
      <c r="Q415" s="4" t="s">
        <v>26</v>
      </c>
      <c r="R415" s="4">
        <v>0</v>
      </c>
      <c r="S415" s="4">
        <v>0</v>
      </c>
      <c r="T415" s="4">
        <v>19</v>
      </c>
      <c r="U415" s="4">
        <v>67</v>
      </c>
      <c r="V415" s="77">
        <f>IF(ISERROR(VLOOKUP($S$415,'TAR FIN'!$A$1:$O$95,15,0)),0,VLOOKUP($S$415,'TAR FIN'!$A$1:$O$95,15,0))</f>
        <v>0</v>
      </c>
      <c r="W415" s="77">
        <f>IF(ISERROR(VLOOKUP($T$415,'TAR FIN'!$A$1:$O$95,15,0)),0,VLOOKUP($T$415,'TAR FIN'!$A$1:$O$95,15,0))*(1-0.09)</f>
        <v>136.16329999999999</v>
      </c>
      <c r="X415" s="77">
        <f>IF(ISERROR(VLOOKUP($U$415,'TAR FIN'!$A$1:$O$95,15,0)),0,VLOOKUP($U$415,'TAR FIN'!$A$1:$O$95,15,0))*(1-0.09)</f>
        <v>209.32730000000001</v>
      </c>
      <c r="Y415" s="77"/>
      <c r="Z415" s="77">
        <f ca="1">('TUSD BE'!$AM$17+'TUSD BF'!$AM$17+'TUSD CVA'!$AM$17)*1*(1-0.06)</f>
        <v>158.4025784496171</v>
      </c>
      <c r="AA415" s="77">
        <f>('TE BE'!$AA$8+'TE BF'!$AA$8+'TE CVA'!$AA$8)*1*(1-0.06)</f>
        <v>265.94235573400078</v>
      </c>
      <c r="AB415" s="77">
        <f>(SUBSIDIO!$J$415*SUBSIDIO!$V$415)*(0.09)/(1-0.09)</f>
        <v>0</v>
      </c>
      <c r="AC415" s="77">
        <f>((SUBSIDIO!$L$415*SUBSIDIO!$W$415)+(SUBSIDIO!$N$415*SUBSIDIO!$X$415))*(0.09)/(1-0.09)</f>
        <v>17887.134189600001</v>
      </c>
      <c r="AD415" s="77">
        <f>(SUBSIDIO!$J$415*SUBSIDIO!$Y$415)*(0.06)/(1-0.06)</f>
        <v>0</v>
      </c>
      <c r="AE415" s="77">
        <f ca="1">((SUBSIDIO!$L$415*SUBSIDIO!$Z$415)+(SUBSIDIO!$N$415*SUBSIDIO!$AA$415))*(0.06)/(1-0.06)</f>
        <v>14179.007459117684</v>
      </c>
      <c r="AF415" s="4" t="s">
        <v>842</v>
      </c>
    </row>
    <row r="416" spans="1:32" ht="11.25" customHeight="1" x14ac:dyDescent="0.25">
      <c r="A416" s="4" t="s">
        <v>21</v>
      </c>
      <c r="B416" s="4" t="s">
        <v>35</v>
      </c>
      <c r="C416" s="4" t="s">
        <v>36</v>
      </c>
      <c r="D416" s="4" t="s">
        <v>52</v>
      </c>
      <c r="E416" s="4" t="s">
        <v>53</v>
      </c>
      <c r="F416" s="4" t="s">
        <v>25</v>
      </c>
      <c r="G416" s="4" t="s">
        <v>25</v>
      </c>
      <c r="H416" s="4" t="s">
        <v>38</v>
      </c>
      <c r="I416" s="5">
        <v>44287</v>
      </c>
      <c r="J416" s="6">
        <v>0</v>
      </c>
      <c r="K416" s="77">
        <v>0</v>
      </c>
      <c r="L416" s="6">
        <v>1209.104</v>
      </c>
      <c r="M416" s="77">
        <v>1209.104</v>
      </c>
      <c r="N416" s="6">
        <v>1209.104</v>
      </c>
      <c r="O416" s="77">
        <v>1209.104</v>
      </c>
      <c r="P416" s="6">
        <v>0</v>
      </c>
      <c r="Q416" s="4" t="s">
        <v>26</v>
      </c>
      <c r="R416" s="4">
        <v>0</v>
      </c>
      <c r="S416" s="4">
        <v>0</v>
      </c>
      <c r="T416" s="4">
        <v>19</v>
      </c>
      <c r="U416" s="4">
        <v>67</v>
      </c>
      <c r="V416" s="77">
        <f>IF(ISERROR(VLOOKUP($S$416,'TAR FIN'!$A$1:$O$95,15,0)),0,VLOOKUP($S$416,'TAR FIN'!$A$1:$O$95,15,0))</f>
        <v>0</v>
      </c>
      <c r="W416" s="77">
        <f>IF(ISERROR(VLOOKUP($T$416,'TAR FIN'!$A$1:$O$95,15,0)),0,VLOOKUP($T$416,'TAR FIN'!$A$1:$O$95,15,0))*(1-0.09)</f>
        <v>136.16329999999999</v>
      </c>
      <c r="X416" s="77">
        <f>IF(ISERROR(VLOOKUP($U$416,'TAR FIN'!$A$1:$O$95,15,0)),0,VLOOKUP($U$416,'TAR FIN'!$A$1:$O$95,15,0))*(1-0.09)</f>
        <v>209.32730000000001</v>
      </c>
      <c r="Y416" s="77"/>
      <c r="Z416" s="77">
        <f ca="1">('TUSD BE'!$AM$17+'TUSD BF'!$AM$17+'TUSD CVA'!$AM$17)*1*(1-0.06)</f>
        <v>158.4025784496171</v>
      </c>
      <c r="AA416" s="77">
        <f>('TE BE'!$AA$8+'TE BF'!$AA$8+'TE CVA'!$AA$8)*1*(1-0.06)</f>
        <v>265.94235573400078</v>
      </c>
      <c r="AB416" s="77">
        <f>(SUBSIDIO!$J$416*SUBSIDIO!$V$416)*(0.09)/(1-0.09)</f>
        <v>0</v>
      </c>
      <c r="AC416" s="77">
        <f>((SUBSIDIO!$L$416*SUBSIDIO!$W$416)+(SUBSIDIO!$N$416*SUBSIDIO!$X$416))*(0.09)/(1-0.09)</f>
        <v>41314.358217599998</v>
      </c>
      <c r="AD416" s="77">
        <f>(SUBSIDIO!$J$416*SUBSIDIO!$Y$416)*(0.06)/(1-0.06)</f>
        <v>0</v>
      </c>
      <c r="AE416" s="77">
        <f ca="1">((SUBSIDIO!$L$416*SUBSIDIO!$Z$416)+(SUBSIDIO!$N$416*SUBSIDIO!$AA$416))*(0.06)/(1-0.06)</f>
        <v>32749.60578517973</v>
      </c>
      <c r="AF416" s="4" t="s">
        <v>842</v>
      </c>
    </row>
    <row r="417" spans="1:32" ht="11.25" customHeight="1" x14ac:dyDescent="0.25">
      <c r="A417" s="4" t="s">
        <v>28</v>
      </c>
      <c r="B417" s="4" t="s">
        <v>35</v>
      </c>
      <c r="C417" s="4" t="s">
        <v>36</v>
      </c>
      <c r="D417" s="4" t="s">
        <v>52</v>
      </c>
      <c r="E417" s="4" t="s">
        <v>53</v>
      </c>
      <c r="F417" s="4" t="s">
        <v>25</v>
      </c>
      <c r="G417" s="4" t="s">
        <v>25</v>
      </c>
      <c r="H417" s="4" t="s">
        <v>38</v>
      </c>
      <c r="I417" s="5">
        <v>44287</v>
      </c>
      <c r="J417" s="6">
        <v>0</v>
      </c>
      <c r="K417" s="77">
        <v>0</v>
      </c>
      <c r="L417" s="6">
        <v>527.22299999999996</v>
      </c>
      <c r="M417" s="77">
        <v>527.22299999999996</v>
      </c>
      <c r="N417" s="6">
        <v>527.22299999999996</v>
      </c>
      <c r="O417" s="77">
        <v>527.22299999999996</v>
      </c>
      <c r="P417" s="6">
        <v>0</v>
      </c>
      <c r="Q417" s="4" t="s">
        <v>26</v>
      </c>
      <c r="R417" s="4">
        <v>0</v>
      </c>
      <c r="S417" s="4">
        <v>0</v>
      </c>
      <c r="T417" s="4">
        <v>19</v>
      </c>
      <c r="U417" s="4">
        <v>67</v>
      </c>
      <c r="V417" s="77">
        <f>IF(ISERROR(VLOOKUP($S$417,'TAR FIN'!$A$1:$O$95,15,0)),0,VLOOKUP($S$417,'TAR FIN'!$A$1:$O$95,15,0))</f>
        <v>0</v>
      </c>
      <c r="W417" s="77">
        <f>IF(ISERROR(VLOOKUP($T$417,'TAR FIN'!$A$1:$O$95,15,0)),0,VLOOKUP($T$417,'TAR FIN'!$A$1:$O$95,15,0))*(1-0.09)</f>
        <v>136.16329999999999</v>
      </c>
      <c r="X417" s="77">
        <f>IF(ISERROR(VLOOKUP($U$417,'TAR FIN'!$A$1:$O$95,15,0)),0,VLOOKUP($U$417,'TAR FIN'!$A$1:$O$95,15,0))*(1-0.09)</f>
        <v>209.32730000000001</v>
      </c>
      <c r="Y417" s="77"/>
      <c r="Z417" s="77">
        <f ca="1">('TUSD BE'!$AM$17+'TUSD BF'!$AM$17+'TUSD CVA'!$AM$17)*1*(1-0.06)</f>
        <v>158.4025784496171</v>
      </c>
      <c r="AA417" s="77">
        <f>('TE BE'!$AA$8+'TE BF'!$AA$8+'TE CVA'!$AA$8)*1*(1-0.06)</f>
        <v>265.94235573400078</v>
      </c>
      <c r="AB417" s="77">
        <f>(SUBSIDIO!$J$417*SUBSIDIO!$V$417)*(0.09)/(1-0.09)</f>
        <v>0</v>
      </c>
      <c r="AC417" s="77">
        <f>((SUBSIDIO!$L$417*SUBSIDIO!$W$417)+(SUBSIDIO!$N$417*SUBSIDIO!$X$417))*(0.09)/(1-0.09)</f>
        <v>18014.8935762</v>
      </c>
      <c r="AD417" s="77">
        <f>(SUBSIDIO!$J$417*SUBSIDIO!$Y$417)*(0.06)/(1-0.06)</f>
        <v>0</v>
      </c>
      <c r="AE417" s="77">
        <f ca="1">((SUBSIDIO!$L$417*SUBSIDIO!$Z$417)+(SUBSIDIO!$N$417*SUBSIDIO!$AA$417))*(0.06)/(1-0.06)</f>
        <v>14280.28144053763</v>
      </c>
      <c r="AF417" s="4" t="s">
        <v>842</v>
      </c>
    </row>
    <row r="418" spans="1:32" ht="11.25" customHeight="1" x14ac:dyDescent="0.25">
      <c r="A418" s="4" t="s">
        <v>21</v>
      </c>
      <c r="B418" s="4" t="s">
        <v>35</v>
      </c>
      <c r="C418" s="4" t="s">
        <v>36</v>
      </c>
      <c r="D418" s="4" t="s">
        <v>52</v>
      </c>
      <c r="E418" s="4" t="s">
        <v>53</v>
      </c>
      <c r="F418" s="4" t="s">
        <v>25</v>
      </c>
      <c r="G418" s="4" t="s">
        <v>25</v>
      </c>
      <c r="H418" s="4" t="s">
        <v>38</v>
      </c>
      <c r="I418" s="5">
        <v>44317</v>
      </c>
      <c r="J418" s="6">
        <v>0</v>
      </c>
      <c r="K418" s="77">
        <v>0</v>
      </c>
      <c r="L418" s="6">
        <v>1323.21</v>
      </c>
      <c r="M418" s="77">
        <v>1323.21</v>
      </c>
      <c r="N418" s="6">
        <v>1323.21</v>
      </c>
      <c r="O418" s="77">
        <v>1323.21</v>
      </c>
      <c r="P418" s="6">
        <v>0</v>
      </c>
      <c r="Q418" s="4" t="s">
        <v>26</v>
      </c>
      <c r="R418" s="4">
        <v>0</v>
      </c>
      <c r="S418" s="4">
        <v>0</v>
      </c>
      <c r="T418" s="4">
        <v>19</v>
      </c>
      <c r="U418" s="4">
        <v>67</v>
      </c>
      <c r="V418" s="77">
        <f>IF(ISERROR(VLOOKUP($S$418,'TAR FIN'!$A$1:$O$95,15,0)),0,VLOOKUP($S$418,'TAR FIN'!$A$1:$O$95,15,0))</f>
        <v>0</v>
      </c>
      <c r="W418" s="77">
        <f>IF(ISERROR(VLOOKUP($T$418,'TAR FIN'!$A$1:$O$95,15,0)),0,VLOOKUP($T$418,'TAR FIN'!$A$1:$O$95,15,0))*(1-0.09)</f>
        <v>136.16329999999999</v>
      </c>
      <c r="X418" s="77">
        <f>IF(ISERROR(VLOOKUP($U$418,'TAR FIN'!$A$1:$O$95,15,0)),0,VLOOKUP($U$418,'TAR FIN'!$A$1:$O$95,15,0))*(1-0.09)</f>
        <v>209.32730000000001</v>
      </c>
      <c r="Y418" s="77"/>
      <c r="Z418" s="77">
        <f ca="1">('TUSD BE'!$AM$17+'TUSD BF'!$AM$17+'TUSD CVA'!$AM$17)*1*(1-0.06)</f>
        <v>158.4025784496171</v>
      </c>
      <c r="AA418" s="77">
        <f>('TE BE'!$AA$8+'TE BF'!$AA$8+'TE CVA'!$AA$8)*1*(1-0.06)</f>
        <v>265.94235573400078</v>
      </c>
      <c r="AB418" s="77">
        <f>(SUBSIDIO!$J$418*SUBSIDIO!$V$418)*(0.09)/(1-0.09)</f>
        <v>0</v>
      </c>
      <c r="AC418" s="77">
        <f>((SUBSIDIO!$L$418*SUBSIDIO!$W$418)+(SUBSIDIO!$N$418*SUBSIDIO!$X$418))*(0.09)/(1-0.09)</f>
        <v>45213.291773999998</v>
      </c>
      <c r="AD418" s="77">
        <f>(SUBSIDIO!$J$418*SUBSIDIO!$Y$418)*(0.06)/(1-0.06)</f>
        <v>0</v>
      </c>
      <c r="AE418" s="77">
        <f ca="1">((SUBSIDIO!$L$418*SUBSIDIO!$Z$418)+(SUBSIDIO!$N$418*SUBSIDIO!$AA$418))*(0.06)/(1-0.06)</f>
        <v>35840.263427304584</v>
      </c>
      <c r="AF418" s="4" t="s">
        <v>842</v>
      </c>
    </row>
    <row r="419" spans="1:32" ht="11.25" customHeight="1" x14ac:dyDescent="0.25">
      <c r="A419" s="4" t="s">
        <v>28</v>
      </c>
      <c r="B419" s="4" t="s">
        <v>35</v>
      </c>
      <c r="C419" s="4" t="s">
        <v>36</v>
      </c>
      <c r="D419" s="4" t="s">
        <v>52</v>
      </c>
      <c r="E419" s="4" t="s">
        <v>53</v>
      </c>
      <c r="F419" s="4" t="s">
        <v>25</v>
      </c>
      <c r="G419" s="4" t="s">
        <v>25</v>
      </c>
      <c r="H419" s="4" t="s">
        <v>38</v>
      </c>
      <c r="I419" s="5">
        <v>44317</v>
      </c>
      <c r="J419" s="6">
        <v>0</v>
      </c>
      <c r="K419" s="77">
        <v>0</v>
      </c>
      <c r="L419" s="6">
        <v>574.48800000000006</v>
      </c>
      <c r="M419" s="77">
        <v>574.48800000000006</v>
      </c>
      <c r="N419" s="6">
        <v>574.48800000000006</v>
      </c>
      <c r="O419" s="77">
        <v>574.48800000000006</v>
      </c>
      <c r="P419" s="6">
        <v>0</v>
      </c>
      <c r="Q419" s="4" t="s">
        <v>26</v>
      </c>
      <c r="R419" s="4">
        <v>0</v>
      </c>
      <c r="S419" s="4">
        <v>0</v>
      </c>
      <c r="T419" s="4">
        <v>19</v>
      </c>
      <c r="U419" s="4">
        <v>67</v>
      </c>
      <c r="V419" s="77">
        <f>IF(ISERROR(VLOOKUP($S$419,'TAR FIN'!$A$1:$O$95,15,0)),0,VLOOKUP($S$419,'TAR FIN'!$A$1:$O$95,15,0))</f>
        <v>0</v>
      </c>
      <c r="W419" s="77">
        <f>IF(ISERROR(VLOOKUP($T$419,'TAR FIN'!$A$1:$O$95,15,0)),0,VLOOKUP($T$419,'TAR FIN'!$A$1:$O$95,15,0))*(1-0.09)</f>
        <v>136.16329999999999</v>
      </c>
      <c r="X419" s="77">
        <f>IF(ISERROR(VLOOKUP($U$419,'TAR FIN'!$A$1:$O$95,15,0)),0,VLOOKUP($U$419,'TAR FIN'!$A$1:$O$95,15,0))*(1-0.09)</f>
        <v>209.32730000000001</v>
      </c>
      <c r="Y419" s="77"/>
      <c r="Z419" s="77">
        <f ca="1">('TUSD BE'!$AM$17+'TUSD BF'!$AM$17+'TUSD CVA'!$AM$17)*1*(1-0.06)</f>
        <v>158.4025784496171</v>
      </c>
      <c r="AA419" s="77">
        <f>('TE BE'!$AA$8+'TE BF'!$AA$8+'TE CVA'!$AA$8)*1*(1-0.06)</f>
        <v>265.94235573400078</v>
      </c>
      <c r="AB419" s="77">
        <f>(SUBSIDIO!$J$419*SUBSIDIO!$V$419)*(0.09)/(1-0.09)</f>
        <v>0</v>
      </c>
      <c r="AC419" s="77">
        <f>((SUBSIDIO!$L$419*SUBSIDIO!$W$419)+(SUBSIDIO!$N$419*SUBSIDIO!$X$419))*(0.09)/(1-0.09)</f>
        <v>19629.910267200001</v>
      </c>
      <c r="AD419" s="77">
        <f>(SUBSIDIO!$J$419*SUBSIDIO!$Y$419)*(0.06)/(1-0.06)</f>
        <v>0</v>
      </c>
      <c r="AE419" s="77">
        <f ca="1">((SUBSIDIO!$L$419*SUBSIDIO!$Z$419)+(SUBSIDIO!$N$419*SUBSIDIO!$AA$419))*(0.06)/(1-0.06)</f>
        <v>15560.493992507125</v>
      </c>
      <c r="AF419" s="4" t="s">
        <v>842</v>
      </c>
    </row>
    <row r="420" spans="1:32" ht="11.25" customHeight="1" x14ac:dyDescent="0.25">
      <c r="A420" s="4" t="s">
        <v>29</v>
      </c>
      <c r="B420" s="4" t="s">
        <v>35</v>
      </c>
      <c r="C420" s="4" t="s">
        <v>36</v>
      </c>
      <c r="D420" s="4" t="s">
        <v>52</v>
      </c>
      <c r="E420" s="4" t="s">
        <v>53</v>
      </c>
      <c r="F420" s="4" t="s">
        <v>25</v>
      </c>
      <c r="G420" s="4" t="s">
        <v>25</v>
      </c>
      <c r="H420" s="4" t="s">
        <v>38</v>
      </c>
      <c r="I420" s="5">
        <v>44317</v>
      </c>
      <c r="J420" s="6">
        <v>0</v>
      </c>
      <c r="K420" s="77">
        <v>0</v>
      </c>
      <c r="L420" s="6">
        <v>132.31399999999999</v>
      </c>
      <c r="M420" s="77">
        <v>132.31399999999999</v>
      </c>
      <c r="N420" s="6">
        <v>132.31399999999999</v>
      </c>
      <c r="O420" s="77">
        <v>132.31399999999999</v>
      </c>
      <c r="P420" s="6">
        <v>0</v>
      </c>
      <c r="Q420" s="4" t="s">
        <v>26</v>
      </c>
      <c r="R420" s="4">
        <v>0</v>
      </c>
      <c r="S420" s="4">
        <v>0</v>
      </c>
      <c r="T420" s="4">
        <v>19</v>
      </c>
      <c r="U420" s="4">
        <v>67</v>
      </c>
      <c r="V420" s="77">
        <f>IF(ISERROR(VLOOKUP($S$420,'TAR FIN'!$A$1:$O$95,15,0)),0,VLOOKUP($S$420,'TAR FIN'!$A$1:$O$95,15,0))</f>
        <v>0</v>
      </c>
      <c r="W420" s="77">
        <f>IF(ISERROR(VLOOKUP($T$420,'TAR FIN'!$A$1:$O$95,15,0)),0,VLOOKUP($T$420,'TAR FIN'!$A$1:$O$95,15,0))*(1-0.09)</f>
        <v>136.16329999999999</v>
      </c>
      <c r="X420" s="77">
        <f>IF(ISERROR(VLOOKUP($U$420,'TAR FIN'!$A$1:$O$95,15,0)),0,VLOOKUP($U$420,'TAR FIN'!$A$1:$O$95,15,0))*(1-0.09)</f>
        <v>209.32730000000001</v>
      </c>
      <c r="Y420" s="77"/>
      <c r="Z420" s="77">
        <f ca="1">('TUSD BE'!$AM$17+'TUSD BF'!$AM$17+'TUSD CVA'!$AM$17)*1*(1-0.06)</f>
        <v>158.4025784496171</v>
      </c>
      <c r="AA420" s="77">
        <f>('TE BE'!$AA$8+'TE BF'!$AA$8+'TE CVA'!$AA$8)*1*(1-0.06)</f>
        <v>265.94235573400078</v>
      </c>
      <c r="AB420" s="77">
        <f>(SUBSIDIO!$J$420*SUBSIDIO!$V$420)*(0.09)/(1-0.09)</f>
        <v>0</v>
      </c>
      <c r="AC420" s="77">
        <f>((SUBSIDIO!$L$420*SUBSIDIO!$W$420)+(SUBSIDIO!$N$420*SUBSIDIO!$X$420))*(0.09)/(1-0.09)</f>
        <v>4521.0899915999998</v>
      </c>
      <c r="AD420" s="77">
        <f>(SUBSIDIO!$J$420*SUBSIDIO!$Y$420)*(0.06)/(1-0.06)</f>
        <v>0</v>
      </c>
      <c r="AE420" s="77">
        <f ca="1">((SUBSIDIO!$L$420*SUBSIDIO!$Z$420)+(SUBSIDIO!$N$420*SUBSIDIO!$AA$420))*(0.06)/(1-0.06)</f>
        <v>3583.8367418024181</v>
      </c>
      <c r="AF420" s="4" t="s">
        <v>842</v>
      </c>
    </row>
    <row r="421" spans="1:32" ht="11.25" customHeight="1" x14ac:dyDescent="0.25">
      <c r="A421" s="4" t="s">
        <v>21</v>
      </c>
      <c r="B421" s="4" t="s">
        <v>35</v>
      </c>
      <c r="C421" s="4" t="s">
        <v>36</v>
      </c>
      <c r="D421" s="4" t="s">
        <v>52</v>
      </c>
      <c r="E421" s="4" t="s">
        <v>53</v>
      </c>
      <c r="F421" s="4" t="s">
        <v>25</v>
      </c>
      <c r="G421" s="4" t="s">
        <v>25</v>
      </c>
      <c r="H421" s="4" t="s">
        <v>38</v>
      </c>
      <c r="I421" s="5">
        <v>44348</v>
      </c>
      <c r="J421" s="6">
        <v>0</v>
      </c>
      <c r="K421" s="77">
        <v>0</v>
      </c>
      <c r="L421" s="6">
        <v>1258.903</v>
      </c>
      <c r="M421" s="77">
        <v>1258.903</v>
      </c>
      <c r="N421" s="6">
        <v>1258.903</v>
      </c>
      <c r="O421" s="77">
        <v>1258.903</v>
      </c>
      <c r="P421" s="6">
        <v>0</v>
      </c>
      <c r="Q421" s="4" t="s">
        <v>26</v>
      </c>
      <c r="R421" s="4">
        <v>0</v>
      </c>
      <c r="S421" s="4">
        <v>0</v>
      </c>
      <c r="T421" s="4">
        <v>19</v>
      </c>
      <c r="U421" s="4">
        <v>67</v>
      </c>
      <c r="V421" s="77">
        <f>IF(ISERROR(VLOOKUP($S$421,'TAR FIN'!$A$1:$O$95,15,0)),0,VLOOKUP($S$421,'TAR FIN'!$A$1:$O$95,15,0))</f>
        <v>0</v>
      </c>
      <c r="W421" s="77">
        <f>IF(ISERROR(VLOOKUP($T$421,'TAR FIN'!$A$1:$O$95,15,0)),0,VLOOKUP($T$421,'TAR FIN'!$A$1:$O$95,15,0))*(1-0.09)</f>
        <v>136.16329999999999</v>
      </c>
      <c r="X421" s="77">
        <f>IF(ISERROR(VLOOKUP($U$421,'TAR FIN'!$A$1:$O$95,15,0)),0,VLOOKUP($U$421,'TAR FIN'!$A$1:$O$95,15,0))*(1-0.09)</f>
        <v>209.32730000000001</v>
      </c>
      <c r="Y421" s="77"/>
      <c r="Z421" s="77">
        <f ca="1">('TUSD BE'!$AM$17+'TUSD BF'!$AM$17+'TUSD CVA'!$AM$17)*1*(1-0.06)</f>
        <v>158.4025784496171</v>
      </c>
      <c r="AA421" s="77">
        <f>('TE BE'!$AA$8+'TE BF'!$AA$8+'TE CVA'!$AA$8)*1*(1-0.06)</f>
        <v>265.94235573400078</v>
      </c>
      <c r="AB421" s="77">
        <f>(SUBSIDIO!$J$421*SUBSIDIO!$V$421)*(0.09)/(1-0.09)</f>
        <v>0</v>
      </c>
      <c r="AC421" s="77">
        <f>((SUBSIDIO!$L$421*SUBSIDIO!$W$421)+(SUBSIDIO!$N$421*SUBSIDIO!$X$421))*(0.09)/(1-0.09)</f>
        <v>43015.960168199999</v>
      </c>
      <c r="AD421" s="77">
        <f>(SUBSIDIO!$J$421*SUBSIDIO!$Y$421)*(0.06)/(1-0.06)</f>
        <v>0</v>
      </c>
      <c r="AE421" s="77">
        <f ca="1">((SUBSIDIO!$L$421*SUBSIDIO!$Z$421)+(SUBSIDIO!$N$421*SUBSIDIO!$AA$421))*(0.06)/(1-0.06)</f>
        <v>34098.453873099526</v>
      </c>
      <c r="AF421" s="4" t="s">
        <v>842</v>
      </c>
    </row>
    <row r="422" spans="1:32" ht="11.25" customHeight="1" x14ac:dyDescent="0.25">
      <c r="A422" s="4" t="s">
        <v>28</v>
      </c>
      <c r="B422" s="4" t="s">
        <v>35</v>
      </c>
      <c r="C422" s="4" t="s">
        <v>36</v>
      </c>
      <c r="D422" s="4" t="s">
        <v>52</v>
      </c>
      <c r="E422" s="4" t="s">
        <v>53</v>
      </c>
      <c r="F422" s="4" t="s">
        <v>25</v>
      </c>
      <c r="G422" s="4" t="s">
        <v>25</v>
      </c>
      <c r="H422" s="4" t="s">
        <v>38</v>
      </c>
      <c r="I422" s="5">
        <v>44348</v>
      </c>
      <c r="J422" s="6">
        <v>0</v>
      </c>
      <c r="K422" s="77">
        <v>0</v>
      </c>
      <c r="L422" s="6">
        <v>586.72699999999998</v>
      </c>
      <c r="M422" s="77">
        <v>586.72699999999998</v>
      </c>
      <c r="N422" s="6">
        <v>586.72699999999998</v>
      </c>
      <c r="O422" s="77">
        <v>586.72699999999998</v>
      </c>
      <c r="P422" s="6">
        <v>0</v>
      </c>
      <c r="Q422" s="4" t="s">
        <v>26</v>
      </c>
      <c r="R422" s="4">
        <v>0</v>
      </c>
      <c r="S422" s="4">
        <v>0</v>
      </c>
      <c r="T422" s="4">
        <v>19</v>
      </c>
      <c r="U422" s="4">
        <v>67</v>
      </c>
      <c r="V422" s="77">
        <f>IF(ISERROR(VLOOKUP($S$422,'TAR FIN'!$A$1:$O$95,15,0)),0,VLOOKUP($S$422,'TAR FIN'!$A$1:$O$95,15,0))</f>
        <v>0</v>
      </c>
      <c r="W422" s="77">
        <f>IF(ISERROR(VLOOKUP($T$422,'TAR FIN'!$A$1:$O$95,15,0)),0,VLOOKUP($T$422,'TAR FIN'!$A$1:$O$95,15,0))*(1-0.09)</f>
        <v>136.16329999999999</v>
      </c>
      <c r="X422" s="77">
        <f>IF(ISERROR(VLOOKUP($U$422,'TAR FIN'!$A$1:$O$95,15,0)),0,VLOOKUP($U$422,'TAR FIN'!$A$1:$O$95,15,0))*(1-0.09)</f>
        <v>209.32730000000001</v>
      </c>
      <c r="Y422" s="77"/>
      <c r="Z422" s="77">
        <f ca="1">('TUSD BE'!$AM$17+'TUSD BF'!$AM$17+'TUSD CVA'!$AM$17)*1*(1-0.06)</f>
        <v>158.4025784496171</v>
      </c>
      <c r="AA422" s="77">
        <f>('TE BE'!$AA$8+'TE BF'!$AA$8+'TE CVA'!$AA$8)*1*(1-0.06)</f>
        <v>265.94235573400078</v>
      </c>
      <c r="AB422" s="77">
        <f>(SUBSIDIO!$J$422*SUBSIDIO!$V$422)*(0.09)/(1-0.09)</f>
        <v>0</v>
      </c>
      <c r="AC422" s="77">
        <f>((SUBSIDIO!$L$422*SUBSIDIO!$W$422)+(SUBSIDIO!$N$422*SUBSIDIO!$X$422))*(0.09)/(1-0.09)</f>
        <v>20048.109553799997</v>
      </c>
      <c r="AD422" s="77">
        <f>(SUBSIDIO!$J$422*SUBSIDIO!$Y$422)*(0.06)/(1-0.06)</f>
        <v>0</v>
      </c>
      <c r="AE422" s="77">
        <f ca="1">((SUBSIDIO!$L$422*SUBSIDIO!$Z$422)+(SUBSIDIO!$N$422*SUBSIDIO!$AA$422))*(0.06)/(1-0.06)</f>
        <v>15891.997672260737</v>
      </c>
      <c r="AF422" s="4" t="s">
        <v>842</v>
      </c>
    </row>
    <row r="423" spans="1:32" ht="11.25" customHeight="1" x14ac:dyDescent="0.25">
      <c r="A423" s="4" t="s">
        <v>21</v>
      </c>
      <c r="B423" s="4" t="s">
        <v>35</v>
      </c>
      <c r="C423" s="4" t="s">
        <v>36</v>
      </c>
      <c r="D423" s="4" t="s">
        <v>52</v>
      </c>
      <c r="E423" s="4" t="s">
        <v>53</v>
      </c>
      <c r="F423" s="4" t="s">
        <v>25</v>
      </c>
      <c r="G423" s="4" t="s">
        <v>25</v>
      </c>
      <c r="H423" s="4" t="s">
        <v>38</v>
      </c>
      <c r="I423" s="5">
        <v>44378</v>
      </c>
      <c r="J423" s="6">
        <v>0</v>
      </c>
      <c r="K423" s="77">
        <v>0</v>
      </c>
      <c r="L423" s="6">
        <v>1375.585</v>
      </c>
      <c r="M423" s="77">
        <v>1375.585</v>
      </c>
      <c r="N423" s="6">
        <v>1375.585</v>
      </c>
      <c r="O423" s="77">
        <v>1375.585</v>
      </c>
      <c r="P423" s="6">
        <v>0</v>
      </c>
      <c r="Q423" s="4" t="s">
        <v>26</v>
      </c>
      <c r="R423" s="4">
        <v>0</v>
      </c>
      <c r="S423" s="4">
        <v>0</v>
      </c>
      <c r="T423" s="4">
        <v>19</v>
      </c>
      <c r="U423" s="4">
        <v>67</v>
      </c>
      <c r="V423" s="77">
        <f>IF(ISERROR(VLOOKUP($S$423,'TAR FIN'!$A$1:$O$95,15,0)),0,VLOOKUP($S$423,'TAR FIN'!$A$1:$O$95,15,0))</f>
        <v>0</v>
      </c>
      <c r="W423" s="77">
        <f>IF(ISERROR(VLOOKUP($T$423,'TAR FIN'!$A$1:$O$95,15,0)),0,VLOOKUP($T$423,'TAR FIN'!$A$1:$O$95,15,0))*(1-0.09)</f>
        <v>136.16329999999999</v>
      </c>
      <c r="X423" s="77">
        <f>IF(ISERROR(VLOOKUP($U$423,'TAR FIN'!$A$1:$O$95,15,0)),0,VLOOKUP($U$423,'TAR FIN'!$A$1:$O$95,15,0))*(1-0.09)</f>
        <v>209.32730000000001</v>
      </c>
      <c r="Y423" s="77"/>
      <c r="Z423" s="77">
        <f ca="1">('TUSD BE'!$AM$17+'TUSD BF'!$AM$17+'TUSD CVA'!$AM$17)*1*(1-0.06)</f>
        <v>158.4025784496171</v>
      </c>
      <c r="AA423" s="77">
        <f>('TE BE'!$AA$8+'TE BF'!$AA$8+'TE CVA'!$AA$8)*1*(1-0.06)</f>
        <v>265.94235573400078</v>
      </c>
      <c r="AB423" s="77">
        <f>(SUBSIDIO!$J$423*SUBSIDIO!$V$423)*(0.09)/(1-0.09)</f>
        <v>0</v>
      </c>
      <c r="AC423" s="77">
        <f>((SUBSIDIO!$L$423*SUBSIDIO!$W$423)+(SUBSIDIO!$N$423*SUBSIDIO!$X$423))*(0.09)/(1-0.09)</f>
        <v>47002.914098999994</v>
      </c>
      <c r="AD423" s="77">
        <f>(SUBSIDIO!$J$423*SUBSIDIO!$Y$423)*(0.06)/(1-0.06)</f>
        <v>0</v>
      </c>
      <c r="AE423" s="77">
        <f ca="1">((SUBSIDIO!$L$423*SUBSIDIO!$Z$423)+(SUBSIDIO!$N$423*SUBSIDIO!$AA$423))*(0.06)/(1-0.06)</f>
        <v>37258.884656742892</v>
      </c>
      <c r="AF423" s="4" t="s">
        <v>842</v>
      </c>
    </row>
    <row r="424" spans="1:32" ht="11.25" customHeight="1" x14ac:dyDescent="0.25">
      <c r="A424" s="4" t="s">
        <v>28</v>
      </c>
      <c r="B424" s="4" t="s">
        <v>35</v>
      </c>
      <c r="C424" s="4" t="s">
        <v>36</v>
      </c>
      <c r="D424" s="4" t="s">
        <v>52</v>
      </c>
      <c r="E424" s="4" t="s">
        <v>53</v>
      </c>
      <c r="F424" s="4" t="s">
        <v>25</v>
      </c>
      <c r="G424" s="4" t="s">
        <v>25</v>
      </c>
      <c r="H424" s="4" t="s">
        <v>38</v>
      </c>
      <c r="I424" s="5">
        <v>44378</v>
      </c>
      <c r="J424" s="6">
        <v>0</v>
      </c>
      <c r="K424" s="77">
        <v>0</v>
      </c>
      <c r="L424" s="6">
        <v>597.23299999999995</v>
      </c>
      <c r="M424" s="77">
        <v>597.23299999999995</v>
      </c>
      <c r="N424" s="6">
        <v>597.23299999999995</v>
      </c>
      <c r="O424" s="77">
        <v>597.23299999999995</v>
      </c>
      <c r="P424" s="6">
        <v>0</v>
      </c>
      <c r="Q424" s="4" t="s">
        <v>26</v>
      </c>
      <c r="R424" s="4">
        <v>0</v>
      </c>
      <c r="S424" s="4">
        <v>0</v>
      </c>
      <c r="T424" s="4">
        <v>19</v>
      </c>
      <c r="U424" s="4">
        <v>67</v>
      </c>
      <c r="V424" s="77">
        <f>IF(ISERROR(VLOOKUP($S$424,'TAR FIN'!$A$1:$O$95,15,0)),0,VLOOKUP($S$424,'TAR FIN'!$A$1:$O$95,15,0))</f>
        <v>0</v>
      </c>
      <c r="W424" s="77">
        <f>IF(ISERROR(VLOOKUP($T$424,'TAR FIN'!$A$1:$O$95,15,0)),0,VLOOKUP($T$424,'TAR FIN'!$A$1:$O$95,15,0))*(1-0.09)</f>
        <v>136.16329999999999</v>
      </c>
      <c r="X424" s="77">
        <f>IF(ISERROR(VLOOKUP($U$424,'TAR FIN'!$A$1:$O$95,15,0)),0,VLOOKUP($U$424,'TAR FIN'!$A$1:$O$95,15,0))*(1-0.09)</f>
        <v>209.32730000000001</v>
      </c>
      <c r="Y424" s="77"/>
      <c r="Z424" s="77">
        <f ca="1">('TUSD BE'!$AM$17+'TUSD BF'!$AM$17+'TUSD CVA'!$AM$17)*1*(1-0.06)</f>
        <v>158.4025784496171</v>
      </c>
      <c r="AA424" s="77">
        <f>('TE BE'!$AA$8+'TE BF'!$AA$8+'TE CVA'!$AA$8)*1*(1-0.06)</f>
        <v>265.94235573400078</v>
      </c>
      <c r="AB424" s="77">
        <f>(SUBSIDIO!$J$424*SUBSIDIO!$V$424)*(0.09)/(1-0.09)</f>
        <v>0</v>
      </c>
      <c r="AC424" s="77">
        <f>((SUBSIDIO!$L$424*SUBSIDIO!$W$424)+(SUBSIDIO!$N$424*SUBSIDIO!$X$424))*(0.09)/(1-0.09)</f>
        <v>20407.093270199999</v>
      </c>
      <c r="AD424" s="77">
        <f>(SUBSIDIO!$J$424*SUBSIDIO!$Y$424)*(0.06)/(1-0.06)</f>
        <v>0</v>
      </c>
      <c r="AE424" s="77">
        <f ca="1">((SUBSIDIO!$L$424*SUBSIDIO!$Z$424)+(SUBSIDIO!$N$424*SUBSIDIO!$AA$424))*(0.06)/(1-0.06)</f>
        <v>16176.561579401148</v>
      </c>
      <c r="AF424" s="4" t="s">
        <v>842</v>
      </c>
    </row>
    <row r="425" spans="1:32" ht="11.25" customHeight="1" x14ac:dyDescent="0.25">
      <c r="A425" s="4" t="s">
        <v>21</v>
      </c>
      <c r="B425" s="4" t="s">
        <v>35</v>
      </c>
      <c r="C425" s="4" t="s">
        <v>36</v>
      </c>
      <c r="D425" s="4" t="s">
        <v>52</v>
      </c>
      <c r="E425" s="4" t="s">
        <v>53</v>
      </c>
      <c r="F425" s="4" t="s">
        <v>25</v>
      </c>
      <c r="G425" s="4" t="s">
        <v>25</v>
      </c>
      <c r="H425" s="4" t="s">
        <v>38</v>
      </c>
      <c r="I425" s="5">
        <v>44409</v>
      </c>
      <c r="J425" s="6">
        <v>0</v>
      </c>
      <c r="K425" s="77">
        <v>0</v>
      </c>
      <c r="L425" s="6">
        <v>1358.9</v>
      </c>
      <c r="M425" s="77">
        <v>1358.9</v>
      </c>
      <c r="N425" s="6">
        <v>1358.9</v>
      </c>
      <c r="O425" s="77">
        <v>1358.9</v>
      </c>
      <c r="P425" s="6">
        <v>0</v>
      </c>
      <c r="Q425" s="4" t="s">
        <v>26</v>
      </c>
      <c r="R425" s="4">
        <v>0</v>
      </c>
      <c r="S425" s="4">
        <v>0</v>
      </c>
      <c r="T425" s="4">
        <v>19</v>
      </c>
      <c r="U425" s="4">
        <v>67</v>
      </c>
      <c r="V425" s="77">
        <f>IF(ISERROR(VLOOKUP($S$425,'TAR FIN'!$A$1:$O$95,15,0)),0,VLOOKUP($S$425,'TAR FIN'!$A$1:$O$95,15,0))</f>
        <v>0</v>
      </c>
      <c r="W425" s="77">
        <f>IF(ISERROR(VLOOKUP($T$425,'TAR FIN'!$A$1:$O$95,15,0)),0,VLOOKUP($T$425,'TAR FIN'!$A$1:$O$95,15,0))*(1-0.09)</f>
        <v>136.16329999999999</v>
      </c>
      <c r="X425" s="77">
        <f>IF(ISERROR(VLOOKUP($U$425,'TAR FIN'!$A$1:$O$95,15,0)),0,VLOOKUP($U$425,'TAR FIN'!$A$1:$O$95,15,0))*(1-0.09)</f>
        <v>209.32730000000001</v>
      </c>
      <c r="Y425" s="77"/>
      <c r="Z425" s="77">
        <f ca="1">('TUSD BE'!$AM$17+'TUSD BF'!$AM$17+'TUSD CVA'!$AM$17)*1*(1-0.06)</f>
        <v>158.4025784496171</v>
      </c>
      <c r="AA425" s="77">
        <f>('TE BE'!$AA$8+'TE BF'!$AA$8+'TE CVA'!$AA$8)*1*(1-0.06)</f>
        <v>265.94235573400078</v>
      </c>
      <c r="AB425" s="77">
        <f>(SUBSIDIO!$J$425*SUBSIDIO!$V$425)*(0.09)/(1-0.09)</f>
        <v>0</v>
      </c>
      <c r="AC425" s="77">
        <f>((SUBSIDIO!$L$425*SUBSIDIO!$W$425)+(SUBSIDIO!$N$425*SUBSIDIO!$X$425))*(0.09)/(1-0.09)</f>
        <v>46432.797660000004</v>
      </c>
      <c r="AD425" s="77">
        <f>(SUBSIDIO!$J$425*SUBSIDIO!$Y$425)*(0.06)/(1-0.06)</f>
        <v>0</v>
      </c>
      <c r="AE425" s="77">
        <f ca="1">((SUBSIDIO!$L$425*SUBSIDIO!$Z$425)+(SUBSIDIO!$N$425*SUBSIDIO!$AA$425))*(0.06)/(1-0.06)</f>
        <v>36806.957301837348</v>
      </c>
      <c r="AF425" s="4" t="s">
        <v>842</v>
      </c>
    </row>
    <row r="426" spans="1:32" ht="11.25" customHeight="1" x14ac:dyDescent="0.25">
      <c r="A426" s="4" t="s">
        <v>28</v>
      </c>
      <c r="B426" s="4" t="s">
        <v>35</v>
      </c>
      <c r="C426" s="4" t="s">
        <v>36</v>
      </c>
      <c r="D426" s="4" t="s">
        <v>52</v>
      </c>
      <c r="E426" s="4" t="s">
        <v>53</v>
      </c>
      <c r="F426" s="4" t="s">
        <v>25</v>
      </c>
      <c r="G426" s="4" t="s">
        <v>25</v>
      </c>
      <c r="H426" s="4" t="s">
        <v>38</v>
      </c>
      <c r="I426" s="5">
        <v>44409</v>
      </c>
      <c r="J426" s="6">
        <v>0</v>
      </c>
      <c r="K426" s="77">
        <v>0</v>
      </c>
      <c r="L426" s="6">
        <v>634.44100000000003</v>
      </c>
      <c r="M426" s="77">
        <v>634.44100000000003</v>
      </c>
      <c r="N426" s="6">
        <v>634.44100000000003</v>
      </c>
      <c r="O426" s="77">
        <v>634.44100000000003</v>
      </c>
      <c r="P426" s="6">
        <v>0</v>
      </c>
      <c r="Q426" s="4" t="s">
        <v>26</v>
      </c>
      <c r="R426" s="4">
        <v>0</v>
      </c>
      <c r="S426" s="4">
        <v>0</v>
      </c>
      <c r="T426" s="4">
        <v>19</v>
      </c>
      <c r="U426" s="4">
        <v>67</v>
      </c>
      <c r="V426" s="77">
        <f>IF(ISERROR(VLOOKUP($S$426,'TAR FIN'!$A$1:$O$95,15,0)),0,VLOOKUP($S$426,'TAR FIN'!$A$1:$O$95,15,0))</f>
        <v>0</v>
      </c>
      <c r="W426" s="77">
        <f>IF(ISERROR(VLOOKUP($T$426,'TAR FIN'!$A$1:$O$95,15,0)),0,VLOOKUP($T$426,'TAR FIN'!$A$1:$O$95,15,0))*(1-0.09)</f>
        <v>136.16329999999999</v>
      </c>
      <c r="X426" s="77">
        <f>IF(ISERROR(VLOOKUP($U$426,'TAR FIN'!$A$1:$O$95,15,0)),0,VLOOKUP($U$426,'TAR FIN'!$A$1:$O$95,15,0))*(1-0.09)</f>
        <v>209.32730000000001</v>
      </c>
      <c r="Y426" s="77"/>
      <c r="Z426" s="77">
        <f ca="1">('TUSD BE'!$AM$17+'TUSD BF'!$AM$17+'TUSD CVA'!$AM$17)*1*(1-0.06)</f>
        <v>158.4025784496171</v>
      </c>
      <c r="AA426" s="77">
        <f>('TE BE'!$AA$8+'TE BF'!$AA$8+'TE CVA'!$AA$8)*1*(1-0.06)</f>
        <v>265.94235573400078</v>
      </c>
      <c r="AB426" s="77">
        <f>(SUBSIDIO!$J$426*SUBSIDIO!$V$426)*(0.09)/(1-0.09)</f>
        <v>0</v>
      </c>
      <c r="AC426" s="77">
        <f>((SUBSIDIO!$L$426*SUBSIDIO!$W$426)+(SUBSIDIO!$N$426*SUBSIDIO!$X$426))*(0.09)/(1-0.09)</f>
        <v>21678.468305399998</v>
      </c>
      <c r="AD426" s="77">
        <f>(SUBSIDIO!$J$426*SUBSIDIO!$Y$426)*(0.06)/(1-0.06)</f>
        <v>0</v>
      </c>
      <c r="AE426" s="77">
        <f ca="1">((SUBSIDIO!$L$426*SUBSIDIO!$Z$426)+(SUBSIDIO!$N$426*SUBSIDIO!$AA$426))*(0.06)/(1-0.06)</f>
        <v>17184.371769471622</v>
      </c>
      <c r="AF426" s="4" t="s">
        <v>842</v>
      </c>
    </row>
    <row r="427" spans="1:32" ht="11.25" customHeight="1" x14ac:dyDescent="0.25">
      <c r="A427" s="4" t="s">
        <v>21</v>
      </c>
      <c r="B427" s="4" t="s">
        <v>35</v>
      </c>
      <c r="C427" s="4" t="s">
        <v>36</v>
      </c>
      <c r="D427" s="4" t="s">
        <v>52</v>
      </c>
      <c r="E427" s="4" t="s">
        <v>53</v>
      </c>
      <c r="F427" s="4" t="s">
        <v>25</v>
      </c>
      <c r="G427" s="4" t="s">
        <v>25</v>
      </c>
      <c r="H427" s="4" t="s">
        <v>38</v>
      </c>
      <c r="I427" s="5">
        <v>44440</v>
      </c>
      <c r="J427" s="6">
        <v>0</v>
      </c>
      <c r="K427" s="77">
        <v>0</v>
      </c>
      <c r="L427" s="6">
        <v>1113.9380000000001</v>
      </c>
      <c r="M427" s="77">
        <v>1113.9380000000001</v>
      </c>
      <c r="N427" s="6">
        <v>1113.9380000000001</v>
      </c>
      <c r="O427" s="77">
        <v>1113.9380000000001</v>
      </c>
      <c r="P427" s="6">
        <v>0</v>
      </c>
      <c r="Q427" s="4" t="s">
        <v>26</v>
      </c>
      <c r="R427" s="4">
        <v>0</v>
      </c>
      <c r="S427" s="4">
        <v>0</v>
      </c>
      <c r="T427" s="4">
        <v>19</v>
      </c>
      <c r="U427" s="4">
        <v>67</v>
      </c>
      <c r="V427" s="77">
        <f>IF(ISERROR(VLOOKUP($S$427,'TAR FIN'!$A$1:$O$95,15,0)),0,VLOOKUP($S$427,'TAR FIN'!$A$1:$O$95,15,0))</f>
        <v>0</v>
      </c>
      <c r="W427" s="77">
        <f>IF(ISERROR(VLOOKUP($T$427,'TAR FIN'!$A$1:$O$95,15,0)),0,VLOOKUP($T$427,'TAR FIN'!$A$1:$O$95,15,0))*(1-0.09)</f>
        <v>136.16329999999999</v>
      </c>
      <c r="X427" s="77">
        <f>IF(ISERROR(VLOOKUP($U$427,'TAR FIN'!$A$1:$O$95,15,0)),0,VLOOKUP($U$427,'TAR FIN'!$A$1:$O$95,15,0))*(1-0.09)</f>
        <v>209.32730000000001</v>
      </c>
      <c r="Y427" s="77"/>
      <c r="Z427" s="77">
        <f ca="1">('TUSD BE'!$AM$17+'TUSD BF'!$AM$17+'TUSD CVA'!$AM$17)*1*(1-0.06)</f>
        <v>158.4025784496171</v>
      </c>
      <c r="AA427" s="77">
        <f>('TE BE'!$AA$8+'TE BF'!$AA$8+'TE CVA'!$AA$8)*1*(1-0.06)</f>
        <v>265.94235573400078</v>
      </c>
      <c r="AB427" s="77">
        <f>(SUBSIDIO!$J$427*SUBSIDIO!$V$427)*(0.09)/(1-0.09)</f>
        <v>0</v>
      </c>
      <c r="AC427" s="77">
        <f>((SUBSIDIO!$L$427*SUBSIDIO!$W$427)+(SUBSIDIO!$N$427*SUBSIDIO!$X$427))*(0.09)/(1-0.09)</f>
        <v>38062.593097199999</v>
      </c>
      <c r="AD427" s="77">
        <f>(SUBSIDIO!$J$427*SUBSIDIO!$Y$427)*(0.06)/(1-0.06)</f>
        <v>0</v>
      </c>
      <c r="AE427" s="77">
        <f ca="1">((SUBSIDIO!$L$427*SUBSIDIO!$Z$427)+(SUBSIDIO!$N$427*SUBSIDIO!$AA$427))*(0.06)/(1-0.06)</f>
        <v>30171.954082636021</v>
      </c>
      <c r="AF427" s="4" t="s">
        <v>842</v>
      </c>
    </row>
    <row r="428" spans="1:32" ht="11.25" customHeight="1" x14ac:dyDescent="0.25">
      <c r="A428" s="4" t="s">
        <v>28</v>
      </c>
      <c r="B428" s="4" t="s">
        <v>35</v>
      </c>
      <c r="C428" s="4" t="s">
        <v>36</v>
      </c>
      <c r="D428" s="4" t="s">
        <v>52</v>
      </c>
      <c r="E428" s="4" t="s">
        <v>53</v>
      </c>
      <c r="F428" s="4" t="s">
        <v>25</v>
      </c>
      <c r="G428" s="4" t="s">
        <v>25</v>
      </c>
      <c r="H428" s="4" t="s">
        <v>38</v>
      </c>
      <c r="I428" s="5">
        <v>44440</v>
      </c>
      <c r="J428" s="6">
        <v>0</v>
      </c>
      <c r="K428" s="77">
        <v>0</v>
      </c>
      <c r="L428" s="6">
        <v>587.50900000000001</v>
      </c>
      <c r="M428" s="77">
        <v>587.50900000000001</v>
      </c>
      <c r="N428" s="6">
        <v>587.50900000000001</v>
      </c>
      <c r="O428" s="77">
        <v>587.50900000000001</v>
      </c>
      <c r="P428" s="6">
        <v>0</v>
      </c>
      <c r="Q428" s="4" t="s">
        <v>26</v>
      </c>
      <c r="R428" s="4">
        <v>0</v>
      </c>
      <c r="S428" s="4">
        <v>0</v>
      </c>
      <c r="T428" s="4">
        <v>19</v>
      </c>
      <c r="U428" s="4">
        <v>67</v>
      </c>
      <c r="V428" s="77">
        <f>IF(ISERROR(VLOOKUP($S$428,'TAR FIN'!$A$1:$O$95,15,0)),0,VLOOKUP($S$428,'TAR FIN'!$A$1:$O$95,15,0))</f>
        <v>0</v>
      </c>
      <c r="W428" s="77">
        <f>IF(ISERROR(VLOOKUP($T$428,'TAR FIN'!$A$1:$O$95,15,0)),0,VLOOKUP($T$428,'TAR FIN'!$A$1:$O$95,15,0))*(1-0.09)</f>
        <v>136.16329999999999</v>
      </c>
      <c r="X428" s="77">
        <f>IF(ISERROR(VLOOKUP($U$428,'TAR FIN'!$A$1:$O$95,15,0)),0,VLOOKUP($U$428,'TAR FIN'!$A$1:$O$95,15,0))*(1-0.09)</f>
        <v>209.32730000000001</v>
      </c>
      <c r="Y428" s="77"/>
      <c r="Z428" s="77">
        <f ca="1">('TUSD BE'!$AM$17+'TUSD BF'!$AM$17+'TUSD CVA'!$AM$17)*1*(1-0.06)</f>
        <v>158.4025784496171</v>
      </c>
      <c r="AA428" s="77">
        <f>('TE BE'!$AA$8+'TE BF'!$AA$8+'TE CVA'!$AA$8)*1*(1-0.06)</f>
        <v>265.94235573400078</v>
      </c>
      <c r="AB428" s="77">
        <f>(SUBSIDIO!$J$428*SUBSIDIO!$V$428)*(0.09)/(1-0.09)</f>
        <v>0</v>
      </c>
      <c r="AC428" s="77">
        <f>((SUBSIDIO!$L$428*SUBSIDIO!$W$428)+(SUBSIDIO!$N$428*SUBSIDIO!$X$428))*(0.09)/(1-0.09)</f>
        <v>20074.830024599996</v>
      </c>
      <c r="AD428" s="77">
        <f>(SUBSIDIO!$J$428*SUBSIDIO!$Y$428)*(0.06)/(1-0.06)</f>
        <v>0</v>
      </c>
      <c r="AE428" s="77">
        <f ca="1">((SUBSIDIO!$L$428*SUBSIDIO!$Z$428)+(SUBSIDIO!$N$428*SUBSIDIO!$AA$428))*(0.06)/(1-0.06)</f>
        <v>15913.178804507435</v>
      </c>
      <c r="AF428" s="4" t="s">
        <v>842</v>
      </c>
    </row>
    <row r="429" spans="1:32" ht="11.25" customHeight="1" x14ac:dyDescent="0.25">
      <c r="A429" s="4" t="s">
        <v>59</v>
      </c>
      <c r="B429" s="4" t="s">
        <v>35</v>
      </c>
      <c r="C429" s="4" t="s">
        <v>36</v>
      </c>
      <c r="D429" s="4" t="s">
        <v>52</v>
      </c>
      <c r="E429" s="4" t="s">
        <v>53</v>
      </c>
      <c r="F429" s="4" t="s">
        <v>25</v>
      </c>
      <c r="G429" s="4" t="s">
        <v>25</v>
      </c>
      <c r="H429" s="4" t="s">
        <v>38</v>
      </c>
      <c r="I429" s="5">
        <v>44470</v>
      </c>
      <c r="J429" s="6">
        <v>0</v>
      </c>
      <c r="K429" s="77">
        <v>0</v>
      </c>
      <c r="L429" s="6">
        <v>1113.9380000000001</v>
      </c>
      <c r="M429" s="77">
        <v>1113.9380000000001</v>
      </c>
      <c r="N429" s="6">
        <v>1113.9380000000001</v>
      </c>
      <c r="O429" s="77">
        <v>1113.9380000000001</v>
      </c>
      <c r="P429" s="6">
        <v>0</v>
      </c>
      <c r="Q429" s="4" t="s">
        <v>26</v>
      </c>
      <c r="R429" s="4">
        <v>0</v>
      </c>
      <c r="S429" s="4">
        <v>0</v>
      </c>
      <c r="T429" s="4">
        <v>19</v>
      </c>
      <c r="U429" s="4">
        <v>67</v>
      </c>
      <c r="V429" s="77">
        <f>IF(ISERROR(VLOOKUP($S$429,'TAR FIN'!$A$1:$O$95,15,0)),0,VLOOKUP($S$429,'TAR FIN'!$A$1:$O$95,15,0))</f>
        <v>0</v>
      </c>
      <c r="W429" s="77">
        <f>IF(ISERROR(VLOOKUP($T$429,'TAR FIN'!$A$1:$O$95,15,0)),0,VLOOKUP($T$429,'TAR FIN'!$A$1:$O$95,15,0))*(1-0.09)</f>
        <v>136.16329999999999</v>
      </c>
      <c r="X429" s="77">
        <f>IF(ISERROR(VLOOKUP($U$429,'TAR FIN'!$A$1:$O$95,15,0)),0,VLOOKUP($U$429,'TAR FIN'!$A$1:$O$95,15,0))*(1-0.09)</f>
        <v>209.32730000000001</v>
      </c>
      <c r="Y429" s="77"/>
      <c r="Z429" s="77">
        <f ca="1">('TUSD BE'!$AM$17+'TUSD BF'!$AM$17+'TUSD CVA'!$AM$17)*1*(1-0.06)</f>
        <v>158.4025784496171</v>
      </c>
      <c r="AA429" s="77">
        <f>('TE BE'!$AA$8+'TE BF'!$AA$8+'TE CVA'!$AA$8)*1*(1-0.06)</f>
        <v>265.94235573400078</v>
      </c>
      <c r="AB429" s="77">
        <f>(SUBSIDIO!$J$429*SUBSIDIO!$V$429)*(0.09)/(1-0.09)</f>
        <v>0</v>
      </c>
      <c r="AC429" s="77">
        <f>((SUBSIDIO!$L$429*SUBSIDIO!$W$429)+(SUBSIDIO!$N$429*SUBSIDIO!$X$429))*(0.09)/(1-0.09)</f>
        <v>38062.593097199999</v>
      </c>
      <c r="AD429" s="77">
        <f>(SUBSIDIO!$J$429*SUBSIDIO!$Y$429)*(0.06)/(1-0.06)</f>
        <v>0</v>
      </c>
      <c r="AE429" s="77">
        <f ca="1">((SUBSIDIO!$L$429*SUBSIDIO!$Z$429)+(SUBSIDIO!$N$429*SUBSIDIO!$AA$429))*(0.06)/(1-0.06)</f>
        <v>30171.954082636021</v>
      </c>
      <c r="AF429" s="4" t="s">
        <v>842</v>
      </c>
    </row>
    <row r="430" spans="1:32" ht="11.25" customHeight="1" x14ac:dyDescent="0.25">
      <c r="A430" s="4" t="s">
        <v>59</v>
      </c>
      <c r="B430" s="4" t="s">
        <v>35</v>
      </c>
      <c r="C430" s="4" t="s">
        <v>36</v>
      </c>
      <c r="D430" s="4" t="s">
        <v>52</v>
      </c>
      <c r="E430" s="4" t="s">
        <v>53</v>
      </c>
      <c r="F430" s="4" t="s">
        <v>25</v>
      </c>
      <c r="G430" s="4" t="s">
        <v>25</v>
      </c>
      <c r="H430" s="4" t="s">
        <v>38</v>
      </c>
      <c r="I430" s="5">
        <v>44470</v>
      </c>
      <c r="J430" s="6">
        <v>0</v>
      </c>
      <c r="K430" s="77">
        <v>0</v>
      </c>
      <c r="L430" s="6">
        <v>587.50900000000001</v>
      </c>
      <c r="M430" s="77">
        <v>587.50900000000001</v>
      </c>
      <c r="N430" s="6">
        <v>587.50900000000001</v>
      </c>
      <c r="O430" s="77">
        <v>587.50900000000001</v>
      </c>
      <c r="P430" s="6">
        <v>0</v>
      </c>
      <c r="Q430" s="4" t="s">
        <v>26</v>
      </c>
      <c r="R430" s="4">
        <v>0</v>
      </c>
      <c r="S430" s="4">
        <v>0</v>
      </c>
      <c r="T430" s="4">
        <v>19</v>
      </c>
      <c r="U430" s="4">
        <v>67</v>
      </c>
      <c r="V430" s="77">
        <f>IF(ISERROR(VLOOKUP($S$430,'TAR FIN'!$A$1:$O$95,15,0)),0,VLOOKUP($S$430,'TAR FIN'!$A$1:$O$95,15,0))</f>
        <v>0</v>
      </c>
      <c r="W430" s="77">
        <f>IF(ISERROR(VLOOKUP($T$430,'TAR FIN'!$A$1:$O$95,15,0)),0,VLOOKUP($T$430,'TAR FIN'!$A$1:$O$95,15,0))*(1-0.09)</f>
        <v>136.16329999999999</v>
      </c>
      <c r="X430" s="77">
        <f>IF(ISERROR(VLOOKUP($U$430,'TAR FIN'!$A$1:$O$95,15,0)),0,VLOOKUP($U$430,'TAR FIN'!$A$1:$O$95,15,0))*(1-0.09)</f>
        <v>209.32730000000001</v>
      </c>
      <c r="Y430" s="77"/>
      <c r="Z430" s="77">
        <f ca="1">('TUSD BE'!$AM$17+'TUSD BF'!$AM$17+'TUSD CVA'!$AM$17)*1*(1-0.06)</f>
        <v>158.4025784496171</v>
      </c>
      <c r="AA430" s="77">
        <f>('TE BE'!$AA$8+'TE BF'!$AA$8+'TE CVA'!$AA$8)*1*(1-0.06)</f>
        <v>265.94235573400078</v>
      </c>
      <c r="AB430" s="77">
        <f>(SUBSIDIO!$J$430*SUBSIDIO!$V$430)*(0.09)/(1-0.09)</f>
        <v>0</v>
      </c>
      <c r="AC430" s="77">
        <f>((SUBSIDIO!$L$430*SUBSIDIO!$W$430)+(SUBSIDIO!$N$430*SUBSIDIO!$X$430))*(0.09)/(1-0.09)</f>
        <v>20074.830024599996</v>
      </c>
      <c r="AD430" s="77">
        <f>(SUBSIDIO!$J$430*SUBSIDIO!$Y$430)*(0.06)/(1-0.06)</f>
        <v>0</v>
      </c>
      <c r="AE430" s="77">
        <f ca="1">((SUBSIDIO!$L$430*SUBSIDIO!$Z$430)+(SUBSIDIO!$N$430*SUBSIDIO!$AA$430))*(0.06)/(1-0.06)</f>
        <v>15913.178804507435</v>
      </c>
      <c r="AF430" s="4" t="s">
        <v>842</v>
      </c>
    </row>
    <row r="431" spans="1:32" ht="11.25" customHeight="1" x14ac:dyDescent="0.25">
      <c r="A431" s="4" t="s">
        <v>21</v>
      </c>
      <c r="B431" s="4" t="s">
        <v>35</v>
      </c>
      <c r="C431" s="4" t="s">
        <v>36</v>
      </c>
      <c r="D431" s="4" t="s">
        <v>52</v>
      </c>
      <c r="E431" s="4" t="s">
        <v>53</v>
      </c>
      <c r="F431" s="4" t="s">
        <v>25</v>
      </c>
      <c r="G431" s="4" t="s">
        <v>25</v>
      </c>
      <c r="H431" s="4" t="s">
        <v>25</v>
      </c>
      <c r="I431" s="5">
        <v>44136</v>
      </c>
      <c r="J431" s="6">
        <v>3874</v>
      </c>
      <c r="K431" s="78">
        <v>3874</v>
      </c>
      <c r="L431" s="6">
        <v>0</v>
      </c>
      <c r="M431" s="77">
        <v>0</v>
      </c>
      <c r="N431" s="6">
        <v>0</v>
      </c>
      <c r="O431" s="77">
        <v>0</v>
      </c>
      <c r="P431" s="6">
        <v>57</v>
      </c>
      <c r="Q431" s="4" t="s">
        <v>26</v>
      </c>
      <c r="R431" s="4">
        <v>0</v>
      </c>
      <c r="S431" s="4">
        <v>23</v>
      </c>
      <c r="T431" s="4">
        <v>0</v>
      </c>
      <c r="U431" s="4">
        <v>0</v>
      </c>
      <c r="V431" s="77">
        <f>IF(ISERROR(VLOOKUP($S$431,'TAR FIN'!$A$1:$O$95,15,0)),0,VLOOKUP($S$431,'TAR FIN'!$A$1:$O$95,15,0))*(1-0.09)</f>
        <v>25.998699999999999</v>
      </c>
      <c r="W431" s="77">
        <f>IF(ISERROR(VLOOKUP($T$431,'TAR FIN'!$A$1:$O$95,15,0)),0,VLOOKUP($T$431,'TAR FIN'!$A$1:$O$95,15,0))</f>
        <v>0</v>
      </c>
      <c r="X431" s="77">
        <f>IF(ISERROR(VLOOKUP($U$431,'TAR FIN'!$A$1:$O$95,15,0)),0,VLOOKUP($U$431,'TAR FIN'!$A$1:$O$95,15,0))</f>
        <v>0</v>
      </c>
      <c r="Y431" s="77">
        <f ca="1">('TUSD BE'!$AM$15+'TUSD BF'!$AM$15+'TUSD CVA'!$AM$15)*1*(1-0.06)</f>
        <v>30.014803359426047</v>
      </c>
      <c r="Z431" s="77"/>
      <c r="AA431" s="77"/>
      <c r="AB431" s="77">
        <f>(SUBSIDIO!$J$431*SUBSIDIO!$V$431)*(0.09)/(1-0.09)</f>
        <v>9961.2162000000008</v>
      </c>
      <c r="AC431" s="77">
        <f>((SUBSIDIO!$L$431*SUBSIDIO!$W$431)+(SUBSIDIO!$N$431*SUBSIDIO!$X$431))*(0.09)/(1-0.09)</f>
        <v>0</v>
      </c>
      <c r="AD431" s="77">
        <f ca="1">(SUBSIDIO!$J$431*SUBSIDIO!$Y$431)*(0.06)/(1-0.06)</f>
        <v>7421.9583966648834</v>
      </c>
      <c r="AE431" s="77">
        <f>((SUBSIDIO!$L$431*SUBSIDIO!$Z$431)+(SUBSIDIO!$N$431*SUBSIDIO!$AA$431))*(0.06)/(1-0.06)</f>
        <v>0</v>
      </c>
      <c r="AF431" s="4" t="s">
        <v>842</v>
      </c>
    </row>
    <row r="432" spans="1:32" ht="11.25" customHeight="1" x14ac:dyDescent="0.25">
      <c r="A432" s="4" t="s">
        <v>28</v>
      </c>
      <c r="B432" s="4" t="s">
        <v>35</v>
      </c>
      <c r="C432" s="4" t="s">
        <v>36</v>
      </c>
      <c r="D432" s="4" t="s">
        <v>52</v>
      </c>
      <c r="E432" s="4" t="s">
        <v>53</v>
      </c>
      <c r="F432" s="4" t="s">
        <v>25</v>
      </c>
      <c r="G432" s="4" t="s">
        <v>25</v>
      </c>
      <c r="H432" s="4" t="s">
        <v>25</v>
      </c>
      <c r="I432" s="5">
        <v>44136</v>
      </c>
      <c r="J432" s="6">
        <v>1536</v>
      </c>
      <c r="K432" s="78">
        <v>1536</v>
      </c>
      <c r="L432" s="6">
        <v>0</v>
      </c>
      <c r="M432" s="77">
        <v>0</v>
      </c>
      <c r="N432" s="6">
        <v>0</v>
      </c>
      <c r="O432" s="77">
        <v>0</v>
      </c>
      <c r="P432" s="6">
        <v>15</v>
      </c>
      <c r="Q432" s="4" t="s">
        <v>26</v>
      </c>
      <c r="R432" s="4">
        <v>0</v>
      </c>
      <c r="S432" s="4">
        <v>23</v>
      </c>
      <c r="T432" s="4">
        <v>0</v>
      </c>
      <c r="U432" s="4">
        <v>0</v>
      </c>
      <c r="V432" s="77">
        <f>IF(ISERROR(VLOOKUP($S$432,'TAR FIN'!$A$1:$O$95,15,0)),0,VLOOKUP($S$432,'TAR FIN'!$A$1:$O$95,15,0))*(1-0.09)</f>
        <v>25.998699999999999</v>
      </c>
      <c r="W432" s="77">
        <f>IF(ISERROR(VLOOKUP($T$432,'TAR FIN'!$A$1:$O$95,15,0)),0,VLOOKUP($T$432,'TAR FIN'!$A$1:$O$95,15,0))</f>
        <v>0</v>
      </c>
      <c r="X432" s="77">
        <f>IF(ISERROR(VLOOKUP($U$432,'TAR FIN'!$A$1:$O$95,15,0)),0,VLOOKUP($U$432,'TAR FIN'!$A$1:$O$95,15,0))</f>
        <v>0</v>
      </c>
      <c r="Y432" s="77">
        <f ca="1">('TUSD BE'!$AM$15+'TUSD BF'!$AM$15+'TUSD CVA'!$AM$15)*1*(1-0.06)</f>
        <v>30.014803359426047</v>
      </c>
      <c r="Z432" s="77"/>
      <c r="AA432" s="77"/>
      <c r="AB432" s="77">
        <f>(SUBSIDIO!$J$432*SUBSIDIO!$V$432)*(0.09)/(1-0.09)</f>
        <v>3949.5167999999994</v>
      </c>
      <c r="AC432" s="77">
        <f>((SUBSIDIO!$L$432*SUBSIDIO!$W$432)+(SUBSIDIO!$N$432*SUBSIDIO!$X$432))*(0.09)/(1-0.09)</f>
        <v>0</v>
      </c>
      <c r="AD432" s="77">
        <f ca="1">(SUBSIDIO!$J$432*SUBSIDIO!$Y$432)*(0.06)/(1-0.06)</f>
        <v>2942.7279548986216</v>
      </c>
      <c r="AE432" s="77">
        <f>((SUBSIDIO!$L$432*SUBSIDIO!$Z$432)+(SUBSIDIO!$N$432*SUBSIDIO!$AA$432))*(0.06)/(1-0.06)</f>
        <v>0</v>
      </c>
      <c r="AF432" s="4" t="s">
        <v>842</v>
      </c>
    </row>
    <row r="433" spans="1:32" ht="11.25" customHeight="1" x14ac:dyDescent="0.25">
      <c r="A433" s="4" t="s">
        <v>21</v>
      </c>
      <c r="B433" s="4" t="s">
        <v>35</v>
      </c>
      <c r="C433" s="4" t="s">
        <v>36</v>
      </c>
      <c r="D433" s="4" t="s">
        <v>52</v>
      </c>
      <c r="E433" s="4" t="s">
        <v>53</v>
      </c>
      <c r="F433" s="4" t="s">
        <v>25</v>
      </c>
      <c r="G433" s="4" t="s">
        <v>25</v>
      </c>
      <c r="H433" s="4" t="s">
        <v>25</v>
      </c>
      <c r="I433" s="5">
        <v>44166</v>
      </c>
      <c r="J433" s="6">
        <v>3837</v>
      </c>
      <c r="K433" s="78">
        <v>3837</v>
      </c>
      <c r="L433" s="6">
        <v>0</v>
      </c>
      <c r="M433" s="77">
        <v>0</v>
      </c>
      <c r="N433" s="6">
        <v>0</v>
      </c>
      <c r="O433" s="77">
        <v>0</v>
      </c>
      <c r="P433" s="6">
        <v>57</v>
      </c>
      <c r="Q433" s="4" t="s">
        <v>26</v>
      </c>
      <c r="R433" s="4">
        <v>0</v>
      </c>
      <c r="S433" s="4">
        <v>23</v>
      </c>
      <c r="T433" s="4">
        <v>0</v>
      </c>
      <c r="U433" s="4">
        <v>0</v>
      </c>
      <c r="V433" s="77">
        <f>IF(ISERROR(VLOOKUP($S$433,'TAR FIN'!$A$1:$O$95,15,0)),0,VLOOKUP($S$433,'TAR FIN'!$A$1:$O$95,15,0))*(1-0.09)</f>
        <v>25.998699999999999</v>
      </c>
      <c r="W433" s="77">
        <f>IF(ISERROR(VLOOKUP($T$433,'TAR FIN'!$A$1:$O$95,15,0)),0,VLOOKUP($T$433,'TAR FIN'!$A$1:$O$95,15,0))</f>
        <v>0</v>
      </c>
      <c r="X433" s="77">
        <f>IF(ISERROR(VLOOKUP($U$433,'TAR FIN'!$A$1:$O$95,15,0)),0,VLOOKUP($U$433,'TAR FIN'!$A$1:$O$95,15,0))</f>
        <v>0</v>
      </c>
      <c r="Y433" s="77">
        <f ca="1">('TUSD BE'!$AM$15+'TUSD BF'!$AM$15+'TUSD CVA'!$AM$15)*1*(1-0.06)</f>
        <v>30.014803359426047</v>
      </c>
      <c r="Z433" s="77"/>
      <c r="AA433" s="77"/>
      <c r="AB433" s="77">
        <f>(SUBSIDIO!$J$433*SUBSIDIO!$V$433)*(0.09)/(1-0.09)</f>
        <v>9866.0780999999988</v>
      </c>
      <c r="AC433" s="77">
        <f>((SUBSIDIO!$L$433*SUBSIDIO!$W$433)+(SUBSIDIO!$N$433*SUBSIDIO!$X$433))*(0.09)/(1-0.09)</f>
        <v>0</v>
      </c>
      <c r="AD433" s="77">
        <f ca="1">(SUBSIDIO!$J$433*SUBSIDIO!$Y$433)*(0.06)/(1-0.06)</f>
        <v>7351.0723717096444</v>
      </c>
      <c r="AE433" s="77">
        <f>((SUBSIDIO!$L$433*SUBSIDIO!$Z$433)+(SUBSIDIO!$N$433*SUBSIDIO!$AA$433))*(0.06)/(1-0.06)</f>
        <v>0</v>
      </c>
      <c r="AF433" s="4" t="s">
        <v>842</v>
      </c>
    </row>
    <row r="434" spans="1:32" ht="11.25" customHeight="1" x14ac:dyDescent="0.25">
      <c r="A434" s="4" t="s">
        <v>28</v>
      </c>
      <c r="B434" s="4" t="s">
        <v>35</v>
      </c>
      <c r="C434" s="4" t="s">
        <v>36</v>
      </c>
      <c r="D434" s="4" t="s">
        <v>52</v>
      </c>
      <c r="E434" s="4" t="s">
        <v>53</v>
      </c>
      <c r="F434" s="4" t="s">
        <v>25</v>
      </c>
      <c r="G434" s="4" t="s">
        <v>25</v>
      </c>
      <c r="H434" s="4" t="s">
        <v>25</v>
      </c>
      <c r="I434" s="5">
        <v>44166</v>
      </c>
      <c r="J434" s="6">
        <v>1522</v>
      </c>
      <c r="K434" s="78">
        <v>1522</v>
      </c>
      <c r="L434" s="6">
        <v>0</v>
      </c>
      <c r="M434" s="77">
        <v>0</v>
      </c>
      <c r="N434" s="6">
        <v>0</v>
      </c>
      <c r="O434" s="77">
        <v>0</v>
      </c>
      <c r="P434" s="6">
        <v>15</v>
      </c>
      <c r="Q434" s="4" t="s">
        <v>26</v>
      </c>
      <c r="R434" s="4">
        <v>0</v>
      </c>
      <c r="S434" s="4">
        <v>23</v>
      </c>
      <c r="T434" s="4">
        <v>0</v>
      </c>
      <c r="U434" s="4">
        <v>0</v>
      </c>
      <c r="V434" s="77">
        <f>IF(ISERROR(VLOOKUP($S$434,'TAR FIN'!$A$1:$O$95,15,0)),0,VLOOKUP($S$434,'TAR FIN'!$A$1:$O$95,15,0))*(1-0.09)</f>
        <v>25.998699999999999</v>
      </c>
      <c r="W434" s="77">
        <f>IF(ISERROR(VLOOKUP($T$434,'TAR FIN'!$A$1:$O$95,15,0)),0,VLOOKUP($T$434,'TAR FIN'!$A$1:$O$95,15,0))</f>
        <v>0</v>
      </c>
      <c r="X434" s="77">
        <f>IF(ISERROR(VLOOKUP($U$434,'TAR FIN'!$A$1:$O$95,15,0)),0,VLOOKUP($U$434,'TAR FIN'!$A$1:$O$95,15,0))</f>
        <v>0</v>
      </c>
      <c r="Y434" s="77">
        <f ca="1">('TUSD BE'!$AM$15+'TUSD BF'!$AM$15+'TUSD CVA'!$AM$15)*1*(1-0.06)</f>
        <v>30.014803359426047</v>
      </c>
      <c r="Z434" s="77"/>
      <c r="AA434" s="77"/>
      <c r="AB434" s="77">
        <f>(SUBSIDIO!$J$434*SUBSIDIO!$V$434)*(0.09)/(1-0.09)</f>
        <v>3913.5185999999994</v>
      </c>
      <c r="AC434" s="77">
        <f>((SUBSIDIO!$L$434*SUBSIDIO!$W$434)+(SUBSIDIO!$N$434*SUBSIDIO!$X$434))*(0.09)/(1-0.09)</f>
        <v>0</v>
      </c>
      <c r="AD434" s="77">
        <f ca="1">(SUBSIDIO!$J$434*SUBSIDIO!$Y$434)*(0.06)/(1-0.06)</f>
        <v>2915.9062157263688</v>
      </c>
      <c r="AE434" s="77">
        <f>((SUBSIDIO!$L$434*SUBSIDIO!$Z$434)+(SUBSIDIO!$N$434*SUBSIDIO!$AA$434))*(0.06)/(1-0.06)</f>
        <v>0</v>
      </c>
      <c r="AF434" s="4" t="s">
        <v>842</v>
      </c>
    </row>
    <row r="435" spans="1:32" ht="11.25" customHeight="1" x14ac:dyDescent="0.25">
      <c r="A435" s="4" t="s">
        <v>21</v>
      </c>
      <c r="B435" s="4" t="s">
        <v>35</v>
      </c>
      <c r="C435" s="4" t="s">
        <v>36</v>
      </c>
      <c r="D435" s="4" t="s">
        <v>52</v>
      </c>
      <c r="E435" s="4" t="s">
        <v>53</v>
      </c>
      <c r="F435" s="4" t="s">
        <v>25</v>
      </c>
      <c r="G435" s="4" t="s">
        <v>25</v>
      </c>
      <c r="H435" s="4" t="s">
        <v>25</v>
      </c>
      <c r="I435" s="5">
        <v>44197</v>
      </c>
      <c r="J435" s="6">
        <v>3923</v>
      </c>
      <c r="K435" s="78">
        <v>3923</v>
      </c>
      <c r="L435" s="6">
        <v>0</v>
      </c>
      <c r="M435" s="77">
        <v>0</v>
      </c>
      <c r="N435" s="6">
        <v>0</v>
      </c>
      <c r="O435" s="77">
        <v>0</v>
      </c>
      <c r="P435" s="6">
        <v>57</v>
      </c>
      <c r="Q435" s="4" t="s">
        <v>26</v>
      </c>
      <c r="R435" s="4">
        <v>0</v>
      </c>
      <c r="S435" s="4">
        <v>23</v>
      </c>
      <c r="T435" s="4">
        <v>0</v>
      </c>
      <c r="U435" s="4">
        <v>0</v>
      </c>
      <c r="V435" s="77">
        <f>IF(ISERROR(VLOOKUP($S$435,'TAR FIN'!$A$1:$O$95,15,0)),0,VLOOKUP($S$435,'TAR FIN'!$A$1:$O$95,15,0))*(1-0.09)</f>
        <v>25.998699999999999</v>
      </c>
      <c r="W435" s="77">
        <f>IF(ISERROR(VLOOKUP($T$435,'TAR FIN'!$A$1:$O$95,15,0)),0,VLOOKUP($T$435,'TAR FIN'!$A$1:$O$95,15,0))</f>
        <v>0</v>
      </c>
      <c r="X435" s="77">
        <f>IF(ISERROR(VLOOKUP($U$435,'TAR FIN'!$A$1:$O$95,15,0)),0,VLOOKUP($U$435,'TAR FIN'!$A$1:$O$95,15,0))</f>
        <v>0</v>
      </c>
      <c r="Y435" s="77">
        <f ca="1">('TUSD BE'!$AM$15+'TUSD BF'!$AM$15+'TUSD CVA'!$AM$15)*1*(1-0.06)</f>
        <v>30.014803359426047</v>
      </c>
      <c r="Z435" s="77"/>
      <c r="AA435" s="77"/>
      <c r="AB435" s="77">
        <f>(SUBSIDIO!$J$435*SUBSIDIO!$V$435)*(0.09)/(1-0.09)</f>
        <v>10087.2099</v>
      </c>
      <c r="AC435" s="77">
        <f>((SUBSIDIO!$L$435*SUBSIDIO!$W$435)+(SUBSIDIO!$N$435*SUBSIDIO!$X$435))*(0.09)/(1-0.09)</f>
        <v>0</v>
      </c>
      <c r="AD435" s="77">
        <f ca="1">(SUBSIDIO!$J$435*SUBSIDIO!$Y$435)*(0.06)/(1-0.06)</f>
        <v>7515.8344837677687</v>
      </c>
      <c r="AE435" s="77">
        <f>((SUBSIDIO!$L$435*SUBSIDIO!$Z$435)+(SUBSIDIO!$N$435*SUBSIDIO!$AA$435))*(0.06)/(1-0.06)</f>
        <v>0</v>
      </c>
      <c r="AF435" s="4" t="s">
        <v>842</v>
      </c>
    </row>
    <row r="436" spans="1:32" ht="11.25" customHeight="1" x14ac:dyDescent="0.25">
      <c r="A436" s="4" t="s">
        <v>28</v>
      </c>
      <c r="B436" s="4" t="s">
        <v>35</v>
      </c>
      <c r="C436" s="4" t="s">
        <v>36</v>
      </c>
      <c r="D436" s="4" t="s">
        <v>52</v>
      </c>
      <c r="E436" s="4" t="s">
        <v>53</v>
      </c>
      <c r="F436" s="4" t="s">
        <v>25</v>
      </c>
      <c r="G436" s="4" t="s">
        <v>25</v>
      </c>
      <c r="H436" s="4" t="s">
        <v>25</v>
      </c>
      <c r="I436" s="5">
        <v>44197</v>
      </c>
      <c r="J436" s="6">
        <v>1560</v>
      </c>
      <c r="K436" s="78">
        <v>1560</v>
      </c>
      <c r="L436" s="6">
        <v>0</v>
      </c>
      <c r="M436" s="77">
        <v>0</v>
      </c>
      <c r="N436" s="6">
        <v>0</v>
      </c>
      <c r="O436" s="77">
        <v>0</v>
      </c>
      <c r="P436" s="6">
        <v>15</v>
      </c>
      <c r="Q436" s="4" t="s">
        <v>26</v>
      </c>
      <c r="R436" s="4">
        <v>0</v>
      </c>
      <c r="S436" s="4">
        <v>23</v>
      </c>
      <c r="T436" s="4">
        <v>0</v>
      </c>
      <c r="U436" s="4">
        <v>0</v>
      </c>
      <c r="V436" s="77">
        <f>IF(ISERROR(VLOOKUP($S$436,'TAR FIN'!$A$1:$O$95,15,0)),0,VLOOKUP($S$436,'TAR FIN'!$A$1:$O$95,15,0))*(1-0.09)</f>
        <v>25.998699999999999</v>
      </c>
      <c r="W436" s="77">
        <f>IF(ISERROR(VLOOKUP($T$436,'TAR FIN'!$A$1:$O$95,15,0)),0,VLOOKUP($T$436,'TAR FIN'!$A$1:$O$95,15,0))</f>
        <v>0</v>
      </c>
      <c r="X436" s="77">
        <f>IF(ISERROR(VLOOKUP($U$436,'TAR FIN'!$A$1:$O$95,15,0)),0,VLOOKUP($U$436,'TAR FIN'!$A$1:$O$95,15,0))</f>
        <v>0</v>
      </c>
      <c r="Y436" s="77">
        <f ca="1">('TUSD BE'!$AM$15+'TUSD BF'!$AM$15+'TUSD CVA'!$AM$15)*1*(1-0.06)</f>
        <v>30.014803359426047</v>
      </c>
      <c r="Z436" s="77"/>
      <c r="AA436" s="77"/>
      <c r="AB436" s="77">
        <f>(SUBSIDIO!$J$436*SUBSIDIO!$V$436)*(0.09)/(1-0.09)</f>
        <v>4011.2279999999996</v>
      </c>
      <c r="AC436" s="77">
        <f>((SUBSIDIO!$L$436*SUBSIDIO!$W$436)+(SUBSIDIO!$N$436*SUBSIDIO!$X$436))*(0.09)/(1-0.09)</f>
        <v>0</v>
      </c>
      <c r="AD436" s="77">
        <f ca="1">(SUBSIDIO!$J$436*SUBSIDIO!$Y$436)*(0.06)/(1-0.06)</f>
        <v>2988.7080791939129</v>
      </c>
      <c r="AE436" s="77">
        <f>((SUBSIDIO!$L$436*SUBSIDIO!$Z$436)+(SUBSIDIO!$N$436*SUBSIDIO!$AA$436))*(0.06)/(1-0.06)</f>
        <v>0</v>
      </c>
      <c r="AF436" s="4" t="s">
        <v>842</v>
      </c>
    </row>
    <row r="437" spans="1:32" ht="11.25" customHeight="1" x14ac:dyDescent="0.25">
      <c r="A437" s="4" t="s">
        <v>21</v>
      </c>
      <c r="B437" s="4" t="s">
        <v>35</v>
      </c>
      <c r="C437" s="4" t="s">
        <v>36</v>
      </c>
      <c r="D437" s="4" t="s">
        <v>52</v>
      </c>
      <c r="E437" s="4" t="s">
        <v>53</v>
      </c>
      <c r="F437" s="4" t="s">
        <v>25</v>
      </c>
      <c r="G437" s="4" t="s">
        <v>25</v>
      </c>
      <c r="H437" s="4" t="s">
        <v>25</v>
      </c>
      <c r="I437" s="5">
        <v>44228</v>
      </c>
      <c r="J437" s="6">
        <v>3867</v>
      </c>
      <c r="K437" s="78">
        <v>3867</v>
      </c>
      <c r="L437" s="6">
        <v>0</v>
      </c>
      <c r="M437" s="77">
        <v>0</v>
      </c>
      <c r="N437" s="6">
        <v>0</v>
      </c>
      <c r="O437" s="77">
        <v>0</v>
      </c>
      <c r="P437" s="6">
        <v>56</v>
      </c>
      <c r="Q437" s="4" t="s">
        <v>26</v>
      </c>
      <c r="R437" s="4">
        <v>0</v>
      </c>
      <c r="S437" s="4">
        <v>23</v>
      </c>
      <c r="T437" s="4">
        <v>0</v>
      </c>
      <c r="U437" s="4">
        <v>0</v>
      </c>
      <c r="V437" s="77">
        <f>IF(ISERROR(VLOOKUP($S$437,'TAR FIN'!$A$1:$O$95,15,0)),0,VLOOKUP($S$437,'TAR FIN'!$A$1:$O$95,15,0))*(1-0.09)</f>
        <v>25.998699999999999</v>
      </c>
      <c r="W437" s="77">
        <f>IF(ISERROR(VLOOKUP($T$437,'TAR FIN'!$A$1:$O$95,15,0)),0,VLOOKUP($T$437,'TAR FIN'!$A$1:$O$95,15,0))</f>
        <v>0</v>
      </c>
      <c r="X437" s="77">
        <f>IF(ISERROR(VLOOKUP($U$437,'TAR FIN'!$A$1:$O$95,15,0)),0,VLOOKUP($U$437,'TAR FIN'!$A$1:$O$95,15,0))</f>
        <v>0</v>
      </c>
      <c r="Y437" s="77">
        <f ca="1">('TUSD BE'!$AM$15+'TUSD BF'!$AM$15+'TUSD CVA'!$AM$15)*1*(1-0.06)</f>
        <v>30.014803359426047</v>
      </c>
      <c r="Z437" s="77"/>
      <c r="AA437" s="77"/>
      <c r="AB437" s="77">
        <f>(SUBSIDIO!$J$437*SUBSIDIO!$V$437)*(0.09)/(1-0.09)</f>
        <v>9943.217099999998</v>
      </c>
      <c r="AC437" s="77">
        <f>((SUBSIDIO!$L$437*SUBSIDIO!$W$437)+(SUBSIDIO!$N$437*SUBSIDIO!$X$437))*(0.09)/(1-0.09)</f>
        <v>0</v>
      </c>
      <c r="AD437" s="77">
        <f ca="1">(SUBSIDIO!$J$437*SUBSIDIO!$Y$437)*(0.06)/(1-0.06)</f>
        <v>7408.5475270787565</v>
      </c>
      <c r="AE437" s="77">
        <f>((SUBSIDIO!$L$437*SUBSIDIO!$Z$437)+(SUBSIDIO!$N$437*SUBSIDIO!$AA$437))*(0.06)/(1-0.06)</f>
        <v>0</v>
      </c>
      <c r="AF437" s="4" t="s">
        <v>842</v>
      </c>
    </row>
    <row r="438" spans="1:32" ht="11.25" customHeight="1" x14ac:dyDescent="0.25">
      <c r="A438" s="4" t="s">
        <v>28</v>
      </c>
      <c r="B438" s="4" t="s">
        <v>35</v>
      </c>
      <c r="C438" s="4" t="s">
        <v>36</v>
      </c>
      <c r="D438" s="4" t="s">
        <v>52</v>
      </c>
      <c r="E438" s="4" t="s">
        <v>53</v>
      </c>
      <c r="F438" s="4" t="s">
        <v>25</v>
      </c>
      <c r="G438" s="4" t="s">
        <v>25</v>
      </c>
      <c r="H438" s="4" t="s">
        <v>25</v>
      </c>
      <c r="I438" s="5">
        <v>44228</v>
      </c>
      <c r="J438" s="6">
        <v>1554</v>
      </c>
      <c r="K438" s="78">
        <v>1554</v>
      </c>
      <c r="L438" s="6">
        <v>0</v>
      </c>
      <c r="M438" s="77">
        <v>0</v>
      </c>
      <c r="N438" s="6">
        <v>0</v>
      </c>
      <c r="O438" s="77">
        <v>0</v>
      </c>
      <c r="P438" s="6">
        <v>15</v>
      </c>
      <c r="Q438" s="4" t="s">
        <v>26</v>
      </c>
      <c r="R438" s="4">
        <v>0</v>
      </c>
      <c r="S438" s="4">
        <v>23</v>
      </c>
      <c r="T438" s="4">
        <v>0</v>
      </c>
      <c r="U438" s="4">
        <v>0</v>
      </c>
      <c r="V438" s="77">
        <f>IF(ISERROR(VLOOKUP($S$438,'TAR FIN'!$A$1:$O$95,15,0)),0,VLOOKUP($S$438,'TAR FIN'!$A$1:$O$95,15,0))*(1-0.09)</f>
        <v>25.998699999999999</v>
      </c>
      <c r="W438" s="77">
        <f>IF(ISERROR(VLOOKUP($T$438,'TAR FIN'!$A$1:$O$95,15,0)),0,VLOOKUP($T$438,'TAR FIN'!$A$1:$O$95,15,0))</f>
        <v>0</v>
      </c>
      <c r="X438" s="77">
        <f>IF(ISERROR(VLOOKUP($U$438,'TAR FIN'!$A$1:$O$95,15,0)),0,VLOOKUP($U$438,'TAR FIN'!$A$1:$O$95,15,0))</f>
        <v>0</v>
      </c>
      <c r="Y438" s="77">
        <f ca="1">('TUSD BE'!$AM$15+'TUSD BF'!$AM$15+'TUSD CVA'!$AM$15)*1*(1-0.06)</f>
        <v>30.014803359426047</v>
      </c>
      <c r="Z438" s="77"/>
      <c r="AA438" s="77"/>
      <c r="AB438" s="77">
        <f>(SUBSIDIO!$J$438*SUBSIDIO!$V$438)*(0.09)/(1-0.09)</f>
        <v>3995.8002000000001</v>
      </c>
      <c r="AC438" s="77">
        <f>((SUBSIDIO!$L$438*SUBSIDIO!$W$438)+(SUBSIDIO!$N$438*SUBSIDIO!$X$438))*(0.09)/(1-0.09)</f>
        <v>0</v>
      </c>
      <c r="AD438" s="77">
        <f ca="1">(SUBSIDIO!$J$438*SUBSIDIO!$Y$438)*(0.06)/(1-0.06)</f>
        <v>2977.2130481200898</v>
      </c>
      <c r="AE438" s="77">
        <f>((SUBSIDIO!$L$438*SUBSIDIO!$Z$438)+(SUBSIDIO!$N$438*SUBSIDIO!$AA$438))*(0.06)/(1-0.06)</f>
        <v>0</v>
      </c>
      <c r="AF438" s="4" t="s">
        <v>842</v>
      </c>
    </row>
    <row r="439" spans="1:32" ht="11.25" customHeight="1" x14ac:dyDescent="0.25">
      <c r="A439" s="4" t="s">
        <v>21</v>
      </c>
      <c r="B439" s="4" t="s">
        <v>35</v>
      </c>
      <c r="C439" s="4" t="s">
        <v>36</v>
      </c>
      <c r="D439" s="4" t="s">
        <v>52</v>
      </c>
      <c r="E439" s="4" t="s">
        <v>53</v>
      </c>
      <c r="F439" s="4" t="s">
        <v>25</v>
      </c>
      <c r="G439" s="4" t="s">
        <v>25</v>
      </c>
      <c r="H439" s="4" t="s">
        <v>25</v>
      </c>
      <c r="I439" s="5">
        <v>44256</v>
      </c>
      <c r="J439" s="6">
        <v>4059</v>
      </c>
      <c r="K439" s="78">
        <v>4059</v>
      </c>
      <c r="L439" s="6">
        <v>0</v>
      </c>
      <c r="M439" s="77">
        <v>0</v>
      </c>
      <c r="N439" s="6">
        <v>0</v>
      </c>
      <c r="O439" s="77">
        <v>0</v>
      </c>
      <c r="P439" s="6">
        <v>59</v>
      </c>
      <c r="Q439" s="4" t="s">
        <v>26</v>
      </c>
      <c r="R439" s="4">
        <v>0</v>
      </c>
      <c r="S439" s="4">
        <v>23</v>
      </c>
      <c r="T439" s="4">
        <v>0</v>
      </c>
      <c r="U439" s="4">
        <v>0</v>
      </c>
      <c r="V439" s="77">
        <f>IF(ISERROR(VLOOKUP($S$439,'TAR FIN'!$A$1:$O$95,15,0)),0,VLOOKUP($S$439,'TAR FIN'!$A$1:$O$95,15,0))*(1-0.09)</f>
        <v>25.998699999999999</v>
      </c>
      <c r="W439" s="77">
        <f>IF(ISERROR(VLOOKUP($T$439,'TAR FIN'!$A$1:$O$95,15,0)),0,VLOOKUP($T$439,'TAR FIN'!$A$1:$O$95,15,0))</f>
        <v>0</v>
      </c>
      <c r="X439" s="77">
        <f>IF(ISERROR(VLOOKUP($U$439,'TAR FIN'!$A$1:$O$95,15,0)),0,VLOOKUP($U$439,'TAR FIN'!$A$1:$O$95,15,0))</f>
        <v>0</v>
      </c>
      <c r="Y439" s="77">
        <f ca="1">('TUSD BE'!$AM$15+'TUSD BF'!$AM$15+'TUSD CVA'!$AM$15)*1*(1-0.06)</f>
        <v>30.014803359426047</v>
      </c>
      <c r="Z439" s="77"/>
      <c r="AA439" s="77"/>
      <c r="AB439" s="77">
        <f>(SUBSIDIO!$J$439*SUBSIDIO!$V$439)*(0.09)/(1-0.09)</f>
        <v>10436.9067</v>
      </c>
      <c r="AC439" s="77">
        <f>((SUBSIDIO!$L$439*SUBSIDIO!$W$439)+(SUBSIDIO!$N$439*SUBSIDIO!$X$439))*(0.09)/(1-0.09)</f>
        <v>0</v>
      </c>
      <c r="AD439" s="77">
        <f ca="1">(SUBSIDIO!$J$439*SUBSIDIO!$Y$439)*(0.06)/(1-0.06)</f>
        <v>7776.3885214410848</v>
      </c>
      <c r="AE439" s="77">
        <f>((SUBSIDIO!$L$439*SUBSIDIO!$Z$439)+(SUBSIDIO!$N$439*SUBSIDIO!$AA$439))*(0.06)/(1-0.06)</f>
        <v>0</v>
      </c>
      <c r="AF439" s="4" t="s">
        <v>842</v>
      </c>
    </row>
    <row r="440" spans="1:32" ht="11.25" customHeight="1" x14ac:dyDescent="0.25">
      <c r="A440" s="4" t="s">
        <v>28</v>
      </c>
      <c r="B440" s="4" t="s">
        <v>35</v>
      </c>
      <c r="C440" s="4" t="s">
        <v>36</v>
      </c>
      <c r="D440" s="4" t="s">
        <v>52</v>
      </c>
      <c r="E440" s="4" t="s">
        <v>53</v>
      </c>
      <c r="F440" s="4" t="s">
        <v>25</v>
      </c>
      <c r="G440" s="4" t="s">
        <v>25</v>
      </c>
      <c r="H440" s="4" t="s">
        <v>25</v>
      </c>
      <c r="I440" s="5">
        <v>44256</v>
      </c>
      <c r="J440" s="6">
        <v>1516</v>
      </c>
      <c r="K440" s="78">
        <v>1516</v>
      </c>
      <c r="L440" s="6">
        <v>0</v>
      </c>
      <c r="M440" s="77">
        <v>0</v>
      </c>
      <c r="N440" s="6">
        <v>0</v>
      </c>
      <c r="O440" s="77">
        <v>0</v>
      </c>
      <c r="P440" s="6">
        <v>15</v>
      </c>
      <c r="Q440" s="4" t="s">
        <v>26</v>
      </c>
      <c r="R440" s="4">
        <v>0</v>
      </c>
      <c r="S440" s="4">
        <v>23</v>
      </c>
      <c r="T440" s="4">
        <v>0</v>
      </c>
      <c r="U440" s="4">
        <v>0</v>
      </c>
      <c r="V440" s="77">
        <f>IF(ISERROR(VLOOKUP($S$440,'TAR FIN'!$A$1:$O$95,15,0)),0,VLOOKUP($S$440,'TAR FIN'!$A$1:$O$95,15,0))*(1-0.09)</f>
        <v>25.998699999999999</v>
      </c>
      <c r="W440" s="77">
        <f>IF(ISERROR(VLOOKUP($T$440,'TAR FIN'!$A$1:$O$95,15,0)),0,VLOOKUP($T$440,'TAR FIN'!$A$1:$O$95,15,0))</f>
        <v>0</v>
      </c>
      <c r="X440" s="77">
        <f>IF(ISERROR(VLOOKUP($U$440,'TAR FIN'!$A$1:$O$95,15,0)),0,VLOOKUP($U$440,'TAR FIN'!$A$1:$O$95,15,0))</f>
        <v>0</v>
      </c>
      <c r="Y440" s="77">
        <f ca="1">('TUSD BE'!$AM$15+'TUSD BF'!$AM$15+'TUSD CVA'!$AM$15)*1*(1-0.06)</f>
        <v>30.014803359426047</v>
      </c>
      <c r="Z440" s="77"/>
      <c r="AA440" s="77"/>
      <c r="AB440" s="77">
        <f>(SUBSIDIO!$J$440*SUBSIDIO!$V$440)*(0.09)/(1-0.09)</f>
        <v>3898.0907999999995</v>
      </c>
      <c r="AC440" s="77">
        <f>((SUBSIDIO!$L$440*SUBSIDIO!$W$440)+(SUBSIDIO!$N$440*SUBSIDIO!$X$440))*(0.09)/(1-0.09)</f>
        <v>0</v>
      </c>
      <c r="AD440" s="77">
        <f ca="1">(SUBSIDIO!$J$440*SUBSIDIO!$Y$440)*(0.06)/(1-0.06)</f>
        <v>2904.4111846525461</v>
      </c>
      <c r="AE440" s="77">
        <f>((SUBSIDIO!$L$440*SUBSIDIO!$Z$440)+(SUBSIDIO!$N$440*SUBSIDIO!$AA$440))*(0.06)/(1-0.06)</f>
        <v>0</v>
      </c>
      <c r="AF440" s="4" t="s">
        <v>842</v>
      </c>
    </row>
    <row r="441" spans="1:32" ht="11.25" customHeight="1" x14ac:dyDescent="0.25">
      <c r="A441" s="4" t="s">
        <v>21</v>
      </c>
      <c r="B441" s="4" t="s">
        <v>35</v>
      </c>
      <c r="C441" s="4" t="s">
        <v>36</v>
      </c>
      <c r="D441" s="4" t="s">
        <v>52</v>
      </c>
      <c r="E441" s="4" t="s">
        <v>53</v>
      </c>
      <c r="F441" s="4" t="s">
        <v>25</v>
      </c>
      <c r="G441" s="4" t="s">
        <v>25</v>
      </c>
      <c r="H441" s="4" t="s">
        <v>25</v>
      </c>
      <c r="I441" s="5">
        <v>44287</v>
      </c>
      <c r="J441" s="6">
        <v>3935</v>
      </c>
      <c r="K441" s="78">
        <v>3935</v>
      </c>
      <c r="L441" s="6">
        <v>0</v>
      </c>
      <c r="M441" s="77">
        <v>0</v>
      </c>
      <c r="N441" s="6">
        <v>0</v>
      </c>
      <c r="O441" s="77">
        <v>0</v>
      </c>
      <c r="P441" s="6">
        <v>57</v>
      </c>
      <c r="Q441" s="4" t="s">
        <v>26</v>
      </c>
      <c r="R441" s="4">
        <v>0</v>
      </c>
      <c r="S441" s="4">
        <v>23</v>
      </c>
      <c r="T441" s="4">
        <v>0</v>
      </c>
      <c r="U441" s="4">
        <v>0</v>
      </c>
      <c r="V441" s="77">
        <f>IF(ISERROR(VLOOKUP($S$441,'TAR FIN'!$A$1:$O$95,15,0)),0,VLOOKUP($S$441,'TAR FIN'!$A$1:$O$95,15,0))*(1-0.09)</f>
        <v>25.998699999999999</v>
      </c>
      <c r="W441" s="77">
        <f>IF(ISERROR(VLOOKUP($T$441,'TAR FIN'!$A$1:$O$95,15,0)),0,VLOOKUP($T$441,'TAR FIN'!$A$1:$O$95,15,0))</f>
        <v>0</v>
      </c>
      <c r="X441" s="77">
        <f>IF(ISERROR(VLOOKUP($U$441,'TAR FIN'!$A$1:$O$95,15,0)),0,VLOOKUP($U$441,'TAR FIN'!$A$1:$O$95,15,0))</f>
        <v>0</v>
      </c>
      <c r="Y441" s="77">
        <f ca="1">('TUSD BE'!$AM$15+'TUSD BF'!$AM$15+'TUSD CVA'!$AM$15)*1*(1-0.06)</f>
        <v>30.014803359426047</v>
      </c>
      <c r="Z441" s="77"/>
      <c r="AA441" s="77"/>
      <c r="AB441" s="77">
        <f>(SUBSIDIO!$J$441*SUBSIDIO!$V$441)*(0.09)/(1-0.09)</f>
        <v>10118.065499999999</v>
      </c>
      <c r="AC441" s="77">
        <f>((SUBSIDIO!$L$441*SUBSIDIO!$W$441)+(SUBSIDIO!$N$441*SUBSIDIO!$X$441))*(0.09)/(1-0.09)</f>
        <v>0</v>
      </c>
      <c r="AD441" s="77">
        <f ca="1">(SUBSIDIO!$J$441*SUBSIDIO!$Y$441)*(0.06)/(1-0.06)</f>
        <v>7538.8245459154141</v>
      </c>
      <c r="AE441" s="77">
        <f>((SUBSIDIO!$L$441*SUBSIDIO!$Z$441)+(SUBSIDIO!$N$441*SUBSIDIO!$AA$441))*(0.06)/(1-0.06)</f>
        <v>0</v>
      </c>
      <c r="AF441" s="4" t="s">
        <v>842</v>
      </c>
    </row>
    <row r="442" spans="1:32" ht="11.25" customHeight="1" x14ac:dyDescent="0.25">
      <c r="A442" s="4" t="s">
        <v>27</v>
      </c>
      <c r="B442" s="4" t="s">
        <v>35</v>
      </c>
      <c r="C442" s="4" t="s">
        <v>36</v>
      </c>
      <c r="D442" s="4" t="s">
        <v>52</v>
      </c>
      <c r="E442" s="4" t="s">
        <v>53</v>
      </c>
      <c r="F442" s="4" t="s">
        <v>25</v>
      </c>
      <c r="G442" s="4" t="s">
        <v>25</v>
      </c>
      <c r="H442" s="4" t="s">
        <v>25</v>
      </c>
      <c r="I442" s="5">
        <v>44287</v>
      </c>
      <c r="J442" s="6">
        <v>-95</v>
      </c>
      <c r="K442" s="78">
        <v>-95</v>
      </c>
      <c r="L442" s="6">
        <v>0</v>
      </c>
      <c r="M442" s="77">
        <v>0</v>
      </c>
      <c r="N442" s="6">
        <v>0</v>
      </c>
      <c r="O442" s="77">
        <v>0</v>
      </c>
      <c r="P442" s="6">
        <v>0</v>
      </c>
      <c r="Q442" s="4" t="s">
        <v>26</v>
      </c>
      <c r="R442" s="4">
        <v>0</v>
      </c>
      <c r="S442" s="4">
        <v>23</v>
      </c>
      <c r="T442" s="4">
        <v>0</v>
      </c>
      <c r="U442" s="4">
        <v>0</v>
      </c>
      <c r="V442" s="77">
        <f>IF(ISERROR(VLOOKUP($S$442,'TAR FIN'!$A$1:$O$95,15,0)),0,VLOOKUP($S$442,'TAR FIN'!$A$1:$O$95,15,0))*(1-0.09)</f>
        <v>25.998699999999999</v>
      </c>
      <c r="W442" s="77">
        <f>IF(ISERROR(VLOOKUP($T$442,'TAR FIN'!$A$1:$O$95,15,0)),0,VLOOKUP($T$442,'TAR FIN'!$A$1:$O$95,15,0))</f>
        <v>0</v>
      </c>
      <c r="X442" s="77">
        <f>IF(ISERROR(VLOOKUP($U$442,'TAR FIN'!$A$1:$O$95,15,0)),0,VLOOKUP($U$442,'TAR FIN'!$A$1:$O$95,15,0))</f>
        <v>0</v>
      </c>
      <c r="Y442" s="77">
        <f ca="1">('TUSD BE'!$AM$15+'TUSD BF'!$AM$15+'TUSD CVA'!$AM$15)*1*(1-0.06)</f>
        <v>30.014803359426047</v>
      </c>
      <c r="Z442" s="77"/>
      <c r="AA442" s="77"/>
      <c r="AB442" s="77">
        <f>(SUBSIDIO!$J$442*SUBSIDIO!$V$442)*(0.09)/(1-0.09)</f>
        <v>-244.27349999999996</v>
      </c>
      <c r="AC442" s="77">
        <f>((SUBSIDIO!$L$442*SUBSIDIO!$W$442)+(SUBSIDIO!$N$442*SUBSIDIO!$X$442))*(0.09)/(1-0.09)</f>
        <v>0</v>
      </c>
      <c r="AD442" s="77">
        <f ca="1">(SUBSIDIO!$J$442*SUBSIDIO!$Y$442)*(0.06)/(1-0.06)</f>
        <v>-182.00465866886006</v>
      </c>
      <c r="AE442" s="77">
        <f>((SUBSIDIO!$L$442*SUBSIDIO!$Z$442)+(SUBSIDIO!$N$442*SUBSIDIO!$AA$442))*(0.06)/(1-0.06)</f>
        <v>0</v>
      </c>
      <c r="AF442" s="4" t="s">
        <v>842</v>
      </c>
    </row>
    <row r="443" spans="1:32" ht="11.25" customHeight="1" x14ac:dyDescent="0.25">
      <c r="A443" s="4" t="s">
        <v>28</v>
      </c>
      <c r="B443" s="4" t="s">
        <v>35</v>
      </c>
      <c r="C443" s="4" t="s">
        <v>36</v>
      </c>
      <c r="D443" s="4" t="s">
        <v>52</v>
      </c>
      <c r="E443" s="4" t="s">
        <v>53</v>
      </c>
      <c r="F443" s="4" t="s">
        <v>25</v>
      </c>
      <c r="G443" s="4" t="s">
        <v>25</v>
      </c>
      <c r="H443" s="4" t="s">
        <v>25</v>
      </c>
      <c r="I443" s="5">
        <v>44287</v>
      </c>
      <c r="J443" s="6">
        <v>1563</v>
      </c>
      <c r="K443" s="78">
        <v>1563</v>
      </c>
      <c r="L443" s="6">
        <v>0</v>
      </c>
      <c r="M443" s="77">
        <v>0</v>
      </c>
      <c r="N443" s="6">
        <v>0</v>
      </c>
      <c r="O443" s="77">
        <v>0</v>
      </c>
      <c r="P443" s="6">
        <v>16</v>
      </c>
      <c r="Q443" s="4" t="s">
        <v>26</v>
      </c>
      <c r="R443" s="4">
        <v>0</v>
      </c>
      <c r="S443" s="4">
        <v>23</v>
      </c>
      <c r="T443" s="4">
        <v>0</v>
      </c>
      <c r="U443" s="4">
        <v>0</v>
      </c>
      <c r="V443" s="77">
        <f>IF(ISERROR(VLOOKUP($S$443,'TAR FIN'!$A$1:$O$95,15,0)),0,VLOOKUP($S$443,'TAR FIN'!$A$1:$O$95,15,0))*(1-0.09)</f>
        <v>25.998699999999999</v>
      </c>
      <c r="W443" s="77">
        <f>IF(ISERROR(VLOOKUP($T$443,'TAR FIN'!$A$1:$O$95,15,0)),0,VLOOKUP($T$443,'TAR FIN'!$A$1:$O$95,15,0))</f>
        <v>0</v>
      </c>
      <c r="X443" s="77">
        <f>IF(ISERROR(VLOOKUP($U$443,'TAR FIN'!$A$1:$O$95,15,0)),0,VLOOKUP($U$443,'TAR FIN'!$A$1:$O$95,15,0))</f>
        <v>0</v>
      </c>
      <c r="Y443" s="77">
        <f ca="1">('TUSD BE'!$AM$15+'TUSD BF'!$AM$15+'TUSD CVA'!$AM$15)*1*(1-0.06)</f>
        <v>30.014803359426047</v>
      </c>
      <c r="Z443" s="77"/>
      <c r="AA443" s="77"/>
      <c r="AB443" s="77">
        <f>(SUBSIDIO!$J$443*SUBSIDIO!$V$443)*(0.09)/(1-0.09)</f>
        <v>4018.9418999999994</v>
      </c>
      <c r="AC443" s="77">
        <f>((SUBSIDIO!$L$443*SUBSIDIO!$W$443)+(SUBSIDIO!$N$443*SUBSIDIO!$X$443))*(0.09)/(1-0.09)</f>
        <v>0</v>
      </c>
      <c r="AD443" s="77">
        <f ca="1">(SUBSIDIO!$J$443*SUBSIDIO!$Y$443)*(0.06)/(1-0.06)</f>
        <v>2994.455594730824</v>
      </c>
      <c r="AE443" s="77">
        <f>((SUBSIDIO!$L$443*SUBSIDIO!$Z$443)+(SUBSIDIO!$N$443*SUBSIDIO!$AA$443))*(0.06)/(1-0.06)</f>
        <v>0</v>
      </c>
      <c r="AF443" s="4" t="s">
        <v>842</v>
      </c>
    </row>
    <row r="444" spans="1:32" ht="11.25" customHeight="1" x14ac:dyDescent="0.25">
      <c r="A444" s="4" t="s">
        <v>21</v>
      </c>
      <c r="B444" s="4" t="s">
        <v>35</v>
      </c>
      <c r="C444" s="4" t="s">
        <v>36</v>
      </c>
      <c r="D444" s="4" t="s">
        <v>52</v>
      </c>
      <c r="E444" s="4" t="s">
        <v>53</v>
      </c>
      <c r="F444" s="4" t="s">
        <v>25</v>
      </c>
      <c r="G444" s="4" t="s">
        <v>25</v>
      </c>
      <c r="H444" s="4" t="s">
        <v>25</v>
      </c>
      <c r="I444" s="5">
        <v>44317</v>
      </c>
      <c r="J444" s="6">
        <v>3765</v>
      </c>
      <c r="K444" s="78">
        <v>3765</v>
      </c>
      <c r="L444" s="6">
        <v>0</v>
      </c>
      <c r="M444" s="77">
        <v>0</v>
      </c>
      <c r="N444" s="6">
        <v>0</v>
      </c>
      <c r="O444" s="77">
        <v>0</v>
      </c>
      <c r="P444" s="6">
        <v>57</v>
      </c>
      <c r="Q444" s="4" t="s">
        <v>26</v>
      </c>
      <c r="R444" s="4">
        <v>0</v>
      </c>
      <c r="S444" s="4">
        <v>23</v>
      </c>
      <c r="T444" s="4">
        <v>0</v>
      </c>
      <c r="U444" s="4">
        <v>0</v>
      </c>
      <c r="V444" s="77">
        <f>IF(ISERROR(VLOOKUP($S$444,'TAR FIN'!$A$1:$O$95,15,0)),0,VLOOKUP($S$444,'TAR FIN'!$A$1:$O$95,15,0))*(1-0.09)</f>
        <v>25.998699999999999</v>
      </c>
      <c r="W444" s="77">
        <f>IF(ISERROR(VLOOKUP($T$444,'TAR FIN'!$A$1:$O$95,15,0)),0,VLOOKUP($T$444,'TAR FIN'!$A$1:$O$95,15,0))</f>
        <v>0</v>
      </c>
      <c r="X444" s="77">
        <f>IF(ISERROR(VLOOKUP($U$444,'TAR FIN'!$A$1:$O$95,15,0)),0,VLOOKUP($U$444,'TAR FIN'!$A$1:$O$95,15,0))</f>
        <v>0</v>
      </c>
      <c r="Y444" s="77">
        <f ca="1">('TUSD BE'!$AM$15+'TUSD BF'!$AM$15+'TUSD CVA'!$AM$15)*1*(1-0.06)</f>
        <v>30.014803359426047</v>
      </c>
      <c r="Z444" s="77"/>
      <c r="AA444" s="77"/>
      <c r="AB444" s="77">
        <f>(SUBSIDIO!$J$444*SUBSIDIO!$V$444)*(0.09)/(1-0.09)</f>
        <v>9680.9444999999996</v>
      </c>
      <c r="AC444" s="77">
        <f>((SUBSIDIO!$L$444*SUBSIDIO!$W$444)+(SUBSIDIO!$N$444*SUBSIDIO!$X$444))*(0.09)/(1-0.09)</f>
        <v>0</v>
      </c>
      <c r="AD444" s="77">
        <f ca="1">(SUBSIDIO!$J$444*SUBSIDIO!$Y$444)*(0.06)/(1-0.06)</f>
        <v>7213.131998823771</v>
      </c>
      <c r="AE444" s="77">
        <f>((SUBSIDIO!$L$444*SUBSIDIO!$Z$444)+(SUBSIDIO!$N$444*SUBSIDIO!$AA$444))*(0.06)/(1-0.06)</f>
        <v>0</v>
      </c>
      <c r="AF444" s="4" t="s">
        <v>842</v>
      </c>
    </row>
    <row r="445" spans="1:32" ht="11.25" customHeight="1" x14ac:dyDescent="0.25">
      <c r="A445" s="4" t="s">
        <v>28</v>
      </c>
      <c r="B445" s="4" t="s">
        <v>35</v>
      </c>
      <c r="C445" s="4" t="s">
        <v>36</v>
      </c>
      <c r="D445" s="4" t="s">
        <v>52</v>
      </c>
      <c r="E445" s="4" t="s">
        <v>53</v>
      </c>
      <c r="F445" s="4" t="s">
        <v>25</v>
      </c>
      <c r="G445" s="4" t="s">
        <v>25</v>
      </c>
      <c r="H445" s="4" t="s">
        <v>25</v>
      </c>
      <c r="I445" s="5">
        <v>44317</v>
      </c>
      <c r="J445" s="6">
        <v>1757</v>
      </c>
      <c r="K445" s="78">
        <v>1757</v>
      </c>
      <c r="L445" s="6">
        <v>0</v>
      </c>
      <c r="M445" s="77">
        <v>0</v>
      </c>
      <c r="N445" s="6">
        <v>0</v>
      </c>
      <c r="O445" s="77">
        <v>0</v>
      </c>
      <c r="P445" s="6">
        <v>18</v>
      </c>
      <c r="Q445" s="4" t="s">
        <v>26</v>
      </c>
      <c r="R445" s="4">
        <v>0</v>
      </c>
      <c r="S445" s="4">
        <v>23</v>
      </c>
      <c r="T445" s="4">
        <v>0</v>
      </c>
      <c r="U445" s="4">
        <v>0</v>
      </c>
      <c r="V445" s="77">
        <f>IF(ISERROR(VLOOKUP($S$445,'TAR FIN'!$A$1:$O$95,15,0)),0,VLOOKUP($S$445,'TAR FIN'!$A$1:$O$95,15,0))*(1-0.09)</f>
        <v>25.998699999999999</v>
      </c>
      <c r="W445" s="77">
        <f>IF(ISERROR(VLOOKUP($T$445,'TAR FIN'!$A$1:$O$95,15,0)),0,VLOOKUP($T$445,'TAR FIN'!$A$1:$O$95,15,0))</f>
        <v>0</v>
      </c>
      <c r="X445" s="77">
        <f>IF(ISERROR(VLOOKUP($U$445,'TAR FIN'!$A$1:$O$95,15,0)),0,VLOOKUP($U$445,'TAR FIN'!$A$1:$O$95,15,0))</f>
        <v>0</v>
      </c>
      <c r="Y445" s="77">
        <f ca="1">('TUSD BE'!$AM$15+'TUSD BF'!$AM$15+'TUSD CVA'!$AM$15)*1*(1-0.06)</f>
        <v>30.014803359426047</v>
      </c>
      <c r="Z445" s="77"/>
      <c r="AA445" s="77"/>
      <c r="AB445" s="77">
        <f>(SUBSIDIO!$J$445*SUBSIDIO!$V$445)*(0.09)/(1-0.09)</f>
        <v>4517.7740999999996</v>
      </c>
      <c r="AC445" s="77">
        <f>((SUBSIDIO!$L$445*SUBSIDIO!$W$445)+(SUBSIDIO!$N$445*SUBSIDIO!$X$445))*(0.09)/(1-0.09)</f>
        <v>0</v>
      </c>
      <c r="AD445" s="77">
        <f ca="1">(SUBSIDIO!$J$445*SUBSIDIO!$Y$445)*(0.06)/(1-0.06)</f>
        <v>3366.1282661177593</v>
      </c>
      <c r="AE445" s="77">
        <f>((SUBSIDIO!$L$445*SUBSIDIO!$Z$445)+(SUBSIDIO!$N$445*SUBSIDIO!$AA$445))*(0.06)/(1-0.06)</f>
        <v>0</v>
      </c>
      <c r="AF445" s="4" t="s">
        <v>842</v>
      </c>
    </row>
    <row r="446" spans="1:32" ht="11.25" customHeight="1" x14ac:dyDescent="0.25">
      <c r="A446" s="4" t="s">
        <v>29</v>
      </c>
      <c r="B446" s="4" t="s">
        <v>35</v>
      </c>
      <c r="C446" s="4" t="s">
        <v>36</v>
      </c>
      <c r="D446" s="4" t="s">
        <v>52</v>
      </c>
      <c r="E446" s="4" t="s">
        <v>53</v>
      </c>
      <c r="F446" s="4" t="s">
        <v>25</v>
      </c>
      <c r="G446" s="4" t="s">
        <v>25</v>
      </c>
      <c r="H446" s="4" t="s">
        <v>25</v>
      </c>
      <c r="I446" s="5">
        <v>44317</v>
      </c>
      <c r="J446" s="6">
        <v>1800</v>
      </c>
      <c r="K446" s="78">
        <v>1800</v>
      </c>
      <c r="L446" s="6">
        <v>0</v>
      </c>
      <c r="M446" s="77">
        <v>0</v>
      </c>
      <c r="N446" s="6">
        <v>0</v>
      </c>
      <c r="O446" s="77">
        <v>0</v>
      </c>
      <c r="P446" s="6">
        <v>0</v>
      </c>
      <c r="Q446" s="4" t="s">
        <v>26</v>
      </c>
      <c r="R446" s="4">
        <v>0</v>
      </c>
      <c r="S446" s="4">
        <v>23</v>
      </c>
      <c r="T446" s="4">
        <v>0</v>
      </c>
      <c r="U446" s="4">
        <v>0</v>
      </c>
      <c r="V446" s="77">
        <f>IF(ISERROR(VLOOKUP($S$446,'TAR FIN'!$A$1:$O$95,15,0)),0,VLOOKUP($S$446,'TAR FIN'!$A$1:$O$95,15,0))*(1-0.09)</f>
        <v>25.998699999999999</v>
      </c>
      <c r="W446" s="77">
        <f>IF(ISERROR(VLOOKUP($T$446,'TAR FIN'!$A$1:$O$95,15,0)),0,VLOOKUP($T$446,'TAR FIN'!$A$1:$O$95,15,0))</f>
        <v>0</v>
      </c>
      <c r="X446" s="77">
        <f>IF(ISERROR(VLOOKUP($U$446,'TAR FIN'!$A$1:$O$95,15,0)),0,VLOOKUP($U$446,'TAR FIN'!$A$1:$O$95,15,0))</f>
        <v>0</v>
      </c>
      <c r="Y446" s="77">
        <f ca="1">('TUSD BE'!$AM$15+'TUSD BF'!$AM$15+'TUSD CVA'!$AM$15)*1*(1-0.06)</f>
        <v>30.014803359426047</v>
      </c>
      <c r="Z446" s="77"/>
      <c r="AA446" s="77"/>
      <c r="AB446" s="77">
        <f>(SUBSIDIO!$J$446*SUBSIDIO!$V$446)*(0.09)/(1-0.09)</f>
        <v>4628.3399999999992</v>
      </c>
      <c r="AC446" s="77">
        <f>((SUBSIDIO!$L$446*SUBSIDIO!$W$446)+(SUBSIDIO!$N$446*SUBSIDIO!$X$446))*(0.09)/(1-0.09)</f>
        <v>0</v>
      </c>
      <c r="AD446" s="77">
        <f ca="1">(SUBSIDIO!$J$446*SUBSIDIO!$Y$446)*(0.06)/(1-0.06)</f>
        <v>3448.5093221468223</v>
      </c>
      <c r="AE446" s="77">
        <f>((SUBSIDIO!$L$446*SUBSIDIO!$Z$446)+(SUBSIDIO!$N$446*SUBSIDIO!$AA$446))*(0.06)/(1-0.06)</f>
        <v>0</v>
      </c>
      <c r="AF446" s="4" t="s">
        <v>842</v>
      </c>
    </row>
    <row r="447" spans="1:32" ht="11.25" customHeight="1" x14ac:dyDescent="0.25">
      <c r="A447" s="4" t="s">
        <v>21</v>
      </c>
      <c r="B447" s="4" t="s">
        <v>35</v>
      </c>
      <c r="C447" s="4" t="s">
        <v>36</v>
      </c>
      <c r="D447" s="4" t="s">
        <v>52</v>
      </c>
      <c r="E447" s="4" t="s">
        <v>53</v>
      </c>
      <c r="F447" s="4" t="s">
        <v>25</v>
      </c>
      <c r="G447" s="4" t="s">
        <v>25</v>
      </c>
      <c r="H447" s="4" t="s">
        <v>25</v>
      </c>
      <c r="I447" s="5">
        <v>44348</v>
      </c>
      <c r="J447" s="6">
        <v>3917</v>
      </c>
      <c r="K447" s="78">
        <v>3917</v>
      </c>
      <c r="L447" s="6">
        <v>0</v>
      </c>
      <c r="M447" s="77">
        <v>0</v>
      </c>
      <c r="N447" s="6">
        <v>0</v>
      </c>
      <c r="O447" s="77">
        <v>0</v>
      </c>
      <c r="P447" s="6">
        <v>56</v>
      </c>
      <c r="Q447" s="4" t="s">
        <v>26</v>
      </c>
      <c r="R447" s="4">
        <v>0</v>
      </c>
      <c r="S447" s="4">
        <v>23</v>
      </c>
      <c r="T447" s="4">
        <v>0</v>
      </c>
      <c r="U447" s="4">
        <v>0</v>
      </c>
      <c r="V447" s="77">
        <f>IF(ISERROR(VLOOKUP($S$447,'TAR FIN'!$A$1:$O$95,15,0)),0,VLOOKUP($S$447,'TAR FIN'!$A$1:$O$95,15,0))*(1-0.09)</f>
        <v>25.998699999999999</v>
      </c>
      <c r="W447" s="77">
        <f>IF(ISERROR(VLOOKUP($T$447,'TAR FIN'!$A$1:$O$95,15,0)),0,VLOOKUP($T$447,'TAR FIN'!$A$1:$O$95,15,0))</f>
        <v>0</v>
      </c>
      <c r="X447" s="77">
        <f>IF(ISERROR(VLOOKUP($U$447,'TAR FIN'!$A$1:$O$95,15,0)),0,VLOOKUP($U$447,'TAR FIN'!$A$1:$O$95,15,0))</f>
        <v>0</v>
      </c>
      <c r="Y447" s="77">
        <f ca="1">('TUSD BE'!$AM$15+'TUSD BF'!$AM$15+'TUSD CVA'!$AM$15)*1*(1-0.06)</f>
        <v>30.014803359426047</v>
      </c>
      <c r="Z447" s="77"/>
      <c r="AA447" s="77"/>
      <c r="AB447" s="77">
        <f>(SUBSIDIO!$J$447*SUBSIDIO!$V$447)*(0.09)/(1-0.09)</f>
        <v>10071.782099999999</v>
      </c>
      <c r="AC447" s="77">
        <f>((SUBSIDIO!$L$447*SUBSIDIO!$W$447)+(SUBSIDIO!$N$447*SUBSIDIO!$X$447))*(0.09)/(1-0.09)</f>
        <v>0</v>
      </c>
      <c r="AD447" s="77">
        <f ca="1">(SUBSIDIO!$J$447*SUBSIDIO!$Y$447)*(0.06)/(1-0.06)</f>
        <v>7504.3394526939464</v>
      </c>
      <c r="AE447" s="77">
        <f>((SUBSIDIO!$L$447*SUBSIDIO!$Z$447)+(SUBSIDIO!$N$447*SUBSIDIO!$AA$447))*(0.06)/(1-0.06)</f>
        <v>0</v>
      </c>
      <c r="AF447" s="4" t="s">
        <v>842</v>
      </c>
    </row>
    <row r="448" spans="1:32" ht="11.25" customHeight="1" x14ac:dyDescent="0.25">
      <c r="A448" s="4" t="s">
        <v>28</v>
      </c>
      <c r="B448" s="4" t="s">
        <v>35</v>
      </c>
      <c r="C448" s="4" t="s">
        <v>36</v>
      </c>
      <c r="D448" s="4" t="s">
        <v>52</v>
      </c>
      <c r="E448" s="4" t="s">
        <v>53</v>
      </c>
      <c r="F448" s="4" t="s">
        <v>25</v>
      </c>
      <c r="G448" s="4" t="s">
        <v>25</v>
      </c>
      <c r="H448" s="4" t="s">
        <v>25</v>
      </c>
      <c r="I448" s="5">
        <v>44348</v>
      </c>
      <c r="J448" s="6">
        <v>1969</v>
      </c>
      <c r="K448" s="78">
        <v>1969</v>
      </c>
      <c r="L448" s="6">
        <v>0</v>
      </c>
      <c r="M448" s="77">
        <v>0</v>
      </c>
      <c r="N448" s="6">
        <v>0</v>
      </c>
      <c r="O448" s="77">
        <v>0</v>
      </c>
      <c r="P448" s="6">
        <v>18</v>
      </c>
      <c r="Q448" s="4" t="s">
        <v>26</v>
      </c>
      <c r="R448" s="4">
        <v>0</v>
      </c>
      <c r="S448" s="4">
        <v>23</v>
      </c>
      <c r="T448" s="4">
        <v>0</v>
      </c>
      <c r="U448" s="4">
        <v>0</v>
      </c>
      <c r="V448" s="77">
        <f>IF(ISERROR(VLOOKUP($S$448,'TAR FIN'!$A$1:$O$95,15,0)),0,VLOOKUP($S$448,'TAR FIN'!$A$1:$O$95,15,0))*(1-0.09)</f>
        <v>25.998699999999999</v>
      </c>
      <c r="W448" s="77">
        <f>IF(ISERROR(VLOOKUP($T$448,'TAR FIN'!$A$1:$O$95,15,0)),0,VLOOKUP($T$448,'TAR FIN'!$A$1:$O$95,15,0))</f>
        <v>0</v>
      </c>
      <c r="X448" s="77">
        <f>IF(ISERROR(VLOOKUP($U$448,'TAR FIN'!$A$1:$O$95,15,0)),0,VLOOKUP($U$448,'TAR FIN'!$A$1:$O$95,15,0))</f>
        <v>0</v>
      </c>
      <c r="Y448" s="77">
        <f ca="1">('TUSD BE'!$AM$15+'TUSD BF'!$AM$15+'TUSD CVA'!$AM$15)*1*(1-0.06)</f>
        <v>30.014803359426047</v>
      </c>
      <c r="Z448" s="77"/>
      <c r="AA448" s="77"/>
      <c r="AB448" s="77">
        <f>(SUBSIDIO!$J$448*SUBSIDIO!$V$448)*(0.09)/(1-0.09)</f>
        <v>5062.8896999999997</v>
      </c>
      <c r="AC448" s="77">
        <f>((SUBSIDIO!$L$448*SUBSIDIO!$W$448)+(SUBSIDIO!$N$448*SUBSIDIO!$X$448))*(0.09)/(1-0.09)</f>
        <v>0</v>
      </c>
      <c r="AD448" s="77">
        <f ca="1">(SUBSIDIO!$J$448*SUBSIDIO!$Y$448)*(0.06)/(1-0.06)</f>
        <v>3772.2860307261631</v>
      </c>
      <c r="AE448" s="77">
        <f>((SUBSIDIO!$L$448*SUBSIDIO!$Z$448)+(SUBSIDIO!$N$448*SUBSIDIO!$AA$448))*(0.06)/(1-0.06)</f>
        <v>0</v>
      </c>
      <c r="AF448" s="4" t="s">
        <v>842</v>
      </c>
    </row>
    <row r="449" spans="1:32" ht="11.25" customHeight="1" x14ac:dyDescent="0.25">
      <c r="A449" s="4" t="s">
        <v>21</v>
      </c>
      <c r="B449" s="4" t="s">
        <v>35</v>
      </c>
      <c r="C449" s="4" t="s">
        <v>36</v>
      </c>
      <c r="D449" s="4" t="s">
        <v>52</v>
      </c>
      <c r="E449" s="4" t="s">
        <v>53</v>
      </c>
      <c r="F449" s="4" t="s">
        <v>25</v>
      </c>
      <c r="G449" s="4" t="s">
        <v>25</v>
      </c>
      <c r="H449" s="4" t="s">
        <v>25</v>
      </c>
      <c r="I449" s="5">
        <v>44378</v>
      </c>
      <c r="J449" s="6">
        <v>3911</v>
      </c>
      <c r="K449" s="78">
        <v>3911</v>
      </c>
      <c r="L449" s="6">
        <v>0</v>
      </c>
      <c r="M449" s="77">
        <v>0</v>
      </c>
      <c r="N449" s="6">
        <v>0</v>
      </c>
      <c r="O449" s="77">
        <v>0</v>
      </c>
      <c r="P449" s="6">
        <v>56</v>
      </c>
      <c r="Q449" s="4" t="s">
        <v>26</v>
      </c>
      <c r="R449" s="4">
        <v>0</v>
      </c>
      <c r="S449" s="4">
        <v>23</v>
      </c>
      <c r="T449" s="4">
        <v>0</v>
      </c>
      <c r="U449" s="4">
        <v>0</v>
      </c>
      <c r="V449" s="77">
        <f>IF(ISERROR(VLOOKUP($S$449,'TAR FIN'!$A$1:$O$95,15,0)),0,VLOOKUP($S$449,'TAR FIN'!$A$1:$O$95,15,0))*(1-0.09)</f>
        <v>25.998699999999999</v>
      </c>
      <c r="W449" s="77">
        <f>IF(ISERROR(VLOOKUP($T$449,'TAR FIN'!$A$1:$O$95,15,0)),0,VLOOKUP($T$449,'TAR FIN'!$A$1:$O$95,15,0))</f>
        <v>0</v>
      </c>
      <c r="X449" s="77">
        <f>IF(ISERROR(VLOOKUP($U$449,'TAR FIN'!$A$1:$O$95,15,0)),0,VLOOKUP($U$449,'TAR FIN'!$A$1:$O$95,15,0))</f>
        <v>0</v>
      </c>
      <c r="Y449" s="77">
        <f ca="1">('TUSD BE'!$AM$15+'TUSD BF'!$AM$15+'TUSD CVA'!$AM$15)*1*(1-0.06)</f>
        <v>30.014803359426047</v>
      </c>
      <c r="Z449" s="77"/>
      <c r="AA449" s="77"/>
      <c r="AB449" s="77">
        <f>(SUBSIDIO!$J$449*SUBSIDIO!$V$449)*(0.09)/(1-0.09)</f>
        <v>10056.354299999999</v>
      </c>
      <c r="AC449" s="77">
        <f>((SUBSIDIO!$L$449*SUBSIDIO!$W$449)+(SUBSIDIO!$N$449*SUBSIDIO!$X$449))*(0.09)/(1-0.09)</f>
        <v>0</v>
      </c>
      <c r="AD449" s="77">
        <f ca="1">(SUBSIDIO!$J$449*SUBSIDIO!$Y$449)*(0.06)/(1-0.06)</f>
        <v>7492.8444216201233</v>
      </c>
      <c r="AE449" s="77">
        <f>((SUBSIDIO!$L$449*SUBSIDIO!$Z$449)+(SUBSIDIO!$N$449*SUBSIDIO!$AA$449))*(0.06)/(1-0.06)</f>
        <v>0</v>
      </c>
      <c r="AF449" s="4" t="s">
        <v>842</v>
      </c>
    </row>
    <row r="450" spans="1:32" ht="11.25" customHeight="1" x14ac:dyDescent="0.25">
      <c r="A450" s="4" t="s">
        <v>28</v>
      </c>
      <c r="B450" s="4" t="s">
        <v>35</v>
      </c>
      <c r="C450" s="4" t="s">
        <v>36</v>
      </c>
      <c r="D450" s="4" t="s">
        <v>52</v>
      </c>
      <c r="E450" s="4" t="s">
        <v>53</v>
      </c>
      <c r="F450" s="4" t="s">
        <v>25</v>
      </c>
      <c r="G450" s="4" t="s">
        <v>25</v>
      </c>
      <c r="H450" s="4" t="s">
        <v>25</v>
      </c>
      <c r="I450" s="5">
        <v>44378</v>
      </c>
      <c r="J450" s="6">
        <v>1810</v>
      </c>
      <c r="K450" s="78">
        <v>1810</v>
      </c>
      <c r="L450" s="6">
        <v>0</v>
      </c>
      <c r="M450" s="77">
        <v>0</v>
      </c>
      <c r="N450" s="6">
        <v>0</v>
      </c>
      <c r="O450" s="77">
        <v>0</v>
      </c>
      <c r="P450" s="6">
        <v>18</v>
      </c>
      <c r="Q450" s="4" t="s">
        <v>26</v>
      </c>
      <c r="R450" s="4">
        <v>0</v>
      </c>
      <c r="S450" s="4">
        <v>23</v>
      </c>
      <c r="T450" s="4">
        <v>0</v>
      </c>
      <c r="U450" s="4">
        <v>0</v>
      </c>
      <c r="V450" s="77">
        <f>IF(ISERROR(VLOOKUP($S$450,'TAR FIN'!$A$1:$O$95,15,0)),0,VLOOKUP($S$450,'TAR FIN'!$A$1:$O$95,15,0))*(1-0.09)</f>
        <v>25.998699999999999</v>
      </c>
      <c r="W450" s="77">
        <f>IF(ISERROR(VLOOKUP($T$450,'TAR FIN'!$A$1:$O$95,15,0)),0,VLOOKUP($T$450,'TAR FIN'!$A$1:$O$95,15,0))</f>
        <v>0</v>
      </c>
      <c r="X450" s="77">
        <f>IF(ISERROR(VLOOKUP($U$450,'TAR FIN'!$A$1:$O$95,15,0)),0,VLOOKUP($U$450,'TAR FIN'!$A$1:$O$95,15,0))</f>
        <v>0</v>
      </c>
      <c r="Y450" s="77">
        <f ca="1">('TUSD BE'!$AM$15+'TUSD BF'!$AM$15+'TUSD CVA'!$AM$15)*1*(1-0.06)</f>
        <v>30.014803359426047</v>
      </c>
      <c r="Z450" s="77"/>
      <c r="AA450" s="77"/>
      <c r="AB450" s="77">
        <f>(SUBSIDIO!$J$450*SUBSIDIO!$V$450)*(0.09)/(1-0.09)</f>
        <v>4654.0529999999999</v>
      </c>
      <c r="AC450" s="77">
        <f>((SUBSIDIO!$L$450*SUBSIDIO!$W$450)+(SUBSIDIO!$N$450*SUBSIDIO!$X$450))*(0.09)/(1-0.09)</f>
        <v>0</v>
      </c>
      <c r="AD450" s="77">
        <f ca="1">(SUBSIDIO!$J$450*SUBSIDIO!$Y$450)*(0.06)/(1-0.06)</f>
        <v>3467.6677072698603</v>
      </c>
      <c r="AE450" s="77">
        <f>((SUBSIDIO!$L$450*SUBSIDIO!$Z$450)+(SUBSIDIO!$N$450*SUBSIDIO!$AA$450))*(0.06)/(1-0.06)</f>
        <v>0</v>
      </c>
      <c r="AF450" s="4" t="s">
        <v>842</v>
      </c>
    </row>
    <row r="451" spans="1:32" ht="11.25" customHeight="1" x14ac:dyDescent="0.25">
      <c r="A451" s="4" t="s">
        <v>21</v>
      </c>
      <c r="B451" s="4" t="s">
        <v>35</v>
      </c>
      <c r="C451" s="4" t="s">
        <v>36</v>
      </c>
      <c r="D451" s="4" t="s">
        <v>52</v>
      </c>
      <c r="E451" s="4" t="s">
        <v>53</v>
      </c>
      <c r="F451" s="4" t="s">
        <v>25</v>
      </c>
      <c r="G451" s="4" t="s">
        <v>25</v>
      </c>
      <c r="H451" s="4" t="s">
        <v>25</v>
      </c>
      <c r="I451" s="5">
        <v>44409</v>
      </c>
      <c r="J451" s="6">
        <v>3903</v>
      </c>
      <c r="K451" s="78">
        <v>3903</v>
      </c>
      <c r="L451" s="6">
        <v>0</v>
      </c>
      <c r="M451" s="77">
        <v>0</v>
      </c>
      <c r="N451" s="6">
        <v>0</v>
      </c>
      <c r="O451" s="77">
        <v>0</v>
      </c>
      <c r="P451" s="6">
        <v>56</v>
      </c>
      <c r="Q451" s="4" t="s">
        <v>26</v>
      </c>
      <c r="R451" s="4">
        <v>0</v>
      </c>
      <c r="S451" s="4">
        <v>23</v>
      </c>
      <c r="T451" s="4">
        <v>0</v>
      </c>
      <c r="U451" s="4">
        <v>0</v>
      </c>
      <c r="V451" s="77">
        <f>IF(ISERROR(VLOOKUP($S$451,'TAR FIN'!$A$1:$O$95,15,0)),0,VLOOKUP($S$451,'TAR FIN'!$A$1:$O$95,15,0))*(1-0.09)</f>
        <v>25.998699999999999</v>
      </c>
      <c r="W451" s="77">
        <f>IF(ISERROR(VLOOKUP($T$451,'TAR FIN'!$A$1:$O$95,15,0)),0,VLOOKUP($T$451,'TAR FIN'!$A$1:$O$95,15,0))</f>
        <v>0</v>
      </c>
      <c r="X451" s="77">
        <f>IF(ISERROR(VLOOKUP($U$451,'TAR FIN'!$A$1:$O$95,15,0)),0,VLOOKUP($U$451,'TAR FIN'!$A$1:$O$95,15,0))</f>
        <v>0</v>
      </c>
      <c r="Y451" s="77">
        <f ca="1">('TUSD BE'!$AM$15+'TUSD BF'!$AM$15+'TUSD CVA'!$AM$15)*1*(1-0.06)</f>
        <v>30.014803359426047</v>
      </c>
      <c r="Z451" s="77"/>
      <c r="AA451" s="77"/>
      <c r="AB451" s="77">
        <f>(SUBSIDIO!$J$451*SUBSIDIO!$V$451)*(0.09)/(1-0.09)</f>
        <v>10035.7839</v>
      </c>
      <c r="AC451" s="77">
        <f>((SUBSIDIO!$L$451*SUBSIDIO!$W$451)+(SUBSIDIO!$N$451*SUBSIDIO!$X$451))*(0.09)/(1-0.09)</f>
        <v>0</v>
      </c>
      <c r="AD451" s="77">
        <f ca="1">(SUBSIDIO!$J$451*SUBSIDIO!$Y$451)*(0.06)/(1-0.06)</f>
        <v>7477.5177135216927</v>
      </c>
      <c r="AE451" s="77">
        <f>((SUBSIDIO!$L$451*SUBSIDIO!$Z$451)+(SUBSIDIO!$N$451*SUBSIDIO!$AA$451))*(0.06)/(1-0.06)</f>
        <v>0</v>
      </c>
      <c r="AF451" s="4" t="s">
        <v>842</v>
      </c>
    </row>
    <row r="452" spans="1:32" ht="11.25" customHeight="1" x14ac:dyDescent="0.25">
      <c r="A452" s="4" t="s">
        <v>28</v>
      </c>
      <c r="B452" s="4" t="s">
        <v>35</v>
      </c>
      <c r="C452" s="4" t="s">
        <v>36</v>
      </c>
      <c r="D452" s="4" t="s">
        <v>52</v>
      </c>
      <c r="E452" s="4" t="s">
        <v>53</v>
      </c>
      <c r="F452" s="4" t="s">
        <v>25</v>
      </c>
      <c r="G452" s="4" t="s">
        <v>25</v>
      </c>
      <c r="H452" s="4" t="s">
        <v>25</v>
      </c>
      <c r="I452" s="5">
        <v>44409</v>
      </c>
      <c r="J452" s="6">
        <v>1974</v>
      </c>
      <c r="K452" s="78">
        <v>1974</v>
      </c>
      <c r="L452" s="6">
        <v>0</v>
      </c>
      <c r="M452" s="77">
        <v>0</v>
      </c>
      <c r="N452" s="6">
        <v>0</v>
      </c>
      <c r="O452" s="77">
        <v>0</v>
      </c>
      <c r="P452" s="6">
        <v>18</v>
      </c>
      <c r="Q452" s="4" t="s">
        <v>26</v>
      </c>
      <c r="R452" s="4">
        <v>0</v>
      </c>
      <c r="S452" s="4">
        <v>23</v>
      </c>
      <c r="T452" s="4">
        <v>0</v>
      </c>
      <c r="U452" s="4">
        <v>0</v>
      </c>
      <c r="V452" s="77">
        <f>IF(ISERROR(VLOOKUP($S$452,'TAR FIN'!$A$1:$O$95,15,0)),0,VLOOKUP($S$452,'TAR FIN'!$A$1:$O$95,15,0))*(1-0.09)</f>
        <v>25.998699999999999</v>
      </c>
      <c r="W452" s="77">
        <f>IF(ISERROR(VLOOKUP($T$452,'TAR FIN'!$A$1:$O$95,15,0)),0,VLOOKUP($T$452,'TAR FIN'!$A$1:$O$95,15,0))</f>
        <v>0</v>
      </c>
      <c r="X452" s="77">
        <f>IF(ISERROR(VLOOKUP($U$452,'TAR FIN'!$A$1:$O$95,15,0)),0,VLOOKUP($U$452,'TAR FIN'!$A$1:$O$95,15,0))</f>
        <v>0</v>
      </c>
      <c r="Y452" s="77">
        <f ca="1">('TUSD BE'!$AM$15+'TUSD BF'!$AM$15+'TUSD CVA'!$AM$15)*1*(1-0.06)</f>
        <v>30.014803359426047</v>
      </c>
      <c r="Z452" s="77"/>
      <c r="AA452" s="77"/>
      <c r="AB452" s="77">
        <f>(SUBSIDIO!$J$452*SUBSIDIO!$V$452)*(0.09)/(1-0.09)</f>
        <v>5075.7461999999996</v>
      </c>
      <c r="AC452" s="77">
        <f>((SUBSIDIO!$L$452*SUBSIDIO!$W$452)+(SUBSIDIO!$N$452*SUBSIDIO!$X$452))*(0.09)/(1-0.09)</f>
        <v>0</v>
      </c>
      <c r="AD452" s="77">
        <f ca="1">(SUBSIDIO!$J$452*SUBSIDIO!$Y$452)*(0.06)/(1-0.06)</f>
        <v>3781.8652232876821</v>
      </c>
      <c r="AE452" s="77">
        <f>((SUBSIDIO!$L$452*SUBSIDIO!$Z$452)+(SUBSIDIO!$N$452*SUBSIDIO!$AA$452))*(0.06)/(1-0.06)</f>
        <v>0</v>
      </c>
      <c r="AF452" s="4" t="s">
        <v>842</v>
      </c>
    </row>
    <row r="453" spans="1:32" ht="11.25" customHeight="1" x14ac:dyDescent="0.25">
      <c r="A453" s="4" t="s">
        <v>21</v>
      </c>
      <c r="B453" s="4" t="s">
        <v>35</v>
      </c>
      <c r="C453" s="4" t="s">
        <v>36</v>
      </c>
      <c r="D453" s="4" t="s">
        <v>52</v>
      </c>
      <c r="E453" s="4" t="s">
        <v>53</v>
      </c>
      <c r="F453" s="4" t="s">
        <v>25</v>
      </c>
      <c r="G453" s="4" t="s">
        <v>25</v>
      </c>
      <c r="H453" s="4" t="s">
        <v>25</v>
      </c>
      <c r="I453" s="5">
        <v>44440</v>
      </c>
      <c r="J453" s="6">
        <v>3576</v>
      </c>
      <c r="K453" s="78">
        <v>3576</v>
      </c>
      <c r="L453" s="6">
        <v>0</v>
      </c>
      <c r="M453" s="77">
        <v>0</v>
      </c>
      <c r="N453" s="6">
        <v>0</v>
      </c>
      <c r="O453" s="77">
        <v>0</v>
      </c>
      <c r="P453" s="6">
        <v>53</v>
      </c>
      <c r="Q453" s="4" t="s">
        <v>26</v>
      </c>
      <c r="R453" s="4">
        <v>0</v>
      </c>
      <c r="S453" s="4">
        <v>23</v>
      </c>
      <c r="T453" s="4">
        <v>0</v>
      </c>
      <c r="U453" s="4">
        <v>0</v>
      </c>
      <c r="V453" s="77">
        <f>IF(ISERROR(VLOOKUP($S$453,'TAR FIN'!$A$1:$O$95,15,0)),0,VLOOKUP($S$453,'TAR FIN'!$A$1:$O$95,15,0))*(1-0.09)</f>
        <v>25.998699999999999</v>
      </c>
      <c r="W453" s="77">
        <f>IF(ISERROR(VLOOKUP($T$453,'TAR FIN'!$A$1:$O$95,15,0)),0,VLOOKUP($T$453,'TAR FIN'!$A$1:$O$95,15,0))</f>
        <v>0</v>
      </c>
      <c r="X453" s="77">
        <f>IF(ISERROR(VLOOKUP($U$453,'TAR FIN'!$A$1:$O$95,15,0)),0,VLOOKUP($U$453,'TAR FIN'!$A$1:$O$95,15,0))</f>
        <v>0</v>
      </c>
      <c r="Y453" s="77">
        <f ca="1">('TUSD BE'!$AM$15+'TUSD BF'!$AM$15+'TUSD CVA'!$AM$15)*1*(1-0.06)</f>
        <v>30.014803359426047</v>
      </c>
      <c r="Z453" s="77"/>
      <c r="AA453" s="77"/>
      <c r="AB453" s="77">
        <f>(SUBSIDIO!$J$453*SUBSIDIO!$V$453)*(0.09)/(1-0.09)</f>
        <v>9194.9688000000006</v>
      </c>
      <c r="AC453" s="77">
        <f>((SUBSIDIO!$L$453*SUBSIDIO!$W$453)+(SUBSIDIO!$N$453*SUBSIDIO!$X$453))*(0.09)/(1-0.09)</f>
        <v>0</v>
      </c>
      <c r="AD453" s="77">
        <f ca="1">(SUBSIDIO!$J$453*SUBSIDIO!$Y$453)*(0.06)/(1-0.06)</f>
        <v>6851.0385199983548</v>
      </c>
      <c r="AE453" s="77">
        <f>((SUBSIDIO!$L$453*SUBSIDIO!$Z$453)+(SUBSIDIO!$N$453*SUBSIDIO!$AA$453))*(0.06)/(1-0.06)</f>
        <v>0</v>
      </c>
      <c r="AF453" s="4" t="s">
        <v>842</v>
      </c>
    </row>
    <row r="454" spans="1:32" ht="11.25" customHeight="1" x14ac:dyDescent="0.25">
      <c r="A454" s="4" t="s">
        <v>28</v>
      </c>
      <c r="B454" s="4" t="s">
        <v>35</v>
      </c>
      <c r="C454" s="4" t="s">
        <v>36</v>
      </c>
      <c r="D454" s="4" t="s">
        <v>52</v>
      </c>
      <c r="E454" s="4" t="s">
        <v>53</v>
      </c>
      <c r="F454" s="4" t="s">
        <v>25</v>
      </c>
      <c r="G454" s="4" t="s">
        <v>25</v>
      </c>
      <c r="H454" s="4" t="s">
        <v>25</v>
      </c>
      <c r="I454" s="5">
        <v>44440</v>
      </c>
      <c r="J454" s="6">
        <v>1879</v>
      </c>
      <c r="K454" s="78">
        <v>1879</v>
      </c>
      <c r="L454" s="6">
        <v>0</v>
      </c>
      <c r="M454" s="77">
        <v>0</v>
      </c>
      <c r="N454" s="6">
        <v>0</v>
      </c>
      <c r="O454" s="77">
        <v>0</v>
      </c>
      <c r="P454" s="6">
        <v>18</v>
      </c>
      <c r="Q454" s="4" t="s">
        <v>26</v>
      </c>
      <c r="R454" s="4">
        <v>0</v>
      </c>
      <c r="S454" s="4">
        <v>23</v>
      </c>
      <c r="T454" s="4">
        <v>0</v>
      </c>
      <c r="U454" s="4">
        <v>0</v>
      </c>
      <c r="V454" s="77">
        <f>IF(ISERROR(VLOOKUP($S$454,'TAR FIN'!$A$1:$O$95,15,0)),0,VLOOKUP($S$454,'TAR FIN'!$A$1:$O$95,15,0))*(1-0.09)</f>
        <v>25.998699999999999</v>
      </c>
      <c r="W454" s="77">
        <f>IF(ISERROR(VLOOKUP($T$454,'TAR FIN'!$A$1:$O$95,15,0)),0,VLOOKUP($T$454,'TAR FIN'!$A$1:$O$95,15,0))</f>
        <v>0</v>
      </c>
      <c r="X454" s="77">
        <f>IF(ISERROR(VLOOKUP($U$454,'TAR FIN'!$A$1:$O$95,15,0)),0,VLOOKUP($U$454,'TAR FIN'!$A$1:$O$95,15,0))</f>
        <v>0</v>
      </c>
      <c r="Y454" s="77">
        <f ca="1">('TUSD BE'!$AM$15+'TUSD BF'!$AM$15+'TUSD CVA'!$AM$15)*1*(1-0.06)</f>
        <v>30.014803359426047</v>
      </c>
      <c r="Z454" s="77"/>
      <c r="AA454" s="77"/>
      <c r="AB454" s="77">
        <f>(SUBSIDIO!$J$454*SUBSIDIO!$V$454)*(0.09)/(1-0.09)</f>
        <v>4831.4726999999993</v>
      </c>
      <c r="AC454" s="77">
        <f>((SUBSIDIO!$L$454*SUBSIDIO!$W$454)+(SUBSIDIO!$N$454*SUBSIDIO!$X$454))*(0.09)/(1-0.09)</f>
        <v>0</v>
      </c>
      <c r="AD454" s="77">
        <f ca="1">(SUBSIDIO!$J$454*SUBSIDIO!$Y$454)*(0.06)/(1-0.06)</f>
        <v>3599.8605646188221</v>
      </c>
      <c r="AE454" s="77">
        <f>((SUBSIDIO!$L$454*SUBSIDIO!$Z$454)+(SUBSIDIO!$N$454*SUBSIDIO!$AA$454))*(0.06)/(1-0.06)</f>
        <v>0</v>
      </c>
      <c r="AF454" s="4" t="s">
        <v>842</v>
      </c>
    </row>
    <row r="455" spans="1:32" ht="11.25" customHeight="1" x14ac:dyDescent="0.25">
      <c r="A455" s="4" t="s">
        <v>59</v>
      </c>
      <c r="B455" s="4" t="s">
        <v>35</v>
      </c>
      <c r="C455" s="4" t="s">
        <v>36</v>
      </c>
      <c r="D455" s="4" t="s">
        <v>52</v>
      </c>
      <c r="E455" s="4" t="s">
        <v>53</v>
      </c>
      <c r="F455" s="4" t="s">
        <v>25</v>
      </c>
      <c r="G455" s="4" t="s">
        <v>25</v>
      </c>
      <c r="H455" s="4" t="s">
        <v>25</v>
      </c>
      <c r="I455" s="5">
        <v>44470</v>
      </c>
      <c r="J455" s="6">
        <v>3576</v>
      </c>
      <c r="K455" s="78">
        <v>3576</v>
      </c>
      <c r="L455" s="6">
        <v>0</v>
      </c>
      <c r="M455" s="77">
        <v>0</v>
      </c>
      <c r="N455" s="6">
        <v>0</v>
      </c>
      <c r="O455" s="77">
        <v>0</v>
      </c>
      <c r="P455" s="6">
        <v>53</v>
      </c>
      <c r="Q455" s="4" t="s">
        <v>26</v>
      </c>
      <c r="R455" s="4">
        <v>0</v>
      </c>
      <c r="S455" s="4">
        <v>23</v>
      </c>
      <c r="T455" s="4">
        <v>0</v>
      </c>
      <c r="U455" s="4">
        <v>0</v>
      </c>
      <c r="V455" s="77">
        <f>IF(ISERROR(VLOOKUP($S$455,'TAR FIN'!$A$1:$O$95,15,0)),0,VLOOKUP($S$455,'TAR FIN'!$A$1:$O$95,15,0))*(1-0.09)</f>
        <v>25.998699999999999</v>
      </c>
      <c r="W455" s="77">
        <f>IF(ISERROR(VLOOKUP($T$455,'TAR FIN'!$A$1:$O$95,15,0)),0,VLOOKUP($T$455,'TAR FIN'!$A$1:$O$95,15,0))</f>
        <v>0</v>
      </c>
      <c r="X455" s="77">
        <f>IF(ISERROR(VLOOKUP($U$455,'TAR FIN'!$A$1:$O$95,15,0)),0,VLOOKUP($U$455,'TAR FIN'!$A$1:$O$95,15,0))</f>
        <v>0</v>
      </c>
      <c r="Y455" s="77">
        <f ca="1">('TUSD BE'!$AM$15+'TUSD BF'!$AM$15+'TUSD CVA'!$AM$15)*1*(1-0.06)</f>
        <v>30.014803359426047</v>
      </c>
      <c r="Z455" s="77"/>
      <c r="AA455" s="77"/>
      <c r="AB455" s="77">
        <f>(SUBSIDIO!$J$455*SUBSIDIO!$V$455)*(0.09)/(1-0.09)</f>
        <v>9194.9688000000006</v>
      </c>
      <c r="AC455" s="77">
        <f>((SUBSIDIO!$L$455*SUBSIDIO!$W$455)+(SUBSIDIO!$N$455*SUBSIDIO!$X$455))*(0.09)/(1-0.09)</f>
        <v>0</v>
      </c>
      <c r="AD455" s="77">
        <f ca="1">(SUBSIDIO!$J$455*SUBSIDIO!$Y$455)*(0.06)/(1-0.06)</f>
        <v>6851.0385199983548</v>
      </c>
      <c r="AE455" s="77">
        <f>((SUBSIDIO!$L$455*SUBSIDIO!$Z$455)+(SUBSIDIO!$N$455*SUBSIDIO!$AA$455))*(0.06)/(1-0.06)</f>
        <v>0</v>
      </c>
      <c r="AF455" s="4" t="s">
        <v>842</v>
      </c>
    </row>
    <row r="456" spans="1:32" ht="11.25" customHeight="1" x14ac:dyDescent="0.25">
      <c r="A456" s="4" t="s">
        <v>59</v>
      </c>
      <c r="B456" s="4" t="s">
        <v>35</v>
      </c>
      <c r="C456" s="4" t="s">
        <v>36</v>
      </c>
      <c r="D456" s="4" t="s">
        <v>52</v>
      </c>
      <c r="E456" s="4" t="s">
        <v>53</v>
      </c>
      <c r="F456" s="4" t="s">
        <v>25</v>
      </c>
      <c r="G456" s="4" t="s">
        <v>25</v>
      </c>
      <c r="H456" s="4" t="s">
        <v>25</v>
      </c>
      <c r="I456" s="5">
        <v>44470</v>
      </c>
      <c r="J456" s="6">
        <v>1879</v>
      </c>
      <c r="K456" s="78">
        <v>1879</v>
      </c>
      <c r="L456" s="6">
        <v>0</v>
      </c>
      <c r="M456" s="77">
        <v>0</v>
      </c>
      <c r="N456" s="6">
        <v>0</v>
      </c>
      <c r="O456" s="77">
        <v>0</v>
      </c>
      <c r="P456" s="6">
        <v>18</v>
      </c>
      <c r="Q456" s="4" t="s">
        <v>26</v>
      </c>
      <c r="R456" s="4">
        <v>0</v>
      </c>
      <c r="S456" s="4">
        <v>23</v>
      </c>
      <c r="T456" s="4">
        <v>0</v>
      </c>
      <c r="U456" s="4">
        <v>0</v>
      </c>
      <c r="V456" s="77">
        <f>IF(ISERROR(VLOOKUP($S$456,'TAR FIN'!$A$1:$O$95,15,0)),0,VLOOKUP($S$456,'TAR FIN'!$A$1:$O$95,15,0))*(1-0.09)</f>
        <v>25.998699999999999</v>
      </c>
      <c r="W456" s="77">
        <f>IF(ISERROR(VLOOKUP($T$456,'TAR FIN'!$A$1:$O$95,15,0)),0,VLOOKUP($T$456,'TAR FIN'!$A$1:$O$95,15,0))</f>
        <v>0</v>
      </c>
      <c r="X456" s="77">
        <f>IF(ISERROR(VLOOKUP($U$456,'TAR FIN'!$A$1:$O$95,15,0)),0,VLOOKUP($U$456,'TAR FIN'!$A$1:$O$95,15,0))</f>
        <v>0</v>
      </c>
      <c r="Y456" s="77">
        <f ca="1">('TUSD BE'!$AM$15+'TUSD BF'!$AM$15+'TUSD CVA'!$AM$15)*1*(1-0.06)</f>
        <v>30.014803359426047</v>
      </c>
      <c r="Z456" s="77"/>
      <c r="AA456" s="77"/>
      <c r="AB456" s="77">
        <f>(SUBSIDIO!$J$456*SUBSIDIO!$V$456)*(0.09)/(1-0.09)</f>
        <v>4831.4726999999993</v>
      </c>
      <c r="AC456" s="77">
        <f>((SUBSIDIO!$L$456*SUBSIDIO!$W$456)+(SUBSIDIO!$N$456*SUBSIDIO!$X$456))*(0.09)/(1-0.09)</f>
        <v>0</v>
      </c>
      <c r="AD456" s="77">
        <f ca="1">(SUBSIDIO!$J$456*SUBSIDIO!$Y$456)*(0.06)/(1-0.06)</f>
        <v>3599.8605646188221</v>
      </c>
      <c r="AE456" s="77">
        <f>((SUBSIDIO!$L$456*SUBSIDIO!$Z$456)+(SUBSIDIO!$N$456*SUBSIDIO!$AA$456))*(0.06)/(1-0.06)</f>
        <v>0</v>
      </c>
      <c r="AF456" s="4" t="s">
        <v>842</v>
      </c>
    </row>
    <row r="457" spans="1:32" ht="11.25" customHeight="1" x14ac:dyDescent="0.25">
      <c r="A457" s="4" t="s">
        <v>21</v>
      </c>
      <c r="B457" s="4" t="s">
        <v>35</v>
      </c>
      <c r="C457" s="4" t="s">
        <v>36</v>
      </c>
      <c r="D457" s="4" t="s">
        <v>52</v>
      </c>
      <c r="E457" s="4" t="s">
        <v>53</v>
      </c>
      <c r="F457" s="4" t="s">
        <v>25</v>
      </c>
      <c r="G457" s="4" t="s">
        <v>25</v>
      </c>
      <c r="H457" s="4" t="s">
        <v>37</v>
      </c>
      <c r="I457" s="5">
        <v>44136</v>
      </c>
      <c r="J457" s="6">
        <v>0</v>
      </c>
      <c r="K457" s="77">
        <v>0</v>
      </c>
      <c r="L457" s="6">
        <v>121.384</v>
      </c>
      <c r="M457" s="77">
        <v>121.384</v>
      </c>
      <c r="N457" s="6">
        <v>121.384</v>
      </c>
      <c r="O457" s="77">
        <v>121.384</v>
      </c>
      <c r="P457" s="6">
        <v>0</v>
      </c>
      <c r="Q457" s="4" t="s">
        <v>26</v>
      </c>
      <c r="R457" s="4">
        <v>0</v>
      </c>
      <c r="S457" s="4">
        <v>0</v>
      </c>
      <c r="T457" s="4">
        <v>24</v>
      </c>
      <c r="U457" s="4">
        <v>66</v>
      </c>
      <c r="V457" s="77">
        <f>IF(ISERROR(VLOOKUP($S$457,'TAR FIN'!$A$1:$O$95,15,0)),0,VLOOKUP($S$457,'TAR FIN'!$A$1:$O$95,15,0))</f>
        <v>0</v>
      </c>
      <c r="W457" s="77">
        <f>IF(ISERROR(VLOOKUP($T$457,'TAR FIN'!$A$1:$O$95,15,0)),0,VLOOKUP($T$457,'TAR FIN'!$A$1:$O$95,15,0))*(1-0.09)</f>
        <v>1305.6588999999999</v>
      </c>
      <c r="X457" s="77">
        <f>IF(ISERROR(VLOOKUP($U$457,'TAR FIN'!$A$1:$O$95,15,0)),0,VLOOKUP($U$457,'TAR FIN'!$A$1:$O$95,15,0))*(1-0.09)</f>
        <v>354.2448</v>
      </c>
      <c r="Y457" s="77"/>
      <c r="Z457" s="77">
        <f ca="1">('TUSD BE'!$AM$16+'TUSD BF'!$AM$16+'TUSD CVA'!$AM$16)*1*(1-0.06)</f>
        <v>1509.6321335379348</v>
      </c>
      <c r="AA457" s="77">
        <f>('TE BE'!$AA$7+'TE BF'!$AA$7+'TE CVA'!$AA$7)*1*(1-0.06)</f>
        <v>427.06885385270027</v>
      </c>
      <c r="AB457" s="77">
        <f>(SUBSIDIO!$J$457*SUBSIDIO!$V$457)*(0.09)/(1-0.09)</f>
        <v>0</v>
      </c>
      <c r="AC457" s="77">
        <f>((SUBSIDIO!$L$457*SUBSIDIO!$W$457)+(SUBSIDIO!$N$457*SUBSIDIO!$X$457))*(0.09)/(1-0.09)</f>
        <v>19927.162159199997</v>
      </c>
      <c r="AD457" s="77">
        <f>(SUBSIDIO!$J$457*SUBSIDIO!$Y$457)*(0.06)/(1-0.06)</f>
        <v>0</v>
      </c>
      <c r="AE457" s="77">
        <f ca="1">((SUBSIDIO!$L$457*SUBSIDIO!$Z$457)+(SUBSIDIO!$N$457*SUBSIDIO!$AA$457))*(0.06)/(1-0.06)</f>
        <v>15005.394424686692</v>
      </c>
      <c r="AF457" s="4" t="s">
        <v>842</v>
      </c>
    </row>
    <row r="458" spans="1:32" ht="11.25" customHeight="1" x14ac:dyDescent="0.25">
      <c r="A458" s="4" t="s">
        <v>28</v>
      </c>
      <c r="B458" s="4" t="s">
        <v>35</v>
      </c>
      <c r="C458" s="4" t="s">
        <v>36</v>
      </c>
      <c r="D458" s="4" t="s">
        <v>52</v>
      </c>
      <c r="E458" s="4" t="s">
        <v>53</v>
      </c>
      <c r="F458" s="4" t="s">
        <v>25</v>
      </c>
      <c r="G458" s="4" t="s">
        <v>25</v>
      </c>
      <c r="H458" s="4" t="s">
        <v>37</v>
      </c>
      <c r="I458" s="5">
        <v>44136</v>
      </c>
      <c r="J458" s="6">
        <v>0</v>
      </c>
      <c r="K458" s="77">
        <v>0</v>
      </c>
      <c r="L458" s="6">
        <v>83.113</v>
      </c>
      <c r="M458" s="77">
        <v>83.113</v>
      </c>
      <c r="N458" s="6">
        <v>83.113</v>
      </c>
      <c r="O458" s="77">
        <v>83.113</v>
      </c>
      <c r="P458" s="6">
        <v>0</v>
      </c>
      <c r="Q458" s="4" t="s">
        <v>26</v>
      </c>
      <c r="R458" s="4">
        <v>0</v>
      </c>
      <c r="S458" s="4">
        <v>0</v>
      </c>
      <c r="T458" s="4">
        <v>24</v>
      </c>
      <c r="U458" s="4">
        <v>66</v>
      </c>
      <c r="V458" s="77">
        <f>IF(ISERROR(VLOOKUP($S$458,'TAR FIN'!$A$1:$O$95,15,0)),0,VLOOKUP($S$458,'TAR FIN'!$A$1:$O$95,15,0))</f>
        <v>0</v>
      </c>
      <c r="W458" s="77">
        <f>IF(ISERROR(VLOOKUP($T$458,'TAR FIN'!$A$1:$O$95,15,0)),0,VLOOKUP($T$458,'TAR FIN'!$A$1:$O$95,15,0))*(1-0.09)</f>
        <v>1305.6588999999999</v>
      </c>
      <c r="X458" s="77">
        <f>IF(ISERROR(VLOOKUP($U$458,'TAR FIN'!$A$1:$O$95,15,0)),0,VLOOKUP($U$458,'TAR FIN'!$A$1:$O$95,15,0))*(1-0.09)</f>
        <v>354.2448</v>
      </c>
      <c r="Y458" s="77"/>
      <c r="Z458" s="77">
        <f ca="1">('TUSD BE'!$AM$16+'TUSD BF'!$AM$16+'TUSD CVA'!$AM$16)*1*(1-0.06)</f>
        <v>1509.6321335379348</v>
      </c>
      <c r="AA458" s="77">
        <f>('TE BE'!$AA$7+'TE BF'!$AA$7+'TE CVA'!$AA$7)*1*(1-0.06)</f>
        <v>427.06885385270027</v>
      </c>
      <c r="AB458" s="77">
        <f>(SUBSIDIO!$J$458*SUBSIDIO!$V$458)*(0.09)/(1-0.09)</f>
        <v>0</v>
      </c>
      <c r="AC458" s="77">
        <f>((SUBSIDIO!$L$458*SUBSIDIO!$W$458)+(SUBSIDIO!$N$458*SUBSIDIO!$X$458))*(0.09)/(1-0.09)</f>
        <v>13644.3536919</v>
      </c>
      <c r="AD458" s="77">
        <f>(SUBSIDIO!$J$458*SUBSIDIO!$Y$458)*(0.06)/(1-0.06)</f>
        <v>0</v>
      </c>
      <c r="AE458" s="77">
        <f ca="1">((SUBSIDIO!$L$458*SUBSIDIO!$Z$458)+(SUBSIDIO!$N$458*SUBSIDIO!$AA$458))*(0.06)/(1-0.06)</f>
        <v>10274.363563723267</v>
      </c>
      <c r="AF458" s="4" t="s">
        <v>842</v>
      </c>
    </row>
    <row r="459" spans="1:32" ht="11.25" customHeight="1" x14ac:dyDescent="0.25">
      <c r="A459" s="4" t="s">
        <v>21</v>
      </c>
      <c r="B459" s="4" t="s">
        <v>35</v>
      </c>
      <c r="C459" s="4" t="s">
        <v>36</v>
      </c>
      <c r="D459" s="4" t="s">
        <v>52</v>
      </c>
      <c r="E459" s="4" t="s">
        <v>53</v>
      </c>
      <c r="F459" s="4" t="s">
        <v>25</v>
      </c>
      <c r="G459" s="4" t="s">
        <v>25</v>
      </c>
      <c r="H459" s="4" t="s">
        <v>37</v>
      </c>
      <c r="I459" s="5">
        <v>44166</v>
      </c>
      <c r="J459" s="6">
        <v>0</v>
      </c>
      <c r="K459" s="77">
        <v>0</v>
      </c>
      <c r="L459" s="6">
        <v>132.047</v>
      </c>
      <c r="M459" s="77">
        <v>132.047</v>
      </c>
      <c r="N459" s="6">
        <v>132.047</v>
      </c>
      <c r="O459" s="77">
        <v>132.047</v>
      </c>
      <c r="P459" s="6">
        <v>0</v>
      </c>
      <c r="Q459" s="4" t="s">
        <v>26</v>
      </c>
      <c r="R459" s="4">
        <v>0</v>
      </c>
      <c r="S459" s="4">
        <v>0</v>
      </c>
      <c r="T459" s="4">
        <v>24</v>
      </c>
      <c r="U459" s="4">
        <v>66</v>
      </c>
      <c r="V459" s="77">
        <f>IF(ISERROR(VLOOKUP($S$459,'TAR FIN'!$A$1:$O$95,15,0)),0,VLOOKUP($S$459,'TAR FIN'!$A$1:$O$95,15,0))</f>
        <v>0</v>
      </c>
      <c r="W459" s="77">
        <f>IF(ISERROR(VLOOKUP($T$459,'TAR FIN'!$A$1:$O$95,15,0)),0,VLOOKUP($T$459,'TAR FIN'!$A$1:$O$95,15,0))*(1-0.09)</f>
        <v>1305.6588999999999</v>
      </c>
      <c r="X459" s="77">
        <f>IF(ISERROR(VLOOKUP($U$459,'TAR FIN'!$A$1:$O$95,15,0)),0,VLOOKUP($U$459,'TAR FIN'!$A$1:$O$95,15,0))*(1-0.09)</f>
        <v>354.2448</v>
      </c>
      <c r="Y459" s="77"/>
      <c r="Z459" s="77">
        <f ca="1">('TUSD BE'!$AM$16+'TUSD BF'!$AM$16+'TUSD CVA'!$AM$16)*1*(1-0.06)</f>
        <v>1509.6321335379348</v>
      </c>
      <c r="AA459" s="77">
        <f>('TE BE'!$AA$7+'TE BF'!$AA$7+'TE CVA'!$AA$7)*1*(1-0.06)</f>
        <v>427.06885385270027</v>
      </c>
      <c r="AB459" s="77">
        <f>(SUBSIDIO!$J$459*SUBSIDIO!$V$459)*(0.09)/(1-0.09)</f>
        <v>0</v>
      </c>
      <c r="AC459" s="77">
        <f>((SUBSIDIO!$L$459*SUBSIDIO!$W$459)+(SUBSIDIO!$N$459*SUBSIDIO!$X$459))*(0.09)/(1-0.09)</f>
        <v>21677.667416099997</v>
      </c>
      <c r="AD459" s="77">
        <f>(SUBSIDIO!$J$459*SUBSIDIO!$Y$459)*(0.06)/(1-0.06)</f>
        <v>0</v>
      </c>
      <c r="AE459" s="77">
        <f ca="1">((SUBSIDIO!$L$459*SUBSIDIO!$Z$459)+(SUBSIDIO!$N$459*SUBSIDIO!$AA$459))*(0.06)/(1-0.06)</f>
        <v>16323.546081827946</v>
      </c>
      <c r="AF459" s="4" t="s">
        <v>842</v>
      </c>
    </row>
    <row r="460" spans="1:32" ht="11.25" customHeight="1" x14ac:dyDescent="0.25">
      <c r="A460" s="4" t="s">
        <v>28</v>
      </c>
      <c r="B460" s="4" t="s">
        <v>35</v>
      </c>
      <c r="C460" s="4" t="s">
        <v>36</v>
      </c>
      <c r="D460" s="4" t="s">
        <v>52</v>
      </c>
      <c r="E460" s="4" t="s">
        <v>53</v>
      </c>
      <c r="F460" s="4" t="s">
        <v>25</v>
      </c>
      <c r="G460" s="4" t="s">
        <v>25</v>
      </c>
      <c r="H460" s="4" t="s">
        <v>37</v>
      </c>
      <c r="I460" s="5">
        <v>44166</v>
      </c>
      <c r="J460" s="6">
        <v>0</v>
      </c>
      <c r="K460" s="77">
        <v>0</v>
      </c>
      <c r="L460" s="6">
        <v>87.962000000000003</v>
      </c>
      <c r="M460" s="77">
        <v>87.962000000000003</v>
      </c>
      <c r="N460" s="6">
        <v>87.962000000000003</v>
      </c>
      <c r="O460" s="77">
        <v>87.962000000000003</v>
      </c>
      <c r="P460" s="6">
        <v>0</v>
      </c>
      <c r="Q460" s="4" t="s">
        <v>26</v>
      </c>
      <c r="R460" s="4">
        <v>0</v>
      </c>
      <c r="S460" s="4">
        <v>0</v>
      </c>
      <c r="T460" s="4">
        <v>24</v>
      </c>
      <c r="U460" s="4">
        <v>66</v>
      </c>
      <c r="V460" s="77">
        <f>IF(ISERROR(VLOOKUP($S$460,'TAR FIN'!$A$1:$O$95,15,0)),0,VLOOKUP($S$460,'TAR FIN'!$A$1:$O$95,15,0))</f>
        <v>0</v>
      </c>
      <c r="W460" s="77">
        <f>IF(ISERROR(VLOOKUP($T$460,'TAR FIN'!$A$1:$O$95,15,0)),0,VLOOKUP($T$460,'TAR FIN'!$A$1:$O$95,15,0))*(1-0.09)</f>
        <v>1305.6588999999999</v>
      </c>
      <c r="X460" s="77">
        <f>IF(ISERROR(VLOOKUP($U$460,'TAR FIN'!$A$1:$O$95,15,0)),0,VLOOKUP($U$460,'TAR FIN'!$A$1:$O$95,15,0))*(1-0.09)</f>
        <v>354.2448</v>
      </c>
      <c r="Y460" s="77"/>
      <c r="Z460" s="77">
        <f ca="1">('TUSD BE'!$AM$16+'TUSD BF'!$AM$16+'TUSD CVA'!$AM$16)*1*(1-0.06)</f>
        <v>1509.6321335379348</v>
      </c>
      <c r="AA460" s="77">
        <f>('TE BE'!$AA$7+'TE BF'!$AA$7+'TE CVA'!$AA$7)*1*(1-0.06)</f>
        <v>427.06885385270027</v>
      </c>
      <c r="AB460" s="77">
        <f>(SUBSIDIO!$J$460*SUBSIDIO!$V$460)*(0.09)/(1-0.09)</f>
        <v>0</v>
      </c>
      <c r="AC460" s="77">
        <f>((SUBSIDIO!$L$460*SUBSIDIO!$W$460)+(SUBSIDIO!$N$460*SUBSIDIO!$X$460))*(0.09)/(1-0.09)</f>
        <v>14440.396080599998</v>
      </c>
      <c r="AD460" s="77">
        <f>(SUBSIDIO!$J$460*SUBSIDIO!$Y$460)*(0.06)/(1-0.06)</f>
        <v>0</v>
      </c>
      <c r="AE460" s="77">
        <f ca="1">((SUBSIDIO!$L$460*SUBSIDIO!$Z$460)+(SUBSIDIO!$N$460*SUBSIDIO!$AA$460))*(0.06)/(1-0.06)</f>
        <v>10873.793122522662</v>
      </c>
      <c r="AF460" s="4" t="s">
        <v>842</v>
      </c>
    </row>
    <row r="461" spans="1:32" ht="11.25" customHeight="1" x14ac:dyDescent="0.25">
      <c r="A461" s="4" t="s">
        <v>21</v>
      </c>
      <c r="B461" s="4" t="s">
        <v>35</v>
      </c>
      <c r="C461" s="4" t="s">
        <v>36</v>
      </c>
      <c r="D461" s="4" t="s">
        <v>52</v>
      </c>
      <c r="E461" s="4" t="s">
        <v>53</v>
      </c>
      <c r="F461" s="4" t="s">
        <v>25</v>
      </c>
      <c r="G461" s="4" t="s">
        <v>25</v>
      </c>
      <c r="H461" s="4" t="s">
        <v>37</v>
      </c>
      <c r="I461" s="5">
        <v>44197</v>
      </c>
      <c r="J461" s="6">
        <v>0</v>
      </c>
      <c r="K461" s="77">
        <v>0</v>
      </c>
      <c r="L461" s="6">
        <v>122.212</v>
      </c>
      <c r="M461" s="77">
        <v>122.212</v>
      </c>
      <c r="N461" s="6">
        <v>122.212</v>
      </c>
      <c r="O461" s="77">
        <v>122.212</v>
      </c>
      <c r="P461" s="6">
        <v>0</v>
      </c>
      <c r="Q461" s="4" t="s">
        <v>26</v>
      </c>
      <c r="R461" s="4">
        <v>0</v>
      </c>
      <c r="S461" s="4">
        <v>0</v>
      </c>
      <c r="T461" s="4">
        <v>24</v>
      </c>
      <c r="U461" s="4">
        <v>66</v>
      </c>
      <c r="V461" s="77">
        <f>IF(ISERROR(VLOOKUP($S$461,'TAR FIN'!$A$1:$O$95,15,0)),0,VLOOKUP($S$461,'TAR FIN'!$A$1:$O$95,15,0))</f>
        <v>0</v>
      </c>
      <c r="W461" s="77">
        <f>IF(ISERROR(VLOOKUP($T$461,'TAR FIN'!$A$1:$O$95,15,0)),0,VLOOKUP($T$461,'TAR FIN'!$A$1:$O$95,15,0))*(1-0.09)</f>
        <v>1305.6588999999999</v>
      </c>
      <c r="X461" s="77">
        <f>IF(ISERROR(VLOOKUP($U$461,'TAR FIN'!$A$1:$O$95,15,0)),0,VLOOKUP($U$461,'TAR FIN'!$A$1:$O$95,15,0))*(1-0.09)</f>
        <v>354.2448</v>
      </c>
      <c r="Y461" s="77"/>
      <c r="Z461" s="77">
        <f ca="1">('TUSD BE'!$AM$16+'TUSD BF'!$AM$16+'TUSD CVA'!$AM$16)*1*(1-0.06)</f>
        <v>1509.6321335379348</v>
      </c>
      <c r="AA461" s="77">
        <f>('TE BE'!$AA$7+'TE BF'!$AA$7+'TE CVA'!$AA$7)*1*(1-0.06)</f>
        <v>427.06885385270027</v>
      </c>
      <c r="AB461" s="77">
        <f>(SUBSIDIO!$J$461*SUBSIDIO!$V$461)*(0.09)/(1-0.09)</f>
        <v>0</v>
      </c>
      <c r="AC461" s="77">
        <f>((SUBSIDIO!$L$461*SUBSIDIO!$W$461)+(SUBSIDIO!$N$461*SUBSIDIO!$X$461))*(0.09)/(1-0.09)</f>
        <v>20063.091855599996</v>
      </c>
      <c r="AD461" s="77">
        <f>(SUBSIDIO!$J$461*SUBSIDIO!$Y$461)*(0.06)/(1-0.06)</f>
        <v>0</v>
      </c>
      <c r="AE461" s="77">
        <f ca="1">((SUBSIDIO!$L$461*SUBSIDIO!$Z$461)+(SUBSIDIO!$N$461*SUBSIDIO!$AA$461))*(0.06)/(1-0.06)</f>
        <v>15107.751132190488</v>
      </c>
      <c r="AF461" s="4" t="s">
        <v>842</v>
      </c>
    </row>
    <row r="462" spans="1:32" ht="11.25" customHeight="1" x14ac:dyDescent="0.25">
      <c r="A462" s="4" t="s">
        <v>28</v>
      </c>
      <c r="B462" s="4" t="s">
        <v>35</v>
      </c>
      <c r="C462" s="4" t="s">
        <v>36</v>
      </c>
      <c r="D462" s="4" t="s">
        <v>52</v>
      </c>
      <c r="E462" s="4" t="s">
        <v>53</v>
      </c>
      <c r="F462" s="4" t="s">
        <v>25</v>
      </c>
      <c r="G462" s="4" t="s">
        <v>25</v>
      </c>
      <c r="H462" s="4" t="s">
        <v>37</v>
      </c>
      <c r="I462" s="5">
        <v>44197</v>
      </c>
      <c r="J462" s="6">
        <v>0</v>
      </c>
      <c r="K462" s="77">
        <v>0</v>
      </c>
      <c r="L462" s="6">
        <v>87.938000000000002</v>
      </c>
      <c r="M462" s="77">
        <v>87.938000000000002</v>
      </c>
      <c r="N462" s="6">
        <v>87.938000000000002</v>
      </c>
      <c r="O462" s="77">
        <v>87.938000000000002</v>
      </c>
      <c r="P462" s="6">
        <v>0</v>
      </c>
      <c r="Q462" s="4" t="s">
        <v>26</v>
      </c>
      <c r="R462" s="4">
        <v>0</v>
      </c>
      <c r="S462" s="4">
        <v>0</v>
      </c>
      <c r="T462" s="4">
        <v>24</v>
      </c>
      <c r="U462" s="4">
        <v>66</v>
      </c>
      <c r="V462" s="77">
        <f>IF(ISERROR(VLOOKUP($S$462,'TAR FIN'!$A$1:$O$95,15,0)),0,VLOOKUP($S$462,'TAR FIN'!$A$1:$O$95,15,0))</f>
        <v>0</v>
      </c>
      <c r="W462" s="77">
        <f>IF(ISERROR(VLOOKUP($T$462,'TAR FIN'!$A$1:$O$95,15,0)),0,VLOOKUP($T$462,'TAR FIN'!$A$1:$O$95,15,0))*(1-0.09)</f>
        <v>1305.6588999999999</v>
      </c>
      <c r="X462" s="77">
        <f>IF(ISERROR(VLOOKUP($U$462,'TAR FIN'!$A$1:$O$95,15,0)),0,VLOOKUP($U$462,'TAR FIN'!$A$1:$O$95,15,0))*(1-0.09)</f>
        <v>354.2448</v>
      </c>
      <c r="Y462" s="77"/>
      <c r="Z462" s="77">
        <f ca="1">('TUSD BE'!$AM$16+'TUSD BF'!$AM$16+'TUSD CVA'!$AM$16)*1*(1-0.06)</f>
        <v>1509.6321335379348</v>
      </c>
      <c r="AA462" s="77">
        <f>('TE BE'!$AA$7+'TE BF'!$AA$7+'TE CVA'!$AA$7)*1*(1-0.06)</f>
        <v>427.06885385270027</v>
      </c>
      <c r="AB462" s="77">
        <f>(SUBSIDIO!$J$462*SUBSIDIO!$V$462)*(0.09)/(1-0.09)</f>
        <v>0</v>
      </c>
      <c r="AC462" s="77">
        <f>((SUBSIDIO!$L$462*SUBSIDIO!$W$462)+(SUBSIDIO!$N$462*SUBSIDIO!$X$462))*(0.09)/(1-0.09)</f>
        <v>14436.456089399997</v>
      </c>
      <c r="AD462" s="77">
        <f>(SUBSIDIO!$J$462*SUBSIDIO!$Y$462)*(0.06)/(1-0.06)</f>
        <v>0</v>
      </c>
      <c r="AE462" s="77">
        <f ca="1">((SUBSIDIO!$L$462*SUBSIDIO!$Z$462)+(SUBSIDIO!$N$462*SUBSIDIO!$AA$462))*(0.06)/(1-0.06)</f>
        <v>10870.826261435597</v>
      </c>
      <c r="AF462" s="4" t="s">
        <v>842</v>
      </c>
    </row>
    <row r="463" spans="1:32" ht="11.25" customHeight="1" x14ac:dyDescent="0.25">
      <c r="A463" s="4" t="s">
        <v>21</v>
      </c>
      <c r="B463" s="4" t="s">
        <v>35</v>
      </c>
      <c r="C463" s="4" t="s">
        <v>36</v>
      </c>
      <c r="D463" s="4" t="s">
        <v>52</v>
      </c>
      <c r="E463" s="4" t="s">
        <v>53</v>
      </c>
      <c r="F463" s="4" t="s">
        <v>25</v>
      </c>
      <c r="G463" s="4" t="s">
        <v>25</v>
      </c>
      <c r="H463" s="4" t="s">
        <v>37</v>
      </c>
      <c r="I463" s="5">
        <v>44228</v>
      </c>
      <c r="J463" s="6">
        <v>0</v>
      </c>
      <c r="K463" s="77">
        <v>0</v>
      </c>
      <c r="L463" s="6">
        <v>113.482</v>
      </c>
      <c r="M463" s="77">
        <v>113.482</v>
      </c>
      <c r="N463" s="6">
        <v>113.482</v>
      </c>
      <c r="O463" s="77">
        <v>113.482</v>
      </c>
      <c r="P463" s="6">
        <v>0</v>
      </c>
      <c r="Q463" s="4" t="s">
        <v>26</v>
      </c>
      <c r="R463" s="4">
        <v>0</v>
      </c>
      <c r="S463" s="4">
        <v>0</v>
      </c>
      <c r="T463" s="4">
        <v>24</v>
      </c>
      <c r="U463" s="4">
        <v>66</v>
      </c>
      <c r="V463" s="77">
        <f>IF(ISERROR(VLOOKUP($S$463,'TAR FIN'!$A$1:$O$95,15,0)),0,VLOOKUP($S$463,'TAR FIN'!$A$1:$O$95,15,0))</f>
        <v>0</v>
      </c>
      <c r="W463" s="77">
        <f>IF(ISERROR(VLOOKUP($T$463,'TAR FIN'!$A$1:$O$95,15,0)),0,VLOOKUP($T$463,'TAR FIN'!$A$1:$O$95,15,0))*(1-0.09)</f>
        <v>1305.6588999999999</v>
      </c>
      <c r="X463" s="77">
        <f>IF(ISERROR(VLOOKUP($U$463,'TAR FIN'!$A$1:$O$95,15,0)),0,VLOOKUP($U$463,'TAR FIN'!$A$1:$O$95,15,0))*(1-0.09)</f>
        <v>354.2448</v>
      </c>
      <c r="Y463" s="77"/>
      <c r="Z463" s="77">
        <f ca="1">('TUSD BE'!$AM$16+'TUSD BF'!$AM$16+'TUSD CVA'!$AM$16)*1*(1-0.06)</f>
        <v>1509.6321335379348</v>
      </c>
      <c r="AA463" s="77">
        <f>('TE BE'!$AA$7+'TE BF'!$AA$7+'TE CVA'!$AA$7)*1*(1-0.06)</f>
        <v>427.06885385270027</v>
      </c>
      <c r="AB463" s="77">
        <f>(SUBSIDIO!$J$463*SUBSIDIO!$V$463)*(0.09)/(1-0.09)</f>
        <v>0</v>
      </c>
      <c r="AC463" s="77">
        <f>((SUBSIDIO!$L$463*SUBSIDIO!$W$463)+(SUBSIDIO!$N$463*SUBSIDIO!$X$463))*(0.09)/(1-0.09)</f>
        <v>18629.9200566</v>
      </c>
      <c r="AD463" s="77">
        <f>(SUBSIDIO!$J$463*SUBSIDIO!$Y$463)*(0.06)/(1-0.06)</f>
        <v>0</v>
      </c>
      <c r="AE463" s="77">
        <f ca="1">((SUBSIDIO!$L$463*SUBSIDIO!$Z$463)+(SUBSIDIO!$N$463*SUBSIDIO!$AA$463))*(0.06)/(1-0.06)</f>
        <v>14028.555411770045</v>
      </c>
      <c r="AF463" s="4" t="s">
        <v>842</v>
      </c>
    </row>
    <row r="464" spans="1:32" ht="11.25" customHeight="1" x14ac:dyDescent="0.25">
      <c r="A464" s="4" t="s">
        <v>28</v>
      </c>
      <c r="B464" s="4" t="s">
        <v>35</v>
      </c>
      <c r="C464" s="4" t="s">
        <v>36</v>
      </c>
      <c r="D464" s="4" t="s">
        <v>52</v>
      </c>
      <c r="E464" s="4" t="s">
        <v>53</v>
      </c>
      <c r="F464" s="4" t="s">
        <v>25</v>
      </c>
      <c r="G464" s="4" t="s">
        <v>25</v>
      </c>
      <c r="H464" s="4" t="s">
        <v>37</v>
      </c>
      <c r="I464" s="5">
        <v>44228</v>
      </c>
      <c r="J464" s="6">
        <v>0</v>
      </c>
      <c r="K464" s="77">
        <v>0</v>
      </c>
      <c r="L464" s="6">
        <v>79.055999999999997</v>
      </c>
      <c r="M464" s="77">
        <v>79.055999999999997</v>
      </c>
      <c r="N464" s="6">
        <v>79.055999999999997</v>
      </c>
      <c r="O464" s="77">
        <v>79.055999999999997</v>
      </c>
      <c r="P464" s="6">
        <v>0</v>
      </c>
      <c r="Q464" s="4" t="s">
        <v>26</v>
      </c>
      <c r="R464" s="4">
        <v>0</v>
      </c>
      <c r="S464" s="4">
        <v>0</v>
      </c>
      <c r="T464" s="4">
        <v>24</v>
      </c>
      <c r="U464" s="4">
        <v>66</v>
      </c>
      <c r="V464" s="77">
        <f>IF(ISERROR(VLOOKUP($S$464,'TAR FIN'!$A$1:$O$95,15,0)),0,VLOOKUP($S$464,'TAR FIN'!$A$1:$O$95,15,0))</f>
        <v>0</v>
      </c>
      <c r="W464" s="77">
        <f>IF(ISERROR(VLOOKUP($T$464,'TAR FIN'!$A$1:$O$95,15,0)),0,VLOOKUP($T$464,'TAR FIN'!$A$1:$O$95,15,0))*(1-0.09)</f>
        <v>1305.6588999999999</v>
      </c>
      <c r="X464" s="77">
        <f>IF(ISERROR(VLOOKUP($U$464,'TAR FIN'!$A$1:$O$95,15,0)),0,VLOOKUP($U$464,'TAR FIN'!$A$1:$O$95,15,0))*(1-0.09)</f>
        <v>354.2448</v>
      </c>
      <c r="Y464" s="77"/>
      <c r="Z464" s="77">
        <f ca="1">('TUSD BE'!$AM$16+'TUSD BF'!$AM$16+'TUSD CVA'!$AM$16)*1*(1-0.06)</f>
        <v>1509.6321335379348</v>
      </c>
      <c r="AA464" s="77">
        <f>('TE BE'!$AA$7+'TE BF'!$AA$7+'TE CVA'!$AA$7)*1*(1-0.06)</f>
        <v>427.06885385270027</v>
      </c>
      <c r="AB464" s="77">
        <f>(SUBSIDIO!$J$464*SUBSIDIO!$V$464)*(0.09)/(1-0.09)</f>
        <v>0</v>
      </c>
      <c r="AC464" s="77">
        <f>((SUBSIDIO!$L$464*SUBSIDIO!$W$464)+(SUBSIDIO!$N$464*SUBSIDIO!$X$464))*(0.09)/(1-0.09)</f>
        <v>12978.331012799999</v>
      </c>
      <c r="AD464" s="77">
        <f>(SUBSIDIO!$J$464*SUBSIDIO!$Y$464)*(0.06)/(1-0.06)</f>
        <v>0</v>
      </c>
      <c r="AE464" s="77">
        <f ca="1">((SUBSIDIO!$L$464*SUBSIDIO!$Z$464)+(SUBSIDIO!$N$464*SUBSIDIO!$AA$464))*(0.06)/(1-0.06)</f>
        <v>9772.8404207970671</v>
      </c>
      <c r="AF464" s="4" t="s">
        <v>842</v>
      </c>
    </row>
    <row r="465" spans="1:32" ht="11.25" customHeight="1" x14ac:dyDescent="0.25">
      <c r="A465" s="4" t="s">
        <v>21</v>
      </c>
      <c r="B465" s="4" t="s">
        <v>35</v>
      </c>
      <c r="C465" s="4" t="s">
        <v>36</v>
      </c>
      <c r="D465" s="4" t="s">
        <v>52</v>
      </c>
      <c r="E465" s="4" t="s">
        <v>53</v>
      </c>
      <c r="F465" s="4" t="s">
        <v>25</v>
      </c>
      <c r="G465" s="4" t="s">
        <v>25</v>
      </c>
      <c r="H465" s="4" t="s">
        <v>37</v>
      </c>
      <c r="I465" s="5">
        <v>44256</v>
      </c>
      <c r="J465" s="6">
        <v>0</v>
      </c>
      <c r="K465" s="77">
        <v>0</v>
      </c>
      <c r="L465" s="6">
        <v>135.04</v>
      </c>
      <c r="M465" s="77">
        <v>135.04</v>
      </c>
      <c r="N465" s="6">
        <v>135.04</v>
      </c>
      <c r="O465" s="77">
        <v>135.04</v>
      </c>
      <c r="P465" s="6">
        <v>0</v>
      </c>
      <c r="Q465" s="4" t="s">
        <v>26</v>
      </c>
      <c r="R465" s="4">
        <v>0</v>
      </c>
      <c r="S465" s="4">
        <v>0</v>
      </c>
      <c r="T465" s="4">
        <v>24</v>
      </c>
      <c r="U465" s="4">
        <v>66</v>
      </c>
      <c r="V465" s="77">
        <f>IF(ISERROR(VLOOKUP($S$465,'TAR FIN'!$A$1:$O$95,15,0)),0,VLOOKUP($S$465,'TAR FIN'!$A$1:$O$95,15,0))</f>
        <v>0</v>
      </c>
      <c r="W465" s="77">
        <f>IF(ISERROR(VLOOKUP($T$465,'TAR FIN'!$A$1:$O$95,15,0)),0,VLOOKUP($T$465,'TAR FIN'!$A$1:$O$95,15,0))*(1-0.09)</f>
        <v>1305.6588999999999</v>
      </c>
      <c r="X465" s="77">
        <f>IF(ISERROR(VLOOKUP($U$465,'TAR FIN'!$A$1:$O$95,15,0)),0,VLOOKUP($U$465,'TAR FIN'!$A$1:$O$95,15,0))*(1-0.09)</f>
        <v>354.2448</v>
      </c>
      <c r="Y465" s="77"/>
      <c r="Z465" s="77">
        <f ca="1">('TUSD BE'!$AM$16+'TUSD BF'!$AM$16+'TUSD CVA'!$AM$16)*1*(1-0.06)</f>
        <v>1509.6321335379348</v>
      </c>
      <c r="AA465" s="77">
        <f>('TE BE'!$AA$7+'TE BF'!$AA$7+'TE CVA'!$AA$7)*1*(1-0.06)</f>
        <v>427.06885385270027</v>
      </c>
      <c r="AB465" s="77">
        <f>(SUBSIDIO!$J$465*SUBSIDIO!$V$465)*(0.09)/(1-0.09)</f>
        <v>0</v>
      </c>
      <c r="AC465" s="77">
        <f>((SUBSIDIO!$L$465*SUBSIDIO!$W$465)+(SUBSIDIO!$N$465*SUBSIDIO!$X$465))*(0.09)/(1-0.09)</f>
        <v>22169.017151999993</v>
      </c>
      <c r="AD465" s="77">
        <f>(SUBSIDIO!$J$465*SUBSIDIO!$Y$465)*(0.06)/(1-0.06)</f>
        <v>0</v>
      </c>
      <c r="AE465" s="77">
        <f ca="1">((SUBSIDIO!$L$465*SUBSIDIO!$Z$465)+(SUBSIDIO!$N$465*SUBSIDIO!$AA$465))*(0.06)/(1-0.06)</f>
        <v>16693.538383227533</v>
      </c>
      <c r="AF465" s="4" t="s">
        <v>842</v>
      </c>
    </row>
    <row r="466" spans="1:32" ht="11.25" customHeight="1" x14ac:dyDescent="0.25">
      <c r="A466" s="4" t="s">
        <v>28</v>
      </c>
      <c r="B466" s="4" t="s">
        <v>35</v>
      </c>
      <c r="C466" s="4" t="s">
        <v>36</v>
      </c>
      <c r="D466" s="4" t="s">
        <v>52</v>
      </c>
      <c r="E466" s="4" t="s">
        <v>53</v>
      </c>
      <c r="F466" s="4" t="s">
        <v>25</v>
      </c>
      <c r="G466" s="4" t="s">
        <v>25</v>
      </c>
      <c r="H466" s="4" t="s">
        <v>37</v>
      </c>
      <c r="I466" s="5">
        <v>44256</v>
      </c>
      <c r="J466" s="6">
        <v>0</v>
      </c>
      <c r="K466" s="77">
        <v>0</v>
      </c>
      <c r="L466" s="6">
        <v>82.153999999999996</v>
      </c>
      <c r="M466" s="77">
        <v>82.153999999999996</v>
      </c>
      <c r="N466" s="6">
        <v>82.153999999999996</v>
      </c>
      <c r="O466" s="77">
        <v>82.153999999999996</v>
      </c>
      <c r="P466" s="6">
        <v>0</v>
      </c>
      <c r="Q466" s="4" t="s">
        <v>26</v>
      </c>
      <c r="R466" s="4">
        <v>0</v>
      </c>
      <c r="S466" s="4">
        <v>0</v>
      </c>
      <c r="T466" s="4">
        <v>24</v>
      </c>
      <c r="U466" s="4">
        <v>66</v>
      </c>
      <c r="V466" s="77">
        <f>IF(ISERROR(VLOOKUP($S$466,'TAR FIN'!$A$1:$O$95,15,0)),0,VLOOKUP($S$466,'TAR FIN'!$A$1:$O$95,15,0))</f>
        <v>0</v>
      </c>
      <c r="W466" s="77">
        <f>IF(ISERROR(VLOOKUP($T$466,'TAR FIN'!$A$1:$O$95,15,0)),0,VLOOKUP($T$466,'TAR FIN'!$A$1:$O$95,15,0))*(1-0.09)</f>
        <v>1305.6588999999999</v>
      </c>
      <c r="X466" s="77">
        <f>IF(ISERROR(VLOOKUP($U$466,'TAR FIN'!$A$1:$O$95,15,0)),0,VLOOKUP($U$466,'TAR FIN'!$A$1:$O$95,15,0))*(1-0.09)</f>
        <v>354.2448</v>
      </c>
      <c r="Y466" s="77"/>
      <c r="Z466" s="77">
        <f ca="1">('TUSD BE'!$AM$16+'TUSD BF'!$AM$16+'TUSD CVA'!$AM$16)*1*(1-0.06)</f>
        <v>1509.6321335379348</v>
      </c>
      <c r="AA466" s="77">
        <f>('TE BE'!$AA$7+'TE BF'!$AA$7+'TE CVA'!$AA$7)*1*(1-0.06)</f>
        <v>427.06885385270027</v>
      </c>
      <c r="AB466" s="77">
        <f>(SUBSIDIO!$J$466*SUBSIDIO!$V$466)*(0.09)/(1-0.09)</f>
        <v>0</v>
      </c>
      <c r="AC466" s="77">
        <f>((SUBSIDIO!$L$466*SUBSIDIO!$W$466)+(SUBSIDIO!$N$466*SUBSIDIO!$X$466))*(0.09)/(1-0.09)</f>
        <v>13486.918210199998</v>
      </c>
      <c r="AD466" s="77">
        <f>(SUBSIDIO!$J$466*SUBSIDIO!$Y$466)*(0.06)/(1-0.06)</f>
        <v>0</v>
      </c>
      <c r="AE466" s="77">
        <f ca="1">((SUBSIDIO!$L$466*SUBSIDIO!$Z$466)+(SUBSIDIO!$N$466*SUBSIDIO!$AA$466))*(0.06)/(1-0.06)</f>
        <v>10155.812739452567</v>
      </c>
      <c r="AF466" s="4" t="s">
        <v>842</v>
      </c>
    </row>
    <row r="467" spans="1:32" ht="11.25" customHeight="1" x14ac:dyDescent="0.25">
      <c r="A467" s="4" t="s">
        <v>21</v>
      </c>
      <c r="B467" s="4" t="s">
        <v>35</v>
      </c>
      <c r="C467" s="4" t="s">
        <v>36</v>
      </c>
      <c r="D467" s="4" t="s">
        <v>52</v>
      </c>
      <c r="E467" s="4" t="s">
        <v>53</v>
      </c>
      <c r="F467" s="4" t="s">
        <v>25</v>
      </c>
      <c r="G467" s="4" t="s">
        <v>25</v>
      </c>
      <c r="H467" s="4" t="s">
        <v>37</v>
      </c>
      <c r="I467" s="5">
        <v>44287</v>
      </c>
      <c r="J467" s="6">
        <v>0</v>
      </c>
      <c r="K467" s="77">
        <v>0</v>
      </c>
      <c r="L467" s="6">
        <v>110.995</v>
      </c>
      <c r="M467" s="77">
        <v>110.995</v>
      </c>
      <c r="N467" s="6">
        <v>110.995</v>
      </c>
      <c r="O467" s="77">
        <v>110.995</v>
      </c>
      <c r="P467" s="6">
        <v>0</v>
      </c>
      <c r="Q467" s="4" t="s">
        <v>26</v>
      </c>
      <c r="R467" s="4">
        <v>0</v>
      </c>
      <c r="S467" s="4">
        <v>0</v>
      </c>
      <c r="T467" s="4">
        <v>24</v>
      </c>
      <c r="U467" s="4">
        <v>66</v>
      </c>
      <c r="V467" s="77">
        <f>IF(ISERROR(VLOOKUP($S$467,'TAR FIN'!$A$1:$O$95,15,0)),0,VLOOKUP($S$467,'TAR FIN'!$A$1:$O$95,15,0))</f>
        <v>0</v>
      </c>
      <c r="W467" s="77">
        <f>IF(ISERROR(VLOOKUP($T$467,'TAR FIN'!$A$1:$O$95,15,0)),0,VLOOKUP($T$467,'TAR FIN'!$A$1:$O$95,15,0))*(1-0.09)</f>
        <v>1305.6588999999999</v>
      </c>
      <c r="X467" s="77">
        <f>IF(ISERROR(VLOOKUP($U$467,'TAR FIN'!$A$1:$O$95,15,0)),0,VLOOKUP($U$467,'TAR FIN'!$A$1:$O$95,15,0))*(1-0.09)</f>
        <v>354.2448</v>
      </c>
      <c r="Y467" s="77"/>
      <c r="Z467" s="77">
        <f ca="1">('TUSD BE'!$AM$16+'TUSD BF'!$AM$16+'TUSD CVA'!$AM$16)*1*(1-0.06)</f>
        <v>1509.6321335379348</v>
      </c>
      <c r="AA467" s="77">
        <f>('TE BE'!$AA$7+'TE BF'!$AA$7+'TE CVA'!$AA$7)*1*(1-0.06)</f>
        <v>427.06885385270027</v>
      </c>
      <c r="AB467" s="77">
        <f>(SUBSIDIO!$J$467*SUBSIDIO!$V$467)*(0.09)/(1-0.09)</f>
        <v>0</v>
      </c>
      <c r="AC467" s="77">
        <f>((SUBSIDIO!$L$467*SUBSIDIO!$W$467)+(SUBSIDIO!$N$467*SUBSIDIO!$X$467))*(0.09)/(1-0.09)</f>
        <v>18221.638468500001</v>
      </c>
      <c r="AD467" s="77">
        <f>(SUBSIDIO!$J$467*SUBSIDIO!$Y$467)*(0.06)/(1-0.06)</f>
        <v>0</v>
      </c>
      <c r="AE467" s="77">
        <f ca="1">((SUBSIDIO!$L$467*SUBSIDIO!$Z$467)+(SUBSIDIO!$N$467*SUBSIDIO!$AA$467))*(0.06)/(1-0.06)</f>
        <v>13721.114431622778</v>
      </c>
      <c r="AF467" s="4" t="s">
        <v>842</v>
      </c>
    </row>
    <row r="468" spans="1:32" ht="11.25" customHeight="1" x14ac:dyDescent="0.25">
      <c r="A468" s="4" t="s">
        <v>28</v>
      </c>
      <c r="B468" s="4" t="s">
        <v>35</v>
      </c>
      <c r="C468" s="4" t="s">
        <v>36</v>
      </c>
      <c r="D468" s="4" t="s">
        <v>52</v>
      </c>
      <c r="E468" s="4" t="s">
        <v>53</v>
      </c>
      <c r="F468" s="4" t="s">
        <v>25</v>
      </c>
      <c r="G468" s="4" t="s">
        <v>25</v>
      </c>
      <c r="H468" s="4" t="s">
        <v>37</v>
      </c>
      <c r="I468" s="5">
        <v>44287</v>
      </c>
      <c r="J468" s="6">
        <v>0</v>
      </c>
      <c r="K468" s="77">
        <v>0</v>
      </c>
      <c r="L468" s="6">
        <v>84.238</v>
      </c>
      <c r="M468" s="77">
        <v>84.238</v>
      </c>
      <c r="N468" s="6">
        <v>84.238</v>
      </c>
      <c r="O468" s="77">
        <v>84.238</v>
      </c>
      <c r="P468" s="6">
        <v>0</v>
      </c>
      <c r="Q468" s="4" t="s">
        <v>26</v>
      </c>
      <c r="R468" s="4">
        <v>0</v>
      </c>
      <c r="S468" s="4">
        <v>0</v>
      </c>
      <c r="T468" s="4">
        <v>24</v>
      </c>
      <c r="U468" s="4">
        <v>66</v>
      </c>
      <c r="V468" s="77">
        <f>IF(ISERROR(VLOOKUP($S$468,'TAR FIN'!$A$1:$O$95,15,0)),0,VLOOKUP($S$468,'TAR FIN'!$A$1:$O$95,15,0))</f>
        <v>0</v>
      </c>
      <c r="W468" s="77">
        <f>IF(ISERROR(VLOOKUP($T$468,'TAR FIN'!$A$1:$O$95,15,0)),0,VLOOKUP($T$468,'TAR FIN'!$A$1:$O$95,15,0))*(1-0.09)</f>
        <v>1305.6588999999999</v>
      </c>
      <c r="X468" s="77">
        <f>IF(ISERROR(VLOOKUP($U$468,'TAR FIN'!$A$1:$O$95,15,0)),0,VLOOKUP($U$468,'TAR FIN'!$A$1:$O$95,15,0))*(1-0.09)</f>
        <v>354.2448</v>
      </c>
      <c r="Y468" s="77"/>
      <c r="Z468" s="77">
        <f ca="1">('TUSD BE'!$AM$16+'TUSD BF'!$AM$16+'TUSD CVA'!$AM$16)*1*(1-0.06)</f>
        <v>1509.6321335379348</v>
      </c>
      <c r="AA468" s="77">
        <f>('TE BE'!$AA$7+'TE BF'!$AA$7+'TE CVA'!$AA$7)*1*(1-0.06)</f>
        <v>427.06885385270027</v>
      </c>
      <c r="AB468" s="77">
        <f>(SUBSIDIO!$J$468*SUBSIDIO!$V$468)*(0.09)/(1-0.09)</f>
        <v>0</v>
      </c>
      <c r="AC468" s="77">
        <f>((SUBSIDIO!$L$468*SUBSIDIO!$W$468)+(SUBSIDIO!$N$468*SUBSIDIO!$X$468))*(0.09)/(1-0.09)</f>
        <v>13829.040779399998</v>
      </c>
      <c r="AD468" s="77">
        <f>(SUBSIDIO!$J$468*SUBSIDIO!$Y$468)*(0.06)/(1-0.06)</f>
        <v>0</v>
      </c>
      <c r="AE468" s="77">
        <f ca="1">((SUBSIDIO!$L$468*SUBSIDIO!$Z$468)+(SUBSIDIO!$N$468*SUBSIDIO!$AA$468))*(0.06)/(1-0.06)</f>
        <v>10413.43517717951</v>
      </c>
      <c r="AF468" s="4" t="s">
        <v>842</v>
      </c>
    </row>
    <row r="469" spans="1:32" ht="11.25" customHeight="1" x14ac:dyDescent="0.25">
      <c r="A469" s="4" t="s">
        <v>21</v>
      </c>
      <c r="B469" s="4" t="s">
        <v>35</v>
      </c>
      <c r="C469" s="4" t="s">
        <v>36</v>
      </c>
      <c r="D469" s="4" t="s">
        <v>52</v>
      </c>
      <c r="E469" s="4" t="s">
        <v>53</v>
      </c>
      <c r="F469" s="4" t="s">
        <v>25</v>
      </c>
      <c r="G469" s="4" t="s">
        <v>25</v>
      </c>
      <c r="H469" s="4" t="s">
        <v>37</v>
      </c>
      <c r="I469" s="5">
        <v>44317</v>
      </c>
      <c r="J469" s="6">
        <v>0</v>
      </c>
      <c r="K469" s="77">
        <v>0</v>
      </c>
      <c r="L469" s="6">
        <v>122.526</v>
      </c>
      <c r="M469" s="77">
        <v>122.526</v>
      </c>
      <c r="N469" s="6">
        <v>122.526</v>
      </c>
      <c r="O469" s="77">
        <v>122.526</v>
      </c>
      <c r="P469" s="6">
        <v>0</v>
      </c>
      <c r="Q469" s="4" t="s">
        <v>26</v>
      </c>
      <c r="R469" s="4">
        <v>0</v>
      </c>
      <c r="S469" s="4">
        <v>0</v>
      </c>
      <c r="T469" s="4">
        <v>24</v>
      </c>
      <c r="U469" s="4">
        <v>66</v>
      </c>
      <c r="V469" s="77">
        <f>IF(ISERROR(VLOOKUP($S$469,'TAR FIN'!$A$1:$O$95,15,0)),0,VLOOKUP($S$469,'TAR FIN'!$A$1:$O$95,15,0))</f>
        <v>0</v>
      </c>
      <c r="W469" s="77">
        <f>IF(ISERROR(VLOOKUP($T$469,'TAR FIN'!$A$1:$O$95,15,0)),0,VLOOKUP($T$469,'TAR FIN'!$A$1:$O$95,15,0))*(1-0.09)</f>
        <v>1305.6588999999999</v>
      </c>
      <c r="X469" s="77">
        <f>IF(ISERROR(VLOOKUP($U$469,'TAR FIN'!$A$1:$O$95,15,0)),0,VLOOKUP($U$469,'TAR FIN'!$A$1:$O$95,15,0))*(1-0.09)</f>
        <v>354.2448</v>
      </c>
      <c r="Y469" s="77"/>
      <c r="Z469" s="77">
        <f ca="1">('TUSD BE'!$AM$16+'TUSD BF'!$AM$16+'TUSD CVA'!$AM$16)*1*(1-0.06)</f>
        <v>1509.6321335379348</v>
      </c>
      <c r="AA469" s="77">
        <f>('TE BE'!$AA$7+'TE BF'!$AA$7+'TE CVA'!$AA$7)*1*(1-0.06)</f>
        <v>427.06885385270027</v>
      </c>
      <c r="AB469" s="77">
        <f>(SUBSIDIO!$J$469*SUBSIDIO!$V$469)*(0.09)/(1-0.09)</f>
        <v>0</v>
      </c>
      <c r="AC469" s="77">
        <f>((SUBSIDIO!$L$469*SUBSIDIO!$W$469)+(SUBSIDIO!$N$469*SUBSIDIO!$X$469))*(0.09)/(1-0.09)</f>
        <v>20114.640073799994</v>
      </c>
      <c r="AD469" s="77">
        <f>(SUBSIDIO!$J$469*SUBSIDIO!$Y$469)*(0.06)/(1-0.06)</f>
        <v>0</v>
      </c>
      <c r="AE469" s="77">
        <f ca="1">((SUBSIDIO!$L$469*SUBSIDIO!$Z$469)+(SUBSIDIO!$N$469*SUBSIDIO!$AA$469))*(0.06)/(1-0.06)</f>
        <v>15146.567564746274</v>
      </c>
      <c r="AF469" s="4" t="s">
        <v>842</v>
      </c>
    </row>
    <row r="470" spans="1:32" ht="11.25" customHeight="1" x14ac:dyDescent="0.25">
      <c r="A470" s="4" t="s">
        <v>28</v>
      </c>
      <c r="B470" s="4" t="s">
        <v>35</v>
      </c>
      <c r="C470" s="4" t="s">
        <v>36</v>
      </c>
      <c r="D470" s="4" t="s">
        <v>52</v>
      </c>
      <c r="E470" s="4" t="s">
        <v>53</v>
      </c>
      <c r="F470" s="4" t="s">
        <v>25</v>
      </c>
      <c r="G470" s="4" t="s">
        <v>25</v>
      </c>
      <c r="H470" s="4" t="s">
        <v>37</v>
      </c>
      <c r="I470" s="5">
        <v>44317</v>
      </c>
      <c r="J470" s="6">
        <v>0</v>
      </c>
      <c r="K470" s="77">
        <v>0</v>
      </c>
      <c r="L470" s="6">
        <v>89.659000000000006</v>
      </c>
      <c r="M470" s="77">
        <v>89.659000000000006</v>
      </c>
      <c r="N470" s="6">
        <v>89.659000000000006</v>
      </c>
      <c r="O470" s="77">
        <v>89.659000000000006</v>
      </c>
      <c r="P470" s="6">
        <v>0</v>
      </c>
      <c r="Q470" s="4" t="s">
        <v>26</v>
      </c>
      <c r="R470" s="4">
        <v>0</v>
      </c>
      <c r="S470" s="4">
        <v>0</v>
      </c>
      <c r="T470" s="4">
        <v>24</v>
      </c>
      <c r="U470" s="4">
        <v>66</v>
      </c>
      <c r="V470" s="77">
        <f>IF(ISERROR(VLOOKUP($S$470,'TAR FIN'!$A$1:$O$95,15,0)),0,VLOOKUP($S$470,'TAR FIN'!$A$1:$O$95,15,0))</f>
        <v>0</v>
      </c>
      <c r="W470" s="77">
        <f>IF(ISERROR(VLOOKUP($T$470,'TAR FIN'!$A$1:$O$95,15,0)),0,VLOOKUP($T$470,'TAR FIN'!$A$1:$O$95,15,0))*(1-0.09)</f>
        <v>1305.6588999999999</v>
      </c>
      <c r="X470" s="77">
        <f>IF(ISERROR(VLOOKUP($U$470,'TAR FIN'!$A$1:$O$95,15,0)),0,VLOOKUP($U$470,'TAR FIN'!$A$1:$O$95,15,0))*(1-0.09)</f>
        <v>354.2448</v>
      </c>
      <c r="Y470" s="77"/>
      <c r="Z470" s="77">
        <f ca="1">('TUSD BE'!$AM$16+'TUSD BF'!$AM$16+'TUSD CVA'!$AM$16)*1*(1-0.06)</f>
        <v>1509.6321335379348</v>
      </c>
      <c r="AA470" s="77">
        <f>('TE BE'!$AA$7+'TE BF'!$AA$7+'TE CVA'!$AA$7)*1*(1-0.06)</f>
        <v>427.06885385270027</v>
      </c>
      <c r="AB470" s="77">
        <f>(SUBSIDIO!$J$470*SUBSIDIO!$V$470)*(0.09)/(1-0.09)</f>
        <v>0</v>
      </c>
      <c r="AC470" s="77">
        <f>((SUBSIDIO!$L$470*SUBSIDIO!$W$470)+(SUBSIDIO!$N$470*SUBSIDIO!$X$470))*(0.09)/(1-0.09)</f>
        <v>14718.986291699999</v>
      </c>
      <c r="AD470" s="77">
        <f>(SUBSIDIO!$J$470*SUBSIDIO!$Y$470)*(0.06)/(1-0.06)</f>
        <v>0</v>
      </c>
      <c r="AE470" s="77">
        <f ca="1">((SUBSIDIO!$L$470*SUBSIDIO!$Z$470)+(SUBSIDIO!$N$470*SUBSIDIO!$AA$470))*(0.06)/(1-0.06)</f>
        <v>11083.574925220657</v>
      </c>
      <c r="AF470" s="4" t="s">
        <v>842</v>
      </c>
    </row>
    <row r="471" spans="1:32" ht="11.25" customHeight="1" x14ac:dyDescent="0.25">
      <c r="A471" s="4" t="s">
        <v>29</v>
      </c>
      <c r="B471" s="4" t="s">
        <v>35</v>
      </c>
      <c r="C471" s="4" t="s">
        <v>36</v>
      </c>
      <c r="D471" s="4" t="s">
        <v>52</v>
      </c>
      <c r="E471" s="4" t="s">
        <v>53</v>
      </c>
      <c r="F471" s="4" t="s">
        <v>25</v>
      </c>
      <c r="G471" s="4" t="s">
        <v>25</v>
      </c>
      <c r="H471" s="4" t="s">
        <v>37</v>
      </c>
      <c r="I471" s="5">
        <v>44317</v>
      </c>
      <c r="J471" s="6">
        <v>0</v>
      </c>
      <c r="K471" s="77">
        <v>0</v>
      </c>
      <c r="L471" s="6">
        <v>14.61</v>
      </c>
      <c r="M471" s="77">
        <v>14.61</v>
      </c>
      <c r="N471" s="6">
        <v>14.61</v>
      </c>
      <c r="O471" s="77">
        <v>14.61</v>
      </c>
      <c r="P471" s="6">
        <v>0</v>
      </c>
      <c r="Q471" s="4" t="s">
        <v>26</v>
      </c>
      <c r="R471" s="4">
        <v>0</v>
      </c>
      <c r="S471" s="4">
        <v>0</v>
      </c>
      <c r="T471" s="4">
        <v>24</v>
      </c>
      <c r="U471" s="4">
        <v>66</v>
      </c>
      <c r="V471" s="77">
        <f>IF(ISERROR(VLOOKUP($S$471,'TAR FIN'!$A$1:$O$95,15,0)),0,VLOOKUP($S$471,'TAR FIN'!$A$1:$O$95,15,0))</f>
        <v>0</v>
      </c>
      <c r="W471" s="77">
        <f>IF(ISERROR(VLOOKUP($T$471,'TAR FIN'!$A$1:$O$95,15,0)),0,VLOOKUP($T$471,'TAR FIN'!$A$1:$O$95,15,0))*(1-0.09)</f>
        <v>1305.6588999999999</v>
      </c>
      <c r="X471" s="77">
        <f>IF(ISERROR(VLOOKUP($U$471,'TAR FIN'!$A$1:$O$95,15,0)),0,VLOOKUP($U$471,'TAR FIN'!$A$1:$O$95,15,0))*(1-0.09)</f>
        <v>354.2448</v>
      </c>
      <c r="Y471" s="77"/>
      <c r="Z471" s="77">
        <f ca="1">('TUSD BE'!$AM$16+'TUSD BF'!$AM$16+'TUSD CVA'!$AM$16)*1*(1-0.06)</f>
        <v>1509.6321335379348</v>
      </c>
      <c r="AA471" s="77">
        <f>('TE BE'!$AA$7+'TE BF'!$AA$7+'TE CVA'!$AA$7)*1*(1-0.06)</f>
        <v>427.06885385270027</v>
      </c>
      <c r="AB471" s="77">
        <f>(SUBSIDIO!$J$471*SUBSIDIO!$V$471)*(0.09)/(1-0.09)</f>
        <v>0</v>
      </c>
      <c r="AC471" s="77">
        <f>((SUBSIDIO!$L$471*SUBSIDIO!$W$471)+(SUBSIDIO!$N$471*SUBSIDIO!$X$471))*(0.09)/(1-0.09)</f>
        <v>2398.4696429999995</v>
      </c>
      <c r="AD471" s="77">
        <f>(SUBSIDIO!$J$471*SUBSIDIO!$Y$471)*(0.06)/(1-0.06)</f>
        <v>0</v>
      </c>
      <c r="AE471" s="77">
        <f ca="1">((SUBSIDIO!$L$471*SUBSIDIO!$Z$471)+(SUBSIDIO!$N$471*SUBSIDIO!$AA$471))*(0.06)/(1-0.06)</f>
        <v>1806.0766867517348</v>
      </c>
      <c r="AF471" s="4" t="s">
        <v>842</v>
      </c>
    </row>
    <row r="472" spans="1:32" ht="11.25" customHeight="1" x14ac:dyDescent="0.25">
      <c r="A472" s="4" t="s">
        <v>21</v>
      </c>
      <c r="B472" s="4" t="s">
        <v>35</v>
      </c>
      <c r="C472" s="4" t="s">
        <v>36</v>
      </c>
      <c r="D472" s="4" t="s">
        <v>52</v>
      </c>
      <c r="E472" s="4" t="s">
        <v>53</v>
      </c>
      <c r="F472" s="4" t="s">
        <v>25</v>
      </c>
      <c r="G472" s="4" t="s">
        <v>25</v>
      </c>
      <c r="H472" s="4" t="s">
        <v>37</v>
      </c>
      <c r="I472" s="5">
        <v>44348</v>
      </c>
      <c r="J472" s="6">
        <v>0</v>
      </c>
      <c r="K472" s="77">
        <v>0</v>
      </c>
      <c r="L472" s="6">
        <v>122.699</v>
      </c>
      <c r="M472" s="77">
        <v>122.699</v>
      </c>
      <c r="N472" s="6">
        <v>122.699</v>
      </c>
      <c r="O472" s="77">
        <v>122.699</v>
      </c>
      <c r="P472" s="6">
        <v>0</v>
      </c>
      <c r="Q472" s="4" t="s">
        <v>26</v>
      </c>
      <c r="R472" s="4">
        <v>0</v>
      </c>
      <c r="S472" s="4">
        <v>0</v>
      </c>
      <c r="T472" s="4">
        <v>24</v>
      </c>
      <c r="U472" s="4">
        <v>66</v>
      </c>
      <c r="V472" s="77">
        <f>IF(ISERROR(VLOOKUP($S$472,'TAR FIN'!$A$1:$O$95,15,0)),0,VLOOKUP($S$472,'TAR FIN'!$A$1:$O$95,15,0))</f>
        <v>0</v>
      </c>
      <c r="W472" s="77">
        <f>IF(ISERROR(VLOOKUP($T$472,'TAR FIN'!$A$1:$O$95,15,0)),0,VLOOKUP($T$472,'TAR FIN'!$A$1:$O$95,15,0))*(1-0.09)</f>
        <v>1305.6588999999999</v>
      </c>
      <c r="X472" s="77">
        <f>IF(ISERROR(VLOOKUP($U$472,'TAR FIN'!$A$1:$O$95,15,0)),0,VLOOKUP($U$472,'TAR FIN'!$A$1:$O$95,15,0))*(1-0.09)</f>
        <v>354.2448</v>
      </c>
      <c r="Y472" s="77"/>
      <c r="Z472" s="77">
        <f ca="1">('TUSD BE'!$AM$16+'TUSD BF'!$AM$16+'TUSD CVA'!$AM$16)*1*(1-0.06)</f>
        <v>1509.6321335379348</v>
      </c>
      <c r="AA472" s="77">
        <f>('TE BE'!$AA$7+'TE BF'!$AA$7+'TE CVA'!$AA$7)*1*(1-0.06)</f>
        <v>427.06885385270027</v>
      </c>
      <c r="AB472" s="77">
        <f>(SUBSIDIO!$J$472*SUBSIDIO!$V$472)*(0.09)/(1-0.09)</f>
        <v>0</v>
      </c>
      <c r="AC472" s="77">
        <f>((SUBSIDIO!$L$472*SUBSIDIO!$W$472)+(SUBSIDIO!$N$472*SUBSIDIO!$X$472))*(0.09)/(1-0.09)</f>
        <v>20143.040843699997</v>
      </c>
      <c r="AD472" s="77">
        <f>(SUBSIDIO!$J$472*SUBSIDIO!$Y$472)*(0.06)/(1-0.06)</f>
        <v>0</v>
      </c>
      <c r="AE472" s="77">
        <f ca="1">((SUBSIDIO!$L$472*SUBSIDIO!$Z$472)+(SUBSIDIO!$N$472*SUBSIDIO!$AA$472))*(0.06)/(1-0.06)</f>
        <v>15167.953688415544</v>
      </c>
      <c r="AF472" s="4" t="s">
        <v>842</v>
      </c>
    </row>
    <row r="473" spans="1:32" ht="11.25" customHeight="1" x14ac:dyDescent="0.25">
      <c r="A473" s="4" t="s">
        <v>28</v>
      </c>
      <c r="B473" s="4" t="s">
        <v>35</v>
      </c>
      <c r="C473" s="4" t="s">
        <v>36</v>
      </c>
      <c r="D473" s="4" t="s">
        <v>52</v>
      </c>
      <c r="E473" s="4" t="s">
        <v>53</v>
      </c>
      <c r="F473" s="4" t="s">
        <v>25</v>
      </c>
      <c r="G473" s="4" t="s">
        <v>25</v>
      </c>
      <c r="H473" s="4" t="s">
        <v>37</v>
      </c>
      <c r="I473" s="5">
        <v>44348</v>
      </c>
      <c r="J473" s="6">
        <v>0</v>
      </c>
      <c r="K473" s="77">
        <v>0</v>
      </c>
      <c r="L473" s="6">
        <v>92.828999999999994</v>
      </c>
      <c r="M473" s="77">
        <v>92.828999999999994</v>
      </c>
      <c r="N473" s="6">
        <v>92.828999999999994</v>
      </c>
      <c r="O473" s="77">
        <v>92.828999999999994</v>
      </c>
      <c r="P473" s="6">
        <v>0</v>
      </c>
      <c r="Q473" s="4" t="s">
        <v>26</v>
      </c>
      <c r="R473" s="4">
        <v>0</v>
      </c>
      <c r="S473" s="4">
        <v>0</v>
      </c>
      <c r="T473" s="4">
        <v>24</v>
      </c>
      <c r="U473" s="4">
        <v>66</v>
      </c>
      <c r="V473" s="77">
        <f>IF(ISERROR(VLOOKUP($S$473,'TAR FIN'!$A$1:$O$95,15,0)),0,VLOOKUP($S$473,'TAR FIN'!$A$1:$O$95,15,0))</f>
        <v>0</v>
      </c>
      <c r="W473" s="77">
        <f>IF(ISERROR(VLOOKUP($T$473,'TAR FIN'!$A$1:$O$95,15,0)),0,VLOOKUP($T$473,'TAR FIN'!$A$1:$O$95,15,0))*(1-0.09)</f>
        <v>1305.6588999999999</v>
      </c>
      <c r="X473" s="77">
        <f>IF(ISERROR(VLOOKUP($U$473,'TAR FIN'!$A$1:$O$95,15,0)),0,VLOOKUP($U$473,'TAR FIN'!$A$1:$O$95,15,0))*(1-0.09)</f>
        <v>354.2448</v>
      </c>
      <c r="Y473" s="77"/>
      <c r="Z473" s="77">
        <f ca="1">('TUSD BE'!$AM$16+'TUSD BF'!$AM$16+'TUSD CVA'!$AM$16)*1*(1-0.06)</f>
        <v>1509.6321335379348</v>
      </c>
      <c r="AA473" s="77">
        <f>('TE BE'!$AA$7+'TE BF'!$AA$7+'TE CVA'!$AA$7)*1*(1-0.06)</f>
        <v>427.06885385270027</v>
      </c>
      <c r="AB473" s="77">
        <f>(SUBSIDIO!$J$473*SUBSIDIO!$V$473)*(0.09)/(1-0.09)</f>
        <v>0</v>
      </c>
      <c r="AC473" s="77">
        <f>((SUBSIDIO!$L$473*SUBSIDIO!$W$473)+(SUBSIDIO!$N$473*SUBSIDIO!$X$473))*(0.09)/(1-0.09)</f>
        <v>15239.393462699996</v>
      </c>
      <c r="AD473" s="77">
        <f>(SUBSIDIO!$J$473*SUBSIDIO!$Y$473)*(0.06)/(1-0.06)</f>
        <v>0</v>
      </c>
      <c r="AE473" s="77">
        <f ca="1">((SUBSIDIO!$L$473*SUBSIDIO!$Z$473)+(SUBSIDIO!$N$473*SUBSIDIO!$AA$473))*(0.06)/(1-0.06)</f>
        <v>11475.447827137357</v>
      </c>
      <c r="AF473" s="4" t="s">
        <v>842</v>
      </c>
    </row>
    <row r="474" spans="1:32" ht="11.25" customHeight="1" x14ac:dyDescent="0.25">
      <c r="A474" s="4" t="s">
        <v>21</v>
      </c>
      <c r="B474" s="4" t="s">
        <v>35</v>
      </c>
      <c r="C474" s="4" t="s">
        <v>36</v>
      </c>
      <c r="D474" s="4" t="s">
        <v>52</v>
      </c>
      <c r="E474" s="4" t="s">
        <v>53</v>
      </c>
      <c r="F474" s="4" t="s">
        <v>25</v>
      </c>
      <c r="G474" s="4" t="s">
        <v>25</v>
      </c>
      <c r="H474" s="4" t="s">
        <v>37</v>
      </c>
      <c r="I474" s="5">
        <v>44378</v>
      </c>
      <c r="J474" s="6">
        <v>0</v>
      </c>
      <c r="K474" s="77">
        <v>0</v>
      </c>
      <c r="L474" s="6">
        <v>137.31800000000001</v>
      </c>
      <c r="M474" s="77">
        <v>137.31800000000001</v>
      </c>
      <c r="N474" s="6">
        <v>137.31800000000001</v>
      </c>
      <c r="O474" s="77">
        <v>137.31800000000001</v>
      </c>
      <c r="P474" s="6">
        <v>0</v>
      </c>
      <c r="Q474" s="4" t="s">
        <v>26</v>
      </c>
      <c r="R474" s="4">
        <v>0</v>
      </c>
      <c r="S474" s="4">
        <v>0</v>
      </c>
      <c r="T474" s="4">
        <v>24</v>
      </c>
      <c r="U474" s="4">
        <v>66</v>
      </c>
      <c r="V474" s="77">
        <f>IF(ISERROR(VLOOKUP($S$474,'TAR FIN'!$A$1:$O$95,15,0)),0,VLOOKUP($S$474,'TAR FIN'!$A$1:$O$95,15,0))</f>
        <v>0</v>
      </c>
      <c r="W474" s="77">
        <f>IF(ISERROR(VLOOKUP($T$474,'TAR FIN'!$A$1:$O$95,15,0)),0,VLOOKUP($T$474,'TAR FIN'!$A$1:$O$95,15,0))*(1-0.09)</f>
        <v>1305.6588999999999</v>
      </c>
      <c r="X474" s="77">
        <f>IF(ISERROR(VLOOKUP($U$474,'TAR FIN'!$A$1:$O$95,15,0)),0,VLOOKUP($U$474,'TAR FIN'!$A$1:$O$95,15,0))*(1-0.09)</f>
        <v>354.2448</v>
      </c>
      <c r="Y474" s="77"/>
      <c r="Z474" s="77">
        <f ca="1">('TUSD BE'!$AM$16+'TUSD BF'!$AM$16+'TUSD CVA'!$AM$16)*1*(1-0.06)</f>
        <v>1509.6321335379348</v>
      </c>
      <c r="AA474" s="77">
        <f>('TE BE'!$AA$7+'TE BF'!$AA$7+'TE CVA'!$AA$7)*1*(1-0.06)</f>
        <v>427.06885385270027</v>
      </c>
      <c r="AB474" s="77">
        <f>(SUBSIDIO!$J$474*SUBSIDIO!$V$474)*(0.09)/(1-0.09)</f>
        <v>0</v>
      </c>
      <c r="AC474" s="77">
        <f>((SUBSIDIO!$L$474*SUBSIDIO!$W$474)+(SUBSIDIO!$N$474*SUBSIDIO!$X$474))*(0.09)/(1-0.09)</f>
        <v>22542.987983399998</v>
      </c>
      <c r="AD474" s="77">
        <f>(SUBSIDIO!$J$474*SUBSIDIO!$Y$474)*(0.06)/(1-0.06)</f>
        <v>0</v>
      </c>
      <c r="AE474" s="77">
        <f ca="1">((SUBSIDIO!$L$474*SUBSIDIO!$Z$474)+(SUBSIDIO!$N$474*SUBSIDIO!$AA$474))*(0.06)/(1-0.06)</f>
        <v>16975.142948074932</v>
      </c>
      <c r="AF474" s="4" t="s">
        <v>842</v>
      </c>
    </row>
    <row r="475" spans="1:32" ht="11.25" customHeight="1" x14ac:dyDescent="0.25">
      <c r="A475" s="4" t="s">
        <v>28</v>
      </c>
      <c r="B475" s="4" t="s">
        <v>35</v>
      </c>
      <c r="C475" s="4" t="s">
        <v>36</v>
      </c>
      <c r="D475" s="4" t="s">
        <v>52</v>
      </c>
      <c r="E475" s="4" t="s">
        <v>53</v>
      </c>
      <c r="F475" s="4" t="s">
        <v>25</v>
      </c>
      <c r="G475" s="4" t="s">
        <v>25</v>
      </c>
      <c r="H475" s="4" t="s">
        <v>37</v>
      </c>
      <c r="I475" s="5">
        <v>44378</v>
      </c>
      <c r="J475" s="6">
        <v>0</v>
      </c>
      <c r="K475" s="77">
        <v>0</v>
      </c>
      <c r="L475" s="6">
        <v>56.061999999999998</v>
      </c>
      <c r="M475" s="77">
        <v>56.061999999999998</v>
      </c>
      <c r="N475" s="6">
        <v>56.061999999999998</v>
      </c>
      <c r="O475" s="77">
        <v>56.061999999999998</v>
      </c>
      <c r="P475" s="6">
        <v>0</v>
      </c>
      <c r="Q475" s="4" t="s">
        <v>26</v>
      </c>
      <c r="R475" s="4">
        <v>0</v>
      </c>
      <c r="S475" s="4">
        <v>0</v>
      </c>
      <c r="T475" s="4">
        <v>24</v>
      </c>
      <c r="U475" s="4">
        <v>66</v>
      </c>
      <c r="V475" s="77">
        <f>IF(ISERROR(VLOOKUP($S$475,'TAR FIN'!$A$1:$O$95,15,0)),0,VLOOKUP($S$475,'TAR FIN'!$A$1:$O$95,15,0))</f>
        <v>0</v>
      </c>
      <c r="W475" s="77">
        <f>IF(ISERROR(VLOOKUP($T$475,'TAR FIN'!$A$1:$O$95,15,0)),0,VLOOKUP($T$475,'TAR FIN'!$A$1:$O$95,15,0))*(1-0.09)</f>
        <v>1305.6588999999999</v>
      </c>
      <c r="X475" s="77">
        <f>IF(ISERROR(VLOOKUP($U$475,'TAR FIN'!$A$1:$O$95,15,0)),0,VLOOKUP($U$475,'TAR FIN'!$A$1:$O$95,15,0))*(1-0.09)</f>
        <v>354.2448</v>
      </c>
      <c r="Y475" s="77"/>
      <c r="Z475" s="77">
        <f ca="1">('TUSD BE'!$AM$16+'TUSD BF'!$AM$16+'TUSD CVA'!$AM$16)*1*(1-0.06)</f>
        <v>1509.6321335379348</v>
      </c>
      <c r="AA475" s="77">
        <f>('TE BE'!$AA$7+'TE BF'!$AA$7+'TE CVA'!$AA$7)*1*(1-0.06)</f>
        <v>427.06885385270027</v>
      </c>
      <c r="AB475" s="77">
        <f>(SUBSIDIO!$J$475*SUBSIDIO!$V$475)*(0.09)/(1-0.09)</f>
        <v>0</v>
      </c>
      <c r="AC475" s="77">
        <f>((SUBSIDIO!$L$475*SUBSIDIO!$W$475)+(SUBSIDIO!$N$475*SUBSIDIO!$X$475))*(0.09)/(1-0.09)</f>
        <v>9203.4911106</v>
      </c>
      <c r="AD475" s="77">
        <f>(SUBSIDIO!$J$475*SUBSIDIO!$Y$475)*(0.06)/(1-0.06)</f>
        <v>0</v>
      </c>
      <c r="AE475" s="77">
        <f ca="1">((SUBSIDIO!$L$475*SUBSIDIO!$Z$475)+(SUBSIDIO!$N$475*SUBSIDIO!$AA$475))*(0.06)/(1-0.06)</f>
        <v>6930.3402609634331</v>
      </c>
      <c r="AF475" s="4" t="s">
        <v>842</v>
      </c>
    </row>
    <row r="476" spans="1:32" ht="11.25" customHeight="1" x14ac:dyDescent="0.25">
      <c r="A476" s="4" t="s">
        <v>21</v>
      </c>
      <c r="B476" s="4" t="s">
        <v>35</v>
      </c>
      <c r="C476" s="4" t="s">
        <v>36</v>
      </c>
      <c r="D476" s="4" t="s">
        <v>52</v>
      </c>
      <c r="E476" s="4" t="s">
        <v>53</v>
      </c>
      <c r="F476" s="4" t="s">
        <v>25</v>
      </c>
      <c r="G476" s="4" t="s">
        <v>25</v>
      </c>
      <c r="H476" s="4" t="s">
        <v>37</v>
      </c>
      <c r="I476" s="5">
        <v>44409</v>
      </c>
      <c r="J476" s="6">
        <v>0</v>
      </c>
      <c r="K476" s="77">
        <v>0</v>
      </c>
      <c r="L476" s="6">
        <v>135.59299999999999</v>
      </c>
      <c r="M476" s="77">
        <v>135.59299999999999</v>
      </c>
      <c r="N476" s="6">
        <v>135.59299999999999</v>
      </c>
      <c r="O476" s="77">
        <v>135.59299999999999</v>
      </c>
      <c r="P476" s="6">
        <v>0</v>
      </c>
      <c r="Q476" s="4" t="s">
        <v>26</v>
      </c>
      <c r="R476" s="4">
        <v>0</v>
      </c>
      <c r="S476" s="4">
        <v>0</v>
      </c>
      <c r="T476" s="4">
        <v>24</v>
      </c>
      <c r="U476" s="4">
        <v>66</v>
      </c>
      <c r="V476" s="77">
        <f>IF(ISERROR(VLOOKUP($S$476,'TAR FIN'!$A$1:$O$95,15,0)),0,VLOOKUP($S$476,'TAR FIN'!$A$1:$O$95,15,0))</f>
        <v>0</v>
      </c>
      <c r="W476" s="77">
        <f>IF(ISERROR(VLOOKUP($T$476,'TAR FIN'!$A$1:$O$95,15,0)),0,VLOOKUP($T$476,'TAR FIN'!$A$1:$O$95,15,0))*(1-0.09)</f>
        <v>1305.6588999999999</v>
      </c>
      <c r="X476" s="77">
        <f>IF(ISERROR(VLOOKUP($U$476,'TAR FIN'!$A$1:$O$95,15,0)),0,VLOOKUP($U$476,'TAR FIN'!$A$1:$O$95,15,0))*(1-0.09)</f>
        <v>354.2448</v>
      </c>
      <c r="Y476" s="77"/>
      <c r="Z476" s="77">
        <f ca="1">('TUSD BE'!$AM$16+'TUSD BF'!$AM$16+'TUSD CVA'!$AM$16)*1*(1-0.06)</f>
        <v>1509.6321335379348</v>
      </c>
      <c r="AA476" s="77">
        <f>('TE BE'!$AA$7+'TE BF'!$AA$7+'TE CVA'!$AA$7)*1*(1-0.06)</f>
        <v>427.06885385270027</v>
      </c>
      <c r="AB476" s="77">
        <f>(SUBSIDIO!$J$476*SUBSIDIO!$V$476)*(0.09)/(1-0.09)</f>
        <v>0</v>
      </c>
      <c r="AC476" s="77">
        <f>((SUBSIDIO!$L$476*SUBSIDIO!$W$476)+(SUBSIDIO!$N$476*SUBSIDIO!$X$476))*(0.09)/(1-0.09)</f>
        <v>22259.801115899994</v>
      </c>
      <c r="AD476" s="77">
        <f>(SUBSIDIO!$J$476*SUBSIDIO!$Y$476)*(0.06)/(1-0.06)</f>
        <v>0</v>
      </c>
      <c r="AE476" s="77">
        <f ca="1">((SUBSIDIO!$L$476*SUBSIDIO!$Z$476)+(SUBSIDIO!$N$476*SUBSIDIO!$AA$476))*(0.06)/(1-0.06)</f>
        <v>16761.899807442023</v>
      </c>
      <c r="AF476" s="4" t="s">
        <v>842</v>
      </c>
    </row>
    <row r="477" spans="1:32" ht="11.25" customHeight="1" x14ac:dyDescent="0.25">
      <c r="A477" s="4" t="s">
        <v>28</v>
      </c>
      <c r="B477" s="4" t="s">
        <v>35</v>
      </c>
      <c r="C477" s="4" t="s">
        <v>36</v>
      </c>
      <c r="D477" s="4" t="s">
        <v>52</v>
      </c>
      <c r="E477" s="4" t="s">
        <v>53</v>
      </c>
      <c r="F477" s="4" t="s">
        <v>25</v>
      </c>
      <c r="G477" s="4" t="s">
        <v>25</v>
      </c>
      <c r="H477" s="4" t="s">
        <v>37</v>
      </c>
      <c r="I477" s="5">
        <v>44409</v>
      </c>
      <c r="J477" s="6">
        <v>0</v>
      </c>
      <c r="K477" s="77">
        <v>0</v>
      </c>
      <c r="L477" s="6">
        <v>54.485999999999997</v>
      </c>
      <c r="M477" s="77">
        <v>54.485999999999997</v>
      </c>
      <c r="N477" s="6">
        <v>54.485999999999997</v>
      </c>
      <c r="O477" s="77">
        <v>54.485999999999997</v>
      </c>
      <c r="P477" s="6">
        <v>0</v>
      </c>
      <c r="Q477" s="4" t="s">
        <v>26</v>
      </c>
      <c r="R477" s="4">
        <v>0</v>
      </c>
      <c r="S477" s="4">
        <v>0</v>
      </c>
      <c r="T477" s="4">
        <v>24</v>
      </c>
      <c r="U477" s="4">
        <v>66</v>
      </c>
      <c r="V477" s="77">
        <f>IF(ISERROR(VLOOKUP($S$477,'TAR FIN'!$A$1:$O$95,15,0)),0,VLOOKUP($S$477,'TAR FIN'!$A$1:$O$95,15,0))</f>
        <v>0</v>
      </c>
      <c r="W477" s="77">
        <f>IF(ISERROR(VLOOKUP($T$477,'TAR FIN'!$A$1:$O$95,15,0)),0,VLOOKUP($T$477,'TAR FIN'!$A$1:$O$95,15,0))*(1-0.09)</f>
        <v>1305.6588999999999</v>
      </c>
      <c r="X477" s="77">
        <f>IF(ISERROR(VLOOKUP($U$477,'TAR FIN'!$A$1:$O$95,15,0)),0,VLOOKUP($U$477,'TAR FIN'!$A$1:$O$95,15,0))*(1-0.09)</f>
        <v>354.2448</v>
      </c>
      <c r="Y477" s="77"/>
      <c r="Z477" s="77">
        <f ca="1">('TUSD BE'!$AM$16+'TUSD BF'!$AM$16+'TUSD CVA'!$AM$16)*1*(1-0.06)</f>
        <v>1509.6321335379348</v>
      </c>
      <c r="AA477" s="77">
        <f>('TE BE'!$AA$7+'TE BF'!$AA$7+'TE CVA'!$AA$7)*1*(1-0.06)</f>
        <v>427.06885385270027</v>
      </c>
      <c r="AB477" s="77">
        <f>(SUBSIDIO!$J$477*SUBSIDIO!$V$477)*(0.09)/(1-0.09)</f>
        <v>0</v>
      </c>
      <c r="AC477" s="77">
        <f>((SUBSIDIO!$L$477*SUBSIDIO!$W$477)+(SUBSIDIO!$N$477*SUBSIDIO!$X$477))*(0.09)/(1-0.09)</f>
        <v>8944.7650217999981</v>
      </c>
      <c r="AD477" s="77">
        <f>(SUBSIDIO!$J$477*SUBSIDIO!$Y$477)*(0.06)/(1-0.06)</f>
        <v>0</v>
      </c>
      <c r="AE477" s="77">
        <f ca="1">((SUBSIDIO!$L$477*SUBSIDIO!$Z$477)+(SUBSIDIO!$N$477*SUBSIDIO!$AA$477))*(0.06)/(1-0.06)</f>
        <v>6735.5163829127323</v>
      </c>
      <c r="AF477" s="4" t="s">
        <v>842</v>
      </c>
    </row>
    <row r="478" spans="1:32" ht="11.25" customHeight="1" x14ac:dyDescent="0.25">
      <c r="A478" s="4" t="s">
        <v>21</v>
      </c>
      <c r="B478" s="4" t="s">
        <v>35</v>
      </c>
      <c r="C478" s="4" t="s">
        <v>36</v>
      </c>
      <c r="D478" s="4" t="s">
        <v>52</v>
      </c>
      <c r="E478" s="4" t="s">
        <v>53</v>
      </c>
      <c r="F478" s="4" t="s">
        <v>25</v>
      </c>
      <c r="G478" s="4" t="s">
        <v>25</v>
      </c>
      <c r="H478" s="4" t="s">
        <v>37</v>
      </c>
      <c r="I478" s="5">
        <v>44440</v>
      </c>
      <c r="J478" s="6">
        <v>0</v>
      </c>
      <c r="K478" s="77">
        <v>0</v>
      </c>
      <c r="L478" s="6">
        <v>106.461</v>
      </c>
      <c r="M478" s="77">
        <v>106.461</v>
      </c>
      <c r="N478" s="6">
        <v>106.461</v>
      </c>
      <c r="O478" s="77">
        <v>106.461</v>
      </c>
      <c r="P478" s="6">
        <v>0</v>
      </c>
      <c r="Q478" s="4" t="s">
        <v>26</v>
      </c>
      <c r="R478" s="4">
        <v>0</v>
      </c>
      <c r="S478" s="4">
        <v>0</v>
      </c>
      <c r="T478" s="4">
        <v>24</v>
      </c>
      <c r="U478" s="4">
        <v>66</v>
      </c>
      <c r="V478" s="77">
        <f>IF(ISERROR(VLOOKUP($S$478,'TAR FIN'!$A$1:$O$95,15,0)),0,VLOOKUP($S$478,'TAR FIN'!$A$1:$O$95,15,0))</f>
        <v>0</v>
      </c>
      <c r="W478" s="77">
        <f>IF(ISERROR(VLOOKUP($T$478,'TAR FIN'!$A$1:$O$95,15,0)),0,VLOOKUP($T$478,'TAR FIN'!$A$1:$O$95,15,0))*(1-0.09)</f>
        <v>1305.6588999999999</v>
      </c>
      <c r="X478" s="77">
        <f>IF(ISERROR(VLOOKUP($U$478,'TAR FIN'!$A$1:$O$95,15,0)),0,VLOOKUP($U$478,'TAR FIN'!$A$1:$O$95,15,0))*(1-0.09)</f>
        <v>354.2448</v>
      </c>
      <c r="Y478" s="77"/>
      <c r="Z478" s="77">
        <f ca="1">('TUSD BE'!$AM$16+'TUSD BF'!$AM$16+'TUSD CVA'!$AM$16)*1*(1-0.06)</f>
        <v>1509.6321335379348</v>
      </c>
      <c r="AA478" s="77">
        <f>('TE BE'!$AA$7+'TE BF'!$AA$7+'TE CVA'!$AA$7)*1*(1-0.06)</f>
        <v>427.06885385270027</v>
      </c>
      <c r="AB478" s="77">
        <f>(SUBSIDIO!$J$478*SUBSIDIO!$V$478)*(0.09)/(1-0.09)</f>
        <v>0</v>
      </c>
      <c r="AC478" s="77">
        <f>((SUBSIDIO!$L$478*SUBSIDIO!$W$478)+(SUBSIDIO!$N$478*SUBSIDIO!$X$478))*(0.09)/(1-0.09)</f>
        <v>17477.308464299997</v>
      </c>
      <c r="AD478" s="77">
        <f>(SUBSIDIO!$J$478*SUBSIDIO!$Y$478)*(0.06)/(1-0.06)</f>
        <v>0</v>
      </c>
      <c r="AE478" s="77">
        <f ca="1">((SUBSIDIO!$L$478*SUBSIDIO!$Z$478)+(SUBSIDIO!$N$478*SUBSIDIO!$AA$478))*(0.06)/(1-0.06)</f>
        <v>13160.624924591131</v>
      </c>
      <c r="AF478" s="4" t="s">
        <v>842</v>
      </c>
    </row>
    <row r="479" spans="1:32" ht="11.25" customHeight="1" x14ac:dyDescent="0.25">
      <c r="A479" s="4" t="s">
        <v>28</v>
      </c>
      <c r="B479" s="4" t="s">
        <v>35</v>
      </c>
      <c r="C479" s="4" t="s">
        <v>36</v>
      </c>
      <c r="D479" s="4" t="s">
        <v>52</v>
      </c>
      <c r="E479" s="4" t="s">
        <v>53</v>
      </c>
      <c r="F479" s="4" t="s">
        <v>25</v>
      </c>
      <c r="G479" s="4" t="s">
        <v>25</v>
      </c>
      <c r="H479" s="4" t="s">
        <v>37</v>
      </c>
      <c r="I479" s="5">
        <v>44440</v>
      </c>
      <c r="J479" s="6">
        <v>0</v>
      </c>
      <c r="K479" s="77">
        <v>0</v>
      </c>
      <c r="L479" s="6">
        <v>53.558</v>
      </c>
      <c r="M479" s="77">
        <v>53.558</v>
      </c>
      <c r="N479" s="6">
        <v>53.558</v>
      </c>
      <c r="O479" s="77">
        <v>53.558</v>
      </c>
      <c r="P479" s="6">
        <v>0</v>
      </c>
      <c r="Q479" s="4" t="s">
        <v>26</v>
      </c>
      <c r="R479" s="4">
        <v>0</v>
      </c>
      <c r="S479" s="4">
        <v>0</v>
      </c>
      <c r="T479" s="4">
        <v>24</v>
      </c>
      <c r="U479" s="4">
        <v>66</v>
      </c>
      <c r="V479" s="77">
        <f>IF(ISERROR(VLOOKUP($S$479,'TAR FIN'!$A$1:$O$95,15,0)),0,VLOOKUP($S$479,'TAR FIN'!$A$1:$O$95,15,0))</f>
        <v>0</v>
      </c>
      <c r="W479" s="77">
        <f>IF(ISERROR(VLOOKUP($T$479,'TAR FIN'!$A$1:$O$95,15,0)),0,VLOOKUP($T$479,'TAR FIN'!$A$1:$O$95,15,0))*(1-0.09)</f>
        <v>1305.6588999999999</v>
      </c>
      <c r="X479" s="77">
        <f>IF(ISERROR(VLOOKUP($U$479,'TAR FIN'!$A$1:$O$95,15,0)),0,VLOOKUP($U$479,'TAR FIN'!$A$1:$O$95,15,0))*(1-0.09)</f>
        <v>354.2448</v>
      </c>
      <c r="Y479" s="77"/>
      <c r="Z479" s="77">
        <f ca="1">('TUSD BE'!$AM$16+'TUSD BF'!$AM$16+'TUSD CVA'!$AM$16)*1*(1-0.06)</f>
        <v>1509.6321335379348</v>
      </c>
      <c r="AA479" s="77">
        <f>('TE BE'!$AA$7+'TE BF'!$AA$7+'TE CVA'!$AA$7)*1*(1-0.06)</f>
        <v>427.06885385270027</v>
      </c>
      <c r="AB479" s="77">
        <f>(SUBSIDIO!$J$479*SUBSIDIO!$V$479)*(0.09)/(1-0.09)</f>
        <v>0</v>
      </c>
      <c r="AC479" s="77">
        <f>((SUBSIDIO!$L$479*SUBSIDIO!$W$479)+(SUBSIDIO!$N$479*SUBSIDIO!$X$479))*(0.09)/(1-0.09)</f>
        <v>8792.4186953999997</v>
      </c>
      <c r="AD479" s="77">
        <f>(SUBSIDIO!$J$479*SUBSIDIO!$Y$479)*(0.06)/(1-0.06)</f>
        <v>0</v>
      </c>
      <c r="AE479" s="77">
        <f ca="1">((SUBSIDIO!$L$479*SUBSIDIO!$Z$479)+(SUBSIDIO!$N$479*SUBSIDIO!$AA$479))*(0.06)/(1-0.06)</f>
        <v>6620.7977542128274</v>
      </c>
      <c r="AF479" s="4" t="s">
        <v>842</v>
      </c>
    </row>
    <row r="480" spans="1:32" ht="11.25" customHeight="1" x14ac:dyDescent="0.25">
      <c r="A480" s="4" t="s">
        <v>59</v>
      </c>
      <c r="B480" s="4" t="s">
        <v>35</v>
      </c>
      <c r="C480" s="4" t="s">
        <v>36</v>
      </c>
      <c r="D480" s="4" t="s">
        <v>52</v>
      </c>
      <c r="E480" s="4" t="s">
        <v>53</v>
      </c>
      <c r="F480" s="4" t="s">
        <v>25</v>
      </c>
      <c r="G480" s="4" t="s">
        <v>25</v>
      </c>
      <c r="H480" s="4" t="s">
        <v>37</v>
      </c>
      <c r="I480" s="5">
        <v>44470</v>
      </c>
      <c r="J480" s="6">
        <v>0</v>
      </c>
      <c r="K480" s="77">
        <v>0</v>
      </c>
      <c r="L480" s="6">
        <v>106.461</v>
      </c>
      <c r="M480" s="77">
        <v>106.461</v>
      </c>
      <c r="N480" s="6">
        <v>106.461</v>
      </c>
      <c r="O480" s="77">
        <v>106.461</v>
      </c>
      <c r="P480" s="6">
        <v>0</v>
      </c>
      <c r="Q480" s="4" t="s">
        <v>26</v>
      </c>
      <c r="R480" s="4">
        <v>0</v>
      </c>
      <c r="S480" s="4">
        <v>0</v>
      </c>
      <c r="T480" s="4">
        <v>24</v>
      </c>
      <c r="U480" s="4">
        <v>66</v>
      </c>
      <c r="V480" s="77">
        <f>IF(ISERROR(VLOOKUP($S$480,'TAR FIN'!$A$1:$O$95,15,0)),0,VLOOKUP($S$480,'TAR FIN'!$A$1:$O$95,15,0))</f>
        <v>0</v>
      </c>
      <c r="W480" s="77">
        <f>IF(ISERROR(VLOOKUP($T$480,'TAR FIN'!$A$1:$O$95,15,0)),0,VLOOKUP($T$480,'TAR FIN'!$A$1:$O$95,15,0))*(1-0.09)</f>
        <v>1305.6588999999999</v>
      </c>
      <c r="X480" s="77">
        <f>IF(ISERROR(VLOOKUP($U$480,'TAR FIN'!$A$1:$O$95,15,0)),0,VLOOKUP($U$480,'TAR FIN'!$A$1:$O$95,15,0))*(1-0.09)</f>
        <v>354.2448</v>
      </c>
      <c r="Y480" s="77"/>
      <c r="Z480" s="77">
        <f ca="1">('TUSD BE'!$AM$16+'TUSD BF'!$AM$16+'TUSD CVA'!$AM$16)*1*(1-0.06)</f>
        <v>1509.6321335379348</v>
      </c>
      <c r="AA480" s="77">
        <f>('TE BE'!$AA$7+'TE BF'!$AA$7+'TE CVA'!$AA$7)*1*(1-0.06)</f>
        <v>427.06885385270027</v>
      </c>
      <c r="AB480" s="77">
        <f>(SUBSIDIO!$J$480*SUBSIDIO!$V$480)*(0.09)/(1-0.09)</f>
        <v>0</v>
      </c>
      <c r="AC480" s="77">
        <f>((SUBSIDIO!$L$480*SUBSIDIO!$W$480)+(SUBSIDIO!$N$480*SUBSIDIO!$X$480))*(0.09)/(1-0.09)</f>
        <v>17477.308464299997</v>
      </c>
      <c r="AD480" s="77">
        <f>(SUBSIDIO!$J$480*SUBSIDIO!$Y$480)*(0.06)/(1-0.06)</f>
        <v>0</v>
      </c>
      <c r="AE480" s="77">
        <f ca="1">((SUBSIDIO!$L$480*SUBSIDIO!$Z$480)+(SUBSIDIO!$N$480*SUBSIDIO!$AA$480))*(0.06)/(1-0.06)</f>
        <v>13160.624924591131</v>
      </c>
      <c r="AF480" s="4" t="s">
        <v>842</v>
      </c>
    </row>
    <row r="481" spans="1:32" ht="11.25" customHeight="1" x14ac:dyDescent="0.25">
      <c r="A481" s="4" t="s">
        <v>59</v>
      </c>
      <c r="B481" s="4" t="s">
        <v>35</v>
      </c>
      <c r="C481" s="4" t="s">
        <v>36</v>
      </c>
      <c r="D481" s="4" t="s">
        <v>52</v>
      </c>
      <c r="E481" s="4" t="s">
        <v>53</v>
      </c>
      <c r="F481" s="4" t="s">
        <v>25</v>
      </c>
      <c r="G481" s="4" t="s">
        <v>25</v>
      </c>
      <c r="H481" s="4" t="s">
        <v>37</v>
      </c>
      <c r="I481" s="5">
        <v>44470</v>
      </c>
      <c r="J481" s="6">
        <v>0</v>
      </c>
      <c r="K481" s="77">
        <v>0</v>
      </c>
      <c r="L481" s="6">
        <v>53.558</v>
      </c>
      <c r="M481" s="77">
        <v>53.558</v>
      </c>
      <c r="N481" s="6">
        <v>53.558</v>
      </c>
      <c r="O481" s="77">
        <v>53.558</v>
      </c>
      <c r="P481" s="6">
        <v>0</v>
      </c>
      <c r="Q481" s="4" t="s">
        <v>26</v>
      </c>
      <c r="R481" s="4">
        <v>0</v>
      </c>
      <c r="S481" s="4">
        <v>0</v>
      </c>
      <c r="T481" s="4">
        <v>24</v>
      </c>
      <c r="U481" s="4">
        <v>66</v>
      </c>
      <c r="V481" s="77">
        <f>IF(ISERROR(VLOOKUP($S$481,'TAR FIN'!$A$1:$O$95,15,0)),0,VLOOKUP($S$481,'TAR FIN'!$A$1:$O$95,15,0))</f>
        <v>0</v>
      </c>
      <c r="W481" s="77">
        <f>IF(ISERROR(VLOOKUP($T$481,'TAR FIN'!$A$1:$O$95,15,0)),0,VLOOKUP($T$481,'TAR FIN'!$A$1:$O$95,15,0))*(1-0.09)</f>
        <v>1305.6588999999999</v>
      </c>
      <c r="X481" s="77">
        <f>IF(ISERROR(VLOOKUP($U$481,'TAR FIN'!$A$1:$O$95,15,0)),0,VLOOKUP($U$481,'TAR FIN'!$A$1:$O$95,15,0))*(1-0.09)</f>
        <v>354.2448</v>
      </c>
      <c r="Y481" s="77"/>
      <c r="Z481" s="77">
        <f ca="1">('TUSD BE'!$AM$16+'TUSD BF'!$AM$16+'TUSD CVA'!$AM$16)*1*(1-0.06)</f>
        <v>1509.6321335379348</v>
      </c>
      <c r="AA481" s="77">
        <f>('TE BE'!$AA$7+'TE BF'!$AA$7+'TE CVA'!$AA$7)*1*(1-0.06)</f>
        <v>427.06885385270027</v>
      </c>
      <c r="AB481" s="77">
        <f>(SUBSIDIO!$J$481*SUBSIDIO!$V$481)*(0.09)/(1-0.09)</f>
        <v>0</v>
      </c>
      <c r="AC481" s="77">
        <f>((SUBSIDIO!$L$481*SUBSIDIO!$W$481)+(SUBSIDIO!$N$481*SUBSIDIO!$X$481))*(0.09)/(1-0.09)</f>
        <v>8792.4186953999997</v>
      </c>
      <c r="AD481" s="77">
        <f>(SUBSIDIO!$J$481*SUBSIDIO!$Y$481)*(0.06)/(1-0.06)</f>
        <v>0</v>
      </c>
      <c r="AE481" s="77">
        <f ca="1">((SUBSIDIO!$L$481*SUBSIDIO!$Z$481)+(SUBSIDIO!$N$481*SUBSIDIO!$AA$481))*(0.06)/(1-0.06)</f>
        <v>6620.7977542128274</v>
      </c>
      <c r="AF481" s="4" t="s">
        <v>842</v>
      </c>
    </row>
    <row r="482" spans="1:32" ht="11.25" customHeight="1" x14ac:dyDescent="0.25">
      <c r="A482" s="4" t="s">
        <v>21</v>
      </c>
      <c r="B482" s="4" t="s">
        <v>22</v>
      </c>
      <c r="C482" s="4" t="s">
        <v>23</v>
      </c>
      <c r="D482" s="4" t="s">
        <v>24</v>
      </c>
      <c r="E482" s="4" t="s">
        <v>24</v>
      </c>
      <c r="F482" s="4" t="s">
        <v>25</v>
      </c>
      <c r="G482" s="4" t="s">
        <v>25</v>
      </c>
      <c r="H482" s="4" t="s">
        <v>25</v>
      </c>
      <c r="I482" s="5">
        <v>44136</v>
      </c>
      <c r="J482" s="6">
        <v>0</v>
      </c>
      <c r="K482" s="6">
        <v>0</v>
      </c>
      <c r="L482" s="6">
        <v>126656.876</v>
      </c>
      <c r="M482" s="6">
        <v>126656.876</v>
      </c>
      <c r="N482" s="6">
        <v>126656.876</v>
      </c>
      <c r="O482" s="6">
        <v>126656.876</v>
      </c>
      <c r="P482" s="6">
        <v>519289</v>
      </c>
      <c r="Q482" s="4" t="s">
        <v>26</v>
      </c>
      <c r="R482" s="4">
        <v>0</v>
      </c>
      <c r="S482" s="4">
        <v>0</v>
      </c>
      <c r="T482" s="4">
        <v>13</v>
      </c>
      <c r="U482" s="4">
        <v>58</v>
      </c>
      <c r="V482" s="6">
        <f>IF(ISERROR(VLOOKUP($S$482,'TAR FIN'!$A$1:$O$95,15,0)),0,VLOOKUP($S$482,'TAR FIN'!$A$1:$O$95,15,0))</f>
        <v>0</v>
      </c>
      <c r="W482" s="6">
        <f>IF(ISERROR(VLOOKUP($T$482,'TAR FIN'!$A$1:$O$95,15,0)),0,VLOOKUP($T$482,'TAR FIN'!$A$1:$O$95,15,0))</f>
        <v>450.19</v>
      </c>
      <c r="X482" s="6">
        <f>IF(ISERROR(VLOOKUP($U$482,'TAR FIN'!$A$1:$O$95,15,0)),0,VLOOKUP($U$482,'TAR FIN'!$A$1:$O$95,15,0))</f>
        <v>243.3</v>
      </c>
      <c r="Y482" s="6"/>
      <c r="Z482" s="6">
        <f ca="1">('TUSD BE'!$AM$25+'TUSD BF'!$AM$25+'TUSD CVA'!$AM$25)*1</f>
        <v>506.5198438752322</v>
      </c>
      <c r="AA482" s="6">
        <f>('TE BE'!$AA$13+'TE BF'!$AA$13+'TE CVA'!$AA$13)*1</f>
        <v>297.20166373463735</v>
      </c>
      <c r="AB482" s="6">
        <f t="shared" ref="AB482:AB513" si="18">(J482-K482)*V482</f>
        <v>0</v>
      </c>
      <c r="AC482" s="6">
        <f t="shared" ref="AC482" si="19">(L482-M482)*W482+(N482-O482)*X482</f>
        <v>0</v>
      </c>
      <c r="AD482" s="6">
        <f t="shared" ref="AD482:AD513" si="20">(J482-K482)*Y482</f>
        <v>0</v>
      </c>
      <c r="AE482" s="6">
        <f t="shared" ref="AE482" ca="1" si="21">(L482-M482)*Z482+(N482-O482)*AA482</f>
        <v>0</v>
      </c>
    </row>
    <row r="483" spans="1:32" ht="11.25" customHeight="1" x14ac:dyDescent="0.25">
      <c r="A483" s="4" t="s">
        <v>21</v>
      </c>
      <c r="B483" s="4" t="s">
        <v>22</v>
      </c>
      <c r="C483" s="4" t="s">
        <v>23</v>
      </c>
      <c r="D483" s="4" t="s">
        <v>24</v>
      </c>
      <c r="E483" s="4" t="s">
        <v>31</v>
      </c>
      <c r="F483" s="4" t="s">
        <v>25</v>
      </c>
      <c r="G483" s="4" t="s">
        <v>25</v>
      </c>
      <c r="H483" s="4" t="s">
        <v>25</v>
      </c>
      <c r="I483" s="5">
        <v>44136</v>
      </c>
      <c r="J483" s="6">
        <v>0</v>
      </c>
      <c r="K483" s="6">
        <v>0</v>
      </c>
      <c r="L483" s="6">
        <v>2276.748</v>
      </c>
      <c r="M483" s="6">
        <v>2276.748</v>
      </c>
      <c r="N483" s="6">
        <v>2276.748</v>
      </c>
      <c r="O483" s="6">
        <v>2276.748</v>
      </c>
      <c r="P483" s="6">
        <v>18863</v>
      </c>
      <c r="Q483" s="4" t="s">
        <v>26</v>
      </c>
      <c r="R483" s="4">
        <v>0</v>
      </c>
      <c r="S483" s="4">
        <v>0</v>
      </c>
      <c r="T483" s="4">
        <v>9</v>
      </c>
      <c r="U483" s="4">
        <v>59</v>
      </c>
      <c r="V483" s="6">
        <f>IF(ISERROR(VLOOKUP($S$483,'TAR FIN'!$A$1:$O$95,15,0)),0,VLOOKUP($S$483,'TAR FIN'!$A$1:$O$95,15,0))</f>
        <v>0</v>
      </c>
      <c r="W483" s="6">
        <f>IF(ISERROR(VLOOKUP($T$483,'TAR FIN'!$A$1:$O$95,15,0)),0,VLOOKUP($T$483,'TAR FIN'!$A$1:$O$95,15,0))</f>
        <v>147.13999999999999</v>
      </c>
      <c r="X483" s="6">
        <f>IF(ISERROR(VLOOKUP($U$483,'TAR FIN'!$A$1:$O$95,15,0)),0,VLOOKUP($U$483,'TAR FIN'!$A$1:$O$95,15,0))</f>
        <v>85.16</v>
      </c>
      <c r="Y483" s="6"/>
      <c r="Z483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483" s="6">
        <f>('TE BE'!$AA$14+'TE BF'!$AA$14+'TE CVA'!$AA$14)*(1-CUSTOS!$M$34)</f>
        <v>104.02058230712306</v>
      </c>
      <c r="AB483" s="6">
        <f t="shared" si="18"/>
        <v>0</v>
      </c>
      <c r="AC483" s="6">
        <f>(L483-M483)*(W483+X483)+($W$660+$X$660-$W$483-$X$483)*(L483)</f>
        <v>982166.31972000026</v>
      </c>
      <c r="AD483" s="6">
        <f t="shared" si="20"/>
        <v>0</v>
      </c>
      <c r="AE483" s="6">
        <f ca="1">(L483-M483)*(Z483+AA483)+($Z$660+$AA$660-$Z$483-$AA$483)*(L483)</f>
        <v>1120630.3007502474</v>
      </c>
      <c r="AF483" s="4" t="s">
        <v>845</v>
      </c>
    </row>
    <row r="484" spans="1:32" ht="11.25" customHeight="1" x14ac:dyDescent="0.25">
      <c r="A484" s="4" t="s">
        <v>27</v>
      </c>
      <c r="B484" s="4" t="s">
        <v>22</v>
      </c>
      <c r="C484" s="4" t="s">
        <v>23</v>
      </c>
      <c r="D484" s="4" t="s">
        <v>24</v>
      </c>
      <c r="E484" s="4" t="s">
        <v>31</v>
      </c>
      <c r="F484" s="4" t="s">
        <v>25</v>
      </c>
      <c r="G484" s="4" t="s">
        <v>25</v>
      </c>
      <c r="H484" s="4" t="s">
        <v>25</v>
      </c>
      <c r="I484" s="5">
        <v>44136</v>
      </c>
      <c r="J484" s="6">
        <v>0</v>
      </c>
      <c r="K484" s="6">
        <v>0</v>
      </c>
      <c r="L484" s="6">
        <v>-4.38</v>
      </c>
      <c r="M484" s="6">
        <v>-4.38</v>
      </c>
      <c r="N484" s="6">
        <v>-4.38</v>
      </c>
      <c r="O484" s="6">
        <v>-4.38</v>
      </c>
      <c r="P484" s="6">
        <v>-250</v>
      </c>
      <c r="Q484" s="4" t="s">
        <v>26</v>
      </c>
      <c r="R484" s="4">
        <v>0</v>
      </c>
      <c r="S484" s="4">
        <v>0</v>
      </c>
      <c r="T484" s="4">
        <v>9</v>
      </c>
      <c r="U484" s="4">
        <v>59</v>
      </c>
      <c r="V484" s="6">
        <f>IF(ISERROR(VLOOKUP($S$484,'TAR FIN'!$A$1:$O$95,15,0)),0,VLOOKUP($S$484,'TAR FIN'!$A$1:$O$95,15,0))</f>
        <v>0</v>
      </c>
      <c r="W484" s="6">
        <f>IF(ISERROR(VLOOKUP($T$484,'TAR FIN'!$A$1:$O$95,15,0)),0,VLOOKUP($T$484,'TAR FIN'!$A$1:$O$95,15,0))</f>
        <v>147.13999999999999</v>
      </c>
      <c r="X484" s="6">
        <f>IF(ISERROR(VLOOKUP($U$484,'TAR FIN'!$A$1:$O$95,15,0)),0,VLOOKUP($U$484,'TAR FIN'!$A$1:$O$95,15,0))</f>
        <v>85.16</v>
      </c>
      <c r="Y484" s="6"/>
      <c r="Z484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484" s="6">
        <f>('TE BE'!$AA$14+'TE BF'!$AA$14+'TE CVA'!$AA$14)*(1-CUSTOS!$M$34)</f>
        <v>104.02058230712306</v>
      </c>
      <c r="AB484" s="6">
        <f t="shared" si="18"/>
        <v>0</v>
      </c>
      <c r="AC484" s="6">
        <f>(L484-M484)*(W484+X484)+($W$660+$X$660-$W$484-$X$484)*(L484)</f>
        <v>-1889.4882000000005</v>
      </c>
      <c r="AD484" s="6">
        <f t="shared" si="20"/>
        <v>0</v>
      </c>
      <c r="AE484" s="6">
        <f ca="1">(L484-M484)*(Z484+AA484)+($Z$660+$AA$660-$Z$484-$AA$484)*(L484)</f>
        <v>-2155.8647321908629</v>
      </c>
      <c r="AF484" s="4" t="s">
        <v>845</v>
      </c>
    </row>
    <row r="485" spans="1:32" ht="11.25" customHeight="1" x14ac:dyDescent="0.25">
      <c r="A485" s="4" t="s">
        <v>28</v>
      </c>
      <c r="B485" s="4" t="s">
        <v>22</v>
      </c>
      <c r="C485" s="4" t="s">
        <v>23</v>
      </c>
      <c r="D485" s="4" t="s">
        <v>24</v>
      </c>
      <c r="E485" s="4" t="s">
        <v>31</v>
      </c>
      <c r="F485" s="4" t="s">
        <v>25</v>
      </c>
      <c r="G485" s="4" t="s">
        <v>25</v>
      </c>
      <c r="H485" s="4" t="s">
        <v>25</v>
      </c>
      <c r="I485" s="5">
        <v>44136</v>
      </c>
      <c r="J485" s="6">
        <v>0</v>
      </c>
      <c r="K485" s="6">
        <v>0</v>
      </c>
      <c r="L485" s="6">
        <v>3594.8150000000001</v>
      </c>
      <c r="M485" s="6">
        <v>3594.8150000000001</v>
      </c>
      <c r="N485" s="6">
        <v>3594.8150000000001</v>
      </c>
      <c r="O485" s="6">
        <v>3594.8150000000001</v>
      </c>
      <c r="P485" s="6">
        <v>26606</v>
      </c>
      <c r="Q485" s="4" t="s">
        <v>26</v>
      </c>
      <c r="R485" s="4">
        <v>0</v>
      </c>
      <c r="S485" s="4">
        <v>0</v>
      </c>
      <c r="T485" s="4">
        <v>9</v>
      </c>
      <c r="U485" s="4">
        <v>59</v>
      </c>
      <c r="V485" s="6">
        <f>IF(ISERROR(VLOOKUP($S$485,'TAR FIN'!$A$1:$O$95,15,0)),0,VLOOKUP($S$485,'TAR FIN'!$A$1:$O$95,15,0))</f>
        <v>0</v>
      </c>
      <c r="W485" s="6">
        <f>IF(ISERROR(VLOOKUP($T$485,'TAR FIN'!$A$1:$O$95,15,0)),0,VLOOKUP($T$485,'TAR FIN'!$A$1:$O$95,15,0))</f>
        <v>147.13999999999999</v>
      </c>
      <c r="X485" s="6">
        <f>IF(ISERROR(VLOOKUP($U$485,'TAR FIN'!$A$1:$O$95,15,0)),0,VLOOKUP($U$485,'TAR FIN'!$A$1:$O$95,15,0))</f>
        <v>85.16</v>
      </c>
      <c r="Y485" s="6"/>
      <c r="Z485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485" s="6">
        <f>('TE BE'!$AA$14+'TE BF'!$AA$14+'TE CVA'!$AA$14)*(1-CUSTOS!$M$34)</f>
        <v>104.02058230712306</v>
      </c>
      <c r="AB485" s="6">
        <f t="shared" si="18"/>
        <v>0</v>
      </c>
      <c r="AC485" s="6">
        <f>(L485-M485)*(W485+X485)+($W$660+$X$660-$W$485-$X$485)*(L485)</f>
        <v>1550767.2428500003</v>
      </c>
      <c r="AD485" s="6">
        <f t="shared" si="20"/>
        <v>0</v>
      </c>
      <c r="AE485" s="6">
        <f ca="1">(L485-M485)*(Z485+AA485)+($Z$660+$AA$660-$Z$485-$AA$485)*(L485)</f>
        <v>1769391.5244864607</v>
      </c>
      <c r="AF485" s="4" t="s">
        <v>845</v>
      </c>
    </row>
    <row r="486" spans="1:32" ht="11.25" customHeight="1" x14ac:dyDescent="0.25">
      <c r="A486" s="4" t="s">
        <v>29</v>
      </c>
      <c r="B486" s="4" t="s">
        <v>22</v>
      </c>
      <c r="C486" s="4" t="s">
        <v>23</v>
      </c>
      <c r="D486" s="4" t="s">
        <v>24</v>
      </c>
      <c r="E486" s="4" t="s">
        <v>31</v>
      </c>
      <c r="F486" s="4" t="s">
        <v>25</v>
      </c>
      <c r="G486" s="4" t="s">
        <v>25</v>
      </c>
      <c r="H486" s="4" t="s">
        <v>25</v>
      </c>
      <c r="I486" s="5">
        <v>44136</v>
      </c>
      <c r="J486" s="6">
        <v>0</v>
      </c>
      <c r="K486" s="6">
        <v>0</v>
      </c>
      <c r="L486" s="6">
        <v>-2.19</v>
      </c>
      <c r="M486" s="6">
        <v>-2.19</v>
      </c>
      <c r="N486" s="6">
        <v>-2.19</v>
      </c>
      <c r="O486" s="6">
        <v>-2.19</v>
      </c>
      <c r="P486" s="6">
        <v>-60</v>
      </c>
      <c r="Q486" s="4" t="s">
        <v>26</v>
      </c>
      <c r="R486" s="4">
        <v>0</v>
      </c>
      <c r="S486" s="4">
        <v>0</v>
      </c>
      <c r="T486" s="4">
        <v>9</v>
      </c>
      <c r="U486" s="4">
        <v>59</v>
      </c>
      <c r="V486" s="6">
        <f>IF(ISERROR(VLOOKUP($S$486,'TAR FIN'!$A$1:$O$95,15,0)),0,VLOOKUP($S$486,'TAR FIN'!$A$1:$O$95,15,0))</f>
        <v>0</v>
      </c>
      <c r="W486" s="6">
        <f>IF(ISERROR(VLOOKUP($T$486,'TAR FIN'!$A$1:$O$95,15,0)),0,VLOOKUP($T$486,'TAR FIN'!$A$1:$O$95,15,0))</f>
        <v>147.13999999999999</v>
      </c>
      <c r="X486" s="6">
        <f>IF(ISERROR(VLOOKUP($U$486,'TAR FIN'!$A$1:$O$95,15,0)),0,VLOOKUP($U$486,'TAR FIN'!$A$1:$O$95,15,0))</f>
        <v>85.16</v>
      </c>
      <c r="Y486" s="6"/>
      <c r="Z486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486" s="6">
        <f>('TE BE'!$AA$14+'TE BF'!$AA$14+'TE CVA'!$AA$14)*(1-CUSTOS!$M$34)</f>
        <v>104.02058230712306</v>
      </c>
      <c r="AB486" s="6">
        <f t="shared" si="18"/>
        <v>0</v>
      </c>
      <c r="AC486" s="6">
        <f>(L486-M486)*(W486+X486)+($W$660+$X$660-$W$486-$X$486)*(L486)</f>
        <v>-944.74410000000023</v>
      </c>
      <c r="AD486" s="6">
        <f t="shared" si="20"/>
        <v>0</v>
      </c>
      <c r="AE486" s="6">
        <f ca="1">(L486-M486)*(Z486+AA486)+($Z$660+$AA$660-$Z$486-$AA$486)*(L486)</f>
        <v>-1077.9323660954315</v>
      </c>
      <c r="AF486" s="4" t="s">
        <v>845</v>
      </c>
    </row>
    <row r="487" spans="1:32" ht="11.25" customHeight="1" x14ac:dyDescent="0.25">
      <c r="A487" s="4" t="s">
        <v>21</v>
      </c>
      <c r="B487" s="4" t="s">
        <v>22</v>
      </c>
      <c r="C487" s="4" t="s">
        <v>23</v>
      </c>
      <c r="D487" s="4" t="s">
        <v>24</v>
      </c>
      <c r="E487" s="4" t="s">
        <v>31</v>
      </c>
      <c r="F487" s="4" t="s">
        <v>25</v>
      </c>
      <c r="G487" s="4" t="s">
        <v>25</v>
      </c>
      <c r="H487" s="4" t="s">
        <v>25</v>
      </c>
      <c r="I487" s="5">
        <v>44166</v>
      </c>
      <c r="J487" s="6">
        <v>0</v>
      </c>
      <c r="K487" s="6">
        <v>0</v>
      </c>
      <c r="L487" s="6">
        <v>2562.5459999999998</v>
      </c>
      <c r="M487" s="6">
        <v>2562.5459999999998</v>
      </c>
      <c r="N487" s="6">
        <v>2562.5459999999998</v>
      </c>
      <c r="O487" s="6">
        <v>2562.5459999999998</v>
      </c>
      <c r="P487" s="6">
        <v>20260</v>
      </c>
      <c r="Q487" s="4" t="s">
        <v>26</v>
      </c>
      <c r="R487" s="4">
        <v>0</v>
      </c>
      <c r="S487" s="4">
        <v>0</v>
      </c>
      <c r="T487" s="4">
        <v>9</v>
      </c>
      <c r="U487" s="4">
        <v>59</v>
      </c>
      <c r="V487" s="6">
        <f>IF(ISERROR(VLOOKUP($S$487,'TAR FIN'!$A$1:$O$95,15,0)),0,VLOOKUP($S$487,'TAR FIN'!$A$1:$O$95,15,0))</f>
        <v>0</v>
      </c>
      <c r="W487" s="6">
        <f>IF(ISERROR(VLOOKUP($T$487,'TAR FIN'!$A$1:$O$95,15,0)),0,VLOOKUP($T$487,'TAR FIN'!$A$1:$O$95,15,0))</f>
        <v>147.13999999999999</v>
      </c>
      <c r="X487" s="6">
        <f>IF(ISERROR(VLOOKUP($U$487,'TAR FIN'!$A$1:$O$95,15,0)),0,VLOOKUP($U$487,'TAR FIN'!$A$1:$O$95,15,0))</f>
        <v>85.16</v>
      </c>
      <c r="Y487" s="6"/>
      <c r="Z487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487" s="6">
        <f>('TE BE'!$AA$14+'TE BF'!$AA$14+'TE CVA'!$AA$14)*(1-CUSTOS!$M$34)</f>
        <v>104.02058230712306</v>
      </c>
      <c r="AB487" s="6">
        <f t="shared" si="18"/>
        <v>0</v>
      </c>
      <c r="AC487" s="6">
        <f>(L487-M487)*(W487+X487)+($W$660+$X$660-$W$487-$X$487)*(L487)</f>
        <v>1105456.7189400003</v>
      </c>
      <c r="AD487" s="6">
        <f t="shared" si="20"/>
        <v>0</v>
      </c>
      <c r="AE487" s="6">
        <f ca="1">(L487-M487)*(Z487+AA487)+($Z$660+$AA$660-$Z$487-$AA$487)*(L487)</f>
        <v>1261301.9511453807</v>
      </c>
      <c r="AF487" s="4" t="s">
        <v>845</v>
      </c>
    </row>
    <row r="488" spans="1:32" ht="11.25" customHeight="1" x14ac:dyDescent="0.25">
      <c r="A488" s="4" t="s">
        <v>27</v>
      </c>
      <c r="B488" s="4" t="s">
        <v>22</v>
      </c>
      <c r="C488" s="4" t="s">
        <v>23</v>
      </c>
      <c r="D488" s="4" t="s">
        <v>24</v>
      </c>
      <c r="E488" s="4" t="s">
        <v>31</v>
      </c>
      <c r="F488" s="4" t="s">
        <v>25</v>
      </c>
      <c r="G488" s="4" t="s">
        <v>25</v>
      </c>
      <c r="H488" s="4" t="s">
        <v>25</v>
      </c>
      <c r="I488" s="5">
        <v>44166</v>
      </c>
      <c r="J488" s="6">
        <v>0</v>
      </c>
      <c r="K488" s="6">
        <v>0</v>
      </c>
      <c r="L488" s="6">
        <v>-4.28</v>
      </c>
      <c r="M488" s="6">
        <v>-4.28</v>
      </c>
      <c r="N488" s="6">
        <v>-4.28</v>
      </c>
      <c r="O488" s="6">
        <v>-4.28</v>
      </c>
      <c r="P488" s="6">
        <v>0</v>
      </c>
      <c r="Q488" s="4" t="s">
        <v>26</v>
      </c>
      <c r="R488" s="4">
        <v>0</v>
      </c>
      <c r="S488" s="4">
        <v>0</v>
      </c>
      <c r="T488" s="4">
        <v>9</v>
      </c>
      <c r="U488" s="4">
        <v>59</v>
      </c>
      <c r="V488" s="6">
        <f>IF(ISERROR(VLOOKUP($S$488,'TAR FIN'!$A$1:$O$95,15,0)),0,VLOOKUP($S$488,'TAR FIN'!$A$1:$O$95,15,0))</f>
        <v>0</v>
      </c>
      <c r="W488" s="6">
        <f>IF(ISERROR(VLOOKUP($T$488,'TAR FIN'!$A$1:$O$95,15,0)),0,VLOOKUP($T$488,'TAR FIN'!$A$1:$O$95,15,0))</f>
        <v>147.13999999999999</v>
      </c>
      <c r="X488" s="6">
        <f>IF(ISERROR(VLOOKUP($U$488,'TAR FIN'!$A$1:$O$95,15,0)),0,VLOOKUP($U$488,'TAR FIN'!$A$1:$O$95,15,0))</f>
        <v>85.16</v>
      </c>
      <c r="Y488" s="6"/>
      <c r="Z488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488" s="6">
        <f>('TE BE'!$AA$14+'TE BF'!$AA$14+'TE CVA'!$AA$14)*(1-CUSTOS!$M$34)</f>
        <v>104.02058230712306</v>
      </c>
      <c r="AB488" s="6">
        <f t="shared" si="18"/>
        <v>0</v>
      </c>
      <c r="AC488" s="6">
        <f>(L488-M488)*(W488+X488)+($W$660+$X$660-$W$488-$X$488)*(L488)</f>
        <v>-1846.3492000000006</v>
      </c>
      <c r="AD488" s="6">
        <f t="shared" si="20"/>
        <v>0</v>
      </c>
      <c r="AE488" s="6">
        <f ca="1">(L488-M488)*(Z488+AA488)+($Z$660+$AA$660-$Z$488-$AA$488)*(L488)</f>
        <v>-2106.6440762047705</v>
      </c>
      <c r="AF488" s="4" t="s">
        <v>845</v>
      </c>
    </row>
    <row r="489" spans="1:32" ht="11.25" customHeight="1" x14ac:dyDescent="0.25">
      <c r="A489" s="4" t="s">
        <v>28</v>
      </c>
      <c r="B489" s="4" t="s">
        <v>22</v>
      </c>
      <c r="C489" s="4" t="s">
        <v>23</v>
      </c>
      <c r="D489" s="4" t="s">
        <v>24</v>
      </c>
      <c r="E489" s="4" t="s">
        <v>31</v>
      </c>
      <c r="F489" s="4" t="s">
        <v>25</v>
      </c>
      <c r="G489" s="4" t="s">
        <v>25</v>
      </c>
      <c r="H489" s="4" t="s">
        <v>25</v>
      </c>
      <c r="I489" s="5">
        <v>44166</v>
      </c>
      <c r="J489" s="6">
        <v>0</v>
      </c>
      <c r="K489" s="6">
        <v>0</v>
      </c>
      <c r="L489" s="6">
        <v>3857.759</v>
      </c>
      <c r="M489" s="6">
        <v>3857.759</v>
      </c>
      <c r="N489" s="6">
        <v>3857.759</v>
      </c>
      <c r="O489" s="6">
        <v>3857.759</v>
      </c>
      <c r="P489" s="6">
        <v>27235</v>
      </c>
      <c r="Q489" s="4" t="s">
        <v>26</v>
      </c>
      <c r="R489" s="4">
        <v>0</v>
      </c>
      <c r="S489" s="4">
        <v>0</v>
      </c>
      <c r="T489" s="4">
        <v>9</v>
      </c>
      <c r="U489" s="4">
        <v>59</v>
      </c>
      <c r="V489" s="6">
        <f>IF(ISERROR(VLOOKUP($S$489,'TAR FIN'!$A$1:$O$95,15,0)),0,VLOOKUP($S$489,'TAR FIN'!$A$1:$O$95,15,0))</f>
        <v>0</v>
      </c>
      <c r="W489" s="6">
        <f>IF(ISERROR(VLOOKUP($T$489,'TAR FIN'!$A$1:$O$95,15,0)),0,VLOOKUP($T$489,'TAR FIN'!$A$1:$O$95,15,0))</f>
        <v>147.13999999999999</v>
      </c>
      <c r="X489" s="6">
        <f>IF(ISERROR(VLOOKUP($U$489,'TAR FIN'!$A$1:$O$95,15,0)),0,VLOOKUP($U$489,'TAR FIN'!$A$1:$O$95,15,0))</f>
        <v>85.16</v>
      </c>
      <c r="Y489" s="6"/>
      <c r="Z489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489" s="6">
        <f>('TE BE'!$AA$14+'TE BF'!$AA$14+'TE CVA'!$AA$14)*(1-CUSTOS!$M$34)</f>
        <v>104.02058230712306</v>
      </c>
      <c r="AB489" s="6">
        <f t="shared" si="18"/>
        <v>0</v>
      </c>
      <c r="AC489" s="6">
        <f>(L489-M489)*(W489+X489)+($W$660+$X$660-$W$489-$X$489)*(L489)</f>
        <v>1664198.6550100003</v>
      </c>
      <c r="AD489" s="6">
        <f t="shared" si="20"/>
        <v>0</v>
      </c>
      <c r="AE489" s="6">
        <f ca="1">(L489-M489)*(Z489+AA489)+($Z$660+$AA$660-$Z$489-$AA$489)*(L489)</f>
        <v>1898814.2861625324</v>
      </c>
      <c r="AF489" s="4" t="s">
        <v>845</v>
      </c>
    </row>
    <row r="490" spans="1:32" ht="11.25" customHeight="1" x14ac:dyDescent="0.25">
      <c r="A490" s="4" t="s">
        <v>29</v>
      </c>
      <c r="B490" s="4" t="s">
        <v>22</v>
      </c>
      <c r="C490" s="4" t="s">
        <v>23</v>
      </c>
      <c r="D490" s="4" t="s">
        <v>24</v>
      </c>
      <c r="E490" s="4" t="s">
        <v>31</v>
      </c>
      <c r="F490" s="4" t="s">
        <v>25</v>
      </c>
      <c r="G490" s="4" t="s">
        <v>25</v>
      </c>
      <c r="H490" s="4" t="s">
        <v>25</v>
      </c>
      <c r="I490" s="5">
        <v>44166</v>
      </c>
      <c r="J490" s="6">
        <v>0</v>
      </c>
      <c r="K490" s="6">
        <v>0</v>
      </c>
      <c r="L490" s="6">
        <v>-2.1640000000000001</v>
      </c>
      <c r="M490" s="6">
        <v>-2.1640000000000001</v>
      </c>
      <c r="N490" s="6">
        <v>-2.1640000000000001</v>
      </c>
      <c r="O490" s="6">
        <v>-2.1640000000000001</v>
      </c>
      <c r="P490" s="6">
        <v>0</v>
      </c>
      <c r="Q490" s="4" t="s">
        <v>26</v>
      </c>
      <c r="R490" s="4">
        <v>0</v>
      </c>
      <c r="S490" s="4">
        <v>0</v>
      </c>
      <c r="T490" s="4">
        <v>9</v>
      </c>
      <c r="U490" s="4">
        <v>59</v>
      </c>
      <c r="V490" s="6">
        <f>IF(ISERROR(VLOOKUP($S$490,'TAR FIN'!$A$1:$O$95,15,0)),0,VLOOKUP($S$490,'TAR FIN'!$A$1:$O$95,15,0))</f>
        <v>0</v>
      </c>
      <c r="W490" s="6">
        <f>IF(ISERROR(VLOOKUP($T$490,'TAR FIN'!$A$1:$O$95,15,0)),0,VLOOKUP($T$490,'TAR FIN'!$A$1:$O$95,15,0))</f>
        <v>147.13999999999999</v>
      </c>
      <c r="X490" s="6">
        <f>IF(ISERROR(VLOOKUP($U$490,'TAR FIN'!$A$1:$O$95,15,0)),0,VLOOKUP($U$490,'TAR FIN'!$A$1:$O$95,15,0))</f>
        <v>85.16</v>
      </c>
      <c r="Y490" s="6"/>
      <c r="Z490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490" s="6">
        <f>('TE BE'!$AA$14+'TE BF'!$AA$14+'TE CVA'!$AA$14)*(1-CUSTOS!$M$34)</f>
        <v>104.02058230712306</v>
      </c>
      <c r="AB490" s="6">
        <f t="shared" si="18"/>
        <v>0</v>
      </c>
      <c r="AC490" s="6">
        <f>(L490-M490)*(W490+X490)+($W$660+$X$660-$W$490-$X$490)*(L490)</f>
        <v>-933.52796000000023</v>
      </c>
      <c r="AD490" s="6">
        <f t="shared" si="20"/>
        <v>0</v>
      </c>
      <c r="AE490" s="6">
        <f ca="1">(L490-M490)*(Z490+AA490)+($Z$660+$AA$660-$Z$490-$AA$490)*(L490)</f>
        <v>-1065.1349955390476</v>
      </c>
      <c r="AF490" s="4" t="s">
        <v>845</v>
      </c>
    </row>
    <row r="491" spans="1:32" ht="11.25" customHeight="1" x14ac:dyDescent="0.25">
      <c r="A491" s="4" t="s">
        <v>21</v>
      </c>
      <c r="B491" s="4" t="s">
        <v>22</v>
      </c>
      <c r="C491" s="4" t="s">
        <v>23</v>
      </c>
      <c r="D491" s="4" t="s">
        <v>24</v>
      </c>
      <c r="E491" s="4" t="s">
        <v>31</v>
      </c>
      <c r="F491" s="4" t="s">
        <v>25</v>
      </c>
      <c r="G491" s="4" t="s">
        <v>25</v>
      </c>
      <c r="H491" s="4" t="s">
        <v>25</v>
      </c>
      <c r="I491" s="5">
        <v>44197</v>
      </c>
      <c r="J491" s="6">
        <v>0</v>
      </c>
      <c r="K491" s="6">
        <v>0</v>
      </c>
      <c r="L491" s="6">
        <v>2622.2089999999998</v>
      </c>
      <c r="M491" s="6">
        <v>2622.2089999999998</v>
      </c>
      <c r="N491" s="6">
        <v>2622.2089999999998</v>
      </c>
      <c r="O491" s="6">
        <v>2622.2089999999998</v>
      </c>
      <c r="P491" s="6">
        <v>20589</v>
      </c>
      <c r="Q491" s="4" t="s">
        <v>26</v>
      </c>
      <c r="R491" s="4">
        <v>0</v>
      </c>
      <c r="S491" s="4">
        <v>0</v>
      </c>
      <c r="T491" s="4">
        <v>9</v>
      </c>
      <c r="U491" s="4">
        <v>59</v>
      </c>
      <c r="V491" s="6">
        <f>IF(ISERROR(VLOOKUP($S$491,'TAR FIN'!$A$1:$O$95,15,0)),0,VLOOKUP($S$491,'TAR FIN'!$A$1:$O$95,15,0))</f>
        <v>0</v>
      </c>
      <c r="W491" s="6">
        <f>IF(ISERROR(VLOOKUP($T$491,'TAR FIN'!$A$1:$O$95,15,0)),0,VLOOKUP($T$491,'TAR FIN'!$A$1:$O$95,15,0))</f>
        <v>147.13999999999999</v>
      </c>
      <c r="X491" s="6">
        <f>IF(ISERROR(VLOOKUP($U$491,'TAR FIN'!$A$1:$O$95,15,0)),0,VLOOKUP($U$491,'TAR FIN'!$A$1:$O$95,15,0))</f>
        <v>85.16</v>
      </c>
      <c r="Y491" s="6"/>
      <c r="Z491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491" s="6">
        <f>('TE BE'!$AA$14+'TE BF'!$AA$14+'TE CVA'!$AA$14)*(1-CUSTOS!$M$34)</f>
        <v>104.02058230712306</v>
      </c>
      <c r="AB491" s="6">
        <f t="shared" si="18"/>
        <v>0</v>
      </c>
      <c r="AC491" s="6">
        <f>(L491-M491)*(W491+X491)+($W$660+$X$660-$W$491-$X$491)*(L491)</f>
        <v>1131194.7405100001</v>
      </c>
      <c r="AD491" s="6">
        <f t="shared" si="20"/>
        <v>0</v>
      </c>
      <c r="AE491" s="6">
        <f ca="1">(L491-M491)*(Z491+AA491)+($Z$660+$AA$660-$Z$491-$AA$491)*(L491)</f>
        <v>1290668.4711263631</v>
      </c>
      <c r="AF491" s="4" t="s">
        <v>845</v>
      </c>
    </row>
    <row r="492" spans="1:32" ht="11.25" customHeight="1" x14ac:dyDescent="0.25">
      <c r="A492" s="4" t="s">
        <v>27</v>
      </c>
      <c r="B492" s="4" t="s">
        <v>22</v>
      </c>
      <c r="C492" s="4" t="s">
        <v>23</v>
      </c>
      <c r="D492" s="4" t="s">
        <v>24</v>
      </c>
      <c r="E492" s="4" t="s">
        <v>31</v>
      </c>
      <c r="F492" s="4" t="s">
        <v>25</v>
      </c>
      <c r="G492" s="4" t="s">
        <v>25</v>
      </c>
      <c r="H492" s="4" t="s">
        <v>25</v>
      </c>
      <c r="I492" s="5">
        <v>44197</v>
      </c>
      <c r="J492" s="6">
        <v>0</v>
      </c>
      <c r="K492" s="6">
        <v>0</v>
      </c>
      <c r="L492" s="6">
        <v>-4.1399999999999997</v>
      </c>
      <c r="M492" s="6">
        <v>-4.1399999999999997</v>
      </c>
      <c r="N492" s="6">
        <v>-4.1399999999999997</v>
      </c>
      <c r="O492" s="6">
        <v>-4.1399999999999997</v>
      </c>
      <c r="P492" s="6">
        <v>0</v>
      </c>
      <c r="Q492" s="4" t="s">
        <v>26</v>
      </c>
      <c r="R492" s="4">
        <v>0</v>
      </c>
      <c r="S492" s="4">
        <v>0</v>
      </c>
      <c r="T492" s="4">
        <v>9</v>
      </c>
      <c r="U492" s="4">
        <v>59</v>
      </c>
      <c r="V492" s="6">
        <f>IF(ISERROR(VLOOKUP($S$492,'TAR FIN'!$A$1:$O$95,15,0)),0,VLOOKUP($S$492,'TAR FIN'!$A$1:$O$95,15,0))</f>
        <v>0</v>
      </c>
      <c r="W492" s="6">
        <f>IF(ISERROR(VLOOKUP($T$492,'TAR FIN'!$A$1:$O$95,15,0)),0,VLOOKUP($T$492,'TAR FIN'!$A$1:$O$95,15,0))</f>
        <v>147.13999999999999</v>
      </c>
      <c r="X492" s="6">
        <f>IF(ISERROR(VLOOKUP($U$492,'TAR FIN'!$A$1:$O$95,15,0)),0,VLOOKUP($U$492,'TAR FIN'!$A$1:$O$95,15,0))</f>
        <v>85.16</v>
      </c>
      <c r="Y492" s="6"/>
      <c r="Z492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492" s="6">
        <f>('TE BE'!$AA$14+'TE BF'!$AA$14+'TE CVA'!$AA$14)*(1-CUSTOS!$M$34)</f>
        <v>104.02058230712306</v>
      </c>
      <c r="AB492" s="6">
        <f t="shared" si="18"/>
        <v>0</v>
      </c>
      <c r="AC492" s="6">
        <f>(L492-M492)*(W492+X492)+($W$660+$X$660-$W$492-$X$492)*(L492)</f>
        <v>-1785.9546000000003</v>
      </c>
      <c r="AD492" s="6">
        <f t="shared" si="20"/>
        <v>0</v>
      </c>
      <c r="AE492" s="6">
        <f ca="1">(L492-M492)*(Z492+AA492)+($Z$660+$AA$660-$Z$492-$AA$492)*(L492)</f>
        <v>-2037.7351578242403</v>
      </c>
      <c r="AF492" s="4" t="s">
        <v>845</v>
      </c>
    </row>
    <row r="493" spans="1:32" ht="11.25" customHeight="1" x14ac:dyDescent="0.25">
      <c r="A493" s="4" t="s">
        <v>28</v>
      </c>
      <c r="B493" s="4" t="s">
        <v>22</v>
      </c>
      <c r="C493" s="4" t="s">
        <v>23</v>
      </c>
      <c r="D493" s="4" t="s">
        <v>24</v>
      </c>
      <c r="E493" s="4" t="s">
        <v>31</v>
      </c>
      <c r="F493" s="4" t="s">
        <v>25</v>
      </c>
      <c r="G493" s="4" t="s">
        <v>25</v>
      </c>
      <c r="H493" s="4" t="s">
        <v>25</v>
      </c>
      <c r="I493" s="5">
        <v>44197</v>
      </c>
      <c r="J493" s="6">
        <v>0</v>
      </c>
      <c r="K493" s="6">
        <v>0</v>
      </c>
      <c r="L493" s="6">
        <v>3924.2339999999999</v>
      </c>
      <c r="M493" s="6">
        <v>3924.2339999999999</v>
      </c>
      <c r="N493" s="6">
        <v>3924.2339999999999</v>
      </c>
      <c r="O493" s="6">
        <v>3924.2339999999999</v>
      </c>
      <c r="P493" s="6">
        <v>28895</v>
      </c>
      <c r="Q493" s="4" t="s">
        <v>26</v>
      </c>
      <c r="R493" s="4">
        <v>0</v>
      </c>
      <c r="S493" s="4">
        <v>0</v>
      </c>
      <c r="T493" s="4">
        <v>9</v>
      </c>
      <c r="U493" s="4">
        <v>59</v>
      </c>
      <c r="V493" s="6">
        <f>IF(ISERROR(VLOOKUP($S$493,'TAR FIN'!$A$1:$O$95,15,0)),0,VLOOKUP($S$493,'TAR FIN'!$A$1:$O$95,15,0))</f>
        <v>0</v>
      </c>
      <c r="W493" s="6">
        <f>IF(ISERROR(VLOOKUP($T$493,'TAR FIN'!$A$1:$O$95,15,0)),0,VLOOKUP($T$493,'TAR FIN'!$A$1:$O$95,15,0))</f>
        <v>147.13999999999999</v>
      </c>
      <c r="X493" s="6">
        <f>IF(ISERROR(VLOOKUP($U$493,'TAR FIN'!$A$1:$O$95,15,0)),0,VLOOKUP($U$493,'TAR FIN'!$A$1:$O$95,15,0))</f>
        <v>85.16</v>
      </c>
      <c r="Y493" s="6"/>
      <c r="Z493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493" s="6">
        <f>('TE BE'!$AA$14+'TE BF'!$AA$14+'TE CVA'!$AA$14)*(1-CUSTOS!$M$34)</f>
        <v>104.02058230712306</v>
      </c>
      <c r="AB493" s="6">
        <f t="shared" si="18"/>
        <v>0</v>
      </c>
      <c r="AC493" s="6">
        <f>(L493-M493)*(W493+X493)+($W$660+$X$660-$W$493-$X$493)*(L493)</f>
        <v>1692875.3052600003</v>
      </c>
      <c r="AD493" s="6">
        <f t="shared" si="20"/>
        <v>0</v>
      </c>
      <c r="AE493" s="6">
        <f ca="1">(L493-M493)*(Z493+AA493)+($Z$660+$AA$660-$Z$493-$AA$493)*(L493)</f>
        <v>1931533.7172292876</v>
      </c>
      <c r="AF493" s="4" t="s">
        <v>845</v>
      </c>
    </row>
    <row r="494" spans="1:32" ht="11.25" customHeight="1" x14ac:dyDescent="0.25">
      <c r="A494" s="4" t="s">
        <v>29</v>
      </c>
      <c r="B494" s="4" t="s">
        <v>22</v>
      </c>
      <c r="C494" s="4" t="s">
        <v>23</v>
      </c>
      <c r="D494" s="4" t="s">
        <v>24</v>
      </c>
      <c r="E494" s="4" t="s">
        <v>31</v>
      </c>
      <c r="F494" s="4" t="s">
        <v>25</v>
      </c>
      <c r="G494" s="4" t="s">
        <v>25</v>
      </c>
      <c r="H494" s="4" t="s">
        <v>25</v>
      </c>
      <c r="I494" s="5">
        <v>44197</v>
      </c>
      <c r="J494" s="6">
        <v>0</v>
      </c>
      <c r="K494" s="6">
        <v>0</v>
      </c>
      <c r="L494" s="6">
        <v>-0.42</v>
      </c>
      <c r="M494" s="6">
        <v>-0.42</v>
      </c>
      <c r="N494" s="6">
        <v>-0.42</v>
      </c>
      <c r="O494" s="6">
        <v>-0.42</v>
      </c>
      <c r="P494" s="6">
        <v>0</v>
      </c>
      <c r="Q494" s="4" t="s">
        <v>26</v>
      </c>
      <c r="R494" s="4">
        <v>0</v>
      </c>
      <c r="S494" s="4">
        <v>0</v>
      </c>
      <c r="T494" s="4">
        <v>9</v>
      </c>
      <c r="U494" s="4">
        <v>59</v>
      </c>
      <c r="V494" s="6">
        <f>IF(ISERROR(VLOOKUP($S$494,'TAR FIN'!$A$1:$O$95,15,0)),0,VLOOKUP($S$494,'TAR FIN'!$A$1:$O$95,15,0))</f>
        <v>0</v>
      </c>
      <c r="W494" s="6">
        <f>IF(ISERROR(VLOOKUP($T$494,'TAR FIN'!$A$1:$O$95,15,0)),0,VLOOKUP($T$494,'TAR FIN'!$A$1:$O$95,15,0))</f>
        <v>147.13999999999999</v>
      </c>
      <c r="X494" s="6">
        <f>IF(ISERROR(VLOOKUP($U$494,'TAR FIN'!$A$1:$O$95,15,0)),0,VLOOKUP($U$494,'TAR FIN'!$A$1:$O$95,15,0))</f>
        <v>85.16</v>
      </c>
      <c r="Y494" s="6"/>
      <c r="Z494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494" s="6">
        <f>('TE BE'!$AA$14+'TE BF'!$AA$14+'TE CVA'!$AA$14)*(1-CUSTOS!$M$34)</f>
        <v>104.02058230712306</v>
      </c>
      <c r="AB494" s="6">
        <f t="shared" si="18"/>
        <v>0</v>
      </c>
      <c r="AC494" s="6">
        <f>(L494-M494)*(W494+X494)+($W$660+$X$660-$W$494-$X$494)*(L494)</f>
        <v>-181.18380000000005</v>
      </c>
      <c r="AD494" s="6">
        <f t="shared" si="20"/>
        <v>0</v>
      </c>
      <c r="AE494" s="6">
        <f ca="1">(L494-M494)*(Z494+AA494)+($Z$660+$AA$660-$Z$494-$AA$494)*(L494)</f>
        <v>-206.72675514158962</v>
      </c>
      <c r="AF494" s="4" t="s">
        <v>845</v>
      </c>
    </row>
    <row r="495" spans="1:32" ht="11.25" customHeight="1" x14ac:dyDescent="0.25">
      <c r="A495" s="4" t="s">
        <v>30</v>
      </c>
      <c r="B495" s="4" t="s">
        <v>22</v>
      </c>
      <c r="C495" s="4" t="s">
        <v>23</v>
      </c>
      <c r="D495" s="4" t="s">
        <v>24</v>
      </c>
      <c r="E495" s="4" t="s">
        <v>31</v>
      </c>
      <c r="F495" s="4" t="s">
        <v>25</v>
      </c>
      <c r="G495" s="4" t="s">
        <v>25</v>
      </c>
      <c r="H495" s="4" t="s">
        <v>25</v>
      </c>
      <c r="I495" s="5">
        <v>44197</v>
      </c>
      <c r="J495" s="6">
        <v>0</v>
      </c>
      <c r="K495" s="6">
        <v>0</v>
      </c>
      <c r="L495" s="6">
        <v>0.34699999999999998</v>
      </c>
      <c r="M495" s="6">
        <v>0.34699999999999998</v>
      </c>
      <c r="N495" s="6">
        <v>0.34699999999999998</v>
      </c>
      <c r="O495" s="6">
        <v>0.34699999999999998</v>
      </c>
      <c r="P495" s="6">
        <v>0</v>
      </c>
      <c r="Q495" s="4" t="s">
        <v>26</v>
      </c>
      <c r="R495" s="4">
        <v>0</v>
      </c>
      <c r="S495" s="4">
        <v>0</v>
      </c>
      <c r="T495" s="4">
        <v>9</v>
      </c>
      <c r="U495" s="4">
        <v>59</v>
      </c>
      <c r="V495" s="6">
        <f>IF(ISERROR(VLOOKUP($S$495,'TAR FIN'!$A$1:$O$95,15,0)),0,VLOOKUP($S$495,'TAR FIN'!$A$1:$O$95,15,0))</f>
        <v>0</v>
      </c>
      <c r="W495" s="6">
        <f>IF(ISERROR(VLOOKUP($T$495,'TAR FIN'!$A$1:$O$95,15,0)),0,VLOOKUP($T$495,'TAR FIN'!$A$1:$O$95,15,0))</f>
        <v>147.13999999999999</v>
      </c>
      <c r="X495" s="6">
        <f>IF(ISERROR(VLOOKUP($U$495,'TAR FIN'!$A$1:$O$95,15,0)),0,VLOOKUP($U$495,'TAR FIN'!$A$1:$O$95,15,0))</f>
        <v>85.16</v>
      </c>
      <c r="Y495" s="6"/>
      <c r="Z495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495" s="6">
        <f>('TE BE'!$AA$14+'TE BF'!$AA$14+'TE CVA'!$AA$14)*(1-CUSTOS!$M$34)</f>
        <v>104.02058230712306</v>
      </c>
      <c r="AB495" s="6">
        <f t="shared" si="18"/>
        <v>0</v>
      </c>
      <c r="AC495" s="6">
        <f>(L495-M495)*(W495+X495)+($W$660+$X$660-$W$495-$X$495)*(L495)</f>
        <v>149.69233000000003</v>
      </c>
      <c r="AD495" s="6">
        <f t="shared" si="20"/>
        <v>0</v>
      </c>
      <c r="AE495" s="6">
        <f ca="1">(L495-M495)*(Z495+AA495)+($Z$660+$AA$660-$Z$495-$AA$495)*(L495)</f>
        <v>170.79567627174188</v>
      </c>
      <c r="AF495" s="4" t="s">
        <v>845</v>
      </c>
    </row>
    <row r="496" spans="1:32" ht="11.25" customHeight="1" x14ac:dyDescent="0.25">
      <c r="A496" s="4" t="s">
        <v>30</v>
      </c>
      <c r="B496" s="4" t="s">
        <v>22</v>
      </c>
      <c r="C496" s="4" t="s">
        <v>23</v>
      </c>
      <c r="D496" s="4" t="s">
        <v>24</v>
      </c>
      <c r="E496" s="4" t="s">
        <v>31</v>
      </c>
      <c r="F496" s="4" t="s">
        <v>25</v>
      </c>
      <c r="G496" s="4" t="s">
        <v>25</v>
      </c>
      <c r="H496" s="4" t="s">
        <v>25</v>
      </c>
      <c r="I496" s="5">
        <v>44197</v>
      </c>
      <c r="J496" s="6">
        <v>0</v>
      </c>
      <c r="K496" s="6">
        <v>0</v>
      </c>
      <c r="L496" s="6">
        <v>5.5010000000000003</v>
      </c>
      <c r="M496" s="6">
        <v>5.5010000000000003</v>
      </c>
      <c r="N496" s="6">
        <v>5.5010000000000003</v>
      </c>
      <c r="O496" s="6">
        <v>5.5010000000000003</v>
      </c>
      <c r="P496" s="6">
        <v>0</v>
      </c>
      <c r="Q496" s="4" t="s">
        <v>26</v>
      </c>
      <c r="R496" s="4">
        <v>0</v>
      </c>
      <c r="S496" s="4">
        <v>0</v>
      </c>
      <c r="T496" s="4">
        <v>9</v>
      </c>
      <c r="U496" s="4">
        <v>59</v>
      </c>
      <c r="V496" s="6">
        <f>IF(ISERROR(VLOOKUP($S$496,'TAR FIN'!$A$1:$O$95,15,0)),0,VLOOKUP($S$496,'TAR FIN'!$A$1:$O$95,15,0))</f>
        <v>0</v>
      </c>
      <c r="W496" s="6">
        <f>IF(ISERROR(VLOOKUP($T$496,'TAR FIN'!$A$1:$O$95,15,0)),0,VLOOKUP($T$496,'TAR FIN'!$A$1:$O$95,15,0))</f>
        <v>147.13999999999999</v>
      </c>
      <c r="X496" s="6">
        <f>IF(ISERROR(VLOOKUP($U$496,'TAR FIN'!$A$1:$O$95,15,0)),0,VLOOKUP($U$496,'TAR FIN'!$A$1:$O$95,15,0))</f>
        <v>85.16</v>
      </c>
      <c r="Y496" s="6"/>
      <c r="Z496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496" s="6">
        <f>('TE BE'!$AA$14+'TE BF'!$AA$14+'TE CVA'!$AA$14)*(1-CUSTOS!$M$34)</f>
        <v>104.02058230712306</v>
      </c>
      <c r="AB496" s="6">
        <f t="shared" si="18"/>
        <v>0</v>
      </c>
      <c r="AC496" s="6">
        <f>(L496-M496)*(W496+X496)+($W$660+$X$660-$W$496-$X$496)*(L496)</f>
        <v>2373.0763900000006</v>
      </c>
      <c r="AD496" s="6">
        <f t="shared" si="20"/>
        <v>0</v>
      </c>
      <c r="AE496" s="6">
        <f ca="1">(L496-M496)*(Z496+AA496)+($Z$660+$AA$660-$Z$496-$AA$496)*(L496)</f>
        <v>2707.6282857949632</v>
      </c>
      <c r="AF496" s="4" t="s">
        <v>845</v>
      </c>
    </row>
    <row r="497" spans="1:32" ht="11.25" customHeight="1" x14ac:dyDescent="0.25">
      <c r="A497" s="4" t="s">
        <v>21</v>
      </c>
      <c r="B497" s="4" t="s">
        <v>22</v>
      </c>
      <c r="C497" s="4" t="s">
        <v>23</v>
      </c>
      <c r="D497" s="4" t="s">
        <v>24</v>
      </c>
      <c r="E497" s="4" t="s">
        <v>31</v>
      </c>
      <c r="F497" s="4" t="s">
        <v>25</v>
      </c>
      <c r="G497" s="4" t="s">
        <v>25</v>
      </c>
      <c r="H497" s="4" t="s">
        <v>25</v>
      </c>
      <c r="I497" s="5">
        <v>44228</v>
      </c>
      <c r="J497" s="6">
        <v>0</v>
      </c>
      <c r="K497" s="6">
        <v>0</v>
      </c>
      <c r="L497" s="6">
        <v>2622.5770000000002</v>
      </c>
      <c r="M497" s="6">
        <v>2622.5770000000002</v>
      </c>
      <c r="N497" s="6">
        <v>2622.5770000000002</v>
      </c>
      <c r="O497" s="6">
        <v>2622.5770000000002</v>
      </c>
      <c r="P497" s="6">
        <v>22606</v>
      </c>
      <c r="Q497" s="4" t="s">
        <v>26</v>
      </c>
      <c r="R497" s="4">
        <v>0</v>
      </c>
      <c r="S497" s="4">
        <v>0</v>
      </c>
      <c r="T497" s="4">
        <v>9</v>
      </c>
      <c r="U497" s="4">
        <v>59</v>
      </c>
      <c r="V497" s="6">
        <f>IF(ISERROR(VLOOKUP($S$497,'TAR FIN'!$A$1:$O$95,15,0)),0,VLOOKUP($S$497,'TAR FIN'!$A$1:$O$95,15,0))</f>
        <v>0</v>
      </c>
      <c r="W497" s="6">
        <f>IF(ISERROR(VLOOKUP($T$497,'TAR FIN'!$A$1:$O$95,15,0)),0,VLOOKUP($T$497,'TAR FIN'!$A$1:$O$95,15,0))</f>
        <v>147.13999999999999</v>
      </c>
      <c r="X497" s="6">
        <f>IF(ISERROR(VLOOKUP($U$497,'TAR FIN'!$A$1:$O$95,15,0)),0,VLOOKUP($U$497,'TAR FIN'!$A$1:$O$95,15,0))</f>
        <v>85.16</v>
      </c>
      <c r="Y497" s="6"/>
      <c r="Z497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497" s="6">
        <f>('TE BE'!$AA$14+'TE BF'!$AA$14+'TE CVA'!$AA$14)*(1-CUSTOS!$M$34)</f>
        <v>104.02058230712306</v>
      </c>
      <c r="AB497" s="6">
        <f t="shared" si="18"/>
        <v>0</v>
      </c>
      <c r="AC497" s="6">
        <f>(L497-M497)*(W497+X497)+($W$660+$X$660-$W$497-$X$497)*(L497)</f>
        <v>1131353.4920300003</v>
      </c>
      <c r="AD497" s="6">
        <f t="shared" si="20"/>
        <v>0</v>
      </c>
      <c r="AE497" s="6">
        <f ca="1">(L497-M497)*(Z497+AA497)+($Z$660+$AA$660-$Z$497-$AA$497)*(L497)</f>
        <v>1290849.6031403921</v>
      </c>
      <c r="AF497" s="4" t="s">
        <v>845</v>
      </c>
    </row>
    <row r="498" spans="1:32" ht="11.25" customHeight="1" x14ac:dyDescent="0.25">
      <c r="A498" s="4" t="s">
        <v>27</v>
      </c>
      <c r="B498" s="4" t="s">
        <v>22</v>
      </c>
      <c r="C498" s="4" t="s">
        <v>23</v>
      </c>
      <c r="D498" s="4" t="s">
        <v>24</v>
      </c>
      <c r="E498" s="4" t="s">
        <v>31</v>
      </c>
      <c r="F498" s="4" t="s">
        <v>25</v>
      </c>
      <c r="G498" s="4" t="s">
        <v>25</v>
      </c>
      <c r="H498" s="4" t="s">
        <v>25</v>
      </c>
      <c r="I498" s="5">
        <v>44228</v>
      </c>
      <c r="J498" s="6">
        <v>0</v>
      </c>
      <c r="K498" s="6">
        <v>0</v>
      </c>
      <c r="L498" s="6">
        <v>-2.1</v>
      </c>
      <c r="M498" s="6">
        <v>-2.1</v>
      </c>
      <c r="N498" s="6">
        <v>-2.1</v>
      </c>
      <c r="O498" s="6">
        <v>-2.1</v>
      </c>
      <c r="P498" s="6">
        <v>0</v>
      </c>
      <c r="Q498" s="4" t="s">
        <v>26</v>
      </c>
      <c r="R498" s="4">
        <v>0</v>
      </c>
      <c r="S498" s="4">
        <v>0</v>
      </c>
      <c r="T498" s="4">
        <v>9</v>
      </c>
      <c r="U498" s="4">
        <v>59</v>
      </c>
      <c r="V498" s="6">
        <f>IF(ISERROR(VLOOKUP($S$498,'TAR FIN'!$A$1:$O$95,15,0)),0,VLOOKUP($S$498,'TAR FIN'!$A$1:$O$95,15,0))</f>
        <v>0</v>
      </c>
      <c r="W498" s="6">
        <f>IF(ISERROR(VLOOKUP($T$498,'TAR FIN'!$A$1:$O$95,15,0)),0,VLOOKUP($T$498,'TAR FIN'!$A$1:$O$95,15,0))</f>
        <v>147.13999999999999</v>
      </c>
      <c r="X498" s="6">
        <f>IF(ISERROR(VLOOKUP($U$498,'TAR FIN'!$A$1:$O$95,15,0)),0,VLOOKUP($U$498,'TAR FIN'!$A$1:$O$95,15,0))</f>
        <v>85.16</v>
      </c>
      <c r="Y498" s="6"/>
      <c r="Z498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498" s="6">
        <f>('TE BE'!$AA$14+'TE BF'!$AA$14+'TE CVA'!$AA$14)*(1-CUSTOS!$M$34)</f>
        <v>104.02058230712306</v>
      </c>
      <c r="AB498" s="6">
        <f t="shared" si="18"/>
        <v>0</v>
      </c>
      <c r="AC498" s="6">
        <f>(L498-M498)*(W498+X498)+($W$660+$X$660-$W$498-$X$498)*(L498)</f>
        <v>-905.91900000000021</v>
      </c>
      <c r="AD498" s="6">
        <f t="shared" si="20"/>
        <v>0</v>
      </c>
      <c r="AE498" s="6">
        <f ca="1">(L498-M498)*(Z498+AA498)+($Z$660+$AA$660-$Z$498-$AA$498)*(L498)</f>
        <v>-1033.6337757079482</v>
      </c>
      <c r="AF498" s="4" t="s">
        <v>845</v>
      </c>
    </row>
    <row r="499" spans="1:32" ht="11.25" customHeight="1" x14ac:dyDescent="0.25">
      <c r="A499" s="4" t="s">
        <v>28</v>
      </c>
      <c r="B499" s="4" t="s">
        <v>22</v>
      </c>
      <c r="C499" s="4" t="s">
        <v>23</v>
      </c>
      <c r="D499" s="4" t="s">
        <v>24</v>
      </c>
      <c r="E499" s="4" t="s">
        <v>31</v>
      </c>
      <c r="F499" s="4" t="s">
        <v>25</v>
      </c>
      <c r="G499" s="4" t="s">
        <v>25</v>
      </c>
      <c r="H499" s="4" t="s">
        <v>25</v>
      </c>
      <c r="I499" s="5">
        <v>44228</v>
      </c>
      <c r="J499" s="6">
        <v>0</v>
      </c>
      <c r="K499" s="6">
        <v>0</v>
      </c>
      <c r="L499" s="6">
        <v>3916.0709999999999</v>
      </c>
      <c r="M499" s="6">
        <v>3916.0709999999999</v>
      </c>
      <c r="N499" s="6">
        <v>3916.0709999999999</v>
      </c>
      <c r="O499" s="6">
        <v>3916.0709999999999</v>
      </c>
      <c r="P499" s="6">
        <v>30663</v>
      </c>
      <c r="Q499" s="4" t="s">
        <v>26</v>
      </c>
      <c r="R499" s="4">
        <v>0</v>
      </c>
      <c r="S499" s="4">
        <v>0</v>
      </c>
      <c r="T499" s="4">
        <v>9</v>
      </c>
      <c r="U499" s="4">
        <v>59</v>
      </c>
      <c r="V499" s="6">
        <f>IF(ISERROR(VLOOKUP($S$499,'TAR FIN'!$A$1:$O$95,15,0)),0,VLOOKUP($S$499,'TAR FIN'!$A$1:$O$95,15,0))</f>
        <v>0</v>
      </c>
      <c r="W499" s="6">
        <f>IF(ISERROR(VLOOKUP($T$499,'TAR FIN'!$A$1:$O$95,15,0)),0,VLOOKUP($T$499,'TAR FIN'!$A$1:$O$95,15,0))</f>
        <v>147.13999999999999</v>
      </c>
      <c r="X499" s="6">
        <f>IF(ISERROR(VLOOKUP($U$499,'TAR FIN'!$A$1:$O$95,15,0)),0,VLOOKUP($U$499,'TAR FIN'!$A$1:$O$95,15,0))</f>
        <v>85.16</v>
      </c>
      <c r="Y499" s="6"/>
      <c r="Z499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499" s="6">
        <f>('TE BE'!$AA$14+'TE BF'!$AA$14+'TE CVA'!$AA$14)*(1-CUSTOS!$M$34)</f>
        <v>104.02058230712306</v>
      </c>
      <c r="AB499" s="6">
        <f t="shared" si="18"/>
        <v>0</v>
      </c>
      <c r="AC499" s="6">
        <f>(L499-M499)*(W499+X499)+($W$660+$X$660-$W$499-$X$499)*(L499)</f>
        <v>1689353.8686900004</v>
      </c>
      <c r="AD499" s="6">
        <f t="shared" si="20"/>
        <v>0</v>
      </c>
      <c r="AE499" s="6">
        <f ca="1">(L499-M499)*(Z499+AA499)+($Z$660+$AA$660-$Z$499-$AA$499)*(L499)</f>
        <v>1927515.8350811428</v>
      </c>
      <c r="AF499" s="4" t="s">
        <v>845</v>
      </c>
    </row>
    <row r="500" spans="1:32" ht="11.25" customHeight="1" x14ac:dyDescent="0.25">
      <c r="A500" s="4" t="s">
        <v>29</v>
      </c>
      <c r="B500" s="4" t="s">
        <v>22</v>
      </c>
      <c r="C500" s="4" t="s">
        <v>23</v>
      </c>
      <c r="D500" s="4" t="s">
        <v>24</v>
      </c>
      <c r="E500" s="4" t="s">
        <v>31</v>
      </c>
      <c r="F500" s="4" t="s">
        <v>25</v>
      </c>
      <c r="G500" s="4" t="s">
        <v>25</v>
      </c>
      <c r="H500" s="4" t="s">
        <v>25</v>
      </c>
      <c r="I500" s="5">
        <v>44228</v>
      </c>
      <c r="J500" s="6">
        <v>0</v>
      </c>
      <c r="K500" s="6">
        <v>0</v>
      </c>
      <c r="L500" s="6">
        <v>-8.1</v>
      </c>
      <c r="M500" s="6">
        <v>-8.1</v>
      </c>
      <c r="N500" s="6">
        <v>-8.1</v>
      </c>
      <c r="O500" s="6">
        <v>-8.1</v>
      </c>
      <c r="P500" s="6">
        <v>0</v>
      </c>
      <c r="Q500" s="4" t="s">
        <v>26</v>
      </c>
      <c r="R500" s="4">
        <v>0</v>
      </c>
      <c r="S500" s="4">
        <v>0</v>
      </c>
      <c r="T500" s="4">
        <v>9</v>
      </c>
      <c r="U500" s="4">
        <v>59</v>
      </c>
      <c r="V500" s="6">
        <f>IF(ISERROR(VLOOKUP($S$500,'TAR FIN'!$A$1:$O$95,15,0)),0,VLOOKUP($S$500,'TAR FIN'!$A$1:$O$95,15,0))</f>
        <v>0</v>
      </c>
      <c r="W500" s="6">
        <f>IF(ISERROR(VLOOKUP($T$500,'TAR FIN'!$A$1:$O$95,15,0)),0,VLOOKUP($T$500,'TAR FIN'!$A$1:$O$95,15,0))</f>
        <v>147.13999999999999</v>
      </c>
      <c r="X500" s="6">
        <f>IF(ISERROR(VLOOKUP($U$500,'TAR FIN'!$A$1:$O$95,15,0)),0,VLOOKUP($U$500,'TAR FIN'!$A$1:$O$95,15,0))</f>
        <v>85.16</v>
      </c>
      <c r="Y500" s="6"/>
      <c r="Z500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00" s="6">
        <f>('TE BE'!$AA$14+'TE BF'!$AA$14+'TE CVA'!$AA$14)*(1-CUSTOS!$M$34)</f>
        <v>104.02058230712306</v>
      </c>
      <c r="AB500" s="6">
        <f t="shared" si="18"/>
        <v>0</v>
      </c>
      <c r="AC500" s="6">
        <f>(L500-M500)*(W500+X500)+($W$660+$X$660-$W$500-$X$500)*(L500)</f>
        <v>-3494.2590000000005</v>
      </c>
      <c r="AD500" s="6">
        <f t="shared" si="20"/>
        <v>0</v>
      </c>
      <c r="AE500" s="6">
        <f ca="1">(L500-M500)*(Z500+AA500)+($Z$660+$AA$660-$Z$500-$AA$500)*(L500)</f>
        <v>-3986.8731348735137</v>
      </c>
      <c r="AF500" s="4" t="s">
        <v>845</v>
      </c>
    </row>
    <row r="501" spans="1:32" ht="11.25" customHeight="1" x14ac:dyDescent="0.25">
      <c r="A501" s="4" t="s">
        <v>30</v>
      </c>
      <c r="B501" s="4" t="s">
        <v>22</v>
      </c>
      <c r="C501" s="4" t="s">
        <v>23</v>
      </c>
      <c r="D501" s="4" t="s">
        <v>24</v>
      </c>
      <c r="E501" s="4" t="s">
        <v>31</v>
      </c>
      <c r="F501" s="4" t="s">
        <v>25</v>
      </c>
      <c r="G501" s="4" t="s">
        <v>25</v>
      </c>
      <c r="H501" s="4" t="s">
        <v>25</v>
      </c>
      <c r="I501" s="5">
        <v>44228</v>
      </c>
      <c r="J501" s="6">
        <v>0</v>
      </c>
      <c r="K501" s="6">
        <v>0</v>
      </c>
      <c r="L501" s="6">
        <v>0.90100000000000002</v>
      </c>
      <c r="M501" s="6">
        <v>0.90100000000000002</v>
      </c>
      <c r="N501" s="6">
        <v>0.90100000000000002</v>
      </c>
      <c r="O501" s="6">
        <v>0.90100000000000002</v>
      </c>
      <c r="P501" s="6">
        <v>0</v>
      </c>
      <c r="Q501" s="4" t="s">
        <v>26</v>
      </c>
      <c r="R501" s="4">
        <v>0</v>
      </c>
      <c r="S501" s="4">
        <v>0</v>
      </c>
      <c r="T501" s="4">
        <v>9</v>
      </c>
      <c r="U501" s="4">
        <v>59</v>
      </c>
      <c r="V501" s="6">
        <f>IF(ISERROR(VLOOKUP($S$501,'TAR FIN'!$A$1:$O$95,15,0)),0,VLOOKUP($S$501,'TAR FIN'!$A$1:$O$95,15,0))</f>
        <v>0</v>
      </c>
      <c r="W501" s="6">
        <f>IF(ISERROR(VLOOKUP($T$501,'TAR FIN'!$A$1:$O$95,15,0)),0,VLOOKUP($T$501,'TAR FIN'!$A$1:$O$95,15,0))</f>
        <v>147.13999999999999</v>
      </c>
      <c r="X501" s="6">
        <f>IF(ISERROR(VLOOKUP($U$501,'TAR FIN'!$A$1:$O$95,15,0)),0,VLOOKUP($U$501,'TAR FIN'!$A$1:$O$95,15,0))</f>
        <v>85.16</v>
      </c>
      <c r="Y501" s="6"/>
      <c r="Z501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01" s="6">
        <f>('TE BE'!$AA$14+'TE BF'!$AA$14+'TE CVA'!$AA$14)*(1-CUSTOS!$M$34)</f>
        <v>104.02058230712306</v>
      </c>
      <c r="AB501" s="6">
        <f t="shared" si="18"/>
        <v>0</v>
      </c>
      <c r="AC501" s="6">
        <f>(L501-M501)*(W501+X501)+($W$660+$X$660-$W$501-$X$501)*(L501)</f>
        <v>388.68239000000011</v>
      </c>
      <c r="AD501" s="6">
        <f t="shared" si="20"/>
        <v>0</v>
      </c>
      <c r="AE501" s="6">
        <f ca="1">(L501-M501)*(Z501+AA501)+($Z$660+$AA$660-$Z$501-$AA$501)*(L501)</f>
        <v>443.47811043469585</v>
      </c>
      <c r="AF501" s="4" t="s">
        <v>845</v>
      </c>
    </row>
    <row r="502" spans="1:32" ht="11.25" customHeight="1" x14ac:dyDescent="0.25">
      <c r="A502" s="4" t="s">
        <v>21</v>
      </c>
      <c r="B502" s="4" t="s">
        <v>22</v>
      </c>
      <c r="C502" s="4" t="s">
        <v>23</v>
      </c>
      <c r="D502" s="4" t="s">
        <v>24</v>
      </c>
      <c r="E502" s="4" t="s">
        <v>31</v>
      </c>
      <c r="F502" s="4" t="s">
        <v>25</v>
      </c>
      <c r="G502" s="4" t="s">
        <v>25</v>
      </c>
      <c r="H502" s="4" t="s">
        <v>25</v>
      </c>
      <c r="I502" s="5">
        <v>44256</v>
      </c>
      <c r="J502" s="6">
        <v>0</v>
      </c>
      <c r="K502" s="6">
        <v>0</v>
      </c>
      <c r="L502" s="6">
        <v>2672.9630000000002</v>
      </c>
      <c r="M502" s="6">
        <v>2672.9630000000002</v>
      </c>
      <c r="N502" s="6">
        <v>2672.9630000000002</v>
      </c>
      <c r="O502" s="6">
        <v>2672.9630000000002</v>
      </c>
      <c r="P502" s="6">
        <v>24819</v>
      </c>
      <c r="Q502" s="4" t="s">
        <v>26</v>
      </c>
      <c r="R502" s="4">
        <v>0</v>
      </c>
      <c r="S502" s="4">
        <v>0</v>
      </c>
      <c r="T502" s="4">
        <v>9</v>
      </c>
      <c r="U502" s="4">
        <v>59</v>
      </c>
      <c r="V502" s="6">
        <f>IF(ISERROR(VLOOKUP($S$502,'TAR FIN'!$A$1:$O$95,15,0)),0,VLOOKUP($S$502,'TAR FIN'!$A$1:$O$95,15,0))</f>
        <v>0</v>
      </c>
      <c r="W502" s="6">
        <f>IF(ISERROR(VLOOKUP($T$502,'TAR FIN'!$A$1:$O$95,15,0)),0,VLOOKUP($T$502,'TAR FIN'!$A$1:$O$95,15,0))</f>
        <v>147.13999999999999</v>
      </c>
      <c r="X502" s="6">
        <f>IF(ISERROR(VLOOKUP($U$502,'TAR FIN'!$A$1:$O$95,15,0)),0,VLOOKUP($U$502,'TAR FIN'!$A$1:$O$95,15,0))</f>
        <v>85.16</v>
      </c>
      <c r="Y502" s="6"/>
      <c r="Z502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02" s="6">
        <f>('TE BE'!$AA$14+'TE BF'!$AA$14+'TE CVA'!$AA$14)*(1-CUSTOS!$M$34)</f>
        <v>104.02058230712306</v>
      </c>
      <c r="AB502" s="6">
        <f t="shared" si="18"/>
        <v>0</v>
      </c>
      <c r="AC502" s="6">
        <f>(L502-M502)*(W502+X502)+($W$660+$X$660-$W$502-$X$502)*(L502)</f>
        <v>1153089.5085700003</v>
      </c>
      <c r="AD502" s="6">
        <f t="shared" si="20"/>
        <v>0</v>
      </c>
      <c r="AE502" s="6">
        <f ca="1">(L502-M502)*(Z502+AA502)+($Z$660+$AA$660-$Z$502-$AA$502)*(L502)</f>
        <v>1315649.9228655449</v>
      </c>
      <c r="AF502" s="4" t="s">
        <v>845</v>
      </c>
    </row>
    <row r="503" spans="1:32" ht="11.25" customHeight="1" x14ac:dyDescent="0.25">
      <c r="A503" s="4" t="s">
        <v>27</v>
      </c>
      <c r="B503" s="4" t="s">
        <v>22</v>
      </c>
      <c r="C503" s="4" t="s">
        <v>23</v>
      </c>
      <c r="D503" s="4" t="s">
        <v>24</v>
      </c>
      <c r="E503" s="4" t="s">
        <v>31</v>
      </c>
      <c r="F503" s="4" t="s">
        <v>25</v>
      </c>
      <c r="G503" s="4" t="s">
        <v>25</v>
      </c>
      <c r="H503" s="4" t="s">
        <v>25</v>
      </c>
      <c r="I503" s="5">
        <v>44256</v>
      </c>
      <c r="J503" s="6">
        <v>0</v>
      </c>
      <c r="K503" s="6">
        <v>0</v>
      </c>
      <c r="L503" s="6">
        <v>1.43</v>
      </c>
      <c r="M503" s="6">
        <v>1.43</v>
      </c>
      <c r="N503" s="6">
        <v>1.43</v>
      </c>
      <c r="O503" s="6">
        <v>1.43</v>
      </c>
      <c r="P503" s="6">
        <v>0</v>
      </c>
      <c r="Q503" s="4" t="s">
        <v>26</v>
      </c>
      <c r="R503" s="4">
        <v>0</v>
      </c>
      <c r="S503" s="4">
        <v>0</v>
      </c>
      <c r="T503" s="4">
        <v>9</v>
      </c>
      <c r="U503" s="4">
        <v>59</v>
      </c>
      <c r="V503" s="6">
        <f>IF(ISERROR(VLOOKUP($S$503,'TAR FIN'!$A$1:$O$95,15,0)),0,VLOOKUP($S$503,'TAR FIN'!$A$1:$O$95,15,0))</f>
        <v>0</v>
      </c>
      <c r="W503" s="6">
        <f>IF(ISERROR(VLOOKUP($T$503,'TAR FIN'!$A$1:$O$95,15,0)),0,VLOOKUP($T$503,'TAR FIN'!$A$1:$O$95,15,0))</f>
        <v>147.13999999999999</v>
      </c>
      <c r="X503" s="6">
        <f>IF(ISERROR(VLOOKUP($U$503,'TAR FIN'!$A$1:$O$95,15,0)),0,VLOOKUP($U$503,'TAR FIN'!$A$1:$O$95,15,0))</f>
        <v>85.16</v>
      </c>
      <c r="Y503" s="6"/>
      <c r="Z503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03" s="6">
        <f>('TE BE'!$AA$14+'TE BF'!$AA$14+'TE CVA'!$AA$14)*(1-CUSTOS!$M$34)</f>
        <v>104.02058230712306</v>
      </c>
      <c r="AB503" s="6">
        <f t="shared" si="18"/>
        <v>0</v>
      </c>
      <c r="AC503" s="6">
        <f>(L503-M503)*(W503+X503)+($W$660+$X$660-$W$503-$X$503)*(L503)</f>
        <v>616.88770000000011</v>
      </c>
      <c r="AD503" s="6">
        <f t="shared" si="20"/>
        <v>0</v>
      </c>
      <c r="AE503" s="6">
        <f ca="1">(L503-M503)*(Z503+AA503)+($Z$660+$AA$660-$Z$503-$AA$503)*(L503)</f>
        <v>703.85538060112651</v>
      </c>
      <c r="AF503" s="4" t="s">
        <v>845</v>
      </c>
    </row>
    <row r="504" spans="1:32" ht="11.25" customHeight="1" x14ac:dyDescent="0.25">
      <c r="A504" s="4" t="s">
        <v>28</v>
      </c>
      <c r="B504" s="4" t="s">
        <v>22</v>
      </c>
      <c r="C504" s="4" t="s">
        <v>23</v>
      </c>
      <c r="D504" s="4" t="s">
        <v>24</v>
      </c>
      <c r="E504" s="4" t="s">
        <v>31</v>
      </c>
      <c r="F504" s="4" t="s">
        <v>25</v>
      </c>
      <c r="G504" s="4" t="s">
        <v>25</v>
      </c>
      <c r="H504" s="4" t="s">
        <v>25</v>
      </c>
      <c r="I504" s="5">
        <v>44256</v>
      </c>
      <c r="J504" s="6">
        <v>0</v>
      </c>
      <c r="K504" s="6">
        <v>0</v>
      </c>
      <c r="L504" s="6">
        <v>3993.7</v>
      </c>
      <c r="M504" s="6">
        <v>3993.7</v>
      </c>
      <c r="N504" s="6">
        <v>3993.7</v>
      </c>
      <c r="O504" s="6">
        <v>3993.7</v>
      </c>
      <c r="P504" s="6">
        <v>31154</v>
      </c>
      <c r="Q504" s="4" t="s">
        <v>26</v>
      </c>
      <c r="R504" s="4">
        <v>0</v>
      </c>
      <c r="S504" s="4">
        <v>0</v>
      </c>
      <c r="T504" s="4">
        <v>9</v>
      </c>
      <c r="U504" s="4">
        <v>59</v>
      </c>
      <c r="V504" s="6">
        <f>IF(ISERROR(VLOOKUP($S$504,'TAR FIN'!$A$1:$O$95,15,0)),0,VLOOKUP($S$504,'TAR FIN'!$A$1:$O$95,15,0))</f>
        <v>0</v>
      </c>
      <c r="W504" s="6">
        <f>IF(ISERROR(VLOOKUP($T$504,'TAR FIN'!$A$1:$O$95,15,0)),0,VLOOKUP($T$504,'TAR FIN'!$A$1:$O$95,15,0))</f>
        <v>147.13999999999999</v>
      </c>
      <c r="X504" s="6">
        <f>IF(ISERROR(VLOOKUP($U$504,'TAR FIN'!$A$1:$O$95,15,0)),0,VLOOKUP($U$504,'TAR FIN'!$A$1:$O$95,15,0))</f>
        <v>85.16</v>
      </c>
      <c r="Y504" s="6"/>
      <c r="Z504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04" s="6">
        <f>('TE BE'!$AA$14+'TE BF'!$AA$14+'TE CVA'!$AA$14)*(1-CUSTOS!$M$34)</f>
        <v>104.02058230712306</v>
      </c>
      <c r="AB504" s="6">
        <f t="shared" si="18"/>
        <v>0</v>
      </c>
      <c r="AC504" s="6">
        <f>(L504-M504)*(W504+X504)+($W$660+$X$660-$W$504-$X$504)*(L504)</f>
        <v>1722842.2430000002</v>
      </c>
      <c r="AD504" s="6">
        <f t="shared" si="20"/>
        <v>0</v>
      </c>
      <c r="AE504" s="6">
        <f ca="1">(L504-M504)*(Z504+AA504)+($Z$660+$AA$660-$Z$504-$AA$504)*(L504)</f>
        <v>1965725.3381165867</v>
      </c>
      <c r="AF504" s="4" t="s">
        <v>845</v>
      </c>
    </row>
    <row r="505" spans="1:32" ht="11.25" customHeight="1" x14ac:dyDescent="0.25">
      <c r="A505" s="4" t="s">
        <v>29</v>
      </c>
      <c r="B505" s="4" t="s">
        <v>22</v>
      </c>
      <c r="C505" s="4" t="s">
        <v>23</v>
      </c>
      <c r="D505" s="4" t="s">
        <v>24</v>
      </c>
      <c r="E505" s="4" t="s">
        <v>31</v>
      </c>
      <c r="F505" s="4" t="s">
        <v>25</v>
      </c>
      <c r="G505" s="4" t="s">
        <v>25</v>
      </c>
      <c r="H505" s="4" t="s">
        <v>25</v>
      </c>
      <c r="I505" s="5">
        <v>44256</v>
      </c>
      <c r="J505" s="6">
        <v>0</v>
      </c>
      <c r="K505" s="6">
        <v>0</v>
      </c>
      <c r="L505" s="6">
        <v>-2.88</v>
      </c>
      <c r="M505" s="6">
        <v>-2.88</v>
      </c>
      <c r="N505" s="6">
        <v>-2.88</v>
      </c>
      <c r="O505" s="6">
        <v>-2.88</v>
      </c>
      <c r="P505" s="6">
        <v>0</v>
      </c>
      <c r="Q505" s="4" t="s">
        <v>26</v>
      </c>
      <c r="R505" s="4">
        <v>0</v>
      </c>
      <c r="S505" s="4">
        <v>0</v>
      </c>
      <c r="T505" s="4">
        <v>9</v>
      </c>
      <c r="U505" s="4">
        <v>59</v>
      </c>
      <c r="V505" s="6">
        <f>IF(ISERROR(VLOOKUP($S$505,'TAR FIN'!$A$1:$O$95,15,0)),0,VLOOKUP($S$505,'TAR FIN'!$A$1:$O$95,15,0))</f>
        <v>0</v>
      </c>
      <c r="W505" s="6">
        <f>IF(ISERROR(VLOOKUP($T$505,'TAR FIN'!$A$1:$O$95,15,0)),0,VLOOKUP($T$505,'TAR FIN'!$A$1:$O$95,15,0))</f>
        <v>147.13999999999999</v>
      </c>
      <c r="X505" s="6">
        <f>IF(ISERROR(VLOOKUP($U$505,'TAR FIN'!$A$1:$O$95,15,0)),0,VLOOKUP($U$505,'TAR FIN'!$A$1:$O$95,15,0))</f>
        <v>85.16</v>
      </c>
      <c r="Y505" s="6"/>
      <c r="Z505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05" s="6">
        <f>('TE BE'!$AA$14+'TE BF'!$AA$14+'TE CVA'!$AA$14)*(1-CUSTOS!$M$34)</f>
        <v>104.02058230712306</v>
      </c>
      <c r="AB505" s="6">
        <f t="shared" si="18"/>
        <v>0</v>
      </c>
      <c r="AC505" s="6">
        <f>(L505-M505)*(W505+X505)+($W$660+$X$660-$W$505-$X$505)*(L505)</f>
        <v>-1242.4032000000002</v>
      </c>
      <c r="AD505" s="6">
        <f t="shared" si="20"/>
        <v>0</v>
      </c>
      <c r="AE505" s="6">
        <f ca="1">(L505-M505)*(Z505+AA505)+($Z$660+$AA$660-$Z$505-$AA$505)*(L505)</f>
        <v>-1417.5548923994716</v>
      </c>
      <c r="AF505" s="4" t="s">
        <v>845</v>
      </c>
    </row>
    <row r="506" spans="1:32" ht="11.25" customHeight="1" x14ac:dyDescent="0.25">
      <c r="A506" s="4" t="s">
        <v>30</v>
      </c>
      <c r="B506" s="4" t="s">
        <v>22</v>
      </c>
      <c r="C506" s="4" t="s">
        <v>23</v>
      </c>
      <c r="D506" s="4" t="s">
        <v>24</v>
      </c>
      <c r="E506" s="4" t="s">
        <v>31</v>
      </c>
      <c r="F506" s="4" t="s">
        <v>25</v>
      </c>
      <c r="G506" s="4" t="s">
        <v>25</v>
      </c>
      <c r="H506" s="4" t="s">
        <v>25</v>
      </c>
      <c r="I506" s="5">
        <v>44256</v>
      </c>
      <c r="J506" s="6">
        <v>0</v>
      </c>
      <c r="K506" s="6">
        <v>0</v>
      </c>
      <c r="L506" s="6">
        <v>2.4940000000000002</v>
      </c>
      <c r="M506" s="6">
        <v>2.4940000000000002</v>
      </c>
      <c r="N506" s="6">
        <v>2.4940000000000002</v>
      </c>
      <c r="O506" s="6">
        <v>2.4940000000000002</v>
      </c>
      <c r="P506" s="6">
        <v>0</v>
      </c>
      <c r="Q506" s="4" t="s">
        <v>26</v>
      </c>
      <c r="R506" s="4">
        <v>0</v>
      </c>
      <c r="S506" s="4">
        <v>0</v>
      </c>
      <c r="T506" s="4">
        <v>9</v>
      </c>
      <c r="U506" s="4">
        <v>59</v>
      </c>
      <c r="V506" s="6">
        <f>IF(ISERROR(VLOOKUP($S$506,'TAR FIN'!$A$1:$O$95,15,0)),0,VLOOKUP($S$506,'TAR FIN'!$A$1:$O$95,15,0))</f>
        <v>0</v>
      </c>
      <c r="W506" s="6">
        <f>IF(ISERROR(VLOOKUP($T$506,'TAR FIN'!$A$1:$O$95,15,0)),0,VLOOKUP($T$506,'TAR FIN'!$A$1:$O$95,15,0))</f>
        <v>147.13999999999999</v>
      </c>
      <c r="X506" s="6">
        <f>IF(ISERROR(VLOOKUP($U$506,'TAR FIN'!$A$1:$O$95,15,0)),0,VLOOKUP($U$506,'TAR FIN'!$A$1:$O$95,15,0))</f>
        <v>85.16</v>
      </c>
      <c r="Y506" s="6"/>
      <c r="Z506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06" s="6">
        <f>('TE BE'!$AA$14+'TE BF'!$AA$14+'TE CVA'!$AA$14)*(1-CUSTOS!$M$34)</f>
        <v>104.02058230712306</v>
      </c>
      <c r="AB506" s="6">
        <f t="shared" si="18"/>
        <v>0</v>
      </c>
      <c r="AC506" s="6">
        <f>(L506-M506)*(W506+X506)+($W$660+$X$660-$W$506-$X$506)*(L506)</f>
        <v>1075.8866600000003</v>
      </c>
      <c r="AD506" s="6">
        <f t="shared" si="20"/>
        <v>0</v>
      </c>
      <c r="AE506" s="6">
        <f ca="1">(L506-M506)*(Z506+AA506)+($Z$660+$AA$660-$Z$506-$AA$506)*(L506)</f>
        <v>1227.5631602931537</v>
      </c>
      <c r="AF506" s="4" t="s">
        <v>845</v>
      </c>
    </row>
    <row r="507" spans="1:32" ht="11.25" customHeight="1" x14ac:dyDescent="0.25">
      <c r="A507" s="4" t="s">
        <v>21</v>
      </c>
      <c r="B507" s="4" t="s">
        <v>22</v>
      </c>
      <c r="C507" s="4" t="s">
        <v>23</v>
      </c>
      <c r="D507" s="4" t="s">
        <v>24</v>
      </c>
      <c r="E507" s="4" t="s">
        <v>31</v>
      </c>
      <c r="F507" s="4" t="s">
        <v>25</v>
      </c>
      <c r="G507" s="4" t="s">
        <v>25</v>
      </c>
      <c r="H507" s="4" t="s">
        <v>25</v>
      </c>
      <c r="I507" s="5">
        <v>44287</v>
      </c>
      <c r="J507" s="6">
        <v>0</v>
      </c>
      <c r="K507" s="6">
        <v>0</v>
      </c>
      <c r="L507" s="6">
        <v>2029.4870000000001</v>
      </c>
      <c r="M507" s="6">
        <v>2029.4870000000001</v>
      </c>
      <c r="N507" s="6">
        <v>2029.4870000000001</v>
      </c>
      <c r="O507" s="6">
        <v>2029.4870000000001</v>
      </c>
      <c r="P507" s="6">
        <v>9497</v>
      </c>
      <c r="Q507" s="4" t="s">
        <v>26</v>
      </c>
      <c r="R507" s="4">
        <v>0</v>
      </c>
      <c r="S507" s="4">
        <v>0</v>
      </c>
      <c r="T507" s="4">
        <v>9</v>
      </c>
      <c r="U507" s="4">
        <v>59</v>
      </c>
      <c r="V507" s="6">
        <f>IF(ISERROR(VLOOKUP($S$507,'TAR FIN'!$A$1:$O$95,15,0)),0,VLOOKUP($S$507,'TAR FIN'!$A$1:$O$95,15,0))</f>
        <v>0</v>
      </c>
      <c r="W507" s="6">
        <f>IF(ISERROR(VLOOKUP($T$507,'TAR FIN'!$A$1:$O$95,15,0)),0,VLOOKUP($T$507,'TAR FIN'!$A$1:$O$95,15,0))</f>
        <v>147.13999999999999</v>
      </c>
      <c r="X507" s="6">
        <f>IF(ISERROR(VLOOKUP($U$507,'TAR FIN'!$A$1:$O$95,15,0)),0,VLOOKUP($U$507,'TAR FIN'!$A$1:$O$95,15,0))</f>
        <v>85.16</v>
      </c>
      <c r="Y507" s="6"/>
      <c r="Z507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07" s="6">
        <f>('TE BE'!$AA$14+'TE BF'!$AA$14+'TE CVA'!$AA$14)*(1-CUSTOS!$M$34)</f>
        <v>104.02058230712306</v>
      </c>
      <c r="AB507" s="6">
        <f t="shared" si="18"/>
        <v>0</v>
      </c>
      <c r="AC507" s="6">
        <f>(L507-M507)*(W507+X507)+($W$660+$X$660-$W$507-$X$507)*(L507)</f>
        <v>875500.39693000028</v>
      </c>
      <c r="AD507" s="6">
        <f t="shared" si="20"/>
        <v>0</v>
      </c>
      <c r="AE507" s="6">
        <f ca="1">(L507-M507)*(Z507+AA507)+($Z$660+$AA$660-$Z$507-$AA$507)*(L507)</f>
        <v>998926.81455247453</v>
      </c>
      <c r="AF507" s="4" t="s">
        <v>845</v>
      </c>
    </row>
    <row r="508" spans="1:32" ht="11.25" customHeight="1" x14ac:dyDescent="0.25">
      <c r="A508" s="4" t="s">
        <v>27</v>
      </c>
      <c r="B508" s="4" t="s">
        <v>22</v>
      </c>
      <c r="C508" s="4" t="s">
        <v>23</v>
      </c>
      <c r="D508" s="4" t="s">
        <v>24</v>
      </c>
      <c r="E508" s="4" t="s">
        <v>31</v>
      </c>
      <c r="F508" s="4" t="s">
        <v>25</v>
      </c>
      <c r="G508" s="4" t="s">
        <v>25</v>
      </c>
      <c r="H508" s="4" t="s">
        <v>25</v>
      </c>
      <c r="I508" s="5">
        <v>44287</v>
      </c>
      <c r="J508" s="6">
        <v>0</v>
      </c>
      <c r="K508" s="6">
        <v>0</v>
      </c>
      <c r="L508" s="6">
        <v>-5.43</v>
      </c>
      <c r="M508" s="6">
        <v>-5.43</v>
      </c>
      <c r="N508" s="6">
        <v>-5.43</v>
      </c>
      <c r="O508" s="6">
        <v>-5.43</v>
      </c>
      <c r="P508" s="6">
        <v>0</v>
      </c>
      <c r="Q508" s="4" t="s">
        <v>26</v>
      </c>
      <c r="R508" s="4">
        <v>0</v>
      </c>
      <c r="S508" s="4">
        <v>0</v>
      </c>
      <c r="T508" s="4">
        <v>9</v>
      </c>
      <c r="U508" s="4">
        <v>59</v>
      </c>
      <c r="V508" s="6">
        <f>IF(ISERROR(VLOOKUP($S$508,'TAR FIN'!$A$1:$O$95,15,0)),0,VLOOKUP($S$508,'TAR FIN'!$A$1:$O$95,15,0))</f>
        <v>0</v>
      </c>
      <c r="W508" s="6">
        <f>IF(ISERROR(VLOOKUP($T$508,'TAR FIN'!$A$1:$O$95,15,0)),0,VLOOKUP($T$508,'TAR FIN'!$A$1:$O$95,15,0))</f>
        <v>147.13999999999999</v>
      </c>
      <c r="X508" s="6">
        <f>IF(ISERROR(VLOOKUP($U$508,'TAR FIN'!$A$1:$O$95,15,0)),0,VLOOKUP($U$508,'TAR FIN'!$A$1:$O$95,15,0))</f>
        <v>85.16</v>
      </c>
      <c r="Y508" s="6"/>
      <c r="Z508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08" s="6">
        <f>('TE BE'!$AA$14+'TE BF'!$AA$14+'TE CVA'!$AA$14)*(1-CUSTOS!$M$34)</f>
        <v>104.02058230712306</v>
      </c>
      <c r="AB508" s="6">
        <f t="shared" si="18"/>
        <v>0</v>
      </c>
      <c r="AC508" s="6">
        <f>(L508-M508)*(W508+X508)+($W$660+$X$660-$W$508-$X$508)*(L508)</f>
        <v>-2342.4477000000006</v>
      </c>
      <c r="AD508" s="6">
        <f t="shared" si="20"/>
        <v>0</v>
      </c>
      <c r="AE508" s="6">
        <f ca="1">(L508-M508)*(Z508+AA508)+($Z$660+$AA$660-$Z$508-$AA$508)*(L508)</f>
        <v>-2672.681620044837</v>
      </c>
      <c r="AF508" s="4" t="s">
        <v>845</v>
      </c>
    </row>
    <row r="509" spans="1:32" ht="11.25" customHeight="1" x14ac:dyDescent="0.25">
      <c r="A509" s="4" t="s">
        <v>28</v>
      </c>
      <c r="B509" s="4" t="s">
        <v>22</v>
      </c>
      <c r="C509" s="4" t="s">
        <v>23</v>
      </c>
      <c r="D509" s="4" t="s">
        <v>24</v>
      </c>
      <c r="E509" s="4" t="s">
        <v>31</v>
      </c>
      <c r="F509" s="4" t="s">
        <v>25</v>
      </c>
      <c r="G509" s="4" t="s">
        <v>25</v>
      </c>
      <c r="H509" s="4" t="s">
        <v>25</v>
      </c>
      <c r="I509" s="5">
        <v>44287</v>
      </c>
      <c r="J509" s="6">
        <v>0</v>
      </c>
      <c r="K509" s="6">
        <v>0</v>
      </c>
      <c r="L509" s="6">
        <v>3740.915</v>
      </c>
      <c r="M509" s="6">
        <v>3740.915</v>
      </c>
      <c r="N509" s="6">
        <v>3740.915</v>
      </c>
      <c r="O509" s="6">
        <v>3740.915</v>
      </c>
      <c r="P509" s="6">
        <v>23050</v>
      </c>
      <c r="Q509" s="4" t="s">
        <v>26</v>
      </c>
      <c r="R509" s="4">
        <v>0</v>
      </c>
      <c r="S509" s="4">
        <v>0</v>
      </c>
      <c r="T509" s="4">
        <v>9</v>
      </c>
      <c r="U509" s="4">
        <v>59</v>
      </c>
      <c r="V509" s="6">
        <f>IF(ISERROR(VLOOKUP($S$509,'TAR FIN'!$A$1:$O$95,15,0)),0,VLOOKUP($S$509,'TAR FIN'!$A$1:$O$95,15,0))</f>
        <v>0</v>
      </c>
      <c r="W509" s="6">
        <f>IF(ISERROR(VLOOKUP($T$509,'TAR FIN'!$A$1:$O$95,15,0)),0,VLOOKUP($T$509,'TAR FIN'!$A$1:$O$95,15,0))</f>
        <v>147.13999999999999</v>
      </c>
      <c r="X509" s="6">
        <f>IF(ISERROR(VLOOKUP($U$509,'TAR FIN'!$A$1:$O$95,15,0)),0,VLOOKUP($U$509,'TAR FIN'!$A$1:$O$95,15,0))</f>
        <v>85.16</v>
      </c>
      <c r="Y509" s="6"/>
      <c r="Z509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09" s="6">
        <f>('TE BE'!$AA$14+'TE BF'!$AA$14+'TE CVA'!$AA$14)*(1-CUSTOS!$M$34)</f>
        <v>104.02058230712306</v>
      </c>
      <c r="AB509" s="6">
        <f t="shared" si="18"/>
        <v>0</v>
      </c>
      <c r="AC509" s="6">
        <f>(L509-M509)*(W509+X509)+($W$660+$X$660-$W$509-$X$509)*(L509)</f>
        <v>1613793.3218500004</v>
      </c>
      <c r="AD509" s="6">
        <f t="shared" si="20"/>
        <v>0</v>
      </c>
      <c r="AE509" s="6">
        <f ca="1">(L509-M509)*(Z509+AA509)+($Z$660+$AA$660-$Z$509-$AA$509)*(L509)</f>
        <v>1841302.9028821422</v>
      </c>
      <c r="AF509" s="4" t="s">
        <v>845</v>
      </c>
    </row>
    <row r="510" spans="1:32" ht="11.25" customHeight="1" x14ac:dyDescent="0.25">
      <c r="A510" s="4" t="s">
        <v>29</v>
      </c>
      <c r="B510" s="4" t="s">
        <v>22</v>
      </c>
      <c r="C510" s="4" t="s">
        <v>23</v>
      </c>
      <c r="D510" s="4" t="s">
        <v>24</v>
      </c>
      <c r="E510" s="4" t="s">
        <v>31</v>
      </c>
      <c r="F510" s="4" t="s">
        <v>25</v>
      </c>
      <c r="G510" s="4" t="s">
        <v>25</v>
      </c>
      <c r="H510" s="4" t="s">
        <v>25</v>
      </c>
      <c r="I510" s="5">
        <v>44287</v>
      </c>
      <c r="J510" s="6">
        <v>0</v>
      </c>
      <c r="K510" s="6">
        <v>0</v>
      </c>
      <c r="L510" s="6">
        <v>-1.62</v>
      </c>
      <c r="M510" s="6">
        <v>-1.62</v>
      </c>
      <c r="N510" s="6">
        <v>-1.62</v>
      </c>
      <c r="O510" s="6">
        <v>-1.62</v>
      </c>
      <c r="P510" s="6">
        <v>0</v>
      </c>
      <c r="Q510" s="4" t="s">
        <v>26</v>
      </c>
      <c r="R510" s="4">
        <v>0</v>
      </c>
      <c r="S510" s="4">
        <v>0</v>
      </c>
      <c r="T510" s="4">
        <v>9</v>
      </c>
      <c r="U510" s="4">
        <v>59</v>
      </c>
      <c r="V510" s="6">
        <f>IF(ISERROR(VLOOKUP($S$510,'TAR FIN'!$A$1:$O$95,15,0)),0,VLOOKUP($S$510,'TAR FIN'!$A$1:$O$95,15,0))</f>
        <v>0</v>
      </c>
      <c r="W510" s="6">
        <f>IF(ISERROR(VLOOKUP($T$510,'TAR FIN'!$A$1:$O$95,15,0)),0,VLOOKUP($T$510,'TAR FIN'!$A$1:$O$95,15,0))</f>
        <v>147.13999999999999</v>
      </c>
      <c r="X510" s="6">
        <f>IF(ISERROR(VLOOKUP($U$510,'TAR FIN'!$A$1:$O$95,15,0)),0,VLOOKUP($U$510,'TAR FIN'!$A$1:$O$95,15,0))</f>
        <v>85.16</v>
      </c>
      <c r="Y510" s="6"/>
      <c r="Z510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10" s="6">
        <f>('TE BE'!$AA$14+'TE BF'!$AA$14+'TE CVA'!$AA$14)*(1-CUSTOS!$M$34)</f>
        <v>104.02058230712306</v>
      </c>
      <c r="AB510" s="6">
        <f t="shared" si="18"/>
        <v>0</v>
      </c>
      <c r="AC510" s="6">
        <f>(L510-M510)*(W510+X510)+($W$660+$X$660-$W$510-$X$510)*(L510)</f>
        <v>-698.85180000000025</v>
      </c>
      <c r="AD510" s="6">
        <f t="shared" si="20"/>
        <v>0</v>
      </c>
      <c r="AE510" s="6">
        <f ca="1">(L510-M510)*(Z510+AA510)+($Z$660+$AA$660-$Z$510-$AA$510)*(L510)</f>
        <v>-797.37462697470289</v>
      </c>
      <c r="AF510" s="4" t="s">
        <v>845</v>
      </c>
    </row>
    <row r="511" spans="1:32" ht="11.25" customHeight="1" x14ac:dyDescent="0.25">
      <c r="A511" s="4" t="s">
        <v>30</v>
      </c>
      <c r="B511" s="4" t="s">
        <v>22</v>
      </c>
      <c r="C511" s="4" t="s">
        <v>23</v>
      </c>
      <c r="D511" s="4" t="s">
        <v>24</v>
      </c>
      <c r="E511" s="4" t="s">
        <v>31</v>
      </c>
      <c r="F511" s="4" t="s">
        <v>25</v>
      </c>
      <c r="G511" s="4" t="s">
        <v>25</v>
      </c>
      <c r="H511" s="4" t="s">
        <v>25</v>
      </c>
      <c r="I511" s="5">
        <v>44287</v>
      </c>
      <c r="J511" s="6">
        <v>0</v>
      </c>
      <c r="K511" s="6">
        <v>0</v>
      </c>
      <c r="L511" s="6">
        <v>3.1480000000000001</v>
      </c>
      <c r="M511" s="6">
        <v>3.1480000000000001</v>
      </c>
      <c r="N511" s="6">
        <v>3.1480000000000001</v>
      </c>
      <c r="O511" s="6">
        <v>3.1480000000000001</v>
      </c>
      <c r="P511" s="6">
        <v>0</v>
      </c>
      <c r="Q511" s="4" t="s">
        <v>26</v>
      </c>
      <c r="R511" s="4">
        <v>0</v>
      </c>
      <c r="S511" s="4">
        <v>0</v>
      </c>
      <c r="T511" s="4">
        <v>9</v>
      </c>
      <c r="U511" s="4">
        <v>59</v>
      </c>
      <c r="V511" s="6">
        <f>IF(ISERROR(VLOOKUP($S$511,'TAR FIN'!$A$1:$O$95,15,0)),0,VLOOKUP($S$511,'TAR FIN'!$A$1:$O$95,15,0))</f>
        <v>0</v>
      </c>
      <c r="W511" s="6">
        <f>IF(ISERROR(VLOOKUP($T$511,'TAR FIN'!$A$1:$O$95,15,0)),0,VLOOKUP($T$511,'TAR FIN'!$A$1:$O$95,15,0))</f>
        <v>147.13999999999999</v>
      </c>
      <c r="X511" s="6">
        <f>IF(ISERROR(VLOOKUP($U$511,'TAR FIN'!$A$1:$O$95,15,0)),0,VLOOKUP($U$511,'TAR FIN'!$A$1:$O$95,15,0))</f>
        <v>85.16</v>
      </c>
      <c r="Y511" s="6"/>
      <c r="Z511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11" s="6">
        <f>('TE BE'!$AA$14+'TE BF'!$AA$14+'TE CVA'!$AA$14)*(1-CUSTOS!$M$34)</f>
        <v>104.02058230712306</v>
      </c>
      <c r="AB511" s="6">
        <f t="shared" si="18"/>
        <v>0</v>
      </c>
      <c r="AC511" s="6">
        <f>(L511-M511)*(W511+X511)+($W$660+$X$660-$W$511-$X$511)*(L511)</f>
        <v>1358.0157200000003</v>
      </c>
      <c r="AD511" s="6">
        <f t="shared" si="20"/>
        <v>0</v>
      </c>
      <c r="AE511" s="6">
        <f ca="1">(L511-M511)*(Z511+AA511)+($Z$660+$AA$660-$Z$511-$AA$511)*(L511)</f>
        <v>1549.4662504422004</v>
      </c>
      <c r="AF511" s="4" t="s">
        <v>845</v>
      </c>
    </row>
    <row r="512" spans="1:32" ht="11.25" customHeight="1" x14ac:dyDescent="0.25">
      <c r="A512" s="4" t="s">
        <v>21</v>
      </c>
      <c r="B512" s="4" t="s">
        <v>22</v>
      </c>
      <c r="C512" s="4" t="s">
        <v>23</v>
      </c>
      <c r="D512" s="4" t="s">
        <v>24</v>
      </c>
      <c r="E512" s="4" t="s">
        <v>31</v>
      </c>
      <c r="F512" s="4" t="s">
        <v>25</v>
      </c>
      <c r="G512" s="4" t="s">
        <v>25</v>
      </c>
      <c r="H512" s="4" t="s">
        <v>25</v>
      </c>
      <c r="I512" s="5">
        <v>44317</v>
      </c>
      <c r="J512" s="6">
        <v>0</v>
      </c>
      <c r="K512" s="6">
        <v>0</v>
      </c>
      <c r="L512" s="6">
        <v>2030.798</v>
      </c>
      <c r="M512" s="6">
        <v>2030.798</v>
      </c>
      <c r="N512" s="6">
        <v>2030.798</v>
      </c>
      <c r="O512" s="6">
        <v>2030.798</v>
      </c>
      <c r="P512" s="6">
        <v>9462</v>
      </c>
      <c r="Q512" s="4" t="s">
        <v>26</v>
      </c>
      <c r="R512" s="4">
        <v>0</v>
      </c>
      <c r="S512" s="4">
        <v>0</v>
      </c>
      <c r="T512" s="4">
        <v>9</v>
      </c>
      <c r="U512" s="4">
        <v>59</v>
      </c>
      <c r="V512" s="6">
        <f>IF(ISERROR(VLOOKUP($S$512,'TAR FIN'!$A$1:$O$95,15,0)),0,VLOOKUP($S$512,'TAR FIN'!$A$1:$O$95,15,0))</f>
        <v>0</v>
      </c>
      <c r="W512" s="6">
        <f>IF(ISERROR(VLOOKUP($T$512,'TAR FIN'!$A$1:$O$95,15,0)),0,VLOOKUP($T$512,'TAR FIN'!$A$1:$O$95,15,0))</f>
        <v>147.13999999999999</v>
      </c>
      <c r="X512" s="6">
        <f>IF(ISERROR(VLOOKUP($U$512,'TAR FIN'!$A$1:$O$95,15,0)),0,VLOOKUP($U$512,'TAR FIN'!$A$1:$O$95,15,0))</f>
        <v>85.16</v>
      </c>
      <c r="Y512" s="6"/>
      <c r="Z512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12" s="6">
        <f>('TE BE'!$AA$14+'TE BF'!$AA$14+'TE CVA'!$AA$14)*(1-CUSTOS!$M$34)</f>
        <v>104.02058230712306</v>
      </c>
      <c r="AB512" s="6">
        <f t="shared" si="18"/>
        <v>0</v>
      </c>
      <c r="AC512" s="6">
        <f>(L512-M512)*(W512+X512)+($W$660+$X$660-$W$512-$X$512)*(L512)</f>
        <v>876065.94922000018</v>
      </c>
      <c r="AD512" s="6">
        <f t="shared" si="20"/>
        <v>0</v>
      </c>
      <c r="AE512" s="6">
        <f ca="1">(L512-M512)*(Z512+AA512)+($Z$660+$AA$660-$Z$512-$AA$512)*(L512)</f>
        <v>999572.09735245211</v>
      </c>
      <c r="AF512" s="4" t="s">
        <v>845</v>
      </c>
    </row>
    <row r="513" spans="1:32" ht="11.25" customHeight="1" x14ac:dyDescent="0.25">
      <c r="A513" s="4" t="s">
        <v>27</v>
      </c>
      <c r="B513" s="4" t="s">
        <v>22</v>
      </c>
      <c r="C513" s="4" t="s">
        <v>23</v>
      </c>
      <c r="D513" s="4" t="s">
        <v>24</v>
      </c>
      <c r="E513" s="4" t="s">
        <v>31</v>
      </c>
      <c r="F513" s="4" t="s">
        <v>25</v>
      </c>
      <c r="G513" s="4" t="s">
        <v>25</v>
      </c>
      <c r="H513" s="4" t="s">
        <v>25</v>
      </c>
      <c r="I513" s="5">
        <v>44317</v>
      </c>
      <c r="J513" s="6">
        <v>0</v>
      </c>
      <c r="K513" s="6">
        <v>0</v>
      </c>
      <c r="L513" s="6">
        <v>-1.98</v>
      </c>
      <c r="M513" s="6">
        <v>-1.98</v>
      </c>
      <c r="N513" s="6">
        <v>-1.98</v>
      </c>
      <c r="O513" s="6">
        <v>-1.98</v>
      </c>
      <c r="P513" s="6">
        <v>0</v>
      </c>
      <c r="Q513" s="4" t="s">
        <v>26</v>
      </c>
      <c r="R513" s="4">
        <v>0</v>
      </c>
      <c r="S513" s="4">
        <v>0</v>
      </c>
      <c r="T513" s="4">
        <v>9</v>
      </c>
      <c r="U513" s="4">
        <v>59</v>
      </c>
      <c r="V513" s="6">
        <f>IF(ISERROR(VLOOKUP($S$513,'TAR FIN'!$A$1:$O$95,15,0)),0,VLOOKUP($S$513,'TAR FIN'!$A$1:$O$95,15,0))</f>
        <v>0</v>
      </c>
      <c r="W513" s="6">
        <f>IF(ISERROR(VLOOKUP($T$513,'TAR FIN'!$A$1:$O$95,15,0)),0,VLOOKUP($T$513,'TAR FIN'!$A$1:$O$95,15,0))</f>
        <v>147.13999999999999</v>
      </c>
      <c r="X513" s="6">
        <f>IF(ISERROR(VLOOKUP($U$513,'TAR FIN'!$A$1:$O$95,15,0)),0,VLOOKUP($U$513,'TAR FIN'!$A$1:$O$95,15,0))</f>
        <v>85.16</v>
      </c>
      <c r="Y513" s="6"/>
      <c r="Z513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13" s="6">
        <f>('TE BE'!$AA$14+'TE BF'!$AA$14+'TE CVA'!$AA$14)*(1-CUSTOS!$M$34)</f>
        <v>104.02058230712306</v>
      </c>
      <c r="AB513" s="6">
        <f t="shared" si="18"/>
        <v>0</v>
      </c>
      <c r="AC513" s="6">
        <f>(L513-M513)*(W513+X513)+($W$660+$X$660-$W$513-$X$513)*(L513)</f>
        <v>-854.15220000000022</v>
      </c>
      <c r="AD513" s="6">
        <f t="shared" si="20"/>
        <v>0</v>
      </c>
      <c r="AE513" s="6">
        <f ca="1">(L513-M513)*(Z513+AA513)+($Z$660+$AA$660-$Z$513-$AA$513)*(L513)</f>
        <v>-974.56898852463678</v>
      </c>
      <c r="AF513" s="4" t="s">
        <v>845</v>
      </c>
    </row>
    <row r="514" spans="1:32" ht="11.25" customHeight="1" x14ac:dyDescent="0.25">
      <c r="A514" s="4" t="s">
        <v>28</v>
      </c>
      <c r="B514" s="4" t="s">
        <v>22</v>
      </c>
      <c r="C514" s="4" t="s">
        <v>23</v>
      </c>
      <c r="D514" s="4" t="s">
        <v>24</v>
      </c>
      <c r="E514" s="4" t="s">
        <v>31</v>
      </c>
      <c r="F514" s="4" t="s">
        <v>25</v>
      </c>
      <c r="G514" s="4" t="s">
        <v>25</v>
      </c>
      <c r="H514" s="4" t="s">
        <v>25</v>
      </c>
      <c r="I514" s="5">
        <v>44317</v>
      </c>
      <c r="J514" s="6">
        <v>0</v>
      </c>
      <c r="K514" s="6">
        <v>0</v>
      </c>
      <c r="L514" s="6">
        <v>3735.4639999999999</v>
      </c>
      <c r="M514" s="6">
        <v>3735.4639999999999</v>
      </c>
      <c r="N514" s="6">
        <v>3735.4639999999999</v>
      </c>
      <c r="O514" s="6">
        <v>3735.4639999999999</v>
      </c>
      <c r="P514" s="6">
        <v>22748</v>
      </c>
      <c r="Q514" s="4" t="s">
        <v>26</v>
      </c>
      <c r="R514" s="4">
        <v>0</v>
      </c>
      <c r="S514" s="4">
        <v>0</v>
      </c>
      <c r="T514" s="4">
        <v>9</v>
      </c>
      <c r="U514" s="4">
        <v>59</v>
      </c>
      <c r="V514" s="6">
        <f>IF(ISERROR(VLOOKUP($S$514,'TAR FIN'!$A$1:$O$95,15,0)),0,VLOOKUP($S$514,'TAR FIN'!$A$1:$O$95,15,0))</f>
        <v>0</v>
      </c>
      <c r="W514" s="6">
        <f>IF(ISERROR(VLOOKUP($T$514,'TAR FIN'!$A$1:$O$95,15,0)),0,VLOOKUP($T$514,'TAR FIN'!$A$1:$O$95,15,0))</f>
        <v>147.13999999999999</v>
      </c>
      <c r="X514" s="6">
        <f>IF(ISERROR(VLOOKUP($U$514,'TAR FIN'!$A$1:$O$95,15,0)),0,VLOOKUP($U$514,'TAR FIN'!$A$1:$O$95,15,0))</f>
        <v>85.16</v>
      </c>
      <c r="Y514" s="6"/>
      <c r="Z514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14" s="6">
        <f>('TE BE'!$AA$14+'TE BF'!$AA$14+'TE CVA'!$AA$14)*(1-CUSTOS!$M$34)</f>
        <v>104.02058230712306</v>
      </c>
      <c r="AB514" s="6">
        <f t="shared" ref="AB514:AB577" si="22">(J514-K514)*V514</f>
        <v>0</v>
      </c>
      <c r="AC514" s="6">
        <f>(L514-M514)*(W514+X514)+($W$660+$X$660-$W$514-$X$514)*(L514)</f>
        <v>1611441.8149600003</v>
      </c>
      <c r="AD514" s="6">
        <f t="shared" ref="AD514:AD577" si="23">(J514-K514)*Y514</f>
        <v>0</v>
      </c>
      <c r="AE514" s="6">
        <f ca="1">(L514-M514)*(Z514+AA514)+($Z$660+$AA$660-$Z$514-$AA$514)*(L514)</f>
        <v>1838619.8849243403</v>
      </c>
      <c r="AF514" s="4" t="s">
        <v>845</v>
      </c>
    </row>
    <row r="515" spans="1:32" ht="11.25" customHeight="1" x14ac:dyDescent="0.25">
      <c r="A515" s="4" t="s">
        <v>29</v>
      </c>
      <c r="B515" s="4" t="s">
        <v>22</v>
      </c>
      <c r="C515" s="4" t="s">
        <v>23</v>
      </c>
      <c r="D515" s="4" t="s">
        <v>24</v>
      </c>
      <c r="E515" s="4" t="s">
        <v>31</v>
      </c>
      <c r="F515" s="4" t="s">
        <v>25</v>
      </c>
      <c r="G515" s="4" t="s">
        <v>25</v>
      </c>
      <c r="H515" s="4" t="s">
        <v>25</v>
      </c>
      <c r="I515" s="5">
        <v>44317</v>
      </c>
      <c r="J515" s="6">
        <v>0</v>
      </c>
      <c r="K515" s="6">
        <v>0</v>
      </c>
      <c r="L515" s="6">
        <v>-2.58</v>
      </c>
      <c r="M515" s="6">
        <v>-2.58</v>
      </c>
      <c r="N515" s="6">
        <v>-2.58</v>
      </c>
      <c r="O515" s="6">
        <v>-2.58</v>
      </c>
      <c r="P515" s="6">
        <v>0</v>
      </c>
      <c r="Q515" s="4" t="s">
        <v>26</v>
      </c>
      <c r="R515" s="4">
        <v>0</v>
      </c>
      <c r="S515" s="4">
        <v>0</v>
      </c>
      <c r="T515" s="4">
        <v>9</v>
      </c>
      <c r="U515" s="4">
        <v>59</v>
      </c>
      <c r="V515" s="6">
        <f>IF(ISERROR(VLOOKUP($S$515,'TAR FIN'!$A$1:$O$95,15,0)),0,VLOOKUP($S$515,'TAR FIN'!$A$1:$O$95,15,0))</f>
        <v>0</v>
      </c>
      <c r="W515" s="6">
        <f>IF(ISERROR(VLOOKUP($T$515,'TAR FIN'!$A$1:$O$95,15,0)),0,VLOOKUP($T$515,'TAR FIN'!$A$1:$O$95,15,0))</f>
        <v>147.13999999999999</v>
      </c>
      <c r="X515" s="6">
        <f>IF(ISERROR(VLOOKUP($U$515,'TAR FIN'!$A$1:$O$95,15,0)),0,VLOOKUP($U$515,'TAR FIN'!$A$1:$O$95,15,0))</f>
        <v>85.16</v>
      </c>
      <c r="Y515" s="6"/>
      <c r="Z515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15" s="6">
        <f>('TE BE'!$AA$14+'TE BF'!$AA$14+'TE CVA'!$AA$14)*(1-CUSTOS!$M$34)</f>
        <v>104.02058230712306</v>
      </c>
      <c r="AB515" s="6">
        <f t="shared" si="22"/>
        <v>0</v>
      </c>
      <c r="AC515" s="6">
        <f>(L515-M515)*(W515+X515)+($W$660+$X$660-$W$515-$X$515)*(L515)</f>
        <v>-1112.9862000000003</v>
      </c>
      <c r="AD515" s="6">
        <f t="shared" si="23"/>
        <v>0</v>
      </c>
      <c r="AE515" s="6">
        <f ca="1">(L515-M515)*(Z515+AA515)+($Z$660+$AA$660-$Z$515-$AA$515)*(L515)</f>
        <v>-1269.8929244411934</v>
      </c>
      <c r="AF515" s="4" t="s">
        <v>845</v>
      </c>
    </row>
    <row r="516" spans="1:32" ht="11.25" customHeight="1" x14ac:dyDescent="0.25">
      <c r="A516" s="4" t="s">
        <v>30</v>
      </c>
      <c r="B516" s="4" t="s">
        <v>22</v>
      </c>
      <c r="C516" s="4" t="s">
        <v>23</v>
      </c>
      <c r="D516" s="4" t="s">
        <v>24</v>
      </c>
      <c r="E516" s="4" t="s">
        <v>31</v>
      </c>
      <c r="F516" s="4" t="s">
        <v>25</v>
      </c>
      <c r="G516" s="4" t="s">
        <v>25</v>
      </c>
      <c r="H516" s="4" t="s">
        <v>25</v>
      </c>
      <c r="I516" s="5">
        <v>44317</v>
      </c>
      <c r="J516" s="6">
        <v>0</v>
      </c>
      <c r="K516" s="6">
        <v>0</v>
      </c>
      <c r="L516" s="6">
        <v>2.9529999999999998</v>
      </c>
      <c r="M516" s="6">
        <v>2.9529999999999998</v>
      </c>
      <c r="N516" s="6">
        <v>2.9529999999999998</v>
      </c>
      <c r="O516" s="6">
        <v>2.9529999999999998</v>
      </c>
      <c r="P516" s="6">
        <v>0</v>
      </c>
      <c r="Q516" s="4" t="s">
        <v>26</v>
      </c>
      <c r="R516" s="4">
        <v>0</v>
      </c>
      <c r="S516" s="4">
        <v>0</v>
      </c>
      <c r="T516" s="4">
        <v>9</v>
      </c>
      <c r="U516" s="4">
        <v>59</v>
      </c>
      <c r="V516" s="6">
        <f>IF(ISERROR(VLOOKUP($S$516,'TAR FIN'!$A$1:$O$95,15,0)),0,VLOOKUP($S$516,'TAR FIN'!$A$1:$O$95,15,0))</f>
        <v>0</v>
      </c>
      <c r="W516" s="6">
        <f>IF(ISERROR(VLOOKUP($T$516,'TAR FIN'!$A$1:$O$95,15,0)),0,VLOOKUP($T$516,'TAR FIN'!$A$1:$O$95,15,0))</f>
        <v>147.13999999999999</v>
      </c>
      <c r="X516" s="6">
        <f>IF(ISERROR(VLOOKUP($U$516,'TAR FIN'!$A$1:$O$95,15,0)),0,VLOOKUP($U$516,'TAR FIN'!$A$1:$O$95,15,0))</f>
        <v>85.16</v>
      </c>
      <c r="Y516" s="6"/>
      <c r="Z516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16" s="6">
        <f>('TE BE'!$AA$14+'TE BF'!$AA$14+'TE CVA'!$AA$14)*(1-CUSTOS!$M$34)</f>
        <v>104.02058230712306</v>
      </c>
      <c r="AB516" s="6">
        <f t="shared" si="22"/>
        <v>0</v>
      </c>
      <c r="AC516" s="6">
        <f>(L516-M516)*(W516+X516)+($W$660+$X$660-$W$516-$X$516)*(L516)</f>
        <v>1273.8946700000001</v>
      </c>
      <c r="AD516" s="6">
        <f t="shared" si="23"/>
        <v>0</v>
      </c>
      <c r="AE516" s="6">
        <f ca="1">(L516-M516)*(Z516+AA516)+($Z$660+$AA$660-$Z$516-$AA$516)*(L516)</f>
        <v>1453.4859712693192</v>
      </c>
      <c r="AF516" s="4" t="s">
        <v>845</v>
      </c>
    </row>
    <row r="517" spans="1:32" ht="11.25" customHeight="1" x14ac:dyDescent="0.25">
      <c r="A517" s="4" t="s">
        <v>30</v>
      </c>
      <c r="B517" s="4" t="s">
        <v>22</v>
      </c>
      <c r="C517" s="4" t="s">
        <v>23</v>
      </c>
      <c r="D517" s="4" t="s">
        <v>24</v>
      </c>
      <c r="E517" s="4" t="s">
        <v>31</v>
      </c>
      <c r="F517" s="4" t="s">
        <v>25</v>
      </c>
      <c r="G517" s="4" t="s">
        <v>25</v>
      </c>
      <c r="H517" s="4" t="s">
        <v>25</v>
      </c>
      <c r="I517" s="5">
        <v>44317</v>
      </c>
      <c r="J517" s="6">
        <v>0</v>
      </c>
      <c r="K517" s="6">
        <v>0</v>
      </c>
      <c r="L517" s="6">
        <v>0.219</v>
      </c>
      <c r="M517" s="6">
        <v>0.219</v>
      </c>
      <c r="N517" s="6">
        <v>0.219</v>
      </c>
      <c r="O517" s="6">
        <v>0.219</v>
      </c>
      <c r="P517" s="6">
        <v>0</v>
      </c>
      <c r="Q517" s="4" t="s">
        <v>26</v>
      </c>
      <c r="R517" s="4">
        <v>0</v>
      </c>
      <c r="S517" s="4">
        <v>0</v>
      </c>
      <c r="T517" s="4">
        <v>9</v>
      </c>
      <c r="U517" s="4">
        <v>59</v>
      </c>
      <c r="V517" s="6">
        <f>IF(ISERROR(VLOOKUP($S$517,'TAR FIN'!$A$1:$O$95,15,0)),0,VLOOKUP($S$517,'TAR FIN'!$A$1:$O$95,15,0))</f>
        <v>0</v>
      </c>
      <c r="W517" s="6">
        <f>IF(ISERROR(VLOOKUP($T$517,'TAR FIN'!$A$1:$O$95,15,0)),0,VLOOKUP($T$517,'TAR FIN'!$A$1:$O$95,15,0))</f>
        <v>147.13999999999999</v>
      </c>
      <c r="X517" s="6">
        <f>IF(ISERROR(VLOOKUP($U$517,'TAR FIN'!$A$1:$O$95,15,0)),0,VLOOKUP($U$517,'TAR FIN'!$A$1:$O$95,15,0))</f>
        <v>85.16</v>
      </c>
      <c r="Y517" s="6"/>
      <c r="Z517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17" s="6">
        <f>('TE BE'!$AA$14+'TE BF'!$AA$14+'TE CVA'!$AA$14)*(1-CUSTOS!$M$34)</f>
        <v>104.02058230712306</v>
      </c>
      <c r="AB517" s="6">
        <f t="shared" si="22"/>
        <v>0</v>
      </c>
      <c r="AC517" s="6">
        <f>(L517-M517)*(W517+X517)+($W$660+$X$660-$W$517-$X$517)*(L517)</f>
        <v>94.47441000000002</v>
      </c>
      <c r="AD517" s="6">
        <f t="shared" si="23"/>
        <v>0</v>
      </c>
      <c r="AE517" s="6">
        <f ca="1">(L517-M517)*(Z517+AA517)+($Z$660+$AA$660-$Z$517-$AA$517)*(L517)</f>
        <v>107.79323660954316</v>
      </c>
      <c r="AF517" s="4" t="s">
        <v>845</v>
      </c>
    </row>
    <row r="518" spans="1:32" ht="11.25" customHeight="1" x14ac:dyDescent="0.25">
      <c r="A518" s="4" t="s">
        <v>21</v>
      </c>
      <c r="B518" s="4" t="s">
        <v>22</v>
      </c>
      <c r="C518" s="4" t="s">
        <v>23</v>
      </c>
      <c r="D518" s="4" t="s">
        <v>24</v>
      </c>
      <c r="E518" s="4" t="s">
        <v>31</v>
      </c>
      <c r="F518" s="4" t="s">
        <v>25</v>
      </c>
      <c r="G518" s="4" t="s">
        <v>25</v>
      </c>
      <c r="H518" s="4" t="s">
        <v>25</v>
      </c>
      <c r="I518" s="5">
        <v>44348</v>
      </c>
      <c r="J518" s="6">
        <v>0</v>
      </c>
      <c r="K518" s="6">
        <v>0</v>
      </c>
      <c r="L518" s="6">
        <v>2065.8119999999999</v>
      </c>
      <c r="M518" s="6">
        <v>2065.8119999999999</v>
      </c>
      <c r="N518" s="6">
        <v>2065.8119999999999</v>
      </c>
      <c r="O518" s="6">
        <v>2065.8119999999999</v>
      </c>
      <c r="P518" s="6">
        <v>9284</v>
      </c>
      <c r="Q518" s="4" t="s">
        <v>26</v>
      </c>
      <c r="R518" s="4">
        <v>0</v>
      </c>
      <c r="S518" s="4">
        <v>0</v>
      </c>
      <c r="T518" s="4">
        <v>9</v>
      </c>
      <c r="U518" s="4">
        <v>59</v>
      </c>
      <c r="V518" s="6">
        <f>IF(ISERROR(VLOOKUP($S$518,'TAR FIN'!$A$1:$O$95,15,0)),0,VLOOKUP($S$518,'TAR FIN'!$A$1:$O$95,15,0))</f>
        <v>0</v>
      </c>
      <c r="W518" s="6">
        <f>IF(ISERROR(VLOOKUP($T$518,'TAR FIN'!$A$1:$O$95,15,0)),0,VLOOKUP($T$518,'TAR FIN'!$A$1:$O$95,15,0))</f>
        <v>147.13999999999999</v>
      </c>
      <c r="X518" s="6">
        <f>IF(ISERROR(VLOOKUP($U$518,'TAR FIN'!$A$1:$O$95,15,0)),0,VLOOKUP($U$518,'TAR FIN'!$A$1:$O$95,15,0))</f>
        <v>85.16</v>
      </c>
      <c r="Y518" s="6"/>
      <c r="Z518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18" s="6">
        <f>('TE BE'!$AA$14+'TE BF'!$AA$14+'TE CVA'!$AA$14)*(1-CUSTOS!$M$34)</f>
        <v>104.02058230712306</v>
      </c>
      <c r="AB518" s="6">
        <f t="shared" si="22"/>
        <v>0</v>
      </c>
      <c r="AC518" s="6">
        <f>(L518-M518)*(W518+X518)+($W$660+$X$660-$W$518-$X$518)*(L518)</f>
        <v>891170.63868000021</v>
      </c>
      <c r="AD518" s="6">
        <f t="shared" si="23"/>
        <v>0</v>
      </c>
      <c r="AE518" s="6">
        <f ca="1">(L518-M518)*(Z518+AA518)+($Z$660+$AA$660-$Z$518-$AA$518)*(L518)</f>
        <v>1016806.2178394226</v>
      </c>
      <c r="AF518" s="4" t="s">
        <v>845</v>
      </c>
    </row>
    <row r="519" spans="1:32" ht="11.25" customHeight="1" x14ac:dyDescent="0.25">
      <c r="A519" s="4" t="s">
        <v>27</v>
      </c>
      <c r="B519" s="4" t="s">
        <v>22</v>
      </c>
      <c r="C519" s="4" t="s">
        <v>23</v>
      </c>
      <c r="D519" s="4" t="s">
        <v>24</v>
      </c>
      <c r="E519" s="4" t="s">
        <v>31</v>
      </c>
      <c r="F519" s="4" t="s">
        <v>25</v>
      </c>
      <c r="G519" s="4" t="s">
        <v>25</v>
      </c>
      <c r="H519" s="4" t="s">
        <v>25</v>
      </c>
      <c r="I519" s="5">
        <v>44348</v>
      </c>
      <c r="J519" s="6">
        <v>0</v>
      </c>
      <c r="K519" s="6">
        <v>0</v>
      </c>
      <c r="L519" s="6">
        <v>-5.28</v>
      </c>
      <c r="M519" s="6">
        <v>-5.28</v>
      </c>
      <c r="N519" s="6">
        <v>-5.28</v>
      </c>
      <c r="O519" s="6">
        <v>-5.28</v>
      </c>
      <c r="P519" s="6">
        <v>0</v>
      </c>
      <c r="Q519" s="4" t="s">
        <v>26</v>
      </c>
      <c r="R519" s="4">
        <v>0</v>
      </c>
      <c r="S519" s="4">
        <v>0</v>
      </c>
      <c r="T519" s="4">
        <v>9</v>
      </c>
      <c r="U519" s="4">
        <v>59</v>
      </c>
      <c r="V519" s="6">
        <f>IF(ISERROR(VLOOKUP($S$519,'TAR FIN'!$A$1:$O$95,15,0)),0,VLOOKUP($S$519,'TAR FIN'!$A$1:$O$95,15,0))</f>
        <v>0</v>
      </c>
      <c r="W519" s="6">
        <f>IF(ISERROR(VLOOKUP($T$519,'TAR FIN'!$A$1:$O$95,15,0)),0,VLOOKUP($T$519,'TAR FIN'!$A$1:$O$95,15,0))</f>
        <v>147.13999999999999</v>
      </c>
      <c r="X519" s="6">
        <f>IF(ISERROR(VLOOKUP($U$519,'TAR FIN'!$A$1:$O$95,15,0)),0,VLOOKUP($U$519,'TAR FIN'!$A$1:$O$95,15,0))</f>
        <v>85.16</v>
      </c>
      <c r="Y519" s="6"/>
      <c r="Z519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19" s="6">
        <f>('TE BE'!$AA$14+'TE BF'!$AA$14+'TE CVA'!$AA$14)*(1-CUSTOS!$M$34)</f>
        <v>104.02058230712306</v>
      </c>
      <c r="AB519" s="6">
        <f t="shared" si="22"/>
        <v>0</v>
      </c>
      <c r="AC519" s="6">
        <f>(L519-M519)*(W519+X519)+($W$660+$X$660-$W$519-$X$519)*(L519)</f>
        <v>-2277.7392000000004</v>
      </c>
      <c r="AD519" s="6">
        <f t="shared" si="23"/>
        <v>0</v>
      </c>
      <c r="AE519" s="6">
        <f ca="1">(L519-M519)*(Z519+AA519)+($Z$660+$AA$660-$Z$519-$AA$519)*(L519)</f>
        <v>-2598.8506360656979</v>
      </c>
      <c r="AF519" s="4" t="s">
        <v>845</v>
      </c>
    </row>
    <row r="520" spans="1:32" ht="11.25" customHeight="1" x14ac:dyDescent="0.25">
      <c r="A520" s="4" t="s">
        <v>28</v>
      </c>
      <c r="B520" s="4" t="s">
        <v>22</v>
      </c>
      <c r="C520" s="4" t="s">
        <v>23</v>
      </c>
      <c r="D520" s="4" t="s">
        <v>24</v>
      </c>
      <c r="E520" s="4" t="s">
        <v>31</v>
      </c>
      <c r="F520" s="4" t="s">
        <v>25</v>
      </c>
      <c r="G520" s="4" t="s">
        <v>25</v>
      </c>
      <c r="H520" s="4" t="s">
        <v>25</v>
      </c>
      <c r="I520" s="5">
        <v>44348</v>
      </c>
      <c r="J520" s="6">
        <v>0</v>
      </c>
      <c r="K520" s="6">
        <v>0</v>
      </c>
      <c r="L520" s="6">
        <v>3767.37</v>
      </c>
      <c r="M520" s="6">
        <v>3767.37</v>
      </c>
      <c r="N520" s="6">
        <v>3767.37</v>
      </c>
      <c r="O520" s="6">
        <v>3767.37</v>
      </c>
      <c r="P520" s="6">
        <v>22725</v>
      </c>
      <c r="Q520" s="4" t="s">
        <v>26</v>
      </c>
      <c r="R520" s="4">
        <v>0</v>
      </c>
      <c r="S520" s="4">
        <v>0</v>
      </c>
      <c r="T520" s="4">
        <v>9</v>
      </c>
      <c r="U520" s="4">
        <v>59</v>
      </c>
      <c r="V520" s="6">
        <f>IF(ISERROR(VLOOKUP($S$520,'TAR FIN'!$A$1:$O$95,15,0)),0,VLOOKUP($S$520,'TAR FIN'!$A$1:$O$95,15,0))</f>
        <v>0</v>
      </c>
      <c r="W520" s="6">
        <f>IF(ISERROR(VLOOKUP($T$520,'TAR FIN'!$A$1:$O$95,15,0)),0,VLOOKUP($T$520,'TAR FIN'!$A$1:$O$95,15,0))</f>
        <v>147.13999999999999</v>
      </c>
      <c r="X520" s="6">
        <f>IF(ISERROR(VLOOKUP($U$520,'TAR FIN'!$A$1:$O$95,15,0)),0,VLOOKUP($U$520,'TAR FIN'!$A$1:$O$95,15,0))</f>
        <v>85.16</v>
      </c>
      <c r="Y520" s="6"/>
      <c r="Z520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20" s="6">
        <f>('TE BE'!$AA$14+'TE BF'!$AA$14+'TE CVA'!$AA$14)*(1-CUSTOS!$M$34)</f>
        <v>104.02058230712306</v>
      </c>
      <c r="AB520" s="6">
        <f t="shared" si="22"/>
        <v>0</v>
      </c>
      <c r="AC520" s="6">
        <f>(L520-M520)*(W520+X520)+($W$660+$X$660-$W$520-$X$520)*(L520)</f>
        <v>1625205.7443000004</v>
      </c>
      <c r="AD520" s="6">
        <f t="shared" si="23"/>
        <v>0</v>
      </c>
      <c r="AE520" s="6">
        <f ca="1">(L520-M520)*(Z520+AA520)+($Z$660+$AA$660-$Z$520-$AA$520)*(L520)</f>
        <v>1854324.227423263</v>
      </c>
      <c r="AF520" s="4" t="s">
        <v>845</v>
      </c>
    </row>
    <row r="521" spans="1:32" ht="11.25" customHeight="1" x14ac:dyDescent="0.25">
      <c r="A521" s="4" t="s">
        <v>29</v>
      </c>
      <c r="B521" s="4" t="s">
        <v>22</v>
      </c>
      <c r="C521" s="4" t="s">
        <v>23</v>
      </c>
      <c r="D521" s="4" t="s">
        <v>24</v>
      </c>
      <c r="E521" s="4" t="s">
        <v>31</v>
      </c>
      <c r="F521" s="4" t="s">
        <v>25</v>
      </c>
      <c r="G521" s="4" t="s">
        <v>25</v>
      </c>
      <c r="H521" s="4" t="s">
        <v>25</v>
      </c>
      <c r="I521" s="5">
        <v>44348</v>
      </c>
      <c r="J521" s="6">
        <v>0</v>
      </c>
      <c r="K521" s="6">
        <v>0</v>
      </c>
      <c r="L521" s="6">
        <v>-5.67</v>
      </c>
      <c r="M521" s="6">
        <v>-5.67</v>
      </c>
      <c r="N521" s="6">
        <v>-5.67</v>
      </c>
      <c r="O521" s="6">
        <v>-5.67</v>
      </c>
      <c r="P521" s="6">
        <v>0</v>
      </c>
      <c r="Q521" s="4" t="s">
        <v>26</v>
      </c>
      <c r="R521" s="4">
        <v>0</v>
      </c>
      <c r="S521" s="4">
        <v>0</v>
      </c>
      <c r="T521" s="4">
        <v>9</v>
      </c>
      <c r="U521" s="4">
        <v>59</v>
      </c>
      <c r="V521" s="6">
        <f>IF(ISERROR(VLOOKUP($S$521,'TAR FIN'!$A$1:$O$95,15,0)),0,VLOOKUP($S$521,'TAR FIN'!$A$1:$O$95,15,0))</f>
        <v>0</v>
      </c>
      <c r="W521" s="6">
        <f>IF(ISERROR(VLOOKUP($T$521,'TAR FIN'!$A$1:$O$95,15,0)),0,VLOOKUP($T$521,'TAR FIN'!$A$1:$O$95,15,0))</f>
        <v>147.13999999999999</v>
      </c>
      <c r="X521" s="6">
        <f>IF(ISERROR(VLOOKUP($U$521,'TAR FIN'!$A$1:$O$95,15,0)),0,VLOOKUP($U$521,'TAR FIN'!$A$1:$O$95,15,0))</f>
        <v>85.16</v>
      </c>
      <c r="Y521" s="6"/>
      <c r="Z521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21" s="6">
        <f>('TE BE'!$AA$14+'TE BF'!$AA$14+'TE CVA'!$AA$14)*(1-CUSTOS!$M$34)</f>
        <v>104.02058230712306</v>
      </c>
      <c r="AB521" s="6">
        <f t="shared" si="22"/>
        <v>0</v>
      </c>
      <c r="AC521" s="6">
        <f>(L521-M521)*(W521+X521)+($W$660+$X$660-$W$521-$X$521)*(L521)</f>
        <v>-2445.9813000000004</v>
      </c>
      <c r="AD521" s="6">
        <f t="shared" si="23"/>
        <v>0</v>
      </c>
      <c r="AE521" s="6">
        <f ca="1">(L521-M521)*(Z521+AA521)+($Z$660+$AA$660-$Z$521-$AA$521)*(L521)</f>
        <v>-2790.8111944114598</v>
      </c>
      <c r="AF521" s="4" t="s">
        <v>845</v>
      </c>
    </row>
    <row r="522" spans="1:32" ht="11.25" customHeight="1" x14ac:dyDescent="0.25">
      <c r="A522" s="4" t="s">
        <v>30</v>
      </c>
      <c r="B522" s="4" t="s">
        <v>22</v>
      </c>
      <c r="C522" s="4" t="s">
        <v>23</v>
      </c>
      <c r="D522" s="4" t="s">
        <v>24</v>
      </c>
      <c r="E522" s="4" t="s">
        <v>31</v>
      </c>
      <c r="F522" s="4" t="s">
        <v>25</v>
      </c>
      <c r="G522" s="4" t="s">
        <v>25</v>
      </c>
      <c r="H522" s="4" t="s">
        <v>25</v>
      </c>
      <c r="I522" s="5">
        <v>44348</v>
      </c>
      <c r="J522" s="6">
        <v>0</v>
      </c>
      <c r="K522" s="6">
        <v>0</v>
      </c>
      <c r="L522" s="6">
        <v>3.6619999999999999</v>
      </c>
      <c r="M522" s="6">
        <v>3.6619999999999999</v>
      </c>
      <c r="N522" s="6">
        <v>3.6619999999999999</v>
      </c>
      <c r="O522" s="6">
        <v>3.6619999999999999</v>
      </c>
      <c r="P522" s="6">
        <v>0</v>
      </c>
      <c r="Q522" s="4" t="s">
        <v>26</v>
      </c>
      <c r="R522" s="4">
        <v>0</v>
      </c>
      <c r="S522" s="4">
        <v>0</v>
      </c>
      <c r="T522" s="4">
        <v>9</v>
      </c>
      <c r="U522" s="4">
        <v>59</v>
      </c>
      <c r="V522" s="6">
        <f>IF(ISERROR(VLOOKUP($S$522,'TAR FIN'!$A$1:$O$95,15,0)),0,VLOOKUP($S$522,'TAR FIN'!$A$1:$O$95,15,0))</f>
        <v>0</v>
      </c>
      <c r="W522" s="6">
        <f>IF(ISERROR(VLOOKUP($T$522,'TAR FIN'!$A$1:$O$95,15,0)),0,VLOOKUP($T$522,'TAR FIN'!$A$1:$O$95,15,0))</f>
        <v>147.13999999999999</v>
      </c>
      <c r="X522" s="6">
        <f>IF(ISERROR(VLOOKUP($U$522,'TAR FIN'!$A$1:$O$95,15,0)),0,VLOOKUP($U$522,'TAR FIN'!$A$1:$O$95,15,0))</f>
        <v>85.16</v>
      </c>
      <c r="Y522" s="6"/>
      <c r="Z522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22" s="6">
        <f>('TE BE'!$AA$14+'TE BF'!$AA$14+'TE CVA'!$AA$14)*(1-CUSTOS!$M$34)</f>
        <v>104.02058230712306</v>
      </c>
      <c r="AB522" s="6">
        <f t="shared" si="22"/>
        <v>0</v>
      </c>
      <c r="AC522" s="6">
        <f>(L522-M522)*(W522+X522)+($W$660+$X$660-$W$522-$X$522)*(L522)</f>
        <v>1579.7501800000002</v>
      </c>
      <c r="AD522" s="6">
        <f t="shared" si="23"/>
        <v>0</v>
      </c>
      <c r="AE522" s="6">
        <f ca="1">(L522-M522)*(Z522+AA522)+($Z$660+$AA$660-$Z$522-$AA$522)*(L522)</f>
        <v>1802.4604222107171</v>
      </c>
      <c r="AF522" s="4" t="s">
        <v>845</v>
      </c>
    </row>
    <row r="523" spans="1:32" ht="11.25" customHeight="1" x14ac:dyDescent="0.25">
      <c r="A523" s="4" t="s">
        <v>21</v>
      </c>
      <c r="B523" s="4" t="s">
        <v>22</v>
      </c>
      <c r="C523" s="4" t="s">
        <v>23</v>
      </c>
      <c r="D523" s="4" t="s">
        <v>24</v>
      </c>
      <c r="E523" s="4" t="s">
        <v>31</v>
      </c>
      <c r="F523" s="4" t="s">
        <v>25</v>
      </c>
      <c r="G523" s="4" t="s">
        <v>25</v>
      </c>
      <c r="H523" s="4" t="s">
        <v>25</v>
      </c>
      <c r="I523" s="5">
        <v>44378</v>
      </c>
      <c r="J523" s="6">
        <v>0</v>
      </c>
      <c r="K523" s="6">
        <v>0</v>
      </c>
      <c r="L523" s="6">
        <v>2036.2950000000001</v>
      </c>
      <c r="M523" s="6">
        <v>2036.2950000000001</v>
      </c>
      <c r="N523" s="6">
        <v>2036.2950000000001</v>
      </c>
      <c r="O523" s="6">
        <v>2036.2950000000001</v>
      </c>
      <c r="P523" s="6">
        <v>9210</v>
      </c>
      <c r="Q523" s="4" t="s">
        <v>26</v>
      </c>
      <c r="R523" s="4">
        <v>0</v>
      </c>
      <c r="S523" s="4">
        <v>0</v>
      </c>
      <c r="T523" s="4">
        <v>9</v>
      </c>
      <c r="U523" s="4">
        <v>59</v>
      </c>
      <c r="V523" s="6">
        <f>IF(ISERROR(VLOOKUP($S$523,'TAR FIN'!$A$1:$O$95,15,0)),0,VLOOKUP($S$523,'TAR FIN'!$A$1:$O$95,15,0))</f>
        <v>0</v>
      </c>
      <c r="W523" s="6">
        <f>IF(ISERROR(VLOOKUP($T$523,'TAR FIN'!$A$1:$O$95,15,0)),0,VLOOKUP($T$523,'TAR FIN'!$A$1:$O$95,15,0))</f>
        <v>147.13999999999999</v>
      </c>
      <c r="X523" s="6">
        <f>IF(ISERROR(VLOOKUP($U$523,'TAR FIN'!$A$1:$O$95,15,0)),0,VLOOKUP($U$523,'TAR FIN'!$A$1:$O$95,15,0))</f>
        <v>85.16</v>
      </c>
      <c r="Y523" s="6"/>
      <c r="Z523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23" s="6">
        <f>('TE BE'!$AA$14+'TE BF'!$AA$14+'TE CVA'!$AA$14)*(1-CUSTOS!$M$34)</f>
        <v>104.02058230712306</v>
      </c>
      <c r="AB523" s="6">
        <f t="shared" si="22"/>
        <v>0</v>
      </c>
      <c r="AC523" s="6">
        <f>(L523-M523)*(W523+X523)+($W$660+$X$660-$W$523-$X$523)*(L523)</f>
        <v>878437.30005000019</v>
      </c>
      <c r="AD523" s="6">
        <f t="shared" si="23"/>
        <v>0</v>
      </c>
      <c r="AE523" s="6">
        <f ca="1">(L523-M523)*(Z523+AA523)+($Z$660+$AA$660-$Z$523-$AA$523)*(L523)</f>
        <v>1002277.7568120077</v>
      </c>
      <c r="AF523" s="4" t="s">
        <v>845</v>
      </c>
    </row>
    <row r="524" spans="1:32" ht="11.25" customHeight="1" x14ac:dyDescent="0.25">
      <c r="A524" s="4" t="s">
        <v>27</v>
      </c>
      <c r="B524" s="4" t="s">
        <v>22</v>
      </c>
      <c r="C524" s="4" t="s">
        <v>23</v>
      </c>
      <c r="D524" s="4" t="s">
        <v>24</v>
      </c>
      <c r="E524" s="4" t="s">
        <v>31</v>
      </c>
      <c r="F524" s="4" t="s">
        <v>25</v>
      </c>
      <c r="G524" s="4" t="s">
        <v>25</v>
      </c>
      <c r="H524" s="4" t="s">
        <v>25</v>
      </c>
      <c r="I524" s="5">
        <v>44378</v>
      </c>
      <c r="J524" s="6">
        <v>0</v>
      </c>
      <c r="K524" s="6">
        <v>0</v>
      </c>
      <c r="L524" s="6">
        <v>-3.39</v>
      </c>
      <c r="M524" s="6">
        <v>-3.39</v>
      </c>
      <c r="N524" s="6">
        <v>-3.39</v>
      </c>
      <c r="O524" s="6">
        <v>-3.39</v>
      </c>
      <c r="P524" s="6">
        <v>0</v>
      </c>
      <c r="Q524" s="4" t="s">
        <v>26</v>
      </c>
      <c r="R524" s="4">
        <v>0</v>
      </c>
      <c r="S524" s="4">
        <v>0</v>
      </c>
      <c r="T524" s="4">
        <v>9</v>
      </c>
      <c r="U524" s="4">
        <v>59</v>
      </c>
      <c r="V524" s="6">
        <f>IF(ISERROR(VLOOKUP($S$524,'TAR FIN'!$A$1:$O$95,15,0)),0,VLOOKUP($S$524,'TAR FIN'!$A$1:$O$95,15,0))</f>
        <v>0</v>
      </c>
      <c r="W524" s="6">
        <f>IF(ISERROR(VLOOKUP($T$524,'TAR FIN'!$A$1:$O$95,15,0)),0,VLOOKUP($T$524,'TAR FIN'!$A$1:$O$95,15,0))</f>
        <v>147.13999999999999</v>
      </c>
      <c r="X524" s="6">
        <f>IF(ISERROR(VLOOKUP($U$524,'TAR FIN'!$A$1:$O$95,15,0)),0,VLOOKUP($U$524,'TAR FIN'!$A$1:$O$95,15,0))</f>
        <v>85.16</v>
      </c>
      <c r="Y524" s="6"/>
      <c r="Z524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24" s="6">
        <f>('TE BE'!$AA$14+'TE BF'!$AA$14+'TE CVA'!$AA$14)*(1-CUSTOS!$M$34)</f>
        <v>104.02058230712306</v>
      </c>
      <c r="AB524" s="6">
        <f t="shared" si="22"/>
        <v>0</v>
      </c>
      <c r="AC524" s="6">
        <f>(L524-M524)*(W524+X524)+($W$660+$X$660-$W$524-$X$524)*(L524)</f>
        <v>-1462.4121000000005</v>
      </c>
      <c r="AD524" s="6">
        <f t="shared" si="23"/>
        <v>0</v>
      </c>
      <c r="AE524" s="6">
        <f ca="1">(L524-M524)*(Z524+AA524)+($Z$660+$AA$660-$Z$524-$AA$524)*(L524)</f>
        <v>-1668.5802379285449</v>
      </c>
      <c r="AF524" s="4" t="s">
        <v>845</v>
      </c>
    </row>
    <row r="525" spans="1:32" ht="11.25" customHeight="1" x14ac:dyDescent="0.25">
      <c r="A525" s="4" t="s">
        <v>28</v>
      </c>
      <c r="B525" s="4" t="s">
        <v>22</v>
      </c>
      <c r="C525" s="4" t="s">
        <v>23</v>
      </c>
      <c r="D525" s="4" t="s">
        <v>24</v>
      </c>
      <c r="E525" s="4" t="s">
        <v>31</v>
      </c>
      <c r="F525" s="4" t="s">
        <v>25</v>
      </c>
      <c r="G525" s="4" t="s">
        <v>25</v>
      </c>
      <c r="H525" s="4" t="s">
        <v>25</v>
      </c>
      <c r="I525" s="5">
        <v>44378</v>
      </c>
      <c r="J525" s="6">
        <v>0</v>
      </c>
      <c r="K525" s="6">
        <v>0</v>
      </c>
      <c r="L525" s="6">
        <v>3764.8919999999998</v>
      </c>
      <c r="M525" s="6">
        <v>3764.8919999999998</v>
      </c>
      <c r="N525" s="6">
        <v>3764.8919999999998</v>
      </c>
      <c r="O525" s="6">
        <v>3764.8919999999998</v>
      </c>
      <c r="P525" s="6">
        <v>23385</v>
      </c>
      <c r="Q525" s="4" t="s">
        <v>26</v>
      </c>
      <c r="R525" s="4">
        <v>0</v>
      </c>
      <c r="S525" s="4">
        <v>0</v>
      </c>
      <c r="T525" s="4">
        <v>9</v>
      </c>
      <c r="U525" s="4">
        <v>59</v>
      </c>
      <c r="V525" s="6">
        <f>IF(ISERROR(VLOOKUP($S$525,'TAR FIN'!$A$1:$O$95,15,0)),0,VLOOKUP($S$525,'TAR FIN'!$A$1:$O$95,15,0))</f>
        <v>0</v>
      </c>
      <c r="W525" s="6">
        <f>IF(ISERROR(VLOOKUP($T$525,'TAR FIN'!$A$1:$O$95,15,0)),0,VLOOKUP($T$525,'TAR FIN'!$A$1:$O$95,15,0))</f>
        <v>147.13999999999999</v>
      </c>
      <c r="X525" s="6">
        <f>IF(ISERROR(VLOOKUP($U$525,'TAR FIN'!$A$1:$O$95,15,0)),0,VLOOKUP($U$525,'TAR FIN'!$A$1:$O$95,15,0))</f>
        <v>85.16</v>
      </c>
      <c r="Y525" s="6"/>
      <c r="Z525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25" s="6">
        <f>('TE BE'!$AA$14+'TE BF'!$AA$14+'TE CVA'!$AA$14)*(1-CUSTOS!$M$34)</f>
        <v>104.02058230712306</v>
      </c>
      <c r="AB525" s="6">
        <f t="shared" si="22"/>
        <v>0</v>
      </c>
      <c r="AC525" s="6">
        <f>(L525-M525)*(W525+X525)+($W$660+$X$660-$W$525-$X$525)*(L525)</f>
        <v>1624136.7598800003</v>
      </c>
      <c r="AD525" s="6">
        <f t="shared" si="23"/>
        <v>0</v>
      </c>
      <c r="AE525" s="6">
        <f ca="1">(L525-M525)*(Z525+AA525)+($Z$660+$AA$660-$Z$525-$AA$525)*(L525)</f>
        <v>1853104.5395679276</v>
      </c>
      <c r="AF525" s="4" t="s">
        <v>845</v>
      </c>
    </row>
    <row r="526" spans="1:32" ht="11.25" customHeight="1" x14ac:dyDescent="0.25">
      <c r="A526" s="4" t="s">
        <v>29</v>
      </c>
      <c r="B526" s="4" t="s">
        <v>22</v>
      </c>
      <c r="C526" s="4" t="s">
        <v>23</v>
      </c>
      <c r="D526" s="4" t="s">
        <v>24</v>
      </c>
      <c r="E526" s="4" t="s">
        <v>31</v>
      </c>
      <c r="F526" s="4" t="s">
        <v>25</v>
      </c>
      <c r="G526" s="4" t="s">
        <v>25</v>
      </c>
      <c r="H526" s="4" t="s">
        <v>25</v>
      </c>
      <c r="I526" s="5">
        <v>44378</v>
      </c>
      <c r="J526" s="6">
        <v>0</v>
      </c>
      <c r="K526" s="6">
        <v>0</v>
      </c>
      <c r="L526" s="6">
        <v>-4.7699999999999996</v>
      </c>
      <c r="M526" s="6">
        <v>-4.7699999999999996</v>
      </c>
      <c r="N526" s="6">
        <v>-4.7699999999999996</v>
      </c>
      <c r="O526" s="6">
        <v>-4.7699999999999996</v>
      </c>
      <c r="P526" s="6">
        <v>0</v>
      </c>
      <c r="Q526" s="4" t="s">
        <v>26</v>
      </c>
      <c r="R526" s="4">
        <v>0</v>
      </c>
      <c r="S526" s="4">
        <v>0</v>
      </c>
      <c r="T526" s="4">
        <v>9</v>
      </c>
      <c r="U526" s="4">
        <v>59</v>
      </c>
      <c r="V526" s="6">
        <f>IF(ISERROR(VLOOKUP($S$526,'TAR FIN'!$A$1:$O$95,15,0)),0,VLOOKUP($S$526,'TAR FIN'!$A$1:$O$95,15,0))</f>
        <v>0</v>
      </c>
      <c r="W526" s="6">
        <f>IF(ISERROR(VLOOKUP($T$526,'TAR FIN'!$A$1:$O$95,15,0)),0,VLOOKUP($T$526,'TAR FIN'!$A$1:$O$95,15,0))</f>
        <v>147.13999999999999</v>
      </c>
      <c r="X526" s="6">
        <f>IF(ISERROR(VLOOKUP($U$526,'TAR FIN'!$A$1:$O$95,15,0)),0,VLOOKUP($U$526,'TAR FIN'!$A$1:$O$95,15,0))</f>
        <v>85.16</v>
      </c>
      <c r="Y526" s="6"/>
      <c r="Z526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26" s="6">
        <f>('TE BE'!$AA$14+'TE BF'!$AA$14+'TE CVA'!$AA$14)*(1-CUSTOS!$M$34)</f>
        <v>104.02058230712306</v>
      </c>
      <c r="AB526" s="6">
        <f t="shared" si="22"/>
        <v>0</v>
      </c>
      <c r="AC526" s="6">
        <f>(L526-M526)*(W526+X526)+($W$660+$X$660-$W$526-$X$526)*(L526)</f>
        <v>-2057.7303000000002</v>
      </c>
      <c r="AD526" s="6">
        <f t="shared" si="23"/>
        <v>0</v>
      </c>
      <c r="AE526" s="6">
        <f ca="1">(L526-M526)*(Z526+AA526)+($Z$660+$AA$660-$Z$526-$AA$526)*(L526)</f>
        <v>-2347.8252905366248</v>
      </c>
      <c r="AF526" s="4" t="s">
        <v>845</v>
      </c>
    </row>
    <row r="527" spans="1:32" ht="11.25" customHeight="1" x14ac:dyDescent="0.25">
      <c r="A527" s="4" t="s">
        <v>30</v>
      </c>
      <c r="B527" s="4" t="s">
        <v>22</v>
      </c>
      <c r="C527" s="4" t="s">
        <v>23</v>
      </c>
      <c r="D527" s="4" t="s">
        <v>24</v>
      </c>
      <c r="E527" s="4" t="s">
        <v>31</v>
      </c>
      <c r="F527" s="4" t="s">
        <v>25</v>
      </c>
      <c r="G527" s="4" t="s">
        <v>25</v>
      </c>
      <c r="H527" s="4" t="s">
        <v>25</v>
      </c>
      <c r="I527" s="5">
        <v>44378</v>
      </c>
      <c r="J527" s="6">
        <v>0</v>
      </c>
      <c r="K527" s="6">
        <v>0</v>
      </c>
      <c r="L527" s="6">
        <v>4.5609999999999999</v>
      </c>
      <c r="M527" s="6">
        <v>4.5609999999999999</v>
      </c>
      <c r="N527" s="6">
        <v>4.5609999999999999</v>
      </c>
      <c r="O527" s="6">
        <v>4.5609999999999999</v>
      </c>
      <c r="P527" s="6">
        <v>0</v>
      </c>
      <c r="Q527" s="4" t="s">
        <v>26</v>
      </c>
      <c r="R527" s="4">
        <v>0</v>
      </c>
      <c r="S527" s="4">
        <v>0</v>
      </c>
      <c r="T527" s="4">
        <v>9</v>
      </c>
      <c r="U527" s="4">
        <v>59</v>
      </c>
      <c r="V527" s="6">
        <f>IF(ISERROR(VLOOKUP($S$527,'TAR FIN'!$A$1:$O$95,15,0)),0,VLOOKUP($S$527,'TAR FIN'!$A$1:$O$95,15,0))</f>
        <v>0</v>
      </c>
      <c r="W527" s="6">
        <f>IF(ISERROR(VLOOKUP($T$527,'TAR FIN'!$A$1:$O$95,15,0)),0,VLOOKUP($T$527,'TAR FIN'!$A$1:$O$95,15,0))</f>
        <v>147.13999999999999</v>
      </c>
      <c r="X527" s="6">
        <f>IF(ISERROR(VLOOKUP($U$527,'TAR FIN'!$A$1:$O$95,15,0)),0,VLOOKUP($U$527,'TAR FIN'!$A$1:$O$95,15,0))</f>
        <v>85.16</v>
      </c>
      <c r="Y527" s="6"/>
      <c r="Z527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27" s="6">
        <f>('TE BE'!$AA$14+'TE BF'!$AA$14+'TE CVA'!$AA$14)*(1-CUSTOS!$M$34)</f>
        <v>104.02058230712306</v>
      </c>
      <c r="AB527" s="6">
        <f t="shared" si="22"/>
        <v>0</v>
      </c>
      <c r="AC527" s="6">
        <f>(L527-M527)*(W527+X527)+($W$660+$X$660-$W$527-$X$527)*(L527)</f>
        <v>1967.5697900000005</v>
      </c>
      <c r="AD527" s="6">
        <f t="shared" si="23"/>
        <v>0</v>
      </c>
      <c r="AE527" s="6">
        <f ca="1">(L527-M527)*(Z527+AA527)+($Z$660+$AA$660-$Z$527-$AA$527)*(L527)</f>
        <v>2244.9541195256911</v>
      </c>
      <c r="AF527" s="4" t="s">
        <v>845</v>
      </c>
    </row>
    <row r="528" spans="1:32" ht="11.25" customHeight="1" x14ac:dyDescent="0.25">
      <c r="A528" s="4" t="s">
        <v>21</v>
      </c>
      <c r="B528" s="4" t="s">
        <v>22</v>
      </c>
      <c r="C528" s="4" t="s">
        <v>23</v>
      </c>
      <c r="D528" s="4" t="s">
        <v>24</v>
      </c>
      <c r="E528" s="4" t="s">
        <v>31</v>
      </c>
      <c r="F528" s="4" t="s">
        <v>25</v>
      </c>
      <c r="G528" s="4" t="s">
        <v>25</v>
      </c>
      <c r="H528" s="4" t="s">
        <v>25</v>
      </c>
      <c r="I528" s="5">
        <v>44409</v>
      </c>
      <c r="J528" s="6">
        <v>0</v>
      </c>
      <c r="K528" s="6">
        <v>0</v>
      </c>
      <c r="L528" s="6">
        <v>2062.5630000000001</v>
      </c>
      <c r="M528" s="6">
        <v>2062.5630000000001</v>
      </c>
      <c r="N528" s="6">
        <v>2062.5630000000001</v>
      </c>
      <c r="O528" s="6">
        <v>2062.5630000000001</v>
      </c>
      <c r="P528" s="6">
        <v>9059</v>
      </c>
      <c r="Q528" s="4" t="s">
        <v>26</v>
      </c>
      <c r="R528" s="4">
        <v>0</v>
      </c>
      <c r="S528" s="4">
        <v>0</v>
      </c>
      <c r="T528" s="4">
        <v>9</v>
      </c>
      <c r="U528" s="4">
        <v>59</v>
      </c>
      <c r="V528" s="6">
        <f>IF(ISERROR(VLOOKUP($S$528,'TAR FIN'!$A$1:$O$95,15,0)),0,VLOOKUP($S$528,'TAR FIN'!$A$1:$O$95,15,0))</f>
        <v>0</v>
      </c>
      <c r="W528" s="6">
        <f>IF(ISERROR(VLOOKUP($T$528,'TAR FIN'!$A$1:$O$95,15,0)),0,VLOOKUP($T$528,'TAR FIN'!$A$1:$O$95,15,0))</f>
        <v>147.13999999999999</v>
      </c>
      <c r="X528" s="6">
        <f>IF(ISERROR(VLOOKUP($U$528,'TAR FIN'!$A$1:$O$95,15,0)),0,VLOOKUP($U$528,'TAR FIN'!$A$1:$O$95,15,0))</f>
        <v>85.16</v>
      </c>
      <c r="Y528" s="6"/>
      <c r="Z528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28" s="6">
        <f>('TE BE'!$AA$14+'TE BF'!$AA$14+'TE CVA'!$AA$14)*(1-CUSTOS!$M$34)</f>
        <v>104.02058230712306</v>
      </c>
      <c r="AB528" s="6">
        <f t="shared" si="22"/>
        <v>0</v>
      </c>
      <c r="AC528" s="6">
        <f>(L528-M528)*(W528+X528)+($W$660+$X$660-$W$528-$X$528)*(L528)</f>
        <v>889769.05257000029</v>
      </c>
      <c r="AD528" s="6">
        <f t="shared" si="23"/>
        <v>0</v>
      </c>
      <c r="AE528" s="6">
        <f ca="1">(L528-M528)*(Z528+AA528)+($Z$660+$AA$660-$Z$528-$AA$528)*(L528)</f>
        <v>1015207.0387264346</v>
      </c>
      <c r="AF528" s="4" t="s">
        <v>845</v>
      </c>
    </row>
    <row r="529" spans="1:32" ht="11.25" customHeight="1" x14ac:dyDescent="0.25">
      <c r="A529" s="4" t="s">
        <v>27</v>
      </c>
      <c r="B529" s="4" t="s">
        <v>22</v>
      </c>
      <c r="C529" s="4" t="s">
        <v>23</v>
      </c>
      <c r="D529" s="4" t="s">
        <v>24</v>
      </c>
      <c r="E529" s="4" t="s">
        <v>31</v>
      </c>
      <c r="F529" s="4" t="s">
        <v>25</v>
      </c>
      <c r="G529" s="4" t="s">
        <v>25</v>
      </c>
      <c r="H529" s="4" t="s">
        <v>25</v>
      </c>
      <c r="I529" s="5">
        <v>44409</v>
      </c>
      <c r="J529" s="6">
        <v>0</v>
      </c>
      <c r="K529" s="6">
        <v>0</v>
      </c>
      <c r="L529" s="6">
        <v>-7.1849999999999996</v>
      </c>
      <c r="M529" s="6">
        <v>-7.1849999999999996</v>
      </c>
      <c r="N529" s="6">
        <v>-7.1849999999999996</v>
      </c>
      <c r="O529" s="6">
        <v>-7.1849999999999996</v>
      </c>
      <c r="P529" s="6">
        <v>0</v>
      </c>
      <c r="Q529" s="4" t="s">
        <v>26</v>
      </c>
      <c r="R529" s="4">
        <v>0</v>
      </c>
      <c r="S529" s="4">
        <v>0</v>
      </c>
      <c r="T529" s="4">
        <v>9</v>
      </c>
      <c r="U529" s="4">
        <v>59</v>
      </c>
      <c r="V529" s="6">
        <f>IF(ISERROR(VLOOKUP($S$529,'TAR FIN'!$A$1:$O$95,15,0)),0,VLOOKUP($S$529,'TAR FIN'!$A$1:$O$95,15,0))</f>
        <v>0</v>
      </c>
      <c r="W529" s="6">
        <f>IF(ISERROR(VLOOKUP($T$529,'TAR FIN'!$A$1:$O$95,15,0)),0,VLOOKUP($T$529,'TAR FIN'!$A$1:$O$95,15,0))</f>
        <v>147.13999999999999</v>
      </c>
      <c r="X529" s="6">
        <f>IF(ISERROR(VLOOKUP($U$529,'TAR FIN'!$A$1:$O$95,15,0)),0,VLOOKUP($U$529,'TAR FIN'!$A$1:$O$95,15,0))</f>
        <v>85.16</v>
      </c>
      <c r="Y529" s="6"/>
      <c r="Z529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29" s="6">
        <f>('TE BE'!$AA$14+'TE BF'!$AA$14+'TE CVA'!$AA$14)*(1-CUSTOS!$M$34)</f>
        <v>104.02058230712306</v>
      </c>
      <c r="AB529" s="6">
        <f t="shared" si="22"/>
        <v>0</v>
      </c>
      <c r="AC529" s="6">
        <f>(L529-M529)*(W529+X529)+($W$660+$X$660-$W$529-$X$529)*(L529)</f>
        <v>-3099.5371500000006</v>
      </c>
      <c r="AD529" s="6">
        <f t="shared" si="23"/>
        <v>0</v>
      </c>
      <c r="AE529" s="6">
        <f ca="1">(L529-M529)*(Z529+AA529)+($Z$660+$AA$660-$Z$529-$AA$529)*(L529)</f>
        <v>-3536.5041326007649</v>
      </c>
      <c r="AF529" s="4" t="s">
        <v>845</v>
      </c>
    </row>
    <row r="530" spans="1:32" ht="11.25" customHeight="1" x14ac:dyDescent="0.25">
      <c r="A530" s="4" t="s">
        <v>28</v>
      </c>
      <c r="B530" s="4" t="s">
        <v>22</v>
      </c>
      <c r="C530" s="4" t="s">
        <v>23</v>
      </c>
      <c r="D530" s="4" t="s">
        <v>24</v>
      </c>
      <c r="E530" s="4" t="s">
        <v>31</v>
      </c>
      <c r="F530" s="4" t="s">
        <v>25</v>
      </c>
      <c r="G530" s="4" t="s">
        <v>25</v>
      </c>
      <c r="H530" s="4" t="s">
        <v>25</v>
      </c>
      <c r="I530" s="5">
        <v>44409</v>
      </c>
      <c r="J530" s="6">
        <v>0</v>
      </c>
      <c r="K530" s="6">
        <v>0</v>
      </c>
      <c r="L530" s="6">
        <v>3759.9079999999999</v>
      </c>
      <c r="M530" s="6">
        <v>3759.9079999999999</v>
      </c>
      <c r="N530" s="6">
        <v>3759.9079999999999</v>
      </c>
      <c r="O530" s="6">
        <v>3759.9079999999999</v>
      </c>
      <c r="P530" s="6">
        <v>22639</v>
      </c>
      <c r="Q530" s="4" t="s">
        <v>26</v>
      </c>
      <c r="R530" s="4">
        <v>0</v>
      </c>
      <c r="S530" s="4">
        <v>0</v>
      </c>
      <c r="T530" s="4">
        <v>9</v>
      </c>
      <c r="U530" s="4">
        <v>59</v>
      </c>
      <c r="V530" s="6">
        <f>IF(ISERROR(VLOOKUP($S$530,'TAR FIN'!$A$1:$O$95,15,0)),0,VLOOKUP($S$530,'TAR FIN'!$A$1:$O$95,15,0))</f>
        <v>0</v>
      </c>
      <c r="W530" s="6">
        <f>IF(ISERROR(VLOOKUP($T$530,'TAR FIN'!$A$1:$O$95,15,0)),0,VLOOKUP($T$530,'TAR FIN'!$A$1:$O$95,15,0))</f>
        <v>147.13999999999999</v>
      </c>
      <c r="X530" s="6">
        <f>IF(ISERROR(VLOOKUP($U$530,'TAR FIN'!$A$1:$O$95,15,0)),0,VLOOKUP($U$530,'TAR FIN'!$A$1:$O$95,15,0))</f>
        <v>85.16</v>
      </c>
      <c r="Y530" s="6"/>
      <c r="Z530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30" s="6">
        <f>('TE BE'!$AA$14+'TE BF'!$AA$14+'TE CVA'!$AA$14)*(1-CUSTOS!$M$34)</f>
        <v>104.02058230712306</v>
      </c>
      <c r="AB530" s="6">
        <f t="shared" si="22"/>
        <v>0</v>
      </c>
      <c r="AC530" s="6">
        <f>(L530-M530)*(W530+X530)+($W$660+$X$660-$W$530-$X$530)*(L530)</f>
        <v>1621986.7121200003</v>
      </c>
      <c r="AD530" s="6">
        <f t="shared" si="23"/>
        <v>0</v>
      </c>
      <c r="AE530" s="6">
        <f ca="1">(L530-M530)*(Z530+AA530)+($Z$660+$AA$660-$Z$530-$AA$530)*(L530)</f>
        <v>1850651.3820735808</v>
      </c>
      <c r="AF530" s="4" t="s">
        <v>845</v>
      </c>
    </row>
    <row r="531" spans="1:32" ht="11.25" customHeight="1" x14ac:dyDescent="0.25">
      <c r="A531" s="4" t="s">
        <v>29</v>
      </c>
      <c r="B531" s="4" t="s">
        <v>22</v>
      </c>
      <c r="C531" s="4" t="s">
        <v>23</v>
      </c>
      <c r="D531" s="4" t="s">
        <v>24</v>
      </c>
      <c r="E531" s="4" t="s">
        <v>31</v>
      </c>
      <c r="F531" s="4" t="s">
        <v>25</v>
      </c>
      <c r="G531" s="4" t="s">
        <v>25</v>
      </c>
      <c r="H531" s="4" t="s">
        <v>25</v>
      </c>
      <c r="I531" s="5">
        <v>44409</v>
      </c>
      <c r="J531" s="6">
        <v>0</v>
      </c>
      <c r="K531" s="6">
        <v>0</v>
      </c>
      <c r="L531" s="6">
        <v>-1.08</v>
      </c>
      <c r="M531" s="6">
        <v>-1.08</v>
      </c>
      <c r="N531" s="6">
        <v>-1.08</v>
      </c>
      <c r="O531" s="6">
        <v>-1.08</v>
      </c>
      <c r="P531" s="6">
        <v>0</v>
      </c>
      <c r="Q531" s="4" t="s">
        <v>26</v>
      </c>
      <c r="R531" s="4">
        <v>0</v>
      </c>
      <c r="S531" s="4">
        <v>0</v>
      </c>
      <c r="T531" s="4">
        <v>9</v>
      </c>
      <c r="U531" s="4">
        <v>59</v>
      </c>
      <c r="V531" s="6">
        <f>IF(ISERROR(VLOOKUP($S$531,'TAR FIN'!$A$1:$O$95,15,0)),0,VLOOKUP($S$531,'TAR FIN'!$A$1:$O$95,15,0))</f>
        <v>0</v>
      </c>
      <c r="W531" s="6">
        <f>IF(ISERROR(VLOOKUP($T$531,'TAR FIN'!$A$1:$O$95,15,0)),0,VLOOKUP($T$531,'TAR FIN'!$A$1:$O$95,15,0))</f>
        <v>147.13999999999999</v>
      </c>
      <c r="X531" s="6">
        <f>IF(ISERROR(VLOOKUP($U$531,'TAR FIN'!$A$1:$O$95,15,0)),0,VLOOKUP($U$531,'TAR FIN'!$A$1:$O$95,15,0))</f>
        <v>85.16</v>
      </c>
      <c r="Y531" s="6"/>
      <c r="Z531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31" s="6">
        <f>('TE BE'!$AA$14+'TE BF'!$AA$14+'TE CVA'!$AA$14)*(1-CUSTOS!$M$34)</f>
        <v>104.02058230712306</v>
      </c>
      <c r="AB531" s="6">
        <f t="shared" si="22"/>
        <v>0</v>
      </c>
      <c r="AC531" s="6">
        <f>(L531-M531)*(W531+X531)+($W$660+$X$660-$W$531-$X$531)*(L531)</f>
        <v>-465.90120000000013</v>
      </c>
      <c r="AD531" s="6">
        <f t="shared" si="23"/>
        <v>0</v>
      </c>
      <c r="AE531" s="6">
        <f ca="1">(L531-M531)*(Z531+AA531)+($Z$660+$AA$660-$Z$531-$AA$531)*(L531)</f>
        <v>-531.58308464980189</v>
      </c>
      <c r="AF531" s="4" t="s">
        <v>845</v>
      </c>
    </row>
    <row r="532" spans="1:32" ht="11.25" customHeight="1" x14ac:dyDescent="0.25">
      <c r="A532" s="4" t="s">
        <v>30</v>
      </c>
      <c r="B532" s="4" t="s">
        <v>22</v>
      </c>
      <c r="C532" s="4" t="s">
        <v>23</v>
      </c>
      <c r="D532" s="4" t="s">
        <v>24</v>
      </c>
      <c r="E532" s="4" t="s">
        <v>31</v>
      </c>
      <c r="F532" s="4" t="s">
        <v>25</v>
      </c>
      <c r="G532" s="4" t="s">
        <v>25</v>
      </c>
      <c r="H532" s="4" t="s">
        <v>25</v>
      </c>
      <c r="I532" s="5">
        <v>44409</v>
      </c>
      <c r="J532" s="6">
        <v>0</v>
      </c>
      <c r="K532" s="6">
        <v>0</v>
      </c>
      <c r="L532" s="6">
        <v>5.7050000000000001</v>
      </c>
      <c r="M532" s="6">
        <v>5.7050000000000001</v>
      </c>
      <c r="N532" s="6">
        <v>5.7050000000000001</v>
      </c>
      <c r="O532" s="6">
        <v>5.7050000000000001</v>
      </c>
      <c r="P532" s="6">
        <v>0</v>
      </c>
      <c r="Q532" s="4" t="s">
        <v>26</v>
      </c>
      <c r="R532" s="4">
        <v>0</v>
      </c>
      <c r="S532" s="4">
        <v>0</v>
      </c>
      <c r="T532" s="4">
        <v>9</v>
      </c>
      <c r="U532" s="4">
        <v>59</v>
      </c>
      <c r="V532" s="6">
        <f>IF(ISERROR(VLOOKUP($S$532,'TAR FIN'!$A$1:$O$95,15,0)),0,VLOOKUP($S$532,'TAR FIN'!$A$1:$O$95,15,0))</f>
        <v>0</v>
      </c>
      <c r="W532" s="6">
        <f>IF(ISERROR(VLOOKUP($T$532,'TAR FIN'!$A$1:$O$95,15,0)),0,VLOOKUP($T$532,'TAR FIN'!$A$1:$O$95,15,0))</f>
        <v>147.13999999999999</v>
      </c>
      <c r="X532" s="6">
        <f>IF(ISERROR(VLOOKUP($U$532,'TAR FIN'!$A$1:$O$95,15,0)),0,VLOOKUP($U$532,'TAR FIN'!$A$1:$O$95,15,0))</f>
        <v>85.16</v>
      </c>
      <c r="Y532" s="6"/>
      <c r="Z532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32" s="6">
        <f>('TE BE'!$AA$14+'TE BF'!$AA$14+'TE CVA'!$AA$14)*(1-CUSTOS!$M$34)</f>
        <v>104.02058230712306</v>
      </c>
      <c r="AB532" s="6">
        <f t="shared" si="22"/>
        <v>0</v>
      </c>
      <c r="AC532" s="6">
        <f>(L532-M532)*(W532+X532)+($W$660+$X$660-$W$532-$X$532)*(L532)</f>
        <v>2461.0799500000007</v>
      </c>
      <c r="AD532" s="6">
        <f t="shared" si="23"/>
        <v>0</v>
      </c>
      <c r="AE532" s="6">
        <f ca="1">(L532-M532)*(Z532+AA532)+($Z$660+$AA$660-$Z$532-$AA$532)*(L532)</f>
        <v>2808.0384240065923</v>
      </c>
      <c r="AF532" s="4" t="s">
        <v>845</v>
      </c>
    </row>
    <row r="533" spans="1:32" ht="11.25" customHeight="1" x14ac:dyDescent="0.25">
      <c r="A533" s="4" t="s">
        <v>21</v>
      </c>
      <c r="B533" s="4" t="s">
        <v>22</v>
      </c>
      <c r="C533" s="4" t="s">
        <v>23</v>
      </c>
      <c r="D533" s="4" t="s">
        <v>24</v>
      </c>
      <c r="E533" s="4" t="s">
        <v>31</v>
      </c>
      <c r="F533" s="4" t="s">
        <v>25</v>
      </c>
      <c r="G533" s="4" t="s">
        <v>25</v>
      </c>
      <c r="H533" s="4" t="s">
        <v>25</v>
      </c>
      <c r="I533" s="5">
        <v>44440</v>
      </c>
      <c r="J533" s="6">
        <v>0</v>
      </c>
      <c r="K533" s="6">
        <v>0</v>
      </c>
      <c r="L533" s="6">
        <v>2064.8539999999998</v>
      </c>
      <c r="M533" s="6">
        <v>2064.8539999999998</v>
      </c>
      <c r="N533" s="6">
        <v>2064.8539999999998</v>
      </c>
      <c r="O533" s="6">
        <v>2064.8539999999998</v>
      </c>
      <c r="P533" s="6">
        <v>8983</v>
      </c>
      <c r="Q533" s="4" t="s">
        <v>26</v>
      </c>
      <c r="R533" s="4">
        <v>0</v>
      </c>
      <c r="S533" s="4">
        <v>0</v>
      </c>
      <c r="T533" s="4">
        <v>9</v>
      </c>
      <c r="U533" s="4">
        <v>59</v>
      </c>
      <c r="V533" s="6">
        <f>IF(ISERROR(VLOOKUP($S$533,'TAR FIN'!$A$1:$O$95,15,0)),0,VLOOKUP($S$533,'TAR FIN'!$A$1:$O$95,15,0))</f>
        <v>0</v>
      </c>
      <c r="W533" s="6">
        <f>IF(ISERROR(VLOOKUP($T$533,'TAR FIN'!$A$1:$O$95,15,0)),0,VLOOKUP($T$533,'TAR FIN'!$A$1:$O$95,15,0))</f>
        <v>147.13999999999999</v>
      </c>
      <c r="X533" s="6">
        <f>IF(ISERROR(VLOOKUP($U$533,'TAR FIN'!$A$1:$O$95,15,0)),0,VLOOKUP($U$533,'TAR FIN'!$A$1:$O$95,15,0))</f>
        <v>85.16</v>
      </c>
      <c r="Y533" s="6"/>
      <c r="Z533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33" s="6">
        <f>('TE BE'!$AA$14+'TE BF'!$AA$14+'TE CVA'!$AA$14)*(1-CUSTOS!$M$34)</f>
        <v>104.02058230712306</v>
      </c>
      <c r="AB533" s="6">
        <f t="shared" si="22"/>
        <v>0</v>
      </c>
      <c r="AC533" s="6">
        <f>(L533-M533)*(W533+X533)+($W$660+$X$660-$W$533-$X$533)*(L533)</f>
        <v>890757.36706000008</v>
      </c>
      <c r="AD533" s="6">
        <f t="shared" si="23"/>
        <v>0</v>
      </c>
      <c r="AE533" s="6">
        <f ca="1">(L533-M533)*(Z533+AA533)+($Z$660+$AA$660-$Z$533-$AA$533)*(L533)</f>
        <v>1016334.6839550758</v>
      </c>
      <c r="AF533" s="4" t="s">
        <v>845</v>
      </c>
    </row>
    <row r="534" spans="1:32" ht="11.25" customHeight="1" x14ac:dyDescent="0.25">
      <c r="A534" s="4" t="s">
        <v>27</v>
      </c>
      <c r="B534" s="4" t="s">
        <v>22</v>
      </c>
      <c r="C534" s="4" t="s">
        <v>23</v>
      </c>
      <c r="D534" s="4" t="s">
        <v>24</v>
      </c>
      <c r="E534" s="4" t="s">
        <v>31</v>
      </c>
      <c r="F534" s="4" t="s">
        <v>25</v>
      </c>
      <c r="G534" s="4" t="s">
        <v>25</v>
      </c>
      <c r="H534" s="4" t="s">
        <v>25</v>
      </c>
      <c r="I534" s="5">
        <v>44440</v>
      </c>
      <c r="J534" s="6">
        <v>0</v>
      </c>
      <c r="K534" s="6">
        <v>0</v>
      </c>
      <c r="L534" s="6">
        <v>-11.55</v>
      </c>
      <c r="M534" s="6">
        <v>-11.55</v>
      </c>
      <c r="N534" s="6">
        <v>-11.55</v>
      </c>
      <c r="O534" s="6">
        <v>-11.55</v>
      </c>
      <c r="P534" s="6">
        <v>0</v>
      </c>
      <c r="Q534" s="4" t="s">
        <v>26</v>
      </c>
      <c r="R534" s="4">
        <v>0</v>
      </c>
      <c r="S534" s="4">
        <v>0</v>
      </c>
      <c r="T534" s="4">
        <v>9</v>
      </c>
      <c r="U534" s="4">
        <v>59</v>
      </c>
      <c r="V534" s="6">
        <f>IF(ISERROR(VLOOKUP($S$534,'TAR FIN'!$A$1:$O$95,15,0)),0,VLOOKUP($S$534,'TAR FIN'!$A$1:$O$95,15,0))</f>
        <v>0</v>
      </c>
      <c r="W534" s="6">
        <f>IF(ISERROR(VLOOKUP($T$534,'TAR FIN'!$A$1:$O$95,15,0)),0,VLOOKUP($T$534,'TAR FIN'!$A$1:$O$95,15,0))</f>
        <v>147.13999999999999</v>
      </c>
      <c r="X534" s="6">
        <f>IF(ISERROR(VLOOKUP($U$534,'TAR FIN'!$A$1:$O$95,15,0)),0,VLOOKUP($U$534,'TAR FIN'!$A$1:$O$95,15,0))</f>
        <v>85.16</v>
      </c>
      <c r="Y534" s="6"/>
      <c r="Z534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34" s="6">
        <f>('TE BE'!$AA$14+'TE BF'!$AA$14+'TE CVA'!$AA$14)*(1-CUSTOS!$M$34)</f>
        <v>104.02058230712306</v>
      </c>
      <c r="AB534" s="6">
        <f t="shared" si="22"/>
        <v>0</v>
      </c>
      <c r="AC534" s="6">
        <f>(L534-M534)*(W534+X534)+($W$660+$X$660-$W$534-$X$534)*(L534)</f>
        <v>-4982.5545000000011</v>
      </c>
      <c r="AD534" s="6">
        <f t="shared" si="23"/>
        <v>0</v>
      </c>
      <c r="AE534" s="6">
        <f ca="1">(L534-M534)*(Z534+AA534)+($Z$660+$AA$660-$Z$534-$AA$534)*(L534)</f>
        <v>-5684.9857663937146</v>
      </c>
      <c r="AF534" s="4" t="s">
        <v>845</v>
      </c>
    </row>
    <row r="535" spans="1:32" ht="11.25" customHeight="1" x14ac:dyDescent="0.25">
      <c r="A535" s="4" t="s">
        <v>28</v>
      </c>
      <c r="B535" s="4" t="s">
        <v>22</v>
      </c>
      <c r="C535" s="4" t="s">
        <v>23</v>
      </c>
      <c r="D535" s="4" t="s">
        <v>24</v>
      </c>
      <c r="E535" s="4" t="s">
        <v>31</v>
      </c>
      <c r="F535" s="4" t="s">
        <v>25</v>
      </c>
      <c r="G535" s="4" t="s">
        <v>25</v>
      </c>
      <c r="H535" s="4" t="s">
        <v>25</v>
      </c>
      <c r="I535" s="5">
        <v>44440</v>
      </c>
      <c r="J535" s="6">
        <v>0</v>
      </c>
      <c r="K535" s="6">
        <v>0</v>
      </c>
      <c r="L535" s="6">
        <v>3774.047</v>
      </c>
      <c r="M535" s="6">
        <v>3774.047</v>
      </c>
      <c r="N535" s="6">
        <v>3774.047</v>
      </c>
      <c r="O535" s="6">
        <v>3774.047</v>
      </c>
      <c r="P535" s="6">
        <v>22362</v>
      </c>
      <c r="Q535" s="4" t="s">
        <v>26</v>
      </c>
      <c r="R535" s="4">
        <v>0</v>
      </c>
      <c r="S535" s="4">
        <v>0</v>
      </c>
      <c r="T535" s="4">
        <v>9</v>
      </c>
      <c r="U535" s="4">
        <v>59</v>
      </c>
      <c r="V535" s="6">
        <f>IF(ISERROR(VLOOKUP($S$535,'TAR FIN'!$A$1:$O$95,15,0)),0,VLOOKUP($S$535,'TAR FIN'!$A$1:$O$95,15,0))</f>
        <v>0</v>
      </c>
      <c r="W535" s="6">
        <f>IF(ISERROR(VLOOKUP($T$535,'TAR FIN'!$A$1:$O$95,15,0)),0,VLOOKUP($T$535,'TAR FIN'!$A$1:$O$95,15,0))</f>
        <v>147.13999999999999</v>
      </c>
      <c r="X535" s="6">
        <f>IF(ISERROR(VLOOKUP($U$535,'TAR FIN'!$A$1:$O$95,15,0)),0,VLOOKUP($U$535,'TAR FIN'!$A$1:$O$95,15,0))</f>
        <v>85.16</v>
      </c>
      <c r="Y535" s="6"/>
      <c r="Z535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35" s="6">
        <f>('TE BE'!$AA$14+'TE BF'!$AA$14+'TE CVA'!$AA$14)*(1-CUSTOS!$M$34)</f>
        <v>104.02058230712306</v>
      </c>
      <c r="AB535" s="6">
        <f t="shared" si="22"/>
        <v>0</v>
      </c>
      <c r="AC535" s="6">
        <f>(L535-M535)*(W535+X535)+($W$660+$X$660-$W$535-$X$535)*(L535)</f>
        <v>1628086.1353300004</v>
      </c>
      <c r="AD535" s="6">
        <f t="shared" si="23"/>
        <v>0</v>
      </c>
      <c r="AE535" s="6">
        <f ca="1">(L535-M535)*(Z535+AA535)+($Z$660+$AA$660-$Z$535-$AA$535)*(L535)</f>
        <v>1857610.6906234545</v>
      </c>
      <c r="AF535" s="4" t="s">
        <v>845</v>
      </c>
    </row>
    <row r="536" spans="1:32" ht="11.25" customHeight="1" x14ac:dyDescent="0.25">
      <c r="A536" s="4" t="s">
        <v>29</v>
      </c>
      <c r="B536" s="4" t="s">
        <v>22</v>
      </c>
      <c r="C536" s="4" t="s">
        <v>23</v>
      </c>
      <c r="D536" s="4" t="s">
        <v>24</v>
      </c>
      <c r="E536" s="4" t="s">
        <v>31</v>
      </c>
      <c r="F536" s="4" t="s">
        <v>25</v>
      </c>
      <c r="G536" s="4" t="s">
        <v>25</v>
      </c>
      <c r="H536" s="4" t="s">
        <v>25</v>
      </c>
      <c r="I536" s="5">
        <v>44440</v>
      </c>
      <c r="J536" s="6">
        <v>0</v>
      </c>
      <c r="K536" s="6">
        <v>0</v>
      </c>
      <c r="L536" s="6">
        <v>-1.425</v>
      </c>
      <c r="M536" s="6">
        <v>-1.425</v>
      </c>
      <c r="N536" s="6">
        <v>-1.425</v>
      </c>
      <c r="O536" s="6">
        <v>-1.425</v>
      </c>
      <c r="P536" s="6">
        <v>0</v>
      </c>
      <c r="Q536" s="4" t="s">
        <v>26</v>
      </c>
      <c r="R536" s="4">
        <v>0</v>
      </c>
      <c r="S536" s="4">
        <v>0</v>
      </c>
      <c r="T536" s="4">
        <v>9</v>
      </c>
      <c r="U536" s="4">
        <v>59</v>
      </c>
      <c r="V536" s="6">
        <f>IF(ISERROR(VLOOKUP($S$536,'TAR FIN'!$A$1:$O$95,15,0)),0,VLOOKUP($S$536,'TAR FIN'!$A$1:$O$95,15,0))</f>
        <v>0</v>
      </c>
      <c r="W536" s="6">
        <f>IF(ISERROR(VLOOKUP($T$536,'TAR FIN'!$A$1:$O$95,15,0)),0,VLOOKUP($T$536,'TAR FIN'!$A$1:$O$95,15,0))</f>
        <v>147.13999999999999</v>
      </c>
      <c r="X536" s="6">
        <f>IF(ISERROR(VLOOKUP($U$536,'TAR FIN'!$A$1:$O$95,15,0)),0,VLOOKUP($U$536,'TAR FIN'!$A$1:$O$95,15,0))</f>
        <v>85.16</v>
      </c>
      <c r="Y536" s="6"/>
      <c r="Z536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36" s="6">
        <f>('TE BE'!$AA$14+'TE BF'!$AA$14+'TE CVA'!$AA$14)*(1-CUSTOS!$M$34)</f>
        <v>104.02058230712306</v>
      </c>
      <c r="AB536" s="6">
        <f t="shared" si="22"/>
        <v>0</v>
      </c>
      <c r="AC536" s="6">
        <f>(L536-M536)*(W536+X536)+($W$660+$X$660-$W$536-$X$536)*(L536)</f>
        <v>-614.73075000000017</v>
      </c>
      <c r="AD536" s="6">
        <f t="shared" si="23"/>
        <v>0</v>
      </c>
      <c r="AE536" s="6">
        <f ca="1">(L536-M536)*(Z536+AA536)+($Z$660+$AA$660-$Z$536-$AA$536)*(L536)</f>
        <v>-701.39434780182194</v>
      </c>
      <c r="AF536" s="4" t="s">
        <v>845</v>
      </c>
    </row>
    <row r="537" spans="1:32" ht="11.25" customHeight="1" x14ac:dyDescent="0.25">
      <c r="A537" s="4" t="s">
        <v>30</v>
      </c>
      <c r="B537" s="4" t="s">
        <v>22</v>
      </c>
      <c r="C537" s="4" t="s">
        <v>23</v>
      </c>
      <c r="D537" s="4" t="s">
        <v>24</v>
      </c>
      <c r="E537" s="4" t="s">
        <v>31</v>
      </c>
      <c r="F537" s="4" t="s">
        <v>25</v>
      </c>
      <c r="G537" s="4" t="s">
        <v>25</v>
      </c>
      <c r="H537" s="4" t="s">
        <v>25</v>
      </c>
      <c r="I537" s="5">
        <v>44440</v>
      </c>
      <c r="J537" s="6">
        <v>0</v>
      </c>
      <c r="K537" s="6">
        <v>0</v>
      </c>
      <c r="L537" s="6">
        <v>5.8140000000000001</v>
      </c>
      <c r="M537" s="6">
        <v>5.8140000000000001</v>
      </c>
      <c r="N537" s="6">
        <v>5.8140000000000001</v>
      </c>
      <c r="O537" s="6">
        <v>5.8140000000000001</v>
      </c>
      <c r="P537" s="6">
        <v>0</v>
      </c>
      <c r="Q537" s="4" t="s">
        <v>26</v>
      </c>
      <c r="R537" s="4">
        <v>0</v>
      </c>
      <c r="S537" s="4">
        <v>0</v>
      </c>
      <c r="T537" s="4">
        <v>9</v>
      </c>
      <c r="U537" s="4">
        <v>59</v>
      </c>
      <c r="V537" s="6">
        <f>IF(ISERROR(VLOOKUP($S$537,'TAR FIN'!$A$1:$O$95,15,0)),0,VLOOKUP($S$537,'TAR FIN'!$A$1:$O$95,15,0))</f>
        <v>0</v>
      </c>
      <c r="W537" s="6">
        <f>IF(ISERROR(VLOOKUP($T$537,'TAR FIN'!$A$1:$O$95,15,0)),0,VLOOKUP($T$537,'TAR FIN'!$A$1:$O$95,15,0))</f>
        <v>147.13999999999999</v>
      </c>
      <c r="X537" s="6">
        <f>IF(ISERROR(VLOOKUP($U$537,'TAR FIN'!$A$1:$O$95,15,0)),0,VLOOKUP($U$537,'TAR FIN'!$A$1:$O$95,15,0))</f>
        <v>85.16</v>
      </c>
      <c r="Y537" s="6"/>
      <c r="Z537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37" s="6">
        <f>('TE BE'!$AA$14+'TE BF'!$AA$14+'TE CVA'!$AA$14)*(1-CUSTOS!$M$34)</f>
        <v>104.02058230712306</v>
      </c>
      <c r="AB537" s="6">
        <f t="shared" si="22"/>
        <v>0</v>
      </c>
      <c r="AC537" s="6">
        <f>(L537-M537)*(W537+X537)+($W$660+$X$660-$W$537-$X$537)*(L537)</f>
        <v>2508.1014600000008</v>
      </c>
      <c r="AD537" s="6">
        <f t="shared" si="23"/>
        <v>0</v>
      </c>
      <c r="AE537" s="6">
        <f ca="1">(L537-M537)*(Z537+AA537)+($Z$660+$AA$660-$Z$537-$AA$537)*(L537)</f>
        <v>2861.6889390314336</v>
      </c>
      <c r="AF537" s="4" t="s">
        <v>845</v>
      </c>
    </row>
    <row r="538" spans="1:32" ht="11.25" customHeight="1" x14ac:dyDescent="0.25">
      <c r="A538" s="4" t="s">
        <v>59</v>
      </c>
      <c r="B538" s="4" t="s">
        <v>22</v>
      </c>
      <c r="C538" s="4" t="s">
        <v>23</v>
      </c>
      <c r="D538" s="4" t="s">
        <v>24</v>
      </c>
      <c r="E538" s="4" t="s">
        <v>31</v>
      </c>
      <c r="F538" s="4" t="s">
        <v>25</v>
      </c>
      <c r="G538" s="4" t="s">
        <v>25</v>
      </c>
      <c r="H538" s="4" t="s">
        <v>25</v>
      </c>
      <c r="I538" s="5">
        <v>44470</v>
      </c>
      <c r="J538" s="6">
        <v>0</v>
      </c>
      <c r="K538" s="6">
        <v>0</v>
      </c>
      <c r="L538" s="6">
        <v>2064.8539999999998</v>
      </c>
      <c r="M538" s="6">
        <v>2064.8539999999998</v>
      </c>
      <c r="N538" s="6">
        <v>2064.8539999999998</v>
      </c>
      <c r="O538" s="6">
        <v>2064.8539999999998</v>
      </c>
      <c r="P538" s="6">
        <v>8983</v>
      </c>
      <c r="Q538" s="4" t="s">
        <v>26</v>
      </c>
      <c r="R538" s="4">
        <v>0</v>
      </c>
      <c r="S538" s="4">
        <v>0</v>
      </c>
      <c r="T538" s="4">
        <v>9</v>
      </c>
      <c r="U538" s="4">
        <v>59</v>
      </c>
      <c r="V538" s="6">
        <f>IF(ISERROR(VLOOKUP($S$538,'TAR FIN'!$A$1:$O$95,15,0)),0,VLOOKUP($S$538,'TAR FIN'!$A$1:$O$95,15,0))</f>
        <v>0</v>
      </c>
      <c r="W538" s="6">
        <f>IF(ISERROR(VLOOKUP($T$538,'TAR FIN'!$A$1:$O$95,15,0)),0,VLOOKUP($T$538,'TAR FIN'!$A$1:$O$95,15,0))</f>
        <v>147.13999999999999</v>
      </c>
      <c r="X538" s="6">
        <f>IF(ISERROR(VLOOKUP($U$538,'TAR FIN'!$A$1:$O$95,15,0)),0,VLOOKUP($U$538,'TAR FIN'!$A$1:$O$95,15,0))</f>
        <v>85.16</v>
      </c>
      <c r="Y538" s="6"/>
      <c r="Z538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38" s="6">
        <f>('TE BE'!$AA$14+'TE BF'!$AA$14+'TE CVA'!$AA$14)*(1-CUSTOS!$M$34)</f>
        <v>104.02058230712306</v>
      </c>
      <c r="AB538" s="6">
        <f t="shared" si="22"/>
        <v>0</v>
      </c>
      <c r="AC538" s="6">
        <f>(L538-M538)*(W538+X538)+($W$660+$X$660-$W$538-$X$538)*(L538)</f>
        <v>890757.36706000008</v>
      </c>
      <c r="AD538" s="6">
        <f t="shared" si="23"/>
        <v>0</v>
      </c>
      <c r="AE538" s="6">
        <f ca="1">(L538-M538)*(Z538+AA538)+($Z$660+$AA$660-$Z$538-$AA$538)*(L538)</f>
        <v>1016334.6839550758</v>
      </c>
      <c r="AF538" s="4" t="s">
        <v>845</v>
      </c>
    </row>
    <row r="539" spans="1:32" ht="11.25" customHeight="1" x14ac:dyDescent="0.25">
      <c r="A539" s="4" t="s">
        <v>59</v>
      </c>
      <c r="B539" s="4" t="s">
        <v>22</v>
      </c>
      <c r="C539" s="4" t="s">
        <v>23</v>
      </c>
      <c r="D539" s="4" t="s">
        <v>24</v>
      </c>
      <c r="E539" s="4" t="s">
        <v>31</v>
      </c>
      <c r="F539" s="4" t="s">
        <v>25</v>
      </c>
      <c r="G539" s="4" t="s">
        <v>25</v>
      </c>
      <c r="H539" s="4" t="s">
        <v>25</v>
      </c>
      <c r="I539" s="5">
        <v>44470</v>
      </c>
      <c r="J539" s="6">
        <v>0</v>
      </c>
      <c r="K539" s="6">
        <v>0</v>
      </c>
      <c r="L539" s="6">
        <v>-11.55</v>
      </c>
      <c r="M539" s="6">
        <v>-11.55</v>
      </c>
      <c r="N539" s="6">
        <v>-11.55</v>
      </c>
      <c r="O539" s="6">
        <v>-11.55</v>
      </c>
      <c r="P539" s="6">
        <v>0</v>
      </c>
      <c r="Q539" s="4" t="s">
        <v>26</v>
      </c>
      <c r="R539" s="4">
        <v>0</v>
      </c>
      <c r="S539" s="4">
        <v>0</v>
      </c>
      <c r="T539" s="4">
        <v>9</v>
      </c>
      <c r="U539" s="4">
        <v>59</v>
      </c>
      <c r="V539" s="6">
        <f>IF(ISERROR(VLOOKUP($S$539,'TAR FIN'!$A$1:$O$95,15,0)),0,VLOOKUP($S$539,'TAR FIN'!$A$1:$O$95,15,0))</f>
        <v>0</v>
      </c>
      <c r="W539" s="6">
        <f>IF(ISERROR(VLOOKUP($T$539,'TAR FIN'!$A$1:$O$95,15,0)),0,VLOOKUP($T$539,'TAR FIN'!$A$1:$O$95,15,0))</f>
        <v>147.13999999999999</v>
      </c>
      <c r="X539" s="6">
        <f>IF(ISERROR(VLOOKUP($U$539,'TAR FIN'!$A$1:$O$95,15,0)),0,VLOOKUP($U$539,'TAR FIN'!$A$1:$O$95,15,0))</f>
        <v>85.16</v>
      </c>
      <c r="Y539" s="6"/>
      <c r="Z539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39" s="6">
        <f>('TE BE'!$AA$14+'TE BF'!$AA$14+'TE CVA'!$AA$14)*(1-CUSTOS!$M$34)</f>
        <v>104.02058230712306</v>
      </c>
      <c r="AB539" s="6">
        <f t="shared" si="22"/>
        <v>0</v>
      </c>
      <c r="AC539" s="6">
        <f>(L539-M539)*(W539+X539)+($W$660+$X$660-$W$539-$X$539)*(L539)</f>
        <v>-4982.5545000000011</v>
      </c>
      <c r="AD539" s="6">
        <f t="shared" si="23"/>
        <v>0</v>
      </c>
      <c r="AE539" s="6">
        <f ca="1">(L539-M539)*(Z539+AA539)+($Z$660+$AA$660-$Z$539-$AA$539)*(L539)</f>
        <v>-5684.9857663937146</v>
      </c>
      <c r="AF539" s="4" t="s">
        <v>845</v>
      </c>
    </row>
    <row r="540" spans="1:32" ht="11.25" customHeight="1" x14ac:dyDescent="0.25">
      <c r="A540" s="4" t="s">
        <v>59</v>
      </c>
      <c r="B540" s="4" t="s">
        <v>22</v>
      </c>
      <c r="C540" s="4" t="s">
        <v>23</v>
      </c>
      <c r="D540" s="4" t="s">
        <v>24</v>
      </c>
      <c r="E540" s="4" t="s">
        <v>31</v>
      </c>
      <c r="F540" s="4" t="s">
        <v>25</v>
      </c>
      <c r="G540" s="4" t="s">
        <v>25</v>
      </c>
      <c r="H540" s="4" t="s">
        <v>25</v>
      </c>
      <c r="I540" s="5">
        <v>44470</v>
      </c>
      <c r="J540" s="6">
        <v>0</v>
      </c>
      <c r="K540" s="6">
        <v>0</v>
      </c>
      <c r="L540" s="6">
        <v>3774.047</v>
      </c>
      <c r="M540" s="6">
        <v>3774.047</v>
      </c>
      <c r="N540" s="6">
        <v>3774.047</v>
      </c>
      <c r="O540" s="6">
        <v>3774.047</v>
      </c>
      <c r="P540" s="6">
        <v>22362</v>
      </c>
      <c r="Q540" s="4" t="s">
        <v>26</v>
      </c>
      <c r="R540" s="4">
        <v>0</v>
      </c>
      <c r="S540" s="4">
        <v>0</v>
      </c>
      <c r="T540" s="4">
        <v>9</v>
      </c>
      <c r="U540" s="4">
        <v>59</v>
      </c>
      <c r="V540" s="6">
        <f>IF(ISERROR(VLOOKUP($S$540,'TAR FIN'!$A$1:$O$95,15,0)),0,VLOOKUP($S$540,'TAR FIN'!$A$1:$O$95,15,0))</f>
        <v>0</v>
      </c>
      <c r="W540" s="6">
        <f>IF(ISERROR(VLOOKUP($T$540,'TAR FIN'!$A$1:$O$95,15,0)),0,VLOOKUP($T$540,'TAR FIN'!$A$1:$O$95,15,0))</f>
        <v>147.13999999999999</v>
      </c>
      <c r="X540" s="6">
        <f>IF(ISERROR(VLOOKUP($U$540,'TAR FIN'!$A$1:$O$95,15,0)),0,VLOOKUP($U$540,'TAR FIN'!$A$1:$O$95,15,0))</f>
        <v>85.16</v>
      </c>
      <c r="Y540" s="6"/>
      <c r="Z540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40" s="6">
        <f>('TE BE'!$AA$14+'TE BF'!$AA$14+'TE CVA'!$AA$14)*(1-CUSTOS!$M$34)</f>
        <v>104.02058230712306</v>
      </c>
      <c r="AB540" s="6">
        <f t="shared" si="22"/>
        <v>0</v>
      </c>
      <c r="AC540" s="6">
        <f>(L540-M540)*(W540+X540)+($W$660+$X$660-$W$540-$X$540)*(L540)</f>
        <v>1628086.1353300004</v>
      </c>
      <c r="AD540" s="6">
        <f t="shared" si="23"/>
        <v>0</v>
      </c>
      <c r="AE540" s="6">
        <f ca="1">(L540-M540)*(Z540+AA540)+($Z$660+$AA$660-$Z$540-$AA$540)*(L540)</f>
        <v>1857610.6906234545</v>
      </c>
      <c r="AF540" s="4" t="s">
        <v>845</v>
      </c>
    </row>
    <row r="541" spans="1:32" ht="11.25" customHeight="1" x14ac:dyDescent="0.25">
      <c r="A541" s="4" t="s">
        <v>59</v>
      </c>
      <c r="B541" s="4" t="s">
        <v>22</v>
      </c>
      <c r="C541" s="4" t="s">
        <v>23</v>
      </c>
      <c r="D541" s="4" t="s">
        <v>24</v>
      </c>
      <c r="E541" s="4" t="s">
        <v>31</v>
      </c>
      <c r="F541" s="4" t="s">
        <v>25</v>
      </c>
      <c r="G541" s="4" t="s">
        <v>25</v>
      </c>
      <c r="H541" s="4" t="s">
        <v>25</v>
      </c>
      <c r="I541" s="5">
        <v>44470</v>
      </c>
      <c r="J541" s="6">
        <v>0</v>
      </c>
      <c r="K541" s="6">
        <v>0</v>
      </c>
      <c r="L541" s="6">
        <v>-1.425</v>
      </c>
      <c r="M541" s="6">
        <v>-1.425</v>
      </c>
      <c r="N541" s="6">
        <v>-1.425</v>
      </c>
      <c r="O541" s="6">
        <v>-1.425</v>
      </c>
      <c r="P541" s="6">
        <v>0</v>
      </c>
      <c r="Q541" s="4" t="s">
        <v>26</v>
      </c>
      <c r="R541" s="4">
        <v>0</v>
      </c>
      <c r="S541" s="4">
        <v>0</v>
      </c>
      <c r="T541" s="4">
        <v>9</v>
      </c>
      <c r="U541" s="4">
        <v>59</v>
      </c>
      <c r="V541" s="6">
        <f>IF(ISERROR(VLOOKUP($S$541,'TAR FIN'!$A$1:$O$95,15,0)),0,VLOOKUP($S$541,'TAR FIN'!$A$1:$O$95,15,0))</f>
        <v>0</v>
      </c>
      <c r="W541" s="6">
        <f>IF(ISERROR(VLOOKUP($T$541,'TAR FIN'!$A$1:$O$95,15,0)),0,VLOOKUP($T$541,'TAR FIN'!$A$1:$O$95,15,0))</f>
        <v>147.13999999999999</v>
      </c>
      <c r="X541" s="6">
        <f>IF(ISERROR(VLOOKUP($U$541,'TAR FIN'!$A$1:$O$95,15,0)),0,VLOOKUP($U$541,'TAR FIN'!$A$1:$O$95,15,0))</f>
        <v>85.16</v>
      </c>
      <c r="Y541" s="6"/>
      <c r="Z541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41" s="6">
        <f>('TE BE'!$AA$14+'TE BF'!$AA$14+'TE CVA'!$AA$14)*(1-CUSTOS!$M$34)</f>
        <v>104.02058230712306</v>
      </c>
      <c r="AB541" s="6">
        <f t="shared" si="22"/>
        <v>0</v>
      </c>
      <c r="AC541" s="6">
        <f>(L541-M541)*(W541+X541)+($W$660+$X$660-$W$541-$X$541)*(L541)</f>
        <v>-614.73075000000017</v>
      </c>
      <c r="AD541" s="6">
        <f t="shared" si="23"/>
        <v>0</v>
      </c>
      <c r="AE541" s="6">
        <f ca="1">(L541-M541)*(Z541+AA541)+($Z$660+$AA$660-$Z$541-$AA$541)*(L541)</f>
        <v>-701.39434780182194</v>
      </c>
      <c r="AF541" s="4" t="s">
        <v>845</v>
      </c>
    </row>
    <row r="542" spans="1:32" ht="11.25" customHeight="1" x14ac:dyDescent="0.25">
      <c r="A542" s="4" t="s">
        <v>59</v>
      </c>
      <c r="B542" s="4" t="s">
        <v>22</v>
      </c>
      <c r="C542" s="4" t="s">
        <v>23</v>
      </c>
      <c r="D542" s="4" t="s">
        <v>24</v>
      </c>
      <c r="E542" s="4" t="s">
        <v>31</v>
      </c>
      <c r="F542" s="4" t="s">
        <v>25</v>
      </c>
      <c r="G542" s="4" t="s">
        <v>25</v>
      </c>
      <c r="H542" s="4" t="s">
        <v>25</v>
      </c>
      <c r="I542" s="5">
        <v>44470</v>
      </c>
      <c r="J542" s="6">
        <v>0</v>
      </c>
      <c r="K542" s="6">
        <v>0</v>
      </c>
      <c r="L542" s="6">
        <v>5.8140000000000001</v>
      </c>
      <c r="M542" s="6">
        <v>5.8140000000000001</v>
      </c>
      <c r="N542" s="6">
        <v>5.8140000000000001</v>
      </c>
      <c r="O542" s="6">
        <v>5.8140000000000001</v>
      </c>
      <c r="P542" s="6">
        <v>0</v>
      </c>
      <c r="Q542" s="4" t="s">
        <v>26</v>
      </c>
      <c r="R542" s="4">
        <v>0</v>
      </c>
      <c r="S542" s="4">
        <v>0</v>
      </c>
      <c r="T542" s="4">
        <v>9</v>
      </c>
      <c r="U542" s="4">
        <v>59</v>
      </c>
      <c r="V542" s="6">
        <f>IF(ISERROR(VLOOKUP($S$542,'TAR FIN'!$A$1:$O$95,15,0)),0,VLOOKUP($S$542,'TAR FIN'!$A$1:$O$95,15,0))</f>
        <v>0</v>
      </c>
      <c r="W542" s="6">
        <f>IF(ISERROR(VLOOKUP($T$542,'TAR FIN'!$A$1:$O$95,15,0)),0,VLOOKUP($T$542,'TAR FIN'!$A$1:$O$95,15,0))</f>
        <v>147.13999999999999</v>
      </c>
      <c r="X542" s="6">
        <f>IF(ISERROR(VLOOKUP($U$542,'TAR FIN'!$A$1:$O$95,15,0)),0,VLOOKUP($U$542,'TAR FIN'!$A$1:$O$95,15,0))</f>
        <v>85.16</v>
      </c>
      <c r="Y542" s="6"/>
      <c r="Z542" s="6">
        <f ca="1">('TUSD BE'!$AM$26+'TUSD BF'!$AM$26+'TUSD CVA'!$AM$26-('TUSD BE'!$P$26+'TUSD BF'!$P$26+'TUSD CVA'!$P$26)-('TUSD BE'!$Q$26+'TUSD BF'!$Q$26+'TUSD CVA'!$Q$26)-('TUSD BE'!$R$26+'TUSD BF'!$R$26+'TUSD CVA'!$R$26))*(1-CUSTOS!$M$34)</f>
        <v>161.01371915645333</v>
      </c>
      <c r="AA542" s="6">
        <f>('TE BE'!$AA$14+'TE BF'!$AA$14+'TE CVA'!$AA$14)*(1-CUSTOS!$M$34)</f>
        <v>104.02058230712306</v>
      </c>
      <c r="AB542" s="6">
        <f t="shared" si="22"/>
        <v>0</v>
      </c>
      <c r="AC542" s="6">
        <f>(L542-M542)*(W542+X542)+($W$660+$X$660-$W$542-$X$542)*(L542)</f>
        <v>2508.1014600000008</v>
      </c>
      <c r="AD542" s="6">
        <f t="shared" si="23"/>
        <v>0</v>
      </c>
      <c r="AE542" s="6">
        <f ca="1">(L542-M542)*(Z542+AA542)+($Z$660+$AA$660-$Z$542-$AA$542)*(L542)</f>
        <v>2861.6889390314336</v>
      </c>
      <c r="AF542" s="4" t="s">
        <v>845</v>
      </c>
    </row>
    <row r="543" spans="1:32" ht="11.25" customHeight="1" x14ac:dyDescent="0.25">
      <c r="A543" s="4" t="s">
        <v>21</v>
      </c>
      <c r="B543" s="4" t="s">
        <v>22</v>
      </c>
      <c r="C543" s="4" t="s">
        <v>23</v>
      </c>
      <c r="D543" s="4" t="s">
        <v>24</v>
      </c>
      <c r="E543" s="4" t="s">
        <v>32</v>
      </c>
      <c r="F543" s="4" t="s">
        <v>25</v>
      </c>
      <c r="G543" s="4" t="s">
        <v>25</v>
      </c>
      <c r="H543" s="4" t="s">
        <v>25</v>
      </c>
      <c r="I543" s="5">
        <v>44136</v>
      </c>
      <c r="J543" s="6">
        <v>0</v>
      </c>
      <c r="K543" s="6">
        <v>0</v>
      </c>
      <c r="L543" s="6">
        <v>3289.5</v>
      </c>
      <c r="M543" s="6">
        <v>3289.5</v>
      </c>
      <c r="N543" s="6">
        <v>3289.5</v>
      </c>
      <c r="O543" s="6">
        <v>3289.5</v>
      </c>
      <c r="P543" s="6">
        <v>19133</v>
      </c>
      <c r="Q543" s="4" t="s">
        <v>26</v>
      </c>
      <c r="R543" s="4">
        <v>0</v>
      </c>
      <c r="S543" s="4">
        <v>0</v>
      </c>
      <c r="T543" s="4">
        <v>10</v>
      </c>
      <c r="U543" s="4">
        <v>60</v>
      </c>
      <c r="V543" s="6">
        <f>IF(ISERROR(VLOOKUP($S$543,'TAR FIN'!$A$1:$O$95,15,0)),0,VLOOKUP($S$543,'TAR FIN'!$A$1:$O$95,15,0))</f>
        <v>0</v>
      </c>
      <c r="W543" s="6">
        <f>IF(ISERROR(VLOOKUP($T$543,'TAR FIN'!$A$1:$O$95,15,0)),0,VLOOKUP($T$543,'TAR FIN'!$A$1:$O$95,15,0))</f>
        <v>252.24</v>
      </c>
      <c r="X543" s="6">
        <f>IF(ISERROR(VLOOKUP($U$543,'TAR FIN'!$A$1:$O$95,15,0)),0,VLOOKUP($U$543,'TAR FIN'!$A$1:$O$95,15,0))</f>
        <v>145.97999999999999</v>
      </c>
      <c r="Y543" s="6"/>
      <c r="Z543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43" s="6">
        <f>('TE BE'!$AA$15+'TE BF'!$AA$15+'TE CVA'!$AA$15)*(1-CUSTOS!$M$35)</f>
        <v>178.32099824078242</v>
      </c>
      <c r="AB543" s="6">
        <f t="shared" si="22"/>
        <v>0</v>
      </c>
      <c r="AC543" s="6">
        <f>(L543-M543)*(W543+X543)+($W$660+$X$660-$W$543-$X$543)*(L543)</f>
        <v>873263.56500000006</v>
      </c>
      <c r="AD543" s="6">
        <f t="shared" si="23"/>
        <v>0</v>
      </c>
      <c r="AE543" s="6">
        <f ca="1">(L543-M543)*(Z543+AA543)+($Z$660+$AA$660-$Z$543-$AA$543)*(L543)</f>
        <v>996377.52533078229</v>
      </c>
      <c r="AF543" s="4" t="s">
        <v>845</v>
      </c>
    </row>
    <row r="544" spans="1:32" ht="11.25" customHeight="1" x14ac:dyDescent="0.25">
      <c r="A544" s="4" t="s">
        <v>27</v>
      </c>
      <c r="B544" s="4" t="s">
        <v>22</v>
      </c>
      <c r="C544" s="4" t="s">
        <v>23</v>
      </c>
      <c r="D544" s="4" t="s">
        <v>24</v>
      </c>
      <c r="E544" s="4" t="s">
        <v>32</v>
      </c>
      <c r="F544" s="4" t="s">
        <v>25</v>
      </c>
      <c r="G544" s="4" t="s">
        <v>25</v>
      </c>
      <c r="H544" s="4" t="s">
        <v>25</v>
      </c>
      <c r="I544" s="5">
        <v>44136</v>
      </c>
      <c r="J544" s="6">
        <v>0</v>
      </c>
      <c r="K544" s="6">
        <v>0</v>
      </c>
      <c r="L544" s="6">
        <v>-4.3289999999999997</v>
      </c>
      <c r="M544" s="6">
        <v>-4.3289999999999997</v>
      </c>
      <c r="N544" s="6">
        <v>-4.3289999999999997</v>
      </c>
      <c r="O544" s="6">
        <v>-4.3289999999999997</v>
      </c>
      <c r="P544" s="6">
        <v>-41</v>
      </c>
      <c r="Q544" s="4" t="s">
        <v>26</v>
      </c>
      <c r="R544" s="4">
        <v>0</v>
      </c>
      <c r="S544" s="4">
        <v>0</v>
      </c>
      <c r="T544" s="4">
        <v>10</v>
      </c>
      <c r="U544" s="4">
        <v>60</v>
      </c>
      <c r="V544" s="6">
        <f>IF(ISERROR(VLOOKUP($S$544,'TAR FIN'!$A$1:$O$95,15,0)),0,VLOOKUP($S$544,'TAR FIN'!$A$1:$O$95,15,0))</f>
        <v>0</v>
      </c>
      <c r="W544" s="6">
        <f>IF(ISERROR(VLOOKUP($T$544,'TAR FIN'!$A$1:$O$95,15,0)),0,VLOOKUP($T$544,'TAR FIN'!$A$1:$O$95,15,0))</f>
        <v>252.24</v>
      </c>
      <c r="X544" s="6">
        <f>IF(ISERROR(VLOOKUP($U$544,'TAR FIN'!$A$1:$O$95,15,0)),0,VLOOKUP($U$544,'TAR FIN'!$A$1:$O$95,15,0))</f>
        <v>145.97999999999999</v>
      </c>
      <c r="Y544" s="6"/>
      <c r="Z544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44" s="6">
        <f>('TE BE'!$AA$15+'TE BF'!$AA$15+'TE CVA'!$AA$15)*(1-CUSTOS!$M$35)</f>
        <v>178.32099824078242</v>
      </c>
      <c r="AB544" s="6">
        <f t="shared" si="22"/>
        <v>0</v>
      </c>
      <c r="AC544" s="6">
        <f>(L544-M544)*(W544+X544)+($W$660+$X$660-$W$544-$X$544)*(L544)</f>
        <v>-1149.2196300000001</v>
      </c>
      <c r="AD544" s="6">
        <f t="shared" si="23"/>
        <v>0</v>
      </c>
      <c r="AE544" s="6">
        <f ca="1">(L544-M544)*(Z544+AA544)+($Z$660+$AA$660-$Z$544-$AA$544)*(L544)</f>
        <v>-1311.2382754695109</v>
      </c>
      <c r="AF544" s="4" t="s">
        <v>845</v>
      </c>
    </row>
    <row r="545" spans="1:32" ht="11.25" customHeight="1" x14ac:dyDescent="0.25">
      <c r="A545" s="4" t="s">
        <v>28</v>
      </c>
      <c r="B545" s="4" t="s">
        <v>22</v>
      </c>
      <c r="C545" s="4" t="s">
        <v>23</v>
      </c>
      <c r="D545" s="4" t="s">
        <v>24</v>
      </c>
      <c r="E545" s="4" t="s">
        <v>32</v>
      </c>
      <c r="F545" s="4" t="s">
        <v>25</v>
      </c>
      <c r="G545" s="4" t="s">
        <v>25</v>
      </c>
      <c r="H545" s="4" t="s">
        <v>25</v>
      </c>
      <c r="I545" s="5">
        <v>44136</v>
      </c>
      <c r="J545" s="6">
        <v>0</v>
      </c>
      <c r="K545" s="6">
        <v>0</v>
      </c>
      <c r="L545" s="6">
        <v>5666.1090000000004</v>
      </c>
      <c r="M545" s="6">
        <v>5666.1090000000004</v>
      </c>
      <c r="N545" s="6">
        <v>5666.1090000000004</v>
      </c>
      <c r="O545" s="6">
        <v>5666.1090000000004</v>
      </c>
      <c r="P545" s="6">
        <v>27981</v>
      </c>
      <c r="Q545" s="4" t="s">
        <v>26</v>
      </c>
      <c r="R545" s="4">
        <v>0</v>
      </c>
      <c r="S545" s="4">
        <v>0</v>
      </c>
      <c r="T545" s="4">
        <v>10</v>
      </c>
      <c r="U545" s="4">
        <v>60</v>
      </c>
      <c r="V545" s="6">
        <f>IF(ISERROR(VLOOKUP($S$545,'TAR FIN'!$A$1:$O$95,15,0)),0,VLOOKUP($S$545,'TAR FIN'!$A$1:$O$95,15,0))</f>
        <v>0</v>
      </c>
      <c r="W545" s="6">
        <f>IF(ISERROR(VLOOKUP($T$545,'TAR FIN'!$A$1:$O$95,15,0)),0,VLOOKUP($T$545,'TAR FIN'!$A$1:$O$95,15,0))</f>
        <v>252.24</v>
      </c>
      <c r="X545" s="6">
        <f>IF(ISERROR(VLOOKUP($U$545,'TAR FIN'!$A$1:$O$95,15,0)),0,VLOOKUP($U$545,'TAR FIN'!$A$1:$O$95,15,0))</f>
        <v>145.97999999999999</v>
      </c>
      <c r="Y545" s="6"/>
      <c r="Z545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45" s="6">
        <f>('TE BE'!$AA$15+'TE BF'!$AA$15+'TE CVA'!$AA$15)*(1-CUSTOS!$M$35)</f>
        <v>178.32099824078242</v>
      </c>
      <c r="AB545" s="6">
        <f t="shared" si="22"/>
        <v>0</v>
      </c>
      <c r="AC545" s="6">
        <f>(L545-M545)*(W545+X545)+($W$660+$X$660-$W$545-$X$545)*(L545)</f>
        <v>1504181.9562300004</v>
      </c>
      <c r="AD545" s="6">
        <f t="shared" si="23"/>
        <v>0</v>
      </c>
      <c r="AE545" s="6">
        <f ca="1">(L545-M545)*(Z545+AA545)+($Z$660+$AA$660-$Z$545-$AA$545)*(L545)</f>
        <v>1716243.7038074096</v>
      </c>
      <c r="AF545" s="4" t="s">
        <v>845</v>
      </c>
    </row>
    <row r="546" spans="1:32" ht="11.25" customHeight="1" x14ac:dyDescent="0.25">
      <c r="A546" s="4" t="s">
        <v>29</v>
      </c>
      <c r="B546" s="4" t="s">
        <v>22</v>
      </c>
      <c r="C546" s="4" t="s">
        <v>23</v>
      </c>
      <c r="D546" s="4" t="s">
        <v>24</v>
      </c>
      <c r="E546" s="4" t="s">
        <v>32</v>
      </c>
      <c r="F546" s="4" t="s">
        <v>25</v>
      </c>
      <c r="G546" s="4" t="s">
        <v>25</v>
      </c>
      <c r="H546" s="4" t="s">
        <v>25</v>
      </c>
      <c r="I546" s="5">
        <v>44136</v>
      </c>
      <c r="J546" s="6">
        <v>0</v>
      </c>
      <c r="K546" s="6">
        <v>0</v>
      </c>
      <c r="L546" s="6">
        <v>-4.7480000000000002</v>
      </c>
      <c r="M546" s="6">
        <v>-4.7480000000000002</v>
      </c>
      <c r="N546" s="6">
        <v>-4.7480000000000002</v>
      </c>
      <c r="O546" s="6">
        <v>-4.7480000000000002</v>
      </c>
      <c r="P546" s="6">
        <v>-20</v>
      </c>
      <c r="Q546" s="4" t="s">
        <v>26</v>
      </c>
      <c r="R546" s="4">
        <v>0</v>
      </c>
      <c r="S546" s="4">
        <v>0</v>
      </c>
      <c r="T546" s="4">
        <v>10</v>
      </c>
      <c r="U546" s="4">
        <v>60</v>
      </c>
      <c r="V546" s="6">
        <f>IF(ISERROR(VLOOKUP($S$546,'TAR FIN'!$A$1:$O$95,15,0)),0,VLOOKUP($S$546,'TAR FIN'!$A$1:$O$95,15,0))</f>
        <v>0</v>
      </c>
      <c r="W546" s="6">
        <f>IF(ISERROR(VLOOKUP($T$546,'TAR FIN'!$A$1:$O$95,15,0)),0,VLOOKUP($T$546,'TAR FIN'!$A$1:$O$95,15,0))</f>
        <v>252.24</v>
      </c>
      <c r="X546" s="6">
        <f>IF(ISERROR(VLOOKUP($U$546,'TAR FIN'!$A$1:$O$95,15,0)),0,VLOOKUP($U$546,'TAR FIN'!$A$1:$O$95,15,0))</f>
        <v>145.97999999999999</v>
      </c>
      <c r="Y546" s="6"/>
      <c r="Z546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46" s="6">
        <f>('TE BE'!$AA$15+'TE BF'!$AA$15+'TE CVA'!$AA$15)*(1-CUSTOS!$M$35)</f>
        <v>178.32099824078242</v>
      </c>
      <c r="AB546" s="6">
        <f t="shared" si="22"/>
        <v>0</v>
      </c>
      <c r="AC546" s="6">
        <f>(L546-M546)*(W546+X546)+($W$660+$X$660-$W$546-$X$546)*(L546)</f>
        <v>-1260.4515600000002</v>
      </c>
      <c r="AD546" s="6">
        <f t="shared" si="23"/>
        <v>0</v>
      </c>
      <c r="AE546" s="6">
        <f ca="1">(L546-M546)*(Z546+AA546)+($Z$660+$AA$660-$Z$546-$AA$546)*(L546)</f>
        <v>-1438.1518438274979</v>
      </c>
      <c r="AF546" s="4" t="s">
        <v>845</v>
      </c>
    </row>
    <row r="547" spans="1:32" ht="11.25" customHeight="1" x14ac:dyDescent="0.25">
      <c r="A547" s="4" t="s">
        <v>21</v>
      </c>
      <c r="B547" s="4" t="s">
        <v>22</v>
      </c>
      <c r="C547" s="4" t="s">
        <v>23</v>
      </c>
      <c r="D547" s="4" t="s">
        <v>24</v>
      </c>
      <c r="E547" s="4" t="s">
        <v>32</v>
      </c>
      <c r="F547" s="4" t="s">
        <v>25</v>
      </c>
      <c r="G547" s="4" t="s">
        <v>25</v>
      </c>
      <c r="H547" s="4" t="s">
        <v>25</v>
      </c>
      <c r="I547" s="5">
        <v>44166</v>
      </c>
      <c r="J547" s="6">
        <v>0</v>
      </c>
      <c r="K547" s="6">
        <v>0</v>
      </c>
      <c r="L547" s="6">
        <v>3746.348</v>
      </c>
      <c r="M547" s="6">
        <v>3746.348</v>
      </c>
      <c r="N547" s="6">
        <v>3746.348</v>
      </c>
      <c r="O547" s="6">
        <v>3746.348</v>
      </c>
      <c r="P547" s="6">
        <v>22159</v>
      </c>
      <c r="Q547" s="4" t="s">
        <v>26</v>
      </c>
      <c r="R547" s="4">
        <v>0</v>
      </c>
      <c r="S547" s="4">
        <v>0</v>
      </c>
      <c r="T547" s="4">
        <v>10</v>
      </c>
      <c r="U547" s="4">
        <v>60</v>
      </c>
      <c r="V547" s="6">
        <f>IF(ISERROR(VLOOKUP($S$547,'TAR FIN'!$A$1:$O$95,15,0)),0,VLOOKUP($S$547,'TAR FIN'!$A$1:$O$95,15,0))</f>
        <v>0</v>
      </c>
      <c r="W547" s="6">
        <f>IF(ISERROR(VLOOKUP($T$547,'TAR FIN'!$A$1:$O$95,15,0)),0,VLOOKUP($T$547,'TAR FIN'!$A$1:$O$95,15,0))</f>
        <v>252.24</v>
      </c>
      <c r="X547" s="6">
        <f>IF(ISERROR(VLOOKUP($U$547,'TAR FIN'!$A$1:$O$95,15,0)),0,VLOOKUP($U$547,'TAR FIN'!$A$1:$O$95,15,0))</f>
        <v>145.97999999999999</v>
      </c>
      <c r="Y547" s="6"/>
      <c r="Z547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47" s="6">
        <f>('TE BE'!$AA$15+'TE BF'!$AA$15+'TE CVA'!$AA$15)*(1-CUSTOS!$M$35)</f>
        <v>178.32099824078242</v>
      </c>
      <c r="AB547" s="6">
        <f t="shared" si="22"/>
        <v>0</v>
      </c>
      <c r="AC547" s="6">
        <f>(L547-M547)*(W547+X547)+($W$660+$X$660-$W$547-$X$547)*(L547)</f>
        <v>994543.0035600001</v>
      </c>
      <c r="AD547" s="6">
        <f t="shared" si="23"/>
        <v>0</v>
      </c>
      <c r="AE547" s="6">
        <f ca="1">(L547-M547)*(Z547+AA547)+($Z$660+$AA$660-$Z$547-$AA$547)*(L547)</f>
        <v>1134755.1145365331</v>
      </c>
      <c r="AF547" s="4" t="s">
        <v>845</v>
      </c>
    </row>
    <row r="548" spans="1:32" ht="11.25" customHeight="1" x14ac:dyDescent="0.25">
      <c r="A548" s="4" t="s">
        <v>27</v>
      </c>
      <c r="B548" s="4" t="s">
        <v>22</v>
      </c>
      <c r="C548" s="4" t="s">
        <v>23</v>
      </c>
      <c r="D548" s="4" t="s">
        <v>24</v>
      </c>
      <c r="E548" s="4" t="s">
        <v>32</v>
      </c>
      <c r="F548" s="4" t="s">
        <v>25</v>
      </c>
      <c r="G548" s="4" t="s">
        <v>25</v>
      </c>
      <c r="H548" s="4" t="s">
        <v>25</v>
      </c>
      <c r="I548" s="5">
        <v>44166</v>
      </c>
      <c r="J548" s="6">
        <v>0</v>
      </c>
      <c r="K548" s="6">
        <v>0</v>
      </c>
      <c r="L548" s="6">
        <v>-6.7919999999999998</v>
      </c>
      <c r="M548" s="6">
        <v>-6.7919999999999998</v>
      </c>
      <c r="N548" s="6">
        <v>-6.7919999999999998</v>
      </c>
      <c r="O548" s="6">
        <v>-6.7919999999999998</v>
      </c>
      <c r="P548" s="6">
        <v>0</v>
      </c>
      <c r="Q548" s="4" t="s">
        <v>26</v>
      </c>
      <c r="R548" s="4">
        <v>0</v>
      </c>
      <c r="S548" s="4">
        <v>0</v>
      </c>
      <c r="T548" s="4">
        <v>10</v>
      </c>
      <c r="U548" s="4">
        <v>60</v>
      </c>
      <c r="V548" s="6">
        <f>IF(ISERROR(VLOOKUP($S$548,'TAR FIN'!$A$1:$O$95,15,0)),0,VLOOKUP($S$548,'TAR FIN'!$A$1:$O$95,15,0))</f>
        <v>0</v>
      </c>
      <c r="W548" s="6">
        <f>IF(ISERROR(VLOOKUP($T$548,'TAR FIN'!$A$1:$O$95,15,0)),0,VLOOKUP($T$548,'TAR FIN'!$A$1:$O$95,15,0))</f>
        <v>252.24</v>
      </c>
      <c r="X548" s="6">
        <f>IF(ISERROR(VLOOKUP($U$548,'TAR FIN'!$A$1:$O$95,15,0)),0,VLOOKUP($U$548,'TAR FIN'!$A$1:$O$95,15,0))</f>
        <v>145.97999999999999</v>
      </c>
      <c r="Y548" s="6"/>
      <c r="Z548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48" s="6">
        <f>('TE BE'!$AA$15+'TE BF'!$AA$15+'TE CVA'!$AA$15)*(1-CUSTOS!$M$35)</f>
        <v>178.32099824078242</v>
      </c>
      <c r="AB548" s="6">
        <f t="shared" si="22"/>
        <v>0</v>
      </c>
      <c r="AC548" s="6">
        <f>(L548-M548)*(W548+X548)+($W$660+$X$660-$W$548-$X$548)*(L548)</f>
        <v>-1803.0722400000002</v>
      </c>
      <c r="AD548" s="6">
        <f t="shared" si="23"/>
        <v>0</v>
      </c>
      <c r="AE548" s="6">
        <f ca="1">(L548-M548)*(Z548+AA548)+($Z$660+$AA$660-$Z$548-$AA$548)*(L548)</f>
        <v>-2057.2719720464124</v>
      </c>
      <c r="AF548" s="4" t="s">
        <v>845</v>
      </c>
    </row>
    <row r="549" spans="1:32" ht="11.25" customHeight="1" x14ac:dyDescent="0.25">
      <c r="A549" s="4" t="s">
        <v>28</v>
      </c>
      <c r="B549" s="4" t="s">
        <v>22</v>
      </c>
      <c r="C549" s="4" t="s">
        <v>23</v>
      </c>
      <c r="D549" s="4" t="s">
        <v>24</v>
      </c>
      <c r="E549" s="4" t="s">
        <v>32</v>
      </c>
      <c r="F549" s="4" t="s">
        <v>25</v>
      </c>
      <c r="G549" s="4" t="s">
        <v>25</v>
      </c>
      <c r="H549" s="4" t="s">
        <v>25</v>
      </c>
      <c r="I549" s="5">
        <v>44166</v>
      </c>
      <c r="J549" s="6">
        <v>0</v>
      </c>
      <c r="K549" s="6">
        <v>0</v>
      </c>
      <c r="L549" s="6">
        <v>6120.3680000000004</v>
      </c>
      <c r="M549" s="6">
        <v>6120.3680000000004</v>
      </c>
      <c r="N549" s="6">
        <v>6120.3680000000004</v>
      </c>
      <c r="O549" s="6">
        <v>6120.3680000000004</v>
      </c>
      <c r="P549" s="6">
        <v>31615</v>
      </c>
      <c r="Q549" s="4" t="s">
        <v>26</v>
      </c>
      <c r="R549" s="4">
        <v>0</v>
      </c>
      <c r="S549" s="4">
        <v>0</v>
      </c>
      <c r="T549" s="4">
        <v>10</v>
      </c>
      <c r="U549" s="4">
        <v>60</v>
      </c>
      <c r="V549" s="6">
        <f>IF(ISERROR(VLOOKUP($S$549,'TAR FIN'!$A$1:$O$95,15,0)),0,VLOOKUP($S$549,'TAR FIN'!$A$1:$O$95,15,0))</f>
        <v>0</v>
      </c>
      <c r="W549" s="6">
        <f>IF(ISERROR(VLOOKUP($T$549,'TAR FIN'!$A$1:$O$95,15,0)),0,VLOOKUP($T$549,'TAR FIN'!$A$1:$O$95,15,0))</f>
        <v>252.24</v>
      </c>
      <c r="X549" s="6">
        <f>IF(ISERROR(VLOOKUP($U$549,'TAR FIN'!$A$1:$O$95,15,0)),0,VLOOKUP($U$549,'TAR FIN'!$A$1:$O$95,15,0))</f>
        <v>145.97999999999999</v>
      </c>
      <c r="Y549" s="6"/>
      <c r="Z549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49" s="6">
        <f>('TE BE'!$AA$15+'TE BF'!$AA$15+'TE CVA'!$AA$15)*(1-CUSTOS!$M$35)</f>
        <v>178.32099824078242</v>
      </c>
      <c r="AB549" s="6">
        <f t="shared" si="22"/>
        <v>0</v>
      </c>
      <c r="AC549" s="6">
        <f>(L549-M549)*(W549+X549)+($W$660+$X$660-$W$549-$X$549)*(L549)</f>
        <v>1624774.0929600003</v>
      </c>
      <c r="AD549" s="6">
        <f t="shared" si="23"/>
        <v>0</v>
      </c>
      <c r="AE549" s="6">
        <f ca="1">(L549-M549)*(Z549+AA549)+($Z$660+$AA$660-$Z$549-$AA$549)*(L549)</f>
        <v>1853837.0943771729</v>
      </c>
      <c r="AF549" s="4" t="s">
        <v>845</v>
      </c>
    </row>
    <row r="550" spans="1:32" ht="11.25" customHeight="1" x14ac:dyDescent="0.25">
      <c r="A550" s="4" t="s">
        <v>29</v>
      </c>
      <c r="B550" s="4" t="s">
        <v>22</v>
      </c>
      <c r="C550" s="4" t="s">
        <v>23</v>
      </c>
      <c r="D550" s="4" t="s">
        <v>24</v>
      </c>
      <c r="E550" s="4" t="s">
        <v>32</v>
      </c>
      <c r="F550" s="4" t="s">
        <v>25</v>
      </c>
      <c r="G550" s="4" t="s">
        <v>25</v>
      </c>
      <c r="H550" s="4" t="s">
        <v>25</v>
      </c>
      <c r="I550" s="5">
        <v>44166</v>
      </c>
      <c r="J550" s="6">
        <v>0</v>
      </c>
      <c r="K550" s="6">
        <v>0</v>
      </c>
      <c r="L550" s="6">
        <v>-6.5750000000000002</v>
      </c>
      <c r="M550" s="6">
        <v>-6.5750000000000002</v>
      </c>
      <c r="N550" s="6">
        <v>-6.5750000000000002</v>
      </c>
      <c r="O550" s="6">
        <v>-6.5750000000000002</v>
      </c>
      <c r="P550" s="6">
        <v>0</v>
      </c>
      <c r="Q550" s="4" t="s">
        <v>26</v>
      </c>
      <c r="R550" s="4">
        <v>0</v>
      </c>
      <c r="S550" s="4">
        <v>0</v>
      </c>
      <c r="T550" s="4">
        <v>10</v>
      </c>
      <c r="U550" s="4">
        <v>60</v>
      </c>
      <c r="V550" s="6">
        <f>IF(ISERROR(VLOOKUP($S$550,'TAR FIN'!$A$1:$O$95,15,0)),0,VLOOKUP($S$550,'TAR FIN'!$A$1:$O$95,15,0))</f>
        <v>0</v>
      </c>
      <c r="W550" s="6">
        <f>IF(ISERROR(VLOOKUP($T$550,'TAR FIN'!$A$1:$O$95,15,0)),0,VLOOKUP($T$550,'TAR FIN'!$A$1:$O$95,15,0))</f>
        <v>252.24</v>
      </c>
      <c r="X550" s="6">
        <f>IF(ISERROR(VLOOKUP($U$550,'TAR FIN'!$A$1:$O$95,15,0)),0,VLOOKUP($U$550,'TAR FIN'!$A$1:$O$95,15,0))</f>
        <v>145.97999999999999</v>
      </c>
      <c r="Y550" s="6"/>
      <c r="Z550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50" s="6">
        <f>('TE BE'!$AA$15+'TE BF'!$AA$15+'TE CVA'!$AA$15)*(1-CUSTOS!$M$35)</f>
        <v>178.32099824078242</v>
      </c>
      <c r="AB550" s="6">
        <f t="shared" si="22"/>
        <v>0</v>
      </c>
      <c r="AC550" s="6">
        <f>(L550-M550)*(W550+X550)+($W$660+$X$660-$W$550-$X$550)*(L550)</f>
        <v>-1745.4652500000002</v>
      </c>
      <c r="AD550" s="6">
        <f t="shared" si="23"/>
        <v>0</v>
      </c>
      <c r="AE550" s="6">
        <f ca="1">(L550-M550)*(Z550+AA550)+($Z$660+$AA$660-$Z$550-$AA$550)*(L550)</f>
        <v>-1991.5434652834454</v>
      </c>
      <c r="AF550" s="4" t="s">
        <v>845</v>
      </c>
    </row>
    <row r="551" spans="1:32" ht="11.25" customHeight="1" x14ac:dyDescent="0.25">
      <c r="A551" s="4" t="s">
        <v>21</v>
      </c>
      <c r="B551" s="4" t="s">
        <v>22</v>
      </c>
      <c r="C551" s="4" t="s">
        <v>23</v>
      </c>
      <c r="D551" s="4" t="s">
        <v>24</v>
      </c>
      <c r="E551" s="4" t="s">
        <v>32</v>
      </c>
      <c r="F551" s="4" t="s">
        <v>25</v>
      </c>
      <c r="G551" s="4" t="s">
        <v>25</v>
      </c>
      <c r="H551" s="4" t="s">
        <v>25</v>
      </c>
      <c r="I551" s="5">
        <v>44197</v>
      </c>
      <c r="J551" s="6">
        <v>0</v>
      </c>
      <c r="K551" s="6">
        <v>0</v>
      </c>
      <c r="L551" s="6">
        <v>3875.0279999999998</v>
      </c>
      <c r="M551" s="6">
        <v>3875.0279999999998</v>
      </c>
      <c r="N551" s="6">
        <v>3875.0279999999998</v>
      </c>
      <c r="O551" s="6">
        <v>3875.0279999999998</v>
      </c>
      <c r="P551" s="6">
        <v>21806</v>
      </c>
      <c r="Q551" s="4" t="s">
        <v>26</v>
      </c>
      <c r="R551" s="4">
        <v>0</v>
      </c>
      <c r="S551" s="4">
        <v>0</v>
      </c>
      <c r="T551" s="4">
        <v>10</v>
      </c>
      <c r="U551" s="4">
        <v>60</v>
      </c>
      <c r="V551" s="6">
        <f>IF(ISERROR(VLOOKUP($S$551,'TAR FIN'!$A$1:$O$95,15,0)),0,VLOOKUP($S$551,'TAR FIN'!$A$1:$O$95,15,0))</f>
        <v>0</v>
      </c>
      <c r="W551" s="6">
        <f>IF(ISERROR(VLOOKUP($T$551,'TAR FIN'!$A$1:$O$95,15,0)),0,VLOOKUP($T$551,'TAR FIN'!$A$1:$O$95,15,0))</f>
        <v>252.24</v>
      </c>
      <c r="X551" s="6">
        <f>IF(ISERROR(VLOOKUP($U$551,'TAR FIN'!$A$1:$O$95,15,0)),0,VLOOKUP($U$551,'TAR FIN'!$A$1:$O$95,15,0))</f>
        <v>145.97999999999999</v>
      </c>
      <c r="Y551" s="6"/>
      <c r="Z551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51" s="6">
        <f>('TE BE'!$AA$15+'TE BF'!$AA$15+'TE CVA'!$AA$15)*(1-CUSTOS!$M$35)</f>
        <v>178.32099824078242</v>
      </c>
      <c r="AB551" s="6">
        <f t="shared" si="22"/>
        <v>0</v>
      </c>
      <c r="AC551" s="6">
        <f>(L551-M551)*(W551+X551)+($W$660+$X$660-$W$551-$X$551)*(L551)</f>
        <v>1028703.68316</v>
      </c>
      <c r="AD551" s="6">
        <f t="shared" si="23"/>
        <v>0</v>
      </c>
      <c r="AE551" s="6">
        <f ca="1">(L551-M551)*(Z551+AA551)+($Z$660+$AA$660-$Z$551-$AA$551)*(L551)</f>
        <v>1173731.8161506278</v>
      </c>
      <c r="AF551" s="4" t="s">
        <v>845</v>
      </c>
    </row>
    <row r="552" spans="1:32" ht="11.25" customHeight="1" x14ac:dyDescent="0.25">
      <c r="A552" s="4" t="s">
        <v>27</v>
      </c>
      <c r="B552" s="4" t="s">
        <v>22</v>
      </c>
      <c r="C552" s="4" t="s">
        <v>23</v>
      </c>
      <c r="D552" s="4" t="s">
        <v>24</v>
      </c>
      <c r="E552" s="4" t="s">
        <v>32</v>
      </c>
      <c r="F552" s="4" t="s">
        <v>25</v>
      </c>
      <c r="G552" s="4" t="s">
        <v>25</v>
      </c>
      <c r="H552" s="4" t="s">
        <v>25</v>
      </c>
      <c r="I552" s="5">
        <v>44197</v>
      </c>
      <c r="J552" s="6">
        <v>0</v>
      </c>
      <c r="K552" s="6">
        <v>0</v>
      </c>
      <c r="L552" s="6">
        <v>-8.5250000000000004</v>
      </c>
      <c r="M552" s="6">
        <v>-8.5250000000000004</v>
      </c>
      <c r="N552" s="6">
        <v>-8.5250000000000004</v>
      </c>
      <c r="O552" s="6">
        <v>-8.5250000000000004</v>
      </c>
      <c r="P552" s="6">
        <v>0</v>
      </c>
      <c r="Q552" s="4" t="s">
        <v>26</v>
      </c>
      <c r="R552" s="4">
        <v>0</v>
      </c>
      <c r="S552" s="4">
        <v>0</v>
      </c>
      <c r="T552" s="4">
        <v>10</v>
      </c>
      <c r="U552" s="4">
        <v>60</v>
      </c>
      <c r="V552" s="6">
        <f>IF(ISERROR(VLOOKUP($S$552,'TAR FIN'!$A$1:$O$95,15,0)),0,VLOOKUP($S$552,'TAR FIN'!$A$1:$O$95,15,0))</f>
        <v>0</v>
      </c>
      <c r="W552" s="6">
        <f>IF(ISERROR(VLOOKUP($T$552,'TAR FIN'!$A$1:$O$95,15,0)),0,VLOOKUP($T$552,'TAR FIN'!$A$1:$O$95,15,0))</f>
        <v>252.24</v>
      </c>
      <c r="X552" s="6">
        <f>IF(ISERROR(VLOOKUP($U$552,'TAR FIN'!$A$1:$O$95,15,0)),0,VLOOKUP($U$552,'TAR FIN'!$A$1:$O$95,15,0))</f>
        <v>145.97999999999999</v>
      </c>
      <c r="Y552" s="6"/>
      <c r="Z552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52" s="6">
        <f>('TE BE'!$AA$15+'TE BF'!$AA$15+'TE CVA'!$AA$15)*(1-CUSTOS!$M$35)</f>
        <v>178.32099824078242</v>
      </c>
      <c r="AB552" s="6">
        <f t="shared" si="22"/>
        <v>0</v>
      </c>
      <c r="AC552" s="6">
        <f>(L552-M552)*(W552+X552)+($W$660+$X$660-$W$552-$X$552)*(L552)</f>
        <v>-2263.1317500000005</v>
      </c>
      <c r="AD552" s="6">
        <f t="shared" si="23"/>
        <v>0</v>
      </c>
      <c r="AE552" s="6">
        <f ca="1">(L552-M552)*(Z552+AA552)+($Z$660+$AA$660-$Z$552-$AA$552)*(L552)</f>
        <v>-2582.1913371165588</v>
      </c>
      <c r="AF552" s="4" t="s">
        <v>845</v>
      </c>
    </row>
    <row r="553" spans="1:32" ht="11.25" customHeight="1" x14ac:dyDescent="0.25">
      <c r="A553" s="4" t="s">
        <v>28</v>
      </c>
      <c r="B553" s="4" t="s">
        <v>22</v>
      </c>
      <c r="C553" s="4" t="s">
        <v>23</v>
      </c>
      <c r="D553" s="4" t="s">
        <v>24</v>
      </c>
      <c r="E553" s="4" t="s">
        <v>32</v>
      </c>
      <c r="F553" s="4" t="s">
        <v>25</v>
      </c>
      <c r="G553" s="4" t="s">
        <v>25</v>
      </c>
      <c r="H553" s="4" t="s">
        <v>25</v>
      </c>
      <c r="I553" s="5">
        <v>44197</v>
      </c>
      <c r="J553" s="6">
        <v>0</v>
      </c>
      <c r="K553" s="6">
        <v>0</v>
      </c>
      <c r="L553" s="6">
        <v>6055.92</v>
      </c>
      <c r="M553" s="6">
        <v>6055.92</v>
      </c>
      <c r="N553" s="6">
        <v>6055.92</v>
      </c>
      <c r="O553" s="6">
        <v>6055.92</v>
      </c>
      <c r="P553" s="6">
        <v>34511</v>
      </c>
      <c r="Q553" s="4" t="s">
        <v>26</v>
      </c>
      <c r="R553" s="4">
        <v>0</v>
      </c>
      <c r="S553" s="4">
        <v>0</v>
      </c>
      <c r="T553" s="4">
        <v>10</v>
      </c>
      <c r="U553" s="4">
        <v>60</v>
      </c>
      <c r="V553" s="6">
        <f>IF(ISERROR(VLOOKUP($S$553,'TAR FIN'!$A$1:$O$95,15,0)),0,VLOOKUP($S$553,'TAR FIN'!$A$1:$O$95,15,0))</f>
        <v>0</v>
      </c>
      <c r="W553" s="6">
        <f>IF(ISERROR(VLOOKUP($T$553,'TAR FIN'!$A$1:$O$95,15,0)),0,VLOOKUP($T$553,'TAR FIN'!$A$1:$O$95,15,0))</f>
        <v>252.24</v>
      </c>
      <c r="X553" s="6">
        <f>IF(ISERROR(VLOOKUP($U$553,'TAR FIN'!$A$1:$O$95,15,0)),0,VLOOKUP($U$553,'TAR FIN'!$A$1:$O$95,15,0))</f>
        <v>145.97999999999999</v>
      </c>
      <c r="Y553" s="6"/>
      <c r="Z553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53" s="6">
        <f>('TE BE'!$AA$15+'TE BF'!$AA$15+'TE CVA'!$AA$15)*(1-CUSTOS!$M$35)</f>
        <v>178.32099824078242</v>
      </c>
      <c r="AB553" s="6">
        <f t="shared" si="22"/>
        <v>0</v>
      </c>
      <c r="AC553" s="6">
        <f>(L553-M553)*(W553+X553)+($W$660+$X$660-$W$553-$X$553)*(L553)</f>
        <v>1607665.0824000002</v>
      </c>
      <c r="AD553" s="6">
        <f t="shared" si="23"/>
        <v>0</v>
      </c>
      <c r="AE553" s="6">
        <f ca="1">(L553-M553)*(Z553+AA553)+($Z$660+$AA$660-$Z$553-$AA$553)*(L553)</f>
        <v>1834316.030764916</v>
      </c>
      <c r="AF553" s="4" t="s">
        <v>845</v>
      </c>
    </row>
    <row r="554" spans="1:32" ht="11.25" customHeight="1" x14ac:dyDescent="0.25">
      <c r="A554" s="4" t="s">
        <v>29</v>
      </c>
      <c r="B554" s="4" t="s">
        <v>22</v>
      </c>
      <c r="C554" s="4" t="s">
        <v>23</v>
      </c>
      <c r="D554" s="4" t="s">
        <v>24</v>
      </c>
      <c r="E554" s="4" t="s">
        <v>32</v>
      </c>
      <c r="F554" s="4" t="s">
        <v>25</v>
      </c>
      <c r="G554" s="4" t="s">
        <v>25</v>
      </c>
      <c r="H554" s="4" t="s">
        <v>25</v>
      </c>
      <c r="I554" s="5">
        <v>44197</v>
      </c>
      <c r="J554" s="6">
        <v>0</v>
      </c>
      <c r="K554" s="6">
        <v>0</v>
      </c>
      <c r="L554" s="6">
        <v>-4.3979999999999997</v>
      </c>
      <c r="M554" s="6">
        <v>-4.3979999999999997</v>
      </c>
      <c r="N554" s="6">
        <v>-4.3979999999999997</v>
      </c>
      <c r="O554" s="6">
        <v>-4.3979999999999997</v>
      </c>
      <c r="P554" s="6">
        <v>0</v>
      </c>
      <c r="Q554" s="4" t="s">
        <v>26</v>
      </c>
      <c r="R554" s="4">
        <v>0</v>
      </c>
      <c r="S554" s="4">
        <v>0</v>
      </c>
      <c r="T554" s="4">
        <v>10</v>
      </c>
      <c r="U554" s="4">
        <v>60</v>
      </c>
      <c r="V554" s="6">
        <f>IF(ISERROR(VLOOKUP($S$554,'TAR FIN'!$A$1:$O$95,15,0)),0,VLOOKUP($S$554,'TAR FIN'!$A$1:$O$95,15,0))</f>
        <v>0</v>
      </c>
      <c r="W554" s="6">
        <f>IF(ISERROR(VLOOKUP($T$554,'TAR FIN'!$A$1:$O$95,15,0)),0,VLOOKUP($T$554,'TAR FIN'!$A$1:$O$95,15,0))</f>
        <v>252.24</v>
      </c>
      <c r="X554" s="6">
        <f>IF(ISERROR(VLOOKUP($U$554,'TAR FIN'!$A$1:$O$95,15,0)),0,VLOOKUP($U$554,'TAR FIN'!$A$1:$O$95,15,0))</f>
        <v>145.97999999999999</v>
      </c>
      <c r="Y554" s="6"/>
      <c r="Z554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54" s="6">
        <f>('TE BE'!$AA$15+'TE BF'!$AA$15+'TE CVA'!$AA$15)*(1-CUSTOS!$M$35)</f>
        <v>178.32099824078242</v>
      </c>
      <c r="AB554" s="6">
        <f t="shared" si="22"/>
        <v>0</v>
      </c>
      <c r="AC554" s="6">
        <f>(L554-M554)*(W554+X554)+($W$660+$X$660-$W$554-$X$554)*(L554)</f>
        <v>-1167.5370600000001</v>
      </c>
      <c r="AD554" s="6">
        <f t="shared" si="23"/>
        <v>0</v>
      </c>
      <c r="AE554" s="6">
        <f ca="1">(L554-M554)*(Z554+AA554)+($Z$660+$AA$660-$Z$554-$AA$554)*(L554)</f>
        <v>-1332.1381232420672</v>
      </c>
      <c r="AF554" s="4" t="s">
        <v>845</v>
      </c>
    </row>
    <row r="555" spans="1:32" ht="11.25" customHeight="1" x14ac:dyDescent="0.25">
      <c r="A555" s="4" t="s">
        <v>30</v>
      </c>
      <c r="B555" s="4" t="s">
        <v>22</v>
      </c>
      <c r="C555" s="4" t="s">
        <v>23</v>
      </c>
      <c r="D555" s="4" t="s">
        <v>24</v>
      </c>
      <c r="E555" s="4" t="s">
        <v>32</v>
      </c>
      <c r="F555" s="4" t="s">
        <v>25</v>
      </c>
      <c r="G555" s="4" t="s">
        <v>25</v>
      </c>
      <c r="H555" s="4" t="s">
        <v>25</v>
      </c>
      <c r="I555" s="5">
        <v>44197</v>
      </c>
      <c r="J555" s="6">
        <v>0</v>
      </c>
      <c r="K555" s="6">
        <v>0</v>
      </c>
      <c r="L555" s="6">
        <v>0.02</v>
      </c>
      <c r="M555" s="6">
        <v>0.02</v>
      </c>
      <c r="N555" s="6">
        <v>0.02</v>
      </c>
      <c r="O555" s="6">
        <v>0.02</v>
      </c>
      <c r="P555" s="6">
        <v>0</v>
      </c>
      <c r="Q555" s="4" t="s">
        <v>26</v>
      </c>
      <c r="R555" s="4">
        <v>0</v>
      </c>
      <c r="S555" s="4">
        <v>0</v>
      </c>
      <c r="T555" s="4">
        <v>10</v>
      </c>
      <c r="U555" s="4">
        <v>60</v>
      </c>
      <c r="V555" s="6">
        <f>IF(ISERROR(VLOOKUP($S$555,'TAR FIN'!$A$1:$O$95,15,0)),0,VLOOKUP($S$555,'TAR FIN'!$A$1:$O$95,15,0))</f>
        <v>0</v>
      </c>
      <c r="W555" s="6">
        <f>IF(ISERROR(VLOOKUP($T$555,'TAR FIN'!$A$1:$O$95,15,0)),0,VLOOKUP($T$555,'TAR FIN'!$A$1:$O$95,15,0))</f>
        <v>252.24</v>
      </c>
      <c r="X555" s="6">
        <f>IF(ISERROR(VLOOKUP($U$555,'TAR FIN'!$A$1:$O$95,15,0)),0,VLOOKUP($U$555,'TAR FIN'!$A$1:$O$95,15,0))</f>
        <v>145.97999999999999</v>
      </c>
      <c r="Y555" s="6"/>
      <c r="Z555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55" s="6">
        <f>('TE BE'!$AA$15+'TE BF'!$AA$15+'TE CVA'!$AA$15)*(1-CUSTOS!$M$35)</f>
        <v>178.32099824078242</v>
      </c>
      <c r="AB555" s="6">
        <f t="shared" si="22"/>
        <v>0</v>
      </c>
      <c r="AC555" s="6">
        <f>(L555-M555)*(W555+X555)+($W$660+$X$660-$W$555-$X$555)*(L555)</f>
        <v>5.309400000000001</v>
      </c>
      <c r="AD555" s="6">
        <f t="shared" si="23"/>
        <v>0</v>
      </c>
      <c r="AE555" s="6">
        <f ca="1">(L555-M555)*(Z555+AA555)+($Z$660+$AA$660-$Z$555-$AA$555)*(L555)</f>
        <v>6.0579268905960317</v>
      </c>
      <c r="AF555" s="4" t="s">
        <v>845</v>
      </c>
    </row>
    <row r="556" spans="1:32" ht="11.25" customHeight="1" x14ac:dyDescent="0.25">
      <c r="A556" s="4" t="s">
        <v>30</v>
      </c>
      <c r="B556" s="4" t="s">
        <v>22</v>
      </c>
      <c r="C556" s="4" t="s">
        <v>23</v>
      </c>
      <c r="D556" s="4" t="s">
        <v>24</v>
      </c>
      <c r="E556" s="4" t="s">
        <v>32</v>
      </c>
      <c r="F556" s="4" t="s">
        <v>25</v>
      </c>
      <c r="G556" s="4" t="s">
        <v>25</v>
      </c>
      <c r="H556" s="4" t="s">
        <v>25</v>
      </c>
      <c r="I556" s="5">
        <v>44197</v>
      </c>
      <c r="J556" s="6">
        <v>0</v>
      </c>
      <c r="K556" s="6">
        <v>0</v>
      </c>
      <c r="L556" s="6">
        <v>0.32700000000000001</v>
      </c>
      <c r="M556" s="6">
        <v>0.32700000000000001</v>
      </c>
      <c r="N556" s="6">
        <v>0.32700000000000001</v>
      </c>
      <c r="O556" s="6">
        <v>0.32700000000000001</v>
      </c>
      <c r="P556" s="6">
        <v>0</v>
      </c>
      <c r="Q556" s="4" t="s">
        <v>26</v>
      </c>
      <c r="R556" s="4">
        <v>0</v>
      </c>
      <c r="S556" s="4">
        <v>0</v>
      </c>
      <c r="T556" s="4">
        <v>10</v>
      </c>
      <c r="U556" s="4">
        <v>60</v>
      </c>
      <c r="V556" s="6">
        <f>IF(ISERROR(VLOOKUP($S$556,'TAR FIN'!$A$1:$O$95,15,0)),0,VLOOKUP($S$556,'TAR FIN'!$A$1:$O$95,15,0))</f>
        <v>0</v>
      </c>
      <c r="W556" s="6">
        <f>IF(ISERROR(VLOOKUP($T$556,'TAR FIN'!$A$1:$O$95,15,0)),0,VLOOKUP($T$556,'TAR FIN'!$A$1:$O$95,15,0))</f>
        <v>252.24</v>
      </c>
      <c r="X556" s="6">
        <f>IF(ISERROR(VLOOKUP($U$556,'TAR FIN'!$A$1:$O$95,15,0)),0,VLOOKUP($U$556,'TAR FIN'!$A$1:$O$95,15,0))</f>
        <v>145.97999999999999</v>
      </c>
      <c r="Y556" s="6"/>
      <c r="Z556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56" s="6">
        <f>('TE BE'!$AA$15+'TE BF'!$AA$15+'TE CVA'!$AA$15)*(1-CUSTOS!$M$35)</f>
        <v>178.32099824078242</v>
      </c>
      <c r="AB556" s="6">
        <f t="shared" si="22"/>
        <v>0</v>
      </c>
      <c r="AC556" s="6">
        <f>(L556-M556)*(W556+X556)+($W$660+$X$660-$W$556-$X$556)*(L556)</f>
        <v>86.808690000000013</v>
      </c>
      <c r="AD556" s="6">
        <f t="shared" si="23"/>
        <v>0</v>
      </c>
      <c r="AE556" s="6">
        <f ca="1">(L556-M556)*(Z556+AA556)+($Z$660+$AA$660-$Z$556-$AA$556)*(L556)</f>
        <v>99.047104661245115</v>
      </c>
      <c r="AF556" s="4" t="s">
        <v>845</v>
      </c>
    </row>
    <row r="557" spans="1:32" ht="11.25" customHeight="1" x14ac:dyDescent="0.25">
      <c r="A557" s="4" t="s">
        <v>21</v>
      </c>
      <c r="B557" s="4" t="s">
        <v>22</v>
      </c>
      <c r="C557" s="4" t="s">
        <v>23</v>
      </c>
      <c r="D557" s="4" t="s">
        <v>24</v>
      </c>
      <c r="E557" s="4" t="s">
        <v>32</v>
      </c>
      <c r="F557" s="4" t="s">
        <v>25</v>
      </c>
      <c r="G557" s="4" t="s">
        <v>25</v>
      </c>
      <c r="H557" s="4" t="s">
        <v>25</v>
      </c>
      <c r="I557" s="5">
        <v>44228</v>
      </c>
      <c r="J557" s="6">
        <v>0</v>
      </c>
      <c r="K557" s="6">
        <v>0</v>
      </c>
      <c r="L557" s="6">
        <v>3629.8249999999998</v>
      </c>
      <c r="M557" s="6">
        <v>3629.8249999999998</v>
      </c>
      <c r="N557" s="6">
        <v>3629.8249999999998</v>
      </c>
      <c r="O557" s="6">
        <v>3629.8249999999998</v>
      </c>
      <c r="P557" s="6">
        <v>24844</v>
      </c>
      <c r="Q557" s="4" t="s">
        <v>26</v>
      </c>
      <c r="R557" s="4">
        <v>0</v>
      </c>
      <c r="S557" s="4">
        <v>0</v>
      </c>
      <c r="T557" s="4">
        <v>10</v>
      </c>
      <c r="U557" s="4">
        <v>60</v>
      </c>
      <c r="V557" s="6">
        <f>IF(ISERROR(VLOOKUP($S$557,'TAR FIN'!$A$1:$O$95,15,0)),0,VLOOKUP($S$557,'TAR FIN'!$A$1:$O$95,15,0))</f>
        <v>0</v>
      </c>
      <c r="W557" s="6">
        <f>IF(ISERROR(VLOOKUP($T$557,'TAR FIN'!$A$1:$O$95,15,0)),0,VLOOKUP($T$557,'TAR FIN'!$A$1:$O$95,15,0))</f>
        <v>252.24</v>
      </c>
      <c r="X557" s="6">
        <f>IF(ISERROR(VLOOKUP($U$557,'TAR FIN'!$A$1:$O$95,15,0)),0,VLOOKUP($U$557,'TAR FIN'!$A$1:$O$95,15,0))</f>
        <v>145.97999999999999</v>
      </c>
      <c r="Y557" s="6"/>
      <c r="Z557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57" s="6">
        <f>('TE BE'!$AA$15+'TE BF'!$AA$15+'TE CVA'!$AA$15)*(1-CUSTOS!$M$35)</f>
        <v>178.32099824078242</v>
      </c>
      <c r="AB557" s="6">
        <f t="shared" si="22"/>
        <v>0</v>
      </c>
      <c r="AC557" s="6">
        <f>(L557-M557)*(W557+X557)+($W$660+$X$660-$W$557-$X$557)*(L557)</f>
        <v>963609.64275</v>
      </c>
      <c r="AD557" s="6">
        <f t="shared" si="23"/>
        <v>0</v>
      </c>
      <c r="AE557" s="6">
        <f ca="1">(L557-M557)*(Z557+AA557)+($Z$660+$AA$660-$Z$557-$AA$557)*(L557)</f>
        <v>1099460.723782887</v>
      </c>
      <c r="AF557" s="4" t="s">
        <v>845</v>
      </c>
    </row>
    <row r="558" spans="1:32" ht="11.25" customHeight="1" x14ac:dyDescent="0.25">
      <c r="A558" s="4" t="s">
        <v>27</v>
      </c>
      <c r="B558" s="4" t="s">
        <v>22</v>
      </c>
      <c r="C558" s="4" t="s">
        <v>23</v>
      </c>
      <c r="D558" s="4" t="s">
        <v>24</v>
      </c>
      <c r="E558" s="4" t="s">
        <v>32</v>
      </c>
      <c r="F558" s="4" t="s">
        <v>25</v>
      </c>
      <c r="G558" s="4" t="s">
        <v>25</v>
      </c>
      <c r="H558" s="4" t="s">
        <v>25</v>
      </c>
      <c r="I558" s="5">
        <v>44228</v>
      </c>
      <c r="J558" s="6">
        <v>0</v>
      </c>
      <c r="K558" s="6">
        <v>0</v>
      </c>
      <c r="L558" s="6">
        <v>-5.8780000000000001</v>
      </c>
      <c r="M558" s="6">
        <v>-5.8780000000000001</v>
      </c>
      <c r="N558" s="6">
        <v>-5.8780000000000001</v>
      </c>
      <c r="O558" s="6">
        <v>-5.8780000000000001</v>
      </c>
      <c r="P558" s="6">
        <v>0</v>
      </c>
      <c r="Q558" s="4" t="s">
        <v>26</v>
      </c>
      <c r="R558" s="4">
        <v>0</v>
      </c>
      <c r="S558" s="4">
        <v>0</v>
      </c>
      <c r="T558" s="4">
        <v>10</v>
      </c>
      <c r="U558" s="4">
        <v>60</v>
      </c>
      <c r="V558" s="6">
        <f>IF(ISERROR(VLOOKUP($S$558,'TAR FIN'!$A$1:$O$95,15,0)),0,VLOOKUP($S$558,'TAR FIN'!$A$1:$O$95,15,0))</f>
        <v>0</v>
      </c>
      <c r="W558" s="6">
        <f>IF(ISERROR(VLOOKUP($T$558,'TAR FIN'!$A$1:$O$95,15,0)),0,VLOOKUP($T$558,'TAR FIN'!$A$1:$O$95,15,0))</f>
        <v>252.24</v>
      </c>
      <c r="X558" s="6">
        <f>IF(ISERROR(VLOOKUP($U$558,'TAR FIN'!$A$1:$O$95,15,0)),0,VLOOKUP($U$558,'TAR FIN'!$A$1:$O$95,15,0))</f>
        <v>145.97999999999999</v>
      </c>
      <c r="Y558" s="6"/>
      <c r="Z558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58" s="6">
        <f>('TE BE'!$AA$15+'TE BF'!$AA$15+'TE CVA'!$AA$15)*(1-CUSTOS!$M$35)</f>
        <v>178.32099824078242</v>
      </c>
      <c r="AB558" s="6">
        <f t="shared" si="22"/>
        <v>0</v>
      </c>
      <c r="AC558" s="6">
        <f>(L558-M558)*(W558+X558)+($W$660+$X$660-$W$558-$X$558)*(L558)</f>
        <v>-1560.4326600000002</v>
      </c>
      <c r="AD558" s="6">
        <f t="shared" si="23"/>
        <v>0</v>
      </c>
      <c r="AE558" s="6">
        <f ca="1">(L558-M558)*(Z558+AA558)+($Z$660+$AA$660-$Z$558-$AA$558)*(L558)</f>
        <v>-1780.4247131461736</v>
      </c>
      <c r="AF558" s="4" t="s">
        <v>845</v>
      </c>
    </row>
    <row r="559" spans="1:32" ht="11.25" customHeight="1" x14ac:dyDescent="0.25">
      <c r="A559" s="4" t="s">
        <v>28</v>
      </c>
      <c r="B559" s="4" t="s">
        <v>22</v>
      </c>
      <c r="C559" s="4" t="s">
        <v>23</v>
      </c>
      <c r="D559" s="4" t="s">
        <v>24</v>
      </c>
      <c r="E559" s="4" t="s">
        <v>32</v>
      </c>
      <c r="F559" s="4" t="s">
        <v>25</v>
      </c>
      <c r="G559" s="4" t="s">
        <v>25</v>
      </c>
      <c r="H559" s="4" t="s">
        <v>25</v>
      </c>
      <c r="I559" s="5">
        <v>44228</v>
      </c>
      <c r="J559" s="6">
        <v>0</v>
      </c>
      <c r="K559" s="6">
        <v>0</v>
      </c>
      <c r="L559" s="6">
        <v>5884.6030000000001</v>
      </c>
      <c r="M559" s="6">
        <v>5884.6030000000001</v>
      </c>
      <c r="N559" s="6">
        <v>5884.6030000000001</v>
      </c>
      <c r="O559" s="6">
        <v>5884.6030000000001</v>
      </c>
      <c r="P559" s="6">
        <v>35599</v>
      </c>
      <c r="Q559" s="4" t="s">
        <v>26</v>
      </c>
      <c r="R559" s="4">
        <v>0</v>
      </c>
      <c r="S559" s="4">
        <v>0</v>
      </c>
      <c r="T559" s="4">
        <v>10</v>
      </c>
      <c r="U559" s="4">
        <v>60</v>
      </c>
      <c r="V559" s="6">
        <f>IF(ISERROR(VLOOKUP($S$559,'TAR FIN'!$A$1:$O$95,15,0)),0,VLOOKUP($S$559,'TAR FIN'!$A$1:$O$95,15,0))</f>
        <v>0</v>
      </c>
      <c r="W559" s="6">
        <f>IF(ISERROR(VLOOKUP($T$559,'TAR FIN'!$A$1:$O$95,15,0)),0,VLOOKUP($T$559,'TAR FIN'!$A$1:$O$95,15,0))</f>
        <v>252.24</v>
      </c>
      <c r="X559" s="6">
        <f>IF(ISERROR(VLOOKUP($U$559,'TAR FIN'!$A$1:$O$95,15,0)),0,VLOOKUP($U$559,'TAR FIN'!$A$1:$O$95,15,0))</f>
        <v>145.97999999999999</v>
      </c>
      <c r="Y559" s="6"/>
      <c r="Z559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59" s="6">
        <f>('TE BE'!$AA$15+'TE BF'!$AA$15+'TE CVA'!$AA$15)*(1-CUSTOS!$M$35)</f>
        <v>178.32099824078242</v>
      </c>
      <c r="AB559" s="6">
        <f t="shared" si="22"/>
        <v>0</v>
      </c>
      <c r="AC559" s="6">
        <f>(L559-M559)*(W559+X559)+($W$660+$X$660-$W$559-$X$559)*(L559)</f>
        <v>1562185.5584100003</v>
      </c>
      <c r="AD559" s="6">
        <f t="shared" si="23"/>
        <v>0</v>
      </c>
      <c r="AE559" s="6">
        <f ca="1">(L559-M559)*(Z559+AA559)+($Z$660+$AA$660-$Z$559-$AA$559)*(L559)</f>
        <v>1782424.7377091041</v>
      </c>
      <c r="AF559" s="4" t="s">
        <v>845</v>
      </c>
    </row>
    <row r="560" spans="1:32" ht="11.25" customHeight="1" x14ac:dyDescent="0.25">
      <c r="A560" s="4" t="s">
        <v>29</v>
      </c>
      <c r="B560" s="4" t="s">
        <v>22</v>
      </c>
      <c r="C560" s="4" t="s">
        <v>23</v>
      </c>
      <c r="D560" s="4" t="s">
        <v>24</v>
      </c>
      <c r="E560" s="4" t="s">
        <v>32</v>
      </c>
      <c r="F560" s="4" t="s">
        <v>25</v>
      </c>
      <c r="G560" s="4" t="s">
        <v>25</v>
      </c>
      <c r="H560" s="4" t="s">
        <v>25</v>
      </c>
      <c r="I560" s="5">
        <v>44228</v>
      </c>
      <c r="J560" s="6">
        <v>0</v>
      </c>
      <c r="K560" s="6">
        <v>0</v>
      </c>
      <c r="L560" s="6">
        <v>-15.532999999999999</v>
      </c>
      <c r="M560" s="6">
        <v>-15.532999999999999</v>
      </c>
      <c r="N560" s="6">
        <v>-15.532999999999999</v>
      </c>
      <c r="O560" s="6">
        <v>-15.532999999999999</v>
      </c>
      <c r="P560" s="6">
        <v>0</v>
      </c>
      <c r="Q560" s="4" t="s">
        <v>26</v>
      </c>
      <c r="R560" s="4">
        <v>0</v>
      </c>
      <c r="S560" s="4">
        <v>0</v>
      </c>
      <c r="T560" s="4">
        <v>10</v>
      </c>
      <c r="U560" s="4">
        <v>60</v>
      </c>
      <c r="V560" s="6">
        <f>IF(ISERROR(VLOOKUP($S$560,'TAR FIN'!$A$1:$O$95,15,0)),0,VLOOKUP($S$560,'TAR FIN'!$A$1:$O$95,15,0))</f>
        <v>0</v>
      </c>
      <c r="W560" s="6">
        <f>IF(ISERROR(VLOOKUP($T$560,'TAR FIN'!$A$1:$O$95,15,0)),0,VLOOKUP($T$560,'TAR FIN'!$A$1:$O$95,15,0))</f>
        <v>252.24</v>
      </c>
      <c r="X560" s="6">
        <f>IF(ISERROR(VLOOKUP($U$560,'TAR FIN'!$A$1:$O$95,15,0)),0,VLOOKUP($U$560,'TAR FIN'!$A$1:$O$95,15,0))</f>
        <v>145.97999999999999</v>
      </c>
      <c r="Y560" s="6"/>
      <c r="Z560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60" s="6">
        <f>('TE BE'!$AA$15+'TE BF'!$AA$15+'TE CVA'!$AA$15)*(1-CUSTOS!$M$35)</f>
        <v>178.32099824078242</v>
      </c>
      <c r="AB560" s="6">
        <f t="shared" si="22"/>
        <v>0</v>
      </c>
      <c r="AC560" s="6">
        <f>(L560-M560)*(W560+X560)+($W$660+$X$660-$W$560-$X$560)*(L560)</f>
        <v>-4123.5455099999999</v>
      </c>
      <c r="AD560" s="6">
        <f t="shared" si="23"/>
        <v>0</v>
      </c>
      <c r="AE560" s="6">
        <f ca="1">(L560-M560)*(Z560+AA560)+($Z$660+$AA$660-$Z$560-$AA$560)*(L560)</f>
        <v>-4704.8889195814081</v>
      </c>
      <c r="AF560" s="4" t="s">
        <v>845</v>
      </c>
    </row>
    <row r="561" spans="1:32" ht="11.25" customHeight="1" x14ac:dyDescent="0.25">
      <c r="A561" s="4" t="s">
        <v>30</v>
      </c>
      <c r="B561" s="4" t="s">
        <v>22</v>
      </c>
      <c r="C561" s="4" t="s">
        <v>23</v>
      </c>
      <c r="D561" s="4" t="s">
        <v>24</v>
      </c>
      <c r="E561" s="4" t="s">
        <v>32</v>
      </c>
      <c r="F561" s="4" t="s">
        <v>25</v>
      </c>
      <c r="G561" s="4" t="s">
        <v>25</v>
      </c>
      <c r="H561" s="4" t="s">
        <v>25</v>
      </c>
      <c r="I561" s="5">
        <v>44228</v>
      </c>
      <c r="J561" s="6">
        <v>0</v>
      </c>
      <c r="K561" s="6">
        <v>0</v>
      </c>
      <c r="L561" s="6">
        <v>0.11</v>
      </c>
      <c r="M561" s="6">
        <v>0.11</v>
      </c>
      <c r="N561" s="6">
        <v>0.11</v>
      </c>
      <c r="O561" s="6">
        <v>0.11</v>
      </c>
      <c r="P561" s="6">
        <v>0</v>
      </c>
      <c r="Q561" s="4" t="s">
        <v>26</v>
      </c>
      <c r="R561" s="4">
        <v>0</v>
      </c>
      <c r="S561" s="4">
        <v>0</v>
      </c>
      <c r="T561" s="4">
        <v>10</v>
      </c>
      <c r="U561" s="4">
        <v>60</v>
      </c>
      <c r="V561" s="6">
        <f>IF(ISERROR(VLOOKUP($S$561,'TAR FIN'!$A$1:$O$95,15,0)),0,VLOOKUP($S$561,'TAR FIN'!$A$1:$O$95,15,0))</f>
        <v>0</v>
      </c>
      <c r="W561" s="6">
        <f>IF(ISERROR(VLOOKUP($T$561,'TAR FIN'!$A$1:$O$95,15,0)),0,VLOOKUP($T$561,'TAR FIN'!$A$1:$O$95,15,0))</f>
        <v>252.24</v>
      </c>
      <c r="X561" s="6">
        <f>IF(ISERROR(VLOOKUP($U$561,'TAR FIN'!$A$1:$O$95,15,0)),0,VLOOKUP($U$561,'TAR FIN'!$A$1:$O$95,15,0))</f>
        <v>145.97999999999999</v>
      </c>
      <c r="Y561" s="6"/>
      <c r="Z561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61" s="6">
        <f>('TE BE'!$AA$15+'TE BF'!$AA$15+'TE CVA'!$AA$15)*(1-CUSTOS!$M$35)</f>
        <v>178.32099824078242</v>
      </c>
      <c r="AB561" s="6">
        <f t="shared" si="22"/>
        <v>0</v>
      </c>
      <c r="AC561" s="6">
        <f>(L561-M561)*(W561+X561)+($W$660+$X$660-$W$561-$X$561)*(L561)</f>
        <v>29.201700000000002</v>
      </c>
      <c r="AD561" s="6">
        <f t="shared" si="23"/>
        <v>0</v>
      </c>
      <c r="AE561" s="6">
        <f ca="1">(L561-M561)*(Z561+AA561)+($Z$660+$AA$660-$Z$561-$AA$561)*(L561)</f>
        <v>33.318597898278178</v>
      </c>
      <c r="AF561" s="4" t="s">
        <v>845</v>
      </c>
    </row>
    <row r="562" spans="1:32" ht="11.25" customHeight="1" x14ac:dyDescent="0.25">
      <c r="A562" s="4" t="s">
        <v>21</v>
      </c>
      <c r="B562" s="4" t="s">
        <v>22</v>
      </c>
      <c r="C562" s="4" t="s">
        <v>23</v>
      </c>
      <c r="D562" s="4" t="s">
        <v>24</v>
      </c>
      <c r="E562" s="4" t="s">
        <v>32</v>
      </c>
      <c r="F562" s="4" t="s">
        <v>25</v>
      </c>
      <c r="G562" s="4" t="s">
        <v>25</v>
      </c>
      <c r="H562" s="4" t="s">
        <v>25</v>
      </c>
      <c r="I562" s="5">
        <v>44256</v>
      </c>
      <c r="J562" s="6">
        <v>0</v>
      </c>
      <c r="K562" s="6">
        <v>0</v>
      </c>
      <c r="L562" s="6">
        <v>3651.268</v>
      </c>
      <c r="M562" s="6">
        <v>3651.268</v>
      </c>
      <c r="N562" s="6">
        <v>3651.268</v>
      </c>
      <c r="O562" s="6">
        <v>3651.268</v>
      </c>
      <c r="P562" s="6">
        <v>23187</v>
      </c>
      <c r="Q562" s="4" t="s">
        <v>26</v>
      </c>
      <c r="R562" s="4">
        <v>0</v>
      </c>
      <c r="S562" s="4">
        <v>0</v>
      </c>
      <c r="T562" s="4">
        <v>10</v>
      </c>
      <c r="U562" s="4">
        <v>60</v>
      </c>
      <c r="V562" s="6">
        <f>IF(ISERROR(VLOOKUP($S$562,'TAR FIN'!$A$1:$O$95,15,0)),0,VLOOKUP($S$562,'TAR FIN'!$A$1:$O$95,15,0))</f>
        <v>0</v>
      </c>
      <c r="W562" s="6">
        <f>IF(ISERROR(VLOOKUP($T$562,'TAR FIN'!$A$1:$O$95,15,0)),0,VLOOKUP($T$562,'TAR FIN'!$A$1:$O$95,15,0))</f>
        <v>252.24</v>
      </c>
      <c r="X562" s="6">
        <f>IF(ISERROR(VLOOKUP($U$562,'TAR FIN'!$A$1:$O$95,15,0)),0,VLOOKUP($U$562,'TAR FIN'!$A$1:$O$95,15,0))</f>
        <v>145.97999999999999</v>
      </c>
      <c r="Y562" s="6"/>
      <c r="Z562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62" s="6">
        <f>('TE BE'!$AA$15+'TE BF'!$AA$15+'TE CVA'!$AA$15)*(1-CUSTOS!$M$35)</f>
        <v>178.32099824078242</v>
      </c>
      <c r="AB562" s="6">
        <f t="shared" si="22"/>
        <v>0</v>
      </c>
      <c r="AC562" s="6">
        <f>(L562-M562)*(W562+X562)+($W$660+$X$660-$W$562-$X$562)*(L562)</f>
        <v>969302.11596000008</v>
      </c>
      <c r="AD562" s="6">
        <f t="shared" si="23"/>
        <v>0</v>
      </c>
      <c r="AE562" s="6">
        <f ca="1">(L562-M562)*(Z562+AA562)+($Z$660+$AA$660-$Z$562-$AA$562)*(L562)</f>
        <v>1105955.7300986396</v>
      </c>
      <c r="AF562" s="4" t="s">
        <v>845</v>
      </c>
    </row>
    <row r="563" spans="1:32" ht="11.25" customHeight="1" x14ac:dyDescent="0.25">
      <c r="A563" s="4" t="s">
        <v>27</v>
      </c>
      <c r="B563" s="4" t="s">
        <v>22</v>
      </c>
      <c r="C563" s="4" t="s">
        <v>23</v>
      </c>
      <c r="D563" s="4" t="s">
        <v>24</v>
      </c>
      <c r="E563" s="4" t="s">
        <v>32</v>
      </c>
      <c r="F563" s="4" t="s">
        <v>25</v>
      </c>
      <c r="G563" s="4" t="s">
        <v>25</v>
      </c>
      <c r="H563" s="4" t="s">
        <v>25</v>
      </c>
      <c r="I563" s="5">
        <v>44256</v>
      </c>
      <c r="J563" s="6">
        <v>0</v>
      </c>
      <c r="K563" s="6">
        <v>0</v>
      </c>
      <c r="L563" s="6">
        <v>-28.635999999999999</v>
      </c>
      <c r="M563" s="6">
        <v>-28.635999999999999</v>
      </c>
      <c r="N563" s="6">
        <v>-28.635999999999999</v>
      </c>
      <c r="O563" s="6">
        <v>-28.635999999999999</v>
      </c>
      <c r="P563" s="6">
        <v>0</v>
      </c>
      <c r="Q563" s="4" t="s">
        <v>26</v>
      </c>
      <c r="R563" s="4">
        <v>0</v>
      </c>
      <c r="S563" s="4">
        <v>0</v>
      </c>
      <c r="T563" s="4">
        <v>10</v>
      </c>
      <c r="U563" s="4">
        <v>60</v>
      </c>
      <c r="V563" s="6">
        <f>IF(ISERROR(VLOOKUP($S$563,'TAR FIN'!$A$1:$O$95,15,0)),0,VLOOKUP($S$563,'TAR FIN'!$A$1:$O$95,15,0))</f>
        <v>0</v>
      </c>
      <c r="W563" s="6">
        <f>IF(ISERROR(VLOOKUP($T$563,'TAR FIN'!$A$1:$O$95,15,0)),0,VLOOKUP($T$563,'TAR FIN'!$A$1:$O$95,15,0))</f>
        <v>252.24</v>
      </c>
      <c r="X563" s="6">
        <f>IF(ISERROR(VLOOKUP($U$563,'TAR FIN'!$A$1:$O$95,15,0)),0,VLOOKUP($U$563,'TAR FIN'!$A$1:$O$95,15,0))</f>
        <v>145.97999999999999</v>
      </c>
      <c r="Y563" s="6"/>
      <c r="Z563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63" s="6">
        <f>('TE BE'!$AA$15+'TE BF'!$AA$15+'TE CVA'!$AA$15)*(1-CUSTOS!$M$35)</f>
        <v>178.32099824078242</v>
      </c>
      <c r="AB563" s="6">
        <f t="shared" si="22"/>
        <v>0</v>
      </c>
      <c r="AC563" s="6">
        <f>(L563-M563)*(W563+X563)+($W$660+$X$660-$W$563-$X$563)*(L563)</f>
        <v>-7601.9989200000009</v>
      </c>
      <c r="AD563" s="6">
        <f t="shared" si="23"/>
        <v>0</v>
      </c>
      <c r="AE563" s="6">
        <f ca="1">(L563-M563)*(Z563+AA563)+($Z$660+$AA$660-$Z$563-$AA$563)*(L563)</f>
        <v>-8673.7397219553986</v>
      </c>
      <c r="AF563" s="4" t="s">
        <v>845</v>
      </c>
    </row>
    <row r="564" spans="1:32" ht="11.25" customHeight="1" x14ac:dyDescent="0.25">
      <c r="A564" s="4" t="s">
        <v>28</v>
      </c>
      <c r="B564" s="4" t="s">
        <v>22</v>
      </c>
      <c r="C564" s="4" t="s">
        <v>23</v>
      </c>
      <c r="D564" s="4" t="s">
        <v>24</v>
      </c>
      <c r="E564" s="4" t="s">
        <v>32</v>
      </c>
      <c r="F564" s="4" t="s">
        <v>25</v>
      </c>
      <c r="G564" s="4" t="s">
        <v>25</v>
      </c>
      <c r="H564" s="4" t="s">
        <v>25</v>
      </c>
      <c r="I564" s="5">
        <v>44256</v>
      </c>
      <c r="J564" s="6">
        <v>0</v>
      </c>
      <c r="K564" s="6">
        <v>0</v>
      </c>
      <c r="L564" s="6">
        <v>6013.1149999999998</v>
      </c>
      <c r="M564" s="6">
        <v>6013.1149999999998</v>
      </c>
      <c r="N564" s="6">
        <v>6013.1149999999998</v>
      </c>
      <c r="O564" s="6">
        <v>6013.1149999999998</v>
      </c>
      <c r="P564" s="6">
        <v>36178</v>
      </c>
      <c r="Q564" s="4" t="s">
        <v>26</v>
      </c>
      <c r="R564" s="4">
        <v>0</v>
      </c>
      <c r="S564" s="4">
        <v>0</v>
      </c>
      <c r="T564" s="4">
        <v>10</v>
      </c>
      <c r="U564" s="4">
        <v>60</v>
      </c>
      <c r="V564" s="6">
        <f>IF(ISERROR(VLOOKUP($S$564,'TAR FIN'!$A$1:$O$95,15,0)),0,VLOOKUP($S$564,'TAR FIN'!$A$1:$O$95,15,0))</f>
        <v>0</v>
      </c>
      <c r="W564" s="6">
        <f>IF(ISERROR(VLOOKUP($T$564,'TAR FIN'!$A$1:$O$95,15,0)),0,VLOOKUP($T$564,'TAR FIN'!$A$1:$O$95,15,0))</f>
        <v>252.24</v>
      </c>
      <c r="X564" s="6">
        <f>IF(ISERROR(VLOOKUP($U$564,'TAR FIN'!$A$1:$O$95,15,0)),0,VLOOKUP($U$564,'TAR FIN'!$A$1:$O$95,15,0))</f>
        <v>145.97999999999999</v>
      </c>
      <c r="Y564" s="6"/>
      <c r="Z564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64" s="6">
        <f>('TE BE'!$AA$15+'TE BF'!$AA$15+'TE CVA'!$AA$15)*(1-CUSTOS!$M$35)</f>
        <v>178.32099824078242</v>
      </c>
      <c r="AB564" s="6">
        <f t="shared" si="22"/>
        <v>0</v>
      </c>
      <c r="AC564" s="6">
        <f>(L564-M564)*(W564+X564)+($W$660+$X$660-$W$564-$X$564)*(L564)</f>
        <v>1596301.6390500001</v>
      </c>
      <c r="AD564" s="6">
        <f t="shared" si="23"/>
        <v>0</v>
      </c>
      <c r="AE564" s="6">
        <f ca="1">(L564-M564)*(Z564+AA564)+($Z$660+$AA$660-$Z$564-$AA$564)*(L564)</f>
        <v>1821350.5527373177</v>
      </c>
      <c r="AF564" s="4" t="s">
        <v>845</v>
      </c>
    </row>
    <row r="565" spans="1:32" ht="11.25" customHeight="1" x14ac:dyDescent="0.25">
      <c r="A565" s="4" t="s">
        <v>29</v>
      </c>
      <c r="B565" s="4" t="s">
        <v>22</v>
      </c>
      <c r="C565" s="4" t="s">
        <v>23</v>
      </c>
      <c r="D565" s="4" t="s">
        <v>24</v>
      </c>
      <c r="E565" s="4" t="s">
        <v>32</v>
      </c>
      <c r="F565" s="4" t="s">
        <v>25</v>
      </c>
      <c r="G565" s="4" t="s">
        <v>25</v>
      </c>
      <c r="H565" s="4" t="s">
        <v>25</v>
      </c>
      <c r="I565" s="5">
        <v>44256</v>
      </c>
      <c r="J565" s="6">
        <v>0</v>
      </c>
      <c r="K565" s="6">
        <v>0</v>
      </c>
      <c r="L565" s="6">
        <v>-10.236000000000001</v>
      </c>
      <c r="M565" s="6">
        <v>-10.236000000000001</v>
      </c>
      <c r="N565" s="6">
        <v>-10.236000000000001</v>
      </c>
      <c r="O565" s="6">
        <v>-10.236000000000001</v>
      </c>
      <c r="P565" s="6">
        <v>0</v>
      </c>
      <c r="Q565" s="4" t="s">
        <v>26</v>
      </c>
      <c r="R565" s="4">
        <v>0</v>
      </c>
      <c r="S565" s="4">
        <v>0</v>
      </c>
      <c r="T565" s="4">
        <v>10</v>
      </c>
      <c r="U565" s="4">
        <v>60</v>
      </c>
      <c r="V565" s="6">
        <f>IF(ISERROR(VLOOKUP($S$565,'TAR FIN'!$A$1:$O$95,15,0)),0,VLOOKUP($S$565,'TAR FIN'!$A$1:$O$95,15,0))</f>
        <v>0</v>
      </c>
      <c r="W565" s="6">
        <f>IF(ISERROR(VLOOKUP($T$565,'TAR FIN'!$A$1:$O$95,15,0)),0,VLOOKUP($T$565,'TAR FIN'!$A$1:$O$95,15,0))</f>
        <v>252.24</v>
      </c>
      <c r="X565" s="6">
        <f>IF(ISERROR(VLOOKUP($U$565,'TAR FIN'!$A$1:$O$95,15,0)),0,VLOOKUP($U$565,'TAR FIN'!$A$1:$O$95,15,0))</f>
        <v>145.97999999999999</v>
      </c>
      <c r="Y565" s="6"/>
      <c r="Z565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65" s="6">
        <f>('TE BE'!$AA$15+'TE BF'!$AA$15+'TE CVA'!$AA$15)*(1-CUSTOS!$M$35)</f>
        <v>178.32099824078242</v>
      </c>
      <c r="AB565" s="6">
        <f t="shared" si="22"/>
        <v>0</v>
      </c>
      <c r="AC565" s="6">
        <f>(L565-M565)*(W565+X565)+($W$660+$X$660-$W$565-$X$565)*(L565)</f>
        <v>-2717.3509200000003</v>
      </c>
      <c r="AD565" s="6">
        <f t="shared" si="23"/>
        <v>0</v>
      </c>
      <c r="AE565" s="6">
        <f ca="1">(L565-M565)*(Z565+AA565)+($Z$660+$AA$660-$Z$565-$AA$565)*(L565)</f>
        <v>-3100.446982607049</v>
      </c>
      <c r="AF565" s="4" t="s">
        <v>845</v>
      </c>
    </row>
    <row r="566" spans="1:32" ht="11.25" customHeight="1" x14ac:dyDescent="0.25">
      <c r="A566" s="4" t="s">
        <v>30</v>
      </c>
      <c r="B566" s="4" t="s">
        <v>22</v>
      </c>
      <c r="C566" s="4" t="s">
        <v>23</v>
      </c>
      <c r="D566" s="4" t="s">
        <v>24</v>
      </c>
      <c r="E566" s="4" t="s">
        <v>32</v>
      </c>
      <c r="F566" s="4" t="s">
        <v>25</v>
      </c>
      <c r="G566" s="4" t="s">
        <v>25</v>
      </c>
      <c r="H566" s="4" t="s">
        <v>25</v>
      </c>
      <c r="I566" s="5">
        <v>44256</v>
      </c>
      <c r="J566" s="6">
        <v>0</v>
      </c>
      <c r="K566" s="6">
        <v>0</v>
      </c>
      <c r="L566" s="6">
        <v>0.31</v>
      </c>
      <c r="M566" s="6">
        <v>0.31</v>
      </c>
      <c r="N566" s="6">
        <v>0.31</v>
      </c>
      <c r="O566" s="6">
        <v>0.31</v>
      </c>
      <c r="P566" s="6">
        <v>0</v>
      </c>
      <c r="Q566" s="4" t="s">
        <v>26</v>
      </c>
      <c r="R566" s="4">
        <v>0</v>
      </c>
      <c r="S566" s="4">
        <v>0</v>
      </c>
      <c r="T566" s="4">
        <v>10</v>
      </c>
      <c r="U566" s="4">
        <v>60</v>
      </c>
      <c r="V566" s="6">
        <f>IF(ISERROR(VLOOKUP($S$566,'TAR FIN'!$A$1:$O$95,15,0)),0,VLOOKUP($S$566,'TAR FIN'!$A$1:$O$95,15,0))</f>
        <v>0</v>
      </c>
      <c r="W566" s="6">
        <f>IF(ISERROR(VLOOKUP($T$566,'TAR FIN'!$A$1:$O$95,15,0)),0,VLOOKUP($T$566,'TAR FIN'!$A$1:$O$95,15,0))</f>
        <v>252.24</v>
      </c>
      <c r="X566" s="6">
        <f>IF(ISERROR(VLOOKUP($U$566,'TAR FIN'!$A$1:$O$95,15,0)),0,VLOOKUP($U$566,'TAR FIN'!$A$1:$O$95,15,0))</f>
        <v>145.97999999999999</v>
      </c>
      <c r="Y566" s="6"/>
      <c r="Z566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66" s="6">
        <f>('TE BE'!$AA$15+'TE BF'!$AA$15+'TE CVA'!$AA$15)*(1-CUSTOS!$M$35)</f>
        <v>178.32099824078242</v>
      </c>
      <c r="AB566" s="6">
        <f t="shared" si="22"/>
        <v>0</v>
      </c>
      <c r="AC566" s="6">
        <f>(L566-M566)*(W566+X566)+($W$660+$X$660-$W$566-$X$566)*(L566)</f>
        <v>82.295700000000011</v>
      </c>
      <c r="AD566" s="6">
        <f t="shared" si="23"/>
        <v>0</v>
      </c>
      <c r="AE566" s="6">
        <f ca="1">(L566-M566)*(Z566+AA566)+($Z$660+$AA$660-$Z$566-$AA$566)*(L566)</f>
        <v>93.89786680423849</v>
      </c>
      <c r="AF566" s="4" t="s">
        <v>845</v>
      </c>
    </row>
    <row r="567" spans="1:32" ht="11.25" customHeight="1" x14ac:dyDescent="0.25">
      <c r="A567" s="4" t="s">
        <v>21</v>
      </c>
      <c r="B567" s="4" t="s">
        <v>22</v>
      </c>
      <c r="C567" s="4" t="s">
        <v>23</v>
      </c>
      <c r="D567" s="4" t="s">
        <v>24</v>
      </c>
      <c r="E567" s="4" t="s">
        <v>32</v>
      </c>
      <c r="F567" s="4" t="s">
        <v>25</v>
      </c>
      <c r="G567" s="4" t="s">
        <v>25</v>
      </c>
      <c r="H567" s="4" t="s">
        <v>25</v>
      </c>
      <c r="I567" s="5">
        <v>44287</v>
      </c>
      <c r="J567" s="6">
        <v>0</v>
      </c>
      <c r="K567" s="6">
        <v>0</v>
      </c>
      <c r="L567" s="6">
        <v>3515.0920000000001</v>
      </c>
      <c r="M567" s="6">
        <v>3515.0920000000001</v>
      </c>
      <c r="N567" s="6">
        <v>3515.0920000000001</v>
      </c>
      <c r="O567" s="6">
        <v>3515.0920000000001</v>
      </c>
      <c r="P567" s="6">
        <v>16611</v>
      </c>
      <c r="Q567" s="4" t="s">
        <v>26</v>
      </c>
      <c r="R567" s="4">
        <v>0</v>
      </c>
      <c r="S567" s="4">
        <v>0</v>
      </c>
      <c r="T567" s="4">
        <v>10</v>
      </c>
      <c r="U567" s="4">
        <v>60</v>
      </c>
      <c r="V567" s="6">
        <f>IF(ISERROR(VLOOKUP($S$567,'TAR FIN'!$A$1:$O$95,15,0)),0,VLOOKUP($S$567,'TAR FIN'!$A$1:$O$95,15,0))</f>
        <v>0</v>
      </c>
      <c r="W567" s="6">
        <f>IF(ISERROR(VLOOKUP($T$567,'TAR FIN'!$A$1:$O$95,15,0)),0,VLOOKUP($T$567,'TAR FIN'!$A$1:$O$95,15,0))</f>
        <v>252.24</v>
      </c>
      <c r="X567" s="6">
        <f>IF(ISERROR(VLOOKUP($U$567,'TAR FIN'!$A$1:$O$95,15,0)),0,VLOOKUP($U$567,'TAR FIN'!$A$1:$O$95,15,0))</f>
        <v>145.97999999999999</v>
      </c>
      <c r="Y567" s="6"/>
      <c r="Z567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67" s="6">
        <f>('TE BE'!$AA$15+'TE BF'!$AA$15+'TE CVA'!$AA$15)*(1-CUSTOS!$M$35)</f>
        <v>178.32099824078242</v>
      </c>
      <c r="AB567" s="6">
        <f t="shared" si="22"/>
        <v>0</v>
      </c>
      <c r="AC567" s="6">
        <f>(L567-M567)*(W567+X567)+($W$660+$X$660-$W$567-$X$567)*(L567)</f>
        <v>933151.47324000008</v>
      </c>
      <c r="AD567" s="6">
        <f t="shared" si="23"/>
        <v>0</v>
      </c>
      <c r="AE567" s="6">
        <f ca="1">(L567-M567)*(Z567+AA567)+($Z$660+$AA$660-$Z$567-$AA$567)*(L567)</f>
        <v>1064708.5174859494</v>
      </c>
      <c r="AF567" s="4" t="s">
        <v>845</v>
      </c>
    </row>
    <row r="568" spans="1:32" ht="11.25" customHeight="1" x14ac:dyDescent="0.25">
      <c r="A568" s="4" t="s">
        <v>27</v>
      </c>
      <c r="B568" s="4" t="s">
        <v>22</v>
      </c>
      <c r="C568" s="4" t="s">
        <v>23</v>
      </c>
      <c r="D568" s="4" t="s">
        <v>24</v>
      </c>
      <c r="E568" s="4" t="s">
        <v>32</v>
      </c>
      <c r="F568" s="4" t="s">
        <v>25</v>
      </c>
      <c r="G568" s="4" t="s">
        <v>25</v>
      </c>
      <c r="H568" s="4" t="s">
        <v>25</v>
      </c>
      <c r="I568" s="5">
        <v>44287</v>
      </c>
      <c r="J568" s="6">
        <v>0</v>
      </c>
      <c r="K568" s="6">
        <v>0</v>
      </c>
      <c r="L568" s="6">
        <v>-6.1360000000000001</v>
      </c>
      <c r="M568" s="6">
        <v>-6.1360000000000001</v>
      </c>
      <c r="N568" s="6">
        <v>-6.1360000000000001</v>
      </c>
      <c r="O568" s="6">
        <v>-6.1360000000000001</v>
      </c>
      <c r="P568" s="6">
        <v>0</v>
      </c>
      <c r="Q568" s="4" t="s">
        <v>26</v>
      </c>
      <c r="R568" s="4">
        <v>0</v>
      </c>
      <c r="S568" s="4">
        <v>0</v>
      </c>
      <c r="T568" s="4">
        <v>10</v>
      </c>
      <c r="U568" s="4">
        <v>60</v>
      </c>
      <c r="V568" s="6">
        <f>IF(ISERROR(VLOOKUP($S$568,'TAR FIN'!$A$1:$O$95,15,0)),0,VLOOKUP($S$568,'TAR FIN'!$A$1:$O$95,15,0))</f>
        <v>0</v>
      </c>
      <c r="W568" s="6">
        <f>IF(ISERROR(VLOOKUP($T$568,'TAR FIN'!$A$1:$O$95,15,0)),0,VLOOKUP($T$568,'TAR FIN'!$A$1:$O$95,15,0))</f>
        <v>252.24</v>
      </c>
      <c r="X568" s="6">
        <f>IF(ISERROR(VLOOKUP($U$568,'TAR FIN'!$A$1:$O$95,15,0)),0,VLOOKUP($U$568,'TAR FIN'!$A$1:$O$95,15,0))</f>
        <v>145.97999999999999</v>
      </c>
      <c r="Y568" s="6"/>
      <c r="Z568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68" s="6">
        <f>('TE BE'!$AA$15+'TE BF'!$AA$15+'TE CVA'!$AA$15)*(1-CUSTOS!$M$35)</f>
        <v>178.32099824078242</v>
      </c>
      <c r="AB568" s="6">
        <f t="shared" si="22"/>
        <v>0</v>
      </c>
      <c r="AC568" s="6">
        <f>(L568-M568)*(W568+X568)+($W$660+$X$660-$W$568-$X$568)*(L568)</f>
        <v>-1628.9239200000002</v>
      </c>
      <c r="AD568" s="6">
        <f t="shared" si="23"/>
        <v>0</v>
      </c>
      <c r="AE568" s="6">
        <f ca="1">(L568-M568)*(Z568+AA568)+($Z$660+$AA$660-$Z$568-$AA$568)*(L568)</f>
        <v>-1858.5719700348625</v>
      </c>
      <c r="AF568" s="4" t="s">
        <v>845</v>
      </c>
    </row>
    <row r="569" spans="1:32" ht="11.25" customHeight="1" x14ac:dyDescent="0.25">
      <c r="A569" s="4" t="s">
        <v>28</v>
      </c>
      <c r="B569" s="4" t="s">
        <v>22</v>
      </c>
      <c r="C569" s="4" t="s">
        <v>23</v>
      </c>
      <c r="D569" s="4" t="s">
        <v>24</v>
      </c>
      <c r="E569" s="4" t="s">
        <v>32</v>
      </c>
      <c r="F569" s="4" t="s">
        <v>25</v>
      </c>
      <c r="G569" s="4" t="s">
        <v>25</v>
      </c>
      <c r="H569" s="4" t="s">
        <v>25</v>
      </c>
      <c r="I569" s="5">
        <v>44287</v>
      </c>
      <c r="J569" s="6">
        <v>0</v>
      </c>
      <c r="K569" s="6">
        <v>0</v>
      </c>
      <c r="L569" s="6">
        <v>6156.6170000000002</v>
      </c>
      <c r="M569" s="6">
        <v>6156.6170000000002</v>
      </c>
      <c r="N569" s="6">
        <v>6156.6170000000002</v>
      </c>
      <c r="O569" s="6">
        <v>6156.6170000000002</v>
      </c>
      <c r="P569" s="6">
        <v>31457</v>
      </c>
      <c r="Q569" s="4" t="s">
        <v>26</v>
      </c>
      <c r="R569" s="4">
        <v>0</v>
      </c>
      <c r="S569" s="4">
        <v>0</v>
      </c>
      <c r="T569" s="4">
        <v>10</v>
      </c>
      <c r="U569" s="4">
        <v>60</v>
      </c>
      <c r="V569" s="6">
        <f>IF(ISERROR(VLOOKUP($S$569,'TAR FIN'!$A$1:$O$95,15,0)),0,VLOOKUP($S$569,'TAR FIN'!$A$1:$O$95,15,0))</f>
        <v>0</v>
      </c>
      <c r="W569" s="6">
        <f>IF(ISERROR(VLOOKUP($T$569,'TAR FIN'!$A$1:$O$95,15,0)),0,VLOOKUP($T$569,'TAR FIN'!$A$1:$O$95,15,0))</f>
        <v>252.24</v>
      </c>
      <c r="X569" s="6">
        <f>IF(ISERROR(VLOOKUP($U$569,'TAR FIN'!$A$1:$O$95,15,0)),0,VLOOKUP($U$569,'TAR FIN'!$A$1:$O$95,15,0))</f>
        <v>145.97999999999999</v>
      </c>
      <c r="Y569" s="6"/>
      <c r="Z569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69" s="6">
        <f>('TE BE'!$AA$15+'TE BF'!$AA$15+'TE CVA'!$AA$15)*(1-CUSTOS!$M$35)</f>
        <v>178.32099824078242</v>
      </c>
      <c r="AB569" s="6">
        <f t="shared" si="22"/>
        <v>0</v>
      </c>
      <c r="AC569" s="6">
        <f>(L569-M569)*(W569+X569)+($W$660+$X$660-$W$569-$X$569)*(L569)</f>
        <v>1634397.1149900001</v>
      </c>
      <c r="AD569" s="6">
        <f t="shared" si="23"/>
        <v>0</v>
      </c>
      <c r="AE569" s="6">
        <f ca="1">(L569-M569)*(Z569+AA569)+($Z$660+$AA$660-$Z$569-$AA$569)*(L569)</f>
        <v>1864816.7839700335</v>
      </c>
      <c r="AF569" s="4" t="s">
        <v>845</v>
      </c>
    </row>
    <row r="570" spans="1:32" ht="11.25" customHeight="1" x14ac:dyDescent="0.25">
      <c r="A570" s="4" t="s">
        <v>29</v>
      </c>
      <c r="B570" s="4" t="s">
        <v>22</v>
      </c>
      <c r="C570" s="4" t="s">
        <v>23</v>
      </c>
      <c r="D570" s="4" t="s">
        <v>24</v>
      </c>
      <c r="E570" s="4" t="s">
        <v>32</v>
      </c>
      <c r="F570" s="4" t="s">
        <v>25</v>
      </c>
      <c r="G570" s="4" t="s">
        <v>25</v>
      </c>
      <c r="H570" s="4" t="s">
        <v>25</v>
      </c>
      <c r="I570" s="5">
        <v>44287</v>
      </c>
      <c r="J570" s="6">
        <v>0</v>
      </c>
      <c r="K570" s="6">
        <v>0</v>
      </c>
      <c r="L570" s="6">
        <v>-17.922000000000001</v>
      </c>
      <c r="M570" s="6">
        <v>-17.922000000000001</v>
      </c>
      <c r="N570" s="6">
        <v>-17.922000000000001</v>
      </c>
      <c r="O570" s="6">
        <v>-17.922000000000001</v>
      </c>
      <c r="P570" s="6">
        <v>0</v>
      </c>
      <c r="Q570" s="4" t="s">
        <v>26</v>
      </c>
      <c r="R570" s="4">
        <v>0</v>
      </c>
      <c r="S570" s="4">
        <v>0</v>
      </c>
      <c r="T570" s="4">
        <v>10</v>
      </c>
      <c r="U570" s="4">
        <v>60</v>
      </c>
      <c r="V570" s="6">
        <f>IF(ISERROR(VLOOKUP($S$570,'TAR FIN'!$A$1:$O$95,15,0)),0,VLOOKUP($S$570,'TAR FIN'!$A$1:$O$95,15,0))</f>
        <v>0</v>
      </c>
      <c r="W570" s="6">
        <f>IF(ISERROR(VLOOKUP($T$570,'TAR FIN'!$A$1:$O$95,15,0)),0,VLOOKUP($T$570,'TAR FIN'!$A$1:$O$95,15,0))</f>
        <v>252.24</v>
      </c>
      <c r="X570" s="6">
        <f>IF(ISERROR(VLOOKUP($U$570,'TAR FIN'!$A$1:$O$95,15,0)),0,VLOOKUP($U$570,'TAR FIN'!$A$1:$O$95,15,0))</f>
        <v>145.97999999999999</v>
      </c>
      <c r="Y570" s="6"/>
      <c r="Z570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70" s="6">
        <f>('TE BE'!$AA$15+'TE BF'!$AA$15+'TE CVA'!$AA$15)*(1-CUSTOS!$M$35)</f>
        <v>178.32099824078242</v>
      </c>
      <c r="AB570" s="6">
        <f t="shared" si="22"/>
        <v>0</v>
      </c>
      <c r="AC570" s="6">
        <f>(L570-M570)*(W570+X570)+($W$660+$X$660-$W$570-$X$570)*(L570)</f>
        <v>-4757.7533400000002</v>
      </c>
      <c r="AD570" s="6">
        <f t="shared" si="23"/>
        <v>0</v>
      </c>
      <c r="AE570" s="6">
        <f ca="1">(L570-M570)*(Z570+AA570)+($Z$660+$AA$660-$Z$570-$AA$570)*(L570)</f>
        <v>-5428.5082866631037</v>
      </c>
      <c r="AF570" s="4" t="s">
        <v>845</v>
      </c>
    </row>
    <row r="571" spans="1:32" ht="11.25" customHeight="1" x14ac:dyDescent="0.25">
      <c r="A571" s="4" t="s">
        <v>30</v>
      </c>
      <c r="B571" s="4" t="s">
        <v>22</v>
      </c>
      <c r="C571" s="4" t="s">
        <v>23</v>
      </c>
      <c r="D571" s="4" t="s">
        <v>24</v>
      </c>
      <c r="E571" s="4" t="s">
        <v>32</v>
      </c>
      <c r="F571" s="4" t="s">
        <v>25</v>
      </c>
      <c r="G571" s="4" t="s">
        <v>25</v>
      </c>
      <c r="H571" s="4" t="s">
        <v>25</v>
      </c>
      <c r="I571" s="5">
        <v>44287</v>
      </c>
      <c r="J571" s="6">
        <v>0</v>
      </c>
      <c r="K571" s="6">
        <v>0</v>
      </c>
      <c r="L571" s="6">
        <v>0.31</v>
      </c>
      <c r="M571" s="6">
        <v>0.31</v>
      </c>
      <c r="N571" s="6">
        <v>0.31</v>
      </c>
      <c r="O571" s="6">
        <v>0.31</v>
      </c>
      <c r="P571" s="6">
        <v>0</v>
      </c>
      <c r="Q571" s="4" t="s">
        <v>26</v>
      </c>
      <c r="R571" s="4">
        <v>0</v>
      </c>
      <c r="S571" s="4">
        <v>0</v>
      </c>
      <c r="T571" s="4">
        <v>10</v>
      </c>
      <c r="U571" s="4">
        <v>60</v>
      </c>
      <c r="V571" s="6">
        <f>IF(ISERROR(VLOOKUP($S$571,'TAR FIN'!$A$1:$O$95,15,0)),0,VLOOKUP($S$571,'TAR FIN'!$A$1:$O$95,15,0))</f>
        <v>0</v>
      </c>
      <c r="W571" s="6">
        <f>IF(ISERROR(VLOOKUP($T$571,'TAR FIN'!$A$1:$O$95,15,0)),0,VLOOKUP($T$571,'TAR FIN'!$A$1:$O$95,15,0))</f>
        <v>252.24</v>
      </c>
      <c r="X571" s="6">
        <f>IF(ISERROR(VLOOKUP($U$571,'TAR FIN'!$A$1:$O$95,15,0)),0,VLOOKUP($U$571,'TAR FIN'!$A$1:$O$95,15,0))</f>
        <v>145.97999999999999</v>
      </c>
      <c r="Y571" s="6"/>
      <c r="Z571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71" s="6">
        <f>('TE BE'!$AA$15+'TE BF'!$AA$15+'TE CVA'!$AA$15)*(1-CUSTOS!$M$35)</f>
        <v>178.32099824078242</v>
      </c>
      <c r="AB571" s="6">
        <f t="shared" si="22"/>
        <v>0</v>
      </c>
      <c r="AC571" s="6">
        <f>(L571-M571)*(W571+X571)+($W$660+$X$660-$W$571-$X$571)*(L571)</f>
        <v>82.295700000000011</v>
      </c>
      <c r="AD571" s="6">
        <f t="shared" si="23"/>
        <v>0</v>
      </c>
      <c r="AE571" s="6">
        <f ca="1">(L571-M571)*(Z571+AA571)+($Z$660+$AA$660-$Z$571-$AA$571)*(L571)</f>
        <v>93.89786680423849</v>
      </c>
      <c r="AF571" s="4" t="s">
        <v>845</v>
      </c>
    </row>
    <row r="572" spans="1:32" ht="11.25" customHeight="1" x14ac:dyDescent="0.25">
      <c r="A572" s="4" t="s">
        <v>21</v>
      </c>
      <c r="B572" s="4" t="s">
        <v>22</v>
      </c>
      <c r="C572" s="4" t="s">
        <v>23</v>
      </c>
      <c r="D572" s="4" t="s">
        <v>24</v>
      </c>
      <c r="E572" s="4" t="s">
        <v>32</v>
      </c>
      <c r="F572" s="4" t="s">
        <v>25</v>
      </c>
      <c r="G572" s="4" t="s">
        <v>25</v>
      </c>
      <c r="H572" s="4" t="s">
        <v>25</v>
      </c>
      <c r="I572" s="5">
        <v>44317</v>
      </c>
      <c r="J572" s="6">
        <v>0</v>
      </c>
      <c r="K572" s="6">
        <v>0</v>
      </c>
      <c r="L572" s="6">
        <v>3522.761</v>
      </c>
      <c r="M572" s="6">
        <v>3522.761</v>
      </c>
      <c r="N572" s="6">
        <v>3522.761</v>
      </c>
      <c r="O572" s="6">
        <v>3522.761</v>
      </c>
      <c r="P572" s="6">
        <v>16814</v>
      </c>
      <c r="Q572" s="4" t="s">
        <v>26</v>
      </c>
      <c r="R572" s="4">
        <v>0</v>
      </c>
      <c r="S572" s="4">
        <v>0</v>
      </c>
      <c r="T572" s="4">
        <v>10</v>
      </c>
      <c r="U572" s="4">
        <v>60</v>
      </c>
      <c r="V572" s="6">
        <f>IF(ISERROR(VLOOKUP($S$572,'TAR FIN'!$A$1:$O$95,15,0)),0,VLOOKUP($S$572,'TAR FIN'!$A$1:$O$95,15,0))</f>
        <v>0</v>
      </c>
      <c r="W572" s="6">
        <f>IF(ISERROR(VLOOKUP($T$572,'TAR FIN'!$A$1:$O$95,15,0)),0,VLOOKUP($T$572,'TAR FIN'!$A$1:$O$95,15,0))</f>
        <v>252.24</v>
      </c>
      <c r="X572" s="6">
        <f>IF(ISERROR(VLOOKUP($U$572,'TAR FIN'!$A$1:$O$95,15,0)),0,VLOOKUP($U$572,'TAR FIN'!$A$1:$O$95,15,0))</f>
        <v>145.97999999999999</v>
      </c>
      <c r="Y572" s="6"/>
      <c r="Z572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72" s="6">
        <f>('TE BE'!$AA$15+'TE BF'!$AA$15+'TE CVA'!$AA$15)*(1-CUSTOS!$M$35)</f>
        <v>178.32099824078242</v>
      </c>
      <c r="AB572" s="6">
        <f t="shared" si="22"/>
        <v>0</v>
      </c>
      <c r="AC572" s="6">
        <f>(L572-M572)*(W572+X572)+($W$660+$X$660-$W$572-$X$572)*(L572)</f>
        <v>935187.36267000006</v>
      </c>
      <c r="AD572" s="6">
        <f t="shared" si="23"/>
        <v>0</v>
      </c>
      <c r="AE572" s="6">
        <f ca="1">(L572-M572)*(Z572+AA572)+($Z$660+$AA$660-$Z$572-$AA$572)*(L572)</f>
        <v>1067031.4295521483</v>
      </c>
      <c r="AF572" s="4" t="s">
        <v>845</v>
      </c>
    </row>
    <row r="573" spans="1:32" ht="11.25" customHeight="1" x14ac:dyDescent="0.25">
      <c r="A573" s="4" t="s">
        <v>27</v>
      </c>
      <c r="B573" s="4" t="s">
        <v>22</v>
      </c>
      <c r="C573" s="4" t="s">
        <v>23</v>
      </c>
      <c r="D573" s="4" t="s">
        <v>24</v>
      </c>
      <c r="E573" s="4" t="s">
        <v>32</v>
      </c>
      <c r="F573" s="4" t="s">
        <v>25</v>
      </c>
      <c r="G573" s="4" t="s">
        <v>25</v>
      </c>
      <c r="H573" s="4" t="s">
        <v>25</v>
      </c>
      <c r="I573" s="5">
        <v>44317</v>
      </c>
      <c r="J573" s="6">
        <v>0</v>
      </c>
      <c r="K573" s="6">
        <v>0</v>
      </c>
      <c r="L573" s="6">
        <v>-5.5149999999999997</v>
      </c>
      <c r="M573" s="6">
        <v>-5.5149999999999997</v>
      </c>
      <c r="N573" s="6">
        <v>-5.5149999999999997</v>
      </c>
      <c r="O573" s="6">
        <v>-5.5149999999999997</v>
      </c>
      <c r="P573" s="6">
        <v>0</v>
      </c>
      <c r="Q573" s="4" t="s">
        <v>26</v>
      </c>
      <c r="R573" s="4">
        <v>0</v>
      </c>
      <c r="S573" s="4">
        <v>0</v>
      </c>
      <c r="T573" s="4">
        <v>10</v>
      </c>
      <c r="U573" s="4">
        <v>60</v>
      </c>
      <c r="V573" s="6">
        <f>IF(ISERROR(VLOOKUP($S$573,'TAR FIN'!$A$1:$O$95,15,0)),0,VLOOKUP($S$573,'TAR FIN'!$A$1:$O$95,15,0))</f>
        <v>0</v>
      </c>
      <c r="W573" s="6">
        <f>IF(ISERROR(VLOOKUP($T$573,'TAR FIN'!$A$1:$O$95,15,0)),0,VLOOKUP($T$573,'TAR FIN'!$A$1:$O$95,15,0))</f>
        <v>252.24</v>
      </c>
      <c r="X573" s="6">
        <f>IF(ISERROR(VLOOKUP($U$573,'TAR FIN'!$A$1:$O$95,15,0)),0,VLOOKUP($U$573,'TAR FIN'!$A$1:$O$95,15,0))</f>
        <v>145.97999999999999</v>
      </c>
      <c r="Y573" s="6"/>
      <c r="Z573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73" s="6">
        <f>('TE BE'!$AA$15+'TE BF'!$AA$15+'TE CVA'!$AA$15)*(1-CUSTOS!$M$35)</f>
        <v>178.32099824078242</v>
      </c>
      <c r="AB573" s="6">
        <f t="shared" si="22"/>
        <v>0</v>
      </c>
      <c r="AC573" s="6">
        <f>(L573-M573)*(W573+X573)+($W$660+$X$660-$W$573-$X$573)*(L573)</f>
        <v>-1464.0670500000001</v>
      </c>
      <c r="AD573" s="6">
        <f t="shared" si="23"/>
        <v>0</v>
      </c>
      <c r="AE573" s="6">
        <f ca="1">(L573-M573)*(Z573+AA573)+($Z$660+$AA$660-$Z$573-$AA$573)*(L573)</f>
        <v>-1670.4733400818557</v>
      </c>
      <c r="AF573" s="4" t="s">
        <v>845</v>
      </c>
    </row>
    <row r="574" spans="1:32" ht="11.25" customHeight="1" x14ac:dyDescent="0.25">
      <c r="A574" s="4" t="s">
        <v>28</v>
      </c>
      <c r="B574" s="4" t="s">
        <v>22</v>
      </c>
      <c r="C574" s="4" t="s">
        <v>23</v>
      </c>
      <c r="D574" s="4" t="s">
        <v>24</v>
      </c>
      <c r="E574" s="4" t="s">
        <v>32</v>
      </c>
      <c r="F574" s="4" t="s">
        <v>25</v>
      </c>
      <c r="G574" s="4" t="s">
        <v>25</v>
      </c>
      <c r="H574" s="4" t="s">
        <v>25</v>
      </c>
      <c r="I574" s="5">
        <v>44317</v>
      </c>
      <c r="J574" s="6">
        <v>0</v>
      </c>
      <c r="K574" s="6">
        <v>0</v>
      </c>
      <c r="L574" s="6">
        <v>6155.3789999999999</v>
      </c>
      <c r="M574" s="6">
        <v>6155.3789999999999</v>
      </c>
      <c r="N574" s="6">
        <v>6155.3789999999999</v>
      </c>
      <c r="O574" s="6">
        <v>6155.3789999999999</v>
      </c>
      <c r="P574" s="6">
        <v>31727</v>
      </c>
      <c r="Q574" s="4" t="s">
        <v>26</v>
      </c>
      <c r="R574" s="4">
        <v>0</v>
      </c>
      <c r="S574" s="4">
        <v>0</v>
      </c>
      <c r="T574" s="4">
        <v>10</v>
      </c>
      <c r="U574" s="4">
        <v>60</v>
      </c>
      <c r="V574" s="6">
        <f>IF(ISERROR(VLOOKUP($S$574,'TAR FIN'!$A$1:$O$95,15,0)),0,VLOOKUP($S$574,'TAR FIN'!$A$1:$O$95,15,0))</f>
        <v>0</v>
      </c>
      <c r="W574" s="6">
        <f>IF(ISERROR(VLOOKUP($T$574,'TAR FIN'!$A$1:$O$95,15,0)),0,VLOOKUP($T$574,'TAR FIN'!$A$1:$O$95,15,0))</f>
        <v>252.24</v>
      </c>
      <c r="X574" s="6">
        <f>IF(ISERROR(VLOOKUP($U$574,'TAR FIN'!$A$1:$O$95,15,0)),0,VLOOKUP($U$574,'TAR FIN'!$A$1:$O$95,15,0))</f>
        <v>145.97999999999999</v>
      </c>
      <c r="Y574" s="6"/>
      <c r="Z574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74" s="6">
        <f>('TE BE'!$AA$15+'TE BF'!$AA$15+'TE CVA'!$AA$15)*(1-CUSTOS!$M$35)</f>
        <v>178.32099824078242</v>
      </c>
      <c r="AB574" s="6">
        <f t="shared" si="22"/>
        <v>0</v>
      </c>
      <c r="AC574" s="6">
        <f>(L574-M574)*(W574+X574)+($W$660+$X$660-$W$574-$X$574)*(L574)</f>
        <v>1634068.46313</v>
      </c>
      <c r="AD574" s="6">
        <f t="shared" si="23"/>
        <v>0</v>
      </c>
      <c r="AE574" s="6">
        <f ca="1">(L574-M574)*(Z574+AA574)+($Z$660+$AA$660-$Z$574-$AA$574)*(L574)</f>
        <v>1864441.7982955056</v>
      </c>
      <c r="AF574" s="4" t="s">
        <v>845</v>
      </c>
    </row>
    <row r="575" spans="1:32" ht="11.25" customHeight="1" x14ac:dyDescent="0.25">
      <c r="A575" s="4" t="s">
        <v>29</v>
      </c>
      <c r="B575" s="4" t="s">
        <v>22</v>
      </c>
      <c r="C575" s="4" t="s">
        <v>23</v>
      </c>
      <c r="D575" s="4" t="s">
        <v>24</v>
      </c>
      <c r="E575" s="4" t="s">
        <v>32</v>
      </c>
      <c r="F575" s="4" t="s">
        <v>25</v>
      </c>
      <c r="G575" s="4" t="s">
        <v>25</v>
      </c>
      <c r="H575" s="4" t="s">
        <v>25</v>
      </c>
      <c r="I575" s="5">
        <v>44317</v>
      </c>
      <c r="J575" s="6">
        <v>0</v>
      </c>
      <c r="K575" s="6">
        <v>0</v>
      </c>
      <c r="L575" s="6">
        <v>-14.021000000000001</v>
      </c>
      <c r="M575" s="6">
        <v>-14.021000000000001</v>
      </c>
      <c r="N575" s="6">
        <v>-14.021000000000001</v>
      </c>
      <c r="O575" s="6">
        <v>-14.021000000000001</v>
      </c>
      <c r="P575" s="6">
        <v>0</v>
      </c>
      <c r="Q575" s="4" t="s">
        <v>26</v>
      </c>
      <c r="R575" s="4">
        <v>0</v>
      </c>
      <c r="S575" s="4">
        <v>0</v>
      </c>
      <c r="T575" s="4">
        <v>10</v>
      </c>
      <c r="U575" s="4">
        <v>60</v>
      </c>
      <c r="V575" s="6">
        <f>IF(ISERROR(VLOOKUP($S$575,'TAR FIN'!$A$1:$O$95,15,0)),0,VLOOKUP($S$575,'TAR FIN'!$A$1:$O$95,15,0))</f>
        <v>0</v>
      </c>
      <c r="W575" s="6">
        <f>IF(ISERROR(VLOOKUP($T$575,'TAR FIN'!$A$1:$O$95,15,0)),0,VLOOKUP($T$575,'TAR FIN'!$A$1:$O$95,15,0))</f>
        <v>252.24</v>
      </c>
      <c r="X575" s="6">
        <f>IF(ISERROR(VLOOKUP($U$575,'TAR FIN'!$A$1:$O$95,15,0)),0,VLOOKUP($U$575,'TAR FIN'!$A$1:$O$95,15,0))</f>
        <v>145.97999999999999</v>
      </c>
      <c r="Y575" s="6"/>
      <c r="Z575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75" s="6">
        <f>('TE BE'!$AA$15+'TE BF'!$AA$15+'TE CVA'!$AA$15)*(1-CUSTOS!$M$35)</f>
        <v>178.32099824078242</v>
      </c>
      <c r="AB575" s="6">
        <f t="shared" si="22"/>
        <v>0</v>
      </c>
      <c r="AC575" s="6">
        <f>(L575-M575)*(W575+X575)+($W$660+$X$660-$W$575-$X$575)*(L575)</f>
        <v>-3722.1548700000008</v>
      </c>
      <c r="AD575" s="6">
        <f t="shared" si="23"/>
        <v>0</v>
      </c>
      <c r="AE575" s="6">
        <f ca="1">(L575-M575)*(Z575+AA575)+($Z$660+$AA$660-$Z$575-$AA$575)*(L575)</f>
        <v>-4246.9096466523479</v>
      </c>
      <c r="AF575" s="4" t="s">
        <v>845</v>
      </c>
    </row>
    <row r="576" spans="1:32" ht="11.25" customHeight="1" x14ac:dyDescent="0.25">
      <c r="A576" s="4" t="s">
        <v>30</v>
      </c>
      <c r="B576" s="4" t="s">
        <v>22</v>
      </c>
      <c r="C576" s="4" t="s">
        <v>23</v>
      </c>
      <c r="D576" s="4" t="s">
        <v>24</v>
      </c>
      <c r="E576" s="4" t="s">
        <v>32</v>
      </c>
      <c r="F576" s="4" t="s">
        <v>25</v>
      </c>
      <c r="G576" s="4" t="s">
        <v>25</v>
      </c>
      <c r="H576" s="4" t="s">
        <v>25</v>
      </c>
      <c r="I576" s="5">
        <v>44317</v>
      </c>
      <c r="J576" s="6">
        <v>0</v>
      </c>
      <c r="K576" s="6">
        <v>0</v>
      </c>
      <c r="L576" s="6">
        <v>0.31</v>
      </c>
      <c r="M576" s="6">
        <v>0.31</v>
      </c>
      <c r="N576" s="6">
        <v>0.31</v>
      </c>
      <c r="O576" s="6">
        <v>0.31</v>
      </c>
      <c r="P576" s="6">
        <v>0</v>
      </c>
      <c r="Q576" s="4" t="s">
        <v>26</v>
      </c>
      <c r="R576" s="4">
        <v>0</v>
      </c>
      <c r="S576" s="4">
        <v>0</v>
      </c>
      <c r="T576" s="4">
        <v>10</v>
      </c>
      <c r="U576" s="4">
        <v>60</v>
      </c>
      <c r="V576" s="6">
        <f>IF(ISERROR(VLOOKUP($S$576,'TAR FIN'!$A$1:$O$95,15,0)),0,VLOOKUP($S$576,'TAR FIN'!$A$1:$O$95,15,0))</f>
        <v>0</v>
      </c>
      <c r="W576" s="6">
        <f>IF(ISERROR(VLOOKUP($T$576,'TAR FIN'!$A$1:$O$95,15,0)),0,VLOOKUP($T$576,'TAR FIN'!$A$1:$O$95,15,0))</f>
        <v>252.24</v>
      </c>
      <c r="X576" s="6">
        <f>IF(ISERROR(VLOOKUP($U$576,'TAR FIN'!$A$1:$O$95,15,0)),0,VLOOKUP($U$576,'TAR FIN'!$A$1:$O$95,15,0))</f>
        <v>145.97999999999999</v>
      </c>
      <c r="Y576" s="6"/>
      <c r="Z576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76" s="6">
        <f>('TE BE'!$AA$15+'TE BF'!$AA$15+'TE CVA'!$AA$15)*(1-CUSTOS!$M$35)</f>
        <v>178.32099824078242</v>
      </c>
      <c r="AB576" s="6">
        <f t="shared" si="22"/>
        <v>0</v>
      </c>
      <c r="AC576" s="6">
        <f>(L576-M576)*(W576+X576)+($W$660+$X$660-$W$576-$X$576)*(L576)</f>
        <v>82.295700000000011</v>
      </c>
      <c r="AD576" s="6">
        <f t="shared" si="23"/>
        <v>0</v>
      </c>
      <c r="AE576" s="6">
        <f ca="1">(L576-M576)*(Z576+AA576)+($Z$660+$AA$660-$Z$576-$AA$576)*(L576)</f>
        <v>93.89786680423849</v>
      </c>
      <c r="AF576" s="4" t="s">
        <v>845</v>
      </c>
    </row>
    <row r="577" spans="1:32" ht="11.25" customHeight="1" x14ac:dyDescent="0.25">
      <c r="A577" s="4" t="s">
        <v>30</v>
      </c>
      <c r="B577" s="4" t="s">
        <v>22</v>
      </c>
      <c r="C577" s="4" t="s">
        <v>23</v>
      </c>
      <c r="D577" s="4" t="s">
        <v>24</v>
      </c>
      <c r="E577" s="4" t="s">
        <v>32</v>
      </c>
      <c r="F577" s="4" t="s">
        <v>25</v>
      </c>
      <c r="G577" s="4" t="s">
        <v>25</v>
      </c>
      <c r="H577" s="4" t="s">
        <v>25</v>
      </c>
      <c r="I577" s="5">
        <v>44317</v>
      </c>
      <c r="J577" s="6">
        <v>0</v>
      </c>
      <c r="K577" s="6">
        <v>0</v>
      </c>
      <c r="L577" s="6">
        <v>-0.05</v>
      </c>
      <c r="M577" s="6">
        <v>-0.05</v>
      </c>
      <c r="N577" s="6">
        <v>-0.05</v>
      </c>
      <c r="O577" s="6">
        <v>-0.05</v>
      </c>
      <c r="P577" s="6">
        <v>0</v>
      </c>
      <c r="Q577" s="4" t="s">
        <v>26</v>
      </c>
      <c r="R577" s="4">
        <v>0</v>
      </c>
      <c r="S577" s="4">
        <v>0</v>
      </c>
      <c r="T577" s="4">
        <v>10</v>
      </c>
      <c r="U577" s="4">
        <v>60</v>
      </c>
      <c r="V577" s="6">
        <f>IF(ISERROR(VLOOKUP($S$577,'TAR FIN'!$A$1:$O$95,15,0)),0,VLOOKUP($S$577,'TAR FIN'!$A$1:$O$95,15,0))</f>
        <v>0</v>
      </c>
      <c r="W577" s="6">
        <f>IF(ISERROR(VLOOKUP($T$577,'TAR FIN'!$A$1:$O$95,15,0)),0,VLOOKUP($T$577,'TAR FIN'!$A$1:$O$95,15,0))</f>
        <v>252.24</v>
      </c>
      <c r="X577" s="6">
        <f>IF(ISERROR(VLOOKUP($U$577,'TAR FIN'!$A$1:$O$95,15,0)),0,VLOOKUP($U$577,'TAR FIN'!$A$1:$O$95,15,0))</f>
        <v>145.97999999999999</v>
      </c>
      <c r="Y577" s="6"/>
      <c r="Z577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77" s="6">
        <f>('TE BE'!$AA$15+'TE BF'!$AA$15+'TE CVA'!$AA$15)*(1-CUSTOS!$M$35)</f>
        <v>178.32099824078242</v>
      </c>
      <c r="AB577" s="6">
        <f t="shared" si="22"/>
        <v>0</v>
      </c>
      <c r="AC577" s="6">
        <f>(L577-M577)*(W577+X577)+($W$660+$X$660-$W$577-$X$577)*(L577)</f>
        <v>-13.273500000000002</v>
      </c>
      <c r="AD577" s="6">
        <f t="shared" si="23"/>
        <v>0</v>
      </c>
      <c r="AE577" s="6">
        <f ca="1">(L577-M577)*(Z577+AA577)+($Z$660+$AA$660-$Z$577-$AA$577)*(L577)</f>
        <v>-15.14481722649008</v>
      </c>
      <c r="AF577" s="4" t="s">
        <v>845</v>
      </c>
    </row>
    <row r="578" spans="1:32" ht="11.25" customHeight="1" x14ac:dyDescent="0.25">
      <c r="A578" s="4" t="s">
        <v>21</v>
      </c>
      <c r="B578" s="4" t="s">
        <v>22</v>
      </c>
      <c r="C578" s="4" t="s">
        <v>23</v>
      </c>
      <c r="D578" s="4" t="s">
        <v>24</v>
      </c>
      <c r="E578" s="4" t="s">
        <v>32</v>
      </c>
      <c r="F578" s="4" t="s">
        <v>25</v>
      </c>
      <c r="G578" s="4" t="s">
        <v>25</v>
      </c>
      <c r="H578" s="4" t="s">
        <v>25</v>
      </c>
      <c r="I578" s="5">
        <v>44348</v>
      </c>
      <c r="J578" s="6">
        <v>0</v>
      </c>
      <c r="K578" s="6">
        <v>0</v>
      </c>
      <c r="L578" s="6">
        <v>3645.2350000000001</v>
      </c>
      <c r="M578" s="6">
        <v>3645.2350000000001</v>
      </c>
      <c r="N578" s="6">
        <v>3645.2350000000001</v>
      </c>
      <c r="O578" s="6">
        <v>3645.2350000000001</v>
      </c>
      <c r="P578" s="6">
        <v>15683</v>
      </c>
      <c r="Q578" s="4" t="s">
        <v>26</v>
      </c>
      <c r="R578" s="4">
        <v>0</v>
      </c>
      <c r="S578" s="4">
        <v>0</v>
      </c>
      <c r="T578" s="4">
        <v>10</v>
      </c>
      <c r="U578" s="4">
        <v>60</v>
      </c>
      <c r="V578" s="6">
        <f>IF(ISERROR(VLOOKUP($S$578,'TAR FIN'!$A$1:$O$95,15,0)),0,VLOOKUP($S$578,'TAR FIN'!$A$1:$O$95,15,0))</f>
        <v>0</v>
      </c>
      <c r="W578" s="6">
        <f>IF(ISERROR(VLOOKUP($T$578,'TAR FIN'!$A$1:$O$95,15,0)),0,VLOOKUP($T$578,'TAR FIN'!$A$1:$O$95,15,0))</f>
        <v>252.24</v>
      </c>
      <c r="X578" s="6">
        <f>IF(ISERROR(VLOOKUP($U$578,'TAR FIN'!$A$1:$O$95,15,0)),0,VLOOKUP($U$578,'TAR FIN'!$A$1:$O$95,15,0))</f>
        <v>145.97999999999999</v>
      </c>
      <c r="Y578" s="6"/>
      <c r="Z578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78" s="6">
        <f>('TE BE'!$AA$15+'TE BF'!$AA$15+'TE CVA'!$AA$15)*(1-CUSTOS!$M$35)</f>
        <v>178.32099824078242</v>
      </c>
      <c r="AB578" s="6">
        <f t="shared" ref="AB578:AB641" si="24">(J578-K578)*V578</f>
        <v>0</v>
      </c>
      <c r="AC578" s="6">
        <f>(L578-M578)*(W578+X578)+($W$660+$X$660-$W$578-$X$578)*(L578)</f>
        <v>967700.53545000008</v>
      </c>
      <c r="AD578" s="6">
        <f t="shared" ref="AD578:AD641" si="25">(J578-K578)*Y578</f>
        <v>0</v>
      </c>
      <c r="AE578" s="6">
        <f ca="1">(L578-M578)*(Z578+AA578)+($Z$660+$AA$660-$Z$578-$AA$578)*(L578)</f>
        <v>1104128.3564520914</v>
      </c>
      <c r="AF578" s="4" t="s">
        <v>845</v>
      </c>
    </row>
    <row r="579" spans="1:32" ht="11.25" customHeight="1" x14ac:dyDescent="0.25">
      <c r="A579" s="4" t="s">
        <v>27</v>
      </c>
      <c r="B579" s="4" t="s">
        <v>22</v>
      </c>
      <c r="C579" s="4" t="s">
        <v>23</v>
      </c>
      <c r="D579" s="4" t="s">
        <v>24</v>
      </c>
      <c r="E579" s="4" t="s">
        <v>32</v>
      </c>
      <c r="F579" s="4" t="s">
        <v>25</v>
      </c>
      <c r="G579" s="4" t="s">
        <v>25</v>
      </c>
      <c r="H579" s="4" t="s">
        <v>25</v>
      </c>
      <c r="I579" s="5">
        <v>44348</v>
      </c>
      <c r="J579" s="6">
        <v>0</v>
      </c>
      <c r="K579" s="6">
        <v>0</v>
      </c>
      <c r="L579" s="6">
        <v>-7.3449999999999998</v>
      </c>
      <c r="M579" s="6">
        <v>-7.3449999999999998</v>
      </c>
      <c r="N579" s="6">
        <v>-7.3449999999999998</v>
      </c>
      <c r="O579" s="6">
        <v>-7.3449999999999998</v>
      </c>
      <c r="P579" s="6">
        <v>0</v>
      </c>
      <c r="Q579" s="4" t="s">
        <v>26</v>
      </c>
      <c r="R579" s="4">
        <v>0</v>
      </c>
      <c r="S579" s="4">
        <v>0</v>
      </c>
      <c r="T579" s="4">
        <v>10</v>
      </c>
      <c r="U579" s="4">
        <v>60</v>
      </c>
      <c r="V579" s="6">
        <f>IF(ISERROR(VLOOKUP($S$579,'TAR FIN'!$A$1:$O$95,15,0)),0,VLOOKUP($S$579,'TAR FIN'!$A$1:$O$95,15,0))</f>
        <v>0</v>
      </c>
      <c r="W579" s="6">
        <f>IF(ISERROR(VLOOKUP($T$579,'TAR FIN'!$A$1:$O$95,15,0)),0,VLOOKUP($T$579,'TAR FIN'!$A$1:$O$95,15,0))</f>
        <v>252.24</v>
      </c>
      <c r="X579" s="6">
        <f>IF(ISERROR(VLOOKUP($U$579,'TAR FIN'!$A$1:$O$95,15,0)),0,VLOOKUP($U$579,'TAR FIN'!$A$1:$O$95,15,0))</f>
        <v>145.97999999999999</v>
      </c>
      <c r="Y579" s="6"/>
      <c r="Z579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79" s="6">
        <f>('TE BE'!$AA$15+'TE BF'!$AA$15+'TE CVA'!$AA$15)*(1-CUSTOS!$M$35)</f>
        <v>178.32099824078242</v>
      </c>
      <c r="AB579" s="6">
        <f t="shared" si="24"/>
        <v>0</v>
      </c>
      <c r="AC579" s="6">
        <f>(L579-M579)*(W579+X579)+($W$660+$X$660-$W$579-$X$579)*(L579)</f>
        <v>-1949.87715</v>
      </c>
      <c r="AD579" s="6">
        <f t="shared" si="25"/>
        <v>0</v>
      </c>
      <c r="AE579" s="6">
        <f ca="1">(L579-M579)*(Z579+AA579)+($Z$660+$AA$660-$Z$579-$AA$579)*(L579)</f>
        <v>-2224.7736505713924</v>
      </c>
      <c r="AF579" s="4" t="s">
        <v>845</v>
      </c>
    </row>
    <row r="580" spans="1:32" ht="11.25" customHeight="1" x14ac:dyDescent="0.25">
      <c r="A580" s="4" t="s">
        <v>28</v>
      </c>
      <c r="B580" s="4" t="s">
        <v>22</v>
      </c>
      <c r="C580" s="4" t="s">
        <v>23</v>
      </c>
      <c r="D580" s="4" t="s">
        <v>24</v>
      </c>
      <c r="E580" s="4" t="s">
        <v>32</v>
      </c>
      <c r="F580" s="4" t="s">
        <v>25</v>
      </c>
      <c r="G580" s="4" t="s">
        <v>25</v>
      </c>
      <c r="H580" s="4" t="s">
        <v>25</v>
      </c>
      <c r="I580" s="5">
        <v>44348</v>
      </c>
      <c r="J580" s="6">
        <v>0</v>
      </c>
      <c r="K580" s="6">
        <v>0</v>
      </c>
      <c r="L580" s="6">
        <v>6281.2030000000004</v>
      </c>
      <c r="M580" s="6">
        <v>6281.2030000000004</v>
      </c>
      <c r="N580" s="6">
        <v>6281.2030000000004</v>
      </c>
      <c r="O580" s="6">
        <v>6281.2030000000004</v>
      </c>
      <c r="P580" s="6">
        <v>30400</v>
      </c>
      <c r="Q580" s="4" t="s">
        <v>26</v>
      </c>
      <c r="R580" s="4">
        <v>0</v>
      </c>
      <c r="S580" s="4">
        <v>0</v>
      </c>
      <c r="T580" s="4">
        <v>10</v>
      </c>
      <c r="U580" s="4">
        <v>60</v>
      </c>
      <c r="V580" s="6">
        <f>IF(ISERROR(VLOOKUP($S$580,'TAR FIN'!$A$1:$O$95,15,0)),0,VLOOKUP($S$580,'TAR FIN'!$A$1:$O$95,15,0))</f>
        <v>0</v>
      </c>
      <c r="W580" s="6">
        <f>IF(ISERROR(VLOOKUP($T$580,'TAR FIN'!$A$1:$O$95,15,0)),0,VLOOKUP($T$580,'TAR FIN'!$A$1:$O$95,15,0))</f>
        <v>252.24</v>
      </c>
      <c r="X580" s="6">
        <f>IF(ISERROR(VLOOKUP($U$580,'TAR FIN'!$A$1:$O$95,15,0)),0,VLOOKUP($U$580,'TAR FIN'!$A$1:$O$95,15,0))</f>
        <v>145.97999999999999</v>
      </c>
      <c r="Y580" s="6"/>
      <c r="Z580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80" s="6">
        <f>('TE BE'!$AA$15+'TE BF'!$AA$15+'TE CVA'!$AA$15)*(1-CUSTOS!$M$35)</f>
        <v>178.32099824078242</v>
      </c>
      <c r="AB580" s="6">
        <f t="shared" si="24"/>
        <v>0</v>
      </c>
      <c r="AC580" s="6">
        <f>(L580-M580)*(W580+X580)+($W$660+$X$660-$W$580-$X$580)*(L580)</f>
        <v>1667470.9604100003</v>
      </c>
      <c r="AD580" s="6">
        <f t="shared" si="25"/>
        <v>0</v>
      </c>
      <c r="AE580" s="6">
        <f ca="1">(L580-M580)*(Z580+AA580)+($Z$660+$AA$660-$Z$580-$AA$580)*(L580)</f>
        <v>1902553.4279496234</v>
      </c>
      <c r="AF580" s="4" t="s">
        <v>845</v>
      </c>
    </row>
    <row r="581" spans="1:32" ht="11.25" customHeight="1" x14ac:dyDescent="0.25">
      <c r="A581" s="4" t="s">
        <v>29</v>
      </c>
      <c r="B581" s="4" t="s">
        <v>22</v>
      </c>
      <c r="C581" s="4" t="s">
        <v>23</v>
      </c>
      <c r="D581" s="4" t="s">
        <v>24</v>
      </c>
      <c r="E581" s="4" t="s">
        <v>32</v>
      </c>
      <c r="F581" s="4" t="s">
        <v>25</v>
      </c>
      <c r="G581" s="4" t="s">
        <v>25</v>
      </c>
      <c r="H581" s="4" t="s">
        <v>25</v>
      </c>
      <c r="I581" s="5">
        <v>44348</v>
      </c>
      <c r="J581" s="6">
        <v>0</v>
      </c>
      <c r="K581" s="6">
        <v>0</v>
      </c>
      <c r="L581" s="6">
        <v>-10.89</v>
      </c>
      <c r="M581" s="6">
        <v>-10.89</v>
      </c>
      <c r="N581" s="6">
        <v>-10.89</v>
      </c>
      <c r="O581" s="6">
        <v>-10.89</v>
      </c>
      <c r="P581" s="6">
        <v>0</v>
      </c>
      <c r="Q581" s="4" t="s">
        <v>26</v>
      </c>
      <c r="R581" s="4">
        <v>0</v>
      </c>
      <c r="S581" s="4">
        <v>0</v>
      </c>
      <c r="T581" s="4">
        <v>10</v>
      </c>
      <c r="U581" s="4">
        <v>60</v>
      </c>
      <c r="V581" s="6">
        <f>IF(ISERROR(VLOOKUP($S$581,'TAR FIN'!$A$1:$O$95,15,0)),0,VLOOKUP($S$581,'TAR FIN'!$A$1:$O$95,15,0))</f>
        <v>0</v>
      </c>
      <c r="W581" s="6">
        <f>IF(ISERROR(VLOOKUP($T$581,'TAR FIN'!$A$1:$O$95,15,0)),0,VLOOKUP($T$581,'TAR FIN'!$A$1:$O$95,15,0))</f>
        <v>252.24</v>
      </c>
      <c r="X581" s="6">
        <f>IF(ISERROR(VLOOKUP($U$581,'TAR FIN'!$A$1:$O$95,15,0)),0,VLOOKUP($U$581,'TAR FIN'!$A$1:$O$95,15,0))</f>
        <v>145.97999999999999</v>
      </c>
      <c r="Y581" s="6"/>
      <c r="Z581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81" s="6">
        <f>('TE BE'!$AA$15+'TE BF'!$AA$15+'TE CVA'!$AA$15)*(1-CUSTOS!$M$35)</f>
        <v>178.32099824078242</v>
      </c>
      <c r="AB581" s="6">
        <f t="shared" si="24"/>
        <v>0</v>
      </c>
      <c r="AC581" s="6">
        <f>(L581-M581)*(W581+X581)+($W$660+$X$660-$W$581-$X$581)*(L581)</f>
        <v>-2890.9683000000005</v>
      </c>
      <c r="AD581" s="6">
        <f t="shared" si="25"/>
        <v>0</v>
      </c>
      <c r="AE581" s="6">
        <f ca="1">(L581-M581)*(Z581+AA581)+($Z$660+$AA$660-$Z$581-$AA$581)*(L581)</f>
        <v>-3298.5411919295393</v>
      </c>
      <c r="AF581" s="4" t="s">
        <v>845</v>
      </c>
    </row>
    <row r="582" spans="1:32" ht="11.25" customHeight="1" x14ac:dyDescent="0.25">
      <c r="A582" s="4" t="s">
        <v>30</v>
      </c>
      <c r="B582" s="4" t="s">
        <v>22</v>
      </c>
      <c r="C582" s="4" t="s">
        <v>23</v>
      </c>
      <c r="D582" s="4" t="s">
        <v>24</v>
      </c>
      <c r="E582" s="4" t="s">
        <v>32</v>
      </c>
      <c r="F582" s="4" t="s">
        <v>25</v>
      </c>
      <c r="G582" s="4" t="s">
        <v>25</v>
      </c>
      <c r="H582" s="4" t="s">
        <v>25</v>
      </c>
      <c r="I582" s="5">
        <v>44348</v>
      </c>
      <c r="J582" s="6">
        <v>0</v>
      </c>
      <c r="K582" s="6">
        <v>0</v>
      </c>
      <c r="L582" s="6">
        <v>0.4</v>
      </c>
      <c r="M582" s="6">
        <v>0.4</v>
      </c>
      <c r="N582" s="6">
        <v>0.4</v>
      </c>
      <c r="O582" s="6">
        <v>0.4</v>
      </c>
      <c r="P582" s="6">
        <v>0</v>
      </c>
      <c r="Q582" s="4" t="s">
        <v>26</v>
      </c>
      <c r="R582" s="4">
        <v>0</v>
      </c>
      <c r="S582" s="4">
        <v>0</v>
      </c>
      <c r="T582" s="4">
        <v>10</v>
      </c>
      <c r="U582" s="4">
        <v>60</v>
      </c>
      <c r="V582" s="6">
        <f>IF(ISERROR(VLOOKUP($S$582,'TAR FIN'!$A$1:$O$95,15,0)),0,VLOOKUP($S$582,'TAR FIN'!$A$1:$O$95,15,0))</f>
        <v>0</v>
      </c>
      <c r="W582" s="6">
        <f>IF(ISERROR(VLOOKUP($T$582,'TAR FIN'!$A$1:$O$95,15,0)),0,VLOOKUP($T$582,'TAR FIN'!$A$1:$O$95,15,0))</f>
        <v>252.24</v>
      </c>
      <c r="X582" s="6">
        <f>IF(ISERROR(VLOOKUP($U$582,'TAR FIN'!$A$1:$O$95,15,0)),0,VLOOKUP($U$582,'TAR FIN'!$A$1:$O$95,15,0))</f>
        <v>145.97999999999999</v>
      </c>
      <c r="Y582" s="6"/>
      <c r="Z582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82" s="6">
        <f>('TE BE'!$AA$15+'TE BF'!$AA$15+'TE CVA'!$AA$15)*(1-CUSTOS!$M$35)</f>
        <v>178.32099824078242</v>
      </c>
      <c r="AB582" s="6">
        <f t="shared" si="24"/>
        <v>0</v>
      </c>
      <c r="AC582" s="6">
        <f>(L582-M582)*(W582+X582)+($W$660+$X$660-$W$582-$X$582)*(L582)</f>
        <v>106.18800000000002</v>
      </c>
      <c r="AD582" s="6">
        <f t="shared" si="25"/>
        <v>0</v>
      </c>
      <c r="AE582" s="6">
        <f ca="1">(L582-M582)*(Z582+AA582)+($Z$660+$AA$660-$Z$582-$AA$582)*(L582)</f>
        <v>121.15853781192064</v>
      </c>
      <c r="AF582" s="4" t="s">
        <v>845</v>
      </c>
    </row>
    <row r="583" spans="1:32" ht="11.25" customHeight="1" x14ac:dyDescent="0.25">
      <c r="A583" s="4" t="s">
        <v>21</v>
      </c>
      <c r="B583" s="4" t="s">
        <v>22</v>
      </c>
      <c r="C583" s="4" t="s">
        <v>23</v>
      </c>
      <c r="D583" s="4" t="s">
        <v>24</v>
      </c>
      <c r="E583" s="4" t="s">
        <v>32</v>
      </c>
      <c r="F583" s="4" t="s">
        <v>25</v>
      </c>
      <c r="G583" s="4" t="s">
        <v>25</v>
      </c>
      <c r="H583" s="4" t="s">
        <v>25</v>
      </c>
      <c r="I583" s="5">
        <v>44378</v>
      </c>
      <c r="J583" s="6">
        <v>0</v>
      </c>
      <c r="K583" s="6">
        <v>0</v>
      </c>
      <c r="L583" s="6">
        <v>3557.2159999999999</v>
      </c>
      <c r="M583" s="6">
        <v>3557.2159999999999</v>
      </c>
      <c r="N583" s="6">
        <v>3557.2159999999999</v>
      </c>
      <c r="O583" s="6">
        <v>3557.2159999999999</v>
      </c>
      <c r="P583" s="6">
        <v>16501</v>
      </c>
      <c r="Q583" s="4" t="s">
        <v>26</v>
      </c>
      <c r="R583" s="4">
        <v>0</v>
      </c>
      <c r="S583" s="4">
        <v>0</v>
      </c>
      <c r="T583" s="4">
        <v>10</v>
      </c>
      <c r="U583" s="4">
        <v>60</v>
      </c>
      <c r="V583" s="6">
        <f>IF(ISERROR(VLOOKUP($S$583,'TAR FIN'!$A$1:$O$95,15,0)),0,VLOOKUP($S$583,'TAR FIN'!$A$1:$O$95,15,0))</f>
        <v>0</v>
      </c>
      <c r="W583" s="6">
        <f>IF(ISERROR(VLOOKUP($T$583,'TAR FIN'!$A$1:$O$95,15,0)),0,VLOOKUP($T$583,'TAR FIN'!$A$1:$O$95,15,0))</f>
        <v>252.24</v>
      </c>
      <c r="X583" s="6">
        <f>IF(ISERROR(VLOOKUP($U$583,'TAR FIN'!$A$1:$O$95,15,0)),0,VLOOKUP($U$583,'TAR FIN'!$A$1:$O$95,15,0))</f>
        <v>145.97999999999999</v>
      </c>
      <c r="Y583" s="6"/>
      <c r="Z583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83" s="6">
        <f>('TE BE'!$AA$15+'TE BF'!$AA$15+'TE CVA'!$AA$15)*(1-CUSTOS!$M$35)</f>
        <v>178.32099824078242</v>
      </c>
      <c r="AB583" s="6">
        <f t="shared" si="24"/>
        <v>0</v>
      </c>
      <c r="AC583" s="6">
        <f>(L583-M583)*(W583+X583)+($W$660+$X$660-$W$583-$X$583)*(L583)</f>
        <v>944334.13152000005</v>
      </c>
      <c r="AD583" s="6">
        <f t="shared" si="25"/>
        <v>0</v>
      </c>
      <c r="AE583" s="6">
        <f ca="1">(L583-M583)*(Z583+AA583)+($Z$660+$AA$660-$Z$583-$AA$583)*(L583)</f>
        <v>1077467.7231029226</v>
      </c>
      <c r="AF583" s="4" t="s">
        <v>845</v>
      </c>
    </row>
    <row r="584" spans="1:32" ht="11.25" customHeight="1" x14ac:dyDescent="0.25">
      <c r="A584" s="4" t="s">
        <v>27</v>
      </c>
      <c r="B584" s="4" t="s">
        <v>22</v>
      </c>
      <c r="C584" s="4" t="s">
        <v>23</v>
      </c>
      <c r="D584" s="4" t="s">
        <v>24</v>
      </c>
      <c r="E584" s="4" t="s">
        <v>32</v>
      </c>
      <c r="F584" s="4" t="s">
        <v>25</v>
      </c>
      <c r="G584" s="4" t="s">
        <v>25</v>
      </c>
      <c r="H584" s="4" t="s">
        <v>25</v>
      </c>
      <c r="I584" s="5">
        <v>44378</v>
      </c>
      <c r="J584" s="6">
        <v>0</v>
      </c>
      <c r="K584" s="6">
        <v>0</v>
      </c>
      <c r="L584" s="6">
        <v>-14.151</v>
      </c>
      <c r="M584" s="6">
        <v>-14.151</v>
      </c>
      <c r="N584" s="6">
        <v>-14.151</v>
      </c>
      <c r="O584" s="6">
        <v>-14.151</v>
      </c>
      <c r="P584" s="6">
        <v>0</v>
      </c>
      <c r="Q584" s="4" t="s">
        <v>26</v>
      </c>
      <c r="R584" s="4">
        <v>0</v>
      </c>
      <c r="S584" s="4">
        <v>0</v>
      </c>
      <c r="T584" s="4">
        <v>10</v>
      </c>
      <c r="U584" s="4">
        <v>60</v>
      </c>
      <c r="V584" s="6">
        <f>IF(ISERROR(VLOOKUP($S$584,'TAR FIN'!$A$1:$O$95,15,0)),0,VLOOKUP($S$584,'TAR FIN'!$A$1:$O$95,15,0))</f>
        <v>0</v>
      </c>
      <c r="W584" s="6">
        <f>IF(ISERROR(VLOOKUP($T$584,'TAR FIN'!$A$1:$O$95,15,0)),0,VLOOKUP($T$584,'TAR FIN'!$A$1:$O$95,15,0))</f>
        <v>252.24</v>
      </c>
      <c r="X584" s="6">
        <f>IF(ISERROR(VLOOKUP($U$584,'TAR FIN'!$A$1:$O$95,15,0)),0,VLOOKUP($U$584,'TAR FIN'!$A$1:$O$95,15,0))</f>
        <v>145.97999999999999</v>
      </c>
      <c r="Y584" s="6"/>
      <c r="Z584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84" s="6">
        <f>('TE BE'!$AA$15+'TE BF'!$AA$15+'TE CVA'!$AA$15)*(1-CUSTOS!$M$35)</f>
        <v>178.32099824078242</v>
      </c>
      <c r="AB584" s="6">
        <f t="shared" si="24"/>
        <v>0</v>
      </c>
      <c r="AC584" s="6">
        <f>(L584-M584)*(W584+X584)+($W$660+$X$660-$W$584-$X$584)*(L584)</f>
        <v>-3756.6659700000005</v>
      </c>
      <c r="AD584" s="6">
        <f t="shared" si="25"/>
        <v>0</v>
      </c>
      <c r="AE584" s="6">
        <f ca="1">(L584-M584)*(Z584+AA584)+($Z$660+$AA$660-$Z$584-$AA$584)*(L584)</f>
        <v>-4286.286171441222</v>
      </c>
      <c r="AF584" s="4" t="s">
        <v>845</v>
      </c>
    </row>
    <row r="585" spans="1:32" ht="11.25" customHeight="1" x14ac:dyDescent="0.25">
      <c r="A585" s="4" t="s">
        <v>28</v>
      </c>
      <c r="B585" s="4" t="s">
        <v>22</v>
      </c>
      <c r="C585" s="4" t="s">
        <v>23</v>
      </c>
      <c r="D585" s="4" t="s">
        <v>24</v>
      </c>
      <c r="E585" s="4" t="s">
        <v>32</v>
      </c>
      <c r="F585" s="4" t="s">
        <v>25</v>
      </c>
      <c r="G585" s="4" t="s">
        <v>25</v>
      </c>
      <c r="H585" s="4" t="s">
        <v>25</v>
      </c>
      <c r="I585" s="5">
        <v>44378</v>
      </c>
      <c r="J585" s="6">
        <v>0</v>
      </c>
      <c r="K585" s="6">
        <v>0</v>
      </c>
      <c r="L585" s="6">
        <v>6103.1670000000004</v>
      </c>
      <c r="M585" s="6">
        <v>6103.1670000000004</v>
      </c>
      <c r="N585" s="6">
        <v>6103.1670000000004</v>
      </c>
      <c r="O585" s="6">
        <v>6103.1670000000004</v>
      </c>
      <c r="P585" s="6">
        <v>34108</v>
      </c>
      <c r="Q585" s="4" t="s">
        <v>26</v>
      </c>
      <c r="R585" s="4">
        <v>0</v>
      </c>
      <c r="S585" s="4">
        <v>0</v>
      </c>
      <c r="T585" s="4">
        <v>10</v>
      </c>
      <c r="U585" s="4">
        <v>60</v>
      </c>
      <c r="V585" s="6">
        <f>IF(ISERROR(VLOOKUP($S$585,'TAR FIN'!$A$1:$O$95,15,0)),0,VLOOKUP($S$585,'TAR FIN'!$A$1:$O$95,15,0))</f>
        <v>0</v>
      </c>
      <c r="W585" s="6">
        <f>IF(ISERROR(VLOOKUP($T$585,'TAR FIN'!$A$1:$O$95,15,0)),0,VLOOKUP($T$585,'TAR FIN'!$A$1:$O$95,15,0))</f>
        <v>252.24</v>
      </c>
      <c r="X585" s="6">
        <f>IF(ISERROR(VLOOKUP($U$585,'TAR FIN'!$A$1:$O$95,15,0)),0,VLOOKUP($U$585,'TAR FIN'!$A$1:$O$95,15,0))</f>
        <v>145.97999999999999</v>
      </c>
      <c r="Y585" s="6"/>
      <c r="Z585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85" s="6">
        <f>('TE BE'!$AA$15+'TE BF'!$AA$15+'TE CVA'!$AA$15)*(1-CUSTOS!$M$35)</f>
        <v>178.32099824078242</v>
      </c>
      <c r="AB585" s="6">
        <f t="shared" si="24"/>
        <v>0</v>
      </c>
      <c r="AC585" s="6">
        <f>(L585-M585)*(W585+X585)+($W$660+$X$660-$W$585-$X$585)*(L585)</f>
        <v>1620207.7434900003</v>
      </c>
      <c r="AD585" s="6">
        <f t="shared" si="25"/>
        <v>0</v>
      </c>
      <c r="AE585" s="6">
        <f ca="1">(L585-M585)*(Z585+AA585)+($Z$660+$AA$660-$Z$585-$AA$585)*(L585)</f>
        <v>1848626.9743549156</v>
      </c>
      <c r="AF585" s="4" t="s">
        <v>845</v>
      </c>
    </row>
    <row r="586" spans="1:32" ht="11.25" customHeight="1" x14ac:dyDescent="0.25">
      <c r="A586" s="4" t="s">
        <v>29</v>
      </c>
      <c r="B586" s="4" t="s">
        <v>22</v>
      </c>
      <c r="C586" s="4" t="s">
        <v>23</v>
      </c>
      <c r="D586" s="4" t="s">
        <v>24</v>
      </c>
      <c r="E586" s="4" t="s">
        <v>32</v>
      </c>
      <c r="F586" s="4" t="s">
        <v>25</v>
      </c>
      <c r="G586" s="4" t="s">
        <v>25</v>
      </c>
      <c r="H586" s="4" t="s">
        <v>25</v>
      </c>
      <c r="I586" s="5">
        <v>44378</v>
      </c>
      <c r="J586" s="6">
        <v>0</v>
      </c>
      <c r="K586" s="6">
        <v>0</v>
      </c>
      <c r="L586" s="6">
        <v>-12.086</v>
      </c>
      <c r="M586" s="6">
        <v>-12.086</v>
      </c>
      <c r="N586" s="6">
        <v>-12.086</v>
      </c>
      <c r="O586" s="6">
        <v>-12.086</v>
      </c>
      <c r="P586" s="6">
        <v>0</v>
      </c>
      <c r="Q586" s="4" t="s">
        <v>26</v>
      </c>
      <c r="R586" s="4">
        <v>0</v>
      </c>
      <c r="S586" s="4">
        <v>0</v>
      </c>
      <c r="T586" s="4">
        <v>10</v>
      </c>
      <c r="U586" s="4">
        <v>60</v>
      </c>
      <c r="V586" s="6">
        <f>IF(ISERROR(VLOOKUP($S$586,'TAR FIN'!$A$1:$O$95,15,0)),0,VLOOKUP($S$586,'TAR FIN'!$A$1:$O$95,15,0))</f>
        <v>0</v>
      </c>
      <c r="W586" s="6">
        <f>IF(ISERROR(VLOOKUP($T$586,'TAR FIN'!$A$1:$O$95,15,0)),0,VLOOKUP($T$586,'TAR FIN'!$A$1:$O$95,15,0))</f>
        <v>252.24</v>
      </c>
      <c r="X586" s="6">
        <f>IF(ISERROR(VLOOKUP($U$586,'TAR FIN'!$A$1:$O$95,15,0)),0,VLOOKUP($U$586,'TAR FIN'!$A$1:$O$95,15,0))</f>
        <v>145.97999999999999</v>
      </c>
      <c r="Y586" s="6"/>
      <c r="Z586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86" s="6">
        <f>('TE BE'!$AA$15+'TE BF'!$AA$15+'TE CVA'!$AA$15)*(1-CUSTOS!$M$35)</f>
        <v>178.32099824078242</v>
      </c>
      <c r="AB586" s="6">
        <f t="shared" si="24"/>
        <v>0</v>
      </c>
      <c r="AC586" s="6">
        <f>(L586-M586)*(W586+X586)+($W$660+$X$660-$W$586-$X$586)*(L586)</f>
        <v>-3208.4704200000006</v>
      </c>
      <c r="AD586" s="6">
        <f t="shared" si="25"/>
        <v>0</v>
      </c>
      <c r="AE586" s="6">
        <f ca="1">(L586-M586)*(Z586+AA586)+($Z$660+$AA$660-$Z$586-$AA$586)*(L586)</f>
        <v>-3660.8052199871822</v>
      </c>
      <c r="AF586" s="4" t="s">
        <v>845</v>
      </c>
    </row>
    <row r="587" spans="1:32" ht="11.25" customHeight="1" x14ac:dyDescent="0.25">
      <c r="A587" s="4" t="s">
        <v>30</v>
      </c>
      <c r="B587" s="4" t="s">
        <v>22</v>
      </c>
      <c r="C587" s="4" t="s">
        <v>23</v>
      </c>
      <c r="D587" s="4" t="s">
        <v>24</v>
      </c>
      <c r="E587" s="4" t="s">
        <v>32</v>
      </c>
      <c r="F587" s="4" t="s">
        <v>25</v>
      </c>
      <c r="G587" s="4" t="s">
        <v>25</v>
      </c>
      <c r="H587" s="4" t="s">
        <v>25</v>
      </c>
      <c r="I587" s="5">
        <v>44378</v>
      </c>
      <c r="J587" s="6">
        <v>0</v>
      </c>
      <c r="K587" s="6">
        <v>0</v>
      </c>
      <c r="L587" s="6">
        <v>0.47</v>
      </c>
      <c r="M587" s="6">
        <v>0.47</v>
      </c>
      <c r="N587" s="6">
        <v>0.47</v>
      </c>
      <c r="O587" s="6">
        <v>0.47</v>
      </c>
      <c r="P587" s="6">
        <v>0</v>
      </c>
      <c r="Q587" s="4" t="s">
        <v>26</v>
      </c>
      <c r="R587" s="4">
        <v>0</v>
      </c>
      <c r="S587" s="4">
        <v>0</v>
      </c>
      <c r="T587" s="4">
        <v>10</v>
      </c>
      <c r="U587" s="4">
        <v>60</v>
      </c>
      <c r="V587" s="6">
        <f>IF(ISERROR(VLOOKUP($S$587,'TAR FIN'!$A$1:$O$95,15,0)),0,VLOOKUP($S$587,'TAR FIN'!$A$1:$O$95,15,0))</f>
        <v>0</v>
      </c>
      <c r="W587" s="6">
        <f>IF(ISERROR(VLOOKUP($T$587,'TAR FIN'!$A$1:$O$95,15,0)),0,VLOOKUP($T$587,'TAR FIN'!$A$1:$O$95,15,0))</f>
        <v>252.24</v>
      </c>
      <c r="X587" s="6">
        <f>IF(ISERROR(VLOOKUP($U$587,'TAR FIN'!$A$1:$O$95,15,0)),0,VLOOKUP($U$587,'TAR FIN'!$A$1:$O$95,15,0))</f>
        <v>145.97999999999999</v>
      </c>
      <c r="Y587" s="6"/>
      <c r="Z587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87" s="6">
        <f>('TE BE'!$AA$15+'TE BF'!$AA$15+'TE CVA'!$AA$15)*(1-CUSTOS!$M$35)</f>
        <v>178.32099824078242</v>
      </c>
      <c r="AB587" s="6">
        <f t="shared" si="24"/>
        <v>0</v>
      </c>
      <c r="AC587" s="6">
        <f>(L587-M587)*(W587+X587)+($W$660+$X$660-$W$587-$X$587)*(L587)</f>
        <v>124.77090000000001</v>
      </c>
      <c r="AD587" s="6">
        <f t="shared" si="25"/>
        <v>0</v>
      </c>
      <c r="AE587" s="6">
        <f ca="1">(L587-M587)*(Z587+AA587)+($Z$660+$AA$660-$Z$587-$AA$587)*(L587)</f>
        <v>142.36128192900674</v>
      </c>
      <c r="AF587" s="4" t="s">
        <v>845</v>
      </c>
    </row>
    <row r="588" spans="1:32" ht="11.25" customHeight="1" x14ac:dyDescent="0.25">
      <c r="A588" s="4" t="s">
        <v>21</v>
      </c>
      <c r="B588" s="4" t="s">
        <v>22</v>
      </c>
      <c r="C588" s="4" t="s">
        <v>23</v>
      </c>
      <c r="D588" s="4" t="s">
        <v>24</v>
      </c>
      <c r="E588" s="4" t="s">
        <v>32</v>
      </c>
      <c r="F588" s="4" t="s">
        <v>25</v>
      </c>
      <c r="G588" s="4" t="s">
        <v>25</v>
      </c>
      <c r="H588" s="4" t="s">
        <v>25</v>
      </c>
      <c r="I588" s="5">
        <v>44409</v>
      </c>
      <c r="J588" s="6">
        <v>0</v>
      </c>
      <c r="K588" s="6">
        <v>0</v>
      </c>
      <c r="L588" s="6">
        <v>3662.4870000000001</v>
      </c>
      <c r="M588" s="6">
        <v>3662.4870000000001</v>
      </c>
      <c r="N588" s="6">
        <v>3662.4870000000001</v>
      </c>
      <c r="O588" s="6">
        <v>3662.4870000000001</v>
      </c>
      <c r="P588" s="6">
        <v>15334</v>
      </c>
      <c r="Q588" s="4" t="s">
        <v>26</v>
      </c>
      <c r="R588" s="4">
        <v>0</v>
      </c>
      <c r="S588" s="4">
        <v>0</v>
      </c>
      <c r="T588" s="4">
        <v>10</v>
      </c>
      <c r="U588" s="4">
        <v>60</v>
      </c>
      <c r="V588" s="6">
        <f>IF(ISERROR(VLOOKUP($S$588,'TAR FIN'!$A$1:$O$95,15,0)),0,VLOOKUP($S$588,'TAR FIN'!$A$1:$O$95,15,0))</f>
        <v>0</v>
      </c>
      <c r="W588" s="6">
        <f>IF(ISERROR(VLOOKUP($T$588,'TAR FIN'!$A$1:$O$95,15,0)),0,VLOOKUP($T$588,'TAR FIN'!$A$1:$O$95,15,0))</f>
        <v>252.24</v>
      </c>
      <c r="X588" s="6">
        <f>IF(ISERROR(VLOOKUP($U$588,'TAR FIN'!$A$1:$O$95,15,0)),0,VLOOKUP($U$588,'TAR FIN'!$A$1:$O$95,15,0))</f>
        <v>145.97999999999999</v>
      </c>
      <c r="Y588" s="6"/>
      <c r="Z588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88" s="6">
        <f>('TE BE'!$AA$15+'TE BF'!$AA$15+'TE CVA'!$AA$15)*(1-CUSTOS!$M$35)</f>
        <v>178.32099824078242</v>
      </c>
      <c r="AB588" s="6">
        <f t="shared" si="24"/>
        <v>0</v>
      </c>
      <c r="AC588" s="6">
        <f>(L588-M588)*(W588+X588)+($W$660+$X$660-$W$588-$X$588)*(L588)</f>
        <v>972280.42389000009</v>
      </c>
      <c r="AD588" s="6">
        <f t="shared" si="25"/>
        <v>0</v>
      </c>
      <c r="AE588" s="6">
        <f ca="1">(L588-M588)*(Z588+AA588)+($Z$660+$AA$660-$Z$588-$AA$588)*(L588)</f>
        <v>1109353.9241879194</v>
      </c>
      <c r="AF588" s="4" t="s">
        <v>845</v>
      </c>
    </row>
    <row r="589" spans="1:32" ht="11.25" customHeight="1" x14ac:dyDescent="0.25">
      <c r="A589" s="4" t="s">
        <v>27</v>
      </c>
      <c r="B589" s="4" t="s">
        <v>22</v>
      </c>
      <c r="C589" s="4" t="s">
        <v>23</v>
      </c>
      <c r="D589" s="4" t="s">
        <v>24</v>
      </c>
      <c r="E589" s="4" t="s">
        <v>32</v>
      </c>
      <c r="F589" s="4" t="s">
        <v>25</v>
      </c>
      <c r="G589" s="4" t="s">
        <v>25</v>
      </c>
      <c r="H589" s="4" t="s">
        <v>25</v>
      </c>
      <c r="I589" s="5">
        <v>44409</v>
      </c>
      <c r="J589" s="6">
        <v>0</v>
      </c>
      <c r="K589" s="6">
        <v>0</v>
      </c>
      <c r="L589" s="6">
        <v>-13.510999999999999</v>
      </c>
      <c r="M589" s="6">
        <v>-13.510999999999999</v>
      </c>
      <c r="N589" s="6">
        <v>-13.510999999999999</v>
      </c>
      <c r="O589" s="6">
        <v>-13.510999999999999</v>
      </c>
      <c r="P589" s="6">
        <v>0</v>
      </c>
      <c r="Q589" s="4" t="s">
        <v>26</v>
      </c>
      <c r="R589" s="4">
        <v>0</v>
      </c>
      <c r="S589" s="4">
        <v>0</v>
      </c>
      <c r="T589" s="4">
        <v>10</v>
      </c>
      <c r="U589" s="4">
        <v>60</v>
      </c>
      <c r="V589" s="6">
        <f>IF(ISERROR(VLOOKUP($S$589,'TAR FIN'!$A$1:$O$95,15,0)),0,VLOOKUP($S$589,'TAR FIN'!$A$1:$O$95,15,0))</f>
        <v>0</v>
      </c>
      <c r="W589" s="6">
        <f>IF(ISERROR(VLOOKUP($T$589,'TAR FIN'!$A$1:$O$95,15,0)),0,VLOOKUP($T$589,'TAR FIN'!$A$1:$O$95,15,0))</f>
        <v>252.24</v>
      </c>
      <c r="X589" s="6">
        <f>IF(ISERROR(VLOOKUP($U$589,'TAR FIN'!$A$1:$O$95,15,0)),0,VLOOKUP($U$589,'TAR FIN'!$A$1:$O$95,15,0))</f>
        <v>145.97999999999999</v>
      </c>
      <c r="Y589" s="6"/>
      <c r="Z589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89" s="6">
        <f>('TE BE'!$AA$15+'TE BF'!$AA$15+'TE CVA'!$AA$15)*(1-CUSTOS!$M$35)</f>
        <v>178.32099824078242</v>
      </c>
      <c r="AB589" s="6">
        <f t="shared" si="24"/>
        <v>0</v>
      </c>
      <c r="AC589" s="6">
        <f>(L589-M589)*(W589+X589)+($W$660+$X$660-$W$589-$X$589)*(L589)</f>
        <v>-3586.7651700000001</v>
      </c>
      <c r="AD589" s="6">
        <f t="shared" si="25"/>
        <v>0</v>
      </c>
      <c r="AE589" s="6">
        <f ca="1">(L589-M589)*(Z589+AA589)+($Z$660+$AA$660-$Z$589-$AA$589)*(L589)</f>
        <v>-4092.4325109421488</v>
      </c>
      <c r="AF589" s="4" t="s">
        <v>845</v>
      </c>
    </row>
    <row r="590" spans="1:32" ht="11.25" customHeight="1" x14ac:dyDescent="0.25">
      <c r="A590" s="4" t="s">
        <v>28</v>
      </c>
      <c r="B590" s="4" t="s">
        <v>22</v>
      </c>
      <c r="C590" s="4" t="s">
        <v>23</v>
      </c>
      <c r="D590" s="4" t="s">
        <v>24</v>
      </c>
      <c r="E590" s="4" t="s">
        <v>32</v>
      </c>
      <c r="F590" s="4" t="s">
        <v>25</v>
      </c>
      <c r="G590" s="4" t="s">
        <v>25</v>
      </c>
      <c r="H590" s="4" t="s">
        <v>25</v>
      </c>
      <c r="I590" s="5">
        <v>44409</v>
      </c>
      <c r="J590" s="6">
        <v>0</v>
      </c>
      <c r="K590" s="6">
        <v>0</v>
      </c>
      <c r="L590" s="6">
        <v>6236.8689999999997</v>
      </c>
      <c r="M590" s="6">
        <v>6236.8689999999997</v>
      </c>
      <c r="N590" s="6">
        <v>6236.8689999999997</v>
      </c>
      <c r="O590" s="6">
        <v>6236.8689999999997</v>
      </c>
      <c r="P590" s="6">
        <v>31415</v>
      </c>
      <c r="Q590" s="4" t="s">
        <v>26</v>
      </c>
      <c r="R590" s="4">
        <v>0</v>
      </c>
      <c r="S590" s="4">
        <v>0</v>
      </c>
      <c r="T590" s="4">
        <v>10</v>
      </c>
      <c r="U590" s="4">
        <v>60</v>
      </c>
      <c r="V590" s="6">
        <f>IF(ISERROR(VLOOKUP($S$590,'TAR FIN'!$A$1:$O$95,15,0)),0,VLOOKUP($S$590,'TAR FIN'!$A$1:$O$95,15,0))</f>
        <v>0</v>
      </c>
      <c r="W590" s="6">
        <f>IF(ISERROR(VLOOKUP($T$590,'TAR FIN'!$A$1:$O$95,15,0)),0,VLOOKUP($T$590,'TAR FIN'!$A$1:$O$95,15,0))</f>
        <v>252.24</v>
      </c>
      <c r="X590" s="6">
        <f>IF(ISERROR(VLOOKUP($U$590,'TAR FIN'!$A$1:$O$95,15,0)),0,VLOOKUP($U$590,'TAR FIN'!$A$1:$O$95,15,0))</f>
        <v>145.97999999999999</v>
      </c>
      <c r="Y590" s="6"/>
      <c r="Z590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90" s="6">
        <f>('TE BE'!$AA$15+'TE BF'!$AA$15+'TE CVA'!$AA$15)*(1-CUSTOS!$M$35)</f>
        <v>178.32099824078242</v>
      </c>
      <c r="AB590" s="6">
        <f t="shared" si="24"/>
        <v>0</v>
      </c>
      <c r="AC590" s="6">
        <f>(L590-M590)*(W590+X590)+($W$660+$X$660-$W$590-$X$590)*(L590)</f>
        <v>1655701.6134300001</v>
      </c>
      <c r="AD590" s="6">
        <f t="shared" si="25"/>
        <v>0</v>
      </c>
      <c r="AE590" s="6">
        <f ca="1">(L590-M590)*(Z590+AA590)+($Z$660+$AA$660-$Z$590-$AA$590)*(L590)</f>
        <v>1889124.821411239</v>
      </c>
      <c r="AF590" s="4" t="s">
        <v>845</v>
      </c>
    </row>
    <row r="591" spans="1:32" ht="11.25" customHeight="1" x14ac:dyDescent="0.25">
      <c r="A591" s="4" t="s">
        <v>29</v>
      </c>
      <c r="B591" s="4" t="s">
        <v>22</v>
      </c>
      <c r="C591" s="4" t="s">
        <v>23</v>
      </c>
      <c r="D591" s="4" t="s">
        <v>24</v>
      </c>
      <c r="E591" s="4" t="s">
        <v>32</v>
      </c>
      <c r="F591" s="4" t="s">
        <v>25</v>
      </c>
      <c r="G591" s="4" t="s">
        <v>25</v>
      </c>
      <c r="H591" s="4" t="s">
        <v>25</v>
      </c>
      <c r="I591" s="5">
        <v>44409</v>
      </c>
      <c r="J591" s="6">
        <v>0</v>
      </c>
      <c r="K591" s="6">
        <v>0</v>
      </c>
      <c r="L591" s="6">
        <v>-12.356</v>
      </c>
      <c r="M591" s="6">
        <v>-12.356</v>
      </c>
      <c r="N591" s="6">
        <v>-12.356</v>
      </c>
      <c r="O591" s="6">
        <v>-12.356</v>
      </c>
      <c r="P591" s="6">
        <v>0</v>
      </c>
      <c r="Q591" s="4" t="s">
        <v>26</v>
      </c>
      <c r="R591" s="4">
        <v>0</v>
      </c>
      <c r="S591" s="4">
        <v>0</v>
      </c>
      <c r="T591" s="4">
        <v>10</v>
      </c>
      <c r="U591" s="4">
        <v>60</v>
      </c>
      <c r="V591" s="6">
        <f>IF(ISERROR(VLOOKUP($S$591,'TAR FIN'!$A$1:$O$95,15,0)),0,VLOOKUP($S$591,'TAR FIN'!$A$1:$O$95,15,0))</f>
        <v>0</v>
      </c>
      <c r="W591" s="6">
        <f>IF(ISERROR(VLOOKUP($T$591,'TAR FIN'!$A$1:$O$95,15,0)),0,VLOOKUP($T$591,'TAR FIN'!$A$1:$O$95,15,0))</f>
        <v>252.24</v>
      </c>
      <c r="X591" s="6">
        <f>IF(ISERROR(VLOOKUP($U$591,'TAR FIN'!$A$1:$O$95,15,0)),0,VLOOKUP($U$591,'TAR FIN'!$A$1:$O$95,15,0))</f>
        <v>145.97999999999999</v>
      </c>
      <c r="Y591" s="6"/>
      <c r="Z591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91" s="6">
        <f>('TE BE'!$AA$15+'TE BF'!$AA$15+'TE CVA'!$AA$15)*(1-CUSTOS!$M$35)</f>
        <v>178.32099824078242</v>
      </c>
      <c r="AB591" s="6">
        <f t="shared" si="24"/>
        <v>0</v>
      </c>
      <c r="AC591" s="6">
        <f>(L591-M591)*(W591+X591)+($W$660+$X$660-$W$591-$X$591)*(L591)</f>
        <v>-3280.1473200000005</v>
      </c>
      <c r="AD591" s="6">
        <f t="shared" si="25"/>
        <v>0</v>
      </c>
      <c r="AE591" s="6">
        <f ca="1">(L591-M591)*(Z591+AA591)+($Z$660+$AA$660-$Z$591-$AA$591)*(L591)</f>
        <v>-3742.5872330102284</v>
      </c>
      <c r="AF591" s="4" t="s">
        <v>845</v>
      </c>
    </row>
    <row r="592" spans="1:32" ht="11.25" customHeight="1" x14ac:dyDescent="0.25">
      <c r="A592" s="4" t="s">
        <v>30</v>
      </c>
      <c r="B592" s="4" t="s">
        <v>22</v>
      </c>
      <c r="C592" s="4" t="s">
        <v>23</v>
      </c>
      <c r="D592" s="4" t="s">
        <v>24</v>
      </c>
      <c r="E592" s="4" t="s">
        <v>32</v>
      </c>
      <c r="F592" s="4" t="s">
        <v>25</v>
      </c>
      <c r="G592" s="4" t="s">
        <v>25</v>
      </c>
      <c r="H592" s="4" t="s">
        <v>25</v>
      </c>
      <c r="I592" s="5">
        <v>44409</v>
      </c>
      <c r="J592" s="6">
        <v>0</v>
      </c>
      <c r="K592" s="6">
        <v>0</v>
      </c>
      <c r="L592" s="6">
        <v>0.59</v>
      </c>
      <c r="M592" s="6">
        <v>0.59</v>
      </c>
      <c r="N592" s="6">
        <v>0.59</v>
      </c>
      <c r="O592" s="6">
        <v>0.59</v>
      </c>
      <c r="P592" s="6">
        <v>0</v>
      </c>
      <c r="Q592" s="4" t="s">
        <v>26</v>
      </c>
      <c r="R592" s="4">
        <v>0</v>
      </c>
      <c r="S592" s="4">
        <v>0</v>
      </c>
      <c r="T592" s="4">
        <v>10</v>
      </c>
      <c r="U592" s="4">
        <v>60</v>
      </c>
      <c r="V592" s="6">
        <f>IF(ISERROR(VLOOKUP($S$592,'TAR FIN'!$A$1:$O$95,15,0)),0,VLOOKUP($S$592,'TAR FIN'!$A$1:$O$95,15,0))</f>
        <v>0</v>
      </c>
      <c r="W592" s="6">
        <f>IF(ISERROR(VLOOKUP($T$592,'TAR FIN'!$A$1:$O$95,15,0)),0,VLOOKUP($T$592,'TAR FIN'!$A$1:$O$95,15,0))</f>
        <v>252.24</v>
      </c>
      <c r="X592" s="6">
        <f>IF(ISERROR(VLOOKUP($U$592,'TAR FIN'!$A$1:$O$95,15,0)),0,VLOOKUP($U$592,'TAR FIN'!$A$1:$O$95,15,0))</f>
        <v>145.97999999999999</v>
      </c>
      <c r="Y592" s="6"/>
      <c r="Z592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92" s="6">
        <f>('TE BE'!$AA$15+'TE BF'!$AA$15+'TE CVA'!$AA$15)*(1-CUSTOS!$M$35)</f>
        <v>178.32099824078242</v>
      </c>
      <c r="AB592" s="6">
        <f t="shared" si="24"/>
        <v>0</v>
      </c>
      <c r="AC592" s="6">
        <f>(L592-M592)*(W592+X592)+($W$660+$X$660-$W$592-$X$592)*(L592)</f>
        <v>156.62730000000002</v>
      </c>
      <c r="AD592" s="6">
        <f t="shared" si="25"/>
        <v>0</v>
      </c>
      <c r="AE592" s="6">
        <f ca="1">(L592-M592)*(Z592+AA592)+($Z$660+$AA$660-$Z$592-$AA$592)*(L592)</f>
        <v>178.70884327258293</v>
      </c>
      <c r="AF592" s="4" t="s">
        <v>845</v>
      </c>
    </row>
    <row r="593" spans="1:32" ht="11.25" customHeight="1" x14ac:dyDescent="0.25">
      <c r="A593" s="4" t="s">
        <v>21</v>
      </c>
      <c r="B593" s="4" t="s">
        <v>22</v>
      </c>
      <c r="C593" s="4" t="s">
        <v>23</v>
      </c>
      <c r="D593" s="4" t="s">
        <v>24</v>
      </c>
      <c r="E593" s="4" t="s">
        <v>32</v>
      </c>
      <c r="F593" s="4" t="s">
        <v>25</v>
      </c>
      <c r="G593" s="4" t="s">
        <v>25</v>
      </c>
      <c r="H593" s="4" t="s">
        <v>25</v>
      </c>
      <c r="I593" s="5">
        <v>44440</v>
      </c>
      <c r="J593" s="6">
        <v>0</v>
      </c>
      <c r="K593" s="6">
        <v>0</v>
      </c>
      <c r="L593" s="6">
        <v>3683.6120000000001</v>
      </c>
      <c r="M593" s="6">
        <v>3683.6120000000001</v>
      </c>
      <c r="N593" s="6">
        <v>3683.6120000000001</v>
      </c>
      <c r="O593" s="6">
        <v>3683.6120000000001</v>
      </c>
      <c r="P593" s="6">
        <v>15119</v>
      </c>
      <c r="Q593" s="4" t="s">
        <v>26</v>
      </c>
      <c r="R593" s="4">
        <v>0</v>
      </c>
      <c r="S593" s="4">
        <v>0</v>
      </c>
      <c r="T593" s="4">
        <v>10</v>
      </c>
      <c r="U593" s="4">
        <v>60</v>
      </c>
      <c r="V593" s="6">
        <f>IF(ISERROR(VLOOKUP($S$593,'TAR FIN'!$A$1:$O$95,15,0)),0,VLOOKUP($S$593,'TAR FIN'!$A$1:$O$95,15,0))</f>
        <v>0</v>
      </c>
      <c r="W593" s="6">
        <f>IF(ISERROR(VLOOKUP($T$593,'TAR FIN'!$A$1:$O$95,15,0)),0,VLOOKUP($T$593,'TAR FIN'!$A$1:$O$95,15,0))</f>
        <v>252.24</v>
      </c>
      <c r="X593" s="6">
        <f>IF(ISERROR(VLOOKUP($U$593,'TAR FIN'!$A$1:$O$95,15,0)),0,VLOOKUP($U$593,'TAR FIN'!$A$1:$O$95,15,0))</f>
        <v>145.97999999999999</v>
      </c>
      <c r="Y593" s="6"/>
      <c r="Z593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93" s="6">
        <f>('TE BE'!$AA$15+'TE BF'!$AA$15+'TE CVA'!$AA$15)*(1-CUSTOS!$M$35)</f>
        <v>178.32099824078242</v>
      </c>
      <c r="AB593" s="6">
        <f t="shared" si="24"/>
        <v>0</v>
      </c>
      <c r="AC593" s="6">
        <f>(L593-M593)*(W593+X593)+($W$660+$X$660-$W$593-$X$593)*(L593)</f>
        <v>977888.47764000017</v>
      </c>
      <c r="AD593" s="6">
        <f t="shared" si="25"/>
        <v>0</v>
      </c>
      <c r="AE593" s="6">
        <f ca="1">(L593-M593)*(Z593+AA593)+($Z$660+$AA$660-$Z$593-$AA$593)*(L593)</f>
        <v>1115752.6094661115</v>
      </c>
      <c r="AF593" s="4" t="s">
        <v>845</v>
      </c>
    </row>
    <row r="594" spans="1:32" ht="11.25" customHeight="1" x14ac:dyDescent="0.25">
      <c r="A594" s="4" t="s">
        <v>27</v>
      </c>
      <c r="B594" s="4" t="s">
        <v>22</v>
      </c>
      <c r="C594" s="4" t="s">
        <v>23</v>
      </c>
      <c r="D594" s="4" t="s">
        <v>24</v>
      </c>
      <c r="E594" s="4" t="s">
        <v>32</v>
      </c>
      <c r="F594" s="4" t="s">
        <v>25</v>
      </c>
      <c r="G594" s="4" t="s">
        <v>25</v>
      </c>
      <c r="H594" s="4" t="s">
        <v>25</v>
      </c>
      <c r="I594" s="5">
        <v>44440</v>
      </c>
      <c r="J594" s="6">
        <v>0</v>
      </c>
      <c r="K594" s="6">
        <v>0</v>
      </c>
      <c r="L594" s="6">
        <v>-8.1210000000000004</v>
      </c>
      <c r="M594" s="6">
        <v>-8.1210000000000004</v>
      </c>
      <c r="N594" s="6">
        <v>-8.1210000000000004</v>
      </c>
      <c r="O594" s="6">
        <v>-8.1210000000000004</v>
      </c>
      <c r="P594" s="6">
        <v>0</v>
      </c>
      <c r="Q594" s="4" t="s">
        <v>26</v>
      </c>
      <c r="R594" s="4">
        <v>0</v>
      </c>
      <c r="S594" s="4">
        <v>0</v>
      </c>
      <c r="T594" s="4">
        <v>10</v>
      </c>
      <c r="U594" s="4">
        <v>60</v>
      </c>
      <c r="V594" s="6">
        <f>IF(ISERROR(VLOOKUP($S$594,'TAR FIN'!$A$1:$O$95,15,0)),0,VLOOKUP($S$594,'TAR FIN'!$A$1:$O$95,15,0))</f>
        <v>0</v>
      </c>
      <c r="W594" s="6">
        <f>IF(ISERROR(VLOOKUP($T$594,'TAR FIN'!$A$1:$O$95,15,0)),0,VLOOKUP($T$594,'TAR FIN'!$A$1:$O$95,15,0))</f>
        <v>252.24</v>
      </c>
      <c r="X594" s="6">
        <f>IF(ISERROR(VLOOKUP($U$594,'TAR FIN'!$A$1:$O$95,15,0)),0,VLOOKUP($U$594,'TAR FIN'!$A$1:$O$95,15,0))</f>
        <v>145.97999999999999</v>
      </c>
      <c r="Y594" s="6"/>
      <c r="Z594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94" s="6">
        <f>('TE BE'!$AA$15+'TE BF'!$AA$15+'TE CVA'!$AA$15)*(1-CUSTOS!$M$35)</f>
        <v>178.32099824078242</v>
      </c>
      <c r="AB594" s="6">
        <f t="shared" si="24"/>
        <v>0</v>
      </c>
      <c r="AC594" s="6">
        <f>(L594-M594)*(W594+X594)+($W$660+$X$660-$W$594-$X$594)*(L594)</f>
        <v>-2155.8818700000002</v>
      </c>
      <c r="AD594" s="6">
        <f t="shared" si="25"/>
        <v>0</v>
      </c>
      <c r="AE594" s="6">
        <f ca="1">(L594-M594)*(Z594+AA594)+($Z$660+$AA$660-$Z$594-$AA$594)*(L594)</f>
        <v>-2459.8212139265188</v>
      </c>
      <c r="AF594" s="4" t="s">
        <v>845</v>
      </c>
    </row>
    <row r="595" spans="1:32" ht="11.25" customHeight="1" x14ac:dyDescent="0.25">
      <c r="A595" s="4" t="s">
        <v>28</v>
      </c>
      <c r="B595" s="4" t="s">
        <v>22</v>
      </c>
      <c r="C595" s="4" t="s">
        <v>23</v>
      </c>
      <c r="D595" s="4" t="s">
        <v>24</v>
      </c>
      <c r="E595" s="4" t="s">
        <v>32</v>
      </c>
      <c r="F595" s="4" t="s">
        <v>25</v>
      </c>
      <c r="G595" s="4" t="s">
        <v>25</v>
      </c>
      <c r="H595" s="4" t="s">
        <v>25</v>
      </c>
      <c r="I595" s="5">
        <v>44440</v>
      </c>
      <c r="J595" s="6">
        <v>0</v>
      </c>
      <c r="K595" s="6">
        <v>0</v>
      </c>
      <c r="L595" s="6">
        <v>6345.0460000000003</v>
      </c>
      <c r="M595" s="6">
        <v>6345.0460000000003</v>
      </c>
      <c r="N595" s="6">
        <v>6345.0460000000003</v>
      </c>
      <c r="O595" s="6">
        <v>6345.0460000000003</v>
      </c>
      <c r="P595" s="6">
        <v>29571</v>
      </c>
      <c r="Q595" s="4" t="s">
        <v>26</v>
      </c>
      <c r="R595" s="4">
        <v>0</v>
      </c>
      <c r="S595" s="4">
        <v>0</v>
      </c>
      <c r="T595" s="4">
        <v>10</v>
      </c>
      <c r="U595" s="4">
        <v>60</v>
      </c>
      <c r="V595" s="6">
        <f>IF(ISERROR(VLOOKUP($S$595,'TAR FIN'!$A$1:$O$95,15,0)),0,VLOOKUP($S$595,'TAR FIN'!$A$1:$O$95,15,0))</f>
        <v>0</v>
      </c>
      <c r="W595" s="6">
        <f>IF(ISERROR(VLOOKUP($T$595,'TAR FIN'!$A$1:$O$95,15,0)),0,VLOOKUP($T$595,'TAR FIN'!$A$1:$O$95,15,0))</f>
        <v>252.24</v>
      </c>
      <c r="X595" s="6">
        <f>IF(ISERROR(VLOOKUP($U$595,'TAR FIN'!$A$1:$O$95,15,0)),0,VLOOKUP($U$595,'TAR FIN'!$A$1:$O$95,15,0))</f>
        <v>145.97999999999999</v>
      </c>
      <c r="Y595" s="6"/>
      <c r="Z595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95" s="6">
        <f>('TE BE'!$AA$15+'TE BF'!$AA$15+'TE CVA'!$AA$15)*(1-CUSTOS!$M$35)</f>
        <v>178.32099824078242</v>
      </c>
      <c r="AB595" s="6">
        <f t="shared" si="24"/>
        <v>0</v>
      </c>
      <c r="AC595" s="6">
        <f>(L595-M595)*(W595+X595)+($W$660+$X$660-$W$595-$X$595)*(L595)</f>
        <v>1684419.3616200003</v>
      </c>
      <c r="AD595" s="6">
        <f t="shared" si="25"/>
        <v>0</v>
      </c>
      <c r="AE595" s="6">
        <f ca="1">(L595-M595)*(Z595+AA595)+($Z$660+$AA$660-$Z$595-$AA$595)*(L595)</f>
        <v>1921891.2392734394</v>
      </c>
      <c r="AF595" s="4" t="s">
        <v>845</v>
      </c>
    </row>
    <row r="596" spans="1:32" ht="11.25" customHeight="1" x14ac:dyDescent="0.25">
      <c r="A596" s="4" t="s">
        <v>29</v>
      </c>
      <c r="B596" s="4" t="s">
        <v>22</v>
      </c>
      <c r="C596" s="4" t="s">
        <v>23</v>
      </c>
      <c r="D596" s="4" t="s">
        <v>24</v>
      </c>
      <c r="E596" s="4" t="s">
        <v>32</v>
      </c>
      <c r="F596" s="4" t="s">
        <v>25</v>
      </c>
      <c r="G596" s="4" t="s">
        <v>25</v>
      </c>
      <c r="H596" s="4" t="s">
        <v>25</v>
      </c>
      <c r="I596" s="5">
        <v>44440</v>
      </c>
      <c r="J596" s="6">
        <v>0</v>
      </c>
      <c r="K596" s="6">
        <v>0</v>
      </c>
      <c r="L596" s="6">
        <v>-8.2929999999999993</v>
      </c>
      <c r="M596" s="6">
        <v>-8.2929999999999993</v>
      </c>
      <c r="N596" s="6">
        <v>-8.2929999999999993</v>
      </c>
      <c r="O596" s="6">
        <v>-8.2929999999999993</v>
      </c>
      <c r="P596" s="6">
        <v>0</v>
      </c>
      <c r="Q596" s="4" t="s">
        <v>26</v>
      </c>
      <c r="R596" s="4">
        <v>0</v>
      </c>
      <c r="S596" s="4">
        <v>0</v>
      </c>
      <c r="T596" s="4">
        <v>10</v>
      </c>
      <c r="U596" s="4">
        <v>60</v>
      </c>
      <c r="V596" s="6">
        <f>IF(ISERROR(VLOOKUP($S$596,'TAR FIN'!$A$1:$O$95,15,0)),0,VLOOKUP($S$596,'TAR FIN'!$A$1:$O$95,15,0))</f>
        <v>0</v>
      </c>
      <c r="W596" s="6">
        <f>IF(ISERROR(VLOOKUP($T$596,'TAR FIN'!$A$1:$O$95,15,0)),0,VLOOKUP($T$596,'TAR FIN'!$A$1:$O$95,15,0))</f>
        <v>252.24</v>
      </c>
      <c r="X596" s="6">
        <f>IF(ISERROR(VLOOKUP($U$596,'TAR FIN'!$A$1:$O$95,15,0)),0,VLOOKUP($U$596,'TAR FIN'!$A$1:$O$95,15,0))</f>
        <v>145.97999999999999</v>
      </c>
      <c r="Y596" s="6"/>
      <c r="Z596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96" s="6">
        <f>('TE BE'!$AA$15+'TE BF'!$AA$15+'TE CVA'!$AA$15)*(1-CUSTOS!$M$35)</f>
        <v>178.32099824078242</v>
      </c>
      <c r="AB596" s="6">
        <f t="shared" si="24"/>
        <v>0</v>
      </c>
      <c r="AC596" s="6">
        <f>(L596-M596)*(W596+X596)+($W$660+$X$660-$W$596-$X$596)*(L596)</f>
        <v>-2201.5427100000002</v>
      </c>
      <c r="AD596" s="6">
        <f t="shared" si="25"/>
        <v>0</v>
      </c>
      <c r="AE596" s="6">
        <f ca="1">(L596-M596)*(Z596+AA596)+($Z$660+$AA$660-$Z$596-$AA$596)*(L596)</f>
        <v>-2511.9193851856444</v>
      </c>
      <c r="AF596" s="4" t="s">
        <v>845</v>
      </c>
    </row>
    <row r="597" spans="1:32" ht="11.25" customHeight="1" x14ac:dyDescent="0.25">
      <c r="A597" s="4" t="s">
        <v>30</v>
      </c>
      <c r="B597" s="4" t="s">
        <v>22</v>
      </c>
      <c r="C597" s="4" t="s">
        <v>23</v>
      </c>
      <c r="D597" s="4" t="s">
        <v>24</v>
      </c>
      <c r="E597" s="4" t="s">
        <v>32</v>
      </c>
      <c r="F597" s="4" t="s">
        <v>25</v>
      </c>
      <c r="G597" s="4" t="s">
        <v>25</v>
      </c>
      <c r="H597" s="4" t="s">
        <v>25</v>
      </c>
      <c r="I597" s="5">
        <v>44440</v>
      </c>
      <c r="J597" s="6">
        <v>0</v>
      </c>
      <c r="K597" s="6">
        <v>0</v>
      </c>
      <c r="L597" s="6">
        <v>0.64100000000000001</v>
      </c>
      <c r="M597" s="6">
        <v>0.64100000000000001</v>
      </c>
      <c r="N597" s="6">
        <v>0.64100000000000001</v>
      </c>
      <c r="O597" s="6">
        <v>0.64100000000000001</v>
      </c>
      <c r="P597" s="6">
        <v>0</v>
      </c>
      <c r="Q597" s="4" t="s">
        <v>26</v>
      </c>
      <c r="R597" s="4">
        <v>0</v>
      </c>
      <c r="S597" s="4">
        <v>0</v>
      </c>
      <c r="T597" s="4">
        <v>10</v>
      </c>
      <c r="U597" s="4">
        <v>60</v>
      </c>
      <c r="V597" s="6">
        <f>IF(ISERROR(VLOOKUP($S$597,'TAR FIN'!$A$1:$O$95,15,0)),0,VLOOKUP($S$597,'TAR FIN'!$A$1:$O$95,15,0))</f>
        <v>0</v>
      </c>
      <c r="W597" s="6">
        <f>IF(ISERROR(VLOOKUP($T$597,'TAR FIN'!$A$1:$O$95,15,0)),0,VLOOKUP($T$597,'TAR FIN'!$A$1:$O$95,15,0))</f>
        <v>252.24</v>
      </c>
      <c r="X597" s="6">
        <f>IF(ISERROR(VLOOKUP($U$597,'TAR FIN'!$A$1:$O$95,15,0)),0,VLOOKUP($U$597,'TAR FIN'!$A$1:$O$95,15,0))</f>
        <v>145.97999999999999</v>
      </c>
      <c r="Y597" s="6"/>
      <c r="Z597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97" s="6">
        <f>('TE BE'!$AA$15+'TE BF'!$AA$15+'TE CVA'!$AA$15)*(1-CUSTOS!$M$35)</f>
        <v>178.32099824078242</v>
      </c>
      <c r="AB597" s="6">
        <f t="shared" si="24"/>
        <v>0</v>
      </c>
      <c r="AC597" s="6">
        <f>(L597-M597)*(W597+X597)+($W$660+$X$660-$W$597-$X$597)*(L597)</f>
        <v>170.16627000000003</v>
      </c>
      <c r="AD597" s="6">
        <f t="shared" si="25"/>
        <v>0</v>
      </c>
      <c r="AE597" s="6">
        <f ca="1">(L597-M597)*(Z597+AA597)+($Z$660+$AA$660-$Z$597-$AA$597)*(L597)</f>
        <v>194.15655684360283</v>
      </c>
      <c r="AF597" s="4" t="s">
        <v>845</v>
      </c>
    </row>
    <row r="598" spans="1:32" ht="11.25" customHeight="1" x14ac:dyDescent="0.25">
      <c r="A598" s="4" t="s">
        <v>59</v>
      </c>
      <c r="B598" s="4" t="s">
        <v>22</v>
      </c>
      <c r="C598" s="4" t="s">
        <v>23</v>
      </c>
      <c r="D598" s="4" t="s">
        <v>24</v>
      </c>
      <c r="E598" s="4" t="s">
        <v>32</v>
      </c>
      <c r="F598" s="4" t="s">
        <v>25</v>
      </c>
      <c r="G598" s="4" t="s">
        <v>25</v>
      </c>
      <c r="H598" s="4" t="s">
        <v>25</v>
      </c>
      <c r="I598" s="5">
        <v>44470</v>
      </c>
      <c r="J598" s="6">
        <v>0</v>
      </c>
      <c r="K598" s="6">
        <v>0</v>
      </c>
      <c r="L598" s="6">
        <v>3683.6120000000001</v>
      </c>
      <c r="M598" s="6">
        <v>3683.6120000000001</v>
      </c>
      <c r="N598" s="6">
        <v>3683.6120000000001</v>
      </c>
      <c r="O598" s="6">
        <v>3683.6120000000001</v>
      </c>
      <c r="P598" s="6">
        <v>15119</v>
      </c>
      <c r="Q598" s="4" t="s">
        <v>26</v>
      </c>
      <c r="R598" s="4">
        <v>0</v>
      </c>
      <c r="S598" s="4">
        <v>0</v>
      </c>
      <c r="T598" s="4">
        <v>10</v>
      </c>
      <c r="U598" s="4">
        <v>60</v>
      </c>
      <c r="V598" s="6">
        <f>IF(ISERROR(VLOOKUP($S$598,'TAR FIN'!$A$1:$O$95,15,0)),0,VLOOKUP($S$598,'TAR FIN'!$A$1:$O$95,15,0))</f>
        <v>0</v>
      </c>
      <c r="W598" s="6">
        <f>IF(ISERROR(VLOOKUP($T$598,'TAR FIN'!$A$1:$O$95,15,0)),0,VLOOKUP($T$598,'TAR FIN'!$A$1:$O$95,15,0))</f>
        <v>252.24</v>
      </c>
      <c r="X598" s="6">
        <f>IF(ISERROR(VLOOKUP($U$598,'TAR FIN'!$A$1:$O$95,15,0)),0,VLOOKUP($U$598,'TAR FIN'!$A$1:$O$95,15,0))</f>
        <v>145.97999999999999</v>
      </c>
      <c r="Y598" s="6"/>
      <c r="Z598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98" s="6">
        <f>('TE BE'!$AA$15+'TE BF'!$AA$15+'TE CVA'!$AA$15)*(1-CUSTOS!$M$35)</f>
        <v>178.32099824078242</v>
      </c>
      <c r="AB598" s="6">
        <f t="shared" si="24"/>
        <v>0</v>
      </c>
      <c r="AC598" s="6">
        <f>(L598-M598)*(W598+X598)+($W$660+$X$660-$W$598-$X$598)*(L598)</f>
        <v>977888.47764000017</v>
      </c>
      <c r="AD598" s="6">
        <f t="shared" si="25"/>
        <v>0</v>
      </c>
      <c r="AE598" s="6">
        <f ca="1">(L598-M598)*(Z598+AA598)+($Z$660+$AA$660-$Z$598-$AA$598)*(L598)</f>
        <v>1115752.6094661115</v>
      </c>
      <c r="AF598" s="4" t="s">
        <v>845</v>
      </c>
    </row>
    <row r="599" spans="1:32" ht="11.25" customHeight="1" x14ac:dyDescent="0.25">
      <c r="A599" s="4" t="s">
        <v>59</v>
      </c>
      <c r="B599" s="4" t="s">
        <v>22</v>
      </c>
      <c r="C599" s="4" t="s">
        <v>23</v>
      </c>
      <c r="D599" s="4" t="s">
        <v>24</v>
      </c>
      <c r="E599" s="4" t="s">
        <v>32</v>
      </c>
      <c r="F599" s="4" t="s">
        <v>25</v>
      </c>
      <c r="G599" s="4" t="s">
        <v>25</v>
      </c>
      <c r="H599" s="4" t="s">
        <v>25</v>
      </c>
      <c r="I599" s="5">
        <v>44470</v>
      </c>
      <c r="J599" s="6">
        <v>0</v>
      </c>
      <c r="K599" s="6">
        <v>0</v>
      </c>
      <c r="L599" s="6">
        <v>-8.1210000000000004</v>
      </c>
      <c r="M599" s="6">
        <v>-8.1210000000000004</v>
      </c>
      <c r="N599" s="6">
        <v>-8.1210000000000004</v>
      </c>
      <c r="O599" s="6">
        <v>-8.1210000000000004</v>
      </c>
      <c r="P599" s="6">
        <v>0</v>
      </c>
      <c r="Q599" s="4" t="s">
        <v>26</v>
      </c>
      <c r="R599" s="4">
        <v>0</v>
      </c>
      <c r="S599" s="4">
        <v>0</v>
      </c>
      <c r="T599" s="4">
        <v>10</v>
      </c>
      <c r="U599" s="4">
        <v>60</v>
      </c>
      <c r="V599" s="6">
        <f>IF(ISERROR(VLOOKUP($S$599,'TAR FIN'!$A$1:$O$95,15,0)),0,VLOOKUP($S$599,'TAR FIN'!$A$1:$O$95,15,0))</f>
        <v>0</v>
      </c>
      <c r="W599" s="6">
        <f>IF(ISERROR(VLOOKUP($T$599,'TAR FIN'!$A$1:$O$95,15,0)),0,VLOOKUP($T$599,'TAR FIN'!$A$1:$O$95,15,0))</f>
        <v>252.24</v>
      </c>
      <c r="X599" s="6">
        <f>IF(ISERROR(VLOOKUP($U$599,'TAR FIN'!$A$1:$O$95,15,0)),0,VLOOKUP($U$599,'TAR FIN'!$A$1:$O$95,15,0))</f>
        <v>145.97999999999999</v>
      </c>
      <c r="Y599" s="6"/>
      <c r="Z599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599" s="6">
        <f>('TE BE'!$AA$15+'TE BF'!$AA$15+'TE CVA'!$AA$15)*(1-CUSTOS!$M$35)</f>
        <v>178.32099824078242</v>
      </c>
      <c r="AB599" s="6">
        <f t="shared" si="24"/>
        <v>0</v>
      </c>
      <c r="AC599" s="6">
        <f>(L599-M599)*(W599+X599)+($W$660+$X$660-$W$599-$X$599)*(L599)</f>
        <v>-2155.8818700000002</v>
      </c>
      <c r="AD599" s="6">
        <f t="shared" si="25"/>
        <v>0</v>
      </c>
      <c r="AE599" s="6">
        <f ca="1">(L599-M599)*(Z599+AA599)+($Z$660+$AA$660-$Z$599-$AA$599)*(L599)</f>
        <v>-2459.8212139265188</v>
      </c>
      <c r="AF599" s="4" t="s">
        <v>845</v>
      </c>
    </row>
    <row r="600" spans="1:32" ht="11.25" customHeight="1" x14ac:dyDescent="0.25">
      <c r="A600" s="4" t="s">
        <v>59</v>
      </c>
      <c r="B600" s="4" t="s">
        <v>22</v>
      </c>
      <c r="C600" s="4" t="s">
        <v>23</v>
      </c>
      <c r="D600" s="4" t="s">
        <v>24</v>
      </c>
      <c r="E600" s="4" t="s">
        <v>32</v>
      </c>
      <c r="F600" s="4" t="s">
        <v>25</v>
      </c>
      <c r="G600" s="4" t="s">
        <v>25</v>
      </c>
      <c r="H600" s="4" t="s">
        <v>25</v>
      </c>
      <c r="I600" s="5">
        <v>44470</v>
      </c>
      <c r="J600" s="6">
        <v>0</v>
      </c>
      <c r="K600" s="6">
        <v>0</v>
      </c>
      <c r="L600" s="6">
        <v>6345.0460000000003</v>
      </c>
      <c r="M600" s="6">
        <v>6345.0460000000003</v>
      </c>
      <c r="N600" s="6">
        <v>6345.0460000000003</v>
      </c>
      <c r="O600" s="6">
        <v>6345.0460000000003</v>
      </c>
      <c r="P600" s="6">
        <v>29571</v>
      </c>
      <c r="Q600" s="4" t="s">
        <v>26</v>
      </c>
      <c r="R600" s="4">
        <v>0</v>
      </c>
      <c r="S600" s="4">
        <v>0</v>
      </c>
      <c r="T600" s="4">
        <v>10</v>
      </c>
      <c r="U600" s="4">
        <v>60</v>
      </c>
      <c r="V600" s="6">
        <f>IF(ISERROR(VLOOKUP($S$600,'TAR FIN'!$A$1:$O$95,15,0)),0,VLOOKUP($S$600,'TAR FIN'!$A$1:$O$95,15,0))</f>
        <v>0</v>
      </c>
      <c r="W600" s="6">
        <f>IF(ISERROR(VLOOKUP($T$600,'TAR FIN'!$A$1:$O$95,15,0)),0,VLOOKUP($T$600,'TAR FIN'!$A$1:$O$95,15,0))</f>
        <v>252.24</v>
      </c>
      <c r="X600" s="6">
        <f>IF(ISERROR(VLOOKUP($U$600,'TAR FIN'!$A$1:$O$95,15,0)),0,VLOOKUP($U$600,'TAR FIN'!$A$1:$O$95,15,0))</f>
        <v>145.97999999999999</v>
      </c>
      <c r="Y600" s="6"/>
      <c r="Z600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600" s="6">
        <f>('TE BE'!$AA$15+'TE BF'!$AA$15+'TE CVA'!$AA$15)*(1-CUSTOS!$M$35)</f>
        <v>178.32099824078242</v>
      </c>
      <c r="AB600" s="6">
        <f t="shared" si="24"/>
        <v>0</v>
      </c>
      <c r="AC600" s="6">
        <f>(L600-M600)*(W600+X600)+($W$660+$X$660-$W$600-$X$600)*(L600)</f>
        <v>1684419.3616200003</v>
      </c>
      <c r="AD600" s="6">
        <f t="shared" si="25"/>
        <v>0</v>
      </c>
      <c r="AE600" s="6">
        <f ca="1">(L600-M600)*(Z600+AA600)+($Z$660+$AA$660-$Z$600-$AA$600)*(L600)</f>
        <v>1921891.2392734394</v>
      </c>
      <c r="AF600" s="4" t="s">
        <v>845</v>
      </c>
    </row>
    <row r="601" spans="1:32" ht="11.25" customHeight="1" x14ac:dyDescent="0.25">
      <c r="A601" s="4" t="s">
        <v>59</v>
      </c>
      <c r="B601" s="4" t="s">
        <v>22</v>
      </c>
      <c r="C601" s="4" t="s">
        <v>23</v>
      </c>
      <c r="D601" s="4" t="s">
        <v>24</v>
      </c>
      <c r="E601" s="4" t="s">
        <v>32</v>
      </c>
      <c r="F601" s="4" t="s">
        <v>25</v>
      </c>
      <c r="G601" s="4" t="s">
        <v>25</v>
      </c>
      <c r="H601" s="4" t="s">
        <v>25</v>
      </c>
      <c r="I601" s="5">
        <v>44470</v>
      </c>
      <c r="J601" s="6">
        <v>0</v>
      </c>
      <c r="K601" s="6">
        <v>0</v>
      </c>
      <c r="L601" s="6">
        <v>-8.2929999999999993</v>
      </c>
      <c r="M601" s="6">
        <v>-8.2929999999999993</v>
      </c>
      <c r="N601" s="6">
        <v>-8.2929999999999993</v>
      </c>
      <c r="O601" s="6">
        <v>-8.2929999999999993</v>
      </c>
      <c r="P601" s="6">
        <v>0</v>
      </c>
      <c r="Q601" s="4" t="s">
        <v>26</v>
      </c>
      <c r="R601" s="4">
        <v>0</v>
      </c>
      <c r="S601" s="4">
        <v>0</v>
      </c>
      <c r="T601" s="4">
        <v>10</v>
      </c>
      <c r="U601" s="4">
        <v>60</v>
      </c>
      <c r="V601" s="6">
        <f>IF(ISERROR(VLOOKUP($S$601,'TAR FIN'!$A$1:$O$95,15,0)),0,VLOOKUP($S$601,'TAR FIN'!$A$1:$O$95,15,0))</f>
        <v>0</v>
      </c>
      <c r="W601" s="6">
        <f>IF(ISERROR(VLOOKUP($T$601,'TAR FIN'!$A$1:$O$95,15,0)),0,VLOOKUP($T$601,'TAR FIN'!$A$1:$O$95,15,0))</f>
        <v>252.24</v>
      </c>
      <c r="X601" s="6">
        <f>IF(ISERROR(VLOOKUP($U$601,'TAR FIN'!$A$1:$O$95,15,0)),0,VLOOKUP($U$601,'TAR FIN'!$A$1:$O$95,15,0))</f>
        <v>145.97999999999999</v>
      </c>
      <c r="Y601" s="6"/>
      <c r="Z601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601" s="6">
        <f>('TE BE'!$AA$15+'TE BF'!$AA$15+'TE CVA'!$AA$15)*(1-CUSTOS!$M$35)</f>
        <v>178.32099824078242</v>
      </c>
      <c r="AB601" s="6">
        <f t="shared" si="24"/>
        <v>0</v>
      </c>
      <c r="AC601" s="6">
        <f>(L601-M601)*(W601+X601)+($W$660+$X$660-$W$601-$X$601)*(L601)</f>
        <v>-2201.5427100000002</v>
      </c>
      <c r="AD601" s="6">
        <f t="shared" si="25"/>
        <v>0</v>
      </c>
      <c r="AE601" s="6">
        <f ca="1">(L601-M601)*(Z601+AA601)+($Z$660+$AA$660-$Z$601-$AA$601)*(L601)</f>
        <v>-2511.9193851856444</v>
      </c>
      <c r="AF601" s="4" t="s">
        <v>845</v>
      </c>
    </row>
    <row r="602" spans="1:32" ht="11.25" customHeight="1" x14ac:dyDescent="0.25">
      <c r="A602" s="4" t="s">
        <v>59</v>
      </c>
      <c r="B602" s="4" t="s">
        <v>22</v>
      </c>
      <c r="C602" s="4" t="s">
        <v>23</v>
      </c>
      <c r="D602" s="4" t="s">
        <v>24</v>
      </c>
      <c r="E602" s="4" t="s">
        <v>32</v>
      </c>
      <c r="F602" s="4" t="s">
        <v>25</v>
      </c>
      <c r="G602" s="4" t="s">
        <v>25</v>
      </c>
      <c r="H602" s="4" t="s">
        <v>25</v>
      </c>
      <c r="I602" s="5">
        <v>44470</v>
      </c>
      <c r="J602" s="6">
        <v>0</v>
      </c>
      <c r="K602" s="6">
        <v>0</v>
      </c>
      <c r="L602" s="6">
        <v>0.64100000000000001</v>
      </c>
      <c r="M602" s="6">
        <v>0.64100000000000001</v>
      </c>
      <c r="N602" s="6">
        <v>0.64100000000000001</v>
      </c>
      <c r="O602" s="6">
        <v>0.64100000000000001</v>
      </c>
      <c r="P602" s="6">
        <v>0</v>
      </c>
      <c r="Q602" s="4" t="s">
        <v>26</v>
      </c>
      <c r="R602" s="4">
        <v>0</v>
      </c>
      <c r="S602" s="4">
        <v>0</v>
      </c>
      <c r="T602" s="4">
        <v>10</v>
      </c>
      <c r="U602" s="4">
        <v>60</v>
      </c>
      <c r="V602" s="6">
        <f>IF(ISERROR(VLOOKUP($S$602,'TAR FIN'!$A$1:$O$95,15,0)),0,VLOOKUP($S$602,'TAR FIN'!$A$1:$O$95,15,0))</f>
        <v>0</v>
      </c>
      <c r="W602" s="6">
        <f>IF(ISERROR(VLOOKUP($T$602,'TAR FIN'!$A$1:$O$95,15,0)),0,VLOOKUP($T$602,'TAR FIN'!$A$1:$O$95,15,0))</f>
        <v>252.24</v>
      </c>
      <c r="X602" s="6">
        <f>IF(ISERROR(VLOOKUP($U$602,'TAR FIN'!$A$1:$O$95,15,0)),0,VLOOKUP($U$602,'TAR FIN'!$A$1:$O$95,15,0))</f>
        <v>145.97999999999999</v>
      </c>
      <c r="Y602" s="6"/>
      <c r="Z602" s="6">
        <f ca="1">('TUSD BE'!$AM$27+'TUSD BF'!$AM$27+'TUSD CVA'!$AM$27-('TUSD BE'!$P$27+'TUSD BF'!$P$27+'TUSD CVA'!$P$27)-('TUSD BE'!$Q$27+'TUSD BF'!$Q$27+'TUSD CVA'!$Q$27)-('TUSD BE'!$R$27+'TUSD BF'!$R$27+'TUSD CVA'!$R$27))*(1-CUSTOS!$M$35)</f>
        <v>276.02351855392004</v>
      </c>
      <c r="AA602" s="6">
        <f>('TE BE'!$AA$15+'TE BF'!$AA$15+'TE CVA'!$AA$15)*(1-CUSTOS!$M$35)</f>
        <v>178.32099824078242</v>
      </c>
      <c r="AB602" s="6">
        <f t="shared" si="24"/>
        <v>0</v>
      </c>
      <c r="AC602" s="6">
        <f>(L602-M602)*(W602+X602)+($W$660+$X$660-$W$602-$X$602)*(L602)</f>
        <v>170.16627000000003</v>
      </c>
      <c r="AD602" s="6">
        <f t="shared" si="25"/>
        <v>0</v>
      </c>
      <c r="AE602" s="6">
        <f ca="1">(L602-M602)*(Z602+AA602)+($Z$660+$AA$660-$Z$602-$AA$602)*(L602)</f>
        <v>194.15655684360283</v>
      </c>
      <c r="AF602" s="4" t="s">
        <v>845</v>
      </c>
    </row>
    <row r="603" spans="1:32" ht="11.25" customHeight="1" x14ac:dyDescent="0.25">
      <c r="A603" s="4" t="s">
        <v>21</v>
      </c>
      <c r="B603" s="4" t="s">
        <v>22</v>
      </c>
      <c r="C603" s="4" t="s">
        <v>23</v>
      </c>
      <c r="D603" s="4" t="s">
        <v>24</v>
      </c>
      <c r="E603" s="4" t="s">
        <v>33</v>
      </c>
      <c r="F603" s="4" t="s">
        <v>25</v>
      </c>
      <c r="G603" s="4" t="s">
        <v>25</v>
      </c>
      <c r="H603" s="4" t="s">
        <v>25</v>
      </c>
      <c r="I603" s="5">
        <v>44136</v>
      </c>
      <c r="J603" s="6">
        <v>0</v>
      </c>
      <c r="K603" s="6">
        <v>0</v>
      </c>
      <c r="L603" s="6">
        <v>3165.4250000000002</v>
      </c>
      <c r="M603" s="6">
        <v>3165.4250000000002</v>
      </c>
      <c r="N603" s="6">
        <v>3165.4250000000002</v>
      </c>
      <c r="O603" s="6">
        <v>3165.4250000000002</v>
      </c>
      <c r="P603" s="6">
        <v>21718</v>
      </c>
      <c r="Q603" s="4" t="s">
        <v>26</v>
      </c>
      <c r="R603" s="4">
        <v>0</v>
      </c>
      <c r="S603" s="4">
        <v>0</v>
      </c>
      <c r="T603" s="4">
        <v>6</v>
      </c>
      <c r="U603" s="4">
        <v>52</v>
      </c>
      <c r="V603" s="6">
        <f>IF(ISERROR(VLOOKUP($S$603,'TAR FIN'!$A$1:$O$95,15,0)),0,VLOOKUP($S$603,'TAR FIN'!$A$1:$O$95,15,0))</f>
        <v>0</v>
      </c>
      <c r="W603" s="6">
        <f>IF(ISERROR(VLOOKUP($T$603,'TAR FIN'!$A$1:$O$95,15,0)),0,VLOOKUP($T$603,'TAR FIN'!$A$1:$O$95,15,0))</f>
        <v>378.36</v>
      </c>
      <c r="X603" s="6">
        <f>IF(ISERROR(VLOOKUP($U$603,'TAR FIN'!$A$1:$O$95,15,0)),0,VLOOKUP($U$603,'TAR FIN'!$A$1:$O$95,15,0))</f>
        <v>218.97</v>
      </c>
      <c r="Y603" s="6"/>
      <c r="Z603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03" s="6">
        <f>('TE BE'!$AA$16+'TE BF'!$AA$16+'TE CVA'!$AA$16)*(1-CUSTOS!$M$36)</f>
        <v>267.48149736117364</v>
      </c>
      <c r="AB603" s="6">
        <f t="shared" si="24"/>
        <v>0</v>
      </c>
      <c r="AC603" s="6">
        <f>(L603-M603)*(W603+X603)+($W$660+$X$660-$W$603-$X$603)*(L603)</f>
        <v>210057.60300000015</v>
      </c>
      <c r="AD603" s="6">
        <f t="shared" si="25"/>
        <v>0</v>
      </c>
      <c r="AE603" s="6">
        <f ca="1">(L603-M603)*(Z603+AA603)+($Z$660+$AA$660-$Z$603-$AA$603)*(L603)</f>
        <v>239698.91534581181</v>
      </c>
      <c r="AF603" s="4" t="s">
        <v>845</v>
      </c>
    </row>
    <row r="604" spans="1:32" ht="11.25" customHeight="1" x14ac:dyDescent="0.25">
      <c r="A604" s="4" t="s">
        <v>27</v>
      </c>
      <c r="B604" s="4" t="s">
        <v>22</v>
      </c>
      <c r="C604" s="4" t="s">
        <v>23</v>
      </c>
      <c r="D604" s="4" t="s">
        <v>24</v>
      </c>
      <c r="E604" s="4" t="s">
        <v>33</v>
      </c>
      <c r="F604" s="4" t="s">
        <v>25</v>
      </c>
      <c r="G604" s="4" t="s">
        <v>25</v>
      </c>
      <c r="H604" s="4" t="s">
        <v>25</v>
      </c>
      <c r="I604" s="5">
        <v>44136</v>
      </c>
      <c r="J604" s="6">
        <v>0</v>
      </c>
      <c r="K604" s="6">
        <v>0</v>
      </c>
      <c r="L604" s="6">
        <v>-7.7649999999999997</v>
      </c>
      <c r="M604" s="6">
        <v>-7.7649999999999997</v>
      </c>
      <c r="N604" s="6">
        <v>-7.7649999999999997</v>
      </c>
      <c r="O604" s="6">
        <v>-7.7649999999999997</v>
      </c>
      <c r="P604" s="6">
        <v>-33</v>
      </c>
      <c r="Q604" s="4" t="s">
        <v>26</v>
      </c>
      <c r="R604" s="4">
        <v>0</v>
      </c>
      <c r="S604" s="4">
        <v>0</v>
      </c>
      <c r="T604" s="4">
        <v>6</v>
      </c>
      <c r="U604" s="4">
        <v>52</v>
      </c>
      <c r="V604" s="6">
        <f>IF(ISERROR(VLOOKUP($S$604,'TAR FIN'!$A$1:$O$95,15,0)),0,VLOOKUP($S$604,'TAR FIN'!$A$1:$O$95,15,0))</f>
        <v>0</v>
      </c>
      <c r="W604" s="6">
        <f>IF(ISERROR(VLOOKUP($T$604,'TAR FIN'!$A$1:$O$95,15,0)),0,VLOOKUP($T$604,'TAR FIN'!$A$1:$O$95,15,0))</f>
        <v>378.36</v>
      </c>
      <c r="X604" s="6">
        <f>IF(ISERROR(VLOOKUP($U$604,'TAR FIN'!$A$1:$O$95,15,0)),0,VLOOKUP($U$604,'TAR FIN'!$A$1:$O$95,15,0))</f>
        <v>218.97</v>
      </c>
      <c r="Y604" s="6"/>
      <c r="Z604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04" s="6">
        <f>('TE BE'!$AA$16+'TE BF'!$AA$16+'TE CVA'!$AA$16)*(1-CUSTOS!$M$36)</f>
        <v>267.48149736117364</v>
      </c>
      <c r="AB604" s="6">
        <f t="shared" si="24"/>
        <v>0</v>
      </c>
      <c r="AC604" s="6">
        <f>(L604-M604)*(W604+X604)+($W$660+$X$660-$W$604-$X$604)*(L604)</f>
        <v>-515.28540000000032</v>
      </c>
      <c r="AD604" s="6">
        <f t="shared" si="25"/>
        <v>0</v>
      </c>
      <c r="AE604" s="6">
        <f ca="1">(L604-M604)*(Z604+AA604)+($Z$660+$AA$660-$Z$604-$AA$604)*(L604)</f>
        <v>-587.99752881847735</v>
      </c>
      <c r="AF604" s="4" t="s">
        <v>845</v>
      </c>
    </row>
    <row r="605" spans="1:32" ht="11.25" customHeight="1" x14ac:dyDescent="0.25">
      <c r="A605" s="4" t="s">
        <v>28</v>
      </c>
      <c r="B605" s="4" t="s">
        <v>22</v>
      </c>
      <c r="C605" s="4" t="s">
        <v>23</v>
      </c>
      <c r="D605" s="4" t="s">
        <v>24</v>
      </c>
      <c r="E605" s="4" t="s">
        <v>33</v>
      </c>
      <c r="F605" s="4" t="s">
        <v>25</v>
      </c>
      <c r="G605" s="4" t="s">
        <v>25</v>
      </c>
      <c r="H605" s="4" t="s">
        <v>25</v>
      </c>
      <c r="I605" s="5">
        <v>44136</v>
      </c>
      <c r="J605" s="6">
        <v>0</v>
      </c>
      <c r="K605" s="6">
        <v>0</v>
      </c>
      <c r="L605" s="6">
        <v>4861.6059999999998</v>
      </c>
      <c r="M605" s="6">
        <v>4861.6059999999998</v>
      </c>
      <c r="N605" s="6">
        <v>4861.6059999999998</v>
      </c>
      <c r="O605" s="6">
        <v>4861.6059999999998</v>
      </c>
      <c r="P605" s="6">
        <v>43068</v>
      </c>
      <c r="Q605" s="4" t="s">
        <v>26</v>
      </c>
      <c r="R605" s="4">
        <v>0</v>
      </c>
      <c r="S605" s="4">
        <v>0</v>
      </c>
      <c r="T605" s="4">
        <v>6</v>
      </c>
      <c r="U605" s="4">
        <v>52</v>
      </c>
      <c r="V605" s="6">
        <f>IF(ISERROR(VLOOKUP($S$605,'TAR FIN'!$A$1:$O$95,15,0)),0,VLOOKUP($S$605,'TAR FIN'!$A$1:$O$95,15,0))</f>
        <v>0</v>
      </c>
      <c r="W605" s="6">
        <f>IF(ISERROR(VLOOKUP($T$605,'TAR FIN'!$A$1:$O$95,15,0)),0,VLOOKUP($T$605,'TAR FIN'!$A$1:$O$95,15,0))</f>
        <v>378.36</v>
      </c>
      <c r="X605" s="6">
        <f>IF(ISERROR(VLOOKUP($U$605,'TAR FIN'!$A$1:$O$95,15,0)),0,VLOOKUP($U$605,'TAR FIN'!$A$1:$O$95,15,0))</f>
        <v>218.97</v>
      </c>
      <c r="Y605" s="6"/>
      <c r="Z605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05" s="6">
        <f>('TE BE'!$AA$16+'TE BF'!$AA$16+'TE CVA'!$AA$16)*(1-CUSTOS!$M$36)</f>
        <v>267.48149736117364</v>
      </c>
      <c r="AB605" s="6">
        <f t="shared" si="24"/>
        <v>0</v>
      </c>
      <c r="AC605" s="6">
        <f>(L605-M605)*(W605+X605)+($W$660+$X$660-$W$605-$X$605)*(L605)</f>
        <v>322616.17416000017</v>
      </c>
      <c r="AD605" s="6">
        <f t="shared" si="25"/>
        <v>0</v>
      </c>
      <c r="AE605" s="6">
        <f ca="1">(L605-M605)*(Z605+AA605)+($Z$660+$AA$660-$Z$605-$AA$605)*(L605)</f>
        <v>368140.67148603761</v>
      </c>
      <c r="AF605" s="4" t="s">
        <v>845</v>
      </c>
    </row>
    <row r="606" spans="1:32" ht="11.25" customHeight="1" x14ac:dyDescent="0.25">
      <c r="A606" s="4" t="s">
        <v>29</v>
      </c>
      <c r="B606" s="4" t="s">
        <v>22</v>
      </c>
      <c r="C606" s="4" t="s">
        <v>23</v>
      </c>
      <c r="D606" s="4" t="s">
        <v>24</v>
      </c>
      <c r="E606" s="4" t="s">
        <v>33</v>
      </c>
      <c r="F606" s="4" t="s">
        <v>25</v>
      </c>
      <c r="G606" s="4" t="s">
        <v>25</v>
      </c>
      <c r="H606" s="4" t="s">
        <v>25</v>
      </c>
      <c r="I606" s="5">
        <v>44136</v>
      </c>
      <c r="J606" s="6">
        <v>0</v>
      </c>
      <c r="K606" s="6">
        <v>0</v>
      </c>
      <c r="L606" s="6">
        <v>-7.7370000000000001</v>
      </c>
      <c r="M606" s="6">
        <v>-7.7370000000000001</v>
      </c>
      <c r="N606" s="6">
        <v>-7.7370000000000001</v>
      </c>
      <c r="O606" s="6">
        <v>-7.7370000000000001</v>
      </c>
      <c r="P606" s="6">
        <v>-50</v>
      </c>
      <c r="Q606" s="4" t="s">
        <v>26</v>
      </c>
      <c r="R606" s="4">
        <v>0</v>
      </c>
      <c r="S606" s="4">
        <v>0</v>
      </c>
      <c r="T606" s="4">
        <v>6</v>
      </c>
      <c r="U606" s="4">
        <v>52</v>
      </c>
      <c r="V606" s="6">
        <f>IF(ISERROR(VLOOKUP($S$606,'TAR FIN'!$A$1:$O$95,15,0)),0,VLOOKUP($S$606,'TAR FIN'!$A$1:$O$95,15,0))</f>
        <v>0</v>
      </c>
      <c r="W606" s="6">
        <f>IF(ISERROR(VLOOKUP($T$606,'TAR FIN'!$A$1:$O$95,15,0)),0,VLOOKUP($T$606,'TAR FIN'!$A$1:$O$95,15,0))</f>
        <v>378.36</v>
      </c>
      <c r="X606" s="6">
        <f>IF(ISERROR(VLOOKUP($U$606,'TAR FIN'!$A$1:$O$95,15,0)),0,VLOOKUP($U$606,'TAR FIN'!$A$1:$O$95,15,0))</f>
        <v>218.97</v>
      </c>
      <c r="Y606" s="6"/>
      <c r="Z606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06" s="6">
        <f>('TE BE'!$AA$16+'TE BF'!$AA$16+'TE CVA'!$AA$16)*(1-CUSTOS!$M$36)</f>
        <v>267.48149736117364</v>
      </c>
      <c r="AB606" s="6">
        <f t="shared" si="24"/>
        <v>0</v>
      </c>
      <c r="AC606" s="6">
        <f>(L606-M606)*(W606+X606)+($W$660+$X$660-$W$606-$X$606)*(L606)</f>
        <v>-513.42732000000035</v>
      </c>
      <c r="AD606" s="6">
        <f t="shared" si="25"/>
        <v>0</v>
      </c>
      <c r="AE606" s="6">
        <f ca="1">(L606-M606)*(Z606+AA606)+($Z$660+$AA$660-$Z$606-$AA$606)*(L606)</f>
        <v>-585.87725440676877</v>
      </c>
      <c r="AF606" s="4" t="s">
        <v>845</v>
      </c>
    </row>
    <row r="607" spans="1:32" ht="11.25" customHeight="1" x14ac:dyDescent="0.25">
      <c r="A607" s="4" t="s">
        <v>21</v>
      </c>
      <c r="B607" s="4" t="s">
        <v>22</v>
      </c>
      <c r="C607" s="4" t="s">
        <v>23</v>
      </c>
      <c r="D607" s="4" t="s">
        <v>24</v>
      </c>
      <c r="E607" s="4" t="s">
        <v>33</v>
      </c>
      <c r="F607" s="4" t="s">
        <v>25</v>
      </c>
      <c r="G607" s="4" t="s">
        <v>25</v>
      </c>
      <c r="H607" s="4" t="s">
        <v>25</v>
      </c>
      <c r="I607" s="5">
        <v>44166</v>
      </c>
      <c r="J607" s="6">
        <v>0</v>
      </c>
      <c r="K607" s="6">
        <v>0</v>
      </c>
      <c r="L607" s="6">
        <v>3554.72</v>
      </c>
      <c r="M607" s="6">
        <v>3554.72</v>
      </c>
      <c r="N607" s="6">
        <v>3554.72</v>
      </c>
      <c r="O607" s="6">
        <v>3554.72</v>
      </c>
      <c r="P607" s="6">
        <v>25021</v>
      </c>
      <c r="Q607" s="4" t="s">
        <v>26</v>
      </c>
      <c r="R607" s="4">
        <v>0</v>
      </c>
      <c r="S607" s="4">
        <v>0</v>
      </c>
      <c r="T607" s="4">
        <v>6</v>
      </c>
      <c r="U607" s="4">
        <v>52</v>
      </c>
      <c r="V607" s="6">
        <f>IF(ISERROR(VLOOKUP($S$607,'TAR FIN'!$A$1:$O$95,15,0)),0,VLOOKUP($S$607,'TAR FIN'!$A$1:$O$95,15,0))</f>
        <v>0</v>
      </c>
      <c r="W607" s="6">
        <f>IF(ISERROR(VLOOKUP($T$607,'TAR FIN'!$A$1:$O$95,15,0)),0,VLOOKUP($T$607,'TAR FIN'!$A$1:$O$95,15,0))</f>
        <v>378.36</v>
      </c>
      <c r="X607" s="6">
        <f>IF(ISERROR(VLOOKUP($U$607,'TAR FIN'!$A$1:$O$95,15,0)),0,VLOOKUP($U$607,'TAR FIN'!$A$1:$O$95,15,0))</f>
        <v>218.97</v>
      </c>
      <c r="Y607" s="6"/>
      <c r="Z607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07" s="6">
        <f>('TE BE'!$AA$16+'TE BF'!$AA$16+'TE CVA'!$AA$16)*(1-CUSTOS!$M$36)</f>
        <v>267.48149736117364</v>
      </c>
      <c r="AB607" s="6">
        <f t="shared" si="24"/>
        <v>0</v>
      </c>
      <c r="AC607" s="6">
        <f>(L607-M607)*(W607+X607)+($W$660+$X$660-$W$607-$X$607)*(L607)</f>
        <v>235891.21920000014</v>
      </c>
      <c r="AD607" s="6">
        <f t="shared" si="25"/>
        <v>0</v>
      </c>
      <c r="AE607" s="6">
        <f ca="1">(L607-M607)*(Z607+AA607)+($Z$660+$AA$660-$Z$607-$AA$607)*(L607)</f>
        <v>269177.92345674406</v>
      </c>
      <c r="AF607" s="4" t="s">
        <v>845</v>
      </c>
    </row>
    <row r="608" spans="1:32" ht="11.25" customHeight="1" x14ac:dyDescent="0.25">
      <c r="A608" s="4" t="s">
        <v>27</v>
      </c>
      <c r="B608" s="4" t="s">
        <v>22</v>
      </c>
      <c r="C608" s="4" t="s">
        <v>23</v>
      </c>
      <c r="D608" s="4" t="s">
        <v>24</v>
      </c>
      <c r="E608" s="4" t="s">
        <v>33</v>
      </c>
      <c r="F608" s="4" t="s">
        <v>25</v>
      </c>
      <c r="G608" s="4" t="s">
        <v>25</v>
      </c>
      <c r="H608" s="4" t="s">
        <v>25</v>
      </c>
      <c r="I608" s="5">
        <v>44166</v>
      </c>
      <c r="J608" s="6">
        <v>0</v>
      </c>
      <c r="K608" s="6">
        <v>0</v>
      </c>
      <c r="L608" s="6">
        <v>-10.01</v>
      </c>
      <c r="M608" s="6">
        <v>-10.01</v>
      </c>
      <c r="N608" s="6">
        <v>-10.01</v>
      </c>
      <c r="O608" s="6">
        <v>-10.01</v>
      </c>
      <c r="P608" s="6">
        <v>0</v>
      </c>
      <c r="Q608" s="4" t="s">
        <v>26</v>
      </c>
      <c r="R608" s="4">
        <v>0</v>
      </c>
      <c r="S608" s="4">
        <v>0</v>
      </c>
      <c r="T608" s="4">
        <v>6</v>
      </c>
      <c r="U608" s="4">
        <v>52</v>
      </c>
      <c r="V608" s="6">
        <f>IF(ISERROR(VLOOKUP($S$608,'TAR FIN'!$A$1:$O$95,15,0)),0,VLOOKUP($S$608,'TAR FIN'!$A$1:$O$95,15,0))</f>
        <v>0</v>
      </c>
      <c r="W608" s="6">
        <f>IF(ISERROR(VLOOKUP($T$608,'TAR FIN'!$A$1:$O$95,15,0)),0,VLOOKUP($T$608,'TAR FIN'!$A$1:$O$95,15,0))</f>
        <v>378.36</v>
      </c>
      <c r="X608" s="6">
        <f>IF(ISERROR(VLOOKUP($U$608,'TAR FIN'!$A$1:$O$95,15,0)),0,VLOOKUP($U$608,'TAR FIN'!$A$1:$O$95,15,0))</f>
        <v>218.97</v>
      </c>
      <c r="Y608" s="6"/>
      <c r="Z608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08" s="6">
        <f>('TE BE'!$AA$16+'TE BF'!$AA$16+'TE CVA'!$AA$16)*(1-CUSTOS!$M$36)</f>
        <v>267.48149736117364</v>
      </c>
      <c r="AB608" s="6">
        <f t="shared" si="24"/>
        <v>0</v>
      </c>
      <c r="AC608" s="6">
        <f>(L608-M608)*(W608+X608)+($W$660+$X$660-$W$608-$X$608)*(L608)</f>
        <v>-664.26360000000045</v>
      </c>
      <c r="AD608" s="6">
        <f t="shared" si="25"/>
        <v>0</v>
      </c>
      <c r="AE608" s="6">
        <f ca="1">(L608-M608)*(Z608+AA608)+($Z$660+$AA$660-$Z$608-$AA$608)*(L608)</f>
        <v>-757.99810218582843</v>
      </c>
      <c r="AF608" s="4" t="s">
        <v>845</v>
      </c>
    </row>
    <row r="609" spans="1:32" ht="11.25" customHeight="1" x14ac:dyDescent="0.25">
      <c r="A609" s="4" t="s">
        <v>28</v>
      </c>
      <c r="B609" s="4" t="s">
        <v>22</v>
      </c>
      <c r="C609" s="4" t="s">
        <v>23</v>
      </c>
      <c r="D609" s="4" t="s">
        <v>24</v>
      </c>
      <c r="E609" s="4" t="s">
        <v>33</v>
      </c>
      <c r="F609" s="4" t="s">
        <v>25</v>
      </c>
      <c r="G609" s="4" t="s">
        <v>25</v>
      </c>
      <c r="H609" s="4" t="s">
        <v>25</v>
      </c>
      <c r="I609" s="5">
        <v>44166</v>
      </c>
      <c r="J609" s="6">
        <v>0</v>
      </c>
      <c r="K609" s="6">
        <v>0</v>
      </c>
      <c r="L609" s="6">
        <v>5089.3940000000002</v>
      </c>
      <c r="M609" s="6">
        <v>5089.3940000000002</v>
      </c>
      <c r="N609" s="6">
        <v>5089.3940000000002</v>
      </c>
      <c r="O609" s="6">
        <v>5089.3940000000002</v>
      </c>
      <c r="P609" s="6">
        <v>47104</v>
      </c>
      <c r="Q609" s="4" t="s">
        <v>26</v>
      </c>
      <c r="R609" s="4">
        <v>0</v>
      </c>
      <c r="S609" s="4">
        <v>0</v>
      </c>
      <c r="T609" s="4">
        <v>6</v>
      </c>
      <c r="U609" s="4">
        <v>52</v>
      </c>
      <c r="V609" s="6">
        <f>IF(ISERROR(VLOOKUP($S$609,'TAR FIN'!$A$1:$O$95,15,0)),0,VLOOKUP($S$609,'TAR FIN'!$A$1:$O$95,15,0))</f>
        <v>0</v>
      </c>
      <c r="W609" s="6">
        <f>IF(ISERROR(VLOOKUP($T$609,'TAR FIN'!$A$1:$O$95,15,0)),0,VLOOKUP($T$609,'TAR FIN'!$A$1:$O$95,15,0))</f>
        <v>378.36</v>
      </c>
      <c r="X609" s="6">
        <f>IF(ISERROR(VLOOKUP($U$609,'TAR FIN'!$A$1:$O$95,15,0)),0,VLOOKUP($U$609,'TAR FIN'!$A$1:$O$95,15,0))</f>
        <v>218.97</v>
      </c>
      <c r="Y609" s="6"/>
      <c r="Z609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09" s="6">
        <f>('TE BE'!$AA$16+'TE BF'!$AA$16+'TE CVA'!$AA$16)*(1-CUSTOS!$M$36)</f>
        <v>267.48149736117364</v>
      </c>
      <c r="AB609" s="6">
        <f t="shared" si="24"/>
        <v>0</v>
      </c>
      <c r="AC609" s="6">
        <f>(L609-M609)*(W609+X609)+($W$660+$X$660-$W$609-$X$609)*(L609)</f>
        <v>337732.18584000022</v>
      </c>
      <c r="AD609" s="6">
        <f t="shared" si="25"/>
        <v>0</v>
      </c>
      <c r="AE609" s="6">
        <f ca="1">(L609-M609)*(Z609+AA609)+($Z$660+$AA$660-$Z$609-$AA$609)*(L609)</f>
        <v>385389.70961797627</v>
      </c>
      <c r="AF609" s="4" t="s">
        <v>845</v>
      </c>
    </row>
    <row r="610" spans="1:32" ht="11.25" customHeight="1" x14ac:dyDescent="0.25">
      <c r="A610" s="4" t="s">
        <v>29</v>
      </c>
      <c r="B610" s="4" t="s">
        <v>22</v>
      </c>
      <c r="C610" s="4" t="s">
        <v>23</v>
      </c>
      <c r="D610" s="4" t="s">
        <v>24</v>
      </c>
      <c r="E610" s="4" t="s">
        <v>33</v>
      </c>
      <c r="F610" s="4" t="s">
        <v>25</v>
      </c>
      <c r="G610" s="4" t="s">
        <v>25</v>
      </c>
      <c r="H610" s="4" t="s">
        <v>25</v>
      </c>
      <c r="I610" s="5">
        <v>44166</v>
      </c>
      <c r="J610" s="6">
        <v>0</v>
      </c>
      <c r="K610" s="6">
        <v>0</v>
      </c>
      <c r="L610" s="6">
        <v>-10.057</v>
      </c>
      <c r="M610" s="6">
        <v>-10.057</v>
      </c>
      <c r="N610" s="6">
        <v>-10.057</v>
      </c>
      <c r="O610" s="6">
        <v>-10.057</v>
      </c>
      <c r="P610" s="6">
        <v>0</v>
      </c>
      <c r="Q610" s="4" t="s">
        <v>26</v>
      </c>
      <c r="R610" s="4">
        <v>0</v>
      </c>
      <c r="S610" s="4">
        <v>0</v>
      </c>
      <c r="T610" s="4">
        <v>6</v>
      </c>
      <c r="U610" s="4">
        <v>52</v>
      </c>
      <c r="V610" s="6">
        <f>IF(ISERROR(VLOOKUP($S$610,'TAR FIN'!$A$1:$O$95,15,0)),0,VLOOKUP($S$610,'TAR FIN'!$A$1:$O$95,15,0))</f>
        <v>0</v>
      </c>
      <c r="W610" s="6">
        <f>IF(ISERROR(VLOOKUP($T$610,'TAR FIN'!$A$1:$O$95,15,0)),0,VLOOKUP($T$610,'TAR FIN'!$A$1:$O$95,15,0))</f>
        <v>378.36</v>
      </c>
      <c r="X610" s="6">
        <f>IF(ISERROR(VLOOKUP($U$610,'TAR FIN'!$A$1:$O$95,15,0)),0,VLOOKUP($U$610,'TAR FIN'!$A$1:$O$95,15,0))</f>
        <v>218.97</v>
      </c>
      <c r="Y610" s="6"/>
      <c r="Z610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10" s="6">
        <f>('TE BE'!$AA$16+'TE BF'!$AA$16+'TE CVA'!$AA$16)*(1-CUSTOS!$M$36)</f>
        <v>267.48149736117364</v>
      </c>
      <c r="AB610" s="6">
        <f t="shared" si="24"/>
        <v>0</v>
      </c>
      <c r="AC610" s="6">
        <f>(L610-M610)*(W610+X610)+($W$660+$X$660-$W$610-$X$610)*(L610)</f>
        <v>-667.38252000000045</v>
      </c>
      <c r="AD610" s="6">
        <f t="shared" si="25"/>
        <v>0</v>
      </c>
      <c r="AE610" s="6">
        <f ca="1">(L610-M610)*(Z610+AA610)+($Z$660+$AA$660-$Z$610-$AA$610)*(L610)</f>
        <v>-761.55713423405371</v>
      </c>
      <c r="AF610" s="4" t="s">
        <v>845</v>
      </c>
    </row>
    <row r="611" spans="1:32" ht="11.25" customHeight="1" x14ac:dyDescent="0.25">
      <c r="A611" s="4" t="s">
        <v>21</v>
      </c>
      <c r="B611" s="4" t="s">
        <v>22</v>
      </c>
      <c r="C611" s="4" t="s">
        <v>23</v>
      </c>
      <c r="D611" s="4" t="s">
        <v>24</v>
      </c>
      <c r="E611" s="4" t="s">
        <v>33</v>
      </c>
      <c r="F611" s="4" t="s">
        <v>25</v>
      </c>
      <c r="G611" s="4" t="s">
        <v>25</v>
      </c>
      <c r="H611" s="4" t="s">
        <v>25</v>
      </c>
      <c r="I611" s="5">
        <v>44197</v>
      </c>
      <c r="J611" s="6">
        <v>0</v>
      </c>
      <c r="K611" s="6">
        <v>0</v>
      </c>
      <c r="L611" s="6">
        <v>3776.9380000000001</v>
      </c>
      <c r="M611" s="6">
        <v>3776.9380000000001</v>
      </c>
      <c r="N611" s="6">
        <v>3776.9380000000001</v>
      </c>
      <c r="O611" s="6">
        <v>3776.9380000000001</v>
      </c>
      <c r="P611" s="6">
        <v>25546</v>
      </c>
      <c r="Q611" s="4" t="s">
        <v>26</v>
      </c>
      <c r="R611" s="4">
        <v>0</v>
      </c>
      <c r="S611" s="4">
        <v>0</v>
      </c>
      <c r="T611" s="4">
        <v>6</v>
      </c>
      <c r="U611" s="4">
        <v>52</v>
      </c>
      <c r="V611" s="6">
        <f>IF(ISERROR(VLOOKUP($S$611,'TAR FIN'!$A$1:$O$95,15,0)),0,VLOOKUP($S$611,'TAR FIN'!$A$1:$O$95,15,0))</f>
        <v>0</v>
      </c>
      <c r="W611" s="6">
        <f>IF(ISERROR(VLOOKUP($T$611,'TAR FIN'!$A$1:$O$95,15,0)),0,VLOOKUP($T$611,'TAR FIN'!$A$1:$O$95,15,0))</f>
        <v>378.36</v>
      </c>
      <c r="X611" s="6">
        <f>IF(ISERROR(VLOOKUP($U$611,'TAR FIN'!$A$1:$O$95,15,0)),0,VLOOKUP($U$611,'TAR FIN'!$A$1:$O$95,15,0))</f>
        <v>218.97</v>
      </c>
      <c r="Y611" s="6"/>
      <c r="Z611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11" s="6">
        <f>('TE BE'!$AA$16+'TE BF'!$AA$16+'TE CVA'!$AA$16)*(1-CUSTOS!$M$36)</f>
        <v>267.48149736117364</v>
      </c>
      <c r="AB611" s="6">
        <f t="shared" si="24"/>
        <v>0</v>
      </c>
      <c r="AC611" s="6">
        <f>(L611-M611)*(W611+X611)+($W$660+$X$660-$W$611-$X$611)*(L611)</f>
        <v>250637.60568000015</v>
      </c>
      <c r="AD611" s="6">
        <f t="shared" si="25"/>
        <v>0</v>
      </c>
      <c r="AE611" s="6">
        <f ca="1">(L611-M611)*(Z611+AA611)+($Z$660+$AA$660-$Z$611-$AA$611)*(L611)</f>
        <v>286005.17842892493</v>
      </c>
      <c r="AF611" s="4" t="s">
        <v>845</v>
      </c>
    </row>
    <row r="612" spans="1:32" ht="11.25" customHeight="1" x14ac:dyDescent="0.25">
      <c r="A612" s="4" t="s">
        <v>27</v>
      </c>
      <c r="B612" s="4" t="s">
        <v>22</v>
      </c>
      <c r="C612" s="4" t="s">
        <v>23</v>
      </c>
      <c r="D612" s="4" t="s">
        <v>24</v>
      </c>
      <c r="E612" s="4" t="s">
        <v>33</v>
      </c>
      <c r="F612" s="4" t="s">
        <v>25</v>
      </c>
      <c r="G612" s="4" t="s">
        <v>25</v>
      </c>
      <c r="H612" s="4" t="s">
        <v>25</v>
      </c>
      <c r="I612" s="5">
        <v>44197</v>
      </c>
      <c r="J612" s="6">
        <v>0</v>
      </c>
      <c r="K612" s="6">
        <v>0</v>
      </c>
      <c r="L612" s="6">
        <v>-14.41</v>
      </c>
      <c r="M612" s="6">
        <v>-14.41</v>
      </c>
      <c r="N612" s="6">
        <v>-14.41</v>
      </c>
      <c r="O612" s="6">
        <v>-14.41</v>
      </c>
      <c r="P612" s="6">
        <v>0</v>
      </c>
      <c r="Q612" s="4" t="s">
        <v>26</v>
      </c>
      <c r="R612" s="4">
        <v>0</v>
      </c>
      <c r="S612" s="4">
        <v>0</v>
      </c>
      <c r="T612" s="4">
        <v>6</v>
      </c>
      <c r="U612" s="4">
        <v>52</v>
      </c>
      <c r="V612" s="6">
        <f>IF(ISERROR(VLOOKUP($S$612,'TAR FIN'!$A$1:$O$95,15,0)),0,VLOOKUP($S$612,'TAR FIN'!$A$1:$O$95,15,0))</f>
        <v>0</v>
      </c>
      <c r="W612" s="6">
        <f>IF(ISERROR(VLOOKUP($T$612,'TAR FIN'!$A$1:$O$95,15,0)),0,VLOOKUP($T$612,'TAR FIN'!$A$1:$O$95,15,0))</f>
        <v>378.36</v>
      </c>
      <c r="X612" s="6">
        <f>IF(ISERROR(VLOOKUP($U$612,'TAR FIN'!$A$1:$O$95,15,0)),0,VLOOKUP($U$612,'TAR FIN'!$A$1:$O$95,15,0))</f>
        <v>218.97</v>
      </c>
      <c r="Y612" s="6"/>
      <c r="Z612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12" s="6">
        <f>('TE BE'!$AA$16+'TE BF'!$AA$16+'TE CVA'!$AA$16)*(1-CUSTOS!$M$36)</f>
        <v>267.48149736117364</v>
      </c>
      <c r="AB612" s="6">
        <f t="shared" si="24"/>
        <v>0</v>
      </c>
      <c r="AC612" s="6">
        <f>(L612-M612)*(W612+X612)+($W$660+$X$660-$W$612-$X$612)*(L612)</f>
        <v>-956.2476000000006</v>
      </c>
      <c r="AD612" s="6">
        <f t="shared" si="25"/>
        <v>0</v>
      </c>
      <c r="AE612" s="6">
        <f ca="1">(L612-M612)*(Z612+AA612)+($Z$660+$AA$660-$Z$612-$AA$612)*(L612)</f>
        <v>-1091.1840811686102</v>
      </c>
      <c r="AF612" s="4" t="s">
        <v>845</v>
      </c>
    </row>
    <row r="613" spans="1:32" ht="11.25" customHeight="1" x14ac:dyDescent="0.25">
      <c r="A613" s="4" t="s">
        <v>28</v>
      </c>
      <c r="B613" s="4" t="s">
        <v>22</v>
      </c>
      <c r="C613" s="4" t="s">
        <v>23</v>
      </c>
      <c r="D613" s="4" t="s">
        <v>24</v>
      </c>
      <c r="E613" s="4" t="s">
        <v>33</v>
      </c>
      <c r="F613" s="4" t="s">
        <v>25</v>
      </c>
      <c r="G613" s="4" t="s">
        <v>25</v>
      </c>
      <c r="H613" s="4" t="s">
        <v>25</v>
      </c>
      <c r="I613" s="5">
        <v>44197</v>
      </c>
      <c r="J613" s="6">
        <v>0</v>
      </c>
      <c r="K613" s="6">
        <v>0</v>
      </c>
      <c r="L613" s="6">
        <v>4809.9409999999998</v>
      </c>
      <c r="M613" s="6">
        <v>4809.9409999999998</v>
      </c>
      <c r="N613" s="6">
        <v>4809.9409999999998</v>
      </c>
      <c r="O613" s="6">
        <v>4809.9409999999998</v>
      </c>
      <c r="P613" s="6">
        <v>46604</v>
      </c>
      <c r="Q613" s="4" t="s">
        <v>26</v>
      </c>
      <c r="R613" s="4">
        <v>0</v>
      </c>
      <c r="S613" s="4">
        <v>0</v>
      </c>
      <c r="T613" s="4">
        <v>6</v>
      </c>
      <c r="U613" s="4">
        <v>52</v>
      </c>
      <c r="V613" s="6">
        <f>IF(ISERROR(VLOOKUP($S$613,'TAR FIN'!$A$1:$O$95,15,0)),0,VLOOKUP($S$613,'TAR FIN'!$A$1:$O$95,15,0))</f>
        <v>0</v>
      </c>
      <c r="W613" s="6">
        <f>IF(ISERROR(VLOOKUP($T$613,'TAR FIN'!$A$1:$O$95,15,0)),0,VLOOKUP($T$613,'TAR FIN'!$A$1:$O$95,15,0))</f>
        <v>378.36</v>
      </c>
      <c r="X613" s="6">
        <f>IF(ISERROR(VLOOKUP($U$613,'TAR FIN'!$A$1:$O$95,15,0)),0,VLOOKUP($U$613,'TAR FIN'!$A$1:$O$95,15,0))</f>
        <v>218.97</v>
      </c>
      <c r="Y613" s="6"/>
      <c r="Z613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13" s="6">
        <f>('TE BE'!$AA$16+'TE BF'!$AA$16+'TE CVA'!$AA$16)*(1-CUSTOS!$M$36)</f>
        <v>267.48149736117364</v>
      </c>
      <c r="AB613" s="6">
        <f t="shared" si="24"/>
        <v>0</v>
      </c>
      <c r="AC613" s="6">
        <f>(L613-M613)*(W613+X613)+($W$660+$X$660-$W$613-$X$613)*(L613)</f>
        <v>319187.68476000021</v>
      </c>
      <c r="AD613" s="6">
        <f t="shared" si="25"/>
        <v>0</v>
      </c>
      <c r="AE613" s="6">
        <f ca="1">(L613-M613)*(Z613+AA613)+($Z$660+$AA$660-$Z$613-$AA$613)*(L613)</f>
        <v>364228.38657600456</v>
      </c>
      <c r="AF613" s="4" t="s">
        <v>845</v>
      </c>
    </row>
    <row r="614" spans="1:32" ht="11.25" customHeight="1" x14ac:dyDescent="0.25">
      <c r="A614" s="4" t="s">
        <v>29</v>
      </c>
      <c r="B614" s="4" t="s">
        <v>22</v>
      </c>
      <c r="C614" s="4" t="s">
        <v>23</v>
      </c>
      <c r="D614" s="4" t="s">
        <v>24</v>
      </c>
      <c r="E614" s="4" t="s">
        <v>33</v>
      </c>
      <c r="F614" s="4" t="s">
        <v>25</v>
      </c>
      <c r="G614" s="4" t="s">
        <v>25</v>
      </c>
      <c r="H614" s="4" t="s">
        <v>25</v>
      </c>
      <c r="I614" s="5">
        <v>44197</v>
      </c>
      <c r="J614" s="6">
        <v>0</v>
      </c>
      <c r="K614" s="6">
        <v>0</v>
      </c>
      <c r="L614" s="6">
        <v>-6.6639999999999997</v>
      </c>
      <c r="M614" s="6">
        <v>-6.6639999999999997</v>
      </c>
      <c r="N614" s="6">
        <v>-6.6639999999999997</v>
      </c>
      <c r="O614" s="6">
        <v>-6.6639999999999997</v>
      </c>
      <c r="P614" s="6">
        <v>0</v>
      </c>
      <c r="Q614" s="4" t="s">
        <v>26</v>
      </c>
      <c r="R614" s="4">
        <v>0</v>
      </c>
      <c r="S614" s="4">
        <v>0</v>
      </c>
      <c r="T614" s="4">
        <v>6</v>
      </c>
      <c r="U614" s="4">
        <v>52</v>
      </c>
      <c r="V614" s="6">
        <f>IF(ISERROR(VLOOKUP($S$614,'TAR FIN'!$A$1:$O$95,15,0)),0,VLOOKUP($S$614,'TAR FIN'!$A$1:$O$95,15,0))</f>
        <v>0</v>
      </c>
      <c r="W614" s="6">
        <f>IF(ISERROR(VLOOKUP($T$614,'TAR FIN'!$A$1:$O$95,15,0)),0,VLOOKUP($T$614,'TAR FIN'!$A$1:$O$95,15,0))</f>
        <v>378.36</v>
      </c>
      <c r="X614" s="6">
        <f>IF(ISERROR(VLOOKUP($U$614,'TAR FIN'!$A$1:$O$95,15,0)),0,VLOOKUP($U$614,'TAR FIN'!$A$1:$O$95,15,0))</f>
        <v>218.97</v>
      </c>
      <c r="Y614" s="6"/>
      <c r="Z614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14" s="6">
        <f>('TE BE'!$AA$16+'TE BF'!$AA$16+'TE CVA'!$AA$16)*(1-CUSTOS!$M$36)</f>
        <v>267.48149736117364</v>
      </c>
      <c r="AB614" s="6">
        <f t="shared" si="24"/>
        <v>0</v>
      </c>
      <c r="AC614" s="6">
        <f>(L614-M614)*(W614+X614)+($W$660+$X$660-$W$614-$X$614)*(L614)</f>
        <v>-442.22304000000025</v>
      </c>
      <c r="AD614" s="6">
        <f t="shared" si="25"/>
        <v>0</v>
      </c>
      <c r="AE614" s="6">
        <f ca="1">(L614-M614)*(Z614+AA614)+($Z$660+$AA$660-$Z$614-$AA$614)*(L614)</f>
        <v>-504.62530998664943</v>
      </c>
      <c r="AF614" s="4" t="s">
        <v>845</v>
      </c>
    </row>
    <row r="615" spans="1:32" ht="11.25" customHeight="1" x14ac:dyDescent="0.25">
      <c r="A615" s="4" t="s">
        <v>21</v>
      </c>
      <c r="B615" s="4" t="s">
        <v>22</v>
      </c>
      <c r="C615" s="4" t="s">
        <v>23</v>
      </c>
      <c r="D615" s="4" t="s">
        <v>24</v>
      </c>
      <c r="E615" s="4" t="s">
        <v>33</v>
      </c>
      <c r="F615" s="4" t="s">
        <v>25</v>
      </c>
      <c r="G615" s="4" t="s">
        <v>25</v>
      </c>
      <c r="H615" s="4" t="s">
        <v>25</v>
      </c>
      <c r="I615" s="5">
        <v>44228</v>
      </c>
      <c r="J615" s="6">
        <v>0</v>
      </c>
      <c r="K615" s="6">
        <v>0</v>
      </c>
      <c r="L615" s="6">
        <v>3147.1849999999999</v>
      </c>
      <c r="M615" s="6">
        <v>3147.1849999999999</v>
      </c>
      <c r="N615" s="6">
        <v>3147.1849999999999</v>
      </c>
      <c r="O615" s="6">
        <v>3147.1849999999999</v>
      </c>
      <c r="P615" s="6">
        <v>24803</v>
      </c>
      <c r="Q615" s="4" t="s">
        <v>26</v>
      </c>
      <c r="R615" s="4">
        <v>0</v>
      </c>
      <c r="S615" s="4">
        <v>0</v>
      </c>
      <c r="T615" s="4">
        <v>6</v>
      </c>
      <c r="U615" s="4">
        <v>52</v>
      </c>
      <c r="V615" s="6">
        <f>IF(ISERROR(VLOOKUP($S$615,'TAR FIN'!$A$1:$O$95,15,0)),0,VLOOKUP($S$615,'TAR FIN'!$A$1:$O$95,15,0))</f>
        <v>0</v>
      </c>
      <c r="W615" s="6">
        <f>IF(ISERROR(VLOOKUP($T$615,'TAR FIN'!$A$1:$O$95,15,0)),0,VLOOKUP($T$615,'TAR FIN'!$A$1:$O$95,15,0))</f>
        <v>378.36</v>
      </c>
      <c r="X615" s="6">
        <f>IF(ISERROR(VLOOKUP($U$615,'TAR FIN'!$A$1:$O$95,15,0)),0,VLOOKUP($U$615,'TAR FIN'!$A$1:$O$95,15,0))</f>
        <v>218.97</v>
      </c>
      <c r="Y615" s="6"/>
      <c r="Z615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15" s="6">
        <f>('TE BE'!$AA$16+'TE BF'!$AA$16+'TE CVA'!$AA$16)*(1-CUSTOS!$M$36)</f>
        <v>267.48149736117364</v>
      </c>
      <c r="AB615" s="6">
        <f t="shared" si="24"/>
        <v>0</v>
      </c>
      <c r="AC615" s="6">
        <f>(L615-M615)*(W615+X615)+($W$660+$X$660-$W$615-$X$615)*(L615)</f>
        <v>208847.19660000014</v>
      </c>
      <c r="AD615" s="6">
        <f t="shared" si="25"/>
        <v>0</v>
      </c>
      <c r="AE615" s="6">
        <f ca="1">(L615-M615)*(Z615+AA615)+($Z$660+$AA$660-$Z$615-$AA$615)*(L615)</f>
        <v>238317.70801475589</v>
      </c>
      <c r="AF615" s="4" t="s">
        <v>845</v>
      </c>
    </row>
    <row r="616" spans="1:32" ht="11.25" customHeight="1" x14ac:dyDescent="0.25">
      <c r="A616" s="4" t="s">
        <v>27</v>
      </c>
      <c r="B616" s="4" t="s">
        <v>22</v>
      </c>
      <c r="C616" s="4" t="s">
        <v>23</v>
      </c>
      <c r="D616" s="4" t="s">
        <v>24</v>
      </c>
      <c r="E616" s="4" t="s">
        <v>33</v>
      </c>
      <c r="F616" s="4" t="s">
        <v>25</v>
      </c>
      <c r="G616" s="4" t="s">
        <v>25</v>
      </c>
      <c r="H616" s="4" t="s">
        <v>25</v>
      </c>
      <c r="I616" s="5">
        <v>44228</v>
      </c>
      <c r="J616" s="6">
        <v>0</v>
      </c>
      <c r="K616" s="6">
        <v>0</v>
      </c>
      <c r="L616" s="6">
        <v>-11.196</v>
      </c>
      <c r="M616" s="6">
        <v>-11.196</v>
      </c>
      <c r="N616" s="6">
        <v>-11.196</v>
      </c>
      <c r="O616" s="6">
        <v>-11.196</v>
      </c>
      <c r="P616" s="6">
        <v>0</v>
      </c>
      <c r="Q616" s="4" t="s">
        <v>26</v>
      </c>
      <c r="R616" s="4">
        <v>0</v>
      </c>
      <c r="S616" s="4">
        <v>0</v>
      </c>
      <c r="T616" s="4">
        <v>6</v>
      </c>
      <c r="U616" s="4">
        <v>52</v>
      </c>
      <c r="V616" s="6">
        <f>IF(ISERROR(VLOOKUP($S$616,'TAR FIN'!$A$1:$O$95,15,0)),0,VLOOKUP($S$616,'TAR FIN'!$A$1:$O$95,15,0))</f>
        <v>0</v>
      </c>
      <c r="W616" s="6">
        <f>IF(ISERROR(VLOOKUP($T$616,'TAR FIN'!$A$1:$O$95,15,0)),0,VLOOKUP($T$616,'TAR FIN'!$A$1:$O$95,15,0))</f>
        <v>378.36</v>
      </c>
      <c r="X616" s="6">
        <f>IF(ISERROR(VLOOKUP($U$616,'TAR FIN'!$A$1:$O$95,15,0)),0,VLOOKUP($U$616,'TAR FIN'!$A$1:$O$95,15,0))</f>
        <v>218.97</v>
      </c>
      <c r="Y616" s="6"/>
      <c r="Z616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16" s="6">
        <f>('TE BE'!$AA$16+'TE BF'!$AA$16+'TE CVA'!$AA$16)*(1-CUSTOS!$M$36)</f>
        <v>267.48149736117364</v>
      </c>
      <c r="AB616" s="6">
        <f t="shared" si="24"/>
        <v>0</v>
      </c>
      <c r="AC616" s="6">
        <f>(L616-M616)*(W616+X616)+($W$660+$X$660-$W$616-$X$616)*(L616)</f>
        <v>-742.96656000000041</v>
      </c>
      <c r="AD616" s="6">
        <f t="shared" si="25"/>
        <v>0</v>
      </c>
      <c r="AE616" s="6">
        <f ca="1">(L616-M616)*(Z616+AA616)+($Z$660+$AA$660-$Z$616-$AA$616)*(L616)</f>
        <v>-847.80686833891457</v>
      </c>
      <c r="AF616" s="4" t="s">
        <v>845</v>
      </c>
    </row>
    <row r="617" spans="1:32" ht="11.25" customHeight="1" x14ac:dyDescent="0.25">
      <c r="A617" s="4" t="s">
        <v>28</v>
      </c>
      <c r="B617" s="4" t="s">
        <v>22</v>
      </c>
      <c r="C617" s="4" t="s">
        <v>23</v>
      </c>
      <c r="D617" s="4" t="s">
        <v>24</v>
      </c>
      <c r="E617" s="4" t="s">
        <v>33</v>
      </c>
      <c r="F617" s="4" t="s">
        <v>25</v>
      </c>
      <c r="G617" s="4" t="s">
        <v>25</v>
      </c>
      <c r="H617" s="4" t="s">
        <v>25</v>
      </c>
      <c r="I617" s="5">
        <v>44228</v>
      </c>
      <c r="J617" s="6">
        <v>0</v>
      </c>
      <c r="K617" s="6">
        <v>0</v>
      </c>
      <c r="L617" s="6">
        <v>4478.4930000000004</v>
      </c>
      <c r="M617" s="6">
        <v>4478.4930000000004</v>
      </c>
      <c r="N617" s="6">
        <v>4478.4930000000004</v>
      </c>
      <c r="O617" s="6">
        <v>4478.4930000000004</v>
      </c>
      <c r="P617" s="6">
        <v>45450</v>
      </c>
      <c r="Q617" s="4" t="s">
        <v>26</v>
      </c>
      <c r="R617" s="4">
        <v>0</v>
      </c>
      <c r="S617" s="4">
        <v>0</v>
      </c>
      <c r="T617" s="4">
        <v>6</v>
      </c>
      <c r="U617" s="4">
        <v>52</v>
      </c>
      <c r="V617" s="6">
        <f>IF(ISERROR(VLOOKUP($S$617,'TAR FIN'!$A$1:$O$95,15,0)),0,VLOOKUP($S$617,'TAR FIN'!$A$1:$O$95,15,0))</f>
        <v>0</v>
      </c>
      <c r="W617" s="6">
        <f>IF(ISERROR(VLOOKUP($T$617,'TAR FIN'!$A$1:$O$95,15,0)),0,VLOOKUP($T$617,'TAR FIN'!$A$1:$O$95,15,0))</f>
        <v>378.36</v>
      </c>
      <c r="X617" s="6">
        <f>IF(ISERROR(VLOOKUP($U$617,'TAR FIN'!$A$1:$O$95,15,0)),0,VLOOKUP($U$617,'TAR FIN'!$A$1:$O$95,15,0))</f>
        <v>218.97</v>
      </c>
      <c r="Y617" s="6"/>
      <c r="Z617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17" s="6">
        <f>('TE BE'!$AA$16+'TE BF'!$AA$16+'TE CVA'!$AA$16)*(1-CUSTOS!$M$36)</f>
        <v>267.48149736117364</v>
      </c>
      <c r="AB617" s="6">
        <f t="shared" si="24"/>
        <v>0</v>
      </c>
      <c r="AC617" s="6">
        <f>(L617-M617)*(W617+X617)+($W$660+$X$660-$W$617-$X$617)*(L617)</f>
        <v>297192.7954800002</v>
      </c>
      <c r="AD617" s="6">
        <f t="shared" si="25"/>
        <v>0</v>
      </c>
      <c r="AE617" s="6">
        <f ca="1">(L617-M617)*(Z617+AA617)+($Z$660+$AA$660-$Z$617-$AA$617)*(L617)</f>
        <v>339129.7896755762</v>
      </c>
      <c r="AF617" s="4" t="s">
        <v>845</v>
      </c>
    </row>
    <row r="618" spans="1:32" ht="11.25" customHeight="1" x14ac:dyDescent="0.25">
      <c r="A618" s="4" t="s">
        <v>29</v>
      </c>
      <c r="B618" s="4" t="s">
        <v>22</v>
      </c>
      <c r="C618" s="4" t="s">
        <v>23</v>
      </c>
      <c r="D618" s="4" t="s">
        <v>24</v>
      </c>
      <c r="E618" s="4" t="s">
        <v>33</v>
      </c>
      <c r="F618" s="4" t="s">
        <v>25</v>
      </c>
      <c r="G618" s="4" t="s">
        <v>25</v>
      </c>
      <c r="H618" s="4" t="s">
        <v>25</v>
      </c>
      <c r="I618" s="5">
        <v>44228</v>
      </c>
      <c r="J618" s="6">
        <v>0</v>
      </c>
      <c r="K618" s="6">
        <v>0</v>
      </c>
      <c r="L618" s="6">
        <v>-14.226000000000001</v>
      </c>
      <c r="M618" s="6">
        <v>-14.226000000000001</v>
      </c>
      <c r="N618" s="6">
        <v>-14.226000000000001</v>
      </c>
      <c r="O618" s="6">
        <v>-14.226000000000001</v>
      </c>
      <c r="P618" s="6">
        <v>0</v>
      </c>
      <c r="Q618" s="4" t="s">
        <v>26</v>
      </c>
      <c r="R618" s="4">
        <v>0</v>
      </c>
      <c r="S618" s="4">
        <v>0</v>
      </c>
      <c r="T618" s="4">
        <v>6</v>
      </c>
      <c r="U618" s="4">
        <v>52</v>
      </c>
      <c r="V618" s="6">
        <f>IF(ISERROR(VLOOKUP($S$618,'TAR FIN'!$A$1:$O$95,15,0)),0,VLOOKUP($S$618,'TAR FIN'!$A$1:$O$95,15,0))</f>
        <v>0</v>
      </c>
      <c r="W618" s="6">
        <f>IF(ISERROR(VLOOKUP($T$618,'TAR FIN'!$A$1:$O$95,15,0)),0,VLOOKUP($T$618,'TAR FIN'!$A$1:$O$95,15,0))</f>
        <v>378.36</v>
      </c>
      <c r="X618" s="6">
        <f>IF(ISERROR(VLOOKUP($U$618,'TAR FIN'!$A$1:$O$95,15,0)),0,VLOOKUP($U$618,'TAR FIN'!$A$1:$O$95,15,0))</f>
        <v>218.97</v>
      </c>
      <c r="Y618" s="6"/>
      <c r="Z618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18" s="6">
        <f>('TE BE'!$AA$16+'TE BF'!$AA$16+'TE CVA'!$AA$16)*(1-CUSTOS!$M$36)</f>
        <v>267.48149736117364</v>
      </c>
      <c r="AB618" s="6">
        <f t="shared" si="24"/>
        <v>0</v>
      </c>
      <c r="AC618" s="6">
        <f>(L618-M618)*(W618+X618)+($W$660+$X$660-$W$618-$X$618)*(L618)</f>
        <v>-944.0373600000006</v>
      </c>
      <c r="AD618" s="6">
        <f t="shared" si="25"/>
        <v>0</v>
      </c>
      <c r="AE618" s="6">
        <f ca="1">(L618-M618)*(Z618+AA618)+($Z$660+$AA$660-$Z$618-$AA$618)*(L618)</f>
        <v>-1077.2508493202395</v>
      </c>
      <c r="AF618" s="4" t="s">
        <v>845</v>
      </c>
    </row>
    <row r="619" spans="1:32" ht="11.25" customHeight="1" x14ac:dyDescent="0.25">
      <c r="A619" s="4" t="s">
        <v>21</v>
      </c>
      <c r="B619" s="4" t="s">
        <v>22</v>
      </c>
      <c r="C619" s="4" t="s">
        <v>23</v>
      </c>
      <c r="D619" s="4" t="s">
        <v>24</v>
      </c>
      <c r="E619" s="4" t="s">
        <v>33</v>
      </c>
      <c r="F619" s="4" t="s">
        <v>25</v>
      </c>
      <c r="G619" s="4" t="s">
        <v>25</v>
      </c>
      <c r="H619" s="4" t="s">
        <v>25</v>
      </c>
      <c r="I619" s="5">
        <v>44256</v>
      </c>
      <c r="J619" s="6">
        <v>0</v>
      </c>
      <c r="K619" s="6">
        <v>0</v>
      </c>
      <c r="L619" s="6">
        <v>3351.1550000000002</v>
      </c>
      <c r="M619" s="6">
        <v>3351.1550000000002</v>
      </c>
      <c r="N619" s="6">
        <v>3351.1550000000002</v>
      </c>
      <c r="O619" s="6">
        <v>3351.1550000000002</v>
      </c>
      <c r="P619" s="6">
        <v>23749</v>
      </c>
      <c r="Q619" s="4" t="s">
        <v>26</v>
      </c>
      <c r="R619" s="4">
        <v>0</v>
      </c>
      <c r="S619" s="4">
        <v>0</v>
      </c>
      <c r="T619" s="4">
        <v>6</v>
      </c>
      <c r="U619" s="4">
        <v>52</v>
      </c>
      <c r="V619" s="6">
        <f>IF(ISERROR(VLOOKUP($S$619,'TAR FIN'!$A$1:$O$95,15,0)),0,VLOOKUP($S$619,'TAR FIN'!$A$1:$O$95,15,0))</f>
        <v>0</v>
      </c>
      <c r="W619" s="6">
        <f>IF(ISERROR(VLOOKUP($T$619,'TAR FIN'!$A$1:$O$95,15,0)),0,VLOOKUP($T$619,'TAR FIN'!$A$1:$O$95,15,0))</f>
        <v>378.36</v>
      </c>
      <c r="X619" s="6">
        <f>IF(ISERROR(VLOOKUP($U$619,'TAR FIN'!$A$1:$O$95,15,0)),0,VLOOKUP($U$619,'TAR FIN'!$A$1:$O$95,15,0))</f>
        <v>218.97</v>
      </c>
      <c r="Y619" s="6"/>
      <c r="Z619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19" s="6">
        <f>('TE BE'!$AA$16+'TE BF'!$AA$16+'TE CVA'!$AA$16)*(1-CUSTOS!$M$36)</f>
        <v>267.48149736117364</v>
      </c>
      <c r="AB619" s="6">
        <f t="shared" si="24"/>
        <v>0</v>
      </c>
      <c r="AC619" s="6">
        <f>(L619-M619)*(W619+X619)+($W$660+$X$660-$W$619-$X$619)*(L619)</f>
        <v>222382.64580000014</v>
      </c>
      <c r="AD619" s="6">
        <f t="shared" si="25"/>
        <v>0</v>
      </c>
      <c r="AE619" s="6">
        <f ca="1">(L619-M619)*(Z619+AA619)+($Z$660+$AA$660-$Z$619-$AA$619)*(L619)</f>
        <v>253763.14986319182</v>
      </c>
      <c r="AF619" s="4" t="s">
        <v>845</v>
      </c>
    </row>
    <row r="620" spans="1:32" ht="11.25" customHeight="1" x14ac:dyDescent="0.25">
      <c r="A620" s="4" t="s">
        <v>27</v>
      </c>
      <c r="B620" s="4" t="s">
        <v>22</v>
      </c>
      <c r="C620" s="4" t="s">
        <v>23</v>
      </c>
      <c r="D620" s="4" t="s">
        <v>24</v>
      </c>
      <c r="E620" s="4" t="s">
        <v>33</v>
      </c>
      <c r="F620" s="4" t="s">
        <v>25</v>
      </c>
      <c r="G620" s="4" t="s">
        <v>25</v>
      </c>
      <c r="H620" s="4" t="s">
        <v>25</v>
      </c>
      <c r="I620" s="5">
        <v>44256</v>
      </c>
      <c r="J620" s="6">
        <v>0</v>
      </c>
      <c r="K620" s="6">
        <v>0</v>
      </c>
      <c r="L620" s="6">
        <v>-46.134999999999998</v>
      </c>
      <c r="M620" s="6">
        <v>-46.134999999999998</v>
      </c>
      <c r="N620" s="6">
        <v>-46.134999999999998</v>
      </c>
      <c r="O620" s="6">
        <v>-46.134999999999998</v>
      </c>
      <c r="P620" s="6">
        <v>0</v>
      </c>
      <c r="Q620" s="4" t="s">
        <v>26</v>
      </c>
      <c r="R620" s="4">
        <v>0</v>
      </c>
      <c r="S620" s="4">
        <v>0</v>
      </c>
      <c r="T620" s="4">
        <v>6</v>
      </c>
      <c r="U620" s="4">
        <v>52</v>
      </c>
      <c r="V620" s="6">
        <f>IF(ISERROR(VLOOKUP($S$620,'TAR FIN'!$A$1:$O$95,15,0)),0,VLOOKUP($S$620,'TAR FIN'!$A$1:$O$95,15,0))</f>
        <v>0</v>
      </c>
      <c r="W620" s="6">
        <f>IF(ISERROR(VLOOKUP($T$620,'TAR FIN'!$A$1:$O$95,15,0)),0,VLOOKUP($T$620,'TAR FIN'!$A$1:$O$95,15,0))</f>
        <v>378.36</v>
      </c>
      <c r="X620" s="6">
        <f>IF(ISERROR(VLOOKUP($U$620,'TAR FIN'!$A$1:$O$95,15,0)),0,VLOOKUP($U$620,'TAR FIN'!$A$1:$O$95,15,0))</f>
        <v>218.97</v>
      </c>
      <c r="Y620" s="6"/>
      <c r="Z620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20" s="6">
        <f>('TE BE'!$AA$16+'TE BF'!$AA$16+'TE CVA'!$AA$16)*(1-CUSTOS!$M$36)</f>
        <v>267.48149736117364</v>
      </c>
      <c r="AB620" s="6">
        <f t="shared" si="24"/>
        <v>0</v>
      </c>
      <c r="AC620" s="6">
        <f>(L620-M620)*(W620+X620)+($W$660+$X$660-$W$620-$X$620)*(L620)</f>
        <v>-3061.5186000000017</v>
      </c>
      <c r="AD620" s="6">
        <f t="shared" si="25"/>
        <v>0</v>
      </c>
      <c r="AE620" s="6">
        <f ca="1">(L620-M620)*(Z620+AA620)+($Z$660+$AA$660-$Z$620-$AA$620)*(L620)</f>
        <v>-3493.5307137205987</v>
      </c>
      <c r="AF620" s="4" t="s">
        <v>845</v>
      </c>
    </row>
    <row r="621" spans="1:32" ht="11.25" customHeight="1" x14ac:dyDescent="0.25">
      <c r="A621" s="4" t="s">
        <v>28</v>
      </c>
      <c r="B621" s="4" t="s">
        <v>22</v>
      </c>
      <c r="C621" s="4" t="s">
        <v>23</v>
      </c>
      <c r="D621" s="4" t="s">
        <v>24</v>
      </c>
      <c r="E621" s="4" t="s">
        <v>33</v>
      </c>
      <c r="F621" s="4" t="s">
        <v>25</v>
      </c>
      <c r="G621" s="4" t="s">
        <v>25</v>
      </c>
      <c r="H621" s="4" t="s">
        <v>25</v>
      </c>
      <c r="I621" s="5">
        <v>44256</v>
      </c>
      <c r="J621" s="6">
        <v>0</v>
      </c>
      <c r="K621" s="6">
        <v>0</v>
      </c>
      <c r="L621" s="6">
        <v>4585.1030000000001</v>
      </c>
      <c r="M621" s="6">
        <v>4585.1030000000001</v>
      </c>
      <c r="N621" s="6">
        <v>4585.1030000000001</v>
      </c>
      <c r="O621" s="6">
        <v>4585.1030000000001</v>
      </c>
      <c r="P621" s="6">
        <v>46464</v>
      </c>
      <c r="Q621" s="4" t="s">
        <v>26</v>
      </c>
      <c r="R621" s="4">
        <v>0</v>
      </c>
      <c r="S621" s="4">
        <v>0</v>
      </c>
      <c r="T621" s="4">
        <v>6</v>
      </c>
      <c r="U621" s="4">
        <v>52</v>
      </c>
      <c r="V621" s="6">
        <f>IF(ISERROR(VLOOKUP($S$621,'TAR FIN'!$A$1:$O$95,15,0)),0,VLOOKUP($S$621,'TAR FIN'!$A$1:$O$95,15,0))</f>
        <v>0</v>
      </c>
      <c r="W621" s="6">
        <f>IF(ISERROR(VLOOKUP($T$621,'TAR FIN'!$A$1:$O$95,15,0)),0,VLOOKUP($T$621,'TAR FIN'!$A$1:$O$95,15,0))</f>
        <v>378.36</v>
      </c>
      <c r="X621" s="6">
        <f>IF(ISERROR(VLOOKUP($U$621,'TAR FIN'!$A$1:$O$95,15,0)),0,VLOOKUP($U$621,'TAR FIN'!$A$1:$O$95,15,0))</f>
        <v>218.97</v>
      </c>
      <c r="Y621" s="6"/>
      <c r="Z621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21" s="6">
        <f>('TE BE'!$AA$16+'TE BF'!$AA$16+'TE CVA'!$AA$16)*(1-CUSTOS!$M$36)</f>
        <v>267.48149736117364</v>
      </c>
      <c r="AB621" s="6">
        <f t="shared" si="24"/>
        <v>0</v>
      </c>
      <c r="AC621" s="6">
        <f>(L621-M621)*(W621+X621)+($W$660+$X$660-$W$621-$X$621)*(L621)</f>
        <v>304267.4350800002</v>
      </c>
      <c r="AD621" s="6">
        <f t="shared" si="25"/>
        <v>0</v>
      </c>
      <c r="AE621" s="6">
        <f ca="1">(L621-M621)*(Z621+AA621)+($Z$660+$AA$660-$Z$621-$AA$621)*(L621)</f>
        <v>347202.7344981567</v>
      </c>
      <c r="AF621" s="4" t="s">
        <v>845</v>
      </c>
    </row>
    <row r="622" spans="1:32" ht="11.25" customHeight="1" x14ac:dyDescent="0.25">
      <c r="A622" s="4" t="s">
        <v>29</v>
      </c>
      <c r="B622" s="4" t="s">
        <v>22</v>
      </c>
      <c r="C622" s="4" t="s">
        <v>23</v>
      </c>
      <c r="D622" s="4" t="s">
        <v>24</v>
      </c>
      <c r="E622" s="4" t="s">
        <v>33</v>
      </c>
      <c r="F622" s="4" t="s">
        <v>25</v>
      </c>
      <c r="G622" s="4" t="s">
        <v>25</v>
      </c>
      <c r="H622" s="4" t="s">
        <v>25</v>
      </c>
      <c r="I622" s="5">
        <v>44256</v>
      </c>
      <c r="J622" s="6">
        <v>0</v>
      </c>
      <c r="K622" s="6">
        <v>0</v>
      </c>
      <c r="L622" s="6">
        <v>-13.526</v>
      </c>
      <c r="M622" s="6">
        <v>-13.526</v>
      </c>
      <c r="N622" s="6">
        <v>-13.526</v>
      </c>
      <c r="O622" s="6">
        <v>-13.526</v>
      </c>
      <c r="P622" s="6">
        <v>0</v>
      </c>
      <c r="Q622" s="4" t="s">
        <v>26</v>
      </c>
      <c r="R622" s="4">
        <v>0</v>
      </c>
      <c r="S622" s="4">
        <v>0</v>
      </c>
      <c r="T622" s="4">
        <v>6</v>
      </c>
      <c r="U622" s="4">
        <v>52</v>
      </c>
      <c r="V622" s="6">
        <f>IF(ISERROR(VLOOKUP($S$622,'TAR FIN'!$A$1:$O$95,15,0)),0,VLOOKUP($S$622,'TAR FIN'!$A$1:$O$95,15,0))</f>
        <v>0</v>
      </c>
      <c r="W622" s="6">
        <f>IF(ISERROR(VLOOKUP($T$622,'TAR FIN'!$A$1:$O$95,15,0)),0,VLOOKUP($T$622,'TAR FIN'!$A$1:$O$95,15,0))</f>
        <v>378.36</v>
      </c>
      <c r="X622" s="6">
        <f>IF(ISERROR(VLOOKUP($U$622,'TAR FIN'!$A$1:$O$95,15,0)),0,VLOOKUP($U$622,'TAR FIN'!$A$1:$O$95,15,0))</f>
        <v>218.97</v>
      </c>
      <c r="Y622" s="6"/>
      <c r="Z622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22" s="6">
        <f>('TE BE'!$AA$16+'TE BF'!$AA$16+'TE CVA'!$AA$16)*(1-CUSTOS!$M$36)</f>
        <v>267.48149736117364</v>
      </c>
      <c r="AB622" s="6">
        <f t="shared" si="24"/>
        <v>0</v>
      </c>
      <c r="AC622" s="6">
        <f>(L622-M622)*(W622+X622)+($W$660+$X$660-$W$622-$X$622)*(L622)</f>
        <v>-897.58536000000061</v>
      </c>
      <c r="AD622" s="6">
        <f t="shared" si="25"/>
        <v>0</v>
      </c>
      <c r="AE622" s="6">
        <f ca="1">(L622-M622)*(Z622+AA622)+($Z$660+$AA$660-$Z$622-$AA$622)*(L622)</f>
        <v>-1024.2439890275241</v>
      </c>
      <c r="AF622" s="4" t="s">
        <v>845</v>
      </c>
    </row>
    <row r="623" spans="1:32" ht="11.25" customHeight="1" x14ac:dyDescent="0.25">
      <c r="A623" s="4" t="s">
        <v>30</v>
      </c>
      <c r="B623" s="4" t="s">
        <v>22</v>
      </c>
      <c r="C623" s="4" t="s">
        <v>23</v>
      </c>
      <c r="D623" s="4" t="s">
        <v>24</v>
      </c>
      <c r="E623" s="4" t="s">
        <v>33</v>
      </c>
      <c r="F623" s="4" t="s">
        <v>25</v>
      </c>
      <c r="G623" s="4" t="s">
        <v>25</v>
      </c>
      <c r="H623" s="4" t="s">
        <v>25</v>
      </c>
      <c r="I623" s="5">
        <v>44256</v>
      </c>
      <c r="J623" s="6">
        <v>0</v>
      </c>
      <c r="K623" s="6">
        <v>0</v>
      </c>
      <c r="L623" s="6">
        <v>0.12</v>
      </c>
      <c r="M623" s="6">
        <v>0.12</v>
      </c>
      <c r="N623" s="6">
        <v>0.12</v>
      </c>
      <c r="O623" s="6">
        <v>0.12</v>
      </c>
      <c r="P623" s="6">
        <v>0</v>
      </c>
      <c r="Q623" s="4" t="s">
        <v>26</v>
      </c>
      <c r="R623" s="4">
        <v>0</v>
      </c>
      <c r="S623" s="4">
        <v>0</v>
      </c>
      <c r="T623" s="4">
        <v>6</v>
      </c>
      <c r="U623" s="4">
        <v>52</v>
      </c>
      <c r="V623" s="6">
        <f>IF(ISERROR(VLOOKUP($S$623,'TAR FIN'!$A$1:$O$95,15,0)),0,VLOOKUP($S$623,'TAR FIN'!$A$1:$O$95,15,0))</f>
        <v>0</v>
      </c>
      <c r="W623" s="6">
        <f>IF(ISERROR(VLOOKUP($T$623,'TAR FIN'!$A$1:$O$95,15,0)),0,VLOOKUP($T$623,'TAR FIN'!$A$1:$O$95,15,0))</f>
        <v>378.36</v>
      </c>
      <c r="X623" s="6">
        <f>IF(ISERROR(VLOOKUP($U$623,'TAR FIN'!$A$1:$O$95,15,0)),0,VLOOKUP($U$623,'TAR FIN'!$A$1:$O$95,15,0))</f>
        <v>218.97</v>
      </c>
      <c r="Y623" s="6"/>
      <c r="Z623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23" s="6">
        <f>('TE BE'!$AA$16+'TE BF'!$AA$16+'TE CVA'!$AA$16)*(1-CUSTOS!$M$36)</f>
        <v>267.48149736117364</v>
      </c>
      <c r="AB623" s="6">
        <f t="shared" si="24"/>
        <v>0</v>
      </c>
      <c r="AC623" s="6">
        <f>(L623-M623)*(W623+X623)+($W$660+$X$660-$W$623-$X$623)*(L623)</f>
        <v>7.9632000000000049</v>
      </c>
      <c r="AD623" s="6">
        <f t="shared" si="25"/>
        <v>0</v>
      </c>
      <c r="AE623" s="6">
        <f ca="1">(L623-M623)*(Z623+AA623)+($Z$660+$AA$660-$Z$623-$AA$623)*(L623)</f>
        <v>9.0868903358940472</v>
      </c>
      <c r="AF623" s="4" t="s">
        <v>845</v>
      </c>
    </row>
    <row r="624" spans="1:32" ht="11.25" customHeight="1" x14ac:dyDescent="0.25">
      <c r="A624" s="4" t="s">
        <v>21</v>
      </c>
      <c r="B624" s="4" t="s">
        <v>22</v>
      </c>
      <c r="C624" s="4" t="s">
        <v>23</v>
      </c>
      <c r="D624" s="4" t="s">
        <v>24</v>
      </c>
      <c r="E624" s="4" t="s">
        <v>33</v>
      </c>
      <c r="F624" s="4" t="s">
        <v>25</v>
      </c>
      <c r="G624" s="4" t="s">
        <v>25</v>
      </c>
      <c r="H624" s="4" t="s">
        <v>25</v>
      </c>
      <c r="I624" s="5">
        <v>44287</v>
      </c>
      <c r="J624" s="6">
        <v>0</v>
      </c>
      <c r="K624" s="6">
        <v>0</v>
      </c>
      <c r="L624" s="6">
        <v>3475.22</v>
      </c>
      <c r="M624" s="6">
        <v>3475.22</v>
      </c>
      <c r="N624" s="6">
        <v>3475.22</v>
      </c>
      <c r="O624" s="6">
        <v>3475.22</v>
      </c>
      <c r="P624" s="6">
        <v>23023</v>
      </c>
      <c r="Q624" s="4" t="s">
        <v>26</v>
      </c>
      <c r="R624" s="4">
        <v>0</v>
      </c>
      <c r="S624" s="4">
        <v>0</v>
      </c>
      <c r="T624" s="4">
        <v>6</v>
      </c>
      <c r="U624" s="4">
        <v>52</v>
      </c>
      <c r="V624" s="6">
        <f>IF(ISERROR(VLOOKUP($S$624,'TAR FIN'!$A$1:$O$95,15,0)),0,VLOOKUP($S$624,'TAR FIN'!$A$1:$O$95,15,0))</f>
        <v>0</v>
      </c>
      <c r="W624" s="6">
        <f>IF(ISERROR(VLOOKUP($T$624,'TAR FIN'!$A$1:$O$95,15,0)),0,VLOOKUP($T$624,'TAR FIN'!$A$1:$O$95,15,0))</f>
        <v>378.36</v>
      </c>
      <c r="X624" s="6">
        <f>IF(ISERROR(VLOOKUP($U$624,'TAR FIN'!$A$1:$O$95,15,0)),0,VLOOKUP($U$624,'TAR FIN'!$A$1:$O$95,15,0))</f>
        <v>218.97</v>
      </c>
      <c r="Y624" s="6"/>
      <c r="Z624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24" s="6">
        <f>('TE BE'!$AA$16+'TE BF'!$AA$16+'TE CVA'!$AA$16)*(1-CUSTOS!$M$36)</f>
        <v>267.48149736117364</v>
      </c>
      <c r="AB624" s="6">
        <f t="shared" si="24"/>
        <v>0</v>
      </c>
      <c r="AC624" s="6">
        <f>(L624-M624)*(W624+X624)+($W$660+$X$660-$W$624-$X$624)*(L624)</f>
        <v>230615.59920000014</v>
      </c>
      <c r="AD624" s="6">
        <f t="shared" si="25"/>
        <v>0</v>
      </c>
      <c r="AE624" s="6">
        <f ca="1">(L624-M624)*(Z624+AA624)+($Z$660+$AA$660-$Z$624-$AA$624)*(L624)</f>
        <v>263157.85860921425</v>
      </c>
      <c r="AF624" s="4" t="s">
        <v>845</v>
      </c>
    </row>
    <row r="625" spans="1:32" ht="11.25" customHeight="1" x14ac:dyDescent="0.25">
      <c r="A625" s="4" t="s">
        <v>27</v>
      </c>
      <c r="B625" s="4" t="s">
        <v>22</v>
      </c>
      <c r="C625" s="4" t="s">
        <v>23</v>
      </c>
      <c r="D625" s="4" t="s">
        <v>24</v>
      </c>
      <c r="E625" s="4" t="s">
        <v>33</v>
      </c>
      <c r="F625" s="4" t="s">
        <v>25</v>
      </c>
      <c r="G625" s="4" t="s">
        <v>25</v>
      </c>
      <c r="H625" s="4" t="s">
        <v>25</v>
      </c>
      <c r="I625" s="5">
        <v>44287</v>
      </c>
      <c r="J625" s="6">
        <v>0</v>
      </c>
      <c r="K625" s="6">
        <v>0</v>
      </c>
      <c r="L625" s="6">
        <v>-12.143000000000001</v>
      </c>
      <c r="M625" s="6">
        <v>-12.143000000000001</v>
      </c>
      <c r="N625" s="6">
        <v>-12.143000000000001</v>
      </c>
      <c r="O625" s="6">
        <v>-12.143000000000001</v>
      </c>
      <c r="P625" s="6">
        <v>0</v>
      </c>
      <c r="Q625" s="4" t="s">
        <v>26</v>
      </c>
      <c r="R625" s="4">
        <v>0</v>
      </c>
      <c r="S625" s="4">
        <v>0</v>
      </c>
      <c r="T625" s="4">
        <v>6</v>
      </c>
      <c r="U625" s="4">
        <v>52</v>
      </c>
      <c r="V625" s="6">
        <f>IF(ISERROR(VLOOKUP($S$625,'TAR FIN'!$A$1:$O$95,15,0)),0,VLOOKUP($S$625,'TAR FIN'!$A$1:$O$95,15,0))</f>
        <v>0</v>
      </c>
      <c r="W625" s="6">
        <f>IF(ISERROR(VLOOKUP($T$625,'TAR FIN'!$A$1:$O$95,15,0)),0,VLOOKUP($T$625,'TAR FIN'!$A$1:$O$95,15,0))</f>
        <v>378.36</v>
      </c>
      <c r="X625" s="6">
        <f>IF(ISERROR(VLOOKUP($U$625,'TAR FIN'!$A$1:$O$95,15,0)),0,VLOOKUP($U$625,'TAR FIN'!$A$1:$O$95,15,0))</f>
        <v>218.97</v>
      </c>
      <c r="Y625" s="6"/>
      <c r="Z625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25" s="6">
        <f>('TE BE'!$AA$16+'TE BF'!$AA$16+'TE CVA'!$AA$16)*(1-CUSTOS!$M$36)</f>
        <v>267.48149736117364</v>
      </c>
      <c r="AB625" s="6">
        <f t="shared" si="24"/>
        <v>0</v>
      </c>
      <c r="AC625" s="6">
        <f>(L625-M625)*(W625+X625)+($W$660+$X$660-$W$625-$X$625)*(L625)</f>
        <v>-805.80948000000058</v>
      </c>
      <c r="AD625" s="6">
        <f t="shared" si="25"/>
        <v>0</v>
      </c>
      <c r="AE625" s="6">
        <f ca="1">(L625-M625)*(Z625+AA625)+($Z$660+$AA$660-$Z$625-$AA$625)*(L625)</f>
        <v>-919.5175779063452</v>
      </c>
      <c r="AF625" s="4" t="s">
        <v>845</v>
      </c>
    </row>
    <row r="626" spans="1:32" ht="11.25" customHeight="1" x14ac:dyDescent="0.25">
      <c r="A626" s="4" t="s">
        <v>28</v>
      </c>
      <c r="B626" s="4" t="s">
        <v>22</v>
      </c>
      <c r="C626" s="4" t="s">
        <v>23</v>
      </c>
      <c r="D626" s="4" t="s">
        <v>24</v>
      </c>
      <c r="E626" s="4" t="s">
        <v>33</v>
      </c>
      <c r="F626" s="4" t="s">
        <v>25</v>
      </c>
      <c r="G626" s="4" t="s">
        <v>25</v>
      </c>
      <c r="H626" s="4" t="s">
        <v>25</v>
      </c>
      <c r="I626" s="5">
        <v>44287</v>
      </c>
      <c r="J626" s="6">
        <v>0</v>
      </c>
      <c r="K626" s="6">
        <v>0</v>
      </c>
      <c r="L626" s="6">
        <v>5132.4709999999995</v>
      </c>
      <c r="M626" s="6">
        <v>5132.4709999999995</v>
      </c>
      <c r="N626" s="6">
        <v>5132.4709999999995</v>
      </c>
      <c r="O626" s="6">
        <v>5132.4709999999995</v>
      </c>
      <c r="P626" s="6">
        <v>47391</v>
      </c>
      <c r="Q626" s="4" t="s">
        <v>26</v>
      </c>
      <c r="R626" s="4">
        <v>0</v>
      </c>
      <c r="S626" s="4">
        <v>0</v>
      </c>
      <c r="T626" s="4">
        <v>6</v>
      </c>
      <c r="U626" s="4">
        <v>52</v>
      </c>
      <c r="V626" s="6">
        <f>IF(ISERROR(VLOOKUP($S$626,'TAR FIN'!$A$1:$O$95,15,0)),0,VLOOKUP($S$626,'TAR FIN'!$A$1:$O$95,15,0))</f>
        <v>0</v>
      </c>
      <c r="W626" s="6">
        <f>IF(ISERROR(VLOOKUP($T$626,'TAR FIN'!$A$1:$O$95,15,0)),0,VLOOKUP($T$626,'TAR FIN'!$A$1:$O$95,15,0))</f>
        <v>378.36</v>
      </c>
      <c r="X626" s="6">
        <f>IF(ISERROR(VLOOKUP($U$626,'TAR FIN'!$A$1:$O$95,15,0)),0,VLOOKUP($U$626,'TAR FIN'!$A$1:$O$95,15,0))</f>
        <v>218.97</v>
      </c>
      <c r="Y626" s="6"/>
      <c r="Z626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26" s="6">
        <f>('TE BE'!$AA$16+'TE BF'!$AA$16+'TE CVA'!$AA$16)*(1-CUSTOS!$M$36)</f>
        <v>267.48149736117364</v>
      </c>
      <c r="AB626" s="6">
        <f t="shared" si="24"/>
        <v>0</v>
      </c>
      <c r="AC626" s="6">
        <f>(L626-M626)*(W626+X626)+($W$660+$X$660-$W$626-$X$626)*(L626)</f>
        <v>340590.77556000021</v>
      </c>
      <c r="AD626" s="6">
        <f t="shared" si="25"/>
        <v>0</v>
      </c>
      <c r="AE626" s="6">
        <f ca="1">(L626-M626)*(Z626+AA626)+($Z$660+$AA$660-$Z$626-$AA$626)*(L626)</f>
        <v>388651.67607630376</v>
      </c>
      <c r="AF626" s="4" t="s">
        <v>845</v>
      </c>
    </row>
    <row r="627" spans="1:32" ht="11.25" customHeight="1" x14ac:dyDescent="0.25">
      <c r="A627" s="4" t="s">
        <v>29</v>
      </c>
      <c r="B627" s="4" t="s">
        <v>22</v>
      </c>
      <c r="C627" s="4" t="s">
        <v>23</v>
      </c>
      <c r="D627" s="4" t="s">
        <v>24</v>
      </c>
      <c r="E627" s="4" t="s">
        <v>33</v>
      </c>
      <c r="F627" s="4" t="s">
        <v>25</v>
      </c>
      <c r="G627" s="4" t="s">
        <v>25</v>
      </c>
      <c r="H627" s="4" t="s">
        <v>25</v>
      </c>
      <c r="I627" s="5">
        <v>44287</v>
      </c>
      <c r="J627" s="6">
        <v>0</v>
      </c>
      <c r="K627" s="6">
        <v>0</v>
      </c>
      <c r="L627" s="6">
        <v>-19.844000000000001</v>
      </c>
      <c r="M627" s="6">
        <v>-19.844000000000001</v>
      </c>
      <c r="N627" s="6">
        <v>-19.844000000000001</v>
      </c>
      <c r="O627" s="6">
        <v>-19.844000000000001</v>
      </c>
      <c r="P627" s="6">
        <v>0</v>
      </c>
      <c r="Q627" s="4" t="s">
        <v>26</v>
      </c>
      <c r="R627" s="4">
        <v>0</v>
      </c>
      <c r="S627" s="4">
        <v>0</v>
      </c>
      <c r="T627" s="4">
        <v>6</v>
      </c>
      <c r="U627" s="4">
        <v>52</v>
      </c>
      <c r="V627" s="6">
        <f>IF(ISERROR(VLOOKUP($S$627,'TAR FIN'!$A$1:$O$95,15,0)),0,VLOOKUP($S$627,'TAR FIN'!$A$1:$O$95,15,0))</f>
        <v>0</v>
      </c>
      <c r="W627" s="6">
        <f>IF(ISERROR(VLOOKUP($T$627,'TAR FIN'!$A$1:$O$95,15,0)),0,VLOOKUP($T$627,'TAR FIN'!$A$1:$O$95,15,0))</f>
        <v>378.36</v>
      </c>
      <c r="X627" s="6">
        <f>IF(ISERROR(VLOOKUP($U$627,'TAR FIN'!$A$1:$O$95,15,0)),0,VLOOKUP($U$627,'TAR FIN'!$A$1:$O$95,15,0))</f>
        <v>218.97</v>
      </c>
      <c r="Y627" s="6"/>
      <c r="Z627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27" s="6">
        <f>('TE BE'!$AA$16+'TE BF'!$AA$16+'TE CVA'!$AA$16)*(1-CUSTOS!$M$36)</f>
        <v>267.48149736117364</v>
      </c>
      <c r="AB627" s="6">
        <f t="shared" si="24"/>
        <v>0</v>
      </c>
      <c r="AC627" s="6">
        <f>(L627-M627)*(W627+X627)+($W$660+$X$660-$W$627-$X$627)*(L627)</f>
        <v>-1316.8478400000008</v>
      </c>
      <c r="AD627" s="6">
        <f t="shared" si="25"/>
        <v>0</v>
      </c>
      <c r="AE627" s="6">
        <f ca="1">(L627-M627)*(Z627+AA627)+($Z$660+$AA$660-$Z$627-$AA$627)*(L627)</f>
        <v>-1502.6687652123458</v>
      </c>
      <c r="AF627" s="4" t="s">
        <v>845</v>
      </c>
    </row>
    <row r="628" spans="1:32" ht="11.25" customHeight="1" x14ac:dyDescent="0.25">
      <c r="A628" s="4" t="s">
        <v>30</v>
      </c>
      <c r="B628" s="4" t="s">
        <v>22</v>
      </c>
      <c r="C628" s="4" t="s">
        <v>23</v>
      </c>
      <c r="D628" s="4" t="s">
        <v>24</v>
      </c>
      <c r="E628" s="4" t="s">
        <v>33</v>
      </c>
      <c r="F628" s="4" t="s">
        <v>25</v>
      </c>
      <c r="G628" s="4" t="s">
        <v>25</v>
      </c>
      <c r="H628" s="4" t="s">
        <v>25</v>
      </c>
      <c r="I628" s="5">
        <v>44287</v>
      </c>
      <c r="J628" s="6">
        <v>0</v>
      </c>
      <c r="K628" s="6">
        <v>0</v>
      </c>
      <c r="L628" s="6">
        <v>0.20200000000000001</v>
      </c>
      <c r="M628" s="6">
        <v>0.20200000000000001</v>
      </c>
      <c r="N628" s="6">
        <v>0.20200000000000001</v>
      </c>
      <c r="O628" s="6">
        <v>0.20200000000000001</v>
      </c>
      <c r="P628" s="6">
        <v>0</v>
      </c>
      <c r="Q628" s="4" t="s">
        <v>26</v>
      </c>
      <c r="R628" s="4">
        <v>0</v>
      </c>
      <c r="S628" s="4">
        <v>0</v>
      </c>
      <c r="T628" s="4">
        <v>6</v>
      </c>
      <c r="U628" s="4">
        <v>52</v>
      </c>
      <c r="V628" s="6">
        <f>IF(ISERROR(VLOOKUP($S$628,'TAR FIN'!$A$1:$O$95,15,0)),0,VLOOKUP($S$628,'TAR FIN'!$A$1:$O$95,15,0))</f>
        <v>0</v>
      </c>
      <c r="W628" s="6">
        <f>IF(ISERROR(VLOOKUP($T$628,'TAR FIN'!$A$1:$O$95,15,0)),0,VLOOKUP($T$628,'TAR FIN'!$A$1:$O$95,15,0))</f>
        <v>378.36</v>
      </c>
      <c r="X628" s="6">
        <f>IF(ISERROR(VLOOKUP($U$628,'TAR FIN'!$A$1:$O$95,15,0)),0,VLOOKUP($U$628,'TAR FIN'!$A$1:$O$95,15,0))</f>
        <v>218.97</v>
      </c>
      <c r="Y628" s="6"/>
      <c r="Z628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28" s="6">
        <f>('TE BE'!$AA$16+'TE BF'!$AA$16+'TE CVA'!$AA$16)*(1-CUSTOS!$M$36)</f>
        <v>267.48149736117364</v>
      </c>
      <c r="AB628" s="6">
        <f t="shared" si="24"/>
        <v>0</v>
      </c>
      <c r="AC628" s="6">
        <f>(L628-M628)*(W628+X628)+($W$660+$X$660-$W$628-$X$628)*(L628)</f>
        <v>13.40472000000001</v>
      </c>
      <c r="AD628" s="6">
        <f t="shared" si="25"/>
        <v>0</v>
      </c>
      <c r="AE628" s="6">
        <f ca="1">(L628-M628)*(Z628+AA628)+($Z$660+$AA$660-$Z$628-$AA$628)*(L628)</f>
        <v>15.296265398754981</v>
      </c>
      <c r="AF628" s="4" t="s">
        <v>845</v>
      </c>
    </row>
    <row r="629" spans="1:32" ht="11.25" customHeight="1" x14ac:dyDescent="0.25">
      <c r="A629" s="4" t="s">
        <v>21</v>
      </c>
      <c r="B629" s="4" t="s">
        <v>22</v>
      </c>
      <c r="C629" s="4" t="s">
        <v>23</v>
      </c>
      <c r="D629" s="4" t="s">
        <v>24</v>
      </c>
      <c r="E629" s="4" t="s">
        <v>33</v>
      </c>
      <c r="F629" s="4" t="s">
        <v>25</v>
      </c>
      <c r="G629" s="4" t="s">
        <v>25</v>
      </c>
      <c r="H629" s="4" t="s">
        <v>25</v>
      </c>
      <c r="I629" s="5">
        <v>44317</v>
      </c>
      <c r="J629" s="6">
        <v>0</v>
      </c>
      <c r="K629" s="6">
        <v>0</v>
      </c>
      <c r="L629" s="6">
        <v>3425.6179999999999</v>
      </c>
      <c r="M629" s="6">
        <v>3425.6179999999999</v>
      </c>
      <c r="N629" s="6">
        <v>3425.6179999999999</v>
      </c>
      <c r="O629" s="6">
        <v>3425.6179999999999</v>
      </c>
      <c r="P629" s="6">
        <v>23518</v>
      </c>
      <c r="Q629" s="4" t="s">
        <v>26</v>
      </c>
      <c r="R629" s="4">
        <v>0</v>
      </c>
      <c r="S629" s="4">
        <v>0</v>
      </c>
      <c r="T629" s="4">
        <v>6</v>
      </c>
      <c r="U629" s="4">
        <v>52</v>
      </c>
      <c r="V629" s="6">
        <f>IF(ISERROR(VLOOKUP($S$629,'TAR FIN'!$A$1:$O$95,15,0)),0,VLOOKUP($S$629,'TAR FIN'!$A$1:$O$95,15,0))</f>
        <v>0</v>
      </c>
      <c r="W629" s="6">
        <f>IF(ISERROR(VLOOKUP($T$629,'TAR FIN'!$A$1:$O$95,15,0)),0,VLOOKUP($T$629,'TAR FIN'!$A$1:$O$95,15,0))</f>
        <v>378.36</v>
      </c>
      <c r="X629" s="6">
        <f>IF(ISERROR(VLOOKUP($U$629,'TAR FIN'!$A$1:$O$95,15,0)),0,VLOOKUP($U$629,'TAR FIN'!$A$1:$O$95,15,0))</f>
        <v>218.97</v>
      </c>
      <c r="Y629" s="6"/>
      <c r="Z629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29" s="6">
        <f>('TE BE'!$AA$16+'TE BF'!$AA$16+'TE CVA'!$AA$16)*(1-CUSTOS!$M$36)</f>
        <v>267.48149736117364</v>
      </c>
      <c r="AB629" s="6">
        <f t="shared" si="24"/>
        <v>0</v>
      </c>
      <c r="AC629" s="6">
        <f>(L629-M629)*(W629+X629)+($W$660+$X$660-$W$629-$X$629)*(L629)</f>
        <v>227324.01048000014</v>
      </c>
      <c r="AD629" s="6">
        <f t="shared" si="25"/>
        <v>0</v>
      </c>
      <c r="AE629" s="6">
        <f ca="1">(L629-M629)*(Z629+AA629)+($Z$660+$AA$660-$Z$629-$AA$629)*(L629)</f>
        <v>259401.79248887245</v>
      </c>
      <c r="AF629" s="4" t="s">
        <v>845</v>
      </c>
    </row>
    <row r="630" spans="1:32" ht="11.25" customHeight="1" x14ac:dyDescent="0.25">
      <c r="A630" s="4" t="s">
        <v>27</v>
      </c>
      <c r="B630" s="4" t="s">
        <v>22</v>
      </c>
      <c r="C630" s="4" t="s">
        <v>23</v>
      </c>
      <c r="D630" s="4" t="s">
        <v>24</v>
      </c>
      <c r="E630" s="4" t="s">
        <v>33</v>
      </c>
      <c r="F630" s="4" t="s">
        <v>25</v>
      </c>
      <c r="G630" s="4" t="s">
        <v>25</v>
      </c>
      <c r="H630" s="4" t="s">
        <v>25</v>
      </c>
      <c r="I630" s="5">
        <v>44317</v>
      </c>
      <c r="J630" s="6">
        <v>0</v>
      </c>
      <c r="K630" s="6">
        <v>0</v>
      </c>
      <c r="L630" s="6">
        <v>-7.1070000000000002</v>
      </c>
      <c r="M630" s="6">
        <v>-7.1070000000000002</v>
      </c>
      <c r="N630" s="6">
        <v>-7.1070000000000002</v>
      </c>
      <c r="O630" s="6">
        <v>-7.1070000000000002</v>
      </c>
      <c r="P630" s="6">
        <v>0</v>
      </c>
      <c r="Q630" s="4" t="s">
        <v>26</v>
      </c>
      <c r="R630" s="4">
        <v>0</v>
      </c>
      <c r="S630" s="4">
        <v>0</v>
      </c>
      <c r="T630" s="4">
        <v>6</v>
      </c>
      <c r="U630" s="4">
        <v>52</v>
      </c>
      <c r="V630" s="6">
        <f>IF(ISERROR(VLOOKUP($S$630,'TAR FIN'!$A$1:$O$95,15,0)),0,VLOOKUP($S$630,'TAR FIN'!$A$1:$O$95,15,0))</f>
        <v>0</v>
      </c>
      <c r="W630" s="6">
        <f>IF(ISERROR(VLOOKUP($T$630,'TAR FIN'!$A$1:$O$95,15,0)),0,VLOOKUP($T$630,'TAR FIN'!$A$1:$O$95,15,0))</f>
        <v>378.36</v>
      </c>
      <c r="X630" s="6">
        <f>IF(ISERROR(VLOOKUP($U$630,'TAR FIN'!$A$1:$O$95,15,0)),0,VLOOKUP($U$630,'TAR FIN'!$A$1:$O$95,15,0))</f>
        <v>218.97</v>
      </c>
      <c r="Y630" s="6"/>
      <c r="Z630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30" s="6">
        <f>('TE BE'!$AA$16+'TE BF'!$AA$16+'TE CVA'!$AA$16)*(1-CUSTOS!$M$36)</f>
        <v>267.48149736117364</v>
      </c>
      <c r="AB630" s="6">
        <f t="shared" si="24"/>
        <v>0</v>
      </c>
      <c r="AC630" s="6">
        <f>(L630-M630)*(W630+X630)+($W$660+$X$660-$W$630-$X$630)*(L630)</f>
        <v>-471.62052000000034</v>
      </c>
      <c r="AD630" s="6">
        <f t="shared" si="25"/>
        <v>0</v>
      </c>
      <c r="AE630" s="6">
        <f ca="1">(L630-M630)*(Z630+AA630)+($Z$660+$AA$660-$Z$630-$AA$630)*(L630)</f>
        <v>-538.17108014332496</v>
      </c>
      <c r="AF630" s="4" t="s">
        <v>845</v>
      </c>
    </row>
    <row r="631" spans="1:32" ht="11.25" customHeight="1" x14ac:dyDescent="0.25">
      <c r="A631" s="4" t="s">
        <v>28</v>
      </c>
      <c r="B631" s="4" t="s">
        <v>22</v>
      </c>
      <c r="C631" s="4" t="s">
        <v>23</v>
      </c>
      <c r="D631" s="4" t="s">
        <v>24</v>
      </c>
      <c r="E631" s="4" t="s">
        <v>33</v>
      </c>
      <c r="F631" s="4" t="s">
        <v>25</v>
      </c>
      <c r="G631" s="4" t="s">
        <v>25</v>
      </c>
      <c r="H631" s="4" t="s">
        <v>25</v>
      </c>
      <c r="I631" s="5">
        <v>44317</v>
      </c>
      <c r="J631" s="6">
        <v>0</v>
      </c>
      <c r="K631" s="6">
        <v>0</v>
      </c>
      <c r="L631" s="6">
        <v>5090.8789999999999</v>
      </c>
      <c r="M631" s="6">
        <v>5090.8789999999999</v>
      </c>
      <c r="N631" s="6">
        <v>5090.8789999999999</v>
      </c>
      <c r="O631" s="6">
        <v>5090.8789999999999</v>
      </c>
      <c r="P631" s="6">
        <v>47544</v>
      </c>
      <c r="Q631" s="4" t="s">
        <v>26</v>
      </c>
      <c r="R631" s="4">
        <v>0</v>
      </c>
      <c r="S631" s="4">
        <v>0</v>
      </c>
      <c r="T631" s="4">
        <v>6</v>
      </c>
      <c r="U631" s="4">
        <v>52</v>
      </c>
      <c r="V631" s="6">
        <f>IF(ISERROR(VLOOKUP($S$631,'TAR FIN'!$A$1:$O$95,15,0)),0,VLOOKUP($S$631,'TAR FIN'!$A$1:$O$95,15,0))</f>
        <v>0</v>
      </c>
      <c r="W631" s="6">
        <f>IF(ISERROR(VLOOKUP($T$631,'TAR FIN'!$A$1:$O$95,15,0)),0,VLOOKUP($T$631,'TAR FIN'!$A$1:$O$95,15,0))</f>
        <v>378.36</v>
      </c>
      <c r="X631" s="6">
        <f>IF(ISERROR(VLOOKUP($U$631,'TAR FIN'!$A$1:$O$95,15,0)),0,VLOOKUP($U$631,'TAR FIN'!$A$1:$O$95,15,0))</f>
        <v>218.97</v>
      </c>
      <c r="Y631" s="6"/>
      <c r="Z631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31" s="6">
        <f>('TE BE'!$AA$16+'TE BF'!$AA$16+'TE CVA'!$AA$16)*(1-CUSTOS!$M$36)</f>
        <v>267.48149736117364</v>
      </c>
      <c r="AB631" s="6">
        <f t="shared" si="24"/>
        <v>0</v>
      </c>
      <c r="AC631" s="6">
        <f>(L631-M631)*(W631+X631)+($W$660+$X$660-$W$631-$X$631)*(L631)</f>
        <v>337830.73044000019</v>
      </c>
      <c r="AD631" s="6">
        <f t="shared" si="25"/>
        <v>0</v>
      </c>
      <c r="AE631" s="6">
        <f ca="1">(L631-M631)*(Z631+AA631)+($Z$660+$AA$660-$Z$631-$AA$631)*(L631)</f>
        <v>385502.15988588292</v>
      </c>
      <c r="AF631" s="4" t="s">
        <v>845</v>
      </c>
    </row>
    <row r="632" spans="1:32" ht="11.25" customHeight="1" x14ac:dyDescent="0.25">
      <c r="A632" s="4" t="s">
        <v>29</v>
      </c>
      <c r="B632" s="4" t="s">
        <v>22</v>
      </c>
      <c r="C632" s="4" t="s">
        <v>23</v>
      </c>
      <c r="D632" s="4" t="s">
        <v>24</v>
      </c>
      <c r="E632" s="4" t="s">
        <v>33</v>
      </c>
      <c r="F632" s="4" t="s">
        <v>25</v>
      </c>
      <c r="G632" s="4" t="s">
        <v>25</v>
      </c>
      <c r="H632" s="4" t="s">
        <v>25</v>
      </c>
      <c r="I632" s="5">
        <v>44317</v>
      </c>
      <c r="J632" s="6">
        <v>0</v>
      </c>
      <c r="K632" s="6">
        <v>0</v>
      </c>
      <c r="L632" s="6">
        <v>-18.498000000000001</v>
      </c>
      <c r="M632" s="6">
        <v>-18.498000000000001</v>
      </c>
      <c r="N632" s="6">
        <v>-18.498000000000001</v>
      </c>
      <c r="O632" s="6">
        <v>-18.498000000000001</v>
      </c>
      <c r="P632" s="6">
        <v>0</v>
      </c>
      <c r="Q632" s="4" t="s">
        <v>26</v>
      </c>
      <c r="R632" s="4">
        <v>0</v>
      </c>
      <c r="S632" s="4">
        <v>0</v>
      </c>
      <c r="T632" s="4">
        <v>6</v>
      </c>
      <c r="U632" s="4">
        <v>52</v>
      </c>
      <c r="V632" s="6">
        <f>IF(ISERROR(VLOOKUP($S$632,'TAR FIN'!$A$1:$O$95,15,0)),0,VLOOKUP($S$632,'TAR FIN'!$A$1:$O$95,15,0))</f>
        <v>0</v>
      </c>
      <c r="W632" s="6">
        <f>IF(ISERROR(VLOOKUP($T$632,'TAR FIN'!$A$1:$O$95,15,0)),0,VLOOKUP($T$632,'TAR FIN'!$A$1:$O$95,15,0))</f>
        <v>378.36</v>
      </c>
      <c r="X632" s="6">
        <f>IF(ISERROR(VLOOKUP($U$632,'TAR FIN'!$A$1:$O$95,15,0)),0,VLOOKUP($U$632,'TAR FIN'!$A$1:$O$95,15,0))</f>
        <v>218.97</v>
      </c>
      <c r="Y632" s="6"/>
      <c r="Z632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32" s="6">
        <f>('TE BE'!$AA$16+'TE BF'!$AA$16+'TE CVA'!$AA$16)*(1-CUSTOS!$M$36)</f>
        <v>267.48149736117364</v>
      </c>
      <c r="AB632" s="6">
        <f t="shared" si="24"/>
        <v>0</v>
      </c>
      <c r="AC632" s="6">
        <f>(L632-M632)*(W632+X632)+($W$660+$X$660-$W$632-$X$632)*(L632)</f>
        <v>-1227.5272800000009</v>
      </c>
      <c r="AD632" s="6">
        <f t="shared" si="25"/>
        <v>0</v>
      </c>
      <c r="AE632" s="6">
        <f ca="1">(L632-M632)*(Z632+AA632)+($Z$660+$AA$660-$Z$632-$AA$632)*(L632)</f>
        <v>-1400.7441452780674</v>
      </c>
      <c r="AF632" s="4" t="s">
        <v>845</v>
      </c>
    </row>
    <row r="633" spans="1:32" ht="11.25" customHeight="1" x14ac:dyDescent="0.25">
      <c r="A633" s="4" t="s">
        <v>30</v>
      </c>
      <c r="B633" s="4" t="s">
        <v>22</v>
      </c>
      <c r="C633" s="4" t="s">
        <v>23</v>
      </c>
      <c r="D633" s="4" t="s">
        <v>24</v>
      </c>
      <c r="E633" s="4" t="s">
        <v>33</v>
      </c>
      <c r="F633" s="4" t="s">
        <v>25</v>
      </c>
      <c r="G633" s="4" t="s">
        <v>25</v>
      </c>
      <c r="H633" s="4" t="s">
        <v>25</v>
      </c>
      <c r="I633" s="5">
        <v>44317</v>
      </c>
      <c r="J633" s="6">
        <v>0</v>
      </c>
      <c r="K633" s="6">
        <v>0</v>
      </c>
      <c r="L633" s="6">
        <v>0.36</v>
      </c>
      <c r="M633" s="6">
        <v>0.36</v>
      </c>
      <c r="N633" s="6">
        <v>0.36</v>
      </c>
      <c r="O633" s="6">
        <v>0.36</v>
      </c>
      <c r="P633" s="6">
        <v>0</v>
      </c>
      <c r="Q633" s="4" t="s">
        <v>26</v>
      </c>
      <c r="R633" s="4">
        <v>0</v>
      </c>
      <c r="S633" s="4">
        <v>0</v>
      </c>
      <c r="T633" s="4">
        <v>6</v>
      </c>
      <c r="U633" s="4">
        <v>52</v>
      </c>
      <c r="V633" s="6">
        <f>IF(ISERROR(VLOOKUP($S$633,'TAR FIN'!$A$1:$O$95,15,0)),0,VLOOKUP($S$633,'TAR FIN'!$A$1:$O$95,15,0))</f>
        <v>0</v>
      </c>
      <c r="W633" s="6">
        <f>IF(ISERROR(VLOOKUP($T$633,'TAR FIN'!$A$1:$O$95,15,0)),0,VLOOKUP($T$633,'TAR FIN'!$A$1:$O$95,15,0))</f>
        <v>378.36</v>
      </c>
      <c r="X633" s="6">
        <f>IF(ISERROR(VLOOKUP($U$633,'TAR FIN'!$A$1:$O$95,15,0)),0,VLOOKUP($U$633,'TAR FIN'!$A$1:$O$95,15,0))</f>
        <v>218.97</v>
      </c>
      <c r="Y633" s="6"/>
      <c r="Z633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33" s="6">
        <f>('TE BE'!$AA$16+'TE BF'!$AA$16+'TE CVA'!$AA$16)*(1-CUSTOS!$M$36)</f>
        <v>267.48149736117364</v>
      </c>
      <c r="AB633" s="6">
        <f t="shared" si="24"/>
        <v>0</v>
      </c>
      <c r="AC633" s="6">
        <f>(L633-M633)*(W633+X633)+($W$660+$X$660-$W$633-$X$633)*(L633)</f>
        <v>23.889600000000016</v>
      </c>
      <c r="AD633" s="6">
        <f t="shared" si="25"/>
        <v>0</v>
      </c>
      <c r="AE633" s="6">
        <f ca="1">(L633-M633)*(Z633+AA633)+($Z$660+$AA$660-$Z$633-$AA$633)*(L633)</f>
        <v>27.260671007682141</v>
      </c>
      <c r="AF633" s="4" t="s">
        <v>845</v>
      </c>
    </row>
    <row r="634" spans="1:32" ht="11.25" customHeight="1" x14ac:dyDescent="0.25">
      <c r="A634" s="4" t="s">
        <v>30</v>
      </c>
      <c r="B634" s="4" t="s">
        <v>22</v>
      </c>
      <c r="C634" s="4" t="s">
        <v>23</v>
      </c>
      <c r="D634" s="4" t="s">
        <v>24</v>
      </c>
      <c r="E634" s="4" t="s">
        <v>33</v>
      </c>
      <c r="F634" s="4" t="s">
        <v>25</v>
      </c>
      <c r="G634" s="4" t="s">
        <v>25</v>
      </c>
      <c r="H634" s="4" t="s">
        <v>25</v>
      </c>
      <c r="I634" s="5">
        <v>44317</v>
      </c>
      <c r="J634" s="6">
        <v>0</v>
      </c>
      <c r="K634" s="6">
        <v>0</v>
      </c>
      <c r="L634" s="6">
        <v>-8.2000000000000003E-2</v>
      </c>
      <c r="M634" s="6">
        <v>-8.2000000000000003E-2</v>
      </c>
      <c r="N634" s="6">
        <v>-8.2000000000000003E-2</v>
      </c>
      <c r="O634" s="6">
        <v>-8.2000000000000003E-2</v>
      </c>
      <c r="P634" s="6">
        <v>0</v>
      </c>
      <c r="Q634" s="4" t="s">
        <v>26</v>
      </c>
      <c r="R634" s="4">
        <v>0</v>
      </c>
      <c r="S634" s="4">
        <v>0</v>
      </c>
      <c r="T634" s="4">
        <v>6</v>
      </c>
      <c r="U634" s="4">
        <v>52</v>
      </c>
      <c r="V634" s="6">
        <f>IF(ISERROR(VLOOKUP($S$634,'TAR FIN'!$A$1:$O$95,15,0)),0,VLOOKUP($S$634,'TAR FIN'!$A$1:$O$95,15,0))</f>
        <v>0</v>
      </c>
      <c r="W634" s="6">
        <f>IF(ISERROR(VLOOKUP($T$634,'TAR FIN'!$A$1:$O$95,15,0)),0,VLOOKUP($T$634,'TAR FIN'!$A$1:$O$95,15,0))</f>
        <v>378.36</v>
      </c>
      <c r="X634" s="6">
        <f>IF(ISERROR(VLOOKUP($U$634,'TAR FIN'!$A$1:$O$95,15,0)),0,VLOOKUP($U$634,'TAR FIN'!$A$1:$O$95,15,0))</f>
        <v>218.97</v>
      </c>
      <c r="Y634" s="6"/>
      <c r="Z634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34" s="6">
        <f>('TE BE'!$AA$16+'TE BF'!$AA$16+'TE CVA'!$AA$16)*(1-CUSTOS!$M$36)</f>
        <v>267.48149736117364</v>
      </c>
      <c r="AB634" s="6">
        <f t="shared" si="24"/>
        <v>0</v>
      </c>
      <c r="AC634" s="6">
        <f>(L634-M634)*(W634+X634)+($W$660+$X$660-$W$634-$X$634)*(L634)</f>
        <v>-5.4415200000000032</v>
      </c>
      <c r="AD634" s="6">
        <f t="shared" si="25"/>
        <v>0</v>
      </c>
      <c r="AE634" s="6">
        <f ca="1">(L634-M634)*(Z634+AA634)+($Z$660+$AA$660-$Z$634-$AA$634)*(L634)</f>
        <v>-6.209375062860933</v>
      </c>
      <c r="AF634" s="4" t="s">
        <v>845</v>
      </c>
    </row>
    <row r="635" spans="1:32" ht="11.25" customHeight="1" x14ac:dyDescent="0.25">
      <c r="A635" s="4" t="s">
        <v>21</v>
      </c>
      <c r="B635" s="4" t="s">
        <v>22</v>
      </c>
      <c r="C635" s="4" t="s">
        <v>23</v>
      </c>
      <c r="D635" s="4" t="s">
        <v>24</v>
      </c>
      <c r="E635" s="4" t="s">
        <v>33</v>
      </c>
      <c r="F635" s="4" t="s">
        <v>25</v>
      </c>
      <c r="G635" s="4" t="s">
        <v>25</v>
      </c>
      <c r="H635" s="4" t="s">
        <v>25</v>
      </c>
      <c r="I635" s="5">
        <v>44348</v>
      </c>
      <c r="J635" s="6">
        <v>0</v>
      </c>
      <c r="K635" s="6">
        <v>0</v>
      </c>
      <c r="L635" s="6">
        <v>3776.489</v>
      </c>
      <c r="M635" s="6">
        <v>3776.489</v>
      </c>
      <c r="N635" s="6">
        <v>3776.489</v>
      </c>
      <c r="O635" s="6">
        <v>3776.489</v>
      </c>
      <c r="P635" s="6">
        <v>22898</v>
      </c>
      <c r="Q635" s="4" t="s">
        <v>26</v>
      </c>
      <c r="R635" s="4">
        <v>0</v>
      </c>
      <c r="S635" s="4">
        <v>0</v>
      </c>
      <c r="T635" s="4">
        <v>6</v>
      </c>
      <c r="U635" s="4">
        <v>52</v>
      </c>
      <c r="V635" s="6">
        <f>IF(ISERROR(VLOOKUP($S$635,'TAR FIN'!$A$1:$O$95,15,0)),0,VLOOKUP($S$635,'TAR FIN'!$A$1:$O$95,15,0))</f>
        <v>0</v>
      </c>
      <c r="W635" s="6">
        <f>IF(ISERROR(VLOOKUP($T$635,'TAR FIN'!$A$1:$O$95,15,0)),0,VLOOKUP($T$635,'TAR FIN'!$A$1:$O$95,15,0))</f>
        <v>378.36</v>
      </c>
      <c r="X635" s="6">
        <f>IF(ISERROR(VLOOKUP($U$635,'TAR FIN'!$A$1:$O$95,15,0)),0,VLOOKUP($U$635,'TAR FIN'!$A$1:$O$95,15,0))</f>
        <v>218.97</v>
      </c>
      <c r="Y635" s="6"/>
      <c r="Z635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35" s="6">
        <f>('TE BE'!$AA$16+'TE BF'!$AA$16+'TE CVA'!$AA$16)*(1-CUSTOS!$M$36)</f>
        <v>267.48149736117364</v>
      </c>
      <c r="AB635" s="6">
        <f t="shared" si="24"/>
        <v>0</v>
      </c>
      <c r="AC635" s="6">
        <f>(L635-M635)*(W635+X635)+($W$660+$X$660-$W$635-$X$635)*(L635)</f>
        <v>250607.81004000016</v>
      </c>
      <c r="AD635" s="6">
        <f t="shared" si="25"/>
        <v>0</v>
      </c>
      <c r="AE635" s="6">
        <f ca="1">(L635-M635)*(Z635+AA635)+($Z$660+$AA$660-$Z$635-$AA$635)*(L635)</f>
        <v>285971.17831425148</v>
      </c>
      <c r="AF635" s="4" t="s">
        <v>845</v>
      </c>
    </row>
    <row r="636" spans="1:32" ht="11.25" customHeight="1" x14ac:dyDescent="0.25">
      <c r="A636" s="4" t="s">
        <v>27</v>
      </c>
      <c r="B636" s="4" t="s">
        <v>22</v>
      </c>
      <c r="C636" s="4" t="s">
        <v>23</v>
      </c>
      <c r="D636" s="4" t="s">
        <v>24</v>
      </c>
      <c r="E636" s="4" t="s">
        <v>33</v>
      </c>
      <c r="F636" s="4" t="s">
        <v>25</v>
      </c>
      <c r="G636" s="4" t="s">
        <v>25</v>
      </c>
      <c r="H636" s="4" t="s">
        <v>25</v>
      </c>
      <c r="I636" s="5">
        <v>44348</v>
      </c>
      <c r="J636" s="6">
        <v>0</v>
      </c>
      <c r="K636" s="6">
        <v>0</v>
      </c>
      <c r="L636" s="6">
        <v>-10.093</v>
      </c>
      <c r="M636" s="6">
        <v>-10.093</v>
      </c>
      <c r="N636" s="6">
        <v>-10.093</v>
      </c>
      <c r="O636" s="6">
        <v>-10.093</v>
      </c>
      <c r="P636" s="6">
        <v>0</v>
      </c>
      <c r="Q636" s="4" t="s">
        <v>26</v>
      </c>
      <c r="R636" s="4">
        <v>0</v>
      </c>
      <c r="S636" s="4">
        <v>0</v>
      </c>
      <c r="T636" s="4">
        <v>6</v>
      </c>
      <c r="U636" s="4">
        <v>52</v>
      </c>
      <c r="V636" s="6">
        <f>IF(ISERROR(VLOOKUP($S$636,'TAR FIN'!$A$1:$O$95,15,0)),0,VLOOKUP($S$636,'TAR FIN'!$A$1:$O$95,15,0))</f>
        <v>0</v>
      </c>
      <c r="W636" s="6">
        <f>IF(ISERROR(VLOOKUP($T$636,'TAR FIN'!$A$1:$O$95,15,0)),0,VLOOKUP($T$636,'TAR FIN'!$A$1:$O$95,15,0))</f>
        <v>378.36</v>
      </c>
      <c r="X636" s="6">
        <f>IF(ISERROR(VLOOKUP($U$636,'TAR FIN'!$A$1:$O$95,15,0)),0,VLOOKUP($U$636,'TAR FIN'!$A$1:$O$95,15,0))</f>
        <v>218.97</v>
      </c>
      <c r="Y636" s="6"/>
      <c r="Z636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36" s="6">
        <f>('TE BE'!$AA$16+'TE BF'!$AA$16+'TE CVA'!$AA$16)*(1-CUSTOS!$M$36)</f>
        <v>267.48149736117364</v>
      </c>
      <c r="AB636" s="6">
        <f t="shared" si="24"/>
        <v>0</v>
      </c>
      <c r="AC636" s="6">
        <f>(L636-M636)*(W636+X636)+($W$660+$X$660-$W$636-$X$636)*(L636)</f>
        <v>-669.77148000000045</v>
      </c>
      <c r="AD636" s="6">
        <f t="shared" si="25"/>
        <v>0</v>
      </c>
      <c r="AE636" s="6">
        <f ca="1">(L636-M636)*(Z636+AA636)+($Z$660+$AA$660-$Z$636-$AA$636)*(L636)</f>
        <v>-764.2832013348218</v>
      </c>
      <c r="AF636" s="4" t="s">
        <v>845</v>
      </c>
    </row>
    <row r="637" spans="1:32" ht="11.25" customHeight="1" x14ac:dyDescent="0.25">
      <c r="A637" s="4" t="s">
        <v>28</v>
      </c>
      <c r="B637" s="4" t="s">
        <v>22</v>
      </c>
      <c r="C637" s="4" t="s">
        <v>23</v>
      </c>
      <c r="D637" s="4" t="s">
        <v>24</v>
      </c>
      <c r="E637" s="4" t="s">
        <v>33</v>
      </c>
      <c r="F637" s="4" t="s">
        <v>25</v>
      </c>
      <c r="G637" s="4" t="s">
        <v>25</v>
      </c>
      <c r="H637" s="4" t="s">
        <v>25</v>
      </c>
      <c r="I637" s="5">
        <v>44348</v>
      </c>
      <c r="J637" s="6">
        <v>0</v>
      </c>
      <c r="K637" s="6">
        <v>0</v>
      </c>
      <c r="L637" s="6">
        <v>5385.8019999999997</v>
      </c>
      <c r="M637" s="6">
        <v>5385.8019999999997</v>
      </c>
      <c r="N637" s="6">
        <v>5385.8019999999997</v>
      </c>
      <c r="O637" s="6">
        <v>5385.8019999999997</v>
      </c>
      <c r="P637" s="6">
        <v>47978</v>
      </c>
      <c r="Q637" s="4" t="s">
        <v>26</v>
      </c>
      <c r="R637" s="4">
        <v>0</v>
      </c>
      <c r="S637" s="4">
        <v>0</v>
      </c>
      <c r="T637" s="4">
        <v>6</v>
      </c>
      <c r="U637" s="4">
        <v>52</v>
      </c>
      <c r="V637" s="6">
        <f>IF(ISERROR(VLOOKUP($S$637,'TAR FIN'!$A$1:$O$95,15,0)),0,VLOOKUP($S$637,'TAR FIN'!$A$1:$O$95,15,0))</f>
        <v>0</v>
      </c>
      <c r="W637" s="6">
        <f>IF(ISERROR(VLOOKUP($T$637,'TAR FIN'!$A$1:$O$95,15,0)),0,VLOOKUP($T$637,'TAR FIN'!$A$1:$O$95,15,0))</f>
        <v>378.36</v>
      </c>
      <c r="X637" s="6">
        <f>IF(ISERROR(VLOOKUP($U$637,'TAR FIN'!$A$1:$O$95,15,0)),0,VLOOKUP($U$637,'TAR FIN'!$A$1:$O$95,15,0))</f>
        <v>218.97</v>
      </c>
      <c r="Y637" s="6"/>
      <c r="Z637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37" s="6">
        <f>('TE BE'!$AA$16+'TE BF'!$AA$16+'TE CVA'!$AA$16)*(1-CUSTOS!$M$36)</f>
        <v>267.48149736117364</v>
      </c>
      <c r="AB637" s="6">
        <f t="shared" si="24"/>
        <v>0</v>
      </c>
      <c r="AC637" s="6">
        <f>(L637-M637)*(W637+X637)+($W$660+$X$660-$W$637-$X$637)*(L637)</f>
        <v>357401.82072000019</v>
      </c>
      <c r="AD637" s="6">
        <f t="shared" si="25"/>
        <v>0</v>
      </c>
      <c r="AE637" s="6">
        <f ca="1">(L637-M637)*(Z637+AA637)+($Z$660+$AA$660-$Z$637-$AA$637)*(L637)</f>
        <v>407834.93454032356</v>
      </c>
      <c r="AF637" s="4" t="s">
        <v>845</v>
      </c>
    </row>
    <row r="638" spans="1:32" ht="11.25" customHeight="1" x14ac:dyDescent="0.25">
      <c r="A638" s="4" t="s">
        <v>29</v>
      </c>
      <c r="B638" s="4" t="s">
        <v>22</v>
      </c>
      <c r="C638" s="4" t="s">
        <v>23</v>
      </c>
      <c r="D638" s="4" t="s">
        <v>24</v>
      </c>
      <c r="E638" s="4" t="s">
        <v>33</v>
      </c>
      <c r="F638" s="4" t="s">
        <v>25</v>
      </c>
      <c r="G638" s="4" t="s">
        <v>25</v>
      </c>
      <c r="H638" s="4" t="s">
        <v>25</v>
      </c>
      <c r="I638" s="5">
        <v>44348</v>
      </c>
      <c r="J638" s="6">
        <v>0</v>
      </c>
      <c r="K638" s="6">
        <v>0</v>
      </c>
      <c r="L638" s="6">
        <v>-13.67</v>
      </c>
      <c r="M638" s="6">
        <v>-13.67</v>
      </c>
      <c r="N638" s="6">
        <v>-13.67</v>
      </c>
      <c r="O638" s="6">
        <v>-13.67</v>
      </c>
      <c r="P638" s="6">
        <v>0</v>
      </c>
      <c r="Q638" s="4" t="s">
        <v>26</v>
      </c>
      <c r="R638" s="4">
        <v>0</v>
      </c>
      <c r="S638" s="4">
        <v>0</v>
      </c>
      <c r="T638" s="4">
        <v>6</v>
      </c>
      <c r="U638" s="4">
        <v>52</v>
      </c>
      <c r="V638" s="6">
        <f>IF(ISERROR(VLOOKUP($S$638,'TAR FIN'!$A$1:$O$95,15,0)),0,VLOOKUP($S$638,'TAR FIN'!$A$1:$O$95,15,0))</f>
        <v>0</v>
      </c>
      <c r="W638" s="6">
        <f>IF(ISERROR(VLOOKUP($T$638,'TAR FIN'!$A$1:$O$95,15,0)),0,VLOOKUP($T$638,'TAR FIN'!$A$1:$O$95,15,0))</f>
        <v>378.36</v>
      </c>
      <c r="X638" s="6">
        <f>IF(ISERROR(VLOOKUP($U$638,'TAR FIN'!$A$1:$O$95,15,0)),0,VLOOKUP($U$638,'TAR FIN'!$A$1:$O$95,15,0))</f>
        <v>218.97</v>
      </c>
      <c r="Y638" s="6"/>
      <c r="Z638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38" s="6">
        <f>('TE BE'!$AA$16+'TE BF'!$AA$16+'TE CVA'!$AA$16)*(1-CUSTOS!$M$36)</f>
        <v>267.48149736117364</v>
      </c>
      <c r="AB638" s="6">
        <f t="shared" si="24"/>
        <v>0</v>
      </c>
      <c r="AC638" s="6">
        <f>(L638-M638)*(W638+X638)+($W$660+$X$660-$W$638-$X$638)*(L638)</f>
        <v>-907.14120000000059</v>
      </c>
      <c r="AD638" s="6">
        <f t="shared" si="25"/>
        <v>0</v>
      </c>
      <c r="AE638" s="6">
        <f ca="1">(L638-M638)*(Z638+AA638)+($Z$660+$AA$660-$Z$638-$AA$638)*(L638)</f>
        <v>-1035.1482574305969</v>
      </c>
      <c r="AF638" s="4" t="s">
        <v>845</v>
      </c>
    </row>
    <row r="639" spans="1:32" ht="11.25" customHeight="1" x14ac:dyDescent="0.25">
      <c r="A639" s="4" t="s">
        <v>30</v>
      </c>
      <c r="B639" s="4" t="s">
        <v>22</v>
      </c>
      <c r="C639" s="4" t="s">
        <v>23</v>
      </c>
      <c r="D639" s="4" t="s">
        <v>24</v>
      </c>
      <c r="E639" s="4" t="s">
        <v>33</v>
      </c>
      <c r="F639" s="4" t="s">
        <v>25</v>
      </c>
      <c r="G639" s="4" t="s">
        <v>25</v>
      </c>
      <c r="H639" s="4" t="s">
        <v>25</v>
      </c>
      <c r="I639" s="5">
        <v>44348</v>
      </c>
      <c r="J639" s="6">
        <v>0</v>
      </c>
      <c r="K639" s="6">
        <v>0</v>
      </c>
      <c r="L639" s="6">
        <v>0.48</v>
      </c>
      <c r="M639" s="6">
        <v>0.48</v>
      </c>
      <c r="N639" s="6">
        <v>0.48</v>
      </c>
      <c r="O639" s="6">
        <v>0.48</v>
      </c>
      <c r="P639" s="6">
        <v>0</v>
      </c>
      <c r="Q639" s="4" t="s">
        <v>26</v>
      </c>
      <c r="R639" s="4">
        <v>0</v>
      </c>
      <c r="S639" s="4">
        <v>0</v>
      </c>
      <c r="T639" s="4">
        <v>6</v>
      </c>
      <c r="U639" s="4">
        <v>52</v>
      </c>
      <c r="V639" s="6">
        <f>IF(ISERROR(VLOOKUP($S$639,'TAR FIN'!$A$1:$O$95,15,0)),0,VLOOKUP($S$639,'TAR FIN'!$A$1:$O$95,15,0))</f>
        <v>0</v>
      </c>
      <c r="W639" s="6">
        <f>IF(ISERROR(VLOOKUP($T$639,'TAR FIN'!$A$1:$O$95,15,0)),0,VLOOKUP($T$639,'TAR FIN'!$A$1:$O$95,15,0))</f>
        <v>378.36</v>
      </c>
      <c r="X639" s="6">
        <f>IF(ISERROR(VLOOKUP($U$639,'TAR FIN'!$A$1:$O$95,15,0)),0,VLOOKUP($U$639,'TAR FIN'!$A$1:$O$95,15,0))</f>
        <v>218.97</v>
      </c>
      <c r="Y639" s="6"/>
      <c r="Z639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39" s="6">
        <f>('TE BE'!$AA$16+'TE BF'!$AA$16+'TE CVA'!$AA$16)*(1-CUSTOS!$M$36)</f>
        <v>267.48149736117364</v>
      </c>
      <c r="AB639" s="6">
        <f t="shared" si="24"/>
        <v>0</v>
      </c>
      <c r="AC639" s="6">
        <f>(L639-M639)*(W639+X639)+($W$660+$X$660-$W$639-$X$639)*(L639)</f>
        <v>31.85280000000002</v>
      </c>
      <c r="AD639" s="6">
        <f t="shared" si="25"/>
        <v>0</v>
      </c>
      <c r="AE639" s="6">
        <f ca="1">(L639-M639)*(Z639+AA639)+($Z$660+$AA$660-$Z$639-$AA$639)*(L639)</f>
        <v>36.347561343576189</v>
      </c>
      <c r="AF639" s="4" t="s">
        <v>845</v>
      </c>
    </row>
    <row r="640" spans="1:32" ht="11.25" customHeight="1" x14ac:dyDescent="0.25">
      <c r="A640" s="4" t="s">
        <v>21</v>
      </c>
      <c r="B640" s="4" t="s">
        <v>22</v>
      </c>
      <c r="C640" s="4" t="s">
        <v>23</v>
      </c>
      <c r="D640" s="4" t="s">
        <v>24</v>
      </c>
      <c r="E640" s="4" t="s">
        <v>33</v>
      </c>
      <c r="F640" s="4" t="s">
        <v>25</v>
      </c>
      <c r="G640" s="4" t="s">
        <v>25</v>
      </c>
      <c r="H640" s="4" t="s">
        <v>25</v>
      </c>
      <c r="I640" s="5">
        <v>44378</v>
      </c>
      <c r="J640" s="6">
        <v>0</v>
      </c>
      <c r="K640" s="6">
        <v>0</v>
      </c>
      <c r="L640" s="6">
        <v>3521.1669999999999</v>
      </c>
      <c r="M640" s="6">
        <v>3521.1669999999999</v>
      </c>
      <c r="N640" s="6">
        <v>3521.1669999999999</v>
      </c>
      <c r="O640" s="6">
        <v>3521.1669999999999</v>
      </c>
      <c r="P640" s="6">
        <v>23479</v>
      </c>
      <c r="Q640" s="4" t="s">
        <v>26</v>
      </c>
      <c r="R640" s="4">
        <v>0</v>
      </c>
      <c r="S640" s="4">
        <v>0</v>
      </c>
      <c r="T640" s="4">
        <v>6</v>
      </c>
      <c r="U640" s="4">
        <v>52</v>
      </c>
      <c r="V640" s="6">
        <f>IF(ISERROR(VLOOKUP($S$640,'TAR FIN'!$A$1:$O$95,15,0)),0,VLOOKUP($S$640,'TAR FIN'!$A$1:$O$95,15,0))</f>
        <v>0</v>
      </c>
      <c r="W640" s="6">
        <f>IF(ISERROR(VLOOKUP($T$640,'TAR FIN'!$A$1:$O$95,15,0)),0,VLOOKUP($T$640,'TAR FIN'!$A$1:$O$95,15,0))</f>
        <v>378.36</v>
      </c>
      <c r="X640" s="6">
        <f>IF(ISERROR(VLOOKUP($U$640,'TAR FIN'!$A$1:$O$95,15,0)),0,VLOOKUP($U$640,'TAR FIN'!$A$1:$O$95,15,0))</f>
        <v>218.97</v>
      </c>
      <c r="Y640" s="6"/>
      <c r="Z640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40" s="6">
        <f>('TE BE'!$AA$16+'TE BF'!$AA$16+'TE CVA'!$AA$16)*(1-CUSTOS!$M$36)</f>
        <v>267.48149736117364</v>
      </c>
      <c r="AB640" s="6">
        <f t="shared" si="24"/>
        <v>0</v>
      </c>
      <c r="AC640" s="6">
        <f>(L640-M640)*(W640+X640)+($W$660+$X$660-$W$640-$X$640)*(L640)</f>
        <v>233664.64212000015</v>
      </c>
      <c r="AD640" s="6">
        <f t="shared" si="25"/>
        <v>0</v>
      </c>
      <c r="AE640" s="6">
        <f ca="1">(L640-M640)*(Z640+AA640)+($Z$660+$AA$660-$Z$640-$AA$640)*(L640)</f>
        <v>266637.15319474193</v>
      </c>
      <c r="AF640" s="4" t="s">
        <v>845</v>
      </c>
    </row>
    <row r="641" spans="1:32" ht="11.25" customHeight="1" x14ac:dyDescent="0.25">
      <c r="A641" s="4" t="s">
        <v>27</v>
      </c>
      <c r="B641" s="4" t="s">
        <v>22</v>
      </c>
      <c r="C641" s="4" t="s">
        <v>23</v>
      </c>
      <c r="D641" s="4" t="s">
        <v>24</v>
      </c>
      <c r="E641" s="4" t="s">
        <v>33</v>
      </c>
      <c r="F641" s="4" t="s">
        <v>25</v>
      </c>
      <c r="G641" s="4" t="s">
        <v>25</v>
      </c>
      <c r="H641" s="4" t="s">
        <v>25</v>
      </c>
      <c r="I641" s="5">
        <v>44378</v>
      </c>
      <c r="J641" s="6">
        <v>0</v>
      </c>
      <c r="K641" s="6">
        <v>0</v>
      </c>
      <c r="L641" s="6">
        <v>-21.87</v>
      </c>
      <c r="M641" s="6">
        <v>-21.87</v>
      </c>
      <c r="N641" s="6">
        <v>-21.87</v>
      </c>
      <c r="O641" s="6">
        <v>-21.87</v>
      </c>
      <c r="P641" s="6">
        <v>0</v>
      </c>
      <c r="Q641" s="4" t="s">
        <v>26</v>
      </c>
      <c r="R641" s="4">
        <v>0</v>
      </c>
      <c r="S641" s="4">
        <v>0</v>
      </c>
      <c r="T641" s="4">
        <v>6</v>
      </c>
      <c r="U641" s="4">
        <v>52</v>
      </c>
      <c r="V641" s="6">
        <f>IF(ISERROR(VLOOKUP($S$641,'TAR FIN'!$A$1:$O$95,15,0)),0,VLOOKUP($S$641,'TAR FIN'!$A$1:$O$95,15,0))</f>
        <v>0</v>
      </c>
      <c r="W641" s="6">
        <f>IF(ISERROR(VLOOKUP($T$641,'TAR FIN'!$A$1:$O$95,15,0)),0,VLOOKUP($T$641,'TAR FIN'!$A$1:$O$95,15,0))</f>
        <v>378.36</v>
      </c>
      <c r="X641" s="6">
        <f>IF(ISERROR(VLOOKUP($U$641,'TAR FIN'!$A$1:$O$95,15,0)),0,VLOOKUP($U$641,'TAR FIN'!$A$1:$O$95,15,0))</f>
        <v>218.97</v>
      </c>
      <c r="Y641" s="6"/>
      <c r="Z641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41" s="6">
        <f>('TE BE'!$AA$16+'TE BF'!$AA$16+'TE CVA'!$AA$16)*(1-CUSTOS!$M$36)</f>
        <v>267.48149736117364</v>
      </c>
      <c r="AB641" s="6">
        <f t="shared" si="24"/>
        <v>0</v>
      </c>
      <c r="AC641" s="6">
        <f>(L641-M641)*(W641+X641)+($W$660+$X$660-$W$641-$X$641)*(L641)</f>
        <v>-1451.293200000001</v>
      </c>
      <c r="AD641" s="6">
        <f t="shared" si="25"/>
        <v>0</v>
      </c>
      <c r="AE641" s="6">
        <f ca="1">(L641-M641)*(Z641+AA641)+($Z$660+$AA$660-$Z$641-$AA$641)*(L641)</f>
        <v>-1656.0857637166903</v>
      </c>
      <c r="AF641" s="4" t="s">
        <v>845</v>
      </c>
    </row>
    <row r="642" spans="1:32" ht="11.25" customHeight="1" x14ac:dyDescent="0.25">
      <c r="A642" s="4" t="s">
        <v>28</v>
      </c>
      <c r="B642" s="4" t="s">
        <v>22</v>
      </c>
      <c r="C642" s="4" t="s">
        <v>23</v>
      </c>
      <c r="D642" s="4" t="s">
        <v>24</v>
      </c>
      <c r="E642" s="4" t="s">
        <v>33</v>
      </c>
      <c r="F642" s="4" t="s">
        <v>25</v>
      </c>
      <c r="G642" s="4" t="s">
        <v>25</v>
      </c>
      <c r="H642" s="4" t="s">
        <v>25</v>
      </c>
      <c r="I642" s="5">
        <v>44378</v>
      </c>
      <c r="J642" s="6">
        <v>0</v>
      </c>
      <c r="K642" s="6">
        <v>0</v>
      </c>
      <c r="L642" s="6">
        <v>4833.4799999999996</v>
      </c>
      <c r="M642" s="6">
        <v>4833.4799999999996</v>
      </c>
      <c r="N642" s="6">
        <v>4833.4799999999996</v>
      </c>
      <c r="O642" s="6">
        <v>4833.4799999999996</v>
      </c>
      <c r="P642" s="6">
        <v>47063</v>
      </c>
      <c r="Q642" s="4" t="s">
        <v>26</v>
      </c>
      <c r="R642" s="4">
        <v>0</v>
      </c>
      <c r="S642" s="4">
        <v>0</v>
      </c>
      <c r="T642" s="4">
        <v>6</v>
      </c>
      <c r="U642" s="4">
        <v>52</v>
      </c>
      <c r="V642" s="6">
        <f>IF(ISERROR(VLOOKUP($S$642,'TAR FIN'!$A$1:$O$95,15,0)),0,VLOOKUP($S$642,'TAR FIN'!$A$1:$O$95,15,0))</f>
        <v>0</v>
      </c>
      <c r="W642" s="6">
        <f>IF(ISERROR(VLOOKUP($T$642,'TAR FIN'!$A$1:$O$95,15,0)),0,VLOOKUP($T$642,'TAR FIN'!$A$1:$O$95,15,0))</f>
        <v>378.36</v>
      </c>
      <c r="X642" s="6">
        <f>IF(ISERROR(VLOOKUP($U$642,'TAR FIN'!$A$1:$O$95,15,0)),0,VLOOKUP($U$642,'TAR FIN'!$A$1:$O$95,15,0))</f>
        <v>218.97</v>
      </c>
      <c r="Y642" s="6"/>
      <c r="Z642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42" s="6">
        <f>('TE BE'!$AA$16+'TE BF'!$AA$16+'TE CVA'!$AA$16)*(1-CUSTOS!$M$36)</f>
        <v>267.48149736117364</v>
      </c>
      <c r="AB642" s="6">
        <f t="shared" ref="AB642:AB705" si="26">(J642-K642)*V642</f>
        <v>0</v>
      </c>
      <c r="AC642" s="6">
        <f>(L642-M642)*(W642+X642)+($W$660+$X$660-$W$642-$X$642)*(L642)</f>
        <v>320749.73280000017</v>
      </c>
      <c r="AD642" s="6">
        <f t="shared" ref="AD642:AD705" si="27">(J642-K642)*Y642</f>
        <v>0</v>
      </c>
      <c r="AE642" s="6">
        <f ca="1">(L642-M642)*(Z642+AA642)+($Z$660+$AA$660-$Z$642-$AA$642)*(L642)</f>
        <v>366010.85583947628</v>
      </c>
      <c r="AF642" s="4" t="s">
        <v>845</v>
      </c>
    </row>
    <row r="643" spans="1:32" ht="11.25" customHeight="1" x14ac:dyDescent="0.25">
      <c r="A643" s="4" t="s">
        <v>29</v>
      </c>
      <c r="B643" s="4" t="s">
        <v>22</v>
      </c>
      <c r="C643" s="4" t="s">
        <v>23</v>
      </c>
      <c r="D643" s="4" t="s">
        <v>24</v>
      </c>
      <c r="E643" s="4" t="s">
        <v>33</v>
      </c>
      <c r="F643" s="4" t="s">
        <v>25</v>
      </c>
      <c r="G643" s="4" t="s">
        <v>25</v>
      </c>
      <c r="H643" s="4" t="s">
        <v>25</v>
      </c>
      <c r="I643" s="5">
        <v>44378</v>
      </c>
      <c r="J643" s="6">
        <v>0</v>
      </c>
      <c r="K643" s="6">
        <v>0</v>
      </c>
      <c r="L643" s="6">
        <v>-14.898</v>
      </c>
      <c r="M643" s="6">
        <v>-14.898</v>
      </c>
      <c r="N643" s="6">
        <v>-14.898</v>
      </c>
      <c r="O643" s="6">
        <v>-14.898</v>
      </c>
      <c r="P643" s="6">
        <v>0</v>
      </c>
      <c r="Q643" s="4" t="s">
        <v>26</v>
      </c>
      <c r="R643" s="4">
        <v>0</v>
      </c>
      <c r="S643" s="4">
        <v>0</v>
      </c>
      <c r="T643" s="4">
        <v>6</v>
      </c>
      <c r="U643" s="4">
        <v>52</v>
      </c>
      <c r="V643" s="6">
        <f>IF(ISERROR(VLOOKUP($S$643,'TAR FIN'!$A$1:$O$95,15,0)),0,VLOOKUP($S$643,'TAR FIN'!$A$1:$O$95,15,0))</f>
        <v>0</v>
      </c>
      <c r="W643" s="6">
        <f>IF(ISERROR(VLOOKUP($T$643,'TAR FIN'!$A$1:$O$95,15,0)),0,VLOOKUP($T$643,'TAR FIN'!$A$1:$O$95,15,0))</f>
        <v>378.36</v>
      </c>
      <c r="X643" s="6">
        <f>IF(ISERROR(VLOOKUP($U$643,'TAR FIN'!$A$1:$O$95,15,0)),0,VLOOKUP($U$643,'TAR FIN'!$A$1:$O$95,15,0))</f>
        <v>218.97</v>
      </c>
      <c r="Y643" s="6"/>
      <c r="Z643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43" s="6">
        <f>('TE BE'!$AA$16+'TE BF'!$AA$16+'TE CVA'!$AA$16)*(1-CUSTOS!$M$36)</f>
        <v>267.48149736117364</v>
      </c>
      <c r="AB643" s="6">
        <f t="shared" si="26"/>
        <v>0</v>
      </c>
      <c r="AC643" s="6">
        <f>(L643-M643)*(W643+X643)+($W$660+$X$660-$W$643-$X$643)*(L643)</f>
        <v>-988.63128000000063</v>
      </c>
      <c r="AD643" s="6">
        <f t="shared" si="27"/>
        <v>0</v>
      </c>
      <c r="AE643" s="6">
        <f ca="1">(L643-M643)*(Z643+AA643)+($Z$660+$AA$660-$Z$643-$AA$643)*(L643)</f>
        <v>-1128.137435201246</v>
      </c>
      <c r="AF643" s="4" t="s">
        <v>845</v>
      </c>
    </row>
    <row r="644" spans="1:32" ht="11.25" customHeight="1" x14ac:dyDescent="0.25">
      <c r="A644" s="4" t="s">
        <v>30</v>
      </c>
      <c r="B644" s="4" t="s">
        <v>22</v>
      </c>
      <c r="C644" s="4" t="s">
        <v>23</v>
      </c>
      <c r="D644" s="4" t="s">
        <v>24</v>
      </c>
      <c r="E644" s="4" t="s">
        <v>33</v>
      </c>
      <c r="F644" s="4" t="s">
        <v>25</v>
      </c>
      <c r="G644" s="4" t="s">
        <v>25</v>
      </c>
      <c r="H644" s="4" t="s">
        <v>25</v>
      </c>
      <c r="I644" s="5">
        <v>44378</v>
      </c>
      <c r="J644" s="6">
        <v>0</v>
      </c>
      <c r="K644" s="6">
        <v>0</v>
      </c>
      <c r="L644" s="6">
        <v>0.44900000000000001</v>
      </c>
      <c r="M644" s="6">
        <v>0.44900000000000001</v>
      </c>
      <c r="N644" s="6">
        <v>0.44900000000000001</v>
      </c>
      <c r="O644" s="6">
        <v>0.44900000000000001</v>
      </c>
      <c r="P644" s="6">
        <v>0</v>
      </c>
      <c r="Q644" s="4" t="s">
        <v>26</v>
      </c>
      <c r="R644" s="4">
        <v>0</v>
      </c>
      <c r="S644" s="4">
        <v>0</v>
      </c>
      <c r="T644" s="4">
        <v>6</v>
      </c>
      <c r="U644" s="4">
        <v>52</v>
      </c>
      <c r="V644" s="6">
        <f>IF(ISERROR(VLOOKUP($S$644,'TAR FIN'!$A$1:$O$95,15,0)),0,VLOOKUP($S$644,'TAR FIN'!$A$1:$O$95,15,0))</f>
        <v>0</v>
      </c>
      <c r="W644" s="6">
        <f>IF(ISERROR(VLOOKUP($T$644,'TAR FIN'!$A$1:$O$95,15,0)),0,VLOOKUP($T$644,'TAR FIN'!$A$1:$O$95,15,0))</f>
        <v>378.36</v>
      </c>
      <c r="X644" s="6">
        <f>IF(ISERROR(VLOOKUP($U$644,'TAR FIN'!$A$1:$O$95,15,0)),0,VLOOKUP($U$644,'TAR FIN'!$A$1:$O$95,15,0))</f>
        <v>218.97</v>
      </c>
      <c r="Y644" s="6"/>
      <c r="Z644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44" s="6">
        <f>('TE BE'!$AA$16+'TE BF'!$AA$16+'TE CVA'!$AA$16)*(1-CUSTOS!$M$36)</f>
        <v>267.48149736117364</v>
      </c>
      <c r="AB644" s="6">
        <f t="shared" si="26"/>
        <v>0</v>
      </c>
      <c r="AC644" s="6">
        <f>(L644-M644)*(W644+X644)+($W$660+$X$660-$W$644-$X$644)*(L644)</f>
        <v>29.79564000000002</v>
      </c>
      <c r="AD644" s="6">
        <f t="shared" si="27"/>
        <v>0</v>
      </c>
      <c r="AE644" s="6">
        <f ca="1">(L644-M644)*(Z644+AA644)+($Z$660+$AA$660-$Z$644-$AA$644)*(L644)</f>
        <v>34.000114673470229</v>
      </c>
      <c r="AF644" s="4" t="s">
        <v>845</v>
      </c>
    </row>
    <row r="645" spans="1:32" ht="11.25" customHeight="1" x14ac:dyDescent="0.25">
      <c r="A645" s="4" t="s">
        <v>21</v>
      </c>
      <c r="B645" s="4" t="s">
        <v>22</v>
      </c>
      <c r="C645" s="4" t="s">
        <v>23</v>
      </c>
      <c r="D645" s="4" t="s">
        <v>24</v>
      </c>
      <c r="E645" s="4" t="s">
        <v>33</v>
      </c>
      <c r="F645" s="4" t="s">
        <v>25</v>
      </c>
      <c r="G645" s="4" t="s">
        <v>25</v>
      </c>
      <c r="H645" s="4" t="s">
        <v>25</v>
      </c>
      <c r="I645" s="5">
        <v>44409</v>
      </c>
      <c r="J645" s="6">
        <v>0</v>
      </c>
      <c r="K645" s="6">
        <v>0</v>
      </c>
      <c r="L645" s="6">
        <v>3850.3139999999999</v>
      </c>
      <c r="M645" s="6">
        <v>3850.3139999999999</v>
      </c>
      <c r="N645" s="6">
        <v>3850.3139999999999</v>
      </c>
      <c r="O645" s="6">
        <v>3850.3139999999999</v>
      </c>
      <c r="P645" s="6">
        <v>22755</v>
      </c>
      <c r="Q645" s="4" t="s">
        <v>26</v>
      </c>
      <c r="R645" s="4">
        <v>0</v>
      </c>
      <c r="S645" s="4">
        <v>0</v>
      </c>
      <c r="T645" s="4">
        <v>6</v>
      </c>
      <c r="U645" s="4">
        <v>52</v>
      </c>
      <c r="V645" s="6">
        <f>IF(ISERROR(VLOOKUP($S$645,'TAR FIN'!$A$1:$O$95,15,0)),0,VLOOKUP($S$645,'TAR FIN'!$A$1:$O$95,15,0))</f>
        <v>0</v>
      </c>
      <c r="W645" s="6">
        <f>IF(ISERROR(VLOOKUP($T$645,'TAR FIN'!$A$1:$O$95,15,0)),0,VLOOKUP($T$645,'TAR FIN'!$A$1:$O$95,15,0))</f>
        <v>378.36</v>
      </c>
      <c r="X645" s="6">
        <f>IF(ISERROR(VLOOKUP($U$645,'TAR FIN'!$A$1:$O$95,15,0)),0,VLOOKUP($U$645,'TAR FIN'!$A$1:$O$95,15,0))</f>
        <v>218.97</v>
      </c>
      <c r="Y645" s="6"/>
      <c r="Z645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45" s="6">
        <f>('TE BE'!$AA$16+'TE BF'!$AA$16+'TE CVA'!$AA$16)*(1-CUSTOS!$M$36)</f>
        <v>267.48149736117364</v>
      </c>
      <c r="AB645" s="6">
        <f t="shared" si="26"/>
        <v>0</v>
      </c>
      <c r="AC645" s="6">
        <f>(L645-M645)*(W645+X645)+($W$660+$X$660-$W$645-$X$645)*(L645)</f>
        <v>255506.83704000016</v>
      </c>
      <c r="AD645" s="6">
        <f t="shared" si="27"/>
        <v>0</v>
      </c>
      <c r="AE645" s="6">
        <f ca="1">(L645-M645)*(Z645+AA645)+($Z$660+$AA$660-$Z$645-$AA$645)*(L645)</f>
        <v>291561.50897297962</v>
      </c>
      <c r="AF645" s="4" t="s">
        <v>845</v>
      </c>
    </row>
    <row r="646" spans="1:32" ht="11.25" customHeight="1" x14ac:dyDescent="0.25">
      <c r="A646" s="4" t="s">
        <v>27</v>
      </c>
      <c r="B646" s="4" t="s">
        <v>22</v>
      </c>
      <c r="C646" s="4" t="s">
        <v>23</v>
      </c>
      <c r="D646" s="4" t="s">
        <v>24</v>
      </c>
      <c r="E646" s="4" t="s">
        <v>33</v>
      </c>
      <c r="F646" s="4" t="s">
        <v>25</v>
      </c>
      <c r="G646" s="4" t="s">
        <v>25</v>
      </c>
      <c r="H646" s="4" t="s">
        <v>25</v>
      </c>
      <c r="I646" s="5">
        <v>44409</v>
      </c>
      <c r="J646" s="6">
        <v>0</v>
      </c>
      <c r="K646" s="6">
        <v>0</v>
      </c>
      <c r="L646" s="6">
        <v>-22.31</v>
      </c>
      <c r="M646" s="6">
        <v>-22.31</v>
      </c>
      <c r="N646" s="6">
        <v>-22.31</v>
      </c>
      <c r="O646" s="6">
        <v>-22.31</v>
      </c>
      <c r="P646" s="6">
        <v>0</v>
      </c>
      <c r="Q646" s="4" t="s">
        <v>26</v>
      </c>
      <c r="R646" s="4">
        <v>0</v>
      </c>
      <c r="S646" s="4">
        <v>0</v>
      </c>
      <c r="T646" s="4">
        <v>6</v>
      </c>
      <c r="U646" s="4">
        <v>52</v>
      </c>
      <c r="V646" s="6">
        <f>IF(ISERROR(VLOOKUP($S$646,'TAR FIN'!$A$1:$O$95,15,0)),0,VLOOKUP($S$646,'TAR FIN'!$A$1:$O$95,15,0))</f>
        <v>0</v>
      </c>
      <c r="W646" s="6">
        <f>IF(ISERROR(VLOOKUP($T$646,'TAR FIN'!$A$1:$O$95,15,0)),0,VLOOKUP($T$646,'TAR FIN'!$A$1:$O$95,15,0))</f>
        <v>378.36</v>
      </c>
      <c r="X646" s="6">
        <f>IF(ISERROR(VLOOKUP($U$646,'TAR FIN'!$A$1:$O$95,15,0)),0,VLOOKUP($U$646,'TAR FIN'!$A$1:$O$95,15,0))</f>
        <v>218.97</v>
      </c>
      <c r="Y646" s="6"/>
      <c r="Z646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46" s="6">
        <f>('TE BE'!$AA$16+'TE BF'!$AA$16+'TE CVA'!$AA$16)*(1-CUSTOS!$M$36)</f>
        <v>267.48149736117364</v>
      </c>
      <c r="AB646" s="6">
        <f t="shared" si="26"/>
        <v>0</v>
      </c>
      <c r="AC646" s="6">
        <f>(L646-M646)*(W646+X646)+($W$660+$X$660-$W$646-$X$646)*(L646)</f>
        <v>-1480.4916000000007</v>
      </c>
      <c r="AD646" s="6">
        <f t="shared" si="27"/>
        <v>0</v>
      </c>
      <c r="AE646" s="6">
        <f ca="1">(L646-M646)*(Z646+AA646)+($Z$660+$AA$660-$Z$646-$AA$646)*(L646)</f>
        <v>-1689.4043616149681</v>
      </c>
      <c r="AF646" s="4" t="s">
        <v>845</v>
      </c>
    </row>
    <row r="647" spans="1:32" ht="11.25" customHeight="1" x14ac:dyDescent="0.25">
      <c r="A647" s="4" t="s">
        <v>28</v>
      </c>
      <c r="B647" s="4" t="s">
        <v>22</v>
      </c>
      <c r="C647" s="4" t="s">
        <v>23</v>
      </c>
      <c r="D647" s="4" t="s">
        <v>24</v>
      </c>
      <c r="E647" s="4" t="s">
        <v>33</v>
      </c>
      <c r="F647" s="4" t="s">
        <v>25</v>
      </c>
      <c r="G647" s="4" t="s">
        <v>25</v>
      </c>
      <c r="H647" s="4" t="s">
        <v>25</v>
      </c>
      <c r="I647" s="5">
        <v>44409</v>
      </c>
      <c r="J647" s="6">
        <v>0</v>
      </c>
      <c r="K647" s="6">
        <v>0</v>
      </c>
      <c r="L647" s="6">
        <v>5247.9040000000005</v>
      </c>
      <c r="M647" s="6">
        <v>5247.9040000000005</v>
      </c>
      <c r="N647" s="6">
        <v>5247.9040000000005</v>
      </c>
      <c r="O647" s="6">
        <v>5247.9040000000005</v>
      </c>
      <c r="P647" s="6">
        <v>47418</v>
      </c>
      <c r="Q647" s="4" t="s">
        <v>26</v>
      </c>
      <c r="R647" s="4">
        <v>0</v>
      </c>
      <c r="S647" s="4">
        <v>0</v>
      </c>
      <c r="T647" s="4">
        <v>6</v>
      </c>
      <c r="U647" s="4">
        <v>52</v>
      </c>
      <c r="V647" s="6">
        <f>IF(ISERROR(VLOOKUP($S$647,'TAR FIN'!$A$1:$O$95,15,0)),0,VLOOKUP($S$647,'TAR FIN'!$A$1:$O$95,15,0))</f>
        <v>0</v>
      </c>
      <c r="W647" s="6">
        <f>IF(ISERROR(VLOOKUP($T$647,'TAR FIN'!$A$1:$O$95,15,0)),0,VLOOKUP($T$647,'TAR FIN'!$A$1:$O$95,15,0))</f>
        <v>378.36</v>
      </c>
      <c r="X647" s="6">
        <f>IF(ISERROR(VLOOKUP($U$647,'TAR FIN'!$A$1:$O$95,15,0)),0,VLOOKUP($U$647,'TAR FIN'!$A$1:$O$95,15,0))</f>
        <v>218.97</v>
      </c>
      <c r="Y647" s="6"/>
      <c r="Z647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47" s="6">
        <f>('TE BE'!$AA$16+'TE BF'!$AA$16+'TE CVA'!$AA$16)*(1-CUSTOS!$M$36)</f>
        <v>267.48149736117364</v>
      </c>
      <c r="AB647" s="6">
        <f t="shared" si="26"/>
        <v>0</v>
      </c>
      <c r="AC647" s="6">
        <f>(L647-M647)*(W647+X647)+($W$660+$X$660-$W$647-$X$647)*(L647)</f>
        <v>348250.90944000025</v>
      </c>
      <c r="AD647" s="6">
        <f t="shared" si="27"/>
        <v>0</v>
      </c>
      <c r="AE647" s="6">
        <f ca="1">(L647-M647)*(Z647+AA647)+($Z$660+$AA$660-$Z$647-$AA$647)*(L647)</f>
        <v>397392.73451083101</v>
      </c>
      <c r="AF647" s="4" t="s">
        <v>845</v>
      </c>
    </row>
    <row r="648" spans="1:32" ht="11.25" customHeight="1" x14ac:dyDescent="0.25">
      <c r="A648" s="4" t="s">
        <v>29</v>
      </c>
      <c r="B648" s="4" t="s">
        <v>22</v>
      </c>
      <c r="C648" s="4" t="s">
        <v>23</v>
      </c>
      <c r="D648" s="4" t="s">
        <v>24</v>
      </c>
      <c r="E648" s="4" t="s">
        <v>33</v>
      </c>
      <c r="F648" s="4" t="s">
        <v>25</v>
      </c>
      <c r="G648" s="4" t="s">
        <v>25</v>
      </c>
      <c r="H648" s="4" t="s">
        <v>25</v>
      </c>
      <c r="I648" s="5">
        <v>44409</v>
      </c>
      <c r="J648" s="6">
        <v>0</v>
      </c>
      <c r="K648" s="6">
        <v>0</v>
      </c>
      <c r="L648" s="6">
        <v>-13.375</v>
      </c>
      <c r="M648" s="6">
        <v>-13.375</v>
      </c>
      <c r="N648" s="6">
        <v>-13.375</v>
      </c>
      <c r="O648" s="6">
        <v>-13.375</v>
      </c>
      <c r="P648" s="6">
        <v>0</v>
      </c>
      <c r="Q648" s="4" t="s">
        <v>26</v>
      </c>
      <c r="R648" s="4">
        <v>0</v>
      </c>
      <c r="S648" s="4">
        <v>0</v>
      </c>
      <c r="T648" s="4">
        <v>6</v>
      </c>
      <c r="U648" s="4">
        <v>52</v>
      </c>
      <c r="V648" s="6">
        <f>IF(ISERROR(VLOOKUP($S$648,'TAR FIN'!$A$1:$O$95,15,0)),0,VLOOKUP($S$648,'TAR FIN'!$A$1:$O$95,15,0))</f>
        <v>0</v>
      </c>
      <c r="W648" s="6">
        <f>IF(ISERROR(VLOOKUP($T$648,'TAR FIN'!$A$1:$O$95,15,0)),0,VLOOKUP($T$648,'TAR FIN'!$A$1:$O$95,15,0))</f>
        <v>378.36</v>
      </c>
      <c r="X648" s="6">
        <f>IF(ISERROR(VLOOKUP($U$648,'TAR FIN'!$A$1:$O$95,15,0)),0,VLOOKUP($U$648,'TAR FIN'!$A$1:$O$95,15,0))</f>
        <v>218.97</v>
      </c>
      <c r="Y648" s="6"/>
      <c r="Z648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48" s="6">
        <f>('TE BE'!$AA$16+'TE BF'!$AA$16+'TE CVA'!$AA$16)*(1-CUSTOS!$M$36)</f>
        <v>267.48149736117364</v>
      </c>
      <c r="AB648" s="6">
        <f t="shared" si="26"/>
        <v>0</v>
      </c>
      <c r="AC648" s="6">
        <f>(L648-M648)*(W648+X648)+($W$660+$X$660-$W$648-$X$648)*(L648)</f>
        <v>-887.56500000000051</v>
      </c>
      <c r="AD648" s="6">
        <f t="shared" si="27"/>
        <v>0</v>
      </c>
      <c r="AE648" s="6">
        <f ca="1">(L648-M648)*(Z648+AA648)+($Z$660+$AA$660-$Z$648-$AA$648)*(L648)</f>
        <v>-1012.809652021524</v>
      </c>
      <c r="AF648" s="4" t="s">
        <v>845</v>
      </c>
    </row>
    <row r="649" spans="1:32" ht="11.25" customHeight="1" x14ac:dyDescent="0.25">
      <c r="A649" s="4" t="s">
        <v>30</v>
      </c>
      <c r="B649" s="4" t="s">
        <v>22</v>
      </c>
      <c r="C649" s="4" t="s">
        <v>23</v>
      </c>
      <c r="D649" s="4" t="s">
        <v>24</v>
      </c>
      <c r="E649" s="4" t="s">
        <v>33</v>
      </c>
      <c r="F649" s="4" t="s">
        <v>25</v>
      </c>
      <c r="G649" s="4" t="s">
        <v>25</v>
      </c>
      <c r="H649" s="4" t="s">
        <v>25</v>
      </c>
      <c r="I649" s="5">
        <v>44409</v>
      </c>
      <c r="J649" s="6">
        <v>0</v>
      </c>
      <c r="K649" s="6">
        <v>0</v>
      </c>
      <c r="L649" s="6">
        <v>0.52200000000000002</v>
      </c>
      <c r="M649" s="6">
        <v>0.52200000000000002</v>
      </c>
      <c r="N649" s="6">
        <v>0.52200000000000002</v>
      </c>
      <c r="O649" s="6">
        <v>0.52200000000000002</v>
      </c>
      <c r="P649" s="6">
        <v>0</v>
      </c>
      <c r="Q649" s="4" t="s">
        <v>26</v>
      </c>
      <c r="R649" s="4">
        <v>0</v>
      </c>
      <c r="S649" s="4">
        <v>0</v>
      </c>
      <c r="T649" s="4">
        <v>6</v>
      </c>
      <c r="U649" s="4">
        <v>52</v>
      </c>
      <c r="V649" s="6">
        <f>IF(ISERROR(VLOOKUP($S$649,'TAR FIN'!$A$1:$O$95,15,0)),0,VLOOKUP($S$649,'TAR FIN'!$A$1:$O$95,15,0))</f>
        <v>0</v>
      </c>
      <c r="W649" s="6">
        <f>IF(ISERROR(VLOOKUP($T$649,'TAR FIN'!$A$1:$O$95,15,0)),0,VLOOKUP($T$649,'TAR FIN'!$A$1:$O$95,15,0))</f>
        <v>378.36</v>
      </c>
      <c r="X649" s="6">
        <f>IF(ISERROR(VLOOKUP($U$649,'TAR FIN'!$A$1:$O$95,15,0)),0,VLOOKUP($U$649,'TAR FIN'!$A$1:$O$95,15,0))</f>
        <v>218.97</v>
      </c>
      <c r="Y649" s="6"/>
      <c r="Z649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49" s="6">
        <f>('TE BE'!$AA$16+'TE BF'!$AA$16+'TE CVA'!$AA$16)*(1-CUSTOS!$M$36)</f>
        <v>267.48149736117364</v>
      </c>
      <c r="AB649" s="6">
        <f t="shared" si="26"/>
        <v>0</v>
      </c>
      <c r="AC649" s="6">
        <f>(L649-M649)*(W649+X649)+($W$660+$X$660-$W$649-$X$649)*(L649)</f>
        <v>34.639920000000025</v>
      </c>
      <c r="AD649" s="6">
        <f t="shared" si="27"/>
        <v>0</v>
      </c>
      <c r="AE649" s="6">
        <f ca="1">(L649-M649)*(Z649+AA649)+($Z$660+$AA$660-$Z$649-$AA$649)*(L649)</f>
        <v>39.527972961139106</v>
      </c>
      <c r="AF649" s="4" t="s">
        <v>845</v>
      </c>
    </row>
    <row r="650" spans="1:32" ht="11.25" customHeight="1" x14ac:dyDescent="0.25">
      <c r="A650" s="4" t="s">
        <v>21</v>
      </c>
      <c r="B650" s="4" t="s">
        <v>22</v>
      </c>
      <c r="C650" s="4" t="s">
        <v>23</v>
      </c>
      <c r="D650" s="4" t="s">
        <v>24</v>
      </c>
      <c r="E650" s="4" t="s">
        <v>33</v>
      </c>
      <c r="F650" s="4" t="s">
        <v>25</v>
      </c>
      <c r="G650" s="4" t="s">
        <v>25</v>
      </c>
      <c r="H650" s="4" t="s">
        <v>25</v>
      </c>
      <c r="I650" s="5">
        <v>44440</v>
      </c>
      <c r="J650" s="6">
        <v>0</v>
      </c>
      <c r="K650" s="6">
        <v>0</v>
      </c>
      <c r="L650" s="6">
        <v>3905.8760000000002</v>
      </c>
      <c r="M650" s="6">
        <v>3905.8760000000002</v>
      </c>
      <c r="N650" s="6">
        <v>3905.8760000000002</v>
      </c>
      <c r="O650" s="6">
        <v>3905.8760000000002</v>
      </c>
      <c r="P650" s="6">
        <v>22717</v>
      </c>
      <c r="Q650" s="4" t="s">
        <v>26</v>
      </c>
      <c r="R650" s="4">
        <v>0</v>
      </c>
      <c r="S650" s="4">
        <v>0</v>
      </c>
      <c r="T650" s="4">
        <v>6</v>
      </c>
      <c r="U650" s="4">
        <v>52</v>
      </c>
      <c r="V650" s="6">
        <f>IF(ISERROR(VLOOKUP($S$650,'TAR FIN'!$A$1:$O$95,15,0)),0,VLOOKUP($S$650,'TAR FIN'!$A$1:$O$95,15,0))</f>
        <v>0</v>
      </c>
      <c r="W650" s="6">
        <f>IF(ISERROR(VLOOKUP($T$650,'TAR FIN'!$A$1:$O$95,15,0)),0,VLOOKUP($T$650,'TAR FIN'!$A$1:$O$95,15,0))</f>
        <v>378.36</v>
      </c>
      <c r="X650" s="6">
        <f>IF(ISERROR(VLOOKUP($U$650,'TAR FIN'!$A$1:$O$95,15,0)),0,VLOOKUP($U$650,'TAR FIN'!$A$1:$O$95,15,0))</f>
        <v>218.97</v>
      </c>
      <c r="Y650" s="6"/>
      <c r="Z650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50" s="6">
        <f>('TE BE'!$AA$16+'TE BF'!$AA$16+'TE CVA'!$AA$16)*(1-CUSTOS!$M$36)</f>
        <v>267.48149736117364</v>
      </c>
      <c r="AB650" s="6">
        <f t="shared" si="26"/>
        <v>0</v>
      </c>
      <c r="AC650" s="6">
        <f>(L650-M650)*(W650+X650)+($W$660+$X$660-$W$650-$X$650)*(L650)</f>
        <v>259193.93136000019</v>
      </c>
      <c r="AD650" s="6">
        <f t="shared" si="27"/>
        <v>0</v>
      </c>
      <c r="AE650" s="6">
        <f ca="1">(L650-M650)*(Z650+AA650)+($Z$660+$AA$660-$Z$650-$AA$650)*(L650)</f>
        <v>295768.89064667083</v>
      </c>
      <c r="AF650" s="4" t="s">
        <v>845</v>
      </c>
    </row>
    <row r="651" spans="1:32" ht="11.25" customHeight="1" x14ac:dyDescent="0.25">
      <c r="A651" s="4" t="s">
        <v>27</v>
      </c>
      <c r="B651" s="4" t="s">
        <v>22</v>
      </c>
      <c r="C651" s="4" t="s">
        <v>23</v>
      </c>
      <c r="D651" s="4" t="s">
        <v>24</v>
      </c>
      <c r="E651" s="4" t="s">
        <v>33</v>
      </c>
      <c r="F651" s="4" t="s">
        <v>25</v>
      </c>
      <c r="G651" s="4" t="s">
        <v>25</v>
      </c>
      <c r="H651" s="4" t="s">
        <v>25</v>
      </c>
      <c r="I651" s="5">
        <v>44440</v>
      </c>
      <c r="J651" s="6">
        <v>0</v>
      </c>
      <c r="K651" s="6">
        <v>0</v>
      </c>
      <c r="L651" s="6">
        <v>-6.4509999999999996</v>
      </c>
      <c r="M651" s="6">
        <v>-6.4509999999999996</v>
      </c>
      <c r="N651" s="6">
        <v>-6.4509999999999996</v>
      </c>
      <c r="O651" s="6">
        <v>-6.4509999999999996</v>
      </c>
      <c r="P651" s="6">
        <v>0</v>
      </c>
      <c r="Q651" s="4" t="s">
        <v>26</v>
      </c>
      <c r="R651" s="4">
        <v>0</v>
      </c>
      <c r="S651" s="4">
        <v>0</v>
      </c>
      <c r="T651" s="4">
        <v>6</v>
      </c>
      <c r="U651" s="4">
        <v>52</v>
      </c>
      <c r="V651" s="6">
        <f>IF(ISERROR(VLOOKUP($S$651,'TAR FIN'!$A$1:$O$95,15,0)),0,VLOOKUP($S$651,'TAR FIN'!$A$1:$O$95,15,0))</f>
        <v>0</v>
      </c>
      <c r="W651" s="6">
        <f>IF(ISERROR(VLOOKUP($T$651,'TAR FIN'!$A$1:$O$95,15,0)),0,VLOOKUP($T$651,'TAR FIN'!$A$1:$O$95,15,0))</f>
        <v>378.36</v>
      </c>
      <c r="X651" s="6">
        <f>IF(ISERROR(VLOOKUP($U$651,'TAR FIN'!$A$1:$O$95,15,0)),0,VLOOKUP($U$651,'TAR FIN'!$A$1:$O$95,15,0))</f>
        <v>218.97</v>
      </c>
      <c r="Y651" s="6"/>
      <c r="Z651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51" s="6">
        <f>('TE BE'!$AA$16+'TE BF'!$AA$16+'TE CVA'!$AA$16)*(1-CUSTOS!$M$36)</f>
        <v>267.48149736117364</v>
      </c>
      <c r="AB651" s="6">
        <f t="shared" si="26"/>
        <v>0</v>
      </c>
      <c r="AC651" s="6">
        <f>(L651-M651)*(W651+X651)+($W$660+$X$660-$W$651-$X$651)*(L651)</f>
        <v>-428.08836000000025</v>
      </c>
      <c r="AD651" s="6">
        <f t="shared" si="27"/>
        <v>0</v>
      </c>
      <c r="AE651" s="6">
        <f ca="1">(L651-M651)*(Z651+AA651)+($Z$660+$AA$660-$Z$651-$AA$651)*(L651)</f>
        <v>-488.49607964043747</v>
      </c>
      <c r="AF651" s="4" t="s">
        <v>845</v>
      </c>
    </row>
    <row r="652" spans="1:32" ht="11.25" customHeight="1" x14ac:dyDescent="0.25">
      <c r="A652" s="4" t="s">
        <v>28</v>
      </c>
      <c r="B652" s="4" t="s">
        <v>22</v>
      </c>
      <c r="C652" s="4" t="s">
        <v>23</v>
      </c>
      <c r="D652" s="4" t="s">
        <v>24</v>
      </c>
      <c r="E652" s="4" t="s">
        <v>33</v>
      </c>
      <c r="F652" s="4" t="s">
        <v>25</v>
      </c>
      <c r="G652" s="4" t="s">
        <v>25</v>
      </c>
      <c r="H652" s="4" t="s">
        <v>25</v>
      </c>
      <c r="I652" s="5">
        <v>44440</v>
      </c>
      <c r="J652" s="6">
        <v>0</v>
      </c>
      <c r="K652" s="6">
        <v>0</v>
      </c>
      <c r="L652" s="6">
        <v>5581.9650000000001</v>
      </c>
      <c r="M652" s="6">
        <v>5581.9650000000001</v>
      </c>
      <c r="N652" s="6">
        <v>5581.9650000000001</v>
      </c>
      <c r="O652" s="6">
        <v>5581.9650000000001</v>
      </c>
      <c r="P652" s="6">
        <v>47692</v>
      </c>
      <c r="Q652" s="4" t="s">
        <v>26</v>
      </c>
      <c r="R652" s="4">
        <v>0</v>
      </c>
      <c r="S652" s="4">
        <v>0</v>
      </c>
      <c r="T652" s="4">
        <v>6</v>
      </c>
      <c r="U652" s="4">
        <v>52</v>
      </c>
      <c r="V652" s="6">
        <f>IF(ISERROR(VLOOKUP($S$652,'TAR FIN'!$A$1:$O$95,15,0)),0,VLOOKUP($S$652,'TAR FIN'!$A$1:$O$95,15,0))</f>
        <v>0</v>
      </c>
      <c r="W652" s="6">
        <f>IF(ISERROR(VLOOKUP($T$652,'TAR FIN'!$A$1:$O$95,15,0)),0,VLOOKUP($T$652,'TAR FIN'!$A$1:$O$95,15,0))</f>
        <v>378.36</v>
      </c>
      <c r="X652" s="6">
        <f>IF(ISERROR(VLOOKUP($U$652,'TAR FIN'!$A$1:$O$95,15,0)),0,VLOOKUP($U$652,'TAR FIN'!$A$1:$O$95,15,0))</f>
        <v>218.97</v>
      </c>
      <c r="Y652" s="6"/>
      <c r="Z652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52" s="6">
        <f>('TE BE'!$AA$16+'TE BF'!$AA$16+'TE CVA'!$AA$16)*(1-CUSTOS!$M$36)</f>
        <v>267.48149736117364</v>
      </c>
      <c r="AB652" s="6">
        <f t="shared" si="26"/>
        <v>0</v>
      </c>
      <c r="AC652" s="6">
        <f>(L652-M652)*(W652+X652)+($W$660+$X$660-$W$652-$X$652)*(L652)</f>
        <v>370419.19740000024</v>
      </c>
      <c r="AD652" s="6">
        <f t="shared" si="27"/>
        <v>0</v>
      </c>
      <c r="AE652" s="6">
        <f ca="1">(L652-M652)*(Z652+AA652)+($Z$660+$AA$660-$Z$652-$AA$652)*(L652)</f>
        <v>422689.19844832347</v>
      </c>
      <c r="AF652" s="4" t="s">
        <v>845</v>
      </c>
    </row>
    <row r="653" spans="1:32" ht="11.25" customHeight="1" x14ac:dyDescent="0.25">
      <c r="A653" s="4" t="s">
        <v>29</v>
      </c>
      <c r="B653" s="4" t="s">
        <v>22</v>
      </c>
      <c r="C653" s="4" t="s">
        <v>23</v>
      </c>
      <c r="D653" s="4" t="s">
        <v>24</v>
      </c>
      <c r="E653" s="4" t="s">
        <v>33</v>
      </c>
      <c r="F653" s="4" t="s">
        <v>25</v>
      </c>
      <c r="G653" s="4" t="s">
        <v>25</v>
      </c>
      <c r="H653" s="4" t="s">
        <v>25</v>
      </c>
      <c r="I653" s="5">
        <v>44440</v>
      </c>
      <c r="J653" s="6">
        <v>0</v>
      </c>
      <c r="K653" s="6">
        <v>0</v>
      </c>
      <c r="L653" s="6">
        <v>-10.782999999999999</v>
      </c>
      <c r="M653" s="6">
        <v>-10.782999999999999</v>
      </c>
      <c r="N653" s="6">
        <v>-10.782999999999999</v>
      </c>
      <c r="O653" s="6">
        <v>-10.782999999999999</v>
      </c>
      <c r="P653" s="6">
        <v>0</v>
      </c>
      <c r="Q653" s="4" t="s">
        <v>26</v>
      </c>
      <c r="R653" s="4">
        <v>0</v>
      </c>
      <c r="S653" s="4">
        <v>0</v>
      </c>
      <c r="T653" s="4">
        <v>6</v>
      </c>
      <c r="U653" s="4">
        <v>52</v>
      </c>
      <c r="V653" s="6">
        <f>IF(ISERROR(VLOOKUP($S$653,'TAR FIN'!$A$1:$O$95,15,0)),0,VLOOKUP($S$653,'TAR FIN'!$A$1:$O$95,15,0))</f>
        <v>0</v>
      </c>
      <c r="W653" s="6">
        <f>IF(ISERROR(VLOOKUP($T$653,'TAR FIN'!$A$1:$O$95,15,0)),0,VLOOKUP($T$653,'TAR FIN'!$A$1:$O$95,15,0))</f>
        <v>378.36</v>
      </c>
      <c r="X653" s="6">
        <f>IF(ISERROR(VLOOKUP($U$653,'TAR FIN'!$A$1:$O$95,15,0)),0,VLOOKUP($U$653,'TAR FIN'!$A$1:$O$95,15,0))</f>
        <v>218.97</v>
      </c>
      <c r="Y653" s="6"/>
      <c r="Z653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53" s="6">
        <f>('TE BE'!$AA$16+'TE BF'!$AA$16+'TE CVA'!$AA$16)*(1-CUSTOS!$M$36)</f>
        <v>267.48149736117364</v>
      </c>
      <c r="AB653" s="6">
        <f t="shared" si="26"/>
        <v>0</v>
      </c>
      <c r="AC653" s="6">
        <f>(L653-M653)*(W653+X653)+($W$660+$X$660-$W$653-$X$653)*(L653)</f>
        <v>-715.55988000000036</v>
      </c>
      <c r="AD653" s="6">
        <f t="shared" si="27"/>
        <v>0</v>
      </c>
      <c r="AE653" s="6">
        <f ca="1">(L653-M653)*(Z653+AA653)+($Z$660+$AA$660-$Z$653-$AA$653)*(L653)</f>
        <v>-816.53282076621258</v>
      </c>
      <c r="AF653" s="4" t="s">
        <v>845</v>
      </c>
    </row>
    <row r="654" spans="1:32" ht="11.25" customHeight="1" x14ac:dyDescent="0.25">
      <c r="A654" s="4" t="s">
        <v>30</v>
      </c>
      <c r="B654" s="4" t="s">
        <v>22</v>
      </c>
      <c r="C654" s="4" t="s">
        <v>23</v>
      </c>
      <c r="D654" s="4" t="s">
        <v>24</v>
      </c>
      <c r="E654" s="4" t="s">
        <v>33</v>
      </c>
      <c r="F654" s="4" t="s">
        <v>25</v>
      </c>
      <c r="G654" s="4" t="s">
        <v>25</v>
      </c>
      <c r="H654" s="4" t="s">
        <v>25</v>
      </c>
      <c r="I654" s="5">
        <v>44440</v>
      </c>
      <c r="J654" s="6">
        <v>0</v>
      </c>
      <c r="K654" s="6">
        <v>0</v>
      </c>
      <c r="L654" s="6">
        <v>0.72</v>
      </c>
      <c r="M654" s="6">
        <v>0.72</v>
      </c>
      <c r="N654" s="6">
        <v>0.72</v>
      </c>
      <c r="O654" s="6">
        <v>0.72</v>
      </c>
      <c r="P654" s="6">
        <v>0</v>
      </c>
      <c r="Q654" s="4" t="s">
        <v>26</v>
      </c>
      <c r="R654" s="4">
        <v>0</v>
      </c>
      <c r="S654" s="4">
        <v>0</v>
      </c>
      <c r="T654" s="4">
        <v>6</v>
      </c>
      <c r="U654" s="4">
        <v>52</v>
      </c>
      <c r="V654" s="6">
        <f>IF(ISERROR(VLOOKUP($S$654,'TAR FIN'!$A$1:$O$95,15,0)),0,VLOOKUP($S$654,'TAR FIN'!$A$1:$O$95,15,0))</f>
        <v>0</v>
      </c>
      <c r="W654" s="6">
        <f>IF(ISERROR(VLOOKUP($T$654,'TAR FIN'!$A$1:$O$95,15,0)),0,VLOOKUP($T$654,'TAR FIN'!$A$1:$O$95,15,0))</f>
        <v>378.36</v>
      </c>
      <c r="X654" s="6">
        <f>IF(ISERROR(VLOOKUP($U$654,'TAR FIN'!$A$1:$O$95,15,0)),0,VLOOKUP($U$654,'TAR FIN'!$A$1:$O$95,15,0))</f>
        <v>218.97</v>
      </c>
      <c r="Y654" s="6"/>
      <c r="Z654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54" s="6">
        <f>('TE BE'!$AA$16+'TE BF'!$AA$16+'TE CVA'!$AA$16)*(1-CUSTOS!$M$36)</f>
        <v>267.48149736117364</v>
      </c>
      <c r="AB654" s="6">
        <f t="shared" si="26"/>
        <v>0</v>
      </c>
      <c r="AC654" s="6">
        <f>(L654-M654)*(W654+X654)+($W$660+$X$660-$W$654-$X$654)*(L654)</f>
        <v>47.779200000000031</v>
      </c>
      <c r="AD654" s="6">
        <f t="shared" si="27"/>
        <v>0</v>
      </c>
      <c r="AE654" s="6">
        <f ca="1">(L654-M654)*(Z654+AA654)+($Z$660+$AA$660-$Z$654-$AA$654)*(L654)</f>
        <v>54.521342015364283</v>
      </c>
      <c r="AF654" s="4" t="s">
        <v>845</v>
      </c>
    </row>
    <row r="655" spans="1:32" ht="11.25" customHeight="1" x14ac:dyDescent="0.25">
      <c r="A655" s="4" t="s">
        <v>59</v>
      </c>
      <c r="B655" s="4" t="s">
        <v>22</v>
      </c>
      <c r="C655" s="4" t="s">
        <v>23</v>
      </c>
      <c r="D655" s="4" t="s">
        <v>24</v>
      </c>
      <c r="E655" s="4" t="s">
        <v>33</v>
      </c>
      <c r="F655" s="4" t="s">
        <v>25</v>
      </c>
      <c r="G655" s="4" t="s">
        <v>25</v>
      </c>
      <c r="H655" s="4" t="s">
        <v>25</v>
      </c>
      <c r="I655" s="5">
        <v>44470</v>
      </c>
      <c r="J655" s="6">
        <v>0</v>
      </c>
      <c r="K655" s="6">
        <v>0</v>
      </c>
      <c r="L655" s="6">
        <v>3905.8760000000002</v>
      </c>
      <c r="M655" s="6">
        <v>3905.8760000000002</v>
      </c>
      <c r="N655" s="6">
        <v>3905.8760000000002</v>
      </c>
      <c r="O655" s="6">
        <v>3905.8760000000002</v>
      </c>
      <c r="P655" s="6">
        <v>22717</v>
      </c>
      <c r="Q655" s="4" t="s">
        <v>26</v>
      </c>
      <c r="R655" s="4">
        <v>0</v>
      </c>
      <c r="S655" s="4">
        <v>0</v>
      </c>
      <c r="T655" s="4">
        <v>6</v>
      </c>
      <c r="U655" s="4">
        <v>52</v>
      </c>
      <c r="V655" s="6">
        <f>IF(ISERROR(VLOOKUP($S$655,'TAR FIN'!$A$1:$O$95,15,0)),0,VLOOKUP($S$655,'TAR FIN'!$A$1:$O$95,15,0))</f>
        <v>0</v>
      </c>
      <c r="W655" s="6">
        <f>IF(ISERROR(VLOOKUP($T$655,'TAR FIN'!$A$1:$O$95,15,0)),0,VLOOKUP($T$655,'TAR FIN'!$A$1:$O$95,15,0))</f>
        <v>378.36</v>
      </c>
      <c r="X655" s="6">
        <f>IF(ISERROR(VLOOKUP($U$655,'TAR FIN'!$A$1:$O$95,15,0)),0,VLOOKUP($U$655,'TAR FIN'!$A$1:$O$95,15,0))</f>
        <v>218.97</v>
      </c>
      <c r="Y655" s="6"/>
      <c r="Z655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55" s="6">
        <f>('TE BE'!$AA$16+'TE BF'!$AA$16+'TE CVA'!$AA$16)*(1-CUSTOS!$M$36)</f>
        <v>267.48149736117364</v>
      </c>
      <c r="AB655" s="6">
        <f t="shared" si="26"/>
        <v>0</v>
      </c>
      <c r="AC655" s="6">
        <f>(L655-M655)*(W655+X655)+($W$660+$X$660-$W$655-$X$655)*(L655)</f>
        <v>259193.93136000019</v>
      </c>
      <c r="AD655" s="6">
        <f t="shared" si="27"/>
        <v>0</v>
      </c>
      <c r="AE655" s="6">
        <f ca="1">(L655-M655)*(Z655+AA655)+($Z$660+$AA$660-$Z$655-$AA$655)*(L655)</f>
        <v>295768.89064667083</v>
      </c>
      <c r="AF655" s="4" t="s">
        <v>845</v>
      </c>
    </row>
    <row r="656" spans="1:32" ht="11.25" customHeight="1" x14ac:dyDescent="0.25">
      <c r="A656" s="4" t="s">
        <v>59</v>
      </c>
      <c r="B656" s="4" t="s">
        <v>22</v>
      </c>
      <c r="C656" s="4" t="s">
        <v>23</v>
      </c>
      <c r="D656" s="4" t="s">
        <v>24</v>
      </c>
      <c r="E656" s="4" t="s">
        <v>33</v>
      </c>
      <c r="F656" s="4" t="s">
        <v>25</v>
      </c>
      <c r="G656" s="4" t="s">
        <v>25</v>
      </c>
      <c r="H656" s="4" t="s">
        <v>25</v>
      </c>
      <c r="I656" s="5">
        <v>44470</v>
      </c>
      <c r="J656" s="6">
        <v>0</v>
      </c>
      <c r="K656" s="6">
        <v>0</v>
      </c>
      <c r="L656" s="6">
        <v>-6.4509999999999996</v>
      </c>
      <c r="M656" s="6">
        <v>-6.4509999999999996</v>
      </c>
      <c r="N656" s="6">
        <v>-6.4509999999999996</v>
      </c>
      <c r="O656" s="6">
        <v>-6.4509999999999996</v>
      </c>
      <c r="P656" s="6">
        <v>0</v>
      </c>
      <c r="Q656" s="4" t="s">
        <v>26</v>
      </c>
      <c r="R656" s="4">
        <v>0</v>
      </c>
      <c r="S656" s="4">
        <v>0</v>
      </c>
      <c r="T656" s="4">
        <v>6</v>
      </c>
      <c r="U656" s="4">
        <v>52</v>
      </c>
      <c r="V656" s="6">
        <f>IF(ISERROR(VLOOKUP($S$656,'TAR FIN'!$A$1:$O$95,15,0)),0,VLOOKUP($S$656,'TAR FIN'!$A$1:$O$95,15,0))</f>
        <v>0</v>
      </c>
      <c r="W656" s="6">
        <f>IF(ISERROR(VLOOKUP($T$656,'TAR FIN'!$A$1:$O$95,15,0)),0,VLOOKUP($T$656,'TAR FIN'!$A$1:$O$95,15,0))</f>
        <v>378.36</v>
      </c>
      <c r="X656" s="6">
        <f>IF(ISERROR(VLOOKUP($U$656,'TAR FIN'!$A$1:$O$95,15,0)),0,VLOOKUP($U$656,'TAR FIN'!$A$1:$O$95,15,0))</f>
        <v>218.97</v>
      </c>
      <c r="Y656" s="6"/>
      <c r="Z656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56" s="6">
        <f>('TE BE'!$AA$16+'TE BF'!$AA$16+'TE CVA'!$AA$16)*(1-CUSTOS!$M$36)</f>
        <v>267.48149736117364</v>
      </c>
      <c r="AB656" s="6">
        <f t="shared" si="26"/>
        <v>0</v>
      </c>
      <c r="AC656" s="6">
        <f>(L656-M656)*(W656+X656)+($W$660+$X$660-$W$656-$X$656)*(L656)</f>
        <v>-428.08836000000025</v>
      </c>
      <c r="AD656" s="6">
        <f t="shared" si="27"/>
        <v>0</v>
      </c>
      <c r="AE656" s="6">
        <f ca="1">(L656-M656)*(Z656+AA656)+($Z$660+$AA$660-$Z$656-$AA$656)*(L656)</f>
        <v>-488.49607964043747</v>
      </c>
      <c r="AF656" s="4" t="s">
        <v>845</v>
      </c>
    </row>
    <row r="657" spans="1:32" ht="11.25" customHeight="1" x14ac:dyDescent="0.25">
      <c r="A657" s="4" t="s">
        <v>59</v>
      </c>
      <c r="B657" s="4" t="s">
        <v>22</v>
      </c>
      <c r="C657" s="4" t="s">
        <v>23</v>
      </c>
      <c r="D657" s="4" t="s">
        <v>24</v>
      </c>
      <c r="E657" s="4" t="s">
        <v>33</v>
      </c>
      <c r="F657" s="4" t="s">
        <v>25</v>
      </c>
      <c r="G657" s="4" t="s">
        <v>25</v>
      </c>
      <c r="H657" s="4" t="s">
        <v>25</v>
      </c>
      <c r="I657" s="5">
        <v>44470</v>
      </c>
      <c r="J657" s="6">
        <v>0</v>
      </c>
      <c r="K657" s="6">
        <v>0</v>
      </c>
      <c r="L657" s="6">
        <v>5581.9650000000001</v>
      </c>
      <c r="M657" s="6">
        <v>5581.9650000000001</v>
      </c>
      <c r="N657" s="6">
        <v>5581.9650000000001</v>
      </c>
      <c r="O657" s="6">
        <v>5581.9650000000001</v>
      </c>
      <c r="P657" s="6">
        <v>47692</v>
      </c>
      <c r="Q657" s="4" t="s">
        <v>26</v>
      </c>
      <c r="R657" s="4">
        <v>0</v>
      </c>
      <c r="S657" s="4">
        <v>0</v>
      </c>
      <c r="T657" s="4">
        <v>6</v>
      </c>
      <c r="U657" s="4">
        <v>52</v>
      </c>
      <c r="V657" s="6">
        <f>IF(ISERROR(VLOOKUP($S$657,'TAR FIN'!$A$1:$O$95,15,0)),0,VLOOKUP($S$657,'TAR FIN'!$A$1:$O$95,15,0))</f>
        <v>0</v>
      </c>
      <c r="W657" s="6">
        <f>IF(ISERROR(VLOOKUP($T$657,'TAR FIN'!$A$1:$O$95,15,0)),0,VLOOKUP($T$657,'TAR FIN'!$A$1:$O$95,15,0))</f>
        <v>378.36</v>
      </c>
      <c r="X657" s="6">
        <f>IF(ISERROR(VLOOKUP($U$657,'TAR FIN'!$A$1:$O$95,15,0)),0,VLOOKUP($U$657,'TAR FIN'!$A$1:$O$95,15,0))</f>
        <v>218.97</v>
      </c>
      <c r="Y657" s="6"/>
      <c r="Z657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57" s="6">
        <f>('TE BE'!$AA$16+'TE BF'!$AA$16+'TE CVA'!$AA$16)*(1-CUSTOS!$M$36)</f>
        <v>267.48149736117364</v>
      </c>
      <c r="AB657" s="6">
        <f t="shared" si="26"/>
        <v>0</v>
      </c>
      <c r="AC657" s="6">
        <f>(L657-M657)*(W657+X657)+($W$660+$X$660-$W$657-$X$657)*(L657)</f>
        <v>370419.19740000024</v>
      </c>
      <c r="AD657" s="6">
        <f t="shared" si="27"/>
        <v>0</v>
      </c>
      <c r="AE657" s="6">
        <f ca="1">(L657-M657)*(Z657+AA657)+($Z$660+$AA$660-$Z$657-$AA$657)*(L657)</f>
        <v>422689.19844832347</v>
      </c>
      <c r="AF657" s="4" t="s">
        <v>845</v>
      </c>
    </row>
    <row r="658" spans="1:32" ht="11.25" customHeight="1" x14ac:dyDescent="0.25">
      <c r="A658" s="4" t="s">
        <v>59</v>
      </c>
      <c r="B658" s="4" t="s">
        <v>22</v>
      </c>
      <c r="C658" s="4" t="s">
        <v>23</v>
      </c>
      <c r="D658" s="4" t="s">
        <v>24</v>
      </c>
      <c r="E658" s="4" t="s">
        <v>33</v>
      </c>
      <c r="F658" s="4" t="s">
        <v>25</v>
      </c>
      <c r="G658" s="4" t="s">
        <v>25</v>
      </c>
      <c r="H658" s="4" t="s">
        <v>25</v>
      </c>
      <c r="I658" s="5">
        <v>44470</v>
      </c>
      <c r="J658" s="6">
        <v>0</v>
      </c>
      <c r="K658" s="6">
        <v>0</v>
      </c>
      <c r="L658" s="6">
        <v>-10.782999999999999</v>
      </c>
      <c r="M658" s="6">
        <v>-10.782999999999999</v>
      </c>
      <c r="N658" s="6">
        <v>-10.782999999999999</v>
      </c>
      <c r="O658" s="6">
        <v>-10.782999999999999</v>
      </c>
      <c r="P658" s="6">
        <v>0</v>
      </c>
      <c r="Q658" s="4" t="s">
        <v>26</v>
      </c>
      <c r="R658" s="4">
        <v>0</v>
      </c>
      <c r="S658" s="4">
        <v>0</v>
      </c>
      <c r="T658" s="4">
        <v>6</v>
      </c>
      <c r="U658" s="4">
        <v>52</v>
      </c>
      <c r="V658" s="6">
        <f>IF(ISERROR(VLOOKUP($S$658,'TAR FIN'!$A$1:$O$95,15,0)),0,VLOOKUP($S$658,'TAR FIN'!$A$1:$O$95,15,0))</f>
        <v>0</v>
      </c>
      <c r="W658" s="6">
        <f>IF(ISERROR(VLOOKUP($T$658,'TAR FIN'!$A$1:$O$95,15,0)),0,VLOOKUP($T$658,'TAR FIN'!$A$1:$O$95,15,0))</f>
        <v>378.36</v>
      </c>
      <c r="X658" s="6">
        <f>IF(ISERROR(VLOOKUP($U$658,'TAR FIN'!$A$1:$O$95,15,0)),0,VLOOKUP($U$658,'TAR FIN'!$A$1:$O$95,15,0))</f>
        <v>218.97</v>
      </c>
      <c r="Y658" s="6"/>
      <c r="Z658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58" s="6">
        <f>('TE BE'!$AA$16+'TE BF'!$AA$16+'TE CVA'!$AA$16)*(1-CUSTOS!$M$36)</f>
        <v>267.48149736117364</v>
      </c>
      <c r="AB658" s="6">
        <f t="shared" si="26"/>
        <v>0</v>
      </c>
      <c r="AC658" s="6">
        <f>(L658-M658)*(W658+X658)+($W$660+$X$660-$W$658-$X$658)*(L658)</f>
        <v>-715.55988000000036</v>
      </c>
      <c r="AD658" s="6">
        <f t="shared" si="27"/>
        <v>0</v>
      </c>
      <c r="AE658" s="6">
        <f ca="1">(L658-M658)*(Z658+AA658)+($Z$660+$AA$660-$Z$658-$AA$658)*(L658)</f>
        <v>-816.53282076621258</v>
      </c>
      <c r="AF658" s="4" t="s">
        <v>845</v>
      </c>
    </row>
    <row r="659" spans="1:32" ht="11.25" customHeight="1" x14ac:dyDescent="0.25">
      <c r="A659" s="4" t="s">
        <v>59</v>
      </c>
      <c r="B659" s="4" t="s">
        <v>22</v>
      </c>
      <c r="C659" s="4" t="s">
        <v>23</v>
      </c>
      <c r="D659" s="4" t="s">
        <v>24</v>
      </c>
      <c r="E659" s="4" t="s">
        <v>33</v>
      </c>
      <c r="F659" s="4" t="s">
        <v>25</v>
      </c>
      <c r="G659" s="4" t="s">
        <v>25</v>
      </c>
      <c r="H659" s="4" t="s">
        <v>25</v>
      </c>
      <c r="I659" s="5">
        <v>44470</v>
      </c>
      <c r="J659" s="6">
        <v>0</v>
      </c>
      <c r="K659" s="6">
        <v>0</v>
      </c>
      <c r="L659" s="6">
        <v>0.72</v>
      </c>
      <c r="M659" s="6">
        <v>0.72</v>
      </c>
      <c r="N659" s="6">
        <v>0.72</v>
      </c>
      <c r="O659" s="6">
        <v>0.72</v>
      </c>
      <c r="P659" s="6">
        <v>0</v>
      </c>
      <c r="Q659" s="4" t="s">
        <v>26</v>
      </c>
      <c r="R659" s="4">
        <v>0</v>
      </c>
      <c r="S659" s="4">
        <v>0</v>
      </c>
      <c r="T659" s="4">
        <v>6</v>
      </c>
      <c r="U659" s="4">
        <v>52</v>
      </c>
      <c r="V659" s="6">
        <f>IF(ISERROR(VLOOKUP($S$659,'TAR FIN'!$A$1:$O$95,15,0)),0,VLOOKUP($S$659,'TAR FIN'!$A$1:$O$95,15,0))</f>
        <v>0</v>
      </c>
      <c r="W659" s="6">
        <f>IF(ISERROR(VLOOKUP($T$659,'TAR FIN'!$A$1:$O$95,15,0)),0,VLOOKUP($T$659,'TAR FIN'!$A$1:$O$95,15,0))</f>
        <v>378.36</v>
      </c>
      <c r="X659" s="6">
        <f>IF(ISERROR(VLOOKUP($U$659,'TAR FIN'!$A$1:$O$95,15,0)),0,VLOOKUP($U$659,'TAR FIN'!$A$1:$O$95,15,0))</f>
        <v>218.97</v>
      </c>
      <c r="Y659" s="6"/>
      <c r="Z659" s="6">
        <f ca="1">('TUSD BE'!$AM$28+'TUSD BF'!$AM$28+'TUSD CVA'!$AM$28-('TUSD BE'!$P$28+'TUSD BF'!$P$28+'TUSD CVA'!$P$28)-('TUSD BE'!$Q$28+'TUSD BF'!$Q$28+'TUSD CVA'!$Q$28)-('TUSD BE'!$R$28+'TUSD BF'!$R$28+'TUSD CVA'!$R$28))*(1-CUSTOS!$M$36)</f>
        <v>414.03527783088003</v>
      </c>
      <c r="AA659" s="6">
        <f>('TE BE'!$AA$16+'TE BF'!$AA$16+'TE CVA'!$AA$16)*(1-CUSTOS!$M$36)</f>
        <v>267.48149736117364</v>
      </c>
      <c r="AB659" s="6">
        <f t="shared" si="26"/>
        <v>0</v>
      </c>
      <c r="AC659" s="6">
        <f>(L659-M659)*(W659+X659)+($W$660+$X$660-$W$659-$X$659)*(L659)</f>
        <v>47.779200000000031</v>
      </c>
      <c r="AD659" s="6">
        <f t="shared" si="27"/>
        <v>0</v>
      </c>
      <c r="AE659" s="6">
        <f ca="1">(L659-M659)*(Z659+AA659)+($Z$660+$AA$660-$Z$659-$AA$659)*(L659)</f>
        <v>54.521342015364283</v>
      </c>
      <c r="AF659" s="4" t="s">
        <v>845</v>
      </c>
    </row>
    <row r="660" spans="1:32" ht="11.25" customHeight="1" x14ac:dyDescent="0.25">
      <c r="A660" s="4" t="s">
        <v>21</v>
      </c>
      <c r="B660" s="4" t="s">
        <v>22</v>
      </c>
      <c r="C660" s="4" t="s">
        <v>23</v>
      </c>
      <c r="D660" s="4" t="s">
        <v>24</v>
      </c>
      <c r="E660" s="4" t="s">
        <v>34</v>
      </c>
      <c r="F660" s="4" t="s">
        <v>25</v>
      </c>
      <c r="G660" s="4" t="s">
        <v>25</v>
      </c>
      <c r="H660" s="4" t="s">
        <v>25</v>
      </c>
      <c r="I660" s="5">
        <v>44136</v>
      </c>
      <c r="J660" s="6">
        <v>0</v>
      </c>
      <c r="K660" s="6">
        <v>0</v>
      </c>
      <c r="L660" s="6">
        <v>3173.7080000000001</v>
      </c>
      <c r="M660" s="6">
        <v>3173.7080000000001</v>
      </c>
      <c r="N660" s="6">
        <v>3173.7080000000001</v>
      </c>
      <c r="O660" s="6">
        <v>3173.7080000000001</v>
      </c>
      <c r="P660" s="6">
        <v>16181</v>
      </c>
      <c r="Q660" s="4" t="s">
        <v>26</v>
      </c>
      <c r="R660" s="4">
        <v>0</v>
      </c>
      <c r="S660" s="4">
        <v>0</v>
      </c>
      <c r="T660" s="4">
        <v>7</v>
      </c>
      <c r="U660" s="4">
        <v>53</v>
      </c>
      <c r="V660" s="6">
        <f>IF(ISERROR(VLOOKUP($S$660,'TAR FIN'!$A$1:$O$95,15,0)),0,VLOOKUP($S$660,'TAR FIN'!$A$1:$O$95,15,0))</f>
        <v>0</v>
      </c>
      <c r="W660" s="6">
        <f>IF(ISERROR(VLOOKUP($T$660,'TAR FIN'!$A$1:$O$95,15,0)),0,VLOOKUP($T$660,'TAR FIN'!$A$1:$O$95,15,0))</f>
        <v>420.39</v>
      </c>
      <c r="X660" s="6">
        <f>IF(ISERROR(VLOOKUP($U$660,'TAR FIN'!$A$1:$O$95,15,0)),0,VLOOKUP($U$660,'TAR FIN'!$A$1:$O$95,15,0))</f>
        <v>243.3</v>
      </c>
      <c r="Y660" s="6"/>
      <c r="Z660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60" s="6">
        <f>('TE BE'!$AA$17+'TE BF'!$AA$17+'TE CVA'!$AA$17)*(1-CUSTOS!$M$37)</f>
        <v>297.20166373463735</v>
      </c>
      <c r="AB660" s="6">
        <f t="shared" si="26"/>
        <v>0</v>
      </c>
      <c r="AC660" s="6">
        <f>(L660-M660)*(W660+X660)+($W$660+$X$660-$W$660-$X$660)*(L660)</f>
        <v>1.8040441318589729E-10</v>
      </c>
      <c r="AD660" s="6">
        <f t="shared" si="27"/>
        <v>0</v>
      </c>
      <c r="AE660" s="6">
        <f ca="1">(L660-M660)*(Z660+AA660)+($Z$660+$AA$660-$Z$660-$AA$660)*(L660)</f>
        <v>0</v>
      </c>
      <c r="AF660" s="4" t="s">
        <v>845</v>
      </c>
    </row>
    <row r="661" spans="1:32" ht="11.25" customHeight="1" x14ac:dyDescent="0.25">
      <c r="A661" s="4" t="s">
        <v>27</v>
      </c>
      <c r="B661" s="4" t="s">
        <v>22</v>
      </c>
      <c r="C661" s="4" t="s">
        <v>23</v>
      </c>
      <c r="D661" s="4" t="s">
        <v>24</v>
      </c>
      <c r="E661" s="4" t="s">
        <v>34</v>
      </c>
      <c r="F661" s="4" t="s">
        <v>25</v>
      </c>
      <c r="G661" s="4" t="s">
        <v>25</v>
      </c>
      <c r="H661" s="4" t="s">
        <v>25</v>
      </c>
      <c r="I661" s="5">
        <v>44136</v>
      </c>
      <c r="J661" s="6">
        <v>0</v>
      </c>
      <c r="K661" s="6">
        <v>0</v>
      </c>
      <c r="L661" s="6">
        <v>-58.045999999999999</v>
      </c>
      <c r="M661" s="6">
        <v>-58.045999999999999</v>
      </c>
      <c r="N661" s="6">
        <v>-58.045999999999999</v>
      </c>
      <c r="O661" s="6">
        <v>-58.045999999999999</v>
      </c>
      <c r="P661" s="6">
        <v>-102</v>
      </c>
      <c r="Q661" s="4" t="s">
        <v>26</v>
      </c>
      <c r="R661" s="4">
        <v>0</v>
      </c>
      <c r="S661" s="4">
        <v>0</v>
      </c>
      <c r="T661" s="4">
        <v>7</v>
      </c>
      <c r="U661" s="4">
        <v>53</v>
      </c>
      <c r="V661" s="6">
        <f>IF(ISERROR(VLOOKUP($S$661,'TAR FIN'!$A$1:$O$95,15,0)),0,VLOOKUP($S$661,'TAR FIN'!$A$1:$O$95,15,0))</f>
        <v>0</v>
      </c>
      <c r="W661" s="6">
        <f>IF(ISERROR(VLOOKUP($T$661,'TAR FIN'!$A$1:$O$95,15,0)),0,VLOOKUP($T$661,'TAR FIN'!$A$1:$O$95,15,0))</f>
        <v>420.39</v>
      </c>
      <c r="X661" s="6">
        <f>IF(ISERROR(VLOOKUP($U$661,'TAR FIN'!$A$1:$O$95,15,0)),0,VLOOKUP($U$661,'TAR FIN'!$A$1:$O$95,15,0))</f>
        <v>243.3</v>
      </c>
      <c r="Y661" s="6"/>
      <c r="Z661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61" s="6">
        <f>('TE BE'!$AA$17+'TE BF'!$AA$17+'TE CVA'!$AA$17)*(1-CUSTOS!$M$37)</f>
        <v>297.20166373463735</v>
      </c>
      <c r="AB661" s="6">
        <f t="shared" si="26"/>
        <v>0</v>
      </c>
      <c r="AC661" s="6">
        <f>(L661-M661)*(W661+X661)+($W$660+$X$660-$W$661-$X$661)*(L661)</f>
        <v>-3.299533091194462E-12</v>
      </c>
      <c r="AD661" s="6">
        <f t="shared" si="27"/>
        <v>0</v>
      </c>
      <c r="AE661" s="6">
        <f ca="1">(L661-M661)*(Z661+AA661)+($Z$660+$AA$660-$Z$661-$AA$661)*(L661)</f>
        <v>0</v>
      </c>
      <c r="AF661" s="4" t="s">
        <v>845</v>
      </c>
    </row>
    <row r="662" spans="1:32" ht="11.25" customHeight="1" x14ac:dyDescent="0.25">
      <c r="A662" s="4" t="s">
        <v>28</v>
      </c>
      <c r="B662" s="4" t="s">
        <v>22</v>
      </c>
      <c r="C662" s="4" t="s">
        <v>23</v>
      </c>
      <c r="D662" s="4" t="s">
        <v>24</v>
      </c>
      <c r="E662" s="4" t="s">
        <v>34</v>
      </c>
      <c r="F662" s="4" t="s">
        <v>25</v>
      </c>
      <c r="G662" s="4" t="s">
        <v>25</v>
      </c>
      <c r="H662" s="4" t="s">
        <v>25</v>
      </c>
      <c r="I662" s="5">
        <v>44136</v>
      </c>
      <c r="J662" s="6">
        <v>0</v>
      </c>
      <c r="K662" s="6">
        <v>0</v>
      </c>
      <c r="L662" s="6">
        <v>3090.0459999999998</v>
      </c>
      <c r="M662" s="6">
        <v>3090.0459999999998</v>
      </c>
      <c r="N662" s="6">
        <v>3090.0459999999998</v>
      </c>
      <c r="O662" s="6">
        <v>3090.0459999999998</v>
      </c>
      <c r="P662" s="6">
        <v>22179</v>
      </c>
      <c r="Q662" s="4" t="s">
        <v>26</v>
      </c>
      <c r="R662" s="4">
        <v>0</v>
      </c>
      <c r="S662" s="4">
        <v>0</v>
      </c>
      <c r="T662" s="4">
        <v>7</v>
      </c>
      <c r="U662" s="4">
        <v>53</v>
      </c>
      <c r="V662" s="6">
        <f>IF(ISERROR(VLOOKUP($S$662,'TAR FIN'!$A$1:$O$95,15,0)),0,VLOOKUP($S$662,'TAR FIN'!$A$1:$O$95,15,0))</f>
        <v>0</v>
      </c>
      <c r="W662" s="6">
        <f>IF(ISERROR(VLOOKUP($T$662,'TAR FIN'!$A$1:$O$95,15,0)),0,VLOOKUP($T$662,'TAR FIN'!$A$1:$O$95,15,0))</f>
        <v>420.39</v>
      </c>
      <c r="X662" s="6">
        <f>IF(ISERROR(VLOOKUP($U$662,'TAR FIN'!$A$1:$O$95,15,0)),0,VLOOKUP($U$662,'TAR FIN'!$A$1:$O$95,15,0))</f>
        <v>243.3</v>
      </c>
      <c r="Y662" s="6"/>
      <c r="Z662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62" s="6">
        <f>('TE BE'!$AA$17+'TE BF'!$AA$17+'TE CVA'!$AA$17)*(1-CUSTOS!$M$37)</f>
        <v>297.20166373463735</v>
      </c>
      <c r="AB662" s="6">
        <f t="shared" si="26"/>
        <v>0</v>
      </c>
      <c r="AC662" s="6">
        <f>(L662-M662)*(W662+X662)+($W$660+$X$660-$W$662-$X$662)*(L662)</f>
        <v>1.7564877907716435E-10</v>
      </c>
      <c r="AD662" s="6">
        <f t="shared" si="27"/>
        <v>0</v>
      </c>
      <c r="AE662" s="6">
        <f ca="1">(L662-M662)*(Z662+AA662)+($Z$660+$AA$660-$Z$662-$AA$662)*(L662)</f>
        <v>0</v>
      </c>
      <c r="AF662" s="4" t="s">
        <v>845</v>
      </c>
    </row>
    <row r="663" spans="1:32" ht="11.25" customHeight="1" x14ac:dyDescent="0.25">
      <c r="A663" s="4" t="s">
        <v>29</v>
      </c>
      <c r="B663" s="4" t="s">
        <v>22</v>
      </c>
      <c r="C663" s="4" t="s">
        <v>23</v>
      </c>
      <c r="D663" s="4" t="s">
        <v>24</v>
      </c>
      <c r="E663" s="4" t="s">
        <v>34</v>
      </c>
      <c r="F663" s="4" t="s">
        <v>25</v>
      </c>
      <c r="G663" s="4" t="s">
        <v>25</v>
      </c>
      <c r="H663" s="4" t="s">
        <v>25</v>
      </c>
      <c r="I663" s="5">
        <v>44136</v>
      </c>
      <c r="J663" s="6">
        <v>0</v>
      </c>
      <c r="K663" s="6">
        <v>0</v>
      </c>
      <c r="L663" s="6">
        <v>-26.347999999999999</v>
      </c>
      <c r="M663" s="6">
        <v>-26.347999999999999</v>
      </c>
      <c r="N663" s="6">
        <v>-26.347999999999999</v>
      </c>
      <c r="O663" s="6">
        <v>-26.347999999999999</v>
      </c>
      <c r="P663" s="6">
        <v>-89</v>
      </c>
      <c r="Q663" s="4" t="s">
        <v>26</v>
      </c>
      <c r="R663" s="4">
        <v>0</v>
      </c>
      <c r="S663" s="4">
        <v>0</v>
      </c>
      <c r="T663" s="4">
        <v>7</v>
      </c>
      <c r="U663" s="4">
        <v>53</v>
      </c>
      <c r="V663" s="6">
        <f>IF(ISERROR(VLOOKUP($S$663,'TAR FIN'!$A$1:$O$95,15,0)),0,VLOOKUP($S$663,'TAR FIN'!$A$1:$O$95,15,0))</f>
        <v>0</v>
      </c>
      <c r="W663" s="6">
        <f>IF(ISERROR(VLOOKUP($T$663,'TAR FIN'!$A$1:$O$95,15,0)),0,VLOOKUP($T$663,'TAR FIN'!$A$1:$O$95,15,0))</f>
        <v>420.39</v>
      </c>
      <c r="X663" s="6">
        <f>IF(ISERROR(VLOOKUP($U$663,'TAR FIN'!$A$1:$O$95,15,0)),0,VLOOKUP($U$663,'TAR FIN'!$A$1:$O$95,15,0))</f>
        <v>243.3</v>
      </c>
      <c r="Y663" s="6"/>
      <c r="Z663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63" s="6">
        <f>('TE BE'!$AA$17+'TE BF'!$AA$17+'TE CVA'!$AA$17)*(1-CUSTOS!$M$37)</f>
        <v>297.20166373463735</v>
      </c>
      <c r="AB663" s="6">
        <f t="shared" si="26"/>
        <v>0</v>
      </c>
      <c r="AC663" s="6">
        <f>(L663-M663)*(W663+X663)+($W$660+$X$660-$W$663-$X$663)*(L663)</f>
        <v>-1.4977104001445695E-12</v>
      </c>
      <c r="AD663" s="6">
        <f t="shared" si="27"/>
        <v>0</v>
      </c>
      <c r="AE663" s="6">
        <f ca="1">(L663-M663)*(Z663+AA663)+($Z$660+$AA$660-$Z$663-$AA$663)*(L663)</f>
        <v>0</v>
      </c>
      <c r="AF663" s="4" t="s">
        <v>845</v>
      </c>
    </row>
    <row r="664" spans="1:32" ht="11.25" customHeight="1" x14ac:dyDescent="0.25">
      <c r="A664" s="4" t="s">
        <v>21</v>
      </c>
      <c r="B664" s="4" t="s">
        <v>22</v>
      </c>
      <c r="C664" s="4" t="s">
        <v>23</v>
      </c>
      <c r="D664" s="4" t="s">
        <v>24</v>
      </c>
      <c r="E664" s="4" t="s">
        <v>34</v>
      </c>
      <c r="F664" s="4" t="s">
        <v>25</v>
      </c>
      <c r="G664" s="4" t="s">
        <v>25</v>
      </c>
      <c r="H664" s="4" t="s">
        <v>25</v>
      </c>
      <c r="I664" s="5">
        <v>44166</v>
      </c>
      <c r="J664" s="6">
        <v>0</v>
      </c>
      <c r="K664" s="6">
        <v>0</v>
      </c>
      <c r="L664" s="6">
        <v>3304.6930000000002</v>
      </c>
      <c r="M664" s="6">
        <v>3304.6930000000002</v>
      </c>
      <c r="N664" s="6">
        <v>3304.6930000000002</v>
      </c>
      <c r="O664" s="6">
        <v>3304.6930000000002</v>
      </c>
      <c r="P664" s="6">
        <v>17972</v>
      </c>
      <c r="Q664" s="4" t="s">
        <v>26</v>
      </c>
      <c r="R664" s="4">
        <v>0</v>
      </c>
      <c r="S664" s="4">
        <v>0</v>
      </c>
      <c r="T664" s="4">
        <v>7</v>
      </c>
      <c r="U664" s="4">
        <v>53</v>
      </c>
      <c r="V664" s="6">
        <f>IF(ISERROR(VLOOKUP($S$664,'TAR FIN'!$A$1:$O$95,15,0)),0,VLOOKUP($S$664,'TAR FIN'!$A$1:$O$95,15,0))</f>
        <v>0</v>
      </c>
      <c r="W664" s="6">
        <f>IF(ISERROR(VLOOKUP($T$664,'TAR FIN'!$A$1:$O$95,15,0)),0,VLOOKUP($T$664,'TAR FIN'!$A$1:$O$95,15,0))</f>
        <v>420.39</v>
      </c>
      <c r="X664" s="6">
        <f>IF(ISERROR(VLOOKUP($U$664,'TAR FIN'!$A$1:$O$95,15,0)),0,VLOOKUP($U$664,'TAR FIN'!$A$1:$O$95,15,0))</f>
        <v>243.3</v>
      </c>
      <c r="Y664" s="6"/>
      <c r="Z664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64" s="6">
        <f>('TE BE'!$AA$17+'TE BF'!$AA$17+'TE CVA'!$AA$17)*(1-CUSTOS!$M$37)</f>
        <v>297.20166373463735</v>
      </c>
      <c r="AB664" s="6">
        <f t="shared" si="26"/>
        <v>0</v>
      </c>
      <c r="AC664" s="6">
        <f>(L664-M664)*(W664+X664)+($W$660+$X$660-$W$664-$X$664)*(L664)</f>
        <v>1.8785004840538023E-10</v>
      </c>
      <c r="AD664" s="6">
        <f t="shared" si="27"/>
        <v>0</v>
      </c>
      <c r="AE664" s="6">
        <f ca="1">(L664-M664)*(Z664+AA664)+($Z$660+$AA$660-$Z$664-$AA$664)*(L664)</f>
        <v>0</v>
      </c>
      <c r="AF664" s="4" t="s">
        <v>845</v>
      </c>
    </row>
    <row r="665" spans="1:32" ht="11.25" customHeight="1" x14ac:dyDescent="0.25">
      <c r="A665" s="4" t="s">
        <v>27</v>
      </c>
      <c r="B665" s="4" t="s">
        <v>22</v>
      </c>
      <c r="C665" s="4" t="s">
        <v>23</v>
      </c>
      <c r="D665" s="4" t="s">
        <v>24</v>
      </c>
      <c r="E665" s="4" t="s">
        <v>34</v>
      </c>
      <c r="F665" s="4" t="s">
        <v>25</v>
      </c>
      <c r="G665" s="4" t="s">
        <v>25</v>
      </c>
      <c r="H665" s="4" t="s">
        <v>25</v>
      </c>
      <c r="I665" s="5">
        <v>44166</v>
      </c>
      <c r="J665" s="6">
        <v>0</v>
      </c>
      <c r="K665" s="6">
        <v>0</v>
      </c>
      <c r="L665" s="6">
        <v>-39.036999999999999</v>
      </c>
      <c r="M665" s="6">
        <v>-39.036999999999999</v>
      </c>
      <c r="N665" s="6">
        <v>-39.036999999999999</v>
      </c>
      <c r="O665" s="6">
        <v>-39.036999999999999</v>
      </c>
      <c r="P665" s="6">
        <v>0</v>
      </c>
      <c r="Q665" s="4" t="s">
        <v>26</v>
      </c>
      <c r="R665" s="4">
        <v>0</v>
      </c>
      <c r="S665" s="4">
        <v>0</v>
      </c>
      <c r="T665" s="4">
        <v>7</v>
      </c>
      <c r="U665" s="4">
        <v>53</v>
      </c>
      <c r="V665" s="6">
        <f>IF(ISERROR(VLOOKUP($S$665,'TAR FIN'!$A$1:$O$95,15,0)),0,VLOOKUP($S$665,'TAR FIN'!$A$1:$O$95,15,0))</f>
        <v>0</v>
      </c>
      <c r="W665" s="6">
        <f>IF(ISERROR(VLOOKUP($T$665,'TAR FIN'!$A$1:$O$95,15,0)),0,VLOOKUP($T$665,'TAR FIN'!$A$1:$O$95,15,0))</f>
        <v>420.39</v>
      </c>
      <c r="X665" s="6">
        <f>IF(ISERROR(VLOOKUP($U$665,'TAR FIN'!$A$1:$O$95,15,0)),0,VLOOKUP($U$665,'TAR FIN'!$A$1:$O$95,15,0))</f>
        <v>243.3</v>
      </c>
      <c r="Y665" s="6"/>
      <c r="Z665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65" s="6">
        <f>('TE BE'!$AA$17+'TE BF'!$AA$17+'TE CVA'!$AA$17)*(1-CUSTOS!$M$37)</f>
        <v>297.20166373463735</v>
      </c>
      <c r="AB665" s="6">
        <f t="shared" si="26"/>
        <v>0</v>
      </c>
      <c r="AC665" s="6">
        <f>(L665-M665)*(W665+X665)+($W$660+$X$660-$W$665-$X$665)*(L665)</f>
        <v>-2.2189965420693624E-12</v>
      </c>
      <c r="AD665" s="6">
        <f t="shared" si="27"/>
        <v>0</v>
      </c>
      <c r="AE665" s="6">
        <f ca="1">(L665-M665)*(Z665+AA665)+($Z$660+$AA$660-$Z$665-$AA$665)*(L665)</f>
        <v>0</v>
      </c>
      <c r="AF665" s="4" t="s">
        <v>845</v>
      </c>
    </row>
    <row r="666" spans="1:32" ht="11.25" customHeight="1" x14ac:dyDescent="0.25">
      <c r="A666" s="4" t="s">
        <v>28</v>
      </c>
      <c r="B666" s="4" t="s">
        <v>22</v>
      </c>
      <c r="C666" s="4" t="s">
        <v>23</v>
      </c>
      <c r="D666" s="4" t="s">
        <v>24</v>
      </c>
      <c r="E666" s="4" t="s">
        <v>34</v>
      </c>
      <c r="F666" s="4" t="s">
        <v>25</v>
      </c>
      <c r="G666" s="4" t="s">
        <v>25</v>
      </c>
      <c r="H666" s="4" t="s">
        <v>25</v>
      </c>
      <c r="I666" s="5">
        <v>44166</v>
      </c>
      <c r="J666" s="6">
        <v>0</v>
      </c>
      <c r="K666" s="6">
        <v>0</v>
      </c>
      <c r="L666" s="6">
        <v>2920.3449999999998</v>
      </c>
      <c r="M666" s="6">
        <v>2920.3449999999998</v>
      </c>
      <c r="N666" s="6">
        <v>2920.3449999999998</v>
      </c>
      <c r="O666" s="6">
        <v>2920.3449999999998</v>
      </c>
      <c r="P666" s="6">
        <v>22588</v>
      </c>
      <c r="Q666" s="4" t="s">
        <v>26</v>
      </c>
      <c r="R666" s="4">
        <v>0</v>
      </c>
      <c r="S666" s="4">
        <v>0</v>
      </c>
      <c r="T666" s="4">
        <v>7</v>
      </c>
      <c r="U666" s="4">
        <v>53</v>
      </c>
      <c r="V666" s="6">
        <f>IF(ISERROR(VLOOKUP($S$666,'TAR FIN'!$A$1:$O$95,15,0)),0,VLOOKUP($S$666,'TAR FIN'!$A$1:$O$95,15,0))</f>
        <v>0</v>
      </c>
      <c r="W666" s="6">
        <f>IF(ISERROR(VLOOKUP($T$666,'TAR FIN'!$A$1:$O$95,15,0)),0,VLOOKUP($T$666,'TAR FIN'!$A$1:$O$95,15,0))</f>
        <v>420.39</v>
      </c>
      <c r="X666" s="6">
        <f>IF(ISERROR(VLOOKUP($U$666,'TAR FIN'!$A$1:$O$95,15,0)),0,VLOOKUP($U$666,'TAR FIN'!$A$1:$O$95,15,0))</f>
        <v>243.3</v>
      </c>
      <c r="Y666" s="6"/>
      <c r="Z666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66" s="6">
        <f>('TE BE'!$AA$17+'TE BF'!$AA$17+'TE CVA'!$AA$17)*(1-CUSTOS!$M$37)</f>
        <v>297.20166373463735</v>
      </c>
      <c r="AB666" s="6">
        <f t="shared" si="26"/>
        <v>0</v>
      </c>
      <c r="AC666" s="6">
        <f>(L666-M666)*(W666+X666)+($W$660+$X$660-$W$666-$X$666)*(L666)</f>
        <v>1.6600239405306637E-10</v>
      </c>
      <c r="AD666" s="6">
        <f t="shared" si="27"/>
        <v>0</v>
      </c>
      <c r="AE666" s="6">
        <f ca="1">(L666-M666)*(Z666+AA666)+($Z$660+$AA$660-$Z$666-$AA$666)*(L666)</f>
        <v>0</v>
      </c>
      <c r="AF666" s="4" t="s">
        <v>845</v>
      </c>
    </row>
    <row r="667" spans="1:32" ht="11.25" customHeight="1" x14ac:dyDescent="0.25">
      <c r="A667" s="4" t="s">
        <v>29</v>
      </c>
      <c r="B667" s="4" t="s">
        <v>22</v>
      </c>
      <c r="C667" s="4" t="s">
        <v>23</v>
      </c>
      <c r="D667" s="4" t="s">
        <v>24</v>
      </c>
      <c r="E667" s="4" t="s">
        <v>34</v>
      </c>
      <c r="F667" s="4" t="s">
        <v>25</v>
      </c>
      <c r="G667" s="4" t="s">
        <v>25</v>
      </c>
      <c r="H667" s="4" t="s">
        <v>25</v>
      </c>
      <c r="I667" s="5">
        <v>44166</v>
      </c>
      <c r="J667" s="6">
        <v>0</v>
      </c>
      <c r="K667" s="6">
        <v>0</v>
      </c>
      <c r="L667" s="6">
        <v>-37.067</v>
      </c>
      <c r="M667" s="6">
        <v>-37.067</v>
      </c>
      <c r="N667" s="6">
        <v>-37.067</v>
      </c>
      <c r="O667" s="6">
        <v>-37.067</v>
      </c>
      <c r="P667" s="6">
        <v>0</v>
      </c>
      <c r="Q667" s="4" t="s">
        <v>26</v>
      </c>
      <c r="R667" s="4">
        <v>0</v>
      </c>
      <c r="S667" s="4">
        <v>0</v>
      </c>
      <c r="T667" s="4">
        <v>7</v>
      </c>
      <c r="U667" s="4">
        <v>53</v>
      </c>
      <c r="V667" s="6">
        <f>IF(ISERROR(VLOOKUP($S$667,'TAR FIN'!$A$1:$O$95,15,0)),0,VLOOKUP($S$667,'TAR FIN'!$A$1:$O$95,15,0))</f>
        <v>0</v>
      </c>
      <c r="W667" s="6">
        <f>IF(ISERROR(VLOOKUP($T$667,'TAR FIN'!$A$1:$O$95,15,0)),0,VLOOKUP($T$667,'TAR FIN'!$A$1:$O$95,15,0))</f>
        <v>420.39</v>
      </c>
      <c r="X667" s="6">
        <f>IF(ISERROR(VLOOKUP($U$667,'TAR FIN'!$A$1:$O$95,15,0)),0,VLOOKUP($U$667,'TAR FIN'!$A$1:$O$95,15,0))</f>
        <v>243.3</v>
      </c>
      <c r="Y667" s="6"/>
      <c r="Z667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67" s="6">
        <f>('TE BE'!$AA$17+'TE BF'!$AA$17+'TE CVA'!$AA$17)*(1-CUSTOS!$M$37)</f>
        <v>297.20166373463735</v>
      </c>
      <c r="AB667" s="6">
        <f t="shared" si="26"/>
        <v>0</v>
      </c>
      <c r="AC667" s="6">
        <f>(L667-M667)*(W667+X667)+($W$660+$X$660-$W$667-$X$667)*(L667)</f>
        <v>-2.1070150069135707E-12</v>
      </c>
      <c r="AD667" s="6">
        <f t="shared" si="27"/>
        <v>0</v>
      </c>
      <c r="AE667" s="6">
        <f ca="1">(L667-M667)*(Z667+AA667)+($Z$660+$AA$660-$Z$667-$AA$667)*(L667)</f>
        <v>0</v>
      </c>
      <c r="AF667" s="4" t="s">
        <v>845</v>
      </c>
    </row>
    <row r="668" spans="1:32" ht="11.25" customHeight="1" x14ac:dyDescent="0.25">
      <c r="A668" s="4" t="s">
        <v>21</v>
      </c>
      <c r="B668" s="4" t="s">
        <v>22</v>
      </c>
      <c r="C668" s="4" t="s">
        <v>23</v>
      </c>
      <c r="D668" s="4" t="s">
        <v>24</v>
      </c>
      <c r="E668" s="4" t="s">
        <v>34</v>
      </c>
      <c r="F668" s="4" t="s">
        <v>25</v>
      </c>
      <c r="G668" s="4" t="s">
        <v>25</v>
      </c>
      <c r="H668" s="4" t="s">
        <v>25</v>
      </c>
      <c r="I668" s="5">
        <v>44197</v>
      </c>
      <c r="J668" s="6">
        <v>0</v>
      </c>
      <c r="K668" s="6">
        <v>0</v>
      </c>
      <c r="L668" s="6">
        <v>3638.5790000000002</v>
      </c>
      <c r="M668" s="6">
        <v>3638.5790000000002</v>
      </c>
      <c r="N668" s="6">
        <v>3638.5790000000002</v>
      </c>
      <c r="O668" s="6">
        <v>3638.5790000000002</v>
      </c>
      <c r="P668" s="6">
        <v>19455</v>
      </c>
      <c r="Q668" s="4" t="s">
        <v>26</v>
      </c>
      <c r="R668" s="4">
        <v>0</v>
      </c>
      <c r="S668" s="4">
        <v>0</v>
      </c>
      <c r="T668" s="4">
        <v>7</v>
      </c>
      <c r="U668" s="4">
        <v>53</v>
      </c>
      <c r="V668" s="6">
        <f>IF(ISERROR(VLOOKUP($S$668,'TAR FIN'!$A$1:$O$95,15,0)),0,VLOOKUP($S$668,'TAR FIN'!$A$1:$O$95,15,0))</f>
        <v>0</v>
      </c>
      <c r="W668" s="6">
        <f>IF(ISERROR(VLOOKUP($T$668,'TAR FIN'!$A$1:$O$95,15,0)),0,VLOOKUP($T$668,'TAR FIN'!$A$1:$O$95,15,0))</f>
        <v>420.39</v>
      </c>
      <c r="X668" s="6">
        <f>IF(ISERROR(VLOOKUP($U$668,'TAR FIN'!$A$1:$O$95,15,0)),0,VLOOKUP($U$668,'TAR FIN'!$A$1:$O$95,15,0))</f>
        <v>243.3</v>
      </c>
      <c r="Y668" s="6"/>
      <c r="Z668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68" s="6">
        <f>('TE BE'!$AA$17+'TE BF'!$AA$17+'TE CVA'!$AA$17)*(1-CUSTOS!$M$37)</f>
        <v>297.20166373463735</v>
      </c>
      <c r="AB668" s="6">
        <f t="shared" si="26"/>
        <v>0</v>
      </c>
      <c r="AC668" s="6">
        <f>(L668-M668)*(W668+X668)+($W$660+$X$660-$W$668-$X$668)*(L668)</f>
        <v>2.0682927015513998E-10</v>
      </c>
      <c r="AD668" s="6">
        <f t="shared" si="27"/>
        <v>0</v>
      </c>
      <c r="AE668" s="6">
        <f ca="1">(L668-M668)*(Z668+AA668)+($Z$660+$AA$660-$Z$668-$AA$668)*(L668)</f>
        <v>0</v>
      </c>
      <c r="AF668" s="4" t="s">
        <v>845</v>
      </c>
    </row>
    <row r="669" spans="1:32" ht="11.25" customHeight="1" x14ac:dyDescent="0.25">
      <c r="A669" s="4" t="s">
        <v>27</v>
      </c>
      <c r="B669" s="4" t="s">
        <v>22</v>
      </c>
      <c r="C669" s="4" t="s">
        <v>23</v>
      </c>
      <c r="D669" s="4" t="s">
        <v>24</v>
      </c>
      <c r="E669" s="4" t="s">
        <v>34</v>
      </c>
      <c r="F669" s="4" t="s">
        <v>25</v>
      </c>
      <c r="G669" s="4" t="s">
        <v>25</v>
      </c>
      <c r="H669" s="4" t="s">
        <v>25</v>
      </c>
      <c r="I669" s="5">
        <v>44197</v>
      </c>
      <c r="J669" s="6">
        <v>0</v>
      </c>
      <c r="K669" s="6">
        <v>0</v>
      </c>
      <c r="L669" s="6">
        <v>-45.874000000000002</v>
      </c>
      <c r="M669" s="6">
        <v>-45.874000000000002</v>
      </c>
      <c r="N669" s="6">
        <v>-45.874000000000002</v>
      </c>
      <c r="O669" s="6">
        <v>-45.874000000000002</v>
      </c>
      <c r="P669" s="6">
        <v>0</v>
      </c>
      <c r="Q669" s="4" t="s">
        <v>26</v>
      </c>
      <c r="R669" s="4">
        <v>0</v>
      </c>
      <c r="S669" s="4">
        <v>0</v>
      </c>
      <c r="T669" s="4">
        <v>7</v>
      </c>
      <c r="U669" s="4">
        <v>53</v>
      </c>
      <c r="V669" s="6">
        <f>IF(ISERROR(VLOOKUP($S$669,'TAR FIN'!$A$1:$O$95,15,0)),0,VLOOKUP($S$669,'TAR FIN'!$A$1:$O$95,15,0))</f>
        <v>0</v>
      </c>
      <c r="W669" s="6">
        <f>IF(ISERROR(VLOOKUP($T$669,'TAR FIN'!$A$1:$O$95,15,0)),0,VLOOKUP($T$669,'TAR FIN'!$A$1:$O$95,15,0))</f>
        <v>420.39</v>
      </c>
      <c r="X669" s="6">
        <f>IF(ISERROR(VLOOKUP($U$669,'TAR FIN'!$A$1:$O$95,15,0)),0,VLOOKUP($U$669,'TAR FIN'!$A$1:$O$95,15,0))</f>
        <v>243.3</v>
      </c>
      <c r="Y669" s="6"/>
      <c r="Z669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69" s="6">
        <f>('TE BE'!$AA$17+'TE BF'!$AA$17+'TE CVA'!$AA$17)*(1-CUSTOS!$M$37)</f>
        <v>297.20166373463735</v>
      </c>
      <c r="AB669" s="6">
        <f t="shared" si="26"/>
        <v>0</v>
      </c>
      <c r="AC669" s="6">
        <f>(L669-M669)*(W669+X669)+($W$660+$X$660-$W$669-$X$669)*(L669)</f>
        <v>-2.607634996820707E-12</v>
      </c>
      <c r="AD669" s="6">
        <f t="shared" si="27"/>
        <v>0</v>
      </c>
      <c r="AE669" s="6">
        <f ca="1">(L669-M669)*(Z669+AA669)+($Z$660+$AA$660-$Z$669-$AA$669)*(L669)</f>
        <v>0</v>
      </c>
      <c r="AF669" s="4" t="s">
        <v>845</v>
      </c>
    </row>
    <row r="670" spans="1:32" ht="11.25" customHeight="1" x14ac:dyDescent="0.25">
      <c r="A670" s="4" t="s">
        <v>28</v>
      </c>
      <c r="B670" s="4" t="s">
        <v>22</v>
      </c>
      <c r="C670" s="4" t="s">
        <v>23</v>
      </c>
      <c r="D670" s="4" t="s">
        <v>24</v>
      </c>
      <c r="E670" s="4" t="s">
        <v>34</v>
      </c>
      <c r="F670" s="4" t="s">
        <v>25</v>
      </c>
      <c r="G670" s="4" t="s">
        <v>25</v>
      </c>
      <c r="H670" s="4" t="s">
        <v>25</v>
      </c>
      <c r="I670" s="5">
        <v>44197</v>
      </c>
      <c r="J670" s="6">
        <v>0</v>
      </c>
      <c r="K670" s="6">
        <v>0</v>
      </c>
      <c r="L670" s="6">
        <v>2588.674</v>
      </c>
      <c r="M670" s="6">
        <v>2588.674</v>
      </c>
      <c r="N670" s="6">
        <v>2588.674</v>
      </c>
      <c r="O670" s="6">
        <v>2588.674</v>
      </c>
      <c r="P670" s="6">
        <v>20751</v>
      </c>
      <c r="Q670" s="4" t="s">
        <v>26</v>
      </c>
      <c r="R670" s="4">
        <v>0</v>
      </c>
      <c r="S670" s="4">
        <v>0</v>
      </c>
      <c r="T670" s="4">
        <v>7</v>
      </c>
      <c r="U670" s="4">
        <v>53</v>
      </c>
      <c r="V670" s="6">
        <f>IF(ISERROR(VLOOKUP($S$670,'TAR FIN'!$A$1:$O$95,15,0)),0,VLOOKUP($S$670,'TAR FIN'!$A$1:$O$95,15,0))</f>
        <v>0</v>
      </c>
      <c r="W670" s="6">
        <f>IF(ISERROR(VLOOKUP($T$670,'TAR FIN'!$A$1:$O$95,15,0)),0,VLOOKUP($T$670,'TAR FIN'!$A$1:$O$95,15,0))</f>
        <v>420.39</v>
      </c>
      <c r="X670" s="6">
        <f>IF(ISERROR(VLOOKUP($U$670,'TAR FIN'!$A$1:$O$95,15,0)),0,VLOOKUP($U$670,'TAR FIN'!$A$1:$O$95,15,0))</f>
        <v>243.3</v>
      </c>
      <c r="Y670" s="6"/>
      <c r="Z670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70" s="6">
        <f>('TE BE'!$AA$17+'TE BF'!$AA$17+'TE CVA'!$AA$17)*(1-CUSTOS!$M$37)</f>
        <v>297.20166373463735</v>
      </c>
      <c r="AB670" s="6">
        <f t="shared" si="26"/>
        <v>0</v>
      </c>
      <c r="AC670" s="6">
        <f>(L670-M670)*(W670+X670)+($W$660+$X$660-$W$670-$X$670)*(L670)</f>
        <v>1.4714908047608333E-10</v>
      </c>
      <c r="AD670" s="6">
        <f t="shared" si="27"/>
        <v>0</v>
      </c>
      <c r="AE670" s="6">
        <f ca="1">(L670-M670)*(Z670+AA670)+($Z$660+$AA$660-$Z$670-$AA$670)*(L670)</f>
        <v>0</v>
      </c>
      <c r="AF670" s="4" t="s">
        <v>845</v>
      </c>
    </row>
    <row r="671" spans="1:32" ht="11.25" customHeight="1" x14ac:dyDescent="0.25">
      <c r="A671" s="4" t="s">
        <v>29</v>
      </c>
      <c r="B671" s="4" t="s">
        <v>22</v>
      </c>
      <c r="C671" s="4" t="s">
        <v>23</v>
      </c>
      <c r="D671" s="4" t="s">
        <v>24</v>
      </c>
      <c r="E671" s="4" t="s">
        <v>34</v>
      </c>
      <c r="F671" s="4" t="s">
        <v>25</v>
      </c>
      <c r="G671" s="4" t="s">
        <v>25</v>
      </c>
      <c r="H671" s="4" t="s">
        <v>25</v>
      </c>
      <c r="I671" s="5">
        <v>44197</v>
      </c>
      <c r="J671" s="6">
        <v>0</v>
      </c>
      <c r="K671" s="6">
        <v>0</v>
      </c>
      <c r="L671" s="6">
        <v>-37.098999999999997</v>
      </c>
      <c r="M671" s="6">
        <v>-37.098999999999997</v>
      </c>
      <c r="N671" s="6">
        <v>-37.098999999999997</v>
      </c>
      <c r="O671" s="6">
        <v>-37.098999999999997</v>
      </c>
      <c r="P671" s="6">
        <v>0</v>
      </c>
      <c r="Q671" s="4" t="s">
        <v>26</v>
      </c>
      <c r="R671" s="4">
        <v>0</v>
      </c>
      <c r="S671" s="4">
        <v>0</v>
      </c>
      <c r="T671" s="4">
        <v>7</v>
      </c>
      <c r="U671" s="4">
        <v>53</v>
      </c>
      <c r="V671" s="6">
        <f>IF(ISERROR(VLOOKUP($S$671,'TAR FIN'!$A$1:$O$95,15,0)),0,VLOOKUP($S$671,'TAR FIN'!$A$1:$O$95,15,0))</f>
        <v>0</v>
      </c>
      <c r="W671" s="6">
        <f>IF(ISERROR(VLOOKUP($T$671,'TAR FIN'!$A$1:$O$95,15,0)),0,VLOOKUP($T$671,'TAR FIN'!$A$1:$O$95,15,0))</f>
        <v>420.39</v>
      </c>
      <c r="X671" s="6">
        <f>IF(ISERROR(VLOOKUP($U$671,'TAR FIN'!$A$1:$O$95,15,0)),0,VLOOKUP($U$671,'TAR FIN'!$A$1:$O$95,15,0))</f>
        <v>243.3</v>
      </c>
      <c r="Y671" s="6"/>
      <c r="Z671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71" s="6">
        <f>('TE BE'!$AA$17+'TE BF'!$AA$17+'TE CVA'!$AA$17)*(1-CUSTOS!$M$37)</f>
        <v>297.20166373463735</v>
      </c>
      <c r="AB671" s="6">
        <f t="shared" si="26"/>
        <v>0</v>
      </c>
      <c r="AC671" s="6">
        <f>(L671-M671)*(W671+X671)+($W$660+$X$660-$W$671-$X$671)*(L671)</f>
        <v>-2.1088339963171164E-12</v>
      </c>
      <c r="AD671" s="6">
        <f t="shared" si="27"/>
        <v>0</v>
      </c>
      <c r="AE671" s="6">
        <f ca="1">(L671-M671)*(Z671+AA671)+($Z$660+$AA$660-$Z$671-$AA$671)*(L671)</f>
        <v>0</v>
      </c>
      <c r="AF671" s="4" t="s">
        <v>845</v>
      </c>
    </row>
    <row r="672" spans="1:32" ht="11.25" customHeight="1" x14ac:dyDescent="0.25">
      <c r="A672" s="4" t="s">
        <v>21</v>
      </c>
      <c r="B672" s="4" t="s">
        <v>22</v>
      </c>
      <c r="C672" s="4" t="s">
        <v>23</v>
      </c>
      <c r="D672" s="4" t="s">
        <v>24</v>
      </c>
      <c r="E672" s="4" t="s">
        <v>34</v>
      </c>
      <c r="F672" s="4" t="s">
        <v>25</v>
      </c>
      <c r="G672" s="4" t="s">
        <v>25</v>
      </c>
      <c r="H672" s="4" t="s">
        <v>25</v>
      </c>
      <c r="I672" s="5">
        <v>44228</v>
      </c>
      <c r="J672" s="6">
        <v>0</v>
      </c>
      <c r="K672" s="6">
        <v>0</v>
      </c>
      <c r="L672" s="6">
        <v>2583.326</v>
      </c>
      <c r="M672" s="6">
        <v>2583.326</v>
      </c>
      <c r="N672" s="6">
        <v>2583.326</v>
      </c>
      <c r="O672" s="6">
        <v>2583.326</v>
      </c>
      <c r="P672" s="6">
        <v>15165</v>
      </c>
      <c r="Q672" s="4" t="s">
        <v>26</v>
      </c>
      <c r="R672" s="4">
        <v>0</v>
      </c>
      <c r="S672" s="4">
        <v>0</v>
      </c>
      <c r="T672" s="4">
        <v>7</v>
      </c>
      <c r="U672" s="4">
        <v>53</v>
      </c>
      <c r="V672" s="6">
        <f>IF(ISERROR(VLOOKUP($S$672,'TAR FIN'!$A$1:$O$95,15,0)),0,VLOOKUP($S$672,'TAR FIN'!$A$1:$O$95,15,0))</f>
        <v>0</v>
      </c>
      <c r="W672" s="6">
        <f>IF(ISERROR(VLOOKUP($T$672,'TAR FIN'!$A$1:$O$95,15,0)),0,VLOOKUP($T$672,'TAR FIN'!$A$1:$O$95,15,0))</f>
        <v>420.39</v>
      </c>
      <c r="X672" s="6">
        <f>IF(ISERROR(VLOOKUP($U$672,'TAR FIN'!$A$1:$O$95,15,0)),0,VLOOKUP($U$672,'TAR FIN'!$A$1:$O$95,15,0))</f>
        <v>243.3</v>
      </c>
      <c r="Y672" s="6"/>
      <c r="Z672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72" s="6">
        <f>('TE BE'!$AA$17+'TE BF'!$AA$17+'TE CVA'!$AA$17)*(1-CUSTOS!$M$37)</f>
        <v>297.20166373463735</v>
      </c>
      <c r="AB672" s="6">
        <f t="shared" si="26"/>
        <v>0</v>
      </c>
      <c r="AC672" s="6">
        <f>(L672-M672)*(W672+X672)+($W$660+$X$660-$W$672-$X$672)*(L672)</f>
        <v>1.4684508187201573E-10</v>
      </c>
      <c r="AD672" s="6">
        <f t="shared" si="27"/>
        <v>0</v>
      </c>
      <c r="AE672" s="6">
        <f ca="1">(L672-M672)*(Z672+AA672)+($Z$660+$AA$660-$Z$672-$AA$672)*(L672)</f>
        <v>0</v>
      </c>
      <c r="AF672" s="4" t="s">
        <v>845</v>
      </c>
    </row>
    <row r="673" spans="1:32" ht="11.25" customHeight="1" x14ac:dyDescent="0.25">
      <c r="A673" s="4" t="s">
        <v>27</v>
      </c>
      <c r="B673" s="4" t="s">
        <v>22</v>
      </c>
      <c r="C673" s="4" t="s">
        <v>23</v>
      </c>
      <c r="D673" s="4" t="s">
        <v>24</v>
      </c>
      <c r="E673" s="4" t="s">
        <v>34</v>
      </c>
      <c r="F673" s="4" t="s">
        <v>25</v>
      </c>
      <c r="G673" s="4" t="s">
        <v>25</v>
      </c>
      <c r="H673" s="4" t="s">
        <v>25</v>
      </c>
      <c r="I673" s="5">
        <v>44228</v>
      </c>
      <c r="J673" s="6">
        <v>0</v>
      </c>
      <c r="K673" s="6">
        <v>0</v>
      </c>
      <c r="L673" s="6">
        <v>-123.56699999999999</v>
      </c>
      <c r="M673" s="6">
        <v>-123.56699999999999</v>
      </c>
      <c r="N673" s="6">
        <v>-123.56699999999999</v>
      </c>
      <c r="O673" s="6">
        <v>-123.56699999999999</v>
      </c>
      <c r="P673" s="6">
        <v>0</v>
      </c>
      <c r="Q673" s="4" t="s">
        <v>26</v>
      </c>
      <c r="R673" s="4">
        <v>0</v>
      </c>
      <c r="S673" s="4">
        <v>0</v>
      </c>
      <c r="T673" s="4">
        <v>7</v>
      </c>
      <c r="U673" s="4">
        <v>53</v>
      </c>
      <c r="V673" s="6">
        <f>IF(ISERROR(VLOOKUP($S$673,'TAR FIN'!$A$1:$O$95,15,0)),0,VLOOKUP($S$673,'TAR FIN'!$A$1:$O$95,15,0))</f>
        <v>0</v>
      </c>
      <c r="W673" s="6">
        <f>IF(ISERROR(VLOOKUP($T$673,'TAR FIN'!$A$1:$O$95,15,0)),0,VLOOKUP($T$673,'TAR FIN'!$A$1:$O$95,15,0))</f>
        <v>420.39</v>
      </c>
      <c r="X673" s="6">
        <f>IF(ISERROR(VLOOKUP($U$673,'TAR FIN'!$A$1:$O$95,15,0)),0,VLOOKUP($U$673,'TAR FIN'!$A$1:$O$95,15,0))</f>
        <v>243.3</v>
      </c>
      <c r="Y673" s="6"/>
      <c r="Z673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73" s="6">
        <f>('TE BE'!$AA$17+'TE BF'!$AA$17+'TE CVA'!$AA$17)*(1-CUSTOS!$M$37)</f>
        <v>297.20166373463735</v>
      </c>
      <c r="AB673" s="6">
        <f t="shared" si="26"/>
        <v>0</v>
      </c>
      <c r="AC673" s="6">
        <f>(L673-M673)*(W673+X673)+($W$660+$X$660-$W$673-$X$673)*(L673)</f>
        <v>-7.0239707383734636E-12</v>
      </c>
      <c r="AD673" s="6">
        <f t="shared" si="27"/>
        <v>0</v>
      </c>
      <c r="AE673" s="6">
        <f ca="1">(L673-M673)*(Z673+AA673)+($Z$660+$AA$660-$Z$673-$AA$673)*(L673)</f>
        <v>0</v>
      </c>
      <c r="AF673" s="4" t="s">
        <v>845</v>
      </c>
    </row>
    <row r="674" spans="1:32" ht="11.25" customHeight="1" x14ac:dyDescent="0.25">
      <c r="A674" s="4" t="s">
        <v>28</v>
      </c>
      <c r="B674" s="4" t="s">
        <v>22</v>
      </c>
      <c r="C674" s="4" t="s">
        <v>23</v>
      </c>
      <c r="D674" s="4" t="s">
        <v>24</v>
      </c>
      <c r="E674" s="4" t="s">
        <v>34</v>
      </c>
      <c r="F674" s="4" t="s">
        <v>25</v>
      </c>
      <c r="G674" s="4" t="s">
        <v>25</v>
      </c>
      <c r="H674" s="4" t="s">
        <v>25</v>
      </c>
      <c r="I674" s="5">
        <v>44228</v>
      </c>
      <c r="J674" s="6">
        <v>0</v>
      </c>
      <c r="K674" s="6">
        <v>0</v>
      </c>
      <c r="L674" s="6">
        <v>2367.0630000000001</v>
      </c>
      <c r="M674" s="6">
        <v>2367.0630000000001</v>
      </c>
      <c r="N674" s="6">
        <v>2367.0630000000001</v>
      </c>
      <c r="O674" s="6">
        <v>2367.0630000000001</v>
      </c>
      <c r="P674" s="6">
        <v>18784</v>
      </c>
      <c r="Q674" s="4" t="s">
        <v>26</v>
      </c>
      <c r="R674" s="4">
        <v>0</v>
      </c>
      <c r="S674" s="4">
        <v>0</v>
      </c>
      <c r="T674" s="4">
        <v>7</v>
      </c>
      <c r="U674" s="4">
        <v>53</v>
      </c>
      <c r="V674" s="6">
        <f>IF(ISERROR(VLOOKUP($S$674,'TAR FIN'!$A$1:$O$95,15,0)),0,VLOOKUP($S$674,'TAR FIN'!$A$1:$O$95,15,0))</f>
        <v>0</v>
      </c>
      <c r="W674" s="6">
        <f>IF(ISERROR(VLOOKUP($T$674,'TAR FIN'!$A$1:$O$95,15,0)),0,VLOOKUP($T$674,'TAR FIN'!$A$1:$O$95,15,0))</f>
        <v>420.39</v>
      </c>
      <c r="X674" s="6">
        <f>IF(ISERROR(VLOOKUP($U$674,'TAR FIN'!$A$1:$O$95,15,0)),0,VLOOKUP($U$674,'TAR FIN'!$A$1:$O$95,15,0))</f>
        <v>243.3</v>
      </c>
      <c r="Y674" s="6"/>
      <c r="Z674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74" s="6">
        <f>('TE BE'!$AA$17+'TE BF'!$AA$17+'TE CVA'!$AA$17)*(1-CUSTOS!$M$37)</f>
        <v>297.20166373463735</v>
      </c>
      <c r="AB674" s="6">
        <f t="shared" si="26"/>
        <v>0</v>
      </c>
      <c r="AC674" s="6">
        <f>(L674-M674)*(W674+X674)+($W$660+$X$660-$W$674-$X$674)*(L674)</f>
        <v>1.3455195357892081E-10</v>
      </c>
      <c r="AD674" s="6">
        <f t="shared" si="27"/>
        <v>0</v>
      </c>
      <c r="AE674" s="6">
        <f ca="1">(L674-M674)*(Z674+AA674)+($Z$660+$AA$660-$Z$674-$AA$674)*(L674)</f>
        <v>0</v>
      </c>
      <c r="AF674" s="4" t="s">
        <v>845</v>
      </c>
    </row>
    <row r="675" spans="1:32" ht="11.25" customHeight="1" x14ac:dyDescent="0.25">
      <c r="A675" s="4" t="s">
        <v>29</v>
      </c>
      <c r="B675" s="4" t="s">
        <v>22</v>
      </c>
      <c r="C675" s="4" t="s">
        <v>23</v>
      </c>
      <c r="D675" s="4" t="s">
        <v>24</v>
      </c>
      <c r="E675" s="4" t="s">
        <v>34</v>
      </c>
      <c r="F675" s="4" t="s">
        <v>25</v>
      </c>
      <c r="G675" s="4" t="s">
        <v>25</v>
      </c>
      <c r="H675" s="4" t="s">
        <v>25</v>
      </c>
      <c r="I675" s="5">
        <v>44228</v>
      </c>
      <c r="J675" s="6">
        <v>0</v>
      </c>
      <c r="K675" s="6">
        <v>0</v>
      </c>
      <c r="L675" s="6">
        <v>-46.963000000000001</v>
      </c>
      <c r="M675" s="6">
        <v>-46.963000000000001</v>
      </c>
      <c r="N675" s="6">
        <v>-46.963000000000001</v>
      </c>
      <c r="O675" s="6">
        <v>-46.963000000000001</v>
      </c>
      <c r="P675" s="6">
        <v>0</v>
      </c>
      <c r="Q675" s="4" t="s">
        <v>26</v>
      </c>
      <c r="R675" s="4">
        <v>0</v>
      </c>
      <c r="S675" s="4">
        <v>0</v>
      </c>
      <c r="T675" s="4">
        <v>7</v>
      </c>
      <c r="U675" s="4">
        <v>53</v>
      </c>
      <c r="V675" s="6">
        <f>IF(ISERROR(VLOOKUP($S$675,'TAR FIN'!$A$1:$O$95,15,0)),0,VLOOKUP($S$675,'TAR FIN'!$A$1:$O$95,15,0))</f>
        <v>0</v>
      </c>
      <c r="W675" s="6">
        <f>IF(ISERROR(VLOOKUP($T$675,'TAR FIN'!$A$1:$O$95,15,0)),0,VLOOKUP($T$675,'TAR FIN'!$A$1:$O$95,15,0))</f>
        <v>420.39</v>
      </c>
      <c r="X675" s="6">
        <f>IF(ISERROR(VLOOKUP($U$675,'TAR FIN'!$A$1:$O$95,15,0)),0,VLOOKUP($U$675,'TAR FIN'!$A$1:$O$95,15,0))</f>
        <v>243.3</v>
      </c>
      <c r="Y675" s="6"/>
      <c r="Z675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75" s="6">
        <f>('TE BE'!$AA$17+'TE BF'!$AA$17+'TE CVA'!$AA$17)*(1-CUSTOS!$M$37)</f>
        <v>297.20166373463735</v>
      </c>
      <c r="AB675" s="6">
        <f t="shared" si="26"/>
        <v>0</v>
      </c>
      <c r="AC675" s="6">
        <f>(L675-M675)*(W675+X675)+($W$660+$X$660-$W$675-$X$675)*(L675)</f>
        <v>-2.6695374799601269E-12</v>
      </c>
      <c r="AD675" s="6">
        <f t="shared" si="27"/>
        <v>0</v>
      </c>
      <c r="AE675" s="6">
        <f ca="1">(L675-M675)*(Z675+AA675)+($Z$660+$AA$660-$Z$675-$AA$675)*(L675)</f>
        <v>0</v>
      </c>
      <c r="AF675" s="4" t="s">
        <v>845</v>
      </c>
    </row>
    <row r="676" spans="1:32" ht="11.25" customHeight="1" x14ac:dyDescent="0.25">
      <c r="A676" s="4" t="s">
        <v>21</v>
      </c>
      <c r="B676" s="4" t="s">
        <v>22</v>
      </c>
      <c r="C676" s="4" t="s">
        <v>23</v>
      </c>
      <c r="D676" s="4" t="s">
        <v>24</v>
      </c>
      <c r="E676" s="4" t="s">
        <v>34</v>
      </c>
      <c r="F676" s="4" t="s">
        <v>25</v>
      </c>
      <c r="G676" s="4" t="s">
        <v>25</v>
      </c>
      <c r="H676" s="4" t="s">
        <v>25</v>
      </c>
      <c r="I676" s="5">
        <v>44256</v>
      </c>
      <c r="J676" s="6">
        <v>0</v>
      </c>
      <c r="K676" s="6">
        <v>0</v>
      </c>
      <c r="L676" s="6">
        <v>3072.7719999999999</v>
      </c>
      <c r="M676" s="6">
        <v>3072.7719999999999</v>
      </c>
      <c r="N676" s="6">
        <v>3072.7719999999999</v>
      </c>
      <c r="O676" s="6">
        <v>3072.7719999999999</v>
      </c>
      <c r="P676" s="6">
        <v>17326</v>
      </c>
      <c r="Q676" s="4" t="s">
        <v>26</v>
      </c>
      <c r="R676" s="4">
        <v>0</v>
      </c>
      <c r="S676" s="4">
        <v>0</v>
      </c>
      <c r="T676" s="4">
        <v>7</v>
      </c>
      <c r="U676" s="4">
        <v>53</v>
      </c>
      <c r="V676" s="6">
        <f>IF(ISERROR(VLOOKUP($S$676,'TAR FIN'!$A$1:$O$95,15,0)),0,VLOOKUP($S$676,'TAR FIN'!$A$1:$O$95,15,0))</f>
        <v>0</v>
      </c>
      <c r="W676" s="6">
        <f>IF(ISERROR(VLOOKUP($T$676,'TAR FIN'!$A$1:$O$95,15,0)),0,VLOOKUP($T$676,'TAR FIN'!$A$1:$O$95,15,0))</f>
        <v>420.39</v>
      </c>
      <c r="X676" s="6">
        <f>IF(ISERROR(VLOOKUP($U$676,'TAR FIN'!$A$1:$O$95,15,0)),0,VLOOKUP($U$676,'TAR FIN'!$A$1:$O$95,15,0))</f>
        <v>243.3</v>
      </c>
      <c r="Y676" s="6"/>
      <c r="Z676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76" s="6">
        <f>('TE BE'!$AA$17+'TE BF'!$AA$17+'TE CVA'!$AA$17)*(1-CUSTOS!$M$37)</f>
        <v>297.20166373463735</v>
      </c>
      <c r="AB676" s="6">
        <f t="shared" si="26"/>
        <v>0</v>
      </c>
      <c r="AC676" s="6">
        <f>(L676-M676)*(W676+X676)+($W$660+$X$660-$W$676-$X$676)*(L676)</f>
        <v>1.7466686585976276E-10</v>
      </c>
      <c r="AD676" s="6">
        <f t="shared" si="27"/>
        <v>0</v>
      </c>
      <c r="AE676" s="6">
        <f ca="1">(L676-M676)*(Z676+AA676)+($Z$660+$AA$660-$Z$676-$AA$676)*(L676)</f>
        <v>0</v>
      </c>
      <c r="AF676" s="4" t="s">
        <v>845</v>
      </c>
    </row>
    <row r="677" spans="1:32" ht="11.25" customHeight="1" x14ac:dyDescent="0.25">
      <c r="A677" s="4" t="s">
        <v>27</v>
      </c>
      <c r="B677" s="4" t="s">
        <v>22</v>
      </c>
      <c r="C677" s="4" t="s">
        <v>23</v>
      </c>
      <c r="D677" s="4" t="s">
        <v>24</v>
      </c>
      <c r="E677" s="4" t="s">
        <v>34</v>
      </c>
      <c r="F677" s="4" t="s">
        <v>25</v>
      </c>
      <c r="G677" s="4" t="s">
        <v>25</v>
      </c>
      <c r="H677" s="4" t="s">
        <v>25</v>
      </c>
      <c r="I677" s="5">
        <v>44256</v>
      </c>
      <c r="J677" s="6">
        <v>0</v>
      </c>
      <c r="K677" s="6">
        <v>0</v>
      </c>
      <c r="L677" s="6">
        <v>-92.253</v>
      </c>
      <c r="M677" s="6">
        <v>-92.253</v>
      </c>
      <c r="N677" s="6">
        <v>-92.253</v>
      </c>
      <c r="O677" s="6">
        <v>-92.253</v>
      </c>
      <c r="P677" s="6">
        <v>0</v>
      </c>
      <c r="Q677" s="4" t="s">
        <v>26</v>
      </c>
      <c r="R677" s="4">
        <v>0</v>
      </c>
      <c r="S677" s="4">
        <v>0</v>
      </c>
      <c r="T677" s="4">
        <v>7</v>
      </c>
      <c r="U677" s="4">
        <v>53</v>
      </c>
      <c r="V677" s="6">
        <f>IF(ISERROR(VLOOKUP($S$677,'TAR FIN'!$A$1:$O$95,15,0)),0,VLOOKUP($S$677,'TAR FIN'!$A$1:$O$95,15,0))</f>
        <v>0</v>
      </c>
      <c r="W677" s="6">
        <f>IF(ISERROR(VLOOKUP($T$677,'TAR FIN'!$A$1:$O$95,15,0)),0,VLOOKUP($T$677,'TAR FIN'!$A$1:$O$95,15,0))</f>
        <v>420.39</v>
      </c>
      <c r="X677" s="6">
        <f>IF(ISERROR(VLOOKUP($U$677,'TAR FIN'!$A$1:$O$95,15,0)),0,VLOOKUP($U$677,'TAR FIN'!$A$1:$O$95,15,0))</f>
        <v>243.3</v>
      </c>
      <c r="Y677" s="6"/>
      <c r="Z677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77" s="6">
        <f>('TE BE'!$AA$17+'TE BF'!$AA$17+'TE CVA'!$AA$17)*(1-CUSTOS!$M$37)</f>
        <v>297.20166373463735</v>
      </c>
      <c r="AB677" s="6">
        <f t="shared" si="26"/>
        <v>0</v>
      </c>
      <c r="AC677" s="6">
        <f>(L677-M677)*(W677+X677)+($W$660+$X$660-$W$677-$X$677)*(L677)</f>
        <v>-5.2439759201661218E-12</v>
      </c>
      <c r="AD677" s="6">
        <f t="shared" si="27"/>
        <v>0</v>
      </c>
      <c r="AE677" s="6">
        <f ca="1">(L677-M677)*(Z677+AA677)+($Z$660+$AA$660-$Z$677-$AA$677)*(L677)</f>
        <v>0</v>
      </c>
      <c r="AF677" s="4" t="s">
        <v>845</v>
      </c>
    </row>
    <row r="678" spans="1:32" ht="11.25" customHeight="1" x14ac:dyDescent="0.25">
      <c r="A678" s="4" t="s">
        <v>28</v>
      </c>
      <c r="B678" s="4" t="s">
        <v>22</v>
      </c>
      <c r="C678" s="4" t="s">
        <v>23</v>
      </c>
      <c r="D678" s="4" t="s">
        <v>24</v>
      </c>
      <c r="E678" s="4" t="s">
        <v>34</v>
      </c>
      <c r="F678" s="4" t="s">
        <v>25</v>
      </c>
      <c r="G678" s="4" t="s">
        <v>25</v>
      </c>
      <c r="H678" s="4" t="s">
        <v>25</v>
      </c>
      <c r="I678" s="5">
        <v>44256</v>
      </c>
      <c r="J678" s="6">
        <v>0</v>
      </c>
      <c r="K678" s="6">
        <v>0</v>
      </c>
      <c r="L678" s="6">
        <v>2521.5030000000002</v>
      </c>
      <c r="M678" s="6">
        <v>2521.5030000000002</v>
      </c>
      <c r="N678" s="6">
        <v>2521.5030000000002</v>
      </c>
      <c r="O678" s="6">
        <v>2521.5030000000002</v>
      </c>
      <c r="P678" s="6">
        <v>19247</v>
      </c>
      <c r="Q678" s="4" t="s">
        <v>26</v>
      </c>
      <c r="R678" s="4">
        <v>0</v>
      </c>
      <c r="S678" s="4">
        <v>0</v>
      </c>
      <c r="T678" s="4">
        <v>7</v>
      </c>
      <c r="U678" s="4">
        <v>53</v>
      </c>
      <c r="V678" s="6">
        <f>IF(ISERROR(VLOOKUP($S$678,'TAR FIN'!$A$1:$O$95,15,0)),0,VLOOKUP($S$678,'TAR FIN'!$A$1:$O$95,15,0))</f>
        <v>0</v>
      </c>
      <c r="W678" s="6">
        <f>IF(ISERROR(VLOOKUP($T$678,'TAR FIN'!$A$1:$O$95,15,0)),0,VLOOKUP($T$678,'TAR FIN'!$A$1:$O$95,15,0))</f>
        <v>420.39</v>
      </c>
      <c r="X678" s="6">
        <f>IF(ISERROR(VLOOKUP($U$678,'TAR FIN'!$A$1:$O$95,15,0)),0,VLOOKUP($U$678,'TAR FIN'!$A$1:$O$95,15,0))</f>
        <v>243.3</v>
      </c>
      <c r="Y678" s="6"/>
      <c r="Z678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78" s="6">
        <f>('TE BE'!$AA$17+'TE BF'!$AA$17+'TE CVA'!$AA$17)*(1-CUSTOS!$M$37)</f>
        <v>297.20166373463735</v>
      </c>
      <c r="AB678" s="6">
        <f t="shared" si="26"/>
        <v>0</v>
      </c>
      <c r="AC678" s="6">
        <f>(L678-M678)*(W678+X678)+($W$660+$X$660-$W$678-$X$678)*(L678)</f>
        <v>1.43330851187784E-10</v>
      </c>
      <c r="AD678" s="6">
        <f t="shared" si="27"/>
        <v>0</v>
      </c>
      <c r="AE678" s="6">
        <f ca="1">(L678-M678)*(Z678+AA678)+($Z$660+$AA$660-$Z$678-$AA$678)*(L678)</f>
        <v>0</v>
      </c>
      <c r="AF678" s="4" t="s">
        <v>845</v>
      </c>
    </row>
    <row r="679" spans="1:32" ht="11.25" customHeight="1" x14ac:dyDescent="0.25">
      <c r="A679" s="4" t="s">
        <v>29</v>
      </c>
      <c r="B679" s="4" t="s">
        <v>22</v>
      </c>
      <c r="C679" s="4" t="s">
        <v>23</v>
      </c>
      <c r="D679" s="4" t="s">
        <v>24</v>
      </c>
      <c r="E679" s="4" t="s">
        <v>34</v>
      </c>
      <c r="F679" s="4" t="s">
        <v>25</v>
      </c>
      <c r="G679" s="4" t="s">
        <v>25</v>
      </c>
      <c r="H679" s="4" t="s">
        <v>25</v>
      </c>
      <c r="I679" s="5">
        <v>44256</v>
      </c>
      <c r="J679" s="6">
        <v>0</v>
      </c>
      <c r="K679" s="6">
        <v>0</v>
      </c>
      <c r="L679" s="6">
        <v>-31.957000000000001</v>
      </c>
      <c r="M679" s="6">
        <v>-31.957000000000001</v>
      </c>
      <c r="N679" s="6">
        <v>-31.957000000000001</v>
      </c>
      <c r="O679" s="6">
        <v>-31.957000000000001</v>
      </c>
      <c r="P679" s="6">
        <v>0</v>
      </c>
      <c r="Q679" s="4" t="s">
        <v>26</v>
      </c>
      <c r="R679" s="4">
        <v>0</v>
      </c>
      <c r="S679" s="4">
        <v>0</v>
      </c>
      <c r="T679" s="4">
        <v>7</v>
      </c>
      <c r="U679" s="4">
        <v>53</v>
      </c>
      <c r="V679" s="6">
        <f>IF(ISERROR(VLOOKUP($S$679,'TAR FIN'!$A$1:$O$95,15,0)),0,VLOOKUP($S$679,'TAR FIN'!$A$1:$O$95,15,0))</f>
        <v>0</v>
      </c>
      <c r="W679" s="6">
        <f>IF(ISERROR(VLOOKUP($T$679,'TAR FIN'!$A$1:$O$95,15,0)),0,VLOOKUP($T$679,'TAR FIN'!$A$1:$O$95,15,0))</f>
        <v>420.39</v>
      </c>
      <c r="X679" s="6">
        <f>IF(ISERROR(VLOOKUP($U$679,'TAR FIN'!$A$1:$O$95,15,0)),0,VLOOKUP($U$679,'TAR FIN'!$A$1:$O$95,15,0))</f>
        <v>243.3</v>
      </c>
      <c r="Y679" s="6"/>
      <c r="Z679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79" s="6">
        <f>('TE BE'!$AA$17+'TE BF'!$AA$17+'TE CVA'!$AA$17)*(1-CUSTOS!$M$37)</f>
        <v>297.20166373463735</v>
      </c>
      <c r="AB679" s="6">
        <f t="shared" si="26"/>
        <v>0</v>
      </c>
      <c r="AC679" s="6">
        <f>(L679-M679)*(W679+X679)+($W$660+$X$660-$W$679-$X$679)*(L679)</f>
        <v>-1.8165451365348418E-12</v>
      </c>
      <c r="AD679" s="6">
        <f t="shared" si="27"/>
        <v>0</v>
      </c>
      <c r="AE679" s="6">
        <f ca="1">(L679-M679)*(Z679+AA679)+($Z$660+$AA$660-$Z$679-$AA$679)*(L679)</f>
        <v>0</v>
      </c>
      <c r="AF679" s="4" t="s">
        <v>845</v>
      </c>
    </row>
    <row r="680" spans="1:32" ht="11.25" customHeight="1" x14ac:dyDescent="0.25">
      <c r="A680" s="4" t="s">
        <v>30</v>
      </c>
      <c r="B680" s="4" t="s">
        <v>22</v>
      </c>
      <c r="C680" s="4" t="s">
        <v>23</v>
      </c>
      <c r="D680" s="4" t="s">
        <v>24</v>
      </c>
      <c r="E680" s="4" t="s">
        <v>34</v>
      </c>
      <c r="F680" s="4" t="s">
        <v>25</v>
      </c>
      <c r="G680" s="4" t="s">
        <v>25</v>
      </c>
      <c r="H680" s="4" t="s">
        <v>25</v>
      </c>
      <c r="I680" s="5">
        <v>44256</v>
      </c>
      <c r="J680" s="6">
        <v>0</v>
      </c>
      <c r="K680" s="6">
        <v>0</v>
      </c>
      <c r="L680" s="6">
        <v>9.9000000000000005E-2</v>
      </c>
      <c r="M680" s="6">
        <v>9.9000000000000005E-2</v>
      </c>
      <c r="N680" s="6">
        <v>9.9000000000000005E-2</v>
      </c>
      <c r="O680" s="6">
        <v>9.9000000000000005E-2</v>
      </c>
      <c r="P680" s="6">
        <v>2</v>
      </c>
      <c r="Q680" s="4" t="s">
        <v>26</v>
      </c>
      <c r="R680" s="4">
        <v>0</v>
      </c>
      <c r="S680" s="4">
        <v>0</v>
      </c>
      <c r="T680" s="4">
        <v>7</v>
      </c>
      <c r="U680" s="4">
        <v>53</v>
      </c>
      <c r="V680" s="6">
        <f>IF(ISERROR(VLOOKUP($S$680,'TAR FIN'!$A$1:$O$95,15,0)),0,VLOOKUP($S$680,'TAR FIN'!$A$1:$O$95,15,0))</f>
        <v>0</v>
      </c>
      <c r="W680" s="6">
        <f>IF(ISERROR(VLOOKUP($T$680,'TAR FIN'!$A$1:$O$95,15,0)),0,VLOOKUP($T$680,'TAR FIN'!$A$1:$O$95,15,0))</f>
        <v>420.39</v>
      </c>
      <c r="X680" s="6">
        <f>IF(ISERROR(VLOOKUP($U$680,'TAR FIN'!$A$1:$O$95,15,0)),0,VLOOKUP($U$680,'TAR FIN'!$A$1:$O$95,15,0))</f>
        <v>243.3</v>
      </c>
      <c r="Y680" s="6"/>
      <c r="Z680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80" s="6">
        <f>('TE BE'!$AA$17+'TE BF'!$AA$17+'TE CVA'!$AA$17)*(1-CUSTOS!$M$37)</f>
        <v>297.20166373463735</v>
      </c>
      <c r="AB680" s="6">
        <f t="shared" si="26"/>
        <v>0</v>
      </c>
      <c r="AC680" s="6">
        <f>(L680-M680)*(W680+X680)+($W$660+$X$660-$W$680-$X$680)*(L680)</f>
        <v>5.6274984672199937E-15</v>
      </c>
      <c r="AD680" s="6">
        <f t="shared" si="27"/>
        <v>0</v>
      </c>
      <c r="AE680" s="6">
        <f ca="1">(L680-M680)*(Z680+AA680)+($Z$660+$AA$660-$Z$680-$AA$680)*(L680)</f>
        <v>0</v>
      </c>
      <c r="AF680" s="4" t="s">
        <v>845</v>
      </c>
    </row>
    <row r="681" spans="1:32" ht="11.25" customHeight="1" x14ac:dyDescent="0.25">
      <c r="A681" s="4" t="s">
        <v>21</v>
      </c>
      <c r="B681" s="4" t="s">
        <v>22</v>
      </c>
      <c r="C681" s="4" t="s">
        <v>23</v>
      </c>
      <c r="D681" s="4" t="s">
        <v>24</v>
      </c>
      <c r="E681" s="4" t="s">
        <v>34</v>
      </c>
      <c r="F681" s="4" t="s">
        <v>25</v>
      </c>
      <c r="G681" s="4" t="s">
        <v>25</v>
      </c>
      <c r="H681" s="4" t="s">
        <v>25</v>
      </c>
      <c r="I681" s="5">
        <v>44287</v>
      </c>
      <c r="J681" s="6">
        <v>0</v>
      </c>
      <c r="K681" s="6">
        <v>0</v>
      </c>
      <c r="L681" s="6">
        <v>3414.5819999999999</v>
      </c>
      <c r="M681" s="6">
        <v>3414.5819999999999</v>
      </c>
      <c r="N681" s="6">
        <v>3414.5819999999999</v>
      </c>
      <c r="O681" s="6">
        <v>3414.5819999999999</v>
      </c>
      <c r="P681" s="6">
        <v>18530</v>
      </c>
      <c r="Q681" s="4" t="s">
        <v>26</v>
      </c>
      <c r="R681" s="4">
        <v>0</v>
      </c>
      <c r="S681" s="4">
        <v>0</v>
      </c>
      <c r="T681" s="4">
        <v>7</v>
      </c>
      <c r="U681" s="4">
        <v>53</v>
      </c>
      <c r="V681" s="6">
        <f>IF(ISERROR(VLOOKUP($S$681,'TAR FIN'!$A$1:$O$95,15,0)),0,VLOOKUP($S$681,'TAR FIN'!$A$1:$O$95,15,0))</f>
        <v>0</v>
      </c>
      <c r="W681" s="6">
        <f>IF(ISERROR(VLOOKUP($T$681,'TAR FIN'!$A$1:$O$95,15,0)),0,VLOOKUP($T$681,'TAR FIN'!$A$1:$O$95,15,0))</f>
        <v>420.39</v>
      </c>
      <c r="X681" s="6">
        <f>IF(ISERROR(VLOOKUP($U$681,'TAR FIN'!$A$1:$O$95,15,0)),0,VLOOKUP($U$681,'TAR FIN'!$A$1:$O$95,15,0))</f>
        <v>243.3</v>
      </c>
      <c r="Y681" s="6"/>
      <c r="Z681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81" s="6">
        <f>('TE BE'!$AA$17+'TE BF'!$AA$17+'TE CVA'!$AA$17)*(1-CUSTOS!$M$37)</f>
        <v>297.20166373463735</v>
      </c>
      <c r="AB681" s="6">
        <f t="shared" si="26"/>
        <v>0</v>
      </c>
      <c r="AC681" s="6">
        <f>(L681-M681)*(W681+X681)+($W$660+$X$660-$W$681-$X$681)*(L681)</f>
        <v>1.9409651486057555E-10</v>
      </c>
      <c r="AD681" s="6">
        <f t="shared" si="27"/>
        <v>0</v>
      </c>
      <c r="AE681" s="6">
        <f ca="1">(L681-M681)*(Z681+AA681)+($Z$660+$AA$660-$Z$681-$AA$681)*(L681)</f>
        <v>0</v>
      </c>
      <c r="AF681" s="4" t="s">
        <v>845</v>
      </c>
    </row>
    <row r="682" spans="1:32" ht="11.25" customHeight="1" x14ac:dyDescent="0.25">
      <c r="A682" s="4" t="s">
        <v>27</v>
      </c>
      <c r="B682" s="4" t="s">
        <v>22</v>
      </c>
      <c r="C682" s="4" t="s">
        <v>23</v>
      </c>
      <c r="D682" s="4" t="s">
        <v>24</v>
      </c>
      <c r="E682" s="4" t="s">
        <v>34</v>
      </c>
      <c r="F682" s="4" t="s">
        <v>25</v>
      </c>
      <c r="G682" s="4" t="s">
        <v>25</v>
      </c>
      <c r="H682" s="4" t="s">
        <v>25</v>
      </c>
      <c r="I682" s="5">
        <v>44287</v>
      </c>
      <c r="J682" s="6">
        <v>0</v>
      </c>
      <c r="K682" s="6">
        <v>0</v>
      </c>
      <c r="L682" s="6">
        <v>-47.475999999999999</v>
      </c>
      <c r="M682" s="6">
        <v>-47.475999999999999</v>
      </c>
      <c r="N682" s="6">
        <v>-47.475999999999999</v>
      </c>
      <c r="O682" s="6">
        <v>-47.475999999999999</v>
      </c>
      <c r="P682" s="6">
        <v>0</v>
      </c>
      <c r="Q682" s="4" t="s">
        <v>26</v>
      </c>
      <c r="R682" s="4">
        <v>0</v>
      </c>
      <c r="S682" s="4">
        <v>0</v>
      </c>
      <c r="T682" s="4">
        <v>7</v>
      </c>
      <c r="U682" s="4">
        <v>53</v>
      </c>
      <c r="V682" s="6">
        <f>IF(ISERROR(VLOOKUP($S$682,'TAR FIN'!$A$1:$O$95,15,0)),0,VLOOKUP($S$682,'TAR FIN'!$A$1:$O$95,15,0))</f>
        <v>0</v>
      </c>
      <c r="W682" s="6">
        <f>IF(ISERROR(VLOOKUP($T$682,'TAR FIN'!$A$1:$O$95,15,0)),0,VLOOKUP($T$682,'TAR FIN'!$A$1:$O$95,15,0))</f>
        <v>420.39</v>
      </c>
      <c r="X682" s="6">
        <f>IF(ISERROR(VLOOKUP($U$682,'TAR FIN'!$A$1:$O$95,15,0)),0,VLOOKUP($U$682,'TAR FIN'!$A$1:$O$95,15,0))</f>
        <v>243.3</v>
      </c>
      <c r="Y682" s="6"/>
      <c r="Z682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82" s="6">
        <f>('TE BE'!$AA$17+'TE BF'!$AA$17+'TE CVA'!$AA$17)*(1-CUSTOS!$M$37)</f>
        <v>297.20166373463735</v>
      </c>
      <c r="AB682" s="6">
        <f t="shared" si="26"/>
        <v>0</v>
      </c>
      <c r="AC682" s="6">
        <f>(L682-M682)*(W682+X682)+($W$660+$X$660-$W$682-$X$682)*(L682)</f>
        <v>-2.6986981538357213E-12</v>
      </c>
      <c r="AD682" s="6">
        <f t="shared" si="27"/>
        <v>0</v>
      </c>
      <c r="AE682" s="6">
        <f ca="1">(L682-M682)*(Z682+AA682)+($Z$660+$AA$660-$Z$682-$AA$682)*(L682)</f>
        <v>0</v>
      </c>
      <c r="AF682" s="4" t="s">
        <v>845</v>
      </c>
    </row>
    <row r="683" spans="1:32" ht="11.25" customHeight="1" x14ac:dyDescent="0.25">
      <c r="A683" s="4" t="s">
        <v>28</v>
      </c>
      <c r="B683" s="4" t="s">
        <v>22</v>
      </c>
      <c r="C683" s="4" t="s">
        <v>23</v>
      </c>
      <c r="D683" s="4" t="s">
        <v>24</v>
      </c>
      <c r="E683" s="4" t="s">
        <v>34</v>
      </c>
      <c r="F683" s="4" t="s">
        <v>25</v>
      </c>
      <c r="G683" s="4" t="s">
        <v>25</v>
      </c>
      <c r="H683" s="4" t="s">
        <v>25</v>
      </c>
      <c r="I683" s="5">
        <v>44287</v>
      </c>
      <c r="J683" s="6">
        <v>0</v>
      </c>
      <c r="K683" s="6">
        <v>0</v>
      </c>
      <c r="L683" s="6">
        <v>2899.3980000000001</v>
      </c>
      <c r="M683" s="6">
        <v>2899.3980000000001</v>
      </c>
      <c r="N683" s="6">
        <v>2899.3980000000001</v>
      </c>
      <c r="O683" s="6">
        <v>2899.3980000000001</v>
      </c>
      <c r="P683" s="6">
        <v>22749</v>
      </c>
      <c r="Q683" s="4" t="s">
        <v>26</v>
      </c>
      <c r="R683" s="4">
        <v>0</v>
      </c>
      <c r="S683" s="4">
        <v>0</v>
      </c>
      <c r="T683" s="4">
        <v>7</v>
      </c>
      <c r="U683" s="4">
        <v>53</v>
      </c>
      <c r="V683" s="6">
        <f>IF(ISERROR(VLOOKUP($S$683,'TAR FIN'!$A$1:$O$95,15,0)),0,VLOOKUP($S$683,'TAR FIN'!$A$1:$O$95,15,0))</f>
        <v>0</v>
      </c>
      <c r="W683" s="6">
        <f>IF(ISERROR(VLOOKUP($T$683,'TAR FIN'!$A$1:$O$95,15,0)),0,VLOOKUP($T$683,'TAR FIN'!$A$1:$O$95,15,0))</f>
        <v>420.39</v>
      </c>
      <c r="X683" s="6">
        <f>IF(ISERROR(VLOOKUP($U$683,'TAR FIN'!$A$1:$O$95,15,0)),0,VLOOKUP($U$683,'TAR FIN'!$A$1:$O$95,15,0))</f>
        <v>243.3</v>
      </c>
      <c r="Y683" s="6"/>
      <c r="Z683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83" s="6">
        <f>('TE BE'!$AA$17+'TE BF'!$AA$17+'TE CVA'!$AA$17)*(1-CUSTOS!$M$37)</f>
        <v>297.20166373463735</v>
      </c>
      <c r="AB683" s="6">
        <f t="shared" si="26"/>
        <v>0</v>
      </c>
      <c r="AC683" s="6">
        <f>(L683-M683)*(W683+X683)+($W$660+$X$660-$W$683-$X$683)*(L683)</f>
        <v>1.6481169495818904E-10</v>
      </c>
      <c r="AD683" s="6">
        <f t="shared" si="27"/>
        <v>0</v>
      </c>
      <c r="AE683" s="6">
        <f ca="1">(L683-M683)*(Z683+AA683)+($Z$660+$AA$660-$Z$683-$AA$683)*(L683)</f>
        <v>0</v>
      </c>
      <c r="AF683" s="4" t="s">
        <v>845</v>
      </c>
    </row>
    <row r="684" spans="1:32" ht="11.25" customHeight="1" x14ac:dyDescent="0.25">
      <c r="A684" s="4" t="s">
        <v>29</v>
      </c>
      <c r="B684" s="4" t="s">
        <v>22</v>
      </c>
      <c r="C684" s="4" t="s">
        <v>23</v>
      </c>
      <c r="D684" s="4" t="s">
        <v>24</v>
      </c>
      <c r="E684" s="4" t="s">
        <v>34</v>
      </c>
      <c r="F684" s="4" t="s">
        <v>25</v>
      </c>
      <c r="G684" s="4" t="s">
        <v>25</v>
      </c>
      <c r="H684" s="4" t="s">
        <v>25</v>
      </c>
      <c r="I684" s="5">
        <v>44287</v>
      </c>
      <c r="J684" s="6">
        <v>0</v>
      </c>
      <c r="K684" s="6">
        <v>0</v>
      </c>
      <c r="L684" s="6">
        <v>-47.3</v>
      </c>
      <c r="M684" s="6">
        <v>-47.3</v>
      </c>
      <c r="N684" s="6">
        <v>-47.3</v>
      </c>
      <c r="O684" s="6">
        <v>-47.3</v>
      </c>
      <c r="P684" s="6">
        <v>0</v>
      </c>
      <c r="Q684" s="4" t="s">
        <v>26</v>
      </c>
      <c r="R684" s="4">
        <v>0</v>
      </c>
      <c r="S684" s="4">
        <v>0</v>
      </c>
      <c r="T684" s="4">
        <v>7</v>
      </c>
      <c r="U684" s="4">
        <v>53</v>
      </c>
      <c r="V684" s="6">
        <f>IF(ISERROR(VLOOKUP($S$684,'TAR FIN'!$A$1:$O$95,15,0)),0,VLOOKUP($S$684,'TAR FIN'!$A$1:$O$95,15,0))</f>
        <v>0</v>
      </c>
      <c r="W684" s="6">
        <f>IF(ISERROR(VLOOKUP($T$684,'TAR FIN'!$A$1:$O$95,15,0)),0,VLOOKUP($T$684,'TAR FIN'!$A$1:$O$95,15,0))</f>
        <v>420.39</v>
      </c>
      <c r="X684" s="6">
        <f>IF(ISERROR(VLOOKUP($U$684,'TAR FIN'!$A$1:$O$95,15,0)),0,VLOOKUP($U$684,'TAR FIN'!$A$1:$O$95,15,0))</f>
        <v>243.3</v>
      </c>
      <c r="Y684" s="6"/>
      <c r="Z684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84" s="6">
        <f>('TE BE'!$AA$17+'TE BF'!$AA$17+'TE CVA'!$AA$17)*(1-CUSTOS!$M$37)</f>
        <v>297.20166373463735</v>
      </c>
      <c r="AB684" s="6">
        <f t="shared" si="26"/>
        <v>0</v>
      </c>
      <c r="AC684" s="6">
        <f>(L684-M684)*(W684+X684)+($W$660+$X$660-$W$684-$X$684)*(L684)</f>
        <v>-2.6886937121162189E-12</v>
      </c>
      <c r="AD684" s="6">
        <f t="shared" si="27"/>
        <v>0</v>
      </c>
      <c r="AE684" s="6">
        <f ca="1">(L684-M684)*(Z684+AA684)+($Z$660+$AA$660-$Z$684-$AA$684)*(L684)</f>
        <v>0</v>
      </c>
      <c r="AF684" s="4" t="s">
        <v>845</v>
      </c>
    </row>
    <row r="685" spans="1:32" ht="11.25" customHeight="1" x14ac:dyDescent="0.25">
      <c r="A685" s="4" t="s">
        <v>30</v>
      </c>
      <c r="B685" s="4" t="s">
        <v>22</v>
      </c>
      <c r="C685" s="4" t="s">
        <v>23</v>
      </c>
      <c r="D685" s="4" t="s">
        <v>24</v>
      </c>
      <c r="E685" s="4" t="s">
        <v>34</v>
      </c>
      <c r="F685" s="4" t="s">
        <v>25</v>
      </c>
      <c r="G685" s="4" t="s">
        <v>25</v>
      </c>
      <c r="H685" s="4" t="s">
        <v>25</v>
      </c>
      <c r="I685" s="5">
        <v>44287</v>
      </c>
      <c r="J685" s="6">
        <v>0</v>
      </c>
      <c r="K685" s="6">
        <v>0</v>
      </c>
      <c r="L685" s="6">
        <v>5.8000000000000003E-2</v>
      </c>
      <c r="M685" s="6">
        <v>5.8000000000000003E-2</v>
      </c>
      <c r="N685" s="6">
        <v>5.8000000000000003E-2</v>
      </c>
      <c r="O685" s="6">
        <v>5.8000000000000003E-2</v>
      </c>
      <c r="P685" s="6">
        <v>1</v>
      </c>
      <c r="Q685" s="4" t="s">
        <v>26</v>
      </c>
      <c r="R685" s="4">
        <v>0</v>
      </c>
      <c r="S685" s="4">
        <v>0</v>
      </c>
      <c r="T685" s="4">
        <v>7</v>
      </c>
      <c r="U685" s="4">
        <v>53</v>
      </c>
      <c r="V685" s="6">
        <f>IF(ISERROR(VLOOKUP($S$685,'TAR FIN'!$A$1:$O$95,15,0)),0,VLOOKUP($S$685,'TAR FIN'!$A$1:$O$95,15,0))</f>
        <v>0</v>
      </c>
      <c r="W685" s="6">
        <f>IF(ISERROR(VLOOKUP($T$685,'TAR FIN'!$A$1:$O$95,15,0)),0,VLOOKUP($T$685,'TAR FIN'!$A$1:$O$95,15,0))</f>
        <v>420.39</v>
      </c>
      <c r="X685" s="6">
        <f>IF(ISERROR(VLOOKUP($U$685,'TAR FIN'!$A$1:$O$95,15,0)),0,VLOOKUP($U$685,'TAR FIN'!$A$1:$O$95,15,0))</f>
        <v>243.3</v>
      </c>
      <c r="Y685" s="6"/>
      <c r="Z685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85" s="6">
        <f>('TE BE'!$AA$17+'TE BF'!$AA$17+'TE CVA'!$AA$17)*(1-CUSTOS!$M$37)</f>
        <v>297.20166373463735</v>
      </c>
      <c r="AB685" s="6">
        <f t="shared" si="26"/>
        <v>0</v>
      </c>
      <c r="AC685" s="6">
        <f>(L685-M685)*(W685+X685)+($W$660+$X$660-$W$685-$X$685)*(L685)</f>
        <v>3.296918293926865E-15</v>
      </c>
      <c r="AD685" s="6">
        <f t="shared" si="27"/>
        <v>0</v>
      </c>
      <c r="AE685" s="6">
        <f ca="1">(L685-M685)*(Z685+AA685)+($Z$660+$AA$660-$Z$685-$AA$685)*(L685)</f>
        <v>0</v>
      </c>
      <c r="AF685" s="4" t="s">
        <v>845</v>
      </c>
    </row>
    <row r="686" spans="1:32" ht="11.25" customHeight="1" x14ac:dyDescent="0.25">
      <c r="A686" s="4" t="s">
        <v>21</v>
      </c>
      <c r="B686" s="4" t="s">
        <v>22</v>
      </c>
      <c r="C686" s="4" t="s">
        <v>23</v>
      </c>
      <c r="D686" s="4" t="s">
        <v>24</v>
      </c>
      <c r="E686" s="4" t="s">
        <v>34</v>
      </c>
      <c r="F686" s="4" t="s">
        <v>25</v>
      </c>
      <c r="G686" s="4" t="s">
        <v>25</v>
      </c>
      <c r="H686" s="4" t="s">
        <v>25</v>
      </c>
      <c r="I686" s="5">
        <v>44317</v>
      </c>
      <c r="J686" s="6">
        <v>0</v>
      </c>
      <c r="K686" s="6">
        <v>0</v>
      </c>
      <c r="L686" s="6">
        <v>3291.07</v>
      </c>
      <c r="M686" s="6">
        <v>3291.07</v>
      </c>
      <c r="N686" s="6">
        <v>3291.07</v>
      </c>
      <c r="O686" s="6">
        <v>3291.07</v>
      </c>
      <c r="P686" s="6">
        <v>17987</v>
      </c>
      <c r="Q686" s="4" t="s">
        <v>26</v>
      </c>
      <c r="R686" s="4">
        <v>0</v>
      </c>
      <c r="S686" s="4">
        <v>0</v>
      </c>
      <c r="T686" s="4">
        <v>7</v>
      </c>
      <c r="U686" s="4">
        <v>53</v>
      </c>
      <c r="V686" s="6">
        <f>IF(ISERROR(VLOOKUP($S$686,'TAR FIN'!$A$1:$O$95,15,0)),0,VLOOKUP($S$686,'TAR FIN'!$A$1:$O$95,15,0))</f>
        <v>0</v>
      </c>
      <c r="W686" s="6">
        <f>IF(ISERROR(VLOOKUP($T$686,'TAR FIN'!$A$1:$O$95,15,0)),0,VLOOKUP($T$686,'TAR FIN'!$A$1:$O$95,15,0))</f>
        <v>420.39</v>
      </c>
      <c r="X686" s="6">
        <f>IF(ISERROR(VLOOKUP($U$686,'TAR FIN'!$A$1:$O$95,15,0)),0,VLOOKUP($U$686,'TAR FIN'!$A$1:$O$95,15,0))</f>
        <v>243.3</v>
      </c>
      <c r="Y686" s="6"/>
      <c r="Z686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86" s="6">
        <f>('TE BE'!$AA$17+'TE BF'!$AA$17+'TE CVA'!$AA$17)*(1-CUSTOS!$M$37)</f>
        <v>297.20166373463735</v>
      </c>
      <c r="AB686" s="6">
        <f t="shared" si="26"/>
        <v>0</v>
      </c>
      <c r="AC686" s="6">
        <f>(L686-M686)*(W686+X686)+($W$660+$X$660-$W$686-$X$686)*(L686)</f>
        <v>1.8707567051023944E-10</v>
      </c>
      <c r="AD686" s="6">
        <f t="shared" si="27"/>
        <v>0</v>
      </c>
      <c r="AE686" s="6">
        <f ca="1">(L686-M686)*(Z686+AA686)+($Z$660+$AA$660-$Z$686-$AA$686)*(L686)</f>
        <v>0</v>
      </c>
      <c r="AF686" s="4" t="s">
        <v>845</v>
      </c>
    </row>
    <row r="687" spans="1:32" ht="11.25" customHeight="1" x14ac:dyDescent="0.25">
      <c r="A687" s="4" t="s">
        <v>27</v>
      </c>
      <c r="B687" s="4" t="s">
        <v>22</v>
      </c>
      <c r="C687" s="4" t="s">
        <v>23</v>
      </c>
      <c r="D687" s="4" t="s">
        <v>24</v>
      </c>
      <c r="E687" s="4" t="s">
        <v>34</v>
      </c>
      <c r="F687" s="4" t="s">
        <v>25</v>
      </c>
      <c r="G687" s="4" t="s">
        <v>25</v>
      </c>
      <c r="H687" s="4" t="s">
        <v>25</v>
      </c>
      <c r="I687" s="5">
        <v>44317</v>
      </c>
      <c r="J687" s="6">
        <v>0</v>
      </c>
      <c r="K687" s="6">
        <v>0</v>
      </c>
      <c r="L687" s="6">
        <v>-118.84</v>
      </c>
      <c r="M687" s="6">
        <v>-118.84</v>
      </c>
      <c r="N687" s="6">
        <v>-118.84</v>
      </c>
      <c r="O687" s="6">
        <v>-118.84</v>
      </c>
      <c r="P687" s="6">
        <v>0</v>
      </c>
      <c r="Q687" s="4" t="s">
        <v>26</v>
      </c>
      <c r="R687" s="4">
        <v>0</v>
      </c>
      <c r="S687" s="4">
        <v>0</v>
      </c>
      <c r="T687" s="4">
        <v>7</v>
      </c>
      <c r="U687" s="4">
        <v>53</v>
      </c>
      <c r="V687" s="6">
        <f>IF(ISERROR(VLOOKUP($S$687,'TAR FIN'!$A$1:$O$95,15,0)),0,VLOOKUP($S$687,'TAR FIN'!$A$1:$O$95,15,0))</f>
        <v>0</v>
      </c>
      <c r="W687" s="6">
        <f>IF(ISERROR(VLOOKUP($T$687,'TAR FIN'!$A$1:$O$95,15,0)),0,VLOOKUP($T$687,'TAR FIN'!$A$1:$O$95,15,0))</f>
        <v>420.39</v>
      </c>
      <c r="X687" s="6">
        <f>IF(ISERROR(VLOOKUP($U$687,'TAR FIN'!$A$1:$O$95,15,0)),0,VLOOKUP($U$687,'TAR FIN'!$A$1:$O$95,15,0))</f>
        <v>243.3</v>
      </c>
      <c r="Y687" s="6"/>
      <c r="Z687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87" s="6">
        <f>('TE BE'!$AA$17+'TE BF'!$AA$17+'TE CVA'!$AA$17)*(1-CUSTOS!$M$37)</f>
        <v>297.20166373463735</v>
      </c>
      <c r="AB687" s="6">
        <f t="shared" si="26"/>
        <v>0</v>
      </c>
      <c r="AC687" s="6">
        <f>(L687-M687)*(W687+X687)+($W$660+$X$660-$W$687-$X$687)*(L687)</f>
        <v>-6.7552718974184247E-12</v>
      </c>
      <c r="AD687" s="6">
        <f t="shared" si="27"/>
        <v>0</v>
      </c>
      <c r="AE687" s="6">
        <f ca="1">(L687-M687)*(Z687+AA687)+($Z$660+$AA$660-$Z$687-$AA$687)*(L687)</f>
        <v>0</v>
      </c>
      <c r="AF687" s="4" t="s">
        <v>845</v>
      </c>
    </row>
    <row r="688" spans="1:32" ht="11.25" customHeight="1" x14ac:dyDescent="0.25">
      <c r="A688" s="4" t="s">
        <v>28</v>
      </c>
      <c r="B688" s="4" t="s">
        <v>22</v>
      </c>
      <c r="C688" s="4" t="s">
        <v>23</v>
      </c>
      <c r="D688" s="4" t="s">
        <v>24</v>
      </c>
      <c r="E688" s="4" t="s">
        <v>34</v>
      </c>
      <c r="F688" s="4" t="s">
        <v>25</v>
      </c>
      <c r="G688" s="4" t="s">
        <v>25</v>
      </c>
      <c r="H688" s="4" t="s">
        <v>25</v>
      </c>
      <c r="I688" s="5">
        <v>44317</v>
      </c>
      <c r="J688" s="6">
        <v>0</v>
      </c>
      <c r="K688" s="6">
        <v>0</v>
      </c>
      <c r="L688" s="6">
        <v>2903.1790000000001</v>
      </c>
      <c r="M688" s="6">
        <v>2903.1790000000001</v>
      </c>
      <c r="N688" s="6">
        <v>2903.1790000000001</v>
      </c>
      <c r="O688" s="6">
        <v>2903.1790000000001</v>
      </c>
      <c r="P688" s="6">
        <v>22432</v>
      </c>
      <c r="Q688" s="4" t="s">
        <v>26</v>
      </c>
      <c r="R688" s="4">
        <v>0</v>
      </c>
      <c r="S688" s="4">
        <v>0</v>
      </c>
      <c r="T688" s="4">
        <v>7</v>
      </c>
      <c r="U688" s="4">
        <v>53</v>
      </c>
      <c r="V688" s="6">
        <f>IF(ISERROR(VLOOKUP($S$688,'TAR FIN'!$A$1:$O$95,15,0)),0,VLOOKUP($S$688,'TAR FIN'!$A$1:$O$95,15,0))</f>
        <v>0</v>
      </c>
      <c r="W688" s="6">
        <f>IF(ISERROR(VLOOKUP($T$688,'TAR FIN'!$A$1:$O$95,15,0)),0,VLOOKUP($T$688,'TAR FIN'!$A$1:$O$95,15,0))</f>
        <v>420.39</v>
      </c>
      <c r="X688" s="6">
        <f>IF(ISERROR(VLOOKUP($U$688,'TAR FIN'!$A$1:$O$95,15,0)),0,VLOOKUP($U$688,'TAR FIN'!$A$1:$O$95,15,0))</f>
        <v>243.3</v>
      </c>
      <c r="Y688" s="6"/>
      <c r="Z688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88" s="6">
        <f>('TE BE'!$AA$17+'TE BF'!$AA$17+'TE CVA'!$AA$17)*(1-CUSTOS!$M$37)</f>
        <v>297.20166373463735</v>
      </c>
      <c r="AB688" s="6">
        <f t="shared" si="26"/>
        <v>0</v>
      </c>
      <c r="AC688" s="6">
        <f>(L688-M688)*(W688+X688)+($W$660+$X$660-$W$688-$X$688)*(L688)</f>
        <v>1.6502661992490176E-10</v>
      </c>
      <c r="AD688" s="6">
        <f t="shared" si="27"/>
        <v>0</v>
      </c>
      <c r="AE688" s="6">
        <f ca="1">(L688-M688)*(Z688+AA688)+($Z$660+$AA$660-$Z$688-$AA$688)*(L688)</f>
        <v>0</v>
      </c>
      <c r="AF688" s="4" t="s">
        <v>845</v>
      </c>
    </row>
    <row r="689" spans="1:32" ht="11.25" customHeight="1" x14ac:dyDescent="0.25">
      <c r="A689" s="4" t="s">
        <v>29</v>
      </c>
      <c r="B689" s="4" t="s">
        <v>22</v>
      </c>
      <c r="C689" s="4" t="s">
        <v>23</v>
      </c>
      <c r="D689" s="4" t="s">
        <v>24</v>
      </c>
      <c r="E689" s="4" t="s">
        <v>34</v>
      </c>
      <c r="F689" s="4" t="s">
        <v>25</v>
      </c>
      <c r="G689" s="4" t="s">
        <v>25</v>
      </c>
      <c r="H689" s="4" t="s">
        <v>25</v>
      </c>
      <c r="I689" s="5">
        <v>44317</v>
      </c>
      <c r="J689" s="6">
        <v>0</v>
      </c>
      <c r="K689" s="6">
        <v>0</v>
      </c>
      <c r="L689" s="6">
        <v>-126.295</v>
      </c>
      <c r="M689" s="6">
        <v>-126.295</v>
      </c>
      <c r="N689" s="6">
        <v>-126.295</v>
      </c>
      <c r="O689" s="6">
        <v>-126.295</v>
      </c>
      <c r="P689" s="6">
        <v>0</v>
      </c>
      <c r="Q689" s="4" t="s">
        <v>26</v>
      </c>
      <c r="R689" s="4">
        <v>0</v>
      </c>
      <c r="S689" s="4">
        <v>0</v>
      </c>
      <c r="T689" s="4">
        <v>7</v>
      </c>
      <c r="U689" s="4">
        <v>53</v>
      </c>
      <c r="V689" s="6">
        <f>IF(ISERROR(VLOOKUP($S$689,'TAR FIN'!$A$1:$O$95,15,0)),0,VLOOKUP($S$689,'TAR FIN'!$A$1:$O$95,15,0))</f>
        <v>0</v>
      </c>
      <c r="W689" s="6">
        <f>IF(ISERROR(VLOOKUP($T$689,'TAR FIN'!$A$1:$O$95,15,0)),0,VLOOKUP($T$689,'TAR FIN'!$A$1:$O$95,15,0))</f>
        <v>420.39</v>
      </c>
      <c r="X689" s="6">
        <f>IF(ISERROR(VLOOKUP($U$689,'TAR FIN'!$A$1:$O$95,15,0)),0,VLOOKUP($U$689,'TAR FIN'!$A$1:$O$95,15,0))</f>
        <v>243.3</v>
      </c>
      <c r="Y689" s="6"/>
      <c r="Z689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89" s="6">
        <f>('TE BE'!$AA$17+'TE BF'!$AA$17+'TE CVA'!$AA$17)*(1-CUSTOS!$M$37)</f>
        <v>297.20166373463735</v>
      </c>
      <c r="AB689" s="6">
        <f t="shared" si="26"/>
        <v>0</v>
      </c>
      <c r="AC689" s="6">
        <f>(L689-M689)*(W689+X689)+($W$660+$X$660-$W$689-$X$689)*(L689)</f>
        <v>-7.1790395850257483E-12</v>
      </c>
      <c r="AD689" s="6">
        <f t="shared" si="27"/>
        <v>0</v>
      </c>
      <c r="AE689" s="6">
        <f ca="1">(L689-M689)*(Z689+AA689)+($Z$660+$AA$660-$Z$689-$AA$689)*(L689)</f>
        <v>0</v>
      </c>
      <c r="AF689" s="4" t="s">
        <v>845</v>
      </c>
    </row>
    <row r="690" spans="1:32" ht="11.25" customHeight="1" x14ac:dyDescent="0.25">
      <c r="A690" s="4" t="s">
        <v>30</v>
      </c>
      <c r="B690" s="4" t="s">
        <v>22</v>
      </c>
      <c r="C690" s="4" t="s">
        <v>23</v>
      </c>
      <c r="D690" s="4" t="s">
        <v>24</v>
      </c>
      <c r="E690" s="4" t="s">
        <v>34</v>
      </c>
      <c r="F690" s="4" t="s">
        <v>25</v>
      </c>
      <c r="G690" s="4" t="s">
        <v>25</v>
      </c>
      <c r="H690" s="4" t="s">
        <v>25</v>
      </c>
      <c r="I690" s="5">
        <v>44317</v>
      </c>
      <c r="J690" s="6">
        <v>0</v>
      </c>
      <c r="K690" s="6">
        <v>0</v>
      </c>
      <c r="L690" s="6">
        <v>0.69199999999999995</v>
      </c>
      <c r="M690" s="6">
        <v>0.69199999999999995</v>
      </c>
      <c r="N690" s="6">
        <v>0.69199999999999995</v>
      </c>
      <c r="O690" s="6">
        <v>0.69199999999999995</v>
      </c>
      <c r="P690" s="6">
        <v>3</v>
      </c>
      <c r="Q690" s="4" t="s">
        <v>26</v>
      </c>
      <c r="R690" s="4">
        <v>0</v>
      </c>
      <c r="S690" s="4">
        <v>0</v>
      </c>
      <c r="T690" s="4">
        <v>7</v>
      </c>
      <c r="U690" s="4">
        <v>53</v>
      </c>
      <c r="V690" s="6">
        <f>IF(ISERROR(VLOOKUP($S$690,'TAR FIN'!$A$1:$O$95,15,0)),0,VLOOKUP($S$690,'TAR FIN'!$A$1:$O$95,15,0))</f>
        <v>0</v>
      </c>
      <c r="W690" s="6">
        <f>IF(ISERROR(VLOOKUP($T$690,'TAR FIN'!$A$1:$O$95,15,0)),0,VLOOKUP($T$690,'TAR FIN'!$A$1:$O$95,15,0))</f>
        <v>420.39</v>
      </c>
      <c r="X690" s="6">
        <f>IF(ISERROR(VLOOKUP($U$690,'TAR FIN'!$A$1:$O$95,15,0)),0,VLOOKUP($U$690,'TAR FIN'!$A$1:$O$95,15,0))</f>
        <v>243.3</v>
      </c>
      <c r="Y690" s="6"/>
      <c r="Z690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90" s="6">
        <f>('TE BE'!$AA$17+'TE BF'!$AA$17+'TE CVA'!$AA$17)*(1-CUSTOS!$M$37)</f>
        <v>297.20166373463735</v>
      </c>
      <c r="AB690" s="6">
        <f t="shared" si="26"/>
        <v>0</v>
      </c>
      <c r="AC690" s="6">
        <f>(L690-M690)*(W690+X690)+($W$660+$X$660-$W$690-$X$690)*(L690)</f>
        <v>3.9335645851679143E-14</v>
      </c>
      <c r="AD690" s="6">
        <f t="shared" si="27"/>
        <v>0</v>
      </c>
      <c r="AE690" s="6">
        <f ca="1">(L690-M690)*(Z690+AA690)+($Z$660+$AA$660-$Z$690-$AA$690)*(L690)</f>
        <v>0</v>
      </c>
      <c r="AF690" s="4" t="s">
        <v>845</v>
      </c>
    </row>
    <row r="691" spans="1:32" ht="11.25" customHeight="1" x14ac:dyDescent="0.25">
      <c r="A691" s="4" t="s">
        <v>21</v>
      </c>
      <c r="B691" s="4" t="s">
        <v>22</v>
      </c>
      <c r="C691" s="4" t="s">
        <v>23</v>
      </c>
      <c r="D691" s="4" t="s">
        <v>24</v>
      </c>
      <c r="E691" s="4" t="s">
        <v>34</v>
      </c>
      <c r="F691" s="4" t="s">
        <v>25</v>
      </c>
      <c r="G691" s="4" t="s">
        <v>25</v>
      </c>
      <c r="H691" s="4" t="s">
        <v>25</v>
      </c>
      <c r="I691" s="5">
        <v>44348</v>
      </c>
      <c r="J691" s="6">
        <v>0</v>
      </c>
      <c r="K691" s="6">
        <v>0</v>
      </c>
      <c r="L691" s="6">
        <v>4129.3940000000002</v>
      </c>
      <c r="M691" s="6">
        <v>4129.3940000000002</v>
      </c>
      <c r="N691" s="6">
        <v>4129.3940000000002</v>
      </c>
      <c r="O691" s="6">
        <v>4129.3940000000002</v>
      </c>
      <c r="P691" s="6">
        <v>20977</v>
      </c>
      <c r="Q691" s="4" t="s">
        <v>26</v>
      </c>
      <c r="R691" s="4">
        <v>0</v>
      </c>
      <c r="S691" s="4">
        <v>0</v>
      </c>
      <c r="T691" s="4">
        <v>7</v>
      </c>
      <c r="U691" s="4">
        <v>53</v>
      </c>
      <c r="V691" s="6">
        <f>IF(ISERROR(VLOOKUP($S$691,'TAR FIN'!$A$1:$O$95,15,0)),0,VLOOKUP($S$691,'TAR FIN'!$A$1:$O$95,15,0))</f>
        <v>0</v>
      </c>
      <c r="W691" s="6">
        <f>IF(ISERROR(VLOOKUP($T$691,'TAR FIN'!$A$1:$O$95,15,0)),0,VLOOKUP($T$691,'TAR FIN'!$A$1:$O$95,15,0))</f>
        <v>420.39</v>
      </c>
      <c r="X691" s="6">
        <f>IF(ISERROR(VLOOKUP($U$691,'TAR FIN'!$A$1:$O$95,15,0)),0,VLOOKUP($U$691,'TAR FIN'!$A$1:$O$95,15,0))</f>
        <v>243.3</v>
      </c>
      <c r="Y691" s="6"/>
      <c r="Z691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91" s="6">
        <f>('TE BE'!$AA$17+'TE BF'!$AA$17+'TE CVA'!$AA$17)*(1-CUSTOS!$M$37)</f>
        <v>297.20166373463735</v>
      </c>
      <c r="AB691" s="6">
        <f t="shared" si="26"/>
        <v>0</v>
      </c>
      <c r="AC691" s="6">
        <f>(L691-M691)*(W691+X691)+($W$660+$X$660-$W$691-$X$691)*(L691)</f>
        <v>2.3472887278330746E-10</v>
      </c>
      <c r="AD691" s="6">
        <f t="shared" si="27"/>
        <v>0</v>
      </c>
      <c r="AE691" s="6">
        <f ca="1">(L691-M691)*(Z691+AA691)+($Z$660+$AA$660-$Z$691-$AA$691)*(L691)</f>
        <v>0</v>
      </c>
      <c r="AF691" s="4" t="s">
        <v>845</v>
      </c>
    </row>
    <row r="692" spans="1:32" ht="11.25" customHeight="1" x14ac:dyDescent="0.25">
      <c r="A692" s="4" t="s">
        <v>27</v>
      </c>
      <c r="B692" s="4" t="s">
        <v>22</v>
      </c>
      <c r="C692" s="4" t="s">
        <v>23</v>
      </c>
      <c r="D692" s="4" t="s">
        <v>24</v>
      </c>
      <c r="E692" s="4" t="s">
        <v>34</v>
      </c>
      <c r="F692" s="4" t="s">
        <v>25</v>
      </c>
      <c r="G692" s="4" t="s">
        <v>25</v>
      </c>
      <c r="H692" s="4" t="s">
        <v>25</v>
      </c>
      <c r="I692" s="5">
        <v>44348</v>
      </c>
      <c r="J692" s="6">
        <v>0</v>
      </c>
      <c r="K692" s="6">
        <v>0</v>
      </c>
      <c r="L692" s="6">
        <v>-31.288</v>
      </c>
      <c r="M692" s="6">
        <v>-31.288</v>
      </c>
      <c r="N692" s="6">
        <v>-31.288</v>
      </c>
      <c r="O692" s="6">
        <v>-31.288</v>
      </c>
      <c r="P692" s="6">
        <v>0</v>
      </c>
      <c r="Q692" s="4" t="s">
        <v>26</v>
      </c>
      <c r="R692" s="4">
        <v>0</v>
      </c>
      <c r="S692" s="4">
        <v>0</v>
      </c>
      <c r="T692" s="4">
        <v>7</v>
      </c>
      <c r="U692" s="4">
        <v>53</v>
      </c>
      <c r="V692" s="6">
        <f>IF(ISERROR(VLOOKUP($S$692,'TAR FIN'!$A$1:$O$95,15,0)),0,VLOOKUP($S$692,'TAR FIN'!$A$1:$O$95,15,0))</f>
        <v>0</v>
      </c>
      <c r="W692" s="6">
        <f>IF(ISERROR(VLOOKUP($T$692,'TAR FIN'!$A$1:$O$95,15,0)),0,VLOOKUP($T$692,'TAR FIN'!$A$1:$O$95,15,0))</f>
        <v>420.39</v>
      </c>
      <c r="X692" s="6">
        <f>IF(ISERROR(VLOOKUP($U$692,'TAR FIN'!$A$1:$O$95,15,0)),0,VLOOKUP($U$692,'TAR FIN'!$A$1:$O$95,15,0))</f>
        <v>243.3</v>
      </c>
      <c r="Y692" s="6"/>
      <c r="Z692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92" s="6">
        <f>('TE BE'!$AA$17+'TE BF'!$AA$17+'TE CVA'!$AA$17)*(1-CUSTOS!$M$37)</f>
        <v>297.20166373463735</v>
      </c>
      <c r="AB692" s="6">
        <f t="shared" si="26"/>
        <v>0</v>
      </c>
      <c r="AC692" s="6">
        <f>(L692-M692)*(W692+X692)+($W$660+$X$660-$W$692-$X$692)*(L692)</f>
        <v>-1.7785168893169612E-12</v>
      </c>
      <c r="AD692" s="6">
        <f t="shared" si="27"/>
        <v>0</v>
      </c>
      <c r="AE692" s="6">
        <f ca="1">(L692-M692)*(Z692+AA692)+($Z$660+$AA$660-$Z$692-$AA$692)*(L692)</f>
        <v>0</v>
      </c>
      <c r="AF692" s="4" t="s">
        <v>845</v>
      </c>
    </row>
    <row r="693" spans="1:32" ht="11.25" customHeight="1" x14ac:dyDescent="0.25">
      <c r="A693" s="4" t="s">
        <v>28</v>
      </c>
      <c r="B693" s="4" t="s">
        <v>22</v>
      </c>
      <c r="C693" s="4" t="s">
        <v>23</v>
      </c>
      <c r="D693" s="4" t="s">
        <v>24</v>
      </c>
      <c r="E693" s="4" t="s">
        <v>34</v>
      </c>
      <c r="F693" s="4" t="s">
        <v>25</v>
      </c>
      <c r="G693" s="4" t="s">
        <v>25</v>
      </c>
      <c r="H693" s="4" t="s">
        <v>25</v>
      </c>
      <c r="I693" s="5">
        <v>44348</v>
      </c>
      <c r="J693" s="6">
        <v>0</v>
      </c>
      <c r="K693" s="6">
        <v>0</v>
      </c>
      <c r="L693" s="6">
        <v>3316.9760000000001</v>
      </c>
      <c r="M693" s="6">
        <v>3316.9760000000001</v>
      </c>
      <c r="N693" s="6">
        <v>3316.9760000000001</v>
      </c>
      <c r="O693" s="6">
        <v>3316.9760000000001</v>
      </c>
      <c r="P693" s="6">
        <v>24413</v>
      </c>
      <c r="Q693" s="4" t="s">
        <v>26</v>
      </c>
      <c r="R693" s="4">
        <v>0</v>
      </c>
      <c r="S693" s="4">
        <v>0</v>
      </c>
      <c r="T693" s="4">
        <v>7</v>
      </c>
      <c r="U693" s="4">
        <v>53</v>
      </c>
      <c r="V693" s="6">
        <f>IF(ISERROR(VLOOKUP($S$693,'TAR FIN'!$A$1:$O$95,15,0)),0,VLOOKUP($S$693,'TAR FIN'!$A$1:$O$95,15,0))</f>
        <v>0</v>
      </c>
      <c r="W693" s="6">
        <f>IF(ISERROR(VLOOKUP($T$693,'TAR FIN'!$A$1:$O$95,15,0)),0,VLOOKUP($T$693,'TAR FIN'!$A$1:$O$95,15,0))</f>
        <v>420.39</v>
      </c>
      <c r="X693" s="6">
        <f>IF(ISERROR(VLOOKUP($U$693,'TAR FIN'!$A$1:$O$95,15,0)),0,VLOOKUP($U$693,'TAR FIN'!$A$1:$O$95,15,0))</f>
        <v>243.3</v>
      </c>
      <c r="Y693" s="6"/>
      <c r="Z693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93" s="6">
        <f>('TE BE'!$AA$17+'TE BF'!$AA$17+'TE CVA'!$AA$17)*(1-CUSTOS!$M$37)</f>
        <v>297.20166373463735</v>
      </c>
      <c r="AB693" s="6">
        <f t="shared" si="26"/>
        <v>0</v>
      </c>
      <c r="AC693" s="6">
        <f>(L693-M693)*(W693+X693)+($W$660+$X$660-$W$693-$X$693)*(L693)</f>
        <v>1.8854825611924753E-10</v>
      </c>
      <c r="AD693" s="6">
        <f t="shared" si="27"/>
        <v>0</v>
      </c>
      <c r="AE693" s="6">
        <f ca="1">(L693-M693)*(Z693+AA693)+($Z$660+$AA$660-$Z$693-$AA$693)*(L693)</f>
        <v>0</v>
      </c>
      <c r="AF693" s="4" t="s">
        <v>845</v>
      </c>
    </row>
    <row r="694" spans="1:32" ht="11.25" customHeight="1" x14ac:dyDescent="0.25">
      <c r="A694" s="4" t="s">
        <v>29</v>
      </c>
      <c r="B694" s="4" t="s">
        <v>22</v>
      </c>
      <c r="C694" s="4" t="s">
        <v>23</v>
      </c>
      <c r="D694" s="4" t="s">
        <v>24</v>
      </c>
      <c r="E694" s="4" t="s">
        <v>34</v>
      </c>
      <c r="F694" s="4" t="s">
        <v>25</v>
      </c>
      <c r="G694" s="4" t="s">
        <v>25</v>
      </c>
      <c r="H694" s="4" t="s">
        <v>25</v>
      </c>
      <c r="I694" s="5">
        <v>44348</v>
      </c>
      <c r="J694" s="6">
        <v>0</v>
      </c>
      <c r="K694" s="6">
        <v>0</v>
      </c>
      <c r="L694" s="6">
        <v>-146.59200000000001</v>
      </c>
      <c r="M694" s="6">
        <v>-146.59200000000001</v>
      </c>
      <c r="N694" s="6">
        <v>-146.59200000000001</v>
      </c>
      <c r="O694" s="6">
        <v>-146.59200000000001</v>
      </c>
      <c r="P694" s="6">
        <v>0</v>
      </c>
      <c r="Q694" s="4" t="s">
        <v>26</v>
      </c>
      <c r="R694" s="4">
        <v>0</v>
      </c>
      <c r="S694" s="4">
        <v>0</v>
      </c>
      <c r="T694" s="4">
        <v>7</v>
      </c>
      <c r="U694" s="4">
        <v>53</v>
      </c>
      <c r="V694" s="6">
        <f>IF(ISERROR(VLOOKUP($S$694,'TAR FIN'!$A$1:$O$95,15,0)),0,VLOOKUP($S$694,'TAR FIN'!$A$1:$O$95,15,0))</f>
        <v>0</v>
      </c>
      <c r="W694" s="6">
        <f>IF(ISERROR(VLOOKUP($T$694,'TAR FIN'!$A$1:$O$95,15,0)),0,VLOOKUP($T$694,'TAR FIN'!$A$1:$O$95,15,0))</f>
        <v>420.39</v>
      </c>
      <c r="X694" s="6">
        <f>IF(ISERROR(VLOOKUP($U$694,'TAR FIN'!$A$1:$O$95,15,0)),0,VLOOKUP($U$694,'TAR FIN'!$A$1:$O$95,15,0))</f>
        <v>243.3</v>
      </c>
      <c r="Y694" s="6"/>
      <c r="Z694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94" s="6">
        <f>('TE BE'!$AA$17+'TE BF'!$AA$17+'TE CVA'!$AA$17)*(1-CUSTOS!$M$37)</f>
        <v>297.20166373463735</v>
      </c>
      <c r="AB694" s="6">
        <f t="shared" si="26"/>
        <v>0</v>
      </c>
      <c r="AC694" s="6">
        <f>(L694-M694)*(W694+X694)+($W$660+$X$660-$W$694-$X$694)*(L694)</f>
        <v>-8.3327904576435693E-12</v>
      </c>
      <c r="AD694" s="6">
        <f t="shared" si="27"/>
        <v>0</v>
      </c>
      <c r="AE694" s="6">
        <f ca="1">(L694-M694)*(Z694+AA694)+($Z$660+$AA$660-$Z$694-$AA$694)*(L694)</f>
        <v>0</v>
      </c>
      <c r="AF694" s="4" t="s">
        <v>845</v>
      </c>
    </row>
    <row r="695" spans="1:32" ht="11.25" customHeight="1" x14ac:dyDescent="0.25">
      <c r="A695" s="4" t="s">
        <v>30</v>
      </c>
      <c r="B695" s="4" t="s">
        <v>22</v>
      </c>
      <c r="C695" s="4" t="s">
        <v>23</v>
      </c>
      <c r="D695" s="4" t="s">
        <v>24</v>
      </c>
      <c r="E695" s="4" t="s">
        <v>34</v>
      </c>
      <c r="F695" s="4" t="s">
        <v>25</v>
      </c>
      <c r="G695" s="4" t="s">
        <v>25</v>
      </c>
      <c r="H695" s="4" t="s">
        <v>25</v>
      </c>
      <c r="I695" s="5">
        <v>44348</v>
      </c>
      <c r="J695" s="6">
        <v>0</v>
      </c>
      <c r="K695" s="6">
        <v>0</v>
      </c>
      <c r="L695" s="6">
        <v>0.91200000000000003</v>
      </c>
      <c r="M695" s="6">
        <v>0.91200000000000003</v>
      </c>
      <c r="N695" s="6">
        <v>0.91200000000000003</v>
      </c>
      <c r="O695" s="6">
        <v>0.91200000000000003</v>
      </c>
      <c r="P695" s="6">
        <v>4</v>
      </c>
      <c r="Q695" s="4" t="s">
        <v>26</v>
      </c>
      <c r="R695" s="4">
        <v>0</v>
      </c>
      <c r="S695" s="4">
        <v>0</v>
      </c>
      <c r="T695" s="4">
        <v>7</v>
      </c>
      <c r="U695" s="4">
        <v>53</v>
      </c>
      <c r="V695" s="6">
        <f>IF(ISERROR(VLOOKUP($S$695,'TAR FIN'!$A$1:$O$95,15,0)),0,VLOOKUP($S$695,'TAR FIN'!$A$1:$O$95,15,0))</f>
        <v>0</v>
      </c>
      <c r="W695" s="6">
        <f>IF(ISERROR(VLOOKUP($T$695,'TAR FIN'!$A$1:$O$95,15,0)),0,VLOOKUP($T$695,'TAR FIN'!$A$1:$O$95,15,0))</f>
        <v>420.39</v>
      </c>
      <c r="X695" s="6">
        <f>IF(ISERROR(VLOOKUP($U$695,'TAR FIN'!$A$1:$O$95,15,0)),0,VLOOKUP($U$695,'TAR FIN'!$A$1:$O$95,15,0))</f>
        <v>243.3</v>
      </c>
      <c r="Y695" s="6"/>
      <c r="Z695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95" s="6">
        <f>('TE BE'!$AA$17+'TE BF'!$AA$17+'TE CVA'!$AA$17)*(1-CUSTOS!$M$37)</f>
        <v>297.20166373463735</v>
      </c>
      <c r="AB695" s="6">
        <f t="shared" si="26"/>
        <v>0</v>
      </c>
      <c r="AC695" s="6">
        <f>(L695-M695)*(W695+X695)+($W$660+$X$660-$W$695-$X$695)*(L695)</f>
        <v>5.1841198001056911E-14</v>
      </c>
      <c r="AD695" s="6">
        <f t="shared" si="27"/>
        <v>0</v>
      </c>
      <c r="AE695" s="6">
        <f ca="1">(L695-M695)*(Z695+AA695)+($Z$660+$AA$660-$Z$695-$AA$695)*(L695)</f>
        <v>0</v>
      </c>
      <c r="AF695" s="4" t="s">
        <v>845</v>
      </c>
    </row>
    <row r="696" spans="1:32" ht="11.25" customHeight="1" x14ac:dyDescent="0.25">
      <c r="A696" s="4" t="s">
        <v>21</v>
      </c>
      <c r="B696" s="4" t="s">
        <v>22</v>
      </c>
      <c r="C696" s="4" t="s">
        <v>23</v>
      </c>
      <c r="D696" s="4" t="s">
        <v>24</v>
      </c>
      <c r="E696" s="4" t="s">
        <v>34</v>
      </c>
      <c r="F696" s="4" t="s">
        <v>25</v>
      </c>
      <c r="G696" s="4" t="s">
        <v>25</v>
      </c>
      <c r="H696" s="4" t="s">
        <v>25</v>
      </c>
      <c r="I696" s="5">
        <v>44378</v>
      </c>
      <c r="J696" s="6">
        <v>0</v>
      </c>
      <c r="K696" s="6">
        <v>0</v>
      </c>
      <c r="L696" s="6">
        <v>3495.712</v>
      </c>
      <c r="M696" s="6">
        <v>3495.712</v>
      </c>
      <c r="N696" s="6">
        <v>3495.712</v>
      </c>
      <c r="O696" s="6">
        <v>3495.712</v>
      </c>
      <c r="P696" s="6">
        <v>18661</v>
      </c>
      <c r="Q696" s="4" t="s">
        <v>26</v>
      </c>
      <c r="R696" s="4">
        <v>0</v>
      </c>
      <c r="S696" s="4">
        <v>0</v>
      </c>
      <c r="T696" s="4">
        <v>7</v>
      </c>
      <c r="U696" s="4">
        <v>53</v>
      </c>
      <c r="V696" s="6">
        <f>IF(ISERROR(VLOOKUP($S$696,'TAR FIN'!$A$1:$O$95,15,0)),0,VLOOKUP($S$696,'TAR FIN'!$A$1:$O$95,15,0))</f>
        <v>0</v>
      </c>
      <c r="W696" s="6">
        <f>IF(ISERROR(VLOOKUP($T$696,'TAR FIN'!$A$1:$O$95,15,0)),0,VLOOKUP($T$696,'TAR FIN'!$A$1:$O$95,15,0))</f>
        <v>420.39</v>
      </c>
      <c r="X696" s="6">
        <f>IF(ISERROR(VLOOKUP($U$696,'TAR FIN'!$A$1:$O$95,15,0)),0,VLOOKUP($U$696,'TAR FIN'!$A$1:$O$95,15,0))</f>
        <v>243.3</v>
      </c>
      <c r="Y696" s="6"/>
      <c r="Z696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96" s="6">
        <f>('TE BE'!$AA$17+'TE BF'!$AA$17+'TE CVA'!$AA$17)*(1-CUSTOS!$M$37)</f>
        <v>297.20166373463735</v>
      </c>
      <c r="AB696" s="6">
        <f t="shared" si="26"/>
        <v>0</v>
      </c>
      <c r="AC696" s="6">
        <f>(L696-M696)*(W696+X696)+($W$660+$X$660-$W$696-$X$696)*(L696)</f>
        <v>1.9870822143275291E-10</v>
      </c>
      <c r="AD696" s="6">
        <f t="shared" si="27"/>
        <v>0</v>
      </c>
      <c r="AE696" s="6">
        <f ca="1">(L696-M696)*(Z696+AA696)+($Z$660+$AA$660-$Z$696-$AA$696)*(L696)</f>
        <v>0</v>
      </c>
      <c r="AF696" s="4" t="s">
        <v>845</v>
      </c>
    </row>
    <row r="697" spans="1:32" ht="11.25" customHeight="1" x14ac:dyDescent="0.25">
      <c r="A697" s="4" t="s">
        <v>27</v>
      </c>
      <c r="B697" s="4" t="s">
        <v>22</v>
      </c>
      <c r="C697" s="4" t="s">
        <v>23</v>
      </c>
      <c r="D697" s="4" t="s">
        <v>24</v>
      </c>
      <c r="E697" s="4" t="s">
        <v>34</v>
      </c>
      <c r="F697" s="4" t="s">
        <v>25</v>
      </c>
      <c r="G697" s="4" t="s">
        <v>25</v>
      </c>
      <c r="H697" s="4" t="s">
        <v>25</v>
      </c>
      <c r="I697" s="5">
        <v>44378</v>
      </c>
      <c r="J697" s="6">
        <v>0</v>
      </c>
      <c r="K697" s="6">
        <v>0</v>
      </c>
      <c r="L697" s="6">
        <v>-309.69200000000001</v>
      </c>
      <c r="M697" s="6">
        <v>-309.69200000000001</v>
      </c>
      <c r="N697" s="6">
        <v>-309.69200000000001</v>
      </c>
      <c r="O697" s="6">
        <v>-309.69200000000001</v>
      </c>
      <c r="P697" s="6">
        <v>0</v>
      </c>
      <c r="Q697" s="4" t="s">
        <v>26</v>
      </c>
      <c r="R697" s="4">
        <v>0</v>
      </c>
      <c r="S697" s="4">
        <v>0</v>
      </c>
      <c r="T697" s="4">
        <v>7</v>
      </c>
      <c r="U697" s="4">
        <v>53</v>
      </c>
      <c r="V697" s="6">
        <f>IF(ISERROR(VLOOKUP($S$697,'TAR FIN'!$A$1:$O$95,15,0)),0,VLOOKUP($S$697,'TAR FIN'!$A$1:$O$95,15,0))</f>
        <v>0</v>
      </c>
      <c r="W697" s="6">
        <f>IF(ISERROR(VLOOKUP($T$697,'TAR FIN'!$A$1:$O$95,15,0)),0,VLOOKUP($T$697,'TAR FIN'!$A$1:$O$95,15,0))</f>
        <v>420.39</v>
      </c>
      <c r="X697" s="6">
        <f>IF(ISERROR(VLOOKUP($U$697,'TAR FIN'!$A$1:$O$95,15,0)),0,VLOOKUP($U$697,'TAR FIN'!$A$1:$O$95,15,0))</f>
        <v>243.3</v>
      </c>
      <c r="Y697" s="6"/>
      <c r="Z697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97" s="6">
        <f>('TE BE'!$AA$17+'TE BF'!$AA$17+'TE CVA'!$AA$17)*(1-CUSTOS!$M$37)</f>
        <v>297.20166373463735</v>
      </c>
      <c r="AB697" s="6">
        <f t="shared" si="26"/>
        <v>0</v>
      </c>
      <c r="AC697" s="6">
        <f>(L697-M697)*(W697+X697)+($W$660+$X$660-$W$697-$X$697)*(L697)</f>
        <v>-1.7603952073841356E-11</v>
      </c>
      <c r="AD697" s="6">
        <f t="shared" si="27"/>
        <v>0</v>
      </c>
      <c r="AE697" s="6">
        <f ca="1">(L697-M697)*(Z697+AA697)+($Z$660+$AA$660-$Z$697-$AA$697)*(L697)</f>
        <v>0</v>
      </c>
      <c r="AF697" s="4" t="s">
        <v>845</v>
      </c>
    </row>
    <row r="698" spans="1:32" ht="11.25" customHeight="1" x14ac:dyDescent="0.25">
      <c r="A698" s="4" t="s">
        <v>28</v>
      </c>
      <c r="B698" s="4" t="s">
        <v>22</v>
      </c>
      <c r="C698" s="4" t="s">
        <v>23</v>
      </c>
      <c r="D698" s="4" t="s">
        <v>24</v>
      </c>
      <c r="E698" s="4" t="s">
        <v>34</v>
      </c>
      <c r="F698" s="4" t="s">
        <v>25</v>
      </c>
      <c r="G698" s="4" t="s">
        <v>25</v>
      </c>
      <c r="H698" s="4" t="s">
        <v>25</v>
      </c>
      <c r="I698" s="5">
        <v>44378</v>
      </c>
      <c r="J698" s="6">
        <v>0</v>
      </c>
      <c r="K698" s="6">
        <v>0</v>
      </c>
      <c r="L698" s="6">
        <v>2618.8760000000002</v>
      </c>
      <c r="M698" s="6">
        <v>2618.8760000000002</v>
      </c>
      <c r="N698" s="6">
        <v>2618.8760000000002</v>
      </c>
      <c r="O698" s="6">
        <v>2618.8760000000002</v>
      </c>
      <c r="P698" s="6">
        <v>20881</v>
      </c>
      <c r="Q698" s="4" t="s">
        <v>26</v>
      </c>
      <c r="R698" s="4">
        <v>0</v>
      </c>
      <c r="S698" s="4">
        <v>0</v>
      </c>
      <c r="T698" s="4">
        <v>7</v>
      </c>
      <c r="U698" s="4">
        <v>53</v>
      </c>
      <c r="V698" s="6">
        <f>IF(ISERROR(VLOOKUP($S$698,'TAR FIN'!$A$1:$O$95,15,0)),0,VLOOKUP($S$698,'TAR FIN'!$A$1:$O$95,15,0))</f>
        <v>0</v>
      </c>
      <c r="W698" s="6">
        <f>IF(ISERROR(VLOOKUP($T$698,'TAR FIN'!$A$1:$O$95,15,0)),0,VLOOKUP($T$698,'TAR FIN'!$A$1:$O$95,15,0))</f>
        <v>420.39</v>
      </c>
      <c r="X698" s="6">
        <f>IF(ISERROR(VLOOKUP($U$698,'TAR FIN'!$A$1:$O$95,15,0)),0,VLOOKUP($U$698,'TAR FIN'!$A$1:$O$95,15,0))</f>
        <v>243.3</v>
      </c>
      <c r="Y698" s="6"/>
      <c r="Z698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98" s="6">
        <f>('TE BE'!$AA$17+'TE BF'!$AA$17+'TE CVA'!$AA$17)*(1-CUSTOS!$M$37)</f>
        <v>297.20166373463735</v>
      </c>
      <c r="AB698" s="6">
        <f t="shared" si="26"/>
        <v>0</v>
      </c>
      <c r="AC698" s="6">
        <f>(L698-M698)*(W698+X698)+($W$660+$X$660-$W$698-$X$698)*(L698)</f>
        <v>1.4886586541251746E-10</v>
      </c>
      <c r="AD698" s="6">
        <f t="shared" si="27"/>
        <v>0</v>
      </c>
      <c r="AE698" s="6">
        <f ca="1">(L698-M698)*(Z698+AA698)+($Z$660+$AA$660-$Z$698-$AA$698)*(L698)</f>
        <v>0</v>
      </c>
      <c r="AF698" s="4" t="s">
        <v>845</v>
      </c>
    </row>
    <row r="699" spans="1:32" ht="11.25" customHeight="1" x14ac:dyDescent="0.25">
      <c r="A699" s="4" t="s">
        <v>29</v>
      </c>
      <c r="B699" s="4" t="s">
        <v>22</v>
      </c>
      <c r="C699" s="4" t="s">
        <v>23</v>
      </c>
      <c r="D699" s="4" t="s">
        <v>24</v>
      </c>
      <c r="E699" s="4" t="s">
        <v>34</v>
      </c>
      <c r="F699" s="4" t="s">
        <v>25</v>
      </c>
      <c r="G699" s="4" t="s">
        <v>25</v>
      </c>
      <c r="H699" s="4" t="s">
        <v>25</v>
      </c>
      <c r="I699" s="5">
        <v>44378</v>
      </c>
      <c r="J699" s="6">
        <v>0</v>
      </c>
      <c r="K699" s="6">
        <v>0</v>
      </c>
      <c r="L699" s="6">
        <v>-38.697000000000003</v>
      </c>
      <c r="M699" s="6">
        <v>-38.697000000000003</v>
      </c>
      <c r="N699" s="6">
        <v>-38.697000000000003</v>
      </c>
      <c r="O699" s="6">
        <v>-38.697000000000003</v>
      </c>
      <c r="P699" s="6">
        <v>0</v>
      </c>
      <c r="Q699" s="4" t="s">
        <v>26</v>
      </c>
      <c r="R699" s="4">
        <v>0</v>
      </c>
      <c r="S699" s="4">
        <v>0</v>
      </c>
      <c r="T699" s="4">
        <v>7</v>
      </c>
      <c r="U699" s="4">
        <v>53</v>
      </c>
      <c r="V699" s="6">
        <f>IF(ISERROR(VLOOKUP($S$699,'TAR FIN'!$A$1:$O$95,15,0)),0,VLOOKUP($S$699,'TAR FIN'!$A$1:$O$95,15,0))</f>
        <v>0</v>
      </c>
      <c r="W699" s="6">
        <f>IF(ISERROR(VLOOKUP($T$699,'TAR FIN'!$A$1:$O$95,15,0)),0,VLOOKUP($T$699,'TAR FIN'!$A$1:$O$95,15,0))</f>
        <v>420.39</v>
      </c>
      <c r="X699" s="6">
        <f>IF(ISERROR(VLOOKUP($U$699,'TAR FIN'!$A$1:$O$95,15,0)),0,VLOOKUP($U$699,'TAR FIN'!$A$1:$O$95,15,0))</f>
        <v>243.3</v>
      </c>
      <c r="Y699" s="6"/>
      <c r="Z699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699" s="6">
        <f>('TE BE'!$AA$17+'TE BF'!$AA$17+'TE CVA'!$AA$17)*(1-CUSTOS!$M$37)</f>
        <v>297.20166373463735</v>
      </c>
      <c r="AB699" s="6">
        <f t="shared" si="26"/>
        <v>0</v>
      </c>
      <c r="AC699" s="6">
        <f>(L699-M699)*(W699+X699)+($W$660+$X$660-$W$699-$X$699)*(L699)</f>
        <v>-2.1996697796566879E-12</v>
      </c>
      <c r="AD699" s="6">
        <f t="shared" si="27"/>
        <v>0</v>
      </c>
      <c r="AE699" s="6">
        <f ca="1">(L699-M699)*(Z699+AA699)+($Z$660+$AA$660-$Z$699-$AA$699)*(L699)</f>
        <v>0</v>
      </c>
      <c r="AF699" s="4" t="s">
        <v>845</v>
      </c>
    </row>
    <row r="700" spans="1:32" ht="11.25" customHeight="1" x14ac:dyDescent="0.25">
      <c r="A700" s="4" t="s">
        <v>30</v>
      </c>
      <c r="B700" s="4" t="s">
        <v>22</v>
      </c>
      <c r="C700" s="4" t="s">
        <v>23</v>
      </c>
      <c r="D700" s="4" t="s">
        <v>24</v>
      </c>
      <c r="E700" s="4" t="s">
        <v>34</v>
      </c>
      <c r="F700" s="4" t="s">
        <v>25</v>
      </c>
      <c r="G700" s="4" t="s">
        <v>25</v>
      </c>
      <c r="H700" s="4" t="s">
        <v>25</v>
      </c>
      <c r="I700" s="5">
        <v>44378</v>
      </c>
      <c r="J700" s="6">
        <v>0</v>
      </c>
      <c r="K700" s="6">
        <v>0</v>
      </c>
      <c r="L700" s="6">
        <v>0.69499999999999995</v>
      </c>
      <c r="M700" s="6">
        <v>0.69499999999999995</v>
      </c>
      <c r="N700" s="6">
        <v>0.69499999999999995</v>
      </c>
      <c r="O700" s="6">
        <v>0.69499999999999995</v>
      </c>
      <c r="P700" s="6">
        <v>3</v>
      </c>
      <c r="Q700" s="4" t="s">
        <v>26</v>
      </c>
      <c r="R700" s="4">
        <v>0</v>
      </c>
      <c r="S700" s="4">
        <v>0</v>
      </c>
      <c r="T700" s="4">
        <v>7</v>
      </c>
      <c r="U700" s="4">
        <v>53</v>
      </c>
      <c r="V700" s="6">
        <f>IF(ISERROR(VLOOKUP($S$700,'TAR FIN'!$A$1:$O$95,15,0)),0,VLOOKUP($S$700,'TAR FIN'!$A$1:$O$95,15,0))</f>
        <v>0</v>
      </c>
      <c r="W700" s="6">
        <f>IF(ISERROR(VLOOKUP($T$700,'TAR FIN'!$A$1:$O$95,15,0)),0,VLOOKUP($T$700,'TAR FIN'!$A$1:$O$95,15,0))</f>
        <v>420.39</v>
      </c>
      <c r="X700" s="6">
        <f>IF(ISERROR(VLOOKUP($U$700,'TAR FIN'!$A$1:$O$95,15,0)),0,VLOOKUP($U$700,'TAR FIN'!$A$1:$O$95,15,0))</f>
        <v>243.3</v>
      </c>
      <c r="Y700" s="6"/>
      <c r="Z700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700" s="6">
        <f>('TE BE'!$AA$17+'TE BF'!$AA$17+'TE CVA'!$AA$17)*(1-CUSTOS!$M$37)</f>
        <v>297.20166373463735</v>
      </c>
      <c r="AB700" s="6">
        <f t="shared" si="26"/>
        <v>0</v>
      </c>
      <c r="AC700" s="6">
        <f>(L700-M700)*(W700+X700)+($W$660+$X$660-$W$700-$X$700)*(L700)</f>
        <v>3.9506176108261568E-14</v>
      </c>
      <c r="AD700" s="6">
        <f t="shared" si="27"/>
        <v>0</v>
      </c>
      <c r="AE700" s="6">
        <f ca="1">(L700-M700)*(Z700+AA700)+($Z$660+$AA$660-$Z$700-$AA$700)*(L700)</f>
        <v>0</v>
      </c>
      <c r="AF700" s="4" t="s">
        <v>845</v>
      </c>
    </row>
    <row r="701" spans="1:32" ht="11.25" customHeight="1" x14ac:dyDescent="0.25">
      <c r="A701" s="4" t="s">
        <v>21</v>
      </c>
      <c r="B701" s="4" t="s">
        <v>22</v>
      </c>
      <c r="C701" s="4" t="s">
        <v>23</v>
      </c>
      <c r="D701" s="4" t="s">
        <v>24</v>
      </c>
      <c r="E701" s="4" t="s">
        <v>34</v>
      </c>
      <c r="F701" s="4" t="s">
        <v>25</v>
      </c>
      <c r="G701" s="4" t="s">
        <v>25</v>
      </c>
      <c r="H701" s="4" t="s">
        <v>25</v>
      </c>
      <c r="I701" s="5">
        <v>44409</v>
      </c>
      <c r="J701" s="6">
        <v>0</v>
      </c>
      <c r="K701" s="6">
        <v>0</v>
      </c>
      <c r="L701" s="6">
        <v>4341.5770000000002</v>
      </c>
      <c r="M701" s="6">
        <v>4341.5770000000002</v>
      </c>
      <c r="N701" s="6">
        <v>4341.5770000000002</v>
      </c>
      <c r="O701" s="6">
        <v>4341.5770000000002</v>
      </c>
      <c r="P701" s="6">
        <v>21562</v>
      </c>
      <c r="Q701" s="4" t="s">
        <v>26</v>
      </c>
      <c r="R701" s="4">
        <v>0</v>
      </c>
      <c r="S701" s="4">
        <v>0</v>
      </c>
      <c r="T701" s="4">
        <v>7</v>
      </c>
      <c r="U701" s="4">
        <v>53</v>
      </c>
      <c r="V701" s="6">
        <f>IF(ISERROR(VLOOKUP($S$701,'TAR FIN'!$A$1:$O$95,15,0)),0,VLOOKUP($S$701,'TAR FIN'!$A$1:$O$95,15,0))</f>
        <v>0</v>
      </c>
      <c r="W701" s="6">
        <f>IF(ISERROR(VLOOKUP($T$701,'TAR FIN'!$A$1:$O$95,15,0)),0,VLOOKUP($T$701,'TAR FIN'!$A$1:$O$95,15,0))</f>
        <v>420.39</v>
      </c>
      <c r="X701" s="6">
        <f>IF(ISERROR(VLOOKUP($U$701,'TAR FIN'!$A$1:$O$95,15,0)),0,VLOOKUP($U$701,'TAR FIN'!$A$1:$O$95,15,0))</f>
        <v>243.3</v>
      </c>
      <c r="Y701" s="6"/>
      <c r="Z701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701" s="6">
        <f>('TE BE'!$AA$17+'TE BF'!$AA$17+'TE CVA'!$AA$17)*(1-CUSTOS!$M$37)</f>
        <v>297.20166373463735</v>
      </c>
      <c r="AB701" s="6">
        <f t="shared" si="26"/>
        <v>0</v>
      </c>
      <c r="AC701" s="6">
        <f>(L701-M701)*(W701+X701)+($W$660+$X$660-$W$701-$X$701)*(L701)</f>
        <v>2.4679007992745029E-10</v>
      </c>
      <c r="AD701" s="6">
        <f t="shared" si="27"/>
        <v>0</v>
      </c>
      <c r="AE701" s="6">
        <f ca="1">(L701-M701)*(Z701+AA701)+($Z$660+$AA$660-$Z$701-$AA$701)*(L701)</f>
        <v>0</v>
      </c>
      <c r="AF701" s="4" t="s">
        <v>845</v>
      </c>
    </row>
    <row r="702" spans="1:32" ht="11.25" customHeight="1" x14ac:dyDescent="0.25">
      <c r="A702" s="4" t="s">
        <v>27</v>
      </c>
      <c r="B702" s="4" t="s">
        <v>22</v>
      </c>
      <c r="C702" s="4" t="s">
        <v>23</v>
      </c>
      <c r="D702" s="4" t="s">
        <v>24</v>
      </c>
      <c r="E702" s="4" t="s">
        <v>34</v>
      </c>
      <c r="F702" s="4" t="s">
        <v>25</v>
      </c>
      <c r="G702" s="4" t="s">
        <v>25</v>
      </c>
      <c r="H702" s="4" t="s">
        <v>25</v>
      </c>
      <c r="I702" s="5">
        <v>44409</v>
      </c>
      <c r="J702" s="6">
        <v>0</v>
      </c>
      <c r="K702" s="6">
        <v>0</v>
      </c>
      <c r="L702" s="6">
        <v>-76.388000000000005</v>
      </c>
      <c r="M702" s="6">
        <v>-76.388000000000005</v>
      </c>
      <c r="N702" s="6">
        <v>-76.388000000000005</v>
      </c>
      <c r="O702" s="6">
        <v>-76.388000000000005</v>
      </c>
      <c r="P702" s="6">
        <v>0</v>
      </c>
      <c r="Q702" s="4" t="s">
        <v>26</v>
      </c>
      <c r="R702" s="4">
        <v>0</v>
      </c>
      <c r="S702" s="4">
        <v>0</v>
      </c>
      <c r="T702" s="4">
        <v>7</v>
      </c>
      <c r="U702" s="4">
        <v>53</v>
      </c>
      <c r="V702" s="6">
        <f>IF(ISERROR(VLOOKUP($S$702,'TAR FIN'!$A$1:$O$95,15,0)),0,VLOOKUP($S$702,'TAR FIN'!$A$1:$O$95,15,0))</f>
        <v>0</v>
      </c>
      <c r="W702" s="6">
        <f>IF(ISERROR(VLOOKUP($T$702,'TAR FIN'!$A$1:$O$95,15,0)),0,VLOOKUP($T$702,'TAR FIN'!$A$1:$O$95,15,0))</f>
        <v>420.39</v>
      </c>
      <c r="X702" s="6">
        <f>IF(ISERROR(VLOOKUP($U$702,'TAR FIN'!$A$1:$O$95,15,0)),0,VLOOKUP($U$702,'TAR FIN'!$A$1:$O$95,15,0))</f>
        <v>243.3</v>
      </c>
      <c r="Y702" s="6"/>
      <c r="Z702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702" s="6">
        <f>('TE BE'!$AA$17+'TE BF'!$AA$17+'TE CVA'!$AA$17)*(1-CUSTOS!$M$37)</f>
        <v>297.20166373463735</v>
      </c>
      <c r="AB702" s="6">
        <f t="shared" si="26"/>
        <v>0</v>
      </c>
      <c r="AC702" s="6">
        <f>(L702-M702)*(W702+X702)+($W$660+$X$660-$W$702-$X$702)*(L702)</f>
        <v>-4.3421550799394029E-12</v>
      </c>
      <c r="AD702" s="6">
        <f t="shared" si="27"/>
        <v>0</v>
      </c>
      <c r="AE702" s="6">
        <f ca="1">(L702-M702)*(Z702+AA702)+($Z$660+$AA$660-$Z$702-$AA$702)*(L702)</f>
        <v>0</v>
      </c>
      <c r="AF702" s="4" t="s">
        <v>845</v>
      </c>
    </row>
    <row r="703" spans="1:32" ht="11.25" customHeight="1" x14ac:dyDescent="0.25">
      <c r="A703" s="4" t="s">
        <v>28</v>
      </c>
      <c r="B703" s="4" t="s">
        <v>22</v>
      </c>
      <c r="C703" s="4" t="s">
        <v>23</v>
      </c>
      <c r="D703" s="4" t="s">
        <v>24</v>
      </c>
      <c r="E703" s="4" t="s">
        <v>34</v>
      </c>
      <c r="F703" s="4" t="s">
        <v>25</v>
      </c>
      <c r="G703" s="4" t="s">
        <v>25</v>
      </c>
      <c r="H703" s="4" t="s">
        <v>25</v>
      </c>
      <c r="I703" s="5">
        <v>44409</v>
      </c>
      <c r="J703" s="6">
        <v>0</v>
      </c>
      <c r="K703" s="6">
        <v>0</v>
      </c>
      <c r="L703" s="6">
        <v>3354.346</v>
      </c>
      <c r="M703" s="6">
        <v>3354.346</v>
      </c>
      <c r="N703" s="6">
        <v>3354.346</v>
      </c>
      <c r="O703" s="6">
        <v>3354.346</v>
      </c>
      <c r="P703" s="6">
        <v>23800</v>
      </c>
      <c r="Q703" s="4" t="s">
        <v>26</v>
      </c>
      <c r="R703" s="4">
        <v>0</v>
      </c>
      <c r="S703" s="4">
        <v>0</v>
      </c>
      <c r="T703" s="4">
        <v>7</v>
      </c>
      <c r="U703" s="4">
        <v>53</v>
      </c>
      <c r="V703" s="6">
        <f>IF(ISERROR(VLOOKUP($S$703,'TAR FIN'!$A$1:$O$95,15,0)),0,VLOOKUP($S$703,'TAR FIN'!$A$1:$O$95,15,0))</f>
        <v>0</v>
      </c>
      <c r="W703" s="6">
        <f>IF(ISERROR(VLOOKUP($T$703,'TAR FIN'!$A$1:$O$95,15,0)),0,VLOOKUP($T$703,'TAR FIN'!$A$1:$O$95,15,0))</f>
        <v>420.39</v>
      </c>
      <c r="X703" s="6">
        <f>IF(ISERROR(VLOOKUP($U$703,'TAR FIN'!$A$1:$O$95,15,0)),0,VLOOKUP($U$703,'TAR FIN'!$A$1:$O$95,15,0))</f>
        <v>243.3</v>
      </c>
      <c r="Y703" s="6"/>
      <c r="Z703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703" s="6">
        <f>('TE BE'!$AA$17+'TE BF'!$AA$17+'TE CVA'!$AA$17)*(1-CUSTOS!$M$37)</f>
        <v>297.20166373463735</v>
      </c>
      <c r="AB703" s="6">
        <f t="shared" si="26"/>
        <v>0</v>
      </c>
      <c r="AC703" s="6">
        <f>(L703-M703)*(W703+X703)+($W$660+$X$660-$W$703-$X$703)*(L703)</f>
        <v>1.9067249468207592E-10</v>
      </c>
      <c r="AD703" s="6">
        <f t="shared" si="27"/>
        <v>0</v>
      </c>
      <c r="AE703" s="6">
        <f ca="1">(L703-M703)*(Z703+AA703)+($Z$660+$AA$660-$Z$703-$AA$703)*(L703)</f>
        <v>0</v>
      </c>
      <c r="AF703" s="4" t="s">
        <v>845</v>
      </c>
    </row>
    <row r="704" spans="1:32" ht="11.25" customHeight="1" x14ac:dyDescent="0.25">
      <c r="A704" s="4" t="s">
        <v>29</v>
      </c>
      <c r="B704" s="4" t="s">
        <v>22</v>
      </c>
      <c r="C704" s="4" t="s">
        <v>23</v>
      </c>
      <c r="D704" s="4" t="s">
        <v>24</v>
      </c>
      <c r="E704" s="4" t="s">
        <v>34</v>
      </c>
      <c r="F704" s="4" t="s">
        <v>25</v>
      </c>
      <c r="G704" s="4" t="s">
        <v>25</v>
      </c>
      <c r="H704" s="4" t="s">
        <v>25</v>
      </c>
      <c r="I704" s="5">
        <v>44409</v>
      </c>
      <c r="J704" s="6">
        <v>0</v>
      </c>
      <c r="K704" s="6">
        <v>0</v>
      </c>
      <c r="L704" s="6">
        <v>-18.576000000000001</v>
      </c>
      <c r="M704" s="6">
        <v>-18.576000000000001</v>
      </c>
      <c r="N704" s="6">
        <v>-18.576000000000001</v>
      </c>
      <c r="O704" s="6">
        <v>-18.576000000000001</v>
      </c>
      <c r="P704" s="6">
        <v>0</v>
      </c>
      <c r="Q704" s="4" t="s">
        <v>26</v>
      </c>
      <c r="R704" s="4">
        <v>0</v>
      </c>
      <c r="S704" s="4">
        <v>0</v>
      </c>
      <c r="T704" s="4">
        <v>7</v>
      </c>
      <c r="U704" s="4">
        <v>53</v>
      </c>
      <c r="V704" s="6">
        <f>IF(ISERROR(VLOOKUP($S$704,'TAR FIN'!$A$1:$O$95,15,0)),0,VLOOKUP($S$704,'TAR FIN'!$A$1:$O$95,15,0))</f>
        <v>0</v>
      </c>
      <c r="W704" s="6">
        <f>IF(ISERROR(VLOOKUP($T$704,'TAR FIN'!$A$1:$O$95,15,0)),0,VLOOKUP($T$704,'TAR FIN'!$A$1:$O$95,15,0))</f>
        <v>420.39</v>
      </c>
      <c r="X704" s="6">
        <f>IF(ISERROR(VLOOKUP($U$704,'TAR FIN'!$A$1:$O$95,15,0)),0,VLOOKUP($U$704,'TAR FIN'!$A$1:$O$95,15,0))</f>
        <v>243.3</v>
      </c>
      <c r="Y704" s="6"/>
      <c r="Z704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704" s="6">
        <f>('TE BE'!$AA$17+'TE BF'!$AA$17+'TE CVA'!$AA$17)*(1-CUSTOS!$M$37)</f>
        <v>297.20166373463735</v>
      </c>
      <c r="AB704" s="6">
        <f t="shared" si="26"/>
        <v>0</v>
      </c>
      <c r="AC704" s="6">
        <f>(L704-M704)*(W704+X704)+($W$660+$X$660-$W$704-$X$704)*(L704)</f>
        <v>-1.0559233487583697E-12</v>
      </c>
      <c r="AD704" s="6">
        <f t="shared" si="27"/>
        <v>0</v>
      </c>
      <c r="AE704" s="6">
        <f ca="1">(L704-M704)*(Z704+AA704)+($Z$660+$AA$660-$Z$704-$AA$704)*(L704)</f>
        <v>0</v>
      </c>
      <c r="AF704" s="4" t="s">
        <v>845</v>
      </c>
    </row>
    <row r="705" spans="1:32" ht="11.25" customHeight="1" x14ac:dyDescent="0.25">
      <c r="A705" s="4" t="s">
        <v>30</v>
      </c>
      <c r="B705" s="4" t="s">
        <v>22</v>
      </c>
      <c r="C705" s="4" t="s">
        <v>23</v>
      </c>
      <c r="D705" s="4" t="s">
        <v>24</v>
      </c>
      <c r="E705" s="4" t="s">
        <v>34</v>
      </c>
      <c r="F705" s="4" t="s">
        <v>25</v>
      </c>
      <c r="G705" s="4" t="s">
        <v>25</v>
      </c>
      <c r="H705" s="4" t="s">
        <v>25</v>
      </c>
      <c r="I705" s="5">
        <v>44409</v>
      </c>
      <c r="J705" s="6">
        <v>0</v>
      </c>
      <c r="K705" s="6">
        <v>0</v>
      </c>
      <c r="L705" s="6">
        <v>0.57399999999999995</v>
      </c>
      <c r="M705" s="6">
        <v>0.57399999999999995</v>
      </c>
      <c r="N705" s="6">
        <v>0.57399999999999995</v>
      </c>
      <c r="O705" s="6">
        <v>0.57399999999999995</v>
      </c>
      <c r="P705" s="6">
        <v>3</v>
      </c>
      <c r="Q705" s="4" t="s">
        <v>26</v>
      </c>
      <c r="R705" s="4">
        <v>0</v>
      </c>
      <c r="S705" s="4">
        <v>0</v>
      </c>
      <c r="T705" s="4">
        <v>7</v>
      </c>
      <c r="U705" s="4">
        <v>53</v>
      </c>
      <c r="V705" s="6">
        <f>IF(ISERROR(VLOOKUP($S$705,'TAR FIN'!$A$1:$O$95,15,0)),0,VLOOKUP($S$705,'TAR FIN'!$A$1:$O$95,15,0))</f>
        <v>0</v>
      </c>
      <c r="W705" s="6">
        <f>IF(ISERROR(VLOOKUP($T$705,'TAR FIN'!$A$1:$O$95,15,0)),0,VLOOKUP($T$705,'TAR FIN'!$A$1:$O$95,15,0))</f>
        <v>420.39</v>
      </c>
      <c r="X705" s="6">
        <f>IF(ISERROR(VLOOKUP($U$705,'TAR FIN'!$A$1:$O$95,15,0)),0,VLOOKUP($U$705,'TAR FIN'!$A$1:$O$95,15,0))</f>
        <v>243.3</v>
      </c>
      <c r="Y705" s="6"/>
      <c r="Z705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705" s="6">
        <f>('TE BE'!$AA$17+'TE BF'!$AA$17+'TE CVA'!$AA$17)*(1-CUSTOS!$M$37)</f>
        <v>297.20166373463735</v>
      </c>
      <c r="AB705" s="6">
        <f t="shared" si="26"/>
        <v>0</v>
      </c>
      <c r="AC705" s="6">
        <f>(L705-M705)*(W705+X705)+($W$660+$X$660-$W$705-$X$705)*(L705)</f>
        <v>3.2628122426103798E-14</v>
      </c>
      <c r="AD705" s="6">
        <f t="shared" si="27"/>
        <v>0</v>
      </c>
      <c r="AE705" s="6">
        <f ca="1">(L705-M705)*(Z705+AA705)+($Z$660+$AA$660-$Z$705-$AA$705)*(L705)</f>
        <v>0</v>
      </c>
      <c r="AF705" s="4" t="s">
        <v>845</v>
      </c>
    </row>
    <row r="706" spans="1:32" ht="11.25" customHeight="1" x14ac:dyDescent="0.25">
      <c r="A706" s="4" t="s">
        <v>21</v>
      </c>
      <c r="B706" s="4" t="s">
        <v>22</v>
      </c>
      <c r="C706" s="4" t="s">
        <v>23</v>
      </c>
      <c r="D706" s="4" t="s">
        <v>24</v>
      </c>
      <c r="E706" s="4" t="s">
        <v>34</v>
      </c>
      <c r="F706" s="4" t="s">
        <v>25</v>
      </c>
      <c r="G706" s="4" t="s">
        <v>25</v>
      </c>
      <c r="H706" s="4" t="s">
        <v>25</v>
      </c>
      <c r="I706" s="5">
        <v>44440</v>
      </c>
      <c r="J706" s="6">
        <v>0</v>
      </c>
      <c r="K706" s="6">
        <v>0</v>
      </c>
      <c r="L706" s="6">
        <v>4587.0259999999998</v>
      </c>
      <c r="M706" s="6">
        <v>4587.0259999999998</v>
      </c>
      <c r="N706" s="6">
        <v>4587.0259999999998</v>
      </c>
      <c r="O706" s="6">
        <v>4587.0259999999998</v>
      </c>
      <c r="P706" s="6">
        <v>21988</v>
      </c>
      <c r="Q706" s="4" t="s">
        <v>26</v>
      </c>
      <c r="R706" s="4">
        <v>0</v>
      </c>
      <c r="S706" s="4">
        <v>0</v>
      </c>
      <c r="T706" s="4">
        <v>7</v>
      </c>
      <c r="U706" s="4">
        <v>53</v>
      </c>
      <c r="V706" s="6">
        <f>IF(ISERROR(VLOOKUP($S$706,'TAR FIN'!$A$1:$O$95,15,0)),0,VLOOKUP($S$706,'TAR FIN'!$A$1:$O$95,15,0))</f>
        <v>0</v>
      </c>
      <c r="W706" s="6">
        <f>IF(ISERROR(VLOOKUP($T$706,'TAR FIN'!$A$1:$O$95,15,0)),0,VLOOKUP($T$706,'TAR FIN'!$A$1:$O$95,15,0))</f>
        <v>420.39</v>
      </c>
      <c r="X706" s="6">
        <f>IF(ISERROR(VLOOKUP($U$706,'TAR FIN'!$A$1:$O$95,15,0)),0,VLOOKUP($U$706,'TAR FIN'!$A$1:$O$95,15,0))</f>
        <v>243.3</v>
      </c>
      <c r="Y706" s="6"/>
      <c r="Z706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706" s="6">
        <f>('TE BE'!$AA$17+'TE BF'!$AA$17+'TE CVA'!$AA$17)*(1-CUSTOS!$M$37)</f>
        <v>297.20166373463735</v>
      </c>
      <c r="AB706" s="6">
        <f t="shared" ref="AB706:AB769" si="28">(J706-K706)*V706</f>
        <v>0</v>
      </c>
      <c r="AC706" s="6">
        <f>(L706-M706)*(W706+X706)+($W$660+$X$660-$W$706-$X$706)*(L706)</f>
        <v>2.6074224024341674E-10</v>
      </c>
      <c r="AD706" s="6">
        <f t="shared" ref="AD706:AD769" si="29">(J706-K706)*Y706</f>
        <v>0</v>
      </c>
      <c r="AE706" s="6">
        <f ca="1">(L706-M706)*(Z706+AA706)+($Z$660+$AA$660-$Z$706-$AA$706)*(L706)</f>
        <v>0</v>
      </c>
      <c r="AF706" s="4" t="s">
        <v>845</v>
      </c>
    </row>
    <row r="707" spans="1:32" ht="11.25" customHeight="1" x14ac:dyDescent="0.25">
      <c r="A707" s="4" t="s">
        <v>27</v>
      </c>
      <c r="B707" s="4" t="s">
        <v>22</v>
      </c>
      <c r="C707" s="4" t="s">
        <v>23</v>
      </c>
      <c r="D707" s="4" t="s">
        <v>24</v>
      </c>
      <c r="E707" s="4" t="s">
        <v>34</v>
      </c>
      <c r="F707" s="4" t="s">
        <v>25</v>
      </c>
      <c r="G707" s="4" t="s">
        <v>25</v>
      </c>
      <c r="H707" s="4" t="s">
        <v>25</v>
      </c>
      <c r="I707" s="5">
        <v>44440</v>
      </c>
      <c r="J707" s="6">
        <v>0</v>
      </c>
      <c r="K707" s="6">
        <v>0</v>
      </c>
      <c r="L707" s="6">
        <v>-52.066000000000003</v>
      </c>
      <c r="M707" s="6">
        <v>-52.066000000000003</v>
      </c>
      <c r="N707" s="6">
        <v>-52.066000000000003</v>
      </c>
      <c r="O707" s="6">
        <v>-52.066000000000003</v>
      </c>
      <c r="P707" s="6">
        <v>0</v>
      </c>
      <c r="Q707" s="4" t="s">
        <v>26</v>
      </c>
      <c r="R707" s="4">
        <v>0</v>
      </c>
      <c r="S707" s="4">
        <v>0</v>
      </c>
      <c r="T707" s="4">
        <v>7</v>
      </c>
      <c r="U707" s="4">
        <v>53</v>
      </c>
      <c r="V707" s="6">
        <f>IF(ISERROR(VLOOKUP($S$707,'TAR FIN'!$A$1:$O$95,15,0)),0,VLOOKUP($S$707,'TAR FIN'!$A$1:$O$95,15,0))</f>
        <v>0</v>
      </c>
      <c r="W707" s="6">
        <f>IF(ISERROR(VLOOKUP($T$707,'TAR FIN'!$A$1:$O$95,15,0)),0,VLOOKUP($T$707,'TAR FIN'!$A$1:$O$95,15,0))</f>
        <v>420.39</v>
      </c>
      <c r="X707" s="6">
        <f>IF(ISERROR(VLOOKUP($U$707,'TAR FIN'!$A$1:$O$95,15,0)),0,VLOOKUP($U$707,'TAR FIN'!$A$1:$O$95,15,0))</f>
        <v>243.3</v>
      </c>
      <c r="Y707" s="6"/>
      <c r="Z707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707" s="6">
        <f>('TE BE'!$AA$17+'TE BF'!$AA$17+'TE CVA'!$AA$17)*(1-CUSTOS!$M$37)</f>
        <v>297.20166373463735</v>
      </c>
      <c r="AB707" s="6">
        <f t="shared" si="28"/>
        <v>0</v>
      </c>
      <c r="AC707" s="6">
        <f>(L707-M707)*(W707+X707)+($W$660+$X$660-$W$707-$X$707)*(L707)</f>
        <v>-2.9596094464068302E-12</v>
      </c>
      <c r="AD707" s="6">
        <f t="shared" si="29"/>
        <v>0</v>
      </c>
      <c r="AE707" s="6">
        <f ca="1">(L707-M707)*(Z707+AA707)+($Z$660+$AA$660-$Z$707-$AA$707)*(L707)</f>
        <v>0</v>
      </c>
      <c r="AF707" s="4" t="s">
        <v>845</v>
      </c>
    </row>
    <row r="708" spans="1:32" ht="11.25" customHeight="1" x14ac:dyDescent="0.25">
      <c r="A708" s="4" t="s">
        <v>28</v>
      </c>
      <c r="B708" s="4" t="s">
        <v>22</v>
      </c>
      <c r="C708" s="4" t="s">
        <v>23</v>
      </c>
      <c r="D708" s="4" t="s">
        <v>24</v>
      </c>
      <c r="E708" s="4" t="s">
        <v>34</v>
      </c>
      <c r="F708" s="4" t="s">
        <v>25</v>
      </c>
      <c r="G708" s="4" t="s">
        <v>25</v>
      </c>
      <c r="H708" s="4" t="s">
        <v>25</v>
      </c>
      <c r="I708" s="5">
        <v>44440</v>
      </c>
      <c r="J708" s="6">
        <v>0</v>
      </c>
      <c r="K708" s="6">
        <v>0</v>
      </c>
      <c r="L708" s="6">
        <v>3676.605</v>
      </c>
      <c r="M708" s="6">
        <v>3676.605</v>
      </c>
      <c r="N708" s="6">
        <v>3676.605</v>
      </c>
      <c r="O708" s="6">
        <v>3676.605</v>
      </c>
      <c r="P708" s="6">
        <v>26093</v>
      </c>
      <c r="Q708" s="4" t="s">
        <v>26</v>
      </c>
      <c r="R708" s="4">
        <v>0</v>
      </c>
      <c r="S708" s="4">
        <v>0</v>
      </c>
      <c r="T708" s="4">
        <v>7</v>
      </c>
      <c r="U708" s="4">
        <v>53</v>
      </c>
      <c r="V708" s="6">
        <f>IF(ISERROR(VLOOKUP($S$708,'TAR FIN'!$A$1:$O$95,15,0)),0,VLOOKUP($S$708,'TAR FIN'!$A$1:$O$95,15,0))</f>
        <v>0</v>
      </c>
      <c r="W708" s="6">
        <f>IF(ISERROR(VLOOKUP($T$708,'TAR FIN'!$A$1:$O$95,15,0)),0,VLOOKUP($T$708,'TAR FIN'!$A$1:$O$95,15,0))</f>
        <v>420.39</v>
      </c>
      <c r="X708" s="6">
        <f>IF(ISERROR(VLOOKUP($U$708,'TAR FIN'!$A$1:$O$95,15,0)),0,VLOOKUP($U$708,'TAR FIN'!$A$1:$O$95,15,0))</f>
        <v>243.3</v>
      </c>
      <c r="Y708" s="6"/>
      <c r="Z708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708" s="6">
        <f>('TE BE'!$AA$17+'TE BF'!$AA$17+'TE CVA'!$AA$17)*(1-CUSTOS!$M$37)</f>
        <v>297.20166373463735</v>
      </c>
      <c r="AB708" s="6">
        <f t="shared" si="28"/>
        <v>0</v>
      </c>
      <c r="AC708" s="6">
        <f>(L708-M708)*(W708+X708)+($W$660+$X$660-$W$708-$X$708)*(L708)</f>
        <v>2.0899079800074105E-10</v>
      </c>
      <c r="AD708" s="6">
        <f t="shared" si="29"/>
        <v>0</v>
      </c>
      <c r="AE708" s="6">
        <f ca="1">(L708-M708)*(Z708+AA708)+($Z$660+$AA$660-$Z$708-$AA$708)*(L708)</f>
        <v>0</v>
      </c>
      <c r="AF708" s="4" t="s">
        <v>845</v>
      </c>
    </row>
    <row r="709" spans="1:32" ht="11.25" customHeight="1" x14ac:dyDescent="0.25">
      <c r="A709" s="4" t="s">
        <v>29</v>
      </c>
      <c r="B709" s="4" t="s">
        <v>22</v>
      </c>
      <c r="C709" s="4" t="s">
        <v>23</v>
      </c>
      <c r="D709" s="4" t="s">
        <v>24</v>
      </c>
      <c r="E709" s="4" t="s">
        <v>34</v>
      </c>
      <c r="F709" s="4" t="s">
        <v>25</v>
      </c>
      <c r="G709" s="4" t="s">
        <v>25</v>
      </c>
      <c r="H709" s="4" t="s">
        <v>25</v>
      </c>
      <c r="I709" s="5">
        <v>44440</v>
      </c>
      <c r="J709" s="6">
        <v>0</v>
      </c>
      <c r="K709" s="6">
        <v>0</v>
      </c>
      <c r="L709" s="6">
        <v>-231.81899999999999</v>
      </c>
      <c r="M709" s="6">
        <v>-231.81899999999999</v>
      </c>
      <c r="N709" s="6">
        <v>-231.81899999999999</v>
      </c>
      <c r="O709" s="6">
        <v>-231.81899999999999</v>
      </c>
      <c r="P709" s="6">
        <v>0</v>
      </c>
      <c r="Q709" s="4" t="s">
        <v>26</v>
      </c>
      <c r="R709" s="4">
        <v>0</v>
      </c>
      <c r="S709" s="4">
        <v>0</v>
      </c>
      <c r="T709" s="4">
        <v>7</v>
      </c>
      <c r="U709" s="4">
        <v>53</v>
      </c>
      <c r="V709" s="6">
        <f>IF(ISERROR(VLOOKUP($S$709,'TAR FIN'!$A$1:$O$95,15,0)),0,VLOOKUP($S$709,'TAR FIN'!$A$1:$O$95,15,0))</f>
        <v>0</v>
      </c>
      <c r="W709" s="6">
        <f>IF(ISERROR(VLOOKUP($T$709,'TAR FIN'!$A$1:$O$95,15,0)),0,VLOOKUP($T$709,'TAR FIN'!$A$1:$O$95,15,0))</f>
        <v>420.39</v>
      </c>
      <c r="X709" s="6">
        <f>IF(ISERROR(VLOOKUP($U$709,'TAR FIN'!$A$1:$O$95,15,0)),0,VLOOKUP($U$709,'TAR FIN'!$A$1:$O$95,15,0))</f>
        <v>243.3</v>
      </c>
      <c r="Y709" s="6"/>
      <c r="Z709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709" s="6">
        <f>('TE BE'!$AA$17+'TE BF'!$AA$17+'TE CVA'!$AA$17)*(1-CUSTOS!$M$37)</f>
        <v>297.20166373463735</v>
      </c>
      <c r="AB709" s="6">
        <f t="shared" si="28"/>
        <v>0</v>
      </c>
      <c r="AC709" s="6">
        <f>(L709-M709)*(W709+X709)+($W$660+$X$660-$W$709-$X$709)*(L709)</f>
        <v>-1.3177384516893653E-11</v>
      </c>
      <c r="AD709" s="6">
        <f t="shared" si="29"/>
        <v>0</v>
      </c>
      <c r="AE709" s="6">
        <f ca="1">(L709-M709)*(Z709+AA709)+($Z$660+$AA$660-$Z$709-$AA$709)*(L709)</f>
        <v>0</v>
      </c>
      <c r="AF709" s="4" t="s">
        <v>845</v>
      </c>
    </row>
    <row r="710" spans="1:32" ht="11.25" customHeight="1" x14ac:dyDescent="0.25">
      <c r="A710" s="4" t="s">
        <v>30</v>
      </c>
      <c r="B710" s="4" t="s">
        <v>22</v>
      </c>
      <c r="C710" s="4" t="s">
        <v>23</v>
      </c>
      <c r="D710" s="4" t="s">
        <v>24</v>
      </c>
      <c r="E710" s="4" t="s">
        <v>34</v>
      </c>
      <c r="F710" s="4" t="s">
        <v>25</v>
      </c>
      <c r="G710" s="4" t="s">
        <v>25</v>
      </c>
      <c r="H710" s="4" t="s">
        <v>25</v>
      </c>
      <c r="I710" s="5">
        <v>44440</v>
      </c>
      <c r="J710" s="6">
        <v>0</v>
      </c>
      <c r="K710" s="6">
        <v>0</v>
      </c>
      <c r="L710" s="6">
        <v>0.90400000000000003</v>
      </c>
      <c r="M710" s="6">
        <v>0.90400000000000003</v>
      </c>
      <c r="N710" s="6">
        <v>0.90400000000000003</v>
      </c>
      <c r="O710" s="6">
        <v>0.90400000000000003</v>
      </c>
      <c r="P710" s="6">
        <v>6</v>
      </c>
      <c r="Q710" s="4" t="s">
        <v>26</v>
      </c>
      <c r="R710" s="4">
        <v>0</v>
      </c>
      <c r="S710" s="4">
        <v>0</v>
      </c>
      <c r="T710" s="4">
        <v>7</v>
      </c>
      <c r="U710" s="4">
        <v>53</v>
      </c>
      <c r="V710" s="6">
        <f>IF(ISERROR(VLOOKUP($S$710,'TAR FIN'!$A$1:$O$95,15,0)),0,VLOOKUP($S$710,'TAR FIN'!$A$1:$O$95,15,0))</f>
        <v>0</v>
      </c>
      <c r="W710" s="6">
        <f>IF(ISERROR(VLOOKUP($T$710,'TAR FIN'!$A$1:$O$95,15,0)),0,VLOOKUP($T$710,'TAR FIN'!$A$1:$O$95,15,0))</f>
        <v>420.39</v>
      </c>
      <c r="X710" s="6">
        <f>IF(ISERROR(VLOOKUP($U$710,'TAR FIN'!$A$1:$O$95,15,0)),0,VLOOKUP($U$710,'TAR FIN'!$A$1:$O$95,15,0))</f>
        <v>243.3</v>
      </c>
      <c r="Y710" s="6"/>
      <c r="Z710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710" s="6">
        <f>('TE BE'!$AA$17+'TE BF'!$AA$17+'TE CVA'!$AA$17)*(1-CUSTOS!$M$37)</f>
        <v>297.20166373463735</v>
      </c>
      <c r="AB710" s="6">
        <f t="shared" si="28"/>
        <v>0</v>
      </c>
      <c r="AC710" s="6">
        <f>(L710-M710)*(W710+X710)+($W$660+$X$660-$W$710-$X$710)*(L710)</f>
        <v>5.1386450650170447E-14</v>
      </c>
      <c r="AD710" s="6">
        <f t="shared" si="29"/>
        <v>0</v>
      </c>
      <c r="AE710" s="6">
        <f ca="1">(L710-M710)*(Z710+AA710)+($Z$660+$AA$660-$Z$710-$AA$710)*(L710)</f>
        <v>0</v>
      </c>
      <c r="AF710" s="4" t="s">
        <v>845</v>
      </c>
    </row>
    <row r="711" spans="1:32" ht="11.25" customHeight="1" x14ac:dyDescent="0.25">
      <c r="A711" s="4" t="s">
        <v>59</v>
      </c>
      <c r="B711" s="4" t="s">
        <v>22</v>
      </c>
      <c r="C711" s="4" t="s">
        <v>23</v>
      </c>
      <c r="D711" s="4" t="s">
        <v>24</v>
      </c>
      <c r="E711" s="4" t="s">
        <v>34</v>
      </c>
      <c r="F711" s="4" t="s">
        <v>25</v>
      </c>
      <c r="G711" s="4" t="s">
        <v>25</v>
      </c>
      <c r="H711" s="4" t="s">
        <v>25</v>
      </c>
      <c r="I711" s="5">
        <v>44470</v>
      </c>
      <c r="J711" s="6">
        <v>0</v>
      </c>
      <c r="K711" s="6">
        <v>0</v>
      </c>
      <c r="L711" s="6">
        <v>4587.0259999999998</v>
      </c>
      <c r="M711" s="6">
        <v>4587.0259999999998</v>
      </c>
      <c r="N711" s="6">
        <v>4587.0259999999998</v>
      </c>
      <c r="O711" s="6">
        <v>4587.0259999999998</v>
      </c>
      <c r="P711" s="6">
        <v>21988</v>
      </c>
      <c r="Q711" s="4" t="s">
        <v>26</v>
      </c>
      <c r="R711" s="4">
        <v>0</v>
      </c>
      <c r="S711" s="4">
        <v>0</v>
      </c>
      <c r="T711" s="4">
        <v>7</v>
      </c>
      <c r="U711" s="4">
        <v>53</v>
      </c>
      <c r="V711" s="6">
        <f>IF(ISERROR(VLOOKUP($S$711,'TAR FIN'!$A$1:$O$95,15,0)),0,VLOOKUP($S$711,'TAR FIN'!$A$1:$O$95,15,0))</f>
        <v>0</v>
      </c>
      <c r="W711" s="6">
        <f>IF(ISERROR(VLOOKUP($T$711,'TAR FIN'!$A$1:$O$95,15,0)),0,VLOOKUP($T$711,'TAR FIN'!$A$1:$O$95,15,0))</f>
        <v>420.39</v>
      </c>
      <c r="X711" s="6">
        <f>IF(ISERROR(VLOOKUP($U$711,'TAR FIN'!$A$1:$O$95,15,0)),0,VLOOKUP($U$711,'TAR FIN'!$A$1:$O$95,15,0))</f>
        <v>243.3</v>
      </c>
      <c r="Y711" s="6"/>
      <c r="Z711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711" s="6">
        <f>('TE BE'!$AA$17+'TE BF'!$AA$17+'TE CVA'!$AA$17)*(1-CUSTOS!$M$37)</f>
        <v>297.20166373463735</v>
      </c>
      <c r="AB711" s="6">
        <f t="shared" si="28"/>
        <v>0</v>
      </c>
      <c r="AC711" s="6">
        <f>(L711-M711)*(W711+X711)+($W$660+$X$660-$W$711-$X$711)*(L711)</f>
        <v>2.6074224024341674E-10</v>
      </c>
      <c r="AD711" s="6">
        <f t="shared" si="29"/>
        <v>0</v>
      </c>
      <c r="AE711" s="6">
        <f ca="1">(L711-M711)*(Z711+AA711)+($Z$660+$AA$660-$Z$711-$AA$711)*(L711)</f>
        <v>0</v>
      </c>
      <c r="AF711" s="4" t="s">
        <v>845</v>
      </c>
    </row>
    <row r="712" spans="1:32" ht="11.25" customHeight="1" x14ac:dyDescent="0.25">
      <c r="A712" s="4" t="s">
        <v>59</v>
      </c>
      <c r="B712" s="4" t="s">
        <v>22</v>
      </c>
      <c r="C712" s="4" t="s">
        <v>23</v>
      </c>
      <c r="D712" s="4" t="s">
        <v>24</v>
      </c>
      <c r="E712" s="4" t="s">
        <v>34</v>
      </c>
      <c r="F712" s="4" t="s">
        <v>25</v>
      </c>
      <c r="G712" s="4" t="s">
        <v>25</v>
      </c>
      <c r="H712" s="4" t="s">
        <v>25</v>
      </c>
      <c r="I712" s="5">
        <v>44470</v>
      </c>
      <c r="J712" s="6">
        <v>0</v>
      </c>
      <c r="K712" s="6">
        <v>0</v>
      </c>
      <c r="L712" s="6">
        <v>-52.066000000000003</v>
      </c>
      <c r="M712" s="6">
        <v>-52.066000000000003</v>
      </c>
      <c r="N712" s="6">
        <v>-52.066000000000003</v>
      </c>
      <c r="O712" s="6">
        <v>-52.066000000000003</v>
      </c>
      <c r="P712" s="6">
        <v>0</v>
      </c>
      <c r="Q712" s="4" t="s">
        <v>26</v>
      </c>
      <c r="R712" s="4">
        <v>0</v>
      </c>
      <c r="S712" s="4">
        <v>0</v>
      </c>
      <c r="T712" s="4">
        <v>7</v>
      </c>
      <c r="U712" s="4">
        <v>53</v>
      </c>
      <c r="V712" s="6">
        <f>IF(ISERROR(VLOOKUP($S$712,'TAR FIN'!$A$1:$O$95,15,0)),0,VLOOKUP($S$712,'TAR FIN'!$A$1:$O$95,15,0))</f>
        <v>0</v>
      </c>
      <c r="W712" s="6">
        <f>IF(ISERROR(VLOOKUP($T$712,'TAR FIN'!$A$1:$O$95,15,0)),0,VLOOKUP($T$712,'TAR FIN'!$A$1:$O$95,15,0))</f>
        <v>420.39</v>
      </c>
      <c r="X712" s="6">
        <f>IF(ISERROR(VLOOKUP($U$712,'TAR FIN'!$A$1:$O$95,15,0)),0,VLOOKUP($U$712,'TAR FIN'!$A$1:$O$95,15,0))</f>
        <v>243.3</v>
      </c>
      <c r="Y712" s="6"/>
      <c r="Z712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712" s="6">
        <f>('TE BE'!$AA$17+'TE BF'!$AA$17+'TE CVA'!$AA$17)*(1-CUSTOS!$M$37)</f>
        <v>297.20166373463735</v>
      </c>
      <c r="AB712" s="6">
        <f t="shared" si="28"/>
        <v>0</v>
      </c>
      <c r="AC712" s="6">
        <f>(L712-M712)*(W712+X712)+($W$660+$X$660-$W$712-$X$712)*(L712)</f>
        <v>-2.9596094464068302E-12</v>
      </c>
      <c r="AD712" s="6">
        <f t="shared" si="29"/>
        <v>0</v>
      </c>
      <c r="AE712" s="6">
        <f ca="1">(L712-M712)*(Z712+AA712)+($Z$660+$AA$660-$Z$712-$AA$712)*(L712)</f>
        <v>0</v>
      </c>
      <c r="AF712" s="4" t="s">
        <v>845</v>
      </c>
    </row>
    <row r="713" spans="1:32" ht="11.25" customHeight="1" x14ac:dyDescent="0.25">
      <c r="A713" s="4" t="s">
        <v>59</v>
      </c>
      <c r="B713" s="4" t="s">
        <v>22</v>
      </c>
      <c r="C713" s="4" t="s">
        <v>23</v>
      </c>
      <c r="D713" s="4" t="s">
        <v>24</v>
      </c>
      <c r="E713" s="4" t="s">
        <v>34</v>
      </c>
      <c r="F713" s="4" t="s">
        <v>25</v>
      </c>
      <c r="G713" s="4" t="s">
        <v>25</v>
      </c>
      <c r="H713" s="4" t="s">
        <v>25</v>
      </c>
      <c r="I713" s="5">
        <v>44470</v>
      </c>
      <c r="J713" s="6">
        <v>0</v>
      </c>
      <c r="K713" s="6">
        <v>0</v>
      </c>
      <c r="L713" s="6">
        <v>3676.605</v>
      </c>
      <c r="M713" s="6">
        <v>3676.605</v>
      </c>
      <c r="N713" s="6">
        <v>3676.605</v>
      </c>
      <c r="O713" s="6">
        <v>3676.605</v>
      </c>
      <c r="P713" s="6">
        <v>26093</v>
      </c>
      <c r="Q713" s="4" t="s">
        <v>26</v>
      </c>
      <c r="R713" s="4">
        <v>0</v>
      </c>
      <c r="S713" s="4">
        <v>0</v>
      </c>
      <c r="T713" s="4">
        <v>7</v>
      </c>
      <c r="U713" s="4">
        <v>53</v>
      </c>
      <c r="V713" s="6">
        <f>IF(ISERROR(VLOOKUP($S$713,'TAR FIN'!$A$1:$O$95,15,0)),0,VLOOKUP($S$713,'TAR FIN'!$A$1:$O$95,15,0))</f>
        <v>0</v>
      </c>
      <c r="W713" s="6">
        <f>IF(ISERROR(VLOOKUP($T$713,'TAR FIN'!$A$1:$O$95,15,0)),0,VLOOKUP($T$713,'TAR FIN'!$A$1:$O$95,15,0))</f>
        <v>420.39</v>
      </c>
      <c r="X713" s="6">
        <f>IF(ISERROR(VLOOKUP($U$713,'TAR FIN'!$A$1:$O$95,15,0)),0,VLOOKUP($U$713,'TAR FIN'!$A$1:$O$95,15,0))</f>
        <v>243.3</v>
      </c>
      <c r="Y713" s="6"/>
      <c r="Z713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713" s="6">
        <f>('TE BE'!$AA$17+'TE BF'!$AA$17+'TE CVA'!$AA$17)*(1-CUSTOS!$M$37)</f>
        <v>297.20166373463735</v>
      </c>
      <c r="AB713" s="6">
        <f t="shared" si="28"/>
        <v>0</v>
      </c>
      <c r="AC713" s="6">
        <f>(L713-M713)*(W713+X713)+($W$660+$X$660-$W$713-$X$713)*(L713)</f>
        <v>2.0899079800074105E-10</v>
      </c>
      <c r="AD713" s="6">
        <f t="shared" si="29"/>
        <v>0</v>
      </c>
      <c r="AE713" s="6">
        <f ca="1">(L713-M713)*(Z713+AA713)+($Z$660+$AA$660-$Z$713-$AA$713)*(L713)</f>
        <v>0</v>
      </c>
      <c r="AF713" s="4" t="s">
        <v>845</v>
      </c>
    </row>
    <row r="714" spans="1:32" ht="11.25" customHeight="1" x14ac:dyDescent="0.25">
      <c r="A714" s="4" t="s">
        <v>59</v>
      </c>
      <c r="B714" s="4" t="s">
        <v>22</v>
      </c>
      <c r="C714" s="4" t="s">
        <v>23</v>
      </c>
      <c r="D714" s="4" t="s">
        <v>24</v>
      </c>
      <c r="E714" s="4" t="s">
        <v>34</v>
      </c>
      <c r="F714" s="4" t="s">
        <v>25</v>
      </c>
      <c r="G714" s="4" t="s">
        <v>25</v>
      </c>
      <c r="H714" s="4" t="s">
        <v>25</v>
      </c>
      <c r="I714" s="5">
        <v>44470</v>
      </c>
      <c r="J714" s="6">
        <v>0</v>
      </c>
      <c r="K714" s="6">
        <v>0</v>
      </c>
      <c r="L714" s="6">
        <v>-231.81899999999999</v>
      </c>
      <c r="M714" s="6">
        <v>-231.81899999999999</v>
      </c>
      <c r="N714" s="6">
        <v>-231.81899999999999</v>
      </c>
      <c r="O714" s="6">
        <v>-231.81899999999999</v>
      </c>
      <c r="P714" s="6">
        <v>0</v>
      </c>
      <c r="Q714" s="4" t="s">
        <v>26</v>
      </c>
      <c r="R714" s="4">
        <v>0</v>
      </c>
      <c r="S714" s="4">
        <v>0</v>
      </c>
      <c r="T714" s="4">
        <v>7</v>
      </c>
      <c r="U714" s="4">
        <v>53</v>
      </c>
      <c r="V714" s="6">
        <f>IF(ISERROR(VLOOKUP($S$714,'TAR FIN'!$A$1:$O$95,15,0)),0,VLOOKUP($S$714,'TAR FIN'!$A$1:$O$95,15,0))</f>
        <v>0</v>
      </c>
      <c r="W714" s="6">
        <f>IF(ISERROR(VLOOKUP($T$714,'TAR FIN'!$A$1:$O$95,15,0)),0,VLOOKUP($T$714,'TAR FIN'!$A$1:$O$95,15,0))</f>
        <v>420.39</v>
      </c>
      <c r="X714" s="6">
        <f>IF(ISERROR(VLOOKUP($U$714,'TAR FIN'!$A$1:$O$95,15,0)),0,VLOOKUP($U$714,'TAR FIN'!$A$1:$O$95,15,0))</f>
        <v>243.3</v>
      </c>
      <c r="Y714" s="6"/>
      <c r="Z714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714" s="6">
        <f>('TE BE'!$AA$17+'TE BF'!$AA$17+'TE CVA'!$AA$17)*(1-CUSTOS!$M$37)</f>
        <v>297.20166373463735</v>
      </c>
      <c r="AB714" s="6">
        <f t="shared" si="28"/>
        <v>0</v>
      </c>
      <c r="AC714" s="6">
        <f>(L714-M714)*(W714+X714)+($W$660+$X$660-$W$714-$X$714)*(L714)</f>
        <v>-1.3177384516893653E-11</v>
      </c>
      <c r="AD714" s="6">
        <f t="shared" si="29"/>
        <v>0</v>
      </c>
      <c r="AE714" s="6">
        <f ca="1">(L714-M714)*(Z714+AA714)+($Z$660+$AA$660-$Z$714-$AA$714)*(L714)</f>
        <v>0</v>
      </c>
      <c r="AF714" s="4" t="s">
        <v>845</v>
      </c>
    </row>
    <row r="715" spans="1:32" ht="11.25" customHeight="1" x14ac:dyDescent="0.25">
      <c r="A715" s="4" t="s">
        <v>59</v>
      </c>
      <c r="B715" s="4" t="s">
        <v>22</v>
      </c>
      <c r="C715" s="4" t="s">
        <v>23</v>
      </c>
      <c r="D715" s="4" t="s">
        <v>24</v>
      </c>
      <c r="E715" s="4" t="s">
        <v>34</v>
      </c>
      <c r="F715" s="4" t="s">
        <v>25</v>
      </c>
      <c r="G715" s="4" t="s">
        <v>25</v>
      </c>
      <c r="H715" s="4" t="s">
        <v>25</v>
      </c>
      <c r="I715" s="5">
        <v>44470</v>
      </c>
      <c r="J715" s="6">
        <v>0</v>
      </c>
      <c r="K715" s="6">
        <v>0</v>
      </c>
      <c r="L715" s="6">
        <v>0.90400000000000003</v>
      </c>
      <c r="M715" s="6">
        <v>0.90400000000000003</v>
      </c>
      <c r="N715" s="6">
        <v>0.90400000000000003</v>
      </c>
      <c r="O715" s="6">
        <v>0.90400000000000003</v>
      </c>
      <c r="P715" s="6">
        <v>6</v>
      </c>
      <c r="Q715" s="4" t="s">
        <v>26</v>
      </c>
      <c r="R715" s="4">
        <v>0</v>
      </c>
      <c r="S715" s="4">
        <v>0</v>
      </c>
      <c r="T715" s="4">
        <v>7</v>
      </c>
      <c r="U715" s="4">
        <v>53</v>
      </c>
      <c r="V715" s="6">
        <f>IF(ISERROR(VLOOKUP($S$715,'TAR FIN'!$A$1:$O$95,15,0)),0,VLOOKUP($S$715,'TAR FIN'!$A$1:$O$95,15,0))</f>
        <v>0</v>
      </c>
      <c r="W715" s="6">
        <f>IF(ISERROR(VLOOKUP($T$715,'TAR FIN'!$A$1:$O$95,15,0)),0,VLOOKUP($T$715,'TAR FIN'!$A$1:$O$95,15,0))</f>
        <v>420.39</v>
      </c>
      <c r="X715" s="6">
        <f>IF(ISERROR(VLOOKUP($U$715,'TAR FIN'!$A$1:$O$95,15,0)),0,VLOOKUP($U$715,'TAR FIN'!$A$1:$O$95,15,0))</f>
        <v>243.3</v>
      </c>
      <c r="Y715" s="6"/>
      <c r="Z715" s="6">
        <f ca="1">('TUSD BE'!$AM$29+'TUSD BF'!$AM$29+'TUSD CVA'!$AM$29-('TUSD BE'!$P$29+'TUSD BF'!$P$29+'TUSD CVA'!$P$29)-('TUSD BE'!$Q$29+'TUSD BF'!$Q$29+'TUSD CVA'!$Q$29)-('TUSD BE'!$R$29+'TUSD BF'!$R$29+'TUSD CVA'!$R$29))*(1-CUSTOS!$M$37)</f>
        <v>460.03919758986672</v>
      </c>
      <c r="AA715" s="6">
        <f>('TE BE'!$AA$17+'TE BF'!$AA$17+'TE CVA'!$AA$17)*(1-CUSTOS!$M$37)</f>
        <v>297.20166373463735</v>
      </c>
      <c r="AB715" s="6">
        <f t="shared" si="28"/>
        <v>0</v>
      </c>
      <c r="AC715" s="6">
        <f>(L715-M715)*(W715+X715)+($W$660+$X$660-$W$715-$X$715)*(L715)</f>
        <v>5.1386450650170447E-14</v>
      </c>
      <c r="AD715" s="6">
        <f t="shared" si="29"/>
        <v>0</v>
      </c>
      <c r="AE715" s="6">
        <f ca="1">(L715-M715)*(Z715+AA715)+($Z$660+$AA$660-$Z$715-$AA$715)*(L715)</f>
        <v>0</v>
      </c>
      <c r="AF715" s="4" t="s">
        <v>845</v>
      </c>
    </row>
    <row r="716" spans="1:32" ht="11.25" customHeight="1" x14ac:dyDescent="0.25">
      <c r="A716" s="4" t="s">
        <v>21</v>
      </c>
      <c r="B716" s="4" t="s">
        <v>46</v>
      </c>
      <c r="C716" s="4" t="s">
        <v>39</v>
      </c>
      <c r="D716" s="4" t="s">
        <v>47</v>
      </c>
      <c r="E716" s="4" t="s">
        <v>25</v>
      </c>
      <c r="F716" s="4" t="s">
        <v>25</v>
      </c>
      <c r="G716" s="4" t="s">
        <v>25</v>
      </c>
      <c r="H716" s="4" t="s">
        <v>38</v>
      </c>
      <c r="I716" s="5">
        <v>44136</v>
      </c>
      <c r="J716" s="6">
        <v>0</v>
      </c>
      <c r="K716" s="6">
        <v>0</v>
      </c>
      <c r="L716" s="6">
        <v>9.8000000000000004E-2</v>
      </c>
      <c r="M716" s="6">
        <v>9.8000000000000004E-2</v>
      </c>
      <c r="N716" s="6">
        <v>9.8000000000000004E-2</v>
      </c>
      <c r="O716" s="6">
        <v>9.8000000000000004E-2</v>
      </c>
      <c r="P716" s="6">
        <v>0</v>
      </c>
      <c r="Q716" s="4" t="s">
        <v>26</v>
      </c>
      <c r="R716" s="4">
        <v>0</v>
      </c>
      <c r="S716" s="4">
        <v>0</v>
      </c>
      <c r="T716" s="4">
        <v>38</v>
      </c>
      <c r="U716" s="4">
        <v>57</v>
      </c>
      <c r="V716" s="6">
        <f>IF(ISERROR(VLOOKUP($S$716,'TAR FIN'!$A$1:$O$95,15,0)),0,VLOOKUP($S$716,'TAR FIN'!$A$1:$O$95,15,0))</f>
        <v>0</v>
      </c>
      <c r="W716" s="6">
        <f>IF(ISERROR(VLOOKUP($T$716,'TAR FIN'!$A$1:$O$95,15,0)),0,VLOOKUP($T$716,'TAR FIN'!$A$1:$O$95,15,0))</f>
        <v>296.56</v>
      </c>
      <c r="X716" s="6">
        <f>IF(ISERROR(VLOOKUP($U$716,'TAR FIN'!$A$1:$O$95,15,0)),0,VLOOKUP($U$716,'TAR FIN'!$A$1:$O$95,15,0))</f>
        <v>188.63</v>
      </c>
      <c r="Y716" s="6"/>
      <c r="Z716" s="6">
        <f ca="1">('TUSD BE'!$AM$37+'TUSD BF'!$AM$37+'TUSD CVA'!$AM$37)*(1-CUSTOS!$M$38)</f>
        <v>358.54185925061802</v>
      </c>
      <c r="AA716" s="6">
        <f>('TE BE'!$AA$25+'TE BF'!$AA$25+'TE CVA'!$AA$25)*(1-CUSTOS!$M$38)</f>
        <v>248.96731175097949</v>
      </c>
      <c r="AB716" s="6">
        <f t="shared" si="28"/>
        <v>0</v>
      </c>
      <c r="AC716" s="6">
        <f>(L716*W716+M716*X716)/(1-CUSTOS!$M$38)*CUSTOS!$M$38</f>
        <v>6.483902727272727</v>
      </c>
      <c r="AD716" s="6">
        <f t="shared" si="29"/>
        <v>0</v>
      </c>
      <c r="AE716" s="6">
        <f ca="1">(L716*Z716+N716*AA716)/(1-CUSTOS!$M$38)*CUSTOS!$M$38</f>
        <v>8.1185316488395323</v>
      </c>
      <c r="AF716" s="4" t="s">
        <v>844</v>
      </c>
    </row>
    <row r="717" spans="1:32" ht="11.25" customHeight="1" x14ac:dyDescent="0.25">
      <c r="A717" s="4" t="s">
        <v>21</v>
      </c>
      <c r="B717" s="4" t="s">
        <v>46</v>
      </c>
      <c r="C717" s="4" t="s">
        <v>39</v>
      </c>
      <c r="D717" s="4" t="s">
        <v>47</v>
      </c>
      <c r="E717" s="4" t="s">
        <v>25</v>
      </c>
      <c r="F717" s="4" t="s">
        <v>25</v>
      </c>
      <c r="G717" s="4" t="s">
        <v>25</v>
      </c>
      <c r="H717" s="4" t="s">
        <v>38</v>
      </c>
      <c r="I717" s="5">
        <v>44166</v>
      </c>
      <c r="J717" s="6">
        <v>0</v>
      </c>
      <c r="K717" s="6">
        <v>0</v>
      </c>
      <c r="L717" s="6">
        <v>5.7000000000000002E-2</v>
      </c>
      <c r="M717" s="6">
        <v>5.7000000000000002E-2</v>
      </c>
      <c r="N717" s="6">
        <v>5.7000000000000002E-2</v>
      </c>
      <c r="O717" s="6">
        <v>5.7000000000000002E-2</v>
      </c>
      <c r="P717" s="6">
        <v>0</v>
      </c>
      <c r="Q717" s="4" t="s">
        <v>26</v>
      </c>
      <c r="R717" s="4">
        <v>0</v>
      </c>
      <c r="S717" s="4">
        <v>0</v>
      </c>
      <c r="T717" s="4">
        <v>38</v>
      </c>
      <c r="U717" s="4">
        <v>57</v>
      </c>
      <c r="V717" s="6">
        <f>IF(ISERROR(VLOOKUP($S$717,'TAR FIN'!$A$1:$O$95,15,0)),0,VLOOKUP($S$717,'TAR FIN'!$A$1:$O$95,15,0))</f>
        <v>0</v>
      </c>
      <c r="W717" s="6">
        <f>IF(ISERROR(VLOOKUP($T$717,'TAR FIN'!$A$1:$O$95,15,0)),0,VLOOKUP($T$717,'TAR FIN'!$A$1:$O$95,15,0))</f>
        <v>296.56</v>
      </c>
      <c r="X717" s="6">
        <f>IF(ISERROR(VLOOKUP($U$717,'TAR FIN'!$A$1:$O$95,15,0)),0,VLOOKUP($U$717,'TAR FIN'!$A$1:$O$95,15,0))</f>
        <v>188.63</v>
      </c>
      <c r="Y717" s="6"/>
      <c r="Z717" s="6">
        <f ca="1">('TUSD BE'!$AM$37+'TUSD BF'!$AM$37+'TUSD CVA'!$AM$37)*(1-CUSTOS!$M$38)</f>
        <v>358.54185925061802</v>
      </c>
      <c r="AA717" s="6">
        <f>('TE BE'!$AA$25+'TE BF'!$AA$25+'TE CVA'!$AA$25)*(1-CUSTOS!$M$38)</f>
        <v>248.96731175097949</v>
      </c>
      <c r="AB717" s="6">
        <f t="shared" si="28"/>
        <v>0</v>
      </c>
      <c r="AC717" s="6">
        <f>(L717*W717+M717*X717)/(1-CUSTOS!$M$38)*CUSTOS!$M$38</f>
        <v>3.7712495454545456</v>
      </c>
      <c r="AD717" s="6">
        <f t="shared" si="29"/>
        <v>0</v>
      </c>
      <c r="AE717" s="6">
        <f ca="1">(L717*Z717+N717*AA717)/(1-CUSTOS!$M$38)*CUSTOS!$M$38</f>
        <v>4.7220031018760533</v>
      </c>
      <c r="AF717" s="4" t="s">
        <v>844</v>
      </c>
    </row>
    <row r="718" spans="1:32" ht="11.25" customHeight="1" x14ac:dyDescent="0.25">
      <c r="A718" s="4" t="s">
        <v>21</v>
      </c>
      <c r="B718" s="4" t="s">
        <v>46</v>
      </c>
      <c r="C718" s="4" t="s">
        <v>39</v>
      </c>
      <c r="D718" s="4" t="s">
        <v>47</v>
      </c>
      <c r="E718" s="4" t="s">
        <v>25</v>
      </c>
      <c r="F718" s="4" t="s">
        <v>25</v>
      </c>
      <c r="G718" s="4" t="s">
        <v>25</v>
      </c>
      <c r="H718" s="4" t="s">
        <v>38</v>
      </c>
      <c r="I718" s="5">
        <v>44197</v>
      </c>
      <c r="J718" s="6">
        <v>0</v>
      </c>
      <c r="K718" s="6">
        <v>0</v>
      </c>
      <c r="L718" s="6">
        <v>6.9000000000000006E-2</v>
      </c>
      <c r="M718" s="6">
        <v>6.9000000000000006E-2</v>
      </c>
      <c r="N718" s="6">
        <v>6.9000000000000006E-2</v>
      </c>
      <c r="O718" s="6">
        <v>6.9000000000000006E-2</v>
      </c>
      <c r="P718" s="6">
        <v>0</v>
      </c>
      <c r="Q718" s="4" t="s">
        <v>26</v>
      </c>
      <c r="R718" s="4">
        <v>0</v>
      </c>
      <c r="S718" s="4">
        <v>0</v>
      </c>
      <c r="T718" s="4">
        <v>38</v>
      </c>
      <c r="U718" s="4">
        <v>57</v>
      </c>
      <c r="V718" s="6">
        <f>IF(ISERROR(VLOOKUP($S$718,'TAR FIN'!$A$1:$O$95,15,0)),0,VLOOKUP($S$718,'TAR FIN'!$A$1:$O$95,15,0))</f>
        <v>0</v>
      </c>
      <c r="W718" s="6">
        <f>IF(ISERROR(VLOOKUP($T$718,'TAR FIN'!$A$1:$O$95,15,0)),0,VLOOKUP($T$718,'TAR FIN'!$A$1:$O$95,15,0))</f>
        <v>296.56</v>
      </c>
      <c r="X718" s="6">
        <f>IF(ISERROR(VLOOKUP($U$718,'TAR FIN'!$A$1:$O$95,15,0)),0,VLOOKUP($U$718,'TAR FIN'!$A$1:$O$95,15,0))</f>
        <v>188.63</v>
      </c>
      <c r="Y718" s="6"/>
      <c r="Z718" s="6">
        <f ca="1">('TUSD BE'!$AM$37+'TUSD BF'!$AM$37+'TUSD CVA'!$AM$37)*(1-CUSTOS!$M$38)</f>
        <v>358.54185925061802</v>
      </c>
      <c r="AA718" s="6">
        <f>('TE BE'!$AA$25+'TE BF'!$AA$25+'TE CVA'!$AA$25)*(1-CUSTOS!$M$38)</f>
        <v>248.96731175097949</v>
      </c>
      <c r="AB718" s="6">
        <f t="shared" si="28"/>
        <v>0</v>
      </c>
      <c r="AC718" s="6">
        <f>(L718*W718+M718*X718)/(1-CUSTOS!$M$38)*CUSTOS!$M$38</f>
        <v>4.5651968181818177</v>
      </c>
      <c r="AD718" s="6">
        <f t="shared" si="29"/>
        <v>0</v>
      </c>
      <c r="AE718" s="6">
        <f ca="1">(L718*Z718+N718*AA718)/(1-CUSTOS!$M$38)*CUSTOS!$M$38</f>
        <v>5.7161090180604859</v>
      </c>
      <c r="AF718" s="4" t="s">
        <v>844</v>
      </c>
    </row>
    <row r="719" spans="1:32" ht="11.25" customHeight="1" x14ac:dyDescent="0.25">
      <c r="A719" s="4" t="s">
        <v>21</v>
      </c>
      <c r="B719" s="4" t="s">
        <v>46</v>
      </c>
      <c r="C719" s="4" t="s">
        <v>39</v>
      </c>
      <c r="D719" s="4" t="s">
        <v>47</v>
      </c>
      <c r="E719" s="4" t="s">
        <v>25</v>
      </c>
      <c r="F719" s="4" t="s">
        <v>25</v>
      </c>
      <c r="G719" s="4" t="s">
        <v>25</v>
      </c>
      <c r="H719" s="4" t="s">
        <v>38</v>
      </c>
      <c r="I719" s="5">
        <v>44228</v>
      </c>
      <c r="J719" s="6">
        <v>0</v>
      </c>
      <c r="K719" s="6">
        <v>0</v>
      </c>
      <c r="L719" s="6">
        <v>0.04</v>
      </c>
      <c r="M719" s="6">
        <v>0.04</v>
      </c>
      <c r="N719" s="6">
        <v>0.04</v>
      </c>
      <c r="O719" s="6">
        <v>0.04</v>
      </c>
      <c r="P719" s="6">
        <v>0</v>
      </c>
      <c r="Q719" s="4" t="s">
        <v>26</v>
      </c>
      <c r="R719" s="4">
        <v>0</v>
      </c>
      <c r="S719" s="4">
        <v>0</v>
      </c>
      <c r="T719" s="4">
        <v>38</v>
      </c>
      <c r="U719" s="4">
        <v>57</v>
      </c>
      <c r="V719" s="6">
        <f>IF(ISERROR(VLOOKUP($S$719,'TAR FIN'!$A$1:$O$95,15,0)),0,VLOOKUP($S$719,'TAR FIN'!$A$1:$O$95,15,0))</f>
        <v>0</v>
      </c>
      <c r="W719" s="6">
        <f>IF(ISERROR(VLOOKUP($T$719,'TAR FIN'!$A$1:$O$95,15,0)),0,VLOOKUP($T$719,'TAR FIN'!$A$1:$O$95,15,0))</f>
        <v>296.56</v>
      </c>
      <c r="X719" s="6">
        <f>IF(ISERROR(VLOOKUP($U$719,'TAR FIN'!$A$1:$O$95,15,0)),0,VLOOKUP($U$719,'TAR FIN'!$A$1:$O$95,15,0))</f>
        <v>188.63</v>
      </c>
      <c r="Y719" s="6"/>
      <c r="Z719" s="6">
        <f ca="1">('TUSD BE'!$AM$37+'TUSD BF'!$AM$37+'TUSD CVA'!$AM$37)*(1-CUSTOS!$M$38)</f>
        <v>358.54185925061802</v>
      </c>
      <c r="AA719" s="6">
        <f>('TE BE'!$AA$25+'TE BF'!$AA$25+'TE CVA'!$AA$25)*(1-CUSTOS!$M$38)</f>
        <v>248.96731175097949</v>
      </c>
      <c r="AB719" s="6">
        <f t="shared" si="28"/>
        <v>0</v>
      </c>
      <c r="AC719" s="6">
        <f>(L719*W719+M719*X719)/(1-CUSTOS!$M$38)*CUSTOS!$M$38</f>
        <v>2.6464909090909097</v>
      </c>
      <c r="AD719" s="6">
        <f t="shared" si="29"/>
        <v>0</v>
      </c>
      <c r="AE719" s="6">
        <f ca="1">(L719*Z719+N719*AA719)/(1-CUSTOS!$M$38)*CUSTOS!$M$38</f>
        <v>3.3136863872814408</v>
      </c>
      <c r="AF719" s="4" t="s">
        <v>844</v>
      </c>
    </row>
    <row r="720" spans="1:32" ht="11.25" customHeight="1" x14ac:dyDescent="0.25">
      <c r="A720" s="4" t="s">
        <v>21</v>
      </c>
      <c r="B720" s="4" t="s">
        <v>46</v>
      </c>
      <c r="C720" s="4" t="s">
        <v>39</v>
      </c>
      <c r="D720" s="4" t="s">
        <v>47</v>
      </c>
      <c r="E720" s="4" t="s">
        <v>25</v>
      </c>
      <c r="F720" s="4" t="s">
        <v>25</v>
      </c>
      <c r="G720" s="4" t="s">
        <v>25</v>
      </c>
      <c r="H720" s="4" t="s">
        <v>38</v>
      </c>
      <c r="I720" s="5">
        <v>44256</v>
      </c>
      <c r="J720" s="6">
        <v>0</v>
      </c>
      <c r="K720" s="6">
        <v>0</v>
      </c>
      <c r="L720" s="6">
        <v>0.03</v>
      </c>
      <c r="M720" s="6">
        <v>0.03</v>
      </c>
      <c r="N720" s="6">
        <v>0.03</v>
      </c>
      <c r="O720" s="6">
        <v>0.03</v>
      </c>
      <c r="P720" s="6">
        <v>0</v>
      </c>
      <c r="Q720" s="4" t="s">
        <v>26</v>
      </c>
      <c r="R720" s="4">
        <v>0</v>
      </c>
      <c r="S720" s="4">
        <v>0</v>
      </c>
      <c r="T720" s="4">
        <v>38</v>
      </c>
      <c r="U720" s="4">
        <v>57</v>
      </c>
      <c r="V720" s="6">
        <f>IF(ISERROR(VLOOKUP($S$720,'TAR FIN'!$A$1:$O$95,15,0)),0,VLOOKUP($S$720,'TAR FIN'!$A$1:$O$95,15,0))</f>
        <v>0</v>
      </c>
      <c r="W720" s="6">
        <f>IF(ISERROR(VLOOKUP($T$720,'TAR FIN'!$A$1:$O$95,15,0)),0,VLOOKUP($T$720,'TAR FIN'!$A$1:$O$95,15,0))</f>
        <v>296.56</v>
      </c>
      <c r="X720" s="6">
        <f>IF(ISERROR(VLOOKUP($U$720,'TAR FIN'!$A$1:$O$95,15,0)),0,VLOOKUP($U$720,'TAR FIN'!$A$1:$O$95,15,0))</f>
        <v>188.63</v>
      </c>
      <c r="Y720" s="6"/>
      <c r="Z720" s="6">
        <f ca="1">('TUSD BE'!$AM$37+'TUSD BF'!$AM$37+'TUSD CVA'!$AM$37)*(1-CUSTOS!$M$38)</f>
        <v>358.54185925061802</v>
      </c>
      <c r="AA720" s="6">
        <f>('TE BE'!$AA$25+'TE BF'!$AA$25+'TE CVA'!$AA$25)*(1-CUSTOS!$M$38)</f>
        <v>248.96731175097949</v>
      </c>
      <c r="AB720" s="6">
        <f t="shared" si="28"/>
        <v>0</v>
      </c>
      <c r="AC720" s="6">
        <f>(L720*W720+M720*X720)/(1-CUSTOS!$M$38)*CUSTOS!$M$38</f>
        <v>1.9848681818181815</v>
      </c>
      <c r="AD720" s="6">
        <f t="shared" si="29"/>
        <v>0</v>
      </c>
      <c r="AE720" s="6">
        <f ca="1">(L720*Z720+N720*AA720)/(1-CUSTOS!$M$38)*CUSTOS!$M$38</f>
        <v>2.4852647904610805</v>
      </c>
      <c r="AF720" s="4" t="s">
        <v>844</v>
      </c>
    </row>
    <row r="721" spans="1:32" ht="11.25" customHeight="1" x14ac:dyDescent="0.25">
      <c r="A721" s="4" t="s">
        <v>21</v>
      </c>
      <c r="B721" s="4" t="s">
        <v>46</v>
      </c>
      <c r="C721" s="4" t="s">
        <v>39</v>
      </c>
      <c r="D721" s="4" t="s">
        <v>47</v>
      </c>
      <c r="E721" s="4" t="s">
        <v>25</v>
      </c>
      <c r="F721" s="4" t="s">
        <v>25</v>
      </c>
      <c r="G721" s="4" t="s">
        <v>25</v>
      </c>
      <c r="H721" s="4" t="s">
        <v>38</v>
      </c>
      <c r="I721" s="5">
        <v>44287</v>
      </c>
      <c r="J721" s="6">
        <v>0</v>
      </c>
      <c r="K721" s="6">
        <v>0</v>
      </c>
      <c r="L721" s="6">
        <v>3.6999999999999998E-2</v>
      </c>
      <c r="M721" s="6">
        <v>3.6999999999999998E-2</v>
      </c>
      <c r="N721" s="6">
        <v>3.6999999999999998E-2</v>
      </c>
      <c r="O721" s="6">
        <v>3.6999999999999998E-2</v>
      </c>
      <c r="P721" s="6">
        <v>0</v>
      </c>
      <c r="Q721" s="4" t="s">
        <v>26</v>
      </c>
      <c r="R721" s="4">
        <v>0</v>
      </c>
      <c r="S721" s="4">
        <v>0</v>
      </c>
      <c r="T721" s="4">
        <v>38</v>
      </c>
      <c r="U721" s="4">
        <v>57</v>
      </c>
      <c r="V721" s="6">
        <f>IF(ISERROR(VLOOKUP($S$721,'TAR FIN'!$A$1:$O$95,15,0)),0,VLOOKUP($S$721,'TAR FIN'!$A$1:$O$95,15,0))</f>
        <v>0</v>
      </c>
      <c r="W721" s="6">
        <f>IF(ISERROR(VLOOKUP($T$721,'TAR FIN'!$A$1:$O$95,15,0)),0,VLOOKUP($T$721,'TAR FIN'!$A$1:$O$95,15,0))</f>
        <v>296.56</v>
      </c>
      <c r="X721" s="6">
        <f>IF(ISERROR(VLOOKUP($U$721,'TAR FIN'!$A$1:$O$95,15,0)),0,VLOOKUP($U$721,'TAR FIN'!$A$1:$O$95,15,0))</f>
        <v>188.63</v>
      </c>
      <c r="Y721" s="6"/>
      <c r="Z721" s="6">
        <f ca="1">('TUSD BE'!$AM$37+'TUSD BF'!$AM$37+'TUSD CVA'!$AM$37)*(1-CUSTOS!$M$38)</f>
        <v>358.54185925061802</v>
      </c>
      <c r="AA721" s="6">
        <f>('TE BE'!$AA$25+'TE BF'!$AA$25+'TE CVA'!$AA$25)*(1-CUSTOS!$M$38)</f>
        <v>248.96731175097949</v>
      </c>
      <c r="AB721" s="6">
        <f t="shared" si="28"/>
        <v>0</v>
      </c>
      <c r="AC721" s="6">
        <f>(L721*W721+M721*X721)/(1-CUSTOS!$M$38)*CUSTOS!$M$38</f>
        <v>2.448004090909091</v>
      </c>
      <c r="AD721" s="6">
        <f t="shared" si="29"/>
        <v>0</v>
      </c>
      <c r="AE721" s="6">
        <f ca="1">(L721*Z721+N721*AA721)/(1-CUSTOS!$M$38)*CUSTOS!$M$38</f>
        <v>3.0651599082353327</v>
      </c>
      <c r="AF721" s="4" t="s">
        <v>844</v>
      </c>
    </row>
    <row r="722" spans="1:32" ht="11.25" customHeight="1" x14ac:dyDescent="0.25">
      <c r="A722" s="4" t="s">
        <v>21</v>
      </c>
      <c r="B722" s="4" t="s">
        <v>46</v>
      </c>
      <c r="C722" s="4" t="s">
        <v>39</v>
      </c>
      <c r="D722" s="4" t="s">
        <v>47</v>
      </c>
      <c r="E722" s="4" t="s">
        <v>25</v>
      </c>
      <c r="F722" s="4" t="s">
        <v>25</v>
      </c>
      <c r="G722" s="4" t="s">
        <v>25</v>
      </c>
      <c r="H722" s="4" t="s">
        <v>38</v>
      </c>
      <c r="I722" s="5">
        <v>44317</v>
      </c>
      <c r="J722" s="6">
        <v>0</v>
      </c>
      <c r="K722" s="6">
        <v>0</v>
      </c>
      <c r="L722" s="6">
        <v>0.03</v>
      </c>
      <c r="M722" s="6">
        <v>0.03</v>
      </c>
      <c r="N722" s="6">
        <v>0.03</v>
      </c>
      <c r="O722" s="6">
        <v>0.03</v>
      </c>
      <c r="P722" s="6">
        <v>0</v>
      </c>
      <c r="Q722" s="4" t="s">
        <v>26</v>
      </c>
      <c r="R722" s="4">
        <v>0</v>
      </c>
      <c r="S722" s="4">
        <v>0</v>
      </c>
      <c r="T722" s="4">
        <v>38</v>
      </c>
      <c r="U722" s="4">
        <v>57</v>
      </c>
      <c r="V722" s="6">
        <f>IF(ISERROR(VLOOKUP($S$722,'TAR FIN'!$A$1:$O$95,15,0)),0,VLOOKUP($S$722,'TAR FIN'!$A$1:$O$95,15,0))</f>
        <v>0</v>
      </c>
      <c r="W722" s="6">
        <f>IF(ISERROR(VLOOKUP($T$722,'TAR FIN'!$A$1:$O$95,15,0)),0,VLOOKUP($T$722,'TAR FIN'!$A$1:$O$95,15,0))</f>
        <v>296.56</v>
      </c>
      <c r="X722" s="6">
        <f>IF(ISERROR(VLOOKUP($U$722,'TAR FIN'!$A$1:$O$95,15,0)),0,VLOOKUP($U$722,'TAR FIN'!$A$1:$O$95,15,0))</f>
        <v>188.63</v>
      </c>
      <c r="Y722" s="6"/>
      <c r="Z722" s="6">
        <f ca="1">('TUSD BE'!$AM$37+'TUSD BF'!$AM$37+'TUSD CVA'!$AM$37)*(1-CUSTOS!$M$38)</f>
        <v>358.54185925061802</v>
      </c>
      <c r="AA722" s="6">
        <f>('TE BE'!$AA$25+'TE BF'!$AA$25+'TE CVA'!$AA$25)*(1-CUSTOS!$M$38)</f>
        <v>248.96731175097949</v>
      </c>
      <c r="AB722" s="6">
        <f t="shared" si="28"/>
        <v>0</v>
      </c>
      <c r="AC722" s="6">
        <f>(L722*W722+M722*X722)/(1-CUSTOS!$M$38)*CUSTOS!$M$38</f>
        <v>1.9848681818181815</v>
      </c>
      <c r="AD722" s="6">
        <f t="shared" si="29"/>
        <v>0</v>
      </c>
      <c r="AE722" s="6">
        <f ca="1">(L722*Z722+N722*AA722)/(1-CUSTOS!$M$38)*CUSTOS!$M$38</f>
        <v>2.4852647904610805</v>
      </c>
      <c r="AF722" s="4" t="s">
        <v>844</v>
      </c>
    </row>
    <row r="723" spans="1:32" ht="11.25" customHeight="1" x14ac:dyDescent="0.25">
      <c r="A723" s="4" t="s">
        <v>21</v>
      </c>
      <c r="B723" s="4" t="s">
        <v>46</v>
      </c>
      <c r="C723" s="4" t="s">
        <v>39</v>
      </c>
      <c r="D723" s="4" t="s">
        <v>47</v>
      </c>
      <c r="E723" s="4" t="s">
        <v>25</v>
      </c>
      <c r="F723" s="4" t="s">
        <v>25</v>
      </c>
      <c r="G723" s="4" t="s">
        <v>25</v>
      </c>
      <c r="H723" s="4" t="s">
        <v>38</v>
      </c>
      <c r="I723" s="5">
        <v>44348</v>
      </c>
      <c r="J723" s="6">
        <v>0</v>
      </c>
      <c r="K723" s="6">
        <v>0</v>
      </c>
      <c r="L723" s="6">
        <v>6.5000000000000002E-2</v>
      </c>
      <c r="M723" s="6">
        <v>6.5000000000000002E-2</v>
      </c>
      <c r="N723" s="6">
        <v>6.5000000000000002E-2</v>
      </c>
      <c r="O723" s="6">
        <v>6.5000000000000002E-2</v>
      </c>
      <c r="P723" s="6">
        <v>0</v>
      </c>
      <c r="Q723" s="4" t="s">
        <v>26</v>
      </c>
      <c r="R723" s="4">
        <v>0</v>
      </c>
      <c r="S723" s="4">
        <v>0</v>
      </c>
      <c r="T723" s="4">
        <v>38</v>
      </c>
      <c r="U723" s="4">
        <v>57</v>
      </c>
      <c r="V723" s="6">
        <f>IF(ISERROR(VLOOKUP($S$723,'TAR FIN'!$A$1:$O$95,15,0)),0,VLOOKUP($S$723,'TAR FIN'!$A$1:$O$95,15,0))</f>
        <v>0</v>
      </c>
      <c r="W723" s="6">
        <f>IF(ISERROR(VLOOKUP($T$723,'TAR FIN'!$A$1:$O$95,15,0)),0,VLOOKUP($T$723,'TAR FIN'!$A$1:$O$95,15,0))</f>
        <v>296.56</v>
      </c>
      <c r="X723" s="6">
        <f>IF(ISERROR(VLOOKUP($U$723,'TAR FIN'!$A$1:$O$95,15,0)),0,VLOOKUP($U$723,'TAR FIN'!$A$1:$O$95,15,0))</f>
        <v>188.63</v>
      </c>
      <c r="Y723" s="6"/>
      <c r="Z723" s="6">
        <f ca="1">('TUSD BE'!$AM$37+'TUSD BF'!$AM$37+'TUSD CVA'!$AM$37)*(1-CUSTOS!$M$38)</f>
        <v>358.54185925061802</v>
      </c>
      <c r="AA723" s="6">
        <f>('TE BE'!$AA$25+'TE BF'!$AA$25+'TE CVA'!$AA$25)*(1-CUSTOS!$M$38)</f>
        <v>248.96731175097949</v>
      </c>
      <c r="AB723" s="6">
        <f t="shared" si="28"/>
        <v>0</v>
      </c>
      <c r="AC723" s="6">
        <f>(L723*W723+M723*X723)/(1-CUSTOS!$M$38)*CUSTOS!$M$38</f>
        <v>4.3005477272727282</v>
      </c>
      <c r="AD723" s="6">
        <f t="shared" si="29"/>
        <v>0</v>
      </c>
      <c r="AE723" s="6">
        <f ca="1">(L723*Z723+N723*AA723)/(1-CUSTOS!$M$38)*CUSTOS!$M$38</f>
        <v>5.3847403793323423</v>
      </c>
      <c r="AF723" s="4" t="s">
        <v>844</v>
      </c>
    </row>
    <row r="724" spans="1:32" ht="11.25" customHeight="1" x14ac:dyDescent="0.25">
      <c r="A724" s="4" t="s">
        <v>21</v>
      </c>
      <c r="B724" s="4" t="s">
        <v>46</v>
      </c>
      <c r="C724" s="4" t="s">
        <v>39</v>
      </c>
      <c r="D724" s="4" t="s">
        <v>47</v>
      </c>
      <c r="E724" s="4" t="s">
        <v>25</v>
      </c>
      <c r="F724" s="4" t="s">
        <v>25</v>
      </c>
      <c r="G724" s="4" t="s">
        <v>25</v>
      </c>
      <c r="H724" s="4" t="s">
        <v>38</v>
      </c>
      <c r="I724" s="5">
        <v>44378</v>
      </c>
      <c r="J724" s="6">
        <v>0</v>
      </c>
      <c r="K724" s="6">
        <v>0</v>
      </c>
      <c r="L724" s="6">
        <v>0.03</v>
      </c>
      <c r="M724" s="6">
        <v>0.03</v>
      </c>
      <c r="N724" s="6">
        <v>0.03</v>
      </c>
      <c r="O724" s="6">
        <v>0.03</v>
      </c>
      <c r="P724" s="6">
        <v>0</v>
      </c>
      <c r="Q724" s="4" t="s">
        <v>26</v>
      </c>
      <c r="R724" s="4">
        <v>0</v>
      </c>
      <c r="S724" s="4">
        <v>0</v>
      </c>
      <c r="T724" s="4">
        <v>38</v>
      </c>
      <c r="U724" s="4">
        <v>57</v>
      </c>
      <c r="V724" s="6">
        <f>IF(ISERROR(VLOOKUP($S$724,'TAR FIN'!$A$1:$O$95,15,0)),0,VLOOKUP($S$724,'TAR FIN'!$A$1:$O$95,15,0))</f>
        <v>0</v>
      </c>
      <c r="W724" s="6">
        <f>IF(ISERROR(VLOOKUP($T$724,'TAR FIN'!$A$1:$O$95,15,0)),0,VLOOKUP($T$724,'TAR FIN'!$A$1:$O$95,15,0))</f>
        <v>296.56</v>
      </c>
      <c r="X724" s="6">
        <f>IF(ISERROR(VLOOKUP($U$724,'TAR FIN'!$A$1:$O$95,15,0)),0,VLOOKUP($U$724,'TAR FIN'!$A$1:$O$95,15,0))</f>
        <v>188.63</v>
      </c>
      <c r="Y724" s="6"/>
      <c r="Z724" s="6">
        <f ca="1">('TUSD BE'!$AM$37+'TUSD BF'!$AM$37+'TUSD CVA'!$AM$37)*(1-CUSTOS!$M$38)</f>
        <v>358.54185925061802</v>
      </c>
      <c r="AA724" s="6">
        <f>('TE BE'!$AA$25+'TE BF'!$AA$25+'TE CVA'!$AA$25)*(1-CUSTOS!$M$38)</f>
        <v>248.96731175097949</v>
      </c>
      <c r="AB724" s="6">
        <f t="shared" si="28"/>
        <v>0</v>
      </c>
      <c r="AC724" s="6">
        <f>(L724*W724+M724*X724)/(1-CUSTOS!$M$38)*CUSTOS!$M$38</f>
        <v>1.9848681818181815</v>
      </c>
      <c r="AD724" s="6">
        <f t="shared" si="29"/>
        <v>0</v>
      </c>
      <c r="AE724" s="6">
        <f ca="1">(L724*Z724+N724*AA724)/(1-CUSTOS!$M$38)*CUSTOS!$M$38</f>
        <v>2.4852647904610805</v>
      </c>
      <c r="AF724" s="4" t="s">
        <v>844</v>
      </c>
    </row>
    <row r="725" spans="1:32" ht="11.25" customHeight="1" x14ac:dyDescent="0.25">
      <c r="A725" s="4" t="s">
        <v>21</v>
      </c>
      <c r="B725" s="4" t="s">
        <v>46</v>
      </c>
      <c r="C725" s="4" t="s">
        <v>39</v>
      </c>
      <c r="D725" s="4" t="s">
        <v>47</v>
      </c>
      <c r="E725" s="4" t="s">
        <v>25</v>
      </c>
      <c r="F725" s="4" t="s">
        <v>25</v>
      </c>
      <c r="G725" s="4" t="s">
        <v>25</v>
      </c>
      <c r="H725" s="4" t="s">
        <v>38</v>
      </c>
      <c r="I725" s="5">
        <v>44409</v>
      </c>
      <c r="J725" s="6">
        <v>0</v>
      </c>
      <c r="K725" s="6">
        <v>0</v>
      </c>
      <c r="L725" s="6">
        <v>0.03</v>
      </c>
      <c r="M725" s="6">
        <v>0.03</v>
      </c>
      <c r="N725" s="6">
        <v>0.03</v>
      </c>
      <c r="O725" s="6">
        <v>0.03</v>
      </c>
      <c r="P725" s="6">
        <v>0</v>
      </c>
      <c r="Q725" s="4" t="s">
        <v>26</v>
      </c>
      <c r="R725" s="4">
        <v>0</v>
      </c>
      <c r="S725" s="4">
        <v>0</v>
      </c>
      <c r="T725" s="4">
        <v>38</v>
      </c>
      <c r="U725" s="4">
        <v>57</v>
      </c>
      <c r="V725" s="6">
        <f>IF(ISERROR(VLOOKUP($S$725,'TAR FIN'!$A$1:$O$95,15,0)),0,VLOOKUP($S$725,'TAR FIN'!$A$1:$O$95,15,0))</f>
        <v>0</v>
      </c>
      <c r="W725" s="6">
        <f>IF(ISERROR(VLOOKUP($T$725,'TAR FIN'!$A$1:$O$95,15,0)),0,VLOOKUP($T$725,'TAR FIN'!$A$1:$O$95,15,0))</f>
        <v>296.56</v>
      </c>
      <c r="X725" s="6">
        <f>IF(ISERROR(VLOOKUP($U$725,'TAR FIN'!$A$1:$O$95,15,0)),0,VLOOKUP($U$725,'TAR FIN'!$A$1:$O$95,15,0))</f>
        <v>188.63</v>
      </c>
      <c r="Y725" s="6"/>
      <c r="Z725" s="6">
        <f ca="1">('TUSD BE'!$AM$37+'TUSD BF'!$AM$37+'TUSD CVA'!$AM$37)*(1-CUSTOS!$M$38)</f>
        <v>358.54185925061802</v>
      </c>
      <c r="AA725" s="6">
        <f>('TE BE'!$AA$25+'TE BF'!$AA$25+'TE CVA'!$AA$25)*(1-CUSTOS!$M$38)</f>
        <v>248.96731175097949</v>
      </c>
      <c r="AB725" s="6">
        <f t="shared" si="28"/>
        <v>0</v>
      </c>
      <c r="AC725" s="6">
        <f>(L725*W725+M725*X725)/(1-CUSTOS!$M$38)*CUSTOS!$M$38</f>
        <v>1.9848681818181815</v>
      </c>
      <c r="AD725" s="6">
        <f t="shared" si="29"/>
        <v>0</v>
      </c>
      <c r="AE725" s="6">
        <f ca="1">(L725*Z725+N725*AA725)/(1-CUSTOS!$M$38)*CUSTOS!$M$38</f>
        <v>2.4852647904610805</v>
      </c>
      <c r="AF725" s="4" t="s">
        <v>844</v>
      </c>
    </row>
    <row r="726" spans="1:32" ht="11.25" customHeight="1" x14ac:dyDescent="0.25">
      <c r="A726" s="4" t="s">
        <v>21</v>
      </c>
      <c r="B726" s="4" t="s">
        <v>46</v>
      </c>
      <c r="C726" s="4" t="s">
        <v>39</v>
      </c>
      <c r="D726" s="4" t="s">
        <v>47</v>
      </c>
      <c r="E726" s="4" t="s">
        <v>25</v>
      </c>
      <c r="F726" s="4" t="s">
        <v>25</v>
      </c>
      <c r="G726" s="4" t="s">
        <v>25</v>
      </c>
      <c r="H726" s="4" t="s">
        <v>38</v>
      </c>
      <c r="I726" s="5">
        <v>44440</v>
      </c>
      <c r="J726" s="6">
        <v>0</v>
      </c>
      <c r="K726" s="6">
        <v>0</v>
      </c>
      <c r="L726" s="6">
        <v>0.03</v>
      </c>
      <c r="M726" s="6">
        <v>0.03</v>
      </c>
      <c r="N726" s="6">
        <v>0.03</v>
      </c>
      <c r="O726" s="6">
        <v>0.03</v>
      </c>
      <c r="P726" s="6">
        <v>0</v>
      </c>
      <c r="Q726" s="4" t="s">
        <v>26</v>
      </c>
      <c r="R726" s="4">
        <v>0</v>
      </c>
      <c r="S726" s="4">
        <v>0</v>
      </c>
      <c r="T726" s="4">
        <v>38</v>
      </c>
      <c r="U726" s="4">
        <v>57</v>
      </c>
      <c r="V726" s="6">
        <f>IF(ISERROR(VLOOKUP($S$726,'TAR FIN'!$A$1:$O$95,15,0)),0,VLOOKUP($S$726,'TAR FIN'!$A$1:$O$95,15,0))</f>
        <v>0</v>
      </c>
      <c r="W726" s="6">
        <f>IF(ISERROR(VLOOKUP($T$726,'TAR FIN'!$A$1:$O$95,15,0)),0,VLOOKUP($T$726,'TAR FIN'!$A$1:$O$95,15,0))</f>
        <v>296.56</v>
      </c>
      <c r="X726" s="6">
        <f>IF(ISERROR(VLOOKUP($U$726,'TAR FIN'!$A$1:$O$95,15,0)),0,VLOOKUP($U$726,'TAR FIN'!$A$1:$O$95,15,0))</f>
        <v>188.63</v>
      </c>
      <c r="Y726" s="6"/>
      <c r="Z726" s="6">
        <f ca="1">('TUSD BE'!$AM$37+'TUSD BF'!$AM$37+'TUSD CVA'!$AM$37)*(1-CUSTOS!$M$38)</f>
        <v>358.54185925061802</v>
      </c>
      <c r="AA726" s="6">
        <f>('TE BE'!$AA$25+'TE BF'!$AA$25+'TE CVA'!$AA$25)*(1-CUSTOS!$M$38)</f>
        <v>248.96731175097949</v>
      </c>
      <c r="AB726" s="6">
        <f t="shared" si="28"/>
        <v>0</v>
      </c>
      <c r="AC726" s="6">
        <f>(L726*W726+M726*X726)/(1-CUSTOS!$M$38)*CUSTOS!$M$38</f>
        <v>1.9848681818181815</v>
      </c>
      <c r="AD726" s="6">
        <f t="shared" si="29"/>
        <v>0</v>
      </c>
      <c r="AE726" s="6">
        <f ca="1">(L726*Z726+N726*AA726)/(1-CUSTOS!$M$38)*CUSTOS!$M$38</f>
        <v>2.4852647904610805</v>
      </c>
      <c r="AF726" s="4" t="s">
        <v>844</v>
      </c>
    </row>
    <row r="727" spans="1:32" ht="11.25" customHeight="1" x14ac:dyDescent="0.25">
      <c r="A727" s="4" t="s">
        <v>59</v>
      </c>
      <c r="B727" s="4" t="s">
        <v>46</v>
      </c>
      <c r="C727" s="4" t="s">
        <v>39</v>
      </c>
      <c r="D727" s="4" t="s">
        <v>47</v>
      </c>
      <c r="E727" s="4" t="s">
        <v>25</v>
      </c>
      <c r="F727" s="4" t="s">
        <v>25</v>
      </c>
      <c r="G727" s="4" t="s">
        <v>25</v>
      </c>
      <c r="H727" s="4" t="s">
        <v>38</v>
      </c>
      <c r="I727" s="5">
        <v>44470</v>
      </c>
      <c r="J727" s="6">
        <v>0</v>
      </c>
      <c r="K727" s="6">
        <v>0</v>
      </c>
      <c r="L727" s="6">
        <v>0.03</v>
      </c>
      <c r="M727" s="6">
        <v>0.03</v>
      </c>
      <c r="N727" s="6">
        <v>0.03</v>
      </c>
      <c r="O727" s="6">
        <v>0.03</v>
      </c>
      <c r="P727" s="6">
        <v>0</v>
      </c>
      <c r="Q727" s="4" t="s">
        <v>26</v>
      </c>
      <c r="R727" s="4">
        <v>0</v>
      </c>
      <c r="S727" s="4">
        <v>0</v>
      </c>
      <c r="T727" s="4">
        <v>38</v>
      </c>
      <c r="U727" s="4">
        <v>57</v>
      </c>
      <c r="V727" s="6">
        <f>IF(ISERROR(VLOOKUP($S$727,'TAR FIN'!$A$1:$O$95,15,0)),0,VLOOKUP($S$727,'TAR FIN'!$A$1:$O$95,15,0))</f>
        <v>0</v>
      </c>
      <c r="W727" s="6">
        <f>IF(ISERROR(VLOOKUP($T$727,'TAR FIN'!$A$1:$O$95,15,0)),0,VLOOKUP($T$727,'TAR FIN'!$A$1:$O$95,15,0))</f>
        <v>296.56</v>
      </c>
      <c r="X727" s="6">
        <f>IF(ISERROR(VLOOKUP($U$727,'TAR FIN'!$A$1:$O$95,15,0)),0,VLOOKUP($U$727,'TAR FIN'!$A$1:$O$95,15,0))</f>
        <v>188.63</v>
      </c>
      <c r="Y727" s="6"/>
      <c r="Z727" s="6">
        <f ca="1">('TUSD BE'!$AM$37+'TUSD BF'!$AM$37+'TUSD CVA'!$AM$37)*(1-CUSTOS!$M$38)</f>
        <v>358.54185925061802</v>
      </c>
      <c r="AA727" s="6">
        <f>('TE BE'!$AA$25+'TE BF'!$AA$25+'TE CVA'!$AA$25)*(1-CUSTOS!$M$38)</f>
        <v>248.96731175097949</v>
      </c>
      <c r="AB727" s="6">
        <f t="shared" si="28"/>
        <v>0</v>
      </c>
      <c r="AC727" s="6">
        <f>(L727*W727+M727*X727)/(1-CUSTOS!$M$38)*CUSTOS!$M$38</f>
        <v>1.9848681818181815</v>
      </c>
      <c r="AD727" s="6">
        <f t="shared" si="29"/>
        <v>0</v>
      </c>
      <c r="AE727" s="6">
        <f ca="1">(L727*Z727+N727*AA727)/(1-CUSTOS!$M$38)*CUSTOS!$M$38</f>
        <v>2.4852647904610805</v>
      </c>
      <c r="AF727" s="4" t="s">
        <v>844</v>
      </c>
    </row>
    <row r="728" spans="1:32" ht="11.25" customHeight="1" x14ac:dyDescent="0.25">
      <c r="A728" s="4" t="s">
        <v>21</v>
      </c>
      <c r="B728" s="4" t="s">
        <v>46</v>
      </c>
      <c r="C728" s="4" t="s">
        <v>39</v>
      </c>
      <c r="D728" s="4" t="s">
        <v>47</v>
      </c>
      <c r="E728" s="4" t="s">
        <v>25</v>
      </c>
      <c r="F728" s="4" t="s">
        <v>25</v>
      </c>
      <c r="G728" s="4" t="s">
        <v>25</v>
      </c>
      <c r="H728" s="4" t="s">
        <v>40</v>
      </c>
      <c r="I728" s="5">
        <v>44166</v>
      </c>
      <c r="J728" s="6">
        <v>0</v>
      </c>
      <c r="K728" s="6">
        <v>0</v>
      </c>
      <c r="L728" s="6">
        <v>3.0000000000000001E-3</v>
      </c>
      <c r="M728" s="6">
        <v>3.0000000000000001E-3</v>
      </c>
      <c r="N728" s="6">
        <v>3.0000000000000001E-3</v>
      </c>
      <c r="O728" s="6">
        <v>3.0000000000000001E-3</v>
      </c>
      <c r="P728" s="6">
        <v>0</v>
      </c>
      <c r="Q728" s="4" t="s">
        <v>26</v>
      </c>
      <c r="R728" s="4">
        <v>0</v>
      </c>
      <c r="S728" s="4">
        <v>0</v>
      </c>
      <c r="T728" s="4">
        <v>37</v>
      </c>
      <c r="U728" s="4">
        <v>56</v>
      </c>
      <c r="V728" s="6">
        <f>IF(ISERROR(VLOOKUP($S$728,'TAR FIN'!$A$1:$O$95,15,0)),0,VLOOKUP($S$728,'TAR FIN'!$A$1:$O$95,15,0))</f>
        <v>0</v>
      </c>
      <c r="W728" s="6">
        <f>IF(ISERROR(VLOOKUP($T$728,'TAR FIN'!$A$1:$O$95,15,0)),0,VLOOKUP($T$728,'TAR FIN'!$A$1:$O$95,15,0))</f>
        <v>554.67999999999995</v>
      </c>
      <c r="X728" s="6">
        <f>IF(ISERROR(VLOOKUP($U$728,'TAR FIN'!$A$1:$O$95,15,0)),0,VLOOKUP($U$728,'TAR FIN'!$A$1:$O$95,15,0))</f>
        <v>188.63</v>
      </c>
      <c r="Y728" s="6"/>
      <c r="Z728" s="6">
        <f ca="1">('TUSD BE'!$AM$36+'TUSD BF'!$AM$36+'TUSD CVA'!$AM$36)*(1-CUSTOS!$M$38)</f>
        <v>668.57077643374259</v>
      </c>
      <c r="AA728" s="6">
        <f>('TE BE'!$AA$24+'TE BF'!$AA$24+'TE CVA'!$AA$24)*(1-CUSTOS!$M$38)</f>
        <v>248.96731175097949</v>
      </c>
      <c r="AB728" s="6">
        <f t="shared" si="28"/>
        <v>0</v>
      </c>
      <c r="AC728" s="6">
        <f>(L728*W728+M728*X728)/(1-CUSTOS!$M$38)*CUSTOS!$M$38</f>
        <v>0.30408136363636362</v>
      </c>
      <c r="AD728" s="6">
        <f t="shared" si="29"/>
        <v>0</v>
      </c>
      <c r="AE728" s="6">
        <f ca="1">(L728*Z728+N728*AA728)/(1-CUSTOS!$M$38)*CUSTOS!$M$38</f>
        <v>0.37535649062102266</v>
      </c>
      <c r="AF728" s="4" t="s">
        <v>844</v>
      </c>
    </row>
    <row r="729" spans="1:32" ht="11.25" customHeight="1" x14ac:dyDescent="0.25">
      <c r="A729" s="4" t="s">
        <v>21</v>
      </c>
      <c r="B729" s="4" t="s">
        <v>46</v>
      </c>
      <c r="C729" s="4" t="s">
        <v>39</v>
      </c>
      <c r="D729" s="4" t="s">
        <v>47</v>
      </c>
      <c r="E729" s="4" t="s">
        <v>25</v>
      </c>
      <c r="F729" s="4" t="s">
        <v>25</v>
      </c>
      <c r="G729" s="4" t="s">
        <v>25</v>
      </c>
      <c r="H729" s="4" t="s">
        <v>40</v>
      </c>
      <c r="I729" s="5">
        <v>44197</v>
      </c>
      <c r="J729" s="6">
        <v>0</v>
      </c>
      <c r="K729" s="6">
        <v>0</v>
      </c>
      <c r="L729" s="6">
        <v>1E-3</v>
      </c>
      <c r="M729" s="6">
        <v>1E-3</v>
      </c>
      <c r="N729" s="6">
        <v>1E-3</v>
      </c>
      <c r="O729" s="6">
        <v>1E-3</v>
      </c>
      <c r="P729" s="6">
        <v>0</v>
      </c>
      <c r="Q729" s="4" t="s">
        <v>26</v>
      </c>
      <c r="R729" s="4">
        <v>0</v>
      </c>
      <c r="S729" s="4">
        <v>0</v>
      </c>
      <c r="T729" s="4">
        <v>37</v>
      </c>
      <c r="U729" s="4">
        <v>56</v>
      </c>
      <c r="V729" s="6">
        <f>IF(ISERROR(VLOOKUP($S$729,'TAR FIN'!$A$1:$O$95,15,0)),0,VLOOKUP($S$729,'TAR FIN'!$A$1:$O$95,15,0))</f>
        <v>0</v>
      </c>
      <c r="W729" s="6">
        <f>IF(ISERROR(VLOOKUP($T$729,'TAR FIN'!$A$1:$O$95,15,0)),0,VLOOKUP($T$729,'TAR FIN'!$A$1:$O$95,15,0))</f>
        <v>554.67999999999995</v>
      </c>
      <c r="X729" s="6">
        <f>IF(ISERROR(VLOOKUP($U$729,'TAR FIN'!$A$1:$O$95,15,0)),0,VLOOKUP($U$729,'TAR FIN'!$A$1:$O$95,15,0))</f>
        <v>188.63</v>
      </c>
      <c r="Y729" s="6"/>
      <c r="Z729" s="6">
        <f ca="1">('TUSD BE'!$AM$36+'TUSD BF'!$AM$36+'TUSD CVA'!$AM$36)*(1-CUSTOS!$M$38)</f>
        <v>668.57077643374259</v>
      </c>
      <c r="AA729" s="6">
        <f>('TE BE'!$AA$24+'TE BF'!$AA$24+'TE CVA'!$AA$24)*(1-CUSTOS!$M$38)</f>
        <v>248.96731175097949</v>
      </c>
      <c r="AB729" s="6">
        <f t="shared" si="28"/>
        <v>0</v>
      </c>
      <c r="AC729" s="6">
        <f>(L729*W729+M729*X729)/(1-CUSTOS!$M$38)*CUSTOS!$M$38</f>
        <v>0.10136045454545453</v>
      </c>
      <c r="AD729" s="6">
        <f t="shared" si="29"/>
        <v>0</v>
      </c>
      <c r="AE729" s="6">
        <f ca="1">(L729*Z729+N729*AA729)/(1-CUSTOS!$M$38)*CUSTOS!$M$38</f>
        <v>0.12511883020700756</v>
      </c>
      <c r="AF729" s="4" t="s">
        <v>844</v>
      </c>
    </row>
    <row r="730" spans="1:32" ht="11.25" customHeight="1" x14ac:dyDescent="0.25">
      <c r="A730" s="4" t="s">
        <v>21</v>
      </c>
      <c r="B730" s="4" t="s">
        <v>46</v>
      </c>
      <c r="C730" s="4" t="s">
        <v>39</v>
      </c>
      <c r="D730" s="4" t="s">
        <v>47</v>
      </c>
      <c r="E730" s="4" t="s">
        <v>25</v>
      </c>
      <c r="F730" s="4" t="s">
        <v>25</v>
      </c>
      <c r="G730" s="4" t="s">
        <v>25</v>
      </c>
      <c r="H730" s="4" t="s">
        <v>40</v>
      </c>
      <c r="I730" s="5">
        <v>44287</v>
      </c>
      <c r="J730" s="6">
        <v>0</v>
      </c>
      <c r="K730" s="6">
        <v>0</v>
      </c>
      <c r="L730" s="6">
        <v>1E-3</v>
      </c>
      <c r="M730" s="6">
        <v>1E-3</v>
      </c>
      <c r="N730" s="6">
        <v>1E-3</v>
      </c>
      <c r="O730" s="6">
        <v>1E-3</v>
      </c>
      <c r="P730" s="6">
        <v>0</v>
      </c>
      <c r="Q730" s="4" t="s">
        <v>26</v>
      </c>
      <c r="R730" s="4">
        <v>0</v>
      </c>
      <c r="S730" s="4">
        <v>0</v>
      </c>
      <c r="T730" s="4">
        <v>37</v>
      </c>
      <c r="U730" s="4">
        <v>56</v>
      </c>
      <c r="V730" s="6">
        <f>IF(ISERROR(VLOOKUP($S$730,'TAR FIN'!$A$1:$O$95,15,0)),0,VLOOKUP($S$730,'TAR FIN'!$A$1:$O$95,15,0))</f>
        <v>0</v>
      </c>
      <c r="W730" s="6">
        <f>IF(ISERROR(VLOOKUP($T$730,'TAR FIN'!$A$1:$O$95,15,0)),0,VLOOKUP($T$730,'TAR FIN'!$A$1:$O$95,15,0))</f>
        <v>554.67999999999995</v>
      </c>
      <c r="X730" s="6">
        <f>IF(ISERROR(VLOOKUP($U$730,'TAR FIN'!$A$1:$O$95,15,0)),0,VLOOKUP($U$730,'TAR FIN'!$A$1:$O$95,15,0))</f>
        <v>188.63</v>
      </c>
      <c r="Y730" s="6"/>
      <c r="Z730" s="6">
        <f ca="1">('TUSD BE'!$AM$36+'TUSD BF'!$AM$36+'TUSD CVA'!$AM$36)*(1-CUSTOS!$M$38)</f>
        <v>668.57077643374259</v>
      </c>
      <c r="AA730" s="6">
        <f>('TE BE'!$AA$24+'TE BF'!$AA$24+'TE CVA'!$AA$24)*(1-CUSTOS!$M$38)</f>
        <v>248.96731175097949</v>
      </c>
      <c r="AB730" s="6">
        <f t="shared" si="28"/>
        <v>0</v>
      </c>
      <c r="AC730" s="6">
        <f>(L730*W730+M730*X730)/(1-CUSTOS!$M$38)*CUSTOS!$M$38</f>
        <v>0.10136045454545453</v>
      </c>
      <c r="AD730" s="6">
        <f t="shared" si="29"/>
        <v>0</v>
      </c>
      <c r="AE730" s="6">
        <f ca="1">(L730*Z730+N730*AA730)/(1-CUSTOS!$M$38)*CUSTOS!$M$38</f>
        <v>0.12511883020700756</v>
      </c>
      <c r="AF730" s="4" t="s">
        <v>844</v>
      </c>
    </row>
    <row r="731" spans="1:32" ht="11.25" customHeight="1" x14ac:dyDescent="0.25">
      <c r="A731" s="4" t="s">
        <v>21</v>
      </c>
      <c r="B731" s="4" t="s">
        <v>46</v>
      </c>
      <c r="C731" s="4" t="s">
        <v>23</v>
      </c>
      <c r="D731" s="4" t="s">
        <v>47</v>
      </c>
      <c r="E731" s="4" t="s">
        <v>58</v>
      </c>
      <c r="F731" s="4" t="s">
        <v>56</v>
      </c>
      <c r="G731" s="4" t="s">
        <v>25</v>
      </c>
      <c r="H731" s="4" t="s">
        <v>25</v>
      </c>
      <c r="I731" s="5">
        <v>44317</v>
      </c>
      <c r="J731" s="6">
        <v>0</v>
      </c>
      <c r="K731" s="6">
        <v>0</v>
      </c>
      <c r="L731" s="6">
        <v>11.287000000000001</v>
      </c>
      <c r="M731" s="6">
        <v>11.287000000000001</v>
      </c>
      <c r="N731" s="6">
        <v>11.287000000000001</v>
      </c>
      <c r="O731" s="6">
        <v>11.287000000000001</v>
      </c>
      <c r="P731" s="6">
        <v>0</v>
      </c>
      <c r="Q731" s="4" t="s">
        <v>26</v>
      </c>
      <c r="R731" s="4">
        <v>0</v>
      </c>
      <c r="S731" s="4">
        <v>0</v>
      </c>
      <c r="T731" s="4">
        <v>39</v>
      </c>
      <c r="U731" s="4">
        <v>85</v>
      </c>
      <c r="V731" s="6">
        <f>IF(ISERROR(VLOOKUP($S$731,'TAR FIN'!$A$1:$O$95,15,0)),0,VLOOKUP($S$731,'TAR FIN'!$A$1:$O$95,15,0))</f>
        <v>0</v>
      </c>
      <c r="W731" s="6">
        <f>IF(ISERROR(VLOOKUP($T$731,'TAR FIN'!$A$1:$O$95,15,0)),0,VLOOKUP($T$731,'TAR FIN'!$A$1:$O$95,15,0))</f>
        <v>369.16</v>
      </c>
      <c r="X731" s="6">
        <f>IF(ISERROR(VLOOKUP($U$731,'TAR FIN'!$A$1:$O$95,15,0)),0,VLOOKUP($U$731,'TAR FIN'!$A$1:$O$95,15,0))</f>
        <v>199.51</v>
      </c>
      <c r="Y731" s="6"/>
      <c r="Z731" s="6">
        <f ca="1">('TUSD BE'!$AM$38+'TUSD BF'!$AM$38+'TUSD CVA'!$AM$38)*(1-CUSTOS!$M$38)</f>
        <v>445.73746261020432</v>
      </c>
      <c r="AA731" s="6">
        <f>('TE BE'!$AA$26+'TE BF'!$AA$26+'TE CVA'!$AA$26)*(1-CUSTOS!$M$38)</f>
        <v>261.5374640864809</v>
      </c>
      <c r="AB731" s="6">
        <f t="shared" si="28"/>
        <v>0</v>
      </c>
      <c r="AC731" s="6">
        <f>(L731-M731)*(W731+X731)+($W$482+$X$482-$W$731-$X$731)*(L731)</f>
        <v>1408.8433400000001</v>
      </c>
      <c r="AD731" s="6">
        <f t="shared" si="29"/>
        <v>0</v>
      </c>
      <c r="AE731" s="6">
        <f ca="1">(L731-M731)*(Z731+AA731)+($Z$482+$AA$482-$Z$731-$AA$731)*(L731)</f>
        <v>1088.5925587671122</v>
      </c>
      <c r="AF731" s="4" t="s">
        <v>844</v>
      </c>
    </row>
    <row r="732" spans="1:32" ht="11.25" customHeight="1" x14ac:dyDescent="0.25">
      <c r="A732" s="4" t="s">
        <v>27</v>
      </c>
      <c r="B732" s="4" t="s">
        <v>46</v>
      </c>
      <c r="C732" s="4" t="s">
        <v>23</v>
      </c>
      <c r="D732" s="4" t="s">
        <v>47</v>
      </c>
      <c r="E732" s="4" t="s">
        <v>58</v>
      </c>
      <c r="F732" s="4" t="s">
        <v>56</v>
      </c>
      <c r="G732" s="4" t="s">
        <v>25</v>
      </c>
      <c r="H732" s="4" t="s">
        <v>25</v>
      </c>
      <c r="I732" s="5">
        <v>44317</v>
      </c>
      <c r="J732" s="6">
        <v>0</v>
      </c>
      <c r="K732" s="6">
        <v>0</v>
      </c>
      <c r="L732" s="6">
        <v>-4.157</v>
      </c>
      <c r="M732" s="6">
        <v>-4.157</v>
      </c>
      <c r="N732" s="6">
        <v>-4.157</v>
      </c>
      <c r="O732" s="6">
        <v>-4.157</v>
      </c>
      <c r="P732" s="6">
        <v>0</v>
      </c>
      <c r="Q732" s="4" t="s">
        <v>26</v>
      </c>
      <c r="R732" s="4">
        <v>0</v>
      </c>
      <c r="S732" s="4">
        <v>0</v>
      </c>
      <c r="T732" s="4">
        <v>39</v>
      </c>
      <c r="U732" s="4">
        <v>85</v>
      </c>
      <c r="V732" s="6">
        <f>IF(ISERROR(VLOOKUP($S$732,'TAR FIN'!$A$1:$O$95,15,0)),0,VLOOKUP($S$732,'TAR FIN'!$A$1:$O$95,15,0))</f>
        <v>0</v>
      </c>
      <c r="W732" s="6">
        <f>IF(ISERROR(VLOOKUP($T$732,'TAR FIN'!$A$1:$O$95,15,0)),0,VLOOKUP($T$732,'TAR FIN'!$A$1:$O$95,15,0))</f>
        <v>369.16</v>
      </c>
      <c r="X732" s="6">
        <f>IF(ISERROR(VLOOKUP($U$732,'TAR FIN'!$A$1:$O$95,15,0)),0,VLOOKUP($U$732,'TAR FIN'!$A$1:$O$95,15,0))</f>
        <v>199.51</v>
      </c>
      <c r="Y732" s="6"/>
      <c r="Z732" s="6">
        <f ca="1">('TUSD BE'!$AM$38+'TUSD BF'!$AM$38+'TUSD CVA'!$AM$38)*(1-CUSTOS!$M$38)</f>
        <v>445.73746261020432</v>
      </c>
      <c r="AA732" s="6">
        <f>('TE BE'!$AA$26+'TE BF'!$AA$26+'TE CVA'!$AA$26)*(1-CUSTOS!$M$38)</f>
        <v>261.5374640864809</v>
      </c>
      <c r="AB732" s="6">
        <f t="shared" si="28"/>
        <v>0</v>
      </c>
      <c r="AC732" s="6">
        <f>(L732-M732)*(W732+X732)+($W$482+$X$482-$W$732-$X$732)*(L732)</f>
        <v>-518.87673999999993</v>
      </c>
      <c r="AD732" s="6">
        <f t="shared" si="29"/>
        <v>0</v>
      </c>
      <c r="AE732" s="6">
        <f ca="1">(L732-M732)*(Z732+AA732)+($Z$482+$AA$482-$Z$732-$AA$732)*(L732)</f>
        <v>-400.92843685610751</v>
      </c>
      <c r="AF732" s="4" t="s">
        <v>844</v>
      </c>
    </row>
    <row r="733" spans="1:32" ht="11.25" customHeight="1" x14ac:dyDescent="0.25">
      <c r="A733" s="4" t="s">
        <v>28</v>
      </c>
      <c r="B733" s="4" t="s">
        <v>46</v>
      </c>
      <c r="C733" s="4" t="s">
        <v>23</v>
      </c>
      <c r="D733" s="4" t="s">
        <v>47</v>
      </c>
      <c r="E733" s="4" t="s">
        <v>58</v>
      </c>
      <c r="F733" s="4" t="s">
        <v>56</v>
      </c>
      <c r="G733" s="4" t="s">
        <v>25</v>
      </c>
      <c r="H733" s="4" t="s">
        <v>25</v>
      </c>
      <c r="I733" s="5">
        <v>44317</v>
      </c>
      <c r="J733" s="6">
        <v>0</v>
      </c>
      <c r="K733" s="6">
        <v>0</v>
      </c>
      <c r="L733" s="6">
        <v>18.858000000000001</v>
      </c>
      <c r="M733" s="6">
        <v>18.858000000000001</v>
      </c>
      <c r="N733" s="6">
        <v>18.858000000000001</v>
      </c>
      <c r="O733" s="6">
        <v>18.858000000000001</v>
      </c>
      <c r="P733" s="6">
        <v>0</v>
      </c>
      <c r="Q733" s="4" t="s">
        <v>26</v>
      </c>
      <c r="R733" s="4">
        <v>0</v>
      </c>
      <c r="S733" s="4">
        <v>0</v>
      </c>
      <c r="T733" s="4">
        <v>39</v>
      </c>
      <c r="U733" s="4">
        <v>85</v>
      </c>
      <c r="V733" s="6">
        <f>IF(ISERROR(VLOOKUP($S$733,'TAR FIN'!$A$1:$O$95,15,0)),0,VLOOKUP($S$733,'TAR FIN'!$A$1:$O$95,15,0))</f>
        <v>0</v>
      </c>
      <c r="W733" s="6">
        <f>IF(ISERROR(VLOOKUP($T$733,'TAR FIN'!$A$1:$O$95,15,0)),0,VLOOKUP($T$733,'TAR FIN'!$A$1:$O$95,15,0))</f>
        <v>369.16</v>
      </c>
      <c r="X733" s="6">
        <f>IF(ISERROR(VLOOKUP($U$733,'TAR FIN'!$A$1:$O$95,15,0)),0,VLOOKUP($U$733,'TAR FIN'!$A$1:$O$95,15,0))</f>
        <v>199.51</v>
      </c>
      <c r="Y733" s="6"/>
      <c r="Z733" s="6">
        <f ca="1">('TUSD BE'!$AM$38+'TUSD BF'!$AM$38+'TUSD CVA'!$AM$38)*(1-CUSTOS!$M$38)</f>
        <v>445.73746261020432</v>
      </c>
      <c r="AA733" s="6">
        <f>('TE BE'!$AA$26+'TE BF'!$AA$26+'TE CVA'!$AA$26)*(1-CUSTOS!$M$38)</f>
        <v>261.5374640864809</v>
      </c>
      <c r="AB733" s="6">
        <f t="shared" si="28"/>
        <v>0</v>
      </c>
      <c r="AC733" s="6">
        <f>(L733-M733)*(W733+X733)+($W$482+$X$482-$W$733-$X$733)*(L733)</f>
        <v>2353.85556</v>
      </c>
      <c r="AD733" s="6">
        <f t="shared" si="29"/>
        <v>0</v>
      </c>
      <c r="AE733" s="6">
        <f ca="1">(L733-M733)*(Z733+AA733)+($Z$482+$AA$482-$Z$733-$AA$733)*(L733)</f>
        <v>1818.7896228608313</v>
      </c>
      <c r="AF733" s="4" t="s">
        <v>844</v>
      </c>
    </row>
    <row r="734" spans="1:32" ht="11.25" customHeight="1" x14ac:dyDescent="0.25">
      <c r="A734" s="4" t="s">
        <v>29</v>
      </c>
      <c r="B734" s="4" t="s">
        <v>46</v>
      </c>
      <c r="C734" s="4" t="s">
        <v>23</v>
      </c>
      <c r="D734" s="4" t="s">
        <v>47</v>
      </c>
      <c r="E734" s="4" t="s">
        <v>58</v>
      </c>
      <c r="F734" s="4" t="s">
        <v>56</v>
      </c>
      <c r="G734" s="4" t="s">
        <v>25</v>
      </c>
      <c r="H734" s="4" t="s">
        <v>25</v>
      </c>
      <c r="I734" s="5">
        <v>44317</v>
      </c>
      <c r="J734" s="6">
        <v>0</v>
      </c>
      <c r="K734" s="6">
        <v>0</v>
      </c>
      <c r="L734" s="6">
        <v>-0.443</v>
      </c>
      <c r="M734" s="6">
        <v>-0.443</v>
      </c>
      <c r="N734" s="6">
        <v>-0.443</v>
      </c>
      <c r="O734" s="6">
        <v>-0.443</v>
      </c>
      <c r="P734" s="6">
        <v>0</v>
      </c>
      <c r="Q734" s="4" t="s">
        <v>26</v>
      </c>
      <c r="R734" s="4">
        <v>0</v>
      </c>
      <c r="S734" s="4">
        <v>0</v>
      </c>
      <c r="T734" s="4">
        <v>39</v>
      </c>
      <c r="U734" s="4">
        <v>85</v>
      </c>
      <c r="V734" s="6">
        <f>IF(ISERROR(VLOOKUP($S$734,'TAR FIN'!$A$1:$O$95,15,0)),0,VLOOKUP($S$734,'TAR FIN'!$A$1:$O$95,15,0))</f>
        <v>0</v>
      </c>
      <c r="W734" s="6">
        <f>IF(ISERROR(VLOOKUP($T$734,'TAR FIN'!$A$1:$O$95,15,0)),0,VLOOKUP($T$734,'TAR FIN'!$A$1:$O$95,15,0))</f>
        <v>369.16</v>
      </c>
      <c r="X734" s="6">
        <f>IF(ISERROR(VLOOKUP($U$734,'TAR FIN'!$A$1:$O$95,15,0)),0,VLOOKUP($U$734,'TAR FIN'!$A$1:$O$95,15,0))</f>
        <v>199.51</v>
      </c>
      <c r="Y734" s="6"/>
      <c r="Z734" s="6">
        <f ca="1">('TUSD BE'!$AM$38+'TUSD BF'!$AM$38+'TUSD CVA'!$AM$38)*(1-CUSTOS!$M$38)</f>
        <v>445.73746261020432</v>
      </c>
      <c r="AA734" s="6">
        <f>('TE BE'!$AA$26+'TE BF'!$AA$26+'TE CVA'!$AA$26)*(1-CUSTOS!$M$38)</f>
        <v>261.5374640864809</v>
      </c>
      <c r="AB734" s="6">
        <f t="shared" si="28"/>
        <v>0</v>
      </c>
      <c r="AC734" s="6">
        <f>(L734-M734)*(W734+X734)+($W$482+$X$482-$W$734-$X$734)*(L734)</f>
        <v>-55.295259999999999</v>
      </c>
      <c r="AD734" s="6">
        <f t="shared" si="29"/>
        <v>0</v>
      </c>
      <c r="AE734" s="6">
        <f ca="1">(L734-M734)*(Z734+AA734)+($Z$482+$AA$482-$Z$734-$AA$734)*(L734)</f>
        <v>-42.725835344540684</v>
      </c>
      <c r="AF734" s="4" t="s">
        <v>844</v>
      </c>
    </row>
    <row r="735" spans="1:32" ht="11.25" customHeight="1" x14ac:dyDescent="0.25">
      <c r="A735" s="4" t="s">
        <v>21</v>
      </c>
      <c r="B735" s="4" t="s">
        <v>46</v>
      </c>
      <c r="C735" s="4" t="s">
        <v>23</v>
      </c>
      <c r="D735" s="4" t="s">
        <v>47</v>
      </c>
      <c r="E735" s="4" t="s">
        <v>58</v>
      </c>
      <c r="F735" s="4" t="s">
        <v>56</v>
      </c>
      <c r="G735" s="4" t="s">
        <v>25</v>
      </c>
      <c r="H735" s="4" t="s">
        <v>25</v>
      </c>
      <c r="I735" s="5">
        <v>44348</v>
      </c>
      <c r="J735" s="6">
        <v>0</v>
      </c>
      <c r="K735" s="6">
        <v>0</v>
      </c>
      <c r="L735" s="6">
        <v>9.6080000000000005</v>
      </c>
      <c r="M735" s="6">
        <v>9.6080000000000005</v>
      </c>
      <c r="N735" s="6">
        <v>9.6080000000000005</v>
      </c>
      <c r="O735" s="6">
        <v>9.6080000000000005</v>
      </c>
      <c r="P735" s="6">
        <v>0</v>
      </c>
      <c r="Q735" s="4" t="s">
        <v>26</v>
      </c>
      <c r="R735" s="4">
        <v>0</v>
      </c>
      <c r="S735" s="4">
        <v>0</v>
      </c>
      <c r="T735" s="4">
        <v>39</v>
      </c>
      <c r="U735" s="4">
        <v>85</v>
      </c>
      <c r="V735" s="6">
        <f>IF(ISERROR(VLOOKUP($S$735,'TAR FIN'!$A$1:$O$95,15,0)),0,VLOOKUP($S$735,'TAR FIN'!$A$1:$O$95,15,0))</f>
        <v>0</v>
      </c>
      <c r="W735" s="6">
        <f>IF(ISERROR(VLOOKUP($T$735,'TAR FIN'!$A$1:$O$95,15,0)),0,VLOOKUP($T$735,'TAR FIN'!$A$1:$O$95,15,0))</f>
        <v>369.16</v>
      </c>
      <c r="X735" s="6">
        <f>IF(ISERROR(VLOOKUP($U$735,'TAR FIN'!$A$1:$O$95,15,0)),0,VLOOKUP($U$735,'TAR FIN'!$A$1:$O$95,15,0))</f>
        <v>199.51</v>
      </c>
      <c r="Y735" s="6"/>
      <c r="Z735" s="6">
        <f ca="1">('TUSD BE'!$AM$38+'TUSD BF'!$AM$38+'TUSD CVA'!$AM$38)*(1-CUSTOS!$M$38)</f>
        <v>445.73746261020432</v>
      </c>
      <c r="AA735" s="6">
        <f>('TE BE'!$AA$26+'TE BF'!$AA$26+'TE CVA'!$AA$26)*(1-CUSTOS!$M$38)</f>
        <v>261.5374640864809</v>
      </c>
      <c r="AB735" s="6">
        <f t="shared" si="28"/>
        <v>0</v>
      </c>
      <c r="AC735" s="6">
        <f>(L735-M735)*(W735+X735)+($W$482+$X$482-$W$735-$X$735)*(L735)</f>
        <v>1199.2705599999999</v>
      </c>
      <c r="AD735" s="6">
        <f t="shared" si="29"/>
        <v>0</v>
      </c>
      <c r="AE735" s="6">
        <f ca="1">(L735-M735)*(Z735+AA735)+($Z$482+$AA$482-$Z$735-$AA$735)*(L735)</f>
        <v>926.65874941387574</v>
      </c>
      <c r="AF735" s="4" t="s">
        <v>844</v>
      </c>
    </row>
    <row r="736" spans="1:32" ht="11.25" customHeight="1" x14ac:dyDescent="0.25">
      <c r="A736" s="4" t="s">
        <v>27</v>
      </c>
      <c r="B736" s="4" t="s">
        <v>46</v>
      </c>
      <c r="C736" s="4" t="s">
        <v>23</v>
      </c>
      <c r="D736" s="4" t="s">
        <v>47</v>
      </c>
      <c r="E736" s="4" t="s">
        <v>58</v>
      </c>
      <c r="F736" s="4" t="s">
        <v>56</v>
      </c>
      <c r="G736" s="4" t="s">
        <v>25</v>
      </c>
      <c r="H736" s="4" t="s">
        <v>25</v>
      </c>
      <c r="I736" s="5">
        <v>44348</v>
      </c>
      <c r="J736" s="6">
        <v>0</v>
      </c>
      <c r="K736" s="6">
        <v>0</v>
      </c>
      <c r="L736" s="6">
        <v>-1.0509999999999999</v>
      </c>
      <c r="M736" s="6">
        <v>-1.0509999999999999</v>
      </c>
      <c r="N736" s="6">
        <v>-1.0509999999999999</v>
      </c>
      <c r="O736" s="6">
        <v>-1.0509999999999999</v>
      </c>
      <c r="P736" s="6">
        <v>0</v>
      </c>
      <c r="Q736" s="4" t="s">
        <v>26</v>
      </c>
      <c r="R736" s="4">
        <v>0</v>
      </c>
      <c r="S736" s="4">
        <v>0</v>
      </c>
      <c r="T736" s="4">
        <v>39</v>
      </c>
      <c r="U736" s="4">
        <v>85</v>
      </c>
      <c r="V736" s="6">
        <f>IF(ISERROR(VLOOKUP($S$736,'TAR FIN'!$A$1:$O$95,15,0)),0,VLOOKUP($S$736,'TAR FIN'!$A$1:$O$95,15,0))</f>
        <v>0</v>
      </c>
      <c r="W736" s="6">
        <f>IF(ISERROR(VLOOKUP($T$736,'TAR FIN'!$A$1:$O$95,15,0)),0,VLOOKUP($T$736,'TAR FIN'!$A$1:$O$95,15,0))</f>
        <v>369.16</v>
      </c>
      <c r="X736" s="6">
        <f>IF(ISERROR(VLOOKUP($U$736,'TAR FIN'!$A$1:$O$95,15,0)),0,VLOOKUP($U$736,'TAR FIN'!$A$1:$O$95,15,0))</f>
        <v>199.51</v>
      </c>
      <c r="Y736" s="6"/>
      <c r="Z736" s="6">
        <f ca="1">('TUSD BE'!$AM$38+'TUSD BF'!$AM$38+'TUSD CVA'!$AM$38)*(1-CUSTOS!$M$38)</f>
        <v>445.73746261020432</v>
      </c>
      <c r="AA736" s="6">
        <f>('TE BE'!$AA$26+'TE BF'!$AA$26+'TE CVA'!$AA$26)*(1-CUSTOS!$M$38)</f>
        <v>261.5374640864809</v>
      </c>
      <c r="AB736" s="6">
        <f t="shared" si="28"/>
        <v>0</v>
      </c>
      <c r="AC736" s="6">
        <f>(L736-M736)*(W736+X736)+($W$482+$X$482-$W$736-$X$736)*(L736)</f>
        <v>-131.18581999999998</v>
      </c>
      <c r="AD736" s="6">
        <f t="shared" si="29"/>
        <v>0</v>
      </c>
      <c r="AE736" s="6">
        <f ca="1">(L736-M736)*(Z736+AA736)+($Z$482+$AA$482-$Z$736-$AA$736)*(L736)</f>
        <v>-101.36535653975679</v>
      </c>
      <c r="AF736" s="4" t="s">
        <v>844</v>
      </c>
    </row>
    <row r="737" spans="1:32" ht="11.25" customHeight="1" x14ac:dyDescent="0.25">
      <c r="A737" s="4" t="s">
        <v>28</v>
      </c>
      <c r="B737" s="4" t="s">
        <v>46</v>
      </c>
      <c r="C737" s="4" t="s">
        <v>23</v>
      </c>
      <c r="D737" s="4" t="s">
        <v>47</v>
      </c>
      <c r="E737" s="4" t="s">
        <v>58</v>
      </c>
      <c r="F737" s="4" t="s">
        <v>56</v>
      </c>
      <c r="G737" s="4" t="s">
        <v>25</v>
      </c>
      <c r="H737" s="4" t="s">
        <v>25</v>
      </c>
      <c r="I737" s="5">
        <v>44348</v>
      </c>
      <c r="J737" s="6">
        <v>0</v>
      </c>
      <c r="K737" s="6">
        <v>0</v>
      </c>
      <c r="L737" s="6">
        <v>23.059000000000001</v>
      </c>
      <c r="M737" s="6">
        <v>23.059000000000001</v>
      </c>
      <c r="N737" s="6">
        <v>23.059000000000001</v>
      </c>
      <c r="O737" s="6">
        <v>23.059000000000001</v>
      </c>
      <c r="P737" s="6">
        <v>0</v>
      </c>
      <c r="Q737" s="4" t="s">
        <v>26</v>
      </c>
      <c r="R737" s="4">
        <v>0</v>
      </c>
      <c r="S737" s="4">
        <v>0</v>
      </c>
      <c r="T737" s="4">
        <v>39</v>
      </c>
      <c r="U737" s="4">
        <v>85</v>
      </c>
      <c r="V737" s="6">
        <f>IF(ISERROR(VLOOKUP($S$737,'TAR FIN'!$A$1:$O$95,15,0)),0,VLOOKUP($S$737,'TAR FIN'!$A$1:$O$95,15,0))</f>
        <v>0</v>
      </c>
      <c r="W737" s="6">
        <f>IF(ISERROR(VLOOKUP($T$737,'TAR FIN'!$A$1:$O$95,15,0)),0,VLOOKUP($T$737,'TAR FIN'!$A$1:$O$95,15,0))</f>
        <v>369.16</v>
      </c>
      <c r="X737" s="6">
        <f>IF(ISERROR(VLOOKUP($U$737,'TAR FIN'!$A$1:$O$95,15,0)),0,VLOOKUP($U$737,'TAR FIN'!$A$1:$O$95,15,0))</f>
        <v>199.51</v>
      </c>
      <c r="Y737" s="6"/>
      <c r="Z737" s="6">
        <f ca="1">('TUSD BE'!$AM$38+'TUSD BF'!$AM$38+'TUSD CVA'!$AM$38)*(1-CUSTOS!$M$38)</f>
        <v>445.73746261020432</v>
      </c>
      <c r="AA737" s="6">
        <f>('TE BE'!$AA$26+'TE BF'!$AA$26+'TE CVA'!$AA$26)*(1-CUSTOS!$M$38)</f>
        <v>261.5374640864809</v>
      </c>
      <c r="AB737" s="6">
        <f t="shared" si="28"/>
        <v>0</v>
      </c>
      <c r="AC737" s="6">
        <f>(L737-M737)*(W737+X737)+($W$482+$X$482-$W$737-$X$737)*(L737)</f>
        <v>2878.2243800000001</v>
      </c>
      <c r="AD737" s="6">
        <f t="shared" si="29"/>
        <v>0</v>
      </c>
      <c r="AE737" s="6">
        <f ca="1">(L737-M737)*(Z737+AA737)+($Z$482+$AA$482-$Z$737-$AA$737)*(L737)</f>
        <v>2223.9617092771191</v>
      </c>
      <c r="AF737" s="4" t="s">
        <v>844</v>
      </c>
    </row>
    <row r="738" spans="1:32" ht="11.25" customHeight="1" x14ac:dyDescent="0.25">
      <c r="A738" s="4" t="s">
        <v>21</v>
      </c>
      <c r="B738" s="4" t="s">
        <v>46</v>
      </c>
      <c r="C738" s="4" t="s">
        <v>23</v>
      </c>
      <c r="D738" s="4" t="s">
        <v>47</v>
      </c>
      <c r="E738" s="4" t="s">
        <v>58</v>
      </c>
      <c r="F738" s="4" t="s">
        <v>56</v>
      </c>
      <c r="G738" s="4" t="s">
        <v>25</v>
      </c>
      <c r="H738" s="4" t="s">
        <v>25</v>
      </c>
      <c r="I738" s="5">
        <v>44378</v>
      </c>
      <c r="J738" s="6">
        <v>0</v>
      </c>
      <c r="K738" s="6">
        <v>0</v>
      </c>
      <c r="L738" s="6">
        <v>10.369</v>
      </c>
      <c r="M738" s="6">
        <v>10.369</v>
      </c>
      <c r="N738" s="6">
        <v>10.369</v>
      </c>
      <c r="O738" s="6">
        <v>10.369</v>
      </c>
      <c r="P738" s="6">
        <v>0</v>
      </c>
      <c r="Q738" s="4" t="s">
        <v>26</v>
      </c>
      <c r="R738" s="4">
        <v>0</v>
      </c>
      <c r="S738" s="4">
        <v>0</v>
      </c>
      <c r="T738" s="4">
        <v>39</v>
      </c>
      <c r="U738" s="4">
        <v>85</v>
      </c>
      <c r="V738" s="6">
        <f>IF(ISERROR(VLOOKUP($S$738,'TAR FIN'!$A$1:$O$95,15,0)),0,VLOOKUP($S$738,'TAR FIN'!$A$1:$O$95,15,0))</f>
        <v>0</v>
      </c>
      <c r="W738" s="6">
        <f>IF(ISERROR(VLOOKUP($T$738,'TAR FIN'!$A$1:$O$95,15,0)),0,VLOOKUP($T$738,'TAR FIN'!$A$1:$O$95,15,0))</f>
        <v>369.16</v>
      </c>
      <c r="X738" s="6">
        <f>IF(ISERROR(VLOOKUP($U$738,'TAR FIN'!$A$1:$O$95,15,0)),0,VLOOKUP($U$738,'TAR FIN'!$A$1:$O$95,15,0))</f>
        <v>199.51</v>
      </c>
      <c r="Y738" s="6"/>
      <c r="Z738" s="6">
        <f ca="1">('TUSD BE'!$AM$38+'TUSD BF'!$AM$38+'TUSD CVA'!$AM$38)*(1-CUSTOS!$M$38)</f>
        <v>445.73746261020432</v>
      </c>
      <c r="AA738" s="6">
        <f>('TE BE'!$AA$26+'TE BF'!$AA$26+'TE CVA'!$AA$26)*(1-CUSTOS!$M$38)</f>
        <v>261.5374640864809</v>
      </c>
      <c r="AB738" s="6">
        <f t="shared" si="28"/>
        <v>0</v>
      </c>
      <c r="AC738" s="6">
        <f>(L738-M738)*(W738+X738)+($W$482+$X$482-$W$738-$X$738)*(L738)</f>
        <v>1294.2585799999999</v>
      </c>
      <c r="AD738" s="6">
        <f t="shared" si="29"/>
        <v>0</v>
      </c>
      <c r="AE738" s="6">
        <f ca="1">(L738-M738)*(Z738+AA738)+($Z$482+$AA$482-$Z$738-$AA$738)*(L738)</f>
        <v>1000.0545974888089</v>
      </c>
      <c r="AF738" s="4" t="s">
        <v>844</v>
      </c>
    </row>
    <row r="739" spans="1:32" ht="11.25" customHeight="1" x14ac:dyDescent="0.25">
      <c r="A739" s="4" t="s">
        <v>27</v>
      </c>
      <c r="B739" s="4" t="s">
        <v>46</v>
      </c>
      <c r="C739" s="4" t="s">
        <v>23</v>
      </c>
      <c r="D739" s="4" t="s">
        <v>47</v>
      </c>
      <c r="E739" s="4" t="s">
        <v>58</v>
      </c>
      <c r="F739" s="4" t="s">
        <v>56</v>
      </c>
      <c r="G739" s="4" t="s">
        <v>25</v>
      </c>
      <c r="H739" s="4" t="s">
        <v>25</v>
      </c>
      <c r="I739" s="5">
        <v>44378</v>
      </c>
      <c r="J739" s="6">
        <v>0</v>
      </c>
      <c r="K739" s="6">
        <v>0</v>
      </c>
      <c r="L739" s="6">
        <v>-1.597</v>
      </c>
      <c r="M739" s="6">
        <v>-1.597</v>
      </c>
      <c r="N739" s="6">
        <v>-1.597</v>
      </c>
      <c r="O739" s="6">
        <v>-1.597</v>
      </c>
      <c r="P739" s="6">
        <v>0</v>
      </c>
      <c r="Q739" s="4" t="s">
        <v>26</v>
      </c>
      <c r="R739" s="4">
        <v>0</v>
      </c>
      <c r="S739" s="4">
        <v>0</v>
      </c>
      <c r="T739" s="4">
        <v>39</v>
      </c>
      <c r="U739" s="4">
        <v>85</v>
      </c>
      <c r="V739" s="6">
        <f>IF(ISERROR(VLOOKUP($S$739,'TAR FIN'!$A$1:$O$95,15,0)),0,VLOOKUP($S$739,'TAR FIN'!$A$1:$O$95,15,0))</f>
        <v>0</v>
      </c>
      <c r="W739" s="6">
        <f>IF(ISERROR(VLOOKUP($T$739,'TAR FIN'!$A$1:$O$95,15,0)),0,VLOOKUP($T$739,'TAR FIN'!$A$1:$O$95,15,0))</f>
        <v>369.16</v>
      </c>
      <c r="X739" s="6">
        <f>IF(ISERROR(VLOOKUP($U$739,'TAR FIN'!$A$1:$O$95,15,0)),0,VLOOKUP($U$739,'TAR FIN'!$A$1:$O$95,15,0))</f>
        <v>199.51</v>
      </c>
      <c r="Y739" s="6"/>
      <c r="Z739" s="6">
        <f ca="1">('TUSD BE'!$AM$38+'TUSD BF'!$AM$38+'TUSD CVA'!$AM$38)*(1-CUSTOS!$M$38)</f>
        <v>445.73746261020432</v>
      </c>
      <c r="AA739" s="6">
        <f>('TE BE'!$AA$26+'TE BF'!$AA$26+'TE CVA'!$AA$26)*(1-CUSTOS!$M$38)</f>
        <v>261.5374640864809</v>
      </c>
      <c r="AB739" s="6">
        <f t="shared" si="28"/>
        <v>0</v>
      </c>
      <c r="AC739" s="6">
        <f>(L739-M739)*(W739+X739)+($W$482+$X$482-$W$739-$X$739)*(L739)</f>
        <v>-199.33753999999999</v>
      </c>
      <c r="AD739" s="6">
        <f t="shared" si="29"/>
        <v>0</v>
      </c>
      <c r="AE739" s="6">
        <f ca="1">(L739-M739)*(Z739+AA739)+($Z$482+$AA$482-$Z$739-$AA$739)*(L739)</f>
        <v>-154.02518971835548</v>
      </c>
      <c r="AF739" s="4" t="s">
        <v>844</v>
      </c>
    </row>
    <row r="740" spans="1:32" ht="11.25" customHeight="1" x14ac:dyDescent="0.25">
      <c r="A740" s="4" t="s">
        <v>28</v>
      </c>
      <c r="B740" s="4" t="s">
        <v>46</v>
      </c>
      <c r="C740" s="4" t="s">
        <v>23</v>
      </c>
      <c r="D740" s="4" t="s">
        <v>47</v>
      </c>
      <c r="E740" s="4" t="s">
        <v>58</v>
      </c>
      <c r="F740" s="4" t="s">
        <v>56</v>
      </c>
      <c r="G740" s="4" t="s">
        <v>25</v>
      </c>
      <c r="H740" s="4" t="s">
        <v>25</v>
      </c>
      <c r="I740" s="5">
        <v>44378</v>
      </c>
      <c r="J740" s="6">
        <v>0</v>
      </c>
      <c r="K740" s="6">
        <v>0</v>
      </c>
      <c r="L740" s="6">
        <v>24.103000000000002</v>
      </c>
      <c r="M740" s="6">
        <v>24.103000000000002</v>
      </c>
      <c r="N740" s="6">
        <v>24.103000000000002</v>
      </c>
      <c r="O740" s="6">
        <v>24.103000000000002</v>
      </c>
      <c r="P740" s="6">
        <v>0</v>
      </c>
      <c r="Q740" s="4" t="s">
        <v>26</v>
      </c>
      <c r="R740" s="4">
        <v>0</v>
      </c>
      <c r="S740" s="4">
        <v>0</v>
      </c>
      <c r="T740" s="4">
        <v>39</v>
      </c>
      <c r="U740" s="4">
        <v>85</v>
      </c>
      <c r="V740" s="6">
        <f>IF(ISERROR(VLOOKUP($S$740,'TAR FIN'!$A$1:$O$95,15,0)),0,VLOOKUP($S$740,'TAR FIN'!$A$1:$O$95,15,0))</f>
        <v>0</v>
      </c>
      <c r="W740" s="6">
        <f>IF(ISERROR(VLOOKUP($T$740,'TAR FIN'!$A$1:$O$95,15,0)),0,VLOOKUP($T$740,'TAR FIN'!$A$1:$O$95,15,0))</f>
        <v>369.16</v>
      </c>
      <c r="X740" s="6">
        <f>IF(ISERROR(VLOOKUP($U$740,'TAR FIN'!$A$1:$O$95,15,0)),0,VLOOKUP($U$740,'TAR FIN'!$A$1:$O$95,15,0))</f>
        <v>199.51</v>
      </c>
      <c r="Y740" s="6"/>
      <c r="Z740" s="6">
        <f ca="1">('TUSD BE'!$AM$38+'TUSD BF'!$AM$38+'TUSD CVA'!$AM$38)*(1-CUSTOS!$M$38)</f>
        <v>445.73746261020432</v>
      </c>
      <c r="AA740" s="6">
        <f>('TE BE'!$AA$26+'TE BF'!$AA$26+'TE CVA'!$AA$26)*(1-CUSTOS!$M$38)</f>
        <v>261.5374640864809</v>
      </c>
      <c r="AB740" s="6">
        <f t="shared" si="28"/>
        <v>0</v>
      </c>
      <c r="AC740" s="6">
        <f>(L740-M740)*(W740+X740)+($W$482+$X$482-$W$740-$X$740)*(L740)</f>
        <v>3008.5364599999998</v>
      </c>
      <c r="AD740" s="6">
        <f t="shared" si="29"/>
        <v>0</v>
      </c>
      <c r="AE740" s="6">
        <f ca="1">(L740-M740)*(Z740+AA740)+($Z$482+$AA$482-$Z$740-$AA$740)*(L740)</f>
        <v>2324.6519397504835</v>
      </c>
      <c r="AF740" s="4" t="s">
        <v>844</v>
      </c>
    </row>
    <row r="741" spans="1:32" ht="11.25" customHeight="1" x14ac:dyDescent="0.25">
      <c r="A741" s="4" t="s">
        <v>21</v>
      </c>
      <c r="B741" s="4" t="s">
        <v>46</v>
      </c>
      <c r="C741" s="4" t="s">
        <v>23</v>
      </c>
      <c r="D741" s="4" t="s">
        <v>47</v>
      </c>
      <c r="E741" s="4" t="s">
        <v>58</v>
      </c>
      <c r="F741" s="4" t="s">
        <v>56</v>
      </c>
      <c r="G741" s="4" t="s">
        <v>25</v>
      </c>
      <c r="H741" s="4" t="s">
        <v>25</v>
      </c>
      <c r="I741" s="5">
        <v>44409</v>
      </c>
      <c r="J741" s="6">
        <v>0</v>
      </c>
      <c r="K741" s="6">
        <v>0</v>
      </c>
      <c r="L741" s="6">
        <v>26.681999999999999</v>
      </c>
      <c r="M741" s="6">
        <v>26.681999999999999</v>
      </c>
      <c r="N741" s="6">
        <v>26.681999999999999</v>
      </c>
      <c r="O741" s="6">
        <v>26.681999999999999</v>
      </c>
      <c r="P741" s="6">
        <v>0</v>
      </c>
      <c r="Q741" s="4" t="s">
        <v>26</v>
      </c>
      <c r="R741" s="4">
        <v>0</v>
      </c>
      <c r="S741" s="4">
        <v>0</v>
      </c>
      <c r="T741" s="4">
        <v>39</v>
      </c>
      <c r="U741" s="4">
        <v>85</v>
      </c>
      <c r="V741" s="6">
        <f>IF(ISERROR(VLOOKUP($S$741,'TAR FIN'!$A$1:$O$95,15,0)),0,VLOOKUP($S$741,'TAR FIN'!$A$1:$O$95,15,0))</f>
        <v>0</v>
      </c>
      <c r="W741" s="6">
        <f>IF(ISERROR(VLOOKUP($T$741,'TAR FIN'!$A$1:$O$95,15,0)),0,VLOOKUP($T$741,'TAR FIN'!$A$1:$O$95,15,0))</f>
        <v>369.16</v>
      </c>
      <c r="X741" s="6">
        <f>IF(ISERROR(VLOOKUP($U$741,'TAR FIN'!$A$1:$O$95,15,0)),0,VLOOKUP($U$741,'TAR FIN'!$A$1:$O$95,15,0))</f>
        <v>199.51</v>
      </c>
      <c r="Y741" s="6"/>
      <c r="Z741" s="6">
        <f ca="1">('TUSD BE'!$AM$38+'TUSD BF'!$AM$38+'TUSD CVA'!$AM$38)*(1-CUSTOS!$M$38)</f>
        <v>445.73746261020432</v>
      </c>
      <c r="AA741" s="6">
        <f>('TE BE'!$AA$26+'TE BF'!$AA$26+'TE CVA'!$AA$26)*(1-CUSTOS!$M$38)</f>
        <v>261.5374640864809</v>
      </c>
      <c r="AB741" s="6">
        <f t="shared" si="28"/>
        <v>0</v>
      </c>
      <c r="AC741" s="6">
        <f>(L741-M741)*(W741+X741)+($W$482+$X$482-$W$741-$X$741)*(L741)</f>
        <v>3330.4472399999995</v>
      </c>
      <c r="AD741" s="6">
        <f t="shared" si="29"/>
        <v>0</v>
      </c>
      <c r="AE741" s="6">
        <f ca="1">(L741-M741)*(Z741+AA741)+($Z$482+$AA$482-$Z$741-$AA$741)*(L741)</f>
        <v>2573.3876719255859</v>
      </c>
      <c r="AF741" s="4" t="s">
        <v>844</v>
      </c>
    </row>
    <row r="742" spans="1:32" ht="11.25" customHeight="1" x14ac:dyDescent="0.25">
      <c r="A742" s="4" t="s">
        <v>28</v>
      </c>
      <c r="B742" s="4" t="s">
        <v>46</v>
      </c>
      <c r="C742" s="4" t="s">
        <v>23</v>
      </c>
      <c r="D742" s="4" t="s">
        <v>47</v>
      </c>
      <c r="E742" s="4" t="s">
        <v>58</v>
      </c>
      <c r="F742" s="4" t="s">
        <v>56</v>
      </c>
      <c r="G742" s="4" t="s">
        <v>25</v>
      </c>
      <c r="H742" s="4" t="s">
        <v>25</v>
      </c>
      <c r="I742" s="5">
        <v>44409</v>
      </c>
      <c r="J742" s="6">
        <v>0</v>
      </c>
      <c r="K742" s="6">
        <v>0</v>
      </c>
      <c r="L742" s="6">
        <v>35.304000000000002</v>
      </c>
      <c r="M742" s="6">
        <v>35.304000000000002</v>
      </c>
      <c r="N742" s="6">
        <v>35.304000000000002</v>
      </c>
      <c r="O742" s="6">
        <v>35.304000000000002</v>
      </c>
      <c r="P742" s="6">
        <v>0</v>
      </c>
      <c r="Q742" s="4" t="s">
        <v>26</v>
      </c>
      <c r="R742" s="4">
        <v>0</v>
      </c>
      <c r="S742" s="4">
        <v>0</v>
      </c>
      <c r="T742" s="4">
        <v>39</v>
      </c>
      <c r="U742" s="4">
        <v>85</v>
      </c>
      <c r="V742" s="6">
        <f>IF(ISERROR(VLOOKUP($S$742,'TAR FIN'!$A$1:$O$95,15,0)),0,VLOOKUP($S$742,'TAR FIN'!$A$1:$O$95,15,0))</f>
        <v>0</v>
      </c>
      <c r="W742" s="6">
        <f>IF(ISERROR(VLOOKUP($T$742,'TAR FIN'!$A$1:$O$95,15,0)),0,VLOOKUP($T$742,'TAR FIN'!$A$1:$O$95,15,0))</f>
        <v>369.16</v>
      </c>
      <c r="X742" s="6">
        <f>IF(ISERROR(VLOOKUP($U$742,'TAR FIN'!$A$1:$O$95,15,0)),0,VLOOKUP($U$742,'TAR FIN'!$A$1:$O$95,15,0))</f>
        <v>199.51</v>
      </c>
      <c r="Y742" s="6"/>
      <c r="Z742" s="6">
        <f ca="1">('TUSD BE'!$AM$38+'TUSD BF'!$AM$38+'TUSD CVA'!$AM$38)*(1-CUSTOS!$M$38)</f>
        <v>445.73746261020432</v>
      </c>
      <c r="AA742" s="6">
        <f>('TE BE'!$AA$26+'TE BF'!$AA$26+'TE CVA'!$AA$26)*(1-CUSTOS!$M$38)</f>
        <v>261.5374640864809</v>
      </c>
      <c r="AB742" s="6">
        <f t="shared" si="28"/>
        <v>0</v>
      </c>
      <c r="AC742" s="6">
        <f>(L742-M742)*(W742+X742)+($W$482+$X$482-$W$742-$X$742)*(L742)</f>
        <v>4406.6452799999997</v>
      </c>
      <c r="AD742" s="6">
        <f t="shared" si="29"/>
        <v>0</v>
      </c>
      <c r="AE742" s="6">
        <f ca="1">(L742-M742)*(Z742+AA742)+($Z$482+$AA$482-$Z$742-$AA$742)*(L742)</f>
        <v>3404.9500925590619</v>
      </c>
      <c r="AF742" s="4" t="s">
        <v>844</v>
      </c>
    </row>
    <row r="743" spans="1:32" ht="11.25" customHeight="1" x14ac:dyDescent="0.25">
      <c r="A743" s="4" t="s">
        <v>29</v>
      </c>
      <c r="B743" s="4" t="s">
        <v>46</v>
      </c>
      <c r="C743" s="4" t="s">
        <v>23</v>
      </c>
      <c r="D743" s="4" t="s">
        <v>47</v>
      </c>
      <c r="E743" s="4" t="s">
        <v>58</v>
      </c>
      <c r="F743" s="4" t="s">
        <v>56</v>
      </c>
      <c r="G743" s="4" t="s">
        <v>25</v>
      </c>
      <c r="H743" s="4" t="s">
        <v>25</v>
      </c>
      <c r="I743" s="5">
        <v>44409</v>
      </c>
      <c r="J743" s="6">
        <v>0</v>
      </c>
      <c r="K743" s="6">
        <v>0</v>
      </c>
      <c r="L743" s="6">
        <v>-1.0780000000000001</v>
      </c>
      <c r="M743" s="6">
        <v>-1.0780000000000001</v>
      </c>
      <c r="N743" s="6">
        <v>-1.0780000000000001</v>
      </c>
      <c r="O743" s="6">
        <v>-1.0780000000000001</v>
      </c>
      <c r="P743" s="6">
        <v>0</v>
      </c>
      <c r="Q743" s="4" t="s">
        <v>26</v>
      </c>
      <c r="R743" s="4">
        <v>0</v>
      </c>
      <c r="S743" s="4">
        <v>0</v>
      </c>
      <c r="T743" s="4">
        <v>39</v>
      </c>
      <c r="U743" s="4">
        <v>85</v>
      </c>
      <c r="V743" s="6">
        <f>IF(ISERROR(VLOOKUP($S$743,'TAR FIN'!$A$1:$O$95,15,0)),0,VLOOKUP($S$743,'TAR FIN'!$A$1:$O$95,15,0))</f>
        <v>0</v>
      </c>
      <c r="W743" s="6">
        <f>IF(ISERROR(VLOOKUP($T$743,'TAR FIN'!$A$1:$O$95,15,0)),0,VLOOKUP($T$743,'TAR FIN'!$A$1:$O$95,15,0))</f>
        <v>369.16</v>
      </c>
      <c r="X743" s="6">
        <f>IF(ISERROR(VLOOKUP($U$743,'TAR FIN'!$A$1:$O$95,15,0)),0,VLOOKUP($U$743,'TAR FIN'!$A$1:$O$95,15,0))</f>
        <v>199.51</v>
      </c>
      <c r="Y743" s="6"/>
      <c r="Z743" s="6">
        <f ca="1">('TUSD BE'!$AM$38+'TUSD BF'!$AM$38+'TUSD CVA'!$AM$38)*(1-CUSTOS!$M$38)</f>
        <v>445.73746261020432</v>
      </c>
      <c r="AA743" s="6">
        <f>('TE BE'!$AA$26+'TE BF'!$AA$26+'TE CVA'!$AA$26)*(1-CUSTOS!$M$38)</f>
        <v>261.5374640864809</v>
      </c>
      <c r="AB743" s="6">
        <f t="shared" si="28"/>
        <v>0</v>
      </c>
      <c r="AC743" s="6">
        <f>(L743-M743)*(W743+X743)+($W$482+$X$482-$W$743-$X$743)*(L743)</f>
        <v>-134.55596</v>
      </c>
      <c r="AD743" s="6">
        <f t="shared" si="29"/>
        <v>0</v>
      </c>
      <c r="AE743" s="6">
        <f ca="1">(L743-M743)*(Z743+AA743)+($Z$482+$AA$482-$Z$743-$AA$743)*(L743)</f>
        <v>-103.96941422441279</v>
      </c>
      <c r="AF743" s="4" t="s">
        <v>844</v>
      </c>
    </row>
    <row r="744" spans="1:32" ht="11.25" customHeight="1" x14ac:dyDescent="0.25">
      <c r="A744" s="4" t="s">
        <v>21</v>
      </c>
      <c r="B744" s="4" t="s">
        <v>46</v>
      </c>
      <c r="C744" s="4" t="s">
        <v>23</v>
      </c>
      <c r="D744" s="4" t="s">
        <v>47</v>
      </c>
      <c r="E744" s="4" t="s">
        <v>58</v>
      </c>
      <c r="F744" s="4" t="s">
        <v>56</v>
      </c>
      <c r="G744" s="4" t="s">
        <v>25</v>
      </c>
      <c r="H744" s="4" t="s">
        <v>25</v>
      </c>
      <c r="I744" s="5">
        <v>44440</v>
      </c>
      <c r="J744" s="6">
        <v>0</v>
      </c>
      <c r="K744" s="6">
        <v>0</v>
      </c>
      <c r="L744" s="6">
        <v>18.504999999999999</v>
      </c>
      <c r="M744" s="6">
        <v>18.504999999999999</v>
      </c>
      <c r="N744" s="6">
        <v>18.504999999999999</v>
      </c>
      <c r="O744" s="6">
        <v>18.504999999999999</v>
      </c>
      <c r="P744" s="6">
        <v>0</v>
      </c>
      <c r="Q744" s="4" t="s">
        <v>26</v>
      </c>
      <c r="R744" s="4">
        <v>0</v>
      </c>
      <c r="S744" s="4">
        <v>0</v>
      </c>
      <c r="T744" s="4">
        <v>39</v>
      </c>
      <c r="U744" s="4">
        <v>85</v>
      </c>
      <c r="V744" s="6">
        <f>IF(ISERROR(VLOOKUP($S$744,'TAR FIN'!$A$1:$O$95,15,0)),0,VLOOKUP($S$744,'TAR FIN'!$A$1:$O$95,15,0))</f>
        <v>0</v>
      </c>
      <c r="W744" s="6">
        <f>IF(ISERROR(VLOOKUP($T$744,'TAR FIN'!$A$1:$O$95,15,0)),0,VLOOKUP($T$744,'TAR FIN'!$A$1:$O$95,15,0))</f>
        <v>369.16</v>
      </c>
      <c r="X744" s="6">
        <f>IF(ISERROR(VLOOKUP($U$744,'TAR FIN'!$A$1:$O$95,15,0)),0,VLOOKUP($U$744,'TAR FIN'!$A$1:$O$95,15,0))</f>
        <v>199.51</v>
      </c>
      <c r="Y744" s="6"/>
      <c r="Z744" s="6">
        <f ca="1">('TUSD BE'!$AM$38+'TUSD BF'!$AM$38+'TUSD CVA'!$AM$38)*(1-CUSTOS!$M$38)</f>
        <v>445.73746261020432</v>
      </c>
      <c r="AA744" s="6">
        <f>('TE BE'!$AA$26+'TE BF'!$AA$26+'TE CVA'!$AA$26)*(1-CUSTOS!$M$38)</f>
        <v>261.5374640864809</v>
      </c>
      <c r="AB744" s="6">
        <f t="shared" si="28"/>
        <v>0</v>
      </c>
      <c r="AC744" s="6">
        <f>(L744-M744)*(W744+X744)+($W$482+$X$482-$W$744-$X$744)*(L744)</f>
        <v>2309.7940999999996</v>
      </c>
      <c r="AD744" s="6">
        <f t="shared" si="29"/>
        <v>0</v>
      </c>
      <c r="AE744" s="6">
        <f ca="1">(L744-M744)*(Z744+AA744)+($Z$482+$AA$482-$Z$744-$AA$744)*(L744)</f>
        <v>1784.7439797984771</v>
      </c>
      <c r="AF744" s="4" t="s">
        <v>844</v>
      </c>
    </row>
    <row r="745" spans="1:32" ht="11.25" customHeight="1" x14ac:dyDescent="0.25">
      <c r="A745" s="4" t="s">
        <v>27</v>
      </c>
      <c r="B745" s="4" t="s">
        <v>46</v>
      </c>
      <c r="C745" s="4" t="s">
        <v>23</v>
      </c>
      <c r="D745" s="4" t="s">
        <v>47</v>
      </c>
      <c r="E745" s="4" t="s">
        <v>58</v>
      </c>
      <c r="F745" s="4" t="s">
        <v>56</v>
      </c>
      <c r="G745" s="4" t="s">
        <v>25</v>
      </c>
      <c r="H745" s="4" t="s">
        <v>25</v>
      </c>
      <c r="I745" s="5">
        <v>44440</v>
      </c>
      <c r="J745" s="6">
        <v>0</v>
      </c>
      <c r="K745" s="6">
        <v>0</v>
      </c>
      <c r="L745" s="6">
        <v>-1.9710000000000001</v>
      </c>
      <c r="M745" s="6">
        <v>-1.9710000000000001</v>
      </c>
      <c r="N745" s="6">
        <v>-1.9710000000000001</v>
      </c>
      <c r="O745" s="6">
        <v>-1.9710000000000001</v>
      </c>
      <c r="P745" s="6">
        <v>0</v>
      </c>
      <c r="Q745" s="4" t="s">
        <v>26</v>
      </c>
      <c r="R745" s="4">
        <v>0</v>
      </c>
      <c r="S745" s="4">
        <v>0</v>
      </c>
      <c r="T745" s="4">
        <v>39</v>
      </c>
      <c r="U745" s="4">
        <v>85</v>
      </c>
      <c r="V745" s="6">
        <f>IF(ISERROR(VLOOKUP($S$745,'TAR FIN'!$A$1:$O$95,15,0)),0,VLOOKUP($S$745,'TAR FIN'!$A$1:$O$95,15,0))</f>
        <v>0</v>
      </c>
      <c r="W745" s="6">
        <f>IF(ISERROR(VLOOKUP($T$745,'TAR FIN'!$A$1:$O$95,15,0)),0,VLOOKUP($T$745,'TAR FIN'!$A$1:$O$95,15,0))</f>
        <v>369.16</v>
      </c>
      <c r="X745" s="6">
        <f>IF(ISERROR(VLOOKUP($U$745,'TAR FIN'!$A$1:$O$95,15,0)),0,VLOOKUP($U$745,'TAR FIN'!$A$1:$O$95,15,0))</f>
        <v>199.51</v>
      </c>
      <c r="Y745" s="6"/>
      <c r="Z745" s="6">
        <f ca="1">('TUSD BE'!$AM$38+'TUSD BF'!$AM$38+'TUSD CVA'!$AM$38)*(1-CUSTOS!$M$38)</f>
        <v>445.73746261020432</v>
      </c>
      <c r="AA745" s="6">
        <f>('TE BE'!$AA$26+'TE BF'!$AA$26+'TE CVA'!$AA$26)*(1-CUSTOS!$M$38)</f>
        <v>261.5374640864809</v>
      </c>
      <c r="AB745" s="6">
        <f t="shared" si="28"/>
        <v>0</v>
      </c>
      <c r="AC745" s="6">
        <f>(L745-M745)*(W745+X745)+($W$482+$X$482-$W$745-$X$745)*(L745)</f>
        <v>-246.02021999999999</v>
      </c>
      <c r="AD745" s="6">
        <f t="shared" si="29"/>
        <v>0</v>
      </c>
      <c r="AE745" s="6">
        <f ca="1">(L745-M745)*(Z745+AA745)+($Z$482+$AA$482-$Z$745-$AA$745)*(L745)</f>
        <v>-190.09621097988645</v>
      </c>
      <c r="AF745" s="4" t="s">
        <v>844</v>
      </c>
    </row>
    <row r="746" spans="1:32" ht="11.25" customHeight="1" x14ac:dyDescent="0.25">
      <c r="A746" s="4" t="s">
        <v>28</v>
      </c>
      <c r="B746" s="4" t="s">
        <v>46</v>
      </c>
      <c r="C746" s="4" t="s">
        <v>23</v>
      </c>
      <c r="D746" s="4" t="s">
        <v>47</v>
      </c>
      <c r="E746" s="4" t="s">
        <v>58</v>
      </c>
      <c r="F746" s="4" t="s">
        <v>56</v>
      </c>
      <c r="G746" s="4" t="s">
        <v>25</v>
      </c>
      <c r="H746" s="4" t="s">
        <v>25</v>
      </c>
      <c r="I746" s="5">
        <v>44440</v>
      </c>
      <c r="J746" s="6">
        <v>0</v>
      </c>
      <c r="K746" s="6">
        <v>0</v>
      </c>
      <c r="L746" s="6">
        <v>26.731999999999999</v>
      </c>
      <c r="M746" s="6">
        <v>26.731999999999999</v>
      </c>
      <c r="N746" s="6">
        <v>26.731999999999999</v>
      </c>
      <c r="O746" s="6">
        <v>26.731999999999999</v>
      </c>
      <c r="P746" s="6">
        <v>0</v>
      </c>
      <c r="Q746" s="4" t="s">
        <v>26</v>
      </c>
      <c r="R746" s="4">
        <v>0</v>
      </c>
      <c r="S746" s="4">
        <v>0</v>
      </c>
      <c r="T746" s="4">
        <v>39</v>
      </c>
      <c r="U746" s="4">
        <v>85</v>
      </c>
      <c r="V746" s="6">
        <f>IF(ISERROR(VLOOKUP($S$746,'TAR FIN'!$A$1:$O$95,15,0)),0,VLOOKUP($S$746,'TAR FIN'!$A$1:$O$95,15,0))</f>
        <v>0</v>
      </c>
      <c r="W746" s="6">
        <f>IF(ISERROR(VLOOKUP($T$746,'TAR FIN'!$A$1:$O$95,15,0)),0,VLOOKUP($T$746,'TAR FIN'!$A$1:$O$95,15,0))</f>
        <v>369.16</v>
      </c>
      <c r="X746" s="6">
        <f>IF(ISERROR(VLOOKUP($U$746,'TAR FIN'!$A$1:$O$95,15,0)),0,VLOOKUP($U$746,'TAR FIN'!$A$1:$O$95,15,0))</f>
        <v>199.51</v>
      </c>
      <c r="Y746" s="6"/>
      <c r="Z746" s="6">
        <f ca="1">('TUSD BE'!$AM$38+'TUSD BF'!$AM$38+'TUSD CVA'!$AM$38)*(1-CUSTOS!$M$38)</f>
        <v>445.73746261020432</v>
      </c>
      <c r="AA746" s="6">
        <f>('TE BE'!$AA$26+'TE BF'!$AA$26+'TE CVA'!$AA$26)*(1-CUSTOS!$M$38)</f>
        <v>261.5374640864809</v>
      </c>
      <c r="AB746" s="6">
        <f t="shared" si="28"/>
        <v>0</v>
      </c>
      <c r="AC746" s="6">
        <f>(L746-M746)*(W746+X746)+($W$482+$X$482-$W$746-$X$746)*(L746)</f>
        <v>3336.68824</v>
      </c>
      <c r="AD746" s="6">
        <f t="shared" si="29"/>
        <v>0</v>
      </c>
      <c r="AE746" s="6">
        <f ca="1">(L746-M746)*(Z746+AA746)+($Z$482+$AA$482-$Z$746-$AA$746)*(L746)</f>
        <v>2578.2100009712449</v>
      </c>
      <c r="AF746" s="4" t="s">
        <v>844</v>
      </c>
    </row>
    <row r="747" spans="1:32" ht="11.25" customHeight="1" x14ac:dyDescent="0.25">
      <c r="A747" s="4" t="s">
        <v>59</v>
      </c>
      <c r="B747" s="4" t="s">
        <v>46</v>
      </c>
      <c r="C747" s="4" t="s">
        <v>23</v>
      </c>
      <c r="D747" s="4" t="s">
        <v>47</v>
      </c>
      <c r="E747" s="4" t="s">
        <v>58</v>
      </c>
      <c r="F747" s="4" t="s">
        <v>56</v>
      </c>
      <c r="G747" s="4" t="s">
        <v>25</v>
      </c>
      <c r="H747" s="4" t="s">
        <v>25</v>
      </c>
      <c r="I747" s="5">
        <v>44470</v>
      </c>
      <c r="J747" s="6">
        <v>0</v>
      </c>
      <c r="K747" s="6">
        <v>0</v>
      </c>
      <c r="L747" s="6">
        <v>18.504999999999999</v>
      </c>
      <c r="M747" s="6">
        <v>18.504999999999999</v>
      </c>
      <c r="N747" s="6">
        <v>18.504999999999999</v>
      </c>
      <c r="O747" s="6">
        <v>18.504999999999999</v>
      </c>
      <c r="P747" s="6">
        <v>0</v>
      </c>
      <c r="Q747" s="4" t="s">
        <v>26</v>
      </c>
      <c r="R747" s="4">
        <v>0</v>
      </c>
      <c r="S747" s="4">
        <v>0</v>
      </c>
      <c r="T747" s="4">
        <v>39</v>
      </c>
      <c r="U747" s="4">
        <v>85</v>
      </c>
      <c r="V747" s="6">
        <f>IF(ISERROR(VLOOKUP($S$747,'TAR FIN'!$A$1:$O$95,15,0)),0,VLOOKUP($S$747,'TAR FIN'!$A$1:$O$95,15,0))</f>
        <v>0</v>
      </c>
      <c r="W747" s="6">
        <f>IF(ISERROR(VLOOKUP($T$747,'TAR FIN'!$A$1:$O$95,15,0)),0,VLOOKUP($T$747,'TAR FIN'!$A$1:$O$95,15,0))</f>
        <v>369.16</v>
      </c>
      <c r="X747" s="6">
        <f>IF(ISERROR(VLOOKUP($U$747,'TAR FIN'!$A$1:$O$95,15,0)),0,VLOOKUP($U$747,'TAR FIN'!$A$1:$O$95,15,0))</f>
        <v>199.51</v>
      </c>
      <c r="Y747" s="6"/>
      <c r="Z747" s="6">
        <f ca="1">('TUSD BE'!$AM$38+'TUSD BF'!$AM$38+'TUSD CVA'!$AM$38)*(1-CUSTOS!$M$38)</f>
        <v>445.73746261020432</v>
      </c>
      <c r="AA747" s="6">
        <f>('TE BE'!$AA$26+'TE BF'!$AA$26+'TE CVA'!$AA$26)*(1-CUSTOS!$M$38)</f>
        <v>261.5374640864809</v>
      </c>
      <c r="AB747" s="6">
        <f t="shared" si="28"/>
        <v>0</v>
      </c>
      <c r="AC747" s="6">
        <f>(L747-M747)*(W747+X747)+($W$482+$X$482-$W$747-$X$747)*(L747)</f>
        <v>2309.7940999999996</v>
      </c>
      <c r="AD747" s="6">
        <f t="shared" si="29"/>
        <v>0</v>
      </c>
      <c r="AE747" s="6">
        <f ca="1">(L747-M747)*(Z747+AA747)+($Z$482+$AA$482-$Z$747-$AA$747)*(L747)</f>
        <v>1784.7439797984771</v>
      </c>
      <c r="AF747" s="4" t="s">
        <v>844</v>
      </c>
    </row>
    <row r="748" spans="1:32" ht="11.25" customHeight="1" x14ac:dyDescent="0.25">
      <c r="A748" s="4" t="s">
        <v>59</v>
      </c>
      <c r="B748" s="4" t="s">
        <v>46</v>
      </c>
      <c r="C748" s="4" t="s">
        <v>23</v>
      </c>
      <c r="D748" s="4" t="s">
        <v>47</v>
      </c>
      <c r="E748" s="4" t="s">
        <v>58</v>
      </c>
      <c r="F748" s="4" t="s">
        <v>56</v>
      </c>
      <c r="G748" s="4" t="s">
        <v>25</v>
      </c>
      <c r="H748" s="4" t="s">
        <v>25</v>
      </c>
      <c r="I748" s="5">
        <v>44470</v>
      </c>
      <c r="J748" s="6">
        <v>0</v>
      </c>
      <c r="K748" s="6">
        <v>0</v>
      </c>
      <c r="L748" s="6">
        <v>-1.9710000000000001</v>
      </c>
      <c r="M748" s="6">
        <v>-1.9710000000000001</v>
      </c>
      <c r="N748" s="6">
        <v>-1.9710000000000001</v>
      </c>
      <c r="O748" s="6">
        <v>-1.9710000000000001</v>
      </c>
      <c r="P748" s="6">
        <v>0</v>
      </c>
      <c r="Q748" s="4" t="s">
        <v>26</v>
      </c>
      <c r="R748" s="4">
        <v>0</v>
      </c>
      <c r="S748" s="4">
        <v>0</v>
      </c>
      <c r="T748" s="4">
        <v>39</v>
      </c>
      <c r="U748" s="4">
        <v>85</v>
      </c>
      <c r="V748" s="6">
        <f>IF(ISERROR(VLOOKUP($S$748,'TAR FIN'!$A$1:$O$95,15,0)),0,VLOOKUP($S$748,'TAR FIN'!$A$1:$O$95,15,0))</f>
        <v>0</v>
      </c>
      <c r="W748" s="6">
        <f>IF(ISERROR(VLOOKUP($T$748,'TAR FIN'!$A$1:$O$95,15,0)),0,VLOOKUP($T$748,'TAR FIN'!$A$1:$O$95,15,0))</f>
        <v>369.16</v>
      </c>
      <c r="X748" s="6">
        <f>IF(ISERROR(VLOOKUP($U$748,'TAR FIN'!$A$1:$O$95,15,0)),0,VLOOKUP($U$748,'TAR FIN'!$A$1:$O$95,15,0))</f>
        <v>199.51</v>
      </c>
      <c r="Y748" s="6"/>
      <c r="Z748" s="6">
        <f ca="1">('TUSD BE'!$AM$38+'TUSD BF'!$AM$38+'TUSD CVA'!$AM$38)*(1-CUSTOS!$M$38)</f>
        <v>445.73746261020432</v>
      </c>
      <c r="AA748" s="6">
        <f>('TE BE'!$AA$26+'TE BF'!$AA$26+'TE CVA'!$AA$26)*(1-CUSTOS!$M$38)</f>
        <v>261.5374640864809</v>
      </c>
      <c r="AB748" s="6">
        <f t="shared" si="28"/>
        <v>0</v>
      </c>
      <c r="AC748" s="6">
        <f>(L748-M748)*(W748+X748)+($W$482+$X$482-$W$748-$X$748)*(L748)</f>
        <v>-246.02021999999999</v>
      </c>
      <c r="AD748" s="6">
        <f t="shared" si="29"/>
        <v>0</v>
      </c>
      <c r="AE748" s="6">
        <f ca="1">(L748-M748)*(Z748+AA748)+($Z$482+$AA$482-$Z$748-$AA$748)*(L748)</f>
        <v>-190.09621097988645</v>
      </c>
      <c r="AF748" s="4" t="s">
        <v>844</v>
      </c>
    </row>
    <row r="749" spans="1:32" ht="11.25" customHeight="1" x14ac:dyDescent="0.25">
      <c r="A749" s="4" t="s">
        <v>59</v>
      </c>
      <c r="B749" s="4" t="s">
        <v>46</v>
      </c>
      <c r="C749" s="4" t="s">
        <v>23</v>
      </c>
      <c r="D749" s="4" t="s">
        <v>47</v>
      </c>
      <c r="E749" s="4" t="s">
        <v>58</v>
      </c>
      <c r="F749" s="4" t="s">
        <v>56</v>
      </c>
      <c r="G749" s="4" t="s">
        <v>25</v>
      </c>
      <c r="H749" s="4" t="s">
        <v>25</v>
      </c>
      <c r="I749" s="5">
        <v>44470</v>
      </c>
      <c r="J749" s="6">
        <v>0</v>
      </c>
      <c r="K749" s="6">
        <v>0</v>
      </c>
      <c r="L749" s="6">
        <v>26.731999999999999</v>
      </c>
      <c r="M749" s="6">
        <v>26.731999999999999</v>
      </c>
      <c r="N749" s="6">
        <v>26.731999999999999</v>
      </c>
      <c r="O749" s="6">
        <v>26.731999999999999</v>
      </c>
      <c r="P749" s="6">
        <v>0</v>
      </c>
      <c r="Q749" s="4" t="s">
        <v>26</v>
      </c>
      <c r="R749" s="4">
        <v>0</v>
      </c>
      <c r="S749" s="4">
        <v>0</v>
      </c>
      <c r="T749" s="4">
        <v>39</v>
      </c>
      <c r="U749" s="4">
        <v>85</v>
      </c>
      <c r="V749" s="6">
        <f>IF(ISERROR(VLOOKUP($S$749,'TAR FIN'!$A$1:$O$95,15,0)),0,VLOOKUP($S$749,'TAR FIN'!$A$1:$O$95,15,0))</f>
        <v>0</v>
      </c>
      <c r="W749" s="6">
        <f>IF(ISERROR(VLOOKUP($T$749,'TAR FIN'!$A$1:$O$95,15,0)),0,VLOOKUP($T$749,'TAR FIN'!$A$1:$O$95,15,0))</f>
        <v>369.16</v>
      </c>
      <c r="X749" s="6">
        <f>IF(ISERROR(VLOOKUP($U$749,'TAR FIN'!$A$1:$O$95,15,0)),0,VLOOKUP($U$749,'TAR FIN'!$A$1:$O$95,15,0))</f>
        <v>199.51</v>
      </c>
      <c r="Y749" s="6"/>
      <c r="Z749" s="6">
        <f ca="1">('TUSD BE'!$AM$38+'TUSD BF'!$AM$38+'TUSD CVA'!$AM$38)*(1-CUSTOS!$M$38)</f>
        <v>445.73746261020432</v>
      </c>
      <c r="AA749" s="6">
        <f>('TE BE'!$AA$26+'TE BF'!$AA$26+'TE CVA'!$AA$26)*(1-CUSTOS!$M$38)</f>
        <v>261.5374640864809</v>
      </c>
      <c r="AB749" s="6">
        <f t="shared" si="28"/>
        <v>0</v>
      </c>
      <c r="AC749" s="6">
        <f>(L749-M749)*(W749+X749)+($W$482+$X$482-$W$749-$X$749)*(L749)</f>
        <v>3336.68824</v>
      </c>
      <c r="AD749" s="6">
        <f t="shared" si="29"/>
        <v>0</v>
      </c>
      <c r="AE749" s="6">
        <f ca="1">(L749-M749)*(Z749+AA749)+($Z$482+$AA$482-$Z$749-$AA$749)*(L749)</f>
        <v>2578.2100009712449</v>
      </c>
      <c r="AF749" s="4" t="s">
        <v>844</v>
      </c>
    </row>
    <row r="750" spans="1:32" ht="11.25" customHeight="1" x14ac:dyDescent="0.25">
      <c r="A750" s="4" t="s">
        <v>21</v>
      </c>
      <c r="B750" s="4" t="s">
        <v>46</v>
      </c>
      <c r="C750" s="4" t="s">
        <v>23</v>
      </c>
      <c r="D750" s="4" t="s">
        <v>47</v>
      </c>
      <c r="E750" s="4" t="s">
        <v>58</v>
      </c>
      <c r="F750" s="4" t="s">
        <v>57</v>
      </c>
      <c r="G750" s="4" t="s">
        <v>25</v>
      </c>
      <c r="H750" s="4" t="s">
        <v>25</v>
      </c>
      <c r="I750" s="5">
        <v>44317</v>
      </c>
      <c r="J750" s="6">
        <v>0</v>
      </c>
      <c r="K750" s="6">
        <v>0</v>
      </c>
      <c r="L750" s="6">
        <v>3.2349999999999999</v>
      </c>
      <c r="M750" s="6">
        <v>1.06755</v>
      </c>
      <c r="N750" s="6">
        <v>3.2349999999999999</v>
      </c>
      <c r="O750" s="6">
        <v>1.06755</v>
      </c>
      <c r="P750" s="6">
        <v>0</v>
      </c>
      <c r="Q750" s="4" t="s">
        <v>26</v>
      </c>
      <c r="R750" s="4">
        <v>0</v>
      </c>
      <c r="S750" s="4">
        <v>0</v>
      </c>
      <c r="T750" s="4">
        <v>39</v>
      </c>
      <c r="U750" s="4">
        <v>85</v>
      </c>
      <c r="V750" s="6">
        <f>IF(ISERROR(VLOOKUP($S$750,'TAR FIN'!$A$1:$O$95,15,0)),0,VLOOKUP($S$750,'TAR FIN'!$A$1:$O$95,15,0))</f>
        <v>0</v>
      </c>
      <c r="W750" s="6">
        <f>IF(ISERROR(VLOOKUP($T$750,'TAR FIN'!$A$1:$O$95,15,0)),0,VLOOKUP($T$750,'TAR FIN'!$A$1:$O$95,15,0))</f>
        <v>369.16</v>
      </c>
      <c r="X750" s="6">
        <f>IF(ISERROR(VLOOKUP($U$750,'TAR FIN'!$A$1:$O$95,15,0)),0,VLOOKUP($U$750,'TAR FIN'!$A$1:$O$95,15,0))</f>
        <v>199.51</v>
      </c>
      <c r="Y750" s="6"/>
      <c r="Z750" s="6">
        <f ca="1">('TUSD BE'!$AM$38+'TUSD BF'!$AM$38+'TUSD CVA'!$AM$38)*(1-CUSTOS!$M$38)</f>
        <v>445.73746261020432</v>
      </c>
      <c r="AA750" s="6">
        <f>('TE BE'!$AA$26+'TE BF'!$AA$26+'TE CVA'!$AA$26)*(1-CUSTOS!$M$38)</f>
        <v>261.5374640864809</v>
      </c>
      <c r="AB750" s="6">
        <f t="shared" si="28"/>
        <v>0</v>
      </c>
      <c r="AC750" s="6">
        <f>(L750-M750)*(W750+X750)+($W$482+$X$482-$W$750-$X$750)*(L750)</f>
        <v>1636.3564914999999</v>
      </c>
      <c r="AD750" s="6">
        <f t="shared" si="29"/>
        <v>0</v>
      </c>
      <c r="AE750" s="6">
        <f ca="1">(L750-M750)*(Z750+AA750)+($Z$482+$AA$482-$Z$750-$AA$750)*(L750)</f>
        <v>1844.9877291228818</v>
      </c>
      <c r="AF750" s="4" t="s">
        <v>846</v>
      </c>
    </row>
    <row r="751" spans="1:32" ht="11.25" customHeight="1" x14ac:dyDescent="0.25">
      <c r="A751" s="4" t="s">
        <v>27</v>
      </c>
      <c r="B751" s="4" t="s">
        <v>46</v>
      </c>
      <c r="C751" s="4" t="s">
        <v>23</v>
      </c>
      <c r="D751" s="4" t="s">
        <v>47</v>
      </c>
      <c r="E751" s="4" t="s">
        <v>58</v>
      </c>
      <c r="F751" s="4" t="s">
        <v>57</v>
      </c>
      <c r="G751" s="4" t="s">
        <v>25</v>
      </c>
      <c r="H751" s="4" t="s">
        <v>25</v>
      </c>
      <c r="I751" s="5">
        <v>44317</v>
      </c>
      <c r="J751" s="6">
        <v>0</v>
      </c>
      <c r="K751" s="6">
        <v>0</v>
      </c>
      <c r="L751" s="6">
        <v>1.028</v>
      </c>
      <c r="M751" s="6">
        <v>0.33923999999999999</v>
      </c>
      <c r="N751" s="6">
        <v>1.028</v>
      </c>
      <c r="O751" s="6">
        <v>0.33923999999999999</v>
      </c>
      <c r="P751" s="6">
        <v>0</v>
      </c>
      <c r="Q751" s="4" t="s">
        <v>26</v>
      </c>
      <c r="R751" s="4">
        <v>0</v>
      </c>
      <c r="S751" s="4">
        <v>0</v>
      </c>
      <c r="T751" s="4">
        <v>39</v>
      </c>
      <c r="U751" s="4">
        <v>85</v>
      </c>
      <c r="V751" s="6">
        <f>IF(ISERROR(VLOOKUP($S$751,'TAR FIN'!$A$1:$O$95,15,0)),0,VLOOKUP($S$751,'TAR FIN'!$A$1:$O$95,15,0))</f>
        <v>0</v>
      </c>
      <c r="W751" s="6">
        <f>IF(ISERROR(VLOOKUP($T$751,'TAR FIN'!$A$1:$O$95,15,0)),0,VLOOKUP($T$751,'TAR FIN'!$A$1:$O$95,15,0))</f>
        <v>369.16</v>
      </c>
      <c r="X751" s="6">
        <f>IF(ISERROR(VLOOKUP($U$751,'TAR FIN'!$A$1:$O$95,15,0)),0,VLOOKUP($U$751,'TAR FIN'!$A$1:$O$95,15,0))</f>
        <v>199.51</v>
      </c>
      <c r="Y751" s="6"/>
      <c r="Z751" s="6">
        <f ca="1">('TUSD BE'!$AM$38+'TUSD BF'!$AM$38+'TUSD CVA'!$AM$38)*(1-CUSTOS!$M$38)</f>
        <v>445.73746261020432</v>
      </c>
      <c r="AA751" s="6">
        <f>('TE BE'!$AA$26+'TE BF'!$AA$26+'TE CVA'!$AA$26)*(1-CUSTOS!$M$38)</f>
        <v>261.5374640864809</v>
      </c>
      <c r="AB751" s="6">
        <f t="shared" si="28"/>
        <v>0</v>
      </c>
      <c r="AC751" s="6">
        <f>(L751-M751)*(W751+X751)+($W$482+$X$482-$W$751-$X$751)*(L751)</f>
        <v>519.99210920000007</v>
      </c>
      <c r="AD751" s="6">
        <f t="shared" si="29"/>
        <v>0</v>
      </c>
      <c r="AE751" s="6">
        <f ca="1">(L751-M751)*(Z751+AA751)+($Z$482+$AA$482-$Z$751-$AA$751)*(L751)</f>
        <v>586.28976369036252</v>
      </c>
      <c r="AF751" s="4" t="s">
        <v>846</v>
      </c>
    </row>
    <row r="752" spans="1:32" ht="11.25" customHeight="1" x14ac:dyDescent="0.25">
      <c r="A752" s="4" t="s">
        <v>28</v>
      </c>
      <c r="B752" s="4" t="s">
        <v>46</v>
      </c>
      <c r="C752" s="4" t="s">
        <v>23</v>
      </c>
      <c r="D752" s="4" t="s">
        <v>47</v>
      </c>
      <c r="E752" s="4" t="s">
        <v>58</v>
      </c>
      <c r="F752" s="4" t="s">
        <v>57</v>
      </c>
      <c r="G752" s="4" t="s">
        <v>25</v>
      </c>
      <c r="H752" s="4" t="s">
        <v>25</v>
      </c>
      <c r="I752" s="5">
        <v>44317</v>
      </c>
      <c r="J752" s="6">
        <v>0</v>
      </c>
      <c r="K752" s="6">
        <v>0</v>
      </c>
      <c r="L752" s="6">
        <v>13.019</v>
      </c>
      <c r="M752" s="6">
        <v>4.2962699999999998</v>
      </c>
      <c r="N752" s="6">
        <v>13.019</v>
      </c>
      <c r="O752" s="6">
        <v>4.2962699999999998</v>
      </c>
      <c r="P752" s="6">
        <v>0</v>
      </c>
      <c r="Q752" s="4" t="s">
        <v>26</v>
      </c>
      <c r="R752" s="4">
        <v>0</v>
      </c>
      <c r="S752" s="4">
        <v>0</v>
      </c>
      <c r="T752" s="4">
        <v>39</v>
      </c>
      <c r="U752" s="4">
        <v>85</v>
      </c>
      <c r="V752" s="6">
        <f>IF(ISERROR(VLOOKUP($S$752,'TAR FIN'!$A$1:$O$95,15,0)),0,VLOOKUP($S$752,'TAR FIN'!$A$1:$O$95,15,0))</f>
        <v>0</v>
      </c>
      <c r="W752" s="6">
        <f>IF(ISERROR(VLOOKUP($T$752,'TAR FIN'!$A$1:$O$95,15,0)),0,VLOOKUP($T$752,'TAR FIN'!$A$1:$O$95,15,0))</f>
        <v>369.16</v>
      </c>
      <c r="X752" s="6">
        <f>IF(ISERROR(VLOOKUP($U$752,'TAR FIN'!$A$1:$O$95,15,0)),0,VLOOKUP($U$752,'TAR FIN'!$A$1:$O$95,15,0))</f>
        <v>199.51</v>
      </c>
      <c r="Y752" s="6"/>
      <c r="Z752" s="6">
        <f ca="1">('TUSD BE'!$AM$38+'TUSD BF'!$AM$38+'TUSD CVA'!$AM$38)*(1-CUSTOS!$M$38)</f>
        <v>445.73746261020432</v>
      </c>
      <c r="AA752" s="6">
        <f>('TE BE'!$AA$26+'TE BF'!$AA$26+'TE CVA'!$AA$26)*(1-CUSTOS!$M$38)</f>
        <v>261.5374640864809</v>
      </c>
      <c r="AB752" s="6">
        <f t="shared" si="28"/>
        <v>0</v>
      </c>
      <c r="AC752" s="6">
        <f>(L752-M752)*(W752+X752)+($W$482+$X$482-$W$752-$X$752)*(L752)</f>
        <v>6585.3864491000004</v>
      </c>
      <c r="AD752" s="6">
        <f t="shared" si="29"/>
        <v>0</v>
      </c>
      <c r="AE752" s="6">
        <f ca="1">(L752-M752)*(Z752+AA752)+($Z$482+$AA$482-$Z$752-$AA$752)*(L752)</f>
        <v>7425.0062582537248</v>
      </c>
      <c r="AF752" s="4" t="s">
        <v>846</v>
      </c>
    </row>
    <row r="753" spans="1:32" ht="11.25" customHeight="1" x14ac:dyDescent="0.25">
      <c r="A753" s="4" t="s">
        <v>29</v>
      </c>
      <c r="B753" s="4" t="s">
        <v>46</v>
      </c>
      <c r="C753" s="4" t="s">
        <v>23</v>
      </c>
      <c r="D753" s="4" t="s">
        <v>47</v>
      </c>
      <c r="E753" s="4" t="s">
        <v>58</v>
      </c>
      <c r="F753" s="4" t="s">
        <v>57</v>
      </c>
      <c r="G753" s="4" t="s">
        <v>25</v>
      </c>
      <c r="H753" s="4" t="s">
        <v>25</v>
      </c>
      <c r="I753" s="5">
        <v>44317</v>
      </c>
      <c r="J753" s="6">
        <v>0</v>
      </c>
      <c r="K753" s="6">
        <v>0</v>
      </c>
      <c r="L753" s="6">
        <v>0.442</v>
      </c>
      <c r="M753" s="6">
        <v>0.14585999999999999</v>
      </c>
      <c r="N753" s="6">
        <v>0.442</v>
      </c>
      <c r="O753" s="6">
        <v>0.14585999999999999</v>
      </c>
      <c r="P753" s="6">
        <v>0</v>
      </c>
      <c r="Q753" s="4" t="s">
        <v>26</v>
      </c>
      <c r="R753" s="4">
        <v>0</v>
      </c>
      <c r="S753" s="4">
        <v>0</v>
      </c>
      <c r="T753" s="4">
        <v>39</v>
      </c>
      <c r="U753" s="4">
        <v>85</v>
      </c>
      <c r="V753" s="6">
        <f>IF(ISERROR(VLOOKUP($S$753,'TAR FIN'!$A$1:$O$95,15,0)),0,VLOOKUP($S$753,'TAR FIN'!$A$1:$O$95,15,0))</f>
        <v>0</v>
      </c>
      <c r="W753" s="6">
        <f>IF(ISERROR(VLOOKUP($T$753,'TAR FIN'!$A$1:$O$95,15,0)),0,VLOOKUP($T$753,'TAR FIN'!$A$1:$O$95,15,0))</f>
        <v>369.16</v>
      </c>
      <c r="X753" s="6">
        <f>IF(ISERROR(VLOOKUP($U$753,'TAR FIN'!$A$1:$O$95,15,0)),0,VLOOKUP($U$753,'TAR FIN'!$A$1:$O$95,15,0))</f>
        <v>199.51</v>
      </c>
      <c r="Y753" s="6"/>
      <c r="Z753" s="6">
        <f ca="1">('TUSD BE'!$AM$38+'TUSD BF'!$AM$38+'TUSD CVA'!$AM$38)*(1-CUSTOS!$M$38)</f>
        <v>445.73746261020432</v>
      </c>
      <c r="AA753" s="6">
        <f>('TE BE'!$AA$26+'TE BF'!$AA$26+'TE CVA'!$AA$26)*(1-CUSTOS!$M$38)</f>
        <v>261.5374640864809</v>
      </c>
      <c r="AB753" s="6">
        <f t="shared" si="28"/>
        <v>0</v>
      </c>
      <c r="AC753" s="6">
        <f>(L753-M753)*(W753+X753)+($W$482+$X$482-$W$753-$X$753)*(L753)</f>
        <v>223.57637380000006</v>
      </c>
      <c r="AD753" s="6">
        <f t="shared" si="29"/>
        <v>0</v>
      </c>
      <c r="AE753" s="6">
        <f ca="1">(L753-M753)*(Z753+AA753)+($Z$482+$AA$482-$Z$753-$AA$753)*(L753)</f>
        <v>252.08178555558388</v>
      </c>
      <c r="AF753" s="4" t="s">
        <v>846</v>
      </c>
    </row>
    <row r="754" spans="1:32" ht="11.25" customHeight="1" x14ac:dyDescent="0.25">
      <c r="A754" s="4" t="s">
        <v>21</v>
      </c>
      <c r="B754" s="4" t="s">
        <v>46</v>
      </c>
      <c r="C754" s="4" t="s">
        <v>23</v>
      </c>
      <c r="D754" s="4" t="s">
        <v>47</v>
      </c>
      <c r="E754" s="4" t="s">
        <v>58</v>
      </c>
      <c r="F754" s="4" t="s">
        <v>57</v>
      </c>
      <c r="G754" s="4" t="s">
        <v>25</v>
      </c>
      <c r="H754" s="4" t="s">
        <v>25</v>
      </c>
      <c r="I754" s="5">
        <v>44348</v>
      </c>
      <c r="J754" s="6">
        <v>0</v>
      </c>
      <c r="K754" s="6">
        <v>0</v>
      </c>
      <c r="L754" s="6">
        <v>6.3869999999999996</v>
      </c>
      <c r="M754" s="6">
        <v>2.10771</v>
      </c>
      <c r="N754" s="6">
        <v>6.3869999999999996</v>
      </c>
      <c r="O754" s="6">
        <v>2.10771</v>
      </c>
      <c r="P754" s="6">
        <v>0</v>
      </c>
      <c r="Q754" s="4" t="s">
        <v>26</v>
      </c>
      <c r="R754" s="4">
        <v>0</v>
      </c>
      <c r="S754" s="4">
        <v>0</v>
      </c>
      <c r="T754" s="4">
        <v>39</v>
      </c>
      <c r="U754" s="4">
        <v>85</v>
      </c>
      <c r="V754" s="6">
        <f>IF(ISERROR(VLOOKUP($S$754,'TAR FIN'!$A$1:$O$95,15,0)),0,VLOOKUP($S$754,'TAR FIN'!$A$1:$O$95,15,0))</f>
        <v>0</v>
      </c>
      <c r="W754" s="6">
        <f>IF(ISERROR(VLOOKUP($T$754,'TAR FIN'!$A$1:$O$95,15,0)),0,VLOOKUP($T$754,'TAR FIN'!$A$1:$O$95,15,0))</f>
        <v>369.16</v>
      </c>
      <c r="X754" s="6">
        <f>IF(ISERROR(VLOOKUP($U$754,'TAR FIN'!$A$1:$O$95,15,0)),0,VLOOKUP($U$754,'TAR FIN'!$A$1:$O$95,15,0))</f>
        <v>199.51</v>
      </c>
      <c r="Y754" s="6"/>
      <c r="Z754" s="6">
        <f ca="1">('TUSD BE'!$AM$38+'TUSD BF'!$AM$38+'TUSD CVA'!$AM$38)*(1-CUSTOS!$M$38)</f>
        <v>445.73746261020432</v>
      </c>
      <c r="AA754" s="6">
        <f>('TE BE'!$AA$26+'TE BF'!$AA$26+'TE CVA'!$AA$26)*(1-CUSTOS!$M$38)</f>
        <v>261.5374640864809</v>
      </c>
      <c r="AB754" s="6">
        <f t="shared" si="28"/>
        <v>0</v>
      </c>
      <c r="AC754" s="6">
        <f>(L754-M754)*(W754+X754)+($W$482+$X$482-$W$754-$X$754)*(L754)</f>
        <v>3230.7291842999998</v>
      </c>
      <c r="AD754" s="6">
        <f t="shared" si="29"/>
        <v>0</v>
      </c>
      <c r="AE754" s="6">
        <f ca="1">(L754-M754)*(Z754+AA754)+($Z$482+$AA$482-$Z$754-$AA$754)*(L754)</f>
        <v>3642.6388333563664</v>
      </c>
      <c r="AF754" s="4" t="s">
        <v>846</v>
      </c>
    </row>
    <row r="755" spans="1:32" ht="11.25" customHeight="1" x14ac:dyDescent="0.25">
      <c r="A755" s="4" t="s">
        <v>27</v>
      </c>
      <c r="B755" s="4" t="s">
        <v>46</v>
      </c>
      <c r="C755" s="4" t="s">
        <v>23</v>
      </c>
      <c r="D755" s="4" t="s">
        <v>47</v>
      </c>
      <c r="E755" s="4" t="s">
        <v>58</v>
      </c>
      <c r="F755" s="4" t="s">
        <v>57</v>
      </c>
      <c r="G755" s="4" t="s">
        <v>25</v>
      </c>
      <c r="H755" s="4" t="s">
        <v>25</v>
      </c>
      <c r="I755" s="5">
        <v>44348</v>
      </c>
      <c r="J755" s="6">
        <v>0</v>
      </c>
      <c r="K755" s="6">
        <v>0</v>
      </c>
      <c r="L755" s="6">
        <v>3.7189999999999999</v>
      </c>
      <c r="M755" s="6">
        <v>1.2272700000000001</v>
      </c>
      <c r="N755" s="6">
        <v>3.7189999999999999</v>
      </c>
      <c r="O755" s="6">
        <v>1.2272700000000001</v>
      </c>
      <c r="P755" s="6">
        <v>0</v>
      </c>
      <c r="Q755" s="4" t="s">
        <v>26</v>
      </c>
      <c r="R755" s="4">
        <v>0</v>
      </c>
      <c r="S755" s="4">
        <v>0</v>
      </c>
      <c r="T755" s="4">
        <v>39</v>
      </c>
      <c r="U755" s="4">
        <v>85</v>
      </c>
      <c r="V755" s="6">
        <f>IF(ISERROR(VLOOKUP($S$755,'TAR FIN'!$A$1:$O$95,15,0)),0,VLOOKUP($S$755,'TAR FIN'!$A$1:$O$95,15,0))</f>
        <v>0</v>
      </c>
      <c r="W755" s="6">
        <f>IF(ISERROR(VLOOKUP($T$755,'TAR FIN'!$A$1:$O$95,15,0)),0,VLOOKUP($T$755,'TAR FIN'!$A$1:$O$95,15,0))</f>
        <v>369.16</v>
      </c>
      <c r="X755" s="6">
        <f>IF(ISERROR(VLOOKUP($U$755,'TAR FIN'!$A$1:$O$95,15,0)),0,VLOOKUP($U$755,'TAR FIN'!$A$1:$O$95,15,0))</f>
        <v>199.51</v>
      </c>
      <c r="Y755" s="6"/>
      <c r="Z755" s="6">
        <f ca="1">('TUSD BE'!$AM$38+'TUSD BF'!$AM$38+'TUSD CVA'!$AM$38)*(1-CUSTOS!$M$38)</f>
        <v>445.73746261020432</v>
      </c>
      <c r="AA755" s="6">
        <f>('TE BE'!$AA$26+'TE BF'!$AA$26+'TE CVA'!$AA$26)*(1-CUSTOS!$M$38)</f>
        <v>261.5374640864809</v>
      </c>
      <c r="AB755" s="6">
        <f t="shared" si="28"/>
        <v>0</v>
      </c>
      <c r="AC755" s="6">
        <f>(L755-M755)*(W755+X755)+($W$482+$X$482-$W$755-$X$755)*(L755)</f>
        <v>1881.1776790999998</v>
      </c>
      <c r="AD755" s="6">
        <f t="shared" si="29"/>
        <v>0</v>
      </c>
      <c r="AE755" s="6">
        <f ca="1">(L755-M755)*(Z755+AA755)+($Z$482+$AA$482-$Z$755-$AA$755)*(L755)</f>
        <v>2121.022987514064</v>
      </c>
      <c r="AF755" s="4" t="s">
        <v>846</v>
      </c>
    </row>
    <row r="756" spans="1:32" ht="11.25" customHeight="1" x14ac:dyDescent="0.25">
      <c r="A756" s="4" t="s">
        <v>28</v>
      </c>
      <c r="B756" s="4" t="s">
        <v>46</v>
      </c>
      <c r="C756" s="4" t="s">
        <v>23</v>
      </c>
      <c r="D756" s="4" t="s">
        <v>47</v>
      </c>
      <c r="E756" s="4" t="s">
        <v>58</v>
      </c>
      <c r="F756" s="4" t="s">
        <v>57</v>
      </c>
      <c r="G756" s="4" t="s">
        <v>25</v>
      </c>
      <c r="H756" s="4" t="s">
        <v>25</v>
      </c>
      <c r="I756" s="5">
        <v>44348</v>
      </c>
      <c r="J756" s="6">
        <v>0</v>
      </c>
      <c r="K756" s="6">
        <v>0</v>
      </c>
      <c r="L756" s="6">
        <v>18.571999999999999</v>
      </c>
      <c r="M756" s="6">
        <v>18.571999999999999</v>
      </c>
      <c r="N756" s="6">
        <v>18.571999999999999</v>
      </c>
      <c r="O756" s="6">
        <v>18.571999999999999</v>
      </c>
      <c r="P756" s="6">
        <v>0</v>
      </c>
      <c r="Q756" s="4" t="s">
        <v>26</v>
      </c>
      <c r="R756" s="4">
        <v>0</v>
      </c>
      <c r="S756" s="4">
        <v>0</v>
      </c>
      <c r="T756" s="4">
        <v>39</v>
      </c>
      <c r="U756" s="4">
        <v>85</v>
      </c>
      <c r="V756" s="6">
        <f>IF(ISERROR(VLOOKUP($S$756,'TAR FIN'!$A$1:$O$95,15,0)),0,VLOOKUP($S$756,'TAR FIN'!$A$1:$O$95,15,0))</f>
        <v>0</v>
      </c>
      <c r="W756" s="6">
        <f>IF(ISERROR(VLOOKUP($T$756,'TAR FIN'!$A$1:$O$95,15,0)),0,VLOOKUP($T$756,'TAR FIN'!$A$1:$O$95,15,0))</f>
        <v>369.16</v>
      </c>
      <c r="X756" s="6">
        <f>IF(ISERROR(VLOOKUP($U$756,'TAR FIN'!$A$1:$O$95,15,0)),0,VLOOKUP($U$756,'TAR FIN'!$A$1:$O$95,15,0))</f>
        <v>199.51</v>
      </c>
      <c r="Y756" s="6"/>
      <c r="Z756" s="6">
        <f ca="1">('TUSD BE'!$AM$38+'TUSD BF'!$AM$38+'TUSD CVA'!$AM$38)*(1-CUSTOS!$M$38)</f>
        <v>445.73746261020432</v>
      </c>
      <c r="AA756" s="6">
        <f>('TE BE'!$AA$26+'TE BF'!$AA$26+'TE CVA'!$AA$26)*(1-CUSTOS!$M$38)</f>
        <v>261.5374640864809</v>
      </c>
      <c r="AB756" s="6">
        <f t="shared" si="28"/>
        <v>0</v>
      </c>
      <c r="AC756" s="6">
        <f>(L756-M756)*(W756+X756)+($W$482+$X$482-$W$756-$X$756)*(L756)</f>
        <v>2318.1570399999996</v>
      </c>
      <c r="AD756" s="6">
        <f t="shared" si="29"/>
        <v>0</v>
      </c>
      <c r="AE756" s="6">
        <f ca="1">(L756-M756)*(Z756+AA756)+($Z$482+$AA$482-$Z$756-$AA$756)*(L756)</f>
        <v>1791.2059007196603</v>
      </c>
      <c r="AF756" s="4" t="s">
        <v>844</v>
      </c>
    </row>
    <row r="757" spans="1:32" ht="11.25" customHeight="1" x14ac:dyDescent="0.25">
      <c r="A757" s="4" t="s">
        <v>21</v>
      </c>
      <c r="B757" s="4" t="s">
        <v>46</v>
      </c>
      <c r="C757" s="4" t="s">
        <v>23</v>
      </c>
      <c r="D757" s="4" t="s">
        <v>47</v>
      </c>
      <c r="E757" s="4" t="s">
        <v>58</v>
      </c>
      <c r="F757" s="4" t="s">
        <v>57</v>
      </c>
      <c r="G757" s="4" t="s">
        <v>25</v>
      </c>
      <c r="H757" s="4" t="s">
        <v>25</v>
      </c>
      <c r="I757" s="5">
        <v>44378</v>
      </c>
      <c r="J757" s="6">
        <v>0</v>
      </c>
      <c r="K757" s="6">
        <v>0</v>
      </c>
      <c r="L757" s="6">
        <v>9.3330000000000002</v>
      </c>
      <c r="M757" s="6">
        <v>3.0798899999999998</v>
      </c>
      <c r="N757" s="6">
        <v>9.3330000000000002</v>
      </c>
      <c r="O757" s="6">
        <v>3.0798899999999998</v>
      </c>
      <c r="P757" s="6">
        <v>0</v>
      </c>
      <c r="Q757" s="4" t="s">
        <v>26</v>
      </c>
      <c r="R757" s="4">
        <v>0</v>
      </c>
      <c r="S757" s="4">
        <v>0</v>
      </c>
      <c r="T757" s="4">
        <v>39</v>
      </c>
      <c r="U757" s="4">
        <v>85</v>
      </c>
      <c r="V757" s="6">
        <f>IF(ISERROR(VLOOKUP($S$757,'TAR FIN'!$A$1:$O$95,15,0)),0,VLOOKUP($S$757,'TAR FIN'!$A$1:$O$95,15,0))</f>
        <v>0</v>
      </c>
      <c r="W757" s="6">
        <f>IF(ISERROR(VLOOKUP($T$757,'TAR FIN'!$A$1:$O$95,15,0)),0,VLOOKUP($T$757,'TAR FIN'!$A$1:$O$95,15,0))</f>
        <v>369.16</v>
      </c>
      <c r="X757" s="6">
        <f>IF(ISERROR(VLOOKUP($U$757,'TAR FIN'!$A$1:$O$95,15,0)),0,VLOOKUP($U$757,'TAR FIN'!$A$1:$O$95,15,0))</f>
        <v>199.51</v>
      </c>
      <c r="Y757" s="6"/>
      <c r="Z757" s="6">
        <f ca="1">('TUSD BE'!$AM$38+'TUSD BF'!$AM$38+'TUSD CVA'!$AM$38)*(1-CUSTOS!$M$38)</f>
        <v>445.73746261020432</v>
      </c>
      <c r="AA757" s="6">
        <f>('TE BE'!$AA$26+'TE BF'!$AA$26+'TE CVA'!$AA$26)*(1-CUSTOS!$M$38)</f>
        <v>261.5374640864809</v>
      </c>
      <c r="AB757" s="6">
        <f t="shared" si="28"/>
        <v>0</v>
      </c>
      <c r="AC757" s="6">
        <f>(L757-M757)*(W757+X757)+($W$482+$X$482-$W$757-$X$757)*(L757)</f>
        <v>4720.9011237000013</v>
      </c>
      <c r="AD757" s="6">
        <f t="shared" si="29"/>
        <v>0</v>
      </c>
      <c r="AE757" s="6">
        <f ca="1">(L757-M757)*(Z757+AA757)+($Z$482+$AA$482-$Z$757-$AA$757)*(L757)</f>
        <v>5322.8038565390598</v>
      </c>
      <c r="AF757" s="4" t="s">
        <v>846</v>
      </c>
    </row>
    <row r="758" spans="1:32" ht="11.25" customHeight="1" x14ac:dyDescent="0.25">
      <c r="A758" s="4" t="s">
        <v>27</v>
      </c>
      <c r="B758" s="4" t="s">
        <v>46</v>
      </c>
      <c r="C758" s="4" t="s">
        <v>23</v>
      </c>
      <c r="D758" s="4" t="s">
        <v>47</v>
      </c>
      <c r="E758" s="4" t="s">
        <v>58</v>
      </c>
      <c r="F758" s="4" t="s">
        <v>57</v>
      </c>
      <c r="G758" s="4" t="s">
        <v>25</v>
      </c>
      <c r="H758" s="4" t="s">
        <v>25</v>
      </c>
      <c r="I758" s="5">
        <v>44378</v>
      </c>
      <c r="J758" s="6">
        <v>0</v>
      </c>
      <c r="K758" s="6">
        <v>0</v>
      </c>
      <c r="L758" s="6">
        <v>-0.57599999999999996</v>
      </c>
      <c r="M758" s="6">
        <v>-0.19008</v>
      </c>
      <c r="N758" s="6">
        <v>-0.57599999999999996</v>
      </c>
      <c r="O758" s="6">
        <v>-0.19008</v>
      </c>
      <c r="P758" s="6">
        <v>0</v>
      </c>
      <c r="Q758" s="4" t="s">
        <v>26</v>
      </c>
      <c r="R758" s="4">
        <v>0</v>
      </c>
      <c r="S758" s="4">
        <v>0</v>
      </c>
      <c r="T758" s="4">
        <v>39</v>
      </c>
      <c r="U758" s="4">
        <v>85</v>
      </c>
      <c r="V758" s="6">
        <f>IF(ISERROR(VLOOKUP($S$758,'TAR FIN'!$A$1:$O$95,15,0)),0,VLOOKUP($S$758,'TAR FIN'!$A$1:$O$95,15,0))</f>
        <v>0</v>
      </c>
      <c r="W758" s="6">
        <f>IF(ISERROR(VLOOKUP($T$758,'TAR FIN'!$A$1:$O$95,15,0)),0,VLOOKUP($T$758,'TAR FIN'!$A$1:$O$95,15,0))</f>
        <v>369.16</v>
      </c>
      <c r="X758" s="6">
        <f>IF(ISERROR(VLOOKUP($U$758,'TAR FIN'!$A$1:$O$95,15,0)),0,VLOOKUP($U$758,'TAR FIN'!$A$1:$O$95,15,0))</f>
        <v>199.51</v>
      </c>
      <c r="Y758" s="6"/>
      <c r="Z758" s="6">
        <f ca="1">('TUSD BE'!$AM$38+'TUSD BF'!$AM$38+'TUSD CVA'!$AM$38)*(1-CUSTOS!$M$38)</f>
        <v>445.73746261020432</v>
      </c>
      <c r="AA758" s="6">
        <f>('TE BE'!$AA$26+'TE BF'!$AA$26+'TE CVA'!$AA$26)*(1-CUSTOS!$M$38)</f>
        <v>261.5374640864809</v>
      </c>
      <c r="AB758" s="6">
        <f t="shared" si="28"/>
        <v>0</v>
      </c>
      <c r="AC758" s="6">
        <f>(L758-M758)*(W758+X758)+($W$482+$X$482-$W$758-$X$758)*(L758)</f>
        <v>-291.35744639999996</v>
      </c>
      <c r="AD758" s="6">
        <f t="shared" si="29"/>
        <v>0</v>
      </c>
      <c r="AE758" s="6">
        <f ca="1">(L758-M758)*(Z758+AA758)+($Z$482+$AA$482-$Z$758-$AA$758)*(L758)</f>
        <v>-328.50477031677895</v>
      </c>
      <c r="AF758" s="4" t="s">
        <v>846</v>
      </c>
    </row>
    <row r="759" spans="1:32" ht="11.25" customHeight="1" x14ac:dyDescent="0.25">
      <c r="A759" s="4" t="s">
        <v>28</v>
      </c>
      <c r="B759" s="4" t="s">
        <v>46</v>
      </c>
      <c r="C759" s="4" t="s">
        <v>23</v>
      </c>
      <c r="D759" s="4" t="s">
        <v>47</v>
      </c>
      <c r="E759" s="4" t="s">
        <v>58</v>
      </c>
      <c r="F759" s="4" t="s">
        <v>57</v>
      </c>
      <c r="G759" s="4" t="s">
        <v>25</v>
      </c>
      <c r="H759" s="4" t="s">
        <v>25</v>
      </c>
      <c r="I759" s="5">
        <v>44378</v>
      </c>
      <c r="J759" s="6">
        <v>0</v>
      </c>
      <c r="K759" s="6">
        <v>0</v>
      </c>
      <c r="L759" s="6">
        <v>17.431999999999999</v>
      </c>
      <c r="M759" s="6">
        <v>5.7525599999999999</v>
      </c>
      <c r="N759" s="6">
        <v>17.431999999999999</v>
      </c>
      <c r="O759" s="6">
        <v>5.7525599999999999</v>
      </c>
      <c r="P759" s="6">
        <v>0</v>
      </c>
      <c r="Q759" s="4" t="s">
        <v>26</v>
      </c>
      <c r="R759" s="4">
        <v>0</v>
      </c>
      <c r="S759" s="4">
        <v>0</v>
      </c>
      <c r="T759" s="4">
        <v>39</v>
      </c>
      <c r="U759" s="4">
        <v>85</v>
      </c>
      <c r="V759" s="6">
        <f>IF(ISERROR(VLOOKUP($S$759,'TAR FIN'!$A$1:$O$95,15,0)),0,VLOOKUP($S$759,'TAR FIN'!$A$1:$O$95,15,0))</f>
        <v>0</v>
      </c>
      <c r="W759" s="6">
        <f>IF(ISERROR(VLOOKUP($T$759,'TAR FIN'!$A$1:$O$95,15,0)),0,VLOOKUP($T$759,'TAR FIN'!$A$1:$O$95,15,0))</f>
        <v>369.16</v>
      </c>
      <c r="X759" s="6">
        <f>IF(ISERROR(VLOOKUP($U$759,'TAR FIN'!$A$1:$O$95,15,0)),0,VLOOKUP($U$759,'TAR FIN'!$A$1:$O$95,15,0))</f>
        <v>199.51</v>
      </c>
      <c r="Y759" s="6"/>
      <c r="Z759" s="6">
        <f ca="1">('TUSD BE'!$AM$38+'TUSD BF'!$AM$38+'TUSD CVA'!$AM$38)*(1-CUSTOS!$M$38)</f>
        <v>445.73746261020432</v>
      </c>
      <c r="AA759" s="6">
        <f>('TE BE'!$AA$26+'TE BF'!$AA$26+'TE CVA'!$AA$26)*(1-CUSTOS!$M$38)</f>
        <v>261.5374640864809</v>
      </c>
      <c r="AB759" s="6">
        <f t="shared" si="28"/>
        <v>0</v>
      </c>
      <c r="AC759" s="6">
        <f>(L759-M759)*(W759+X759)+($W$482+$X$482-$W$759-$X$759)*(L759)</f>
        <v>8817.6093848</v>
      </c>
      <c r="AD759" s="6">
        <f t="shared" si="29"/>
        <v>0</v>
      </c>
      <c r="AE759" s="6">
        <f ca="1">(L759-M759)*(Z759+AA759)+($Z$482+$AA$482-$Z$759-$AA$759)*(L759)</f>
        <v>9941.8318683369653</v>
      </c>
      <c r="AF759" s="4" t="s">
        <v>846</v>
      </c>
    </row>
    <row r="760" spans="1:32" ht="11.25" customHeight="1" x14ac:dyDescent="0.25">
      <c r="A760" s="4" t="s">
        <v>21</v>
      </c>
      <c r="B760" s="4" t="s">
        <v>46</v>
      </c>
      <c r="C760" s="4" t="s">
        <v>23</v>
      </c>
      <c r="D760" s="4" t="s">
        <v>47</v>
      </c>
      <c r="E760" s="4" t="s">
        <v>58</v>
      </c>
      <c r="F760" s="4" t="s">
        <v>57</v>
      </c>
      <c r="G760" s="4" t="s">
        <v>25</v>
      </c>
      <c r="H760" s="4" t="s">
        <v>25</v>
      </c>
      <c r="I760" s="5">
        <v>44409</v>
      </c>
      <c r="J760" s="6">
        <v>0</v>
      </c>
      <c r="K760" s="6">
        <v>0</v>
      </c>
      <c r="L760" s="6">
        <v>15.872</v>
      </c>
      <c r="M760" s="6">
        <v>5.2377599999999997</v>
      </c>
      <c r="N760" s="6">
        <v>15.872</v>
      </c>
      <c r="O760" s="6">
        <v>5.2377599999999997</v>
      </c>
      <c r="P760" s="6">
        <v>0</v>
      </c>
      <c r="Q760" s="4" t="s">
        <v>26</v>
      </c>
      <c r="R760" s="4">
        <v>0</v>
      </c>
      <c r="S760" s="4">
        <v>0</v>
      </c>
      <c r="T760" s="4">
        <v>39</v>
      </c>
      <c r="U760" s="4">
        <v>85</v>
      </c>
      <c r="V760" s="6">
        <f>IF(ISERROR(VLOOKUP($S$760,'TAR FIN'!$A$1:$O$95,15,0)),0,VLOOKUP($S$760,'TAR FIN'!$A$1:$O$95,15,0))</f>
        <v>0</v>
      </c>
      <c r="W760" s="6">
        <f>IF(ISERROR(VLOOKUP($T$760,'TAR FIN'!$A$1:$O$95,15,0)),0,VLOOKUP($T$760,'TAR FIN'!$A$1:$O$95,15,0))</f>
        <v>369.16</v>
      </c>
      <c r="X760" s="6">
        <f>IF(ISERROR(VLOOKUP($U$760,'TAR FIN'!$A$1:$O$95,15,0)),0,VLOOKUP($U$760,'TAR FIN'!$A$1:$O$95,15,0))</f>
        <v>199.51</v>
      </c>
      <c r="Y760" s="6"/>
      <c r="Z760" s="6">
        <f ca="1">('TUSD BE'!$AM$38+'TUSD BF'!$AM$38+'TUSD CVA'!$AM$38)*(1-CUSTOS!$M$38)</f>
        <v>445.73746261020432</v>
      </c>
      <c r="AA760" s="6">
        <f>('TE BE'!$AA$26+'TE BF'!$AA$26+'TE CVA'!$AA$26)*(1-CUSTOS!$M$38)</f>
        <v>261.5374640864809</v>
      </c>
      <c r="AB760" s="6">
        <f t="shared" si="28"/>
        <v>0</v>
      </c>
      <c r="AC760" s="6">
        <f>(L760-M760)*(W760+X760)+($W$482+$X$482-$W$760-$X$760)*(L760)</f>
        <v>8028.5163008000009</v>
      </c>
      <c r="AD760" s="6">
        <f t="shared" si="29"/>
        <v>0</v>
      </c>
      <c r="AE760" s="6">
        <f ca="1">(L760-M760)*(Z760+AA760)+($Z$482+$AA$482-$Z$760-$AA$760)*(L760)</f>
        <v>9052.1314487290219</v>
      </c>
      <c r="AF760" s="4" t="s">
        <v>846</v>
      </c>
    </row>
    <row r="761" spans="1:32" ht="11.25" customHeight="1" x14ac:dyDescent="0.25">
      <c r="A761" s="4" t="s">
        <v>28</v>
      </c>
      <c r="B761" s="4" t="s">
        <v>46</v>
      </c>
      <c r="C761" s="4" t="s">
        <v>23</v>
      </c>
      <c r="D761" s="4" t="s">
        <v>47</v>
      </c>
      <c r="E761" s="4" t="s">
        <v>58</v>
      </c>
      <c r="F761" s="4" t="s">
        <v>57</v>
      </c>
      <c r="G761" s="4" t="s">
        <v>25</v>
      </c>
      <c r="H761" s="4" t="s">
        <v>25</v>
      </c>
      <c r="I761" s="5">
        <v>44409</v>
      </c>
      <c r="J761" s="6">
        <v>0</v>
      </c>
      <c r="K761" s="6">
        <v>0</v>
      </c>
      <c r="L761" s="6">
        <v>16.562999999999999</v>
      </c>
      <c r="M761" s="6">
        <v>5.4657900000000001</v>
      </c>
      <c r="N761" s="6">
        <v>16.562999999999999</v>
      </c>
      <c r="O761" s="6">
        <v>5.4657900000000001</v>
      </c>
      <c r="P761" s="6">
        <v>0</v>
      </c>
      <c r="Q761" s="4" t="s">
        <v>26</v>
      </c>
      <c r="R761" s="4">
        <v>0</v>
      </c>
      <c r="S761" s="4">
        <v>0</v>
      </c>
      <c r="T761" s="4">
        <v>39</v>
      </c>
      <c r="U761" s="4">
        <v>85</v>
      </c>
      <c r="V761" s="6">
        <f>IF(ISERROR(VLOOKUP($S$761,'TAR FIN'!$A$1:$O$95,15,0)),0,VLOOKUP($S$761,'TAR FIN'!$A$1:$O$95,15,0))</f>
        <v>0</v>
      </c>
      <c r="W761" s="6">
        <f>IF(ISERROR(VLOOKUP($T$761,'TAR FIN'!$A$1:$O$95,15,0)),0,VLOOKUP($T$761,'TAR FIN'!$A$1:$O$95,15,0))</f>
        <v>369.16</v>
      </c>
      <c r="X761" s="6">
        <f>IF(ISERROR(VLOOKUP($U$761,'TAR FIN'!$A$1:$O$95,15,0)),0,VLOOKUP($U$761,'TAR FIN'!$A$1:$O$95,15,0))</f>
        <v>199.51</v>
      </c>
      <c r="Y761" s="6"/>
      <c r="Z761" s="6">
        <f ca="1">('TUSD BE'!$AM$38+'TUSD BF'!$AM$38+'TUSD CVA'!$AM$38)*(1-CUSTOS!$M$38)</f>
        <v>445.73746261020432</v>
      </c>
      <c r="AA761" s="6">
        <f>('TE BE'!$AA$26+'TE BF'!$AA$26+'TE CVA'!$AA$26)*(1-CUSTOS!$M$38)</f>
        <v>261.5374640864809</v>
      </c>
      <c r="AB761" s="6">
        <f t="shared" si="28"/>
        <v>0</v>
      </c>
      <c r="AC761" s="6">
        <f>(L761-M761)*(W761+X761)+($W$482+$X$482-$W$761-$X$761)*(L761)</f>
        <v>8378.0440706999998</v>
      </c>
      <c r="AD761" s="6">
        <f t="shared" si="29"/>
        <v>0</v>
      </c>
      <c r="AE761" s="6">
        <f ca="1">(L761-M761)*(Z761+AA761)+($Z$482+$AA$482-$Z$761-$AA$761)*(L761)</f>
        <v>9446.2231089527941</v>
      </c>
      <c r="AF761" s="4" t="s">
        <v>846</v>
      </c>
    </row>
    <row r="762" spans="1:32" ht="11.25" customHeight="1" x14ac:dyDescent="0.25">
      <c r="A762" s="4" t="s">
        <v>29</v>
      </c>
      <c r="B762" s="4" t="s">
        <v>46</v>
      </c>
      <c r="C762" s="4" t="s">
        <v>23</v>
      </c>
      <c r="D762" s="4" t="s">
        <v>47</v>
      </c>
      <c r="E762" s="4" t="s">
        <v>58</v>
      </c>
      <c r="F762" s="4" t="s">
        <v>57</v>
      </c>
      <c r="G762" s="4" t="s">
        <v>25</v>
      </c>
      <c r="H762" s="4" t="s">
        <v>25</v>
      </c>
      <c r="I762" s="5">
        <v>44409</v>
      </c>
      <c r="J762" s="6">
        <v>0</v>
      </c>
      <c r="K762" s="6">
        <v>0</v>
      </c>
      <c r="L762" s="6">
        <v>0.182</v>
      </c>
      <c r="M762" s="6">
        <v>6.0060000000000002E-2</v>
      </c>
      <c r="N762" s="6">
        <v>0.182</v>
      </c>
      <c r="O762" s="6">
        <v>6.0060000000000002E-2</v>
      </c>
      <c r="P762" s="6">
        <v>0</v>
      </c>
      <c r="Q762" s="4" t="s">
        <v>26</v>
      </c>
      <c r="R762" s="4">
        <v>0</v>
      </c>
      <c r="S762" s="4">
        <v>0</v>
      </c>
      <c r="T762" s="4">
        <v>39</v>
      </c>
      <c r="U762" s="4">
        <v>85</v>
      </c>
      <c r="V762" s="6">
        <f>IF(ISERROR(VLOOKUP($S$762,'TAR FIN'!$A$1:$O$95,15,0)),0,VLOOKUP($S$762,'TAR FIN'!$A$1:$O$95,15,0))</f>
        <v>0</v>
      </c>
      <c r="W762" s="6">
        <f>IF(ISERROR(VLOOKUP($T$762,'TAR FIN'!$A$1:$O$95,15,0)),0,VLOOKUP($T$762,'TAR FIN'!$A$1:$O$95,15,0))</f>
        <v>369.16</v>
      </c>
      <c r="X762" s="6">
        <f>IF(ISERROR(VLOOKUP($U$762,'TAR FIN'!$A$1:$O$95,15,0)),0,VLOOKUP($U$762,'TAR FIN'!$A$1:$O$95,15,0))</f>
        <v>199.51</v>
      </c>
      <c r="Y762" s="6"/>
      <c r="Z762" s="6">
        <f ca="1">('TUSD BE'!$AM$38+'TUSD BF'!$AM$38+'TUSD CVA'!$AM$38)*(1-CUSTOS!$M$38)</f>
        <v>445.73746261020432</v>
      </c>
      <c r="AA762" s="6">
        <f>('TE BE'!$AA$26+'TE BF'!$AA$26+'TE CVA'!$AA$26)*(1-CUSTOS!$M$38)</f>
        <v>261.5374640864809</v>
      </c>
      <c r="AB762" s="6">
        <f t="shared" si="28"/>
        <v>0</v>
      </c>
      <c r="AC762" s="6">
        <f>(L762-M762)*(W762+X762)+($W$482+$X$482-$W$762-$X$762)*(L762)</f>
        <v>92.060859800000003</v>
      </c>
      <c r="AD762" s="6">
        <f t="shared" si="29"/>
        <v>0</v>
      </c>
      <c r="AE762" s="6">
        <f ca="1">(L762-M762)*(Z762+AA762)+($Z$482+$AA$482-$Z$762-$AA$762)*(L762)</f>
        <v>103.79838228759336</v>
      </c>
      <c r="AF762" s="4" t="s">
        <v>846</v>
      </c>
    </row>
    <row r="763" spans="1:32" ht="11.25" customHeight="1" x14ac:dyDescent="0.25">
      <c r="A763" s="4" t="s">
        <v>21</v>
      </c>
      <c r="B763" s="4" t="s">
        <v>46</v>
      </c>
      <c r="C763" s="4" t="s">
        <v>23</v>
      </c>
      <c r="D763" s="4" t="s">
        <v>47</v>
      </c>
      <c r="E763" s="4" t="s">
        <v>58</v>
      </c>
      <c r="F763" s="4" t="s">
        <v>57</v>
      </c>
      <c r="G763" s="4" t="s">
        <v>25</v>
      </c>
      <c r="H763" s="4" t="s">
        <v>25</v>
      </c>
      <c r="I763" s="5">
        <v>44440</v>
      </c>
      <c r="J763" s="6">
        <v>0</v>
      </c>
      <c r="K763" s="6">
        <v>0</v>
      </c>
      <c r="L763" s="6">
        <v>6.3520000000000003</v>
      </c>
      <c r="M763" s="6">
        <v>2.0961599999999998</v>
      </c>
      <c r="N763" s="6">
        <v>6.3520000000000003</v>
      </c>
      <c r="O763" s="6">
        <v>2.0961599999999998</v>
      </c>
      <c r="P763" s="6">
        <v>0</v>
      </c>
      <c r="Q763" s="4" t="s">
        <v>26</v>
      </c>
      <c r="R763" s="4">
        <v>0</v>
      </c>
      <c r="S763" s="4">
        <v>0</v>
      </c>
      <c r="T763" s="4">
        <v>39</v>
      </c>
      <c r="U763" s="4">
        <v>85</v>
      </c>
      <c r="V763" s="6">
        <f>IF(ISERROR(VLOOKUP($S$763,'TAR FIN'!$A$1:$O$95,15,0)),0,VLOOKUP($S$763,'TAR FIN'!$A$1:$O$95,15,0))</f>
        <v>0</v>
      </c>
      <c r="W763" s="6">
        <f>IF(ISERROR(VLOOKUP($T$763,'TAR FIN'!$A$1:$O$95,15,0)),0,VLOOKUP($T$763,'TAR FIN'!$A$1:$O$95,15,0))</f>
        <v>369.16</v>
      </c>
      <c r="X763" s="6">
        <f>IF(ISERROR(VLOOKUP($U$763,'TAR FIN'!$A$1:$O$95,15,0)),0,VLOOKUP($U$763,'TAR FIN'!$A$1:$O$95,15,0))</f>
        <v>199.51</v>
      </c>
      <c r="Y763" s="6"/>
      <c r="Z763" s="6">
        <f ca="1">('TUSD BE'!$AM$38+'TUSD BF'!$AM$38+'TUSD CVA'!$AM$38)*(1-CUSTOS!$M$38)</f>
        <v>445.73746261020432</v>
      </c>
      <c r="AA763" s="6">
        <f>('TE BE'!$AA$26+'TE BF'!$AA$26+'TE CVA'!$AA$26)*(1-CUSTOS!$M$38)</f>
        <v>261.5374640864809</v>
      </c>
      <c r="AB763" s="6">
        <f t="shared" si="28"/>
        <v>0</v>
      </c>
      <c r="AC763" s="6">
        <f>(L763-M763)*(W763+X763)+($W$482+$X$482-$W$763-$X$763)*(L763)</f>
        <v>3213.0251728000007</v>
      </c>
      <c r="AD763" s="6">
        <f t="shared" si="29"/>
        <v>0</v>
      </c>
      <c r="AE763" s="6">
        <f ca="1">(L763-M763)*(Z763+AA763)+($Z$482+$AA$482-$Z$763-$AA$763)*(L763)</f>
        <v>3622.6776059933691</v>
      </c>
      <c r="AF763" s="4" t="s">
        <v>846</v>
      </c>
    </row>
    <row r="764" spans="1:32" ht="11.25" customHeight="1" x14ac:dyDescent="0.25">
      <c r="A764" s="4" t="s">
        <v>28</v>
      </c>
      <c r="B764" s="4" t="s">
        <v>46</v>
      </c>
      <c r="C764" s="4" t="s">
        <v>23</v>
      </c>
      <c r="D764" s="4" t="s">
        <v>47</v>
      </c>
      <c r="E764" s="4" t="s">
        <v>58</v>
      </c>
      <c r="F764" s="4" t="s">
        <v>57</v>
      </c>
      <c r="G764" s="4" t="s">
        <v>25</v>
      </c>
      <c r="H764" s="4" t="s">
        <v>25</v>
      </c>
      <c r="I764" s="5">
        <v>44440</v>
      </c>
      <c r="J764" s="6">
        <v>0</v>
      </c>
      <c r="K764" s="6">
        <v>0</v>
      </c>
      <c r="L764" s="6">
        <v>18.033999999999999</v>
      </c>
      <c r="M764" s="6">
        <v>5.9512200000000002</v>
      </c>
      <c r="N764" s="6">
        <v>18.033999999999999</v>
      </c>
      <c r="O764" s="6">
        <v>5.9512200000000002</v>
      </c>
      <c r="P764" s="6">
        <v>0</v>
      </c>
      <c r="Q764" s="4" t="s">
        <v>26</v>
      </c>
      <c r="R764" s="4">
        <v>0</v>
      </c>
      <c r="S764" s="4">
        <v>0</v>
      </c>
      <c r="T764" s="4">
        <v>39</v>
      </c>
      <c r="U764" s="4">
        <v>85</v>
      </c>
      <c r="V764" s="6">
        <f>IF(ISERROR(VLOOKUP($S$764,'TAR FIN'!$A$1:$O$95,15,0)),0,VLOOKUP($S$764,'TAR FIN'!$A$1:$O$95,15,0))</f>
        <v>0</v>
      </c>
      <c r="W764" s="6">
        <f>IF(ISERROR(VLOOKUP($T$764,'TAR FIN'!$A$1:$O$95,15,0)),0,VLOOKUP($T$764,'TAR FIN'!$A$1:$O$95,15,0))</f>
        <v>369.16</v>
      </c>
      <c r="X764" s="6">
        <f>IF(ISERROR(VLOOKUP($U$764,'TAR FIN'!$A$1:$O$95,15,0)),0,VLOOKUP($U$764,'TAR FIN'!$A$1:$O$95,15,0))</f>
        <v>199.51</v>
      </c>
      <c r="Y764" s="6"/>
      <c r="Z764" s="6">
        <f ca="1">('TUSD BE'!$AM$38+'TUSD BF'!$AM$38+'TUSD CVA'!$AM$38)*(1-CUSTOS!$M$38)</f>
        <v>445.73746261020432</v>
      </c>
      <c r="AA764" s="6">
        <f>('TE BE'!$AA$26+'TE BF'!$AA$26+'TE CVA'!$AA$26)*(1-CUSTOS!$M$38)</f>
        <v>261.5374640864809</v>
      </c>
      <c r="AB764" s="6">
        <f t="shared" si="28"/>
        <v>0</v>
      </c>
      <c r="AC764" s="6">
        <f>(L764-M764)*(W764+X764)+($W$482+$X$482-$W$764-$X$764)*(L764)</f>
        <v>9122.1183825999997</v>
      </c>
      <c r="AD764" s="6">
        <f t="shared" si="29"/>
        <v>0</v>
      </c>
      <c r="AE764" s="6">
        <f ca="1">(L764-M764)*(Z764+AA764)+($Z$482+$AA$482-$Z$764-$AA$764)*(L764)</f>
        <v>10285.164978980541</v>
      </c>
      <c r="AF764" s="4" t="s">
        <v>846</v>
      </c>
    </row>
    <row r="765" spans="1:32" ht="11.25" customHeight="1" x14ac:dyDescent="0.25">
      <c r="A765" s="4" t="s">
        <v>59</v>
      </c>
      <c r="B765" s="4" t="s">
        <v>46</v>
      </c>
      <c r="C765" s="4" t="s">
        <v>23</v>
      </c>
      <c r="D765" s="4" t="s">
        <v>47</v>
      </c>
      <c r="E765" s="4" t="s">
        <v>58</v>
      </c>
      <c r="F765" s="4" t="s">
        <v>57</v>
      </c>
      <c r="G765" s="4" t="s">
        <v>25</v>
      </c>
      <c r="H765" s="4" t="s">
        <v>25</v>
      </c>
      <c r="I765" s="5">
        <v>44470</v>
      </c>
      <c r="J765" s="6">
        <v>0</v>
      </c>
      <c r="K765" s="6">
        <v>0</v>
      </c>
      <c r="L765" s="6">
        <v>6.3520000000000003</v>
      </c>
      <c r="M765" s="6">
        <v>2.0961599999999998</v>
      </c>
      <c r="N765" s="6">
        <v>6.3520000000000003</v>
      </c>
      <c r="O765" s="6">
        <v>2.0961599999999998</v>
      </c>
      <c r="P765" s="6">
        <v>0</v>
      </c>
      <c r="Q765" s="4" t="s">
        <v>26</v>
      </c>
      <c r="R765" s="4">
        <v>0</v>
      </c>
      <c r="S765" s="4">
        <v>0</v>
      </c>
      <c r="T765" s="4">
        <v>39</v>
      </c>
      <c r="U765" s="4">
        <v>85</v>
      </c>
      <c r="V765" s="6">
        <f>IF(ISERROR(VLOOKUP($S$765,'TAR FIN'!$A$1:$O$95,15,0)),0,VLOOKUP($S$765,'TAR FIN'!$A$1:$O$95,15,0))</f>
        <v>0</v>
      </c>
      <c r="W765" s="6">
        <f>IF(ISERROR(VLOOKUP($T$765,'TAR FIN'!$A$1:$O$95,15,0)),0,VLOOKUP($T$765,'TAR FIN'!$A$1:$O$95,15,0))</f>
        <v>369.16</v>
      </c>
      <c r="X765" s="6">
        <f>IF(ISERROR(VLOOKUP($U$765,'TAR FIN'!$A$1:$O$95,15,0)),0,VLOOKUP($U$765,'TAR FIN'!$A$1:$O$95,15,0))</f>
        <v>199.51</v>
      </c>
      <c r="Y765" s="6"/>
      <c r="Z765" s="6">
        <f ca="1">('TUSD BE'!$AM$38+'TUSD BF'!$AM$38+'TUSD CVA'!$AM$38)*(1-CUSTOS!$M$38)</f>
        <v>445.73746261020432</v>
      </c>
      <c r="AA765" s="6">
        <f>('TE BE'!$AA$26+'TE BF'!$AA$26+'TE CVA'!$AA$26)*(1-CUSTOS!$M$38)</f>
        <v>261.5374640864809</v>
      </c>
      <c r="AB765" s="6">
        <f t="shared" si="28"/>
        <v>0</v>
      </c>
      <c r="AC765" s="6">
        <f>(L765-M765)*(W765+X765)+($W$482+$X$482-$W$765-$X$765)*(L765)</f>
        <v>3213.0251728000007</v>
      </c>
      <c r="AD765" s="6">
        <f t="shared" si="29"/>
        <v>0</v>
      </c>
      <c r="AE765" s="6">
        <f ca="1">(L765-M765)*(Z765+AA765)+($Z$482+$AA$482-$Z$765-$AA$765)*(L765)</f>
        <v>3622.6776059933691</v>
      </c>
      <c r="AF765" s="4" t="s">
        <v>846</v>
      </c>
    </row>
    <row r="766" spans="1:32" ht="11.25" customHeight="1" x14ac:dyDescent="0.25">
      <c r="A766" s="4" t="s">
        <v>59</v>
      </c>
      <c r="B766" s="4" t="s">
        <v>46</v>
      </c>
      <c r="C766" s="4" t="s">
        <v>23</v>
      </c>
      <c r="D766" s="4" t="s">
        <v>47</v>
      </c>
      <c r="E766" s="4" t="s">
        <v>58</v>
      </c>
      <c r="F766" s="4" t="s">
        <v>57</v>
      </c>
      <c r="G766" s="4" t="s">
        <v>25</v>
      </c>
      <c r="H766" s="4" t="s">
        <v>25</v>
      </c>
      <c r="I766" s="5">
        <v>44470</v>
      </c>
      <c r="J766" s="6">
        <v>0</v>
      </c>
      <c r="K766" s="6">
        <v>0</v>
      </c>
      <c r="L766" s="6">
        <v>18.033999999999999</v>
      </c>
      <c r="M766" s="6">
        <v>5.9512200000000002</v>
      </c>
      <c r="N766" s="6">
        <v>18.033999999999999</v>
      </c>
      <c r="O766" s="6">
        <v>5.9512200000000002</v>
      </c>
      <c r="P766" s="6">
        <v>0</v>
      </c>
      <c r="Q766" s="4" t="s">
        <v>26</v>
      </c>
      <c r="R766" s="4">
        <v>0</v>
      </c>
      <c r="S766" s="4">
        <v>0</v>
      </c>
      <c r="T766" s="4">
        <v>39</v>
      </c>
      <c r="U766" s="4">
        <v>85</v>
      </c>
      <c r="V766" s="6">
        <f>IF(ISERROR(VLOOKUP($S$766,'TAR FIN'!$A$1:$O$95,15,0)),0,VLOOKUP($S$766,'TAR FIN'!$A$1:$O$95,15,0))</f>
        <v>0</v>
      </c>
      <c r="W766" s="6">
        <f>IF(ISERROR(VLOOKUP($T$766,'TAR FIN'!$A$1:$O$95,15,0)),0,VLOOKUP($T$766,'TAR FIN'!$A$1:$O$95,15,0))</f>
        <v>369.16</v>
      </c>
      <c r="X766" s="6">
        <f>IF(ISERROR(VLOOKUP($U$766,'TAR FIN'!$A$1:$O$95,15,0)),0,VLOOKUP($U$766,'TAR FIN'!$A$1:$O$95,15,0))</f>
        <v>199.51</v>
      </c>
      <c r="Y766" s="6"/>
      <c r="Z766" s="6">
        <f ca="1">('TUSD BE'!$AM$38+'TUSD BF'!$AM$38+'TUSD CVA'!$AM$38)*(1-CUSTOS!$M$38)</f>
        <v>445.73746261020432</v>
      </c>
      <c r="AA766" s="6">
        <f>('TE BE'!$AA$26+'TE BF'!$AA$26+'TE CVA'!$AA$26)*(1-CUSTOS!$M$38)</f>
        <v>261.5374640864809</v>
      </c>
      <c r="AB766" s="6">
        <f t="shared" si="28"/>
        <v>0</v>
      </c>
      <c r="AC766" s="6">
        <f>(L766-M766)*(W766+X766)+($W$482+$X$482-$W$766-$X$766)*(L766)</f>
        <v>9122.1183825999997</v>
      </c>
      <c r="AD766" s="6">
        <f t="shared" si="29"/>
        <v>0</v>
      </c>
      <c r="AE766" s="6">
        <f ca="1">(L766-M766)*(Z766+AA766)+($Z$482+$AA$482-$Z$766-$AA$766)*(L766)</f>
        <v>10285.164978980541</v>
      </c>
      <c r="AF766" s="4" t="s">
        <v>846</v>
      </c>
    </row>
    <row r="767" spans="1:32" ht="11.25" customHeight="1" x14ac:dyDescent="0.25">
      <c r="A767" s="4" t="s">
        <v>21</v>
      </c>
      <c r="B767" s="4" t="s">
        <v>46</v>
      </c>
      <c r="C767" s="4" t="s">
        <v>23</v>
      </c>
      <c r="D767" s="4" t="s">
        <v>47</v>
      </c>
      <c r="E767" s="4" t="s">
        <v>25</v>
      </c>
      <c r="F767" s="4" t="s">
        <v>25</v>
      </c>
      <c r="G767" s="4" t="s">
        <v>25</v>
      </c>
      <c r="H767" s="4" t="s">
        <v>25</v>
      </c>
      <c r="I767" s="5">
        <v>44136</v>
      </c>
      <c r="J767" s="6">
        <v>0</v>
      </c>
      <c r="K767" s="6">
        <v>0</v>
      </c>
      <c r="L767" s="6">
        <v>1608.518</v>
      </c>
      <c r="M767" s="6">
        <v>1608.518</v>
      </c>
      <c r="N767" s="6">
        <v>1608.518</v>
      </c>
      <c r="O767" s="6">
        <v>1608.518</v>
      </c>
      <c r="P767" s="6">
        <v>8018</v>
      </c>
      <c r="Q767" s="4" t="s">
        <v>26</v>
      </c>
      <c r="R767" s="4">
        <v>0</v>
      </c>
      <c r="S767" s="4">
        <v>0</v>
      </c>
      <c r="T767" s="4">
        <v>39</v>
      </c>
      <c r="U767" s="4">
        <v>85</v>
      </c>
      <c r="V767" s="6">
        <f>IF(ISERROR(VLOOKUP($S$767,'TAR FIN'!$A$1:$O$95,15,0)),0,VLOOKUP($S$767,'TAR FIN'!$A$1:$O$95,15,0))</f>
        <v>0</v>
      </c>
      <c r="W767" s="6">
        <f>IF(ISERROR(VLOOKUP($T$767,'TAR FIN'!$A$1:$O$95,15,0)),0,VLOOKUP($T$767,'TAR FIN'!$A$1:$O$95,15,0))</f>
        <v>369.16</v>
      </c>
      <c r="X767" s="6">
        <f>IF(ISERROR(VLOOKUP($U$767,'TAR FIN'!$A$1:$O$95,15,0)),0,VLOOKUP($U$767,'TAR FIN'!$A$1:$O$95,15,0))</f>
        <v>199.51</v>
      </c>
      <c r="Y767" s="6"/>
      <c r="Z767" s="6">
        <f ca="1">('TUSD BE'!$AM$38+'TUSD BF'!$AM$38+'TUSD CVA'!$AM$38)*(1-CUSTOS!$M$38)</f>
        <v>445.73746261020432</v>
      </c>
      <c r="AA767" s="6">
        <f>('TE BE'!$AA$26+'TE BF'!$AA$26+'TE CVA'!$AA$26)*(1-CUSTOS!$M$38)</f>
        <v>261.5374640864809</v>
      </c>
      <c r="AB767" s="6">
        <f t="shared" si="28"/>
        <v>0</v>
      </c>
      <c r="AC767" s="6">
        <f>(L767-M767)*(W767+X767)+($W$482+$X$482-$W$767-$X$767)*(L767)</f>
        <v>200775.21675999998</v>
      </c>
      <c r="AD767" s="6">
        <f t="shared" si="29"/>
        <v>0</v>
      </c>
      <c r="AE767" s="6">
        <f ca="1">(L767-M767)*(Z767+AA767)+($Z$482+$AA$482-$Z$767-$AA$767)*(L767)</f>
        <v>155136.06143731353</v>
      </c>
      <c r="AF767" s="4" t="s">
        <v>844</v>
      </c>
    </row>
    <row r="768" spans="1:32" ht="11.25" customHeight="1" x14ac:dyDescent="0.25">
      <c r="A768" s="4" t="s">
        <v>27</v>
      </c>
      <c r="B768" s="4" t="s">
        <v>46</v>
      </c>
      <c r="C768" s="4" t="s">
        <v>23</v>
      </c>
      <c r="D768" s="4" t="s">
        <v>47</v>
      </c>
      <c r="E768" s="4" t="s">
        <v>25</v>
      </c>
      <c r="F768" s="4" t="s">
        <v>25</v>
      </c>
      <c r="G768" s="4" t="s">
        <v>25</v>
      </c>
      <c r="H768" s="4" t="s">
        <v>25</v>
      </c>
      <c r="I768" s="5">
        <v>44136</v>
      </c>
      <c r="J768" s="6">
        <v>0</v>
      </c>
      <c r="K768" s="6">
        <v>0</v>
      </c>
      <c r="L768" s="6">
        <v>-17.347999999999999</v>
      </c>
      <c r="M768" s="6">
        <v>-17.347999999999999</v>
      </c>
      <c r="N768" s="6">
        <v>-17.347999999999999</v>
      </c>
      <c r="O768" s="6">
        <v>-17.347999999999999</v>
      </c>
      <c r="P768" s="6">
        <v>-31</v>
      </c>
      <c r="Q768" s="4" t="s">
        <v>26</v>
      </c>
      <c r="R768" s="4">
        <v>0</v>
      </c>
      <c r="S768" s="4">
        <v>0</v>
      </c>
      <c r="T768" s="4">
        <v>39</v>
      </c>
      <c r="U768" s="4">
        <v>85</v>
      </c>
      <c r="V768" s="6">
        <f>IF(ISERROR(VLOOKUP($S$768,'TAR FIN'!$A$1:$O$95,15,0)),0,VLOOKUP($S$768,'TAR FIN'!$A$1:$O$95,15,0))</f>
        <v>0</v>
      </c>
      <c r="W768" s="6">
        <f>IF(ISERROR(VLOOKUP($T$768,'TAR FIN'!$A$1:$O$95,15,0)),0,VLOOKUP($T$768,'TAR FIN'!$A$1:$O$95,15,0))</f>
        <v>369.16</v>
      </c>
      <c r="X768" s="6">
        <f>IF(ISERROR(VLOOKUP($U$768,'TAR FIN'!$A$1:$O$95,15,0)),0,VLOOKUP($U$768,'TAR FIN'!$A$1:$O$95,15,0))</f>
        <v>199.51</v>
      </c>
      <c r="Y768" s="6"/>
      <c r="Z768" s="6">
        <f ca="1">('TUSD BE'!$AM$38+'TUSD BF'!$AM$38+'TUSD CVA'!$AM$38)*(1-CUSTOS!$M$38)</f>
        <v>445.73746261020432</v>
      </c>
      <c r="AA768" s="6">
        <f>('TE BE'!$AA$26+'TE BF'!$AA$26+'TE CVA'!$AA$26)*(1-CUSTOS!$M$38)</f>
        <v>261.5374640864809</v>
      </c>
      <c r="AB768" s="6">
        <f t="shared" si="28"/>
        <v>0</v>
      </c>
      <c r="AC768" s="6">
        <f>(L768-M768)*(W768+X768)+($W$482+$X$482-$W$768-$X$768)*(L768)</f>
        <v>-2165.37736</v>
      </c>
      <c r="AD768" s="6">
        <f t="shared" si="29"/>
        <v>0</v>
      </c>
      <c r="AE768" s="6">
        <f ca="1">(L768-M768)*(Z768+AA768)+($Z$482+$AA$482-$Z$768-$AA$768)*(L768)</f>
        <v>-1673.1552856819228</v>
      </c>
      <c r="AF768" s="4" t="s">
        <v>844</v>
      </c>
    </row>
    <row r="769" spans="1:32" ht="11.25" customHeight="1" x14ac:dyDescent="0.25">
      <c r="A769" s="4" t="s">
        <v>28</v>
      </c>
      <c r="B769" s="4" t="s">
        <v>46</v>
      </c>
      <c r="C769" s="4" t="s">
        <v>23</v>
      </c>
      <c r="D769" s="4" t="s">
        <v>47</v>
      </c>
      <c r="E769" s="4" t="s">
        <v>25</v>
      </c>
      <c r="F769" s="4" t="s">
        <v>25</v>
      </c>
      <c r="G769" s="4" t="s">
        <v>25</v>
      </c>
      <c r="H769" s="4" t="s">
        <v>25</v>
      </c>
      <c r="I769" s="5">
        <v>44136</v>
      </c>
      <c r="J769" s="6">
        <v>0</v>
      </c>
      <c r="K769" s="6">
        <v>0</v>
      </c>
      <c r="L769" s="6">
        <v>4186.5320000000002</v>
      </c>
      <c r="M769" s="6">
        <v>4186.5320000000002</v>
      </c>
      <c r="N769" s="6">
        <v>4186.5320000000002</v>
      </c>
      <c r="O769" s="6">
        <v>4186.5320000000002</v>
      </c>
      <c r="P769" s="6">
        <v>36019</v>
      </c>
      <c r="Q769" s="4" t="s">
        <v>26</v>
      </c>
      <c r="R769" s="4">
        <v>0</v>
      </c>
      <c r="S769" s="4">
        <v>0</v>
      </c>
      <c r="T769" s="4">
        <v>39</v>
      </c>
      <c r="U769" s="4">
        <v>85</v>
      </c>
      <c r="V769" s="6">
        <f>IF(ISERROR(VLOOKUP($S$769,'TAR FIN'!$A$1:$O$95,15,0)),0,VLOOKUP($S$769,'TAR FIN'!$A$1:$O$95,15,0))</f>
        <v>0</v>
      </c>
      <c r="W769" s="6">
        <f>IF(ISERROR(VLOOKUP($T$769,'TAR FIN'!$A$1:$O$95,15,0)),0,VLOOKUP($T$769,'TAR FIN'!$A$1:$O$95,15,0))</f>
        <v>369.16</v>
      </c>
      <c r="X769" s="6">
        <f>IF(ISERROR(VLOOKUP($U$769,'TAR FIN'!$A$1:$O$95,15,0)),0,VLOOKUP($U$769,'TAR FIN'!$A$1:$O$95,15,0))</f>
        <v>199.51</v>
      </c>
      <c r="Y769" s="6"/>
      <c r="Z769" s="6">
        <f ca="1">('TUSD BE'!$AM$38+'TUSD BF'!$AM$38+'TUSD CVA'!$AM$38)*(1-CUSTOS!$M$38)</f>
        <v>445.73746261020432</v>
      </c>
      <c r="AA769" s="6">
        <f>('TE BE'!$AA$26+'TE BF'!$AA$26+'TE CVA'!$AA$26)*(1-CUSTOS!$M$38)</f>
        <v>261.5374640864809</v>
      </c>
      <c r="AB769" s="6">
        <f t="shared" si="28"/>
        <v>0</v>
      </c>
      <c r="AC769" s="6">
        <f>(L769-M769)*(W769+X769)+($W$482+$X$482-$W$769-$X$769)*(L769)</f>
        <v>522562.92423999996</v>
      </c>
      <c r="AD769" s="6">
        <f t="shared" si="29"/>
        <v>0</v>
      </c>
      <c r="AE769" s="6">
        <f ca="1">(L769-M769)*(Z769+AA769)+($Z$482+$AA$482-$Z$769-$AA$769)*(L769)</f>
        <v>403776.69728363567</v>
      </c>
      <c r="AF769" s="4" t="s">
        <v>844</v>
      </c>
    </row>
    <row r="770" spans="1:32" ht="11.25" customHeight="1" x14ac:dyDescent="0.25">
      <c r="A770" s="4" t="s">
        <v>29</v>
      </c>
      <c r="B770" s="4" t="s">
        <v>46</v>
      </c>
      <c r="C770" s="4" t="s">
        <v>23</v>
      </c>
      <c r="D770" s="4" t="s">
        <v>47</v>
      </c>
      <c r="E770" s="4" t="s">
        <v>25</v>
      </c>
      <c r="F770" s="4" t="s">
        <v>25</v>
      </c>
      <c r="G770" s="4" t="s">
        <v>25</v>
      </c>
      <c r="H770" s="4" t="s">
        <v>25</v>
      </c>
      <c r="I770" s="5">
        <v>44136</v>
      </c>
      <c r="J770" s="6">
        <v>0</v>
      </c>
      <c r="K770" s="6">
        <v>0</v>
      </c>
      <c r="L770" s="6">
        <v>-61.634</v>
      </c>
      <c r="M770" s="6">
        <v>-61.634</v>
      </c>
      <c r="N770" s="6">
        <v>-61.634</v>
      </c>
      <c r="O770" s="6">
        <v>-61.634</v>
      </c>
      <c r="P770" s="6">
        <v>-41</v>
      </c>
      <c r="Q770" s="4" t="s">
        <v>26</v>
      </c>
      <c r="R770" s="4">
        <v>0</v>
      </c>
      <c r="S770" s="4">
        <v>0</v>
      </c>
      <c r="T770" s="4">
        <v>39</v>
      </c>
      <c r="U770" s="4">
        <v>85</v>
      </c>
      <c r="V770" s="6">
        <f>IF(ISERROR(VLOOKUP($S$770,'TAR FIN'!$A$1:$O$95,15,0)),0,VLOOKUP($S$770,'TAR FIN'!$A$1:$O$95,15,0))</f>
        <v>0</v>
      </c>
      <c r="W770" s="6">
        <f>IF(ISERROR(VLOOKUP($T$770,'TAR FIN'!$A$1:$O$95,15,0)),0,VLOOKUP($T$770,'TAR FIN'!$A$1:$O$95,15,0))</f>
        <v>369.16</v>
      </c>
      <c r="X770" s="6">
        <f>IF(ISERROR(VLOOKUP($U$770,'TAR FIN'!$A$1:$O$95,15,0)),0,VLOOKUP($U$770,'TAR FIN'!$A$1:$O$95,15,0))</f>
        <v>199.51</v>
      </c>
      <c r="Y770" s="6"/>
      <c r="Z770" s="6">
        <f ca="1">('TUSD BE'!$AM$38+'TUSD BF'!$AM$38+'TUSD CVA'!$AM$38)*(1-CUSTOS!$M$38)</f>
        <v>445.73746261020432</v>
      </c>
      <c r="AA770" s="6">
        <f>('TE BE'!$AA$26+'TE BF'!$AA$26+'TE CVA'!$AA$26)*(1-CUSTOS!$M$38)</f>
        <v>261.5374640864809</v>
      </c>
      <c r="AB770" s="6">
        <f t="shared" ref="AB770:AB832" si="30">(J770-K770)*V770</f>
        <v>0</v>
      </c>
      <c r="AC770" s="6">
        <f>(L770-M770)*(W770+X770)+($W$482+$X$482-$W$770-$X$770)*(L770)</f>
        <v>-7693.1558799999993</v>
      </c>
      <c r="AD770" s="6">
        <f t="shared" ref="AD770:AD832" si="31">(J770-K770)*Y770</f>
        <v>0</v>
      </c>
      <c r="AE770" s="6">
        <f ca="1">(L770-M770)*(Z770+AA770)+($Z$482+$AA$482-$Z$770-$AA$770)*(L770)</f>
        <v>-5944.3885680032072</v>
      </c>
      <c r="AF770" s="4" t="s">
        <v>844</v>
      </c>
    </row>
    <row r="771" spans="1:32" ht="11.25" customHeight="1" x14ac:dyDescent="0.25">
      <c r="A771" s="4" t="s">
        <v>30</v>
      </c>
      <c r="B771" s="4" t="s">
        <v>46</v>
      </c>
      <c r="C771" s="4" t="s">
        <v>23</v>
      </c>
      <c r="D771" s="4" t="s">
        <v>47</v>
      </c>
      <c r="E771" s="4" t="s">
        <v>25</v>
      </c>
      <c r="F771" s="4" t="s">
        <v>25</v>
      </c>
      <c r="G771" s="4" t="s">
        <v>25</v>
      </c>
      <c r="H771" s="4" t="s">
        <v>25</v>
      </c>
      <c r="I771" s="5">
        <v>44136</v>
      </c>
      <c r="J771" s="6">
        <v>0</v>
      </c>
      <c r="K771" s="6">
        <v>0</v>
      </c>
      <c r="L771" s="6">
        <v>7.718</v>
      </c>
      <c r="M771" s="6">
        <v>7.718</v>
      </c>
      <c r="N771" s="6">
        <v>7.718</v>
      </c>
      <c r="O771" s="6">
        <v>7.718</v>
      </c>
      <c r="P771" s="6">
        <v>11</v>
      </c>
      <c r="Q771" s="4" t="s">
        <v>26</v>
      </c>
      <c r="R771" s="4">
        <v>0</v>
      </c>
      <c r="S771" s="4">
        <v>0</v>
      </c>
      <c r="T771" s="4">
        <v>39</v>
      </c>
      <c r="U771" s="4">
        <v>85</v>
      </c>
      <c r="V771" s="6">
        <f>IF(ISERROR(VLOOKUP($S$771,'TAR FIN'!$A$1:$O$95,15,0)),0,VLOOKUP($S$771,'TAR FIN'!$A$1:$O$95,15,0))</f>
        <v>0</v>
      </c>
      <c r="W771" s="6">
        <f>IF(ISERROR(VLOOKUP($T$771,'TAR FIN'!$A$1:$O$95,15,0)),0,VLOOKUP($T$771,'TAR FIN'!$A$1:$O$95,15,0))</f>
        <v>369.16</v>
      </c>
      <c r="X771" s="6">
        <f>IF(ISERROR(VLOOKUP($U$771,'TAR FIN'!$A$1:$O$95,15,0)),0,VLOOKUP($U$771,'TAR FIN'!$A$1:$O$95,15,0))</f>
        <v>199.51</v>
      </c>
      <c r="Y771" s="6"/>
      <c r="Z771" s="6">
        <f ca="1">('TUSD BE'!$AM$38+'TUSD BF'!$AM$38+'TUSD CVA'!$AM$38)*(1-CUSTOS!$M$38)</f>
        <v>445.73746261020432</v>
      </c>
      <c r="AA771" s="6">
        <f>('TE BE'!$AA$26+'TE BF'!$AA$26+'TE CVA'!$AA$26)*(1-CUSTOS!$M$38)</f>
        <v>261.5374640864809</v>
      </c>
      <c r="AB771" s="6">
        <f t="shared" si="30"/>
        <v>0</v>
      </c>
      <c r="AC771" s="6">
        <f>(L771-M771)*(W771+X771)+($W$482+$X$482-$W$771-$X$771)*(L771)</f>
        <v>963.36075999999991</v>
      </c>
      <c r="AD771" s="6">
        <f t="shared" si="31"/>
        <v>0</v>
      </c>
      <c r="AE771" s="6">
        <f ca="1">(L771-M771)*(Z771+AA771)+($Z$482+$AA$482-$Z$771-$AA$771)*(L771)</f>
        <v>744.37471148795714</v>
      </c>
      <c r="AF771" s="4" t="s">
        <v>844</v>
      </c>
    </row>
    <row r="772" spans="1:32" ht="11.25" customHeight="1" x14ac:dyDescent="0.25">
      <c r="A772" s="4" t="s">
        <v>30</v>
      </c>
      <c r="B772" s="4" t="s">
        <v>46</v>
      </c>
      <c r="C772" s="4" t="s">
        <v>23</v>
      </c>
      <c r="D772" s="4" t="s">
        <v>47</v>
      </c>
      <c r="E772" s="4" t="s">
        <v>25</v>
      </c>
      <c r="F772" s="4" t="s">
        <v>25</v>
      </c>
      <c r="G772" s="4" t="s">
        <v>25</v>
      </c>
      <c r="H772" s="4" t="s">
        <v>25</v>
      </c>
      <c r="I772" s="5">
        <v>44136</v>
      </c>
      <c r="J772" s="6">
        <v>0</v>
      </c>
      <c r="K772" s="6">
        <v>0</v>
      </c>
      <c r="L772" s="6">
        <v>6.8440000000000003</v>
      </c>
      <c r="M772" s="6">
        <v>6.8440000000000003</v>
      </c>
      <c r="N772" s="6">
        <v>6.8440000000000003</v>
      </c>
      <c r="O772" s="6">
        <v>6.8440000000000003</v>
      </c>
      <c r="P772" s="6">
        <v>1</v>
      </c>
      <c r="Q772" s="4" t="s">
        <v>26</v>
      </c>
      <c r="R772" s="4">
        <v>0</v>
      </c>
      <c r="S772" s="4">
        <v>0</v>
      </c>
      <c r="T772" s="4">
        <v>39</v>
      </c>
      <c r="U772" s="4">
        <v>85</v>
      </c>
      <c r="V772" s="6">
        <f>IF(ISERROR(VLOOKUP($S$772,'TAR FIN'!$A$1:$O$95,15,0)),0,VLOOKUP($S$772,'TAR FIN'!$A$1:$O$95,15,0))</f>
        <v>0</v>
      </c>
      <c r="W772" s="6">
        <f>IF(ISERROR(VLOOKUP($T$772,'TAR FIN'!$A$1:$O$95,15,0)),0,VLOOKUP($T$772,'TAR FIN'!$A$1:$O$95,15,0))</f>
        <v>369.16</v>
      </c>
      <c r="X772" s="6">
        <f>IF(ISERROR(VLOOKUP($U$772,'TAR FIN'!$A$1:$O$95,15,0)),0,VLOOKUP($U$772,'TAR FIN'!$A$1:$O$95,15,0))</f>
        <v>199.51</v>
      </c>
      <c r="Y772" s="6"/>
      <c r="Z772" s="6">
        <f ca="1">('TUSD BE'!$AM$38+'TUSD BF'!$AM$38+'TUSD CVA'!$AM$38)*(1-CUSTOS!$M$38)</f>
        <v>445.73746261020432</v>
      </c>
      <c r="AA772" s="6">
        <f>('TE BE'!$AA$26+'TE BF'!$AA$26+'TE CVA'!$AA$26)*(1-CUSTOS!$M$38)</f>
        <v>261.5374640864809</v>
      </c>
      <c r="AB772" s="6">
        <f t="shared" si="30"/>
        <v>0</v>
      </c>
      <c r="AC772" s="6">
        <f>(L772-M772)*(W772+X772)+($W$482+$X$482-$W$772-$X$772)*(L772)</f>
        <v>854.26807999999994</v>
      </c>
      <c r="AD772" s="6">
        <f t="shared" si="31"/>
        <v>0</v>
      </c>
      <c r="AE772" s="6">
        <f ca="1">(L772-M772)*(Z772+AA772)+($Z$482+$AA$482-$Z$772-$AA$772)*(L772)</f>
        <v>660.080399769834</v>
      </c>
      <c r="AF772" s="4" t="s">
        <v>844</v>
      </c>
    </row>
    <row r="773" spans="1:32" ht="11.25" customHeight="1" x14ac:dyDescent="0.25">
      <c r="A773" s="4" t="s">
        <v>21</v>
      </c>
      <c r="B773" s="4" t="s">
        <v>46</v>
      </c>
      <c r="C773" s="4" t="s">
        <v>23</v>
      </c>
      <c r="D773" s="4" t="s">
        <v>47</v>
      </c>
      <c r="E773" s="4" t="s">
        <v>25</v>
      </c>
      <c r="F773" s="4" t="s">
        <v>25</v>
      </c>
      <c r="G773" s="4" t="s">
        <v>25</v>
      </c>
      <c r="H773" s="4" t="s">
        <v>25</v>
      </c>
      <c r="I773" s="5">
        <v>44166</v>
      </c>
      <c r="J773" s="6">
        <v>0</v>
      </c>
      <c r="K773" s="6">
        <v>0</v>
      </c>
      <c r="L773" s="6">
        <v>1598.566</v>
      </c>
      <c r="M773" s="6">
        <v>1598.566</v>
      </c>
      <c r="N773" s="6">
        <v>1598.566</v>
      </c>
      <c r="O773" s="6">
        <v>1598.566</v>
      </c>
      <c r="P773" s="6">
        <v>8021</v>
      </c>
      <c r="Q773" s="4" t="s">
        <v>26</v>
      </c>
      <c r="R773" s="4">
        <v>0</v>
      </c>
      <c r="S773" s="4">
        <v>0</v>
      </c>
      <c r="T773" s="4">
        <v>39</v>
      </c>
      <c r="U773" s="4">
        <v>85</v>
      </c>
      <c r="V773" s="6">
        <f>IF(ISERROR(VLOOKUP($S$773,'TAR FIN'!$A$1:$O$95,15,0)),0,VLOOKUP($S$773,'TAR FIN'!$A$1:$O$95,15,0))</f>
        <v>0</v>
      </c>
      <c r="W773" s="6">
        <f>IF(ISERROR(VLOOKUP($T$773,'TAR FIN'!$A$1:$O$95,15,0)),0,VLOOKUP($T$773,'TAR FIN'!$A$1:$O$95,15,0))</f>
        <v>369.16</v>
      </c>
      <c r="X773" s="6">
        <f>IF(ISERROR(VLOOKUP($U$773,'TAR FIN'!$A$1:$O$95,15,0)),0,VLOOKUP($U$773,'TAR FIN'!$A$1:$O$95,15,0))</f>
        <v>199.51</v>
      </c>
      <c r="Y773" s="6"/>
      <c r="Z773" s="6">
        <f ca="1">('TUSD BE'!$AM$38+'TUSD BF'!$AM$38+'TUSD CVA'!$AM$38)*(1-CUSTOS!$M$38)</f>
        <v>445.73746261020432</v>
      </c>
      <c r="AA773" s="6">
        <f>('TE BE'!$AA$26+'TE BF'!$AA$26+'TE CVA'!$AA$26)*(1-CUSTOS!$M$38)</f>
        <v>261.5374640864809</v>
      </c>
      <c r="AB773" s="6">
        <f t="shared" si="30"/>
        <v>0</v>
      </c>
      <c r="AC773" s="6">
        <f>(L773-M773)*(W773+X773)+($W$482+$X$482-$W$773-$X$773)*(L773)</f>
        <v>199533.00811999998</v>
      </c>
      <c r="AD773" s="6">
        <f t="shared" si="31"/>
        <v>0</v>
      </c>
      <c r="AE773" s="6">
        <f ca="1">(L773-M773)*(Z773+AA773)+($Z$482+$AA$482-$Z$773-$AA$773)*(L773)</f>
        <v>154176.22506406551</v>
      </c>
      <c r="AF773" s="4" t="s">
        <v>844</v>
      </c>
    </row>
    <row r="774" spans="1:32" ht="11.25" customHeight="1" x14ac:dyDescent="0.25">
      <c r="A774" s="4" t="s">
        <v>27</v>
      </c>
      <c r="B774" s="4" t="s">
        <v>46</v>
      </c>
      <c r="C774" s="4" t="s">
        <v>23</v>
      </c>
      <c r="D774" s="4" t="s">
        <v>47</v>
      </c>
      <c r="E774" s="4" t="s">
        <v>25</v>
      </c>
      <c r="F774" s="4" t="s">
        <v>25</v>
      </c>
      <c r="G774" s="4" t="s">
        <v>25</v>
      </c>
      <c r="H774" s="4" t="s">
        <v>25</v>
      </c>
      <c r="I774" s="5">
        <v>44166</v>
      </c>
      <c r="J774" s="6">
        <v>0</v>
      </c>
      <c r="K774" s="6">
        <v>0</v>
      </c>
      <c r="L774" s="6">
        <v>-76.828000000000003</v>
      </c>
      <c r="M774" s="6">
        <v>-76.828000000000003</v>
      </c>
      <c r="N774" s="6">
        <v>-76.828000000000003</v>
      </c>
      <c r="O774" s="6">
        <v>-76.828000000000003</v>
      </c>
      <c r="P774" s="6">
        <v>0</v>
      </c>
      <c r="Q774" s="4" t="s">
        <v>26</v>
      </c>
      <c r="R774" s="4">
        <v>0</v>
      </c>
      <c r="S774" s="4">
        <v>0</v>
      </c>
      <c r="T774" s="4">
        <v>39</v>
      </c>
      <c r="U774" s="4">
        <v>85</v>
      </c>
      <c r="V774" s="6">
        <f>IF(ISERROR(VLOOKUP($S$774,'TAR FIN'!$A$1:$O$95,15,0)),0,VLOOKUP($S$774,'TAR FIN'!$A$1:$O$95,15,0))</f>
        <v>0</v>
      </c>
      <c r="W774" s="6">
        <f>IF(ISERROR(VLOOKUP($T$774,'TAR FIN'!$A$1:$O$95,15,0)),0,VLOOKUP($T$774,'TAR FIN'!$A$1:$O$95,15,0))</f>
        <v>369.16</v>
      </c>
      <c r="X774" s="6">
        <f>IF(ISERROR(VLOOKUP($U$774,'TAR FIN'!$A$1:$O$95,15,0)),0,VLOOKUP($U$774,'TAR FIN'!$A$1:$O$95,15,0))</f>
        <v>199.51</v>
      </c>
      <c r="Y774" s="6"/>
      <c r="Z774" s="6">
        <f ca="1">('TUSD BE'!$AM$38+'TUSD BF'!$AM$38+'TUSD CVA'!$AM$38)*(1-CUSTOS!$M$38)</f>
        <v>445.73746261020432</v>
      </c>
      <c r="AA774" s="6">
        <f>('TE BE'!$AA$26+'TE BF'!$AA$26+'TE CVA'!$AA$26)*(1-CUSTOS!$M$38)</f>
        <v>261.5374640864809</v>
      </c>
      <c r="AB774" s="6">
        <f t="shared" si="30"/>
        <v>0</v>
      </c>
      <c r="AC774" s="6">
        <f>(L774-M774)*(W774+X774)+($W$482+$X$482-$W$774-$X$774)*(L774)</f>
        <v>-9589.6709599999995</v>
      </c>
      <c r="AD774" s="6">
        <f t="shared" si="31"/>
        <v>0</v>
      </c>
      <c r="AE774" s="6">
        <f ca="1">(L774-M774)*(Z774+AA774)+($Z$482+$AA$482-$Z$774-$AA$774)*(L774)</f>
        <v>-7409.7979183981306</v>
      </c>
      <c r="AF774" s="4" t="s">
        <v>844</v>
      </c>
    </row>
    <row r="775" spans="1:32" ht="11.25" customHeight="1" x14ac:dyDescent="0.25">
      <c r="A775" s="4" t="s">
        <v>28</v>
      </c>
      <c r="B775" s="4" t="s">
        <v>46</v>
      </c>
      <c r="C775" s="4" t="s">
        <v>23</v>
      </c>
      <c r="D775" s="4" t="s">
        <v>47</v>
      </c>
      <c r="E775" s="4" t="s">
        <v>25</v>
      </c>
      <c r="F775" s="4" t="s">
        <v>25</v>
      </c>
      <c r="G775" s="4" t="s">
        <v>25</v>
      </c>
      <c r="H775" s="4" t="s">
        <v>25</v>
      </c>
      <c r="I775" s="5">
        <v>44166</v>
      </c>
      <c r="J775" s="6">
        <v>0</v>
      </c>
      <c r="K775" s="6">
        <v>0</v>
      </c>
      <c r="L775" s="6">
        <v>4236.6030000000001</v>
      </c>
      <c r="M775" s="6">
        <v>4236.6030000000001</v>
      </c>
      <c r="N775" s="6">
        <v>4236.6030000000001</v>
      </c>
      <c r="O775" s="6">
        <v>4236.6030000000001</v>
      </c>
      <c r="P775" s="6">
        <v>36013</v>
      </c>
      <c r="Q775" s="4" t="s">
        <v>26</v>
      </c>
      <c r="R775" s="4">
        <v>0</v>
      </c>
      <c r="S775" s="4">
        <v>0</v>
      </c>
      <c r="T775" s="4">
        <v>39</v>
      </c>
      <c r="U775" s="4">
        <v>85</v>
      </c>
      <c r="V775" s="6">
        <f>IF(ISERROR(VLOOKUP($S$775,'TAR FIN'!$A$1:$O$95,15,0)),0,VLOOKUP($S$775,'TAR FIN'!$A$1:$O$95,15,0))</f>
        <v>0</v>
      </c>
      <c r="W775" s="6">
        <f>IF(ISERROR(VLOOKUP($T$775,'TAR FIN'!$A$1:$O$95,15,0)),0,VLOOKUP($T$775,'TAR FIN'!$A$1:$O$95,15,0))</f>
        <v>369.16</v>
      </c>
      <c r="X775" s="6">
        <f>IF(ISERROR(VLOOKUP($U$775,'TAR FIN'!$A$1:$O$95,15,0)),0,VLOOKUP($U$775,'TAR FIN'!$A$1:$O$95,15,0))</f>
        <v>199.51</v>
      </c>
      <c r="Y775" s="6"/>
      <c r="Z775" s="6">
        <f ca="1">('TUSD BE'!$AM$38+'TUSD BF'!$AM$38+'TUSD CVA'!$AM$38)*(1-CUSTOS!$M$38)</f>
        <v>445.73746261020432</v>
      </c>
      <c r="AA775" s="6">
        <f>('TE BE'!$AA$26+'TE BF'!$AA$26+'TE CVA'!$AA$26)*(1-CUSTOS!$M$38)</f>
        <v>261.5374640864809</v>
      </c>
      <c r="AB775" s="6">
        <f t="shared" si="30"/>
        <v>0</v>
      </c>
      <c r="AC775" s="6">
        <f>(L775-M775)*(W775+X775)+($W$482+$X$482-$W$775-$X$775)*(L775)</f>
        <v>528812.78645999997</v>
      </c>
      <c r="AD775" s="6">
        <f t="shared" si="31"/>
        <v>0</v>
      </c>
      <c r="AE775" s="6">
        <f ca="1">(L775-M775)*(Z775+AA775)+($Z$482+$AA$482-$Z$775-$AA$775)*(L775)</f>
        <v>408605.87403653975</v>
      </c>
      <c r="AF775" s="4" t="s">
        <v>844</v>
      </c>
    </row>
    <row r="776" spans="1:32" ht="11.25" customHeight="1" x14ac:dyDescent="0.25">
      <c r="A776" s="4" t="s">
        <v>29</v>
      </c>
      <c r="B776" s="4" t="s">
        <v>46</v>
      </c>
      <c r="C776" s="4" t="s">
        <v>23</v>
      </c>
      <c r="D776" s="4" t="s">
        <v>47</v>
      </c>
      <c r="E776" s="4" t="s">
        <v>25</v>
      </c>
      <c r="F776" s="4" t="s">
        <v>25</v>
      </c>
      <c r="G776" s="4" t="s">
        <v>25</v>
      </c>
      <c r="H776" s="4" t="s">
        <v>25</v>
      </c>
      <c r="I776" s="5">
        <v>44166</v>
      </c>
      <c r="J776" s="6">
        <v>0</v>
      </c>
      <c r="K776" s="6">
        <v>0</v>
      </c>
      <c r="L776" s="6">
        <v>-10.084</v>
      </c>
      <c r="M776" s="6">
        <v>-10.084</v>
      </c>
      <c r="N776" s="6">
        <v>-10.084</v>
      </c>
      <c r="O776" s="6">
        <v>-10.084</v>
      </c>
      <c r="P776" s="6">
        <v>0</v>
      </c>
      <c r="Q776" s="4" t="s">
        <v>26</v>
      </c>
      <c r="R776" s="4">
        <v>0</v>
      </c>
      <c r="S776" s="4">
        <v>0</v>
      </c>
      <c r="T776" s="4">
        <v>39</v>
      </c>
      <c r="U776" s="4">
        <v>85</v>
      </c>
      <c r="V776" s="6">
        <f>IF(ISERROR(VLOOKUP($S$776,'TAR FIN'!$A$1:$O$95,15,0)),0,VLOOKUP($S$776,'TAR FIN'!$A$1:$O$95,15,0))</f>
        <v>0</v>
      </c>
      <c r="W776" s="6">
        <f>IF(ISERROR(VLOOKUP($T$776,'TAR FIN'!$A$1:$O$95,15,0)),0,VLOOKUP($T$776,'TAR FIN'!$A$1:$O$95,15,0))</f>
        <v>369.16</v>
      </c>
      <c r="X776" s="6">
        <f>IF(ISERROR(VLOOKUP($U$776,'TAR FIN'!$A$1:$O$95,15,0)),0,VLOOKUP($U$776,'TAR FIN'!$A$1:$O$95,15,0))</f>
        <v>199.51</v>
      </c>
      <c r="Y776" s="6"/>
      <c r="Z776" s="6">
        <f ca="1">('TUSD BE'!$AM$38+'TUSD BF'!$AM$38+'TUSD CVA'!$AM$38)*(1-CUSTOS!$M$38)</f>
        <v>445.73746261020432</v>
      </c>
      <c r="AA776" s="6">
        <f>('TE BE'!$AA$26+'TE BF'!$AA$26+'TE CVA'!$AA$26)*(1-CUSTOS!$M$38)</f>
        <v>261.5374640864809</v>
      </c>
      <c r="AB776" s="6">
        <f t="shared" si="30"/>
        <v>0</v>
      </c>
      <c r="AC776" s="6">
        <f>(L776-M776)*(W776+X776)+($W$482+$X$482-$W$776-$X$776)*(L776)</f>
        <v>-1258.6848799999998</v>
      </c>
      <c r="AD776" s="6">
        <f t="shared" si="31"/>
        <v>0</v>
      </c>
      <c r="AE776" s="6">
        <f ca="1">(L776-M776)*(Z776+AA776)+($Z$482+$AA$482-$Z$776-$AA$776)*(L776)</f>
        <v>-972.56732192855134</v>
      </c>
      <c r="AF776" s="4" t="s">
        <v>844</v>
      </c>
    </row>
    <row r="777" spans="1:32" ht="11.25" customHeight="1" x14ac:dyDescent="0.25">
      <c r="A777" s="4" t="s">
        <v>30</v>
      </c>
      <c r="B777" s="4" t="s">
        <v>46</v>
      </c>
      <c r="C777" s="4" t="s">
        <v>23</v>
      </c>
      <c r="D777" s="4" t="s">
        <v>47</v>
      </c>
      <c r="E777" s="4" t="s">
        <v>25</v>
      </c>
      <c r="F777" s="4" t="s">
        <v>25</v>
      </c>
      <c r="G777" s="4" t="s">
        <v>25</v>
      </c>
      <c r="H777" s="4" t="s">
        <v>25</v>
      </c>
      <c r="I777" s="5">
        <v>44166</v>
      </c>
      <c r="J777" s="6">
        <v>0</v>
      </c>
      <c r="K777" s="6">
        <v>0</v>
      </c>
      <c r="L777" s="6">
        <v>7.3019999999999996</v>
      </c>
      <c r="M777" s="6">
        <v>7.3019999999999996</v>
      </c>
      <c r="N777" s="6">
        <v>7.3019999999999996</v>
      </c>
      <c r="O777" s="6">
        <v>7.3019999999999996</v>
      </c>
      <c r="P777" s="6">
        <v>11</v>
      </c>
      <c r="Q777" s="4" t="s">
        <v>26</v>
      </c>
      <c r="R777" s="4">
        <v>0</v>
      </c>
      <c r="S777" s="4">
        <v>0</v>
      </c>
      <c r="T777" s="4">
        <v>39</v>
      </c>
      <c r="U777" s="4">
        <v>85</v>
      </c>
      <c r="V777" s="6">
        <f>IF(ISERROR(VLOOKUP($S$777,'TAR FIN'!$A$1:$O$95,15,0)),0,VLOOKUP($S$777,'TAR FIN'!$A$1:$O$95,15,0))</f>
        <v>0</v>
      </c>
      <c r="W777" s="6">
        <f>IF(ISERROR(VLOOKUP($T$777,'TAR FIN'!$A$1:$O$95,15,0)),0,VLOOKUP($T$777,'TAR FIN'!$A$1:$O$95,15,0))</f>
        <v>369.16</v>
      </c>
      <c r="X777" s="6">
        <f>IF(ISERROR(VLOOKUP($U$777,'TAR FIN'!$A$1:$O$95,15,0)),0,VLOOKUP($U$777,'TAR FIN'!$A$1:$O$95,15,0))</f>
        <v>199.51</v>
      </c>
      <c r="Y777" s="6"/>
      <c r="Z777" s="6">
        <f ca="1">('TUSD BE'!$AM$38+'TUSD BF'!$AM$38+'TUSD CVA'!$AM$38)*(1-CUSTOS!$M$38)</f>
        <v>445.73746261020432</v>
      </c>
      <c r="AA777" s="6">
        <f>('TE BE'!$AA$26+'TE BF'!$AA$26+'TE CVA'!$AA$26)*(1-CUSTOS!$M$38)</f>
        <v>261.5374640864809</v>
      </c>
      <c r="AB777" s="6">
        <f t="shared" si="30"/>
        <v>0</v>
      </c>
      <c r="AC777" s="6">
        <f>(L777-M777)*(W777+X777)+($W$482+$X$482-$W$777-$X$777)*(L777)</f>
        <v>911.43563999999992</v>
      </c>
      <c r="AD777" s="6">
        <f t="shared" si="31"/>
        <v>0</v>
      </c>
      <c r="AE777" s="6">
        <f ca="1">(L777-M777)*(Z777+AA777)+($Z$482+$AA$482-$Z$777-$AA$777)*(L777)</f>
        <v>704.2529338280724</v>
      </c>
      <c r="AF777" s="4" t="s">
        <v>844</v>
      </c>
    </row>
    <row r="778" spans="1:32" ht="11.25" customHeight="1" x14ac:dyDescent="0.25">
      <c r="A778" s="4" t="s">
        <v>21</v>
      </c>
      <c r="B778" s="4" t="s">
        <v>46</v>
      </c>
      <c r="C778" s="4" t="s">
        <v>23</v>
      </c>
      <c r="D778" s="4" t="s">
        <v>47</v>
      </c>
      <c r="E778" s="4" t="s">
        <v>25</v>
      </c>
      <c r="F778" s="4" t="s">
        <v>25</v>
      </c>
      <c r="G778" s="4" t="s">
        <v>25</v>
      </c>
      <c r="H778" s="4" t="s">
        <v>25</v>
      </c>
      <c r="I778" s="5">
        <v>44197</v>
      </c>
      <c r="J778" s="6">
        <v>0</v>
      </c>
      <c r="K778" s="6">
        <v>0</v>
      </c>
      <c r="L778" s="6">
        <v>1548.175</v>
      </c>
      <c r="M778" s="6">
        <v>1548.175</v>
      </c>
      <c r="N778" s="6">
        <v>1548.175</v>
      </c>
      <c r="O778" s="6">
        <v>1548.175</v>
      </c>
      <c r="P778" s="6">
        <v>8006</v>
      </c>
      <c r="Q778" s="4" t="s">
        <v>26</v>
      </c>
      <c r="R778" s="4">
        <v>0</v>
      </c>
      <c r="S778" s="4">
        <v>0</v>
      </c>
      <c r="T778" s="4">
        <v>39</v>
      </c>
      <c r="U778" s="4">
        <v>85</v>
      </c>
      <c r="V778" s="6">
        <f>IF(ISERROR(VLOOKUP($S$778,'TAR FIN'!$A$1:$O$95,15,0)),0,VLOOKUP($S$778,'TAR FIN'!$A$1:$O$95,15,0))</f>
        <v>0</v>
      </c>
      <c r="W778" s="6">
        <f>IF(ISERROR(VLOOKUP($T$778,'TAR FIN'!$A$1:$O$95,15,0)),0,VLOOKUP($T$778,'TAR FIN'!$A$1:$O$95,15,0))</f>
        <v>369.16</v>
      </c>
      <c r="X778" s="6">
        <f>IF(ISERROR(VLOOKUP($U$778,'TAR FIN'!$A$1:$O$95,15,0)),0,VLOOKUP($U$778,'TAR FIN'!$A$1:$O$95,15,0))</f>
        <v>199.51</v>
      </c>
      <c r="Y778" s="6"/>
      <c r="Z778" s="6">
        <f ca="1">('TUSD BE'!$AM$38+'TUSD BF'!$AM$38+'TUSD CVA'!$AM$38)*(1-CUSTOS!$M$38)</f>
        <v>445.73746261020432</v>
      </c>
      <c r="AA778" s="6">
        <f>('TE BE'!$AA$26+'TE BF'!$AA$26+'TE CVA'!$AA$26)*(1-CUSTOS!$M$38)</f>
        <v>261.5374640864809</v>
      </c>
      <c r="AB778" s="6">
        <f t="shared" si="30"/>
        <v>0</v>
      </c>
      <c r="AC778" s="6">
        <f>(L778-M778)*(W778+X778)+($W$482+$X$482-$W$778-$X$778)*(L778)</f>
        <v>193243.20349999997</v>
      </c>
      <c r="AD778" s="6">
        <f t="shared" si="31"/>
        <v>0</v>
      </c>
      <c r="AE778" s="6">
        <f ca="1">(L778-M778)*(Z778+AA778)+($Z$482+$AA$482-$Z$778-$AA$778)*(L778)</f>
        <v>149316.18540526924</v>
      </c>
      <c r="AF778" s="4" t="s">
        <v>844</v>
      </c>
    </row>
    <row r="779" spans="1:32" ht="11.25" customHeight="1" x14ac:dyDescent="0.25">
      <c r="A779" s="4" t="s">
        <v>27</v>
      </c>
      <c r="B779" s="4" t="s">
        <v>46</v>
      </c>
      <c r="C779" s="4" t="s">
        <v>23</v>
      </c>
      <c r="D779" s="4" t="s">
        <v>47</v>
      </c>
      <c r="E779" s="4" t="s">
        <v>25</v>
      </c>
      <c r="F779" s="4" t="s">
        <v>25</v>
      </c>
      <c r="G779" s="4" t="s">
        <v>25</v>
      </c>
      <c r="H779" s="4" t="s">
        <v>25</v>
      </c>
      <c r="I779" s="5">
        <v>44197</v>
      </c>
      <c r="J779" s="6">
        <v>0</v>
      </c>
      <c r="K779" s="6">
        <v>0</v>
      </c>
      <c r="L779" s="6">
        <v>-125.527</v>
      </c>
      <c r="M779" s="6">
        <v>-125.527</v>
      </c>
      <c r="N779" s="6">
        <v>-125.527</v>
      </c>
      <c r="O779" s="6">
        <v>-125.527</v>
      </c>
      <c r="P779" s="6">
        <v>0</v>
      </c>
      <c r="Q779" s="4" t="s">
        <v>26</v>
      </c>
      <c r="R779" s="4">
        <v>0</v>
      </c>
      <c r="S779" s="4">
        <v>0</v>
      </c>
      <c r="T779" s="4">
        <v>39</v>
      </c>
      <c r="U779" s="4">
        <v>85</v>
      </c>
      <c r="V779" s="6">
        <f>IF(ISERROR(VLOOKUP($S$779,'TAR FIN'!$A$1:$O$95,15,0)),0,VLOOKUP($S$779,'TAR FIN'!$A$1:$O$95,15,0))</f>
        <v>0</v>
      </c>
      <c r="W779" s="6">
        <f>IF(ISERROR(VLOOKUP($T$779,'TAR FIN'!$A$1:$O$95,15,0)),0,VLOOKUP($T$779,'TAR FIN'!$A$1:$O$95,15,0))</f>
        <v>369.16</v>
      </c>
      <c r="X779" s="6">
        <f>IF(ISERROR(VLOOKUP($U$779,'TAR FIN'!$A$1:$O$95,15,0)),0,VLOOKUP($U$779,'TAR FIN'!$A$1:$O$95,15,0))</f>
        <v>199.51</v>
      </c>
      <c r="Y779" s="6"/>
      <c r="Z779" s="6">
        <f ca="1">('TUSD BE'!$AM$38+'TUSD BF'!$AM$38+'TUSD CVA'!$AM$38)*(1-CUSTOS!$M$38)</f>
        <v>445.73746261020432</v>
      </c>
      <c r="AA779" s="6">
        <f>('TE BE'!$AA$26+'TE BF'!$AA$26+'TE CVA'!$AA$26)*(1-CUSTOS!$M$38)</f>
        <v>261.5374640864809</v>
      </c>
      <c r="AB779" s="6">
        <f t="shared" si="30"/>
        <v>0</v>
      </c>
      <c r="AC779" s="6">
        <f>(L779-M779)*(W779+X779)+($W$482+$X$482-$W$779-$X$779)*(L779)</f>
        <v>-15668.280139999999</v>
      </c>
      <c r="AD779" s="6">
        <f t="shared" si="31"/>
        <v>0</v>
      </c>
      <c r="AE779" s="6">
        <f ca="1">(L779-M779)*(Z779+AA779)+($Z$482+$AA$482-$Z$779-$AA$779)*(L779)</f>
        <v>-12106.649962289297</v>
      </c>
      <c r="AF779" s="4" t="s">
        <v>844</v>
      </c>
    </row>
    <row r="780" spans="1:32" ht="11.25" customHeight="1" x14ac:dyDescent="0.25">
      <c r="A780" s="4" t="s">
        <v>28</v>
      </c>
      <c r="B780" s="4" t="s">
        <v>46</v>
      </c>
      <c r="C780" s="4" t="s">
        <v>23</v>
      </c>
      <c r="D780" s="4" t="s">
        <v>47</v>
      </c>
      <c r="E780" s="4" t="s">
        <v>25</v>
      </c>
      <c r="F780" s="4" t="s">
        <v>25</v>
      </c>
      <c r="G780" s="4" t="s">
        <v>25</v>
      </c>
      <c r="H780" s="4" t="s">
        <v>25</v>
      </c>
      <c r="I780" s="5">
        <v>44197</v>
      </c>
      <c r="J780" s="6">
        <v>0</v>
      </c>
      <c r="K780" s="6">
        <v>0</v>
      </c>
      <c r="L780" s="6">
        <v>3906.348</v>
      </c>
      <c r="M780" s="6">
        <v>3906.348</v>
      </c>
      <c r="N780" s="6">
        <v>3906.348</v>
      </c>
      <c r="O780" s="6">
        <v>3906.348</v>
      </c>
      <c r="P780" s="6">
        <v>35938</v>
      </c>
      <c r="Q780" s="4" t="s">
        <v>26</v>
      </c>
      <c r="R780" s="4">
        <v>0</v>
      </c>
      <c r="S780" s="4">
        <v>0</v>
      </c>
      <c r="T780" s="4">
        <v>39</v>
      </c>
      <c r="U780" s="4">
        <v>85</v>
      </c>
      <c r="V780" s="6">
        <f>IF(ISERROR(VLOOKUP($S$780,'TAR FIN'!$A$1:$O$95,15,0)),0,VLOOKUP($S$780,'TAR FIN'!$A$1:$O$95,15,0))</f>
        <v>0</v>
      </c>
      <c r="W780" s="6">
        <f>IF(ISERROR(VLOOKUP($T$780,'TAR FIN'!$A$1:$O$95,15,0)),0,VLOOKUP($T$780,'TAR FIN'!$A$1:$O$95,15,0))</f>
        <v>369.16</v>
      </c>
      <c r="X780" s="6">
        <f>IF(ISERROR(VLOOKUP($U$780,'TAR FIN'!$A$1:$O$95,15,0)),0,VLOOKUP($U$780,'TAR FIN'!$A$1:$O$95,15,0))</f>
        <v>199.51</v>
      </c>
      <c r="Y780" s="6"/>
      <c r="Z780" s="6">
        <f ca="1">('TUSD BE'!$AM$38+'TUSD BF'!$AM$38+'TUSD CVA'!$AM$38)*(1-CUSTOS!$M$38)</f>
        <v>445.73746261020432</v>
      </c>
      <c r="AA780" s="6">
        <f>('TE BE'!$AA$26+'TE BF'!$AA$26+'TE CVA'!$AA$26)*(1-CUSTOS!$M$38)</f>
        <v>261.5374640864809</v>
      </c>
      <c r="AB780" s="6">
        <f t="shared" si="30"/>
        <v>0</v>
      </c>
      <c r="AC780" s="6">
        <f>(L780-M780)*(W780+X780)+($W$482+$X$482-$W$780-$X$780)*(L780)</f>
        <v>487590.35735999997</v>
      </c>
      <c r="AD780" s="6">
        <f t="shared" si="31"/>
        <v>0</v>
      </c>
      <c r="AE780" s="6">
        <f ca="1">(L780-M780)*(Z780+AA780)+($Z$482+$AA$482-$Z$780-$AA$780)*(L780)</f>
        <v>376753.90845705604</v>
      </c>
      <c r="AF780" s="4" t="s">
        <v>844</v>
      </c>
    </row>
    <row r="781" spans="1:32" ht="11.25" customHeight="1" x14ac:dyDescent="0.25">
      <c r="A781" s="4" t="s">
        <v>29</v>
      </c>
      <c r="B781" s="4" t="s">
        <v>46</v>
      </c>
      <c r="C781" s="4" t="s">
        <v>23</v>
      </c>
      <c r="D781" s="4" t="s">
        <v>47</v>
      </c>
      <c r="E781" s="4" t="s">
        <v>25</v>
      </c>
      <c r="F781" s="4" t="s">
        <v>25</v>
      </c>
      <c r="G781" s="4" t="s">
        <v>25</v>
      </c>
      <c r="H781" s="4" t="s">
        <v>25</v>
      </c>
      <c r="I781" s="5">
        <v>44197</v>
      </c>
      <c r="J781" s="6">
        <v>0</v>
      </c>
      <c r="K781" s="6">
        <v>0</v>
      </c>
      <c r="L781" s="6">
        <v>-152.096</v>
      </c>
      <c r="M781" s="6">
        <v>-152.096</v>
      </c>
      <c r="N781" s="6">
        <v>-152.096</v>
      </c>
      <c r="O781" s="6">
        <v>-152.096</v>
      </c>
      <c r="P781" s="6">
        <v>0</v>
      </c>
      <c r="Q781" s="4" t="s">
        <v>26</v>
      </c>
      <c r="R781" s="4">
        <v>0</v>
      </c>
      <c r="S781" s="4">
        <v>0</v>
      </c>
      <c r="T781" s="4">
        <v>39</v>
      </c>
      <c r="U781" s="4">
        <v>85</v>
      </c>
      <c r="V781" s="6">
        <f>IF(ISERROR(VLOOKUP($S$781,'TAR FIN'!$A$1:$O$95,15,0)),0,VLOOKUP($S$781,'TAR FIN'!$A$1:$O$95,15,0))</f>
        <v>0</v>
      </c>
      <c r="W781" s="6">
        <f>IF(ISERROR(VLOOKUP($T$781,'TAR FIN'!$A$1:$O$95,15,0)),0,VLOOKUP($T$781,'TAR FIN'!$A$1:$O$95,15,0))</f>
        <v>369.16</v>
      </c>
      <c r="X781" s="6">
        <f>IF(ISERROR(VLOOKUP($U$781,'TAR FIN'!$A$1:$O$95,15,0)),0,VLOOKUP($U$781,'TAR FIN'!$A$1:$O$95,15,0))</f>
        <v>199.51</v>
      </c>
      <c r="Y781" s="6"/>
      <c r="Z781" s="6">
        <f ca="1">('TUSD BE'!$AM$38+'TUSD BF'!$AM$38+'TUSD CVA'!$AM$38)*(1-CUSTOS!$M$38)</f>
        <v>445.73746261020432</v>
      </c>
      <c r="AA781" s="6">
        <f>('TE BE'!$AA$26+'TE BF'!$AA$26+'TE CVA'!$AA$26)*(1-CUSTOS!$M$38)</f>
        <v>261.5374640864809</v>
      </c>
      <c r="AB781" s="6">
        <f t="shared" si="30"/>
        <v>0</v>
      </c>
      <c r="AC781" s="6">
        <f>(L781-M781)*(W781+X781)+($W$482+$X$482-$W$781-$X$781)*(L781)</f>
        <v>-18984.622719999999</v>
      </c>
      <c r="AD781" s="6">
        <f t="shared" si="31"/>
        <v>0</v>
      </c>
      <c r="AE781" s="6">
        <f ca="1">(L781-M781)*(Z781+AA781)+($Z$482+$AA$482-$Z$781-$AA$781)*(L781)</f>
        <v>-14669.139170571694</v>
      </c>
      <c r="AF781" s="4" t="s">
        <v>844</v>
      </c>
    </row>
    <row r="782" spans="1:32" ht="11.25" customHeight="1" x14ac:dyDescent="0.25">
      <c r="A782" s="4" t="s">
        <v>30</v>
      </c>
      <c r="B782" s="4" t="s">
        <v>46</v>
      </c>
      <c r="C782" s="4" t="s">
        <v>23</v>
      </c>
      <c r="D782" s="4" t="s">
        <v>47</v>
      </c>
      <c r="E782" s="4" t="s">
        <v>25</v>
      </c>
      <c r="F782" s="4" t="s">
        <v>25</v>
      </c>
      <c r="G782" s="4" t="s">
        <v>25</v>
      </c>
      <c r="H782" s="4" t="s">
        <v>25</v>
      </c>
      <c r="I782" s="5">
        <v>44197</v>
      </c>
      <c r="J782" s="6">
        <v>0</v>
      </c>
      <c r="K782" s="6">
        <v>0</v>
      </c>
      <c r="L782" s="6">
        <v>7.7320000000000002</v>
      </c>
      <c r="M782" s="6">
        <v>7.7320000000000002</v>
      </c>
      <c r="N782" s="6">
        <v>7.7320000000000002</v>
      </c>
      <c r="O782" s="6">
        <v>7.7320000000000002</v>
      </c>
      <c r="P782" s="6">
        <v>11</v>
      </c>
      <c r="Q782" s="4" t="s">
        <v>26</v>
      </c>
      <c r="R782" s="4">
        <v>0</v>
      </c>
      <c r="S782" s="4">
        <v>0</v>
      </c>
      <c r="T782" s="4">
        <v>39</v>
      </c>
      <c r="U782" s="4">
        <v>85</v>
      </c>
      <c r="V782" s="6">
        <f>IF(ISERROR(VLOOKUP($S$782,'TAR FIN'!$A$1:$O$95,15,0)),0,VLOOKUP($S$782,'TAR FIN'!$A$1:$O$95,15,0))</f>
        <v>0</v>
      </c>
      <c r="W782" s="6">
        <f>IF(ISERROR(VLOOKUP($T$782,'TAR FIN'!$A$1:$O$95,15,0)),0,VLOOKUP($T$782,'TAR FIN'!$A$1:$O$95,15,0))</f>
        <v>369.16</v>
      </c>
      <c r="X782" s="6">
        <f>IF(ISERROR(VLOOKUP($U$782,'TAR FIN'!$A$1:$O$95,15,0)),0,VLOOKUP($U$782,'TAR FIN'!$A$1:$O$95,15,0))</f>
        <v>199.51</v>
      </c>
      <c r="Y782" s="6"/>
      <c r="Z782" s="6">
        <f ca="1">('TUSD BE'!$AM$38+'TUSD BF'!$AM$38+'TUSD CVA'!$AM$38)*(1-CUSTOS!$M$38)</f>
        <v>445.73746261020432</v>
      </c>
      <c r="AA782" s="6">
        <f>('TE BE'!$AA$26+'TE BF'!$AA$26+'TE CVA'!$AA$26)*(1-CUSTOS!$M$38)</f>
        <v>261.5374640864809</v>
      </c>
      <c r="AB782" s="6">
        <f t="shared" si="30"/>
        <v>0</v>
      </c>
      <c r="AC782" s="6">
        <f>(L782-M782)*(W782+X782)+($W$482+$X$482-$W$782-$X$782)*(L782)</f>
        <v>965.10824000000002</v>
      </c>
      <c r="AD782" s="6">
        <f t="shared" si="31"/>
        <v>0</v>
      </c>
      <c r="AE782" s="6">
        <f ca="1">(L782-M782)*(Z782+AA782)+($Z$482+$AA$482-$Z$782-$AA$782)*(L782)</f>
        <v>745.72496362074173</v>
      </c>
      <c r="AF782" s="4" t="s">
        <v>844</v>
      </c>
    </row>
    <row r="783" spans="1:32" ht="11.25" customHeight="1" x14ac:dyDescent="0.25">
      <c r="A783" s="4" t="s">
        <v>21</v>
      </c>
      <c r="B783" s="4" t="s">
        <v>46</v>
      </c>
      <c r="C783" s="4" t="s">
        <v>23</v>
      </c>
      <c r="D783" s="4" t="s">
        <v>47</v>
      </c>
      <c r="E783" s="4" t="s">
        <v>25</v>
      </c>
      <c r="F783" s="4" t="s">
        <v>25</v>
      </c>
      <c r="G783" s="4" t="s">
        <v>25</v>
      </c>
      <c r="H783" s="4" t="s">
        <v>25</v>
      </c>
      <c r="I783" s="5">
        <v>44228</v>
      </c>
      <c r="J783" s="6">
        <v>0</v>
      </c>
      <c r="K783" s="6">
        <v>0</v>
      </c>
      <c r="L783" s="6">
        <v>1381.0920000000001</v>
      </c>
      <c r="M783" s="6">
        <v>1381.0920000000001</v>
      </c>
      <c r="N783" s="6">
        <v>1381.0920000000001</v>
      </c>
      <c r="O783" s="6">
        <v>1381.0920000000001</v>
      </c>
      <c r="P783" s="6">
        <v>7999</v>
      </c>
      <c r="Q783" s="4" t="s">
        <v>26</v>
      </c>
      <c r="R783" s="4">
        <v>0</v>
      </c>
      <c r="S783" s="4">
        <v>0</v>
      </c>
      <c r="T783" s="4">
        <v>39</v>
      </c>
      <c r="U783" s="4">
        <v>85</v>
      </c>
      <c r="V783" s="6">
        <f>IF(ISERROR(VLOOKUP($S$783,'TAR FIN'!$A$1:$O$95,15,0)),0,VLOOKUP($S$783,'TAR FIN'!$A$1:$O$95,15,0))</f>
        <v>0</v>
      </c>
      <c r="W783" s="6">
        <f>IF(ISERROR(VLOOKUP($T$783,'TAR FIN'!$A$1:$O$95,15,0)),0,VLOOKUP($T$783,'TAR FIN'!$A$1:$O$95,15,0))</f>
        <v>369.16</v>
      </c>
      <c r="X783" s="6">
        <f>IF(ISERROR(VLOOKUP($U$783,'TAR FIN'!$A$1:$O$95,15,0)),0,VLOOKUP($U$783,'TAR FIN'!$A$1:$O$95,15,0))</f>
        <v>199.51</v>
      </c>
      <c r="Y783" s="6"/>
      <c r="Z783" s="6">
        <f ca="1">('TUSD BE'!$AM$38+'TUSD BF'!$AM$38+'TUSD CVA'!$AM$38)*(1-CUSTOS!$M$38)</f>
        <v>445.73746261020432</v>
      </c>
      <c r="AA783" s="6">
        <f>('TE BE'!$AA$26+'TE BF'!$AA$26+'TE CVA'!$AA$26)*(1-CUSTOS!$M$38)</f>
        <v>261.5374640864809</v>
      </c>
      <c r="AB783" s="6">
        <f t="shared" si="30"/>
        <v>0</v>
      </c>
      <c r="AC783" s="6">
        <f>(L783-M783)*(W783+X783)+($W$482+$X$482-$W$783-$X$783)*(L783)</f>
        <v>172387.90343999999</v>
      </c>
      <c r="AD783" s="6">
        <f t="shared" si="31"/>
        <v>0</v>
      </c>
      <c r="AE783" s="6">
        <f ca="1">(L783-M783)*(Z783+AA783)+($Z$482+$AA$482-$Z$783-$AA$783)*(L783)</f>
        <v>133201.60132655167</v>
      </c>
      <c r="AF783" s="4" t="s">
        <v>844</v>
      </c>
    </row>
    <row r="784" spans="1:32" ht="11.25" customHeight="1" x14ac:dyDescent="0.25">
      <c r="A784" s="4" t="s">
        <v>27</v>
      </c>
      <c r="B784" s="4" t="s">
        <v>46</v>
      </c>
      <c r="C784" s="4" t="s">
        <v>23</v>
      </c>
      <c r="D784" s="4" t="s">
        <v>47</v>
      </c>
      <c r="E784" s="4" t="s">
        <v>25</v>
      </c>
      <c r="F784" s="4" t="s">
        <v>25</v>
      </c>
      <c r="G784" s="4" t="s">
        <v>25</v>
      </c>
      <c r="H784" s="4" t="s">
        <v>25</v>
      </c>
      <c r="I784" s="5">
        <v>44228</v>
      </c>
      <c r="J784" s="6">
        <v>0</v>
      </c>
      <c r="K784" s="6">
        <v>0</v>
      </c>
      <c r="L784" s="6">
        <v>-117.90900000000001</v>
      </c>
      <c r="M784" s="6">
        <v>-117.90900000000001</v>
      </c>
      <c r="N784" s="6">
        <v>-117.90900000000001</v>
      </c>
      <c r="O784" s="6">
        <v>-117.90900000000001</v>
      </c>
      <c r="P784" s="6">
        <v>0</v>
      </c>
      <c r="Q784" s="4" t="s">
        <v>26</v>
      </c>
      <c r="R784" s="4">
        <v>0</v>
      </c>
      <c r="S784" s="4">
        <v>0</v>
      </c>
      <c r="T784" s="4">
        <v>39</v>
      </c>
      <c r="U784" s="4">
        <v>85</v>
      </c>
      <c r="V784" s="6">
        <f>IF(ISERROR(VLOOKUP($S$784,'TAR FIN'!$A$1:$O$95,15,0)),0,VLOOKUP($S$784,'TAR FIN'!$A$1:$O$95,15,0))</f>
        <v>0</v>
      </c>
      <c r="W784" s="6">
        <f>IF(ISERROR(VLOOKUP($T$784,'TAR FIN'!$A$1:$O$95,15,0)),0,VLOOKUP($T$784,'TAR FIN'!$A$1:$O$95,15,0))</f>
        <v>369.16</v>
      </c>
      <c r="X784" s="6">
        <f>IF(ISERROR(VLOOKUP($U$784,'TAR FIN'!$A$1:$O$95,15,0)),0,VLOOKUP($U$784,'TAR FIN'!$A$1:$O$95,15,0))</f>
        <v>199.51</v>
      </c>
      <c r="Y784" s="6"/>
      <c r="Z784" s="6">
        <f ca="1">('TUSD BE'!$AM$38+'TUSD BF'!$AM$38+'TUSD CVA'!$AM$38)*(1-CUSTOS!$M$38)</f>
        <v>445.73746261020432</v>
      </c>
      <c r="AA784" s="6">
        <f>('TE BE'!$AA$26+'TE BF'!$AA$26+'TE CVA'!$AA$26)*(1-CUSTOS!$M$38)</f>
        <v>261.5374640864809</v>
      </c>
      <c r="AB784" s="6">
        <f t="shared" si="30"/>
        <v>0</v>
      </c>
      <c r="AC784" s="6">
        <f>(L784-M784)*(W784+X784)+($W$482+$X$482-$W$784-$X$784)*(L784)</f>
        <v>-14717.401379999999</v>
      </c>
      <c r="AD784" s="6">
        <f t="shared" si="31"/>
        <v>0</v>
      </c>
      <c r="AE784" s="6">
        <f ca="1">(L784-M784)*(Z784+AA784)+($Z$482+$AA$482-$Z$784-$AA$784)*(L784)</f>
        <v>-11371.91990889266</v>
      </c>
      <c r="AF784" s="4" t="s">
        <v>844</v>
      </c>
    </row>
    <row r="785" spans="1:32" ht="11.25" customHeight="1" x14ac:dyDescent="0.25">
      <c r="A785" s="4" t="s">
        <v>28</v>
      </c>
      <c r="B785" s="4" t="s">
        <v>46</v>
      </c>
      <c r="C785" s="4" t="s">
        <v>23</v>
      </c>
      <c r="D785" s="4" t="s">
        <v>47</v>
      </c>
      <c r="E785" s="4" t="s">
        <v>25</v>
      </c>
      <c r="F785" s="4" t="s">
        <v>25</v>
      </c>
      <c r="G785" s="4" t="s">
        <v>25</v>
      </c>
      <c r="H785" s="4" t="s">
        <v>25</v>
      </c>
      <c r="I785" s="5">
        <v>44228</v>
      </c>
      <c r="J785" s="6">
        <v>0</v>
      </c>
      <c r="K785" s="6">
        <v>0</v>
      </c>
      <c r="L785" s="6">
        <v>3737.5740000000001</v>
      </c>
      <c r="M785" s="6">
        <v>3737.5740000000001</v>
      </c>
      <c r="N785" s="6">
        <v>3737.5740000000001</v>
      </c>
      <c r="O785" s="6">
        <v>3737.5740000000001</v>
      </c>
      <c r="P785" s="6">
        <v>35935</v>
      </c>
      <c r="Q785" s="4" t="s">
        <v>26</v>
      </c>
      <c r="R785" s="4">
        <v>0</v>
      </c>
      <c r="S785" s="4">
        <v>0</v>
      </c>
      <c r="T785" s="4">
        <v>39</v>
      </c>
      <c r="U785" s="4">
        <v>85</v>
      </c>
      <c r="V785" s="6">
        <f>IF(ISERROR(VLOOKUP($S$785,'TAR FIN'!$A$1:$O$95,15,0)),0,VLOOKUP($S$785,'TAR FIN'!$A$1:$O$95,15,0))</f>
        <v>0</v>
      </c>
      <c r="W785" s="6">
        <f>IF(ISERROR(VLOOKUP($T$785,'TAR FIN'!$A$1:$O$95,15,0)),0,VLOOKUP($T$785,'TAR FIN'!$A$1:$O$95,15,0))</f>
        <v>369.16</v>
      </c>
      <c r="X785" s="6">
        <f>IF(ISERROR(VLOOKUP($U$785,'TAR FIN'!$A$1:$O$95,15,0)),0,VLOOKUP($U$785,'TAR FIN'!$A$1:$O$95,15,0))</f>
        <v>199.51</v>
      </c>
      <c r="Y785" s="6"/>
      <c r="Z785" s="6">
        <f ca="1">('TUSD BE'!$AM$38+'TUSD BF'!$AM$38+'TUSD CVA'!$AM$38)*(1-CUSTOS!$M$38)</f>
        <v>445.73746261020432</v>
      </c>
      <c r="AA785" s="6">
        <f>('TE BE'!$AA$26+'TE BF'!$AA$26+'TE CVA'!$AA$26)*(1-CUSTOS!$M$38)</f>
        <v>261.5374640864809</v>
      </c>
      <c r="AB785" s="6">
        <f t="shared" si="30"/>
        <v>0</v>
      </c>
      <c r="AC785" s="6">
        <f>(L785-M785)*(W785+X785)+($W$482+$X$482-$W$785-$X$785)*(L785)</f>
        <v>466523.98667999997</v>
      </c>
      <c r="AD785" s="6">
        <f t="shared" si="31"/>
        <v>0</v>
      </c>
      <c r="AE785" s="6">
        <f ca="1">(L785-M785)*(Z785+AA785)+($Z$482+$AA$482-$Z$785-$AA$785)*(L785)</f>
        <v>360476.23321001424</v>
      </c>
      <c r="AF785" s="4" t="s">
        <v>844</v>
      </c>
    </row>
    <row r="786" spans="1:32" ht="11.25" customHeight="1" x14ac:dyDescent="0.25">
      <c r="A786" s="4" t="s">
        <v>29</v>
      </c>
      <c r="B786" s="4" t="s">
        <v>46</v>
      </c>
      <c r="C786" s="4" t="s">
        <v>23</v>
      </c>
      <c r="D786" s="4" t="s">
        <v>47</v>
      </c>
      <c r="E786" s="4" t="s">
        <v>25</v>
      </c>
      <c r="F786" s="4" t="s">
        <v>25</v>
      </c>
      <c r="G786" s="4" t="s">
        <v>25</v>
      </c>
      <c r="H786" s="4" t="s">
        <v>25</v>
      </c>
      <c r="I786" s="5">
        <v>44228</v>
      </c>
      <c r="J786" s="6">
        <v>0</v>
      </c>
      <c r="K786" s="6">
        <v>0</v>
      </c>
      <c r="L786" s="6">
        <v>-14.449</v>
      </c>
      <c r="M786" s="6">
        <v>-14.449</v>
      </c>
      <c r="N786" s="6">
        <v>-14.449</v>
      </c>
      <c r="O786" s="6">
        <v>-14.449</v>
      </c>
      <c r="P786" s="6">
        <v>0</v>
      </c>
      <c r="Q786" s="4" t="s">
        <v>26</v>
      </c>
      <c r="R786" s="4">
        <v>0</v>
      </c>
      <c r="S786" s="4">
        <v>0</v>
      </c>
      <c r="T786" s="4">
        <v>39</v>
      </c>
      <c r="U786" s="4">
        <v>85</v>
      </c>
      <c r="V786" s="6">
        <f>IF(ISERROR(VLOOKUP($S$786,'TAR FIN'!$A$1:$O$95,15,0)),0,VLOOKUP($S$786,'TAR FIN'!$A$1:$O$95,15,0))</f>
        <v>0</v>
      </c>
      <c r="W786" s="6">
        <f>IF(ISERROR(VLOOKUP($T$786,'TAR FIN'!$A$1:$O$95,15,0)),0,VLOOKUP($T$786,'TAR FIN'!$A$1:$O$95,15,0))</f>
        <v>369.16</v>
      </c>
      <c r="X786" s="6">
        <f>IF(ISERROR(VLOOKUP($U$786,'TAR FIN'!$A$1:$O$95,15,0)),0,VLOOKUP($U$786,'TAR FIN'!$A$1:$O$95,15,0))</f>
        <v>199.51</v>
      </c>
      <c r="Y786" s="6"/>
      <c r="Z786" s="6">
        <f ca="1">('TUSD BE'!$AM$38+'TUSD BF'!$AM$38+'TUSD CVA'!$AM$38)*(1-CUSTOS!$M$38)</f>
        <v>445.73746261020432</v>
      </c>
      <c r="AA786" s="6">
        <f>('TE BE'!$AA$26+'TE BF'!$AA$26+'TE CVA'!$AA$26)*(1-CUSTOS!$M$38)</f>
        <v>261.5374640864809</v>
      </c>
      <c r="AB786" s="6">
        <f t="shared" si="30"/>
        <v>0</v>
      </c>
      <c r="AC786" s="6">
        <f>(L786-M786)*(W786+X786)+($W$482+$X$482-$W$786-$X$786)*(L786)</f>
        <v>-1803.5241799999999</v>
      </c>
      <c r="AD786" s="6">
        <f t="shared" si="31"/>
        <v>0</v>
      </c>
      <c r="AE786" s="6">
        <f ca="1">(L786-M786)*(Z786+AA786)+($Z$482+$AA$482-$Z$786-$AA$786)*(L786)</f>
        <v>-1393.5566476146012</v>
      </c>
      <c r="AF786" s="4" t="s">
        <v>844</v>
      </c>
    </row>
    <row r="787" spans="1:32" ht="11.25" customHeight="1" x14ac:dyDescent="0.25">
      <c r="A787" s="4" t="s">
        <v>30</v>
      </c>
      <c r="B787" s="4" t="s">
        <v>46</v>
      </c>
      <c r="C787" s="4" t="s">
        <v>23</v>
      </c>
      <c r="D787" s="4" t="s">
        <v>47</v>
      </c>
      <c r="E787" s="4" t="s">
        <v>25</v>
      </c>
      <c r="F787" s="4" t="s">
        <v>25</v>
      </c>
      <c r="G787" s="4" t="s">
        <v>25</v>
      </c>
      <c r="H787" s="4" t="s">
        <v>25</v>
      </c>
      <c r="I787" s="5">
        <v>44228</v>
      </c>
      <c r="J787" s="6">
        <v>0</v>
      </c>
      <c r="K787" s="6">
        <v>0</v>
      </c>
      <c r="L787" s="6">
        <v>7.5449999999999999</v>
      </c>
      <c r="M787" s="6">
        <v>7.5449999999999999</v>
      </c>
      <c r="N787" s="6">
        <v>7.5449999999999999</v>
      </c>
      <c r="O787" s="6">
        <v>7.5449999999999999</v>
      </c>
      <c r="P787" s="6">
        <v>12</v>
      </c>
      <c r="Q787" s="4" t="s">
        <v>26</v>
      </c>
      <c r="R787" s="4">
        <v>0</v>
      </c>
      <c r="S787" s="4">
        <v>0</v>
      </c>
      <c r="T787" s="4">
        <v>39</v>
      </c>
      <c r="U787" s="4">
        <v>85</v>
      </c>
      <c r="V787" s="6">
        <f>IF(ISERROR(VLOOKUP($S$787,'TAR FIN'!$A$1:$O$95,15,0)),0,VLOOKUP($S$787,'TAR FIN'!$A$1:$O$95,15,0))</f>
        <v>0</v>
      </c>
      <c r="W787" s="6">
        <f>IF(ISERROR(VLOOKUP($T$787,'TAR FIN'!$A$1:$O$95,15,0)),0,VLOOKUP($T$787,'TAR FIN'!$A$1:$O$95,15,0))</f>
        <v>369.16</v>
      </c>
      <c r="X787" s="6">
        <f>IF(ISERROR(VLOOKUP($U$787,'TAR FIN'!$A$1:$O$95,15,0)),0,VLOOKUP($U$787,'TAR FIN'!$A$1:$O$95,15,0))</f>
        <v>199.51</v>
      </c>
      <c r="Y787" s="6"/>
      <c r="Z787" s="6">
        <f ca="1">('TUSD BE'!$AM$38+'TUSD BF'!$AM$38+'TUSD CVA'!$AM$38)*(1-CUSTOS!$M$38)</f>
        <v>445.73746261020432</v>
      </c>
      <c r="AA787" s="6">
        <f>('TE BE'!$AA$26+'TE BF'!$AA$26+'TE CVA'!$AA$26)*(1-CUSTOS!$M$38)</f>
        <v>261.5374640864809</v>
      </c>
      <c r="AB787" s="6">
        <f t="shared" si="30"/>
        <v>0</v>
      </c>
      <c r="AC787" s="6">
        <f>(L787-M787)*(W787+X787)+($W$482+$X$482-$W$787-$X$787)*(L787)</f>
        <v>941.76689999999996</v>
      </c>
      <c r="AD787" s="6">
        <f t="shared" si="31"/>
        <v>0</v>
      </c>
      <c r="AE787" s="6">
        <f ca="1">(L787-M787)*(Z787+AA787)+($Z$482+$AA$482-$Z$787-$AA$787)*(L787)</f>
        <v>727.68945298997619</v>
      </c>
      <c r="AF787" s="4" t="s">
        <v>844</v>
      </c>
    </row>
    <row r="788" spans="1:32" ht="11.25" customHeight="1" x14ac:dyDescent="0.25">
      <c r="A788" s="4" t="s">
        <v>21</v>
      </c>
      <c r="B788" s="4" t="s">
        <v>46</v>
      </c>
      <c r="C788" s="4" t="s">
        <v>23</v>
      </c>
      <c r="D788" s="4" t="s">
        <v>47</v>
      </c>
      <c r="E788" s="4" t="s">
        <v>25</v>
      </c>
      <c r="F788" s="4" t="s">
        <v>25</v>
      </c>
      <c r="G788" s="4" t="s">
        <v>25</v>
      </c>
      <c r="H788" s="4" t="s">
        <v>25</v>
      </c>
      <c r="I788" s="5">
        <v>44256</v>
      </c>
      <c r="J788" s="6">
        <v>0</v>
      </c>
      <c r="K788" s="6">
        <v>0</v>
      </c>
      <c r="L788" s="6">
        <v>1397.4190000000001</v>
      </c>
      <c r="M788" s="6">
        <v>1397.4190000000001</v>
      </c>
      <c r="N788" s="6">
        <v>1397.4190000000001</v>
      </c>
      <c r="O788" s="6">
        <v>1397.4190000000001</v>
      </c>
      <c r="P788" s="6">
        <v>8002</v>
      </c>
      <c r="Q788" s="4" t="s">
        <v>26</v>
      </c>
      <c r="R788" s="4">
        <v>0</v>
      </c>
      <c r="S788" s="4">
        <v>0</v>
      </c>
      <c r="T788" s="4">
        <v>39</v>
      </c>
      <c r="U788" s="4">
        <v>85</v>
      </c>
      <c r="V788" s="6">
        <f>IF(ISERROR(VLOOKUP($S$788,'TAR FIN'!$A$1:$O$95,15,0)),0,VLOOKUP($S$788,'TAR FIN'!$A$1:$O$95,15,0))</f>
        <v>0</v>
      </c>
      <c r="W788" s="6">
        <f>IF(ISERROR(VLOOKUP($T$788,'TAR FIN'!$A$1:$O$95,15,0)),0,VLOOKUP($T$788,'TAR FIN'!$A$1:$O$95,15,0))</f>
        <v>369.16</v>
      </c>
      <c r="X788" s="6">
        <f>IF(ISERROR(VLOOKUP($U$788,'TAR FIN'!$A$1:$O$95,15,0)),0,VLOOKUP($U$788,'TAR FIN'!$A$1:$O$95,15,0))</f>
        <v>199.51</v>
      </c>
      <c r="Y788" s="6"/>
      <c r="Z788" s="6">
        <f ca="1">('TUSD BE'!$AM$38+'TUSD BF'!$AM$38+'TUSD CVA'!$AM$38)*(1-CUSTOS!$M$38)</f>
        <v>445.73746261020432</v>
      </c>
      <c r="AA788" s="6">
        <f>('TE BE'!$AA$26+'TE BF'!$AA$26+'TE CVA'!$AA$26)*(1-CUSTOS!$M$38)</f>
        <v>261.5374640864809</v>
      </c>
      <c r="AB788" s="6">
        <f t="shared" si="30"/>
        <v>0</v>
      </c>
      <c r="AC788" s="6">
        <f>(L788-M788)*(W788+X788)+($W$482+$X$482-$W$788-$X$788)*(L788)</f>
        <v>174425.83958</v>
      </c>
      <c r="AD788" s="6">
        <f t="shared" si="31"/>
        <v>0</v>
      </c>
      <c r="AE788" s="6">
        <f ca="1">(L788-M788)*(Z788+AA788)+($Z$482+$AA$482-$Z$788-$AA$788)*(L788)</f>
        <v>134776.28465312123</v>
      </c>
      <c r="AF788" s="4" t="s">
        <v>844</v>
      </c>
    </row>
    <row r="789" spans="1:32" ht="11.25" customHeight="1" x14ac:dyDescent="0.25">
      <c r="A789" s="4" t="s">
        <v>27</v>
      </c>
      <c r="B789" s="4" t="s">
        <v>46</v>
      </c>
      <c r="C789" s="4" t="s">
        <v>23</v>
      </c>
      <c r="D789" s="4" t="s">
        <v>47</v>
      </c>
      <c r="E789" s="4" t="s">
        <v>25</v>
      </c>
      <c r="F789" s="4" t="s">
        <v>25</v>
      </c>
      <c r="G789" s="4" t="s">
        <v>25</v>
      </c>
      <c r="H789" s="4" t="s">
        <v>25</v>
      </c>
      <c r="I789" s="5">
        <v>44256</v>
      </c>
      <c r="J789" s="6">
        <v>0</v>
      </c>
      <c r="K789" s="6">
        <v>0</v>
      </c>
      <c r="L789" s="6">
        <v>-66.885000000000005</v>
      </c>
      <c r="M789" s="6">
        <v>-66.885000000000005</v>
      </c>
      <c r="N789" s="6">
        <v>-66.885000000000005</v>
      </c>
      <c r="O789" s="6">
        <v>-66.885000000000005</v>
      </c>
      <c r="P789" s="6">
        <v>0</v>
      </c>
      <c r="Q789" s="4" t="s">
        <v>26</v>
      </c>
      <c r="R789" s="4">
        <v>0</v>
      </c>
      <c r="S789" s="4">
        <v>0</v>
      </c>
      <c r="T789" s="4">
        <v>39</v>
      </c>
      <c r="U789" s="4">
        <v>85</v>
      </c>
      <c r="V789" s="6">
        <f>IF(ISERROR(VLOOKUP($S$789,'TAR FIN'!$A$1:$O$95,15,0)),0,VLOOKUP($S$789,'TAR FIN'!$A$1:$O$95,15,0))</f>
        <v>0</v>
      </c>
      <c r="W789" s="6">
        <f>IF(ISERROR(VLOOKUP($T$789,'TAR FIN'!$A$1:$O$95,15,0)),0,VLOOKUP($T$789,'TAR FIN'!$A$1:$O$95,15,0))</f>
        <v>369.16</v>
      </c>
      <c r="X789" s="6">
        <f>IF(ISERROR(VLOOKUP($U$789,'TAR FIN'!$A$1:$O$95,15,0)),0,VLOOKUP($U$789,'TAR FIN'!$A$1:$O$95,15,0))</f>
        <v>199.51</v>
      </c>
      <c r="Y789" s="6"/>
      <c r="Z789" s="6">
        <f ca="1">('TUSD BE'!$AM$38+'TUSD BF'!$AM$38+'TUSD CVA'!$AM$38)*(1-CUSTOS!$M$38)</f>
        <v>445.73746261020432</v>
      </c>
      <c r="AA789" s="6">
        <f>('TE BE'!$AA$26+'TE BF'!$AA$26+'TE CVA'!$AA$26)*(1-CUSTOS!$M$38)</f>
        <v>261.5374640864809</v>
      </c>
      <c r="AB789" s="6">
        <f t="shared" si="30"/>
        <v>0</v>
      </c>
      <c r="AC789" s="6">
        <f>(L789-M789)*(W789+X789)+($W$482+$X$482-$W$789-$X$789)*(L789)</f>
        <v>-8348.5856999999996</v>
      </c>
      <c r="AD789" s="6">
        <f t="shared" si="31"/>
        <v>0</v>
      </c>
      <c r="AE789" s="6">
        <f ca="1">(L789-M789)*(Z789+AA789)+($Z$482+$AA$482-$Z$789-$AA$789)*(L789)</f>
        <v>-6450.8295643783385</v>
      </c>
      <c r="AF789" s="4" t="s">
        <v>844</v>
      </c>
    </row>
    <row r="790" spans="1:32" ht="11.25" customHeight="1" x14ac:dyDescent="0.25">
      <c r="A790" s="4" t="s">
        <v>28</v>
      </c>
      <c r="B790" s="4" t="s">
        <v>46</v>
      </c>
      <c r="C790" s="4" t="s">
        <v>23</v>
      </c>
      <c r="D790" s="4" t="s">
        <v>47</v>
      </c>
      <c r="E790" s="4" t="s">
        <v>25</v>
      </c>
      <c r="F790" s="4" t="s">
        <v>25</v>
      </c>
      <c r="G790" s="4" t="s">
        <v>25</v>
      </c>
      <c r="H790" s="4" t="s">
        <v>25</v>
      </c>
      <c r="I790" s="5">
        <v>44256</v>
      </c>
      <c r="J790" s="6">
        <v>0</v>
      </c>
      <c r="K790" s="6">
        <v>0</v>
      </c>
      <c r="L790" s="6">
        <v>3903.018</v>
      </c>
      <c r="M790" s="6">
        <v>3903.018</v>
      </c>
      <c r="N790" s="6">
        <v>3903.018</v>
      </c>
      <c r="O790" s="6">
        <v>3903.018</v>
      </c>
      <c r="P790" s="6">
        <v>35896</v>
      </c>
      <c r="Q790" s="4" t="s">
        <v>26</v>
      </c>
      <c r="R790" s="4">
        <v>0</v>
      </c>
      <c r="S790" s="4">
        <v>0</v>
      </c>
      <c r="T790" s="4">
        <v>39</v>
      </c>
      <c r="U790" s="4">
        <v>85</v>
      </c>
      <c r="V790" s="6">
        <f>IF(ISERROR(VLOOKUP($S$790,'TAR FIN'!$A$1:$O$95,15,0)),0,VLOOKUP($S$790,'TAR FIN'!$A$1:$O$95,15,0))</f>
        <v>0</v>
      </c>
      <c r="W790" s="6">
        <f>IF(ISERROR(VLOOKUP($T$790,'TAR FIN'!$A$1:$O$95,15,0)),0,VLOOKUP($T$790,'TAR FIN'!$A$1:$O$95,15,0))</f>
        <v>369.16</v>
      </c>
      <c r="X790" s="6">
        <f>IF(ISERROR(VLOOKUP($U$790,'TAR FIN'!$A$1:$O$95,15,0)),0,VLOOKUP($U$790,'TAR FIN'!$A$1:$O$95,15,0))</f>
        <v>199.51</v>
      </c>
      <c r="Y790" s="6"/>
      <c r="Z790" s="6">
        <f ca="1">('TUSD BE'!$AM$38+'TUSD BF'!$AM$38+'TUSD CVA'!$AM$38)*(1-CUSTOS!$M$38)</f>
        <v>445.73746261020432</v>
      </c>
      <c r="AA790" s="6">
        <f>('TE BE'!$AA$26+'TE BF'!$AA$26+'TE CVA'!$AA$26)*(1-CUSTOS!$M$38)</f>
        <v>261.5374640864809</v>
      </c>
      <c r="AB790" s="6">
        <f t="shared" si="30"/>
        <v>0</v>
      </c>
      <c r="AC790" s="6">
        <f>(L790-M790)*(W790+X790)+($W$482+$X$482-$W$790-$X$790)*(L790)</f>
        <v>487174.70675999997</v>
      </c>
      <c r="AD790" s="6">
        <f t="shared" si="31"/>
        <v>0</v>
      </c>
      <c r="AE790" s="6">
        <f ca="1">(L790-M790)*(Z790+AA790)+($Z$482+$AA$482-$Z$790-$AA$790)*(L790)</f>
        <v>376432.7413426151</v>
      </c>
      <c r="AF790" s="4" t="s">
        <v>844</v>
      </c>
    </row>
    <row r="791" spans="1:32" ht="11.25" customHeight="1" x14ac:dyDescent="0.25">
      <c r="A791" s="4" t="s">
        <v>29</v>
      </c>
      <c r="B791" s="4" t="s">
        <v>46</v>
      </c>
      <c r="C791" s="4" t="s">
        <v>23</v>
      </c>
      <c r="D791" s="4" t="s">
        <v>47</v>
      </c>
      <c r="E791" s="4" t="s">
        <v>25</v>
      </c>
      <c r="F791" s="4" t="s">
        <v>25</v>
      </c>
      <c r="G791" s="4" t="s">
        <v>25</v>
      </c>
      <c r="H791" s="4" t="s">
        <v>25</v>
      </c>
      <c r="I791" s="5">
        <v>44256</v>
      </c>
      <c r="J791" s="6">
        <v>0</v>
      </c>
      <c r="K791" s="6">
        <v>0</v>
      </c>
      <c r="L791" s="6">
        <v>-40.159999999999997</v>
      </c>
      <c r="M791" s="6">
        <v>-40.159999999999997</v>
      </c>
      <c r="N791" s="6">
        <v>-40.159999999999997</v>
      </c>
      <c r="O791" s="6">
        <v>-40.159999999999997</v>
      </c>
      <c r="P791" s="6">
        <v>0</v>
      </c>
      <c r="Q791" s="4" t="s">
        <v>26</v>
      </c>
      <c r="R791" s="4">
        <v>0</v>
      </c>
      <c r="S791" s="4">
        <v>0</v>
      </c>
      <c r="T791" s="4">
        <v>39</v>
      </c>
      <c r="U791" s="4">
        <v>85</v>
      </c>
      <c r="V791" s="6">
        <f>IF(ISERROR(VLOOKUP($S$791,'TAR FIN'!$A$1:$O$95,15,0)),0,VLOOKUP($S$791,'TAR FIN'!$A$1:$O$95,15,0))</f>
        <v>0</v>
      </c>
      <c r="W791" s="6">
        <f>IF(ISERROR(VLOOKUP($T$791,'TAR FIN'!$A$1:$O$95,15,0)),0,VLOOKUP($T$791,'TAR FIN'!$A$1:$O$95,15,0))</f>
        <v>369.16</v>
      </c>
      <c r="X791" s="6">
        <f>IF(ISERROR(VLOOKUP($U$791,'TAR FIN'!$A$1:$O$95,15,0)),0,VLOOKUP($U$791,'TAR FIN'!$A$1:$O$95,15,0))</f>
        <v>199.51</v>
      </c>
      <c r="Y791" s="6"/>
      <c r="Z791" s="6">
        <f ca="1">('TUSD BE'!$AM$38+'TUSD BF'!$AM$38+'TUSD CVA'!$AM$38)*(1-CUSTOS!$M$38)</f>
        <v>445.73746261020432</v>
      </c>
      <c r="AA791" s="6">
        <f>('TE BE'!$AA$26+'TE BF'!$AA$26+'TE CVA'!$AA$26)*(1-CUSTOS!$M$38)</f>
        <v>261.5374640864809</v>
      </c>
      <c r="AB791" s="6">
        <f t="shared" si="30"/>
        <v>0</v>
      </c>
      <c r="AC791" s="6">
        <f>(L791-M791)*(W791+X791)+($W$482+$X$482-$W$791-$X$791)*(L791)</f>
        <v>-5012.7711999999992</v>
      </c>
      <c r="AD791" s="6">
        <f t="shared" si="31"/>
        <v>0</v>
      </c>
      <c r="AE791" s="6">
        <f ca="1">(L791-M791)*(Z791+AA791)+($Z$482+$AA$482-$Z$791-$AA$791)*(L791)</f>
        <v>-3873.2946894734846</v>
      </c>
      <c r="AF791" s="4" t="s">
        <v>844</v>
      </c>
    </row>
    <row r="792" spans="1:32" ht="11.25" customHeight="1" x14ac:dyDescent="0.25">
      <c r="A792" s="4" t="s">
        <v>30</v>
      </c>
      <c r="B792" s="4" t="s">
        <v>46</v>
      </c>
      <c r="C792" s="4" t="s">
        <v>23</v>
      </c>
      <c r="D792" s="4" t="s">
        <v>47</v>
      </c>
      <c r="E792" s="4" t="s">
        <v>25</v>
      </c>
      <c r="F792" s="4" t="s">
        <v>25</v>
      </c>
      <c r="G792" s="4" t="s">
        <v>25</v>
      </c>
      <c r="H792" s="4" t="s">
        <v>25</v>
      </c>
      <c r="I792" s="5">
        <v>44256</v>
      </c>
      <c r="J792" s="6">
        <v>0</v>
      </c>
      <c r="K792" s="6">
        <v>0</v>
      </c>
      <c r="L792" s="6">
        <v>7.9669999999999996</v>
      </c>
      <c r="M792" s="6">
        <v>7.9669999999999996</v>
      </c>
      <c r="N792" s="6">
        <v>7.9669999999999996</v>
      </c>
      <c r="O792" s="6">
        <v>7.9669999999999996</v>
      </c>
      <c r="P792" s="6">
        <v>13</v>
      </c>
      <c r="Q792" s="4" t="s">
        <v>26</v>
      </c>
      <c r="R792" s="4">
        <v>0</v>
      </c>
      <c r="S792" s="4">
        <v>0</v>
      </c>
      <c r="T792" s="4">
        <v>39</v>
      </c>
      <c r="U792" s="4">
        <v>85</v>
      </c>
      <c r="V792" s="6">
        <f>IF(ISERROR(VLOOKUP($S$792,'TAR FIN'!$A$1:$O$95,15,0)),0,VLOOKUP($S$792,'TAR FIN'!$A$1:$O$95,15,0))</f>
        <v>0</v>
      </c>
      <c r="W792" s="6">
        <f>IF(ISERROR(VLOOKUP($T$792,'TAR FIN'!$A$1:$O$95,15,0)),0,VLOOKUP($T$792,'TAR FIN'!$A$1:$O$95,15,0))</f>
        <v>369.16</v>
      </c>
      <c r="X792" s="6">
        <f>IF(ISERROR(VLOOKUP($U$792,'TAR FIN'!$A$1:$O$95,15,0)),0,VLOOKUP($U$792,'TAR FIN'!$A$1:$O$95,15,0))</f>
        <v>199.51</v>
      </c>
      <c r="Y792" s="6"/>
      <c r="Z792" s="6">
        <f ca="1">('TUSD BE'!$AM$38+'TUSD BF'!$AM$38+'TUSD CVA'!$AM$38)*(1-CUSTOS!$M$38)</f>
        <v>445.73746261020432</v>
      </c>
      <c r="AA792" s="6">
        <f>('TE BE'!$AA$26+'TE BF'!$AA$26+'TE CVA'!$AA$26)*(1-CUSTOS!$M$38)</f>
        <v>261.5374640864809</v>
      </c>
      <c r="AB792" s="6">
        <f t="shared" si="30"/>
        <v>0</v>
      </c>
      <c r="AC792" s="6">
        <f>(L792-M792)*(W792+X792)+($W$482+$X$482-$W$792-$X$792)*(L792)</f>
        <v>994.44093999999996</v>
      </c>
      <c r="AD792" s="6">
        <f t="shared" si="31"/>
        <v>0</v>
      </c>
      <c r="AE792" s="6">
        <f ca="1">(L792-M792)*(Z792+AA792)+($Z$482+$AA$482-$Z$792-$AA$792)*(L792)</f>
        <v>768.38991013533996</v>
      </c>
      <c r="AF792" s="4" t="s">
        <v>844</v>
      </c>
    </row>
    <row r="793" spans="1:32" ht="11.25" customHeight="1" x14ac:dyDescent="0.25">
      <c r="A793" s="4" t="s">
        <v>30</v>
      </c>
      <c r="B793" s="4" t="s">
        <v>46</v>
      </c>
      <c r="C793" s="4" t="s">
        <v>23</v>
      </c>
      <c r="D793" s="4" t="s">
        <v>47</v>
      </c>
      <c r="E793" s="4" t="s">
        <v>25</v>
      </c>
      <c r="F793" s="4" t="s">
        <v>25</v>
      </c>
      <c r="G793" s="4" t="s">
        <v>25</v>
      </c>
      <c r="H793" s="4" t="s">
        <v>25</v>
      </c>
      <c r="I793" s="5">
        <v>44256</v>
      </c>
      <c r="J793" s="6">
        <v>0</v>
      </c>
      <c r="K793" s="6">
        <v>0</v>
      </c>
      <c r="L793" s="6">
        <v>1.361</v>
      </c>
      <c r="M793" s="6">
        <v>1.361</v>
      </c>
      <c r="N793" s="6">
        <v>1.361</v>
      </c>
      <c r="O793" s="6">
        <v>1.361</v>
      </c>
      <c r="P793" s="6">
        <v>0</v>
      </c>
      <c r="Q793" s="4" t="s">
        <v>26</v>
      </c>
      <c r="R793" s="4">
        <v>0</v>
      </c>
      <c r="S793" s="4">
        <v>0</v>
      </c>
      <c r="T793" s="4">
        <v>39</v>
      </c>
      <c r="U793" s="4">
        <v>85</v>
      </c>
      <c r="V793" s="6">
        <f>IF(ISERROR(VLOOKUP($S$793,'TAR FIN'!$A$1:$O$95,15,0)),0,VLOOKUP($S$793,'TAR FIN'!$A$1:$O$95,15,0))</f>
        <v>0</v>
      </c>
      <c r="W793" s="6">
        <f>IF(ISERROR(VLOOKUP($T$793,'TAR FIN'!$A$1:$O$95,15,0)),0,VLOOKUP($T$793,'TAR FIN'!$A$1:$O$95,15,0))</f>
        <v>369.16</v>
      </c>
      <c r="X793" s="6">
        <f>IF(ISERROR(VLOOKUP($U$793,'TAR FIN'!$A$1:$O$95,15,0)),0,VLOOKUP($U$793,'TAR FIN'!$A$1:$O$95,15,0))</f>
        <v>199.51</v>
      </c>
      <c r="Y793" s="6"/>
      <c r="Z793" s="6">
        <f ca="1">('TUSD BE'!$AM$38+'TUSD BF'!$AM$38+'TUSD CVA'!$AM$38)*(1-CUSTOS!$M$38)</f>
        <v>445.73746261020432</v>
      </c>
      <c r="AA793" s="6">
        <f>('TE BE'!$AA$26+'TE BF'!$AA$26+'TE CVA'!$AA$26)*(1-CUSTOS!$M$38)</f>
        <v>261.5374640864809</v>
      </c>
      <c r="AB793" s="6">
        <f t="shared" si="30"/>
        <v>0</v>
      </c>
      <c r="AC793" s="6">
        <f>(L793-M793)*(W793+X793)+($W$482+$X$482-$W$793-$X$793)*(L793)</f>
        <v>169.88002</v>
      </c>
      <c r="AD793" s="6">
        <f t="shared" si="31"/>
        <v>0</v>
      </c>
      <c r="AE793" s="6">
        <f ca="1">(L793-M793)*(Z793+AA793)+($Z$482+$AA$482-$Z$793-$AA$793)*(L793)</f>
        <v>131.26379662284396</v>
      </c>
      <c r="AF793" s="4" t="s">
        <v>844</v>
      </c>
    </row>
    <row r="794" spans="1:32" ht="11.25" customHeight="1" x14ac:dyDescent="0.25">
      <c r="A794" s="4" t="s">
        <v>21</v>
      </c>
      <c r="B794" s="4" t="s">
        <v>46</v>
      </c>
      <c r="C794" s="4" t="s">
        <v>23</v>
      </c>
      <c r="D794" s="4" t="s">
        <v>47</v>
      </c>
      <c r="E794" s="4" t="s">
        <v>25</v>
      </c>
      <c r="F794" s="4" t="s">
        <v>25</v>
      </c>
      <c r="G794" s="4" t="s">
        <v>25</v>
      </c>
      <c r="H794" s="4" t="s">
        <v>25</v>
      </c>
      <c r="I794" s="5">
        <v>44287</v>
      </c>
      <c r="J794" s="6">
        <v>0</v>
      </c>
      <c r="K794" s="6">
        <v>0</v>
      </c>
      <c r="L794" s="6">
        <v>1546.347</v>
      </c>
      <c r="M794" s="6">
        <v>1546.347</v>
      </c>
      <c r="N794" s="6">
        <v>1546.347</v>
      </c>
      <c r="O794" s="6">
        <v>1546.347</v>
      </c>
      <c r="P794" s="6">
        <v>7514</v>
      </c>
      <c r="Q794" s="4" t="s">
        <v>26</v>
      </c>
      <c r="R794" s="4">
        <v>0</v>
      </c>
      <c r="S794" s="4">
        <v>0</v>
      </c>
      <c r="T794" s="4">
        <v>39</v>
      </c>
      <c r="U794" s="4">
        <v>85</v>
      </c>
      <c r="V794" s="6">
        <f>IF(ISERROR(VLOOKUP($S$794,'TAR FIN'!$A$1:$O$95,15,0)),0,VLOOKUP($S$794,'TAR FIN'!$A$1:$O$95,15,0))</f>
        <v>0</v>
      </c>
      <c r="W794" s="6">
        <f>IF(ISERROR(VLOOKUP($T$794,'TAR FIN'!$A$1:$O$95,15,0)),0,VLOOKUP($T$794,'TAR FIN'!$A$1:$O$95,15,0))</f>
        <v>369.16</v>
      </c>
      <c r="X794" s="6">
        <f>IF(ISERROR(VLOOKUP($U$794,'TAR FIN'!$A$1:$O$95,15,0)),0,VLOOKUP($U$794,'TAR FIN'!$A$1:$O$95,15,0))</f>
        <v>199.51</v>
      </c>
      <c r="Y794" s="6"/>
      <c r="Z794" s="6">
        <f ca="1">('TUSD BE'!$AM$38+'TUSD BF'!$AM$38+'TUSD CVA'!$AM$38)*(1-CUSTOS!$M$38)</f>
        <v>445.73746261020432</v>
      </c>
      <c r="AA794" s="6">
        <f>('TE BE'!$AA$26+'TE BF'!$AA$26+'TE CVA'!$AA$26)*(1-CUSTOS!$M$38)</f>
        <v>261.5374640864809</v>
      </c>
      <c r="AB794" s="6">
        <f t="shared" si="30"/>
        <v>0</v>
      </c>
      <c r="AC794" s="6">
        <f>(L794-M794)*(W794+X794)+($W$482+$X$482-$W$794-$X$794)*(L794)</f>
        <v>193015.03253999999</v>
      </c>
      <c r="AD794" s="6">
        <f t="shared" si="31"/>
        <v>0</v>
      </c>
      <c r="AE794" s="6">
        <f ca="1">(L794-M794)*(Z794+AA794)+($Z$482+$AA$482-$Z$794-$AA$794)*(L794)</f>
        <v>149139.88105535993</v>
      </c>
      <c r="AF794" s="4" t="s">
        <v>844</v>
      </c>
    </row>
    <row r="795" spans="1:32" ht="11.25" customHeight="1" x14ac:dyDescent="0.25">
      <c r="A795" s="4" t="s">
        <v>27</v>
      </c>
      <c r="B795" s="4" t="s">
        <v>46</v>
      </c>
      <c r="C795" s="4" t="s">
        <v>23</v>
      </c>
      <c r="D795" s="4" t="s">
        <v>47</v>
      </c>
      <c r="E795" s="4" t="s">
        <v>25</v>
      </c>
      <c r="F795" s="4" t="s">
        <v>25</v>
      </c>
      <c r="G795" s="4" t="s">
        <v>25</v>
      </c>
      <c r="H795" s="4" t="s">
        <v>25</v>
      </c>
      <c r="I795" s="5">
        <v>44287</v>
      </c>
      <c r="J795" s="6">
        <v>0</v>
      </c>
      <c r="K795" s="6">
        <v>0</v>
      </c>
      <c r="L795" s="6">
        <v>-35.676000000000002</v>
      </c>
      <c r="M795" s="6">
        <v>-35.676000000000002</v>
      </c>
      <c r="N795" s="6">
        <v>-35.676000000000002</v>
      </c>
      <c r="O795" s="6">
        <v>-35.676000000000002</v>
      </c>
      <c r="P795" s="6">
        <v>0</v>
      </c>
      <c r="Q795" s="4" t="s">
        <v>26</v>
      </c>
      <c r="R795" s="4">
        <v>0</v>
      </c>
      <c r="S795" s="4">
        <v>0</v>
      </c>
      <c r="T795" s="4">
        <v>39</v>
      </c>
      <c r="U795" s="4">
        <v>85</v>
      </c>
      <c r="V795" s="6">
        <f>IF(ISERROR(VLOOKUP($S$795,'TAR FIN'!$A$1:$O$95,15,0)),0,VLOOKUP($S$795,'TAR FIN'!$A$1:$O$95,15,0))</f>
        <v>0</v>
      </c>
      <c r="W795" s="6">
        <f>IF(ISERROR(VLOOKUP($T$795,'TAR FIN'!$A$1:$O$95,15,0)),0,VLOOKUP($T$795,'TAR FIN'!$A$1:$O$95,15,0))</f>
        <v>369.16</v>
      </c>
      <c r="X795" s="6">
        <f>IF(ISERROR(VLOOKUP($U$795,'TAR FIN'!$A$1:$O$95,15,0)),0,VLOOKUP($U$795,'TAR FIN'!$A$1:$O$95,15,0))</f>
        <v>199.51</v>
      </c>
      <c r="Y795" s="6"/>
      <c r="Z795" s="6">
        <f ca="1">('TUSD BE'!$AM$38+'TUSD BF'!$AM$38+'TUSD CVA'!$AM$38)*(1-CUSTOS!$M$38)</f>
        <v>445.73746261020432</v>
      </c>
      <c r="AA795" s="6">
        <f>('TE BE'!$AA$26+'TE BF'!$AA$26+'TE CVA'!$AA$26)*(1-CUSTOS!$M$38)</f>
        <v>261.5374640864809</v>
      </c>
      <c r="AB795" s="6">
        <f t="shared" si="30"/>
        <v>0</v>
      </c>
      <c r="AC795" s="6">
        <f>(L795-M795)*(W795+X795)+($W$482+$X$482-$W$795-$X$795)*(L795)</f>
        <v>-4453.0783199999996</v>
      </c>
      <c r="AD795" s="6">
        <f t="shared" si="31"/>
        <v>0</v>
      </c>
      <c r="AE795" s="6">
        <f ca="1">(L795-M795)*(Z795+AA795)+($Z$482+$AA$482-$Z$795-$AA$795)*(L795)</f>
        <v>-3440.8282206587664</v>
      </c>
      <c r="AF795" s="4" t="s">
        <v>844</v>
      </c>
    </row>
    <row r="796" spans="1:32" ht="11.25" customHeight="1" x14ac:dyDescent="0.25">
      <c r="A796" s="4" t="s">
        <v>28</v>
      </c>
      <c r="B796" s="4" t="s">
        <v>46</v>
      </c>
      <c r="C796" s="4" t="s">
        <v>23</v>
      </c>
      <c r="D796" s="4" t="s">
        <v>47</v>
      </c>
      <c r="E796" s="4" t="s">
        <v>25</v>
      </c>
      <c r="F796" s="4" t="s">
        <v>25</v>
      </c>
      <c r="G796" s="4" t="s">
        <v>25</v>
      </c>
      <c r="H796" s="4" t="s">
        <v>25</v>
      </c>
      <c r="I796" s="5">
        <v>44287</v>
      </c>
      <c r="J796" s="6">
        <v>0</v>
      </c>
      <c r="K796" s="6">
        <v>0</v>
      </c>
      <c r="L796" s="6">
        <v>3852.3090000000002</v>
      </c>
      <c r="M796" s="6">
        <v>3852.3090000000002</v>
      </c>
      <c r="N796" s="6">
        <v>3852.3090000000002</v>
      </c>
      <c r="O796" s="6">
        <v>3852.3090000000002</v>
      </c>
      <c r="P796" s="6">
        <v>33900</v>
      </c>
      <c r="Q796" s="4" t="s">
        <v>26</v>
      </c>
      <c r="R796" s="4">
        <v>0</v>
      </c>
      <c r="S796" s="4">
        <v>0</v>
      </c>
      <c r="T796" s="4">
        <v>39</v>
      </c>
      <c r="U796" s="4">
        <v>85</v>
      </c>
      <c r="V796" s="6">
        <f>IF(ISERROR(VLOOKUP($S$796,'TAR FIN'!$A$1:$O$95,15,0)),0,VLOOKUP($S$796,'TAR FIN'!$A$1:$O$95,15,0))</f>
        <v>0</v>
      </c>
      <c r="W796" s="6">
        <f>IF(ISERROR(VLOOKUP($T$796,'TAR FIN'!$A$1:$O$95,15,0)),0,VLOOKUP($T$796,'TAR FIN'!$A$1:$O$95,15,0))</f>
        <v>369.16</v>
      </c>
      <c r="X796" s="6">
        <f>IF(ISERROR(VLOOKUP($U$796,'TAR FIN'!$A$1:$O$95,15,0)),0,VLOOKUP($U$796,'TAR FIN'!$A$1:$O$95,15,0))</f>
        <v>199.51</v>
      </c>
      <c r="Y796" s="6"/>
      <c r="Z796" s="6">
        <f ca="1">('TUSD BE'!$AM$38+'TUSD BF'!$AM$38+'TUSD CVA'!$AM$38)*(1-CUSTOS!$M$38)</f>
        <v>445.73746261020432</v>
      </c>
      <c r="AA796" s="6">
        <f>('TE BE'!$AA$26+'TE BF'!$AA$26+'TE CVA'!$AA$26)*(1-CUSTOS!$M$38)</f>
        <v>261.5374640864809</v>
      </c>
      <c r="AB796" s="6">
        <f t="shared" si="30"/>
        <v>0</v>
      </c>
      <c r="AC796" s="6">
        <f>(L796-M796)*(W796+X796)+($W$482+$X$482-$W$796-$X$796)*(L796)</f>
        <v>480845.20938000001</v>
      </c>
      <c r="AD796" s="6">
        <f t="shared" si="31"/>
        <v>0</v>
      </c>
      <c r="AE796" s="6">
        <f ca="1">(L796-M796)*(Z796+AA796)+($Z$482+$AA$482-$Z$796-$AA$796)*(L796)</f>
        <v>371542.03167108848</v>
      </c>
      <c r="AF796" s="4" t="s">
        <v>844</v>
      </c>
    </row>
    <row r="797" spans="1:32" ht="11.25" customHeight="1" x14ac:dyDescent="0.25">
      <c r="A797" s="4" t="s">
        <v>29</v>
      </c>
      <c r="B797" s="4" t="s">
        <v>46</v>
      </c>
      <c r="C797" s="4" t="s">
        <v>23</v>
      </c>
      <c r="D797" s="4" t="s">
        <v>47</v>
      </c>
      <c r="E797" s="4" t="s">
        <v>25</v>
      </c>
      <c r="F797" s="4" t="s">
        <v>25</v>
      </c>
      <c r="G797" s="4" t="s">
        <v>25</v>
      </c>
      <c r="H797" s="4" t="s">
        <v>25</v>
      </c>
      <c r="I797" s="5">
        <v>44287</v>
      </c>
      <c r="J797" s="6">
        <v>0</v>
      </c>
      <c r="K797" s="6">
        <v>0</v>
      </c>
      <c r="L797" s="6">
        <v>-38.832000000000001</v>
      </c>
      <c r="M797" s="6">
        <v>-38.832000000000001</v>
      </c>
      <c r="N797" s="6">
        <v>-38.832000000000001</v>
      </c>
      <c r="O797" s="6">
        <v>-38.832000000000001</v>
      </c>
      <c r="P797" s="6">
        <v>0</v>
      </c>
      <c r="Q797" s="4" t="s">
        <v>26</v>
      </c>
      <c r="R797" s="4">
        <v>0</v>
      </c>
      <c r="S797" s="4">
        <v>0</v>
      </c>
      <c r="T797" s="4">
        <v>39</v>
      </c>
      <c r="U797" s="4">
        <v>85</v>
      </c>
      <c r="V797" s="6">
        <f>IF(ISERROR(VLOOKUP($S$797,'TAR FIN'!$A$1:$O$95,15,0)),0,VLOOKUP($S$797,'TAR FIN'!$A$1:$O$95,15,0))</f>
        <v>0</v>
      </c>
      <c r="W797" s="6">
        <f>IF(ISERROR(VLOOKUP($T$797,'TAR FIN'!$A$1:$O$95,15,0)),0,VLOOKUP($T$797,'TAR FIN'!$A$1:$O$95,15,0))</f>
        <v>369.16</v>
      </c>
      <c r="X797" s="6">
        <f>IF(ISERROR(VLOOKUP($U$797,'TAR FIN'!$A$1:$O$95,15,0)),0,VLOOKUP($U$797,'TAR FIN'!$A$1:$O$95,15,0))</f>
        <v>199.51</v>
      </c>
      <c r="Y797" s="6"/>
      <c r="Z797" s="6">
        <f ca="1">('TUSD BE'!$AM$38+'TUSD BF'!$AM$38+'TUSD CVA'!$AM$38)*(1-CUSTOS!$M$38)</f>
        <v>445.73746261020432</v>
      </c>
      <c r="AA797" s="6">
        <f>('TE BE'!$AA$26+'TE BF'!$AA$26+'TE CVA'!$AA$26)*(1-CUSTOS!$M$38)</f>
        <v>261.5374640864809</v>
      </c>
      <c r="AB797" s="6">
        <f t="shared" si="30"/>
        <v>0</v>
      </c>
      <c r="AC797" s="6">
        <f>(L797-M797)*(W797+X797)+($W$482+$X$482-$W$797-$X$797)*(L797)</f>
        <v>-4847.0102399999996</v>
      </c>
      <c r="AD797" s="6">
        <f t="shared" si="31"/>
        <v>0</v>
      </c>
      <c r="AE797" s="6">
        <f ca="1">(L797-M797)*(Z797+AA797)+($Z$482+$AA$482-$Z$797-$AA$797)*(L797)</f>
        <v>-3745.2136300207762</v>
      </c>
      <c r="AF797" s="4" t="s">
        <v>844</v>
      </c>
    </row>
    <row r="798" spans="1:32" ht="11.25" customHeight="1" x14ac:dyDescent="0.25">
      <c r="A798" s="4" t="s">
        <v>30</v>
      </c>
      <c r="B798" s="4" t="s">
        <v>46</v>
      </c>
      <c r="C798" s="4" t="s">
        <v>23</v>
      </c>
      <c r="D798" s="4" t="s">
        <v>47</v>
      </c>
      <c r="E798" s="4" t="s">
        <v>25</v>
      </c>
      <c r="F798" s="4" t="s">
        <v>25</v>
      </c>
      <c r="G798" s="4" t="s">
        <v>25</v>
      </c>
      <c r="H798" s="4" t="s">
        <v>25</v>
      </c>
      <c r="I798" s="5">
        <v>44287</v>
      </c>
      <c r="J798" s="6">
        <v>0</v>
      </c>
      <c r="K798" s="6">
        <v>0</v>
      </c>
      <c r="L798" s="6">
        <v>10.926</v>
      </c>
      <c r="M798" s="6">
        <v>10.926</v>
      </c>
      <c r="N798" s="6">
        <v>10.926</v>
      </c>
      <c r="O798" s="6">
        <v>10.926</v>
      </c>
      <c r="P798" s="6">
        <v>15</v>
      </c>
      <c r="Q798" s="4" t="s">
        <v>26</v>
      </c>
      <c r="R798" s="4">
        <v>0</v>
      </c>
      <c r="S798" s="4">
        <v>0</v>
      </c>
      <c r="T798" s="4">
        <v>39</v>
      </c>
      <c r="U798" s="4">
        <v>85</v>
      </c>
      <c r="V798" s="6">
        <f>IF(ISERROR(VLOOKUP($S$798,'TAR FIN'!$A$1:$O$95,15,0)),0,VLOOKUP($S$798,'TAR FIN'!$A$1:$O$95,15,0))</f>
        <v>0</v>
      </c>
      <c r="W798" s="6">
        <f>IF(ISERROR(VLOOKUP($T$798,'TAR FIN'!$A$1:$O$95,15,0)),0,VLOOKUP($T$798,'TAR FIN'!$A$1:$O$95,15,0))</f>
        <v>369.16</v>
      </c>
      <c r="X798" s="6">
        <f>IF(ISERROR(VLOOKUP($U$798,'TAR FIN'!$A$1:$O$95,15,0)),0,VLOOKUP($U$798,'TAR FIN'!$A$1:$O$95,15,0))</f>
        <v>199.51</v>
      </c>
      <c r="Y798" s="6"/>
      <c r="Z798" s="6">
        <f ca="1">('TUSD BE'!$AM$38+'TUSD BF'!$AM$38+'TUSD CVA'!$AM$38)*(1-CUSTOS!$M$38)</f>
        <v>445.73746261020432</v>
      </c>
      <c r="AA798" s="6">
        <f>('TE BE'!$AA$26+'TE BF'!$AA$26+'TE CVA'!$AA$26)*(1-CUSTOS!$M$38)</f>
        <v>261.5374640864809</v>
      </c>
      <c r="AB798" s="6">
        <f t="shared" si="30"/>
        <v>0</v>
      </c>
      <c r="AC798" s="6">
        <f>(L798-M798)*(W798+X798)+($W$482+$X$482-$W$798-$X$798)*(L798)</f>
        <v>1363.78332</v>
      </c>
      <c r="AD798" s="6">
        <f t="shared" si="31"/>
        <v>0</v>
      </c>
      <c r="AE798" s="6">
        <f ca="1">(L798-M798)*(Z798+AA798)+($Z$482+$AA$482-$Z$798-$AA$798)*(L798)</f>
        <v>1053.7753430574526</v>
      </c>
      <c r="AF798" s="4" t="s">
        <v>844</v>
      </c>
    </row>
    <row r="799" spans="1:32" ht="11.25" customHeight="1" x14ac:dyDescent="0.25">
      <c r="A799" s="4" t="s">
        <v>21</v>
      </c>
      <c r="B799" s="4" t="s">
        <v>46</v>
      </c>
      <c r="C799" s="4" t="s">
        <v>23</v>
      </c>
      <c r="D799" s="4" t="s">
        <v>47</v>
      </c>
      <c r="E799" s="4" t="s">
        <v>25</v>
      </c>
      <c r="F799" s="4" t="s">
        <v>25</v>
      </c>
      <c r="G799" s="4" t="s">
        <v>25</v>
      </c>
      <c r="H799" s="4" t="s">
        <v>25</v>
      </c>
      <c r="I799" s="5">
        <v>44317</v>
      </c>
      <c r="J799" s="6">
        <v>0</v>
      </c>
      <c r="K799" s="6">
        <v>0</v>
      </c>
      <c r="L799" s="6">
        <v>1470.9860000000001</v>
      </c>
      <c r="M799" s="6">
        <v>1470.9860000000001</v>
      </c>
      <c r="N799" s="6">
        <v>1470.9860000000001</v>
      </c>
      <c r="O799" s="6">
        <v>1470.9860000000001</v>
      </c>
      <c r="P799" s="6">
        <v>7507</v>
      </c>
      <c r="Q799" s="4" t="s">
        <v>26</v>
      </c>
      <c r="R799" s="4">
        <v>0</v>
      </c>
      <c r="S799" s="4">
        <v>0</v>
      </c>
      <c r="T799" s="4">
        <v>39</v>
      </c>
      <c r="U799" s="4">
        <v>85</v>
      </c>
      <c r="V799" s="6">
        <f>IF(ISERROR(VLOOKUP($S$799,'TAR FIN'!$A$1:$O$95,15,0)),0,VLOOKUP($S$799,'TAR FIN'!$A$1:$O$95,15,0))</f>
        <v>0</v>
      </c>
      <c r="W799" s="6">
        <f>IF(ISERROR(VLOOKUP($T$799,'TAR FIN'!$A$1:$O$95,15,0)),0,VLOOKUP($T$799,'TAR FIN'!$A$1:$O$95,15,0))</f>
        <v>369.16</v>
      </c>
      <c r="X799" s="6">
        <f>IF(ISERROR(VLOOKUP($U$799,'TAR FIN'!$A$1:$O$95,15,0)),0,VLOOKUP($U$799,'TAR FIN'!$A$1:$O$95,15,0))</f>
        <v>199.51</v>
      </c>
      <c r="Y799" s="6"/>
      <c r="Z799" s="6">
        <f ca="1">('TUSD BE'!$AM$38+'TUSD BF'!$AM$38+'TUSD CVA'!$AM$38)*(1-CUSTOS!$M$38)</f>
        <v>445.73746261020432</v>
      </c>
      <c r="AA799" s="6">
        <f>('TE BE'!$AA$26+'TE BF'!$AA$26+'TE CVA'!$AA$26)*(1-CUSTOS!$M$38)</f>
        <v>261.5374640864809</v>
      </c>
      <c r="AB799" s="6">
        <f t="shared" si="30"/>
        <v>0</v>
      </c>
      <c r="AC799" s="6">
        <f>(L799-M799)*(W799+X799)+($W$482+$X$482-$W$799-$X$799)*(L799)</f>
        <v>183608.47252000001</v>
      </c>
      <c r="AD799" s="6">
        <f t="shared" si="31"/>
        <v>0</v>
      </c>
      <c r="AE799" s="6">
        <f ca="1">(L799-M799)*(Z799+AA799)+($Z$482+$AA$482-$Z$799-$AA$799)*(L799)</f>
        <v>141871.57027116147</v>
      </c>
      <c r="AF799" s="4" t="s">
        <v>844</v>
      </c>
    </row>
    <row r="800" spans="1:32" ht="11.25" customHeight="1" x14ac:dyDescent="0.25">
      <c r="A800" s="4" t="s">
        <v>27</v>
      </c>
      <c r="B800" s="4" t="s">
        <v>46</v>
      </c>
      <c r="C800" s="4" t="s">
        <v>23</v>
      </c>
      <c r="D800" s="4" t="s">
        <v>47</v>
      </c>
      <c r="E800" s="4" t="s">
        <v>25</v>
      </c>
      <c r="F800" s="4" t="s">
        <v>25</v>
      </c>
      <c r="G800" s="4" t="s">
        <v>25</v>
      </c>
      <c r="H800" s="4" t="s">
        <v>25</v>
      </c>
      <c r="I800" s="5">
        <v>44317</v>
      </c>
      <c r="J800" s="6">
        <v>0</v>
      </c>
      <c r="K800" s="6">
        <v>0</v>
      </c>
      <c r="L800" s="6">
        <v>-12.042999999999999</v>
      </c>
      <c r="M800" s="6">
        <v>-12.042999999999999</v>
      </c>
      <c r="N800" s="6">
        <v>-12.042999999999999</v>
      </c>
      <c r="O800" s="6">
        <v>-12.042999999999999</v>
      </c>
      <c r="P800" s="6">
        <v>0</v>
      </c>
      <c r="Q800" s="4" t="s">
        <v>26</v>
      </c>
      <c r="R800" s="4">
        <v>0</v>
      </c>
      <c r="S800" s="4">
        <v>0</v>
      </c>
      <c r="T800" s="4">
        <v>39</v>
      </c>
      <c r="U800" s="4">
        <v>85</v>
      </c>
      <c r="V800" s="6">
        <f>IF(ISERROR(VLOOKUP($S$800,'TAR FIN'!$A$1:$O$95,15,0)),0,VLOOKUP($S$800,'TAR FIN'!$A$1:$O$95,15,0))</f>
        <v>0</v>
      </c>
      <c r="W800" s="6">
        <f>IF(ISERROR(VLOOKUP($T$800,'TAR FIN'!$A$1:$O$95,15,0)),0,VLOOKUP($T$800,'TAR FIN'!$A$1:$O$95,15,0))</f>
        <v>369.16</v>
      </c>
      <c r="X800" s="6">
        <f>IF(ISERROR(VLOOKUP($U$800,'TAR FIN'!$A$1:$O$95,15,0)),0,VLOOKUP($U$800,'TAR FIN'!$A$1:$O$95,15,0))</f>
        <v>199.51</v>
      </c>
      <c r="Y800" s="6"/>
      <c r="Z800" s="6">
        <f ca="1">('TUSD BE'!$AM$38+'TUSD BF'!$AM$38+'TUSD CVA'!$AM$38)*(1-CUSTOS!$M$38)</f>
        <v>445.73746261020432</v>
      </c>
      <c r="AA800" s="6">
        <f>('TE BE'!$AA$26+'TE BF'!$AA$26+'TE CVA'!$AA$26)*(1-CUSTOS!$M$38)</f>
        <v>261.5374640864809</v>
      </c>
      <c r="AB800" s="6">
        <f t="shared" si="30"/>
        <v>0</v>
      </c>
      <c r="AC800" s="6">
        <f>(L800-M800)*(W800+X800)+($W$482+$X$482-$W$800-$X$800)*(L800)</f>
        <v>-1503.2072599999999</v>
      </c>
      <c r="AD800" s="6">
        <f t="shared" si="31"/>
        <v>0</v>
      </c>
      <c r="AE800" s="6">
        <f ca="1">(L800-M800)*(Z800+AA800)+($Z$482+$AA$482-$Z$800-$AA$800)*(L800)</f>
        <v>-1161.5061739374796</v>
      </c>
      <c r="AF800" s="4" t="s">
        <v>844</v>
      </c>
    </row>
    <row r="801" spans="1:32" ht="11.25" customHeight="1" x14ac:dyDescent="0.25">
      <c r="A801" s="4" t="s">
        <v>28</v>
      </c>
      <c r="B801" s="4" t="s">
        <v>46</v>
      </c>
      <c r="C801" s="4" t="s">
        <v>23</v>
      </c>
      <c r="D801" s="4" t="s">
        <v>47</v>
      </c>
      <c r="E801" s="4" t="s">
        <v>25</v>
      </c>
      <c r="F801" s="4" t="s">
        <v>25</v>
      </c>
      <c r="G801" s="4" t="s">
        <v>25</v>
      </c>
      <c r="H801" s="4" t="s">
        <v>25</v>
      </c>
      <c r="I801" s="5">
        <v>44317</v>
      </c>
      <c r="J801" s="6">
        <v>0</v>
      </c>
      <c r="K801" s="6">
        <v>0</v>
      </c>
      <c r="L801" s="6">
        <v>3894.768</v>
      </c>
      <c r="M801" s="6">
        <v>3894.768</v>
      </c>
      <c r="N801" s="6">
        <v>3894.768</v>
      </c>
      <c r="O801" s="6">
        <v>3894.768</v>
      </c>
      <c r="P801" s="6">
        <v>33900</v>
      </c>
      <c r="Q801" s="4" t="s">
        <v>26</v>
      </c>
      <c r="R801" s="4">
        <v>0</v>
      </c>
      <c r="S801" s="4">
        <v>0</v>
      </c>
      <c r="T801" s="4">
        <v>39</v>
      </c>
      <c r="U801" s="4">
        <v>85</v>
      </c>
      <c r="V801" s="6">
        <f>IF(ISERROR(VLOOKUP($S$801,'TAR FIN'!$A$1:$O$95,15,0)),0,VLOOKUP($S$801,'TAR FIN'!$A$1:$O$95,15,0))</f>
        <v>0</v>
      </c>
      <c r="W801" s="6">
        <f>IF(ISERROR(VLOOKUP($T$801,'TAR FIN'!$A$1:$O$95,15,0)),0,VLOOKUP($T$801,'TAR FIN'!$A$1:$O$95,15,0))</f>
        <v>369.16</v>
      </c>
      <c r="X801" s="6">
        <f>IF(ISERROR(VLOOKUP($U$801,'TAR FIN'!$A$1:$O$95,15,0)),0,VLOOKUP($U$801,'TAR FIN'!$A$1:$O$95,15,0))</f>
        <v>199.51</v>
      </c>
      <c r="Y801" s="6"/>
      <c r="Z801" s="6">
        <f ca="1">('TUSD BE'!$AM$38+'TUSD BF'!$AM$38+'TUSD CVA'!$AM$38)*(1-CUSTOS!$M$38)</f>
        <v>445.73746261020432</v>
      </c>
      <c r="AA801" s="6">
        <f>('TE BE'!$AA$26+'TE BF'!$AA$26+'TE CVA'!$AA$26)*(1-CUSTOS!$M$38)</f>
        <v>261.5374640864809</v>
      </c>
      <c r="AB801" s="6">
        <f t="shared" si="30"/>
        <v>0</v>
      </c>
      <c r="AC801" s="6">
        <f>(L801-M801)*(W801+X801)+($W$482+$X$482-$W$801-$X$801)*(L801)</f>
        <v>486144.94175999996</v>
      </c>
      <c r="AD801" s="6">
        <f t="shared" si="31"/>
        <v>0</v>
      </c>
      <c r="AE801" s="6">
        <f ca="1">(L801-M801)*(Z801+AA801)+($Z$482+$AA$482-$Z$801-$AA$801)*(L801)</f>
        <v>375637.05705008132</v>
      </c>
      <c r="AF801" s="4" t="s">
        <v>844</v>
      </c>
    </row>
    <row r="802" spans="1:32" ht="11.25" customHeight="1" x14ac:dyDescent="0.25">
      <c r="A802" s="4" t="s">
        <v>29</v>
      </c>
      <c r="B802" s="4" t="s">
        <v>46</v>
      </c>
      <c r="C802" s="4" t="s">
        <v>23</v>
      </c>
      <c r="D802" s="4" t="s">
        <v>47</v>
      </c>
      <c r="E802" s="4" t="s">
        <v>25</v>
      </c>
      <c r="F802" s="4" t="s">
        <v>25</v>
      </c>
      <c r="G802" s="4" t="s">
        <v>25</v>
      </c>
      <c r="H802" s="4" t="s">
        <v>25</v>
      </c>
      <c r="I802" s="5">
        <v>44317</v>
      </c>
      <c r="J802" s="6">
        <v>0</v>
      </c>
      <c r="K802" s="6">
        <v>0</v>
      </c>
      <c r="L802" s="6">
        <v>-32.683</v>
      </c>
      <c r="M802" s="6">
        <v>-32.683</v>
      </c>
      <c r="N802" s="6">
        <v>-32.683</v>
      </c>
      <c r="O802" s="6">
        <v>-32.683</v>
      </c>
      <c r="P802" s="6">
        <v>0</v>
      </c>
      <c r="Q802" s="4" t="s">
        <v>26</v>
      </c>
      <c r="R802" s="4">
        <v>0</v>
      </c>
      <c r="S802" s="4">
        <v>0</v>
      </c>
      <c r="T802" s="4">
        <v>39</v>
      </c>
      <c r="U802" s="4">
        <v>85</v>
      </c>
      <c r="V802" s="6">
        <f>IF(ISERROR(VLOOKUP($S$802,'TAR FIN'!$A$1:$O$95,15,0)),0,VLOOKUP($S$802,'TAR FIN'!$A$1:$O$95,15,0))</f>
        <v>0</v>
      </c>
      <c r="W802" s="6">
        <f>IF(ISERROR(VLOOKUP($T$802,'TAR FIN'!$A$1:$O$95,15,0)),0,VLOOKUP($T$802,'TAR FIN'!$A$1:$O$95,15,0))</f>
        <v>369.16</v>
      </c>
      <c r="X802" s="6">
        <f>IF(ISERROR(VLOOKUP($U$802,'TAR FIN'!$A$1:$O$95,15,0)),0,VLOOKUP($U$802,'TAR FIN'!$A$1:$O$95,15,0))</f>
        <v>199.51</v>
      </c>
      <c r="Y802" s="6"/>
      <c r="Z802" s="6">
        <f ca="1">('TUSD BE'!$AM$38+'TUSD BF'!$AM$38+'TUSD CVA'!$AM$38)*(1-CUSTOS!$M$38)</f>
        <v>445.73746261020432</v>
      </c>
      <c r="AA802" s="6">
        <f>('TE BE'!$AA$26+'TE BF'!$AA$26+'TE CVA'!$AA$26)*(1-CUSTOS!$M$38)</f>
        <v>261.5374640864809</v>
      </c>
      <c r="AB802" s="6">
        <f t="shared" si="30"/>
        <v>0</v>
      </c>
      <c r="AC802" s="6">
        <f>(L802-M802)*(W802+X802)+($W$482+$X$482-$W$802-$X$802)*(L802)</f>
        <v>-4079.4920599999996</v>
      </c>
      <c r="AD802" s="6">
        <f t="shared" si="31"/>
        <v>0</v>
      </c>
      <c r="AE802" s="6">
        <f ca="1">(L802-M802)*(Z802+AA802)+($Z$482+$AA$482-$Z$802-$AA$802)*(L802)</f>
        <v>-3152.1636039856053</v>
      </c>
      <c r="AF802" s="4" t="s">
        <v>844</v>
      </c>
    </row>
    <row r="803" spans="1:32" ht="11.25" customHeight="1" x14ac:dyDescent="0.25">
      <c r="A803" s="4" t="s">
        <v>30</v>
      </c>
      <c r="B803" s="4" t="s">
        <v>46</v>
      </c>
      <c r="C803" s="4" t="s">
        <v>23</v>
      </c>
      <c r="D803" s="4" t="s">
        <v>47</v>
      </c>
      <c r="E803" s="4" t="s">
        <v>25</v>
      </c>
      <c r="F803" s="4" t="s">
        <v>25</v>
      </c>
      <c r="G803" s="4" t="s">
        <v>25</v>
      </c>
      <c r="H803" s="4" t="s">
        <v>25</v>
      </c>
      <c r="I803" s="5">
        <v>44317</v>
      </c>
      <c r="J803" s="6">
        <v>0</v>
      </c>
      <c r="K803" s="6">
        <v>0</v>
      </c>
      <c r="L803" s="6">
        <v>16.609000000000002</v>
      </c>
      <c r="M803" s="6">
        <v>16.609000000000002</v>
      </c>
      <c r="N803" s="6">
        <v>16.609000000000002</v>
      </c>
      <c r="O803" s="6">
        <v>16.609000000000002</v>
      </c>
      <c r="P803" s="6">
        <v>18</v>
      </c>
      <c r="Q803" s="4" t="s">
        <v>26</v>
      </c>
      <c r="R803" s="4">
        <v>0</v>
      </c>
      <c r="S803" s="4">
        <v>0</v>
      </c>
      <c r="T803" s="4">
        <v>39</v>
      </c>
      <c r="U803" s="4">
        <v>85</v>
      </c>
      <c r="V803" s="6">
        <f>IF(ISERROR(VLOOKUP($S$803,'TAR FIN'!$A$1:$O$95,15,0)),0,VLOOKUP($S$803,'TAR FIN'!$A$1:$O$95,15,0))</f>
        <v>0</v>
      </c>
      <c r="W803" s="6">
        <f>IF(ISERROR(VLOOKUP($T$803,'TAR FIN'!$A$1:$O$95,15,0)),0,VLOOKUP($T$803,'TAR FIN'!$A$1:$O$95,15,0))</f>
        <v>369.16</v>
      </c>
      <c r="X803" s="6">
        <f>IF(ISERROR(VLOOKUP($U$803,'TAR FIN'!$A$1:$O$95,15,0)),0,VLOOKUP($U$803,'TAR FIN'!$A$1:$O$95,15,0))</f>
        <v>199.51</v>
      </c>
      <c r="Y803" s="6"/>
      <c r="Z803" s="6">
        <f ca="1">('TUSD BE'!$AM$38+'TUSD BF'!$AM$38+'TUSD CVA'!$AM$38)*(1-CUSTOS!$M$38)</f>
        <v>445.73746261020432</v>
      </c>
      <c r="AA803" s="6">
        <f>('TE BE'!$AA$26+'TE BF'!$AA$26+'TE CVA'!$AA$26)*(1-CUSTOS!$M$38)</f>
        <v>261.5374640864809</v>
      </c>
      <c r="AB803" s="6">
        <f t="shared" si="30"/>
        <v>0</v>
      </c>
      <c r="AC803" s="6">
        <f>(L803-M803)*(W803+X803)+($W$482+$X$482-$W$803-$X$803)*(L803)</f>
        <v>2073.1353800000002</v>
      </c>
      <c r="AD803" s="6">
        <f t="shared" si="31"/>
        <v>0</v>
      </c>
      <c r="AE803" s="6">
        <f ca="1">(L803-M803)*(Z803+AA803)+($Z$482+$AA$482-$Z$803-$AA$803)*(L803)</f>
        <v>1601.8812623870797</v>
      </c>
      <c r="AF803" s="4" t="s">
        <v>844</v>
      </c>
    </row>
    <row r="804" spans="1:32" ht="11.25" customHeight="1" x14ac:dyDescent="0.25">
      <c r="A804" s="4" t="s">
        <v>21</v>
      </c>
      <c r="B804" s="4" t="s">
        <v>46</v>
      </c>
      <c r="C804" s="4" t="s">
        <v>23</v>
      </c>
      <c r="D804" s="4" t="s">
        <v>47</v>
      </c>
      <c r="E804" s="4" t="s">
        <v>25</v>
      </c>
      <c r="F804" s="4" t="s">
        <v>25</v>
      </c>
      <c r="G804" s="4" t="s">
        <v>25</v>
      </c>
      <c r="H804" s="4" t="s">
        <v>25</v>
      </c>
      <c r="I804" s="5">
        <v>44348</v>
      </c>
      <c r="J804" s="6">
        <v>0</v>
      </c>
      <c r="K804" s="6">
        <v>0</v>
      </c>
      <c r="L804" s="6">
        <v>1583.41</v>
      </c>
      <c r="M804" s="6">
        <v>1583.41</v>
      </c>
      <c r="N804" s="6">
        <v>1583.41</v>
      </c>
      <c r="O804" s="6">
        <v>1583.41</v>
      </c>
      <c r="P804" s="6">
        <v>7462</v>
      </c>
      <c r="Q804" s="4" t="s">
        <v>26</v>
      </c>
      <c r="R804" s="4">
        <v>0</v>
      </c>
      <c r="S804" s="4">
        <v>0</v>
      </c>
      <c r="T804" s="4">
        <v>39</v>
      </c>
      <c r="U804" s="4">
        <v>85</v>
      </c>
      <c r="V804" s="6">
        <f>IF(ISERROR(VLOOKUP($S$804,'TAR FIN'!$A$1:$O$95,15,0)),0,VLOOKUP($S$804,'TAR FIN'!$A$1:$O$95,15,0))</f>
        <v>0</v>
      </c>
      <c r="W804" s="6">
        <f>IF(ISERROR(VLOOKUP($T$804,'TAR FIN'!$A$1:$O$95,15,0)),0,VLOOKUP($T$804,'TAR FIN'!$A$1:$O$95,15,0))</f>
        <v>369.16</v>
      </c>
      <c r="X804" s="6">
        <f>IF(ISERROR(VLOOKUP($U$804,'TAR FIN'!$A$1:$O$95,15,0)),0,VLOOKUP($U$804,'TAR FIN'!$A$1:$O$95,15,0))</f>
        <v>199.51</v>
      </c>
      <c r="Y804" s="6"/>
      <c r="Z804" s="6">
        <f ca="1">('TUSD BE'!$AM$38+'TUSD BF'!$AM$38+'TUSD CVA'!$AM$38)*(1-CUSTOS!$M$38)</f>
        <v>445.73746261020432</v>
      </c>
      <c r="AA804" s="6">
        <f>('TE BE'!$AA$26+'TE BF'!$AA$26+'TE CVA'!$AA$26)*(1-CUSTOS!$M$38)</f>
        <v>261.5374640864809</v>
      </c>
      <c r="AB804" s="6">
        <f t="shared" si="30"/>
        <v>0</v>
      </c>
      <c r="AC804" s="6">
        <f>(L804-M804)*(W804+X804)+($W$482+$X$482-$W$804-$X$804)*(L804)</f>
        <v>197641.23620000001</v>
      </c>
      <c r="AD804" s="6">
        <f t="shared" si="31"/>
        <v>0</v>
      </c>
      <c r="AE804" s="6">
        <f ca="1">(L804-M804)*(Z804+AA804)+($Z$482+$AA$482-$Z$804-$AA$804)*(L804)</f>
        <v>152714.48068374529</v>
      </c>
      <c r="AF804" s="4" t="s">
        <v>844</v>
      </c>
    </row>
    <row r="805" spans="1:32" ht="11.25" customHeight="1" x14ac:dyDescent="0.25">
      <c r="A805" s="4" t="s">
        <v>27</v>
      </c>
      <c r="B805" s="4" t="s">
        <v>46</v>
      </c>
      <c r="C805" s="4" t="s">
        <v>23</v>
      </c>
      <c r="D805" s="4" t="s">
        <v>47</v>
      </c>
      <c r="E805" s="4" t="s">
        <v>25</v>
      </c>
      <c r="F805" s="4" t="s">
        <v>25</v>
      </c>
      <c r="G805" s="4" t="s">
        <v>25</v>
      </c>
      <c r="H805" s="4" t="s">
        <v>25</v>
      </c>
      <c r="I805" s="5">
        <v>44348</v>
      </c>
      <c r="J805" s="6">
        <v>0</v>
      </c>
      <c r="K805" s="6">
        <v>0</v>
      </c>
      <c r="L805" s="6">
        <v>-26.966999999999999</v>
      </c>
      <c r="M805" s="6">
        <v>-26.966999999999999</v>
      </c>
      <c r="N805" s="6">
        <v>-26.966999999999999</v>
      </c>
      <c r="O805" s="6">
        <v>-26.966999999999999</v>
      </c>
      <c r="P805" s="6">
        <v>0</v>
      </c>
      <c r="Q805" s="4" t="s">
        <v>26</v>
      </c>
      <c r="R805" s="4">
        <v>0</v>
      </c>
      <c r="S805" s="4">
        <v>0</v>
      </c>
      <c r="T805" s="4">
        <v>39</v>
      </c>
      <c r="U805" s="4">
        <v>85</v>
      </c>
      <c r="V805" s="6">
        <f>IF(ISERROR(VLOOKUP($S$805,'TAR FIN'!$A$1:$O$95,15,0)),0,VLOOKUP($S$805,'TAR FIN'!$A$1:$O$95,15,0))</f>
        <v>0</v>
      </c>
      <c r="W805" s="6">
        <f>IF(ISERROR(VLOOKUP($T$805,'TAR FIN'!$A$1:$O$95,15,0)),0,VLOOKUP($T$805,'TAR FIN'!$A$1:$O$95,15,0))</f>
        <v>369.16</v>
      </c>
      <c r="X805" s="6">
        <f>IF(ISERROR(VLOOKUP($U$805,'TAR FIN'!$A$1:$O$95,15,0)),0,VLOOKUP($U$805,'TAR FIN'!$A$1:$O$95,15,0))</f>
        <v>199.51</v>
      </c>
      <c r="Y805" s="6"/>
      <c r="Z805" s="6">
        <f ca="1">('TUSD BE'!$AM$38+'TUSD BF'!$AM$38+'TUSD CVA'!$AM$38)*(1-CUSTOS!$M$38)</f>
        <v>445.73746261020432</v>
      </c>
      <c r="AA805" s="6">
        <f>('TE BE'!$AA$26+'TE BF'!$AA$26+'TE CVA'!$AA$26)*(1-CUSTOS!$M$38)</f>
        <v>261.5374640864809</v>
      </c>
      <c r="AB805" s="6">
        <f t="shared" si="30"/>
        <v>0</v>
      </c>
      <c r="AC805" s="6">
        <f>(L805-M805)*(W805+X805)+($W$482+$X$482-$W$805-$X$805)*(L805)</f>
        <v>-3366.0209399999999</v>
      </c>
      <c r="AD805" s="6">
        <f t="shared" si="31"/>
        <v>0</v>
      </c>
      <c r="AE805" s="6">
        <f ca="1">(L805-M805)*(Z805+AA805)+($Z$482+$AA$482-$Z$805-$AA$805)*(L805)</f>
        <v>-2600.8749474858432</v>
      </c>
      <c r="AF805" s="4" t="s">
        <v>844</v>
      </c>
    </row>
    <row r="806" spans="1:32" ht="11.25" customHeight="1" x14ac:dyDescent="0.25">
      <c r="A806" s="4" t="s">
        <v>28</v>
      </c>
      <c r="B806" s="4" t="s">
        <v>46</v>
      </c>
      <c r="C806" s="4" t="s">
        <v>23</v>
      </c>
      <c r="D806" s="4" t="s">
        <v>47</v>
      </c>
      <c r="E806" s="4" t="s">
        <v>25</v>
      </c>
      <c r="F806" s="4" t="s">
        <v>25</v>
      </c>
      <c r="G806" s="4" t="s">
        <v>25</v>
      </c>
      <c r="H806" s="4" t="s">
        <v>25</v>
      </c>
      <c r="I806" s="5">
        <v>44348</v>
      </c>
      <c r="J806" s="6">
        <v>0</v>
      </c>
      <c r="K806" s="6">
        <v>0</v>
      </c>
      <c r="L806" s="6">
        <v>3971.7350000000001</v>
      </c>
      <c r="M806" s="6">
        <v>3971.7350000000001</v>
      </c>
      <c r="N806" s="6">
        <v>3971.7350000000001</v>
      </c>
      <c r="O806" s="6">
        <v>3971.7350000000001</v>
      </c>
      <c r="P806" s="6">
        <v>33865</v>
      </c>
      <c r="Q806" s="4" t="s">
        <v>26</v>
      </c>
      <c r="R806" s="4">
        <v>0</v>
      </c>
      <c r="S806" s="4">
        <v>0</v>
      </c>
      <c r="T806" s="4">
        <v>39</v>
      </c>
      <c r="U806" s="4">
        <v>85</v>
      </c>
      <c r="V806" s="6">
        <f>IF(ISERROR(VLOOKUP($S$806,'TAR FIN'!$A$1:$O$95,15,0)),0,VLOOKUP($S$806,'TAR FIN'!$A$1:$O$95,15,0))</f>
        <v>0</v>
      </c>
      <c r="W806" s="6">
        <f>IF(ISERROR(VLOOKUP($T$806,'TAR FIN'!$A$1:$O$95,15,0)),0,VLOOKUP($T$806,'TAR FIN'!$A$1:$O$95,15,0))</f>
        <v>369.16</v>
      </c>
      <c r="X806" s="6">
        <f>IF(ISERROR(VLOOKUP($U$806,'TAR FIN'!$A$1:$O$95,15,0)),0,VLOOKUP($U$806,'TAR FIN'!$A$1:$O$95,15,0))</f>
        <v>199.51</v>
      </c>
      <c r="Y806" s="6"/>
      <c r="Z806" s="6">
        <f ca="1">('TUSD BE'!$AM$38+'TUSD BF'!$AM$38+'TUSD CVA'!$AM$38)*(1-CUSTOS!$M$38)</f>
        <v>445.73746261020432</v>
      </c>
      <c r="AA806" s="6">
        <f>('TE BE'!$AA$26+'TE BF'!$AA$26+'TE CVA'!$AA$26)*(1-CUSTOS!$M$38)</f>
        <v>261.5374640864809</v>
      </c>
      <c r="AB806" s="6">
        <f t="shared" si="30"/>
        <v>0</v>
      </c>
      <c r="AC806" s="6">
        <f>(L806-M806)*(W806+X806)+($W$482+$X$482-$W$806-$X$806)*(L806)</f>
        <v>495751.96269999997</v>
      </c>
      <c r="AD806" s="6">
        <f t="shared" si="31"/>
        <v>0</v>
      </c>
      <c r="AE806" s="6">
        <f ca="1">(L806-M806)*(Z806+AA806)+($Z$482+$AA$482-$Z$806-$AA$806)*(L806)</f>
        <v>383060.2610432264</v>
      </c>
      <c r="AF806" s="4" t="s">
        <v>844</v>
      </c>
    </row>
    <row r="807" spans="1:32" ht="11.25" customHeight="1" x14ac:dyDescent="0.25">
      <c r="A807" s="4" t="s">
        <v>29</v>
      </c>
      <c r="B807" s="4" t="s">
        <v>46</v>
      </c>
      <c r="C807" s="4" t="s">
        <v>23</v>
      </c>
      <c r="D807" s="4" t="s">
        <v>47</v>
      </c>
      <c r="E807" s="4" t="s">
        <v>25</v>
      </c>
      <c r="F807" s="4" t="s">
        <v>25</v>
      </c>
      <c r="G807" s="4" t="s">
        <v>25</v>
      </c>
      <c r="H807" s="4" t="s">
        <v>25</v>
      </c>
      <c r="I807" s="5">
        <v>44348</v>
      </c>
      <c r="J807" s="6">
        <v>0</v>
      </c>
      <c r="K807" s="6">
        <v>0</v>
      </c>
      <c r="L807" s="6">
        <v>-151.79400000000001</v>
      </c>
      <c r="M807" s="6">
        <v>-151.79400000000001</v>
      </c>
      <c r="N807" s="6">
        <v>-151.79400000000001</v>
      </c>
      <c r="O807" s="6">
        <v>-151.79400000000001</v>
      </c>
      <c r="P807" s="6">
        <v>0</v>
      </c>
      <c r="Q807" s="4" t="s">
        <v>26</v>
      </c>
      <c r="R807" s="4">
        <v>0</v>
      </c>
      <c r="S807" s="4">
        <v>0</v>
      </c>
      <c r="T807" s="4">
        <v>39</v>
      </c>
      <c r="U807" s="4">
        <v>85</v>
      </c>
      <c r="V807" s="6">
        <f>IF(ISERROR(VLOOKUP($S$807,'TAR FIN'!$A$1:$O$95,15,0)),0,VLOOKUP($S$807,'TAR FIN'!$A$1:$O$95,15,0))</f>
        <v>0</v>
      </c>
      <c r="W807" s="6">
        <f>IF(ISERROR(VLOOKUP($T$807,'TAR FIN'!$A$1:$O$95,15,0)),0,VLOOKUP($T$807,'TAR FIN'!$A$1:$O$95,15,0))</f>
        <v>369.16</v>
      </c>
      <c r="X807" s="6">
        <f>IF(ISERROR(VLOOKUP($U$807,'TAR FIN'!$A$1:$O$95,15,0)),0,VLOOKUP($U$807,'TAR FIN'!$A$1:$O$95,15,0))</f>
        <v>199.51</v>
      </c>
      <c r="Y807" s="6"/>
      <c r="Z807" s="6">
        <f ca="1">('TUSD BE'!$AM$38+'TUSD BF'!$AM$38+'TUSD CVA'!$AM$38)*(1-CUSTOS!$M$38)</f>
        <v>445.73746261020432</v>
      </c>
      <c r="AA807" s="6">
        <f>('TE BE'!$AA$26+'TE BF'!$AA$26+'TE CVA'!$AA$26)*(1-CUSTOS!$M$38)</f>
        <v>261.5374640864809</v>
      </c>
      <c r="AB807" s="6">
        <f t="shared" si="30"/>
        <v>0</v>
      </c>
      <c r="AC807" s="6">
        <f>(L807-M807)*(W807+X807)+($W$482+$X$482-$W$807-$X$807)*(L807)</f>
        <v>-18946.927080000001</v>
      </c>
      <c r="AD807" s="6">
        <f t="shared" si="31"/>
        <v>0</v>
      </c>
      <c r="AE807" s="6">
        <f ca="1">(L807-M807)*(Z807+AA807)+($Z$482+$AA$482-$Z$807-$AA$807)*(L807)</f>
        <v>-14640.012303135913</v>
      </c>
      <c r="AF807" s="4" t="s">
        <v>844</v>
      </c>
    </row>
    <row r="808" spans="1:32" ht="11.25" customHeight="1" x14ac:dyDescent="0.25">
      <c r="A808" s="4" t="s">
        <v>30</v>
      </c>
      <c r="B808" s="4" t="s">
        <v>46</v>
      </c>
      <c r="C808" s="4" t="s">
        <v>23</v>
      </c>
      <c r="D808" s="4" t="s">
        <v>47</v>
      </c>
      <c r="E808" s="4" t="s">
        <v>25</v>
      </c>
      <c r="F808" s="4" t="s">
        <v>25</v>
      </c>
      <c r="G808" s="4" t="s">
        <v>25</v>
      </c>
      <c r="H808" s="4" t="s">
        <v>25</v>
      </c>
      <c r="I808" s="5">
        <v>44348</v>
      </c>
      <c r="J808" s="6">
        <v>0</v>
      </c>
      <c r="K808" s="6">
        <v>0</v>
      </c>
      <c r="L808" s="6">
        <v>16.03</v>
      </c>
      <c r="M808" s="6">
        <v>16.03</v>
      </c>
      <c r="N808" s="6">
        <v>16.03</v>
      </c>
      <c r="O808" s="6">
        <v>16.03</v>
      </c>
      <c r="P808" s="6">
        <v>21</v>
      </c>
      <c r="Q808" s="4" t="s">
        <v>26</v>
      </c>
      <c r="R808" s="4">
        <v>0</v>
      </c>
      <c r="S808" s="4">
        <v>0</v>
      </c>
      <c r="T808" s="4">
        <v>39</v>
      </c>
      <c r="U808" s="4">
        <v>85</v>
      </c>
      <c r="V808" s="6">
        <f>IF(ISERROR(VLOOKUP($S$808,'TAR FIN'!$A$1:$O$95,15,0)),0,VLOOKUP($S$808,'TAR FIN'!$A$1:$O$95,15,0))</f>
        <v>0</v>
      </c>
      <c r="W808" s="6">
        <f>IF(ISERROR(VLOOKUP($T$808,'TAR FIN'!$A$1:$O$95,15,0)),0,VLOOKUP($T$808,'TAR FIN'!$A$1:$O$95,15,0))</f>
        <v>369.16</v>
      </c>
      <c r="X808" s="6">
        <f>IF(ISERROR(VLOOKUP($U$808,'TAR FIN'!$A$1:$O$95,15,0)),0,VLOOKUP($U$808,'TAR FIN'!$A$1:$O$95,15,0))</f>
        <v>199.51</v>
      </c>
      <c r="Y808" s="6"/>
      <c r="Z808" s="6">
        <f ca="1">('TUSD BE'!$AM$38+'TUSD BF'!$AM$38+'TUSD CVA'!$AM$38)*(1-CUSTOS!$M$38)</f>
        <v>445.73746261020432</v>
      </c>
      <c r="AA808" s="6">
        <f>('TE BE'!$AA$26+'TE BF'!$AA$26+'TE CVA'!$AA$26)*(1-CUSTOS!$M$38)</f>
        <v>261.5374640864809</v>
      </c>
      <c r="AB808" s="6">
        <f t="shared" si="30"/>
        <v>0</v>
      </c>
      <c r="AC808" s="6">
        <f>(L808-M808)*(W808+X808)+($W$482+$X$482-$W$808-$X$808)*(L808)</f>
        <v>2000.8646000000001</v>
      </c>
      <c r="AD808" s="6">
        <f t="shared" si="31"/>
        <v>0</v>
      </c>
      <c r="AE808" s="6">
        <f ca="1">(L808-M808)*(Z808+AA808)+($Z$482+$AA$482-$Z$808-$AA$808)*(L808)</f>
        <v>1546.038692038346</v>
      </c>
      <c r="AF808" s="4" t="s">
        <v>844</v>
      </c>
    </row>
    <row r="809" spans="1:32" ht="11.25" customHeight="1" x14ac:dyDescent="0.25">
      <c r="A809" s="4" t="s">
        <v>21</v>
      </c>
      <c r="B809" s="4" t="s">
        <v>46</v>
      </c>
      <c r="C809" s="4" t="s">
        <v>23</v>
      </c>
      <c r="D809" s="4" t="s">
        <v>47</v>
      </c>
      <c r="E809" s="4" t="s">
        <v>25</v>
      </c>
      <c r="F809" s="4" t="s">
        <v>25</v>
      </c>
      <c r="G809" s="4" t="s">
        <v>25</v>
      </c>
      <c r="H809" s="4" t="s">
        <v>25</v>
      </c>
      <c r="I809" s="5">
        <v>44378</v>
      </c>
      <c r="J809" s="6">
        <v>0</v>
      </c>
      <c r="K809" s="6">
        <v>0</v>
      </c>
      <c r="L809" s="6">
        <v>1449.144</v>
      </c>
      <c r="M809" s="6">
        <v>1449.144</v>
      </c>
      <c r="N809" s="6">
        <v>1449.144</v>
      </c>
      <c r="O809" s="6">
        <v>1449.144</v>
      </c>
      <c r="P809" s="6">
        <v>7443</v>
      </c>
      <c r="Q809" s="4" t="s">
        <v>26</v>
      </c>
      <c r="R809" s="4">
        <v>0</v>
      </c>
      <c r="S809" s="4">
        <v>0</v>
      </c>
      <c r="T809" s="4">
        <v>39</v>
      </c>
      <c r="U809" s="4">
        <v>85</v>
      </c>
      <c r="V809" s="6">
        <f>IF(ISERROR(VLOOKUP($S$809,'TAR FIN'!$A$1:$O$95,15,0)),0,VLOOKUP($S$809,'TAR FIN'!$A$1:$O$95,15,0))</f>
        <v>0</v>
      </c>
      <c r="W809" s="6">
        <f>IF(ISERROR(VLOOKUP($T$809,'TAR FIN'!$A$1:$O$95,15,0)),0,VLOOKUP($T$809,'TAR FIN'!$A$1:$O$95,15,0))</f>
        <v>369.16</v>
      </c>
      <c r="X809" s="6">
        <f>IF(ISERROR(VLOOKUP($U$809,'TAR FIN'!$A$1:$O$95,15,0)),0,VLOOKUP($U$809,'TAR FIN'!$A$1:$O$95,15,0))</f>
        <v>199.51</v>
      </c>
      <c r="Y809" s="6"/>
      <c r="Z809" s="6">
        <f ca="1">('TUSD BE'!$AM$38+'TUSD BF'!$AM$38+'TUSD CVA'!$AM$38)*(1-CUSTOS!$M$38)</f>
        <v>445.73746261020432</v>
      </c>
      <c r="AA809" s="6">
        <f>('TE BE'!$AA$26+'TE BF'!$AA$26+'TE CVA'!$AA$26)*(1-CUSTOS!$M$38)</f>
        <v>261.5374640864809</v>
      </c>
      <c r="AB809" s="6">
        <f t="shared" si="30"/>
        <v>0</v>
      </c>
      <c r="AC809" s="6">
        <f>(L809-M809)*(W809+X809)+($W$482+$X$482-$W$809-$X$809)*(L809)</f>
        <v>180882.15407999998</v>
      </c>
      <c r="AD809" s="6">
        <f t="shared" si="31"/>
        <v>0</v>
      </c>
      <c r="AE809" s="6">
        <f ca="1">(L809-M809)*(Z809+AA809)+($Z$482+$AA$482-$Z$809-$AA$809)*(L809)</f>
        <v>139764.98405085568</v>
      </c>
      <c r="AF809" s="4" t="s">
        <v>844</v>
      </c>
    </row>
    <row r="810" spans="1:32" ht="11.25" customHeight="1" x14ac:dyDescent="0.25">
      <c r="A810" s="4" t="s">
        <v>27</v>
      </c>
      <c r="B810" s="4" t="s">
        <v>46</v>
      </c>
      <c r="C810" s="4" t="s">
        <v>23</v>
      </c>
      <c r="D810" s="4" t="s">
        <v>47</v>
      </c>
      <c r="E810" s="4" t="s">
        <v>25</v>
      </c>
      <c r="F810" s="4" t="s">
        <v>25</v>
      </c>
      <c r="G810" s="4" t="s">
        <v>25</v>
      </c>
      <c r="H810" s="4" t="s">
        <v>25</v>
      </c>
      <c r="I810" s="5">
        <v>44378</v>
      </c>
      <c r="J810" s="6">
        <v>0</v>
      </c>
      <c r="K810" s="6">
        <v>0</v>
      </c>
      <c r="L810" s="6">
        <v>-9.2910000000000004</v>
      </c>
      <c r="M810" s="6">
        <v>-9.2910000000000004</v>
      </c>
      <c r="N810" s="6">
        <v>-9.2910000000000004</v>
      </c>
      <c r="O810" s="6">
        <v>-9.2910000000000004</v>
      </c>
      <c r="P810" s="6">
        <v>0</v>
      </c>
      <c r="Q810" s="4" t="s">
        <v>26</v>
      </c>
      <c r="R810" s="4">
        <v>0</v>
      </c>
      <c r="S810" s="4">
        <v>0</v>
      </c>
      <c r="T810" s="4">
        <v>39</v>
      </c>
      <c r="U810" s="4">
        <v>85</v>
      </c>
      <c r="V810" s="6">
        <f>IF(ISERROR(VLOOKUP($S$810,'TAR FIN'!$A$1:$O$95,15,0)),0,VLOOKUP($S$810,'TAR FIN'!$A$1:$O$95,15,0))</f>
        <v>0</v>
      </c>
      <c r="W810" s="6">
        <f>IF(ISERROR(VLOOKUP($T$810,'TAR FIN'!$A$1:$O$95,15,0)),0,VLOOKUP($T$810,'TAR FIN'!$A$1:$O$95,15,0))</f>
        <v>369.16</v>
      </c>
      <c r="X810" s="6">
        <f>IF(ISERROR(VLOOKUP($U$810,'TAR FIN'!$A$1:$O$95,15,0)),0,VLOOKUP($U$810,'TAR FIN'!$A$1:$O$95,15,0))</f>
        <v>199.51</v>
      </c>
      <c r="Y810" s="6"/>
      <c r="Z810" s="6">
        <f ca="1">('TUSD BE'!$AM$38+'TUSD BF'!$AM$38+'TUSD CVA'!$AM$38)*(1-CUSTOS!$M$38)</f>
        <v>445.73746261020432</v>
      </c>
      <c r="AA810" s="6">
        <f>('TE BE'!$AA$26+'TE BF'!$AA$26+'TE CVA'!$AA$26)*(1-CUSTOS!$M$38)</f>
        <v>261.5374640864809</v>
      </c>
      <c r="AB810" s="6">
        <f t="shared" si="30"/>
        <v>0</v>
      </c>
      <c r="AC810" s="6">
        <f>(L810-M810)*(W810+X810)+($W$482+$X$482-$W$810-$X$810)*(L810)</f>
        <v>-1159.70262</v>
      </c>
      <c r="AD810" s="6">
        <f t="shared" si="31"/>
        <v>0</v>
      </c>
      <c r="AE810" s="6">
        <f ca="1">(L810-M810)*(Z810+AA810)+($Z$482+$AA$482-$Z$810-$AA$810)*(L810)</f>
        <v>-896.08518326439616</v>
      </c>
      <c r="AF810" s="4" t="s">
        <v>844</v>
      </c>
    </row>
    <row r="811" spans="1:32" ht="11.25" customHeight="1" x14ac:dyDescent="0.25">
      <c r="A811" s="4" t="s">
        <v>28</v>
      </c>
      <c r="B811" s="4" t="s">
        <v>46</v>
      </c>
      <c r="C811" s="4" t="s">
        <v>23</v>
      </c>
      <c r="D811" s="4" t="s">
        <v>47</v>
      </c>
      <c r="E811" s="4" t="s">
        <v>25</v>
      </c>
      <c r="F811" s="4" t="s">
        <v>25</v>
      </c>
      <c r="G811" s="4" t="s">
        <v>25</v>
      </c>
      <c r="H811" s="4" t="s">
        <v>25</v>
      </c>
      <c r="I811" s="5">
        <v>44378</v>
      </c>
      <c r="J811" s="6">
        <v>0</v>
      </c>
      <c r="K811" s="6">
        <v>0</v>
      </c>
      <c r="L811" s="6">
        <v>3776.7109999999998</v>
      </c>
      <c r="M811" s="6">
        <v>3776.7109999999998</v>
      </c>
      <c r="N811" s="6">
        <v>3776.7109999999998</v>
      </c>
      <c r="O811" s="6">
        <v>3776.7109999999998</v>
      </c>
      <c r="P811" s="6">
        <v>34038</v>
      </c>
      <c r="Q811" s="4" t="s">
        <v>26</v>
      </c>
      <c r="R811" s="4">
        <v>0</v>
      </c>
      <c r="S811" s="4">
        <v>0</v>
      </c>
      <c r="T811" s="4">
        <v>39</v>
      </c>
      <c r="U811" s="4">
        <v>85</v>
      </c>
      <c r="V811" s="6">
        <f>IF(ISERROR(VLOOKUP($S$811,'TAR FIN'!$A$1:$O$95,15,0)),0,VLOOKUP($S$811,'TAR FIN'!$A$1:$O$95,15,0))</f>
        <v>0</v>
      </c>
      <c r="W811" s="6">
        <f>IF(ISERROR(VLOOKUP($T$811,'TAR FIN'!$A$1:$O$95,15,0)),0,VLOOKUP($T$811,'TAR FIN'!$A$1:$O$95,15,0))</f>
        <v>369.16</v>
      </c>
      <c r="X811" s="6">
        <f>IF(ISERROR(VLOOKUP($U$811,'TAR FIN'!$A$1:$O$95,15,0)),0,VLOOKUP($U$811,'TAR FIN'!$A$1:$O$95,15,0))</f>
        <v>199.51</v>
      </c>
      <c r="Y811" s="6"/>
      <c r="Z811" s="6">
        <f ca="1">('TUSD BE'!$AM$38+'TUSD BF'!$AM$38+'TUSD CVA'!$AM$38)*(1-CUSTOS!$M$38)</f>
        <v>445.73746261020432</v>
      </c>
      <c r="AA811" s="6">
        <f>('TE BE'!$AA$26+'TE BF'!$AA$26+'TE CVA'!$AA$26)*(1-CUSTOS!$M$38)</f>
        <v>261.5374640864809</v>
      </c>
      <c r="AB811" s="6">
        <f t="shared" si="30"/>
        <v>0</v>
      </c>
      <c r="AC811" s="6">
        <f>(L811-M811)*(W811+X811)+($W$482+$X$482-$W$811-$X$811)*(L811)</f>
        <v>471409.06701999996</v>
      </c>
      <c r="AD811" s="6">
        <f t="shared" si="31"/>
        <v>0</v>
      </c>
      <c r="AE811" s="6">
        <f ca="1">(L811-M811)*(Z811+AA811)+($Z$482+$AA$482-$Z$811-$AA$811)*(L811)</f>
        <v>364250.86304721353</v>
      </c>
      <c r="AF811" s="4" t="s">
        <v>844</v>
      </c>
    </row>
    <row r="812" spans="1:32" ht="11.25" customHeight="1" x14ac:dyDescent="0.25">
      <c r="A812" s="4" t="s">
        <v>29</v>
      </c>
      <c r="B812" s="4" t="s">
        <v>46</v>
      </c>
      <c r="C812" s="4" t="s">
        <v>23</v>
      </c>
      <c r="D812" s="4" t="s">
        <v>47</v>
      </c>
      <c r="E812" s="4" t="s">
        <v>25</v>
      </c>
      <c r="F812" s="4" t="s">
        <v>25</v>
      </c>
      <c r="G812" s="4" t="s">
        <v>25</v>
      </c>
      <c r="H812" s="4" t="s">
        <v>25</v>
      </c>
      <c r="I812" s="5">
        <v>44378</v>
      </c>
      <c r="J812" s="6">
        <v>0</v>
      </c>
      <c r="K812" s="6">
        <v>0</v>
      </c>
      <c r="L812" s="6">
        <v>-79.911000000000001</v>
      </c>
      <c r="M812" s="6">
        <v>-79.911000000000001</v>
      </c>
      <c r="N812" s="6">
        <v>-79.911000000000001</v>
      </c>
      <c r="O812" s="6">
        <v>-79.911000000000001</v>
      </c>
      <c r="P812" s="6">
        <v>0</v>
      </c>
      <c r="Q812" s="4" t="s">
        <v>26</v>
      </c>
      <c r="R812" s="4">
        <v>0</v>
      </c>
      <c r="S812" s="4">
        <v>0</v>
      </c>
      <c r="T812" s="4">
        <v>39</v>
      </c>
      <c r="U812" s="4">
        <v>85</v>
      </c>
      <c r="V812" s="6">
        <f>IF(ISERROR(VLOOKUP($S$812,'TAR FIN'!$A$1:$O$95,15,0)),0,VLOOKUP($S$812,'TAR FIN'!$A$1:$O$95,15,0))</f>
        <v>0</v>
      </c>
      <c r="W812" s="6">
        <f>IF(ISERROR(VLOOKUP($T$812,'TAR FIN'!$A$1:$O$95,15,0)),0,VLOOKUP($T$812,'TAR FIN'!$A$1:$O$95,15,0))</f>
        <v>369.16</v>
      </c>
      <c r="X812" s="6">
        <f>IF(ISERROR(VLOOKUP($U$812,'TAR FIN'!$A$1:$O$95,15,0)),0,VLOOKUP($U$812,'TAR FIN'!$A$1:$O$95,15,0))</f>
        <v>199.51</v>
      </c>
      <c r="Y812" s="6"/>
      <c r="Z812" s="6">
        <f ca="1">('TUSD BE'!$AM$38+'TUSD BF'!$AM$38+'TUSD CVA'!$AM$38)*(1-CUSTOS!$M$38)</f>
        <v>445.73746261020432</v>
      </c>
      <c r="AA812" s="6">
        <f>('TE BE'!$AA$26+'TE BF'!$AA$26+'TE CVA'!$AA$26)*(1-CUSTOS!$M$38)</f>
        <v>261.5374640864809</v>
      </c>
      <c r="AB812" s="6">
        <f t="shared" si="30"/>
        <v>0</v>
      </c>
      <c r="AC812" s="6">
        <f>(L812-M812)*(W812+X812)+($W$482+$X$482-$W$812-$X$812)*(L812)</f>
        <v>-9974.4910199999995</v>
      </c>
      <c r="AD812" s="6">
        <f t="shared" si="31"/>
        <v>0</v>
      </c>
      <c r="AE812" s="6">
        <f ca="1">(L812-M812)*(Z812+AA812)+($Z$482+$AA$482-$Z$812-$AA$812)*(L812)</f>
        <v>-7707.1427273534782</v>
      </c>
      <c r="AF812" s="4" t="s">
        <v>844</v>
      </c>
    </row>
    <row r="813" spans="1:32" ht="11.25" customHeight="1" x14ac:dyDescent="0.25">
      <c r="A813" s="4" t="s">
        <v>30</v>
      </c>
      <c r="B813" s="4" t="s">
        <v>46</v>
      </c>
      <c r="C813" s="4" t="s">
        <v>23</v>
      </c>
      <c r="D813" s="4" t="s">
        <v>47</v>
      </c>
      <c r="E813" s="4" t="s">
        <v>25</v>
      </c>
      <c r="F813" s="4" t="s">
        <v>25</v>
      </c>
      <c r="G813" s="4" t="s">
        <v>25</v>
      </c>
      <c r="H813" s="4" t="s">
        <v>25</v>
      </c>
      <c r="I813" s="5">
        <v>44378</v>
      </c>
      <c r="J813" s="6">
        <v>0</v>
      </c>
      <c r="K813" s="6">
        <v>0</v>
      </c>
      <c r="L813" s="6">
        <v>16.318000000000001</v>
      </c>
      <c r="M813" s="6">
        <v>16.318000000000001</v>
      </c>
      <c r="N813" s="6">
        <v>16.318000000000001</v>
      </c>
      <c r="O813" s="6">
        <v>16.318000000000001</v>
      </c>
      <c r="P813" s="6">
        <v>22</v>
      </c>
      <c r="Q813" s="4" t="s">
        <v>26</v>
      </c>
      <c r="R813" s="4">
        <v>0</v>
      </c>
      <c r="S813" s="4">
        <v>0</v>
      </c>
      <c r="T813" s="4">
        <v>39</v>
      </c>
      <c r="U813" s="4">
        <v>85</v>
      </c>
      <c r="V813" s="6">
        <f>IF(ISERROR(VLOOKUP($S$813,'TAR FIN'!$A$1:$O$95,15,0)),0,VLOOKUP($S$813,'TAR FIN'!$A$1:$O$95,15,0))</f>
        <v>0</v>
      </c>
      <c r="W813" s="6">
        <f>IF(ISERROR(VLOOKUP($T$813,'TAR FIN'!$A$1:$O$95,15,0)),0,VLOOKUP($T$813,'TAR FIN'!$A$1:$O$95,15,0))</f>
        <v>369.16</v>
      </c>
      <c r="X813" s="6">
        <f>IF(ISERROR(VLOOKUP($U$813,'TAR FIN'!$A$1:$O$95,15,0)),0,VLOOKUP($U$813,'TAR FIN'!$A$1:$O$95,15,0))</f>
        <v>199.51</v>
      </c>
      <c r="Y813" s="6"/>
      <c r="Z813" s="6">
        <f ca="1">('TUSD BE'!$AM$38+'TUSD BF'!$AM$38+'TUSD CVA'!$AM$38)*(1-CUSTOS!$M$38)</f>
        <v>445.73746261020432</v>
      </c>
      <c r="AA813" s="6">
        <f>('TE BE'!$AA$26+'TE BF'!$AA$26+'TE CVA'!$AA$26)*(1-CUSTOS!$M$38)</f>
        <v>261.5374640864809</v>
      </c>
      <c r="AB813" s="6">
        <f t="shared" si="30"/>
        <v>0</v>
      </c>
      <c r="AC813" s="6">
        <f>(L813-M813)*(W813+X813)+($W$482+$X$482-$W$813-$X$813)*(L813)</f>
        <v>2036.81276</v>
      </c>
      <c r="AD813" s="6">
        <f t="shared" si="31"/>
        <v>0</v>
      </c>
      <c r="AE813" s="6">
        <f ca="1">(L813-M813)*(Z813+AA813)+($Z$482+$AA$482-$Z$813-$AA$813)*(L813)</f>
        <v>1573.815307341343</v>
      </c>
      <c r="AF813" s="4" t="s">
        <v>844</v>
      </c>
    </row>
    <row r="814" spans="1:32" ht="11.25" customHeight="1" x14ac:dyDescent="0.25">
      <c r="A814" s="4" t="s">
        <v>21</v>
      </c>
      <c r="B814" s="4" t="s">
        <v>46</v>
      </c>
      <c r="C814" s="4" t="s">
        <v>23</v>
      </c>
      <c r="D814" s="4" t="s">
        <v>47</v>
      </c>
      <c r="E814" s="4" t="s">
        <v>25</v>
      </c>
      <c r="F814" s="4" t="s">
        <v>25</v>
      </c>
      <c r="G814" s="4" t="s">
        <v>25</v>
      </c>
      <c r="H814" s="4" t="s">
        <v>25</v>
      </c>
      <c r="I814" s="5">
        <v>44409</v>
      </c>
      <c r="J814" s="6">
        <v>0</v>
      </c>
      <c r="K814" s="6">
        <v>0</v>
      </c>
      <c r="L814" s="6">
        <v>1553.607</v>
      </c>
      <c r="M814" s="6">
        <v>1553.607</v>
      </c>
      <c r="N814" s="6">
        <v>1553.607</v>
      </c>
      <c r="O814" s="6">
        <v>1553.607</v>
      </c>
      <c r="P814" s="6">
        <v>7413</v>
      </c>
      <c r="Q814" s="4" t="s">
        <v>26</v>
      </c>
      <c r="R814" s="4">
        <v>0</v>
      </c>
      <c r="S814" s="4">
        <v>0</v>
      </c>
      <c r="T814" s="4">
        <v>39</v>
      </c>
      <c r="U814" s="4">
        <v>85</v>
      </c>
      <c r="V814" s="6">
        <f>IF(ISERROR(VLOOKUP($S$814,'TAR FIN'!$A$1:$O$95,15,0)),0,VLOOKUP($S$814,'TAR FIN'!$A$1:$O$95,15,0))</f>
        <v>0</v>
      </c>
      <c r="W814" s="6">
        <f>IF(ISERROR(VLOOKUP($T$814,'TAR FIN'!$A$1:$O$95,15,0)),0,VLOOKUP($T$814,'TAR FIN'!$A$1:$O$95,15,0))</f>
        <v>369.16</v>
      </c>
      <c r="X814" s="6">
        <f>IF(ISERROR(VLOOKUP($U$814,'TAR FIN'!$A$1:$O$95,15,0)),0,VLOOKUP($U$814,'TAR FIN'!$A$1:$O$95,15,0))</f>
        <v>199.51</v>
      </c>
      <c r="Y814" s="6"/>
      <c r="Z814" s="6">
        <f ca="1">('TUSD BE'!$AM$38+'TUSD BF'!$AM$38+'TUSD CVA'!$AM$38)*(1-CUSTOS!$M$38)</f>
        <v>445.73746261020432</v>
      </c>
      <c r="AA814" s="6">
        <f>('TE BE'!$AA$26+'TE BF'!$AA$26+'TE CVA'!$AA$26)*(1-CUSTOS!$M$38)</f>
        <v>261.5374640864809</v>
      </c>
      <c r="AB814" s="6">
        <f t="shared" si="30"/>
        <v>0</v>
      </c>
      <c r="AC814" s="6">
        <f>(L814-M814)*(W814+X814)+($W$482+$X$482-$W$814-$X$814)*(L814)</f>
        <v>193921.22573999999</v>
      </c>
      <c r="AD814" s="6">
        <f t="shared" si="31"/>
        <v>0</v>
      </c>
      <c r="AE814" s="6">
        <f ca="1">(L814-M814)*(Z814+AA814)+($Z$482+$AA$482-$Z$814-$AA$814)*(L814)</f>
        <v>149840.08323278965</v>
      </c>
      <c r="AF814" s="4" t="s">
        <v>844</v>
      </c>
    </row>
    <row r="815" spans="1:32" ht="11.25" customHeight="1" x14ac:dyDescent="0.25">
      <c r="A815" s="4" t="s">
        <v>27</v>
      </c>
      <c r="B815" s="4" t="s">
        <v>46</v>
      </c>
      <c r="C815" s="4" t="s">
        <v>23</v>
      </c>
      <c r="D815" s="4" t="s">
        <v>47</v>
      </c>
      <c r="E815" s="4" t="s">
        <v>25</v>
      </c>
      <c r="F815" s="4" t="s">
        <v>25</v>
      </c>
      <c r="G815" s="4" t="s">
        <v>25</v>
      </c>
      <c r="H815" s="4" t="s">
        <v>25</v>
      </c>
      <c r="I815" s="5">
        <v>44409</v>
      </c>
      <c r="J815" s="6">
        <v>0</v>
      </c>
      <c r="K815" s="6">
        <v>0</v>
      </c>
      <c r="L815" s="6">
        <v>-55.225999999999999</v>
      </c>
      <c r="M815" s="6">
        <v>-55.225999999999999</v>
      </c>
      <c r="N815" s="6">
        <v>-55.225999999999999</v>
      </c>
      <c r="O815" s="6">
        <v>-55.225999999999999</v>
      </c>
      <c r="P815" s="6">
        <v>0</v>
      </c>
      <c r="Q815" s="4" t="s">
        <v>26</v>
      </c>
      <c r="R815" s="4">
        <v>0</v>
      </c>
      <c r="S815" s="4">
        <v>0</v>
      </c>
      <c r="T815" s="4">
        <v>39</v>
      </c>
      <c r="U815" s="4">
        <v>85</v>
      </c>
      <c r="V815" s="6">
        <f>IF(ISERROR(VLOOKUP($S$815,'TAR FIN'!$A$1:$O$95,15,0)),0,VLOOKUP($S$815,'TAR FIN'!$A$1:$O$95,15,0))</f>
        <v>0</v>
      </c>
      <c r="W815" s="6">
        <f>IF(ISERROR(VLOOKUP($T$815,'TAR FIN'!$A$1:$O$95,15,0)),0,VLOOKUP($T$815,'TAR FIN'!$A$1:$O$95,15,0))</f>
        <v>369.16</v>
      </c>
      <c r="X815" s="6">
        <f>IF(ISERROR(VLOOKUP($U$815,'TAR FIN'!$A$1:$O$95,15,0)),0,VLOOKUP($U$815,'TAR FIN'!$A$1:$O$95,15,0))</f>
        <v>199.51</v>
      </c>
      <c r="Y815" s="6"/>
      <c r="Z815" s="6">
        <f ca="1">('TUSD BE'!$AM$38+'TUSD BF'!$AM$38+'TUSD CVA'!$AM$38)*(1-CUSTOS!$M$38)</f>
        <v>445.73746261020432</v>
      </c>
      <c r="AA815" s="6">
        <f>('TE BE'!$AA$26+'TE BF'!$AA$26+'TE CVA'!$AA$26)*(1-CUSTOS!$M$38)</f>
        <v>261.5374640864809</v>
      </c>
      <c r="AB815" s="6">
        <f t="shared" si="30"/>
        <v>0</v>
      </c>
      <c r="AC815" s="6">
        <f>(L815-M815)*(W815+X815)+($W$482+$X$482-$W$815-$X$815)*(L815)</f>
        <v>-6893.3093199999994</v>
      </c>
      <c r="AD815" s="6">
        <f t="shared" si="31"/>
        <v>0</v>
      </c>
      <c r="AE815" s="6">
        <f ca="1">(L815-M815)*(Z815+AA815)+($Z$482+$AA$482-$Z$815-$AA$815)*(L815)</f>
        <v>-5326.3588775115213</v>
      </c>
      <c r="AF815" s="4" t="s">
        <v>844</v>
      </c>
    </row>
    <row r="816" spans="1:32" ht="11.25" customHeight="1" x14ac:dyDescent="0.25">
      <c r="A816" s="4" t="s">
        <v>28</v>
      </c>
      <c r="B816" s="4" t="s">
        <v>46</v>
      </c>
      <c r="C816" s="4" t="s">
        <v>23</v>
      </c>
      <c r="D816" s="4" t="s">
        <v>47</v>
      </c>
      <c r="E816" s="4" t="s">
        <v>25</v>
      </c>
      <c r="F816" s="4" t="s">
        <v>25</v>
      </c>
      <c r="G816" s="4" t="s">
        <v>25</v>
      </c>
      <c r="H816" s="4" t="s">
        <v>25</v>
      </c>
      <c r="I816" s="5">
        <v>44409</v>
      </c>
      <c r="J816" s="6">
        <v>0</v>
      </c>
      <c r="K816" s="6">
        <v>0</v>
      </c>
      <c r="L816" s="6">
        <v>3936.41</v>
      </c>
      <c r="M816" s="6">
        <v>3936.41</v>
      </c>
      <c r="N816" s="6">
        <v>3936.41</v>
      </c>
      <c r="O816" s="6">
        <v>3936.41</v>
      </c>
      <c r="P816" s="6">
        <v>33946</v>
      </c>
      <c r="Q816" s="4" t="s">
        <v>26</v>
      </c>
      <c r="R816" s="4">
        <v>0</v>
      </c>
      <c r="S816" s="4">
        <v>0</v>
      </c>
      <c r="T816" s="4">
        <v>39</v>
      </c>
      <c r="U816" s="4">
        <v>85</v>
      </c>
      <c r="V816" s="6">
        <f>IF(ISERROR(VLOOKUP($S$816,'TAR FIN'!$A$1:$O$95,15,0)),0,VLOOKUP($S$816,'TAR FIN'!$A$1:$O$95,15,0))</f>
        <v>0</v>
      </c>
      <c r="W816" s="6">
        <f>IF(ISERROR(VLOOKUP($T$816,'TAR FIN'!$A$1:$O$95,15,0)),0,VLOOKUP($T$816,'TAR FIN'!$A$1:$O$95,15,0))</f>
        <v>369.16</v>
      </c>
      <c r="X816" s="6">
        <f>IF(ISERROR(VLOOKUP($U$816,'TAR FIN'!$A$1:$O$95,15,0)),0,VLOOKUP($U$816,'TAR FIN'!$A$1:$O$95,15,0))</f>
        <v>199.51</v>
      </c>
      <c r="Y816" s="6"/>
      <c r="Z816" s="6">
        <f ca="1">('TUSD BE'!$AM$38+'TUSD BF'!$AM$38+'TUSD CVA'!$AM$38)*(1-CUSTOS!$M$38)</f>
        <v>445.73746261020432</v>
      </c>
      <c r="AA816" s="6">
        <f>('TE BE'!$AA$26+'TE BF'!$AA$26+'TE CVA'!$AA$26)*(1-CUSTOS!$M$38)</f>
        <v>261.5374640864809</v>
      </c>
      <c r="AB816" s="6">
        <f t="shared" si="30"/>
        <v>0</v>
      </c>
      <c r="AC816" s="6">
        <f>(L816-M816)*(W816+X816)+($W$482+$X$482-$W$816-$X$816)*(L816)</f>
        <v>491342.69619999995</v>
      </c>
      <c r="AD816" s="6">
        <f t="shared" si="31"/>
        <v>0</v>
      </c>
      <c r="AE816" s="6">
        <f ca="1">(L816-M816)*(Z816+AA816)+($Z$482+$AA$482-$Z$816-$AA$816)*(L816)</f>
        <v>379653.28557246813</v>
      </c>
      <c r="AF816" s="4" t="s">
        <v>844</v>
      </c>
    </row>
    <row r="817" spans="1:32" ht="11.25" customHeight="1" x14ac:dyDescent="0.25">
      <c r="A817" s="4" t="s">
        <v>29</v>
      </c>
      <c r="B817" s="4" t="s">
        <v>46</v>
      </c>
      <c r="C817" s="4" t="s">
        <v>23</v>
      </c>
      <c r="D817" s="4" t="s">
        <v>47</v>
      </c>
      <c r="E817" s="4" t="s">
        <v>25</v>
      </c>
      <c r="F817" s="4" t="s">
        <v>25</v>
      </c>
      <c r="G817" s="4" t="s">
        <v>25</v>
      </c>
      <c r="H817" s="4" t="s">
        <v>25</v>
      </c>
      <c r="I817" s="5">
        <v>44409</v>
      </c>
      <c r="J817" s="6">
        <v>0</v>
      </c>
      <c r="K817" s="6">
        <v>0</v>
      </c>
      <c r="L817" s="6">
        <v>-82.900999999999996</v>
      </c>
      <c r="M817" s="6">
        <v>-82.900999999999996</v>
      </c>
      <c r="N817" s="6">
        <v>-82.900999999999996</v>
      </c>
      <c r="O817" s="6">
        <v>-82.900999999999996</v>
      </c>
      <c r="P817" s="6">
        <v>0</v>
      </c>
      <c r="Q817" s="4" t="s">
        <v>26</v>
      </c>
      <c r="R817" s="4">
        <v>0</v>
      </c>
      <c r="S817" s="4">
        <v>0</v>
      </c>
      <c r="T817" s="4">
        <v>39</v>
      </c>
      <c r="U817" s="4">
        <v>85</v>
      </c>
      <c r="V817" s="6">
        <f>IF(ISERROR(VLOOKUP($S$817,'TAR FIN'!$A$1:$O$95,15,0)),0,VLOOKUP($S$817,'TAR FIN'!$A$1:$O$95,15,0))</f>
        <v>0</v>
      </c>
      <c r="W817" s="6">
        <f>IF(ISERROR(VLOOKUP($T$817,'TAR FIN'!$A$1:$O$95,15,0)),0,VLOOKUP($T$817,'TAR FIN'!$A$1:$O$95,15,0))</f>
        <v>369.16</v>
      </c>
      <c r="X817" s="6">
        <f>IF(ISERROR(VLOOKUP($U$817,'TAR FIN'!$A$1:$O$95,15,0)),0,VLOOKUP($U$817,'TAR FIN'!$A$1:$O$95,15,0))</f>
        <v>199.51</v>
      </c>
      <c r="Y817" s="6"/>
      <c r="Z817" s="6">
        <f ca="1">('TUSD BE'!$AM$38+'TUSD BF'!$AM$38+'TUSD CVA'!$AM$38)*(1-CUSTOS!$M$38)</f>
        <v>445.73746261020432</v>
      </c>
      <c r="AA817" s="6">
        <f>('TE BE'!$AA$26+'TE BF'!$AA$26+'TE CVA'!$AA$26)*(1-CUSTOS!$M$38)</f>
        <v>261.5374640864809</v>
      </c>
      <c r="AB817" s="6">
        <f t="shared" si="30"/>
        <v>0</v>
      </c>
      <c r="AC817" s="6">
        <f>(L817-M817)*(W817+X817)+($W$482+$X$482-$W$817-$X$817)*(L817)</f>
        <v>-10347.702819999999</v>
      </c>
      <c r="AD817" s="6">
        <f t="shared" si="31"/>
        <v>0</v>
      </c>
      <c r="AE817" s="6">
        <f ca="1">(L817-M817)*(Z817+AA817)+($Z$482+$AA$482-$Z$817-$AA$817)*(L817)</f>
        <v>-7995.5180042838992</v>
      </c>
      <c r="AF817" s="4" t="s">
        <v>844</v>
      </c>
    </row>
    <row r="818" spans="1:32" ht="11.25" customHeight="1" x14ac:dyDescent="0.25">
      <c r="A818" s="4" t="s">
        <v>30</v>
      </c>
      <c r="B818" s="4" t="s">
        <v>46</v>
      </c>
      <c r="C818" s="4" t="s">
        <v>23</v>
      </c>
      <c r="D818" s="4" t="s">
        <v>47</v>
      </c>
      <c r="E818" s="4" t="s">
        <v>25</v>
      </c>
      <c r="F818" s="4" t="s">
        <v>25</v>
      </c>
      <c r="G818" s="4" t="s">
        <v>25</v>
      </c>
      <c r="H818" s="4" t="s">
        <v>25</v>
      </c>
      <c r="I818" s="5">
        <v>44409</v>
      </c>
      <c r="J818" s="6">
        <v>0</v>
      </c>
      <c r="K818" s="6">
        <v>0</v>
      </c>
      <c r="L818" s="6">
        <v>26.995000000000001</v>
      </c>
      <c r="M818" s="6">
        <v>26.995000000000001</v>
      </c>
      <c r="N818" s="6">
        <v>26.995000000000001</v>
      </c>
      <c r="O818" s="6">
        <v>26.995000000000001</v>
      </c>
      <c r="P818" s="6">
        <v>21</v>
      </c>
      <c r="Q818" s="4" t="s">
        <v>26</v>
      </c>
      <c r="R818" s="4">
        <v>0</v>
      </c>
      <c r="S818" s="4">
        <v>0</v>
      </c>
      <c r="T818" s="4">
        <v>39</v>
      </c>
      <c r="U818" s="4">
        <v>85</v>
      </c>
      <c r="V818" s="6">
        <f>IF(ISERROR(VLOOKUP($S$818,'TAR FIN'!$A$1:$O$95,15,0)),0,VLOOKUP($S$818,'TAR FIN'!$A$1:$O$95,15,0))</f>
        <v>0</v>
      </c>
      <c r="W818" s="6">
        <f>IF(ISERROR(VLOOKUP($T$818,'TAR FIN'!$A$1:$O$95,15,0)),0,VLOOKUP($T$818,'TAR FIN'!$A$1:$O$95,15,0))</f>
        <v>369.16</v>
      </c>
      <c r="X818" s="6">
        <f>IF(ISERROR(VLOOKUP($U$818,'TAR FIN'!$A$1:$O$95,15,0)),0,VLOOKUP($U$818,'TAR FIN'!$A$1:$O$95,15,0))</f>
        <v>199.51</v>
      </c>
      <c r="Y818" s="6"/>
      <c r="Z818" s="6">
        <f ca="1">('TUSD BE'!$AM$38+'TUSD BF'!$AM$38+'TUSD CVA'!$AM$38)*(1-CUSTOS!$M$38)</f>
        <v>445.73746261020432</v>
      </c>
      <c r="AA818" s="6">
        <f>('TE BE'!$AA$26+'TE BF'!$AA$26+'TE CVA'!$AA$26)*(1-CUSTOS!$M$38)</f>
        <v>261.5374640864809</v>
      </c>
      <c r="AB818" s="6">
        <f t="shared" si="30"/>
        <v>0</v>
      </c>
      <c r="AC818" s="6">
        <f>(L818-M818)*(W818+X818)+($W$482+$X$482-$W$818-$X$818)*(L818)</f>
        <v>3369.5158999999999</v>
      </c>
      <c r="AD818" s="6">
        <f t="shared" si="31"/>
        <v>0</v>
      </c>
      <c r="AE818" s="6">
        <f ca="1">(L818-M818)*(Z818+AA818)+($Z$482+$AA$482-$Z$818-$AA$818)*(L818)</f>
        <v>2603.5754517514129</v>
      </c>
      <c r="AF818" s="4" t="s">
        <v>844</v>
      </c>
    </row>
    <row r="819" spans="1:32" ht="11.25" customHeight="1" x14ac:dyDescent="0.25">
      <c r="A819" s="4" t="s">
        <v>21</v>
      </c>
      <c r="B819" s="4" t="s">
        <v>46</v>
      </c>
      <c r="C819" s="4" t="s">
        <v>23</v>
      </c>
      <c r="D819" s="4" t="s">
        <v>47</v>
      </c>
      <c r="E819" s="4" t="s">
        <v>25</v>
      </c>
      <c r="F819" s="4" t="s">
        <v>25</v>
      </c>
      <c r="G819" s="4" t="s">
        <v>25</v>
      </c>
      <c r="H819" s="4" t="s">
        <v>25</v>
      </c>
      <c r="I819" s="5">
        <v>44440</v>
      </c>
      <c r="J819" s="6">
        <v>0</v>
      </c>
      <c r="K819" s="6">
        <v>0</v>
      </c>
      <c r="L819" s="6">
        <v>1541.1030000000001</v>
      </c>
      <c r="M819" s="6">
        <v>1541.1030000000001</v>
      </c>
      <c r="N819" s="6">
        <v>1541.1030000000001</v>
      </c>
      <c r="O819" s="6">
        <v>1541.1030000000001</v>
      </c>
      <c r="P819" s="6">
        <v>7366</v>
      </c>
      <c r="Q819" s="4" t="s">
        <v>26</v>
      </c>
      <c r="R819" s="4">
        <v>0</v>
      </c>
      <c r="S819" s="4">
        <v>0</v>
      </c>
      <c r="T819" s="4">
        <v>39</v>
      </c>
      <c r="U819" s="4">
        <v>85</v>
      </c>
      <c r="V819" s="6">
        <f>IF(ISERROR(VLOOKUP($S$819,'TAR FIN'!$A$1:$O$95,15,0)),0,VLOOKUP($S$819,'TAR FIN'!$A$1:$O$95,15,0))</f>
        <v>0</v>
      </c>
      <c r="W819" s="6">
        <f>IF(ISERROR(VLOOKUP($T$819,'TAR FIN'!$A$1:$O$95,15,0)),0,VLOOKUP($T$819,'TAR FIN'!$A$1:$O$95,15,0))</f>
        <v>369.16</v>
      </c>
      <c r="X819" s="6">
        <f>IF(ISERROR(VLOOKUP($U$819,'TAR FIN'!$A$1:$O$95,15,0)),0,VLOOKUP($U$819,'TAR FIN'!$A$1:$O$95,15,0))</f>
        <v>199.51</v>
      </c>
      <c r="Y819" s="6"/>
      <c r="Z819" s="6">
        <f ca="1">('TUSD BE'!$AM$38+'TUSD BF'!$AM$38+'TUSD CVA'!$AM$38)*(1-CUSTOS!$M$38)</f>
        <v>445.73746261020432</v>
      </c>
      <c r="AA819" s="6">
        <f>('TE BE'!$AA$26+'TE BF'!$AA$26+'TE CVA'!$AA$26)*(1-CUSTOS!$M$38)</f>
        <v>261.5374640864809</v>
      </c>
      <c r="AB819" s="6">
        <f t="shared" si="30"/>
        <v>0</v>
      </c>
      <c r="AC819" s="6">
        <f>(L819-M819)*(W819+X819)+($W$482+$X$482-$W$819-$X$819)*(L819)</f>
        <v>192360.47646000001</v>
      </c>
      <c r="AD819" s="6">
        <f t="shared" si="31"/>
        <v>0</v>
      </c>
      <c r="AE819" s="6">
        <f ca="1">(L819-M819)*(Z819+AA819)+($Z$482+$AA$482-$Z$819-$AA$819)*(L819)</f>
        <v>148634.11518505123</v>
      </c>
      <c r="AF819" s="4" t="s">
        <v>844</v>
      </c>
    </row>
    <row r="820" spans="1:32" ht="11.25" customHeight="1" x14ac:dyDescent="0.25">
      <c r="A820" s="4" t="s">
        <v>27</v>
      </c>
      <c r="B820" s="4" t="s">
        <v>46</v>
      </c>
      <c r="C820" s="4" t="s">
        <v>23</v>
      </c>
      <c r="D820" s="4" t="s">
        <v>47</v>
      </c>
      <c r="E820" s="4" t="s">
        <v>25</v>
      </c>
      <c r="F820" s="4" t="s">
        <v>25</v>
      </c>
      <c r="G820" s="4" t="s">
        <v>25</v>
      </c>
      <c r="H820" s="4" t="s">
        <v>25</v>
      </c>
      <c r="I820" s="5">
        <v>44440</v>
      </c>
      <c r="J820" s="6">
        <v>0</v>
      </c>
      <c r="K820" s="6">
        <v>0</v>
      </c>
      <c r="L820" s="6">
        <v>-4.3579999999999997</v>
      </c>
      <c r="M820" s="6">
        <v>-4.3579999999999997</v>
      </c>
      <c r="N820" s="6">
        <v>-4.3579999999999997</v>
      </c>
      <c r="O820" s="6">
        <v>-4.3579999999999997</v>
      </c>
      <c r="P820" s="6">
        <v>0</v>
      </c>
      <c r="Q820" s="4" t="s">
        <v>26</v>
      </c>
      <c r="R820" s="4">
        <v>0</v>
      </c>
      <c r="S820" s="4">
        <v>0</v>
      </c>
      <c r="T820" s="4">
        <v>39</v>
      </c>
      <c r="U820" s="4">
        <v>85</v>
      </c>
      <c r="V820" s="6">
        <f>IF(ISERROR(VLOOKUP($S$820,'TAR FIN'!$A$1:$O$95,15,0)),0,VLOOKUP($S$820,'TAR FIN'!$A$1:$O$95,15,0))</f>
        <v>0</v>
      </c>
      <c r="W820" s="6">
        <f>IF(ISERROR(VLOOKUP($T$820,'TAR FIN'!$A$1:$O$95,15,0)),0,VLOOKUP($T$820,'TAR FIN'!$A$1:$O$95,15,0))</f>
        <v>369.16</v>
      </c>
      <c r="X820" s="6">
        <f>IF(ISERROR(VLOOKUP($U$820,'TAR FIN'!$A$1:$O$95,15,0)),0,VLOOKUP($U$820,'TAR FIN'!$A$1:$O$95,15,0))</f>
        <v>199.51</v>
      </c>
      <c r="Y820" s="6"/>
      <c r="Z820" s="6">
        <f ca="1">('TUSD BE'!$AM$38+'TUSD BF'!$AM$38+'TUSD CVA'!$AM$38)*(1-CUSTOS!$M$38)</f>
        <v>445.73746261020432</v>
      </c>
      <c r="AA820" s="6">
        <f>('TE BE'!$AA$26+'TE BF'!$AA$26+'TE CVA'!$AA$26)*(1-CUSTOS!$M$38)</f>
        <v>261.5374640864809</v>
      </c>
      <c r="AB820" s="6">
        <f t="shared" si="30"/>
        <v>0</v>
      </c>
      <c r="AC820" s="6">
        <f>(L820-M820)*(W820+X820)+($W$482+$X$482-$W$820-$X$820)*(L820)</f>
        <v>-543.96555999999998</v>
      </c>
      <c r="AD820" s="6">
        <f t="shared" si="31"/>
        <v>0</v>
      </c>
      <c r="AE820" s="6">
        <f ca="1">(L820-M820)*(Z820+AA820)+($Z$482+$AA$482-$Z$820-$AA$820)*(L820)</f>
        <v>-420.31419961965753</v>
      </c>
      <c r="AF820" s="4" t="s">
        <v>844</v>
      </c>
    </row>
    <row r="821" spans="1:32" ht="11.25" customHeight="1" x14ac:dyDescent="0.25">
      <c r="A821" s="4" t="s">
        <v>28</v>
      </c>
      <c r="B821" s="4" t="s">
        <v>46</v>
      </c>
      <c r="C821" s="4" t="s">
        <v>23</v>
      </c>
      <c r="D821" s="4" t="s">
        <v>47</v>
      </c>
      <c r="E821" s="4" t="s">
        <v>25</v>
      </c>
      <c r="F821" s="4" t="s">
        <v>25</v>
      </c>
      <c r="G821" s="4" t="s">
        <v>25</v>
      </c>
      <c r="H821" s="4" t="s">
        <v>25</v>
      </c>
      <c r="I821" s="5">
        <v>44440</v>
      </c>
      <c r="J821" s="6">
        <v>0</v>
      </c>
      <c r="K821" s="6">
        <v>0</v>
      </c>
      <c r="L821" s="6">
        <v>3986.1239999999998</v>
      </c>
      <c r="M821" s="6">
        <v>3986.1239999999998</v>
      </c>
      <c r="N821" s="6">
        <v>3986.1239999999998</v>
      </c>
      <c r="O821" s="6">
        <v>3986.1239999999998</v>
      </c>
      <c r="P821" s="6">
        <v>33609</v>
      </c>
      <c r="Q821" s="4" t="s">
        <v>26</v>
      </c>
      <c r="R821" s="4">
        <v>0</v>
      </c>
      <c r="S821" s="4">
        <v>0</v>
      </c>
      <c r="T821" s="4">
        <v>39</v>
      </c>
      <c r="U821" s="4">
        <v>85</v>
      </c>
      <c r="V821" s="6">
        <f>IF(ISERROR(VLOOKUP($S$821,'TAR FIN'!$A$1:$O$95,15,0)),0,VLOOKUP($S$821,'TAR FIN'!$A$1:$O$95,15,0))</f>
        <v>0</v>
      </c>
      <c r="W821" s="6">
        <f>IF(ISERROR(VLOOKUP($T$821,'TAR FIN'!$A$1:$O$95,15,0)),0,VLOOKUP($T$821,'TAR FIN'!$A$1:$O$95,15,0))</f>
        <v>369.16</v>
      </c>
      <c r="X821" s="6">
        <f>IF(ISERROR(VLOOKUP($U$821,'TAR FIN'!$A$1:$O$95,15,0)),0,VLOOKUP($U$821,'TAR FIN'!$A$1:$O$95,15,0))</f>
        <v>199.51</v>
      </c>
      <c r="Y821" s="6"/>
      <c r="Z821" s="6">
        <f ca="1">('TUSD BE'!$AM$38+'TUSD BF'!$AM$38+'TUSD CVA'!$AM$38)*(1-CUSTOS!$M$38)</f>
        <v>445.73746261020432</v>
      </c>
      <c r="AA821" s="6">
        <f>('TE BE'!$AA$26+'TE BF'!$AA$26+'TE CVA'!$AA$26)*(1-CUSTOS!$M$38)</f>
        <v>261.5374640864809</v>
      </c>
      <c r="AB821" s="6">
        <f t="shared" si="30"/>
        <v>0</v>
      </c>
      <c r="AC821" s="6">
        <f>(L821-M821)*(W821+X821)+($W$482+$X$482-$W$821-$X$821)*(L821)</f>
        <v>497547.99767999997</v>
      </c>
      <c r="AD821" s="6">
        <f t="shared" si="31"/>
        <v>0</v>
      </c>
      <c r="AE821" s="6">
        <f ca="1">(L821-M821)*(Z821+AA821)+($Z$482+$AA$482-$Z$821-$AA$821)*(L821)</f>
        <v>384448.03089598619</v>
      </c>
      <c r="AF821" s="4" t="s">
        <v>844</v>
      </c>
    </row>
    <row r="822" spans="1:32" ht="11.25" customHeight="1" x14ac:dyDescent="0.25">
      <c r="A822" s="4" t="s">
        <v>29</v>
      </c>
      <c r="B822" s="4" t="s">
        <v>46</v>
      </c>
      <c r="C822" s="4" t="s">
        <v>23</v>
      </c>
      <c r="D822" s="4" t="s">
        <v>47</v>
      </c>
      <c r="E822" s="4" t="s">
        <v>25</v>
      </c>
      <c r="F822" s="4" t="s">
        <v>25</v>
      </c>
      <c r="G822" s="4" t="s">
        <v>25</v>
      </c>
      <c r="H822" s="4" t="s">
        <v>25</v>
      </c>
      <c r="I822" s="5">
        <v>44440</v>
      </c>
      <c r="J822" s="6">
        <v>0</v>
      </c>
      <c r="K822" s="6">
        <v>0</v>
      </c>
      <c r="L822" s="6">
        <v>-267.721</v>
      </c>
      <c r="M822" s="6">
        <v>-267.721</v>
      </c>
      <c r="N822" s="6">
        <v>-267.721</v>
      </c>
      <c r="O822" s="6">
        <v>-267.721</v>
      </c>
      <c r="P822" s="6">
        <v>0</v>
      </c>
      <c r="Q822" s="4" t="s">
        <v>26</v>
      </c>
      <c r="R822" s="4">
        <v>0</v>
      </c>
      <c r="S822" s="4">
        <v>0</v>
      </c>
      <c r="T822" s="4">
        <v>39</v>
      </c>
      <c r="U822" s="4">
        <v>85</v>
      </c>
      <c r="V822" s="6">
        <f>IF(ISERROR(VLOOKUP($S$822,'TAR FIN'!$A$1:$O$95,15,0)),0,VLOOKUP($S$822,'TAR FIN'!$A$1:$O$95,15,0))</f>
        <v>0</v>
      </c>
      <c r="W822" s="6">
        <f>IF(ISERROR(VLOOKUP($T$822,'TAR FIN'!$A$1:$O$95,15,0)),0,VLOOKUP($T$822,'TAR FIN'!$A$1:$O$95,15,0))</f>
        <v>369.16</v>
      </c>
      <c r="X822" s="6">
        <f>IF(ISERROR(VLOOKUP($U$822,'TAR FIN'!$A$1:$O$95,15,0)),0,VLOOKUP($U$822,'TAR FIN'!$A$1:$O$95,15,0))</f>
        <v>199.51</v>
      </c>
      <c r="Y822" s="6"/>
      <c r="Z822" s="6">
        <f ca="1">('TUSD BE'!$AM$38+'TUSD BF'!$AM$38+'TUSD CVA'!$AM$38)*(1-CUSTOS!$M$38)</f>
        <v>445.73746261020432</v>
      </c>
      <c r="AA822" s="6">
        <f>('TE BE'!$AA$26+'TE BF'!$AA$26+'TE CVA'!$AA$26)*(1-CUSTOS!$M$38)</f>
        <v>261.5374640864809</v>
      </c>
      <c r="AB822" s="6">
        <f t="shared" si="30"/>
        <v>0</v>
      </c>
      <c r="AC822" s="6">
        <f>(L822-M822)*(W822+X822)+($W$482+$X$482-$W$822-$X$822)*(L822)</f>
        <v>-33416.935219999999</v>
      </c>
      <c r="AD822" s="6">
        <f t="shared" si="31"/>
        <v>0</v>
      </c>
      <c r="AE822" s="6">
        <f ca="1">(L822-M822)*(Z822+AA822)+($Z$482+$AA$482-$Z$822-$AA$822)*(L822)</f>
        <v>-25820.77508865864</v>
      </c>
      <c r="AF822" s="4" t="s">
        <v>844</v>
      </c>
    </row>
    <row r="823" spans="1:32" ht="11.25" customHeight="1" x14ac:dyDescent="0.25">
      <c r="A823" s="4" t="s">
        <v>30</v>
      </c>
      <c r="B823" s="4" t="s">
        <v>46</v>
      </c>
      <c r="C823" s="4" t="s">
        <v>23</v>
      </c>
      <c r="D823" s="4" t="s">
        <v>47</v>
      </c>
      <c r="E823" s="4" t="s">
        <v>25</v>
      </c>
      <c r="F823" s="4" t="s">
        <v>25</v>
      </c>
      <c r="G823" s="4" t="s">
        <v>25</v>
      </c>
      <c r="H823" s="4" t="s">
        <v>25</v>
      </c>
      <c r="I823" s="5">
        <v>44440</v>
      </c>
      <c r="J823" s="6">
        <v>0</v>
      </c>
      <c r="K823" s="6">
        <v>0</v>
      </c>
      <c r="L823" s="6">
        <v>26.422000000000001</v>
      </c>
      <c r="M823" s="6">
        <v>26.422000000000001</v>
      </c>
      <c r="N823" s="6">
        <v>26.422000000000001</v>
      </c>
      <c r="O823" s="6">
        <v>26.422000000000001</v>
      </c>
      <c r="P823" s="6">
        <v>22</v>
      </c>
      <c r="Q823" s="4" t="s">
        <v>26</v>
      </c>
      <c r="R823" s="4">
        <v>0</v>
      </c>
      <c r="S823" s="4">
        <v>0</v>
      </c>
      <c r="T823" s="4">
        <v>39</v>
      </c>
      <c r="U823" s="4">
        <v>85</v>
      </c>
      <c r="V823" s="6">
        <f>IF(ISERROR(VLOOKUP($S$823,'TAR FIN'!$A$1:$O$95,15,0)),0,VLOOKUP($S$823,'TAR FIN'!$A$1:$O$95,15,0))</f>
        <v>0</v>
      </c>
      <c r="W823" s="6">
        <f>IF(ISERROR(VLOOKUP($T$823,'TAR FIN'!$A$1:$O$95,15,0)),0,VLOOKUP($T$823,'TAR FIN'!$A$1:$O$95,15,0))</f>
        <v>369.16</v>
      </c>
      <c r="X823" s="6">
        <f>IF(ISERROR(VLOOKUP($U$823,'TAR FIN'!$A$1:$O$95,15,0)),0,VLOOKUP($U$823,'TAR FIN'!$A$1:$O$95,15,0))</f>
        <v>199.51</v>
      </c>
      <c r="Y823" s="6"/>
      <c r="Z823" s="6">
        <f ca="1">('TUSD BE'!$AM$38+'TUSD BF'!$AM$38+'TUSD CVA'!$AM$38)*(1-CUSTOS!$M$38)</f>
        <v>445.73746261020432</v>
      </c>
      <c r="AA823" s="6">
        <f>('TE BE'!$AA$26+'TE BF'!$AA$26+'TE CVA'!$AA$26)*(1-CUSTOS!$M$38)</f>
        <v>261.5374640864809</v>
      </c>
      <c r="AB823" s="6">
        <f t="shared" si="30"/>
        <v>0</v>
      </c>
      <c r="AC823" s="6">
        <f>(L823-M823)*(W823+X823)+($W$482+$X$482-$W$823-$X$823)*(L823)</f>
        <v>3297.99404</v>
      </c>
      <c r="AD823" s="6">
        <f t="shared" si="31"/>
        <v>0</v>
      </c>
      <c r="AE823" s="6">
        <f ca="1">(L823-M823)*(Z823+AA823)+($Z$482+$AA$482-$Z$823-$AA$823)*(L823)</f>
        <v>2548.3115608881581</v>
      </c>
      <c r="AF823" s="4" t="s">
        <v>844</v>
      </c>
    </row>
    <row r="824" spans="1:32" ht="11.25" customHeight="1" x14ac:dyDescent="0.25">
      <c r="A824" s="4" t="s">
        <v>59</v>
      </c>
      <c r="B824" s="4" t="s">
        <v>46</v>
      </c>
      <c r="C824" s="4" t="s">
        <v>23</v>
      </c>
      <c r="D824" s="4" t="s">
        <v>47</v>
      </c>
      <c r="E824" s="4" t="s">
        <v>25</v>
      </c>
      <c r="F824" s="4" t="s">
        <v>25</v>
      </c>
      <c r="G824" s="4" t="s">
        <v>25</v>
      </c>
      <c r="H824" s="4" t="s">
        <v>25</v>
      </c>
      <c r="I824" s="5">
        <v>44470</v>
      </c>
      <c r="J824" s="6">
        <v>0</v>
      </c>
      <c r="K824" s="6">
        <v>0</v>
      </c>
      <c r="L824" s="6">
        <v>1541.1030000000001</v>
      </c>
      <c r="M824" s="6">
        <v>1541.1030000000001</v>
      </c>
      <c r="N824" s="6">
        <v>1541.1030000000001</v>
      </c>
      <c r="O824" s="6">
        <v>1541.1030000000001</v>
      </c>
      <c r="P824" s="6">
        <v>7366</v>
      </c>
      <c r="Q824" s="4" t="s">
        <v>26</v>
      </c>
      <c r="R824" s="4">
        <v>0</v>
      </c>
      <c r="S824" s="4">
        <v>0</v>
      </c>
      <c r="T824" s="4">
        <v>39</v>
      </c>
      <c r="U824" s="4">
        <v>85</v>
      </c>
      <c r="V824" s="6">
        <f>IF(ISERROR(VLOOKUP($S$824,'TAR FIN'!$A$1:$O$95,15,0)),0,VLOOKUP($S$824,'TAR FIN'!$A$1:$O$95,15,0))</f>
        <v>0</v>
      </c>
      <c r="W824" s="6">
        <f>IF(ISERROR(VLOOKUP($T$824,'TAR FIN'!$A$1:$O$95,15,0)),0,VLOOKUP($T$824,'TAR FIN'!$A$1:$O$95,15,0))</f>
        <v>369.16</v>
      </c>
      <c r="X824" s="6">
        <f>IF(ISERROR(VLOOKUP($U$824,'TAR FIN'!$A$1:$O$95,15,0)),0,VLOOKUP($U$824,'TAR FIN'!$A$1:$O$95,15,0))</f>
        <v>199.51</v>
      </c>
      <c r="Y824" s="6"/>
      <c r="Z824" s="6">
        <f ca="1">('TUSD BE'!$AM$38+'TUSD BF'!$AM$38+'TUSD CVA'!$AM$38)*(1-CUSTOS!$M$38)</f>
        <v>445.73746261020432</v>
      </c>
      <c r="AA824" s="6">
        <f>('TE BE'!$AA$26+'TE BF'!$AA$26+'TE CVA'!$AA$26)*(1-CUSTOS!$M$38)</f>
        <v>261.5374640864809</v>
      </c>
      <c r="AB824" s="6">
        <f t="shared" si="30"/>
        <v>0</v>
      </c>
      <c r="AC824" s="6">
        <f>(L824-M824)*(W824+X824)+($W$482+$X$482-$W$824-$X$824)*(L824)</f>
        <v>192360.47646000001</v>
      </c>
      <c r="AD824" s="6">
        <f t="shared" si="31"/>
        <v>0</v>
      </c>
      <c r="AE824" s="6">
        <f ca="1">(L824-M824)*(Z824+AA824)+($Z$482+$AA$482-$Z$824-$AA$824)*(L824)</f>
        <v>148634.11518505123</v>
      </c>
      <c r="AF824" s="4" t="s">
        <v>844</v>
      </c>
    </row>
    <row r="825" spans="1:32" ht="11.25" customHeight="1" x14ac:dyDescent="0.25">
      <c r="A825" s="4" t="s">
        <v>59</v>
      </c>
      <c r="B825" s="4" t="s">
        <v>46</v>
      </c>
      <c r="C825" s="4" t="s">
        <v>23</v>
      </c>
      <c r="D825" s="4" t="s">
        <v>47</v>
      </c>
      <c r="E825" s="4" t="s">
        <v>25</v>
      </c>
      <c r="F825" s="4" t="s">
        <v>25</v>
      </c>
      <c r="G825" s="4" t="s">
        <v>25</v>
      </c>
      <c r="H825" s="4" t="s">
        <v>25</v>
      </c>
      <c r="I825" s="5">
        <v>44470</v>
      </c>
      <c r="J825" s="6">
        <v>0</v>
      </c>
      <c r="K825" s="6">
        <v>0</v>
      </c>
      <c r="L825" s="6">
        <v>-4.3579999999999997</v>
      </c>
      <c r="M825" s="6">
        <v>-4.3579999999999997</v>
      </c>
      <c r="N825" s="6">
        <v>-4.3579999999999997</v>
      </c>
      <c r="O825" s="6">
        <v>-4.3579999999999997</v>
      </c>
      <c r="P825" s="6">
        <v>0</v>
      </c>
      <c r="Q825" s="4" t="s">
        <v>26</v>
      </c>
      <c r="R825" s="4">
        <v>0</v>
      </c>
      <c r="S825" s="4">
        <v>0</v>
      </c>
      <c r="T825" s="4">
        <v>39</v>
      </c>
      <c r="U825" s="4">
        <v>85</v>
      </c>
      <c r="V825" s="6">
        <f>IF(ISERROR(VLOOKUP($S$825,'TAR FIN'!$A$1:$O$95,15,0)),0,VLOOKUP($S$825,'TAR FIN'!$A$1:$O$95,15,0))</f>
        <v>0</v>
      </c>
      <c r="W825" s="6">
        <f>IF(ISERROR(VLOOKUP($T$825,'TAR FIN'!$A$1:$O$95,15,0)),0,VLOOKUP($T$825,'TAR FIN'!$A$1:$O$95,15,0))</f>
        <v>369.16</v>
      </c>
      <c r="X825" s="6">
        <f>IF(ISERROR(VLOOKUP($U$825,'TAR FIN'!$A$1:$O$95,15,0)),0,VLOOKUP($U$825,'TAR FIN'!$A$1:$O$95,15,0))</f>
        <v>199.51</v>
      </c>
      <c r="Y825" s="6"/>
      <c r="Z825" s="6">
        <f ca="1">('TUSD BE'!$AM$38+'TUSD BF'!$AM$38+'TUSD CVA'!$AM$38)*(1-CUSTOS!$M$38)</f>
        <v>445.73746261020432</v>
      </c>
      <c r="AA825" s="6">
        <f>('TE BE'!$AA$26+'TE BF'!$AA$26+'TE CVA'!$AA$26)*(1-CUSTOS!$M$38)</f>
        <v>261.5374640864809</v>
      </c>
      <c r="AB825" s="6">
        <f t="shared" si="30"/>
        <v>0</v>
      </c>
      <c r="AC825" s="6">
        <f>(L825-M825)*(W825+X825)+($W$482+$X$482-$W$825-$X$825)*(L825)</f>
        <v>-543.96555999999998</v>
      </c>
      <c r="AD825" s="6">
        <f t="shared" si="31"/>
        <v>0</v>
      </c>
      <c r="AE825" s="6">
        <f ca="1">(L825-M825)*(Z825+AA825)+($Z$482+$AA$482-$Z$825-$AA$825)*(L825)</f>
        <v>-420.31419961965753</v>
      </c>
      <c r="AF825" s="4" t="s">
        <v>844</v>
      </c>
    </row>
    <row r="826" spans="1:32" ht="11.25" customHeight="1" x14ac:dyDescent="0.25">
      <c r="A826" s="4" t="s">
        <v>59</v>
      </c>
      <c r="B826" s="4" t="s">
        <v>46</v>
      </c>
      <c r="C826" s="4" t="s">
        <v>23</v>
      </c>
      <c r="D826" s="4" t="s">
        <v>47</v>
      </c>
      <c r="E826" s="4" t="s">
        <v>25</v>
      </c>
      <c r="F826" s="4" t="s">
        <v>25</v>
      </c>
      <c r="G826" s="4" t="s">
        <v>25</v>
      </c>
      <c r="H826" s="4" t="s">
        <v>25</v>
      </c>
      <c r="I826" s="5">
        <v>44470</v>
      </c>
      <c r="J826" s="6">
        <v>0</v>
      </c>
      <c r="K826" s="6">
        <v>0</v>
      </c>
      <c r="L826" s="6">
        <v>3986.1239999999998</v>
      </c>
      <c r="M826" s="6">
        <v>3986.1239999999998</v>
      </c>
      <c r="N826" s="6">
        <v>3986.1239999999998</v>
      </c>
      <c r="O826" s="6">
        <v>3986.1239999999998</v>
      </c>
      <c r="P826" s="6">
        <v>33609</v>
      </c>
      <c r="Q826" s="4" t="s">
        <v>26</v>
      </c>
      <c r="R826" s="4">
        <v>0</v>
      </c>
      <c r="S826" s="4">
        <v>0</v>
      </c>
      <c r="T826" s="4">
        <v>39</v>
      </c>
      <c r="U826" s="4">
        <v>85</v>
      </c>
      <c r="V826" s="6">
        <f>IF(ISERROR(VLOOKUP($S$826,'TAR FIN'!$A$1:$O$95,15,0)),0,VLOOKUP($S$826,'TAR FIN'!$A$1:$O$95,15,0))</f>
        <v>0</v>
      </c>
      <c r="W826" s="6">
        <f>IF(ISERROR(VLOOKUP($T$826,'TAR FIN'!$A$1:$O$95,15,0)),0,VLOOKUP($T$826,'TAR FIN'!$A$1:$O$95,15,0))</f>
        <v>369.16</v>
      </c>
      <c r="X826" s="6">
        <f>IF(ISERROR(VLOOKUP($U$826,'TAR FIN'!$A$1:$O$95,15,0)),0,VLOOKUP($U$826,'TAR FIN'!$A$1:$O$95,15,0))</f>
        <v>199.51</v>
      </c>
      <c r="Y826" s="6"/>
      <c r="Z826" s="6">
        <f ca="1">('TUSD BE'!$AM$38+'TUSD BF'!$AM$38+'TUSD CVA'!$AM$38)*(1-CUSTOS!$M$38)</f>
        <v>445.73746261020432</v>
      </c>
      <c r="AA826" s="6">
        <f>('TE BE'!$AA$26+'TE BF'!$AA$26+'TE CVA'!$AA$26)*(1-CUSTOS!$M$38)</f>
        <v>261.5374640864809</v>
      </c>
      <c r="AB826" s="6">
        <f t="shared" si="30"/>
        <v>0</v>
      </c>
      <c r="AC826" s="6">
        <f>(L826-M826)*(W826+X826)+($W$482+$X$482-$W$826-$X$826)*(L826)</f>
        <v>497547.99767999997</v>
      </c>
      <c r="AD826" s="6">
        <f t="shared" si="31"/>
        <v>0</v>
      </c>
      <c r="AE826" s="6">
        <f ca="1">(L826-M826)*(Z826+AA826)+($Z$482+$AA$482-$Z$826-$AA$826)*(L826)</f>
        <v>384448.03089598619</v>
      </c>
      <c r="AF826" s="4" t="s">
        <v>844</v>
      </c>
    </row>
    <row r="827" spans="1:32" ht="11.25" customHeight="1" x14ac:dyDescent="0.25">
      <c r="A827" s="4" t="s">
        <v>59</v>
      </c>
      <c r="B827" s="4" t="s">
        <v>46</v>
      </c>
      <c r="C827" s="4" t="s">
        <v>23</v>
      </c>
      <c r="D827" s="4" t="s">
        <v>47</v>
      </c>
      <c r="E827" s="4" t="s">
        <v>25</v>
      </c>
      <c r="F827" s="4" t="s">
        <v>25</v>
      </c>
      <c r="G827" s="4" t="s">
        <v>25</v>
      </c>
      <c r="H827" s="4" t="s">
        <v>25</v>
      </c>
      <c r="I827" s="5">
        <v>44470</v>
      </c>
      <c r="J827" s="6">
        <v>0</v>
      </c>
      <c r="K827" s="6">
        <v>0</v>
      </c>
      <c r="L827" s="6">
        <v>-267.721</v>
      </c>
      <c r="M827" s="6">
        <v>-267.721</v>
      </c>
      <c r="N827" s="6">
        <v>-267.721</v>
      </c>
      <c r="O827" s="6">
        <v>-267.721</v>
      </c>
      <c r="P827" s="6">
        <v>0</v>
      </c>
      <c r="Q827" s="4" t="s">
        <v>26</v>
      </c>
      <c r="R827" s="4">
        <v>0</v>
      </c>
      <c r="S827" s="4">
        <v>0</v>
      </c>
      <c r="T827" s="4">
        <v>39</v>
      </c>
      <c r="U827" s="4">
        <v>85</v>
      </c>
      <c r="V827" s="6">
        <f>IF(ISERROR(VLOOKUP($S$827,'TAR FIN'!$A$1:$O$95,15,0)),0,VLOOKUP($S$827,'TAR FIN'!$A$1:$O$95,15,0))</f>
        <v>0</v>
      </c>
      <c r="W827" s="6">
        <f>IF(ISERROR(VLOOKUP($T$827,'TAR FIN'!$A$1:$O$95,15,0)),0,VLOOKUP($T$827,'TAR FIN'!$A$1:$O$95,15,0))</f>
        <v>369.16</v>
      </c>
      <c r="X827" s="6">
        <f>IF(ISERROR(VLOOKUP($U$827,'TAR FIN'!$A$1:$O$95,15,0)),0,VLOOKUP($U$827,'TAR FIN'!$A$1:$O$95,15,0))</f>
        <v>199.51</v>
      </c>
      <c r="Y827" s="6"/>
      <c r="Z827" s="6">
        <f ca="1">('TUSD BE'!$AM$38+'TUSD BF'!$AM$38+'TUSD CVA'!$AM$38)*(1-CUSTOS!$M$38)</f>
        <v>445.73746261020432</v>
      </c>
      <c r="AA827" s="6">
        <f>('TE BE'!$AA$26+'TE BF'!$AA$26+'TE CVA'!$AA$26)*(1-CUSTOS!$M$38)</f>
        <v>261.5374640864809</v>
      </c>
      <c r="AB827" s="6">
        <f t="shared" si="30"/>
        <v>0</v>
      </c>
      <c r="AC827" s="6">
        <f>(L827-M827)*(W827+X827)+($W$482+$X$482-$W$827-$X$827)*(L827)</f>
        <v>-33416.935219999999</v>
      </c>
      <c r="AD827" s="6">
        <f t="shared" si="31"/>
        <v>0</v>
      </c>
      <c r="AE827" s="6">
        <f ca="1">(L827-M827)*(Z827+AA827)+($Z$482+$AA$482-$Z$827-$AA$827)*(L827)</f>
        <v>-25820.77508865864</v>
      </c>
      <c r="AF827" s="4" t="s">
        <v>844</v>
      </c>
    </row>
    <row r="828" spans="1:32" ht="11.25" customHeight="1" x14ac:dyDescent="0.25">
      <c r="A828" s="4" t="s">
        <v>59</v>
      </c>
      <c r="B828" s="4" t="s">
        <v>46</v>
      </c>
      <c r="C828" s="4" t="s">
        <v>23</v>
      </c>
      <c r="D828" s="4" t="s">
        <v>47</v>
      </c>
      <c r="E828" s="4" t="s">
        <v>25</v>
      </c>
      <c r="F828" s="4" t="s">
        <v>25</v>
      </c>
      <c r="G828" s="4" t="s">
        <v>25</v>
      </c>
      <c r="H828" s="4" t="s">
        <v>25</v>
      </c>
      <c r="I828" s="5">
        <v>44470</v>
      </c>
      <c r="J828" s="6">
        <v>0</v>
      </c>
      <c r="K828" s="6">
        <v>0</v>
      </c>
      <c r="L828" s="6">
        <v>26.422000000000001</v>
      </c>
      <c r="M828" s="6">
        <v>26.422000000000001</v>
      </c>
      <c r="N828" s="6">
        <v>26.422000000000001</v>
      </c>
      <c r="O828" s="6">
        <v>26.422000000000001</v>
      </c>
      <c r="P828" s="6">
        <v>22</v>
      </c>
      <c r="Q828" s="4" t="s">
        <v>26</v>
      </c>
      <c r="R828" s="4">
        <v>0</v>
      </c>
      <c r="S828" s="4">
        <v>0</v>
      </c>
      <c r="T828" s="4">
        <v>39</v>
      </c>
      <c r="U828" s="4">
        <v>85</v>
      </c>
      <c r="V828" s="6">
        <f>IF(ISERROR(VLOOKUP($S$828,'TAR FIN'!$A$1:$O$95,15,0)),0,VLOOKUP($S$828,'TAR FIN'!$A$1:$O$95,15,0))</f>
        <v>0</v>
      </c>
      <c r="W828" s="6">
        <f>IF(ISERROR(VLOOKUP($T$828,'TAR FIN'!$A$1:$O$95,15,0)),0,VLOOKUP($T$828,'TAR FIN'!$A$1:$O$95,15,0))</f>
        <v>369.16</v>
      </c>
      <c r="X828" s="6">
        <f>IF(ISERROR(VLOOKUP($U$828,'TAR FIN'!$A$1:$O$95,15,0)),0,VLOOKUP($U$828,'TAR FIN'!$A$1:$O$95,15,0))</f>
        <v>199.51</v>
      </c>
      <c r="Y828" s="6"/>
      <c r="Z828" s="6">
        <f ca="1">('TUSD BE'!$AM$38+'TUSD BF'!$AM$38+'TUSD CVA'!$AM$38)*(1-CUSTOS!$M$38)</f>
        <v>445.73746261020432</v>
      </c>
      <c r="AA828" s="6">
        <f>('TE BE'!$AA$26+'TE BF'!$AA$26+'TE CVA'!$AA$26)*(1-CUSTOS!$M$38)</f>
        <v>261.5374640864809</v>
      </c>
      <c r="AB828" s="6">
        <f t="shared" si="30"/>
        <v>0</v>
      </c>
      <c r="AC828" s="6">
        <f>(L828-M828)*(W828+X828)+($W$482+$X$482-$W$828-$X$828)*(L828)</f>
        <v>3297.99404</v>
      </c>
      <c r="AD828" s="6">
        <f t="shared" si="31"/>
        <v>0</v>
      </c>
      <c r="AE828" s="6">
        <f ca="1">(L828-M828)*(Z828+AA828)+($Z$482+$AA$482-$Z$828-$AA$828)*(L828)</f>
        <v>2548.3115608881581</v>
      </c>
      <c r="AF828" s="4" t="s">
        <v>844</v>
      </c>
    </row>
    <row r="829" spans="1:32" ht="11.25" customHeight="1" x14ac:dyDescent="0.25">
      <c r="A829" s="4" t="s">
        <v>21</v>
      </c>
      <c r="B829" s="4" t="s">
        <v>46</v>
      </c>
      <c r="C829" s="4" t="s">
        <v>23</v>
      </c>
      <c r="D829" s="4" t="s">
        <v>47</v>
      </c>
      <c r="E829" s="4" t="s">
        <v>55</v>
      </c>
      <c r="F829" s="4" t="s">
        <v>56</v>
      </c>
      <c r="G829" s="4" t="s">
        <v>25</v>
      </c>
      <c r="H829" s="4" t="s">
        <v>25</v>
      </c>
      <c r="I829" s="5">
        <v>44287</v>
      </c>
      <c r="J829" s="6">
        <v>0</v>
      </c>
      <c r="K829" s="6">
        <v>0</v>
      </c>
      <c r="L829" s="6">
        <v>14.785</v>
      </c>
      <c r="M829" s="6">
        <v>14.785</v>
      </c>
      <c r="N829" s="6">
        <v>14.785</v>
      </c>
      <c r="O829" s="6">
        <v>14.785</v>
      </c>
      <c r="P829" s="6">
        <v>0</v>
      </c>
      <c r="Q829" s="4" t="s">
        <v>26</v>
      </c>
      <c r="R829" s="4">
        <v>0</v>
      </c>
      <c r="S829" s="4">
        <v>0</v>
      </c>
      <c r="T829" s="4">
        <v>44</v>
      </c>
      <c r="U829" s="4">
        <v>90</v>
      </c>
      <c r="V829" s="6">
        <f>IF(ISERROR(VLOOKUP($S$829,'TAR FIN'!$A$1:$O$95,15,0)),0,VLOOKUP($S$829,'TAR FIN'!$A$1:$O$95,15,0))</f>
        <v>0</v>
      </c>
      <c r="W829" s="6">
        <f>IF(ISERROR(VLOOKUP($T$829,'TAR FIN'!$A$1:$O$95,15,0)),0,VLOOKUP($T$829,'TAR FIN'!$A$1:$O$95,15,0))</f>
        <v>342.15</v>
      </c>
      <c r="X829" s="6">
        <f>IF(ISERROR(VLOOKUP($U$829,'TAR FIN'!$A$1:$O$95,15,0)),0,VLOOKUP($U$829,'TAR FIN'!$A$1:$O$95,15,0))</f>
        <v>184.91</v>
      </c>
      <c r="Y829" s="6"/>
      <c r="Z829" s="6">
        <f ca="1">('TUSD BE'!$AM$46+'TUSD BF'!$AM$46+'TUSD CVA'!$AM$46)*(1-CUSTOS!$M$40)</f>
        <v>425.47666885519504</v>
      </c>
      <c r="AA829" s="6">
        <f>('TE BE'!$AA$34+'TE BF'!$AA$34+'TE CVA'!$AA$34)*(1-CUSTOS!$M$40)</f>
        <v>249.64939753709535</v>
      </c>
      <c r="AB829" s="6">
        <f t="shared" si="30"/>
        <v>0</v>
      </c>
      <c r="AC829" s="6">
        <f>(L829-M829)*(W829+X829)+($W$482+$X$482-$W$829-$X$829)*(L829)</f>
        <v>2460.6675500000006</v>
      </c>
      <c r="AD829" s="6">
        <f t="shared" si="31"/>
        <v>0</v>
      </c>
      <c r="AE829" s="6">
        <f ca="1">(L829-M829)*(Z829+AA829)+($Z$482+$AA$482-$Z$829-$AA$829)*(L829)</f>
        <v>1901.2835984019086</v>
      </c>
      <c r="AF829" s="4" t="s">
        <v>844</v>
      </c>
    </row>
    <row r="830" spans="1:32" ht="11.25" customHeight="1" x14ac:dyDescent="0.25">
      <c r="A830" s="4" t="s">
        <v>27</v>
      </c>
      <c r="B830" s="4" t="s">
        <v>46</v>
      </c>
      <c r="C830" s="4" t="s">
        <v>23</v>
      </c>
      <c r="D830" s="4" t="s">
        <v>47</v>
      </c>
      <c r="E830" s="4" t="s">
        <v>55</v>
      </c>
      <c r="F830" s="4" t="s">
        <v>56</v>
      </c>
      <c r="G830" s="4" t="s">
        <v>25</v>
      </c>
      <c r="H830" s="4" t="s">
        <v>25</v>
      </c>
      <c r="I830" s="5">
        <v>44287</v>
      </c>
      <c r="J830" s="6">
        <v>0</v>
      </c>
      <c r="K830" s="6">
        <v>0</v>
      </c>
      <c r="L830" s="6">
        <v>-0.315</v>
      </c>
      <c r="M830" s="6">
        <v>-0.315</v>
      </c>
      <c r="N830" s="6">
        <v>-0.315</v>
      </c>
      <c r="O830" s="6">
        <v>-0.315</v>
      </c>
      <c r="P830" s="6">
        <v>0</v>
      </c>
      <c r="Q830" s="4" t="s">
        <v>26</v>
      </c>
      <c r="R830" s="4">
        <v>0</v>
      </c>
      <c r="S830" s="4">
        <v>0</v>
      </c>
      <c r="T830" s="4">
        <v>44</v>
      </c>
      <c r="U830" s="4">
        <v>90</v>
      </c>
      <c r="V830" s="6">
        <f>IF(ISERROR(VLOOKUP($S$830,'TAR FIN'!$A$1:$O$95,15,0)),0,VLOOKUP($S$830,'TAR FIN'!$A$1:$O$95,15,0))</f>
        <v>0</v>
      </c>
      <c r="W830" s="6">
        <f>IF(ISERROR(VLOOKUP($T$830,'TAR FIN'!$A$1:$O$95,15,0)),0,VLOOKUP($T$830,'TAR FIN'!$A$1:$O$95,15,0))</f>
        <v>342.15</v>
      </c>
      <c r="X830" s="6">
        <f>IF(ISERROR(VLOOKUP($U$830,'TAR FIN'!$A$1:$O$95,15,0)),0,VLOOKUP($U$830,'TAR FIN'!$A$1:$O$95,15,0))</f>
        <v>184.91</v>
      </c>
      <c r="Y830" s="6"/>
      <c r="Z830" s="6">
        <f ca="1">('TUSD BE'!$AM$46+'TUSD BF'!$AM$46+'TUSD CVA'!$AM$46)*(1-CUSTOS!$M$40)</f>
        <v>425.47666885519504</v>
      </c>
      <c r="AA830" s="6">
        <f>('TE BE'!$AA$34+'TE BF'!$AA$34+'TE CVA'!$AA$34)*(1-CUSTOS!$M$40)</f>
        <v>249.64939753709535</v>
      </c>
      <c r="AB830" s="6">
        <f t="shared" si="30"/>
        <v>0</v>
      </c>
      <c r="AC830" s="6">
        <f>(L830-M830)*(W830+X830)+($W$482+$X$482-$W$830-$X$830)*(L830)</f>
        <v>-52.425450000000012</v>
      </c>
      <c r="AD830" s="6">
        <f t="shared" si="31"/>
        <v>0</v>
      </c>
      <c r="AE830" s="6">
        <f ca="1">(L830-M830)*(Z830+AA830)+($Z$482+$AA$482-$Z$830-$AA$830)*(L830)</f>
        <v>-40.507563983537452</v>
      </c>
      <c r="AF830" s="4" t="s">
        <v>844</v>
      </c>
    </row>
    <row r="831" spans="1:32" ht="11.25" customHeight="1" x14ac:dyDescent="0.25">
      <c r="A831" s="4" t="s">
        <v>21</v>
      </c>
      <c r="B831" s="4" t="s">
        <v>46</v>
      </c>
      <c r="C831" s="4" t="s">
        <v>23</v>
      </c>
      <c r="D831" s="4" t="s">
        <v>47</v>
      </c>
      <c r="E831" s="4" t="s">
        <v>55</v>
      </c>
      <c r="F831" s="4" t="s">
        <v>57</v>
      </c>
      <c r="G831" s="4" t="s">
        <v>25</v>
      </c>
      <c r="H831" s="4" t="s">
        <v>25</v>
      </c>
      <c r="I831" s="5">
        <v>44287</v>
      </c>
      <c r="J831" s="6">
        <v>0</v>
      </c>
      <c r="K831" s="6">
        <v>0</v>
      </c>
      <c r="L831" s="6">
        <v>6.5570000000000004</v>
      </c>
      <c r="M831" s="6">
        <v>1.7703899999999999</v>
      </c>
      <c r="N831" s="6">
        <v>6.5570000000000004</v>
      </c>
      <c r="O831" s="6">
        <v>1.7703899999999999</v>
      </c>
      <c r="P831" s="6">
        <v>0</v>
      </c>
      <c r="Q831" s="4" t="s">
        <v>26</v>
      </c>
      <c r="R831" s="4">
        <v>0</v>
      </c>
      <c r="S831" s="4">
        <v>0</v>
      </c>
      <c r="T831" s="4">
        <v>44</v>
      </c>
      <c r="U831" s="4">
        <v>90</v>
      </c>
      <c r="V831" s="6">
        <f>IF(ISERROR(VLOOKUP($S$831,'TAR FIN'!$A$1:$O$95,15,0)),0,VLOOKUP($S$831,'TAR FIN'!$A$1:$O$95,15,0))</f>
        <v>0</v>
      </c>
      <c r="W831" s="6">
        <f>IF(ISERROR(VLOOKUP($T$831,'TAR FIN'!$A$1:$O$95,15,0)),0,VLOOKUP($T$831,'TAR FIN'!$A$1:$O$95,15,0))</f>
        <v>342.15</v>
      </c>
      <c r="X831" s="6">
        <f>IF(ISERROR(VLOOKUP($U$831,'TAR FIN'!$A$1:$O$95,15,0)),0,VLOOKUP($U$831,'TAR FIN'!$A$1:$O$95,15,0))</f>
        <v>184.91</v>
      </c>
      <c r="Y831" s="6"/>
      <c r="Z831" s="6">
        <f ca="1">('TUSD BE'!$AM$46+'TUSD BF'!$AM$46+'TUSD CVA'!$AM$46)*(1-CUSTOS!$M$38)</f>
        <v>445.73746261020432</v>
      </c>
      <c r="AA831" s="6">
        <f>('TE BE'!$AA$34+'TE BF'!$AA$34+'TE CVA'!$AA$34)*(1-CUSTOS!$M$38)</f>
        <v>261.5374640864809</v>
      </c>
      <c r="AB831" s="6">
        <f t="shared" si="30"/>
        <v>0</v>
      </c>
      <c r="AC831" s="6">
        <f>(L831-M831)*(W831+X831)+($W$482+$X$482-$W$831-$X$831)*(L831)</f>
        <v>3614.1121766000001</v>
      </c>
      <c r="AD831" s="6">
        <f t="shared" si="31"/>
        <v>0</v>
      </c>
      <c r="AE831" s="6">
        <f ca="1">(L831-M831)*(Z831+AA831)+($Z$482+$AA$482-$Z$831-$AA$831)*(L831)</f>
        <v>4017.8494679233709</v>
      </c>
      <c r="AF831" s="4" t="s">
        <v>846</v>
      </c>
    </row>
    <row r="832" spans="1:32" ht="11.25" customHeight="1" x14ac:dyDescent="0.25">
      <c r="A832" s="4" t="s">
        <v>27</v>
      </c>
      <c r="B832" s="4" t="s">
        <v>46</v>
      </c>
      <c r="C832" s="4" t="s">
        <v>23</v>
      </c>
      <c r="D832" s="4" t="s">
        <v>47</v>
      </c>
      <c r="E832" s="4" t="s">
        <v>55</v>
      </c>
      <c r="F832" s="4" t="s">
        <v>57</v>
      </c>
      <c r="G832" s="4" t="s">
        <v>25</v>
      </c>
      <c r="H832" s="4" t="s">
        <v>25</v>
      </c>
      <c r="I832" s="5">
        <v>44287</v>
      </c>
      <c r="J832" s="6">
        <v>0</v>
      </c>
      <c r="K832" s="6">
        <v>0</v>
      </c>
      <c r="L832" s="6">
        <v>5.4850000000000003</v>
      </c>
      <c r="M832" s="6">
        <v>1.48095</v>
      </c>
      <c r="N832" s="6">
        <v>5.4850000000000003</v>
      </c>
      <c r="O832" s="6">
        <v>1.48095</v>
      </c>
      <c r="P832" s="6">
        <v>0</v>
      </c>
      <c r="Q832" s="4" t="s">
        <v>26</v>
      </c>
      <c r="R832" s="4">
        <v>0</v>
      </c>
      <c r="S832" s="4">
        <v>0</v>
      </c>
      <c r="T832" s="4">
        <v>44</v>
      </c>
      <c r="U832" s="4">
        <v>90</v>
      </c>
      <c r="V832" s="6">
        <f>IF(ISERROR(VLOOKUP($S$832,'TAR FIN'!$A$1:$O$95,15,0)),0,VLOOKUP($S$832,'TAR FIN'!$A$1:$O$95,15,0))</f>
        <v>0</v>
      </c>
      <c r="W832" s="6">
        <f>IF(ISERROR(VLOOKUP($T$832,'TAR FIN'!$A$1:$O$95,15,0)),0,VLOOKUP($T$832,'TAR FIN'!$A$1:$O$95,15,0))</f>
        <v>342.15</v>
      </c>
      <c r="X832" s="6">
        <f>IF(ISERROR(VLOOKUP($U$832,'TAR FIN'!$A$1:$O$95,15,0)),0,VLOOKUP($U$832,'TAR FIN'!$A$1:$O$95,15,0))</f>
        <v>184.91</v>
      </c>
      <c r="Y832" s="6"/>
      <c r="Z832" s="6">
        <f ca="1">('TUSD BE'!$AM$46+'TUSD BF'!$AM$46+'TUSD CVA'!$AM$46)*(1-CUSTOS!$M$38)</f>
        <v>445.73746261020432</v>
      </c>
      <c r="AA832" s="6">
        <f>('TE BE'!$AA$34+'TE BF'!$AA$34+'TE CVA'!$AA$34)*(1-CUSTOS!$M$38)</f>
        <v>261.5374640864809</v>
      </c>
      <c r="AB832" s="6">
        <f t="shared" si="30"/>
        <v>0</v>
      </c>
      <c r="AC832" s="6">
        <f>(L832-M832)*(W832+X832)+($W$482+$X$482-$W$832-$X$832)*(L832)</f>
        <v>3023.2431430000001</v>
      </c>
      <c r="AD832" s="6">
        <f t="shared" si="31"/>
        <v>0</v>
      </c>
      <c r="AE832" s="6">
        <f ca="1">(L832-M832)*(Z832+AA832)+($Z$482+$AA$482-$Z$832-$AA$832)*(L832)</f>
        <v>3360.9736665486794</v>
      </c>
      <c r="AF832" s="4" t="s">
        <v>846</v>
      </c>
    </row>
    <row r="833" spans="1:32" ht="11.25" customHeight="1" x14ac:dyDescent="0.25">
      <c r="A833" s="4" t="s">
        <v>21</v>
      </c>
      <c r="B833" s="4" t="s">
        <v>41</v>
      </c>
      <c r="C833" s="4" t="s">
        <v>23</v>
      </c>
      <c r="D833" s="4" t="s">
        <v>52</v>
      </c>
      <c r="E833" s="4" t="s">
        <v>53</v>
      </c>
      <c r="F833" s="4" t="s">
        <v>25</v>
      </c>
      <c r="G833" s="4" t="s">
        <v>25</v>
      </c>
      <c r="H833" s="4" t="s">
        <v>25</v>
      </c>
      <c r="I833" s="5">
        <v>44136</v>
      </c>
      <c r="J833" s="6">
        <v>0</v>
      </c>
      <c r="K833" s="77">
        <v>0</v>
      </c>
      <c r="L833" s="6">
        <v>795.45899999999995</v>
      </c>
      <c r="M833" s="77">
        <v>795.45899999999995</v>
      </c>
      <c r="N833" s="6">
        <v>795.45899999999995</v>
      </c>
      <c r="O833" s="77">
        <v>795.45899999999995</v>
      </c>
      <c r="P833" s="6">
        <v>208</v>
      </c>
      <c r="Q833" s="4" t="s">
        <v>26</v>
      </c>
      <c r="R833" s="4">
        <v>0</v>
      </c>
      <c r="S833" s="4">
        <v>0</v>
      </c>
      <c r="T833" s="4">
        <v>72</v>
      </c>
      <c r="U833" s="4">
        <v>78</v>
      </c>
      <c r="V833" s="77">
        <f>IF(ISERROR(VLOOKUP($S$833,'TAR FIN'!$A$1:$O$95,15,0)),0,VLOOKUP($S$833,'TAR FIN'!$A$1:$O$95,15,0))</f>
        <v>0</v>
      </c>
      <c r="W833" s="77">
        <f>IF(ISERROR(VLOOKUP($T$833,'TAR FIN'!$A$1:$O$95,15,0)),0,VLOOKUP($T$833,'TAR FIN'!$A$1:$O$95,15,0))*(1-0.09)</f>
        <v>409.67290000000003</v>
      </c>
      <c r="X833" s="77">
        <f>IF(ISERROR(VLOOKUP($U$833,'TAR FIN'!$A$1:$O$95,15,0)),0,VLOOKUP($U$833,'TAR FIN'!$A$1:$O$95,15,0))*(1-0.09)</f>
        <v>221.40300000000002</v>
      </c>
      <c r="Y833" s="77"/>
      <c r="Z833" s="77">
        <f ca="1">('TUSD BE'!$AM$53+'TUSD BF'!$AM$53+'TUSD CVA'!$AM$53)*1*(1-0.06)</f>
        <v>476.12865324271826</v>
      </c>
      <c r="AA833" s="77">
        <f>('TE BE'!$AA$41+'TE BF'!$AA$41+'TE CVA'!$AA$41)*1*(1-0.06)</f>
        <v>279.36956391055907</v>
      </c>
      <c r="AB833" s="77">
        <f>(SUBSIDIO!$J$833*SUBSIDIO!$V$833)*(0.09)/(1-0.09)</f>
        <v>0</v>
      </c>
      <c r="AC833" s="77">
        <f>((SUBSIDIO!$L$833*SUBSIDIO!$W$833)+(SUBSIDIO!$N$833*SUBSIDIO!$X$833))*(0.09)/(1-0.09)</f>
        <v>49647.857571899993</v>
      </c>
      <c r="AD833" s="77">
        <f>(SUBSIDIO!$J$833*SUBSIDIO!$Y$833)*(0.06)/(1-0.06)</f>
        <v>0</v>
      </c>
      <c r="AE833" s="77">
        <f ca="1">((SUBSIDIO!$L$833*SUBSIDIO!$Z$833)+(SUBSIDIO!$N$833*SUBSIDIO!$AA$833))*(0.06)/(1-0.06)</f>
        <v>38359.650403310348</v>
      </c>
      <c r="AF833" s="4" t="s">
        <v>842</v>
      </c>
    </row>
    <row r="834" spans="1:32" ht="11.25" customHeight="1" x14ac:dyDescent="0.25">
      <c r="A834" s="4" t="s">
        <v>27</v>
      </c>
      <c r="B834" s="4" t="s">
        <v>41</v>
      </c>
      <c r="C834" s="4" t="s">
        <v>23</v>
      </c>
      <c r="D834" s="4" t="s">
        <v>52</v>
      </c>
      <c r="E834" s="4" t="s">
        <v>53</v>
      </c>
      <c r="F834" s="4" t="s">
        <v>25</v>
      </c>
      <c r="G834" s="4" t="s">
        <v>25</v>
      </c>
      <c r="H834" s="4" t="s">
        <v>25</v>
      </c>
      <c r="I834" s="5">
        <v>44136</v>
      </c>
      <c r="J834" s="6">
        <v>0</v>
      </c>
      <c r="K834" s="77">
        <v>0</v>
      </c>
      <c r="L834" s="6">
        <v>1.8360000000000001</v>
      </c>
      <c r="M834" s="77">
        <v>1.8360000000000001</v>
      </c>
      <c r="N834" s="6">
        <v>1.8360000000000001</v>
      </c>
      <c r="O834" s="77">
        <v>1.8360000000000001</v>
      </c>
      <c r="P834" s="6">
        <v>0</v>
      </c>
      <c r="Q834" s="4" t="s">
        <v>26</v>
      </c>
      <c r="R834" s="4">
        <v>0</v>
      </c>
      <c r="S834" s="4">
        <v>0</v>
      </c>
      <c r="T834" s="4">
        <v>72</v>
      </c>
      <c r="U834" s="4">
        <v>78</v>
      </c>
      <c r="V834" s="77">
        <f>IF(ISERROR(VLOOKUP($S$834,'TAR FIN'!$A$1:$O$95,15,0)),0,VLOOKUP($S$834,'TAR FIN'!$A$1:$O$95,15,0))</f>
        <v>0</v>
      </c>
      <c r="W834" s="77">
        <f>IF(ISERROR(VLOOKUP($T$834,'TAR FIN'!$A$1:$O$95,15,0)),0,VLOOKUP($T$834,'TAR FIN'!$A$1:$O$95,15,0))*(1-0.09)</f>
        <v>409.67290000000003</v>
      </c>
      <c r="X834" s="77">
        <f>IF(ISERROR(VLOOKUP($U$834,'TAR FIN'!$A$1:$O$95,15,0)),0,VLOOKUP($U$834,'TAR FIN'!$A$1:$O$95,15,0))*(1-0.09)</f>
        <v>221.40300000000002</v>
      </c>
      <c r="Y834" s="77"/>
      <c r="Z834" s="77">
        <f ca="1">('TUSD BE'!$AM$53+'TUSD BF'!$AM$53+'TUSD CVA'!$AM$53)*1*(1-0.06)</f>
        <v>476.12865324271826</v>
      </c>
      <c r="AA834" s="77">
        <f>('TE BE'!$AA$41+'TE BF'!$AA$41+'TE CVA'!$AA$41)*1*(1-0.06)</f>
        <v>279.36956391055907</v>
      </c>
      <c r="AB834" s="77">
        <f>(SUBSIDIO!$J$834*SUBSIDIO!$V$834)*(0.09)/(1-0.09)</f>
        <v>0</v>
      </c>
      <c r="AC834" s="77">
        <f>((SUBSIDIO!$L$834*SUBSIDIO!$W$834)+(SUBSIDIO!$N$834*SUBSIDIO!$X$834))*(0.09)/(1-0.09)</f>
        <v>114.59228760000001</v>
      </c>
      <c r="AD834" s="77">
        <f>(SUBSIDIO!$J$834*SUBSIDIO!$Y$834)*(0.06)/(1-0.06)</f>
        <v>0</v>
      </c>
      <c r="AE834" s="77">
        <f ca="1">((SUBSIDIO!$L$834*SUBSIDIO!$Z$834)+(SUBSIDIO!$N$834*SUBSIDIO!$AA$834))*(0.06)/(1-0.06)</f>
        <v>88.537961278303229</v>
      </c>
      <c r="AF834" s="4" t="s">
        <v>842</v>
      </c>
    </row>
    <row r="835" spans="1:32" ht="11.25" customHeight="1" x14ac:dyDescent="0.25">
      <c r="A835" s="4" t="s">
        <v>28</v>
      </c>
      <c r="B835" s="4" t="s">
        <v>41</v>
      </c>
      <c r="C835" s="4" t="s">
        <v>23</v>
      </c>
      <c r="D835" s="4" t="s">
        <v>52</v>
      </c>
      <c r="E835" s="4" t="s">
        <v>53</v>
      </c>
      <c r="F835" s="4" t="s">
        <v>25</v>
      </c>
      <c r="G835" s="4" t="s">
        <v>25</v>
      </c>
      <c r="H835" s="4" t="s">
        <v>25</v>
      </c>
      <c r="I835" s="5">
        <v>44136</v>
      </c>
      <c r="J835" s="6">
        <v>0</v>
      </c>
      <c r="K835" s="77">
        <v>0</v>
      </c>
      <c r="L835" s="6">
        <v>2055.0189999999998</v>
      </c>
      <c r="M835" s="77">
        <v>2055.0189999999998</v>
      </c>
      <c r="N835" s="6">
        <v>2055.0189999999998</v>
      </c>
      <c r="O835" s="77">
        <v>2055.0189999999998</v>
      </c>
      <c r="P835" s="6">
        <v>641</v>
      </c>
      <c r="Q835" s="4" t="s">
        <v>26</v>
      </c>
      <c r="R835" s="4">
        <v>0</v>
      </c>
      <c r="S835" s="4">
        <v>0</v>
      </c>
      <c r="T835" s="4">
        <v>72</v>
      </c>
      <c r="U835" s="4">
        <v>78</v>
      </c>
      <c r="V835" s="77">
        <f>IF(ISERROR(VLOOKUP($S$835,'TAR FIN'!$A$1:$O$95,15,0)),0,VLOOKUP($S$835,'TAR FIN'!$A$1:$O$95,15,0))</f>
        <v>0</v>
      </c>
      <c r="W835" s="77">
        <f>IF(ISERROR(VLOOKUP($T$835,'TAR FIN'!$A$1:$O$95,15,0)),0,VLOOKUP($T$835,'TAR FIN'!$A$1:$O$95,15,0))*(1-0.09)</f>
        <v>409.67290000000003</v>
      </c>
      <c r="X835" s="77">
        <f>IF(ISERROR(VLOOKUP($U$835,'TAR FIN'!$A$1:$O$95,15,0)),0,VLOOKUP($U$835,'TAR FIN'!$A$1:$O$95,15,0))*(1-0.09)</f>
        <v>221.40300000000002</v>
      </c>
      <c r="Y835" s="77"/>
      <c r="Z835" s="77">
        <f ca="1">('TUSD BE'!$AM$53+'TUSD BF'!$AM$53+'TUSD CVA'!$AM$53)*1*(1-0.06)</f>
        <v>476.12865324271826</v>
      </c>
      <c r="AA835" s="77">
        <f>('TE BE'!$AA$41+'TE BF'!$AA$41+'TE CVA'!$AA$41)*1*(1-0.06)</f>
        <v>279.36956391055907</v>
      </c>
      <c r="AB835" s="77">
        <f>(SUBSIDIO!$J$835*SUBSIDIO!$V$835)*(0.09)/(1-0.09)</f>
        <v>0</v>
      </c>
      <c r="AC835" s="77">
        <f>((SUBSIDIO!$L$835*SUBSIDIO!$W$835)+(SUBSIDIO!$N$835*SUBSIDIO!$X$835))*(0.09)/(1-0.09)</f>
        <v>128262.16136789999</v>
      </c>
      <c r="AD835" s="77">
        <f>(SUBSIDIO!$J$835*SUBSIDIO!$Y$835)*(0.06)/(1-0.06)</f>
        <v>0</v>
      </c>
      <c r="AE835" s="77">
        <f ca="1">((SUBSIDIO!$L$835*SUBSIDIO!$Z$835)+(SUBSIDIO!$N$835*SUBSIDIO!$AA$835))*(0.06)/(1-0.06)</f>
        <v>99099.778130815583</v>
      </c>
      <c r="AF835" s="4" t="s">
        <v>842</v>
      </c>
    </row>
    <row r="836" spans="1:32" ht="11.25" customHeight="1" x14ac:dyDescent="0.25">
      <c r="A836" s="4" t="s">
        <v>29</v>
      </c>
      <c r="B836" s="4" t="s">
        <v>41</v>
      </c>
      <c r="C836" s="4" t="s">
        <v>23</v>
      </c>
      <c r="D836" s="4" t="s">
        <v>52</v>
      </c>
      <c r="E836" s="4" t="s">
        <v>53</v>
      </c>
      <c r="F836" s="4" t="s">
        <v>25</v>
      </c>
      <c r="G836" s="4" t="s">
        <v>25</v>
      </c>
      <c r="H836" s="4" t="s">
        <v>25</v>
      </c>
      <c r="I836" s="5">
        <v>44136</v>
      </c>
      <c r="J836" s="6">
        <v>0</v>
      </c>
      <c r="K836" s="77">
        <v>0</v>
      </c>
      <c r="L836" s="6">
        <v>-2.7309999999999999</v>
      </c>
      <c r="M836" s="77">
        <v>-2.7309999999999999</v>
      </c>
      <c r="N836" s="6">
        <v>-2.7309999999999999</v>
      </c>
      <c r="O836" s="77">
        <v>-2.7309999999999999</v>
      </c>
      <c r="P836" s="6">
        <v>0</v>
      </c>
      <c r="Q836" s="4" t="s">
        <v>26</v>
      </c>
      <c r="R836" s="4">
        <v>0</v>
      </c>
      <c r="S836" s="4">
        <v>0</v>
      </c>
      <c r="T836" s="4">
        <v>72</v>
      </c>
      <c r="U836" s="4">
        <v>78</v>
      </c>
      <c r="V836" s="77">
        <f>IF(ISERROR(VLOOKUP($S$836,'TAR FIN'!$A$1:$O$95,15,0)),0,VLOOKUP($S$836,'TAR FIN'!$A$1:$O$95,15,0))</f>
        <v>0</v>
      </c>
      <c r="W836" s="77">
        <f>IF(ISERROR(VLOOKUP($T$836,'TAR FIN'!$A$1:$O$95,15,0)),0,VLOOKUP($T$836,'TAR FIN'!$A$1:$O$95,15,0))*(1-0.09)</f>
        <v>409.67290000000003</v>
      </c>
      <c r="X836" s="77">
        <f>IF(ISERROR(VLOOKUP($U$836,'TAR FIN'!$A$1:$O$95,15,0)),0,VLOOKUP($U$836,'TAR FIN'!$A$1:$O$95,15,0))*(1-0.09)</f>
        <v>221.40300000000002</v>
      </c>
      <c r="Y836" s="77"/>
      <c r="Z836" s="77">
        <f ca="1">('TUSD BE'!$AM$53+'TUSD BF'!$AM$53+'TUSD CVA'!$AM$53)*1*(1-0.06)</f>
        <v>476.12865324271826</v>
      </c>
      <c r="AA836" s="77">
        <f>('TE BE'!$AA$41+'TE BF'!$AA$41+'TE CVA'!$AA$41)*1*(1-0.06)</f>
        <v>279.36956391055907</v>
      </c>
      <c r="AB836" s="77">
        <f>(SUBSIDIO!$J$836*SUBSIDIO!$V$836)*(0.09)/(1-0.09)</f>
        <v>0</v>
      </c>
      <c r="AC836" s="77">
        <f>((SUBSIDIO!$L$836*SUBSIDIO!$W$836)+(SUBSIDIO!$N$836*SUBSIDIO!$X$836))*(0.09)/(1-0.09)</f>
        <v>-170.4529071</v>
      </c>
      <c r="AD836" s="77">
        <f>(SUBSIDIO!$J$836*SUBSIDIO!$Y$836)*(0.06)/(1-0.06)</f>
        <v>0</v>
      </c>
      <c r="AE836" s="77">
        <f ca="1">((SUBSIDIO!$L$836*SUBSIDIO!$Z$836)+(SUBSIDIO!$N$836*SUBSIDIO!$AA$836))*(0.06)/(1-0.06)</f>
        <v>-131.69780623695323</v>
      </c>
      <c r="AF836" s="4" t="s">
        <v>842</v>
      </c>
    </row>
    <row r="837" spans="1:32" ht="11.25" customHeight="1" x14ac:dyDescent="0.25">
      <c r="A837" s="4" t="s">
        <v>21</v>
      </c>
      <c r="B837" s="4" t="s">
        <v>41</v>
      </c>
      <c r="C837" s="4" t="s">
        <v>23</v>
      </c>
      <c r="D837" s="4" t="s">
        <v>52</v>
      </c>
      <c r="E837" s="4" t="s">
        <v>53</v>
      </c>
      <c r="F837" s="4" t="s">
        <v>25</v>
      </c>
      <c r="G837" s="4" t="s">
        <v>25</v>
      </c>
      <c r="H837" s="4" t="s">
        <v>25</v>
      </c>
      <c r="I837" s="5">
        <v>44166</v>
      </c>
      <c r="J837" s="6">
        <v>0</v>
      </c>
      <c r="K837" s="77">
        <v>0</v>
      </c>
      <c r="L837" s="6">
        <v>788.59500000000003</v>
      </c>
      <c r="M837" s="77">
        <v>788.59500000000003</v>
      </c>
      <c r="N837" s="6">
        <v>788.59500000000003</v>
      </c>
      <c r="O837" s="77">
        <v>788.59500000000003</v>
      </c>
      <c r="P837" s="6">
        <v>206</v>
      </c>
      <c r="Q837" s="4" t="s">
        <v>26</v>
      </c>
      <c r="R837" s="4">
        <v>0</v>
      </c>
      <c r="S837" s="4">
        <v>0</v>
      </c>
      <c r="T837" s="4">
        <v>72</v>
      </c>
      <c r="U837" s="4">
        <v>78</v>
      </c>
      <c r="V837" s="77">
        <f>IF(ISERROR(VLOOKUP($S$837,'TAR FIN'!$A$1:$O$95,15,0)),0,VLOOKUP($S$837,'TAR FIN'!$A$1:$O$95,15,0))</f>
        <v>0</v>
      </c>
      <c r="W837" s="77">
        <f>IF(ISERROR(VLOOKUP($T$837,'TAR FIN'!$A$1:$O$95,15,0)),0,VLOOKUP($T$837,'TAR FIN'!$A$1:$O$95,15,0))*(1-0.09)</f>
        <v>409.67290000000003</v>
      </c>
      <c r="X837" s="77">
        <f>IF(ISERROR(VLOOKUP($U$837,'TAR FIN'!$A$1:$O$95,15,0)),0,VLOOKUP($U$837,'TAR FIN'!$A$1:$O$95,15,0))*(1-0.09)</f>
        <v>221.40300000000002</v>
      </c>
      <c r="Y837" s="77"/>
      <c r="Z837" s="77">
        <f ca="1">('TUSD BE'!$AM$53+'TUSD BF'!$AM$53+'TUSD CVA'!$AM$53)*1*(1-0.06)</f>
        <v>476.12865324271826</v>
      </c>
      <c r="AA837" s="77">
        <f>('TE BE'!$AA$41+'TE BF'!$AA$41+'TE CVA'!$AA$41)*1*(1-0.06)</f>
        <v>279.36956391055907</v>
      </c>
      <c r="AB837" s="77">
        <f>(SUBSIDIO!$J$837*SUBSIDIO!$V$837)*(0.09)/(1-0.09)</f>
        <v>0</v>
      </c>
      <c r="AC837" s="77">
        <f>((SUBSIDIO!$L$837*SUBSIDIO!$W$837)+(SUBSIDIO!$N$837*SUBSIDIO!$X$837))*(0.09)/(1-0.09)</f>
        <v>49219.44718950001</v>
      </c>
      <c r="AD837" s="77">
        <f>(SUBSIDIO!$J$837*SUBSIDIO!$Y$837)*(0.06)/(1-0.06)</f>
        <v>0</v>
      </c>
      <c r="AE837" s="77">
        <f ca="1">((SUBSIDIO!$L$837*SUBSIDIO!$Z$837)+(SUBSIDIO!$N$837*SUBSIDIO!$AA$837))*(0.06)/(1-0.06)</f>
        <v>38028.645737616302</v>
      </c>
      <c r="AF837" s="4" t="s">
        <v>842</v>
      </c>
    </row>
    <row r="838" spans="1:32" ht="11.25" customHeight="1" x14ac:dyDescent="0.25">
      <c r="A838" s="4" t="s">
        <v>27</v>
      </c>
      <c r="B838" s="4" t="s">
        <v>41</v>
      </c>
      <c r="C838" s="4" t="s">
        <v>23</v>
      </c>
      <c r="D838" s="4" t="s">
        <v>52</v>
      </c>
      <c r="E838" s="4" t="s">
        <v>53</v>
      </c>
      <c r="F838" s="4" t="s">
        <v>25</v>
      </c>
      <c r="G838" s="4" t="s">
        <v>25</v>
      </c>
      <c r="H838" s="4" t="s">
        <v>25</v>
      </c>
      <c r="I838" s="5">
        <v>44166</v>
      </c>
      <c r="J838" s="6">
        <v>0</v>
      </c>
      <c r="K838" s="77">
        <v>0</v>
      </c>
      <c r="L838" s="6">
        <v>-8.2550000000000008</v>
      </c>
      <c r="M838" s="77">
        <v>-8.2550000000000008</v>
      </c>
      <c r="N838" s="6">
        <v>-8.2550000000000008</v>
      </c>
      <c r="O838" s="77">
        <v>-8.2550000000000008</v>
      </c>
      <c r="P838" s="6">
        <v>0</v>
      </c>
      <c r="Q838" s="4" t="s">
        <v>26</v>
      </c>
      <c r="R838" s="4">
        <v>0</v>
      </c>
      <c r="S838" s="4">
        <v>0</v>
      </c>
      <c r="T838" s="4">
        <v>72</v>
      </c>
      <c r="U838" s="4">
        <v>78</v>
      </c>
      <c r="V838" s="77">
        <f>IF(ISERROR(VLOOKUP($S$838,'TAR FIN'!$A$1:$O$95,15,0)),0,VLOOKUP($S$838,'TAR FIN'!$A$1:$O$95,15,0))</f>
        <v>0</v>
      </c>
      <c r="W838" s="77">
        <f>IF(ISERROR(VLOOKUP($T$838,'TAR FIN'!$A$1:$O$95,15,0)),0,VLOOKUP($T$838,'TAR FIN'!$A$1:$O$95,15,0))*(1-0.09)</f>
        <v>409.67290000000003</v>
      </c>
      <c r="X838" s="77">
        <f>IF(ISERROR(VLOOKUP($U$838,'TAR FIN'!$A$1:$O$95,15,0)),0,VLOOKUP($U$838,'TAR FIN'!$A$1:$O$95,15,0))*(1-0.09)</f>
        <v>221.40300000000002</v>
      </c>
      <c r="Y838" s="77"/>
      <c r="Z838" s="77">
        <f ca="1">('TUSD BE'!$AM$53+'TUSD BF'!$AM$53+'TUSD CVA'!$AM$53)*1*(1-0.06)</f>
        <v>476.12865324271826</v>
      </c>
      <c r="AA838" s="77">
        <f>('TE BE'!$AA$41+'TE BF'!$AA$41+'TE CVA'!$AA$41)*1*(1-0.06)</f>
        <v>279.36956391055907</v>
      </c>
      <c r="AB838" s="77">
        <f>(SUBSIDIO!$J$838*SUBSIDIO!$V$838)*(0.09)/(1-0.09)</f>
        <v>0</v>
      </c>
      <c r="AC838" s="77">
        <f>((SUBSIDIO!$L$838*SUBSIDIO!$W$838)+(SUBSIDIO!$N$838*SUBSIDIO!$X$838))*(0.09)/(1-0.09)</f>
        <v>-515.22839550000015</v>
      </c>
      <c r="AD838" s="77">
        <f>(SUBSIDIO!$J$838*SUBSIDIO!$Y$838)*(0.06)/(1-0.06)</f>
        <v>0</v>
      </c>
      <c r="AE838" s="77">
        <f ca="1">((SUBSIDIO!$L$838*SUBSIDIO!$Z$838)+(SUBSIDIO!$N$838*SUBSIDIO!$AA$838))*(0.06)/(1-0.06)</f>
        <v>-398.08326271916837</v>
      </c>
      <c r="AF838" s="4" t="s">
        <v>842</v>
      </c>
    </row>
    <row r="839" spans="1:32" ht="11.25" customHeight="1" x14ac:dyDescent="0.25">
      <c r="A839" s="4" t="s">
        <v>28</v>
      </c>
      <c r="B839" s="4" t="s">
        <v>41</v>
      </c>
      <c r="C839" s="4" t="s">
        <v>23</v>
      </c>
      <c r="D839" s="4" t="s">
        <v>52</v>
      </c>
      <c r="E839" s="4" t="s">
        <v>53</v>
      </c>
      <c r="F839" s="4" t="s">
        <v>25</v>
      </c>
      <c r="G839" s="4" t="s">
        <v>25</v>
      </c>
      <c r="H839" s="4" t="s">
        <v>25</v>
      </c>
      <c r="I839" s="5">
        <v>44166</v>
      </c>
      <c r="J839" s="6">
        <v>0</v>
      </c>
      <c r="K839" s="77">
        <v>0</v>
      </c>
      <c r="L839" s="6">
        <v>2063.1239999999998</v>
      </c>
      <c r="M839" s="77">
        <v>2063.1239999999998</v>
      </c>
      <c r="N839" s="6">
        <v>2063.1239999999998</v>
      </c>
      <c r="O839" s="77">
        <v>2063.1239999999998</v>
      </c>
      <c r="P839" s="6">
        <v>639</v>
      </c>
      <c r="Q839" s="4" t="s">
        <v>26</v>
      </c>
      <c r="R839" s="4">
        <v>0</v>
      </c>
      <c r="S839" s="4">
        <v>0</v>
      </c>
      <c r="T839" s="4">
        <v>72</v>
      </c>
      <c r="U839" s="4">
        <v>78</v>
      </c>
      <c r="V839" s="77">
        <f>IF(ISERROR(VLOOKUP($S$839,'TAR FIN'!$A$1:$O$95,15,0)),0,VLOOKUP($S$839,'TAR FIN'!$A$1:$O$95,15,0))</f>
        <v>0</v>
      </c>
      <c r="W839" s="77">
        <f>IF(ISERROR(VLOOKUP($T$839,'TAR FIN'!$A$1:$O$95,15,0)),0,VLOOKUP($T$839,'TAR FIN'!$A$1:$O$95,15,0))*(1-0.09)</f>
        <v>409.67290000000003</v>
      </c>
      <c r="X839" s="77">
        <f>IF(ISERROR(VLOOKUP($U$839,'TAR FIN'!$A$1:$O$95,15,0)),0,VLOOKUP($U$839,'TAR FIN'!$A$1:$O$95,15,0))*(1-0.09)</f>
        <v>221.40300000000002</v>
      </c>
      <c r="Y839" s="77"/>
      <c r="Z839" s="77">
        <f ca="1">('TUSD BE'!$AM$53+'TUSD BF'!$AM$53+'TUSD CVA'!$AM$53)*1*(1-0.06)</f>
        <v>476.12865324271826</v>
      </c>
      <c r="AA839" s="77">
        <f>('TE BE'!$AA$41+'TE BF'!$AA$41+'TE CVA'!$AA$41)*1*(1-0.06)</f>
        <v>279.36956391055907</v>
      </c>
      <c r="AB839" s="77">
        <f>(SUBSIDIO!$J$839*SUBSIDIO!$V$839)*(0.09)/(1-0.09)</f>
        <v>0</v>
      </c>
      <c r="AC839" s="77">
        <f>((SUBSIDIO!$L$839*SUBSIDIO!$W$839)+(SUBSIDIO!$N$839*SUBSIDIO!$X$839))*(0.09)/(1-0.09)</f>
        <v>128768.02764839998</v>
      </c>
      <c r="AD839" s="77">
        <f>(SUBSIDIO!$J$839*SUBSIDIO!$Y$839)*(0.06)/(1-0.06)</f>
        <v>0</v>
      </c>
      <c r="AE839" s="77">
        <f ca="1">((SUBSIDIO!$L$839*SUBSIDIO!$Z$839)+(SUBSIDIO!$N$839*SUBSIDIO!$AA$839))*(0.06)/(1-0.06)</f>
        <v>99490.627899966261</v>
      </c>
      <c r="AF839" s="4" t="s">
        <v>842</v>
      </c>
    </row>
    <row r="840" spans="1:32" ht="11.25" customHeight="1" x14ac:dyDescent="0.25">
      <c r="A840" s="4" t="s">
        <v>29</v>
      </c>
      <c r="B840" s="4" t="s">
        <v>41</v>
      </c>
      <c r="C840" s="4" t="s">
        <v>23</v>
      </c>
      <c r="D840" s="4" t="s">
        <v>52</v>
      </c>
      <c r="E840" s="4" t="s">
        <v>53</v>
      </c>
      <c r="F840" s="4" t="s">
        <v>25</v>
      </c>
      <c r="G840" s="4" t="s">
        <v>25</v>
      </c>
      <c r="H840" s="4" t="s">
        <v>25</v>
      </c>
      <c r="I840" s="5">
        <v>44166</v>
      </c>
      <c r="J840" s="6">
        <v>0</v>
      </c>
      <c r="K840" s="77">
        <v>0</v>
      </c>
      <c r="L840" s="6">
        <v>-36.978999999999999</v>
      </c>
      <c r="M840" s="77">
        <v>-36.978999999999999</v>
      </c>
      <c r="N840" s="6">
        <v>-36.978999999999999</v>
      </c>
      <c r="O840" s="77">
        <v>-36.978999999999999</v>
      </c>
      <c r="P840" s="6">
        <v>0</v>
      </c>
      <c r="Q840" s="4" t="s">
        <v>26</v>
      </c>
      <c r="R840" s="4">
        <v>0</v>
      </c>
      <c r="S840" s="4">
        <v>0</v>
      </c>
      <c r="T840" s="4">
        <v>72</v>
      </c>
      <c r="U840" s="4">
        <v>78</v>
      </c>
      <c r="V840" s="77">
        <f>IF(ISERROR(VLOOKUP($S$840,'TAR FIN'!$A$1:$O$95,15,0)),0,VLOOKUP($S$840,'TAR FIN'!$A$1:$O$95,15,0))</f>
        <v>0</v>
      </c>
      <c r="W840" s="77">
        <f>IF(ISERROR(VLOOKUP($T$840,'TAR FIN'!$A$1:$O$95,15,0)),0,VLOOKUP($T$840,'TAR FIN'!$A$1:$O$95,15,0))*(1-0.09)</f>
        <v>409.67290000000003</v>
      </c>
      <c r="X840" s="77">
        <f>IF(ISERROR(VLOOKUP($U$840,'TAR FIN'!$A$1:$O$95,15,0)),0,VLOOKUP($U$840,'TAR FIN'!$A$1:$O$95,15,0))*(1-0.09)</f>
        <v>221.40300000000002</v>
      </c>
      <c r="Y840" s="77"/>
      <c r="Z840" s="77">
        <f ca="1">('TUSD BE'!$AM$53+'TUSD BF'!$AM$53+'TUSD CVA'!$AM$53)*1*(1-0.06)</f>
        <v>476.12865324271826</v>
      </c>
      <c r="AA840" s="77">
        <f>('TE BE'!$AA$41+'TE BF'!$AA$41+'TE CVA'!$AA$41)*1*(1-0.06)</f>
        <v>279.36956391055907</v>
      </c>
      <c r="AB840" s="77">
        <f>(SUBSIDIO!$J$840*SUBSIDIO!$V$840)*(0.09)/(1-0.09)</f>
        <v>0</v>
      </c>
      <c r="AC840" s="77">
        <f>((SUBSIDIO!$L$840*SUBSIDIO!$W$840)+(SUBSIDIO!$N$840*SUBSIDIO!$X$840))*(0.09)/(1-0.09)</f>
        <v>-2308.0110038999997</v>
      </c>
      <c r="AD840" s="77">
        <f>(SUBSIDIO!$J$840*SUBSIDIO!$Y$840)*(0.06)/(1-0.06)</f>
        <v>0</v>
      </c>
      <c r="AE840" s="77">
        <f ca="1">((SUBSIDIO!$L$840*SUBSIDIO!$Z$840)+(SUBSIDIO!$N$840*SUBSIDIO!$AA$840))*(0.06)/(1-0.06)</f>
        <v>-1783.2490577943217</v>
      </c>
      <c r="AF840" s="4" t="s">
        <v>842</v>
      </c>
    </row>
    <row r="841" spans="1:32" ht="11.25" customHeight="1" x14ac:dyDescent="0.25">
      <c r="A841" s="4" t="s">
        <v>21</v>
      </c>
      <c r="B841" s="4" t="s">
        <v>41</v>
      </c>
      <c r="C841" s="4" t="s">
        <v>23</v>
      </c>
      <c r="D841" s="4" t="s">
        <v>52</v>
      </c>
      <c r="E841" s="4" t="s">
        <v>53</v>
      </c>
      <c r="F841" s="4" t="s">
        <v>25</v>
      </c>
      <c r="G841" s="4" t="s">
        <v>25</v>
      </c>
      <c r="H841" s="4" t="s">
        <v>25</v>
      </c>
      <c r="I841" s="5">
        <v>44197</v>
      </c>
      <c r="J841" s="6">
        <v>0</v>
      </c>
      <c r="K841" s="77">
        <v>0</v>
      </c>
      <c r="L841" s="6">
        <v>852.98800000000006</v>
      </c>
      <c r="M841" s="77">
        <v>852.98800000000006</v>
      </c>
      <c r="N841" s="6">
        <v>852.98800000000006</v>
      </c>
      <c r="O841" s="77">
        <v>852.98800000000006</v>
      </c>
      <c r="P841" s="6">
        <v>207</v>
      </c>
      <c r="Q841" s="4" t="s">
        <v>26</v>
      </c>
      <c r="R841" s="4">
        <v>0</v>
      </c>
      <c r="S841" s="4">
        <v>0</v>
      </c>
      <c r="T841" s="4">
        <v>72</v>
      </c>
      <c r="U841" s="4">
        <v>78</v>
      </c>
      <c r="V841" s="77">
        <f>IF(ISERROR(VLOOKUP($S$841,'TAR FIN'!$A$1:$O$95,15,0)),0,VLOOKUP($S$841,'TAR FIN'!$A$1:$O$95,15,0))</f>
        <v>0</v>
      </c>
      <c r="W841" s="77">
        <f>IF(ISERROR(VLOOKUP($T$841,'TAR FIN'!$A$1:$O$95,15,0)),0,VLOOKUP($T$841,'TAR FIN'!$A$1:$O$95,15,0))*(1-0.09)</f>
        <v>409.67290000000003</v>
      </c>
      <c r="X841" s="77">
        <f>IF(ISERROR(VLOOKUP($U$841,'TAR FIN'!$A$1:$O$95,15,0)),0,VLOOKUP($U$841,'TAR FIN'!$A$1:$O$95,15,0))*(1-0.09)</f>
        <v>221.40300000000002</v>
      </c>
      <c r="Y841" s="77"/>
      <c r="Z841" s="77">
        <f ca="1">('TUSD BE'!$AM$53+'TUSD BF'!$AM$53+'TUSD CVA'!$AM$53)*1*(1-0.06)</f>
        <v>476.12865324271826</v>
      </c>
      <c r="AA841" s="77">
        <f>('TE BE'!$AA$41+'TE BF'!$AA$41+'TE CVA'!$AA$41)*1*(1-0.06)</f>
        <v>279.36956391055907</v>
      </c>
      <c r="AB841" s="77">
        <f>(SUBSIDIO!$J$841*SUBSIDIO!$V$841)*(0.09)/(1-0.09)</f>
        <v>0</v>
      </c>
      <c r="AC841" s="77">
        <f>((SUBSIDIO!$L$841*SUBSIDIO!$W$841)+(SUBSIDIO!$N$841*SUBSIDIO!$X$841))*(0.09)/(1-0.09)</f>
        <v>53238.478330800004</v>
      </c>
      <c r="AD841" s="77">
        <f>(SUBSIDIO!$J$841*SUBSIDIO!$Y$841)*(0.06)/(1-0.06)</f>
        <v>0</v>
      </c>
      <c r="AE841" s="77">
        <f ca="1">((SUBSIDIO!$L$841*SUBSIDIO!$Z$841)+(SUBSIDIO!$N$841*SUBSIDIO!$AA$841))*(0.06)/(1-0.06)</f>
        <v>41133.888079987642</v>
      </c>
      <c r="AF841" s="4" t="s">
        <v>842</v>
      </c>
    </row>
    <row r="842" spans="1:32" ht="11.25" customHeight="1" x14ac:dyDescent="0.25">
      <c r="A842" s="4" t="s">
        <v>27</v>
      </c>
      <c r="B842" s="4" t="s">
        <v>41</v>
      </c>
      <c r="C842" s="4" t="s">
        <v>23</v>
      </c>
      <c r="D842" s="4" t="s">
        <v>52</v>
      </c>
      <c r="E842" s="4" t="s">
        <v>53</v>
      </c>
      <c r="F842" s="4" t="s">
        <v>25</v>
      </c>
      <c r="G842" s="4" t="s">
        <v>25</v>
      </c>
      <c r="H842" s="4" t="s">
        <v>25</v>
      </c>
      <c r="I842" s="5">
        <v>44197</v>
      </c>
      <c r="J842" s="6">
        <v>0</v>
      </c>
      <c r="K842" s="77">
        <v>0</v>
      </c>
      <c r="L842" s="6">
        <v>-0.17799999999999999</v>
      </c>
      <c r="M842" s="77">
        <v>-0.17799999999999999</v>
      </c>
      <c r="N842" s="6">
        <v>-0.17799999999999999</v>
      </c>
      <c r="O842" s="77">
        <v>-0.17799999999999999</v>
      </c>
      <c r="P842" s="6">
        <v>0</v>
      </c>
      <c r="Q842" s="4" t="s">
        <v>26</v>
      </c>
      <c r="R842" s="4">
        <v>0</v>
      </c>
      <c r="S842" s="4">
        <v>0</v>
      </c>
      <c r="T842" s="4">
        <v>72</v>
      </c>
      <c r="U842" s="4">
        <v>78</v>
      </c>
      <c r="V842" s="77">
        <f>IF(ISERROR(VLOOKUP($S$842,'TAR FIN'!$A$1:$O$95,15,0)),0,VLOOKUP($S$842,'TAR FIN'!$A$1:$O$95,15,0))</f>
        <v>0</v>
      </c>
      <c r="W842" s="77">
        <f>IF(ISERROR(VLOOKUP($T$842,'TAR FIN'!$A$1:$O$95,15,0)),0,VLOOKUP($T$842,'TAR FIN'!$A$1:$O$95,15,0))*(1-0.09)</f>
        <v>409.67290000000003</v>
      </c>
      <c r="X842" s="77">
        <f>IF(ISERROR(VLOOKUP($U$842,'TAR FIN'!$A$1:$O$95,15,0)),0,VLOOKUP($U$842,'TAR FIN'!$A$1:$O$95,15,0))*(1-0.09)</f>
        <v>221.40300000000002</v>
      </c>
      <c r="Y842" s="77"/>
      <c r="Z842" s="77">
        <f ca="1">('TUSD BE'!$AM$53+'TUSD BF'!$AM$53+'TUSD CVA'!$AM$53)*1*(1-0.06)</f>
        <v>476.12865324271826</v>
      </c>
      <c r="AA842" s="77">
        <f>('TE BE'!$AA$41+'TE BF'!$AA$41+'TE CVA'!$AA$41)*1*(1-0.06)</f>
        <v>279.36956391055907</v>
      </c>
      <c r="AB842" s="77">
        <f>(SUBSIDIO!$J$842*SUBSIDIO!$V$842)*(0.09)/(1-0.09)</f>
        <v>0</v>
      </c>
      <c r="AC842" s="77">
        <f>((SUBSIDIO!$L$842*SUBSIDIO!$W$842)+(SUBSIDIO!$N$842*SUBSIDIO!$X$842))*(0.09)/(1-0.09)</f>
        <v>-11.109709799999999</v>
      </c>
      <c r="AD842" s="77">
        <f>(SUBSIDIO!$J$842*SUBSIDIO!$Y$842)*(0.06)/(1-0.06)</f>
        <v>0</v>
      </c>
      <c r="AE842" s="77">
        <f ca="1">((SUBSIDIO!$L$842*SUBSIDIO!$Z$842)+(SUBSIDIO!$N$842*SUBSIDIO!$AA$842))*(0.06)/(1-0.06)</f>
        <v>-8.583745701273406</v>
      </c>
      <c r="AF842" s="4" t="s">
        <v>842</v>
      </c>
    </row>
    <row r="843" spans="1:32" ht="11.25" customHeight="1" x14ac:dyDescent="0.25">
      <c r="A843" s="4" t="s">
        <v>28</v>
      </c>
      <c r="B843" s="4" t="s">
        <v>41</v>
      </c>
      <c r="C843" s="4" t="s">
        <v>23</v>
      </c>
      <c r="D843" s="4" t="s">
        <v>52</v>
      </c>
      <c r="E843" s="4" t="s">
        <v>53</v>
      </c>
      <c r="F843" s="4" t="s">
        <v>25</v>
      </c>
      <c r="G843" s="4" t="s">
        <v>25</v>
      </c>
      <c r="H843" s="4" t="s">
        <v>25</v>
      </c>
      <c r="I843" s="5">
        <v>44197</v>
      </c>
      <c r="J843" s="6">
        <v>0</v>
      </c>
      <c r="K843" s="77">
        <v>0</v>
      </c>
      <c r="L843" s="6">
        <v>2048.2930000000001</v>
      </c>
      <c r="M843" s="77">
        <v>2048.2930000000001</v>
      </c>
      <c r="N843" s="6">
        <v>2048.2930000000001</v>
      </c>
      <c r="O843" s="77">
        <v>2048.2930000000001</v>
      </c>
      <c r="P843" s="6">
        <v>637</v>
      </c>
      <c r="Q843" s="4" t="s">
        <v>26</v>
      </c>
      <c r="R843" s="4">
        <v>0</v>
      </c>
      <c r="S843" s="4">
        <v>0</v>
      </c>
      <c r="T843" s="4">
        <v>72</v>
      </c>
      <c r="U843" s="4">
        <v>78</v>
      </c>
      <c r="V843" s="77">
        <f>IF(ISERROR(VLOOKUP($S$843,'TAR FIN'!$A$1:$O$95,15,0)),0,VLOOKUP($S$843,'TAR FIN'!$A$1:$O$95,15,0))</f>
        <v>0</v>
      </c>
      <c r="W843" s="77">
        <f>IF(ISERROR(VLOOKUP($T$843,'TAR FIN'!$A$1:$O$95,15,0)),0,VLOOKUP($T$843,'TAR FIN'!$A$1:$O$95,15,0))*(1-0.09)</f>
        <v>409.67290000000003</v>
      </c>
      <c r="X843" s="77">
        <f>IF(ISERROR(VLOOKUP($U$843,'TAR FIN'!$A$1:$O$95,15,0)),0,VLOOKUP($U$843,'TAR FIN'!$A$1:$O$95,15,0))*(1-0.09)</f>
        <v>221.40300000000002</v>
      </c>
      <c r="Y843" s="77"/>
      <c r="Z843" s="77">
        <f ca="1">('TUSD BE'!$AM$53+'TUSD BF'!$AM$53+'TUSD CVA'!$AM$53)*1*(1-0.06)</f>
        <v>476.12865324271826</v>
      </c>
      <c r="AA843" s="77">
        <f>('TE BE'!$AA$41+'TE BF'!$AA$41+'TE CVA'!$AA$41)*1*(1-0.06)</f>
        <v>279.36956391055907</v>
      </c>
      <c r="AB843" s="77">
        <f>(SUBSIDIO!$J$843*SUBSIDIO!$V$843)*(0.09)/(1-0.09)</f>
        <v>0</v>
      </c>
      <c r="AC843" s="77">
        <f>((SUBSIDIO!$L$843*SUBSIDIO!$W$843)+(SUBSIDIO!$N$843*SUBSIDIO!$X$843))*(0.09)/(1-0.09)</f>
        <v>127842.36413130001</v>
      </c>
      <c r="AD843" s="77">
        <f>(SUBSIDIO!$J$843*SUBSIDIO!$Y$843)*(0.06)/(1-0.06)</f>
        <v>0</v>
      </c>
      <c r="AE843" s="77">
        <f ca="1">((SUBSIDIO!$L$843*SUBSIDIO!$Z$843)+(SUBSIDIO!$N$843*SUBSIDIO!$AA$843))*(0.06)/(1-0.06)</f>
        <v>98775.428279204556</v>
      </c>
      <c r="AF843" s="4" t="s">
        <v>842</v>
      </c>
    </row>
    <row r="844" spans="1:32" ht="11.25" customHeight="1" x14ac:dyDescent="0.25">
      <c r="A844" s="4" t="s">
        <v>21</v>
      </c>
      <c r="B844" s="4" t="s">
        <v>41</v>
      </c>
      <c r="C844" s="4" t="s">
        <v>23</v>
      </c>
      <c r="D844" s="4" t="s">
        <v>52</v>
      </c>
      <c r="E844" s="4" t="s">
        <v>53</v>
      </c>
      <c r="F844" s="4" t="s">
        <v>25</v>
      </c>
      <c r="G844" s="4" t="s">
        <v>25</v>
      </c>
      <c r="H844" s="4" t="s">
        <v>25</v>
      </c>
      <c r="I844" s="5">
        <v>44228</v>
      </c>
      <c r="J844" s="6">
        <v>0</v>
      </c>
      <c r="K844" s="77">
        <v>0</v>
      </c>
      <c r="L844" s="6">
        <v>820.86500000000001</v>
      </c>
      <c r="M844" s="77">
        <v>820.86500000000001</v>
      </c>
      <c r="N844" s="6">
        <v>820.86500000000001</v>
      </c>
      <c r="O844" s="77">
        <v>820.86500000000001</v>
      </c>
      <c r="P844" s="6">
        <v>208</v>
      </c>
      <c r="Q844" s="4" t="s">
        <v>26</v>
      </c>
      <c r="R844" s="4">
        <v>0</v>
      </c>
      <c r="S844" s="4">
        <v>0</v>
      </c>
      <c r="T844" s="4">
        <v>72</v>
      </c>
      <c r="U844" s="4">
        <v>78</v>
      </c>
      <c r="V844" s="77">
        <f>IF(ISERROR(VLOOKUP($S$844,'TAR FIN'!$A$1:$O$95,15,0)),0,VLOOKUP($S$844,'TAR FIN'!$A$1:$O$95,15,0))</f>
        <v>0</v>
      </c>
      <c r="W844" s="77">
        <f>IF(ISERROR(VLOOKUP($T$844,'TAR FIN'!$A$1:$O$95,15,0)),0,VLOOKUP($T$844,'TAR FIN'!$A$1:$O$95,15,0))*(1-0.09)</f>
        <v>409.67290000000003</v>
      </c>
      <c r="X844" s="77">
        <f>IF(ISERROR(VLOOKUP($U$844,'TAR FIN'!$A$1:$O$95,15,0)),0,VLOOKUP($U$844,'TAR FIN'!$A$1:$O$95,15,0))*(1-0.09)</f>
        <v>221.40300000000002</v>
      </c>
      <c r="Y844" s="77"/>
      <c r="Z844" s="77">
        <f ca="1">('TUSD BE'!$AM$53+'TUSD BF'!$AM$53+'TUSD CVA'!$AM$53)*1*(1-0.06)</f>
        <v>476.12865324271826</v>
      </c>
      <c r="AA844" s="77">
        <f>('TE BE'!$AA$41+'TE BF'!$AA$41+'TE CVA'!$AA$41)*1*(1-0.06)</f>
        <v>279.36956391055907</v>
      </c>
      <c r="AB844" s="77">
        <f>(SUBSIDIO!$J$844*SUBSIDIO!$V$844)*(0.09)/(1-0.09)</f>
        <v>0</v>
      </c>
      <c r="AC844" s="77">
        <f>((SUBSIDIO!$L$844*SUBSIDIO!$W$844)+(SUBSIDIO!$N$844*SUBSIDIO!$X$844))*(0.09)/(1-0.09)</f>
        <v>51233.550196499993</v>
      </c>
      <c r="AD844" s="77">
        <f>(SUBSIDIO!$J$844*SUBSIDIO!$Y$844)*(0.06)/(1-0.06)</f>
        <v>0</v>
      </c>
      <c r="AE844" s="77">
        <f ca="1">((SUBSIDIO!$L$844*SUBSIDIO!$Z$844)+(SUBSIDIO!$N$844*SUBSIDIO!$AA$844))*(0.06)/(1-0.06)</f>
        <v>39584.811320650537</v>
      </c>
      <c r="AF844" s="4" t="s">
        <v>842</v>
      </c>
    </row>
    <row r="845" spans="1:32" ht="11.25" customHeight="1" x14ac:dyDescent="0.25">
      <c r="A845" s="4" t="s">
        <v>27</v>
      </c>
      <c r="B845" s="4" t="s">
        <v>41</v>
      </c>
      <c r="C845" s="4" t="s">
        <v>23</v>
      </c>
      <c r="D845" s="4" t="s">
        <v>52</v>
      </c>
      <c r="E845" s="4" t="s">
        <v>53</v>
      </c>
      <c r="F845" s="4" t="s">
        <v>25</v>
      </c>
      <c r="G845" s="4" t="s">
        <v>25</v>
      </c>
      <c r="H845" s="4" t="s">
        <v>25</v>
      </c>
      <c r="I845" s="5">
        <v>44228</v>
      </c>
      <c r="J845" s="6">
        <v>0</v>
      </c>
      <c r="K845" s="77">
        <v>0</v>
      </c>
      <c r="L845" s="6">
        <v>0.25800000000000001</v>
      </c>
      <c r="M845" s="77">
        <v>0.25800000000000001</v>
      </c>
      <c r="N845" s="6">
        <v>0.25800000000000001</v>
      </c>
      <c r="O845" s="77">
        <v>0.25800000000000001</v>
      </c>
      <c r="P845" s="6">
        <v>0</v>
      </c>
      <c r="Q845" s="4" t="s">
        <v>26</v>
      </c>
      <c r="R845" s="4">
        <v>0</v>
      </c>
      <c r="S845" s="4">
        <v>0</v>
      </c>
      <c r="T845" s="4">
        <v>72</v>
      </c>
      <c r="U845" s="4">
        <v>78</v>
      </c>
      <c r="V845" s="77">
        <f>IF(ISERROR(VLOOKUP($S$845,'TAR FIN'!$A$1:$O$95,15,0)),0,VLOOKUP($S$845,'TAR FIN'!$A$1:$O$95,15,0))</f>
        <v>0</v>
      </c>
      <c r="W845" s="77">
        <f>IF(ISERROR(VLOOKUP($T$845,'TAR FIN'!$A$1:$O$95,15,0)),0,VLOOKUP($T$845,'TAR FIN'!$A$1:$O$95,15,0))*(1-0.09)</f>
        <v>409.67290000000003</v>
      </c>
      <c r="X845" s="77">
        <f>IF(ISERROR(VLOOKUP($U$845,'TAR FIN'!$A$1:$O$95,15,0)),0,VLOOKUP($U$845,'TAR FIN'!$A$1:$O$95,15,0))*(1-0.09)</f>
        <v>221.40300000000002</v>
      </c>
      <c r="Y845" s="77"/>
      <c r="Z845" s="77">
        <f ca="1">('TUSD BE'!$AM$53+'TUSD BF'!$AM$53+'TUSD CVA'!$AM$53)*1*(1-0.06)</f>
        <v>476.12865324271826</v>
      </c>
      <c r="AA845" s="77">
        <f>('TE BE'!$AA$41+'TE BF'!$AA$41+'TE CVA'!$AA$41)*1*(1-0.06)</f>
        <v>279.36956391055907</v>
      </c>
      <c r="AB845" s="77">
        <f>(SUBSIDIO!$J$845*SUBSIDIO!$V$845)*(0.09)/(1-0.09)</f>
        <v>0</v>
      </c>
      <c r="AC845" s="77">
        <f>((SUBSIDIO!$L$845*SUBSIDIO!$W$845)+(SUBSIDIO!$N$845*SUBSIDIO!$X$845))*(0.09)/(1-0.09)</f>
        <v>16.1028378</v>
      </c>
      <c r="AD845" s="77">
        <f>(SUBSIDIO!$J$845*SUBSIDIO!$Y$845)*(0.06)/(1-0.06)</f>
        <v>0</v>
      </c>
      <c r="AE845" s="77">
        <f ca="1">((SUBSIDIO!$L$845*SUBSIDIO!$Z$845)+(SUBSIDIO!$N$845*SUBSIDIO!$AA$845))*(0.06)/(1-0.06)</f>
        <v>12.44160893780078</v>
      </c>
      <c r="AF845" s="4" t="s">
        <v>842</v>
      </c>
    </row>
    <row r="846" spans="1:32" ht="11.25" customHeight="1" x14ac:dyDescent="0.25">
      <c r="A846" s="4" t="s">
        <v>28</v>
      </c>
      <c r="B846" s="4" t="s">
        <v>41</v>
      </c>
      <c r="C846" s="4" t="s">
        <v>23</v>
      </c>
      <c r="D846" s="4" t="s">
        <v>52</v>
      </c>
      <c r="E846" s="4" t="s">
        <v>53</v>
      </c>
      <c r="F846" s="4" t="s">
        <v>25</v>
      </c>
      <c r="G846" s="4" t="s">
        <v>25</v>
      </c>
      <c r="H846" s="4" t="s">
        <v>25</v>
      </c>
      <c r="I846" s="5">
        <v>44228</v>
      </c>
      <c r="J846" s="6">
        <v>0</v>
      </c>
      <c r="K846" s="77">
        <v>0</v>
      </c>
      <c r="L846" s="6">
        <v>1974.415</v>
      </c>
      <c r="M846" s="77">
        <v>1974.415</v>
      </c>
      <c r="N846" s="6">
        <v>1974.415</v>
      </c>
      <c r="O846" s="77">
        <v>1974.415</v>
      </c>
      <c r="P846" s="6">
        <v>638</v>
      </c>
      <c r="Q846" s="4" t="s">
        <v>26</v>
      </c>
      <c r="R846" s="4">
        <v>0</v>
      </c>
      <c r="S846" s="4">
        <v>0</v>
      </c>
      <c r="T846" s="4">
        <v>72</v>
      </c>
      <c r="U846" s="4">
        <v>78</v>
      </c>
      <c r="V846" s="77">
        <f>IF(ISERROR(VLOOKUP($S$846,'TAR FIN'!$A$1:$O$95,15,0)),0,VLOOKUP($S$846,'TAR FIN'!$A$1:$O$95,15,0))</f>
        <v>0</v>
      </c>
      <c r="W846" s="77">
        <f>IF(ISERROR(VLOOKUP($T$846,'TAR FIN'!$A$1:$O$95,15,0)),0,VLOOKUP($T$846,'TAR FIN'!$A$1:$O$95,15,0))*(1-0.09)</f>
        <v>409.67290000000003</v>
      </c>
      <c r="X846" s="77">
        <f>IF(ISERROR(VLOOKUP($U$846,'TAR FIN'!$A$1:$O$95,15,0)),0,VLOOKUP($U$846,'TAR FIN'!$A$1:$O$95,15,0))*(1-0.09)</f>
        <v>221.40300000000002</v>
      </c>
      <c r="Y846" s="77"/>
      <c r="Z846" s="77">
        <f ca="1">('TUSD BE'!$AM$53+'TUSD BF'!$AM$53+'TUSD CVA'!$AM$53)*1*(1-0.06)</f>
        <v>476.12865324271826</v>
      </c>
      <c r="AA846" s="77">
        <f>('TE BE'!$AA$41+'TE BF'!$AA$41+'TE CVA'!$AA$41)*1*(1-0.06)</f>
        <v>279.36956391055907</v>
      </c>
      <c r="AB846" s="77">
        <f>(SUBSIDIO!$J$846*SUBSIDIO!$V$846)*(0.09)/(1-0.09)</f>
        <v>0</v>
      </c>
      <c r="AC846" s="77">
        <f>((SUBSIDIO!$L$846*SUBSIDIO!$W$846)+(SUBSIDIO!$N$846*SUBSIDIO!$X$846))*(0.09)/(1-0.09)</f>
        <v>123231.3352515</v>
      </c>
      <c r="AD846" s="77">
        <f>(SUBSIDIO!$J$846*SUBSIDIO!$Y$846)*(0.06)/(1-0.06)</f>
        <v>0</v>
      </c>
      <c r="AE846" s="77">
        <f ca="1">((SUBSIDIO!$L$846*SUBSIDIO!$Z$846)+(SUBSIDIO!$N$846*SUBSIDIO!$AA$846))*(0.06)/(1-0.06)</f>
        <v>95212.788026852431</v>
      </c>
      <c r="AF846" s="4" t="s">
        <v>842</v>
      </c>
    </row>
    <row r="847" spans="1:32" ht="11.25" customHeight="1" x14ac:dyDescent="0.25">
      <c r="A847" s="4" t="s">
        <v>29</v>
      </c>
      <c r="B847" s="4" t="s">
        <v>41</v>
      </c>
      <c r="C847" s="4" t="s">
        <v>23</v>
      </c>
      <c r="D847" s="4" t="s">
        <v>52</v>
      </c>
      <c r="E847" s="4" t="s">
        <v>53</v>
      </c>
      <c r="F847" s="4" t="s">
        <v>25</v>
      </c>
      <c r="G847" s="4" t="s">
        <v>25</v>
      </c>
      <c r="H847" s="4" t="s">
        <v>25</v>
      </c>
      <c r="I847" s="5">
        <v>44228</v>
      </c>
      <c r="J847" s="6">
        <v>0</v>
      </c>
      <c r="K847" s="77">
        <v>0</v>
      </c>
      <c r="L847" s="6">
        <v>-19.899999999999999</v>
      </c>
      <c r="M847" s="77">
        <v>-19.899999999999999</v>
      </c>
      <c r="N847" s="6">
        <v>-19.899999999999999</v>
      </c>
      <c r="O847" s="77">
        <v>-19.899999999999999</v>
      </c>
      <c r="P847" s="6">
        <v>0</v>
      </c>
      <c r="Q847" s="4" t="s">
        <v>26</v>
      </c>
      <c r="R847" s="4">
        <v>0</v>
      </c>
      <c r="S847" s="4">
        <v>0</v>
      </c>
      <c r="T847" s="4">
        <v>72</v>
      </c>
      <c r="U847" s="4">
        <v>78</v>
      </c>
      <c r="V847" s="77">
        <f>IF(ISERROR(VLOOKUP($S$847,'TAR FIN'!$A$1:$O$95,15,0)),0,VLOOKUP($S$847,'TAR FIN'!$A$1:$O$95,15,0))</f>
        <v>0</v>
      </c>
      <c r="W847" s="77">
        <f>IF(ISERROR(VLOOKUP($T$847,'TAR FIN'!$A$1:$O$95,15,0)),0,VLOOKUP($T$847,'TAR FIN'!$A$1:$O$95,15,0))*(1-0.09)</f>
        <v>409.67290000000003</v>
      </c>
      <c r="X847" s="77">
        <f>IF(ISERROR(VLOOKUP($U$847,'TAR FIN'!$A$1:$O$95,15,0)),0,VLOOKUP($U$847,'TAR FIN'!$A$1:$O$95,15,0))*(1-0.09)</f>
        <v>221.40300000000002</v>
      </c>
      <c r="Y847" s="77"/>
      <c r="Z847" s="77">
        <f ca="1">('TUSD BE'!$AM$53+'TUSD BF'!$AM$53+'TUSD CVA'!$AM$53)*1*(1-0.06)</f>
        <v>476.12865324271826</v>
      </c>
      <c r="AA847" s="77">
        <f>('TE BE'!$AA$41+'TE BF'!$AA$41+'TE CVA'!$AA$41)*1*(1-0.06)</f>
        <v>279.36956391055907</v>
      </c>
      <c r="AB847" s="77">
        <f>(SUBSIDIO!$J$847*SUBSIDIO!$V$847)*(0.09)/(1-0.09)</f>
        <v>0</v>
      </c>
      <c r="AC847" s="77">
        <f>((SUBSIDIO!$L$847*SUBSIDIO!$W$847)+(SUBSIDIO!$N$847*SUBSIDIO!$X$847))*(0.09)/(1-0.09)</f>
        <v>-1242.0405900000001</v>
      </c>
      <c r="AD847" s="77">
        <f>(SUBSIDIO!$J$847*SUBSIDIO!$Y$847)*(0.06)/(1-0.06)</f>
        <v>0</v>
      </c>
      <c r="AE847" s="77">
        <f ca="1">((SUBSIDIO!$L$847*SUBSIDIO!$Z$847)+(SUBSIDIO!$N$847*SUBSIDIO!$AA$847))*(0.06)/(1-0.06)</f>
        <v>-959.64348008618424</v>
      </c>
      <c r="AF847" s="4" t="s">
        <v>842</v>
      </c>
    </row>
    <row r="848" spans="1:32" ht="11.25" customHeight="1" x14ac:dyDescent="0.25">
      <c r="A848" s="4" t="s">
        <v>21</v>
      </c>
      <c r="B848" s="4" t="s">
        <v>41</v>
      </c>
      <c r="C848" s="4" t="s">
        <v>23</v>
      </c>
      <c r="D848" s="4" t="s">
        <v>52</v>
      </c>
      <c r="E848" s="4" t="s">
        <v>53</v>
      </c>
      <c r="F848" s="4" t="s">
        <v>25</v>
      </c>
      <c r="G848" s="4" t="s">
        <v>25</v>
      </c>
      <c r="H848" s="4" t="s">
        <v>25</v>
      </c>
      <c r="I848" s="5">
        <v>44256</v>
      </c>
      <c r="J848" s="6">
        <v>0</v>
      </c>
      <c r="K848" s="77">
        <v>0</v>
      </c>
      <c r="L848" s="6">
        <v>816.702</v>
      </c>
      <c r="M848" s="77">
        <v>816.702</v>
      </c>
      <c r="N848" s="6">
        <v>816.702</v>
      </c>
      <c r="O848" s="77">
        <v>816.702</v>
      </c>
      <c r="P848" s="6">
        <v>213</v>
      </c>
      <c r="Q848" s="4" t="s">
        <v>26</v>
      </c>
      <c r="R848" s="4">
        <v>0</v>
      </c>
      <c r="S848" s="4">
        <v>0</v>
      </c>
      <c r="T848" s="4">
        <v>72</v>
      </c>
      <c r="U848" s="4">
        <v>78</v>
      </c>
      <c r="V848" s="77">
        <f>IF(ISERROR(VLOOKUP($S$848,'TAR FIN'!$A$1:$O$95,15,0)),0,VLOOKUP($S$848,'TAR FIN'!$A$1:$O$95,15,0))</f>
        <v>0</v>
      </c>
      <c r="W848" s="77">
        <f>IF(ISERROR(VLOOKUP($T$848,'TAR FIN'!$A$1:$O$95,15,0)),0,VLOOKUP($T$848,'TAR FIN'!$A$1:$O$95,15,0))*(1-0.09)</f>
        <v>409.67290000000003</v>
      </c>
      <c r="X848" s="77">
        <f>IF(ISERROR(VLOOKUP($U$848,'TAR FIN'!$A$1:$O$95,15,0)),0,VLOOKUP($U$848,'TAR FIN'!$A$1:$O$95,15,0))*(1-0.09)</f>
        <v>221.40300000000002</v>
      </c>
      <c r="Y848" s="77"/>
      <c r="Z848" s="77">
        <f ca="1">('TUSD BE'!$AM$53+'TUSD BF'!$AM$53+'TUSD CVA'!$AM$53)*1*(1-0.06)</f>
        <v>476.12865324271826</v>
      </c>
      <c r="AA848" s="77">
        <f>('TE BE'!$AA$41+'TE BF'!$AA$41+'TE CVA'!$AA$41)*1*(1-0.06)</f>
        <v>279.36956391055907</v>
      </c>
      <c r="AB848" s="77">
        <f>(SUBSIDIO!$J$848*SUBSIDIO!$V$848)*(0.09)/(1-0.09)</f>
        <v>0</v>
      </c>
      <c r="AC848" s="77">
        <f>((SUBSIDIO!$L$848*SUBSIDIO!$W$848)+(SUBSIDIO!$N$848*SUBSIDIO!$X$848))*(0.09)/(1-0.09)</f>
        <v>50973.720298199994</v>
      </c>
      <c r="AD848" s="77">
        <f>(SUBSIDIO!$J$848*SUBSIDIO!$Y$848)*(0.06)/(1-0.06)</f>
        <v>0</v>
      </c>
      <c r="AE848" s="77">
        <f ca="1">((SUBSIDIO!$L$848*SUBSIDIO!$Z$848)+(SUBSIDIO!$N$848*SUBSIDIO!$AA$848))*(0.06)/(1-0.06)</f>
        <v>39384.057762479737</v>
      </c>
      <c r="AF848" s="4" t="s">
        <v>842</v>
      </c>
    </row>
    <row r="849" spans="1:32" ht="11.25" customHeight="1" x14ac:dyDescent="0.25">
      <c r="A849" s="4" t="s">
        <v>28</v>
      </c>
      <c r="B849" s="4" t="s">
        <v>41</v>
      </c>
      <c r="C849" s="4" t="s">
        <v>23</v>
      </c>
      <c r="D849" s="4" t="s">
        <v>52</v>
      </c>
      <c r="E849" s="4" t="s">
        <v>53</v>
      </c>
      <c r="F849" s="4" t="s">
        <v>25</v>
      </c>
      <c r="G849" s="4" t="s">
        <v>25</v>
      </c>
      <c r="H849" s="4" t="s">
        <v>25</v>
      </c>
      <c r="I849" s="5">
        <v>44256</v>
      </c>
      <c r="J849" s="6">
        <v>0</v>
      </c>
      <c r="K849" s="77">
        <v>0</v>
      </c>
      <c r="L849" s="6">
        <v>2085.8470000000002</v>
      </c>
      <c r="M849" s="77">
        <v>2085.8470000000002</v>
      </c>
      <c r="N849" s="6">
        <v>2085.8470000000002</v>
      </c>
      <c r="O849" s="77">
        <v>2085.8470000000002</v>
      </c>
      <c r="P849" s="6">
        <v>639</v>
      </c>
      <c r="Q849" s="4" t="s">
        <v>26</v>
      </c>
      <c r="R849" s="4">
        <v>0</v>
      </c>
      <c r="S849" s="4">
        <v>0</v>
      </c>
      <c r="T849" s="4">
        <v>72</v>
      </c>
      <c r="U849" s="4">
        <v>78</v>
      </c>
      <c r="V849" s="77">
        <f>IF(ISERROR(VLOOKUP($S$849,'TAR FIN'!$A$1:$O$95,15,0)),0,VLOOKUP($S$849,'TAR FIN'!$A$1:$O$95,15,0))</f>
        <v>0</v>
      </c>
      <c r="W849" s="77">
        <f>IF(ISERROR(VLOOKUP($T$849,'TAR FIN'!$A$1:$O$95,15,0)),0,VLOOKUP($T$849,'TAR FIN'!$A$1:$O$95,15,0))*(1-0.09)</f>
        <v>409.67290000000003</v>
      </c>
      <c r="X849" s="77">
        <f>IF(ISERROR(VLOOKUP($U$849,'TAR FIN'!$A$1:$O$95,15,0)),0,VLOOKUP($U$849,'TAR FIN'!$A$1:$O$95,15,0))*(1-0.09)</f>
        <v>221.40300000000002</v>
      </c>
      <c r="Y849" s="77"/>
      <c r="Z849" s="77">
        <f ca="1">('TUSD BE'!$AM$53+'TUSD BF'!$AM$53+'TUSD CVA'!$AM$53)*1*(1-0.06)</f>
        <v>476.12865324271826</v>
      </c>
      <c r="AA849" s="77">
        <f>('TE BE'!$AA$41+'TE BF'!$AA$41+'TE CVA'!$AA$41)*1*(1-0.06)</f>
        <v>279.36956391055907</v>
      </c>
      <c r="AB849" s="77">
        <f>(SUBSIDIO!$J$849*SUBSIDIO!$V$849)*(0.09)/(1-0.09)</f>
        <v>0</v>
      </c>
      <c r="AC849" s="77">
        <f>((SUBSIDIO!$L$849*SUBSIDIO!$W$849)+(SUBSIDIO!$N$849*SUBSIDIO!$X$849))*(0.09)/(1-0.09)</f>
        <v>130186.26324270002</v>
      </c>
      <c r="AD849" s="77">
        <f>(SUBSIDIO!$J$849*SUBSIDIO!$Y$849)*(0.06)/(1-0.06)</f>
        <v>0</v>
      </c>
      <c r="AE849" s="77">
        <f ca="1">((SUBSIDIO!$L$849*SUBSIDIO!$Z$849)+(SUBSIDIO!$N$849*SUBSIDIO!$AA$849))*(0.06)/(1-0.06)</f>
        <v>100586.40572901141</v>
      </c>
      <c r="AF849" s="4" t="s">
        <v>842</v>
      </c>
    </row>
    <row r="850" spans="1:32" ht="11.25" customHeight="1" x14ac:dyDescent="0.25">
      <c r="A850" s="4" t="s">
        <v>29</v>
      </c>
      <c r="B850" s="4" t="s">
        <v>41</v>
      </c>
      <c r="C850" s="4" t="s">
        <v>23</v>
      </c>
      <c r="D850" s="4" t="s">
        <v>52</v>
      </c>
      <c r="E850" s="4" t="s">
        <v>53</v>
      </c>
      <c r="F850" s="4" t="s">
        <v>25</v>
      </c>
      <c r="G850" s="4" t="s">
        <v>25</v>
      </c>
      <c r="H850" s="4" t="s">
        <v>25</v>
      </c>
      <c r="I850" s="5">
        <v>44256</v>
      </c>
      <c r="J850" s="6">
        <v>0</v>
      </c>
      <c r="K850" s="77">
        <v>0</v>
      </c>
      <c r="L850" s="6">
        <v>-36.567999999999998</v>
      </c>
      <c r="M850" s="77">
        <v>-36.567999999999998</v>
      </c>
      <c r="N850" s="6">
        <v>-36.567999999999998</v>
      </c>
      <c r="O850" s="77">
        <v>-36.567999999999998</v>
      </c>
      <c r="P850" s="6">
        <v>0</v>
      </c>
      <c r="Q850" s="4" t="s">
        <v>26</v>
      </c>
      <c r="R850" s="4">
        <v>0</v>
      </c>
      <c r="S850" s="4">
        <v>0</v>
      </c>
      <c r="T850" s="4">
        <v>72</v>
      </c>
      <c r="U850" s="4">
        <v>78</v>
      </c>
      <c r="V850" s="77">
        <f>IF(ISERROR(VLOOKUP($S$850,'TAR FIN'!$A$1:$O$95,15,0)),0,VLOOKUP($S$850,'TAR FIN'!$A$1:$O$95,15,0))</f>
        <v>0</v>
      </c>
      <c r="W850" s="77">
        <f>IF(ISERROR(VLOOKUP($T$850,'TAR FIN'!$A$1:$O$95,15,0)),0,VLOOKUP($T$850,'TAR FIN'!$A$1:$O$95,15,0))*(1-0.09)</f>
        <v>409.67290000000003</v>
      </c>
      <c r="X850" s="77">
        <f>IF(ISERROR(VLOOKUP($U$850,'TAR FIN'!$A$1:$O$95,15,0)),0,VLOOKUP($U$850,'TAR FIN'!$A$1:$O$95,15,0))*(1-0.09)</f>
        <v>221.40300000000002</v>
      </c>
      <c r="Y850" s="77"/>
      <c r="Z850" s="77">
        <f ca="1">('TUSD BE'!$AM$53+'TUSD BF'!$AM$53+'TUSD CVA'!$AM$53)*1*(1-0.06)</f>
        <v>476.12865324271826</v>
      </c>
      <c r="AA850" s="77">
        <f>('TE BE'!$AA$41+'TE BF'!$AA$41+'TE CVA'!$AA$41)*1*(1-0.06)</f>
        <v>279.36956391055907</v>
      </c>
      <c r="AB850" s="77">
        <f>(SUBSIDIO!$J$850*SUBSIDIO!$V$850)*(0.09)/(1-0.09)</f>
        <v>0</v>
      </c>
      <c r="AC850" s="77">
        <f>((SUBSIDIO!$L$850*SUBSIDIO!$W$850)+(SUBSIDIO!$N$850*SUBSIDIO!$X$850))*(0.09)/(1-0.09)</f>
        <v>-2282.3588087999997</v>
      </c>
      <c r="AD850" s="77">
        <f>(SUBSIDIO!$J$850*SUBSIDIO!$Y$850)*(0.06)/(1-0.06)</f>
        <v>0</v>
      </c>
      <c r="AE850" s="77">
        <f ca="1">((SUBSIDIO!$L$850*SUBSIDIO!$Z$850)+(SUBSIDIO!$N$850*SUBSIDIO!$AA$850))*(0.06)/(1-0.06)</f>
        <v>-1763.4292854166624</v>
      </c>
      <c r="AF850" s="4" t="s">
        <v>842</v>
      </c>
    </row>
    <row r="851" spans="1:32" ht="11.25" customHeight="1" x14ac:dyDescent="0.25">
      <c r="A851" s="4" t="s">
        <v>21</v>
      </c>
      <c r="B851" s="4" t="s">
        <v>41</v>
      </c>
      <c r="C851" s="4" t="s">
        <v>23</v>
      </c>
      <c r="D851" s="4" t="s">
        <v>52</v>
      </c>
      <c r="E851" s="4" t="s">
        <v>53</v>
      </c>
      <c r="F851" s="4" t="s">
        <v>25</v>
      </c>
      <c r="G851" s="4" t="s">
        <v>25</v>
      </c>
      <c r="H851" s="4" t="s">
        <v>25</v>
      </c>
      <c r="I851" s="5">
        <v>44287</v>
      </c>
      <c r="J851" s="6">
        <v>0</v>
      </c>
      <c r="K851" s="77">
        <v>0</v>
      </c>
      <c r="L851" s="6">
        <v>862.18600000000004</v>
      </c>
      <c r="M851" s="77">
        <v>862.18600000000004</v>
      </c>
      <c r="N851" s="6">
        <v>862.18600000000004</v>
      </c>
      <c r="O851" s="77">
        <v>862.18600000000004</v>
      </c>
      <c r="P851" s="6">
        <v>226</v>
      </c>
      <c r="Q851" s="4" t="s">
        <v>26</v>
      </c>
      <c r="R851" s="4">
        <v>0</v>
      </c>
      <c r="S851" s="4">
        <v>0</v>
      </c>
      <c r="T851" s="4">
        <v>72</v>
      </c>
      <c r="U851" s="4">
        <v>78</v>
      </c>
      <c r="V851" s="77">
        <f>IF(ISERROR(VLOOKUP($S$851,'TAR FIN'!$A$1:$O$95,15,0)),0,VLOOKUP($S$851,'TAR FIN'!$A$1:$O$95,15,0))</f>
        <v>0</v>
      </c>
      <c r="W851" s="77">
        <f>IF(ISERROR(VLOOKUP($T$851,'TAR FIN'!$A$1:$O$95,15,0)),0,VLOOKUP($T$851,'TAR FIN'!$A$1:$O$95,15,0))*(1-0.09)</f>
        <v>409.67290000000003</v>
      </c>
      <c r="X851" s="77">
        <f>IF(ISERROR(VLOOKUP($U$851,'TAR FIN'!$A$1:$O$95,15,0)),0,VLOOKUP($U$851,'TAR FIN'!$A$1:$O$95,15,0))*(1-0.09)</f>
        <v>221.40300000000002</v>
      </c>
      <c r="Y851" s="77"/>
      <c r="Z851" s="77">
        <f ca="1">('TUSD BE'!$AM$53+'TUSD BF'!$AM$53+'TUSD CVA'!$AM$53)*1*(1-0.06)</f>
        <v>476.12865324271826</v>
      </c>
      <c r="AA851" s="77">
        <f>('TE BE'!$AA$41+'TE BF'!$AA$41+'TE CVA'!$AA$41)*1*(1-0.06)</f>
        <v>279.36956391055907</v>
      </c>
      <c r="AB851" s="77">
        <f>(SUBSIDIO!$J$851*SUBSIDIO!$V$851)*(0.09)/(1-0.09)</f>
        <v>0</v>
      </c>
      <c r="AC851" s="77">
        <f>((SUBSIDIO!$L$851*SUBSIDIO!$W$851)+(SUBSIDIO!$N$851*SUBSIDIO!$X$851))*(0.09)/(1-0.09)</f>
        <v>53812.563222600002</v>
      </c>
      <c r="AD851" s="77">
        <f>(SUBSIDIO!$J$851*SUBSIDIO!$Y$851)*(0.06)/(1-0.06)</f>
        <v>0</v>
      </c>
      <c r="AE851" s="77">
        <f ca="1">((SUBSIDIO!$L$851*SUBSIDIO!$Z$851)+(SUBSIDIO!$N$851*SUBSIDIO!$AA$851))*(0.06)/(1-0.06)</f>
        <v>41577.445905607376</v>
      </c>
      <c r="AF851" s="4" t="s">
        <v>842</v>
      </c>
    </row>
    <row r="852" spans="1:32" ht="11.25" customHeight="1" x14ac:dyDescent="0.25">
      <c r="A852" s="4" t="s">
        <v>27</v>
      </c>
      <c r="B852" s="4" t="s">
        <v>41</v>
      </c>
      <c r="C852" s="4" t="s">
        <v>23</v>
      </c>
      <c r="D852" s="4" t="s">
        <v>52</v>
      </c>
      <c r="E852" s="4" t="s">
        <v>53</v>
      </c>
      <c r="F852" s="4" t="s">
        <v>25</v>
      </c>
      <c r="G852" s="4" t="s">
        <v>25</v>
      </c>
      <c r="H852" s="4" t="s">
        <v>25</v>
      </c>
      <c r="I852" s="5">
        <v>44287</v>
      </c>
      <c r="J852" s="6">
        <v>0</v>
      </c>
      <c r="K852" s="77">
        <v>0</v>
      </c>
      <c r="L852" s="6">
        <v>-0.1</v>
      </c>
      <c r="M852" s="77">
        <v>-0.1</v>
      </c>
      <c r="N852" s="6">
        <v>-0.1</v>
      </c>
      <c r="O852" s="77">
        <v>-0.1</v>
      </c>
      <c r="P852" s="6">
        <v>0</v>
      </c>
      <c r="Q852" s="4" t="s">
        <v>26</v>
      </c>
      <c r="R852" s="4">
        <v>0</v>
      </c>
      <c r="S852" s="4">
        <v>0</v>
      </c>
      <c r="T852" s="4">
        <v>72</v>
      </c>
      <c r="U852" s="4">
        <v>78</v>
      </c>
      <c r="V852" s="77">
        <f>IF(ISERROR(VLOOKUP($S$852,'TAR FIN'!$A$1:$O$95,15,0)),0,VLOOKUP($S$852,'TAR FIN'!$A$1:$O$95,15,0))</f>
        <v>0</v>
      </c>
      <c r="W852" s="77">
        <f>IF(ISERROR(VLOOKUP($T$852,'TAR FIN'!$A$1:$O$95,15,0)),0,VLOOKUP($T$852,'TAR FIN'!$A$1:$O$95,15,0))*(1-0.09)</f>
        <v>409.67290000000003</v>
      </c>
      <c r="X852" s="77">
        <f>IF(ISERROR(VLOOKUP($U$852,'TAR FIN'!$A$1:$O$95,15,0)),0,VLOOKUP($U$852,'TAR FIN'!$A$1:$O$95,15,0))*(1-0.09)</f>
        <v>221.40300000000002</v>
      </c>
      <c r="Y852" s="77"/>
      <c r="Z852" s="77">
        <f ca="1">('TUSD BE'!$AM$53+'TUSD BF'!$AM$53+'TUSD CVA'!$AM$53)*1*(1-0.06)</f>
        <v>476.12865324271826</v>
      </c>
      <c r="AA852" s="77">
        <f>('TE BE'!$AA$41+'TE BF'!$AA$41+'TE CVA'!$AA$41)*1*(1-0.06)</f>
        <v>279.36956391055907</v>
      </c>
      <c r="AB852" s="77">
        <f>(SUBSIDIO!$J$852*SUBSIDIO!$V$852)*(0.09)/(1-0.09)</f>
        <v>0</v>
      </c>
      <c r="AC852" s="77">
        <f>((SUBSIDIO!$L$852*SUBSIDIO!$W$852)+(SUBSIDIO!$N$852*SUBSIDIO!$X$852))*(0.09)/(1-0.09)</f>
        <v>-6.241410000000001</v>
      </c>
      <c r="AD852" s="77">
        <f>(SUBSIDIO!$J$852*SUBSIDIO!$Y$852)*(0.06)/(1-0.06)</f>
        <v>0</v>
      </c>
      <c r="AE852" s="77">
        <f ca="1">((SUBSIDIO!$L$852*SUBSIDIO!$Z$852)+(SUBSIDIO!$N$852*SUBSIDIO!$AA$852))*(0.06)/(1-0.06)</f>
        <v>-4.8223290456592176</v>
      </c>
      <c r="AF852" s="4" t="s">
        <v>842</v>
      </c>
    </row>
    <row r="853" spans="1:32" ht="11.25" customHeight="1" x14ac:dyDescent="0.25">
      <c r="A853" s="4" t="s">
        <v>28</v>
      </c>
      <c r="B853" s="4" t="s">
        <v>41</v>
      </c>
      <c r="C853" s="4" t="s">
        <v>23</v>
      </c>
      <c r="D853" s="4" t="s">
        <v>52</v>
      </c>
      <c r="E853" s="4" t="s">
        <v>53</v>
      </c>
      <c r="F853" s="4" t="s">
        <v>25</v>
      </c>
      <c r="G853" s="4" t="s">
        <v>25</v>
      </c>
      <c r="H853" s="4" t="s">
        <v>25</v>
      </c>
      <c r="I853" s="5">
        <v>44287</v>
      </c>
      <c r="J853" s="6">
        <v>0</v>
      </c>
      <c r="K853" s="77">
        <v>0</v>
      </c>
      <c r="L853" s="6">
        <v>2482.41</v>
      </c>
      <c r="M853" s="77">
        <v>2482.41</v>
      </c>
      <c r="N853" s="6">
        <v>2482.41</v>
      </c>
      <c r="O853" s="77">
        <v>2482.41</v>
      </c>
      <c r="P853" s="6">
        <v>955</v>
      </c>
      <c r="Q853" s="4" t="s">
        <v>26</v>
      </c>
      <c r="R853" s="4">
        <v>0</v>
      </c>
      <c r="S853" s="4">
        <v>0</v>
      </c>
      <c r="T853" s="4">
        <v>72</v>
      </c>
      <c r="U853" s="4">
        <v>78</v>
      </c>
      <c r="V853" s="77">
        <f>IF(ISERROR(VLOOKUP($S$853,'TAR FIN'!$A$1:$O$95,15,0)),0,VLOOKUP($S$853,'TAR FIN'!$A$1:$O$95,15,0))</f>
        <v>0</v>
      </c>
      <c r="W853" s="77">
        <f>IF(ISERROR(VLOOKUP($T$853,'TAR FIN'!$A$1:$O$95,15,0)),0,VLOOKUP($T$853,'TAR FIN'!$A$1:$O$95,15,0))*(1-0.09)</f>
        <v>409.67290000000003</v>
      </c>
      <c r="X853" s="77">
        <f>IF(ISERROR(VLOOKUP($U$853,'TAR FIN'!$A$1:$O$95,15,0)),0,VLOOKUP($U$853,'TAR FIN'!$A$1:$O$95,15,0))*(1-0.09)</f>
        <v>221.40300000000002</v>
      </c>
      <c r="Y853" s="77"/>
      <c r="Z853" s="77">
        <f ca="1">('TUSD BE'!$AM$53+'TUSD BF'!$AM$53+'TUSD CVA'!$AM$53)*1*(1-0.06)</f>
        <v>476.12865324271826</v>
      </c>
      <c r="AA853" s="77">
        <f>('TE BE'!$AA$41+'TE BF'!$AA$41+'TE CVA'!$AA$41)*1*(1-0.06)</f>
        <v>279.36956391055907</v>
      </c>
      <c r="AB853" s="77">
        <f>(SUBSIDIO!$J$853*SUBSIDIO!$V$853)*(0.09)/(1-0.09)</f>
        <v>0</v>
      </c>
      <c r="AC853" s="77">
        <f>((SUBSIDIO!$L$853*SUBSIDIO!$W$853)+(SUBSIDIO!$N$853*SUBSIDIO!$X$853))*(0.09)/(1-0.09)</f>
        <v>154937.385981</v>
      </c>
      <c r="AD853" s="77">
        <f>(SUBSIDIO!$J$853*SUBSIDIO!$Y$853)*(0.06)/(1-0.06)</f>
        <v>0</v>
      </c>
      <c r="AE853" s="77">
        <f ca="1">((SUBSIDIO!$L$853*SUBSIDIO!$Z$853)+(SUBSIDIO!$N$853*SUBSIDIO!$AA$853))*(0.06)/(1-0.06)</f>
        <v>119709.97846234898</v>
      </c>
      <c r="AF853" s="4" t="s">
        <v>842</v>
      </c>
    </row>
    <row r="854" spans="1:32" ht="11.25" customHeight="1" x14ac:dyDescent="0.25">
      <c r="A854" s="4" t="s">
        <v>29</v>
      </c>
      <c r="B854" s="4" t="s">
        <v>41</v>
      </c>
      <c r="C854" s="4" t="s">
        <v>23</v>
      </c>
      <c r="D854" s="4" t="s">
        <v>52</v>
      </c>
      <c r="E854" s="4" t="s">
        <v>53</v>
      </c>
      <c r="F854" s="4" t="s">
        <v>25</v>
      </c>
      <c r="G854" s="4" t="s">
        <v>25</v>
      </c>
      <c r="H854" s="4" t="s">
        <v>25</v>
      </c>
      <c r="I854" s="5">
        <v>44287</v>
      </c>
      <c r="J854" s="6">
        <v>0</v>
      </c>
      <c r="K854" s="77">
        <v>0</v>
      </c>
      <c r="L854" s="6">
        <v>-20.713000000000001</v>
      </c>
      <c r="M854" s="77">
        <v>-20.713000000000001</v>
      </c>
      <c r="N854" s="6">
        <v>-20.713000000000001</v>
      </c>
      <c r="O854" s="77">
        <v>-20.713000000000001</v>
      </c>
      <c r="P854" s="6">
        <v>0</v>
      </c>
      <c r="Q854" s="4" t="s">
        <v>26</v>
      </c>
      <c r="R854" s="4">
        <v>0</v>
      </c>
      <c r="S854" s="4">
        <v>0</v>
      </c>
      <c r="T854" s="4">
        <v>72</v>
      </c>
      <c r="U854" s="4">
        <v>78</v>
      </c>
      <c r="V854" s="77">
        <f>IF(ISERROR(VLOOKUP($S$854,'TAR FIN'!$A$1:$O$95,15,0)),0,VLOOKUP($S$854,'TAR FIN'!$A$1:$O$95,15,0))</f>
        <v>0</v>
      </c>
      <c r="W854" s="77">
        <f>IF(ISERROR(VLOOKUP($T$854,'TAR FIN'!$A$1:$O$95,15,0)),0,VLOOKUP($T$854,'TAR FIN'!$A$1:$O$95,15,0))*(1-0.09)</f>
        <v>409.67290000000003</v>
      </c>
      <c r="X854" s="77">
        <f>IF(ISERROR(VLOOKUP($U$854,'TAR FIN'!$A$1:$O$95,15,0)),0,VLOOKUP($U$854,'TAR FIN'!$A$1:$O$95,15,0))*(1-0.09)</f>
        <v>221.40300000000002</v>
      </c>
      <c r="Y854" s="77"/>
      <c r="Z854" s="77">
        <f ca="1">('TUSD BE'!$AM$53+'TUSD BF'!$AM$53+'TUSD CVA'!$AM$53)*1*(1-0.06)</f>
        <v>476.12865324271826</v>
      </c>
      <c r="AA854" s="77">
        <f>('TE BE'!$AA$41+'TE BF'!$AA$41+'TE CVA'!$AA$41)*1*(1-0.06)</f>
        <v>279.36956391055907</v>
      </c>
      <c r="AB854" s="77">
        <f>(SUBSIDIO!$J$854*SUBSIDIO!$V$854)*(0.09)/(1-0.09)</f>
        <v>0</v>
      </c>
      <c r="AC854" s="77">
        <f>((SUBSIDIO!$L$854*SUBSIDIO!$W$854)+(SUBSIDIO!$N$854*SUBSIDIO!$X$854))*(0.09)/(1-0.09)</f>
        <v>-1292.7832533000001</v>
      </c>
      <c r="AD854" s="77">
        <f>(SUBSIDIO!$J$854*SUBSIDIO!$Y$854)*(0.06)/(1-0.06)</f>
        <v>0</v>
      </c>
      <c r="AE854" s="77">
        <f ca="1">((SUBSIDIO!$L$854*SUBSIDIO!$Z$854)+(SUBSIDIO!$N$854*SUBSIDIO!$AA$854))*(0.06)/(1-0.06)</f>
        <v>-998.84901522739358</v>
      </c>
      <c r="AF854" s="4" t="s">
        <v>842</v>
      </c>
    </row>
    <row r="855" spans="1:32" ht="11.25" customHeight="1" x14ac:dyDescent="0.25">
      <c r="A855" s="4" t="s">
        <v>21</v>
      </c>
      <c r="B855" s="4" t="s">
        <v>41</v>
      </c>
      <c r="C855" s="4" t="s">
        <v>23</v>
      </c>
      <c r="D855" s="4" t="s">
        <v>52</v>
      </c>
      <c r="E855" s="4" t="s">
        <v>53</v>
      </c>
      <c r="F855" s="4" t="s">
        <v>25</v>
      </c>
      <c r="G855" s="4" t="s">
        <v>25</v>
      </c>
      <c r="H855" s="4" t="s">
        <v>25</v>
      </c>
      <c r="I855" s="5">
        <v>44317</v>
      </c>
      <c r="J855" s="6">
        <v>0</v>
      </c>
      <c r="K855" s="77">
        <v>0</v>
      </c>
      <c r="L855" s="6">
        <v>886.2</v>
      </c>
      <c r="M855" s="77">
        <v>886.2</v>
      </c>
      <c r="N855" s="6">
        <v>886.2</v>
      </c>
      <c r="O855" s="77">
        <v>886.2</v>
      </c>
      <c r="P855" s="6">
        <v>235</v>
      </c>
      <c r="Q855" s="4" t="s">
        <v>26</v>
      </c>
      <c r="R855" s="4">
        <v>0</v>
      </c>
      <c r="S855" s="4">
        <v>0</v>
      </c>
      <c r="T855" s="4">
        <v>72</v>
      </c>
      <c r="U855" s="4">
        <v>78</v>
      </c>
      <c r="V855" s="77">
        <f>IF(ISERROR(VLOOKUP($S$855,'TAR FIN'!$A$1:$O$95,15,0)),0,VLOOKUP($S$855,'TAR FIN'!$A$1:$O$95,15,0))</f>
        <v>0</v>
      </c>
      <c r="W855" s="77">
        <f>IF(ISERROR(VLOOKUP($T$855,'TAR FIN'!$A$1:$O$95,15,0)),0,VLOOKUP($T$855,'TAR FIN'!$A$1:$O$95,15,0))*(1-0.09)</f>
        <v>409.67290000000003</v>
      </c>
      <c r="X855" s="77">
        <f>IF(ISERROR(VLOOKUP($U$855,'TAR FIN'!$A$1:$O$95,15,0)),0,VLOOKUP($U$855,'TAR FIN'!$A$1:$O$95,15,0))*(1-0.09)</f>
        <v>221.40300000000002</v>
      </c>
      <c r="Y855" s="77"/>
      <c r="Z855" s="77">
        <f ca="1">('TUSD BE'!$AM$53+'TUSD BF'!$AM$53+'TUSD CVA'!$AM$53)*1*(1-0.06)</f>
        <v>476.12865324271826</v>
      </c>
      <c r="AA855" s="77">
        <f>('TE BE'!$AA$41+'TE BF'!$AA$41+'TE CVA'!$AA$41)*1*(1-0.06)</f>
        <v>279.36956391055907</v>
      </c>
      <c r="AB855" s="77">
        <f>(SUBSIDIO!$J$855*SUBSIDIO!$V$855)*(0.09)/(1-0.09)</f>
        <v>0</v>
      </c>
      <c r="AC855" s="77">
        <f>((SUBSIDIO!$L$855*SUBSIDIO!$W$855)+(SUBSIDIO!$N$855*SUBSIDIO!$X$855))*(0.09)/(1-0.09)</f>
        <v>55311.375419999997</v>
      </c>
      <c r="AD855" s="77">
        <f>(SUBSIDIO!$J$855*SUBSIDIO!$Y$855)*(0.06)/(1-0.06)</f>
        <v>0</v>
      </c>
      <c r="AE855" s="77">
        <f ca="1">((SUBSIDIO!$L$855*SUBSIDIO!$Z$855)+(SUBSIDIO!$N$855*SUBSIDIO!$AA$855))*(0.06)/(1-0.06)</f>
        <v>42735.480002631986</v>
      </c>
      <c r="AF855" s="4" t="s">
        <v>842</v>
      </c>
    </row>
    <row r="856" spans="1:32" ht="11.25" customHeight="1" x14ac:dyDescent="0.25">
      <c r="A856" s="4" t="s">
        <v>28</v>
      </c>
      <c r="B856" s="4" t="s">
        <v>41</v>
      </c>
      <c r="C856" s="4" t="s">
        <v>23</v>
      </c>
      <c r="D856" s="4" t="s">
        <v>52</v>
      </c>
      <c r="E856" s="4" t="s">
        <v>53</v>
      </c>
      <c r="F856" s="4" t="s">
        <v>25</v>
      </c>
      <c r="G856" s="4" t="s">
        <v>25</v>
      </c>
      <c r="H856" s="4" t="s">
        <v>25</v>
      </c>
      <c r="I856" s="5">
        <v>44317</v>
      </c>
      <c r="J856" s="6">
        <v>0</v>
      </c>
      <c r="K856" s="77">
        <v>0</v>
      </c>
      <c r="L856" s="6">
        <v>2832.8850000000002</v>
      </c>
      <c r="M856" s="77">
        <v>2832.8850000000002</v>
      </c>
      <c r="N856" s="6">
        <v>2832.8850000000002</v>
      </c>
      <c r="O856" s="77">
        <v>2832.8850000000002</v>
      </c>
      <c r="P856" s="6">
        <v>1296</v>
      </c>
      <c r="Q856" s="4" t="s">
        <v>26</v>
      </c>
      <c r="R856" s="4">
        <v>0</v>
      </c>
      <c r="S856" s="4">
        <v>0</v>
      </c>
      <c r="T856" s="4">
        <v>72</v>
      </c>
      <c r="U856" s="4">
        <v>78</v>
      </c>
      <c r="V856" s="77">
        <f>IF(ISERROR(VLOOKUP($S$856,'TAR FIN'!$A$1:$O$95,15,0)),0,VLOOKUP($S$856,'TAR FIN'!$A$1:$O$95,15,0))</f>
        <v>0</v>
      </c>
      <c r="W856" s="77">
        <f>IF(ISERROR(VLOOKUP($T$856,'TAR FIN'!$A$1:$O$95,15,0)),0,VLOOKUP($T$856,'TAR FIN'!$A$1:$O$95,15,0))*(1-0.09)</f>
        <v>409.67290000000003</v>
      </c>
      <c r="X856" s="77">
        <f>IF(ISERROR(VLOOKUP($U$856,'TAR FIN'!$A$1:$O$95,15,0)),0,VLOOKUP($U$856,'TAR FIN'!$A$1:$O$95,15,0))*(1-0.09)</f>
        <v>221.40300000000002</v>
      </c>
      <c r="Y856" s="77"/>
      <c r="Z856" s="77">
        <f ca="1">('TUSD BE'!$AM$53+'TUSD BF'!$AM$53+'TUSD CVA'!$AM$53)*1*(1-0.06)</f>
        <v>476.12865324271826</v>
      </c>
      <c r="AA856" s="77">
        <f>('TE BE'!$AA$41+'TE BF'!$AA$41+'TE CVA'!$AA$41)*1*(1-0.06)</f>
        <v>279.36956391055907</v>
      </c>
      <c r="AB856" s="77">
        <f>(SUBSIDIO!$J$856*SUBSIDIO!$V$856)*(0.09)/(1-0.09)</f>
        <v>0</v>
      </c>
      <c r="AC856" s="77">
        <f>((SUBSIDIO!$L$856*SUBSIDIO!$W$856)+(SUBSIDIO!$N$856*SUBSIDIO!$X$856))*(0.09)/(1-0.09)</f>
        <v>176811.96767850002</v>
      </c>
      <c r="AD856" s="77">
        <f>(SUBSIDIO!$J$856*SUBSIDIO!$Y$856)*(0.06)/(1-0.06)</f>
        <v>0</v>
      </c>
      <c r="AE856" s="77">
        <f ca="1">((SUBSIDIO!$L$856*SUBSIDIO!$Z$856)+(SUBSIDIO!$N$856*SUBSIDIO!$AA$856))*(0.06)/(1-0.06)</f>
        <v>136611.03618512311</v>
      </c>
      <c r="AF856" s="4" t="s">
        <v>842</v>
      </c>
    </row>
    <row r="857" spans="1:32" ht="11.25" customHeight="1" x14ac:dyDescent="0.25">
      <c r="A857" s="4" t="s">
        <v>29</v>
      </c>
      <c r="B857" s="4" t="s">
        <v>41</v>
      </c>
      <c r="C857" s="4" t="s">
        <v>23</v>
      </c>
      <c r="D857" s="4" t="s">
        <v>52</v>
      </c>
      <c r="E857" s="4" t="s">
        <v>53</v>
      </c>
      <c r="F857" s="4" t="s">
        <v>25</v>
      </c>
      <c r="G857" s="4" t="s">
        <v>25</v>
      </c>
      <c r="H857" s="4" t="s">
        <v>25</v>
      </c>
      <c r="I857" s="5">
        <v>44317</v>
      </c>
      <c r="J857" s="6">
        <v>0</v>
      </c>
      <c r="K857" s="77">
        <v>0</v>
      </c>
      <c r="L857" s="6">
        <v>36.384</v>
      </c>
      <c r="M857" s="77">
        <v>36.384</v>
      </c>
      <c r="N857" s="6">
        <v>36.384</v>
      </c>
      <c r="O857" s="77">
        <v>36.384</v>
      </c>
      <c r="P857" s="6">
        <v>0</v>
      </c>
      <c r="Q857" s="4" t="s">
        <v>26</v>
      </c>
      <c r="R857" s="4">
        <v>0</v>
      </c>
      <c r="S857" s="4">
        <v>0</v>
      </c>
      <c r="T857" s="4">
        <v>72</v>
      </c>
      <c r="U857" s="4">
        <v>78</v>
      </c>
      <c r="V857" s="77">
        <f>IF(ISERROR(VLOOKUP($S$857,'TAR FIN'!$A$1:$O$95,15,0)),0,VLOOKUP($S$857,'TAR FIN'!$A$1:$O$95,15,0))</f>
        <v>0</v>
      </c>
      <c r="W857" s="77">
        <f>IF(ISERROR(VLOOKUP($T$857,'TAR FIN'!$A$1:$O$95,15,0)),0,VLOOKUP($T$857,'TAR FIN'!$A$1:$O$95,15,0))*(1-0.09)</f>
        <v>409.67290000000003</v>
      </c>
      <c r="X857" s="77">
        <f>IF(ISERROR(VLOOKUP($U$857,'TAR FIN'!$A$1:$O$95,15,0)),0,VLOOKUP($U$857,'TAR FIN'!$A$1:$O$95,15,0))*(1-0.09)</f>
        <v>221.40300000000002</v>
      </c>
      <c r="Y857" s="77"/>
      <c r="Z857" s="77">
        <f ca="1">('TUSD BE'!$AM$53+'TUSD BF'!$AM$53+'TUSD CVA'!$AM$53)*1*(1-0.06)</f>
        <v>476.12865324271826</v>
      </c>
      <c r="AA857" s="77">
        <f>('TE BE'!$AA$41+'TE BF'!$AA$41+'TE CVA'!$AA$41)*1*(1-0.06)</f>
        <v>279.36956391055907</v>
      </c>
      <c r="AB857" s="77">
        <f>(SUBSIDIO!$J$857*SUBSIDIO!$V$857)*(0.09)/(1-0.09)</f>
        <v>0</v>
      </c>
      <c r="AC857" s="77">
        <f>((SUBSIDIO!$L$857*SUBSIDIO!$W$857)+(SUBSIDIO!$N$857*SUBSIDIO!$X$857))*(0.09)/(1-0.09)</f>
        <v>2270.8746144000002</v>
      </c>
      <c r="AD857" s="77">
        <f>(SUBSIDIO!$J$857*SUBSIDIO!$Y$857)*(0.06)/(1-0.06)</f>
        <v>0</v>
      </c>
      <c r="AE857" s="77">
        <f ca="1">((SUBSIDIO!$L$857*SUBSIDIO!$Z$857)+(SUBSIDIO!$N$857*SUBSIDIO!$AA$857))*(0.06)/(1-0.06)</f>
        <v>1754.5561999726497</v>
      </c>
      <c r="AF857" s="4" t="s">
        <v>842</v>
      </c>
    </row>
    <row r="858" spans="1:32" ht="11.25" customHeight="1" x14ac:dyDescent="0.25">
      <c r="A858" s="4" t="s">
        <v>21</v>
      </c>
      <c r="B858" s="4" t="s">
        <v>41</v>
      </c>
      <c r="C858" s="4" t="s">
        <v>23</v>
      </c>
      <c r="D858" s="4" t="s">
        <v>52</v>
      </c>
      <c r="E858" s="4" t="s">
        <v>53</v>
      </c>
      <c r="F858" s="4" t="s">
        <v>25</v>
      </c>
      <c r="G858" s="4" t="s">
        <v>25</v>
      </c>
      <c r="H858" s="4" t="s">
        <v>25</v>
      </c>
      <c r="I858" s="5">
        <v>44348</v>
      </c>
      <c r="J858" s="6">
        <v>0</v>
      </c>
      <c r="K858" s="77">
        <v>0</v>
      </c>
      <c r="L858" s="6">
        <v>983.73</v>
      </c>
      <c r="M858" s="77">
        <v>983.73</v>
      </c>
      <c r="N858" s="6">
        <v>983.73</v>
      </c>
      <c r="O858" s="77">
        <v>983.73</v>
      </c>
      <c r="P858" s="6">
        <v>238</v>
      </c>
      <c r="Q858" s="4" t="s">
        <v>26</v>
      </c>
      <c r="R858" s="4">
        <v>0</v>
      </c>
      <c r="S858" s="4">
        <v>0</v>
      </c>
      <c r="T858" s="4">
        <v>72</v>
      </c>
      <c r="U858" s="4">
        <v>78</v>
      </c>
      <c r="V858" s="77">
        <f>IF(ISERROR(VLOOKUP($S$858,'TAR FIN'!$A$1:$O$95,15,0)),0,VLOOKUP($S$858,'TAR FIN'!$A$1:$O$95,15,0))</f>
        <v>0</v>
      </c>
      <c r="W858" s="77">
        <f>IF(ISERROR(VLOOKUP($T$858,'TAR FIN'!$A$1:$O$95,15,0)),0,VLOOKUP($T$858,'TAR FIN'!$A$1:$O$95,15,0))*(1-0.09)</f>
        <v>409.67290000000003</v>
      </c>
      <c r="X858" s="77">
        <f>IF(ISERROR(VLOOKUP($U$858,'TAR FIN'!$A$1:$O$95,15,0)),0,VLOOKUP($U$858,'TAR FIN'!$A$1:$O$95,15,0))*(1-0.09)</f>
        <v>221.40300000000002</v>
      </c>
      <c r="Y858" s="77"/>
      <c r="Z858" s="77">
        <f ca="1">('TUSD BE'!$AM$53+'TUSD BF'!$AM$53+'TUSD CVA'!$AM$53)*1*(1-0.06)</f>
        <v>476.12865324271826</v>
      </c>
      <c r="AA858" s="77">
        <f>('TE BE'!$AA$41+'TE BF'!$AA$41+'TE CVA'!$AA$41)*1*(1-0.06)</f>
        <v>279.36956391055907</v>
      </c>
      <c r="AB858" s="77">
        <f>(SUBSIDIO!$J$858*SUBSIDIO!$V$858)*(0.09)/(1-0.09)</f>
        <v>0</v>
      </c>
      <c r="AC858" s="77">
        <f>((SUBSIDIO!$L$858*SUBSIDIO!$W$858)+(SUBSIDIO!$N$858*SUBSIDIO!$X$858))*(0.09)/(1-0.09)</f>
        <v>61398.622593</v>
      </c>
      <c r="AD858" s="77">
        <f>(SUBSIDIO!$J$858*SUBSIDIO!$Y$858)*(0.06)/(1-0.06)</f>
        <v>0</v>
      </c>
      <c r="AE858" s="77">
        <f ca="1">((SUBSIDIO!$L$858*SUBSIDIO!$Z$858)+(SUBSIDIO!$N$858*SUBSIDIO!$AA$858))*(0.06)/(1-0.06)</f>
        <v>47438.69752086341</v>
      </c>
      <c r="AF858" s="4" t="s">
        <v>842</v>
      </c>
    </row>
    <row r="859" spans="1:32" ht="11.25" customHeight="1" x14ac:dyDescent="0.25">
      <c r="A859" s="4" t="s">
        <v>28</v>
      </c>
      <c r="B859" s="4" t="s">
        <v>41</v>
      </c>
      <c r="C859" s="4" t="s">
        <v>23</v>
      </c>
      <c r="D859" s="4" t="s">
        <v>52</v>
      </c>
      <c r="E859" s="4" t="s">
        <v>53</v>
      </c>
      <c r="F859" s="4" t="s">
        <v>25</v>
      </c>
      <c r="G859" s="4" t="s">
        <v>25</v>
      </c>
      <c r="H859" s="4" t="s">
        <v>25</v>
      </c>
      <c r="I859" s="5">
        <v>44348</v>
      </c>
      <c r="J859" s="6">
        <v>0</v>
      </c>
      <c r="K859" s="77">
        <v>0</v>
      </c>
      <c r="L859" s="6">
        <v>3058.877</v>
      </c>
      <c r="M859" s="77">
        <v>3058.877</v>
      </c>
      <c r="N859" s="6">
        <v>3058.877</v>
      </c>
      <c r="O859" s="77">
        <v>3058.877</v>
      </c>
      <c r="P859" s="6">
        <v>1313</v>
      </c>
      <c r="Q859" s="4" t="s">
        <v>26</v>
      </c>
      <c r="R859" s="4">
        <v>0</v>
      </c>
      <c r="S859" s="4">
        <v>0</v>
      </c>
      <c r="T859" s="4">
        <v>72</v>
      </c>
      <c r="U859" s="4">
        <v>78</v>
      </c>
      <c r="V859" s="77">
        <f>IF(ISERROR(VLOOKUP($S$859,'TAR FIN'!$A$1:$O$95,15,0)),0,VLOOKUP($S$859,'TAR FIN'!$A$1:$O$95,15,0))</f>
        <v>0</v>
      </c>
      <c r="W859" s="77">
        <f>IF(ISERROR(VLOOKUP($T$859,'TAR FIN'!$A$1:$O$95,15,0)),0,VLOOKUP($T$859,'TAR FIN'!$A$1:$O$95,15,0))*(1-0.09)</f>
        <v>409.67290000000003</v>
      </c>
      <c r="X859" s="77">
        <f>IF(ISERROR(VLOOKUP($U$859,'TAR FIN'!$A$1:$O$95,15,0)),0,VLOOKUP($U$859,'TAR FIN'!$A$1:$O$95,15,0))*(1-0.09)</f>
        <v>221.40300000000002</v>
      </c>
      <c r="Y859" s="77"/>
      <c r="Z859" s="77">
        <f ca="1">('TUSD BE'!$AM$53+'TUSD BF'!$AM$53+'TUSD CVA'!$AM$53)*1*(1-0.06)</f>
        <v>476.12865324271826</v>
      </c>
      <c r="AA859" s="77">
        <f>('TE BE'!$AA$41+'TE BF'!$AA$41+'TE CVA'!$AA$41)*1*(1-0.06)</f>
        <v>279.36956391055907</v>
      </c>
      <c r="AB859" s="77">
        <f>(SUBSIDIO!$J$859*SUBSIDIO!$V$859)*(0.09)/(1-0.09)</f>
        <v>0</v>
      </c>
      <c r="AC859" s="77">
        <f>((SUBSIDIO!$L$859*SUBSIDIO!$W$859)+(SUBSIDIO!$N$859*SUBSIDIO!$X$859))*(0.09)/(1-0.09)</f>
        <v>190917.05496569999</v>
      </c>
      <c r="AD859" s="77">
        <f>(SUBSIDIO!$J$859*SUBSIDIO!$Y$859)*(0.06)/(1-0.06)</f>
        <v>0</v>
      </c>
      <c r="AE859" s="77">
        <f ca="1">((SUBSIDIO!$L$859*SUBSIDIO!$Z$859)+(SUBSIDIO!$N$859*SUBSIDIO!$AA$859))*(0.06)/(1-0.06)</f>
        <v>147509.11404198929</v>
      </c>
      <c r="AF859" s="4" t="s">
        <v>842</v>
      </c>
    </row>
    <row r="860" spans="1:32" ht="11.25" customHeight="1" x14ac:dyDescent="0.25">
      <c r="A860" s="4" t="s">
        <v>29</v>
      </c>
      <c r="B860" s="4" t="s">
        <v>41</v>
      </c>
      <c r="C860" s="4" t="s">
        <v>23</v>
      </c>
      <c r="D860" s="4" t="s">
        <v>52</v>
      </c>
      <c r="E860" s="4" t="s">
        <v>53</v>
      </c>
      <c r="F860" s="4" t="s">
        <v>25</v>
      </c>
      <c r="G860" s="4" t="s">
        <v>25</v>
      </c>
      <c r="H860" s="4" t="s">
        <v>25</v>
      </c>
      <c r="I860" s="5">
        <v>44348</v>
      </c>
      <c r="J860" s="6">
        <v>0</v>
      </c>
      <c r="K860" s="77">
        <v>0</v>
      </c>
      <c r="L860" s="6">
        <v>29.552</v>
      </c>
      <c r="M860" s="77">
        <v>29.552</v>
      </c>
      <c r="N860" s="6">
        <v>29.552</v>
      </c>
      <c r="O860" s="77">
        <v>29.552</v>
      </c>
      <c r="P860" s="6">
        <v>0</v>
      </c>
      <c r="Q860" s="4" t="s">
        <v>26</v>
      </c>
      <c r="R860" s="4">
        <v>0</v>
      </c>
      <c r="S860" s="4">
        <v>0</v>
      </c>
      <c r="T860" s="4">
        <v>72</v>
      </c>
      <c r="U860" s="4">
        <v>78</v>
      </c>
      <c r="V860" s="77">
        <f>IF(ISERROR(VLOOKUP($S$860,'TAR FIN'!$A$1:$O$95,15,0)),0,VLOOKUP($S$860,'TAR FIN'!$A$1:$O$95,15,0))</f>
        <v>0</v>
      </c>
      <c r="W860" s="77">
        <f>IF(ISERROR(VLOOKUP($T$860,'TAR FIN'!$A$1:$O$95,15,0)),0,VLOOKUP($T$860,'TAR FIN'!$A$1:$O$95,15,0))*(1-0.09)</f>
        <v>409.67290000000003</v>
      </c>
      <c r="X860" s="77">
        <f>IF(ISERROR(VLOOKUP($U$860,'TAR FIN'!$A$1:$O$95,15,0)),0,VLOOKUP($U$860,'TAR FIN'!$A$1:$O$95,15,0))*(1-0.09)</f>
        <v>221.40300000000002</v>
      </c>
      <c r="Y860" s="77"/>
      <c r="Z860" s="77">
        <f ca="1">('TUSD BE'!$AM$53+'TUSD BF'!$AM$53+'TUSD CVA'!$AM$53)*1*(1-0.06)</f>
        <v>476.12865324271826</v>
      </c>
      <c r="AA860" s="77">
        <f>('TE BE'!$AA$41+'TE BF'!$AA$41+'TE CVA'!$AA$41)*1*(1-0.06)</f>
        <v>279.36956391055907</v>
      </c>
      <c r="AB860" s="77">
        <f>(SUBSIDIO!$J$860*SUBSIDIO!$V$860)*(0.09)/(1-0.09)</f>
        <v>0</v>
      </c>
      <c r="AC860" s="77">
        <f>((SUBSIDIO!$L$860*SUBSIDIO!$W$860)+(SUBSIDIO!$N$860*SUBSIDIO!$X$860))*(0.09)/(1-0.09)</f>
        <v>1844.4614832</v>
      </c>
      <c r="AD860" s="77">
        <f>(SUBSIDIO!$J$860*SUBSIDIO!$Y$860)*(0.06)/(1-0.06)</f>
        <v>0</v>
      </c>
      <c r="AE860" s="77">
        <f ca="1">((SUBSIDIO!$L$860*SUBSIDIO!$Z$860)+(SUBSIDIO!$N$860*SUBSIDIO!$AA$860))*(0.06)/(1-0.06)</f>
        <v>1425.0946795732118</v>
      </c>
      <c r="AF860" s="4" t="s">
        <v>842</v>
      </c>
    </row>
    <row r="861" spans="1:32" ht="11.25" customHeight="1" x14ac:dyDescent="0.25">
      <c r="A861" s="4" t="s">
        <v>21</v>
      </c>
      <c r="B861" s="4" t="s">
        <v>41</v>
      </c>
      <c r="C861" s="4" t="s">
        <v>23</v>
      </c>
      <c r="D861" s="4" t="s">
        <v>52</v>
      </c>
      <c r="E861" s="4" t="s">
        <v>53</v>
      </c>
      <c r="F861" s="4" t="s">
        <v>25</v>
      </c>
      <c r="G861" s="4" t="s">
        <v>25</v>
      </c>
      <c r="H861" s="4" t="s">
        <v>25</v>
      </c>
      <c r="I861" s="5">
        <v>44378</v>
      </c>
      <c r="J861" s="6">
        <v>0</v>
      </c>
      <c r="K861" s="77">
        <v>0</v>
      </c>
      <c r="L861" s="6">
        <v>924.31700000000001</v>
      </c>
      <c r="M861" s="77">
        <v>924.31700000000001</v>
      </c>
      <c r="N861" s="6">
        <v>924.31700000000001</v>
      </c>
      <c r="O861" s="77">
        <v>924.31700000000001</v>
      </c>
      <c r="P861" s="6">
        <v>238</v>
      </c>
      <c r="Q861" s="4" t="s">
        <v>26</v>
      </c>
      <c r="R861" s="4">
        <v>0</v>
      </c>
      <c r="S861" s="4">
        <v>0</v>
      </c>
      <c r="T861" s="4">
        <v>72</v>
      </c>
      <c r="U861" s="4">
        <v>78</v>
      </c>
      <c r="V861" s="77">
        <f>IF(ISERROR(VLOOKUP($S$861,'TAR FIN'!$A$1:$O$95,15,0)),0,VLOOKUP($S$861,'TAR FIN'!$A$1:$O$95,15,0))</f>
        <v>0</v>
      </c>
      <c r="W861" s="77">
        <f>IF(ISERROR(VLOOKUP($T$861,'TAR FIN'!$A$1:$O$95,15,0)),0,VLOOKUP($T$861,'TAR FIN'!$A$1:$O$95,15,0))*(1-0.09)</f>
        <v>409.67290000000003</v>
      </c>
      <c r="X861" s="77">
        <f>IF(ISERROR(VLOOKUP($U$861,'TAR FIN'!$A$1:$O$95,15,0)),0,VLOOKUP($U$861,'TAR FIN'!$A$1:$O$95,15,0))*(1-0.09)</f>
        <v>221.40300000000002</v>
      </c>
      <c r="Y861" s="77"/>
      <c r="Z861" s="77">
        <f ca="1">('TUSD BE'!$AM$53+'TUSD BF'!$AM$53+'TUSD CVA'!$AM$53)*1*(1-0.06)</f>
        <v>476.12865324271826</v>
      </c>
      <c r="AA861" s="77">
        <f>('TE BE'!$AA$41+'TE BF'!$AA$41+'TE CVA'!$AA$41)*1*(1-0.06)</f>
        <v>279.36956391055907</v>
      </c>
      <c r="AB861" s="77">
        <f>(SUBSIDIO!$J$861*SUBSIDIO!$V$861)*(0.09)/(1-0.09)</f>
        <v>0</v>
      </c>
      <c r="AC861" s="77">
        <f>((SUBSIDIO!$L$861*SUBSIDIO!$W$861)+(SUBSIDIO!$N$861*SUBSIDIO!$X$861))*(0.09)/(1-0.09)</f>
        <v>57690.413669700007</v>
      </c>
      <c r="AD861" s="77">
        <f>(SUBSIDIO!$J$861*SUBSIDIO!$Y$861)*(0.06)/(1-0.06)</f>
        <v>0</v>
      </c>
      <c r="AE861" s="77">
        <f ca="1">((SUBSIDIO!$L$861*SUBSIDIO!$Z$861)+(SUBSIDIO!$N$861*SUBSIDIO!$AA$861))*(0.06)/(1-0.06)</f>
        <v>44573.607164965906</v>
      </c>
      <c r="AF861" s="4" t="s">
        <v>842</v>
      </c>
    </row>
    <row r="862" spans="1:32" ht="11.25" customHeight="1" x14ac:dyDescent="0.25">
      <c r="A862" s="4" t="s">
        <v>28</v>
      </c>
      <c r="B862" s="4" t="s">
        <v>41</v>
      </c>
      <c r="C862" s="4" t="s">
        <v>23</v>
      </c>
      <c r="D862" s="4" t="s">
        <v>52</v>
      </c>
      <c r="E862" s="4" t="s">
        <v>53</v>
      </c>
      <c r="F862" s="4" t="s">
        <v>25</v>
      </c>
      <c r="G862" s="4" t="s">
        <v>25</v>
      </c>
      <c r="H862" s="4" t="s">
        <v>25</v>
      </c>
      <c r="I862" s="5">
        <v>44378</v>
      </c>
      <c r="J862" s="6">
        <v>0</v>
      </c>
      <c r="K862" s="77">
        <v>0</v>
      </c>
      <c r="L862" s="6">
        <v>3026.7339999999999</v>
      </c>
      <c r="M862" s="77">
        <v>3026.7339999999999</v>
      </c>
      <c r="N862" s="6">
        <v>3026.7339999999999</v>
      </c>
      <c r="O862" s="77">
        <v>3026.7339999999999</v>
      </c>
      <c r="P862" s="6">
        <v>1326</v>
      </c>
      <c r="Q862" s="4" t="s">
        <v>26</v>
      </c>
      <c r="R862" s="4">
        <v>0</v>
      </c>
      <c r="S862" s="4">
        <v>0</v>
      </c>
      <c r="T862" s="4">
        <v>72</v>
      </c>
      <c r="U862" s="4">
        <v>78</v>
      </c>
      <c r="V862" s="77">
        <f>IF(ISERROR(VLOOKUP($S$862,'TAR FIN'!$A$1:$O$95,15,0)),0,VLOOKUP($S$862,'TAR FIN'!$A$1:$O$95,15,0))</f>
        <v>0</v>
      </c>
      <c r="W862" s="77">
        <f>IF(ISERROR(VLOOKUP($T$862,'TAR FIN'!$A$1:$O$95,15,0)),0,VLOOKUP($T$862,'TAR FIN'!$A$1:$O$95,15,0))*(1-0.09)</f>
        <v>409.67290000000003</v>
      </c>
      <c r="X862" s="77">
        <f>IF(ISERROR(VLOOKUP($U$862,'TAR FIN'!$A$1:$O$95,15,0)),0,VLOOKUP($U$862,'TAR FIN'!$A$1:$O$95,15,0))*(1-0.09)</f>
        <v>221.40300000000002</v>
      </c>
      <c r="Y862" s="77"/>
      <c r="Z862" s="77">
        <f ca="1">('TUSD BE'!$AM$53+'TUSD BF'!$AM$53+'TUSD CVA'!$AM$53)*1*(1-0.06)</f>
        <v>476.12865324271826</v>
      </c>
      <c r="AA862" s="77">
        <f>('TE BE'!$AA$41+'TE BF'!$AA$41+'TE CVA'!$AA$41)*1*(1-0.06)</f>
        <v>279.36956391055907</v>
      </c>
      <c r="AB862" s="77">
        <f>(SUBSIDIO!$J$862*SUBSIDIO!$V$862)*(0.09)/(1-0.09)</f>
        <v>0</v>
      </c>
      <c r="AC862" s="77">
        <f>((SUBSIDIO!$L$862*SUBSIDIO!$W$862)+(SUBSIDIO!$N$862*SUBSIDIO!$X$862))*(0.09)/(1-0.09)</f>
        <v>188910.87854939999</v>
      </c>
      <c r="AD862" s="77">
        <f>(SUBSIDIO!$J$862*SUBSIDIO!$Y$862)*(0.06)/(1-0.06)</f>
        <v>0</v>
      </c>
      <c r="AE862" s="77">
        <f ca="1">((SUBSIDIO!$L$862*SUBSIDIO!$Z$862)+(SUBSIDIO!$N$862*SUBSIDIO!$AA$862))*(0.06)/(1-0.06)</f>
        <v>145959.07281684305</v>
      </c>
      <c r="AF862" s="4" t="s">
        <v>842</v>
      </c>
    </row>
    <row r="863" spans="1:32" ht="11.25" customHeight="1" x14ac:dyDescent="0.25">
      <c r="A863" s="4" t="s">
        <v>29</v>
      </c>
      <c r="B863" s="4" t="s">
        <v>41</v>
      </c>
      <c r="C863" s="4" t="s">
        <v>23</v>
      </c>
      <c r="D863" s="4" t="s">
        <v>52</v>
      </c>
      <c r="E863" s="4" t="s">
        <v>53</v>
      </c>
      <c r="F863" s="4" t="s">
        <v>25</v>
      </c>
      <c r="G863" s="4" t="s">
        <v>25</v>
      </c>
      <c r="H863" s="4" t="s">
        <v>25</v>
      </c>
      <c r="I863" s="5">
        <v>44378</v>
      </c>
      <c r="J863" s="6">
        <v>0</v>
      </c>
      <c r="K863" s="77">
        <v>0</v>
      </c>
      <c r="L863" s="6">
        <v>-5.4509999999999996</v>
      </c>
      <c r="M863" s="77">
        <v>-5.4509999999999996</v>
      </c>
      <c r="N863" s="6">
        <v>-5.4509999999999996</v>
      </c>
      <c r="O863" s="77">
        <v>-5.4509999999999996</v>
      </c>
      <c r="P863" s="6">
        <v>0</v>
      </c>
      <c r="Q863" s="4" t="s">
        <v>26</v>
      </c>
      <c r="R863" s="4">
        <v>0</v>
      </c>
      <c r="S863" s="4">
        <v>0</v>
      </c>
      <c r="T863" s="4">
        <v>72</v>
      </c>
      <c r="U863" s="4">
        <v>78</v>
      </c>
      <c r="V863" s="77">
        <f>IF(ISERROR(VLOOKUP($S$863,'TAR FIN'!$A$1:$O$95,15,0)),0,VLOOKUP($S$863,'TAR FIN'!$A$1:$O$95,15,0))</f>
        <v>0</v>
      </c>
      <c r="W863" s="77">
        <f>IF(ISERROR(VLOOKUP($T$863,'TAR FIN'!$A$1:$O$95,15,0)),0,VLOOKUP($T$863,'TAR FIN'!$A$1:$O$95,15,0))*(1-0.09)</f>
        <v>409.67290000000003</v>
      </c>
      <c r="X863" s="77">
        <f>IF(ISERROR(VLOOKUP($U$863,'TAR FIN'!$A$1:$O$95,15,0)),0,VLOOKUP($U$863,'TAR FIN'!$A$1:$O$95,15,0))*(1-0.09)</f>
        <v>221.40300000000002</v>
      </c>
      <c r="Y863" s="77"/>
      <c r="Z863" s="77">
        <f ca="1">('TUSD BE'!$AM$53+'TUSD BF'!$AM$53+'TUSD CVA'!$AM$53)*1*(1-0.06)</f>
        <v>476.12865324271826</v>
      </c>
      <c r="AA863" s="77">
        <f>('TE BE'!$AA$41+'TE BF'!$AA$41+'TE CVA'!$AA$41)*1*(1-0.06)</f>
        <v>279.36956391055907</v>
      </c>
      <c r="AB863" s="77">
        <f>(SUBSIDIO!$J$863*SUBSIDIO!$V$863)*(0.09)/(1-0.09)</f>
        <v>0</v>
      </c>
      <c r="AC863" s="77">
        <f>((SUBSIDIO!$L$863*SUBSIDIO!$W$863)+(SUBSIDIO!$N$863*SUBSIDIO!$X$863))*(0.09)/(1-0.09)</f>
        <v>-340.21925909999993</v>
      </c>
      <c r="AD863" s="77">
        <f>(SUBSIDIO!$J$863*SUBSIDIO!$Y$863)*(0.06)/(1-0.06)</f>
        <v>0</v>
      </c>
      <c r="AE863" s="77">
        <f ca="1">((SUBSIDIO!$L$863*SUBSIDIO!$Z$863)+(SUBSIDIO!$N$863*SUBSIDIO!$AA$863))*(0.06)/(1-0.06)</f>
        <v>-262.86515627888383</v>
      </c>
      <c r="AF863" s="4" t="s">
        <v>842</v>
      </c>
    </row>
    <row r="864" spans="1:32" ht="11.25" customHeight="1" x14ac:dyDescent="0.25">
      <c r="A864" s="4" t="s">
        <v>21</v>
      </c>
      <c r="B864" s="4" t="s">
        <v>41</v>
      </c>
      <c r="C864" s="4" t="s">
        <v>23</v>
      </c>
      <c r="D864" s="4" t="s">
        <v>52</v>
      </c>
      <c r="E864" s="4" t="s">
        <v>53</v>
      </c>
      <c r="F864" s="4" t="s">
        <v>25</v>
      </c>
      <c r="G864" s="4" t="s">
        <v>25</v>
      </c>
      <c r="H864" s="4" t="s">
        <v>25</v>
      </c>
      <c r="I864" s="5">
        <v>44409</v>
      </c>
      <c r="J864" s="6">
        <v>0</v>
      </c>
      <c r="K864" s="77">
        <v>0</v>
      </c>
      <c r="L864" s="6">
        <v>972.60799999999995</v>
      </c>
      <c r="M864" s="77">
        <v>972.60799999999995</v>
      </c>
      <c r="N864" s="6">
        <v>972.60799999999995</v>
      </c>
      <c r="O864" s="77">
        <v>972.60799999999995</v>
      </c>
      <c r="P864" s="6">
        <v>245</v>
      </c>
      <c r="Q864" s="4" t="s">
        <v>26</v>
      </c>
      <c r="R864" s="4">
        <v>0</v>
      </c>
      <c r="S864" s="4">
        <v>0</v>
      </c>
      <c r="T864" s="4">
        <v>72</v>
      </c>
      <c r="U864" s="4">
        <v>78</v>
      </c>
      <c r="V864" s="77">
        <f>IF(ISERROR(VLOOKUP($S$864,'TAR FIN'!$A$1:$O$95,15,0)),0,VLOOKUP($S$864,'TAR FIN'!$A$1:$O$95,15,0))</f>
        <v>0</v>
      </c>
      <c r="W864" s="77">
        <f>IF(ISERROR(VLOOKUP($T$864,'TAR FIN'!$A$1:$O$95,15,0)),0,VLOOKUP($T$864,'TAR FIN'!$A$1:$O$95,15,0))*(1-0.09)</f>
        <v>409.67290000000003</v>
      </c>
      <c r="X864" s="77">
        <f>IF(ISERROR(VLOOKUP($U$864,'TAR FIN'!$A$1:$O$95,15,0)),0,VLOOKUP($U$864,'TAR FIN'!$A$1:$O$95,15,0))*(1-0.09)</f>
        <v>221.40300000000002</v>
      </c>
      <c r="Y864" s="77"/>
      <c r="Z864" s="77">
        <f ca="1">('TUSD BE'!$AM$53+'TUSD BF'!$AM$53+'TUSD CVA'!$AM$53)*1*(1-0.06)</f>
        <v>476.12865324271826</v>
      </c>
      <c r="AA864" s="77">
        <f>('TE BE'!$AA$41+'TE BF'!$AA$41+'TE CVA'!$AA$41)*1*(1-0.06)</f>
        <v>279.36956391055907</v>
      </c>
      <c r="AB864" s="77">
        <f>(SUBSIDIO!$J$864*SUBSIDIO!$V$864)*(0.09)/(1-0.09)</f>
        <v>0</v>
      </c>
      <c r="AC864" s="77">
        <f>((SUBSIDIO!$L$864*SUBSIDIO!$W$864)+(SUBSIDIO!$N$864*SUBSIDIO!$X$864))*(0.09)/(1-0.09)</f>
        <v>60704.452972799991</v>
      </c>
      <c r="AD864" s="77">
        <f>(SUBSIDIO!$J$864*SUBSIDIO!$Y$864)*(0.06)/(1-0.06)</f>
        <v>0</v>
      </c>
      <c r="AE864" s="77">
        <f ca="1">((SUBSIDIO!$L$864*SUBSIDIO!$Z$864)+(SUBSIDIO!$N$864*SUBSIDIO!$AA$864))*(0.06)/(1-0.06)</f>
        <v>46902.35808440519</v>
      </c>
      <c r="AF864" s="4" t="s">
        <v>842</v>
      </c>
    </row>
    <row r="865" spans="1:32" ht="11.25" customHeight="1" x14ac:dyDescent="0.25">
      <c r="A865" s="4" t="s">
        <v>27</v>
      </c>
      <c r="B865" s="4" t="s">
        <v>41</v>
      </c>
      <c r="C865" s="4" t="s">
        <v>23</v>
      </c>
      <c r="D865" s="4" t="s">
        <v>52</v>
      </c>
      <c r="E865" s="4" t="s">
        <v>53</v>
      </c>
      <c r="F865" s="4" t="s">
        <v>25</v>
      </c>
      <c r="G865" s="4" t="s">
        <v>25</v>
      </c>
      <c r="H865" s="4" t="s">
        <v>25</v>
      </c>
      <c r="I865" s="5">
        <v>44409</v>
      </c>
      <c r="J865" s="6">
        <v>0</v>
      </c>
      <c r="K865" s="77">
        <v>0</v>
      </c>
      <c r="L865" s="6">
        <v>13.105</v>
      </c>
      <c r="M865" s="77">
        <v>13.105</v>
      </c>
      <c r="N865" s="6">
        <v>13.105</v>
      </c>
      <c r="O865" s="77">
        <v>13.105</v>
      </c>
      <c r="P865" s="6">
        <v>0</v>
      </c>
      <c r="Q865" s="4" t="s">
        <v>26</v>
      </c>
      <c r="R865" s="4">
        <v>0</v>
      </c>
      <c r="S865" s="4">
        <v>0</v>
      </c>
      <c r="T865" s="4">
        <v>72</v>
      </c>
      <c r="U865" s="4">
        <v>78</v>
      </c>
      <c r="V865" s="77">
        <f>IF(ISERROR(VLOOKUP($S$865,'TAR FIN'!$A$1:$O$95,15,0)),0,VLOOKUP($S$865,'TAR FIN'!$A$1:$O$95,15,0))</f>
        <v>0</v>
      </c>
      <c r="W865" s="77">
        <f>IF(ISERROR(VLOOKUP($T$865,'TAR FIN'!$A$1:$O$95,15,0)),0,VLOOKUP($T$865,'TAR FIN'!$A$1:$O$95,15,0))*(1-0.09)</f>
        <v>409.67290000000003</v>
      </c>
      <c r="X865" s="77">
        <f>IF(ISERROR(VLOOKUP($U$865,'TAR FIN'!$A$1:$O$95,15,0)),0,VLOOKUP($U$865,'TAR FIN'!$A$1:$O$95,15,0))*(1-0.09)</f>
        <v>221.40300000000002</v>
      </c>
      <c r="Y865" s="77"/>
      <c r="Z865" s="77">
        <f ca="1">('TUSD BE'!$AM$53+'TUSD BF'!$AM$53+'TUSD CVA'!$AM$53)*1*(1-0.06)</f>
        <v>476.12865324271826</v>
      </c>
      <c r="AA865" s="77">
        <f>('TE BE'!$AA$41+'TE BF'!$AA$41+'TE CVA'!$AA$41)*1*(1-0.06)</f>
        <v>279.36956391055907</v>
      </c>
      <c r="AB865" s="77">
        <f>(SUBSIDIO!$J$865*SUBSIDIO!$V$865)*(0.09)/(1-0.09)</f>
        <v>0</v>
      </c>
      <c r="AC865" s="77">
        <f>((SUBSIDIO!$L$865*SUBSIDIO!$W$865)+(SUBSIDIO!$N$865*SUBSIDIO!$X$865))*(0.09)/(1-0.09)</f>
        <v>817.93678050000005</v>
      </c>
      <c r="AD865" s="77">
        <f>(SUBSIDIO!$J$865*SUBSIDIO!$Y$865)*(0.06)/(1-0.06)</f>
        <v>0</v>
      </c>
      <c r="AE865" s="77">
        <f ca="1">((SUBSIDIO!$L$865*SUBSIDIO!$Z$865)+(SUBSIDIO!$N$865*SUBSIDIO!$AA$865))*(0.06)/(1-0.06)</f>
        <v>631.96622143364038</v>
      </c>
      <c r="AF865" s="4" t="s">
        <v>842</v>
      </c>
    </row>
    <row r="866" spans="1:32" ht="11.25" customHeight="1" x14ac:dyDescent="0.25">
      <c r="A866" s="4" t="s">
        <v>28</v>
      </c>
      <c r="B866" s="4" t="s">
        <v>41</v>
      </c>
      <c r="C866" s="4" t="s">
        <v>23</v>
      </c>
      <c r="D866" s="4" t="s">
        <v>52</v>
      </c>
      <c r="E866" s="4" t="s">
        <v>53</v>
      </c>
      <c r="F866" s="4" t="s">
        <v>25</v>
      </c>
      <c r="G866" s="4" t="s">
        <v>25</v>
      </c>
      <c r="H866" s="4" t="s">
        <v>25</v>
      </c>
      <c r="I866" s="5">
        <v>44409</v>
      </c>
      <c r="J866" s="6">
        <v>0</v>
      </c>
      <c r="K866" s="77">
        <v>0</v>
      </c>
      <c r="L866" s="6">
        <v>3053.116</v>
      </c>
      <c r="M866" s="77">
        <v>3053.116</v>
      </c>
      <c r="N866" s="6">
        <v>3053.116</v>
      </c>
      <c r="O866" s="77">
        <v>3053.116</v>
      </c>
      <c r="P866" s="6">
        <v>1327</v>
      </c>
      <c r="Q866" s="4" t="s">
        <v>26</v>
      </c>
      <c r="R866" s="4">
        <v>0</v>
      </c>
      <c r="S866" s="4">
        <v>0</v>
      </c>
      <c r="T866" s="4">
        <v>72</v>
      </c>
      <c r="U866" s="4">
        <v>78</v>
      </c>
      <c r="V866" s="77">
        <f>IF(ISERROR(VLOOKUP($S$866,'TAR FIN'!$A$1:$O$95,15,0)),0,VLOOKUP($S$866,'TAR FIN'!$A$1:$O$95,15,0))</f>
        <v>0</v>
      </c>
      <c r="W866" s="77">
        <f>IF(ISERROR(VLOOKUP($T$866,'TAR FIN'!$A$1:$O$95,15,0)),0,VLOOKUP($T$866,'TAR FIN'!$A$1:$O$95,15,0))*(1-0.09)</f>
        <v>409.67290000000003</v>
      </c>
      <c r="X866" s="77">
        <f>IF(ISERROR(VLOOKUP($U$866,'TAR FIN'!$A$1:$O$95,15,0)),0,VLOOKUP($U$866,'TAR FIN'!$A$1:$O$95,15,0))*(1-0.09)</f>
        <v>221.40300000000002</v>
      </c>
      <c r="Y866" s="77"/>
      <c r="Z866" s="77">
        <f ca="1">('TUSD BE'!$AM$53+'TUSD BF'!$AM$53+'TUSD CVA'!$AM$53)*1*(1-0.06)</f>
        <v>476.12865324271826</v>
      </c>
      <c r="AA866" s="77">
        <f>('TE BE'!$AA$41+'TE BF'!$AA$41+'TE CVA'!$AA$41)*1*(1-0.06)</f>
        <v>279.36956391055907</v>
      </c>
      <c r="AB866" s="77">
        <f>(SUBSIDIO!$J$866*SUBSIDIO!$V$866)*(0.09)/(1-0.09)</f>
        <v>0</v>
      </c>
      <c r="AC866" s="77">
        <f>((SUBSIDIO!$L$866*SUBSIDIO!$W$866)+(SUBSIDIO!$N$866*SUBSIDIO!$X$866))*(0.09)/(1-0.09)</f>
        <v>190557.48733560002</v>
      </c>
      <c r="AD866" s="77">
        <f>(SUBSIDIO!$J$866*SUBSIDIO!$Y$866)*(0.06)/(1-0.06)</f>
        <v>0</v>
      </c>
      <c r="AE866" s="77">
        <f ca="1">((SUBSIDIO!$L$866*SUBSIDIO!$Z$866)+(SUBSIDIO!$N$866*SUBSIDIO!$AA$866))*(0.06)/(1-0.06)</f>
        <v>147231.29966566886</v>
      </c>
      <c r="AF866" s="4" t="s">
        <v>842</v>
      </c>
    </row>
    <row r="867" spans="1:32" ht="11.25" customHeight="1" x14ac:dyDescent="0.25">
      <c r="A867" s="4" t="s">
        <v>29</v>
      </c>
      <c r="B867" s="4" t="s">
        <v>41</v>
      </c>
      <c r="C867" s="4" t="s">
        <v>23</v>
      </c>
      <c r="D867" s="4" t="s">
        <v>52</v>
      </c>
      <c r="E867" s="4" t="s">
        <v>53</v>
      </c>
      <c r="F867" s="4" t="s">
        <v>25</v>
      </c>
      <c r="G867" s="4" t="s">
        <v>25</v>
      </c>
      <c r="H867" s="4" t="s">
        <v>25</v>
      </c>
      <c r="I867" s="5">
        <v>44409</v>
      </c>
      <c r="J867" s="6">
        <v>0</v>
      </c>
      <c r="K867" s="77">
        <v>0</v>
      </c>
      <c r="L867" s="6">
        <v>22.221</v>
      </c>
      <c r="M867" s="77">
        <v>22.221</v>
      </c>
      <c r="N867" s="6">
        <v>22.221</v>
      </c>
      <c r="O867" s="77">
        <v>22.221</v>
      </c>
      <c r="P867" s="6">
        <v>0</v>
      </c>
      <c r="Q867" s="4" t="s">
        <v>26</v>
      </c>
      <c r="R867" s="4">
        <v>0</v>
      </c>
      <c r="S867" s="4">
        <v>0</v>
      </c>
      <c r="T867" s="4">
        <v>72</v>
      </c>
      <c r="U867" s="4">
        <v>78</v>
      </c>
      <c r="V867" s="77">
        <f>IF(ISERROR(VLOOKUP($S$867,'TAR FIN'!$A$1:$O$95,15,0)),0,VLOOKUP($S$867,'TAR FIN'!$A$1:$O$95,15,0))</f>
        <v>0</v>
      </c>
      <c r="W867" s="77">
        <f>IF(ISERROR(VLOOKUP($T$867,'TAR FIN'!$A$1:$O$95,15,0)),0,VLOOKUP($T$867,'TAR FIN'!$A$1:$O$95,15,0))*(1-0.09)</f>
        <v>409.67290000000003</v>
      </c>
      <c r="X867" s="77">
        <f>IF(ISERROR(VLOOKUP($U$867,'TAR FIN'!$A$1:$O$95,15,0)),0,VLOOKUP($U$867,'TAR FIN'!$A$1:$O$95,15,0))*(1-0.09)</f>
        <v>221.40300000000002</v>
      </c>
      <c r="Y867" s="77"/>
      <c r="Z867" s="77">
        <f ca="1">('TUSD BE'!$AM$53+'TUSD BF'!$AM$53+'TUSD CVA'!$AM$53)*1*(1-0.06)</f>
        <v>476.12865324271826</v>
      </c>
      <c r="AA867" s="77">
        <f>('TE BE'!$AA$41+'TE BF'!$AA$41+'TE CVA'!$AA$41)*1*(1-0.06)</f>
        <v>279.36956391055907</v>
      </c>
      <c r="AB867" s="77">
        <f>(SUBSIDIO!$J$867*SUBSIDIO!$V$867)*(0.09)/(1-0.09)</f>
        <v>0</v>
      </c>
      <c r="AC867" s="77">
        <f>((SUBSIDIO!$L$867*SUBSIDIO!$W$867)+(SUBSIDIO!$N$867*SUBSIDIO!$X$867))*(0.09)/(1-0.09)</f>
        <v>1386.9037160999999</v>
      </c>
      <c r="AD867" s="77">
        <f>(SUBSIDIO!$J$867*SUBSIDIO!$Y$867)*(0.06)/(1-0.06)</f>
        <v>0</v>
      </c>
      <c r="AE867" s="77">
        <f ca="1">((SUBSIDIO!$L$867*SUBSIDIO!$Z$867)+(SUBSIDIO!$N$867*SUBSIDIO!$AA$867))*(0.06)/(1-0.06)</f>
        <v>1071.5697372359346</v>
      </c>
      <c r="AF867" s="4" t="s">
        <v>842</v>
      </c>
    </row>
    <row r="868" spans="1:32" ht="11.25" customHeight="1" x14ac:dyDescent="0.25">
      <c r="A868" s="4" t="s">
        <v>21</v>
      </c>
      <c r="B868" s="4" t="s">
        <v>41</v>
      </c>
      <c r="C868" s="4" t="s">
        <v>23</v>
      </c>
      <c r="D868" s="4" t="s">
        <v>52</v>
      </c>
      <c r="E868" s="4" t="s">
        <v>53</v>
      </c>
      <c r="F868" s="4" t="s">
        <v>25</v>
      </c>
      <c r="G868" s="4" t="s">
        <v>25</v>
      </c>
      <c r="H868" s="4" t="s">
        <v>25</v>
      </c>
      <c r="I868" s="5">
        <v>44440</v>
      </c>
      <c r="J868" s="6">
        <v>0</v>
      </c>
      <c r="K868" s="77">
        <v>0</v>
      </c>
      <c r="L868" s="6">
        <v>886.77099999999996</v>
      </c>
      <c r="M868" s="77">
        <v>886.77099999999996</v>
      </c>
      <c r="N868" s="6">
        <v>886.77099999999996</v>
      </c>
      <c r="O868" s="77">
        <v>886.77099999999996</v>
      </c>
      <c r="P868" s="6">
        <v>241</v>
      </c>
      <c r="Q868" s="4" t="s">
        <v>26</v>
      </c>
      <c r="R868" s="4">
        <v>0</v>
      </c>
      <c r="S868" s="4">
        <v>0</v>
      </c>
      <c r="T868" s="4">
        <v>72</v>
      </c>
      <c r="U868" s="4">
        <v>78</v>
      </c>
      <c r="V868" s="77">
        <f>IF(ISERROR(VLOOKUP($S$868,'TAR FIN'!$A$1:$O$95,15,0)),0,VLOOKUP($S$868,'TAR FIN'!$A$1:$O$95,15,0))</f>
        <v>0</v>
      </c>
      <c r="W868" s="77">
        <f>IF(ISERROR(VLOOKUP($T$868,'TAR FIN'!$A$1:$O$95,15,0)),0,VLOOKUP($T$868,'TAR FIN'!$A$1:$O$95,15,0))*(1-0.09)</f>
        <v>409.67290000000003</v>
      </c>
      <c r="X868" s="77">
        <f>IF(ISERROR(VLOOKUP($U$868,'TAR FIN'!$A$1:$O$95,15,0)),0,VLOOKUP($U$868,'TAR FIN'!$A$1:$O$95,15,0))*(1-0.09)</f>
        <v>221.40300000000002</v>
      </c>
      <c r="Y868" s="77"/>
      <c r="Z868" s="77">
        <f ca="1">('TUSD BE'!$AM$53+'TUSD BF'!$AM$53+'TUSD CVA'!$AM$53)*1*(1-0.06)</f>
        <v>476.12865324271826</v>
      </c>
      <c r="AA868" s="77">
        <f>('TE BE'!$AA$41+'TE BF'!$AA$41+'TE CVA'!$AA$41)*1*(1-0.06)</f>
        <v>279.36956391055907</v>
      </c>
      <c r="AB868" s="77">
        <f>(SUBSIDIO!$J$868*SUBSIDIO!$V$868)*(0.09)/(1-0.09)</f>
        <v>0</v>
      </c>
      <c r="AC868" s="77">
        <f>((SUBSIDIO!$L$868*SUBSIDIO!$W$868)+(SUBSIDIO!$N$868*SUBSIDIO!$X$868))*(0.09)/(1-0.09)</f>
        <v>55347.013871099996</v>
      </c>
      <c r="AD868" s="77">
        <f>(SUBSIDIO!$J$868*SUBSIDIO!$Y$868)*(0.06)/(1-0.06)</f>
        <v>0</v>
      </c>
      <c r="AE868" s="77">
        <f ca="1">((SUBSIDIO!$L$868*SUBSIDIO!$Z$868)+(SUBSIDIO!$N$868*SUBSIDIO!$AA$868))*(0.06)/(1-0.06)</f>
        <v>42763.015501482696</v>
      </c>
      <c r="AF868" s="4" t="s">
        <v>842</v>
      </c>
    </row>
    <row r="869" spans="1:32" ht="11.25" customHeight="1" x14ac:dyDescent="0.25">
      <c r="A869" s="4" t="s">
        <v>27</v>
      </c>
      <c r="B869" s="4" t="s">
        <v>41</v>
      </c>
      <c r="C869" s="4" t="s">
        <v>23</v>
      </c>
      <c r="D869" s="4" t="s">
        <v>52</v>
      </c>
      <c r="E869" s="4" t="s">
        <v>53</v>
      </c>
      <c r="F869" s="4" t="s">
        <v>25</v>
      </c>
      <c r="G869" s="4" t="s">
        <v>25</v>
      </c>
      <c r="H869" s="4" t="s">
        <v>25</v>
      </c>
      <c r="I869" s="5">
        <v>44440</v>
      </c>
      <c r="J869" s="6">
        <v>0</v>
      </c>
      <c r="K869" s="77">
        <v>0</v>
      </c>
      <c r="L869" s="6">
        <v>-768.45</v>
      </c>
      <c r="M869" s="77">
        <v>-768.45</v>
      </c>
      <c r="N869" s="6">
        <v>-768.45</v>
      </c>
      <c r="O869" s="77">
        <v>-768.45</v>
      </c>
      <c r="P869" s="6">
        <v>0</v>
      </c>
      <c r="Q869" s="4" t="s">
        <v>26</v>
      </c>
      <c r="R869" s="4">
        <v>0</v>
      </c>
      <c r="S869" s="4">
        <v>0</v>
      </c>
      <c r="T869" s="4">
        <v>72</v>
      </c>
      <c r="U869" s="4">
        <v>78</v>
      </c>
      <c r="V869" s="77">
        <f>IF(ISERROR(VLOOKUP($S$869,'TAR FIN'!$A$1:$O$95,15,0)),0,VLOOKUP($S$869,'TAR FIN'!$A$1:$O$95,15,0))</f>
        <v>0</v>
      </c>
      <c r="W869" s="77">
        <f>IF(ISERROR(VLOOKUP($T$869,'TAR FIN'!$A$1:$O$95,15,0)),0,VLOOKUP($T$869,'TAR FIN'!$A$1:$O$95,15,0))*(1-0.09)</f>
        <v>409.67290000000003</v>
      </c>
      <c r="X869" s="77">
        <f>IF(ISERROR(VLOOKUP($U$869,'TAR FIN'!$A$1:$O$95,15,0)),0,VLOOKUP($U$869,'TAR FIN'!$A$1:$O$95,15,0))*(1-0.09)</f>
        <v>221.40300000000002</v>
      </c>
      <c r="Y869" s="77"/>
      <c r="Z869" s="77">
        <f ca="1">('TUSD BE'!$AM$53+'TUSD BF'!$AM$53+'TUSD CVA'!$AM$53)*1*(1-0.06)</f>
        <v>476.12865324271826</v>
      </c>
      <c r="AA869" s="77">
        <f>('TE BE'!$AA$41+'TE BF'!$AA$41+'TE CVA'!$AA$41)*1*(1-0.06)</f>
        <v>279.36956391055907</v>
      </c>
      <c r="AB869" s="77">
        <f>(SUBSIDIO!$J$869*SUBSIDIO!$V$869)*(0.09)/(1-0.09)</f>
        <v>0</v>
      </c>
      <c r="AC869" s="77">
        <f>((SUBSIDIO!$L$869*SUBSIDIO!$W$869)+(SUBSIDIO!$N$869*SUBSIDIO!$X$869))*(0.09)/(1-0.09)</f>
        <v>-47962.115144999996</v>
      </c>
      <c r="AD869" s="77">
        <f>(SUBSIDIO!$J$869*SUBSIDIO!$Y$869)*(0.06)/(1-0.06)</f>
        <v>0</v>
      </c>
      <c r="AE869" s="77">
        <f ca="1">((SUBSIDIO!$L$869*SUBSIDIO!$Z$869)+(SUBSIDIO!$N$869*SUBSIDIO!$AA$869))*(0.06)/(1-0.06)</f>
        <v>-37057.187551368253</v>
      </c>
      <c r="AF869" s="4" t="s">
        <v>842</v>
      </c>
    </row>
    <row r="870" spans="1:32" ht="11.25" customHeight="1" x14ac:dyDescent="0.25">
      <c r="A870" s="4" t="s">
        <v>28</v>
      </c>
      <c r="B870" s="4" t="s">
        <v>41</v>
      </c>
      <c r="C870" s="4" t="s">
        <v>23</v>
      </c>
      <c r="D870" s="4" t="s">
        <v>52</v>
      </c>
      <c r="E870" s="4" t="s">
        <v>53</v>
      </c>
      <c r="F870" s="4" t="s">
        <v>25</v>
      </c>
      <c r="G870" s="4" t="s">
        <v>25</v>
      </c>
      <c r="H870" s="4" t="s">
        <v>25</v>
      </c>
      <c r="I870" s="5">
        <v>44440</v>
      </c>
      <c r="J870" s="6">
        <v>0</v>
      </c>
      <c r="K870" s="77">
        <v>0</v>
      </c>
      <c r="L870" s="6">
        <v>3230.107</v>
      </c>
      <c r="M870" s="77">
        <v>3230.107</v>
      </c>
      <c r="N870" s="6">
        <v>3230.107</v>
      </c>
      <c r="O870" s="77">
        <v>3230.107</v>
      </c>
      <c r="P870" s="6">
        <v>1331</v>
      </c>
      <c r="Q870" s="4" t="s">
        <v>26</v>
      </c>
      <c r="R870" s="4">
        <v>0</v>
      </c>
      <c r="S870" s="4">
        <v>0</v>
      </c>
      <c r="T870" s="4">
        <v>72</v>
      </c>
      <c r="U870" s="4">
        <v>78</v>
      </c>
      <c r="V870" s="77">
        <f>IF(ISERROR(VLOOKUP($S$870,'TAR FIN'!$A$1:$O$95,15,0)),0,VLOOKUP($S$870,'TAR FIN'!$A$1:$O$95,15,0))</f>
        <v>0</v>
      </c>
      <c r="W870" s="77">
        <f>IF(ISERROR(VLOOKUP($T$870,'TAR FIN'!$A$1:$O$95,15,0)),0,VLOOKUP($T$870,'TAR FIN'!$A$1:$O$95,15,0))*(1-0.09)</f>
        <v>409.67290000000003</v>
      </c>
      <c r="X870" s="77">
        <f>IF(ISERROR(VLOOKUP($U$870,'TAR FIN'!$A$1:$O$95,15,0)),0,VLOOKUP($U$870,'TAR FIN'!$A$1:$O$95,15,0))*(1-0.09)</f>
        <v>221.40300000000002</v>
      </c>
      <c r="Y870" s="77"/>
      <c r="Z870" s="77">
        <f ca="1">('TUSD BE'!$AM$53+'TUSD BF'!$AM$53+'TUSD CVA'!$AM$53)*1*(1-0.06)</f>
        <v>476.12865324271826</v>
      </c>
      <c r="AA870" s="77">
        <f>('TE BE'!$AA$41+'TE BF'!$AA$41+'TE CVA'!$AA$41)*1*(1-0.06)</f>
        <v>279.36956391055907</v>
      </c>
      <c r="AB870" s="77">
        <f>(SUBSIDIO!$J$870*SUBSIDIO!$V$870)*(0.09)/(1-0.09)</f>
        <v>0</v>
      </c>
      <c r="AC870" s="77">
        <f>((SUBSIDIO!$L$870*SUBSIDIO!$W$870)+(SUBSIDIO!$N$870*SUBSIDIO!$X$870))*(0.09)/(1-0.09)</f>
        <v>201604.22130870001</v>
      </c>
      <c r="AD870" s="77">
        <f>(SUBSIDIO!$J$870*SUBSIDIO!$Y$870)*(0.06)/(1-0.06)</f>
        <v>0</v>
      </c>
      <c r="AE870" s="77">
        <f ca="1">((SUBSIDIO!$L$870*SUBSIDIO!$Z$870)+(SUBSIDIO!$N$870*SUBSIDIO!$AA$870))*(0.06)/(1-0.06)</f>
        <v>155766.38806687156</v>
      </c>
      <c r="AF870" s="4" t="s">
        <v>842</v>
      </c>
    </row>
    <row r="871" spans="1:32" ht="11.25" customHeight="1" x14ac:dyDescent="0.25">
      <c r="A871" s="4" t="s">
        <v>29</v>
      </c>
      <c r="B871" s="4" t="s">
        <v>41</v>
      </c>
      <c r="C871" s="4" t="s">
        <v>23</v>
      </c>
      <c r="D871" s="4" t="s">
        <v>52</v>
      </c>
      <c r="E871" s="4" t="s">
        <v>53</v>
      </c>
      <c r="F871" s="4" t="s">
        <v>25</v>
      </c>
      <c r="G871" s="4" t="s">
        <v>25</v>
      </c>
      <c r="H871" s="4" t="s">
        <v>25</v>
      </c>
      <c r="I871" s="5">
        <v>44440</v>
      </c>
      <c r="J871" s="6">
        <v>0</v>
      </c>
      <c r="K871" s="77">
        <v>0</v>
      </c>
      <c r="L871" s="6">
        <v>30.367999999999999</v>
      </c>
      <c r="M871" s="77">
        <v>30.367999999999999</v>
      </c>
      <c r="N871" s="6">
        <v>30.367999999999999</v>
      </c>
      <c r="O871" s="77">
        <v>30.367999999999999</v>
      </c>
      <c r="P871" s="6">
        <v>0</v>
      </c>
      <c r="Q871" s="4" t="s">
        <v>26</v>
      </c>
      <c r="R871" s="4">
        <v>0</v>
      </c>
      <c r="S871" s="4">
        <v>0</v>
      </c>
      <c r="T871" s="4">
        <v>72</v>
      </c>
      <c r="U871" s="4">
        <v>78</v>
      </c>
      <c r="V871" s="77">
        <f>IF(ISERROR(VLOOKUP($S$871,'TAR FIN'!$A$1:$O$95,15,0)),0,VLOOKUP($S$871,'TAR FIN'!$A$1:$O$95,15,0))</f>
        <v>0</v>
      </c>
      <c r="W871" s="77">
        <f>IF(ISERROR(VLOOKUP($T$871,'TAR FIN'!$A$1:$O$95,15,0)),0,VLOOKUP($T$871,'TAR FIN'!$A$1:$O$95,15,0))*(1-0.09)</f>
        <v>409.67290000000003</v>
      </c>
      <c r="X871" s="77">
        <f>IF(ISERROR(VLOOKUP($U$871,'TAR FIN'!$A$1:$O$95,15,0)),0,VLOOKUP($U$871,'TAR FIN'!$A$1:$O$95,15,0))*(1-0.09)</f>
        <v>221.40300000000002</v>
      </c>
      <c r="Y871" s="77"/>
      <c r="Z871" s="77">
        <f ca="1">('TUSD BE'!$AM$53+'TUSD BF'!$AM$53+'TUSD CVA'!$AM$53)*1*(1-0.06)</f>
        <v>476.12865324271826</v>
      </c>
      <c r="AA871" s="77">
        <f>('TE BE'!$AA$41+'TE BF'!$AA$41+'TE CVA'!$AA$41)*1*(1-0.06)</f>
        <v>279.36956391055907</v>
      </c>
      <c r="AB871" s="77">
        <f>(SUBSIDIO!$J$871*SUBSIDIO!$V$871)*(0.09)/(1-0.09)</f>
        <v>0</v>
      </c>
      <c r="AC871" s="77">
        <f>((SUBSIDIO!$L$871*SUBSIDIO!$W$871)+(SUBSIDIO!$N$871*SUBSIDIO!$X$871))*(0.09)/(1-0.09)</f>
        <v>1895.3913887999997</v>
      </c>
      <c r="AD871" s="77">
        <f>(SUBSIDIO!$J$871*SUBSIDIO!$Y$871)*(0.06)/(1-0.06)</f>
        <v>0</v>
      </c>
      <c r="AE871" s="77">
        <f ca="1">((SUBSIDIO!$L$871*SUBSIDIO!$Z$871)+(SUBSIDIO!$N$871*SUBSIDIO!$AA$871))*(0.06)/(1-0.06)</f>
        <v>1464.444884585791</v>
      </c>
      <c r="AF871" s="4" t="s">
        <v>842</v>
      </c>
    </row>
    <row r="872" spans="1:32" ht="11.25" customHeight="1" x14ac:dyDescent="0.25">
      <c r="A872" s="4" t="s">
        <v>59</v>
      </c>
      <c r="B872" s="4" t="s">
        <v>41</v>
      </c>
      <c r="C872" s="4" t="s">
        <v>23</v>
      </c>
      <c r="D872" s="4" t="s">
        <v>52</v>
      </c>
      <c r="E872" s="4" t="s">
        <v>53</v>
      </c>
      <c r="F872" s="4" t="s">
        <v>25</v>
      </c>
      <c r="G872" s="4" t="s">
        <v>25</v>
      </c>
      <c r="H872" s="4" t="s">
        <v>25</v>
      </c>
      <c r="I872" s="5">
        <v>44470</v>
      </c>
      <c r="J872" s="6">
        <v>0</v>
      </c>
      <c r="K872" s="77">
        <v>0</v>
      </c>
      <c r="L872" s="6">
        <v>886.77099999999996</v>
      </c>
      <c r="M872" s="77">
        <v>886.77099999999996</v>
      </c>
      <c r="N872" s="6">
        <v>886.77099999999996</v>
      </c>
      <c r="O872" s="77">
        <v>886.77099999999996</v>
      </c>
      <c r="P872" s="6">
        <v>241</v>
      </c>
      <c r="Q872" s="4" t="s">
        <v>26</v>
      </c>
      <c r="R872" s="4">
        <v>0</v>
      </c>
      <c r="S872" s="4">
        <v>0</v>
      </c>
      <c r="T872" s="4">
        <v>72</v>
      </c>
      <c r="U872" s="4">
        <v>78</v>
      </c>
      <c r="V872" s="77">
        <f>IF(ISERROR(VLOOKUP($S$872,'TAR FIN'!$A$1:$O$95,15,0)),0,VLOOKUP($S$872,'TAR FIN'!$A$1:$O$95,15,0))</f>
        <v>0</v>
      </c>
      <c r="W872" s="77">
        <f>IF(ISERROR(VLOOKUP($T$872,'TAR FIN'!$A$1:$O$95,15,0)),0,VLOOKUP($T$872,'TAR FIN'!$A$1:$O$95,15,0))*(1-0.09)</f>
        <v>409.67290000000003</v>
      </c>
      <c r="X872" s="77">
        <f>IF(ISERROR(VLOOKUP($U$872,'TAR FIN'!$A$1:$O$95,15,0)),0,VLOOKUP($U$872,'TAR FIN'!$A$1:$O$95,15,0))*(1-0.09)</f>
        <v>221.40300000000002</v>
      </c>
      <c r="Y872" s="77"/>
      <c r="Z872" s="77">
        <f ca="1">('TUSD BE'!$AM$53+'TUSD BF'!$AM$53+'TUSD CVA'!$AM$53)*1*(1-0.06)</f>
        <v>476.12865324271826</v>
      </c>
      <c r="AA872" s="77">
        <f>('TE BE'!$AA$41+'TE BF'!$AA$41+'TE CVA'!$AA$41)*1*(1-0.06)</f>
        <v>279.36956391055907</v>
      </c>
      <c r="AB872" s="77">
        <f>(SUBSIDIO!$J$872*SUBSIDIO!$V$872)*(0.09)/(1-0.09)</f>
        <v>0</v>
      </c>
      <c r="AC872" s="77">
        <f>((SUBSIDIO!$L$872*SUBSIDIO!$W$872)+(SUBSIDIO!$N$872*SUBSIDIO!$X$872))*(0.09)/(1-0.09)</f>
        <v>55347.013871099996</v>
      </c>
      <c r="AD872" s="77">
        <f>(SUBSIDIO!$J$872*SUBSIDIO!$Y$872)*(0.06)/(1-0.06)</f>
        <v>0</v>
      </c>
      <c r="AE872" s="77">
        <f ca="1">((SUBSIDIO!$L$872*SUBSIDIO!$Z$872)+(SUBSIDIO!$N$872*SUBSIDIO!$AA$872))*(0.06)/(1-0.06)</f>
        <v>42763.015501482696</v>
      </c>
      <c r="AF872" s="4" t="s">
        <v>842</v>
      </c>
    </row>
    <row r="873" spans="1:32" ht="11.25" customHeight="1" x14ac:dyDescent="0.25">
      <c r="A873" s="4" t="s">
        <v>59</v>
      </c>
      <c r="B873" s="4" t="s">
        <v>41</v>
      </c>
      <c r="C873" s="4" t="s">
        <v>23</v>
      </c>
      <c r="D873" s="4" t="s">
        <v>52</v>
      </c>
      <c r="E873" s="4" t="s">
        <v>53</v>
      </c>
      <c r="F873" s="4" t="s">
        <v>25</v>
      </c>
      <c r="G873" s="4" t="s">
        <v>25</v>
      </c>
      <c r="H873" s="4" t="s">
        <v>25</v>
      </c>
      <c r="I873" s="5">
        <v>44470</v>
      </c>
      <c r="J873" s="6">
        <v>0</v>
      </c>
      <c r="K873" s="77">
        <v>0</v>
      </c>
      <c r="L873" s="6">
        <v>-768.45</v>
      </c>
      <c r="M873" s="77">
        <v>-768.45</v>
      </c>
      <c r="N873" s="6">
        <v>-768.45</v>
      </c>
      <c r="O873" s="77">
        <v>-768.45</v>
      </c>
      <c r="P873" s="6">
        <v>0</v>
      </c>
      <c r="Q873" s="4" t="s">
        <v>26</v>
      </c>
      <c r="R873" s="4">
        <v>0</v>
      </c>
      <c r="S873" s="4">
        <v>0</v>
      </c>
      <c r="T873" s="4">
        <v>72</v>
      </c>
      <c r="U873" s="4">
        <v>78</v>
      </c>
      <c r="V873" s="77">
        <f>IF(ISERROR(VLOOKUP($S$873,'TAR FIN'!$A$1:$O$95,15,0)),0,VLOOKUP($S$873,'TAR FIN'!$A$1:$O$95,15,0))</f>
        <v>0</v>
      </c>
      <c r="W873" s="77">
        <f>IF(ISERROR(VLOOKUP($T$873,'TAR FIN'!$A$1:$O$95,15,0)),0,VLOOKUP($T$873,'TAR FIN'!$A$1:$O$95,15,0))*(1-0.09)</f>
        <v>409.67290000000003</v>
      </c>
      <c r="X873" s="77">
        <f>IF(ISERROR(VLOOKUP($U$873,'TAR FIN'!$A$1:$O$95,15,0)),0,VLOOKUP($U$873,'TAR FIN'!$A$1:$O$95,15,0))*(1-0.09)</f>
        <v>221.40300000000002</v>
      </c>
      <c r="Y873" s="77"/>
      <c r="Z873" s="77">
        <f ca="1">('TUSD BE'!$AM$53+'TUSD BF'!$AM$53+'TUSD CVA'!$AM$53)*1*(1-0.06)</f>
        <v>476.12865324271826</v>
      </c>
      <c r="AA873" s="77">
        <f>('TE BE'!$AA$41+'TE BF'!$AA$41+'TE CVA'!$AA$41)*1*(1-0.06)</f>
        <v>279.36956391055907</v>
      </c>
      <c r="AB873" s="77">
        <f>(SUBSIDIO!$J$873*SUBSIDIO!$V$873)*(0.09)/(1-0.09)</f>
        <v>0</v>
      </c>
      <c r="AC873" s="77">
        <f>((SUBSIDIO!$L$873*SUBSIDIO!$W$873)+(SUBSIDIO!$N$873*SUBSIDIO!$X$873))*(0.09)/(1-0.09)</f>
        <v>-47962.115144999996</v>
      </c>
      <c r="AD873" s="77">
        <f>(SUBSIDIO!$J$873*SUBSIDIO!$Y$873)*(0.06)/(1-0.06)</f>
        <v>0</v>
      </c>
      <c r="AE873" s="77">
        <f ca="1">((SUBSIDIO!$L$873*SUBSIDIO!$Z$873)+(SUBSIDIO!$N$873*SUBSIDIO!$AA$873))*(0.06)/(1-0.06)</f>
        <v>-37057.187551368253</v>
      </c>
      <c r="AF873" s="4" t="s">
        <v>842</v>
      </c>
    </row>
    <row r="874" spans="1:32" ht="11.25" customHeight="1" x14ac:dyDescent="0.25">
      <c r="A874" s="4" t="s">
        <v>59</v>
      </c>
      <c r="B874" s="4" t="s">
        <v>41</v>
      </c>
      <c r="C874" s="4" t="s">
        <v>23</v>
      </c>
      <c r="D874" s="4" t="s">
        <v>52</v>
      </c>
      <c r="E874" s="4" t="s">
        <v>53</v>
      </c>
      <c r="F874" s="4" t="s">
        <v>25</v>
      </c>
      <c r="G874" s="4" t="s">
        <v>25</v>
      </c>
      <c r="H874" s="4" t="s">
        <v>25</v>
      </c>
      <c r="I874" s="5">
        <v>44470</v>
      </c>
      <c r="J874" s="6">
        <v>0</v>
      </c>
      <c r="K874" s="77">
        <v>0</v>
      </c>
      <c r="L874" s="6">
        <v>3230.107</v>
      </c>
      <c r="M874" s="77">
        <v>3230.107</v>
      </c>
      <c r="N874" s="6">
        <v>3230.107</v>
      </c>
      <c r="O874" s="77">
        <v>3230.107</v>
      </c>
      <c r="P874" s="6">
        <v>1331</v>
      </c>
      <c r="Q874" s="4" t="s">
        <v>26</v>
      </c>
      <c r="R874" s="4">
        <v>0</v>
      </c>
      <c r="S874" s="4">
        <v>0</v>
      </c>
      <c r="T874" s="4">
        <v>72</v>
      </c>
      <c r="U874" s="4">
        <v>78</v>
      </c>
      <c r="V874" s="77">
        <f>IF(ISERROR(VLOOKUP($S$874,'TAR FIN'!$A$1:$O$95,15,0)),0,VLOOKUP($S$874,'TAR FIN'!$A$1:$O$95,15,0))</f>
        <v>0</v>
      </c>
      <c r="W874" s="77">
        <f>IF(ISERROR(VLOOKUP($T$874,'TAR FIN'!$A$1:$O$95,15,0)),0,VLOOKUP($T$874,'TAR FIN'!$A$1:$O$95,15,0))*(1-0.09)</f>
        <v>409.67290000000003</v>
      </c>
      <c r="X874" s="77">
        <f>IF(ISERROR(VLOOKUP($U$874,'TAR FIN'!$A$1:$O$95,15,0)),0,VLOOKUP($U$874,'TAR FIN'!$A$1:$O$95,15,0))*(1-0.09)</f>
        <v>221.40300000000002</v>
      </c>
      <c r="Y874" s="77"/>
      <c r="Z874" s="77">
        <f ca="1">('TUSD BE'!$AM$53+'TUSD BF'!$AM$53+'TUSD CVA'!$AM$53)*1*(1-0.06)</f>
        <v>476.12865324271826</v>
      </c>
      <c r="AA874" s="77">
        <f>('TE BE'!$AA$41+'TE BF'!$AA$41+'TE CVA'!$AA$41)*1*(1-0.06)</f>
        <v>279.36956391055907</v>
      </c>
      <c r="AB874" s="77">
        <f>(SUBSIDIO!$J$874*SUBSIDIO!$V$874)*(0.09)/(1-0.09)</f>
        <v>0</v>
      </c>
      <c r="AC874" s="77">
        <f>((SUBSIDIO!$L$874*SUBSIDIO!$W$874)+(SUBSIDIO!$N$874*SUBSIDIO!$X$874))*(0.09)/(1-0.09)</f>
        <v>201604.22130870001</v>
      </c>
      <c r="AD874" s="77">
        <f>(SUBSIDIO!$J$874*SUBSIDIO!$Y$874)*(0.06)/(1-0.06)</f>
        <v>0</v>
      </c>
      <c r="AE874" s="77">
        <f ca="1">((SUBSIDIO!$L$874*SUBSIDIO!$Z$874)+(SUBSIDIO!$N$874*SUBSIDIO!$AA$874))*(0.06)/(1-0.06)</f>
        <v>155766.38806687156</v>
      </c>
      <c r="AF874" s="4" t="s">
        <v>842</v>
      </c>
    </row>
    <row r="875" spans="1:32" ht="11.25" customHeight="1" x14ac:dyDescent="0.25">
      <c r="A875" s="4" t="s">
        <v>59</v>
      </c>
      <c r="B875" s="4" t="s">
        <v>41</v>
      </c>
      <c r="C875" s="4" t="s">
        <v>23</v>
      </c>
      <c r="D875" s="4" t="s">
        <v>52</v>
      </c>
      <c r="E875" s="4" t="s">
        <v>53</v>
      </c>
      <c r="F875" s="4" t="s">
        <v>25</v>
      </c>
      <c r="G875" s="4" t="s">
        <v>25</v>
      </c>
      <c r="H875" s="4" t="s">
        <v>25</v>
      </c>
      <c r="I875" s="5">
        <v>44470</v>
      </c>
      <c r="J875" s="6">
        <v>0</v>
      </c>
      <c r="K875" s="77">
        <v>0</v>
      </c>
      <c r="L875" s="6">
        <v>30.367999999999999</v>
      </c>
      <c r="M875" s="77">
        <v>30.367999999999999</v>
      </c>
      <c r="N875" s="6">
        <v>30.367999999999999</v>
      </c>
      <c r="O875" s="77">
        <v>30.367999999999999</v>
      </c>
      <c r="P875" s="6">
        <v>0</v>
      </c>
      <c r="Q875" s="4" t="s">
        <v>26</v>
      </c>
      <c r="R875" s="4">
        <v>0</v>
      </c>
      <c r="S875" s="4">
        <v>0</v>
      </c>
      <c r="T875" s="4">
        <v>72</v>
      </c>
      <c r="U875" s="4">
        <v>78</v>
      </c>
      <c r="V875" s="77">
        <f>IF(ISERROR(VLOOKUP($S$875,'TAR FIN'!$A$1:$O$95,15,0)),0,VLOOKUP($S$875,'TAR FIN'!$A$1:$O$95,15,0))</f>
        <v>0</v>
      </c>
      <c r="W875" s="77">
        <f>IF(ISERROR(VLOOKUP($T$875,'TAR FIN'!$A$1:$O$95,15,0)),0,VLOOKUP($T$875,'TAR FIN'!$A$1:$O$95,15,0))*(1-0.09)</f>
        <v>409.67290000000003</v>
      </c>
      <c r="X875" s="77">
        <f>IF(ISERROR(VLOOKUP($U$875,'TAR FIN'!$A$1:$O$95,15,0)),0,VLOOKUP($U$875,'TAR FIN'!$A$1:$O$95,15,0))*(1-0.09)</f>
        <v>221.40300000000002</v>
      </c>
      <c r="Y875" s="77"/>
      <c r="Z875" s="77">
        <f ca="1">('TUSD BE'!$AM$53+'TUSD BF'!$AM$53+'TUSD CVA'!$AM$53)*1*(1-0.06)</f>
        <v>476.12865324271826</v>
      </c>
      <c r="AA875" s="77">
        <f>('TE BE'!$AA$41+'TE BF'!$AA$41+'TE CVA'!$AA$41)*1*(1-0.06)</f>
        <v>279.36956391055907</v>
      </c>
      <c r="AB875" s="77">
        <f>(SUBSIDIO!$J$875*SUBSIDIO!$V$875)*(0.09)/(1-0.09)</f>
        <v>0</v>
      </c>
      <c r="AC875" s="77">
        <f>((SUBSIDIO!$L$875*SUBSIDIO!$W$875)+(SUBSIDIO!$N$875*SUBSIDIO!$X$875))*(0.09)/(1-0.09)</f>
        <v>1895.3913887999997</v>
      </c>
      <c r="AD875" s="77">
        <f>(SUBSIDIO!$J$875*SUBSIDIO!$Y$875)*(0.06)/(1-0.06)</f>
        <v>0</v>
      </c>
      <c r="AE875" s="77">
        <f ca="1">((SUBSIDIO!$L$875*SUBSIDIO!$Z$875)+(SUBSIDIO!$N$875*SUBSIDIO!$AA$875))*(0.06)/(1-0.06)</f>
        <v>1464.444884585791</v>
      </c>
      <c r="AF875" s="4" t="s">
        <v>842</v>
      </c>
    </row>
    <row r="876" spans="1:32" ht="11.25" customHeight="1" x14ac:dyDescent="0.25">
      <c r="V876" s="6"/>
      <c r="W876" s="6"/>
      <c r="X876" s="6"/>
      <c r="Y876" s="6"/>
      <c r="Z876" s="6"/>
      <c r="AA876" s="6"/>
      <c r="AB876" s="6"/>
      <c r="AC876" s="6"/>
      <c r="AD876" s="6"/>
      <c r="AE876" s="6"/>
    </row>
    <row r="877" spans="1:32" ht="11.25" customHeight="1" x14ac:dyDescent="0.25">
      <c r="V877" s="6"/>
      <c r="W877" s="6"/>
      <c r="X877" s="6"/>
      <c r="Y877" s="6"/>
      <c r="Z877" s="6"/>
      <c r="AA877" s="6"/>
      <c r="AB877" s="6"/>
      <c r="AC877" s="6"/>
      <c r="AD877" s="6"/>
      <c r="AE877" s="6"/>
    </row>
    <row r="878" spans="1:32" ht="11.25" customHeight="1" x14ac:dyDescent="0.25">
      <c r="V878" s="6"/>
      <c r="W878" s="6"/>
      <c r="X878" s="6"/>
      <c r="Y878" s="6"/>
      <c r="Z878" s="6"/>
      <c r="AA878" s="6"/>
      <c r="AB878" s="6"/>
      <c r="AC878" s="6"/>
      <c r="AD878" s="6"/>
      <c r="AE878" s="6"/>
    </row>
    <row r="879" spans="1:32" ht="11.25" customHeight="1" x14ac:dyDescent="0.25">
      <c r="V879" s="6"/>
      <c r="W879" s="6"/>
      <c r="X879" s="6"/>
      <c r="Y879" s="6"/>
      <c r="Z879" s="6"/>
      <c r="AA879" s="6"/>
      <c r="AB879" s="6"/>
      <c r="AC879" s="6"/>
      <c r="AD879" s="6"/>
      <c r="AE879" s="6"/>
    </row>
    <row r="880" spans="1:32" ht="11.25" customHeight="1" x14ac:dyDescent="0.25">
      <c r="V880" s="6"/>
      <c r="W880" s="6"/>
      <c r="X880" s="6"/>
      <c r="Y880" s="6"/>
      <c r="Z880" s="6"/>
      <c r="AA880" s="6"/>
      <c r="AB880" s="6"/>
      <c r="AC880" s="6"/>
      <c r="AD880" s="6"/>
      <c r="AE880" s="6"/>
    </row>
    <row r="881" spans="22:31" ht="11.25" customHeight="1" x14ac:dyDescent="0.25">
      <c r="V881" s="6"/>
      <c r="W881" s="6"/>
      <c r="X881" s="6"/>
      <c r="Y881" s="6"/>
      <c r="Z881" s="6"/>
      <c r="AA881" s="6"/>
      <c r="AB881" s="6"/>
      <c r="AC881" s="6"/>
      <c r="AD881" s="6"/>
      <c r="AE881" s="6"/>
    </row>
    <row r="882" spans="22:31" ht="11.25" customHeight="1" x14ac:dyDescent="0.25">
      <c r="V882" s="6"/>
      <c r="W882" s="6"/>
      <c r="X882" s="6"/>
      <c r="Y882" s="6"/>
      <c r="Z882" s="6"/>
      <c r="AA882" s="6"/>
      <c r="AB882" s="6"/>
      <c r="AC882" s="6"/>
      <c r="AD882" s="6"/>
      <c r="AE882" s="6"/>
    </row>
    <row r="883" spans="22:31" ht="11.25" customHeight="1" x14ac:dyDescent="0.25">
      <c r="V883" s="6"/>
      <c r="W883" s="6"/>
      <c r="X883" s="6"/>
      <c r="Y883" s="6"/>
      <c r="Z883" s="6"/>
      <c r="AA883" s="6"/>
      <c r="AB883" s="6"/>
      <c r="AC883" s="6"/>
      <c r="AD883" s="6"/>
      <c r="AE883" s="6"/>
    </row>
    <row r="884" spans="22:31" ht="11.25" customHeight="1" x14ac:dyDescent="0.25">
      <c r="V884" s="6"/>
      <c r="W884" s="6"/>
      <c r="X884" s="6"/>
      <c r="Y884" s="6"/>
      <c r="Z884" s="6"/>
      <c r="AA884" s="6"/>
      <c r="AB884" s="6"/>
      <c r="AC884" s="6"/>
      <c r="AD884" s="6"/>
      <c r="AE884" s="6"/>
    </row>
    <row r="885" spans="22:31" ht="11.25" customHeight="1" x14ac:dyDescent="0.25">
      <c r="V885" s="6"/>
      <c r="W885" s="6"/>
      <c r="X885" s="6"/>
      <c r="Y885" s="6"/>
      <c r="Z885" s="6"/>
      <c r="AA885" s="6"/>
      <c r="AB885" s="6"/>
      <c r="AC885" s="6"/>
      <c r="AD885" s="6"/>
      <c r="AE885" s="6"/>
    </row>
    <row r="886" spans="22:31" ht="11.25" customHeight="1" x14ac:dyDescent="0.25">
      <c r="V886" s="6"/>
      <c r="W886" s="6"/>
      <c r="X886" s="6"/>
      <c r="Y886" s="6"/>
      <c r="Z886" s="6"/>
      <c r="AA886" s="6"/>
      <c r="AB886" s="6"/>
      <c r="AC886" s="6"/>
      <c r="AD886" s="6"/>
      <c r="AE886" s="6"/>
    </row>
    <row r="887" spans="22:31" ht="11.25" customHeight="1" x14ac:dyDescent="0.25">
      <c r="V887" s="6"/>
      <c r="W887" s="6"/>
      <c r="X887" s="6"/>
      <c r="Y887" s="6"/>
      <c r="Z887" s="6"/>
      <c r="AA887" s="6"/>
      <c r="AB887" s="6"/>
      <c r="AC887" s="6"/>
      <c r="AD887" s="6"/>
      <c r="AE887" s="6"/>
    </row>
    <row r="888" spans="22:31" ht="11.25" customHeight="1" x14ac:dyDescent="0.25">
      <c r="V888" s="6"/>
      <c r="W888" s="6"/>
      <c r="X888" s="6"/>
      <c r="Y888" s="6"/>
      <c r="Z888" s="6"/>
      <c r="AA888" s="6"/>
      <c r="AB888" s="6"/>
      <c r="AC888" s="6"/>
      <c r="AD888" s="6"/>
      <c r="AE888" s="6"/>
    </row>
    <row r="889" spans="22:31" ht="11.25" customHeight="1" x14ac:dyDescent="0.25">
      <c r="V889" s="6"/>
      <c r="W889" s="6"/>
      <c r="X889" s="6"/>
      <c r="Y889" s="6"/>
      <c r="Z889" s="6"/>
      <c r="AA889" s="6"/>
      <c r="AB889" s="6"/>
      <c r="AC889" s="6"/>
      <c r="AD889" s="6"/>
      <c r="AE889" s="6"/>
    </row>
    <row r="890" spans="22:31" ht="11.25" customHeight="1" x14ac:dyDescent="0.25">
      <c r="V890" s="6"/>
      <c r="W890" s="6"/>
      <c r="X890" s="6"/>
      <c r="Y890" s="6"/>
      <c r="Z890" s="6"/>
      <c r="AA890" s="6"/>
      <c r="AB890" s="6"/>
      <c r="AC890" s="6"/>
      <c r="AD890" s="6"/>
      <c r="AE890" s="6"/>
    </row>
    <row r="891" spans="22:31" ht="11.25" customHeight="1" x14ac:dyDescent="0.25">
      <c r="V891" s="6"/>
      <c r="W891" s="6"/>
      <c r="X891" s="6"/>
      <c r="Y891" s="6"/>
      <c r="Z891" s="6"/>
      <c r="AA891" s="6"/>
      <c r="AB891" s="6"/>
      <c r="AC891" s="6"/>
      <c r="AD891" s="6"/>
      <c r="AE891" s="6"/>
    </row>
    <row r="892" spans="22:31" ht="11.25" customHeight="1" x14ac:dyDescent="0.25">
      <c r="V892" s="6"/>
      <c r="W892" s="6"/>
      <c r="X892" s="6"/>
      <c r="Y892" s="6"/>
      <c r="Z892" s="6"/>
      <c r="AA892" s="6"/>
      <c r="AB892" s="6"/>
      <c r="AC892" s="6"/>
      <c r="AD892" s="6"/>
      <c r="AE892" s="6"/>
    </row>
    <row r="893" spans="22:31" ht="11.25" customHeight="1" x14ac:dyDescent="0.25">
      <c r="V893" s="6"/>
      <c r="W893" s="6"/>
      <c r="X893" s="6"/>
      <c r="Y893" s="6"/>
      <c r="Z893" s="6"/>
      <c r="AA893" s="6"/>
      <c r="AB893" s="6"/>
      <c r="AC893" s="6"/>
      <c r="AD893" s="6"/>
      <c r="AE893" s="6"/>
    </row>
    <row r="894" spans="22:31" ht="11.25" customHeight="1" x14ac:dyDescent="0.25">
      <c r="V894" s="6"/>
      <c r="W894" s="6"/>
      <c r="X894" s="6"/>
      <c r="Y894" s="6"/>
      <c r="Z894" s="6"/>
      <c r="AA894" s="6"/>
      <c r="AB894" s="6"/>
      <c r="AC894" s="6"/>
      <c r="AD894" s="6"/>
      <c r="AE894" s="6"/>
    </row>
    <row r="895" spans="22:31" ht="11.25" customHeight="1" x14ac:dyDescent="0.25">
      <c r="V895" s="6"/>
      <c r="W895" s="6"/>
      <c r="X895" s="6"/>
      <c r="Y895" s="6"/>
      <c r="Z895" s="6"/>
      <c r="AA895" s="6"/>
      <c r="AB895" s="6"/>
      <c r="AC895" s="6"/>
      <c r="AD895" s="6"/>
      <c r="AE895" s="6"/>
    </row>
    <row r="896" spans="22:31" ht="11.25" customHeight="1" x14ac:dyDescent="0.25">
      <c r="V896" s="6"/>
      <c r="W896" s="6"/>
      <c r="X896" s="6"/>
      <c r="Y896" s="6"/>
      <c r="Z896" s="6"/>
      <c r="AA896" s="6"/>
      <c r="AB896" s="6"/>
      <c r="AC896" s="6"/>
      <c r="AD896" s="6"/>
      <c r="AE896" s="6"/>
    </row>
    <row r="897" spans="22:31" ht="11.25" customHeight="1" x14ac:dyDescent="0.25">
      <c r="V897" s="6"/>
      <c r="W897" s="6"/>
      <c r="X897" s="6"/>
      <c r="Y897" s="6"/>
      <c r="Z897" s="6"/>
      <c r="AA897" s="6"/>
      <c r="AB897" s="6"/>
      <c r="AC897" s="6"/>
      <c r="AD897" s="6"/>
      <c r="AE897" s="6"/>
    </row>
    <row r="898" spans="22:31" ht="11.25" customHeight="1" x14ac:dyDescent="0.25">
      <c r="V898" s="6"/>
      <c r="W898" s="6"/>
      <c r="X898" s="6"/>
      <c r="Y898" s="6"/>
      <c r="Z898" s="6"/>
      <c r="AA898" s="6"/>
      <c r="AB898" s="6"/>
      <c r="AC898" s="6"/>
      <c r="AD898" s="6"/>
      <c r="AE898" s="6"/>
    </row>
    <row r="899" spans="22:31" ht="11.25" customHeight="1" x14ac:dyDescent="0.25">
      <c r="V899" s="6"/>
      <c r="W899" s="6"/>
      <c r="X899" s="6"/>
      <c r="Y899" s="6"/>
      <c r="Z899" s="6"/>
      <c r="AA899" s="6"/>
      <c r="AB899" s="6"/>
      <c r="AC899" s="6"/>
      <c r="AD899" s="6"/>
      <c r="AE899" s="6"/>
    </row>
    <row r="900" spans="22:31" ht="11.25" customHeight="1" x14ac:dyDescent="0.25">
      <c r="V900" s="6"/>
      <c r="W900" s="6"/>
      <c r="X900" s="6"/>
      <c r="Y900" s="6"/>
      <c r="Z900" s="6"/>
      <c r="AA900" s="6"/>
      <c r="AB900" s="6"/>
      <c r="AC900" s="6"/>
      <c r="AD900" s="6"/>
      <c r="AE900" s="6"/>
    </row>
    <row r="901" spans="22:31" ht="11.25" customHeight="1" x14ac:dyDescent="0.25">
      <c r="V901" s="6"/>
      <c r="W901" s="6"/>
      <c r="X901" s="6"/>
      <c r="Y901" s="6"/>
      <c r="Z901" s="6"/>
      <c r="AA901" s="6"/>
      <c r="AB901" s="6"/>
      <c r="AC901" s="6"/>
      <c r="AD901" s="6"/>
      <c r="AE901" s="6"/>
    </row>
    <row r="902" spans="22:31" ht="11.25" customHeight="1" x14ac:dyDescent="0.25">
      <c r="V902" s="6"/>
      <c r="W902" s="6"/>
      <c r="X902" s="6"/>
      <c r="Y902" s="6"/>
      <c r="Z902" s="6"/>
      <c r="AA902" s="6"/>
      <c r="AB902" s="6"/>
      <c r="AC902" s="6"/>
      <c r="AD902" s="6"/>
      <c r="AE902" s="6"/>
    </row>
    <row r="903" spans="22:31" ht="11.25" customHeight="1" x14ac:dyDescent="0.25">
      <c r="V903" s="6"/>
      <c r="W903" s="6"/>
      <c r="X903" s="6"/>
      <c r="Y903" s="6"/>
      <c r="Z903" s="6"/>
      <c r="AA903" s="6"/>
      <c r="AB903" s="6"/>
      <c r="AC903" s="6"/>
      <c r="AD903" s="6"/>
      <c r="AE903" s="6"/>
    </row>
    <row r="904" spans="22:31" ht="11.25" customHeight="1" x14ac:dyDescent="0.25">
      <c r="V904" s="6"/>
      <c r="W904" s="6"/>
      <c r="X904" s="6"/>
      <c r="Y904" s="6"/>
      <c r="Z904" s="6"/>
      <c r="AA904" s="6"/>
      <c r="AB904" s="6"/>
      <c r="AC904" s="6"/>
      <c r="AD904" s="6"/>
      <c r="AE904" s="6"/>
    </row>
    <row r="905" spans="22:31" ht="11.25" customHeight="1" x14ac:dyDescent="0.25">
      <c r="V905" s="6"/>
      <c r="W905" s="6"/>
      <c r="X905" s="6"/>
      <c r="Y905" s="6"/>
      <c r="Z905" s="6"/>
      <c r="AA905" s="6"/>
      <c r="AB905" s="6"/>
      <c r="AC905" s="6"/>
      <c r="AD905" s="6"/>
      <c r="AE905" s="6"/>
    </row>
    <row r="906" spans="22:31" ht="11.25" customHeight="1" x14ac:dyDescent="0.25">
      <c r="V906" s="6"/>
      <c r="W906" s="6"/>
      <c r="X906" s="6"/>
      <c r="Y906" s="6"/>
      <c r="Z906" s="6"/>
      <c r="AA906" s="6"/>
      <c r="AB906" s="6"/>
      <c r="AC906" s="6"/>
      <c r="AD906" s="6"/>
      <c r="AE906" s="6"/>
    </row>
    <row r="907" spans="22:31" ht="11.25" customHeight="1" x14ac:dyDescent="0.25">
      <c r="V907" s="6"/>
      <c r="W907" s="6"/>
      <c r="X907" s="6"/>
      <c r="Y907" s="6"/>
      <c r="Z907" s="6"/>
      <c r="AA907" s="6"/>
      <c r="AB907" s="6"/>
      <c r="AC907" s="6"/>
      <c r="AD907" s="6"/>
      <c r="AE907" s="6"/>
    </row>
    <row r="908" spans="22:31" ht="11.25" customHeight="1" x14ac:dyDescent="0.25">
      <c r="V908" s="6"/>
      <c r="W908" s="6"/>
      <c r="X908" s="6"/>
      <c r="Y908" s="6"/>
      <c r="Z908" s="6"/>
      <c r="AA908" s="6"/>
      <c r="AB908" s="6"/>
      <c r="AC908" s="6"/>
      <c r="AD908" s="6"/>
      <c r="AE908" s="6"/>
    </row>
    <row r="909" spans="22:31" ht="11.25" customHeight="1" x14ac:dyDescent="0.25">
      <c r="V909" s="6"/>
      <c r="W909" s="6"/>
      <c r="X909" s="6"/>
      <c r="Y909" s="6"/>
      <c r="Z909" s="6"/>
      <c r="AA909" s="6"/>
      <c r="AB909" s="6"/>
      <c r="AC909" s="6"/>
      <c r="AD909" s="6"/>
      <c r="AE909" s="6"/>
    </row>
    <row r="910" spans="22:31" ht="11.25" customHeight="1" x14ac:dyDescent="0.25">
      <c r="V910" s="6"/>
      <c r="W910" s="6"/>
      <c r="X910" s="6"/>
      <c r="Y910" s="6"/>
      <c r="Z910" s="6"/>
      <c r="AA910" s="6"/>
      <c r="AB910" s="6"/>
      <c r="AC910" s="6"/>
      <c r="AD910" s="6"/>
      <c r="AE910" s="6"/>
    </row>
    <row r="911" spans="22:31" ht="11.25" customHeight="1" x14ac:dyDescent="0.25">
      <c r="V911" s="6"/>
      <c r="W911" s="6"/>
      <c r="X911" s="6"/>
      <c r="Y911" s="6"/>
      <c r="Z911" s="6"/>
      <c r="AA911" s="6"/>
      <c r="AB911" s="6"/>
      <c r="AC911" s="6"/>
      <c r="AD911" s="6"/>
      <c r="AE911" s="6"/>
    </row>
    <row r="912" spans="22:31" ht="11.25" customHeight="1" x14ac:dyDescent="0.25">
      <c r="V912" s="6"/>
      <c r="W912" s="6"/>
      <c r="X912" s="6"/>
      <c r="Y912" s="6"/>
      <c r="Z912" s="6"/>
      <c r="AA912" s="6"/>
      <c r="AB912" s="6"/>
      <c r="AC912" s="6"/>
      <c r="AD912" s="6"/>
      <c r="AE912" s="6"/>
    </row>
    <row r="913" spans="22:31" ht="11.25" customHeight="1" x14ac:dyDescent="0.25">
      <c r="V913" s="6"/>
      <c r="W913" s="6"/>
      <c r="X913" s="6"/>
      <c r="Y913" s="6"/>
      <c r="Z913" s="6"/>
      <c r="AA913" s="6"/>
      <c r="AB913" s="6"/>
      <c r="AC913" s="6"/>
      <c r="AD913" s="6"/>
      <c r="AE913" s="6"/>
    </row>
    <row r="914" spans="22:31" ht="11.25" customHeight="1" x14ac:dyDescent="0.25">
      <c r="V914" s="6"/>
      <c r="W914" s="6"/>
      <c r="X914" s="6"/>
      <c r="Y914" s="6"/>
      <c r="Z914" s="6"/>
      <c r="AA914" s="6"/>
      <c r="AB914" s="6"/>
      <c r="AC914" s="6"/>
      <c r="AD914" s="6"/>
      <c r="AE914" s="6"/>
    </row>
    <row r="915" spans="22:31" ht="11.25" customHeight="1" x14ac:dyDescent="0.25">
      <c r="V915" s="6"/>
      <c r="W915" s="6"/>
      <c r="X915" s="6"/>
      <c r="Y915" s="6"/>
      <c r="Z915" s="6"/>
      <c r="AA915" s="6"/>
      <c r="AB915" s="6"/>
      <c r="AC915" s="6"/>
      <c r="AD915" s="6"/>
      <c r="AE915" s="6"/>
    </row>
    <row r="916" spans="22:31" ht="11.25" customHeight="1" x14ac:dyDescent="0.25">
      <c r="V916" s="6"/>
      <c r="W916" s="6"/>
      <c r="X916" s="6"/>
      <c r="Y916" s="6"/>
      <c r="Z916" s="6"/>
      <c r="AA916" s="6"/>
      <c r="AB916" s="6"/>
      <c r="AC916" s="6"/>
      <c r="AD916" s="6"/>
      <c r="AE916" s="6"/>
    </row>
    <row r="917" spans="22:31" ht="11.25" customHeight="1" x14ac:dyDescent="0.25">
      <c r="V917" s="6"/>
      <c r="W917" s="6"/>
      <c r="X917" s="6"/>
      <c r="Y917" s="6"/>
      <c r="Z917" s="6"/>
      <c r="AA917" s="6"/>
      <c r="AB917" s="6"/>
      <c r="AC917" s="6"/>
      <c r="AD917" s="6"/>
      <c r="AE917" s="6"/>
    </row>
    <row r="918" spans="22:31" ht="11.25" customHeight="1" x14ac:dyDescent="0.25">
      <c r="V918" s="6"/>
      <c r="W918" s="6"/>
      <c r="X918" s="6"/>
      <c r="Y918" s="6"/>
      <c r="Z918" s="6"/>
      <c r="AA918" s="6"/>
      <c r="AB918" s="6"/>
      <c r="AC918" s="6"/>
      <c r="AD918" s="6"/>
      <c r="AE918" s="6"/>
    </row>
    <row r="919" spans="22:31" ht="11.25" customHeight="1" x14ac:dyDescent="0.25">
      <c r="V919" s="6"/>
      <c r="W919" s="6"/>
      <c r="X919" s="6"/>
      <c r="Y919" s="6"/>
      <c r="Z919" s="6"/>
      <c r="AA919" s="6"/>
      <c r="AB919" s="6"/>
      <c r="AC919" s="6"/>
      <c r="AD919" s="6"/>
      <c r="AE919" s="6"/>
    </row>
    <row r="920" spans="22:31" ht="11.25" customHeight="1" x14ac:dyDescent="0.25">
      <c r="V920" s="6"/>
      <c r="W920" s="6"/>
      <c r="X920" s="6"/>
      <c r="Y920" s="6"/>
      <c r="Z920" s="6"/>
      <c r="AA920" s="6"/>
      <c r="AB920" s="6"/>
      <c r="AC920" s="6"/>
      <c r="AD920" s="6"/>
      <c r="AE920" s="6"/>
    </row>
    <row r="921" spans="22:31" ht="11.25" customHeight="1" x14ac:dyDescent="0.25">
      <c r="V921" s="6"/>
      <c r="W921" s="6"/>
      <c r="X921" s="6"/>
      <c r="Y921" s="6"/>
      <c r="Z921" s="6"/>
      <c r="AA921" s="6"/>
      <c r="AB921" s="6"/>
      <c r="AC921" s="6"/>
      <c r="AD921" s="6"/>
      <c r="AE921" s="6"/>
    </row>
    <row r="922" spans="22:31" ht="11.25" customHeight="1" x14ac:dyDescent="0.25">
      <c r="V922" s="6"/>
      <c r="W922" s="6"/>
      <c r="X922" s="6"/>
      <c r="Y922" s="6"/>
      <c r="Z922" s="6"/>
      <c r="AA922" s="6"/>
      <c r="AB922" s="6"/>
      <c r="AC922" s="6"/>
      <c r="AD922" s="6"/>
      <c r="AE922" s="6"/>
    </row>
    <row r="923" spans="22:31" ht="11.25" customHeight="1" x14ac:dyDescent="0.25">
      <c r="V923" s="6"/>
      <c r="W923" s="6"/>
      <c r="X923" s="6"/>
      <c r="Y923" s="6"/>
      <c r="Z923" s="6"/>
      <c r="AA923" s="6"/>
      <c r="AB923" s="6"/>
      <c r="AC923" s="6"/>
      <c r="AD923" s="6"/>
      <c r="AE923" s="6"/>
    </row>
    <row r="924" spans="22:31" ht="11.25" customHeight="1" x14ac:dyDescent="0.25">
      <c r="V924" s="6"/>
      <c r="W924" s="6"/>
      <c r="X924" s="6"/>
      <c r="Y924" s="6"/>
      <c r="Z924" s="6"/>
      <c r="AA924" s="6"/>
      <c r="AB924" s="6"/>
      <c r="AC924" s="6"/>
      <c r="AD924" s="6"/>
      <c r="AE924" s="6"/>
    </row>
    <row r="925" spans="22:31" ht="11.25" customHeight="1" x14ac:dyDescent="0.25">
      <c r="V925" s="6"/>
      <c r="W925" s="6"/>
      <c r="X925" s="6"/>
      <c r="Y925" s="6"/>
      <c r="Z925" s="6"/>
      <c r="AA925" s="6"/>
      <c r="AB925" s="6"/>
      <c r="AC925" s="6"/>
      <c r="AD925" s="6"/>
      <c r="AE925" s="6"/>
    </row>
    <row r="926" spans="22:31" ht="11.25" customHeight="1" x14ac:dyDescent="0.25">
      <c r="V926" s="6"/>
      <c r="W926" s="6"/>
      <c r="X926" s="6"/>
      <c r="Y926" s="6"/>
      <c r="Z926" s="6"/>
      <c r="AA926" s="6"/>
      <c r="AB926" s="6"/>
      <c r="AC926" s="6"/>
      <c r="AD926" s="6"/>
      <c r="AE926" s="6"/>
    </row>
    <row r="927" spans="22:31" ht="11.25" customHeight="1" x14ac:dyDescent="0.25">
      <c r="V927" s="6"/>
      <c r="W927" s="6"/>
      <c r="X927" s="6"/>
      <c r="Y927" s="6"/>
      <c r="Z927" s="6"/>
      <c r="AA927" s="6"/>
      <c r="AB927" s="6"/>
      <c r="AC927" s="6"/>
      <c r="AD927" s="6"/>
      <c r="AE927" s="6"/>
    </row>
    <row r="928" spans="22:31" ht="11.25" customHeight="1" x14ac:dyDescent="0.25">
      <c r="V928" s="6"/>
      <c r="W928" s="6"/>
      <c r="X928" s="6"/>
      <c r="Y928" s="6"/>
      <c r="Z928" s="6"/>
      <c r="AA928" s="6"/>
      <c r="AB928" s="6"/>
      <c r="AC928" s="6"/>
      <c r="AD928" s="6"/>
      <c r="AE928" s="6"/>
    </row>
    <row r="929" spans="22:31" ht="11.25" customHeight="1" x14ac:dyDescent="0.25">
      <c r="V929" s="6"/>
      <c r="W929" s="6"/>
      <c r="X929" s="6"/>
      <c r="Y929" s="6"/>
      <c r="Z929" s="6"/>
      <c r="AA929" s="6"/>
      <c r="AB929" s="6"/>
      <c r="AC929" s="6"/>
      <c r="AD929" s="6"/>
      <c r="AE929" s="6"/>
    </row>
    <row r="930" spans="22:31" ht="11.25" customHeight="1" x14ac:dyDescent="0.25">
      <c r="V930" s="6"/>
      <c r="W930" s="6"/>
      <c r="X930" s="6"/>
      <c r="Y930" s="6"/>
      <c r="Z930" s="6"/>
      <c r="AA930" s="6"/>
      <c r="AB930" s="6"/>
      <c r="AC930" s="6"/>
      <c r="AD930" s="6"/>
      <c r="AE930" s="6"/>
    </row>
    <row r="931" spans="22:31" ht="11.25" customHeight="1" x14ac:dyDescent="0.25">
      <c r="V931" s="6"/>
      <c r="W931" s="6"/>
      <c r="X931" s="6"/>
      <c r="Y931" s="6"/>
      <c r="Z931" s="6"/>
      <c r="AA931" s="6"/>
      <c r="AB931" s="6"/>
      <c r="AC931" s="6"/>
      <c r="AD931" s="6"/>
      <c r="AE931" s="6"/>
    </row>
    <row r="932" spans="22:31" ht="11.25" customHeight="1" x14ac:dyDescent="0.25">
      <c r="V932" s="6"/>
      <c r="W932" s="6"/>
      <c r="X932" s="6"/>
      <c r="Y932" s="6"/>
      <c r="Z932" s="6"/>
      <c r="AA932" s="6"/>
      <c r="AB932" s="6"/>
      <c r="AC932" s="6"/>
      <c r="AD932" s="6"/>
      <c r="AE932" s="6"/>
    </row>
    <row r="933" spans="22:31" ht="11.25" customHeight="1" x14ac:dyDescent="0.25">
      <c r="V933" s="6"/>
      <c r="W933" s="6"/>
      <c r="X933" s="6"/>
      <c r="Y933" s="6"/>
      <c r="Z933" s="6"/>
      <c r="AA933" s="6"/>
      <c r="AB933" s="6"/>
      <c r="AC933" s="6"/>
      <c r="AD933" s="6"/>
      <c r="AE933" s="6"/>
    </row>
    <row r="934" spans="22:31" ht="11.25" customHeight="1" x14ac:dyDescent="0.25">
      <c r="V934" s="6"/>
      <c r="W934" s="6"/>
      <c r="X934" s="6"/>
      <c r="Y934" s="6"/>
      <c r="Z934" s="6"/>
      <c r="AA934" s="6"/>
      <c r="AB934" s="6"/>
      <c r="AC934" s="6"/>
      <c r="AD934" s="6"/>
      <c r="AE934" s="6"/>
    </row>
    <row r="935" spans="22:31" ht="11.25" customHeight="1" x14ac:dyDescent="0.25">
      <c r="V935" s="6"/>
      <c r="W935" s="6"/>
      <c r="X935" s="6"/>
      <c r="Y935" s="6"/>
      <c r="Z935" s="6"/>
      <c r="AA935" s="6"/>
      <c r="AB935" s="6"/>
      <c r="AC935" s="6"/>
      <c r="AD935" s="6"/>
      <c r="AE935" s="6"/>
    </row>
    <row r="936" spans="22:31" ht="11.25" customHeight="1" x14ac:dyDescent="0.25">
      <c r="V936" s="6"/>
      <c r="W936" s="6"/>
      <c r="X936" s="6"/>
      <c r="Y936" s="6"/>
      <c r="Z936" s="6"/>
      <c r="AA936" s="6"/>
      <c r="AB936" s="6"/>
      <c r="AC936" s="6"/>
      <c r="AD936" s="6"/>
      <c r="AE936" s="6"/>
    </row>
    <row r="937" spans="22:31" ht="11.25" customHeight="1" x14ac:dyDescent="0.25">
      <c r="V937" s="6"/>
      <c r="W937" s="6"/>
      <c r="X937" s="6"/>
      <c r="Y937" s="6"/>
      <c r="Z937" s="6"/>
      <c r="AA937" s="6"/>
      <c r="AB937" s="6"/>
      <c r="AC937" s="6"/>
      <c r="AD937" s="6"/>
      <c r="AE937" s="6"/>
    </row>
    <row r="938" spans="22:31" ht="11.25" customHeight="1" x14ac:dyDescent="0.25">
      <c r="V938" s="6"/>
      <c r="W938" s="6"/>
      <c r="X938" s="6"/>
      <c r="Y938" s="6"/>
      <c r="Z938" s="6"/>
      <c r="AA938" s="6"/>
      <c r="AB938" s="6"/>
      <c r="AC938" s="6"/>
      <c r="AD938" s="6"/>
      <c r="AE938" s="6"/>
    </row>
    <row r="939" spans="22:31" ht="11.25" customHeight="1" x14ac:dyDescent="0.25">
      <c r="V939" s="6"/>
      <c r="W939" s="6"/>
      <c r="X939" s="6"/>
      <c r="Y939" s="6"/>
      <c r="Z939" s="6"/>
      <c r="AA939" s="6"/>
      <c r="AB939" s="6"/>
      <c r="AC939" s="6"/>
      <c r="AD939" s="6"/>
      <c r="AE939" s="6"/>
    </row>
    <row r="940" spans="22:31" ht="11.25" customHeight="1" x14ac:dyDescent="0.25">
      <c r="V940" s="6"/>
      <c r="W940" s="6"/>
      <c r="X940" s="6"/>
      <c r="Y940" s="6"/>
      <c r="Z940" s="6"/>
      <c r="AA940" s="6"/>
      <c r="AB940" s="6"/>
      <c r="AC940" s="6"/>
      <c r="AD940" s="6"/>
      <c r="AE940" s="6"/>
    </row>
    <row r="941" spans="22:31" ht="11.25" customHeight="1" x14ac:dyDescent="0.25">
      <c r="V941" s="6"/>
      <c r="W941" s="6"/>
      <c r="X941" s="6"/>
      <c r="Y941" s="6"/>
      <c r="Z941" s="6"/>
      <c r="AA941" s="6"/>
      <c r="AB941" s="6"/>
      <c r="AC941" s="6"/>
      <c r="AD941" s="6"/>
      <c r="AE941" s="6"/>
    </row>
    <row r="942" spans="22:31" ht="11.25" customHeight="1" x14ac:dyDescent="0.25">
      <c r="V942" s="6"/>
      <c r="W942" s="6"/>
      <c r="X942" s="6"/>
      <c r="Y942" s="6"/>
      <c r="Z942" s="6"/>
      <c r="AA942" s="6"/>
      <c r="AB942" s="6"/>
      <c r="AC942" s="6"/>
      <c r="AD942" s="6"/>
      <c r="AE942" s="6"/>
    </row>
    <row r="943" spans="22:31" ht="11.25" customHeight="1" x14ac:dyDescent="0.25">
      <c r="V943" s="6"/>
      <c r="W943" s="6"/>
      <c r="X943" s="6"/>
      <c r="Y943" s="6"/>
      <c r="Z943" s="6"/>
      <c r="AA943" s="6"/>
      <c r="AB943" s="6"/>
      <c r="AC943" s="6"/>
      <c r="AD943" s="6"/>
      <c r="AE943" s="6"/>
    </row>
    <row r="944" spans="22:31" ht="11.25" customHeight="1" x14ac:dyDescent="0.25">
      <c r="V944" s="6"/>
      <c r="W944" s="6"/>
      <c r="X944" s="6"/>
      <c r="Y944" s="6"/>
      <c r="Z944" s="6"/>
      <c r="AA944" s="6"/>
      <c r="AB944" s="6"/>
      <c r="AC944" s="6"/>
      <c r="AD944" s="6"/>
      <c r="AE944" s="6"/>
    </row>
    <row r="945" spans="22:31" ht="11.25" customHeight="1" x14ac:dyDescent="0.25">
      <c r="V945" s="6"/>
      <c r="W945" s="6"/>
      <c r="X945" s="6"/>
      <c r="Y945" s="6"/>
      <c r="Z945" s="6"/>
      <c r="AA945" s="6"/>
      <c r="AB945" s="6"/>
      <c r="AC945" s="6"/>
      <c r="AD945" s="6"/>
      <c r="AE945" s="6"/>
    </row>
    <row r="946" spans="22:31" ht="11.25" customHeight="1" x14ac:dyDescent="0.25">
      <c r="V946" s="6"/>
      <c r="W946" s="6"/>
      <c r="X946" s="6"/>
      <c r="Y946" s="6"/>
      <c r="Z946" s="6"/>
      <c r="AA946" s="6"/>
      <c r="AB946" s="6"/>
      <c r="AC946" s="6"/>
      <c r="AD946" s="6"/>
      <c r="AE946" s="6"/>
    </row>
    <row r="947" spans="22:31" ht="11.25" customHeight="1" x14ac:dyDescent="0.25">
      <c r="V947" s="6"/>
      <c r="W947" s="6"/>
      <c r="X947" s="6"/>
      <c r="Y947" s="6"/>
      <c r="Z947" s="6"/>
      <c r="AA947" s="6"/>
      <c r="AB947" s="6"/>
      <c r="AC947" s="6"/>
      <c r="AD947" s="6"/>
      <c r="AE947" s="6"/>
    </row>
    <row r="948" spans="22:31" ht="11.25" customHeight="1" x14ac:dyDescent="0.25">
      <c r="V948" s="6"/>
      <c r="W948" s="6"/>
      <c r="X948" s="6"/>
      <c r="Y948" s="6"/>
      <c r="Z948" s="6"/>
      <c r="AA948" s="6"/>
      <c r="AB948" s="6"/>
      <c r="AC948" s="6"/>
      <c r="AD948" s="6"/>
      <c r="AE948" s="6"/>
    </row>
    <row r="949" spans="22:31" ht="11.25" customHeight="1" x14ac:dyDescent="0.25">
      <c r="V949" s="6"/>
      <c r="W949" s="6"/>
      <c r="X949" s="6"/>
      <c r="Y949" s="6"/>
      <c r="Z949" s="6"/>
      <c r="AA949" s="6"/>
      <c r="AB949" s="6"/>
      <c r="AC949" s="6"/>
      <c r="AD949" s="6"/>
      <c r="AE949" s="6"/>
    </row>
    <row r="950" spans="22:31" ht="11.25" customHeight="1" x14ac:dyDescent="0.25">
      <c r="V950" s="6"/>
      <c r="W950" s="6"/>
      <c r="X950" s="6"/>
      <c r="Y950" s="6"/>
      <c r="Z950" s="6"/>
      <c r="AA950" s="6"/>
      <c r="AB950" s="6"/>
      <c r="AC950" s="6"/>
      <c r="AD950" s="6"/>
      <c r="AE950" s="6"/>
    </row>
    <row r="951" spans="22:31" ht="11.25" customHeight="1" x14ac:dyDescent="0.25">
      <c r="V951" s="6"/>
      <c r="W951" s="6"/>
      <c r="X951" s="6"/>
      <c r="Y951" s="6"/>
      <c r="Z951" s="6"/>
      <c r="AA951" s="6"/>
      <c r="AB951" s="6"/>
      <c r="AC951" s="6"/>
      <c r="AD951" s="6"/>
      <c r="AE951" s="6"/>
    </row>
    <row r="952" spans="22:31" ht="11.25" customHeight="1" x14ac:dyDescent="0.25">
      <c r="V952" s="6"/>
      <c r="W952" s="6"/>
      <c r="X952" s="6"/>
      <c r="Y952" s="6"/>
      <c r="Z952" s="6"/>
      <c r="AA952" s="6"/>
      <c r="AB952" s="6"/>
      <c r="AC952" s="6"/>
      <c r="AD952" s="6"/>
      <c r="AE952" s="6"/>
    </row>
    <row r="953" spans="22:31" ht="11.25" customHeight="1" x14ac:dyDescent="0.25">
      <c r="V953" s="6"/>
      <c r="W953" s="6"/>
      <c r="X953" s="6"/>
      <c r="Y953" s="6"/>
      <c r="Z953" s="6"/>
      <c r="AA953" s="6"/>
      <c r="AB953" s="6"/>
      <c r="AC953" s="6"/>
      <c r="AD953" s="6"/>
      <c r="AE953" s="6"/>
    </row>
    <row r="954" spans="22:31" ht="11.25" customHeight="1" x14ac:dyDescent="0.25">
      <c r="V954" s="6"/>
      <c r="W954" s="6"/>
      <c r="X954" s="6"/>
      <c r="Y954" s="6"/>
      <c r="Z954" s="6"/>
      <c r="AA954" s="6"/>
      <c r="AB954" s="6"/>
      <c r="AC954" s="6"/>
      <c r="AD954" s="6"/>
      <c r="AE954" s="6"/>
    </row>
    <row r="955" spans="22:31" ht="11.25" customHeight="1" x14ac:dyDescent="0.25">
      <c r="V955" s="6"/>
      <c r="W955" s="6"/>
      <c r="X955" s="6"/>
      <c r="Y955" s="6"/>
      <c r="Z955" s="6"/>
      <c r="AA955" s="6"/>
      <c r="AB955" s="6"/>
      <c r="AC955" s="6"/>
      <c r="AD955" s="6"/>
      <c r="AE955" s="6"/>
    </row>
    <row r="956" spans="22:31" ht="11.25" customHeight="1" x14ac:dyDescent="0.25">
      <c r="V956" s="6"/>
      <c r="W956" s="6"/>
      <c r="X956" s="6"/>
      <c r="Y956" s="6"/>
      <c r="Z956" s="6"/>
      <c r="AA956" s="6"/>
      <c r="AB956" s="6"/>
      <c r="AC956" s="6"/>
      <c r="AD956" s="6"/>
      <c r="AE956" s="6"/>
    </row>
    <row r="957" spans="22:31" ht="11.25" customHeight="1" x14ac:dyDescent="0.25">
      <c r="V957" s="6"/>
      <c r="W957" s="6"/>
      <c r="X957" s="6"/>
      <c r="Y957" s="6"/>
      <c r="Z957" s="6"/>
      <c r="AA957" s="6"/>
      <c r="AB957" s="6"/>
      <c r="AC957" s="6"/>
      <c r="AD957" s="6"/>
      <c r="AE957" s="6"/>
    </row>
    <row r="958" spans="22:31" ht="11.25" customHeight="1" x14ac:dyDescent="0.25">
      <c r="V958" s="6"/>
      <c r="W958" s="6"/>
      <c r="X958" s="6"/>
      <c r="Y958" s="6"/>
      <c r="Z958" s="6"/>
      <c r="AA958" s="6"/>
      <c r="AB958" s="6"/>
      <c r="AC958" s="6"/>
      <c r="AD958" s="6"/>
      <c r="AE958" s="6"/>
    </row>
    <row r="959" spans="22:31" ht="11.25" customHeight="1" x14ac:dyDescent="0.25">
      <c r="V959" s="6"/>
      <c r="W959" s="6"/>
      <c r="X959" s="6"/>
      <c r="Y959" s="6"/>
      <c r="Z959" s="6"/>
      <c r="AA959" s="6"/>
      <c r="AB959" s="6"/>
      <c r="AC959" s="6"/>
      <c r="AD959" s="6"/>
      <c r="AE959" s="6"/>
    </row>
    <row r="960" spans="22:31" ht="11.25" customHeight="1" x14ac:dyDescent="0.25">
      <c r="V960" s="6"/>
      <c r="W960" s="6"/>
      <c r="X960" s="6"/>
      <c r="Y960" s="6"/>
      <c r="Z960" s="6"/>
      <c r="AA960" s="6"/>
      <c r="AB960" s="6"/>
      <c r="AC960" s="6"/>
      <c r="AD960" s="6"/>
      <c r="AE960" s="6"/>
    </row>
    <row r="961" spans="22:31" ht="11.25" customHeight="1" x14ac:dyDescent="0.25">
      <c r="V961" s="6"/>
      <c r="W961" s="6"/>
      <c r="X961" s="6"/>
      <c r="Y961" s="6"/>
      <c r="Z961" s="6"/>
      <c r="AA961" s="6"/>
      <c r="AB961" s="6"/>
      <c r="AC961" s="6"/>
      <c r="AD961" s="6"/>
      <c r="AE961" s="6"/>
    </row>
    <row r="962" spans="22:31" ht="11.25" customHeight="1" x14ac:dyDescent="0.25">
      <c r="V962" s="6"/>
      <c r="W962" s="6"/>
      <c r="X962" s="6"/>
      <c r="Y962" s="6"/>
      <c r="Z962" s="6"/>
      <c r="AA962" s="6"/>
      <c r="AB962" s="6"/>
      <c r="AC962" s="6"/>
      <c r="AD962" s="6"/>
      <c r="AE962" s="6"/>
    </row>
    <row r="963" spans="22:31" ht="11.25" customHeight="1" x14ac:dyDescent="0.25">
      <c r="V963" s="6"/>
      <c r="W963" s="6"/>
      <c r="X963" s="6"/>
      <c r="Y963" s="6"/>
      <c r="Z963" s="6"/>
      <c r="AA963" s="6"/>
      <c r="AB963" s="6"/>
      <c r="AC963" s="6"/>
      <c r="AD963" s="6"/>
      <c r="AE963" s="6"/>
    </row>
    <row r="964" spans="22:31" ht="11.25" customHeight="1" x14ac:dyDescent="0.25">
      <c r="V964" s="6"/>
      <c r="W964" s="6"/>
      <c r="X964" s="6"/>
      <c r="Y964" s="6"/>
      <c r="Z964" s="6"/>
      <c r="AA964" s="6"/>
      <c r="AB964" s="6"/>
      <c r="AC964" s="6"/>
      <c r="AD964" s="6"/>
      <c r="AE964" s="6"/>
    </row>
    <row r="965" spans="22:31" ht="11.25" customHeight="1" x14ac:dyDescent="0.25">
      <c r="V965" s="6"/>
      <c r="W965" s="6"/>
      <c r="X965" s="6"/>
      <c r="Y965" s="6"/>
      <c r="Z965" s="6"/>
      <c r="AA965" s="6"/>
      <c r="AB965" s="6"/>
      <c r="AC965" s="6"/>
      <c r="AD965" s="6"/>
      <c r="AE965" s="6"/>
    </row>
    <row r="966" spans="22:31" ht="11.25" customHeight="1" x14ac:dyDescent="0.25">
      <c r="V966" s="6"/>
      <c r="W966" s="6"/>
      <c r="X966" s="6"/>
      <c r="Y966" s="6"/>
      <c r="Z966" s="6"/>
      <c r="AA966" s="6"/>
      <c r="AB966" s="6"/>
      <c r="AC966" s="6"/>
      <c r="AD966" s="6"/>
      <c r="AE966" s="6"/>
    </row>
    <row r="967" spans="22:31" ht="11.25" customHeight="1" x14ac:dyDescent="0.25">
      <c r="V967" s="6"/>
      <c r="W967" s="6"/>
      <c r="X967" s="6"/>
      <c r="Y967" s="6"/>
      <c r="Z967" s="6"/>
      <c r="AA967" s="6"/>
      <c r="AB967" s="6"/>
      <c r="AC967" s="6"/>
      <c r="AD967" s="6"/>
      <c r="AE967" s="6"/>
    </row>
    <row r="968" spans="22:31" ht="11.25" customHeight="1" x14ac:dyDescent="0.25">
      <c r="V968" s="6"/>
      <c r="W968" s="6"/>
      <c r="X968" s="6"/>
      <c r="Y968" s="6"/>
      <c r="Z968" s="6"/>
      <c r="AA968" s="6"/>
      <c r="AB968" s="6"/>
      <c r="AC968" s="6"/>
      <c r="AD968" s="6"/>
      <c r="AE968" s="6"/>
    </row>
    <row r="969" spans="22:31" ht="11.25" customHeight="1" x14ac:dyDescent="0.25">
      <c r="V969" s="6"/>
      <c r="W969" s="6"/>
      <c r="X969" s="6"/>
      <c r="Y969" s="6"/>
      <c r="Z969" s="6"/>
      <c r="AA969" s="6"/>
      <c r="AB969" s="6"/>
      <c r="AC969" s="6"/>
      <c r="AD969" s="6"/>
      <c r="AE969" s="6"/>
    </row>
    <row r="970" spans="22:31" ht="11.25" customHeight="1" x14ac:dyDescent="0.25">
      <c r="V970" s="6"/>
      <c r="W970" s="6"/>
      <c r="X970" s="6"/>
      <c r="Y970" s="6"/>
      <c r="Z970" s="6"/>
      <c r="AA970" s="6"/>
      <c r="AB970" s="6"/>
      <c r="AC970" s="6"/>
      <c r="AD970" s="6"/>
      <c r="AE970" s="6"/>
    </row>
    <row r="971" spans="22:31" ht="11.25" customHeight="1" x14ac:dyDescent="0.25">
      <c r="V971" s="6"/>
      <c r="W971" s="6"/>
      <c r="X971" s="6"/>
      <c r="Y971" s="6"/>
      <c r="Z971" s="6"/>
      <c r="AA971" s="6"/>
      <c r="AB971" s="6"/>
      <c r="AC971" s="6"/>
      <c r="AD971" s="6"/>
      <c r="AE971" s="6"/>
    </row>
    <row r="972" spans="22:31" ht="11.25" customHeight="1" x14ac:dyDescent="0.25">
      <c r="V972" s="6"/>
      <c r="W972" s="6"/>
      <c r="X972" s="6"/>
      <c r="Y972" s="6"/>
      <c r="Z972" s="6"/>
      <c r="AA972" s="6"/>
      <c r="AB972" s="6"/>
      <c r="AC972" s="6"/>
      <c r="AD972" s="6"/>
      <c r="AE972" s="6"/>
    </row>
    <row r="973" spans="22:31" ht="11.25" customHeight="1" x14ac:dyDescent="0.25">
      <c r="V973" s="6"/>
      <c r="W973" s="6"/>
      <c r="X973" s="6"/>
      <c r="Y973" s="6"/>
      <c r="Z973" s="6"/>
      <c r="AA973" s="6"/>
      <c r="AB973" s="6"/>
      <c r="AC973" s="6"/>
      <c r="AD973" s="6"/>
      <c r="AE973" s="6"/>
    </row>
    <row r="974" spans="22:31" ht="11.25" customHeight="1" x14ac:dyDescent="0.25">
      <c r="V974" s="6"/>
      <c r="W974" s="6"/>
      <c r="X974" s="6"/>
      <c r="Y974" s="6"/>
      <c r="Z974" s="6"/>
      <c r="AA974" s="6"/>
      <c r="AB974" s="6"/>
      <c r="AC974" s="6"/>
      <c r="AD974" s="6"/>
      <c r="AE974" s="6"/>
    </row>
    <row r="975" spans="22:31" ht="11.25" customHeight="1" x14ac:dyDescent="0.25">
      <c r="V975" s="6"/>
      <c r="W975" s="6"/>
      <c r="X975" s="6"/>
      <c r="Y975" s="6"/>
      <c r="Z975" s="6"/>
      <c r="AA975" s="6"/>
      <c r="AB975" s="6"/>
      <c r="AC975" s="6"/>
      <c r="AD975" s="6"/>
      <c r="AE975" s="6"/>
    </row>
    <row r="976" spans="22:31" ht="11.25" customHeight="1" x14ac:dyDescent="0.25">
      <c r="V976" s="6"/>
      <c r="W976" s="6"/>
      <c r="X976" s="6"/>
      <c r="Y976" s="6"/>
      <c r="Z976" s="6"/>
      <c r="AA976" s="6"/>
      <c r="AB976" s="6"/>
      <c r="AC976" s="6"/>
      <c r="AD976" s="6"/>
      <c r="AE976" s="6"/>
    </row>
    <row r="977" spans="22:31" ht="11.25" customHeight="1" x14ac:dyDescent="0.25">
      <c r="V977" s="6"/>
      <c r="W977" s="6"/>
      <c r="X977" s="6"/>
      <c r="Y977" s="6"/>
      <c r="Z977" s="6"/>
      <c r="AA977" s="6"/>
      <c r="AB977" s="6"/>
      <c r="AC977" s="6"/>
      <c r="AD977" s="6"/>
      <c r="AE977" s="6"/>
    </row>
    <row r="978" spans="22:31" ht="11.25" customHeight="1" x14ac:dyDescent="0.25">
      <c r="V978" s="6"/>
      <c r="W978" s="6"/>
      <c r="X978" s="6"/>
      <c r="Y978" s="6"/>
      <c r="Z978" s="6"/>
      <c r="AA978" s="6"/>
      <c r="AB978" s="6"/>
      <c r="AC978" s="6"/>
      <c r="AD978" s="6"/>
      <c r="AE978" s="6"/>
    </row>
    <row r="979" spans="22:31" ht="11.25" customHeight="1" x14ac:dyDescent="0.25">
      <c r="V979" s="6"/>
      <c r="W979" s="6"/>
      <c r="X979" s="6"/>
      <c r="Y979" s="6"/>
      <c r="Z979" s="6"/>
      <c r="AA979" s="6"/>
      <c r="AB979" s="6"/>
      <c r="AC979" s="6"/>
      <c r="AD979" s="6"/>
      <c r="AE979" s="6"/>
    </row>
    <row r="980" spans="22:31" ht="11.25" customHeight="1" x14ac:dyDescent="0.25">
      <c r="V980" s="6"/>
      <c r="W980" s="6"/>
      <c r="X980" s="6"/>
      <c r="Y980" s="6"/>
      <c r="Z980" s="6"/>
      <c r="AA980" s="6"/>
      <c r="AB980" s="6"/>
      <c r="AC980" s="6"/>
      <c r="AD980" s="6"/>
      <c r="AE980" s="6"/>
    </row>
    <row r="981" spans="22:31" ht="11.25" customHeight="1" x14ac:dyDescent="0.25">
      <c r="V981" s="6"/>
      <c r="W981" s="6"/>
      <c r="X981" s="6"/>
      <c r="Y981" s="6"/>
      <c r="Z981" s="6"/>
      <c r="AA981" s="6"/>
      <c r="AB981" s="6"/>
      <c r="AC981" s="6"/>
      <c r="AD981" s="6"/>
      <c r="AE981" s="6"/>
    </row>
    <row r="982" spans="22:31" ht="11.25" customHeight="1" x14ac:dyDescent="0.25">
      <c r="V982" s="6"/>
      <c r="W982" s="6"/>
      <c r="X982" s="6"/>
      <c r="Y982" s="6"/>
      <c r="Z982" s="6"/>
      <c r="AA982" s="6"/>
      <c r="AB982" s="6"/>
      <c r="AC982" s="6"/>
      <c r="AD982" s="6"/>
      <c r="AE982" s="6"/>
    </row>
    <row r="983" spans="22:31" ht="11.25" customHeight="1" x14ac:dyDescent="0.25">
      <c r="V983" s="6"/>
      <c r="W983" s="6"/>
      <c r="X983" s="6"/>
      <c r="Y983" s="6"/>
      <c r="Z983" s="6"/>
      <c r="AA983" s="6"/>
      <c r="AB983" s="6"/>
      <c r="AC983" s="6"/>
      <c r="AD983" s="6"/>
      <c r="AE983" s="6"/>
    </row>
    <row r="984" spans="22:31" ht="11.25" customHeight="1" x14ac:dyDescent="0.25">
      <c r="V984" s="6"/>
      <c r="W984" s="6"/>
      <c r="X984" s="6"/>
      <c r="Y984" s="6"/>
      <c r="Z984" s="6"/>
      <c r="AA984" s="6"/>
      <c r="AB984" s="6"/>
      <c r="AC984" s="6"/>
      <c r="AD984" s="6"/>
      <c r="AE984" s="6"/>
    </row>
    <row r="985" spans="22:31" ht="11.25" customHeight="1" x14ac:dyDescent="0.25">
      <c r="V985" s="6"/>
      <c r="W985" s="6"/>
      <c r="X985" s="6"/>
      <c r="Y985" s="6"/>
      <c r="Z985" s="6"/>
      <c r="AA985" s="6"/>
      <c r="AB985" s="6"/>
      <c r="AC985" s="6"/>
      <c r="AD985" s="6"/>
      <c r="AE985" s="6"/>
    </row>
    <row r="986" spans="22:31" ht="11.25" customHeight="1" x14ac:dyDescent="0.25">
      <c r="V986" s="6"/>
      <c r="W986" s="6"/>
      <c r="X986" s="6"/>
      <c r="Y986" s="6"/>
      <c r="Z986" s="6"/>
      <c r="AA986" s="6"/>
      <c r="AB986" s="6"/>
      <c r="AC986" s="6"/>
      <c r="AD986" s="6"/>
      <c r="AE986" s="6"/>
    </row>
    <row r="987" spans="22:31" ht="11.25" customHeight="1" x14ac:dyDescent="0.25">
      <c r="V987" s="6"/>
      <c r="W987" s="6"/>
      <c r="X987" s="6"/>
      <c r="Y987" s="6"/>
      <c r="Z987" s="6"/>
      <c r="AA987" s="6"/>
      <c r="AB987" s="6"/>
      <c r="AC987" s="6"/>
      <c r="AD987" s="6"/>
      <c r="AE987" s="6"/>
    </row>
    <row r="988" spans="22:31" ht="11.25" customHeight="1" x14ac:dyDescent="0.25">
      <c r="V988" s="6"/>
      <c r="W988" s="6"/>
      <c r="X988" s="6"/>
      <c r="Y988" s="6"/>
      <c r="Z988" s="6"/>
      <c r="AA988" s="6"/>
      <c r="AB988" s="6"/>
      <c r="AC988" s="6"/>
      <c r="AD988" s="6"/>
      <c r="AE988" s="6"/>
    </row>
    <row r="989" spans="22:31" ht="11.25" customHeight="1" x14ac:dyDescent="0.25">
      <c r="V989" s="6"/>
      <c r="W989" s="6"/>
      <c r="X989" s="6"/>
      <c r="Y989" s="6"/>
      <c r="Z989" s="6"/>
      <c r="AA989" s="6"/>
      <c r="AB989" s="6"/>
      <c r="AC989" s="6"/>
      <c r="AD989" s="6"/>
      <c r="AE989" s="6"/>
    </row>
    <row r="990" spans="22:31" ht="11.25" customHeight="1" x14ac:dyDescent="0.25">
      <c r="V990" s="6"/>
      <c r="W990" s="6"/>
      <c r="X990" s="6"/>
      <c r="Y990" s="6"/>
      <c r="Z990" s="6"/>
      <c r="AA990" s="6"/>
      <c r="AB990" s="6"/>
      <c r="AC990" s="6"/>
      <c r="AD990" s="6"/>
      <c r="AE990" s="6"/>
    </row>
    <row r="991" spans="22:31" ht="11.25" customHeight="1" x14ac:dyDescent="0.25">
      <c r="V991" s="6"/>
      <c r="W991" s="6"/>
      <c r="X991" s="6"/>
      <c r="Y991" s="6"/>
      <c r="Z991" s="6"/>
      <c r="AA991" s="6"/>
      <c r="AB991" s="6"/>
      <c r="AC991" s="6"/>
      <c r="AD991" s="6"/>
      <c r="AE991" s="6"/>
    </row>
    <row r="992" spans="22:31" ht="11.25" customHeight="1" x14ac:dyDescent="0.25">
      <c r="V992" s="6"/>
      <c r="W992" s="6"/>
      <c r="X992" s="6"/>
      <c r="Y992" s="6"/>
      <c r="Z992" s="6"/>
      <c r="AA992" s="6"/>
      <c r="AB992" s="6"/>
      <c r="AC992" s="6"/>
      <c r="AD992" s="6"/>
      <c r="AE992" s="6"/>
    </row>
    <row r="993" spans="22:31" ht="11.25" customHeight="1" x14ac:dyDescent="0.25">
      <c r="V993" s="6"/>
      <c r="W993" s="6"/>
      <c r="X993" s="6"/>
      <c r="Y993" s="6"/>
      <c r="Z993" s="6"/>
      <c r="AA993" s="6"/>
      <c r="AB993" s="6"/>
      <c r="AC993" s="6"/>
      <c r="AD993" s="6"/>
      <c r="AE993" s="6"/>
    </row>
    <row r="994" spans="22:31" ht="11.25" customHeight="1" x14ac:dyDescent="0.25">
      <c r="V994" s="6"/>
      <c r="W994" s="6"/>
      <c r="X994" s="6"/>
      <c r="Y994" s="6"/>
      <c r="Z994" s="6"/>
      <c r="AA994" s="6"/>
      <c r="AB994" s="6"/>
      <c r="AC994" s="6"/>
      <c r="AD994" s="6"/>
      <c r="AE994" s="6"/>
    </row>
    <row r="995" spans="22:31" ht="11.25" customHeight="1" x14ac:dyDescent="0.25">
      <c r="V995" s="6"/>
      <c r="W995" s="6"/>
      <c r="X995" s="6"/>
      <c r="Y995" s="6"/>
      <c r="Z995" s="6"/>
      <c r="AA995" s="6"/>
      <c r="AB995" s="6"/>
      <c r="AC995" s="6"/>
      <c r="AD995" s="6"/>
      <c r="AE995" s="6"/>
    </row>
    <row r="996" spans="22:31" ht="11.25" customHeight="1" x14ac:dyDescent="0.25">
      <c r="V996" s="6"/>
      <c r="W996" s="6"/>
      <c r="X996" s="6"/>
      <c r="Y996" s="6"/>
      <c r="Z996" s="6"/>
      <c r="AA996" s="6"/>
      <c r="AB996" s="6"/>
      <c r="AC996" s="6"/>
      <c r="AD996" s="6"/>
      <c r="AE996" s="6"/>
    </row>
    <row r="997" spans="22:31" ht="11.25" customHeight="1" x14ac:dyDescent="0.25">
      <c r="V997" s="6"/>
      <c r="W997" s="6"/>
      <c r="X997" s="6"/>
      <c r="Y997" s="6"/>
      <c r="Z997" s="6"/>
      <c r="AA997" s="6"/>
      <c r="AB997" s="6"/>
      <c r="AC997" s="6"/>
      <c r="AD997" s="6"/>
      <c r="AE997" s="6"/>
    </row>
    <row r="998" spans="22:31" ht="11.25" customHeight="1" x14ac:dyDescent="0.25">
      <c r="V998" s="6"/>
      <c r="W998" s="6"/>
      <c r="X998" s="6"/>
      <c r="Y998" s="6"/>
      <c r="Z998" s="6"/>
      <c r="AA998" s="6"/>
      <c r="AB998" s="6"/>
      <c r="AC998" s="6"/>
      <c r="AD998" s="6"/>
      <c r="AE998" s="6"/>
    </row>
    <row r="999" spans="22:31" ht="11.25" customHeight="1" x14ac:dyDescent="0.25">
      <c r="V999" s="6"/>
      <c r="W999" s="6"/>
      <c r="X999" s="6"/>
      <c r="Y999" s="6"/>
      <c r="Z999" s="6"/>
      <c r="AA999" s="6"/>
      <c r="AB999" s="6"/>
      <c r="AC999" s="6"/>
      <c r="AD999" s="6"/>
      <c r="AE999" s="6"/>
    </row>
    <row r="1000" spans="22:31" ht="11.25" customHeight="1" x14ac:dyDescent="0.25"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</row>
    <row r="1001" spans="22:31" ht="11.25" customHeight="1" x14ac:dyDescent="0.25"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</row>
    <row r="1002" spans="22:31" ht="11.25" customHeight="1" x14ac:dyDescent="0.25"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</row>
    <row r="1003" spans="22:31" ht="11.25" customHeight="1" x14ac:dyDescent="0.25"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</row>
    <row r="1004" spans="22:31" ht="11.25" customHeight="1" x14ac:dyDescent="0.25"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</row>
    <row r="1005" spans="22:31" ht="11.25" customHeight="1" x14ac:dyDescent="0.25"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</row>
    <row r="1006" spans="22:31" ht="11.25" customHeight="1" x14ac:dyDescent="0.25">
      <c r="V1006" s="6"/>
      <c r="W1006" s="6"/>
      <c r="X1006" s="6"/>
      <c r="Y1006" s="6"/>
      <c r="Z1006" s="6"/>
      <c r="AA1006" s="6"/>
      <c r="AB1006" s="6"/>
      <c r="AC1006" s="6"/>
      <c r="AD1006" s="6"/>
      <c r="AE1006" s="6"/>
    </row>
    <row r="1007" spans="22:31" ht="11.25" customHeight="1" x14ac:dyDescent="0.25">
      <c r="V1007" s="6"/>
      <c r="W1007" s="6"/>
      <c r="X1007" s="6"/>
      <c r="Y1007" s="6"/>
      <c r="Z1007" s="6"/>
      <c r="AA1007" s="6"/>
      <c r="AB1007" s="6"/>
      <c r="AC1007" s="6"/>
      <c r="AD1007" s="6"/>
      <c r="AE1007" s="6"/>
    </row>
    <row r="1008" spans="22:31" ht="11.25" customHeight="1" x14ac:dyDescent="0.25">
      <c r="V1008" s="6"/>
      <c r="W1008" s="6"/>
      <c r="X1008" s="6"/>
      <c r="Y1008" s="6"/>
      <c r="Z1008" s="6"/>
      <c r="AA1008" s="6"/>
      <c r="AB1008" s="6"/>
      <c r="AC1008" s="6"/>
      <c r="AD1008" s="6"/>
      <c r="AE1008" s="6"/>
    </row>
    <row r="1009" spans="22:31" ht="11.25" customHeight="1" x14ac:dyDescent="0.25">
      <c r="V1009" s="6"/>
      <c r="W1009" s="6"/>
      <c r="X1009" s="6"/>
      <c r="Y1009" s="6"/>
      <c r="Z1009" s="6"/>
      <c r="AA1009" s="6"/>
      <c r="AB1009" s="6"/>
      <c r="AC1009" s="6"/>
      <c r="AD1009" s="6"/>
      <c r="AE1009" s="6"/>
    </row>
    <row r="1010" spans="22:31" ht="11.25" customHeight="1" x14ac:dyDescent="0.25"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</row>
    <row r="1011" spans="22:31" ht="11.25" customHeight="1" x14ac:dyDescent="0.25"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</row>
    <row r="1012" spans="22:31" ht="11.25" customHeight="1" x14ac:dyDescent="0.25"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</row>
    <row r="1013" spans="22:31" ht="11.25" customHeight="1" x14ac:dyDescent="0.25"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</row>
    <row r="1014" spans="22:31" ht="11.25" customHeight="1" x14ac:dyDescent="0.25"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</row>
    <row r="1015" spans="22:31" ht="11.25" customHeight="1" x14ac:dyDescent="0.25">
      <c r="V1015" s="6"/>
      <c r="W1015" s="6"/>
      <c r="X1015" s="6"/>
      <c r="Y1015" s="6"/>
      <c r="Z1015" s="6"/>
      <c r="AA1015" s="6"/>
      <c r="AB1015" s="6"/>
      <c r="AC1015" s="6"/>
      <c r="AD1015" s="6"/>
      <c r="AE1015" s="6"/>
    </row>
    <row r="1016" spans="22:31" ht="11.25" customHeight="1" x14ac:dyDescent="0.25"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</row>
    <row r="1017" spans="22:31" ht="11.25" customHeight="1" x14ac:dyDescent="0.25">
      <c r="V1017" s="6"/>
      <c r="W1017" s="6"/>
      <c r="X1017" s="6"/>
      <c r="Y1017" s="6"/>
      <c r="Z1017" s="6"/>
      <c r="AA1017" s="6"/>
      <c r="AB1017" s="6"/>
      <c r="AC1017" s="6"/>
      <c r="AD1017" s="6"/>
      <c r="AE1017" s="6"/>
    </row>
    <row r="1018" spans="22:31" ht="11.25" customHeight="1" x14ac:dyDescent="0.25"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</row>
    <row r="1019" spans="22:31" ht="11.25" customHeight="1" x14ac:dyDescent="0.25"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</row>
    <row r="1020" spans="22:31" ht="11.25" customHeight="1" x14ac:dyDescent="0.25"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</row>
    <row r="1021" spans="22:31" ht="11.25" customHeight="1" x14ac:dyDescent="0.25"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</row>
    <row r="1022" spans="22:31" ht="11.25" customHeight="1" x14ac:dyDescent="0.25"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</row>
    <row r="1023" spans="22:31" ht="11.25" customHeight="1" x14ac:dyDescent="0.25"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</row>
    <row r="1024" spans="22:31" ht="11.25" customHeight="1" x14ac:dyDescent="0.25"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</row>
    <row r="1025" spans="22:31" ht="11.25" customHeight="1" x14ac:dyDescent="0.25"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</row>
    <row r="1026" spans="22:31" ht="11.25" customHeight="1" x14ac:dyDescent="0.25"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</row>
    <row r="1027" spans="22:31" ht="11.25" customHeight="1" x14ac:dyDescent="0.25"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</row>
    <row r="1028" spans="22:31" ht="11.25" customHeight="1" x14ac:dyDescent="0.25"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</row>
    <row r="1029" spans="22:31" ht="11.25" customHeight="1" x14ac:dyDescent="0.25"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</row>
    <row r="1030" spans="22:31" ht="11.25" customHeight="1" x14ac:dyDescent="0.25"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</row>
    <row r="1031" spans="22:31" ht="11.25" customHeight="1" x14ac:dyDescent="0.25"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</row>
    <row r="1032" spans="22:31" ht="11.25" customHeight="1" x14ac:dyDescent="0.25"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</row>
    <row r="1033" spans="22:31" ht="11.25" customHeight="1" x14ac:dyDescent="0.25"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</row>
    <row r="1034" spans="22:31" ht="11.25" customHeight="1" x14ac:dyDescent="0.25"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</row>
    <row r="1035" spans="22:31" ht="11.25" customHeight="1" x14ac:dyDescent="0.25"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</row>
    <row r="1036" spans="22:31" ht="11.25" customHeight="1" x14ac:dyDescent="0.25"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</row>
    <row r="1037" spans="22:31" ht="11.25" customHeight="1" x14ac:dyDescent="0.25"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</row>
    <row r="1038" spans="22:31" ht="11.25" customHeight="1" x14ac:dyDescent="0.25"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</row>
    <row r="1039" spans="22:31" ht="11.25" customHeight="1" x14ac:dyDescent="0.25"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</row>
    <row r="1040" spans="22:31" ht="11.25" customHeight="1" x14ac:dyDescent="0.25"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</row>
    <row r="1041" spans="22:31" ht="11.25" customHeight="1" x14ac:dyDescent="0.25"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</row>
    <row r="1042" spans="22:31" ht="11.25" customHeight="1" x14ac:dyDescent="0.25">
      <c r="V1042" s="6"/>
      <c r="W1042" s="6"/>
      <c r="X1042" s="6"/>
      <c r="Y1042" s="6"/>
      <c r="Z1042" s="6"/>
      <c r="AA1042" s="6"/>
      <c r="AB1042" s="6"/>
      <c r="AC1042" s="6"/>
      <c r="AD1042" s="6"/>
      <c r="AE1042" s="6"/>
    </row>
    <row r="1043" spans="22:31" ht="11.25" customHeight="1" x14ac:dyDescent="0.25"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22:31" ht="11.25" customHeight="1" x14ac:dyDescent="0.25"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22:31" ht="11.25" customHeight="1" x14ac:dyDescent="0.25"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22:31" ht="11.25" customHeight="1" x14ac:dyDescent="0.25">
      <c r="V1046" s="6"/>
      <c r="W1046" s="6"/>
      <c r="X1046" s="6"/>
      <c r="Y1046" s="6"/>
      <c r="Z1046" s="6"/>
      <c r="AA1046" s="6"/>
      <c r="AB1046" s="6"/>
      <c r="AC1046" s="6"/>
      <c r="AD1046" s="6"/>
      <c r="AE1046" s="6"/>
    </row>
    <row r="1047" spans="22:31" ht="11.25" customHeight="1" x14ac:dyDescent="0.25">
      <c r="V1047" s="6"/>
      <c r="W1047" s="6"/>
      <c r="X1047" s="6"/>
      <c r="Y1047" s="6"/>
      <c r="Z1047" s="6"/>
      <c r="AA1047" s="6"/>
      <c r="AB1047" s="6"/>
      <c r="AC1047" s="6"/>
      <c r="AD1047" s="6"/>
      <c r="AE1047" s="6"/>
    </row>
    <row r="1048" spans="22:31" ht="11.25" customHeight="1" x14ac:dyDescent="0.25"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</row>
    <row r="1049" spans="22:31" ht="11.25" customHeight="1" x14ac:dyDescent="0.25"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</row>
    <row r="1050" spans="22:31" ht="11.25" customHeight="1" x14ac:dyDescent="0.25"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</row>
    <row r="1051" spans="22:31" ht="11.25" customHeight="1" x14ac:dyDescent="0.25"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</row>
    <row r="1052" spans="22:31" ht="11.25" customHeight="1" x14ac:dyDescent="0.25"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</row>
    <row r="1053" spans="22:31" ht="11.25" customHeight="1" x14ac:dyDescent="0.25"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</row>
    <row r="1054" spans="22:31" ht="11.25" customHeight="1" x14ac:dyDescent="0.25">
      <c r="V1054" s="6"/>
      <c r="W1054" s="6"/>
      <c r="X1054" s="6"/>
      <c r="Y1054" s="6"/>
      <c r="Z1054" s="6"/>
      <c r="AA1054" s="6"/>
      <c r="AB1054" s="6"/>
      <c r="AC1054" s="6"/>
      <c r="AD1054" s="6"/>
      <c r="AE1054" s="6"/>
    </row>
    <row r="1055" spans="22:31" ht="11.25" customHeight="1" x14ac:dyDescent="0.25">
      <c r="V1055" s="6"/>
      <c r="W1055" s="6"/>
      <c r="X1055" s="6"/>
      <c r="Y1055" s="6"/>
      <c r="Z1055" s="6"/>
      <c r="AA1055" s="6"/>
      <c r="AB1055" s="6"/>
      <c r="AC1055" s="6"/>
      <c r="AD1055" s="6"/>
      <c r="AE1055" s="6"/>
    </row>
    <row r="1056" spans="22:31" ht="11.25" customHeight="1" x14ac:dyDescent="0.25">
      <c r="V1056" s="6"/>
      <c r="W1056" s="6"/>
      <c r="X1056" s="6"/>
      <c r="Y1056" s="6"/>
      <c r="Z1056" s="6"/>
      <c r="AA1056" s="6"/>
      <c r="AB1056" s="6"/>
      <c r="AC1056" s="6"/>
      <c r="AD1056" s="6"/>
      <c r="AE1056" s="6"/>
    </row>
    <row r="1057" spans="22:31" ht="11.25" customHeight="1" x14ac:dyDescent="0.25"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</row>
    <row r="1058" spans="22:31" ht="11.25" customHeight="1" x14ac:dyDescent="0.25">
      <c r="V1058" s="6"/>
      <c r="W1058" s="6"/>
      <c r="X1058" s="6"/>
      <c r="Y1058" s="6"/>
      <c r="Z1058" s="6"/>
      <c r="AA1058" s="6"/>
      <c r="AB1058" s="6"/>
      <c r="AC1058" s="6"/>
      <c r="AD1058" s="6"/>
      <c r="AE1058" s="6"/>
    </row>
    <row r="1059" spans="22:31" ht="11.25" customHeight="1" x14ac:dyDescent="0.25"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</row>
    <row r="1060" spans="22:31" ht="11.25" customHeight="1" x14ac:dyDescent="0.25"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</row>
    <row r="1061" spans="22:31" ht="11.25" customHeight="1" x14ac:dyDescent="0.25"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</row>
    <row r="1062" spans="22:31" ht="11.25" customHeight="1" x14ac:dyDescent="0.25"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</row>
    <row r="1063" spans="22:31" ht="11.25" customHeight="1" x14ac:dyDescent="0.25"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</row>
    <row r="1064" spans="22:31" ht="11.25" customHeight="1" x14ac:dyDescent="0.25">
      <c r="V1064" s="6"/>
      <c r="W1064" s="6"/>
      <c r="X1064" s="6"/>
      <c r="Y1064" s="6"/>
      <c r="Z1064" s="6"/>
      <c r="AA1064" s="6"/>
      <c r="AB1064" s="6"/>
      <c r="AC1064" s="6"/>
      <c r="AD1064" s="6"/>
      <c r="AE1064" s="6"/>
    </row>
    <row r="1065" spans="22:31" ht="11.25" customHeight="1" x14ac:dyDescent="0.25">
      <c r="V1065" s="6"/>
      <c r="W1065" s="6"/>
      <c r="X1065" s="6"/>
      <c r="Y1065" s="6"/>
      <c r="Z1065" s="6"/>
      <c r="AA1065" s="6"/>
      <c r="AB1065" s="6"/>
      <c r="AC1065" s="6"/>
      <c r="AD1065" s="6"/>
      <c r="AE1065" s="6"/>
    </row>
    <row r="1066" spans="22:31" ht="11.25" customHeight="1" x14ac:dyDescent="0.25"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</row>
    <row r="1067" spans="22:31" ht="11.25" customHeight="1" x14ac:dyDescent="0.25"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</row>
    <row r="1068" spans="22:31" ht="11.25" customHeight="1" x14ac:dyDescent="0.25"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</row>
    <row r="1069" spans="22:31" ht="11.25" customHeight="1" x14ac:dyDescent="0.25"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</row>
    <row r="1070" spans="22:31" ht="11.25" customHeight="1" x14ac:dyDescent="0.25"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</row>
    <row r="1071" spans="22:31" ht="11.25" customHeight="1" x14ac:dyDescent="0.25"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</row>
    <row r="1072" spans="22:31" ht="11.25" customHeight="1" x14ac:dyDescent="0.25"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</row>
    <row r="1073" spans="22:31" ht="11.25" customHeight="1" x14ac:dyDescent="0.25">
      <c r="V1073" s="6"/>
      <c r="W1073" s="6"/>
      <c r="X1073" s="6"/>
      <c r="Y1073" s="6"/>
      <c r="Z1073" s="6"/>
      <c r="AA1073" s="6"/>
      <c r="AB1073" s="6"/>
      <c r="AC1073" s="6"/>
      <c r="AD1073" s="6"/>
      <c r="AE1073" s="6"/>
    </row>
    <row r="1074" spans="22:31" ht="11.25" customHeight="1" x14ac:dyDescent="0.25">
      <c r="V1074" s="6"/>
      <c r="W1074" s="6"/>
      <c r="X1074" s="6"/>
      <c r="Y1074" s="6"/>
      <c r="Z1074" s="6"/>
      <c r="AA1074" s="6"/>
      <c r="AB1074" s="6"/>
      <c r="AC1074" s="6"/>
      <c r="AD1074" s="6"/>
      <c r="AE1074" s="6"/>
    </row>
    <row r="1075" spans="22:31" ht="11.25" customHeight="1" x14ac:dyDescent="0.25">
      <c r="V1075" s="6"/>
      <c r="W1075" s="6"/>
      <c r="X1075" s="6"/>
      <c r="Y1075" s="6"/>
      <c r="Z1075" s="6"/>
      <c r="AA1075" s="6"/>
      <c r="AB1075" s="6"/>
      <c r="AC1075" s="6"/>
      <c r="AD1075" s="6"/>
      <c r="AE1075" s="6"/>
    </row>
    <row r="1076" spans="22:31" ht="11.25" customHeight="1" x14ac:dyDescent="0.25">
      <c r="V1076" s="6"/>
      <c r="W1076" s="6"/>
      <c r="X1076" s="6"/>
      <c r="Y1076" s="6"/>
      <c r="Z1076" s="6"/>
      <c r="AA1076" s="6"/>
      <c r="AB1076" s="6"/>
      <c r="AC1076" s="6"/>
      <c r="AD1076" s="6"/>
      <c r="AE1076" s="6"/>
    </row>
    <row r="1077" spans="22:31" ht="11.25" customHeight="1" x14ac:dyDescent="0.25">
      <c r="V1077" s="6"/>
      <c r="W1077" s="6"/>
      <c r="X1077" s="6"/>
      <c r="Y1077" s="6"/>
      <c r="Z1077" s="6"/>
      <c r="AA1077" s="6"/>
      <c r="AB1077" s="6"/>
      <c r="AC1077" s="6"/>
      <c r="AD1077" s="6"/>
      <c r="AE1077" s="6"/>
    </row>
    <row r="1078" spans="22:31" ht="11.25" customHeight="1" x14ac:dyDescent="0.25"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</row>
    <row r="1079" spans="22:31" ht="11.25" customHeight="1" x14ac:dyDescent="0.25"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</row>
    <row r="1080" spans="22:31" ht="11.25" customHeight="1" x14ac:dyDescent="0.25"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</row>
    <row r="1081" spans="22:31" ht="11.25" customHeight="1" x14ac:dyDescent="0.25"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</row>
    <row r="1082" spans="22:31" ht="11.25" customHeight="1" x14ac:dyDescent="0.25"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</row>
    <row r="1083" spans="22:31" ht="11.25" customHeight="1" x14ac:dyDescent="0.25"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</row>
    <row r="1084" spans="22:31" ht="11.25" customHeight="1" x14ac:dyDescent="0.25"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</row>
    <row r="1085" spans="22:31" ht="11.25" customHeight="1" x14ac:dyDescent="0.25"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</row>
    <row r="1086" spans="22:31" ht="11.25" customHeight="1" x14ac:dyDescent="0.25"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</row>
    <row r="1087" spans="22:31" ht="11.25" customHeight="1" x14ac:dyDescent="0.25"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</row>
    <row r="1088" spans="22:31" ht="11.25" customHeight="1" x14ac:dyDescent="0.25"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</row>
    <row r="1089" spans="22:31" ht="11.25" customHeight="1" x14ac:dyDescent="0.25"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</row>
    <row r="1090" spans="22:31" ht="11.25" customHeight="1" x14ac:dyDescent="0.25"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</row>
    <row r="1091" spans="22:31" ht="11.25" customHeight="1" x14ac:dyDescent="0.25"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</row>
    <row r="1092" spans="22:31" ht="11.25" customHeight="1" x14ac:dyDescent="0.25"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</row>
    <row r="1093" spans="22:31" ht="11.25" customHeight="1" x14ac:dyDescent="0.25"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</row>
    <row r="1094" spans="22:31" ht="11.25" customHeight="1" x14ac:dyDescent="0.25"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</row>
    <row r="1095" spans="22:31" ht="11.25" customHeight="1" x14ac:dyDescent="0.25"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</row>
    <row r="1096" spans="22:31" ht="11.25" customHeight="1" x14ac:dyDescent="0.25"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</row>
    <row r="1097" spans="22:31" ht="11.25" customHeight="1" x14ac:dyDescent="0.25"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</row>
    <row r="1098" spans="22:31" ht="11.25" customHeight="1" x14ac:dyDescent="0.25"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</row>
    <row r="1099" spans="22:31" ht="11.25" customHeight="1" x14ac:dyDescent="0.25"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</row>
    <row r="1100" spans="22:31" ht="11.25" customHeight="1" x14ac:dyDescent="0.25"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</row>
    <row r="1101" spans="22:31" ht="11.25" customHeight="1" x14ac:dyDescent="0.25"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</row>
    <row r="1102" spans="22:31" ht="11.25" customHeight="1" x14ac:dyDescent="0.25"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</row>
    <row r="1103" spans="22:31" ht="11.25" customHeight="1" x14ac:dyDescent="0.25">
      <c r="V1103" s="6"/>
      <c r="W1103" s="6"/>
      <c r="X1103" s="6"/>
      <c r="Y1103" s="6"/>
      <c r="Z1103" s="6"/>
      <c r="AA1103" s="6"/>
      <c r="AB1103" s="6"/>
      <c r="AC1103" s="6"/>
      <c r="AD1103" s="6"/>
      <c r="AE1103" s="6"/>
    </row>
    <row r="1104" spans="22:31" ht="11.25" customHeight="1" x14ac:dyDescent="0.25">
      <c r="V1104" s="6"/>
      <c r="W1104" s="6"/>
      <c r="X1104" s="6"/>
      <c r="Y1104" s="6"/>
      <c r="Z1104" s="6"/>
      <c r="AA1104" s="6"/>
      <c r="AB1104" s="6"/>
      <c r="AC1104" s="6"/>
      <c r="AD1104" s="6"/>
      <c r="AE1104" s="6"/>
    </row>
    <row r="1105" spans="22:31" ht="11.25" customHeight="1" x14ac:dyDescent="0.25">
      <c r="V1105" s="6"/>
      <c r="W1105" s="6"/>
      <c r="X1105" s="6"/>
      <c r="Y1105" s="6"/>
      <c r="Z1105" s="6"/>
      <c r="AA1105" s="6"/>
      <c r="AB1105" s="6"/>
      <c r="AC1105" s="6"/>
      <c r="AD1105" s="6"/>
      <c r="AE1105" s="6"/>
    </row>
    <row r="1106" spans="22:31" ht="11.25" customHeight="1" x14ac:dyDescent="0.25">
      <c r="V1106" s="6"/>
      <c r="W1106" s="6"/>
      <c r="X1106" s="6"/>
      <c r="Y1106" s="6"/>
      <c r="Z1106" s="6"/>
      <c r="AA1106" s="6"/>
      <c r="AB1106" s="6"/>
      <c r="AC1106" s="6"/>
      <c r="AD1106" s="6"/>
      <c r="AE1106" s="6"/>
    </row>
    <row r="1107" spans="22:31" ht="11.25" customHeight="1" x14ac:dyDescent="0.25">
      <c r="V1107" s="6"/>
      <c r="W1107" s="6"/>
      <c r="X1107" s="6"/>
      <c r="Y1107" s="6"/>
      <c r="Z1107" s="6"/>
      <c r="AA1107" s="6"/>
      <c r="AB1107" s="6"/>
      <c r="AC1107" s="6"/>
      <c r="AD1107" s="6"/>
      <c r="AE1107" s="6"/>
    </row>
    <row r="1108" spans="22:31" ht="11.25" customHeight="1" x14ac:dyDescent="0.25">
      <c r="V1108" s="6"/>
      <c r="W1108" s="6"/>
      <c r="X1108" s="6"/>
      <c r="Y1108" s="6"/>
      <c r="Z1108" s="6"/>
      <c r="AA1108" s="6"/>
      <c r="AB1108" s="6"/>
      <c r="AC1108" s="6"/>
      <c r="AD1108" s="6"/>
      <c r="AE1108" s="6"/>
    </row>
    <row r="1109" spans="22:31" ht="11.25" customHeight="1" x14ac:dyDescent="0.25">
      <c r="V1109" s="6"/>
      <c r="W1109" s="6"/>
      <c r="X1109" s="6"/>
      <c r="Y1109" s="6"/>
      <c r="Z1109" s="6"/>
      <c r="AA1109" s="6"/>
      <c r="AB1109" s="6"/>
      <c r="AC1109" s="6"/>
      <c r="AD1109" s="6"/>
      <c r="AE1109" s="6"/>
    </row>
    <row r="1110" spans="22:31" ht="11.25" customHeight="1" x14ac:dyDescent="0.25">
      <c r="V1110" s="6"/>
      <c r="W1110" s="6"/>
      <c r="X1110" s="6"/>
      <c r="Y1110" s="6"/>
      <c r="Z1110" s="6"/>
      <c r="AA1110" s="6"/>
      <c r="AB1110" s="6"/>
      <c r="AC1110" s="6"/>
      <c r="AD1110" s="6"/>
      <c r="AE1110" s="6"/>
    </row>
    <row r="1111" spans="22:31" ht="11.25" customHeight="1" x14ac:dyDescent="0.25">
      <c r="V1111" s="6"/>
      <c r="W1111" s="6"/>
      <c r="X1111" s="6"/>
      <c r="Y1111" s="6"/>
      <c r="Z1111" s="6"/>
      <c r="AA1111" s="6"/>
      <c r="AB1111" s="6"/>
      <c r="AC1111" s="6"/>
      <c r="AD1111" s="6"/>
      <c r="AE1111" s="6"/>
    </row>
    <row r="1112" spans="22:31" ht="11.25" customHeight="1" x14ac:dyDescent="0.25">
      <c r="V1112" s="6"/>
      <c r="W1112" s="6"/>
      <c r="X1112" s="6"/>
      <c r="Y1112" s="6"/>
      <c r="Z1112" s="6"/>
      <c r="AA1112" s="6"/>
      <c r="AB1112" s="6"/>
      <c r="AC1112" s="6"/>
      <c r="AD1112" s="6"/>
      <c r="AE1112" s="6"/>
    </row>
    <row r="1113" spans="22:31" ht="11.25" customHeight="1" x14ac:dyDescent="0.25">
      <c r="V1113" s="6"/>
      <c r="W1113" s="6"/>
      <c r="X1113" s="6"/>
      <c r="Y1113" s="6"/>
      <c r="Z1113" s="6"/>
      <c r="AA1113" s="6"/>
      <c r="AB1113" s="6"/>
      <c r="AC1113" s="6"/>
      <c r="AD1113" s="6"/>
      <c r="AE1113" s="6"/>
    </row>
    <row r="1114" spans="22:31" ht="11.25" customHeight="1" x14ac:dyDescent="0.25">
      <c r="V1114" s="6"/>
      <c r="W1114" s="6"/>
      <c r="X1114" s="6"/>
      <c r="Y1114" s="6"/>
      <c r="Z1114" s="6"/>
      <c r="AA1114" s="6"/>
      <c r="AB1114" s="6"/>
      <c r="AC1114" s="6"/>
      <c r="AD1114" s="6"/>
      <c r="AE1114" s="6"/>
    </row>
    <row r="1115" spans="22:31" ht="11.25" customHeight="1" x14ac:dyDescent="0.25"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</row>
    <row r="1116" spans="22:31" ht="11.25" customHeight="1" x14ac:dyDescent="0.25"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</row>
    <row r="1117" spans="22:31" ht="11.25" customHeight="1" x14ac:dyDescent="0.25">
      <c r="V1117" s="6"/>
      <c r="W1117" s="6"/>
      <c r="X1117" s="6"/>
      <c r="Y1117" s="6"/>
      <c r="Z1117" s="6"/>
      <c r="AA1117" s="6"/>
      <c r="AB1117" s="6"/>
      <c r="AC1117" s="6"/>
      <c r="AD1117" s="6"/>
      <c r="AE1117" s="6"/>
    </row>
    <row r="1118" spans="22:31" ht="11.25" customHeight="1" x14ac:dyDescent="0.25">
      <c r="V1118" s="6"/>
      <c r="W1118" s="6"/>
      <c r="X1118" s="6"/>
      <c r="Y1118" s="6"/>
      <c r="Z1118" s="6"/>
      <c r="AA1118" s="6"/>
      <c r="AB1118" s="6"/>
      <c r="AC1118" s="6"/>
      <c r="AD1118" s="6"/>
      <c r="AE1118" s="6"/>
    </row>
    <row r="1119" spans="22:31" ht="11.25" customHeight="1" x14ac:dyDescent="0.25">
      <c r="V1119" s="6"/>
      <c r="W1119" s="6"/>
      <c r="X1119" s="6"/>
      <c r="Y1119" s="6"/>
      <c r="Z1119" s="6"/>
      <c r="AA1119" s="6"/>
      <c r="AB1119" s="6"/>
      <c r="AC1119" s="6"/>
      <c r="AD1119" s="6"/>
      <c r="AE1119" s="6"/>
    </row>
    <row r="1120" spans="22:31" ht="11.25" customHeight="1" x14ac:dyDescent="0.25">
      <c r="V1120" s="6"/>
      <c r="W1120" s="6"/>
      <c r="X1120" s="6"/>
      <c r="Y1120" s="6"/>
      <c r="Z1120" s="6"/>
      <c r="AA1120" s="6"/>
      <c r="AB1120" s="6"/>
      <c r="AC1120" s="6"/>
      <c r="AD1120" s="6"/>
      <c r="AE1120" s="6"/>
    </row>
    <row r="1121" spans="22:31" ht="11.25" customHeight="1" x14ac:dyDescent="0.25">
      <c r="V1121" s="6"/>
      <c r="W1121" s="6"/>
      <c r="X1121" s="6"/>
      <c r="Y1121" s="6"/>
      <c r="Z1121" s="6"/>
      <c r="AA1121" s="6"/>
      <c r="AB1121" s="6"/>
      <c r="AC1121" s="6"/>
      <c r="AD1121" s="6"/>
      <c r="AE1121" s="6"/>
    </row>
    <row r="1122" spans="22:31" ht="11.25" customHeight="1" x14ac:dyDescent="0.25">
      <c r="V1122" s="6"/>
      <c r="W1122" s="6"/>
      <c r="X1122" s="6"/>
      <c r="Y1122" s="6"/>
      <c r="Z1122" s="6"/>
      <c r="AA1122" s="6"/>
      <c r="AB1122" s="6"/>
      <c r="AC1122" s="6"/>
      <c r="AD1122" s="6"/>
      <c r="AE1122" s="6"/>
    </row>
    <row r="1123" spans="22:31" ht="11.25" customHeight="1" x14ac:dyDescent="0.25"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</row>
    <row r="1124" spans="22:31" ht="11.25" customHeight="1" x14ac:dyDescent="0.25">
      <c r="V1124" s="6"/>
      <c r="W1124" s="6"/>
      <c r="X1124" s="6"/>
      <c r="Y1124" s="6"/>
      <c r="Z1124" s="6"/>
      <c r="AA1124" s="6"/>
      <c r="AB1124" s="6"/>
      <c r="AC1124" s="6"/>
      <c r="AD1124" s="6"/>
      <c r="AE1124" s="6"/>
    </row>
    <row r="1125" spans="22:31" ht="11.25" customHeight="1" x14ac:dyDescent="0.25"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</row>
    <row r="1126" spans="22:31" ht="11.25" customHeight="1" x14ac:dyDescent="0.25">
      <c r="V1126" s="6"/>
      <c r="W1126" s="6"/>
      <c r="X1126" s="6"/>
      <c r="Y1126" s="6"/>
      <c r="Z1126" s="6"/>
      <c r="AA1126" s="6"/>
      <c r="AB1126" s="6"/>
      <c r="AC1126" s="6"/>
      <c r="AD1126" s="6"/>
      <c r="AE1126" s="6"/>
    </row>
    <row r="1127" spans="22:31" ht="11.25" customHeight="1" x14ac:dyDescent="0.25">
      <c r="V1127" s="6"/>
      <c r="W1127" s="6"/>
      <c r="X1127" s="6"/>
      <c r="Y1127" s="6"/>
      <c r="Z1127" s="6"/>
      <c r="AA1127" s="6"/>
      <c r="AB1127" s="6"/>
      <c r="AC1127" s="6"/>
      <c r="AD1127" s="6"/>
      <c r="AE1127" s="6"/>
    </row>
    <row r="1128" spans="22:31" ht="11.25" customHeight="1" x14ac:dyDescent="0.25">
      <c r="V1128" s="6"/>
      <c r="W1128" s="6"/>
      <c r="X1128" s="6"/>
      <c r="Y1128" s="6"/>
      <c r="Z1128" s="6"/>
      <c r="AA1128" s="6"/>
      <c r="AB1128" s="6"/>
      <c r="AC1128" s="6"/>
      <c r="AD1128" s="6"/>
      <c r="AE1128" s="6"/>
    </row>
    <row r="1129" spans="22:31" ht="11.25" customHeight="1" x14ac:dyDescent="0.25"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</row>
    <row r="1130" spans="22:31" ht="11.25" customHeight="1" x14ac:dyDescent="0.25">
      <c r="V1130" s="6"/>
      <c r="W1130" s="6"/>
      <c r="X1130" s="6"/>
      <c r="Y1130" s="6"/>
      <c r="Z1130" s="6"/>
      <c r="AA1130" s="6"/>
      <c r="AB1130" s="6"/>
      <c r="AC1130" s="6"/>
      <c r="AD1130" s="6"/>
      <c r="AE1130" s="6"/>
    </row>
    <row r="1131" spans="22:31" ht="11.25" customHeight="1" x14ac:dyDescent="0.25">
      <c r="V1131" s="6"/>
      <c r="W1131" s="6"/>
      <c r="X1131" s="6"/>
      <c r="Y1131" s="6"/>
      <c r="Z1131" s="6"/>
      <c r="AA1131" s="6"/>
      <c r="AB1131" s="6"/>
      <c r="AC1131" s="6"/>
      <c r="AD1131" s="6"/>
      <c r="AE1131" s="6"/>
    </row>
    <row r="1132" spans="22:31" ht="11.25" customHeight="1" x14ac:dyDescent="0.25"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</row>
    <row r="1133" spans="22:31" ht="11.25" customHeight="1" x14ac:dyDescent="0.25">
      <c r="V1133" s="6"/>
      <c r="W1133" s="6"/>
      <c r="X1133" s="6"/>
      <c r="Y1133" s="6"/>
      <c r="Z1133" s="6"/>
      <c r="AA1133" s="6"/>
      <c r="AB1133" s="6"/>
      <c r="AC1133" s="6"/>
      <c r="AD1133" s="6"/>
      <c r="AE1133" s="6"/>
    </row>
    <row r="1134" spans="22:31" ht="11.25" customHeight="1" x14ac:dyDescent="0.25">
      <c r="V1134" s="6"/>
      <c r="W1134" s="6"/>
      <c r="X1134" s="6"/>
      <c r="Y1134" s="6"/>
      <c r="Z1134" s="6"/>
      <c r="AA1134" s="6"/>
      <c r="AB1134" s="6"/>
      <c r="AC1134" s="6"/>
      <c r="AD1134" s="6"/>
      <c r="AE1134" s="6"/>
    </row>
    <row r="1135" spans="22:31" ht="11.25" customHeight="1" x14ac:dyDescent="0.25">
      <c r="V1135" s="6"/>
      <c r="W1135" s="6"/>
      <c r="X1135" s="6"/>
      <c r="Y1135" s="6"/>
      <c r="Z1135" s="6"/>
      <c r="AA1135" s="6"/>
      <c r="AB1135" s="6"/>
      <c r="AC1135" s="6"/>
      <c r="AD1135" s="6"/>
      <c r="AE1135" s="6"/>
    </row>
    <row r="1136" spans="22:31" ht="11.25" customHeight="1" x14ac:dyDescent="0.25">
      <c r="V1136" s="6"/>
      <c r="W1136" s="6"/>
      <c r="X1136" s="6"/>
      <c r="Y1136" s="6"/>
      <c r="Z1136" s="6"/>
      <c r="AA1136" s="6"/>
      <c r="AB1136" s="6"/>
      <c r="AC1136" s="6"/>
      <c r="AD1136" s="6"/>
      <c r="AE1136" s="6"/>
    </row>
    <row r="1137" spans="22:31" ht="11.25" customHeight="1" x14ac:dyDescent="0.25">
      <c r="V1137" s="6"/>
      <c r="W1137" s="6"/>
      <c r="X1137" s="6"/>
      <c r="Y1137" s="6"/>
      <c r="Z1137" s="6"/>
      <c r="AA1137" s="6"/>
      <c r="AB1137" s="6"/>
      <c r="AC1137" s="6"/>
      <c r="AD1137" s="6"/>
      <c r="AE1137" s="6"/>
    </row>
    <row r="1138" spans="22:31" ht="11.25" customHeight="1" x14ac:dyDescent="0.25">
      <c r="V1138" s="6"/>
      <c r="W1138" s="6"/>
      <c r="X1138" s="6"/>
      <c r="Y1138" s="6"/>
      <c r="Z1138" s="6"/>
      <c r="AA1138" s="6"/>
      <c r="AB1138" s="6"/>
      <c r="AC1138" s="6"/>
      <c r="AD1138" s="6"/>
      <c r="AE1138" s="6"/>
    </row>
    <row r="1139" spans="22:31" ht="11.25" customHeight="1" x14ac:dyDescent="0.25">
      <c r="V1139" s="6"/>
      <c r="W1139" s="6"/>
      <c r="X1139" s="6"/>
      <c r="Y1139" s="6"/>
      <c r="Z1139" s="6"/>
      <c r="AA1139" s="6"/>
      <c r="AB1139" s="6"/>
      <c r="AC1139" s="6"/>
      <c r="AD1139" s="6"/>
      <c r="AE1139" s="6"/>
    </row>
    <row r="1140" spans="22:31" ht="11.25" customHeight="1" x14ac:dyDescent="0.25">
      <c r="V1140" s="6"/>
      <c r="W1140" s="6"/>
      <c r="X1140" s="6"/>
      <c r="Y1140" s="6"/>
      <c r="Z1140" s="6"/>
      <c r="AA1140" s="6"/>
      <c r="AB1140" s="6"/>
      <c r="AC1140" s="6"/>
      <c r="AD1140" s="6"/>
      <c r="AE1140" s="6"/>
    </row>
    <row r="1141" spans="22:31" ht="11.25" customHeight="1" x14ac:dyDescent="0.25"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</row>
    <row r="1142" spans="22:31" ht="11.25" customHeight="1" x14ac:dyDescent="0.25"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</row>
    <row r="1143" spans="22:31" ht="11.25" customHeight="1" x14ac:dyDescent="0.25">
      <c r="V1143" s="6"/>
      <c r="W1143" s="6"/>
      <c r="X1143" s="6"/>
      <c r="Y1143" s="6"/>
      <c r="Z1143" s="6"/>
      <c r="AA1143" s="6"/>
      <c r="AB1143" s="6"/>
      <c r="AC1143" s="6"/>
      <c r="AD1143" s="6"/>
      <c r="AE1143" s="6"/>
    </row>
    <row r="1144" spans="22:31" ht="11.25" customHeight="1" x14ac:dyDescent="0.25">
      <c r="V1144" s="6"/>
      <c r="W1144" s="6"/>
      <c r="X1144" s="6"/>
      <c r="Y1144" s="6"/>
      <c r="Z1144" s="6"/>
      <c r="AA1144" s="6"/>
      <c r="AB1144" s="6"/>
      <c r="AC1144" s="6"/>
      <c r="AD1144" s="6"/>
      <c r="AE1144" s="6"/>
    </row>
    <row r="1145" spans="22:31" ht="11.25" customHeight="1" x14ac:dyDescent="0.25">
      <c r="V1145" s="6"/>
      <c r="W1145" s="6"/>
      <c r="X1145" s="6"/>
      <c r="Y1145" s="6"/>
      <c r="Z1145" s="6"/>
      <c r="AA1145" s="6"/>
      <c r="AB1145" s="6"/>
      <c r="AC1145" s="6"/>
      <c r="AD1145" s="6"/>
      <c r="AE1145" s="6"/>
    </row>
    <row r="1146" spans="22:31" ht="11.25" customHeight="1" x14ac:dyDescent="0.25">
      <c r="V1146" s="6"/>
      <c r="W1146" s="6"/>
      <c r="X1146" s="6"/>
      <c r="Y1146" s="6"/>
      <c r="Z1146" s="6"/>
      <c r="AA1146" s="6"/>
      <c r="AB1146" s="6"/>
      <c r="AC1146" s="6"/>
      <c r="AD1146" s="6"/>
      <c r="AE1146" s="6"/>
    </row>
    <row r="1147" spans="22:31" ht="11.25" customHeight="1" x14ac:dyDescent="0.25">
      <c r="V1147" s="6"/>
      <c r="W1147" s="6"/>
      <c r="X1147" s="6"/>
      <c r="Y1147" s="6"/>
      <c r="Z1147" s="6"/>
      <c r="AA1147" s="6"/>
      <c r="AB1147" s="6"/>
      <c r="AC1147" s="6"/>
      <c r="AD1147" s="6"/>
      <c r="AE1147" s="6"/>
    </row>
    <row r="1148" spans="22:31" ht="11.25" customHeight="1" x14ac:dyDescent="0.25"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</row>
    <row r="1149" spans="22:31" ht="11.25" customHeight="1" x14ac:dyDescent="0.25"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</row>
    <row r="1150" spans="22:31" ht="11.25" customHeight="1" x14ac:dyDescent="0.25"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</row>
    <row r="1151" spans="22:31" ht="11.25" customHeight="1" x14ac:dyDescent="0.25">
      <c r="V1151" s="6"/>
      <c r="W1151" s="6"/>
      <c r="X1151" s="6"/>
      <c r="Y1151" s="6"/>
      <c r="Z1151" s="6"/>
      <c r="AA1151" s="6"/>
      <c r="AB1151" s="6"/>
      <c r="AC1151" s="6"/>
      <c r="AD1151" s="6"/>
      <c r="AE1151" s="6"/>
    </row>
    <row r="1152" spans="22:31" ht="11.25" customHeight="1" x14ac:dyDescent="0.25"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</row>
    <row r="1153" spans="22:31" ht="11.25" customHeight="1" x14ac:dyDescent="0.25"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</row>
    <row r="1154" spans="22:31" ht="11.25" customHeight="1" x14ac:dyDescent="0.25"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</row>
    <row r="1155" spans="22:31" ht="11.25" customHeight="1" x14ac:dyDescent="0.25"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</row>
    <row r="1156" spans="22:31" ht="11.25" customHeight="1" x14ac:dyDescent="0.25"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</row>
    <row r="1157" spans="22:31" ht="11.25" customHeight="1" x14ac:dyDescent="0.25"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</row>
    <row r="1158" spans="22:31" ht="11.25" customHeight="1" x14ac:dyDescent="0.25">
      <c r="V1158" s="6"/>
      <c r="W1158" s="6"/>
      <c r="X1158" s="6"/>
      <c r="Y1158" s="6"/>
      <c r="Z1158" s="6"/>
      <c r="AA1158" s="6"/>
      <c r="AB1158" s="6"/>
      <c r="AC1158" s="6"/>
      <c r="AD1158" s="6"/>
      <c r="AE1158" s="6"/>
    </row>
    <row r="1159" spans="22:31" ht="11.25" customHeight="1" x14ac:dyDescent="0.25">
      <c r="V1159" s="6"/>
      <c r="W1159" s="6"/>
      <c r="X1159" s="6"/>
      <c r="Y1159" s="6"/>
      <c r="Z1159" s="6"/>
      <c r="AA1159" s="6"/>
      <c r="AB1159" s="6"/>
      <c r="AC1159" s="6"/>
      <c r="AD1159" s="6"/>
      <c r="AE1159" s="6"/>
    </row>
    <row r="1160" spans="22:31" ht="11.25" customHeight="1" x14ac:dyDescent="0.25">
      <c r="V1160" s="6"/>
      <c r="W1160" s="6"/>
      <c r="X1160" s="6"/>
      <c r="Y1160" s="6"/>
      <c r="Z1160" s="6"/>
      <c r="AA1160" s="6"/>
      <c r="AB1160" s="6"/>
      <c r="AC1160" s="6"/>
      <c r="AD1160" s="6"/>
      <c r="AE1160" s="6"/>
    </row>
    <row r="1161" spans="22:31" ht="11.25" customHeight="1" x14ac:dyDescent="0.25"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</row>
    <row r="1162" spans="22:31" ht="11.25" customHeight="1" x14ac:dyDescent="0.25"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</row>
    <row r="1163" spans="22:31" ht="11.25" customHeight="1" x14ac:dyDescent="0.25"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</row>
    <row r="1164" spans="22:31" ht="11.25" customHeight="1" x14ac:dyDescent="0.25">
      <c r="V1164" s="6"/>
      <c r="W1164" s="6"/>
      <c r="X1164" s="6"/>
      <c r="Y1164" s="6"/>
      <c r="Z1164" s="6"/>
      <c r="AA1164" s="6"/>
      <c r="AB1164" s="6"/>
      <c r="AC1164" s="6"/>
      <c r="AD1164" s="6"/>
      <c r="AE1164" s="6"/>
    </row>
    <row r="1165" spans="22:31" ht="11.25" customHeight="1" x14ac:dyDescent="0.25">
      <c r="V1165" s="6"/>
      <c r="W1165" s="6"/>
      <c r="X1165" s="6"/>
      <c r="Y1165" s="6"/>
      <c r="Z1165" s="6"/>
      <c r="AA1165" s="6"/>
      <c r="AB1165" s="6"/>
      <c r="AC1165" s="6"/>
      <c r="AD1165" s="6"/>
      <c r="AE1165" s="6"/>
    </row>
    <row r="1166" spans="22:31" ht="11.25" customHeight="1" x14ac:dyDescent="0.25"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</row>
    <row r="1167" spans="22:31" ht="11.25" customHeight="1" x14ac:dyDescent="0.25"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</row>
    <row r="1168" spans="22:31" ht="11.25" customHeight="1" x14ac:dyDescent="0.25"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</row>
    <row r="1169" spans="22:31" ht="11.25" customHeight="1" x14ac:dyDescent="0.25"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</row>
    <row r="1170" spans="22:31" ht="11.25" customHeight="1" x14ac:dyDescent="0.25"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</row>
    <row r="1171" spans="22:31" ht="11.25" customHeight="1" x14ac:dyDescent="0.25">
      <c r="V1171" s="6"/>
      <c r="W1171" s="6"/>
      <c r="X1171" s="6"/>
      <c r="Y1171" s="6"/>
      <c r="Z1171" s="6"/>
      <c r="AA1171" s="6"/>
      <c r="AB1171" s="6"/>
      <c r="AC1171" s="6"/>
      <c r="AD1171" s="6"/>
      <c r="AE1171" s="6"/>
    </row>
    <row r="1172" spans="22:31" ht="11.25" customHeight="1" x14ac:dyDescent="0.25">
      <c r="V1172" s="6"/>
      <c r="W1172" s="6"/>
      <c r="X1172" s="6"/>
      <c r="Y1172" s="6"/>
      <c r="Z1172" s="6"/>
      <c r="AA1172" s="6"/>
      <c r="AB1172" s="6"/>
      <c r="AC1172" s="6"/>
      <c r="AD1172" s="6"/>
      <c r="AE1172" s="6"/>
    </row>
    <row r="1173" spans="22:31" ht="11.25" customHeight="1" x14ac:dyDescent="0.25">
      <c r="V1173" s="6"/>
      <c r="W1173" s="6"/>
      <c r="X1173" s="6"/>
      <c r="Y1173" s="6"/>
      <c r="Z1173" s="6"/>
      <c r="AA1173" s="6"/>
      <c r="AB1173" s="6"/>
      <c r="AC1173" s="6"/>
      <c r="AD1173" s="6"/>
      <c r="AE1173" s="6"/>
    </row>
    <row r="1174" spans="22:31" ht="11.25" customHeight="1" x14ac:dyDescent="0.25">
      <c r="V1174" s="6"/>
      <c r="W1174" s="6"/>
      <c r="X1174" s="6"/>
      <c r="Y1174" s="6"/>
      <c r="Z1174" s="6"/>
      <c r="AA1174" s="6"/>
      <c r="AB1174" s="6"/>
      <c r="AC1174" s="6"/>
      <c r="AD1174" s="6"/>
      <c r="AE1174" s="6"/>
    </row>
    <row r="1175" spans="22:31" ht="11.25" customHeight="1" x14ac:dyDescent="0.25">
      <c r="V1175" s="6"/>
      <c r="W1175" s="6"/>
      <c r="X1175" s="6"/>
      <c r="Y1175" s="6"/>
      <c r="Z1175" s="6"/>
      <c r="AA1175" s="6"/>
      <c r="AB1175" s="6"/>
      <c r="AC1175" s="6"/>
      <c r="AD1175" s="6"/>
      <c r="AE1175" s="6"/>
    </row>
    <row r="1176" spans="22:31" ht="11.25" customHeight="1" x14ac:dyDescent="0.25"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</row>
    <row r="1177" spans="22:31" ht="11.25" customHeight="1" x14ac:dyDescent="0.25">
      <c r="V1177" s="6"/>
      <c r="W1177" s="6"/>
      <c r="X1177" s="6"/>
      <c r="Y1177" s="6"/>
      <c r="Z1177" s="6"/>
      <c r="AA1177" s="6"/>
      <c r="AB1177" s="6"/>
      <c r="AC1177" s="6"/>
      <c r="AD1177" s="6"/>
      <c r="AE1177" s="6"/>
    </row>
    <row r="1178" spans="22:31" ht="11.25" customHeight="1" x14ac:dyDescent="0.25"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</row>
    <row r="1179" spans="22:31" ht="11.25" customHeight="1" x14ac:dyDescent="0.25">
      <c r="V1179" s="6"/>
      <c r="W1179" s="6"/>
      <c r="X1179" s="6"/>
      <c r="Y1179" s="6"/>
      <c r="Z1179" s="6"/>
      <c r="AA1179" s="6"/>
      <c r="AB1179" s="6"/>
      <c r="AC1179" s="6"/>
      <c r="AD1179" s="6"/>
      <c r="AE1179" s="6"/>
    </row>
    <row r="1180" spans="22:31" ht="11.25" customHeight="1" x14ac:dyDescent="0.25">
      <c r="V1180" s="6"/>
      <c r="W1180" s="6"/>
      <c r="X1180" s="6"/>
      <c r="Y1180" s="6"/>
      <c r="Z1180" s="6"/>
      <c r="AA1180" s="6"/>
      <c r="AB1180" s="6"/>
      <c r="AC1180" s="6"/>
      <c r="AD1180" s="6"/>
      <c r="AE1180" s="6"/>
    </row>
    <row r="1181" spans="22:31" ht="11.25" customHeight="1" x14ac:dyDescent="0.25"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</row>
    <row r="1182" spans="22:31" ht="11.25" customHeight="1" x14ac:dyDescent="0.25">
      <c r="V1182" s="6"/>
      <c r="W1182" s="6"/>
      <c r="X1182" s="6"/>
      <c r="Y1182" s="6"/>
      <c r="Z1182" s="6"/>
      <c r="AA1182" s="6"/>
      <c r="AB1182" s="6"/>
      <c r="AC1182" s="6"/>
      <c r="AD1182" s="6"/>
      <c r="AE1182" s="6"/>
    </row>
    <row r="1183" spans="22:31" ht="11.25" customHeight="1" x14ac:dyDescent="0.25">
      <c r="V1183" s="6"/>
      <c r="W1183" s="6"/>
      <c r="X1183" s="6"/>
      <c r="Y1183" s="6"/>
      <c r="Z1183" s="6"/>
      <c r="AA1183" s="6"/>
      <c r="AB1183" s="6"/>
      <c r="AC1183" s="6"/>
      <c r="AD1183" s="6"/>
      <c r="AE1183" s="6"/>
    </row>
    <row r="1184" spans="22:31" ht="11.25" customHeight="1" x14ac:dyDescent="0.25"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</row>
    <row r="1185" spans="22:31" ht="11.25" customHeight="1" x14ac:dyDescent="0.25">
      <c r="V1185" s="6"/>
      <c r="W1185" s="6"/>
      <c r="X1185" s="6"/>
      <c r="Y1185" s="6"/>
      <c r="Z1185" s="6"/>
      <c r="AA1185" s="6"/>
      <c r="AB1185" s="6"/>
      <c r="AC1185" s="6"/>
      <c r="AD1185" s="6"/>
      <c r="AE1185" s="6"/>
    </row>
    <row r="1186" spans="22:31" ht="11.25" customHeight="1" x14ac:dyDescent="0.25">
      <c r="V1186" s="6"/>
      <c r="W1186" s="6"/>
      <c r="X1186" s="6"/>
      <c r="Y1186" s="6"/>
      <c r="Z1186" s="6"/>
      <c r="AA1186" s="6"/>
      <c r="AB1186" s="6"/>
      <c r="AC1186" s="6"/>
      <c r="AD1186" s="6"/>
      <c r="AE1186" s="6"/>
    </row>
    <row r="1187" spans="22:31" ht="11.25" customHeight="1" x14ac:dyDescent="0.25">
      <c r="V1187" s="6"/>
      <c r="W1187" s="6"/>
      <c r="X1187" s="6"/>
      <c r="Y1187" s="6"/>
      <c r="Z1187" s="6"/>
      <c r="AA1187" s="6"/>
      <c r="AB1187" s="6"/>
      <c r="AC1187" s="6"/>
      <c r="AD1187" s="6"/>
      <c r="AE1187" s="6"/>
    </row>
    <row r="1188" spans="22:31" ht="11.25" customHeight="1" x14ac:dyDescent="0.25"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</row>
    <row r="1189" spans="22:31" ht="11.25" customHeight="1" x14ac:dyDescent="0.25">
      <c r="V1189" s="6"/>
      <c r="W1189" s="6"/>
      <c r="X1189" s="6"/>
      <c r="Y1189" s="6"/>
      <c r="Z1189" s="6"/>
      <c r="AA1189" s="6"/>
      <c r="AB1189" s="6"/>
      <c r="AC1189" s="6"/>
      <c r="AD1189" s="6"/>
      <c r="AE1189" s="6"/>
    </row>
    <row r="1190" spans="22:31" ht="11.25" customHeight="1" x14ac:dyDescent="0.25">
      <c r="V1190" s="6"/>
      <c r="W1190" s="6"/>
      <c r="X1190" s="6"/>
      <c r="Y1190" s="6"/>
      <c r="Z1190" s="6"/>
      <c r="AA1190" s="6"/>
      <c r="AB1190" s="6"/>
      <c r="AC1190" s="6"/>
      <c r="AD1190" s="6"/>
      <c r="AE1190" s="6"/>
    </row>
    <row r="1191" spans="22:31" ht="11.25" customHeight="1" x14ac:dyDescent="0.25"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</row>
    <row r="1192" spans="22:31" ht="11.25" customHeight="1" x14ac:dyDescent="0.25">
      <c r="V1192" s="6"/>
      <c r="W1192" s="6"/>
      <c r="X1192" s="6"/>
      <c r="Y1192" s="6"/>
      <c r="Z1192" s="6"/>
      <c r="AA1192" s="6"/>
      <c r="AB1192" s="6"/>
      <c r="AC1192" s="6"/>
      <c r="AD1192" s="6"/>
      <c r="AE1192" s="6"/>
    </row>
    <row r="1193" spans="22:31" ht="11.25" customHeight="1" x14ac:dyDescent="0.25">
      <c r="V1193" s="6"/>
      <c r="W1193" s="6"/>
      <c r="X1193" s="6"/>
      <c r="Y1193" s="6"/>
      <c r="Z1193" s="6"/>
      <c r="AA1193" s="6"/>
      <c r="AB1193" s="6"/>
      <c r="AC1193" s="6"/>
      <c r="AD1193" s="6"/>
      <c r="AE1193" s="6"/>
    </row>
    <row r="1194" spans="22:31" ht="11.25" customHeight="1" x14ac:dyDescent="0.25">
      <c r="V1194" s="6"/>
      <c r="W1194" s="6"/>
      <c r="X1194" s="6"/>
      <c r="Y1194" s="6"/>
      <c r="Z1194" s="6"/>
      <c r="AA1194" s="6"/>
      <c r="AB1194" s="6"/>
      <c r="AC1194" s="6"/>
      <c r="AD1194" s="6"/>
      <c r="AE1194" s="6"/>
    </row>
    <row r="1195" spans="22:31" ht="11.25" customHeight="1" x14ac:dyDescent="0.25">
      <c r="V1195" s="6"/>
      <c r="W1195" s="6"/>
      <c r="X1195" s="6"/>
      <c r="Y1195" s="6"/>
      <c r="Z1195" s="6"/>
      <c r="AA1195" s="6"/>
      <c r="AB1195" s="6"/>
      <c r="AC1195" s="6"/>
      <c r="AD1195" s="6"/>
      <c r="AE1195" s="6"/>
    </row>
    <row r="1196" spans="22:31" ht="11.25" customHeight="1" x14ac:dyDescent="0.25">
      <c r="V1196" s="6"/>
      <c r="W1196" s="6"/>
      <c r="X1196" s="6"/>
      <c r="Y1196" s="6"/>
      <c r="Z1196" s="6"/>
      <c r="AA1196" s="6"/>
      <c r="AB1196" s="6"/>
      <c r="AC1196" s="6"/>
      <c r="AD1196" s="6"/>
      <c r="AE1196" s="6"/>
    </row>
    <row r="1197" spans="22:31" ht="11.25" customHeight="1" x14ac:dyDescent="0.25"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</row>
    <row r="1198" spans="22:31" ht="11.25" customHeight="1" x14ac:dyDescent="0.25"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</row>
    <row r="1199" spans="22:31" ht="11.25" customHeight="1" x14ac:dyDescent="0.25"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</row>
    <row r="1200" spans="22:31" ht="11.25" customHeight="1" x14ac:dyDescent="0.25">
      <c r="V1200" s="6"/>
      <c r="W1200" s="6"/>
      <c r="X1200" s="6"/>
      <c r="Y1200" s="6"/>
      <c r="Z1200" s="6"/>
      <c r="AA1200" s="6"/>
      <c r="AB1200" s="6"/>
      <c r="AC1200" s="6"/>
      <c r="AD1200" s="6"/>
      <c r="AE1200" s="6"/>
    </row>
    <row r="1201" spans="22:31" ht="11.25" customHeight="1" x14ac:dyDescent="0.25">
      <c r="V1201" s="6"/>
      <c r="W1201" s="6"/>
      <c r="X1201" s="6"/>
      <c r="Y1201" s="6"/>
      <c r="Z1201" s="6"/>
      <c r="AA1201" s="6"/>
      <c r="AB1201" s="6"/>
      <c r="AC1201" s="6"/>
      <c r="AD1201" s="6"/>
      <c r="AE1201" s="6"/>
    </row>
    <row r="1202" spans="22:31" ht="11.25" customHeight="1" x14ac:dyDescent="0.25">
      <c r="V1202" s="6"/>
      <c r="W1202" s="6"/>
      <c r="X1202" s="6"/>
      <c r="Y1202" s="6"/>
      <c r="Z1202" s="6"/>
      <c r="AA1202" s="6"/>
      <c r="AB1202" s="6"/>
      <c r="AC1202" s="6"/>
      <c r="AD1202" s="6"/>
      <c r="AE1202" s="6"/>
    </row>
    <row r="1203" spans="22:31" ht="11.25" customHeight="1" x14ac:dyDescent="0.25">
      <c r="V1203" s="6"/>
      <c r="W1203" s="6"/>
      <c r="X1203" s="6"/>
      <c r="Y1203" s="6"/>
      <c r="Z1203" s="6"/>
      <c r="AA1203" s="6"/>
      <c r="AB1203" s="6"/>
      <c r="AC1203" s="6"/>
      <c r="AD1203" s="6"/>
      <c r="AE1203" s="6"/>
    </row>
    <row r="1204" spans="22:31" ht="11.25" customHeight="1" x14ac:dyDescent="0.25">
      <c r="V1204" s="6"/>
      <c r="W1204" s="6"/>
      <c r="X1204" s="6"/>
      <c r="Y1204" s="6"/>
      <c r="Z1204" s="6"/>
      <c r="AA1204" s="6"/>
      <c r="AB1204" s="6"/>
      <c r="AC1204" s="6"/>
      <c r="AD1204" s="6"/>
      <c r="AE1204" s="6"/>
    </row>
    <row r="1205" spans="22:31" ht="11.25" customHeight="1" x14ac:dyDescent="0.25">
      <c r="V1205" s="6"/>
      <c r="W1205" s="6"/>
      <c r="X1205" s="6"/>
      <c r="Y1205" s="6"/>
      <c r="Z1205" s="6"/>
      <c r="AA1205" s="6"/>
      <c r="AB1205" s="6"/>
      <c r="AC1205" s="6"/>
      <c r="AD1205" s="6"/>
      <c r="AE1205" s="6"/>
    </row>
    <row r="1206" spans="22:31" ht="11.25" customHeight="1" x14ac:dyDescent="0.25">
      <c r="V1206" s="6"/>
      <c r="W1206" s="6"/>
      <c r="X1206" s="6"/>
      <c r="Y1206" s="6"/>
      <c r="Z1206" s="6"/>
      <c r="AA1206" s="6"/>
      <c r="AB1206" s="6"/>
      <c r="AC1206" s="6"/>
      <c r="AD1206" s="6"/>
      <c r="AE1206" s="6"/>
    </row>
    <row r="1207" spans="22:31" ht="11.25" customHeight="1" x14ac:dyDescent="0.25"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</row>
    <row r="1208" spans="22:31" ht="11.25" customHeight="1" x14ac:dyDescent="0.25">
      <c r="V1208" s="6"/>
      <c r="W1208" s="6"/>
      <c r="X1208" s="6"/>
      <c r="Y1208" s="6"/>
      <c r="Z1208" s="6"/>
      <c r="AA1208" s="6"/>
      <c r="AB1208" s="6"/>
      <c r="AC1208" s="6"/>
      <c r="AD1208" s="6"/>
      <c r="AE1208" s="6"/>
    </row>
    <row r="1209" spans="22:31" ht="11.25" customHeight="1" x14ac:dyDescent="0.25"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</row>
    <row r="1210" spans="22:31" ht="11.25" customHeight="1" x14ac:dyDescent="0.25"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</row>
    <row r="1211" spans="22:31" ht="11.25" customHeight="1" x14ac:dyDescent="0.25"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</row>
    <row r="1212" spans="22:31" ht="11.25" customHeight="1" x14ac:dyDescent="0.25"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</row>
    <row r="1213" spans="22:31" ht="11.25" customHeight="1" x14ac:dyDescent="0.25">
      <c r="V1213" s="6"/>
      <c r="W1213" s="6"/>
      <c r="X1213" s="6"/>
      <c r="Y1213" s="6"/>
      <c r="Z1213" s="6"/>
      <c r="AA1213" s="6"/>
      <c r="AB1213" s="6"/>
      <c r="AC1213" s="6"/>
      <c r="AD1213" s="6"/>
      <c r="AE1213" s="6"/>
    </row>
    <row r="1214" spans="22:31" ht="11.25" customHeight="1" x14ac:dyDescent="0.25"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</row>
    <row r="1215" spans="22:31" ht="11.25" customHeight="1" x14ac:dyDescent="0.25"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</row>
    <row r="1216" spans="22:31" ht="11.25" customHeight="1" x14ac:dyDescent="0.25"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</row>
    <row r="1217" spans="22:31" ht="11.25" customHeight="1" x14ac:dyDescent="0.25">
      <c r="V1217" s="6"/>
      <c r="W1217" s="6"/>
      <c r="X1217" s="6"/>
      <c r="Y1217" s="6"/>
      <c r="Z1217" s="6"/>
      <c r="AA1217" s="6"/>
      <c r="AB1217" s="6"/>
      <c r="AC1217" s="6"/>
      <c r="AD1217" s="6"/>
      <c r="AE1217" s="6"/>
    </row>
    <row r="1218" spans="22:31" ht="11.25" customHeight="1" x14ac:dyDescent="0.25">
      <c r="V1218" s="6"/>
      <c r="W1218" s="6"/>
      <c r="X1218" s="6"/>
      <c r="Y1218" s="6"/>
      <c r="Z1218" s="6"/>
      <c r="AA1218" s="6"/>
      <c r="AB1218" s="6"/>
      <c r="AC1218" s="6"/>
      <c r="AD1218" s="6"/>
      <c r="AE1218" s="6"/>
    </row>
    <row r="1219" spans="22:31" ht="11.25" customHeight="1" x14ac:dyDescent="0.25">
      <c r="V1219" s="6"/>
      <c r="W1219" s="6"/>
      <c r="X1219" s="6"/>
      <c r="Y1219" s="6"/>
      <c r="Z1219" s="6"/>
      <c r="AA1219" s="6"/>
      <c r="AB1219" s="6"/>
      <c r="AC1219" s="6"/>
      <c r="AD1219" s="6"/>
      <c r="AE1219" s="6"/>
    </row>
    <row r="1220" spans="22:31" ht="11.25" customHeight="1" x14ac:dyDescent="0.25">
      <c r="V1220" s="6"/>
      <c r="W1220" s="6"/>
      <c r="X1220" s="6"/>
      <c r="Y1220" s="6"/>
      <c r="Z1220" s="6"/>
      <c r="AA1220" s="6"/>
      <c r="AB1220" s="6"/>
      <c r="AC1220" s="6"/>
      <c r="AD1220" s="6"/>
      <c r="AE1220" s="6"/>
    </row>
    <row r="1221" spans="22:31" ht="11.25" customHeight="1" x14ac:dyDescent="0.25">
      <c r="V1221" s="6"/>
      <c r="W1221" s="6"/>
      <c r="X1221" s="6"/>
      <c r="Y1221" s="6"/>
      <c r="Z1221" s="6"/>
      <c r="AA1221" s="6"/>
      <c r="AB1221" s="6"/>
      <c r="AC1221" s="6"/>
      <c r="AD1221" s="6"/>
      <c r="AE1221" s="6"/>
    </row>
    <row r="1222" spans="22:31" ht="11.25" customHeight="1" x14ac:dyDescent="0.25">
      <c r="V1222" s="6"/>
      <c r="W1222" s="6"/>
      <c r="X1222" s="6"/>
      <c r="Y1222" s="6"/>
      <c r="Z1222" s="6"/>
      <c r="AA1222" s="6"/>
      <c r="AB1222" s="6"/>
      <c r="AC1222" s="6"/>
      <c r="AD1222" s="6"/>
      <c r="AE1222" s="6"/>
    </row>
    <row r="1223" spans="22:31" ht="11.25" customHeight="1" x14ac:dyDescent="0.25"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</row>
    <row r="1224" spans="22:31" ht="11.25" customHeight="1" x14ac:dyDescent="0.25">
      <c r="V1224" s="6"/>
      <c r="W1224" s="6"/>
      <c r="X1224" s="6"/>
      <c r="Y1224" s="6"/>
      <c r="Z1224" s="6"/>
      <c r="AA1224" s="6"/>
      <c r="AB1224" s="6"/>
      <c r="AC1224" s="6"/>
      <c r="AD1224" s="6"/>
      <c r="AE1224" s="6"/>
    </row>
    <row r="1225" spans="22:31" ht="11.25" customHeight="1" x14ac:dyDescent="0.25">
      <c r="V1225" s="6"/>
      <c r="W1225" s="6"/>
      <c r="X1225" s="6"/>
      <c r="Y1225" s="6"/>
      <c r="Z1225" s="6"/>
      <c r="AA1225" s="6"/>
      <c r="AB1225" s="6"/>
      <c r="AC1225" s="6"/>
      <c r="AD1225" s="6"/>
      <c r="AE1225" s="6"/>
    </row>
    <row r="1226" spans="22:31" ht="11.25" customHeight="1" x14ac:dyDescent="0.25">
      <c r="V1226" s="6"/>
      <c r="W1226" s="6"/>
      <c r="X1226" s="6"/>
      <c r="Y1226" s="6"/>
      <c r="Z1226" s="6"/>
      <c r="AA1226" s="6"/>
      <c r="AB1226" s="6"/>
      <c r="AC1226" s="6"/>
      <c r="AD1226" s="6"/>
      <c r="AE1226" s="6"/>
    </row>
    <row r="1227" spans="22:31" ht="11.25" customHeight="1" x14ac:dyDescent="0.25">
      <c r="V1227" s="6"/>
      <c r="W1227" s="6"/>
      <c r="X1227" s="6"/>
      <c r="Y1227" s="6"/>
      <c r="Z1227" s="6"/>
      <c r="AA1227" s="6"/>
      <c r="AB1227" s="6"/>
      <c r="AC1227" s="6"/>
      <c r="AD1227" s="6"/>
      <c r="AE1227" s="6"/>
    </row>
    <row r="1228" spans="22:31" ht="11.25" customHeight="1" x14ac:dyDescent="0.25">
      <c r="V1228" s="6"/>
      <c r="W1228" s="6"/>
      <c r="X1228" s="6"/>
      <c r="Y1228" s="6"/>
      <c r="Z1228" s="6"/>
      <c r="AA1228" s="6"/>
      <c r="AB1228" s="6"/>
      <c r="AC1228" s="6"/>
      <c r="AD1228" s="6"/>
      <c r="AE1228" s="6"/>
    </row>
    <row r="1229" spans="22:31" ht="11.25" customHeight="1" x14ac:dyDescent="0.25"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</row>
    <row r="1230" spans="22:31" ht="11.25" customHeight="1" x14ac:dyDescent="0.25"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</row>
    <row r="1231" spans="22:31" ht="11.25" customHeight="1" x14ac:dyDescent="0.25"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</row>
    <row r="1232" spans="22:31" ht="11.25" customHeight="1" x14ac:dyDescent="0.25"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</row>
    <row r="1233" spans="22:31" ht="11.25" customHeight="1" x14ac:dyDescent="0.25">
      <c r="V1233" s="6"/>
      <c r="W1233" s="6"/>
      <c r="X1233" s="6"/>
      <c r="Y1233" s="6"/>
      <c r="Z1233" s="6"/>
      <c r="AA1233" s="6"/>
      <c r="AB1233" s="6"/>
      <c r="AC1233" s="6"/>
      <c r="AD1233" s="6"/>
      <c r="AE1233" s="6"/>
    </row>
    <row r="1234" spans="22:31" ht="11.25" customHeight="1" x14ac:dyDescent="0.25"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</row>
    <row r="1235" spans="22:31" ht="11.25" customHeight="1" x14ac:dyDescent="0.25">
      <c r="V1235" s="6"/>
      <c r="W1235" s="6"/>
      <c r="X1235" s="6"/>
      <c r="Y1235" s="6"/>
      <c r="Z1235" s="6"/>
      <c r="AA1235" s="6"/>
      <c r="AB1235" s="6"/>
      <c r="AC1235" s="6"/>
      <c r="AD1235" s="6"/>
      <c r="AE1235" s="6"/>
    </row>
    <row r="1236" spans="22:31" ht="11.25" customHeight="1" x14ac:dyDescent="0.25">
      <c r="V1236" s="6"/>
      <c r="W1236" s="6"/>
      <c r="X1236" s="6"/>
      <c r="Y1236" s="6"/>
      <c r="Z1236" s="6"/>
      <c r="AA1236" s="6"/>
      <c r="AB1236" s="6"/>
      <c r="AC1236" s="6"/>
      <c r="AD1236" s="6"/>
      <c r="AE1236" s="6"/>
    </row>
    <row r="1237" spans="22:31" ht="11.25" customHeight="1" x14ac:dyDescent="0.25"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</row>
    <row r="1238" spans="22:31" ht="11.25" customHeight="1" x14ac:dyDescent="0.25">
      <c r="V1238" s="6"/>
      <c r="W1238" s="6"/>
      <c r="X1238" s="6"/>
      <c r="Y1238" s="6"/>
      <c r="Z1238" s="6"/>
      <c r="AA1238" s="6"/>
      <c r="AB1238" s="6"/>
      <c r="AC1238" s="6"/>
      <c r="AD1238" s="6"/>
      <c r="AE1238" s="6"/>
    </row>
    <row r="1239" spans="22:31" ht="11.25" customHeight="1" x14ac:dyDescent="0.25">
      <c r="V1239" s="6"/>
      <c r="W1239" s="6"/>
      <c r="X1239" s="6"/>
      <c r="Y1239" s="6"/>
      <c r="Z1239" s="6"/>
      <c r="AA1239" s="6"/>
      <c r="AB1239" s="6"/>
      <c r="AC1239" s="6"/>
      <c r="AD1239" s="6"/>
      <c r="AE1239" s="6"/>
    </row>
    <row r="1240" spans="22:31" ht="11.25" customHeight="1" x14ac:dyDescent="0.25">
      <c r="V1240" s="6"/>
      <c r="W1240" s="6"/>
      <c r="X1240" s="6"/>
      <c r="Y1240" s="6"/>
      <c r="Z1240" s="6"/>
      <c r="AA1240" s="6"/>
      <c r="AB1240" s="6"/>
      <c r="AC1240" s="6"/>
      <c r="AD1240" s="6"/>
      <c r="AE1240" s="6"/>
    </row>
    <row r="1241" spans="22:31" ht="11.25" customHeight="1" x14ac:dyDescent="0.25">
      <c r="V1241" s="6"/>
      <c r="W1241" s="6"/>
      <c r="X1241" s="6"/>
      <c r="Y1241" s="6"/>
      <c r="Z1241" s="6"/>
      <c r="AA1241" s="6"/>
      <c r="AB1241" s="6"/>
      <c r="AC1241" s="6"/>
      <c r="AD1241" s="6"/>
      <c r="AE1241" s="6"/>
    </row>
    <row r="1242" spans="22:31" ht="11.25" customHeight="1" x14ac:dyDescent="0.25">
      <c r="V1242" s="6"/>
      <c r="W1242" s="6"/>
      <c r="X1242" s="6"/>
      <c r="Y1242" s="6"/>
      <c r="Z1242" s="6"/>
      <c r="AA1242" s="6"/>
      <c r="AB1242" s="6"/>
      <c r="AC1242" s="6"/>
      <c r="AD1242" s="6"/>
      <c r="AE1242" s="6"/>
    </row>
    <row r="1243" spans="22:31" ht="11.25" customHeight="1" x14ac:dyDescent="0.25">
      <c r="V1243" s="6"/>
      <c r="W1243" s="6"/>
      <c r="X1243" s="6"/>
      <c r="Y1243" s="6"/>
      <c r="Z1243" s="6"/>
      <c r="AA1243" s="6"/>
      <c r="AB1243" s="6"/>
      <c r="AC1243" s="6"/>
      <c r="AD1243" s="6"/>
      <c r="AE1243" s="6"/>
    </row>
    <row r="1244" spans="22:31" ht="11.25" customHeight="1" x14ac:dyDescent="0.25">
      <c r="V1244" s="6"/>
      <c r="W1244" s="6"/>
      <c r="X1244" s="6"/>
      <c r="Y1244" s="6"/>
      <c r="Z1244" s="6"/>
      <c r="AA1244" s="6"/>
      <c r="AB1244" s="6"/>
      <c r="AC1244" s="6"/>
      <c r="AD1244" s="6"/>
      <c r="AE1244" s="6"/>
    </row>
    <row r="1245" spans="22:31" ht="11.25" customHeight="1" x14ac:dyDescent="0.25"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</row>
    <row r="1246" spans="22:31" ht="11.25" customHeight="1" x14ac:dyDescent="0.25">
      <c r="V1246" s="6"/>
      <c r="W1246" s="6"/>
      <c r="X1246" s="6"/>
      <c r="Y1246" s="6"/>
      <c r="Z1246" s="6"/>
      <c r="AA1246" s="6"/>
      <c r="AB1246" s="6"/>
      <c r="AC1246" s="6"/>
      <c r="AD1246" s="6"/>
      <c r="AE1246" s="6"/>
    </row>
    <row r="1247" spans="22:31" ht="11.25" customHeight="1" x14ac:dyDescent="0.25">
      <c r="V1247" s="6"/>
      <c r="W1247" s="6"/>
      <c r="X1247" s="6"/>
      <c r="Y1247" s="6"/>
      <c r="Z1247" s="6"/>
      <c r="AA1247" s="6"/>
      <c r="AB1247" s="6"/>
      <c r="AC1247" s="6"/>
      <c r="AD1247" s="6"/>
      <c r="AE1247" s="6"/>
    </row>
    <row r="1248" spans="22:31" ht="11.25" customHeight="1" x14ac:dyDescent="0.25">
      <c r="V1248" s="6"/>
      <c r="W1248" s="6"/>
      <c r="X1248" s="6"/>
      <c r="Y1248" s="6"/>
      <c r="Z1248" s="6"/>
      <c r="AA1248" s="6"/>
      <c r="AB1248" s="6"/>
      <c r="AC1248" s="6"/>
      <c r="AD1248" s="6"/>
      <c r="AE1248" s="6"/>
    </row>
    <row r="1249" spans="22:31" ht="11.25" customHeight="1" x14ac:dyDescent="0.25"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</row>
    <row r="1250" spans="22:31" ht="11.25" customHeight="1" x14ac:dyDescent="0.25"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</row>
    <row r="1251" spans="22:31" ht="11.25" customHeight="1" x14ac:dyDescent="0.25"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</row>
    <row r="1252" spans="22:31" ht="11.25" customHeight="1" x14ac:dyDescent="0.25"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</row>
    <row r="1253" spans="22:31" ht="11.25" customHeight="1" x14ac:dyDescent="0.25"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</row>
    <row r="1254" spans="22:31" ht="11.25" customHeight="1" x14ac:dyDescent="0.25"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</row>
    <row r="1255" spans="22:31" ht="11.25" customHeight="1" x14ac:dyDescent="0.25"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</row>
    <row r="1256" spans="22:31" ht="11.25" customHeight="1" x14ac:dyDescent="0.25"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</row>
    <row r="1257" spans="22:31" ht="11.25" customHeight="1" x14ac:dyDescent="0.25"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</row>
    <row r="1258" spans="22:31" ht="11.25" customHeight="1" x14ac:dyDescent="0.25"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</row>
    <row r="1259" spans="22:31" ht="11.25" customHeight="1" x14ac:dyDescent="0.25"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</row>
    <row r="1260" spans="22:31" ht="11.25" customHeight="1" x14ac:dyDescent="0.25"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</row>
    <row r="1261" spans="22:31" ht="11.25" customHeight="1" x14ac:dyDescent="0.25">
      <c r="V1261" s="6"/>
      <c r="W1261" s="6"/>
      <c r="X1261" s="6"/>
      <c r="Y1261" s="6"/>
      <c r="Z1261" s="6"/>
      <c r="AA1261" s="6"/>
      <c r="AB1261" s="6"/>
      <c r="AC1261" s="6"/>
      <c r="AD1261" s="6"/>
      <c r="AE1261" s="6"/>
    </row>
    <row r="1262" spans="22:31" ht="11.25" customHeight="1" x14ac:dyDescent="0.25">
      <c r="V1262" s="6"/>
      <c r="W1262" s="6"/>
      <c r="X1262" s="6"/>
      <c r="Y1262" s="6"/>
      <c r="Z1262" s="6"/>
      <c r="AA1262" s="6"/>
      <c r="AB1262" s="6"/>
      <c r="AC1262" s="6"/>
      <c r="AD1262" s="6"/>
      <c r="AE1262" s="6"/>
    </row>
    <row r="1263" spans="22:31" ht="11.25" customHeight="1" x14ac:dyDescent="0.25"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</row>
    <row r="1264" spans="22:31" ht="11.25" customHeight="1" x14ac:dyDescent="0.25"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</row>
    <row r="1265" spans="22:31" ht="11.25" customHeight="1" x14ac:dyDescent="0.25"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</row>
    <row r="1266" spans="22:31" ht="11.25" customHeight="1" x14ac:dyDescent="0.25"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</row>
    <row r="1267" spans="22:31" ht="11.25" customHeight="1" x14ac:dyDescent="0.25"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</row>
    <row r="1268" spans="22:31" ht="11.25" customHeight="1" x14ac:dyDescent="0.25"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</row>
    <row r="1269" spans="22:31" ht="11.25" customHeight="1" x14ac:dyDescent="0.25"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</row>
    <row r="1270" spans="22:31" ht="11.25" customHeight="1" x14ac:dyDescent="0.25"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</row>
    <row r="1271" spans="22:31" ht="11.25" customHeight="1" x14ac:dyDescent="0.25"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</row>
    <row r="1272" spans="22:31" ht="11.25" customHeight="1" x14ac:dyDescent="0.25"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</row>
    <row r="1273" spans="22:31" ht="11.25" customHeight="1" x14ac:dyDescent="0.25"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</row>
    <row r="1274" spans="22:31" ht="11.25" customHeight="1" x14ac:dyDescent="0.25"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</row>
    <row r="1275" spans="22:31" ht="11.25" customHeight="1" x14ac:dyDescent="0.25"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</row>
    <row r="1276" spans="22:31" ht="11.25" customHeight="1" x14ac:dyDescent="0.25"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</row>
    <row r="1277" spans="22:31" ht="11.25" customHeight="1" x14ac:dyDescent="0.25"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</row>
    <row r="1278" spans="22:31" ht="11.25" customHeight="1" x14ac:dyDescent="0.25">
      <c r="V1278" s="6"/>
      <c r="W1278" s="6"/>
      <c r="X1278" s="6"/>
      <c r="Y1278" s="6"/>
      <c r="Z1278" s="6"/>
      <c r="AA1278" s="6"/>
      <c r="AB1278" s="6"/>
      <c r="AC1278" s="6"/>
      <c r="AD1278" s="6"/>
      <c r="AE1278" s="6"/>
    </row>
    <row r="1279" spans="22:31" ht="11.25" customHeight="1" x14ac:dyDescent="0.25">
      <c r="V1279" s="6"/>
      <c r="W1279" s="6"/>
      <c r="X1279" s="6"/>
      <c r="Y1279" s="6"/>
      <c r="Z1279" s="6"/>
      <c r="AA1279" s="6"/>
      <c r="AB1279" s="6"/>
      <c r="AC1279" s="6"/>
      <c r="AD1279" s="6"/>
      <c r="AE1279" s="6"/>
    </row>
    <row r="1280" spans="22:31" ht="11.25" customHeight="1" x14ac:dyDescent="0.25">
      <c r="V1280" s="6"/>
      <c r="W1280" s="6"/>
      <c r="X1280" s="6"/>
      <c r="Y1280" s="6"/>
      <c r="Z1280" s="6"/>
      <c r="AA1280" s="6"/>
      <c r="AB1280" s="6"/>
      <c r="AC1280" s="6"/>
      <c r="AD1280" s="6"/>
      <c r="AE1280" s="6"/>
    </row>
    <row r="1281" spans="22:31" ht="11.25" customHeight="1" x14ac:dyDescent="0.25">
      <c r="V1281" s="6"/>
      <c r="W1281" s="6"/>
      <c r="X1281" s="6"/>
      <c r="Y1281" s="6"/>
      <c r="Z1281" s="6"/>
      <c r="AA1281" s="6"/>
      <c r="AB1281" s="6"/>
      <c r="AC1281" s="6"/>
      <c r="AD1281" s="6"/>
      <c r="AE1281" s="6"/>
    </row>
    <row r="1282" spans="22:31" ht="11.25" customHeight="1" x14ac:dyDescent="0.25"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</row>
    <row r="1283" spans="22:31" ht="11.25" customHeight="1" x14ac:dyDescent="0.25"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</row>
    <row r="1284" spans="22:31" ht="11.25" customHeight="1" x14ac:dyDescent="0.25">
      <c r="V1284" s="6"/>
      <c r="W1284" s="6"/>
      <c r="X1284" s="6"/>
      <c r="Y1284" s="6"/>
      <c r="Z1284" s="6"/>
      <c r="AA1284" s="6"/>
      <c r="AB1284" s="6"/>
      <c r="AC1284" s="6"/>
      <c r="AD1284" s="6"/>
      <c r="AE1284" s="6"/>
    </row>
    <row r="1285" spans="22:31" ht="11.25" customHeight="1" x14ac:dyDescent="0.25"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</row>
    <row r="1286" spans="22:31" ht="11.25" customHeight="1" x14ac:dyDescent="0.25"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</row>
    <row r="1287" spans="22:31" ht="11.25" customHeight="1" x14ac:dyDescent="0.25"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</row>
    <row r="1288" spans="22:31" ht="11.25" customHeight="1" x14ac:dyDescent="0.25"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</row>
    <row r="1289" spans="22:31" ht="11.25" customHeight="1" x14ac:dyDescent="0.25"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</row>
    <row r="1290" spans="22:31" ht="11.25" customHeight="1" x14ac:dyDescent="0.25"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</row>
    <row r="1291" spans="22:31" ht="11.25" customHeight="1" x14ac:dyDescent="0.25"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</row>
    <row r="1292" spans="22:31" ht="11.25" customHeight="1" x14ac:dyDescent="0.25"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</row>
    <row r="1293" spans="22:31" ht="11.25" customHeight="1" x14ac:dyDescent="0.25">
      <c r="V1293" s="6"/>
      <c r="W1293" s="6"/>
      <c r="X1293" s="6"/>
      <c r="Y1293" s="6"/>
      <c r="Z1293" s="6"/>
      <c r="AA1293" s="6"/>
      <c r="AB1293" s="6"/>
      <c r="AC1293" s="6"/>
      <c r="AD1293" s="6"/>
      <c r="AE1293" s="6"/>
    </row>
    <row r="1294" spans="22:31" ht="11.25" customHeight="1" x14ac:dyDescent="0.25"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</row>
    <row r="1295" spans="22:31" ht="11.25" customHeight="1" x14ac:dyDescent="0.25">
      <c r="V1295" s="6"/>
      <c r="W1295" s="6"/>
      <c r="X1295" s="6"/>
      <c r="Y1295" s="6"/>
      <c r="Z1295" s="6"/>
      <c r="AA1295" s="6"/>
      <c r="AB1295" s="6"/>
      <c r="AC1295" s="6"/>
      <c r="AD1295" s="6"/>
      <c r="AE1295" s="6"/>
    </row>
    <row r="1296" spans="22:31" ht="11.25" customHeight="1" x14ac:dyDescent="0.25"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</row>
    <row r="1297" spans="22:31" ht="11.25" customHeight="1" x14ac:dyDescent="0.25"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</row>
    <row r="1298" spans="22:31" ht="11.25" customHeight="1" x14ac:dyDescent="0.25"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</row>
    <row r="1299" spans="22:31" ht="11.25" customHeight="1" x14ac:dyDescent="0.25"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</row>
    <row r="1300" spans="22:31" ht="11.25" customHeight="1" x14ac:dyDescent="0.25">
      <c r="V1300" s="6"/>
      <c r="W1300" s="6"/>
      <c r="X1300" s="6"/>
      <c r="Y1300" s="6"/>
      <c r="Z1300" s="6"/>
      <c r="AA1300" s="6"/>
      <c r="AB1300" s="6"/>
      <c r="AC1300" s="6"/>
      <c r="AD1300" s="6"/>
      <c r="AE1300" s="6"/>
    </row>
    <row r="1301" spans="22:31" ht="11.25" customHeight="1" x14ac:dyDescent="0.25">
      <c r="V1301" s="6"/>
      <c r="W1301" s="6"/>
      <c r="X1301" s="6"/>
      <c r="Y1301" s="6"/>
      <c r="Z1301" s="6"/>
      <c r="AA1301" s="6"/>
      <c r="AB1301" s="6"/>
      <c r="AC1301" s="6"/>
      <c r="AD1301" s="6"/>
      <c r="AE1301" s="6"/>
    </row>
    <row r="1302" spans="22:31" ht="11.25" customHeight="1" x14ac:dyDescent="0.25">
      <c r="V1302" s="6"/>
      <c r="W1302" s="6"/>
      <c r="X1302" s="6"/>
      <c r="Y1302" s="6"/>
      <c r="Z1302" s="6"/>
      <c r="AA1302" s="6"/>
      <c r="AB1302" s="6"/>
      <c r="AC1302" s="6"/>
      <c r="AD1302" s="6"/>
      <c r="AE1302" s="6"/>
    </row>
    <row r="1303" spans="22:31" ht="11.25" customHeight="1" x14ac:dyDescent="0.25">
      <c r="V1303" s="6"/>
      <c r="W1303" s="6"/>
      <c r="X1303" s="6"/>
      <c r="Y1303" s="6"/>
      <c r="Z1303" s="6"/>
      <c r="AA1303" s="6"/>
      <c r="AB1303" s="6"/>
      <c r="AC1303" s="6"/>
      <c r="AD1303" s="6"/>
      <c r="AE1303" s="6"/>
    </row>
    <row r="1304" spans="22:31" ht="11.25" customHeight="1" x14ac:dyDescent="0.25">
      <c r="V1304" s="6"/>
      <c r="W1304" s="6"/>
      <c r="X1304" s="6"/>
      <c r="Y1304" s="6"/>
      <c r="Z1304" s="6"/>
      <c r="AA1304" s="6"/>
      <c r="AB1304" s="6"/>
      <c r="AC1304" s="6"/>
      <c r="AD1304" s="6"/>
      <c r="AE1304" s="6"/>
    </row>
    <row r="1305" spans="22:31" ht="11.25" customHeight="1" x14ac:dyDescent="0.25">
      <c r="V1305" s="6"/>
      <c r="W1305" s="6"/>
      <c r="X1305" s="6"/>
      <c r="Y1305" s="6"/>
      <c r="Z1305" s="6"/>
      <c r="AA1305" s="6"/>
      <c r="AB1305" s="6"/>
      <c r="AC1305" s="6"/>
      <c r="AD1305" s="6"/>
      <c r="AE1305" s="6"/>
    </row>
    <row r="1306" spans="22:31" ht="11.25" customHeight="1" x14ac:dyDescent="0.25">
      <c r="V1306" s="6"/>
      <c r="W1306" s="6"/>
      <c r="X1306" s="6"/>
      <c r="Y1306" s="6"/>
      <c r="Z1306" s="6"/>
      <c r="AA1306" s="6"/>
      <c r="AB1306" s="6"/>
      <c r="AC1306" s="6"/>
      <c r="AD1306" s="6"/>
      <c r="AE1306" s="6"/>
    </row>
    <row r="1307" spans="22:31" ht="11.25" customHeight="1" x14ac:dyDescent="0.25">
      <c r="V1307" s="6"/>
      <c r="W1307" s="6"/>
      <c r="X1307" s="6"/>
      <c r="Y1307" s="6"/>
      <c r="Z1307" s="6"/>
      <c r="AA1307" s="6"/>
      <c r="AB1307" s="6"/>
      <c r="AC1307" s="6"/>
      <c r="AD1307" s="6"/>
      <c r="AE1307" s="6"/>
    </row>
    <row r="1308" spans="22:31" ht="11.25" customHeight="1" x14ac:dyDescent="0.25"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</row>
    <row r="1309" spans="22:31" ht="11.25" customHeight="1" x14ac:dyDescent="0.25">
      <c r="V1309" s="6"/>
      <c r="W1309" s="6"/>
      <c r="X1309" s="6"/>
      <c r="Y1309" s="6"/>
      <c r="Z1309" s="6"/>
      <c r="AA1309" s="6"/>
      <c r="AB1309" s="6"/>
      <c r="AC1309" s="6"/>
      <c r="AD1309" s="6"/>
      <c r="AE1309" s="6"/>
    </row>
    <row r="1310" spans="22:31" ht="11.25" customHeight="1" x14ac:dyDescent="0.25"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</row>
    <row r="1311" spans="22:31" ht="11.25" customHeight="1" x14ac:dyDescent="0.25"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</row>
    <row r="1312" spans="22:31" ht="11.25" customHeight="1" x14ac:dyDescent="0.25"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</row>
    <row r="1313" spans="22:31" ht="11.25" customHeight="1" x14ac:dyDescent="0.25">
      <c r="V1313" s="6"/>
      <c r="W1313" s="6"/>
      <c r="X1313" s="6"/>
      <c r="Y1313" s="6"/>
      <c r="Z1313" s="6"/>
      <c r="AA1313" s="6"/>
      <c r="AB1313" s="6"/>
      <c r="AC1313" s="6"/>
      <c r="AD1313" s="6"/>
      <c r="AE1313" s="6"/>
    </row>
    <row r="1314" spans="22:31" ht="11.25" customHeight="1" x14ac:dyDescent="0.25">
      <c r="V1314" s="6"/>
      <c r="W1314" s="6"/>
      <c r="X1314" s="6"/>
      <c r="Y1314" s="6"/>
      <c r="Z1314" s="6"/>
      <c r="AA1314" s="6"/>
      <c r="AB1314" s="6"/>
      <c r="AC1314" s="6"/>
      <c r="AD1314" s="6"/>
      <c r="AE1314" s="6"/>
    </row>
    <row r="1315" spans="22:31" ht="11.25" customHeight="1" x14ac:dyDescent="0.25"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</row>
    <row r="1316" spans="22:31" ht="11.25" customHeight="1" x14ac:dyDescent="0.25"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</row>
    <row r="1317" spans="22:31" ht="11.25" customHeight="1" x14ac:dyDescent="0.25"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</row>
    <row r="1318" spans="22:31" ht="11.25" customHeight="1" x14ac:dyDescent="0.25"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</row>
    <row r="1319" spans="22:31" ht="11.25" customHeight="1" x14ac:dyDescent="0.25"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</row>
    <row r="1320" spans="22:31" ht="11.25" customHeight="1" x14ac:dyDescent="0.25"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</row>
    <row r="1321" spans="22:31" ht="11.25" customHeight="1" x14ac:dyDescent="0.25">
      <c r="V1321" s="6"/>
      <c r="W1321" s="6"/>
      <c r="X1321" s="6"/>
      <c r="Y1321" s="6"/>
      <c r="Z1321" s="6"/>
      <c r="AA1321" s="6"/>
      <c r="AB1321" s="6"/>
      <c r="AC1321" s="6"/>
      <c r="AD1321" s="6"/>
      <c r="AE1321" s="6"/>
    </row>
    <row r="1322" spans="22:31" ht="11.25" customHeight="1" x14ac:dyDescent="0.25">
      <c r="V1322" s="6"/>
      <c r="W1322" s="6"/>
      <c r="X1322" s="6"/>
      <c r="Y1322" s="6"/>
      <c r="Z1322" s="6"/>
      <c r="AA1322" s="6"/>
      <c r="AB1322" s="6"/>
      <c r="AC1322" s="6"/>
      <c r="AD1322" s="6"/>
      <c r="AE1322" s="6"/>
    </row>
    <row r="1323" spans="22:31" ht="11.25" customHeight="1" x14ac:dyDescent="0.25">
      <c r="V1323" s="6"/>
      <c r="W1323" s="6"/>
      <c r="X1323" s="6"/>
      <c r="Y1323" s="6"/>
      <c r="Z1323" s="6"/>
      <c r="AA1323" s="6"/>
      <c r="AB1323" s="6"/>
      <c r="AC1323" s="6"/>
      <c r="AD1323" s="6"/>
      <c r="AE1323" s="6"/>
    </row>
    <row r="1324" spans="22:31" ht="11.25" customHeight="1" x14ac:dyDescent="0.25">
      <c r="V1324" s="6"/>
      <c r="W1324" s="6"/>
      <c r="X1324" s="6"/>
      <c r="Y1324" s="6"/>
      <c r="Z1324" s="6"/>
      <c r="AA1324" s="6"/>
      <c r="AB1324" s="6"/>
      <c r="AC1324" s="6"/>
      <c r="AD1324" s="6"/>
      <c r="AE1324" s="6"/>
    </row>
    <row r="1325" spans="22:31" ht="11.25" customHeight="1" x14ac:dyDescent="0.25">
      <c r="V1325" s="6"/>
      <c r="W1325" s="6"/>
      <c r="X1325" s="6"/>
      <c r="Y1325" s="6"/>
      <c r="Z1325" s="6"/>
      <c r="AA1325" s="6"/>
      <c r="AB1325" s="6"/>
      <c r="AC1325" s="6"/>
      <c r="AD1325" s="6"/>
      <c r="AE1325" s="6"/>
    </row>
    <row r="1326" spans="22:31" ht="11.25" customHeight="1" x14ac:dyDescent="0.25"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</row>
    <row r="1327" spans="22:31" ht="11.25" customHeight="1" x14ac:dyDescent="0.25">
      <c r="V1327" s="6"/>
      <c r="W1327" s="6"/>
      <c r="X1327" s="6"/>
      <c r="Y1327" s="6"/>
      <c r="Z1327" s="6"/>
      <c r="AA1327" s="6"/>
      <c r="AB1327" s="6"/>
      <c r="AC1327" s="6"/>
      <c r="AD1327" s="6"/>
      <c r="AE1327" s="6"/>
    </row>
    <row r="1328" spans="22:31" ht="11.25" customHeight="1" x14ac:dyDescent="0.25">
      <c r="V1328" s="6"/>
      <c r="W1328" s="6"/>
      <c r="X1328" s="6"/>
      <c r="Y1328" s="6"/>
      <c r="Z1328" s="6"/>
      <c r="AA1328" s="6"/>
      <c r="AB1328" s="6"/>
      <c r="AC1328" s="6"/>
      <c r="AD1328" s="6"/>
      <c r="AE1328" s="6"/>
    </row>
    <row r="1329" spans="22:31" ht="11.25" customHeight="1" x14ac:dyDescent="0.25">
      <c r="V1329" s="6"/>
      <c r="W1329" s="6"/>
      <c r="X1329" s="6"/>
      <c r="Y1329" s="6"/>
      <c r="Z1329" s="6"/>
      <c r="AA1329" s="6"/>
      <c r="AB1329" s="6"/>
      <c r="AC1329" s="6"/>
      <c r="AD1329" s="6"/>
      <c r="AE1329" s="6"/>
    </row>
    <row r="1330" spans="22:31" ht="11.25" customHeight="1" x14ac:dyDescent="0.25">
      <c r="V1330" s="6"/>
      <c r="W1330" s="6"/>
      <c r="X1330" s="6"/>
      <c r="Y1330" s="6"/>
      <c r="Z1330" s="6"/>
      <c r="AA1330" s="6"/>
      <c r="AB1330" s="6"/>
      <c r="AC1330" s="6"/>
      <c r="AD1330" s="6"/>
      <c r="AE1330" s="6"/>
    </row>
    <row r="1331" spans="22:31" ht="11.25" customHeight="1" x14ac:dyDescent="0.25">
      <c r="V1331" s="6"/>
      <c r="W1331" s="6"/>
      <c r="X1331" s="6"/>
      <c r="Y1331" s="6"/>
      <c r="Z1331" s="6"/>
      <c r="AA1331" s="6"/>
      <c r="AB1331" s="6"/>
      <c r="AC1331" s="6"/>
      <c r="AD1331" s="6"/>
      <c r="AE1331" s="6"/>
    </row>
    <row r="1332" spans="22:31" ht="11.25" customHeight="1" x14ac:dyDescent="0.25">
      <c r="V1332" s="6"/>
      <c r="W1332" s="6"/>
      <c r="X1332" s="6"/>
      <c r="Y1332" s="6"/>
      <c r="Z1332" s="6"/>
      <c r="AA1332" s="6"/>
      <c r="AB1332" s="6"/>
      <c r="AC1332" s="6"/>
      <c r="AD1332" s="6"/>
      <c r="AE1332" s="6"/>
    </row>
    <row r="1333" spans="22:31" ht="11.25" customHeight="1" x14ac:dyDescent="0.25">
      <c r="V1333" s="6"/>
      <c r="W1333" s="6"/>
      <c r="X1333" s="6"/>
      <c r="Y1333" s="6"/>
      <c r="Z1333" s="6"/>
      <c r="AA1333" s="6"/>
      <c r="AB1333" s="6"/>
      <c r="AC1333" s="6"/>
      <c r="AD1333" s="6"/>
      <c r="AE1333" s="6"/>
    </row>
    <row r="1334" spans="22:31" ht="11.25" customHeight="1" x14ac:dyDescent="0.25">
      <c r="V1334" s="6"/>
      <c r="W1334" s="6"/>
      <c r="X1334" s="6"/>
      <c r="Y1334" s="6"/>
      <c r="Z1334" s="6"/>
      <c r="AA1334" s="6"/>
      <c r="AB1334" s="6"/>
      <c r="AC1334" s="6"/>
      <c r="AD1334" s="6"/>
      <c r="AE1334" s="6"/>
    </row>
    <row r="1335" spans="22:31" ht="11.25" customHeight="1" x14ac:dyDescent="0.25">
      <c r="V1335" s="6"/>
      <c r="W1335" s="6"/>
      <c r="X1335" s="6"/>
      <c r="Y1335" s="6"/>
      <c r="Z1335" s="6"/>
      <c r="AA1335" s="6"/>
      <c r="AB1335" s="6"/>
      <c r="AC1335" s="6"/>
      <c r="AD1335" s="6"/>
      <c r="AE1335" s="6"/>
    </row>
    <row r="1336" spans="22:31" ht="11.25" customHeight="1" x14ac:dyDescent="0.25"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</row>
    <row r="1337" spans="22:31" ht="11.25" customHeight="1" x14ac:dyDescent="0.25">
      <c r="V1337" s="6"/>
      <c r="W1337" s="6"/>
      <c r="X1337" s="6"/>
      <c r="Y1337" s="6"/>
      <c r="Z1337" s="6"/>
      <c r="AA1337" s="6"/>
      <c r="AB1337" s="6"/>
      <c r="AC1337" s="6"/>
      <c r="AD1337" s="6"/>
      <c r="AE1337" s="6"/>
    </row>
    <row r="1338" spans="22:31" ht="11.25" customHeight="1" x14ac:dyDescent="0.25"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</row>
    <row r="1339" spans="22:31" ht="11.25" customHeight="1" x14ac:dyDescent="0.25">
      <c r="V1339" s="6"/>
      <c r="W1339" s="6"/>
      <c r="X1339" s="6"/>
      <c r="Y1339" s="6"/>
      <c r="Z1339" s="6"/>
      <c r="AA1339" s="6"/>
      <c r="AB1339" s="6"/>
      <c r="AC1339" s="6"/>
      <c r="AD1339" s="6"/>
      <c r="AE1339" s="6"/>
    </row>
    <row r="1340" spans="22:31" ht="11.25" customHeight="1" x14ac:dyDescent="0.25">
      <c r="V1340" s="6"/>
      <c r="W1340" s="6"/>
      <c r="X1340" s="6"/>
      <c r="Y1340" s="6"/>
      <c r="Z1340" s="6"/>
      <c r="AA1340" s="6"/>
      <c r="AB1340" s="6"/>
      <c r="AC1340" s="6"/>
      <c r="AD1340" s="6"/>
      <c r="AE1340" s="6"/>
    </row>
    <row r="1341" spans="22:31" ht="11.25" customHeight="1" x14ac:dyDescent="0.25">
      <c r="V1341" s="6"/>
      <c r="W1341" s="6"/>
      <c r="X1341" s="6"/>
      <c r="Y1341" s="6"/>
      <c r="Z1341" s="6"/>
      <c r="AA1341" s="6"/>
      <c r="AB1341" s="6"/>
      <c r="AC1341" s="6"/>
      <c r="AD1341" s="6"/>
      <c r="AE1341" s="6"/>
    </row>
    <row r="1342" spans="22:31" ht="11.25" customHeight="1" x14ac:dyDescent="0.25"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</row>
    <row r="1343" spans="22:31" ht="11.25" customHeight="1" x14ac:dyDescent="0.25">
      <c r="V1343" s="6"/>
      <c r="W1343" s="6"/>
      <c r="X1343" s="6"/>
      <c r="Y1343" s="6"/>
      <c r="Z1343" s="6"/>
      <c r="AA1343" s="6"/>
      <c r="AB1343" s="6"/>
      <c r="AC1343" s="6"/>
      <c r="AD1343" s="6"/>
      <c r="AE1343" s="6"/>
    </row>
    <row r="1344" spans="22:31" ht="11.25" customHeight="1" x14ac:dyDescent="0.25">
      <c r="V1344" s="6"/>
      <c r="W1344" s="6"/>
      <c r="X1344" s="6"/>
      <c r="Y1344" s="6"/>
      <c r="Z1344" s="6"/>
      <c r="AA1344" s="6"/>
      <c r="AB1344" s="6"/>
      <c r="AC1344" s="6"/>
      <c r="AD1344" s="6"/>
      <c r="AE1344" s="6"/>
    </row>
    <row r="1345" spans="22:31" ht="11.25" customHeight="1" x14ac:dyDescent="0.25">
      <c r="V1345" s="6"/>
      <c r="W1345" s="6"/>
      <c r="X1345" s="6"/>
      <c r="Y1345" s="6"/>
      <c r="Z1345" s="6"/>
      <c r="AA1345" s="6"/>
      <c r="AB1345" s="6"/>
      <c r="AC1345" s="6"/>
      <c r="AD1345" s="6"/>
      <c r="AE1345" s="6"/>
    </row>
    <row r="1346" spans="22:31" ht="11.25" customHeight="1" x14ac:dyDescent="0.25">
      <c r="V1346" s="6"/>
      <c r="W1346" s="6"/>
      <c r="X1346" s="6"/>
      <c r="Y1346" s="6"/>
      <c r="Z1346" s="6"/>
      <c r="AA1346" s="6"/>
      <c r="AB1346" s="6"/>
      <c r="AC1346" s="6"/>
      <c r="AD1346" s="6"/>
      <c r="AE1346" s="6"/>
    </row>
    <row r="1347" spans="22:31" ht="11.25" customHeight="1" x14ac:dyDescent="0.25">
      <c r="V1347" s="6"/>
      <c r="W1347" s="6"/>
      <c r="X1347" s="6"/>
      <c r="Y1347" s="6"/>
      <c r="Z1347" s="6"/>
      <c r="AA1347" s="6"/>
      <c r="AB1347" s="6"/>
      <c r="AC1347" s="6"/>
      <c r="AD1347" s="6"/>
      <c r="AE1347" s="6"/>
    </row>
    <row r="1348" spans="22:31" ht="11.25" customHeight="1" x14ac:dyDescent="0.25">
      <c r="V1348" s="6"/>
      <c r="W1348" s="6"/>
      <c r="X1348" s="6"/>
      <c r="Y1348" s="6"/>
      <c r="Z1348" s="6"/>
      <c r="AA1348" s="6"/>
      <c r="AB1348" s="6"/>
      <c r="AC1348" s="6"/>
      <c r="AD1348" s="6"/>
      <c r="AE1348" s="6"/>
    </row>
    <row r="1349" spans="22:31" ht="11.25" customHeight="1" x14ac:dyDescent="0.25">
      <c r="V1349" s="6"/>
      <c r="W1349" s="6"/>
      <c r="X1349" s="6"/>
      <c r="Y1349" s="6"/>
      <c r="Z1349" s="6"/>
      <c r="AA1349" s="6"/>
      <c r="AB1349" s="6"/>
      <c r="AC1349" s="6"/>
      <c r="AD1349" s="6"/>
      <c r="AE1349" s="6"/>
    </row>
    <row r="1350" spans="22:31" ht="11.25" customHeight="1" x14ac:dyDescent="0.25">
      <c r="V1350" s="6"/>
      <c r="W1350" s="6"/>
      <c r="X1350" s="6"/>
      <c r="Y1350" s="6"/>
      <c r="Z1350" s="6"/>
      <c r="AA1350" s="6"/>
      <c r="AB1350" s="6"/>
      <c r="AC1350" s="6"/>
      <c r="AD1350" s="6"/>
      <c r="AE1350" s="6"/>
    </row>
    <row r="1351" spans="22:31" ht="11.25" customHeight="1" x14ac:dyDescent="0.25"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</row>
    <row r="1352" spans="22:31" ht="11.25" customHeight="1" x14ac:dyDescent="0.25">
      <c r="V1352" s="6"/>
      <c r="W1352" s="6"/>
      <c r="X1352" s="6"/>
      <c r="Y1352" s="6"/>
      <c r="Z1352" s="6"/>
      <c r="AA1352" s="6"/>
      <c r="AB1352" s="6"/>
      <c r="AC1352" s="6"/>
      <c r="AD1352" s="6"/>
      <c r="AE1352" s="6"/>
    </row>
    <row r="1353" spans="22:31" ht="11.25" customHeight="1" x14ac:dyDescent="0.25">
      <c r="V1353" s="6"/>
      <c r="W1353" s="6"/>
      <c r="X1353" s="6"/>
      <c r="Y1353" s="6"/>
      <c r="Z1353" s="6"/>
      <c r="AA1353" s="6"/>
      <c r="AB1353" s="6"/>
      <c r="AC1353" s="6"/>
      <c r="AD1353" s="6"/>
      <c r="AE1353" s="6"/>
    </row>
    <row r="1354" spans="22:31" ht="11.25" customHeight="1" x14ac:dyDescent="0.25">
      <c r="V1354" s="6"/>
      <c r="W1354" s="6"/>
      <c r="X1354" s="6"/>
      <c r="Y1354" s="6"/>
      <c r="Z1354" s="6"/>
      <c r="AA1354" s="6"/>
      <c r="AB1354" s="6"/>
      <c r="AC1354" s="6"/>
      <c r="AD1354" s="6"/>
      <c r="AE1354" s="6"/>
    </row>
    <row r="1355" spans="22:31" ht="11.25" customHeight="1" x14ac:dyDescent="0.25">
      <c r="V1355" s="6"/>
      <c r="W1355" s="6"/>
      <c r="X1355" s="6"/>
      <c r="Y1355" s="6"/>
      <c r="Z1355" s="6"/>
      <c r="AA1355" s="6"/>
      <c r="AB1355" s="6"/>
      <c r="AC1355" s="6"/>
      <c r="AD1355" s="6"/>
      <c r="AE1355" s="6"/>
    </row>
    <row r="1356" spans="22:31" ht="11.25" customHeight="1" x14ac:dyDescent="0.25">
      <c r="V1356" s="6"/>
      <c r="W1356" s="6"/>
      <c r="X1356" s="6"/>
      <c r="Y1356" s="6"/>
      <c r="Z1356" s="6"/>
      <c r="AA1356" s="6"/>
      <c r="AB1356" s="6"/>
      <c r="AC1356" s="6"/>
      <c r="AD1356" s="6"/>
      <c r="AE1356" s="6"/>
    </row>
    <row r="1357" spans="22:31" ht="11.25" customHeight="1" x14ac:dyDescent="0.25">
      <c r="V1357" s="6"/>
      <c r="W1357" s="6"/>
      <c r="X1357" s="6"/>
      <c r="Y1357" s="6"/>
      <c r="Z1357" s="6"/>
      <c r="AA1357" s="6"/>
      <c r="AB1357" s="6"/>
      <c r="AC1357" s="6"/>
      <c r="AD1357" s="6"/>
      <c r="AE1357" s="6"/>
    </row>
    <row r="1358" spans="22:31" ht="11.25" customHeight="1" x14ac:dyDescent="0.25"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</row>
    <row r="1359" spans="22:31" ht="11.25" customHeight="1" x14ac:dyDescent="0.25"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</row>
    <row r="1360" spans="22:31" ht="11.25" customHeight="1" x14ac:dyDescent="0.25"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</row>
    <row r="1361" spans="22:31" ht="11.25" customHeight="1" x14ac:dyDescent="0.25"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</row>
    <row r="1362" spans="22:31" ht="11.25" customHeight="1" x14ac:dyDescent="0.25"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</row>
    <row r="1363" spans="22:31" ht="11.25" customHeight="1" x14ac:dyDescent="0.25">
      <c r="V1363" s="6"/>
      <c r="W1363" s="6"/>
      <c r="X1363" s="6"/>
      <c r="Y1363" s="6"/>
      <c r="Z1363" s="6"/>
      <c r="AA1363" s="6"/>
      <c r="AB1363" s="6"/>
      <c r="AC1363" s="6"/>
      <c r="AD1363" s="6"/>
      <c r="AE1363" s="6"/>
    </row>
    <row r="1364" spans="22:31" ht="11.25" customHeight="1" x14ac:dyDescent="0.25">
      <c r="V1364" s="6"/>
      <c r="W1364" s="6"/>
      <c r="X1364" s="6"/>
      <c r="Y1364" s="6"/>
      <c r="Z1364" s="6"/>
      <c r="AA1364" s="6"/>
      <c r="AB1364" s="6"/>
      <c r="AC1364" s="6"/>
      <c r="AD1364" s="6"/>
      <c r="AE1364" s="6"/>
    </row>
    <row r="1365" spans="22:31" ht="11.25" customHeight="1" x14ac:dyDescent="0.25">
      <c r="V1365" s="6"/>
      <c r="W1365" s="6"/>
      <c r="X1365" s="6"/>
      <c r="Y1365" s="6"/>
      <c r="Z1365" s="6"/>
      <c r="AA1365" s="6"/>
      <c r="AB1365" s="6"/>
      <c r="AC1365" s="6"/>
      <c r="AD1365" s="6"/>
      <c r="AE1365" s="6"/>
    </row>
    <row r="1366" spans="22:31" ht="11.25" customHeight="1" x14ac:dyDescent="0.25"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</row>
    <row r="1367" spans="22:31" ht="11.25" customHeight="1" x14ac:dyDescent="0.25">
      <c r="V1367" s="6"/>
      <c r="W1367" s="6"/>
      <c r="X1367" s="6"/>
      <c r="Y1367" s="6"/>
      <c r="Z1367" s="6"/>
      <c r="AA1367" s="6"/>
      <c r="AB1367" s="6"/>
      <c r="AC1367" s="6"/>
      <c r="AD1367" s="6"/>
      <c r="AE1367" s="6"/>
    </row>
    <row r="1368" spans="22:31" ht="11.25" customHeight="1" x14ac:dyDescent="0.25">
      <c r="V1368" s="6"/>
      <c r="W1368" s="6"/>
      <c r="X1368" s="6"/>
      <c r="Y1368" s="6"/>
      <c r="Z1368" s="6"/>
      <c r="AA1368" s="6"/>
      <c r="AB1368" s="6"/>
      <c r="AC1368" s="6"/>
      <c r="AD1368" s="6"/>
      <c r="AE1368" s="6"/>
    </row>
    <row r="1369" spans="22:31" ht="11.25" customHeight="1" x14ac:dyDescent="0.25">
      <c r="V1369" s="6"/>
      <c r="W1369" s="6"/>
      <c r="X1369" s="6"/>
      <c r="Y1369" s="6"/>
      <c r="Z1369" s="6"/>
      <c r="AA1369" s="6"/>
      <c r="AB1369" s="6"/>
      <c r="AC1369" s="6"/>
      <c r="AD1369" s="6"/>
      <c r="AE1369" s="6"/>
    </row>
    <row r="1370" spans="22:31" ht="11.25" customHeight="1" x14ac:dyDescent="0.25">
      <c r="V1370" s="6"/>
      <c r="W1370" s="6"/>
      <c r="X1370" s="6"/>
      <c r="Y1370" s="6"/>
      <c r="Z1370" s="6"/>
      <c r="AA1370" s="6"/>
      <c r="AB1370" s="6"/>
      <c r="AC1370" s="6"/>
      <c r="AD1370" s="6"/>
      <c r="AE1370" s="6"/>
    </row>
    <row r="1371" spans="22:31" ht="11.25" customHeight="1" x14ac:dyDescent="0.25">
      <c r="V1371" s="6"/>
      <c r="W1371" s="6"/>
      <c r="X1371" s="6"/>
      <c r="Y1371" s="6"/>
      <c r="Z1371" s="6"/>
      <c r="AA1371" s="6"/>
      <c r="AB1371" s="6"/>
      <c r="AC1371" s="6"/>
      <c r="AD1371" s="6"/>
      <c r="AE1371" s="6"/>
    </row>
    <row r="1372" spans="22:31" ht="11.25" customHeight="1" x14ac:dyDescent="0.25">
      <c r="V1372" s="6"/>
      <c r="W1372" s="6"/>
      <c r="X1372" s="6"/>
      <c r="Y1372" s="6"/>
      <c r="Z1372" s="6"/>
      <c r="AA1372" s="6"/>
      <c r="AB1372" s="6"/>
      <c r="AC1372" s="6"/>
      <c r="AD1372" s="6"/>
      <c r="AE1372" s="6"/>
    </row>
    <row r="1373" spans="22:31" ht="11.25" customHeight="1" x14ac:dyDescent="0.25">
      <c r="V1373" s="6"/>
      <c r="W1373" s="6"/>
      <c r="X1373" s="6"/>
      <c r="Y1373" s="6"/>
      <c r="Z1373" s="6"/>
      <c r="AA1373" s="6"/>
      <c r="AB1373" s="6"/>
      <c r="AC1373" s="6"/>
      <c r="AD1373" s="6"/>
      <c r="AE1373" s="6"/>
    </row>
    <row r="1374" spans="22:31" ht="11.25" customHeight="1" x14ac:dyDescent="0.25">
      <c r="V1374" s="6"/>
      <c r="W1374" s="6"/>
      <c r="X1374" s="6"/>
      <c r="Y1374" s="6"/>
      <c r="Z1374" s="6"/>
      <c r="AA1374" s="6"/>
      <c r="AB1374" s="6"/>
      <c r="AC1374" s="6"/>
      <c r="AD1374" s="6"/>
      <c r="AE1374" s="6"/>
    </row>
    <row r="1375" spans="22:31" ht="11.25" customHeight="1" x14ac:dyDescent="0.25"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</row>
    <row r="1376" spans="22:31" ht="11.25" customHeight="1" x14ac:dyDescent="0.25">
      <c r="V1376" s="6"/>
      <c r="W1376" s="6"/>
      <c r="X1376" s="6"/>
      <c r="Y1376" s="6"/>
      <c r="Z1376" s="6"/>
      <c r="AA1376" s="6"/>
      <c r="AB1376" s="6"/>
      <c r="AC1376" s="6"/>
      <c r="AD1376" s="6"/>
      <c r="AE1376" s="6"/>
    </row>
    <row r="1377" spans="22:31" ht="11.25" customHeight="1" x14ac:dyDescent="0.25">
      <c r="V1377" s="6"/>
      <c r="W1377" s="6"/>
      <c r="X1377" s="6"/>
      <c r="Y1377" s="6"/>
      <c r="Z1377" s="6"/>
      <c r="AA1377" s="6"/>
      <c r="AB1377" s="6"/>
      <c r="AC1377" s="6"/>
      <c r="AD1377" s="6"/>
      <c r="AE1377" s="6"/>
    </row>
    <row r="1378" spans="22:31" ht="11.25" customHeight="1" x14ac:dyDescent="0.25">
      <c r="V1378" s="6"/>
      <c r="W1378" s="6"/>
      <c r="X1378" s="6"/>
      <c r="Y1378" s="6"/>
      <c r="Z1378" s="6"/>
      <c r="AA1378" s="6"/>
      <c r="AB1378" s="6"/>
      <c r="AC1378" s="6"/>
      <c r="AD1378" s="6"/>
      <c r="AE1378" s="6"/>
    </row>
    <row r="1379" spans="22:31" ht="11.25" customHeight="1" x14ac:dyDescent="0.25">
      <c r="V1379" s="6"/>
      <c r="W1379" s="6"/>
      <c r="X1379" s="6"/>
      <c r="Y1379" s="6"/>
      <c r="Z1379" s="6"/>
      <c r="AA1379" s="6"/>
      <c r="AB1379" s="6"/>
      <c r="AC1379" s="6"/>
      <c r="AD1379" s="6"/>
      <c r="AE1379" s="6"/>
    </row>
    <row r="1380" spans="22:31" ht="11.25" customHeight="1" x14ac:dyDescent="0.25">
      <c r="V1380" s="6"/>
      <c r="W1380" s="6"/>
      <c r="X1380" s="6"/>
      <c r="Y1380" s="6"/>
      <c r="Z1380" s="6"/>
      <c r="AA1380" s="6"/>
      <c r="AB1380" s="6"/>
      <c r="AC1380" s="6"/>
      <c r="AD1380" s="6"/>
      <c r="AE1380" s="6"/>
    </row>
    <row r="1381" spans="22:31" ht="11.25" customHeight="1" x14ac:dyDescent="0.25">
      <c r="V1381" s="6"/>
      <c r="W1381" s="6"/>
      <c r="X1381" s="6"/>
      <c r="Y1381" s="6"/>
      <c r="Z1381" s="6"/>
      <c r="AA1381" s="6"/>
      <c r="AB1381" s="6"/>
      <c r="AC1381" s="6"/>
      <c r="AD1381" s="6"/>
      <c r="AE1381" s="6"/>
    </row>
    <row r="1382" spans="22:31" ht="11.25" customHeight="1" x14ac:dyDescent="0.25">
      <c r="V1382" s="6"/>
      <c r="W1382" s="6"/>
      <c r="X1382" s="6"/>
      <c r="Y1382" s="6"/>
      <c r="Z1382" s="6"/>
      <c r="AA1382" s="6"/>
      <c r="AB1382" s="6"/>
      <c r="AC1382" s="6"/>
      <c r="AD1382" s="6"/>
      <c r="AE1382" s="6"/>
    </row>
    <row r="1383" spans="22:31" ht="11.25" customHeight="1" x14ac:dyDescent="0.25">
      <c r="V1383" s="6"/>
      <c r="W1383" s="6"/>
      <c r="X1383" s="6"/>
      <c r="Y1383" s="6"/>
      <c r="Z1383" s="6"/>
      <c r="AA1383" s="6"/>
      <c r="AB1383" s="6"/>
      <c r="AC1383" s="6"/>
      <c r="AD1383" s="6"/>
      <c r="AE1383" s="6"/>
    </row>
    <row r="1384" spans="22:31" ht="11.25" customHeight="1" x14ac:dyDescent="0.25">
      <c r="V1384" s="6"/>
      <c r="W1384" s="6"/>
      <c r="X1384" s="6"/>
      <c r="Y1384" s="6"/>
      <c r="Z1384" s="6"/>
      <c r="AA1384" s="6"/>
      <c r="AB1384" s="6"/>
      <c r="AC1384" s="6"/>
      <c r="AD1384" s="6"/>
      <c r="AE1384" s="6"/>
    </row>
    <row r="1385" spans="22:31" ht="11.25" customHeight="1" x14ac:dyDescent="0.25">
      <c r="V1385" s="6"/>
      <c r="W1385" s="6"/>
      <c r="X1385" s="6"/>
      <c r="Y1385" s="6"/>
      <c r="Z1385" s="6"/>
      <c r="AA1385" s="6"/>
      <c r="AB1385" s="6"/>
      <c r="AC1385" s="6"/>
      <c r="AD1385" s="6"/>
      <c r="AE1385" s="6"/>
    </row>
    <row r="1386" spans="22:31" ht="11.25" customHeight="1" x14ac:dyDescent="0.25">
      <c r="V1386" s="6"/>
      <c r="W1386" s="6"/>
      <c r="X1386" s="6"/>
      <c r="Y1386" s="6"/>
      <c r="Z1386" s="6"/>
      <c r="AA1386" s="6"/>
      <c r="AB1386" s="6"/>
      <c r="AC1386" s="6"/>
      <c r="AD1386" s="6"/>
      <c r="AE1386" s="6"/>
    </row>
    <row r="1387" spans="22:31" ht="11.25" customHeight="1" x14ac:dyDescent="0.25"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</row>
    <row r="1388" spans="22:31" ht="11.25" customHeight="1" x14ac:dyDescent="0.25"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</row>
    <row r="1389" spans="22:31" ht="11.25" customHeight="1" x14ac:dyDescent="0.25"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</row>
    <row r="1390" spans="22:31" ht="11.25" customHeight="1" x14ac:dyDescent="0.25"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</row>
    <row r="1391" spans="22:31" ht="11.25" customHeight="1" x14ac:dyDescent="0.25">
      <c r="V1391" s="6"/>
      <c r="W1391" s="6"/>
      <c r="X1391" s="6"/>
      <c r="Y1391" s="6"/>
      <c r="Z1391" s="6"/>
      <c r="AA1391" s="6"/>
      <c r="AB1391" s="6"/>
      <c r="AC1391" s="6"/>
      <c r="AD1391" s="6"/>
      <c r="AE1391" s="6"/>
    </row>
    <row r="1392" spans="22:31" ht="11.25" customHeight="1" x14ac:dyDescent="0.25"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</row>
    <row r="1393" spans="22:31" ht="11.25" customHeight="1" x14ac:dyDescent="0.25">
      <c r="V1393" s="6"/>
      <c r="W1393" s="6"/>
      <c r="X1393" s="6"/>
      <c r="Y1393" s="6"/>
      <c r="Z1393" s="6"/>
      <c r="AA1393" s="6"/>
      <c r="AB1393" s="6"/>
      <c r="AC1393" s="6"/>
      <c r="AD1393" s="6"/>
      <c r="AE1393" s="6"/>
    </row>
    <row r="1394" spans="22:31" ht="11.25" customHeight="1" x14ac:dyDescent="0.25"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</row>
    <row r="1395" spans="22:31" ht="11.25" customHeight="1" x14ac:dyDescent="0.25"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</row>
    <row r="1396" spans="22:31" ht="11.25" customHeight="1" x14ac:dyDescent="0.25"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</row>
    <row r="1397" spans="22:31" ht="11.25" customHeight="1" x14ac:dyDescent="0.25">
      <c r="V1397" s="6"/>
      <c r="W1397" s="6"/>
      <c r="X1397" s="6"/>
      <c r="Y1397" s="6"/>
      <c r="Z1397" s="6"/>
      <c r="AA1397" s="6"/>
      <c r="AB1397" s="6"/>
      <c r="AC1397" s="6"/>
      <c r="AD1397" s="6"/>
      <c r="AE1397" s="6"/>
    </row>
    <row r="1398" spans="22:31" ht="11.25" customHeight="1" x14ac:dyDescent="0.25">
      <c r="V1398" s="6"/>
      <c r="W1398" s="6"/>
      <c r="X1398" s="6"/>
      <c r="Y1398" s="6"/>
      <c r="Z1398" s="6"/>
      <c r="AA1398" s="6"/>
      <c r="AB1398" s="6"/>
      <c r="AC1398" s="6"/>
      <c r="AD1398" s="6"/>
      <c r="AE1398" s="6"/>
    </row>
    <row r="1399" spans="22:31" ht="11.25" customHeight="1" x14ac:dyDescent="0.25">
      <c r="V1399" s="6"/>
      <c r="W1399" s="6"/>
      <c r="X1399" s="6"/>
      <c r="Y1399" s="6"/>
      <c r="Z1399" s="6"/>
      <c r="AA1399" s="6"/>
      <c r="AB1399" s="6"/>
      <c r="AC1399" s="6"/>
      <c r="AD1399" s="6"/>
      <c r="AE1399" s="6"/>
    </row>
    <row r="1400" spans="22:31" ht="11.25" customHeight="1" x14ac:dyDescent="0.25">
      <c r="V1400" s="6"/>
      <c r="W1400" s="6"/>
      <c r="X1400" s="6"/>
      <c r="Y1400" s="6"/>
      <c r="Z1400" s="6"/>
      <c r="AA1400" s="6"/>
      <c r="AB1400" s="6"/>
      <c r="AC1400" s="6"/>
      <c r="AD1400" s="6"/>
      <c r="AE1400" s="6"/>
    </row>
    <row r="1401" spans="22:31" ht="11.25" customHeight="1" x14ac:dyDescent="0.25">
      <c r="V1401" s="6"/>
      <c r="W1401" s="6"/>
      <c r="X1401" s="6"/>
      <c r="Y1401" s="6"/>
      <c r="Z1401" s="6"/>
      <c r="AA1401" s="6"/>
      <c r="AB1401" s="6"/>
      <c r="AC1401" s="6"/>
      <c r="AD1401" s="6"/>
      <c r="AE1401" s="6"/>
    </row>
    <row r="1402" spans="22:31" ht="11.25" customHeight="1" x14ac:dyDescent="0.25">
      <c r="V1402" s="6"/>
      <c r="W1402" s="6"/>
      <c r="X1402" s="6"/>
      <c r="Y1402" s="6"/>
      <c r="Z1402" s="6"/>
      <c r="AA1402" s="6"/>
      <c r="AB1402" s="6"/>
      <c r="AC1402" s="6"/>
      <c r="AD1402" s="6"/>
      <c r="AE1402" s="6"/>
    </row>
    <row r="1403" spans="22:31" ht="11.25" customHeight="1" x14ac:dyDescent="0.25">
      <c r="V1403" s="6"/>
      <c r="W1403" s="6"/>
      <c r="X1403" s="6"/>
      <c r="Y1403" s="6"/>
      <c r="Z1403" s="6"/>
      <c r="AA1403" s="6"/>
      <c r="AB1403" s="6"/>
      <c r="AC1403" s="6"/>
      <c r="AD1403" s="6"/>
      <c r="AE1403" s="6"/>
    </row>
    <row r="1404" spans="22:31" ht="11.25" customHeight="1" x14ac:dyDescent="0.25">
      <c r="V1404" s="6"/>
      <c r="W1404" s="6"/>
      <c r="X1404" s="6"/>
      <c r="Y1404" s="6"/>
      <c r="Z1404" s="6"/>
      <c r="AA1404" s="6"/>
      <c r="AB1404" s="6"/>
      <c r="AC1404" s="6"/>
      <c r="AD1404" s="6"/>
      <c r="AE1404" s="6"/>
    </row>
    <row r="1405" spans="22:31" ht="11.25" customHeight="1" x14ac:dyDescent="0.25"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</row>
    <row r="1406" spans="22:31" ht="11.25" customHeight="1" x14ac:dyDescent="0.25">
      <c r="V1406" s="6"/>
      <c r="W1406" s="6"/>
      <c r="X1406" s="6"/>
      <c r="Y1406" s="6"/>
      <c r="Z1406" s="6"/>
      <c r="AA1406" s="6"/>
      <c r="AB1406" s="6"/>
      <c r="AC1406" s="6"/>
      <c r="AD1406" s="6"/>
      <c r="AE1406" s="6"/>
    </row>
    <row r="1407" spans="22:31" ht="11.25" customHeight="1" x14ac:dyDescent="0.25"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</row>
    <row r="1408" spans="22:31" ht="11.25" customHeight="1" x14ac:dyDescent="0.25">
      <c r="V1408" s="6"/>
      <c r="W1408" s="6"/>
      <c r="X1408" s="6"/>
      <c r="Y1408" s="6"/>
      <c r="Z1408" s="6"/>
      <c r="AA1408" s="6"/>
      <c r="AB1408" s="6"/>
      <c r="AC1408" s="6"/>
      <c r="AD1408" s="6"/>
      <c r="AE1408" s="6"/>
    </row>
    <row r="1409" spans="22:31" ht="11.25" customHeight="1" x14ac:dyDescent="0.25">
      <c r="V1409" s="6"/>
      <c r="W1409" s="6"/>
      <c r="X1409" s="6"/>
      <c r="Y1409" s="6"/>
      <c r="Z1409" s="6"/>
      <c r="AA1409" s="6"/>
      <c r="AB1409" s="6"/>
      <c r="AC1409" s="6"/>
      <c r="AD1409" s="6"/>
      <c r="AE1409" s="6"/>
    </row>
    <row r="1410" spans="22:31" ht="11.25" customHeight="1" x14ac:dyDescent="0.25">
      <c r="V1410" s="6"/>
      <c r="W1410" s="6"/>
      <c r="X1410" s="6"/>
      <c r="Y1410" s="6"/>
      <c r="Z1410" s="6"/>
      <c r="AA1410" s="6"/>
      <c r="AB1410" s="6"/>
      <c r="AC1410" s="6"/>
      <c r="AD1410" s="6"/>
      <c r="AE1410" s="6"/>
    </row>
    <row r="1411" spans="22:31" ht="11.25" customHeight="1" x14ac:dyDescent="0.25">
      <c r="V1411" s="6"/>
      <c r="W1411" s="6"/>
      <c r="X1411" s="6"/>
      <c r="Y1411" s="6"/>
      <c r="Z1411" s="6"/>
      <c r="AA1411" s="6"/>
      <c r="AB1411" s="6"/>
      <c r="AC1411" s="6"/>
      <c r="AD1411" s="6"/>
      <c r="AE1411" s="6"/>
    </row>
    <row r="1412" spans="22:31" ht="11.25" customHeight="1" x14ac:dyDescent="0.25">
      <c r="V1412" s="6"/>
      <c r="W1412" s="6"/>
      <c r="X1412" s="6"/>
      <c r="Y1412" s="6"/>
      <c r="Z1412" s="6"/>
      <c r="AA1412" s="6"/>
      <c r="AB1412" s="6"/>
      <c r="AC1412" s="6"/>
      <c r="AD1412" s="6"/>
      <c r="AE1412" s="6"/>
    </row>
    <row r="1413" spans="22:31" ht="11.25" customHeight="1" x14ac:dyDescent="0.25">
      <c r="V1413" s="6"/>
      <c r="W1413" s="6"/>
      <c r="X1413" s="6"/>
      <c r="Y1413" s="6"/>
      <c r="Z1413" s="6"/>
      <c r="AA1413" s="6"/>
      <c r="AB1413" s="6"/>
      <c r="AC1413" s="6"/>
      <c r="AD1413" s="6"/>
      <c r="AE1413" s="6"/>
    </row>
    <row r="1414" spans="22:31" ht="11.25" customHeight="1" x14ac:dyDescent="0.25">
      <c r="V1414" s="6"/>
      <c r="W1414" s="6"/>
      <c r="X1414" s="6"/>
      <c r="Y1414" s="6"/>
      <c r="Z1414" s="6"/>
      <c r="AA1414" s="6"/>
      <c r="AB1414" s="6"/>
      <c r="AC1414" s="6"/>
      <c r="AD1414" s="6"/>
      <c r="AE1414" s="6"/>
    </row>
    <row r="1415" spans="22:31" ht="11.25" customHeight="1" x14ac:dyDescent="0.25">
      <c r="V1415" s="6"/>
      <c r="W1415" s="6"/>
      <c r="X1415" s="6"/>
      <c r="Y1415" s="6"/>
      <c r="Z1415" s="6"/>
      <c r="AA1415" s="6"/>
      <c r="AB1415" s="6"/>
      <c r="AC1415" s="6"/>
      <c r="AD1415" s="6"/>
      <c r="AE1415" s="6"/>
    </row>
    <row r="1416" spans="22:31" ht="11.25" customHeight="1" x14ac:dyDescent="0.25">
      <c r="V1416" s="6"/>
      <c r="W1416" s="6"/>
      <c r="X1416" s="6"/>
      <c r="Y1416" s="6"/>
      <c r="Z1416" s="6"/>
      <c r="AA1416" s="6"/>
      <c r="AB1416" s="6"/>
      <c r="AC1416" s="6"/>
      <c r="AD1416" s="6"/>
      <c r="AE1416" s="6"/>
    </row>
    <row r="1417" spans="22:31" ht="11.25" customHeight="1" x14ac:dyDescent="0.25"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</row>
    <row r="1418" spans="22:31" ht="11.25" customHeight="1" x14ac:dyDescent="0.25">
      <c r="V1418" s="6"/>
      <c r="W1418" s="6"/>
      <c r="X1418" s="6"/>
      <c r="Y1418" s="6"/>
      <c r="Z1418" s="6"/>
      <c r="AA1418" s="6"/>
      <c r="AB1418" s="6"/>
      <c r="AC1418" s="6"/>
      <c r="AD1418" s="6"/>
      <c r="AE1418" s="6"/>
    </row>
    <row r="1419" spans="22:31" ht="11.25" customHeight="1" x14ac:dyDescent="0.25">
      <c r="V1419" s="6"/>
      <c r="W1419" s="6"/>
      <c r="X1419" s="6"/>
      <c r="Y1419" s="6"/>
      <c r="Z1419" s="6"/>
      <c r="AA1419" s="6"/>
      <c r="AB1419" s="6"/>
      <c r="AC1419" s="6"/>
      <c r="AD1419" s="6"/>
      <c r="AE1419" s="6"/>
    </row>
    <row r="1420" spans="22:31" ht="11.25" customHeight="1" x14ac:dyDescent="0.25">
      <c r="V1420" s="6"/>
      <c r="W1420" s="6"/>
      <c r="X1420" s="6"/>
      <c r="Y1420" s="6"/>
      <c r="Z1420" s="6"/>
      <c r="AA1420" s="6"/>
      <c r="AB1420" s="6"/>
      <c r="AC1420" s="6"/>
      <c r="AD1420" s="6"/>
      <c r="AE1420" s="6"/>
    </row>
    <row r="1421" spans="22:31" ht="11.25" customHeight="1" x14ac:dyDescent="0.25">
      <c r="V1421" s="6"/>
      <c r="W1421" s="6"/>
      <c r="X1421" s="6"/>
      <c r="Y1421" s="6"/>
      <c r="Z1421" s="6"/>
      <c r="AA1421" s="6"/>
      <c r="AB1421" s="6"/>
      <c r="AC1421" s="6"/>
      <c r="AD1421" s="6"/>
      <c r="AE1421" s="6"/>
    </row>
    <row r="1422" spans="22:31" ht="11.25" customHeight="1" x14ac:dyDescent="0.25"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</row>
    <row r="1423" spans="22:31" ht="11.25" customHeight="1" x14ac:dyDescent="0.25">
      <c r="V1423" s="6"/>
      <c r="W1423" s="6"/>
      <c r="X1423" s="6"/>
      <c r="Y1423" s="6"/>
      <c r="Z1423" s="6"/>
      <c r="AA1423" s="6"/>
      <c r="AB1423" s="6"/>
      <c r="AC1423" s="6"/>
      <c r="AD1423" s="6"/>
      <c r="AE1423" s="6"/>
    </row>
    <row r="1424" spans="22:31" ht="11.25" customHeight="1" x14ac:dyDescent="0.25"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</row>
    <row r="1425" spans="22:31" ht="11.25" customHeight="1" x14ac:dyDescent="0.25">
      <c r="V1425" s="6"/>
      <c r="W1425" s="6"/>
      <c r="X1425" s="6"/>
      <c r="Y1425" s="6"/>
      <c r="Z1425" s="6"/>
      <c r="AA1425" s="6"/>
      <c r="AB1425" s="6"/>
      <c r="AC1425" s="6"/>
      <c r="AD1425" s="6"/>
      <c r="AE1425" s="6"/>
    </row>
    <row r="1426" spans="22:31" ht="11.25" customHeight="1" x14ac:dyDescent="0.25"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</row>
    <row r="1427" spans="22:31" ht="11.25" customHeight="1" x14ac:dyDescent="0.25">
      <c r="V1427" s="6"/>
      <c r="W1427" s="6"/>
      <c r="X1427" s="6"/>
      <c r="Y1427" s="6"/>
      <c r="Z1427" s="6"/>
      <c r="AA1427" s="6"/>
      <c r="AB1427" s="6"/>
      <c r="AC1427" s="6"/>
      <c r="AD1427" s="6"/>
      <c r="AE1427" s="6"/>
    </row>
    <row r="1428" spans="22:31" ht="11.25" customHeight="1" x14ac:dyDescent="0.25">
      <c r="V1428" s="6"/>
      <c r="W1428" s="6"/>
      <c r="X1428" s="6"/>
      <c r="Y1428" s="6"/>
      <c r="Z1428" s="6"/>
      <c r="AA1428" s="6"/>
      <c r="AB1428" s="6"/>
      <c r="AC1428" s="6"/>
      <c r="AD1428" s="6"/>
      <c r="AE1428" s="6"/>
    </row>
    <row r="1429" spans="22:31" ht="11.25" customHeight="1" x14ac:dyDescent="0.25">
      <c r="V1429" s="6"/>
      <c r="W1429" s="6"/>
      <c r="X1429" s="6"/>
      <c r="Y1429" s="6"/>
      <c r="Z1429" s="6"/>
      <c r="AA1429" s="6"/>
      <c r="AB1429" s="6"/>
      <c r="AC1429" s="6"/>
      <c r="AD1429" s="6"/>
      <c r="AE1429" s="6"/>
    </row>
    <row r="1430" spans="22:31" ht="11.25" customHeight="1" x14ac:dyDescent="0.25">
      <c r="V1430" s="6"/>
      <c r="W1430" s="6"/>
      <c r="X1430" s="6"/>
      <c r="Y1430" s="6"/>
      <c r="Z1430" s="6"/>
      <c r="AA1430" s="6"/>
      <c r="AB1430" s="6"/>
      <c r="AC1430" s="6"/>
      <c r="AD1430" s="6"/>
      <c r="AE1430" s="6"/>
    </row>
    <row r="1431" spans="22:31" ht="11.25" customHeight="1" x14ac:dyDescent="0.25"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</row>
    <row r="1432" spans="22:31" ht="11.25" customHeight="1" x14ac:dyDescent="0.25"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</row>
    <row r="1433" spans="22:31" ht="11.25" customHeight="1" x14ac:dyDescent="0.25">
      <c r="V1433" s="6"/>
      <c r="W1433" s="6"/>
      <c r="X1433" s="6"/>
      <c r="Y1433" s="6"/>
      <c r="Z1433" s="6"/>
      <c r="AA1433" s="6"/>
      <c r="AB1433" s="6"/>
      <c r="AC1433" s="6"/>
      <c r="AD1433" s="6"/>
      <c r="AE1433" s="6"/>
    </row>
    <row r="1434" spans="22:31" ht="11.25" customHeight="1" x14ac:dyDescent="0.25">
      <c r="V1434" s="6"/>
      <c r="W1434" s="6"/>
      <c r="X1434" s="6"/>
      <c r="Y1434" s="6"/>
      <c r="Z1434" s="6"/>
      <c r="AA1434" s="6"/>
      <c r="AB1434" s="6"/>
      <c r="AC1434" s="6"/>
      <c r="AD1434" s="6"/>
      <c r="AE1434" s="6"/>
    </row>
    <row r="1435" spans="22:31" ht="11.25" customHeight="1" x14ac:dyDescent="0.25">
      <c r="V1435" s="6"/>
      <c r="W1435" s="6"/>
      <c r="X1435" s="6"/>
      <c r="Y1435" s="6"/>
      <c r="Z1435" s="6"/>
      <c r="AA1435" s="6"/>
      <c r="AB1435" s="6"/>
      <c r="AC1435" s="6"/>
      <c r="AD1435" s="6"/>
      <c r="AE1435" s="6"/>
    </row>
    <row r="1436" spans="22:31" ht="11.25" customHeight="1" x14ac:dyDescent="0.25"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</row>
    <row r="1437" spans="22:31" ht="11.25" customHeight="1" x14ac:dyDescent="0.25"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</row>
    <row r="1438" spans="22:31" ht="11.25" customHeight="1" x14ac:dyDescent="0.25">
      <c r="V1438" s="6"/>
      <c r="W1438" s="6"/>
      <c r="X1438" s="6"/>
      <c r="Y1438" s="6"/>
      <c r="Z1438" s="6"/>
      <c r="AA1438" s="6"/>
      <c r="AB1438" s="6"/>
      <c r="AC1438" s="6"/>
      <c r="AD1438" s="6"/>
      <c r="AE1438" s="6"/>
    </row>
    <row r="1439" spans="22:31" ht="11.25" customHeight="1" x14ac:dyDescent="0.25">
      <c r="V1439" s="6"/>
      <c r="W1439" s="6"/>
      <c r="X1439" s="6"/>
      <c r="Y1439" s="6"/>
      <c r="Z1439" s="6"/>
      <c r="AA1439" s="6"/>
      <c r="AB1439" s="6"/>
      <c r="AC1439" s="6"/>
      <c r="AD1439" s="6"/>
      <c r="AE1439" s="6"/>
    </row>
    <row r="1440" spans="22:31" ht="11.25" customHeight="1" x14ac:dyDescent="0.25">
      <c r="V1440" s="6"/>
      <c r="W1440" s="6"/>
      <c r="X1440" s="6"/>
      <c r="Y1440" s="6"/>
      <c r="Z1440" s="6"/>
      <c r="AA1440" s="6"/>
      <c r="AB1440" s="6"/>
      <c r="AC1440" s="6"/>
      <c r="AD1440" s="6"/>
      <c r="AE1440" s="6"/>
    </row>
    <row r="1441" spans="22:31" ht="11.25" customHeight="1" x14ac:dyDescent="0.25">
      <c r="V1441" s="6"/>
      <c r="W1441" s="6"/>
      <c r="X1441" s="6"/>
      <c r="Y1441" s="6"/>
      <c r="Z1441" s="6"/>
      <c r="AA1441" s="6"/>
      <c r="AB1441" s="6"/>
      <c r="AC1441" s="6"/>
      <c r="AD1441" s="6"/>
      <c r="AE1441" s="6"/>
    </row>
    <row r="1442" spans="22:31" ht="11.25" customHeight="1" x14ac:dyDescent="0.25">
      <c r="V1442" s="6"/>
      <c r="W1442" s="6"/>
      <c r="X1442" s="6"/>
      <c r="Y1442" s="6"/>
      <c r="Z1442" s="6"/>
      <c r="AA1442" s="6"/>
      <c r="AB1442" s="6"/>
      <c r="AC1442" s="6"/>
      <c r="AD1442" s="6"/>
      <c r="AE1442" s="6"/>
    </row>
    <row r="1443" spans="22:31" ht="11.25" customHeight="1" x14ac:dyDescent="0.25">
      <c r="V1443" s="6"/>
      <c r="W1443" s="6"/>
      <c r="X1443" s="6"/>
      <c r="Y1443" s="6"/>
      <c r="Z1443" s="6"/>
      <c r="AA1443" s="6"/>
      <c r="AB1443" s="6"/>
      <c r="AC1443" s="6"/>
      <c r="AD1443" s="6"/>
      <c r="AE1443" s="6"/>
    </row>
    <row r="1444" spans="22:31" ht="11.25" customHeight="1" x14ac:dyDescent="0.25">
      <c r="V1444" s="6"/>
      <c r="W1444" s="6"/>
      <c r="X1444" s="6"/>
      <c r="Y1444" s="6"/>
      <c r="Z1444" s="6"/>
      <c r="AA1444" s="6"/>
      <c r="AB1444" s="6"/>
      <c r="AC1444" s="6"/>
      <c r="AD1444" s="6"/>
      <c r="AE1444" s="6"/>
    </row>
    <row r="1445" spans="22:31" ht="11.25" customHeight="1" x14ac:dyDescent="0.25">
      <c r="V1445" s="6"/>
      <c r="W1445" s="6"/>
      <c r="X1445" s="6"/>
      <c r="Y1445" s="6"/>
      <c r="Z1445" s="6"/>
      <c r="AA1445" s="6"/>
      <c r="AB1445" s="6"/>
      <c r="AC1445" s="6"/>
      <c r="AD1445" s="6"/>
      <c r="AE1445" s="6"/>
    </row>
    <row r="1446" spans="22:31" ht="11.25" customHeight="1" x14ac:dyDescent="0.25">
      <c r="V1446" s="6"/>
      <c r="W1446" s="6"/>
      <c r="X1446" s="6"/>
      <c r="Y1446" s="6"/>
      <c r="Z1446" s="6"/>
      <c r="AA1446" s="6"/>
      <c r="AB1446" s="6"/>
      <c r="AC1446" s="6"/>
      <c r="AD1446" s="6"/>
      <c r="AE1446" s="6"/>
    </row>
    <row r="1447" spans="22:31" ht="11.25" customHeight="1" x14ac:dyDescent="0.25"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</row>
    <row r="1448" spans="22:31" ht="11.25" customHeight="1" x14ac:dyDescent="0.25">
      <c r="V1448" s="6"/>
      <c r="W1448" s="6"/>
      <c r="X1448" s="6"/>
      <c r="Y1448" s="6"/>
      <c r="Z1448" s="6"/>
      <c r="AA1448" s="6"/>
      <c r="AB1448" s="6"/>
      <c r="AC1448" s="6"/>
      <c r="AD1448" s="6"/>
      <c r="AE1448" s="6"/>
    </row>
    <row r="1449" spans="22:31" ht="11.25" customHeight="1" x14ac:dyDescent="0.25">
      <c r="V1449" s="6"/>
      <c r="W1449" s="6"/>
      <c r="X1449" s="6"/>
      <c r="Y1449" s="6"/>
      <c r="Z1449" s="6"/>
      <c r="AA1449" s="6"/>
      <c r="AB1449" s="6"/>
      <c r="AC1449" s="6"/>
      <c r="AD1449" s="6"/>
      <c r="AE1449" s="6"/>
    </row>
    <row r="1450" spans="22:31" ht="11.25" customHeight="1" x14ac:dyDescent="0.25">
      <c r="V1450" s="6"/>
      <c r="W1450" s="6"/>
      <c r="X1450" s="6"/>
      <c r="Y1450" s="6"/>
      <c r="Z1450" s="6"/>
      <c r="AA1450" s="6"/>
      <c r="AB1450" s="6"/>
      <c r="AC1450" s="6"/>
      <c r="AD1450" s="6"/>
      <c r="AE1450" s="6"/>
    </row>
    <row r="1451" spans="22:31" ht="11.25" customHeight="1" x14ac:dyDescent="0.25">
      <c r="V1451" s="6"/>
      <c r="W1451" s="6"/>
      <c r="X1451" s="6"/>
      <c r="Y1451" s="6"/>
      <c r="Z1451" s="6"/>
      <c r="AA1451" s="6"/>
      <c r="AB1451" s="6"/>
      <c r="AC1451" s="6"/>
      <c r="AD1451" s="6"/>
      <c r="AE1451" s="6"/>
    </row>
    <row r="1452" spans="22:31" ht="11.25" customHeight="1" x14ac:dyDescent="0.25">
      <c r="V1452" s="6"/>
      <c r="W1452" s="6"/>
      <c r="X1452" s="6"/>
      <c r="Y1452" s="6"/>
      <c r="Z1452" s="6"/>
      <c r="AA1452" s="6"/>
      <c r="AB1452" s="6"/>
      <c r="AC1452" s="6"/>
      <c r="AD1452" s="6"/>
      <c r="AE1452" s="6"/>
    </row>
    <row r="1453" spans="22:31" ht="11.25" customHeight="1" x14ac:dyDescent="0.25"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</row>
    <row r="1454" spans="22:31" ht="11.25" customHeight="1" x14ac:dyDescent="0.25">
      <c r="V1454" s="6"/>
      <c r="W1454" s="6"/>
      <c r="X1454" s="6"/>
      <c r="Y1454" s="6"/>
      <c r="Z1454" s="6"/>
      <c r="AA1454" s="6"/>
      <c r="AB1454" s="6"/>
      <c r="AC1454" s="6"/>
      <c r="AD1454" s="6"/>
      <c r="AE1454" s="6"/>
    </row>
    <row r="1455" spans="22:31" ht="11.25" customHeight="1" x14ac:dyDescent="0.25">
      <c r="V1455" s="6"/>
      <c r="W1455" s="6"/>
      <c r="X1455" s="6"/>
      <c r="Y1455" s="6"/>
      <c r="Z1455" s="6"/>
      <c r="AA1455" s="6"/>
      <c r="AB1455" s="6"/>
      <c r="AC1455" s="6"/>
      <c r="AD1455" s="6"/>
      <c r="AE1455" s="6"/>
    </row>
    <row r="1456" spans="22:31" ht="11.25" customHeight="1" x14ac:dyDescent="0.25">
      <c r="V1456" s="6"/>
      <c r="W1456" s="6"/>
      <c r="X1456" s="6"/>
      <c r="Y1456" s="6"/>
      <c r="Z1456" s="6"/>
      <c r="AA1456" s="6"/>
      <c r="AB1456" s="6"/>
      <c r="AC1456" s="6"/>
      <c r="AD1456" s="6"/>
      <c r="AE1456" s="6"/>
    </row>
    <row r="1457" spans="22:31" ht="11.25" customHeight="1" x14ac:dyDescent="0.25"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</row>
    <row r="1458" spans="22:31" ht="11.25" customHeight="1" x14ac:dyDescent="0.25"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</row>
    <row r="1459" spans="22:31" ht="11.25" customHeight="1" x14ac:dyDescent="0.25"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</row>
    <row r="1460" spans="22:31" ht="11.25" customHeight="1" x14ac:dyDescent="0.25">
      <c r="V1460" s="6"/>
      <c r="W1460" s="6"/>
      <c r="X1460" s="6"/>
      <c r="Y1460" s="6"/>
      <c r="Z1460" s="6"/>
      <c r="AA1460" s="6"/>
      <c r="AB1460" s="6"/>
      <c r="AC1460" s="6"/>
      <c r="AD1460" s="6"/>
      <c r="AE1460" s="6"/>
    </row>
    <row r="1461" spans="22:31" ht="11.25" customHeight="1" x14ac:dyDescent="0.25">
      <c r="V1461" s="6"/>
      <c r="W1461" s="6"/>
      <c r="X1461" s="6"/>
      <c r="Y1461" s="6"/>
      <c r="Z1461" s="6"/>
      <c r="AA1461" s="6"/>
      <c r="AB1461" s="6"/>
      <c r="AC1461" s="6"/>
      <c r="AD1461" s="6"/>
      <c r="AE1461" s="6"/>
    </row>
    <row r="1462" spans="22:31" ht="11.25" customHeight="1" x14ac:dyDescent="0.25"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</row>
    <row r="1463" spans="22:31" ht="11.25" customHeight="1" x14ac:dyDescent="0.25">
      <c r="V1463" s="6"/>
      <c r="W1463" s="6"/>
      <c r="X1463" s="6"/>
      <c r="Y1463" s="6"/>
      <c r="Z1463" s="6"/>
      <c r="AA1463" s="6"/>
      <c r="AB1463" s="6"/>
      <c r="AC1463" s="6"/>
      <c r="AD1463" s="6"/>
      <c r="AE1463" s="6"/>
    </row>
    <row r="1464" spans="22:31" ht="11.25" customHeight="1" x14ac:dyDescent="0.25">
      <c r="V1464" s="6"/>
      <c r="W1464" s="6"/>
      <c r="X1464" s="6"/>
      <c r="Y1464" s="6"/>
      <c r="Z1464" s="6"/>
      <c r="AA1464" s="6"/>
      <c r="AB1464" s="6"/>
      <c r="AC1464" s="6"/>
      <c r="AD1464" s="6"/>
      <c r="AE1464" s="6"/>
    </row>
    <row r="1465" spans="22:31" ht="11.25" customHeight="1" x14ac:dyDescent="0.25">
      <c r="V1465" s="6"/>
      <c r="W1465" s="6"/>
      <c r="X1465" s="6"/>
      <c r="Y1465" s="6"/>
      <c r="Z1465" s="6"/>
      <c r="AA1465" s="6"/>
      <c r="AB1465" s="6"/>
      <c r="AC1465" s="6"/>
      <c r="AD1465" s="6"/>
      <c r="AE1465" s="6"/>
    </row>
    <row r="1466" spans="22:31" ht="11.25" customHeight="1" x14ac:dyDescent="0.25"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</row>
    <row r="1467" spans="22:31" ht="11.25" customHeight="1" x14ac:dyDescent="0.25"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</row>
    <row r="1468" spans="22:31" ht="11.25" customHeight="1" x14ac:dyDescent="0.25">
      <c r="V1468" s="6"/>
      <c r="W1468" s="6"/>
      <c r="X1468" s="6"/>
      <c r="Y1468" s="6"/>
      <c r="Z1468" s="6"/>
      <c r="AA1468" s="6"/>
      <c r="AB1468" s="6"/>
      <c r="AC1468" s="6"/>
      <c r="AD1468" s="6"/>
      <c r="AE1468" s="6"/>
    </row>
    <row r="1469" spans="22:31" ht="11.25" customHeight="1" x14ac:dyDescent="0.25"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</row>
    <row r="1470" spans="22:31" ht="11.25" customHeight="1" x14ac:dyDescent="0.25"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</row>
    <row r="1471" spans="22:31" ht="11.25" customHeight="1" x14ac:dyDescent="0.25"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</row>
    <row r="1472" spans="22:31" ht="11.25" customHeight="1" x14ac:dyDescent="0.25">
      <c r="V1472" s="6"/>
      <c r="W1472" s="6"/>
      <c r="X1472" s="6"/>
      <c r="Y1472" s="6"/>
      <c r="Z1472" s="6"/>
      <c r="AA1472" s="6"/>
      <c r="AB1472" s="6"/>
      <c r="AC1472" s="6"/>
      <c r="AD1472" s="6"/>
      <c r="AE1472" s="6"/>
    </row>
    <row r="1473" spans="22:31" ht="11.25" customHeight="1" x14ac:dyDescent="0.25">
      <c r="V1473" s="6"/>
      <c r="W1473" s="6"/>
      <c r="X1473" s="6"/>
      <c r="Y1473" s="6"/>
      <c r="Z1473" s="6"/>
      <c r="AA1473" s="6"/>
      <c r="AB1473" s="6"/>
      <c r="AC1473" s="6"/>
      <c r="AD1473" s="6"/>
      <c r="AE1473" s="6"/>
    </row>
    <row r="1474" spans="22:31" ht="11.25" customHeight="1" x14ac:dyDescent="0.25">
      <c r="V1474" s="6"/>
      <c r="W1474" s="6"/>
      <c r="X1474" s="6"/>
      <c r="Y1474" s="6"/>
      <c r="Z1474" s="6"/>
      <c r="AA1474" s="6"/>
      <c r="AB1474" s="6"/>
      <c r="AC1474" s="6"/>
      <c r="AD1474" s="6"/>
      <c r="AE1474" s="6"/>
    </row>
    <row r="1475" spans="22:31" ht="11.25" customHeight="1" x14ac:dyDescent="0.25"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</row>
    <row r="1476" spans="22:31" ht="11.25" customHeight="1" x14ac:dyDescent="0.25">
      <c r="V1476" s="6"/>
      <c r="W1476" s="6"/>
      <c r="X1476" s="6"/>
      <c r="Y1476" s="6"/>
      <c r="Z1476" s="6"/>
      <c r="AA1476" s="6"/>
      <c r="AB1476" s="6"/>
      <c r="AC1476" s="6"/>
      <c r="AD1476" s="6"/>
      <c r="AE1476" s="6"/>
    </row>
    <row r="1477" spans="22:31" ht="11.25" customHeight="1" x14ac:dyDescent="0.25">
      <c r="V1477" s="6"/>
      <c r="W1477" s="6"/>
      <c r="X1477" s="6"/>
      <c r="Y1477" s="6"/>
      <c r="Z1477" s="6"/>
      <c r="AA1477" s="6"/>
      <c r="AB1477" s="6"/>
      <c r="AC1477" s="6"/>
      <c r="AD1477" s="6"/>
      <c r="AE1477" s="6"/>
    </row>
    <row r="1478" spans="22:31" ht="11.25" customHeight="1" x14ac:dyDescent="0.25">
      <c r="V1478" s="6"/>
      <c r="W1478" s="6"/>
      <c r="X1478" s="6"/>
      <c r="Y1478" s="6"/>
      <c r="Z1478" s="6"/>
      <c r="AA1478" s="6"/>
      <c r="AB1478" s="6"/>
      <c r="AC1478" s="6"/>
      <c r="AD1478" s="6"/>
      <c r="AE1478" s="6"/>
    </row>
    <row r="1479" spans="22:31" ht="11.25" customHeight="1" x14ac:dyDescent="0.25">
      <c r="V1479" s="6"/>
      <c r="W1479" s="6"/>
      <c r="X1479" s="6"/>
      <c r="Y1479" s="6"/>
      <c r="Z1479" s="6"/>
      <c r="AA1479" s="6"/>
      <c r="AB1479" s="6"/>
      <c r="AC1479" s="6"/>
      <c r="AD1479" s="6"/>
      <c r="AE1479" s="6"/>
    </row>
    <row r="1480" spans="22:31" ht="11.25" customHeight="1" x14ac:dyDescent="0.25">
      <c r="V1480" s="6"/>
      <c r="W1480" s="6"/>
      <c r="X1480" s="6"/>
      <c r="Y1480" s="6"/>
      <c r="Z1480" s="6"/>
      <c r="AA1480" s="6"/>
      <c r="AB1480" s="6"/>
      <c r="AC1480" s="6"/>
      <c r="AD1480" s="6"/>
      <c r="AE1480" s="6"/>
    </row>
    <row r="1481" spans="22:31" ht="11.25" customHeight="1" x14ac:dyDescent="0.25"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</row>
    <row r="1482" spans="22:31" ht="11.25" customHeight="1" x14ac:dyDescent="0.25"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</row>
    <row r="1483" spans="22:31" ht="11.25" customHeight="1" x14ac:dyDescent="0.25">
      <c r="V1483" s="6"/>
      <c r="W1483" s="6"/>
      <c r="X1483" s="6"/>
      <c r="Y1483" s="6"/>
      <c r="Z1483" s="6"/>
      <c r="AA1483" s="6"/>
      <c r="AB1483" s="6"/>
      <c r="AC1483" s="6"/>
      <c r="AD1483" s="6"/>
      <c r="AE1483" s="6"/>
    </row>
    <row r="1484" spans="22:31" ht="11.25" customHeight="1" x14ac:dyDescent="0.25">
      <c r="V1484" s="6"/>
      <c r="W1484" s="6"/>
      <c r="X1484" s="6"/>
      <c r="Y1484" s="6"/>
      <c r="Z1484" s="6"/>
      <c r="AA1484" s="6"/>
      <c r="AB1484" s="6"/>
      <c r="AC1484" s="6"/>
      <c r="AD1484" s="6"/>
      <c r="AE1484" s="6"/>
    </row>
    <row r="1485" spans="22:31" ht="11.25" customHeight="1" x14ac:dyDescent="0.25"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</row>
    <row r="1486" spans="22:31" ht="11.25" customHeight="1" x14ac:dyDescent="0.25"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</row>
    <row r="1487" spans="22:31" ht="11.25" customHeight="1" x14ac:dyDescent="0.25">
      <c r="V1487" s="6"/>
      <c r="W1487" s="6"/>
      <c r="X1487" s="6"/>
      <c r="Y1487" s="6"/>
      <c r="Z1487" s="6"/>
      <c r="AA1487" s="6"/>
      <c r="AB1487" s="6"/>
      <c r="AC1487" s="6"/>
      <c r="AD1487" s="6"/>
      <c r="AE1487" s="6"/>
    </row>
    <row r="1488" spans="22:31" ht="11.25" customHeight="1" x14ac:dyDescent="0.25"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</row>
    <row r="1489" spans="22:31" ht="11.25" customHeight="1" x14ac:dyDescent="0.25">
      <c r="V1489" s="6"/>
      <c r="W1489" s="6"/>
      <c r="X1489" s="6"/>
      <c r="Y1489" s="6"/>
      <c r="Z1489" s="6"/>
      <c r="AA1489" s="6"/>
      <c r="AB1489" s="6"/>
      <c r="AC1489" s="6"/>
      <c r="AD1489" s="6"/>
      <c r="AE1489" s="6"/>
    </row>
    <row r="1490" spans="22:31" ht="11.25" customHeight="1" x14ac:dyDescent="0.25">
      <c r="V1490" s="6"/>
      <c r="W1490" s="6"/>
      <c r="X1490" s="6"/>
      <c r="Y1490" s="6"/>
      <c r="Z1490" s="6"/>
      <c r="AA1490" s="6"/>
      <c r="AB1490" s="6"/>
      <c r="AC1490" s="6"/>
      <c r="AD1490" s="6"/>
      <c r="AE1490" s="6"/>
    </row>
    <row r="1491" spans="22:31" ht="11.25" customHeight="1" x14ac:dyDescent="0.25">
      <c r="V1491" s="6"/>
      <c r="W1491" s="6"/>
      <c r="X1491" s="6"/>
      <c r="Y1491" s="6"/>
      <c r="Z1491" s="6"/>
      <c r="AA1491" s="6"/>
      <c r="AB1491" s="6"/>
      <c r="AC1491" s="6"/>
      <c r="AD1491" s="6"/>
      <c r="AE1491" s="6"/>
    </row>
    <row r="1492" spans="22:31" ht="11.25" customHeight="1" x14ac:dyDescent="0.25">
      <c r="V1492" s="6"/>
      <c r="W1492" s="6"/>
      <c r="X1492" s="6"/>
      <c r="Y1492" s="6"/>
      <c r="Z1492" s="6"/>
      <c r="AA1492" s="6"/>
      <c r="AB1492" s="6"/>
      <c r="AC1492" s="6"/>
      <c r="AD1492" s="6"/>
      <c r="AE1492" s="6"/>
    </row>
    <row r="1493" spans="22:31" ht="11.25" customHeight="1" x14ac:dyDescent="0.25">
      <c r="V1493" s="6"/>
      <c r="W1493" s="6"/>
      <c r="X1493" s="6"/>
      <c r="Y1493" s="6"/>
      <c r="Z1493" s="6"/>
      <c r="AA1493" s="6"/>
      <c r="AB1493" s="6"/>
      <c r="AC1493" s="6"/>
      <c r="AD1493" s="6"/>
      <c r="AE1493" s="6"/>
    </row>
    <row r="1494" spans="22:31" ht="11.25" customHeight="1" x14ac:dyDescent="0.25">
      <c r="V1494" s="6"/>
      <c r="W1494" s="6"/>
      <c r="X1494" s="6"/>
      <c r="Y1494" s="6"/>
      <c r="Z1494" s="6"/>
      <c r="AA1494" s="6"/>
      <c r="AB1494" s="6"/>
      <c r="AC1494" s="6"/>
      <c r="AD1494" s="6"/>
      <c r="AE1494" s="6"/>
    </row>
    <row r="1495" spans="22:31" ht="11.25" customHeight="1" x14ac:dyDescent="0.25"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</row>
    <row r="1496" spans="22:31" ht="11.25" customHeight="1" x14ac:dyDescent="0.25">
      <c r="V1496" s="6"/>
      <c r="W1496" s="6"/>
      <c r="X1496" s="6"/>
      <c r="Y1496" s="6"/>
      <c r="Z1496" s="6"/>
      <c r="AA1496" s="6"/>
      <c r="AB1496" s="6"/>
      <c r="AC1496" s="6"/>
      <c r="AD1496" s="6"/>
      <c r="AE1496" s="6"/>
    </row>
    <row r="1497" spans="22:31" ht="11.25" customHeight="1" x14ac:dyDescent="0.25"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</row>
    <row r="1498" spans="22:31" ht="11.25" customHeight="1" x14ac:dyDescent="0.25">
      <c r="V1498" s="6"/>
      <c r="W1498" s="6"/>
      <c r="X1498" s="6"/>
      <c r="Y1498" s="6"/>
      <c r="Z1498" s="6"/>
      <c r="AA1498" s="6"/>
      <c r="AB1498" s="6"/>
      <c r="AC1498" s="6"/>
      <c r="AD1498" s="6"/>
      <c r="AE1498" s="6"/>
    </row>
    <row r="1499" spans="22:31" ht="11.25" customHeight="1" x14ac:dyDescent="0.25">
      <c r="V1499" s="6"/>
      <c r="W1499" s="6"/>
      <c r="X1499" s="6"/>
      <c r="Y1499" s="6"/>
      <c r="Z1499" s="6"/>
      <c r="AA1499" s="6"/>
      <c r="AB1499" s="6"/>
      <c r="AC1499" s="6"/>
      <c r="AD1499" s="6"/>
      <c r="AE1499" s="6"/>
    </row>
    <row r="1500" spans="22:31" ht="11.25" customHeight="1" x14ac:dyDescent="0.25">
      <c r="V1500" s="6"/>
      <c r="W1500" s="6"/>
      <c r="X1500" s="6"/>
      <c r="Y1500" s="6"/>
      <c r="Z1500" s="6"/>
      <c r="AA1500" s="6"/>
      <c r="AB1500" s="6"/>
      <c r="AC1500" s="6"/>
      <c r="AD1500" s="6"/>
      <c r="AE1500" s="6"/>
    </row>
    <row r="1501" spans="22:31" ht="11.25" customHeight="1" x14ac:dyDescent="0.25">
      <c r="V1501" s="6"/>
      <c r="W1501" s="6"/>
      <c r="X1501" s="6"/>
      <c r="Y1501" s="6"/>
      <c r="Z1501" s="6"/>
      <c r="AA1501" s="6"/>
      <c r="AB1501" s="6"/>
      <c r="AC1501" s="6"/>
      <c r="AD1501" s="6"/>
      <c r="AE1501" s="6"/>
    </row>
    <row r="1502" spans="22:31" ht="11.25" customHeight="1" x14ac:dyDescent="0.25">
      <c r="V1502" s="6"/>
      <c r="W1502" s="6"/>
      <c r="X1502" s="6"/>
      <c r="Y1502" s="6"/>
      <c r="Z1502" s="6"/>
      <c r="AA1502" s="6"/>
      <c r="AB1502" s="6"/>
      <c r="AC1502" s="6"/>
      <c r="AD1502" s="6"/>
      <c r="AE1502" s="6"/>
    </row>
    <row r="1503" spans="22:31" ht="11.25" customHeight="1" x14ac:dyDescent="0.25">
      <c r="V1503" s="6"/>
      <c r="W1503" s="6"/>
      <c r="X1503" s="6"/>
      <c r="Y1503" s="6"/>
      <c r="Z1503" s="6"/>
      <c r="AA1503" s="6"/>
      <c r="AB1503" s="6"/>
      <c r="AC1503" s="6"/>
      <c r="AD1503" s="6"/>
      <c r="AE1503" s="6"/>
    </row>
    <row r="1504" spans="22:31" ht="11.25" customHeight="1" x14ac:dyDescent="0.25"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</row>
    <row r="1505" spans="22:31" ht="11.25" customHeight="1" x14ac:dyDescent="0.25"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</row>
    <row r="1506" spans="22:31" ht="11.25" customHeight="1" x14ac:dyDescent="0.25"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</row>
    <row r="1507" spans="22:31" ht="11.25" customHeight="1" x14ac:dyDescent="0.25"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</row>
    <row r="1508" spans="22:31" ht="11.25" customHeight="1" x14ac:dyDescent="0.25"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</row>
    <row r="1509" spans="22:31" ht="11.25" customHeight="1" x14ac:dyDescent="0.25"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</row>
    <row r="1510" spans="22:31" ht="11.25" customHeight="1" x14ac:dyDescent="0.25"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</row>
    <row r="1511" spans="22:31" ht="11.25" customHeight="1" x14ac:dyDescent="0.25">
      <c r="V1511" s="6"/>
      <c r="W1511" s="6"/>
      <c r="X1511" s="6"/>
      <c r="Y1511" s="6"/>
      <c r="Z1511" s="6"/>
      <c r="AA1511" s="6"/>
      <c r="AB1511" s="6"/>
      <c r="AC1511" s="6"/>
      <c r="AD1511" s="6"/>
      <c r="AE1511" s="6"/>
    </row>
    <row r="1512" spans="22:31" ht="11.25" customHeight="1" x14ac:dyDescent="0.25">
      <c r="V1512" s="6"/>
      <c r="W1512" s="6"/>
      <c r="X1512" s="6"/>
      <c r="Y1512" s="6"/>
      <c r="Z1512" s="6"/>
      <c r="AA1512" s="6"/>
      <c r="AB1512" s="6"/>
      <c r="AC1512" s="6"/>
      <c r="AD1512" s="6"/>
      <c r="AE1512" s="6"/>
    </row>
    <row r="1513" spans="22:31" ht="11.25" customHeight="1" x14ac:dyDescent="0.25"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</row>
    <row r="1514" spans="22:31" ht="11.25" customHeight="1" x14ac:dyDescent="0.25"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</row>
    <row r="1515" spans="22:31" ht="11.25" customHeight="1" x14ac:dyDescent="0.25">
      <c r="V1515" s="6"/>
      <c r="W1515" s="6"/>
      <c r="X1515" s="6"/>
      <c r="Y1515" s="6"/>
      <c r="Z1515" s="6"/>
      <c r="AA1515" s="6"/>
      <c r="AB1515" s="6"/>
      <c r="AC1515" s="6"/>
      <c r="AD1515" s="6"/>
      <c r="AE1515" s="6"/>
    </row>
    <row r="1516" spans="22:31" ht="11.25" customHeight="1" x14ac:dyDescent="0.25"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</row>
    <row r="1517" spans="22:31" ht="11.25" customHeight="1" x14ac:dyDescent="0.25">
      <c r="V1517" s="6"/>
      <c r="W1517" s="6"/>
      <c r="X1517" s="6"/>
      <c r="Y1517" s="6"/>
      <c r="Z1517" s="6"/>
      <c r="AA1517" s="6"/>
      <c r="AB1517" s="6"/>
      <c r="AC1517" s="6"/>
      <c r="AD1517" s="6"/>
      <c r="AE1517" s="6"/>
    </row>
    <row r="1518" spans="22:31" ht="11.25" customHeight="1" x14ac:dyDescent="0.25">
      <c r="V1518" s="6"/>
      <c r="W1518" s="6"/>
      <c r="X1518" s="6"/>
      <c r="Y1518" s="6"/>
      <c r="Z1518" s="6"/>
      <c r="AA1518" s="6"/>
      <c r="AB1518" s="6"/>
      <c r="AC1518" s="6"/>
      <c r="AD1518" s="6"/>
      <c r="AE1518" s="6"/>
    </row>
    <row r="1519" spans="22:31" ht="11.25" customHeight="1" x14ac:dyDescent="0.25">
      <c r="V1519" s="6"/>
      <c r="W1519" s="6"/>
      <c r="X1519" s="6"/>
      <c r="Y1519" s="6"/>
      <c r="Z1519" s="6"/>
      <c r="AA1519" s="6"/>
      <c r="AB1519" s="6"/>
      <c r="AC1519" s="6"/>
      <c r="AD1519" s="6"/>
      <c r="AE1519" s="6"/>
    </row>
    <row r="1520" spans="22:31" ht="11.25" customHeight="1" x14ac:dyDescent="0.25">
      <c r="V1520" s="6"/>
      <c r="W1520" s="6"/>
      <c r="X1520" s="6"/>
      <c r="Y1520" s="6"/>
      <c r="Z1520" s="6"/>
      <c r="AA1520" s="6"/>
      <c r="AB1520" s="6"/>
      <c r="AC1520" s="6"/>
      <c r="AD1520" s="6"/>
      <c r="AE1520" s="6"/>
    </row>
    <row r="1521" spans="22:31" ht="11.25" customHeight="1" x14ac:dyDescent="0.25">
      <c r="V1521" s="6"/>
      <c r="W1521" s="6"/>
      <c r="X1521" s="6"/>
      <c r="Y1521" s="6"/>
      <c r="Z1521" s="6"/>
      <c r="AA1521" s="6"/>
      <c r="AB1521" s="6"/>
      <c r="AC1521" s="6"/>
      <c r="AD1521" s="6"/>
      <c r="AE1521" s="6"/>
    </row>
    <row r="1522" spans="22:31" ht="11.25" customHeight="1" x14ac:dyDescent="0.25">
      <c r="V1522" s="6"/>
      <c r="W1522" s="6"/>
      <c r="X1522" s="6"/>
      <c r="Y1522" s="6"/>
      <c r="Z1522" s="6"/>
      <c r="AA1522" s="6"/>
      <c r="AB1522" s="6"/>
      <c r="AC1522" s="6"/>
      <c r="AD1522" s="6"/>
      <c r="AE1522" s="6"/>
    </row>
    <row r="1523" spans="22:31" ht="11.25" customHeight="1" x14ac:dyDescent="0.25">
      <c r="V1523" s="6"/>
      <c r="W1523" s="6"/>
      <c r="X1523" s="6"/>
      <c r="Y1523" s="6"/>
      <c r="Z1523" s="6"/>
      <c r="AA1523" s="6"/>
      <c r="AB1523" s="6"/>
      <c r="AC1523" s="6"/>
      <c r="AD1523" s="6"/>
      <c r="AE1523" s="6"/>
    </row>
    <row r="1524" spans="22:31" ht="11.25" customHeight="1" x14ac:dyDescent="0.25">
      <c r="V1524" s="6"/>
      <c r="W1524" s="6"/>
      <c r="X1524" s="6"/>
      <c r="Y1524" s="6"/>
      <c r="Z1524" s="6"/>
      <c r="AA1524" s="6"/>
      <c r="AB1524" s="6"/>
      <c r="AC1524" s="6"/>
      <c r="AD1524" s="6"/>
      <c r="AE1524" s="6"/>
    </row>
    <row r="1525" spans="22:31" ht="11.25" customHeight="1" x14ac:dyDescent="0.25">
      <c r="V1525" s="6"/>
      <c r="W1525" s="6"/>
      <c r="X1525" s="6"/>
      <c r="Y1525" s="6"/>
      <c r="Z1525" s="6"/>
      <c r="AA1525" s="6"/>
      <c r="AB1525" s="6"/>
      <c r="AC1525" s="6"/>
      <c r="AD1525" s="6"/>
      <c r="AE1525" s="6"/>
    </row>
    <row r="1526" spans="22:31" ht="11.25" customHeight="1" x14ac:dyDescent="0.25">
      <c r="V1526" s="6"/>
      <c r="W1526" s="6"/>
      <c r="X1526" s="6"/>
      <c r="Y1526" s="6"/>
      <c r="Z1526" s="6"/>
      <c r="AA1526" s="6"/>
      <c r="AB1526" s="6"/>
      <c r="AC1526" s="6"/>
      <c r="AD1526" s="6"/>
      <c r="AE1526" s="6"/>
    </row>
    <row r="1527" spans="22:31" ht="11.25" customHeight="1" x14ac:dyDescent="0.25">
      <c r="V1527" s="6"/>
      <c r="W1527" s="6"/>
      <c r="X1527" s="6"/>
      <c r="Y1527" s="6"/>
      <c r="Z1527" s="6"/>
      <c r="AA1527" s="6"/>
      <c r="AB1527" s="6"/>
      <c r="AC1527" s="6"/>
      <c r="AD1527" s="6"/>
      <c r="AE1527" s="6"/>
    </row>
    <row r="1528" spans="22:31" ht="11.25" customHeight="1" x14ac:dyDescent="0.25">
      <c r="V1528" s="6"/>
      <c r="W1528" s="6"/>
      <c r="X1528" s="6"/>
      <c r="Y1528" s="6"/>
      <c r="Z1528" s="6"/>
      <c r="AA1528" s="6"/>
      <c r="AB1528" s="6"/>
      <c r="AC1528" s="6"/>
      <c r="AD1528" s="6"/>
      <c r="AE1528" s="6"/>
    </row>
    <row r="1529" spans="22:31" ht="11.25" customHeight="1" x14ac:dyDescent="0.25"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</row>
    <row r="1530" spans="22:31" ht="11.25" customHeight="1" x14ac:dyDescent="0.25">
      <c r="V1530" s="6"/>
      <c r="W1530" s="6"/>
      <c r="X1530" s="6"/>
      <c r="Y1530" s="6"/>
      <c r="Z1530" s="6"/>
      <c r="AA1530" s="6"/>
      <c r="AB1530" s="6"/>
      <c r="AC1530" s="6"/>
      <c r="AD1530" s="6"/>
      <c r="AE1530" s="6"/>
    </row>
    <row r="1531" spans="22:31" ht="11.25" customHeight="1" x14ac:dyDescent="0.25">
      <c r="V1531" s="6"/>
      <c r="W1531" s="6"/>
      <c r="X1531" s="6"/>
      <c r="Y1531" s="6"/>
      <c r="Z1531" s="6"/>
      <c r="AA1531" s="6"/>
      <c r="AB1531" s="6"/>
      <c r="AC1531" s="6"/>
      <c r="AD1531" s="6"/>
      <c r="AE1531" s="6"/>
    </row>
    <row r="1532" spans="22:31" ht="11.25" customHeight="1" x14ac:dyDescent="0.25">
      <c r="V1532" s="6"/>
      <c r="W1532" s="6"/>
      <c r="X1532" s="6"/>
      <c r="Y1532" s="6"/>
      <c r="Z1532" s="6"/>
      <c r="AA1532" s="6"/>
      <c r="AB1532" s="6"/>
      <c r="AC1532" s="6"/>
      <c r="AD1532" s="6"/>
      <c r="AE1532" s="6"/>
    </row>
    <row r="1533" spans="22:31" ht="11.25" customHeight="1" x14ac:dyDescent="0.25">
      <c r="V1533" s="6"/>
      <c r="W1533" s="6"/>
      <c r="X1533" s="6"/>
      <c r="Y1533" s="6"/>
      <c r="Z1533" s="6"/>
      <c r="AA1533" s="6"/>
      <c r="AB1533" s="6"/>
      <c r="AC1533" s="6"/>
      <c r="AD1533" s="6"/>
      <c r="AE1533" s="6"/>
    </row>
    <row r="1534" spans="22:31" ht="11.25" customHeight="1" x14ac:dyDescent="0.25">
      <c r="V1534" s="6"/>
      <c r="W1534" s="6"/>
      <c r="X1534" s="6"/>
      <c r="Y1534" s="6"/>
      <c r="Z1534" s="6"/>
      <c r="AA1534" s="6"/>
      <c r="AB1534" s="6"/>
      <c r="AC1534" s="6"/>
      <c r="AD1534" s="6"/>
      <c r="AE1534" s="6"/>
    </row>
    <row r="1535" spans="22:31" ht="11.25" customHeight="1" x14ac:dyDescent="0.25">
      <c r="V1535" s="6"/>
      <c r="W1535" s="6"/>
      <c r="X1535" s="6"/>
      <c r="Y1535" s="6"/>
      <c r="Z1535" s="6"/>
      <c r="AA1535" s="6"/>
      <c r="AB1535" s="6"/>
      <c r="AC1535" s="6"/>
      <c r="AD1535" s="6"/>
      <c r="AE1535" s="6"/>
    </row>
    <row r="1536" spans="22:31" ht="11.25" customHeight="1" x14ac:dyDescent="0.25">
      <c r="V1536" s="6"/>
      <c r="W1536" s="6"/>
      <c r="X1536" s="6"/>
      <c r="Y1536" s="6"/>
      <c r="Z1536" s="6"/>
      <c r="AA1536" s="6"/>
      <c r="AB1536" s="6"/>
      <c r="AC1536" s="6"/>
      <c r="AD1536" s="6"/>
      <c r="AE1536" s="6"/>
    </row>
    <row r="1537" spans="22:31" ht="11.25" customHeight="1" x14ac:dyDescent="0.25"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</row>
    <row r="1538" spans="22:31" ht="11.25" customHeight="1" x14ac:dyDescent="0.25">
      <c r="V1538" s="6"/>
      <c r="W1538" s="6"/>
      <c r="X1538" s="6"/>
      <c r="Y1538" s="6"/>
      <c r="Z1538" s="6"/>
      <c r="AA1538" s="6"/>
      <c r="AB1538" s="6"/>
      <c r="AC1538" s="6"/>
      <c r="AD1538" s="6"/>
      <c r="AE1538" s="6"/>
    </row>
    <row r="1539" spans="22:31" ht="11.25" customHeight="1" x14ac:dyDescent="0.25">
      <c r="V1539" s="6"/>
      <c r="W1539" s="6"/>
      <c r="X1539" s="6"/>
      <c r="Y1539" s="6"/>
      <c r="Z1539" s="6"/>
      <c r="AA1539" s="6"/>
      <c r="AB1539" s="6"/>
      <c r="AC1539" s="6"/>
      <c r="AD1539" s="6"/>
      <c r="AE1539" s="6"/>
    </row>
    <row r="1540" spans="22:31" ht="11.25" customHeight="1" x14ac:dyDescent="0.25">
      <c r="V1540" s="6"/>
      <c r="W1540" s="6"/>
      <c r="X1540" s="6"/>
      <c r="Y1540" s="6"/>
      <c r="Z1540" s="6"/>
      <c r="AA1540" s="6"/>
      <c r="AB1540" s="6"/>
      <c r="AC1540" s="6"/>
      <c r="AD1540" s="6"/>
      <c r="AE1540" s="6"/>
    </row>
    <row r="1541" spans="22:31" ht="11.25" customHeight="1" x14ac:dyDescent="0.25">
      <c r="V1541" s="6"/>
      <c r="W1541" s="6"/>
      <c r="X1541" s="6"/>
      <c r="Y1541" s="6"/>
      <c r="Z1541" s="6"/>
      <c r="AA1541" s="6"/>
      <c r="AB1541" s="6"/>
      <c r="AC1541" s="6"/>
      <c r="AD1541" s="6"/>
      <c r="AE1541" s="6"/>
    </row>
    <row r="1542" spans="22:31" ht="11.25" customHeight="1" x14ac:dyDescent="0.25">
      <c r="V1542" s="6"/>
      <c r="W1542" s="6"/>
      <c r="X1542" s="6"/>
      <c r="Y1542" s="6"/>
      <c r="Z1542" s="6"/>
      <c r="AA1542" s="6"/>
      <c r="AB1542" s="6"/>
      <c r="AC1542" s="6"/>
      <c r="AD1542" s="6"/>
      <c r="AE1542" s="6"/>
    </row>
    <row r="1543" spans="22:31" ht="11.25" customHeight="1" x14ac:dyDescent="0.25">
      <c r="V1543" s="6"/>
      <c r="W1543" s="6"/>
      <c r="X1543" s="6"/>
      <c r="Y1543" s="6"/>
      <c r="Z1543" s="6"/>
      <c r="AA1543" s="6"/>
      <c r="AB1543" s="6"/>
      <c r="AC1543" s="6"/>
      <c r="AD1543" s="6"/>
      <c r="AE1543" s="6"/>
    </row>
    <row r="1544" spans="22:31" ht="11.25" customHeight="1" x14ac:dyDescent="0.25"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</row>
    <row r="1545" spans="22:31" ht="11.25" customHeight="1" x14ac:dyDescent="0.25">
      <c r="V1545" s="6"/>
      <c r="W1545" s="6"/>
      <c r="X1545" s="6"/>
      <c r="Y1545" s="6"/>
      <c r="Z1545" s="6"/>
      <c r="AA1545" s="6"/>
      <c r="AB1545" s="6"/>
      <c r="AC1545" s="6"/>
      <c r="AD1545" s="6"/>
      <c r="AE1545" s="6"/>
    </row>
    <row r="1546" spans="22:31" ht="11.25" customHeight="1" x14ac:dyDescent="0.25"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</row>
    <row r="1547" spans="22:31" ht="11.25" customHeight="1" x14ac:dyDescent="0.25"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</row>
    <row r="1548" spans="22:31" ht="11.25" customHeight="1" x14ac:dyDescent="0.25">
      <c r="V1548" s="6"/>
      <c r="W1548" s="6"/>
      <c r="X1548" s="6"/>
      <c r="Y1548" s="6"/>
      <c r="Z1548" s="6"/>
      <c r="AA1548" s="6"/>
      <c r="AB1548" s="6"/>
      <c r="AC1548" s="6"/>
      <c r="AD1548" s="6"/>
      <c r="AE1548" s="6"/>
    </row>
    <row r="1549" spans="22:31" ht="11.25" customHeight="1" x14ac:dyDescent="0.25">
      <c r="V1549" s="6"/>
      <c r="W1549" s="6"/>
      <c r="X1549" s="6"/>
      <c r="Y1549" s="6"/>
      <c r="Z1549" s="6"/>
      <c r="AA1549" s="6"/>
      <c r="AB1549" s="6"/>
      <c r="AC1549" s="6"/>
      <c r="AD1549" s="6"/>
      <c r="AE1549" s="6"/>
    </row>
    <row r="1550" spans="22:31" ht="11.25" customHeight="1" x14ac:dyDescent="0.25">
      <c r="V1550" s="6"/>
      <c r="W1550" s="6"/>
      <c r="X1550" s="6"/>
      <c r="Y1550" s="6"/>
      <c r="Z1550" s="6"/>
      <c r="AA1550" s="6"/>
      <c r="AB1550" s="6"/>
      <c r="AC1550" s="6"/>
      <c r="AD1550" s="6"/>
      <c r="AE1550" s="6"/>
    </row>
    <row r="1551" spans="22:31" ht="11.25" customHeight="1" x14ac:dyDescent="0.25"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</row>
    <row r="1552" spans="22:31" ht="11.25" customHeight="1" x14ac:dyDescent="0.25"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</row>
    <row r="1553" spans="22:31" ht="11.25" customHeight="1" x14ac:dyDescent="0.25"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</row>
    <row r="1554" spans="22:31" ht="11.25" customHeight="1" x14ac:dyDescent="0.25">
      <c r="V1554" s="6"/>
      <c r="W1554" s="6"/>
      <c r="X1554" s="6"/>
      <c r="Y1554" s="6"/>
      <c r="Z1554" s="6"/>
      <c r="AA1554" s="6"/>
      <c r="AB1554" s="6"/>
      <c r="AC1554" s="6"/>
      <c r="AD1554" s="6"/>
      <c r="AE1554" s="6"/>
    </row>
    <row r="1555" spans="22:31" ht="11.25" customHeight="1" x14ac:dyDescent="0.25"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</row>
    <row r="1556" spans="22:31" ht="11.25" customHeight="1" x14ac:dyDescent="0.25"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</row>
    <row r="1557" spans="22:31" ht="11.25" customHeight="1" x14ac:dyDescent="0.25">
      <c r="V1557" s="6"/>
      <c r="W1557" s="6"/>
      <c r="X1557" s="6"/>
      <c r="Y1557" s="6"/>
      <c r="Z1557" s="6"/>
      <c r="AA1557" s="6"/>
      <c r="AB1557" s="6"/>
      <c r="AC1557" s="6"/>
      <c r="AD1557" s="6"/>
      <c r="AE1557" s="6"/>
    </row>
    <row r="1558" spans="22:31" ht="11.25" customHeight="1" x14ac:dyDescent="0.25"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</row>
    <row r="1559" spans="22:31" ht="11.25" customHeight="1" x14ac:dyDescent="0.25"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</row>
    <row r="1560" spans="22:31" ht="11.25" customHeight="1" x14ac:dyDescent="0.25"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</row>
    <row r="1561" spans="22:31" ht="11.25" customHeight="1" x14ac:dyDescent="0.25"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</row>
    <row r="1562" spans="22:31" ht="11.25" customHeight="1" x14ac:dyDescent="0.25"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</row>
    <row r="1563" spans="22:31" ht="11.25" customHeight="1" x14ac:dyDescent="0.25"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</row>
    <row r="1564" spans="22:31" ht="11.25" customHeight="1" x14ac:dyDescent="0.25"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</row>
    <row r="1565" spans="22:31" ht="11.25" customHeight="1" x14ac:dyDescent="0.25"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</row>
    <row r="1566" spans="22:31" ht="11.25" customHeight="1" x14ac:dyDescent="0.25"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</row>
    <row r="1567" spans="22:31" ht="11.25" customHeight="1" x14ac:dyDescent="0.25"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</row>
    <row r="1568" spans="22:31" ht="11.25" customHeight="1" x14ac:dyDescent="0.25"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</row>
    <row r="1569" spans="22:31" ht="11.25" customHeight="1" x14ac:dyDescent="0.25"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</row>
    <row r="1570" spans="22:31" ht="11.25" customHeight="1" x14ac:dyDescent="0.25"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</row>
    <row r="1571" spans="22:31" ht="11.25" customHeight="1" x14ac:dyDescent="0.25"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</row>
    <row r="1572" spans="22:31" ht="11.25" customHeight="1" x14ac:dyDescent="0.25"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</row>
    <row r="1573" spans="22:31" ht="11.25" customHeight="1" x14ac:dyDescent="0.25"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</row>
    <row r="1574" spans="22:31" ht="11.25" customHeight="1" x14ac:dyDescent="0.25"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</row>
    <row r="1575" spans="22:31" ht="11.25" customHeight="1" x14ac:dyDescent="0.25"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</row>
    <row r="1576" spans="22:31" ht="11.25" customHeight="1" x14ac:dyDescent="0.25"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</row>
    <row r="1577" spans="22:31" ht="11.25" customHeight="1" x14ac:dyDescent="0.25"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</row>
    <row r="1578" spans="22:31" ht="11.25" customHeight="1" x14ac:dyDescent="0.25"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</row>
    <row r="1579" spans="22:31" ht="11.25" customHeight="1" x14ac:dyDescent="0.25"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</row>
    <row r="1580" spans="22:31" ht="11.25" customHeight="1" x14ac:dyDescent="0.25">
      <c r="V1580" s="6"/>
      <c r="W1580" s="6"/>
      <c r="X1580" s="6"/>
      <c r="Y1580" s="6"/>
      <c r="Z1580" s="6"/>
      <c r="AA1580" s="6"/>
      <c r="AB1580" s="6"/>
      <c r="AC1580" s="6"/>
      <c r="AD1580" s="6"/>
      <c r="AE1580" s="6"/>
    </row>
    <row r="1581" spans="22:31" ht="11.25" customHeight="1" x14ac:dyDescent="0.25"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</row>
    <row r="1582" spans="22:31" ht="11.25" customHeight="1" x14ac:dyDescent="0.25"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</row>
    <row r="1583" spans="22:31" ht="11.25" customHeight="1" x14ac:dyDescent="0.25"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</row>
    <row r="1584" spans="22:31" ht="11.25" customHeight="1" x14ac:dyDescent="0.25"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</row>
    <row r="1585" spans="22:31" ht="11.25" customHeight="1" x14ac:dyDescent="0.25"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</row>
    <row r="1586" spans="22:31" ht="11.25" customHeight="1" x14ac:dyDescent="0.25"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</row>
    <row r="1587" spans="22:31" ht="11.25" customHeight="1" x14ac:dyDescent="0.25">
      <c r="V1587" s="6"/>
      <c r="W1587" s="6"/>
      <c r="X1587" s="6"/>
      <c r="Y1587" s="6"/>
      <c r="Z1587" s="6"/>
      <c r="AA1587" s="6"/>
      <c r="AB1587" s="6"/>
      <c r="AC1587" s="6"/>
      <c r="AD1587" s="6"/>
      <c r="AE1587" s="6"/>
    </row>
    <row r="1588" spans="22:31" ht="11.25" customHeight="1" x14ac:dyDescent="0.25"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</row>
    <row r="1589" spans="22:31" ht="11.25" customHeight="1" x14ac:dyDescent="0.25"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</row>
    <row r="1590" spans="22:31" ht="11.25" customHeight="1" x14ac:dyDescent="0.25">
      <c r="V1590" s="6"/>
      <c r="W1590" s="6"/>
      <c r="X1590" s="6"/>
      <c r="Y1590" s="6"/>
      <c r="Z1590" s="6"/>
      <c r="AA1590" s="6"/>
      <c r="AB1590" s="6"/>
      <c r="AC1590" s="6"/>
      <c r="AD1590" s="6"/>
      <c r="AE1590" s="6"/>
    </row>
    <row r="1591" spans="22:31" ht="11.25" customHeight="1" x14ac:dyDescent="0.25"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</row>
    <row r="1592" spans="22:31" ht="11.25" customHeight="1" x14ac:dyDescent="0.25"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</row>
    <row r="1593" spans="22:31" ht="11.25" customHeight="1" x14ac:dyDescent="0.25">
      <c r="V1593" s="6"/>
      <c r="W1593" s="6"/>
      <c r="X1593" s="6"/>
      <c r="Y1593" s="6"/>
      <c r="Z1593" s="6"/>
      <c r="AA1593" s="6"/>
      <c r="AB1593" s="6"/>
      <c r="AC1593" s="6"/>
      <c r="AD1593" s="6"/>
      <c r="AE1593" s="6"/>
    </row>
    <row r="1594" spans="22:31" ht="11.25" customHeight="1" x14ac:dyDescent="0.25"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</row>
    <row r="1595" spans="22:31" ht="11.25" customHeight="1" x14ac:dyDescent="0.25">
      <c r="V1595" s="6"/>
      <c r="W1595" s="6"/>
      <c r="X1595" s="6"/>
      <c r="Y1595" s="6"/>
      <c r="Z1595" s="6"/>
      <c r="AA1595" s="6"/>
      <c r="AB1595" s="6"/>
      <c r="AC1595" s="6"/>
      <c r="AD1595" s="6"/>
      <c r="AE1595" s="6"/>
    </row>
    <row r="1596" spans="22:31" ht="11.25" customHeight="1" x14ac:dyDescent="0.25">
      <c r="V1596" s="6"/>
      <c r="W1596" s="6"/>
      <c r="X1596" s="6"/>
      <c r="Y1596" s="6"/>
      <c r="Z1596" s="6"/>
      <c r="AA1596" s="6"/>
      <c r="AB1596" s="6"/>
      <c r="AC1596" s="6"/>
      <c r="AD1596" s="6"/>
      <c r="AE1596" s="6"/>
    </row>
    <row r="1597" spans="22:31" ht="11.25" customHeight="1" x14ac:dyDescent="0.25"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</row>
    <row r="1598" spans="22:31" ht="11.25" customHeight="1" x14ac:dyDescent="0.25"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</row>
    <row r="1599" spans="22:31" ht="11.25" customHeight="1" x14ac:dyDescent="0.25"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</row>
    <row r="1600" spans="22:31" ht="11.25" customHeight="1" x14ac:dyDescent="0.25"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</row>
    <row r="1601" spans="22:31" ht="11.25" customHeight="1" x14ac:dyDescent="0.25">
      <c r="V1601" s="6"/>
      <c r="W1601" s="6"/>
      <c r="X1601" s="6"/>
      <c r="Y1601" s="6"/>
      <c r="Z1601" s="6"/>
      <c r="AA1601" s="6"/>
      <c r="AB1601" s="6"/>
      <c r="AC1601" s="6"/>
      <c r="AD1601" s="6"/>
      <c r="AE1601" s="6"/>
    </row>
    <row r="1602" spans="22:31" ht="11.25" customHeight="1" x14ac:dyDescent="0.25">
      <c r="V1602" s="6"/>
      <c r="W1602" s="6"/>
      <c r="X1602" s="6"/>
      <c r="Y1602" s="6"/>
      <c r="Z1602" s="6"/>
      <c r="AA1602" s="6"/>
      <c r="AB1602" s="6"/>
      <c r="AC1602" s="6"/>
      <c r="AD1602" s="6"/>
      <c r="AE1602" s="6"/>
    </row>
    <row r="1603" spans="22:31" ht="11.25" customHeight="1" x14ac:dyDescent="0.25">
      <c r="V1603" s="6"/>
      <c r="W1603" s="6"/>
      <c r="X1603" s="6"/>
      <c r="Y1603" s="6"/>
      <c r="Z1603" s="6"/>
      <c r="AA1603" s="6"/>
      <c r="AB1603" s="6"/>
      <c r="AC1603" s="6"/>
      <c r="AD1603" s="6"/>
      <c r="AE1603" s="6"/>
    </row>
    <row r="1604" spans="22:31" ht="11.25" customHeight="1" x14ac:dyDescent="0.25">
      <c r="V1604" s="6"/>
      <c r="W1604" s="6"/>
      <c r="X1604" s="6"/>
      <c r="Y1604" s="6"/>
      <c r="Z1604" s="6"/>
      <c r="AA1604" s="6"/>
      <c r="AB1604" s="6"/>
      <c r="AC1604" s="6"/>
      <c r="AD1604" s="6"/>
      <c r="AE1604" s="6"/>
    </row>
    <row r="1605" spans="22:31" ht="11.25" customHeight="1" x14ac:dyDescent="0.25"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</row>
    <row r="1606" spans="22:31" ht="11.25" customHeight="1" x14ac:dyDescent="0.25">
      <c r="V1606" s="6"/>
      <c r="W1606" s="6"/>
      <c r="X1606" s="6"/>
      <c r="Y1606" s="6"/>
      <c r="Z1606" s="6"/>
      <c r="AA1606" s="6"/>
      <c r="AB1606" s="6"/>
      <c r="AC1606" s="6"/>
      <c r="AD1606" s="6"/>
      <c r="AE1606" s="6"/>
    </row>
    <row r="1607" spans="22:31" ht="11.25" customHeight="1" x14ac:dyDescent="0.25">
      <c r="V1607" s="6"/>
      <c r="W1607" s="6"/>
      <c r="X1607" s="6"/>
      <c r="Y1607" s="6"/>
      <c r="Z1607" s="6"/>
      <c r="AA1607" s="6"/>
      <c r="AB1607" s="6"/>
      <c r="AC1607" s="6"/>
      <c r="AD1607" s="6"/>
      <c r="AE1607" s="6"/>
    </row>
    <row r="1608" spans="22:31" ht="11.25" customHeight="1" x14ac:dyDescent="0.25">
      <c r="V1608" s="6"/>
      <c r="W1608" s="6"/>
      <c r="X1608" s="6"/>
      <c r="Y1608" s="6"/>
      <c r="Z1608" s="6"/>
      <c r="AA1608" s="6"/>
      <c r="AB1608" s="6"/>
      <c r="AC1608" s="6"/>
      <c r="AD1608" s="6"/>
      <c r="AE1608" s="6"/>
    </row>
    <row r="1609" spans="22:31" ht="11.25" customHeight="1" x14ac:dyDescent="0.25">
      <c r="V1609" s="6"/>
      <c r="W1609" s="6"/>
      <c r="X1609" s="6"/>
      <c r="Y1609" s="6"/>
      <c r="Z1609" s="6"/>
      <c r="AA1609" s="6"/>
      <c r="AB1609" s="6"/>
      <c r="AC1609" s="6"/>
      <c r="AD1609" s="6"/>
      <c r="AE1609" s="6"/>
    </row>
    <row r="1610" spans="22:31" ht="11.25" customHeight="1" x14ac:dyDescent="0.25">
      <c r="V1610" s="6"/>
      <c r="W1610" s="6"/>
      <c r="X1610" s="6"/>
      <c r="Y1610" s="6"/>
      <c r="Z1610" s="6"/>
      <c r="AA1610" s="6"/>
      <c r="AB1610" s="6"/>
      <c r="AC1610" s="6"/>
      <c r="AD1610" s="6"/>
      <c r="AE1610" s="6"/>
    </row>
    <row r="1611" spans="22:31" ht="11.25" customHeight="1" x14ac:dyDescent="0.25">
      <c r="V1611" s="6"/>
      <c r="W1611" s="6"/>
      <c r="X1611" s="6"/>
      <c r="Y1611" s="6"/>
      <c r="Z1611" s="6"/>
      <c r="AA1611" s="6"/>
      <c r="AB1611" s="6"/>
      <c r="AC1611" s="6"/>
      <c r="AD1611" s="6"/>
      <c r="AE1611" s="6"/>
    </row>
    <row r="1612" spans="22:31" ht="11.25" customHeight="1" x14ac:dyDescent="0.25"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</row>
    <row r="1613" spans="22:31" ht="11.25" customHeight="1" x14ac:dyDescent="0.25"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</row>
    <row r="1614" spans="22:31" ht="11.25" customHeight="1" x14ac:dyDescent="0.25">
      <c r="V1614" s="6"/>
      <c r="W1614" s="6"/>
      <c r="X1614" s="6"/>
      <c r="Y1614" s="6"/>
      <c r="Z1614" s="6"/>
      <c r="AA1614" s="6"/>
      <c r="AB1614" s="6"/>
      <c r="AC1614" s="6"/>
      <c r="AD1614" s="6"/>
      <c r="AE1614" s="6"/>
    </row>
    <row r="1615" spans="22:31" ht="11.25" customHeight="1" x14ac:dyDescent="0.25"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</row>
    <row r="1616" spans="22:31" ht="11.25" customHeight="1" x14ac:dyDescent="0.25"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</row>
    <row r="1617" spans="22:31" ht="11.25" customHeight="1" x14ac:dyDescent="0.25"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</row>
    <row r="1618" spans="22:31" ht="11.25" customHeight="1" x14ac:dyDescent="0.25"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</row>
    <row r="1619" spans="22:31" ht="11.25" customHeight="1" x14ac:dyDescent="0.25">
      <c r="V1619" s="6"/>
      <c r="W1619" s="6"/>
      <c r="X1619" s="6"/>
      <c r="Y1619" s="6"/>
      <c r="Z1619" s="6"/>
      <c r="AA1619" s="6"/>
      <c r="AB1619" s="6"/>
      <c r="AC1619" s="6"/>
      <c r="AD1619" s="6"/>
      <c r="AE1619" s="6"/>
    </row>
    <row r="1620" spans="22:31" ht="11.25" customHeight="1" x14ac:dyDescent="0.25">
      <c r="V1620" s="6"/>
      <c r="W1620" s="6"/>
      <c r="X1620" s="6"/>
      <c r="Y1620" s="6"/>
      <c r="Z1620" s="6"/>
      <c r="AA1620" s="6"/>
      <c r="AB1620" s="6"/>
      <c r="AC1620" s="6"/>
      <c r="AD1620" s="6"/>
      <c r="AE1620" s="6"/>
    </row>
    <row r="1621" spans="22:31" ht="11.25" customHeight="1" x14ac:dyDescent="0.25"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</row>
    <row r="1622" spans="22:31" ht="11.25" customHeight="1" x14ac:dyDescent="0.25">
      <c r="V1622" s="6"/>
      <c r="W1622" s="6"/>
      <c r="X1622" s="6"/>
      <c r="Y1622" s="6"/>
      <c r="Z1622" s="6"/>
      <c r="AA1622" s="6"/>
      <c r="AB1622" s="6"/>
      <c r="AC1622" s="6"/>
      <c r="AD1622" s="6"/>
      <c r="AE1622" s="6"/>
    </row>
    <row r="1623" spans="22:31" ht="11.25" customHeight="1" x14ac:dyDescent="0.25"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</row>
    <row r="1624" spans="22:31" ht="11.25" customHeight="1" x14ac:dyDescent="0.25"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</row>
    <row r="1625" spans="22:31" ht="11.25" customHeight="1" x14ac:dyDescent="0.25">
      <c r="V1625" s="6"/>
      <c r="W1625" s="6"/>
      <c r="X1625" s="6"/>
      <c r="Y1625" s="6"/>
      <c r="Z1625" s="6"/>
      <c r="AA1625" s="6"/>
      <c r="AB1625" s="6"/>
      <c r="AC1625" s="6"/>
      <c r="AD1625" s="6"/>
      <c r="AE1625" s="6"/>
    </row>
    <row r="1626" spans="22:31" ht="11.25" customHeight="1" x14ac:dyDescent="0.25"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</row>
    <row r="1627" spans="22:31" ht="11.25" customHeight="1" x14ac:dyDescent="0.25"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</row>
    <row r="1628" spans="22:31" ht="11.25" customHeight="1" x14ac:dyDescent="0.25"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</row>
    <row r="1629" spans="22:31" ht="11.25" customHeight="1" x14ac:dyDescent="0.25">
      <c r="V1629" s="6"/>
      <c r="W1629" s="6"/>
      <c r="X1629" s="6"/>
      <c r="Y1629" s="6"/>
      <c r="Z1629" s="6"/>
      <c r="AA1629" s="6"/>
      <c r="AB1629" s="6"/>
      <c r="AC1629" s="6"/>
      <c r="AD1629" s="6"/>
      <c r="AE1629" s="6"/>
    </row>
    <row r="1630" spans="22:31" ht="11.25" customHeight="1" x14ac:dyDescent="0.25">
      <c r="V1630" s="6"/>
      <c r="W1630" s="6"/>
      <c r="X1630" s="6"/>
      <c r="Y1630" s="6"/>
      <c r="Z1630" s="6"/>
      <c r="AA1630" s="6"/>
      <c r="AB1630" s="6"/>
      <c r="AC1630" s="6"/>
      <c r="AD1630" s="6"/>
      <c r="AE1630" s="6"/>
    </row>
    <row r="1631" spans="22:31" ht="11.25" customHeight="1" x14ac:dyDescent="0.25">
      <c r="V1631" s="6"/>
      <c r="W1631" s="6"/>
      <c r="X1631" s="6"/>
      <c r="Y1631" s="6"/>
      <c r="Z1631" s="6"/>
      <c r="AA1631" s="6"/>
      <c r="AB1631" s="6"/>
      <c r="AC1631" s="6"/>
      <c r="AD1631" s="6"/>
      <c r="AE1631" s="6"/>
    </row>
    <row r="1632" spans="22:31" ht="11.25" customHeight="1" x14ac:dyDescent="0.25">
      <c r="V1632" s="6"/>
      <c r="W1632" s="6"/>
      <c r="X1632" s="6"/>
      <c r="Y1632" s="6"/>
      <c r="Z1632" s="6"/>
      <c r="AA1632" s="6"/>
      <c r="AB1632" s="6"/>
      <c r="AC1632" s="6"/>
      <c r="AD1632" s="6"/>
      <c r="AE1632" s="6"/>
    </row>
    <row r="1633" spans="22:31" ht="11.25" customHeight="1" x14ac:dyDescent="0.25"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</row>
    <row r="1634" spans="22:31" ht="11.25" customHeight="1" x14ac:dyDescent="0.25">
      <c r="V1634" s="6"/>
      <c r="W1634" s="6"/>
      <c r="X1634" s="6"/>
      <c r="Y1634" s="6"/>
      <c r="Z1634" s="6"/>
      <c r="AA1634" s="6"/>
      <c r="AB1634" s="6"/>
      <c r="AC1634" s="6"/>
      <c r="AD1634" s="6"/>
      <c r="AE1634" s="6"/>
    </row>
    <row r="1635" spans="22:31" ht="11.25" customHeight="1" x14ac:dyDescent="0.25">
      <c r="V1635" s="6"/>
      <c r="W1635" s="6"/>
      <c r="X1635" s="6"/>
      <c r="Y1635" s="6"/>
      <c r="Z1635" s="6"/>
      <c r="AA1635" s="6"/>
      <c r="AB1635" s="6"/>
      <c r="AC1635" s="6"/>
      <c r="AD1635" s="6"/>
      <c r="AE1635" s="6"/>
    </row>
    <row r="1636" spans="22:31" ht="11.25" customHeight="1" x14ac:dyDescent="0.25">
      <c r="V1636" s="6"/>
      <c r="W1636" s="6"/>
      <c r="X1636" s="6"/>
      <c r="Y1636" s="6"/>
      <c r="Z1636" s="6"/>
      <c r="AA1636" s="6"/>
      <c r="AB1636" s="6"/>
      <c r="AC1636" s="6"/>
      <c r="AD1636" s="6"/>
      <c r="AE1636" s="6"/>
    </row>
    <row r="1637" spans="22:31" ht="11.25" customHeight="1" x14ac:dyDescent="0.25">
      <c r="V1637" s="6"/>
      <c r="W1637" s="6"/>
      <c r="X1637" s="6"/>
      <c r="Y1637" s="6"/>
      <c r="Z1637" s="6"/>
      <c r="AA1637" s="6"/>
      <c r="AB1637" s="6"/>
      <c r="AC1637" s="6"/>
      <c r="AD1637" s="6"/>
      <c r="AE1637" s="6"/>
    </row>
    <row r="1638" spans="22:31" ht="11.25" customHeight="1" x14ac:dyDescent="0.25">
      <c r="V1638" s="6"/>
      <c r="W1638" s="6"/>
      <c r="X1638" s="6"/>
      <c r="Y1638" s="6"/>
      <c r="Z1638" s="6"/>
      <c r="AA1638" s="6"/>
      <c r="AB1638" s="6"/>
      <c r="AC1638" s="6"/>
      <c r="AD1638" s="6"/>
      <c r="AE1638" s="6"/>
    </row>
    <row r="1639" spans="22:31" ht="11.25" customHeight="1" x14ac:dyDescent="0.25">
      <c r="V1639" s="6"/>
      <c r="W1639" s="6"/>
      <c r="X1639" s="6"/>
      <c r="Y1639" s="6"/>
      <c r="Z1639" s="6"/>
      <c r="AA1639" s="6"/>
      <c r="AB1639" s="6"/>
      <c r="AC1639" s="6"/>
      <c r="AD1639" s="6"/>
      <c r="AE1639" s="6"/>
    </row>
    <row r="1640" spans="22:31" ht="11.25" customHeight="1" x14ac:dyDescent="0.25"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</row>
    <row r="1641" spans="22:31" ht="11.25" customHeight="1" x14ac:dyDescent="0.25">
      <c r="V1641" s="6"/>
      <c r="W1641" s="6"/>
      <c r="X1641" s="6"/>
      <c r="Y1641" s="6"/>
      <c r="Z1641" s="6"/>
      <c r="AA1641" s="6"/>
      <c r="AB1641" s="6"/>
      <c r="AC1641" s="6"/>
      <c r="AD1641" s="6"/>
      <c r="AE1641" s="6"/>
    </row>
    <row r="1642" spans="22:31" ht="11.25" customHeight="1" x14ac:dyDescent="0.25">
      <c r="V1642" s="6"/>
      <c r="W1642" s="6"/>
      <c r="X1642" s="6"/>
      <c r="Y1642" s="6"/>
      <c r="Z1642" s="6"/>
      <c r="AA1642" s="6"/>
      <c r="AB1642" s="6"/>
      <c r="AC1642" s="6"/>
      <c r="AD1642" s="6"/>
      <c r="AE1642" s="6"/>
    </row>
    <row r="1643" spans="22:31" ht="11.25" customHeight="1" x14ac:dyDescent="0.25">
      <c r="V1643" s="6"/>
      <c r="W1643" s="6"/>
      <c r="X1643" s="6"/>
      <c r="Y1643" s="6"/>
      <c r="Z1643" s="6"/>
      <c r="AA1643" s="6"/>
      <c r="AB1643" s="6"/>
      <c r="AC1643" s="6"/>
      <c r="AD1643" s="6"/>
      <c r="AE1643" s="6"/>
    </row>
    <row r="1644" spans="22:31" ht="11.25" customHeight="1" x14ac:dyDescent="0.25"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</row>
    <row r="1645" spans="22:31" ht="11.25" customHeight="1" x14ac:dyDescent="0.25"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</row>
    <row r="1646" spans="22:31" ht="11.25" customHeight="1" x14ac:dyDescent="0.25"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</row>
    <row r="1647" spans="22:31" ht="11.25" customHeight="1" x14ac:dyDescent="0.25"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</row>
    <row r="1648" spans="22:31" ht="11.25" customHeight="1" x14ac:dyDescent="0.25">
      <c r="V1648" s="6"/>
      <c r="W1648" s="6"/>
      <c r="X1648" s="6"/>
      <c r="Y1648" s="6"/>
      <c r="Z1648" s="6"/>
      <c r="AA1648" s="6"/>
      <c r="AB1648" s="6"/>
      <c r="AC1648" s="6"/>
      <c r="AD1648" s="6"/>
      <c r="AE1648" s="6"/>
    </row>
    <row r="1649" spans="22:31" ht="11.25" customHeight="1" x14ac:dyDescent="0.25"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</row>
    <row r="1650" spans="22:31" ht="11.25" customHeight="1" x14ac:dyDescent="0.25"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</row>
    <row r="1651" spans="22:31" ht="11.25" customHeight="1" x14ac:dyDescent="0.25"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</row>
    <row r="1652" spans="22:31" ht="11.25" customHeight="1" x14ac:dyDescent="0.25">
      <c r="V1652" s="6"/>
      <c r="W1652" s="6"/>
      <c r="X1652" s="6"/>
      <c r="Y1652" s="6"/>
      <c r="Z1652" s="6"/>
      <c r="AA1652" s="6"/>
      <c r="AB1652" s="6"/>
      <c r="AC1652" s="6"/>
      <c r="AD1652" s="6"/>
      <c r="AE1652" s="6"/>
    </row>
    <row r="1653" spans="22:31" ht="11.25" customHeight="1" x14ac:dyDescent="0.25"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</row>
    <row r="1654" spans="22:31" ht="11.25" customHeight="1" x14ac:dyDescent="0.25"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</row>
    <row r="1655" spans="22:31" ht="11.25" customHeight="1" x14ac:dyDescent="0.25"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</row>
    <row r="1656" spans="22:31" ht="11.25" customHeight="1" x14ac:dyDescent="0.25">
      <c r="V1656" s="6"/>
      <c r="W1656" s="6"/>
      <c r="X1656" s="6"/>
      <c r="Y1656" s="6"/>
      <c r="Z1656" s="6"/>
      <c r="AA1656" s="6"/>
      <c r="AB1656" s="6"/>
      <c r="AC1656" s="6"/>
      <c r="AD1656" s="6"/>
      <c r="AE1656" s="6"/>
    </row>
    <row r="1657" spans="22:31" ht="11.25" customHeight="1" x14ac:dyDescent="0.25"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</row>
    <row r="1658" spans="22:31" ht="11.25" customHeight="1" x14ac:dyDescent="0.25">
      <c r="V1658" s="6"/>
      <c r="W1658" s="6"/>
      <c r="X1658" s="6"/>
      <c r="Y1658" s="6"/>
      <c r="Z1658" s="6"/>
      <c r="AA1658" s="6"/>
      <c r="AB1658" s="6"/>
      <c r="AC1658" s="6"/>
      <c r="AD1658" s="6"/>
      <c r="AE1658" s="6"/>
    </row>
    <row r="1659" spans="22:31" ht="11.25" customHeight="1" x14ac:dyDescent="0.25"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</row>
    <row r="1660" spans="22:31" ht="11.25" customHeight="1" x14ac:dyDescent="0.25">
      <c r="V1660" s="6"/>
      <c r="W1660" s="6"/>
      <c r="X1660" s="6"/>
      <c r="Y1660" s="6"/>
      <c r="Z1660" s="6"/>
      <c r="AA1660" s="6"/>
      <c r="AB1660" s="6"/>
      <c r="AC1660" s="6"/>
      <c r="AD1660" s="6"/>
      <c r="AE1660" s="6"/>
    </row>
    <row r="1661" spans="22:31" ht="11.25" customHeight="1" x14ac:dyDescent="0.25">
      <c r="V1661" s="6"/>
      <c r="W1661" s="6"/>
      <c r="X1661" s="6"/>
      <c r="Y1661" s="6"/>
      <c r="Z1661" s="6"/>
      <c r="AA1661" s="6"/>
      <c r="AB1661" s="6"/>
      <c r="AC1661" s="6"/>
      <c r="AD1661" s="6"/>
      <c r="AE1661" s="6"/>
    </row>
    <row r="1662" spans="22:31" ht="11.25" customHeight="1" x14ac:dyDescent="0.25">
      <c r="V1662" s="6"/>
      <c r="W1662" s="6"/>
      <c r="X1662" s="6"/>
      <c r="Y1662" s="6"/>
      <c r="Z1662" s="6"/>
      <c r="AA1662" s="6"/>
      <c r="AB1662" s="6"/>
      <c r="AC1662" s="6"/>
      <c r="AD1662" s="6"/>
      <c r="AE1662" s="6"/>
    </row>
    <row r="1663" spans="22:31" ht="11.25" customHeight="1" x14ac:dyDescent="0.25"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</row>
    <row r="1664" spans="22:31" ht="11.25" customHeight="1" x14ac:dyDescent="0.25"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</row>
    <row r="1665" spans="22:31" ht="11.25" customHeight="1" x14ac:dyDescent="0.25"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</row>
    <row r="1666" spans="22:31" ht="11.25" customHeight="1" x14ac:dyDescent="0.25"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</row>
    <row r="1667" spans="22:31" ht="11.25" customHeight="1" x14ac:dyDescent="0.25"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</row>
    <row r="1668" spans="22:31" ht="11.25" customHeight="1" x14ac:dyDescent="0.25"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</row>
    <row r="1669" spans="22:31" ht="11.25" customHeight="1" x14ac:dyDescent="0.25"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</row>
    <row r="1670" spans="22:31" ht="11.25" customHeight="1" x14ac:dyDescent="0.25"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</row>
    <row r="1671" spans="22:31" ht="11.25" customHeight="1" x14ac:dyDescent="0.25"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</row>
    <row r="1672" spans="22:31" ht="11.25" customHeight="1" x14ac:dyDescent="0.25"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</row>
    <row r="1673" spans="22:31" ht="11.25" customHeight="1" x14ac:dyDescent="0.25"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</row>
    <row r="1674" spans="22:31" ht="11.25" customHeight="1" x14ac:dyDescent="0.25">
      <c r="V1674" s="6"/>
      <c r="W1674" s="6"/>
      <c r="X1674" s="6"/>
      <c r="Y1674" s="6"/>
      <c r="Z1674" s="6"/>
      <c r="AA1674" s="6"/>
      <c r="AB1674" s="6"/>
      <c r="AC1674" s="6"/>
      <c r="AD1674" s="6"/>
      <c r="AE1674" s="6"/>
    </row>
    <row r="1675" spans="22:31" ht="11.25" customHeight="1" x14ac:dyDescent="0.25"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</row>
    <row r="1676" spans="22:31" ht="11.25" customHeight="1" x14ac:dyDescent="0.25"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</row>
    <row r="1677" spans="22:31" ht="11.25" customHeight="1" x14ac:dyDescent="0.25"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</row>
    <row r="1678" spans="22:31" ht="11.25" customHeight="1" x14ac:dyDescent="0.25">
      <c r="V1678" s="6"/>
      <c r="W1678" s="6"/>
      <c r="X1678" s="6"/>
      <c r="Y1678" s="6"/>
      <c r="Z1678" s="6"/>
      <c r="AA1678" s="6"/>
      <c r="AB1678" s="6"/>
      <c r="AC1678" s="6"/>
      <c r="AD1678" s="6"/>
      <c r="AE1678" s="6"/>
    </row>
    <row r="1679" spans="22:31" ht="11.25" customHeight="1" x14ac:dyDescent="0.25"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</row>
    <row r="1680" spans="22:31" ht="11.25" customHeight="1" x14ac:dyDescent="0.25"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</row>
    <row r="1681" spans="22:31" ht="11.25" customHeight="1" x14ac:dyDescent="0.25">
      <c r="V1681" s="6"/>
      <c r="W1681" s="6"/>
      <c r="X1681" s="6"/>
      <c r="Y1681" s="6"/>
      <c r="Z1681" s="6"/>
      <c r="AA1681" s="6"/>
      <c r="AB1681" s="6"/>
      <c r="AC1681" s="6"/>
      <c r="AD1681" s="6"/>
      <c r="AE1681" s="6"/>
    </row>
    <row r="1682" spans="22:31" ht="11.25" customHeight="1" x14ac:dyDescent="0.25">
      <c r="V1682" s="6"/>
      <c r="W1682" s="6"/>
      <c r="X1682" s="6"/>
      <c r="Y1682" s="6"/>
      <c r="Z1682" s="6"/>
      <c r="AA1682" s="6"/>
      <c r="AB1682" s="6"/>
      <c r="AC1682" s="6"/>
      <c r="AD1682" s="6"/>
      <c r="AE1682" s="6"/>
    </row>
    <row r="1683" spans="22:31" ht="11.25" customHeight="1" x14ac:dyDescent="0.25"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</row>
    <row r="1684" spans="22:31" ht="11.25" customHeight="1" x14ac:dyDescent="0.25"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</row>
    <row r="1685" spans="22:31" ht="11.25" customHeight="1" x14ac:dyDescent="0.25">
      <c r="V1685" s="6"/>
      <c r="W1685" s="6"/>
      <c r="X1685" s="6"/>
      <c r="Y1685" s="6"/>
      <c r="Z1685" s="6"/>
      <c r="AA1685" s="6"/>
      <c r="AB1685" s="6"/>
      <c r="AC1685" s="6"/>
      <c r="AD1685" s="6"/>
      <c r="AE1685" s="6"/>
    </row>
    <row r="1686" spans="22:31" ht="11.25" customHeight="1" x14ac:dyDescent="0.25">
      <c r="V1686" s="6"/>
      <c r="W1686" s="6"/>
      <c r="X1686" s="6"/>
      <c r="Y1686" s="6"/>
      <c r="Z1686" s="6"/>
      <c r="AA1686" s="6"/>
      <c r="AB1686" s="6"/>
      <c r="AC1686" s="6"/>
      <c r="AD1686" s="6"/>
      <c r="AE1686" s="6"/>
    </row>
    <row r="1687" spans="22:31" ht="11.25" customHeight="1" x14ac:dyDescent="0.25">
      <c r="V1687" s="6"/>
      <c r="W1687" s="6"/>
      <c r="X1687" s="6"/>
      <c r="Y1687" s="6"/>
      <c r="Z1687" s="6"/>
      <c r="AA1687" s="6"/>
      <c r="AB1687" s="6"/>
      <c r="AC1687" s="6"/>
      <c r="AD1687" s="6"/>
      <c r="AE1687" s="6"/>
    </row>
    <row r="1688" spans="22:31" ht="11.25" customHeight="1" x14ac:dyDescent="0.25">
      <c r="V1688" s="6"/>
      <c r="W1688" s="6"/>
      <c r="X1688" s="6"/>
      <c r="Y1688" s="6"/>
      <c r="Z1688" s="6"/>
      <c r="AA1688" s="6"/>
      <c r="AB1688" s="6"/>
      <c r="AC1688" s="6"/>
      <c r="AD1688" s="6"/>
      <c r="AE1688" s="6"/>
    </row>
    <row r="1689" spans="22:31" ht="11.25" customHeight="1" x14ac:dyDescent="0.25"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</row>
    <row r="1690" spans="22:31" ht="11.25" customHeight="1" x14ac:dyDescent="0.25"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</row>
    <row r="1691" spans="22:31" ht="11.25" customHeight="1" x14ac:dyDescent="0.25">
      <c r="V1691" s="6"/>
      <c r="W1691" s="6"/>
      <c r="X1691" s="6"/>
      <c r="Y1691" s="6"/>
      <c r="Z1691" s="6"/>
      <c r="AA1691" s="6"/>
      <c r="AB1691" s="6"/>
      <c r="AC1691" s="6"/>
      <c r="AD1691" s="6"/>
      <c r="AE1691" s="6"/>
    </row>
    <row r="1692" spans="22:31" ht="11.25" customHeight="1" x14ac:dyDescent="0.25"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</row>
    <row r="1693" spans="22:31" ht="11.25" customHeight="1" x14ac:dyDescent="0.25"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</row>
    <row r="1694" spans="22:31" ht="11.25" customHeight="1" x14ac:dyDescent="0.25">
      <c r="V1694" s="6"/>
      <c r="W1694" s="6"/>
      <c r="X1694" s="6"/>
      <c r="Y1694" s="6"/>
      <c r="Z1694" s="6"/>
      <c r="AA1694" s="6"/>
      <c r="AB1694" s="6"/>
      <c r="AC1694" s="6"/>
      <c r="AD1694" s="6"/>
      <c r="AE1694" s="6"/>
    </row>
    <row r="1695" spans="22:31" ht="11.25" customHeight="1" x14ac:dyDescent="0.25">
      <c r="V1695" s="6"/>
      <c r="W1695" s="6"/>
      <c r="X1695" s="6"/>
      <c r="Y1695" s="6"/>
      <c r="Z1695" s="6"/>
      <c r="AA1695" s="6"/>
      <c r="AB1695" s="6"/>
      <c r="AC1695" s="6"/>
      <c r="AD1695" s="6"/>
      <c r="AE1695" s="6"/>
    </row>
    <row r="1696" spans="22:31" ht="11.25" customHeight="1" x14ac:dyDescent="0.25"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</row>
    <row r="1697" spans="22:31" ht="11.25" customHeight="1" x14ac:dyDescent="0.25">
      <c r="V1697" s="6"/>
      <c r="W1697" s="6"/>
      <c r="X1697" s="6"/>
      <c r="Y1697" s="6"/>
      <c r="Z1697" s="6"/>
      <c r="AA1697" s="6"/>
      <c r="AB1697" s="6"/>
      <c r="AC1697" s="6"/>
      <c r="AD1697" s="6"/>
      <c r="AE1697" s="6"/>
    </row>
    <row r="1698" spans="22:31" ht="11.25" customHeight="1" x14ac:dyDescent="0.25"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</row>
    <row r="1699" spans="22:31" ht="11.25" customHeight="1" x14ac:dyDescent="0.25"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</row>
    <row r="1700" spans="22:31" ht="11.25" customHeight="1" x14ac:dyDescent="0.25">
      <c r="V1700" s="6"/>
      <c r="W1700" s="6"/>
      <c r="X1700" s="6"/>
      <c r="Y1700" s="6"/>
      <c r="Z1700" s="6"/>
      <c r="AA1700" s="6"/>
      <c r="AB1700" s="6"/>
      <c r="AC1700" s="6"/>
      <c r="AD1700" s="6"/>
      <c r="AE1700" s="6"/>
    </row>
    <row r="1701" spans="22:31" ht="11.25" customHeight="1" x14ac:dyDescent="0.25"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</row>
    <row r="1702" spans="22:31" ht="11.25" customHeight="1" x14ac:dyDescent="0.25">
      <c r="V1702" s="6"/>
      <c r="W1702" s="6"/>
      <c r="X1702" s="6"/>
      <c r="Y1702" s="6"/>
      <c r="Z1702" s="6"/>
      <c r="AA1702" s="6"/>
      <c r="AB1702" s="6"/>
      <c r="AC1702" s="6"/>
      <c r="AD1702" s="6"/>
      <c r="AE1702" s="6"/>
    </row>
    <row r="1703" spans="22:31" ht="11.25" customHeight="1" x14ac:dyDescent="0.25"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</row>
    <row r="1704" spans="22:31" ht="11.25" customHeight="1" x14ac:dyDescent="0.25">
      <c r="V1704" s="6"/>
      <c r="W1704" s="6"/>
      <c r="X1704" s="6"/>
      <c r="Y1704" s="6"/>
      <c r="Z1704" s="6"/>
      <c r="AA1704" s="6"/>
      <c r="AB1704" s="6"/>
      <c r="AC1704" s="6"/>
      <c r="AD1704" s="6"/>
      <c r="AE1704" s="6"/>
    </row>
    <row r="1705" spans="22:31" ht="11.25" customHeight="1" x14ac:dyDescent="0.25"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</row>
    <row r="1706" spans="22:31" ht="11.25" customHeight="1" x14ac:dyDescent="0.25"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</row>
    <row r="1707" spans="22:31" ht="11.25" customHeight="1" x14ac:dyDescent="0.25">
      <c r="V1707" s="6"/>
      <c r="W1707" s="6"/>
      <c r="X1707" s="6"/>
      <c r="Y1707" s="6"/>
      <c r="Z1707" s="6"/>
      <c r="AA1707" s="6"/>
      <c r="AB1707" s="6"/>
      <c r="AC1707" s="6"/>
      <c r="AD1707" s="6"/>
      <c r="AE1707" s="6"/>
    </row>
    <row r="1708" spans="22:31" ht="11.25" customHeight="1" x14ac:dyDescent="0.25"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</row>
    <row r="1709" spans="22:31" ht="11.25" customHeight="1" x14ac:dyDescent="0.25">
      <c r="V1709" s="6"/>
      <c r="W1709" s="6"/>
      <c r="X1709" s="6"/>
      <c r="Y1709" s="6"/>
      <c r="Z1709" s="6"/>
      <c r="AA1709" s="6"/>
      <c r="AB1709" s="6"/>
      <c r="AC1709" s="6"/>
      <c r="AD1709" s="6"/>
      <c r="AE1709" s="6"/>
    </row>
    <row r="1710" spans="22:31" ht="11.25" customHeight="1" x14ac:dyDescent="0.25"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</row>
    <row r="1711" spans="22:31" ht="11.25" customHeight="1" x14ac:dyDescent="0.25"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</row>
    <row r="1712" spans="22:31" ht="11.25" customHeight="1" x14ac:dyDescent="0.25"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</row>
    <row r="1713" spans="22:31" ht="11.25" customHeight="1" x14ac:dyDescent="0.25"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</row>
    <row r="1714" spans="22:31" ht="11.25" customHeight="1" x14ac:dyDescent="0.25"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</row>
    <row r="1715" spans="22:31" ht="11.25" customHeight="1" x14ac:dyDescent="0.25">
      <c r="V1715" s="6"/>
      <c r="W1715" s="6"/>
      <c r="X1715" s="6"/>
      <c r="Y1715" s="6"/>
      <c r="Z1715" s="6"/>
      <c r="AA1715" s="6"/>
      <c r="AB1715" s="6"/>
      <c r="AC1715" s="6"/>
      <c r="AD1715" s="6"/>
      <c r="AE1715" s="6"/>
    </row>
    <row r="1716" spans="22:31" ht="11.25" customHeight="1" x14ac:dyDescent="0.25">
      <c r="V1716" s="6"/>
      <c r="W1716" s="6"/>
      <c r="X1716" s="6"/>
      <c r="Y1716" s="6"/>
      <c r="Z1716" s="6"/>
      <c r="AA1716" s="6"/>
      <c r="AB1716" s="6"/>
      <c r="AC1716" s="6"/>
      <c r="AD1716" s="6"/>
      <c r="AE1716" s="6"/>
    </row>
    <row r="1717" spans="22:31" ht="11.25" customHeight="1" x14ac:dyDescent="0.25">
      <c r="V1717" s="6"/>
      <c r="W1717" s="6"/>
      <c r="X1717" s="6"/>
      <c r="Y1717" s="6"/>
      <c r="Z1717" s="6"/>
      <c r="AA1717" s="6"/>
      <c r="AB1717" s="6"/>
      <c r="AC1717" s="6"/>
      <c r="AD1717" s="6"/>
      <c r="AE1717" s="6"/>
    </row>
    <row r="1718" spans="22:31" ht="11.25" customHeight="1" x14ac:dyDescent="0.25">
      <c r="V1718" s="6"/>
      <c r="W1718" s="6"/>
      <c r="X1718" s="6"/>
      <c r="Y1718" s="6"/>
      <c r="Z1718" s="6"/>
      <c r="AA1718" s="6"/>
      <c r="AB1718" s="6"/>
      <c r="AC1718" s="6"/>
      <c r="AD1718" s="6"/>
      <c r="AE1718" s="6"/>
    </row>
    <row r="1719" spans="22:31" ht="11.25" customHeight="1" x14ac:dyDescent="0.25">
      <c r="V1719" s="6"/>
      <c r="W1719" s="6"/>
      <c r="X1719" s="6"/>
      <c r="Y1719" s="6"/>
      <c r="Z1719" s="6"/>
      <c r="AA1719" s="6"/>
      <c r="AB1719" s="6"/>
      <c r="AC1719" s="6"/>
      <c r="AD1719" s="6"/>
      <c r="AE1719" s="6"/>
    </row>
    <row r="1720" spans="22:31" ht="11.25" customHeight="1" x14ac:dyDescent="0.25">
      <c r="V1720" s="6"/>
      <c r="W1720" s="6"/>
      <c r="X1720" s="6"/>
      <c r="Y1720" s="6"/>
      <c r="Z1720" s="6"/>
      <c r="AA1720" s="6"/>
      <c r="AB1720" s="6"/>
      <c r="AC1720" s="6"/>
      <c r="AD1720" s="6"/>
      <c r="AE1720" s="6"/>
    </row>
    <row r="1721" spans="22:31" ht="11.25" customHeight="1" x14ac:dyDescent="0.25">
      <c r="V1721" s="6"/>
      <c r="W1721" s="6"/>
      <c r="X1721" s="6"/>
      <c r="Y1721" s="6"/>
      <c r="Z1721" s="6"/>
      <c r="AA1721" s="6"/>
      <c r="AB1721" s="6"/>
      <c r="AC1721" s="6"/>
      <c r="AD1721" s="6"/>
      <c r="AE1721" s="6"/>
    </row>
    <row r="1722" spans="22:31" ht="11.25" customHeight="1" x14ac:dyDescent="0.25">
      <c r="V1722" s="6"/>
      <c r="W1722" s="6"/>
      <c r="X1722" s="6"/>
      <c r="Y1722" s="6"/>
      <c r="Z1722" s="6"/>
      <c r="AA1722" s="6"/>
      <c r="AB1722" s="6"/>
      <c r="AC1722" s="6"/>
      <c r="AD1722" s="6"/>
      <c r="AE1722" s="6"/>
    </row>
    <row r="1723" spans="22:31" ht="11.25" customHeight="1" x14ac:dyDescent="0.25">
      <c r="V1723" s="6"/>
      <c r="W1723" s="6"/>
      <c r="X1723" s="6"/>
      <c r="Y1723" s="6"/>
      <c r="Z1723" s="6"/>
      <c r="AA1723" s="6"/>
      <c r="AB1723" s="6"/>
      <c r="AC1723" s="6"/>
      <c r="AD1723" s="6"/>
      <c r="AE1723" s="6"/>
    </row>
    <row r="1724" spans="22:31" ht="11.25" customHeight="1" x14ac:dyDescent="0.25">
      <c r="V1724" s="6"/>
      <c r="W1724" s="6"/>
      <c r="X1724" s="6"/>
      <c r="Y1724" s="6"/>
      <c r="Z1724" s="6"/>
      <c r="AA1724" s="6"/>
      <c r="AB1724" s="6"/>
      <c r="AC1724" s="6"/>
      <c r="AD1724" s="6"/>
      <c r="AE1724" s="6"/>
    </row>
    <row r="1725" spans="22:31" ht="11.25" customHeight="1" x14ac:dyDescent="0.25"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</row>
    <row r="1726" spans="22:31" ht="11.25" customHeight="1" x14ac:dyDescent="0.25">
      <c r="V1726" s="6"/>
      <c r="W1726" s="6"/>
      <c r="X1726" s="6"/>
      <c r="Y1726" s="6"/>
      <c r="Z1726" s="6"/>
      <c r="AA1726" s="6"/>
      <c r="AB1726" s="6"/>
      <c r="AC1726" s="6"/>
      <c r="AD1726" s="6"/>
      <c r="AE1726" s="6"/>
    </row>
    <row r="1727" spans="22:31" ht="11.25" customHeight="1" x14ac:dyDescent="0.25">
      <c r="V1727" s="6"/>
      <c r="W1727" s="6"/>
      <c r="X1727" s="6"/>
      <c r="Y1727" s="6"/>
      <c r="Z1727" s="6"/>
      <c r="AA1727" s="6"/>
      <c r="AB1727" s="6"/>
      <c r="AC1727" s="6"/>
      <c r="AD1727" s="6"/>
      <c r="AE1727" s="6"/>
    </row>
    <row r="1728" spans="22:31" ht="11.25" customHeight="1" x14ac:dyDescent="0.25"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</row>
    <row r="1729" spans="22:31" ht="11.25" customHeight="1" x14ac:dyDescent="0.25">
      <c r="V1729" s="6"/>
      <c r="W1729" s="6"/>
      <c r="X1729" s="6"/>
      <c r="Y1729" s="6"/>
      <c r="Z1729" s="6"/>
      <c r="AA1729" s="6"/>
      <c r="AB1729" s="6"/>
      <c r="AC1729" s="6"/>
      <c r="AD1729" s="6"/>
      <c r="AE1729" s="6"/>
    </row>
    <row r="1730" spans="22:31" ht="11.25" customHeight="1" x14ac:dyDescent="0.25">
      <c r="V1730" s="6"/>
      <c r="W1730" s="6"/>
      <c r="X1730" s="6"/>
      <c r="Y1730" s="6"/>
      <c r="Z1730" s="6"/>
      <c r="AA1730" s="6"/>
      <c r="AB1730" s="6"/>
      <c r="AC1730" s="6"/>
      <c r="AD1730" s="6"/>
      <c r="AE1730" s="6"/>
    </row>
    <row r="1731" spans="22:31" ht="11.25" customHeight="1" x14ac:dyDescent="0.25">
      <c r="V1731" s="6"/>
      <c r="W1731" s="6"/>
      <c r="X1731" s="6"/>
      <c r="Y1731" s="6"/>
      <c r="Z1731" s="6"/>
      <c r="AA1731" s="6"/>
      <c r="AB1731" s="6"/>
      <c r="AC1731" s="6"/>
      <c r="AD1731" s="6"/>
      <c r="AE1731" s="6"/>
    </row>
    <row r="1732" spans="22:31" ht="11.25" customHeight="1" x14ac:dyDescent="0.25">
      <c r="V1732" s="6"/>
      <c r="W1732" s="6"/>
      <c r="X1732" s="6"/>
      <c r="Y1732" s="6"/>
      <c r="Z1732" s="6"/>
      <c r="AA1732" s="6"/>
      <c r="AB1732" s="6"/>
      <c r="AC1732" s="6"/>
      <c r="AD1732" s="6"/>
      <c r="AE1732" s="6"/>
    </row>
    <row r="1733" spans="22:31" ht="11.25" customHeight="1" x14ac:dyDescent="0.25"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</row>
    <row r="1734" spans="22:31" ht="11.25" customHeight="1" x14ac:dyDescent="0.25">
      <c r="V1734" s="6"/>
      <c r="W1734" s="6"/>
      <c r="X1734" s="6"/>
      <c r="Y1734" s="6"/>
      <c r="Z1734" s="6"/>
      <c r="AA1734" s="6"/>
      <c r="AB1734" s="6"/>
      <c r="AC1734" s="6"/>
      <c r="AD1734" s="6"/>
      <c r="AE1734" s="6"/>
    </row>
    <row r="1735" spans="22:31" ht="11.25" customHeight="1" x14ac:dyDescent="0.25">
      <c r="V1735" s="6"/>
      <c r="W1735" s="6"/>
      <c r="X1735" s="6"/>
      <c r="Y1735" s="6"/>
      <c r="Z1735" s="6"/>
      <c r="AA1735" s="6"/>
      <c r="AB1735" s="6"/>
      <c r="AC1735" s="6"/>
      <c r="AD1735" s="6"/>
      <c r="AE1735" s="6"/>
    </row>
    <row r="1736" spans="22:31" ht="11.25" customHeight="1" x14ac:dyDescent="0.25">
      <c r="V1736" s="6"/>
      <c r="W1736" s="6"/>
      <c r="X1736" s="6"/>
      <c r="Y1736" s="6"/>
      <c r="Z1736" s="6"/>
      <c r="AA1736" s="6"/>
      <c r="AB1736" s="6"/>
      <c r="AC1736" s="6"/>
      <c r="AD1736" s="6"/>
      <c r="AE1736" s="6"/>
    </row>
    <row r="1737" spans="22:31" ht="11.25" customHeight="1" x14ac:dyDescent="0.25">
      <c r="V1737" s="6"/>
      <c r="W1737" s="6"/>
      <c r="X1737" s="6"/>
      <c r="Y1737" s="6"/>
      <c r="Z1737" s="6"/>
      <c r="AA1737" s="6"/>
      <c r="AB1737" s="6"/>
      <c r="AC1737" s="6"/>
      <c r="AD1737" s="6"/>
      <c r="AE1737" s="6"/>
    </row>
    <row r="1738" spans="22:31" ht="11.25" customHeight="1" x14ac:dyDescent="0.25">
      <c r="V1738" s="6"/>
      <c r="W1738" s="6"/>
      <c r="X1738" s="6"/>
      <c r="Y1738" s="6"/>
      <c r="Z1738" s="6"/>
      <c r="AA1738" s="6"/>
      <c r="AB1738" s="6"/>
      <c r="AC1738" s="6"/>
      <c r="AD1738" s="6"/>
      <c r="AE1738" s="6"/>
    </row>
    <row r="1739" spans="22:31" ht="11.25" customHeight="1" x14ac:dyDescent="0.25">
      <c r="V1739" s="6"/>
      <c r="W1739" s="6"/>
      <c r="X1739" s="6"/>
      <c r="Y1739" s="6"/>
      <c r="Z1739" s="6"/>
      <c r="AA1739" s="6"/>
      <c r="AB1739" s="6"/>
      <c r="AC1739" s="6"/>
      <c r="AD1739" s="6"/>
      <c r="AE1739" s="6"/>
    </row>
    <row r="1740" spans="22:31" ht="11.25" customHeight="1" x14ac:dyDescent="0.25">
      <c r="V1740" s="6"/>
      <c r="W1740" s="6"/>
      <c r="X1740" s="6"/>
      <c r="Y1740" s="6"/>
      <c r="Z1740" s="6"/>
      <c r="AA1740" s="6"/>
      <c r="AB1740" s="6"/>
      <c r="AC1740" s="6"/>
      <c r="AD1740" s="6"/>
      <c r="AE1740" s="6"/>
    </row>
    <row r="1741" spans="22:31" ht="11.25" customHeight="1" x14ac:dyDescent="0.25">
      <c r="V1741" s="6"/>
      <c r="W1741" s="6"/>
      <c r="X1741" s="6"/>
      <c r="Y1741" s="6"/>
      <c r="Z1741" s="6"/>
      <c r="AA1741" s="6"/>
      <c r="AB1741" s="6"/>
      <c r="AC1741" s="6"/>
      <c r="AD1741" s="6"/>
      <c r="AE1741" s="6"/>
    </row>
    <row r="1742" spans="22:31" ht="11.25" customHeight="1" x14ac:dyDescent="0.25">
      <c r="V1742" s="6"/>
      <c r="W1742" s="6"/>
      <c r="X1742" s="6"/>
      <c r="Y1742" s="6"/>
      <c r="Z1742" s="6"/>
      <c r="AA1742" s="6"/>
      <c r="AB1742" s="6"/>
      <c r="AC1742" s="6"/>
      <c r="AD1742" s="6"/>
      <c r="AE1742" s="6"/>
    </row>
    <row r="1743" spans="22:31" ht="11.25" customHeight="1" x14ac:dyDescent="0.25">
      <c r="V1743" s="6"/>
      <c r="W1743" s="6"/>
      <c r="X1743" s="6"/>
      <c r="Y1743" s="6"/>
      <c r="Z1743" s="6"/>
      <c r="AA1743" s="6"/>
      <c r="AB1743" s="6"/>
      <c r="AC1743" s="6"/>
      <c r="AD1743" s="6"/>
      <c r="AE1743" s="6"/>
    </row>
    <row r="1744" spans="22:31" ht="11.25" customHeight="1" x14ac:dyDescent="0.25">
      <c r="V1744" s="6"/>
      <c r="W1744" s="6"/>
      <c r="X1744" s="6"/>
      <c r="Y1744" s="6"/>
      <c r="Z1744" s="6"/>
      <c r="AA1744" s="6"/>
      <c r="AB1744" s="6"/>
      <c r="AC1744" s="6"/>
      <c r="AD1744" s="6"/>
      <c r="AE1744" s="6"/>
    </row>
    <row r="1745" spans="22:31" ht="11.25" customHeight="1" x14ac:dyDescent="0.25">
      <c r="V1745" s="6"/>
      <c r="W1745" s="6"/>
      <c r="X1745" s="6"/>
      <c r="Y1745" s="6"/>
      <c r="Z1745" s="6"/>
      <c r="AA1745" s="6"/>
      <c r="AB1745" s="6"/>
      <c r="AC1745" s="6"/>
      <c r="AD1745" s="6"/>
      <c r="AE1745" s="6"/>
    </row>
    <row r="1746" spans="22:31" ht="11.25" customHeight="1" x14ac:dyDescent="0.25">
      <c r="V1746" s="6"/>
      <c r="W1746" s="6"/>
      <c r="X1746" s="6"/>
      <c r="Y1746" s="6"/>
      <c r="Z1746" s="6"/>
      <c r="AA1746" s="6"/>
      <c r="AB1746" s="6"/>
      <c r="AC1746" s="6"/>
      <c r="AD1746" s="6"/>
      <c r="AE1746" s="6"/>
    </row>
    <row r="1747" spans="22:31" ht="11.25" customHeight="1" x14ac:dyDescent="0.25">
      <c r="V1747" s="6"/>
      <c r="W1747" s="6"/>
      <c r="X1747" s="6"/>
      <c r="Y1747" s="6"/>
      <c r="Z1747" s="6"/>
      <c r="AA1747" s="6"/>
      <c r="AB1747" s="6"/>
      <c r="AC1747" s="6"/>
      <c r="AD1747" s="6"/>
      <c r="AE1747" s="6"/>
    </row>
    <row r="1748" spans="22:31" ht="11.25" customHeight="1" x14ac:dyDescent="0.25">
      <c r="V1748" s="6"/>
      <c r="W1748" s="6"/>
      <c r="X1748" s="6"/>
      <c r="Y1748" s="6"/>
      <c r="Z1748" s="6"/>
      <c r="AA1748" s="6"/>
      <c r="AB1748" s="6"/>
      <c r="AC1748" s="6"/>
      <c r="AD1748" s="6"/>
      <c r="AE1748" s="6"/>
    </row>
    <row r="1749" spans="22:31" ht="11.25" customHeight="1" x14ac:dyDescent="0.25">
      <c r="V1749" s="6"/>
      <c r="W1749" s="6"/>
      <c r="X1749" s="6"/>
      <c r="Y1749" s="6"/>
      <c r="Z1749" s="6"/>
      <c r="AA1749" s="6"/>
      <c r="AB1749" s="6"/>
      <c r="AC1749" s="6"/>
      <c r="AD1749" s="6"/>
      <c r="AE1749" s="6"/>
    </row>
    <row r="1750" spans="22:31" ht="11.25" customHeight="1" x14ac:dyDescent="0.25">
      <c r="V1750" s="6"/>
      <c r="W1750" s="6"/>
      <c r="X1750" s="6"/>
      <c r="Y1750" s="6"/>
      <c r="Z1750" s="6"/>
      <c r="AA1750" s="6"/>
      <c r="AB1750" s="6"/>
      <c r="AC1750" s="6"/>
      <c r="AD1750" s="6"/>
      <c r="AE1750" s="6"/>
    </row>
    <row r="1751" spans="22:31" ht="11.25" customHeight="1" x14ac:dyDescent="0.25">
      <c r="V1751" s="6"/>
      <c r="W1751" s="6"/>
      <c r="X1751" s="6"/>
      <c r="Y1751" s="6"/>
      <c r="Z1751" s="6"/>
      <c r="AA1751" s="6"/>
      <c r="AB1751" s="6"/>
      <c r="AC1751" s="6"/>
      <c r="AD1751" s="6"/>
      <c r="AE1751" s="6"/>
    </row>
    <row r="1752" spans="22:31" ht="11.25" customHeight="1" x14ac:dyDescent="0.25"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</row>
    <row r="1753" spans="22:31" ht="11.25" customHeight="1" x14ac:dyDescent="0.25"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</row>
    <row r="1754" spans="22:31" ht="11.25" customHeight="1" x14ac:dyDescent="0.25">
      <c r="V1754" s="6"/>
      <c r="W1754" s="6"/>
      <c r="X1754" s="6"/>
      <c r="Y1754" s="6"/>
      <c r="Z1754" s="6"/>
      <c r="AA1754" s="6"/>
      <c r="AB1754" s="6"/>
      <c r="AC1754" s="6"/>
      <c r="AD1754" s="6"/>
      <c r="AE1754" s="6"/>
    </row>
    <row r="1755" spans="22:31" ht="11.25" customHeight="1" x14ac:dyDescent="0.25">
      <c r="V1755" s="6"/>
      <c r="W1755" s="6"/>
      <c r="X1755" s="6"/>
      <c r="Y1755" s="6"/>
      <c r="Z1755" s="6"/>
      <c r="AA1755" s="6"/>
      <c r="AB1755" s="6"/>
      <c r="AC1755" s="6"/>
      <c r="AD1755" s="6"/>
      <c r="AE1755" s="6"/>
    </row>
    <row r="1756" spans="22:31" ht="11.25" customHeight="1" x14ac:dyDescent="0.25">
      <c r="V1756" s="6"/>
      <c r="W1756" s="6"/>
      <c r="X1756" s="6"/>
      <c r="Y1756" s="6"/>
      <c r="Z1756" s="6"/>
      <c r="AA1756" s="6"/>
      <c r="AB1756" s="6"/>
      <c r="AC1756" s="6"/>
      <c r="AD1756" s="6"/>
      <c r="AE1756" s="6"/>
    </row>
    <row r="1757" spans="22:31" ht="11.25" customHeight="1" x14ac:dyDescent="0.25">
      <c r="V1757" s="6"/>
      <c r="W1757" s="6"/>
      <c r="X1757" s="6"/>
      <c r="Y1757" s="6"/>
      <c r="Z1757" s="6"/>
      <c r="AA1757" s="6"/>
      <c r="AB1757" s="6"/>
      <c r="AC1757" s="6"/>
      <c r="AD1757" s="6"/>
      <c r="AE1757" s="6"/>
    </row>
    <row r="1758" spans="22:31" ht="11.25" customHeight="1" x14ac:dyDescent="0.25">
      <c r="V1758" s="6"/>
      <c r="W1758" s="6"/>
      <c r="X1758" s="6"/>
      <c r="Y1758" s="6"/>
      <c r="Z1758" s="6"/>
      <c r="AA1758" s="6"/>
      <c r="AB1758" s="6"/>
      <c r="AC1758" s="6"/>
      <c r="AD1758" s="6"/>
      <c r="AE1758" s="6"/>
    </row>
    <row r="1759" spans="22:31" ht="11.25" customHeight="1" x14ac:dyDescent="0.25">
      <c r="V1759" s="6"/>
      <c r="W1759" s="6"/>
      <c r="X1759" s="6"/>
      <c r="Y1759" s="6"/>
      <c r="Z1759" s="6"/>
      <c r="AA1759" s="6"/>
      <c r="AB1759" s="6"/>
      <c r="AC1759" s="6"/>
      <c r="AD1759" s="6"/>
      <c r="AE1759" s="6"/>
    </row>
    <row r="1760" spans="22:31" ht="11.25" customHeight="1" x14ac:dyDescent="0.25">
      <c r="V1760" s="6"/>
      <c r="W1760" s="6"/>
      <c r="X1760" s="6"/>
      <c r="Y1760" s="6"/>
      <c r="Z1760" s="6"/>
      <c r="AA1760" s="6"/>
      <c r="AB1760" s="6"/>
      <c r="AC1760" s="6"/>
      <c r="AD1760" s="6"/>
      <c r="AE1760" s="6"/>
    </row>
    <row r="1761" spans="22:31" ht="11.25" customHeight="1" x14ac:dyDescent="0.25">
      <c r="V1761" s="6"/>
      <c r="W1761" s="6"/>
      <c r="X1761" s="6"/>
      <c r="Y1761" s="6"/>
      <c r="Z1761" s="6"/>
      <c r="AA1761" s="6"/>
      <c r="AB1761" s="6"/>
      <c r="AC1761" s="6"/>
      <c r="AD1761" s="6"/>
      <c r="AE1761" s="6"/>
    </row>
    <row r="1762" spans="22:31" ht="11.25" customHeight="1" x14ac:dyDescent="0.25">
      <c r="V1762" s="6"/>
      <c r="W1762" s="6"/>
      <c r="X1762" s="6"/>
      <c r="Y1762" s="6"/>
      <c r="Z1762" s="6"/>
      <c r="AA1762" s="6"/>
      <c r="AB1762" s="6"/>
      <c r="AC1762" s="6"/>
      <c r="AD1762" s="6"/>
      <c r="AE1762" s="6"/>
    </row>
    <row r="1763" spans="22:31" ht="11.25" customHeight="1" x14ac:dyDescent="0.25">
      <c r="V1763" s="6"/>
      <c r="W1763" s="6"/>
      <c r="X1763" s="6"/>
      <c r="Y1763" s="6"/>
      <c r="Z1763" s="6"/>
      <c r="AA1763" s="6"/>
      <c r="AB1763" s="6"/>
      <c r="AC1763" s="6"/>
      <c r="AD1763" s="6"/>
      <c r="AE1763" s="6"/>
    </row>
    <row r="1764" spans="22:31" ht="11.25" customHeight="1" x14ac:dyDescent="0.25">
      <c r="V1764" s="6"/>
      <c r="W1764" s="6"/>
      <c r="X1764" s="6"/>
      <c r="Y1764" s="6"/>
      <c r="Z1764" s="6"/>
      <c r="AA1764" s="6"/>
      <c r="AB1764" s="6"/>
      <c r="AC1764" s="6"/>
      <c r="AD1764" s="6"/>
      <c r="AE1764" s="6"/>
    </row>
    <row r="1765" spans="22:31" ht="11.25" customHeight="1" x14ac:dyDescent="0.25">
      <c r="V1765" s="6"/>
      <c r="W1765" s="6"/>
      <c r="X1765" s="6"/>
      <c r="Y1765" s="6"/>
      <c r="Z1765" s="6"/>
      <c r="AA1765" s="6"/>
      <c r="AB1765" s="6"/>
      <c r="AC1765" s="6"/>
      <c r="AD1765" s="6"/>
      <c r="AE1765" s="6"/>
    </row>
    <row r="1766" spans="22:31" ht="11.25" customHeight="1" x14ac:dyDescent="0.25">
      <c r="V1766" s="6"/>
      <c r="W1766" s="6"/>
      <c r="X1766" s="6"/>
      <c r="Y1766" s="6"/>
      <c r="Z1766" s="6"/>
      <c r="AA1766" s="6"/>
      <c r="AB1766" s="6"/>
      <c r="AC1766" s="6"/>
      <c r="AD1766" s="6"/>
      <c r="AE1766" s="6"/>
    </row>
    <row r="1767" spans="22:31" ht="11.25" customHeight="1" x14ac:dyDescent="0.25">
      <c r="V1767" s="6"/>
      <c r="W1767" s="6"/>
      <c r="X1767" s="6"/>
      <c r="Y1767" s="6"/>
      <c r="Z1767" s="6"/>
      <c r="AA1767" s="6"/>
      <c r="AB1767" s="6"/>
      <c r="AC1767" s="6"/>
      <c r="AD1767" s="6"/>
      <c r="AE1767" s="6"/>
    </row>
    <row r="1768" spans="22:31" ht="11.25" customHeight="1" x14ac:dyDescent="0.25">
      <c r="V1768" s="6"/>
      <c r="W1768" s="6"/>
      <c r="X1768" s="6"/>
      <c r="Y1768" s="6"/>
      <c r="Z1768" s="6"/>
      <c r="AA1768" s="6"/>
      <c r="AB1768" s="6"/>
      <c r="AC1768" s="6"/>
      <c r="AD1768" s="6"/>
      <c r="AE1768" s="6"/>
    </row>
    <row r="1769" spans="22:31" ht="11.25" customHeight="1" x14ac:dyDescent="0.25">
      <c r="V1769" s="6"/>
      <c r="W1769" s="6"/>
      <c r="X1769" s="6"/>
      <c r="Y1769" s="6"/>
      <c r="Z1769" s="6"/>
      <c r="AA1769" s="6"/>
      <c r="AB1769" s="6"/>
      <c r="AC1769" s="6"/>
      <c r="AD1769" s="6"/>
      <c r="AE1769" s="6"/>
    </row>
    <row r="1770" spans="22:31" ht="11.25" customHeight="1" x14ac:dyDescent="0.25">
      <c r="V1770" s="6"/>
      <c r="W1770" s="6"/>
      <c r="X1770" s="6"/>
      <c r="Y1770" s="6"/>
      <c r="Z1770" s="6"/>
      <c r="AA1770" s="6"/>
      <c r="AB1770" s="6"/>
      <c r="AC1770" s="6"/>
      <c r="AD1770" s="6"/>
      <c r="AE1770" s="6"/>
    </row>
    <row r="1771" spans="22:31" ht="11.25" customHeight="1" x14ac:dyDescent="0.25">
      <c r="V1771" s="6"/>
      <c r="W1771" s="6"/>
      <c r="X1771" s="6"/>
      <c r="Y1771" s="6"/>
      <c r="Z1771" s="6"/>
      <c r="AA1771" s="6"/>
      <c r="AB1771" s="6"/>
      <c r="AC1771" s="6"/>
      <c r="AD1771" s="6"/>
      <c r="AE1771" s="6"/>
    </row>
    <row r="1772" spans="22:31" ht="11.25" customHeight="1" x14ac:dyDescent="0.25">
      <c r="V1772" s="6"/>
      <c r="W1772" s="6"/>
      <c r="X1772" s="6"/>
      <c r="Y1772" s="6"/>
      <c r="Z1772" s="6"/>
      <c r="AA1772" s="6"/>
      <c r="AB1772" s="6"/>
      <c r="AC1772" s="6"/>
      <c r="AD1772" s="6"/>
      <c r="AE1772" s="6"/>
    </row>
    <row r="1773" spans="22:31" ht="11.25" customHeight="1" x14ac:dyDescent="0.25">
      <c r="V1773" s="6"/>
      <c r="W1773" s="6"/>
      <c r="X1773" s="6"/>
      <c r="Y1773" s="6"/>
      <c r="Z1773" s="6"/>
      <c r="AA1773" s="6"/>
      <c r="AB1773" s="6"/>
      <c r="AC1773" s="6"/>
      <c r="AD1773" s="6"/>
      <c r="AE1773" s="6"/>
    </row>
    <row r="1774" spans="22:31" ht="11.25" customHeight="1" x14ac:dyDescent="0.25">
      <c r="V1774" s="6"/>
      <c r="W1774" s="6"/>
      <c r="X1774" s="6"/>
      <c r="Y1774" s="6"/>
      <c r="Z1774" s="6"/>
      <c r="AA1774" s="6"/>
      <c r="AB1774" s="6"/>
      <c r="AC1774" s="6"/>
      <c r="AD1774" s="6"/>
      <c r="AE1774" s="6"/>
    </row>
    <row r="1775" spans="22:31" ht="11.25" customHeight="1" x14ac:dyDescent="0.25">
      <c r="V1775" s="6"/>
      <c r="W1775" s="6"/>
      <c r="X1775" s="6"/>
      <c r="Y1775" s="6"/>
      <c r="Z1775" s="6"/>
      <c r="AA1775" s="6"/>
      <c r="AB1775" s="6"/>
      <c r="AC1775" s="6"/>
      <c r="AD1775" s="6"/>
      <c r="AE1775" s="6"/>
    </row>
    <row r="1776" spans="22:31" ht="11.25" customHeight="1" x14ac:dyDescent="0.25"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</row>
    <row r="1777" spans="22:31" ht="11.25" customHeight="1" x14ac:dyDescent="0.25">
      <c r="V1777" s="6"/>
      <c r="W1777" s="6"/>
      <c r="X1777" s="6"/>
      <c r="Y1777" s="6"/>
      <c r="Z1777" s="6"/>
      <c r="AA1777" s="6"/>
      <c r="AB1777" s="6"/>
      <c r="AC1777" s="6"/>
      <c r="AD1777" s="6"/>
      <c r="AE1777" s="6"/>
    </row>
    <row r="1778" spans="22:31" ht="11.25" customHeight="1" x14ac:dyDescent="0.25"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</row>
    <row r="1779" spans="22:31" ht="11.25" customHeight="1" x14ac:dyDescent="0.25">
      <c r="V1779" s="6"/>
      <c r="W1779" s="6"/>
      <c r="X1779" s="6"/>
      <c r="Y1779" s="6"/>
      <c r="Z1779" s="6"/>
      <c r="AA1779" s="6"/>
      <c r="AB1779" s="6"/>
      <c r="AC1779" s="6"/>
      <c r="AD1779" s="6"/>
      <c r="AE1779" s="6"/>
    </row>
    <row r="1780" spans="22:31" ht="11.25" customHeight="1" x14ac:dyDescent="0.25">
      <c r="V1780" s="6"/>
      <c r="W1780" s="6"/>
      <c r="X1780" s="6"/>
      <c r="Y1780" s="6"/>
      <c r="Z1780" s="6"/>
      <c r="AA1780" s="6"/>
      <c r="AB1780" s="6"/>
      <c r="AC1780" s="6"/>
      <c r="AD1780" s="6"/>
      <c r="AE1780" s="6"/>
    </row>
    <row r="1781" spans="22:31" ht="11.25" customHeight="1" x14ac:dyDescent="0.25">
      <c r="V1781" s="6"/>
      <c r="W1781" s="6"/>
      <c r="X1781" s="6"/>
      <c r="Y1781" s="6"/>
      <c r="Z1781" s="6"/>
      <c r="AA1781" s="6"/>
      <c r="AB1781" s="6"/>
      <c r="AC1781" s="6"/>
      <c r="AD1781" s="6"/>
      <c r="AE1781" s="6"/>
    </row>
    <row r="1782" spans="22:31" ht="11.25" customHeight="1" x14ac:dyDescent="0.25">
      <c r="V1782" s="6"/>
      <c r="W1782" s="6"/>
      <c r="X1782" s="6"/>
      <c r="Y1782" s="6"/>
      <c r="Z1782" s="6"/>
      <c r="AA1782" s="6"/>
      <c r="AB1782" s="6"/>
      <c r="AC1782" s="6"/>
      <c r="AD1782" s="6"/>
      <c r="AE1782" s="6"/>
    </row>
    <row r="1783" spans="22:31" ht="11.25" customHeight="1" x14ac:dyDescent="0.25">
      <c r="V1783" s="6"/>
      <c r="W1783" s="6"/>
      <c r="X1783" s="6"/>
      <c r="Y1783" s="6"/>
      <c r="Z1783" s="6"/>
      <c r="AA1783" s="6"/>
      <c r="AB1783" s="6"/>
      <c r="AC1783" s="6"/>
      <c r="AD1783" s="6"/>
      <c r="AE1783" s="6"/>
    </row>
    <row r="1784" spans="22:31" ht="11.25" customHeight="1" x14ac:dyDescent="0.25">
      <c r="V1784" s="6"/>
      <c r="W1784" s="6"/>
      <c r="X1784" s="6"/>
      <c r="Y1784" s="6"/>
      <c r="Z1784" s="6"/>
      <c r="AA1784" s="6"/>
      <c r="AB1784" s="6"/>
      <c r="AC1784" s="6"/>
      <c r="AD1784" s="6"/>
      <c r="AE1784" s="6"/>
    </row>
    <row r="1785" spans="22:31" ht="11.25" customHeight="1" x14ac:dyDescent="0.25">
      <c r="V1785" s="6"/>
      <c r="W1785" s="6"/>
      <c r="X1785" s="6"/>
      <c r="Y1785" s="6"/>
      <c r="Z1785" s="6"/>
      <c r="AA1785" s="6"/>
      <c r="AB1785" s="6"/>
      <c r="AC1785" s="6"/>
      <c r="AD1785" s="6"/>
      <c r="AE1785" s="6"/>
    </row>
    <row r="1786" spans="22:31" ht="11.25" customHeight="1" x14ac:dyDescent="0.25">
      <c r="V1786" s="6"/>
      <c r="W1786" s="6"/>
      <c r="X1786" s="6"/>
      <c r="Y1786" s="6"/>
      <c r="Z1786" s="6"/>
      <c r="AA1786" s="6"/>
      <c r="AB1786" s="6"/>
      <c r="AC1786" s="6"/>
      <c r="AD1786" s="6"/>
      <c r="AE1786" s="6"/>
    </row>
    <row r="1787" spans="22:31" ht="11.25" customHeight="1" x14ac:dyDescent="0.25">
      <c r="V1787" s="6"/>
      <c r="W1787" s="6"/>
      <c r="X1787" s="6"/>
      <c r="Y1787" s="6"/>
      <c r="Z1787" s="6"/>
      <c r="AA1787" s="6"/>
      <c r="AB1787" s="6"/>
      <c r="AC1787" s="6"/>
      <c r="AD1787" s="6"/>
      <c r="AE1787" s="6"/>
    </row>
    <row r="1788" spans="22:31" ht="11.25" customHeight="1" x14ac:dyDescent="0.25">
      <c r="V1788" s="6"/>
      <c r="W1788" s="6"/>
      <c r="X1788" s="6"/>
      <c r="Y1788" s="6"/>
      <c r="Z1788" s="6"/>
      <c r="AA1788" s="6"/>
      <c r="AB1788" s="6"/>
      <c r="AC1788" s="6"/>
      <c r="AD1788" s="6"/>
      <c r="AE1788" s="6"/>
    </row>
    <row r="1789" spans="22:31" ht="11.25" customHeight="1" x14ac:dyDescent="0.25">
      <c r="V1789" s="6"/>
      <c r="W1789" s="6"/>
      <c r="X1789" s="6"/>
      <c r="Y1789" s="6"/>
      <c r="Z1789" s="6"/>
      <c r="AA1789" s="6"/>
      <c r="AB1789" s="6"/>
      <c r="AC1789" s="6"/>
      <c r="AD1789" s="6"/>
      <c r="AE1789" s="6"/>
    </row>
    <row r="1790" spans="22:31" ht="11.25" customHeight="1" x14ac:dyDescent="0.25"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</row>
    <row r="1791" spans="22:31" ht="11.25" customHeight="1" x14ac:dyDescent="0.25">
      <c r="V1791" s="6"/>
      <c r="W1791" s="6"/>
      <c r="X1791" s="6"/>
      <c r="Y1791" s="6"/>
      <c r="Z1791" s="6"/>
      <c r="AA1791" s="6"/>
      <c r="AB1791" s="6"/>
      <c r="AC1791" s="6"/>
      <c r="AD1791" s="6"/>
      <c r="AE1791" s="6"/>
    </row>
    <row r="1792" spans="22:31" ht="11.25" customHeight="1" x14ac:dyDescent="0.25">
      <c r="V1792" s="6"/>
      <c r="W1792" s="6"/>
      <c r="X1792" s="6"/>
      <c r="Y1792" s="6"/>
      <c r="Z1792" s="6"/>
      <c r="AA1792" s="6"/>
      <c r="AB1792" s="6"/>
      <c r="AC1792" s="6"/>
      <c r="AD1792" s="6"/>
      <c r="AE1792" s="6"/>
    </row>
    <row r="1793" spans="22:31" ht="11.25" customHeight="1" x14ac:dyDescent="0.25">
      <c r="V1793" s="6"/>
      <c r="W1793" s="6"/>
      <c r="X1793" s="6"/>
      <c r="Y1793" s="6"/>
      <c r="Z1793" s="6"/>
      <c r="AA1793" s="6"/>
      <c r="AB1793" s="6"/>
      <c r="AC1793" s="6"/>
      <c r="AD1793" s="6"/>
      <c r="AE1793" s="6"/>
    </row>
    <row r="1794" spans="22:31" ht="11.25" customHeight="1" x14ac:dyDescent="0.25"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</row>
    <row r="1795" spans="22:31" ht="11.25" customHeight="1" x14ac:dyDescent="0.25">
      <c r="V1795" s="6"/>
      <c r="W1795" s="6"/>
      <c r="X1795" s="6"/>
      <c r="Y1795" s="6"/>
      <c r="Z1795" s="6"/>
      <c r="AA1795" s="6"/>
      <c r="AB1795" s="6"/>
      <c r="AC1795" s="6"/>
      <c r="AD1795" s="6"/>
      <c r="AE1795" s="6"/>
    </row>
    <row r="1796" spans="22:31" ht="11.25" customHeight="1" x14ac:dyDescent="0.25"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</row>
    <row r="1797" spans="22:31" ht="11.25" customHeight="1" x14ac:dyDescent="0.25">
      <c r="V1797" s="6"/>
      <c r="W1797" s="6"/>
      <c r="X1797" s="6"/>
      <c r="Y1797" s="6"/>
      <c r="Z1797" s="6"/>
      <c r="AA1797" s="6"/>
      <c r="AB1797" s="6"/>
      <c r="AC1797" s="6"/>
      <c r="AD1797" s="6"/>
      <c r="AE1797" s="6"/>
    </row>
    <row r="1798" spans="22:31" ht="11.25" customHeight="1" x14ac:dyDescent="0.25">
      <c r="V1798" s="6"/>
      <c r="W1798" s="6"/>
      <c r="X1798" s="6"/>
      <c r="Y1798" s="6"/>
      <c r="Z1798" s="6"/>
      <c r="AA1798" s="6"/>
      <c r="AB1798" s="6"/>
      <c r="AC1798" s="6"/>
      <c r="AD1798" s="6"/>
      <c r="AE1798" s="6"/>
    </row>
    <row r="1799" spans="22:31" ht="11.25" customHeight="1" x14ac:dyDescent="0.25">
      <c r="V1799" s="6"/>
      <c r="W1799" s="6"/>
      <c r="X1799" s="6"/>
      <c r="Y1799" s="6"/>
      <c r="Z1799" s="6"/>
      <c r="AA1799" s="6"/>
      <c r="AB1799" s="6"/>
      <c r="AC1799" s="6"/>
      <c r="AD1799" s="6"/>
      <c r="AE1799" s="6"/>
    </row>
    <row r="1800" spans="22:31" ht="11.25" customHeight="1" x14ac:dyDescent="0.25">
      <c r="V1800" s="6"/>
      <c r="W1800" s="6"/>
      <c r="X1800" s="6"/>
      <c r="Y1800" s="6"/>
      <c r="Z1800" s="6"/>
      <c r="AA1800" s="6"/>
      <c r="AB1800" s="6"/>
      <c r="AC1800" s="6"/>
      <c r="AD1800" s="6"/>
      <c r="AE1800" s="6"/>
    </row>
    <row r="1801" spans="22:31" ht="11.25" customHeight="1" x14ac:dyDescent="0.25"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</row>
    <row r="1802" spans="22:31" ht="11.25" customHeight="1" x14ac:dyDescent="0.25"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</row>
    <row r="1803" spans="22:31" ht="11.25" customHeight="1" x14ac:dyDescent="0.25">
      <c r="V1803" s="6"/>
      <c r="W1803" s="6"/>
      <c r="X1803" s="6"/>
      <c r="Y1803" s="6"/>
      <c r="Z1803" s="6"/>
      <c r="AA1803" s="6"/>
      <c r="AB1803" s="6"/>
      <c r="AC1803" s="6"/>
      <c r="AD1803" s="6"/>
      <c r="AE1803" s="6"/>
    </row>
    <row r="1804" spans="22:31" ht="11.25" customHeight="1" x14ac:dyDescent="0.25">
      <c r="V1804" s="6"/>
      <c r="W1804" s="6"/>
      <c r="X1804" s="6"/>
      <c r="Y1804" s="6"/>
      <c r="Z1804" s="6"/>
      <c r="AA1804" s="6"/>
      <c r="AB1804" s="6"/>
      <c r="AC1804" s="6"/>
      <c r="AD1804" s="6"/>
      <c r="AE1804" s="6"/>
    </row>
    <row r="1805" spans="22:31" ht="11.25" customHeight="1" x14ac:dyDescent="0.25">
      <c r="V1805" s="6"/>
      <c r="W1805" s="6"/>
      <c r="X1805" s="6"/>
      <c r="Y1805" s="6"/>
      <c r="Z1805" s="6"/>
      <c r="AA1805" s="6"/>
      <c r="AB1805" s="6"/>
      <c r="AC1805" s="6"/>
      <c r="AD1805" s="6"/>
      <c r="AE1805" s="6"/>
    </row>
    <row r="1806" spans="22:31" ht="11.25" customHeight="1" x14ac:dyDescent="0.25">
      <c r="V1806" s="6"/>
      <c r="W1806" s="6"/>
      <c r="X1806" s="6"/>
      <c r="Y1806" s="6"/>
      <c r="Z1806" s="6"/>
      <c r="AA1806" s="6"/>
      <c r="AB1806" s="6"/>
      <c r="AC1806" s="6"/>
      <c r="AD1806" s="6"/>
      <c r="AE1806" s="6"/>
    </row>
    <row r="1807" spans="22:31" ht="11.25" customHeight="1" x14ac:dyDescent="0.25">
      <c r="V1807" s="6"/>
      <c r="W1807" s="6"/>
      <c r="X1807" s="6"/>
      <c r="Y1807" s="6"/>
      <c r="Z1807" s="6"/>
      <c r="AA1807" s="6"/>
      <c r="AB1807" s="6"/>
      <c r="AC1807" s="6"/>
      <c r="AD1807" s="6"/>
      <c r="AE1807" s="6"/>
    </row>
    <row r="1808" spans="22:31" ht="11.25" customHeight="1" x14ac:dyDescent="0.25">
      <c r="V1808" s="6"/>
      <c r="W1808" s="6"/>
      <c r="X1808" s="6"/>
      <c r="Y1808" s="6"/>
      <c r="Z1808" s="6"/>
      <c r="AA1808" s="6"/>
      <c r="AB1808" s="6"/>
      <c r="AC1808" s="6"/>
      <c r="AD1808" s="6"/>
      <c r="AE1808" s="6"/>
    </row>
    <row r="1809" spans="22:31" ht="11.25" customHeight="1" x14ac:dyDescent="0.25">
      <c r="V1809" s="6"/>
      <c r="W1809" s="6"/>
      <c r="X1809" s="6"/>
      <c r="Y1809" s="6"/>
      <c r="Z1809" s="6"/>
      <c r="AA1809" s="6"/>
      <c r="AB1809" s="6"/>
      <c r="AC1809" s="6"/>
      <c r="AD1809" s="6"/>
      <c r="AE1809" s="6"/>
    </row>
    <row r="1810" spans="22:31" ht="11.25" customHeight="1" x14ac:dyDescent="0.25">
      <c r="V1810" s="6"/>
      <c r="W1810" s="6"/>
      <c r="X1810" s="6"/>
      <c r="Y1810" s="6"/>
      <c r="Z1810" s="6"/>
      <c r="AA1810" s="6"/>
      <c r="AB1810" s="6"/>
      <c r="AC1810" s="6"/>
      <c r="AD1810" s="6"/>
      <c r="AE1810" s="6"/>
    </row>
    <row r="1811" spans="22:31" ht="11.25" customHeight="1" x14ac:dyDescent="0.25">
      <c r="V1811" s="6"/>
      <c r="W1811" s="6"/>
      <c r="X1811" s="6"/>
      <c r="Y1811" s="6"/>
      <c r="Z1811" s="6"/>
      <c r="AA1811" s="6"/>
      <c r="AB1811" s="6"/>
      <c r="AC1811" s="6"/>
      <c r="AD1811" s="6"/>
      <c r="AE1811" s="6"/>
    </row>
    <row r="1812" spans="22:31" ht="11.25" customHeight="1" x14ac:dyDescent="0.25">
      <c r="V1812" s="6"/>
      <c r="W1812" s="6"/>
      <c r="X1812" s="6"/>
      <c r="Y1812" s="6"/>
      <c r="Z1812" s="6"/>
      <c r="AA1812" s="6"/>
      <c r="AB1812" s="6"/>
      <c r="AC1812" s="6"/>
      <c r="AD1812" s="6"/>
      <c r="AE1812" s="6"/>
    </row>
    <row r="1813" spans="22:31" ht="11.25" customHeight="1" x14ac:dyDescent="0.25"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</row>
    <row r="1814" spans="22:31" ht="11.25" customHeight="1" x14ac:dyDescent="0.25">
      <c r="V1814" s="6"/>
      <c r="W1814" s="6"/>
      <c r="X1814" s="6"/>
      <c r="Y1814" s="6"/>
      <c r="Z1814" s="6"/>
      <c r="AA1814" s="6"/>
      <c r="AB1814" s="6"/>
      <c r="AC1814" s="6"/>
      <c r="AD1814" s="6"/>
      <c r="AE1814" s="6"/>
    </row>
    <row r="1815" spans="22:31" ht="11.25" customHeight="1" x14ac:dyDescent="0.25"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</row>
    <row r="1816" spans="22:31" ht="11.25" customHeight="1" x14ac:dyDescent="0.25"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</row>
    <row r="1817" spans="22:31" ht="11.25" customHeight="1" x14ac:dyDescent="0.25"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</row>
    <row r="1818" spans="22:31" ht="11.25" customHeight="1" x14ac:dyDescent="0.25">
      <c r="V1818" s="6"/>
      <c r="W1818" s="6"/>
      <c r="X1818" s="6"/>
      <c r="Y1818" s="6"/>
      <c r="Z1818" s="6"/>
      <c r="AA1818" s="6"/>
      <c r="AB1818" s="6"/>
      <c r="AC1818" s="6"/>
      <c r="AD1818" s="6"/>
      <c r="AE1818" s="6"/>
    </row>
    <row r="1819" spans="22:31" ht="11.25" customHeight="1" x14ac:dyDescent="0.25">
      <c r="V1819" s="6"/>
      <c r="W1819" s="6"/>
      <c r="X1819" s="6"/>
      <c r="Y1819" s="6"/>
      <c r="Z1819" s="6"/>
      <c r="AA1819" s="6"/>
      <c r="AB1819" s="6"/>
      <c r="AC1819" s="6"/>
      <c r="AD1819" s="6"/>
      <c r="AE1819" s="6"/>
    </row>
    <row r="1820" spans="22:31" ht="11.25" customHeight="1" x14ac:dyDescent="0.25">
      <c r="V1820" s="6"/>
      <c r="W1820" s="6"/>
      <c r="X1820" s="6"/>
      <c r="Y1820" s="6"/>
      <c r="Z1820" s="6"/>
      <c r="AA1820" s="6"/>
      <c r="AB1820" s="6"/>
      <c r="AC1820" s="6"/>
      <c r="AD1820" s="6"/>
      <c r="AE1820" s="6"/>
    </row>
    <row r="1821" spans="22:31" ht="11.25" customHeight="1" x14ac:dyDescent="0.25">
      <c r="V1821" s="6"/>
      <c r="W1821" s="6"/>
      <c r="X1821" s="6"/>
      <c r="Y1821" s="6"/>
      <c r="Z1821" s="6"/>
      <c r="AA1821" s="6"/>
      <c r="AB1821" s="6"/>
      <c r="AC1821" s="6"/>
      <c r="AD1821" s="6"/>
      <c r="AE1821" s="6"/>
    </row>
    <row r="1822" spans="22:31" ht="11.25" customHeight="1" x14ac:dyDescent="0.25">
      <c r="V1822" s="6"/>
      <c r="W1822" s="6"/>
      <c r="X1822" s="6"/>
      <c r="Y1822" s="6"/>
      <c r="Z1822" s="6"/>
      <c r="AA1822" s="6"/>
      <c r="AB1822" s="6"/>
      <c r="AC1822" s="6"/>
      <c r="AD1822" s="6"/>
      <c r="AE1822" s="6"/>
    </row>
    <row r="1823" spans="22:31" ht="11.25" customHeight="1" x14ac:dyDescent="0.25">
      <c r="V1823" s="6"/>
      <c r="W1823" s="6"/>
      <c r="X1823" s="6"/>
      <c r="Y1823" s="6"/>
      <c r="Z1823" s="6"/>
      <c r="AA1823" s="6"/>
      <c r="AB1823" s="6"/>
      <c r="AC1823" s="6"/>
      <c r="AD1823" s="6"/>
      <c r="AE1823" s="6"/>
    </row>
    <row r="1824" spans="22:31" ht="11.25" customHeight="1" x14ac:dyDescent="0.25">
      <c r="V1824" s="6"/>
      <c r="W1824" s="6"/>
      <c r="X1824" s="6"/>
      <c r="Y1824" s="6"/>
      <c r="Z1824" s="6"/>
      <c r="AA1824" s="6"/>
      <c r="AB1824" s="6"/>
      <c r="AC1824" s="6"/>
      <c r="AD1824" s="6"/>
      <c r="AE1824" s="6"/>
    </row>
    <row r="1825" spans="22:31" ht="11.25" customHeight="1" x14ac:dyDescent="0.25"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</row>
    <row r="1826" spans="22:31" ht="11.25" customHeight="1" x14ac:dyDescent="0.25"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</row>
    <row r="1827" spans="22:31" ht="11.25" customHeight="1" x14ac:dyDescent="0.25">
      <c r="V1827" s="6"/>
      <c r="W1827" s="6"/>
      <c r="X1827" s="6"/>
      <c r="Y1827" s="6"/>
      <c r="Z1827" s="6"/>
      <c r="AA1827" s="6"/>
      <c r="AB1827" s="6"/>
      <c r="AC1827" s="6"/>
      <c r="AD1827" s="6"/>
      <c r="AE1827" s="6"/>
    </row>
    <row r="1828" spans="22:31" ht="11.25" customHeight="1" x14ac:dyDescent="0.25">
      <c r="V1828" s="6"/>
      <c r="W1828" s="6"/>
      <c r="X1828" s="6"/>
      <c r="Y1828" s="6"/>
      <c r="Z1828" s="6"/>
      <c r="AA1828" s="6"/>
      <c r="AB1828" s="6"/>
      <c r="AC1828" s="6"/>
      <c r="AD1828" s="6"/>
      <c r="AE1828" s="6"/>
    </row>
    <row r="1829" spans="22:31" ht="11.25" customHeight="1" x14ac:dyDescent="0.25">
      <c r="V1829" s="6"/>
      <c r="W1829" s="6"/>
      <c r="X1829" s="6"/>
      <c r="Y1829" s="6"/>
      <c r="Z1829" s="6"/>
      <c r="AA1829" s="6"/>
      <c r="AB1829" s="6"/>
      <c r="AC1829" s="6"/>
      <c r="AD1829" s="6"/>
      <c r="AE1829" s="6"/>
    </row>
    <row r="1830" spans="22:31" ht="11.25" customHeight="1" x14ac:dyDescent="0.25">
      <c r="V1830" s="6"/>
      <c r="W1830" s="6"/>
      <c r="X1830" s="6"/>
      <c r="Y1830" s="6"/>
      <c r="Z1830" s="6"/>
      <c r="AA1830" s="6"/>
      <c r="AB1830" s="6"/>
      <c r="AC1830" s="6"/>
      <c r="AD1830" s="6"/>
      <c r="AE1830" s="6"/>
    </row>
    <row r="1831" spans="22:31" ht="11.25" customHeight="1" x14ac:dyDescent="0.25"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</row>
    <row r="1832" spans="22:31" ht="11.25" customHeight="1" x14ac:dyDescent="0.25">
      <c r="V1832" s="6"/>
      <c r="W1832" s="6"/>
      <c r="X1832" s="6"/>
      <c r="Y1832" s="6"/>
      <c r="Z1832" s="6"/>
      <c r="AA1832" s="6"/>
      <c r="AB1832" s="6"/>
      <c r="AC1832" s="6"/>
      <c r="AD1832" s="6"/>
      <c r="AE1832" s="6"/>
    </row>
    <row r="1833" spans="22:31" ht="11.25" customHeight="1" x14ac:dyDescent="0.25"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</row>
    <row r="1834" spans="22:31" ht="11.25" customHeight="1" x14ac:dyDescent="0.25"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</row>
    <row r="1835" spans="22:31" ht="11.25" customHeight="1" x14ac:dyDescent="0.25">
      <c r="V1835" s="6"/>
      <c r="W1835" s="6"/>
      <c r="X1835" s="6"/>
      <c r="Y1835" s="6"/>
      <c r="Z1835" s="6"/>
      <c r="AA1835" s="6"/>
      <c r="AB1835" s="6"/>
      <c r="AC1835" s="6"/>
      <c r="AD1835" s="6"/>
      <c r="AE1835" s="6"/>
    </row>
    <row r="1836" spans="22:31" ht="11.25" customHeight="1" x14ac:dyDescent="0.25">
      <c r="V1836" s="6"/>
      <c r="W1836" s="6"/>
      <c r="X1836" s="6"/>
      <c r="Y1836" s="6"/>
      <c r="Z1836" s="6"/>
      <c r="AA1836" s="6"/>
      <c r="AB1836" s="6"/>
      <c r="AC1836" s="6"/>
      <c r="AD1836" s="6"/>
      <c r="AE1836" s="6"/>
    </row>
    <row r="1837" spans="22:31" ht="11.25" customHeight="1" x14ac:dyDescent="0.25">
      <c r="V1837" s="6"/>
      <c r="W1837" s="6"/>
      <c r="X1837" s="6"/>
      <c r="Y1837" s="6"/>
      <c r="Z1837" s="6"/>
      <c r="AA1837" s="6"/>
      <c r="AB1837" s="6"/>
      <c r="AC1837" s="6"/>
      <c r="AD1837" s="6"/>
      <c r="AE1837" s="6"/>
    </row>
    <row r="1838" spans="22:31" ht="11.25" customHeight="1" x14ac:dyDescent="0.25">
      <c r="V1838" s="6"/>
      <c r="W1838" s="6"/>
      <c r="X1838" s="6"/>
      <c r="Y1838" s="6"/>
      <c r="Z1838" s="6"/>
      <c r="AA1838" s="6"/>
      <c r="AB1838" s="6"/>
      <c r="AC1838" s="6"/>
      <c r="AD1838" s="6"/>
      <c r="AE1838" s="6"/>
    </row>
    <row r="1839" spans="22:31" ht="11.25" customHeight="1" x14ac:dyDescent="0.25">
      <c r="V1839" s="6"/>
      <c r="W1839" s="6"/>
      <c r="X1839" s="6"/>
      <c r="Y1839" s="6"/>
      <c r="Z1839" s="6"/>
      <c r="AA1839" s="6"/>
      <c r="AB1839" s="6"/>
      <c r="AC1839" s="6"/>
      <c r="AD1839" s="6"/>
      <c r="AE1839" s="6"/>
    </row>
    <row r="1840" spans="22:31" ht="11.25" customHeight="1" x14ac:dyDescent="0.25">
      <c r="V1840" s="6"/>
      <c r="W1840" s="6"/>
      <c r="X1840" s="6"/>
      <c r="Y1840" s="6"/>
      <c r="Z1840" s="6"/>
      <c r="AA1840" s="6"/>
      <c r="AB1840" s="6"/>
      <c r="AC1840" s="6"/>
      <c r="AD1840" s="6"/>
      <c r="AE1840" s="6"/>
    </row>
    <row r="1841" spans="22:31" ht="11.25" customHeight="1" x14ac:dyDescent="0.25"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</row>
    <row r="1842" spans="22:31" ht="11.25" customHeight="1" x14ac:dyDescent="0.25">
      <c r="V1842" s="6"/>
      <c r="W1842" s="6"/>
      <c r="X1842" s="6"/>
      <c r="Y1842" s="6"/>
      <c r="Z1842" s="6"/>
      <c r="AA1842" s="6"/>
      <c r="AB1842" s="6"/>
      <c r="AC1842" s="6"/>
      <c r="AD1842" s="6"/>
      <c r="AE1842" s="6"/>
    </row>
    <row r="1843" spans="22:31" ht="11.25" customHeight="1" x14ac:dyDescent="0.25">
      <c r="V1843" s="6"/>
      <c r="W1843" s="6"/>
      <c r="X1843" s="6"/>
      <c r="Y1843" s="6"/>
      <c r="Z1843" s="6"/>
      <c r="AA1843" s="6"/>
      <c r="AB1843" s="6"/>
      <c r="AC1843" s="6"/>
      <c r="AD1843" s="6"/>
      <c r="AE1843" s="6"/>
    </row>
    <row r="1844" spans="22:31" ht="11.25" customHeight="1" x14ac:dyDescent="0.25"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</row>
    <row r="1845" spans="22:31" ht="11.25" customHeight="1" x14ac:dyDescent="0.25">
      <c r="V1845" s="6"/>
      <c r="W1845" s="6"/>
      <c r="X1845" s="6"/>
      <c r="Y1845" s="6"/>
      <c r="Z1845" s="6"/>
      <c r="AA1845" s="6"/>
      <c r="AB1845" s="6"/>
      <c r="AC1845" s="6"/>
      <c r="AD1845" s="6"/>
      <c r="AE1845" s="6"/>
    </row>
    <row r="1846" spans="22:31" ht="11.25" customHeight="1" x14ac:dyDescent="0.25"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</row>
    <row r="1847" spans="22:31" ht="11.25" customHeight="1" x14ac:dyDescent="0.25">
      <c r="V1847" s="6"/>
      <c r="W1847" s="6"/>
      <c r="X1847" s="6"/>
      <c r="Y1847" s="6"/>
      <c r="Z1847" s="6"/>
      <c r="AA1847" s="6"/>
      <c r="AB1847" s="6"/>
      <c r="AC1847" s="6"/>
      <c r="AD1847" s="6"/>
      <c r="AE1847" s="6"/>
    </row>
    <row r="1848" spans="22:31" ht="11.25" customHeight="1" x14ac:dyDescent="0.25">
      <c r="V1848" s="6"/>
      <c r="W1848" s="6"/>
      <c r="X1848" s="6"/>
      <c r="Y1848" s="6"/>
      <c r="Z1848" s="6"/>
      <c r="AA1848" s="6"/>
      <c r="AB1848" s="6"/>
      <c r="AC1848" s="6"/>
      <c r="AD1848" s="6"/>
      <c r="AE1848" s="6"/>
    </row>
    <row r="1849" spans="22:31" ht="11.25" customHeight="1" x14ac:dyDescent="0.25">
      <c r="V1849" s="6"/>
      <c r="W1849" s="6"/>
      <c r="X1849" s="6"/>
      <c r="Y1849" s="6"/>
      <c r="Z1849" s="6"/>
      <c r="AA1849" s="6"/>
      <c r="AB1849" s="6"/>
      <c r="AC1849" s="6"/>
      <c r="AD1849" s="6"/>
      <c r="AE1849" s="6"/>
    </row>
    <row r="1850" spans="22:31" ht="11.25" customHeight="1" x14ac:dyDescent="0.25">
      <c r="V1850" s="6"/>
      <c r="W1850" s="6"/>
      <c r="X1850" s="6"/>
      <c r="Y1850" s="6"/>
      <c r="Z1850" s="6"/>
      <c r="AA1850" s="6"/>
      <c r="AB1850" s="6"/>
      <c r="AC1850" s="6"/>
      <c r="AD1850" s="6"/>
      <c r="AE1850" s="6"/>
    </row>
    <row r="1851" spans="22:31" ht="11.25" customHeight="1" x14ac:dyDescent="0.25">
      <c r="V1851" s="6"/>
      <c r="W1851" s="6"/>
      <c r="X1851" s="6"/>
      <c r="Y1851" s="6"/>
      <c r="Z1851" s="6"/>
      <c r="AA1851" s="6"/>
      <c r="AB1851" s="6"/>
      <c r="AC1851" s="6"/>
      <c r="AD1851" s="6"/>
      <c r="AE1851" s="6"/>
    </row>
    <row r="1852" spans="22:31" ht="11.25" customHeight="1" x14ac:dyDescent="0.25"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</row>
    <row r="1853" spans="22:31" ht="11.25" customHeight="1" x14ac:dyDescent="0.25">
      <c r="V1853" s="6"/>
      <c r="W1853" s="6"/>
      <c r="X1853" s="6"/>
      <c r="Y1853" s="6"/>
      <c r="Z1853" s="6"/>
      <c r="AA1853" s="6"/>
      <c r="AB1853" s="6"/>
      <c r="AC1853" s="6"/>
      <c r="AD1853" s="6"/>
      <c r="AE1853" s="6"/>
    </row>
    <row r="1854" spans="22:31" ht="11.25" customHeight="1" x14ac:dyDescent="0.25"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</row>
    <row r="1855" spans="22:31" ht="11.25" customHeight="1" x14ac:dyDescent="0.25"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</row>
    <row r="1856" spans="22:31" ht="11.25" customHeight="1" x14ac:dyDescent="0.25"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</row>
    <row r="1857" spans="22:31" ht="11.25" customHeight="1" x14ac:dyDescent="0.25"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</row>
    <row r="1858" spans="22:31" ht="11.25" customHeight="1" x14ac:dyDescent="0.25"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</row>
    <row r="1859" spans="22:31" ht="11.25" customHeight="1" x14ac:dyDescent="0.25"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</row>
    <row r="1860" spans="22:31" ht="11.25" customHeight="1" x14ac:dyDescent="0.25">
      <c r="V1860" s="6"/>
      <c r="W1860" s="6"/>
      <c r="X1860" s="6"/>
      <c r="Y1860" s="6"/>
      <c r="Z1860" s="6"/>
      <c r="AA1860" s="6"/>
      <c r="AB1860" s="6"/>
      <c r="AC1860" s="6"/>
      <c r="AD1860" s="6"/>
      <c r="AE1860" s="6"/>
    </row>
    <row r="1861" spans="22:31" ht="11.25" customHeight="1" x14ac:dyDescent="0.25"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</row>
    <row r="1862" spans="22:31" ht="11.25" customHeight="1" x14ac:dyDescent="0.25">
      <c r="V1862" s="6"/>
      <c r="W1862" s="6"/>
      <c r="X1862" s="6"/>
      <c r="Y1862" s="6"/>
      <c r="Z1862" s="6"/>
      <c r="AA1862" s="6"/>
      <c r="AB1862" s="6"/>
      <c r="AC1862" s="6"/>
      <c r="AD1862" s="6"/>
      <c r="AE1862" s="6"/>
    </row>
    <row r="1863" spans="22:31" ht="11.25" customHeight="1" x14ac:dyDescent="0.25"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</row>
    <row r="1864" spans="22:31" ht="11.25" customHeight="1" x14ac:dyDescent="0.25">
      <c r="V1864" s="6"/>
      <c r="W1864" s="6"/>
      <c r="X1864" s="6"/>
      <c r="Y1864" s="6"/>
      <c r="Z1864" s="6"/>
      <c r="AA1864" s="6"/>
      <c r="AB1864" s="6"/>
      <c r="AC1864" s="6"/>
      <c r="AD1864" s="6"/>
      <c r="AE1864" s="6"/>
    </row>
    <row r="1865" spans="22:31" ht="11.25" customHeight="1" x14ac:dyDescent="0.25">
      <c r="V1865" s="6"/>
      <c r="W1865" s="6"/>
      <c r="X1865" s="6"/>
      <c r="Y1865" s="6"/>
      <c r="Z1865" s="6"/>
      <c r="AA1865" s="6"/>
      <c r="AB1865" s="6"/>
      <c r="AC1865" s="6"/>
      <c r="AD1865" s="6"/>
      <c r="AE1865" s="6"/>
    </row>
    <row r="1866" spans="22:31" ht="11.25" customHeight="1" x14ac:dyDescent="0.25">
      <c r="V1866" s="6"/>
      <c r="W1866" s="6"/>
      <c r="X1866" s="6"/>
      <c r="Y1866" s="6"/>
      <c r="Z1866" s="6"/>
      <c r="AA1866" s="6"/>
      <c r="AB1866" s="6"/>
      <c r="AC1866" s="6"/>
      <c r="AD1866" s="6"/>
      <c r="AE1866" s="6"/>
    </row>
    <row r="1867" spans="22:31" ht="11.25" customHeight="1" x14ac:dyDescent="0.25">
      <c r="V1867" s="6"/>
      <c r="W1867" s="6"/>
      <c r="X1867" s="6"/>
      <c r="Y1867" s="6"/>
      <c r="Z1867" s="6"/>
      <c r="AA1867" s="6"/>
      <c r="AB1867" s="6"/>
      <c r="AC1867" s="6"/>
      <c r="AD1867" s="6"/>
      <c r="AE1867" s="6"/>
    </row>
    <row r="1868" spans="22:31" ht="11.25" customHeight="1" x14ac:dyDescent="0.25"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</row>
    <row r="1869" spans="22:31" ht="11.25" customHeight="1" x14ac:dyDescent="0.25"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</row>
    <row r="1870" spans="22:31" ht="11.25" customHeight="1" x14ac:dyDescent="0.25"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</row>
    <row r="1871" spans="22:31" ht="11.25" customHeight="1" x14ac:dyDescent="0.25"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</row>
    <row r="1872" spans="22:31" ht="11.25" customHeight="1" x14ac:dyDescent="0.25"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</row>
    <row r="1873" spans="22:31" ht="11.25" customHeight="1" x14ac:dyDescent="0.25"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</row>
    <row r="1874" spans="22:31" ht="11.25" customHeight="1" x14ac:dyDescent="0.25"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</row>
    <row r="1875" spans="22:31" ht="11.25" customHeight="1" x14ac:dyDescent="0.25"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</row>
    <row r="1876" spans="22:31" ht="11.25" customHeight="1" x14ac:dyDescent="0.25"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</row>
    <row r="1877" spans="22:31" ht="11.25" customHeight="1" x14ac:dyDescent="0.25"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</row>
    <row r="1878" spans="22:31" ht="11.25" customHeight="1" x14ac:dyDescent="0.25"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</row>
    <row r="1879" spans="22:31" ht="11.25" customHeight="1" x14ac:dyDescent="0.25">
      <c r="V1879" s="6"/>
      <c r="W1879" s="6"/>
      <c r="X1879" s="6"/>
      <c r="Y1879" s="6"/>
      <c r="Z1879" s="6"/>
      <c r="AA1879" s="6"/>
      <c r="AB1879" s="6"/>
      <c r="AC1879" s="6"/>
      <c r="AD1879" s="6"/>
      <c r="AE1879" s="6"/>
    </row>
    <row r="1880" spans="22:31" ht="11.25" customHeight="1" x14ac:dyDescent="0.25">
      <c r="V1880" s="6"/>
      <c r="W1880" s="6"/>
      <c r="X1880" s="6"/>
      <c r="Y1880" s="6"/>
      <c r="Z1880" s="6"/>
      <c r="AA1880" s="6"/>
      <c r="AB1880" s="6"/>
      <c r="AC1880" s="6"/>
      <c r="AD1880" s="6"/>
      <c r="AE1880" s="6"/>
    </row>
    <row r="1881" spans="22:31" ht="11.25" customHeight="1" x14ac:dyDescent="0.25">
      <c r="V1881" s="6"/>
      <c r="W1881" s="6"/>
      <c r="X1881" s="6"/>
      <c r="Y1881" s="6"/>
      <c r="Z1881" s="6"/>
      <c r="AA1881" s="6"/>
      <c r="AB1881" s="6"/>
      <c r="AC1881" s="6"/>
      <c r="AD1881" s="6"/>
      <c r="AE1881" s="6"/>
    </row>
    <row r="1882" spans="22:31" ht="11.25" customHeight="1" x14ac:dyDescent="0.25"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</row>
    <row r="1883" spans="22:31" ht="11.25" customHeight="1" x14ac:dyDescent="0.25"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</row>
    <row r="1884" spans="22:31" ht="11.25" customHeight="1" x14ac:dyDescent="0.25"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</row>
    <row r="1885" spans="22:31" ht="11.25" customHeight="1" x14ac:dyDescent="0.25"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</row>
    <row r="1886" spans="22:31" ht="11.25" customHeight="1" x14ac:dyDescent="0.25"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</row>
    <row r="1887" spans="22:31" ht="11.25" customHeight="1" x14ac:dyDescent="0.25"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</row>
    <row r="1888" spans="22:31" ht="11.25" customHeight="1" x14ac:dyDescent="0.25"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</row>
    <row r="1889" spans="22:31" ht="11.25" customHeight="1" x14ac:dyDescent="0.25"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</row>
    <row r="1890" spans="22:31" ht="11.25" customHeight="1" x14ac:dyDescent="0.25"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</row>
    <row r="1891" spans="22:31" ht="11.25" customHeight="1" x14ac:dyDescent="0.25"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</row>
    <row r="1892" spans="22:31" ht="11.25" customHeight="1" x14ac:dyDescent="0.25"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</row>
    <row r="1893" spans="22:31" ht="11.25" customHeight="1" x14ac:dyDescent="0.25"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</row>
    <row r="1894" spans="22:31" ht="11.25" customHeight="1" x14ac:dyDescent="0.25"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</row>
    <row r="1895" spans="22:31" ht="11.25" customHeight="1" x14ac:dyDescent="0.25"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</row>
    <row r="1896" spans="22:31" ht="11.25" customHeight="1" x14ac:dyDescent="0.25"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</row>
    <row r="1897" spans="22:31" ht="11.25" customHeight="1" x14ac:dyDescent="0.25"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</row>
    <row r="1898" spans="22:31" ht="11.25" customHeight="1" x14ac:dyDescent="0.25"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</row>
    <row r="1899" spans="22:31" ht="11.25" customHeight="1" x14ac:dyDescent="0.25"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</row>
    <row r="1900" spans="22:31" ht="11.25" customHeight="1" x14ac:dyDescent="0.25"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</row>
    <row r="1901" spans="22:31" ht="11.25" customHeight="1" x14ac:dyDescent="0.25"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</row>
    <row r="1902" spans="22:31" ht="11.25" customHeight="1" x14ac:dyDescent="0.25"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</row>
    <row r="1903" spans="22:31" ht="11.25" customHeight="1" x14ac:dyDescent="0.25"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</row>
    <row r="1904" spans="22:31" ht="11.25" customHeight="1" x14ac:dyDescent="0.25"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</row>
    <row r="1905" spans="22:31" ht="11.25" customHeight="1" x14ac:dyDescent="0.25">
      <c r="V1905" s="6"/>
      <c r="W1905" s="6"/>
      <c r="X1905" s="6"/>
      <c r="Y1905" s="6"/>
      <c r="Z1905" s="6"/>
      <c r="AA1905" s="6"/>
      <c r="AB1905" s="6"/>
      <c r="AC1905" s="6"/>
      <c r="AD1905" s="6"/>
      <c r="AE1905" s="6"/>
    </row>
    <row r="1906" spans="22:31" ht="11.25" customHeight="1" x14ac:dyDescent="0.25"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</row>
    <row r="1907" spans="22:31" ht="11.25" customHeight="1" x14ac:dyDescent="0.25"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</row>
    <row r="1908" spans="22:31" ht="11.25" customHeight="1" x14ac:dyDescent="0.25">
      <c r="V1908" s="6"/>
      <c r="W1908" s="6"/>
      <c r="X1908" s="6"/>
      <c r="Y1908" s="6"/>
      <c r="Z1908" s="6"/>
      <c r="AA1908" s="6"/>
      <c r="AB1908" s="6"/>
      <c r="AC1908" s="6"/>
      <c r="AD1908" s="6"/>
      <c r="AE1908" s="6"/>
    </row>
    <row r="1909" spans="22:31" ht="11.25" customHeight="1" x14ac:dyDescent="0.25">
      <c r="V1909" s="6"/>
      <c r="W1909" s="6"/>
      <c r="X1909" s="6"/>
      <c r="Y1909" s="6"/>
      <c r="Z1909" s="6"/>
      <c r="AA1909" s="6"/>
      <c r="AB1909" s="6"/>
      <c r="AC1909" s="6"/>
      <c r="AD1909" s="6"/>
      <c r="AE1909" s="6"/>
    </row>
    <row r="1910" spans="22:31" ht="11.25" customHeight="1" x14ac:dyDescent="0.25">
      <c r="V1910" s="6"/>
      <c r="W1910" s="6"/>
      <c r="X1910" s="6"/>
      <c r="Y1910" s="6"/>
      <c r="Z1910" s="6"/>
      <c r="AA1910" s="6"/>
      <c r="AB1910" s="6"/>
      <c r="AC1910" s="6"/>
      <c r="AD1910" s="6"/>
      <c r="AE1910" s="6"/>
    </row>
    <row r="1911" spans="22:31" ht="11.25" customHeight="1" x14ac:dyDescent="0.25"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</row>
    <row r="1912" spans="22:31" ht="11.25" customHeight="1" x14ac:dyDescent="0.25"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</row>
    <row r="1913" spans="22:31" ht="11.25" customHeight="1" x14ac:dyDescent="0.25"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</row>
    <row r="1914" spans="22:31" ht="11.25" customHeight="1" x14ac:dyDescent="0.25"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</row>
    <row r="1915" spans="22:31" ht="11.25" customHeight="1" x14ac:dyDescent="0.25">
      <c r="V1915" s="6"/>
      <c r="W1915" s="6"/>
      <c r="X1915" s="6"/>
      <c r="Y1915" s="6"/>
      <c r="Z1915" s="6"/>
      <c r="AA1915" s="6"/>
      <c r="AB1915" s="6"/>
      <c r="AC1915" s="6"/>
      <c r="AD1915" s="6"/>
      <c r="AE1915" s="6"/>
    </row>
    <row r="1916" spans="22:31" ht="11.25" customHeight="1" x14ac:dyDescent="0.25"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</row>
    <row r="1917" spans="22:31" ht="11.25" customHeight="1" x14ac:dyDescent="0.25"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</row>
    <row r="1918" spans="22:31" ht="11.25" customHeight="1" x14ac:dyDescent="0.25">
      <c r="V1918" s="6"/>
      <c r="W1918" s="6"/>
      <c r="X1918" s="6"/>
      <c r="Y1918" s="6"/>
      <c r="Z1918" s="6"/>
      <c r="AA1918" s="6"/>
      <c r="AB1918" s="6"/>
      <c r="AC1918" s="6"/>
      <c r="AD1918" s="6"/>
      <c r="AE1918" s="6"/>
    </row>
    <row r="1919" spans="22:31" ht="11.25" customHeight="1" x14ac:dyDescent="0.25">
      <c r="V1919" s="6"/>
      <c r="W1919" s="6"/>
      <c r="X1919" s="6"/>
      <c r="Y1919" s="6"/>
      <c r="Z1919" s="6"/>
      <c r="AA1919" s="6"/>
      <c r="AB1919" s="6"/>
      <c r="AC1919" s="6"/>
      <c r="AD1919" s="6"/>
      <c r="AE1919" s="6"/>
    </row>
    <row r="1920" spans="22:31" ht="11.25" customHeight="1" x14ac:dyDescent="0.25"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</row>
    <row r="1921" spans="22:31" ht="11.25" customHeight="1" x14ac:dyDescent="0.25"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</row>
    <row r="1922" spans="22:31" ht="11.25" customHeight="1" x14ac:dyDescent="0.25">
      <c r="V1922" s="6"/>
      <c r="W1922" s="6"/>
      <c r="X1922" s="6"/>
      <c r="Y1922" s="6"/>
      <c r="Z1922" s="6"/>
      <c r="AA1922" s="6"/>
      <c r="AB1922" s="6"/>
      <c r="AC1922" s="6"/>
      <c r="AD1922" s="6"/>
      <c r="AE1922" s="6"/>
    </row>
    <row r="1923" spans="22:31" ht="11.25" customHeight="1" x14ac:dyDescent="0.25"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</row>
    <row r="1924" spans="22:31" ht="11.25" customHeight="1" x14ac:dyDescent="0.25">
      <c r="V1924" s="6"/>
      <c r="W1924" s="6"/>
      <c r="X1924" s="6"/>
      <c r="Y1924" s="6"/>
      <c r="Z1924" s="6"/>
      <c r="AA1924" s="6"/>
      <c r="AB1924" s="6"/>
      <c r="AC1924" s="6"/>
      <c r="AD1924" s="6"/>
      <c r="AE1924" s="6"/>
    </row>
    <row r="1925" spans="22:31" ht="11.25" customHeight="1" x14ac:dyDescent="0.25">
      <c r="V1925" s="6"/>
      <c r="W1925" s="6"/>
      <c r="X1925" s="6"/>
      <c r="Y1925" s="6"/>
      <c r="Z1925" s="6"/>
      <c r="AA1925" s="6"/>
      <c r="AB1925" s="6"/>
      <c r="AC1925" s="6"/>
      <c r="AD1925" s="6"/>
      <c r="AE1925" s="6"/>
    </row>
    <row r="1926" spans="22:31" ht="11.25" customHeight="1" x14ac:dyDescent="0.25">
      <c r="V1926" s="6"/>
      <c r="W1926" s="6"/>
      <c r="X1926" s="6"/>
      <c r="Y1926" s="6"/>
      <c r="Z1926" s="6"/>
      <c r="AA1926" s="6"/>
      <c r="AB1926" s="6"/>
      <c r="AC1926" s="6"/>
      <c r="AD1926" s="6"/>
      <c r="AE1926" s="6"/>
    </row>
    <row r="1927" spans="22:31" ht="11.25" customHeight="1" x14ac:dyDescent="0.25"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</row>
    <row r="1928" spans="22:31" ht="11.25" customHeight="1" x14ac:dyDescent="0.25">
      <c r="V1928" s="6"/>
      <c r="W1928" s="6"/>
      <c r="X1928" s="6"/>
      <c r="Y1928" s="6"/>
      <c r="Z1928" s="6"/>
      <c r="AA1928" s="6"/>
      <c r="AB1928" s="6"/>
      <c r="AC1928" s="6"/>
      <c r="AD1928" s="6"/>
      <c r="AE1928" s="6"/>
    </row>
    <row r="1929" spans="22:31" ht="11.25" customHeight="1" x14ac:dyDescent="0.25">
      <c r="V1929" s="6"/>
      <c r="W1929" s="6"/>
      <c r="X1929" s="6"/>
      <c r="Y1929" s="6"/>
      <c r="Z1929" s="6"/>
      <c r="AA1929" s="6"/>
      <c r="AB1929" s="6"/>
      <c r="AC1929" s="6"/>
      <c r="AD1929" s="6"/>
      <c r="AE1929" s="6"/>
    </row>
    <row r="1930" spans="22:31" ht="11.25" customHeight="1" x14ac:dyDescent="0.25">
      <c r="V1930" s="6"/>
      <c r="W1930" s="6"/>
      <c r="X1930" s="6"/>
      <c r="Y1930" s="6"/>
      <c r="Z1930" s="6"/>
      <c r="AA1930" s="6"/>
      <c r="AB1930" s="6"/>
      <c r="AC1930" s="6"/>
      <c r="AD1930" s="6"/>
      <c r="AE1930" s="6"/>
    </row>
    <row r="1931" spans="22:31" ht="11.25" customHeight="1" x14ac:dyDescent="0.25">
      <c r="V1931" s="6"/>
      <c r="W1931" s="6"/>
      <c r="X1931" s="6"/>
      <c r="Y1931" s="6"/>
      <c r="Z1931" s="6"/>
      <c r="AA1931" s="6"/>
      <c r="AB1931" s="6"/>
      <c r="AC1931" s="6"/>
      <c r="AD1931" s="6"/>
      <c r="AE1931" s="6"/>
    </row>
    <row r="1932" spans="22:31" ht="11.25" customHeight="1" x14ac:dyDescent="0.25">
      <c r="V1932" s="6"/>
      <c r="W1932" s="6"/>
      <c r="X1932" s="6"/>
      <c r="Y1932" s="6"/>
      <c r="Z1932" s="6"/>
      <c r="AA1932" s="6"/>
      <c r="AB1932" s="6"/>
      <c r="AC1932" s="6"/>
      <c r="AD1932" s="6"/>
      <c r="AE1932" s="6"/>
    </row>
    <row r="1933" spans="22:31" ht="11.25" customHeight="1" x14ac:dyDescent="0.25">
      <c r="V1933" s="6"/>
      <c r="W1933" s="6"/>
      <c r="X1933" s="6"/>
      <c r="Y1933" s="6"/>
      <c r="Z1933" s="6"/>
      <c r="AA1933" s="6"/>
      <c r="AB1933" s="6"/>
      <c r="AC1933" s="6"/>
      <c r="AD1933" s="6"/>
      <c r="AE1933" s="6"/>
    </row>
    <row r="1934" spans="22:31" ht="11.25" customHeight="1" x14ac:dyDescent="0.25"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</row>
    <row r="1935" spans="22:31" ht="11.25" customHeight="1" x14ac:dyDescent="0.25"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</row>
    <row r="1936" spans="22:31" ht="11.25" customHeight="1" x14ac:dyDescent="0.25">
      <c r="V1936" s="6"/>
      <c r="W1936" s="6"/>
      <c r="X1936" s="6"/>
      <c r="Y1936" s="6"/>
      <c r="Z1936" s="6"/>
      <c r="AA1936" s="6"/>
      <c r="AB1936" s="6"/>
      <c r="AC1936" s="6"/>
      <c r="AD1936" s="6"/>
      <c r="AE1936" s="6"/>
    </row>
    <row r="1937" spans="22:31" ht="11.25" customHeight="1" x14ac:dyDescent="0.25">
      <c r="V1937" s="6"/>
      <c r="W1937" s="6"/>
      <c r="X1937" s="6"/>
      <c r="Y1937" s="6"/>
      <c r="Z1937" s="6"/>
      <c r="AA1937" s="6"/>
      <c r="AB1937" s="6"/>
      <c r="AC1937" s="6"/>
      <c r="AD1937" s="6"/>
      <c r="AE1937" s="6"/>
    </row>
    <row r="1938" spans="22:31" ht="11.25" customHeight="1" x14ac:dyDescent="0.25">
      <c r="V1938" s="6"/>
      <c r="W1938" s="6"/>
      <c r="X1938" s="6"/>
      <c r="Y1938" s="6"/>
      <c r="Z1938" s="6"/>
      <c r="AA1938" s="6"/>
      <c r="AB1938" s="6"/>
      <c r="AC1938" s="6"/>
      <c r="AD1938" s="6"/>
      <c r="AE1938" s="6"/>
    </row>
    <row r="1939" spans="22:31" ht="11.25" customHeight="1" x14ac:dyDescent="0.25">
      <c r="V1939" s="6"/>
      <c r="W1939" s="6"/>
      <c r="X1939" s="6"/>
      <c r="Y1939" s="6"/>
      <c r="Z1939" s="6"/>
      <c r="AA1939" s="6"/>
      <c r="AB1939" s="6"/>
      <c r="AC1939" s="6"/>
      <c r="AD1939" s="6"/>
      <c r="AE1939" s="6"/>
    </row>
    <row r="1940" spans="22:31" ht="11.25" customHeight="1" x14ac:dyDescent="0.25">
      <c r="V1940" s="6"/>
      <c r="W1940" s="6"/>
      <c r="X1940" s="6"/>
      <c r="Y1940" s="6"/>
      <c r="Z1940" s="6"/>
      <c r="AA1940" s="6"/>
      <c r="AB1940" s="6"/>
      <c r="AC1940" s="6"/>
      <c r="AD1940" s="6"/>
      <c r="AE1940" s="6"/>
    </row>
    <row r="1941" spans="22:31" ht="11.25" customHeight="1" x14ac:dyDescent="0.25">
      <c r="V1941" s="6"/>
      <c r="W1941" s="6"/>
      <c r="X1941" s="6"/>
      <c r="Y1941" s="6"/>
      <c r="Z1941" s="6"/>
      <c r="AA1941" s="6"/>
      <c r="AB1941" s="6"/>
      <c r="AC1941" s="6"/>
      <c r="AD1941" s="6"/>
      <c r="AE1941" s="6"/>
    </row>
    <row r="1942" spans="22:31" ht="11.25" customHeight="1" x14ac:dyDescent="0.25"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</row>
    <row r="1943" spans="22:31" ht="11.25" customHeight="1" x14ac:dyDescent="0.25"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</row>
    <row r="1944" spans="22:31" ht="11.25" customHeight="1" x14ac:dyDescent="0.25"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</row>
    <row r="1945" spans="22:31" ht="11.25" customHeight="1" x14ac:dyDescent="0.25">
      <c r="V1945" s="6"/>
      <c r="W1945" s="6"/>
      <c r="X1945" s="6"/>
      <c r="Y1945" s="6"/>
      <c r="Z1945" s="6"/>
      <c r="AA1945" s="6"/>
      <c r="AB1945" s="6"/>
      <c r="AC1945" s="6"/>
      <c r="AD1945" s="6"/>
      <c r="AE1945" s="6"/>
    </row>
    <row r="1946" spans="22:31" ht="11.25" customHeight="1" x14ac:dyDescent="0.25">
      <c r="V1946" s="6"/>
      <c r="W1946" s="6"/>
      <c r="X1946" s="6"/>
      <c r="Y1946" s="6"/>
      <c r="Z1946" s="6"/>
      <c r="AA1946" s="6"/>
      <c r="AB1946" s="6"/>
      <c r="AC1946" s="6"/>
      <c r="AD1946" s="6"/>
      <c r="AE1946" s="6"/>
    </row>
    <row r="1947" spans="22:31" ht="11.25" customHeight="1" x14ac:dyDescent="0.25">
      <c r="V1947" s="6"/>
      <c r="W1947" s="6"/>
      <c r="X1947" s="6"/>
      <c r="Y1947" s="6"/>
      <c r="Z1947" s="6"/>
      <c r="AA1947" s="6"/>
      <c r="AB1947" s="6"/>
      <c r="AC1947" s="6"/>
      <c r="AD1947" s="6"/>
      <c r="AE1947" s="6"/>
    </row>
    <row r="1948" spans="22:31" ht="11.25" customHeight="1" x14ac:dyDescent="0.25">
      <c r="V1948" s="6"/>
      <c r="W1948" s="6"/>
      <c r="X1948" s="6"/>
      <c r="Y1948" s="6"/>
      <c r="Z1948" s="6"/>
      <c r="AA1948" s="6"/>
      <c r="AB1948" s="6"/>
      <c r="AC1948" s="6"/>
      <c r="AD1948" s="6"/>
      <c r="AE1948" s="6"/>
    </row>
    <row r="1949" spans="22:31" ht="11.25" customHeight="1" x14ac:dyDescent="0.25">
      <c r="V1949" s="6"/>
      <c r="W1949" s="6"/>
      <c r="X1949" s="6"/>
      <c r="Y1949" s="6"/>
      <c r="Z1949" s="6"/>
      <c r="AA1949" s="6"/>
      <c r="AB1949" s="6"/>
      <c r="AC1949" s="6"/>
      <c r="AD1949" s="6"/>
      <c r="AE1949" s="6"/>
    </row>
    <row r="1950" spans="22:31" ht="11.25" customHeight="1" x14ac:dyDescent="0.25"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</row>
    <row r="1951" spans="22:31" ht="11.25" customHeight="1" x14ac:dyDescent="0.25"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</row>
    <row r="1952" spans="22:31" ht="11.25" customHeight="1" x14ac:dyDescent="0.25"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</row>
    <row r="1953" spans="22:31" ht="11.25" customHeight="1" x14ac:dyDescent="0.25"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</row>
    <row r="1954" spans="22:31" ht="11.25" customHeight="1" x14ac:dyDescent="0.25"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</row>
    <row r="1955" spans="22:31" ht="11.25" customHeight="1" x14ac:dyDescent="0.25"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</row>
    <row r="1956" spans="22:31" ht="11.25" customHeight="1" x14ac:dyDescent="0.25"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</row>
    <row r="1957" spans="22:31" ht="11.25" customHeight="1" x14ac:dyDescent="0.25">
      <c r="V1957" s="6"/>
      <c r="W1957" s="6"/>
      <c r="X1957" s="6"/>
      <c r="Y1957" s="6"/>
      <c r="Z1957" s="6"/>
      <c r="AA1957" s="6"/>
      <c r="AB1957" s="6"/>
      <c r="AC1957" s="6"/>
      <c r="AD1957" s="6"/>
      <c r="AE1957" s="6"/>
    </row>
    <row r="1958" spans="22:31" ht="11.25" customHeight="1" x14ac:dyDescent="0.25"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</row>
    <row r="1959" spans="22:31" ht="11.25" customHeight="1" x14ac:dyDescent="0.25"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</row>
    <row r="1960" spans="22:31" ht="11.25" customHeight="1" x14ac:dyDescent="0.25"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</row>
    <row r="1961" spans="22:31" ht="11.25" customHeight="1" x14ac:dyDescent="0.25">
      <c r="V1961" s="6"/>
      <c r="W1961" s="6"/>
      <c r="X1961" s="6"/>
      <c r="Y1961" s="6"/>
      <c r="Z1961" s="6"/>
      <c r="AA1961" s="6"/>
      <c r="AB1961" s="6"/>
      <c r="AC1961" s="6"/>
      <c r="AD1961" s="6"/>
      <c r="AE1961" s="6"/>
    </row>
    <row r="1962" spans="22:31" ht="11.25" customHeight="1" x14ac:dyDescent="0.25">
      <c r="V1962" s="6"/>
      <c r="W1962" s="6"/>
      <c r="X1962" s="6"/>
      <c r="Y1962" s="6"/>
      <c r="Z1962" s="6"/>
      <c r="AA1962" s="6"/>
      <c r="AB1962" s="6"/>
      <c r="AC1962" s="6"/>
      <c r="AD1962" s="6"/>
      <c r="AE1962" s="6"/>
    </row>
    <row r="1963" spans="22:31" ht="11.25" customHeight="1" x14ac:dyDescent="0.25">
      <c r="V1963" s="6"/>
      <c r="W1963" s="6"/>
      <c r="X1963" s="6"/>
      <c r="Y1963" s="6"/>
      <c r="Z1963" s="6"/>
      <c r="AA1963" s="6"/>
      <c r="AB1963" s="6"/>
      <c r="AC1963" s="6"/>
      <c r="AD1963" s="6"/>
      <c r="AE1963" s="6"/>
    </row>
    <row r="1964" spans="22:31" ht="11.25" customHeight="1" x14ac:dyDescent="0.25">
      <c r="V1964" s="6"/>
      <c r="W1964" s="6"/>
      <c r="X1964" s="6"/>
      <c r="Y1964" s="6"/>
      <c r="Z1964" s="6"/>
      <c r="AA1964" s="6"/>
      <c r="AB1964" s="6"/>
      <c r="AC1964" s="6"/>
      <c r="AD1964" s="6"/>
      <c r="AE1964" s="6"/>
    </row>
    <row r="1965" spans="22:31" ht="11.25" customHeight="1" x14ac:dyDescent="0.25"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</row>
    <row r="1966" spans="22:31" ht="11.25" customHeight="1" x14ac:dyDescent="0.25"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</row>
    <row r="1967" spans="22:31" ht="11.25" customHeight="1" x14ac:dyDescent="0.25"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</row>
    <row r="1968" spans="22:31" ht="11.25" customHeight="1" x14ac:dyDescent="0.25"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</row>
    <row r="1969" spans="22:31" ht="11.25" customHeight="1" x14ac:dyDescent="0.25"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</row>
    <row r="1970" spans="22:31" ht="11.25" customHeight="1" x14ac:dyDescent="0.25">
      <c r="V1970" s="6"/>
      <c r="W1970" s="6"/>
      <c r="X1970" s="6"/>
      <c r="Y1970" s="6"/>
      <c r="Z1970" s="6"/>
      <c r="AA1970" s="6"/>
      <c r="AB1970" s="6"/>
      <c r="AC1970" s="6"/>
      <c r="AD1970" s="6"/>
      <c r="AE1970" s="6"/>
    </row>
    <row r="1971" spans="22:31" ht="11.25" customHeight="1" x14ac:dyDescent="0.25">
      <c r="V1971" s="6"/>
      <c r="W1971" s="6"/>
      <c r="X1971" s="6"/>
      <c r="Y1971" s="6"/>
      <c r="Z1971" s="6"/>
      <c r="AA1971" s="6"/>
      <c r="AB1971" s="6"/>
      <c r="AC1971" s="6"/>
      <c r="AD1971" s="6"/>
      <c r="AE1971" s="6"/>
    </row>
    <row r="1972" spans="22:31" ht="11.25" customHeight="1" x14ac:dyDescent="0.25">
      <c r="V1972" s="6"/>
      <c r="W1972" s="6"/>
      <c r="X1972" s="6"/>
      <c r="Y1972" s="6"/>
      <c r="Z1972" s="6"/>
      <c r="AA1972" s="6"/>
      <c r="AB1972" s="6"/>
      <c r="AC1972" s="6"/>
      <c r="AD1972" s="6"/>
      <c r="AE1972" s="6"/>
    </row>
    <row r="1973" spans="22:31" ht="11.25" customHeight="1" x14ac:dyDescent="0.25">
      <c r="V1973" s="6"/>
      <c r="W1973" s="6"/>
      <c r="X1973" s="6"/>
      <c r="Y1973" s="6"/>
      <c r="Z1973" s="6"/>
      <c r="AA1973" s="6"/>
      <c r="AB1973" s="6"/>
      <c r="AC1973" s="6"/>
      <c r="AD1973" s="6"/>
      <c r="AE1973" s="6"/>
    </row>
    <row r="1974" spans="22:31" ht="11.25" customHeight="1" x14ac:dyDescent="0.25"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</row>
    <row r="1975" spans="22:31" ht="11.25" customHeight="1" x14ac:dyDescent="0.25"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</row>
    <row r="1976" spans="22:31" ht="11.25" customHeight="1" x14ac:dyDescent="0.25"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</row>
    <row r="1977" spans="22:31" ht="11.25" customHeight="1" x14ac:dyDescent="0.25">
      <c r="V1977" s="6"/>
      <c r="W1977" s="6"/>
      <c r="X1977" s="6"/>
      <c r="Y1977" s="6"/>
      <c r="Z1977" s="6"/>
      <c r="AA1977" s="6"/>
      <c r="AB1977" s="6"/>
      <c r="AC1977" s="6"/>
      <c r="AD1977" s="6"/>
      <c r="AE1977" s="6"/>
    </row>
    <row r="1978" spans="22:31" ht="11.25" customHeight="1" x14ac:dyDescent="0.25">
      <c r="V1978" s="6"/>
      <c r="W1978" s="6"/>
      <c r="X1978" s="6"/>
      <c r="Y1978" s="6"/>
      <c r="Z1978" s="6"/>
      <c r="AA1978" s="6"/>
      <c r="AB1978" s="6"/>
      <c r="AC1978" s="6"/>
      <c r="AD1978" s="6"/>
      <c r="AE1978" s="6"/>
    </row>
    <row r="1979" spans="22:31" ht="11.25" customHeight="1" x14ac:dyDescent="0.25"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</row>
    <row r="1980" spans="22:31" ht="11.25" customHeight="1" x14ac:dyDescent="0.25"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</row>
    <row r="1981" spans="22:31" ht="11.25" customHeight="1" x14ac:dyDescent="0.25"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</row>
    <row r="1982" spans="22:31" ht="11.25" customHeight="1" x14ac:dyDescent="0.25"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</row>
    <row r="1983" spans="22:31" ht="11.25" customHeight="1" x14ac:dyDescent="0.25">
      <c r="V1983" s="6"/>
      <c r="W1983" s="6"/>
      <c r="X1983" s="6"/>
      <c r="Y1983" s="6"/>
      <c r="Z1983" s="6"/>
      <c r="AA1983" s="6"/>
      <c r="AB1983" s="6"/>
      <c r="AC1983" s="6"/>
      <c r="AD1983" s="6"/>
      <c r="AE1983" s="6"/>
    </row>
    <row r="1984" spans="22:31" ht="11.25" customHeight="1" x14ac:dyDescent="0.25">
      <c r="V1984" s="6"/>
      <c r="W1984" s="6"/>
      <c r="X1984" s="6"/>
      <c r="Y1984" s="6"/>
      <c r="Z1984" s="6"/>
      <c r="AA1984" s="6"/>
      <c r="AB1984" s="6"/>
      <c r="AC1984" s="6"/>
      <c r="AD1984" s="6"/>
      <c r="AE1984" s="6"/>
    </row>
    <row r="1985" spans="22:31" ht="11.25" customHeight="1" x14ac:dyDescent="0.25">
      <c r="V1985" s="6"/>
      <c r="W1985" s="6"/>
      <c r="X1985" s="6"/>
      <c r="Y1985" s="6"/>
      <c r="Z1985" s="6"/>
      <c r="AA1985" s="6"/>
      <c r="AB1985" s="6"/>
      <c r="AC1985" s="6"/>
      <c r="AD1985" s="6"/>
      <c r="AE1985" s="6"/>
    </row>
    <row r="1986" spans="22:31" ht="11.25" customHeight="1" x14ac:dyDescent="0.25"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</row>
    <row r="1987" spans="22:31" ht="11.25" customHeight="1" x14ac:dyDescent="0.25">
      <c r="V1987" s="6"/>
      <c r="W1987" s="6"/>
      <c r="X1987" s="6"/>
      <c r="Y1987" s="6"/>
      <c r="Z1987" s="6"/>
      <c r="AA1987" s="6"/>
      <c r="AB1987" s="6"/>
      <c r="AC1987" s="6"/>
      <c r="AD1987" s="6"/>
      <c r="AE1987" s="6"/>
    </row>
    <row r="1988" spans="22:31" ht="11.25" customHeight="1" x14ac:dyDescent="0.25">
      <c r="V1988" s="6"/>
      <c r="W1988" s="6"/>
      <c r="X1988" s="6"/>
      <c r="Y1988" s="6"/>
      <c r="Z1988" s="6"/>
      <c r="AA1988" s="6"/>
      <c r="AB1988" s="6"/>
      <c r="AC1988" s="6"/>
      <c r="AD1988" s="6"/>
      <c r="AE1988" s="6"/>
    </row>
    <row r="1989" spans="22:31" ht="11.25" customHeight="1" x14ac:dyDescent="0.25">
      <c r="V1989" s="6"/>
      <c r="W1989" s="6"/>
      <c r="X1989" s="6"/>
      <c r="Y1989" s="6"/>
      <c r="Z1989" s="6"/>
      <c r="AA1989" s="6"/>
      <c r="AB1989" s="6"/>
      <c r="AC1989" s="6"/>
      <c r="AD1989" s="6"/>
      <c r="AE1989" s="6"/>
    </row>
    <row r="1990" spans="22:31" ht="11.25" customHeight="1" x14ac:dyDescent="0.25"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</row>
    <row r="1991" spans="22:31" ht="11.25" customHeight="1" x14ac:dyDescent="0.25">
      <c r="V1991" s="6"/>
      <c r="W1991" s="6"/>
      <c r="X1991" s="6"/>
      <c r="Y1991" s="6"/>
      <c r="Z1991" s="6"/>
      <c r="AA1991" s="6"/>
      <c r="AB1991" s="6"/>
      <c r="AC1991" s="6"/>
      <c r="AD1991" s="6"/>
      <c r="AE1991" s="6"/>
    </row>
    <row r="1992" spans="22:31" ht="11.25" customHeight="1" x14ac:dyDescent="0.25">
      <c r="V1992" s="6"/>
      <c r="W1992" s="6"/>
      <c r="X1992" s="6"/>
      <c r="Y1992" s="6"/>
      <c r="Z1992" s="6"/>
      <c r="AA1992" s="6"/>
      <c r="AB1992" s="6"/>
      <c r="AC1992" s="6"/>
      <c r="AD1992" s="6"/>
      <c r="AE1992" s="6"/>
    </row>
    <row r="1993" spans="22:31" ht="11.25" customHeight="1" x14ac:dyDescent="0.25">
      <c r="V1993" s="6"/>
      <c r="W1993" s="6"/>
      <c r="X1993" s="6"/>
      <c r="Y1993" s="6"/>
      <c r="Z1993" s="6"/>
      <c r="AA1993" s="6"/>
      <c r="AB1993" s="6"/>
      <c r="AC1993" s="6"/>
      <c r="AD1993" s="6"/>
      <c r="AE1993" s="6"/>
    </row>
    <row r="1994" spans="22:31" ht="11.25" customHeight="1" x14ac:dyDescent="0.25">
      <c r="V1994" s="6"/>
      <c r="W1994" s="6"/>
      <c r="X1994" s="6"/>
      <c r="Y1994" s="6"/>
      <c r="Z1994" s="6"/>
      <c r="AA1994" s="6"/>
      <c r="AB1994" s="6"/>
      <c r="AC1994" s="6"/>
      <c r="AD1994" s="6"/>
      <c r="AE1994" s="6"/>
    </row>
    <row r="1995" spans="22:31" ht="11.25" customHeight="1" x14ac:dyDescent="0.25"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</row>
    <row r="1996" spans="22:31" ht="11.25" customHeight="1" x14ac:dyDescent="0.25"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</row>
    <row r="1997" spans="22:31" ht="11.25" customHeight="1" x14ac:dyDescent="0.25">
      <c r="V1997" s="6"/>
      <c r="W1997" s="6"/>
      <c r="X1997" s="6"/>
      <c r="Y1997" s="6"/>
      <c r="Z1997" s="6"/>
      <c r="AA1997" s="6"/>
      <c r="AB1997" s="6"/>
      <c r="AC1997" s="6"/>
      <c r="AD1997" s="6"/>
      <c r="AE1997" s="6"/>
    </row>
    <row r="1998" spans="22:31" ht="11.25" customHeight="1" x14ac:dyDescent="0.25"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</row>
    <row r="1999" spans="22:31" ht="11.25" customHeight="1" x14ac:dyDescent="0.25">
      <c r="V1999" s="6"/>
      <c r="W1999" s="6"/>
      <c r="X1999" s="6"/>
      <c r="Y1999" s="6"/>
      <c r="Z1999" s="6"/>
      <c r="AA1999" s="6"/>
      <c r="AB1999" s="6"/>
      <c r="AC1999" s="6"/>
      <c r="AD1999" s="6"/>
      <c r="AE1999" s="6"/>
    </row>
    <row r="2000" spans="22:31" ht="11.25" customHeight="1" x14ac:dyDescent="0.25">
      <c r="V2000" s="6"/>
      <c r="W2000" s="6"/>
      <c r="X2000" s="6"/>
      <c r="Y2000" s="6"/>
      <c r="Z2000" s="6"/>
      <c r="AA2000" s="6"/>
      <c r="AB2000" s="6"/>
      <c r="AC2000" s="6"/>
      <c r="AD2000" s="6"/>
      <c r="AE2000" s="6"/>
    </row>
    <row r="2001" spans="22:31" ht="11.25" customHeight="1" x14ac:dyDescent="0.25">
      <c r="V2001" s="6"/>
      <c r="W2001" s="6"/>
      <c r="X2001" s="6"/>
      <c r="Y2001" s="6"/>
      <c r="Z2001" s="6"/>
      <c r="AA2001" s="6"/>
      <c r="AB2001" s="6"/>
      <c r="AC2001" s="6"/>
      <c r="AD2001" s="6"/>
      <c r="AE2001" s="6"/>
    </row>
    <row r="2002" spans="22:31" ht="11.25" customHeight="1" x14ac:dyDescent="0.25">
      <c r="V2002" s="6"/>
      <c r="W2002" s="6"/>
      <c r="X2002" s="6"/>
      <c r="Y2002" s="6"/>
      <c r="Z2002" s="6"/>
      <c r="AA2002" s="6"/>
      <c r="AB2002" s="6"/>
      <c r="AC2002" s="6"/>
      <c r="AD2002" s="6"/>
      <c r="AE2002" s="6"/>
    </row>
    <row r="2003" spans="22:31" ht="11.25" customHeight="1" x14ac:dyDescent="0.25"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</row>
    <row r="2004" spans="22:31" ht="11.25" customHeight="1" x14ac:dyDescent="0.25"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</row>
    <row r="2005" spans="22:31" ht="11.25" customHeight="1" x14ac:dyDescent="0.25">
      <c r="V2005" s="6"/>
      <c r="W2005" s="6"/>
      <c r="X2005" s="6"/>
      <c r="Y2005" s="6"/>
      <c r="Z2005" s="6"/>
      <c r="AA2005" s="6"/>
      <c r="AB2005" s="6"/>
      <c r="AC2005" s="6"/>
      <c r="AD2005" s="6"/>
      <c r="AE2005" s="6"/>
    </row>
    <row r="2006" spans="22:31" ht="11.25" customHeight="1" x14ac:dyDescent="0.25"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</row>
    <row r="2007" spans="22:31" ht="11.25" customHeight="1" x14ac:dyDescent="0.25">
      <c r="V2007" s="6"/>
      <c r="W2007" s="6"/>
      <c r="X2007" s="6"/>
      <c r="Y2007" s="6"/>
      <c r="Z2007" s="6"/>
      <c r="AA2007" s="6"/>
      <c r="AB2007" s="6"/>
      <c r="AC2007" s="6"/>
      <c r="AD2007" s="6"/>
      <c r="AE2007" s="6"/>
    </row>
    <row r="2008" spans="22:31" ht="11.25" customHeight="1" x14ac:dyDescent="0.25">
      <c r="V2008" s="6"/>
      <c r="W2008" s="6"/>
      <c r="X2008" s="6"/>
      <c r="Y2008" s="6"/>
      <c r="Z2008" s="6"/>
      <c r="AA2008" s="6"/>
      <c r="AB2008" s="6"/>
      <c r="AC2008" s="6"/>
      <c r="AD2008" s="6"/>
      <c r="AE2008" s="6"/>
    </row>
    <row r="2009" spans="22:31" ht="11.25" customHeight="1" x14ac:dyDescent="0.25">
      <c r="V2009" s="6"/>
      <c r="W2009" s="6"/>
      <c r="X2009" s="6"/>
      <c r="Y2009" s="6"/>
      <c r="Z2009" s="6"/>
      <c r="AA2009" s="6"/>
      <c r="AB2009" s="6"/>
      <c r="AC2009" s="6"/>
      <c r="AD2009" s="6"/>
      <c r="AE2009" s="6"/>
    </row>
    <row r="2010" spans="22:31" ht="11.25" customHeight="1" x14ac:dyDescent="0.25">
      <c r="V2010" s="6"/>
      <c r="W2010" s="6"/>
      <c r="X2010" s="6"/>
      <c r="Y2010" s="6"/>
      <c r="Z2010" s="6"/>
      <c r="AA2010" s="6"/>
      <c r="AB2010" s="6"/>
      <c r="AC2010" s="6"/>
      <c r="AD2010" s="6"/>
      <c r="AE2010" s="6"/>
    </row>
    <row r="2011" spans="22:31" ht="11.25" customHeight="1" x14ac:dyDescent="0.25">
      <c r="V2011" s="6"/>
      <c r="W2011" s="6"/>
      <c r="X2011" s="6"/>
      <c r="Y2011" s="6"/>
      <c r="Z2011" s="6"/>
      <c r="AA2011" s="6"/>
      <c r="AB2011" s="6"/>
      <c r="AC2011" s="6"/>
      <c r="AD2011" s="6"/>
      <c r="AE2011" s="6"/>
    </row>
    <row r="2012" spans="22:31" ht="11.25" customHeight="1" x14ac:dyDescent="0.25">
      <c r="V2012" s="6"/>
      <c r="W2012" s="6"/>
      <c r="X2012" s="6"/>
      <c r="Y2012" s="6"/>
      <c r="Z2012" s="6"/>
      <c r="AA2012" s="6"/>
      <c r="AB2012" s="6"/>
      <c r="AC2012" s="6"/>
      <c r="AD2012" s="6"/>
      <c r="AE2012" s="6"/>
    </row>
    <row r="2013" spans="22:31" ht="11.25" customHeight="1" x14ac:dyDescent="0.25">
      <c r="V2013" s="6"/>
      <c r="W2013" s="6"/>
      <c r="X2013" s="6"/>
      <c r="Y2013" s="6"/>
      <c r="Z2013" s="6"/>
      <c r="AA2013" s="6"/>
      <c r="AB2013" s="6"/>
      <c r="AC2013" s="6"/>
      <c r="AD2013" s="6"/>
      <c r="AE2013" s="6"/>
    </row>
    <row r="2014" spans="22:31" ht="11.25" customHeight="1" x14ac:dyDescent="0.25">
      <c r="V2014" s="6"/>
      <c r="W2014" s="6"/>
      <c r="X2014" s="6"/>
      <c r="Y2014" s="6"/>
      <c r="Z2014" s="6"/>
      <c r="AA2014" s="6"/>
      <c r="AB2014" s="6"/>
      <c r="AC2014" s="6"/>
      <c r="AD2014" s="6"/>
      <c r="AE2014" s="6"/>
    </row>
    <row r="2015" spans="22:31" ht="11.25" customHeight="1" x14ac:dyDescent="0.25">
      <c r="V2015" s="6"/>
      <c r="W2015" s="6"/>
      <c r="X2015" s="6"/>
      <c r="Y2015" s="6"/>
      <c r="Z2015" s="6"/>
      <c r="AA2015" s="6"/>
      <c r="AB2015" s="6"/>
      <c r="AC2015" s="6"/>
      <c r="AD2015" s="6"/>
      <c r="AE2015" s="6"/>
    </row>
    <row r="2016" spans="22:31" ht="11.25" customHeight="1" x14ac:dyDescent="0.25">
      <c r="V2016" s="6"/>
      <c r="W2016" s="6"/>
      <c r="X2016" s="6"/>
      <c r="Y2016" s="6"/>
      <c r="Z2016" s="6"/>
      <c r="AA2016" s="6"/>
      <c r="AB2016" s="6"/>
      <c r="AC2016" s="6"/>
      <c r="AD2016" s="6"/>
      <c r="AE2016" s="6"/>
    </row>
    <row r="2017" spans="22:31" ht="11.25" customHeight="1" x14ac:dyDescent="0.25">
      <c r="V2017" s="6"/>
      <c r="W2017" s="6"/>
      <c r="X2017" s="6"/>
      <c r="Y2017" s="6"/>
      <c r="Z2017" s="6"/>
      <c r="AA2017" s="6"/>
      <c r="AB2017" s="6"/>
      <c r="AC2017" s="6"/>
      <c r="AD2017" s="6"/>
      <c r="AE2017" s="6"/>
    </row>
    <row r="2018" spans="22:31" ht="11.25" customHeight="1" x14ac:dyDescent="0.25">
      <c r="V2018" s="6"/>
      <c r="W2018" s="6"/>
      <c r="X2018" s="6"/>
      <c r="Y2018" s="6"/>
      <c r="Z2018" s="6"/>
      <c r="AA2018" s="6"/>
      <c r="AB2018" s="6"/>
      <c r="AC2018" s="6"/>
      <c r="AD2018" s="6"/>
      <c r="AE2018" s="6"/>
    </row>
    <row r="2019" spans="22:31" ht="11.25" customHeight="1" x14ac:dyDescent="0.25">
      <c r="V2019" s="6"/>
      <c r="W2019" s="6"/>
      <c r="X2019" s="6"/>
      <c r="Y2019" s="6"/>
      <c r="Z2019" s="6"/>
      <c r="AA2019" s="6"/>
      <c r="AB2019" s="6"/>
      <c r="AC2019" s="6"/>
      <c r="AD2019" s="6"/>
      <c r="AE2019" s="6"/>
    </row>
    <row r="2020" spans="22:31" ht="11.25" customHeight="1" x14ac:dyDescent="0.25">
      <c r="V2020" s="6"/>
      <c r="W2020" s="6"/>
      <c r="X2020" s="6"/>
      <c r="Y2020" s="6"/>
      <c r="Z2020" s="6"/>
      <c r="AA2020" s="6"/>
      <c r="AB2020" s="6"/>
      <c r="AC2020" s="6"/>
      <c r="AD2020" s="6"/>
      <c r="AE2020" s="6"/>
    </row>
    <row r="2021" spans="22:31" ht="11.25" customHeight="1" x14ac:dyDescent="0.25">
      <c r="V2021" s="6"/>
      <c r="W2021" s="6"/>
      <c r="X2021" s="6"/>
      <c r="Y2021" s="6"/>
      <c r="Z2021" s="6"/>
      <c r="AA2021" s="6"/>
      <c r="AB2021" s="6"/>
      <c r="AC2021" s="6"/>
      <c r="AD2021" s="6"/>
      <c r="AE2021" s="6"/>
    </row>
    <row r="2022" spans="22:31" ht="11.25" customHeight="1" x14ac:dyDescent="0.25">
      <c r="V2022" s="6"/>
      <c r="W2022" s="6"/>
      <c r="X2022" s="6"/>
      <c r="Y2022" s="6"/>
      <c r="Z2022" s="6"/>
      <c r="AA2022" s="6"/>
      <c r="AB2022" s="6"/>
      <c r="AC2022" s="6"/>
      <c r="AD2022" s="6"/>
      <c r="AE2022" s="6"/>
    </row>
    <row r="2023" spans="22:31" ht="11.25" customHeight="1" x14ac:dyDescent="0.25">
      <c r="V2023" s="6"/>
      <c r="W2023" s="6"/>
      <c r="X2023" s="6"/>
      <c r="Y2023" s="6"/>
      <c r="Z2023" s="6"/>
      <c r="AA2023" s="6"/>
      <c r="AB2023" s="6"/>
      <c r="AC2023" s="6"/>
      <c r="AD2023" s="6"/>
      <c r="AE2023" s="6"/>
    </row>
    <row r="2024" spans="22:31" ht="11.25" customHeight="1" x14ac:dyDescent="0.25">
      <c r="V2024" s="6"/>
      <c r="W2024" s="6"/>
      <c r="X2024" s="6"/>
      <c r="Y2024" s="6"/>
      <c r="Z2024" s="6"/>
      <c r="AA2024" s="6"/>
      <c r="AB2024" s="6"/>
      <c r="AC2024" s="6"/>
      <c r="AD2024" s="6"/>
      <c r="AE2024" s="6"/>
    </row>
    <row r="2025" spans="22:31" ht="11.25" customHeight="1" x14ac:dyDescent="0.25">
      <c r="V2025" s="6"/>
      <c r="W2025" s="6"/>
      <c r="X2025" s="6"/>
      <c r="Y2025" s="6"/>
      <c r="Z2025" s="6"/>
      <c r="AA2025" s="6"/>
      <c r="AB2025" s="6"/>
      <c r="AC2025" s="6"/>
      <c r="AD2025" s="6"/>
      <c r="AE2025" s="6"/>
    </row>
    <row r="2026" spans="22:31" ht="11.25" customHeight="1" x14ac:dyDescent="0.25">
      <c r="V2026" s="6"/>
      <c r="W2026" s="6"/>
      <c r="X2026" s="6"/>
      <c r="Y2026" s="6"/>
      <c r="Z2026" s="6"/>
      <c r="AA2026" s="6"/>
      <c r="AB2026" s="6"/>
      <c r="AC2026" s="6"/>
      <c r="AD2026" s="6"/>
      <c r="AE2026" s="6"/>
    </row>
    <row r="2027" spans="22:31" ht="11.25" customHeight="1" x14ac:dyDescent="0.25">
      <c r="V2027" s="6"/>
      <c r="W2027" s="6"/>
      <c r="X2027" s="6"/>
      <c r="Y2027" s="6"/>
      <c r="Z2027" s="6"/>
      <c r="AA2027" s="6"/>
      <c r="AB2027" s="6"/>
      <c r="AC2027" s="6"/>
      <c r="AD2027" s="6"/>
      <c r="AE2027" s="6"/>
    </row>
    <row r="2028" spans="22:31" ht="11.25" customHeight="1" x14ac:dyDescent="0.25">
      <c r="V2028" s="6"/>
      <c r="W2028" s="6"/>
      <c r="X2028" s="6"/>
      <c r="Y2028" s="6"/>
      <c r="Z2028" s="6"/>
      <c r="AA2028" s="6"/>
      <c r="AB2028" s="6"/>
      <c r="AC2028" s="6"/>
      <c r="AD2028" s="6"/>
      <c r="AE2028" s="6"/>
    </row>
    <row r="2029" spans="22:31" ht="11.25" customHeight="1" x14ac:dyDescent="0.25">
      <c r="V2029" s="6"/>
      <c r="W2029" s="6"/>
      <c r="X2029" s="6"/>
      <c r="Y2029" s="6"/>
      <c r="Z2029" s="6"/>
      <c r="AA2029" s="6"/>
      <c r="AB2029" s="6"/>
      <c r="AC2029" s="6"/>
      <c r="AD2029" s="6"/>
      <c r="AE2029" s="6"/>
    </row>
    <row r="2030" spans="22:31" ht="11.25" customHeight="1" x14ac:dyDescent="0.25">
      <c r="V2030" s="6"/>
      <c r="W2030" s="6"/>
      <c r="X2030" s="6"/>
      <c r="Y2030" s="6"/>
      <c r="Z2030" s="6"/>
      <c r="AA2030" s="6"/>
      <c r="AB2030" s="6"/>
      <c r="AC2030" s="6"/>
      <c r="AD2030" s="6"/>
      <c r="AE2030" s="6"/>
    </row>
    <row r="2031" spans="22:31" ht="11.25" customHeight="1" x14ac:dyDescent="0.25">
      <c r="V2031" s="6"/>
      <c r="W2031" s="6"/>
      <c r="X2031" s="6"/>
      <c r="Y2031" s="6"/>
      <c r="Z2031" s="6"/>
      <c r="AA2031" s="6"/>
      <c r="AB2031" s="6"/>
      <c r="AC2031" s="6"/>
      <c r="AD2031" s="6"/>
      <c r="AE2031" s="6"/>
    </row>
    <row r="2032" spans="22:31" ht="11.25" customHeight="1" x14ac:dyDescent="0.25"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</row>
    <row r="2033" spans="22:31" ht="11.25" customHeight="1" x14ac:dyDescent="0.25">
      <c r="V2033" s="6"/>
      <c r="W2033" s="6"/>
      <c r="X2033" s="6"/>
      <c r="Y2033" s="6"/>
      <c r="Z2033" s="6"/>
      <c r="AA2033" s="6"/>
      <c r="AB2033" s="6"/>
      <c r="AC2033" s="6"/>
      <c r="AD2033" s="6"/>
      <c r="AE2033" s="6"/>
    </row>
    <row r="2034" spans="22:31" ht="11.25" customHeight="1" x14ac:dyDescent="0.25">
      <c r="V2034" s="6"/>
      <c r="W2034" s="6"/>
      <c r="X2034" s="6"/>
      <c r="Y2034" s="6"/>
      <c r="Z2034" s="6"/>
      <c r="AA2034" s="6"/>
      <c r="AB2034" s="6"/>
      <c r="AC2034" s="6"/>
      <c r="AD2034" s="6"/>
      <c r="AE2034" s="6"/>
    </row>
    <row r="2035" spans="22:31" ht="11.25" customHeight="1" x14ac:dyDescent="0.25">
      <c r="V2035" s="6"/>
      <c r="W2035" s="6"/>
      <c r="X2035" s="6"/>
      <c r="Y2035" s="6"/>
      <c r="Z2035" s="6"/>
      <c r="AA2035" s="6"/>
      <c r="AB2035" s="6"/>
      <c r="AC2035" s="6"/>
      <c r="AD2035" s="6"/>
      <c r="AE2035" s="6"/>
    </row>
    <row r="2036" spans="22:31" ht="11.25" customHeight="1" x14ac:dyDescent="0.25">
      <c r="V2036" s="6"/>
      <c r="W2036" s="6"/>
      <c r="X2036" s="6"/>
      <c r="Y2036" s="6"/>
      <c r="Z2036" s="6"/>
      <c r="AA2036" s="6"/>
      <c r="AB2036" s="6"/>
      <c r="AC2036" s="6"/>
      <c r="AD2036" s="6"/>
      <c r="AE2036" s="6"/>
    </row>
    <row r="2037" spans="22:31" ht="11.25" customHeight="1" x14ac:dyDescent="0.25">
      <c r="V2037" s="6"/>
      <c r="W2037" s="6"/>
      <c r="X2037" s="6"/>
      <c r="Y2037" s="6"/>
      <c r="Z2037" s="6"/>
      <c r="AA2037" s="6"/>
      <c r="AB2037" s="6"/>
      <c r="AC2037" s="6"/>
      <c r="AD2037" s="6"/>
      <c r="AE2037" s="6"/>
    </row>
    <row r="2038" spans="22:31" ht="11.25" customHeight="1" x14ac:dyDescent="0.25">
      <c r="V2038" s="6"/>
      <c r="W2038" s="6"/>
      <c r="X2038" s="6"/>
      <c r="Y2038" s="6"/>
      <c r="Z2038" s="6"/>
      <c r="AA2038" s="6"/>
      <c r="AB2038" s="6"/>
      <c r="AC2038" s="6"/>
      <c r="AD2038" s="6"/>
      <c r="AE2038" s="6"/>
    </row>
    <row r="2039" spans="22:31" ht="11.25" customHeight="1" x14ac:dyDescent="0.25">
      <c r="V2039" s="6"/>
      <c r="W2039" s="6"/>
      <c r="X2039" s="6"/>
      <c r="Y2039" s="6"/>
      <c r="Z2039" s="6"/>
      <c r="AA2039" s="6"/>
      <c r="AB2039" s="6"/>
      <c r="AC2039" s="6"/>
      <c r="AD2039" s="6"/>
      <c r="AE2039" s="6"/>
    </row>
    <row r="2040" spans="22:31" ht="11.25" customHeight="1" x14ac:dyDescent="0.25"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</row>
    <row r="2041" spans="22:31" ht="11.25" customHeight="1" x14ac:dyDescent="0.25"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</row>
    <row r="2042" spans="22:31" ht="11.25" customHeight="1" x14ac:dyDescent="0.25">
      <c r="V2042" s="6"/>
      <c r="W2042" s="6"/>
      <c r="X2042" s="6"/>
      <c r="Y2042" s="6"/>
      <c r="Z2042" s="6"/>
      <c r="AA2042" s="6"/>
      <c r="AB2042" s="6"/>
      <c r="AC2042" s="6"/>
      <c r="AD2042" s="6"/>
      <c r="AE2042" s="6"/>
    </row>
    <row r="2043" spans="22:31" ht="11.25" customHeight="1" x14ac:dyDescent="0.25">
      <c r="V2043" s="6"/>
      <c r="W2043" s="6"/>
      <c r="X2043" s="6"/>
      <c r="Y2043" s="6"/>
      <c r="Z2043" s="6"/>
      <c r="AA2043" s="6"/>
      <c r="AB2043" s="6"/>
      <c r="AC2043" s="6"/>
      <c r="AD2043" s="6"/>
      <c r="AE2043" s="6"/>
    </row>
    <row r="2044" spans="22:31" ht="11.25" customHeight="1" x14ac:dyDescent="0.25">
      <c r="V2044" s="6"/>
      <c r="W2044" s="6"/>
      <c r="X2044" s="6"/>
      <c r="Y2044" s="6"/>
      <c r="Z2044" s="6"/>
      <c r="AA2044" s="6"/>
      <c r="AB2044" s="6"/>
      <c r="AC2044" s="6"/>
      <c r="AD2044" s="6"/>
      <c r="AE2044" s="6"/>
    </row>
    <row r="2045" spans="22:31" ht="11.25" customHeight="1" x14ac:dyDescent="0.25">
      <c r="V2045" s="6"/>
      <c r="W2045" s="6"/>
      <c r="X2045" s="6"/>
      <c r="Y2045" s="6"/>
      <c r="Z2045" s="6"/>
      <c r="AA2045" s="6"/>
      <c r="AB2045" s="6"/>
      <c r="AC2045" s="6"/>
      <c r="AD2045" s="6"/>
      <c r="AE2045" s="6"/>
    </row>
    <row r="2046" spans="22:31" ht="11.25" customHeight="1" x14ac:dyDescent="0.25">
      <c r="V2046" s="6"/>
      <c r="W2046" s="6"/>
      <c r="X2046" s="6"/>
      <c r="Y2046" s="6"/>
      <c r="Z2046" s="6"/>
      <c r="AA2046" s="6"/>
      <c r="AB2046" s="6"/>
      <c r="AC2046" s="6"/>
      <c r="AD2046" s="6"/>
      <c r="AE2046" s="6"/>
    </row>
    <row r="2047" spans="22:31" ht="11.25" customHeight="1" x14ac:dyDescent="0.25">
      <c r="V2047" s="6"/>
      <c r="W2047" s="6"/>
      <c r="X2047" s="6"/>
      <c r="Y2047" s="6"/>
      <c r="Z2047" s="6"/>
      <c r="AA2047" s="6"/>
      <c r="AB2047" s="6"/>
      <c r="AC2047" s="6"/>
      <c r="AD2047" s="6"/>
      <c r="AE2047" s="6"/>
    </row>
    <row r="2048" spans="22:31" ht="11.25" customHeight="1" x14ac:dyDescent="0.25">
      <c r="V2048" s="6"/>
      <c r="W2048" s="6"/>
      <c r="X2048" s="6"/>
      <c r="Y2048" s="6"/>
      <c r="Z2048" s="6"/>
      <c r="AA2048" s="6"/>
      <c r="AB2048" s="6"/>
      <c r="AC2048" s="6"/>
      <c r="AD2048" s="6"/>
      <c r="AE2048" s="6"/>
    </row>
    <row r="2049" spans="22:31" ht="11.25" customHeight="1" x14ac:dyDescent="0.25">
      <c r="V2049" s="6"/>
      <c r="W2049" s="6"/>
      <c r="X2049" s="6"/>
      <c r="Y2049" s="6"/>
      <c r="Z2049" s="6"/>
      <c r="AA2049" s="6"/>
      <c r="AB2049" s="6"/>
      <c r="AC2049" s="6"/>
      <c r="AD2049" s="6"/>
      <c r="AE2049" s="6"/>
    </row>
    <row r="2050" spans="22:31" ht="11.25" customHeight="1" x14ac:dyDescent="0.25">
      <c r="V2050" s="6"/>
      <c r="W2050" s="6"/>
      <c r="X2050" s="6"/>
      <c r="Y2050" s="6"/>
      <c r="Z2050" s="6"/>
      <c r="AA2050" s="6"/>
      <c r="AB2050" s="6"/>
      <c r="AC2050" s="6"/>
      <c r="AD2050" s="6"/>
      <c r="AE2050" s="6"/>
    </row>
    <row r="2051" spans="22:31" ht="11.25" customHeight="1" x14ac:dyDescent="0.25">
      <c r="V2051" s="6"/>
      <c r="W2051" s="6"/>
      <c r="X2051" s="6"/>
      <c r="Y2051" s="6"/>
      <c r="Z2051" s="6"/>
      <c r="AA2051" s="6"/>
      <c r="AB2051" s="6"/>
      <c r="AC2051" s="6"/>
      <c r="AD2051" s="6"/>
      <c r="AE2051" s="6"/>
    </row>
    <row r="2052" spans="22:31" ht="11.25" customHeight="1" x14ac:dyDescent="0.25">
      <c r="V2052" s="6"/>
      <c r="W2052" s="6"/>
      <c r="X2052" s="6"/>
      <c r="Y2052" s="6"/>
      <c r="Z2052" s="6"/>
      <c r="AA2052" s="6"/>
      <c r="AB2052" s="6"/>
      <c r="AC2052" s="6"/>
      <c r="AD2052" s="6"/>
      <c r="AE2052" s="6"/>
    </row>
    <row r="2053" spans="22:31" ht="11.25" customHeight="1" x14ac:dyDescent="0.25">
      <c r="V2053" s="6"/>
      <c r="W2053" s="6"/>
      <c r="X2053" s="6"/>
      <c r="Y2053" s="6"/>
      <c r="Z2053" s="6"/>
      <c r="AA2053" s="6"/>
      <c r="AB2053" s="6"/>
      <c r="AC2053" s="6"/>
      <c r="AD2053" s="6"/>
      <c r="AE2053" s="6"/>
    </row>
    <row r="2054" spans="22:31" ht="11.25" customHeight="1" x14ac:dyDescent="0.25">
      <c r="V2054" s="6"/>
      <c r="W2054" s="6"/>
      <c r="X2054" s="6"/>
      <c r="Y2054" s="6"/>
      <c r="Z2054" s="6"/>
      <c r="AA2054" s="6"/>
      <c r="AB2054" s="6"/>
      <c r="AC2054" s="6"/>
      <c r="AD2054" s="6"/>
      <c r="AE2054" s="6"/>
    </row>
    <row r="2055" spans="22:31" ht="11.25" customHeight="1" x14ac:dyDescent="0.25">
      <c r="V2055" s="6"/>
      <c r="W2055" s="6"/>
      <c r="X2055" s="6"/>
      <c r="Y2055" s="6"/>
      <c r="Z2055" s="6"/>
      <c r="AA2055" s="6"/>
      <c r="AB2055" s="6"/>
      <c r="AC2055" s="6"/>
      <c r="AD2055" s="6"/>
      <c r="AE2055" s="6"/>
    </row>
    <row r="2056" spans="22:31" ht="11.25" customHeight="1" x14ac:dyDescent="0.25">
      <c r="V2056" s="6"/>
      <c r="W2056" s="6"/>
      <c r="X2056" s="6"/>
      <c r="Y2056" s="6"/>
      <c r="Z2056" s="6"/>
      <c r="AA2056" s="6"/>
      <c r="AB2056" s="6"/>
      <c r="AC2056" s="6"/>
      <c r="AD2056" s="6"/>
      <c r="AE2056" s="6"/>
    </row>
    <row r="2057" spans="22:31" ht="11.25" customHeight="1" x14ac:dyDescent="0.25">
      <c r="V2057" s="6"/>
      <c r="W2057" s="6"/>
      <c r="X2057" s="6"/>
      <c r="Y2057" s="6"/>
      <c r="Z2057" s="6"/>
      <c r="AA2057" s="6"/>
      <c r="AB2057" s="6"/>
      <c r="AC2057" s="6"/>
      <c r="AD2057" s="6"/>
      <c r="AE2057" s="6"/>
    </row>
    <row r="2058" spans="22:31" ht="11.25" customHeight="1" x14ac:dyDescent="0.25">
      <c r="V2058" s="6"/>
      <c r="W2058" s="6"/>
      <c r="X2058" s="6"/>
      <c r="Y2058" s="6"/>
      <c r="Z2058" s="6"/>
      <c r="AA2058" s="6"/>
      <c r="AB2058" s="6"/>
      <c r="AC2058" s="6"/>
      <c r="AD2058" s="6"/>
      <c r="AE2058" s="6"/>
    </row>
    <row r="2059" spans="22:31" ht="11.25" customHeight="1" x14ac:dyDescent="0.25">
      <c r="V2059" s="6"/>
      <c r="W2059" s="6"/>
      <c r="X2059" s="6"/>
      <c r="Y2059" s="6"/>
      <c r="Z2059" s="6"/>
      <c r="AA2059" s="6"/>
      <c r="AB2059" s="6"/>
      <c r="AC2059" s="6"/>
      <c r="AD2059" s="6"/>
      <c r="AE2059" s="6"/>
    </row>
    <row r="2060" spans="22:31" ht="11.25" customHeight="1" x14ac:dyDescent="0.25">
      <c r="V2060" s="6"/>
      <c r="W2060" s="6"/>
      <c r="X2060" s="6"/>
      <c r="Y2060" s="6"/>
      <c r="Z2060" s="6"/>
      <c r="AA2060" s="6"/>
      <c r="AB2060" s="6"/>
      <c r="AC2060" s="6"/>
      <c r="AD2060" s="6"/>
      <c r="AE2060" s="6"/>
    </row>
    <row r="2061" spans="22:31" ht="11.25" customHeight="1" x14ac:dyDescent="0.25"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</row>
    <row r="2062" spans="22:31" ht="11.25" customHeight="1" x14ac:dyDescent="0.25"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</row>
    <row r="2063" spans="22:31" ht="11.25" customHeight="1" x14ac:dyDescent="0.25">
      <c r="V2063" s="6"/>
      <c r="W2063" s="6"/>
      <c r="X2063" s="6"/>
      <c r="Y2063" s="6"/>
      <c r="Z2063" s="6"/>
      <c r="AA2063" s="6"/>
      <c r="AB2063" s="6"/>
      <c r="AC2063" s="6"/>
      <c r="AD2063" s="6"/>
      <c r="AE2063" s="6"/>
    </row>
    <row r="2064" spans="22:31" ht="11.25" customHeight="1" x14ac:dyDescent="0.25">
      <c r="V2064" s="6"/>
      <c r="W2064" s="6"/>
      <c r="X2064" s="6"/>
      <c r="Y2064" s="6"/>
      <c r="Z2064" s="6"/>
      <c r="AA2064" s="6"/>
      <c r="AB2064" s="6"/>
      <c r="AC2064" s="6"/>
      <c r="AD2064" s="6"/>
      <c r="AE2064" s="6"/>
    </row>
    <row r="2065" spans="22:31" ht="11.25" customHeight="1" x14ac:dyDescent="0.25">
      <c r="V2065" s="6"/>
      <c r="W2065" s="6"/>
      <c r="X2065" s="6"/>
      <c r="Y2065" s="6"/>
      <c r="Z2065" s="6"/>
      <c r="AA2065" s="6"/>
      <c r="AB2065" s="6"/>
      <c r="AC2065" s="6"/>
      <c r="AD2065" s="6"/>
      <c r="AE2065" s="6"/>
    </row>
    <row r="2066" spans="22:31" ht="11.25" customHeight="1" x14ac:dyDescent="0.25">
      <c r="V2066" s="6"/>
      <c r="W2066" s="6"/>
      <c r="X2066" s="6"/>
      <c r="Y2066" s="6"/>
      <c r="Z2066" s="6"/>
      <c r="AA2066" s="6"/>
      <c r="AB2066" s="6"/>
      <c r="AC2066" s="6"/>
      <c r="AD2066" s="6"/>
      <c r="AE2066" s="6"/>
    </row>
    <row r="2067" spans="22:31" ht="11.25" customHeight="1" x14ac:dyDescent="0.25">
      <c r="V2067" s="6"/>
      <c r="W2067" s="6"/>
      <c r="X2067" s="6"/>
      <c r="Y2067" s="6"/>
      <c r="Z2067" s="6"/>
      <c r="AA2067" s="6"/>
      <c r="AB2067" s="6"/>
      <c r="AC2067" s="6"/>
      <c r="AD2067" s="6"/>
      <c r="AE2067" s="6"/>
    </row>
    <row r="2068" spans="22:31" ht="11.25" customHeight="1" x14ac:dyDescent="0.25">
      <c r="V2068" s="6"/>
      <c r="W2068" s="6"/>
      <c r="X2068" s="6"/>
      <c r="Y2068" s="6"/>
      <c r="Z2068" s="6"/>
      <c r="AA2068" s="6"/>
      <c r="AB2068" s="6"/>
      <c r="AC2068" s="6"/>
      <c r="AD2068" s="6"/>
      <c r="AE2068" s="6"/>
    </row>
    <row r="2069" spans="22:31" ht="11.25" customHeight="1" x14ac:dyDescent="0.25"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</row>
    <row r="2070" spans="22:31" ht="11.25" customHeight="1" x14ac:dyDescent="0.25">
      <c r="V2070" s="6"/>
      <c r="W2070" s="6"/>
      <c r="X2070" s="6"/>
      <c r="Y2070" s="6"/>
      <c r="Z2070" s="6"/>
      <c r="AA2070" s="6"/>
      <c r="AB2070" s="6"/>
      <c r="AC2070" s="6"/>
      <c r="AD2070" s="6"/>
      <c r="AE2070" s="6"/>
    </row>
    <row r="2071" spans="22:31" ht="11.25" customHeight="1" x14ac:dyDescent="0.25">
      <c r="V2071" s="6"/>
      <c r="W2071" s="6"/>
      <c r="X2071" s="6"/>
      <c r="Y2071" s="6"/>
      <c r="Z2071" s="6"/>
      <c r="AA2071" s="6"/>
      <c r="AB2071" s="6"/>
      <c r="AC2071" s="6"/>
      <c r="AD2071" s="6"/>
      <c r="AE2071" s="6"/>
    </row>
    <row r="2072" spans="22:31" ht="11.25" customHeight="1" x14ac:dyDescent="0.25">
      <c r="V2072" s="6"/>
      <c r="W2072" s="6"/>
      <c r="X2072" s="6"/>
      <c r="Y2072" s="6"/>
      <c r="Z2072" s="6"/>
      <c r="AA2072" s="6"/>
      <c r="AB2072" s="6"/>
      <c r="AC2072" s="6"/>
      <c r="AD2072" s="6"/>
      <c r="AE2072" s="6"/>
    </row>
    <row r="2073" spans="22:31" ht="11.25" customHeight="1" x14ac:dyDescent="0.25">
      <c r="V2073" s="6"/>
      <c r="W2073" s="6"/>
      <c r="X2073" s="6"/>
      <c r="Y2073" s="6"/>
      <c r="Z2073" s="6"/>
      <c r="AA2073" s="6"/>
      <c r="AB2073" s="6"/>
      <c r="AC2073" s="6"/>
      <c r="AD2073" s="6"/>
      <c r="AE2073" s="6"/>
    </row>
    <row r="2074" spans="22:31" ht="11.25" customHeight="1" x14ac:dyDescent="0.25">
      <c r="V2074" s="6"/>
      <c r="W2074" s="6"/>
      <c r="X2074" s="6"/>
      <c r="Y2074" s="6"/>
      <c r="Z2074" s="6"/>
      <c r="AA2074" s="6"/>
      <c r="AB2074" s="6"/>
      <c r="AC2074" s="6"/>
      <c r="AD2074" s="6"/>
      <c r="AE2074" s="6"/>
    </row>
    <row r="2075" spans="22:31" ht="11.25" customHeight="1" x14ac:dyDescent="0.25">
      <c r="V2075" s="6"/>
      <c r="W2075" s="6"/>
      <c r="X2075" s="6"/>
      <c r="Y2075" s="6"/>
      <c r="Z2075" s="6"/>
      <c r="AA2075" s="6"/>
      <c r="AB2075" s="6"/>
      <c r="AC2075" s="6"/>
      <c r="AD2075" s="6"/>
      <c r="AE2075" s="6"/>
    </row>
    <row r="2076" spans="22:31" ht="11.25" customHeight="1" x14ac:dyDescent="0.25">
      <c r="V2076" s="6"/>
      <c r="W2076" s="6"/>
      <c r="X2076" s="6"/>
      <c r="Y2076" s="6"/>
      <c r="Z2076" s="6"/>
      <c r="AA2076" s="6"/>
      <c r="AB2076" s="6"/>
      <c r="AC2076" s="6"/>
      <c r="AD2076" s="6"/>
      <c r="AE2076" s="6"/>
    </row>
    <row r="2077" spans="22:31" ht="11.25" customHeight="1" x14ac:dyDescent="0.25">
      <c r="V2077" s="6"/>
      <c r="W2077" s="6"/>
      <c r="X2077" s="6"/>
      <c r="Y2077" s="6"/>
      <c r="Z2077" s="6"/>
      <c r="AA2077" s="6"/>
      <c r="AB2077" s="6"/>
      <c r="AC2077" s="6"/>
      <c r="AD2077" s="6"/>
      <c r="AE2077" s="6"/>
    </row>
    <row r="2078" spans="22:31" ht="11.25" customHeight="1" x14ac:dyDescent="0.25"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</row>
    <row r="2079" spans="22:31" ht="11.25" customHeight="1" x14ac:dyDescent="0.25">
      <c r="V2079" s="6"/>
      <c r="W2079" s="6"/>
      <c r="X2079" s="6"/>
      <c r="Y2079" s="6"/>
      <c r="Z2079" s="6"/>
      <c r="AA2079" s="6"/>
      <c r="AB2079" s="6"/>
      <c r="AC2079" s="6"/>
      <c r="AD2079" s="6"/>
      <c r="AE2079" s="6"/>
    </row>
    <row r="2080" spans="22:31" ht="11.25" customHeight="1" x14ac:dyDescent="0.25">
      <c r="V2080" s="6"/>
      <c r="W2080" s="6"/>
      <c r="X2080" s="6"/>
      <c r="Y2080" s="6"/>
      <c r="Z2080" s="6"/>
      <c r="AA2080" s="6"/>
      <c r="AB2080" s="6"/>
      <c r="AC2080" s="6"/>
      <c r="AD2080" s="6"/>
      <c r="AE2080" s="6"/>
    </row>
    <row r="2081" spans="22:31" ht="11.25" customHeight="1" x14ac:dyDescent="0.25">
      <c r="V2081" s="6"/>
      <c r="W2081" s="6"/>
      <c r="X2081" s="6"/>
      <c r="Y2081" s="6"/>
      <c r="Z2081" s="6"/>
      <c r="AA2081" s="6"/>
      <c r="AB2081" s="6"/>
      <c r="AC2081" s="6"/>
      <c r="AD2081" s="6"/>
      <c r="AE2081" s="6"/>
    </row>
    <row r="2082" spans="22:31" ht="11.25" customHeight="1" x14ac:dyDescent="0.25">
      <c r="V2082" s="6"/>
      <c r="W2082" s="6"/>
      <c r="X2082" s="6"/>
      <c r="Y2082" s="6"/>
      <c r="Z2082" s="6"/>
      <c r="AA2082" s="6"/>
      <c r="AB2082" s="6"/>
      <c r="AC2082" s="6"/>
      <c r="AD2082" s="6"/>
      <c r="AE2082" s="6"/>
    </row>
    <row r="2083" spans="22:31" ht="11.25" customHeight="1" x14ac:dyDescent="0.25">
      <c r="V2083" s="6"/>
      <c r="W2083" s="6"/>
      <c r="X2083" s="6"/>
      <c r="Y2083" s="6"/>
      <c r="Z2083" s="6"/>
      <c r="AA2083" s="6"/>
      <c r="AB2083" s="6"/>
      <c r="AC2083" s="6"/>
      <c r="AD2083" s="6"/>
      <c r="AE2083" s="6"/>
    </row>
    <row r="2084" spans="22:31" ht="11.25" customHeight="1" x14ac:dyDescent="0.25">
      <c r="V2084" s="6"/>
      <c r="W2084" s="6"/>
      <c r="X2084" s="6"/>
      <c r="Y2084" s="6"/>
      <c r="Z2084" s="6"/>
      <c r="AA2084" s="6"/>
      <c r="AB2084" s="6"/>
      <c r="AC2084" s="6"/>
      <c r="AD2084" s="6"/>
      <c r="AE2084" s="6"/>
    </row>
    <row r="2085" spans="22:31" ht="11.25" customHeight="1" x14ac:dyDescent="0.25">
      <c r="V2085" s="6"/>
      <c r="W2085" s="6"/>
      <c r="X2085" s="6"/>
      <c r="Y2085" s="6"/>
      <c r="Z2085" s="6"/>
      <c r="AA2085" s="6"/>
      <c r="AB2085" s="6"/>
      <c r="AC2085" s="6"/>
      <c r="AD2085" s="6"/>
      <c r="AE2085" s="6"/>
    </row>
    <row r="2086" spans="22:31" ht="11.25" customHeight="1" x14ac:dyDescent="0.25">
      <c r="V2086" s="6"/>
      <c r="W2086" s="6"/>
      <c r="X2086" s="6"/>
      <c r="Y2086" s="6"/>
      <c r="Z2086" s="6"/>
      <c r="AA2086" s="6"/>
      <c r="AB2086" s="6"/>
      <c r="AC2086" s="6"/>
      <c r="AD2086" s="6"/>
      <c r="AE2086" s="6"/>
    </row>
    <row r="2087" spans="22:31" ht="11.25" customHeight="1" x14ac:dyDescent="0.25">
      <c r="V2087" s="6"/>
      <c r="W2087" s="6"/>
      <c r="X2087" s="6"/>
      <c r="Y2087" s="6"/>
      <c r="Z2087" s="6"/>
      <c r="AA2087" s="6"/>
      <c r="AB2087" s="6"/>
      <c r="AC2087" s="6"/>
      <c r="AD2087" s="6"/>
      <c r="AE2087" s="6"/>
    </row>
    <row r="2088" spans="22:31" ht="11.25" customHeight="1" x14ac:dyDescent="0.25">
      <c r="V2088" s="6"/>
      <c r="W2088" s="6"/>
      <c r="X2088" s="6"/>
      <c r="Y2088" s="6"/>
      <c r="Z2088" s="6"/>
      <c r="AA2088" s="6"/>
      <c r="AB2088" s="6"/>
      <c r="AC2088" s="6"/>
      <c r="AD2088" s="6"/>
      <c r="AE2088" s="6"/>
    </row>
    <row r="2089" spans="22:31" ht="11.25" customHeight="1" x14ac:dyDescent="0.25">
      <c r="V2089" s="6"/>
      <c r="W2089" s="6"/>
      <c r="X2089" s="6"/>
      <c r="Y2089" s="6"/>
      <c r="Z2089" s="6"/>
      <c r="AA2089" s="6"/>
      <c r="AB2089" s="6"/>
      <c r="AC2089" s="6"/>
      <c r="AD2089" s="6"/>
      <c r="AE2089" s="6"/>
    </row>
    <row r="2090" spans="22:31" ht="11.25" customHeight="1" x14ac:dyDescent="0.25">
      <c r="V2090" s="6"/>
      <c r="W2090" s="6"/>
      <c r="X2090" s="6"/>
      <c r="Y2090" s="6"/>
      <c r="Z2090" s="6"/>
      <c r="AA2090" s="6"/>
      <c r="AB2090" s="6"/>
      <c r="AC2090" s="6"/>
      <c r="AD2090" s="6"/>
      <c r="AE2090" s="6"/>
    </row>
    <row r="2091" spans="22:31" ht="11.25" customHeight="1" x14ac:dyDescent="0.25">
      <c r="V2091" s="6"/>
      <c r="W2091" s="6"/>
      <c r="X2091" s="6"/>
      <c r="Y2091" s="6"/>
      <c r="Z2091" s="6"/>
      <c r="AA2091" s="6"/>
      <c r="AB2091" s="6"/>
      <c r="AC2091" s="6"/>
      <c r="AD2091" s="6"/>
      <c r="AE2091" s="6"/>
    </row>
    <row r="2092" spans="22:31" ht="11.25" customHeight="1" x14ac:dyDescent="0.25">
      <c r="V2092" s="6"/>
      <c r="W2092" s="6"/>
      <c r="X2092" s="6"/>
      <c r="Y2092" s="6"/>
      <c r="Z2092" s="6"/>
      <c r="AA2092" s="6"/>
      <c r="AB2092" s="6"/>
      <c r="AC2092" s="6"/>
      <c r="AD2092" s="6"/>
      <c r="AE2092" s="6"/>
    </row>
    <row r="2093" spans="22:31" ht="11.25" customHeight="1" x14ac:dyDescent="0.25">
      <c r="V2093" s="6"/>
      <c r="W2093" s="6"/>
      <c r="X2093" s="6"/>
      <c r="Y2093" s="6"/>
      <c r="Z2093" s="6"/>
      <c r="AA2093" s="6"/>
      <c r="AB2093" s="6"/>
      <c r="AC2093" s="6"/>
      <c r="AD2093" s="6"/>
      <c r="AE2093" s="6"/>
    </row>
    <row r="2094" spans="22:31" ht="11.25" customHeight="1" x14ac:dyDescent="0.25">
      <c r="V2094" s="6"/>
      <c r="W2094" s="6"/>
      <c r="X2094" s="6"/>
      <c r="Y2094" s="6"/>
      <c r="Z2094" s="6"/>
      <c r="AA2094" s="6"/>
      <c r="AB2094" s="6"/>
      <c r="AC2094" s="6"/>
      <c r="AD2094" s="6"/>
      <c r="AE2094" s="6"/>
    </row>
    <row r="2095" spans="22:31" ht="11.25" customHeight="1" x14ac:dyDescent="0.25">
      <c r="V2095" s="6"/>
      <c r="W2095" s="6"/>
      <c r="X2095" s="6"/>
      <c r="Y2095" s="6"/>
      <c r="Z2095" s="6"/>
      <c r="AA2095" s="6"/>
      <c r="AB2095" s="6"/>
      <c r="AC2095" s="6"/>
      <c r="AD2095" s="6"/>
      <c r="AE2095" s="6"/>
    </row>
    <row r="2096" spans="22:31" ht="11.25" customHeight="1" x14ac:dyDescent="0.25">
      <c r="V2096" s="6"/>
      <c r="W2096" s="6"/>
      <c r="X2096" s="6"/>
      <c r="Y2096" s="6"/>
      <c r="Z2096" s="6"/>
      <c r="AA2096" s="6"/>
      <c r="AB2096" s="6"/>
      <c r="AC2096" s="6"/>
      <c r="AD2096" s="6"/>
      <c r="AE2096" s="6"/>
    </row>
    <row r="2097" spans="22:31" ht="11.25" customHeight="1" x14ac:dyDescent="0.25">
      <c r="V2097" s="6"/>
      <c r="W2097" s="6"/>
      <c r="X2097" s="6"/>
      <c r="Y2097" s="6"/>
      <c r="Z2097" s="6"/>
      <c r="AA2097" s="6"/>
      <c r="AB2097" s="6"/>
      <c r="AC2097" s="6"/>
      <c r="AD2097" s="6"/>
      <c r="AE2097" s="6"/>
    </row>
    <row r="2098" spans="22:31" ht="11.25" customHeight="1" x14ac:dyDescent="0.25">
      <c r="V2098" s="6"/>
      <c r="W2098" s="6"/>
      <c r="X2098" s="6"/>
      <c r="Y2098" s="6"/>
      <c r="Z2098" s="6"/>
      <c r="AA2098" s="6"/>
      <c r="AB2098" s="6"/>
      <c r="AC2098" s="6"/>
      <c r="AD2098" s="6"/>
      <c r="AE2098" s="6"/>
    </row>
    <row r="2099" spans="22:31" ht="11.25" customHeight="1" x14ac:dyDescent="0.25">
      <c r="V2099" s="6"/>
      <c r="W2099" s="6"/>
      <c r="X2099" s="6"/>
      <c r="Y2099" s="6"/>
      <c r="Z2099" s="6"/>
      <c r="AA2099" s="6"/>
      <c r="AB2099" s="6"/>
      <c r="AC2099" s="6"/>
      <c r="AD2099" s="6"/>
      <c r="AE2099" s="6"/>
    </row>
    <row r="2100" spans="22:31" ht="11.25" customHeight="1" x14ac:dyDescent="0.25">
      <c r="V2100" s="6"/>
      <c r="W2100" s="6"/>
      <c r="X2100" s="6"/>
      <c r="Y2100" s="6"/>
      <c r="Z2100" s="6"/>
      <c r="AA2100" s="6"/>
      <c r="AB2100" s="6"/>
      <c r="AC2100" s="6"/>
      <c r="AD2100" s="6"/>
      <c r="AE2100" s="6"/>
    </row>
    <row r="2101" spans="22:31" ht="11.25" customHeight="1" x14ac:dyDescent="0.25">
      <c r="V2101" s="6"/>
      <c r="W2101" s="6"/>
      <c r="X2101" s="6"/>
      <c r="Y2101" s="6"/>
      <c r="Z2101" s="6"/>
      <c r="AA2101" s="6"/>
      <c r="AB2101" s="6"/>
      <c r="AC2101" s="6"/>
      <c r="AD2101" s="6"/>
      <c r="AE2101" s="6"/>
    </row>
    <row r="2102" spans="22:31" ht="11.25" customHeight="1" x14ac:dyDescent="0.25">
      <c r="V2102" s="6"/>
      <c r="W2102" s="6"/>
      <c r="X2102" s="6"/>
      <c r="Y2102" s="6"/>
      <c r="Z2102" s="6"/>
      <c r="AA2102" s="6"/>
      <c r="AB2102" s="6"/>
      <c r="AC2102" s="6"/>
      <c r="AD2102" s="6"/>
      <c r="AE2102" s="6"/>
    </row>
    <row r="2103" spans="22:31" ht="11.25" customHeight="1" x14ac:dyDescent="0.25">
      <c r="V2103" s="6"/>
      <c r="W2103" s="6"/>
      <c r="X2103" s="6"/>
      <c r="Y2103" s="6"/>
      <c r="Z2103" s="6"/>
      <c r="AA2103" s="6"/>
      <c r="AB2103" s="6"/>
      <c r="AC2103" s="6"/>
      <c r="AD2103" s="6"/>
      <c r="AE2103" s="6"/>
    </row>
    <row r="2104" spans="22:31" ht="11.25" customHeight="1" x14ac:dyDescent="0.25">
      <c r="V2104" s="6"/>
      <c r="W2104" s="6"/>
      <c r="X2104" s="6"/>
      <c r="Y2104" s="6"/>
      <c r="Z2104" s="6"/>
      <c r="AA2104" s="6"/>
      <c r="AB2104" s="6"/>
      <c r="AC2104" s="6"/>
      <c r="AD2104" s="6"/>
      <c r="AE2104" s="6"/>
    </row>
    <row r="2105" spans="22:31" ht="11.25" customHeight="1" x14ac:dyDescent="0.25">
      <c r="V2105" s="6"/>
      <c r="W2105" s="6"/>
      <c r="X2105" s="6"/>
      <c r="Y2105" s="6"/>
      <c r="Z2105" s="6"/>
      <c r="AA2105" s="6"/>
      <c r="AB2105" s="6"/>
      <c r="AC2105" s="6"/>
      <c r="AD2105" s="6"/>
      <c r="AE2105" s="6"/>
    </row>
    <row r="2106" spans="22:31" ht="11.25" customHeight="1" x14ac:dyDescent="0.25">
      <c r="V2106" s="6"/>
      <c r="W2106" s="6"/>
      <c r="X2106" s="6"/>
      <c r="Y2106" s="6"/>
      <c r="Z2106" s="6"/>
      <c r="AA2106" s="6"/>
      <c r="AB2106" s="6"/>
      <c r="AC2106" s="6"/>
      <c r="AD2106" s="6"/>
      <c r="AE2106" s="6"/>
    </row>
    <row r="2107" spans="22:31" ht="11.25" customHeight="1" x14ac:dyDescent="0.25">
      <c r="V2107" s="6"/>
      <c r="W2107" s="6"/>
      <c r="X2107" s="6"/>
      <c r="Y2107" s="6"/>
      <c r="Z2107" s="6"/>
      <c r="AA2107" s="6"/>
      <c r="AB2107" s="6"/>
      <c r="AC2107" s="6"/>
      <c r="AD2107" s="6"/>
      <c r="AE2107" s="6"/>
    </row>
    <row r="2108" spans="22:31" ht="11.25" customHeight="1" x14ac:dyDescent="0.25">
      <c r="V2108" s="6"/>
      <c r="W2108" s="6"/>
      <c r="X2108" s="6"/>
      <c r="Y2108" s="6"/>
      <c r="Z2108" s="6"/>
      <c r="AA2108" s="6"/>
      <c r="AB2108" s="6"/>
      <c r="AC2108" s="6"/>
      <c r="AD2108" s="6"/>
      <c r="AE2108" s="6"/>
    </row>
    <row r="2109" spans="22:31" ht="11.25" customHeight="1" x14ac:dyDescent="0.25">
      <c r="V2109" s="6"/>
      <c r="W2109" s="6"/>
      <c r="X2109" s="6"/>
      <c r="Y2109" s="6"/>
      <c r="Z2109" s="6"/>
      <c r="AA2109" s="6"/>
      <c r="AB2109" s="6"/>
      <c r="AC2109" s="6"/>
      <c r="AD2109" s="6"/>
      <c r="AE2109" s="6"/>
    </row>
    <row r="2110" spans="22:31" ht="11.25" customHeight="1" x14ac:dyDescent="0.25">
      <c r="V2110" s="6"/>
      <c r="W2110" s="6"/>
      <c r="X2110" s="6"/>
      <c r="Y2110" s="6"/>
      <c r="Z2110" s="6"/>
      <c r="AA2110" s="6"/>
      <c r="AB2110" s="6"/>
      <c r="AC2110" s="6"/>
      <c r="AD2110" s="6"/>
      <c r="AE2110" s="6"/>
    </row>
    <row r="2111" spans="22:31" ht="11.25" customHeight="1" x14ac:dyDescent="0.25">
      <c r="V2111" s="6"/>
      <c r="W2111" s="6"/>
      <c r="X2111" s="6"/>
      <c r="Y2111" s="6"/>
      <c r="Z2111" s="6"/>
      <c r="AA2111" s="6"/>
      <c r="AB2111" s="6"/>
      <c r="AC2111" s="6"/>
      <c r="AD2111" s="6"/>
      <c r="AE2111" s="6"/>
    </row>
    <row r="2112" spans="22:31" ht="11.25" customHeight="1" x14ac:dyDescent="0.25">
      <c r="V2112" s="6"/>
      <c r="W2112" s="6"/>
      <c r="X2112" s="6"/>
      <c r="Y2112" s="6"/>
      <c r="Z2112" s="6"/>
      <c r="AA2112" s="6"/>
      <c r="AB2112" s="6"/>
      <c r="AC2112" s="6"/>
      <c r="AD2112" s="6"/>
      <c r="AE2112" s="6"/>
    </row>
    <row r="2113" spans="22:31" ht="11.25" customHeight="1" x14ac:dyDescent="0.25">
      <c r="V2113" s="6"/>
      <c r="W2113" s="6"/>
      <c r="X2113" s="6"/>
      <c r="Y2113" s="6"/>
      <c r="Z2113" s="6"/>
      <c r="AA2113" s="6"/>
      <c r="AB2113" s="6"/>
      <c r="AC2113" s="6"/>
      <c r="AD2113" s="6"/>
      <c r="AE2113" s="6"/>
    </row>
    <row r="2114" spans="22:31" ht="11.25" customHeight="1" x14ac:dyDescent="0.25">
      <c r="V2114" s="6"/>
      <c r="W2114" s="6"/>
      <c r="X2114" s="6"/>
      <c r="Y2114" s="6"/>
      <c r="Z2114" s="6"/>
      <c r="AA2114" s="6"/>
      <c r="AB2114" s="6"/>
      <c r="AC2114" s="6"/>
      <c r="AD2114" s="6"/>
      <c r="AE2114" s="6"/>
    </row>
    <row r="2115" spans="22:31" ht="11.25" customHeight="1" x14ac:dyDescent="0.25">
      <c r="V2115" s="6"/>
      <c r="W2115" s="6"/>
      <c r="X2115" s="6"/>
      <c r="Y2115" s="6"/>
      <c r="Z2115" s="6"/>
      <c r="AA2115" s="6"/>
      <c r="AB2115" s="6"/>
      <c r="AC2115" s="6"/>
      <c r="AD2115" s="6"/>
      <c r="AE2115" s="6"/>
    </row>
    <row r="2116" spans="22:31" ht="11.25" customHeight="1" x14ac:dyDescent="0.25">
      <c r="V2116" s="6"/>
      <c r="W2116" s="6"/>
      <c r="X2116" s="6"/>
      <c r="Y2116" s="6"/>
      <c r="Z2116" s="6"/>
      <c r="AA2116" s="6"/>
      <c r="AB2116" s="6"/>
      <c r="AC2116" s="6"/>
      <c r="AD2116" s="6"/>
      <c r="AE2116" s="6"/>
    </row>
    <row r="2117" spans="22:31" ht="11.25" customHeight="1" x14ac:dyDescent="0.25">
      <c r="V2117" s="6"/>
      <c r="W2117" s="6"/>
      <c r="X2117" s="6"/>
      <c r="Y2117" s="6"/>
      <c r="Z2117" s="6"/>
      <c r="AA2117" s="6"/>
      <c r="AB2117" s="6"/>
      <c r="AC2117" s="6"/>
      <c r="AD2117" s="6"/>
      <c r="AE2117" s="6"/>
    </row>
    <row r="2118" spans="22:31" ht="11.25" customHeight="1" x14ac:dyDescent="0.25">
      <c r="V2118" s="6"/>
      <c r="W2118" s="6"/>
      <c r="X2118" s="6"/>
      <c r="Y2118" s="6"/>
      <c r="Z2118" s="6"/>
      <c r="AA2118" s="6"/>
      <c r="AB2118" s="6"/>
      <c r="AC2118" s="6"/>
      <c r="AD2118" s="6"/>
      <c r="AE2118" s="6"/>
    </row>
    <row r="2119" spans="22:31" ht="11.25" customHeight="1" x14ac:dyDescent="0.25"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</row>
    <row r="2120" spans="22:31" ht="11.25" customHeight="1" x14ac:dyDescent="0.25">
      <c r="V2120" s="6"/>
      <c r="W2120" s="6"/>
      <c r="X2120" s="6"/>
      <c r="Y2120" s="6"/>
      <c r="Z2120" s="6"/>
      <c r="AA2120" s="6"/>
      <c r="AB2120" s="6"/>
      <c r="AC2120" s="6"/>
      <c r="AD2120" s="6"/>
      <c r="AE2120" s="6"/>
    </row>
    <row r="2121" spans="22:31" ht="11.25" customHeight="1" x14ac:dyDescent="0.25">
      <c r="V2121" s="6"/>
      <c r="W2121" s="6"/>
      <c r="X2121" s="6"/>
      <c r="Y2121" s="6"/>
      <c r="Z2121" s="6"/>
      <c r="AA2121" s="6"/>
      <c r="AB2121" s="6"/>
      <c r="AC2121" s="6"/>
      <c r="AD2121" s="6"/>
      <c r="AE2121" s="6"/>
    </row>
    <row r="2122" spans="22:31" ht="11.25" customHeight="1" x14ac:dyDescent="0.25">
      <c r="V2122" s="6"/>
      <c r="W2122" s="6"/>
      <c r="X2122" s="6"/>
      <c r="Y2122" s="6"/>
      <c r="Z2122" s="6"/>
      <c r="AA2122" s="6"/>
      <c r="AB2122" s="6"/>
      <c r="AC2122" s="6"/>
      <c r="AD2122" s="6"/>
      <c r="AE2122" s="6"/>
    </row>
    <row r="2123" spans="22:31" ht="11.25" customHeight="1" x14ac:dyDescent="0.25">
      <c r="V2123" s="6"/>
      <c r="W2123" s="6"/>
      <c r="X2123" s="6"/>
      <c r="Y2123" s="6"/>
      <c r="Z2123" s="6"/>
      <c r="AA2123" s="6"/>
      <c r="AB2123" s="6"/>
      <c r="AC2123" s="6"/>
      <c r="AD2123" s="6"/>
      <c r="AE2123" s="6"/>
    </row>
    <row r="2124" spans="22:31" ht="11.25" customHeight="1" x14ac:dyDescent="0.25">
      <c r="V2124" s="6"/>
      <c r="W2124" s="6"/>
      <c r="X2124" s="6"/>
      <c r="Y2124" s="6"/>
      <c r="Z2124" s="6"/>
      <c r="AA2124" s="6"/>
      <c r="AB2124" s="6"/>
      <c r="AC2124" s="6"/>
      <c r="AD2124" s="6"/>
      <c r="AE2124" s="6"/>
    </row>
    <row r="2125" spans="22:31" ht="11.25" customHeight="1" x14ac:dyDescent="0.25">
      <c r="V2125" s="6"/>
      <c r="W2125" s="6"/>
      <c r="X2125" s="6"/>
      <c r="Y2125" s="6"/>
      <c r="Z2125" s="6"/>
      <c r="AA2125" s="6"/>
      <c r="AB2125" s="6"/>
      <c r="AC2125" s="6"/>
      <c r="AD2125" s="6"/>
      <c r="AE2125" s="6"/>
    </row>
    <row r="2126" spans="22:31" ht="11.25" customHeight="1" x14ac:dyDescent="0.25">
      <c r="V2126" s="6"/>
      <c r="W2126" s="6"/>
      <c r="X2126" s="6"/>
      <c r="Y2126" s="6"/>
      <c r="Z2126" s="6"/>
      <c r="AA2126" s="6"/>
      <c r="AB2126" s="6"/>
      <c r="AC2126" s="6"/>
      <c r="AD2126" s="6"/>
      <c r="AE2126" s="6"/>
    </row>
    <row r="2127" spans="22:31" ht="11.25" customHeight="1" x14ac:dyDescent="0.25">
      <c r="V2127" s="6"/>
      <c r="W2127" s="6"/>
      <c r="X2127" s="6"/>
      <c r="Y2127" s="6"/>
      <c r="Z2127" s="6"/>
      <c r="AA2127" s="6"/>
      <c r="AB2127" s="6"/>
      <c r="AC2127" s="6"/>
      <c r="AD2127" s="6"/>
      <c r="AE2127" s="6"/>
    </row>
    <row r="2128" spans="22:31" ht="11.25" customHeight="1" x14ac:dyDescent="0.25">
      <c r="V2128" s="6"/>
      <c r="W2128" s="6"/>
      <c r="X2128" s="6"/>
      <c r="Y2128" s="6"/>
      <c r="Z2128" s="6"/>
      <c r="AA2128" s="6"/>
      <c r="AB2128" s="6"/>
      <c r="AC2128" s="6"/>
      <c r="AD2128" s="6"/>
      <c r="AE2128" s="6"/>
    </row>
    <row r="2129" spans="22:31" ht="11.25" customHeight="1" x14ac:dyDescent="0.25">
      <c r="V2129" s="6"/>
      <c r="W2129" s="6"/>
      <c r="X2129" s="6"/>
      <c r="Y2129" s="6"/>
      <c r="Z2129" s="6"/>
      <c r="AA2129" s="6"/>
      <c r="AB2129" s="6"/>
      <c r="AC2129" s="6"/>
      <c r="AD2129" s="6"/>
      <c r="AE2129" s="6"/>
    </row>
    <row r="2130" spans="22:31" ht="11.25" customHeight="1" x14ac:dyDescent="0.25">
      <c r="V2130" s="6"/>
      <c r="W2130" s="6"/>
      <c r="X2130" s="6"/>
      <c r="Y2130" s="6"/>
      <c r="Z2130" s="6"/>
      <c r="AA2130" s="6"/>
      <c r="AB2130" s="6"/>
      <c r="AC2130" s="6"/>
      <c r="AD2130" s="6"/>
      <c r="AE2130" s="6"/>
    </row>
    <row r="2131" spans="22:31" ht="11.25" customHeight="1" x14ac:dyDescent="0.25">
      <c r="V2131" s="6"/>
      <c r="W2131" s="6"/>
      <c r="X2131" s="6"/>
      <c r="Y2131" s="6"/>
      <c r="Z2131" s="6"/>
      <c r="AA2131" s="6"/>
      <c r="AB2131" s="6"/>
      <c r="AC2131" s="6"/>
      <c r="AD2131" s="6"/>
      <c r="AE2131" s="6"/>
    </row>
    <row r="2132" spans="22:31" ht="11.25" customHeight="1" x14ac:dyDescent="0.25">
      <c r="V2132" s="6"/>
      <c r="W2132" s="6"/>
      <c r="X2132" s="6"/>
      <c r="Y2132" s="6"/>
      <c r="Z2132" s="6"/>
      <c r="AA2132" s="6"/>
      <c r="AB2132" s="6"/>
      <c r="AC2132" s="6"/>
      <c r="AD2132" s="6"/>
      <c r="AE2132" s="6"/>
    </row>
    <row r="2133" spans="22:31" ht="11.25" customHeight="1" x14ac:dyDescent="0.25"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</row>
    <row r="2134" spans="22:31" ht="11.25" customHeight="1" x14ac:dyDescent="0.25">
      <c r="V2134" s="6"/>
      <c r="W2134" s="6"/>
      <c r="X2134" s="6"/>
      <c r="Y2134" s="6"/>
      <c r="Z2134" s="6"/>
      <c r="AA2134" s="6"/>
      <c r="AB2134" s="6"/>
      <c r="AC2134" s="6"/>
      <c r="AD2134" s="6"/>
      <c r="AE2134" s="6"/>
    </row>
    <row r="2135" spans="22:31" ht="11.25" customHeight="1" x14ac:dyDescent="0.25">
      <c r="V2135" s="6"/>
      <c r="W2135" s="6"/>
      <c r="X2135" s="6"/>
      <c r="Y2135" s="6"/>
      <c r="Z2135" s="6"/>
      <c r="AA2135" s="6"/>
      <c r="AB2135" s="6"/>
      <c r="AC2135" s="6"/>
      <c r="AD2135" s="6"/>
      <c r="AE2135" s="6"/>
    </row>
    <row r="2136" spans="22:31" ht="11.25" customHeight="1" x14ac:dyDescent="0.25">
      <c r="V2136" s="6"/>
      <c r="W2136" s="6"/>
      <c r="X2136" s="6"/>
      <c r="Y2136" s="6"/>
      <c r="Z2136" s="6"/>
      <c r="AA2136" s="6"/>
      <c r="AB2136" s="6"/>
      <c r="AC2136" s="6"/>
      <c r="AD2136" s="6"/>
      <c r="AE2136" s="6"/>
    </row>
    <row r="2137" spans="22:31" ht="11.25" customHeight="1" x14ac:dyDescent="0.25">
      <c r="V2137" s="6"/>
      <c r="W2137" s="6"/>
      <c r="X2137" s="6"/>
      <c r="Y2137" s="6"/>
      <c r="Z2137" s="6"/>
      <c r="AA2137" s="6"/>
      <c r="AB2137" s="6"/>
      <c r="AC2137" s="6"/>
      <c r="AD2137" s="6"/>
      <c r="AE2137" s="6"/>
    </row>
    <row r="2138" spans="22:31" ht="11.25" customHeight="1" x14ac:dyDescent="0.25">
      <c r="V2138" s="6"/>
      <c r="W2138" s="6"/>
      <c r="X2138" s="6"/>
      <c r="Y2138" s="6"/>
      <c r="Z2138" s="6"/>
      <c r="AA2138" s="6"/>
      <c r="AB2138" s="6"/>
      <c r="AC2138" s="6"/>
      <c r="AD2138" s="6"/>
      <c r="AE2138" s="6"/>
    </row>
    <row r="2139" spans="22:31" ht="11.25" customHeight="1" x14ac:dyDescent="0.25">
      <c r="V2139" s="6"/>
      <c r="W2139" s="6"/>
      <c r="X2139" s="6"/>
      <c r="Y2139" s="6"/>
      <c r="Z2139" s="6"/>
      <c r="AA2139" s="6"/>
      <c r="AB2139" s="6"/>
      <c r="AC2139" s="6"/>
      <c r="AD2139" s="6"/>
      <c r="AE2139" s="6"/>
    </row>
    <row r="2140" spans="22:31" ht="11.25" customHeight="1" x14ac:dyDescent="0.25">
      <c r="V2140" s="6"/>
      <c r="W2140" s="6"/>
      <c r="X2140" s="6"/>
      <c r="Y2140" s="6"/>
      <c r="Z2140" s="6"/>
      <c r="AA2140" s="6"/>
      <c r="AB2140" s="6"/>
      <c r="AC2140" s="6"/>
      <c r="AD2140" s="6"/>
      <c r="AE2140" s="6"/>
    </row>
    <row r="2141" spans="22:31" ht="11.25" customHeight="1" x14ac:dyDescent="0.25">
      <c r="V2141" s="6"/>
      <c r="W2141" s="6"/>
      <c r="X2141" s="6"/>
      <c r="Y2141" s="6"/>
      <c r="Z2141" s="6"/>
      <c r="AA2141" s="6"/>
      <c r="AB2141" s="6"/>
      <c r="AC2141" s="6"/>
      <c r="AD2141" s="6"/>
      <c r="AE2141" s="6"/>
    </row>
    <row r="2142" spans="22:31" ht="11.25" customHeight="1" x14ac:dyDescent="0.25">
      <c r="V2142" s="6"/>
      <c r="W2142" s="6"/>
      <c r="X2142" s="6"/>
      <c r="Y2142" s="6"/>
      <c r="Z2142" s="6"/>
      <c r="AA2142" s="6"/>
      <c r="AB2142" s="6"/>
      <c r="AC2142" s="6"/>
      <c r="AD2142" s="6"/>
      <c r="AE2142" s="6"/>
    </row>
    <row r="2143" spans="22:31" ht="11.25" customHeight="1" x14ac:dyDescent="0.25"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</row>
    <row r="2144" spans="22:31" ht="11.25" customHeight="1" x14ac:dyDescent="0.25">
      <c r="V2144" s="6"/>
      <c r="W2144" s="6"/>
      <c r="X2144" s="6"/>
      <c r="Y2144" s="6"/>
      <c r="Z2144" s="6"/>
      <c r="AA2144" s="6"/>
      <c r="AB2144" s="6"/>
      <c r="AC2144" s="6"/>
      <c r="AD2144" s="6"/>
      <c r="AE2144" s="6"/>
    </row>
    <row r="2145" spans="22:31" ht="11.25" customHeight="1" x14ac:dyDescent="0.25">
      <c r="V2145" s="6"/>
      <c r="W2145" s="6"/>
      <c r="X2145" s="6"/>
      <c r="Y2145" s="6"/>
      <c r="Z2145" s="6"/>
      <c r="AA2145" s="6"/>
      <c r="AB2145" s="6"/>
      <c r="AC2145" s="6"/>
      <c r="AD2145" s="6"/>
      <c r="AE2145" s="6"/>
    </row>
    <row r="2146" spans="22:31" ht="11.25" customHeight="1" x14ac:dyDescent="0.25">
      <c r="V2146" s="6"/>
      <c r="W2146" s="6"/>
      <c r="X2146" s="6"/>
      <c r="Y2146" s="6"/>
      <c r="Z2146" s="6"/>
      <c r="AA2146" s="6"/>
      <c r="AB2146" s="6"/>
      <c r="AC2146" s="6"/>
      <c r="AD2146" s="6"/>
      <c r="AE2146" s="6"/>
    </row>
    <row r="2147" spans="22:31" ht="11.25" customHeight="1" x14ac:dyDescent="0.25">
      <c r="V2147" s="6"/>
      <c r="W2147" s="6"/>
      <c r="X2147" s="6"/>
      <c r="Y2147" s="6"/>
      <c r="Z2147" s="6"/>
      <c r="AA2147" s="6"/>
      <c r="AB2147" s="6"/>
      <c r="AC2147" s="6"/>
      <c r="AD2147" s="6"/>
      <c r="AE2147" s="6"/>
    </row>
    <row r="2148" spans="22:31" ht="11.25" customHeight="1" x14ac:dyDescent="0.25"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</row>
    <row r="2149" spans="22:31" ht="11.25" customHeight="1" x14ac:dyDescent="0.25">
      <c r="V2149" s="6"/>
      <c r="W2149" s="6"/>
      <c r="X2149" s="6"/>
      <c r="Y2149" s="6"/>
      <c r="Z2149" s="6"/>
      <c r="AA2149" s="6"/>
      <c r="AB2149" s="6"/>
      <c r="AC2149" s="6"/>
      <c r="AD2149" s="6"/>
      <c r="AE2149" s="6"/>
    </row>
    <row r="2150" spans="22:31" ht="11.25" customHeight="1" x14ac:dyDescent="0.25">
      <c r="V2150" s="6"/>
      <c r="W2150" s="6"/>
      <c r="X2150" s="6"/>
      <c r="Y2150" s="6"/>
      <c r="Z2150" s="6"/>
      <c r="AA2150" s="6"/>
      <c r="AB2150" s="6"/>
      <c r="AC2150" s="6"/>
      <c r="AD2150" s="6"/>
      <c r="AE2150" s="6"/>
    </row>
    <row r="2151" spans="22:31" ht="11.25" customHeight="1" x14ac:dyDescent="0.25"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</row>
    <row r="2152" spans="22:31" ht="11.25" customHeight="1" x14ac:dyDescent="0.25">
      <c r="V2152" s="6"/>
      <c r="W2152" s="6"/>
      <c r="X2152" s="6"/>
      <c r="Y2152" s="6"/>
      <c r="Z2152" s="6"/>
      <c r="AA2152" s="6"/>
      <c r="AB2152" s="6"/>
      <c r="AC2152" s="6"/>
      <c r="AD2152" s="6"/>
      <c r="AE2152" s="6"/>
    </row>
    <row r="2153" spans="22:31" ht="11.25" customHeight="1" x14ac:dyDescent="0.25">
      <c r="V2153" s="6"/>
      <c r="W2153" s="6"/>
      <c r="X2153" s="6"/>
      <c r="Y2153" s="6"/>
      <c r="Z2153" s="6"/>
      <c r="AA2153" s="6"/>
      <c r="AB2153" s="6"/>
      <c r="AC2153" s="6"/>
      <c r="AD2153" s="6"/>
      <c r="AE2153" s="6"/>
    </row>
    <row r="2154" spans="22:31" ht="11.25" customHeight="1" x14ac:dyDescent="0.25">
      <c r="V2154" s="6"/>
      <c r="W2154" s="6"/>
      <c r="X2154" s="6"/>
      <c r="Y2154" s="6"/>
      <c r="Z2154" s="6"/>
      <c r="AA2154" s="6"/>
      <c r="AB2154" s="6"/>
      <c r="AC2154" s="6"/>
      <c r="AD2154" s="6"/>
      <c r="AE2154" s="6"/>
    </row>
    <row r="2155" spans="22:31" ht="11.25" customHeight="1" x14ac:dyDescent="0.25">
      <c r="V2155" s="6"/>
      <c r="W2155" s="6"/>
      <c r="X2155" s="6"/>
      <c r="Y2155" s="6"/>
      <c r="Z2155" s="6"/>
      <c r="AA2155" s="6"/>
      <c r="AB2155" s="6"/>
      <c r="AC2155" s="6"/>
      <c r="AD2155" s="6"/>
      <c r="AE2155" s="6"/>
    </row>
    <row r="2156" spans="22:31" ht="11.25" customHeight="1" x14ac:dyDescent="0.25">
      <c r="V2156" s="6"/>
      <c r="W2156" s="6"/>
      <c r="X2156" s="6"/>
      <c r="Y2156" s="6"/>
      <c r="Z2156" s="6"/>
      <c r="AA2156" s="6"/>
      <c r="AB2156" s="6"/>
      <c r="AC2156" s="6"/>
      <c r="AD2156" s="6"/>
      <c r="AE2156" s="6"/>
    </row>
    <row r="2157" spans="22:31" ht="11.25" customHeight="1" x14ac:dyDescent="0.25">
      <c r="V2157" s="6"/>
      <c r="W2157" s="6"/>
      <c r="X2157" s="6"/>
      <c r="Y2157" s="6"/>
      <c r="Z2157" s="6"/>
      <c r="AA2157" s="6"/>
      <c r="AB2157" s="6"/>
      <c r="AC2157" s="6"/>
      <c r="AD2157" s="6"/>
      <c r="AE2157" s="6"/>
    </row>
    <row r="2158" spans="22:31" ht="11.25" customHeight="1" x14ac:dyDescent="0.25">
      <c r="V2158" s="6"/>
      <c r="W2158" s="6"/>
      <c r="X2158" s="6"/>
      <c r="Y2158" s="6"/>
      <c r="Z2158" s="6"/>
      <c r="AA2158" s="6"/>
      <c r="AB2158" s="6"/>
      <c r="AC2158" s="6"/>
      <c r="AD2158" s="6"/>
      <c r="AE2158" s="6"/>
    </row>
    <row r="2159" spans="22:31" ht="11.25" customHeight="1" x14ac:dyDescent="0.25">
      <c r="V2159" s="6"/>
      <c r="W2159" s="6"/>
      <c r="X2159" s="6"/>
      <c r="Y2159" s="6"/>
      <c r="Z2159" s="6"/>
      <c r="AA2159" s="6"/>
      <c r="AB2159" s="6"/>
      <c r="AC2159" s="6"/>
      <c r="AD2159" s="6"/>
      <c r="AE2159" s="6"/>
    </row>
    <row r="2160" spans="22:31" ht="11.25" customHeight="1" x14ac:dyDescent="0.25">
      <c r="V2160" s="6"/>
      <c r="W2160" s="6"/>
      <c r="X2160" s="6"/>
      <c r="Y2160" s="6"/>
      <c r="Z2160" s="6"/>
      <c r="AA2160" s="6"/>
      <c r="AB2160" s="6"/>
      <c r="AC2160" s="6"/>
      <c r="AD2160" s="6"/>
      <c r="AE2160" s="6"/>
    </row>
    <row r="2161" spans="22:31" ht="11.25" customHeight="1" x14ac:dyDescent="0.25">
      <c r="V2161" s="6"/>
      <c r="W2161" s="6"/>
      <c r="X2161" s="6"/>
      <c r="Y2161" s="6"/>
      <c r="Z2161" s="6"/>
      <c r="AA2161" s="6"/>
      <c r="AB2161" s="6"/>
      <c r="AC2161" s="6"/>
      <c r="AD2161" s="6"/>
      <c r="AE2161" s="6"/>
    </row>
    <row r="2162" spans="22:31" ht="11.25" customHeight="1" x14ac:dyDescent="0.25"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</row>
    <row r="2163" spans="22:31" ht="11.25" customHeight="1" x14ac:dyDescent="0.25"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</row>
    <row r="2164" spans="22:31" ht="11.25" customHeight="1" x14ac:dyDescent="0.25">
      <c r="V2164" s="6"/>
      <c r="W2164" s="6"/>
      <c r="X2164" s="6"/>
      <c r="Y2164" s="6"/>
      <c r="Z2164" s="6"/>
      <c r="AA2164" s="6"/>
      <c r="AB2164" s="6"/>
      <c r="AC2164" s="6"/>
      <c r="AD2164" s="6"/>
      <c r="AE2164" s="6"/>
    </row>
    <row r="2165" spans="22:31" ht="11.25" customHeight="1" x14ac:dyDescent="0.25"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</row>
    <row r="2166" spans="22:31" ht="11.25" customHeight="1" x14ac:dyDescent="0.25">
      <c r="V2166" s="6"/>
      <c r="W2166" s="6"/>
      <c r="X2166" s="6"/>
      <c r="Y2166" s="6"/>
      <c r="Z2166" s="6"/>
      <c r="AA2166" s="6"/>
      <c r="AB2166" s="6"/>
      <c r="AC2166" s="6"/>
      <c r="AD2166" s="6"/>
      <c r="AE2166" s="6"/>
    </row>
    <row r="2167" spans="22:31" ht="11.25" customHeight="1" x14ac:dyDescent="0.25"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</row>
    <row r="2168" spans="22:31" ht="11.25" customHeight="1" x14ac:dyDescent="0.25">
      <c r="V2168" s="6"/>
      <c r="W2168" s="6"/>
      <c r="X2168" s="6"/>
      <c r="Y2168" s="6"/>
      <c r="Z2168" s="6"/>
      <c r="AA2168" s="6"/>
      <c r="AB2168" s="6"/>
      <c r="AC2168" s="6"/>
      <c r="AD2168" s="6"/>
      <c r="AE2168" s="6"/>
    </row>
    <row r="2169" spans="22:31" ht="11.25" customHeight="1" x14ac:dyDescent="0.25"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</row>
    <row r="2170" spans="22:31" ht="11.25" customHeight="1" x14ac:dyDescent="0.25">
      <c r="V2170" s="6"/>
      <c r="W2170" s="6"/>
      <c r="X2170" s="6"/>
      <c r="Y2170" s="6"/>
      <c r="Z2170" s="6"/>
      <c r="AA2170" s="6"/>
      <c r="AB2170" s="6"/>
      <c r="AC2170" s="6"/>
      <c r="AD2170" s="6"/>
      <c r="AE2170" s="6"/>
    </row>
    <row r="2171" spans="22:31" ht="11.25" customHeight="1" x14ac:dyDescent="0.25"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</row>
    <row r="2172" spans="22:31" ht="11.25" customHeight="1" x14ac:dyDescent="0.25"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</row>
    <row r="2173" spans="22:31" ht="11.25" customHeight="1" x14ac:dyDescent="0.25"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</row>
    <row r="2174" spans="22:31" ht="11.25" customHeight="1" x14ac:dyDescent="0.25"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</row>
    <row r="2175" spans="22:31" ht="11.25" customHeight="1" x14ac:dyDescent="0.25">
      <c r="V2175" s="6"/>
      <c r="W2175" s="6"/>
      <c r="X2175" s="6"/>
      <c r="Y2175" s="6"/>
      <c r="Z2175" s="6"/>
      <c r="AA2175" s="6"/>
      <c r="AB2175" s="6"/>
      <c r="AC2175" s="6"/>
      <c r="AD2175" s="6"/>
      <c r="AE2175" s="6"/>
    </row>
    <row r="2176" spans="22:31" ht="11.25" customHeight="1" x14ac:dyDescent="0.25"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</row>
    <row r="2177" spans="22:31" ht="11.25" customHeight="1" x14ac:dyDescent="0.25"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</row>
    <row r="2178" spans="22:31" ht="11.25" customHeight="1" x14ac:dyDescent="0.25">
      <c r="V2178" s="6"/>
      <c r="W2178" s="6"/>
      <c r="X2178" s="6"/>
      <c r="Y2178" s="6"/>
      <c r="Z2178" s="6"/>
      <c r="AA2178" s="6"/>
      <c r="AB2178" s="6"/>
      <c r="AC2178" s="6"/>
      <c r="AD2178" s="6"/>
      <c r="AE2178" s="6"/>
    </row>
    <row r="2179" spans="22:31" ht="11.25" customHeight="1" x14ac:dyDescent="0.25">
      <c r="V2179" s="6"/>
      <c r="W2179" s="6"/>
      <c r="X2179" s="6"/>
      <c r="Y2179" s="6"/>
      <c r="Z2179" s="6"/>
      <c r="AA2179" s="6"/>
      <c r="AB2179" s="6"/>
      <c r="AC2179" s="6"/>
      <c r="AD2179" s="6"/>
      <c r="AE2179" s="6"/>
    </row>
    <row r="2180" spans="22:31" ht="11.25" customHeight="1" x14ac:dyDescent="0.25">
      <c r="V2180" s="6"/>
      <c r="W2180" s="6"/>
      <c r="X2180" s="6"/>
      <c r="Y2180" s="6"/>
      <c r="Z2180" s="6"/>
      <c r="AA2180" s="6"/>
      <c r="AB2180" s="6"/>
      <c r="AC2180" s="6"/>
      <c r="AD2180" s="6"/>
      <c r="AE2180" s="6"/>
    </row>
    <row r="2181" spans="22:31" ht="11.25" customHeight="1" x14ac:dyDescent="0.25">
      <c r="V2181" s="6"/>
      <c r="W2181" s="6"/>
      <c r="X2181" s="6"/>
      <c r="Y2181" s="6"/>
      <c r="Z2181" s="6"/>
      <c r="AA2181" s="6"/>
      <c r="AB2181" s="6"/>
      <c r="AC2181" s="6"/>
      <c r="AD2181" s="6"/>
      <c r="AE2181" s="6"/>
    </row>
    <row r="2182" spans="22:31" ht="11.25" customHeight="1" x14ac:dyDescent="0.25">
      <c r="V2182" s="6"/>
      <c r="W2182" s="6"/>
      <c r="X2182" s="6"/>
      <c r="Y2182" s="6"/>
      <c r="Z2182" s="6"/>
      <c r="AA2182" s="6"/>
      <c r="AB2182" s="6"/>
      <c r="AC2182" s="6"/>
      <c r="AD2182" s="6"/>
      <c r="AE2182" s="6"/>
    </row>
    <row r="2183" spans="22:31" ht="11.25" customHeight="1" x14ac:dyDescent="0.25">
      <c r="V2183" s="6"/>
      <c r="W2183" s="6"/>
      <c r="X2183" s="6"/>
      <c r="Y2183" s="6"/>
      <c r="Z2183" s="6"/>
      <c r="AA2183" s="6"/>
      <c r="AB2183" s="6"/>
      <c r="AC2183" s="6"/>
      <c r="AD2183" s="6"/>
      <c r="AE2183" s="6"/>
    </row>
    <row r="2184" spans="22:31" ht="11.25" customHeight="1" x14ac:dyDescent="0.25">
      <c r="V2184" s="6"/>
      <c r="W2184" s="6"/>
      <c r="X2184" s="6"/>
      <c r="Y2184" s="6"/>
      <c r="Z2184" s="6"/>
      <c r="AA2184" s="6"/>
      <c r="AB2184" s="6"/>
      <c r="AC2184" s="6"/>
      <c r="AD2184" s="6"/>
      <c r="AE2184" s="6"/>
    </row>
    <row r="2185" spans="22:31" ht="11.25" customHeight="1" x14ac:dyDescent="0.25">
      <c r="V2185" s="6"/>
      <c r="W2185" s="6"/>
      <c r="X2185" s="6"/>
      <c r="Y2185" s="6"/>
      <c r="Z2185" s="6"/>
      <c r="AA2185" s="6"/>
      <c r="AB2185" s="6"/>
      <c r="AC2185" s="6"/>
      <c r="AD2185" s="6"/>
      <c r="AE2185" s="6"/>
    </row>
    <row r="2186" spans="22:31" ht="11.25" customHeight="1" x14ac:dyDescent="0.25">
      <c r="V2186" s="6"/>
      <c r="W2186" s="6"/>
      <c r="X2186" s="6"/>
      <c r="Y2186" s="6"/>
      <c r="Z2186" s="6"/>
      <c r="AA2186" s="6"/>
      <c r="AB2186" s="6"/>
      <c r="AC2186" s="6"/>
      <c r="AD2186" s="6"/>
      <c r="AE2186" s="6"/>
    </row>
    <row r="2187" spans="22:31" ht="11.25" customHeight="1" x14ac:dyDescent="0.25"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</row>
    <row r="2188" spans="22:31" ht="11.25" customHeight="1" x14ac:dyDescent="0.25">
      <c r="V2188" s="6"/>
      <c r="W2188" s="6"/>
      <c r="X2188" s="6"/>
      <c r="Y2188" s="6"/>
      <c r="Z2188" s="6"/>
      <c r="AA2188" s="6"/>
      <c r="AB2188" s="6"/>
      <c r="AC2188" s="6"/>
      <c r="AD2188" s="6"/>
      <c r="AE2188" s="6"/>
    </row>
    <row r="2189" spans="22:31" ht="11.25" customHeight="1" x14ac:dyDescent="0.25">
      <c r="V2189" s="6"/>
      <c r="W2189" s="6"/>
      <c r="X2189" s="6"/>
      <c r="Y2189" s="6"/>
      <c r="Z2189" s="6"/>
      <c r="AA2189" s="6"/>
      <c r="AB2189" s="6"/>
      <c r="AC2189" s="6"/>
      <c r="AD2189" s="6"/>
      <c r="AE2189" s="6"/>
    </row>
    <row r="2190" spans="22:31" ht="11.25" customHeight="1" x14ac:dyDescent="0.25"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</row>
    <row r="2191" spans="22:31" ht="11.25" customHeight="1" x14ac:dyDescent="0.25"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</row>
    <row r="2192" spans="22:31" ht="11.25" customHeight="1" x14ac:dyDescent="0.25"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</row>
    <row r="2193" spans="22:31" ht="11.25" customHeight="1" x14ac:dyDescent="0.25"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</row>
    <row r="2194" spans="22:31" ht="11.25" customHeight="1" x14ac:dyDescent="0.25"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</row>
    <row r="2195" spans="22:31" ht="11.25" customHeight="1" x14ac:dyDescent="0.25"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</row>
    <row r="2196" spans="22:31" ht="11.25" customHeight="1" x14ac:dyDescent="0.25"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</row>
    <row r="2197" spans="22:31" ht="11.25" customHeight="1" x14ac:dyDescent="0.25"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</row>
    <row r="2198" spans="22:31" ht="11.25" customHeight="1" x14ac:dyDescent="0.25"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</row>
    <row r="2199" spans="22:31" ht="11.25" customHeight="1" x14ac:dyDescent="0.25"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</row>
    <row r="2200" spans="22:31" ht="11.25" customHeight="1" x14ac:dyDescent="0.25"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</row>
    <row r="2201" spans="22:31" ht="11.25" customHeight="1" x14ac:dyDescent="0.25"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</row>
    <row r="2202" spans="22:31" ht="11.25" customHeight="1" x14ac:dyDescent="0.25"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</row>
    <row r="2203" spans="22:31" ht="11.25" customHeight="1" x14ac:dyDescent="0.25"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</row>
    <row r="2204" spans="22:31" ht="11.25" customHeight="1" x14ac:dyDescent="0.25"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</row>
    <row r="2205" spans="22:31" ht="11.25" customHeight="1" x14ac:dyDescent="0.25"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</row>
    <row r="2206" spans="22:31" ht="11.25" customHeight="1" x14ac:dyDescent="0.25"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</row>
    <row r="2207" spans="22:31" ht="11.25" customHeight="1" x14ac:dyDescent="0.25"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</row>
    <row r="2208" spans="22:31" ht="11.25" customHeight="1" x14ac:dyDescent="0.25"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</row>
    <row r="2209" spans="22:31" ht="11.25" customHeight="1" x14ac:dyDescent="0.25"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</row>
    <row r="2210" spans="22:31" ht="11.25" customHeight="1" x14ac:dyDescent="0.25">
      <c r="V2210" s="6"/>
      <c r="W2210" s="6"/>
      <c r="X2210" s="6"/>
      <c r="Y2210" s="6"/>
      <c r="Z2210" s="6"/>
      <c r="AA2210" s="6"/>
      <c r="AB2210" s="6"/>
      <c r="AC2210" s="6"/>
      <c r="AD2210" s="6"/>
      <c r="AE2210" s="6"/>
    </row>
    <row r="2211" spans="22:31" ht="11.25" customHeight="1" x14ac:dyDescent="0.25">
      <c r="V2211" s="6"/>
      <c r="W2211" s="6"/>
      <c r="X2211" s="6"/>
      <c r="Y2211" s="6"/>
      <c r="Z2211" s="6"/>
      <c r="AA2211" s="6"/>
      <c r="AB2211" s="6"/>
      <c r="AC2211" s="6"/>
      <c r="AD2211" s="6"/>
      <c r="AE2211" s="6"/>
    </row>
    <row r="2212" spans="22:31" ht="11.25" customHeight="1" x14ac:dyDescent="0.25">
      <c r="V2212" s="6"/>
      <c r="W2212" s="6"/>
      <c r="X2212" s="6"/>
      <c r="Y2212" s="6"/>
      <c r="Z2212" s="6"/>
      <c r="AA2212" s="6"/>
      <c r="AB2212" s="6"/>
      <c r="AC2212" s="6"/>
      <c r="AD2212" s="6"/>
      <c r="AE2212" s="6"/>
    </row>
    <row r="2213" spans="22:31" ht="11.25" customHeight="1" x14ac:dyDescent="0.25">
      <c r="V2213" s="6"/>
      <c r="W2213" s="6"/>
      <c r="X2213" s="6"/>
      <c r="Y2213" s="6"/>
      <c r="Z2213" s="6"/>
      <c r="AA2213" s="6"/>
      <c r="AB2213" s="6"/>
      <c r="AC2213" s="6"/>
      <c r="AD2213" s="6"/>
      <c r="AE2213" s="6"/>
    </row>
    <row r="2214" spans="22:31" ht="11.25" customHeight="1" x14ac:dyDescent="0.25"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</row>
    <row r="2215" spans="22:31" ht="11.25" customHeight="1" x14ac:dyDescent="0.25"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</row>
    <row r="2216" spans="22:31" ht="11.25" customHeight="1" x14ac:dyDescent="0.25"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</row>
    <row r="2217" spans="22:31" ht="11.25" customHeight="1" x14ac:dyDescent="0.25">
      <c r="V2217" s="6"/>
      <c r="W2217" s="6"/>
      <c r="X2217" s="6"/>
      <c r="Y2217" s="6"/>
      <c r="Z2217" s="6"/>
      <c r="AA2217" s="6"/>
      <c r="AB2217" s="6"/>
      <c r="AC2217" s="6"/>
      <c r="AD2217" s="6"/>
      <c r="AE2217" s="6"/>
    </row>
    <row r="2218" spans="22:31" ht="11.25" customHeight="1" x14ac:dyDescent="0.25">
      <c r="V2218" s="6"/>
      <c r="W2218" s="6"/>
      <c r="X2218" s="6"/>
      <c r="Y2218" s="6"/>
      <c r="Z2218" s="6"/>
      <c r="AA2218" s="6"/>
      <c r="AB2218" s="6"/>
      <c r="AC2218" s="6"/>
      <c r="AD2218" s="6"/>
      <c r="AE2218" s="6"/>
    </row>
    <row r="2219" spans="22:31" ht="11.25" customHeight="1" x14ac:dyDescent="0.25">
      <c r="V2219" s="6"/>
      <c r="W2219" s="6"/>
      <c r="X2219" s="6"/>
      <c r="Y2219" s="6"/>
      <c r="Z2219" s="6"/>
      <c r="AA2219" s="6"/>
      <c r="AB2219" s="6"/>
      <c r="AC2219" s="6"/>
      <c r="AD2219" s="6"/>
      <c r="AE2219" s="6"/>
    </row>
    <row r="2220" spans="22:31" ht="11.25" customHeight="1" x14ac:dyDescent="0.25">
      <c r="V2220" s="6"/>
      <c r="W2220" s="6"/>
      <c r="X2220" s="6"/>
      <c r="Y2220" s="6"/>
      <c r="Z2220" s="6"/>
      <c r="AA2220" s="6"/>
      <c r="AB2220" s="6"/>
      <c r="AC2220" s="6"/>
      <c r="AD2220" s="6"/>
      <c r="AE2220" s="6"/>
    </row>
    <row r="2221" spans="22:31" ht="11.25" customHeight="1" x14ac:dyDescent="0.25">
      <c r="V2221" s="6"/>
      <c r="W2221" s="6"/>
      <c r="X2221" s="6"/>
      <c r="Y2221" s="6"/>
      <c r="Z2221" s="6"/>
      <c r="AA2221" s="6"/>
      <c r="AB2221" s="6"/>
      <c r="AC2221" s="6"/>
      <c r="AD2221" s="6"/>
      <c r="AE2221" s="6"/>
    </row>
    <row r="2222" spans="22:31" ht="11.25" customHeight="1" x14ac:dyDescent="0.25"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</row>
    <row r="2223" spans="22:31" ht="11.25" customHeight="1" x14ac:dyDescent="0.25"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</row>
    <row r="2224" spans="22:31" ht="11.25" customHeight="1" x14ac:dyDescent="0.25">
      <c r="V2224" s="6"/>
      <c r="W2224" s="6"/>
      <c r="X2224" s="6"/>
      <c r="Y2224" s="6"/>
      <c r="Z2224" s="6"/>
      <c r="AA2224" s="6"/>
      <c r="AB2224" s="6"/>
      <c r="AC2224" s="6"/>
      <c r="AD2224" s="6"/>
      <c r="AE2224" s="6"/>
    </row>
    <row r="2225" spans="22:31" ht="11.25" customHeight="1" x14ac:dyDescent="0.25">
      <c r="V2225" s="6"/>
      <c r="W2225" s="6"/>
      <c r="X2225" s="6"/>
      <c r="Y2225" s="6"/>
      <c r="Z2225" s="6"/>
      <c r="AA2225" s="6"/>
      <c r="AB2225" s="6"/>
      <c r="AC2225" s="6"/>
      <c r="AD2225" s="6"/>
      <c r="AE2225" s="6"/>
    </row>
    <row r="2226" spans="22:31" ht="11.25" customHeight="1" x14ac:dyDescent="0.25">
      <c r="V2226" s="6"/>
      <c r="W2226" s="6"/>
      <c r="X2226" s="6"/>
      <c r="Y2226" s="6"/>
      <c r="Z2226" s="6"/>
      <c r="AA2226" s="6"/>
      <c r="AB2226" s="6"/>
      <c r="AC2226" s="6"/>
      <c r="AD2226" s="6"/>
      <c r="AE2226" s="6"/>
    </row>
    <row r="2227" spans="22:31" ht="11.25" customHeight="1" x14ac:dyDescent="0.25">
      <c r="V2227" s="6"/>
      <c r="W2227" s="6"/>
      <c r="X2227" s="6"/>
      <c r="Y2227" s="6"/>
      <c r="Z2227" s="6"/>
      <c r="AA2227" s="6"/>
      <c r="AB2227" s="6"/>
      <c r="AC2227" s="6"/>
      <c r="AD2227" s="6"/>
      <c r="AE2227" s="6"/>
    </row>
    <row r="2228" spans="22:31" ht="11.25" customHeight="1" x14ac:dyDescent="0.25">
      <c r="V2228" s="6"/>
      <c r="W2228" s="6"/>
      <c r="X2228" s="6"/>
      <c r="Y2228" s="6"/>
      <c r="Z2228" s="6"/>
      <c r="AA2228" s="6"/>
      <c r="AB2228" s="6"/>
      <c r="AC2228" s="6"/>
      <c r="AD2228" s="6"/>
      <c r="AE2228" s="6"/>
    </row>
    <row r="2229" spans="22:31" ht="11.25" customHeight="1" x14ac:dyDescent="0.25"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</row>
    <row r="2230" spans="22:31" ht="11.25" customHeight="1" x14ac:dyDescent="0.25"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</row>
    <row r="2231" spans="22:31" ht="11.25" customHeight="1" x14ac:dyDescent="0.25">
      <c r="V2231" s="6"/>
      <c r="W2231" s="6"/>
      <c r="X2231" s="6"/>
      <c r="Y2231" s="6"/>
      <c r="Z2231" s="6"/>
      <c r="AA2231" s="6"/>
      <c r="AB2231" s="6"/>
      <c r="AC2231" s="6"/>
      <c r="AD2231" s="6"/>
      <c r="AE2231" s="6"/>
    </row>
    <row r="2232" spans="22:31" ht="11.25" customHeight="1" x14ac:dyDescent="0.25">
      <c r="V2232" s="6"/>
      <c r="W2232" s="6"/>
      <c r="X2232" s="6"/>
      <c r="Y2232" s="6"/>
      <c r="Z2232" s="6"/>
      <c r="AA2232" s="6"/>
      <c r="AB2232" s="6"/>
      <c r="AC2232" s="6"/>
      <c r="AD2232" s="6"/>
      <c r="AE2232" s="6"/>
    </row>
    <row r="2233" spans="22:31" ht="11.25" customHeight="1" x14ac:dyDescent="0.25">
      <c r="V2233" s="6"/>
      <c r="W2233" s="6"/>
      <c r="X2233" s="6"/>
      <c r="Y2233" s="6"/>
      <c r="Z2233" s="6"/>
      <c r="AA2233" s="6"/>
      <c r="AB2233" s="6"/>
      <c r="AC2233" s="6"/>
      <c r="AD2233" s="6"/>
      <c r="AE2233" s="6"/>
    </row>
    <row r="2234" spans="22:31" ht="11.25" customHeight="1" x14ac:dyDescent="0.25">
      <c r="V2234" s="6"/>
      <c r="W2234" s="6"/>
      <c r="X2234" s="6"/>
      <c r="Y2234" s="6"/>
      <c r="Z2234" s="6"/>
      <c r="AA2234" s="6"/>
      <c r="AB2234" s="6"/>
      <c r="AC2234" s="6"/>
      <c r="AD2234" s="6"/>
      <c r="AE2234" s="6"/>
    </row>
    <row r="2235" spans="22:31" ht="11.25" customHeight="1" x14ac:dyDescent="0.25">
      <c r="V2235" s="6"/>
      <c r="W2235" s="6"/>
      <c r="X2235" s="6"/>
      <c r="Y2235" s="6"/>
      <c r="Z2235" s="6"/>
      <c r="AA2235" s="6"/>
      <c r="AB2235" s="6"/>
      <c r="AC2235" s="6"/>
      <c r="AD2235" s="6"/>
      <c r="AE2235" s="6"/>
    </row>
    <row r="2236" spans="22:31" ht="11.25" customHeight="1" x14ac:dyDescent="0.25">
      <c r="V2236" s="6"/>
      <c r="W2236" s="6"/>
      <c r="X2236" s="6"/>
      <c r="Y2236" s="6"/>
      <c r="Z2236" s="6"/>
      <c r="AA2236" s="6"/>
      <c r="AB2236" s="6"/>
      <c r="AC2236" s="6"/>
      <c r="AD2236" s="6"/>
      <c r="AE2236" s="6"/>
    </row>
    <row r="2237" spans="22:31" ht="11.25" customHeight="1" x14ac:dyDescent="0.25"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</row>
    <row r="2238" spans="22:31" ht="11.25" customHeight="1" x14ac:dyDescent="0.25">
      <c r="V2238" s="6"/>
      <c r="W2238" s="6"/>
      <c r="X2238" s="6"/>
      <c r="Y2238" s="6"/>
      <c r="Z2238" s="6"/>
      <c r="AA2238" s="6"/>
      <c r="AB2238" s="6"/>
      <c r="AC2238" s="6"/>
      <c r="AD2238" s="6"/>
      <c r="AE2238" s="6"/>
    </row>
    <row r="2239" spans="22:31" ht="11.25" customHeight="1" x14ac:dyDescent="0.25">
      <c r="V2239" s="6"/>
      <c r="W2239" s="6"/>
      <c r="X2239" s="6"/>
      <c r="Y2239" s="6"/>
      <c r="Z2239" s="6"/>
      <c r="AA2239" s="6"/>
      <c r="AB2239" s="6"/>
      <c r="AC2239" s="6"/>
      <c r="AD2239" s="6"/>
      <c r="AE2239" s="6"/>
    </row>
    <row r="2240" spans="22:31" ht="11.25" customHeight="1" x14ac:dyDescent="0.25">
      <c r="V2240" s="6"/>
      <c r="W2240" s="6"/>
      <c r="X2240" s="6"/>
      <c r="Y2240" s="6"/>
      <c r="Z2240" s="6"/>
      <c r="AA2240" s="6"/>
      <c r="AB2240" s="6"/>
      <c r="AC2240" s="6"/>
      <c r="AD2240" s="6"/>
      <c r="AE2240" s="6"/>
    </row>
    <row r="2241" spans="22:31" ht="11.25" customHeight="1" x14ac:dyDescent="0.25">
      <c r="V2241" s="6"/>
      <c r="W2241" s="6"/>
      <c r="X2241" s="6"/>
      <c r="Y2241" s="6"/>
      <c r="Z2241" s="6"/>
      <c r="AA2241" s="6"/>
      <c r="AB2241" s="6"/>
      <c r="AC2241" s="6"/>
      <c r="AD2241" s="6"/>
      <c r="AE2241" s="6"/>
    </row>
    <row r="2242" spans="22:31" ht="11.25" customHeight="1" x14ac:dyDescent="0.25">
      <c r="V2242" s="6"/>
      <c r="W2242" s="6"/>
      <c r="X2242" s="6"/>
      <c r="Y2242" s="6"/>
      <c r="Z2242" s="6"/>
      <c r="AA2242" s="6"/>
      <c r="AB2242" s="6"/>
      <c r="AC2242" s="6"/>
      <c r="AD2242" s="6"/>
      <c r="AE2242" s="6"/>
    </row>
    <row r="2243" spans="22:31" ht="11.25" customHeight="1" x14ac:dyDescent="0.25">
      <c r="V2243" s="6"/>
      <c r="W2243" s="6"/>
      <c r="X2243" s="6"/>
      <c r="Y2243" s="6"/>
      <c r="Z2243" s="6"/>
      <c r="AA2243" s="6"/>
      <c r="AB2243" s="6"/>
      <c r="AC2243" s="6"/>
      <c r="AD2243" s="6"/>
      <c r="AE2243" s="6"/>
    </row>
    <row r="2244" spans="22:31" ht="11.25" customHeight="1" x14ac:dyDescent="0.25">
      <c r="V2244" s="6"/>
      <c r="W2244" s="6"/>
      <c r="X2244" s="6"/>
      <c r="Y2244" s="6"/>
      <c r="Z2244" s="6"/>
      <c r="AA2244" s="6"/>
      <c r="AB2244" s="6"/>
      <c r="AC2244" s="6"/>
      <c r="AD2244" s="6"/>
      <c r="AE2244" s="6"/>
    </row>
    <row r="2245" spans="22:31" ht="11.25" customHeight="1" x14ac:dyDescent="0.25">
      <c r="V2245" s="6"/>
      <c r="W2245" s="6"/>
      <c r="X2245" s="6"/>
      <c r="Y2245" s="6"/>
      <c r="Z2245" s="6"/>
      <c r="AA2245" s="6"/>
      <c r="AB2245" s="6"/>
      <c r="AC2245" s="6"/>
      <c r="AD2245" s="6"/>
      <c r="AE2245" s="6"/>
    </row>
    <row r="2246" spans="22:31" ht="11.25" customHeight="1" x14ac:dyDescent="0.25"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</row>
    <row r="2247" spans="22:31" ht="11.25" customHeight="1" x14ac:dyDescent="0.25"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</row>
    <row r="2248" spans="22:31" ht="11.25" customHeight="1" x14ac:dyDescent="0.25"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</row>
    <row r="2249" spans="22:31" ht="11.25" customHeight="1" x14ac:dyDescent="0.25"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</row>
    <row r="2250" spans="22:31" ht="11.25" customHeight="1" x14ac:dyDescent="0.25">
      <c r="V2250" s="6"/>
      <c r="W2250" s="6"/>
      <c r="X2250" s="6"/>
      <c r="Y2250" s="6"/>
      <c r="Z2250" s="6"/>
      <c r="AA2250" s="6"/>
      <c r="AB2250" s="6"/>
      <c r="AC2250" s="6"/>
      <c r="AD2250" s="6"/>
      <c r="AE2250" s="6"/>
    </row>
    <row r="2251" spans="22:31" ht="11.25" customHeight="1" x14ac:dyDescent="0.25">
      <c r="V2251" s="6"/>
      <c r="W2251" s="6"/>
      <c r="X2251" s="6"/>
      <c r="Y2251" s="6"/>
      <c r="Z2251" s="6"/>
      <c r="AA2251" s="6"/>
      <c r="AB2251" s="6"/>
      <c r="AC2251" s="6"/>
      <c r="AD2251" s="6"/>
      <c r="AE2251" s="6"/>
    </row>
    <row r="2252" spans="22:31" ht="11.25" customHeight="1" x14ac:dyDescent="0.25">
      <c r="V2252" s="6"/>
      <c r="W2252" s="6"/>
      <c r="X2252" s="6"/>
      <c r="Y2252" s="6"/>
      <c r="Z2252" s="6"/>
      <c r="AA2252" s="6"/>
      <c r="AB2252" s="6"/>
      <c r="AC2252" s="6"/>
      <c r="AD2252" s="6"/>
      <c r="AE2252" s="6"/>
    </row>
    <row r="2253" spans="22:31" ht="11.25" customHeight="1" x14ac:dyDescent="0.25">
      <c r="V2253" s="6"/>
      <c r="W2253" s="6"/>
      <c r="X2253" s="6"/>
      <c r="Y2253" s="6"/>
      <c r="Z2253" s="6"/>
      <c r="AA2253" s="6"/>
      <c r="AB2253" s="6"/>
      <c r="AC2253" s="6"/>
      <c r="AD2253" s="6"/>
      <c r="AE2253" s="6"/>
    </row>
    <row r="2254" spans="22:31" ht="11.25" customHeight="1" x14ac:dyDescent="0.25">
      <c r="V2254" s="6"/>
      <c r="W2254" s="6"/>
      <c r="X2254" s="6"/>
      <c r="Y2254" s="6"/>
      <c r="Z2254" s="6"/>
      <c r="AA2254" s="6"/>
      <c r="AB2254" s="6"/>
      <c r="AC2254" s="6"/>
      <c r="AD2254" s="6"/>
      <c r="AE2254" s="6"/>
    </row>
    <row r="2255" spans="22:31" ht="11.25" customHeight="1" x14ac:dyDescent="0.25">
      <c r="V2255" s="6"/>
      <c r="W2255" s="6"/>
      <c r="X2255" s="6"/>
      <c r="Y2255" s="6"/>
      <c r="Z2255" s="6"/>
      <c r="AA2255" s="6"/>
      <c r="AB2255" s="6"/>
      <c r="AC2255" s="6"/>
      <c r="AD2255" s="6"/>
      <c r="AE2255" s="6"/>
    </row>
    <row r="2256" spans="22:31" ht="11.25" customHeight="1" x14ac:dyDescent="0.25"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</row>
    <row r="2257" spans="22:31" ht="11.25" customHeight="1" x14ac:dyDescent="0.25"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</row>
    <row r="2258" spans="22:31" ht="11.25" customHeight="1" x14ac:dyDescent="0.25"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</row>
    <row r="2259" spans="22:31" ht="11.25" customHeight="1" x14ac:dyDescent="0.25"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</row>
    <row r="2260" spans="22:31" ht="11.25" customHeight="1" x14ac:dyDescent="0.25">
      <c r="V2260" s="6"/>
      <c r="W2260" s="6"/>
      <c r="X2260" s="6"/>
      <c r="Y2260" s="6"/>
      <c r="Z2260" s="6"/>
      <c r="AA2260" s="6"/>
      <c r="AB2260" s="6"/>
      <c r="AC2260" s="6"/>
      <c r="AD2260" s="6"/>
      <c r="AE2260" s="6"/>
    </row>
    <row r="2261" spans="22:31" ht="11.25" customHeight="1" x14ac:dyDescent="0.25"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</row>
    <row r="2262" spans="22:31" ht="11.25" customHeight="1" x14ac:dyDescent="0.25">
      <c r="V2262" s="6"/>
      <c r="W2262" s="6"/>
      <c r="X2262" s="6"/>
      <c r="Y2262" s="6"/>
      <c r="Z2262" s="6"/>
      <c r="AA2262" s="6"/>
      <c r="AB2262" s="6"/>
      <c r="AC2262" s="6"/>
      <c r="AD2262" s="6"/>
      <c r="AE2262" s="6"/>
    </row>
    <row r="2263" spans="22:31" ht="11.25" customHeight="1" x14ac:dyDescent="0.25"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</row>
    <row r="2264" spans="22:31" ht="11.25" customHeight="1" x14ac:dyDescent="0.25">
      <c r="V2264" s="6"/>
      <c r="W2264" s="6"/>
      <c r="X2264" s="6"/>
      <c r="Y2264" s="6"/>
      <c r="Z2264" s="6"/>
      <c r="AA2264" s="6"/>
      <c r="AB2264" s="6"/>
      <c r="AC2264" s="6"/>
      <c r="AD2264" s="6"/>
      <c r="AE2264" s="6"/>
    </row>
    <row r="2265" spans="22:31" ht="11.25" customHeight="1" x14ac:dyDescent="0.25"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</row>
    <row r="2266" spans="22:31" ht="11.25" customHeight="1" x14ac:dyDescent="0.25"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</row>
    <row r="2267" spans="22:31" ht="11.25" customHeight="1" x14ac:dyDescent="0.25"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</row>
    <row r="2268" spans="22:31" ht="11.25" customHeight="1" x14ac:dyDescent="0.25"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</row>
    <row r="2269" spans="22:31" ht="11.25" customHeight="1" x14ac:dyDescent="0.25"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</row>
    <row r="2270" spans="22:31" ht="11.25" customHeight="1" x14ac:dyDescent="0.25">
      <c r="V2270" s="6"/>
      <c r="W2270" s="6"/>
      <c r="X2270" s="6"/>
      <c r="Y2270" s="6"/>
      <c r="Z2270" s="6"/>
      <c r="AA2270" s="6"/>
      <c r="AB2270" s="6"/>
      <c r="AC2270" s="6"/>
      <c r="AD2270" s="6"/>
      <c r="AE2270" s="6"/>
    </row>
    <row r="2271" spans="22:31" ht="11.25" customHeight="1" x14ac:dyDescent="0.25">
      <c r="V2271" s="6"/>
      <c r="W2271" s="6"/>
      <c r="X2271" s="6"/>
      <c r="Y2271" s="6"/>
      <c r="Z2271" s="6"/>
      <c r="AA2271" s="6"/>
      <c r="AB2271" s="6"/>
      <c r="AC2271" s="6"/>
      <c r="AD2271" s="6"/>
      <c r="AE2271" s="6"/>
    </row>
    <row r="2272" spans="22:31" ht="11.25" customHeight="1" x14ac:dyDescent="0.25">
      <c r="V2272" s="6"/>
      <c r="W2272" s="6"/>
      <c r="X2272" s="6"/>
      <c r="Y2272" s="6"/>
      <c r="Z2272" s="6"/>
      <c r="AA2272" s="6"/>
      <c r="AB2272" s="6"/>
      <c r="AC2272" s="6"/>
      <c r="AD2272" s="6"/>
      <c r="AE2272" s="6"/>
    </row>
    <row r="2273" spans="22:31" ht="11.25" customHeight="1" x14ac:dyDescent="0.25">
      <c r="V2273" s="6"/>
      <c r="W2273" s="6"/>
      <c r="X2273" s="6"/>
      <c r="Y2273" s="6"/>
      <c r="Z2273" s="6"/>
      <c r="AA2273" s="6"/>
      <c r="AB2273" s="6"/>
      <c r="AC2273" s="6"/>
      <c r="AD2273" s="6"/>
      <c r="AE2273" s="6"/>
    </row>
    <row r="2274" spans="22:31" ht="11.25" customHeight="1" x14ac:dyDescent="0.25">
      <c r="V2274" s="6"/>
      <c r="W2274" s="6"/>
      <c r="X2274" s="6"/>
      <c r="Y2274" s="6"/>
      <c r="Z2274" s="6"/>
      <c r="AA2274" s="6"/>
      <c r="AB2274" s="6"/>
      <c r="AC2274" s="6"/>
      <c r="AD2274" s="6"/>
      <c r="AE2274" s="6"/>
    </row>
    <row r="2275" spans="22:31" ht="11.25" customHeight="1" x14ac:dyDescent="0.25"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</row>
    <row r="2276" spans="22:31" ht="11.25" customHeight="1" x14ac:dyDescent="0.25"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</row>
    <row r="2277" spans="22:31" ht="11.25" customHeight="1" x14ac:dyDescent="0.25">
      <c r="V2277" s="6"/>
      <c r="W2277" s="6"/>
      <c r="X2277" s="6"/>
      <c r="Y2277" s="6"/>
      <c r="Z2277" s="6"/>
      <c r="AA2277" s="6"/>
      <c r="AB2277" s="6"/>
      <c r="AC2277" s="6"/>
      <c r="AD2277" s="6"/>
      <c r="AE2277" s="6"/>
    </row>
    <row r="2278" spans="22:31" ht="11.25" customHeight="1" x14ac:dyDescent="0.25">
      <c r="V2278" s="6"/>
      <c r="W2278" s="6"/>
      <c r="X2278" s="6"/>
      <c r="Y2278" s="6"/>
      <c r="Z2278" s="6"/>
      <c r="AA2278" s="6"/>
      <c r="AB2278" s="6"/>
      <c r="AC2278" s="6"/>
      <c r="AD2278" s="6"/>
      <c r="AE2278" s="6"/>
    </row>
    <row r="2279" spans="22:31" ht="11.25" customHeight="1" x14ac:dyDescent="0.25">
      <c r="V2279" s="6"/>
      <c r="W2279" s="6"/>
      <c r="X2279" s="6"/>
      <c r="Y2279" s="6"/>
      <c r="Z2279" s="6"/>
      <c r="AA2279" s="6"/>
      <c r="AB2279" s="6"/>
      <c r="AC2279" s="6"/>
      <c r="AD2279" s="6"/>
      <c r="AE2279" s="6"/>
    </row>
    <row r="2280" spans="22:31" ht="11.25" customHeight="1" x14ac:dyDescent="0.25"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</row>
    <row r="2281" spans="22:31" ht="11.25" customHeight="1" x14ac:dyDescent="0.25"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</row>
    <row r="2282" spans="22:31" ht="11.25" customHeight="1" x14ac:dyDescent="0.25"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</row>
    <row r="2283" spans="22:31" ht="11.25" customHeight="1" x14ac:dyDescent="0.25"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</row>
    <row r="2284" spans="22:31" ht="11.25" customHeight="1" x14ac:dyDescent="0.25"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</row>
    <row r="2285" spans="22:31" ht="11.25" customHeight="1" x14ac:dyDescent="0.25">
      <c r="V2285" s="6"/>
      <c r="W2285" s="6"/>
      <c r="X2285" s="6"/>
      <c r="Y2285" s="6"/>
      <c r="Z2285" s="6"/>
      <c r="AA2285" s="6"/>
      <c r="AB2285" s="6"/>
      <c r="AC2285" s="6"/>
      <c r="AD2285" s="6"/>
      <c r="AE2285" s="6"/>
    </row>
    <row r="2286" spans="22:31" ht="11.25" customHeight="1" x14ac:dyDescent="0.25"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</row>
    <row r="2287" spans="22:31" ht="11.25" customHeight="1" x14ac:dyDescent="0.25">
      <c r="V2287" s="6"/>
      <c r="W2287" s="6"/>
      <c r="X2287" s="6"/>
      <c r="Y2287" s="6"/>
      <c r="Z2287" s="6"/>
      <c r="AA2287" s="6"/>
      <c r="AB2287" s="6"/>
      <c r="AC2287" s="6"/>
      <c r="AD2287" s="6"/>
      <c r="AE2287" s="6"/>
    </row>
    <row r="2288" spans="22:31" ht="11.25" customHeight="1" x14ac:dyDescent="0.25"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</row>
    <row r="2289" spans="22:31" ht="11.25" customHeight="1" x14ac:dyDescent="0.25">
      <c r="V2289" s="6"/>
      <c r="W2289" s="6"/>
      <c r="X2289" s="6"/>
      <c r="Y2289" s="6"/>
      <c r="Z2289" s="6"/>
      <c r="AA2289" s="6"/>
      <c r="AB2289" s="6"/>
      <c r="AC2289" s="6"/>
      <c r="AD2289" s="6"/>
      <c r="AE2289" s="6"/>
    </row>
    <row r="2290" spans="22:31" ht="11.25" customHeight="1" x14ac:dyDescent="0.25"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</row>
    <row r="2291" spans="22:31" ht="11.25" customHeight="1" x14ac:dyDescent="0.25"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</row>
    <row r="2292" spans="22:31" ht="11.25" customHeight="1" x14ac:dyDescent="0.25"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</row>
    <row r="2293" spans="22:31" ht="11.25" customHeight="1" x14ac:dyDescent="0.25"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</row>
    <row r="2294" spans="22:31" ht="11.25" customHeight="1" x14ac:dyDescent="0.25"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</row>
    <row r="2295" spans="22:31" ht="11.25" customHeight="1" x14ac:dyDescent="0.25"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</row>
    <row r="2296" spans="22:31" ht="11.25" customHeight="1" x14ac:dyDescent="0.25"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</row>
    <row r="2297" spans="22:31" ht="11.25" customHeight="1" x14ac:dyDescent="0.25"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</row>
    <row r="2298" spans="22:31" ht="11.25" customHeight="1" x14ac:dyDescent="0.25"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</row>
    <row r="2299" spans="22:31" ht="11.25" customHeight="1" x14ac:dyDescent="0.25"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</row>
    <row r="2300" spans="22:31" ht="11.25" customHeight="1" x14ac:dyDescent="0.25"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</row>
    <row r="2301" spans="22:31" ht="11.25" customHeight="1" x14ac:dyDescent="0.25"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</row>
    <row r="2302" spans="22:31" ht="11.25" customHeight="1" x14ac:dyDescent="0.25">
      <c r="V2302" s="6"/>
      <c r="W2302" s="6"/>
      <c r="X2302" s="6"/>
      <c r="Y2302" s="6"/>
      <c r="Z2302" s="6"/>
      <c r="AA2302" s="6"/>
      <c r="AB2302" s="6"/>
      <c r="AC2302" s="6"/>
      <c r="AD2302" s="6"/>
      <c r="AE2302" s="6"/>
    </row>
    <row r="2303" spans="22:31" ht="11.25" customHeight="1" x14ac:dyDescent="0.25">
      <c r="V2303" s="6"/>
      <c r="W2303" s="6"/>
      <c r="X2303" s="6"/>
      <c r="Y2303" s="6"/>
      <c r="Z2303" s="6"/>
      <c r="AA2303" s="6"/>
      <c r="AB2303" s="6"/>
      <c r="AC2303" s="6"/>
      <c r="AD2303" s="6"/>
      <c r="AE2303" s="6"/>
    </row>
    <row r="2304" spans="22:31" ht="11.25" customHeight="1" x14ac:dyDescent="0.25">
      <c r="V2304" s="6"/>
      <c r="W2304" s="6"/>
      <c r="X2304" s="6"/>
      <c r="Y2304" s="6"/>
      <c r="Z2304" s="6"/>
      <c r="AA2304" s="6"/>
      <c r="AB2304" s="6"/>
      <c r="AC2304" s="6"/>
      <c r="AD2304" s="6"/>
      <c r="AE2304" s="6"/>
    </row>
    <row r="2305" spans="22:31" ht="11.25" customHeight="1" x14ac:dyDescent="0.25">
      <c r="V2305" s="6"/>
      <c r="W2305" s="6"/>
      <c r="X2305" s="6"/>
      <c r="Y2305" s="6"/>
      <c r="Z2305" s="6"/>
      <c r="AA2305" s="6"/>
      <c r="AB2305" s="6"/>
      <c r="AC2305" s="6"/>
      <c r="AD2305" s="6"/>
      <c r="AE2305" s="6"/>
    </row>
    <row r="2306" spans="22:31" ht="11.25" customHeight="1" x14ac:dyDescent="0.25">
      <c r="V2306" s="6"/>
      <c r="W2306" s="6"/>
      <c r="X2306" s="6"/>
      <c r="Y2306" s="6"/>
      <c r="Z2306" s="6"/>
      <c r="AA2306" s="6"/>
      <c r="AB2306" s="6"/>
      <c r="AC2306" s="6"/>
      <c r="AD2306" s="6"/>
      <c r="AE2306" s="6"/>
    </row>
    <row r="2307" spans="22:31" ht="11.25" customHeight="1" x14ac:dyDescent="0.25">
      <c r="V2307" s="6"/>
      <c r="W2307" s="6"/>
      <c r="X2307" s="6"/>
      <c r="Y2307" s="6"/>
      <c r="Z2307" s="6"/>
      <c r="AA2307" s="6"/>
      <c r="AB2307" s="6"/>
      <c r="AC2307" s="6"/>
      <c r="AD2307" s="6"/>
      <c r="AE2307" s="6"/>
    </row>
    <row r="2308" spans="22:31" ht="11.25" customHeight="1" x14ac:dyDescent="0.25">
      <c r="V2308" s="6"/>
      <c r="W2308" s="6"/>
      <c r="X2308" s="6"/>
      <c r="Y2308" s="6"/>
      <c r="Z2308" s="6"/>
      <c r="AA2308" s="6"/>
      <c r="AB2308" s="6"/>
      <c r="AC2308" s="6"/>
      <c r="AD2308" s="6"/>
      <c r="AE2308" s="6"/>
    </row>
    <row r="2309" spans="22:31" ht="11.25" customHeight="1" x14ac:dyDescent="0.25">
      <c r="V2309" s="6"/>
      <c r="W2309" s="6"/>
      <c r="X2309" s="6"/>
      <c r="Y2309" s="6"/>
      <c r="Z2309" s="6"/>
      <c r="AA2309" s="6"/>
      <c r="AB2309" s="6"/>
      <c r="AC2309" s="6"/>
      <c r="AD2309" s="6"/>
      <c r="AE2309" s="6"/>
    </row>
    <row r="2310" spans="22:31" ht="11.25" customHeight="1" x14ac:dyDescent="0.25"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</row>
    <row r="2311" spans="22:31" ht="11.25" customHeight="1" x14ac:dyDescent="0.25"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</row>
    <row r="2312" spans="22:31" ht="11.25" customHeight="1" x14ac:dyDescent="0.25"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</row>
    <row r="2313" spans="22:31" ht="11.25" customHeight="1" x14ac:dyDescent="0.25">
      <c r="V2313" s="6"/>
      <c r="W2313" s="6"/>
      <c r="X2313" s="6"/>
      <c r="Y2313" s="6"/>
      <c r="Z2313" s="6"/>
      <c r="AA2313" s="6"/>
      <c r="AB2313" s="6"/>
      <c r="AC2313" s="6"/>
      <c r="AD2313" s="6"/>
      <c r="AE2313" s="6"/>
    </row>
    <row r="2314" spans="22:31" ht="11.25" customHeight="1" x14ac:dyDescent="0.25">
      <c r="V2314" s="6"/>
      <c r="W2314" s="6"/>
      <c r="X2314" s="6"/>
      <c r="Y2314" s="6"/>
      <c r="Z2314" s="6"/>
      <c r="AA2314" s="6"/>
      <c r="AB2314" s="6"/>
      <c r="AC2314" s="6"/>
      <c r="AD2314" s="6"/>
      <c r="AE2314" s="6"/>
    </row>
    <row r="2315" spans="22:31" ht="11.25" customHeight="1" x14ac:dyDescent="0.25">
      <c r="V2315" s="6"/>
      <c r="W2315" s="6"/>
      <c r="X2315" s="6"/>
      <c r="Y2315" s="6"/>
      <c r="Z2315" s="6"/>
      <c r="AA2315" s="6"/>
      <c r="AB2315" s="6"/>
      <c r="AC2315" s="6"/>
      <c r="AD2315" s="6"/>
      <c r="AE2315" s="6"/>
    </row>
    <row r="2316" spans="22:31" ht="11.25" customHeight="1" x14ac:dyDescent="0.25">
      <c r="V2316" s="6"/>
      <c r="W2316" s="6"/>
      <c r="X2316" s="6"/>
      <c r="Y2316" s="6"/>
      <c r="Z2316" s="6"/>
      <c r="AA2316" s="6"/>
      <c r="AB2316" s="6"/>
      <c r="AC2316" s="6"/>
      <c r="AD2316" s="6"/>
      <c r="AE2316" s="6"/>
    </row>
    <row r="2317" spans="22:31" ht="11.25" customHeight="1" x14ac:dyDescent="0.25">
      <c r="V2317" s="6"/>
      <c r="W2317" s="6"/>
      <c r="X2317" s="6"/>
      <c r="Y2317" s="6"/>
      <c r="Z2317" s="6"/>
      <c r="AA2317" s="6"/>
      <c r="AB2317" s="6"/>
      <c r="AC2317" s="6"/>
      <c r="AD2317" s="6"/>
      <c r="AE2317" s="6"/>
    </row>
    <row r="2318" spans="22:31" ht="11.25" customHeight="1" x14ac:dyDescent="0.25">
      <c r="V2318" s="6"/>
      <c r="W2318" s="6"/>
      <c r="X2318" s="6"/>
      <c r="Y2318" s="6"/>
      <c r="Z2318" s="6"/>
      <c r="AA2318" s="6"/>
      <c r="AB2318" s="6"/>
      <c r="AC2318" s="6"/>
      <c r="AD2318" s="6"/>
      <c r="AE2318" s="6"/>
    </row>
    <row r="2319" spans="22:31" ht="11.25" customHeight="1" x14ac:dyDescent="0.25">
      <c r="V2319" s="6"/>
      <c r="W2319" s="6"/>
      <c r="X2319" s="6"/>
      <c r="Y2319" s="6"/>
      <c r="Z2319" s="6"/>
      <c r="AA2319" s="6"/>
      <c r="AB2319" s="6"/>
      <c r="AC2319" s="6"/>
      <c r="AD2319" s="6"/>
      <c r="AE2319" s="6"/>
    </row>
    <row r="2320" spans="22:31" ht="11.25" customHeight="1" x14ac:dyDescent="0.25"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</row>
    <row r="2321" spans="22:31" ht="11.25" customHeight="1" x14ac:dyDescent="0.25"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</row>
    <row r="2322" spans="22:31" ht="11.25" customHeight="1" x14ac:dyDescent="0.25"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</row>
    <row r="2323" spans="22:31" ht="11.25" customHeight="1" x14ac:dyDescent="0.25"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</row>
    <row r="2324" spans="22:31" ht="11.25" customHeight="1" x14ac:dyDescent="0.25">
      <c r="V2324" s="6"/>
      <c r="W2324" s="6"/>
      <c r="X2324" s="6"/>
      <c r="Y2324" s="6"/>
      <c r="Z2324" s="6"/>
      <c r="AA2324" s="6"/>
      <c r="AB2324" s="6"/>
      <c r="AC2324" s="6"/>
      <c r="AD2324" s="6"/>
      <c r="AE2324" s="6"/>
    </row>
    <row r="2325" spans="22:31" ht="11.25" customHeight="1" x14ac:dyDescent="0.25">
      <c r="V2325" s="6"/>
      <c r="W2325" s="6"/>
      <c r="X2325" s="6"/>
      <c r="Y2325" s="6"/>
      <c r="Z2325" s="6"/>
      <c r="AA2325" s="6"/>
      <c r="AB2325" s="6"/>
      <c r="AC2325" s="6"/>
      <c r="AD2325" s="6"/>
      <c r="AE2325" s="6"/>
    </row>
    <row r="2326" spans="22:31" ht="11.25" customHeight="1" x14ac:dyDescent="0.25">
      <c r="V2326" s="6"/>
      <c r="W2326" s="6"/>
      <c r="X2326" s="6"/>
      <c r="Y2326" s="6"/>
      <c r="Z2326" s="6"/>
      <c r="AA2326" s="6"/>
      <c r="AB2326" s="6"/>
      <c r="AC2326" s="6"/>
      <c r="AD2326" s="6"/>
      <c r="AE2326" s="6"/>
    </row>
    <row r="2327" spans="22:31" ht="11.25" customHeight="1" x14ac:dyDescent="0.25"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</row>
    <row r="2328" spans="22:31" ht="11.25" customHeight="1" x14ac:dyDescent="0.25"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</row>
    <row r="2329" spans="22:31" ht="11.25" customHeight="1" x14ac:dyDescent="0.25">
      <c r="V2329" s="6"/>
      <c r="W2329" s="6"/>
      <c r="X2329" s="6"/>
      <c r="Y2329" s="6"/>
      <c r="Z2329" s="6"/>
      <c r="AA2329" s="6"/>
      <c r="AB2329" s="6"/>
      <c r="AC2329" s="6"/>
      <c r="AD2329" s="6"/>
      <c r="AE2329" s="6"/>
    </row>
    <row r="2330" spans="22:31" ht="11.25" customHeight="1" x14ac:dyDescent="0.25">
      <c r="V2330" s="6"/>
      <c r="W2330" s="6"/>
      <c r="X2330" s="6"/>
      <c r="Y2330" s="6"/>
      <c r="Z2330" s="6"/>
      <c r="AA2330" s="6"/>
      <c r="AB2330" s="6"/>
      <c r="AC2330" s="6"/>
      <c r="AD2330" s="6"/>
      <c r="AE2330" s="6"/>
    </row>
    <row r="2331" spans="22:31" ht="11.25" customHeight="1" x14ac:dyDescent="0.25">
      <c r="V2331" s="6"/>
      <c r="W2331" s="6"/>
      <c r="X2331" s="6"/>
      <c r="Y2331" s="6"/>
      <c r="Z2331" s="6"/>
      <c r="AA2331" s="6"/>
      <c r="AB2331" s="6"/>
      <c r="AC2331" s="6"/>
      <c r="AD2331" s="6"/>
      <c r="AE2331" s="6"/>
    </row>
    <row r="2332" spans="22:31" ht="11.25" customHeight="1" x14ac:dyDescent="0.25"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</row>
    <row r="2333" spans="22:31" ht="11.25" customHeight="1" x14ac:dyDescent="0.25"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</row>
    <row r="2334" spans="22:31" ht="11.25" customHeight="1" x14ac:dyDescent="0.25">
      <c r="V2334" s="6"/>
      <c r="W2334" s="6"/>
      <c r="X2334" s="6"/>
      <c r="Y2334" s="6"/>
      <c r="Z2334" s="6"/>
      <c r="AA2334" s="6"/>
      <c r="AB2334" s="6"/>
      <c r="AC2334" s="6"/>
      <c r="AD2334" s="6"/>
      <c r="AE2334" s="6"/>
    </row>
    <row r="2335" spans="22:31" ht="11.25" customHeight="1" x14ac:dyDescent="0.25"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</row>
    <row r="2336" spans="22:31" ht="11.25" customHeight="1" x14ac:dyDescent="0.25"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</row>
    <row r="2337" spans="22:31" ht="11.25" customHeight="1" x14ac:dyDescent="0.25">
      <c r="V2337" s="6"/>
      <c r="W2337" s="6"/>
      <c r="X2337" s="6"/>
      <c r="Y2337" s="6"/>
      <c r="Z2337" s="6"/>
      <c r="AA2337" s="6"/>
      <c r="AB2337" s="6"/>
      <c r="AC2337" s="6"/>
      <c r="AD2337" s="6"/>
      <c r="AE2337" s="6"/>
    </row>
    <row r="2338" spans="22:31" ht="11.25" customHeight="1" x14ac:dyDescent="0.25">
      <c r="V2338" s="6"/>
      <c r="W2338" s="6"/>
      <c r="X2338" s="6"/>
      <c r="Y2338" s="6"/>
      <c r="Z2338" s="6"/>
      <c r="AA2338" s="6"/>
      <c r="AB2338" s="6"/>
      <c r="AC2338" s="6"/>
      <c r="AD2338" s="6"/>
      <c r="AE2338" s="6"/>
    </row>
    <row r="2339" spans="22:31" ht="11.25" customHeight="1" x14ac:dyDescent="0.25">
      <c r="V2339" s="6"/>
      <c r="W2339" s="6"/>
      <c r="X2339" s="6"/>
      <c r="Y2339" s="6"/>
      <c r="Z2339" s="6"/>
      <c r="AA2339" s="6"/>
      <c r="AB2339" s="6"/>
      <c r="AC2339" s="6"/>
      <c r="AD2339" s="6"/>
      <c r="AE2339" s="6"/>
    </row>
    <row r="2340" spans="22:31" ht="11.25" customHeight="1" x14ac:dyDescent="0.25">
      <c r="V2340" s="6"/>
      <c r="W2340" s="6"/>
      <c r="X2340" s="6"/>
      <c r="Y2340" s="6"/>
      <c r="Z2340" s="6"/>
      <c r="AA2340" s="6"/>
      <c r="AB2340" s="6"/>
      <c r="AC2340" s="6"/>
      <c r="AD2340" s="6"/>
      <c r="AE2340" s="6"/>
    </row>
    <row r="2341" spans="22:31" ht="11.25" customHeight="1" x14ac:dyDescent="0.25">
      <c r="V2341" s="6"/>
      <c r="W2341" s="6"/>
      <c r="X2341" s="6"/>
      <c r="Y2341" s="6"/>
      <c r="Z2341" s="6"/>
      <c r="AA2341" s="6"/>
      <c r="AB2341" s="6"/>
      <c r="AC2341" s="6"/>
      <c r="AD2341" s="6"/>
      <c r="AE2341" s="6"/>
    </row>
    <row r="2342" spans="22:31" ht="11.25" customHeight="1" x14ac:dyDescent="0.25">
      <c r="V2342" s="6"/>
      <c r="W2342" s="6"/>
      <c r="X2342" s="6"/>
      <c r="Y2342" s="6"/>
      <c r="Z2342" s="6"/>
      <c r="AA2342" s="6"/>
      <c r="AB2342" s="6"/>
      <c r="AC2342" s="6"/>
      <c r="AD2342" s="6"/>
      <c r="AE2342" s="6"/>
    </row>
    <row r="2343" spans="22:31" ht="11.25" customHeight="1" x14ac:dyDescent="0.25">
      <c r="V2343" s="6"/>
      <c r="W2343" s="6"/>
      <c r="X2343" s="6"/>
      <c r="Y2343" s="6"/>
      <c r="Z2343" s="6"/>
      <c r="AA2343" s="6"/>
      <c r="AB2343" s="6"/>
      <c r="AC2343" s="6"/>
      <c r="AD2343" s="6"/>
      <c r="AE2343" s="6"/>
    </row>
    <row r="2344" spans="22:31" ht="11.25" customHeight="1" x14ac:dyDescent="0.25">
      <c r="V2344" s="6"/>
      <c r="W2344" s="6"/>
      <c r="X2344" s="6"/>
      <c r="Y2344" s="6"/>
      <c r="Z2344" s="6"/>
      <c r="AA2344" s="6"/>
      <c r="AB2344" s="6"/>
      <c r="AC2344" s="6"/>
      <c r="AD2344" s="6"/>
      <c r="AE2344" s="6"/>
    </row>
    <row r="2345" spans="22:31" ht="11.25" customHeight="1" x14ac:dyDescent="0.25"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</row>
    <row r="2346" spans="22:31" ht="11.25" customHeight="1" x14ac:dyDescent="0.25"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</row>
    <row r="2347" spans="22:31" ht="11.25" customHeight="1" x14ac:dyDescent="0.25">
      <c r="V2347" s="6"/>
      <c r="W2347" s="6"/>
      <c r="X2347" s="6"/>
      <c r="Y2347" s="6"/>
      <c r="Z2347" s="6"/>
      <c r="AA2347" s="6"/>
      <c r="AB2347" s="6"/>
      <c r="AC2347" s="6"/>
      <c r="AD2347" s="6"/>
      <c r="AE2347" s="6"/>
    </row>
    <row r="2348" spans="22:31" ht="11.25" customHeight="1" x14ac:dyDescent="0.25">
      <c r="V2348" s="6"/>
      <c r="W2348" s="6"/>
      <c r="X2348" s="6"/>
      <c r="Y2348" s="6"/>
      <c r="Z2348" s="6"/>
      <c r="AA2348" s="6"/>
      <c r="AB2348" s="6"/>
      <c r="AC2348" s="6"/>
      <c r="AD2348" s="6"/>
      <c r="AE2348" s="6"/>
    </row>
    <row r="2349" spans="22:31" ht="11.25" customHeight="1" x14ac:dyDescent="0.25"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</row>
    <row r="2350" spans="22:31" ht="11.25" customHeight="1" x14ac:dyDescent="0.25">
      <c r="V2350" s="6"/>
      <c r="W2350" s="6"/>
      <c r="X2350" s="6"/>
      <c r="Y2350" s="6"/>
      <c r="Z2350" s="6"/>
      <c r="AA2350" s="6"/>
      <c r="AB2350" s="6"/>
      <c r="AC2350" s="6"/>
      <c r="AD2350" s="6"/>
      <c r="AE2350" s="6"/>
    </row>
    <row r="2351" spans="22:31" ht="11.25" customHeight="1" x14ac:dyDescent="0.25">
      <c r="V2351" s="6"/>
      <c r="W2351" s="6"/>
      <c r="X2351" s="6"/>
      <c r="Y2351" s="6"/>
      <c r="Z2351" s="6"/>
      <c r="AA2351" s="6"/>
      <c r="AB2351" s="6"/>
      <c r="AC2351" s="6"/>
      <c r="AD2351" s="6"/>
      <c r="AE2351" s="6"/>
    </row>
    <row r="2352" spans="22:31" ht="11.25" customHeight="1" x14ac:dyDescent="0.25">
      <c r="V2352" s="6"/>
      <c r="W2352" s="6"/>
      <c r="X2352" s="6"/>
      <c r="Y2352" s="6"/>
      <c r="Z2352" s="6"/>
      <c r="AA2352" s="6"/>
      <c r="AB2352" s="6"/>
      <c r="AC2352" s="6"/>
      <c r="AD2352" s="6"/>
      <c r="AE2352" s="6"/>
    </row>
    <row r="2353" spans="22:31" ht="11.25" customHeight="1" x14ac:dyDescent="0.25">
      <c r="V2353" s="6"/>
      <c r="W2353" s="6"/>
      <c r="X2353" s="6"/>
      <c r="Y2353" s="6"/>
      <c r="Z2353" s="6"/>
      <c r="AA2353" s="6"/>
      <c r="AB2353" s="6"/>
      <c r="AC2353" s="6"/>
      <c r="AD2353" s="6"/>
      <c r="AE2353" s="6"/>
    </row>
    <row r="2354" spans="22:31" ht="11.25" customHeight="1" x14ac:dyDescent="0.25"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</row>
    <row r="2355" spans="22:31" ht="11.25" customHeight="1" x14ac:dyDescent="0.25">
      <c r="V2355" s="6"/>
      <c r="W2355" s="6"/>
      <c r="X2355" s="6"/>
      <c r="Y2355" s="6"/>
      <c r="Z2355" s="6"/>
      <c r="AA2355" s="6"/>
      <c r="AB2355" s="6"/>
      <c r="AC2355" s="6"/>
      <c r="AD2355" s="6"/>
      <c r="AE2355" s="6"/>
    </row>
    <row r="2356" spans="22:31" ht="11.25" customHeight="1" x14ac:dyDescent="0.25"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</row>
    <row r="2357" spans="22:31" ht="11.25" customHeight="1" x14ac:dyDescent="0.25">
      <c r="V2357" s="6"/>
      <c r="W2357" s="6"/>
      <c r="X2357" s="6"/>
      <c r="Y2357" s="6"/>
      <c r="Z2357" s="6"/>
      <c r="AA2357" s="6"/>
      <c r="AB2357" s="6"/>
      <c r="AC2357" s="6"/>
      <c r="AD2357" s="6"/>
      <c r="AE2357" s="6"/>
    </row>
    <row r="2358" spans="22:31" ht="11.25" customHeight="1" x14ac:dyDescent="0.25">
      <c r="V2358" s="6"/>
      <c r="W2358" s="6"/>
      <c r="X2358" s="6"/>
      <c r="Y2358" s="6"/>
      <c r="Z2358" s="6"/>
      <c r="AA2358" s="6"/>
      <c r="AB2358" s="6"/>
      <c r="AC2358" s="6"/>
      <c r="AD2358" s="6"/>
      <c r="AE2358" s="6"/>
    </row>
    <row r="2359" spans="22:31" ht="11.25" customHeight="1" x14ac:dyDescent="0.25">
      <c r="V2359" s="6"/>
      <c r="W2359" s="6"/>
      <c r="X2359" s="6"/>
      <c r="Y2359" s="6"/>
      <c r="Z2359" s="6"/>
      <c r="AA2359" s="6"/>
      <c r="AB2359" s="6"/>
      <c r="AC2359" s="6"/>
      <c r="AD2359" s="6"/>
      <c r="AE2359" s="6"/>
    </row>
    <row r="2360" spans="22:31" ht="11.25" customHeight="1" x14ac:dyDescent="0.25"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</row>
    <row r="2361" spans="22:31" ht="11.25" customHeight="1" x14ac:dyDescent="0.25">
      <c r="V2361" s="6"/>
      <c r="W2361" s="6"/>
      <c r="X2361" s="6"/>
      <c r="Y2361" s="6"/>
      <c r="Z2361" s="6"/>
      <c r="AA2361" s="6"/>
      <c r="AB2361" s="6"/>
      <c r="AC2361" s="6"/>
      <c r="AD2361" s="6"/>
      <c r="AE2361" s="6"/>
    </row>
    <row r="2362" spans="22:31" ht="11.25" customHeight="1" x14ac:dyDescent="0.25">
      <c r="V2362" s="6"/>
      <c r="W2362" s="6"/>
      <c r="X2362" s="6"/>
      <c r="Y2362" s="6"/>
      <c r="Z2362" s="6"/>
      <c r="AA2362" s="6"/>
      <c r="AB2362" s="6"/>
      <c r="AC2362" s="6"/>
      <c r="AD2362" s="6"/>
      <c r="AE2362" s="6"/>
    </row>
    <row r="2363" spans="22:31" ht="11.25" customHeight="1" x14ac:dyDescent="0.25">
      <c r="V2363" s="6"/>
      <c r="W2363" s="6"/>
      <c r="X2363" s="6"/>
      <c r="Y2363" s="6"/>
      <c r="Z2363" s="6"/>
      <c r="AA2363" s="6"/>
      <c r="AB2363" s="6"/>
      <c r="AC2363" s="6"/>
      <c r="AD2363" s="6"/>
      <c r="AE2363" s="6"/>
    </row>
    <row r="2364" spans="22:31" ht="11.25" customHeight="1" x14ac:dyDescent="0.25">
      <c r="V2364" s="6"/>
      <c r="W2364" s="6"/>
      <c r="X2364" s="6"/>
      <c r="Y2364" s="6"/>
      <c r="Z2364" s="6"/>
      <c r="AA2364" s="6"/>
      <c r="AB2364" s="6"/>
      <c r="AC2364" s="6"/>
      <c r="AD2364" s="6"/>
      <c r="AE2364" s="6"/>
    </row>
    <row r="2365" spans="22:31" ht="11.25" customHeight="1" x14ac:dyDescent="0.25">
      <c r="V2365" s="6"/>
      <c r="W2365" s="6"/>
      <c r="X2365" s="6"/>
      <c r="Y2365" s="6"/>
      <c r="Z2365" s="6"/>
      <c r="AA2365" s="6"/>
      <c r="AB2365" s="6"/>
      <c r="AC2365" s="6"/>
      <c r="AD2365" s="6"/>
      <c r="AE2365" s="6"/>
    </row>
    <row r="2366" spans="22:31" ht="11.25" customHeight="1" x14ac:dyDescent="0.25"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</row>
    <row r="2367" spans="22:31" ht="11.25" customHeight="1" x14ac:dyDescent="0.25">
      <c r="V2367" s="6"/>
      <c r="W2367" s="6"/>
      <c r="X2367" s="6"/>
      <c r="Y2367" s="6"/>
      <c r="Z2367" s="6"/>
      <c r="AA2367" s="6"/>
      <c r="AB2367" s="6"/>
      <c r="AC2367" s="6"/>
      <c r="AD2367" s="6"/>
      <c r="AE2367" s="6"/>
    </row>
    <row r="2368" spans="22:31" ht="11.25" customHeight="1" x14ac:dyDescent="0.25"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</row>
    <row r="2369" spans="22:31" ht="11.25" customHeight="1" x14ac:dyDescent="0.25"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</row>
    <row r="2370" spans="22:31" ht="11.25" customHeight="1" x14ac:dyDescent="0.25"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</row>
    <row r="2371" spans="22:31" ht="11.25" customHeight="1" x14ac:dyDescent="0.25">
      <c r="V2371" s="6"/>
      <c r="W2371" s="6"/>
      <c r="X2371" s="6"/>
      <c r="Y2371" s="6"/>
      <c r="Z2371" s="6"/>
      <c r="AA2371" s="6"/>
      <c r="AB2371" s="6"/>
      <c r="AC2371" s="6"/>
      <c r="AD2371" s="6"/>
      <c r="AE2371" s="6"/>
    </row>
    <row r="2372" spans="22:31" ht="11.25" customHeight="1" x14ac:dyDescent="0.25">
      <c r="V2372" s="6"/>
      <c r="W2372" s="6"/>
      <c r="X2372" s="6"/>
      <c r="Y2372" s="6"/>
      <c r="Z2372" s="6"/>
      <c r="AA2372" s="6"/>
      <c r="AB2372" s="6"/>
      <c r="AC2372" s="6"/>
      <c r="AD2372" s="6"/>
      <c r="AE2372" s="6"/>
    </row>
    <row r="2373" spans="22:31" ht="11.25" customHeight="1" x14ac:dyDescent="0.25">
      <c r="V2373" s="6"/>
      <c r="W2373" s="6"/>
      <c r="X2373" s="6"/>
      <c r="Y2373" s="6"/>
      <c r="Z2373" s="6"/>
      <c r="AA2373" s="6"/>
      <c r="AB2373" s="6"/>
      <c r="AC2373" s="6"/>
      <c r="AD2373" s="6"/>
      <c r="AE2373" s="6"/>
    </row>
    <row r="2374" spans="22:31" ht="11.25" customHeight="1" x14ac:dyDescent="0.25">
      <c r="V2374" s="6"/>
      <c r="W2374" s="6"/>
      <c r="X2374" s="6"/>
      <c r="Y2374" s="6"/>
      <c r="Z2374" s="6"/>
      <c r="AA2374" s="6"/>
      <c r="AB2374" s="6"/>
      <c r="AC2374" s="6"/>
      <c r="AD2374" s="6"/>
      <c r="AE2374" s="6"/>
    </row>
    <row r="2375" spans="22:31" ht="11.25" customHeight="1" x14ac:dyDescent="0.25"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</row>
    <row r="2376" spans="22:31" ht="11.25" customHeight="1" x14ac:dyDescent="0.25"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</row>
    <row r="2377" spans="22:31" ht="11.25" customHeight="1" x14ac:dyDescent="0.25"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</row>
    <row r="2378" spans="22:31" ht="11.25" customHeight="1" x14ac:dyDescent="0.25">
      <c r="V2378" s="6"/>
      <c r="W2378" s="6"/>
      <c r="X2378" s="6"/>
      <c r="Y2378" s="6"/>
      <c r="Z2378" s="6"/>
      <c r="AA2378" s="6"/>
      <c r="AB2378" s="6"/>
      <c r="AC2378" s="6"/>
      <c r="AD2378" s="6"/>
      <c r="AE2378" s="6"/>
    </row>
    <row r="2379" spans="22:31" ht="11.25" customHeight="1" x14ac:dyDescent="0.25">
      <c r="V2379" s="6"/>
      <c r="W2379" s="6"/>
      <c r="X2379" s="6"/>
      <c r="Y2379" s="6"/>
      <c r="Z2379" s="6"/>
      <c r="AA2379" s="6"/>
      <c r="AB2379" s="6"/>
      <c r="AC2379" s="6"/>
      <c r="AD2379" s="6"/>
      <c r="AE2379" s="6"/>
    </row>
    <row r="2380" spans="22:31" ht="11.25" customHeight="1" x14ac:dyDescent="0.25"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</row>
    <row r="2381" spans="22:31" ht="11.25" customHeight="1" x14ac:dyDescent="0.25">
      <c r="V2381" s="6"/>
      <c r="W2381" s="6"/>
      <c r="X2381" s="6"/>
      <c r="Y2381" s="6"/>
      <c r="Z2381" s="6"/>
      <c r="AA2381" s="6"/>
      <c r="AB2381" s="6"/>
      <c r="AC2381" s="6"/>
      <c r="AD2381" s="6"/>
      <c r="AE2381" s="6"/>
    </row>
    <row r="2382" spans="22:31" ht="11.25" customHeight="1" x14ac:dyDescent="0.25"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</row>
    <row r="2383" spans="22:31" ht="11.25" customHeight="1" x14ac:dyDescent="0.25"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</row>
    <row r="2384" spans="22:31" ht="11.25" customHeight="1" x14ac:dyDescent="0.25"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</row>
    <row r="2385" spans="22:31" ht="11.25" customHeight="1" x14ac:dyDescent="0.25"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</row>
    <row r="2386" spans="22:31" ht="11.25" customHeight="1" x14ac:dyDescent="0.25"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</row>
    <row r="2387" spans="22:31" ht="11.25" customHeight="1" x14ac:dyDescent="0.25"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</row>
    <row r="2388" spans="22:31" ht="11.25" customHeight="1" x14ac:dyDescent="0.25"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</row>
    <row r="2389" spans="22:31" ht="11.25" customHeight="1" x14ac:dyDescent="0.25"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</row>
    <row r="2390" spans="22:31" ht="11.25" customHeight="1" x14ac:dyDescent="0.25"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</row>
    <row r="2391" spans="22:31" ht="11.25" customHeight="1" x14ac:dyDescent="0.25"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</row>
    <row r="2392" spans="22:31" ht="11.25" customHeight="1" x14ac:dyDescent="0.25"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</row>
    <row r="2393" spans="22:31" ht="11.25" customHeight="1" x14ac:dyDescent="0.25"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</row>
    <row r="2394" spans="22:31" ht="11.25" customHeight="1" x14ac:dyDescent="0.25"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</row>
    <row r="2395" spans="22:31" ht="11.25" customHeight="1" x14ac:dyDescent="0.25"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</row>
    <row r="2396" spans="22:31" ht="11.25" customHeight="1" x14ac:dyDescent="0.25"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</row>
    <row r="2397" spans="22:31" ht="11.25" customHeight="1" x14ac:dyDescent="0.25"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</row>
    <row r="2398" spans="22:31" ht="11.25" customHeight="1" x14ac:dyDescent="0.25"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</row>
    <row r="2399" spans="22:31" ht="11.25" customHeight="1" x14ac:dyDescent="0.25"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</row>
    <row r="2400" spans="22:31" ht="11.25" customHeight="1" x14ac:dyDescent="0.25"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</row>
    <row r="2401" spans="22:31" ht="11.25" customHeight="1" x14ac:dyDescent="0.25"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</row>
    <row r="2402" spans="22:31" ht="11.25" customHeight="1" x14ac:dyDescent="0.25"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</row>
    <row r="2403" spans="22:31" ht="11.25" customHeight="1" x14ac:dyDescent="0.25"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</row>
    <row r="2404" spans="22:31" ht="11.25" customHeight="1" x14ac:dyDescent="0.25"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</row>
    <row r="2405" spans="22:31" ht="11.25" customHeight="1" x14ac:dyDescent="0.25"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</row>
    <row r="2406" spans="22:31" ht="11.25" customHeight="1" x14ac:dyDescent="0.25"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</row>
    <row r="2407" spans="22:31" ht="11.25" customHeight="1" x14ac:dyDescent="0.25"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</row>
    <row r="2408" spans="22:31" ht="11.25" customHeight="1" x14ac:dyDescent="0.25"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</row>
    <row r="2409" spans="22:31" ht="11.25" customHeight="1" x14ac:dyDescent="0.25"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</row>
    <row r="2410" spans="22:31" ht="11.25" customHeight="1" x14ac:dyDescent="0.25"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</row>
    <row r="2411" spans="22:31" ht="11.25" customHeight="1" x14ac:dyDescent="0.25"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</row>
    <row r="2412" spans="22:31" ht="11.25" customHeight="1" x14ac:dyDescent="0.25">
      <c r="V2412" s="6"/>
      <c r="W2412" s="6"/>
      <c r="X2412" s="6"/>
      <c r="Y2412" s="6"/>
      <c r="Z2412" s="6"/>
      <c r="AA2412" s="6"/>
      <c r="AB2412" s="6"/>
      <c r="AC2412" s="6"/>
      <c r="AD2412" s="6"/>
      <c r="AE2412" s="6"/>
    </row>
    <row r="2413" spans="22:31" ht="11.25" customHeight="1" x14ac:dyDescent="0.25"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</row>
    <row r="2414" spans="22:31" ht="11.25" customHeight="1" x14ac:dyDescent="0.25"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</row>
    <row r="2415" spans="22:31" ht="11.25" customHeight="1" x14ac:dyDescent="0.25"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</row>
    <row r="2416" spans="22:31" ht="11.25" customHeight="1" x14ac:dyDescent="0.25"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</row>
    <row r="2417" spans="22:31" ht="11.25" customHeight="1" x14ac:dyDescent="0.25"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</row>
    <row r="2418" spans="22:31" ht="11.25" customHeight="1" x14ac:dyDescent="0.25"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</row>
    <row r="2419" spans="22:31" ht="11.25" customHeight="1" x14ac:dyDescent="0.25"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</row>
    <row r="2420" spans="22:31" ht="11.25" customHeight="1" x14ac:dyDescent="0.25"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</row>
    <row r="2421" spans="22:31" ht="11.25" customHeight="1" x14ac:dyDescent="0.25"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</row>
    <row r="2422" spans="22:31" ht="11.25" customHeight="1" x14ac:dyDescent="0.25">
      <c r="V2422" s="6"/>
      <c r="W2422" s="6"/>
      <c r="X2422" s="6"/>
      <c r="Y2422" s="6"/>
      <c r="Z2422" s="6"/>
      <c r="AA2422" s="6"/>
      <c r="AB2422" s="6"/>
      <c r="AC2422" s="6"/>
      <c r="AD2422" s="6"/>
      <c r="AE2422" s="6"/>
    </row>
    <row r="2423" spans="22:31" ht="11.25" customHeight="1" x14ac:dyDescent="0.25"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</row>
    <row r="2424" spans="22:31" ht="11.25" customHeight="1" x14ac:dyDescent="0.25"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</row>
    <row r="2425" spans="22:31" ht="11.25" customHeight="1" x14ac:dyDescent="0.25"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</row>
    <row r="2426" spans="22:31" ht="11.25" customHeight="1" x14ac:dyDescent="0.25"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</row>
    <row r="2427" spans="22:31" ht="11.25" customHeight="1" x14ac:dyDescent="0.25"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</row>
    <row r="2428" spans="22:31" ht="11.25" customHeight="1" x14ac:dyDescent="0.25"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</row>
    <row r="2429" spans="22:31" ht="11.25" customHeight="1" x14ac:dyDescent="0.25">
      <c r="V2429" s="6"/>
      <c r="W2429" s="6"/>
      <c r="X2429" s="6"/>
      <c r="Y2429" s="6"/>
      <c r="Z2429" s="6"/>
      <c r="AA2429" s="6"/>
      <c r="AB2429" s="6"/>
      <c r="AC2429" s="6"/>
      <c r="AD2429" s="6"/>
      <c r="AE2429" s="6"/>
    </row>
    <row r="2430" spans="22:31" ht="11.25" customHeight="1" x14ac:dyDescent="0.25"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</row>
    <row r="2431" spans="22:31" ht="11.25" customHeight="1" x14ac:dyDescent="0.25"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</row>
    <row r="2432" spans="22:31" ht="11.25" customHeight="1" x14ac:dyDescent="0.25"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</row>
    <row r="2433" spans="22:31" ht="11.25" customHeight="1" x14ac:dyDescent="0.25"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</row>
    <row r="2434" spans="22:31" ht="11.25" customHeight="1" x14ac:dyDescent="0.25"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</row>
    <row r="2435" spans="22:31" ht="11.25" customHeight="1" x14ac:dyDescent="0.25"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</row>
    <row r="2436" spans="22:31" ht="11.25" customHeight="1" x14ac:dyDescent="0.25"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</row>
    <row r="2437" spans="22:31" ht="11.25" customHeight="1" x14ac:dyDescent="0.25"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</row>
    <row r="2438" spans="22:31" ht="11.25" customHeight="1" x14ac:dyDescent="0.25"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</row>
    <row r="2439" spans="22:31" ht="11.25" customHeight="1" x14ac:dyDescent="0.25"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</row>
    <row r="2440" spans="22:31" ht="11.25" customHeight="1" x14ac:dyDescent="0.25"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</row>
    <row r="2441" spans="22:31" ht="11.25" customHeight="1" x14ac:dyDescent="0.25"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</row>
    <row r="2442" spans="22:31" ht="11.25" customHeight="1" x14ac:dyDescent="0.25"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</row>
    <row r="2443" spans="22:31" ht="11.25" customHeight="1" x14ac:dyDescent="0.25"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</row>
    <row r="2444" spans="22:31" ht="11.25" customHeight="1" x14ac:dyDescent="0.25"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</row>
    <row r="2445" spans="22:31" ht="11.25" customHeight="1" x14ac:dyDescent="0.25"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</row>
    <row r="2446" spans="22:31" ht="11.25" customHeight="1" x14ac:dyDescent="0.25"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</row>
    <row r="2447" spans="22:31" ht="11.25" customHeight="1" x14ac:dyDescent="0.25"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</row>
    <row r="2448" spans="22:31" ht="11.25" customHeight="1" x14ac:dyDescent="0.25"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</row>
    <row r="2449" spans="22:31" ht="11.25" customHeight="1" x14ac:dyDescent="0.25"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</row>
    <row r="2450" spans="22:31" ht="11.25" customHeight="1" x14ac:dyDescent="0.25">
      <c r="V2450" s="6"/>
      <c r="W2450" s="6"/>
      <c r="X2450" s="6"/>
      <c r="Y2450" s="6"/>
      <c r="Z2450" s="6"/>
      <c r="AA2450" s="6"/>
      <c r="AB2450" s="6"/>
      <c r="AC2450" s="6"/>
      <c r="AD2450" s="6"/>
      <c r="AE2450" s="6"/>
    </row>
    <row r="2451" spans="22:31" ht="11.25" customHeight="1" x14ac:dyDescent="0.25"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</row>
    <row r="2452" spans="22:31" ht="11.25" customHeight="1" x14ac:dyDescent="0.25">
      <c r="V2452" s="6"/>
      <c r="W2452" s="6"/>
      <c r="X2452" s="6"/>
      <c r="Y2452" s="6"/>
      <c r="Z2452" s="6"/>
      <c r="AA2452" s="6"/>
      <c r="AB2452" s="6"/>
      <c r="AC2452" s="6"/>
      <c r="AD2452" s="6"/>
      <c r="AE2452" s="6"/>
    </row>
    <row r="2453" spans="22:31" ht="11.25" customHeight="1" x14ac:dyDescent="0.25">
      <c r="V2453" s="6"/>
      <c r="W2453" s="6"/>
      <c r="X2453" s="6"/>
      <c r="Y2453" s="6"/>
      <c r="Z2453" s="6"/>
      <c r="AA2453" s="6"/>
      <c r="AB2453" s="6"/>
      <c r="AC2453" s="6"/>
      <c r="AD2453" s="6"/>
      <c r="AE2453" s="6"/>
    </row>
    <row r="2454" spans="22:31" ht="11.25" customHeight="1" x14ac:dyDescent="0.25"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</row>
    <row r="2455" spans="22:31" ht="11.25" customHeight="1" x14ac:dyDescent="0.25"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</row>
    <row r="2456" spans="22:31" ht="11.25" customHeight="1" x14ac:dyDescent="0.25"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</row>
    <row r="2457" spans="22:31" ht="11.25" customHeight="1" x14ac:dyDescent="0.25"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</row>
    <row r="2458" spans="22:31" ht="11.25" customHeight="1" x14ac:dyDescent="0.25">
      <c r="V2458" s="6"/>
      <c r="W2458" s="6"/>
      <c r="X2458" s="6"/>
      <c r="Y2458" s="6"/>
      <c r="Z2458" s="6"/>
      <c r="AA2458" s="6"/>
      <c r="AB2458" s="6"/>
      <c r="AC2458" s="6"/>
      <c r="AD2458" s="6"/>
      <c r="AE2458" s="6"/>
    </row>
    <row r="2459" spans="22:31" ht="11.25" customHeight="1" x14ac:dyDescent="0.25"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</row>
    <row r="2460" spans="22:31" ht="11.25" customHeight="1" x14ac:dyDescent="0.25"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</row>
    <row r="2461" spans="22:31" ht="11.25" customHeight="1" x14ac:dyDescent="0.25">
      <c r="V2461" s="6"/>
      <c r="W2461" s="6"/>
      <c r="X2461" s="6"/>
      <c r="Y2461" s="6"/>
      <c r="Z2461" s="6"/>
      <c r="AA2461" s="6"/>
      <c r="AB2461" s="6"/>
      <c r="AC2461" s="6"/>
      <c r="AD2461" s="6"/>
      <c r="AE2461" s="6"/>
    </row>
    <row r="2462" spans="22:31" ht="11.25" customHeight="1" x14ac:dyDescent="0.25"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</row>
    <row r="2463" spans="22:31" ht="11.25" customHeight="1" x14ac:dyDescent="0.25"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</row>
    <row r="2464" spans="22:31" ht="11.25" customHeight="1" x14ac:dyDescent="0.25"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</row>
    <row r="2465" spans="22:31" ht="11.25" customHeight="1" x14ac:dyDescent="0.25">
      <c r="V2465" s="6"/>
      <c r="W2465" s="6"/>
      <c r="X2465" s="6"/>
      <c r="Y2465" s="6"/>
      <c r="Z2465" s="6"/>
      <c r="AA2465" s="6"/>
      <c r="AB2465" s="6"/>
      <c r="AC2465" s="6"/>
      <c r="AD2465" s="6"/>
      <c r="AE2465" s="6"/>
    </row>
    <row r="2466" spans="22:31" ht="11.25" customHeight="1" x14ac:dyDescent="0.25"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</row>
    <row r="2467" spans="22:31" ht="11.25" customHeight="1" x14ac:dyDescent="0.25">
      <c r="V2467" s="6"/>
      <c r="W2467" s="6"/>
      <c r="X2467" s="6"/>
      <c r="Y2467" s="6"/>
      <c r="Z2467" s="6"/>
      <c r="AA2467" s="6"/>
      <c r="AB2467" s="6"/>
      <c r="AC2467" s="6"/>
      <c r="AD2467" s="6"/>
      <c r="AE2467" s="6"/>
    </row>
    <row r="2468" spans="22:31" ht="11.25" customHeight="1" x14ac:dyDescent="0.25">
      <c r="V2468" s="6"/>
      <c r="W2468" s="6"/>
      <c r="X2468" s="6"/>
      <c r="Y2468" s="6"/>
      <c r="Z2468" s="6"/>
      <c r="AA2468" s="6"/>
      <c r="AB2468" s="6"/>
      <c r="AC2468" s="6"/>
      <c r="AD2468" s="6"/>
      <c r="AE2468" s="6"/>
    </row>
    <row r="2469" spans="22:31" ht="11.25" customHeight="1" x14ac:dyDescent="0.25"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</row>
    <row r="2470" spans="22:31" ht="11.25" customHeight="1" x14ac:dyDescent="0.25">
      <c r="V2470" s="6"/>
      <c r="W2470" s="6"/>
      <c r="X2470" s="6"/>
      <c r="Y2470" s="6"/>
      <c r="Z2470" s="6"/>
      <c r="AA2470" s="6"/>
      <c r="AB2470" s="6"/>
      <c r="AC2470" s="6"/>
      <c r="AD2470" s="6"/>
      <c r="AE2470" s="6"/>
    </row>
    <row r="2471" spans="22:31" ht="11.25" customHeight="1" x14ac:dyDescent="0.25">
      <c r="V2471" s="6"/>
      <c r="W2471" s="6"/>
      <c r="X2471" s="6"/>
      <c r="Y2471" s="6"/>
      <c r="Z2471" s="6"/>
      <c r="AA2471" s="6"/>
      <c r="AB2471" s="6"/>
      <c r="AC2471" s="6"/>
      <c r="AD2471" s="6"/>
      <c r="AE2471" s="6"/>
    </row>
    <row r="2472" spans="22:31" ht="11.25" customHeight="1" x14ac:dyDescent="0.25"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</row>
    <row r="2473" spans="22:31" ht="11.25" customHeight="1" x14ac:dyDescent="0.25">
      <c r="V2473" s="6"/>
      <c r="W2473" s="6"/>
      <c r="X2473" s="6"/>
      <c r="Y2473" s="6"/>
      <c r="Z2473" s="6"/>
      <c r="AA2473" s="6"/>
      <c r="AB2473" s="6"/>
      <c r="AC2473" s="6"/>
      <c r="AD2473" s="6"/>
      <c r="AE2473" s="6"/>
    </row>
    <row r="2474" spans="22:31" ht="11.25" customHeight="1" x14ac:dyDescent="0.25"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</row>
    <row r="2475" spans="22:31" ht="11.25" customHeight="1" x14ac:dyDescent="0.25"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</row>
    <row r="2476" spans="22:31" ht="11.25" customHeight="1" x14ac:dyDescent="0.25">
      <c r="V2476" s="6"/>
      <c r="W2476" s="6"/>
      <c r="X2476" s="6"/>
      <c r="Y2476" s="6"/>
      <c r="Z2476" s="6"/>
      <c r="AA2476" s="6"/>
      <c r="AB2476" s="6"/>
      <c r="AC2476" s="6"/>
      <c r="AD2476" s="6"/>
      <c r="AE2476" s="6"/>
    </row>
    <row r="2477" spans="22:31" ht="11.25" customHeight="1" x14ac:dyDescent="0.25">
      <c r="V2477" s="6"/>
      <c r="W2477" s="6"/>
      <c r="X2477" s="6"/>
      <c r="Y2477" s="6"/>
      <c r="Z2477" s="6"/>
      <c r="AA2477" s="6"/>
      <c r="AB2477" s="6"/>
      <c r="AC2477" s="6"/>
      <c r="AD2477" s="6"/>
      <c r="AE2477" s="6"/>
    </row>
    <row r="2478" spans="22:31" ht="11.25" customHeight="1" x14ac:dyDescent="0.25"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</row>
    <row r="2479" spans="22:31" ht="11.25" customHeight="1" x14ac:dyDescent="0.25"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</row>
    <row r="2480" spans="22:31" ht="11.25" customHeight="1" x14ac:dyDescent="0.25">
      <c r="V2480" s="6"/>
      <c r="W2480" s="6"/>
      <c r="X2480" s="6"/>
      <c r="Y2480" s="6"/>
      <c r="Z2480" s="6"/>
      <c r="AA2480" s="6"/>
      <c r="AB2480" s="6"/>
      <c r="AC2480" s="6"/>
      <c r="AD2480" s="6"/>
      <c r="AE2480" s="6"/>
    </row>
    <row r="2481" spans="22:31" ht="11.25" customHeight="1" x14ac:dyDescent="0.25">
      <c r="V2481" s="6"/>
      <c r="W2481" s="6"/>
      <c r="X2481" s="6"/>
      <c r="Y2481" s="6"/>
      <c r="Z2481" s="6"/>
      <c r="AA2481" s="6"/>
      <c r="AB2481" s="6"/>
      <c r="AC2481" s="6"/>
      <c r="AD2481" s="6"/>
      <c r="AE2481" s="6"/>
    </row>
    <row r="2482" spans="22:31" ht="11.25" customHeight="1" x14ac:dyDescent="0.25">
      <c r="V2482" s="6"/>
      <c r="W2482" s="6"/>
      <c r="X2482" s="6"/>
      <c r="Y2482" s="6"/>
      <c r="Z2482" s="6"/>
      <c r="AA2482" s="6"/>
      <c r="AB2482" s="6"/>
      <c r="AC2482" s="6"/>
      <c r="AD2482" s="6"/>
      <c r="AE2482" s="6"/>
    </row>
    <row r="2483" spans="22:31" ht="11.25" customHeight="1" x14ac:dyDescent="0.25">
      <c r="V2483" s="6"/>
      <c r="W2483" s="6"/>
      <c r="X2483" s="6"/>
      <c r="Y2483" s="6"/>
      <c r="Z2483" s="6"/>
      <c r="AA2483" s="6"/>
      <c r="AB2483" s="6"/>
      <c r="AC2483" s="6"/>
      <c r="AD2483" s="6"/>
      <c r="AE2483" s="6"/>
    </row>
    <row r="2484" spans="22:31" ht="11.25" customHeight="1" x14ac:dyDescent="0.25">
      <c r="V2484" s="6"/>
      <c r="W2484" s="6"/>
      <c r="X2484" s="6"/>
      <c r="Y2484" s="6"/>
      <c r="Z2484" s="6"/>
      <c r="AA2484" s="6"/>
      <c r="AB2484" s="6"/>
      <c r="AC2484" s="6"/>
      <c r="AD2484" s="6"/>
      <c r="AE2484" s="6"/>
    </row>
    <row r="2485" spans="22:31" ht="11.25" customHeight="1" x14ac:dyDescent="0.25"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</row>
    <row r="2486" spans="22:31" ht="11.25" customHeight="1" x14ac:dyDescent="0.25">
      <c r="V2486" s="6"/>
      <c r="W2486" s="6"/>
      <c r="X2486" s="6"/>
      <c r="Y2486" s="6"/>
      <c r="Z2486" s="6"/>
      <c r="AA2486" s="6"/>
      <c r="AB2486" s="6"/>
      <c r="AC2486" s="6"/>
      <c r="AD2486" s="6"/>
      <c r="AE2486" s="6"/>
    </row>
    <row r="2487" spans="22:31" ht="11.25" customHeight="1" x14ac:dyDescent="0.25">
      <c r="V2487" s="6"/>
      <c r="W2487" s="6"/>
      <c r="X2487" s="6"/>
      <c r="Y2487" s="6"/>
      <c r="Z2487" s="6"/>
      <c r="AA2487" s="6"/>
      <c r="AB2487" s="6"/>
      <c r="AC2487" s="6"/>
      <c r="AD2487" s="6"/>
      <c r="AE2487" s="6"/>
    </row>
    <row r="2488" spans="22:31" ht="11.25" customHeight="1" x14ac:dyDescent="0.25">
      <c r="V2488" s="6"/>
      <c r="W2488" s="6"/>
      <c r="X2488" s="6"/>
      <c r="Y2488" s="6"/>
      <c r="Z2488" s="6"/>
      <c r="AA2488" s="6"/>
      <c r="AB2488" s="6"/>
      <c r="AC2488" s="6"/>
      <c r="AD2488" s="6"/>
      <c r="AE2488" s="6"/>
    </row>
    <row r="2489" spans="22:31" ht="11.25" customHeight="1" x14ac:dyDescent="0.25">
      <c r="V2489" s="6"/>
      <c r="W2489" s="6"/>
      <c r="X2489" s="6"/>
      <c r="Y2489" s="6"/>
      <c r="Z2489" s="6"/>
      <c r="AA2489" s="6"/>
      <c r="AB2489" s="6"/>
      <c r="AC2489" s="6"/>
      <c r="AD2489" s="6"/>
      <c r="AE2489" s="6"/>
    </row>
    <row r="2490" spans="22:31" ht="11.25" customHeight="1" x14ac:dyDescent="0.25">
      <c r="V2490" s="6"/>
      <c r="W2490" s="6"/>
      <c r="X2490" s="6"/>
      <c r="Y2490" s="6"/>
      <c r="Z2490" s="6"/>
      <c r="AA2490" s="6"/>
      <c r="AB2490" s="6"/>
      <c r="AC2490" s="6"/>
      <c r="AD2490" s="6"/>
      <c r="AE2490" s="6"/>
    </row>
    <row r="2491" spans="22:31" ht="11.25" customHeight="1" x14ac:dyDescent="0.25">
      <c r="V2491" s="6"/>
      <c r="W2491" s="6"/>
      <c r="X2491" s="6"/>
      <c r="Y2491" s="6"/>
      <c r="Z2491" s="6"/>
      <c r="AA2491" s="6"/>
      <c r="AB2491" s="6"/>
      <c r="AC2491" s="6"/>
      <c r="AD2491" s="6"/>
      <c r="AE2491" s="6"/>
    </row>
    <row r="2492" spans="22:31" ht="11.25" customHeight="1" x14ac:dyDescent="0.25">
      <c r="V2492" s="6"/>
      <c r="W2492" s="6"/>
      <c r="X2492" s="6"/>
      <c r="Y2492" s="6"/>
      <c r="Z2492" s="6"/>
      <c r="AA2492" s="6"/>
      <c r="AB2492" s="6"/>
      <c r="AC2492" s="6"/>
      <c r="AD2492" s="6"/>
      <c r="AE2492" s="6"/>
    </row>
    <row r="2493" spans="22:31" ht="11.25" customHeight="1" x14ac:dyDescent="0.25">
      <c r="V2493" s="6"/>
      <c r="W2493" s="6"/>
      <c r="X2493" s="6"/>
      <c r="Y2493" s="6"/>
      <c r="Z2493" s="6"/>
      <c r="AA2493" s="6"/>
      <c r="AB2493" s="6"/>
      <c r="AC2493" s="6"/>
      <c r="AD2493" s="6"/>
      <c r="AE2493" s="6"/>
    </row>
    <row r="2494" spans="22:31" ht="11.25" customHeight="1" x14ac:dyDescent="0.25"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</row>
    <row r="2495" spans="22:31" ht="11.25" customHeight="1" x14ac:dyDescent="0.25">
      <c r="V2495" s="6"/>
      <c r="W2495" s="6"/>
      <c r="X2495" s="6"/>
      <c r="Y2495" s="6"/>
      <c r="Z2495" s="6"/>
      <c r="AA2495" s="6"/>
      <c r="AB2495" s="6"/>
      <c r="AC2495" s="6"/>
      <c r="AD2495" s="6"/>
      <c r="AE2495" s="6"/>
    </row>
    <row r="2496" spans="22:31" ht="11.25" customHeight="1" x14ac:dyDescent="0.25">
      <c r="V2496" s="6"/>
      <c r="W2496" s="6"/>
      <c r="X2496" s="6"/>
      <c r="Y2496" s="6"/>
      <c r="Z2496" s="6"/>
      <c r="AA2496" s="6"/>
      <c r="AB2496" s="6"/>
      <c r="AC2496" s="6"/>
      <c r="AD2496" s="6"/>
      <c r="AE2496" s="6"/>
    </row>
    <row r="2497" spans="22:31" ht="11.25" customHeight="1" x14ac:dyDescent="0.25">
      <c r="V2497" s="6"/>
      <c r="W2497" s="6"/>
      <c r="X2497" s="6"/>
      <c r="Y2497" s="6"/>
      <c r="Z2497" s="6"/>
      <c r="AA2497" s="6"/>
      <c r="AB2497" s="6"/>
      <c r="AC2497" s="6"/>
      <c r="AD2497" s="6"/>
      <c r="AE2497" s="6"/>
    </row>
    <row r="2498" spans="22:31" ht="11.25" customHeight="1" x14ac:dyDescent="0.25">
      <c r="V2498" s="6"/>
      <c r="W2498" s="6"/>
      <c r="X2498" s="6"/>
      <c r="Y2498" s="6"/>
      <c r="Z2498" s="6"/>
      <c r="AA2498" s="6"/>
      <c r="AB2498" s="6"/>
      <c r="AC2498" s="6"/>
      <c r="AD2498" s="6"/>
      <c r="AE2498" s="6"/>
    </row>
    <row r="2499" spans="22:31" ht="11.25" customHeight="1" x14ac:dyDescent="0.25">
      <c r="V2499" s="6"/>
      <c r="W2499" s="6"/>
      <c r="X2499" s="6"/>
      <c r="Y2499" s="6"/>
      <c r="Z2499" s="6"/>
      <c r="AA2499" s="6"/>
      <c r="AB2499" s="6"/>
      <c r="AC2499" s="6"/>
      <c r="AD2499" s="6"/>
      <c r="AE2499" s="6"/>
    </row>
    <row r="2500" spans="22:31" ht="11.25" customHeight="1" x14ac:dyDescent="0.25"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</row>
    <row r="2501" spans="22:31" ht="11.25" customHeight="1" x14ac:dyDescent="0.25">
      <c r="V2501" s="6"/>
      <c r="W2501" s="6"/>
      <c r="X2501" s="6"/>
      <c r="Y2501" s="6"/>
      <c r="Z2501" s="6"/>
      <c r="AA2501" s="6"/>
      <c r="AB2501" s="6"/>
      <c r="AC2501" s="6"/>
      <c r="AD2501" s="6"/>
      <c r="AE2501" s="6"/>
    </row>
    <row r="2502" spans="22:31" ht="11.25" customHeight="1" x14ac:dyDescent="0.25">
      <c r="V2502" s="6"/>
      <c r="W2502" s="6"/>
      <c r="X2502" s="6"/>
      <c r="Y2502" s="6"/>
      <c r="Z2502" s="6"/>
      <c r="AA2502" s="6"/>
      <c r="AB2502" s="6"/>
      <c r="AC2502" s="6"/>
      <c r="AD2502" s="6"/>
      <c r="AE2502" s="6"/>
    </row>
    <row r="2503" spans="22:31" ht="11.25" customHeight="1" x14ac:dyDescent="0.25">
      <c r="V2503" s="6"/>
      <c r="W2503" s="6"/>
      <c r="X2503" s="6"/>
      <c r="Y2503" s="6"/>
      <c r="Z2503" s="6"/>
      <c r="AA2503" s="6"/>
      <c r="AB2503" s="6"/>
      <c r="AC2503" s="6"/>
      <c r="AD2503" s="6"/>
      <c r="AE2503" s="6"/>
    </row>
    <row r="2504" spans="22:31" ht="11.25" customHeight="1" x14ac:dyDescent="0.25"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</row>
    <row r="2505" spans="22:31" ht="11.25" customHeight="1" x14ac:dyDescent="0.25">
      <c r="V2505" s="6"/>
      <c r="W2505" s="6"/>
      <c r="X2505" s="6"/>
      <c r="Y2505" s="6"/>
      <c r="Z2505" s="6"/>
      <c r="AA2505" s="6"/>
      <c r="AB2505" s="6"/>
      <c r="AC2505" s="6"/>
      <c r="AD2505" s="6"/>
      <c r="AE2505" s="6"/>
    </row>
    <row r="2506" spans="22:31" ht="11.25" customHeight="1" x14ac:dyDescent="0.25">
      <c r="V2506" s="6"/>
      <c r="W2506" s="6"/>
      <c r="X2506" s="6"/>
      <c r="Y2506" s="6"/>
      <c r="Z2506" s="6"/>
      <c r="AA2506" s="6"/>
      <c r="AB2506" s="6"/>
      <c r="AC2506" s="6"/>
      <c r="AD2506" s="6"/>
      <c r="AE2506" s="6"/>
    </row>
    <row r="2507" spans="22:31" ht="11.25" customHeight="1" x14ac:dyDescent="0.25">
      <c r="V2507" s="6"/>
      <c r="W2507" s="6"/>
      <c r="X2507" s="6"/>
      <c r="Y2507" s="6"/>
      <c r="Z2507" s="6"/>
      <c r="AA2507" s="6"/>
      <c r="AB2507" s="6"/>
      <c r="AC2507" s="6"/>
      <c r="AD2507" s="6"/>
      <c r="AE2507" s="6"/>
    </row>
    <row r="2508" spans="22:31" ht="11.25" customHeight="1" x14ac:dyDescent="0.25">
      <c r="V2508" s="6"/>
      <c r="W2508" s="6"/>
      <c r="X2508" s="6"/>
      <c r="Y2508" s="6"/>
      <c r="Z2508" s="6"/>
      <c r="AA2508" s="6"/>
      <c r="AB2508" s="6"/>
      <c r="AC2508" s="6"/>
      <c r="AD2508" s="6"/>
      <c r="AE2508" s="6"/>
    </row>
    <row r="2509" spans="22:31" ht="11.25" customHeight="1" x14ac:dyDescent="0.25">
      <c r="V2509" s="6"/>
      <c r="W2509" s="6"/>
      <c r="X2509" s="6"/>
      <c r="Y2509" s="6"/>
      <c r="Z2509" s="6"/>
      <c r="AA2509" s="6"/>
      <c r="AB2509" s="6"/>
      <c r="AC2509" s="6"/>
      <c r="AD2509" s="6"/>
      <c r="AE2509" s="6"/>
    </row>
    <row r="2510" spans="22:31" ht="11.25" customHeight="1" x14ac:dyDescent="0.25">
      <c r="V2510" s="6"/>
      <c r="W2510" s="6"/>
      <c r="X2510" s="6"/>
      <c r="Y2510" s="6"/>
      <c r="Z2510" s="6"/>
      <c r="AA2510" s="6"/>
      <c r="AB2510" s="6"/>
      <c r="AC2510" s="6"/>
      <c r="AD2510" s="6"/>
      <c r="AE2510" s="6"/>
    </row>
    <row r="2511" spans="22:31" ht="11.25" customHeight="1" x14ac:dyDescent="0.25"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</row>
    <row r="2512" spans="22:31" ht="11.25" customHeight="1" x14ac:dyDescent="0.25"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</row>
    <row r="2513" spans="22:31" ht="11.25" customHeight="1" x14ac:dyDescent="0.25"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</row>
    <row r="2514" spans="22:31" ht="11.25" customHeight="1" x14ac:dyDescent="0.25"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</row>
    <row r="2515" spans="22:31" ht="11.25" customHeight="1" x14ac:dyDescent="0.25"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</row>
    <row r="2516" spans="22:31" ht="11.25" customHeight="1" x14ac:dyDescent="0.25">
      <c r="V2516" s="6"/>
      <c r="W2516" s="6"/>
      <c r="X2516" s="6"/>
      <c r="Y2516" s="6"/>
      <c r="Z2516" s="6"/>
      <c r="AA2516" s="6"/>
      <c r="AB2516" s="6"/>
      <c r="AC2516" s="6"/>
      <c r="AD2516" s="6"/>
      <c r="AE2516" s="6"/>
    </row>
    <row r="2517" spans="22:31" ht="11.25" customHeight="1" x14ac:dyDescent="0.25">
      <c r="V2517" s="6"/>
      <c r="W2517" s="6"/>
      <c r="X2517" s="6"/>
      <c r="Y2517" s="6"/>
      <c r="Z2517" s="6"/>
      <c r="AA2517" s="6"/>
      <c r="AB2517" s="6"/>
      <c r="AC2517" s="6"/>
      <c r="AD2517" s="6"/>
      <c r="AE2517" s="6"/>
    </row>
    <row r="2518" spans="22:31" ht="11.25" customHeight="1" x14ac:dyDescent="0.25"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</row>
    <row r="2519" spans="22:31" ht="11.25" customHeight="1" x14ac:dyDescent="0.25">
      <c r="V2519" s="6"/>
      <c r="W2519" s="6"/>
      <c r="X2519" s="6"/>
      <c r="Y2519" s="6"/>
      <c r="Z2519" s="6"/>
      <c r="AA2519" s="6"/>
      <c r="AB2519" s="6"/>
      <c r="AC2519" s="6"/>
      <c r="AD2519" s="6"/>
      <c r="AE2519" s="6"/>
    </row>
    <row r="2520" spans="22:31" ht="11.25" customHeight="1" x14ac:dyDescent="0.25">
      <c r="V2520" s="6"/>
      <c r="W2520" s="6"/>
      <c r="X2520" s="6"/>
      <c r="Y2520" s="6"/>
      <c r="Z2520" s="6"/>
      <c r="AA2520" s="6"/>
      <c r="AB2520" s="6"/>
      <c r="AC2520" s="6"/>
      <c r="AD2520" s="6"/>
      <c r="AE2520" s="6"/>
    </row>
    <row r="2521" spans="22:31" ht="11.25" customHeight="1" x14ac:dyDescent="0.25">
      <c r="V2521" s="6"/>
      <c r="W2521" s="6"/>
      <c r="X2521" s="6"/>
      <c r="Y2521" s="6"/>
      <c r="Z2521" s="6"/>
      <c r="AA2521" s="6"/>
      <c r="AB2521" s="6"/>
      <c r="AC2521" s="6"/>
      <c r="AD2521" s="6"/>
      <c r="AE2521" s="6"/>
    </row>
    <row r="2522" spans="22:31" ht="11.25" customHeight="1" x14ac:dyDescent="0.25">
      <c r="V2522" s="6"/>
      <c r="W2522" s="6"/>
      <c r="X2522" s="6"/>
      <c r="Y2522" s="6"/>
      <c r="Z2522" s="6"/>
      <c r="AA2522" s="6"/>
      <c r="AB2522" s="6"/>
      <c r="AC2522" s="6"/>
      <c r="AD2522" s="6"/>
      <c r="AE2522" s="6"/>
    </row>
    <row r="2523" spans="22:31" ht="11.25" customHeight="1" x14ac:dyDescent="0.25"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</row>
    <row r="2524" spans="22:31" ht="11.25" customHeight="1" x14ac:dyDescent="0.25">
      <c r="V2524" s="6"/>
      <c r="W2524" s="6"/>
      <c r="X2524" s="6"/>
      <c r="Y2524" s="6"/>
      <c r="Z2524" s="6"/>
      <c r="AA2524" s="6"/>
      <c r="AB2524" s="6"/>
      <c r="AC2524" s="6"/>
      <c r="AD2524" s="6"/>
      <c r="AE2524" s="6"/>
    </row>
    <row r="2525" spans="22:31" ht="11.25" customHeight="1" x14ac:dyDescent="0.25"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</row>
    <row r="2526" spans="22:31" ht="11.25" customHeight="1" x14ac:dyDescent="0.25"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</row>
    <row r="2527" spans="22:31" ht="11.25" customHeight="1" x14ac:dyDescent="0.25"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</row>
    <row r="2528" spans="22:31" ht="11.25" customHeight="1" x14ac:dyDescent="0.25">
      <c r="V2528" s="6"/>
      <c r="W2528" s="6"/>
      <c r="X2528" s="6"/>
      <c r="Y2528" s="6"/>
      <c r="Z2528" s="6"/>
      <c r="AA2528" s="6"/>
      <c r="AB2528" s="6"/>
      <c r="AC2528" s="6"/>
      <c r="AD2528" s="6"/>
      <c r="AE2528" s="6"/>
    </row>
    <row r="2529" spans="22:31" ht="11.25" customHeight="1" x14ac:dyDescent="0.25"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</row>
    <row r="2530" spans="22:31" ht="11.25" customHeight="1" x14ac:dyDescent="0.25">
      <c r="V2530" s="6"/>
      <c r="W2530" s="6"/>
      <c r="X2530" s="6"/>
      <c r="Y2530" s="6"/>
      <c r="Z2530" s="6"/>
      <c r="AA2530" s="6"/>
      <c r="AB2530" s="6"/>
      <c r="AC2530" s="6"/>
      <c r="AD2530" s="6"/>
      <c r="AE2530" s="6"/>
    </row>
    <row r="2531" spans="22:31" ht="11.25" customHeight="1" x14ac:dyDescent="0.25"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</row>
    <row r="2532" spans="22:31" ht="11.25" customHeight="1" x14ac:dyDescent="0.25"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</row>
    <row r="2533" spans="22:31" ht="11.25" customHeight="1" x14ac:dyDescent="0.25"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</row>
    <row r="2534" spans="22:31" ht="11.25" customHeight="1" x14ac:dyDescent="0.25"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</row>
    <row r="2535" spans="22:31" ht="11.25" customHeight="1" x14ac:dyDescent="0.25"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</row>
    <row r="2536" spans="22:31" ht="11.25" customHeight="1" x14ac:dyDescent="0.25"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</row>
    <row r="2537" spans="22:31" ht="11.25" customHeight="1" x14ac:dyDescent="0.25"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</row>
    <row r="2538" spans="22:31" ht="11.25" customHeight="1" x14ac:dyDescent="0.25"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</row>
    <row r="2539" spans="22:31" ht="11.25" customHeight="1" x14ac:dyDescent="0.25">
      <c r="V2539" s="6"/>
      <c r="W2539" s="6"/>
      <c r="X2539" s="6"/>
      <c r="Y2539" s="6"/>
      <c r="Z2539" s="6"/>
      <c r="AA2539" s="6"/>
      <c r="AB2539" s="6"/>
      <c r="AC2539" s="6"/>
      <c r="AD2539" s="6"/>
      <c r="AE2539" s="6"/>
    </row>
    <row r="2540" spans="22:31" ht="11.25" customHeight="1" x14ac:dyDescent="0.25"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</row>
    <row r="2541" spans="22:31" ht="11.25" customHeight="1" x14ac:dyDescent="0.25">
      <c r="V2541" s="6"/>
      <c r="W2541" s="6"/>
      <c r="X2541" s="6"/>
      <c r="Y2541" s="6"/>
      <c r="Z2541" s="6"/>
      <c r="AA2541" s="6"/>
      <c r="AB2541" s="6"/>
      <c r="AC2541" s="6"/>
      <c r="AD2541" s="6"/>
      <c r="AE2541" s="6"/>
    </row>
    <row r="2542" spans="22:31" ht="11.25" customHeight="1" x14ac:dyDescent="0.25"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</row>
    <row r="2543" spans="22:31" ht="11.25" customHeight="1" x14ac:dyDescent="0.25"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</row>
    <row r="2544" spans="22:31" ht="11.25" customHeight="1" x14ac:dyDescent="0.25"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</row>
    <row r="2545" spans="22:31" ht="11.25" customHeight="1" x14ac:dyDescent="0.25">
      <c r="V2545" s="6"/>
      <c r="W2545" s="6"/>
      <c r="X2545" s="6"/>
      <c r="Y2545" s="6"/>
      <c r="Z2545" s="6"/>
      <c r="AA2545" s="6"/>
      <c r="AB2545" s="6"/>
      <c r="AC2545" s="6"/>
      <c r="AD2545" s="6"/>
      <c r="AE2545" s="6"/>
    </row>
    <row r="2546" spans="22:31" ht="11.25" customHeight="1" x14ac:dyDescent="0.25">
      <c r="V2546" s="6"/>
      <c r="W2546" s="6"/>
      <c r="X2546" s="6"/>
      <c r="Y2546" s="6"/>
      <c r="Z2546" s="6"/>
      <c r="AA2546" s="6"/>
      <c r="AB2546" s="6"/>
      <c r="AC2546" s="6"/>
      <c r="AD2546" s="6"/>
      <c r="AE2546" s="6"/>
    </row>
    <row r="2547" spans="22:31" ht="11.25" customHeight="1" x14ac:dyDescent="0.25">
      <c r="V2547" s="6"/>
      <c r="W2547" s="6"/>
      <c r="X2547" s="6"/>
      <c r="Y2547" s="6"/>
      <c r="Z2547" s="6"/>
      <c r="AA2547" s="6"/>
      <c r="AB2547" s="6"/>
      <c r="AC2547" s="6"/>
      <c r="AD2547" s="6"/>
      <c r="AE2547" s="6"/>
    </row>
    <row r="2548" spans="22:31" ht="11.25" customHeight="1" x14ac:dyDescent="0.25">
      <c r="V2548" s="6"/>
      <c r="W2548" s="6"/>
      <c r="X2548" s="6"/>
      <c r="Y2548" s="6"/>
      <c r="Z2548" s="6"/>
      <c r="AA2548" s="6"/>
      <c r="AB2548" s="6"/>
      <c r="AC2548" s="6"/>
      <c r="AD2548" s="6"/>
      <c r="AE2548" s="6"/>
    </row>
    <row r="2549" spans="22:31" ht="11.25" customHeight="1" x14ac:dyDescent="0.25">
      <c r="V2549" s="6"/>
      <c r="W2549" s="6"/>
      <c r="X2549" s="6"/>
      <c r="Y2549" s="6"/>
      <c r="Z2549" s="6"/>
      <c r="AA2549" s="6"/>
      <c r="AB2549" s="6"/>
      <c r="AC2549" s="6"/>
      <c r="AD2549" s="6"/>
      <c r="AE2549" s="6"/>
    </row>
    <row r="2550" spans="22:31" ht="11.25" customHeight="1" x14ac:dyDescent="0.25">
      <c r="V2550" s="6"/>
      <c r="W2550" s="6"/>
      <c r="X2550" s="6"/>
      <c r="Y2550" s="6"/>
      <c r="Z2550" s="6"/>
      <c r="AA2550" s="6"/>
      <c r="AB2550" s="6"/>
      <c r="AC2550" s="6"/>
      <c r="AD2550" s="6"/>
      <c r="AE2550" s="6"/>
    </row>
    <row r="2551" spans="22:31" ht="11.25" customHeight="1" x14ac:dyDescent="0.25"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</row>
    <row r="2552" spans="22:31" ht="11.25" customHeight="1" x14ac:dyDescent="0.25">
      <c r="V2552" s="6"/>
      <c r="W2552" s="6"/>
      <c r="X2552" s="6"/>
      <c r="Y2552" s="6"/>
      <c r="Z2552" s="6"/>
      <c r="AA2552" s="6"/>
      <c r="AB2552" s="6"/>
      <c r="AC2552" s="6"/>
      <c r="AD2552" s="6"/>
      <c r="AE2552" s="6"/>
    </row>
    <row r="2553" spans="22:31" ht="11.25" customHeight="1" x14ac:dyDescent="0.25"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</row>
    <row r="2554" spans="22:31" ht="11.25" customHeight="1" x14ac:dyDescent="0.25">
      <c r="V2554" s="6"/>
      <c r="W2554" s="6"/>
      <c r="X2554" s="6"/>
      <c r="Y2554" s="6"/>
      <c r="Z2554" s="6"/>
      <c r="AA2554" s="6"/>
      <c r="AB2554" s="6"/>
      <c r="AC2554" s="6"/>
      <c r="AD2554" s="6"/>
      <c r="AE2554" s="6"/>
    </row>
    <row r="2555" spans="22:31" ht="11.25" customHeight="1" x14ac:dyDescent="0.25">
      <c r="V2555" s="6"/>
      <c r="W2555" s="6"/>
      <c r="X2555" s="6"/>
      <c r="Y2555" s="6"/>
      <c r="Z2555" s="6"/>
      <c r="AA2555" s="6"/>
      <c r="AB2555" s="6"/>
      <c r="AC2555" s="6"/>
      <c r="AD2555" s="6"/>
      <c r="AE2555" s="6"/>
    </row>
    <row r="2556" spans="22:31" ht="11.25" customHeight="1" x14ac:dyDescent="0.25">
      <c r="V2556" s="6"/>
      <c r="W2556" s="6"/>
      <c r="X2556" s="6"/>
      <c r="Y2556" s="6"/>
      <c r="Z2556" s="6"/>
      <c r="AA2556" s="6"/>
      <c r="AB2556" s="6"/>
      <c r="AC2556" s="6"/>
      <c r="AD2556" s="6"/>
      <c r="AE2556" s="6"/>
    </row>
    <row r="2557" spans="22:31" ht="11.25" customHeight="1" x14ac:dyDescent="0.25">
      <c r="V2557" s="6"/>
      <c r="W2557" s="6"/>
      <c r="X2557" s="6"/>
      <c r="Y2557" s="6"/>
      <c r="Z2557" s="6"/>
      <c r="AA2557" s="6"/>
      <c r="AB2557" s="6"/>
      <c r="AC2557" s="6"/>
      <c r="AD2557" s="6"/>
      <c r="AE2557" s="6"/>
    </row>
    <row r="2558" spans="22:31" ht="11.25" customHeight="1" x14ac:dyDescent="0.25">
      <c r="V2558" s="6"/>
      <c r="W2558" s="6"/>
      <c r="X2558" s="6"/>
      <c r="Y2558" s="6"/>
      <c r="Z2558" s="6"/>
      <c r="AA2558" s="6"/>
      <c r="AB2558" s="6"/>
      <c r="AC2558" s="6"/>
      <c r="AD2558" s="6"/>
      <c r="AE2558" s="6"/>
    </row>
    <row r="2559" spans="22:31" ht="11.25" customHeight="1" x14ac:dyDescent="0.25"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</row>
    <row r="2560" spans="22:31" ht="11.25" customHeight="1" x14ac:dyDescent="0.25">
      <c r="V2560" s="6"/>
      <c r="W2560" s="6"/>
      <c r="X2560" s="6"/>
      <c r="Y2560" s="6"/>
      <c r="Z2560" s="6"/>
      <c r="AA2560" s="6"/>
      <c r="AB2560" s="6"/>
      <c r="AC2560" s="6"/>
      <c r="AD2560" s="6"/>
      <c r="AE2560" s="6"/>
    </row>
    <row r="2561" spans="22:31" ht="11.25" customHeight="1" x14ac:dyDescent="0.25"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</row>
    <row r="2562" spans="22:31" ht="11.25" customHeight="1" x14ac:dyDescent="0.25">
      <c r="V2562" s="6"/>
      <c r="W2562" s="6"/>
      <c r="X2562" s="6"/>
      <c r="Y2562" s="6"/>
      <c r="Z2562" s="6"/>
      <c r="AA2562" s="6"/>
      <c r="AB2562" s="6"/>
      <c r="AC2562" s="6"/>
      <c r="AD2562" s="6"/>
      <c r="AE2562" s="6"/>
    </row>
    <row r="2563" spans="22:31" ht="11.25" customHeight="1" x14ac:dyDescent="0.25">
      <c r="V2563" s="6"/>
      <c r="W2563" s="6"/>
      <c r="X2563" s="6"/>
      <c r="Y2563" s="6"/>
      <c r="Z2563" s="6"/>
      <c r="AA2563" s="6"/>
      <c r="AB2563" s="6"/>
      <c r="AC2563" s="6"/>
      <c r="AD2563" s="6"/>
      <c r="AE2563" s="6"/>
    </row>
    <row r="2564" spans="22:31" ht="11.25" customHeight="1" x14ac:dyDescent="0.25">
      <c r="V2564" s="6"/>
      <c r="W2564" s="6"/>
      <c r="X2564" s="6"/>
      <c r="Y2564" s="6"/>
      <c r="Z2564" s="6"/>
      <c r="AA2564" s="6"/>
      <c r="AB2564" s="6"/>
      <c r="AC2564" s="6"/>
      <c r="AD2564" s="6"/>
      <c r="AE2564" s="6"/>
    </row>
    <row r="2565" spans="22:31" ht="11.25" customHeight="1" x14ac:dyDescent="0.25"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</row>
    <row r="2566" spans="22:31" ht="11.25" customHeight="1" x14ac:dyDescent="0.25">
      <c r="V2566" s="6"/>
      <c r="W2566" s="6"/>
      <c r="X2566" s="6"/>
      <c r="Y2566" s="6"/>
      <c r="Z2566" s="6"/>
      <c r="AA2566" s="6"/>
      <c r="AB2566" s="6"/>
      <c r="AC2566" s="6"/>
      <c r="AD2566" s="6"/>
      <c r="AE2566" s="6"/>
    </row>
    <row r="2567" spans="22:31" ht="11.25" customHeight="1" x14ac:dyDescent="0.25">
      <c r="V2567" s="6"/>
      <c r="W2567" s="6"/>
      <c r="X2567" s="6"/>
      <c r="Y2567" s="6"/>
      <c r="Z2567" s="6"/>
      <c r="AA2567" s="6"/>
      <c r="AB2567" s="6"/>
      <c r="AC2567" s="6"/>
      <c r="AD2567" s="6"/>
      <c r="AE2567" s="6"/>
    </row>
    <row r="2568" spans="22:31" ht="11.25" customHeight="1" x14ac:dyDescent="0.25">
      <c r="V2568" s="6"/>
      <c r="W2568" s="6"/>
      <c r="X2568" s="6"/>
      <c r="Y2568" s="6"/>
      <c r="Z2568" s="6"/>
      <c r="AA2568" s="6"/>
      <c r="AB2568" s="6"/>
      <c r="AC2568" s="6"/>
      <c r="AD2568" s="6"/>
      <c r="AE2568" s="6"/>
    </row>
    <row r="2569" spans="22:31" ht="11.25" customHeight="1" x14ac:dyDescent="0.25">
      <c r="V2569" s="6"/>
      <c r="W2569" s="6"/>
      <c r="X2569" s="6"/>
      <c r="Y2569" s="6"/>
      <c r="Z2569" s="6"/>
      <c r="AA2569" s="6"/>
      <c r="AB2569" s="6"/>
      <c r="AC2569" s="6"/>
      <c r="AD2569" s="6"/>
      <c r="AE2569" s="6"/>
    </row>
    <row r="2570" spans="22:31" ht="11.25" customHeight="1" x14ac:dyDescent="0.25">
      <c r="V2570" s="6"/>
      <c r="W2570" s="6"/>
      <c r="X2570" s="6"/>
      <c r="Y2570" s="6"/>
      <c r="Z2570" s="6"/>
      <c r="AA2570" s="6"/>
      <c r="AB2570" s="6"/>
      <c r="AC2570" s="6"/>
      <c r="AD2570" s="6"/>
      <c r="AE2570" s="6"/>
    </row>
    <row r="2571" spans="22:31" ht="11.25" customHeight="1" x14ac:dyDescent="0.25">
      <c r="V2571" s="6"/>
      <c r="W2571" s="6"/>
      <c r="X2571" s="6"/>
      <c r="Y2571" s="6"/>
      <c r="Z2571" s="6"/>
      <c r="AA2571" s="6"/>
      <c r="AB2571" s="6"/>
      <c r="AC2571" s="6"/>
      <c r="AD2571" s="6"/>
      <c r="AE2571" s="6"/>
    </row>
    <row r="2572" spans="22:31" ht="11.25" customHeight="1" x14ac:dyDescent="0.25">
      <c r="V2572" s="6"/>
      <c r="W2572" s="6"/>
      <c r="X2572" s="6"/>
      <c r="Y2572" s="6"/>
      <c r="Z2572" s="6"/>
      <c r="AA2572" s="6"/>
      <c r="AB2572" s="6"/>
      <c r="AC2572" s="6"/>
      <c r="AD2572" s="6"/>
      <c r="AE2572" s="6"/>
    </row>
    <row r="2573" spans="22:31" ht="11.25" customHeight="1" x14ac:dyDescent="0.25">
      <c r="V2573" s="6"/>
      <c r="W2573" s="6"/>
      <c r="X2573" s="6"/>
      <c r="Y2573" s="6"/>
      <c r="Z2573" s="6"/>
      <c r="AA2573" s="6"/>
      <c r="AB2573" s="6"/>
      <c r="AC2573" s="6"/>
      <c r="AD2573" s="6"/>
      <c r="AE2573" s="6"/>
    </row>
    <row r="2574" spans="22:31" ht="11.25" customHeight="1" x14ac:dyDescent="0.25">
      <c r="V2574" s="6"/>
      <c r="W2574" s="6"/>
      <c r="X2574" s="6"/>
      <c r="Y2574" s="6"/>
      <c r="Z2574" s="6"/>
      <c r="AA2574" s="6"/>
      <c r="AB2574" s="6"/>
      <c r="AC2574" s="6"/>
      <c r="AD2574" s="6"/>
      <c r="AE2574" s="6"/>
    </row>
    <row r="2575" spans="22:31" ht="11.25" customHeight="1" x14ac:dyDescent="0.25">
      <c r="V2575" s="6"/>
      <c r="W2575" s="6"/>
      <c r="X2575" s="6"/>
      <c r="Y2575" s="6"/>
      <c r="Z2575" s="6"/>
      <c r="AA2575" s="6"/>
      <c r="AB2575" s="6"/>
      <c r="AC2575" s="6"/>
      <c r="AD2575" s="6"/>
      <c r="AE2575" s="6"/>
    </row>
    <row r="2576" spans="22:31" ht="11.25" customHeight="1" x14ac:dyDescent="0.25"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</row>
    <row r="2577" spans="22:31" ht="11.25" customHeight="1" x14ac:dyDescent="0.25"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</row>
    <row r="2578" spans="22:31" ht="11.25" customHeight="1" x14ac:dyDescent="0.25"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</row>
    <row r="2579" spans="22:31" ht="11.25" customHeight="1" x14ac:dyDescent="0.25"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</row>
  </sheetData>
  <pageMargins left="0.511811024" right="0.511811024" top="0.78740157499999996" bottom="0.78740157499999996" header="0.31496062000000002" footer="0.31496062000000002"/>
  <pageSetup paperSize="9" orientation="portrait" horizontalDpi="300" verticalDpi="0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B5499-7D61-4D79-8647-23EE765E593C}">
  <dimension ref="A1:J1446"/>
  <sheetViews>
    <sheetView showGridLines="0" workbookViewId="0"/>
  </sheetViews>
  <sheetFormatPr defaultRowHeight="11.25" customHeight="1" x14ac:dyDescent="0.2"/>
  <cols>
    <col min="1" max="1" width="34.7109375" style="17" bestFit="1" customWidth="1"/>
    <col min="2" max="2" width="24.5703125" style="61" bestFit="1" customWidth="1"/>
    <col min="3" max="3" width="25.5703125" style="61" bestFit="1" customWidth="1"/>
    <col min="4" max="4" width="26" style="61" bestFit="1" customWidth="1"/>
    <col min="5" max="5" width="26.85546875" style="61" bestFit="1" customWidth="1"/>
    <col min="6" max="6" width="23.7109375" style="61" bestFit="1" customWidth="1"/>
    <col min="7" max="7" width="24.5703125" style="61" bestFit="1" customWidth="1"/>
    <col min="8" max="8" width="18.28515625" style="62" bestFit="1" customWidth="1"/>
    <col min="9" max="9" width="16" style="62" bestFit="1" customWidth="1"/>
    <col min="10" max="10" width="13.85546875" style="62" bestFit="1" customWidth="1"/>
    <col min="11" max="16384" width="9.140625" style="17"/>
  </cols>
  <sheetData>
    <row r="1" spans="1:10" ht="11.25" customHeight="1" x14ac:dyDescent="0.2">
      <c r="A1" s="60" t="s">
        <v>826</v>
      </c>
      <c r="B1" s="61" t="s">
        <v>827</v>
      </c>
      <c r="C1" s="61" t="s">
        <v>828</v>
      </c>
      <c r="D1" s="61" t="s">
        <v>829</v>
      </c>
      <c r="E1" s="61" t="s">
        <v>830</v>
      </c>
      <c r="F1" s="61" t="s">
        <v>831</v>
      </c>
      <c r="G1" s="61" t="s">
        <v>832</v>
      </c>
      <c r="H1" s="62" t="s">
        <v>833</v>
      </c>
      <c r="I1" s="62" t="s">
        <v>834</v>
      </c>
      <c r="J1" s="62" t="s">
        <v>835</v>
      </c>
    </row>
    <row r="2" spans="1:10" ht="11.25" customHeight="1" x14ac:dyDescent="0.2">
      <c r="A2" s="63" t="s">
        <v>26</v>
      </c>
      <c r="B2" s="61">
        <v>203095450.35519996</v>
      </c>
      <c r="C2" s="61">
        <v>226974437.53419977</v>
      </c>
      <c r="D2" s="61">
        <v>1600917552.5472653</v>
      </c>
      <c r="E2" s="61">
        <v>1275065345.6797278</v>
      </c>
      <c r="F2" s="61">
        <v>1019827992.8532126</v>
      </c>
      <c r="G2" s="61">
        <v>1247190659.2619572</v>
      </c>
      <c r="H2" s="62">
        <v>-0.16738971349025333</v>
      </c>
      <c r="I2" s="62">
        <v>0.22294217064256316</v>
      </c>
      <c r="J2" s="62">
        <v>-2.6421655253229148E-2</v>
      </c>
    </row>
    <row r="3" spans="1:10" ht="11.25" customHeight="1" x14ac:dyDescent="0.2">
      <c r="A3" s="64" t="s">
        <v>43</v>
      </c>
      <c r="B3" s="61">
        <v>2517540.42</v>
      </c>
      <c r="C3" s="61">
        <v>2765292.895464093</v>
      </c>
      <c r="D3" s="61">
        <v>3079422.0041099992</v>
      </c>
      <c r="E3" s="61">
        <v>2336273.7970671705</v>
      </c>
      <c r="F3" s="61">
        <v>14219974.93729</v>
      </c>
      <c r="G3" s="61">
        <v>17367068.932474382</v>
      </c>
      <c r="H3" s="62">
        <v>-8.8511534300234507E-2</v>
      </c>
      <c r="I3" s="62">
        <v>0.22131501701395728</v>
      </c>
      <c r="J3" s="62">
        <v>0.13380969093492223</v>
      </c>
    </row>
    <row r="4" spans="1:10" ht="11.25" customHeight="1" x14ac:dyDescent="0.2">
      <c r="A4" s="65" t="s">
        <v>44</v>
      </c>
      <c r="B4" s="61">
        <v>2517540.42</v>
      </c>
      <c r="C4" s="61">
        <v>2765292.895464093</v>
      </c>
      <c r="D4" s="61">
        <v>3079422.0041099992</v>
      </c>
      <c r="E4" s="61">
        <v>2336273.7970671705</v>
      </c>
      <c r="F4" s="61">
        <v>14219974.93729</v>
      </c>
      <c r="G4" s="61">
        <v>17367068.932474382</v>
      </c>
      <c r="H4" s="62">
        <v>-8.8511534300234507E-2</v>
      </c>
      <c r="I4" s="62">
        <v>0.22131501701395728</v>
      </c>
      <c r="J4" s="62">
        <v>0.13380969093492223</v>
      </c>
    </row>
    <row r="5" spans="1:10" ht="11.25" customHeight="1" x14ac:dyDescent="0.2">
      <c r="A5" s="66" t="s">
        <v>42</v>
      </c>
      <c r="B5" s="61">
        <v>1488756.42</v>
      </c>
      <c r="C5" s="61">
        <v>1635264.8463223332</v>
      </c>
      <c r="D5" s="61">
        <v>1529794.0151099998</v>
      </c>
      <c r="E5" s="61">
        <v>1160613.1500137208</v>
      </c>
      <c r="F5" s="61">
        <v>7078641.8292899989</v>
      </c>
      <c r="G5" s="61">
        <v>8643157.267878741</v>
      </c>
      <c r="H5" s="62">
        <v>-7.3768003404531934E-2</v>
      </c>
      <c r="I5" s="62">
        <v>0.22101915541412076</v>
      </c>
      <c r="J5" s="62">
        <v>0.13289268587523861</v>
      </c>
    </row>
    <row r="6" spans="1:10" ht="11.25" customHeight="1" x14ac:dyDescent="0.2">
      <c r="A6" s="67" t="s">
        <v>25</v>
      </c>
      <c r="B6" s="61">
        <v>1488756.42</v>
      </c>
      <c r="C6" s="61">
        <v>1635264.8463223332</v>
      </c>
      <c r="D6" s="61">
        <v>1529794.0151099998</v>
      </c>
      <c r="E6" s="61">
        <v>1160613.1500137208</v>
      </c>
      <c r="F6" s="61">
        <v>7078641.8292899989</v>
      </c>
      <c r="G6" s="61">
        <v>8643157.267878741</v>
      </c>
      <c r="H6" s="62">
        <v>-7.3768003404531934E-2</v>
      </c>
      <c r="I6" s="62">
        <v>0.22101915541412076</v>
      </c>
      <c r="J6" s="62">
        <v>0.13289268587523861</v>
      </c>
    </row>
    <row r="7" spans="1:10" ht="11.25" customHeight="1" x14ac:dyDescent="0.2">
      <c r="A7" s="68" t="s">
        <v>25</v>
      </c>
      <c r="B7" s="61">
        <v>1488756.42</v>
      </c>
      <c r="C7" s="61">
        <v>1635264.8463223332</v>
      </c>
      <c r="D7" s="61">
        <v>1529794.0151099998</v>
      </c>
      <c r="E7" s="61">
        <v>1160613.1500137208</v>
      </c>
      <c r="F7" s="61">
        <v>7078641.8292899989</v>
      </c>
      <c r="G7" s="61">
        <v>8643157.267878741</v>
      </c>
      <c r="H7" s="62">
        <v>-7.3768003404531934E-2</v>
      </c>
      <c r="I7" s="62">
        <v>0.22101915541412076</v>
      </c>
      <c r="J7" s="62">
        <v>0.13289268587523861</v>
      </c>
    </row>
    <row r="8" spans="1:10" ht="11.25" customHeight="1" x14ac:dyDescent="0.2">
      <c r="A8" s="69" t="s">
        <v>25</v>
      </c>
      <c r="B8" s="61">
        <v>1488756.42</v>
      </c>
      <c r="C8" s="61">
        <v>1635264.8463223332</v>
      </c>
      <c r="D8" s="61">
        <v>1529794.0151099998</v>
      </c>
      <c r="E8" s="61">
        <v>1160613.1500137208</v>
      </c>
      <c r="F8" s="61">
        <v>7078641.8292899989</v>
      </c>
      <c r="G8" s="61">
        <v>8643157.267878741</v>
      </c>
      <c r="H8" s="62">
        <v>-7.3768003404531934E-2</v>
      </c>
      <c r="I8" s="62">
        <v>0.22101915541412076</v>
      </c>
      <c r="J8" s="62">
        <v>0.13289268587523861</v>
      </c>
    </row>
    <row r="9" spans="1:10" ht="11.25" customHeight="1" x14ac:dyDescent="0.2">
      <c r="A9" s="70" t="s">
        <v>38</v>
      </c>
      <c r="B9" s="61">
        <v>705185.7</v>
      </c>
      <c r="C9" s="61">
        <v>774489.38156198431</v>
      </c>
      <c r="D9" s="61">
        <v>1393898.1781500001</v>
      </c>
      <c r="E9" s="61">
        <v>1057512.6712237345</v>
      </c>
      <c r="F9" s="61">
        <v>6076149.287849999</v>
      </c>
      <c r="G9" s="61">
        <v>7473148.5319782533</v>
      </c>
      <c r="H9" s="62">
        <v>-0.12723732869582627</v>
      </c>
      <c r="I9" s="62">
        <v>0.22991522721828517</v>
      </c>
      <c r="J9" s="62">
        <v>0.13821225594680153</v>
      </c>
    </row>
    <row r="10" spans="1:10" ht="11.25" customHeight="1" x14ac:dyDescent="0.2">
      <c r="A10" s="71">
        <v>44136</v>
      </c>
      <c r="B10" s="61">
        <v>60705.100000000006</v>
      </c>
      <c r="C10" s="61">
        <v>66671.027725971202</v>
      </c>
      <c r="D10" s="61">
        <v>142363.75031999999</v>
      </c>
      <c r="E10" s="61">
        <v>108007.50890294288</v>
      </c>
      <c r="F10" s="61">
        <v>620578.61447999999</v>
      </c>
      <c r="G10" s="61">
        <v>763259.08763497777</v>
      </c>
      <c r="H10" s="62">
        <v>-0.13980634472666731</v>
      </c>
      <c r="I10" s="62">
        <v>0.22991522721828517</v>
      </c>
      <c r="J10" s="62">
        <v>0.13876101651286454</v>
      </c>
    </row>
    <row r="11" spans="1:10" ht="11.25" customHeight="1" x14ac:dyDescent="0.2">
      <c r="A11" s="71">
        <v>44166</v>
      </c>
      <c r="B11" s="61">
        <v>59519.200000000004</v>
      </c>
      <c r="C11" s="61">
        <v>65368.580785265578</v>
      </c>
      <c r="D11" s="61">
        <v>149890.01880000002</v>
      </c>
      <c r="E11" s="61">
        <v>113717.4842866508</v>
      </c>
      <c r="F11" s="61">
        <v>653386.41320000007</v>
      </c>
      <c r="G11" s="61">
        <v>803609.89885221841</v>
      </c>
      <c r="H11" s="62">
        <v>-0.14480333722578043</v>
      </c>
      <c r="I11" s="62">
        <v>0.22991522721828517</v>
      </c>
      <c r="J11" s="62">
        <v>0.13896724493864232</v>
      </c>
    </row>
    <row r="12" spans="1:10" ht="11.25" customHeight="1" x14ac:dyDescent="0.2">
      <c r="A12" s="71">
        <v>44197</v>
      </c>
      <c r="B12" s="61">
        <v>61961.8</v>
      </c>
      <c r="C12" s="61">
        <v>68051.232692987614</v>
      </c>
      <c r="D12" s="61">
        <v>145660.81992000001</v>
      </c>
      <c r="E12" s="61">
        <v>110508.90601685127</v>
      </c>
      <c r="F12" s="61">
        <v>634950.88887999998</v>
      </c>
      <c r="G12" s="61">
        <v>780935.7667692973</v>
      </c>
      <c r="H12" s="62">
        <v>-0.13997743223430725</v>
      </c>
      <c r="I12" s="62">
        <v>0.22991522721828517</v>
      </c>
      <c r="J12" s="62">
        <v>0.13876818515889267</v>
      </c>
    </row>
    <row r="13" spans="1:10" ht="11.25" customHeight="1" x14ac:dyDescent="0.2">
      <c r="A13" s="71">
        <v>44228</v>
      </c>
      <c r="B13" s="61">
        <v>62227.3</v>
      </c>
      <c r="C13" s="61">
        <v>68342.825291653062</v>
      </c>
      <c r="D13" s="61">
        <v>136167.49692000001</v>
      </c>
      <c r="E13" s="61">
        <v>103306.57981979432</v>
      </c>
      <c r="F13" s="61">
        <v>593568.4918800001</v>
      </c>
      <c r="G13" s="61">
        <v>730038.92656020506</v>
      </c>
      <c r="H13" s="62">
        <v>-0.13480893765241897</v>
      </c>
      <c r="I13" s="62">
        <v>0.22991522721828495</v>
      </c>
      <c r="J13" s="62">
        <v>0.1385481428538311</v>
      </c>
    </row>
    <row r="14" spans="1:10" ht="11.25" customHeight="1" x14ac:dyDescent="0.2">
      <c r="A14" s="71">
        <v>44256</v>
      </c>
      <c r="B14" s="61">
        <v>61832.000000000007</v>
      </c>
      <c r="C14" s="61">
        <v>67908.676311417847</v>
      </c>
      <c r="D14" s="61">
        <v>150273.12899999999</v>
      </c>
      <c r="E14" s="61">
        <v>114008.13958509789</v>
      </c>
      <c r="F14" s="61">
        <v>655056.43099999998</v>
      </c>
      <c r="G14" s="61">
        <v>805663.87917416391</v>
      </c>
      <c r="H14" s="62">
        <v>-0.14232712450571738</v>
      </c>
      <c r="I14" s="62">
        <v>0.22991522721828517</v>
      </c>
      <c r="J14" s="62">
        <v>0.13886585917240124</v>
      </c>
    </row>
    <row r="15" spans="1:10" ht="11.25" customHeight="1" x14ac:dyDescent="0.2">
      <c r="A15" s="71">
        <v>44287</v>
      </c>
      <c r="B15" s="61">
        <v>62492.800000000003</v>
      </c>
      <c r="C15" s="61">
        <v>68634.417890318495</v>
      </c>
      <c r="D15" s="61">
        <v>143833.07819999999</v>
      </c>
      <c r="E15" s="61">
        <v>109122.24803930115</v>
      </c>
      <c r="F15" s="61">
        <v>626983.56979999994</v>
      </c>
      <c r="G15" s="61">
        <v>771136.63971269852</v>
      </c>
      <c r="H15" s="62">
        <v>-0.13846645180730577</v>
      </c>
      <c r="I15" s="62">
        <v>0.22991522721828517</v>
      </c>
      <c r="J15" s="62">
        <v>0.13870460477764612</v>
      </c>
    </row>
    <row r="16" spans="1:10" ht="11.25" customHeight="1" x14ac:dyDescent="0.2">
      <c r="A16" s="71">
        <v>44317</v>
      </c>
      <c r="B16" s="61">
        <v>62687.500000000007</v>
      </c>
      <c r="C16" s="61">
        <v>68848.252462673147</v>
      </c>
      <c r="D16" s="61">
        <v>150636.39767999999</v>
      </c>
      <c r="E16" s="61">
        <v>114283.74166147666</v>
      </c>
      <c r="F16" s="61">
        <v>656639.95751999994</v>
      </c>
      <c r="G16" s="61">
        <v>807611.48255381582</v>
      </c>
      <c r="H16" s="62">
        <v>-0.14153080777260163</v>
      </c>
      <c r="I16" s="62">
        <v>0.22991522721828517</v>
      </c>
      <c r="J16" s="62">
        <v>0.1388329190414459</v>
      </c>
    </row>
    <row r="17" spans="1:10" ht="11.25" customHeight="1" x14ac:dyDescent="0.2">
      <c r="A17" s="71">
        <v>44348</v>
      </c>
      <c r="B17" s="61">
        <v>35400</v>
      </c>
      <c r="C17" s="61">
        <v>38879.013155391898</v>
      </c>
      <c r="D17" s="61">
        <v>11501.7492</v>
      </c>
      <c r="E17" s="61">
        <v>8726.0645798251007</v>
      </c>
      <c r="F17" s="61">
        <v>50137.338800000005</v>
      </c>
      <c r="G17" s="61">
        <v>61664.676442322147</v>
      </c>
      <c r="H17" s="62">
        <v>1.4995784746062224E-2</v>
      </c>
      <c r="I17" s="62">
        <v>0.22991522721828517</v>
      </c>
      <c r="J17" s="62">
        <v>0.12603855239796924</v>
      </c>
    </row>
    <row r="18" spans="1:10" ht="11.25" customHeight="1" x14ac:dyDescent="0.2">
      <c r="A18" s="71">
        <v>44378</v>
      </c>
      <c r="B18" s="61">
        <v>59590</v>
      </c>
      <c r="C18" s="61">
        <v>65446.338811576359</v>
      </c>
      <c r="D18" s="61">
        <v>86623.749180000013</v>
      </c>
      <c r="E18" s="61">
        <v>65719.084666813258</v>
      </c>
      <c r="F18" s="61">
        <v>377602.06602000003</v>
      </c>
      <c r="G18" s="61">
        <v>464418.53082708223</v>
      </c>
      <c r="H18" s="62">
        <v>-0.10292004538564137</v>
      </c>
      <c r="I18" s="62">
        <v>0.22991522721828517</v>
      </c>
      <c r="J18" s="62">
        <v>0.13701025632085906</v>
      </c>
    </row>
    <row r="19" spans="1:10" ht="11.25" customHeight="1" x14ac:dyDescent="0.2">
      <c r="A19" s="71">
        <v>44409</v>
      </c>
      <c r="B19" s="61">
        <v>59590</v>
      </c>
      <c r="C19" s="61">
        <v>65446.338811576359</v>
      </c>
      <c r="D19" s="61">
        <v>95410.74573000001</v>
      </c>
      <c r="E19" s="61">
        <v>72385.540179336531</v>
      </c>
      <c r="F19" s="61">
        <v>415905.51146999997</v>
      </c>
      <c r="G19" s="61">
        <v>511528.52164096216</v>
      </c>
      <c r="H19" s="62">
        <v>-0.11076634927288698</v>
      </c>
      <c r="I19" s="62">
        <v>0.22991522721828517</v>
      </c>
      <c r="J19" s="62">
        <v>0.13742036007216329</v>
      </c>
    </row>
    <row r="20" spans="1:10" ht="11.25" customHeight="1" x14ac:dyDescent="0.2">
      <c r="A20" s="71">
        <v>44440</v>
      </c>
      <c r="B20" s="61">
        <v>59590</v>
      </c>
      <c r="C20" s="61">
        <v>65446.338811576359</v>
      </c>
      <c r="D20" s="61">
        <v>90768.621599999999</v>
      </c>
      <c r="E20" s="61">
        <v>68863.686742822334</v>
      </c>
      <c r="F20" s="61">
        <v>395670.0024</v>
      </c>
      <c r="G20" s="61">
        <v>486640.56090525544</v>
      </c>
      <c r="H20" s="62">
        <v>-0.10673545603720358</v>
      </c>
      <c r="I20" s="62">
        <v>0.22991522721828517</v>
      </c>
      <c r="J20" s="62">
        <v>0.13721251811087121</v>
      </c>
    </row>
    <row r="21" spans="1:10" ht="11.25" customHeight="1" x14ac:dyDescent="0.2">
      <c r="A21" s="71">
        <v>44470</v>
      </c>
      <c r="B21" s="61">
        <v>59590</v>
      </c>
      <c r="C21" s="61">
        <v>65446.338811576359</v>
      </c>
      <c r="D21" s="61">
        <v>90768.621599999999</v>
      </c>
      <c r="E21" s="61">
        <v>68863.686742822334</v>
      </c>
      <c r="F21" s="61">
        <v>395670.0024</v>
      </c>
      <c r="G21" s="61">
        <v>486640.56090525544</v>
      </c>
      <c r="H21" s="62">
        <v>-0.10673545603720358</v>
      </c>
      <c r="I21" s="62">
        <v>0.22991522721828517</v>
      </c>
      <c r="J21" s="62">
        <v>0.13721251811087121</v>
      </c>
    </row>
    <row r="22" spans="1:10" ht="11.25" customHeight="1" x14ac:dyDescent="0.2">
      <c r="A22" s="70" t="s">
        <v>37</v>
      </c>
      <c r="B22" s="61">
        <v>783570.72</v>
      </c>
      <c r="C22" s="61">
        <v>860775.46476034867</v>
      </c>
      <c r="D22" s="61">
        <v>135895.83695999999</v>
      </c>
      <c r="E22" s="61">
        <v>103100.47878998637</v>
      </c>
      <c r="F22" s="61">
        <v>1002492.5414400001</v>
      </c>
      <c r="G22" s="61">
        <v>1170008.7359004882</v>
      </c>
      <c r="H22" s="62">
        <v>4.829907760556762E-2</v>
      </c>
      <c r="I22" s="62">
        <v>0.16709969155467697</v>
      </c>
      <c r="J22" s="62">
        <v>0.1102653959843618</v>
      </c>
    </row>
    <row r="23" spans="1:10" ht="11.25" customHeight="1" x14ac:dyDescent="0.2">
      <c r="A23" s="71">
        <v>44136</v>
      </c>
      <c r="B23" s="61">
        <v>66608</v>
      </c>
      <c r="C23" s="61">
        <v>73170.84558335373</v>
      </c>
      <c r="D23" s="61">
        <v>13172.236320000002</v>
      </c>
      <c r="E23" s="61">
        <v>9993.4177654506439</v>
      </c>
      <c r="F23" s="61">
        <v>97170.516480000006</v>
      </c>
      <c r="G23" s="61">
        <v>113407.67981201665</v>
      </c>
      <c r="H23" s="62">
        <v>4.2416858922690981E-2</v>
      </c>
      <c r="I23" s="62">
        <v>0.16709969155467674</v>
      </c>
      <c r="J23" s="62">
        <v>0.11088503467966615</v>
      </c>
    </row>
    <row r="24" spans="1:10" ht="11.25" customHeight="1" x14ac:dyDescent="0.2">
      <c r="A24" s="71">
        <v>44166</v>
      </c>
      <c r="B24" s="61">
        <v>66673.16</v>
      </c>
      <c r="C24" s="61">
        <v>73242.425758380923</v>
      </c>
      <c r="D24" s="61">
        <v>14689.479360000001</v>
      </c>
      <c r="E24" s="61">
        <v>11144.508831697345</v>
      </c>
      <c r="F24" s="61">
        <v>108363.09503999999</v>
      </c>
      <c r="G24" s="61">
        <v>126470.53479709412</v>
      </c>
      <c r="H24" s="62">
        <v>3.7170564449081622E-2</v>
      </c>
      <c r="I24" s="62">
        <v>0.16709969155467697</v>
      </c>
      <c r="J24" s="62">
        <v>0.11138043583808299</v>
      </c>
    </row>
    <row r="25" spans="1:10" ht="11.25" customHeight="1" x14ac:dyDescent="0.2">
      <c r="A25" s="71">
        <v>44197</v>
      </c>
      <c r="B25" s="61">
        <v>69026.16</v>
      </c>
      <c r="C25" s="61">
        <v>75827.265412140696</v>
      </c>
      <c r="D25" s="61">
        <v>12981.42</v>
      </c>
      <c r="E25" s="61">
        <v>9848.6506085381479</v>
      </c>
      <c r="F25" s="61">
        <v>95762.87999999999</v>
      </c>
      <c r="G25" s="61">
        <v>111764.82771038753</v>
      </c>
      <c r="H25" s="62">
        <v>4.473167017827917E-2</v>
      </c>
      <c r="I25" s="62">
        <v>0.16709969155467697</v>
      </c>
      <c r="J25" s="62">
        <v>0.11064990061378244</v>
      </c>
    </row>
    <row r="26" spans="1:10" ht="11.25" customHeight="1" x14ac:dyDescent="0.2">
      <c r="A26" s="71">
        <v>44228</v>
      </c>
      <c r="B26" s="61">
        <v>69837.040000000008</v>
      </c>
      <c r="C26" s="61">
        <v>76718.040923590219</v>
      </c>
      <c r="D26" s="61">
        <v>13277.776320000001</v>
      </c>
      <c r="E26" s="61">
        <v>10073.48809560136</v>
      </c>
      <c r="F26" s="61">
        <v>97949.076480000003</v>
      </c>
      <c r="G26" s="61">
        <v>114316.33694787345</v>
      </c>
      <c r="H26" s="62">
        <v>4.4236549654827817E-2</v>
      </c>
      <c r="I26" s="62">
        <v>0.16709969155467674</v>
      </c>
      <c r="J26" s="62">
        <v>0.11070110587540061</v>
      </c>
    </row>
    <row r="27" spans="1:10" ht="11.25" customHeight="1" x14ac:dyDescent="0.2">
      <c r="A27" s="71">
        <v>44256</v>
      </c>
      <c r="B27" s="61">
        <v>70083.199999999997</v>
      </c>
      <c r="C27" s="61">
        <v>76988.454918137402</v>
      </c>
      <c r="D27" s="61">
        <v>15345.516000000001</v>
      </c>
      <c r="E27" s="61">
        <v>11642.2260039142</v>
      </c>
      <c r="F27" s="61">
        <v>113202.624</v>
      </c>
      <c r="G27" s="61">
        <v>132118.74755358006</v>
      </c>
      <c r="H27" s="62">
        <v>3.7481131310127536E-2</v>
      </c>
      <c r="I27" s="62">
        <v>0.16709969155467697</v>
      </c>
      <c r="J27" s="62">
        <v>0.11135246067227689</v>
      </c>
    </row>
    <row r="28" spans="1:10" ht="11.25" customHeight="1" x14ac:dyDescent="0.2">
      <c r="A28" s="71">
        <v>44287</v>
      </c>
      <c r="B28" s="61">
        <v>70322.12</v>
      </c>
      <c r="C28" s="61">
        <v>77250.915559903777</v>
      </c>
      <c r="D28" s="61">
        <v>13679.039400000001</v>
      </c>
      <c r="E28" s="61">
        <v>10377.915490834384</v>
      </c>
      <c r="F28" s="61">
        <v>100909.16160000001</v>
      </c>
      <c r="G28" s="61">
        <v>117771.05137840105</v>
      </c>
      <c r="H28" s="62">
        <v>4.3185971201466167E-2</v>
      </c>
      <c r="I28" s="62">
        <v>0.16709969155467697</v>
      </c>
      <c r="J28" s="62">
        <v>0.11080810047990353</v>
      </c>
    </row>
    <row r="29" spans="1:10" ht="11.25" customHeight="1" x14ac:dyDescent="0.2">
      <c r="A29" s="71">
        <v>44317</v>
      </c>
      <c r="B29" s="61">
        <v>69837.040000000008</v>
      </c>
      <c r="C29" s="61">
        <v>76718.040923590219</v>
      </c>
      <c r="D29" s="61">
        <v>14307.213480000002</v>
      </c>
      <c r="E29" s="61">
        <v>10854.49409589145</v>
      </c>
      <c r="F29" s="61">
        <v>105543.15072000001</v>
      </c>
      <c r="G29" s="61">
        <v>123179.37865102077</v>
      </c>
      <c r="H29" s="62">
        <v>4.0742907539093043E-2</v>
      </c>
      <c r="I29" s="62">
        <v>0.16709969155467674</v>
      </c>
      <c r="J29" s="62">
        <v>0.11104854093681782</v>
      </c>
    </row>
    <row r="30" spans="1:10" ht="11.25" customHeight="1" x14ac:dyDescent="0.2">
      <c r="A30" s="71">
        <v>44348</v>
      </c>
      <c r="B30" s="61">
        <v>37648</v>
      </c>
      <c r="C30" s="61">
        <v>41357.434460156452</v>
      </c>
      <c r="D30" s="61">
        <v>835.45464000000004</v>
      </c>
      <c r="E30" s="61">
        <v>633.83673347307297</v>
      </c>
      <c r="F30" s="61">
        <v>6163.0809600000002</v>
      </c>
      <c r="G30" s="61">
        <v>7192.9298874425021</v>
      </c>
      <c r="H30" s="62">
        <v>9.1151290507673677E-2</v>
      </c>
      <c r="I30" s="62">
        <v>0.16709969155467697</v>
      </c>
      <c r="J30" s="62">
        <v>0.10163533228481936</v>
      </c>
    </row>
    <row r="31" spans="1:10" ht="11.25" customHeight="1" x14ac:dyDescent="0.2">
      <c r="A31" s="71">
        <v>44378</v>
      </c>
      <c r="B31" s="61">
        <v>65884</v>
      </c>
      <c r="C31" s="61">
        <v>72375.510305273798</v>
      </c>
      <c r="D31" s="61">
        <v>9120.6084900000005</v>
      </c>
      <c r="E31" s="61">
        <v>6919.557826129706</v>
      </c>
      <c r="F31" s="61">
        <v>67281.987359999985</v>
      </c>
      <c r="G31" s="61">
        <v>78524.786695041665</v>
      </c>
      <c r="H31" s="62">
        <v>5.720261364974033E-2</v>
      </c>
      <c r="I31" s="62">
        <v>0.16709969155467719</v>
      </c>
      <c r="J31" s="62">
        <v>0.10916881441749093</v>
      </c>
    </row>
    <row r="32" spans="1:10" ht="11.25" customHeight="1" x14ac:dyDescent="0.2">
      <c r="A32" s="71">
        <v>44409</v>
      </c>
      <c r="B32" s="61">
        <v>65884</v>
      </c>
      <c r="C32" s="61">
        <v>72375.510305273798</v>
      </c>
      <c r="D32" s="61">
        <v>10911.094590000001</v>
      </c>
      <c r="E32" s="61">
        <v>8277.9509771366138</v>
      </c>
      <c r="F32" s="61">
        <v>80490.257759999993</v>
      </c>
      <c r="G32" s="61">
        <v>93940.155004852437</v>
      </c>
      <c r="H32" s="62">
        <v>5.0242358747128124E-2</v>
      </c>
      <c r="I32" s="62">
        <v>0.16709969155467697</v>
      </c>
      <c r="J32" s="62">
        <v>0.11004371150053149</v>
      </c>
    </row>
    <row r="33" spans="1:10" ht="11.25" customHeight="1" x14ac:dyDescent="0.2">
      <c r="A33" s="71">
        <v>44440</v>
      </c>
      <c r="B33" s="61">
        <v>65884</v>
      </c>
      <c r="C33" s="61">
        <v>72375.510305273798</v>
      </c>
      <c r="D33" s="61">
        <v>8787.9991800000007</v>
      </c>
      <c r="E33" s="61">
        <v>6667.2161806597223</v>
      </c>
      <c r="F33" s="61">
        <v>64828.35551999999</v>
      </c>
      <c r="G33" s="61">
        <v>75661.153731388928</v>
      </c>
      <c r="H33" s="62">
        <v>5.8532346179693162E-2</v>
      </c>
      <c r="I33" s="62">
        <v>0.16709969155467697</v>
      </c>
      <c r="J33" s="62">
        <v>0.10898556888990085</v>
      </c>
    </row>
    <row r="34" spans="1:10" ht="11.25" customHeight="1" x14ac:dyDescent="0.2">
      <c r="A34" s="71">
        <v>44470</v>
      </c>
      <c r="B34" s="61">
        <v>65884</v>
      </c>
      <c r="C34" s="61">
        <v>72375.510305273798</v>
      </c>
      <c r="D34" s="61">
        <v>8787.9991800000007</v>
      </c>
      <c r="E34" s="61">
        <v>6667.2161806597223</v>
      </c>
      <c r="F34" s="61">
        <v>64828.35551999999</v>
      </c>
      <c r="G34" s="61">
        <v>75661.153731388928</v>
      </c>
      <c r="H34" s="62">
        <v>5.8532346179693162E-2</v>
      </c>
      <c r="I34" s="62">
        <v>0.16709969155467697</v>
      </c>
      <c r="J34" s="62">
        <v>0.10898556888990085</v>
      </c>
    </row>
    <row r="35" spans="1:10" ht="11.25" customHeight="1" x14ac:dyDescent="0.2">
      <c r="A35" s="66" t="s">
        <v>48</v>
      </c>
      <c r="B35" s="61">
        <v>1028784</v>
      </c>
      <c r="C35" s="61">
        <v>1130028.0491417586</v>
      </c>
      <c r="D35" s="61">
        <v>1549627.9890000003</v>
      </c>
      <c r="E35" s="61">
        <v>1175660.6470534499</v>
      </c>
      <c r="F35" s="61">
        <v>7141333.1079999991</v>
      </c>
      <c r="G35" s="61">
        <v>8723911.6645956412</v>
      </c>
      <c r="H35" s="62">
        <v>-0.10577180604507019</v>
      </c>
      <c r="I35" s="62">
        <v>0.22160828134774668</v>
      </c>
      <c r="J35" s="62">
        <v>0.13476230608096262</v>
      </c>
    </row>
    <row r="36" spans="1:10" ht="11.25" customHeight="1" x14ac:dyDescent="0.2">
      <c r="A36" s="67" t="s">
        <v>25</v>
      </c>
      <c r="B36" s="61">
        <v>1028784</v>
      </c>
      <c r="C36" s="61">
        <v>1130028.0491417586</v>
      </c>
      <c r="D36" s="61">
        <v>1549627.9890000003</v>
      </c>
      <c r="E36" s="61">
        <v>1175660.6470534499</v>
      </c>
      <c r="F36" s="61">
        <v>7141333.1079999991</v>
      </c>
      <c r="G36" s="61">
        <v>8723911.6645956412</v>
      </c>
      <c r="H36" s="62">
        <v>-0.10577180604507019</v>
      </c>
      <c r="I36" s="62">
        <v>0.22160828134774668</v>
      </c>
      <c r="J36" s="62">
        <v>0.13476230608096262</v>
      </c>
    </row>
    <row r="37" spans="1:10" ht="11.25" customHeight="1" x14ac:dyDescent="0.2">
      <c r="A37" s="68" t="s">
        <v>25</v>
      </c>
      <c r="B37" s="61">
        <v>1028784</v>
      </c>
      <c r="C37" s="61">
        <v>1130028.0491417586</v>
      </c>
      <c r="D37" s="61">
        <v>1549627.9890000003</v>
      </c>
      <c r="E37" s="61">
        <v>1175660.6470534499</v>
      </c>
      <c r="F37" s="61">
        <v>7141333.1079999991</v>
      </c>
      <c r="G37" s="61">
        <v>8723911.6645956412</v>
      </c>
      <c r="H37" s="62">
        <v>-0.10577180604507019</v>
      </c>
      <c r="I37" s="62">
        <v>0.22160828134774668</v>
      </c>
      <c r="J37" s="62">
        <v>0.13476230608096262</v>
      </c>
    </row>
    <row r="38" spans="1:10" ht="11.25" customHeight="1" x14ac:dyDescent="0.2">
      <c r="A38" s="69" t="s">
        <v>25</v>
      </c>
      <c r="B38" s="61">
        <v>1028784</v>
      </c>
      <c r="C38" s="61">
        <v>1130028.0491417586</v>
      </c>
      <c r="D38" s="61">
        <v>1549627.9890000003</v>
      </c>
      <c r="E38" s="61">
        <v>1175660.6470534499</v>
      </c>
      <c r="F38" s="61">
        <v>7141333.1079999991</v>
      </c>
      <c r="G38" s="61">
        <v>8723911.6645956412</v>
      </c>
      <c r="H38" s="62">
        <v>-0.10577180604507019</v>
      </c>
      <c r="I38" s="62">
        <v>0.22160828134774668</v>
      </c>
      <c r="J38" s="62">
        <v>0.13476230608096262</v>
      </c>
    </row>
    <row r="39" spans="1:10" ht="11.25" customHeight="1" x14ac:dyDescent="0.2">
      <c r="A39" s="70" t="s">
        <v>38</v>
      </c>
      <c r="B39" s="61">
        <v>481440</v>
      </c>
      <c r="C39" s="61">
        <v>528754.57891332998</v>
      </c>
      <c r="D39" s="61">
        <v>1421607.7579200002</v>
      </c>
      <c r="E39" s="61">
        <v>1078535.1764399703</v>
      </c>
      <c r="F39" s="61">
        <v>6196938.2708799988</v>
      </c>
      <c r="G39" s="61">
        <v>7621708.7414870616</v>
      </c>
      <c r="H39" s="62">
        <v>-0.15541281154707254</v>
      </c>
      <c r="I39" s="62">
        <v>0.22991522721828517</v>
      </c>
      <c r="J39" s="62">
        <v>0.13938449572950984</v>
      </c>
    </row>
    <row r="40" spans="1:10" ht="11.25" customHeight="1" x14ac:dyDescent="0.2">
      <c r="A40" s="71">
        <v>44136</v>
      </c>
      <c r="B40" s="61">
        <v>40120</v>
      </c>
      <c r="C40" s="61">
        <v>44062.88157611082</v>
      </c>
      <c r="D40" s="61">
        <v>121702.18452</v>
      </c>
      <c r="E40" s="61">
        <v>92332.140369337081</v>
      </c>
      <c r="F40" s="61">
        <v>530512.66827999998</v>
      </c>
      <c r="G40" s="61">
        <v>652485.60894977488</v>
      </c>
      <c r="H40" s="62">
        <v>-0.15713026399918306</v>
      </c>
      <c r="I40" s="62">
        <v>0.22991522721828517</v>
      </c>
      <c r="J40" s="62">
        <v>0.13944954194457204</v>
      </c>
    </row>
    <row r="41" spans="1:10" ht="11.25" customHeight="1" x14ac:dyDescent="0.2">
      <c r="A41" s="71">
        <v>44166</v>
      </c>
      <c r="B41" s="61">
        <v>40120</v>
      </c>
      <c r="C41" s="61">
        <v>44062.88157611082</v>
      </c>
      <c r="D41" s="61">
        <v>123307.55346</v>
      </c>
      <c r="E41" s="61">
        <v>93550.090161259635</v>
      </c>
      <c r="F41" s="61">
        <v>537510.64093999995</v>
      </c>
      <c r="G41" s="61">
        <v>661092.52208396618</v>
      </c>
      <c r="H41" s="62">
        <v>-0.15795734058362343</v>
      </c>
      <c r="I41" s="62">
        <v>0.22991522721828517</v>
      </c>
      <c r="J41" s="62">
        <v>0.13948062782486148</v>
      </c>
    </row>
    <row r="42" spans="1:10" ht="11.25" customHeight="1" x14ac:dyDescent="0.2">
      <c r="A42" s="71">
        <v>44197</v>
      </c>
      <c r="B42" s="61">
        <v>40120</v>
      </c>
      <c r="C42" s="61">
        <v>44062.88157611082</v>
      </c>
      <c r="D42" s="61">
        <v>117700.95204000002</v>
      </c>
      <c r="E42" s="61">
        <v>89296.51401266313</v>
      </c>
      <c r="F42" s="61">
        <v>513070.87356000004</v>
      </c>
      <c r="G42" s="61">
        <v>631033.68003363151</v>
      </c>
      <c r="H42" s="62">
        <v>-0.15499562089212482</v>
      </c>
      <c r="I42" s="62">
        <v>0.22991522721828517</v>
      </c>
      <c r="J42" s="62">
        <v>0.13936859334779372</v>
      </c>
    </row>
    <row r="43" spans="1:10" ht="11.25" customHeight="1" x14ac:dyDescent="0.2">
      <c r="A43" s="71">
        <v>44228</v>
      </c>
      <c r="B43" s="61">
        <v>40120</v>
      </c>
      <c r="C43" s="61">
        <v>44062.88157611082</v>
      </c>
      <c r="D43" s="61">
        <v>107250.17015999999</v>
      </c>
      <c r="E43" s="61">
        <v>81367.789780478852</v>
      </c>
      <c r="F43" s="61">
        <v>467514.81224</v>
      </c>
      <c r="G43" s="61">
        <v>575003.5865240735</v>
      </c>
      <c r="H43" s="62">
        <v>-0.1488734034817939</v>
      </c>
      <c r="I43" s="62">
        <v>0.22991522721828517</v>
      </c>
      <c r="J43" s="62">
        <v>0.13913053323688263</v>
      </c>
    </row>
    <row r="44" spans="1:10" ht="11.25" customHeight="1" x14ac:dyDescent="0.2">
      <c r="A44" s="71">
        <v>44256</v>
      </c>
      <c r="B44" s="61">
        <v>40120</v>
      </c>
      <c r="C44" s="61">
        <v>44062.88157611082</v>
      </c>
      <c r="D44" s="61">
        <v>119773.22994000002</v>
      </c>
      <c r="E44" s="61">
        <v>90868.69494517245</v>
      </c>
      <c r="F44" s="61">
        <v>522104.15166000003</v>
      </c>
      <c r="G44" s="61">
        <v>642143.84632051899</v>
      </c>
      <c r="H44" s="62">
        <v>-0.15611451109020447</v>
      </c>
      <c r="I44" s="62">
        <v>0.22991522721828517</v>
      </c>
      <c r="J44" s="62">
        <v>0.13941115289730921</v>
      </c>
    </row>
    <row r="45" spans="1:10" ht="11.25" customHeight="1" x14ac:dyDescent="0.2">
      <c r="A45" s="71">
        <v>44287</v>
      </c>
      <c r="B45" s="61">
        <v>40120</v>
      </c>
      <c r="C45" s="61">
        <v>44062.88157611082</v>
      </c>
      <c r="D45" s="61">
        <v>113127.16506</v>
      </c>
      <c r="E45" s="61">
        <v>85826.506114921503</v>
      </c>
      <c r="F45" s="61">
        <v>493133.25333999994</v>
      </c>
      <c r="G45" s="61">
        <v>606512.09733055823</v>
      </c>
      <c r="H45" s="62">
        <v>-0.15241898510698415</v>
      </c>
      <c r="I45" s="62">
        <v>0.22991522721828517</v>
      </c>
      <c r="J45" s="62">
        <v>0.13926948289123864</v>
      </c>
    </row>
    <row r="46" spans="1:10" ht="11.25" customHeight="1" x14ac:dyDescent="0.2">
      <c r="A46" s="71">
        <v>44317</v>
      </c>
      <c r="B46" s="61">
        <v>40120</v>
      </c>
      <c r="C46" s="61">
        <v>44062.88157611082</v>
      </c>
      <c r="D46" s="61">
        <v>115913.84322</v>
      </c>
      <c r="E46" s="61">
        <v>87940.683112221028</v>
      </c>
      <c r="F46" s="61">
        <v>505280.67757999996</v>
      </c>
      <c r="G46" s="61">
        <v>621452.3993748147</v>
      </c>
      <c r="H46" s="62">
        <v>-0.15400683618224176</v>
      </c>
      <c r="I46" s="62">
        <v>0.22991522721828517</v>
      </c>
      <c r="J46" s="62">
        <v>0.13933074258173272</v>
      </c>
    </row>
    <row r="47" spans="1:10" ht="11.25" customHeight="1" x14ac:dyDescent="0.2">
      <c r="A47" s="71">
        <v>44348</v>
      </c>
      <c r="B47" s="61">
        <v>40120</v>
      </c>
      <c r="C47" s="61">
        <v>44062.88157611082</v>
      </c>
      <c r="D47" s="61">
        <v>110736.47298000002</v>
      </c>
      <c r="E47" s="61">
        <v>84012.752996347481</v>
      </c>
      <c r="F47" s="61">
        <v>482711.97422000003</v>
      </c>
      <c r="G47" s="61">
        <v>593694.80745377834</v>
      </c>
      <c r="H47" s="62">
        <v>-0.15101001606051012</v>
      </c>
      <c r="I47" s="62">
        <v>0.22991522721828517</v>
      </c>
      <c r="J47" s="62">
        <v>0.13921462663748096</v>
      </c>
    </row>
    <row r="48" spans="1:10" ht="11.25" customHeight="1" x14ac:dyDescent="0.2">
      <c r="A48" s="71">
        <v>44378</v>
      </c>
      <c r="B48" s="61">
        <v>40120</v>
      </c>
      <c r="C48" s="61">
        <v>44062.88157611082</v>
      </c>
      <c r="D48" s="61">
        <v>117595.30649999999</v>
      </c>
      <c r="E48" s="61">
        <v>89216.363612182249</v>
      </c>
      <c r="F48" s="61">
        <v>512610.35349999997</v>
      </c>
      <c r="G48" s="61">
        <v>630467.2793993979</v>
      </c>
      <c r="H48" s="62">
        <v>-0.15493779173365729</v>
      </c>
      <c r="I48" s="62">
        <v>0.22991522721828517</v>
      </c>
      <c r="J48" s="62">
        <v>0.13936638586637273</v>
      </c>
    </row>
    <row r="49" spans="1:10" ht="11.25" customHeight="1" x14ac:dyDescent="0.2">
      <c r="A49" s="71">
        <v>44409</v>
      </c>
      <c r="B49" s="61">
        <v>40120</v>
      </c>
      <c r="C49" s="61">
        <v>44062.88157611082</v>
      </c>
      <c r="D49" s="61">
        <v>126241.24884</v>
      </c>
      <c r="E49" s="61">
        <v>95775.805128459106</v>
      </c>
      <c r="F49" s="61">
        <v>550298.92876000004</v>
      </c>
      <c r="G49" s="61">
        <v>676821.03200383426</v>
      </c>
      <c r="H49" s="62">
        <v>-0.1594275248615048</v>
      </c>
      <c r="I49" s="62">
        <v>0.22991522721828495</v>
      </c>
      <c r="J49" s="62">
        <v>0.13953550683294469</v>
      </c>
    </row>
    <row r="50" spans="1:10" ht="11.25" customHeight="1" x14ac:dyDescent="0.2">
      <c r="A50" s="71">
        <v>44440</v>
      </c>
      <c r="B50" s="61">
        <v>40120</v>
      </c>
      <c r="C50" s="61">
        <v>44062.88157611082</v>
      </c>
      <c r="D50" s="61">
        <v>124129.81560000002</v>
      </c>
      <c r="E50" s="61">
        <v>94173.918103463875</v>
      </c>
      <c r="F50" s="61">
        <v>541094.96840000001</v>
      </c>
      <c r="G50" s="61">
        <v>665500.94100635685</v>
      </c>
      <c r="H50" s="62">
        <v>-0.15837470395568176</v>
      </c>
      <c r="I50" s="62">
        <v>0.22991522721828517</v>
      </c>
      <c r="J50" s="62">
        <v>0.13949625618260986</v>
      </c>
    </row>
    <row r="51" spans="1:10" ht="11.25" customHeight="1" x14ac:dyDescent="0.2">
      <c r="A51" s="71">
        <v>44470</v>
      </c>
      <c r="B51" s="61">
        <v>40120</v>
      </c>
      <c r="C51" s="61">
        <v>44062.88157611082</v>
      </c>
      <c r="D51" s="61">
        <v>124129.81560000002</v>
      </c>
      <c r="E51" s="61">
        <v>94173.918103463875</v>
      </c>
      <c r="F51" s="61">
        <v>541094.96840000001</v>
      </c>
      <c r="G51" s="61">
        <v>665500.94100635685</v>
      </c>
      <c r="H51" s="62">
        <v>-0.15837470395568176</v>
      </c>
      <c r="I51" s="62">
        <v>0.22991522721828517</v>
      </c>
      <c r="J51" s="62">
        <v>0.13949625618260986</v>
      </c>
    </row>
    <row r="52" spans="1:10" ht="11.25" customHeight="1" x14ac:dyDescent="0.2">
      <c r="A52" s="70" t="s">
        <v>37</v>
      </c>
      <c r="B52" s="61">
        <v>547344</v>
      </c>
      <c r="C52" s="61">
        <v>601273.47022842849</v>
      </c>
      <c r="D52" s="61">
        <v>128020.23108000003</v>
      </c>
      <c r="E52" s="61">
        <v>97125.4706134796</v>
      </c>
      <c r="F52" s="61">
        <v>944394.83711999992</v>
      </c>
      <c r="G52" s="61">
        <v>1102202.923108581</v>
      </c>
      <c r="H52" s="62">
        <v>3.410709170231363E-2</v>
      </c>
      <c r="I52" s="62">
        <v>0.16709969155467652</v>
      </c>
      <c r="J52" s="62">
        <v>0.11164796005831623</v>
      </c>
    </row>
    <row r="53" spans="1:10" ht="11.25" customHeight="1" x14ac:dyDescent="0.2">
      <c r="A53" s="71">
        <v>44136</v>
      </c>
      <c r="B53" s="61">
        <v>45612</v>
      </c>
      <c r="C53" s="61">
        <v>50106.122519035707</v>
      </c>
      <c r="D53" s="61">
        <v>10386.508020000001</v>
      </c>
      <c r="E53" s="61">
        <v>7879.9614011224767</v>
      </c>
      <c r="F53" s="61">
        <v>76620.425279999996</v>
      </c>
      <c r="G53" s="61">
        <v>89423.674711076164</v>
      </c>
      <c r="H53" s="62">
        <v>3.5493372420713598E-2</v>
      </c>
      <c r="I53" s="62">
        <v>0.16709969155467697</v>
      </c>
      <c r="J53" s="62">
        <v>0.11152876111418952</v>
      </c>
    </row>
    <row r="54" spans="1:10" ht="11.25" customHeight="1" x14ac:dyDescent="0.2">
      <c r="A54" s="71">
        <v>44166</v>
      </c>
      <c r="B54" s="61">
        <v>45612</v>
      </c>
      <c r="C54" s="61">
        <v>50106.122519035707</v>
      </c>
      <c r="D54" s="61">
        <v>11356.526160000001</v>
      </c>
      <c r="E54" s="61">
        <v>8615.8878055377136</v>
      </c>
      <c r="F54" s="61">
        <v>83776.170239999992</v>
      </c>
      <c r="G54" s="61">
        <v>97775.142446736092</v>
      </c>
      <c r="H54" s="62">
        <v>3.0779875885302621E-2</v>
      </c>
      <c r="I54" s="62">
        <v>0.16709969155467697</v>
      </c>
      <c r="J54" s="62">
        <v>0.11192220221599425</v>
      </c>
    </row>
    <row r="55" spans="1:10" ht="11.25" customHeight="1" x14ac:dyDescent="0.2">
      <c r="A55" s="71">
        <v>44197</v>
      </c>
      <c r="B55" s="61">
        <v>45612</v>
      </c>
      <c r="C55" s="61">
        <v>50106.122519035707</v>
      </c>
      <c r="D55" s="61">
        <v>10014.901680000001</v>
      </c>
      <c r="E55" s="61">
        <v>7598.0337686618032</v>
      </c>
      <c r="F55" s="61">
        <v>73879.115519999992</v>
      </c>
      <c r="G55" s="61">
        <v>86224.292935724341</v>
      </c>
      <c r="H55" s="62">
        <v>3.7342626408480184E-2</v>
      </c>
      <c r="I55" s="62">
        <v>0.16709969155467697</v>
      </c>
      <c r="J55" s="62">
        <v>0.11136495689732206</v>
      </c>
    </row>
    <row r="56" spans="1:10" ht="11.25" customHeight="1" x14ac:dyDescent="0.2">
      <c r="A56" s="71">
        <v>44228</v>
      </c>
      <c r="B56" s="61">
        <v>45612</v>
      </c>
      <c r="C56" s="61">
        <v>50106.122519035707</v>
      </c>
      <c r="D56" s="61">
        <v>9733.4264999999996</v>
      </c>
      <c r="E56" s="61">
        <v>7384.4861981498416</v>
      </c>
      <c r="F56" s="61">
        <v>71802.695999999996</v>
      </c>
      <c r="G56" s="61">
        <v>83800.904354394224</v>
      </c>
      <c r="H56" s="62">
        <v>3.8759882303654125E-2</v>
      </c>
      <c r="I56" s="62">
        <v>0.16709969155467674</v>
      </c>
      <c r="J56" s="62">
        <v>0.11123554397415325</v>
      </c>
    </row>
    <row r="57" spans="1:10" ht="11.25" customHeight="1" x14ac:dyDescent="0.2">
      <c r="A57" s="71">
        <v>44256</v>
      </c>
      <c r="B57" s="61">
        <v>45612</v>
      </c>
      <c r="C57" s="61">
        <v>50106.122519035707</v>
      </c>
      <c r="D57" s="61">
        <v>11657.209620000001</v>
      </c>
      <c r="E57" s="61">
        <v>8844.0081761371057</v>
      </c>
      <c r="F57" s="61">
        <v>85994.287679999994</v>
      </c>
      <c r="G57" s="61">
        <v>100363.90662679214</v>
      </c>
      <c r="H57" s="62">
        <v>2.9351218330517792E-2</v>
      </c>
      <c r="I57" s="62">
        <v>0.16709969155467697</v>
      </c>
      <c r="J57" s="62">
        <v>0.11203509843372328</v>
      </c>
    </row>
    <row r="58" spans="1:10" ht="11.25" customHeight="1" x14ac:dyDescent="0.2">
      <c r="A58" s="71">
        <v>44287</v>
      </c>
      <c r="B58" s="61">
        <v>45612</v>
      </c>
      <c r="C58" s="61">
        <v>50106.122519035707</v>
      </c>
      <c r="D58" s="61">
        <v>9986.0892600000006</v>
      </c>
      <c r="E58" s="61">
        <v>7576.1745685306578</v>
      </c>
      <c r="F58" s="61">
        <v>73666.568639999998</v>
      </c>
      <c r="G58" s="61">
        <v>85976.22953763543</v>
      </c>
      <c r="H58" s="62">
        <v>3.7487040567522723E-2</v>
      </c>
      <c r="I58" s="62">
        <v>0.16709969155467697</v>
      </c>
      <c r="J58" s="62">
        <v>0.11135192680691586</v>
      </c>
    </row>
    <row r="59" spans="1:10" ht="11.25" customHeight="1" x14ac:dyDescent="0.2">
      <c r="A59" s="71">
        <v>44317</v>
      </c>
      <c r="B59" s="61">
        <v>45612</v>
      </c>
      <c r="C59" s="61">
        <v>50106.122519035707</v>
      </c>
      <c r="D59" s="61">
        <v>10280.1237</v>
      </c>
      <c r="E59" s="61">
        <v>7799.250508330555</v>
      </c>
      <c r="F59" s="61">
        <v>75835.636799999993</v>
      </c>
      <c r="G59" s="61">
        <v>88507.748318132493</v>
      </c>
      <c r="H59" s="62">
        <v>3.6020268941154399E-2</v>
      </c>
      <c r="I59" s="62">
        <v>0.16709969155467697</v>
      </c>
      <c r="J59" s="62">
        <v>0.11148265779177802</v>
      </c>
    </row>
    <row r="60" spans="1:10" ht="11.25" customHeight="1" x14ac:dyDescent="0.2">
      <c r="A60" s="71">
        <v>44348</v>
      </c>
      <c r="B60" s="61">
        <v>45612</v>
      </c>
      <c r="C60" s="61">
        <v>50106.122519035707</v>
      </c>
      <c r="D60" s="61">
        <v>10103.55528</v>
      </c>
      <c r="E60" s="61">
        <v>7665.292845988406</v>
      </c>
      <c r="F60" s="61">
        <v>74533.105919999987</v>
      </c>
      <c r="G60" s="61">
        <v>86987.564929844055</v>
      </c>
      <c r="H60" s="62">
        <v>3.6899211982943214E-2</v>
      </c>
      <c r="I60" s="62">
        <v>0.16709969155467697</v>
      </c>
      <c r="J60" s="62">
        <v>0.11140474659150046</v>
      </c>
    </row>
    <row r="61" spans="1:10" ht="11.25" customHeight="1" x14ac:dyDescent="0.2">
      <c r="A61" s="71">
        <v>44378</v>
      </c>
      <c r="B61" s="61">
        <v>45612</v>
      </c>
      <c r="C61" s="61">
        <v>50106.122519035707</v>
      </c>
      <c r="D61" s="61">
        <v>10795.79214</v>
      </c>
      <c r="E61" s="61">
        <v>8190.4741414469563</v>
      </c>
      <c r="F61" s="61">
        <v>79639.680959999998</v>
      </c>
      <c r="G61" s="61">
        <v>92947.44708392887</v>
      </c>
      <c r="H61" s="62">
        <v>3.3484815640271615E-2</v>
      </c>
      <c r="I61" s="62">
        <v>0.16709969155467697</v>
      </c>
      <c r="J61" s="62">
        <v>0.11170049908417967</v>
      </c>
    </row>
    <row r="62" spans="1:10" ht="11.25" customHeight="1" x14ac:dyDescent="0.2">
      <c r="A62" s="71">
        <v>44409</v>
      </c>
      <c r="B62" s="61">
        <v>45612</v>
      </c>
      <c r="C62" s="61">
        <v>50106.122519035707</v>
      </c>
      <c r="D62" s="61">
        <v>11634.30744</v>
      </c>
      <c r="E62" s="61">
        <v>8826.6329144943993</v>
      </c>
      <c r="F62" s="61">
        <v>85825.340159999992</v>
      </c>
      <c r="G62" s="61">
        <v>100166.72802831122</v>
      </c>
      <c r="H62" s="62">
        <v>2.945950697864097E-2</v>
      </c>
      <c r="I62" s="62">
        <v>0.16709969155467697</v>
      </c>
      <c r="J62" s="62">
        <v>0.11202663931467383</v>
      </c>
    </row>
    <row r="63" spans="1:10" ht="11.25" customHeight="1" x14ac:dyDescent="0.2">
      <c r="A63" s="71">
        <v>44440</v>
      </c>
      <c r="B63" s="61">
        <v>45612</v>
      </c>
      <c r="C63" s="61">
        <v>50106.122519035707</v>
      </c>
      <c r="D63" s="61">
        <v>11035.895640000001</v>
      </c>
      <c r="E63" s="61">
        <v>8372.6341425398368</v>
      </c>
      <c r="F63" s="61">
        <v>81410.90496</v>
      </c>
      <c r="G63" s="61">
        <v>95014.642068003115</v>
      </c>
      <c r="H63" s="62">
        <v>3.2320018261768224E-2</v>
      </c>
      <c r="I63" s="62">
        <v>0.16709969155467697</v>
      </c>
      <c r="J63" s="62">
        <v>0.111797278134391</v>
      </c>
    </row>
    <row r="64" spans="1:10" ht="11.25" customHeight="1" x14ac:dyDescent="0.2">
      <c r="A64" s="71">
        <v>44470</v>
      </c>
      <c r="B64" s="61">
        <v>45612</v>
      </c>
      <c r="C64" s="61">
        <v>50106.122519035707</v>
      </c>
      <c r="D64" s="61">
        <v>11035.895640000001</v>
      </c>
      <c r="E64" s="61">
        <v>8372.6341425398368</v>
      </c>
      <c r="F64" s="61">
        <v>81410.90496</v>
      </c>
      <c r="G64" s="61">
        <v>95014.642068003115</v>
      </c>
      <c r="H64" s="62">
        <v>3.2320018261768224E-2</v>
      </c>
      <c r="I64" s="62">
        <v>0.16709969155467697</v>
      </c>
      <c r="J64" s="62">
        <v>0.111797278134391</v>
      </c>
    </row>
    <row r="65" spans="1:10" ht="11.25" customHeight="1" x14ac:dyDescent="0.2">
      <c r="A65" s="64" t="s">
        <v>35</v>
      </c>
      <c r="B65" s="61">
        <v>200577909.93519998</v>
      </c>
      <c r="C65" s="61">
        <v>224209144.63873568</v>
      </c>
      <c r="D65" s="61">
        <v>243968055.86028668</v>
      </c>
      <c r="E65" s="61">
        <v>147182873.13299191</v>
      </c>
      <c r="F65" s="61">
        <v>269621981.4223581</v>
      </c>
      <c r="G65" s="61">
        <v>329636722.42265153</v>
      </c>
      <c r="H65" s="62">
        <v>-0.16455879403349138</v>
      </c>
      <c r="I65" s="62">
        <v>0.22258845767578972</v>
      </c>
      <c r="J65" s="62">
        <v>-1.8397923170105468E-2</v>
      </c>
    </row>
    <row r="66" spans="1:10" ht="11.25" customHeight="1" x14ac:dyDescent="0.2">
      <c r="A66" s="65" t="s">
        <v>44</v>
      </c>
      <c r="B66" s="61">
        <v>62116643.916099995</v>
      </c>
      <c r="C66" s="61">
        <v>69460908.784266025</v>
      </c>
      <c r="D66" s="61">
        <v>38378603.570456527</v>
      </c>
      <c r="E66" s="61">
        <v>13902734.908400534</v>
      </c>
      <c r="F66" s="61">
        <v>62330073.534751482</v>
      </c>
      <c r="G66" s="61">
        <v>76149435.63943772</v>
      </c>
      <c r="H66" s="62">
        <v>-0.17047178072954783</v>
      </c>
      <c r="I66" s="62">
        <v>0.22171259106539232</v>
      </c>
      <c r="J66" s="62">
        <v>-2.0342300991197049E-2</v>
      </c>
    </row>
    <row r="67" spans="1:10" ht="11.25" customHeight="1" x14ac:dyDescent="0.2">
      <c r="A67" s="66" t="s">
        <v>45</v>
      </c>
      <c r="B67" s="61">
        <v>14928580.339999998</v>
      </c>
      <c r="C67" s="61">
        <v>16693655.416125493</v>
      </c>
      <c r="D67" s="61">
        <v>9071336.2567099985</v>
      </c>
      <c r="E67" s="61">
        <v>3286111.830788048</v>
      </c>
      <c r="F67" s="61">
        <v>14703029.113010002</v>
      </c>
      <c r="G67" s="61">
        <v>17967175.513630297</v>
      </c>
      <c r="H67" s="62">
        <v>-0.16750680501729531</v>
      </c>
      <c r="I67" s="62">
        <v>0.22200502872785766</v>
      </c>
      <c r="J67" s="62">
        <v>-1.953347310683573E-2</v>
      </c>
    </row>
    <row r="68" spans="1:10" ht="11.25" customHeight="1" x14ac:dyDescent="0.2">
      <c r="A68" s="67" t="s">
        <v>25</v>
      </c>
      <c r="B68" s="61">
        <v>14928580.339999998</v>
      </c>
      <c r="C68" s="61">
        <v>16693655.416125493</v>
      </c>
      <c r="D68" s="61">
        <v>9071336.2567099985</v>
      </c>
      <c r="E68" s="61">
        <v>3286111.830788048</v>
      </c>
      <c r="F68" s="61">
        <v>14703029.113010002</v>
      </c>
      <c r="G68" s="61">
        <v>17967175.513630297</v>
      </c>
      <c r="H68" s="62">
        <v>-0.16750680501729531</v>
      </c>
      <c r="I68" s="62">
        <v>0.22200502872785766</v>
      </c>
      <c r="J68" s="62">
        <v>-1.953347310683573E-2</v>
      </c>
    </row>
    <row r="69" spans="1:10" ht="11.25" customHeight="1" x14ac:dyDescent="0.2">
      <c r="A69" s="68" t="s">
        <v>25</v>
      </c>
      <c r="B69" s="61">
        <v>14928580.339999998</v>
      </c>
      <c r="C69" s="61">
        <v>16693655.416125493</v>
      </c>
      <c r="D69" s="61">
        <v>9071336.2567099985</v>
      </c>
      <c r="E69" s="61">
        <v>3286111.830788048</v>
      </c>
      <c r="F69" s="61">
        <v>14703029.113010002</v>
      </c>
      <c r="G69" s="61">
        <v>17967175.513630297</v>
      </c>
      <c r="H69" s="62">
        <v>-0.16750680501729531</v>
      </c>
      <c r="I69" s="62">
        <v>0.22200502872785766</v>
      </c>
      <c r="J69" s="62">
        <v>-1.953347310683573E-2</v>
      </c>
    </row>
    <row r="70" spans="1:10" ht="11.25" customHeight="1" x14ac:dyDescent="0.2">
      <c r="A70" s="69" t="s">
        <v>25</v>
      </c>
      <c r="B70" s="61">
        <v>14928580.339999998</v>
      </c>
      <c r="C70" s="61">
        <v>16693655.416125493</v>
      </c>
      <c r="D70" s="61">
        <v>9071336.2567099985</v>
      </c>
      <c r="E70" s="61">
        <v>3286111.830788048</v>
      </c>
      <c r="F70" s="61">
        <v>14703029.113010002</v>
      </c>
      <c r="G70" s="61">
        <v>17967175.513630297</v>
      </c>
      <c r="H70" s="62">
        <v>-0.16750680501729531</v>
      </c>
      <c r="I70" s="62">
        <v>0.22200502872785766</v>
      </c>
      <c r="J70" s="62">
        <v>-1.953347310683573E-2</v>
      </c>
    </row>
    <row r="71" spans="1:10" ht="11.25" customHeight="1" x14ac:dyDescent="0.2">
      <c r="A71" s="70" t="s">
        <v>38</v>
      </c>
      <c r="B71" s="61">
        <v>5917789.8099999996</v>
      </c>
      <c r="C71" s="61">
        <v>6613889.6428170176</v>
      </c>
      <c r="D71" s="61">
        <v>8359657.9706900008</v>
      </c>
      <c r="E71" s="61">
        <v>3028304.7812835835</v>
      </c>
      <c r="F71" s="61">
        <v>12851514.555889999</v>
      </c>
      <c r="G71" s="61">
        <v>15806273.445106549</v>
      </c>
      <c r="H71" s="62">
        <v>-0.32465559866088201</v>
      </c>
      <c r="I71" s="62">
        <v>0.22991522721828561</v>
      </c>
      <c r="J71" s="62">
        <v>-6.1944664396798799E-2</v>
      </c>
    </row>
    <row r="72" spans="1:10" ht="11.25" customHeight="1" x14ac:dyDescent="0.2">
      <c r="A72" s="71">
        <v>44136</v>
      </c>
      <c r="B72" s="61">
        <v>541715.77</v>
      </c>
      <c r="C72" s="61">
        <v>605436.90052986948</v>
      </c>
      <c r="D72" s="61">
        <v>742568.95062999998</v>
      </c>
      <c r="E72" s="61">
        <v>268997.26179107709</v>
      </c>
      <c r="F72" s="61">
        <v>1141570.11103</v>
      </c>
      <c r="G72" s="61">
        <v>1404034.4624930653</v>
      </c>
      <c r="H72" s="62">
        <v>-0.31912748919725764</v>
      </c>
      <c r="I72" s="62">
        <v>0.22991522721828495</v>
      </c>
      <c r="J72" s="62">
        <v>-6.0756400144988065E-2</v>
      </c>
    </row>
    <row r="73" spans="1:10" ht="11.25" customHeight="1" x14ac:dyDescent="0.2">
      <c r="A73" s="71">
        <v>44166</v>
      </c>
      <c r="B73" s="61">
        <v>539944.43000000005</v>
      </c>
      <c r="C73" s="61">
        <v>603457.2007338223</v>
      </c>
      <c r="D73" s="61">
        <v>723554.56874999998</v>
      </c>
      <c r="E73" s="61">
        <v>262109.2594634408</v>
      </c>
      <c r="F73" s="61">
        <v>1112338.8187500001</v>
      </c>
      <c r="G73" s="61">
        <v>1368082.4510066251</v>
      </c>
      <c r="H73" s="62">
        <v>-0.31494487842603591</v>
      </c>
      <c r="I73" s="62">
        <v>0.22991522721828495</v>
      </c>
      <c r="J73" s="62">
        <v>-5.9847900916793817E-2</v>
      </c>
    </row>
    <row r="74" spans="1:10" ht="11.25" customHeight="1" x14ac:dyDescent="0.2">
      <c r="A74" s="71">
        <v>44197</v>
      </c>
      <c r="B74" s="61">
        <v>538430.22000000009</v>
      </c>
      <c r="C74" s="61">
        <v>601764.87671462051</v>
      </c>
      <c r="D74" s="61">
        <v>678537.48546999984</v>
      </c>
      <c r="E74" s="61">
        <v>245801.72044518916</v>
      </c>
      <c r="F74" s="61">
        <v>1043132.91307</v>
      </c>
      <c r="G74" s="61">
        <v>1282965.0537973605</v>
      </c>
      <c r="H74" s="62">
        <v>-0.30354224409556163</v>
      </c>
      <c r="I74" s="62">
        <v>0.22991522721828495</v>
      </c>
      <c r="J74" s="62">
        <v>-5.7328849220230849E-2</v>
      </c>
    </row>
    <row r="75" spans="1:10" ht="11.25" customHeight="1" x14ac:dyDescent="0.2">
      <c r="A75" s="71">
        <v>44228</v>
      </c>
      <c r="B75" s="61">
        <v>517602.69</v>
      </c>
      <c r="C75" s="61">
        <v>578487.4387901295</v>
      </c>
      <c r="D75" s="61">
        <v>588022.85698000004</v>
      </c>
      <c r="E75" s="61">
        <v>213012.59400085098</v>
      </c>
      <c r="F75" s="61">
        <v>903982.47537999996</v>
      </c>
      <c r="G75" s="61">
        <v>1111821.8116083406</v>
      </c>
      <c r="H75" s="62">
        <v>-0.28411564389684085</v>
      </c>
      <c r="I75" s="62">
        <v>0.22991522721828517</v>
      </c>
      <c r="J75" s="62">
        <v>-5.2889009586984503E-2</v>
      </c>
    </row>
    <row r="76" spans="1:10" ht="11.25" customHeight="1" x14ac:dyDescent="0.2">
      <c r="A76" s="71">
        <v>44256</v>
      </c>
      <c r="B76" s="61">
        <v>460891.23999999993</v>
      </c>
      <c r="C76" s="61">
        <v>515105.11467474571</v>
      </c>
      <c r="D76" s="61">
        <v>627963.89214000001</v>
      </c>
      <c r="E76" s="61">
        <v>227481.32324414325</v>
      </c>
      <c r="F76" s="61">
        <v>965384.8433399999</v>
      </c>
      <c r="G76" s="61">
        <v>1187341.5189496048</v>
      </c>
      <c r="H76" s="62">
        <v>-0.31801172075165396</v>
      </c>
      <c r="I76" s="62">
        <v>0.22991522721828539</v>
      </c>
      <c r="J76" s="62">
        <v>-6.0514847386542003E-2</v>
      </c>
    </row>
    <row r="77" spans="1:10" ht="11.25" customHeight="1" x14ac:dyDescent="0.2">
      <c r="A77" s="71">
        <v>44287</v>
      </c>
      <c r="B77" s="61">
        <v>467833.75000000006</v>
      </c>
      <c r="C77" s="61">
        <v>522864.26064957614</v>
      </c>
      <c r="D77" s="61">
        <v>648230.22823000001</v>
      </c>
      <c r="E77" s="61">
        <v>234822.84878210514</v>
      </c>
      <c r="F77" s="61">
        <v>996540.79663000011</v>
      </c>
      <c r="G77" s="61">
        <v>1225660.7003194774</v>
      </c>
      <c r="H77" s="62">
        <v>-0.32110781800043364</v>
      </c>
      <c r="I77" s="62">
        <v>0.22991522721828495</v>
      </c>
      <c r="J77" s="62">
        <v>-6.1183694483227358E-2</v>
      </c>
    </row>
    <row r="78" spans="1:10" ht="11.25" customHeight="1" x14ac:dyDescent="0.2">
      <c r="A78" s="71">
        <v>44317</v>
      </c>
      <c r="B78" s="61">
        <v>456548.60000000003</v>
      </c>
      <c r="C78" s="61">
        <v>510251.65711024287</v>
      </c>
      <c r="D78" s="61">
        <v>685089.33427999995</v>
      </c>
      <c r="E78" s="61">
        <v>248175.14231808583</v>
      </c>
      <c r="F78" s="61">
        <v>1053205.2366799999</v>
      </c>
      <c r="G78" s="61">
        <v>1295353.1579787701</v>
      </c>
      <c r="H78" s="62">
        <v>-0.33566783596180361</v>
      </c>
      <c r="I78" s="62">
        <v>0.22991522721828539</v>
      </c>
      <c r="J78" s="62">
        <v>-6.4270292939062945E-2</v>
      </c>
    </row>
    <row r="79" spans="1:10" ht="11.25" customHeight="1" x14ac:dyDescent="0.2">
      <c r="A79" s="71">
        <v>44348</v>
      </c>
      <c r="B79" s="61">
        <v>453863.02</v>
      </c>
      <c r="C79" s="61">
        <v>507250.17677430023</v>
      </c>
      <c r="D79" s="61">
        <v>665166.39904000005</v>
      </c>
      <c r="E79" s="61">
        <v>240958.01450543734</v>
      </c>
      <c r="F79" s="61">
        <v>1022577.20224</v>
      </c>
      <c r="G79" s="61">
        <v>1257683.2720412479</v>
      </c>
      <c r="H79" s="62">
        <v>-0.33137755044758788</v>
      </c>
      <c r="I79" s="62">
        <v>0.22991522721828517</v>
      </c>
      <c r="J79" s="62">
        <v>-6.3370722060011264E-2</v>
      </c>
    </row>
    <row r="80" spans="1:10" ht="11.25" customHeight="1" x14ac:dyDescent="0.2">
      <c r="A80" s="71">
        <v>44378</v>
      </c>
      <c r="B80" s="61">
        <v>373581.32</v>
      </c>
      <c r="C80" s="61">
        <v>417525.07311473938</v>
      </c>
      <c r="D80" s="61">
        <v>579144.11203999992</v>
      </c>
      <c r="E80" s="61">
        <v>209796.24880492664</v>
      </c>
      <c r="F80" s="61">
        <v>890332.95523999992</v>
      </c>
      <c r="G80" s="61">
        <v>1095034.0589439322</v>
      </c>
      <c r="H80" s="62">
        <v>-0.34155077546693624</v>
      </c>
      <c r="I80" s="62">
        <v>0.22991522721828561</v>
      </c>
      <c r="J80" s="62">
        <v>-6.5490603688652671E-2</v>
      </c>
    </row>
    <row r="81" spans="1:10" ht="11.25" customHeight="1" x14ac:dyDescent="0.2">
      <c r="A81" s="71">
        <v>44409</v>
      </c>
      <c r="B81" s="61">
        <v>531601.99</v>
      </c>
      <c r="C81" s="61">
        <v>594133.45330727717</v>
      </c>
      <c r="D81" s="61">
        <v>814324.01713000005</v>
      </c>
      <c r="E81" s="61">
        <v>294990.69498237973</v>
      </c>
      <c r="F81" s="61">
        <v>1251880.9975300001</v>
      </c>
      <c r="G81" s="61">
        <v>1539707.5015273634</v>
      </c>
      <c r="H81" s="62">
        <v>-0.33939596710402342</v>
      </c>
      <c r="I81" s="62">
        <v>0.22991522721828517</v>
      </c>
      <c r="J81" s="62">
        <v>-6.5045384256747329E-2</v>
      </c>
    </row>
    <row r="82" spans="1:10" ht="11.25" customHeight="1" x14ac:dyDescent="0.2">
      <c r="A82" s="71">
        <v>44440</v>
      </c>
      <c r="B82" s="61">
        <v>517888.39</v>
      </c>
      <c r="C82" s="61">
        <v>578806.74520884675</v>
      </c>
      <c r="D82" s="61">
        <v>803528.06299999985</v>
      </c>
      <c r="E82" s="61">
        <v>291079.83647297363</v>
      </c>
      <c r="F82" s="61">
        <v>1235284.1029999999</v>
      </c>
      <c r="G82" s="61">
        <v>1519294.7282203804</v>
      </c>
      <c r="H82" s="62">
        <v>-0.341701414639628</v>
      </c>
      <c r="I82" s="62">
        <v>0.22991522721828517</v>
      </c>
      <c r="J82" s="62">
        <v>-6.5521652782008277E-2</v>
      </c>
    </row>
    <row r="83" spans="1:10" ht="11.25" customHeight="1" x14ac:dyDescent="0.2">
      <c r="A83" s="71">
        <v>44470</v>
      </c>
      <c r="B83" s="61">
        <v>517888.39</v>
      </c>
      <c r="C83" s="61">
        <v>578806.74520884675</v>
      </c>
      <c r="D83" s="61">
        <v>803528.06299999985</v>
      </c>
      <c r="E83" s="61">
        <v>291079.83647297363</v>
      </c>
      <c r="F83" s="61">
        <v>1235284.1029999999</v>
      </c>
      <c r="G83" s="61">
        <v>1519294.7282203804</v>
      </c>
      <c r="H83" s="62">
        <v>-0.341701414639628</v>
      </c>
      <c r="I83" s="62">
        <v>0.22991522721828517</v>
      </c>
      <c r="J83" s="62">
        <v>-6.5521652782008277E-2</v>
      </c>
    </row>
    <row r="84" spans="1:10" ht="11.25" customHeight="1" x14ac:dyDescent="0.2">
      <c r="A84" s="70" t="s">
        <v>37</v>
      </c>
      <c r="B84" s="61">
        <v>9010790.5300000012</v>
      </c>
      <c r="C84" s="61">
        <v>10079765.773308475</v>
      </c>
      <c r="D84" s="61">
        <v>711678.28601999988</v>
      </c>
      <c r="E84" s="61">
        <v>257807.0495044649</v>
      </c>
      <c r="F84" s="61">
        <v>1851514.5571199998</v>
      </c>
      <c r="G84" s="61">
        <v>2160902.068523746</v>
      </c>
      <c r="H84" s="62">
        <v>6.3266236018100441E-2</v>
      </c>
      <c r="I84" s="62">
        <v>0.16709969155467674</v>
      </c>
      <c r="J84" s="62">
        <v>7.9876693130748411E-2</v>
      </c>
    </row>
    <row r="85" spans="1:10" ht="11.25" customHeight="1" x14ac:dyDescent="0.2">
      <c r="A85" s="71">
        <v>44136</v>
      </c>
      <c r="B85" s="61">
        <v>812919.59000000008</v>
      </c>
      <c r="C85" s="61">
        <v>909358.51104885899</v>
      </c>
      <c r="D85" s="61">
        <v>63616.840429999997</v>
      </c>
      <c r="E85" s="61">
        <v>23045.342610879867</v>
      </c>
      <c r="F85" s="61">
        <v>165506.67407999997</v>
      </c>
      <c r="G85" s="61">
        <v>193162.78826900842</v>
      </c>
      <c r="H85" s="62">
        <v>6.373656734647315E-2</v>
      </c>
      <c r="I85" s="62">
        <v>0.16709969155467697</v>
      </c>
      <c r="J85" s="62">
        <v>8.0153629976777774E-2</v>
      </c>
    </row>
    <row r="86" spans="1:10" ht="11.25" customHeight="1" x14ac:dyDescent="0.2">
      <c r="A86" s="71">
        <v>44166</v>
      </c>
      <c r="B86" s="61">
        <v>801950.66</v>
      </c>
      <c r="C86" s="61">
        <v>897088.30625209783</v>
      </c>
      <c r="D86" s="61">
        <v>65707.919679999992</v>
      </c>
      <c r="E86" s="61">
        <v>23802.840742145541</v>
      </c>
      <c r="F86" s="61">
        <v>170946.86207999999</v>
      </c>
      <c r="G86" s="61">
        <v>199512.03000580784</v>
      </c>
      <c r="H86" s="62">
        <v>6.135197479851584E-2</v>
      </c>
      <c r="I86" s="62">
        <v>0.16709969155467674</v>
      </c>
      <c r="J86" s="62">
        <v>7.8757275815384054E-2</v>
      </c>
    </row>
    <row r="87" spans="1:10" ht="11.25" customHeight="1" x14ac:dyDescent="0.2">
      <c r="A87" s="71">
        <v>44197</v>
      </c>
      <c r="B87" s="61">
        <v>808680.39</v>
      </c>
      <c r="C87" s="61">
        <v>904616.40291484504</v>
      </c>
      <c r="D87" s="61">
        <v>55637.072530000005</v>
      </c>
      <c r="E87" s="61">
        <v>20154.653856647416</v>
      </c>
      <c r="F87" s="61">
        <v>144746.37168000001</v>
      </c>
      <c r="G87" s="61">
        <v>168933.44574138662</v>
      </c>
      <c r="H87" s="62">
        <v>6.994373810814225E-2</v>
      </c>
      <c r="I87" s="62">
        <v>0.16709969155467674</v>
      </c>
      <c r="J87" s="62">
        <v>8.3880390351265266E-2</v>
      </c>
    </row>
    <row r="88" spans="1:10" ht="11.25" customHeight="1" x14ac:dyDescent="0.2">
      <c r="A88" s="71">
        <v>44228</v>
      </c>
      <c r="B88" s="61">
        <v>786477.58000000007</v>
      </c>
      <c r="C88" s="61">
        <v>879779.61156294681</v>
      </c>
      <c r="D88" s="61">
        <v>48148.689550000003</v>
      </c>
      <c r="E88" s="61">
        <v>17441.970387787165</v>
      </c>
      <c r="F88" s="61">
        <v>125264.46479999999</v>
      </c>
      <c r="G88" s="61">
        <v>146196.11823084168</v>
      </c>
      <c r="H88" s="62">
        <v>7.4998013703166944E-2</v>
      </c>
      <c r="I88" s="62">
        <v>0.16709969155467697</v>
      </c>
      <c r="J88" s="62">
        <v>8.701716022723871E-2</v>
      </c>
    </row>
    <row r="89" spans="1:10" ht="11.25" customHeight="1" x14ac:dyDescent="0.2">
      <c r="A89" s="71">
        <v>44256</v>
      </c>
      <c r="B89" s="61">
        <v>678642.93</v>
      </c>
      <c r="C89" s="61">
        <v>759152.23590396566</v>
      </c>
      <c r="D89" s="61">
        <v>55557.170109999999</v>
      </c>
      <c r="E89" s="61">
        <v>20125.709026443776</v>
      </c>
      <c r="F89" s="61">
        <v>144538.49615999998</v>
      </c>
      <c r="G89" s="61">
        <v>168690.83428611283</v>
      </c>
      <c r="H89" s="62">
        <v>6.1397219659403035E-2</v>
      </c>
      <c r="I89" s="62">
        <v>0.16709969155467697</v>
      </c>
      <c r="J89" s="62">
        <v>7.8783591889994398E-2</v>
      </c>
    </row>
    <row r="90" spans="1:10" ht="11.25" customHeight="1" x14ac:dyDescent="0.2">
      <c r="A90" s="71">
        <v>44287</v>
      </c>
      <c r="B90" s="61">
        <v>684789.77</v>
      </c>
      <c r="C90" s="61">
        <v>766028.29269828601</v>
      </c>
      <c r="D90" s="61">
        <v>53673.926930000001</v>
      </c>
      <c r="E90" s="61">
        <v>19443.499975988692</v>
      </c>
      <c r="F90" s="61">
        <v>139639.01808000001</v>
      </c>
      <c r="G90" s="61">
        <v>162972.65493016594</v>
      </c>
      <c r="H90" s="62">
        <v>6.3656610256808133E-2</v>
      </c>
      <c r="I90" s="62">
        <v>0.16709969155467674</v>
      </c>
      <c r="J90" s="62">
        <v>8.0106497101127383E-2</v>
      </c>
    </row>
    <row r="91" spans="1:10" ht="11.25" customHeight="1" x14ac:dyDescent="0.2">
      <c r="A91" s="71">
        <v>44317</v>
      </c>
      <c r="B91" s="61">
        <v>661368.19000000006</v>
      </c>
      <c r="C91" s="61">
        <v>739828.14525785868</v>
      </c>
      <c r="D91" s="61">
        <v>56356.643199999999</v>
      </c>
      <c r="E91" s="61">
        <v>20415.319939885812</v>
      </c>
      <c r="F91" s="61">
        <v>146618.41919999997</v>
      </c>
      <c r="G91" s="61">
        <v>171118.31182455432</v>
      </c>
      <c r="H91" s="62">
        <v>5.9240853919145797E-2</v>
      </c>
      <c r="I91" s="62">
        <v>0.16709969155467719</v>
      </c>
      <c r="J91" s="62">
        <v>7.7536932736167241E-2</v>
      </c>
    </row>
    <row r="92" spans="1:10" ht="11.25" customHeight="1" x14ac:dyDescent="0.2">
      <c r="A92" s="71">
        <v>44348</v>
      </c>
      <c r="B92" s="61">
        <v>652041.95000000007</v>
      </c>
      <c r="C92" s="61">
        <v>729395.50736302778</v>
      </c>
      <c r="D92" s="61">
        <v>56241.727359999997</v>
      </c>
      <c r="E92" s="61">
        <v>20373.691420042378</v>
      </c>
      <c r="F92" s="61">
        <v>146319.45215999999</v>
      </c>
      <c r="G92" s="61">
        <v>170769.38748438531</v>
      </c>
      <c r="H92" s="62">
        <v>5.8571900989868864E-2</v>
      </c>
      <c r="I92" s="62">
        <v>0.16709969155467697</v>
      </c>
      <c r="J92" s="62">
        <v>7.7153305984836384E-2</v>
      </c>
    </row>
    <row r="93" spans="1:10" ht="11.25" customHeight="1" x14ac:dyDescent="0.2">
      <c r="A93" s="71">
        <v>44378</v>
      </c>
      <c r="B93" s="61">
        <v>550937.03000000014</v>
      </c>
      <c r="C93" s="61">
        <v>616296.22836679395</v>
      </c>
      <c r="D93" s="61">
        <v>47601.791899999989</v>
      </c>
      <c r="E93" s="61">
        <v>17243.855491917679</v>
      </c>
      <c r="F93" s="61">
        <v>123841.6464</v>
      </c>
      <c r="G93" s="61">
        <v>144535.54731506333</v>
      </c>
      <c r="H93" s="62">
        <v>5.8477847514725401E-2</v>
      </c>
      <c r="I93" s="62">
        <v>0.16709969155467674</v>
      </c>
      <c r="J93" s="62">
        <v>7.7099486098847647E-2</v>
      </c>
    </row>
    <row r="94" spans="1:10" ht="11.25" customHeight="1" x14ac:dyDescent="0.2">
      <c r="A94" s="71">
        <v>44409</v>
      </c>
      <c r="B94" s="61">
        <v>854198.8</v>
      </c>
      <c r="C94" s="61">
        <v>955534.78900382039</v>
      </c>
      <c r="D94" s="61">
        <v>71528.676309999995</v>
      </c>
      <c r="E94" s="61">
        <v>25911.42283905904</v>
      </c>
      <c r="F94" s="61">
        <v>186090.24335999999</v>
      </c>
      <c r="G94" s="61">
        <v>217185.86562679074</v>
      </c>
      <c r="H94" s="62">
        <v>6.0189134446972714E-2</v>
      </c>
      <c r="I94" s="62">
        <v>0.16709969155467674</v>
      </c>
      <c r="J94" s="62">
        <v>7.8083265146590364E-2</v>
      </c>
    </row>
    <row r="95" spans="1:10" ht="11.25" customHeight="1" x14ac:dyDescent="0.2">
      <c r="A95" s="71">
        <v>44440</v>
      </c>
      <c r="B95" s="61">
        <v>859391.82000000007</v>
      </c>
      <c r="C95" s="61">
        <v>961343.87146798754</v>
      </c>
      <c r="D95" s="61">
        <v>68803.914009999993</v>
      </c>
      <c r="E95" s="61">
        <v>24924.371606833782</v>
      </c>
      <c r="F95" s="61">
        <v>179001.45455999998</v>
      </c>
      <c r="G95" s="61">
        <v>208912.54240481445</v>
      </c>
      <c r="H95" s="62">
        <v>6.2564938554431793E-2</v>
      </c>
      <c r="I95" s="62">
        <v>0.16709969155467674</v>
      </c>
      <c r="J95" s="62">
        <v>7.9465155636161633E-2</v>
      </c>
    </row>
    <row r="96" spans="1:10" ht="11.25" customHeight="1" x14ac:dyDescent="0.2">
      <c r="A96" s="71">
        <v>44470</v>
      </c>
      <c r="B96" s="61">
        <v>859391.82000000007</v>
      </c>
      <c r="C96" s="61">
        <v>961343.87146798754</v>
      </c>
      <c r="D96" s="61">
        <v>68803.914009999993</v>
      </c>
      <c r="E96" s="61">
        <v>24924.371606833782</v>
      </c>
      <c r="F96" s="61">
        <v>179001.45455999998</v>
      </c>
      <c r="G96" s="61">
        <v>208912.54240481445</v>
      </c>
      <c r="H96" s="62">
        <v>6.2564938554431793E-2</v>
      </c>
      <c r="I96" s="62">
        <v>0.16709969155467674</v>
      </c>
      <c r="J96" s="62">
        <v>7.9465155636161633E-2</v>
      </c>
    </row>
    <row r="97" spans="1:10" ht="11.25" customHeight="1" x14ac:dyDescent="0.2">
      <c r="A97" s="66" t="s">
        <v>42</v>
      </c>
      <c r="B97" s="61">
        <v>22044137.610000003</v>
      </c>
      <c r="C97" s="61">
        <v>24650494.385356631</v>
      </c>
      <c r="D97" s="61">
        <v>14007898.392929999</v>
      </c>
      <c r="E97" s="61">
        <v>5074392.4964125315</v>
      </c>
      <c r="F97" s="61">
        <v>22776042.391580001</v>
      </c>
      <c r="G97" s="61">
        <v>27821992.972608689</v>
      </c>
      <c r="H97" s="62">
        <v>-0.1755004660665106</v>
      </c>
      <c r="I97" s="62">
        <v>0.22154641681269971</v>
      </c>
      <c r="J97" s="62">
        <v>-2.1778690977125259E-2</v>
      </c>
    </row>
    <row r="98" spans="1:10" ht="11.25" customHeight="1" x14ac:dyDescent="0.2">
      <c r="A98" s="67" t="s">
        <v>25</v>
      </c>
      <c r="B98" s="61">
        <v>22044137.610000003</v>
      </c>
      <c r="C98" s="61">
        <v>24650494.385356631</v>
      </c>
      <c r="D98" s="61">
        <v>14007898.392929999</v>
      </c>
      <c r="E98" s="61">
        <v>5074392.4964125315</v>
      </c>
      <c r="F98" s="61">
        <v>22776042.391580001</v>
      </c>
      <c r="G98" s="61">
        <v>27821992.972608689</v>
      </c>
      <c r="H98" s="62">
        <v>-0.1755004660665106</v>
      </c>
      <c r="I98" s="62">
        <v>0.22154641681269971</v>
      </c>
      <c r="J98" s="62">
        <v>-2.1778690977125259E-2</v>
      </c>
    </row>
    <row r="99" spans="1:10" ht="11.25" customHeight="1" x14ac:dyDescent="0.2">
      <c r="A99" s="68" t="s">
        <v>25</v>
      </c>
      <c r="B99" s="61">
        <v>22044137.610000003</v>
      </c>
      <c r="C99" s="61">
        <v>24650494.385356631</v>
      </c>
      <c r="D99" s="61">
        <v>14007898.392929999</v>
      </c>
      <c r="E99" s="61">
        <v>5074392.4964125315</v>
      </c>
      <c r="F99" s="61">
        <v>22776042.391580001</v>
      </c>
      <c r="G99" s="61">
        <v>27821992.972608689</v>
      </c>
      <c r="H99" s="62">
        <v>-0.1755004660665106</v>
      </c>
      <c r="I99" s="62">
        <v>0.22154641681269971</v>
      </c>
      <c r="J99" s="62">
        <v>-2.1778690977125259E-2</v>
      </c>
    </row>
    <row r="100" spans="1:10" ht="11.25" customHeight="1" x14ac:dyDescent="0.2">
      <c r="A100" s="69" t="s">
        <v>25</v>
      </c>
      <c r="B100" s="61">
        <v>22044137.610000003</v>
      </c>
      <c r="C100" s="61">
        <v>24650494.385356631</v>
      </c>
      <c r="D100" s="61">
        <v>14007898.392929999</v>
      </c>
      <c r="E100" s="61">
        <v>5074392.4964125315</v>
      </c>
      <c r="F100" s="61">
        <v>22776042.391580001</v>
      </c>
      <c r="G100" s="61">
        <v>27821992.972608689</v>
      </c>
      <c r="H100" s="62">
        <v>-0.1755004660665106</v>
      </c>
      <c r="I100" s="62">
        <v>0.22154641681269971</v>
      </c>
      <c r="J100" s="62">
        <v>-2.1778690977125259E-2</v>
      </c>
    </row>
    <row r="101" spans="1:10" ht="11.25" customHeight="1" x14ac:dyDescent="0.2">
      <c r="A101" s="70" t="s">
        <v>38</v>
      </c>
      <c r="B101" s="61">
        <v>8761876.1699999999</v>
      </c>
      <c r="C101" s="61">
        <v>9792521.17986398</v>
      </c>
      <c r="D101" s="61">
        <v>12841541.371099999</v>
      </c>
      <c r="E101" s="61">
        <v>4651877.058786327</v>
      </c>
      <c r="F101" s="61">
        <v>19741627.759100001</v>
      </c>
      <c r="G101" s="61">
        <v>24280528.590992279</v>
      </c>
      <c r="H101" s="62">
        <v>-0.33138364746363957</v>
      </c>
      <c r="I101" s="62">
        <v>0.22991522721828539</v>
      </c>
      <c r="J101" s="62">
        <v>-6.3372006283537119E-2</v>
      </c>
    </row>
    <row r="102" spans="1:10" ht="11.25" customHeight="1" x14ac:dyDescent="0.2">
      <c r="A102" s="71">
        <v>44136</v>
      </c>
      <c r="B102" s="61">
        <v>574142.71999999997</v>
      </c>
      <c r="C102" s="61">
        <v>641678.17905428295</v>
      </c>
      <c r="D102" s="61">
        <v>1224201.4361200002</v>
      </c>
      <c r="E102" s="61">
        <v>443469.70596817753</v>
      </c>
      <c r="F102" s="61">
        <v>1881995.96572</v>
      </c>
      <c r="G102" s="61">
        <v>2314695.4958024099</v>
      </c>
      <c r="H102" s="62">
        <v>-0.39658497438904539</v>
      </c>
      <c r="I102" s="62">
        <v>0.22991522721828517</v>
      </c>
      <c r="J102" s="62">
        <v>-7.6214896376179064E-2</v>
      </c>
    </row>
    <row r="103" spans="1:10" ht="11.25" customHeight="1" x14ac:dyDescent="0.2">
      <c r="A103" s="71">
        <v>44166</v>
      </c>
      <c r="B103" s="61">
        <v>759104.9</v>
      </c>
      <c r="C103" s="61">
        <v>848397.15453186189</v>
      </c>
      <c r="D103" s="61">
        <v>1128881.8890699998</v>
      </c>
      <c r="E103" s="61">
        <v>408939.98703788547</v>
      </c>
      <c r="F103" s="61">
        <v>1735458.80467</v>
      </c>
      <c r="G103" s="61">
        <v>2134467.2100736764</v>
      </c>
      <c r="H103" s="62">
        <v>-0.33403287096669954</v>
      </c>
      <c r="I103" s="62">
        <v>0.22991522721828517</v>
      </c>
      <c r="J103" s="62">
        <v>-6.3928444930087647E-2</v>
      </c>
    </row>
    <row r="104" spans="1:10" ht="11.25" customHeight="1" x14ac:dyDescent="0.2">
      <c r="A104" s="71">
        <v>44197</v>
      </c>
      <c r="B104" s="61">
        <v>910725.89</v>
      </c>
      <c r="C104" s="61">
        <v>1017853.0709451322</v>
      </c>
      <c r="D104" s="61">
        <v>1026079.1960899999</v>
      </c>
      <c r="E104" s="61">
        <v>371699.4817717991</v>
      </c>
      <c r="F104" s="61">
        <v>1577417.6132900002</v>
      </c>
      <c r="G104" s="61">
        <v>1940089.9422676957</v>
      </c>
      <c r="H104" s="62">
        <v>-0.28255426284420582</v>
      </c>
      <c r="I104" s="62">
        <v>0.22991522721828517</v>
      </c>
      <c r="J104" s="62">
        <v>-5.252376419625826E-2</v>
      </c>
    </row>
    <row r="105" spans="1:10" ht="11.25" customHeight="1" x14ac:dyDescent="0.2">
      <c r="A105" s="71">
        <v>44228</v>
      </c>
      <c r="B105" s="61">
        <v>838443.78999999992</v>
      </c>
      <c r="C105" s="61">
        <v>937068.54700965551</v>
      </c>
      <c r="D105" s="61">
        <v>1073065.41017</v>
      </c>
      <c r="E105" s="61">
        <v>388720.34282278462</v>
      </c>
      <c r="F105" s="61">
        <v>1649650.71377</v>
      </c>
      <c r="G105" s="61">
        <v>2028930.5324572357</v>
      </c>
      <c r="H105" s="62">
        <v>-0.30641773018171659</v>
      </c>
      <c r="I105" s="62">
        <v>0.22991522721828517</v>
      </c>
      <c r="J105" s="62">
        <v>-5.7970014444513551E-2</v>
      </c>
    </row>
    <row r="106" spans="1:10" ht="11.25" customHeight="1" x14ac:dyDescent="0.2">
      <c r="A106" s="71">
        <v>44256</v>
      </c>
      <c r="B106" s="61">
        <v>881784.48</v>
      </c>
      <c r="C106" s="61">
        <v>985507.33072906977</v>
      </c>
      <c r="D106" s="61">
        <v>1297972.7668700002</v>
      </c>
      <c r="E106" s="61">
        <v>470193.53538980614</v>
      </c>
      <c r="F106" s="61">
        <v>1995406.5064700001</v>
      </c>
      <c r="G106" s="61">
        <v>2454180.8467978947</v>
      </c>
      <c r="H106" s="62">
        <v>-0.33217294347378612</v>
      </c>
      <c r="I106" s="62">
        <v>0.22991522721828517</v>
      </c>
      <c r="J106" s="62">
        <v>-6.3538116369929787E-2</v>
      </c>
    </row>
    <row r="107" spans="1:10" ht="11.25" customHeight="1" x14ac:dyDescent="0.2">
      <c r="A107" s="71">
        <v>44287</v>
      </c>
      <c r="B107" s="61">
        <v>815130.67</v>
      </c>
      <c r="C107" s="61">
        <v>911013.14324232412</v>
      </c>
      <c r="D107" s="61">
        <v>1084615.64913</v>
      </c>
      <c r="E107" s="61">
        <v>392904.44269746507</v>
      </c>
      <c r="F107" s="61">
        <v>1667407.1895299999</v>
      </c>
      <c r="G107" s="61">
        <v>2050769.4923761922</v>
      </c>
      <c r="H107" s="62">
        <v>-0.31363594559460661</v>
      </c>
      <c r="I107" s="62">
        <v>0.22991522721828517</v>
      </c>
      <c r="J107" s="62">
        <v>-5.9561897134006725E-2</v>
      </c>
    </row>
    <row r="108" spans="1:10" ht="11.25" customHeight="1" x14ac:dyDescent="0.2">
      <c r="A108" s="71">
        <v>44317</v>
      </c>
      <c r="B108" s="61">
        <v>788360.58</v>
      </c>
      <c r="C108" s="61">
        <v>881094.13180851331</v>
      </c>
      <c r="D108" s="61">
        <v>1131976.0878399997</v>
      </c>
      <c r="E108" s="61">
        <v>410060.86745695118</v>
      </c>
      <c r="F108" s="61">
        <v>1740215.59504</v>
      </c>
      <c r="G108" s="61">
        <v>2140317.6589824245</v>
      </c>
      <c r="H108" s="62">
        <v>-0.32764133451778565</v>
      </c>
      <c r="I108" s="62">
        <v>0.22991522721828495</v>
      </c>
      <c r="J108" s="62">
        <v>-6.2580613028013099E-2</v>
      </c>
    </row>
    <row r="109" spans="1:10" ht="11.25" customHeight="1" x14ac:dyDescent="0.2">
      <c r="A109" s="71">
        <v>44348</v>
      </c>
      <c r="B109" s="61">
        <v>611112.30000000005</v>
      </c>
      <c r="C109" s="61">
        <v>682996.42963630136</v>
      </c>
      <c r="D109" s="61">
        <v>817898.37856999994</v>
      </c>
      <c r="E109" s="61">
        <v>296285.5154016767</v>
      </c>
      <c r="F109" s="61">
        <v>1257375.9541699998</v>
      </c>
      <c r="G109" s="61">
        <v>1546465.8323718037</v>
      </c>
      <c r="H109" s="62">
        <v>-0.31471334698636544</v>
      </c>
      <c r="I109" s="62">
        <v>0.22991522721828539</v>
      </c>
      <c r="J109" s="62">
        <v>-5.9797369958758839E-2</v>
      </c>
    </row>
    <row r="110" spans="1:10" ht="11.25" customHeight="1" x14ac:dyDescent="0.2">
      <c r="A110" s="71">
        <v>44378</v>
      </c>
      <c r="B110" s="61">
        <v>620111.85</v>
      </c>
      <c r="C110" s="61">
        <v>693054.58182589617</v>
      </c>
      <c r="D110" s="61">
        <v>979286.45360000001</v>
      </c>
      <c r="E110" s="61">
        <v>354748.70623664372</v>
      </c>
      <c r="F110" s="61">
        <v>1505481.9416</v>
      </c>
      <c r="G110" s="61">
        <v>1851615.1642759892</v>
      </c>
      <c r="H110" s="62">
        <v>-0.34487657908346181</v>
      </c>
      <c r="I110" s="62">
        <v>0.22991522721828517</v>
      </c>
      <c r="J110" s="62">
        <v>-6.6173822059354848E-2</v>
      </c>
    </row>
    <row r="111" spans="1:10" ht="11.25" customHeight="1" x14ac:dyDescent="0.2">
      <c r="A111" s="71">
        <v>44409</v>
      </c>
      <c r="B111" s="61">
        <v>661652.63</v>
      </c>
      <c r="C111" s="61">
        <v>739481.73510739137</v>
      </c>
      <c r="D111" s="61">
        <v>1074229.08268</v>
      </c>
      <c r="E111" s="61">
        <v>389141.88579000125</v>
      </c>
      <c r="F111" s="61">
        <v>1651439.6570799998</v>
      </c>
      <c r="G111" s="61">
        <v>2031130.781074835</v>
      </c>
      <c r="H111" s="62">
        <v>-0.34982688471616596</v>
      </c>
      <c r="I111" s="62">
        <v>0.22991522721828517</v>
      </c>
      <c r="J111" s="62">
        <v>-6.7181983327402883E-2</v>
      </c>
    </row>
    <row r="112" spans="1:10" ht="11.25" customHeight="1" x14ac:dyDescent="0.2">
      <c r="A112" s="71">
        <v>44440</v>
      </c>
      <c r="B112" s="61">
        <v>650653.17999999993</v>
      </c>
      <c r="C112" s="61">
        <v>727188.43798677542</v>
      </c>
      <c r="D112" s="61">
        <v>1001667.5104799999</v>
      </c>
      <c r="E112" s="61">
        <v>362856.29410656821</v>
      </c>
      <c r="F112" s="61">
        <v>1539888.90888</v>
      </c>
      <c r="G112" s="61">
        <v>1893932.8172560625</v>
      </c>
      <c r="H112" s="62">
        <v>-0.34029469074996266</v>
      </c>
      <c r="I112" s="62">
        <v>0.22991522721828517</v>
      </c>
      <c r="J112" s="62">
        <v>-6.5231321293044875E-2</v>
      </c>
    </row>
    <row r="113" spans="1:10" ht="11.25" customHeight="1" x14ac:dyDescent="0.2">
      <c r="A113" s="71">
        <v>44470</v>
      </c>
      <c r="B113" s="61">
        <v>650653.17999999993</v>
      </c>
      <c r="C113" s="61">
        <v>727188.43798677542</v>
      </c>
      <c r="D113" s="61">
        <v>1001667.5104799999</v>
      </c>
      <c r="E113" s="61">
        <v>362856.29410656821</v>
      </c>
      <c r="F113" s="61">
        <v>1539888.90888</v>
      </c>
      <c r="G113" s="61">
        <v>1893932.8172560625</v>
      </c>
      <c r="H113" s="62">
        <v>-0.34029469074996266</v>
      </c>
      <c r="I113" s="62">
        <v>0.22991522721828517</v>
      </c>
      <c r="J113" s="62">
        <v>-6.5231321293044875E-2</v>
      </c>
    </row>
    <row r="114" spans="1:10" ht="11.25" customHeight="1" x14ac:dyDescent="0.2">
      <c r="A114" s="70" t="s">
        <v>37</v>
      </c>
      <c r="B114" s="61">
        <v>13282261.440000001</v>
      </c>
      <c r="C114" s="61">
        <v>14857973.205492653</v>
      </c>
      <c r="D114" s="61">
        <v>1166357.02183</v>
      </c>
      <c r="E114" s="61">
        <v>422515.43762620399</v>
      </c>
      <c r="F114" s="61">
        <v>3034414.6324799992</v>
      </c>
      <c r="G114" s="61">
        <v>3541464.3816164061</v>
      </c>
      <c r="H114" s="62">
        <v>5.7574375258538923E-2</v>
      </c>
      <c r="I114" s="62">
        <v>0.16709969155467652</v>
      </c>
      <c r="J114" s="62">
        <v>7.6583961329972139E-2</v>
      </c>
    </row>
    <row r="115" spans="1:10" ht="11.25" customHeight="1" x14ac:dyDescent="0.2">
      <c r="A115" s="71">
        <v>44136</v>
      </c>
      <c r="B115" s="61">
        <v>1031026.4300000002</v>
      </c>
      <c r="C115" s="61">
        <v>1153339.9745438793</v>
      </c>
      <c r="D115" s="61">
        <v>113469.36678999999</v>
      </c>
      <c r="E115" s="61">
        <v>41104.53169066862</v>
      </c>
      <c r="F115" s="61">
        <v>295203.87023999996</v>
      </c>
      <c r="G115" s="61">
        <v>344532.34590285079</v>
      </c>
      <c r="H115" s="62">
        <v>4.364254511431187E-2</v>
      </c>
      <c r="I115" s="62">
        <v>0.16709969155467674</v>
      </c>
      <c r="J115" s="62">
        <v>6.8956871617676052E-2</v>
      </c>
    </row>
    <row r="116" spans="1:10" ht="11.25" customHeight="1" x14ac:dyDescent="0.2">
      <c r="A116" s="71">
        <v>44166</v>
      </c>
      <c r="B116" s="61">
        <v>1197732.9700000002</v>
      </c>
      <c r="C116" s="61">
        <v>1339823.3769139796</v>
      </c>
      <c r="D116" s="61">
        <v>101687.05170000001</v>
      </c>
      <c r="E116" s="61">
        <v>36836.361719273053</v>
      </c>
      <c r="F116" s="61">
        <v>264550.79519999999</v>
      </c>
      <c r="G116" s="61">
        <v>308757.15147846454</v>
      </c>
      <c r="H116" s="62">
        <v>5.9441686016351802E-2</v>
      </c>
      <c r="I116" s="62">
        <v>0.16709969155467719</v>
      </c>
      <c r="J116" s="62">
        <v>7.765239088823872E-2</v>
      </c>
    </row>
    <row r="117" spans="1:10" ht="11.25" customHeight="1" x14ac:dyDescent="0.2">
      <c r="A117" s="71">
        <v>44197</v>
      </c>
      <c r="B117" s="61">
        <v>1343932.3800000001</v>
      </c>
      <c r="C117" s="61">
        <v>1503366.8311857872</v>
      </c>
      <c r="D117" s="61">
        <v>81559.871509999997</v>
      </c>
      <c r="E117" s="61">
        <v>29545.245717059104</v>
      </c>
      <c r="F117" s="61">
        <v>212187.57455999998</v>
      </c>
      <c r="G117" s="61">
        <v>247644.05282071102</v>
      </c>
      <c r="H117" s="62">
        <v>7.535630255377268E-2</v>
      </c>
      <c r="I117" s="62">
        <v>0.16709969155467697</v>
      </c>
      <c r="J117" s="62">
        <v>8.7243123704114245E-2</v>
      </c>
    </row>
    <row r="118" spans="1:10" ht="11.25" customHeight="1" x14ac:dyDescent="0.2">
      <c r="A118" s="71">
        <v>44228</v>
      </c>
      <c r="B118" s="61">
        <v>1268633.5900000003</v>
      </c>
      <c r="C118" s="61">
        <v>1419135.1354553634</v>
      </c>
      <c r="D118" s="61">
        <v>86883.706910000008</v>
      </c>
      <c r="E118" s="61">
        <v>31473.816987930855</v>
      </c>
      <c r="F118" s="61">
        <v>226038.15695999999</v>
      </c>
      <c r="G118" s="61">
        <v>263809.06326760363</v>
      </c>
      <c r="H118" s="62">
        <v>7.0151561879779889E-2</v>
      </c>
      <c r="I118" s="62">
        <v>0.16709969155467697</v>
      </c>
      <c r="J118" s="62">
        <v>8.4007526587694503E-2</v>
      </c>
    </row>
    <row r="119" spans="1:10" ht="11.25" customHeight="1" x14ac:dyDescent="0.2">
      <c r="A119" s="71">
        <v>44256</v>
      </c>
      <c r="B119" s="61">
        <v>1295022.6100000001</v>
      </c>
      <c r="C119" s="61">
        <v>1448654.7585896007</v>
      </c>
      <c r="D119" s="61">
        <v>122561.93300000002</v>
      </c>
      <c r="E119" s="61">
        <v>44398.334119478743</v>
      </c>
      <c r="F119" s="61">
        <v>318859.24799999996</v>
      </c>
      <c r="G119" s="61">
        <v>372140.52999015618</v>
      </c>
      <c r="H119" s="62">
        <v>5.323742423811062E-2</v>
      </c>
      <c r="I119" s="62">
        <v>0.16709969155467697</v>
      </c>
      <c r="J119" s="62">
        <v>7.4145694992574285E-2</v>
      </c>
    </row>
    <row r="120" spans="1:10" ht="11.25" customHeight="1" x14ac:dyDescent="0.2">
      <c r="A120" s="71">
        <v>44287</v>
      </c>
      <c r="B120" s="61">
        <v>1240919.82</v>
      </c>
      <c r="C120" s="61">
        <v>1388133.6035292472</v>
      </c>
      <c r="D120" s="61">
        <v>97817.769529999976</v>
      </c>
      <c r="E120" s="61">
        <v>35434.705606471682</v>
      </c>
      <c r="F120" s="61">
        <v>254484.40367999999</v>
      </c>
      <c r="G120" s="61">
        <v>297008.66904040385</v>
      </c>
      <c r="H120" s="62">
        <v>6.3366204302593099E-2</v>
      </c>
      <c r="I120" s="62">
        <v>0.16709969155467674</v>
      </c>
      <c r="J120" s="62">
        <v>7.9935492673892661E-2</v>
      </c>
    </row>
    <row r="121" spans="1:10" ht="11.25" customHeight="1" x14ac:dyDescent="0.2">
      <c r="A121" s="71">
        <v>44317</v>
      </c>
      <c r="B121" s="61">
        <v>1123070.06</v>
      </c>
      <c r="C121" s="61">
        <v>1256302.997403658</v>
      </c>
      <c r="D121" s="61">
        <v>98272.19584</v>
      </c>
      <c r="E121" s="61">
        <v>35599.322552779646</v>
      </c>
      <c r="F121" s="61">
        <v>255666.64704000001</v>
      </c>
      <c r="G121" s="61">
        <v>298388.46490120242</v>
      </c>
      <c r="H121" s="62">
        <v>5.7772556201217018E-2</v>
      </c>
      <c r="I121" s="62">
        <v>0.16709969155467674</v>
      </c>
      <c r="J121" s="62">
        <v>7.6696817302017051E-2</v>
      </c>
    </row>
    <row r="122" spans="1:10" ht="11.25" customHeight="1" x14ac:dyDescent="0.2">
      <c r="A122" s="71">
        <v>44348</v>
      </c>
      <c r="B122" s="61">
        <v>1005750.2000000001</v>
      </c>
      <c r="C122" s="61">
        <v>1125065.1547948206</v>
      </c>
      <c r="D122" s="61">
        <v>89398.538319999992</v>
      </c>
      <c r="E122" s="61">
        <v>32384.820286119208</v>
      </c>
      <c r="F122" s="61">
        <v>232580.78591999999</v>
      </c>
      <c r="G122" s="61">
        <v>271444.96350877633</v>
      </c>
      <c r="H122" s="62">
        <v>5.6888379250212395E-2</v>
      </c>
      <c r="I122" s="62">
        <v>0.16709969155467697</v>
      </c>
      <c r="J122" s="62">
        <v>7.6194294472455848E-2</v>
      </c>
    </row>
    <row r="123" spans="1:10" ht="11.25" customHeight="1" x14ac:dyDescent="0.2">
      <c r="A123" s="71">
        <v>44378</v>
      </c>
      <c r="B123" s="61">
        <v>922237.96</v>
      </c>
      <c r="C123" s="61">
        <v>1031645.624554745</v>
      </c>
      <c r="D123" s="61">
        <v>95628.832259999996</v>
      </c>
      <c r="E123" s="61">
        <v>34641.758188776825</v>
      </c>
      <c r="F123" s="61">
        <v>248789.62655999998</v>
      </c>
      <c r="G123" s="61">
        <v>290362.29642017919</v>
      </c>
      <c r="H123" s="62">
        <v>4.7570655464662659E-2</v>
      </c>
      <c r="I123" s="62">
        <v>0.16709969155467674</v>
      </c>
      <c r="J123" s="62">
        <v>7.1047885603846117E-2</v>
      </c>
    </row>
    <row r="124" spans="1:10" ht="11.25" customHeight="1" x14ac:dyDescent="0.2">
      <c r="A124" s="71">
        <v>44409</v>
      </c>
      <c r="B124" s="61">
        <v>957423.32000000007</v>
      </c>
      <c r="C124" s="61">
        <v>1071005.1220670613</v>
      </c>
      <c r="D124" s="61">
        <v>99038.45107000001</v>
      </c>
      <c r="E124" s="61">
        <v>35876.900222204451</v>
      </c>
      <c r="F124" s="61">
        <v>257660.14992</v>
      </c>
      <c r="G124" s="61">
        <v>300715.08149756381</v>
      </c>
      <c r="H124" s="62">
        <v>4.772558042322661E-2</v>
      </c>
      <c r="I124" s="62">
        <v>0.16709969155467697</v>
      </c>
      <c r="J124" s="62">
        <v>7.1131286453550269E-2</v>
      </c>
    </row>
    <row r="125" spans="1:10" ht="11.25" customHeight="1" x14ac:dyDescent="0.2">
      <c r="A125" s="71">
        <v>44440</v>
      </c>
      <c r="B125" s="61">
        <v>948256.05</v>
      </c>
      <c r="C125" s="61">
        <v>1060750.3132272558</v>
      </c>
      <c r="D125" s="61">
        <v>90019.652449999994</v>
      </c>
      <c r="E125" s="61">
        <v>32609.820267720908</v>
      </c>
      <c r="F125" s="61">
        <v>234196.68719999999</v>
      </c>
      <c r="G125" s="61">
        <v>273330.88139424712</v>
      </c>
      <c r="H125" s="62">
        <v>5.3053761072319183E-2</v>
      </c>
      <c r="I125" s="62">
        <v>0.16709969155467674</v>
      </c>
      <c r="J125" s="62">
        <v>7.4043748222418326E-2</v>
      </c>
    </row>
    <row r="126" spans="1:10" ht="11.25" customHeight="1" x14ac:dyDescent="0.2">
      <c r="A126" s="71">
        <v>44470</v>
      </c>
      <c r="B126" s="61">
        <v>948256.05</v>
      </c>
      <c r="C126" s="61">
        <v>1060750.3132272558</v>
      </c>
      <c r="D126" s="61">
        <v>90019.652449999994</v>
      </c>
      <c r="E126" s="61">
        <v>32609.820267720908</v>
      </c>
      <c r="F126" s="61">
        <v>234196.68719999999</v>
      </c>
      <c r="G126" s="61">
        <v>273330.88139424712</v>
      </c>
      <c r="H126" s="62">
        <v>5.3053761072319183E-2</v>
      </c>
      <c r="I126" s="62">
        <v>0.16709969155467674</v>
      </c>
      <c r="J126" s="62">
        <v>7.4043748222418326E-2</v>
      </c>
    </row>
    <row r="127" spans="1:10" ht="11.25" customHeight="1" x14ac:dyDescent="0.2">
      <c r="A127" s="66" t="s">
        <v>48</v>
      </c>
      <c r="B127" s="61">
        <v>22684668.259999998</v>
      </c>
      <c r="C127" s="61">
        <v>25366664.679440986</v>
      </c>
      <c r="D127" s="61">
        <v>13837046.968549995</v>
      </c>
      <c r="E127" s="61">
        <v>5012501.1861276953</v>
      </c>
      <c r="F127" s="61">
        <v>22457854.019049995</v>
      </c>
      <c r="G127" s="61">
        <v>27439175.512947228</v>
      </c>
      <c r="H127" s="62">
        <v>-0.1681889616777783</v>
      </c>
      <c r="I127" s="62">
        <v>0.22180754624514787</v>
      </c>
      <c r="J127" s="62">
        <v>-1.9688646151503897E-2</v>
      </c>
    </row>
    <row r="128" spans="1:10" ht="11.25" customHeight="1" x14ac:dyDescent="0.2">
      <c r="A128" s="67" t="s">
        <v>25</v>
      </c>
      <c r="B128" s="61">
        <v>22684668.259999998</v>
      </c>
      <c r="C128" s="61">
        <v>25366664.679440986</v>
      </c>
      <c r="D128" s="61">
        <v>13837046.968549995</v>
      </c>
      <c r="E128" s="61">
        <v>5012501.1861276953</v>
      </c>
      <c r="F128" s="61">
        <v>22457854.019049995</v>
      </c>
      <c r="G128" s="61">
        <v>27439175.512947228</v>
      </c>
      <c r="H128" s="62">
        <v>-0.1681889616777783</v>
      </c>
      <c r="I128" s="62">
        <v>0.22180754624514787</v>
      </c>
      <c r="J128" s="62">
        <v>-1.9688646151503897E-2</v>
      </c>
    </row>
    <row r="129" spans="1:10" ht="11.25" customHeight="1" x14ac:dyDescent="0.2">
      <c r="A129" s="68" t="s">
        <v>25</v>
      </c>
      <c r="B129" s="61">
        <v>22684668.259999998</v>
      </c>
      <c r="C129" s="61">
        <v>25366664.679440986</v>
      </c>
      <c r="D129" s="61">
        <v>13837046.968549995</v>
      </c>
      <c r="E129" s="61">
        <v>5012501.1861276953</v>
      </c>
      <c r="F129" s="61">
        <v>22457854.019049995</v>
      </c>
      <c r="G129" s="61">
        <v>27439175.512947228</v>
      </c>
      <c r="H129" s="62">
        <v>-0.1681889616777783</v>
      </c>
      <c r="I129" s="62">
        <v>0.22180754624514787</v>
      </c>
      <c r="J129" s="62">
        <v>-1.9688646151503897E-2</v>
      </c>
    </row>
    <row r="130" spans="1:10" ht="11.25" customHeight="1" x14ac:dyDescent="0.2">
      <c r="A130" s="69" t="s">
        <v>25</v>
      </c>
      <c r="B130" s="61">
        <v>22684668.259999998</v>
      </c>
      <c r="C130" s="61">
        <v>25366664.679440986</v>
      </c>
      <c r="D130" s="61">
        <v>13837046.968549995</v>
      </c>
      <c r="E130" s="61">
        <v>5012501.1861276953</v>
      </c>
      <c r="F130" s="61">
        <v>22457854.019049995</v>
      </c>
      <c r="G130" s="61">
        <v>27439175.512947228</v>
      </c>
      <c r="H130" s="62">
        <v>-0.1681889616777783</v>
      </c>
      <c r="I130" s="62">
        <v>0.22180754624514787</v>
      </c>
      <c r="J130" s="62">
        <v>-1.9688646151503897E-2</v>
      </c>
    </row>
    <row r="131" spans="1:10" ht="11.25" customHeight="1" x14ac:dyDescent="0.2">
      <c r="A131" s="70" t="s">
        <v>38</v>
      </c>
      <c r="B131" s="61">
        <v>9108630.2599999998</v>
      </c>
      <c r="C131" s="61">
        <v>10180063.380261164</v>
      </c>
      <c r="D131" s="61">
        <v>12722869.369209997</v>
      </c>
      <c r="E131" s="61">
        <v>4608887.860904309</v>
      </c>
      <c r="F131" s="61">
        <v>19559190.276009995</v>
      </c>
      <c r="G131" s="61">
        <v>24056145.952524517</v>
      </c>
      <c r="H131" s="62">
        <v>-0.32258656105427419</v>
      </c>
      <c r="I131" s="62">
        <v>0.2299152272182845</v>
      </c>
      <c r="J131" s="62">
        <v>-6.1501577223262882E-2</v>
      </c>
    </row>
    <row r="132" spans="1:10" ht="11.25" customHeight="1" x14ac:dyDescent="0.2">
      <c r="A132" s="71">
        <v>44136</v>
      </c>
      <c r="B132" s="61">
        <v>786360.67999999993</v>
      </c>
      <c r="C132" s="61">
        <v>878858.98687749205</v>
      </c>
      <c r="D132" s="61">
        <v>1064041.0752399999</v>
      </c>
      <c r="E132" s="61">
        <v>385451.25732763152</v>
      </c>
      <c r="F132" s="61">
        <v>1635777.3744399999</v>
      </c>
      <c r="G132" s="61">
        <v>2011867.5011629025</v>
      </c>
      <c r="H132" s="62">
        <v>-0.31673743789702546</v>
      </c>
      <c r="I132" s="62">
        <v>0.22991522721828517</v>
      </c>
      <c r="J132" s="62">
        <v>-6.0238265591145868E-2</v>
      </c>
    </row>
    <row r="133" spans="1:10" ht="11.25" customHeight="1" x14ac:dyDescent="0.2">
      <c r="A133" s="71">
        <v>44166</v>
      </c>
      <c r="B133" s="61">
        <v>786217.83</v>
      </c>
      <c r="C133" s="61">
        <v>878699.33366813348</v>
      </c>
      <c r="D133" s="61">
        <v>1032759.27781</v>
      </c>
      <c r="E133" s="61">
        <v>374119.35630290641</v>
      </c>
      <c r="F133" s="61">
        <v>1587687.0726099999</v>
      </c>
      <c r="G133" s="61">
        <v>1952720.5066606621</v>
      </c>
      <c r="H133" s="62">
        <v>-0.31125098573703303</v>
      </c>
      <c r="I133" s="62">
        <v>0.22991522721828517</v>
      </c>
      <c r="J133" s="62">
        <v>-5.9038688035138787E-2</v>
      </c>
    </row>
    <row r="134" spans="1:10" ht="11.25" customHeight="1" x14ac:dyDescent="0.2">
      <c r="A134" s="71">
        <v>44197</v>
      </c>
      <c r="B134" s="61">
        <v>779732.44</v>
      </c>
      <c r="C134" s="61">
        <v>871451.07796325081</v>
      </c>
      <c r="D134" s="61">
        <v>974782.5906</v>
      </c>
      <c r="E134" s="61">
        <v>353117.17180007149</v>
      </c>
      <c r="F134" s="61">
        <v>1498558.0386000001</v>
      </c>
      <c r="G134" s="61">
        <v>1843099.3505445067</v>
      </c>
      <c r="H134" s="62">
        <v>-0.30204744421907248</v>
      </c>
      <c r="I134" s="62">
        <v>0.22991522721828495</v>
      </c>
      <c r="J134" s="62">
        <v>-5.6993945401222157E-2</v>
      </c>
    </row>
    <row r="135" spans="1:10" ht="11.25" customHeight="1" x14ac:dyDescent="0.2">
      <c r="A135" s="71">
        <v>44228</v>
      </c>
      <c r="B135" s="61">
        <v>780189.55999999994</v>
      </c>
      <c r="C135" s="61">
        <v>871961.96823319851</v>
      </c>
      <c r="D135" s="61">
        <v>944824.12089000002</v>
      </c>
      <c r="E135" s="61">
        <v>342264.64919916849</v>
      </c>
      <c r="F135" s="61">
        <v>1452502.12209</v>
      </c>
      <c r="G135" s="61">
        <v>1786454.4775253637</v>
      </c>
      <c r="H135" s="62">
        <v>-0.29610609418129286</v>
      </c>
      <c r="I135" s="62">
        <v>0.22991522721828517</v>
      </c>
      <c r="J135" s="62">
        <v>-5.5651873660683915E-2</v>
      </c>
    </row>
    <row r="136" spans="1:10" ht="11.25" customHeight="1" x14ac:dyDescent="0.2">
      <c r="A136" s="71">
        <v>44256</v>
      </c>
      <c r="B136" s="61">
        <v>804074.08000000007</v>
      </c>
      <c r="C136" s="61">
        <v>898655.98483796464</v>
      </c>
      <c r="D136" s="61">
        <v>1027396.5386099999</v>
      </c>
      <c r="E136" s="61">
        <v>372176.69204354595</v>
      </c>
      <c r="F136" s="61">
        <v>1579442.7974099999</v>
      </c>
      <c r="G136" s="61">
        <v>1942580.7470548043</v>
      </c>
      <c r="H136" s="62">
        <v>-0.30611353304372813</v>
      </c>
      <c r="I136" s="62">
        <v>0.22991522721828539</v>
      </c>
      <c r="J136" s="62">
        <v>-5.7902376283164747E-2</v>
      </c>
    </row>
    <row r="137" spans="1:10" ht="11.25" customHeight="1" x14ac:dyDescent="0.2">
      <c r="A137" s="71">
        <v>44287</v>
      </c>
      <c r="B137" s="61">
        <v>749533.95</v>
      </c>
      <c r="C137" s="61">
        <v>837700.38950483233</v>
      </c>
      <c r="D137" s="61">
        <v>1047021.7101500001</v>
      </c>
      <c r="E137" s="61">
        <v>379285.95429045433</v>
      </c>
      <c r="F137" s="61">
        <v>1609613.0721499999</v>
      </c>
      <c r="G137" s="61">
        <v>1979687.6273668893</v>
      </c>
      <c r="H137" s="62">
        <v>-0.32260025626276623</v>
      </c>
      <c r="I137" s="62">
        <v>0.22991522721828517</v>
      </c>
      <c r="J137" s="62">
        <v>-6.1504516541188381E-2</v>
      </c>
    </row>
    <row r="138" spans="1:10" ht="11.25" customHeight="1" x14ac:dyDescent="0.2">
      <c r="A138" s="71">
        <v>44317</v>
      </c>
      <c r="B138" s="61">
        <v>600827.10000000009</v>
      </c>
      <c r="C138" s="61">
        <v>671501.39856247848</v>
      </c>
      <c r="D138" s="61">
        <v>1048098.89652</v>
      </c>
      <c r="E138" s="61">
        <v>379676.16746018466</v>
      </c>
      <c r="F138" s="61">
        <v>1611269.0581199999</v>
      </c>
      <c r="G138" s="61">
        <v>1981724.3497274523</v>
      </c>
      <c r="H138" s="62">
        <v>-0.36250773640470457</v>
      </c>
      <c r="I138" s="62">
        <v>0.22991522721828539</v>
      </c>
      <c r="J138" s="62">
        <v>-6.971765034929267E-2</v>
      </c>
    </row>
    <row r="139" spans="1:10" ht="11.25" customHeight="1" x14ac:dyDescent="0.2">
      <c r="A139" s="71">
        <v>44348</v>
      </c>
      <c r="B139" s="61">
        <v>739220.18</v>
      </c>
      <c r="C139" s="61">
        <v>826173.42778913793</v>
      </c>
      <c r="D139" s="61">
        <v>1081226.0807400001</v>
      </c>
      <c r="E139" s="61">
        <v>391676.56397348933</v>
      </c>
      <c r="F139" s="61">
        <v>1662196.3199400001</v>
      </c>
      <c r="G139" s="61">
        <v>2044360.5645204028</v>
      </c>
      <c r="H139" s="62">
        <v>-0.33101568663302439</v>
      </c>
      <c r="I139" s="62">
        <v>0.22991522721828539</v>
      </c>
      <c r="J139" s="62">
        <v>-6.3294472312438677E-2</v>
      </c>
    </row>
    <row r="140" spans="1:10" ht="11.25" customHeight="1" x14ac:dyDescent="0.2">
      <c r="A140" s="71">
        <v>44378</v>
      </c>
      <c r="B140" s="61">
        <v>736334.61</v>
      </c>
      <c r="C140" s="61">
        <v>822948.43296009314</v>
      </c>
      <c r="D140" s="61">
        <v>1078688.3559399999</v>
      </c>
      <c r="E140" s="61">
        <v>390757.26749361341</v>
      </c>
      <c r="F140" s="61">
        <v>1658295.0111400001</v>
      </c>
      <c r="G140" s="61">
        <v>2039562.285421202</v>
      </c>
      <c r="H140" s="62">
        <v>-0.33130008642886311</v>
      </c>
      <c r="I140" s="62">
        <v>0.22991522721828517</v>
      </c>
      <c r="J140" s="62">
        <v>-6.3354404248955776E-2</v>
      </c>
    </row>
    <row r="141" spans="1:10" ht="11.25" customHeight="1" x14ac:dyDescent="0.2">
      <c r="A141" s="71">
        <v>44409</v>
      </c>
      <c r="B141" s="61">
        <v>773589.89</v>
      </c>
      <c r="C141" s="61">
        <v>864585.98996082891</v>
      </c>
      <c r="D141" s="61">
        <v>1157685.9633299999</v>
      </c>
      <c r="E141" s="61">
        <v>419374.32730728836</v>
      </c>
      <c r="F141" s="61">
        <v>1779740.0397299998</v>
      </c>
      <c r="G141" s="61">
        <v>2188929.3753540027</v>
      </c>
      <c r="H141" s="62">
        <v>-0.33517507866406016</v>
      </c>
      <c r="I141" s="62">
        <v>0.22991522721828517</v>
      </c>
      <c r="J141" s="62">
        <v>-6.4167389011510645E-2</v>
      </c>
    </row>
    <row r="142" spans="1:10" ht="11.25" customHeight="1" x14ac:dyDescent="0.2">
      <c r="A142" s="71">
        <v>44440</v>
      </c>
      <c r="B142" s="61">
        <v>786274.97</v>
      </c>
      <c r="C142" s="61">
        <v>878763.194951877</v>
      </c>
      <c r="D142" s="61">
        <v>1133172.3796899999</v>
      </c>
      <c r="E142" s="61">
        <v>410494.22685297759</v>
      </c>
      <c r="F142" s="61">
        <v>1742054.6848899999</v>
      </c>
      <c r="G142" s="61">
        <v>2142579.5835931627</v>
      </c>
      <c r="H142" s="62">
        <v>-0.32831842352275198</v>
      </c>
      <c r="I142" s="62">
        <v>0.22991522721828539</v>
      </c>
      <c r="J142" s="62">
        <v>-6.2724266438466292E-2</v>
      </c>
    </row>
    <row r="143" spans="1:10" ht="11.25" customHeight="1" x14ac:dyDescent="0.2">
      <c r="A143" s="71">
        <v>44470</v>
      </c>
      <c r="B143" s="61">
        <v>786274.97</v>
      </c>
      <c r="C143" s="61">
        <v>878763.194951877</v>
      </c>
      <c r="D143" s="61">
        <v>1133172.3796899999</v>
      </c>
      <c r="E143" s="61">
        <v>410494.22685297759</v>
      </c>
      <c r="F143" s="61">
        <v>1742054.6848899999</v>
      </c>
      <c r="G143" s="61">
        <v>2142579.5835931627</v>
      </c>
      <c r="H143" s="62">
        <v>-0.32831842352275198</v>
      </c>
      <c r="I143" s="62">
        <v>0.22991522721828539</v>
      </c>
      <c r="J143" s="62">
        <v>-6.2724266438466292E-2</v>
      </c>
    </row>
    <row r="144" spans="1:10" ht="11.25" customHeight="1" x14ac:dyDescent="0.2">
      <c r="A144" s="70" t="s">
        <v>37</v>
      </c>
      <c r="B144" s="61">
        <v>13576037.999999998</v>
      </c>
      <c r="C144" s="61">
        <v>15186601.299179826</v>
      </c>
      <c r="D144" s="61">
        <v>1114177.59934</v>
      </c>
      <c r="E144" s="61">
        <v>403613.32522338757</v>
      </c>
      <c r="F144" s="61">
        <v>2898663.7430400001</v>
      </c>
      <c r="G144" s="61">
        <v>3383029.5604227097</v>
      </c>
      <c r="H144" s="62">
        <v>6.1265201928258239E-2</v>
      </c>
      <c r="I144" s="62">
        <v>0.16709969155467719</v>
      </c>
      <c r="J144" s="62">
        <v>7.8706824664509956E-2</v>
      </c>
    </row>
    <row r="145" spans="1:10" ht="11.25" customHeight="1" x14ac:dyDescent="0.2">
      <c r="A145" s="71">
        <v>44136</v>
      </c>
      <c r="B145" s="61">
        <v>1108391.83</v>
      </c>
      <c r="C145" s="61">
        <v>1239883.4479896347</v>
      </c>
      <c r="D145" s="61">
        <v>90027.882099999988</v>
      </c>
      <c r="E145" s="61">
        <v>32612.801476824283</v>
      </c>
      <c r="F145" s="61">
        <v>234218.09759999998</v>
      </c>
      <c r="G145" s="61">
        <v>273355.86946548318</v>
      </c>
      <c r="H145" s="62">
        <v>6.1811848235251432E-2</v>
      </c>
      <c r="I145" s="62">
        <v>0.16709969155467697</v>
      </c>
      <c r="J145" s="62">
        <v>7.9025074213034729E-2</v>
      </c>
    </row>
    <row r="146" spans="1:10" ht="11.25" customHeight="1" x14ac:dyDescent="0.2">
      <c r="A146" s="71">
        <v>44166</v>
      </c>
      <c r="B146" s="61">
        <v>1108232.8600000001</v>
      </c>
      <c r="C146" s="61">
        <v>1239705.618934609</v>
      </c>
      <c r="D146" s="61">
        <v>92999.384269999995</v>
      </c>
      <c r="E146" s="61">
        <v>33689.234778348793</v>
      </c>
      <c r="F146" s="61">
        <v>241948.80911999996</v>
      </c>
      <c r="G146" s="61">
        <v>282378.3804959734</v>
      </c>
      <c r="H146" s="62">
        <v>6.0073819852223043E-2</v>
      </c>
      <c r="I146" s="62">
        <v>0.16709969155467719</v>
      </c>
      <c r="J146" s="62">
        <v>7.8016670572590208E-2</v>
      </c>
    </row>
    <row r="147" spans="1:10" ht="11.25" customHeight="1" x14ac:dyDescent="0.2">
      <c r="A147" s="71">
        <v>44197</v>
      </c>
      <c r="B147" s="61">
        <v>1100973.23</v>
      </c>
      <c r="C147" s="61">
        <v>1231584.7587551102</v>
      </c>
      <c r="D147" s="61">
        <v>83330.592929999999</v>
      </c>
      <c r="E147" s="61">
        <v>30186.693508500823</v>
      </c>
      <c r="F147" s="61">
        <v>216794.31407999998</v>
      </c>
      <c r="G147" s="61">
        <v>253020.57709357573</v>
      </c>
      <c r="H147" s="62">
        <v>6.54119558121109E-2</v>
      </c>
      <c r="I147" s="62">
        <v>0.16709969155467697</v>
      </c>
      <c r="J147" s="62">
        <v>8.1146273300894078E-2</v>
      </c>
    </row>
    <row r="148" spans="1:10" ht="11.25" customHeight="1" x14ac:dyDescent="0.2">
      <c r="A148" s="71">
        <v>44228</v>
      </c>
      <c r="B148" s="61">
        <v>1096045.1600000001</v>
      </c>
      <c r="C148" s="61">
        <v>1226072.0580493188</v>
      </c>
      <c r="D148" s="61">
        <v>85707.315850000014</v>
      </c>
      <c r="E148" s="61">
        <v>31047.666697554418</v>
      </c>
      <c r="F148" s="61">
        <v>222977.63759999996</v>
      </c>
      <c r="G148" s="61">
        <v>260237.13206655052</v>
      </c>
      <c r="H148" s="62">
        <v>6.3775833295939499E-2</v>
      </c>
      <c r="I148" s="62">
        <v>0.16709969155467719</v>
      </c>
      <c r="J148" s="62">
        <v>8.0176784341024598E-2</v>
      </c>
    </row>
    <row r="149" spans="1:10" ht="11.25" customHeight="1" x14ac:dyDescent="0.2">
      <c r="A149" s="71">
        <v>44256</v>
      </c>
      <c r="B149" s="61">
        <v>1130488.6600000001</v>
      </c>
      <c r="C149" s="61">
        <v>1264601.6866381825</v>
      </c>
      <c r="D149" s="61">
        <v>96403.466769999999</v>
      </c>
      <c r="E149" s="61">
        <v>34922.371271106873</v>
      </c>
      <c r="F149" s="61">
        <v>250804.92911999996</v>
      </c>
      <c r="G149" s="61">
        <v>292714.3554163446</v>
      </c>
      <c r="H149" s="62">
        <v>5.9199932540528133E-2</v>
      </c>
      <c r="I149" s="62">
        <v>0.16709969155467697</v>
      </c>
      <c r="J149" s="62">
        <v>7.7513423322513653E-2</v>
      </c>
    </row>
    <row r="150" spans="1:10" ht="11.25" customHeight="1" x14ac:dyDescent="0.2">
      <c r="A150" s="71">
        <v>44287</v>
      </c>
      <c r="B150" s="61">
        <v>1072517.6000000001</v>
      </c>
      <c r="C150" s="61">
        <v>1199753.3579055411</v>
      </c>
      <c r="D150" s="61">
        <v>89152.546600000001</v>
      </c>
      <c r="E150" s="61">
        <v>32295.709235829345</v>
      </c>
      <c r="F150" s="61">
        <v>231940.80959999995</v>
      </c>
      <c r="G150" s="61">
        <v>270698.04734310205</v>
      </c>
      <c r="H150" s="62">
        <v>6.0584255132454468E-2</v>
      </c>
      <c r="I150" s="62">
        <v>0.16709969155467719</v>
      </c>
      <c r="J150" s="62">
        <v>7.8311782638432303E-2</v>
      </c>
    </row>
    <row r="151" spans="1:10" ht="11.25" customHeight="1" x14ac:dyDescent="0.2">
      <c r="A151" s="71">
        <v>44317</v>
      </c>
      <c r="B151" s="61">
        <v>858173.04999999993</v>
      </c>
      <c r="C151" s="61">
        <v>959980.51537945843</v>
      </c>
      <c r="D151" s="61">
        <v>88623.754179999989</v>
      </c>
      <c r="E151" s="61">
        <v>32104.152999987284</v>
      </c>
      <c r="F151" s="61">
        <v>230565.09408000001</v>
      </c>
      <c r="G151" s="61">
        <v>269092.45018404309</v>
      </c>
      <c r="H151" s="62">
        <v>4.7832717642798173E-2</v>
      </c>
      <c r="I151" s="62">
        <v>0.16709969155467697</v>
      </c>
      <c r="J151" s="62">
        <v>7.1189003506362702E-2</v>
      </c>
    </row>
    <row r="152" spans="1:10" ht="11.25" customHeight="1" x14ac:dyDescent="0.2">
      <c r="A152" s="71">
        <v>44348</v>
      </c>
      <c r="B152" s="61">
        <v>1059535.05</v>
      </c>
      <c r="C152" s="61">
        <v>1185230.6517451233</v>
      </c>
      <c r="D152" s="61">
        <v>93780.003979999994</v>
      </c>
      <c r="E152" s="61">
        <v>33972.016012754022</v>
      </c>
      <c r="F152" s="61">
        <v>243979.68287999998</v>
      </c>
      <c r="G152" s="61">
        <v>284748.61263485585</v>
      </c>
      <c r="H152" s="62">
        <v>5.7128894269180108E-2</v>
      </c>
      <c r="I152" s="62">
        <v>0.16709969155467674</v>
      </c>
      <c r="J152" s="62">
        <v>7.6330741624642151E-2</v>
      </c>
    </row>
    <row r="153" spans="1:10" ht="11.25" customHeight="1" x14ac:dyDescent="0.2">
      <c r="A153" s="71">
        <v>44378</v>
      </c>
      <c r="B153" s="61">
        <v>1056991.53</v>
      </c>
      <c r="C153" s="61">
        <v>1182385.3868647148</v>
      </c>
      <c r="D153" s="61">
        <v>97083.68475</v>
      </c>
      <c r="E153" s="61">
        <v>35168.781754450974</v>
      </c>
      <c r="F153" s="61">
        <v>252574.59599999999</v>
      </c>
      <c r="G153" s="61">
        <v>294779.73308614711</v>
      </c>
      <c r="H153" s="62">
        <v>5.5004173954915636E-2</v>
      </c>
      <c r="I153" s="62">
        <v>0.16709969155467697</v>
      </c>
      <c r="J153" s="62">
        <v>7.5131770642306472E-2</v>
      </c>
    </row>
    <row r="154" spans="1:10" ht="11.25" customHeight="1" x14ac:dyDescent="0.2">
      <c r="A154" s="71">
        <v>44409</v>
      </c>
      <c r="B154" s="61">
        <v>1311555.49</v>
      </c>
      <c r="C154" s="61">
        <v>1467148.9803122552</v>
      </c>
      <c r="D154" s="61">
        <v>102748.37729</v>
      </c>
      <c r="E154" s="61">
        <v>37220.829286004177</v>
      </c>
      <c r="F154" s="61">
        <v>267311.95824000001</v>
      </c>
      <c r="G154" s="61">
        <v>311979.70401078061</v>
      </c>
      <c r="H154" s="62">
        <v>6.3682172121071856E-2</v>
      </c>
      <c r="I154" s="62">
        <v>0.16709969155467674</v>
      </c>
      <c r="J154" s="62">
        <v>8.0121562864440499E-2</v>
      </c>
    </row>
    <row r="155" spans="1:10" ht="11.25" customHeight="1" x14ac:dyDescent="0.2">
      <c r="A155" s="71">
        <v>44440</v>
      </c>
      <c r="B155" s="61">
        <v>1336566.77</v>
      </c>
      <c r="C155" s="61">
        <v>1495127.4183029379</v>
      </c>
      <c r="D155" s="61">
        <v>97160.295310000001</v>
      </c>
      <c r="E155" s="61">
        <v>35196.534101013262</v>
      </c>
      <c r="F155" s="61">
        <v>252773.90735999998</v>
      </c>
      <c r="G155" s="61">
        <v>295012.34931292647</v>
      </c>
      <c r="H155" s="62">
        <v>6.7374669441052193E-2</v>
      </c>
      <c r="I155" s="62">
        <v>0.16709969155467697</v>
      </c>
      <c r="J155" s="62">
        <v>8.2321523258346518E-2</v>
      </c>
    </row>
    <row r="156" spans="1:10" ht="11.25" customHeight="1" x14ac:dyDescent="0.2">
      <c r="A156" s="71">
        <v>44470</v>
      </c>
      <c r="B156" s="61">
        <v>1336566.77</v>
      </c>
      <c r="C156" s="61">
        <v>1495127.4183029379</v>
      </c>
      <c r="D156" s="61">
        <v>97160.295310000001</v>
      </c>
      <c r="E156" s="61">
        <v>35196.534101013262</v>
      </c>
      <c r="F156" s="61">
        <v>252773.90735999998</v>
      </c>
      <c r="G156" s="61">
        <v>295012.34931292647</v>
      </c>
      <c r="H156" s="62">
        <v>6.7374669441052193E-2</v>
      </c>
      <c r="I156" s="62">
        <v>0.16709969155467697</v>
      </c>
      <c r="J156" s="62">
        <v>8.2321523258346518E-2</v>
      </c>
    </row>
    <row r="157" spans="1:10" ht="11.25" customHeight="1" x14ac:dyDescent="0.2">
      <c r="A157" s="66" t="s">
        <v>47</v>
      </c>
      <c r="B157" s="61">
        <v>821814.8245999997</v>
      </c>
      <c r="C157" s="61">
        <v>918995.37163886393</v>
      </c>
      <c r="D157" s="61">
        <v>381561.5694644</v>
      </c>
      <c r="E157" s="61">
        <v>138221.53121747126</v>
      </c>
      <c r="F157" s="61">
        <v>630208.56001140014</v>
      </c>
      <c r="G157" s="61">
        <v>768404.59972815821</v>
      </c>
      <c r="H157" s="62">
        <v>-0.12145783474645999</v>
      </c>
      <c r="I157" s="62">
        <v>0.21928619902315938</v>
      </c>
      <c r="J157" s="62">
        <v>-4.3431047324011818E-3</v>
      </c>
    </row>
    <row r="158" spans="1:10" ht="11.25" customHeight="1" x14ac:dyDescent="0.2">
      <c r="A158" s="67" t="s">
        <v>25</v>
      </c>
      <c r="B158" s="61">
        <v>821814.8245999997</v>
      </c>
      <c r="C158" s="61">
        <v>918995.37163886393</v>
      </c>
      <c r="D158" s="61">
        <v>381561.5694644</v>
      </c>
      <c r="E158" s="61">
        <v>138221.53121747126</v>
      </c>
      <c r="F158" s="61">
        <v>630208.56001140014</v>
      </c>
      <c r="G158" s="61">
        <v>768404.59972815821</v>
      </c>
      <c r="H158" s="62">
        <v>-0.12145783474645999</v>
      </c>
      <c r="I158" s="62">
        <v>0.21928619902315938</v>
      </c>
      <c r="J158" s="62">
        <v>-4.3431047324011818E-3</v>
      </c>
    </row>
    <row r="159" spans="1:10" ht="11.25" customHeight="1" x14ac:dyDescent="0.2">
      <c r="A159" s="68" t="s">
        <v>25</v>
      </c>
      <c r="B159" s="61">
        <v>821814.8245999997</v>
      </c>
      <c r="C159" s="61">
        <v>918995.37163886393</v>
      </c>
      <c r="D159" s="61">
        <v>381561.5694644</v>
      </c>
      <c r="E159" s="61">
        <v>138221.53121747126</v>
      </c>
      <c r="F159" s="61">
        <v>630208.56001140014</v>
      </c>
      <c r="G159" s="61">
        <v>768404.59972815821</v>
      </c>
      <c r="H159" s="62">
        <v>-0.12145783474645999</v>
      </c>
      <c r="I159" s="62">
        <v>0.21928619902315938</v>
      </c>
      <c r="J159" s="62">
        <v>-4.3431047324011818E-3</v>
      </c>
    </row>
    <row r="160" spans="1:10" ht="11.25" customHeight="1" x14ac:dyDescent="0.2">
      <c r="A160" s="69" t="s">
        <v>25</v>
      </c>
      <c r="B160" s="61">
        <v>821814.8245999997</v>
      </c>
      <c r="C160" s="61">
        <v>918995.37163886393</v>
      </c>
      <c r="D160" s="61">
        <v>381561.5694644</v>
      </c>
      <c r="E160" s="61">
        <v>138221.53121747126</v>
      </c>
      <c r="F160" s="61">
        <v>630208.56001140014</v>
      </c>
      <c r="G160" s="61">
        <v>768404.59972815821</v>
      </c>
      <c r="H160" s="62">
        <v>-0.12145783474645999</v>
      </c>
      <c r="I160" s="62">
        <v>0.21928619902315938</v>
      </c>
      <c r="J160" s="62">
        <v>-4.3431047324011818E-3</v>
      </c>
    </row>
    <row r="161" spans="1:10" ht="11.25" customHeight="1" x14ac:dyDescent="0.2">
      <c r="A161" s="70" t="s">
        <v>38</v>
      </c>
      <c r="B161" s="61">
        <v>312252.38659999997</v>
      </c>
      <c r="C161" s="61">
        <v>348982.11866004666</v>
      </c>
      <c r="D161" s="61">
        <v>340572.56468819996</v>
      </c>
      <c r="E161" s="61">
        <v>123373.17263880368</v>
      </c>
      <c r="F161" s="61">
        <v>523570.85514420003</v>
      </c>
      <c r="G161" s="61">
        <v>643947.76726955059</v>
      </c>
      <c r="H161" s="62">
        <v>-0.27644418252279457</v>
      </c>
      <c r="I161" s="62">
        <v>0.22991522721828495</v>
      </c>
      <c r="J161" s="62">
        <v>-5.1082082693102659E-2</v>
      </c>
    </row>
    <row r="162" spans="1:10" ht="11.25" customHeight="1" x14ac:dyDescent="0.2">
      <c r="A162" s="71">
        <v>44136</v>
      </c>
      <c r="B162" s="61">
        <v>25271.307799999999</v>
      </c>
      <c r="C162" s="61">
        <v>28243.929961219914</v>
      </c>
      <c r="D162" s="61">
        <v>29631.058321799999</v>
      </c>
      <c r="E162" s="61">
        <v>10733.917093858476</v>
      </c>
      <c r="F162" s="61">
        <v>45552.5786658</v>
      </c>
      <c r="G162" s="61">
        <v>56025.810140126217</v>
      </c>
      <c r="H162" s="62">
        <v>-0.29005159871240016</v>
      </c>
      <c r="I162" s="62">
        <v>0.22991522721828517</v>
      </c>
      <c r="J162" s="62">
        <v>-5.4265995605507378E-2</v>
      </c>
    </row>
    <row r="163" spans="1:10" ht="11.25" customHeight="1" x14ac:dyDescent="0.2">
      <c r="A163" s="71">
        <v>44166</v>
      </c>
      <c r="B163" s="61">
        <v>24492.489599999997</v>
      </c>
      <c r="C163" s="61">
        <v>27373.500663796556</v>
      </c>
      <c r="D163" s="61">
        <v>24942.417234799996</v>
      </c>
      <c r="E163" s="61">
        <v>9035.4463823452843</v>
      </c>
      <c r="F163" s="61">
        <v>38344.611618799994</v>
      </c>
      <c r="G163" s="61">
        <v>47160.621711733293</v>
      </c>
      <c r="H163" s="62">
        <v>-0.26349720516694597</v>
      </c>
      <c r="I163" s="62">
        <v>0.22991522721828517</v>
      </c>
      <c r="J163" s="62">
        <v>-4.7960501149823864E-2</v>
      </c>
    </row>
    <row r="164" spans="1:10" ht="11.25" customHeight="1" x14ac:dyDescent="0.2">
      <c r="A164" s="71">
        <v>44197</v>
      </c>
      <c r="B164" s="61">
        <v>24465.6338</v>
      </c>
      <c r="C164" s="61">
        <v>27343.485860437133</v>
      </c>
      <c r="D164" s="61">
        <v>26410.5448984</v>
      </c>
      <c r="E164" s="61">
        <v>9567.2789093221782</v>
      </c>
      <c r="F164" s="61">
        <v>40601.601570400002</v>
      </c>
      <c r="G164" s="61">
        <v>49936.528020884798</v>
      </c>
      <c r="H164" s="62">
        <v>-0.27449809097159816</v>
      </c>
      <c r="I164" s="62">
        <v>0.22991522721828517</v>
      </c>
      <c r="J164" s="62">
        <v>-5.0618712703233482E-2</v>
      </c>
    </row>
    <row r="165" spans="1:10" ht="11.25" customHeight="1" x14ac:dyDescent="0.2">
      <c r="A165" s="71">
        <v>44228</v>
      </c>
      <c r="B165" s="61">
        <v>23821.0946</v>
      </c>
      <c r="C165" s="61">
        <v>26623.130579810902</v>
      </c>
      <c r="D165" s="61">
        <v>28007.228672799996</v>
      </c>
      <c r="E165" s="61">
        <v>10145.681174721838</v>
      </c>
      <c r="F165" s="61">
        <v>43056.224096799997</v>
      </c>
      <c r="G165" s="61">
        <v>52955.505643177166</v>
      </c>
      <c r="H165" s="62">
        <v>-0.29056528491190137</v>
      </c>
      <c r="I165" s="62">
        <v>0.22991522721828495</v>
      </c>
      <c r="J165" s="62">
        <v>-5.4384302976012044E-2</v>
      </c>
    </row>
    <row r="166" spans="1:10" ht="11.25" customHeight="1" x14ac:dyDescent="0.2">
      <c r="A166" s="71">
        <v>44256</v>
      </c>
      <c r="B166" s="61">
        <v>23928.517800000001</v>
      </c>
      <c r="C166" s="61">
        <v>26743.18979324861</v>
      </c>
      <c r="D166" s="61">
        <v>29855.820537399999</v>
      </c>
      <c r="E166" s="61">
        <v>10815.337708737676</v>
      </c>
      <c r="F166" s="61">
        <v>45898.111329400002</v>
      </c>
      <c r="G166" s="61">
        <v>56450.78602458915</v>
      </c>
      <c r="H166" s="62">
        <v>-0.30168281951570963</v>
      </c>
      <c r="I166" s="62">
        <v>0.22991522721828517</v>
      </c>
      <c r="J166" s="62">
        <v>-5.6912085920717947E-2</v>
      </c>
    </row>
    <row r="167" spans="1:10" ht="11.25" customHeight="1" x14ac:dyDescent="0.2">
      <c r="A167" s="71">
        <v>44287</v>
      </c>
      <c r="B167" s="61">
        <v>23122.843800000002</v>
      </c>
      <c r="C167" s="61">
        <v>25842.745692465829</v>
      </c>
      <c r="D167" s="61">
        <v>27274.290058599996</v>
      </c>
      <c r="E167" s="61">
        <v>9880.1725238235267</v>
      </c>
      <c r="F167" s="61">
        <v>41929.458946599996</v>
      </c>
      <c r="G167" s="61">
        <v>51569.680027447292</v>
      </c>
      <c r="H167" s="62">
        <v>-0.29117163058284845</v>
      </c>
      <c r="I167" s="62">
        <v>0.22991522721828517</v>
      </c>
      <c r="J167" s="62">
        <v>-5.4523777045304533E-2</v>
      </c>
    </row>
    <row r="168" spans="1:10" ht="11.25" customHeight="1" x14ac:dyDescent="0.2">
      <c r="A168" s="71">
        <v>44317</v>
      </c>
      <c r="B168" s="61">
        <v>20168.705800000003</v>
      </c>
      <c r="C168" s="61">
        <v>22541.117322928967</v>
      </c>
      <c r="D168" s="61">
        <v>31744.2169746</v>
      </c>
      <c r="E168" s="61">
        <v>11499.413538129487</v>
      </c>
      <c r="F168" s="61">
        <v>48801.191142600001</v>
      </c>
      <c r="G168" s="61">
        <v>60021.328092673844</v>
      </c>
      <c r="H168" s="62">
        <v>-0.34427635660472133</v>
      </c>
      <c r="I168" s="62">
        <v>0.22991522721828517</v>
      </c>
      <c r="J168" s="62">
        <v>-6.6050871171211667E-2</v>
      </c>
    </row>
    <row r="169" spans="1:10" ht="11.25" customHeight="1" x14ac:dyDescent="0.2">
      <c r="A169" s="71">
        <v>44348</v>
      </c>
      <c r="B169" s="61">
        <v>23928.517799999998</v>
      </c>
      <c r="C169" s="61">
        <v>26743.18979324861</v>
      </c>
      <c r="D169" s="61">
        <v>27497.505099999995</v>
      </c>
      <c r="E169" s="61">
        <v>9961.0326713912909</v>
      </c>
      <c r="F169" s="61">
        <v>42272.613099999995</v>
      </c>
      <c r="G169" s="61">
        <v>51991.730545997147</v>
      </c>
      <c r="H169" s="62">
        <v>-0.28627141678809664</v>
      </c>
      <c r="I169" s="62">
        <v>0.22991522721828495</v>
      </c>
      <c r="J169" s="62">
        <v>-5.3391204001763115E-2</v>
      </c>
    </row>
    <row r="170" spans="1:10" ht="11.25" customHeight="1" x14ac:dyDescent="0.2">
      <c r="A170" s="71">
        <v>44378</v>
      </c>
      <c r="B170" s="61">
        <v>26533.5304</v>
      </c>
      <c r="C170" s="61">
        <v>29654.625719112937</v>
      </c>
      <c r="D170" s="61">
        <v>29190.254326999999</v>
      </c>
      <c r="E170" s="61">
        <v>10574.234861673614</v>
      </c>
      <c r="F170" s="61">
        <v>44874.919486999999</v>
      </c>
      <c r="G170" s="61">
        <v>55192.346797255857</v>
      </c>
      <c r="H170" s="62">
        <v>-0.27806661414197964</v>
      </c>
      <c r="I170" s="62">
        <v>0.22991522721828517</v>
      </c>
      <c r="J170" s="62">
        <v>-5.146683425408427E-2</v>
      </c>
    </row>
    <row r="171" spans="1:10" ht="11.25" customHeight="1" x14ac:dyDescent="0.2">
      <c r="A171" s="71">
        <v>44409</v>
      </c>
      <c r="B171" s="61">
        <v>26694.665199999999</v>
      </c>
      <c r="C171" s="61">
        <v>29834.714539269495</v>
      </c>
      <c r="D171" s="61">
        <v>32548.8882108</v>
      </c>
      <c r="E171" s="61">
        <v>11790.907491648821</v>
      </c>
      <c r="F171" s="61">
        <v>50038.232674800005</v>
      </c>
      <c r="G171" s="61">
        <v>61542.784309828057</v>
      </c>
      <c r="H171" s="62">
        <v>-0.29738140887190556</v>
      </c>
      <c r="I171" s="62">
        <v>0.22991522721828495</v>
      </c>
      <c r="J171" s="62">
        <v>-5.5941433278415165E-2</v>
      </c>
    </row>
    <row r="172" spans="1:10" ht="11.25" customHeight="1" x14ac:dyDescent="0.2">
      <c r="A172" s="71">
        <v>44440</v>
      </c>
      <c r="B172" s="61">
        <v>34912.54</v>
      </c>
      <c r="C172" s="61">
        <v>39019.244367253865</v>
      </c>
      <c r="D172" s="61">
        <v>26735.170176</v>
      </c>
      <c r="E172" s="61">
        <v>9684.8751415757397</v>
      </c>
      <c r="F172" s="61">
        <v>41100.656256000002</v>
      </c>
      <c r="G172" s="61">
        <v>50550.322977918877</v>
      </c>
      <c r="H172" s="62">
        <v>-0.20996060729940047</v>
      </c>
      <c r="I172" s="62">
        <v>0.22991522721828517</v>
      </c>
      <c r="J172" s="62">
        <v>-3.4004666610090051E-2</v>
      </c>
    </row>
    <row r="173" spans="1:10" ht="11.25" customHeight="1" x14ac:dyDescent="0.2">
      <c r="A173" s="71">
        <v>44470</v>
      </c>
      <c r="B173" s="61">
        <v>34912.54</v>
      </c>
      <c r="C173" s="61">
        <v>39019.244367253865</v>
      </c>
      <c r="D173" s="61">
        <v>26735.170176</v>
      </c>
      <c r="E173" s="61">
        <v>9684.8751415757397</v>
      </c>
      <c r="F173" s="61">
        <v>41100.656256000002</v>
      </c>
      <c r="G173" s="61">
        <v>50550.322977918877</v>
      </c>
      <c r="H173" s="62">
        <v>-0.20996060729940047</v>
      </c>
      <c r="I173" s="62">
        <v>0.22991522721828517</v>
      </c>
      <c r="J173" s="62">
        <v>-3.4004666610090051E-2</v>
      </c>
    </row>
    <row r="174" spans="1:10" ht="11.25" customHeight="1" x14ac:dyDescent="0.2">
      <c r="A174" s="70" t="s">
        <v>37</v>
      </c>
      <c r="B174" s="61">
        <v>509562.43799999997</v>
      </c>
      <c r="C174" s="61">
        <v>570013.25297881744</v>
      </c>
      <c r="D174" s="61">
        <v>40989.004776199989</v>
      </c>
      <c r="E174" s="61">
        <v>14848.358578667632</v>
      </c>
      <c r="F174" s="61">
        <v>106637.70486719999</v>
      </c>
      <c r="G174" s="61">
        <v>124456.83245860777</v>
      </c>
      <c r="H174" s="62">
        <v>6.2319641936225301E-2</v>
      </c>
      <c r="I174" s="62">
        <v>0.16709969155467697</v>
      </c>
      <c r="J174" s="62">
        <v>7.9321602554792925E-2</v>
      </c>
    </row>
    <row r="175" spans="1:10" ht="11.25" customHeight="1" x14ac:dyDescent="0.2">
      <c r="A175" s="71">
        <v>44136</v>
      </c>
      <c r="B175" s="61">
        <v>42239.388800000001</v>
      </c>
      <c r="C175" s="61">
        <v>47250.36544731546</v>
      </c>
      <c r="D175" s="61">
        <v>4490.6027893999999</v>
      </c>
      <c r="E175" s="61">
        <v>1626.7308956496663</v>
      </c>
      <c r="F175" s="61">
        <v>11682.8300064</v>
      </c>
      <c r="G175" s="61">
        <v>13635.027296955162</v>
      </c>
      <c r="H175" s="62">
        <v>4.594703916129439E-2</v>
      </c>
      <c r="I175" s="62">
        <v>0.16709969155467674</v>
      </c>
      <c r="J175" s="62">
        <v>7.0178120695594703E-2</v>
      </c>
    </row>
    <row r="176" spans="1:10" ht="11.25" customHeight="1" x14ac:dyDescent="0.2">
      <c r="A176" s="71">
        <v>44166</v>
      </c>
      <c r="B176" s="61">
        <v>40147.343599999993</v>
      </c>
      <c r="C176" s="61">
        <v>44910.13508317955</v>
      </c>
      <c r="D176" s="61">
        <v>3545.7013097999998</v>
      </c>
      <c r="E176" s="61">
        <v>1284.4382230849262</v>
      </c>
      <c r="F176" s="61">
        <v>9224.5579487999985</v>
      </c>
      <c r="G176" s="61">
        <v>10765.97873677272</v>
      </c>
      <c r="H176" s="62">
        <v>5.725232474936548E-2</v>
      </c>
      <c r="I176" s="62">
        <v>0.16709969155467674</v>
      </c>
      <c r="J176" s="62">
        <v>7.6400837642632391E-2</v>
      </c>
    </row>
    <row r="177" spans="1:10" ht="11.25" customHeight="1" x14ac:dyDescent="0.2">
      <c r="A177" s="71">
        <v>44197</v>
      </c>
      <c r="B177" s="61">
        <v>40994.123800000001</v>
      </c>
      <c r="C177" s="61">
        <v>45857.371182948846</v>
      </c>
      <c r="D177" s="61">
        <v>3881.2974589999994</v>
      </c>
      <c r="E177" s="61">
        <v>1406.00867809229</v>
      </c>
      <c r="F177" s="61">
        <v>10097.650704</v>
      </c>
      <c r="G177" s="61">
        <v>11784.965022065264</v>
      </c>
      <c r="H177" s="62">
        <v>5.3213062630854235E-2</v>
      </c>
      <c r="I177" s="62">
        <v>0.16709969155467674</v>
      </c>
      <c r="J177" s="62">
        <v>7.4132166433218183E-2</v>
      </c>
    </row>
    <row r="178" spans="1:10" ht="11.25" customHeight="1" x14ac:dyDescent="0.2">
      <c r="A178" s="71">
        <v>44228</v>
      </c>
      <c r="B178" s="61">
        <v>39400.184599999993</v>
      </c>
      <c r="C178" s="61">
        <v>44074.338524559585</v>
      </c>
      <c r="D178" s="61">
        <v>4189.4664291999998</v>
      </c>
      <c r="E178" s="61">
        <v>1517.6435762151457</v>
      </c>
      <c r="F178" s="61">
        <v>10899.388435199999</v>
      </c>
      <c r="G178" s="61">
        <v>12720.672880856529</v>
      </c>
      <c r="H178" s="62">
        <v>4.5935928008081772E-2</v>
      </c>
      <c r="I178" s="62">
        <v>0.16709969155467674</v>
      </c>
      <c r="J178" s="62">
        <v>7.0172195267442783E-2</v>
      </c>
    </row>
    <row r="179" spans="1:10" ht="11.25" customHeight="1" x14ac:dyDescent="0.2">
      <c r="A179" s="71">
        <v>44256</v>
      </c>
      <c r="B179" s="61">
        <v>34070.450399999994</v>
      </c>
      <c r="C179" s="61">
        <v>38112.323073070489</v>
      </c>
      <c r="D179" s="61">
        <v>4428.8564735999998</v>
      </c>
      <c r="E179" s="61">
        <v>1604.3631547660818</v>
      </c>
      <c r="F179" s="61">
        <v>11522.1897216</v>
      </c>
      <c r="G179" s="61">
        <v>13447.544070113827</v>
      </c>
      <c r="H179" s="62">
        <v>3.162081224561919E-2</v>
      </c>
      <c r="I179" s="62">
        <v>0.16709969155467674</v>
      </c>
      <c r="J179" s="62">
        <v>6.2827662438472265E-2</v>
      </c>
    </row>
    <row r="180" spans="1:10" ht="11.25" customHeight="1" x14ac:dyDescent="0.2">
      <c r="A180" s="71">
        <v>44287</v>
      </c>
      <c r="B180" s="61">
        <v>39699.048199999997</v>
      </c>
      <c r="C180" s="61">
        <v>44408.657148007573</v>
      </c>
      <c r="D180" s="61">
        <v>4361.9060264</v>
      </c>
      <c r="E180" s="61">
        <v>1580.110205653129</v>
      </c>
      <c r="F180" s="61">
        <v>11348.010278399999</v>
      </c>
      <c r="G180" s="61">
        <v>13244.259295679942</v>
      </c>
      <c r="H180" s="62">
        <v>4.3753322212563894E-2</v>
      </c>
      <c r="I180" s="62">
        <v>0.16709969155467697</v>
      </c>
      <c r="J180" s="62">
        <v>6.9015224859677371E-2</v>
      </c>
    </row>
    <row r="181" spans="1:10" ht="11.25" customHeight="1" x14ac:dyDescent="0.2">
      <c r="A181" s="71">
        <v>44317</v>
      </c>
      <c r="B181" s="61">
        <v>36461.359199999999</v>
      </c>
      <c r="C181" s="61">
        <v>40786.872060654387</v>
      </c>
      <c r="D181" s="61">
        <v>5098.2202933999997</v>
      </c>
      <c r="E181" s="61">
        <v>1846.8416943218424</v>
      </c>
      <c r="F181" s="61">
        <v>13263.618230399999</v>
      </c>
      <c r="G181" s="61">
        <v>15479.964745598829</v>
      </c>
      <c r="H181" s="62">
        <v>2.5845647975018871E-2</v>
      </c>
      <c r="I181" s="62">
        <v>0.16709969155467697</v>
      </c>
      <c r="J181" s="62">
        <v>6.0019862273495095E-2</v>
      </c>
    </row>
    <row r="182" spans="1:10" ht="11.25" customHeight="1" x14ac:dyDescent="0.2">
      <c r="A182" s="71">
        <v>44348</v>
      </c>
      <c r="B182" s="61">
        <v>35166.283600000002</v>
      </c>
      <c r="C182" s="61">
        <v>39338.158025713114</v>
      </c>
      <c r="D182" s="61">
        <v>3618.1371927999994</v>
      </c>
      <c r="E182" s="61">
        <v>1310.6782835747804</v>
      </c>
      <c r="F182" s="61">
        <v>9413.0083967999981</v>
      </c>
      <c r="G182" s="61">
        <v>10985.919196506862</v>
      </c>
      <c r="H182" s="62">
        <v>4.8071248155238777E-2</v>
      </c>
      <c r="I182" s="62">
        <v>0.16709969155467697</v>
      </c>
      <c r="J182" s="62">
        <v>7.1317627806929851E-2</v>
      </c>
    </row>
    <row r="183" spans="1:10" ht="11.25" customHeight="1" x14ac:dyDescent="0.2">
      <c r="A183" s="71">
        <v>44378</v>
      </c>
      <c r="B183" s="61">
        <v>27893.936000000002</v>
      </c>
      <c r="C183" s="61">
        <v>31203.071521812097</v>
      </c>
      <c r="D183" s="61">
        <v>1936.2181851999999</v>
      </c>
      <c r="E183" s="61">
        <v>701.39936447249374</v>
      </c>
      <c r="F183" s="61">
        <v>5037.2987711999995</v>
      </c>
      <c r="G183" s="61">
        <v>5879.0298421362722</v>
      </c>
      <c r="H183" s="62">
        <v>6.9537578927893806E-2</v>
      </c>
      <c r="I183" s="62">
        <v>0.16709969155467697</v>
      </c>
      <c r="J183" s="62">
        <v>8.3632371302464703E-2</v>
      </c>
    </row>
    <row r="184" spans="1:10" ht="11.25" customHeight="1" x14ac:dyDescent="0.2">
      <c r="A184" s="71">
        <v>44409</v>
      </c>
      <c r="B184" s="61">
        <v>40894.5026</v>
      </c>
      <c r="C184" s="61">
        <v>45745.931641799521</v>
      </c>
      <c r="D184" s="61">
        <v>2074.4792978</v>
      </c>
      <c r="E184" s="61">
        <v>751.48476148516716</v>
      </c>
      <c r="F184" s="61">
        <v>5397.0012767999997</v>
      </c>
      <c r="G184" s="61">
        <v>6298.8385254734776</v>
      </c>
      <c r="H184" s="62">
        <v>8.21158507752624E-2</v>
      </c>
      <c r="I184" s="62">
        <v>0.16709969155467697</v>
      </c>
      <c r="J184" s="62">
        <v>9.1598918565657828E-2</v>
      </c>
    </row>
    <row r="185" spans="1:10" ht="11.25" customHeight="1" x14ac:dyDescent="0.2">
      <c r="A185" s="71">
        <v>44440</v>
      </c>
      <c r="B185" s="61">
        <v>66297.908599999995</v>
      </c>
      <c r="C185" s="61">
        <v>74163.014634878404</v>
      </c>
      <c r="D185" s="61">
        <v>1682.0596598000002</v>
      </c>
      <c r="E185" s="61">
        <v>609.32987067605359</v>
      </c>
      <c r="F185" s="61">
        <v>4376.0755487999995</v>
      </c>
      <c r="G185" s="61">
        <v>5107.3164232244435</v>
      </c>
      <c r="H185" s="62">
        <v>9.991732005222409E-2</v>
      </c>
      <c r="I185" s="62">
        <v>0.16709969155467697</v>
      </c>
      <c r="J185" s="62">
        <v>0.10398049318562497</v>
      </c>
    </row>
    <row r="186" spans="1:10" ht="11.25" customHeight="1" x14ac:dyDescent="0.2">
      <c r="A186" s="71">
        <v>44470</v>
      </c>
      <c r="B186" s="61">
        <v>66297.908599999995</v>
      </c>
      <c r="C186" s="61">
        <v>74163.014634878404</v>
      </c>
      <c r="D186" s="61">
        <v>1682.0596598000002</v>
      </c>
      <c r="E186" s="61">
        <v>609.32987067605359</v>
      </c>
      <c r="F186" s="61">
        <v>4376.0755487999995</v>
      </c>
      <c r="G186" s="61">
        <v>5107.3164232244435</v>
      </c>
      <c r="H186" s="62">
        <v>9.991732005222409E-2</v>
      </c>
      <c r="I186" s="62">
        <v>0.16709969155467697</v>
      </c>
      <c r="J186" s="62">
        <v>0.10398049318562497</v>
      </c>
    </row>
    <row r="187" spans="1:10" ht="11.25" customHeight="1" x14ac:dyDescent="0.2">
      <c r="A187" s="66" t="s">
        <v>61</v>
      </c>
      <c r="B187" s="61">
        <v>1637442.8814999997</v>
      </c>
      <c r="C187" s="61">
        <v>1831098.9317040234</v>
      </c>
      <c r="D187" s="61">
        <v>1080760.3828021006</v>
      </c>
      <c r="E187" s="61">
        <v>391507.86385478586</v>
      </c>
      <c r="F187" s="61">
        <v>1762939.4511001005</v>
      </c>
      <c r="G187" s="61">
        <v>2152687.0405233083</v>
      </c>
      <c r="H187" s="62">
        <v>-0.18232502155078356</v>
      </c>
      <c r="I187" s="62">
        <v>0.22107826175198442</v>
      </c>
      <c r="J187" s="62">
        <v>-2.3620956984089947E-2</v>
      </c>
    </row>
    <row r="188" spans="1:10" ht="11.25" customHeight="1" x14ac:dyDescent="0.2">
      <c r="A188" s="67" t="s">
        <v>53</v>
      </c>
      <c r="B188" s="61">
        <v>1637442.8814999997</v>
      </c>
      <c r="C188" s="61">
        <v>1831098.9317040234</v>
      </c>
      <c r="D188" s="61">
        <v>1080760.3828021006</v>
      </c>
      <c r="E188" s="61">
        <v>391507.86385478586</v>
      </c>
      <c r="F188" s="61">
        <v>1762939.4511001005</v>
      </c>
      <c r="G188" s="61">
        <v>2152687.0405233083</v>
      </c>
      <c r="H188" s="62">
        <v>-0.18232502155078356</v>
      </c>
      <c r="I188" s="62">
        <v>0.22107826175198442</v>
      </c>
      <c r="J188" s="62">
        <v>-2.3620956984089947E-2</v>
      </c>
    </row>
    <row r="189" spans="1:10" ht="11.25" customHeight="1" x14ac:dyDescent="0.2">
      <c r="A189" s="68" t="s">
        <v>25</v>
      </c>
      <c r="B189" s="61">
        <v>1637442.8814999997</v>
      </c>
      <c r="C189" s="61">
        <v>1831098.9317040234</v>
      </c>
      <c r="D189" s="61">
        <v>1080760.3828021006</v>
      </c>
      <c r="E189" s="61">
        <v>391507.86385478586</v>
      </c>
      <c r="F189" s="61">
        <v>1762939.4511001005</v>
      </c>
      <c r="G189" s="61">
        <v>2152687.0405233083</v>
      </c>
      <c r="H189" s="62">
        <v>-0.18232502155078356</v>
      </c>
      <c r="I189" s="62">
        <v>0.22107826175198442</v>
      </c>
      <c r="J189" s="62">
        <v>-2.3620956984089947E-2</v>
      </c>
    </row>
    <row r="190" spans="1:10" ht="11.25" customHeight="1" x14ac:dyDescent="0.2">
      <c r="A190" s="69" t="s">
        <v>25</v>
      </c>
      <c r="B190" s="61">
        <v>1637442.8814999997</v>
      </c>
      <c r="C190" s="61">
        <v>1831098.9317040234</v>
      </c>
      <c r="D190" s="61">
        <v>1080760.3828021006</v>
      </c>
      <c r="E190" s="61">
        <v>391507.86385478586</v>
      </c>
      <c r="F190" s="61">
        <v>1762939.4511001005</v>
      </c>
      <c r="G190" s="61">
        <v>2152687.0405233083</v>
      </c>
      <c r="H190" s="62">
        <v>-0.18232502155078356</v>
      </c>
      <c r="I190" s="62">
        <v>0.22107826175198442</v>
      </c>
      <c r="J190" s="62">
        <v>-2.3620956984089947E-2</v>
      </c>
    </row>
    <row r="191" spans="1:10" ht="11.25" customHeight="1" x14ac:dyDescent="0.2">
      <c r="A191" s="70" t="s">
        <v>38</v>
      </c>
      <c r="B191" s="61">
        <v>595723.06949999987</v>
      </c>
      <c r="C191" s="61">
        <v>665796.98939209396</v>
      </c>
      <c r="D191" s="61">
        <v>985430.27785930014</v>
      </c>
      <c r="E191" s="61">
        <v>356974.32030423329</v>
      </c>
      <c r="F191" s="61">
        <v>1514926.9987033</v>
      </c>
      <c r="G191" s="61">
        <v>1863231.7838292839</v>
      </c>
      <c r="H191" s="62">
        <v>-0.35314856626369118</v>
      </c>
      <c r="I191" s="62">
        <v>0.22991522721828495</v>
      </c>
      <c r="J191" s="62">
        <v>-6.7852648851361996E-2</v>
      </c>
    </row>
    <row r="192" spans="1:10" ht="11.25" customHeight="1" x14ac:dyDescent="0.2">
      <c r="A192" s="71">
        <v>44136</v>
      </c>
      <c r="B192" s="61">
        <v>45630.575499999999</v>
      </c>
      <c r="C192" s="61">
        <v>50998.02466543331</v>
      </c>
      <c r="D192" s="61">
        <v>96391.906356200023</v>
      </c>
      <c r="E192" s="61">
        <v>34918.183485373665</v>
      </c>
      <c r="F192" s="61">
        <v>148185.72625220002</v>
      </c>
      <c r="G192" s="61">
        <v>182255.88117398118</v>
      </c>
      <c r="H192" s="62">
        <v>-0.39505205775942942</v>
      </c>
      <c r="I192" s="62">
        <v>0.22991522721828495</v>
      </c>
      <c r="J192" s="62">
        <v>-7.5932100360789345E-2</v>
      </c>
    </row>
    <row r="193" spans="1:10" ht="11.25" customHeight="1" x14ac:dyDescent="0.2">
      <c r="A193" s="71">
        <v>44166</v>
      </c>
      <c r="B193" s="61">
        <v>45824.851499999997</v>
      </c>
      <c r="C193" s="61">
        <v>51215.153030161076</v>
      </c>
      <c r="D193" s="61">
        <v>103796.6027735</v>
      </c>
      <c r="E193" s="61">
        <v>37600.55130988075</v>
      </c>
      <c r="F193" s="61">
        <v>159569.15415350001</v>
      </c>
      <c r="G193" s="61">
        <v>196256.53248773154</v>
      </c>
      <c r="H193" s="62">
        <v>-0.40639726587811742</v>
      </c>
      <c r="I193" s="62">
        <v>0.22991522721828517</v>
      </c>
      <c r="J193" s="62">
        <v>-7.800486477234303E-2</v>
      </c>
    </row>
    <row r="194" spans="1:10" ht="11.25" customHeight="1" x14ac:dyDescent="0.2">
      <c r="A194" s="71">
        <v>44197</v>
      </c>
      <c r="B194" s="61">
        <v>47281.921499999997</v>
      </c>
      <c r="C194" s="61">
        <v>52843.615765619295</v>
      </c>
      <c r="D194" s="61">
        <v>102840.73640750001</v>
      </c>
      <c r="E194" s="61">
        <v>37254.286582714281</v>
      </c>
      <c r="F194" s="61">
        <v>158099.6765075</v>
      </c>
      <c r="G194" s="61">
        <v>194449.19955485925</v>
      </c>
      <c r="H194" s="62">
        <v>-0.39983808171149915</v>
      </c>
      <c r="I194" s="62">
        <v>0.22991522721828517</v>
      </c>
      <c r="J194" s="62">
        <v>-7.6812189995064117E-2</v>
      </c>
    </row>
    <row r="195" spans="1:10" ht="11.25" customHeight="1" x14ac:dyDescent="0.2">
      <c r="A195" s="71">
        <v>44228</v>
      </c>
      <c r="B195" s="61">
        <v>47986.171999999999</v>
      </c>
      <c r="C195" s="61">
        <v>53630.70608775744</v>
      </c>
      <c r="D195" s="61">
        <v>90187.625591700009</v>
      </c>
      <c r="E195" s="61">
        <v>32670.668913672798</v>
      </c>
      <c r="F195" s="61">
        <v>138647.72782770003</v>
      </c>
      <c r="G195" s="61">
        <v>170524.95167450464</v>
      </c>
      <c r="H195" s="62">
        <v>-0.37541432235619265</v>
      </c>
      <c r="I195" s="62">
        <v>0.22991522721828517</v>
      </c>
      <c r="J195" s="62">
        <v>-7.2231372589871223E-2</v>
      </c>
    </row>
    <row r="196" spans="1:10" ht="11.25" customHeight="1" x14ac:dyDescent="0.2">
      <c r="A196" s="71">
        <v>44256</v>
      </c>
      <c r="B196" s="61">
        <v>46869.084999999999</v>
      </c>
      <c r="C196" s="61">
        <v>52382.217990572804</v>
      </c>
      <c r="D196" s="61">
        <v>96488.446135900012</v>
      </c>
      <c r="E196" s="61">
        <v>34953.155236308288</v>
      </c>
      <c r="F196" s="61">
        <v>148334.13930790001</v>
      </c>
      <c r="G196" s="61">
        <v>182438.41665110461</v>
      </c>
      <c r="H196" s="62">
        <v>-0.39078629120580388</v>
      </c>
      <c r="I196" s="62">
        <v>0.22991522721828517</v>
      </c>
      <c r="J196" s="62">
        <v>-7.5140577488781002E-2</v>
      </c>
    </row>
    <row r="197" spans="1:10" ht="11.25" customHeight="1" x14ac:dyDescent="0.2">
      <c r="A197" s="71">
        <v>44287</v>
      </c>
      <c r="B197" s="61">
        <v>37738.112999999998</v>
      </c>
      <c r="C197" s="61">
        <v>42177.18484836795</v>
      </c>
      <c r="D197" s="61">
        <v>73056.376165499998</v>
      </c>
      <c r="E197" s="61">
        <v>26464.835525678205</v>
      </c>
      <c r="F197" s="61">
        <v>112311.4229055</v>
      </c>
      <c r="G197" s="61">
        <v>138133.52922202696</v>
      </c>
      <c r="H197" s="62">
        <v>-0.38045636663831095</v>
      </c>
      <c r="I197" s="62">
        <v>0.22991522721828517</v>
      </c>
      <c r="J197" s="62">
        <v>-7.3195561351731442E-2</v>
      </c>
    </row>
    <row r="198" spans="1:10" ht="11.25" customHeight="1" x14ac:dyDescent="0.2">
      <c r="A198" s="71">
        <v>44317</v>
      </c>
      <c r="B198" s="61">
        <v>42595.012999999999</v>
      </c>
      <c r="C198" s="61">
        <v>47605.393966562013</v>
      </c>
      <c r="D198" s="61">
        <v>77937.013490700003</v>
      </c>
      <c r="E198" s="61">
        <v>28232.857303535027</v>
      </c>
      <c r="F198" s="61">
        <v>119814.55064669999</v>
      </c>
      <c r="G198" s="61">
        <v>147361.74028269277</v>
      </c>
      <c r="H198" s="62">
        <v>-0.37080414659792882</v>
      </c>
      <c r="I198" s="62">
        <v>0.22991522721828517</v>
      </c>
      <c r="J198" s="62">
        <v>-7.1341084981659253E-2</v>
      </c>
    </row>
    <row r="199" spans="1:10" ht="11.25" customHeight="1" x14ac:dyDescent="0.2">
      <c r="A199" s="71">
        <v>44348</v>
      </c>
      <c r="B199" s="61">
        <v>39146.614000000001</v>
      </c>
      <c r="C199" s="61">
        <v>43751.365492644225</v>
      </c>
      <c r="D199" s="61">
        <v>68552.911181299991</v>
      </c>
      <c r="E199" s="61">
        <v>24833.445271218974</v>
      </c>
      <c r="F199" s="61">
        <v>105388.13178530001</v>
      </c>
      <c r="G199" s="61">
        <v>129618.46805082783</v>
      </c>
      <c r="H199" s="62">
        <v>-0.36318372204140714</v>
      </c>
      <c r="I199" s="62">
        <v>0.22991522721828495</v>
      </c>
      <c r="J199" s="62">
        <v>-6.9850963513301889E-2</v>
      </c>
    </row>
    <row r="200" spans="1:10" ht="11.25" customHeight="1" x14ac:dyDescent="0.2">
      <c r="A200" s="71">
        <v>44378</v>
      </c>
      <c r="B200" s="61">
        <v>57554.264999999999</v>
      </c>
      <c r="C200" s="61">
        <v>64324.278050599758</v>
      </c>
      <c r="D200" s="61">
        <v>60072.933183900001</v>
      </c>
      <c r="E200" s="61">
        <v>21761.554291379474</v>
      </c>
      <c r="F200" s="61">
        <v>92351.646195900001</v>
      </c>
      <c r="G200" s="61">
        <v>113584.69591501303</v>
      </c>
      <c r="H200" s="62">
        <v>-0.26814687698850537</v>
      </c>
      <c r="I200" s="62">
        <v>0.22991522721828517</v>
      </c>
      <c r="J200" s="62">
        <v>-4.90921652286197E-2</v>
      </c>
    </row>
    <row r="201" spans="1:10" ht="11.25" customHeight="1" x14ac:dyDescent="0.2">
      <c r="A201" s="71">
        <v>44409</v>
      </c>
      <c r="B201" s="61">
        <v>58137.093000000001</v>
      </c>
      <c r="C201" s="61">
        <v>64975.663144783044</v>
      </c>
      <c r="D201" s="61">
        <v>54100.538519299997</v>
      </c>
      <c r="E201" s="61">
        <v>19598.040977565284</v>
      </c>
      <c r="F201" s="61">
        <v>83170.132163300004</v>
      </c>
      <c r="G201" s="61">
        <v>102292.21199739992</v>
      </c>
      <c r="H201" s="62">
        <v>-0.24647640031672147</v>
      </c>
      <c r="I201" s="62">
        <v>0.22991522721828495</v>
      </c>
      <c r="J201" s="62">
        <v>-4.3712938533630785E-2</v>
      </c>
    </row>
    <row r="202" spans="1:10" ht="11.25" customHeight="1" x14ac:dyDescent="0.2">
      <c r="A202" s="71">
        <v>44440</v>
      </c>
      <c r="B202" s="61">
        <v>63479.683000000005</v>
      </c>
      <c r="C202" s="61">
        <v>70946.693174796528</v>
      </c>
      <c r="D202" s="61">
        <v>81002.594026899998</v>
      </c>
      <c r="E202" s="61">
        <v>29343.370703453242</v>
      </c>
      <c r="F202" s="61">
        <v>124527.34547890001</v>
      </c>
      <c r="G202" s="61">
        <v>153158.07840957117</v>
      </c>
      <c r="H202" s="62">
        <v>-0.30586597926071191</v>
      </c>
      <c r="I202" s="62">
        <v>0.22991522721828495</v>
      </c>
      <c r="J202" s="62">
        <v>-5.7847299561351373E-2</v>
      </c>
    </row>
    <row r="203" spans="1:10" ht="11.25" customHeight="1" x14ac:dyDescent="0.2">
      <c r="A203" s="71">
        <v>44470</v>
      </c>
      <c r="B203" s="61">
        <v>63479.683000000005</v>
      </c>
      <c r="C203" s="61">
        <v>70946.693174796528</v>
      </c>
      <c r="D203" s="61">
        <v>81002.594026899998</v>
      </c>
      <c r="E203" s="61">
        <v>29343.370703453242</v>
      </c>
      <c r="F203" s="61">
        <v>124527.34547890001</v>
      </c>
      <c r="G203" s="61">
        <v>153158.07840957117</v>
      </c>
      <c r="H203" s="62">
        <v>-0.30586597926071191</v>
      </c>
      <c r="I203" s="62">
        <v>0.22991522721828495</v>
      </c>
      <c r="J203" s="62">
        <v>-5.7847299561351373E-2</v>
      </c>
    </row>
    <row r="204" spans="1:10" ht="11.25" customHeight="1" x14ac:dyDescent="0.2">
      <c r="A204" s="70" t="s">
        <v>37</v>
      </c>
      <c r="B204" s="61">
        <v>1041719.812</v>
      </c>
      <c r="C204" s="61">
        <v>1165301.9423119295</v>
      </c>
      <c r="D204" s="61">
        <v>95330.104942799997</v>
      </c>
      <c r="E204" s="61">
        <v>34533.543550552567</v>
      </c>
      <c r="F204" s="61">
        <v>248012.45239679998</v>
      </c>
      <c r="G204" s="61">
        <v>289455.25669402431</v>
      </c>
      <c r="H204" s="62">
        <v>5.5217953041581724E-2</v>
      </c>
      <c r="I204" s="62">
        <v>0.16709969155467697</v>
      </c>
      <c r="J204" s="62">
        <v>7.5251754378831581E-2</v>
      </c>
    </row>
    <row r="205" spans="1:10" ht="11.25" customHeight="1" x14ac:dyDescent="0.2">
      <c r="A205" s="71">
        <v>44136</v>
      </c>
      <c r="B205" s="61">
        <v>84137.521999999997</v>
      </c>
      <c r="C205" s="61">
        <v>94118.991189842796</v>
      </c>
      <c r="D205" s="61">
        <v>8881.2512425000004</v>
      </c>
      <c r="E205" s="61">
        <v>3217.2531096058237</v>
      </c>
      <c r="F205" s="61">
        <v>23105.617079999996</v>
      </c>
      <c r="G205" s="61">
        <v>26966.558567248474</v>
      </c>
      <c r="H205" s="62">
        <v>4.6415050494086563E-2</v>
      </c>
      <c r="I205" s="62">
        <v>0.16709969155467697</v>
      </c>
      <c r="J205" s="62">
        <v>7.0428034295672459E-2</v>
      </c>
    </row>
    <row r="206" spans="1:10" ht="11.25" customHeight="1" x14ac:dyDescent="0.2">
      <c r="A206" s="71">
        <v>44166</v>
      </c>
      <c r="B206" s="61">
        <v>84948.269</v>
      </c>
      <c r="C206" s="61">
        <v>95025.91937047297</v>
      </c>
      <c r="D206" s="61">
        <v>9714.0259852999989</v>
      </c>
      <c r="E206" s="61">
        <v>3518.9276211941597</v>
      </c>
      <c r="F206" s="61">
        <v>25272.178276799998</v>
      </c>
      <c r="G206" s="61">
        <v>29495.151471768084</v>
      </c>
      <c r="H206" s="62">
        <v>4.1014767357690163E-2</v>
      </c>
      <c r="I206" s="62">
        <v>0.16709969155467697</v>
      </c>
      <c r="J206" s="62">
        <v>6.7582947428482143E-2</v>
      </c>
    </row>
    <row r="207" spans="1:10" ht="11.25" customHeight="1" x14ac:dyDescent="0.2">
      <c r="A207" s="71">
        <v>44197</v>
      </c>
      <c r="B207" s="61">
        <v>85488.766999999993</v>
      </c>
      <c r="C207" s="61">
        <v>95630.538157559757</v>
      </c>
      <c r="D207" s="61">
        <v>9600.1934665000008</v>
      </c>
      <c r="E207" s="61">
        <v>3477.6915368763302</v>
      </c>
      <c r="F207" s="61">
        <v>24976.029624000003</v>
      </c>
      <c r="G207" s="61">
        <v>29149.516470430877</v>
      </c>
      <c r="H207" s="62">
        <v>4.2268515800549578E-2</v>
      </c>
      <c r="I207" s="62">
        <v>0.16709969155467697</v>
      </c>
      <c r="J207" s="62">
        <v>6.8236011748234127E-2</v>
      </c>
    </row>
    <row r="208" spans="1:10" ht="11.25" customHeight="1" x14ac:dyDescent="0.2">
      <c r="A208" s="71">
        <v>44228</v>
      </c>
      <c r="B208" s="61">
        <v>84903.227499999994</v>
      </c>
      <c r="C208" s="61">
        <v>94975.534471549065</v>
      </c>
      <c r="D208" s="61">
        <v>8541.6599722999999</v>
      </c>
      <c r="E208" s="61">
        <v>3094.2354130882786</v>
      </c>
      <c r="F208" s="61">
        <v>22222.1305488</v>
      </c>
      <c r="G208" s="61">
        <v>25935.441709192244</v>
      </c>
      <c r="H208" s="62">
        <v>4.9493156206200206E-2</v>
      </c>
      <c r="I208" s="62">
        <v>0.16709969155467697</v>
      </c>
      <c r="J208" s="62">
        <v>7.2087909893281177E-2</v>
      </c>
    </row>
    <row r="209" spans="1:10" ht="11.25" customHeight="1" x14ac:dyDescent="0.2">
      <c r="A209" s="71">
        <v>44256</v>
      </c>
      <c r="B209" s="61">
        <v>84407.771000000008</v>
      </c>
      <c r="C209" s="61">
        <v>94421.300583386183</v>
      </c>
      <c r="D209" s="61">
        <v>9472.7446177000002</v>
      </c>
      <c r="E209" s="61">
        <v>3431.5229065874678</v>
      </c>
      <c r="F209" s="61">
        <v>24644.456491199999</v>
      </c>
      <c r="G209" s="61">
        <v>28762.537569412176</v>
      </c>
      <c r="H209" s="62">
        <v>4.2312378091846847E-2</v>
      </c>
      <c r="I209" s="62">
        <v>0.16709969155467697</v>
      </c>
      <c r="J209" s="62">
        <v>6.8258939922402506E-2</v>
      </c>
    </row>
    <row r="210" spans="1:10" ht="11.25" customHeight="1" x14ac:dyDescent="0.2">
      <c r="A210" s="71">
        <v>44287</v>
      </c>
      <c r="B210" s="61">
        <v>61211.398500000003</v>
      </c>
      <c r="C210" s="61">
        <v>68473.077637578346</v>
      </c>
      <c r="D210" s="61">
        <v>6835.9423132000002</v>
      </c>
      <c r="E210" s="61">
        <v>2476.3353792970611</v>
      </c>
      <c r="F210" s="61">
        <v>17784.5059392</v>
      </c>
      <c r="G210" s="61">
        <v>20756.291396092638</v>
      </c>
      <c r="H210" s="62">
        <v>4.2647841473218095E-2</v>
      </c>
      <c r="I210" s="62">
        <v>0.16709969155467674</v>
      </c>
      <c r="J210" s="62">
        <v>6.8434478376218744E-2</v>
      </c>
    </row>
    <row r="211" spans="1:10" ht="11.25" customHeight="1" x14ac:dyDescent="0.2">
      <c r="A211" s="71">
        <v>44317</v>
      </c>
      <c r="B211" s="61">
        <v>64409.344999999994</v>
      </c>
      <c r="C211" s="61">
        <v>72050.405461175149</v>
      </c>
      <c r="D211" s="61">
        <v>7031.2004853999997</v>
      </c>
      <c r="E211" s="61">
        <v>2547.0680885216643</v>
      </c>
      <c r="F211" s="61">
        <v>18292.492982399999</v>
      </c>
      <c r="G211" s="61">
        <v>21349.162917525129</v>
      </c>
      <c r="H211" s="62">
        <v>4.4189585099710493E-2</v>
      </c>
      <c r="I211" s="62">
        <v>0.16709969155467674</v>
      </c>
      <c r="J211" s="62">
        <v>6.9245376123663327E-2</v>
      </c>
    </row>
    <row r="212" spans="1:10" ht="11.25" customHeight="1" x14ac:dyDescent="0.2">
      <c r="A212" s="71">
        <v>44348</v>
      </c>
      <c r="B212" s="61">
        <v>54950.630000000005</v>
      </c>
      <c r="C212" s="61">
        <v>61469.576687156426</v>
      </c>
      <c r="D212" s="61">
        <v>6904.9771062999998</v>
      </c>
      <c r="E212" s="61">
        <v>2501.3433873701947</v>
      </c>
      <c r="F212" s="61">
        <v>17964.108052799998</v>
      </c>
      <c r="G212" s="61">
        <v>20965.904967477767</v>
      </c>
      <c r="H212" s="62">
        <v>3.4197594481473859E-2</v>
      </c>
      <c r="I212" s="62">
        <v>0.16709969155467697</v>
      </c>
      <c r="J212" s="62">
        <v>6.4108345572328362E-2</v>
      </c>
    </row>
    <row r="213" spans="1:10" ht="11.25" customHeight="1" x14ac:dyDescent="0.2">
      <c r="A213" s="71">
        <v>44378</v>
      </c>
      <c r="B213" s="61">
        <v>104856.61199999999</v>
      </c>
      <c r="C213" s="61">
        <v>117296.04469483621</v>
      </c>
      <c r="D213" s="61">
        <v>6302.7268303999999</v>
      </c>
      <c r="E213" s="61">
        <v>2283.1768790714355</v>
      </c>
      <c r="F213" s="61">
        <v>16397.283302399999</v>
      </c>
      <c r="G213" s="61">
        <v>19137.264284565692</v>
      </c>
      <c r="H213" s="62">
        <v>7.5746067150994634E-2</v>
      </c>
      <c r="I213" s="62">
        <v>0.16709969155467674</v>
      </c>
      <c r="J213" s="62">
        <v>8.7489489287782662E-2</v>
      </c>
    </row>
    <row r="214" spans="1:10" ht="11.25" customHeight="1" x14ac:dyDescent="0.2">
      <c r="A214" s="71">
        <v>44409</v>
      </c>
      <c r="B214" s="61">
        <v>104856.61199999999</v>
      </c>
      <c r="C214" s="61">
        <v>117296.04469483621</v>
      </c>
      <c r="D214" s="61">
        <v>5413.8528079999996</v>
      </c>
      <c r="E214" s="61">
        <v>1961.1802780824464</v>
      </c>
      <c r="F214" s="61">
        <v>14084.773247999998</v>
      </c>
      <c r="G214" s="61">
        <v>16438.334513358364</v>
      </c>
      <c r="H214" s="62">
        <v>8.1497436149980729E-2</v>
      </c>
      <c r="I214" s="62">
        <v>0.16709969155467697</v>
      </c>
      <c r="J214" s="62">
        <v>9.1192953409571897E-2</v>
      </c>
    </row>
    <row r="215" spans="1:10" ht="11.25" customHeight="1" x14ac:dyDescent="0.2">
      <c r="A215" s="71">
        <v>44440</v>
      </c>
      <c r="B215" s="61">
        <v>113774.829</v>
      </c>
      <c r="C215" s="61">
        <v>127272.25468176816</v>
      </c>
      <c r="D215" s="61">
        <v>8315.7650575999996</v>
      </c>
      <c r="E215" s="61">
        <v>3012.4044754288525</v>
      </c>
      <c r="F215" s="61">
        <v>21634.438425599998</v>
      </c>
      <c r="G215" s="61">
        <v>25249.546413476408</v>
      </c>
      <c r="H215" s="62">
        <v>6.7114630433620537E-2</v>
      </c>
      <c r="I215" s="62">
        <v>0.16709969155467697</v>
      </c>
      <c r="J215" s="62">
        <v>8.216504030954952E-2</v>
      </c>
    </row>
    <row r="216" spans="1:10" ht="11.25" customHeight="1" x14ac:dyDescent="0.2">
      <c r="A216" s="71">
        <v>44470</v>
      </c>
      <c r="B216" s="61">
        <v>113774.829</v>
      </c>
      <c r="C216" s="61">
        <v>127272.25468176816</v>
      </c>
      <c r="D216" s="61">
        <v>8315.7650575999996</v>
      </c>
      <c r="E216" s="61">
        <v>3012.4044754288525</v>
      </c>
      <c r="F216" s="61">
        <v>21634.438425599998</v>
      </c>
      <c r="G216" s="61">
        <v>25249.546413476408</v>
      </c>
      <c r="H216" s="62">
        <v>6.7114630433620537E-2</v>
      </c>
      <c r="I216" s="62">
        <v>0.16709969155467697</v>
      </c>
      <c r="J216" s="62">
        <v>8.216504030954952E-2</v>
      </c>
    </row>
    <row r="217" spans="1:10" ht="11.25" customHeight="1" x14ac:dyDescent="0.2">
      <c r="A217" s="65" t="s">
        <v>36</v>
      </c>
      <c r="B217" s="61">
        <v>138461266.01910001</v>
      </c>
      <c r="C217" s="61">
        <v>154748235.85446975</v>
      </c>
      <c r="D217" s="61">
        <v>205589452.28983012</v>
      </c>
      <c r="E217" s="61">
        <v>133280138.22459151</v>
      </c>
      <c r="F217" s="61">
        <v>207291907.88760659</v>
      </c>
      <c r="G217" s="61">
        <v>253487286.783214</v>
      </c>
      <c r="H217" s="62">
        <v>-0.16283164443088116</v>
      </c>
      <c r="I217" s="62">
        <v>0.22285181976642598</v>
      </c>
      <c r="J217" s="62">
        <v>-1.7823699578705221E-2</v>
      </c>
    </row>
    <row r="218" spans="1:10" ht="11.25" customHeight="1" x14ac:dyDescent="0.2">
      <c r="A218" s="66" t="s">
        <v>45</v>
      </c>
      <c r="B218" s="61">
        <v>52571142.740000002</v>
      </c>
      <c r="C218" s="61">
        <v>58754999.3566164</v>
      </c>
      <c r="D218" s="61">
        <v>81881891.902689993</v>
      </c>
      <c r="E218" s="61">
        <v>52867299.06926249</v>
      </c>
      <c r="F218" s="61">
        <v>82958230.714059979</v>
      </c>
      <c r="G218" s="61">
        <v>101453798.32303384</v>
      </c>
      <c r="H218" s="62">
        <v>-0.16980454385045296</v>
      </c>
      <c r="I218" s="62">
        <v>0.22295036248692535</v>
      </c>
      <c r="J218" s="62">
        <v>-1.9939944697547674E-2</v>
      </c>
    </row>
    <row r="219" spans="1:10" ht="11.25" customHeight="1" x14ac:dyDescent="0.2">
      <c r="A219" s="67" t="s">
        <v>25</v>
      </c>
      <c r="B219" s="61">
        <v>52571142.740000002</v>
      </c>
      <c r="C219" s="61">
        <v>58754999.3566164</v>
      </c>
      <c r="D219" s="61">
        <v>81881891.902689993</v>
      </c>
      <c r="E219" s="61">
        <v>52867299.06926249</v>
      </c>
      <c r="F219" s="61">
        <v>82958230.714059979</v>
      </c>
      <c r="G219" s="61">
        <v>101453798.32303384</v>
      </c>
      <c r="H219" s="62">
        <v>-0.16980454385045296</v>
      </c>
      <c r="I219" s="62">
        <v>0.22295036248692535</v>
      </c>
      <c r="J219" s="62">
        <v>-1.9939944697547674E-2</v>
      </c>
    </row>
    <row r="220" spans="1:10" ht="11.25" customHeight="1" x14ac:dyDescent="0.2">
      <c r="A220" s="68" t="s">
        <v>25</v>
      </c>
      <c r="B220" s="61">
        <v>52571142.740000002</v>
      </c>
      <c r="C220" s="61">
        <v>58754999.3566164</v>
      </c>
      <c r="D220" s="61">
        <v>81881891.902689993</v>
      </c>
      <c r="E220" s="61">
        <v>52867299.06926249</v>
      </c>
      <c r="F220" s="61">
        <v>82958230.714059979</v>
      </c>
      <c r="G220" s="61">
        <v>101453798.32303384</v>
      </c>
      <c r="H220" s="62">
        <v>-0.16980454385045296</v>
      </c>
      <c r="I220" s="62">
        <v>0.22295036248692535</v>
      </c>
      <c r="J220" s="62">
        <v>-1.9939944697547674E-2</v>
      </c>
    </row>
    <row r="221" spans="1:10" ht="11.25" customHeight="1" x14ac:dyDescent="0.2">
      <c r="A221" s="69" t="s">
        <v>25</v>
      </c>
      <c r="B221" s="61">
        <v>52571142.740000002</v>
      </c>
      <c r="C221" s="61">
        <v>58754999.3566164</v>
      </c>
      <c r="D221" s="61">
        <v>81881891.902689993</v>
      </c>
      <c r="E221" s="61">
        <v>52867299.06926249</v>
      </c>
      <c r="F221" s="61">
        <v>82958230.714059979</v>
      </c>
      <c r="G221" s="61">
        <v>101453798.32303384</v>
      </c>
      <c r="H221" s="62">
        <v>-0.16980454385045296</v>
      </c>
      <c r="I221" s="62">
        <v>0.22295036248692535</v>
      </c>
      <c r="J221" s="62">
        <v>-1.9939944697547674E-2</v>
      </c>
    </row>
    <row r="222" spans="1:10" ht="11.25" customHeight="1" x14ac:dyDescent="0.2">
      <c r="A222" s="70" t="s">
        <v>38</v>
      </c>
      <c r="B222" s="61">
        <v>0</v>
      </c>
      <c r="C222" s="61">
        <v>0</v>
      </c>
      <c r="D222" s="61">
        <v>47979421.211019985</v>
      </c>
      <c r="E222" s="61">
        <v>17380652.553726211</v>
      </c>
      <c r="F222" s="61">
        <v>73759983.032619998</v>
      </c>
      <c r="G222" s="61">
        <v>90718526.291181684</v>
      </c>
      <c r="H222" s="62">
        <v>-0.63774776529121202</v>
      </c>
      <c r="I222" s="62">
        <v>0.2299152272182845</v>
      </c>
      <c r="J222" s="62">
        <v>-0.11204445662830453</v>
      </c>
    </row>
    <row r="223" spans="1:10" ht="11.25" customHeight="1" x14ac:dyDescent="0.2">
      <c r="A223" s="71">
        <v>44136</v>
      </c>
      <c r="B223" s="61">
        <v>0</v>
      </c>
      <c r="C223" s="61">
        <v>0</v>
      </c>
      <c r="D223" s="61">
        <v>3971973.3886299999</v>
      </c>
      <c r="E223" s="61">
        <v>1438856.2362350544</v>
      </c>
      <c r="F223" s="61">
        <v>6106215.5890299994</v>
      </c>
      <c r="G223" s="61">
        <v>7510127.533625667</v>
      </c>
      <c r="H223" s="62">
        <v>-0.63774776529121202</v>
      </c>
      <c r="I223" s="62">
        <v>0.22991522721828517</v>
      </c>
      <c r="J223" s="62">
        <v>-0.11204445662830409</v>
      </c>
    </row>
    <row r="224" spans="1:10" ht="11.25" customHeight="1" x14ac:dyDescent="0.2">
      <c r="A224" s="71">
        <v>44166</v>
      </c>
      <c r="B224" s="61">
        <v>0</v>
      </c>
      <c r="C224" s="61">
        <v>0</v>
      </c>
      <c r="D224" s="61">
        <v>3810269.5942999995</v>
      </c>
      <c r="E224" s="61">
        <v>1380278.6753781214</v>
      </c>
      <c r="F224" s="61">
        <v>5857624.2383000003</v>
      </c>
      <c r="G224" s="61">
        <v>7204381.2460080786</v>
      </c>
      <c r="H224" s="62">
        <v>-0.63774776529121213</v>
      </c>
      <c r="I224" s="62">
        <v>0.22991522721828495</v>
      </c>
      <c r="J224" s="62">
        <v>-0.11204445662830398</v>
      </c>
    </row>
    <row r="225" spans="1:10" ht="11.25" customHeight="1" x14ac:dyDescent="0.2">
      <c r="A225" s="71">
        <v>44197</v>
      </c>
      <c r="B225" s="61">
        <v>0</v>
      </c>
      <c r="C225" s="61">
        <v>0</v>
      </c>
      <c r="D225" s="61">
        <v>3186488.0102900001</v>
      </c>
      <c r="E225" s="61">
        <v>1154312.4026003117</v>
      </c>
      <c r="F225" s="61">
        <v>4898668.96349</v>
      </c>
      <c r="G225" s="61">
        <v>6024947.5512979645</v>
      </c>
      <c r="H225" s="62">
        <v>-0.63774776529121202</v>
      </c>
      <c r="I225" s="62">
        <v>0.22991522721828517</v>
      </c>
      <c r="J225" s="62">
        <v>-0.1120444566283042</v>
      </c>
    </row>
    <row r="226" spans="1:10" ht="11.25" customHeight="1" x14ac:dyDescent="0.2">
      <c r="A226" s="71">
        <v>44228</v>
      </c>
      <c r="B226" s="61">
        <v>0</v>
      </c>
      <c r="C226" s="61">
        <v>0</v>
      </c>
      <c r="D226" s="61">
        <v>3064708.3429299998</v>
      </c>
      <c r="E226" s="61">
        <v>1110197.4459570588</v>
      </c>
      <c r="F226" s="61">
        <v>4711453.987329999</v>
      </c>
      <c r="G226" s="61">
        <v>5794689.001355472</v>
      </c>
      <c r="H226" s="62">
        <v>-0.63774776529121202</v>
      </c>
      <c r="I226" s="62">
        <v>0.22991522721828539</v>
      </c>
      <c r="J226" s="62">
        <v>-0.11204445662830409</v>
      </c>
    </row>
    <row r="227" spans="1:10" ht="11.25" customHeight="1" x14ac:dyDescent="0.2">
      <c r="A227" s="71">
        <v>44256</v>
      </c>
      <c r="B227" s="61">
        <v>0</v>
      </c>
      <c r="C227" s="61">
        <v>0</v>
      </c>
      <c r="D227" s="61">
        <v>3568242.1715200003</v>
      </c>
      <c r="E227" s="61">
        <v>1292603.7006152582</v>
      </c>
      <c r="F227" s="61">
        <v>5485549.3331200005</v>
      </c>
      <c r="G227" s="61">
        <v>6746760.6544613969</v>
      </c>
      <c r="H227" s="62">
        <v>-0.63774776529121202</v>
      </c>
      <c r="I227" s="62">
        <v>0.22991522721828495</v>
      </c>
      <c r="J227" s="62">
        <v>-0.11204445662830431</v>
      </c>
    </row>
    <row r="228" spans="1:10" ht="11.25" customHeight="1" x14ac:dyDescent="0.2">
      <c r="A228" s="71">
        <v>44287</v>
      </c>
      <c r="B228" s="61">
        <v>0</v>
      </c>
      <c r="C228" s="61">
        <v>0</v>
      </c>
      <c r="D228" s="61">
        <v>3570416.2954199994</v>
      </c>
      <c r="E228" s="61">
        <v>1293391.2818565669</v>
      </c>
      <c r="F228" s="61">
        <v>5488891.669019999</v>
      </c>
      <c r="G228" s="61">
        <v>6750871.4442792861</v>
      </c>
      <c r="H228" s="62">
        <v>-0.63774776529121202</v>
      </c>
      <c r="I228" s="62">
        <v>0.22991522721828539</v>
      </c>
      <c r="J228" s="62">
        <v>-0.11204445662830398</v>
      </c>
    </row>
    <row r="229" spans="1:10" ht="11.25" customHeight="1" x14ac:dyDescent="0.2">
      <c r="A229" s="71">
        <v>44317</v>
      </c>
      <c r="B229" s="61">
        <v>0</v>
      </c>
      <c r="C229" s="61">
        <v>0</v>
      </c>
      <c r="D229" s="61">
        <v>3811157.4987199996</v>
      </c>
      <c r="E229" s="61">
        <v>1380600.3207384744</v>
      </c>
      <c r="F229" s="61">
        <v>5858989.2363199992</v>
      </c>
      <c r="G229" s="61">
        <v>7206060.0778579991</v>
      </c>
      <c r="H229" s="62">
        <v>-0.63774776529121202</v>
      </c>
      <c r="I229" s="62">
        <v>0.22991522721828517</v>
      </c>
      <c r="J229" s="62">
        <v>-0.11204445662830398</v>
      </c>
    </row>
    <row r="230" spans="1:10" ht="11.25" customHeight="1" x14ac:dyDescent="0.2">
      <c r="A230" s="71">
        <v>44348</v>
      </c>
      <c r="B230" s="61">
        <v>0</v>
      </c>
      <c r="C230" s="61">
        <v>0</v>
      </c>
      <c r="D230" s="61">
        <v>3654532.8947399999</v>
      </c>
      <c r="E230" s="61">
        <v>1323862.7079363405</v>
      </c>
      <c r="F230" s="61">
        <v>5618206.2539399993</v>
      </c>
      <c r="G230" s="61">
        <v>6909917.421373806</v>
      </c>
      <c r="H230" s="62">
        <v>-0.63774776529121213</v>
      </c>
      <c r="I230" s="62">
        <v>0.22991522721828539</v>
      </c>
      <c r="J230" s="62">
        <v>-0.11204445662830409</v>
      </c>
    </row>
    <row r="231" spans="1:10" ht="11.25" customHeight="1" x14ac:dyDescent="0.2">
      <c r="A231" s="71">
        <v>44378</v>
      </c>
      <c r="B231" s="61">
        <v>0</v>
      </c>
      <c r="C231" s="61">
        <v>0</v>
      </c>
      <c r="D231" s="61">
        <v>3807403.730909999</v>
      </c>
      <c r="E231" s="61">
        <v>1379240.5099607238</v>
      </c>
      <c r="F231" s="61">
        <v>5853218.4737100005</v>
      </c>
      <c r="G231" s="61">
        <v>7198962.5290512983</v>
      </c>
      <c r="H231" s="62">
        <v>-0.63774776529121202</v>
      </c>
      <c r="I231" s="62">
        <v>0.22991522721828495</v>
      </c>
      <c r="J231" s="62">
        <v>-0.1120444566283042</v>
      </c>
    </row>
    <row r="232" spans="1:10" ht="11.25" customHeight="1" x14ac:dyDescent="0.2">
      <c r="A232" s="71">
        <v>44409</v>
      </c>
      <c r="B232" s="61">
        <v>0</v>
      </c>
      <c r="C232" s="61">
        <v>0</v>
      </c>
      <c r="D232" s="61">
        <v>7514641.2494399985</v>
      </c>
      <c r="E232" s="61">
        <v>2722195.585644478</v>
      </c>
      <c r="F232" s="61">
        <v>11552448.884639999</v>
      </c>
      <c r="G232" s="61">
        <v>14208532.794879628</v>
      </c>
      <c r="H232" s="62">
        <v>-0.63774776529121202</v>
      </c>
      <c r="I232" s="62">
        <v>0.22991522721828517</v>
      </c>
      <c r="J232" s="62">
        <v>-0.11204445662830409</v>
      </c>
    </row>
    <row r="233" spans="1:10" ht="11.25" customHeight="1" x14ac:dyDescent="0.2">
      <c r="A233" s="71">
        <v>44440</v>
      </c>
      <c r="B233" s="61">
        <v>0</v>
      </c>
      <c r="C233" s="61">
        <v>0</v>
      </c>
      <c r="D233" s="61">
        <v>4009794.01706</v>
      </c>
      <c r="E233" s="61">
        <v>1452556.8434019126</v>
      </c>
      <c r="F233" s="61">
        <v>6164358.2018599994</v>
      </c>
      <c r="G233" s="61">
        <v>7581638.018495542</v>
      </c>
      <c r="H233" s="62">
        <v>-0.63774776529121202</v>
      </c>
      <c r="I233" s="62">
        <v>0.22991522721828539</v>
      </c>
      <c r="J233" s="62">
        <v>-0.11204445662830409</v>
      </c>
    </row>
    <row r="234" spans="1:10" ht="11.25" customHeight="1" x14ac:dyDescent="0.2">
      <c r="A234" s="71">
        <v>44470</v>
      </c>
      <c r="B234" s="61">
        <v>0</v>
      </c>
      <c r="C234" s="61">
        <v>0</v>
      </c>
      <c r="D234" s="61">
        <v>4009794.01706</v>
      </c>
      <c r="E234" s="61">
        <v>1452556.8434019126</v>
      </c>
      <c r="F234" s="61">
        <v>6164358.2018599994</v>
      </c>
      <c r="G234" s="61">
        <v>7581638.018495542</v>
      </c>
      <c r="H234" s="62">
        <v>-0.63774776529121202</v>
      </c>
      <c r="I234" s="62">
        <v>0.22991522721828539</v>
      </c>
      <c r="J234" s="62">
        <v>-0.11204445662830409</v>
      </c>
    </row>
    <row r="235" spans="1:10" ht="11.25" customHeight="1" x14ac:dyDescent="0.2">
      <c r="A235" s="70" t="s">
        <v>25</v>
      </c>
      <c r="B235" s="61">
        <v>52571142.740000002</v>
      </c>
      <c r="C235" s="61">
        <v>58754999.3566164</v>
      </c>
      <c r="D235" s="61">
        <v>0</v>
      </c>
      <c r="E235" s="61">
        <v>0</v>
      </c>
      <c r="F235" s="61">
        <v>0</v>
      </c>
      <c r="G235" s="61">
        <v>0</v>
      </c>
      <c r="H235" s="62">
        <v>0.11762834692789115</v>
      </c>
      <c r="I235" s="62">
        <v>0</v>
      </c>
      <c r="J235" s="62">
        <v>0.11762834692789115</v>
      </c>
    </row>
    <row r="236" spans="1:10" ht="11.25" customHeight="1" x14ac:dyDescent="0.2">
      <c r="A236" s="71">
        <v>44136</v>
      </c>
      <c r="B236" s="61">
        <v>4382323.7300000004</v>
      </c>
      <c r="C236" s="61">
        <v>4897809.2260627691</v>
      </c>
      <c r="D236" s="61">
        <v>0</v>
      </c>
      <c r="E236" s="61">
        <v>0</v>
      </c>
      <c r="F236" s="61">
        <v>0</v>
      </c>
      <c r="G236" s="61">
        <v>0</v>
      </c>
      <c r="H236" s="62">
        <v>0.11762834692789093</v>
      </c>
      <c r="I236" s="62">
        <v>0</v>
      </c>
      <c r="J236" s="62">
        <v>0.11762834692789093</v>
      </c>
    </row>
    <row r="237" spans="1:10" ht="11.25" customHeight="1" x14ac:dyDescent="0.2">
      <c r="A237" s="71">
        <v>44166</v>
      </c>
      <c r="B237" s="61">
        <v>4106680.37</v>
      </c>
      <c r="C237" s="61">
        <v>4589742.393284319</v>
      </c>
      <c r="D237" s="61">
        <v>0</v>
      </c>
      <c r="E237" s="61">
        <v>0</v>
      </c>
      <c r="F237" s="61">
        <v>0</v>
      </c>
      <c r="G237" s="61">
        <v>0</v>
      </c>
      <c r="H237" s="62">
        <v>0.1176283469278907</v>
      </c>
      <c r="I237" s="62">
        <v>0</v>
      </c>
      <c r="J237" s="62">
        <v>0.1176283469278907</v>
      </c>
    </row>
    <row r="238" spans="1:10" ht="11.25" customHeight="1" x14ac:dyDescent="0.2">
      <c r="A238" s="71">
        <v>44197</v>
      </c>
      <c r="B238" s="61">
        <v>4233588.3100000005</v>
      </c>
      <c r="C238" s="61">
        <v>4731578.3044785429</v>
      </c>
      <c r="D238" s="61">
        <v>0</v>
      </c>
      <c r="E238" s="61">
        <v>0</v>
      </c>
      <c r="F238" s="61">
        <v>0</v>
      </c>
      <c r="G238" s="61">
        <v>0</v>
      </c>
      <c r="H238" s="62">
        <v>0.1176283469278907</v>
      </c>
      <c r="I238" s="62">
        <v>0</v>
      </c>
      <c r="J238" s="62">
        <v>0.1176283469278907</v>
      </c>
    </row>
    <row r="239" spans="1:10" ht="11.25" customHeight="1" x14ac:dyDescent="0.2">
      <c r="A239" s="71">
        <v>44228</v>
      </c>
      <c r="B239" s="61">
        <v>4256872.8600000003</v>
      </c>
      <c r="C239" s="61">
        <v>4757601.7776040034</v>
      </c>
      <c r="D239" s="61">
        <v>0</v>
      </c>
      <c r="E239" s="61">
        <v>0</v>
      </c>
      <c r="F239" s="61">
        <v>0</v>
      </c>
      <c r="G239" s="61">
        <v>0</v>
      </c>
      <c r="H239" s="62">
        <v>0.11762834692789093</v>
      </c>
      <c r="I239" s="62">
        <v>0</v>
      </c>
      <c r="J239" s="62">
        <v>0.11762834692789093</v>
      </c>
    </row>
    <row r="240" spans="1:10" ht="11.25" customHeight="1" x14ac:dyDescent="0.2">
      <c r="A240" s="71">
        <v>44256</v>
      </c>
      <c r="B240" s="61">
        <v>4258329.93</v>
      </c>
      <c r="C240" s="61">
        <v>4759230.2403394608</v>
      </c>
      <c r="D240" s="61">
        <v>0</v>
      </c>
      <c r="E240" s="61">
        <v>0</v>
      </c>
      <c r="F240" s="61">
        <v>0</v>
      </c>
      <c r="G240" s="61">
        <v>0</v>
      </c>
      <c r="H240" s="62">
        <v>0.11762834692789093</v>
      </c>
      <c r="I240" s="62">
        <v>0</v>
      </c>
      <c r="J240" s="62">
        <v>0.11762834692789093</v>
      </c>
    </row>
    <row r="241" spans="1:10" ht="11.25" customHeight="1" x14ac:dyDescent="0.2">
      <c r="A241" s="71">
        <v>44287</v>
      </c>
      <c r="B241" s="61">
        <v>4128136.44</v>
      </c>
      <c r="C241" s="61">
        <v>4613722.3053299878</v>
      </c>
      <c r="D241" s="61">
        <v>0</v>
      </c>
      <c r="E241" s="61">
        <v>0</v>
      </c>
      <c r="F241" s="61">
        <v>0</v>
      </c>
      <c r="G241" s="61">
        <v>0</v>
      </c>
      <c r="H241" s="62">
        <v>0.1176283469278907</v>
      </c>
      <c r="I241" s="62">
        <v>0</v>
      </c>
      <c r="J241" s="62">
        <v>0.1176283469278907</v>
      </c>
    </row>
    <row r="242" spans="1:10" ht="11.25" customHeight="1" x14ac:dyDescent="0.2">
      <c r="A242" s="71">
        <v>44317</v>
      </c>
      <c r="B242" s="61">
        <v>4204275.4899999993</v>
      </c>
      <c r="C242" s="61">
        <v>4698817.4659181479</v>
      </c>
      <c r="D242" s="61">
        <v>0</v>
      </c>
      <c r="E242" s="61">
        <v>0</v>
      </c>
      <c r="F242" s="61">
        <v>0</v>
      </c>
      <c r="G242" s="61">
        <v>0</v>
      </c>
      <c r="H242" s="62">
        <v>0.11762834692789093</v>
      </c>
      <c r="I242" s="62">
        <v>0</v>
      </c>
      <c r="J242" s="62">
        <v>0.11762834692789093</v>
      </c>
    </row>
    <row r="243" spans="1:10" ht="11.25" customHeight="1" x14ac:dyDescent="0.2">
      <c r="A243" s="71">
        <v>44348</v>
      </c>
      <c r="B243" s="61">
        <v>4204104.07</v>
      </c>
      <c r="C243" s="61">
        <v>4698625.8820669176</v>
      </c>
      <c r="D243" s="61">
        <v>0</v>
      </c>
      <c r="E243" s="61">
        <v>0</v>
      </c>
      <c r="F243" s="61">
        <v>0</v>
      </c>
      <c r="G243" s="61">
        <v>0</v>
      </c>
      <c r="H243" s="62">
        <v>0.1176283469278907</v>
      </c>
      <c r="I243" s="62">
        <v>0</v>
      </c>
      <c r="J243" s="62">
        <v>0.1176283469278907</v>
      </c>
    </row>
    <row r="244" spans="1:10" ht="11.25" customHeight="1" x14ac:dyDescent="0.2">
      <c r="A244" s="71">
        <v>44378</v>
      </c>
      <c r="B244" s="61">
        <v>4386637.7999999989</v>
      </c>
      <c r="C244" s="61">
        <v>4902630.7529854001</v>
      </c>
      <c r="D244" s="61">
        <v>0</v>
      </c>
      <c r="E244" s="61">
        <v>0</v>
      </c>
      <c r="F244" s="61">
        <v>0</v>
      </c>
      <c r="G244" s="61">
        <v>0</v>
      </c>
      <c r="H244" s="62">
        <v>0.11762834692789115</v>
      </c>
      <c r="I244" s="62">
        <v>0</v>
      </c>
      <c r="J244" s="62">
        <v>0.11762834692789115</v>
      </c>
    </row>
    <row r="245" spans="1:10" ht="11.25" customHeight="1" x14ac:dyDescent="0.2">
      <c r="A245" s="71">
        <v>44409</v>
      </c>
      <c r="B245" s="61">
        <v>5711771.54</v>
      </c>
      <c r="C245" s="61">
        <v>6383637.7842799723</v>
      </c>
      <c r="D245" s="61">
        <v>0</v>
      </c>
      <c r="E245" s="61">
        <v>0</v>
      </c>
      <c r="F245" s="61">
        <v>0</v>
      </c>
      <c r="G245" s="61">
        <v>0</v>
      </c>
      <c r="H245" s="62">
        <v>0.1176283469278907</v>
      </c>
      <c r="I245" s="62">
        <v>0</v>
      </c>
      <c r="J245" s="62">
        <v>0.1176283469278907</v>
      </c>
    </row>
    <row r="246" spans="1:10" ht="11.25" customHeight="1" x14ac:dyDescent="0.2">
      <c r="A246" s="71">
        <v>44440</v>
      </c>
      <c r="B246" s="61">
        <v>4349211.0999999996</v>
      </c>
      <c r="C246" s="61">
        <v>4860801.612133434</v>
      </c>
      <c r="D246" s="61">
        <v>0</v>
      </c>
      <c r="E246" s="61">
        <v>0</v>
      </c>
      <c r="F246" s="61">
        <v>0</v>
      </c>
      <c r="G246" s="61">
        <v>0</v>
      </c>
      <c r="H246" s="62">
        <v>0.11762834692789093</v>
      </c>
      <c r="I246" s="62">
        <v>0</v>
      </c>
      <c r="J246" s="62">
        <v>0.11762834692789093</v>
      </c>
    </row>
    <row r="247" spans="1:10" ht="11.25" customHeight="1" x14ac:dyDescent="0.2">
      <c r="A247" s="71">
        <v>44470</v>
      </c>
      <c r="B247" s="61">
        <v>4349211.0999999996</v>
      </c>
      <c r="C247" s="61">
        <v>4860801.612133434</v>
      </c>
      <c r="D247" s="61">
        <v>0</v>
      </c>
      <c r="E247" s="61">
        <v>0</v>
      </c>
      <c r="F247" s="61">
        <v>0</v>
      </c>
      <c r="G247" s="61">
        <v>0</v>
      </c>
      <c r="H247" s="62">
        <v>0.11762834692789093</v>
      </c>
      <c r="I247" s="62">
        <v>0</v>
      </c>
      <c r="J247" s="62">
        <v>0.11762834692789093</v>
      </c>
    </row>
    <row r="248" spans="1:10" ht="11.25" customHeight="1" x14ac:dyDescent="0.2">
      <c r="A248" s="70" t="s">
        <v>37</v>
      </c>
      <c r="B248" s="61">
        <v>0</v>
      </c>
      <c r="C248" s="61">
        <v>0</v>
      </c>
      <c r="D248" s="61">
        <v>33902470.691669993</v>
      </c>
      <c r="E248" s="61">
        <v>35486646.515536278</v>
      </c>
      <c r="F248" s="61">
        <v>9198247.6814399995</v>
      </c>
      <c r="G248" s="61">
        <v>10735272.031852147</v>
      </c>
      <c r="H248" s="62">
        <v>4.672744468312473E-2</v>
      </c>
      <c r="I248" s="62">
        <v>0.16709969155467652</v>
      </c>
      <c r="J248" s="62">
        <v>7.2416430446915481E-2</v>
      </c>
    </row>
    <row r="249" spans="1:10" ht="11.25" customHeight="1" x14ac:dyDescent="0.2">
      <c r="A249" s="71">
        <v>44136</v>
      </c>
      <c r="B249" s="61">
        <v>0</v>
      </c>
      <c r="C249" s="61">
        <v>0</v>
      </c>
      <c r="D249" s="61">
        <v>2807697.5073000002</v>
      </c>
      <c r="E249" s="61">
        <v>2938894.0372593086</v>
      </c>
      <c r="F249" s="61">
        <v>761770.35359999991</v>
      </c>
      <c r="G249" s="61">
        <v>889061.94472205709</v>
      </c>
      <c r="H249" s="62">
        <v>4.6727444683124952E-2</v>
      </c>
      <c r="I249" s="62">
        <v>0.16709969155467697</v>
      </c>
      <c r="J249" s="62">
        <v>7.2416430446915703E-2</v>
      </c>
    </row>
    <row r="250" spans="1:10" ht="11.25" customHeight="1" x14ac:dyDescent="0.2">
      <c r="A250" s="71">
        <v>44166</v>
      </c>
      <c r="B250" s="61">
        <v>0</v>
      </c>
      <c r="C250" s="61">
        <v>0</v>
      </c>
      <c r="D250" s="61">
        <v>2824006.76523</v>
      </c>
      <c r="E250" s="61">
        <v>2955965.385137056</v>
      </c>
      <c r="F250" s="61">
        <v>766195.29935999995</v>
      </c>
      <c r="G250" s="61">
        <v>894226.29755369935</v>
      </c>
      <c r="H250" s="62">
        <v>4.6727444683125174E-2</v>
      </c>
      <c r="I250" s="62">
        <v>0.16709969155467697</v>
      </c>
      <c r="J250" s="62">
        <v>7.2416430446915925E-2</v>
      </c>
    </row>
    <row r="251" spans="1:10" ht="11.25" customHeight="1" x14ac:dyDescent="0.2">
      <c r="A251" s="71">
        <v>44197</v>
      </c>
      <c r="B251" s="61">
        <v>0</v>
      </c>
      <c r="C251" s="61">
        <v>0</v>
      </c>
      <c r="D251" s="61">
        <v>2071356.1053500001</v>
      </c>
      <c r="E251" s="61">
        <v>2168145.2831817954</v>
      </c>
      <c r="F251" s="61">
        <v>561989.91120000009</v>
      </c>
      <c r="G251" s="61">
        <v>655898.2520183603</v>
      </c>
      <c r="H251" s="62">
        <v>4.6727444683124952E-2</v>
      </c>
      <c r="I251" s="62">
        <v>0.16709969155467674</v>
      </c>
      <c r="J251" s="62">
        <v>7.2416430446915703E-2</v>
      </c>
    </row>
    <row r="252" spans="1:10" ht="11.25" customHeight="1" x14ac:dyDescent="0.2">
      <c r="A252" s="71">
        <v>44228</v>
      </c>
      <c r="B252" s="61">
        <v>0</v>
      </c>
      <c r="C252" s="61">
        <v>0</v>
      </c>
      <c r="D252" s="61">
        <v>2017979.0477699998</v>
      </c>
      <c r="E252" s="61">
        <v>2112274.0520963781</v>
      </c>
      <c r="F252" s="61">
        <v>547507.91663999995</v>
      </c>
      <c r="G252" s="61">
        <v>638996.32063428767</v>
      </c>
      <c r="H252" s="62">
        <v>4.6727444683125174E-2</v>
      </c>
      <c r="I252" s="62">
        <v>0.16709969155467674</v>
      </c>
      <c r="J252" s="62">
        <v>7.2416430446915925E-2</v>
      </c>
    </row>
    <row r="253" spans="1:10" ht="11.25" customHeight="1" x14ac:dyDescent="0.2">
      <c r="A253" s="71">
        <v>44256</v>
      </c>
      <c r="B253" s="61">
        <v>0</v>
      </c>
      <c r="C253" s="61">
        <v>0</v>
      </c>
      <c r="D253" s="61">
        <v>2451221.0622200002</v>
      </c>
      <c r="E253" s="61">
        <v>2565760.3588109962</v>
      </c>
      <c r="F253" s="61">
        <v>665052.95903999999</v>
      </c>
      <c r="G253" s="61">
        <v>776183.10336310917</v>
      </c>
      <c r="H253" s="62">
        <v>4.6727444683124952E-2</v>
      </c>
      <c r="I253" s="62">
        <v>0.16709969155467697</v>
      </c>
      <c r="J253" s="62">
        <v>7.2416430446915703E-2</v>
      </c>
    </row>
    <row r="254" spans="1:10" ht="11.25" customHeight="1" x14ac:dyDescent="0.2">
      <c r="A254" s="71">
        <v>44287</v>
      </c>
      <c r="B254" s="61">
        <v>0</v>
      </c>
      <c r="C254" s="61">
        <v>0</v>
      </c>
      <c r="D254" s="61">
        <v>2273713.1477900003</v>
      </c>
      <c r="E254" s="61">
        <v>2379957.9531286513</v>
      </c>
      <c r="F254" s="61">
        <v>616892.40528000006</v>
      </c>
      <c r="G254" s="61">
        <v>719974.93592471071</v>
      </c>
      <c r="H254" s="62">
        <v>4.6727444683124952E-2</v>
      </c>
      <c r="I254" s="62">
        <v>0.16709969155467674</v>
      </c>
      <c r="J254" s="62">
        <v>7.2416430446915481E-2</v>
      </c>
    </row>
    <row r="255" spans="1:10" ht="11.25" customHeight="1" x14ac:dyDescent="0.2">
      <c r="A255" s="71">
        <v>44317</v>
      </c>
      <c r="B255" s="61">
        <v>0</v>
      </c>
      <c r="C255" s="61">
        <v>0</v>
      </c>
      <c r="D255" s="61">
        <v>2593767.4487200002</v>
      </c>
      <c r="E255" s="61">
        <v>2714967.5737009542</v>
      </c>
      <c r="F255" s="61">
        <v>703727.92703999986</v>
      </c>
      <c r="G255" s="61">
        <v>821320.64658679604</v>
      </c>
      <c r="H255" s="62">
        <v>4.6727444683124952E-2</v>
      </c>
      <c r="I255" s="62">
        <v>0.16709969155467697</v>
      </c>
      <c r="J255" s="62">
        <v>7.2416430446915703E-2</v>
      </c>
    </row>
    <row r="256" spans="1:10" ht="11.25" customHeight="1" x14ac:dyDescent="0.2">
      <c r="A256" s="71">
        <v>44348</v>
      </c>
      <c r="B256" s="61">
        <v>0</v>
      </c>
      <c r="C256" s="61">
        <v>0</v>
      </c>
      <c r="D256" s="61">
        <v>2535123.2770499997</v>
      </c>
      <c r="E256" s="61">
        <v>2653583.1097432571</v>
      </c>
      <c r="F256" s="61">
        <v>687816.88559999992</v>
      </c>
      <c r="G256" s="61">
        <v>802750.87502985843</v>
      </c>
      <c r="H256" s="62">
        <v>4.6727444683125396E-2</v>
      </c>
      <c r="I256" s="62">
        <v>0.16709969155467697</v>
      </c>
      <c r="J256" s="62">
        <v>7.2416430446915925E-2</v>
      </c>
    </row>
    <row r="257" spans="1:10" ht="11.25" customHeight="1" x14ac:dyDescent="0.2">
      <c r="A257" s="71">
        <v>44378</v>
      </c>
      <c r="B257" s="61">
        <v>0</v>
      </c>
      <c r="C257" s="61">
        <v>0</v>
      </c>
      <c r="D257" s="61">
        <v>2718467.9172</v>
      </c>
      <c r="E257" s="61">
        <v>2845494.9764238135</v>
      </c>
      <c r="F257" s="61">
        <v>737561.03040000005</v>
      </c>
      <c r="G257" s="61">
        <v>860807.25108258962</v>
      </c>
      <c r="H257" s="62">
        <v>4.6727444683125174E-2</v>
      </c>
      <c r="I257" s="62">
        <v>0.16709969155467674</v>
      </c>
      <c r="J257" s="62">
        <v>7.2416430446915703E-2</v>
      </c>
    </row>
    <row r="258" spans="1:10" ht="11.25" customHeight="1" x14ac:dyDescent="0.2">
      <c r="A258" s="71">
        <v>44409</v>
      </c>
      <c r="B258" s="61">
        <v>0</v>
      </c>
      <c r="C258" s="61">
        <v>0</v>
      </c>
      <c r="D258" s="61">
        <v>5972319.1141599994</v>
      </c>
      <c r="E258" s="61">
        <v>6251390.3251968818</v>
      </c>
      <c r="F258" s="61">
        <v>1620379.5571199998</v>
      </c>
      <c r="G258" s="61">
        <v>1891144.4813162559</v>
      </c>
      <c r="H258" s="62">
        <v>4.6727444683125174E-2</v>
      </c>
      <c r="I258" s="62">
        <v>0.16709969155467697</v>
      </c>
      <c r="J258" s="62">
        <v>7.2416430446915925E-2</v>
      </c>
    </row>
    <row r="259" spans="1:10" ht="11.25" customHeight="1" x14ac:dyDescent="0.2">
      <c r="A259" s="71">
        <v>44440</v>
      </c>
      <c r="B259" s="61">
        <v>0</v>
      </c>
      <c r="C259" s="61">
        <v>0</v>
      </c>
      <c r="D259" s="61">
        <v>2818409.6494399998</v>
      </c>
      <c r="E259" s="61">
        <v>2950106.7304285942</v>
      </c>
      <c r="F259" s="61">
        <v>764676.7180799999</v>
      </c>
      <c r="G259" s="61">
        <v>892453.9618102106</v>
      </c>
      <c r="H259" s="62">
        <v>4.6727444683125396E-2</v>
      </c>
      <c r="I259" s="62">
        <v>0.16709969155467697</v>
      </c>
      <c r="J259" s="62">
        <v>7.2416430446915925E-2</v>
      </c>
    </row>
    <row r="260" spans="1:10" ht="11.25" customHeight="1" x14ac:dyDescent="0.2">
      <c r="A260" s="71">
        <v>44470</v>
      </c>
      <c r="B260" s="61">
        <v>0</v>
      </c>
      <c r="C260" s="61">
        <v>0</v>
      </c>
      <c r="D260" s="61">
        <v>2818409.6494399998</v>
      </c>
      <c r="E260" s="61">
        <v>2950106.7304285942</v>
      </c>
      <c r="F260" s="61">
        <v>764676.7180799999</v>
      </c>
      <c r="G260" s="61">
        <v>892453.9618102106</v>
      </c>
      <c r="H260" s="62">
        <v>4.6727444683125396E-2</v>
      </c>
      <c r="I260" s="62">
        <v>0.16709969155467697</v>
      </c>
      <c r="J260" s="62">
        <v>7.2416430446915925E-2</v>
      </c>
    </row>
    <row r="261" spans="1:10" ht="11.25" customHeight="1" x14ac:dyDescent="0.2">
      <c r="A261" s="66" t="s">
        <v>54</v>
      </c>
      <c r="B261" s="61">
        <v>299013.62</v>
      </c>
      <c r="C261" s="61">
        <v>334186.09782952454</v>
      </c>
      <c r="D261" s="61">
        <v>549599.55123999994</v>
      </c>
      <c r="E261" s="61">
        <v>329714.974829607</v>
      </c>
      <c r="F261" s="61">
        <v>603315.20689000003</v>
      </c>
      <c r="G261" s="61">
        <v>738774.21088302624</v>
      </c>
      <c r="H261" s="62">
        <v>-0.21766348301071692</v>
      </c>
      <c r="I261" s="62">
        <v>0.22452443174985959</v>
      </c>
      <c r="J261" s="62">
        <v>-3.3922537316391166E-2</v>
      </c>
    </row>
    <row r="262" spans="1:10" ht="11.25" customHeight="1" x14ac:dyDescent="0.2">
      <c r="A262" s="67" t="s">
        <v>25</v>
      </c>
      <c r="B262" s="61">
        <v>299013.62</v>
      </c>
      <c r="C262" s="61">
        <v>334186.09782952454</v>
      </c>
      <c r="D262" s="61">
        <v>549599.55123999994</v>
      </c>
      <c r="E262" s="61">
        <v>329714.974829607</v>
      </c>
      <c r="F262" s="61">
        <v>603315.20689000003</v>
      </c>
      <c r="G262" s="61">
        <v>738774.21088302624</v>
      </c>
      <c r="H262" s="62">
        <v>-0.21766348301071692</v>
      </c>
      <c r="I262" s="62">
        <v>0.22452443174985959</v>
      </c>
      <c r="J262" s="62">
        <v>-3.3922537316391166E-2</v>
      </c>
    </row>
    <row r="263" spans="1:10" ht="11.25" customHeight="1" x14ac:dyDescent="0.2">
      <c r="A263" s="68" t="s">
        <v>25</v>
      </c>
      <c r="B263" s="61">
        <v>299013.62</v>
      </c>
      <c r="C263" s="61">
        <v>334186.09782952454</v>
      </c>
      <c r="D263" s="61">
        <v>549599.55123999994</v>
      </c>
      <c r="E263" s="61">
        <v>329714.974829607</v>
      </c>
      <c r="F263" s="61">
        <v>603315.20689000003</v>
      </c>
      <c r="G263" s="61">
        <v>738774.21088302624</v>
      </c>
      <c r="H263" s="62">
        <v>-0.21766348301071692</v>
      </c>
      <c r="I263" s="62">
        <v>0.22452443174985959</v>
      </c>
      <c r="J263" s="62">
        <v>-3.3922537316391166E-2</v>
      </c>
    </row>
    <row r="264" spans="1:10" ht="11.25" customHeight="1" x14ac:dyDescent="0.2">
      <c r="A264" s="69" t="s">
        <v>25</v>
      </c>
      <c r="B264" s="61">
        <v>299013.62</v>
      </c>
      <c r="C264" s="61">
        <v>334186.09782952454</v>
      </c>
      <c r="D264" s="61">
        <v>549599.55123999994</v>
      </c>
      <c r="E264" s="61">
        <v>329714.974829607</v>
      </c>
      <c r="F264" s="61">
        <v>603315.20689000003</v>
      </c>
      <c r="G264" s="61">
        <v>738774.21088302624</v>
      </c>
      <c r="H264" s="62">
        <v>-0.21766348301071692</v>
      </c>
      <c r="I264" s="62">
        <v>0.22452443174985959</v>
      </c>
      <c r="J264" s="62">
        <v>-3.3922537316391166E-2</v>
      </c>
    </row>
    <row r="265" spans="1:10" ht="11.25" customHeight="1" x14ac:dyDescent="0.2">
      <c r="A265" s="70" t="s">
        <v>38</v>
      </c>
      <c r="B265" s="61">
        <v>0</v>
      </c>
      <c r="C265" s="61">
        <v>0</v>
      </c>
      <c r="D265" s="61">
        <v>358765.30728999997</v>
      </c>
      <c r="E265" s="61">
        <v>129963.5343017875</v>
      </c>
      <c r="F265" s="61">
        <v>551539.02049000002</v>
      </c>
      <c r="G265" s="61">
        <v>678346.23970570881</v>
      </c>
      <c r="H265" s="62">
        <v>-0.63774776529121202</v>
      </c>
      <c r="I265" s="62">
        <v>0.22991522721828517</v>
      </c>
      <c r="J265" s="62">
        <v>-0.11204445662830398</v>
      </c>
    </row>
    <row r="266" spans="1:10" ht="11.25" customHeight="1" x14ac:dyDescent="0.2">
      <c r="A266" s="71">
        <v>44136</v>
      </c>
      <c r="B266" s="61">
        <v>0</v>
      </c>
      <c r="C266" s="61">
        <v>0</v>
      </c>
      <c r="D266" s="61">
        <v>30049.145489999999</v>
      </c>
      <c r="E266" s="61">
        <v>10885.370104841995</v>
      </c>
      <c r="F266" s="61">
        <v>46195.314689999999</v>
      </c>
      <c r="G266" s="61">
        <v>56816.320963371538</v>
      </c>
      <c r="H266" s="62">
        <v>-0.63774776529121202</v>
      </c>
      <c r="I266" s="62">
        <v>0.22991522721828517</v>
      </c>
      <c r="J266" s="62">
        <v>-0.11204445662830398</v>
      </c>
    </row>
    <row r="267" spans="1:10" ht="11.25" customHeight="1" x14ac:dyDescent="0.2">
      <c r="A267" s="71">
        <v>44166</v>
      </c>
      <c r="B267" s="61">
        <v>0</v>
      </c>
      <c r="C267" s="61">
        <v>0</v>
      </c>
      <c r="D267" s="61">
        <v>28820.383929999996</v>
      </c>
      <c r="E267" s="61">
        <v>10440.248483807738</v>
      </c>
      <c r="F267" s="61">
        <v>44306.30833</v>
      </c>
      <c r="G267" s="61">
        <v>54493.003276895346</v>
      </c>
      <c r="H267" s="62">
        <v>-0.63774776529121202</v>
      </c>
      <c r="I267" s="62">
        <v>0.22991522721828517</v>
      </c>
      <c r="J267" s="62">
        <v>-0.11204445662830409</v>
      </c>
    </row>
    <row r="268" spans="1:10" ht="11.25" customHeight="1" x14ac:dyDescent="0.2">
      <c r="A268" s="71">
        <v>44197</v>
      </c>
      <c r="B268" s="61">
        <v>0</v>
      </c>
      <c r="C268" s="61">
        <v>0</v>
      </c>
      <c r="D268" s="61">
        <v>25702.69325</v>
      </c>
      <c r="E268" s="61">
        <v>9310.8580678469789</v>
      </c>
      <c r="F268" s="61">
        <v>39513.403250000003</v>
      </c>
      <c r="G268" s="61">
        <v>48598.136336391479</v>
      </c>
      <c r="H268" s="62">
        <v>-0.63774776529121202</v>
      </c>
      <c r="I268" s="62">
        <v>0.22991522721828517</v>
      </c>
      <c r="J268" s="62">
        <v>-0.11204445662830398</v>
      </c>
    </row>
    <row r="269" spans="1:10" ht="11.25" customHeight="1" x14ac:dyDescent="0.2">
      <c r="A269" s="71">
        <v>44228</v>
      </c>
      <c r="B269" s="61">
        <v>0</v>
      </c>
      <c r="C269" s="61">
        <v>0</v>
      </c>
      <c r="D269" s="61">
        <v>25547.975830000003</v>
      </c>
      <c r="E269" s="61">
        <v>9254.8113367036003</v>
      </c>
      <c r="F269" s="61">
        <v>39275.552230000001</v>
      </c>
      <c r="G269" s="61">
        <v>48305.59974508408</v>
      </c>
      <c r="H269" s="62">
        <v>-0.63774776529121213</v>
      </c>
      <c r="I269" s="62">
        <v>0.22991522721828517</v>
      </c>
      <c r="J269" s="62">
        <v>-0.11204445662830409</v>
      </c>
    </row>
    <row r="270" spans="1:10" ht="11.25" customHeight="1" x14ac:dyDescent="0.2">
      <c r="A270" s="71">
        <v>44256</v>
      </c>
      <c r="B270" s="61">
        <v>0</v>
      </c>
      <c r="C270" s="61">
        <v>0</v>
      </c>
      <c r="D270" s="61">
        <v>29278.251729999996</v>
      </c>
      <c r="E270" s="61">
        <v>10606.112117558934</v>
      </c>
      <c r="F270" s="61">
        <v>45010.200129999997</v>
      </c>
      <c r="G270" s="61">
        <v>55358.730520029436</v>
      </c>
      <c r="H270" s="62">
        <v>-0.63774776529121202</v>
      </c>
      <c r="I270" s="62">
        <v>0.22991522721828517</v>
      </c>
      <c r="J270" s="62">
        <v>-0.11204445662830409</v>
      </c>
    </row>
    <row r="271" spans="1:10" ht="11.25" customHeight="1" x14ac:dyDescent="0.2">
      <c r="A271" s="71">
        <v>44287</v>
      </c>
      <c r="B271" s="61">
        <v>0</v>
      </c>
      <c r="C271" s="61">
        <v>0</v>
      </c>
      <c r="D271" s="61">
        <v>29477.708519999996</v>
      </c>
      <c r="E271" s="61">
        <v>10678.365785464275</v>
      </c>
      <c r="F271" s="61">
        <v>45316.830119999999</v>
      </c>
      <c r="G271" s="61">
        <v>55735.859413852224</v>
      </c>
      <c r="H271" s="62">
        <v>-0.63774776529121213</v>
      </c>
      <c r="I271" s="62">
        <v>0.22991522721828517</v>
      </c>
      <c r="J271" s="62">
        <v>-0.1120444566283042</v>
      </c>
    </row>
    <row r="272" spans="1:10" ht="11.25" customHeight="1" x14ac:dyDescent="0.2">
      <c r="A272" s="71">
        <v>44317</v>
      </c>
      <c r="B272" s="61">
        <v>0</v>
      </c>
      <c r="C272" s="61">
        <v>0</v>
      </c>
      <c r="D272" s="61">
        <v>31628.939029999998</v>
      </c>
      <c r="E272" s="61">
        <v>11457.653845085502</v>
      </c>
      <c r="F272" s="61">
        <v>48623.971429999998</v>
      </c>
      <c r="G272" s="61">
        <v>59803.362869583856</v>
      </c>
      <c r="H272" s="62">
        <v>-0.63774776529121202</v>
      </c>
      <c r="I272" s="62">
        <v>0.22991522721828517</v>
      </c>
      <c r="J272" s="62">
        <v>-0.11204445662830409</v>
      </c>
    </row>
    <row r="273" spans="1:10" ht="11.25" customHeight="1" x14ac:dyDescent="0.2">
      <c r="A273" s="71">
        <v>44348</v>
      </c>
      <c r="B273" s="61">
        <v>0</v>
      </c>
      <c r="C273" s="61">
        <v>0</v>
      </c>
      <c r="D273" s="61">
        <v>30458.233909999999</v>
      </c>
      <c r="E273" s="61">
        <v>11033.563299180481</v>
      </c>
      <c r="F273" s="61">
        <v>46824.216710000001</v>
      </c>
      <c r="G273" s="61">
        <v>57589.817134197874</v>
      </c>
      <c r="H273" s="62">
        <v>-0.63774776529121213</v>
      </c>
      <c r="I273" s="62">
        <v>0.22991522721828517</v>
      </c>
      <c r="J273" s="62">
        <v>-0.11204445662830409</v>
      </c>
    </row>
    <row r="274" spans="1:10" ht="11.25" customHeight="1" x14ac:dyDescent="0.2">
      <c r="A274" s="71">
        <v>44378</v>
      </c>
      <c r="B274" s="61">
        <v>0</v>
      </c>
      <c r="C274" s="61">
        <v>0</v>
      </c>
      <c r="D274" s="61">
        <v>31555.321070000002</v>
      </c>
      <c r="E274" s="61">
        <v>11430.9855745608</v>
      </c>
      <c r="F274" s="61">
        <v>48510.796670000003</v>
      </c>
      <c r="G274" s="61">
        <v>59664.167508923085</v>
      </c>
      <c r="H274" s="62">
        <v>-0.63774776529121213</v>
      </c>
      <c r="I274" s="62">
        <v>0.22991522721828517</v>
      </c>
      <c r="J274" s="62">
        <v>-0.11204445662830398</v>
      </c>
    </row>
    <row r="275" spans="1:10" ht="11.25" customHeight="1" x14ac:dyDescent="0.2">
      <c r="A275" s="71">
        <v>44409</v>
      </c>
      <c r="B275" s="61">
        <v>0</v>
      </c>
      <c r="C275" s="61">
        <v>0</v>
      </c>
      <c r="D275" s="61">
        <v>33456.519849999997</v>
      </c>
      <c r="E275" s="61">
        <v>12119.699081241421</v>
      </c>
      <c r="F275" s="61">
        <v>51433.557849999997</v>
      </c>
      <c r="G275" s="61">
        <v>63258.915989727568</v>
      </c>
      <c r="H275" s="62">
        <v>-0.63774776529121202</v>
      </c>
      <c r="I275" s="62">
        <v>0.22991522721828539</v>
      </c>
      <c r="J275" s="62">
        <v>-0.11204445662830409</v>
      </c>
    </row>
    <row r="276" spans="1:10" ht="11.25" customHeight="1" x14ac:dyDescent="0.2">
      <c r="A276" s="71">
        <v>44440</v>
      </c>
      <c r="B276" s="61">
        <v>0</v>
      </c>
      <c r="C276" s="61">
        <v>0</v>
      </c>
      <c r="D276" s="61">
        <v>31395.067340000001</v>
      </c>
      <c r="E276" s="61">
        <v>11372.933302747882</v>
      </c>
      <c r="F276" s="61">
        <v>48264.434540000002</v>
      </c>
      <c r="G276" s="61">
        <v>59361.162973826154</v>
      </c>
      <c r="H276" s="62">
        <v>-0.63774776529121202</v>
      </c>
      <c r="I276" s="62">
        <v>0.22991522721828517</v>
      </c>
      <c r="J276" s="62">
        <v>-0.11204445662830398</v>
      </c>
    </row>
    <row r="277" spans="1:10" ht="11.25" customHeight="1" x14ac:dyDescent="0.2">
      <c r="A277" s="71">
        <v>44470</v>
      </c>
      <c r="B277" s="61">
        <v>0</v>
      </c>
      <c r="C277" s="61">
        <v>0</v>
      </c>
      <c r="D277" s="61">
        <v>31395.067340000001</v>
      </c>
      <c r="E277" s="61">
        <v>11372.933302747882</v>
      </c>
      <c r="F277" s="61">
        <v>48264.434540000002</v>
      </c>
      <c r="G277" s="61">
        <v>59361.162973826154</v>
      </c>
      <c r="H277" s="62">
        <v>-0.63774776529121202</v>
      </c>
      <c r="I277" s="62">
        <v>0.22991522721828517</v>
      </c>
      <c r="J277" s="62">
        <v>-0.11204445662830398</v>
      </c>
    </row>
    <row r="278" spans="1:10" ht="11.25" customHeight="1" x14ac:dyDescent="0.2">
      <c r="A278" s="70" t="s">
        <v>25</v>
      </c>
      <c r="B278" s="61">
        <v>299013.62</v>
      </c>
      <c r="C278" s="61">
        <v>334186.09782952454</v>
      </c>
      <c r="D278" s="61">
        <v>0</v>
      </c>
      <c r="E278" s="61">
        <v>0</v>
      </c>
      <c r="F278" s="61">
        <v>0</v>
      </c>
      <c r="G278" s="61">
        <v>0</v>
      </c>
      <c r="H278" s="62">
        <v>0.11762834692789093</v>
      </c>
      <c r="I278" s="62">
        <v>0</v>
      </c>
      <c r="J278" s="62">
        <v>0.11762834692789093</v>
      </c>
    </row>
    <row r="279" spans="1:10" ht="11.25" customHeight="1" x14ac:dyDescent="0.2">
      <c r="A279" s="71">
        <v>44136</v>
      </c>
      <c r="B279" s="61">
        <v>25655.86</v>
      </c>
      <c r="C279" s="61">
        <v>28673.716400813395</v>
      </c>
      <c r="D279" s="61">
        <v>0</v>
      </c>
      <c r="E279" s="61">
        <v>0</v>
      </c>
      <c r="F279" s="61">
        <v>0</v>
      </c>
      <c r="G279" s="61">
        <v>0</v>
      </c>
      <c r="H279" s="62">
        <v>0.1176283469278907</v>
      </c>
      <c r="I279" s="62">
        <v>0</v>
      </c>
      <c r="J279" s="62">
        <v>0.1176283469278907</v>
      </c>
    </row>
    <row r="280" spans="1:10" ht="11.25" customHeight="1" x14ac:dyDescent="0.2">
      <c r="A280" s="71">
        <v>44166</v>
      </c>
      <c r="B280" s="61">
        <v>25113.03</v>
      </c>
      <c r="C280" s="61">
        <v>28067.034205250529</v>
      </c>
      <c r="D280" s="61">
        <v>0</v>
      </c>
      <c r="E280" s="61">
        <v>0</v>
      </c>
      <c r="F280" s="61">
        <v>0</v>
      </c>
      <c r="G280" s="61">
        <v>0</v>
      </c>
      <c r="H280" s="62">
        <v>0.11762834692789093</v>
      </c>
      <c r="I280" s="62">
        <v>0</v>
      </c>
      <c r="J280" s="62">
        <v>0.11762834692789093</v>
      </c>
    </row>
    <row r="281" spans="1:10" ht="11.25" customHeight="1" x14ac:dyDescent="0.2">
      <c r="A281" s="71">
        <v>44197</v>
      </c>
      <c r="B281" s="61">
        <v>22798.86</v>
      </c>
      <c r="C281" s="61">
        <v>25480.652213640413</v>
      </c>
      <c r="D281" s="61">
        <v>0</v>
      </c>
      <c r="E281" s="61">
        <v>0</v>
      </c>
      <c r="F281" s="61">
        <v>0</v>
      </c>
      <c r="G281" s="61">
        <v>0</v>
      </c>
      <c r="H281" s="62">
        <v>0.1176283469278907</v>
      </c>
      <c r="I281" s="62">
        <v>0</v>
      </c>
      <c r="J281" s="62">
        <v>0.1176283469278907</v>
      </c>
    </row>
    <row r="282" spans="1:10" ht="11.25" customHeight="1" x14ac:dyDescent="0.2">
      <c r="A282" s="71">
        <v>44228</v>
      </c>
      <c r="B282" s="61">
        <v>23627.39</v>
      </c>
      <c r="C282" s="61">
        <v>26406.640827920579</v>
      </c>
      <c r="D282" s="61">
        <v>0</v>
      </c>
      <c r="E282" s="61">
        <v>0</v>
      </c>
      <c r="F282" s="61">
        <v>0</v>
      </c>
      <c r="G282" s="61">
        <v>0</v>
      </c>
      <c r="H282" s="62">
        <v>0.11762834692789093</v>
      </c>
      <c r="I282" s="62">
        <v>0</v>
      </c>
      <c r="J282" s="62">
        <v>0.11762834692789093</v>
      </c>
    </row>
    <row r="283" spans="1:10" ht="11.25" customHeight="1" x14ac:dyDescent="0.2">
      <c r="A283" s="71">
        <v>44256</v>
      </c>
      <c r="B283" s="61">
        <v>24084.510000000002</v>
      </c>
      <c r="C283" s="61">
        <v>26917.531097868254</v>
      </c>
      <c r="D283" s="61">
        <v>0</v>
      </c>
      <c r="E283" s="61">
        <v>0</v>
      </c>
      <c r="F283" s="61">
        <v>0</v>
      </c>
      <c r="G283" s="61">
        <v>0</v>
      </c>
      <c r="H283" s="62">
        <v>0.1176283469278907</v>
      </c>
      <c r="I283" s="62">
        <v>0</v>
      </c>
      <c r="J283" s="62">
        <v>0.1176283469278907</v>
      </c>
    </row>
    <row r="284" spans="1:10" ht="11.25" customHeight="1" x14ac:dyDescent="0.2">
      <c r="A284" s="71">
        <v>44287</v>
      </c>
      <c r="B284" s="61">
        <v>24713.05</v>
      </c>
      <c r="C284" s="61">
        <v>27620.00521904631</v>
      </c>
      <c r="D284" s="61">
        <v>0</v>
      </c>
      <c r="E284" s="61">
        <v>0</v>
      </c>
      <c r="F284" s="61">
        <v>0</v>
      </c>
      <c r="G284" s="61">
        <v>0</v>
      </c>
      <c r="H284" s="62">
        <v>0.1176283469278907</v>
      </c>
      <c r="I284" s="62">
        <v>0</v>
      </c>
      <c r="J284" s="62">
        <v>0.1176283469278907</v>
      </c>
    </row>
    <row r="285" spans="1:10" ht="11.25" customHeight="1" x14ac:dyDescent="0.2">
      <c r="A285" s="71">
        <v>44317</v>
      </c>
      <c r="B285" s="61">
        <v>25370.16</v>
      </c>
      <c r="C285" s="61">
        <v>28354.409982096098</v>
      </c>
      <c r="D285" s="61">
        <v>0</v>
      </c>
      <c r="E285" s="61">
        <v>0</v>
      </c>
      <c r="F285" s="61">
        <v>0</v>
      </c>
      <c r="G285" s="61">
        <v>0</v>
      </c>
      <c r="H285" s="62">
        <v>0.1176283469278907</v>
      </c>
      <c r="I285" s="62">
        <v>0</v>
      </c>
      <c r="J285" s="62">
        <v>0.1176283469278907</v>
      </c>
    </row>
    <row r="286" spans="1:10" ht="11.25" customHeight="1" x14ac:dyDescent="0.2">
      <c r="A286" s="71">
        <v>44348</v>
      </c>
      <c r="B286" s="61">
        <v>25455.87</v>
      </c>
      <c r="C286" s="61">
        <v>28450.201907711289</v>
      </c>
      <c r="D286" s="61">
        <v>0</v>
      </c>
      <c r="E286" s="61">
        <v>0</v>
      </c>
      <c r="F286" s="61">
        <v>0</v>
      </c>
      <c r="G286" s="61">
        <v>0</v>
      </c>
      <c r="H286" s="62">
        <v>0.11762834692789093</v>
      </c>
      <c r="I286" s="62">
        <v>0</v>
      </c>
      <c r="J286" s="62">
        <v>0.11762834692789093</v>
      </c>
    </row>
    <row r="287" spans="1:10" ht="11.25" customHeight="1" x14ac:dyDescent="0.2">
      <c r="A287" s="71">
        <v>44378</v>
      </c>
      <c r="B287" s="61">
        <v>24941.61</v>
      </c>
      <c r="C287" s="61">
        <v>27875.450354020151</v>
      </c>
      <c r="D287" s="61">
        <v>0</v>
      </c>
      <c r="E287" s="61">
        <v>0</v>
      </c>
      <c r="F287" s="61">
        <v>0</v>
      </c>
      <c r="G287" s="61">
        <v>0</v>
      </c>
      <c r="H287" s="62">
        <v>0.1176283469278907</v>
      </c>
      <c r="I287" s="62">
        <v>0</v>
      </c>
      <c r="J287" s="62">
        <v>0.1176283469278907</v>
      </c>
    </row>
    <row r="288" spans="1:10" ht="11.25" customHeight="1" x14ac:dyDescent="0.2">
      <c r="A288" s="71">
        <v>44409</v>
      </c>
      <c r="B288" s="61">
        <v>26112.98</v>
      </c>
      <c r="C288" s="61">
        <v>29184.606670761073</v>
      </c>
      <c r="D288" s="61">
        <v>0</v>
      </c>
      <c r="E288" s="61">
        <v>0</v>
      </c>
      <c r="F288" s="61">
        <v>0</v>
      </c>
      <c r="G288" s="61">
        <v>0</v>
      </c>
      <c r="H288" s="62">
        <v>0.1176283469278907</v>
      </c>
      <c r="I288" s="62">
        <v>0</v>
      </c>
      <c r="J288" s="62">
        <v>0.1176283469278907</v>
      </c>
    </row>
    <row r="289" spans="1:10" ht="11.25" customHeight="1" x14ac:dyDescent="0.2">
      <c r="A289" s="71">
        <v>44440</v>
      </c>
      <c r="B289" s="61">
        <v>25570.15</v>
      </c>
      <c r="C289" s="61">
        <v>28577.924475198208</v>
      </c>
      <c r="D289" s="61">
        <v>0</v>
      </c>
      <c r="E289" s="61">
        <v>0</v>
      </c>
      <c r="F289" s="61">
        <v>0</v>
      </c>
      <c r="G289" s="61">
        <v>0</v>
      </c>
      <c r="H289" s="62">
        <v>0.1176283469278907</v>
      </c>
      <c r="I289" s="62">
        <v>0</v>
      </c>
      <c r="J289" s="62">
        <v>0.1176283469278907</v>
      </c>
    </row>
    <row r="290" spans="1:10" ht="11.25" customHeight="1" x14ac:dyDescent="0.2">
      <c r="A290" s="71">
        <v>44470</v>
      </c>
      <c r="B290" s="61">
        <v>25570.15</v>
      </c>
      <c r="C290" s="61">
        <v>28577.924475198208</v>
      </c>
      <c r="D290" s="61">
        <v>0</v>
      </c>
      <c r="E290" s="61">
        <v>0</v>
      </c>
      <c r="F290" s="61">
        <v>0</v>
      </c>
      <c r="G290" s="61">
        <v>0</v>
      </c>
      <c r="H290" s="62">
        <v>0.1176283469278907</v>
      </c>
      <c r="I290" s="62">
        <v>0</v>
      </c>
      <c r="J290" s="62">
        <v>0.1176283469278907</v>
      </c>
    </row>
    <row r="291" spans="1:10" ht="11.25" customHeight="1" x14ac:dyDescent="0.2">
      <c r="A291" s="70" t="s">
        <v>37</v>
      </c>
      <c r="B291" s="61">
        <v>0</v>
      </c>
      <c r="C291" s="61">
        <v>0</v>
      </c>
      <c r="D291" s="61">
        <v>190834.24395</v>
      </c>
      <c r="E291" s="61">
        <v>199751.44052781962</v>
      </c>
      <c r="F291" s="61">
        <v>51776.186399999991</v>
      </c>
      <c r="G291" s="61">
        <v>60427.971177317449</v>
      </c>
      <c r="H291" s="62">
        <v>4.6727444683124952E-2</v>
      </c>
      <c r="I291" s="62">
        <v>0.16709969155467697</v>
      </c>
      <c r="J291" s="62">
        <v>7.2416430446915703E-2</v>
      </c>
    </row>
    <row r="292" spans="1:10" ht="11.25" customHeight="1" x14ac:dyDescent="0.2">
      <c r="A292" s="71">
        <v>44136</v>
      </c>
      <c r="B292" s="61">
        <v>0</v>
      </c>
      <c r="C292" s="61">
        <v>0</v>
      </c>
      <c r="D292" s="61">
        <v>14370.85664</v>
      </c>
      <c r="E292" s="61">
        <v>15042.370048694722</v>
      </c>
      <c r="F292" s="61">
        <v>3899.0284799999999</v>
      </c>
      <c r="G292" s="61">
        <v>4550.5549363709006</v>
      </c>
      <c r="H292" s="62">
        <v>4.6727444683125174E-2</v>
      </c>
      <c r="I292" s="62">
        <v>0.16709969155467697</v>
      </c>
      <c r="J292" s="62">
        <v>7.2416430446915925E-2</v>
      </c>
    </row>
    <row r="293" spans="1:10" ht="11.25" customHeight="1" x14ac:dyDescent="0.2">
      <c r="A293" s="71">
        <v>44166</v>
      </c>
      <c r="B293" s="61">
        <v>0</v>
      </c>
      <c r="C293" s="61">
        <v>0</v>
      </c>
      <c r="D293" s="61">
        <v>15903.21236</v>
      </c>
      <c r="E293" s="61">
        <v>16646.328835835891</v>
      </c>
      <c r="F293" s="61">
        <v>4314.7795199999991</v>
      </c>
      <c r="G293" s="61">
        <v>5035.7778469184368</v>
      </c>
      <c r="H293" s="62">
        <v>4.6727444683125174E-2</v>
      </c>
      <c r="I293" s="62">
        <v>0.16709969155467719</v>
      </c>
      <c r="J293" s="62">
        <v>7.2416430446915925E-2</v>
      </c>
    </row>
    <row r="294" spans="1:10" ht="11.25" customHeight="1" x14ac:dyDescent="0.2">
      <c r="A294" s="71">
        <v>44197</v>
      </c>
      <c r="B294" s="61">
        <v>0</v>
      </c>
      <c r="C294" s="61">
        <v>0</v>
      </c>
      <c r="D294" s="61">
        <v>13494.199949999998</v>
      </c>
      <c r="E294" s="61">
        <v>14124.749431706654</v>
      </c>
      <c r="F294" s="61">
        <v>3661.1783999999993</v>
      </c>
      <c r="G294" s="61">
        <v>4272.960181366645</v>
      </c>
      <c r="H294" s="62">
        <v>4.6727444683125174E-2</v>
      </c>
      <c r="I294" s="62">
        <v>0.16709969155467697</v>
      </c>
      <c r="J294" s="62">
        <v>7.2416430446915703E-2</v>
      </c>
    </row>
    <row r="295" spans="1:10" ht="11.25" customHeight="1" x14ac:dyDescent="0.2">
      <c r="A295" s="71">
        <v>44228</v>
      </c>
      <c r="B295" s="61">
        <v>0</v>
      </c>
      <c r="C295" s="61">
        <v>0</v>
      </c>
      <c r="D295" s="61">
        <v>13725.201140000001</v>
      </c>
      <c r="E295" s="61">
        <v>14366.544717034116</v>
      </c>
      <c r="F295" s="61">
        <v>3723.85248</v>
      </c>
      <c r="G295" s="61">
        <v>4346.1070808031191</v>
      </c>
      <c r="H295" s="62">
        <v>4.6727444683124952E-2</v>
      </c>
      <c r="I295" s="62">
        <v>0.16709969155467697</v>
      </c>
      <c r="J295" s="62">
        <v>7.2416430446915703E-2</v>
      </c>
    </row>
    <row r="296" spans="1:10" ht="11.25" customHeight="1" x14ac:dyDescent="0.2">
      <c r="A296" s="71">
        <v>44256</v>
      </c>
      <c r="B296" s="61">
        <v>0</v>
      </c>
      <c r="C296" s="61">
        <v>0</v>
      </c>
      <c r="D296" s="61">
        <v>16069.647999999999</v>
      </c>
      <c r="E296" s="61">
        <v>16820.54158799729</v>
      </c>
      <c r="F296" s="61">
        <v>4359.9359999999997</v>
      </c>
      <c r="G296" s="61">
        <v>5088.4799607981313</v>
      </c>
      <c r="H296" s="62">
        <v>4.6727444683124952E-2</v>
      </c>
      <c r="I296" s="62">
        <v>0.16709969155467697</v>
      </c>
      <c r="J296" s="62">
        <v>7.2416430446915703E-2</v>
      </c>
    </row>
    <row r="297" spans="1:10" ht="11.25" customHeight="1" x14ac:dyDescent="0.2">
      <c r="A297" s="71">
        <v>44287</v>
      </c>
      <c r="B297" s="61">
        <v>0</v>
      </c>
      <c r="C297" s="61">
        <v>0</v>
      </c>
      <c r="D297" s="61">
        <v>15375.209639999999</v>
      </c>
      <c r="E297" s="61">
        <v>16093.65389794455</v>
      </c>
      <c r="F297" s="61">
        <v>4171.5244799999991</v>
      </c>
      <c r="G297" s="61">
        <v>4868.5849339207834</v>
      </c>
      <c r="H297" s="62">
        <v>4.6727444683125174E-2</v>
      </c>
      <c r="I297" s="62">
        <v>0.16709969155467697</v>
      </c>
      <c r="J297" s="62">
        <v>7.2416430446915703E-2</v>
      </c>
    </row>
    <row r="298" spans="1:10" ht="11.25" customHeight="1" x14ac:dyDescent="0.2">
      <c r="A298" s="71">
        <v>44317</v>
      </c>
      <c r="B298" s="61">
        <v>0</v>
      </c>
      <c r="C298" s="61">
        <v>0</v>
      </c>
      <c r="D298" s="61">
        <v>17250.480169999999</v>
      </c>
      <c r="E298" s="61">
        <v>18056.55102790102</v>
      </c>
      <c r="F298" s="61">
        <v>4680.3134399999999</v>
      </c>
      <c r="G298" s="61">
        <v>5462.3923722032087</v>
      </c>
      <c r="H298" s="62">
        <v>4.6727444683124952E-2</v>
      </c>
      <c r="I298" s="62">
        <v>0.16709969155467697</v>
      </c>
      <c r="J298" s="62">
        <v>7.2416430446915703E-2</v>
      </c>
    </row>
    <row r="299" spans="1:10" ht="11.25" customHeight="1" x14ac:dyDescent="0.2">
      <c r="A299" s="71">
        <v>44348</v>
      </c>
      <c r="B299" s="61">
        <v>0</v>
      </c>
      <c r="C299" s="61">
        <v>0</v>
      </c>
      <c r="D299" s="61">
        <v>17015.174609999998</v>
      </c>
      <c r="E299" s="61">
        <v>17810.250240362489</v>
      </c>
      <c r="F299" s="61">
        <v>4616.4715200000001</v>
      </c>
      <c r="G299" s="61">
        <v>5387.8824870629505</v>
      </c>
      <c r="H299" s="62">
        <v>4.6727444683125174E-2</v>
      </c>
      <c r="I299" s="62">
        <v>0.16709969155467697</v>
      </c>
      <c r="J299" s="62">
        <v>7.2416430446915925E-2</v>
      </c>
    </row>
    <row r="300" spans="1:10" ht="11.25" customHeight="1" x14ac:dyDescent="0.2">
      <c r="A300" s="71">
        <v>44378</v>
      </c>
      <c r="B300" s="61">
        <v>0</v>
      </c>
      <c r="C300" s="61">
        <v>0</v>
      </c>
      <c r="D300" s="61">
        <v>17145.7405</v>
      </c>
      <c r="E300" s="61">
        <v>17946.917140764966</v>
      </c>
      <c r="F300" s="61">
        <v>4651.8959999999997</v>
      </c>
      <c r="G300" s="61">
        <v>5429.2263867444344</v>
      </c>
      <c r="H300" s="62">
        <v>4.6727444683124952E-2</v>
      </c>
      <c r="I300" s="62">
        <v>0.16709969155467674</v>
      </c>
      <c r="J300" s="62">
        <v>7.2416430446915703E-2</v>
      </c>
    </row>
    <row r="301" spans="1:10" ht="11.25" customHeight="1" x14ac:dyDescent="0.2">
      <c r="A301" s="71">
        <v>44409</v>
      </c>
      <c r="B301" s="61">
        <v>0</v>
      </c>
      <c r="C301" s="61">
        <v>0</v>
      </c>
      <c r="D301" s="61">
        <v>17774.178519999998</v>
      </c>
      <c r="E301" s="61">
        <v>18604.720463581289</v>
      </c>
      <c r="F301" s="61">
        <v>4822.4006399999998</v>
      </c>
      <c r="G301" s="61">
        <v>5628.2222994970762</v>
      </c>
      <c r="H301" s="62">
        <v>4.6727444683125174E-2</v>
      </c>
      <c r="I301" s="62">
        <v>0.16709969155467697</v>
      </c>
      <c r="J301" s="62">
        <v>7.2416430446915925E-2</v>
      </c>
    </row>
    <row r="302" spans="1:10" ht="11.25" customHeight="1" x14ac:dyDescent="0.2">
      <c r="A302" s="71">
        <v>44440</v>
      </c>
      <c r="B302" s="61">
        <v>0</v>
      </c>
      <c r="C302" s="61">
        <v>0</v>
      </c>
      <c r="D302" s="61">
        <v>16355.171209999999</v>
      </c>
      <c r="E302" s="61">
        <v>17119.406567998314</v>
      </c>
      <c r="F302" s="61">
        <v>4437.4027199999991</v>
      </c>
      <c r="G302" s="61">
        <v>5178.8913458158831</v>
      </c>
      <c r="H302" s="62">
        <v>4.6727444683125174E-2</v>
      </c>
      <c r="I302" s="62">
        <v>0.16709969155467697</v>
      </c>
      <c r="J302" s="62">
        <v>7.2416430446915703E-2</v>
      </c>
    </row>
    <row r="303" spans="1:10" ht="11.25" customHeight="1" x14ac:dyDescent="0.2">
      <c r="A303" s="71">
        <v>44470</v>
      </c>
      <c r="B303" s="61">
        <v>0</v>
      </c>
      <c r="C303" s="61">
        <v>0</v>
      </c>
      <c r="D303" s="61">
        <v>16355.171209999999</v>
      </c>
      <c r="E303" s="61">
        <v>17119.406567998314</v>
      </c>
      <c r="F303" s="61">
        <v>4437.4027199999991</v>
      </c>
      <c r="G303" s="61">
        <v>5178.8913458158831</v>
      </c>
      <c r="H303" s="62">
        <v>4.6727444683125174E-2</v>
      </c>
      <c r="I303" s="62">
        <v>0.16709969155467697</v>
      </c>
      <c r="J303" s="62">
        <v>7.2416430446915703E-2</v>
      </c>
    </row>
    <row r="304" spans="1:10" ht="11.25" customHeight="1" x14ac:dyDescent="0.2">
      <c r="A304" s="66" t="s">
        <v>42</v>
      </c>
      <c r="B304" s="61">
        <v>38833515.369999997</v>
      </c>
      <c r="C304" s="61">
        <v>43401437.588371947</v>
      </c>
      <c r="D304" s="61">
        <v>71379013.366399989</v>
      </c>
      <c r="E304" s="61">
        <v>46602359.590049148</v>
      </c>
      <c r="F304" s="61">
        <v>71362382.207519978</v>
      </c>
      <c r="G304" s="61">
        <v>87253145.561450899</v>
      </c>
      <c r="H304" s="62">
        <v>-0.18336147250838464</v>
      </c>
      <c r="I304" s="62">
        <v>0.22267703042368892</v>
      </c>
      <c r="J304" s="62">
        <v>-2.3780643380746147E-2</v>
      </c>
    </row>
    <row r="305" spans="1:10" ht="11.25" customHeight="1" x14ac:dyDescent="0.2">
      <c r="A305" s="67" t="s">
        <v>25</v>
      </c>
      <c r="B305" s="61">
        <v>38833515.369999997</v>
      </c>
      <c r="C305" s="61">
        <v>43401437.588371947</v>
      </c>
      <c r="D305" s="61">
        <v>71379013.366399989</v>
      </c>
      <c r="E305" s="61">
        <v>46602359.590049148</v>
      </c>
      <c r="F305" s="61">
        <v>71362382.207519978</v>
      </c>
      <c r="G305" s="61">
        <v>87253145.561450899</v>
      </c>
      <c r="H305" s="62">
        <v>-0.18336147250838464</v>
      </c>
      <c r="I305" s="62">
        <v>0.22267703042368892</v>
      </c>
      <c r="J305" s="62">
        <v>-2.3780643380746147E-2</v>
      </c>
    </row>
    <row r="306" spans="1:10" ht="11.25" customHeight="1" x14ac:dyDescent="0.2">
      <c r="A306" s="68" t="s">
        <v>25</v>
      </c>
      <c r="B306" s="61">
        <v>38833515.369999997</v>
      </c>
      <c r="C306" s="61">
        <v>43401437.588371947</v>
      </c>
      <c r="D306" s="61">
        <v>71379013.366399989</v>
      </c>
      <c r="E306" s="61">
        <v>46602359.590049148</v>
      </c>
      <c r="F306" s="61">
        <v>71362382.207519978</v>
      </c>
      <c r="G306" s="61">
        <v>87253145.561450899</v>
      </c>
      <c r="H306" s="62">
        <v>-0.18336147250838464</v>
      </c>
      <c r="I306" s="62">
        <v>0.22267703042368892</v>
      </c>
      <c r="J306" s="62">
        <v>-2.3780643380746147E-2</v>
      </c>
    </row>
    <row r="307" spans="1:10" ht="11.25" customHeight="1" x14ac:dyDescent="0.2">
      <c r="A307" s="69" t="s">
        <v>25</v>
      </c>
      <c r="B307" s="61">
        <v>38833515.369999997</v>
      </c>
      <c r="C307" s="61">
        <v>43401437.588371947</v>
      </c>
      <c r="D307" s="61">
        <v>71379013.366399989</v>
      </c>
      <c r="E307" s="61">
        <v>46602359.590049148</v>
      </c>
      <c r="F307" s="61">
        <v>71362382.207519978</v>
      </c>
      <c r="G307" s="61">
        <v>87253145.561450899</v>
      </c>
      <c r="H307" s="62">
        <v>-0.18336147250838464</v>
      </c>
      <c r="I307" s="62">
        <v>0.22267703042368892</v>
      </c>
      <c r="J307" s="62">
        <v>-2.3780643380746147E-2</v>
      </c>
    </row>
    <row r="308" spans="1:10" ht="11.25" customHeight="1" x14ac:dyDescent="0.2">
      <c r="A308" s="70" t="s">
        <v>38</v>
      </c>
      <c r="B308" s="61">
        <v>0</v>
      </c>
      <c r="C308" s="61">
        <v>0</v>
      </c>
      <c r="D308" s="61">
        <v>41070899.669279993</v>
      </c>
      <c r="E308" s="61">
        <v>14878025.186697099</v>
      </c>
      <c r="F308" s="61">
        <v>63139337.371680006</v>
      </c>
      <c r="G308" s="61">
        <v>77656032.46990177</v>
      </c>
      <c r="H308" s="62">
        <v>-0.63774776529121247</v>
      </c>
      <c r="I308" s="62">
        <v>0.22991522721828517</v>
      </c>
      <c r="J308" s="62">
        <v>-0.11204445662830442</v>
      </c>
    </row>
    <row r="309" spans="1:10" ht="11.25" customHeight="1" x14ac:dyDescent="0.2">
      <c r="A309" s="71">
        <v>44136</v>
      </c>
      <c r="B309" s="61">
        <v>0</v>
      </c>
      <c r="C309" s="61">
        <v>0</v>
      </c>
      <c r="D309" s="61">
        <v>3559416.84449</v>
      </c>
      <c r="E309" s="61">
        <v>1289406.7061766048</v>
      </c>
      <c r="F309" s="61">
        <v>5471981.9336900003</v>
      </c>
      <c r="G309" s="61">
        <v>6730073.9033086877</v>
      </c>
      <c r="H309" s="62">
        <v>-0.63774776529121202</v>
      </c>
      <c r="I309" s="62">
        <v>0.22991522721828517</v>
      </c>
      <c r="J309" s="62">
        <v>-0.11204445662830398</v>
      </c>
    </row>
    <row r="310" spans="1:10" ht="11.25" customHeight="1" x14ac:dyDescent="0.2">
      <c r="A310" s="71">
        <v>44166</v>
      </c>
      <c r="B310" s="61">
        <v>0</v>
      </c>
      <c r="C310" s="61">
        <v>0</v>
      </c>
      <c r="D310" s="61">
        <v>3342447.3592899996</v>
      </c>
      <c r="E310" s="61">
        <v>1210809.0252992893</v>
      </c>
      <c r="F310" s="61">
        <v>5138429.2324899994</v>
      </c>
      <c r="G310" s="61">
        <v>6319832.3570230165</v>
      </c>
      <c r="H310" s="62">
        <v>-0.63774776529121202</v>
      </c>
      <c r="I310" s="62">
        <v>0.22991522721828517</v>
      </c>
      <c r="J310" s="62">
        <v>-0.11204445662830409</v>
      </c>
    </row>
    <row r="311" spans="1:10" ht="11.25" customHeight="1" x14ac:dyDescent="0.2">
      <c r="A311" s="71">
        <v>44197</v>
      </c>
      <c r="B311" s="61">
        <v>0</v>
      </c>
      <c r="C311" s="61">
        <v>0</v>
      </c>
      <c r="D311" s="61">
        <v>3098981.5433200002</v>
      </c>
      <c r="E311" s="61">
        <v>1122612.9893889586</v>
      </c>
      <c r="F311" s="61">
        <v>4764143.04892</v>
      </c>
      <c r="G311" s="61">
        <v>5859492.0805128561</v>
      </c>
      <c r="H311" s="62">
        <v>-0.63774776529121202</v>
      </c>
      <c r="I311" s="62">
        <v>0.22991522721828517</v>
      </c>
      <c r="J311" s="62">
        <v>-0.11204445662830398</v>
      </c>
    </row>
    <row r="312" spans="1:10" ht="11.25" customHeight="1" x14ac:dyDescent="0.2">
      <c r="A312" s="71">
        <v>44228</v>
      </c>
      <c r="B312" s="61">
        <v>0</v>
      </c>
      <c r="C312" s="61">
        <v>0</v>
      </c>
      <c r="D312" s="61">
        <v>3007815.2761799996</v>
      </c>
      <c r="E312" s="61">
        <v>1089587.805387435</v>
      </c>
      <c r="F312" s="61">
        <v>4623990.8305799998</v>
      </c>
      <c r="G312" s="61">
        <v>5687116.7330480674</v>
      </c>
      <c r="H312" s="62">
        <v>-0.63774776529121202</v>
      </c>
      <c r="I312" s="62">
        <v>0.22991522721828517</v>
      </c>
      <c r="J312" s="62">
        <v>-0.11204445662830409</v>
      </c>
    </row>
    <row r="313" spans="1:10" ht="11.25" customHeight="1" x14ac:dyDescent="0.2">
      <c r="A313" s="71">
        <v>44256</v>
      </c>
      <c r="B313" s="61">
        <v>0</v>
      </c>
      <c r="C313" s="61">
        <v>0</v>
      </c>
      <c r="D313" s="61">
        <v>3549355.5736599998</v>
      </c>
      <c r="E313" s="61">
        <v>1285761.9883344269</v>
      </c>
      <c r="F313" s="61">
        <v>5456514.4864600003</v>
      </c>
      <c r="G313" s="61">
        <v>6711050.2544343155</v>
      </c>
      <c r="H313" s="62">
        <v>-0.63774776529121202</v>
      </c>
      <c r="I313" s="62">
        <v>0.22991522721828517</v>
      </c>
      <c r="J313" s="62">
        <v>-0.11204445662830409</v>
      </c>
    </row>
    <row r="314" spans="1:10" ht="11.25" customHeight="1" x14ac:dyDescent="0.2">
      <c r="A314" s="71">
        <v>44287</v>
      </c>
      <c r="B314" s="61">
        <v>0</v>
      </c>
      <c r="C314" s="61">
        <v>0</v>
      </c>
      <c r="D314" s="61">
        <v>3409656.6663899999</v>
      </c>
      <c r="E314" s="61">
        <v>1235155.7469894933</v>
      </c>
      <c r="F314" s="61">
        <v>5241751.8075900003</v>
      </c>
      <c r="G314" s="61">
        <v>6446910.365453911</v>
      </c>
      <c r="H314" s="62">
        <v>-0.63774776529121224</v>
      </c>
      <c r="I314" s="62">
        <v>0.22991522721828495</v>
      </c>
      <c r="J314" s="62">
        <v>-0.1120444566283042</v>
      </c>
    </row>
    <row r="315" spans="1:10" ht="11.25" customHeight="1" x14ac:dyDescent="0.2">
      <c r="A315" s="71">
        <v>44317</v>
      </c>
      <c r="B315" s="61">
        <v>0</v>
      </c>
      <c r="C315" s="61">
        <v>0</v>
      </c>
      <c r="D315" s="61">
        <v>3362456.4814100005</v>
      </c>
      <c r="E315" s="61">
        <v>1218057.3745018207</v>
      </c>
      <c r="F315" s="61">
        <v>5169189.7642100006</v>
      </c>
      <c r="G315" s="61">
        <v>6357665.2033827761</v>
      </c>
      <c r="H315" s="62">
        <v>-0.63774776529121202</v>
      </c>
      <c r="I315" s="62">
        <v>0.22991522721828495</v>
      </c>
      <c r="J315" s="62">
        <v>-0.1120444566283042</v>
      </c>
    </row>
    <row r="316" spans="1:10" ht="11.25" customHeight="1" x14ac:dyDescent="0.2">
      <c r="A316" s="71">
        <v>44348</v>
      </c>
      <c r="B316" s="61">
        <v>0</v>
      </c>
      <c r="C316" s="61">
        <v>0</v>
      </c>
      <c r="D316" s="61">
        <v>3469547.8694500001</v>
      </c>
      <c r="E316" s="61">
        <v>1256851.4691373764</v>
      </c>
      <c r="F316" s="61">
        <v>5333824.0754500004</v>
      </c>
      <c r="G316" s="61">
        <v>6560151.4496994475</v>
      </c>
      <c r="H316" s="62">
        <v>-0.63774776529121213</v>
      </c>
      <c r="I316" s="62">
        <v>0.22991522721828517</v>
      </c>
      <c r="J316" s="62">
        <v>-0.11204445662830409</v>
      </c>
    </row>
    <row r="317" spans="1:10" ht="11.25" customHeight="1" x14ac:dyDescent="0.2">
      <c r="A317" s="71">
        <v>44378</v>
      </c>
      <c r="B317" s="61">
        <v>0</v>
      </c>
      <c r="C317" s="61">
        <v>0</v>
      </c>
      <c r="D317" s="61">
        <v>3606359.8155</v>
      </c>
      <c r="E317" s="61">
        <v>1306411.902328847</v>
      </c>
      <c r="F317" s="61">
        <v>5544148.5555000007</v>
      </c>
      <c r="G317" s="61">
        <v>6818832.7303697104</v>
      </c>
      <c r="H317" s="62">
        <v>-0.63774776529121213</v>
      </c>
      <c r="I317" s="62">
        <v>0.22991522721828517</v>
      </c>
      <c r="J317" s="62">
        <v>-0.1120444566283042</v>
      </c>
    </row>
    <row r="318" spans="1:10" ht="11.25" customHeight="1" x14ac:dyDescent="0.2">
      <c r="A318" s="71">
        <v>44409</v>
      </c>
      <c r="B318" s="61">
        <v>0</v>
      </c>
      <c r="C318" s="61">
        <v>0</v>
      </c>
      <c r="D318" s="61">
        <v>3741481.24181</v>
      </c>
      <c r="E318" s="61">
        <v>1355359.9409666834</v>
      </c>
      <c r="F318" s="61">
        <v>5751874.1566100009</v>
      </c>
      <c r="G318" s="61">
        <v>7074317.6102579702</v>
      </c>
      <c r="H318" s="62">
        <v>-0.63774776529121202</v>
      </c>
      <c r="I318" s="62">
        <v>0.22991522721828495</v>
      </c>
      <c r="J318" s="62">
        <v>-0.1120444566283042</v>
      </c>
    </row>
    <row r="319" spans="1:10" ht="11.25" customHeight="1" x14ac:dyDescent="0.2">
      <c r="A319" s="71">
        <v>44440</v>
      </c>
      <c r="B319" s="61">
        <v>0</v>
      </c>
      <c r="C319" s="61">
        <v>0</v>
      </c>
      <c r="D319" s="61">
        <v>3461690.4988899999</v>
      </c>
      <c r="E319" s="61">
        <v>1254005.1190930817</v>
      </c>
      <c r="F319" s="61">
        <v>5321744.7400900004</v>
      </c>
      <c r="G319" s="61">
        <v>6545294.8912055055</v>
      </c>
      <c r="H319" s="62">
        <v>-0.63774776529121202</v>
      </c>
      <c r="I319" s="62">
        <v>0.22991522721828495</v>
      </c>
      <c r="J319" s="62">
        <v>-0.1120444566283042</v>
      </c>
    </row>
    <row r="320" spans="1:10" ht="11.25" customHeight="1" x14ac:dyDescent="0.2">
      <c r="A320" s="71">
        <v>44470</v>
      </c>
      <c r="B320" s="61">
        <v>0</v>
      </c>
      <c r="C320" s="61">
        <v>0</v>
      </c>
      <c r="D320" s="61">
        <v>3461690.4988899999</v>
      </c>
      <c r="E320" s="61">
        <v>1254005.1190930817</v>
      </c>
      <c r="F320" s="61">
        <v>5321744.7400900004</v>
      </c>
      <c r="G320" s="61">
        <v>6545294.8912055055</v>
      </c>
      <c r="H320" s="62">
        <v>-0.63774776529121202</v>
      </c>
      <c r="I320" s="62">
        <v>0.22991522721828495</v>
      </c>
      <c r="J320" s="62">
        <v>-0.1120444566283042</v>
      </c>
    </row>
    <row r="321" spans="1:10" ht="11.25" customHeight="1" x14ac:dyDescent="0.2">
      <c r="A321" s="70" t="s">
        <v>25</v>
      </c>
      <c r="B321" s="61">
        <v>38833515.369999997</v>
      </c>
      <c r="C321" s="61">
        <v>43401437.588371947</v>
      </c>
      <c r="D321" s="61">
        <v>0</v>
      </c>
      <c r="E321" s="61">
        <v>0</v>
      </c>
      <c r="F321" s="61">
        <v>0</v>
      </c>
      <c r="G321" s="61">
        <v>0</v>
      </c>
      <c r="H321" s="62">
        <v>0.11762834692789026</v>
      </c>
      <c r="I321" s="62">
        <v>0</v>
      </c>
      <c r="J321" s="62">
        <v>0.11762834692789026</v>
      </c>
    </row>
    <row r="322" spans="1:10" ht="11.25" customHeight="1" x14ac:dyDescent="0.2">
      <c r="A322" s="71">
        <v>44136</v>
      </c>
      <c r="B322" s="61">
        <v>3297120.85</v>
      </c>
      <c r="C322" s="61">
        <v>3684955.7252069828</v>
      </c>
      <c r="D322" s="61">
        <v>0</v>
      </c>
      <c r="E322" s="61">
        <v>0</v>
      </c>
      <c r="F322" s="61">
        <v>0</v>
      </c>
      <c r="G322" s="61">
        <v>0</v>
      </c>
      <c r="H322" s="62">
        <v>0.11762834692789093</v>
      </c>
      <c r="I322" s="62">
        <v>0</v>
      </c>
      <c r="J322" s="62">
        <v>0.11762834692789093</v>
      </c>
    </row>
    <row r="323" spans="1:10" ht="11.25" customHeight="1" x14ac:dyDescent="0.2">
      <c r="A323" s="71">
        <v>44166</v>
      </c>
      <c r="B323" s="61">
        <v>3310120.2</v>
      </c>
      <c r="C323" s="61">
        <v>3699484.1672586193</v>
      </c>
      <c r="D323" s="61">
        <v>0</v>
      </c>
      <c r="E323" s="61">
        <v>0</v>
      </c>
      <c r="F323" s="61">
        <v>0</v>
      </c>
      <c r="G323" s="61">
        <v>0</v>
      </c>
      <c r="H323" s="62">
        <v>0.1176283469278907</v>
      </c>
      <c r="I323" s="62">
        <v>0</v>
      </c>
      <c r="J323" s="62">
        <v>0.1176283469278907</v>
      </c>
    </row>
    <row r="324" spans="1:10" ht="11.25" customHeight="1" x14ac:dyDescent="0.2">
      <c r="A324" s="71">
        <v>44197</v>
      </c>
      <c r="B324" s="61">
        <v>3228067.16</v>
      </c>
      <c r="C324" s="61">
        <v>3607779.3638030114</v>
      </c>
      <c r="D324" s="61">
        <v>0</v>
      </c>
      <c r="E324" s="61">
        <v>0</v>
      </c>
      <c r="F324" s="61">
        <v>0</v>
      </c>
      <c r="G324" s="61">
        <v>0</v>
      </c>
      <c r="H324" s="62">
        <v>0.1176283469278907</v>
      </c>
      <c r="I324" s="62">
        <v>0</v>
      </c>
      <c r="J324" s="62">
        <v>0.1176283469278907</v>
      </c>
    </row>
    <row r="325" spans="1:10" ht="11.25" customHeight="1" x14ac:dyDescent="0.2">
      <c r="A325" s="71">
        <v>44228</v>
      </c>
      <c r="B325" s="61">
        <v>3180469.54</v>
      </c>
      <c r="C325" s="61">
        <v>3554582.9144447097</v>
      </c>
      <c r="D325" s="61">
        <v>0</v>
      </c>
      <c r="E325" s="61">
        <v>0</v>
      </c>
      <c r="F325" s="61">
        <v>0</v>
      </c>
      <c r="G325" s="61">
        <v>0</v>
      </c>
      <c r="H325" s="62">
        <v>0.11762834692789093</v>
      </c>
      <c r="I325" s="62">
        <v>0</v>
      </c>
      <c r="J325" s="62">
        <v>0.11762834692789093</v>
      </c>
    </row>
    <row r="326" spans="1:10" ht="11.25" customHeight="1" x14ac:dyDescent="0.2">
      <c r="A326" s="71">
        <v>44256</v>
      </c>
      <c r="B326" s="61">
        <v>3279750.29</v>
      </c>
      <c r="C326" s="61">
        <v>3665541.8949489705</v>
      </c>
      <c r="D326" s="61">
        <v>0</v>
      </c>
      <c r="E326" s="61">
        <v>0</v>
      </c>
      <c r="F326" s="61">
        <v>0</v>
      </c>
      <c r="G326" s="61">
        <v>0</v>
      </c>
      <c r="H326" s="62">
        <v>0.1176283469278907</v>
      </c>
      <c r="I326" s="62">
        <v>0</v>
      </c>
      <c r="J326" s="62">
        <v>0.1176283469278907</v>
      </c>
    </row>
    <row r="327" spans="1:10" ht="11.25" customHeight="1" x14ac:dyDescent="0.2">
      <c r="A327" s="71">
        <v>44287</v>
      </c>
      <c r="B327" s="61">
        <v>3019106.18</v>
      </c>
      <c r="C327" s="61">
        <v>3374238.6491531786</v>
      </c>
      <c r="D327" s="61">
        <v>0</v>
      </c>
      <c r="E327" s="61">
        <v>0</v>
      </c>
      <c r="F327" s="61">
        <v>0</v>
      </c>
      <c r="G327" s="61">
        <v>0</v>
      </c>
      <c r="H327" s="62">
        <v>0.11762834692789048</v>
      </c>
      <c r="I327" s="62">
        <v>0</v>
      </c>
      <c r="J327" s="62">
        <v>0.11762834692789048</v>
      </c>
    </row>
    <row r="328" spans="1:10" ht="11.25" customHeight="1" x14ac:dyDescent="0.2">
      <c r="A328" s="71">
        <v>44317</v>
      </c>
      <c r="B328" s="61">
        <v>3166241.6799999997</v>
      </c>
      <c r="C328" s="61">
        <v>3538681.4547925876</v>
      </c>
      <c r="D328" s="61">
        <v>0</v>
      </c>
      <c r="E328" s="61">
        <v>0</v>
      </c>
      <c r="F328" s="61">
        <v>0</v>
      </c>
      <c r="G328" s="61">
        <v>0</v>
      </c>
      <c r="H328" s="62">
        <v>0.11762834692789093</v>
      </c>
      <c r="I328" s="62">
        <v>0</v>
      </c>
      <c r="J328" s="62">
        <v>0.11762834692789093</v>
      </c>
    </row>
    <row r="329" spans="1:10" ht="11.25" customHeight="1" x14ac:dyDescent="0.2">
      <c r="A329" s="71">
        <v>44348</v>
      </c>
      <c r="B329" s="61">
        <v>3323376.6799999997</v>
      </c>
      <c r="C329" s="61">
        <v>3714299.9850871018</v>
      </c>
      <c r="D329" s="61">
        <v>0</v>
      </c>
      <c r="E329" s="61">
        <v>0</v>
      </c>
      <c r="F329" s="61">
        <v>0</v>
      </c>
      <c r="G329" s="61">
        <v>0</v>
      </c>
      <c r="H329" s="62">
        <v>0.11762834692789093</v>
      </c>
      <c r="I329" s="62">
        <v>0</v>
      </c>
      <c r="J329" s="62">
        <v>0.11762834692789093</v>
      </c>
    </row>
    <row r="330" spans="1:10" ht="11.25" customHeight="1" x14ac:dyDescent="0.2">
      <c r="A330" s="71">
        <v>44378</v>
      </c>
      <c r="B330" s="61">
        <v>3260722.67</v>
      </c>
      <c r="C330" s="61">
        <v>3644276.0874623982</v>
      </c>
      <c r="D330" s="61">
        <v>0</v>
      </c>
      <c r="E330" s="61">
        <v>0</v>
      </c>
      <c r="F330" s="61">
        <v>0</v>
      </c>
      <c r="G330" s="61">
        <v>0</v>
      </c>
      <c r="H330" s="62">
        <v>0.1176283469278907</v>
      </c>
      <c r="I330" s="62">
        <v>0</v>
      </c>
      <c r="J330" s="62">
        <v>0.1176283469278907</v>
      </c>
    </row>
    <row r="331" spans="1:10" ht="11.25" customHeight="1" x14ac:dyDescent="0.2">
      <c r="A331" s="71">
        <v>44409</v>
      </c>
      <c r="B331" s="61">
        <v>3338747.34</v>
      </c>
      <c r="C331" s="61">
        <v>3731478.6704140925</v>
      </c>
      <c r="D331" s="61">
        <v>0</v>
      </c>
      <c r="E331" s="61">
        <v>0</v>
      </c>
      <c r="F331" s="61">
        <v>0</v>
      </c>
      <c r="G331" s="61">
        <v>0</v>
      </c>
      <c r="H331" s="62">
        <v>0.11762834692789093</v>
      </c>
      <c r="I331" s="62">
        <v>0</v>
      </c>
      <c r="J331" s="62">
        <v>0.11762834692789093</v>
      </c>
    </row>
    <row r="332" spans="1:10" ht="11.25" customHeight="1" x14ac:dyDescent="0.2">
      <c r="A332" s="71">
        <v>44440</v>
      </c>
      <c r="B332" s="61">
        <v>3214896.39</v>
      </c>
      <c r="C332" s="61">
        <v>3593059.3379001436</v>
      </c>
      <c r="D332" s="61">
        <v>0</v>
      </c>
      <c r="E332" s="61">
        <v>0</v>
      </c>
      <c r="F332" s="61">
        <v>0</v>
      </c>
      <c r="G332" s="61">
        <v>0</v>
      </c>
      <c r="H332" s="62">
        <v>0.1176283469278907</v>
      </c>
      <c r="I332" s="62">
        <v>0</v>
      </c>
      <c r="J332" s="62">
        <v>0.1176283469278907</v>
      </c>
    </row>
    <row r="333" spans="1:10" ht="11.25" customHeight="1" x14ac:dyDescent="0.2">
      <c r="A333" s="71">
        <v>44470</v>
      </c>
      <c r="B333" s="61">
        <v>3214896.39</v>
      </c>
      <c r="C333" s="61">
        <v>3593059.3379001436</v>
      </c>
      <c r="D333" s="61">
        <v>0</v>
      </c>
      <c r="E333" s="61">
        <v>0</v>
      </c>
      <c r="F333" s="61">
        <v>0</v>
      </c>
      <c r="G333" s="61">
        <v>0</v>
      </c>
      <c r="H333" s="62">
        <v>0.1176283469278907</v>
      </c>
      <c r="I333" s="62">
        <v>0</v>
      </c>
      <c r="J333" s="62">
        <v>0.1176283469278907</v>
      </c>
    </row>
    <row r="334" spans="1:10" ht="11.25" customHeight="1" x14ac:dyDescent="0.2">
      <c r="A334" s="70" t="s">
        <v>37</v>
      </c>
      <c r="B334" s="61">
        <v>0</v>
      </c>
      <c r="C334" s="61">
        <v>0</v>
      </c>
      <c r="D334" s="61">
        <v>30308113.697120003</v>
      </c>
      <c r="E334" s="61">
        <v>31724334.403352045</v>
      </c>
      <c r="F334" s="61">
        <v>8223044.8358399998</v>
      </c>
      <c r="G334" s="61">
        <v>9597113.0915491432</v>
      </c>
      <c r="H334" s="62">
        <v>4.672744468312473E-2</v>
      </c>
      <c r="I334" s="62">
        <v>0.16709969155467674</v>
      </c>
      <c r="J334" s="62">
        <v>7.2416430446915481E-2</v>
      </c>
    </row>
    <row r="335" spans="1:10" ht="11.25" customHeight="1" x14ac:dyDescent="0.2">
      <c r="A335" s="71">
        <v>44136</v>
      </c>
      <c r="B335" s="61">
        <v>0</v>
      </c>
      <c r="C335" s="61">
        <v>0</v>
      </c>
      <c r="D335" s="61">
        <v>2810043.3889500001</v>
      </c>
      <c r="E335" s="61">
        <v>2941349.5359643428</v>
      </c>
      <c r="F335" s="61">
        <v>762406.82640000002</v>
      </c>
      <c r="G335" s="61">
        <v>889804.77193061996</v>
      </c>
      <c r="H335" s="62">
        <v>4.6727444683125174E-2</v>
      </c>
      <c r="I335" s="62">
        <v>0.16709969155467674</v>
      </c>
      <c r="J335" s="62">
        <v>7.2416430446915703E-2</v>
      </c>
    </row>
    <row r="336" spans="1:10" ht="11.25" customHeight="1" x14ac:dyDescent="0.2">
      <c r="A336" s="71">
        <v>44166</v>
      </c>
      <c r="B336" s="61">
        <v>0</v>
      </c>
      <c r="C336" s="61">
        <v>0</v>
      </c>
      <c r="D336" s="61">
        <v>2636890.0621699998</v>
      </c>
      <c r="E336" s="61">
        <v>2760105.1966855312</v>
      </c>
      <c r="F336" s="61">
        <v>715427.73743999994</v>
      </c>
      <c r="G336" s="61">
        <v>834975.49169588438</v>
      </c>
      <c r="H336" s="62">
        <v>4.6727444683125174E-2</v>
      </c>
      <c r="I336" s="62">
        <v>0.16709969155467697</v>
      </c>
      <c r="J336" s="62">
        <v>7.2416430446916147E-2</v>
      </c>
    </row>
    <row r="337" spans="1:10" ht="11.25" customHeight="1" x14ac:dyDescent="0.2">
      <c r="A337" s="71">
        <v>44197</v>
      </c>
      <c r="B337" s="61">
        <v>0</v>
      </c>
      <c r="C337" s="61">
        <v>0</v>
      </c>
      <c r="D337" s="61">
        <v>2048442.5090500002</v>
      </c>
      <c r="E337" s="61">
        <v>2144160.993078196</v>
      </c>
      <c r="F337" s="61">
        <v>555773.10960000008</v>
      </c>
      <c r="G337" s="61">
        <v>648642.62478854368</v>
      </c>
      <c r="H337" s="62">
        <v>4.6727444683124952E-2</v>
      </c>
      <c r="I337" s="62">
        <v>0.16709969155467674</v>
      </c>
      <c r="J337" s="62">
        <v>7.2416430446915703E-2</v>
      </c>
    </row>
    <row r="338" spans="1:10" ht="11.25" customHeight="1" x14ac:dyDescent="0.2">
      <c r="A338" s="71">
        <v>44228</v>
      </c>
      <c r="B338" s="61">
        <v>0</v>
      </c>
      <c r="C338" s="61">
        <v>0</v>
      </c>
      <c r="D338" s="61">
        <v>1896788.0756299999</v>
      </c>
      <c r="E338" s="61">
        <v>1985420.1355096123</v>
      </c>
      <c r="F338" s="61">
        <v>514626.99215999997</v>
      </c>
      <c r="G338" s="61">
        <v>600621.0038156471</v>
      </c>
      <c r="H338" s="62">
        <v>4.6727444683125174E-2</v>
      </c>
      <c r="I338" s="62">
        <v>0.16709969155467697</v>
      </c>
      <c r="J338" s="62">
        <v>7.2416430446915925E-2</v>
      </c>
    </row>
    <row r="339" spans="1:10" ht="11.25" customHeight="1" x14ac:dyDescent="0.2">
      <c r="A339" s="71">
        <v>44256</v>
      </c>
      <c r="B339" s="61">
        <v>0</v>
      </c>
      <c r="C339" s="61">
        <v>0</v>
      </c>
      <c r="D339" s="61">
        <v>2875135.5068799998</v>
      </c>
      <c r="E339" s="61">
        <v>3009483.2422342245</v>
      </c>
      <c r="F339" s="61">
        <v>780067.29215999995</v>
      </c>
      <c r="G339" s="61">
        <v>910416.29607182799</v>
      </c>
      <c r="H339" s="62">
        <v>4.6727444683125396E-2</v>
      </c>
      <c r="I339" s="62">
        <v>0.16709969155467697</v>
      </c>
      <c r="J339" s="62">
        <v>7.2416430446915925E-2</v>
      </c>
    </row>
    <row r="340" spans="1:10" ht="11.25" customHeight="1" x14ac:dyDescent="0.2">
      <c r="A340" s="71">
        <v>44287</v>
      </c>
      <c r="B340" s="61">
        <v>0</v>
      </c>
      <c r="C340" s="61">
        <v>0</v>
      </c>
      <c r="D340" s="61">
        <v>2490872.91866</v>
      </c>
      <c r="E340" s="61">
        <v>2607265.0451793796</v>
      </c>
      <c r="F340" s="61">
        <v>675811.10111999989</v>
      </c>
      <c r="G340" s="61">
        <v>788738.92766637844</v>
      </c>
      <c r="H340" s="62">
        <v>4.6727444683125174E-2</v>
      </c>
      <c r="I340" s="62">
        <v>0.16709969155467697</v>
      </c>
      <c r="J340" s="62">
        <v>7.2416430446915925E-2</v>
      </c>
    </row>
    <row r="341" spans="1:10" ht="11.25" customHeight="1" x14ac:dyDescent="0.2">
      <c r="A341" s="71">
        <v>44317</v>
      </c>
      <c r="B341" s="61">
        <v>0</v>
      </c>
      <c r="C341" s="61">
        <v>0</v>
      </c>
      <c r="D341" s="61">
        <v>2505639.77734</v>
      </c>
      <c r="E341" s="61">
        <v>2622721.9214314925</v>
      </c>
      <c r="F341" s="61">
        <v>679817.5708799999</v>
      </c>
      <c r="G341" s="61">
        <v>793414.87728749763</v>
      </c>
      <c r="H341" s="62">
        <v>4.6727444683124952E-2</v>
      </c>
      <c r="I341" s="62">
        <v>0.16709969155467697</v>
      </c>
      <c r="J341" s="62">
        <v>7.2416430446915703E-2</v>
      </c>
    </row>
    <row r="342" spans="1:10" ht="11.25" customHeight="1" x14ac:dyDescent="0.2">
      <c r="A342" s="71">
        <v>44348</v>
      </c>
      <c r="B342" s="61">
        <v>0</v>
      </c>
      <c r="C342" s="61">
        <v>0</v>
      </c>
      <c r="D342" s="61">
        <v>2403146.9884800003</v>
      </c>
      <c r="E342" s="61">
        <v>2515439.9064496178</v>
      </c>
      <c r="F342" s="61">
        <v>652009.74335999985</v>
      </c>
      <c r="G342" s="61">
        <v>760960.37036609999</v>
      </c>
      <c r="H342" s="62">
        <v>4.6727444683124952E-2</v>
      </c>
      <c r="I342" s="62">
        <v>0.16709969155467719</v>
      </c>
      <c r="J342" s="62">
        <v>7.2416430446915925E-2</v>
      </c>
    </row>
    <row r="343" spans="1:10" ht="11.25" customHeight="1" x14ac:dyDescent="0.2">
      <c r="A343" s="71">
        <v>44378</v>
      </c>
      <c r="B343" s="61">
        <v>0</v>
      </c>
      <c r="C343" s="61">
        <v>0</v>
      </c>
      <c r="D343" s="61">
        <v>2659358.8735699998</v>
      </c>
      <c r="E343" s="61">
        <v>2783623.9182273201</v>
      </c>
      <c r="F343" s="61">
        <v>721523.86224000005</v>
      </c>
      <c r="G343" s="61">
        <v>842090.27706964314</v>
      </c>
      <c r="H343" s="62">
        <v>4.6727444683125174E-2</v>
      </c>
      <c r="I343" s="62">
        <v>0.16709969155467674</v>
      </c>
      <c r="J343" s="62">
        <v>7.2416430446915703E-2</v>
      </c>
    </row>
    <row r="344" spans="1:10" ht="11.25" customHeight="1" x14ac:dyDescent="0.2">
      <c r="A344" s="71">
        <v>44409</v>
      </c>
      <c r="B344" s="61">
        <v>0</v>
      </c>
      <c r="C344" s="61">
        <v>0</v>
      </c>
      <c r="D344" s="61">
        <v>2863558.1863700002</v>
      </c>
      <c r="E344" s="61">
        <v>2997364.943120514</v>
      </c>
      <c r="F344" s="61">
        <v>776926.19183999998</v>
      </c>
      <c r="G344" s="61">
        <v>906750.3188572136</v>
      </c>
      <c r="H344" s="62">
        <v>4.6727444683124952E-2</v>
      </c>
      <c r="I344" s="62">
        <v>0.16709969155467674</v>
      </c>
      <c r="J344" s="62">
        <v>7.2416430446915703E-2</v>
      </c>
    </row>
    <row r="345" spans="1:10" ht="11.25" customHeight="1" x14ac:dyDescent="0.2">
      <c r="A345" s="71">
        <v>44440</v>
      </c>
      <c r="B345" s="61">
        <v>0</v>
      </c>
      <c r="C345" s="61">
        <v>0</v>
      </c>
      <c r="D345" s="61">
        <v>2559118.7050100006</v>
      </c>
      <c r="E345" s="61">
        <v>2678699.7827359056</v>
      </c>
      <c r="F345" s="61">
        <v>694327.20432000002</v>
      </c>
      <c r="G345" s="61">
        <v>810349.06599989312</v>
      </c>
      <c r="H345" s="62">
        <v>4.6727444683124952E-2</v>
      </c>
      <c r="I345" s="62">
        <v>0.16709969155467697</v>
      </c>
      <c r="J345" s="62">
        <v>7.2416430446915481E-2</v>
      </c>
    </row>
    <row r="346" spans="1:10" ht="11.25" customHeight="1" x14ac:dyDescent="0.2">
      <c r="A346" s="71">
        <v>44470</v>
      </c>
      <c r="B346" s="61">
        <v>0</v>
      </c>
      <c r="C346" s="61">
        <v>0</v>
      </c>
      <c r="D346" s="61">
        <v>2559118.7050100006</v>
      </c>
      <c r="E346" s="61">
        <v>2678699.7827359056</v>
      </c>
      <c r="F346" s="61">
        <v>694327.20432000002</v>
      </c>
      <c r="G346" s="61">
        <v>810349.06599989312</v>
      </c>
      <c r="H346" s="62">
        <v>4.6727444683124952E-2</v>
      </c>
      <c r="I346" s="62">
        <v>0.16709969155467697</v>
      </c>
      <c r="J346" s="62">
        <v>7.2416430446915481E-2</v>
      </c>
    </row>
    <row r="347" spans="1:10" ht="11.25" customHeight="1" x14ac:dyDescent="0.2">
      <c r="A347" s="66" t="s">
        <v>48</v>
      </c>
      <c r="B347" s="61">
        <v>43095673.68</v>
      </c>
      <c r="C347" s="61">
        <v>48164946.534722209</v>
      </c>
      <c r="D347" s="61">
        <v>42153472.056420006</v>
      </c>
      <c r="E347" s="61">
        <v>26825455.940467622</v>
      </c>
      <c r="F347" s="61">
        <v>43430896.606750011</v>
      </c>
      <c r="G347" s="61">
        <v>53128605.700292483</v>
      </c>
      <c r="H347" s="62">
        <v>-0.12033837022776683</v>
      </c>
      <c r="I347" s="62">
        <v>0.22329055698185241</v>
      </c>
      <c r="J347" s="62">
        <v>-4.3599159393459264E-3</v>
      </c>
    </row>
    <row r="348" spans="1:10" ht="11.25" customHeight="1" x14ac:dyDescent="0.2">
      <c r="A348" s="67" t="s">
        <v>25</v>
      </c>
      <c r="B348" s="61">
        <v>43095673.68</v>
      </c>
      <c r="C348" s="61">
        <v>48164946.534722209</v>
      </c>
      <c r="D348" s="61">
        <v>42153472.056420006</v>
      </c>
      <c r="E348" s="61">
        <v>26825455.940467622</v>
      </c>
      <c r="F348" s="61">
        <v>43430896.606750011</v>
      </c>
      <c r="G348" s="61">
        <v>53128605.700292483</v>
      </c>
      <c r="H348" s="62">
        <v>-0.12033837022776683</v>
      </c>
      <c r="I348" s="62">
        <v>0.22329055698185241</v>
      </c>
      <c r="J348" s="62">
        <v>-4.3599159393459264E-3</v>
      </c>
    </row>
    <row r="349" spans="1:10" ht="11.25" customHeight="1" x14ac:dyDescent="0.2">
      <c r="A349" s="68" t="s">
        <v>25</v>
      </c>
      <c r="B349" s="61">
        <v>43095673.68</v>
      </c>
      <c r="C349" s="61">
        <v>48164946.534722209</v>
      </c>
      <c r="D349" s="61">
        <v>42153472.056420006</v>
      </c>
      <c r="E349" s="61">
        <v>26825455.940467622</v>
      </c>
      <c r="F349" s="61">
        <v>43430896.606750011</v>
      </c>
      <c r="G349" s="61">
        <v>53128605.700292483</v>
      </c>
      <c r="H349" s="62">
        <v>-0.12033837022776683</v>
      </c>
      <c r="I349" s="62">
        <v>0.22329055698185241</v>
      </c>
      <c r="J349" s="62">
        <v>-4.3599159393459264E-3</v>
      </c>
    </row>
    <row r="350" spans="1:10" ht="11.25" customHeight="1" x14ac:dyDescent="0.2">
      <c r="A350" s="69" t="s">
        <v>25</v>
      </c>
      <c r="B350" s="61">
        <v>43095673.68</v>
      </c>
      <c r="C350" s="61">
        <v>48164946.534722209</v>
      </c>
      <c r="D350" s="61">
        <v>42153472.056420006</v>
      </c>
      <c r="E350" s="61">
        <v>26825455.940467622</v>
      </c>
      <c r="F350" s="61">
        <v>43430896.606750011</v>
      </c>
      <c r="G350" s="61">
        <v>53128605.700292483</v>
      </c>
      <c r="H350" s="62">
        <v>-0.12033837022776683</v>
      </c>
      <c r="I350" s="62">
        <v>0.22329055698185241</v>
      </c>
      <c r="J350" s="62">
        <v>-4.3599159393459264E-3</v>
      </c>
    </row>
    <row r="351" spans="1:10" ht="11.25" customHeight="1" x14ac:dyDescent="0.2">
      <c r="A351" s="70" t="s">
        <v>38</v>
      </c>
      <c r="B351" s="61">
        <v>0</v>
      </c>
      <c r="C351" s="61">
        <v>0</v>
      </c>
      <c r="D351" s="61">
        <v>25271536.350189999</v>
      </c>
      <c r="E351" s="61">
        <v>9154670.5173806939</v>
      </c>
      <c r="F351" s="61">
        <v>38850574.795390002</v>
      </c>
      <c r="G351" s="61">
        <v>47782913.527033076</v>
      </c>
      <c r="H351" s="62">
        <v>-0.63774776529121224</v>
      </c>
      <c r="I351" s="62">
        <v>0.22991522721828472</v>
      </c>
      <c r="J351" s="62">
        <v>-0.11204445662830442</v>
      </c>
    </row>
    <row r="352" spans="1:10" ht="11.25" customHeight="1" x14ac:dyDescent="0.2">
      <c r="A352" s="71">
        <v>44136</v>
      </c>
      <c r="B352" s="61">
        <v>0</v>
      </c>
      <c r="C352" s="61">
        <v>0</v>
      </c>
      <c r="D352" s="61">
        <v>2494853.4109200002</v>
      </c>
      <c r="E352" s="61">
        <v>903766.22337661195</v>
      </c>
      <c r="F352" s="61">
        <v>3835401.52452</v>
      </c>
      <c r="G352" s="61">
        <v>4717218.7375033731</v>
      </c>
      <c r="H352" s="62">
        <v>-0.63774776529121213</v>
      </c>
      <c r="I352" s="62">
        <v>0.22991522721828517</v>
      </c>
      <c r="J352" s="62">
        <v>-0.11204445662830409</v>
      </c>
    </row>
    <row r="353" spans="1:10" ht="11.25" customHeight="1" x14ac:dyDescent="0.2">
      <c r="A353" s="71">
        <v>44166</v>
      </c>
      <c r="B353" s="61">
        <v>0</v>
      </c>
      <c r="C353" s="61">
        <v>0</v>
      </c>
      <c r="D353" s="61">
        <v>2410088.4648099998</v>
      </c>
      <c r="E353" s="61">
        <v>873059.93222329451</v>
      </c>
      <c r="F353" s="61">
        <v>3705090.2196100005</v>
      </c>
      <c r="G353" s="61">
        <v>4556946.8793158783</v>
      </c>
      <c r="H353" s="62">
        <v>-0.63774776529121202</v>
      </c>
      <c r="I353" s="62">
        <v>0.22991522721828472</v>
      </c>
      <c r="J353" s="62">
        <v>-0.11204445662830431</v>
      </c>
    </row>
    <row r="354" spans="1:10" ht="11.25" customHeight="1" x14ac:dyDescent="0.2">
      <c r="A354" s="71">
        <v>44197</v>
      </c>
      <c r="B354" s="61">
        <v>0</v>
      </c>
      <c r="C354" s="61">
        <v>0</v>
      </c>
      <c r="D354" s="61">
        <v>1741714.4474599999</v>
      </c>
      <c r="E354" s="61">
        <v>630939.95081696683</v>
      </c>
      <c r="F354" s="61">
        <v>2677581.8642600002</v>
      </c>
      <c r="G354" s="61">
        <v>3293198.7069768971</v>
      </c>
      <c r="H354" s="62">
        <v>-0.63774776529121202</v>
      </c>
      <c r="I354" s="62">
        <v>0.22991522721828495</v>
      </c>
      <c r="J354" s="62">
        <v>-0.11204445662830431</v>
      </c>
    </row>
    <row r="355" spans="1:10" ht="11.25" customHeight="1" x14ac:dyDescent="0.2">
      <c r="A355" s="71">
        <v>44228</v>
      </c>
      <c r="B355" s="61">
        <v>0</v>
      </c>
      <c r="C355" s="61">
        <v>0</v>
      </c>
      <c r="D355" s="61">
        <v>1734326.9151000001</v>
      </c>
      <c r="E355" s="61">
        <v>628263.80071057333</v>
      </c>
      <c r="F355" s="61">
        <v>2666224.8231000002</v>
      </c>
      <c r="G355" s="61">
        <v>3279230.509118069</v>
      </c>
      <c r="H355" s="62">
        <v>-0.63774776529121202</v>
      </c>
      <c r="I355" s="62">
        <v>0.22991522721828517</v>
      </c>
      <c r="J355" s="62">
        <v>-0.11204445662830409</v>
      </c>
    </row>
    <row r="356" spans="1:10" ht="11.25" customHeight="1" x14ac:dyDescent="0.2">
      <c r="A356" s="71">
        <v>44256</v>
      </c>
      <c r="B356" s="61">
        <v>0</v>
      </c>
      <c r="C356" s="61">
        <v>0</v>
      </c>
      <c r="D356" s="61">
        <v>1892671.8151899998</v>
      </c>
      <c r="E356" s="61">
        <v>685624.59462291549</v>
      </c>
      <c r="F356" s="61">
        <v>2909652.4603900001</v>
      </c>
      <c r="G356" s="61">
        <v>3578625.866946809</v>
      </c>
      <c r="H356" s="62">
        <v>-0.63774776529121202</v>
      </c>
      <c r="I356" s="62">
        <v>0.22991522721828495</v>
      </c>
      <c r="J356" s="62">
        <v>-0.1120444566283042</v>
      </c>
    </row>
    <row r="357" spans="1:10" ht="11.25" customHeight="1" x14ac:dyDescent="0.2">
      <c r="A357" s="71">
        <v>44287</v>
      </c>
      <c r="B357" s="61">
        <v>0</v>
      </c>
      <c r="C357" s="61">
        <v>0</v>
      </c>
      <c r="D357" s="61">
        <v>1954057.5226899998</v>
      </c>
      <c r="E357" s="61">
        <v>707861.70434397063</v>
      </c>
      <c r="F357" s="61">
        <v>3004022.2678900003</v>
      </c>
      <c r="G357" s="61">
        <v>3694692.7301807171</v>
      </c>
      <c r="H357" s="62">
        <v>-0.63774776529121202</v>
      </c>
      <c r="I357" s="62">
        <v>0.22991522721828495</v>
      </c>
      <c r="J357" s="62">
        <v>-0.11204445662830409</v>
      </c>
    </row>
    <row r="358" spans="1:10" ht="11.25" customHeight="1" x14ac:dyDescent="0.2">
      <c r="A358" s="71">
        <v>44317</v>
      </c>
      <c r="B358" s="61">
        <v>0</v>
      </c>
      <c r="C358" s="61">
        <v>0</v>
      </c>
      <c r="D358" s="61">
        <v>2264678.1804399998</v>
      </c>
      <c r="E358" s="61">
        <v>820384.73176062165</v>
      </c>
      <c r="F358" s="61">
        <v>3481547.2956400001</v>
      </c>
      <c r="G358" s="61">
        <v>4282008.0331882769</v>
      </c>
      <c r="H358" s="62">
        <v>-0.63774776529121202</v>
      </c>
      <c r="I358" s="62">
        <v>0.22991522721828517</v>
      </c>
      <c r="J358" s="62">
        <v>-0.11204445662830409</v>
      </c>
    </row>
    <row r="359" spans="1:10" ht="11.25" customHeight="1" x14ac:dyDescent="0.2">
      <c r="A359" s="71">
        <v>44348</v>
      </c>
      <c r="B359" s="61">
        <v>0</v>
      </c>
      <c r="C359" s="61">
        <v>0</v>
      </c>
      <c r="D359" s="61">
        <v>2621908.8824499995</v>
      </c>
      <c r="E359" s="61">
        <v>949792.35187033319</v>
      </c>
      <c r="F359" s="61">
        <v>4030727.1284500007</v>
      </c>
      <c r="G359" s="61">
        <v>4957452.6720424881</v>
      </c>
      <c r="H359" s="62">
        <v>-0.63774776529121202</v>
      </c>
      <c r="I359" s="62">
        <v>0.22991522721828495</v>
      </c>
      <c r="J359" s="62">
        <v>-0.11204445662830409</v>
      </c>
    </row>
    <row r="360" spans="1:10" ht="11.25" customHeight="1" x14ac:dyDescent="0.2">
      <c r="A360" s="71">
        <v>44378</v>
      </c>
      <c r="B360" s="61">
        <v>0</v>
      </c>
      <c r="C360" s="61">
        <v>0</v>
      </c>
      <c r="D360" s="61">
        <v>2896834.8548099999</v>
      </c>
      <c r="E360" s="61">
        <v>1049384.8997372296</v>
      </c>
      <c r="F360" s="61">
        <v>4453377.8096099999</v>
      </c>
      <c r="G360" s="61">
        <v>5477277.1805953523</v>
      </c>
      <c r="H360" s="62">
        <v>-0.63774776529121213</v>
      </c>
      <c r="I360" s="62">
        <v>0.22991522721828517</v>
      </c>
      <c r="J360" s="62">
        <v>-0.11204445662830398</v>
      </c>
    </row>
    <row r="361" spans="1:10" ht="11.25" customHeight="1" x14ac:dyDescent="0.2">
      <c r="A361" s="71">
        <v>44409</v>
      </c>
      <c r="B361" s="61">
        <v>0</v>
      </c>
      <c r="C361" s="61">
        <v>0</v>
      </c>
      <c r="D361" s="61">
        <v>-515656.10304000002</v>
      </c>
      <c r="E361" s="61">
        <v>-186797.57566746508</v>
      </c>
      <c r="F361" s="61">
        <v>-792731.22624000022</v>
      </c>
      <c r="G361" s="61">
        <v>-974992.20624399977</v>
      </c>
      <c r="H361" s="62">
        <v>-0.63774776529121202</v>
      </c>
      <c r="I361" s="62">
        <v>0.22991522721828517</v>
      </c>
      <c r="J361" s="62">
        <v>-0.11204445662830387</v>
      </c>
    </row>
    <row r="362" spans="1:10" ht="11.25" customHeight="1" x14ac:dyDescent="0.2">
      <c r="A362" s="71">
        <v>44440</v>
      </c>
      <c r="B362" s="61">
        <v>0</v>
      </c>
      <c r="C362" s="61">
        <v>0</v>
      </c>
      <c r="D362" s="61">
        <v>2888028.9796799999</v>
      </c>
      <c r="E362" s="61">
        <v>1046194.9517928207</v>
      </c>
      <c r="F362" s="61">
        <v>4439840.3140799999</v>
      </c>
      <c r="G362" s="61">
        <v>5460627.2087046057</v>
      </c>
      <c r="H362" s="62">
        <v>-0.63774776529121202</v>
      </c>
      <c r="I362" s="62">
        <v>0.22991522721828517</v>
      </c>
      <c r="J362" s="62">
        <v>-0.11204445662830409</v>
      </c>
    </row>
    <row r="363" spans="1:10" ht="11.25" customHeight="1" x14ac:dyDescent="0.2">
      <c r="A363" s="71">
        <v>44470</v>
      </c>
      <c r="B363" s="61">
        <v>0</v>
      </c>
      <c r="C363" s="61">
        <v>0</v>
      </c>
      <c r="D363" s="61">
        <v>2888028.9796799999</v>
      </c>
      <c r="E363" s="61">
        <v>1046194.9517928207</v>
      </c>
      <c r="F363" s="61">
        <v>4439840.3140799999</v>
      </c>
      <c r="G363" s="61">
        <v>5460627.2087046057</v>
      </c>
      <c r="H363" s="62">
        <v>-0.63774776529121202</v>
      </c>
      <c r="I363" s="62">
        <v>0.22991522721828517</v>
      </c>
      <c r="J363" s="62">
        <v>-0.11204445662830409</v>
      </c>
    </row>
    <row r="364" spans="1:10" ht="11.25" customHeight="1" x14ac:dyDescent="0.2">
      <c r="A364" s="70" t="s">
        <v>25</v>
      </c>
      <c r="B364" s="61">
        <v>43095673.68</v>
      </c>
      <c r="C364" s="61">
        <v>48164946.534722209</v>
      </c>
      <c r="D364" s="61">
        <v>0</v>
      </c>
      <c r="E364" s="61">
        <v>0</v>
      </c>
      <c r="F364" s="61">
        <v>0</v>
      </c>
      <c r="G364" s="61">
        <v>0</v>
      </c>
      <c r="H364" s="62">
        <v>0.11762834692789093</v>
      </c>
      <c r="I364" s="62">
        <v>0</v>
      </c>
      <c r="J364" s="62">
        <v>0.11762834692789093</v>
      </c>
    </row>
    <row r="365" spans="1:10" ht="11.25" customHeight="1" x14ac:dyDescent="0.2">
      <c r="A365" s="71">
        <v>44136</v>
      </c>
      <c r="B365" s="61">
        <v>4069910.78</v>
      </c>
      <c r="C365" s="61">
        <v>4548647.6571954023</v>
      </c>
      <c r="D365" s="61">
        <v>0</v>
      </c>
      <c r="E365" s="61">
        <v>0</v>
      </c>
      <c r="F365" s="61">
        <v>0</v>
      </c>
      <c r="G365" s="61">
        <v>0</v>
      </c>
      <c r="H365" s="62">
        <v>0.1176283469278907</v>
      </c>
      <c r="I365" s="62">
        <v>0</v>
      </c>
      <c r="J365" s="62">
        <v>0.1176283469278907</v>
      </c>
    </row>
    <row r="366" spans="1:10" ht="11.25" customHeight="1" x14ac:dyDescent="0.2">
      <c r="A366" s="71">
        <v>44166</v>
      </c>
      <c r="B366" s="61">
        <v>4236959.57</v>
      </c>
      <c r="C366" s="61">
        <v>4735346.1202194067</v>
      </c>
      <c r="D366" s="61">
        <v>0</v>
      </c>
      <c r="E366" s="61">
        <v>0</v>
      </c>
      <c r="F366" s="61">
        <v>0</v>
      </c>
      <c r="G366" s="61">
        <v>0</v>
      </c>
      <c r="H366" s="62">
        <v>0.1176283469278907</v>
      </c>
      <c r="I366" s="62">
        <v>0</v>
      </c>
      <c r="J366" s="62">
        <v>0.1176283469278907</v>
      </c>
    </row>
    <row r="367" spans="1:10" ht="11.25" customHeight="1" x14ac:dyDescent="0.2">
      <c r="A367" s="71">
        <v>44197</v>
      </c>
      <c r="B367" s="61">
        <v>3820637.53</v>
      </c>
      <c r="C367" s="61">
        <v>4270052.8068645597</v>
      </c>
      <c r="D367" s="61">
        <v>0</v>
      </c>
      <c r="E367" s="61">
        <v>0</v>
      </c>
      <c r="F367" s="61">
        <v>0</v>
      </c>
      <c r="G367" s="61">
        <v>0</v>
      </c>
      <c r="H367" s="62">
        <v>0.11762834692789093</v>
      </c>
      <c r="I367" s="62">
        <v>0</v>
      </c>
      <c r="J367" s="62">
        <v>0.11762834692789093</v>
      </c>
    </row>
    <row r="368" spans="1:10" ht="11.25" customHeight="1" x14ac:dyDescent="0.2">
      <c r="A368" s="71">
        <v>44228</v>
      </c>
      <c r="B368" s="61">
        <v>3762469.0100000002</v>
      </c>
      <c r="C368" s="61">
        <v>4205042.0200137189</v>
      </c>
      <c r="D368" s="61">
        <v>0</v>
      </c>
      <c r="E368" s="61">
        <v>0</v>
      </c>
      <c r="F368" s="61">
        <v>0</v>
      </c>
      <c r="G368" s="61">
        <v>0</v>
      </c>
      <c r="H368" s="62">
        <v>0.11762834692789093</v>
      </c>
      <c r="I368" s="62">
        <v>0</v>
      </c>
      <c r="J368" s="62">
        <v>0.11762834692789093</v>
      </c>
    </row>
    <row r="369" spans="1:10" ht="11.25" customHeight="1" x14ac:dyDescent="0.2">
      <c r="A369" s="71">
        <v>44256</v>
      </c>
      <c r="B369" s="61">
        <v>2959052.04</v>
      </c>
      <c r="C369" s="61">
        <v>3307120.4399388032</v>
      </c>
      <c r="D369" s="61">
        <v>0</v>
      </c>
      <c r="E369" s="61">
        <v>0</v>
      </c>
      <c r="F369" s="61">
        <v>0</v>
      </c>
      <c r="G369" s="61">
        <v>0</v>
      </c>
      <c r="H369" s="62">
        <v>0.11762834692789093</v>
      </c>
      <c r="I369" s="62">
        <v>0</v>
      </c>
      <c r="J369" s="62">
        <v>0.11762834692789093</v>
      </c>
    </row>
    <row r="370" spans="1:10" ht="11.25" customHeight="1" x14ac:dyDescent="0.2">
      <c r="A370" s="71">
        <v>44287</v>
      </c>
      <c r="B370" s="61">
        <v>3403544.1</v>
      </c>
      <c r="C370" s="61">
        <v>3803897.3661791757</v>
      </c>
      <c r="D370" s="61">
        <v>0</v>
      </c>
      <c r="E370" s="61">
        <v>0</v>
      </c>
      <c r="F370" s="61">
        <v>0</v>
      </c>
      <c r="G370" s="61">
        <v>0</v>
      </c>
      <c r="H370" s="62">
        <v>0.1176283469278907</v>
      </c>
      <c r="I370" s="62">
        <v>0</v>
      </c>
      <c r="J370" s="62">
        <v>0.1176283469278907</v>
      </c>
    </row>
    <row r="371" spans="1:10" ht="11.25" customHeight="1" x14ac:dyDescent="0.2">
      <c r="A371" s="71">
        <v>44317</v>
      </c>
      <c r="B371" s="61">
        <v>3682530.1499999994</v>
      </c>
      <c r="C371" s="61">
        <v>4115700.0840566172</v>
      </c>
      <c r="D371" s="61">
        <v>0</v>
      </c>
      <c r="E371" s="61">
        <v>0</v>
      </c>
      <c r="F371" s="61">
        <v>0</v>
      </c>
      <c r="G371" s="61">
        <v>0</v>
      </c>
      <c r="H371" s="62">
        <v>0.11762834692789093</v>
      </c>
      <c r="I371" s="62">
        <v>0</v>
      </c>
      <c r="J371" s="62">
        <v>0.11762834692789093</v>
      </c>
    </row>
    <row r="372" spans="1:10" ht="11.25" customHeight="1" x14ac:dyDescent="0.2">
      <c r="A372" s="71">
        <v>44348</v>
      </c>
      <c r="B372" s="61">
        <v>3825551.57</v>
      </c>
      <c r="C372" s="61">
        <v>4275544.8772664974</v>
      </c>
      <c r="D372" s="61">
        <v>0</v>
      </c>
      <c r="E372" s="61">
        <v>0</v>
      </c>
      <c r="F372" s="61">
        <v>0</v>
      </c>
      <c r="G372" s="61">
        <v>0</v>
      </c>
      <c r="H372" s="62">
        <v>0.11762834692789093</v>
      </c>
      <c r="I372" s="62">
        <v>0</v>
      </c>
      <c r="J372" s="62">
        <v>0.11762834692789093</v>
      </c>
    </row>
    <row r="373" spans="1:10" ht="11.25" customHeight="1" x14ac:dyDescent="0.2">
      <c r="A373" s="71">
        <v>44378</v>
      </c>
      <c r="B373" s="61">
        <v>3865406.7199999997</v>
      </c>
      <c r="C373" s="61">
        <v>4320088.1226775609</v>
      </c>
      <c r="D373" s="61">
        <v>0</v>
      </c>
      <c r="E373" s="61">
        <v>0</v>
      </c>
      <c r="F373" s="61">
        <v>0</v>
      </c>
      <c r="G373" s="61">
        <v>0</v>
      </c>
      <c r="H373" s="62">
        <v>0.11762834692789093</v>
      </c>
      <c r="I373" s="62">
        <v>0</v>
      </c>
      <c r="J373" s="62">
        <v>0.11762834692789093</v>
      </c>
    </row>
    <row r="374" spans="1:10" ht="11.25" customHeight="1" x14ac:dyDescent="0.2">
      <c r="A374" s="71">
        <v>44409</v>
      </c>
      <c r="B374" s="61">
        <v>2259972.7099999995</v>
      </c>
      <c r="C374" s="61">
        <v>2525809.5639794455</v>
      </c>
      <c r="D374" s="61">
        <v>0</v>
      </c>
      <c r="E374" s="61">
        <v>0</v>
      </c>
      <c r="F374" s="61">
        <v>0</v>
      </c>
      <c r="G374" s="61">
        <v>0</v>
      </c>
      <c r="H374" s="62">
        <v>0.11762834692789093</v>
      </c>
      <c r="I374" s="62">
        <v>0</v>
      </c>
      <c r="J374" s="62">
        <v>0.11762834692789093</v>
      </c>
    </row>
    <row r="375" spans="1:10" ht="11.25" customHeight="1" x14ac:dyDescent="0.2">
      <c r="A375" s="71">
        <v>44440</v>
      </c>
      <c r="B375" s="61">
        <v>3604819.75</v>
      </c>
      <c r="C375" s="61">
        <v>4028848.7381655122</v>
      </c>
      <c r="D375" s="61">
        <v>0</v>
      </c>
      <c r="E375" s="61">
        <v>0</v>
      </c>
      <c r="F375" s="61">
        <v>0</v>
      </c>
      <c r="G375" s="61">
        <v>0</v>
      </c>
      <c r="H375" s="62">
        <v>0.1176283469278907</v>
      </c>
      <c r="I375" s="62">
        <v>0</v>
      </c>
      <c r="J375" s="62">
        <v>0.1176283469278907</v>
      </c>
    </row>
    <row r="376" spans="1:10" ht="11.25" customHeight="1" x14ac:dyDescent="0.2">
      <c r="A376" s="71">
        <v>44470</v>
      </c>
      <c r="B376" s="61">
        <v>3604819.75</v>
      </c>
      <c r="C376" s="61">
        <v>4028848.7381655122</v>
      </c>
      <c r="D376" s="61">
        <v>0</v>
      </c>
      <c r="E376" s="61">
        <v>0</v>
      </c>
      <c r="F376" s="61">
        <v>0</v>
      </c>
      <c r="G376" s="61">
        <v>0</v>
      </c>
      <c r="H376" s="62">
        <v>0.1176283469278907</v>
      </c>
      <c r="I376" s="62">
        <v>0</v>
      </c>
      <c r="J376" s="62">
        <v>0.1176283469278907</v>
      </c>
    </row>
    <row r="377" spans="1:10" ht="11.25" customHeight="1" x14ac:dyDescent="0.2">
      <c r="A377" s="70" t="s">
        <v>37</v>
      </c>
      <c r="B377" s="61">
        <v>0</v>
      </c>
      <c r="C377" s="61">
        <v>0</v>
      </c>
      <c r="D377" s="61">
        <v>16881935.706230003</v>
      </c>
      <c r="E377" s="61">
        <v>17670785.423086938</v>
      </c>
      <c r="F377" s="61">
        <v>4580321.8113599988</v>
      </c>
      <c r="G377" s="61">
        <v>5345692.1732594147</v>
      </c>
      <c r="H377" s="62">
        <v>4.6727444683125174E-2</v>
      </c>
      <c r="I377" s="62">
        <v>0.16709969155467741</v>
      </c>
      <c r="J377" s="62">
        <v>7.2416430446915925E-2</v>
      </c>
    </row>
    <row r="378" spans="1:10" ht="11.25" customHeight="1" x14ac:dyDescent="0.2">
      <c r="A378" s="71">
        <v>44136</v>
      </c>
      <c r="B378" s="61">
        <v>0</v>
      </c>
      <c r="C378" s="61">
        <v>0</v>
      </c>
      <c r="D378" s="61">
        <v>1680278.2646299999</v>
      </c>
      <c r="E378" s="61">
        <v>1758793.3742927555</v>
      </c>
      <c r="F378" s="61">
        <v>455884.64015999989</v>
      </c>
      <c r="G378" s="61">
        <v>532062.82291525078</v>
      </c>
      <c r="H378" s="62">
        <v>4.6727444683124952E-2</v>
      </c>
      <c r="I378" s="62">
        <v>0.16709969155467697</v>
      </c>
      <c r="J378" s="62">
        <v>7.2416430446915925E-2</v>
      </c>
    </row>
    <row r="379" spans="1:10" ht="11.25" customHeight="1" x14ac:dyDescent="0.2">
      <c r="A379" s="71">
        <v>44166</v>
      </c>
      <c r="B379" s="61">
        <v>0</v>
      </c>
      <c r="C379" s="61">
        <v>0</v>
      </c>
      <c r="D379" s="61">
        <v>1836988.8980099999</v>
      </c>
      <c r="E379" s="61">
        <v>1922826.6951252774</v>
      </c>
      <c r="F379" s="61">
        <v>498402.58031999995</v>
      </c>
      <c r="G379" s="61">
        <v>581685.49776152708</v>
      </c>
      <c r="H379" s="62">
        <v>4.6727444683125174E-2</v>
      </c>
      <c r="I379" s="62">
        <v>0.16709969155467697</v>
      </c>
      <c r="J379" s="62">
        <v>7.2416430446915925E-2</v>
      </c>
    </row>
    <row r="380" spans="1:10" ht="11.25" customHeight="1" x14ac:dyDescent="0.2">
      <c r="A380" s="71">
        <v>44197</v>
      </c>
      <c r="B380" s="61">
        <v>0</v>
      </c>
      <c r="C380" s="61">
        <v>0</v>
      </c>
      <c r="D380" s="61">
        <v>1381273.76779</v>
      </c>
      <c r="E380" s="61">
        <v>1445817.1613666588</v>
      </c>
      <c r="F380" s="61">
        <v>374760.24527999997</v>
      </c>
      <c r="G380" s="61">
        <v>437382.56667324307</v>
      </c>
      <c r="H380" s="62">
        <v>4.6727444683124952E-2</v>
      </c>
      <c r="I380" s="62">
        <v>0.16709969155467697</v>
      </c>
      <c r="J380" s="62">
        <v>7.2416430446915703E-2</v>
      </c>
    </row>
    <row r="381" spans="1:10" ht="11.25" customHeight="1" x14ac:dyDescent="0.2">
      <c r="A381" s="71">
        <v>44228</v>
      </c>
      <c r="B381" s="61">
        <v>0</v>
      </c>
      <c r="C381" s="61">
        <v>0</v>
      </c>
      <c r="D381" s="61">
        <v>1343721.0091199998</v>
      </c>
      <c r="E381" s="61">
        <v>1406509.6582432077</v>
      </c>
      <c r="F381" s="61">
        <v>364571.61983999994</v>
      </c>
      <c r="G381" s="61">
        <v>425491.42506485293</v>
      </c>
      <c r="H381" s="62">
        <v>4.6727444683125174E-2</v>
      </c>
      <c r="I381" s="62">
        <v>0.16709969155467719</v>
      </c>
      <c r="J381" s="62">
        <v>7.2416430446915703E-2</v>
      </c>
    </row>
    <row r="382" spans="1:10" ht="11.25" customHeight="1" x14ac:dyDescent="0.2">
      <c r="A382" s="71">
        <v>44256</v>
      </c>
      <c r="B382" s="61">
        <v>0</v>
      </c>
      <c r="C382" s="61">
        <v>0</v>
      </c>
      <c r="D382" s="61">
        <v>1527500.3906399999</v>
      </c>
      <c r="E382" s="61">
        <v>1598876.5806470825</v>
      </c>
      <c r="F382" s="61">
        <v>414433.71648</v>
      </c>
      <c r="G382" s="61">
        <v>483685.4626736663</v>
      </c>
      <c r="H382" s="62">
        <v>4.6727444683125174E-2</v>
      </c>
      <c r="I382" s="62">
        <v>0.16709969155467652</v>
      </c>
      <c r="J382" s="62">
        <v>7.2416430446915925E-2</v>
      </c>
    </row>
    <row r="383" spans="1:10" ht="11.25" customHeight="1" x14ac:dyDescent="0.2">
      <c r="A383" s="71">
        <v>44287</v>
      </c>
      <c r="B383" s="61">
        <v>0</v>
      </c>
      <c r="C383" s="61">
        <v>0</v>
      </c>
      <c r="D383" s="61">
        <v>1432924.7729999998</v>
      </c>
      <c r="E383" s="61">
        <v>1499881.686065437</v>
      </c>
      <c r="F383" s="61">
        <v>388773.93599999999</v>
      </c>
      <c r="G383" s="61">
        <v>453737.94079009764</v>
      </c>
      <c r="H383" s="62">
        <v>4.6727444683125174E-2</v>
      </c>
      <c r="I383" s="62">
        <v>0.16709969155467674</v>
      </c>
      <c r="J383" s="62">
        <v>7.2416430446915925E-2</v>
      </c>
    </row>
    <row r="384" spans="1:10" ht="11.25" customHeight="1" x14ac:dyDescent="0.2">
      <c r="A384" s="71">
        <v>44317</v>
      </c>
      <c r="B384" s="61">
        <v>0</v>
      </c>
      <c r="C384" s="61">
        <v>0</v>
      </c>
      <c r="D384" s="61">
        <v>1596674.48612</v>
      </c>
      <c r="E384" s="61">
        <v>1671283.0048471293</v>
      </c>
      <c r="F384" s="61">
        <v>433201.68383999995</v>
      </c>
      <c r="G384" s="61">
        <v>505589.55159063067</v>
      </c>
      <c r="H384" s="62">
        <v>4.6727444683124952E-2</v>
      </c>
      <c r="I384" s="62">
        <v>0.16709969155467697</v>
      </c>
      <c r="J384" s="62">
        <v>7.2416430446915703E-2</v>
      </c>
    </row>
    <row r="385" spans="1:10" ht="11.25" customHeight="1" x14ac:dyDescent="0.2">
      <c r="A385" s="71">
        <v>44348</v>
      </c>
      <c r="B385" s="61">
        <v>0</v>
      </c>
      <c r="C385" s="61">
        <v>0</v>
      </c>
      <c r="D385" s="61">
        <v>1813740.9956399999</v>
      </c>
      <c r="E385" s="61">
        <v>1898492.4776832843</v>
      </c>
      <c r="F385" s="61">
        <v>492095.07647999993</v>
      </c>
      <c r="G385" s="61">
        <v>574324.01197538315</v>
      </c>
      <c r="H385" s="62">
        <v>4.6727444683125174E-2</v>
      </c>
      <c r="I385" s="62">
        <v>0.16709969155467719</v>
      </c>
      <c r="J385" s="62">
        <v>7.2416430446916147E-2</v>
      </c>
    </row>
    <row r="386" spans="1:10" ht="11.25" customHeight="1" x14ac:dyDescent="0.2">
      <c r="A386" s="71">
        <v>44378</v>
      </c>
      <c r="B386" s="61">
        <v>0</v>
      </c>
      <c r="C386" s="61">
        <v>0</v>
      </c>
      <c r="D386" s="61">
        <v>1948631.3426999999</v>
      </c>
      <c r="E386" s="61">
        <v>2039685.9059738179</v>
      </c>
      <c r="F386" s="61">
        <v>528692.84639999992</v>
      </c>
      <c r="G386" s="61">
        <v>617037.25796060404</v>
      </c>
      <c r="H386" s="62">
        <v>4.6727444683125174E-2</v>
      </c>
      <c r="I386" s="62">
        <v>0.16709969155467674</v>
      </c>
      <c r="J386" s="62">
        <v>7.2416430446915481E-2</v>
      </c>
    </row>
    <row r="387" spans="1:10" ht="11.25" customHeight="1" x14ac:dyDescent="0.2">
      <c r="A387" s="71">
        <v>44409</v>
      </c>
      <c r="B387" s="61">
        <v>0</v>
      </c>
      <c r="C387" s="61">
        <v>0</v>
      </c>
      <c r="D387" s="61">
        <v>-1241687.3530600001</v>
      </c>
      <c r="E387" s="61">
        <v>-1299708.2301638469</v>
      </c>
      <c r="F387" s="61">
        <v>-336888.36192</v>
      </c>
      <c r="G387" s="61">
        <v>-393182.30328519235</v>
      </c>
      <c r="H387" s="62">
        <v>4.672744468312473E-2</v>
      </c>
      <c r="I387" s="62">
        <v>0.16709969155467697</v>
      </c>
      <c r="J387" s="62">
        <v>7.2416430446915481E-2</v>
      </c>
    </row>
    <row r="388" spans="1:10" ht="11.25" customHeight="1" x14ac:dyDescent="0.2">
      <c r="A388" s="71">
        <v>44440</v>
      </c>
      <c r="B388" s="61">
        <v>0</v>
      </c>
      <c r="C388" s="61">
        <v>0</v>
      </c>
      <c r="D388" s="61">
        <v>1780944.5658200001</v>
      </c>
      <c r="E388" s="61">
        <v>1864163.554503066</v>
      </c>
      <c r="F388" s="61">
        <v>483196.91424000001</v>
      </c>
      <c r="G388" s="61">
        <v>563938.96956967574</v>
      </c>
      <c r="H388" s="62">
        <v>4.6727444683124952E-2</v>
      </c>
      <c r="I388" s="62">
        <v>0.16709969155467697</v>
      </c>
      <c r="J388" s="62">
        <v>7.2416430446915703E-2</v>
      </c>
    </row>
    <row r="389" spans="1:10" ht="11.25" customHeight="1" x14ac:dyDescent="0.2">
      <c r="A389" s="71">
        <v>44470</v>
      </c>
      <c r="B389" s="61">
        <v>0</v>
      </c>
      <c r="C389" s="61">
        <v>0</v>
      </c>
      <c r="D389" s="61">
        <v>1780944.5658200001</v>
      </c>
      <c r="E389" s="61">
        <v>1864163.554503066</v>
      </c>
      <c r="F389" s="61">
        <v>483196.91424000001</v>
      </c>
      <c r="G389" s="61">
        <v>563938.96956967574</v>
      </c>
      <c r="H389" s="62">
        <v>4.6727444683124952E-2</v>
      </c>
      <c r="I389" s="62">
        <v>0.16709969155467697</v>
      </c>
      <c r="J389" s="62">
        <v>7.2416430446915703E-2</v>
      </c>
    </row>
    <row r="390" spans="1:10" ht="11.25" customHeight="1" x14ac:dyDescent="0.2">
      <c r="A390" s="66" t="s">
        <v>24</v>
      </c>
      <c r="B390" s="61">
        <v>987264.92000000016</v>
      </c>
      <c r="C390" s="61">
        <v>1103395.2605194964</v>
      </c>
      <c r="D390" s="61">
        <v>1282335.3089499997</v>
      </c>
      <c r="E390" s="61">
        <v>864365.26962519367</v>
      </c>
      <c r="F390" s="61">
        <v>1231826.1965199998</v>
      </c>
      <c r="G390" s="61">
        <v>1505086.2416483988</v>
      </c>
      <c r="H390" s="62">
        <v>-0.13299245169046869</v>
      </c>
      <c r="I390" s="62">
        <v>0.22183327964641442</v>
      </c>
      <c r="J390" s="62">
        <v>-8.1622887943656464E-3</v>
      </c>
    </row>
    <row r="391" spans="1:10" ht="11.25" customHeight="1" x14ac:dyDescent="0.2">
      <c r="A391" s="67" t="s">
        <v>24</v>
      </c>
      <c r="B391" s="61">
        <v>987264.92000000016</v>
      </c>
      <c r="C391" s="61">
        <v>1103395.2605194964</v>
      </c>
      <c r="D391" s="61">
        <v>1282335.3089499997</v>
      </c>
      <c r="E391" s="61">
        <v>864365.26962519367</v>
      </c>
      <c r="F391" s="61">
        <v>1231826.1965199998</v>
      </c>
      <c r="G391" s="61">
        <v>1505086.2416483988</v>
      </c>
      <c r="H391" s="62">
        <v>-0.13299245169046869</v>
      </c>
      <c r="I391" s="62">
        <v>0.22183327964641442</v>
      </c>
      <c r="J391" s="62">
        <v>-8.1622887943656464E-3</v>
      </c>
    </row>
    <row r="392" spans="1:10" ht="11.25" customHeight="1" x14ac:dyDescent="0.2">
      <c r="A392" s="68" t="s">
        <v>25</v>
      </c>
      <c r="B392" s="61">
        <v>987264.92000000016</v>
      </c>
      <c r="C392" s="61">
        <v>1103395.2605194964</v>
      </c>
      <c r="D392" s="61">
        <v>1282335.3089499997</v>
      </c>
      <c r="E392" s="61">
        <v>864365.26962519367</v>
      </c>
      <c r="F392" s="61">
        <v>1231826.1965199998</v>
      </c>
      <c r="G392" s="61">
        <v>1505086.2416483988</v>
      </c>
      <c r="H392" s="62">
        <v>-0.13299245169046869</v>
      </c>
      <c r="I392" s="62">
        <v>0.22183327964641442</v>
      </c>
      <c r="J392" s="62">
        <v>-8.1622887943656464E-3</v>
      </c>
    </row>
    <row r="393" spans="1:10" ht="11.25" customHeight="1" x14ac:dyDescent="0.2">
      <c r="A393" s="69" t="s">
        <v>25</v>
      </c>
      <c r="B393" s="61">
        <v>987264.92000000016</v>
      </c>
      <c r="C393" s="61">
        <v>1103395.2605194964</v>
      </c>
      <c r="D393" s="61">
        <v>1282335.3089499997</v>
      </c>
      <c r="E393" s="61">
        <v>864365.26962519367</v>
      </c>
      <c r="F393" s="61">
        <v>1231826.1965199998</v>
      </c>
      <c r="G393" s="61">
        <v>1505086.2416483988</v>
      </c>
      <c r="H393" s="62">
        <v>-0.13299245169046869</v>
      </c>
      <c r="I393" s="62">
        <v>0.22183327964641442</v>
      </c>
      <c r="J393" s="62">
        <v>-8.1622887943656464E-3</v>
      </c>
    </row>
    <row r="394" spans="1:10" ht="11.25" customHeight="1" x14ac:dyDescent="0.2">
      <c r="A394" s="70" t="s">
        <v>38</v>
      </c>
      <c r="B394" s="61">
        <v>0</v>
      </c>
      <c r="C394" s="61">
        <v>0</v>
      </c>
      <c r="D394" s="61">
        <v>698184.95187999995</v>
      </c>
      <c r="E394" s="61">
        <v>252919.05905857752</v>
      </c>
      <c r="F394" s="61">
        <v>1073337.4622799999</v>
      </c>
      <c r="G394" s="61">
        <v>1320114.0888020035</v>
      </c>
      <c r="H394" s="62">
        <v>-0.63774776529121202</v>
      </c>
      <c r="I394" s="62">
        <v>0.22991522721828517</v>
      </c>
      <c r="J394" s="62">
        <v>-0.11204445662830409</v>
      </c>
    </row>
    <row r="395" spans="1:10" ht="11.25" customHeight="1" x14ac:dyDescent="0.2">
      <c r="A395" s="71">
        <v>44136</v>
      </c>
      <c r="B395" s="61">
        <v>0</v>
      </c>
      <c r="C395" s="61">
        <v>0</v>
      </c>
      <c r="D395" s="61">
        <v>61782.077369999999</v>
      </c>
      <c r="E395" s="61">
        <v>22380.695592233733</v>
      </c>
      <c r="F395" s="61">
        <v>94979.156969999996</v>
      </c>
      <c r="G395" s="61">
        <v>116816.31142575873</v>
      </c>
      <c r="H395" s="62">
        <v>-0.63774776529121202</v>
      </c>
      <c r="I395" s="62">
        <v>0.22991522721828539</v>
      </c>
      <c r="J395" s="62">
        <v>-0.11204445662830398</v>
      </c>
    </row>
    <row r="396" spans="1:10" ht="11.25" customHeight="1" x14ac:dyDescent="0.2">
      <c r="A396" s="71">
        <v>44166</v>
      </c>
      <c r="B396" s="61">
        <v>0</v>
      </c>
      <c r="C396" s="61">
        <v>0</v>
      </c>
      <c r="D396" s="61">
        <v>61981.833419999995</v>
      </c>
      <c r="E396" s="61">
        <v>22453.057667742833</v>
      </c>
      <c r="F396" s="61">
        <v>95286.247019999995</v>
      </c>
      <c r="G396" s="61">
        <v>117194.00615438094</v>
      </c>
      <c r="H396" s="62">
        <v>-0.63774776529121202</v>
      </c>
      <c r="I396" s="62">
        <v>0.22991522721828517</v>
      </c>
      <c r="J396" s="62">
        <v>-0.11204445662830409</v>
      </c>
    </row>
    <row r="397" spans="1:10" ht="11.25" customHeight="1" x14ac:dyDescent="0.2">
      <c r="A397" s="71">
        <v>44197</v>
      </c>
      <c r="B397" s="61">
        <v>0</v>
      </c>
      <c r="C397" s="61">
        <v>0</v>
      </c>
      <c r="D397" s="61">
        <v>53526.391750000003</v>
      </c>
      <c r="E397" s="61">
        <v>19390.055027335529</v>
      </c>
      <c r="F397" s="61">
        <v>82287.481750000006</v>
      </c>
      <c r="G397" s="61">
        <v>101206.62681377176</v>
      </c>
      <c r="H397" s="62">
        <v>-0.63774776529121202</v>
      </c>
      <c r="I397" s="62">
        <v>0.22991522721828517</v>
      </c>
      <c r="J397" s="62">
        <v>-0.11204445662830409</v>
      </c>
    </row>
    <row r="398" spans="1:10" ht="11.25" customHeight="1" x14ac:dyDescent="0.2">
      <c r="A398" s="71">
        <v>44228</v>
      </c>
      <c r="B398" s="61">
        <v>0</v>
      </c>
      <c r="C398" s="61">
        <v>0</v>
      </c>
      <c r="D398" s="61">
        <v>49051.257709999998</v>
      </c>
      <c r="E398" s="61">
        <v>17768.927720724161</v>
      </c>
      <c r="F398" s="61">
        <v>75407.744510000004</v>
      </c>
      <c r="G398" s="61">
        <v>92745.133223035053</v>
      </c>
      <c r="H398" s="62">
        <v>-0.63774776529121202</v>
      </c>
      <c r="I398" s="62">
        <v>0.22991522721828517</v>
      </c>
      <c r="J398" s="62">
        <v>-0.11204445662830398</v>
      </c>
    </row>
    <row r="399" spans="1:10" ht="11.25" customHeight="1" x14ac:dyDescent="0.2">
      <c r="A399" s="71">
        <v>44256</v>
      </c>
      <c r="B399" s="61">
        <v>0</v>
      </c>
      <c r="C399" s="61">
        <v>0</v>
      </c>
      <c r="D399" s="61">
        <v>60266.624730000003</v>
      </c>
      <c r="E399" s="61">
        <v>21831.7194867984</v>
      </c>
      <c r="F399" s="61">
        <v>92649.413130000001</v>
      </c>
      <c r="G399" s="61">
        <v>113950.92400142473</v>
      </c>
      <c r="H399" s="62">
        <v>-0.63774776529121213</v>
      </c>
      <c r="I399" s="62">
        <v>0.22991522721828517</v>
      </c>
      <c r="J399" s="62">
        <v>-0.11204445662830409</v>
      </c>
    </row>
    <row r="400" spans="1:10" ht="11.25" customHeight="1" x14ac:dyDescent="0.2">
      <c r="A400" s="71">
        <v>44287</v>
      </c>
      <c r="B400" s="61">
        <v>0</v>
      </c>
      <c r="C400" s="61">
        <v>0</v>
      </c>
      <c r="D400" s="61">
        <v>59600.621600000006</v>
      </c>
      <c r="E400" s="61">
        <v>21590.458364632854</v>
      </c>
      <c r="F400" s="61">
        <v>91625.549599999998</v>
      </c>
      <c r="G400" s="61">
        <v>112691.65865528425</v>
      </c>
      <c r="H400" s="62">
        <v>-0.63774776529121213</v>
      </c>
      <c r="I400" s="62">
        <v>0.22991522721828517</v>
      </c>
      <c r="J400" s="62">
        <v>-0.11204445662830409</v>
      </c>
    </row>
    <row r="401" spans="1:10" ht="11.25" customHeight="1" x14ac:dyDescent="0.2">
      <c r="A401" s="71">
        <v>44317</v>
      </c>
      <c r="B401" s="61">
        <v>0</v>
      </c>
      <c r="C401" s="61">
        <v>0</v>
      </c>
      <c r="D401" s="61">
        <v>59920.979430000007</v>
      </c>
      <c r="E401" s="61">
        <v>21706.508704456814</v>
      </c>
      <c r="F401" s="61">
        <v>92118.043829999995</v>
      </c>
      <c r="G401" s="61">
        <v>113297.38480807841</v>
      </c>
      <c r="H401" s="62">
        <v>-0.63774776529121213</v>
      </c>
      <c r="I401" s="62">
        <v>0.22991522721828539</v>
      </c>
      <c r="J401" s="62">
        <v>-0.11204445662830387</v>
      </c>
    </row>
    <row r="402" spans="1:10" ht="11.25" customHeight="1" x14ac:dyDescent="0.2">
      <c r="A402" s="71">
        <v>44348</v>
      </c>
      <c r="B402" s="61">
        <v>0</v>
      </c>
      <c r="C402" s="61">
        <v>0</v>
      </c>
      <c r="D402" s="61">
        <v>55787.001789999995</v>
      </c>
      <c r="E402" s="61">
        <v>20208.966066130652</v>
      </c>
      <c r="F402" s="61">
        <v>85762.774990000005</v>
      </c>
      <c r="G402" s="61">
        <v>105480.9428886965</v>
      </c>
      <c r="H402" s="62">
        <v>-0.63774776529121202</v>
      </c>
      <c r="I402" s="62">
        <v>0.22991522721828495</v>
      </c>
      <c r="J402" s="62">
        <v>-0.1120444566283042</v>
      </c>
    </row>
    <row r="403" spans="1:10" ht="11.25" customHeight="1" x14ac:dyDescent="0.2">
      <c r="A403" s="71">
        <v>44378</v>
      </c>
      <c r="B403" s="61">
        <v>0</v>
      </c>
      <c r="C403" s="61">
        <v>0</v>
      </c>
      <c r="D403" s="61">
        <v>57740.271809999998</v>
      </c>
      <c r="E403" s="61">
        <v>20916.542495865328</v>
      </c>
      <c r="F403" s="61">
        <v>88765.586609999998</v>
      </c>
      <c r="G403" s="61">
        <v>109174.14662460251</v>
      </c>
      <c r="H403" s="62">
        <v>-0.63774776529121213</v>
      </c>
      <c r="I403" s="62">
        <v>0.22991522721828495</v>
      </c>
      <c r="J403" s="62">
        <v>-0.1120444566283042</v>
      </c>
    </row>
    <row r="404" spans="1:10" ht="11.25" customHeight="1" x14ac:dyDescent="0.2">
      <c r="A404" s="71">
        <v>44409</v>
      </c>
      <c r="B404" s="61">
        <v>0</v>
      </c>
      <c r="C404" s="61">
        <v>0</v>
      </c>
      <c r="D404" s="61">
        <v>62159.743490000001</v>
      </c>
      <c r="E404" s="61">
        <v>22517.505988177531</v>
      </c>
      <c r="F404" s="61">
        <v>95559.752690000008</v>
      </c>
      <c r="G404" s="61">
        <v>117530.39494264449</v>
      </c>
      <c r="H404" s="62">
        <v>-0.63774776529121213</v>
      </c>
      <c r="I404" s="62">
        <v>0.22991522721828517</v>
      </c>
      <c r="J404" s="62">
        <v>-0.1120444566283042</v>
      </c>
    </row>
    <row r="405" spans="1:10" ht="11.25" customHeight="1" x14ac:dyDescent="0.2">
      <c r="A405" s="71">
        <v>44440</v>
      </c>
      <c r="B405" s="61">
        <v>0</v>
      </c>
      <c r="C405" s="61">
        <v>0</v>
      </c>
      <c r="D405" s="61">
        <v>58184.074389999994</v>
      </c>
      <c r="E405" s="61">
        <v>21077.310972239855</v>
      </c>
      <c r="F405" s="61">
        <v>89447.855589999992</v>
      </c>
      <c r="G405" s="61">
        <v>110013.2796321632</v>
      </c>
      <c r="H405" s="62">
        <v>-0.63774776529121202</v>
      </c>
      <c r="I405" s="62">
        <v>0.22991522721828517</v>
      </c>
      <c r="J405" s="62">
        <v>-0.11204445662830409</v>
      </c>
    </row>
    <row r="406" spans="1:10" ht="11.25" customHeight="1" x14ac:dyDescent="0.2">
      <c r="A406" s="71">
        <v>44470</v>
      </c>
      <c r="B406" s="61">
        <v>0</v>
      </c>
      <c r="C406" s="61">
        <v>0</v>
      </c>
      <c r="D406" s="61">
        <v>58184.074389999994</v>
      </c>
      <c r="E406" s="61">
        <v>21077.310972239855</v>
      </c>
      <c r="F406" s="61">
        <v>89447.855589999992</v>
      </c>
      <c r="G406" s="61">
        <v>110013.2796321632</v>
      </c>
      <c r="H406" s="62">
        <v>-0.63774776529121202</v>
      </c>
      <c r="I406" s="62">
        <v>0.22991522721828517</v>
      </c>
      <c r="J406" s="62">
        <v>-0.11204445662830409</v>
      </c>
    </row>
    <row r="407" spans="1:10" ht="11.25" customHeight="1" x14ac:dyDescent="0.2">
      <c r="A407" s="70" t="s">
        <v>25</v>
      </c>
      <c r="B407" s="61">
        <v>987264.92000000016</v>
      </c>
      <c r="C407" s="61">
        <v>1103395.2605194964</v>
      </c>
      <c r="D407" s="61">
        <v>0</v>
      </c>
      <c r="E407" s="61">
        <v>0</v>
      </c>
      <c r="F407" s="61">
        <v>0</v>
      </c>
      <c r="G407" s="61">
        <v>0</v>
      </c>
      <c r="H407" s="62">
        <v>0.11762834692789115</v>
      </c>
      <c r="I407" s="62">
        <v>0</v>
      </c>
      <c r="J407" s="62">
        <v>0.11762834692789115</v>
      </c>
    </row>
    <row r="408" spans="1:10" ht="11.25" customHeight="1" x14ac:dyDescent="0.2">
      <c r="A408" s="71">
        <v>44136</v>
      </c>
      <c r="B408" s="61">
        <v>84710.05</v>
      </c>
      <c r="C408" s="61">
        <v>94674.35314967898</v>
      </c>
      <c r="D408" s="61">
        <v>0</v>
      </c>
      <c r="E408" s="61">
        <v>0</v>
      </c>
      <c r="F408" s="61">
        <v>0</v>
      </c>
      <c r="G408" s="61">
        <v>0</v>
      </c>
      <c r="H408" s="62">
        <v>0.1176283469278907</v>
      </c>
      <c r="I408" s="62">
        <v>0</v>
      </c>
      <c r="J408" s="62">
        <v>0.1176283469278907</v>
      </c>
    </row>
    <row r="409" spans="1:10" ht="11.25" customHeight="1" x14ac:dyDescent="0.2">
      <c r="A409" s="71">
        <v>44166</v>
      </c>
      <c r="B409" s="61">
        <v>84652.91</v>
      </c>
      <c r="C409" s="61">
        <v>94610.491865935517</v>
      </c>
      <c r="D409" s="61">
        <v>0</v>
      </c>
      <c r="E409" s="61">
        <v>0</v>
      </c>
      <c r="F409" s="61">
        <v>0</v>
      </c>
      <c r="G409" s="61">
        <v>0</v>
      </c>
      <c r="H409" s="62">
        <v>0.1176283469278907</v>
      </c>
      <c r="I409" s="62">
        <v>0</v>
      </c>
      <c r="J409" s="62">
        <v>0.1176283469278907</v>
      </c>
    </row>
    <row r="410" spans="1:10" ht="11.25" customHeight="1" x14ac:dyDescent="0.2">
      <c r="A410" s="71">
        <v>44197</v>
      </c>
      <c r="B410" s="61">
        <v>84595.77</v>
      </c>
      <c r="C410" s="61">
        <v>94546.630582192054</v>
      </c>
      <c r="D410" s="61">
        <v>0</v>
      </c>
      <c r="E410" s="61">
        <v>0</v>
      </c>
      <c r="F410" s="61">
        <v>0</v>
      </c>
      <c r="G410" s="61">
        <v>0</v>
      </c>
      <c r="H410" s="62">
        <v>0.1176283469278907</v>
      </c>
      <c r="I410" s="62">
        <v>0</v>
      </c>
      <c r="J410" s="62">
        <v>0.1176283469278907</v>
      </c>
    </row>
    <row r="411" spans="1:10" ht="11.25" customHeight="1" x14ac:dyDescent="0.2">
      <c r="A411" s="71">
        <v>44228</v>
      </c>
      <c r="B411" s="61">
        <v>84681.48</v>
      </c>
      <c r="C411" s="61">
        <v>94642.422507807249</v>
      </c>
      <c r="D411" s="61">
        <v>0</v>
      </c>
      <c r="E411" s="61">
        <v>0</v>
      </c>
      <c r="F411" s="61">
        <v>0</v>
      </c>
      <c r="G411" s="61">
        <v>0</v>
      </c>
      <c r="H411" s="62">
        <v>0.11762834692789093</v>
      </c>
      <c r="I411" s="62">
        <v>0</v>
      </c>
      <c r="J411" s="62">
        <v>0.11762834692789093</v>
      </c>
    </row>
    <row r="412" spans="1:10" ht="11.25" customHeight="1" x14ac:dyDescent="0.2">
      <c r="A412" s="71">
        <v>44256</v>
      </c>
      <c r="B412" s="61">
        <v>84652.91</v>
      </c>
      <c r="C412" s="61">
        <v>94610.491865935517</v>
      </c>
      <c r="D412" s="61">
        <v>0</v>
      </c>
      <c r="E412" s="61">
        <v>0</v>
      </c>
      <c r="F412" s="61">
        <v>0</v>
      </c>
      <c r="G412" s="61">
        <v>0</v>
      </c>
      <c r="H412" s="62">
        <v>0.1176283469278907</v>
      </c>
      <c r="I412" s="62">
        <v>0</v>
      </c>
      <c r="J412" s="62">
        <v>0.1176283469278907</v>
      </c>
    </row>
    <row r="413" spans="1:10" ht="11.25" customHeight="1" x14ac:dyDescent="0.2">
      <c r="A413" s="71">
        <v>44287</v>
      </c>
      <c r="B413" s="61">
        <v>84195.790000000008</v>
      </c>
      <c r="C413" s="61">
        <v>94099.601595987842</v>
      </c>
      <c r="D413" s="61">
        <v>0</v>
      </c>
      <c r="E413" s="61">
        <v>0</v>
      </c>
      <c r="F413" s="61">
        <v>0</v>
      </c>
      <c r="G413" s="61">
        <v>0</v>
      </c>
      <c r="H413" s="62">
        <v>0.1176283469278907</v>
      </c>
      <c r="I413" s="62">
        <v>0</v>
      </c>
      <c r="J413" s="62">
        <v>0.1176283469278907</v>
      </c>
    </row>
    <row r="414" spans="1:10" ht="11.25" customHeight="1" x14ac:dyDescent="0.2">
      <c r="A414" s="71">
        <v>44317</v>
      </c>
      <c r="B414" s="61">
        <v>82395.88</v>
      </c>
      <c r="C414" s="61">
        <v>92087.97115806886</v>
      </c>
      <c r="D414" s="61">
        <v>0</v>
      </c>
      <c r="E414" s="61">
        <v>0</v>
      </c>
      <c r="F414" s="61">
        <v>0</v>
      </c>
      <c r="G414" s="61">
        <v>0</v>
      </c>
      <c r="H414" s="62">
        <v>0.1176283469278907</v>
      </c>
      <c r="I414" s="62">
        <v>0</v>
      </c>
      <c r="J414" s="62">
        <v>0.1176283469278907</v>
      </c>
    </row>
    <row r="415" spans="1:10" ht="11.25" customHeight="1" x14ac:dyDescent="0.2">
      <c r="A415" s="71">
        <v>44348</v>
      </c>
      <c r="B415" s="61">
        <v>79138.899999999994</v>
      </c>
      <c r="C415" s="61">
        <v>88447.877984691659</v>
      </c>
      <c r="D415" s="61">
        <v>0</v>
      </c>
      <c r="E415" s="61">
        <v>0</v>
      </c>
      <c r="F415" s="61">
        <v>0</v>
      </c>
      <c r="G415" s="61">
        <v>0</v>
      </c>
      <c r="H415" s="62">
        <v>0.11762834692789093</v>
      </c>
      <c r="I415" s="62">
        <v>0</v>
      </c>
      <c r="J415" s="62">
        <v>0.11762834692789093</v>
      </c>
    </row>
    <row r="416" spans="1:10" ht="11.25" customHeight="1" x14ac:dyDescent="0.2">
      <c r="A416" s="71">
        <v>44378</v>
      </c>
      <c r="B416" s="61">
        <v>79767.44</v>
      </c>
      <c r="C416" s="61">
        <v>89150.352105869722</v>
      </c>
      <c r="D416" s="61">
        <v>0</v>
      </c>
      <c r="E416" s="61">
        <v>0</v>
      </c>
      <c r="F416" s="61">
        <v>0</v>
      </c>
      <c r="G416" s="61">
        <v>0</v>
      </c>
      <c r="H416" s="62">
        <v>0.11762834692789093</v>
      </c>
      <c r="I416" s="62">
        <v>0</v>
      </c>
      <c r="J416" s="62">
        <v>0.11762834692789093</v>
      </c>
    </row>
    <row r="417" spans="1:10" ht="11.25" customHeight="1" x14ac:dyDescent="0.2">
      <c r="A417" s="71">
        <v>44409</v>
      </c>
      <c r="B417" s="61">
        <v>79453.17</v>
      </c>
      <c r="C417" s="61">
        <v>88799.115045280691</v>
      </c>
      <c r="D417" s="61">
        <v>0</v>
      </c>
      <c r="E417" s="61">
        <v>0</v>
      </c>
      <c r="F417" s="61">
        <v>0</v>
      </c>
      <c r="G417" s="61">
        <v>0</v>
      </c>
      <c r="H417" s="62">
        <v>0.11762834692789093</v>
      </c>
      <c r="I417" s="62">
        <v>0</v>
      </c>
      <c r="J417" s="62">
        <v>0.11762834692789093</v>
      </c>
    </row>
    <row r="418" spans="1:10" ht="11.25" customHeight="1" x14ac:dyDescent="0.2">
      <c r="A418" s="71">
        <v>44440</v>
      </c>
      <c r="B418" s="61">
        <v>79510.31</v>
      </c>
      <c r="C418" s="61">
        <v>88862.976329024154</v>
      </c>
      <c r="D418" s="61">
        <v>0</v>
      </c>
      <c r="E418" s="61">
        <v>0</v>
      </c>
      <c r="F418" s="61">
        <v>0</v>
      </c>
      <c r="G418" s="61">
        <v>0</v>
      </c>
      <c r="H418" s="62">
        <v>0.11762834692789093</v>
      </c>
      <c r="I418" s="62">
        <v>0</v>
      </c>
      <c r="J418" s="62">
        <v>0.11762834692789093</v>
      </c>
    </row>
    <row r="419" spans="1:10" ht="11.25" customHeight="1" x14ac:dyDescent="0.2">
      <c r="A419" s="71">
        <v>44470</v>
      </c>
      <c r="B419" s="61">
        <v>79510.31</v>
      </c>
      <c r="C419" s="61">
        <v>88862.976329024154</v>
      </c>
      <c r="D419" s="61">
        <v>0</v>
      </c>
      <c r="E419" s="61">
        <v>0</v>
      </c>
      <c r="F419" s="61">
        <v>0</v>
      </c>
      <c r="G419" s="61">
        <v>0</v>
      </c>
      <c r="H419" s="62">
        <v>0.11762834692789093</v>
      </c>
      <c r="I419" s="62">
        <v>0</v>
      </c>
      <c r="J419" s="62">
        <v>0.11762834692789093</v>
      </c>
    </row>
    <row r="420" spans="1:10" ht="11.25" customHeight="1" x14ac:dyDescent="0.2">
      <c r="A420" s="70" t="s">
        <v>37</v>
      </c>
      <c r="B420" s="61">
        <v>0</v>
      </c>
      <c r="C420" s="61">
        <v>0</v>
      </c>
      <c r="D420" s="61">
        <v>584150.35706999991</v>
      </c>
      <c r="E420" s="61">
        <v>611446.21056661615</v>
      </c>
      <c r="F420" s="61">
        <v>158488.73423999999</v>
      </c>
      <c r="G420" s="61">
        <v>184972.15284639513</v>
      </c>
      <c r="H420" s="62">
        <v>4.6727444683124952E-2</v>
      </c>
      <c r="I420" s="62">
        <v>0.16709969155467674</v>
      </c>
      <c r="J420" s="62">
        <v>7.2416430446915703E-2</v>
      </c>
    </row>
    <row r="421" spans="1:10" ht="11.25" customHeight="1" x14ac:dyDescent="0.2">
      <c r="A421" s="71">
        <v>44136</v>
      </c>
      <c r="B421" s="61">
        <v>0</v>
      </c>
      <c r="C421" s="61">
        <v>0</v>
      </c>
      <c r="D421" s="61">
        <v>49883.343930000003</v>
      </c>
      <c r="E421" s="61">
        <v>52214.265124098383</v>
      </c>
      <c r="F421" s="61">
        <v>13534.097760000001</v>
      </c>
      <c r="G421" s="61">
        <v>15795.641321166844</v>
      </c>
      <c r="H421" s="62">
        <v>4.6727444683125174E-2</v>
      </c>
      <c r="I421" s="62">
        <v>0.16709969155467697</v>
      </c>
      <c r="J421" s="62">
        <v>7.2416430446915703E-2</v>
      </c>
    </row>
    <row r="422" spans="1:10" ht="11.25" customHeight="1" x14ac:dyDescent="0.2">
      <c r="A422" s="71">
        <v>44166</v>
      </c>
      <c r="B422" s="61">
        <v>0</v>
      </c>
      <c r="C422" s="61">
        <v>0</v>
      </c>
      <c r="D422" s="61">
        <v>54095.887370000004</v>
      </c>
      <c r="E422" s="61">
        <v>56623.649954666245</v>
      </c>
      <c r="F422" s="61">
        <v>14677.02384</v>
      </c>
      <c r="G422" s="61">
        <v>17129.549996604641</v>
      </c>
      <c r="H422" s="62">
        <v>4.6727444683125174E-2</v>
      </c>
      <c r="I422" s="62">
        <v>0.16709969155467697</v>
      </c>
      <c r="J422" s="62">
        <v>7.2416430446915703E-2</v>
      </c>
    </row>
    <row r="423" spans="1:10" ht="11.25" customHeight="1" x14ac:dyDescent="0.2">
      <c r="A423" s="71">
        <v>44197</v>
      </c>
      <c r="B423" s="61">
        <v>0</v>
      </c>
      <c r="C423" s="61">
        <v>0</v>
      </c>
      <c r="D423" s="61">
        <v>43379.440860000002</v>
      </c>
      <c r="E423" s="61">
        <v>45406.451283170551</v>
      </c>
      <c r="F423" s="61">
        <v>11769.49152</v>
      </c>
      <c r="G423" s="61">
        <v>13736.169922747385</v>
      </c>
      <c r="H423" s="62">
        <v>4.6727444683125174E-2</v>
      </c>
      <c r="I423" s="62">
        <v>0.16709969155467697</v>
      </c>
      <c r="J423" s="62">
        <v>7.2416430446915925E-2</v>
      </c>
    </row>
    <row r="424" spans="1:10" ht="11.25" customHeight="1" x14ac:dyDescent="0.2">
      <c r="A424" s="71">
        <v>44228</v>
      </c>
      <c r="B424" s="61">
        <v>0</v>
      </c>
      <c r="C424" s="61">
        <v>0</v>
      </c>
      <c r="D424" s="61">
        <v>37650.324390000002</v>
      </c>
      <c r="E424" s="61">
        <v>39409.627840235444</v>
      </c>
      <c r="F424" s="61">
        <v>10215.096479999998</v>
      </c>
      <c r="G424" s="61">
        <v>11922.035951009264</v>
      </c>
      <c r="H424" s="62">
        <v>4.6727444683125174E-2</v>
      </c>
      <c r="I424" s="62">
        <v>0.16709969155467697</v>
      </c>
      <c r="J424" s="62">
        <v>7.2416430446915703E-2</v>
      </c>
    </row>
    <row r="425" spans="1:10" ht="11.25" customHeight="1" x14ac:dyDescent="0.2">
      <c r="A425" s="71">
        <v>44256</v>
      </c>
      <c r="B425" s="61">
        <v>0</v>
      </c>
      <c r="C425" s="61">
        <v>0</v>
      </c>
      <c r="D425" s="61">
        <v>53464.579769999997</v>
      </c>
      <c r="E425" s="61">
        <v>55962.842963709205</v>
      </c>
      <c r="F425" s="61">
        <v>14505.740639999998</v>
      </c>
      <c r="G425" s="61">
        <v>16929.645426716139</v>
      </c>
      <c r="H425" s="62">
        <v>4.6727444683125174E-2</v>
      </c>
      <c r="I425" s="62">
        <v>0.16709969155467697</v>
      </c>
      <c r="J425" s="62">
        <v>7.2416430446915703E-2</v>
      </c>
    </row>
    <row r="426" spans="1:10" ht="11.25" customHeight="1" x14ac:dyDescent="0.2">
      <c r="A426" s="71">
        <v>44287</v>
      </c>
      <c r="B426" s="61">
        <v>0</v>
      </c>
      <c r="C426" s="61">
        <v>0</v>
      </c>
      <c r="D426" s="61">
        <v>45581.843509999999</v>
      </c>
      <c r="E426" s="61">
        <v>47711.766581168391</v>
      </c>
      <c r="F426" s="61">
        <v>12367.036319999999</v>
      </c>
      <c r="G426" s="61">
        <v>14433.564274517485</v>
      </c>
      <c r="H426" s="62">
        <v>4.6727444683125174E-2</v>
      </c>
      <c r="I426" s="62">
        <v>0.16709969155467674</v>
      </c>
      <c r="J426" s="62">
        <v>7.2416430446915703E-2</v>
      </c>
    </row>
    <row r="427" spans="1:10" ht="11.25" customHeight="1" x14ac:dyDescent="0.2">
      <c r="A427" s="71">
        <v>44317</v>
      </c>
      <c r="B427" s="61">
        <v>0</v>
      </c>
      <c r="C427" s="61">
        <v>0</v>
      </c>
      <c r="D427" s="61">
        <v>46725.371140000003</v>
      </c>
      <c r="E427" s="61">
        <v>48908.728335242835</v>
      </c>
      <c r="F427" s="61">
        <v>12677.292479999998</v>
      </c>
      <c r="G427" s="61">
        <v>14795.664143156424</v>
      </c>
      <c r="H427" s="62">
        <v>4.6727444683124952E-2</v>
      </c>
      <c r="I427" s="62">
        <v>0.16709969155467697</v>
      </c>
      <c r="J427" s="62">
        <v>7.2416430446915703E-2</v>
      </c>
    </row>
    <row r="428" spans="1:10" ht="11.25" customHeight="1" x14ac:dyDescent="0.2">
      <c r="A428" s="71">
        <v>44348</v>
      </c>
      <c r="B428" s="61">
        <v>0</v>
      </c>
      <c r="C428" s="61">
        <v>0</v>
      </c>
      <c r="D428" s="61">
        <v>46398.239020000001</v>
      </c>
      <c r="E428" s="61">
        <v>48566.310167201467</v>
      </c>
      <c r="F428" s="61">
        <v>12588.53664</v>
      </c>
      <c r="G428" s="61">
        <v>14692.07722966875</v>
      </c>
      <c r="H428" s="62">
        <v>4.6727444683125174E-2</v>
      </c>
      <c r="I428" s="62">
        <v>0.16709969155467697</v>
      </c>
      <c r="J428" s="62">
        <v>7.2416430446915925E-2</v>
      </c>
    </row>
    <row r="429" spans="1:10" ht="11.25" customHeight="1" x14ac:dyDescent="0.2">
      <c r="A429" s="71">
        <v>44378</v>
      </c>
      <c r="B429" s="61">
        <v>0</v>
      </c>
      <c r="C429" s="61">
        <v>0</v>
      </c>
      <c r="D429" s="61">
        <v>51019.697609999996</v>
      </c>
      <c r="E429" s="61">
        <v>53403.717707821037</v>
      </c>
      <c r="F429" s="61">
        <v>13842.407519999997</v>
      </c>
      <c r="G429" s="61">
        <v>16155.469546966136</v>
      </c>
      <c r="H429" s="62">
        <v>4.6727444683124952E-2</v>
      </c>
      <c r="I429" s="62">
        <v>0.16709969155467697</v>
      </c>
      <c r="J429" s="62">
        <v>7.2416430446915703E-2</v>
      </c>
    </row>
    <row r="430" spans="1:10" ht="11.25" customHeight="1" x14ac:dyDescent="0.2">
      <c r="A430" s="71">
        <v>44409</v>
      </c>
      <c r="B430" s="61">
        <v>0</v>
      </c>
      <c r="C430" s="61">
        <v>0</v>
      </c>
      <c r="D430" s="61">
        <v>53484.666829999995</v>
      </c>
      <c r="E430" s="61">
        <v>55983.868640694192</v>
      </c>
      <c r="F430" s="61">
        <v>14511.190559999999</v>
      </c>
      <c r="G430" s="61">
        <v>16936.006026667139</v>
      </c>
      <c r="H430" s="62">
        <v>4.6727444683124952E-2</v>
      </c>
      <c r="I430" s="62">
        <v>0.16709969155467697</v>
      </c>
      <c r="J430" s="62">
        <v>7.2416430446915925E-2</v>
      </c>
    </row>
    <row r="431" spans="1:10" ht="11.25" customHeight="1" x14ac:dyDescent="0.2">
      <c r="A431" s="71">
        <v>44440</v>
      </c>
      <c r="B431" s="61">
        <v>0</v>
      </c>
      <c r="C431" s="61">
        <v>0</v>
      </c>
      <c r="D431" s="61">
        <v>51233.481319999999</v>
      </c>
      <c r="E431" s="61">
        <v>53627.490984304219</v>
      </c>
      <c r="F431" s="61">
        <v>13900.410239999997</v>
      </c>
      <c r="G431" s="61">
        <v>16223.16450358747</v>
      </c>
      <c r="H431" s="62">
        <v>4.6727444683124952E-2</v>
      </c>
      <c r="I431" s="62">
        <v>0.16709969155467697</v>
      </c>
      <c r="J431" s="62">
        <v>7.2416430446915925E-2</v>
      </c>
    </row>
    <row r="432" spans="1:10" ht="11.25" customHeight="1" x14ac:dyDescent="0.2">
      <c r="A432" s="71">
        <v>44470</v>
      </c>
      <c r="B432" s="61">
        <v>0</v>
      </c>
      <c r="C432" s="61">
        <v>0</v>
      </c>
      <c r="D432" s="61">
        <v>51233.481319999999</v>
      </c>
      <c r="E432" s="61">
        <v>53627.490984304219</v>
      </c>
      <c r="F432" s="61">
        <v>13900.410239999997</v>
      </c>
      <c r="G432" s="61">
        <v>16223.16450358747</v>
      </c>
      <c r="H432" s="62">
        <v>4.6727444683124952E-2</v>
      </c>
      <c r="I432" s="62">
        <v>0.16709969155467697</v>
      </c>
      <c r="J432" s="62">
        <v>7.2416430446915925E-2</v>
      </c>
    </row>
    <row r="433" spans="1:10" ht="11.25" customHeight="1" x14ac:dyDescent="0.2">
      <c r="A433" s="66" t="s">
        <v>47</v>
      </c>
      <c r="B433" s="61">
        <v>1014397.2775999999</v>
      </c>
      <c r="C433" s="61">
        <v>1133719.1524922408</v>
      </c>
      <c r="D433" s="61">
        <v>2219479.951229</v>
      </c>
      <c r="E433" s="61">
        <v>1440786.2954630414</v>
      </c>
      <c r="F433" s="61">
        <v>2234279.6478796001</v>
      </c>
      <c r="G433" s="61">
        <v>2732119.4635425135</v>
      </c>
      <c r="H433" s="62">
        <v>-0.20389511852695719</v>
      </c>
      <c r="I433" s="62">
        <v>0.22281893680380582</v>
      </c>
      <c r="J433" s="62">
        <v>-2.9540477505106355E-2</v>
      </c>
    </row>
    <row r="434" spans="1:10" ht="11.25" customHeight="1" x14ac:dyDescent="0.2">
      <c r="A434" s="67" t="s">
        <v>58</v>
      </c>
      <c r="B434" s="61">
        <v>6203.6897999999992</v>
      </c>
      <c r="C434" s="61">
        <v>6933.4195760274179</v>
      </c>
      <c r="D434" s="61">
        <v>-3347.7224425999993</v>
      </c>
      <c r="E434" s="61">
        <v>-8275.7084040794471</v>
      </c>
      <c r="F434" s="61">
        <v>7917.2172241999997</v>
      </c>
      <c r="G434" s="61">
        <v>9913.3678526514032</v>
      </c>
      <c r="H434" s="62">
        <v>-1.4699944572454831</v>
      </c>
      <c r="I434" s="62">
        <v>0.25212780853731154</v>
      </c>
      <c r="J434" s="62">
        <v>-0.20440618466351157</v>
      </c>
    </row>
    <row r="435" spans="1:10" ht="11.25" customHeight="1" x14ac:dyDescent="0.2">
      <c r="A435" s="68" t="s">
        <v>56</v>
      </c>
      <c r="B435" s="61">
        <v>0</v>
      </c>
      <c r="C435" s="61">
        <v>0</v>
      </c>
      <c r="D435" s="61">
        <v>3093.3664159999994</v>
      </c>
      <c r="E435" s="61">
        <v>2035.4829355302882</v>
      </c>
      <c r="F435" s="61">
        <v>3063.2974599999998</v>
      </c>
      <c r="G435" s="61">
        <v>3744.8159335198279</v>
      </c>
      <c r="H435" s="62">
        <v>-0.34198453665170703</v>
      </c>
      <c r="I435" s="62">
        <v>0.2224787120477123</v>
      </c>
      <c r="J435" s="62">
        <v>-6.1131322828428925E-2</v>
      </c>
    </row>
    <row r="436" spans="1:10" ht="11.25" customHeight="1" x14ac:dyDescent="0.2">
      <c r="A436" s="69" t="s">
        <v>25</v>
      </c>
      <c r="B436" s="61">
        <v>0</v>
      </c>
      <c r="C436" s="61">
        <v>0</v>
      </c>
      <c r="D436" s="61">
        <v>3093.3664159999994</v>
      </c>
      <c r="E436" s="61">
        <v>2035.4829355302882</v>
      </c>
      <c r="F436" s="61">
        <v>3063.2974599999998</v>
      </c>
      <c r="G436" s="61">
        <v>3744.8159335198279</v>
      </c>
      <c r="H436" s="62">
        <v>-0.34198453665170703</v>
      </c>
      <c r="I436" s="62">
        <v>0.2224787120477123</v>
      </c>
      <c r="J436" s="62">
        <v>-6.1131322828428925E-2</v>
      </c>
    </row>
    <row r="437" spans="1:10" ht="11.25" customHeight="1" x14ac:dyDescent="0.2">
      <c r="A437" s="70" t="s">
        <v>38</v>
      </c>
      <c r="B437" s="61">
        <v>0</v>
      </c>
      <c r="C437" s="61">
        <v>0</v>
      </c>
      <c r="D437" s="61">
        <v>1756.7160519999998</v>
      </c>
      <c r="E437" s="61">
        <v>636.3743155857992</v>
      </c>
      <c r="F437" s="61">
        <v>2700.6442120000002</v>
      </c>
      <c r="G437" s="61">
        <v>3321.5634396377263</v>
      </c>
      <c r="H437" s="62">
        <v>-0.63774776529121202</v>
      </c>
      <c r="I437" s="62">
        <v>0.22991522721828495</v>
      </c>
      <c r="J437" s="62">
        <v>-0.1120444566283042</v>
      </c>
    </row>
    <row r="438" spans="1:10" ht="11.25" customHeight="1" x14ac:dyDescent="0.2">
      <c r="A438" s="71">
        <v>44378</v>
      </c>
      <c r="B438" s="61">
        <v>0</v>
      </c>
      <c r="C438" s="61">
        <v>0</v>
      </c>
      <c r="D438" s="61">
        <v>129.87884</v>
      </c>
      <c r="E438" s="61">
        <v>47.048900031385109</v>
      </c>
      <c r="F438" s="61">
        <v>199.66604000000001</v>
      </c>
      <c r="G438" s="61">
        <v>245.5723029543752</v>
      </c>
      <c r="H438" s="62">
        <v>-0.63774776529121202</v>
      </c>
      <c r="I438" s="62">
        <v>0.22991522721828495</v>
      </c>
      <c r="J438" s="62">
        <v>-0.1120444566283042</v>
      </c>
    </row>
    <row r="439" spans="1:10" ht="11.25" customHeight="1" x14ac:dyDescent="0.2">
      <c r="A439" s="71">
        <v>44409</v>
      </c>
      <c r="B439" s="61">
        <v>0</v>
      </c>
      <c r="C439" s="61">
        <v>0</v>
      </c>
      <c r="D439" s="61">
        <v>804.53058399999998</v>
      </c>
      <c r="E439" s="61">
        <v>291.44300194556615</v>
      </c>
      <c r="F439" s="61">
        <v>1236.825304</v>
      </c>
      <c r="G439" s="61">
        <v>1521.1902747984846</v>
      </c>
      <c r="H439" s="62">
        <v>-0.63774776529121213</v>
      </c>
      <c r="I439" s="62">
        <v>0.22991522721828517</v>
      </c>
      <c r="J439" s="62">
        <v>-0.11204445662830409</v>
      </c>
    </row>
    <row r="440" spans="1:10" ht="11.25" customHeight="1" x14ac:dyDescent="0.2">
      <c r="A440" s="71">
        <v>44440</v>
      </c>
      <c r="B440" s="61">
        <v>0</v>
      </c>
      <c r="C440" s="61">
        <v>0</v>
      </c>
      <c r="D440" s="61">
        <v>411.15331399999997</v>
      </c>
      <c r="E440" s="61">
        <v>148.94120680442396</v>
      </c>
      <c r="F440" s="61">
        <v>632.07643399999995</v>
      </c>
      <c r="G440" s="61">
        <v>777.40043094243333</v>
      </c>
      <c r="H440" s="62">
        <v>-0.63774776529121202</v>
      </c>
      <c r="I440" s="62">
        <v>0.22991522721828517</v>
      </c>
      <c r="J440" s="62">
        <v>-0.1120444566283042</v>
      </c>
    </row>
    <row r="441" spans="1:10" ht="11.25" customHeight="1" x14ac:dyDescent="0.2">
      <c r="A441" s="71">
        <v>44470</v>
      </c>
      <c r="B441" s="61">
        <v>0</v>
      </c>
      <c r="C441" s="61">
        <v>0</v>
      </c>
      <c r="D441" s="61">
        <v>411.15331399999997</v>
      </c>
      <c r="E441" s="61">
        <v>148.94120680442396</v>
      </c>
      <c r="F441" s="61">
        <v>632.07643399999995</v>
      </c>
      <c r="G441" s="61">
        <v>777.40043094243333</v>
      </c>
      <c r="H441" s="62">
        <v>-0.63774776529121202</v>
      </c>
      <c r="I441" s="62">
        <v>0.22991522721828517</v>
      </c>
      <c r="J441" s="62">
        <v>-0.1120444566283042</v>
      </c>
    </row>
    <row r="442" spans="1:10" ht="11.25" customHeight="1" x14ac:dyDescent="0.2">
      <c r="A442" s="70" t="s">
        <v>37</v>
      </c>
      <c r="B442" s="61">
        <v>0</v>
      </c>
      <c r="C442" s="61">
        <v>0</v>
      </c>
      <c r="D442" s="61">
        <v>1336.6503639999996</v>
      </c>
      <c r="E442" s="61">
        <v>1399.108619944489</v>
      </c>
      <c r="F442" s="61">
        <v>362.65324799999996</v>
      </c>
      <c r="G442" s="61">
        <v>423.2524938821017</v>
      </c>
      <c r="H442" s="62">
        <v>4.6727444683125396E-2</v>
      </c>
      <c r="I442" s="62">
        <v>0.16709969155467697</v>
      </c>
      <c r="J442" s="62">
        <v>7.2416430446915925E-2</v>
      </c>
    </row>
    <row r="443" spans="1:10" ht="11.25" customHeight="1" x14ac:dyDescent="0.2">
      <c r="A443" s="71">
        <v>44378</v>
      </c>
      <c r="B443" s="61">
        <v>0</v>
      </c>
      <c r="C443" s="61">
        <v>0</v>
      </c>
      <c r="D443" s="61">
        <v>1076.6664159999998</v>
      </c>
      <c r="E443" s="61">
        <v>1126.9762863958185</v>
      </c>
      <c r="F443" s="61">
        <v>292.11571199999997</v>
      </c>
      <c r="G443" s="61">
        <v>340.92815737347479</v>
      </c>
      <c r="H443" s="62">
        <v>4.6727444683125174E-2</v>
      </c>
      <c r="I443" s="62">
        <v>0.16709969155467697</v>
      </c>
      <c r="J443" s="62">
        <v>7.2416430446915925E-2</v>
      </c>
    </row>
    <row r="444" spans="1:10" ht="11.25" customHeight="1" x14ac:dyDescent="0.2">
      <c r="A444" s="71">
        <v>44409</v>
      </c>
      <c r="B444" s="61">
        <v>0</v>
      </c>
      <c r="C444" s="61">
        <v>0</v>
      </c>
      <c r="D444" s="61">
        <v>80.348240000000004</v>
      </c>
      <c r="E444" s="61">
        <v>84.102707939986459</v>
      </c>
      <c r="F444" s="61">
        <v>21.799679999999999</v>
      </c>
      <c r="G444" s="61">
        <v>25.442399803990657</v>
      </c>
      <c r="H444" s="62">
        <v>4.6727444683124952E-2</v>
      </c>
      <c r="I444" s="62">
        <v>0.16709969155467697</v>
      </c>
      <c r="J444" s="62">
        <v>7.2416430446915703E-2</v>
      </c>
    </row>
    <row r="445" spans="1:10" ht="11.25" customHeight="1" x14ac:dyDescent="0.2">
      <c r="A445" s="71">
        <v>44440</v>
      </c>
      <c r="B445" s="61">
        <v>0</v>
      </c>
      <c r="C445" s="61">
        <v>0</v>
      </c>
      <c r="D445" s="61">
        <v>89.817853999999997</v>
      </c>
      <c r="E445" s="61">
        <v>94.014812804342014</v>
      </c>
      <c r="F445" s="61">
        <v>24.368928</v>
      </c>
      <c r="G445" s="61">
        <v>28.44096835231813</v>
      </c>
      <c r="H445" s="62">
        <v>4.6727444683125174E-2</v>
      </c>
      <c r="I445" s="62">
        <v>0.16709969155467697</v>
      </c>
      <c r="J445" s="62">
        <v>7.2416430446915925E-2</v>
      </c>
    </row>
    <row r="446" spans="1:10" ht="11.25" customHeight="1" x14ac:dyDescent="0.2">
      <c r="A446" s="71">
        <v>44470</v>
      </c>
      <c r="B446" s="61">
        <v>0</v>
      </c>
      <c r="C446" s="61">
        <v>0</v>
      </c>
      <c r="D446" s="61">
        <v>89.817853999999997</v>
      </c>
      <c r="E446" s="61">
        <v>94.014812804342014</v>
      </c>
      <c r="F446" s="61">
        <v>24.368928</v>
      </c>
      <c r="G446" s="61">
        <v>28.44096835231813</v>
      </c>
      <c r="H446" s="62">
        <v>4.6727444683125174E-2</v>
      </c>
      <c r="I446" s="62">
        <v>0.16709969155467697</v>
      </c>
      <c r="J446" s="62">
        <v>7.2416430446915925E-2</v>
      </c>
    </row>
    <row r="447" spans="1:10" ht="11.25" customHeight="1" x14ac:dyDescent="0.2">
      <c r="A447" s="68" t="s">
        <v>57</v>
      </c>
      <c r="B447" s="61">
        <v>0</v>
      </c>
      <c r="C447" s="61">
        <v>0</v>
      </c>
      <c r="D447" s="61">
        <v>5214.3990105999992</v>
      </c>
      <c r="E447" s="61">
        <v>1888.9276942531424</v>
      </c>
      <c r="F447" s="61">
        <v>8016.2280585999997</v>
      </c>
      <c r="G447" s="61">
        <v>9859.2809541266106</v>
      </c>
      <c r="H447" s="62">
        <v>-0.63774776529121202</v>
      </c>
      <c r="I447" s="62">
        <v>0.22991522721828495</v>
      </c>
      <c r="J447" s="62">
        <v>-0.11204445662830409</v>
      </c>
    </row>
    <row r="448" spans="1:10" ht="11.25" customHeight="1" x14ac:dyDescent="0.2">
      <c r="A448" s="69" t="s">
        <v>25</v>
      </c>
      <c r="B448" s="61">
        <v>0</v>
      </c>
      <c r="C448" s="61">
        <v>0</v>
      </c>
      <c r="D448" s="61">
        <v>5214.3990105999992</v>
      </c>
      <c r="E448" s="61">
        <v>1888.9276942531424</v>
      </c>
      <c r="F448" s="61">
        <v>8016.2280585999997</v>
      </c>
      <c r="G448" s="61">
        <v>9859.2809541266106</v>
      </c>
      <c r="H448" s="62">
        <v>-0.63774776529121202</v>
      </c>
      <c r="I448" s="62">
        <v>0.22991522721828495</v>
      </c>
      <c r="J448" s="62">
        <v>-0.11204445662830409</v>
      </c>
    </row>
    <row r="449" spans="1:10" ht="11.25" customHeight="1" x14ac:dyDescent="0.2">
      <c r="A449" s="70" t="s">
        <v>38</v>
      </c>
      <c r="B449" s="61">
        <v>0</v>
      </c>
      <c r="C449" s="61">
        <v>0</v>
      </c>
      <c r="D449" s="61">
        <v>5214.3990105999992</v>
      </c>
      <c r="E449" s="61">
        <v>1888.9276942531424</v>
      </c>
      <c r="F449" s="61">
        <v>8016.2280585999997</v>
      </c>
      <c r="G449" s="61">
        <v>9859.2809541266106</v>
      </c>
      <c r="H449" s="62">
        <v>-0.63774776529121202</v>
      </c>
      <c r="I449" s="62">
        <v>0.22991522721828495</v>
      </c>
      <c r="J449" s="62">
        <v>-0.11204445662830409</v>
      </c>
    </row>
    <row r="450" spans="1:10" ht="11.25" customHeight="1" x14ac:dyDescent="0.2">
      <c r="A450" s="71">
        <v>44378</v>
      </c>
      <c r="B450" s="61">
        <v>0</v>
      </c>
      <c r="C450" s="61">
        <v>0</v>
      </c>
      <c r="D450" s="61">
        <v>523.78879280000001</v>
      </c>
      <c r="E450" s="61">
        <v>189.74366070721828</v>
      </c>
      <c r="F450" s="61">
        <v>805.2338168</v>
      </c>
      <c r="G450" s="61">
        <v>990.36933275341903</v>
      </c>
      <c r="H450" s="62">
        <v>-0.63774776529121202</v>
      </c>
      <c r="I450" s="62">
        <v>0.22991522721828517</v>
      </c>
      <c r="J450" s="62">
        <v>-0.11204445662830409</v>
      </c>
    </row>
    <row r="451" spans="1:10" ht="11.25" customHeight="1" x14ac:dyDescent="0.2">
      <c r="A451" s="71">
        <v>44409</v>
      </c>
      <c r="B451" s="61">
        <v>0</v>
      </c>
      <c r="C451" s="61">
        <v>0</v>
      </c>
      <c r="D451" s="61">
        <v>1522.8413693999998</v>
      </c>
      <c r="E451" s="61">
        <v>551.65268917214075</v>
      </c>
      <c r="F451" s="61">
        <v>2341.1027214000001</v>
      </c>
      <c r="G451" s="61">
        <v>2879.3578855320266</v>
      </c>
      <c r="H451" s="62">
        <v>-0.63774776529121202</v>
      </c>
      <c r="I451" s="62">
        <v>0.22991522721828495</v>
      </c>
      <c r="J451" s="62">
        <v>-0.11204445662830409</v>
      </c>
    </row>
    <row r="452" spans="1:10" ht="11.25" customHeight="1" x14ac:dyDescent="0.2">
      <c r="A452" s="71">
        <v>44440</v>
      </c>
      <c r="B452" s="61">
        <v>0</v>
      </c>
      <c r="C452" s="61">
        <v>0</v>
      </c>
      <c r="D452" s="61">
        <v>1583.8844241999998</v>
      </c>
      <c r="E452" s="61">
        <v>573.76567218689172</v>
      </c>
      <c r="F452" s="61">
        <v>2434.9457601999998</v>
      </c>
      <c r="G452" s="61">
        <v>2994.7768679205828</v>
      </c>
      <c r="H452" s="62">
        <v>-0.63774776529121202</v>
      </c>
      <c r="I452" s="62">
        <v>0.22991522721828517</v>
      </c>
      <c r="J452" s="62">
        <v>-0.1120444566283042</v>
      </c>
    </row>
    <row r="453" spans="1:10" ht="11.25" customHeight="1" x14ac:dyDescent="0.2">
      <c r="A453" s="71">
        <v>44470</v>
      </c>
      <c r="B453" s="61">
        <v>0</v>
      </c>
      <c r="C453" s="61">
        <v>0</v>
      </c>
      <c r="D453" s="61">
        <v>1583.8844241999998</v>
      </c>
      <c r="E453" s="61">
        <v>573.76567218689172</v>
      </c>
      <c r="F453" s="61">
        <v>2434.9457601999998</v>
      </c>
      <c r="G453" s="61">
        <v>2994.7768679205828</v>
      </c>
      <c r="H453" s="62">
        <v>-0.63774776529121202</v>
      </c>
      <c r="I453" s="62">
        <v>0.22991522721828517</v>
      </c>
      <c r="J453" s="62">
        <v>-0.1120444566283042</v>
      </c>
    </row>
    <row r="454" spans="1:10" ht="11.25" customHeight="1" x14ac:dyDescent="0.2">
      <c r="A454" s="68" t="s">
        <v>25</v>
      </c>
      <c r="B454" s="61">
        <v>6203.6897999999992</v>
      </c>
      <c r="C454" s="61">
        <v>6933.4195760274179</v>
      </c>
      <c r="D454" s="61">
        <v>-11655.487869199998</v>
      </c>
      <c r="E454" s="61">
        <v>-12200.119033862877</v>
      </c>
      <c r="F454" s="61">
        <v>-3162.3082943999993</v>
      </c>
      <c r="G454" s="61">
        <v>-3690.7290349950358</v>
      </c>
      <c r="H454" s="62">
        <v>-3.395184653119443E-2</v>
      </c>
      <c r="I454" s="62">
        <v>0.16709969155467697</v>
      </c>
      <c r="J454" s="62">
        <v>3.9855803346154239E-2</v>
      </c>
    </row>
    <row r="455" spans="1:10" ht="11.25" customHeight="1" x14ac:dyDescent="0.2">
      <c r="A455" s="69" t="s">
        <v>25</v>
      </c>
      <c r="B455" s="61">
        <v>6203.6897999999992</v>
      </c>
      <c r="C455" s="61">
        <v>6933.4195760274179</v>
      </c>
      <c r="D455" s="61">
        <v>-11655.487869199998</v>
      </c>
      <c r="E455" s="61">
        <v>-12200.119033862877</v>
      </c>
      <c r="F455" s="61">
        <v>-3162.3082943999993</v>
      </c>
      <c r="G455" s="61">
        <v>-3690.7290349950358</v>
      </c>
      <c r="H455" s="62">
        <v>-3.395184653119443E-2</v>
      </c>
      <c r="I455" s="62">
        <v>0.16709969155467697</v>
      </c>
      <c r="J455" s="62">
        <v>3.9855803346154239E-2</v>
      </c>
    </row>
    <row r="456" spans="1:10" ht="11.25" customHeight="1" x14ac:dyDescent="0.2">
      <c r="A456" s="70" t="s">
        <v>25</v>
      </c>
      <c r="B456" s="61">
        <v>6203.6897999999992</v>
      </c>
      <c r="C456" s="61">
        <v>6933.4195760274179</v>
      </c>
      <c r="D456" s="61">
        <v>0</v>
      </c>
      <c r="E456" s="61">
        <v>0</v>
      </c>
      <c r="F456" s="61">
        <v>0</v>
      </c>
      <c r="G456" s="61">
        <v>0</v>
      </c>
      <c r="H456" s="62">
        <v>0.11762834692789093</v>
      </c>
      <c r="I456" s="62">
        <v>0</v>
      </c>
      <c r="J456" s="62">
        <v>0.11762834692789093</v>
      </c>
    </row>
    <row r="457" spans="1:10" ht="11.25" customHeight="1" x14ac:dyDescent="0.2">
      <c r="A457" s="71">
        <v>44378</v>
      </c>
      <c r="B457" s="61">
        <v>1154.7993999999999</v>
      </c>
      <c r="C457" s="61">
        <v>1290.6365444553201</v>
      </c>
      <c r="D457" s="61">
        <v>0</v>
      </c>
      <c r="E457" s="61">
        <v>0</v>
      </c>
      <c r="F457" s="61">
        <v>0</v>
      </c>
      <c r="G457" s="61">
        <v>0</v>
      </c>
      <c r="H457" s="62">
        <v>0.11762834692789093</v>
      </c>
      <c r="I457" s="62">
        <v>0</v>
      </c>
      <c r="J457" s="62">
        <v>0.11762834692789093</v>
      </c>
    </row>
    <row r="458" spans="1:10" ht="11.25" customHeight="1" x14ac:dyDescent="0.2">
      <c r="A458" s="71">
        <v>44409</v>
      </c>
      <c r="B458" s="61">
        <v>2363.3103999999998</v>
      </c>
      <c r="C458" s="61">
        <v>2641.3026956294925</v>
      </c>
      <c r="D458" s="61">
        <v>0</v>
      </c>
      <c r="E458" s="61">
        <v>0</v>
      </c>
      <c r="F458" s="61">
        <v>0</v>
      </c>
      <c r="G458" s="61">
        <v>0</v>
      </c>
      <c r="H458" s="62">
        <v>0.11762834692789093</v>
      </c>
      <c r="I458" s="62">
        <v>0</v>
      </c>
      <c r="J458" s="62">
        <v>0.11762834692789093</v>
      </c>
    </row>
    <row r="459" spans="1:10" ht="11.25" customHeight="1" x14ac:dyDescent="0.2">
      <c r="A459" s="71">
        <v>44440</v>
      </c>
      <c r="B459" s="61">
        <v>1342.79</v>
      </c>
      <c r="C459" s="61">
        <v>1500.7401679713025</v>
      </c>
      <c r="D459" s="61">
        <v>0</v>
      </c>
      <c r="E459" s="61">
        <v>0</v>
      </c>
      <c r="F459" s="61">
        <v>0</v>
      </c>
      <c r="G459" s="61">
        <v>0</v>
      </c>
      <c r="H459" s="62">
        <v>0.11762834692789093</v>
      </c>
      <c r="I459" s="62">
        <v>0</v>
      </c>
      <c r="J459" s="62">
        <v>0.11762834692789093</v>
      </c>
    </row>
    <row r="460" spans="1:10" ht="11.25" customHeight="1" x14ac:dyDescent="0.2">
      <c r="A460" s="71">
        <v>44470</v>
      </c>
      <c r="B460" s="61">
        <v>1342.79</v>
      </c>
      <c r="C460" s="61">
        <v>1500.7401679713025</v>
      </c>
      <c r="D460" s="61">
        <v>0</v>
      </c>
      <c r="E460" s="61">
        <v>0</v>
      </c>
      <c r="F460" s="61">
        <v>0</v>
      </c>
      <c r="G460" s="61">
        <v>0</v>
      </c>
      <c r="H460" s="62">
        <v>0.11762834692789093</v>
      </c>
      <c r="I460" s="62">
        <v>0</v>
      </c>
      <c r="J460" s="62">
        <v>0.11762834692789093</v>
      </c>
    </row>
    <row r="461" spans="1:10" ht="11.25" customHeight="1" x14ac:dyDescent="0.2">
      <c r="A461" s="70" t="s">
        <v>37</v>
      </c>
      <c r="B461" s="61">
        <v>0</v>
      </c>
      <c r="C461" s="61">
        <v>0</v>
      </c>
      <c r="D461" s="61">
        <v>-11655.487869199998</v>
      </c>
      <c r="E461" s="61">
        <v>-12200.119033862877</v>
      </c>
      <c r="F461" s="61">
        <v>-3162.3082943999993</v>
      </c>
      <c r="G461" s="61">
        <v>-3690.7290349950358</v>
      </c>
      <c r="H461" s="62">
        <v>4.6727444683125174E-2</v>
      </c>
      <c r="I461" s="62">
        <v>0.16709969155467697</v>
      </c>
      <c r="J461" s="62">
        <v>7.2416430446915703E-2</v>
      </c>
    </row>
    <row r="462" spans="1:10" ht="11.25" customHeight="1" x14ac:dyDescent="0.2">
      <c r="A462" s="71">
        <v>44409</v>
      </c>
      <c r="B462" s="61">
        <v>0</v>
      </c>
      <c r="C462" s="61">
        <v>0</v>
      </c>
      <c r="D462" s="61">
        <v>-11655.487869199998</v>
      </c>
      <c r="E462" s="61">
        <v>-12200.119033862877</v>
      </c>
      <c r="F462" s="61">
        <v>-3162.3082943999993</v>
      </c>
      <c r="G462" s="61">
        <v>-3690.7290349950358</v>
      </c>
      <c r="H462" s="62">
        <v>4.6727444683125174E-2</v>
      </c>
      <c r="I462" s="62">
        <v>0.16709969155467697</v>
      </c>
      <c r="J462" s="62">
        <v>7.2416430446915703E-2</v>
      </c>
    </row>
    <row r="463" spans="1:10" ht="11.25" customHeight="1" x14ac:dyDescent="0.2">
      <c r="A463" s="67" t="s">
        <v>25</v>
      </c>
      <c r="B463" s="61">
        <v>1008193.5877999999</v>
      </c>
      <c r="C463" s="61">
        <v>1126785.7329162133</v>
      </c>
      <c r="D463" s="61">
        <v>2222827.6736715999</v>
      </c>
      <c r="E463" s="61">
        <v>1449062.0038671207</v>
      </c>
      <c r="F463" s="61">
        <v>2226362.4306554003</v>
      </c>
      <c r="G463" s="61">
        <v>2722206.095689862</v>
      </c>
      <c r="H463" s="62">
        <v>-0.2027759868066793</v>
      </c>
      <c r="I463" s="62">
        <v>0.22271471086964767</v>
      </c>
      <c r="J463" s="62">
        <v>-2.9195282692630942E-2</v>
      </c>
    </row>
    <row r="464" spans="1:10" ht="11.25" customHeight="1" x14ac:dyDescent="0.2">
      <c r="A464" s="68" t="s">
        <v>25</v>
      </c>
      <c r="B464" s="61">
        <v>1008193.5877999999</v>
      </c>
      <c r="C464" s="61">
        <v>1126785.7329162133</v>
      </c>
      <c r="D464" s="61">
        <v>2222827.6736715999</v>
      </c>
      <c r="E464" s="61">
        <v>1449062.0038671207</v>
      </c>
      <c r="F464" s="61">
        <v>2226362.4306554003</v>
      </c>
      <c r="G464" s="61">
        <v>2722206.095689862</v>
      </c>
      <c r="H464" s="62">
        <v>-0.2027759868066793</v>
      </c>
      <c r="I464" s="62">
        <v>0.22271471086964767</v>
      </c>
      <c r="J464" s="62">
        <v>-2.9195282692630942E-2</v>
      </c>
    </row>
    <row r="465" spans="1:10" ht="11.25" customHeight="1" x14ac:dyDescent="0.2">
      <c r="A465" s="69" t="s">
        <v>25</v>
      </c>
      <c r="B465" s="61">
        <v>1008193.5877999999</v>
      </c>
      <c r="C465" s="61">
        <v>1126785.7329162133</v>
      </c>
      <c r="D465" s="61">
        <v>2222827.6736715999</v>
      </c>
      <c r="E465" s="61">
        <v>1449062.0038671207</v>
      </c>
      <c r="F465" s="61">
        <v>2226362.4306554003</v>
      </c>
      <c r="G465" s="61">
        <v>2722206.095689862</v>
      </c>
      <c r="H465" s="62">
        <v>-0.2027759868066793</v>
      </c>
      <c r="I465" s="62">
        <v>0.22271471086964767</v>
      </c>
      <c r="J465" s="62">
        <v>-2.9195282692630942E-2</v>
      </c>
    </row>
    <row r="466" spans="1:10" ht="11.25" customHeight="1" x14ac:dyDescent="0.2">
      <c r="A466" s="70" t="s">
        <v>38</v>
      </c>
      <c r="B466" s="61">
        <v>0</v>
      </c>
      <c r="C466" s="61">
        <v>0</v>
      </c>
      <c r="D466" s="61">
        <v>1282197.9732458</v>
      </c>
      <c r="E466" s="61">
        <v>464479.08114736975</v>
      </c>
      <c r="F466" s="61">
        <v>1971155.5155098003</v>
      </c>
      <c r="G466" s="61">
        <v>2424354.1837408119</v>
      </c>
      <c r="H466" s="62">
        <v>-0.63774776529121202</v>
      </c>
      <c r="I466" s="62">
        <v>0.22991522721828495</v>
      </c>
      <c r="J466" s="62">
        <v>-0.11204445662830409</v>
      </c>
    </row>
    <row r="467" spans="1:10" ht="11.25" customHeight="1" x14ac:dyDescent="0.2">
      <c r="A467" s="71">
        <v>44136</v>
      </c>
      <c r="B467" s="61">
        <v>0</v>
      </c>
      <c r="C467" s="61">
        <v>0</v>
      </c>
      <c r="D467" s="61">
        <v>97746.105737799997</v>
      </c>
      <c r="E467" s="61">
        <v>35408.745237599527</v>
      </c>
      <c r="F467" s="61">
        <v>150267.57136180002</v>
      </c>
      <c r="G467" s="61">
        <v>184816.37417498813</v>
      </c>
      <c r="H467" s="62">
        <v>-0.63774776529121202</v>
      </c>
      <c r="I467" s="62">
        <v>0.22991522721828495</v>
      </c>
      <c r="J467" s="62">
        <v>-0.11204445662830409</v>
      </c>
    </row>
    <row r="468" spans="1:10" ht="11.25" customHeight="1" x14ac:dyDescent="0.2">
      <c r="A468" s="71">
        <v>44166</v>
      </c>
      <c r="B468" s="61">
        <v>0</v>
      </c>
      <c r="C468" s="61">
        <v>0</v>
      </c>
      <c r="D468" s="61">
        <v>98235.575393799983</v>
      </c>
      <c r="E468" s="61">
        <v>35586.056714307662</v>
      </c>
      <c r="F468" s="61">
        <v>151020.04549779999</v>
      </c>
      <c r="G468" s="61">
        <v>185741.85357294243</v>
      </c>
      <c r="H468" s="62">
        <v>-0.63774776529121202</v>
      </c>
      <c r="I468" s="62">
        <v>0.22991522721828517</v>
      </c>
      <c r="J468" s="62">
        <v>-0.11204445662830409</v>
      </c>
    </row>
    <row r="469" spans="1:10" ht="11.25" customHeight="1" x14ac:dyDescent="0.2">
      <c r="A469" s="71">
        <v>44197</v>
      </c>
      <c r="B469" s="61">
        <v>0</v>
      </c>
      <c r="C469" s="61">
        <v>0</v>
      </c>
      <c r="D469" s="61">
        <v>89575.338135399987</v>
      </c>
      <c r="E469" s="61">
        <v>32448.86641434396</v>
      </c>
      <c r="F469" s="61">
        <v>137706.4427674</v>
      </c>
      <c r="G469" s="61">
        <v>169367.25084568854</v>
      </c>
      <c r="H469" s="62">
        <v>-0.63774776529121202</v>
      </c>
      <c r="I469" s="62">
        <v>0.22991522721828495</v>
      </c>
      <c r="J469" s="62">
        <v>-0.11204445662830398</v>
      </c>
    </row>
    <row r="470" spans="1:10" ht="11.25" customHeight="1" x14ac:dyDescent="0.2">
      <c r="A470" s="71">
        <v>44228</v>
      </c>
      <c r="B470" s="61">
        <v>0</v>
      </c>
      <c r="C470" s="61">
        <v>0</v>
      </c>
      <c r="D470" s="61">
        <v>84718.898973799995</v>
      </c>
      <c r="E470" s="61">
        <v>30689.610475327085</v>
      </c>
      <c r="F470" s="61">
        <v>130240.51547779999</v>
      </c>
      <c r="G470" s="61">
        <v>160184.79318690495</v>
      </c>
      <c r="H470" s="62">
        <v>-0.63774776529121213</v>
      </c>
      <c r="I470" s="62">
        <v>0.22991522721828517</v>
      </c>
      <c r="J470" s="62">
        <v>-0.1120444566283042</v>
      </c>
    </row>
    <row r="471" spans="1:10" ht="11.25" customHeight="1" x14ac:dyDescent="0.2">
      <c r="A471" s="71">
        <v>44256</v>
      </c>
      <c r="B471" s="61">
        <v>0</v>
      </c>
      <c r="C471" s="61">
        <v>0</v>
      </c>
      <c r="D471" s="61">
        <v>105236.39799659998</v>
      </c>
      <c r="E471" s="61">
        <v>38122.120346971758</v>
      </c>
      <c r="F471" s="61">
        <v>161782.58792459997</v>
      </c>
      <c r="G471" s="61">
        <v>198978.86838724656</v>
      </c>
      <c r="H471" s="62">
        <v>-0.63774776529121202</v>
      </c>
      <c r="I471" s="62">
        <v>0.22991522721828517</v>
      </c>
      <c r="J471" s="62">
        <v>-0.11204445662830409</v>
      </c>
    </row>
    <row r="472" spans="1:10" ht="11.25" customHeight="1" x14ac:dyDescent="0.2">
      <c r="A472" s="71">
        <v>44287</v>
      </c>
      <c r="B472" s="61">
        <v>0</v>
      </c>
      <c r="C472" s="61">
        <v>0</v>
      </c>
      <c r="D472" s="61">
        <v>102868.51820960001</v>
      </c>
      <c r="E472" s="61">
        <v>37264.350602609244</v>
      </c>
      <c r="F472" s="61">
        <v>158142.38617759998</v>
      </c>
      <c r="G472" s="61">
        <v>194501.72882846469</v>
      </c>
      <c r="H472" s="62">
        <v>-0.63774776529121202</v>
      </c>
      <c r="I472" s="62">
        <v>0.22991522721828517</v>
      </c>
      <c r="J472" s="62">
        <v>-0.11204445662830409</v>
      </c>
    </row>
    <row r="473" spans="1:10" ht="11.25" customHeight="1" x14ac:dyDescent="0.2">
      <c r="A473" s="71">
        <v>44317</v>
      </c>
      <c r="B473" s="61">
        <v>0</v>
      </c>
      <c r="C473" s="61">
        <v>0</v>
      </c>
      <c r="D473" s="61">
        <v>120477.61104080001</v>
      </c>
      <c r="E473" s="61">
        <v>43643.283831905937</v>
      </c>
      <c r="F473" s="61">
        <v>185213.29190479999</v>
      </c>
      <c r="G473" s="61">
        <v>227796.64799693867</v>
      </c>
      <c r="H473" s="62">
        <v>-0.63774776529121213</v>
      </c>
      <c r="I473" s="62">
        <v>0.22991522721828517</v>
      </c>
      <c r="J473" s="62">
        <v>-0.11204445662830409</v>
      </c>
    </row>
    <row r="474" spans="1:10" ht="11.25" customHeight="1" x14ac:dyDescent="0.2">
      <c r="A474" s="71">
        <v>44348</v>
      </c>
      <c r="B474" s="61">
        <v>0</v>
      </c>
      <c r="C474" s="61">
        <v>0</v>
      </c>
      <c r="D474" s="61">
        <v>109504.48900559999</v>
      </c>
      <c r="E474" s="61">
        <v>39668.245852922497</v>
      </c>
      <c r="F474" s="61">
        <v>168344.03265360001</v>
      </c>
      <c r="G474" s="61">
        <v>207048.88917199487</v>
      </c>
      <c r="H474" s="62">
        <v>-0.63774776529121202</v>
      </c>
      <c r="I474" s="62">
        <v>0.22991522721828517</v>
      </c>
      <c r="J474" s="62">
        <v>-0.11204445662830387</v>
      </c>
    </row>
    <row r="475" spans="1:10" ht="11.25" customHeight="1" x14ac:dyDescent="0.2">
      <c r="A475" s="71">
        <v>44378</v>
      </c>
      <c r="B475" s="61">
        <v>0</v>
      </c>
      <c r="C475" s="61">
        <v>0</v>
      </c>
      <c r="D475" s="61">
        <v>115410.8968402</v>
      </c>
      <c r="E475" s="61">
        <v>41807.855290107844</v>
      </c>
      <c r="F475" s="61">
        <v>177424.10345620001</v>
      </c>
      <c r="G475" s="61">
        <v>218216.6065163328</v>
      </c>
      <c r="H475" s="62">
        <v>-0.63774776529121202</v>
      </c>
      <c r="I475" s="62">
        <v>0.22991522721828539</v>
      </c>
      <c r="J475" s="62">
        <v>-0.11204445662830409</v>
      </c>
    </row>
    <row r="476" spans="1:10" ht="11.25" customHeight="1" x14ac:dyDescent="0.2">
      <c r="A476" s="71">
        <v>44409</v>
      </c>
      <c r="B476" s="61">
        <v>0</v>
      </c>
      <c r="C476" s="61">
        <v>0</v>
      </c>
      <c r="D476" s="61">
        <v>116199.9556822</v>
      </c>
      <c r="E476" s="61">
        <v>42093.693618939069</v>
      </c>
      <c r="F476" s="61">
        <v>178637.14365819999</v>
      </c>
      <c r="G476" s="61">
        <v>219708.54313200054</v>
      </c>
      <c r="H476" s="62">
        <v>-0.63774776529121202</v>
      </c>
      <c r="I476" s="62">
        <v>0.22991522721828539</v>
      </c>
      <c r="J476" s="62">
        <v>-0.11204445662830376</v>
      </c>
    </row>
    <row r="477" spans="1:10" ht="11.25" customHeight="1" x14ac:dyDescent="0.2">
      <c r="A477" s="71">
        <v>44440</v>
      </c>
      <c r="B477" s="61">
        <v>0</v>
      </c>
      <c r="C477" s="61">
        <v>0</v>
      </c>
      <c r="D477" s="61">
        <v>121112.093115</v>
      </c>
      <c r="E477" s="61">
        <v>43873.126381167553</v>
      </c>
      <c r="F477" s="61">
        <v>186188.697315</v>
      </c>
      <c r="G477" s="61">
        <v>228996.31396365474</v>
      </c>
      <c r="H477" s="62">
        <v>-0.63774776529121213</v>
      </c>
      <c r="I477" s="62">
        <v>0.22991522721828517</v>
      </c>
      <c r="J477" s="62">
        <v>-0.11204445662830409</v>
      </c>
    </row>
    <row r="478" spans="1:10" ht="11.25" customHeight="1" x14ac:dyDescent="0.2">
      <c r="A478" s="71">
        <v>44470</v>
      </c>
      <c r="B478" s="61">
        <v>0</v>
      </c>
      <c r="C478" s="61">
        <v>0</v>
      </c>
      <c r="D478" s="61">
        <v>121112.093115</v>
      </c>
      <c r="E478" s="61">
        <v>43873.126381167553</v>
      </c>
      <c r="F478" s="61">
        <v>186188.697315</v>
      </c>
      <c r="G478" s="61">
        <v>228996.31396365474</v>
      </c>
      <c r="H478" s="62">
        <v>-0.63774776529121213</v>
      </c>
      <c r="I478" s="62">
        <v>0.22991522721828517</v>
      </c>
      <c r="J478" s="62">
        <v>-0.11204445662830409</v>
      </c>
    </row>
    <row r="479" spans="1:10" ht="11.25" customHeight="1" x14ac:dyDescent="0.2">
      <c r="A479" s="70" t="s">
        <v>25</v>
      </c>
      <c r="B479" s="61">
        <v>1008193.5877999999</v>
      </c>
      <c r="C479" s="61">
        <v>1126785.7329162133</v>
      </c>
      <c r="D479" s="61">
        <v>0</v>
      </c>
      <c r="E479" s="61">
        <v>0</v>
      </c>
      <c r="F479" s="61">
        <v>0</v>
      </c>
      <c r="G479" s="61">
        <v>0</v>
      </c>
      <c r="H479" s="62">
        <v>0.11762834692789093</v>
      </c>
      <c r="I479" s="62">
        <v>0</v>
      </c>
      <c r="J479" s="62">
        <v>0.11762834692789093</v>
      </c>
    </row>
    <row r="480" spans="1:10" ht="11.25" customHeight="1" x14ac:dyDescent="0.2">
      <c r="A480" s="71">
        <v>44136</v>
      </c>
      <c r="B480" s="61">
        <v>83790.09599999999</v>
      </c>
      <c r="C480" s="61">
        <v>93646.18648140927</v>
      </c>
      <c r="D480" s="61">
        <v>0</v>
      </c>
      <c r="E480" s="61">
        <v>0</v>
      </c>
      <c r="F480" s="61">
        <v>0</v>
      </c>
      <c r="G480" s="61">
        <v>0</v>
      </c>
      <c r="H480" s="62">
        <v>0.11762834692789093</v>
      </c>
      <c r="I480" s="62">
        <v>0</v>
      </c>
      <c r="J480" s="62">
        <v>0.11762834692789093</v>
      </c>
    </row>
    <row r="481" spans="1:10" ht="11.25" customHeight="1" x14ac:dyDescent="0.2">
      <c r="A481" s="71">
        <v>44166</v>
      </c>
      <c r="B481" s="61">
        <v>73826.594199999992</v>
      </c>
      <c r="C481" s="61">
        <v>82510.694435062207</v>
      </c>
      <c r="D481" s="61">
        <v>0</v>
      </c>
      <c r="E481" s="61">
        <v>0</v>
      </c>
      <c r="F481" s="61">
        <v>0</v>
      </c>
      <c r="G481" s="61">
        <v>0</v>
      </c>
      <c r="H481" s="62">
        <v>0.11762834692789093</v>
      </c>
      <c r="I481" s="62">
        <v>0</v>
      </c>
      <c r="J481" s="62">
        <v>0.11762834692789093</v>
      </c>
    </row>
    <row r="482" spans="1:10" ht="11.25" customHeight="1" x14ac:dyDescent="0.2">
      <c r="A482" s="71">
        <v>44197</v>
      </c>
      <c r="B482" s="61">
        <v>82420.450199999992</v>
      </c>
      <c r="C482" s="61">
        <v>92115.431510078546</v>
      </c>
      <c r="D482" s="61">
        <v>0</v>
      </c>
      <c r="E482" s="61">
        <v>0</v>
      </c>
      <c r="F482" s="61">
        <v>0</v>
      </c>
      <c r="G482" s="61">
        <v>0</v>
      </c>
      <c r="H482" s="62">
        <v>0.11762834692789093</v>
      </c>
      <c r="I482" s="62">
        <v>0</v>
      </c>
      <c r="J482" s="62">
        <v>0.11762834692789093</v>
      </c>
    </row>
    <row r="483" spans="1:10" ht="11.25" customHeight="1" x14ac:dyDescent="0.2">
      <c r="A483" s="71">
        <v>44228</v>
      </c>
      <c r="B483" s="61">
        <v>76646.453199999989</v>
      </c>
      <c r="C483" s="61">
        <v>85662.248787801946</v>
      </c>
      <c r="D483" s="61">
        <v>0</v>
      </c>
      <c r="E483" s="61">
        <v>0</v>
      </c>
      <c r="F483" s="61">
        <v>0</v>
      </c>
      <c r="G483" s="61">
        <v>0</v>
      </c>
      <c r="H483" s="62">
        <v>0.11762834692789093</v>
      </c>
      <c r="I483" s="62">
        <v>0</v>
      </c>
      <c r="J483" s="62">
        <v>0.11762834692789093</v>
      </c>
    </row>
    <row r="484" spans="1:10" ht="11.25" customHeight="1" x14ac:dyDescent="0.2">
      <c r="A484" s="71">
        <v>44256</v>
      </c>
      <c r="B484" s="61">
        <v>99447.027399999992</v>
      </c>
      <c r="C484" s="61">
        <v>111144.81683995466</v>
      </c>
      <c r="D484" s="61">
        <v>0</v>
      </c>
      <c r="E484" s="61">
        <v>0</v>
      </c>
      <c r="F484" s="61">
        <v>0</v>
      </c>
      <c r="G484" s="61">
        <v>0</v>
      </c>
      <c r="H484" s="62">
        <v>0.11762834692789093</v>
      </c>
      <c r="I484" s="62">
        <v>0</v>
      </c>
      <c r="J484" s="62">
        <v>0.11762834692789093</v>
      </c>
    </row>
    <row r="485" spans="1:10" ht="11.25" customHeight="1" x14ac:dyDescent="0.2">
      <c r="A485" s="71">
        <v>44287</v>
      </c>
      <c r="B485" s="61">
        <v>73396.901400000002</v>
      </c>
      <c r="C485" s="61">
        <v>82030.457581311392</v>
      </c>
      <c r="D485" s="61">
        <v>0</v>
      </c>
      <c r="E485" s="61">
        <v>0</v>
      </c>
      <c r="F485" s="61">
        <v>0</v>
      </c>
      <c r="G485" s="61">
        <v>0</v>
      </c>
      <c r="H485" s="62">
        <v>0.1176283469278907</v>
      </c>
      <c r="I485" s="62">
        <v>0</v>
      </c>
      <c r="J485" s="62">
        <v>0.1176283469278907</v>
      </c>
    </row>
    <row r="486" spans="1:10" ht="11.25" customHeight="1" x14ac:dyDescent="0.2">
      <c r="A486" s="71">
        <v>44317</v>
      </c>
      <c r="B486" s="61">
        <v>88919.553799999994</v>
      </c>
      <c r="C486" s="61">
        <v>99379.013923059654</v>
      </c>
      <c r="D486" s="61">
        <v>0</v>
      </c>
      <c r="E486" s="61">
        <v>0</v>
      </c>
      <c r="F486" s="61">
        <v>0</v>
      </c>
      <c r="G486" s="61">
        <v>0</v>
      </c>
      <c r="H486" s="62">
        <v>0.11762834692789093</v>
      </c>
      <c r="I486" s="62">
        <v>0</v>
      </c>
      <c r="J486" s="62">
        <v>0.11762834692789093</v>
      </c>
    </row>
    <row r="487" spans="1:10" ht="11.25" customHeight="1" x14ac:dyDescent="0.2">
      <c r="A487" s="71">
        <v>44348</v>
      </c>
      <c r="B487" s="61">
        <v>96654.024199999985</v>
      </c>
      <c r="C487" s="61">
        <v>108023.27729057433</v>
      </c>
      <c r="D487" s="61">
        <v>0</v>
      </c>
      <c r="E487" s="61">
        <v>0</v>
      </c>
      <c r="F487" s="61">
        <v>0</v>
      </c>
      <c r="G487" s="61">
        <v>0</v>
      </c>
      <c r="H487" s="62">
        <v>0.1176283469278907</v>
      </c>
      <c r="I487" s="62">
        <v>0</v>
      </c>
      <c r="J487" s="62">
        <v>0.1176283469278907</v>
      </c>
    </row>
    <row r="488" spans="1:10" ht="11.25" customHeight="1" x14ac:dyDescent="0.2">
      <c r="A488" s="71">
        <v>44378</v>
      </c>
      <c r="B488" s="61">
        <v>70926.167799999996</v>
      </c>
      <c r="C488" s="61">
        <v>79269.095672244192</v>
      </c>
      <c r="D488" s="61">
        <v>0</v>
      </c>
      <c r="E488" s="61">
        <v>0</v>
      </c>
      <c r="F488" s="61">
        <v>0</v>
      </c>
      <c r="G488" s="61">
        <v>0</v>
      </c>
      <c r="H488" s="62">
        <v>0.1176283469278907</v>
      </c>
      <c r="I488" s="62">
        <v>0</v>
      </c>
      <c r="J488" s="62">
        <v>0.1176283469278907</v>
      </c>
    </row>
    <row r="489" spans="1:10" ht="11.25" customHeight="1" x14ac:dyDescent="0.2">
      <c r="A489" s="71">
        <v>44409</v>
      </c>
      <c r="B489" s="61">
        <v>81587.920400000017</v>
      </c>
      <c r="C489" s="61">
        <v>91184.972605936346</v>
      </c>
      <c r="D489" s="61">
        <v>0</v>
      </c>
      <c r="E489" s="61">
        <v>0</v>
      </c>
      <c r="F489" s="61">
        <v>0</v>
      </c>
      <c r="G489" s="61">
        <v>0</v>
      </c>
      <c r="H489" s="62">
        <v>0.1176283469278907</v>
      </c>
      <c r="I489" s="62">
        <v>0</v>
      </c>
      <c r="J489" s="62">
        <v>0.1176283469278907</v>
      </c>
    </row>
    <row r="490" spans="1:10" ht="11.25" customHeight="1" x14ac:dyDescent="0.2">
      <c r="A490" s="71">
        <v>44440</v>
      </c>
      <c r="B490" s="61">
        <v>90289.199599999993</v>
      </c>
      <c r="C490" s="61">
        <v>100909.76889439038</v>
      </c>
      <c r="D490" s="61">
        <v>0</v>
      </c>
      <c r="E490" s="61">
        <v>0</v>
      </c>
      <c r="F490" s="61">
        <v>0</v>
      </c>
      <c r="G490" s="61">
        <v>0</v>
      </c>
      <c r="H490" s="62">
        <v>0.11762834692789093</v>
      </c>
      <c r="I490" s="62">
        <v>0</v>
      </c>
      <c r="J490" s="62">
        <v>0.11762834692789093</v>
      </c>
    </row>
    <row r="491" spans="1:10" ht="11.25" customHeight="1" x14ac:dyDescent="0.2">
      <c r="A491" s="71">
        <v>44470</v>
      </c>
      <c r="B491" s="61">
        <v>90289.199599999993</v>
      </c>
      <c r="C491" s="61">
        <v>100909.76889439038</v>
      </c>
      <c r="D491" s="61">
        <v>0</v>
      </c>
      <c r="E491" s="61">
        <v>0</v>
      </c>
      <c r="F491" s="61">
        <v>0</v>
      </c>
      <c r="G491" s="61">
        <v>0</v>
      </c>
      <c r="H491" s="62">
        <v>0.11762834692789093</v>
      </c>
      <c r="I491" s="62">
        <v>0</v>
      </c>
      <c r="J491" s="62">
        <v>0.11762834692789093</v>
      </c>
    </row>
    <row r="492" spans="1:10" ht="11.25" customHeight="1" x14ac:dyDescent="0.2">
      <c r="A492" s="70" t="s">
        <v>37</v>
      </c>
      <c r="B492" s="61">
        <v>0</v>
      </c>
      <c r="C492" s="61">
        <v>0</v>
      </c>
      <c r="D492" s="61">
        <v>940629.70042579994</v>
      </c>
      <c r="E492" s="61">
        <v>984582.92271975114</v>
      </c>
      <c r="F492" s="61">
        <v>255206.91514559998</v>
      </c>
      <c r="G492" s="61">
        <v>297851.91194905038</v>
      </c>
      <c r="H492" s="62">
        <v>4.6727444683125396E-2</v>
      </c>
      <c r="I492" s="62">
        <v>0.16709969155467674</v>
      </c>
      <c r="J492" s="62">
        <v>7.2416430446915925E-2</v>
      </c>
    </row>
    <row r="493" spans="1:10" ht="11.25" customHeight="1" x14ac:dyDescent="0.2">
      <c r="A493" s="71">
        <v>44136</v>
      </c>
      <c r="B493" s="61">
        <v>0</v>
      </c>
      <c r="C493" s="61">
        <v>0</v>
      </c>
      <c r="D493" s="61">
        <v>76719.59869839999</v>
      </c>
      <c r="E493" s="61">
        <v>80304.509502691042</v>
      </c>
      <c r="F493" s="61">
        <v>20815.175308799997</v>
      </c>
      <c r="G493" s="61">
        <v>24293.384682557004</v>
      </c>
      <c r="H493" s="62">
        <v>4.6727444683125174E-2</v>
      </c>
      <c r="I493" s="62">
        <v>0.16709969155467697</v>
      </c>
      <c r="J493" s="62">
        <v>7.2416430446915925E-2</v>
      </c>
    </row>
    <row r="494" spans="1:10" ht="11.25" customHeight="1" x14ac:dyDescent="0.2">
      <c r="A494" s="71">
        <v>44166</v>
      </c>
      <c r="B494" s="61">
        <v>0</v>
      </c>
      <c r="C494" s="61">
        <v>0</v>
      </c>
      <c r="D494" s="61">
        <v>77395.298701000007</v>
      </c>
      <c r="E494" s="61">
        <v>81011.783239784927</v>
      </c>
      <c r="F494" s="61">
        <v>20998.502831999998</v>
      </c>
      <c r="G494" s="61">
        <v>24507.346178337211</v>
      </c>
      <c r="H494" s="62">
        <v>4.6727444683125174E-2</v>
      </c>
      <c r="I494" s="62">
        <v>0.16709969155467719</v>
      </c>
      <c r="J494" s="62">
        <v>7.2416430446915925E-2</v>
      </c>
    </row>
    <row r="495" spans="1:10" ht="11.25" customHeight="1" x14ac:dyDescent="0.2">
      <c r="A495" s="71">
        <v>44197</v>
      </c>
      <c r="B495" s="61">
        <v>0</v>
      </c>
      <c r="C495" s="61">
        <v>0</v>
      </c>
      <c r="D495" s="61">
        <v>74170.550784399995</v>
      </c>
      <c r="E495" s="61">
        <v>77636.351093294972</v>
      </c>
      <c r="F495" s="61">
        <v>20123.5804608</v>
      </c>
      <c r="G495" s="61">
        <v>23486.224548775401</v>
      </c>
      <c r="H495" s="62">
        <v>4.6727444683125174E-2</v>
      </c>
      <c r="I495" s="62">
        <v>0.16709969155467674</v>
      </c>
      <c r="J495" s="62">
        <v>7.2416430446915703E-2</v>
      </c>
    </row>
    <row r="496" spans="1:10" ht="11.25" customHeight="1" x14ac:dyDescent="0.2">
      <c r="A496" s="71">
        <v>44228</v>
      </c>
      <c r="B496" s="61">
        <v>0</v>
      </c>
      <c r="C496" s="61">
        <v>0</v>
      </c>
      <c r="D496" s="61">
        <v>67756.121218799992</v>
      </c>
      <c r="E496" s="61">
        <v>70922.191624994593</v>
      </c>
      <c r="F496" s="61">
        <v>18383.249721600001</v>
      </c>
      <c r="G496" s="61">
        <v>21455.08507985196</v>
      </c>
      <c r="H496" s="62">
        <v>4.6727444683125174E-2</v>
      </c>
      <c r="I496" s="62">
        <v>0.16709969155467697</v>
      </c>
      <c r="J496" s="62">
        <v>7.2416430446915925E-2</v>
      </c>
    </row>
    <row r="497" spans="1:10" ht="11.25" customHeight="1" x14ac:dyDescent="0.2">
      <c r="A497" s="71">
        <v>44256</v>
      </c>
      <c r="B497" s="61">
        <v>0</v>
      </c>
      <c r="C497" s="61">
        <v>0</v>
      </c>
      <c r="D497" s="61">
        <v>91393.482986399991</v>
      </c>
      <c r="E497" s="61">
        <v>95664.066907045126</v>
      </c>
      <c r="F497" s="61">
        <v>24796.419724799998</v>
      </c>
      <c r="G497" s="61">
        <v>28939.893812474384</v>
      </c>
      <c r="H497" s="62">
        <v>4.6727444683124952E-2</v>
      </c>
      <c r="I497" s="62">
        <v>0.16709969155467697</v>
      </c>
      <c r="J497" s="62">
        <v>7.2416430446915703E-2</v>
      </c>
    </row>
    <row r="498" spans="1:10" ht="11.25" customHeight="1" x14ac:dyDescent="0.2">
      <c r="A498" s="71">
        <v>44287</v>
      </c>
      <c r="B498" s="61">
        <v>0</v>
      </c>
      <c r="C498" s="61">
        <v>0</v>
      </c>
      <c r="D498" s="61">
        <v>76898.976144200002</v>
      </c>
      <c r="E498" s="61">
        <v>80492.268798167061</v>
      </c>
      <c r="F498" s="61">
        <v>20863.843094399999</v>
      </c>
      <c r="G498" s="61">
        <v>24350.184840119411</v>
      </c>
      <c r="H498" s="62">
        <v>4.6727444683124952E-2</v>
      </c>
      <c r="I498" s="62">
        <v>0.16709969155467674</v>
      </c>
      <c r="J498" s="62">
        <v>7.2416430446915703E-2</v>
      </c>
    </row>
    <row r="499" spans="1:10" ht="11.25" customHeight="1" x14ac:dyDescent="0.2">
      <c r="A499" s="71">
        <v>44317</v>
      </c>
      <c r="B499" s="61">
        <v>0</v>
      </c>
      <c r="C499" s="61">
        <v>0</v>
      </c>
      <c r="D499" s="61">
        <v>76267.7833274</v>
      </c>
      <c r="E499" s="61">
        <v>79831.581953935645</v>
      </c>
      <c r="F499" s="61">
        <v>20692.5910368</v>
      </c>
      <c r="G499" s="61">
        <v>24150.316616516353</v>
      </c>
      <c r="H499" s="62">
        <v>4.6727444683124952E-2</v>
      </c>
      <c r="I499" s="62">
        <v>0.16709969155467697</v>
      </c>
      <c r="J499" s="62">
        <v>7.2416430446915703E-2</v>
      </c>
    </row>
    <row r="500" spans="1:10" ht="11.25" customHeight="1" x14ac:dyDescent="0.2">
      <c r="A500" s="71">
        <v>44348</v>
      </c>
      <c r="B500" s="61">
        <v>0</v>
      </c>
      <c r="C500" s="61">
        <v>0</v>
      </c>
      <c r="D500" s="61">
        <v>92610.0127316</v>
      </c>
      <c r="E500" s="61">
        <v>96937.441978619361</v>
      </c>
      <c r="F500" s="61">
        <v>25126.482451199998</v>
      </c>
      <c r="G500" s="61">
        <v>29325.109918649523</v>
      </c>
      <c r="H500" s="62">
        <v>4.6727444683125174E-2</v>
      </c>
      <c r="I500" s="62">
        <v>0.16709969155467697</v>
      </c>
      <c r="J500" s="62">
        <v>7.2416430446915925E-2</v>
      </c>
    </row>
    <row r="501" spans="1:10" ht="11.25" customHeight="1" x14ac:dyDescent="0.2">
      <c r="A501" s="71">
        <v>44378</v>
      </c>
      <c r="B501" s="61">
        <v>0</v>
      </c>
      <c r="C501" s="61">
        <v>0</v>
      </c>
      <c r="D501" s="61">
        <v>69253.181104799995</v>
      </c>
      <c r="E501" s="61">
        <v>72489.205294004976</v>
      </c>
      <c r="F501" s="61">
        <v>18789.424473599996</v>
      </c>
      <c r="G501" s="61">
        <v>21929.131507628455</v>
      </c>
      <c r="H501" s="62">
        <v>4.6727444683124952E-2</v>
      </c>
      <c r="I501" s="62">
        <v>0.16709969155467697</v>
      </c>
      <c r="J501" s="62">
        <v>7.2416430446915703E-2</v>
      </c>
    </row>
    <row r="502" spans="1:10" ht="11.25" customHeight="1" x14ac:dyDescent="0.2">
      <c r="A502" s="71">
        <v>44409</v>
      </c>
      <c r="B502" s="61">
        <v>0</v>
      </c>
      <c r="C502" s="61">
        <v>0</v>
      </c>
      <c r="D502" s="61">
        <v>74405.225036799995</v>
      </c>
      <c r="E502" s="61">
        <v>77881.991073842539</v>
      </c>
      <c r="F502" s="61">
        <v>20187.251097599998</v>
      </c>
      <c r="G502" s="61">
        <v>23560.534529345769</v>
      </c>
      <c r="H502" s="62">
        <v>4.6727444683124952E-2</v>
      </c>
      <c r="I502" s="62">
        <v>0.16709969155467674</v>
      </c>
      <c r="J502" s="62">
        <v>7.2416430446915703E-2</v>
      </c>
    </row>
    <row r="503" spans="1:10" ht="11.25" customHeight="1" x14ac:dyDescent="0.2">
      <c r="A503" s="71">
        <v>44440</v>
      </c>
      <c r="B503" s="61">
        <v>0</v>
      </c>
      <c r="C503" s="61">
        <v>0</v>
      </c>
      <c r="D503" s="61">
        <v>81879.734845999992</v>
      </c>
      <c r="E503" s="61">
        <v>85705.765626685417</v>
      </c>
      <c r="F503" s="61">
        <v>22215.197471999996</v>
      </c>
      <c r="G503" s="61">
        <v>25927.35011739744</v>
      </c>
      <c r="H503" s="62">
        <v>4.6727444683125174E-2</v>
      </c>
      <c r="I503" s="62">
        <v>0.16709969155467719</v>
      </c>
      <c r="J503" s="62">
        <v>7.2416430446915925E-2</v>
      </c>
    </row>
    <row r="504" spans="1:10" ht="11.25" customHeight="1" x14ac:dyDescent="0.2">
      <c r="A504" s="71">
        <v>44470</v>
      </c>
      <c r="B504" s="61">
        <v>0</v>
      </c>
      <c r="C504" s="61">
        <v>0</v>
      </c>
      <c r="D504" s="61">
        <v>81879.734845999992</v>
      </c>
      <c r="E504" s="61">
        <v>85705.765626685417</v>
      </c>
      <c r="F504" s="61">
        <v>22215.197471999996</v>
      </c>
      <c r="G504" s="61">
        <v>25927.35011739744</v>
      </c>
      <c r="H504" s="62">
        <v>4.6727444683125174E-2</v>
      </c>
      <c r="I504" s="62">
        <v>0.16709969155467719</v>
      </c>
      <c r="J504" s="62">
        <v>7.2416430446915925E-2</v>
      </c>
    </row>
    <row r="505" spans="1:10" ht="11.25" customHeight="1" x14ac:dyDescent="0.2">
      <c r="A505" s="66" t="s">
        <v>61</v>
      </c>
      <c r="B505" s="61">
        <v>1660258.4114999999</v>
      </c>
      <c r="C505" s="61">
        <v>1855551.8639178704</v>
      </c>
      <c r="D505" s="61">
        <v>6123660.1529012006</v>
      </c>
      <c r="E505" s="61">
        <v>4350157.0848943321</v>
      </c>
      <c r="F505" s="61">
        <v>5470977.3079871014</v>
      </c>
      <c r="G505" s="61">
        <v>6675757.2823628429</v>
      </c>
      <c r="H505" s="62">
        <v>-0.20275258567153376</v>
      </c>
      <c r="I505" s="62">
        <v>0.22021293574310397</v>
      </c>
      <c r="J505" s="62">
        <v>-2.817295924528207E-2</v>
      </c>
    </row>
    <row r="506" spans="1:10" ht="11.25" customHeight="1" x14ac:dyDescent="0.2">
      <c r="A506" s="67" t="s">
        <v>53</v>
      </c>
      <c r="B506" s="61">
        <v>1660258.4114999999</v>
      </c>
      <c r="C506" s="61">
        <v>1855551.8639178704</v>
      </c>
      <c r="D506" s="61">
        <v>6123660.1529012006</v>
      </c>
      <c r="E506" s="61">
        <v>4350157.0848943321</v>
      </c>
      <c r="F506" s="61">
        <v>5470977.3079871014</v>
      </c>
      <c r="G506" s="61">
        <v>6675757.2823628429</v>
      </c>
      <c r="H506" s="62">
        <v>-0.20275258567153376</v>
      </c>
      <c r="I506" s="62">
        <v>0.22021293574310397</v>
      </c>
      <c r="J506" s="62">
        <v>-2.817295924528207E-2</v>
      </c>
    </row>
    <row r="507" spans="1:10" ht="11.25" customHeight="1" x14ac:dyDescent="0.2">
      <c r="A507" s="68" t="s">
        <v>25</v>
      </c>
      <c r="B507" s="61">
        <v>1660258.4114999999</v>
      </c>
      <c r="C507" s="61">
        <v>1855551.8639178704</v>
      </c>
      <c r="D507" s="61">
        <v>6123660.1529012006</v>
      </c>
      <c r="E507" s="61">
        <v>4350157.0848943321</v>
      </c>
      <c r="F507" s="61">
        <v>5470977.3079871014</v>
      </c>
      <c r="G507" s="61">
        <v>6675757.2823628429</v>
      </c>
      <c r="H507" s="62">
        <v>-0.20275258567153376</v>
      </c>
      <c r="I507" s="62">
        <v>0.22021293574310397</v>
      </c>
      <c r="J507" s="62">
        <v>-2.817295924528207E-2</v>
      </c>
    </row>
    <row r="508" spans="1:10" ht="11.25" customHeight="1" x14ac:dyDescent="0.2">
      <c r="A508" s="69" t="s">
        <v>25</v>
      </c>
      <c r="B508" s="61">
        <v>1660258.4114999999</v>
      </c>
      <c r="C508" s="61">
        <v>1855551.8639178704</v>
      </c>
      <c r="D508" s="61">
        <v>6123660.1529012006</v>
      </c>
      <c r="E508" s="61">
        <v>4350157.0848943321</v>
      </c>
      <c r="F508" s="61">
        <v>5470977.3079871014</v>
      </c>
      <c r="G508" s="61">
        <v>6675757.2823628429</v>
      </c>
      <c r="H508" s="62">
        <v>-0.20275258567153376</v>
      </c>
      <c r="I508" s="62">
        <v>0.22021293574310397</v>
      </c>
      <c r="J508" s="62">
        <v>-2.817295924528207E-2</v>
      </c>
    </row>
    <row r="509" spans="1:10" ht="11.25" customHeight="1" x14ac:dyDescent="0.2">
      <c r="A509" s="70" t="s">
        <v>38</v>
      </c>
      <c r="B509" s="61">
        <v>0</v>
      </c>
      <c r="C509" s="61">
        <v>0</v>
      </c>
      <c r="D509" s="61">
        <v>3009087.8808263</v>
      </c>
      <c r="E509" s="61">
        <v>1090048.809264458</v>
      </c>
      <c r="F509" s="61">
        <v>4625947.2380303005</v>
      </c>
      <c r="G509" s="61">
        <v>5689522.9483618354</v>
      </c>
      <c r="H509" s="62">
        <v>-0.63774776529121191</v>
      </c>
      <c r="I509" s="62">
        <v>0.22991522721828472</v>
      </c>
      <c r="J509" s="62">
        <v>-0.11204445662830431</v>
      </c>
    </row>
    <row r="510" spans="1:10" ht="11.25" customHeight="1" x14ac:dyDescent="0.2">
      <c r="A510" s="71">
        <v>44136</v>
      </c>
      <c r="B510" s="61">
        <v>0</v>
      </c>
      <c r="C510" s="61">
        <v>0</v>
      </c>
      <c r="D510" s="61">
        <v>249236.1637493</v>
      </c>
      <c r="E510" s="61">
        <v>90286.357288429324</v>
      </c>
      <c r="F510" s="61">
        <v>383157.08579330007</v>
      </c>
      <c r="G510" s="61">
        <v>471250.7342337626</v>
      </c>
      <c r="H510" s="62">
        <v>-0.63774776529121202</v>
      </c>
      <c r="I510" s="62">
        <v>0.22991522721828517</v>
      </c>
      <c r="J510" s="62">
        <v>-0.11204445662830409</v>
      </c>
    </row>
    <row r="511" spans="1:10" ht="11.25" customHeight="1" x14ac:dyDescent="0.2">
      <c r="A511" s="71">
        <v>44166</v>
      </c>
      <c r="B511" s="61">
        <v>0</v>
      </c>
      <c r="C511" s="61">
        <v>0</v>
      </c>
      <c r="D511" s="61">
        <v>257265.44122370001</v>
      </c>
      <c r="E511" s="61">
        <v>93194.980996627652</v>
      </c>
      <c r="F511" s="61">
        <v>395500.69801970001</v>
      </c>
      <c r="G511" s="61">
        <v>486432.3308698897</v>
      </c>
      <c r="H511" s="62">
        <v>-0.63774776529121213</v>
      </c>
      <c r="I511" s="62">
        <v>0.22991522721828517</v>
      </c>
      <c r="J511" s="62">
        <v>-0.11204445662830398</v>
      </c>
    </row>
    <row r="512" spans="1:10" ht="11.25" customHeight="1" x14ac:dyDescent="0.2">
      <c r="A512" s="71">
        <v>44197</v>
      </c>
      <c r="B512" s="61">
        <v>0</v>
      </c>
      <c r="C512" s="61">
        <v>0</v>
      </c>
      <c r="D512" s="61">
        <v>256486.58714769999</v>
      </c>
      <c r="E512" s="61">
        <v>92912.839367084598</v>
      </c>
      <c r="F512" s="61">
        <v>394303.34586370003</v>
      </c>
      <c r="G512" s="61">
        <v>484959.68922088266</v>
      </c>
      <c r="H512" s="62">
        <v>-0.63774776529121202</v>
      </c>
      <c r="I512" s="62">
        <v>0.22991522721828517</v>
      </c>
      <c r="J512" s="62">
        <v>-0.1120444566283042</v>
      </c>
    </row>
    <row r="513" spans="1:10" ht="11.25" customHeight="1" x14ac:dyDescent="0.2">
      <c r="A513" s="71">
        <v>44228</v>
      </c>
      <c r="B513" s="61">
        <v>0</v>
      </c>
      <c r="C513" s="61">
        <v>0</v>
      </c>
      <c r="D513" s="61">
        <v>228453.5592703</v>
      </c>
      <c r="E513" s="61">
        <v>82757.812372842702</v>
      </c>
      <c r="F513" s="61">
        <v>351207.45999430004</v>
      </c>
      <c r="G513" s="61">
        <v>431955.40295964631</v>
      </c>
      <c r="H513" s="62">
        <v>-0.63774776529121213</v>
      </c>
      <c r="I513" s="62">
        <v>0.22991522721828517</v>
      </c>
      <c r="J513" s="62">
        <v>-0.11204445662830409</v>
      </c>
    </row>
    <row r="514" spans="1:10" ht="11.25" customHeight="1" x14ac:dyDescent="0.2">
      <c r="A514" s="71">
        <v>44256</v>
      </c>
      <c r="B514" s="61">
        <v>0</v>
      </c>
      <c r="C514" s="61">
        <v>0</v>
      </c>
      <c r="D514" s="61">
        <v>250107.33654270001</v>
      </c>
      <c r="E514" s="61">
        <v>90601.941579655977</v>
      </c>
      <c r="F514" s="61">
        <v>384496.36185870005</v>
      </c>
      <c r="G514" s="61">
        <v>472897.93026004708</v>
      </c>
      <c r="H514" s="62">
        <v>-0.63774776529121202</v>
      </c>
      <c r="I514" s="62">
        <v>0.22991522721828517</v>
      </c>
      <c r="J514" s="62">
        <v>-0.11204445662830409</v>
      </c>
    </row>
    <row r="515" spans="1:10" ht="11.25" customHeight="1" x14ac:dyDescent="0.2">
      <c r="A515" s="71">
        <v>44287</v>
      </c>
      <c r="B515" s="61">
        <v>0</v>
      </c>
      <c r="C515" s="61">
        <v>0</v>
      </c>
      <c r="D515" s="61">
        <v>236424.01419910003</v>
      </c>
      <c r="E515" s="61">
        <v>85645.127482446173</v>
      </c>
      <c r="F515" s="61">
        <v>363460.6428271</v>
      </c>
      <c r="G515" s="61">
        <v>447025.77910759673</v>
      </c>
      <c r="H515" s="62">
        <v>-0.63774776529121213</v>
      </c>
      <c r="I515" s="62">
        <v>0.22991522721828517</v>
      </c>
      <c r="J515" s="62">
        <v>-0.1120444566283042</v>
      </c>
    </row>
    <row r="516" spans="1:10" ht="11.25" customHeight="1" x14ac:dyDescent="0.2">
      <c r="A516" s="71">
        <v>44317</v>
      </c>
      <c r="B516" s="61">
        <v>0</v>
      </c>
      <c r="C516" s="61">
        <v>0</v>
      </c>
      <c r="D516" s="61">
        <v>276413.13295959996</v>
      </c>
      <c r="E516" s="61">
        <v>100131.27511747243</v>
      </c>
      <c r="F516" s="61">
        <v>424936.93092760001</v>
      </c>
      <c r="G516" s="61">
        <v>522636.40195525996</v>
      </c>
      <c r="H516" s="62">
        <v>-0.63774776529121202</v>
      </c>
      <c r="I516" s="62">
        <v>0.22991522721828517</v>
      </c>
      <c r="J516" s="62">
        <v>-0.11204445662830398</v>
      </c>
    </row>
    <row r="517" spans="1:10" ht="11.25" customHeight="1" x14ac:dyDescent="0.2">
      <c r="A517" s="71">
        <v>44348</v>
      </c>
      <c r="B517" s="61">
        <v>0</v>
      </c>
      <c r="C517" s="61">
        <v>0</v>
      </c>
      <c r="D517" s="61">
        <v>251307.07137899997</v>
      </c>
      <c r="E517" s="61">
        <v>91036.548205163621</v>
      </c>
      <c r="F517" s="61">
        <v>386340.74469900003</v>
      </c>
      <c r="G517" s="61">
        <v>475166.36480015214</v>
      </c>
      <c r="H517" s="62">
        <v>-0.63774776529121202</v>
      </c>
      <c r="I517" s="62">
        <v>0.22991522721828517</v>
      </c>
      <c r="J517" s="62">
        <v>-0.11204445662830409</v>
      </c>
    </row>
    <row r="518" spans="1:10" ht="11.25" customHeight="1" x14ac:dyDescent="0.2">
      <c r="A518" s="71">
        <v>44378</v>
      </c>
      <c r="B518" s="61">
        <v>0</v>
      </c>
      <c r="C518" s="61">
        <v>0</v>
      </c>
      <c r="D518" s="61">
        <v>268625.40917940001</v>
      </c>
      <c r="E518" s="61">
        <v>97310.15477480019</v>
      </c>
      <c r="F518" s="61">
        <v>412964.6653314</v>
      </c>
      <c r="G518" s="61">
        <v>507911.53019419196</v>
      </c>
      <c r="H518" s="62">
        <v>-0.63774776529121213</v>
      </c>
      <c r="I518" s="62">
        <v>0.22991522721828517</v>
      </c>
      <c r="J518" s="62">
        <v>-0.11204445662830398</v>
      </c>
    </row>
    <row r="519" spans="1:10" ht="11.25" customHeight="1" x14ac:dyDescent="0.2">
      <c r="A519" s="71">
        <v>44409</v>
      </c>
      <c r="B519" s="61">
        <v>0</v>
      </c>
      <c r="C519" s="61">
        <v>0</v>
      </c>
      <c r="D519" s="61">
        <v>271419.88858529995</v>
      </c>
      <c r="E519" s="61">
        <v>98322.46118443516</v>
      </c>
      <c r="F519" s="61">
        <v>417260.68950929993</v>
      </c>
      <c r="G519" s="61">
        <v>513195.27574708906</v>
      </c>
      <c r="H519" s="62">
        <v>-0.63774776529121202</v>
      </c>
      <c r="I519" s="62">
        <v>0.22991522721828539</v>
      </c>
      <c r="J519" s="62">
        <v>-0.11204445662830387</v>
      </c>
    </row>
    <row r="520" spans="1:10" ht="11.25" customHeight="1" x14ac:dyDescent="0.2">
      <c r="A520" s="71">
        <v>44440</v>
      </c>
      <c r="B520" s="61">
        <v>0</v>
      </c>
      <c r="C520" s="61">
        <v>0</v>
      </c>
      <c r="D520" s="61">
        <v>231674.63829510001</v>
      </c>
      <c r="E520" s="61">
        <v>83924.655447750105</v>
      </c>
      <c r="F520" s="61">
        <v>356159.30660310003</v>
      </c>
      <c r="G520" s="61">
        <v>438045.75450665865</v>
      </c>
      <c r="H520" s="62">
        <v>-0.63774776529121213</v>
      </c>
      <c r="I520" s="62">
        <v>0.22991522721828517</v>
      </c>
      <c r="J520" s="62">
        <v>-0.11204445662830398</v>
      </c>
    </row>
    <row r="521" spans="1:10" ht="11.25" customHeight="1" x14ac:dyDescent="0.2">
      <c r="A521" s="71">
        <v>44470</v>
      </c>
      <c r="B521" s="61">
        <v>0</v>
      </c>
      <c r="C521" s="61">
        <v>0</v>
      </c>
      <c r="D521" s="61">
        <v>231674.63829510001</v>
      </c>
      <c r="E521" s="61">
        <v>83924.655447750105</v>
      </c>
      <c r="F521" s="61">
        <v>356159.30660310003</v>
      </c>
      <c r="G521" s="61">
        <v>438045.75450665865</v>
      </c>
      <c r="H521" s="62">
        <v>-0.63774776529121213</v>
      </c>
      <c r="I521" s="62">
        <v>0.22991522721828517</v>
      </c>
      <c r="J521" s="62">
        <v>-0.11204445662830398</v>
      </c>
    </row>
    <row r="522" spans="1:10" ht="11.25" customHeight="1" x14ac:dyDescent="0.2">
      <c r="A522" s="70" t="s">
        <v>25</v>
      </c>
      <c r="B522" s="61">
        <v>1660258.4114999999</v>
      </c>
      <c r="C522" s="61">
        <v>1855551.8639178704</v>
      </c>
      <c r="D522" s="61">
        <v>0</v>
      </c>
      <c r="E522" s="61">
        <v>0</v>
      </c>
      <c r="F522" s="61">
        <v>0</v>
      </c>
      <c r="G522" s="61">
        <v>0</v>
      </c>
      <c r="H522" s="62">
        <v>0.1176283469278907</v>
      </c>
      <c r="I522" s="62">
        <v>0</v>
      </c>
      <c r="J522" s="62">
        <v>0.1176283469278907</v>
      </c>
    </row>
    <row r="523" spans="1:10" ht="11.25" customHeight="1" x14ac:dyDescent="0.2">
      <c r="A523" s="71">
        <v>44136</v>
      </c>
      <c r="B523" s="61">
        <v>131379.14500000002</v>
      </c>
      <c r="C523" s="61">
        <v>146833.05664714967</v>
      </c>
      <c r="D523" s="61">
        <v>0</v>
      </c>
      <c r="E523" s="61">
        <v>0</v>
      </c>
      <c r="F523" s="61">
        <v>0</v>
      </c>
      <c r="G523" s="61">
        <v>0</v>
      </c>
      <c r="H523" s="62">
        <v>0.1176283469278907</v>
      </c>
      <c r="I523" s="62">
        <v>0</v>
      </c>
      <c r="J523" s="62">
        <v>0.1176283469278907</v>
      </c>
    </row>
    <row r="524" spans="1:10" ht="11.25" customHeight="1" x14ac:dyDescent="0.2">
      <c r="A524" s="71">
        <v>44166</v>
      </c>
      <c r="B524" s="61">
        <v>130140.6355</v>
      </c>
      <c r="C524" s="61">
        <v>145448.86332201018</v>
      </c>
      <c r="D524" s="61">
        <v>0</v>
      </c>
      <c r="E524" s="61">
        <v>0</v>
      </c>
      <c r="F524" s="61">
        <v>0</v>
      </c>
      <c r="G524" s="61">
        <v>0</v>
      </c>
      <c r="H524" s="62">
        <v>0.1176283469278907</v>
      </c>
      <c r="I524" s="62">
        <v>0</v>
      </c>
      <c r="J524" s="62">
        <v>0.1176283469278907</v>
      </c>
    </row>
    <row r="525" spans="1:10" ht="11.25" customHeight="1" x14ac:dyDescent="0.2">
      <c r="A525" s="71">
        <v>44197</v>
      </c>
      <c r="B525" s="61">
        <v>133151.9135</v>
      </c>
      <c r="C525" s="61">
        <v>148814.3529752905</v>
      </c>
      <c r="D525" s="61">
        <v>0</v>
      </c>
      <c r="E525" s="61">
        <v>0</v>
      </c>
      <c r="F525" s="61">
        <v>0</v>
      </c>
      <c r="G525" s="61">
        <v>0</v>
      </c>
      <c r="H525" s="62">
        <v>0.1176283469278907</v>
      </c>
      <c r="I525" s="62">
        <v>0</v>
      </c>
      <c r="J525" s="62">
        <v>0.1176283469278907</v>
      </c>
    </row>
    <row r="526" spans="1:10" ht="11.25" customHeight="1" x14ac:dyDescent="0.2">
      <c r="A526" s="71">
        <v>44228</v>
      </c>
      <c r="B526" s="61">
        <v>131646.2745</v>
      </c>
      <c r="C526" s="61">
        <v>147131.60814865032</v>
      </c>
      <c r="D526" s="61">
        <v>0</v>
      </c>
      <c r="E526" s="61">
        <v>0</v>
      </c>
      <c r="F526" s="61">
        <v>0</v>
      </c>
      <c r="G526" s="61">
        <v>0</v>
      </c>
      <c r="H526" s="62">
        <v>0.1176283469278907</v>
      </c>
      <c r="I526" s="62">
        <v>0</v>
      </c>
      <c r="J526" s="62">
        <v>0.1176283469278907</v>
      </c>
    </row>
    <row r="527" spans="1:10" ht="11.25" customHeight="1" x14ac:dyDescent="0.2">
      <c r="A527" s="71">
        <v>44256</v>
      </c>
      <c r="B527" s="61">
        <v>135386.08749999999</v>
      </c>
      <c r="C527" s="61">
        <v>151311.32916965976</v>
      </c>
      <c r="D527" s="61">
        <v>0</v>
      </c>
      <c r="E527" s="61">
        <v>0</v>
      </c>
      <c r="F527" s="61">
        <v>0</v>
      </c>
      <c r="G527" s="61">
        <v>0</v>
      </c>
      <c r="H527" s="62">
        <v>0.1176283469278907</v>
      </c>
      <c r="I527" s="62">
        <v>0</v>
      </c>
      <c r="J527" s="62">
        <v>0.1176283469278907</v>
      </c>
    </row>
    <row r="528" spans="1:10" ht="11.25" customHeight="1" x14ac:dyDescent="0.2">
      <c r="A528" s="71">
        <v>44287</v>
      </c>
      <c r="B528" s="61">
        <v>131209.15350000001</v>
      </c>
      <c r="C528" s="61">
        <v>146643.06932801288</v>
      </c>
      <c r="D528" s="61">
        <v>0</v>
      </c>
      <c r="E528" s="61">
        <v>0</v>
      </c>
      <c r="F528" s="61">
        <v>0</v>
      </c>
      <c r="G528" s="61">
        <v>0</v>
      </c>
      <c r="H528" s="62">
        <v>0.1176283469278907</v>
      </c>
      <c r="I528" s="62">
        <v>0</v>
      </c>
      <c r="J528" s="62">
        <v>0.1176283469278907</v>
      </c>
    </row>
    <row r="529" spans="1:10" ht="11.25" customHeight="1" x14ac:dyDescent="0.2">
      <c r="A529" s="71">
        <v>44317</v>
      </c>
      <c r="B529" s="61">
        <v>177811.10900000003</v>
      </c>
      <c r="C529" s="61">
        <v>198726.73581708499</v>
      </c>
      <c r="D529" s="61">
        <v>0</v>
      </c>
      <c r="E529" s="61">
        <v>0</v>
      </c>
      <c r="F529" s="61">
        <v>0</v>
      </c>
      <c r="G529" s="61">
        <v>0</v>
      </c>
      <c r="H529" s="62">
        <v>0.11762834692789048</v>
      </c>
      <c r="I529" s="62">
        <v>0</v>
      </c>
      <c r="J529" s="62">
        <v>0.11762834692789048</v>
      </c>
    </row>
    <row r="530" spans="1:10" ht="11.25" customHeight="1" x14ac:dyDescent="0.2">
      <c r="A530" s="71">
        <v>44348</v>
      </c>
      <c r="B530" s="61">
        <v>142938.56699999998</v>
      </c>
      <c r="C530" s="61">
        <v>159752.19434845157</v>
      </c>
      <c r="D530" s="61">
        <v>0</v>
      </c>
      <c r="E530" s="61">
        <v>0</v>
      </c>
      <c r="F530" s="61">
        <v>0</v>
      </c>
      <c r="G530" s="61">
        <v>0</v>
      </c>
      <c r="H530" s="62">
        <v>0.11762834692789093</v>
      </c>
      <c r="I530" s="62">
        <v>0</v>
      </c>
      <c r="J530" s="62">
        <v>0.11762834692789093</v>
      </c>
    </row>
    <row r="531" spans="1:10" ht="11.25" customHeight="1" x14ac:dyDescent="0.2">
      <c r="A531" s="71">
        <v>44378</v>
      </c>
      <c r="B531" s="61">
        <v>138931.62450000001</v>
      </c>
      <c r="C531" s="61">
        <v>155273.92182594145</v>
      </c>
      <c r="D531" s="61">
        <v>0</v>
      </c>
      <c r="E531" s="61">
        <v>0</v>
      </c>
      <c r="F531" s="61">
        <v>0</v>
      </c>
      <c r="G531" s="61">
        <v>0</v>
      </c>
      <c r="H531" s="62">
        <v>0.1176283469278907</v>
      </c>
      <c r="I531" s="62">
        <v>0</v>
      </c>
      <c r="J531" s="62">
        <v>0.1176283469278907</v>
      </c>
    </row>
    <row r="532" spans="1:10" ht="11.25" customHeight="1" x14ac:dyDescent="0.2">
      <c r="A532" s="71">
        <v>44409</v>
      </c>
      <c r="B532" s="61">
        <v>142720.00649999999</v>
      </c>
      <c r="C532" s="61">
        <v>159507.92493813281</v>
      </c>
      <c r="D532" s="61">
        <v>0</v>
      </c>
      <c r="E532" s="61">
        <v>0</v>
      </c>
      <c r="F532" s="61">
        <v>0</v>
      </c>
      <c r="G532" s="61">
        <v>0</v>
      </c>
      <c r="H532" s="62">
        <v>0.1176283469278907</v>
      </c>
      <c r="I532" s="62">
        <v>0</v>
      </c>
      <c r="J532" s="62">
        <v>0.1176283469278907</v>
      </c>
    </row>
    <row r="533" spans="1:10" ht="11.25" customHeight="1" x14ac:dyDescent="0.2">
      <c r="A533" s="71">
        <v>44440</v>
      </c>
      <c r="B533" s="61">
        <v>132471.94750000001</v>
      </c>
      <c r="C533" s="61">
        <v>148054.40369874332</v>
      </c>
      <c r="D533" s="61">
        <v>0</v>
      </c>
      <c r="E533" s="61">
        <v>0</v>
      </c>
      <c r="F533" s="61">
        <v>0</v>
      </c>
      <c r="G533" s="61">
        <v>0</v>
      </c>
      <c r="H533" s="62">
        <v>0.1176283469278907</v>
      </c>
      <c r="I533" s="62">
        <v>0</v>
      </c>
      <c r="J533" s="62">
        <v>0.1176283469278907</v>
      </c>
    </row>
    <row r="534" spans="1:10" ht="11.25" customHeight="1" x14ac:dyDescent="0.2">
      <c r="A534" s="71">
        <v>44470</v>
      </c>
      <c r="B534" s="61">
        <v>132471.94750000001</v>
      </c>
      <c r="C534" s="61">
        <v>148054.40369874332</v>
      </c>
      <c r="D534" s="61">
        <v>0</v>
      </c>
      <c r="E534" s="61">
        <v>0</v>
      </c>
      <c r="F534" s="61">
        <v>0</v>
      </c>
      <c r="G534" s="61">
        <v>0</v>
      </c>
      <c r="H534" s="62">
        <v>0.1176283469278907</v>
      </c>
      <c r="I534" s="62">
        <v>0</v>
      </c>
      <c r="J534" s="62">
        <v>0.1176283469278907</v>
      </c>
    </row>
    <row r="535" spans="1:10" ht="11.25" customHeight="1" x14ac:dyDescent="0.2">
      <c r="A535" s="70" t="s">
        <v>37</v>
      </c>
      <c r="B535" s="61">
        <v>0</v>
      </c>
      <c r="C535" s="61">
        <v>0</v>
      </c>
      <c r="D535" s="61">
        <v>3114572.2720748996</v>
      </c>
      <c r="E535" s="61">
        <v>3260108.2756298757</v>
      </c>
      <c r="F535" s="61">
        <v>845030.06995679997</v>
      </c>
      <c r="G535" s="61">
        <v>986234.3340010083</v>
      </c>
      <c r="H535" s="62">
        <v>4.672744468312473E-2</v>
      </c>
      <c r="I535" s="62">
        <v>0.16709969155467697</v>
      </c>
      <c r="J535" s="62">
        <v>7.2416430446915481E-2</v>
      </c>
    </row>
    <row r="536" spans="1:10" ht="11.25" customHeight="1" x14ac:dyDescent="0.2">
      <c r="A536" s="71">
        <v>44136</v>
      </c>
      <c r="B536" s="61">
        <v>0</v>
      </c>
      <c r="C536" s="61">
        <v>0</v>
      </c>
      <c r="D536" s="61">
        <v>267003.32807329996</v>
      </c>
      <c r="E536" s="61">
        <v>279479.71131605544</v>
      </c>
      <c r="F536" s="61">
        <v>72441.998865599991</v>
      </c>
      <c r="G536" s="61">
        <v>84547.034531646001</v>
      </c>
      <c r="H536" s="62">
        <v>4.6727444683125396E-2</v>
      </c>
      <c r="I536" s="62">
        <v>0.16709969155467697</v>
      </c>
      <c r="J536" s="62">
        <v>7.2416430446915925E-2</v>
      </c>
    </row>
    <row r="537" spans="1:10" ht="11.25" customHeight="1" x14ac:dyDescent="0.2">
      <c r="A537" s="71">
        <v>44166</v>
      </c>
      <c r="B537" s="61">
        <v>0</v>
      </c>
      <c r="C537" s="61">
        <v>0</v>
      </c>
      <c r="D537" s="61">
        <v>287256.70893010002</v>
      </c>
      <c r="E537" s="61">
        <v>300679.48090648785</v>
      </c>
      <c r="F537" s="61">
        <v>77937.044203199999</v>
      </c>
      <c r="G537" s="61">
        <v>90960.300250237924</v>
      </c>
      <c r="H537" s="62">
        <v>4.6727444683125174E-2</v>
      </c>
      <c r="I537" s="62">
        <v>0.16709969155467674</v>
      </c>
      <c r="J537" s="62">
        <v>7.2416430446915925E-2</v>
      </c>
    </row>
    <row r="538" spans="1:10" ht="11.25" customHeight="1" x14ac:dyDescent="0.2">
      <c r="A538" s="71">
        <v>44197</v>
      </c>
      <c r="B538" s="61">
        <v>0</v>
      </c>
      <c r="C538" s="61">
        <v>0</v>
      </c>
      <c r="D538" s="61">
        <v>274384.21783500002</v>
      </c>
      <c r="E538" s="61">
        <v>287205.49119580752</v>
      </c>
      <c r="F538" s="61">
        <v>74444.544720000005</v>
      </c>
      <c r="G538" s="61">
        <v>86884.205180640362</v>
      </c>
      <c r="H538" s="62">
        <v>4.6727444683125174E-2</v>
      </c>
      <c r="I538" s="62">
        <v>0.16709969155467697</v>
      </c>
      <c r="J538" s="62">
        <v>7.2416430446915925E-2</v>
      </c>
    </row>
    <row r="539" spans="1:10" ht="11.25" customHeight="1" x14ac:dyDescent="0.2">
      <c r="A539" s="71">
        <v>44228</v>
      </c>
      <c r="B539" s="61">
        <v>0</v>
      </c>
      <c r="C539" s="61">
        <v>0</v>
      </c>
      <c r="D539" s="61">
        <v>251388.95328819999</v>
      </c>
      <c r="E539" s="61">
        <v>263135.71669692313</v>
      </c>
      <c r="F539" s="61">
        <v>68205.585302399995</v>
      </c>
      <c r="G539" s="61">
        <v>79602.717568737251</v>
      </c>
      <c r="H539" s="62">
        <v>4.6727444683125396E-2</v>
      </c>
      <c r="I539" s="62">
        <v>0.16709969155467719</v>
      </c>
      <c r="J539" s="62">
        <v>7.2416430446915925E-2</v>
      </c>
    </row>
    <row r="540" spans="1:10" ht="11.25" customHeight="1" x14ac:dyDescent="0.2">
      <c r="A540" s="71">
        <v>44256</v>
      </c>
      <c r="B540" s="61">
        <v>0</v>
      </c>
      <c r="C540" s="61">
        <v>0</v>
      </c>
      <c r="D540" s="61">
        <v>283581.27912660001</v>
      </c>
      <c r="E540" s="61">
        <v>296832.30766015803</v>
      </c>
      <c r="F540" s="61">
        <v>76939.845091199997</v>
      </c>
      <c r="G540" s="61">
        <v>89796.469474204132</v>
      </c>
      <c r="H540" s="62">
        <v>4.6727444683124952E-2</v>
      </c>
      <c r="I540" s="62">
        <v>0.16709969155467674</v>
      </c>
      <c r="J540" s="62">
        <v>7.2416430446915703E-2</v>
      </c>
    </row>
    <row r="541" spans="1:10" ht="11.25" customHeight="1" x14ac:dyDescent="0.2">
      <c r="A541" s="71">
        <v>44287</v>
      </c>
      <c r="B541" s="61">
        <v>0</v>
      </c>
      <c r="C541" s="61">
        <v>0</v>
      </c>
      <c r="D541" s="61">
        <v>254907.70402370003</v>
      </c>
      <c r="E541" s="61">
        <v>266818.88966276986</v>
      </c>
      <c r="F541" s="61">
        <v>69160.275038399996</v>
      </c>
      <c r="G541" s="61">
        <v>80716.935665153258</v>
      </c>
      <c r="H541" s="62">
        <v>4.6727444683124952E-2</v>
      </c>
      <c r="I541" s="62">
        <v>0.16709969155467697</v>
      </c>
      <c r="J541" s="62">
        <v>7.2416430446915481E-2</v>
      </c>
    </row>
    <row r="542" spans="1:10" ht="11.25" customHeight="1" x14ac:dyDescent="0.2">
      <c r="A542" s="71">
        <v>44317</v>
      </c>
      <c r="B542" s="61">
        <v>0</v>
      </c>
      <c r="C542" s="61">
        <v>0</v>
      </c>
      <c r="D542" s="61">
        <v>296116.9102255</v>
      </c>
      <c r="E542" s="61">
        <v>309953.69676780002</v>
      </c>
      <c r="F542" s="61">
        <v>80340.949415999989</v>
      </c>
      <c r="G542" s="61">
        <v>93765.897282623511</v>
      </c>
      <c r="H542" s="62">
        <v>4.6727444683125174E-2</v>
      </c>
      <c r="I542" s="62">
        <v>0.16709969155467719</v>
      </c>
      <c r="J542" s="62">
        <v>7.2416430446915925E-2</v>
      </c>
    </row>
    <row r="543" spans="1:10" ht="11.25" customHeight="1" x14ac:dyDescent="0.2">
      <c r="A543" s="71">
        <v>44348</v>
      </c>
      <c r="B543" s="61">
        <v>0</v>
      </c>
      <c r="C543" s="61">
        <v>0</v>
      </c>
      <c r="D543" s="61">
        <v>281406.05139919999</v>
      </c>
      <c r="E543" s="61">
        <v>294555.43709945283</v>
      </c>
      <c r="F543" s="61">
        <v>76349.673254399997</v>
      </c>
      <c r="G543" s="61">
        <v>89107.680105510604</v>
      </c>
      <c r="H543" s="62">
        <v>4.6727444683125396E-2</v>
      </c>
      <c r="I543" s="62">
        <v>0.16709969155467697</v>
      </c>
      <c r="J543" s="62">
        <v>7.2416430446915925E-2</v>
      </c>
    </row>
    <row r="544" spans="1:10" ht="11.25" customHeight="1" x14ac:dyDescent="0.2">
      <c r="A544" s="71">
        <v>44378</v>
      </c>
      <c r="B544" s="61">
        <v>0</v>
      </c>
      <c r="C544" s="61">
        <v>0</v>
      </c>
      <c r="D544" s="61">
        <v>252488.31808200001</v>
      </c>
      <c r="E544" s="61">
        <v>264286.45199831191</v>
      </c>
      <c r="F544" s="61">
        <v>68503.859423999995</v>
      </c>
      <c r="G544" s="61">
        <v>79950.833204055336</v>
      </c>
      <c r="H544" s="62">
        <v>4.6727444683124952E-2</v>
      </c>
      <c r="I544" s="62">
        <v>0.16709969155467674</v>
      </c>
      <c r="J544" s="62">
        <v>7.2416430446915481E-2</v>
      </c>
    </row>
    <row r="545" spans="1:10" ht="11.25" customHeight="1" x14ac:dyDescent="0.2">
      <c r="A545" s="71">
        <v>44409</v>
      </c>
      <c r="B545" s="61">
        <v>0</v>
      </c>
      <c r="C545" s="61">
        <v>0</v>
      </c>
      <c r="D545" s="61">
        <v>248178.33805309999</v>
      </c>
      <c r="E545" s="61">
        <v>259775.07761602613</v>
      </c>
      <c r="F545" s="61">
        <v>67334.497339199996</v>
      </c>
      <c r="G545" s="61">
        <v>78586.071075569533</v>
      </c>
      <c r="H545" s="62">
        <v>4.6727444683125174E-2</v>
      </c>
      <c r="I545" s="62">
        <v>0.16709969155467697</v>
      </c>
      <c r="J545" s="62">
        <v>7.2416430446915703E-2</v>
      </c>
    </row>
    <row r="546" spans="1:10" ht="11.25" customHeight="1" x14ac:dyDescent="0.2">
      <c r="A546" s="71">
        <v>44440</v>
      </c>
      <c r="B546" s="61">
        <v>0</v>
      </c>
      <c r="C546" s="61">
        <v>0</v>
      </c>
      <c r="D546" s="61">
        <v>208930.23151909997</v>
      </c>
      <c r="E546" s="61">
        <v>218693.00735504128</v>
      </c>
      <c r="F546" s="61">
        <v>56685.898651199997</v>
      </c>
      <c r="G546" s="61">
        <v>66158.094831315189</v>
      </c>
      <c r="H546" s="62">
        <v>4.6727444683125396E-2</v>
      </c>
      <c r="I546" s="62">
        <v>0.16709969155467674</v>
      </c>
      <c r="J546" s="62">
        <v>7.2416430446915925E-2</v>
      </c>
    </row>
    <row r="547" spans="1:10" ht="11.25" customHeight="1" x14ac:dyDescent="0.2">
      <c r="A547" s="71">
        <v>44470</v>
      </c>
      <c r="B547" s="61">
        <v>0</v>
      </c>
      <c r="C547" s="61">
        <v>0</v>
      </c>
      <c r="D547" s="61">
        <v>208930.23151909997</v>
      </c>
      <c r="E547" s="61">
        <v>218693.00735504128</v>
      </c>
      <c r="F547" s="61">
        <v>56685.898651199997</v>
      </c>
      <c r="G547" s="61">
        <v>66158.094831315189</v>
      </c>
      <c r="H547" s="62">
        <v>4.6727444683125396E-2</v>
      </c>
      <c r="I547" s="62">
        <v>0.16709969155467674</v>
      </c>
      <c r="J547" s="62">
        <v>7.2416430446915925E-2</v>
      </c>
    </row>
    <row r="548" spans="1:10" ht="11.25" customHeight="1" x14ac:dyDescent="0.2">
      <c r="A548" s="64" t="s">
        <v>22</v>
      </c>
      <c r="B548" s="61">
        <v>0</v>
      </c>
      <c r="C548" s="61">
        <v>0</v>
      </c>
      <c r="D548" s="61">
        <v>898488229.42057014</v>
      </c>
      <c r="E548" s="61">
        <v>744074006.83524561</v>
      </c>
      <c r="F548" s="61">
        <v>489866464.54680991</v>
      </c>
      <c r="G548" s="61">
        <v>598393310.49382365</v>
      </c>
      <c r="H548" s="62">
        <v>-0.17186003948533202</v>
      </c>
      <c r="I548" s="62">
        <v>0.22154373446937914</v>
      </c>
      <c r="J548" s="62">
        <v>-3.3051623506371364E-2</v>
      </c>
    </row>
    <row r="549" spans="1:10" ht="11.25" customHeight="1" x14ac:dyDescent="0.2">
      <c r="A549" s="65" t="s">
        <v>39</v>
      </c>
      <c r="B549" s="61">
        <v>0</v>
      </c>
      <c r="C549" s="61">
        <v>0</v>
      </c>
      <c r="D549" s="61">
        <v>219639.96663999994</v>
      </c>
      <c r="E549" s="61">
        <v>177111.61404145171</v>
      </c>
      <c r="F549" s="61">
        <v>128086.03435999996</v>
      </c>
      <c r="G549" s="61">
        <v>156759.27132544736</v>
      </c>
      <c r="H549" s="62">
        <v>-0.19362756810218518</v>
      </c>
      <c r="I549" s="62">
        <v>0.22385919830149414</v>
      </c>
      <c r="J549" s="62">
        <v>-3.9844922707120256E-2</v>
      </c>
    </row>
    <row r="550" spans="1:10" ht="11.25" customHeight="1" x14ac:dyDescent="0.2">
      <c r="A550" s="66" t="s">
        <v>24</v>
      </c>
      <c r="B550" s="61">
        <v>0</v>
      </c>
      <c r="C550" s="61">
        <v>0</v>
      </c>
      <c r="D550" s="61">
        <v>219639.96663999994</v>
      </c>
      <c r="E550" s="61">
        <v>177111.61404145171</v>
      </c>
      <c r="F550" s="61">
        <v>128086.03435999996</v>
      </c>
      <c r="G550" s="61">
        <v>156759.27132544736</v>
      </c>
      <c r="H550" s="62">
        <v>-0.19362756810218518</v>
      </c>
      <c r="I550" s="62">
        <v>0.22385919830149414</v>
      </c>
      <c r="J550" s="62">
        <v>-3.9844922707120256E-2</v>
      </c>
    </row>
    <row r="551" spans="1:10" ht="11.25" customHeight="1" x14ac:dyDescent="0.2">
      <c r="A551" s="67" t="s">
        <v>24</v>
      </c>
      <c r="B551" s="61">
        <v>0</v>
      </c>
      <c r="C551" s="61">
        <v>0</v>
      </c>
      <c r="D551" s="61">
        <v>219639.96663999994</v>
      </c>
      <c r="E551" s="61">
        <v>177111.61404145171</v>
      </c>
      <c r="F551" s="61">
        <v>128086.03435999996</v>
      </c>
      <c r="G551" s="61">
        <v>156759.27132544736</v>
      </c>
      <c r="H551" s="62">
        <v>-0.19362756810218518</v>
      </c>
      <c r="I551" s="62">
        <v>0.22385919830149414</v>
      </c>
      <c r="J551" s="62">
        <v>-3.9844922707120256E-2</v>
      </c>
    </row>
    <row r="552" spans="1:10" ht="11.25" customHeight="1" x14ac:dyDescent="0.2">
      <c r="A552" s="68" t="s">
        <v>25</v>
      </c>
      <c r="B552" s="61">
        <v>0</v>
      </c>
      <c r="C552" s="61">
        <v>0</v>
      </c>
      <c r="D552" s="61">
        <v>219639.96663999994</v>
      </c>
      <c r="E552" s="61">
        <v>177111.61404145171</v>
      </c>
      <c r="F552" s="61">
        <v>128086.03435999996</v>
      </c>
      <c r="G552" s="61">
        <v>156759.27132544736</v>
      </c>
      <c r="H552" s="62">
        <v>-0.19362756810218518</v>
      </c>
      <c r="I552" s="62">
        <v>0.22385919830149414</v>
      </c>
      <c r="J552" s="62">
        <v>-3.9844922707120256E-2</v>
      </c>
    </row>
    <row r="553" spans="1:10" ht="11.25" customHeight="1" x14ac:dyDescent="0.2">
      <c r="A553" s="69" t="s">
        <v>25</v>
      </c>
      <c r="B553" s="61">
        <v>0</v>
      </c>
      <c r="C553" s="61">
        <v>0</v>
      </c>
      <c r="D553" s="61">
        <v>219639.96663999994</v>
      </c>
      <c r="E553" s="61">
        <v>177111.61404145171</v>
      </c>
      <c r="F553" s="61">
        <v>128086.03435999996</v>
      </c>
      <c r="G553" s="61">
        <v>156759.27132544736</v>
      </c>
      <c r="H553" s="62">
        <v>-0.19362756810218518</v>
      </c>
      <c r="I553" s="62">
        <v>0.22385919830149414</v>
      </c>
      <c r="J553" s="62">
        <v>-3.9844922707120256E-2</v>
      </c>
    </row>
    <row r="554" spans="1:10" ht="11.25" customHeight="1" x14ac:dyDescent="0.2">
      <c r="A554" s="70" t="s">
        <v>38</v>
      </c>
      <c r="B554" s="61">
        <v>0</v>
      </c>
      <c r="C554" s="61">
        <v>0</v>
      </c>
      <c r="D554" s="61">
        <v>168391.98220000003</v>
      </c>
      <c r="E554" s="61">
        <v>127624.9228548231</v>
      </c>
      <c r="F554" s="61">
        <v>108581.0609</v>
      </c>
      <c r="G554" s="61">
        <v>133545.50018842597</v>
      </c>
      <c r="H554" s="62">
        <v>-0.24209620204338289</v>
      </c>
      <c r="I554" s="62">
        <v>0.22991522721828495</v>
      </c>
      <c r="J554" s="62">
        <v>-5.7054722293120586E-2</v>
      </c>
    </row>
    <row r="555" spans="1:10" ht="11.25" customHeight="1" x14ac:dyDescent="0.2">
      <c r="A555" s="71">
        <v>44136</v>
      </c>
      <c r="B555" s="61">
        <v>0</v>
      </c>
      <c r="C555" s="61">
        <v>0</v>
      </c>
      <c r="D555" s="61">
        <v>11623.302679999999</v>
      </c>
      <c r="E555" s="61">
        <v>8809.345245971328</v>
      </c>
      <c r="F555" s="61">
        <v>7494.8374599999997</v>
      </c>
      <c r="G555" s="61">
        <v>9218.0147175800157</v>
      </c>
      <c r="H555" s="62">
        <v>-0.24209620204338267</v>
      </c>
      <c r="I555" s="62">
        <v>0.22991522721828517</v>
      </c>
      <c r="J555" s="62">
        <v>-5.7054722293120141E-2</v>
      </c>
    </row>
    <row r="556" spans="1:10" ht="11.25" customHeight="1" x14ac:dyDescent="0.2">
      <c r="A556" s="71">
        <v>44166</v>
      </c>
      <c r="B556" s="61">
        <v>0</v>
      </c>
      <c r="C556" s="61">
        <v>0</v>
      </c>
      <c r="D556" s="61">
        <v>14066.2582</v>
      </c>
      <c r="E556" s="61">
        <v>10660.87051281841</v>
      </c>
      <c r="F556" s="61">
        <v>9070.0829000000012</v>
      </c>
      <c r="G556" s="61">
        <v>11155.433070842184</v>
      </c>
      <c r="H556" s="62">
        <v>-0.24209620204338278</v>
      </c>
      <c r="I556" s="62">
        <v>0.22991522721828517</v>
      </c>
      <c r="J556" s="62">
        <v>-5.7054722293120474E-2</v>
      </c>
    </row>
    <row r="557" spans="1:10" ht="11.25" customHeight="1" x14ac:dyDescent="0.2">
      <c r="A557" s="71">
        <v>44197</v>
      </c>
      <c r="B557" s="61">
        <v>0</v>
      </c>
      <c r="C557" s="61">
        <v>0</v>
      </c>
      <c r="D557" s="61">
        <v>12593.635480000001</v>
      </c>
      <c r="E557" s="61">
        <v>9544.7641603732063</v>
      </c>
      <c r="F557" s="61">
        <v>8120.5190600000005</v>
      </c>
      <c r="G557" s="61">
        <v>9987.5500448103176</v>
      </c>
      <c r="H557" s="62">
        <v>-0.24209620204338278</v>
      </c>
      <c r="I557" s="62">
        <v>0.22991522721828539</v>
      </c>
      <c r="J557" s="62">
        <v>-5.7054722293120363E-2</v>
      </c>
    </row>
    <row r="558" spans="1:10" ht="11.25" customHeight="1" x14ac:dyDescent="0.2">
      <c r="A558" s="71">
        <v>44228</v>
      </c>
      <c r="B558" s="61">
        <v>0</v>
      </c>
      <c r="C558" s="61">
        <v>0</v>
      </c>
      <c r="D558" s="61">
        <v>11220.899959999999</v>
      </c>
      <c r="E558" s="61">
        <v>8504.3626961752543</v>
      </c>
      <c r="F558" s="61">
        <v>7235.3636199999992</v>
      </c>
      <c r="G558" s="61">
        <v>8898.883890699215</v>
      </c>
      <c r="H558" s="62">
        <v>-0.24209620204338267</v>
      </c>
      <c r="I558" s="62">
        <v>0.22991522721828539</v>
      </c>
      <c r="J558" s="62">
        <v>-5.7054722293120252E-2</v>
      </c>
    </row>
    <row r="559" spans="1:10" ht="11.25" customHeight="1" x14ac:dyDescent="0.2">
      <c r="A559" s="71">
        <v>44256</v>
      </c>
      <c r="B559" s="61">
        <v>0</v>
      </c>
      <c r="C559" s="61">
        <v>0</v>
      </c>
      <c r="D559" s="61">
        <v>12693.879419999999</v>
      </c>
      <c r="E559" s="61">
        <v>9620.7394232213428</v>
      </c>
      <c r="F559" s="61">
        <v>8185.1574900000005</v>
      </c>
      <c r="G559" s="61">
        <v>10067.049834130799</v>
      </c>
      <c r="H559" s="62">
        <v>-0.24209620204338267</v>
      </c>
      <c r="I559" s="62">
        <v>0.22991522721828517</v>
      </c>
      <c r="J559" s="62">
        <v>-5.7054722293120252E-2</v>
      </c>
    </row>
    <row r="560" spans="1:10" ht="11.25" customHeight="1" x14ac:dyDescent="0.2">
      <c r="A560" s="71">
        <v>44287</v>
      </c>
      <c r="B560" s="61">
        <v>0</v>
      </c>
      <c r="C560" s="61">
        <v>0</v>
      </c>
      <c r="D560" s="61">
        <v>14613.14062</v>
      </c>
      <c r="E560" s="61">
        <v>11075.354775972117</v>
      </c>
      <c r="F560" s="61">
        <v>9422.7188900000001</v>
      </c>
      <c r="G560" s="61">
        <v>11589.145444608379</v>
      </c>
      <c r="H560" s="62">
        <v>-0.24209620204338278</v>
      </c>
      <c r="I560" s="62">
        <v>0.22991522721828517</v>
      </c>
      <c r="J560" s="62">
        <v>-5.7054722293120363E-2</v>
      </c>
    </row>
    <row r="561" spans="1:10" ht="11.25" customHeight="1" x14ac:dyDescent="0.2">
      <c r="A561" s="71">
        <v>44317</v>
      </c>
      <c r="B561" s="61">
        <v>0</v>
      </c>
      <c r="C561" s="61">
        <v>0</v>
      </c>
      <c r="D561" s="61">
        <v>13976.35972</v>
      </c>
      <c r="E561" s="61">
        <v>10592.736113395884</v>
      </c>
      <c r="F561" s="61">
        <v>9012.1153400000003</v>
      </c>
      <c r="G561" s="61">
        <v>11084.137886113494</v>
      </c>
      <c r="H561" s="62">
        <v>-0.24209620204338278</v>
      </c>
      <c r="I561" s="62">
        <v>0.22991522721828517</v>
      </c>
      <c r="J561" s="62">
        <v>-5.7054722293120363E-2</v>
      </c>
    </row>
    <row r="562" spans="1:10" ht="11.25" customHeight="1" x14ac:dyDescent="0.2">
      <c r="A562" s="71">
        <v>44348</v>
      </c>
      <c r="B562" s="61">
        <v>0</v>
      </c>
      <c r="C562" s="61">
        <v>0</v>
      </c>
      <c r="D562" s="61">
        <v>15720.104840000002</v>
      </c>
      <c r="E562" s="61">
        <v>11914.327162512202</v>
      </c>
      <c r="F562" s="61">
        <v>10136.501980000001</v>
      </c>
      <c r="G562" s="61">
        <v>12467.038135930297</v>
      </c>
      <c r="H562" s="62">
        <v>-0.24209620204338278</v>
      </c>
      <c r="I562" s="62">
        <v>0.22991522721828495</v>
      </c>
      <c r="J562" s="62">
        <v>-5.7054722293120363E-2</v>
      </c>
    </row>
    <row r="563" spans="1:10" ht="11.25" customHeight="1" x14ac:dyDescent="0.2">
      <c r="A563" s="71">
        <v>44378</v>
      </c>
      <c r="B563" s="61">
        <v>0</v>
      </c>
      <c r="C563" s="61">
        <v>0</v>
      </c>
      <c r="D563" s="61">
        <v>14894.965220000002</v>
      </c>
      <c r="E563" s="61">
        <v>11288.950710669722</v>
      </c>
      <c r="F563" s="61">
        <v>9604.4425899999987</v>
      </c>
      <c r="G563" s="61">
        <v>11812.650190384826</v>
      </c>
      <c r="H563" s="62">
        <v>-0.24209620204338278</v>
      </c>
      <c r="I563" s="62">
        <v>0.22991522721828539</v>
      </c>
      <c r="J563" s="62">
        <v>-5.7054722293120363E-2</v>
      </c>
    </row>
    <row r="564" spans="1:10" ht="11.25" customHeight="1" x14ac:dyDescent="0.2">
      <c r="A564" s="71">
        <v>44409</v>
      </c>
      <c r="B564" s="61">
        <v>0</v>
      </c>
      <c r="C564" s="61">
        <v>0</v>
      </c>
      <c r="D564" s="61">
        <v>15693.349340000002</v>
      </c>
      <c r="E564" s="61">
        <v>11894.049067445972</v>
      </c>
      <c r="F564" s="61">
        <v>10119.249730000001</v>
      </c>
      <c r="G564" s="61">
        <v>12445.819330951523</v>
      </c>
      <c r="H564" s="62">
        <v>-0.24209620204338289</v>
      </c>
      <c r="I564" s="62">
        <v>0.22991522721828517</v>
      </c>
      <c r="J564" s="62">
        <v>-5.7054722293120474E-2</v>
      </c>
    </row>
    <row r="565" spans="1:10" ht="11.25" customHeight="1" x14ac:dyDescent="0.2">
      <c r="A565" s="71">
        <v>44440</v>
      </c>
      <c r="B565" s="61">
        <v>0</v>
      </c>
      <c r="C565" s="61">
        <v>0</v>
      </c>
      <c r="D565" s="61">
        <v>15648.04336</v>
      </c>
      <c r="E565" s="61">
        <v>11859.711493133827</v>
      </c>
      <c r="F565" s="61">
        <v>10090.03592</v>
      </c>
      <c r="G565" s="61">
        <v>12409.888821187458</v>
      </c>
      <c r="H565" s="62">
        <v>-0.24209620204338267</v>
      </c>
      <c r="I565" s="62">
        <v>0.22991522721828517</v>
      </c>
      <c r="J565" s="62">
        <v>-5.7054722293120141E-2</v>
      </c>
    </row>
    <row r="566" spans="1:10" ht="11.25" customHeight="1" x14ac:dyDescent="0.2">
      <c r="A566" s="71">
        <v>44470</v>
      </c>
      <c r="B566" s="61">
        <v>0</v>
      </c>
      <c r="C566" s="61">
        <v>0</v>
      </c>
      <c r="D566" s="61">
        <v>15648.04336</v>
      </c>
      <c r="E566" s="61">
        <v>11859.711493133827</v>
      </c>
      <c r="F566" s="61">
        <v>10090.03592</v>
      </c>
      <c r="G566" s="61">
        <v>12409.888821187458</v>
      </c>
      <c r="H566" s="62">
        <v>-0.24209620204338267</v>
      </c>
      <c r="I566" s="62">
        <v>0.22991522721828517</v>
      </c>
      <c r="J566" s="62">
        <v>-5.7054722293120141E-2</v>
      </c>
    </row>
    <row r="567" spans="1:10" ht="11.25" customHeight="1" x14ac:dyDescent="0.2">
      <c r="A567" s="70" t="s">
        <v>40</v>
      </c>
      <c r="B567" s="61">
        <v>0</v>
      </c>
      <c r="C567" s="61">
        <v>0</v>
      </c>
      <c r="D567" s="61">
        <v>20584.864799999996</v>
      </c>
      <c r="E567" s="61">
        <v>19103.958437124933</v>
      </c>
      <c r="F567" s="61">
        <v>7156.2332999999999</v>
      </c>
      <c r="G567" s="61">
        <v>8801.5603051965591</v>
      </c>
      <c r="H567" s="62">
        <v>-7.1941515150250934E-2</v>
      </c>
      <c r="I567" s="62">
        <v>0.22991522721828539</v>
      </c>
      <c r="J567" s="62">
        <v>5.9269694995056632E-3</v>
      </c>
    </row>
    <row r="568" spans="1:10" ht="11.25" customHeight="1" x14ac:dyDescent="0.2">
      <c r="A568" s="71">
        <v>44136</v>
      </c>
      <c r="B568" s="61">
        <v>0</v>
      </c>
      <c r="C568" s="61">
        <v>0</v>
      </c>
      <c r="D568" s="61">
        <v>1545.0227999999997</v>
      </c>
      <c r="E568" s="61">
        <v>1433.8715188263168</v>
      </c>
      <c r="F568" s="61">
        <v>537.12004999999988</v>
      </c>
      <c r="G568" s="61">
        <v>660.61212833924674</v>
      </c>
      <c r="H568" s="62">
        <v>-7.1941515150250823E-2</v>
      </c>
      <c r="I568" s="62">
        <v>0.22991522721828561</v>
      </c>
      <c r="J568" s="62">
        <v>5.9269694995056632E-3</v>
      </c>
    </row>
    <row r="569" spans="1:10" ht="11.25" customHeight="1" x14ac:dyDescent="0.2">
      <c r="A569" s="71">
        <v>44166</v>
      </c>
      <c r="B569" s="61">
        <v>0</v>
      </c>
      <c r="C569" s="61">
        <v>0</v>
      </c>
      <c r="D569" s="61">
        <v>1543.0377599999997</v>
      </c>
      <c r="E569" s="61">
        <v>1432.0292856115509</v>
      </c>
      <c r="F569" s="61">
        <v>536.42995999999994</v>
      </c>
      <c r="G569" s="61">
        <v>659.7633761400956</v>
      </c>
      <c r="H569" s="62">
        <v>-7.1941515150250601E-2</v>
      </c>
      <c r="I569" s="62">
        <v>0.22991522721828517</v>
      </c>
      <c r="J569" s="62">
        <v>5.9269694995056632E-3</v>
      </c>
    </row>
    <row r="570" spans="1:10" ht="11.25" customHeight="1" x14ac:dyDescent="0.2">
      <c r="A570" s="71">
        <v>44197</v>
      </c>
      <c r="B570" s="61">
        <v>0</v>
      </c>
      <c r="C570" s="61">
        <v>0</v>
      </c>
      <c r="D570" s="61">
        <v>1524.5107199999995</v>
      </c>
      <c r="E570" s="61">
        <v>1414.8351089404</v>
      </c>
      <c r="F570" s="61">
        <v>529.98911999999996</v>
      </c>
      <c r="G570" s="61">
        <v>651.84168894801905</v>
      </c>
      <c r="H570" s="62">
        <v>-7.1941515150250712E-2</v>
      </c>
      <c r="I570" s="62">
        <v>0.22991522721828539</v>
      </c>
      <c r="J570" s="62">
        <v>5.9269694995058853E-3</v>
      </c>
    </row>
    <row r="571" spans="1:10" ht="11.25" customHeight="1" x14ac:dyDescent="0.2">
      <c r="A571" s="71">
        <v>44228</v>
      </c>
      <c r="B571" s="61">
        <v>0</v>
      </c>
      <c r="C571" s="61">
        <v>0</v>
      </c>
      <c r="D571" s="61">
        <v>1482.1631999999997</v>
      </c>
      <c r="E571" s="61">
        <v>1375.5341336920555</v>
      </c>
      <c r="F571" s="61">
        <v>515.2672</v>
      </c>
      <c r="G571" s="61">
        <v>633.73497536612967</v>
      </c>
      <c r="H571" s="62">
        <v>-7.1941515150250823E-2</v>
      </c>
      <c r="I571" s="62">
        <v>0.22991522721828539</v>
      </c>
      <c r="J571" s="62">
        <v>5.9269694995056632E-3</v>
      </c>
    </row>
    <row r="572" spans="1:10" ht="11.25" customHeight="1" x14ac:dyDescent="0.2">
      <c r="A572" s="71">
        <v>44256</v>
      </c>
      <c r="B572" s="61">
        <v>0</v>
      </c>
      <c r="C572" s="61">
        <v>0</v>
      </c>
      <c r="D572" s="61">
        <v>1586.7086400000001</v>
      </c>
      <c r="E572" s="61">
        <v>1472.558416336406</v>
      </c>
      <c r="F572" s="61">
        <v>551.61194</v>
      </c>
      <c r="G572" s="61">
        <v>678.43592452141911</v>
      </c>
      <c r="H572" s="62">
        <v>-7.1941515150250934E-2</v>
      </c>
      <c r="I572" s="62">
        <v>0.22991522721828517</v>
      </c>
      <c r="J572" s="62">
        <v>5.9269694995056632E-3</v>
      </c>
    </row>
    <row r="573" spans="1:10" ht="11.25" customHeight="1" x14ac:dyDescent="0.2">
      <c r="A573" s="71">
        <v>44287</v>
      </c>
      <c r="B573" s="61">
        <v>0</v>
      </c>
      <c r="C573" s="61">
        <v>0</v>
      </c>
      <c r="D573" s="61">
        <v>2084.9536799999996</v>
      </c>
      <c r="E573" s="61">
        <v>1934.9589532427085</v>
      </c>
      <c r="F573" s="61">
        <v>724.82452999999998</v>
      </c>
      <c r="G573" s="61">
        <v>891.47272650833668</v>
      </c>
      <c r="H573" s="62">
        <v>-7.1941515150250823E-2</v>
      </c>
      <c r="I573" s="62">
        <v>0.22991522721828517</v>
      </c>
      <c r="J573" s="62">
        <v>5.9269694995056632E-3</v>
      </c>
    </row>
    <row r="574" spans="1:10" ht="11.25" customHeight="1" x14ac:dyDescent="0.2">
      <c r="A574" s="71">
        <v>44317</v>
      </c>
      <c r="B574" s="61">
        <v>0</v>
      </c>
      <c r="C574" s="61">
        <v>0</v>
      </c>
      <c r="D574" s="61">
        <v>1548.3311999999996</v>
      </c>
      <c r="E574" s="61">
        <v>1436.9419075175938</v>
      </c>
      <c r="F574" s="61">
        <v>538.27019999999993</v>
      </c>
      <c r="G574" s="61">
        <v>662.02671533783177</v>
      </c>
      <c r="H574" s="62">
        <v>-7.1941515150250712E-2</v>
      </c>
      <c r="I574" s="62">
        <v>0.22991522721828517</v>
      </c>
      <c r="J574" s="62">
        <v>5.9269694995056632E-3</v>
      </c>
    </row>
    <row r="575" spans="1:10" ht="11.25" customHeight="1" x14ac:dyDescent="0.2">
      <c r="A575" s="71">
        <v>44348</v>
      </c>
      <c r="B575" s="61">
        <v>0</v>
      </c>
      <c r="C575" s="61">
        <v>0</v>
      </c>
      <c r="D575" s="61">
        <v>1921.51872</v>
      </c>
      <c r="E575" s="61">
        <v>1783.2817518936292</v>
      </c>
      <c r="F575" s="61">
        <v>668.00711999999999</v>
      </c>
      <c r="G575" s="61">
        <v>821.59212877823234</v>
      </c>
      <c r="H575" s="62">
        <v>-7.1941515150250934E-2</v>
      </c>
      <c r="I575" s="62">
        <v>0.22991522721828517</v>
      </c>
      <c r="J575" s="62">
        <v>5.9269694995054412E-3</v>
      </c>
    </row>
    <row r="576" spans="1:10" ht="11.25" customHeight="1" x14ac:dyDescent="0.2">
      <c r="A576" s="71">
        <v>44378</v>
      </c>
      <c r="B576" s="61">
        <v>0</v>
      </c>
      <c r="C576" s="61">
        <v>0</v>
      </c>
      <c r="D576" s="61">
        <v>1782.5659199999998</v>
      </c>
      <c r="E576" s="61">
        <v>1654.3254268599987</v>
      </c>
      <c r="F576" s="61">
        <v>619.70082000000002</v>
      </c>
      <c r="G576" s="61">
        <v>762.17947483765772</v>
      </c>
      <c r="H576" s="62">
        <v>-7.1941515150250934E-2</v>
      </c>
      <c r="I576" s="62">
        <v>0.22991522721828517</v>
      </c>
      <c r="J576" s="62">
        <v>5.9269694995054412E-3</v>
      </c>
    </row>
    <row r="577" spans="1:10" ht="11.25" customHeight="1" x14ac:dyDescent="0.2">
      <c r="A577" s="71">
        <v>44409</v>
      </c>
      <c r="B577" s="61">
        <v>0</v>
      </c>
      <c r="C577" s="61">
        <v>0</v>
      </c>
      <c r="D577" s="61">
        <v>1859.3207999999995</v>
      </c>
      <c r="E577" s="61">
        <v>1725.5584444976234</v>
      </c>
      <c r="F577" s="61">
        <v>646.38429999999994</v>
      </c>
      <c r="G577" s="61">
        <v>794.99789320483217</v>
      </c>
      <c r="H577" s="62">
        <v>-7.1941515150250601E-2</v>
      </c>
      <c r="I577" s="62">
        <v>0.22991522721828517</v>
      </c>
      <c r="J577" s="62">
        <v>5.9269694995058853E-3</v>
      </c>
    </row>
    <row r="578" spans="1:10" ht="11.25" customHeight="1" x14ac:dyDescent="0.2">
      <c r="A578" s="71">
        <v>44440</v>
      </c>
      <c r="B578" s="61">
        <v>0</v>
      </c>
      <c r="C578" s="61">
        <v>0</v>
      </c>
      <c r="D578" s="61">
        <v>1853.3656799999999</v>
      </c>
      <c r="E578" s="61">
        <v>1720.0317448533249</v>
      </c>
      <c r="F578" s="61">
        <v>644.31403</v>
      </c>
      <c r="G578" s="61">
        <v>792.45163660737899</v>
      </c>
      <c r="H578" s="62">
        <v>-7.1941515150250823E-2</v>
      </c>
      <c r="I578" s="62">
        <v>0.22991522721828517</v>
      </c>
      <c r="J578" s="62">
        <v>5.9269694995054412E-3</v>
      </c>
    </row>
    <row r="579" spans="1:10" ht="11.25" customHeight="1" x14ac:dyDescent="0.2">
      <c r="A579" s="71">
        <v>44470</v>
      </c>
      <c r="B579" s="61">
        <v>0</v>
      </c>
      <c r="C579" s="61">
        <v>0</v>
      </c>
      <c r="D579" s="61">
        <v>1853.3656799999999</v>
      </c>
      <c r="E579" s="61">
        <v>1720.0317448533249</v>
      </c>
      <c r="F579" s="61">
        <v>644.31403</v>
      </c>
      <c r="G579" s="61">
        <v>792.45163660737899</v>
      </c>
      <c r="H579" s="62">
        <v>-7.1941515150250823E-2</v>
      </c>
      <c r="I579" s="62">
        <v>0.22991522721828517</v>
      </c>
      <c r="J579" s="62">
        <v>5.9269694995054412E-3</v>
      </c>
    </row>
    <row r="580" spans="1:10" ht="11.25" customHeight="1" x14ac:dyDescent="0.2">
      <c r="A580" s="70" t="s">
        <v>37</v>
      </c>
      <c r="B580" s="61">
        <v>0</v>
      </c>
      <c r="C580" s="61">
        <v>0</v>
      </c>
      <c r="D580" s="61">
        <v>30663.119640000004</v>
      </c>
      <c r="E580" s="61">
        <v>30382.732749503703</v>
      </c>
      <c r="F580" s="61">
        <v>12348.740159999998</v>
      </c>
      <c r="G580" s="61">
        <v>14412.21083182485</v>
      </c>
      <c r="H580" s="62">
        <v>-9.1441084204149092E-3</v>
      </c>
      <c r="I580" s="62">
        <v>0.16709969155467697</v>
      </c>
      <c r="J580" s="62">
        <v>4.1455630833441504E-2</v>
      </c>
    </row>
    <row r="581" spans="1:10" ht="11.25" customHeight="1" x14ac:dyDescent="0.2">
      <c r="A581" s="71">
        <v>44136</v>
      </c>
      <c r="B581" s="61">
        <v>0</v>
      </c>
      <c r="C581" s="61">
        <v>0</v>
      </c>
      <c r="D581" s="61">
        <v>-1601.6893400000004</v>
      </c>
      <c r="E581" s="61">
        <v>-1587.0433190192184</v>
      </c>
      <c r="F581" s="61">
        <v>-645.03696000000059</v>
      </c>
      <c r="G581" s="61">
        <v>-752.82243705736664</v>
      </c>
      <c r="H581" s="62">
        <v>-9.1441084204143541E-3</v>
      </c>
      <c r="I581" s="62">
        <v>0.16709969155467608</v>
      </c>
      <c r="J581" s="62">
        <v>4.1455630833441504E-2</v>
      </c>
    </row>
    <row r="582" spans="1:10" ht="11.25" customHeight="1" x14ac:dyDescent="0.2">
      <c r="A582" s="71">
        <v>44166</v>
      </c>
      <c r="B582" s="61">
        <v>0</v>
      </c>
      <c r="C582" s="61">
        <v>0</v>
      </c>
      <c r="D582" s="61">
        <v>-3195.6457200000004</v>
      </c>
      <c r="E582" s="61">
        <v>-3166.4243890630864</v>
      </c>
      <c r="F582" s="61">
        <v>-1286.9596800000002</v>
      </c>
      <c r="G582" s="61">
        <v>-1502.0102455713059</v>
      </c>
      <c r="H582" s="62">
        <v>-9.1441084204146872E-3</v>
      </c>
      <c r="I582" s="62">
        <v>0.16709969155467697</v>
      </c>
      <c r="J582" s="62">
        <v>4.1455630833441504E-2</v>
      </c>
    </row>
    <row r="583" spans="1:10" ht="11.25" customHeight="1" x14ac:dyDescent="0.2">
      <c r="A583" s="71">
        <v>44197</v>
      </c>
      <c r="B583" s="61">
        <v>0</v>
      </c>
      <c r="C583" s="61">
        <v>0</v>
      </c>
      <c r="D583" s="61">
        <v>3333.8723799999998</v>
      </c>
      <c r="E583" s="61">
        <v>3303.3870894974548</v>
      </c>
      <c r="F583" s="61">
        <v>1342.6267200000002</v>
      </c>
      <c r="G583" s="61">
        <v>1566.9792307850676</v>
      </c>
      <c r="H583" s="62">
        <v>-9.1441084204143541E-3</v>
      </c>
      <c r="I583" s="62">
        <v>0.16709969155467674</v>
      </c>
      <c r="J583" s="62">
        <v>4.1455630833441726E-2</v>
      </c>
    </row>
    <row r="584" spans="1:10" ht="11.25" customHeight="1" x14ac:dyDescent="0.2">
      <c r="A584" s="71">
        <v>44228</v>
      </c>
      <c r="B584" s="61">
        <v>0</v>
      </c>
      <c r="C584" s="61">
        <v>0</v>
      </c>
      <c r="D584" s="61">
        <v>2989.7556600000003</v>
      </c>
      <c r="E584" s="61">
        <v>2962.417010094412</v>
      </c>
      <c r="F584" s="61">
        <v>1204.04304</v>
      </c>
      <c r="G584" s="61">
        <v>1405.2382606025553</v>
      </c>
      <c r="H584" s="62">
        <v>-9.1441084204145762E-3</v>
      </c>
      <c r="I584" s="62">
        <v>0.16709969155467674</v>
      </c>
      <c r="J584" s="62">
        <v>4.1455630833441504E-2</v>
      </c>
    </row>
    <row r="585" spans="1:10" ht="11.25" customHeight="1" x14ac:dyDescent="0.2">
      <c r="A585" s="71">
        <v>44256</v>
      </c>
      <c r="B585" s="61">
        <v>0</v>
      </c>
      <c r="C585" s="61">
        <v>0</v>
      </c>
      <c r="D585" s="61">
        <v>3392.8362000000006</v>
      </c>
      <c r="E585" s="61">
        <v>3361.8117379344931</v>
      </c>
      <c r="F585" s="61">
        <v>1366.3727999999999</v>
      </c>
      <c r="G585" s="61">
        <v>1594.6932734287002</v>
      </c>
      <c r="H585" s="62">
        <v>-9.1441084204145762E-3</v>
      </c>
      <c r="I585" s="62">
        <v>0.16709969155467697</v>
      </c>
      <c r="J585" s="62">
        <v>4.1455630833441504E-2</v>
      </c>
    </row>
    <row r="586" spans="1:10" ht="11.25" customHeight="1" x14ac:dyDescent="0.2">
      <c r="A586" s="71">
        <v>44287</v>
      </c>
      <c r="B586" s="61">
        <v>0</v>
      </c>
      <c r="C586" s="61">
        <v>0</v>
      </c>
      <c r="D586" s="61">
        <v>3779.4841999999999</v>
      </c>
      <c r="E586" s="61">
        <v>3744.9241867019564</v>
      </c>
      <c r="F586" s="61">
        <v>1522.0847999999999</v>
      </c>
      <c r="G586" s="61">
        <v>1776.4247006000619</v>
      </c>
      <c r="H586" s="62">
        <v>-9.1441084204144651E-3</v>
      </c>
      <c r="I586" s="62">
        <v>0.16709969155467697</v>
      </c>
      <c r="J586" s="62">
        <v>4.1455630833441726E-2</v>
      </c>
    </row>
    <row r="587" spans="1:10" ht="11.25" customHeight="1" x14ac:dyDescent="0.2">
      <c r="A587" s="71">
        <v>44317</v>
      </c>
      <c r="B587" s="61">
        <v>0</v>
      </c>
      <c r="C587" s="61">
        <v>0</v>
      </c>
      <c r="D587" s="61">
        <v>3533.9627200000004</v>
      </c>
      <c r="E587" s="61">
        <v>3501.6477817346172</v>
      </c>
      <c r="F587" s="61">
        <v>1423.20768</v>
      </c>
      <c r="G587" s="61">
        <v>1661.0252443462471</v>
      </c>
      <c r="H587" s="62">
        <v>-9.1441084204145762E-3</v>
      </c>
      <c r="I587" s="62">
        <v>0.16709969155467674</v>
      </c>
      <c r="J587" s="62">
        <v>4.1455630833441504E-2</v>
      </c>
    </row>
    <row r="588" spans="1:10" ht="11.25" customHeight="1" x14ac:dyDescent="0.2">
      <c r="A588" s="71">
        <v>44348</v>
      </c>
      <c r="B588" s="61">
        <v>0</v>
      </c>
      <c r="C588" s="61">
        <v>0</v>
      </c>
      <c r="D588" s="61">
        <v>4079.1363999999999</v>
      </c>
      <c r="E588" s="61">
        <v>4041.8363344967406</v>
      </c>
      <c r="F588" s="61">
        <v>1642.7615999999996</v>
      </c>
      <c r="G588" s="61">
        <v>1917.2665566578673</v>
      </c>
      <c r="H588" s="62">
        <v>-9.1441084204144651E-3</v>
      </c>
      <c r="I588" s="62">
        <v>0.16709969155467719</v>
      </c>
      <c r="J588" s="62">
        <v>4.1455630833441726E-2</v>
      </c>
    </row>
    <row r="589" spans="1:10" ht="11.25" customHeight="1" x14ac:dyDescent="0.2">
      <c r="A589" s="71">
        <v>44378</v>
      </c>
      <c r="B589" s="61">
        <v>0</v>
      </c>
      <c r="C589" s="61">
        <v>0</v>
      </c>
      <c r="D589" s="61">
        <v>3706.0210800000004</v>
      </c>
      <c r="E589" s="61">
        <v>3672.1328214361383</v>
      </c>
      <c r="F589" s="61">
        <v>1492.4995200000001</v>
      </c>
      <c r="G589" s="61">
        <v>1741.8957294375032</v>
      </c>
      <c r="H589" s="62">
        <v>-9.1441084204145762E-3</v>
      </c>
      <c r="I589" s="62">
        <v>0.16709969155467674</v>
      </c>
      <c r="J589" s="62">
        <v>4.1455630833441504E-2</v>
      </c>
    </row>
    <row r="590" spans="1:10" ht="11.25" customHeight="1" x14ac:dyDescent="0.2">
      <c r="A590" s="71">
        <v>44409</v>
      </c>
      <c r="B590" s="61">
        <v>0</v>
      </c>
      <c r="C590" s="61">
        <v>0</v>
      </c>
      <c r="D590" s="61">
        <v>4847.5993000000008</v>
      </c>
      <c r="E590" s="61">
        <v>4803.2723264220749</v>
      </c>
      <c r="F590" s="61">
        <v>1952.2391999999998</v>
      </c>
      <c r="G590" s="61">
        <v>2278.4577681609489</v>
      </c>
      <c r="H590" s="62">
        <v>-9.1441084204145762E-3</v>
      </c>
      <c r="I590" s="62">
        <v>0.16709969155467697</v>
      </c>
      <c r="J590" s="62">
        <v>4.1455630833441504E-2</v>
      </c>
    </row>
    <row r="591" spans="1:10" ht="11.25" customHeight="1" x14ac:dyDescent="0.2">
      <c r="A591" s="71">
        <v>44440</v>
      </c>
      <c r="B591" s="61">
        <v>0</v>
      </c>
      <c r="C591" s="61">
        <v>0</v>
      </c>
      <c r="D591" s="61">
        <v>2898.89338</v>
      </c>
      <c r="E591" s="61">
        <v>2872.3855846340589</v>
      </c>
      <c r="F591" s="61">
        <v>1167.4507199999998</v>
      </c>
      <c r="G591" s="61">
        <v>1362.5313752172856</v>
      </c>
      <c r="H591" s="62">
        <v>-9.1441084204142431E-3</v>
      </c>
      <c r="I591" s="62">
        <v>0.16709969155467719</v>
      </c>
      <c r="J591" s="62">
        <v>4.1455630833441948E-2</v>
      </c>
    </row>
    <row r="592" spans="1:10" ht="11.25" customHeight="1" x14ac:dyDescent="0.2">
      <c r="A592" s="71">
        <v>44470</v>
      </c>
      <c r="B592" s="61">
        <v>0</v>
      </c>
      <c r="C592" s="61">
        <v>0</v>
      </c>
      <c r="D592" s="61">
        <v>2898.89338</v>
      </c>
      <c r="E592" s="61">
        <v>2872.3855846340589</v>
      </c>
      <c r="F592" s="61">
        <v>1167.4507199999998</v>
      </c>
      <c r="G592" s="61">
        <v>1362.5313752172856</v>
      </c>
      <c r="H592" s="62">
        <v>-9.1441084204142431E-3</v>
      </c>
      <c r="I592" s="62">
        <v>0.16709969155467719</v>
      </c>
      <c r="J592" s="62">
        <v>4.1455630833441948E-2</v>
      </c>
    </row>
    <row r="593" spans="1:10" ht="11.25" customHeight="1" x14ac:dyDescent="0.2">
      <c r="A593" s="65" t="s">
        <v>23</v>
      </c>
      <c r="B593" s="61">
        <v>0</v>
      </c>
      <c r="C593" s="61">
        <v>0</v>
      </c>
      <c r="D593" s="61">
        <v>898268589.45393014</v>
      </c>
      <c r="E593" s="61">
        <v>743896895.22120416</v>
      </c>
      <c r="F593" s="61">
        <v>489738378.51244998</v>
      </c>
      <c r="G593" s="61">
        <v>598236551.22249818</v>
      </c>
      <c r="H593" s="62">
        <v>-0.17185471700237387</v>
      </c>
      <c r="I593" s="62">
        <v>0.22154312888363559</v>
      </c>
      <c r="J593" s="62">
        <v>-3.3049921636842505E-2</v>
      </c>
    </row>
    <row r="594" spans="1:10" ht="11.25" customHeight="1" x14ac:dyDescent="0.2">
      <c r="A594" s="66" t="s">
        <v>24</v>
      </c>
      <c r="B594" s="61">
        <v>0</v>
      </c>
      <c r="C594" s="61">
        <v>0</v>
      </c>
      <c r="D594" s="61">
        <v>898268589.45393014</v>
      </c>
      <c r="E594" s="61">
        <v>743896895.22120416</v>
      </c>
      <c r="F594" s="61">
        <v>489738378.51244998</v>
      </c>
      <c r="G594" s="61">
        <v>598236551.22249818</v>
      </c>
      <c r="H594" s="62">
        <v>-0.17185471700237387</v>
      </c>
      <c r="I594" s="62">
        <v>0.22154312888363559</v>
      </c>
      <c r="J594" s="62">
        <v>-3.3049921636842505E-2</v>
      </c>
    </row>
    <row r="595" spans="1:10" ht="11.25" customHeight="1" x14ac:dyDescent="0.2">
      <c r="A595" s="67" t="s">
        <v>24</v>
      </c>
      <c r="B595" s="61">
        <v>0</v>
      </c>
      <c r="C595" s="61">
        <v>0</v>
      </c>
      <c r="D595" s="61">
        <v>786542877.17238998</v>
      </c>
      <c r="E595" s="61">
        <v>656404074.52487409</v>
      </c>
      <c r="F595" s="61">
        <v>425078038.19730002</v>
      </c>
      <c r="G595" s="61">
        <v>519251542.00284952</v>
      </c>
      <c r="H595" s="62">
        <v>-0.16545671752233448</v>
      </c>
      <c r="I595" s="62">
        <v>0.22154403507865661</v>
      </c>
      <c r="J595" s="62">
        <v>-2.9683623306381746E-2</v>
      </c>
    </row>
    <row r="596" spans="1:10" ht="11.25" customHeight="1" x14ac:dyDescent="0.2">
      <c r="A596" s="68" t="s">
        <v>25</v>
      </c>
      <c r="B596" s="61">
        <v>0</v>
      </c>
      <c r="C596" s="61">
        <v>0</v>
      </c>
      <c r="D596" s="61">
        <v>786542877.17238998</v>
      </c>
      <c r="E596" s="61">
        <v>656404074.52487409</v>
      </c>
      <c r="F596" s="61">
        <v>425078038.19730002</v>
      </c>
      <c r="G596" s="61">
        <v>519251542.00284952</v>
      </c>
      <c r="H596" s="62">
        <v>-0.16545671752233448</v>
      </c>
      <c r="I596" s="62">
        <v>0.22154403507865661</v>
      </c>
      <c r="J596" s="62">
        <v>-2.9683623306381746E-2</v>
      </c>
    </row>
    <row r="597" spans="1:10" ht="11.25" customHeight="1" x14ac:dyDescent="0.2">
      <c r="A597" s="69" t="s">
        <v>25</v>
      </c>
      <c r="B597" s="61">
        <v>0</v>
      </c>
      <c r="C597" s="61">
        <v>0</v>
      </c>
      <c r="D597" s="61">
        <v>786542877.17238998</v>
      </c>
      <c r="E597" s="61">
        <v>656404074.52487409</v>
      </c>
      <c r="F597" s="61">
        <v>425078038.19730002</v>
      </c>
      <c r="G597" s="61">
        <v>519251542.00284952</v>
      </c>
      <c r="H597" s="62">
        <v>-0.16545671752233448</v>
      </c>
      <c r="I597" s="62">
        <v>0.22154403507865661</v>
      </c>
      <c r="J597" s="62">
        <v>-2.9683623306381746E-2</v>
      </c>
    </row>
    <row r="598" spans="1:10" ht="11.25" customHeight="1" x14ac:dyDescent="0.2">
      <c r="A598" s="70" t="s">
        <v>25</v>
      </c>
      <c r="B598" s="61">
        <v>0</v>
      </c>
      <c r="C598" s="61">
        <v>0</v>
      </c>
      <c r="D598" s="61">
        <v>786542877.17238998</v>
      </c>
      <c r="E598" s="61">
        <v>656404074.52487409</v>
      </c>
      <c r="F598" s="61">
        <v>425078038.19730002</v>
      </c>
      <c r="G598" s="61">
        <v>519251542.00284952</v>
      </c>
      <c r="H598" s="62">
        <v>-0.16545671752233448</v>
      </c>
      <c r="I598" s="62">
        <v>0.22154403507865661</v>
      </c>
      <c r="J598" s="62">
        <v>-2.9683623306381746E-2</v>
      </c>
    </row>
    <row r="599" spans="1:10" ht="11.25" customHeight="1" x14ac:dyDescent="0.2">
      <c r="A599" s="71">
        <v>44136</v>
      </c>
      <c r="B599" s="61">
        <v>0</v>
      </c>
      <c r="C599" s="61">
        <v>0</v>
      </c>
      <c r="D599" s="61">
        <v>71817328.674520001</v>
      </c>
      <c r="E599" s="61">
        <v>59934669.210811339</v>
      </c>
      <c r="F599" s="61">
        <v>38812848.056400008</v>
      </c>
      <c r="G599" s="61">
        <v>47411603.027709685</v>
      </c>
      <c r="H599" s="62">
        <v>-0.16545671752233382</v>
      </c>
      <c r="I599" s="62">
        <v>0.22154403507865728</v>
      </c>
      <c r="J599" s="62">
        <v>-2.9683623306381079E-2</v>
      </c>
    </row>
    <row r="600" spans="1:10" ht="11.25" customHeight="1" x14ac:dyDescent="0.2">
      <c r="A600" s="71">
        <v>44166</v>
      </c>
      <c r="B600" s="61">
        <v>0</v>
      </c>
      <c r="C600" s="61">
        <v>0</v>
      </c>
      <c r="D600" s="61">
        <v>64979291.021579996</v>
      </c>
      <c r="E600" s="61">
        <v>54228030.822220914</v>
      </c>
      <c r="F600" s="61">
        <v>35117309.3706</v>
      </c>
      <c r="G600" s="61">
        <v>42897339.789668277</v>
      </c>
      <c r="H600" s="62">
        <v>-0.16545671752233382</v>
      </c>
      <c r="I600" s="62">
        <v>0.2215440350786575</v>
      </c>
      <c r="J600" s="62">
        <v>-2.9683623306380968E-2</v>
      </c>
    </row>
    <row r="601" spans="1:10" ht="11.25" customHeight="1" x14ac:dyDescent="0.2">
      <c r="A601" s="71">
        <v>44197</v>
      </c>
      <c r="B601" s="61">
        <v>0</v>
      </c>
      <c r="C601" s="61">
        <v>0</v>
      </c>
      <c r="D601" s="61">
        <v>60054696.826020002</v>
      </c>
      <c r="E601" s="61">
        <v>50118243.817387804</v>
      </c>
      <c r="F601" s="61">
        <v>32455869.161400001</v>
      </c>
      <c r="G601" s="61">
        <v>39646273.377401523</v>
      </c>
      <c r="H601" s="62">
        <v>-0.16545671752233393</v>
      </c>
      <c r="I601" s="62">
        <v>0.2215440350786575</v>
      </c>
      <c r="J601" s="62">
        <v>-2.9683623306381079E-2</v>
      </c>
    </row>
    <row r="602" spans="1:10" ht="11.25" customHeight="1" x14ac:dyDescent="0.2">
      <c r="A602" s="71">
        <v>44228</v>
      </c>
      <c r="B602" s="61">
        <v>0</v>
      </c>
      <c r="C602" s="61">
        <v>0</v>
      </c>
      <c r="D602" s="61">
        <v>54083194.339069992</v>
      </c>
      <c r="E602" s="61">
        <v>45134766.530605018</v>
      </c>
      <c r="F602" s="61">
        <v>29228639.424900003</v>
      </c>
      <c r="G602" s="61">
        <v>35704070.142951481</v>
      </c>
      <c r="H602" s="62">
        <v>-0.1654567175223336</v>
      </c>
      <c r="I602" s="62">
        <v>0.2215440350786575</v>
      </c>
      <c r="J602" s="62">
        <v>-2.9683623306380524E-2</v>
      </c>
    </row>
    <row r="603" spans="1:10" ht="11.25" customHeight="1" x14ac:dyDescent="0.2">
      <c r="A603" s="71">
        <v>44256</v>
      </c>
      <c r="B603" s="61">
        <v>0</v>
      </c>
      <c r="C603" s="61">
        <v>0</v>
      </c>
      <c r="D603" s="61">
        <v>56173803.768290006</v>
      </c>
      <c r="E603" s="61">
        <v>46879470.586045027</v>
      </c>
      <c r="F603" s="61">
        <v>30358485.210299999</v>
      </c>
      <c r="G603" s="61">
        <v>37084226.522665605</v>
      </c>
      <c r="H603" s="62">
        <v>-0.16545671752233393</v>
      </c>
      <c r="I603" s="62">
        <v>0.2215440350786575</v>
      </c>
      <c r="J603" s="62">
        <v>-2.9683623306381079E-2</v>
      </c>
    </row>
    <row r="604" spans="1:10" ht="11.25" customHeight="1" x14ac:dyDescent="0.2">
      <c r="A604" s="71">
        <v>44287</v>
      </c>
      <c r="B604" s="61">
        <v>0</v>
      </c>
      <c r="C604" s="61">
        <v>0</v>
      </c>
      <c r="D604" s="61">
        <v>63021239.587669998</v>
      </c>
      <c r="E604" s="61">
        <v>52593952.151305564</v>
      </c>
      <c r="F604" s="61">
        <v>34059103.026900008</v>
      </c>
      <c r="G604" s="61">
        <v>41604694.142639153</v>
      </c>
      <c r="H604" s="62">
        <v>-0.16545671752233382</v>
      </c>
      <c r="I604" s="62">
        <v>0.2215440350786575</v>
      </c>
      <c r="J604" s="62">
        <v>-2.9683623306380857E-2</v>
      </c>
    </row>
    <row r="605" spans="1:10" ht="11.25" customHeight="1" x14ac:dyDescent="0.2">
      <c r="A605" s="71">
        <v>44317</v>
      </c>
      <c r="B605" s="61">
        <v>0</v>
      </c>
      <c r="C605" s="61">
        <v>0</v>
      </c>
      <c r="D605" s="61">
        <v>62973380.789149992</v>
      </c>
      <c r="E605" s="61">
        <v>52554011.912493244</v>
      </c>
      <c r="F605" s="61">
        <v>34033238.290500008</v>
      </c>
      <c r="G605" s="61">
        <v>41573099.228170842</v>
      </c>
      <c r="H605" s="62">
        <v>-0.16545671752233371</v>
      </c>
      <c r="I605" s="62">
        <v>0.22154403507865728</v>
      </c>
      <c r="J605" s="62">
        <v>-2.9683623306380857E-2</v>
      </c>
    </row>
    <row r="606" spans="1:10" ht="11.25" customHeight="1" x14ac:dyDescent="0.2">
      <c r="A606" s="71">
        <v>44348</v>
      </c>
      <c r="B606" s="61">
        <v>0</v>
      </c>
      <c r="C606" s="61">
        <v>0</v>
      </c>
      <c r="D606" s="61">
        <v>66999940.474609986</v>
      </c>
      <c r="E606" s="61">
        <v>55914350.24948927</v>
      </c>
      <c r="F606" s="61">
        <v>36209346.092699997</v>
      </c>
      <c r="G606" s="61">
        <v>44231310.733636372</v>
      </c>
      <c r="H606" s="62">
        <v>-0.16545671752233371</v>
      </c>
      <c r="I606" s="62">
        <v>0.2215440350786575</v>
      </c>
      <c r="J606" s="62">
        <v>-2.9683623306380746E-2</v>
      </c>
    </row>
    <row r="607" spans="1:10" ht="11.25" customHeight="1" x14ac:dyDescent="0.2">
      <c r="A607" s="71">
        <v>44378</v>
      </c>
      <c r="B607" s="61">
        <v>0</v>
      </c>
      <c r="C607" s="61">
        <v>0</v>
      </c>
      <c r="D607" s="61">
        <v>63177082.310160004</v>
      </c>
      <c r="E607" s="61">
        <v>52724009.648482621</v>
      </c>
      <c r="F607" s="61">
        <v>34143326.431199998</v>
      </c>
      <c r="G607" s="61">
        <v>41707576.739775822</v>
      </c>
      <c r="H607" s="62">
        <v>-0.16545671752233393</v>
      </c>
      <c r="I607" s="62">
        <v>0.2215440350786575</v>
      </c>
      <c r="J607" s="62">
        <v>-2.9683623306381079E-2</v>
      </c>
    </row>
    <row r="608" spans="1:10" ht="11.25" customHeight="1" x14ac:dyDescent="0.2">
      <c r="A608" s="71">
        <v>44409</v>
      </c>
      <c r="B608" s="61">
        <v>0</v>
      </c>
      <c r="C608" s="61">
        <v>0</v>
      </c>
      <c r="D608" s="61">
        <v>69313403.407820001</v>
      </c>
      <c r="E608" s="61">
        <v>57845035.199660748</v>
      </c>
      <c r="F608" s="61">
        <v>37459630.487399995</v>
      </c>
      <c r="G608" s="61">
        <v>45758588.178134099</v>
      </c>
      <c r="H608" s="62">
        <v>-0.16545671752233393</v>
      </c>
      <c r="I608" s="62">
        <v>0.22154403507865772</v>
      </c>
      <c r="J608" s="62">
        <v>-2.9683623306380857E-2</v>
      </c>
    </row>
    <row r="609" spans="1:10" ht="11.25" customHeight="1" x14ac:dyDescent="0.2">
      <c r="A609" s="71">
        <v>44440</v>
      </c>
      <c r="B609" s="61">
        <v>0</v>
      </c>
      <c r="C609" s="61">
        <v>0</v>
      </c>
      <c r="D609" s="61">
        <v>76974757.986750007</v>
      </c>
      <c r="E609" s="61">
        <v>64238767.198186316</v>
      </c>
      <c r="F609" s="61">
        <v>41600121.322500005</v>
      </c>
      <c r="G609" s="61">
        <v>50816380.060048349</v>
      </c>
      <c r="H609" s="62">
        <v>-0.1654567175223336</v>
      </c>
      <c r="I609" s="62">
        <v>0.22154403507865728</v>
      </c>
      <c r="J609" s="62">
        <v>-2.9683623306380857E-2</v>
      </c>
    </row>
    <row r="610" spans="1:10" ht="11.25" customHeight="1" x14ac:dyDescent="0.2">
      <c r="A610" s="71">
        <v>44470</v>
      </c>
      <c r="B610" s="61">
        <v>0</v>
      </c>
      <c r="C610" s="61">
        <v>0</v>
      </c>
      <c r="D610" s="61">
        <v>76974757.986750007</v>
      </c>
      <c r="E610" s="61">
        <v>64238767.198186316</v>
      </c>
      <c r="F610" s="61">
        <v>41600121.322500005</v>
      </c>
      <c r="G610" s="61">
        <v>50816380.060048349</v>
      </c>
      <c r="H610" s="62">
        <v>-0.1654567175223336</v>
      </c>
      <c r="I610" s="62">
        <v>0.22154403507865728</v>
      </c>
      <c r="J610" s="62">
        <v>-2.9683623306380857E-2</v>
      </c>
    </row>
    <row r="611" spans="1:10" ht="11.25" customHeight="1" x14ac:dyDescent="0.2">
      <c r="A611" s="67" t="s">
        <v>31</v>
      </c>
      <c r="B611" s="61">
        <v>0</v>
      </c>
      <c r="C611" s="61">
        <v>0</v>
      </c>
      <c r="D611" s="61">
        <v>10691470.200319998</v>
      </c>
      <c r="E611" s="61">
        <v>8372471.996101886</v>
      </c>
      <c r="F611" s="61">
        <v>6187886.3820800008</v>
      </c>
      <c r="G611" s="61">
        <v>7558331.9012949578</v>
      </c>
      <c r="H611" s="62">
        <v>-0.21690171330681007</v>
      </c>
      <c r="I611" s="62">
        <v>0.22147231455052929</v>
      </c>
      <c r="J611" s="62">
        <v>-5.6196021475854341E-2</v>
      </c>
    </row>
    <row r="612" spans="1:10" ht="11.25" customHeight="1" x14ac:dyDescent="0.2">
      <c r="A612" s="68" t="s">
        <v>25</v>
      </c>
      <c r="B612" s="61">
        <v>0</v>
      </c>
      <c r="C612" s="61">
        <v>0</v>
      </c>
      <c r="D612" s="61">
        <v>10691470.200319998</v>
      </c>
      <c r="E612" s="61">
        <v>8372471.996101886</v>
      </c>
      <c r="F612" s="61">
        <v>6187886.3820800008</v>
      </c>
      <c r="G612" s="61">
        <v>7558331.9012949578</v>
      </c>
      <c r="H612" s="62">
        <v>-0.21690171330681007</v>
      </c>
      <c r="I612" s="62">
        <v>0.22147231455052929</v>
      </c>
      <c r="J612" s="62">
        <v>-5.6196021475854341E-2</v>
      </c>
    </row>
    <row r="613" spans="1:10" ht="11.25" customHeight="1" x14ac:dyDescent="0.2">
      <c r="A613" s="69" t="s">
        <v>25</v>
      </c>
      <c r="B613" s="61">
        <v>0</v>
      </c>
      <c r="C613" s="61">
        <v>0</v>
      </c>
      <c r="D613" s="61">
        <v>10691470.200319998</v>
      </c>
      <c r="E613" s="61">
        <v>8372471.996101886</v>
      </c>
      <c r="F613" s="61">
        <v>6187886.3820800008</v>
      </c>
      <c r="G613" s="61">
        <v>7558331.9012949578</v>
      </c>
      <c r="H613" s="62">
        <v>-0.21690171330681007</v>
      </c>
      <c r="I613" s="62">
        <v>0.22147231455052929</v>
      </c>
      <c r="J613" s="62">
        <v>-5.6196021475854341E-2</v>
      </c>
    </row>
    <row r="614" spans="1:10" ht="11.25" customHeight="1" x14ac:dyDescent="0.2">
      <c r="A614" s="70" t="s">
        <v>25</v>
      </c>
      <c r="B614" s="61">
        <v>0</v>
      </c>
      <c r="C614" s="61">
        <v>0</v>
      </c>
      <c r="D614" s="61">
        <v>10691470.200319998</v>
      </c>
      <c r="E614" s="61">
        <v>8372471.996101886</v>
      </c>
      <c r="F614" s="61">
        <v>6187886.3820800008</v>
      </c>
      <c r="G614" s="61">
        <v>7558331.9012949578</v>
      </c>
      <c r="H614" s="62">
        <v>-0.21690171330681007</v>
      </c>
      <c r="I614" s="62">
        <v>0.22147231455052929</v>
      </c>
      <c r="J614" s="62">
        <v>-5.6196021475854341E-2</v>
      </c>
    </row>
    <row r="615" spans="1:10" ht="11.25" customHeight="1" x14ac:dyDescent="0.2">
      <c r="A615" s="71">
        <v>44136</v>
      </c>
      <c r="B615" s="61">
        <v>0</v>
      </c>
      <c r="C615" s="61">
        <v>0</v>
      </c>
      <c r="D615" s="61">
        <v>862975.07001999998</v>
      </c>
      <c r="E615" s="61">
        <v>675794.29879159736</v>
      </c>
      <c r="F615" s="61">
        <v>499462.8038799999</v>
      </c>
      <c r="G615" s="61">
        <v>610079.98708720075</v>
      </c>
      <c r="H615" s="62">
        <v>-0.2169017133068103</v>
      </c>
      <c r="I615" s="62">
        <v>0.22147231455052974</v>
      </c>
      <c r="J615" s="62">
        <v>-5.6196021475854563E-2</v>
      </c>
    </row>
    <row r="616" spans="1:10" ht="11.25" customHeight="1" x14ac:dyDescent="0.2">
      <c r="A616" s="71">
        <v>44166</v>
      </c>
      <c r="B616" s="61">
        <v>0</v>
      </c>
      <c r="C616" s="61">
        <v>0</v>
      </c>
      <c r="D616" s="61">
        <v>943735.5075399999</v>
      </c>
      <c r="E616" s="61">
        <v>739037.65904610173</v>
      </c>
      <c r="F616" s="61">
        <v>546204.40275999985</v>
      </c>
      <c r="G616" s="61">
        <v>667173.55605694663</v>
      </c>
      <c r="H616" s="62">
        <v>-0.2169017133068103</v>
      </c>
      <c r="I616" s="62">
        <v>0.22147231455052951</v>
      </c>
      <c r="J616" s="62">
        <v>-5.6196021475854341E-2</v>
      </c>
    </row>
    <row r="617" spans="1:10" ht="11.25" customHeight="1" x14ac:dyDescent="0.2">
      <c r="A617" s="71">
        <v>44197</v>
      </c>
      <c r="B617" s="61">
        <v>0</v>
      </c>
      <c r="C617" s="61">
        <v>0</v>
      </c>
      <c r="D617" s="61">
        <v>963433.13933999988</v>
      </c>
      <c r="E617" s="61">
        <v>754462.84076059493</v>
      </c>
      <c r="F617" s="61">
        <v>557604.77196000004</v>
      </c>
      <c r="G617" s="61">
        <v>681098.79141040111</v>
      </c>
      <c r="H617" s="62">
        <v>-0.21690171330681041</v>
      </c>
      <c r="I617" s="62">
        <v>0.22147231455052885</v>
      </c>
      <c r="J617" s="62">
        <v>-5.6196021475854452E-2</v>
      </c>
    </row>
    <row r="618" spans="1:10" ht="11.25" customHeight="1" x14ac:dyDescent="0.2">
      <c r="A618" s="71">
        <v>44228</v>
      </c>
      <c r="B618" s="61">
        <v>0</v>
      </c>
      <c r="C618" s="61">
        <v>0</v>
      </c>
      <c r="D618" s="61">
        <v>960728.41185999988</v>
      </c>
      <c r="E618" s="61">
        <v>752344.7733050352</v>
      </c>
      <c r="F618" s="61">
        <v>556039.36083999998</v>
      </c>
      <c r="G618" s="61">
        <v>679186.68506643153</v>
      </c>
      <c r="H618" s="62">
        <v>-0.21690171330681007</v>
      </c>
      <c r="I618" s="62">
        <v>0.22147231455052885</v>
      </c>
      <c r="J618" s="62">
        <v>-5.6196021475854452E-2</v>
      </c>
    </row>
    <row r="619" spans="1:10" ht="11.25" customHeight="1" x14ac:dyDescent="0.2">
      <c r="A619" s="71">
        <v>44256</v>
      </c>
      <c r="B619" s="61">
        <v>0</v>
      </c>
      <c r="C619" s="61">
        <v>0</v>
      </c>
      <c r="D619" s="61">
        <v>981086.40797999979</v>
      </c>
      <c r="E619" s="61">
        <v>768287.08518711373</v>
      </c>
      <c r="F619" s="61">
        <v>567821.92811999994</v>
      </c>
      <c r="G619" s="61">
        <v>693578.76479328063</v>
      </c>
      <c r="H619" s="62">
        <v>-0.21690171330681007</v>
      </c>
      <c r="I619" s="62">
        <v>0.22147231455052929</v>
      </c>
      <c r="J619" s="62">
        <v>-5.6196021475854341E-2</v>
      </c>
    </row>
    <row r="620" spans="1:10" ht="11.25" customHeight="1" x14ac:dyDescent="0.2">
      <c r="A620" s="71">
        <v>44287</v>
      </c>
      <c r="B620" s="61">
        <v>0</v>
      </c>
      <c r="C620" s="61">
        <v>0</v>
      </c>
      <c r="D620" s="61">
        <v>848482.80999999994</v>
      </c>
      <c r="E620" s="61">
        <v>664445.43479962321</v>
      </c>
      <c r="F620" s="61">
        <v>491075.13999999996</v>
      </c>
      <c r="G620" s="61">
        <v>599834.68787402508</v>
      </c>
      <c r="H620" s="62">
        <v>-0.21690171330681018</v>
      </c>
      <c r="I620" s="62">
        <v>0.22147231455052907</v>
      </c>
      <c r="J620" s="62">
        <v>-5.6196021475854452E-2</v>
      </c>
    </row>
    <row r="621" spans="1:10" ht="11.25" customHeight="1" x14ac:dyDescent="0.2">
      <c r="A621" s="71">
        <v>44317</v>
      </c>
      <c r="B621" s="61">
        <v>0</v>
      </c>
      <c r="C621" s="61">
        <v>0</v>
      </c>
      <c r="D621" s="61">
        <v>848243.56035999989</v>
      </c>
      <c r="E621" s="61">
        <v>664258.07881644729</v>
      </c>
      <c r="F621" s="61">
        <v>490936.66983999999</v>
      </c>
      <c r="G621" s="61">
        <v>599665.55040719383</v>
      </c>
      <c r="H621" s="62">
        <v>-0.21690171330681018</v>
      </c>
      <c r="I621" s="62">
        <v>0.22147231455052929</v>
      </c>
      <c r="J621" s="62">
        <v>-5.6196021475854452E-2</v>
      </c>
    </row>
    <row r="622" spans="1:10" ht="11.25" customHeight="1" x14ac:dyDescent="0.2">
      <c r="A622" s="71">
        <v>44348</v>
      </c>
      <c r="B622" s="61">
        <v>0</v>
      </c>
      <c r="C622" s="61">
        <v>0</v>
      </c>
      <c r="D622" s="61">
        <v>857222.04315999988</v>
      </c>
      <c r="E622" s="61">
        <v>671289.11331423139</v>
      </c>
      <c r="F622" s="61">
        <v>496133.13303999993</v>
      </c>
      <c r="G622" s="61">
        <v>606012.88633957447</v>
      </c>
      <c r="H622" s="62">
        <v>-0.2169017133068103</v>
      </c>
      <c r="I622" s="62">
        <v>0.22147231455052951</v>
      </c>
      <c r="J622" s="62">
        <v>-5.6196021475854341E-2</v>
      </c>
    </row>
    <row r="623" spans="1:10" ht="11.25" customHeight="1" x14ac:dyDescent="0.2">
      <c r="A623" s="71">
        <v>44378</v>
      </c>
      <c r="B623" s="61">
        <v>0</v>
      </c>
      <c r="C623" s="61">
        <v>0</v>
      </c>
      <c r="D623" s="61">
        <v>853057.09831999999</v>
      </c>
      <c r="E623" s="61">
        <v>668027.55214585597</v>
      </c>
      <c r="F623" s="61">
        <v>493722.59408000001</v>
      </c>
      <c r="G623" s="61">
        <v>603068.4797367889</v>
      </c>
      <c r="H623" s="62">
        <v>-0.21690171330681018</v>
      </c>
      <c r="I623" s="62">
        <v>0.22147231455052885</v>
      </c>
      <c r="J623" s="62">
        <v>-5.6196021475854563E-2</v>
      </c>
    </row>
    <row r="624" spans="1:10" ht="11.25" customHeight="1" x14ac:dyDescent="0.2">
      <c r="A624" s="71">
        <v>44409</v>
      </c>
      <c r="B624" s="61">
        <v>0</v>
      </c>
      <c r="C624" s="61">
        <v>0</v>
      </c>
      <c r="D624" s="61">
        <v>856341.70453999995</v>
      </c>
      <c r="E624" s="61">
        <v>670599.72164919961</v>
      </c>
      <c r="F624" s="61">
        <v>495623.62075999996</v>
      </c>
      <c r="G624" s="61">
        <v>605390.5311956309</v>
      </c>
      <c r="H624" s="62">
        <v>-0.2169017133068103</v>
      </c>
      <c r="I624" s="62">
        <v>0.22147231455052929</v>
      </c>
      <c r="J624" s="62">
        <v>-5.6196021475854452E-2</v>
      </c>
    </row>
    <row r="625" spans="1:10" ht="11.25" customHeight="1" x14ac:dyDescent="0.2">
      <c r="A625" s="71">
        <v>44440</v>
      </c>
      <c r="B625" s="61">
        <v>0</v>
      </c>
      <c r="C625" s="61">
        <v>0</v>
      </c>
      <c r="D625" s="61">
        <v>858082.22359999991</v>
      </c>
      <c r="E625" s="61">
        <v>671962.71914304246</v>
      </c>
      <c r="F625" s="61">
        <v>496630.97839999996</v>
      </c>
      <c r="G625" s="61">
        <v>606620.99066374183</v>
      </c>
      <c r="H625" s="62">
        <v>-0.2169017133068103</v>
      </c>
      <c r="I625" s="62">
        <v>0.22147231455052929</v>
      </c>
      <c r="J625" s="62">
        <v>-5.6196021475854452E-2</v>
      </c>
    </row>
    <row r="626" spans="1:10" ht="11.25" customHeight="1" x14ac:dyDescent="0.2">
      <c r="A626" s="71">
        <v>44470</v>
      </c>
      <c r="B626" s="61">
        <v>0</v>
      </c>
      <c r="C626" s="61">
        <v>0</v>
      </c>
      <c r="D626" s="61">
        <v>858082.22359999991</v>
      </c>
      <c r="E626" s="61">
        <v>671962.71914304246</v>
      </c>
      <c r="F626" s="61">
        <v>496630.97839999996</v>
      </c>
      <c r="G626" s="61">
        <v>606620.99066374183</v>
      </c>
      <c r="H626" s="62">
        <v>-0.2169017133068103</v>
      </c>
      <c r="I626" s="62">
        <v>0.22147231455052929</v>
      </c>
      <c r="J626" s="62">
        <v>-5.6196021475854452E-2</v>
      </c>
    </row>
    <row r="627" spans="1:10" ht="11.25" customHeight="1" x14ac:dyDescent="0.2">
      <c r="A627" s="67" t="s">
        <v>32</v>
      </c>
      <c r="B627" s="61">
        <v>0</v>
      </c>
      <c r="C627" s="61">
        <v>0</v>
      </c>
      <c r="D627" s="61">
        <v>29407928.590560004</v>
      </c>
      <c r="E627" s="61">
        <v>23029298.494463205</v>
      </c>
      <c r="F627" s="61">
        <v>17019383.98212</v>
      </c>
      <c r="G627" s="61">
        <v>20789926.984071929</v>
      </c>
      <c r="H627" s="62">
        <v>-0.2169017133068103</v>
      </c>
      <c r="I627" s="62">
        <v>0.2215440350786575</v>
      </c>
      <c r="J627" s="62">
        <v>-5.6175706704151951E-2</v>
      </c>
    </row>
    <row r="628" spans="1:10" ht="11.25" customHeight="1" x14ac:dyDescent="0.2">
      <c r="A628" s="68" t="s">
        <v>25</v>
      </c>
      <c r="B628" s="61">
        <v>0</v>
      </c>
      <c r="C628" s="61">
        <v>0</v>
      </c>
      <c r="D628" s="61">
        <v>29407928.590560004</v>
      </c>
      <c r="E628" s="61">
        <v>23029298.494463205</v>
      </c>
      <c r="F628" s="61">
        <v>17019383.98212</v>
      </c>
      <c r="G628" s="61">
        <v>20789926.984071929</v>
      </c>
      <c r="H628" s="62">
        <v>-0.2169017133068103</v>
      </c>
      <c r="I628" s="62">
        <v>0.2215440350786575</v>
      </c>
      <c r="J628" s="62">
        <v>-5.6175706704151951E-2</v>
      </c>
    </row>
    <row r="629" spans="1:10" ht="11.25" customHeight="1" x14ac:dyDescent="0.2">
      <c r="A629" s="69" t="s">
        <v>25</v>
      </c>
      <c r="B629" s="61">
        <v>0</v>
      </c>
      <c r="C629" s="61">
        <v>0</v>
      </c>
      <c r="D629" s="61">
        <v>29407928.590560004</v>
      </c>
      <c r="E629" s="61">
        <v>23029298.494463205</v>
      </c>
      <c r="F629" s="61">
        <v>17019383.98212</v>
      </c>
      <c r="G629" s="61">
        <v>20789926.984071929</v>
      </c>
      <c r="H629" s="62">
        <v>-0.2169017133068103</v>
      </c>
      <c r="I629" s="62">
        <v>0.2215440350786575</v>
      </c>
      <c r="J629" s="62">
        <v>-5.6175706704151951E-2</v>
      </c>
    </row>
    <row r="630" spans="1:10" ht="11.25" customHeight="1" x14ac:dyDescent="0.2">
      <c r="A630" s="70" t="s">
        <v>25</v>
      </c>
      <c r="B630" s="61">
        <v>0</v>
      </c>
      <c r="C630" s="61">
        <v>0</v>
      </c>
      <c r="D630" s="61">
        <v>29407928.590560004</v>
      </c>
      <c r="E630" s="61">
        <v>23029298.494463205</v>
      </c>
      <c r="F630" s="61">
        <v>17019383.98212</v>
      </c>
      <c r="G630" s="61">
        <v>20789926.984071929</v>
      </c>
      <c r="H630" s="62">
        <v>-0.2169017133068103</v>
      </c>
      <c r="I630" s="62">
        <v>0.2215440350786575</v>
      </c>
      <c r="J630" s="62">
        <v>-5.6175706704151951E-2</v>
      </c>
    </row>
    <row r="631" spans="1:10" ht="11.25" customHeight="1" x14ac:dyDescent="0.2">
      <c r="A631" s="71">
        <v>44136</v>
      </c>
      <c r="B631" s="61">
        <v>0</v>
      </c>
      <c r="C631" s="61">
        <v>0</v>
      </c>
      <c r="D631" s="61">
        <v>2256673.2316800002</v>
      </c>
      <c r="E631" s="61">
        <v>1767196.9413549916</v>
      </c>
      <c r="F631" s="61">
        <v>1306014.7413600001</v>
      </c>
      <c r="G631" s="61">
        <v>1595354.5170331039</v>
      </c>
      <c r="H631" s="62">
        <v>-0.2169017133068103</v>
      </c>
      <c r="I631" s="62">
        <v>0.2215440350786575</v>
      </c>
      <c r="J631" s="62">
        <v>-5.6175706704151951E-2</v>
      </c>
    </row>
    <row r="632" spans="1:10" ht="11.25" customHeight="1" x14ac:dyDescent="0.2">
      <c r="A632" s="71">
        <v>44166</v>
      </c>
      <c r="B632" s="61">
        <v>0</v>
      </c>
      <c r="C632" s="61">
        <v>0</v>
      </c>
      <c r="D632" s="61">
        <v>2485408.7517600004</v>
      </c>
      <c r="E632" s="61">
        <v>1946319.3352355151</v>
      </c>
      <c r="F632" s="61">
        <v>1438391.88702</v>
      </c>
      <c r="G632" s="61">
        <v>1757059.0296948154</v>
      </c>
      <c r="H632" s="62">
        <v>-0.21690171330681041</v>
      </c>
      <c r="I632" s="62">
        <v>0.2215440350786575</v>
      </c>
      <c r="J632" s="62">
        <v>-5.6175706704152062E-2</v>
      </c>
    </row>
    <row r="633" spans="1:10" ht="11.25" customHeight="1" x14ac:dyDescent="0.2">
      <c r="A633" s="71">
        <v>44197</v>
      </c>
      <c r="B633" s="61">
        <v>0</v>
      </c>
      <c r="C633" s="61">
        <v>0</v>
      </c>
      <c r="D633" s="61">
        <v>2501810.1532799997</v>
      </c>
      <c r="E633" s="61">
        <v>1959163.2446651941</v>
      </c>
      <c r="F633" s="61">
        <v>1447883.9445599997</v>
      </c>
      <c r="G633" s="61">
        <v>1768653.9959634254</v>
      </c>
      <c r="H633" s="62">
        <v>-0.2169017133068103</v>
      </c>
      <c r="I633" s="62">
        <v>0.2215440350786575</v>
      </c>
      <c r="J633" s="62">
        <v>-5.6175706704151951E-2</v>
      </c>
    </row>
    <row r="634" spans="1:10" ht="11.25" customHeight="1" x14ac:dyDescent="0.2">
      <c r="A634" s="71">
        <v>44228</v>
      </c>
      <c r="B634" s="61">
        <v>0</v>
      </c>
      <c r="C634" s="61">
        <v>0</v>
      </c>
      <c r="D634" s="61">
        <v>2394546.3544800002</v>
      </c>
      <c r="E634" s="61">
        <v>1875165.1476007111</v>
      </c>
      <c r="F634" s="61">
        <v>1385806.6794599998</v>
      </c>
      <c r="G634" s="61">
        <v>1692823.8830665241</v>
      </c>
      <c r="H634" s="62">
        <v>-0.21690171330681041</v>
      </c>
      <c r="I634" s="62">
        <v>0.22154403507865772</v>
      </c>
      <c r="J634" s="62">
        <v>-5.6175706704152062E-2</v>
      </c>
    </row>
    <row r="635" spans="1:10" ht="11.25" customHeight="1" x14ac:dyDescent="0.2">
      <c r="A635" s="71">
        <v>44256</v>
      </c>
      <c r="B635" s="61">
        <v>0</v>
      </c>
      <c r="C635" s="61">
        <v>0</v>
      </c>
      <c r="D635" s="61">
        <v>2428017.08904</v>
      </c>
      <c r="E635" s="61">
        <v>1901376.0224890097</v>
      </c>
      <c r="F635" s="61">
        <v>1405177.3495799999</v>
      </c>
      <c r="G635" s="61">
        <v>1716486.0096070867</v>
      </c>
      <c r="H635" s="62">
        <v>-0.21690171330681041</v>
      </c>
      <c r="I635" s="62">
        <v>0.22154403507865772</v>
      </c>
      <c r="J635" s="62">
        <v>-5.6175706704152062E-2</v>
      </c>
    </row>
    <row r="636" spans="1:10" ht="11.25" customHeight="1" x14ac:dyDescent="0.2">
      <c r="A636" s="71">
        <v>44287</v>
      </c>
      <c r="B636" s="61">
        <v>0</v>
      </c>
      <c r="C636" s="61">
        <v>0</v>
      </c>
      <c r="D636" s="61">
        <v>2433601.6826400002</v>
      </c>
      <c r="E636" s="61">
        <v>1905749.3081690473</v>
      </c>
      <c r="F636" s="61">
        <v>1408409.3467799998</v>
      </c>
      <c r="G636" s="61">
        <v>1720434.0365081374</v>
      </c>
      <c r="H636" s="62">
        <v>-0.21690171330681052</v>
      </c>
      <c r="I636" s="62">
        <v>0.22154403507865772</v>
      </c>
      <c r="J636" s="62">
        <v>-5.6175706704152062E-2</v>
      </c>
    </row>
    <row r="637" spans="1:10" ht="11.25" customHeight="1" x14ac:dyDescent="0.2">
      <c r="A637" s="71">
        <v>44317</v>
      </c>
      <c r="B637" s="61">
        <v>0</v>
      </c>
      <c r="C637" s="61">
        <v>0</v>
      </c>
      <c r="D637" s="61">
        <v>2436351.8553599999</v>
      </c>
      <c r="E637" s="61">
        <v>1907902.9637141896</v>
      </c>
      <c r="F637" s="61">
        <v>1410000.9667199999</v>
      </c>
      <c r="G637" s="61">
        <v>1722378.2703519566</v>
      </c>
      <c r="H637" s="62">
        <v>-0.21690171330681041</v>
      </c>
      <c r="I637" s="62">
        <v>0.2215440350786575</v>
      </c>
      <c r="J637" s="62">
        <v>-5.6175706704151951E-2</v>
      </c>
    </row>
    <row r="638" spans="1:10" ht="11.25" customHeight="1" x14ac:dyDescent="0.2">
      <c r="A638" s="71">
        <v>44348</v>
      </c>
      <c r="B638" s="61">
        <v>0</v>
      </c>
      <c r="C638" s="61">
        <v>0</v>
      </c>
      <c r="D638" s="61">
        <v>2499346.0207200004</v>
      </c>
      <c r="E638" s="61">
        <v>1957233.5866792733</v>
      </c>
      <c r="F638" s="61">
        <v>1446457.8659400002</v>
      </c>
      <c r="G638" s="61">
        <v>1766911.9781316116</v>
      </c>
      <c r="H638" s="62">
        <v>-0.21690171330681052</v>
      </c>
      <c r="I638" s="62">
        <v>0.2215440350786575</v>
      </c>
      <c r="J638" s="62">
        <v>-5.6175706704151951E-2</v>
      </c>
    </row>
    <row r="639" spans="1:10" ht="11.25" customHeight="1" x14ac:dyDescent="0.2">
      <c r="A639" s="71">
        <v>44378</v>
      </c>
      <c r="B639" s="61">
        <v>0</v>
      </c>
      <c r="C639" s="61">
        <v>0</v>
      </c>
      <c r="D639" s="61">
        <v>2430235.5398400002</v>
      </c>
      <c r="E639" s="61">
        <v>1903113.287509603</v>
      </c>
      <c r="F639" s="61">
        <v>1406461.2436799998</v>
      </c>
      <c r="G639" s="61">
        <v>1718054.3427866141</v>
      </c>
      <c r="H639" s="62">
        <v>-0.21690171330681041</v>
      </c>
      <c r="I639" s="62">
        <v>0.2215440350786575</v>
      </c>
      <c r="J639" s="62">
        <v>-5.6175706704151951E-2</v>
      </c>
    </row>
    <row r="640" spans="1:10" ht="11.25" customHeight="1" x14ac:dyDescent="0.2">
      <c r="A640" s="71">
        <v>44409</v>
      </c>
      <c r="B640" s="61">
        <v>0</v>
      </c>
      <c r="C640" s="61">
        <v>0</v>
      </c>
      <c r="D640" s="61">
        <v>2490637.6869599996</v>
      </c>
      <c r="E640" s="61">
        <v>1950414.1054318647</v>
      </c>
      <c r="F640" s="61">
        <v>1441418.0524199996</v>
      </c>
      <c r="G640" s="61">
        <v>1760755.6239883464</v>
      </c>
      <c r="H640" s="62">
        <v>-0.2169017133068103</v>
      </c>
      <c r="I640" s="62">
        <v>0.22154403507865772</v>
      </c>
      <c r="J640" s="62">
        <v>-5.6175706704151951E-2</v>
      </c>
    </row>
    <row r="641" spans="1:10" ht="11.25" customHeight="1" x14ac:dyDescent="0.2">
      <c r="A641" s="71">
        <v>44440</v>
      </c>
      <c r="B641" s="61">
        <v>0</v>
      </c>
      <c r="C641" s="61">
        <v>0</v>
      </c>
      <c r="D641" s="61">
        <v>2525650.1124000004</v>
      </c>
      <c r="E641" s="61">
        <v>1977832.275806902</v>
      </c>
      <c r="F641" s="61">
        <v>1461680.9523</v>
      </c>
      <c r="G641" s="61">
        <v>1785507.6484701566</v>
      </c>
      <c r="H641" s="62">
        <v>-0.21690171330681041</v>
      </c>
      <c r="I641" s="62">
        <v>0.2215440350786575</v>
      </c>
      <c r="J641" s="62">
        <v>-5.6175706704152062E-2</v>
      </c>
    </row>
    <row r="642" spans="1:10" ht="11.25" customHeight="1" x14ac:dyDescent="0.2">
      <c r="A642" s="71">
        <v>44470</v>
      </c>
      <c r="B642" s="61">
        <v>0</v>
      </c>
      <c r="C642" s="61">
        <v>0</v>
      </c>
      <c r="D642" s="61">
        <v>2525650.1124000004</v>
      </c>
      <c r="E642" s="61">
        <v>1977832.275806902</v>
      </c>
      <c r="F642" s="61">
        <v>1461680.9523</v>
      </c>
      <c r="G642" s="61">
        <v>1785507.6484701566</v>
      </c>
      <c r="H642" s="62">
        <v>-0.21690171330681041</v>
      </c>
      <c r="I642" s="62">
        <v>0.2215440350786575</v>
      </c>
      <c r="J642" s="62">
        <v>-5.6175706704152062E-2</v>
      </c>
    </row>
    <row r="643" spans="1:10" ht="11.25" customHeight="1" x14ac:dyDescent="0.2">
      <c r="A643" s="67" t="s">
        <v>33</v>
      </c>
      <c r="B643" s="61">
        <v>0</v>
      </c>
      <c r="C643" s="61">
        <v>0</v>
      </c>
      <c r="D643" s="61">
        <v>39049958.601000004</v>
      </c>
      <c r="E643" s="61">
        <v>30579955.675883085</v>
      </c>
      <c r="F643" s="61">
        <v>22599559.770749994</v>
      </c>
      <c r="G643" s="61">
        <v>27606357.433363255</v>
      </c>
      <c r="H643" s="62">
        <v>-0.21690171330681063</v>
      </c>
      <c r="I643" s="62">
        <v>0.2215440350786575</v>
      </c>
      <c r="J643" s="62">
        <v>-5.6175706704152395E-2</v>
      </c>
    </row>
    <row r="644" spans="1:10" ht="11.25" customHeight="1" x14ac:dyDescent="0.2">
      <c r="A644" s="68" t="s">
        <v>25</v>
      </c>
      <c r="B644" s="61">
        <v>0</v>
      </c>
      <c r="C644" s="61">
        <v>0</v>
      </c>
      <c r="D644" s="61">
        <v>39049958.601000004</v>
      </c>
      <c r="E644" s="61">
        <v>30579955.675883085</v>
      </c>
      <c r="F644" s="61">
        <v>22599559.770749994</v>
      </c>
      <c r="G644" s="61">
        <v>27606357.433363255</v>
      </c>
      <c r="H644" s="62">
        <v>-0.21690171330681063</v>
      </c>
      <c r="I644" s="62">
        <v>0.2215440350786575</v>
      </c>
      <c r="J644" s="62">
        <v>-5.6175706704152395E-2</v>
      </c>
    </row>
    <row r="645" spans="1:10" ht="11.25" customHeight="1" x14ac:dyDescent="0.2">
      <c r="A645" s="69" t="s">
        <v>25</v>
      </c>
      <c r="B645" s="61">
        <v>0</v>
      </c>
      <c r="C645" s="61">
        <v>0</v>
      </c>
      <c r="D645" s="61">
        <v>39049958.601000004</v>
      </c>
      <c r="E645" s="61">
        <v>30579955.675883085</v>
      </c>
      <c r="F645" s="61">
        <v>22599559.770749994</v>
      </c>
      <c r="G645" s="61">
        <v>27606357.433363255</v>
      </c>
      <c r="H645" s="62">
        <v>-0.21690171330681063</v>
      </c>
      <c r="I645" s="62">
        <v>0.2215440350786575</v>
      </c>
      <c r="J645" s="62">
        <v>-5.6175706704152395E-2</v>
      </c>
    </row>
    <row r="646" spans="1:10" ht="11.25" customHeight="1" x14ac:dyDescent="0.2">
      <c r="A646" s="70" t="s">
        <v>25</v>
      </c>
      <c r="B646" s="61">
        <v>0</v>
      </c>
      <c r="C646" s="61">
        <v>0</v>
      </c>
      <c r="D646" s="61">
        <v>39049958.601000004</v>
      </c>
      <c r="E646" s="61">
        <v>30579955.675883085</v>
      </c>
      <c r="F646" s="61">
        <v>22599559.770749994</v>
      </c>
      <c r="G646" s="61">
        <v>27606357.433363255</v>
      </c>
      <c r="H646" s="62">
        <v>-0.21690171330681063</v>
      </c>
      <c r="I646" s="62">
        <v>0.2215440350786575</v>
      </c>
      <c r="J646" s="62">
        <v>-5.6175706704152395E-2</v>
      </c>
    </row>
    <row r="647" spans="1:10" ht="11.25" customHeight="1" x14ac:dyDescent="0.2">
      <c r="A647" s="71">
        <v>44136</v>
      </c>
      <c r="B647" s="61">
        <v>0</v>
      </c>
      <c r="C647" s="61">
        <v>0</v>
      </c>
      <c r="D647" s="61">
        <v>3031242.1124400003</v>
      </c>
      <c r="E647" s="61">
        <v>2373760.5048040096</v>
      </c>
      <c r="F647" s="61">
        <v>1754284.5051299999</v>
      </c>
      <c r="G647" s="61">
        <v>2142935.7730724658</v>
      </c>
      <c r="H647" s="62">
        <v>-0.21690171330681018</v>
      </c>
      <c r="I647" s="62">
        <v>0.2215440350786575</v>
      </c>
      <c r="J647" s="62">
        <v>-5.617570670415184E-2</v>
      </c>
    </row>
    <row r="648" spans="1:10" ht="11.25" customHeight="1" x14ac:dyDescent="0.2">
      <c r="A648" s="71">
        <v>44166</v>
      </c>
      <c r="B648" s="61">
        <v>0</v>
      </c>
      <c r="C648" s="61">
        <v>0</v>
      </c>
      <c r="D648" s="61">
        <v>3262994.4229200003</v>
      </c>
      <c r="E648" s="61">
        <v>2555245.3420780855</v>
      </c>
      <c r="F648" s="61">
        <v>1888407.5715900001</v>
      </c>
      <c r="G648" s="61">
        <v>2306773.0048731375</v>
      </c>
      <c r="H648" s="62">
        <v>-0.2169017133068103</v>
      </c>
      <c r="I648" s="62">
        <v>0.2215440350786575</v>
      </c>
      <c r="J648" s="62">
        <v>-5.6175706704152062E-2</v>
      </c>
    </row>
    <row r="649" spans="1:10" ht="11.25" customHeight="1" x14ac:dyDescent="0.2">
      <c r="A649" s="71">
        <v>44197</v>
      </c>
      <c r="B649" s="61">
        <v>0</v>
      </c>
      <c r="C649" s="61">
        <v>0</v>
      </c>
      <c r="D649" s="61">
        <v>3240957.9797999999</v>
      </c>
      <c r="E649" s="61">
        <v>2537988.6412260015</v>
      </c>
      <c r="F649" s="61">
        <v>1875654.32085</v>
      </c>
      <c r="G649" s="61">
        <v>2291194.3475038279</v>
      </c>
      <c r="H649" s="62">
        <v>-0.21690171330681018</v>
      </c>
      <c r="I649" s="62">
        <v>0.2215440350786575</v>
      </c>
      <c r="J649" s="62">
        <v>-5.6175706704151951E-2</v>
      </c>
    </row>
    <row r="650" spans="1:10" ht="11.25" customHeight="1" x14ac:dyDescent="0.2">
      <c r="A650" s="71">
        <v>44228</v>
      </c>
      <c r="B650" s="61">
        <v>0</v>
      </c>
      <c r="C650" s="61">
        <v>0</v>
      </c>
      <c r="D650" s="61">
        <v>2875632.8601600002</v>
      </c>
      <c r="E650" s="61">
        <v>2251903.1659499328</v>
      </c>
      <c r="F650" s="61">
        <v>1664228.05632</v>
      </c>
      <c r="G650" s="61">
        <v>2032927.8552082442</v>
      </c>
      <c r="H650" s="62">
        <v>-0.2169017133068103</v>
      </c>
      <c r="I650" s="62">
        <v>0.2215440350786575</v>
      </c>
      <c r="J650" s="62">
        <v>-5.6175706704151951E-2</v>
      </c>
    </row>
    <row r="651" spans="1:10" ht="11.25" customHeight="1" x14ac:dyDescent="0.2">
      <c r="A651" s="71">
        <v>44256</v>
      </c>
      <c r="B651" s="61">
        <v>0</v>
      </c>
      <c r="C651" s="61">
        <v>0</v>
      </c>
      <c r="D651" s="61">
        <v>2980234.6441200003</v>
      </c>
      <c r="E651" s="61">
        <v>2333816.6437540604</v>
      </c>
      <c r="F651" s="61">
        <v>1724764.7214900001</v>
      </c>
      <c r="G651" s="61">
        <v>2106876.0574502116</v>
      </c>
      <c r="H651" s="62">
        <v>-0.21690171330681018</v>
      </c>
      <c r="I651" s="62">
        <v>0.2215440350786575</v>
      </c>
      <c r="J651" s="62">
        <v>-5.6175706704152062E-2</v>
      </c>
    </row>
    <row r="652" spans="1:10" ht="11.25" customHeight="1" x14ac:dyDescent="0.2">
      <c r="A652" s="71">
        <v>44287</v>
      </c>
      <c r="B652" s="61">
        <v>0</v>
      </c>
      <c r="C652" s="61">
        <v>0</v>
      </c>
      <c r="D652" s="61">
        <v>3244779.7941599996</v>
      </c>
      <c r="E652" s="61">
        <v>2540981.497503377</v>
      </c>
      <c r="F652" s="61">
        <v>1877866.1368200001</v>
      </c>
      <c r="G652" s="61">
        <v>2293896.1781086731</v>
      </c>
      <c r="H652" s="62">
        <v>-0.21690171330681007</v>
      </c>
      <c r="I652" s="62">
        <v>0.2215440350786575</v>
      </c>
      <c r="J652" s="62">
        <v>-5.6175706704151951E-2</v>
      </c>
    </row>
    <row r="653" spans="1:10" ht="11.25" customHeight="1" x14ac:dyDescent="0.2">
      <c r="A653" s="71">
        <v>44317</v>
      </c>
      <c r="B653" s="61">
        <v>0</v>
      </c>
      <c r="C653" s="61">
        <v>0</v>
      </c>
      <c r="D653" s="61">
        <v>3212719.0811999999</v>
      </c>
      <c r="E653" s="61">
        <v>2515874.808114239</v>
      </c>
      <c r="F653" s="61">
        <v>1859311.4949</v>
      </c>
      <c r="G653" s="61">
        <v>2271230.8659482761</v>
      </c>
      <c r="H653" s="62">
        <v>-0.21690171330681018</v>
      </c>
      <c r="I653" s="62">
        <v>0.22154403507865705</v>
      </c>
      <c r="J653" s="62">
        <v>-5.6175706704152173E-2</v>
      </c>
    </row>
    <row r="654" spans="1:10" ht="11.25" customHeight="1" x14ac:dyDescent="0.2">
      <c r="A654" s="71">
        <v>44348</v>
      </c>
      <c r="B654" s="61">
        <v>0</v>
      </c>
      <c r="C654" s="61">
        <v>0</v>
      </c>
      <c r="D654" s="61">
        <v>3457835.0668799998</v>
      </c>
      <c r="E654" s="61">
        <v>2707824.7165413592</v>
      </c>
      <c r="F654" s="61">
        <v>2001168.58176</v>
      </c>
      <c r="G654" s="61">
        <v>2444515.5442357445</v>
      </c>
      <c r="H654" s="62">
        <v>-0.21690171330681018</v>
      </c>
      <c r="I654" s="62">
        <v>0.2215440350786575</v>
      </c>
      <c r="J654" s="62">
        <v>-5.617570670415184E-2</v>
      </c>
    </row>
    <row r="655" spans="1:10" ht="11.25" customHeight="1" x14ac:dyDescent="0.2">
      <c r="A655" s="71">
        <v>44378</v>
      </c>
      <c r="B655" s="61">
        <v>0</v>
      </c>
      <c r="C655" s="61">
        <v>0</v>
      </c>
      <c r="D655" s="61">
        <v>3147322.5820800001</v>
      </c>
      <c r="E655" s="61">
        <v>2464662.9216976338</v>
      </c>
      <c r="F655" s="61">
        <v>1821464.2821599997</v>
      </c>
      <c r="G655" s="61">
        <v>2224998.8289813767</v>
      </c>
      <c r="H655" s="62">
        <v>-0.21690171330681041</v>
      </c>
      <c r="I655" s="62">
        <v>0.22154403507865772</v>
      </c>
      <c r="J655" s="62">
        <v>-5.6175706704152062E-2</v>
      </c>
    </row>
    <row r="656" spans="1:10" ht="11.25" customHeight="1" x14ac:dyDescent="0.2">
      <c r="A656" s="71">
        <v>44409</v>
      </c>
      <c r="B656" s="61">
        <v>0</v>
      </c>
      <c r="C656" s="61">
        <v>0</v>
      </c>
      <c r="D656" s="61">
        <v>3429097.4898000001</v>
      </c>
      <c r="E656" s="61">
        <v>2685320.3691662978</v>
      </c>
      <c r="F656" s="61">
        <v>1984537.1533500003</v>
      </c>
      <c r="G656" s="61">
        <v>2424199.5220666719</v>
      </c>
      <c r="H656" s="62">
        <v>-0.21690171330681018</v>
      </c>
      <c r="I656" s="62">
        <v>0.2215440350786575</v>
      </c>
      <c r="J656" s="62">
        <v>-5.6175706704151951E-2</v>
      </c>
    </row>
    <row r="657" spans="1:10" ht="11.25" customHeight="1" x14ac:dyDescent="0.2">
      <c r="A657" s="71">
        <v>44440</v>
      </c>
      <c r="B657" s="61">
        <v>0</v>
      </c>
      <c r="C657" s="61">
        <v>0</v>
      </c>
      <c r="D657" s="61">
        <v>3583571.2837199997</v>
      </c>
      <c r="E657" s="61">
        <v>2806288.5325240465</v>
      </c>
      <c r="F657" s="61">
        <v>2073936.47319</v>
      </c>
      <c r="G657" s="61">
        <v>2533404.7279573125</v>
      </c>
      <c r="H657" s="62">
        <v>-0.21690171330681018</v>
      </c>
      <c r="I657" s="62">
        <v>0.2215440350786575</v>
      </c>
      <c r="J657" s="62">
        <v>-5.6175706704151951E-2</v>
      </c>
    </row>
    <row r="658" spans="1:10" ht="11.25" customHeight="1" x14ac:dyDescent="0.2">
      <c r="A658" s="71">
        <v>44470</v>
      </c>
      <c r="B658" s="61">
        <v>0</v>
      </c>
      <c r="C658" s="61">
        <v>0</v>
      </c>
      <c r="D658" s="61">
        <v>3583571.2837199997</v>
      </c>
      <c r="E658" s="61">
        <v>2806288.5325240465</v>
      </c>
      <c r="F658" s="61">
        <v>2073936.47319</v>
      </c>
      <c r="G658" s="61">
        <v>2533404.7279573125</v>
      </c>
      <c r="H658" s="62">
        <v>-0.21690171330681018</v>
      </c>
      <c r="I658" s="62">
        <v>0.2215440350786575</v>
      </c>
      <c r="J658" s="62">
        <v>-5.6175706704151951E-2</v>
      </c>
    </row>
    <row r="659" spans="1:10" ht="11.25" customHeight="1" x14ac:dyDescent="0.2">
      <c r="A659" s="67" t="s">
        <v>34</v>
      </c>
      <c r="B659" s="61">
        <v>0</v>
      </c>
      <c r="C659" s="61">
        <v>0</v>
      </c>
      <c r="D659" s="61">
        <v>32576354.889659997</v>
      </c>
      <c r="E659" s="61">
        <v>25511094.529882222</v>
      </c>
      <c r="F659" s="61">
        <v>18853510.180200003</v>
      </c>
      <c r="G659" s="61">
        <v>23030392.900918059</v>
      </c>
      <c r="H659" s="62">
        <v>-0.21688308540684342</v>
      </c>
      <c r="I659" s="62">
        <v>0.22154403507865794</v>
      </c>
      <c r="J659" s="62">
        <v>-5.6161485843609693E-2</v>
      </c>
    </row>
    <row r="660" spans="1:10" ht="11.25" customHeight="1" x14ac:dyDescent="0.2">
      <c r="A660" s="68" t="s">
        <v>25</v>
      </c>
      <c r="B660" s="61">
        <v>0</v>
      </c>
      <c r="C660" s="61">
        <v>0</v>
      </c>
      <c r="D660" s="61">
        <v>32576354.889659997</v>
      </c>
      <c r="E660" s="61">
        <v>25511094.529882222</v>
      </c>
      <c r="F660" s="61">
        <v>18853510.180200003</v>
      </c>
      <c r="G660" s="61">
        <v>23030392.900918059</v>
      </c>
      <c r="H660" s="62">
        <v>-0.21688308540684342</v>
      </c>
      <c r="I660" s="62">
        <v>0.22154403507865794</v>
      </c>
      <c r="J660" s="62">
        <v>-5.6161485843609693E-2</v>
      </c>
    </row>
    <row r="661" spans="1:10" ht="11.25" customHeight="1" x14ac:dyDescent="0.2">
      <c r="A661" s="69" t="s">
        <v>25</v>
      </c>
      <c r="B661" s="61">
        <v>0</v>
      </c>
      <c r="C661" s="61">
        <v>0</v>
      </c>
      <c r="D661" s="61">
        <v>32576354.889659997</v>
      </c>
      <c r="E661" s="61">
        <v>25511094.529882222</v>
      </c>
      <c r="F661" s="61">
        <v>18853510.180200003</v>
      </c>
      <c r="G661" s="61">
        <v>23030392.900918059</v>
      </c>
      <c r="H661" s="62">
        <v>-0.21688308540684342</v>
      </c>
      <c r="I661" s="62">
        <v>0.22154403507865794</v>
      </c>
      <c r="J661" s="62">
        <v>-5.6161485843609693E-2</v>
      </c>
    </row>
    <row r="662" spans="1:10" ht="11.25" customHeight="1" x14ac:dyDescent="0.2">
      <c r="A662" s="70" t="s">
        <v>25</v>
      </c>
      <c r="B662" s="61">
        <v>0</v>
      </c>
      <c r="C662" s="61">
        <v>0</v>
      </c>
      <c r="D662" s="61">
        <v>32576354.889659997</v>
      </c>
      <c r="E662" s="61">
        <v>25511094.529882222</v>
      </c>
      <c r="F662" s="61">
        <v>18853510.180200003</v>
      </c>
      <c r="G662" s="61">
        <v>23030392.900918059</v>
      </c>
      <c r="H662" s="62">
        <v>-0.21688308540684342</v>
      </c>
      <c r="I662" s="62">
        <v>0.22154403507865794</v>
      </c>
      <c r="J662" s="62">
        <v>-5.6161485843609693E-2</v>
      </c>
    </row>
    <row r="663" spans="1:10" ht="11.25" customHeight="1" x14ac:dyDescent="0.2">
      <c r="A663" s="71">
        <v>44136</v>
      </c>
      <c r="B663" s="61">
        <v>0</v>
      </c>
      <c r="C663" s="61">
        <v>0</v>
      </c>
      <c r="D663" s="61">
        <v>2597741.1503999997</v>
      </c>
      <c r="E663" s="61">
        <v>2034335.0346129241</v>
      </c>
      <c r="F663" s="61">
        <v>1503438.2880000002</v>
      </c>
      <c r="G663" s="61">
        <v>1836516.0728152685</v>
      </c>
      <c r="H663" s="62">
        <v>-0.21688308540684376</v>
      </c>
      <c r="I663" s="62">
        <v>0.22154403507865728</v>
      </c>
      <c r="J663" s="62">
        <v>-5.6161485843610248E-2</v>
      </c>
    </row>
    <row r="664" spans="1:10" ht="11.25" customHeight="1" x14ac:dyDescent="0.2">
      <c r="A664" s="71">
        <v>44166</v>
      </c>
      <c r="B664" s="61">
        <v>0</v>
      </c>
      <c r="C664" s="61">
        <v>0</v>
      </c>
      <c r="D664" s="61">
        <v>2584950.3642599997</v>
      </c>
      <c r="E664" s="61">
        <v>2024318.3536357465</v>
      </c>
      <c r="F664" s="61">
        <v>1496035.6422000001</v>
      </c>
      <c r="G664" s="61">
        <v>1827473.4149944785</v>
      </c>
      <c r="H664" s="62">
        <v>-0.21688308540684365</v>
      </c>
      <c r="I664" s="62">
        <v>0.22154403507865728</v>
      </c>
      <c r="J664" s="62">
        <v>-5.6161485843610248E-2</v>
      </c>
    </row>
    <row r="665" spans="1:10" ht="11.25" customHeight="1" x14ac:dyDescent="0.2">
      <c r="A665" s="71">
        <v>44197</v>
      </c>
      <c r="B665" s="61">
        <v>0</v>
      </c>
      <c r="C665" s="61">
        <v>0</v>
      </c>
      <c r="D665" s="61">
        <v>2582993.8692000001</v>
      </c>
      <c r="E665" s="61">
        <v>2022786.1892609426</v>
      </c>
      <c r="F665" s="61">
        <v>1494903.324</v>
      </c>
      <c r="G665" s="61">
        <v>1826090.2384514576</v>
      </c>
      <c r="H665" s="62">
        <v>-0.21688308540684376</v>
      </c>
      <c r="I665" s="62">
        <v>0.2215440350786575</v>
      </c>
      <c r="J665" s="62">
        <v>-5.6161485843610248E-2</v>
      </c>
    </row>
    <row r="666" spans="1:10" ht="11.25" customHeight="1" x14ac:dyDescent="0.2">
      <c r="A666" s="71">
        <v>44228</v>
      </c>
      <c r="B666" s="61">
        <v>0</v>
      </c>
      <c r="C666" s="61">
        <v>0</v>
      </c>
      <c r="D666" s="61">
        <v>2009404.9250099999</v>
      </c>
      <c r="E666" s="61">
        <v>1573598.9850421238</v>
      </c>
      <c r="F666" s="61">
        <v>1162939.6947000001</v>
      </c>
      <c r="G666" s="61">
        <v>1420582.0472169798</v>
      </c>
      <c r="H666" s="62">
        <v>-0.21688308540684365</v>
      </c>
      <c r="I666" s="62">
        <v>0.22154403507865728</v>
      </c>
      <c r="J666" s="62">
        <v>-5.6161485843610248E-2</v>
      </c>
    </row>
    <row r="667" spans="1:10" ht="11.25" customHeight="1" x14ac:dyDescent="0.2">
      <c r="A667" s="71">
        <v>44256</v>
      </c>
      <c r="B667" s="61">
        <v>0</v>
      </c>
      <c r="C667" s="61">
        <v>0</v>
      </c>
      <c r="D667" s="61">
        <v>2299602.2439599996</v>
      </c>
      <c r="E667" s="61">
        <v>1800857.4140814538</v>
      </c>
      <c r="F667" s="61">
        <v>1330890.9012000002</v>
      </c>
      <c r="G667" s="61">
        <v>1625741.841701319</v>
      </c>
      <c r="H667" s="62">
        <v>-0.21688308540684365</v>
      </c>
      <c r="I667" s="62">
        <v>0.22154403507865728</v>
      </c>
      <c r="J667" s="62">
        <v>-5.6161485843610137E-2</v>
      </c>
    </row>
    <row r="668" spans="1:10" ht="11.25" customHeight="1" x14ac:dyDescent="0.2">
      <c r="A668" s="71">
        <v>44287</v>
      </c>
      <c r="B668" s="61">
        <v>0</v>
      </c>
      <c r="C668" s="61">
        <v>0</v>
      </c>
      <c r="D668" s="61">
        <v>2614515.5521799996</v>
      </c>
      <c r="E668" s="61">
        <v>2047471.3523790236</v>
      </c>
      <c r="F668" s="61">
        <v>1513146.4446</v>
      </c>
      <c r="G668" s="61">
        <v>1848375.0136016081</v>
      </c>
      <c r="H668" s="62">
        <v>-0.21688308540684376</v>
      </c>
      <c r="I668" s="62">
        <v>0.22154403507865728</v>
      </c>
      <c r="J668" s="62">
        <v>-5.6161485843610248E-2</v>
      </c>
    </row>
    <row r="669" spans="1:10" ht="11.25" customHeight="1" x14ac:dyDescent="0.2">
      <c r="A669" s="71">
        <v>44317</v>
      </c>
      <c r="B669" s="61">
        <v>0</v>
      </c>
      <c r="C669" s="61">
        <v>0</v>
      </c>
      <c r="D669" s="61">
        <v>2501238.9443399999</v>
      </c>
      <c r="E669" s="61">
        <v>1958762.5247517843</v>
      </c>
      <c r="F669" s="61">
        <v>1447587.7998000004</v>
      </c>
      <c r="G669" s="61">
        <v>1768292.2420983277</v>
      </c>
      <c r="H669" s="62">
        <v>-0.21688308540684365</v>
      </c>
      <c r="I669" s="62">
        <v>0.22154403507865705</v>
      </c>
      <c r="J669" s="62">
        <v>-5.6161485843610248E-2</v>
      </c>
    </row>
    <row r="670" spans="1:10" ht="11.25" customHeight="1" x14ac:dyDescent="0.2">
      <c r="A670" s="71">
        <v>44348</v>
      </c>
      <c r="B670" s="61">
        <v>0</v>
      </c>
      <c r="C670" s="61">
        <v>0</v>
      </c>
      <c r="D670" s="61">
        <v>3055983.9067800008</v>
      </c>
      <c r="E670" s="61">
        <v>2393192.6881238935</v>
      </c>
      <c r="F670" s="61">
        <v>1768645.5066000002</v>
      </c>
      <c r="G670" s="61">
        <v>2160478.3687559003</v>
      </c>
      <c r="H670" s="62">
        <v>-0.21688308540684387</v>
      </c>
      <c r="I670" s="62">
        <v>0.22154403507865728</v>
      </c>
      <c r="J670" s="62">
        <v>-5.6161485843610248E-2</v>
      </c>
    </row>
    <row r="671" spans="1:10" ht="11.25" customHeight="1" x14ac:dyDescent="0.2">
      <c r="A671" s="71">
        <v>44378</v>
      </c>
      <c r="B671" s="61">
        <v>0</v>
      </c>
      <c r="C671" s="61">
        <v>0</v>
      </c>
      <c r="D671" s="61">
        <v>2424344.5686599999</v>
      </c>
      <c r="E671" s="61">
        <v>1898545.2385196954</v>
      </c>
      <c r="F671" s="61">
        <v>1403085.3101999999</v>
      </c>
      <c r="G671" s="61">
        <v>1713930.4913812978</v>
      </c>
      <c r="H671" s="62">
        <v>-0.21688308540684376</v>
      </c>
      <c r="I671" s="62">
        <v>0.2215440350786575</v>
      </c>
      <c r="J671" s="62">
        <v>-5.6161485843610137E-2</v>
      </c>
    </row>
    <row r="672" spans="1:10" ht="11.25" customHeight="1" x14ac:dyDescent="0.2">
      <c r="A672" s="71">
        <v>44409</v>
      </c>
      <c r="B672" s="61">
        <v>0</v>
      </c>
      <c r="C672" s="61">
        <v>0</v>
      </c>
      <c r="D672" s="61">
        <v>3195608.4578699996</v>
      </c>
      <c r="E672" s="61">
        <v>2502535.0357749485</v>
      </c>
      <c r="F672" s="61">
        <v>1849452.9789000002</v>
      </c>
      <c r="G672" s="61">
        <v>2259188.2545337491</v>
      </c>
      <c r="H672" s="62">
        <v>-0.21688308540684365</v>
      </c>
      <c r="I672" s="62">
        <v>0.22154403507865728</v>
      </c>
      <c r="J672" s="62">
        <v>-5.6161485843610248E-2</v>
      </c>
    </row>
    <row r="673" spans="1:10" ht="11.25" customHeight="1" x14ac:dyDescent="0.2">
      <c r="A673" s="71">
        <v>44440</v>
      </c>
      <c r="B673" s="61">
        <v>0</v>
      </c>
      <c r="C673" s="61">
        <v>0</v>
      </c>
      <c r="D673" s="61">
        <v>3354985.4535000003</v>
      </c>
      <c r="E673" s="61">
        <v>2627345.8568498413</v>
      </c>
      <c r="F673" s="61">
        <v>1941692.1450000003</v>
      </c>
      <c r="G673" s="61">
        <v>2371862.4576838338</v>
      </c>
      <c r="H673" s="62">
        <v>-0.21688308540684376</v>
      </c>
      <c r="I673" s="62">
        <v>0.22154403507865728</v>
      </c>
      <c r="J673" s="62">
        <v>-5.6161485843610248E-2</v>
      </c>
    </row>
    <row r="674" spans="1:10" ht="11.25" customHeight="1" x14ac:dyDescent="0.2">
      <c r="A674" s="71">
        <v>44470</v>
      </c>
      <c r="B674" s="61">
        <v>0</v>
      </c>
      <c r="C674" s="61">
        <v>0</v>
      </c>
      <c r="D674" s="61">
        <v>3354985.4535000003</v>
      </c>
      <c r="E674" s="61">
        <v>2627345.8568498413</v>
      </c>
      <c r="F674" s="61">
        <v>1941692.1450000003</v>
      </c>
      <c r="G674" s="61">
        <v>2371862.4576838338</v>
      </c>
      <c r="H674" s="62">
        <v>-0.21688308540684376</v>
      </c>
      <c r="I674" s="62">
        <v>0.22154403507865728</v>
      </c>
      <c r="J674" s="62">
        <v>-5.6161485843610248E-2</v>
      </c>
    </row>
    <row r="675" spans="1:10" ht="11.25" customHeight="1" x14ac:dyDescent="0.2">
      <c r="A675" s="64" t="s">
        <v>46</v>
      </c>
      <c r="B675" s="61">
        <v>0</v>
      </c>
      <c r="C675" s="61">
        <v>0</v>
      </c>
      <c r="D675" s="61">
        <v>23753643.950423405</v>
      </c>
      <c r="E675" s="61">
        <v>21273896.9292164</v>
      </c>
      <c r="F675" s="61">
        <v>12837509.4747658</v>
      </c>
      <c r="G675" s="61">
        <v>16828846.711882368</v>
      </c>
      <c r="H675" s="62">
        <v>-0.10439438371571574</v>
      </c>
      <c r="I675" s="62">
        <v>0.31091211616725034</v>
      </c>
      <c r="J675" s="62">
        <v>4.1310264214546422E-2</v>
      </c>
    </row>
    <row r="676" spans="1:10" ht="11.25" customHeight="1" x14ac:dyDescent="0.2">
      <c r="A676" s="65" t="s">
        <v>39</v>
      </c>
      <c r="B676" s="61">
        <v>0</v>
      </c>
      <c r="C676" s="61">
        <v>0</v>
      </c>
      <c r="D676" s="61">
        <v>164.69515999999993</v>
      </c>
      <c r="E676" s="61">
        <v>135.34833405323988</v>
      </c>
      <c r="F676" s="61">
        <v>103.93513000000002</v>
      </c>
      <c r="G676" s="61">
        <v>137.18098877478974</v>
      </c>
      <c r="H676" s="62">
        <v>-0.17818875762202158</v>
      </c>
      <c r="I676" s="62">
        <v>0.31987123867348521</v>
      </c>
      <c r="J676" s="62">
        <v>1.4514494355903462E-2</v>
      </c>
    </row>
    <row r="677" spans="1:10" ht="11.25" customHeight="1" x14ac:dyDescent="0.2">
      <c r="A677" s="66" t="s">
        <v>47</v>
      </c>
      <c r="B677" s="61">
        <v>0</v>
      </c>
      <c r="C677" s="61">
        <v>0</v>
      </c>
      <c r="D677" s="61">
        <v>164.69515999999993</v>
      </c>
      <c r="E677" s="61">
        <v>135.34833405323988</v>
      </c>
      <c r="F677" s="61">
        <v>103.93513000000002</v>
      </c>
      <c r="G677" s="61">
        <v>137.18098877478974</v>
      </c>
      <c r="H677" s="62">
        <v>-0.17818875762202158</v>
      </c>
      <c r="I677" s="62">
        <v>0.31987123867348521</v>
      </c>
      <c r="J677" s="62">
        <v>1.4514494355903462E-2</v>
      </c>
    </row>
    <row r="678" spans="1:10" ht="11.25" customHeight="1" x14ac:dyDescent="0.2">
      <c r="A678" s="67" t="s">
        <v>25</v>
      </c>
      <c r="B678" s="61">
        <v>0</v>
      </c>
      <c r="C678" s="61">
        <v>0</v>
      </c>
      <c r="D678" s="61">
        <v>164.69515999999993</v>
      </c>
      <c r="E678" s="61">
        <v>135.34833405323988</v>
      </c>
      <c r="F678" s="61">
        <v>103.93513000000002</v>
      </c>
      <c r="G678" s="61">
        <v>137.18098877478974</v>
      </c>
      <c r="H678" s="62">
        <v>-0.17818875762202158</v>
      </c>
      <c r="I678" s="62">
        <v>0.31987123867348521</v>
      </c>
      <c r="J678" s="62">
        <v>1.4514494355903462E-2</v>
      </c>
    </row>
    <row r="679" spans="1:10" ht="11.25" customHeight="1" x14ac:dyDescent="0.2">
      <c r="A679" s="68" t="s">
        <v>25</v>
      </c>
      <c r="B679" s="61">
        <v>0</v>
      </c>
      <c r="C679" s="61">
        <v>0</v>
      </c>
      <c r="D679" s="61">
        <v>164.69515999999993</v>
      </c>
      <c r="E679" s="61">
        <v>135.34833405323988</v>
      </c>
      <c r="F679" s="61">
        <v>103.93513000000002</v>
      </c>
      <c r="G679" s="61">
        <v>137.18098877478974</v>
      </c>
      <c r="H679" s="62">
        <v>-0.17818875762202158</v>
      </c>
      <c r="I679" s="62">
        <v>0.31987123867348521</v>
      </c>
      <c r="J679" s="62">
        <v>1.4514494355903462E-2</v>
      </c>
    </row>
    <row r="680" spans="1:10" ht="11.25" customHeight="1" x14ac:dyDescent="0.2">
      <c r="A680" s="69" t="s">
        <v>25</v>
      </c>
      <c r="B680" s="61">
        <v>0</v>
      </c>
      <c r="C680" s="61">
        <v>0</v>
      </c>
      <c r="D680" s="61">
        <v>164.69515999999993</v>
      </c>
      <c r="E680" s="61">
        <v>135.34833405323988</v>
      </c>
      <c r="F680" s="61">
        <v>103.93513000000002</v>
      </c>
      <c r="G680" s="61">
        <v>137.18098877478974</v>
      </c>
      <c r="H680" s="62">
        <v>-0.17818875762202158</v>
      </c>
      <c r="I680" s="62">
        <v>0.31987123867348521</v>
      </c>
      <c r="J680" s="62">
        <v>1.4514494355903462E-2</v>
      </c>
    </row>
    <row r="681" spans="1:10" ht="11.25" customHeight="1" x14ac:dyDescent="0.2">
      <c r="A681" s="70" t="s">
        <v>38</v>
      </c>
      <c r="B681" s="61">
        <v>0</v>
      </c>
      <c r="C681" s="61">
        <v>0</v>
      </c>
      <c r="D681" s="61">
        <v>161.92175999999995</v>
      </c>
      <c r="E681" s="61">
        <v>132.57321597070126</v>
      </c>
      <c r="F681" s="61">
        <v>102.99198000000001</v>
      </c>
      <c r="G681" s="61">
        <v>135.93615221603483</v>
      </c>
      <c r="H681" s="62">
        <v>-0.18125138974093846</v>
      </c>
      <c r="I681" s="62">
        <v>0.31987123867348521</v>
      </c>
      <c r="J681" s="62">
        <v>1.3572826334852017E-2</v>
      </c>
    </row>
    <row r="682" spans="1:10" ht="11.25" customHeight="1" x14ac:dyDescent="0.2">
      <c r="A682" s="71">
        <v>44136</v>
      </c>
      <c r="B682" s="61">
        <v>0</v>
      </c>
      <c r="C682" s="61">
        <v>0</v>
      </c>
      <c r="D682" s="61">
        <v>29.06288</v>
      </c>
      <c r="E682" s="61">
        <v>23.795192610125866</v>
      </c>
      <c r="F682" s="61">
        <v>18.48574</v>
      </c>
      <c r="G682" s="61">
        <v>24.398796551595989</v>
      </c>
      <c r="H682" s="62">
        <v>-0.18125138974093868</v>
      </c>
      <c r="I682" s="62">
        <v>0.31987123867348499</v>
      </c>
      <c r="J682" s="62">
        <v>1.3572826334851795E-2</v>
      </c>
    </row>
    <row r="683" spans="1:10" ht="11.25" customHeight="1" x14ac:dyDescent="0.2">
      <c r="A683" s="71">
        <v>44166</v>
      </c>
      <c r="B683" s="61">
        <v>0</v>
      </c>
      <c r="C683" s="61">
        <v>0</v>
      </c>
      <c r="D683" s="61">
        <v>16.903919999999999</v>
      </c>
      <c r="E683" s="61">
        <v>13.84006100793035</v>
      </c>
      <c r="F683" s="61">
        <v>10.751910000000001</v>
      </c>
      <c r="G683" s="61">
        <v>14.191136769805832</v>
      </c>
      <c r="H683" s="62">
        <v>-0.1812513897409388</v>
      </c>
      <c r="I683" s="62">
        <v>0.31987123867348499</v>
      </c>
      <c r="J683" s="62">
        <v>1.3572826334851573E-2</v>
      </c>
    </row>
    <row r="684" spans="1:10" ht="11.25" customHeight="1" x14ac:dyDescent="0.2">
      <c r="A684" s="71">
        <v>44197</v>
      </c>
      <c r="B684" s="61">
        <v>0</v>
      </c>
      <c r="C684" s="61">
        <v>0</v>
      </c>
      <c r="D684" s="61">
        <v>20.46264</v>
      </c>
      <c r="E684" s="61">
        <v>16.75375806223148</v>
      </c>
      <c r="F684" s="61">
        <v>13.015470000000001</v>
      </c>
      <c r="G684" s="61">
        <v>17.178744510817587</v>
      </c>
      <c r="H684" s="62">
        <v>-0.18125138974093857</v>
      </c>
      <c r="I684" s="62">
        <v>0.31987123867348521</v>
      </c>
      <c r="J684" s="62">
        <v>1.3572826334851795E-2</v>
      </c>
    </row>
    <row r="685" spans="1:10" ht="11.25" customHeight="1" x14ac:dyDescent="0.2">
      <c r="A685" s="71">
        <v>44228</v>
      </c>
      <c r="B685" s="61">
        <v>0</v>
      </c>
      <c r="C685" s="61">
        <v>0</v>
      </c>
      <c r="D685" s="61">
        <v>11.862400000000001</v>
      </c>
      <c r="E685" s="61">
        <v>9.7123235143370881</v>
      </c>
      <c r="F685" s="61">
        <v>7.5452000000000004</v>
      </c>
      <c r="G685" s="61">
        <v>9.9586924700391801</v>
      </c>
      <c r="H685" s="62">
        <v>-0.1812513897409388</v>
      </c>
      <c r="I685" s="62">
        <v>0.31987123867348499</v>
      </c>
      <c r="J685" s="62">
        <v>1.3572826334851573E-2</v>
      </c>
    </row>
    <row r="686" spans="1:10" ht="11.25" customHeight="1" x14ac:dyDescent="0.2">
      <c r="A686" s="71">
        <v>44256</v>
      </c>
      <c r="B686" s="61">
        <v>0</v>
      </c>
      <c r="C686" s="61">
        <v>0</v>
      </c>
      <c r="D686" s="61">
        <v>8.8967999999999989</v>
      </c>
      <c r="E686" s="61">
        <v>7.2842426357528156</v>
      </c>
      <c r="F686" s="61">
        <v>5.6589</v>
      </c>
      <c r="G686" s="61">
        <v>7.4690193525293846</v>
      </c>
      <c r="H686" s="62">
        <v>-0.18125138974093868</v>
      </c>
      <c r="I686" s="62">
        <v>0.31987123867348499</v>
      </c>
      <c r="J686" s="62">
        <v>1.3572826334851795E-2</v>
      </c>
    </row>
    <row r="687" spans="1:10" ht="11.25" customHeight="1" x14ac:dyDescent="0.2">
      <c r="A687" s="71">
        <v>44287</v>
      </c>
      <c r="B687" s="61">
        <v>0</v>
      </c>
      <c r="C687" s="61">
        <v>0</v>
      </c>
      <c r="D687" s="61">
        <v>10.972719999999999</v>
      </c>
      <c r="E687" s="61">
        <v>8.9838992507618052</v>
      </c>
      <c r="F687" s="61">
        <v>6.9793099999999999</v>
      </c>
      <c r="G687" s="61">
        <v>9.2117905347862408</v>
      </c>
      <c r="H687" s="62">
        <v>-0.1812513897409388</v>
      </c>
      <c r="I687" s="62">
        <v>0.31987123867348499</v>
      </c>
      <c r="J687" s="62">
        <v>1.3572826334851573E-2</v>
      </c>
    </row>
    <row r="688" spans="1:10" ht="11.25" customHeight="1" x14ac:dyDescent="0.2">
      <c r="A688" s="71">
        <v>44317</v>
      </c>
      <c r="B688" s="61">
        <v>0</v>
      </c>
      <c r="C688" s="61">
        <v>0</v>
      </c>
      <c r="D688" s="61">
        <v>8.8967999999999989</v>
      </c>
      <c r="E688" s="61">
        <v>7.2842426357528156</v>
      </c>
      <c r="F688" s="61">
        <v>5.6589</v>
      </c>
      <c r="G688" s="61">
        <v>7.4690193525293846</v>
      </c>
      <c r="H688" s="62">
        <v>-0.18125138974093868</v>
      </c>
      <c r="I688" s="62">
        <v>0.31987123867348499</v>
      </c>
      <c r="J688" s="62">
        <v>1.3572826334851795E-2</v>
      </c>
    </row>
    <row r="689" spans="1:10" ht="11.25" customHeight="1" x14ac:dyDescent="0.2">
      <c r="A689" s="71">
        <v>44348</v>
      </c>
      <c r="B689" s="61">
        <v>0</v>
      </c>
      <c r="C689" s="61">
        <v>0</v>
      </c>
      <c r="D689" s="61">
        <v>19.276400000000002</v>
      </c>
      <c r="E689" s="61">
        <v>15.782525710797769</v>
      </c>
      <c r="F689" s="61">
        <v>12.260949999999999</v>
      </c>
      <c r="G689" s="61">
        <v>16.182875263813667</v>
      </c>
      <c r="H689" s="62">
        <v>-0.1812513897409388</v>
      </c>
      <c r="I689" s="62">
        <v>0.31987123867348521</v>
      </c>
      <c r="J689" s="62">
        <v>1.3572826334851573E-2</v>
      </c>
    </row>
    <row r="690" spans="1:10" ht="11.25" customHeight="1" x14ac:dyDescent="0.2">
      <c r="A690" s="71">
        <v>44378</v>
      </c>
      <c r="B690" s="61">
        <v>0</v>
      </c>
      <c r="C690" s="61">
        <v>0</v>
      </c>
      <c r="D690" s="61">
        <v>8.8967999999999989</v>
      </c>
      <c r="E690" s="61">
        <v>7.2842426357528156</v>
      </c>
      <c r="F690" s="61">
        <v>5.6589</v>
      </c>
      <c r="G690" s="61">
        <v>7.4690193525293846</v>
      </c>
      <c r="H690" s="62">
        <v>-0.18125138974093868</v>
      </c>
      <c r="I690" s="62">
        <v>0.31987123867348499</v>
      </c>
      <c r="J690" s="62">
        <v>1.3572826334851795E-2</v>
      </c>
    </row>
    <row r="691" spans="1:10" ht="11.25" customHeight="1" x14ac:dyDescent="0.2">
      <c r="A691" s="71">
        <v>44409</v>
      </c>
      <c r="B691" s="61">
        <v>0</v>
      </c>
      <c r="C691" s="61">
        <v>0</v>
      </c>
      <c r="D691" s="61">
        <v>8.8967999999999989</v>
      </c>
      <c r="E691" s="61">
        <v>7.2842426357528156</v>
      </c>
      <c r="F691" s="61">
        <v>5.6589</v>
      </c>
      <c r="G691" s="61">
        <v>7.4690193525293846</v>
      </c>
      <c r="H691" s="62">
        <v>-0.18125138974093868</v>
      </c>
      <c r="I691" s="62">
        <v>0.31987123867348499</v>
      </c>
      <c r="J691" s="62">
        <v>1.3572826334851795E-2</v>
      </c>
    </row>
    <row r="692" spans="1:10" ht="11.25" customHeight="1" x14ac:dyDescent="0.2">
      <c r="A692" s="71">
        <v>44440</v>
      </c>
      <c r="B692" s="61">
        <v>0</v>
      </c>
      <c r="C692" s="61">
        <v>0</v>
      </c>
      <c r="D692" s="61">
        <v>8.8967999999999989</v>
      </c>
      <c r="E692" s="61">
        <v>7.2842426357528156</v>
      </c>
      <c r="F692" s="61">
        <v>5.6589</v>
      </c>
      <c r="G692" s="61">
        <v>7.4690193525293846</v>
      </c>
      <c r="H692" s="62">
        <v>-0.18125138974093868</v>
      </c>
      <c r="I692" s="62">
        <v>0.31987123867348499</v>
      </c>
      <c r="J692" s="62">
        <v>1.3572826334851795E-2</v>
      </c>
    </row>
    <row r="693" spans="1:10" ht="11.25" customHeight="1" x14ac:dyDescent="0.2">
      <c r="A693" s="71">
        <v>44470</v>
      </c>
      <c r="B693" s="61">
        <v>0</v>
      </c>
      <c r="C693" s="61">
        <v>0</v>
      </c>
      <c r="D693" s="61">
        <v>8.8967999999999989</v>
      </c>
      <c r="E693" s="61">
        <v>7.2842426357528156</v>
      </c>
      <c r="F693" s="61">
        <v>5.6589</v>
      </c>
      <c r="G693" s="61">
        <v>7.4690193525293846</v>
      </c>
      <c r="H693" s="62">
        <v>-0.18125138974093868</v>
      </c>
      <c r="I693" s="62">
        <v>0.31987123867348499</v>
      </c>
      <c r="J693" s="62">
        <v>1.3572826334851795E-2</v>
      </c>
    </row>
    <row r="694" spans="1:10" ht="11.25" customHeight="1" x14ac:dyDescent="0.2">
      <c r="A694" s="70" t="s">
        <v>40</v>
      </c>
      <c r="B694" s="61">
        <v>0</v>
      </c>
      <c r="C694" s="61">
        <v>0</v>
      </c>
      <c r="D694" s="61">
        <v>2.7733999999999996</v>
      </c>
      <c r="E694" s="61">
        <v>2.7751180825386426</v>
      </c>
      <c r="F694" s="61">
        <v>0.94314999999999993</v>
      </c>
      <c r="G694" s="61">
        <v>1.2448365587548975</v>
      </c>
      <c r="H694" s="62">
        <v>6.1948602388506302E-4</v>
      </c>
      <c r="I694" s="62">
        <v>0.31987123867348521</v>
      </c>
      <c r="J694" s="62">
        <v>8.1636098342156238E-2</v>
      </c>
    </row>
    <row r="695" spans="1:10" ht="11.25" customHeight="1" x14ac:dyDescent="0.2">
      <c r="A695" s="71">
        <v>44166</v>
      </c>
      <c r="B695" s="61">
        <v>0</v>
      </c>
      <c r="C695" s="61">
        <v>0</v>
      </c>
      <c r="D695" s="61">
        <v>1.66404</v>
      </c>
      <c r="E695" s="61">
        <v>1.6650708495231854</v>
      </c>
      <c r="F695" s="61">
        <v>0.56589</v>
      </c>
      <c r="G695" s="61">
        <v>0.74690193525293846</v>
      </c>
      <c r="H695" s="62">
        <v>6.1948602388484098E-4</v>
      </c>
      <c r="I695" s="62">
        <v>0.31987123867348499</v>
      </c>
      <c r="J695" s="62">
        <v>8.1636098342155794E-2</v>
      </c>
    </row>
    <row r="696" spans="1:10" ht="11.25" customHeight="1" x14ac:dyDescent="0.2">
      <c r="A696" s="71">
        <v>44197</v>
      </c>
      <c r="B696" s="61">
        <v>0</v>
      </c>
      <c r="C696" s="61">
        <v>0</v>
      </c>
      <c r="D696" s="61">
        <v>0.55467999999999995</v>
      </c>
      <c r="E696" s="61">
        <v>0.55502361650772847</v>
      </c>
      <c r="F696" s="61">
        <v>0.18862999999999999</v>
      </c>
      <c r="G696" s="61">
        <v>0.2489673117509795</v>
      </c>
      <c r="H696" s="62">
        <v>6.1948602388506302E-4</v>
      </c>
      <c r="I696" s="62">
        <v>0.31987123867348521</v>
      </c>
      <c r="J696" s="62">
        <v>8.1636098342156238E-2</v>
      </c>
    </row>
    <row r="697" spans="1:10" ht="11.25" customHeight="1" x14ac:dyDescent="0.2">
      <c r="A697" s="71">
        <v>44287</v>
      </c>
      <c r="B697" s="61">
        <v>0</v>
      </c>
      <c r="C697" s="61">
        <v>0</v>
      </c>
      <c r="D697" s="61">
        <v>0.55467999999999995</v>
      </c>
      <c r="E697" s="61">
        <v>0.55502361650772847</v>
      </c>
      <c r="F697" s="61">
        <v>0.18862999999999999</v>
      </c>
      <c r="G697" s="61">
        <v>0.2489673117509795</v>
      </c>
      <c r="H697" s="62">
        <v>6.1948602388506302E-4</v>
      </c>
      <c r="I697" s="62">
        <v>0.31987123867348521</v>
      </c>
      <c r="J697" s="62">
        <v>8.1636098342156238E-2</v>
      </c>
    </row>
    <row r="698" spans="1:10" ht="11.25" customHeight="1" x14ac:dyDescent="0.2">
      <c r="A698" s="65" t="s">
        <v>23</v>
      </c>
      <c r="B698" s="61">
        <v>0</v>
      </c>
      <c r="C698" s="61">
        <v>0</v>
      </c>
      <c r="D698" s="61">
        <v>23753479.255263403</v>
      </c>
      <c r="E698" s="61">
        <v>21273761.580882348</v>
      </c>
      <c r="F698" s="61">
        <v>12837405.5396358</v>
      </c>
      <c r="G698" s="61">
        <v>16828709.530893594</v>
      </c>
      <c r="H698" s="62">
        <v>-0.10439387206114581</v>
      </c>
      <c r="I698" s="62">
        <v>0.31091204363175562</v>
      </c>
      <c r="J698" s="62">
        <v>4.1310460934452786E-2</v>
      </c>
    </row>
    <row r="699" spans="1:10" ht="11.25" customHeight="1" x14ac:dyDescent="0.2">
      <c r="A699" s="66" t="s">
        <v>47</v>
      </c>
      <c r="B699" s="61">
        <v>0</v>
      </c>
      <c r="C699" s="61">
        <v>0</v>
      </c>
      <c r="D699" s="61">
        <v>23753479.255263403</v>
      </c>
      <c r="E699" s="61">
        <v>21273761.580882348</v>
      </c>
      <c r="F699" s="61">
        <v>12837405.5396358</v>
      </c>
      <c r="G699" s="61">
        <v>16828709.530893594</v>
      </c>
      <c r="H699" s="62">
        <v>-0.10439387206114581</v>
      </c>
      <c r="I699" s="62">
        <v>0.31091204363175562</v>
      </c>
      <c r="J699" s="62">
        <v>4.1310460934452786E-2</v>
      </c>
    </row>
    <row r="700" spans="1:10" ht="11.25" customHeight="1" x14ac:dyDescent="0.2">
      <c r="A700" s="67" t="s">
        <v>58</v>
      </c>
      <c r="B700" s="61">
        <v>0</v>
      </c>
      <c r="C700" s="61">
        <v>0</v>
      </c>
      <c r="D700" s="61">
        <v>111018.46138240003</v>
      </c>
      <c r="E700" s="61">
        <v>99427.827115812659</v>
      </c>
      <c r="F700" s="61">
        <v>59999.169006399999</v>
      </c>
      <c r="G700" s="61">
        <v>78652.852033632589</v>
      </c>
      <c r="H700" s="62">
        <v>-0.10440276438946261</v>
      </c>
      <c r="I700" s="62">
        <v>0.31089902303884953</v>
      </c>
      <c r="J700" s="62">
        <v>4.1300120605037849E-2</v>
      </c>
    </row>
    <row r="701" spans="1:10" ht="11.25" customHeight="1" x14ac:dyDescent="0.2">
      <c r="A701" s="68" t="s">
        <v>56</v>
      </c>
      <c r="B701" s="61">
        <v>0</v>
      </c>
      <c r="C701" s="61">
        <v>0</v>
      </c>
      <c r="D701" s="61">
        <v>87666.64016000001</v>
      </c>
      <c r="E701" s="61">
        <v>78514.000582559733</v>
      </c>
      <c r="F701" s="61">
        <v>47378.836759999998</v>
      </c>
      <c r="G701" s="61">
        <v>62108.870821401142</v>
      </c>
      <c r="H701" s="62">
        <v>-0.10440276438946239</v>
      </c>
      <c r="I701" s="62">
        <v>0.31089902303884975</v>
      </c>
      <c r="J701" s="62">
        <v>4.1300120605038293E-2</v>
      </c>
    </row>
    <row r="702" spans="1:10" ht="11.25" customHeight="1" x14ac:dyDescent="0.2">
      <c r="A702" s="69" t="s">
        <v>25</v>
      </c>
      <c r="B702" s="61">
        <v>0</v>
      </c>
      <c r="C702" s="61">
        <v>0</v>
      </c>
      <c r="D702" s="61">
        <v>87666.64016000001</v>
      </c>
      <c r="E702" s="61">
        <v>78514.000582559733</v>
      </c>
      <c r="F702" s="61">
        <v>47378.836759999998</v>
      </c>
      <c r="G702" s="61">
        <v>62108.870821401142</v>
      </c>
      <c r="H702" s="62">
        <v>-0.10440276438946239</v>
      </c>
      <c r="I702" s="62">
        <v>0.31089902303884975</v>
      </c>
      <c r="J702" s="62">
        <v>4.1300120605038293E-2</v>
      </c>
    </row>
    <row r="703" spans="1:10" ht="11.25" customHeight="1" x14ac:dyDescent="0.2">
      <c r="A703" s="70" t="s">
        <v>25</v>
      </c>
      <c r="B703" s="61">
        <v>0</v>
      </c>
      <c r="C703" s="61">
        <v>0</v>
      </c>
      <c r="D703" s="61">
        <v>87666.64016000001</v>
      </c>
      <c r="E703" s="61">
        <v>78514.000582559733</v>
      </c>
      <c r="F703" s="61">
        <v>47378.836759999998</v>
      </c>
      <c r="G703" s="61">
        <v>62108.870821401142</v>
      </c>
      <c r="H703" s="62">
        <v>-0.10440276438946239</v>
      </c>
      <c r="I703" s="62">
        <v>0.31089902303884975</v>
      </c>
      <c r="J703" s="62">
        <v>4.1300120605038293E-2</v>
      </c>
    </row>
    <row r="704" spans="1:10" ht="11.25" customHeight="1" x14ac:dyDescent="0.2">
      <c r="A704" s="71">
        <v>44317</v>
      </c>
      <c r="B704" s="61">
        <v>0</v>
      </c>
      <c r="C704" s="61">
        <v>0</v>
      </c>
      <c r="D704" s="61">
        <v>9430.1922000000013</v>
      </c>
      <c r="E704" s="61">
        <v>8445.6540655960544</v>
      </c>
      <c r="F704" s="61">
        <v>5096.4829499999996</v>
      </c>
      <c r="G704" s="61">
        <v>6680.9745200891548</v>
      </c>
      <c r="H704" s="62">
        <v>-0.1044027643894625</v>
      </c>
      <c r="I704" s="62">
        <v>0.31089902303884975</v>
      </c>
      <c r="J704" s="62">
        <v>4.1300120605037849E-2</v>
      </c>
    </row>
    <row r="705" spans="1:10" ht="11.25" customHeight="1" x14ac:dyDescent="0.2">
      <c r="A705" s="71">
        <v>44348</v>
      </c>
      <c r="B705" s="61">
        <v>0</v>
      </c>
      <c r="C705" s="61">
        <v>0</v>
      </c>
      <c r="D705" s="61">
        <v>11671.362560000001</v>
      </c>
      <c r="E705" s="61">
        <v>10452.840044544329</v>
      </c>
      <c r="F705" s="61">
        <v>6307.7081600000001</v>
      </c>
      <c r="G705" s="61">
        <v>8268.7684645581794</v>
      </c>
      <c r="H705" s="62">
        <v>-0.10440276438946228</v>
      </c>
      <c r="I705" s="62">
        <v>0.31089902303884953</v>
      </c>
      <c r="J705" s="62">
        <v>4.1300120605037849E-2</v>
      </c>
    </row>
    <row r="706" spans="1:10" ht="11.25" customHeight="1" x14ac:dyDescent="0.2">
      <c r="A706" s="71">
        <v>44378</v>
      </c>
      <c r="B706" s="61">
        <v>0</v>
      </c>
      <c r="C706" s="61">
        <v>0</v>
      </c>
      <c r="D706" s="61">
        <v>12136.135000000002</v>
      </c>
      <c r="E706" s="61">
        <v>10869.088956996293</v>
      </c>
      <c r="F706" s="61">
        <v>6558.8912499999997</v>
      </c>
      <c r="G706" s="61">
        <v>8598.0441318430603</v>
      </c>
      <c r="H706" s="62">
        <v>-0.1044027643894625</v>
      </c>
      <c r="I706" s="62">
        <v>0.31089902303884975</v>
      </c>
      <c r="J706" s="62">
        <v>4.1300120605037849E-2</v>
      </c>
    </row>
    <row r="707" spans="1:10" ht="11.25" customHeight="1" x14ac:dyDescent="0.2">
      <c r="A707" s="71">
        <v>44409</v>
      </c>
      <c r="B707" s="61">
        <v>0</v>
      </c>
      <c r="C707" s="61">
        <v>0</v>
      </c>
      <c r="D707" s="61">
        <v>22484.797280000003</v>
      </c>
      <c r="E707" s="61">
        <v>20137.322287231334</v>
      </c>
      <c r="F707" s="61">
        <v>12151.755079999999</v>
      </c>
      <c r="G707" s="61">
        <v>15929.723862579378</v>
      </c>
      <c r="H707" s="62">
        <v>-0.1044027643894625</v>
      </c>
      <c r="I707" s="62">
        <v>0.31089902303884975</v>
      </c>
      <c r="J707" s="62">
        <v>4.1300120605037849E-2</v>
      </c>
    </row>
    <row r="708" spans="1:10" ht="11.25" customHeight="1" x14ac:dyDescent="0.2">
      <c r="A708" s="71">
        <v>44440</v>
      </c>
      <c r="B708" s="61">
        <v>0</v>
      </c>
      <c r="C708" s="61">
        <v>0</v>
      </c>
      <c r="D708" s="61">
        <v>15972.076560000001</v>
      </c>
      <c r="E708" s="61">
        <v>14304.547614095865</v>
      </c>
      <c r="F708" s="61">
        <v>8631.9996599999995</v>
      </c>
      <c r="G708" s="61">
        <v>11315.679921165682</v>
      </c>
      <c r="H708" s="62">
        <v>-0.1044027643894625</v>
      </c>
      <c r="I708" s="62">
        <v>0.31089902303884975</v>
      </c>
      <c r="J708" s="62">
        <v>4.1300120605037849E-2</v>
      </c>
    </row>
    <row r="709" spans="1:10" ht="11.25" customHeight="1" x14ac:dyDescent="0.2">
      <c r="A709" s="71">
        <v>44470</v>
      </c>
      <c r="B709" s="61">
        <v>0</v>
      </c>
      <c r="C709" s="61">
        <v>0</v>
      </c>
      <c r="D709" s="61">
        <v>15972.076560000001</v>
      </c>
      <c r="E709" s="61">
        <v>14304.547614095865</v>
      </c>
      <c r="F709" s="61">
        <v>8631.9996599999995</v>
      </c>
      <c r="G709" s="61">
        <v>11315.679921165682</v>
      </c>
      <c r="H709" s="62">
        <v>-0.1044027643894625</v>
      </c>
      <c r="I709" s="62">
        <v>0.31089902303884975</v>
      </c>
      <c r="J709" s="62">
        <v>4.1300120605037849E-2</v>
      </c>
    </row>
    <row r="710" spans="1:10" ht="11.25" customHeight="1" x14ac:dyDescent="0.2">
      <c r="A710" s="68" t="s">
        <v>57</v>
      </c>
      <c r="B710" s="61">
        <v>0</v>
      </c>
      <c r="C710" s="61">
        <v>0</v>
      </c>
      <c r="D710" s="61">
        <v>23351.821222400002</v>
      </c>
      <c r="E710" s="61">
        <v>20913.826533252926</v>
      </c>
      <c r="F710" s="61">
        <v>12620.332246399998</v>
      </c>
      <c r="G710" s="61">
        <v>16543.981212231451</v>
      </c>
      <c r="H710" s="62">
        <v>-0.10440276438946228</v>
      </c>
      <c r="I710" s="62">
        <v>0.31089902303884953</v>
      </c>
      <c r="J710" s="62">
        <v>4.1300120605038071E-2</v>
      </c>
    </row>
    <row r="711" spans="1:10" ht="11.25" customHeight="1" x14ac:dyDescent="0.2">
      <c r="A711" s="69" t="s">
        <v>25</v>
      </c>
      <c r="B711" s="61">
        <v>0</v>
      </c>
      <c r="C711" s="61">
        <v>0</v>
      </c>
      <c r="D711" s="61">
        <v>23351.821222400002</v>
      </c>
      <c r="E711" s="61">
        <v>20913.826533252926</v>
      </c>
      <c r="F711" s="61">
        <v>12620.332246399998</v>
      </c>
      <c r="G711" s="61">
        <v>16543.981212231451</v>
      </c>
      <c r="H711" s="62">
        <v>-0.10440276438946228</v>
      </c>
      <c r="I711" s="62">
        <v>0.31089902303884953</v>
      </c>
      <c r="J711" s="62">
        <v>4.1300120605038071E-2</v>
      </c>
    </row>
    <row r="712" spans="1:10" ht="11.25" customHeight="1" x14ac:dyDescent="0.2">
      <c r="A712" s="70" t="s">
        <v>25</v>
      </c>
      <c r="B712" s="61">
        <v>0</v>
      </c>
      <c r="C712" s="61">
        <v>0</v>
      </c>
      <c r="D712" s="61">
        <v>23351.821222400002</v>
      </c>
      <c r="E712" s="61">
        <v>20913.826533252926</v>
      </c>
      <c r="F712" s="61">
        <v>12620.332246399998</v>
      </c>
      <c r="G712" s="61">
        <v>16543.981212231451</v>
      </c>
      <c r="H712" s="62">
        <v>-0.10440276438946228</v>
      </c>
      <c r="I712" s="62">
        <v>0.31089902303884953</v>
      </c>
      <c r="J712" s="62">
        <v>4.1300120605038071E-2</v>
      </c>
    </row>
    <row r="713" spans="1:10" ht="11.25" customHeight="1" x14ac:dyDescent="0.2">
      <c r="A713" s="71">
        <v>44317</v>
      </c>
      <c r="B713" s="61">
        <v>0</v>
      </c>
      <c r="C713" s="61">
        <v>0</v>
      </c>
      <c r="D713" s="61">
        <v>2159.1873071999999</v>
      </c>
      <c r="E713" s="61">
        <v>1933.7621834936806</v>
      </c>
      <c r="F713" s="61">
        <v>1166.9180291999999</v>
      </c>
      <c r="G713" s="61">
        <v>1529.7117044446998</v>
      </c>
      <c r="H713" s="62">
        <v>-0.10440276438946239</v>
      </c>
      <c r="I713" s="62">
        <v>0.31089902303884975</v>
      </c>
      <c r="J713" s="62">
        <v>4.1300120605038071E-2</v>
      </c>
    </row>
    <row r="714" spans="1:10" ht="11.25" customHeight="1" x14ac:dyDescent="0.2">
      <c r="A714" s="71">
        <v>44348</v>
      </c>
      <c r="B714" s="61">
        <v>0</v>
      </c>
      <c r="C714" s="61">
        <v>0</v>
      </c>
      <c r="D714" s="61">
        <v>8087.1807368000009</v>
      </c>
      <c r="E714" s="61">
        <v>7242.8567117608709</v>
      </c>
      <c r="F714" s="61">
        <v>4370.6615797999993</v>
      </c>
      <c r="G714" s="61">
        <v>5729.4959949932554</v>
      </c>
      <c r="H714" s="62">
        <v>-0.1044027643894625</v>
      </c>
      <c r="I714" s="62">
        <v>0.31089902303884998</v>
      </c>
      <c r="J714" s="62">
        <v>4.1300120605038071E-2</v>
      </c>
    </row>
    <row r="715" spans="1:10" ht="11.25" customHeight="1" x14ac:dyDescent="0.2">
      <c r="A715" s="71">
        <v>44378</v>
      </c>
      <c r="B715" s="61">
        <v>0</v>
      </c>
      <c r="C715" s="61">
        <v>0</v>
      </c>
      <c r="D715" s="61">
        <v>3190.4173092000001</v>
      </c>
      <c r="E715" s="61">
        <v>2857.3289225635299</v>
      </c>
      <c r="F715" s="61">
        <v>1724.2392387</v>
      </c>
      <c r="G715" s="61">
        <v>2260.3035334970796</v>
      </c>
      <c r="H715" s="62">
        <v>-0.10440276438946239</v>
      </c>
      <c r="I715" s="62">
        <v>0.31089902303884953</v>
      </c>
      <c r="J715" s="62">
        <v>4.1300120605038071E-2</v>
      </c>
    </row>
    <row r="716" spans="1:10" ht="11.25" customHeight="1" x14ac:dyDescent="0.2">
      <c r="A716" s="71">
        <v>44409</v>
      </c>
      <c r="B716" s="61">
        <v>0</v>
      </c>
      <c r="C716" s="61">
        <v>0</v>
      </c>
      <c r="D716" s="61">
        <v>3973.4942676000001</v>
      </c>
      <c r="E716" s="61">
        <v>3558.6504817768782</v>
      </c>
      <c r="F716" s="61">
        <v>2147.4478311000003</v>
      </c>
      <c r="G716" s="61">
        <v>2815.0872638158867</v>
      </c>
      <c r="H716" s="62">
        <v>-0.10440276438946228</v>
      </c>
      <c r="I716" s="62">
        <v>0.31089902303884953</v>
      </c>
      <c r="J716" s="62">
        <v>4.1300120605038071E-2</v>
      </c>
    </row>
    <row r="717" spans="1:10" ht="11.25" customHeight="1" x14ac:dyDescent="0.2">
      <c r="A717" s="71">
        <v>44440</v>
      </c>
      <c r="B717" s="61">
        <v>0</v>
      </c>
      <c r="C717" s="61">
        <v>0</v>
      </c>
      <c r="D717" s="61">
        <v>2970.7708008</v>
      </c>
      <c r="E717" s="61">
        <v>2660.6141168289832</v>
      </c>
      <c r="F717" s="61">
        <v>1605.5327837999998</v>
      </c>
      <c r="G717" s="61">
        <v>2104.6913577402647</v>
      </c>
      <c r="H717" s="62">
        <v>-0.10440276438946228</v>
      </c>
      <c r="I717" s="62">
        <v>0.31089902303884975</v>
      </c>
      <c r="J717" s="62">
        <v>4.1300120605038071E-2</v>
      </c>
    </row>
    <row r="718" spans="1:10" ht="11.25" customHeight="1" x14ac:dyDescent="0.2">
      <c r="A718" s="71">
        <v>44470</v>
      </c>
      <c r="B718" s="61">
        <v>0</v>
      </c>
      <c r="C718" s="61">
        <v>0</v>
      </c>
      <c r="D718" s="61">
        <v>2970.7708008</v>
      </c>
      <c r="E718" s="61">
        <v>2660.6141168289832</v>
      </c>
      <c r="F718" s="61">
        <v>1605.5327837999998</v>
      </c>
      <c r="G718" s="61">
        <v>2104.6913577402647</v>
      </c>
      <c r="H718" s="62">
        <v>-0.10440276438946228</v>
      </c>
      <c r="I718" s="62">
        <v>0.31089902303884975</v>
      </c>
      <c r="J718" s="62">
        <v>4.1300120605038071E-2</v>
      </c>
    </row>
    <row r="719" spans="1:10" ht="11.25" customHeight="1" x14ac:dyDescent="0.2">
      <c r="A719" s="67" t="s">
        <v>25</v>
      </c>
      <c r="B719" s="61">
        <v>0</v>
      </c>
      <c r="C719" s="61">
        <v>0</v>
      </c>
      <c r="D719" s="61">
        <v>23636397.437400002</v>
      </c>
      <c r="E719" s="61">
        <v>21168692.204727434</v>
      </c>
      <c r="F719" s="61">
        <v>12774129.517649999</v>
      </c>
      <c r="G719" s="61">
        <v>16745593.904859116</v>
      </c>
      <c r="H719" s="62">
        <v>-0.10440276438946217</v>
      </c>
      <c r="I719" s="62">
        <v>0.31089902303884909</v>
      </c>
      <c r="J719" s="62">
        <v>4.1300120605037849E-2</v>
      </c>
    </row>
    <row r="720" spans="1:10" ht="11.25" customHeight="1" x14ac:dyDescent="0.2">
      <c r="A720" s="68" t="s">
        <v>25</v>
      </c>
      <c r="B720" s="61">
        <v>0</v>
      </c>
      <c r="C720" s="61">
        <v>0</v>
      </c>
      <c r="D720" s="61">
        <v>23636397.437400002</v>
      </c>
      <c r="E720" s="61">
        <v>21168692.204727434</v>
      </c>
      <c r="F720" s="61">
        <v>12774129.517649999</v>
      </c>
      <c r="G720" s="61">
        <v>16745593.904859116</v>
      </c>
      <c r="H720" s="62">
        <v>-0.10440276438946217</v>
      </c>
      <c r="I720" s="62">
        <v>0.31089902303884909</v>
      </c>
      <c r="J720" s="62">
        <v>4.1300120605037849E-2</v>
      </c>
    </row>
    <row r="721" spans="1:10" ht="11.25" customHeight="1" x14ac:dyDescent="0.2">
      <c r="A721" s="69" t="s">
        <v>25</v>
      </c>
      <c r="B721" s="61">
        <v>0</v>
      </c>
      <c r="C721" s="61">
        <v>0</v>
      </c>
      <c r="D721" s="61">
        <v>23636397.437400002</v>
      </c>
      <c r="E721" s="61">
        <v>21168692.204727434</v>
      </c>
      <c r="F721" s="61">
        <v>12774129.517649999</v>
      </c>
      <c r="G721" s="61">
        <v>16745593.904859116</v>
      </c>
      <c r="H721" s="62">
        <v>-0.10440276438946217</v>
      </c>
      <c r="I721" s="62">
        <v>0.31089902303884909</v>
      </c>
      <c r="J721" s="62">
        <v>4.1300120605037849E-2</v>
      </c>
    </row>
    <row r="722" spans="1:10" ht="11.25" customHeight="1" x14ac:dyDescent="0.2">
      <c r="A722" s="70" t="s">
        <v>25</v>
      </c>
      <c r="B722" s="61">
        <v>0</v>
      </c>
      <c r="C722" s="61">
        <v>0</v>
      </c>
      <c r="D722" s="61">
        <v>23636397.437400002</v>
      </c>
      <c r="E722" s="61">
        <v>21168692.204727434</v>
      </c>
      <c r="F722" s="61">
        <v>12774129.517649999</v>
      </c>
      <c r="G722" s="61">
        <v>16745593.904859116</v>
      </c>
      <c r="H722" s="62">
        <v>-0.10440276438946217</v>
      </c>
      <c r="I722" s="62">
        <v>0.31089902303884909</v>
      </c>
      <c r="J722" s="62">
        <v>4.1300120605037849E-2</v>
      </c>
    </row>
    <row r="723" spans="1:10" ht="11.25" customHeight="1" x14ac:dyDescent="0.2">
      <c r="A723" s="71">
        <v>44136</v>
      </c>
      <c r="B723" s="61">
        <v>0</v>
      </c>
      <c r="C723" s="61">
        <v>0</v>
      </c>
      <c r="D723" s="61">
        <v>2115519.3708000001</v>
      </c>
      <c r="E723" s="61">
        <v>1894653.300369024</v>
      </c>
      <c r="F723" s="61">
        <v>1143317.9913000001</v>
      </c>
      <c r="G723" s="61">
        <v>1498774.4378179098</v>
      </c>
      <c r="H723" s="62">
        <v>-0.10440276438946239</v>
      </c>
      <c r="I723" s="62">
        <v>0.31089902303884931</v>
      </c>
      <c r="J723" s="62">
        <v>4.1300120605037849E-2</v>
      </c>
    </row>
    <row r="724" spans="1:10" ht="11.25" customHeight="1" x14ac:dyDescent="0.2">
      <c r="A724" s="71">
        <v>44166</v>
      </c>
      <c r="B724" s="61">
        <v>0</v>
      </c>
      <c r="C724" s="61">
        <v>0</v>
      </c>
      <c r="D724" s="61">
        <v>2124722.1604400002</v>
      </c>
      <c r="E724" s="61">
        <v>1902895.2933305132</v>
      </c>
      <c r="F724" s="61">
        <v>1148291.5760900001</v>
      </c>
      <c r="G724" s="61">
        <v>1505294.3052601218</v>
      </c>
      <c r="H724" s="62">
        <v>-0.1044027643894625</v>
      </c>
      <c r="I724" s="62">
        <v>0.31089902303884953</v>
      </c>
      <c r="J724" s="62">
        <v>4.1300120605037849E-2</v>
      </c>
    </row>
    <row r="725" spans="1:10" ht="11.25" customHeight="1" x14ac:dyDescent="0.2">
      <c r="A725" s="71">
        <v>44197</v>
      </c>
      <c r="B725" s="61">
        <v>0</v>
      </c>
      <c r="C725" s="61">
        <v>0</v>
      </c>
      <c r="D725" s="61">
        <v>1913958.7491200001</v>
      </c>
      <c r="E725" s="61">
        <v>1714136.1647844745</v>
      </c>
      <c r="F725" s="61">
        <v>1034385.93032</v>
      </c>
      <c r="G725" s="61">
        <v>1355975.5055016195</v>
      </c>
      <c r="H725" s="62">
        <v>-0.10440276438946239</v>
      </c>
      <c r="I725" s="62">
        <v>0.31089902303884953</v>
      </c>
      <c r="J725" s="62">
        <v>4.1300120605037849E-2</v>
      </c>
    </row>
    <row r="726" spans="1:10" ht="11.25" customHeight="1" x14ac:dyDescent="0.2">
      <c r="A726" s="71">
        <v>44228</v>
      </c>
      <c r="B726" s="61">
        <v>0</v>
      </c>
      <c r="C726" s="61">
        <v>0</v>
      </c>
      <c r="D726" s="61">
        <v>1843530.7734800004</v>
      </c>
      <c r="E726" s="61">
        <v>1651061.0644916443</v>
      </c>
      <c r="F726" s="61">
        <v>996323.61202999996</v>
      </c>
      <c r="G726" s="61">
        <v>1306079.6496406647</v>
      </c>
      <c r="H726" s="62">
        <v>-0.10440276438946261</v>
      </c>
      <c r="I726" s="62">
        <v>0.31089902303884953</v>
      </c>
      <c r="J726" s="62">
        <v>4.1300120605037849E-2</v>
      </c>
    </row>
    <row r="727" spans="1:10" ht="11.25" customHeight="1" x14ac:dyDescent="0.2">
      <c r="A727" s="71">
        <v>44256</v>
      </c>
      <c r="B727" s="61">
        <v>0</v>
      </c>
      <c r="C727" s="61">
        <v>0</v>
      </c>
      <c r="D727" s="61">
        <v>1920636.1151999999</v>
      </c>
      <c r="E727" s="61">
        <v>1720116.3953868821</v>
      </c>
      <c r="F727" s="61">
        <v>1037994.6672</v>
      </c>
      <c r="G727" s="61">
        <v>1360706.1951520161</v>
      </c>
      <c r="H727" s="62">
        <v>-0.10440276438946228</v>
      </c>
      <c r="I727" s="62">
        <v>0.31089902303884975</v>
      </c>
      <c r="J727" s="62">
        <v>4.1300120605038293E-2</v>
      </c>
    </row>
    <row r="728" spans="1:10" ht="11.25" customHeight="1" x14ac:dyDescent="0.2">
      <c r="A728" s="71">
        <v>44287</v>
      </c>
      <c r="B728" s="61">
        <v>0</v>
      </c>
      <c r="C728" s="61">
        <v>0</v>
      </c>
      <c r="D728" s="61">
        <v>1969495.9178400002</v>
      </c>
      <c r="E728" s="61">
        <v>1763875.0995637428</v>
      </c>
      <c r="F728" s="61">
        <v>1064400.6137399999</v>
      </c>
      <c r="G728" s="61">
        <v>1395321.724673718</v>
      </c>
      <c r="H728" s="62">
        <v>-0.10440276438946239</v>
      </c>
      <c r="I728" s="62">
        <v>0.31089902303884975</v>
      </c>
      <c r="J728" s="62">
        <v>4.1300120605038071E-2</v>
      </c>
    </row>
    <row r="729" spans="1:10" ht="11.25" customHeight="1" x14ac:dyDescent="0.2">
      <c r="A729" s="71">
        <v>44317</v>
      </c>
      <c r="B729" s="61">
        <v>0</v>
      </c>
      <c r="C729" s="61">
        <v>0</v>
      </c>
      <c r="D729" s="61">
        <v>1970442.0749200003</v>
      </c>
      <c r="E729" s="61">
        <v>1764722.4752290442</v>
      </c>
      <c r="F729" s="61">
        <v>1064911.95787</v>
      </c>
      <c r="G729" s="61">
        <v>1395992.0451941718</v>
      </c>
      <c r="H729" s="62">
        <v>-0.10440276438946228</v>
      </c>
      <c r="I729" s="62">
        <v>0.31089902303884975</v>
      </c>
      <c r="J729" s="62">
        <v>4.1300120605037849E-2</v>
      </c>
    </row>
    <row r="730" spans="1:10" ht="11.25" customHeight="1" x14ac:dyDescent="0.2">
      <c r="A730" s="71">
        <v>44348</v>
      </c>
      <c r="B730" s="61">
        <v>0</v>
      </c>
      <c r="C730" s="61">
        <v>0</v>
      </c>
      <c r="D730" s="61">
        <v>1990663.5522400003</v>
      </c>
      <c r="E730" s="61">
        <v>1782832.7744167973</v>
      </c>
      <c r="F730" s="61">
        <v>1075840.5171399999</v>
      </c>
      <c r="G730" s="61">
        <v>1410318.2828644367</v>
      </c>
      <c r="H730" s="62">
        <v>-0.10440276438946239</v>
      </c>
      <c r="I730" s="62">
        <v>0.31089902303884975</v>
      </c>
      <c r="J730" s="62">
        <v>4.1300120605038071E-2</v>
      </c>
    </row>
    <row r="731" spans="1:10" ht="11.25" customHeight="1" x14ac:dyDescent="0.2">
      <c r="A731" s="71">
        <v>44378</v>
      </c>
      <c r="B731" s="61">
        <v>0</v>
      </c>
      <c r="C731" s="61">
        <v>0</v>
      </c>
      <c r="D731" s="61">
        <v>1902270.7743599999</v>
      </c>
      <c r="E731" s="61">
        <v>1703668.4468995326</v>
      </c>
      <c r="F731" s="61">
        <v>1028069.2442099999</v>
      </c>
      <c r="G731" s="61">
        <v>1347694.9678511776</v>
      </c>
      <c r="H731" s="62">
        <v>-0.1044027643894625</v>
      </c>
      <c r="I731" s="62">
        <v>0.31089902303884975</v>
      </c>
      <c r="J731" s="62">
        <v>4.1300120605038071E-2</v>
      </c>
    </row>
    <row r="732" spans="1:10" ht="11.25" customHeight="1" x14ac:dyDescent="0.2">
      <c r="A732" s="71">
        <v>44409</v>
      </c>
      <c r="B732" s="61">
        <v>0</v>
      </c>
      <c r="C732" s="61">
        <v>0</v>
      </c>
      <c r="D732" s="61">
        <v>1985669.1866000001</v>
      </c>
      <c r="E732" s="61">
        <v>1778359.8343559848</v>
      </c>
      <c r="F732" s="61">
        <v>1073141.34635</v>
      </c>
      <c r="G732" s="61">
        <v>1406779.9425128107</v>
      </c>
      <c r="H732" s="62">
        <v>-0.10440276438946239</v>
      </c>
      <c r="I732" s="62">
        <v>0.31089902303884953</v>
      </c>
      <c r="J732" s="62">
        <v>4.1300120605038071E-2</v>
      </c>
    </row>
    <row r="733" spans="1:10" ht="11.25" customHeight="1" x14ac:dyDescent="0.2">
      <c r="A733" s="71">
        <v>44440</v>
      </c>
      <c r="B733" s="61">
        <v>0</v>
      </c>
      <c r="C733" s="61">
        <v>0</v>
      </c>
      <c r="D733" s="61">
        <v>1949744.3812000002</v>
      </c>
      <c r="E733" s="61">
        <v>1746185.6779498982</v>
      </c>
      <c r="F733" s="61">
        <v>1053726.0306999998</v>
      </c>
      <c r="G733" s="61">
        <v>1381328.4241952349</v>
      </c>
      <c r="H733" s="62">
        <v>-0.1044027643894625</v>
      </c>
      <c r="I733" s="62">
        <v>0.31089902303884998</v>
      </c>
      <c r="J733" s="62">
        <v>4.1300120605038071E-2</v>
      </c>
    </row>
    <row r="734" spans="1:10" ht="11.25" customHeight="1" x14ac:dyDescent="0.2">
      <c r="A734" s="71">
        <v>44470</v>
      </c>
      <c r="B734" s="61">
        <v>0</v>
      </c>
      <c r="C734" s="61">
        <v>0</v>
      </c>
      <c r="D734" s="61">
        <v>1949744.3812000002</v>
      </c>
      <c r="E734" s="61">
        <v>1746185.6779498982</v>
      </c>
      <c r="F734" s="61">
        <v>1053726.0306999998</v>
      </c>
      <c r="G734" s="61">
        <v>1381328.4241952349</v>
      </c>
      <c r="H734" s="62">
        <v>-0.1044027643894625</v>
      </c>
      <c r="I734" s="62">
        <v>0.31089902303884998</v>
      </c>
      <c r="J734" s="62">
        <v>4.1300120605038071E-2</v>
      </c>
    </row>
    <row r="735" spans="1:10" ht="11.25" customHeight="1" x14ac:dyDescent="0.2">
      <c r="A735" s="67" t="s">
        <v>55</v>
      </c>
      <c r="B735" s="61">
        <v>0</v>
      </c>
      <c r="C735" s="61">
        <v>0</v>
      </c>
      <c r="D735" s="61">
        <v>6063.3564809999998</v>
      </c>
      <c r="E735" s="61">
        <v>5641.5490391014864</v>
      </c>
      <c r="F735" s="61">
        <v>3276.8529794000001</v>
      </c>
      <c r="G735" s="61">
        <v>4462.774000844709</v>
      </c>
      <c r="H735" s="62">
        <v>-6.9566657217051242E-2</v>
      </c>
      <c r="I735" s="62">
        <v>0.36190852287240971</v>
      </c>
      <c r="J735" s="62">
        <v>8.1809041091191137E-2</v>
      </c>
    </row>
    <row r="736" spans="1:10" ht="11.25" customHeight="1" x14ac:dyDescent="0.2">
      <c r="A736" s="68" t="s">
        <v>56</v>
      </c>
      <c r="B736" s="61">
        <v>0</v>
      </c>
      <c r="C736" s="61">
        <v>0</v>
      </c>
      <c r="D736" s="61">
        <v>4950.9105</v>
      </c>
      <c r="E736" s="61">
        <v>4566.5953147078644</v>
      </c>
      <c r="F736" s="61">
        <v>2675.6477</v>
      </c>
      <c r="G736" s="61">
        <v>3612.4267823617697</v>
      </c>
      <c r="H736" s="62">
        <v>-7.7625153048542339E-2</v>
      </c>
      <c r="I736" s="62">
        <v>0.35011301464006994</v>
      </c>
      <c r="J736" s="62">
        <v>7.2439478278633507E-2</v>
      </c>
    </row>
    <row r="737" spans="1:10" ht="11.25" customHeight="1" x14ac:dyDescent="0.2">
      <c r="A737" s="69" t="s">
        <v>25</v>
      </c>
      <c r="B737" s="61">
        <v>0</v>
      </c>
      <c r="C737" s="61">
        <v>0</v>
      </c>
      <c r="D737" s="61">
        <v>4950.9105</v>
      </c>
      <c r="E737" s="61">
        <v>4566.5953147078644</v>
      </c>
      <c r="F737" s="61">
        <v>2675.6477</v>
      </c>
      <c r="G737" s="61">
        <v>3612.4267823617697</v>
      </c>
      <c r="H737" s="62">
        <v>-7.7625153048542339E-2</v>
      </c>
      <c r="I737" s="62">
        <v>0.35011301464006994</v>
      </c>
      <c r="J737" s="62">
        <v>7.2439478278633507E-2</v>
      </c>
    </row>
    <row r="738" spans="1:10" ht="11.25" customHeight="1" x14ac:dyDescent="0.2">
      <c r="A738" s="70" t="s">
        <v>25</v>
      </c>
      <c r="B738" s="61">
        <v>0</v>
      </c>
      <c r="C738" s="61">
        <v>0</v>
      </c>
      <c r="D738" s="61">
        <v>4950.9105</v>
      </c>
      <c r="E738" s="61">
        <v>4566.5953147078644</v>
      </c>
      <c r="F738" s="61">
        <v>2675.6477</v>
      </c>
      <c r="G738" s="61">
        <v>3612.4267823617697</v>
      </c>
      <c r="H738" s="62">
        <v>-7.7625153048542339E-2</v>
      </c>
      <c r="I738" s="62">
        <v>0.35011301464006994</v>
      </c>
      <c r="J738" s="62">
        <v>7.2439478278633507E-2</v>
      </c>
    </row>
    <row r="739" spans="1:10" ht="11.25" customHeight="1" x14ac:dyDescent="0.2">
      <c r="A739" s="71">
        <v>44287</v>
      </c>
      <c r="B739" s="61">
        <v>0</v>
      </c>
      <c r="C739" s="61">
        <v>0</v>
      </c>
      <c r="D739" s="61">
        <v>4950.9105</v>
      </c>
      <c r="E739" s="61">
        <v>4566.5953147078644</v>
      </c>
      <c r="F739" s="61">
        <v>2675.6477</v>
      </c>
      <c r="G739" s="61">
        <v>3612.4267823617697</v>
      </c>
      <c r="H739" s="62">
        <v>-7.7625153048542339E-2</v>
      </c>
      <c r="I739" s="62">
        <v>0.35011301464006994</v>
      </c>
      <c r="J739" s="62">
        <v>7.2439478278633507E-2</v>
      </c>
    </row>
    <row r="740" spans="1:10" ht="11.25" customHeight="1" x14ac:dyDescent="0.2">
      <c r="A740" s="68" t="s">
        <v>57</v>
      </c>
      <c r="B740" s="61">
        <v>0</v>
      </c>
      <c r="C740" s="61">
        <v>0</v>
      </c>
      <c r="D740" s="61">
        <v>1112.4459809999998</v>
      </c>
      <c r="E740" s="61">
        <v>1074.953724393622</v>
      </c>
      <c r="F740" s="61">
        <v>601.20527939999999</v>
      </c>
      <c r="G740" s="61">
        <v>850.34721848293884</v>
      </c>
      <c r="H740" s="62">
        <v>-3.3702541288949006E-2</v>
      </c>
      <c r="I740" s="62">
        <v>0.41440411057531179</v>
      </c>
      <c r="J740" s="62">
        <v>0.12350802486333046</v>
      </c>
    </row>
    <row r="741" spans="1:10" ht="11.25" customHeight="1" x14ac:dyDescent="0.2">
      <c r="A741" s="69" t="s">
        <v>25</v>
      </c>
      <c r="B741" s="61">
        <v>0</v>
      </c>
      <c r="C741" s="61">
        <v>0</v>
      </c>
      <c r="D741" s="61">
        <v>1112.4459809999998</v>
      </c>
      <c r="E741" s="61">
        <v>1074.953724393622</v>
      </c>
      <c r="F741" s="61">
        <v>601.20527939999999</v>
      </c>
      <c r="G741" s="61">
        <v>850.34721848293884</v>
      </c>
      <c r="H741" s="62">
        <v>-3.3702541288949006E-2</v>
      </c>
      <c r="I741" s="62">
        <v>0.41440411057531179</v>
      </c>
      <c r="J741" s="62">
        <v>0.12350802486333046</v>
      </c>
    </row>
    <row r="742" spans="1:10" ht="11.25" customHeight="1" x14ac:dyDescent="0.2">
      <c r="A742" s="70" t="s">
        <v>25</v>
      </c>
      <c r="B742" s="61">
        <v>0</v>
      </c>
      <c r="C742" s="61">
        <v>0</v>
      </c>
      <c r="D742" s="61">
        <v>1112.4459809999998</v>
      </c>
      <c r="E742" s="61">
        <v>1074.953724393622</v>
      </c>
      <c r="F742" s="61">
        <v>601.20527939999999</v>
      </c>
      <c r="G742" s="61">
        <v>850.34721848293884</v>
      </c>
      <c r="H742" s="62">
        <v>-3.3702541288949006E-2</v>
      </c>
      <c r="I742" s="62">
        <v>0.41440411057531179</v>
      </c>
      <c r="J742" s="62">
        <v>0.12350802486333046</v>
      </c>
    </row>
    <row r="743" spans="1:10" ht="11.25" customHeight="1" x14ac:dyDescent="0.2">
      <c r="A743" s="71">
        <v>44287</v>
      </c>
      <c r="B743" s="61">
        <v>0</v>
      </c>
      <c r="C743" s="61">
        <v>0</v>
      </c>
      <c r="D743" s="61">
        <v>1112.4459809999998</v>
      </c>
      <c r="E743" s="61">
        <v>1074.953724393622</v>
      </c>
      <c r="F743" s="61">
        <v>601.20527939999999</v>
      </c>
      <c r="G743" s="61">
        <v>850.34721848293884</v>
      </c>
      <c r="H743" s="62">
        <v>-3.3702541288949006E-2</v>
      </c>
      <c r="I743" s="62">
        <v>0.41440411057531179</v>
      </c>
      <c r="J743" s="62">
        <v>0.12350802486333046</v>
      </c>
    </row>
    <row r="744" spans="1:10" ht="11.25" customHeight="1" x14ac:dyDescent="0.2">
      <c r="A744" s="64" t="s">
        <v>41</v>
      </c>
      <c r="B744" s="61">
        <v>0</v>
      </c>
      <c r="C744" s="61">
        <v>0</v>
      </c>
      <c r="D744" s="61">
        <v>382061110.54043502</v>
      </c>
      <c r="E744" s="61">
        <v>318833331.18340707</v>
      </c>
      <c r="F744" s="61">
        <v>206493693.31470904</v>
      </c>
      <c r="G744" s="61">
        <v>252242760.80384123</v>
      </c>
      <c r="H744" s="62">
        <v>-0.16549127250242956</v>
      </c>
      <c r="I744" s="62">
        <v>0.22155188739545606</v>
      </c>
      <c r="J744" s="62">
        <v>-2.9697679389254494E-2</v>
      </c>
    </row>
    <row r="745" spans="1:10" ht="11.25" customHeight="1" x14ac:dyDescent="0.2">
      <c r="A745" s="65" t="s">
        <v>39</v>
      </c>
      <c r="B745" s="61">
        <v>0</v>
      </c>
      <c r="C745" s="61">
        <v>0</v>
      </c>
      <c r="D745" s="61">
        <v>1196147.2495200001</v>
      </c>
      <c r="E745" s="61">
        <v>985034.53787127393</v>
      </c>
      <c r="F745" s="61">
        <v>659610.88577999943</v>
      </c>
      <c r="G745" s="61">
        <v>807365.19689426036</v>
      </c>
      <c r="H745" s="62">
        <v>-0.17649391555549931</v>
      </c>
      <c r="I745" s="62">
        <v>0.22400223267925479</v>
      </c>
      <c r="J745" s="62">
        <v>-3.4141518406557991E-2</v>
      </c>
    </row>
    <row r="746" spans="1:10" ht="11.25" customHeight="1" x14ac:dyDescent="0.2">
      <c r="A746" s="66" t="s">
        <v>45</v>
      </c>
      <c r="B746" s="61">
        <v>0</v>
      </c>
      <c r="C746" s="61">
        <v>0</v>
      </c>
      <c r="D746" s="61">
        <v>994416.2571899998</v>
      </c>
      <c r="E746" s="61">
        <v>828189.55621573073</v>
      </c>
      <c r="F746" s="61">
        <v>537977.12930000003</v>
      </c>
      <c r="G746" s="61">
        <v>657530.482433422</v>
      </c>
      <c r="H746" s="62">
        <v>-0.16716007986835235</v>
      </c>
      <c r="I746" s="62">
        <v>0.22222757552720007</v>
      </c>
      <c r="J746" s="62">
        <v>-3.0457810802585916E-2</v>
      </c>
    </row>
    <row r="747" spans="1:10" ht="11.25" customHeight="1" x14ac:dyDescent="0.2">
      <c r="A747" s="67" t="s">
        <v>25</v>
      </c>
      <c r="B747" s="61">
        <v>0</v>
      </c>
      <c r="C747" s="61">
        <v>0</v>
      </c>
      <c r="D747" s="61">
        <v>994416.2571899998</v>
      </c>
      <c r="E747" s="61">
        <v>828189.55621573073</v>
      </c>
      <c r="F747" s="61">
        <v>537977.12930000003</v>
      </c>
      <c r="G747" s="61">
        <v>657530.482433422</v>
      </c>
      <c r="H747" s="62">
        <v>-0.16716007986835235</v>
      </c>
      <c r="I747" s="62">
        <v>0.22222757552720007</v>
      </c>
      <c r="J747" s="62">
        <v>-3.0457810802585916E-2</v>
      </c>
    </row>
    <row r="748" spans="1:10" ht="11.25" customHeight="1" x14ac:dyDescent="0.2">
      <c r="A748" s="68" t="s">
        <v>25</v>
      </c>
      <c r="B748" s="61">
        <v>0</v>
      </c>
      <c r="C748" s="61">
        <v>0</v>
      </c>
      <c r="D748" s="61">
        <v>994416.2571899998</v>
      </c>
      <c r="E748" s="61">
        <v>828189.55621573073</v>
      </c>
      <c r="F748" s="61">
        <v>537977.12930000003</v>
      </c>
      <c r="G748" s="61">
        <v>657530.482433422</v>
      </c>
      <c r="H748" s="62">
        <v>-0.16716007986835235</v>
      </c>
      <c r="I748" s="62">
        <v>0.22222757552720007</v>
      </c>
      <c r="J748" s="62">
        <v>-3.0457810802585916E-2</v>
      </c>
    </row>
    <row r="749" spans="1:10" ht="11.25" customHeight="1" x14ac:dyDescent="0.2">
      <c r="A749" s="69" t="s">
        <v>25</v>
      </c>
      <c r="B749" s="61">
        <v>0</v>
      </c>
      <c r="C749" s="61">
        <v>0</v>
      </c>
      <c r="D749" s="61">
        <v>994416.2571899998</v>
      </c>
      <c r="E749" s="61">
        <v>828189.55621573073</v>
      </c>
      <c r="F749" s="61">
        <v>537977.12930000003</v>
      </c>
      <c r="G749" s="61">
        <v>657530.482433422</v>
      </c>
      <c r="H749" s="62">
        <v>-0.16716007986835235</v>
      </c>
      <c r="I749" s="62">
        <v>0.22222757552720007</v>
      </c>
      <c r="J749" s="62">
        <v>-3.0457810802585916E-2</v>
      </c>
    </row>
    <row r="750" spans="1:10" ht="11.25" customHeight="1" x14ac:dyDescent="0.2">
      <c r="A750" s="70" t="s">
        <v>38</v>
      </c>
      <c r="B750" s="61">
        <v>0</v>
      </c>
      <c r="C750" s="61">
        <v>0</v>
      </c>
      <c r="D750" s="61">
        <v>753158.70288</v>
      </c>
      <c r="E750" s="61">
        <v>588742.48498904135</v>
      </c>
      <c r="F750" s="61">
        <v>454316.61095999996</v>
      </c>
      <c r="G750" s="61">
        <v>558770.91779790958</v>
      </c>
      <c r="H750" s="62">
        <v>-0.21830222138076338</v>
      </c>
      <c r="I750" s="62">
        <v>0.22991522721828539</v>
      </c>
      <c r="J750" s="62">
        <v>-4.9658912580463621E-2</v>
      </c>
    </row>
    <row r="751" spans="1:10" ht="11.25" customHeight="1" x14ac:dyDescent="0.2">
      <c r="A751" s="71">
        <v>44136</v>
      </c>
      <c r="B751" s="61">
        <v>0</v>
      </c>
      <c r="C751" s="61">
        <v>0</v>
      </c>
      <c r="D751" s="61">
        <v>62425.357999999993</v>
      </c>
      <c r="E751" s="61">
        <v>48797.763678110568</v>
      </c>
      <c r="F751" s="61">
        <v>37655.911</v>
      </c>
      <c r="G751" s="61">
        <v>46313.578333676523</v>
      </c>
      <c r="H751" s="62">
        <v>-0.21830222138076372</v>
      </c>
      <c r="I751" s="62">
        <v>0.22991522721828517</v>
      </c>
      <c r="J751" s="62">
        <v>-4.9658912580464176E-2</v>
      </c>
    </row>
    <row r="752" spans="1:10" ht="11.25" customHeight="1" x14ac:dyDescent="0.2">
      <c r="A752" s="71">
        <v>44166</v>
      </c>
      <c r="B752" s="61">
        <v>0</v>
      </c>
      <c r="C752" s="61">
        <v>0</v>
      </c>
      <c r="D752" s="61">
        <v>61766.021139999997</v>
      </c>
      <c r="E752" s="61">
        <v>48282.361519286787</v>
      </c>
      <c r="F752" s="61">
        <v>37258.189129999999</v>
      </c>
      <c r="G752" s="61">
        <v>45824.414149565797</v>
      </c>
      <c r="H752" s="62">
        <v>-0.21830222138076372</v>
      </c>
      <c r="I752" s="62">
        <v>0.22991522721828539</v>
      </c>
      <c r="J752" s="62">
        <v>-4.9658912580463954E-2</v>
      </c>
    </row>
    <row r="753" spans="1:10" ht="11.25" customHeight="1" x14ac:dyDescent="0.2">
      <c r="A753" s="71">
        <v>44197</v>
      </c>
      <c r="B753" s="61">
        <v>0</v>
      </c>
      <c r="C753" s="61">
        <v>0</v>
      </c>
      <c r="D753" s="61">
        <v>54562.508539999995</v>
      </c>
      <c r="E753" s="61">
        <v>42651.391721611108</v>
      </c>
      <c r="F753" s="61">
        <v>32912.922430000006</v>
      </c>
      <c r="G753" s="61">
        <v>40480.104468911246</v>
      </c>
      <c r="H753" s="62">
        <v>-0.21830222138076372</v>
      </c>
      <c r="I753" s="62">
        <v>0.22991522721828495</v>
      </c>
      <c r="J753" s="62">
        <v>-4.9658912580463954E-2</v>
      </c>
    </row>
    <row r="754" spans="1:10" ht="11.25" customHeight="1" x14ac:dyDescent="0.2">
      <c r="A754" s="71">
        <v>44228</v>
      </c>
      <c r="B754" s="61">
        <v>0</v>
      </c>
      <c r="C754" s="61">
        <v>0</v>
      </c>
      <c r="D754" s="61">
        <v>53246.504199999996</v>
      </c>
      <c r="E754" s="61">
        <v>41622.674052379829</v>
      </c>
      <c r="F754" s="61">
        <v>32119.088899999995</v>
      </c>
      <c r="G754" s="61">
        <v>39503.756522487798</v>
      </c>
      <c r="H754" s="62">
        <v>-0.21830222138076372</v>
      </c>
      <c r="I754" s="62">
        <v>0.22991522721828517</v>
      </c>
      <c r="J754" s="62">
        <v>-4.9658912580464176E-2</v>
      </c>
    </row>
    <row r="755" spans="1:10" ht="11.25" customHeight="1" x14ac:dyDescent="0.2">
      <c r="A755" s="71">
        <v>44256</v>
      </c>
      <c r="B755" s="61">
        <v>0</v>
      </c>
      <c r="C755" s="61">
        <v>0</v>
      </c>
      <c r="D755" s="61">
        <v>57976.264220000005</v>
      </c>
      <c r="E755" s="61">
        <v>45319.916953415908</v>
      </c>
      <c r="F755" s="61">
        <v>34972.150990000002</v>
      </c>
      <c r="G755" s="61">
        <v>43012.781031178027</v>
      </c>
      <c r="H755" s="62">
        <v>-0.21830222138076383</v>
      </c>
      <c r="I755" s="62">
        <v>0.22991522721828517</v>
      </c>
      <c r="J755" s="62">
        <v>-4.9658912580464065E-2</v>
      </c>
    </row>
    <row r="756" spans="1:10" ht="11.25" customHeight="1" x14ac:dyDescent="0.2">
      <c r="A756" s="71">
        <v>44287</v>
      </c>
      <c r="B756" s="61">
        <v>0</v>
      </c>
      <c r="C756" s="61">
        <v>0</v>
      </c>
      <c r="D756" s="61">
        <v>60097.277300000002</v>
      </c>
      <c r="E756" s="61">
        <v>46977.908166474255</v>
      </c>
      <c r="F756" s="61">
        <v>36251.577850000001</v>
      </c>
      <c r="G756" s="61">
        <v>44586.367608404107</v>
      </c>
      <c r="H756" s="62">
        <v>-0.21830222138076372</v>
      </c>
      <c r="I756" s="62">
        <v>0.22991522721828517</v>
      </c>
      <c r="J756" s="62">
        <v>-4.9658912580464065E-2</v>
      </c>
    </row>
    <row r="757" spans="1:10" ht="11.25" customHeight="1" x14ac:dyDescent="0.2">
      <c r="A757" s="71">
        <v>44317</v>
      </c>
      <c r="B757" s="61">
        <v>0</v>
      </c>
      <c r="C757" s="61">
        <v>0</v>
      </c>
      <c r="D757" s="61">
        <v>62601.155740000002</v>
      </c>
      <c r="E757" s="61">
        <v>48935.184380954845</v>
      </c>
      <c r="F757" s="61">
        <v>37761.954830000002</v>
      </c>
      <c r="G757" s="61">
        <v>46444.003254946074</v>
      </c>
      <c r="H757" s="62">
        <v>-0.21830222138076383</v>
      </c>
      <c r="I757" s="62">
        <v>0.22991522721828517</v>
      </c>
      <c r="J757" s="62">
        <v>-4.9658912580464176E-2</v>
      </c>
    </row>
    <row r="758" spans="1:10" ht="11.25" customHeight="1" x14ac:dyDescent="0.2">
      <c r="A758" s="71">
        <v>44348</v>
      </c>
      <c r="B758" s="61">
        <v>0</v>
      </c>
      <c r="C758" s="61">
        <v>0</v>
      </c>
      <c r="D758" s="61">
        <v>64704.627179999996</v>
      </c>
      <c r="E758" s="61">
        <v>50579.463332991858</v>
      </c>
      <c r="F758" s="61">
        <v>39030.800309999999</v>
      </c>
      <c r="G758" s="61">
        <v>48004.575631785163</v>
      </c>
      <c r="H758" s="62">
        <v>-0.21830222138076372</v>
      </c>
      <c r="I758" s="62">
        <v>0.22991522721828517</v>
      </c>
      <c r="J758" s="62">
        <v>-4.9658912580464065E-2</v>
      </c>
    </row>
    <row r="759" spans="1:10" ht="11.25" customHeight="1" x14ac:dyDescent="0.2">
      <c r="A759" s="71">
        <v>44378</v>
      </c>
      <c r="B759" s="61">
        <v>0</v>
      </c>
      <c r="C759" s="61">
        <v>0</v>
      </c>
      <c r="D759" s="61">
        <v>61035.373699999996</v>
      </c>
      <c r="E759" s="61">
        <v>47711.216038484956</v>
      </c>
      <c r="F759" s="61">
        <v>36817.451650000003</v>
      </c>
      <c r="G759" s="61">
        <v>45282.344411707978</v>
      </c>
      <c r="H759" s="62">
        <v>-0.21830222138076372</v>
      </c>
      <c r="I759" s="62">
        <v>0.22991522721828517</v>
      </c>
      <c r="J759" s="62">
        <v>-4.9658912580464065E-2</v>
      </c>
    </row>
    <row r="760" spans="1:10" ht="11.25" customHeight="1" x14ac:dyDescent="0.2">
      <c r="A760" s="71">
        <v>44409</v>
      </c>
      <c r="B760" s="61">
        <v>0</v>
      </c>
      <c r="C760" s="61">
        <v>0</v>
      </c>
      <c r="D760" s="61">
        <v>75032.077059999996</v>
      </c>
      <c r="E760" s="61">
        <v>58652.407962989353</v>
      </c>
      <c r="F760" s="61">
        <v>45260.47277</v>
      </c>
      <c r="G760" s="61">
        <v>55666.544650921554</v>
      </c>
      <c r="H760" s="62">
        <v>-0.21830222138076372</v>
      </c>
      <c r="I760" s="62">
        <v>0.22991522721828517</v>
      </c>
      <c r="J760" s="62">
        <v>-4.9658912580464176E-2</v>
      </c>
    </row>
    <row r="761" spans="1:10" ht="11.25" customHeight="1" x14ac:dyDescent="0.2">
      <c r="A761" s="71">
        <v>44440</v>
      </c>
      <c r="B761" s="61">
        <v>0</v>
      </c>
      <c r="C761" s="61">
        <v>0</v>
      </c>
      <c r="D761" s="61">
        <v>69855.767899999992</v>
      </c>
      <c r="E761" s="61">
        <v>54606.09859117095</v>
      </c>
      <c r="F761" s="61">
        <v>42138.045549999995</v>
      </c>
      <c r="G761" s="61">
        <v>51826.223867162698</v>
      </c>
      <c r="H761" s="62">
        <v>-0.21830222138076361</v>
      </c>
      <c r="I761" s="62">
        <v>0.22991522721828517</v>
      </c>
      <c r="J761" s="62">
        <v>-4.9658912580463843E-2</v>
      </c>
    </row>
    <row r="762" spans="1:10" ht="11.25" customHeight="1" x14ac:dyDescent="0.2">
      <c r="A762" s="71">
        <v>44470</v>
      </c>
      <c r="B762" s="61">
        <v>0</v>
      </c>
      <c r="C762" s="61">
        <v>0</v>
      </c>
      <c r="D762" s="61">
        <v>69855.767899999992</v>
      </c>
      <c r="E762" s="61">
        <v>54606.09859117095</v>
      </c>
      <c r="F762" s="61">
        <v>42138.045549999995</v>
      </c>
      <c r="G762" s="61">
        <v>51826.223867162698</v>
      </c>
      <c r="H762" s="62">
        <v>-0.21830222138076361</v>
      </c>
      <c r="I762" s="62">
        <v>0.22991522721828517</v>
      </c>
      <c r="J762" s="62">
        <v>-4.9658912580463843E-2</v>
      </c>
    </row>
    <row r="763" spans="1:10" ht="11.25" customHeight="1" x14ac:dyDescent="0.2">
      <c r="A763" s="70" t="s">
        <v>40</v>
      </c>
      <c r="B763" s="61">
        <v>0</v>
      </c>
      <c r="C763" s="61">
        <v>0</v>
      </c>
      <c r="D763" s="61">
        <v>56975.311500000003</v>
      </c>
      <c r="E763" s="61">
        <v>54014.549544004301</v>
      </c>
      <c r="F763" s="61">
        <v>17820.4241</v>
      </c>
      <c r="G763" s="61">
        <v>21917.610956077704</v>
      </c>
      <c r="H763" s="62">
        <v>-5.1965700196227704E-2</v>
      </c>
      <c r="I763" s="62">
        <v>0.22991522721828517</v>
      </c>
      <c r="J763" s="62">
        <v>1.5193712461890829E-2</v>
      </c>
    </row>
    <row r="764" spans="1:10" ht="11.25" customHeight="1" x14ac:dyDescent="0.2">
      <c r="A764" s="71">
        <v>44136</v>
      </c>
      <c r="B764" s="61">
        <v>0</v>
      </c>
      <c r="C764" s="61">
        <v>0</v>
      </c>
      <c r="D764" s="61">
        <v>7548.6588000000011</v>
      </c>
      <c r="E764" s="61">
        <v>7156.3874599155824</v>
      </c>
      <c r="F764" s="61">
        <v>2361.02792</v>
      </c>
      <c r="G764" s="61">
        <v>2903.8641906955154</v>
      </c>
      <c r="H764" s="62">
        <v>-5.1965700196228037E-2</v>
      </c>
      <c r="I764" s="62">
        <v>0.22991522721828517</v>
      </c>
      <c r="J764" s="62">
        <v>1.5193712461890829E-2</v>
      </c>
    </row>
    <row r="765" spans="1:10" ht="11.25" customHeight="1" x14ac:dyDescent="0.2">
      <c r="A765" s="71">
        <v>44166</v>
      </c>
      <c r="B765" s="61">
        <v>0</v>
      </c>
      <c r="C765" s="61">
        <v>0</v>
      </c>
      <c r="D765" s="61">
        <v>5704.1502</v>
      </c>
      <c r="E765" s="61">
        <v>5407.7300408325464</v>
      </c>
      <c r="F765" s="61">
        <v>1784.1126800000002</v>
      </c>
      <c r="G765" s="61">
        <v>2194.3073522052237</v>
      </c>
      <c r="H765" s="62">
        <v>-5.1965700196227926E-2</v>
      </c>
      <c r="I765" s="62">
        <v>0.22991522721828495</v>
      </c>
      <c r="J765" s="62">
        <v>1.5193712461890829E-2</v>
      </c>
    </row>
    <row r="766" spans="1:10" ht="11.25" customHeight="1" x14ac:dyDescent="0.2">
      <c r="A766" s="71">
        <v>44197</v>
      </c>
      <c r="B766" s="61">
        <v>0</v>
      </c>
      <c r="C766" s="61">
        <v>0</v>
      </c>
      <c r="D766" s="61">
        <v>4545.8164500000003</v>
      </c>
      <c r="E766" s="61">
        <v>4309.5899152122192</v>
      </c>
      <c r="F766" s="61">
        <v>1421.8154299999999</v>
      </c>
      <c r="G766" s="61">
        <v>1748.7124476509139</v>
      </c>
      <c r="H766" s="62">
        <v>-5.1965700196227926E-2</v>
      </c>
      <c r="I766" s="62">
        <v>0.22991522721828539</v>
      </c>
      <c r="J766" s="62">
        <v>1.5193712461890829E-2</v>
      </c>
    </row>
    <row r="767" spans="1:10" ht="11.25" customHeight="1" x14ac:dyDescent="0.2">
      <c r="A767" s="71">
        <v>44228</v>
      </c>
      <c r="B767" s="61">
        <v>0</v>
      </c>
      <c r="C767" s="61">
        <v>0</v>
      </c>
      <c r="D767" s="61">
        <v>5421.7374</v>
      </c>
      <c r="E767" s="61">
        <v>5139.9930197289241</v>
      </c>
      <c r="F767" s="61">
        <v>1695.78116</v>
      </c>
      <c r="G767" s="61">
        <v>2085.6670707138874</v>
      </c>
      <c r="H767" s="62">
        <v>-5.1965700196227815E-2</v>
      </c>
      <c r="I767" s="62">
        <v>0.22991522721828517</v>
      </c>
      <c r="J767" s="62">
        <v>1.5193712461890829E-2</v>
      </c>
    </row>
    <row r="768" spans="1:10" ht="11.25" customHeight="1" x14ac:dyDescent="0.2">
      <c r="A768" s="71">
        <v>44256</v>
      </c>
      <c r="B768" s="61">
        <v>0</v>
      </c>
      <c r="C768" s="61">
        <v>0</v>
      </c>
      <c r="D768" s="61">
        <v>5685.7639499999996</v>
      </c>
      <c r="E768" s="61">
        <v>5390.299245187779</v>
      </c>
      <c r="F768" s="61">
        <v>1778.3619299999998</v>
      </c>
      <c r="G768" s="61">
        <v>2187.234417212298</v>
      </c>
      <c r="H768" s="62">
        <v>-5.1965700196227926E-2</v>
      </c>
      <c r="I768" s="62">
        <v>0.22991522721828517</v>
      </c>
      <c r="J768" s="62">
        <v>1.5193712461890829E-2</v>
      </c>
    </row>
    <row r="769" spans="1:10" ht="11.25" customHeight="1" x14ac:dyDescent="0.2">
      <c r="A769" s="71">
        <v>44287</v>
      </c>
      <c r="B769" s="61">
        <v>0</v>
      </c>
      <c r="C769" s="61">
        <v>0</v>
      </c>
      <c r="D769" s="61">
        <v>6002.7429000000011</v>
      </c>
      <c r="E769" s="61">
        <v>5690.8061621035649</v>
      </c>
      <c r="F769" s="61">
        <v>1877.50486</v>
      </c>
      <c r="G769" s="61">
        <v>2309.171816490335</v>
      </c>
      <c r="H769" s="62">
        <v>-5.1965700196227926E-2</v>
      </c>
      <c r="I769" s="62">
        <v>0.22991522721828539</v>
      </c>
      <c r="J769" s="62">
        <v>1.5193712461890829E-2</v>
      </c>
    </row>
    <row r="770" spans="1:10" ht="11.25" customHeight="1" x14ac:dyDescent="0.2">
      <c r="A770" s="71">
        <v>44317</v>
      </c>
      <c r="B770" s="61">
        <v>0</v>
      </c>
      <c r="C770" s="61">
        <v>0</v>
      </c>
      <c r="D770" s="61">
        <v>3611.0595000000003</v>
      </c>
      <c r="E770" s="61">
        <v>3423.4082646322595</v>
      </c>
      <c r="F770" s="61">
        <v>1129.4473</v>
      </c>
      <c r="G770" s="61">
        <v>1389.1244326105787</v>
      </c>
      <c r="H770" s="62">
        <v>-5.1965700196227926E-2</v>
      </c>
      <c r="I770" s="62">
        <v>0.22991522721828517</v>
      </c>
      <c r="J770" s="62">
        <v>1.5193712461890829E-2</v>
      </c>
    </row>
    <row r="771" spans="1:10" ht="11.25" customHeight="1" x14ac:dyDescent="0.2">
      <c r="A771" s="71">
        <v>44348</v>
      </c>
      <c r="B771" s="61">
        <v>0</v>
      </c>
      <c r="C771" s="61">
        <v>0</v>
      </c>
      <c r="D771" s="61">
        <v>3783.1548000000003</v>
      </c>
      <c r="E771" s="61">
        <v>3586.5605118672793</v>
      </c>
      <c r="F771" s="61">
        <v>1183.27432</v>
      </c>
      <c r="G771" s="61">
        <v>1455.3271041443618</v>
      </c>
      <c r="H771" s="62">
        <v>-5.1965700196228037E-2</v>
      </c>
      <c r="I771" s="62">
        <v>0.22991522721828517</v>
      </c>
      <c r="J771" s="62">
        <v>1.5193712461890607E-2</v>
      </c>
    </row>
    <row r="772" spans="1:10" ht="11.25" customHeight="1" x14ac:dyDescent="0.2">
      <c r="A772" s="71">
        <v>44378</v>
      </c>
      <c r="B772" s="61">
        <v>0</v>
      </c>
      <c r="C772" s="61">
        <v>0</v>
      </c>
      <c r="D772" s="61">
        <v>3489.7102500000001</v>
      </c>
      <c r="E772" s="61">
        <v>3308.3650133767965</v>
      </c>
      <c r="F772" s="61">
        <v>1091.49235</v>
      </c>
      <c r="G772" s="61">
        <v>1342.4430616572699</v>
      </c>
      <c r="H772" s="62">
        <v>-5.1965700196227926E-2</v>
      </c>
      <c r="I772" s="62">
        <v>0.22991522721828517</v>
      </c>
      <c r="J772" s="62">
        <v>1.5193712461890829E-2</v>
      </c>
    </row>
    <row r="773" spans="1:10" ht="11.25" customHeight="1" x14ac:dyDescent="0.2">
      <c r="A773" s="71">
        <v>44409</v>
      </c>
      <c r="B773" s="61">
        <v>0</v>
      </c>
      <c r="C773" s="61">
        <v>0</v>
      </c>
      <c r="D773" s="61">
        <v>3928.03845</v>
      </c>
      <c r="E773" s="61">
        <v>3723.9151815480445</v>
      </c>
      <c r="F773" s="61">
        <v>1228.59023</v>
      </c>
      <c r="G773" s="61">
        <v>1511.0618318886154</v>
      </c>
      <c r="H773" s="62">
        <v>-5.1965700196227815E-2</v>
      </c>
      <c r="I773" s="62">
        <v>0.22991522721828539</v>
      </c>
      <c r="J773" s="62">
        <v>1.5193712461890829E-2</v>
      </c>
    </row>
    <row r="774" spans="1:10" ht="11.25" customHeight="1" x14ac:dyDescent="0.2">
      <c r="A774" s="71">
        <v>44440</v>
      </c>
      <c r="B774" s="61">
        <v>0</v>
      </c>
      <c r="C774" s="61">
        <v>0</v>
      </c>
      <c r="D774" s="61">
        <v>3627.2394000000008</v>
      </c>
      <c r="E774" s="61">
        <v>3438.7473647996549</v>
      </c>
      <c r="F774" s="61">
        <v>1134.5079600000001</v>
      </c>
      <c r="G774" s="61">
        <v>1395.3486154043533</v>
      </c>
      <c r="H774" s="62">
        <v>-5.1965700196228037E-2</v>
      </c>
      <c r="I774" s="62">
        <v>0.22991522721828517</v>
      </c>
      <c r="J774" s="62">
        <v>1.5193712461890607E-2</v>
      </c>
    </row>
    <row r="775" spans="1:10" ht="11.25" customHeight="1" x14ac:dyDescent="0.2">
      <c r="A775" s="71">
        <v>44470</v>
      </c>
      <c r="B775" s="61">
        <v>0</v>
      </c>
      <c r="C775" s="61">
        <v>0</v>
      </c>
      <c r="D775" s="61">
        <v>3627.2394000000008</v>
      </c>
      <c r="E775" s="61">
        <v>3438.7473647996549</v>
      </c>
      <c r="F775" s="61">
        <v>1134.5079600000001</v>
      </c>
      <c r="G775" s="61">
        <v>1395.3486154043533</v>
      </c>
      <c r="H775" s="62">
        <v>-5.1965700196228037E-2</v>
      </c>
      <c r="I775" s="62">
        <v>0.22991522721828517</v>
      </c>
      <c r="J775" s="62">
        <v>1.5193712461890607E-2</v>
      </c>
    </row>
    <row r="776" spans="1:10" ht="11.25" customHeight="1" x14ac:dyDescent="0.2">
      <c r="A776" s="70" t="s">
        <v>37</v>
      </c>
      <c r="B776" s="61">
        <v>0</v>
      </c>
      <c r="C776" s="61">
        <v>0</v>
      </c>
      <c r="D776" s="61">
        <v>184282.24281</v>
      </c>
      <c r="E776" s="61">
        <v>185432.52168268486</v>
      </c>
      <c r="F776" s="61">
        <v>65840.094239999991</v>
      </c>
      <c r="G776" s="61">
        <v>76841.953679434853</v>
      </c>
      <c r="H776" s="62">
        <v>6.2419409224954148E-3</v>
      </c>
      <c r="I776" s="62">
        <v>0.16709969155467674</v>
      </c>
      <c r="J776" s="62">
        <v>4.8584778374634263E-2</v>
      </c>
    </row>
    <row r="777" spans="1:10" ht="11.25" customHeight="1" x14ac:dyDescent="0.2">
      <c r="A777" s="71">
        <v>44136</v>
      </c>
      <c r="B777" s="61">
        <v>0</v>
      </c>
      <c r="C777" s="61">
        <v>0</v>
      </c>
      <c r="D777" s="61">
        <v>42646.859369999998</v>
      </c>
      <c r="E777" s="61">
        <v>42913.05854671749</v>
      </c>
      <c r="F777" s="61">
        <v>15236.80848</v>
      </c>
      <c r="G777" s="61">
        <v>17782.874477285684</v>
      </c>
      <c r="H777" s="62">
        <v>6.2419409224949707E-3</v>
      </c>
      <c r="I777" s="62">
        <v>0.16709969155467697</v>
      </c>
      <c r="J777" s="62">
        <v>4.8584778374633819E-2</v>
      </c>
    </row>
    <row r="778" spans="1:10" ht="11.25" customHeight="1" x14ac:dyDescent="0.2">
      <c r="A778" s="71">
        <v>44166</v>
      </c>
      <c r="B778" s="61">
        <v>0</v>
      </c>
      <c r="C778" s="61">
        <v>0</v>
      </c>
      <c r="D778" s="61">
        <v>18763.484969999998</v>
      </c>
      <c r="E778" s="61">
        <v>18880.605534682862</v>
      </c>
      <c r="F778" s="61">
        <v>6703.7908799999987</v>
      </c>
      <c r="G778" s="61">
        <v>7823.9922682950546</v>
      </c>
      <c r="H778" s="62">
        <v>6.2419409224949707E-3</v>
      </c>
      <c r="I778" s="62">
        <v>0.16709969155467697</v>
      </c>
      <c r="J778" s="62">
        <v>4.8584778374633819E-2</v>
      </c>
    </row>
    <row r="779" spans="1:10" ht="11.25" customHeight="1" x14ac:dyDescent="0.2">
      <c r="A779" s="71">
        <v>44197</v>
      </c>
      <c r="B779" s="61">
        <v>0</v>
      </c>
      <c r="C779" s="61">
        <v>0</v>
      </c>
      <c r="D779" s="61">
        <v>13321.08282</v>
      </c>
      <c r="E779" s="61">
        <v>13404.232231986105</v>
      </c>
      <c r="F779" s="61">
        <v>4759.3372799999997</v>
      </c>
      <c r="G779" s="61">
        <v>5554.6210714926747</v>
      </c>
      <c r="H779" s="62">
        <v>6.2419409224951927E-3</v>
      </c>
      <c r="I779" s="62">
        <v>0.16709969155467697</v>
      </c>
      <c r="J779" s="62">
        <v>4.8584778374634041E-2</v>
      </c>
    </row>
    <row r="780" spans="1:10" ht="11.25" customHeight="1" x14ac:dyDescent="0.2">
      <c r="A780" s="71">
        <v>44228</v>
      </c>
      <c r="B780" s="61">
        <v>0</v>
      </c>
      <c r="C780" s="61">
        <v>0</v>
      </c>
      <c r="D780" s="61">
        <v>8669.7084900000009</v>
      </c>
      <c r="E780" s="61">
        <v>8723.8242982098345</v>
      </c>
      <c r="F780" s="61">
        <v>3097.5009600000003</v>
      </c>
      <c r="G780" s="61">
        <v>3615.0924150063156</v>
      </c>
      <c r="H780" s="62">
        <v>6.2419409224949707E-3</v>
      </c>
      <c r="I780" s="62">
        <v>0.16709969155467674</v>
      </c>
      <c r="J780" s="62">
        <v>4.8584778374633819E-2</v>
      </c>
    </row>
    <row r="781" spans="1:10" ht="11.25" customHeight="1" x14ac:dyDescent="0.2">
      <c r="A781" s="71">
        <v>44256</v>
      </c>
      <c r="B781" s="61">
        <v>0</v>
      </c>
      <c r="C781" s="61">
        <v>0</v>
      </c>
      <c r="D781" s="61">
        <v>3083.4831000000004</v>
      </c>
      <c r="E781" s="61">
        <v>3102.7300193457113</v>
      </c>
      <c r="F781" s="61">
        <v>1101.6623999999999</v>
      </c>
      <c r="G781" s="61">
        <v>1285.749847237385</v>
      </c>
      <c r="H781" s="62">
        <v>6.2419409224947486E-3</v>
      </c>
      <c r="I781" s="62">
        <v>0.16709969155467697</v>
      </c>
      <c r="J781" s="62">
        <v>4.8584778374633819E-2</v>
      </c>
    </row>
    <row r="782" spans="1:10" ht="11.25" customHeight="1" x14ac:dyDescent="0.2">
      <c r="A782" s="71">
        <v>44287</v>
      </c>
      <c r="B782" s="61">
        <v>0</v>
      </c>
      <c r="C782" s="61">
        <v>0</v>
      </c>
      <c r="D782" s="61">
        <v>9581.6785799999998</v>
      </c>
      <c r="E782" s="61">
        <v>9641.486851634696</v>
      </c>
      <c r="F782" s="61">
        <v>3423.3283199999996</v>
      </c>
      <c r="G782" s="61">
        <v>3995.3654263623898</v>
      </c>
      <c r="H782" s="62">
        <v>6.2419409224949707E-3</v>
      </c>
      <c r="I782" s="62">
        <v>0.16709969155467697</v>
      </c>
      <c r="J782" s="62">
        <v>4.8584778374634041E-2</v>
      </c>
    </row>
    <row r="783" spans="1:10" ht="11.25" customHeight="1" x14ac:dyDescent="0.2">
      <c r="A783" s="71">
        <v>44317</v>
      </c>
      <c r="B783" s="61">
        <v>0</v>
      </c>
      <c r="C783" s="61">
        <v>0</v>
      </c>
      <c r="D783" s="61">
        <v>11345.69241</v>
      </c>
      <c r="E783" s="61">
        <v>11416.511551748021</v>
      </c>
      <c r="F783" s="61">
        <v>4053.5726399999994</v>
      </c>
      <c r="G783" s="61">
        <v>4730.9233778384769</v>
      </c>
      <c r="H783" s="62">
        <v>6.2419409224951927E-3</v>
      </c>
      <c r="I783" s="62">
        <v>0.16709969155467697</v>
      </c>
      <c r="J783" s="62">
        <v>4.8584778374634263E-2</v>
      </c>
    </row>
    <row r="784" spans="1:10" ht="11.25" customHeight="1" x14ac:dyDescent="0.2">
      <c r="A784" s="71">
        <v>44348</v>
      </c>
      <c r="B784" s="61">
        <v>0</v>
      </c>
      <c r="C784" s="61">
        <v>0</v>
      </c>
      <c r="D784" s="61">
        <v>12195.557009999999</v>
      </c>
      <c r="E784" s="61">
        <v>12271.68095637334</v>
      </c>
      <c r="F784" s="61">
        <v>4357.2110399999992</v>
      </c>
      <c r="G784" s="61">
        <v>5085.2996608226331</v>
      </c>
      <c r="H784" s="62">
        <v>6.2419409224951927E-3</v>
      </c>
      <c r="I784" s="62">
        <v>0.16709969155467719</v>
      </c>
      <c r="J784" s="62">
        <v>4.8584778374634041E-2</v>
      </c>
    </row>
    <row r="785" spans="1:10" ht="11.25" customHeight="1" x14ac:dyDescent="0.2">
      <c r="A785" s="71">
        <v>44378</v>
      </c>
      <c r="B785" s="61">
        <v>0</v>
      </c>
      <c r="C785" s="61">
        <v>0</v>
      </c>
      <c r="D785" s="61">
        <v>10717.01052</v>
      </c>
      <c r="E785" s="61">
        <v>10783.905466531598</v>
      </c>
      <c r="F785" s="61">
        <v>3828.9580799999994</v>
      </c>
      <c r="G785" s="61">
        <v>4468.7757941437885</v>
      </c>
      <c r="H785" s="62">
        <v>6.2419409224949707E-3</v>
      </c>
      <c r="I785" s="62">
        <v>0.16709969155467719</v>
      </c>
      <c r="J785" s="62">
        <v>4.8584778374634041E-2</v>
      </c>
    </row>
    <row r="786" spans="1:10" ht="11.25" customHeight="1" x14ac:dyDescent="0.2">
      <c r="A786" s="71">
        <v>44409</v>
      </c>
      <c r="B786" s="61">
        <v>0</v>
      </c>
      <c r="C786" s="61">
        <v>0</v>
      </c>
      <c r="D786" s="61">
        <v>21331.601459999998</v>
      </c>
      <c r="E786" s="61">
        <v>21464.752056095527</v>
      </c>
      <c r="F786" s="61">
        <v>7621.3238399999991</v>
      </c>
      <c r="G786" s="61">
        <v>8894.8447029023046</v>
      </c>
      <c r="H786" s="62">
        <v>6.2419409224949707E-3</v>
      </c>
      <c r="I786" s="62">
        <v>0.16709969155467697</v>
      </c>
      <c r="J786" s="62">
        <v>4.8584778374634041E-2</v>
      </c>
    </row>
    <row r="787" spans="1:10" ht="11.25" customHeight="1" x14ac:dyDescent="0.2">
      <c r="A787" s="71">
        <v>44440</v>
      </c>
      <c r="B787" s="61">
        <v>0</v>
      </c>
      <c r="C787" s="61">
        <v>0</v>
      </c>
      <c r="D787" s="61">
        <v>16313.042039999998</v>
      </c>
      <c r="E787" s="61">
        <v>16414.86708467986</v>
      </c>
      <c r="F787" s="61">
        <v>5828.3001600000007</v>
      </c>
      <c r="G787" s="61">
        <v>6802.2073190240744</v>
      </c>
      <c r="H787" s="62">
        <v>6.2419409224951927E-3</v>
      </c>
      <c r="I787" s="62">
        <v>0.16709969155467674</v>
      </c>
      <c r="J787" s="62">
        <v>4.8584778374634041E-2</v>
      </c>
    </row>
    <row r="788" spans="1:10" ht="11.25" customHeight="1" x14ac:dyDescent="0.2">
      <c r="A788" s="71">
        <v>44470</v>
      </c>
      <c r="B788" s="61">
        <v>0</v>
      </c>
      <c r="C788" s="61">
        <v>0</v>
      </c>
      <c r="D788" s="61">
        <v>16313.042039999998</v>
      </c>
      <c r="E788" s="61">
        <v>16414.86708467986</v>
      </c>
      <c r="F788" s="61">
        <v>5828.3001600000007</v>
      </c>
      <c r="G788" s="61">
        <v>6802.2073190240744</v>
      </c>
      <c r="H788" s="62">
        <v>6.2419409224951927E-3</v>
      </c>
      <c r="I788" s="62">
        <v>0.16709969155467674</v>
      </c>
      <c r="J788" s="62">
        <v>4.8584778374634041E-2</v>
      </c>
    </row>
    <row r="789" spans="1:10" ht="11.25" customHeight="1" x14ac:dyDescent="0.2">
      <c r="A789" s="66" t="s">
        <v>42</v>
      </c>
      <c r="B789" s="61">
        <v>0</v>
      </c>
      <c r="C789" s="61">
        <v>0</v>
      </c>
      <c r="D789" s="61">
        <v>48669.794509999956</v>
      </c>
      <c r="E789" s="61">
        <v>39639.63255016211</v>
      </c>
      <c r="F789" s="61">
        <v>27346.348220000003</v>
      </c>
      <c r="G789" s="61">
        <v>33515.093850734484</v>
      </c>
      <c r="H789" s="62">
        <v>-0.18553934839364195</v>
      </c>
      <c r="I789" s="62">
        <v>0.22557840561040288</v>
      </c>
      <c r="J789" s="62">
        <v>-3.7642219485758188E-2</v>
      </c>
    </row>
    <row r="790" spans="1:10" ht="11.25" customHeight="1" x14ac:dyDescent="0.2">
      <c r="A790" s="67" t="s">
        <v>25</v>
      </c>
      <c r="B790" s="61">
        <v>0</v>
      </c>
      <c r="C790" s="61">
        <v>0</v>
      </c>
      <c r="D790" s="61">
        <v>48669.794509999956</v>
      </c>
      <c r="E790" s="61">
        <v>39639.63255016211</v>
      </c>
      <c r="F790" s="61">
        <v>27346.348220000003</v>
      </c>
      <c r="G790" s="61">
        <v>33515.093850734484</v>
      </c>
      <c r="H790" s="62">
        <v>-0.18553934839364195</v>
      </c>
      <c r="I790" s="62">
        <v>0.22557840561040288</v>
      </c>
      <c r="J790" s="62">
        <v>-3.7642219485758188E-2</v>
      </c>
    </row>
    <row r="791" spans="1:10" ht="11.25" customHeight="1" x14ac:dyDescent="0.2">
      <c r="A791" s="68" t="s">
        <v>25</v>
      </c>
      <c r="B791" s="61">
        <v>0</v>
      </c>
      <c r="C791" s="61">
        <v>0</v>
      </c>
      <c r="D791" s="61">
        <v>48669.794509999956</v>
      </c>
      <c r="E791" s="61">
        <v>39639.63255016211</v>
      </c>
      <c r="F791" s="61">
        <v>27346.348220000003</v>
      </c>
      <c r="G791" s="61">
        <v>33515.093850734484</v>
      </c>
      <c r="H791" s="62">
        <v>-0.18553934839364195</v>
      </c>
      <c r="I791" s="62">
        <v>0.22557840561040288</v>
      </c>
      <c r="J791" s="62">
        <v>-3.7642219485758188E-2</v>
      </c>
    </row>
    <row r="792" spans="1:10" ht="11.25" customHeight="1" x14ac:dyDescent="0.2">
      <c r="A792" s="69" t="s">
        <v>25</v>
      </c>
      <c r="B792" s="61">
        <v>0</v>
      </c>
      <c r="C792" s="61">
        <v>0</v>
      </c>
      <c r="D792" s="61">
        <v>48669.794509999956</v>
      </c>
      <c r="E792" s="61">
        <v>39639.63255016211</v>
      </c>
      <c r="F792" s="61">
        <v>27346.348220000003</v>
      </c>
      <c r="G792" s="61">
        <v>33515.093850734484</v>
      </c>
      <c r="H792" s="62">
        <v>-0.18553934839364195</v>
      </c>
      <c r="I792" s="62">
        <v>0.22557840561040288</v>
      </c>
      <c r="J792" s="62">
        <v>-3.7642219485758188E-2</v>
      </c>
    </row>
    <row r="793" spans="1:10" ht="11.25" customHeight="1" x14ac:dyDescent="0.2">
      <c r="A793" s="70" t="s">
        <v>38</v>
      </c>
      <c r="B793" s="61">
        <v>0</v>
      </c>
      <c r="C793" s="61">
        <v>0</v>
      </c>
      <c r="D793" s="61">
        <v>40932.654259999988</v>
      </c>
      <c r="E793" s="61">
        <v>31996.964908031219</v>
      </c>
      <c r="F793" s="61">
        <v>24691.190170000002</v>
      </c>
      <c r="G793" s="61">
        <v>30368.07076822544</v>
      </c>
      <c r="H793" s="62">
        <v>-0.21830222138076349</v>
      </c>
      <c r="I793" s="62">
        <v>0.22991522721828517</v>
      </c>
      <c r="J793" s="62">
        <v>-4.9658912580463954E-2</v>
      </c>
    </row>
    <row r="794" spans="1:10" ht="11.25" customHeight="1" x14ac:dyDescent="0.2">
      <c r="A794" s="71">
        <v>44136</v>
      </c>
      <c r="B794" s="61">
        <v>0</v>
      </c>
      <c r="C794" s="61">
        <v>0</v>
      </c>
      <c r="D794" s="61">
        <v>2700.6498799999999</v>
      </c>
      <c r="E794" s="61">
        <v>2111.0920120243068</v>
      </c>
      <c r="F794" s="61">
        <v>1629.0724599999999</v>
      </c>
      <c r="G794" s="61">
        <v>2003.6210247959507</v>
      </c>
      <c r="H794" s="62">
        <v>-0.21830222138076383</v>
      </c>
      <c r="I794" s="62">
        <v>0.22991522721828517</v>
      </c>
      <c r="J794" s="62">
        <v>-4.9658912580464065E-2</v>
      </c>
    </row>
    <row r="795" spans="1:10" ht="11.25" customHeight="1" x14ac:dyDescent="0.2">
      <c r="A795" s="71">
        <v>44166</v>
      </c>
      <c r="B795" s="61">
        <v>0</v>
      </c>
      <c r="C795" s="61">
        <v>0</v>
      </c>
      <c r="D795" s="61">
        <v>2808.5690999999997</v>
      </c>
      <c r="E795" s="61">
        <v>2195.4522265686273</v>
      </c>
      <c r="F795" s="61">
        <v>1694.1709499999999</v>
      </c>
      <c r="G795" s="61">
        <v>2083.6866489158679</v>
      </c>
      <c r="H795" s="62">
        <v>-0.21830222138076372</v>
      </c>
      <c r="I795" s="62">
        <v>0.22991522721828517</v>
      </c>
      <c r="J795" s="62">
        <v>-4.9658912580463954E-2</v>
      </c>
    </row>
    <row r="796" spans="1:10" ht="11.25" customHeight="1" x14ac:dyDescent="0.2">
      <c r="A796" s="71">
        <v>44197</v>
      </c>
      <c r="B796" s="61">
        <v>0</v>
      </c>
      <c r="C796" s="61">
        <v>0</v>
      </c>
      <c r="D796" s="61">
        <v>3783.6554799999999</v>
      </c>
      <c r="E796" s="61">
        <v>2957.6750837765003</v>
      </c>
      <c r="F796" s="61">
        <v>2282.3576600000001</v>
      </c>
      <c r="G796" s="61">
        <v>2807.1064399922939</v>
      </c>
      <c r="H796" s="62">
        <v>-0.21830222138076372</v>
      </c>
      <c r="I796" s="62">
        <v>0.22991522721828517</v>
      </c>
      <c r="J796" s="62">
        <v>-4.9658912580464065E-2</v>
      </c>
    </row>
    <row r="797" spans="1:10" ht="11.25" customHeight="1" x14ac:dyDescent="0.2">
      <c r="A797" s="71">
        <v>44228</v>
      </c>
      <c r="B797" s="61">
        <v>0</v>
      </c>
      <c r="C797" s="61">
        <v>0</v>
      </c>
      <c r="D797" s="61">
        <v>2652.60104</v>
      </c>
      <c r="E797" s="61">
        <v>2073.532340531076</v>
      </c>
      <c r="F797" s="61">
        <v>1600.0886800000001</v>
      </c>
      <c r="G797" s="61">
        <v>1967.9734324316062</v>
      </c>
      <c r="H797" s="62">
        <v>-0.21830222138076372</v>
      </c>
      <c r="I797" s="62">
        <v>0.22991522721828517</v>
      </c>
      <c r="J797" s="62">
        <v>-4.9658912580463954E-2</v>
      </c>
    </row>
    <row r="798" spans="1:10" ht="11.25" customHeight="1" x14ac:dyDescent="0.2">
      <c r="A798" s="71">
        <v>44256</v>
      </c>
      <c r="B798" s="61">
        <v>0</v>
      </c>
      <c r="C798" s="61">
        <v>0</v>
      </c>
      <c r="D798" s="61">
        <v>3281.4306999999999</v>
      </c>
      <c r="E798" s="61">
        <v>2565.0870888829654</v>
      </c>
      <c r="F798" s="61">
        <v>1979.4081500000002</v>
      </c>
      <c r="G798" s="61">
        <v>2434.5042245649756</v>
      </c>
      <c r="H798" s="62">
        <v>-0.21830222138076372</v>
      </c>
      <c r="I798" s="62">
        <v>0.22991522721828517</v>
      </c>
      <c r="J798" s="62">
        <v>-4.9658912580463954E-2</v>
      </c>
    </row>
    <row r="799" spans="1:10" ht="11.25" customHeight="1" x14ac:dyDescent="0.2">
      <c r="A799" s="71">
        <v>44287</v>
      </c>
      <c r="B799" s="61">
        <v>0</v>
      </c>
      <c r="C799" s="61">
        <v>0</v>
      </c>
      <c r="D799" s="61">
        <v>3567.8170399999999</v>
      </c>
      <c r="E799" s="61">
        <v>2788.9546546878587</v>
      </c>
      <c r="F799" s="61">
        <v>2152.16068</v>
      </c>
      <c r="G799" s="61">
        <v>2646.9751917524591</v>
      </c>
      <c r="H799" s="62">
        <v>-0.21830222138076372</v>
      </c>
      <c r="I799" s="62">
        <v>0.22991522721828517</v>
      </c>
      <c r="J799" s="62">
        <v>-4.9658912580463954E-2</v>
      </c>
    </row>
    <row r="800" spans="1:10" ht="11.25" customHeight="1" x14ac:dyDescent="0.2">
      <c r="A800" s="71">
        <v>44317</v>
      </c>
      <c r="B800" s="61">
        <v>0</v>
      </c>
      <c r="C800" s="61">
        <v>0</v>
      </c>
      <c r="D800" s="61">
        <v>3602.9003199999997</v>
      </c>
      <c r="E800" s="61">
        <v>2816.3791767305356</v>
      </c>
      <c r="F800" s="61">
        <v>2173.3234400000001</v>
      </c>
      <c r="G800" s="61">
        <v>2673.0035925264251</v>
      </c>
      <c r="H800" s="62">
        <v>-0.21830222138076361</v>
      </c>
      <c r="I800" s="62">
        <v>0.22991522721828517</v>
      </c>
      <c r="J800" s="62">
        <v>-4.9658912580463954E-2</v>
      </c>
    </row>
    <row r="801" spans="1:10" ht="11.25" customHeight="1" x14ac:dyDescent="0.2">
      <c r="A801" s="71">
        <v>44348</v>
      </c>
      <c r="B801" s="61">
        <v>0</v>
      </c>
      <c r="C801" s="61">
        <v>0</v>
      </c>
      <c r="D801" s="61">
        <v>4836.1538799999998</v>
      </c>
      <c r="E801" s="61">
        <v>3780.4107450568004</v>
      </c>
      <c r="F801" s="61">
        <v>2917.24046</v>
      </c>
      <c r="G801" s="61">
        <v>3587.9584632112746</v>
      </c>
      <c r="H801" s="62">
        <v>-0.21830222138076372</v>
      </c>
      <c r="I801" s="62">
        <v>0.22991522721828517</v>
      </c>
      <c r="J801" s="62">
        <v>-4.9658912580463954E-2</v>
      </c>
    </row>
    <row r="802" spans="1:10" ht="11.25" customHeight="1" x14ac:dyDescent="0.2">
      <c r="A802" s="71">
        <v>44378</v>
      </c>
      <c r="B802" s="61">
        <v>0</v>
      </c>
      <c r="C802" s="61">
        <v>0</v>
      </c>
      <c r="D802" s="61">
        <v>2794.4595199999999</v>
      </c>
      <c r="E802" s="61">
        <v>2184.4227992253773</v>
      </c>
      <c r="F802" s="61">
        <v>1685.65984</v>
      </c>
      <c r="G802" s="61">
        <v>2073.2187051263381</v>
      </c>
      <c r="H802" s="62">
        <v>-0.21830222138076372</v>
      </c>
      <c r="I802" s="62">
        <v>0.22991522721828517</v>
      </c>
      <c r="J802" s="62">
        <v>-4.9658912580463954E-2</v>
      </c>
    </row>
    <row r="803" spans="1:10" ht="11.25" customHeight="1" x14ac:dyDescent="0.2">
      <c r="A803" s="71">
        <v>44409</v>
      </c>
      <c r="B803" s="61">
        <v>0</v>
      </c>
      <c r="C803" s="61">
        <v>0</v>
      </c>
      <c r="D803" s="61">
        <v>3298.2096599999995</v>
      </c>
      <c r="E803" s="61">
        <v>2578.2031646425062</v>
      </c>
      <c r="F803" s="61">
        <v>1989.5294699999997</v>
      </c>
      <c r="G803" s="61">
        <v>2446.9525901525244</v>
      </c>
      <c r="H803" s="62">
        <v>-0.21830222138076372</v>
      </c>
      <c r="I803" s="62">
        <v>0.22991522721828539</v>
      </c>
      <c r="J803" s="62">
        <v>-4.9658912580463954E-2</v>
      </c>
    </row>
    <row r="804" spans="1:10" ht="11.25" customHeight="1" x14ac:dyDescent="0.2">
      <c r="A804" s="71">
        <v>44440</v>
      </c>
      <c r="B804" s="61">
        <v>0</v>
      </c>
      <c r="C804" s="61">
        <v>0</v>
      </c>
      <c r="D804" s="61">
        <v>3803.1038199999998</v>
      </c>
      <c r="E804" s="61">
        <v>2972.8778079523318</v>
      </c>
      <c r="F804" s="61">
        <v>2294.0891900000001</v>
      </c>
      <c r="G804" s="61">
        <v>2821.5352273778622</v>
      </c>
      <c r="H804" s="62">
        <v>-0.21830222138076372</v>
      </c>
      <c r="I804" s="62">
        <v>0.22991522721828517</v>
      </c>
      <c r="J804" s="62">
        <v>-4.9658912580464065E-2</v>
      </c>
    </row>
    <row r="805" spans="1:10" ht="11.25" customHeight="1" x14ac:dyDescent="0.2">
      <c r="A805" s="71">
        <v>44470</v>
      </c>
      <c r="B805" s="61">
        <v>0</v>
      </c>
      <c r="C805" s="61">
        <v>0</v>
      </c>
      <c r="D805" s="61">
        <v>3803.1038199999998</v>
      </c>
      <c r="E805" s="61">
        <v>2972.8778079523318</v>
      </c>
      <c r="F805" s="61">
        <v>2294.0891900000001</v>
      </c>
      <c r="G805" s="61">
        <v>2821.5352273778622</v>
      </c>
      <c r="H805" s="62">
        <v>-0.21830222138076372</v>
      </c>
      <c r="I805" s="62">
        <v>0.22991522721828517</v>
      </c>
      <c r="J805" s="62">
        <v>-4.9658912580464065E-2</v>
      </c>
    </row>
    <row r="806" spans="1:10" ht="11.25" customHeight="1" x14ac:dyDescent="0.2">
      <c r="A806" s="70" t="s">
        <v>40</v>
      </c>
      <c r="B806" s="61">
        <v>0</v>
      </c>
      <c r="C806" s="61">
        <v>0</v>
      </c>
      <c r="D806" s="61">
        <v>2452.7257500000001</v>
      </c>
      <c r="E806" s="61">
        <v>2325.2681390119315</v>
      </c>
      <c r="F806" s="61">
        <v>767.15004999999996</v>
      </c>
      <c r="G806" s="61">
        <v>943.52952805626876</v>
      </c>
      <c r="H806" s="62">
        <v>-5.1965700196228037E-2</v>
      </c>
      <c r="I806" s="62">
        <v>0.22991522721828517</v>
      </c>
      <c r="J806" s="62">
        <v>1.5193712461890607E-2</v>
      </c>
    </row>
    <row r="807" spans="1:10" ht="11.25" customHeight="1" x14ac:dyDescent="0.2">
      <c r="A807" s="71">
        <v>44136</v>
      </c>
      <c r="B807" s="61">
        <v>0</v>
      </c>
      <c r="C807" s="61">
        <v>0</v>
      </c>
      <c r="D807" s="61">
        <v>17.6508</v>
      </c>
      <c r="E807" s="61">
        <v>16.733563818976421</v>
      </c>
      <c r="F807" s="61">
        <v>5.5207199999999998</v>
      </c>
      <c r="G807" s="61">
        <v>6.7900175932085318</v>
      </c>
      <c r="H807" s="62">
        <v>-5.1965700196227926E-2</v>
      </c>
      <c r="I807" s="62">
        <v>0.22991522721828539</v>
      </c>
      <c r="J807" s="62">
        <v>1.5193712461890829E-2</v>
      </c>
    </row>
    <row r="808" spans="1:10" ht="11.25" customHeight="1" x14ac:dyDescent="0.2">
      <c r="A808" s="71">
        <v>44166</v>
      </c>
      <c r="B808" s="61">
        <v>0</v>
      </c>
      <c r="C808" s="61">
        <v>0</v>
      </c>
      <c r="D808" s="61">
        <v>1339.2544500000001</v>
      </c>
      <c r="E808" s="61">
        <v>1269.6591547648359</v>
      </c>
      <c r="F808" s="61">
        <v>418.88463000000002</v>
      </c>
      <c r="G808" s="61">
        <v>515.19258488469734</v>
      </c>
      <c r="H808" s="62">
        <v>-5.1965700196228037E-2</v>
      </c>
      <c r="I808" s="62">
        <v>0.22991522721828517</v>
      </c>
      <c r="J808" s="62">
        <v>1.5193712461890607E-2</v>
      </c>
    </row>
    <row r="809" spans="1:10" ht="11.25" customHeight="1" x14ac:dyDescent="0.2">
      <c r="A809" s="71">
        <v>44197</v>
      </c>
      <c r="B809" s="61">
        <v>0</v>
      </c>
      <c r="C809" s="61">
        <v>0</v>
      </c>
      <c r="D809" s="61">
        <v>110.31750000000001</v>
      </c>
      <c r="E809" s="61">
        <v>104.58477386860262</v>
      </c>
      <c r="F809" s="61">
        <v>34.5045</v>
      </c>
      <c r="G809" s="61">
        <v>42.43760995755332</v>
      </c>
      <c r="H809" s="62">
        <v>-5.1965700196228037E-2</v>
      </c>
      <c r="I809" s="62">
        <v>0.22991522721828517</v>
      </c>
      <c r="J809" s="62">
        <v>1.5193712461890607E-2</v>
      </c>
    </row>
    <row r="810" spans="1:10" ht="11.25" customHeight="1" x14ac:dyDescent="0.2">
      <c r="A810" s="71">
        <v>44228</v>
      </c>
      <c r="B810" s="61">
        <v>0</v>
      </c>
      <c r="C810" s="61">
        <v>0</v>
      </c>
      <c r="D810" s="61">
        <v>87.518550000000005</v>
      </c>
      <c r="E810" s="61">
        <v>82.970587269091411</v>
      </c>
      <c r="F810" s="61">
        <v>27.373569999999997</v>
      </c>
      <c r="G810" s="61">
        <v>33.66717056632563</v>
      </c>
      <c r="H810" s="62">
        <v>-5.1965700196228037E-2</v>
      </c>
      <c r="I810" s="62">
        <v>0.22991522721828517</v>
      </c>
      <c r="J810" s="62">
        <v>1.5193712461890607E-2</v>
      </c>
    </row>
    <row r="811" spans="1:10" ht="11.25" customHeight="1" x14ac:dyDescent="0.2">
      <c r="A811" s="71">
        <v>44256</v>
      </c>
      <c r="B811" s="61">
        <v>0</v>
      </c>
      <c r="C811" s="61">
        <v>0</v>
      </c>
      <c r="D811" s="61">
        <v>108.11114999999999</v>
      </c>
      <c r="E811" s="61">
        <v>102.49307839123057</v>
      </c>
      <c r="F811" s="61">
        <v>33.814409999999995</v>
      </c>
      <c r="G811" s="61">
        <v>41.588857758402249</v>
      </c>
      <c r="H811" s="62">
        <v>-5.1965700196227926E-2</v>
      </c>
      <c r="I811" s="62">
        <v>0.22991522721828517</v>
      </c>
      <c r="J811" s="62">
        <v>1.5193712461890829E-2</v>
      </c>
    </row>
    <row r="812" spans="1:10" ht="11.25" customHeight="1" x14ac:dyDescent="0.2">
      <c r="A812" s="71">
        <v>44287</v>
      </c>
      <c r="B812" s="61">
        <v>0</v>
      </c>
      <c r="C812" s="61">
        <v>0</v>
      </c>
      <c r="D812" s="61">
        <v>105.90479999999999</v>
      </c>
      <c r="E812" s="61">
        <v>100.40138291385851</v>
      </c>
      <c r="F812" s="61">
        <v>33.124319999999997</v>
      </c>
      <c r="G812" s="61">
        <v>40.740105559251184</v>
      </c>
      <c r="H812" s="62">
        <v>-5.1965700196227926E-2</v>
      </c>
      <c r="I812" s="62">
        <v>0.22991522721828517</v>
      </c>
      <c r="J812" s="62">
        <v>1.5193712461890829E-2</v>
      </c>
    </row>
    <row r="813" spans="1:10" ht="11.25" customHeight="1" x14ac:dyDescent="0.2">
      <c r="A813" s="71">
        <v>44317</v>
      </c>
      <c r="B813" s="61">
        <v>0</v>
      </c>
      <c r="C813" s="61">
        <v>0</v>
      </c>
      <c r="D813" s="61">
        <v>109.58205</v>
      </c>
      <c r="E813" s="61">
        <v>103.88754204281194</v>
      </c>
      <c r="F813" s="61">
        <v>34.274470000000001</v>
      </c>
      <c r="G813" s="61">
        <v>42.154692557836299</v>
      </c>
      <c r="H813" s="62">
        <v>-5.1965700196227815E-2</v>
      </c>
      <c r="I813" s="62">
        <v>0.22991522721828517</v>
      </c>
      <c r="J813" s="62">
        <v>1.5193712461890829E-2</v>
      </c>
    </row>
    <row r="814" spans="1:10" ht="11.25" customHeight="1" x14ac:dyDescent="0.2">
      <c r="A814" s="71">
        <v>44348</v>
      </c>
      <c r="B814" s="61">
        <v>0</v>
      </c>
      <c r="C814" s="61">
        <v>0</v>
      </c>
      <c r="D814" s="61">
        <v>123.55560000000001</v>
      </c>
      <c r="E814" s="61">
        <v>117.13494673283495</v>
      </c>
      <c r="F814" s="61">
        <v>38.645040000000002</v>
      </c>
      <c r="G814" s="61">
        <v>47.530123152459723</v>
      </c>
      <c r="H814" s="62">
        <v>-5.1965700196227926E-2</v>
      </c>
      <c r="I814" s="62">
        <v>0.22991522721828517</v>
      </c>
      <c r="J814" s="62">
        <v>1.5193712461890607E-2</v>
      </c>
    </row>
    <row r="815" spans="1:10" ht="11.25" customHeight="1" x14ac:dyDescent="0.2">
      <c r="A815" s="71">
        <v>44378</v>
      </c>
      <c r="B815" s="61">
        <v>0</v>
      </c>
      <c r="C815" s="61">
        <v>0</v>
      </c>
      <c r="D815" s="61">
        <v>66.1905</v>
      </c>
      <c r="E815" s="61">
        <v>62.750864321161572</v>
      </c>
      <c r="F815" s="61">
        <v>20.7027</v>
      </c>
      <c r="G815" s="61">
        <v>25.462565974531991</v>
      </c>
      <c r="H815" s="62">
        <v>-5.1965700196227926E-2</v>
      </c>
      <c r="I815" s="62">
        <v>0.22991522721828517</v>
      </c>
      <c r="J815" s="62">
        <v>1.5193712461890607E-2</v>
      </c>
    </row>
    <row r="816" spans="1:10" ht="11.25" customHeight="1" x14ac:dyDescent="0.2">
      <c r="A816" s="71">
        <v>44409</v>
      </c>
      <c r="B816" s="61">
        <v>0</v>
      </c>
      <c r="C816" s="61">
        <v>0</v>
      </c>
      <c r="D816" s="61">
        <v>86.047650000000004</v>
      </c>
      <c r="E816" s="61">
        <v>81.576123617510049</v>
      </c>
      <c r="F816" s="61">
        <v>26.913510000000002</v>
      </c>
      <c r="G816" s="61">
        <v>33.101335766891594</v>
      </c>
      <c r="H816" s="62">
        <v>-5.1965700196227926E-2</v>
      </c>
      <c r="I816" s="62">
        <v>0.22991522721828517</v>
      </c>
      <c r="J816" s="62">
        <v>1.5193712461890829E-2</v>
      </c>
    </row>
    <row r="817" spans="1:10" ht="11.25" customHeight="1" x14ac:dyDescent="0.2">
      <c r="A817" s="71">
        <v>44440</v>
      </c>
      <c r="B817" s="61">
        <v>0</v>
      </c>
      <c r="C817" s="61">
        <v>0</v>
      </c>
      <c r="D817" s="61">
        <v>149.29635000000002</v>
      </c>
      <c r="E817" s="61">
        <v>141.53806063550891</v>
      </c>
      <c r="F817" s="61">
        <v>46.696090000000005</v>
      </c>
      <c r="G817" s="61">
        <v>57.432232142555499</v>
      </c>
      <c r="H817" s="62">
        <v>-5.1965700196227815E-2</v>
      </c>
      <c r="I817" s="62">
        <v>0.22991522721828517</v>
      </c>
      <c r="J817" s="62">
        <v>1.5193712461890829E-2</v>
      </c>
    </row>
    <row r="818" spans="1:10" ht="11.25" customHeight="1" x14ac:dyDescent="0.2">
      <c r="A818" s="71">
        <v>44470</v>
      </c>
      <c r="B818" s="61">
        <v>0</v>
      </c>
      <c r="C818" s="61">
        <v>0</v>
      </c>
      <c r="D818" s="61">
        <v>149.29635000000002</v>
      </c>
      <c r="E818" s="61">
        <v>141.53806063550891</v>
      </c>
      <c r="F818" s="61">
        <v>46.696090000000005</v>
      </c>
      <c r="G818" s="61">
        <v>57.432232142555499</v>
      </c>
      <c r="H818" s="62">
        <v>-5.1965700196227815E-2</v>
      </c>
      <c r="I818" s="62">
        <v>0.22991522721828517</v>
      </c>
      <c r="J818" s="62">
        <v>1.5193712461890829E-2</v>
      </c>
    </row>
    <row r="819" spans="1:10" ht="11.25" customHeight="1" x14ac:dyDescent="0.2">
      <c r="A819" s="70" t="s">
        <v>37</v>
      </c>
      <c r="B819" s="61">
        <v>0</v>
      </c>
      <c r="C819" s="61">
        <v>0</v>
      </c>
      <c r="D819" s="61">
        <v>5284.4145000000008</v>
      </c>
      <c r="E819" s="61">
        <v>5317.3995031189761</v>
      </c>
      <c r="F819" s="61">
        <v>1888.0079999999998</v>
      </c>
      <c r="G819" s="61">
        <v>2203.4935544527621</v>
      </c>
      <c r="H819" s="62">
        <v>6.2419409224949707E-3</v>
      </c>
      <c r="I819" s="62">
        <v>0.16709969155467674</v>
      </c>
      <c r="J819" s="62">
        <v>4.8584778374634041E-2</v>
      </c>
    </row>
    <row r="820" spans="1:10" ht="11.25" customHeight="1" x14ac:dyDescent="0.2">
      <c r="A820" s="71">
        <v>44136</v>
      </c>
      <c r="B820" s="61">
        <v>0</v>
      </c>
      <c r="C820" s="61">
        <v>0</v>
      </c>
      <c r="D820" s="61">
        <v>87.165599999999998</v>
      </c>
      <c r="E820" s="61">
        <v>87.709682525673841</v>
      </c>
      <c r="F820" s="61">
        <v>31.142399999999999</v>
      </c>
      <c r="G820" s="61">
        <v>36.346285434272367</v>
      </c>
      <c r="H820" s="62">
        <v>6.2419409224951927E-3</v>
      </c>
      <c r="I820" s="62">
        <v>0.16709969155467697</v>
      </c>
      <c r="J820" s="62">
        <v>4.8584778374634041E-2</v>
      </c>
    </row>
    <row r="821" spans="1:10" ht="11.25" customHeight="1" x14ac:dyDescent="0.2">
      <c r="A821" s="71">
        <v>44166</v>
      </c>
      <c r="B821" s="61">
        <v>0</v>
      </c>
      <c r="C821" s="61">
        <v>0</v>
      </c>
      <c r="D821" s="61">
        <v>2693.4170399999998</v>
      </c>
      <c r="E821" s="61">
        <v>2710.2291900433215</v>
      </c>
      <c r="F821" s="61">
        <v>962.30015999999989</v>
      </c>
      <c r="G821" s="61">
        <v>1123.1002199190161</v>
      </c>
      <c r="H821" s="62">
        <v>6.2419409224951927E-3</v>
      </c>
      <c r="I821" s="62">
        <v>0.16709969155467697</v>
      </c>
      <c r="J821" s="62">
        <v>4.8584778374634041E-2</v>
      </c>
    </row>
    <row r="822" spans="1:10" ht="11.25" customHeight="1" x14ac:dyDescent="0.2">
      <c r="A822" s="71">
        <v>44197</v>
      </c>
      <c r="B822" s="61">
        <v>0</v>
      </c>
      <c r="C822" s="61">
        <v>0</v>
      </c>
      <c r="D822" s="61">
        <v>248.42195999999998</v>
      </c>
      <c r="E822" s="61">
        <v>249.97259519817044</v>
      </c>
      <c r="F822" s="61">
        <v>88.755839999999992</v>
      </c>
      <c r="G822" s="61">
        <v>103.58691348767626</v>
      </c>
      <c r="H822" s="62">
        <v>6.2419409224951927E-3</v>
      </c>
      <c r="I822" s="62">
        <v>0.16709969155467697</v>
      </c>
      <c r="J822" s="62">
        <v>4.8584778374634041E-2</v>
      </c>
    </row>
    <row r="823" spans="1:10" ht="11.25" customHeight="1" x14ac:dyDescent="0.2">
      <c r="A823" s="71">
        <v>44228</v>
      </c>
      <c r="B823" s="61">
        <v>0</v>
      </c>
      <c r="C823" s="61">
        <v>0</v>
      </c>
      <c r="D823" s="61">
        <v>211.37657999999999</v>
      </c>
      <c r="E823" s="61">
        <v>212.69598012475905</v>
      </c>
      <c r="F823" s="61">
        <v>75.520319999999998</v>
      </c>
      <c r="G823" s="61">
        <v>88.139742178110495</v>
      </c>
      <c r="H823" s="62">
        <v>6.2419409224951927E-3</v>
      </c>
      <c r="I823" s="62">
        <v>0.16709969155467697</v>
      </c>
      <c r="J823" s="62">
        <v>4.8584778374634263E-2</v>
      </c>
    </row>
    <row r="824" spans="1:10" ht="11.25" customHeight="1" x14ac:dyDescent="0.2">
      <c r="A824" s="71">
        <v>44256</v>
      </c>
      <c r="B824" s="61">
        <v>0</v>
      </c>
      <c r="C824" s="61">
        <v>0</v>
      </c>
      <c r="D824" s="61">
        <v>253.86981</v>
      </c>
      <c r="E824" s="61">
        <v>255.45445035602506</v>
      </c>
      <c r="F824" s="61">
        <v>90.702240000000003</v>
      </c>
      <c r="G824" s="61">
        <v>105.85855632731828</v>
      </c>
      <c r="H824" s="62">
        <v>6.2419409224951927E-3</v>
      </c>
      <c r="I824" s="62">
        <v>0.16709969155467697</v>
      </c>
      <c r="J824" s="62">
        <v>4.8584778374634263E-2</v>
      </c>
    </row>
    <row r="825" spans="1:10" ht="11.25" customHeight="1" x14ac:dyDescent="0.2">
      <c r="A825" s="71">
        <v>44287</v>
      </c>
      <c r="B825" s="61">
        <v>0</v>
      </c>
      <c r="C825" s="61">
        <v>0</v>
      </c>
      <c r="D825" s="61">
        <v>235.34711999999999</v>
      </c>
      <c r="E825" s="61">
        <v>236.81614281931934</v>
      </c>
      <c r="F825" s="61">
        <v>84.084479999999999</v>
      </c>
      <c r="G825" s="61">
        <v>98.134970672535388</v>
      </c>
      <c r="H825" s="62">
        <v>6.2419409224949707E-3</v>
      </c>
      <c r="I825" s="62">
        <v>0.16709969155467674</v>
      </c>
      <c r="J825" s="62">
        <v>4.8584778374633819E-2</v>
      </c>
    </row>
    <row r="826" spans="1:10" ht="11.25" customHeight="1" x14ac:dyDescent="0.2">
      <c r="A826" s="71">
        <v>44317</v>
      </c>
      <c r="B826" s="61">
        <v>0</v>
      </c>
      <c r="C826" s="61">
        <v>0</v>
      </c>
      <c r="D826" s="61">
        <v>253.86981</v>
      </c>
      <c r="E826" s="61">
        <v>255.45445035602506</v>
      </c>
      <c r="F826" s="61">
        <v>90.702240000000003</v>
      </c>
      <c r="G826" s="61">
        <v>105.85855632731828</v>
      </c>
      <c r="H826" s="62">
        <v>6.2419409224951927E-3</v>
      </c>
      <c r="I826" s="62">
        <v>0.16709969155467697</v>
      </c>
      <c r="J826" s="62">
        <v>4.8584778374634263E-2</v>
      </c>
    </row>
    <row r="827" spans="1:10" ht="11.25" customHeight="1" x14ac:dyDescent="0.2">
      <c r="A827" s="71">
        <v>44348</v>
      </c>
      <c r="B827" s="61">
        <v>0</v>
      </c>
      <c r="C827" s="61">
        <v>0</v>
      </c>
      <c r="D827" s="61">
        <v>282.19862999999998</v>
      </c>
      <c r="E827" s="61">
        <v>283.96009717686906</v>
      </c>
      <c r="F827" s="61">
        <v>100.82352</v>
      </c>
      <c r="G827" s="61">
        <v>117.67109909345679</v>
      </c>
      <c r="H827" s="62">
        <v>6.2419409224951927E-3</v>
      </c>
      <c r="I827" s="62">
        <v>0.16709969155467674</v>
      </c>
      <c r="J827" s="62">
        <v>4.8584778374634041E-2</v>
      </c>
    </row>
    <row r="828" spans="1:10" ht="11.25" customHeight="1" x14ac:dyDescent="0.2">
      <c r="A828" s="71">
        <v>44378</v>
      </c>
      <c r="B828" s="61">
        <v>0</v>
      </c>
      <c r="C828" s="61">
        <v>0</v>
      </c>
      <c r="D828" s="61">
        <v>150.36066</v>
      </c>
      <c r="E828" s="61">
        <v>151.29920235678739</v>
      </c>
      <c r="F828" s="61">
        <v>53.720640000000003</v>
      </c>
      <c r="G828" s="61">
        <v>62.697342374119842</v>
      </c>
      <c r="H828" s="62">
        <v>6.2419409224951927E-3</v>
      </c>
      <c r="I828" s="62">
        <v>0.16709969155467697</v>
      </c>
      <c r="J828" s="62">
        <v>4.8584778374634263E-2</v>
      </c>
    </row>
    <row r="829" spans="1:10" ht="11.25" customHeight="1" x14ac:dyDescent="0.2">
      <c r="A829" s="71">
        <v>44409</v>
      </c>
      <c r="B829" s="61">
        <v>0</v>
      </c>
      <c r="C829" s="61">
        <v>0</v>
      </c>
      <c r="D829" s="61">
        <v>214.64528999999999</v>
      </c>
      <c r="E829" s="61">
        <v>215.98509321947182</v>
      </c>
      <c r="F829" s="61">
        <v>76.688159999999996</v>
      </c>
      <c r="G829" s="61">
        <v>89.502727881895709</v>
      </c>
      <c r="H829" s="62">
        <v>6.2419409224951927E-3</v>
      </c>
      <c r="I829" s="62">
        <v>0.16709969155467697</v>
      </c>
      <c r="J829" s="62">
        <v>4.8584778374634263E-2</v>
      </c>
    </row>
    <row r="830" spans="1:10" ht="11.25" customHeight="1" x14ac:dyDescent="0.2">
      <c r="A830" s="71">
        <v>44440</v>
      </c>
      <c r="B830" s="61">
        <v>0</v>
      </c>
      <c r="C830" s="61">
        <v>0</v>
      </c>
      <c r="D830" s="61">
        <v>326.87099999999998</v>
      </c>
      <c r="E830" s="61">
        <v>328.91130947127687</v>
      </c>
      <c r="F830" s="61">
        <v>116.78399999999999</v>
      </c>
      <c r="G830" s="61">
        <v>136.29857037852136</v>
      </c>
      <c r="H830" s="62">
        <v>6.2419409224949707E-3</v>
      </c>
      <c r="I830" s="62">
        <v>0.16709969155467674</v>
      </c>
      <c r="J830" s="62">
        <v>4.8584778374634041E-2</v>
      </c>
    </row>
    <row r="831" spans="1:10" ht="11.25" customHeight="1" x14ac:dyDescent="0.2">
      <c r="A831" s="71">
        <v>44470</v>
      </c>
      <c r="B831" s="61">
        <v>0</v>
      </c>
      <c r="C831" s="61">
        <v>0</v>
      </c>
      <c r="D831" s="61">
        <v>326.87099999999998</v>
      </c>
      <c r="E831" s="61">
        <v>328.91130947127687</v>
      </c>
      <c r="F831" s="61">
        <v>116.78399999999999</v>
      </c>
      <c r="G831" s="61">
        <v>136.29857037852136</v>
      </c>
      <c r="H831" s="62">
        <v>6.2419409224949707E-3</v>
      </c>
      <c r="I831" s="62">
        <v>0.16709969155467674</v>
      </c>
      <c r="J831" s="62">
        <v>4.8584778374634041E-2</v>
      </c>
    </row>
    <row r="832" spans="1:10" ht="11.25" customHeight="1" x14ac:dyDescent="0.2">
      <c r="A832" s="66" t="s">
        <v>48</v>
      </c>
      <c r="B832" s="61">
        <v>0</v>
      </c>
      <c r="C832" s="61">
        <v>0</v>
      </c>
      <c r="D832" s="61">
        <v>153061.19781999991</v>
      </c>
      <c r="E832" s="61">
        <v>117205.34910538088</v>
      </c>
      <c r="F832" s="61">
        <v>94287.408259999953</v>
      </c>
      <c r="G832" s="61">
        <v>116319.6206101038</v>
      </c>
      <c r="H832" s="62">
        <v>-0.23425825241996001</v>
      </c>
      <c r="I832" s="62">
        <v>0.23367078124948892</v>
      </c>
      <c r="J832" s="62">
        <v>-5.5887262045229757E-2</v>
      </c>
    </row>
    <row r="833" spans="1:10" ht="11.25" customHeight="1" x14ac:dyDescent="0.2">
      <c r="A833" s="67" t="s">
        <v>25</v>
      </c>
      <c r="B833" s="61">
        <v>0</v>
      </c>
      <c r="C833" s="61">
        <v>0</v>
      </c>
      <c r="D833" s="61">
        <v>153061.19781999991</v>
      </c>
      <c r="E833" s="61">
        <v>117205.34910538088</v>
      </c>
      <c r="F833" s="61">
        <v>94287.408259999953</v>
      </c>
      <c r="G833" s="61">
        <v>116319.6206101038</v>
      </c>
      <c r="H833" s="62">
        <v>-0.23425825241996001</v>
      </c>
      <c r="I833" s="62">
        <v>0.23367078124948892</v>
      </c>
      <c r="J833" s="62">
        <v>-5.5887262045229757E-2</v>
      </c>
    </row>
    <row r="834" spans="1:10" ht="11.25" customHeight="1" x14ac:dyDescent="0.2">
      <c r="A834" s="68" t="s">
        <v>25</v>
      </c>
      <c r="B834" s="61">
        <v>0</v>
      </c>
      <c r="C834" s="61">
        <v>0</v>
      </c>
      <c r="D834" s="61">
        <v>153061.19781999991</v>
      </c>
      <c r="E834" s="61">
        <v>117205.34910538088</v>
      </c>
      <c r="F834" s="61">
        <v>94287.408259999953</v>
      </c>
      <c r="G834" s="61">
        <v>116319.6206101038</v>
      </c>
      <c r="H834" s="62">
        <v>-0.23425825241996001</v>
      </c>
      <c r="I834" s="62">
        <v>0.23367078124948892</v>
      </c>
      <c r="J834" s="62">
        <v>-5.5887262045229757E-2</v>
      </c>
    </row>
    <row r="835" spans="1:10" ht="11.25" customHeight="1" x14ac:dyDescent="0.2">
      <c r="A835" s="69" t="s">
        <v>25</v>
      </c>
      <c r="B835" s="61">
        <v>0</v>
      </c>
      <c r="C835" s="61">
        <v>0</v>
      </c>
      <c r="D835" s="61">
        <v>153061.19781999991</v>
      </c>
      <c r="E835" s="61">
        <v>117205.34910538088</v>
      </c>
      <c r="F835" s="61">
        <v>94287.408259999953</v>
      </c>
      <c r="G835" s="61">
        <v>116319.6206101038</v>
      </c>
      <c r="H835" s="62">
        <v>-0.23425825241996001</v>
      </c>
      <c r="I835" s="62">
        <v>0.23367078124948892</v>
      </c>
      <c r="J835" s="62">
        <v>-5.5887262045229757E-2</v>
      </c>
    </row>
    <row r="836" spans="1:10" ht="11.25" customHeight="1" x14ac:dyDescent="0.2">
      <c r="A836" s="70" t="s">
        <v>38</v>
      </c>
      <c r="B836" s="61">
        <v>0</v>
      </c>
      <c r="C836" s="61">
        <v>0</v>
      </c>
      <c r="D836" s="61">
        <v>162222.41733999999</v>
      </c>
      <c r="E836" s="61">
        <v>126808.90327692065</v>
      </c>
      <c r="F836" s="61">
        <v>97854.992030000009</v>
      </c>
      <c r="G836" s="61">
        <v>120353.34475702094</v>
      </c>
      <c r="H836" s="62">
        <v>-0.21830222138076361</v>
      </c>
      <c r="I836" s="62">
        <v>0.22991522721828517</v>
      </c>
      <c r="J836" s="62">
        <v>-4.9658912580463843E-2</v>
      </c>
    </row>
    <row r="837" spans="1:10" ht="11.25" customHeight="1" x14ac:dyDescent="0.2">
      <c r="A837" s="71">
        <v>44136</v>
      </c>
      <c r="B837" s="61">
        <v>0</v>
      </c>
      <c r="C837" s="61">
        <v>0</v>
      </c>
      <c r="D837" s="61">
        <v>17771.588019999999</v>
      </c>
      <c r="E837" s="61">
        <v>13892.010877770228</v>
      </c>
      <c r="F837" s="61">
        <v>10720.088089999999</v>
      </c>
      <c r="G837" s="61">
        <v>13184.79957901238</v>
      </c>
      <c r="H837" s="62">
        <v>-0.21830222138076394</v>
      </c>
      <c r="I837" s="62">
        <v>0.22991522721828495</v>
      </c>
      <c r="J837" s="62">
        <v>-4.9658912580464287E-2</v>
      </c>
    </row>
    <row r="838" spans="1:10" ht="11.25" customHeight="1" x14ac:dyDescent="0.2">
      <c r="A838" s="71">
        <v>44166</v>
      </c>
      <c r="B838" s="61">
        <v>0</v>
      </c>
      <c r="C838" s="61">
        <v>0</v>
      </c>
      <c r="D838" s="61">
        <v>18218.518499999998</v>
      </c>
      <c r="E838" s="61">
        <v>14241.37544118346</v>
      </c>
      <c r="F838" s="61">
        <v>10989.68325</v>
      </c>
      <c r="G838" s="61">
        <v>13516.378771480731</v>
      </c>
      <c r="H838" s="62">
        <v>-0.21830222138076372</v>
      </c>
      <c r="I838" s="62">
        <v>0.22991522721828495</v>
      </c>
      <c r="J838" s="62">
        <v>-4.9658912580464065E-2</v>
      </c>
    </row>
    <row r="839" spans="1:10" ht="11.25" customHeight="1" x14ac:dyDescent="0.2">
      <c r="A839" s="71">
        <v>44197</v>
      </c>
      <c r="B839" s="61">
        <v>0</v>
      </c>
      <c r="C839" s="61">
        <v>0</v>
      </c>
      <c r="D839" s="61">
        <v>10307.620199999998</v>
      </c>
      <c r="E839" s="61">
        <v>8057.4438131907664</v>
      </c>
      <c r="F839" s="61">
        <v>6217.7108999999982</v>
      </c>
      <c r="G839" s="61">
        <v>7647.2573143511072</v>
      </c>
      <c r="H839" s="62">
        <v>-0.21830222138076372</v>
      </c>
      <c r="I839" s="62">
        <v>0.22991522721828539</v>
      </c>
      <c r="J839" s="62">
        <v>-4.9658912580463954E-2</v>
      </c>
    </row>
    <row r="840" spans="1:10" ht="11.25" customHeight="1" x14ac:dyDescent="0.2">
      <c r="A840" s="71">
        <v>44228</v>
      </c>
      <c r="B840" s="61">
        <v>0</v>
      </c>
      <c r="C840" s="61">
        <v>0</v>
      </c>
      <c r="D840" s="61">
        <v>10274.062279999998</v>
      </c>
      <c r="E840" s="61">
        <v>8031.2116616716849</v>
      </c>
      <c r="F840" s="61">
        <v>6197.4682599999996</v>
      </c>
      <c r="G840" s="61">
        <v>7622.3605831760096</v>
      </c>
      <c r="H840" s="62">
        <v>-0.21830222138076372</v>
      </c>
      <c r="I840" s="62">
        <v>0.22991522721828517</v>
      </c>
      <c r="J840" s="62">
        <v>-4.9658912580464065E-2</v>
      </c>
    </row>
    <row r="841" spans="1:10" ht="11.25" customHeight="1" x14ac:dyDescent="0.2">
      <c r="A841" s="71">
        <v>44256</v>
      </c>
      <c r="B841" s="61">
        <v>0</v>
      </c>
      <c r="C841" s="61">
        <v>0</v>
      </c>
      <c r="D841" s="61">
        <v>14397.110360000001</v>
      </c>
      <c r="E841" s="61">
        <v>11254.189186947991</v>
      </c>
      <c r="F841" s="61">
        <v>8684.5526200000004</v>
      </c>
      <c r="G841" s="61">
        <v>10681.263508916454</v>
      </c>
      <c r="H841" s="62">
        <v>-0.21830222138076383</v>
      </c>
      <c r="I841" s="62">
        <v>0.22991522721828517</v>
      </c>
      <c r="J841" s="62">
        <v>-4.9658912580464176E-2</v>
      </c>
    </row>
    <row r="842" spans="1:10" ht="11.25" customHeight="1" x14ac:dyDescent="0.2">
      <c r="A842" s="71">
        <v>44287</v>
      </c>
      <c r="B842" s="61">
        <v>0</v>
      </c>
      <c r="C842" s="61">
        <v>0</v>
      </c>
      <c r="D842" s="61">
        <v>14087.843619999998</v>
      </c>
      <c r="E842" s="61">
        <v>11012.43606328918</v>
      </c>
      <c r="F842" s="61">
        <v>8497.9982899999995</v>
      </c>
      <c r="G842" s="61">
        <v>10451.817497745948</v>
      </c>
      <c r="H842" s="62">
        <v>-0.21830222138076361</v>
      </c>
      <c r="I842" s="62">
        <v>0.22991522721828517</v>
      </c>
      <c r="J842" s="62">
        <v>-4.9658912580463954E-2</v>
      </c>
    </row>
    <row r="843" spans="1:10" ht="11.25" customHeight="1" x14ac:dyDescent="0.2">
      <c r="A843" s="71">
        <v>44317</v>
      </c>
      <c r="B843" s="61">
        <v>0</v>
      </c>
      <c r="C843" s="61">
        <v>0</v>
      </c>
      <c r="D843" s="61">
        <v>11516.467999999999</v>
      </c>
      <c r="E843" s="61">
        <v>9002.3974531395179</v>
      </c>
      <c r="F843" s="61">
        <v>6946.9059999999999</v>
      </c>
      <c r="G843" s="61">
        <v>8544.1054714540678</v>
      </c>
      <c r="H843" s="62">
        <v>-0.21830222138076372</v>
      </c>
      <c r="I843" s="62">
        <v>0.22991522721828517</v>
      </c>
      <c r="J843" s="62">
        <v>-4.9658912580464065E-2</v>
      </c>
    </row>
    <row r="844" spans="1:10" ht="11.25" customHeight="1" x14ac:dyDescent="0.2">
      <c r="A844" s="71">
        <v>44348</v>
      </c>
      <c r="B844" s="61">
        <v>0</v>
      </c>
      <c r="C844" s="61">
        <v>0</v>
      </c>
      <c r="D844" s="61">
        <v>12306.985819999998</v>
      </c>
      <c r="E844" s="61">
        <v>9620.3434769924388</v>
      </c>
      <c r="F844" s="61">
        <v>7423.7581900000005</v>
      </c>
      <c r="G844" s="61">
        <v>9130.5932410674559</v>
      </c>
      <c r="H844" s="62">
        <v>-0.21830222138076372</v>
      </c>
      <c r="I844" s="62">
        <v>0.22991522721828517</v>
      </c>
      <c r="J844" s="62">
        <v>-4.9658912580464065E-2</v>
      </c>
    </row>
    <row r="845" spans="1:10" ht="11.25" customHeight="1" x14ac:dyDescent="0.2">
      <c r="A845" s="71">
        <v>44378</v>
      </c>
      <c r="B845" s="61">
        <v>0</v>
      </c>
      <c r="C845" s="61">
        <v>0</v>
      </c>
      <c r="D845" s="61">
        <v>11773.10982</v>
      </c>
      <c r="E845" s="61">
        <v>9203.013793734317</v>
      </c>
      <c r="F845" s="61">
        <v>7101.716190000001</v>
      </c>
      <c r="G845" s="61">
        <v>8734.5088814636256</v>
      </c>
      <c r="H845" s="62">
        <v>-0.21830222138076372</v>
      </c>
      <c r="I845" s="62">
        <v>0.22991522721828517</v>
      </c>
      <c r="J845" s="62">
        <v>-4.9658912580463954E-2</v>
      </c>
    </row>
    <row r="846" spans="1:10" ht="11.25" customHeight="1" x14ac:dyDescent="0.2">
      <c r="A846" s="71">
        <v>44409</v>
      </c>
      <c r="B846" s="61">
        <v>0</v>
      </c>
      <c r="C846" s="61">
        <v>0</v>
      </c>
      <c r="D846" s="61">
        <v>14671.675159999999</v>
      </c>
      <c r="E846" s="61">
        <v>11468.815881195027</v>
      </c>
      <c r="F846" s="61">
        <v>8850.1742200000008</v>
      </c>
      <c r="G846" s="61">
        <v>10884.96403671271</v>
      </c>
      <c r="H846" s="62">
        <v>-0.21830222138076372</v>
      </c>
      <c r="I846" s="62">
        <v>0.22991522721828517</v>
      </c>
      <c r="J846" s="62">
        <v>-4.9658912580464065E-2</v>
      </c>
    </row>
    <row r="847" spans="1:10" ht="11.25" customHeight="1" x14ac:dyDescent="0.2">
      <c r="A847" s="71">
        <v>44440</v>
      </c>
      <c r="B847" s="61">
        <v>0</v>
      </c>
      <c r="C847" s="61">
        <v>0</v>
      </c>
      <c r="D847" s="61">
        <v>13448.717779999999</v>
      </c>
      <c r="E847" s="61">
        <v>10512.832813903025</v>
      </c>
      <c r="F847" s="61">
        <v>8112.4680099999987</v>
      </c>
      <c r="G847" s="61">
        <v>9977.6479358202196</v>
      </c>
      <c r="H847" s="62">
        <v>-0.21830222138076372</v>
      </c>
      <c r="I847" s="62">
        <v>0.22991522721828539</v>
      </c>
      <c r="J847" s="62">
        <v>-4.9658912580463843E-2</v>
      </c>
    </row>
    <row r="848" spans="1:10" ht="11.25" customHeight="1" x14ac:dyDescent="0.2">
      <c r="A848" s="71">
        <v>44470</v>
      </c>
      <c r="B848" s="61">
        <v>0</v>
      </c>
      <c r="C848" s="61">
        <v>0</v>
      </c>
      <c r="D848" s="61">
        <v>13448.717779999999</v>
      </c>
      <c r="E848" s="61">
        <v>10512.832813903025</v>
      </c>
      <c r="F848" s="61">
        <v>8112.4680099999987</v>
      </c>
      <c r="G848" s="61">
        <v>9977.6479358202196</v>
      </c>
      <c r="H848" s="62">
        <v>-0.21830222138076372</v>
      </c>
      <c r="I848" s="62">
        <v>0.22991522721828539</v>
      </c>
      <c r="J848" s="62">
        <v>-4.9658912580463843E-2</v>
      </c>
    </row>
    <row r="849" spans="1:10" ht="11.25" customHeight="1" x14ac:dyDescent="0.2">
      <c r="A849" s="70" t="s">
        <v>40</v>
      </c>
      <c r="B849" s="61">
        <v>0</v>
      </c>
      <c r="C849" s="61">
        <v>0</v>
      </c>
      <c r="D849" s="61">
        <v>6616.8436499999989</v>
      </c>
      <c r="E849" s="61">
        <v>6272.994736638786</v>
      </c>
      <c r="F849" s="61">
        <v>2069.5799100000004</v>
      </c>
      <c r="G849" s="61">
        <v>2545.4078452540484</v>
      </c>
      <c r="H849" s="62">
        <v>-5.1965700196227926E-2</v>
      </c>
      <c r="I849" s="62">
        <v>0.22991522721828472</v>
      </c>
      <c r="J849" s="62">
        <v>1.5193712461890607E-2</v>
      </c>
    </row>
    <row r="850" spans="1:10" ht="11.25" customHeight="1" x14ac:dyDescent="0.2">
      <c r="A850" s="71">
        <v>44136</v>
      </c>
      <c r="B850" s="61">
        <v>0</v>
      </c>
      <c r="C850" s="61">
        <v>0</v>
      </c>
      <c r="D850" s="61">
        <v>960.49770000000012</v>
      </c>
      <c r="E850" s="61">
        <v>910.58476448263355</v>
      </c>
      <c r="F850" s="61">
        <v>300.41918000000004</v>
      </c>
      <c r="G850" s="61">
        <v>369.49012403043093</v>
      </c>
      <c r="H850" s="62">
        <v>-5.1965700196228037E-2</v>
      </c>
      <c r="I850" s="62">
        <v>0.22991522721828517</v>
      </c>
      <c r="J850" s="62">
        <v>1.5193712461890607E-2</v>
      </c>
    </row>
    <row r="851" spans="1:10" ht="11.25" customHeight="1" x14ac:dyDescent="0.2">
      <c r="A851" s="71">
        <v>44166</v>
      </c>
      <c r="B851" s="61">
        <v>0</v>
      </c>
      <c r="C851" s="61">
        <v>0</v>
      </c>
      <c r="D851" s="61">
        <v>1129.6512</v>
      </c>
      <c r="E851" s="61">
        <v>1070.9480844144909</v>
      </c>
      <c r="F851" s="61">
        <v>353.32607999999999</v>
      </c>
      <c r="G851" s="61">
        <v>434.56112596534604</v>
      </c>
      <c r="H851" s="62">
        <v>-5.1965700196227926E-2</v>
      </c>
      <c r="I851" s="62">
        <v>0.22991522721828539</v>
      </c>
      <c r="J851" s="62">
        <v>1.5193712461890829E-2</v>
      </c>
    </row>
    <row r="852" spans="1:10" ht="11.25" customHeight="1" x14ac:dyDescent="0.2">
      <c r="A852" s="71">
        <v>44197</v>
      </c>
      <c r="B852" s="61">
        <v>0</v>
      </c>
      <c r="C852" s="61">
        <v>0</v>
      </c>
      <c r="D852" s="61">
        <v>846.50294999999994</v>
      </c>
      <c r="E852" s="61">
        <v>802.5138314850775</v>
      </c>
      <c r="F852" s="61">
        <v>264.76452999999998</v>
      </c>
      <c r="G852" s="61">
        <v>325.63792707429246</v>
      </c>
      <c r="H852" s="62">
        <v>-5.1965700196227815E-2</v>
      </c>
      <c r="I852" s="62">
        <v>0.22991522721828517</v>
      </c>
      <c r="J852" s="62">
        <v>1.5193712461890829E-2</v>
      </c>
    </row>
    <row r="853" spans="1:10" ht="11.25" customHeight="1" x14ac:dyDescent="0.2">
      <c r="A853" s="71">
        <v>44228</v>
      </c>
      <c r="B853" s="61">
        <v>0</v>
      </c>
      <c r="C853" s="61">
        <v>0</v>
      </c>
      <c r="D853" s="61">
        <v>719.27009999999996</v>
      </c>
      <c r="E853" s="61">
        <v>681.89272562328915</v>
      </c>
      <c r="F853" s="61">
        <v>224.96933999999999</v>
      </c>
      <c r="G853" s="61">
        <v>276.69321692324763</v>
      </c>
      <c r="H853" s="62">
        <v>-5.1965700196227815E-2</v>
      </c>
      <c r="I853" s="62">
        <v>0.22991522721828517</v>
      </c>
      <c r="J853" s="62">
        <v>1.5193712461890829E-2</v>
      </c>
    </row>
    <row r="854" spans="1:10" ht="11.25" customHeight="1" x14ac:dyDescent="0.2">
      <c r="A854" s="71">
        <v>44256</v>
      </c>
      <c r="B854" s="61">
        <v>0</v>
      </c>
      <c r="C854" s="61">
        <v>0</v>
      </c>
      <c r="D854" s="61">
        <v>979.61939999999993</v>
      </c>
      <c r="E854" s="61">
        <v>928.7127919531913</v>
      </c>
      <c r="F854" s="61">
        <v>306.39995999999996</v>
      </c>
      <c r="G854" s="61">
        <v>376.84597642307347</v>
      </c>
      <c r="H854" s="62">
        <v>-5.1965700196227926E-2</v>
      </c>
      <c r="I854" s="62">
        <v>0.22991522721828517</v>
      </c>
      <c r="J854" s="62">
        <v>1.5193712461890829E-2</v>
      </c>
    </row>
    <row r="855" spans="1:10" ht="11.25" customHeight="1" x14ac:dyDescent="0.2">
      <c r="A855" s="71">
        <v>44287</v>
      </c>
      <c r="B855" s="61">
        <v>0</v>
      </c>
      <c r="C855" s="61">
        <v>0</v>
      </c>
      <c r="D855" s="61">
        <v>536.87850000000003</v>
      </c>
      <c r="E855" s="61">
        <v>508.9792328271995</v>
      </c>
      <c r="F855" s="61">
        <v>167.92189999999999</v>
      </c>
      <c r="G855" s="61">
        <v>206.52970179342617</v>
      </c>
      <c r="H855" s="62">
        <v>-5.1965700196227926E-2</v>
      </c>
      <c r="I855" s="62">
        <v>0.22991522721828517</v>
      </c>
      <c r="J855" s="62">
        <v>1.5193712461890829E-2</v>
      </c>
    </row>
    <row r="856" spans="1:10" ht="11.25" customHeight="1" x14ac:dyDescent="0.2">
      <c r="A856" s="71">
        <v>44317</v>
      </c>
      <c r="B856" s="61">
        <v>0</v>
      </c>
      <c r="C856" s="61">
        <v>0</v>
      </c>
      <c r="D856" s="61">
        <v>229.46039999999999</v>
      </c>
      <c r="E856" s="61">
        <v>217.53632964669345</v>
      </c>
      <c r="F856" s="61">
        <v>71.769360000000006</v>
      </c>
      <c r="G856" s="61">
        <v>88.270228711710899</v>
      </c>
      <c r="H856" s="62">
        <v>-5.1965700196227926E-2</v>
      </c>
      <c r="I856" s="62">
        <v>0.22991522721828495</v>
      </c>
      <c r="J856" s="62">
        <v>1.5193712461890607E-2</v>
      </c>
    </row>
    <row r="857" spans="1:10" ht="11.25" customHeight="1" x14ac:dyDescent="0.2">
      <c r="A857" s="71">
        <v>44348</v>
      </c>
      <c r="B857" s="61">
        <v>0</v>
      </c>
      <c r="C857" s="61">
        <v>0</v>
      </c>
      <c r="D857" s="61">
        <v>228.72495000000001</v>
      </c>
      <c r="E857" s="61">
        <v>216.83909782090279</v>
      </c>
      <c r="F857" s="61">
        <v>71.539330000000007</v>
      </c>
      <c r="G857" s="61">
        <v>87.987311311993892</v>
      </c>
      <c r="H857" s="62">
        <v>-5.1965700196227926E-2</v>
      </c>
      <c r="I857" s="62">
        <v>0.22991522721828517</v>
      </c>
      <c r="J857" s="62">
        <v>1.5193712461890829E-2</v>
      </c>
    </row>
    <row r="858" spans="1:10" ht="11.25" customHeight="1" x14ac:dyDescent="0.2">
      <c r="A858" s="71">
        <v>44378</v>
      </c>
      <c r="B858" s="61">
        <v>0</v>
      </c>
      <c r="C858" s="61">
        <v>0</v>
      </c>
      <c r="D858" s="61">
        <v>257.40750000000003</v>
      </c>
      <c r="E858" s="61">
        <v>244.03113902673948</v>
      </c>
      <c r="F858" s="61">
        <v>80.510500000000008</v>
      </c>
      <c r="G858" s="61">
        <v>99.021089900957747</v>
      </c>
      <c r="H858" s="62">
        <v>-5.1965700196227926E-2</v>
      </c>
      <c r="I858" s="62">
        <v>0.22991522721828495</v>
      </c>
      <c r="J858" s="62">
        <v>1.5193712461890829E-2</v>
      </c>
    </row>
    <row r="859" spans="1:10" ht="11.25" customHeight="1" x14ac:dyDescent="0.2">
      <c r="A859" s="71">
        <v>44409</v>
      </c>
      <c r="B859" s="61">
        <v>0</v>
      </c>
      <c r="C859" s="61">
        <v>0</v>
      </c>
      <c r="D859" s="61">
        <v>250.78845000000001</v>
      </c>
      <c r="E859" s="61">
        <v>237.75605259462333</v>
      </c>
      <c r="F859" s="61">
        <v>78.44023</v>
      </c>
      <c r="G859" s="61">
        <v>96.474833303504539</v>
      </c>
      <c r="H859" s="62">
        <v>-5.1965700196227926E-2</v>
      </c>
      <c r="I859" s="62">
        <v>0.22991522721828495</v>
      </c>
      <c r="J859" s="62">
        <v>1.5193712461890829E-2</v>
      </c>
    </row>
    <row r="860" spans="1:10" ht="11.25" customHeight="1" x14ac:dyDescent="0.2">
      <c r="A860" s="71">
        <v>44440</v>
      </c>
      <c r="B860" s="61">
        <v>0</v>
      </c>
      <c r="C860" s="61">
        <v>0</v>
      </c>
      <c r="D860" s="61">
        <v>239.02125000000001</v>
      </c>
      <c r="E860" s="61">
        <v>226.60034338197238</v>
      </c>
      <c r="F860" s="61">
        <v>74.759749999999997</v>
      </c>
      <c r="G860" s="61">
        <v>91.948154908032194</v>
      </c>
      <c r="H860" s="62">
        <v>-5.1965700196227815E-2</v>
      </c>
      <c r="I860" s="62">
        <v>0.22991522721828517</v>
      </c>
      <c r="J860" s="62">
        <v>1.5193712461890829E-2</v>
      </c>
    </row>
    <row r="861" spans="1:10" ht="11.25" customHeight="1" x14ac:dyDescent="0.2">
      <c r="A861" s="71">
        <v>44470</v>
      </c>
      <c r="B861" s="61">
        <v>0</v>
      </c>
      <c r="C861" s="61">
        <v>0</v>
      </c>
      <c r="D861" s="61">
        <v>239.02125000000001</v>
      </c>
      <c r="E861" s="61">
        <v>226.60034338197238</v>
      </c>
      <c r="F861" s="61">
        <v>74.759749999999997</v>
      </c>
      <c r="G861" s="61">
        <v>91.948154908032194</v>
      </c>
      <c r="H861" s="62">
        <v>-5.1965700196227815E-2</v>
      </c>
      <c r="I861" s="62">
        <v>0.22991522721828517</v>
      </c>
      <c r="J861" s="62">
        <v>1.5193712461890829E-2</v>
      </c>
    </row>
    <row r="862" spans="1:10" ht="11.25" customHeight="1" x14ac:dyDescent="0.2">
      <c r="A862" s="70" t="s">
        <v>37</v>
      </c>
      <c r="B862" s="61">
        <v>0</v>
      </c>
      <c r="C862" s="61">
        <v>0</v>
      </c>
      <c r="D862" s="61">
        <v>-15778.06317000001</v>
      </c>
      <c r="E862" s="61">
        <v>-15876.54890817854</v>
      </c>
      <c r="F862" s="61">
        <v>-5637.1636800000033</v>
      </c>
      <c r="G862" s="61">
        <v>-6579.1319921712366</v>
      </c>
      <c r="H862" s="62">
        <v>6.2419409224956368E-3</v>
      </c>
      <c r="I862" s="62">
        <v>0.16709969155467697</v>
      </c>
      <c r="J862" s="62">
        <v>4.8584778374634485E-2</v>
      </c>
    </row>
    <row r="863" spans="1:10" ht="11.25" customHeight="1" x14ac:dyDescent="0.2">
      <c r="A863" s="71">
        <v>44136</v>
      </c>
      <c r="B863" s="61">
        <v>0</v>
      </c>
      <c r="C863" s="61">
        <v>0</v>
      </c>
      <c r="D863" s="61">
        <v>13315.634969999999</v>
      </c>
      <c r="E863" s="61">
        <v>13398.750376828248</v>
      </c>
      <c r="F863" s="61">
        <v>4757.3908799999972</v>
      </c>
      <c r="G863" s="61">
        <v>5552.3494286530295</v>
      </c>
      <c r="H863" s="62">
        <v>6.2419409224949707E-3</v>
      </c>
      <c r="I863" s="62">
        <v>0.16709969155467697</v>
      </c>
      <c r="J863" s="62">
        <v>4.8584778374633819E-2</v>
      </c>
    </row>
    <row r="864" spans="1:10" ht="11.25" customHeight="1" x14ac:dyDescent="0.2">
      <c r="A864" s="71">
        <v>44166</v>
      </c>
      <c r="B864" s="61">
        <v>0</v>
      </c>
      <c r="C864" s="61">
        <v>0</v>
      </c>
      <c r="D864" s="61">
        <v>-53521.857540000005</v>
      </c>
      <c r="E864" s="61">
        <v>-53855.93781282688</v>
      </c>
      <c r="F864" s="61">
        <v>-19122.212159999999</v>
      </c>
      <c r="G864" s="61">
        <v>-22317.527913779093</v>
      </c>
      <c r="H864" s="62">
        <v>6.2419409224949707E-3</v>
      </c>
      <c r="I864" s="62">
        <v>0.16709969155467697</v>
      </c>
      <c r="J864" s="62">
        <v>4.8584778374633819E-2</v>
      </c>
    </row>
    <row r="865" spans="1:10" ht="11.25" customHeight="1" x14ac:dyDescent="0.2">
      <c r="A865" s="71">
        <v>44197</v>
      </c>
      <c r="B865" s="61">
        <v>0</v>
      </c>
      <c r="C865" s="61">
        <v>0</v>
      </c>
      <c r="D865" s="61">
        <v>1955.7781499999999</v>
      </c>
      <c r="E865" s="61">
        <v>1967.9860016698065</v>
      </c>
      <c r="F865" s="61">
        <v>698.75759999999991</v>
      </c>
      <c r="G865" s="61">
        <v>815.5197794314862</v>
      </c>
      <c r="H865" s="62">
        <v>6.2419409224949707E-3</v>
      </c>
      <c r="I865" s="62">
        <v>0.16709969155467697</v>
      </c>
      <c r="J865" s="62">
        <v>4.8584778374633819E-2</v>
      </c>
    </row>
    <row r="866" spans="1:10" ht="11.25" customHeight="1" x14ac:dyDescent="0.2">
      <c r="A866" s="71">
        <v>44228</v>
      </c>
      <c r="B866" s="61">
        <v>0</v>
      </c>
      <c r="C866" s="61">
        <v>0</v>
      </c>
      <c r="D866" s="61">
        <v>6072.1736099999998</v>
      </c>
      <c r="E866" s="61">
        <v>6110.075758944753</v>
      </c>
      <c r="F866" s="61">
        <v>2169.4574399999997</v>
      </c>
      <c r="G866" s="61">
        <v>2531.9731090649984</v>
      </c>
      <c r="H866" s="62">
        <v>6.2419409224949707E-3</v>
      </c>
      <c r="I866" s="62">
        <v>0.16709969155467674</v>
      </c>
      <c r="J866" s="62">
        <v>4.8584778374633819E-2</v>
      </c>
    </row>
    <row r="867" spans="1:10" ht="11.25" customHeight="1" x14ac:dyDescent="0.2">
      <c r="A867" s="71">
        <v>44256</v>
      </c>
      <c r="B867" s="61">
        <v>0</v>
      </c>
      <c r="C867" s="61">
        <v>0</v>
      </c>
      <c r="D867" s="61">
        <v>3657.6864899999996</v>
      </c>
      <c r="E867" s="61">
        <v>3680.5175529835883</v>
      </c>
      <c r="F867" s="61">
        <v>1306.81296</v>
      </c>
      <c r="G867" s="61">
        <v>1525.1810025356542</v>
      </c>
      <c r="H867" s="62">
        <v>6.2419409224951927E-3</v>
      </c>
      <c r="I867" s="62">
        <v>0.16709969155467674</v>
      </c>
      <c r="J867" s="62">
        <v>4.8584778374634041E-2</v>
      </c>
    </row>
    <row r="868" spans="1:10" ht="11.25" customHeight="1" x14ac:dyDescent="0.2">
      <c r="A868" s="71">
        <v>44287</v>
      </c>
      <c r="B868" s="61">
        <v>0</v>
      </c>
      <c r="C868" s="61">
        <v>0</v>
      </c>
      <c r="D868" s="61">
        <v>4074.9917999999993</v>
      </c>
      <c r="E868" s="61">
        <v>4100.4276580752512</v>
      </c>
      <c r="F868" s="61">
        <v>1455.9071999999999</v>
      </c>
      <c r="G868" s="61">
        <v>1699.1888440522332</v>
      </c>
      <c r="H868" s="62">
        <v>6.2419409224949707E-3</v>
      </c>
      <c r="I868" s="62">
        <v>0.16709969155467697</v>
      </c>
      <c r="J868" s="62">
        <v>4.8584778374634041E-2</v>
      </c>
    </row>
    <row r="869" spans="1:10" ht="11.25" customHeight="1" x14ac:dyDescent="0.2">
      <c r="A869" s="71">
        <v>44317</v>
      </c>
      <c r="B869" s="61">
        <v>0</v>
      </c>
      <c r="C869" s="61">
        <v>0</v>
      </c>
      <c r="D869" s="61">
        <v>512.09789999999998</v>
      </c>
      <c r="E869" s="61">
        <v>515.29438483833383</v>
      </c>
      <c r="F869" s="61">
        <v>182.96159999999998</v>
      </c>
      <c r="G869" s="61">
        <v>213.53442692635016</v>
      </c>
      <c r="H869" s="62">
        <v>6.2419409224951927E-3</v>
      </c>
      <c r="I869" s="62">
        <v>0.16709969155467697</v>
      </c>
      <c r="J869" s="62">
        <v>4.8584778374634263E-2</v>
      </c>
    </row>
    <row r="870" spans="1:10" ht="11.25" customHeight="1" x14ac:dyDescent="0.2">
      <c r="A870" s="71">
        <v>44348</v>
      </c>
      <c r="B870" s="61">
        <v>0</v>
      </c>
      <c r="C870" s="61">
        <v>0</v>
      </c>
      <c r="D870" s="61">
        <v>3523.6693799999998</v>
      </c>
      <c r="E870" s="61">
        <v>3545.663916100365</v>
      </c>
      <c r="F870" s="61">
        <v>1258.9315199999999</v>
      </c>
      <c r="G870" s="61">
        <v>1469.2985886804604</v>
      </c>
      <c r="H870" s="62">
        <v>6.2419409224951927E-3</v>
      </c>
      <c r="I870" s="62">
        <v>0.16709969155467697</v>
      </c>
      <c r="J870" s="62">
        <v>4.8584778374634263E-2</v>
      </c>
    </row>
    <row r="871" spans="1:10" ht="11.25" customHeight="1" x14ac:dyDescent="0.2">
      <c r="A871" s="71">
        <v>44378</v>
      </c>
      <c r="B871" s="61">
        <v>0</v>
      </c>
      <c r="C871" s="61">
        <v>0</v>
      </c>
      <c r="D871" s="61">
        <v>449.99240999999995</v>
      </c>
      <c r="E871" s="61">
        <v>452.80123603879122</v>
      </c>
      <c r="F871" s="61">
        <v>160.77264</v>
      </c>
      <c r="G871" s="61">
        <v>187.6376985544311</v>
      </c>
      <c r="H871" s="62">
        <v>6.2419409224951927E-3</v>
      </c>
      <c r="I871" s="62">
        <v>0.16709969155467674</v>
      </c>
      <c r="J871" s="62">
        <v>4.8584778374634041E-2</v>
      </c>
    </row>
    <row r="872" spans="1:10" ht="11.25" customHeight="1" x14ac:dyDescent="0.2">
      <c r="A872" s="71">
        <v>44409</v>
      </c>
      <c r="B872" s="61">
        <v>0</v>
      </c>
      <c r="C872" s="61">
        <v>0</v>
      </c>
      <c r="D872" s="61">
        <v>542.60585999999989</v>
      </c>
      <c r="E872" s="61">
        <v>545.99277372231961</v>
      </c>
      <c r="F872" s="61">
        <v>193.86143999999999</v>
      </c>
      <c r="G872" s="61">
        <v>226.2556268283455</v>
      </c>
      <c r="H872" s="62">
        <v>6.2419409224951927E-3</v>
      </c>
      <c r="I872" s="62">
        <v>0.16709969155467697</v>
      </c>
      <c r="J872" s="62">
        <v>4.8584778374634263E-2</v>
      </c>
    </row>
    <row r="873" spans="1:10" ht="11.25" customHeight="1" x14ac:dyDescent="0.2">
      <c r="A873" s="71">
        <v>44440</v>
      </c>
      <c r="B873" s="61">
        <v>0</v>
      </c>
      <c r="C873" s="61">
        <v>0</v>
      </c>
      <c r="D873" s="61">
        <v>1819.5818999999999</v>
      </c>
      <c r="E873" s="61">
        <v>1830.9396227234413</v>
      </c>
      <c r="F873" s="61">
        <v>650.09759999999994</v>
      </c>
      <c r="G873" s="61">
        <v>758.72870844043564</v>
      </c>
      <c r="H873" s="62">
        <v>6.2419409224951927E-3</v>
      </c>
      <c r="I873" s="62">
        <v>0.16709969155467697</v>
      </c>
      <c r="J873" s="62">
        <v>4.8584778374634263E-2</v>
      </c>
    </row>
    <row r="874" spans="1:10" ht="11.25" customHeight="1" x14ac:dyDescent="0.2">
      <c r="A874" s="71">
        <v>44470</v>
      </c>
      <c r="B874" s="61">
        <v>0</v>
      </c>
      <c r="C874" s="61">
        <v>0</v>
      </c>
      <c r="D874" s="61">
        <v>1819.5818999999999</v>
      </c>
      <c r="E874" s="61">
        <v>1830.9396227234413</v>
      </c>
      <c r="F874" s="61">
        <v>650.09759999999994</v>
      </c>
      <c r="G874" s="61">
        <v>758.72870844043564</v>
      </c>
      <c r="H874" s="62">
        <v>6.2419409224951927E-3</v>
      </c>
      <c r="I874" s="62">
        <v>0.16709969155467697</v>
      </c>
      <c r="J874" s="62">
        <v>4.8584778374634263E-2</v>
      </c>
    </row>
    <row r="875" spans="1:10" ht="11.25" customHeight="1" x14ac:dyDescent="0.2">
      <c r="A875" s="65" t="s">
        <v>23</v>
      </c>
      <c r="B875" s="61">
        <v>0</v>
      </c>
      <c r="C875" s="61">
        <v>0</v>
      </c>
      <c r="D875" s="61">
        <v>380864963.29091495</v>
      </c>
      <c r="E875" s="61">
        <v>317848296.64553583</v>
      </c>
      <c r="F875" s="61">
        <v>205834082.42892903</v>
      </c>
      <c r="G875" s="61">
        <v>251435395.60694697</v>
      </c>
      <c r="H875" s="62">
        <v>-0.1654567175223346</v>
      </c>
      <c r="I875" s="62">
        <v>0.22154403507865794</v>
      </c>
      <c r="J875" s="62">
        <v>-2.9683623306381079E-2</v>
      </c>
    </row>
    <row r="876" spans="1:10" ht="11.25" customHeight="1" x14ac:dyDescent="0.2">
      <c r="A876" s="66" t="s">
        <v>45</v>
      </c>
      <c r="B876" s="61">
        <v>0</v>
      </c>
      <c r="C876" s="61">
        <v>0</v>
      </c>
      <c r="D876" s="61">
        <v>286137466.80843997</v>
      </c>
      <c r="E876" s="61">
        <v>238794100.79015976</v>
      </c>
      <c r="F876" s="61">
        <v>154639698.07080001</v>
      </c>
      <c r="G876" s="61">
        <v>188899200.76475033</v>
      </c>
      <c r="H876" s="62">
        <v>-0.16545671752233426</v>
      </c>
      <c r="I876" s="62">
        <v>0.2215440350786575</v>
      </c>
      <c r="J876" s="62">
        <v>-2.9683623306381302E-2</v>
      </c>
    </row>
    <row r="877" spans="1:10" ht="11.25" customHeight="1" x14ac:dyDescent="0.2">
      <c r="A877" s="67" t="s">
        <v>25</v>
      </c>
      <c r="B877" s="61">
        <v>0</v>
      </c>
      <c r="C877" s="61">
        <v>0</v>
      </c>
      <c r="D877" s="61">
        <v>286137466.80843997</v>
      </c>
      <c r="E877" s="61">
        <v>238794100.79015976</v>
      </c>
      <c r="F877" s="61">
        <v>154639698.07080001</v>
      </c>
      <c r="G877" s="61">
        <v>188899200.76475033</v>
      </c>
      <c r="H877" s="62">
        <v>-0.16545671752233426</v>
      </c>
      <c r="I877" s="62">
        <v>0.2215440350786575</v>
      </c>
      <c r="J877" s="62">
        <v>-2.9683623306381302E-2</v>
      </c>
    </row>
    <row r="878" spans="1:10" ht="11.25" customHeight="1" x14ac:dyDescent="0.2">
      <c r="A878" s="68" t="s">
        <v>25</v>
      </c>
      <c r="B878" s="61">
        <v>0</v>
      </c>
      <c r="C878" s="61">
        <v>0</v>
      </c>
      <c r="D878" s="61">
        <v>286137466.80843997</v>
      </c>
      <c r="E878" s="61">
        <v>238794100.79015976</v>
      </c>
      <c r="F878" s="61">
        <v>154639698.07080001</v>
      </c>
      <c r="G878" s="61">
        <v>188899200.76475033</v>
      </c>
      <c r="H878" s="62">
        <v>-0.16545671752233426</v>
      </c>
      <c r="I878" s="62">
        <v>0.2215440350786575</v>
      </c>
      <c r="J878" s="62">
        <v>-2.9683623306381302E-2</v>
      </c>
    </row>
    <row r="879" spans="1:10" ht="11.25" customHeight="1" x14ac:dyDescent="0.2">
      <c r="A879" s="69" t="s">
        <v>25</v>
      </c>
      <c r="B879" s="61">
        <v>0</v>
      </c>
      <c r="C879" s="61">
        <v>0</v>
      </c>
      <c r="D879" s="61">
        <v>286137466.80843997</v>
      </c>
      <c r="E879" s="61">
        <v>238794100.79015976</v>
      </c>
      <c r="F879" s="61">
        <v>154639698.07080001</v>
      </c>
      <c r="G879" s="61">
        <v>188899200.76475033</v>
      </c>
      <c r="H879" s="62">
        <v>-0.16545671752233426</v>
      </c>
      <c r="I879" s="62">
        <v>0.2215440350786575</v>
      </c>
      <c r="J879" s="62">
        <v>-2.9683623306381302E-2</v>
      </c>
    </row>
    <row r="880" spans="1:10" ht="11.25" customHeight="1" x14ac:dyDescent="0.2">
      <c r="A880" s="70" t="s">
        <v>25</v>
      </c>
      <c r="B880" s="61">
        <v>0</v>
      </c>
      <c r="C880" s="61">
        <v>0</v>
      </c>
      <c r="D880" s="61">
        <v>286137466.80843997</v>
      </c>
      <c r="E880" s="61">
        <v>238794100.79015976</v>
      </c>
      <c r="F880" s="61">
        <v>154639698.07080001</v>
      </c>
      <c r="G880" s="61">
        <v>188899200.76475033</v>
      </c>
      <c r="H880" s="62">
        <v>-0.16545671752233426</v>
      </c>
      <c r="I880" s="62">
        <v>0.2215440350786575</v>
      </c>
      <c r="J880" s="62">
        <v>-2.9683623306381302E-2</v>
      </c>
    </row>
    <row r="881" spans="1:10" ht="11.25" customHeight="1" x14ac:dyDescent="0.2">
      <c r="A881" s="71">
        <v>44136</v>
      </c>
      <c r="B881" s="61">
        <v>0</v>
      </c>
      <c r="C881" s="61">
        <v>0</v>
      </c>
      <c r="D881" s="61">
        <v>23818290.56724</v>
      </c>
      <c r="E881" s="61">
        <v>19877394.392991301</v>
      </c>
      <c r="F881" s="61">
        <v>12872320.786799999</v>
      </c>
      <c r="G881" s="61">
        <v>15724106.67473455</v>
      </c>
      <c r="H881" s="62">
        <v>-0.16545671752233393</v>
      </c>
      <c r="I881" s="62">
        <v>0.2215440350786575</v>
      </c>
      <c r="J881" s="62">
        <v>-2.9683623306380857E-2</v>
      </c>
    </row>
    <row r="882" spans="1:10" ht="11.25" customHeight="1" x14ac:dyDescent="0.2">
      <c r="A882" s="71">
        <v>44166</v>
      </c>
      <c r="B882" s="61">
        <v>0</v>
      </c>
      <c r="C882" s="61">
        <v>0</v>
      </c>
      <c r="D882" s="61">
        <v>22489019.056139998</v>
      </c>
      <c r="E882" s="61">
        <v>18768059.782813866</v>
      </c>
      <c r="F882" s="61">
        <v>12153931.309799999</v>
      </c>
      <c r="G882" s="61">
        <v>14846562.294241924</v>
      </c>
      <c r="H882" s="62">
        <v>-0.1654567175223336</v>
      </c>
      <c r="I882" s="62">
        <v>0.2215440350786575</v>
      </c>
      <c r="J882" s="62">
        <v>-2.9683623306380746E-2</v>
      </c>
    </row>
    <row r="883" spans="1:10" ht="11.25" customHeight="1" x14ac:dyDescent="0.2">
      <c r="A883" s="71">
        <v>44197</v>
      </c>
      <c r="B883" s="61">
        <v>0</v>
      </c>
      <c r="C883" s="61">
        <v>0</v>
      </c>
      <c r="D883" s="61">
        <v>19963387.878590003</v>
      </c>
      <c r="E883" s="61">
        <v>16660311.249573354</v>
      </c>
      <c r="F883" s="61">
        <v>10788983.031300001</v>
      </c>
      <c r="G883" s="61">
        <v>13179217.866449369</v>
      </c>
      <c r="H883" s="62">
        <v>-0.16545671752233382</v>
      </c>
      <c r="I883" s="62">
        <v>0.2215440350786575</v>
      </c>
      <c r="J883" s="62">
        <v>-2.9683623306380968E-2</v>
      </c>
    </row>
    <row r="884" spans="1:10" ht="11.25" customHeight="1" x14ac:dyDescent="0.2">
      <c r="A884" s="71">
        <v>44228</v>
      </c>
      <c r="B884" s="61">
        <v>0</v>
      </c>
      <c r="C884" s="61">
        <v>0</v>
      </c>
      <c r="D884" s="61">
        <v>16352855.074790001</v>
      </c>
      <c r="E884" s="61">
        <v>13647165.351996807</v>
      </c>
      <c r="F884" s="61">
        <v>8837712.1653000005</v>
      </c>
      <c r="G884" s="61">
        <v>10795654.5792643</v>
      </c>
      <c r="H884" s="62">
        <v>-0.16545671752233393</v>
      </c>
      <c r="I884" s="62">
        <v>0.22154403507865728</v>
      </c>
      <c r="J884" s="62">
        <v>-2.9683623306381079E-2</v>
      </c>
    </row>
    <row r="885" spans="1:10" ht="11.25" customHeight="1" x14ac:dyDescent="0.2">
      <c r="A885" s="71">
        <v>44256</v>
      </c>
      <c r="B885" s="61">
        <v>0</v>
      </c>
      <c r="C885" s="61">
        <v>0</v>
      </c>
      <c r="D885" s="61">
        <v>19147337.919580001</v>
      </c>
      <c r="E885" s="61">
        <v>15979282.238115381</v>
      </c>
      <c r="F885" s="61">
        <v>10347958.230599999</v>
      </c>
      <c r="G885" s="61">
        <v>12640486.651832528</v>
      </c>
      <c r="H885" s="62">
        <v>-0.16545671752233382</v>
      </c>
      <c r="I885" s="62">
        <v>0.2215440350786575</v>
      </c>
      <c r="J885" s="62">
        <v>-2.9683623306380968E-2</v>
      </c>
    </row>
    <row r="886" spans="1:10" ht="11.25" customHeight="1" x14ac:dyDescent="0.2">
      <c r="A886" s="71">
        <v>44287</v>
      </c>
      <c r="B886" s="61">
        <v>0</v>
      </c>
      <c r="C886" s="61">
        <v>0</v>
      </c>
      <c r="D886" s="61">
        <v>22030573.922109999</v>
      </c>
      <c r="E886" s="61">
        <v>18385467.475824554</v>
      </c>
      <c r="F886" s="61">
        <v>11906169.917700002</v>
      </c>
      <c r="G886" s="61">
        <v>14543910.843599387</v>
      </c>
      <c r="H886" s="62">
        <v>-0.16545671752233371</v>
      </c>
      <c r="I886" s="62">
        <v>0.22154403507865728</v>
      </c>
      <c r="J886" s="62">
        <v>-2.9683623306380746E-2</v>
      </c>
    </row>
    <row r="887" spans="1:10" ht="11.25" customHeight="1" x14ac:dyDescent="0.2">
      <c r="A887" s="71">
        <v>44317</v>
      </c>
      <c r="B887" s="61">
        <v>0</v>
      </c>
      <c r="C887" s="61">
        <v>0</v>
      </c>
      <c r="D887" s="61">
        <v>22972554.179249994</v>
      </c>
      <c r="E887" s="61">
        <v>19171590.771647323</v>
      </c>
      <c r="F887" s="61">
        <v>12415252.297500001</v>
      </c>
      <c r="G887" s="61">
        <v>15165777.388007723</v>
      </c>
      <c r="H887" s="62">
        <v>-0.1654567175223336</v>
      </c>
      <c r="I887" s="62">
        <v>0.22154403507865728</v>
      </c>
      <c r="J887" s="62">
        <v>-2.9683623306380635E-2</v>
      </c>
    </row>
    <row r="888" spans="1:10" ht="11.25" customHeight="1" x14ac:dyDescent="0.2">
      <c r="A888" s="71">
        <v>44348</v>
      </c>
      <c r="B888" s="61">
        <v>0</v>
      </c>
      <c r="C888" s="61">
        <v>0</v>
      </c>
      <c r="D888" s="61">
        <v>25223032.38013</v>
      </c>
      <c r="E888" s="61">
        <v>21049712.236554153</v>
      </c>
      <c r="F888" s="61">
        <v>13631497.319099998</v>
      </c>
      <c r="G888" s="61">
        <v>16651474.239337314</v>
      </c>
      <c r="H888" s="62">
        <v>-0.16545671752233371</v>
      </c>
      <c r="I888" s="62">
        <v>0.2215440350786575</v>
      </c>
      <c r="J888" s="62">
        <v>-2.9683623306380857E-2</v>
      </c>
    </row>
    <row r="889" spans="1:10" ht="11.25" customHeight="1" x14ac:dyDescent="0.2">
      <c r="A889" s="71">
        <v>44378</v>
      </c>
      <c r="B889" s="61">
        <v>0</v>
      </c>
      <c r="C889" s="61">
        <v>0</v>
      </c>
      <c r="D889" s="61">
        <v>26681979.319969997</v>
      </c>
      <c r="E889" s="61">
        <v>22267266.604688976</v>
      </c>
      <c r="F889" s="61">
        <v>14419968.387899999</v>
      </c>
      <c r="G889" s="61">
        <v>17614626.370262049</v>
      </c>
      <c r="H889" s="62">
        <v>-0.16545671752233349</v>
      </c>
      <c r="I889" s="62">
        <v>0.2215440350786575</v>
      </c>
      <c r="J889" s="62">
        <v>-2.9683623306380524E-2</v>
      </c>
    </row>
    <row r="890" spans="1:10" ht="11.25" customHeight="1" x14ac:dyDescent="0.2">
      <c r="A890" s="71">
        <v>44409</v>
      </c>
      <c r="B890" s="61">
        <v>0</v>
      </c>
      <c r="C890" s="61">
        <v>0</v>
      </c>
      <c r="D890" s="61">
        <v>30067715.599739999</v>
      </c>
      <c r="E890" s="61">
        <v>25092810.073211949</v>
      </c>
      <c r="F890" s="61">
        <v>16249750.561800001</v>
      </c>
      <c r="G890" s="61">
        <v>19849785.870282855</v>
      </c>
      <c r="H890" s="62">
        <v>-0.16545671752233382</v>
      </c>
      <c r="I890" s="62">
        <v>0.2215440350786575</v>
      </c>
      <c r="J890" s="62">
        <v>-2.9683623306380857E-2</v>
      </c>
    </row>
    <row r="891" spans="1:10" ht="11.25" customHeight="1" x14ac:dyDescent="0.2">
      <c r="A891" s="71">
        <v>44440</v>
      </c>
      <c r="B891" s="61">
        <v>0</v>
      </c>
      <c r="C891" s="61">
        <v>0</v>
      </c>
      <c r="D891" s="61">
        <v>28695360.455449998</v>
      </c>
      <c r="E891" s="61">
        <v>23947520.306371067</v>
      </c>
      <c r="F891" s="61">
        <v>15508077.031500001</v>
      </c>
      <c r="G891" s="61">
        <v>18943798.993369155</v>
      </c>
      <c r="H891" s="62">
        <v>-0.1654567175223336</v>
      </c>
      <c r="I891" s="62">
        <v>0.22154403507865728</v>
      </c>
      <c r="J891" s="62">
        <v>-2.9683623306380635E-2</v>
      </c>
    </row>
    <row r="892" spans="1:10" ht="11.25" customHeight="1" x14ac:dyDescent="0.2">
      <c r="A892" s="71">
        <v>44470</v>
      </c>
      <c r="B892" s="61">
        <v>0</v>
      </c>
      <c r="C892" s="61">
        <v>0</v>
      </c>
      <c r="D892" s="61">
        <v>28695360.455449998</v>
      </c>
      <c r="E892" s="61">
        <v>23947520.306371067</v>
      </c>
      <c r="F892" s="61">
        <v>15508077.031500001</v>
      </c>
      <c r="G892" s="61">
        <v>18943798.993369155</v>
      </c>
      <c r="H892" s="62">
        <v>-0.1654567175223336</v>
      </c>
      <c r="I892" s="62">
        <v>0.22154403507865728</v>
      </c>
      <c r="J892" s="62">
        <v>-2.9683623306380635E-2</v>
      </c>
    </row>
    <row r="893" spans="1:10" ht="11.25" customHeight="1" x14ac:dyDescent="0.2">
      <c r="A893" s="66" t="s">
        <v>54</v>
      </c>
      <c r="B893" s="61">
        <v>0</v>
      </c>
      <c r="C893" s="61">
        <v>0</v>
      </c>
      <c r="D893" s="61">
        <v>4072580.8083999995</v>
      </c>
      <c r="E893" s="61">
        <v>3398744.9559976831</v>
      </c>
      <c r="F893" s="61">
        <v>2200979.3880000003</v>
      </c>
      <c r="G893" s="61">
        <v>2688593.2427424737</v>
      </c>
      <c r="H893" s="62">
        <v>-0.16545671752233404</v>
      </c>
      <c r="I893" s="62">
        <v>0.22154403507865728</v>
      </c>
      <c r="J893" s="62">
        <v>-2.9683623306381191E-2</v>
      </c>
    </row>
    <row r="894" spans="1:10" ht="11.25" customHeight="1" x14ac:dyDescent="0.2">
      <c r="A894" s="67" t="s">
        <v>25</v>
      </c>
      <c r="B894" s="61">
        <v>0</v>
      </c>
      <c r="C894" s="61">
        <v>0</v>
      </c>
      <c r="D894" s="61">
        <v>4072580.8083999995</v>
      </c>
      <c r="E894" s="61">
        <v>3398744.9559976831</v>
      </c>
      <c r="F894" s="61">
        <v>2200979.3880000003</v>
      </c>
      <c r="G894" s="61">
        <v>2688593.2427424737</v>
      </c>
      <c r="H894" s="62">
        <v>-0.16545671752233404</v>
      </c>
      <c r="I894" s="62">
        <v>0.22154403507865728</v>
      </c>
      <c r="J894" s="62">
        <v>-2.9683623306381191E-2</v>
      </c>
    </row>
    <row r="895" spans="1:10" ht="11.25" customHeight="1" x14ac:dyDescent="0.2">
      <c r="A895" s="68" t="s">
        <v>25</v>
      </c>
      <c r="B895" s="61">
        <v>0</v>
      </c>
      <c r="C895" s="61">
        <v>0</v>
      </c>
      <c r="D895" s="61">
        <v>4072580.8083999995</v>
      </c>
      <c r="E895" s="61">
        <v>3398744.9559976831</v>
      </c>
      <c r="F895" s="61">
        <v>2200979.3880000003</v>
      </c>
      <c r="G895" s="61">
        <v>2688593.2427424737</v>
      </c>
      <c r="H895" s="62">
        <v>-0.16545671752233404</v>
      </c>
      <c r="I895" s="62">
        <v>0.22154403507865728</v>
      </c>
      <c r="J895" s="62">
        <v>-2.9683623306381191E-2</v>
      </c>
    </row>
    <row r="896" spans="1:10" ht="11.25" customHeight="1" x14ac:dyDescent="0.2">
      <c r="A896" s="69" t="s">
        <v>25</v>
      </c>
      <c r="B896" s="61">
        <v>0</v>
      </c>
      <c r="C896" s="61">
        <v>0</v>
      </c>
      <c r="D896" s="61">
        <v>4072580.8083999995</v>
      </c>
      <c r="E896" s="61">
        <v>3398744.9559976831</v>
      </c>
      <c r="F896" s="61">
        <v>2200979.3880000003</v>
      </c>
      <c r="G896" s="61">
        <v>2688593.2427424737</v>
      </c>
      <c r="H896" s="62">
        <v>-0.16545671752233404</v>
      </c>
      <c r="I896" s="62">
        <v>0.22154403507865728</v>
      </c>
      <c r="J896" s="62">
        <v>-2.9683623306381191E-2</v>
      </c>
    </row>
    <row r="897" spans="1:10" ht="11.25" customHeight="1" x14ac:dyDescent="0.2">
      <c r="A897" s="70" t="s">
        <v>25</v>
      </c>
      <c r="B897" s="61">
        <v>0</v>
      </c>
      <c r="C897" s="61">
        <v>0</v>
      </c>
      <c r="D897" s="61">
        <v>4072580.8083999995</v>
      </c>
      <c r="E897" s="61">
        <v>3398744.9559976831</v>
      </c>
      <c r="F897" s="61">
        <v>2200979.3880000003</v>
      </c>
      <c r="G897" s="61">
        <v>2688593.2427424737</v>
      </c>
      <c r="H897" s="62">
        <v>-0.16545671752233404</v>
      </c>
      <c r="I897" s="62">
        <v>0.22154403507865728</v>
      </c>
      <c r="J897" s="62">
        <v>-2.9683623306381191E-2</v>
      </c>
    </row>
    <row r="898" spans="1:10" ht="11.25" customHeight="1" x14ac:dyDescent="0.2">
      <c r="A898" s="71">
        <v>44136</v>
      </c>
      <c r="B898" s="61">
        <v>0</v>
      </c>
      <c r="C898" s="61">
        <v>0</v>
      </c>
      <c r="D898" s="61">
        <v>373787.35471999994</v>
      </c>
      <c r="E898" s="61">
        <v>311941.72595667257</v>
      </c>
      <c r="F898" s="61">
        <v>202009.07039999997</v>
      </c>
      <c r="G898" s="61">
        <v>246762.97497890453</v>
      </c>
      <c r="H898" s="62">
        <v>-0.16545671752233371</v>
      </c>
      <c r="I898" s="62">
        <v>0.2215440350786575</v>
      </c>
      <c r="J898" s="62">
        <v>-2.9683623306380968E-2</v>
      </c>
    </row>
    <row r="899" spans="1:10" ht="11.25" customHeight="1" x14ac:dyDescent="0.2">
      <c r="A899" s="71">
        <v>44166</v>
      </c>
      <c r="B899" s="61">
        <v>0</v>
      </c>
      <c r="C899" s="61">
        <v>0</v>
      </c>
      <c r="D899" s="61">
        <v>371199.21240999998</v>
      </c>
      <c r="E899" s="61">
        <v>309781.80917776586</v>
      </c>
      <c r="F899" s="61">
        <v>200610.33869999999</v>
      </c>
      <c r="G899" s="61">
        <v>245054.36261409416</v>
      </c>
      <c r="H899" s="62">
        <v>-0.16545671752233371</v>
      </c>
      <c r="I899" s="62">
        <v>0.2215440350786575</v>
      </c>
      <c r="J899" s="62">
        <v>-2.9683623306380857E-2</v>
      </c>
    </row>
    <row r="900" spans="1:10" ht="11.25" customHeight="1" x14ac:dyDescent="0.2">
      <c r="A900" s="71">
        <v>44197</v>
      </c>
      <c r="B900" s="61">
        <v>0</v>
      </c>
      <c r="C900" s="61">
        <v>0</v>
      </c>
      <c r="D900" s="61">
        <v>326072.16681000002</v>
      </c>
      <c r="E900" s="61">
        <v>272121.33641422255</v>
      </c>
      <c r="F900" s="61">
        <v>176221.94670000003</v>
      </c>
      <c r="G900" s="61">
        <v>215262.86784133411</v>
      </c>
      <c r="H900" s="62">
        <v>-0.16545671752233382</v>
      </c>
      <c r="I900" s="62">
        <v>0.22154403507865728</v>
      </c>
      <c r="J900" s="62">
        <v>-2.9683623306380857E-2</v>
      </c>
    </row>
    <row r="901" spans="1:10" ht="11.25" customHeight="1" x14ac:dyDescent="0.2">
      <c r="A901" s="71">
        <v>44228</v>
      </c>
      <c r="B901" s="61">
        <v>0</v>
      </c>
      <c r="C901" s="61">
        <v>0</v>
      </c>
      <c r="D901" s="61">
        <v>306691.48731</v>
      </c>
      <c r="E901" s="61">
        <v>255947.32052764492</v>
      </c>
      <c r="F901" s="61">
        <v>165747.88170000003</v>
      </c>
      <c r="G901" s="61">
        <v>202468.33621755795</v>
      </c>
      <c r="H901" s="62">
        <v>-0.16545671752233382</v>
      </c>
      <c r="I901" s="62">
        <v>0.22154403507865728</v>
      </c>
      <c r="J901" s="62">
        <v>-2.9683623306381079E-2</v>
      </c>
    </row>
    <row r="902" spans="1:10" ht="11.25" customHeight="1" x14ac:dyDescent="0.2">
      <c r="A902" s="71">
        <v>44256</v>
      </c>
      <c r="B902" s="61">
        <v>0</v>
      </c>
      <c r="C902" s="61">
        <v>0</v>
      </c>
      <c r="D902" s="61">
        <v>315313.97638000001</v>
      </c>
      <c r="E902" s="61">
        <v>263143.16085925052</v>
      </c>
      <c r="F902" s="61">
        <v>170407.80660000001</v>
      </c>
      <c r="G902" s="61">
        <v>208160.63968306745</v>
      </c>
      <c r="H902" s="62">
        <v>-0.16545671752233382</v>
      </c>
      <c r="I902" s="62">
        <v>0.22154403507865728</v>
      </c>
      <c r="J902" s="62">
        <v>-2.9683623306380968E-2</v>
      </c>
    </row>
    <row r="903" spans="1:10" ht="11.25" customHeight="1" x14ac:dyDescent="0.2">
      <c r="A903" s="71">
        <v>44287</v>
      </c>
      <c r="B903" s="61">
        <v>0</v>
      </c>
      <c r="C903" s="61">
        <v>0</v>
      </c>
      <c r="D903" s="61">
        <v>330846.88194999995</v>
      </c>
      <c r="E903" s="61">
        <v>276106.04286005395</v>
      </c>
      <c r="F903" s="61">
        <v>178802.38649999999</v>
      </c>
      <c r="G903" s="61">
        <v>218414.98868690364</v>
      </c>
      <c r="H903" s="62">
        <v>-0.1654567175223336</v>
      </c>
      <c r="I903" s="62">
        <v>0.22154403507865728</v>
      </c>
      <c r="J903" s="62">
        <v>-2.9683623306380968E-2</v>
      </c>
    </row>
    <row r="904" spans="1:10" ht="11.25" customHeight="1" x14ac:dyDescent="0.2">
      <c r="A904" s="71">
        <v>44317</v>
      </c>
      <c r="B904" s="61">
        <v>0</v>
      </c>
      <c r="C904" s="61">
        <v>0</v>
      </c>
      <c r="D904" s="61">
        <v>329656.12939999998</v>
      </c>
      <c r="E904" s="61">
        <v>275112.30831835826</v>
      </c>
      <c r="F904" s="61">
        <v>178158.85800000001</v>
      </c>
      <c r="G904" s="61">
        <v>217628.89028632554</v>
      </c>
      <c r="H904" s="62">
        <v>-0.16545671752233382</v>
      </c>
      <c r="I904" s="62">
        <v>0.22154403507865728</v>
      </c>
      <c r="J904" s="62">
        <v>-2.9683623306380968E-2</v>
      </c>
    </row>
    <row r="905" spans="1:10" ht="11.25" customHeight="1" x14ac:dyDescent="0.2">
      <c r="A905" s="71">
        <v>44348</v>
      </c>
      <c r="B905" s="61">
        <v>0</v>
      </c>
      <c r="C905" s="61">
        <v>0</v>
      </c>
      <c r="D905" s="61">
        <v>332403.63896999997</v>
      </c>
      <c r="E905" s="61">
        <v>277405.2239735449</v>
      </c>
      <c r="F905" s="61">
        <v>179643.71790000002</v>
      </c>
      <c r="G905" s="61">
        <v>219442.71204009803</v>
      </c>
      <c r="H905" s="62">
        <v>-0.16545671752233371</v>
      </c>
      <c r="I905" s="62">
        <v>0.22154403507865728</v>
      </c>
      <c r="J905" s="62">
        <v>-2.9683623306380968E-2</v>
      </c>
    </row>
    <row r="906" spans="1:10" ht="11.25" customHeight="1" x14ac:dyDescent="0.2">
      <c r="A906" s="71">
        <v>44378</v>
      </c>
      <c r="B906" s="61">
        <v>0</v>
      </c>
      <c r="C906" s="61">
        <v>0</v>
      </c>
      <c r="D906" s="61">
        <v>350053.33792000002</v>
      </c>
      <c r="E906" s="61">
        <v>292134.66167002055</v>
      </c>
      <c r="F906" s="61">
        <v>189182.29440000001</v>
      </c>
      <c r="G906" s="61">
        <v>231094.50326681451</v>
      </c>
      <c r="H906" s="62">
        <v>-0.16545671752233371</v>
      </c>
      <c r="I906" s="62">
        <v>0.2215440350786575</v>
      </c>
      <c r="J906" s="62">
        <v>-2.9683623306380968E-2</v>
      </c>
    </row>
    <row r="907" spans="1:10" ht="11.25" customHeight="1" x14ac:dyDescent="0.2">
      <c r="A907" s="71">
        <v>44409</v>
      </c>
      <c r="B907" s="61">
        <v>0</v>
      </c>
      <c r="C907" s="61">
        <v>0</v>
      </c>
      <c r="D907" s="61">
        <v>353407.70361000003</v>
      </c>
      <c r="E907" s="61">
        <v>294934.02502358356</v>
      </c>
      <c r="F907" s="61">
        <v>190995.12270000001</v>
      </c>
      <c r="G907" s="61">
        <v>233308.95286330127</v>
      </c>
      <c r="H907" s="62">
        <v>-0.16545671752233393</v>
      </c>
      <c r="I907" s="62">
        <v>0.22154403507865728</v>
      </c>
      <c r="J907" s="62">
        <v>-2.9683623306380968E-2</v>
      </c>
    </row>
    <row r="908" spans="1:10" ht="11.25" customHeight="1" x14ac:dyDescent="0.2">
      <c r="A908" s="71">
        <v>44440</v>
      </c>
      <c r="B908" s="61">
        <v>0</v>
      </c>
      <c r="C908" s="61">
        <v>0</v>
      </c>
      <c r="D908" s="61">
        <v>341574.45946000004</v>
      </c>
      <c r="E908" s="61">
        <v>285058.6706082829</v>
      </c>
      <c r="F908" s="61">
        <v>184599.9822</v>
      </c>
      <c r="G908" s="61">
        <v>225497.00713203632</v>
      </c>
      <c r="H908" s="62">
        <v>-0.16545671752233393</v>
      </c>
      <c r="I908" s="62">
        <v>0.22154403507865728</v>
      </c>
      <c r="J908" s="62">
        <v>-2.9683623306380968E-2</v>
      </c>
    </row>
    <row r="909" spans="1:10" ht="11.25" customHeight="1" x14ac:dyDescent="0.2">
      <c r="A909" s="71">
        <v>44470</v>
      </c>
      <c r="B909" s="61">
        <v>0</v>
      </c>
      <c r="C909" s="61">
        <v>0</v>
      </c>
      <c r="D909" s="61">
        <v>341574.45946000004</v>
      </c>
      <c r="E909" s="61">
        <v>285058.6706082829</v>
      </c>
      <c r="F909" s="61">
        <v>184599.9822</v>
      </c>
      <c r="G909" s="61">
        <v>225497.00713203632</v>
      </c>
      <c r="H909" s="62">
        <v>-0.16545671752233393</v>
      </c>
      <c r="I909" s="62">
        <v>0.22154403507865728</v>
      </c>
      <c r="J909" s="62">
        <v>-2.9683623306380968E-2</v>
      </c>
    </row>
    <row r="910" spans="1:10" ht="11.25" customHeight="1" x14ac:dyDescent="0.2">
      <c r="A910" s="66" t="s">
        <v>42</v>
      </c>
      <c r="B910" s="61">
        <v>0</v>
      </c>
      <c r="C910" s="61">
        <v>0</v>
      </c>
      <c r="D910" s="61">
        <v>16832936.340219997</v>
      </c>
      <c r="E910" s="61">
        <v>14047813.947104791</v>
      </c>
      <c r="F910" s="61">
        <v>9097166.5554000009</v>
      </c>
      <c r="G910" s="61">
        <v>11112589.541865924</v>
      </c>
      <c r="H910" s="62">
        <v>-0.16545671752233382</v>
      </c>
      <c r="I910" s="62">
        <v>0.22154403507865816</v>
      </c>
      <c r="J910" s="62">
        <v>-2.9683623306380746E-2</v>
      </c>
    </row>
    <row r="911" spans="1:10" ht="11.25" customHeight="1" x14ac:dyDescent="0.2">
      <c r="A911" s="67" t="s">
        <v>25</v>
      </c>
      <c r="B911" s="61">
        <v>0</v>
      </c>
      <c r="C911" s="61">
        <v>0</v>
      </c>
      <c r="D911" s="61">
        <v>16832936.340219997</v>
      </c>
      <c r="E911" s="61">
        <v>14047813.947104791</v>
      </c>
      <c r="F911" s="61">
        <v>9097166.5554000009</v>
      </c>
      <c r="G911" s="61">
        <v>11112589.541865924</v>
      </c>
      <c r="H911" s="62">
        <v>-0.16545671752233382</v>
      </c>
      <c r="I911" s="62">
        <v>0.22154403507865816</v>
      </c>
      <c r="J911" s="62">
        <v>-2.9683623306380746E-2</v>
      </c>
    </row>
    <row r="912" spans="1:10" ht="11.25" customHeight="1" x14ac:dyDescent="0.2">
      <c r="A912" s="68" t="s">
        <v>25</v>
      </c>
      <c r="B912" s="61">
        <v>0</v>
      </c>
      <c r="C912" s="61">
        <v>0</v>
      </c>
      <c r="D912" s="61">
        <v>16832936.340219997</v>
      </c>
      <c r="E912" s="61">
        <v>14047813.947104791</v>
      </c>
      <c r="F912" s="61">
        <v>9097166.5554000009</v>
      </c>
      <c r="G912" s="61">
        <v>11112589.541865924</v>
      </c>
      <c r="H912" s="62">
        <v>-0.16545671752233382</v>
      </c>
      <c r="I912" s="62">
        <v>0.22154403507865816</v>
      </c>
      <c r="J912" s="62">
        <v>-2.9683623306380746E-2</v>
      </c>
    </row>
    <row r="913" spans="1:10" ht="11.25" customHeight="1" x14ac:dyDescent="0.2">
      <c r="A913" s="69" t="s">
        <v>25</v>
      </c>
      <c r="B913" s="61">
        <v>0</v>
      </c>
      <c r="C913" s="61">
        <v>0</v>
      </c>
      <c r="D913" s="61">
        <v>16832936.340219997</v>
      </c>
      <c r="E913" s="61">
        <v>14047813.947104791</v>
      </c>
      <c r="F913" s="61">
        <v>9097166.5554000009</v>
      </c>
      <c r="G913" s="61">
        <v>11112589.541865924</v>
      </c>
      <c r="H913" s="62">
        <v>-0.16545671752233382</v>
      </c>
      <c r="I913" s="62">
        <v>0.22154403507865816</v>
      </c>
      <c r="J913" s="62">
        <v>-2.9683623306380746E-2</v>
      </c>
    </row>
    <row r="914" spans="1:10" ht="11.25" customHeight="1" x14ac:dyDescent="0.2">
      <c r="A914" s="70" t="s">
        <v>25</v>
      </c>
      <c r="B914" s="61">
        <v>0</v>
      </c>
      <c r="C914" s="61">
        <v>0</v>
      </c>
      <c r="D914" s="61">
        <v>16832936.340219997</v>
      </c>
      <c r="E914" s="61">
        <v>14047813.947104791</v>
      </c>
      <c r="F914" s="61">
        <v>9097166.5554000009</v>
      </c>
      <c r="G914" s="61">
        <v>11112589.541865924</v>
      </c>
      <c r="H914" s="62">
        <v>-0.16545671752233382</v>
      </c>
      <c r="I914" s="62">
        <v>0.22154403507865816</v>
      </c>
      <c r="J914" s="62">
        <v>-2.9683623306380746E-2</v>
      </c>
    </row>
    <row r="915" spans="1:10" ht="11.25" customHeight="1" x14ac:dyDescent="0.2">
      <c r="A915" s="71">
        <v>44136</v>
      </c>
      <c r="B915" s="61">
        <v>0</v>
      </c>
      <c r="C915" s="61">
        <v>0</v>
      </c>
      <c r="D915" s="61">
        <v>1406272.4588899999</v>
      </c>
      <c r="E915" s="61">
        <v>1173595.2338999996</v>
      </c>
      <c r="F915" s="61">
        <v>760003.75230000005</v>
      </c>
      <c r="G915" s="61">
        <v>928378.05025946256</v>
      </c>
      <c r="H915" s="62">
        <v>-0.1654567175223336</v>
      </c>
      <c r="I915" s="62">
        <v>0.2215440350786575</v>
      </c>
      <c r="J915" s="62">
        <v>-2.9683623306380968E-2</v>
      </c>
    </row>
    <row r="916" spans="1:10" ht="11.25" customHeight="1" x14ac:dyDescent="0.2">
      <c r="A916" s="71">
        <v>44166</v>
      </c>
      <c r="B916" s="61">
        <v>0</v>
      </c>
      <c r="C916" s="61">
        <v>0</v>
      </c>
      <c r="D916" s="61">
        <v>1251534.95285</v>
      </c>
      <c r="E916" s="61">
        <v>1044460.0876869704</v>
      </c>
      <c r="F916" s="61">
        <v>676377.64950000006</v>
      </c>
      <c r="G916" s="61">
        <v>826225.0832072479</v>
      </c>
      <c r="H916" s="62">
        <v>-0.16545671752233371</v>
      </c>
      <c r="I916" s="62">
        <v>0.22154403507865728</v>
      </c>
      <c r="J916" s="62">
        <v>-2.9683623306380857E-2</v>
      </c>
    </row>
    <row r="917" spans="1:10" ht="11.25" customHeight="1" x14ac:dyDescent="0.2">
      <c r="A917" s="71">
        <v>44197</v>
      </c>
      <c r="B917" s="61">
        <v>0</v>
      </c>
      <c r="C917" s="61">
        <v>0</v>
      </c>
      <c r="D917" s="61">
        <v>1186300.1709</v>
      </c>
      <c r="E917" s="61">
        <v>990018.83862670243</v>
      </c>
      <c r="F917" s="61">
        <v>641122.26300000004</v>
      </c>
      <c r="G917" s="61">
        <v>783159.07612378011</v>
      </c>
      <c r="H917" s="62">
        <v>-0.16545671752233382</v>
      </c>
      <c r="I917" s="62">
        <v>0.22154403507865705</v>
      </c>
      <c r="J917" s="62">
        <v>-2.9683623306381079E-2</v>
      </c>
    </row>
    <row r="918" spans="1:10" ht="11.25" customHeight="1" x14ac:dyDescent="0.2">
      <c r="A918" s="71">
        <v>44228</v>
      </c>
      <c r="B918" s="61">
        <v>0</v>
      </c>
      <c r="C918" s="61">
        <v>0</v>
      </c>
      <c r="D918" s="61">
        <v>1029085.2692900001</v>
      </c>
      <c r="E918" s="61">
        <v>858816.19858268974</v>
      </c>
      <c r="F918" s="61">
        <v>556157.2803000001</v>
      </c>
      <c r="G918" s="61">
        <v>679370.60831603385</v>
      </c>
      <c r="H918" s="62">
        <v>-0.16545671752233382</v>
      </c>
      <c r="I918" s="62">
        <v>0.22154403507865705</v>
      </c>
      <c r="J918" s="62">
        <v>-2.9683623306380968E-2</v>
      </c>
    </row>
    <row r="919" spans="1:10" ht="11.25" customHeight="1" x14ac:dyDescent="0.2">
      <c r="A919" s="71">
        <v>44256</v>
      </c>
      <c r="B919" s="61">
        <v>0</v>
      </c>
      <c r="C919" s="61">
        <v>0</v>
      </c>
      <c r="D919" s="61">
        <v>1395024.4617399999</v>
      </c>
      <c r="E919" s="61">
        <v>1164208.2934371391</v>
      </c>
      <c r="F919" s="61">
        <v>753924.90180000011</v>
      </c>
      <c r="G919" s="61">
        <v>920952.46669105266</v>
      </c>
      <c r="H919" s="62">
        <v>-0.16545671752233371</v>
      </c>
      <c r="I919" s="62">
        <v>0.22154403507865728</v>
      </c>
      <c r="J919" s="62">
        <v>-2.9683623306380968E-2</v>
      </c>
    </row>
    <row r="920" spans="1:10" ht="11.25" customHeight="1" x14ac:dyDescent="0.2">
      <c r="A920" s="71">
        <v>44287</v>
      </c>
      <c r="B920" s="61">
        <v>0</v>
      </c>
      <c r="C920" s="61">
        <v>0</v>
      </c>
      <c r="D920" s="61">
        <v>1311730.30794</v>
      </c>
      <c r="E920" s="61">
        <v>1094695.7169136875</v>
      </c>
      <c r="F920" s="61">
        <v>708909.53579999995</v>
      </c>
      <c r="G920" s="61">
        <v>865964.21486686997</v>
      </c>
      <c r="H920" s="62">
        <v>-0.16545671752233371</v>
      </c>
      <c r="I920" s="62">
        <v>0.2215440350786575</v>
      </c>
      <c r="J920" s="62">
        <v>-2.9683623306380746E-2</v>
      </c>
    </row>
    <row r="921" spans="1:10" ht="11.25" customHeight="1" x14ac:dyDescent="0.2">
      <c r="A921" s="71">
        <v>44317</v>
      </c>
      <c r="B921" s="61">
        <v>0</v>
      </c>
      <c r="C921" s="61">
        <v>0</v>
      </c>
      <c r="D921" s="61">
        <v>1523552.80636</v>
      </c>
      <c r="E921" s="61">
        <v>1271470.7600477345</v>
      </c>
      <c r="F921" s="61">
        <v>823386.56519999995</v>
      </c>
      <c r="G921" s="61">
        <v>1005802.947283964</v>
      </c>
      <c r="H921" s="62">
        <v>-0.16545671752233382</v>
      </c>
      <c r="I921" s="62">
        <v>0.2215440350786575</v>
      </c>
      <c r="J921" s="62">
        <v>-2.9683623306380968E-2</v>
      </c>
    </row>
    <row r="922" spans="1:10" ht="11.25" customHeight="1" x14ac:dyDescent="0.2">
      <c r="A922" s="71">
        <v>44348</v>
      </c>
      <c r="B922" s="61">
        <v>0</v>
      </c>
      <c r="C922" s="61">
        <v>0</v>
      </c>
      <c r="D922" s="61">
        <v>1494362.93695</v>
      </c>
      <c r="E922" s="61">
        <v>1247110.5506152187</v>
      </c>
      <c r="F922" s="61">
        <v>807611.2365</v>
      </c>
      <c r="G922" s="61">
        <v>986532.68860907399</v>
      </c>
      <c r="H922" s="62">
        <v>-0.16545671752233382</v>
      </c>
      <c r="I922" s="62">
        <v>0.2215440350786575</v>
      </c>
      <c r="J922" s="62">
        <v>-2.9683623306380857E-2</v>
      </c>
    </row>
    <row r="923" spans="1:10" ht="11.25" customHeight="1" x14ac:dyDescent="0.2">
      <c r="A923" s="71">
        <v>44378</v>
      </c>
      <c r="B923" s="61">
        <v>0</v>
      </c>
      <c r="C923" s="61">
        <v>0</v>
      </c>
      <c r="D923" s="61">
        <v>1612184.8629899998</v>
      </c>
      <c r="E923" s="61">
        <v>1345438.0475204813</v>
      </c>
      <c r="F923" s="61">
        <v>871286.73930000013</v>
      </c>
      <c r="G923" s="61">
        <v>1064315.1192350481</v>
      </c>
      <c r="H923" s="62">
        <v>-0.1654567175223336</v>
      </c>
      <c r="I923" s="62">
        <v>0.22154403507865705</v>
      </c>
      <c r="J923" s="62">
        <v>-2.9683623306380968E-2</v>
      </c>
    </row>
    <row r="924" spans="1:10" ht="11.25" customHeight="1" x14ac:dyDescent="0.2">
      <c r="A924" s="71">
        <v>44409</v>
      </c>
      <c r="B924" s="61">
        <v>0</v>
      </c>
      <c r="C924" s="61">
        <v>0</v>
      </c>
      <c r="D924" s="61">
        <v>1690886.1784100002</v>
      </c>
      <c r="E924" s="61">
        <v>1411117.7016263984</v>
      </c>
      <c r="F924" s="61">
        <v>913819.95870000008</v>
      </c>
      <c r="G924" s="61">
        <v>1116271.31968581</v>
      </c>
      <c r="H924" s="62">
        <v>-0.16545671752233371</v>
      </c>
      <c r="I924" s="62">
        <v>0.22154403507865728</v>
      </c>
      <c r="J924" s="62">
        <v>-2.9683623306380968E-2</v>
      </c>
    </row>
    <row r="925" spans="1:10" ht="11.25" customHeight="1" x14ac:dyDescent="0.2">
      <c r="A925" s="71">
        <v>44440</v>
      </c>
      <c r="B925" s="61">
        <v>0</v>
      </c>
      <c r="C925" s="61">
        <v>0</v>
      </c>
      <c r="D925" s="61">
        <v>1466000.9669499998</v>
      </c>
      <c r="E925" s="61">
        <v>1223441.2590738856</v>
      </c>
      <c r="F925" s="61">
        <v>792283.33650000009</v>
      </c>
      <c r="G925" s="61">
        <v>967808.98379379162</v>
      </c>
      <c r="H925" s="62">
        <v>-0.16545671752233371</v>
      </c>
      <c r="I925" s="62">
        <v>0.22154403507865705</v>
      </c>
      <c r="J925" s="62">
        <v>-2.9683623306380857E-2</v>
      </c>
    </row>
    <row r="926" spans="1:10" ht="11.25" customHeight="1" x14ac:dyDescent="0.2">
      <c r="A926" s="71">
        <v>44470</v>
      </c>
      <c r="B926" s="61">
        <v>0</v>
      </c>
      <c r="C926" s="61">
        <v>0</v>
      </c>
      <c r="D926" s="61">
        <v>1466000.9669499998</v>
      </c>
      <c r="E926" s="61">
        <v>1223441.2590738856</v>
      </c>
      <c r="F926" s="61">
        <v>792283.33650000009</v>
      </c>
      <c r="G926" s="61">
        <v>967808.98379379162</v>
      </c>
      <c r="H926" s="62">
        <v>-0.16545671752233371</v>
      </c>
      <c r="I926" s="62">
        <v>0.22154403507865705</v>
      </c>
      <c r="J926" s="62">
        <v>-2.9683623306380857E-2</v>
      </c>
    </row>
    <row r="927" spans="1:10" ht="11.25" customHeight="1" x14ac:dyDescent="0.2">
      <c r="A927" s="66" t="s">
        <v>48</v>
      </c>
      <c r="B927" s="61">
        <v>0</v>
      </c>
      <c r="C927" s="61">
        <v>0</v>
      </c>
      <c r="D927" s="61">
        <v>57388179.138160005</v>
      </c>
      <c r="E927" s="61">
        <v>47892919.39337638</v>
      </c>
      <c r="F927" s="61">
        <v>31014780.391200002</v>
      </c>
      <c r="G927" s="61">
        <v>37885919.986144863</v>
      </c>
      <c r="H927" s="62">
        <v>-0.16545671752233382</v>
      </c>
      <c r="I927" s="62">
        <v>0.22154403507865728</v>
      </c>
      <c r="J927" s="62">
        <v>-2.9683623306380968E-2</v>
      </c>
    </row>
    <row r="928" spans="1:10" ht="11.25" customHeight="1" x14ac:dyDescent="0.2">
      <c r="A928" s="67" t="s">
        <v>25</v>
      </c>
      <c r="B928" s="61">
        <v>0</v>
      </c>
      <c r="C928" s="61">
        <v>0</v>
      </c>
      <c r="D928" s="61">
        <v>57388179.138160005</v>
      </c>
      <c r="E928" s="61">
        <v>47892919.39337638</v>
      </c>
      <c r="F928" s="61">
        <v>31014780.391200002</v>
      </c>
      <c r="G928" s="61">
        <v>37885919.986144863</v>
      </c>
      <c r="H928" s="62">
        <v>-0.16545671752233382</v>
      </c>
      <c r="I928" s="62">
        <v>0.22154403507865728</v>
      </c>
      <c r="J928" s="62">
        <v>-2.9683623306380968E-2</v>
      </c>
    </row>
    <row r="929" spans="1:10" ht="11.25" customHeight="1" x14ac:dyDescent="0.2">
      <c r="A929" s="68" t="s">
        <v>25</v>
      </c>
      <c r="B929" s="61">
        <v>0</v>
      </c>
      <c r="C929" s="61">
        <v>0</v>
      </c>
      <c r="D929" s="61">
        <v>57388179.138160005</v>
      </c>
      <c r="E929" s="61">
        <v>47892919.39337638</v>
      </c>
      <c r="F929" s="61">
        <v>31014780.391200002</v>
      </c>
      <c r="G929" s="61">
        <v>37885919.986144863</v>
      </c>
      <c r="H929" s="62">
        <v>-0.16545671752233382</v>
      </c>
      <c r="I929" s="62">
        <v>0.22154403507865728</v>
      </c>
      <c r="J929" s="62">
        <v>-2.9683623306380968E-2</v>
      </c>
    </row>
    <row r="930" spans="1:10" ht="11.25" customHeight="1" x14ac:dyDescent="0.2">
      <c r="A930" s="69" t="s">
        <v>25</v>
      </c>
      <c r="B930" s="61">
        <v>0</v>
      </c>
      <c r="C930" s="61">
        <v>0</v>
      </c>
      <c r="D930" s="61">
        <v>57388179.138160005</v>
      </c>
      <c r="E930" s="61">
        <v>47892919.39337638</v>
      </c>
      <c r="F930" s="61">
        <v>31014780.391200002</v>
      </c>
      <c r="G930" s="61">
        <v>37885919.986144863</v>
      </c>
      <c r="H930" s="62">
        <v>-0.16545671752233382</v>
      </c>
      <c r="I930" s="62">
        <v>0.22154403507865728</v>
      </c>
      <c r="J930" s="62">
        <v>-2.9683623306380968E-2</v>
      </c>
    </row>
    <row r="931" spans="1:10" ht="11.25" customHeight="1" x14ac:dyDescent="0.2">
      <c r="A931" s="70" t="s">
        <v>25</v>
      </c>
      <c r="B931" s="61">
        <v>0</v>
      </c>
      <c r="C931" s="61">
        <v>0</v>
      </c>
      <c r="D931" s="61">
        <v>57388179.138160005</v>
      </c>
      <c r="E931" s="61">
        <v>47892919.39337638</v>
      </c>
      <c r="F931" s="61">
        <v>31014780.391200002</v>
      </c>
      <c r="G931" s="61">
        <v>37885919.986144863</v>
      </c>
      <c r="H931" s="62">
        <v>-0.16545671752233382</v>
      </c>
      <c r="I931" s="62">
        <v>0.22154403507865728</v>
      </c>
      <c r="J931" s="62">
        <v>-2.9683623306380968E-2</v>
      </c>
    </row>
    <row r="932" spans="1:10" ht="11.25" customHeight="1" x14ac:dyDescent="0.2">
      <c r="A932" s="71">
        <v>44136</v>
      </c>
      <c r="B932" s="61">
        <v>0</v>
      </c>
      <c r="C932" s="61">
        <v>0</v>
      </c>
      <c r="D932" s="61">
        <v>4835788.3655899996</v>
      </c>
      <c r="E932" s="61">
        <v>4035674.6959867864</v>
      </c>
      <c r="F932" s="61">
        <v>2613446.1212999998</v>
      </c>
      <c r="G932" s="61">
        <v>3192439.5204734681</v>
      </c>
      <c r="H932" s="62">
        <v>-0.16545671752233393</v>
      </c>
      <c r="I932" s="62">
        <v>0.2215440350786575</v>
      </c>
      <c r="J932" s="62">
        <v>-2.9683623306381079E-2</v>
      </c>
    </row>
    <row r="933" spans="1:10" ht="11.25" customHeight="1" x14ac:dyDescent="0.2">
      <c r="A933" s="71">
        <v>44166</v>
      </c>
      <c r="B933" s="61">
        <v>0</v>
      </c>
      <c r="C933" s="61">
        <v>0</v>
      </c>
      <c r="D933" s="61">
        <v>4526514.5884400001</v>
      </c>
      <c r="E933" s="61">
        <v>3777572.3428197596</v>
      </c>
      <c r="F933" s="61">
        <v>2446302.6708</v>
      </c>
      <c r="G933" s="61">
        <v>2988266.4355127285</v>
      </c>
      <c r="H933" s="62">
        <v>-0.16545671752233382</v>
      </c>
      <c r="I933" s="62">
        <v>0.2215440350786575</v>
      </c>
      <c r="J933" s="62">
        <v>-2.9683623306380857E-2</v>
      </c>
    </row>
    <row r="934" spans="1:10" ht="11.25" customHeight="1" x14ac:dyDescent="0.2">
      <c r="A934" s="71">
        <v>44197</v>
      </c>
      <c r="B934" s="61">
        <v>0</v>
      </c>
      <c r="C934" s="61">
        <v>0</v>
      </c>
      <c r="D934" s="61">
        <v>3948540.8580799997</v>
      </c>
      <c r="E934" s="61">
        <v>3295228.2486992641</v>
      </c>
      <c r="F934" s="61">
        <v>2133943.4256000002</v>
      </c>
      <c r="G934" s="61">
        <v>2606705.8627369963</v>
      </c>
      <c r="H934" s="62">
        <v>-0.16545671752233371</v>
      </c>
      <c r="I934" s="62">
        <v>0.22154403507865705</v>
      </c>
      <c r="J934" s="62">
        <v>-2.9683623306380746E-2</v>
      </c>
    </row>
    <row r="935" spans="1:10" ht="11.25" customHeight="1" x14ac:dyDescent="0.2">
      <c r="A935" s="71">
        <v>44228</v>
      </c>
      <c r="B935" s="61">
        <v>0</v>
      </c>
      <c r="C935" s="61">
        <v>0</v>
      </c>
      <c r="D935" s="61">
        <v>3787719.93457</v>
      </c>
      <c r="E935" s="61">
        <v>3161016.2273021387</v>
      </c>
      <c r="F935" s="61">
        <v>2047029.6099</v>
      </c>
      <c r="G935" s="61">
        <v>2500536.809602736</v>
      </c>
      <c r="H935" s="62">
        <v>-0.16545671752233382</v>
      </c>
      <c r="I935" s="62">
        <v>0.2215440350786575</v>
      </c>
      <c r="J935" s="62">
        <v>-2.9683623306380857E-2</v>
      </c>
    </row>
    <row r="936" spans="1:10" ht="11.25" customHeight="1" x14ac:dyDescent="0.2">
      <c r="A936" s="71">
        <v>44256</v>
      </c>
      <c r="B936" s="61">
        <v>0</v>
      </c>
      <c r="C936" s="61">
        <v>0</v>
      </c>
      <c r="D936" s="61">
        <v>4055599.6416000002</v>
      </c>
      <c r="E936" s="61">
        <v>3384573.4373161108</v>
      </c>
      <c r="F936" s="61">
        <v>2191802.1120000002</v>
      </c>
      <c r="G936" s="61">
        <v>2677382.7959864032</v>
      </c>
      <c r="H936" s="62">
        <v>-0.16545671752233382</v>
      </c>
      <c r="I936" s="62">
        <v>0.22154403507865728</v>
      </c>
      <c r="J936" s="62">
        <v>-2.9683623306380968E-2</v>
      </c>
    </row>
    <row r="937" spans="1:10" ht="11.25" customHeight="1" x14ac:dyDescent="0.2">
      <c r="A937" s="71">
        <v>44287</v>
      </c>
      <c r="B937" s="61">
        <v>0</v>
      </c>
      <c r="C937" s="61">
        <v>0</v>
      </c>
      <c r="D937" s="61">
        <v>4096284.6624699999</v>
      </c>
      <c r="E937" s="61">
        <v>3418526.8481806326</v>
      </c>
      <c r="F937" s="61">
        <v>2213789.8629000001</v>
      </c>
      <c r="G937" s="61">
        <v>2704241.8019430935</v>
      </c>
      <c r="H937" s="62">
        <v>-0.16545671752233382</v>
      </c>
      <c r="I937" s="62">
        <v>0.22154403507865728</v>
      </c>
      <c r="J937" s="62">
        <v>-2.9683623306380857E-2</v>
      </c>
    </row>
    <row r="938" spans="1:10" ht="11.25" customHeight="1" x14ac:dyDescent="0.2">
      <c r="A938" s="71">
        <v>44317</v>
      </c>
      <c r="B938" s="61">
        <v>0</v>
      </c>
      <c r="C938" s="61">
        <v>0</v>
      </c>
      <c r="D938" s="61">
        <v>4128626.7622600002</v>
      </c>
      <c r="E938" s="61">
        <v>3445517.7303015995</v>
      </c>
      <c r="F938" s="61">
        <v>2231268.7782000001</v>
      </c>
      <c r="G938" s="61">
        <v>2725593.0666674539</v>
      </c>
      <c r="H938" s="62">
        <v>-0.16545671752233382</v>
      </c>
      <c r="I938" s="62">
        <v>0.22154403507865728</v>
      </c>
      <c r="J938" s="62">
        <v>-2.9683623306380857E-2</v>
      </c>
    </row>
    <row r="939" spans="1:10" ht="11.25" customHeight="1" x14ac:dyDescent="0.2">
      <c r="A939" s="71">
        <v>44348</v>
      </c>
      <c r="B939" s="61">
        <v>0</v>
      </c>
      <c r="C939" s="61">
        <v>0</v>
      </c>
      <c r="D939" s="61">
        <v>4637562.9557400001</v>
      </c>
      <c r="E939" s="61">
        <v>3870247.0117800874</v>
      </c>
      <c r="F939" s="61">
        <v>2506317.4818000002</v>
      </c>
      <c r="G939" s="61">
        <v>3061577.169906151</v>
      </c>
      <c r="H939" s="62">
        <v>-0.16545671752233382</v>
      </c>
      <c r="I939" s="62">
        <v>0.22154403507865705</v>
      </c>
      <c r="J939" s="62">
        <v>-2.9683623306381079E-2</v>
      </c>
    </row>
    <row r="940" spans="1:10" ht="11.25" customHeight="1" x14ac:dyDescent="0.2">
      <c r="A940" s="71">
        <v>44378</v>
      </c>
      <c r="B940" s="61">
        <v>0</v>
      </c>
      <c r="C940" s="61">
        <v>0</v>
      </c>
      <c r="D940" s="61">
        <v>4735778.2068999996</v>
      </c>
      <c r="E940" s="61">
        <v>3952211.8898725221</v>
      </c>
      <c r="F940" s="61">
        <v>2559396.7830000003</v>
      </c>
      <c r="G940" s="61">
        <v>3126415.8736731554</v>
      </c>
      <c r="H940" s="62">
        <v>-0.16545671752233382</v>
      </c>
      <c r="I940" s="62">
        <v>0.2215440350786575</v>
      </c>
      <c r="J940" s="62">
        <v>-2.9683623306380968E-2</v>
      </c>
    </row>
    <row r="941" spans="1:10" ht="11.25" customHeight="1" x14ac:dyDescent="0.2">
      <c r="A941" s="71">
        <v>44409</v>
      </c>
      <c r="B941" s="61">
        <v>0</v>
      </c>
      <c r="C941" s="61">
        <v>0</v>
      </c>
      <c r="D941" s="61">
        <v>6096266.3427900001</v>
      </c>
      <c r="E941" s="61">
        <v>5087598.1245700838</v>
      </c>
      <c r="F941" s="61">
        <v>3294656.9252999998</v>
      </c>
      <c r="G941" s="61">
        <v>4024568.5147308046</v>
      </c>
      <c r="H941" s="62">
        <v>-0.16545671752233382</v>
      </c>
      <c r="I941" s="62">
        <v>0.2215440350786575</v>
      </c>
      <c r="J941" s="62">
        <v>-2.9683623306380968E-2</v>
      </c>
    </row>
    <row r="942" spans="1:10" ht="11.25" customHeight="1" x14ac:dyDescent="0.2">
      <c r="A942" s="71">
        <v>44440</v>
      </c>
      <c r="B942" s="61">
        <v>0</v>
      </c>
      <c r="C942" s="61">
        <v>0</v>
      </c>
      <c r="D942" s="61">
        <v>6269748.40986</v>
      </c>
      <c r="E942" s="61">
        <v>5232376.418273693</v>
      </c>
      <c r="F942" s="61">
        <v>3388413.3102000006</v>
      </c>
      <c r="G942" s="61">
        <v>4139096.0674559386</v>
      </c>
      <c r="H942" s="62">
        <v>-0.16545671752233371</v>
      </c>
      <c r="I942" s="62">
        <v>0.22154403507865728</v>
      </c>
      <c r="J942" s="62">
        <v>-2.9683623306380968E-2</v>
      </c>
    </row>
    <row r="943" spans="1:10" ht="11.25" customHeight="1" x14ac:dyDescent="0.2">
      <c r="A943" s="71">
        <v>44470</v>
      </c>
      <c r="B943" s="61">
        <v>0</v>
      </c>
      <c r="C943" s="61">
        <v>0</v>
      </c>
      <c r="D943" s="61">
        <v>6269748.40986</v>
      </c>
      <c r="E943" s="61">
        <v>5232376.418273693</v>
      </c>
      <c r="F943" s="61">
        <v>3388413.3102000006</v>
      </c>
      <c r="G943" s="61">
        <v>4139096.0674559386</v>
      </c>
      <c r="H943" s="62">
        <v>-0.16545671752233371</v>
      </c>
      <c r="I943" s="62">
        <v>0.22154403507865728</v>
      </c>
      <c r="J943" s="62">
        <v>-2.9683623306380968E-2</v>
      </c>
    </row>
    <row r="944" spans="1:10" ht="11.25" customHeight="1" x14ac:dyDescent="0.2">
      <c r="A944" s="66" t="s">
        <v>61</v>
      </c>
      <c r="B944" s="61">
        <v>0</v>
      </c>
      <c r="C944" s="61">
        <v>0</v>
      </c>
      <c r="D944" s="61">
        <v>16433800.195694698</v>
      </c>
      <c r="E944" s="61">
        <v>13714717.558897169</v>
      </c>
      <c r="F944" s="61">
        <v>8881458.0235290006</v>
      </c>
      <c r="G944" s="61">
        <v>10849092.07144333</v>
      </c>
      <c r="H944" s="62">
        <v>-0.16545671752233371</v>
      </c>
      <c r="I944" s="62">
        <v>0.22154403507865772</v>
      </c>
      <c r="J944" s="62">
        <v>-2.9683623306380857E-2</v>
      </c>
    </row>
    <row r="945" spans="1:10" ht="11.25" customHeight="1" x14ac:dyDescent="0.2">
      <c r="A945" s="67" t="s">
        <v>53</v>
      </c>
      <c r="B945" s="61">
        <v>0</v>
      </c>
      <c r="C945" s="61">
        <v>0</v>
      </c>
      <c r="D945" s="61">
        <v>16433800.195694698</v>
      </c>
      <c r="E945" s="61">
        <v>13714717.558897169</v>
      </c>
      <c r="F945" s="61">
        <v>8881458.0235290006</v>
      </c>
      <c r="G945" s="61">
        <v>10849092.07144333</v>
      </c>
      <c r="H945" s="62">
        <v>-0.16545671752233371</v>
      </c>
      <c r="I945" s="62">
        <v>0.22154403507865772</v>
      </c>
      <c r="J945" s="62">
        <v>-2.9683623306380857E-2</v>
      </c>
    </row>
    <row r="946" spans="1:10" ht="11.25" customHeight="1" x14ac:dyDescent="0.2">
      <c r="A946" s="68" t="s">
        <v>25</v>
      </c>
      <c r="B946" s="61">
        <v>0</v>
      </c>
      <c r="C946" s="61">
        <v>0</v>
      </c>
      <c r="D946" s="61">
        <v>16433800.195694698</v>
      </c>
      <c r="E946" s="61">
        <v>13714717.558897169</v>
      </c>
      <c r="F946" s="61">
        <v>8881458.0235290006</v>
      </c>
      <c r="G946" s="61">
        <v>10849092.07144333</v>
      </c>
      <c r="H946" s="62">
        <v>-0.16545671752233371</v>
      </c>
      <c r="I946" s="62">
        <v>0.22154403507865772</v>
      </c>
      <c r="J946" s="62">
        <v>-2.9683623306380857E-2</v>
      </c>
    </row>
    <row r="947" spans="1:10" ht="11.25" customHeight="1" x14ac:dyDescent="0.2">
      <c r="A947" s="69" t="s">
        <v>25</v>
      </c>
      <c r="B947" s="61">
        <v>0</v>
      </c>
      <c r="C947" s="61">
        <v>0</v>
      </c>
      <c r="D947" s="61">
        <v>16433800.195694698</v>
      </c>
      <c r="E947" s="61">
        <v>13714717.558897169</v>
      </c>
      <c r="F947" s="61">
        <v>8881458.0235290006</v>
      </c>
      <c r="G947" s="61">
        <v>10849092.07144333</v>
      </c>
      <c r="H947" s="62">
        <v>-0.16545671752233371</v>
      </c>
      <c r="I947" s="62">
        <v>0.22154403507865772</v>
      </c>
      <c r="J947" s="62">
        <v>-2.9683623306380857E-2</v>
      </c>
    </row>
    <row r="948" spans="1:10" ht="11.25" customHeight="1" x14ac:dyDescent="0.2">
      <c r="A948" s="70" t="s">
        <v>25</v>
      </c>
      <c r="B948" s="61">
        <v>0</v>
      </c>
      <c r="C948" s="61">
        <v>0</v>
      </c>
      <c r="D948" s="61">
        <v>16433800.195694698</v>
      </c>
      <c r="E948" s="61">
        <v>13714717.558897169</v>
      </c>
      <c r="F948" s="61">
        <v>8881458.0235290006</v>
      </c>
      <c r="G948" s="61">
        <v>10849092.07144333</v>
      </c>
      <c r="H948" s="62">
        <v>-0.16545671752233371</v>
      </c>
      <c r="I948" s="62">
        <v>0.22154403507865772</v>
      </c>
      <c r="J948" s="62">
        <v>-2.9683623306380857E-2</v>
      </c>
    </row>
    <row r="949" spans="1:10" ht="11.25" customHeight="1" x14ac:dyDescent="0.2">
      <c r="A949" s="71">
        <v>44136</v>
      </c>
      <c r="B949" s="61">
        <v>0</v>
      </c>
      <c r="C949" s="61">
        <v>0</v>
      </c>
      <c r="D949" s="61">
        <v>1167396.9314007</v>
      </c>
      <c r="E949" s="61">
        <v>974243.26708549506</v>
      </c>
      <c r="F949" s="61">
        <v>630906.22494900005</v>
      </c>
      <c r="G949" s="61">
        <v>770679.73578044446</v>
      </c>
      <c r="H949" s="62">
        <v>-0.16545671752233382</v>
      </c>
      <c r="I949" s="62">
        <v>0.22154403507865705</v>
      </c>
      <c r="J949" s="62">
        <v>-2.9683623306381079E-2</v>
      </c>
    </row>
    <row r="950" spans="1:10" ht="11.25" customHeight="1" x14ac:dyDescent="0.2">
      <c r="A950" s="71">
        <v>44166</v>
      </c>
      <c r="B950" s="61">
        <v>0</v>
      </c>
      <c r="C950" s="61">
        <v>0</v>
      </c>
      <c r="D950" s="61">
        <v>1149740.8487565001</v>
      </c>
      <c r="E950" s="61">
        <v>959508.50191990752</v>
      </c>
      <c r="F950" s="61">
        <v>621364.19845500006</v>
      </c>
      <c r="G950" s="61">
        <v>759023.73023413646</v>
      </c>
      <c r="H950" s="62">
        <v>-0.16545671752233382</v>
      </c>
      <c r="I950" s="62">
        <v>0.2215440350786575</v>
      </c>
      <c r="J950" s="62">
        <v>-2.9683623306380968E-2</v>
      </c>
    </row>
    <row r="951" spans="1:10" ht="11.25" customHeight="1" x14ac:dyDescent="0.2">
      <c r="A951" s="71">
        <v>44197</v>
      </c>
      <c r="B951" s="61">
        <v>0</v>
      </c>
      <c r="C951" s="61">
        <v>0</v>
      </c>
      <c r="D951" s="61">
        <v>1188503.2792087002</v>
      </c>
      <c r="E951" s="61">
        <v>991857.42786629882</v>
      </c>
      <c r="F951" s="61">
        <v>642312.90750900004</v>
      </c>
      <c r="G951" s="61">
        <v>784613.5008216484</v>
      </c>
      <c r="H951" s="62">
        <v>-0.16545671752233382</v>
      </c>
      <c r="I951" s="62">
        <v>0.2215440350786575</v>
      </c>
      <c r="J951" s="62">
        <v>-2.9683623306380857E-2</v>
      </c>
    </row>
    <row r="952" spans="1:10" ht="11.25" customHeight="1" x14ac:dyDescent="0.2">
      <c r="A952" s="71">
        <v>44228</v>
      </c>
      <c r="B952" s="61">
        <v>0</v>
      </c>
      <c r="C952" s="61">
        <v>0</v>
      </c>
      <c r="D952" s="61">
        <v>1137103.6688101999</v>
      </c>
      <c r="E952" s="61">
        <v>948962.22828626144</v>
      </c>
      <c r="F952" s="61">
        <v>614534.58011400013</v>
      </c>
      <c r="G952" s="61">
        <v>750681.05068782403</v>
      </c>
      <c r="H952" s="62">
        <v>-0.16545671752233371</v>
      </c>
      <c r="I952" s="62">
        <v>0.22154403507865728</v>
      </c>
      <c r="J952" s="62">
        <v>-2.9683623306380746E-2</v>
      </c>
    </row>
    <row r="953" spans="1:10" ht="11.25" customHeight="1" x14ac:dyDescent="0.2">
      <c r="A953" s="71">
        <v>44256</v>
      </c>
      <c r="B953" s="61">
        <v>0</v>
      </c>
      <c r="C953" s="61">
        <v>0</v>
      </c>
      <c r="D953" s="61">
        <v>1174114.7476149001</v>
      </c>
      <c r="E953" s="61">
        <v>979849.57547997532</v>
      </c>
      <c r="F953" s="61">
        <v>634536.79134300014</v>
      </c>
      <c r="G953" s="61">
        <v>775114.6325029924</v>
      </c>
      <c r="H953" s="62">
        <v>-0.16545671752233382</v>
      </c>
      <c r="I953" s="62">
        <v>0.22154403507865728</v>
      </c>
      <c r="J953" s="62">
        <v>-2.9683623306381079E-2</v>
      </c>
    </row>
    <row r="954" spans="1:10" ht="11.25" customHeight="1" x14ac:dyDescent="0.2">
      <c r="A954" s="71">
        <v>44287</v>
      </c>
      <c r="B954" s="61">
        <v>0</v>
      </c>
      <c r="C954" s="61">
        <v>0</v>
      </c>
      <c r="D954" s="61">
        <v>1361663.8205806999</v>
      </c>
      <c r="E954" s="61">
        <v>1136367.3944584974</v>
      </c>
      <c r="F954" s="61">
        <v>735895.52754900022</v>
      </c>
      <c r="G954" s="61">
        <v>898928.79211854283</v>
      </c>
      <c r="H954" s="62">
        <v>-0.16545671752233371</v>
      </c>
      <c r="I954" s="62">
        <v>0.22154403507865705</v>
      </c>
      <c r="J954" s="62">
        <v>-2.9683623306380857E-2</v>
      </c>
    </row>
    <row r="955" spans="1:10" ht="11.25" customHeight="1" x14ac:dyDescent="0.2">
      <c r="A955" s="71">
        <v>44317</v>
      </c>
      <c r="B955" s="61">
        <v>0</v>
      </c>
      <c r="C955" s="61">
        <v>0</v>
      </c>
      <c r="D955" s="61">
        <v>1538513.8760900998</v>
      </c>
      <c r="E955" s="61">
        <v>1283956.4202896697</v>
      </c>
      <c r="F955" s="61">
        <v>831472.10300700006</v>
      </c>
      <c r="G955" s="61">
        <v>1015679.7877625079</v>
      </c>
      <c r="H955" s="62">
        <v>-0.1654567175223336</v>
      </c>
      <c r="I955" s="62">
        <v>0.2215440350786575</v>
      </c>
      <c r="J955" s="62">
        <v>-2.9683623306380857E-2</v>
      </c>
    </row>
    <row r="956" spans="1:10" ht="11.25" customHeight="1" x14ac:dyDescent="0.2">
      <c r="A956" s="71">
        <v>44348</v>
      </c>
      <c r="B956" s="61">
        <v>0</v>
      </c>
      <c r="C956" s="61">
        <v>0</v>
      </c>
      <c r="D956" s="61">
        <v>1668253.1867911001</v>
      </c>
      <c r="E956" s="61">
        <v>1392229.4905084718</v>
      </c>
      <c r="F956" s="61">
        <v>901588.21907700005</v>
      </c>
      <c r="G956" s="61">
        <v>1101329.7111106992</v>
      </c>
      <c r="H956" s="62">
        <v>-0.16545671752233382</v>
      </c>
      <c r="I956" s="62">
        <v>0.2215440350786575</v>
      </c>
      <c r="J956" s="62">
        <v>-2.9683623306380857E-2</v>
      </c>
    </row>
    <row r="957" spans="1:10" ht="11.25" customHeight="1" x14ac:dyDescent="0.2">
      <c r="A957" s="71">
        <v>44378</v>
      </c>
      <c r="B957" s="61">
        <v>0</v>
      </c>
      <c r="C957" s="61">
        <v>0</v>
      </c>
      <c r="D957" s="61">
        <v>1616405.3942400001</v>
      </c>
      <c r="E957" s="61">
        <v>1348960.2635236559</v>
      </c>
      <c r="F957" s="61">
        <v>873567.67680000002</v>
      </c>
      <c r="G957" s="61">
        <v>1067101.3848325606</v>
      </c>
      <c r="H957" s="62">
        <v>-0.16545671752233371</v>
      </c>
      <c r="I957" s="62">
        <v>0.2215440350786575</v>
      </c>
      <c r="J957" s="62">
        <v>-2.9683623306380746E-2</v>
      </c>
    </row>
    <row r="958" spans="1:10" ht="11.25" customHeight="1" x14ac:dyDescent="0.2">
      <c r="A958" s="71">
        <v>44409</v>
      </c>
      <c r="B958" s="61">
        <v>0</v>
      </c>
      <c r="C958" s="61">
        <v>0</v>
      </c>
      <c r="D958" s="61">
        <v>1663702.1305449998</v>
      </c>
      <c r="E958" s="61">
        <v>1388431.4370901112</v>
      </c>
      <c r="F958" s="61">
        <v>899128.65315000003</v>
      </c>
      <c r="G958" s="61">
        <v>1098325.2430236896</v>
      </c>
      <c r="H958" s="62">
        <v>-0.1654567175223336</v>
      </c>
      <c r="I958" s="62">
        <v>0.22154403507865728</v>
      </c>
      <c r="J958" s="62">
        <v>-2.9683623306380746E-2</v>
      </c>
    </row>
    <row r="959" spans="1:10" ht="11.25" customHeight="1" x14ac:dyDescent="0.2">
      <c r="A959" s="71">
        <v>44440</v>
      </c>
      <c r="B959" s="61">
        <v>0</v>
      </c>
      <c r="C959" s="61">
        <v>0</v>
      </c>
      <c r="D959" s="61">
        <v>1384201.1558284</v>
      </c>
      <c r="E959" s="61">
        <v>1155175.7761944125</v>
      </c>
      <c r="F959" s="61">
        <v>748075.57078800013</v>
      </c>
      <c r="G959" s="61">
        <v>913807.25128414331</v>
      </c>
      <c r="H959" s="62">
        <v>-0.16545671752233382</v>
      </c>
      <c r="I959" s="62">
        <v>0.22154403507865705</v>
      </c>
      <c r="J959" s="62">
        <v>-2.9683623306381079E-2</v>
      </c>
    </row>
    <row r="960" spans="1:10" ht="11.25" customHeight="1" x14ac:dyDescent="0.2">
      <c r="A960" s="71">
        <v>44470</v>
      </c>
      <c r="B960" s="61">
        <v>0</v>
      </c>
      <c r="C960" s="61">
        <v>0</v>
      </c>
      <c r="D960" s="61">
        <v>1384201.1558284</v>
      </c>
      <c r="E960" s="61">
        <v>1155175.7761944125</v>
      </c>
      <c r="F960" s="61">
        <v>748075.57078800013</v>
      </c>
      <c r="G960" s="61">
        <v>913807.25128414331</v>
      </c>
      <c r="H960" s="62">
        <v>-0.16545671752233382</v>
      </c>
      <c r="I960" s="62">
        <v>0.22154403507865705</v>
      </c>
      <c r="J960" s="62">
        <v>-2.9683623306381079E-2</v>
      </c>
    </row>
    <row r="961" spans="1:10" ht="11.25" customHeight="1" x14ac:dyDescent="0.2">
      <c r="A961" s="64" t="s">
        <v>49</v>
      </c>
      <c r="B961" s="61">
        <v>0</v>
      </c>
      <c r="C961" s="61">
        <v>0</v>
      </c>
      <c r="D961" s="61">
        <v>49567090.771439992</v>
      </c>
      <c r="E961" s="61">
        <v>41364963.801800057</v>
      </c>
      <c r="F961" s="61">
        <v>26788369.157279994</v>
      </c>
      <c r="G961" s="61">
        <v>32721949.897285119</v>
      </c>
      <c r="H961" s="62">
        <v>-0.16547525468986979</v>
      </c>
      <c r="I961" s="62">
        <v>0.22149839376812586</v>
      </c>
      <c r="J961" s="62">
        <v>-2.971033416277713E-2</v>
      </c>
    </row>
    <row r="962" spans="1:10" ht="11.25" customHeight="1" x14ac:dyDescent="0.2">
      <c r="A962" s="65" t="s">
        <v>23</v>
      </c>
      <c r="B962" s="61">
        <v>0</v>
      </c>
      <c r="C962" s="61">
        <v>0</v>
      </c>
      <c r="D962" s="61">
        <v>49567090.771439992</v>
      </c>
      <c r="E962" s="61">
        <v>41364963.801800057</v>
      </c>
      <c r="F962" s="61">
        <v>26788369.157279994</v>
      </c>
      <c r="G962" s="61">
        <v>32721949.897285119</v>
      </c>
      <c r="H962" s="62">
        <v>-0.16547525468986979</v>
      </c>
      <c r="I962" s="62">
        <v>0.22149839376812586</v>
      </c>
      <c r="J962" s="62">
        <v>-2.971033416277713E-2</v>
      </c>
    </row>
    <row r="963" spans="1:10" ht="11.25" customHeight="1" x14ac:dyDescent="0.2">
      <c r="A963" s="66" t="s">
        <v>50</v>
      </c>
      <c r="B963" s="61">
        <v>0</v>
      </c>
      <c r="C963" s="61">
        <v>0</v>
      </c>
      <c r="D963" s="61">
        <v>49567090.771439992</v>
      </c>
      <c r="E963" s="61">
        <v>41364963.801800057</v>
      </c>
      <c r="F963" s="61">
        <v>26788369.157279994</v>
      </c>
      <c r="G963" s="61">
        <v>32721949.897285119</v>
      </c>
      <c r="H963" s="62">
        <v>-0.16547525468986979</v>
      </c>
      <c r="I963" s="62">
        <v>0.22149839376812586</v>
      </c>
      <c r="J963" s="62">
        <v>-2.971033416277713E-2</v>
      </c>
    </row>
    <row r="964" spans="1:10" ht="11.25" customHeight="1" x14ac:dyDescent="0.2">
      <c r="A964" s="67" t="s">
        <v>51</v>
      </c>
      <c r="B964" s="61">
        <v>0</v>
      </c>
      <c r="C964" s="61">
        <v>0</v>
      </c>
      <c r="D964" s="61">
        <v>49567090.771439992</v>
      </c>
      <c r="E964" s="61">
        <v>41364963.801800057</v>
      </c>
      <c r="F964" s="61">
        <v>26788369.157279994</v>
      </c>
      <c r="G964" s="61">
        <v>32721949.897285119</v>
      </c>
      <c r="H964" s="62">
        <v>-0.16547525468986979</v>
      </c>
      <c r="I964" s="62">
        <v>0.22149839376812586</v>
      </c>
      <c r="J964" s="62">
        <v>-2.971033416277713E-2</v>
      </c>
    </row>
    <row r="965" spans="1:10" ht="11.25" customHeight="1" x14ac:dyDescent="0.2">
      <c r="A965" s="68" t="s">
        <v>25</v>
      </c>
      <c r="B965" s="61">
        <v>0</v>
      </c>
      <c r="C965" s="61">
        <v>0</v>
      </c>
      <c r="D965" s="61">
        <v>49567090.771439992</v>
      </c>
      <c r="E965" s="61">
        <v>41364963.801800057</v>
      </c>
      <c r="F965" s="61">
        <v>26788369.157279994</v>
      </c>
      <c r="G965" s="61">
        <v>32721949.897285119</v>
      </c>
      <c r="H965" s="62">
        <v>-0.16547525468986979</v>
      </c>
      <c r="I965" s="62">
        <v>0.22149839376812586</v>
      </c>
      <c r="J965" s="62">
        <v>-2.971033416277713E-2</v>
      </c>
    </row>
    <row r="966" spans="1:10" ht="11.25" customHeight="1" x14ac:dyDescent="0.2">
      <c r="A966" s="69" t="s">
        <v>25</v>
      </c>
      <c r="B966" s="61">
        <v>0</v>
      </c>
      <c r="C966" s="61">
        <v>0</v>
      </c>
      <c r="D966" s="61">
        <v>49567090.771439992</v>
      </c>
      <c r="E966" s="61">
        <v>41364963.801800057</v>
      </c>
      <c r="F966" s="61">
        <v>26788369.157279994</v>
      </c>
      <c r="G966" s="61">
        <v>32721949.897285119</v>
      </c>
      <c r="H966" s="62">
        <v>-0.16547525468986979</v>
      </c>
      <c r="I966" s="62">
        <v>0.22149839376812586</v>
      </c>
      <c r="J966" s="62">
        <v>-2.971033416277713E-2</v>
      </c>
    </row>
    <row r="967" spans="1:10" ht="11.25" customHeight="1" x14ac:dyDescent="0.2">
      <c r="A967" s="70" t="s">
        <v>25</v>
      </c>
      <c r="B967" s="61">
        <v>0</v>
      </c>
      <c r="C967" s="61">
        <v>0</v>
      </c>
      <c r="D967" s="61">
        <v>49567090.771439992</v>
      </c>
      <c r="E967" s="61">
        <v>41364963.801800057</v>
      </c>
      <c r="F967" s="61">
        <v>26788369.157279994</v>
      </c>
      <c r="G967" s="61">
        <v>32721949.897285119</v>
      </c>
      <c r="H967" s="62">
        <v>-0.16547525468986979</v>
      </c>
      <c r="I967" s="62">
        <v>0.22149839376812586</v>
      </c>
      <c r="J967" s="62">
        <v>-2.971033416277713E-2</v>
      </c>
    </row>
    <row r="968" spans="1:10" ht="11.25" customHeight="1" x14ac:dyDescent="0.2">
      <c r="A968" s="71">
        <v>44136</v>
      </c>
      <c r="B968" s="61">
        <v>0</v>
      </c>
      <c r="C968" s="61">
        <v>0</v>
      </c>
      <c r="D968" s="61">
        <v>4454214.1963</v>
      </c>
      <c r="E968" s="61">
        <v>3717151.9677240234</v>
      </c>
      <c r="F968" s="61">
        <v>2407265.2305999994</v>
      </c>
      <c r="G968" s="61">
        <v>2940470.6125517562</v>
      </c>
      <c r="H968" s="62">
        <v>-0.1654752546898699</v>
      </c>
      <c r="I968" s="62">
        <v>0.22149839376812586</v>
      </c>
      <c r="J968" s="62">
        <v>-2.971033416277713E-2</v>
      </c>
    </row>
    <row r="969" spans="1:10" ht="11.25" customHeight="1" x14ac:dyDescent="0.2">
      <c r="A969" s="71">
        <v>44166</v>
      </c>
      <c r="B969" s="61">
        <v>0</v>
      </c>
      <c r="C969" s="61">
        <v>0</v>
      </c>
      <c r="D969" s="61">
        <v>4600491.5370700005</v>
      </c>
      <c r="E969" s="61">
        <v>3839224.0282747503</v>
      </c>
      <c r="F969" s="61">
        <v>2486320.3323399997</v>
      </c>
      <c r="G969" s="61">
        <v>3037036.292346342</v>
      </c>
      <c r="H969" s="62">
        <v>-0.16547525468987012</v>
      </c>
      <c r="I969" s="62">
        <v>0.22149839376812563</v>
      </c>
      <c r="J969" s="62">
        <v>-2.9710334162777463E-2</v>
      </c>
    </row>
    <row r="970" spans="1:10" ht="11.25" customHeight="1" x14ac:dyDescent="0.2">
      <c r="A970" s="71">
        <v>44197</v>
      </c>
      <c r="B970" s="61">
        <v>0</v>
      </c>
      <c r="C970" s="61">
        <v>0</v>
      </c>
      <c r="D970" s="61">
        <v>4610786.9132599998</v>
      </c>
      <c r="E970" s="61">
        <v>3847815.7744675819</v>
      </c>
      <c r="F970" s="61">
        <v>2491884.4341199999</v>
      </c>
      <c r="G970" s="61">
        <v>3043832.8337333743</v>
      </c>
      <c r="H970" s="62">
        <v>-0.16547525468987001</v>
      </c>
      <c r="I970" s="62">
        <v>0.22149839376812563</v>
      </c>
      <c r="J970" s="62">
        <v>-2.9710334162777241E-2</v>
      </c>
    </row>
    <row r="971" spans="1:10" ht="11.25" customHeight="1" x14ac:dyDescent="0.2">
      <c r="A971" s="71">
        <v>44228</v>
      </c>
      <c r="B971" s="61">
        <v>0</v>
      </c>
      <c r="C971" s="61">
        <v>0</v>
      </c>
      <c r="D971" s="61">
        <v>4158978.1460699998</v>
      </c>
      <c r="E971" s="61">
        <v>3470770.1780994637</v>
      </c>
      <c r="F971" s="61">
        <v>2247705.8903399999</v>
      </c>
      <c r="G971" s="61">
        <v>2745569.1347134644</v>
      </c>
      <c r="H971" s="62">
        <v>-0.1654752546898699</v>
      </c>
      <c r="I971" s="62">
        <v>0.22149839376812563</v>
      </c>
      <c r="J971" s="62">
        <v>-2.9710334162777352E-2</v>
      </c>
    </row>
    <row r="972" spans="1:10" ht="11.25" customHeight="1" x14ac:dyDescent="0.2">
      <c r="A972" s="71">
        <v>44256</v>
      </c>
      <c r="B972" s="61">
        <v>0</v>
      </c>
      <c r="C972" s="61">
        <v>0</v>
      </c>
      <c r="D972" s="61">
        <v>3778051.7031399999</v>
      </c>
      <c r="E972" s="61">
        <v>3152877.6353314109</v>
      </c>
      <c r="F972" s="61">
        <v>2041835.4626799999</v>
      </c>
      <c r="G972" s="61">
        <v>2494098.7380024171</v>
      </c>
      <c r="H972" s="62">
        <v>-0.16547525468987012</v>
      </c>
      <c r="I972" s="62">
        <v>0.22149839376812541</v>
      </c>
      <c r="J972" s="62">
        <v>-2.9710334162777352E-2</v>
      </c>
    </row>
    <row r="973" spans="1:10" ht="11.25" customHeight="1" x14ac:dyDescent="0.2">
      <c r="A973" s="71">
        <v>44287</v>
      </c>
      <c r="B973" s="61">
        <v>0</v>
      </c>
      <c r="C973" s="61">
        <v>0</v>
      </c>
      <c r="D973" s="61">
        <v>3990582.0516099995</v>
      </c>
      <c r="E973" s="61">
        <v>3330239.4702590117</v>
      </c>
      <c r="F973" s="61">
        <v>2156696.7818200001</v>
      </c>
      <c r="G973" s="61">
        <v>2634401.6548380153</v>
      </c>
      <c r="H973" s="62">
        <v>-0.16547525468986979</v>
      </c>
      <c r="I973" s="62">
        <v>0.22149839376812541</v>
      </c>
      <c r="J973" s="62">
        <v>-2.9710334162777241E-2</v>
      </c>
    </row>
    <row r="974" spans="1:10" ht="11.25" customHeight="1" x14ac:dyDescent="0.2">
      <c r="A974" s="71">
        <v>44317</v>
      </c>
      <c r="B974" s="61">
        <v>0</v>
      </c>
      <c r="C974" s="61">
        <v>0</v>
      </c>
      <c r="D974" s="61">
        <v>4192897.0019199997</v>
      </c>
      <c r="E974" s="61">
        <v>3499076.3026388958</v>
      </c>
      <c r="F974" s="61">
        <v>2266037.2230399996</v>
      </c>
      <c r="G974" s="61">
        <v>2767960.8281621439</v>
      </c>
      <c r="H974" s="62">
        <v>-0.1654752546898699</v>
      </c>
      <c r="I974" s="62">
        <v>0.22149839376812586</v>
      </c>
      <c r="J974" s="62">
        <v>-2.971033416277713E-2</v>
      </c>
    </row>
    <row r="975" spans="1:10" ht="11.25" customHeight="1" x14ac:dyDescent="0.2">
      <c r="A975" s="71">
        <v>44348</v>
      </c>
      <c r="B975" s="61">
        <v>0</v>
      </c>
      <c r="C975" s="61">
        <v>0</v>
      </c>
      <c r="D975" s="61">
        <v>4060200.3268200001</v>
      </c>
      <c r="E975" s="61">
        <v>3388337.6436475674</v>
      </c>
      <c r="F975" s="61">
        <v>2194321.7468399997</v>
      </c>
      <c r="G975" s="61">
        <v>2680360.4891755274</v>
      </c>
      <c r="H975" s="62">
        <v>-0.1654752546898699</v>
      </c>
      <c r="I975" s="62">
        <v>0.22149839376812563</v>
      </c>
      <c r="J975" s="62">
        <v>-2.971033416277713E-2</v>
      </c>
    </row>
    <row r="976" spans="1:10" ht="11.25" customHeight="1" x14ac:dyDescent="0.2">
      <c r="A976" s="71">
        <v>44378</v>
      </c>
      <c r="B976" s="61">
        <v>0</v>
      </c>
      <c r="C976" s="61">
        <v>0</v>
      </c>
      <c r="D976" s="61">
        <v>4242052.7867300007</v>
      </c>
      <c r="E976" s="61">
        <v>3540098.0214379807</v>
      </c>
      <c r="F976" s="61">
        <v>2292603.30326</v>
      </c>
      <c r="G976" s="61">
        <v>2800411.2524795886</v>
      </c>
      <c r="H976" s="62">
        <v>-0.16547525468987012</v>
      </c>
      <c r="I976" s="62">
        <v>0.22149839376812541</v>
      </c>
      <c r="J976" s="62">
        <v>-2.9710334162777574E-2</v>
      </c>
    </row>
    <row r="977" spans="1:10" ht="11.25" customHeight="1" x14ac:dyDescent="0.2">
      <c r="A977" s="71">
        <v>44409</v>
      </c>
      <c r="B977" s="61">
        <v>0</v>
      </c>
      <c r="C977" s="61">
        <v>0</v>
      </c>
      <c r="D977" s="61">
        <v>4154967.6069000005</v>
      </c>
      <c r="E977" s="61">
        <v>3467423.2839200627</v>
      </c>
      <c r="F977" s="61">
        <v>2245538.4077999997</v>
      </c>
      <c r="G977" s="61">
        <v>2742921.5582723338</v>
      </c>
      <c r="H977" s="62">
        <v>-0.16547525468987012</v>
      </c>
      <c r="I977" s="62">
        <v>0.22149839376812563</v>
      </c>
      <c r="J977" s="62">
        <v>-2.9710334162777352E-2</v>
      </c>
    </row>
    <row r="978" spans="1:10" ht="11.25" customHeight="1" x14ac:dyDescent="0.2">
      <c r="A978" s="71">
        <v>44440</v>
      </c>
      <c r="B978" s="61">
        <v>0</v>
      </c>
      <c r="C978" s="61">
        <v>0</v>
      </c>
      <c r="D978" s="61">
        <v>3661934.2508100001</v>
      </c>
      <c r="E978" s="61">
        <v>3055974.7479996569</v>
      </c>
      <c r="F978" s="61">
        <v>1979080.1722199998</v>
      </c>
      <c r="G978" s="61">
        <v>2417443.251505075</v>
      </c>
      <c r="H978" s="62">
        <v>-0.16547525468987001</v>
      </c>
      <c r="I978" s="62">
        <v>0.22149839376812541</v>
      </c>
      <c r="J978" s="62">
        <v>-2.9710334162777352E-2</v>
      </c>
    </row>
    <row r="979" spans="1:10" ht="11.25" customHeight="1" x14ac:dyDescent="0.2">
      <c r="A979" s="71">
        <v>44470</v>
      </c>
      <c r="B979" s="61">
        <v>0</v>
      </c>
      <c r="C979" s="61">
        <v>0</v>
      </c>
      <c r="D979" s="61">
        <v>3661934.2508100001</v>
      </c>
      <c r="E979" s="61">
        <v>3055974.7479996569</v>
      </c>
      <c r="F979" s="61">
        <v>1979080.1722199998</v>
      </c>
      <c r="G979" s="61">
        <v>2417443.251505075</v>
      </c>
      <c r="H979" s="62">
        <v>-0.16547525468987001</v>
      </c>
      <c r="I979" s="62">
        <v>0.22149839376812541</v>
      </c>
      <c r="J979" s="62">
        <v>-2.9710334162777352E-2</v>
      </c>
    </row>
    <row r="980" spans="1:10" ht="11.25" customHeight="1" x14ac:dyDescent="0.2">
      <c r="A980" s="63" t="s">
        <v>65</v>
      </c>
      <c r="B980" s="61">
        <v>36442638.879999995</v>
      </c>
      <c r="C980" s="61">
        <v>44026578.594188787</v>
      </c>
      <c r="D980" s="61">
        <v>0</v>
      </c>
      <c r="E980" s="61">
        <v>0</v>
      </c>
      <c r="F980" s="61">
        <v>0</v>
      </c>
      <c r="G980" s="61">
        <v>0</v>
      </c>
      <c r="H980" s="62">
        <v>0.20810621698284626</v>
      </c>
      <c r="I980" s="62">
        <v>0</v>
      </c>
      <c r="J980" s="62">
        <v>0.20810621698284626</v>
      </c>
    </row>
    <row r="981" spans="1:10" ht="11.25" customHeight="1" x14ac:dyDescent="0.2">
      <c r="A981" s="64" t="s">
        <v>43</v>
      </c>
      <c r="B981" s="61">
        <v>36442638.879999995</v>
      </c>
      <c r="C981" s="61">
        <v>44026578.594188787</v>
      </c>
      <c r="D981" s="61">
        <v>0</v>
      </c>
      <c r="E981" s="61">
        <v>0</v>
      </c>
      <c r="F981" s="61">
        <v>0</v>
      </c>
      <c r="G981" s="61">
        <v>0</v>
      </c>
      <c r="H981" s="62">
        <v>0.20810621698284626</v>
      </c>
      <c r="I981" s="62">
        <v>0</v>
      </c>
      <c r="J981" s="62">
        <v>0.20810621698284626</v>
      </c>
    </row>
    <row r="982" spans="1:10" ht="11.25" customHeight="1" x14ac:dyDescent="0.2">
      <c r="A982" s="65" t="s">
        <v>63</v>
      </c>
      <c r="B982" s="61">
        <v>36442638.879999995</v>
      </c>
      <c r="C982" s="61">
        <v>44026578.594188787</v>
      </c>
      <c r="D982" s="61">
        <v>0</v>
      </c>
      <c r="E982" s="61">
        <v>0</v>
      </c>
      <c r="F982" s="61">
        <v>0</v>
      </c>
      <c r="G982" s="61">
        <v>0</v>
      </c>
      <c r="H982" s="62">
        <v>0.20810621698284626</v>
      </c>
      <c r="I982" s="62">
        <v>0</v>
      </c>
      <c r="J982" s="62">
        <v>0.20810621698284626</v>
      </c>
    </row>
    <row r="983" spans="1:10" ht="11.25" customHeight="1" x14ac:dyDescent="0.2">
      <c r="A983" s="66" t="s">
        <v>25</v>
      </c>
      <c r="B983" s="61">
        <v>36442638.879999995</v>
      </c>
      <c r="C983" s="61">
        <v>44026578.594188787</v>
      </c>
      <c r="D983" s="61">
        <v>0</v>
      </c>
      <c r="E983" s="61">
        <v>0</v>
      </c>
      <c r="F983" s="61">
        <v>0</v>
      </c>
      <c r="G983" s="61">
        <v>0</v>
      </c>
      <c r="H983" s="62">
        <v>0.20810621698284626</v>
      </c>
      <c r="I983" s="62">
        <v>0</v>
      </c>
      <c r="J983" s="62">
        <v>0.20810621698284626</v>
      </c>
    </row>
    <row r="984" spans="1:10" ht="11.25" customHeight="1" x14ac:dyDescent="0.2">
      <c r="A984" s="67" t="s">
        <v>25</v>
      </c>
      <c r="B984" s="61">
        <v>36442638.879999995</v>
      </c>
      <c r="C984" s="61">
        <v>44026578.594188787</v>
      </c>
      <c r="D984" s="61">
        <v>0</v>
      </c>
      <c r="E984" s="61">
        <v>0</v>
      </c>
      <c r="F984" s="61">
        <v>0</v>
      </c>
      <c r="G984" s="61">
        <v>0</v>
      </c>
      <c r="H984" s="62">
        <v>0.20810621698284626</v>
      </c>
      <c r="I984" s="62">
        <v>0</v>
      </c>
      <c r="J984" s="62">
        <v>0.20810621698284626</v>
      </c>
    </row>
    <row r="985" spans="1:10" ht="11.25" customHeight="1" x14ac:dyDescent="0.2">
      <c r="A985" s="68" t="s">
        <v>25</v>
      </c>
      <c r="B985" s="61">
        <v>36442638.879999995</v>
      </c>
      <c r="C985" s="61">
        <v>44026578.594188787</v>
      </c>
      <c r="D985" s="61">
        <v>0</v>
      </c>
      <c r="E985" s="61">
        <v>0</v>
      </c>
      <c r="F985" s="61">
        <v>0</v>
      </c>
      <c r="G985" s="61">
        <v>0</v>
      </c>
      <c r="H985" s="62">
        <v>0.20810621698284626</v>
      </c>
      <c r="I985" s="62">
        <v>0</v>
      </c>
      <c r="J985" s="62">
        <v>0.20810621698284626</v>
      </c>
    </row>
    <row r="986" spans="1:10" ht="11.25" customHeight="1" x14ac:dyDescent="0.2">
      <c r="A986" s="69" t="s">
        <v>64</v>
      </c>
      <c r="B986" s="61">
        <v>14326200</v>
      </c>
      <c r="C986" s="61">
        <v>17307571.285739649</v>
      </c>
      <c r="D986" s="61">
        <v>0</v>
      </c>
      <c r="E986" s="61">
        <v>0</v>
      </c>
      <c r="F986" s="61">
        <v>0</v>
      </c>
      <c r="G986" s="61">
        <v>0</v>
      </c>
      <c r="H986" s="62">
        <v>0.20810621698284604</v>
      </c>
      <c r="I986" s="62">
        <v>0</v>
      </c>
      <c r="J986" s="62">
        <v>0.20810621698284604</v>
      </c>
    </row>
    <row r="987" spans="1:10" ht="11.25" customHeight="1" x14ac:dyDescent="0.2">
      <c r="A987" s="70" t="s">
        <v>25</v>
      </c>
      <c r="B987" s="61">
        <v>14326200</v>
      </c>
      <c r="C987" s="61">
        <v>17307571.285739649</v>
      </c>
      <c r="D987" s="61">
        <v>0</v>
      </c>
      <c r="E987" s="61">
        <v>0</v>
      </c>
      <c r="F987" s="61">
        <v>0</v>
      </c>
      <c r="G987" s="61">
        <v>0</v>
      </c>
      <c r="H987" s="62">
        <v>0.20810621698284604</v>
      </c>
      <c r="I987" s="62">
        <v>0</v>
      </c>
      <c r="J987" s="62">
        <v>0.20810621698284604</v>
      </c>
    </row>
    <row r="988" spans="1:10" ht="11.25" customHeight="1" x14ac:dyDescent="0.2">
      <c r="A988" s="71">
        <v>44136</v>
      </c>
      <c r="B988" s="61">
        <v>1193850</v>
      </c>
      <c r="C988" s="61">
        <v>1442297.6071449707</v>
      </c>
      <c r="D988" s="61">
        <v>0</v>
      </c>
      <c r="E988" s="61">
        <v>0</v>
      </c>
      <c r="F988" s="61">
        <v>0</v>
      </c>
      <c r="G988" s="61">
        <v>0</v>
      </c>
      <c r="H988" s="62">
        <v>0.20810621698284604</v>
      </c>
      <c r="I988" s="62">
        <v>0</v>
      </c>
      <c r="J988" s="62">
        <v>0.20810621698284604</v>
      </c>
    </row>
    <row r="989" spans="1:10" ht="11.25" customHeight="1" x14ac:dyDescent="0.2">
      <c r="A989" s="71">
        <v>44166</v>
      </c>
      <c r="B989" s="61">
        <v>1193850</v>
      </c>
      <c r="C989" s="61">
        <v>1442297.6071449707</v>
      </c>
      <c r="D989" s="61">
        <v>0</v>
      </c>
      <c r="E989" s="61">
        <v>0</v>
      </c>
      <c r="F989" s="61">
        <v>0</v>
      </c>
      <c r="G989" s="61">
        <v>0</v>
      </c>
      <c r="H989" s="62">
        <v>0.20810621698284604</v>
      </c>
      <c r="I989" s="62">
        <v>0</v>
      </c>
      <c r="J989" s="62">
        <v>0.20810621698284604</v>
      </c>
    </row>
    <row r="990" spans="1:10" ht="11.25" customHeight="1" x14ac:dyDescent="0.2">
      <c r="A990" s="71">
        <v>44197</v>
      </c>
      <c r="B990" s="61">
        <v>1193850</v>
      </c>
      <c r="C990" s="61">
        <v>1442297.6071449707</v>
      </c>
      <c r="D990" s="61">
        <v>0</v>
      </c>
      <c r="E990" s="61">
        <v>0</v>
      </c>
      <c r="F990" s="61">
        <v>0</v>
      </c>
      <c r="G990" s="61">
        <v>0</v>
      </c>
      <c r="H990" s="62">
        <v>0.20810621698284604</v>
      </c>
      <c r="I990" s="62">
        <v>0</v>
      </c>
      <c r="J990" s="62">
        <v>0.20810621698284604</v>
      </c>
    </row>
    <row r="991" spans="1:10" ht="11.25" customHeight="1" x14ac:dyDescent="0.2">
      <c r="A991" s="71">
        <v>44228</v>
      </c>
      <c r="B991" s="61">
        <v>1193850</v>
      </c>
      <c r="C991" s="61">
        <v>1442297.6071449707</v>
      </c>
      <c r="D991" s="61">
        <v>0</v>
      </c>
      <c r="E991" s="61">
        <v>0</v>
      </c>
      <c r="F991" s="61">
        <v>0</v>
      </c>
      <c r="G991" s="61">
        <v>0</v>
      </c>
      <c r="H991" s="62">
        <v>0.20810621698284604</v>
      </c>
      <c r="I991" s="62">
        <v>0</v>
      </c>
      <c r="J991" s="62">
        <v>0.20810621698284604</v>
      </c>
    </row>
    <row r="992" spans="1:10" ht="11.25" customHeight="1" x14ac:dyDescent="0.2">
      <c r="A992" s="71">
        <v>44256</v>
      </c>
      <c r="B992" s="61">
        <v>1193850</v>
      </c>
      <c r="C992" s="61">
        <v>1442297.6071449707</v>
      </c>
      <c r="D992" s="61">
        <v>0</v>
      </c>
      <c r="E992" s="61">
        <v>0</v>
      </c>
      <c r="F992" s="61">
        <v>0</v>
      </c>
      <c r="G992" s="61">
        <v>0</v>
      </c>
      <c r="H992" s="62">
        <v>0.20810621698284604</v>
      </c>
      <c r="I992" s="62">
        <v>0</v>
      </c>
      <c r="J992" s="62">
        <v>0.20810621698284604</v>
      </c>
    </row>
    <row r="993" spans="1:10" ht="11.25" customHeight="1" x14ac:dyDescent="0.2">
      <c r="A993" s="71">
        <v>44287</v>
      </c>
      <c r="B993" s="61">
        <v>1193850</v>
      </c>
      <c r="C993" s="61">
        <v>1442297.6071449707</v>
      </c>
      <c r="D993" s="61">
        <v>0</v>
      </c>
      <c r="E993" s="61">
        <v>0</v>
      </c>
      <c r="F993" s="61">
        <v>0</v>
      </c>
      <c r="G993" s="61">
        <v>0</v>
      </c>
      <c r="H993" s="62">
        <v>0.20810621698284604</v>
      </c>
      <c r="I993" s="62">
        <v>0</v>
      </c>
      <c r="J993" s="62">
        <v>0.20810621698284604</v>
      </c>
    </row>
    <row r="994" spans="1:10" ht="11.25" customHeight="1" x14ac:dyDescent="0.2">
      <c r="A994" s="71">
        <v>44317</v>
      </c>
      <c r="B994" s="61">
        <v>1193850</v>
      </c>
      <c r="C994" s="61">
        <v>1442297.6071449707</v>
      </c>
      <c r="D994" s="61">
        <v>0</v>
      </c>
      <c r="E994" s="61">
        <v>0</v>
      </c>
      <c r="F994" s="61">
        <v>0</v>
      </c>
      <c r="G994" s="61">
        <v>0</v>
      </c>
      <c r="H994" s="62">
        <v>0.20810621698284604</v>
      </c>
      <c r="I994" s="62">
        <v>0</v>
      </c>
      <c r="J994" s="62">
        <v>0.20810621698284604</v>
      </c>
    </row>
    <row r="995" spans="1:10" ht="11.25" customHeight="1" x14ac:dyDescent="0.2">
      <c r="A995" s="71">
        <v>44348</v>
      </c>
      <c r="B995" s="61">
        <v>1193850</v>
      </c>
      <c r="C995" s="61">
        <v>1442297.6071449707</v>
      </c>
      <c r="D995" s="61">
        <v>0</v>
      </c>
      <c r="E995" s="61">
        <v>0</v>
      </c>
      <c r="F995" s="61">
        <v>0</v>
      </c>
      <c r="G995" s="61">
        <v>0</v>
      </c>
      <c r="H995" s="62">
        <v>0.20810621698284604</v>
      </c>
      <c r="I995" s="62">
        <v>0</v>
      </c>
      <c r="J995" s="62">
        <v>0.20810621698284604</v>
      </c>
    </row>
    <row r="996" spans="1:10" ht="11.25" customHeight="1" x14ac:dyDescent="0.2">
      <c r="A996" s="71">
        <v>44378</v>
      </c>
      <c r="B996" s="61">
        <v>1193850</v>
      </c>
      <c r="C996" s="61">
        <v>1442297.6071449707</v>
      </c>
      <c r="D996" s="61">
        <v>0</v>
      </c>
      <c r="E996" s="61">
        <v>0</v>
      </c>
      <c r="F996" s="61">
        <v>0</v>
      </c>
      <c r="G996" s="61">
        <v>0</v>
      </c>
      <c r="H996" s="62">
        <v>0.20810621698284604</v>
      </c>
      <c r="I996" s="62">
        <v>0</v>
      </c>
      <c r="J996" s="62">
        <v>0.20810621698284604</v>
      </c>
    </row>
    <row r="997" spans="1:10" ht="11.25" customHeight="1" x14ac:dyDescent="0.2">
      <c r="A997" s="71">
        <v>44409</v>
      </c>
      <c r="B997" s="61">
        <v>1193850</v>
      </c>
      <c r="C997" s="61">
        <v>1442297.6071449707</v>
      </c>
      <c r="D997" s="61">
        <v>0</v>
      </c>
      <c r="E997" s="61">
        <v>0</v>
      </c>
      <c r="F997" s="61">
        <v>0</v>
      </c>
      <c r="G997" s="61">
        <v>0</v>
      </c>
      <c r="H997" s="62">
        <v>0.20810621698284604</v>
      </c>
      <c r="I997" s="62">
        <v>0</v>
      </c>
      <c r="J997" s="62">
        <v>0.20810621698284604</v>
      </c>
    </row>
    <row r="998" spans="1:10" ht="11.25" customHeight="1" x14ac:dyDescent="0.2">
      <c r="A998" s="71">
        <v>44440</v>
      </c>
      <c r="B998" s="61">
        <v>1193850</v>
      </c>
      <c r="C998" s="61">
        <v>1442297.6071449707</v>
      </c>
      <c r="D998" s="61">
        <v>0</v>
      </c>
      <c r="E998" s="61">
        <v>0</v>
      </c>
      <c r="F998" s="61">
        <v>0</v>
      </c>
      <c r="G998" s="61">
        <v>0</v>
      </c>
      <c r="H998" s="62">
        <v>0.20810621698284604</v>
      </c>
      <c r="I998" s="62">
        <v>0</v>
      </c>
      <c r="J998" s="62">
        <v>0.20810621698284604</v>
      </c>
    </row>
    <row r="999" spans="1:10" ht="11.25" customHeight="1" x14ac:dyDescent="0.2">
      <c r="A999" s="71">
        <v>44470</v>
      </c>
      <c r="B999" s="61">
        <v>1193850</v>
      </c>
      <c r="C999" s="61">
        <v>1442297.6071449707</v>
      </c>
      <c r="D999" s="61">
        <v>0</v>
      </c>
      <c r="E999" s="61">
        <v>0</v>
      </c>
      <c r="F999" s="61">
        <v>0</v>
      </c>
      <c r="G999" s="61">
        <v>0</v>
      </c>
      <c r="H999" s="62">
        <v>0.20810621698284604</v>
      </c>
      <c r="I999" s="62">
        <v>0</v>
      </c>
      <c r="J999" s="62">
        <v>0.20810621698284604</v>
      </c>
    </row>
    <row r="1000" spans="1:10" ht="11.25" customHeight="1" x14ac:dyDescent="0.2">
      <c r="A1000" s="69" t="s">
        <v>66</v>
      </c>
      <c r="B1000" s="61">
        <v>5457600</v>
      </c>
      <c r="C1000" s="61">
        <v>6593360.4898055801</v>
      </c>
      <c r="D1000" s="61">
        <v>0</v>
      </c>
      <c r="E1000" s="61">
        <v>0</v>
      </c>
      <c r="F1000" s="61">
        <v>0</v>
      </c>
      <c r="G1000" s="61">
        <v>0</v>
      </c>
      <c r="H1000" s="62">
        <v>0.20810621698284604</v>
      </c>
      <c r="I1000" s="62">
        <v>0</v>
      </c>
      <c r="J1000" s="62">
        <v>0.20810621698284604</v>
      </c>
    </row>
    <row r="1001" spans="1:10" ht="11.25" customHeight="1" x14ac:dyDescent="0.2">
      <c r="A1001" s="70" t="s">
        <v>25</v>
      </c>
      <c r="B1001" s="61">
        <v>5457600</v>
      </c>
      <c r="C1001" s="61">
        <v>6593360.4898055801</v>
      </c>
      <c r="D1001" s="61">
        <v>0</v>
      </c>
      <c r="E1001" s="61">
        <v>0</v>
      </c>
      <c r="F1001" s="61">
        <v>0</v>
      </c>
      <c r="G1001" s="61">
        <v>0</v>
      </c>
      <c r="H1001" s="62">
        <v>0.20810621698284604</v>
      </c>
      <c r="I1001" s="62">
        <v>0</v>
      </c>
      <c r="J1001" s="62">
        <v>0.20810621698284604</v>
      </c>
    </row>
    <row r="1002" spans="1:10" ht="11.25" customHeight="1" x14ac:dyDescent="0.2">
      <c r="A1002" s="71">
        <v>44136</v>
      </c>
      <c r="B1002" s="61">
        <v>454800</v>
      </c>
      <c r="C1002" s="61">
        <v>549446.70748379838</v>
      </c>
      <c r="D1002" s="61">
        <v>0</v>
      </c>
      <c r="E1002" s="61">
        <v>0</v>
      </c>
      <c r="F1002" s="61">
        <v>0</v>
      </c>
      <c r="G1002" s="61">
        <v>0</v>
      </c>
      <c r="H1002" s="62">
        <v>0.20810621698284604</v>
      </c>
      <c r="I1002" s="62">
        <v>0</v>
      </c>
      <c r="J1002" s="62">
        <v>0.20810621698284604</v>
      </c>
    </row>
    <row r="1003" spans="1:10" ht="11.25" customHeight="1" x14ac:dyDescent="0.2">
      <c r="A1003" s="71">
        <v>44166</v>
      </c>
      <c r="B1003" s="61">
        <v>454800</v>
      </c>
      <c r="C1003" s="61">
        <v>549446.70748379838</v>
      </c>
      <c r="D1003" s="61">
        <v>0</v>
      </c>
      <c r="E1003" s="61">
        <v>0</v>
      </c>
      <c r="F1003" s="61">
        <v>0</v>
      </c>
      <c r="G1003" s="61">
        <v>0</v>
      </c>
      <c r="H1003" s="62">
        <v>0.20810621698284604</v>
      </c>
      <c r="I1003" s="62">
        <v>0</v>
      </c>
      <c r="J1003" s="62">
        <v>0.20810621698284604</v>
      </c>
    </row>
    <row r="1004" spans="1:10" ht="11.25" customHeight="1" x14ac:dyDescent="0.2">
      <c r="A1004" s="71">
        <v>44197</v>
      </c>
      <c r="B1004" s="61">
        <v>454800</v>
      </c>
      <c r="C1004" s="61">
        <v>549446.70748379838</v>
      </c>
      <c r="D1004" s="61">
        <v>0</v>
      </c>
      <c r="E1004" s="61">
        <v>0</v>
      </c>
      <c r="F1004" s="61">
        <v>0</v>
      </c>
      <c r="G1004" s="61">
        <v>0</v>
      </c>
      <c r="H1004" s="62">
        <v>0.20810621698284604</v>
      </c>
      <c r="I1004" s="62">
        <v>0</v>
      </c>
      <c r="J1004" s="62">
        <v>0.20810621698284604</v>
      </c>
    </row>
    <row r="1005" spans="1:10" ht="11.25" customHeight="1" x14ac:dyDescent="0.2">
      <c r="A1005" s="71">
        <v>44228</v>
      </c>
      <c r="B1005" s="61">
        <v>454800</v>
      </c>
      <c r="C1005" s="61">
        <v>549446.70748379838</v>
      </c>
      <c r="D1005" s="61">
        <v>0</v>
      </c>
      <c r="E1005" s="61">
        <v>0</v>
      </c>
      <c r="F1005" s="61">
        <v>0</v>
      </c>
      <c r="G1005" s="61">
        <v>0</v>
      </c>
      <c r="H1005" s="62">
        <v>0.20810621698284604</v>
      </c>
      <c r="I1005" s="62">
        <v>0</v>
      </c>
      <c r="J1005" s="62">
        <v>0.20810621698284604</v>
      </c>
    </row>
    <row r="1006" spans="1:10" ht="11.25" customHeight="1" x14ac:dyDescent="0.2">
      <c r="A1006" s="71">
        <v>44256</v>
      </c>
      <c r="B1006" s="61">
        <v>454800</v>
      </c>
      <c r="C1006" s="61">
        <v>549446.70748379838</v>
      </c>
      <c r="D1006" s="61">
        <v>0</v>
      </c>
      <c r="E1006" s="61">
        <v>0</v>
      </c>
      <c r="F1006" s="61">
        <v>0</v>
      </c>
      <c r="G1006" s="61">
        <v>0</v>
      </c>
      <c r="H1006" s="62">
        <v>0.20810621698284604</v>
      </c>
      <c r="I1006" s="62">
        <v>0</v>
      </c>
      <c r="J1006" s="62">
        <v>0.20810621698284604</v>
      </c>
    </row>
    <row r="1007" spans="1:10" ht="11.25" customHeight="1" x14ac:dyDescent="0.2">
      <c r="A1007" s="71">
        <v>44287</v>
      </c>
      <c r="B1007" s="61">
        <v>454800</v>
      </c>
      <c r="C1007" s="61">
        <v>549446.70748379838</v>
      </c>
      <c r="D1007" s="61">
        <v>0</v>
      </c>
      <c r="E1007" s="61">
        <v>0</v>
      </c>
      <c r="F1007" s="61">
        <v>0</v>
      </c>
      <c r="G1007" s="61">
        <v>0</v>
      </c>
      <c r="H1007" s="62">
        <v>0.20810621698284604</v>
      </c>
      <c r="I1007" s="62">
        <v>0</v>
      </c>
      <c r="J1007" s="62">
        <v>0.20810621698284604</v>
      </c>
    </row>
    <row r="1008" spans="1:10" ht="11.25" customHeight="1" x14ac:dyDescent="0.2">
      <c r="A1008" s="71">
        <v>44317</v>
      </c>
      <c r="B1008" s="61">
        <v>454800</v>
      </c>
      <c r="C1008" s="61">
        <v>549446.70748379838</v>
      </c>
      <c r="D1008" s="61">
        <v>0</v>
      </c>
      <c r="E1008" s="61">
        <v>0</v>
      </c>
      <c r="F1008" s="61">
        <v>0</v>
      </c>
      <c r="G1008" s="61">
        <v>0</v>
      </c>
      <c r="H1008" s="62">
        <v>0.20810621698284604</v>
      </c>
      <c r="I1008" s="62">
        <v>0</v>
      </c>
      <c r="J1008" s="62">
        <v>0.20810621698284604</v>
      </c>
    </row>
    <row r="1009" spans="1:10" ht="11.25" customHeight="1" x14ac:dyDescent="0.2">
      <c r="A1009" s="71">
        <v>44348</v>
      </c>
      <c r="B1009" s="61">
        <v>454800</v>
      </c>
      <c r="C1009" s="61">
        <v>549446.70748379838</v>
      </c>
      <c r="D1009" s="61">
        <v>0</v>
      </c>
      <c r="E1009" s="61">
        <v>0</v>
      </c>
      <c r="F1009" s="61">
        <v>0</v>
      </c>
      <c r="G1009" s="61">
        <v>0</v>
      </c>
      <c r="H1009" s="62">
        <v>0.20810621698284604</v>
      </c>
      <c r="I1009" s="62">
        <v>0</v>
      </c>
      <c r="J1009" s="62">
        <v>0.20810621698284604</v>
      </c>
    </row>
    <row r="1010" spans="1:10" ht="11.25" customHeight="1" x14ac:dyDescent="0.2">
      <c r="A1010" s="71">
        <v>44378</v>
      </c>
      <c r="B1010" s="61">
        <v>454800</v>
      </c>
      <c r="C1010" s="61">
        <v>549446.70748379838</v>
      </c>
      <c r="D1010" s="61">
        <v>0</v>
      </c>
      <c r="E1010" s="61">
        <v>0</v>
      </c>
      <c r="F1010" s="61">
        <v>0</v>
      </c>
      <c r="G1010" s="61">
        <v>0</v>
      </c>
      <c r="H1010" s="62">
        <v>0.20810621698284604</v>
      </c>
      <c r="I1010" s="62">
        <v>0</v>
      </c>
      <c r="J1010" s="62">
        <v>0.20810621698284604</v>
      </c>
    </row>
    <row r="1011" spans="1:10" ht="11.25" customHeight="1" x14ac:dyDescent="0.2">
      <c r="A1011" s="71">
        <v>44409</v>
      </c>
      <c r="B1011" s="61">
        <v>454800</v>
      </c>
      <c r="C1011" s="61">
        <v>549446.70748379838</v>
      </c>
      <c r="D1011" s="61">
        <v>0</v>
      </c>
      <c r="E1011" s="61">
        <v>0</v>
      </c>
      <c r="F1011" s="61">
        <v>0</v>
      </c>
      <c r="G1011" s="61">
        <v>0</v>
      </c>
      <c r="H1011" s="62">
        <v>0.20810621698284604</v>
      </c>
      <c r="I1011" s="62">
        <v>0</v>
      </c>
      <c r="J1011" s="62">
        <v>0.20810621698284604</v>
      </c>
    </row>
    <row r="1012" spans="1:10" ht="11.25" customHeight="1" x14ac:dyDescent="0.2">
      <c r="A1012" s="71">
        <v>44440</v>
      </c>
      <c r="B1012" s="61">
        <v>454800</v>
      </c>
      <c r="C1012" s="61">
        <v>549446.70748379838</v>
      </c>
      <c r="D1012" s="61">
        <v>0</v>
      </c>
      <c r="E1012" s="61">
        <v>0</v>
      </c>
      <c r="F1012" s="61">
        <v>0</v>
      </c>
      <c r="G1012" s="61">
        <v>0</v>
      </c>
      <c r="H1012" s="62">
        <v>0.20810621698284604</v>
      </c>
      <c r="I1012" s="62">
        <v>0</v>
      </c>
      <c r="J1012" s="62">
        <v>0.20810621698284604</v>
      </c>
    </row>
    <row r="1013" spans="1:10" ht="11.25" customHeight="1" x14ac:dyDescent="0.2">
      <c r="A1013" s="71">
        <v>44470</v>
      </c>
      <c r="B1013" s="61">
        <v>454800</v>
      </c>
      <c r="C1013" s="61">
        <v>549446.70748379838</v>
      </c>
      <c r="D1013" s="61">
        <v>0</v>
      </c>
      <c r="E1013" s="61">
        <v>0</v>
      </c>
      <c r="F1013" s="61">
        <v>0</v>
      </c>
      <c r="G1013" s="61">
        <v>0</v>
      </c>
      <c r="H1013" s="62">
        <v>0.20810621698284604</v>
      </c>
      <c r="I1013" s="62">
        <v>0</v>
      </c>
      <c r="J1013" s="62">
        <v>0.20810621698284604</v>
      </c>
    </row>
    <row r="1014" spans="1:10" ht="11.25" customHeight="1" x14ac:dyDescent="0.2">
      <c r="A1014" s="69" t="s">
        <v>69</v>
      </c>
      <c r="B1014" s="61">
        <v>5743638.879999999</v>
      </c>
      <c r="C1014" s="61">
        <v>6938925.8390323892</v>
      </c>
      <c r="D1014" s="61">
        <v>0</v>
      </c>
      <c r="E1014" s="61">
        <v>0</v>
      </c>
      <c r="F1014" s="61">
        <v>0</v>
      </c>
      <c r="G1014" s="61">
        <v>0</v>
      </c>
      <c r="H1014" s="62">
        <v>0.20810621698284604</v>
      </c>
      <c r="I1014" s="62">
        <v>0</v>
      </c>
      <c r="J1014" s="62">
        <v>0.20810621698284604</v>
      </c>
    </row>
    <row r="1015" spans="1:10" ht="11.25" customHeight="1" x14ac:dyDescent="0.2">
      <c r="A1015" s="70" t="s">
        <v>25</v>
      </c>
      <c r="B1015" s="61">
        <v>5743638.879999999</v>
      </c>
      <c r="C1015" s="61">
        <v>6938925.8390323892</v>
      </c>
      <c r="D1015" s="61">
        <v>0</v>
      </c>
      <c r="E1015" s="61">
        <v>0</v>
      </c>
      <c r="F1015" s="61">
        <v>0</v>
      </c>
      <c r="G1015" s="61">
        <v>0</v>
      </c>
      <c r="H1015" s="62">
        <v>0.20810621698284604</v>
      </c>
      <c r="I1015" s="62">
        <v>0</v>
      </c>
      <c r="J1015" s="62">
        <v>0.20810621698284604</v>
      </c>
    </row>
    <row r="1016" spans="1:10" ht="11.25" customHeight="1" x14ac:dyDescent="0.2">
      <c r="A1016" s="71">
        <v>44136</v>
      </c>
      <c r="B1016" s="61">
        <v>477540</v>
      </c>
      <c r="C1016" s="61">
        <v>576919.04285798827</v>
      </c>
      <c r="D1016" s="61">
        <v>0</v>
      </c>
      <c r="E1016" s="61">
        <v>0</v>
      </c>
      <c r="F1016" s="61">
        <v>0</v>
      </c>
      <c r="G1016" s="61">
        <v>0</v>
      </c>
      <c r="H1016" s="62">
        <v>0.20810621698284604</v>
      </c>
      <c r="I1016" s="62">
        <v>0</v>
      </c>
      <c r="J1016" s="62">
        <v>0.20810621698284604</v>
      </c>
    </row>
    <row r="1017" spans="1:10" ht="11.25" customHeight="1" x14ac:dyDescent="0.2">
      <c r="A1017" s="71">
        <v>44166</v>
      </c>
      <c r="B1017" s="61">
        <v>477540</v>
      </c>
      <c r="C1017" s="61">
        <v>576919.04285798827</v>
      </c>
      <c r="D1017" s="61">
        <v>0</v>
      </c>
      <c r="E1017" s="61">
        <v>0</v>
      </c>
      <c r="F1017" s="61">
        <v>0</v>
      </c>
      <c r="G1017" s="61">
        <v>0</v>
      </c>
      <c r="H1017" s="62">
        <v>0.20810621698284604</v>
      </c>
      <c r="I1017" s="62">
        <v>0</v>
      </c>
      <c r="J1017" s="62">
        <v>0.20810621698284604</v>
      </c>
    </row>
    <row r="1018" spans="1:10" ht="11.25" customHeight="1" x14ac:dyDescent="0.2">
      <c r="A1018" s="71">
        <v>44197</v>
      </c>
      <c r="B1018" s="61">
        <v>477540</v>
      </c>
      <c r="C1018" s="61">
        <v>576919.04285798827</v>
      </c>
      <c r="D1018" s="61">
        <v>0</v>
      </c>
      <c r="E1018" s="61">
        <v>0</v>
      </c>
      <c r="F1018" s="61">
        <v>0</v>
      </c>
      <c r="G1018" s="61">
        <v>0</v>
      </c>
      <c r="H1018" s="62">
        <v>0.20810621698284604</v>
      </c>
      <c r="I1018" s="62">
        <v>0</v>
      </c>
      <c r="J1018" s="62">
        <v>0.20810621698284604</v>
      </c>
    </row>
    <row r="1019" spans="1:10" ht="11.25" customHeight="1" x14ac:dyDescent="0.2">
      <c r="A1019" s="71">
        <v>44228</v>
      </c>
      <c r="B1019" s="61">
        <v>477540</v>
      </c>
      <c r="C1019" s="61">
        <v>576919.04285798827</v>
      </c>
      <c r="D1019" s="61">
        <v>0</v>
      </c>
      <c r="E1019" s="61">
        <v>0</v>
      </c>
      <c r="F1019" s="61">
        <v>0</v>
      </c>
      <c r="G1019" s="61">
        <v>0</v>
      </c>
      <c r="H1019" s="62">
        <v>0.20810621698284604</v>
      </c>
      <c r="I1019" s="62">
        <v>0</v>
      </c>
      <c r="J1019" s="62">
        <v>0.20810621698284604</v>
      </c>
    </row>
    <row r="1020" spans="1:10" ht="11.25" customHeight="1" x14ac:dyDescent="0.2">
      <c r="A1020" s="71">
        <v>44256</v>
      </c>
      <c r="B1020" s="61">
        <v>477540</v>
      </c>
      <c r="C1020" s="61">
        <v>576919.04285798827</v>
      </c>
      <c r="D1020" s="61">
        <v>0</v>
      </c>
      <c r="E1020" s="61">
        <v>0</v>
      </c>
      <c r="F1020" s="61">
        <v>0</v>
      </c>
      <c r="G1020" s="61">
        <v>0</v>
      </c>
      <c r="H1020" s="62">
        <v>0.20810621698284604</v>
      </c>
      <c r="I1020" s="62">
        <v>0</v>
      </c>
      <c r="J1020" s="62">
        <v>0.20810621698284604</v>
      </c>
    </row>
    <row r="1021" spans="1:10" ht="11.25" customHeight="1" x14ac:dyDescent="0.2">
      <c r="A1021" s="71">
        <v>44287</v>
      </c>
      <c r="B1021" s="61">
        <v>477540</v>
      </c>
      <c r="C1021" s="61">
        <v>576919.04285798827</v>
      </c>
      <c r="D1021" s="61">
        <v>0</v>
      </c>
      <c r="E1021" s="61">
        <v>0</v>
      </c>
      <c r="F1021" s="61">
        <v>0</v>
      </c>
      <c r="G1021" s="61">
        <v>0</v>
      </c>
      <c r="H1021" s="62">
        <v>0.20810621698284604</v>
      </c>
      <c r="I1021" s="62">
        <v>0</v>
      </c>
      <c r="J1021" s="62">
        <v>0.20810621698284604</v>
      </c>
    </row>
    <row r="1022" spans="1:10" ht="11.25" customHeight="1" x14ac:dyDescent="0.2">
      <c r="A1022" s="71">
        <v>44317</v>
      </c>
      <c r="B1022" s="61">
        <v>477540</v>
      </c>
      <c r="C1022" s="61">
        <v>576919.04285798827</v>
      </c>
      <c r="D1022" s="61">
        <v>0</v>
      </c>
      <c r="E1022" s="61">
        <v>0</v>
      </c>
      <c r="F1022" s="61">
        <v>0</v>
      </c>
      <c r="G1022" s="61">
        <v>0</v>
      </c>
      <c r="H1022" s="62">
        <v>0.20810621698284604</v>
      </c>
      <c r="I1022" s="62">
        <v>0</v>
      </c>
      <c r="J1022" s="62">
        <v>0.20810621698284604</v>
      </c>
    </row>
    <row r="1023" spans="1:10" ht="11.25" customHeight="1" x14ac:dyDescent="0.2">
      <c r="A1023" s="71">
        <v>44348</v>
      </c>
      <c r="B1023" s="61">
        <v>477540</v>
      </c>
      <c r="C1023" s="61">
        <v>576919.04285798827</v>
      </c>
      <c r="D1023" s="61">
        <v>0</v>
      </c>
      <c r="E1023" s="61">
        <v>0</v>
      </c>
      <c r="F1023" s="61">
        <v>0</v>
      </c>
      <c r="G1023" s="61">
        <v>0</v>
      </c>
      <c r="H1023" s="62">
        <v>0.20810621698284604</v>
      </c>
      <c r="I1023" s="62">
        <v>0</v>
      </c>
      <c r="J1023" s="62">
        <v>0.20810621698284604</v>
      </c>
    </row>
    <row r="1024" spans="1:10" ht="11.25" customHeight="1" x14ac:dyDescent="0.2">
      <c r="A1024" s="71">
        <v>44378</v>
      </c>
      <c r="B1024" s="61">
        <v>480829.72000000003</v>
      </c>
      <c r="C1024" s="61">
        <v>580893.37404212111</v>
      </c>
      <c r="D1024" s="61">
        <v>0</v>
      </c>
      <c r="E1024" s="61">
        <v>0</v>
      </c>
      <c r="F1024" s="61">
        <v>0</v>
      </c>
      <c r="G1024" s="61">
        <v>0</v>
      </c>
      <c r="H1024" s="62">
        <v>0.20810621698284604</v>
      </c>
      <c r="I1024" s="62">
        <v>0</v>
      </c>
      <c r="J1024" s="62">
        <v>0.20810621698284604</v>
      </c>
    </row>
    <row r="1025" spans="1:10" ht="11.25" customHeight="1" x14ac:dyDescent="0.2">
      <c r="A1025" s="71">
        <v>44409</v>
      </c>
      <c r="B1025" s="61">
        <v>480829.72000000003</v>
      </c>
      <c r="C1025" s="61">
        <v>580893.37404212111</v>
      </c>
      <c r="D1025" s="61">
        <v>0</v>
      </c>
      <c r="E1025" s="61">
        <v>0</v>
      </c>
      <c r="F1025" s="61">
        <v>0</v>
      </c>
      <c r="G1025" s="61">
        <v>0</v>
      </c>
      <c r="H1025" s="62">
        <v>0.20810621698284604</v>
      </c>
      <c r="I1025" s="62">
        <v>0</v>
      </c>
      <c r="J1025" s="62">
        <v>0.20810621698284604</v>
      </c>
    </row>
    <row r="1026" spans="1:10" ht="11.25" customHeight="1" x14ac:dyDescent="0.2">
      <c r="A1026" s="71">
        <v>44440</v>
      </c>
      <c r="B1026" s="61">
        <v>480829.72000000003</v>
      </c>
      <c r="C1026" s="61">
        <v>580893.37404212111</v>
      </c>
      <c r="D1026" s="61">
        <v>0</v>
      </c>
      <c r="E1026" s="61">
        <v>0</v>
      </c>
      <c r="F1026" s="61">
        <v>0</v>
      </c>
      <c r="G1026" s="61">
        <v>0</v>
      </c>
      <c r="H1026" s="62">
        <v>0.20810621698284604</v>
      </c>
      <c r="I1026" s="62">
        <v>0</v>
      </c>
      <c r="J1026" s="62">
        <v>0.20810621698284604</v>
      </c>
    </row>
    <row r="1027" spans="1:10" ht="11.25" customHeight="1" x14ac:dyDescent="0.2">
      <c r="A1027" s="71">
        <v>44470</v>
      </c>
      <c r="B1027" s="61">
        <v>480829.72000000003</v>
      </c>
      <c r="C1027" s="61">
        <v>580893.37404212111</v>
      </c>
      <c r="D1027" s="61">
        <v>0</v>
      </c>
      <c r="E1027" s="61">
        <v>0</v>
      </c>
      <c r="F1027" s="61">
        <v>0</v>
      </c>
      <c r="G1027" s="61">
        <v>0</v>
      </c>
      <c r="H1027" s="62">
        <v>0.20810621698284604</v>
      </c>
      <c r="I1027" s="62">
        <v>0</v>
      </c>
      <c r="J1027" s="62">
        <v>0.20810621698284604</v>
      </c>
    </row>
    <row r="1028" spans="1:10" ht="11.25" customHeight="1" x14ac:dyDescent="0.2">
      <c r="A1028" s="69" t="s">
        <v>68</v>
      </c>
      <c r="B1028" s="61">
        <v>5457600</v>
      </c>
      <c r="C1028" s="61">
        <v>6593360.4898055801</v>
      </c>
      <c r="D1028" s="61">
        <v>0</v>
      </c>
      <c r="E1028" s="61">
        <v>0</v>
      </c>
      <c r="F1028" s="61">
        <v>0</v>
      </c>
      <c r="G1028" s="61">
        <v>0</v>
      </c>
      <c r="H1028" s="62">
        <v>0.20810621698284604</v>
      </c>
      <c r="I1028" s="62">
        <v>0</v>
      </c>
      <c r="J1028" s="62">
        <v>0.20810621698284604</v>
      </c>
    </row>
    <row r="1029" spans="1:10" ht="11.25" customHeight="1" x14ac:dyDescent="0.2">
      <c r="A1029" s="70" t="s">
        <v>25</v>
      </c>
      <c r="B1029" s="61">
        <v>5457600</v>
      </c>
      <c r="C1029" s="61">
        <v>6593360.4898055801</v>
      </c>
      <c r="D1029" s="61">
        <v>0</v>
      </c>
      <c r="E1029" s="61">
        <v>0</v>
      </c>
      <c r="F1029" s="61">
        <v>0</v>
      </c>
      <c r="G1029" s="61">
        <v>0</v>
      </c>
      <c r="H1029" s="62">
        <v>0.20810621698284604</v>
      </c>
      <c r="I1029" s="62">
        <v>0</v>
      </c>
      <c r="J1029" s="62">
        <v>0.20810621698284604</v>
      </c>
    </row>
    <row r="1030" spans="1:10" ht="11.25" customHeight="1" x14ac:dyDescent="0.2">
      <c r="A1030" s="71">
        <v>44136</v>
      </c>
      <c r="B1030" s="61">
        <v>454800</v>
      </c>
      <c r="C1030" s="61">
        <v>549446.70748379838</v>
      </c>
      <c r="D1030" s="61">
        <v>0</v>
      </c>
      <c r="E1030" s="61">
        <v>0</v>
      </c>
      <c r="F1030" s="61">
        <v>0</v>
      </c>
      <c r="G1030" s="61">
        <v>0</v>
      </c>
      <c r="H1030" s="62">
        <v>0.20810621698284604</v>
      </c>
      <c r="I1030" s="62">
        <v>0</v>
      </c>
      <c r="J1030" s="62">
        <v>0.20810621698284604</v>
      </c>
    </row>
    <row r="1031" spans="1:10" ht="11.25" customHeight="1" x14ac:dyDescent="0.2">
      <c r="A1031" s="71">
        <v>44166</v>
      </c>
      <c r="B1031" s="61">
        <v>454800</v>
      </c>
      <c r="C1031" s="61">
        <v>549446.70748379838</v>
      </c>
      <c r="D1031" s="61">
        <v>0</v>
      </c>
      <c r="E1031" s="61">
        <v>0</v>
      </c>
      <c r="F1031" s="61">
        <v>0</v>
      </c>
      <c r="G1031" s="61">
        <v>0</v>
      </c>
      <c r="H1031" s="62">
        <v>0.20810621698284604</v>
      </c>
      <c r="I1031" s="62">
        <v>0</v>
      </c>
      <c r="J1031" s="62">
        <v>0.20810621698284604</v>
      </c>
    </row>
    <row r="1032" spans="1:10" ht="11.25" customHeight="1" x14ac:dyDescent="0.2">
      <c r="A1032" s="71">
        <v>44197</v>
      </c>
      <c r="B1032" s="61">
        <v>454800</v>
      </c>
      <c r="C1032" s="61">
        <v>549446.70748379838</v>
      </c>
      <c r="D1032" s="61">
        <v>0</v>
      </c>
      <c r="E1032" s="61">
        <v>0</v>
      </c>
      <c r="F1032" s="61">
        <v>0</v>
      </c>
      <c r="G1032" s="61">
        <v>0</v>
      </c>
      <c r="H1032" s="62">
        <v>0.20810621698284604</v>
      </c>
      <c r="I1032" s="62">
        <v>0</v>
      </c>
      <c r="J1032" s="62">
        <v>0.20810621698284604</v>
      </c>
    </row>
    <row r="1033" spans="1:10" ht="11.25" customHeight="1" x14ac:dyDescent="0.2">
      <c r="A1033" s="71">
        <v>44228</v>
      </c>
      <c r="B1033" s="61">
        <v>454800</v>
      </c>
      <c r="C1033" s="61">
        <v>549446.70748379838</v>
      </c>
      <c r="D1033" s="61">
        <v>0</v>
      </c>
      <c r="E1033" s="61">
        <v>0</v>
      </c>
      <c r="F1033" s="61">
        <v>0</v>
      </c>
      <c r="G1033" s="61">
        <v>0</v>
      </c>
      <c r="H1033" s="62">
        <v>0.20810621698284604</v>
      </c>
      <c r="I1033" s="62">
        <v>0</v>
      </c>
      <c r="J1033" s="62">
        <v>0.20810621698284604</v>
      </c>
    </row>
    <row r="1034" spans="1:10" ht="11.25" customHeight="1" x14ac:dyDescent="0.2">
      <c r="A1034" s="71">
        <v>44256</v>
      </c>
      <c r="B1034" s="61">
        <v>454800</v>
      </c>
      <c r="C1034" s="61">
        <v>549446.70748379838</v>
      </c>
      <c r="D1034" s="61">
        <v>0</v>
      </c>
      <c r="E1034" s="61">
        <v>0</v>
      </c>
      <c r="F1034" s="61">
        <v>0</v>
      </c>
      <c r="G1034" s="61">
        <v>0</v>
      </c>
      <c r="H1034" s="62">
        <v>0.20810621698284604</v>
      </c>
      <c r="I1034" s="62">
        <v>0</v>
      </c>
      <c r="J1034" s="62">
        <v>0.20810621698284604</v>
      </c>
    </row>
    <row r="1035" spans="1:10" ht="11.25" customHeight="1" x14ac:dyDescent="0.2">
      <c r="A1035" s="71">
        <v>44287</v>
      </c>
      <c r="B1035" s="61">
        <v>454800</v>
      </c>
      <c r="C1035" s="61">
        <v>549446.70748379838</v>
      </c>
      <c r="D1035" s="61">
        <v>0</v>
      </c>
      <c r="E1035" s="61">
        <v>0</v>
      </c>
      <c r="F1035" s="61">
        <v>0</v>
      </c>
      <c r="G1035" s="61">
        <v>0</v>
      </c>
      <c r="H1035" s="62">
        <v>0.20810621698284604</v>
      </c>
      <c r="I1035" s="62">
        <v>0</v>
      </c>
      <c r="J1035" s="62">
        <v>0.20810621698284604</v>
      </c>
    </row>
    <row r="1036" spans="1:10" ht="11.25" customHeight="1" x14ac:dyDescent="0.2">
      <c r="A1036" s="71">
        <v>44317</v>
      </c>
      <c r="B1036" s="61">
        <v>454800</v>
      </c>
      <c r="C1036" s="61">
        <v>549446.70748379838</v>
      </c>
      <c r="D1036" s="61">
        <v>0</v>
      </c>
      <c r="E1036" s="61">
        <v>0</v>
      </c>
      <c r="F1036" s="61">
        <v>0</v>
      </c>
      <c r="G1036" s="61">
        <v>0</v>
      </c>
      <c r="H1036" s="62">
        <v>0.20810621698284604</v>
      </c>
      <c r="I1036" s="62">
        <v>0</v>
      </c>
      <c r="J1036" s="62">
        <v>0.20810621698284604</v>
      </c>
    </row>
    <row r="1037" spans="1:10" ht="11.25" customHeight="1" x14ac:dyDescent="0.2">
      <c r="A1037" s="71">
        <v>44348</v>
      </c>
      <c r="B1037" s="61">
        <v>454800</v>
      </c>
      <c r="C1037" s="61">
        <v>549446.70748379838</v>
      </c>
      <c r="D1037" s="61">
        <v>0</v>
      </c>
      <c r="E1037" s="61">
        <v>0</v>
      </c>
      <c r="F1037" s="61">
        <v>0</v>
      </c>
      <c r="G1037" s="61">
        <v>0</v>
      </c>
      <c r="H1037" s="62">
        <v>0.20810621698284604</v>
      </c>
      <c r="I1037" s="62">
        <v>0</v>
      </c>
      <c r="J1037" s="62">
        <v>0.20810621698284604</v>
      </c>
    </row>
    <row r="1038" spans="1:10" ht="11.25" customHeight="1" x14ac:dyDescent="0.2">
      <c r="A1038" s="71">
        <v>44378</v>
      </c>
      <c r="B1038" s="61">
        <v>454800</v>
      </c>
      <c r="C1038" s="61">
        <v>549446.70748379838</v>
      </c>
      <c r="D1038" s="61">
        <v>0</v>
      </c>
      <c r="E1038" s="61">
        <v>0</v>
      </c>
      <c r="F1038" s="61">
        <v>0</v>
      </c>
      <c r="G1038" s="61">
        <v>0</v>
      </c>
      <c r="H1038" s="62">
        <v>0.20810621698284604</v>
      </c>
      <c r="I1038" s="62">
        <v>0</v>
      </c>
      <c r="J1038" s="62">
        <v>0.20810621698284604</v>
      </c>
    </row>
    <row r="1039" spans="1:10" ht="11.25" customHeight="1" x14ac:dyDescent="0.2">
      <c r="A1039" s="71">
        <v>44409</v>
      </c>
      <c r="B1039" s="61">
        <v>454800</v>
      </c>
      <c r="C1039" s="61">
        <v>549446.70748379838</v>
      </c>
      <c r="D1039" s="61">
        <v>0</v>
      </c>
      <c r="E1039" s="61">
        <v>0</v>
      </c>
      <c r="F1039" s="61">
        <v>0</v>
      </c>
      <c r="G1039" s="61">
        <v>0</v>
      </c>
      <c r="H1039" s="62">
        <v>0.20810621698284604</v>
      </c>
      <c r="I1039" s="62">
        <v>0</v>
      </c>
      <c r="J1039" s="62">
        <v>0.20810621698284604</v>
      </c>
    </row>
    <row r="1040" spans="1:10" ht="11.25" customHeight="1" x14ac:dyDescent="0.2">
      <c r="A1040" s="71">
        <v>44440</v>
      </c>
      <c r="B1040" s="61">
        <v>454800</v>
      </c>
      <c r="C1040" s="61">
        <v>549446.70748379838</v>
      </c>
      <c r="D1040" s="61">
        <v>0</v>
      </c>
      <c r="E1040" s="61">
        <v>0</v>
      </c>
      <c r="F1040" s="61">
        <v>0</v>
      </c>
      <c r="G1040" s="61">
        <v>0</v>
      </c>
      <c r="H1040" s="62">
        <v>0.20810621698284604</v>
      </c>
      <c r="I1040" s="62">
        <v>0</v>
      </c>
      <c r="J1040" s="62">
        <v>0.20810621698284604</v>
      </c>
    </row>
    <row r="1041" spans="1:10" ht="11.25" customHeight="1" x14ac:dyDescent="0.2">
      <c r="A1041" s="71">
        <v>44470</v>
      </c>
      <c r="B1041" s="61">
        <v>454800</v>
      </c>
      <c r="C1041" s="61">
        <v>549446.70748379838</v>
      </c>
      <c r="D1041" s="61">
        <v>0</v>
      </c>
      <c r="E1041" s="61">
        <v>0</v>
      </c>
      <c r="F1041" s="61">
        <v>0</v>
      </c>
      <c r="G1041" s="61">
        <v>0</v>
      </c>
      <c r="H1041" s="62">
        <v>0.20810621698284604</v>
      </c>
      <c r="I1041" s="62">
        <v>0</v>
      </c>
      <c r="J1041" s="62">
        <v>0.20810621698284604</v>
      </c>
    </row>
    <row r="1042" spans="1:10" ht="11.25" customHeight="1" x14ac:dyDescent="0.2">
      <c r="A1042" s="69" t="s">
        <v>67</v>
      </c>
      <c r="B1042" s="61">
        <v>5457600</v>
      </c>
      <c r="C1042" s="61">
        <v>6593360.4898055801</v>
      </c>
      <c r="D1042" s="61">
        <v>0</v>
      </c>
      <c r="E1042" s="61">
        <v>0</v>
      </c>
      <c r="F1042" s="61">
        <v>0</v>
      </c>
      <c r="G1042" s="61">
        <v>0</v>
      </c>
      <c r="H1042" s="62">
        <v>0.20810621698284604</v>
      </c>
      <c r="I1042" s="62">
        <v>0</v>
      </c>
      <c r="J1042" s="62">
        <v>0.20810621698284604</v>
      </c>
    </row>
    <row r="1043" spans="1:10" ht="11.25" customHeight="1" x14ac:dyDescent="0.2">
      <c r="A1043" s="70" t="s">
        <v>25</v>
      </c>
      <c r="B1043" s="61">
        <v>5457600</v>
      </c>
      <c r="C1043" s="61">
        <v>6593360.4898055801</v>
      </c>
      <c r="D1043" s="61">
        <v>0</v>
      </c>
      <c r="E1043" s="61">
        <v>0</v>
      </c>
      <c r="F1043" s="61">
        <v>0</v>
      </c>
      <c r="G1043" s="61">
        <v>0</v>
      </c>
      <c r="H1043" s="62">
        <v>0.20810621698284604</v>
      </c>
      <c r="I1043" s="62">
        <v>0</v>
      </c>
      <c r="J1043" s="62">
        <v>0.20810621698284604</v>
      </c>
    </row>
    <row r="1044" spans="1:10" ht="11.25" customHeight="1" x14ac:dyDescent="0.2">
      <c r="A1044" s="71">
        <v>44136</v>
      </c>
      <c r="B1044" s="61">
        <v>454800</v>
      </c>
      <c r="C1044" s="61">
        <v>549446.70748379838</v>
      </c>
      <c r="D1044" s="61">
        <v>0</v>
      </c>
      <c r="E1044" s="61">
        <v>0</v>
      </c>
      <c r="F1044" s="61">
        <v>0</v>
      </c>
      <c r="G1044" s="61">
        <v>0</v>
      </c>
      <c r="H1044" s="62">
        <v>0.20810621698284604</v>
      </c>
      <c r="I1044" s="62">
        <v>0</v>
      </c>
      <c r="J1044" s="62">
        <v>0.20810621698284604</v>
      </c>
    </row>
    <row r="1045" spans="1:10" ht="11.25" customHeight="1" x14ac:dyDescent="0.2">
      <c r="A1045" s="71">
        <v>44166</v>
      </c>
      <c r="B1045" s="61">
        <v>454800</v>
      </c>
      <c r="C1045" s="61">
        <v>549446.70748379838</v>
      </c>
      <c r="D1045" s="61">
        <v>0</v>
      </c>
      <c r="E1045" s="61">
        <v>0</v>
      </c>
      <c r="F1045" s="61">
        <v>0</v>
      </c>
      <c r="G1045" s="61">
        <v>0</v>
      </c>
      <c r="H1045" s="62">
        <v>0.20810621698284604</v>
      </c>
      <c r="I1045" s="62">
        <v>0</v>
      </c>
      <c r="J1045" s="62">
        <v>0.20810621698284604</v>
      </c>
    </row>
    <row r="1046" spans="1:10" ht="11.25" customHeight="1" x14ac:dyDescent="0.2">
      <c r="A1046" s="71">
        <v>44197</v>
      </c>
      <c r="B1046" s="61">
        <v>454800</v>
      </c>
      <c r="C1046" s="61">
        <v>549446.70748379838</v>
      </c>
      <c r="D1046" s="61">
        <v>0</v>
      </c>
      <c r="E1046" s="61">
        <v>0</v>
      </c>
      <c r="F1046" s="61">
        <v>0</v>
      </c>
      <c r="G1046" s="61">
        <v>0</v>
      </c>
      <c r="H1046" s="62">
        <v>0.20810621698284604</v>
      </c>
      <c r="I1046" s="62">
        <v>0</v>
      </c>
      <c r="J1046" s="62">
        <v>0.20810621698284604</v>
      </c>
    </row>
    <row r="1047" spans="1:10" ht="11.25" customHeight="1" x14ac:dyDescent="0.2">
      <c r="A1047" s="71">
        <v>44228</v>
      </c>
      <c r="B1047" s="61">
        <v>454800</v>
      </c>
      <c r="C1047" s="61">
        <v>549446.70748379838</v>
      </c>
      <c r="D1047" s="61">
        <v>0</v>
      </c>
      <c r="E1047" s="61">
        <v>0</v>
      </c>
      <c r="F1047" s="61">
        <v>0</v>
      </c>
      <c r="G1047" s="61">
        <v>0</v>
      </c>
      <c r="H1047" s="62">
        <v>0.20810621698284604</v>
      </c>
      <c r="I1047" s="62">
        <v>0</v>
      </c>
      <c r="J1047" s="62">
        <v>0.20810621698284604</v>
      </c>
    </row>
    <row r="1048" spans="1:10" ht="11.25" customHeight="1" x14ac:dyDescent="0.2">
      <c r="A1048" s="71">
        <v>44256</v>
      </c>
      <c r="B1048" s="61">
        <v>454800</v>
      </c>
      <c r="C1048" s="61">
        <v>549446.70748379838</v>
      </c>
      <c r="D1048" s="61">
        <v>0</v>
      </c>
      <c r="E1048" s="61">
        <v>0</v>
      </c>
      <c r="F1048" s="61">
        <v>0</v>
      </c>
      <c r="G1048" s="61">
        <v>0</v>
      </c>
      <c r="H1048" s="62">
        <v>0.20810621698284604</v>
      </c>
      <c r="I1048" s="62">
        <v>0</v>
      </c>
      <c r="J1048" s="62">
        <v>0.20810621698284604</v>
      </c>
    </row>
    <row r="1049" spans="1:10" ht="11.25" customHeight="1" x14ac:dyDescent="0.2">
      <c r="A1049" s="71">
        <v>44287</v>
      </c>
      <c r="B1049" s="61">
        <v>454800</v>
      </c>
      <c r="C1049" s="61">
        <v>549446.70748379838</v>
      </c>
      <c r="D1049" s="61">
        <v>0</v>
      </c>
      <c r="E1049" s="61">
        <v>0</v>
      </c>
      <c r="F1049" s="61">
        <v>0</v>
      </c>
      <c r="G1049" s="61">
        <v>0</v>
      </c>
      <c r="H1049" s="62">
        <v>0.20810621698284604</v>
      </c>
      <c r="I1049" s="62">
        <v>0</v>
      </c>
      <c r="J1049" s="62">
        <v>0.20810621698284604</v>
      </c>
    </row>
    <row r="1050" spans="1:10" ht="11.25" customHeight="1" x14ac:dyDescent="0.2">
      <c r="A1050" s="71">
        <v>44317</v>
      </c>
      <c r="B1050" s="61">
        <v>454800</v>
      </c>
      <c r="C1050" s="61">
        <v>549446.70748379838</v>
      </c>
      <c r="D1050" s="61">
        <v>0</v>
      </c>
      <c r="E1050" s="61">
        <v>0</v>
      </c>
      <c r="F1050" s="61">
        <v>0</v>
      </c>
      <c r="G1050" s="61">
        <v>0</v>
      </c>
      <c r="H1050" s="62">
        <v>0.20810621698284604</v>
      </c>
      <c r="I1050" s="62">
        <v>0</v>
      </c>
      <c r="J1050" s="62">
        <v>0.20810621698284604</v>
      </c>
    </row>
    <row r="1051" spans="1:10" ht="11.25" customHeight="1" x14ac:dyDescent="0.2">
      <c r="A1051" s="71">
        <v>44348</v>
      </c>
      <c r="B1051" s="61">
        <v>454800</v>
      </c>
      <c r="C1051" s="61">
        <v>549446.70748379838</v>
      </c>
      <c r="D1051" s="61">
        <v>0</v>
      </c>
      <c r="E1051" s="61">
        <v>0</v>
      </c>
      <c r="F1051" s="61">
        <v>0</v>
      </c>
      <c r="G1051" s="61">
        <v>0</v>
      </c>
      <c r="H1051" s="62">
        <v>0.20810621698284604</v>
      </c>
      <c r="I1051" s="62">
        <v>0</v>
      </c>
      <c r="J1051" s="62">
        <v>0.20810621698284604</v>
      </c>
    </row>
    <row r="1052" spans="1:10" ht="11.25" customHeight="1" x14ac:dyDescent="0.2">
      <c r="A1052" s="71">
        <v>44378</v>
      </c>
      <c r="B1052" s="61">
        <v>454800</v>
      </c>
      <c r="C1052" s="61">
        <v>549446.70748379838</v>
      </c>
      <c r="D1052" s="61">
        <v>0</v>
      </c>
      <c r="E1052" s="61">
        <v>0</v>
      </c>
      <c r="F1052" s="61">
        <v>0</v>
      </c>
      <c r="G1052" s="61">
        <v>0</v>
      </c>
      <c r="H1052" s="62">
        <v>0.20810621698284604</v>
      </c>
      <c r="I1052" s="62">
        <v>0</v>
      </c>
      <c r="J1052" s="62">
        <v>0.20810621698284604</v>
      </c>
    </row>
    <row r="1053" spans="1:10" ht="11.25" customHeight="1" x14ac:dyDescent="0.2">
      <c r="A1053" s="71">
        <v>44409</v>
      </c>
      <c r="B1053" s="61">
        <v>454800</v>
      </c>
      <c r="C1053" s="61">
        <v>549446.70748379838</v>
      </c>
      <c r="D1053" s="61">
        <v>0</v>
      </c>
      <c r="E1053" s="61">
        <v>0</v>
      </c>
      <c r="F1053" s="61">
        <v>0</v>
      </c>
      <c r="G1053" s="61">
        <v>0</v>
      </c>
      <c r="H1053" s="62">
        <v>0.20810621698284604</v>
      </c>
      <c r="I1053" s="62">
        <v>0</v>
      </c>
      <c r="J1053" s="62">
        <v>0.20810621698284604</v>
      </c>
    </row>
    <row r="1054" spans="1:10" ht="11.25" customHeight="1" x14ac:dyDescent="0.2">
      <c r="A1054" s="71">
        <v>44440</v>
      </c>
      <c r="B1054" s="61">
        <v>454800</v>
      </c>
      <c r="C1054" s="61">
        <v>549446.70748379838</v>
      </c>
      <c r="D1054" s="61">
        <v>0</v>
      </c>
      <c r="E1054" s="61">
        <v>0</v>
      </c>
      <c r="F1054" s="61">
        <v>0</v>
      </c>
      <c r="G1054" s="61">
        <v>0</v>
      </c>
      <c r="H1054" s="62">
        <v>0.20810621698284604</v>
      </c>
      <c r="I1054" s="62">
        <v>0</v>
      </c>
      <c r="J1054" s="62">
        <v>0.20810621698284604</v>
      </c>
    </row>
    <row r="1055" spans="1:10" ht="11.25" customHeight="1" x14ac:dyDescent="0.2">
      <c r="A1055" s="71">
        <v>44470</v>
      </c>
      <c r="B1055" s="61">
        <v>454800</v>
      </c>
      <c r="C1055" s="61">
        <v>549446.70748379838</v>
      </c>
      <c r="D1055" s="61">
        <v>0</v>
      </c>
      <c r="E1055" s="61">
        <v>0</v>
      </c>
      <c r="F1055" s="61">
        <v>0</v>
      </c>
      <c r="G1055" s="61">
        <v>0</v>
      </c>
      <c r="H1055" s="62">
        <v>0.20810621698284604</v>
      </c>
      <c r="I1055" s="62">
        <v>0</v>
      </c>
      <c r="J1055" s="62">
        <v>0.20810621698284604</v>
      </c>
    </row>
    <row r="1056" spans="1:10" ht="11.25" customHeight="1" x14ac:dyDescent="0.2">
      <c r="A1056" s="63" t="s">
        <v>60</v>
      </c>
      <c r="B1056" s="61">
        <v>77663123.182227001</v>
      </c>
      <c r="C1056" s="61">
        <v>86250910.977017045</v>
      </c>
      <c r="D1056" s="61">
        <v>178893110.84529611</v>
      </c>
      <c r="E1056" s="61">
        <v>103711727.0139357</v>
      </c>
      <c r="F1056" s="61">
        <v>0</v>
      </c>
      <c r="G1056" s="61">
        <v>0</v>
      </c>
      <c r="H1056" s="62">
        <v>-0.25956724960901267</v>
      </c>
      <c r="I1056" s="62">
        <v>0</v>
      </c>
      <c r="J1056" s="62">
        <v>-0.25956724960901267</v>
      </c>
    </row>
    <row r="1057" spans="1:10" ht="11.25" customHeight="1" x14ac:dyDescent="0.2">
      <c r="A1057" s="64" t="s">
        <v>43</v>
      </c>
      <c r="B1057" s="61">
        <v>29492451.739311978</v>
      </c>
      <c r="C1057" s="61">
        <v>32394774.526538033</v>
      </c>
      <c r="D1057" s="61">
        <v>57379947.907458007</v>
      </c>
      <c r="E1057" s="61">
        <v>43532607.286157705</v>
      </c>
      <c r="F1057" s="61">
        <v>0</v>
      </c>
      <c r="G1057" s="61">
        <v>0</v>
      </c>
      <c r="H1057" s="62">
        <v>-0.12598958793100623</v>
      </c>
      <c r="I1057" s="62">
        <v>0</v>
      </c>
      <c r="J1057" s="62">
        <v>-0.12598958793100623</v>
      </c>
    </row>
    <row r="1058" spans="1:10" ht="11.25" customHeight="1" x14ac:dyDescent="0.2">
      <c r="A1058" s="65" t="s">
        <v>44</v>
      </c>
      <c r="B1058" s="61">
        <v>29492451.739311978</v>
      </c>
      <c r="C1058" s="61">
        <v>32394774.526538033</v>
      </c>
      <c r="D1058" s="61">
        <v>57379947.907458007</v>
      </c>
      <c r="E1058" s="61">
        <v>43532607.286157705</v>
      </c>
      <c r="F1058" s="61">
        <v>0</v>
      </c>
      <c r="G1058" s="61">
        <v>0</v>
      </c>
      <c r="H1058" s="62">
        <v>-0.12598958793100623</v>
      </c>
      <c r="I1058" s="62">
        <v>0</v>
      </c>
      <c r="J1058" s="62">
        <v>-0.12598958793100623</v>
      </c>
    </row>
    <row r="1059" spans="1:10" ht="11.25" customHeight="1" x14ac:dyDescent="0.2">
      <c r="A1059" s="66" t="s">
        <v>45</v>
      </c>
      <c r="B1059" s="61">
        <v>2015368.7999999991</v>
      </c>
      <c r="C1059" s="61">
        <v>2213705.8810803187</v>
      </c>
      <c r="D1059" s="61">
        <v>2268653.5395</v>
      </c>
      <c r="E1059" s="61">
        <v>1721165.7940625062</v>
      </c>
      <c r="F1059" s="61">
        <v>0</v>
      </c>
      <c r="G1059" s="61">
        <v>0</v>
      </c>
      <c r="H1059" s="62">
        <v>-8.1500663789238037E-2</v>
      </c>
      <c r="I1059" s="62">
        <v>0</v>
      </c>
      <c r="J1059" s="62">
        <v>-8.1500663789238037E-2</v>
      </c>
    </row>
    <row r="1060" spans="1:10" ht="11.25" customHeight="1" x14ac:dyDescent="0.2">
      <c r="A1060" s="67" t="s">
        <v>25</v>
      </c>
      <c r="B1060" s="61">
        <v>2015368.7999999991</v>
      </c>
      <c r="C1060" s="61">
        <v>2213705.8810803187</v>
      </c>
      <c r="D1060" s="61">
        <v>2268653.5395</v>
      </c>
      <c r="E1060" s="61">
        <v>1721165.7940625062</v>
      </c>
      <c r="F1060" s="61">
        <v>0</v>
      </c>
      <c r="G1060" s="61">
        <v>0</v>
      </c>
      <c r="H1060" s="62">
        <v>-8.1500663789238037E-2</v>
      </c>
      <c r="I1060" s="62">
        <v>0</v>
      </c>
      <c r="J1060" s="62">
        <v>-8.1500663789238037E-2</v>
      </c>
    </row>
    <row r="1061" spans="1:10" ht="11.25" customHeight="1" x14ac:dyDescent="0.2">
      <c r="A1061" s="68" t="s">
        <v>25</v>
      </c>
      <c r="B1061" s="61">
        <v>2015368.7999999991</v>
      </c>
      <c r="C1061" s="61">
        <v>2213705.8810803187</v>
      </c>
      <c r="D1061" s="61">
        <v>2268653.5395</v>
      </c>
      <c r="E1061" s="61">
        <v>1721165.7940625062</v>
      </c>
      <c r="F1061" s="61">
        <v>0</v>
      </c>
      <c r="G1061" s="61">
        <v>0</v>
      </c>
      <c r="H1061" s="62">
        <v>-8.1500663789238037E-2</v>
      </c>
      <c r="I1061" s="62">
        <v>0</v>
      </c>
      <c r="J1061" s="62">
        <v>-8.1500663789238037E-2</v>
      </c>
    </row>
    <row r="1062" spans="1:10" ht="11.25" customHeight="1" x14ac:dyDescent="0.2">
      <c r="A1062" s="69" t="s">
        <v>25</v>
      </c>
      <c r="B1062" s="61">
        <v>2015368.7999999991</v>
      </c>
      <c r="C1062" s="61">
        <v>2213705.8810803187</v>
      </c>
      <c r="D1062" s="61">
        <v>2268653.5395</v>
      </c>
      <c r="E1062" s="61">
        <v>1721165.7940625062</v>
      </c>
      <c r="F1062" s="61">
        <v>0</v>
      </c>
      <c r="G1062" s="61">
        <v>0</v>
      </c>
      <c r="H1062" s="62">
        <v>-8.1500663789238037E-2</v>
      </c>
      <c r="I1062" s="62">
        <v>0</v>
      </c>
      <c r="J1062" s="62">
        <v>-8.1500663789238037E-2</v>
      </c>
    </row>
    <row r="1063" spans="1:10" ht="11.25" customHeight="1" x14ac:dyDescent="0.2">
      <c r="A1063" s="70" t="s">
        <v>38</v>
      </c>
      <c r="B1063" s="61">
        <v>935740</v>
      </c>
      <c r="C1063" s="61">
        <v>1027701.9144075254</v>
      </c>
      <c r="D1063" s="61">
        <v>0</v>
      </c>
      <c r="E1063" s="61">
        <v>0</v>
      </c>
      <c r="F1063" s="61">
        <v>0</v>
      </c>
      <c r="G1063" s="61">
        <v>0</v>
      </c>
      <c r="H1063" s="62">
        <v>9.827720777943183E-2</v>
      </c>
      <c r="I1063" s="62">
        <v>0</v>
      </c>
      <c r="J1063" s="62">
        <v>9.827720777943183E-2</v>
      </c>
    </row>
    <row r="1064" spans="1:10" ht="11.25" customHeight="1" x14ac:dyDescent="0.2">
      <c r="A1064" s="71">
        <v>44136</v>
      </c>
      <c r="B1064" s="61">
        <v>82895</v>
      </c>
      <c r="C1064" s="61">
        <v>91041.689138876027</v>
      </c>
      <c r="D1064" s="61">
        <v>0</v>
      </c>
      <c r="E1064" s="61">
        <v>0</v>
      </c>
      <c r="F1064" s="61">
        <v>0</v>
      </c>
      <c r="G1064" s="61">
        <v>0</v>
      </c>
      <c r="H1064" s="62">
        <v>9.8277207779432052E-2</v>
      </c>
      <c r="I1064" s="62">
        <v>0</v>
      </c>
      <c r="J1064" s="62">
        <v>9.8277207779432052E-2</v>
      </c>
    </row>
    <row r="1065" spans="1:10" ht="11.25" customHeight="1" x14ac:dyDescent="0.2">
      <c r="A1065" s="71">
        <v>44166</v>
      </c>
      <c r="B1065" s="61">
        <v>82895</v>
      </c>
      <c r="C1065" s="61">
        <v>91041.689138876027</v>
      </c>
      <c r="D1065" s="61">
        <v>0</v>
      </c>
      <c r="E1065" s="61">
        <v>0</v>
      </c>
      <c r="F1065" s="61">
        <v>0</v>
      </c>
      <c r="G1065" s="61">
        <v>0</v>
      </c>
      <c r="H1065" s="62">
        <v>9.8277207779432052E-2</v>
      </c>
      <c r="I1065" s="62">
        <v>0</v>
      </c>
      <c r="J1065" s="62">
        <v>9.8277207779432052E-2</v>
      </c>
    </row>
    <row r="1066" spans="1:10" ht="11.25" customHeight="1" x14ac:dyDescent="0.2">
      <c r="A1066" s="71">
        <v>44197</v>
      </c>
      <c r="B1066" s="61">
        <v>76995</v>
      </c>
      <c r="C1066" s="61">
        <v>84561.853612977371</v>
      </c>
      <c r="D1066" s="61">
        <v>0</v>
      </c>
      <c r="E1066" s="61">
        <v>0</v>
      </c>
      <c r="F1066" s="61">
        <v>0</v>
      </c>
      <c r="G1066" s="61">
        <v>0</v>
      </c>
      <c r="H1066" s="62">
        <v>9.8277207779432052E-2</v>
      </c>
      <c r="I1066" s="62">
        <v>0</v>
      </c>
      <c r="J1066" s="62">
        <v>9.8277207779432052E-2</v>
      </c>
    </row>
    <row r="1067" spans="1:10" ht="11.25" customHeight="1" x14ac:dyDescent="0.2">
      <c r="A1067" s="71">
        <v>44228</v>
      </c>
      <c r="B1067" s="61">
        <v>76995</v>
      </c>
      <c r="C1067" s="61">
        <v>84561.853612977371</v>
      </c>
      <c r="D1067" s="61">
        <v>0</v>
      </c>
      <c r="E1067" s="61">
        <v>0</v>
      </c>
      <c r="F1067" s="61">
        <v>0</v>
      </c>
      <c r="G1067" s="61">
        <v>0</v>
      </c>
      <c r="H1067" s="62">
        <v>9.8277207779432052E-2</v>
      </c>
      <c r="I1067" s="62">
        <v>0</v>
      </c>
      <c r="J1067" s="62">
        <v>9.8277207779432052E-2</v>
      </c>
    </row>
    <row r="1068" spans="1:10" ht="11.25" customHeight="1" x14ac:dyDescent="0.2">
      <c r="A1068" s="71">
        <v>44256</v>
      </c>
      <c r="B1068" s="61">
        <v>76995</v>
      </c>
      <c r="C1068" s="61">
        <v>84561.853612977371</v>
      </c>
      <c r="D1068" s="61">
        <v>0</v>
      </c>
      <c r="E1068" s="61">
        <v>0</v>
      </c>
      <c r="F1068" s="61">
        <v>0</v>
      </c>
      <c r="G1068" s="61">
        <v>0</v>
      </c>
      <c r="H1068" s="62">
        <v>9.8277207779432052E-2</v>
      </c>
      <c r="I1068" s="62">
        <v>0</v>
      </c>
      <c r="J1068" s="62">
        <v>9.8277207779432052E-2</v>
      </c>
    </row>
    <row r="1069" spans="1:10" ht="11.25" customHeight="1" x14ac:dyDescent="0.2">
      <c r="A1069" s="71">
        <v>44287</v>
      </c>
      <c r="B1069" s="61">
        <v>76995</v>
      </c>
      <c r="C1069" s="61">
        <v>84561.853612977371</v>
      </c>
      <c r="D1069" s="61">
        <v>0</v>
      </c>
      <c r="E1069" s="61">
        <v>0</v>
      </c>
      <c r="F1069" s="61">
        <v>0</v>
      </c>
      <c r="G1069" s="61">
        <v>0</v>
      </c>
      <c r="H1069" s="62">
        <v>9.8277207779432052E-2</v>
      </c>
      <c r="I1069" s="62">
        <v>0</v>
      </c>
      <c r="J1069" s="62">
        <v>9.8277207779432052E-2</v>
      </c>
    </row>
    <row r="1070" spans="1:10" ht="11.25" customHeight="1" x14ac:dyDescent="0.2">
      <c r="A1070" s="71">
        <v>44317</v>
      </c>
      <c r="B1070" s="61">
        <v>76995</v>
      </c>
      <c r="C1070" s="61">
        <v>84561.853612977371</v>
      </c>
      <c r="D1070" s="61">
        <v>0</v>
      </c>
      <c r="E1070" s="61">
        <v>0</v>
      </c>
      <c r="F1070" s="61">
        <v>0</v>
      </c>
      <c r="G1070" s="61">
        <v>0</v>
      </c>
      <c r="H1070" s="62">
        <v>9.8277207779432052E-2</v>
      </c>
      <c r="I1070" s="62">
        <v>0</v>
      </c>
      <c r="J1070" s="62">
        <v>9.8277207779432052E-2</v>
      </c>
    </row>
    <row r="1071" spans="1:10" ht="11.25" customHeight="1" x14ac:dyDescent="0.2">
      <c r="A1071" s="71">
        <v>44348</v>
      </c>
      <c r="B1071" s="61">
        <v>76995</v>
      </c>
      <c r="C1071" s="61">
        <v>84561.853612977371</v>
      </c>
      <c r="D1071" s="61">
        <v>0</v>
      </c>
      <c r="E1071" s="61">
        <v>0</v>
      </c>
      <c r="F1071" s="61">
        <v>0</v>
      </c>
      <c r="G1071" s="61">
        <v>0</v>
      </c>
      <c r="H1071" s="62">
        <v>9.8277207779432052E-2</v>
      </c>
      <c r="I1071" s="62">
        <v>0</v>
      </c>
      <c r="J1071" s="62">
        <v>9.8277207779432052E-2</v>
      </c>
    </row>
    <row r="1072" spans="1:10" ht="11.25" customHeight="1" x14ac:dyDescent="0.2">
      <c r="A1072" s="71">
        <v>44378</v>
      </c>
      <c r="B1072" s="61">
        <v>76995</v>
      </c>
      <c r="C1072" s="61">
        <v>84561.853612977371</v>
      </c>
      <c r="D1072" s="61">
        <v>0</v>
      </c>
      <c r="E1072" s="61">
        <v>0</v>
      </c>
      <c r="F1072" s="61">
        <v>0</v>
      </c>
      <c r="G1072" s="61">
        <v>0</v>
      </c>
      <c r="H1072" s="62">
        <v>9.8277207779432052E-2</v>
      </c>
      <c r="I1072" s="62">
        <v>0</v>
      </c>
      <c r="J1072" s="62">
        <v>9.8277207779432052E-2</v>
      </c>
    </row>
    <row r="1073" spans="1:10" ht="11.25" customHeight="1" x14ac:dyDescent="0.2">
      <c r="A1073" s="71">
        <v>44409</v>
      </c>
      <c r="B1073" s="61">
        <v>76995</v>
      </c>
      <c r="C1073" s="61">
        <v>84561.853612977371</v>
      </c>
      <c r="D1073" s="61">
        <v>0</v>
      </c>
      <c r="E1073" s="61">
        <v>0</v>
      </c>
      <c r="F1073" s="61">
        <v>0</v>
      </c>
      <c r="G1073" s="61">
        <v>0</v>
      </c>
      <c r="H1073" s="62">
        <v>9.8277207779432052E-2</v>
      </c>
      <c r="I1073" s="62">
        <v>0</v>
      </c>
      <c r="J1073" s="62">
        <v>9.8277207779432052E-2</v>
      </c>
    </row>
    <row r="1074" spans="1:10" ht="11.25" customHeight="1" x14ac:dyDescent="0.2">
      <c r="A1074" s="71">
        <v>44440</v>
      </c>
      <c r="B1074" s="61">
        <v>76995</v>
      </c>
      <c r="C1074" s="61">
        <v>84561.853612977371</v>
      </c>
      <c r="D1074" s="61">
        <v>0</v>
      </c>
      <c r="E1074" s="61">
        <v>0</v>
      </c>
      <c r="F1074" s="61">
        <v>0</v>
      </c>
      <c r="G1074" s="61">
        <v>0</v>
      </c>
      <c r="H1074" s="62">
        <v>9.8277207779432052E-2</v>
      </c>
      <c r="I1074" s="62">
        <v>0</v>
      </c>
      <c r="J1074" s="62">
        <v>9.8277207779432052E-2</v>
      </c>
    </row>
    <row r="1075" spans="1:10" ht="11.25" customHeight="1" x14ac:dyDescent="0.2">
      <c r="A1075" s="71">
        <v>44470</v>
      </c>
      <c r="B1075" s="61">
        <v>76995</v>
      </c>
      <c r="C1075" s="61">
        <v>84561.853612977371</v>
      </c>
      <c r="D1075" s="61">
        <v>0</v>
      </c>
      <c r="E1075" s="61">
        <v>0</v>
      </c>
      <c r="F1075" s="61">
        <v>0</v>
      </c>
      <c r="G1075" s="61">
        <v>0</v>
      </c>
      <c r="H1075" s="62">
        <v>9.8277207779432052E-2</v>
      </c>
      <c r="I1075" s="62">
        <v>0</v>
      </c>
      <c r="J1075" s="62">
        <v>9.8277207779432052E-2</v>
      </c>
    </row>
    <row r="1076" spans="1:10" ht="11.25" customHeight="1" x14ac:dyDescent="0.2">
      <c r="A1076" s="70" t="s">
        <v>25</v>
      </c>
      <c r="B1076" s="61">
        <v>0</v>
      </c>
      <c r="C1076" s="61">
        <v>0</v>
      </c>
      <c r="D1076" s="61">
        <v>2268653.5395</v>
      </c>
      <c r="E1076" s="61">
        <v>1721165.7940625062</v>
      </c>
      <c r="F1076" s="61">
        <v>0</v>
      </c>
      <c r="G1076" s="61">
        <v>0</v>
      </c>
      <c r="H1076" s="62">
        <v>-0.24132717310293106</v>
      </c>
      <c r="I1076" s="62">
        <v>0</v>
      </c>
      <c r="J1076" s="62">
        <v>-0.24132717310293106</v>
      </c>
    </row>
    <row r="1077" spans="1:10" ht="11.25" customHeight="1" x14ac:dyDescent="0.2">
      <c r="A1077" s="71">
        <v>44136</v>
      </c>
      <c r="B1077" s="61">
        <v>0</v>
      </c>
      <c r="C1077" s="61">
        <v>0</v>
      </c>
      <c r="D1077" s="61">
        <v>228245.28945000001</v>
      </c>
      <c r="E1077" s="61">
        <v>173163.49897297123</v>
      </c>
      <c r="F1077" s="61">
        <v>0</v>
      </c>
      <c r="G1077" s="61">
        <v>0</v>
      </c>
      <c r="H1077" s="62">
        <v>-0.24132717310293117</v>
      </c>
      <c r="I1077" s="62">
        <v>0</v>
      </c>
      <c r="J1077" s="62">
        <v>-0.24132717310293117</v>
      </c>
    </row>
    <row r="1078" spans="1:10" ht="11.25" customHeight="1" x14ac:dyDescent="0.2">
      <c r="A1078" s="71">
        <v>44166</v>
      </c>
      <c r="B1078" s="61">
        <v>0</v>
      </c>
      <c r="C1078" s="61">
        <v>0</v>
      </c>
      <c r="D1078" s="61">
        <v>230653.18455000001</v>
      </c>
      <c r="E1078" s="61">
        <v>174990.3035553598</v>
      </c>
      <c r="F1078" s="61">
        <v>0</v>
      </c>
      <c r="G1078" s="61">
        <v>0</v>
      </c>
      <c r="H1078" s="62">
        <v>-0.24132717310293128</v>
      </c>
      <c r="I1078" s="62">
        <v>0</v>
      </c>
      <c r="J1078" s="62">
        <v>-0.24132717310293128</v>
      </c>
    </row>
    <row r="1079" spans="1:10" ht="11.25" customHeight="1" x14ac:dyDescent="0.2">
      <c r="A1079" s="71">
        <v>44197</v>
      </c>
      <c r="B1079" s="61">
        <v>0</v>
      </c>
      <c r="C1079" s="61">
        <v>0</v>
      </c>
      <c r="D1079" s="61">
        <v>101748.47550000002</v>
      </c>
      <c r="E1079" s="61">
        <v>77193.803540052148</v>
      </c>
      <c r="F1079" s="61">
        <v>0</v>
      </c>
      <c r="G1079" s="61">
        <v>0</v>
      </c>
      <c r="H1079" s="62">
        <v>-0.24132717310293128</v>
      </c>
      <c r="I1079" s="62">
        <v>0</v>
      </c>
      <c r="J1079" s="62">
        <v>-0.24132717310293128</v>
      </c>
    </row>
    <row r="1080" spans="1:10" ht="11.25" customHeight="1" x14ac:dyDescent="0.2">
      <c r="A1080" s="71">
        <v>44228</v>
      </c>
      <c r="B1080" s="61">
        <v>0</v>
      </c>
      <c r="C1080" s="61">
        <v>0</v>
      </c>
      <c r="D1080" s="61">
        <v>95011.329600000012</v>
      </c>
      <c r="E1080" s="61">
        <v>72082.514014881148</v>
      </c>
      <c r="F1080" s="61">
        <v>0</v>
      </c>
      <c r="G1080" s="61">
        <v>0</v>
      </c>
      <c r="H1080" s="62">
        <v>-0.24132717310293128</v>
      </c>
      <c r="I1080" s="62">
        <v>0</v>
      </c>
      <c r="J1080" s="62">
        <v>-0.24132717310293128</v>
      </c>
    </row>
    <row r="1081" spans="1:10" ht="11.25" customHeight="1" x14ac:dyDescent="0.2">
      <c r="A1081" s="71">
        <v>44256</v>
      </c>
      <c r="B1081" s="61">
        <v>0</v>
      </c>
      <c r="C1081" s="61">
        <v>0</v>
      </c>
      <c r="D1081" s="61">
        <v>164874.58800000002</v>
      </c>
      <c r="E1081" s="61">
        <v>125085.86976144955</v>
      </c>
      <c r="F1081" s="61">
        <v>0</v>
      </c>
      <c r="G1081" s="61">
        <v>0</v>
      </c>
      <c r="H1081" s="62">
        <v>-0.24132717310293117</v>
      </c>
      <c r="I1081" s="62">
        <v>0</v>
      </c>
      <c r="J1081" s="62">
        <v>-0.24132717310293117</v>
      </c>
    </row>
    <row r="1082" spans="1:10" ht="11.25" customHeight="1" x14ac:dyDescent="0.2">
      <c r="A1082" s="71">
        <v>44287</v>
      </c>
      <c r="B1082" s="61">
        <v>0</v>
      </c>
      <c r="C1082" s="61">
        <v>0</v>
      </c>
      <c r="D1082" s="61">
        <v>185936.15040000001</v>
      </c>
      <c r="E1082" s="61">
        <v>141064.70484632655</v>
      </c>
      <c r="F1082" s="61">
        <v>0</v>
      </c>
      <c r="G1082" s="61">
        <v>0</v>
      </c>
      <c r="H1082" s="62">
        <v>-0.24132717310293128</v>
      </c>
      <c r="I1082" s="62">
        <v>0</v>
      </c>
      <c r="J1082" s="62">
        <v>-0.24132717310293128</v>
      </c>
    </row>
    <row r="1083" spans="1:10" ht="11.25" customHeight="1" x14ac:dyDescent="0.2">
      <c r="A1083" s="71">
        <v>44317</v>
      </c>
      <c r="B1083" s="61">
        <v>0</v>
      </c>
      <c r="C1083" s="61">
        <v>0</v>
      </c>
      <c r="D1083" s="61">
        <v>214232.21595000001</v>
      </c>
      <c r="E1083" s="61">
        <v>162532.16088720981</v>
      </c>
      <c r="F1083" s="61">
        <v>0</v>
      </c>
      <c r="G1083" s="61">
        <v>0</v>
      </c>
      <c r="H1083" s="62">
        <v>-0.24132717310293128</v>
      </c>
      <c r="I1083" s="62">
        <v>0</v>
      </c>
      <c r="J1083" s="62">
        <v>-0.24132717310293128</v>
      </c>
    </row>
    <row r="1084" spans="1:10" ht="11.25" customHeight="1" x14ac:dyDescent="0.2">
      <c r="A1084" s="71">
        <v>44348</v>
      </c>
      <c r="B1084" s="61">
        <v>0</v>
      </c>
      <c r="C1084" s="61">
        <v>0</v>
      </c>
      <c r="D1084" s="61">
        <v>101748.47550000002</v>
      </c>
      <c r="E1084" s="61">
        <v>77193.803540052148</v>
      </c>
      <c r="F1084" s="61">
        <v>0</v>
      </c>
      <c r="G1084" s="61">
        <v>0</v>
      </c>
      <c r="H1084" s="62">
        <v>-0.24132717310293128</v>
      </c>
      <c r="I1084" s="62">
        <v>0</v>
      </c>
      <c r="J1084" s="62">
        <v>-0.24132717310293128</v>
      </c>
    </row>
    <row r="1085" spans="1:10" ht="11.25" customHeight="1" x14ac:dyDescent="0.2">
      <c r="A1085" s="71">
        <v>44378</v>
      </c>
      <c r="B1085" s="61">
        <v>0</v>
      </c>
      <c r="C1085" s="61">
        <v>0</v>
      </c>
      <c r="D1085" s="61">
        <v>235676.62469999999</v>
      </c>
      <c r="E1085" s="61">
        <v>178801.45109470855</v>
      </c>
      <c r="F1085" s="61">
        <v>0</v>
      </c>
      <c r="G1085" s="61">
        <v>0</v>
      </c>
      <c r="H1085" s="62">
        <v>-0.24132717310293117</v>
      </c>
      <c r="I1085" s="62">
        <v>0</v>
      </c>
      <c r="J1085" s="62">
        <v>-0.24132717310293117</v>
      </c>
    </row>
    <row r="1086" spans="1:10" ht="11.25" customHeight="1" x14ac:dyDescent="0.2">
      <c r="A1086" s="71">
        <v>44409</v>
      </c>
      <c r="B1086" s="61">
        <v>0</v>
      </c>
      <c r="C1086" s="61">
        <v>0</v>
      </c>
      <c r="D1086" s="61">
        <v>243722.73045</v>
      </c>
      <c r="E1086" s="61">
        <v>184905.8128895738</v>
      </c>
      <c r="F1086" s="61">
        <v>0</v>
      </c>
      <c r="G1086" s="61">
        <v>0</v>
      </c>
      <c r="H1086" s="62">
        <v>-0.24132717310293128</v>
      </c>
      <c r="I1086" s="62">
        <v>0</v>
      </c>
      <c r="J1086" s="62">
        <v>-0.24132717310293128</v>
      </c>
    </row>
    <row r="1087" spans="1:10" ht="11.25" customHeight="1" x14ac:dyDescent="0.2">
      <c r="A1087" s="71">
        <v>44440</v>
      </c>
      <c r="B1087" s="61">
        <v>0</v>
      </c>
      <c r="C1087" s="61">
        <v>0</v>
      </c>
      <c r="D1087" s="61">
        <v>233402.23770000003</v>
      </c>
      <c r="E1087" s="61">
        <v>177075.93547996061</v>
      </c>
      <c r="F1087" s="61">
        <v>0</v>
      </c>
      <c r="G1087" s="61">
        <v>0</v>
      </c>
      <c r="H1087" s="62">
        <v>-0.24132717310293128</v>
      </c>
      <c r="I1087" s="62">
        <v>0</v>
      </c>
      <c r="J1087" s="62">
        <v>-0.24132717310293128</v>
      </c>
    </row>
    <row r="1088" spans="1:10" ht="11.25" customHeight="1" x14ac:dyDescent="0.2">
      <c r="A1088" s="71">
        <v>44470</v>
      </c>
      <c r="B1088" s="61">
        <v>0</v>
      </c>
      <c r="C1088" s="61">
        <v>0</v>
      </c>
      <c r="D1088" s="61">
        <v>233402.23770000003</v>
      </c>
      <c r="E1088" s="61">
        <v>177075.93547996061</v>
      </c>
      <c r="F1088" s="61">
        <v>0</v>
      </c>
      <c r="G1088" s="61">
        <v>0</v>
      </c>
      <c r="H1088" s="62">
        <v>-0.24132717310293128</v>
      </c>
      <c r="I1088" s="62">
        <v>0</v>
      </c>
      <c r="J1088" s="62">
        <v>-0.24132717310293128</v>
      </c>
    </row>
    <row r="1089" spans="1:10" ht="11.25" customHeight="1" x14ac:dyDescent="0.2">
      <c r="A1089" s="70" t="s">
        <v>37</v>
      </c>
      <c r="B1089" s="61">
        <v>1079628.8</v>
      </c>
      <c r="C1089" s="61">
        <v>1186003.9666727944</v>
      </c>
      <c r="D1089" s="61">
        <v>0</v>
      </c>
      <c r="E1089" s="61">
        <v>0</v>
      </c>
      <c r="F1089" s="61">
        <v>0</v>
      </c>
      <c r="G1089" s="61">
        <v>0</v>
      </c>
      <c r="H1089" s="62">
        <v>9.8529389613165597E-2</v>
      </c>
      <c r="I1089" s="62">
        <v>0</v>
      </c>
      <c r="J1089" s="62">
        <v>9.8529389613165597E-2</v>
      </c>
    </row>
    <row r="1090" spans="1:10" ht="11.25" customHeight="1" x14ac:dyDescent="0.2">
      <c r="A1090" s="71">
        <v>44136</v>
      </c>
      <c r="B1090" s="61">
        <v>96002.400000000009</v>
      </c>
      <c r="C1090" s="61">
        <v>105461.45787339896</v>
      </c>
      <c r="D1090" s="61">
        <v>0</v>
      </c>
      <c r="E1090" s="61">
        <v>0</v>
      </c>
      <c r="F1090" s="61">
        <v>0</v>
      </c>
      <c r="G1090" s="61">
        <v>0</v>
      </c>
      <c r="H1090" s="62">
        <v>9.8529389613165375E-2</v>
      </c>
      <c r="I1090" s="62">
        <v>0</v>
      </c>
      <c r="J1090" s="62">
        <v>9.8529389613165375E-2</v>
      </c>
    </row>
    <row r="1091" spans="1:10" ht="11.25" customHeight="1" x14ac:dyDescent="0.2">
      <c r="A1091" s="71">
        <v>44166</v>
      </c>
      <c r="B1091" s="61">
        <v>96002.400000000009</v>
      </c>
      <c r="C1091" s="61">
        <v>105461.45787339896</v>
      </c>
      <c r="D1091" s="61">
        <v>0</v>
      </c>
      <c r="E1091" s="61">
        <v>0</v>
      </c>
      <c r="F1091" s="61">
        <v>0</v>
      </c>
      <c r="G1091" s="61">
        <v>0</v>
      </c>
      <c r="H1091" s="62">
        <v>9.8529389613165375E-2</v>
      </c>
      <c r="I1091" s="62">
        <v>0</v>
      </c>
      <c r="J1091" s="62">
        <v>9.8529389613165375E-2</v>
      </c>
    </row>
    <row r="1092" spans="1:10" ht="11.25" customHeight="1" x14ac:dyDescent="0.2">
      <c r="A1092" s="71">
        <v>44197</v>
      </c>
      <c r="B1092" s="61">
        <v>88762.400000000009</v>
      </c>
      <c r="C1092" s="61">
        <v>97508.105092599639</v>
      </c>
      <c r="D1092" s="61">
        <v>0</v>
      </c>
      <c r="E1092" s="61">
        <v>0</v>
      </c>
      <c r="F1092" s="61">
        <v>0</v>
      </c>
      <c r="G1092" s="61">
        <v>0</v>
      </c>
      <c r="H1092" s="62">
        <v>9.8529389613165375E-2</v>
      </c>
      <c r="I1092" s="62">
        <v>0</v>
      </c>
      <c r="J1092" s="62">
        <v>9.8529389613165375E-2</v>
      </c>
    </row>
    <row r="1093" spans="1:10" ht="11.25" customHeight="1" x14ac:dyDescent="0.2">
      <c r="A1093" s="71">
        <v>44228</v>
      </c>
      <c r="B1093" s="61">
        <v>88762.400000000009</v>
      </c>
      <c r="C1093" s="61">
        <v>97508.105092599639</v>
      </c>
      <c r="D1093" s="61">
        <v>0</v>
      </c>
      <c r="E1093" s="61">
        <v>0</v>
      </c>
      <c r="F1093" s="61">
        <v>0</v>
      </c>
      <c r="G1093" s="61">
        <v>0</v>
      </c>
      <c r="H1093" s="62">
        <v>9.8529389613165375E-2</v>
      </c>
      <c r="I1093" s="62">
        <v>0</v>
      </c>
      <c r="J1093" s="62">
        <v>9.8529389613165375E-2</v>
      </c>
    </row>
    <row r="1094" spans="1:10" ht="11.25" customHeight="1" x14ac:dyDescent="0.2">
      <c r="A1094" s="71">
        <v>44256</v>
      </c>
      <c r="B1094" s="61">
        <v>88762.400000000009</v>
      </c>
      <c r="C1094" s="61">
        <v>97508.105092599639</v>
      </c>
      <c r="D1094" s="61">
        <v>0</v>
      </c>
      <c r="E1094" s="61">
        <v>0</v>
      </c>
      <c r="F1094" s="61">
        <v>0</v>
      </c>
      <c r="G1094" s="61">
        <v>0</v>
      </c>
      <c r="H1094" s="62">
        <v>9.8529389613165375E-2</v>
      </c>
      <c r="I1094" s="62">
        <v>0</v>
      </c>
      <c r="J1094" s="62">
        <v>9.8529389613165375E-2</v>
      </c>
    </row>
    <row r="1095" spans="1:10" ht="11.25" customHeight="1" x14ac:dyDescent="0.2">
      <c r="A1095" s="71">
        <v>44287</v>
      </c>
      <c r="B1095" s="61">
        <v>88762.400000000009</v>
      </c>
      <c r="C1095" s="61">
        <v>97508.105092599639</v>
      </c>
      <c r="D1095" s="61">
        <v>0</v>
      </c>
      <c r="E1095" s="61">
        <v>0</v>
      </c>
      <c r="F1095" s="61">
        <v>0</v>
      </c>
      <c r="G1095" s="61">
        <v>0</v>
      </c>
      <c r="H1095" s="62">
        <v>9.8529389613165375E-2</v>
      </c>
      <c r="I1095" s="62">
        <v>0</v>
      </c>
      <c r="J1095" s="62">
        <v>9.8529389613165375E-2</v>
      </c>
    </row>
    <row r="1096" spans="1:10" ht="11.25" customHeight="1" x14ac:dyDescent="0.2">
      <c r="A1096" s="71">
        <v>44317</v>
      </c>
      <c r="B1096" s="61">
        <v>88762.400000000009</v>
      </c>
      <c r="C1096" s="61">
        <v>97508.105092599639</v>
      </c>
      <c r="D1096" s="61">
        <v>0</v>
      </c>
      <c r="E1096" s="61">
        <v>0</v>
      </c>
      <c r="F1096" s="61">
        <v>0</v>
      </c>
      <c r="G1096" s="61">
        <v>0</v>
      </c>
      <c r="H1096" s="62">
        <v>9.8529389613165375E-2</v>
      </c>
      <c r="I1096" s="62">
        <v>0</v>
      </c>
      <c r="J1096" s="62">
        <v>9.8529389613165375E-2</v>
      </c>
    </row>
    <row r="1097" spans="1:10" ht="11.25" customHeight="1" x14ac:dyDescent="0.2">
      <c r="A1097" s="71">
        <v>44348</v>
      </c>
      <c r="B1097" s="61">
        <v>88762.400000000009</v>
      </c>
      <c r="C1097" s="61">
        <v>97508.105092599639</v>
      </c>
      <c r="D1097" s="61">
        <v>0</v>
      </c>
      <c r="E1097" s="61">
        <v>0</v>
      </c>
      <c r="F1097" s="61">
        <v>0</v>
      </c>
      <c r="G1097" s="61">
        <v>0</v>
      </c>
      <c r="H1097" s="62">
        <v>9.8529389613165375E-2</v>
      </c>
      <c r="I1097" s="62">
        <v>0</v>
      </c>
      <c r="J1097" s="62">
        <v>9.8529389613165375E-2</v>
      </c>
    </row>
    <row r="1098" spans="1:10" ht="11.25" customHeight="1" x14ac:dyDescent="0.2">
      <c r="A1098" s="71">
        <v>44378</v>
      </c>
      <c r="B1098" s="61">
        <v>88762.400000000009</v>
      </c>
      <c r="C1098" s="61">
        <v>97508.105092599639</v>
      </c>
      <c r="D1098" s="61">
        <v>0</v>
      </c>
      <c r="E1098" s="61">
        <v>0</v>
      </c>
      <c r="F1098" s="61">
        <v>0</v>
      </c>
      <c r="G1098" s="61">
        <v>0</v>
      </c>
      <c r="H1098" s="62">
        <v>9.8529389613165375E-2</v>
      </c>
      <c r="I1098" s="62">
        <v>0</v>
      </c>
      <c r="J1098" s="62">
        <v>9.8529389613165375E-2</v>
      </c>
    </row>
    <row r="1099" spans="1:10" ht="11.25" customHeight="1" x14ac:dyDescent="0.2">
      <c r="A1099" s="71">
        <v>44409</v>
      </c>
      <c r="B1099" s="61">
        <v>88762.400000000009</v>
      </c>
      <c r="C1099" s="61">
        <v>97508.105092599639</v>
      </c>
      <c r="D1099" s="61">
        <v>0</v>
      </c>
      <c r="E1099" s="61">
        <v>0</v>
      </c>
      <c r="F1099" s="61">
        <v>0</v>
      </c>
      <c r="G1099" s="61">
        <v>0</v>
      </c>
      <c r="H1099" s="62">
        <v>9.8529389613165375E-2</v>
      </c>
      <c r="I1099" s="62">
        <v>0</v>
      </c>
      <c r="J1099" s="62">
        <v>9.8529389613165375E-2</v>
      </c>
    </row>
    <row r="1100" spans="1:10" ht="11.25" customHeight="1" x14ac:dyDescent="0.2">
      <c r="A1100" s="71">
        <v>44440</v>
      </c>
      <c r="B1100" s="61">
        <v>88762.400000000009</v>
      </c>
      <c r="C1100" s="61">
        <v>97508.105092599639</v>
      </c>
      <c r="D1100" s="61">
        <v>0</v>
      </c>
      <c r="E1100" s="61">
        <v>0</v>
      </c>
      <c r="F1100" s="61">
        <v>0</v>
      </c>
      <c r="G1100" s="61">
        <v>0</v>
      </c>
      <c r="H1100" s="62">
        <v>9.8529389613165375E-2</v>
      </c>
      <c r="I1100" s="62">
        <v>0</v>
      </c>
      <c r="J1100" s="62">
        <v>9.8529389613165375E-2</v>
      </c>
    </row>
    <row r="1101" spans="1:10" ht="11.25" customHeight="1" x14ac:dyDescent="0.2">
      <c r="A1101" s="71">
        <v>44470</v>
      </c>
      <c r="B1101" s="61">
        <v>88762.400000000009</v>
      </c>
      <c r="C1101" s="61">
        <v>97508.105092599639</v>
      </c>
      <c r="D1101" s="61">
        <v>0</v>
      </c>
      <c r="E1101" s="61">
        <v>0</v>
      </c>
      <c r="F1101" s="61">
        <v>0</v>
      </c>
      <c r="G1101" s="61">
        <v>0</v>
      </c>
      <c r="H1101" s="62">
        <v>9.8529389613165375E-2</v>
      </c>
      <c r="I1101" s="62">
        <v>0</v>
      </c>
      <c r="J1101" s="62">
        <v>9.8529389613165375E-2</v>
      </c>
    </row>
    <row r="1102" spans="1:10" ht="11.25" customHeight="1" x14ac:dyDescent="0.2">
      <c r="A1102" s="66" t="s">
        <v>42</v>
      </c>
      <c r="B1102" s="61">
        <v>25339028.766511992</v>
      </c>
      <c r="C1102" s="61">
        <v>27832595.968359217</v>
      </c>
      <c r="D1102" s="61">
        <v>49870702.216799997</v>
      </c>
      <c r="E1102" s="61">
        <v>37835546.630161569</v>
      </c>
      <c r="F1102" s="61">
        <v>0</v>
      </c>
      <c r="G1102" s="61">
        <v>0</v>
      </c>
      <c r="H1102" s="62">
        <v>-0.12686640757840695</v>
      </c>
      <c r="I1102" s="62">
        <v>0</v>
      </c>
      <c r="J1102" s="62">
        <v>-0.12686640757840695</v>
      </c>
    </row>
    <row r="1103" spans="1:10" ht="11.25" customHeight="1" x14ac:dyDescent="0.2">
      <c r="A1103" s="67" t="s">
        <v>25</v>
      </c>
      <c r="B1103" s="61">
        <v>25339028.766511992</v>
      </c>
      <c r="C1103" s="61">
        <v>27832595.968359217</v>
      </c>
      <c r="D1103" s="61">
        <v>49870702.216799997</v>
      </c>
      <c r="E1103" s="61">
        <v>37835546.630161569</v>
      </c>
      <c r="F1103" s="61">
        <v>0</v>
      </c>
      <c r="G1103" s="61">
        <v>0</v>
      </c>
      <c r="H1103" s="62">
        <v>-0.12686640757840695</v>
      </c>
      <c r="I1103" s="62">
        <v>0</v>
      </c>
      <c r="J1103" s="62">
        <v>-0.12686640757840695</v>
      </c>
    </row>
    <row r="1104" spans="1:10" ht="11.25" customHeight="1" x14ac:dyDescent="0.2">
      <c r="A1104" s="68" t="s">
        <v>62</v>
      </c>
      <c r="B1104" s="61">
        <v>2200140.7065120004</v>
      </c>
      <c r="C1104" s="61">
        <v>2416654.2888469934</v>
      </c>
      <c r="D1104" s="61">
        <v>4308354.5660100002</v>
      </c>
      <c r="E1104" s="61">
        <v>3268631.5378697012</v>
      </c>
      <c r="F1104" s="61">
        <v>0</v>
      </c>
      <c r="G1104" s="61">
        <v>0</v>
      </c>
      <c r="H1104" s="62">
        <v>-0.12648229910848763</v>
      </c>
      <c r="I1104" s="62">
        <v>0</v>
      </c>
      <c r="J1104" s="62">
        <v>-0.12648229910848763</v>
      </c>
    </row>
    <row r="1105" spans="1:10" ht="11.25" customHeight="1" x14ac:dyDescent="0.2">
      <c r="A1105" s="69" t="s">
        <v>25</v>
      </c>
      <c r="B1105" s="61">
        <v>2200140.7065120004</v>
      </c>
      <c r="C1105" s="61">
        <v>2416654.2888469934</v>
      </c>
      <c r="D1105" s="61">
        <v>4308354.5660100002</v>
      </c>
      <c r="E1105" s="61">
        <v>3268631.5378697012</v>
      </c>
      <c r="F1105" s="61">
        <v>0</v>
      </c>
      <c r="G1105" s="61">
        <v>0</v>
      </c>
      <c r="H1105" s="62">
        <v>-0.12648229910848763</v>
      </c>
      <c r="I1105" s="62">
        <v>0</v>
      </c>
      <c r="J1105" s="62">
        <v>-0.12648229910848763</v>
      </c>
    </row>
    <row r="1106" spans="1:10" ht="11.25" customHeight="1" x14ac:dyDescent="0.2">
      <c r="A1106" s="70" t="s">
        <v>38</v>
      </c>
      <c r="B1106" s="61">
        <v>1050585.3526000001</v>
      </c>
      <c r="C1106" s="61">
        <v>1153833.947587498</v>
      </c>
      <c r="D1106" s="61">
        <v>0</v>
      </c>
      <c r="E1106" s="61">
        <v>0</v>
      </c>
      <c r="F1106" s="61">
        <v>0</v>
      </c>
      <c r="G1106" s="61">
        <v>0</v>
      </c>
      <c r="H1106" s="62">
        <v>9.827720777943183E-2</v>
      </c>
      <c r="I1106" s="62">
        <v>0</v>
      </c>
      <c r="J1106" s="62">
        <v>9.827720777943183E-2</v>
      </c>
    </row>
    <row r="1107" spans="1:10" ht="11.25" customHeight="1" x14ac:dyDescent="0.2">
      <c r="A1107" s="71">
        <v>44136</v>
      </c>
      <c r="B1107" s="61">
        <v>72227.554560000004</v>
      </c>
      <c r="C1107" s="61">
        <v>79325.87694689339</v>
      </c>
      <c r="D1107" s="61">
        <v>0</v>
      </c>
      <c r="E1107" s="61">
        <v>0</v>
      </c>
      <c r="F1107" s="61">
        <v>0</v>
      </c>
      <c r="G1107" s="61">
        <v>0</v>
      </c>
      <c r="H1107" s="62">
        <v>9.8277207779432052E-2</v>
      </c>
      <c r="I1107" s="62">
        <v>0</v>
      </c>
      <c r="J1107" s="62">
        <v>9.8277207779432052E-2</v>
      </c>
    </row>
    <row r="1108" spans="1:10" ht="11.25" customHeight="1" x14ac:dyDescent="0.2">
      <c r="A1108" s="71">
        <v>44166</v>
      </c>
      <c r="B1108" s="61">
        <v>86163.407070000001</v>
      </c>
      <c r="C1108" s="61">
        <v>94631.306129602177</v>
      </c>
      <c r="D1108" s="61">
        <v>0</v>
      </c>
      <c r="E1108" s="61">
        <v>0</v>
      </c>
      <c r="F1108" s="61">
        <v>0</v>
      </c>
      <c r="G1108" s="61">
        <v>0</v>
      </c>
      <c r="H1108" s="62">
        <v>9.8277207779432052E-2</v>
      </c>
      <c r="I1108" s="62">
        <v>0</v>
      </c>
      <c r="J1108" s="62">
        <v>9.8277207779432052E-2</v>
      </c>
    </row>
    <row r="1109" spans="1:10" ht="11.25" customHeight="1" x14ac:dyDescent="0.2">
      <c r="A1109" s="71">
        <v>44197</v>
      </c>
      <c r="B1109" s="61">
        <v>86163.407070000001</v>
      </c>
      <c r="C1109" s="61">
        <v>94631.306129602177</v>
      </c>
      <c r="D1109" s="61">
        <v>0</v>
      </c>
      <c r="E1109" s="61">
        <v>0</v>
      </c>
      <c r="F1109" s="61">
        <v>0</v>
      </c>
      <c r="G1109" s="61">
        <v>0</v>
      </c>
      <c r="H1109" s="62">
        <v>9.8277207779432052E-2</v>
      </c>
      <c r="I1109" s="62">
        <v>0</v>
      </c>
      <c r="J1109" s="62">
        <v>9.8277207779432052E-2</v>
      </c>
    </row>
    <row r="1110" spans="1:10" ht="11.25" customHeight="1" x14ac:dyDescent="0.2">
      <c r="A1110" s="71">
        <v>44228</v>
      </c>
      <c r="B1110" s="61">
        <v>86553.564630000008</v>
      </c>
      <c r="C1110" s="61">
        <v>95059.807285193019</v>
      </c>
      <c r="D1110" s="61">
        <v>0</v>
      </c>
      <c r="E1110" s="61">
        <v>0</v>
      </c>
      <c r="F1110" s="61">
        <v>0</v>
      </c>
      <c r="G1110" s="61">
        <v>0</v>
      </c>
      <c r="H1110" s="62">
        <v>9.8277207779432052E-2</v>
      </c>
      <c r="I1110" s="62">
        <v>0</v>
      </c>
      <c r="J1110" s="62">
        <v>9.8277207779432052E-2</v>
      </c>
    </row>
    <row r="1111" spans="1:10" ht="11.25" customHeight="1" x14ac:dyDescent="0.2">
      <c r="A1111" s="71">
        <v>44256</v>
      </c>
      <c r="B1111" s="61">
        <v>86163.407070000001</v>
      </c>
      <c r="C1111" s="61">
        <v>94631.306129602177</v>
      </c>
      <c r="D1111" s="61">
        <v>0</v>
      </c>
      <c r="E1111" s="61">
        <v>0</v>
      </c>
      <c r="F1111" s="61">
        <v>0</v>
      </c>
      <c r="G1111" s="61">
        <v>0</v>
      </c>
      <c r="H1111" s="62">
        <v>9.8277207779432052E-2</v>
      </c>
      <c r="I1111" s="62">
        <v>0</v>
      </c>
      <c r="J1111" s="62">
        <v>9.8277207779432052E-2</v>
      </c>
    </row>
    <row r="1112" spans="1:10" ht="11.25" customHeight="1" x14ac:dyDescent="0.2">
      <c r="A1112" s="71">
        <v>44287</v>
      </c>
      <c r="B1112" s="61">
        <v>86163.407070000001</v>
      </c>
      <c r="C1112" s="61">
        <v>94631.306129602177</v>
      </c>
      <c r="D1112" s="61">
        <v>0</v>
      </c>
      <c r="E1112" s="61">
        <v>0</v>
      </c>
      <c r="F1112" s="61">
        <v>0</v>
      </c>
      <c r="G1112" s="61">
        <v>0</v>
      </c>
      <c r="H1112" s="62">
        <v>9.8277207779432052E-2</v>
      </c>
      <c r="I1112" s="62">
        <v>0</v>
      </c>
      <c r="J1112" s="62">
        <v>9.8277207779432052E-2</v>
      </c>
    </row>
    <row r="1113" spans="1:10" ht="11.25" customHeight="1" x14ac:dyDescent="0.2">
      <c r="A1113" s="71">
        <v>44317</v>
      </c>
      <c r="B1113" s="61">
        <v>86163.407070000001</v>
      </c>
      <c r="C1113" s="61">
        <v>94631.306129602177</v>
      </c>
      <c r="D1113" s="61">
        <v>0</v>
      </c>
      <c r="E1113" s="61">
        <v>0</v>
      </c>
      <c r="F1113" s="61">
        <v>0</v>
      </c>
      <c r="G1113" s="61">
        <v>0</v>
      </c>
      <c r="H1113" s="62">
        <v>9.8277207779432052E-2</v>
      </c>
      <c r="I1113" s="62">
        <v>0</v>
      </c>
      <c r="J1113" s="62">
        <v>9.8277207779432052E-2</v>
      </c>
    </row>
    <row r="1114" spans="1:10" ht="11.25" customHeight="1" x14ac:dyDescent="0.2">
      <c r="A1114" s="71">
        <v>44348</v>
      </c>
      <c r="B1114" s="61">
        <v>86163.407070000001</v>
      </c>
      <c r="C1114" s="61">
        <v>94631.306129602177</v>
      </c>
      <c r="D1114" s="61">
        <v>0</v>
      </c>
      <c r="E1114" s="61">
        <v>0</v>
      </c>
      <c r="F1114" s="61">
        <v>0</v>
      </c>
      <c r="G1114" s="61">
        <v>0</v>
      </c>
      <c r="H1114" s="62">
        <v>9.8277207779432052E-2</v>
      </c>
      <c r="I1114" s="62">
        <v>0</v>
      </c>
      <c r="J1114" s="62">
        <v>9.8277207779432052E-2</v>
      </c>
    </row>
    <row r="1115" spans="1:10" ht="11.25" customHeight="1" x14ac:dyDescent="0.2">
      <c r="A1115" s="71">
        <v>44378</v>
      </c>
      <c r="B1115" s="61">
        <v>86163.407070000001</v>
      </c>
      <c r="C1115" s="61">
        <v>94631.306129602177</v>
      </c>
      <c r="D1115" s="61">
        <v>0</v>
      </c>
      <c r="E1115" s="61">
        <v>0</v>
      </c>
      <c r="F1115" s="61">
        <v>0</v>
      </c>
      <c r="G1115" s="61">
        <v>0</v>
      </c>
      <c r="H1115" s="62">
        <v>9.8277207779432052E-2</v>
      </c>
      <c r="I1115" s="62">
        <v>0</v>
      </c>
      <c r="J1115" s="62">
        <v>9.8277207779432052E-2</v>
      </c>
    </row>
    <row r="1116" spans="1:10" ht="11.25" customHeight="1" x14ac:dyDescent="0.2">
      <c r="A1116" s="71">
        <v>44409</v>
      </c>
      <c r="B1116" s="61">
        <v>98861.580000000016</v>
      </c>
      <c r="C1116" s="61">
        <v>108577.42003906296</v>
      </c>
      <c r="D1116" s="61">
        <v>0</v>
      </c>
      <c r="E1116" s="61">
        <v>0</v>
      </c>
      <c r="F1116" s="61">
        <v>0</v>
      </c>
      <c r="G1116" s="61">
        <v>0</v>
      </c>
      <c r="H1116" s="62">
        <v>9.8277207779432052E-2</v>
      </c>
      <c r="I1116" s="62">
        <v>0</v>
      </c>
      <c r="J1116" s="62">
        <v>9.8277207779432052E-2</v>
      </c>
    </row>
    <row r="1117" spans="1:10" ht="11.25" customHeight="1" x14ac:dyDescent="0.2">
      <c r="A1117" s="71">
        <v>44440</v>
      </c>
      <c r="B1117" s="61">
        <v>94899.401960000003</v>
      </c>
      <c r="C1117" s="61">
        <v>104225.85020456677</v>
      </c>
      <c r="D1117" s="61">
        <v>0</v>
      </c>
      <c r="E1117" s="61">
        <v>0</v>
      </c>
      <c r="F1117" s="61">
        <v>0</v>
      </c>
      <c r="G1117" s="61">
        <v>0</v>
      </c>
      <c r="H1117" s="62">
        <v>9.8277207779432052E-2</v>
      </c>
      <c r="I1117" s="62">
        <v>0</v>
      </c>
      <c r="J1117" s="62">
        <v>9.8277207779432052E-2</v>
      </c>
    </row>
    <row r="1118" spans="1:10" ht="11.25" customHeight="1" x14ac:dyDescent="0.2">
      <c r="A1118" s="71">
        <v>44470</v>
      </c>
      <c r="B1118" s="61">
        <v>94899.401960000003</v>
      </c>
      <c r="C1118" s="61">
        <v>104225.85020456677</v>
      </c>
      <c r="D1118" s="61">
        <v>0</v>
      </c>
      <c r="E1118" s="61">
        <v>0</v>
      </c>
      <c r="F1118" s="61">
        <v>0</v>
      </c>
      <c r="G1118" s="61">
        <v>0</v>
      </c>
      <c r="H1118" s="62">
        <v>9.8277207779432052E-2</v>
      </c>
      <c r="I1118" s="62">
        <v>0</v>
      </c>
      <c r="J1118" s="62">
        <v>9.8277207779432052E-2</v>
      </c>
    </row>
    <row r="1119" spans="1:10" ht="11.25" customHeight="1" x14ac:dyDescent="0.2">
      <c r="A1119" s="70" t="s">
        <v>25</v>
      </c>
      <c r="B1119" s="61">
        <v>0</v>
      </c>
      <c r="C1119" s="61">
        <v>0</v>
      </c>
      <c r="D1119" s="61">
        <v>4308354.5660100002</v>
      </c>
      <c r="E1119" s="61">
        <v>3268631.5378697012</v>
      </c>
      <c r="F1119" s="61">
        <v>0</v>
      </c>
      <c r="G1119" s="61">
        <v>0</v>
      </c>
      <c r="H1119" s="62">
        <v>-0.24132717310293117</v>
      </c>
      <c r="I1119" s="62">
        <v>0</v>
      </c>
      <c r="J1119" s="62">
        <v>-0.24132717310293117</v>
      </c>
    </row>
    <row r="1120" spans="1:10" ht="11.25" customHeight="1" x14ac:dyDescent="0.2">
      <c r="A1120" s="71">
        <v>44136</v>
      </c>
      <c r="B1120" s="61">
        <v>0</v>
      </c>
      <c r="C1120" s="61">
        <v>0</v>
      </c>
      <c r="D1120" s="61">
        <v>359560.21548000001</v>
      </c>
      <c r="E1120" s="61">
        <v>272788.56511793082</v>
      </c>
      <c r="F1120" s="61">
        <v>0</v>
      </c>
      <c r="G1120" s="61">
        <v>0</v>
      </c>
      <c r="H1120" s="62">
        <v>-0.24132717310293117</v>
      </c>
      <c r="I1120" s="62">
        <v>0</v>
      </c>
      <c r="J1120" s="62">
        <v>-0.24132717310293117</v>
      </c>
    </row>
    <row r="1121" spans="1:10" ht="11.25" customHeight="1" x14ac:dyDescent="0.2">
      <c r="A1121" s="71">
        <v>44166</v>
      </c>
      <c r="B1121" s="61">
        <v>0</v>
      </c>
      <c r="C1121" s="61">
        <v>0</v>
      </c>
      <c r="D1121" s="61">
        <v>342131.55096000002</v>
      </c>
      <c r="E1121" s="61">
        <v>259565.91093750176</v>
      </c>
      <c r="F1121" s="61">
        <v>0</v>
      </c>
      <c r="G1121" s="61">
        <v>0</v>
      </c>
      <c r="H1121" s="62">
        <v>-0.24132717310293128</v>
      </c>
      <c r="I1121" s="62">
        <v>0</v>
      </c>
      <c r="J1121" s="62">
        <v>-0.24132717310293128</v>
      </c>
    </row>
    <row r="1122" spans="1:10" ht="11.25" customHeight="1" x14ac:dyDescent="0.2">
      <c r="A1122" s="71">
        <v>44197</v>
      </c>
      <c r="B1122" s="61">
        <v>0</v>
      </c>
      <c r="C1122" s="61">
        <v>0</v>
      </c>
      <c r="D1122" s="61">
        <v>262454.70843</v>
      </c>
      <c r="E1122" s="61">
        <v>199117.25557703406</v>
      </c>
      <c r="F1122" s="61">
        <v>0</v>
      </c>
      <c r="G1122" s="61">
        <v>0</v>
      </c>
      <c r="H1122" s="62">
        <v>-0.24132717310293117</v>
      </c>
      <c r="I1122" s="62">
        <v>0</v>
      </c>
      <c r="J1122" s="62">
        <v>-0.24132717310293117</v>
      </c>
    </row>
    <row r="1123" spans="1:10" ht="11.25" customHeight="1" x14ac:dyDescent="0.2">
      <c r="A1123" s="71">
        <v>44228</v>
      </c>
      <c r="B1123" s="61">
        <v>0</v>
      </c>
      <c r="C1123" s="61">
        <v>0</v>
      </c>
      <c r="D1123" s="61">
        <v>262613.70444</v>
      </c>
      <c r="E1123" s="61">
        <v>199237.88152940612</v>
      </c>
      <c r="F1123" s="61">
        <v>0</v>
      </c>
      <c r="G1123" s="61">
        <v>0</v>
      </c>
      <c r="H1123" s="62">
        <v>-0.24132717310293117</v>
      </c>
      <c r="I1123" s="62">
        <v>0</v>
      </c>
      <c r="J1123" s="62">
        <v>-0.24132717310293117</v>
      </c>
    </row>
    <row r="1124" spans="1:10" ht="11.25" customHeight="1" x14ac:dyDescent="0.2">
      <c r="A1124" s="71">
        <v>44256</v>
      </c>
      <c r="B1124" s="61">
        <v>0</v>
      </c>
      <c r="C1124" s="61">
        <v>0</v>
      </c>
      <c r="D1124" s="61">
        <v>350716.28010000003</v>
      </c>
      <c r="E1124" s="61">
        <v>266078.91166229121</v>
      </c>
      <c r="F1124" s="61">
        <v>0</v>
      </c>
      <c r="G1124" s="61">
        <v>0</v>
      </c>
      <c r="H1124" s="62">
        <v>-0.24132717310293117</v>
      </c>
      <c r="I1124" s="62">
        <v>0</v>
      </c>
      <c r="J1124" s="62">
        <v>-0.24132717310293117</v>
      </c>
    </row>
    <row r="1125" spans="1:10" ht="11.25" customHeight="1" x14ac:dyDescent="0.2">
      <c r="A1125" s="71">
        <v>44287</v>
      </c>
      <c r="B1125" s="61">
        <v>0</v>
      </c>
      <c r="C1125" s="61">
        <v>0</v>
      </c>
      <c r="D1125" s="61">
        <v>353347.97277000005</v>
      </c>
      <c r="E1125" s="61">
        <v>268075.50537976442</v>
      </c>
      <c r="F1125" s="61">
        <v>0</v>
      </c>
      <c r="G1125" s="61">
        <v>0</v>
      </c>
      <c r="H1125" s="62">
        <v>-0.24132717310293117</v>
      </c>
      <c r="I1125" s="62">
        <v>0</v>
      </c>
      <c r="J1125" s="62">
        <v>-0.24132717310293117</v>
      </c>
    </row>
    <row r="1126" spans="1:10" ht="11.25" customHeight="1" x14ac:dyDescent="0.2">
      <c r="A1126" s="71">
        <v>44317</v>
      </c>
      <c r="B1126" s="61">
        <v>0</v>
      </c>
      <c r="C1126" s="61">
        <v>0</v>
      </c>
      <c r="D1126" s="61">
        <v>377582.38419000001</v>
      </c>
      <c r="E1126" s="61">
        <v>286461.49479996244</v>
      </c>
      <c r="F1126" s="61">
        <v>0</v>
      </c>
      <c r="G1126" s="61">
        <v>0</v>
      </c>
      <c r="H1126" s="62">
        <v>-0.24132717310293106</v>
      </c>
      <c r="I1126" s="62">
        <v>0</v>
      </c>
      <c r="J1126" s="62">
        <v>-0.24132717310293106</v>
      </c>
    </row>
    <row r="1127" spans="1:10" ht="11.25" customHeight="1" x14ac:dyDescent="0.2">
      <c r="A1127" s="71">
        <v>44348</v>
      </c>
      <c r="B1127" s="61">
        <v>0</v>
      </c>
      <c r="C1127" s="61">
        <v>0</v>
      </c>
      <c r="D1127" s="61">
        <v>262454.70843</v>
      </c>
      <c r="E1127" s="61">
        <v>199117.25557703406</v>
      </c>
      <c r="F1127" s="61">
        <v>0</v>
      </c>
      <c r="G1127" s="61">
        <v>0</v>
      </c>
      <c r="H1127" s="62">
        <v>-0.24132717310293117</v>
      </c>
      <c r="I1127" s="62">
        <v>0</v>
      </c>
      <c r="J1127" s="62">
        <v>-0.24132717310293117</v>
      </c>
    </row>
    <row r="1128" spans="1:10" ht="11.25" customHeight="1" x14ac:dyDescent="0.2">
      <c r="A1128" s="71">
        <v>44378</v>
      </c>
      <c r="B1128" s="61">
        <v>0</v>
      </c>
      <c r="C1128" s="61">
        <v>0</v>
      </c>
      <c r="D1128" s="61">
        <v>331277.28966000001</v>
      </c>
      <c r="E1128" s="61">
        <v>251331.0778331513</v>
      </c>
      <c r="F1128" s="61">
        <v>0</v>
      </c>
      <c r="G1128" s="61">
        <v>0</v>
      </c>
      <c r="H1128" s="62">
        <v>-0.24132717310293117</v>
      </c>
      <c r="I1128" s="62">
        <v>0</v>
      </c>
      <c r="J1128" s="62">
        <v>-0.24132717310293117</v>
      </c>
    </row>
    <row r="1129" spans="1:10" ht="11.25" customHeight="1" x14ac:dyDescent="0.2">
      <c r="A1129" s="71">
        <v>44409</v>
      </c>
      <c r="B1129" s="61">
        <v>0</v>
      </c>
      <c r="C1129" s="61">
        <v>0</v>
      </c>
      <c r="D1129" s="61">
        <v>465274.83140999998</v>
      </c>
      <c r="E1129" s="61">
        <v>352991.37162988179</v>
      </c>
      <c r="F1129" s="61">
        <v>0</v>
      </c>
      <c r="G1129" s="61">
        <v>0</v>
      </c>
      <c r="H1129" s="62">
        <v>-0.24132717310293117</v>
      </c>
      <c r="I1129" s="62">
        <v>0</v>
      </c>
      <c r="J1129" s="62">
        <v>-0.24132717310293117</v>
      </c>
    </row>
    <row r="1130" spans="1:10" ht="11.25" customHeight="1" x14ac:dyDescent="0.2">
      <c r="A1130" s="71">
        <v>44440</v>
      </c>
      <c r="B1130" s="61">
        <v>0</v>
      </c>
      <c r="C1130" s="61">
        <v>0</v>
      </c>
      <c r="D1130" s="61">
        <v>470470.46007000003</v>
      </c>
      <c r="E1130" s="61">
        <v>356933.15391287144</v>
      </c>
      <c r="F1130" s="61">
        <v>0</v>
      </c>
      <c r="G1130" s="61">
        <v>0</v>
      </c>
      <c r="H1130" s="62">
        <v>-0.24132717310293128</v>
      </c>
      <c r="I1130" s="62">
        <v>0</v>
      </c>
      <c r="J1130" s="62">
        <v>-0.24132717310293128</v>
      </c>
    </row>
    <row r="1131" spans="1:10" ht="11.25" customHeight="1" x14ac:dyDescent="0.2">
      <c r="A1131" s="71">
        <v>44470</v>
      </c>
      <c r="B1131" s="61">
        <v>0</v>
      </c>
      <c r="C1131" s="61">
        <v>0</v>
      </c>
      <c r="D1131" s="61">
        <v>470470.46007000003</v>
      </c>
      <c r="E1131" s="61">
        <v>356933.15391287144</v>
      </c>
      <c r="F1131" s="61">
        <v>0</v>
      </c>
      <c r="G1131" s="61">
        <v>0</v>
      </c>
      <c r="H1131" s="62">
        <v>-0.24132717310293128</v>
      </c>
      <c r="I1131" s="62">
        <v>0</v>
      </c>
      <c r="J1131" s="62">
        <v>-0.24132717310293128</v>
      </c>
    </row>
    <row r="1132" spans="1:10" ht="11.25" customHeight="1" x14ac:dyDescent="0.2">
      <c r="A1132" s="70" t="s">
        <v>37</v>
      </c>
      <c r="B1132" s="61">
        <v>1149555.3539120001</v>
      </c>
      <c r="C1132" s="61">
        <v>1262820.3412594958</v>
      </c>
      <c r="D1132" s="61">
        <v>0</v>
      </c>
      <c r="E1132" s="61">
        <v>0</v>
      </c>
      <c r="F1132" s="61">
        <v>0</v>
      </c>
      <c r="G1132" s="61">
        <v>0</v>
      </c>
      <c r="H1132" s="62">
        <v>9.8529389613165375E-2</v>
      </c>
      <c r="I1132" s="62">
        <v>0</v>
      </c>
      <c r="J1132" s="62">
        <v>9.8529389613165375E-2</v>
      </c>
    </row>
    <row r="1133" spans="1:10" ht="11.25" customHeight="1" x14ac:dyDescent="0.2">
      <c r="A1133" s="71">
        <v>44136</v>
      </c>
      <c r="B1133" s="61">
        <v>77876.753024000005</v>
      </c>
      <c r="C1133" s="61">
        <v>85549.901964509962</v>
      </c>
      <c r="D1133" s="61">
        <v>0</v>
      </c>
      <c r="E1133" s="61">
        <v>0</v>
      </c>
      <c r="F1133" s="61">
        <v>0</v>
      </c>
      <c r="G1133" s="61">
        <v>0</v>
      </c>
      <c r="H1133" s="62">
        <v>9.8529389613165375E-2</v>
      </c>
      <c r="I1133" s="62">
        <v>0</v>
      </c>
      <c r="J1133" s="62">
        <v>9.8529389613165375E-2</v>
      </c>
    </row>
    <row r="1134" spans="1:10" ht="11.25" customHeight="1" x14ac:dyDescent="0.2">
      <c r="A1134" s="71">
        <v>44166</v>
      </c>
      <c r="B1134" s="61">
        <v>94220.087207999997</v>
      </c>
      <c r="C1134" s="61">
        <v>103503.53488990346</v>
      </c>
      <c r="D1134" s="61">
        <v>0</v>
      </c>
      <c r="E1134" s="61">
        <v>0</v>
      </c>
      <c r="F1134" s="61">
        <v>0</v>
      </c>
      <c r="G1134" s="61">
        <v>0</v>
      </c>
      <c r="H1134" s="62">
        <v>9.8529389613165375E-2</v>
      </c>
      <c r="I1134" s="62">
        <v>0</v>
      </c>
      <c r="J1134" s="62">
        <v>9.8529389613165375E-2</v>
      </c>
    </row>
    <row r="1135" spans="1:10" ht="11.25" customHeight="1" x14ac:dyDescent="0.2">
      <c r="A1135" s="71">
        <v>44197</v>
      </c>
      <c r="B1135" s="61">
        <v>94104.827856000004</v>
      </c>
      <c r="C1135" s="61">
        <v>103376.91910430368</v>
      </c>
      <c r="D1135" s="61">
        <v>0</v>
      </c>
      <c r="E1135" s="61">
        <v>0</v>
      </c>
      <c r="F1135" s="61">
        <v>0</v>
      </c>
      <c r="G1135" s="61">
        <v>0</v>
      </c>
      <c r="H1135" s="62">
        <v>9.8529389613165375E-2</v>
      </c>
      <c r="I1135" s="62">
        <v>0</v>
      </c>
      <c r="J1135" s="62">
        <v>9.8529389613165375E-2</v>
      </c>
    </row>
    <row r="1136" spans="1:10" ht="11.25" customHeight="1" x14ac:dyDescent="0.2">
      <c r="A1136" s="71">
        <v>44228</v>
      </c>
      <c r="B1136" s="61">
        <v>94104.827856000004</v>
      </c>
      <c r="C1136" s="61">
        <v>103376.91910430368</v>
      </c>
      <c r="D1136" s="61">
        <v>0</v>
      </c>
      <c r="E1136" s="61">
        <v>0</v>
      </c>
      <c r="F1136" s="61">
        <v>0</v>
      </c>
      <c r="G1136" s="61">
        <v>0</v>
      </c>
      <c r="H1136" s="62">
        <v>9.8529389613165375E-2</v>
      </c>
      <c r="I1136" s="62">
        <v>0</v>
      </c>
      <c r="J1136" s="62">
        <v>9.8529389613165375E-2</v>
      </c>
    </row>
    <row r="1137" spans="1:10" ht="11.25" customHeight="1" x14ac:dyDescent="0.2">
      <c r="A1137" s="71">
        <v>44256</v>
      </c>
      <c r="B1137" s="61">
        <v>94104.827856000004</v>
      </c>
      <c r="C1137" s="61">
        <v>103376.91910430368</v>
      </c>
      <c r="D1137" s="61">
        <v>0</v>
      </c>
      <c r="E1137" s="61">
        <v>0</v>
      </c>
      <c r="F1137" s="61">
        <v>0</v>
      </c>
      <c r="G1137" s="61">
        <v>0</v>
      </c>
      <c r="H1137" s="62">
        <v>9.8529389613165375E-2</v>
      </c>
      <c r="I1137" s="62">
        <v>0</v>
      </c>
      <c r="J1137" s="62">
        <v>9.8529389613165375E-2</v>
      </c>
    </row>
    <row r="1138" spans="1:10" ht="11.25" customHeight="1" x14ac:dyDescent="0.2">
      <c r="A1138" s="71">
        <v>44287</v>
      </c>
      <c r="B1138" s="61">
        <v>94104.827856000004</v>
      </c>
      <c r="C1138" s="61">
        <v>103376.91910430368</v>
      </c>
      <c r="D1138" s="61">
        <v>0</v>
      </c>
      <c r="E1138" s="61">
        <v>0</v>
      </c>
      <c r="F1138" s="61">
        <v>0</v>
      </c>
      <c r="G1138" s="61">
        <v>0</v>
      </c>
      <c r="H1138" s="62">
        <v>9.8529389613165375E-2</v>
      </c>
      <c r="I1138" s="62">
        <v>0</v>
      </c>
      <c r="J1138" s="62">
        <v>9.8529389613165375E-2</v>
      </c>
    </row>
    <row r="1139" spans="1:10" ht="11.25" customHeight="1" x14ac:dyDescent="0.2">
      <c r="A1139" s="71">
        <v>44317</v>
      </c>
      <c r="B1139" s="61">
        <v>94104.827856000004</v>
      </c>
      <c r="C1139" s="61">
        <v>103376.91910430368</v>
      </c>
      <c r="D1139" s="61">
        <v>0</v>
      </c>
      <c r="E1139" s="61">
        <v>0</v>
      </c>
      <c r="F1139" s="61">
        <v>0</v>
      </c>
      <c r="G1139" s="61">
        <v>0</v>
      </c>
      <c r="H1139" s="62">
        <v>9.8529389613165375E-2</v>
      </c>
      <c r="I1139" s="62">
        <v>0</v>
      </c>
      <c r="J1139" s="62">
        <v>9.8529389613165375E-2</v>
      </c>
    </row>
    <row r="1140" spans="1:10" ht="11.25" customHeight="1" x14ac:dyDescent="0.2">
      <c r="A1140" s="71">
        <v>44348</v>
      </c>
      <c r="B1140" s="61">
        <v>94104.827856000004</v>
      </c>
      <c r="C1140" s="61">
        <v>103376.91910430368</v>
      </c>
      <c r="D1140" s="61">
        <v>0</v>
      </c>
      <c r="E1140" s="61">
        <v>0</v>
      </c>
      <c r="F1140" s="61">
        <v>0</v>
      </c>
      <c r="G1140" s="61">
        <v>0</v>
      </c>
      <c r="H1140" s="62">
        <v>9.8529389613165375E-2</v>
      </c>
      <c r="I1140" s="62">
        <v>0</v>
      </c>
      <c r="J1140" s="62">
        <v>9.8529389613165375E-2</v>
      </c>
    </row>
    <row r="1141" spans="1:10" ht="11.25" customHeight="1" x14ac:dyDescent="0.2">
      <c r="A1141" s="71">
        <v>44378</v>
      </c>
      <c r="B1141" s="61">
        <v>94104.827856000004</v>
      </c>
      <c r="C1141" s="61">
        <v>103376.91910430368</v>
      </c>
      <c r="D1141" s="61">
        <v>0</v>
      </c>
      <c r="E1141" s="61">
        <v>0</v>
      </c>
      <c r="F1141" s="61">
        <v>0</v>
      </c>
      <c r="G1141" s="61">
        <v>0</v>
      </c>
      <c r="H1141" s="62">
        <v>9.8529389613165375E-2</v>
      </c>
      <c r="I1141" s="62">
        <v>0</v>
      </c>
      <c r="J1141" s="62">
        <v>9.8529389613165375E-2</v>
      </c>
    </row>
    <row r="1142" spans="1:10" ht="11.25" customHeight="1" x14ac:dyDescent="0.2">
      <c r="A1142" s="71">
        <v>44409</v>
      </c>
      <c r="B1142" s="61">
        <v>108262.766592</v>
      </c>
      <c r="C1142" s="61">
        <v>118929.83090214236</v>
      </c>
      <c r="D1142" s="61">
        <v>0</v>
      </c>
      <c r="E1142" s="61">
        <v>0</v>
      </c>
      <c r="F1142" s="61">
        <v>0</v>
      </c>
      <c r="G1142" s="61">
        <v>0</v>
      </c>
      <c r="H1142" s="62">
        <v>9.8529389613165375E-2</v>
      </c>
      <c r="I1142" s="62">
        <v>0</v>
      </c>
      <c r="J1142" s="62">
        <v>9.8529389613165375E-2</v>
      </c>
    </row>
    <row r="1143" spans="1:10" ht="11.25" customHeight="1" x14ac:dyDescent="0.2">
      <c r="A1143" s="71">
        <v>44440</v>
      </c>
      <c r="B1143" s="61">
        <v>105230.976048</v>
      </c>
      <c r="C1143" s="61">
        <v>115599.31988640707</v>
      </c>
      <c r="D1143" s="61">
        <v>0</v>
      </c>
      <c r="E1143" s="61">
        <v>0</v>
      </c>
      <c r="F1143" s="61">
        <v>0</v>
      </c>
      <c r="G1143" s="61">
        <v>0</v>
      </c>
      <c r="H1143" s="62">
        <v>9.8529389613165375E-2</v>
      </c>
      <c r="I1143" s="62">
        <v>0</v>
      </c>
      <c r="J1143" s="62">
        <v>9.8529389613165375E-2</v>
      </c>
    </row>
    <row r="1144" spans="1:10" ht="11.25" customHeight="1" x14ac:dyDescent="0.2">
      <c r="A1144" s="71">
        <v>44470</v>
      </c>
      <c r="B1144" s="61">
        <v>105230.976048</v>
      </c>
      <c r="C1144" s="61">
        <v>115599.31988640707</v>
      </c>
      <c r="D1144" s="61">
        <v>0</v>
      </c>
      <c r="E1144" s="61">
        <v>0</v>
      </c>
      <c r="F1144" s="61">
        <v>0</v>
      </c>
      <c r="G1144" s="61">
        <v>0</v>
      </c>
      <c r="H1144" s="62">
        <v>9.8529389613165375E-2</v>
      </c>
      <c r="I1144" s="62">
        <v>0</v>
      </c>
      <c r="J1144" s="62">
        <v>9.8529389613165375E-2</v>
      </c>
    </row>
    <row r="1145" spans="1:10" ht="11.25" customHeight="1" x14ac:dyDescent="0.2">
      <c r="A1145" s="68" t="s">
        <v>25</v>
      </c>
      <c r="B1145" s="61">
        <v>23138888.059999991</v>
      </c>
      <c r="C1145" s="61">
        <v>25415941.679512233</v>
      </c>
      <c r="D1145" s="61">
        <v>45562347.650789998</v>
      </c>
      <c r="E1145" s="61">
        <v>34566915.092291877</v>
      </c>
      <c r="F1145" s="61">
        <v>0</v>
      </c>
      <c r="G1145" s="61">
        <v>0</v>
      </c>
      <c r="H1145" s="62">
        <v>-0.12690279656231285</v>
      </c>
      <c r="I1145" s="62">
        <v>0</v>
      </c>
      <c r="J1145" s="62">
        <v>-0.12690279656231285</v>
      </c>
    </row>
    <row r="1146" spans="1:10" ht="11.25" customHeight="1" x14ac:dyDescent="0.2">
      <c r="A1146" s="69" t="s">
        <v>25</v>
      </c>
      <c r="B1146" s="61">
        <v>23138888.059999991</v>
      </c>
      <c r="C1146" s="61">
        <v>25415941.679512233</v>
      </c>
      <c r="D1146" s="61">
        <v>45562347.650789998</v>
      </c>
      <c r="E1146" s="61">
        <v>34566915.092291877</v>
      </c>
      <c r="F1146" s="61">
        <v>0</v>
      </c>
      <c r="G1146" s="61">
        <v>0</v>
      </c>
      <c r="H1146" s="62">
        <v>-0.12690279656231285</v>
      </c>
      <c r="I1146" s="62">
        <v>0</v>
      </c>
      <c r="J1146" s="62">
        <v>-0.12690279656231285</v>
      </c>
    </row>
    <row r="1147" spans="1:10" ht="11.25" customHeight="1" x14ac:dyDescent="0.2">
      <c r="A1147" s="70" t="s">
        <v>38</v>
      </c>
      <c r="B1147" s="61">
        <v>11130450.299999999</v>
      </c>
      <c r="C1147" s="61">
        <v>12224319.876811745</v>
      </c>
      <c r="D1147" s="61">
        <v>0</v>
      </c>
      <c r="E1147" s="61">
        <v>0</v>
      </c>
      <c r="F1147" s="61">
        <v>0</v>
      </c>
      <c r="G1147" s="61">
        <v>0</v>
      </c>
      <c r="H1147" s="62">
        <v>9.8277207779432496E-2</v>
      </c>
      <c r="I1147" s="62">
        <v>0</v>
      </c>
      <c r="J1147" s="62">
        <v>9.8277207779432496E-2</v>
      </c>
    </row>
    <row r="1148" spans="1:10" ht="11.25" customHeight="1" x14ac:dyDescent="0.2">
      <c r="A1148" s="71">
        <v>44136</v>
      </c>
      <c r="B1148" s="61">
        <v>911308.10000000009</v>
      </c>
      <c r="C1148" s="61">
        <v>1000868.9154947795</v>
      </c>
      <c r="D1148" s="61">
        <v>0</v>
      </c>
      <c r="E1148" s="61">
        <v>0</v>
      </c>
      <c r="F1148" s="61">
        <v>0</v>
      </c>
      <c r="G1148" s="61">
        <v>0</v>
      </c>
      <c r="H1148" s="62">
        <v>9.8277207779432052E-2</v>
      </c>
      <c r="I1148" s="62">
        <v>0</v>
      </c>
      <c r="J1148" s="62">
        <v>9.8277207779432052E-2</v>
      </c>
    </row>
    <row r="1149" spans="1:10" ht="11.25" customHeight="1" x14ac:dyDescent="0.2">
      <c r="A1149" s="71">
        <v>44166</v>
      </c>
      <c r="B1149" s="61">
        <v>912824.4</v>
      </c>
      <c r="C1149" s="61">
        <v>1002534.2332249355</v>
      </c>
      <c r="D1149" s="61">
        <v>0</v>
      </c>
      <c r="E1149" s="61">
        <v>0</v>
      </c>
      <c r="F1149" s="61">
        <v>0</v>
      </c>
      <c r="G1149" s="61">
        <v>0</v>
      </c>
      <c r="H1149" s="62">
        <v>9.8277207779432052E-2</v>
      </c>
      <c r="I1149" s="62">
        <v>0</v>
      </c>
      <c r="J1149" s="62">
        <v>9.8277207779432052E-2</v>
      </c>
    </row>
    <row r="1150" spans="1:10" ht="11.25" customHeight="1" x14ac:dyDescent="0.2">
      <c r="A1150" s="71">
        <v>44197</v>
      </c>
      <c r="B1150" s="61">
        <v>910682.70000000007</v>
      </c>
      <c r="C1150" s="61">
        <v>1000182.0529290342</v>
      </c>
      <c r="D1150" s="61">
        <v>0</v>
      </c>
      <c r="E1150" s="61">
        <v>0</v>
      </c>
      <c r="F1150" s="61">
        <v>0</v>
      </c>
      <c r="G1150" s="61">
        <v>0</v>
      </c>
      <c r="H1150" s="62">
        <v>9.8277207779432052E-2</v>
      </c>
      <c r="I1150" s="62">
        <v>0</v>
      </c>
      <c r="J1150" s="62">
        <v>9.8277207779432052E-2</v>
      </c>
    </row>
    <row r="1151" spans="1:10" ht="11.25" customHeight="1" x14ac:dyDescent="0.2">
      <c r="A1151" s="71">
        <v>44228</v>
      </c>
      <c r="B1151" s="61">
        <v>911597.20000000007</v>
      </c>
      <c r="C1151" s="61">
        <v>1001186.4274355485</v>
      </c>
      <c r="D1151" s="61">
        <v>0</v>
      </c>
      <c r="E1151" s="61">
        <v>0</v>
      </c>
      <c r="F1151" s="61">
        <v>0</v>
      </c>
      <c r="G1151" s="61">
        <v>0</v>
      </c>
      <c r="H1151" s="62">
        <v>9.8277207779432052E-2</v>
      </c>
      <c r="I1151" s="62">
        <v>0</v>
      </c>
      <c r="J1151" s="62">
        <v>9.8277207779432052E-2</v>
      </c>
    </row>
    <row r="1152" spans="1:10" ht="11.25" customHeight="1" x14ac:dyDescent="0.2">
      <c r="A1152" s="71">
        <v>44256</v>
      </c>
      <c r="B1152" s="61">
        <v>911591.3</v>
      </c>
      <c r="C1152" s="61">
        <v>1001179.9476000227</v>
      </c>
      <c r="D1152" s="61">
        <v>0</v>
      </c>
      <c r="E1152" s="61">
        <v>0</v>
      </c>
      <c r="F1152" s="61">
        <v>0</v>
      </c>
      <c r="G1152" s="61">
        <v>0</v>
      </c>
      <c r="H1152" s="62">
        <v>9.8277207779432052E-2</v>
      </c>
      <c r="I1152" s="62">
        <v>0</v>
      </c>
      <c r="J1152" s="62">
        <v>9.8277207779432052E-2</v>
      </c>
    </row>
    <row r="1153" spans="1:10" ht="11.25" customHeight="1" x14ac:dyDescent="0.2">
      <c r="A1153" s="71">
        <v>44287</v>
      </c>
      <c r="B1153" s="61">
        <v>929527.3</v>
      </c>
      <c r="C1153" s="61">
        <v>1020878.6475987545</v>
      </c>
      <c r="D1153" s="61">
        <v>0</v>
      </c>
      <c r="E1153" s="61">
        <v>0</v>
      </c>
      <c r="F1153" s="61">
        <v>0</v>
      </c>
      <c r="G1153" s="61">
        <v>0</v>
      </c>
      <c r="H1153" s="62">
        <v>9.8277207779432052E-2</v>
      </c>
      <c r="I1153" s="62">
        <v>0</v>
      </c>
      <c r="J1153" s="62">
        <v>9.8277207779432052E-2</v>
      </c>
    </row>
    <row r="1154" spans="1:10" ht="11.25" customHeight="1" x14ac:dyDescent="0.2">
      <c r="A1154" s="71">
        <v>44317</v>
      </c>
      <c r="B1154" s="61">
        <v>926695.3</v>
      </c>
      <c r="C1154" s="61">
        <v>1017768.3265463231</v>
      </c>
      <c r="D1154" s="61">
        <v>0</v>
      </c>
      <c r="E1154" s="61">
        <v>0</v>
      </c>
      <c r="F1154" s="61">
        <v>0</v>
      </c>
      <c r="G1154" s="61">
        <v>0</v>
      </c>
      <c r="H1154" s="62">
        <v>9.8277207779432052E-2</v>
      </c>
      <c r="I1154" s="62">
        <v>0</v>
      </c>
      <c r="J1154" s="62">
        <v>9.8277207779432052E-2</v>
      </c>
    </row>
    <row r="1155" spans="1:10" ht="11.25" customHeight="1" x14ac:dyDescent="0.2">
      <c r="A1155" s="71">
        <v>44348</v>
      </c>
      <c r="B1155" s="61">
        <v>910682.70000000007</v>
      </c>
      <c r="C1155" s="61">
        <v>1000182.0529290342</v>
      </c>
      <c r="D1155" s="61">
        <v>0</v>
      </c>
      <c r="E1155" s="61">
        <v>0</v>
      </c>
      <c r="F1155" s="61">
        <v>0</v>
      </c>
      <c r="G1155" s="61">
        <v>0</v>
      </c>
      <c r="H1155" s="62">
        <v>9.8277207779432052E-2</v>
      </c>
      <c r="I1155" s="62">
        <v>0</v>
      </c>
      <c r="J1155" s="62">
        <v>9.8277207779432052E-2</v>
      </c>
    </row>
    <row r="1156" spans="1:10" ht="11.25" customHeight="1" x14ac:dyDescent="0.2">
      <c r="A1156" s="71">
        <v>44378</v>
      </c>
      <c r="B1156" s="61">
        <v>930754.5</v>
      </c>
      <c r="C1156" s="61">
        <v>1022226.4533881415</v>
      </c>
      <c r="D1156" s="61">
        <v>0</v>
      </c>
      <c r="E1156" s="61">
        <v>0</v>
      </c>
      <c r="F1156" s="61">
        <v>0</v>
      </c>
      <c r="G1156" s="61">
        <v>0</v>
      </c>
      <c r="H1156" s="62">
        <v>9.8277207779432052E-2</v>
      </c>
      <c r="I1156" s="62">
        <v>0</v>
      </c>
      <c r="J1156" s="62">
        <v>9.8277207779432052E-2</v>
      </c>
    </row>
    <row r="1157" spans="1:10" ht="11.25" customHeight="1" x14ac:dyDescent="0.2">
      <c r="A1157" s="71">
        <v>44409</v>
      </c>
      <c r="B1157" s="61">
        <v>959422.60000000009</v>
      </c>
      <c r="C1157" s="61">
        <v>1053711.974208483</v>
      </c>
      <c r="D1157" s="61">
        <v>0</v>
      </c>
      <c r="E1157" s="61">
        <v>0</v>
      </c>
      <c r="F1157" s="61">
        <v>0</v>
      </c>
      <c r="G1157" s="61">
        <v>0</v>
      </c>
      <c r="H1157" s="62">
        <v>9.8277207779432052E-2</v>
      </c>
      <c r="I1157" s="62">
        <v>0</v>
      </c>
      <c r="J1157" s="62">
        <v>9.8277207779432052E-2</v>
      </c>
    </row>
    <row r="1158" spans="1:10" ht="11.25" customHeight="1" x14ac:dyDescent="0.2">
      <c r="A1158" s="71">
        <v>44440</v>
      </c>
      <c r="B1158" s="61">
        <v>957682.10000000009</v>
      </c>
      <c r="C1158" s="61">
        <v>1051800.4227283429</v>
      </c>
      <c r="D1158" s="61">
        <v>0</v>
      </c>
      <c r="E1158" s="61">
        <v>0</v>
      </c>
      <c r="F1158" s="61">
        <v>0</v>
      </c>
      <c r="G1158" s="61">
        <v>0</v>
      </c>
      <c r="H1158" s="62">
        <v>9.8277207779432052E-2</v>
      </c>
      <c r="I1158" s="62">
        <v>0</v>
      </c>
      <c r="J1158" s="62">
        <v>9.8277207779432052E-2</v>
      </c>
    </row>
    <row r="1159" spans="1:10" ht="11.25" customHeight="1" x14ac:dyDescent="0.2">
      <c r="A1159" s="71">
        <v>44470</v>
      </c>
      <c r="B1159" s="61">
        <v>957682.10000000009</v>
      </c>
      <c r="C1159" s="61">
        <v>1051800.4227283429</v>
      </c>
      <c r="D1159" s="61">
        <v>0</v>
      </c>
      <c r="E1159" s="61">
        <v>0</v>
      </c>
      <c r="F1159" s="61">
        <v>0</v>
      </c>
      <c r="G1159" s="61">
        <v>0</v>
      </c>
      <c r="H1159" s="62">
        <v>9.8277207779432052E-2</v>
      </c>
      <c r="I1159" s="62">
        <v>0</v>
      </c>
      <c r="J1159" s="62">
        <v>9.8277207779432052E-2</v>
      </c>
    </row>
    <row r="1160" spans="1:10" ht="11.25" customHeight="1" x14ac:dyDescent="0.2">
      <c r="A1160" s="70" t="s">
        <v>25</v>
      </c>
      <c r="B1160" s="61">
        <v>0</v>
      </c>
      <c r="C1160" s="61">
        <v>0</v>
      </c>
      <c r="D1160" s="61">
        <v>45562347.650789998</v>
      </c>
      <c r="E1160" s="61">
        <v>34566915.092291877</v>
      </c>
      <c r="F1160" s="61">
        <v>0</v>
      </c>
      <c r="G1160" s="61">
        <v>0</v>
      </c>
      <c r="H1160" s="62">
        <v>-0.24132717310293106</v>
      </c>
      <c r="I1160" s="62">
        <v>0</v>
      </c>
      <c r="J1160" s="62">
        <v>-0.24132717310293106</v>
      </c>
    </row>
    <row r="1161" spans="1:10" ht="11.25" customHeight="1" x14ac:dyDescent="0.2">
      <c r="A1161" s="71">
        <v>44136</v>
      </c>
      <c r="B1161" s="61">
        <v>0</v>
      </c>
      <c r="C1161" s="61">
        <v>0</v>
      </c>
      <c r="D1161" s="61">
        <v>3880755.9314999999</v>
      </c>
      <c r="E1161" s="61">
        <v>2944224.0730486726</v>
      </c>
      <c r="F1161" s="61">
        <v>0</v>
      </c>
      <c r="G1161" s="61">
        <v>0</v>
      </c>
      <c r="H1161" s="62">
        <v>-0.24132717310293117</v>
      </c>
      <c r="I1161" s="62">
        <v>0</v>
      </c>
      <c r="J1161" s="62">
        <v>-0.24132717310293117</v>
      </c>
    </row>
    <row r="1162" spans="1:10" ht="11.25" customHeight="1" x14ac:dyDescent="0.2">
      <c r="A1162" s="71">
        <v>44166</v>
      </c>
      <c r="B1162" s="61">
        <v>0</v>
      </c>
      <c r="C1162" s="61">
        <v>0</v>
      </c>
      <c r="D1162" s="61">
        <v>3515516.8724700003</v>
      </c>
      <c r="E1162" s="61">
        <v>2667127.1236411571</v>
      </c>
      <c r="F1162" s="61">
        <v>0</v>
      </c>
      <c r="G1162" s="61">
        <v>0</v>
      </c>
      <c r="H1162" s="62">
        <v>-0.24132717310293128</v>
      </c>
      <c r="I1162" s="62">
        <v>0</v>
      </c>
      <c r="J1162" s="62">
        <v>-0.24132717310293128</v>
      </c>
    </row>
    <row r="1163" spans="1:10" ht="11.25" customHeight="1" x14ac:dyDescent="0.2">
      <c r="A1163" s="71">
        <v>44197</v>
      </c>
      <c r="B1163" s="61">
        <v>0</v>
      </c>
      <c r="C1163" s="61">
        <v>0</v>
      </c>
      <c r="D1163" s="61">
        <v>3315605.0625</v>
      </c>
      <c r="E1163" s="61">
        <v>2515459.4656411074</v>
      </c>
      <c r="F1163" s="61">
        <v>0</v>
      </c>
      <c r="G1163" s="61">
        <v>0</v>
      </c>
      <c r="H1163" s="62">
        <v>-0.24132717310293117</v>
      </c>
      <c r="I1163" s="62">
        <v>0</v>
      </c>
      <c r="J1163" s="62">
        <v>-0.24132717310293117</v>
      </c>
    </row>
    <row r="1164" spans="1:10" ht="11.25" customHeight="1" x14ac:dyDescent="0.2">
      <c r="A1164" s="71">
        <v>44228</v>
      </c>
      <c r="B1164" s="61">
        <v>0</v>
      </c>
      <c r="C1164" s="61">
        <v>0</v>
      </c>
      <c r="D1164" s="61">
        <v>3303715.18995</v>
      </c>
      <c r="E1164" s="61">
        <v>2506438.942422153</v>
      </c>
      <c r="F1164" s="61">
        <v>0</v>
      </c>
      <c r="G1164" s="61">
        <v>0</v>
      </c>
      <c r="H1164" s="62">
        <v>-0.24132717310293128</v>
      </c>
      <c r="I1164" s="62">
        <v>0</v>
      </c>
      <c r="J1164" s="62">
        <v>-0.24132717310293128</v>
      </c>
    </row>
    <row r="1165" spans="1:10" ht="11.25" customHeight="1" x14ac:dyDescent="0.2">
      <c r="A1165" s="71">
        <v>44256</v>
      </c>
      <c r="B1165" s="61">
        <v>0</v>
      </c>
      <c r="C1165" s="61">
        <v>0</v>
      </c>
      <c r="D1165" s="61">
        <v>3886322.9026500005</v>
      </c>
      <c r="E1165" s="61">
        <v>2948447.5827882979</v>
      </c>
      <c r="F1165" s="61">
        <v>0</v>
      </c>
      <c r="G1165" s="61">
        <v>0</v>
      </c>
      <c r="H1165" s="62">
        <v>-0.24132717310293117</v>
      </c>
      <c r="I1165" s="62">
        <v>0</v>
      </c>
      <c r="J1165" s="62">
        <v>-0.24132717310293117</v>
      </c>
    </row>
    <row r="1166" spans="1:10" ht="11.25" customHeight="1" x14ac:dyDescent="0.2">
      <c r="A1166" s="71">
        <v>44287</v>
      </c>
      <c r="B1166" s="61">
        <v>0</v>
      </c>
      <c r="C1166" s="61">
        <v>0</v>
      </c>
      <c r="D1166" s="61">
        <v>3883607.3056800002</v>
      </c>
      <c r="E1166" s="61">
        <v>2946387.3331583543</v>
      </c>
      <c r="F1166" s="61">
        <v>0</v>
      </c>
      <c r="G1166" s="61">
        <v>0</v>
      </c>
      <c r="H1166" s="62">
        <v>-0.24132717310293128</v>
      </c>
      <c r="I1166" s="62">
        <v>0</v>
      </c>
      <c r="J1166" s="62">
        <v>-0.24132717310293128</v>
      </c>
    </row>
    <row r="1167" spans="1:10" ht="11.25" customHeight="1" x14ac:dyDescent="0.2">
      <c r="A1167" s="71">
        <v>44317</v>
      </c>
      <c r="B1167" s="61">
        <v>0</v>
      </c>
      <c r="C1167" s="61">
        <v>0</v>
      </c>
      <c r="D1167" s="61">
        <v>4019074.1753100003</v>
      </c>
      <c r="E1167" s="61">
        <v>3049162.3660914432</v>
      </c>
      <c r="F1167" s="61">
        <v>0</v>
      </c>
      <c r="G1167" s="61">
        <v>0</v>
      </c>
      <c r="H1167" s="62">
        <v>-0.24132717310293128</v>
      </c>
      <c r="I1167" s="62">
        <v>0</v>
      </c>
      <c r="J1167" s="62">
        <v>-0.24132717310293128</v>
      </c>
    </row>
    <row r="1168" spans="1:10" ht="11.25" customHeight="1" x14ac:dyDescent="0.2">
      <c r="A1168" s="71">
        <v>44348</v>
      </c>
      <c r="B1168" s="61">
        <v>0</v>
      </c>
      <c r="C1168" s="61">
        <v>0</v>
      </c>
      <c r="D1168" s="61">
        <v>3315605.0625</v>
      </c>
      <c r="E1168" s="61">
        <v>2515459.4656411074</v>
      </c>
      <c r="F1168" s="61">
        <v>0</v>
      </c>
      <c r="G1168" s="61">
        <v>0</v>
      </c>
      <c r="H1168" s="62">
        <v>-0.24132717310293117</v>
      </c>
      <c r="I1168" s="62">
        <v>0</v>
      </c>
      <c r="J1168" s="62">
        <v>-0.24132717310293117</v>
      </c>
    </row>
    <row r="1169" spans="1:10" ht="11.25" customHeight="1" x14ac:dyDescent="0.2">
      <c r="A1169" s="71">
        <v>44378</v>
      </c>
      <c r="B1169" s="61">
        <v>0</v>
      </c>
      <c r="C1169" s="61">
        <v>0</v>
      </c>
      <c r="D1169" s="61">
        <v>3956872.5932100005</v>
      </c>
      <c r="E1169" s="61">
        <v>3001971.7159621664</v>
      </c>
      <c r="F1169" s="61">
        <v>0</v>
      </c>
      <c r="G1169" s="61">
        <v>0</v>
      </c>
      <c r="H1169" s="62">
        <v>-0.24132717310293117</v>
      </c>
      <c r="I1169" s="62">
        <v>0</v>
      </c>
      <c r="J1169" s="62">
        <v>-0.24132717310293117</v>
      </c>
    </row>
    <row r="1170" spans="1:10" ht="11.25" customHeight="1" x14ac:dyDescent="0.2">
      <c r="A1170" s="71">
        <v>44409</v>
      </c>
      <c r="B1170" s="61">
        <v>0</v>
      </c>
      <c r="C1170" s="61">
        <v>0</v>
      </c>
      <c r="D1170" s="61">
        <v>4266534.8159400001</v>
      </c>
      <c r="E1170" s="61">
        <v>3236904.0298639648</v>
      </c>
      <c r="F1170" s="61">
        <v>0</v>
      </c>
      <c r="G1170" s="61">
        <v>0</v>
      </c>
      <c r="H1170" s="62">
        <v>-0.24132717310293128</v>
      </c>
      <c r="I1170" s="62">
        <v>0</v>
      </c>
      <c r="J1170" s="62">
        <v>-0.24132717310293128</v>
      </c>
    </row>
    <row r="1171" spans="1:10" ht="11.25" customHeight="1" x14ac:dyDescent="0.2">
      <c r="A1171" s="71">
        <v>44440</v>
      </c>
      <c r="B1171" s="61">
        <v>0</v>
      </c>
      <c r="C1171" s="61">
        <v>0</v>
      </c>
      <c r="D1171" s="61">
        <v>4109368.8695400003</v>
      </c>
      <c r="E1171" s="61">
        <v>3117666.4970167242</v>
      </c>
      <c r="F1171" s="61">
        <v>0</v>
      </c>
      <c r="G1171" s="61">
        <v>0</v>
      </c>
      <c r="H1171" s="62">
        <v>-0.24132717310293117</v>
      </c>
      <c r="I1171" s="62">
        <v>0</v>
      </c>
      <c r="J1171" s="62">
        <v>-0.24132717310293117</v>
      </c>
    </row>
    <row r="1172" spans="1:10" ht="11.25" customHeight="1" x14ac:dyDescent="0.2">
      <c r="A1172" s="71">
        <v>44470</v>
      </c>
      <c r="B1172" s="61">
        <v>0</v>
      </c>
      <c r="C1172" s="61">
        <v>0</v>
      </c>
      <c r="D1172" s="61">
        <v>4109368.8695400003</v>
      </c>
      <c r="E1172" s="61">
        <v>3117666.4970167242</v>
      </c>
      <c r="F1172" s="61">
        <v>0</v>
      </c>
      <c r="G1172" s="61">
        <v>0</v>
      </c>
      <c r="H1172" s="62">
        <v>-0.24132717310293117</v>
      </c>
      <c r="I1172" s="62">
        <v>0</v>
      </c>
      <c r="J1172" s="62">
        <v>-0.24132717310293117</v>
      </c>
    </row>
    <row r="1173" spans="1:10" ht="11.25" customHeight="1" x14ac:dyDescent="0.2">
      <c r="A1173" s="70" t="s">
        <v>37</v>
      </c>
      <c r="B1173" s="61">
        <v>12008437.760000002</v>
      </c>
      <c r="C1173" s="61">
        <v>13191621.802700488</v>
      </c>
      <c r="D1173" s="61">
        <v>0</v>
      </c>
      <c r="E1173" s="61">
        <v>0</v>
      </c>
      <c r="F1173" s="61">
        <v>0</v>
      </c>
      <c r="G1173" s="61">
        <v>0</v>
      </c>
      <c r="H1173" s="62">
        <v>9.8529389613165375E-2</v>
      </c>
      <c r="I1173" s="62">
        <v>0</v>
      </c>
      <c r="J1173" s="62">
        <v>9.8529389613165375E-2</v>
      </c>
    </row>
    <row r="1174" spans="1:10" ht="11.25" customHeight="1" x14ac:dyDescent="0.2">
      <c r="A1174" s="71">
        <v>44136</v>
      </c>
      <c r="B1174" s="61">
        <v>1000958.9600000001</v>
      </c>
      <c r="C1174" s="61">
        <v>1099582.835356629</v>
      </c>
      <c r="D1174" s="61">
        <v>0</v>
      </c>
      <c r="E1174" s="61">
        <v>0</v>
      </c>
      <c r="F1174" s="61">
        <v>0</v>
      </c>
      <c r="G1174" s="61">
        <v>0</v>
      </c>
      <c r="H1174" s="62">
        <v>9.8529389613165375E-2</v>
      </c>
      <c r="I1174" s="62">
        <v>0</v>
      </c>
      <c r="J1174" s="62">
        <v>9.8529389613165375E-2</v>
      </c>
    </row>
    <row r="1175" spans="1:10" ht="11.25" customHeight="1" x14ac:dyDescent="0.2">
      <c r="A1175" s="71">
        <v>44166</v>
      </c>
      <c r="B1175" s="61">
        <v>996079.20000000007</v>
      </c>
      <c r="C1175" s="61">
        <v>1094222.2755823701</v>
      </c>
      <c r="D1175" s="61">
        <v>0</v>
      </c>
      <c r="E1175" s="61">
        <v>0</v>
      </c>
      <c r="F1175" s="61">
        <v>0</v>
      </c>
      <c r="G1175" s="61">
        <v>0</v>
      </c>
      <c r="H1175" s="62">
        <v>9.8529389613165375E-2</v>
      </c>
      <c r="I1175" s="62">
        <v>0</v>
      </c>
      <c r="J1175" s="62">
        <v>9.8529389613165375E-2</v>
      </c>
    </row>
    <row r="1176" spans="1:10" ht="11.25" customHeight="1" x14ac:dyDescent="0.2">
      <c r="A1176" s="71">
        <v>44197</v>
      </c>
      <c r="B1176" s="61">
        <v>962362.52</v>
      </c>
      <c r="C1176" s="61">
        <v>1057183.5116821877</v>
      </c>
      <c r="D1176" s="61">
        <v>0</v>
      </c>
      <c r="E1176" s="61">
        <v>0</v>
      </c>
      <c r="F1176" s="61">
        <v>0</v>
      </c>
      <c r="G1176" s="61">
        <v>0</v>
      </c>
      <c r="H1176" s="62">
        <v>9.8529389613165375E-2</v>
      </c>
      <c r="I1176" s="62">
        <v>0</v>
      </c>
      <c r="J1176" s="62">
        <v>9.8529389613165375E-2</v>
      </c>
    </row>
    <row r="1177" spans="1:10" ht="11.25" customHeight="1" x14ac:dyDescent="0.2">
      <c r="A1177" s="71">
        <v>44228</v>
      </c>
      <c r="B1177" s="61">
        <v>967032.32000000007</v>
      </c>
      <c r="C1177" s="61">
        <v>1062313.4242258032</v>
      </c>
      <c r="D1177" s="61">
        <v>0</v>
      </c>
      <c r="E1177" s="61">
        <v>0</v>
      </c>
      <c r="F1177" s="61">
        <v>0</v>
      </c>
      <c r="G1177" s="61">
        <v>0</v>
      </c>
      <c r="H1177" s="62">
        <v>9.8529389613165375E-2</v>
      </c>
      <c r="I1177" s="62">
        <v>0</v>
      </c>
      <c r="J1177" s="62">
        <v>9.8529389613165375E-2</v>
      </c>
    </row>
    <row r="1178" spans="1:10" ht="11.25" customHeight="1" x14ac:dyDescent="0.2">
      <c r="A1178" s="71">
        <v>44256</v>
      </c>
      <c r="B1178" s="61">
        <v>968299.32000000007</v>
      </c>
      <c r="C1178" s="61">
        <v>1063705.2609624432</v>
      </c>
      <c r="D1178" s="61">
        <v>0</v>
      </c>
      <c r="E1178" s="61">
        <v>0</v>
      </c>
      <c r="F1178" s="61">
        <v>0</v>
      </c>
      <c r="G1178" s="61">
        <v>0</v>
      </c>
      <c r="H1178" s="62">
        <v>9.8529389613165375E-2</v>
      </c>
      <c r="I1178" s="62">
        <v>0</v>
      </c>
      <c r="J1178" s="62">
        <v>9.8529389613165375E-2</v>
      </c>
    </row>
    <row r="1179" spans="1:10" ht="11.25" customHeight="1" x14ac:dyDescent="0.2">
      <c r="A1179" s="71">
        <v>44287</v>
      </c>
      <c r="B1179" s="61">
        <v>991583.16</v>
      </c>
      <c r="C1179" s="61">
        <v>1089283.2435054937</v>
      </c>
      <c r="D1179" s="61">
        <v>0</v>
      </c>
      <c r="E1179" s="61">
        <v>0</v>
      </c>
      <c r="F1179" s="61">
        <v>0</v>
      </c>
      <c r="G1179" s="61">
        <v>0</v>
      </c>
      <c r="H1179" s="62">
        <v>9.8529389613165375E-2</v>
      </c>
      <c r="I1179" s="62">
        <v>0</v>
      </c>
      <c r="J1179" s="62">
        <v>9.8529389613165375E-2</v>
      </c>
    </row>
    <row r="1180" spans="1:10" ht="11.25" customHeight="1" x14ac:dyDescent="0.2">
      <c r="A1180" s="71">
        <v>44317</v>
      </c>
      <c r="B1180" s="61">
        <v>993762.4</v>
      </c>
      <c r="C1180" s="61">
        <v>1091677.2026925145</v>
      </c>
      <c r="D1180" s="61">
        <v>0</v>
      </c>
      <c r="E1180" s="61">
        <v>0</v>
      </c>
      <c r="F1180" s="61">
        <v>0</v>
      </c>
      <c r="G1180" s="61">
        <v>0</v>
      </c>
      <c r="H1180" s="62">
        <v>9.8529389613165597E-2</v>
      </c>
      <c r="I1180" s="62">
        <v>0</v>
      </c>
      <c r="J1180" s="62">
        <v>9.8529389613165597E-2</v>
      </c>
    </row>
    <row r="1181" spans="1:10" ht="11.25" customHeight="1" x14ac:dyDescent="0.2">
      <c r="A1181" s="71">
        <v>44348</v>
      </c>
      <c r="B1181" s="61">
        <v>962362.52</v>
      </c>
      <c r="C1181" s="61">
        <v>1057183.5116821877</v>
      </c>
      <c r="D1181" s="61">
        <v>0</v>
      </c>
      <c r="E1181" s="61">
        <v>0</v>
      </c>
      <c r="F1181" s="61">
        <v>0</v>
      </c>
      <c r="G1181" s="61">
        <v>0</v>
      </c>
      <c r="H1181" s="62">
        <v>9.8529389613165375E-2</v>
      </c>
      <c r="I1181" s="62">
        <v>0</v>
      </c>
      <c r="J1181" s="62">
        <v>9.8529389613165375E-2</v>
      </c>
    </row>
    <row r="1182" spans="1:10" ht="11.25" customHeight="1" x14ac:dyDescent="0.2">
      <c r="A1182" s="71">
        <v>44378</v>
      </c>
      <c r="B1182" s="61">
        <v>996245.72</v>
      </c>
      <c r="C1182" s="61">
        <v>1094405.2026963285</v>
      </c>
      <c r="D1182" s="61">
        <v>0</v>
      </c>
      <c r="E1182" s="61">
        <v>0</v>
      </c>
      <c r="F1182" s="61">
        <v>0</v>
      </c>
      <c r="G1182" s="61">
        <v>0</v>
      </c>
      <c r="H1182" s="62">
        <v>9.8529389613165375E-2</v>
      </c>
      <c r="I1182" s="62">
        <v>0</v>
      </c>
      <c r="J1182" s="62">
        <v>9.8529389613165375E-2</v>
      </c>
    </row>
    <row r="1183" spans="1:10" ht="11.25" customHeight="1" x14ac:dyDescent="0.2">
      <c r="A1183" s="71">
        <v>44409</v>
      </c>
      <c r="B1183" s="61">
        <v>1039106.52</v>
      </c>
      <c r="C1183" s="61">
        <v>1141489.0511586606</v>
      </c>
      <c r="D1183" s="61">
        <v>0</v>
      </c>
      <c r="E1183" s="61">
        <v>0</v>
      </c>
      <c r="F1183" s="61">
        <v>0</v>
      </c>
      <c r="G1183" s="61">
        <v>0</v>
      </c>
      <c r="H1183" s="62">
        <v>9.8529389613165597E-2</v>
      </c>
      <c r="I1183" s="62">
        <v>0</v>
      </c>
      <c r="J1183" s="62">
        <v>9.8529389613165597E-2</v>
      </c>
    </row>
    <row r="1184" spans="1:10" ht="11.25" customHeight="1" x14ac:dyDescent="0.2">
      <c r="A1184" s="71">
        <v>44440</v>
      </c>
      <c r="B1184" s="61">
        <v>1065322.56</v>
      </c>
      <c r="C1184" s="61">
        <v>1170288.1415779348</v>
      </c>
      <c r="D1184" s="61">
        <v>0</v>
      </c>
      <c r="E1184" s="61">
        <v>0</v>
      </c>
      <c r="F1184" s="61">
        <v>0</v>
      </c>
      <c r="G1184" s="61">
        <v>0</v>
      </c>
      <c r="H1184" s="62">
        <v>9.8529389613165375E-2</v>
      </c>
      <c r="I1184" s="62">
        <v>0</v>
      </c>
      <c r="J1184" s="62">
        <v>9.8529389613165375E-2</v>
      </c>
    </row>
    <row r="1185" spans="1:10" ht="11.25" customHeight="1" x14ac:dyDescent="0.2">
      <c r="A1185" s="71">
        <v>44470</v>
      </c>
      <c r="B1185" s="61">
        <v>1065322.56</v>
      </c>
      <c r="C1185" s="61">
        <v>1170288.1415779348</v>
      </c>
      <c r="D1185" s="61">
        <v>0</v>
      </c>
      <c r="E1185" s="61">
        <v>0</v>
      </c>
      <c r="F1185" s="61">
        <v>0</v>
      </c>
      <c r="G1185" s="61">
        <v>0</v>
      </c>
      <c r="H1185" s="62">
        <v>9.8529389613165375E-2</v>
      </c>
      <c r="I1185" s="62">
        <v>0</v>
      </c>
      <c r="J1185" s="62">
        <v>9.8529389613165375E-2</v>
      </c>
    </row>
    <row r="1186" spans="1:10" ht="11.25" customHeight="1" x14ac:dyDescent="0.2">
      <c r="A1186" s="66" t="s">
        <v>61</v>
      </c>
      <c r="B1186" s="61">
        <v>2138054.1727999998</v>
      </c>
      <c r="C1186" s="61">
        <v>2348472.6770985224</v>
      </c>
      <c r="D1186" s="61">
        <v>5240592.1511580013</v>
      </c>
      <c r="E1186" s="61">
        <v>3975894.8619336304</v>
      </c>
      <c r="F1186" s="61">
        <v>0</v>
      </c>
      <c r="G1186" s="61">
        <v>0</v>
      </c>
      <c r="H1186" s="62">
        <v>-0.14288241211706698</v>
      </c>
      <c r="I1186" s="62">
        <v>0</v>
      </c>
      <c r="J1186" s="62">
        <v>-0.14288241211706698</v>
      </c>
    </row>
    <row r="1187" spans="1:10" ht="11.25" customHeight="1" x14ac:dyDescent="0.2">
      <c r="A1187" s="67" t="s">
        <v>53</v>
      </c>
      <c r="B1187" s="61">
        <v>2138054.1727999998</v>
      </c>
      <c r="C1187" s="61">
        <v>2348472.6770985224</v>
      </c>
      <c r="D1187" s="61">
        <v>5240592.1511580013</v>
      </c>
      <c r="E1187" s="61">
        <v>3975894.8619336304</v>
      </c>
      <c r="F1187" s="61">
        <v>0</v>
      </c>
      <c r="G1187" s="61">
        <v>0</v>
      </c>
      <c r="H1187" s="62">
        <v>-0.14288241211706698</v>
      </c>
      <c r="I1187" s="62">
        <v>0</v>
      </c>
      <c r="J1187" s="62">
        <v>-0.14288241211706698</v>
      </c>
    </row>
    <row r="1188" spans="1:10" ht="11.25" customHeight="1" x14ac:dyDescent="0.2">
      <c r="A1188" s="68" t="s">
        <v>25</v>
      </c>
      <c r="B1188" s="61">
        <v>2138054.1727999998</v>
      </c>
      <c r="C1188" s="61">
        <v>2348472.6770985224</v>
      </c>
      <c r="D1188" s="61">
        <v>5240592.1511580013</v>
      </c>
      <c r="E1188" s="61">
        <v>3975894.8619336304</v>
      </c>
      <c r="F1188" s="61">
        <v>0</v>
      </c>
      <c r="G1188" s="61">
        <v>0</v>
      </c>
      <c r="H1188" s="62">
        <v>-0.14288241211706698</v>
      </c>
      <c r="I1188" s="62">
        <v>0</v>
      </c>
      <c r="J1188" s="62">
        <v>-0.14288241211706698</v>
      </c>
    </row>
    <row r="1189" spans="1:10" ht="11.25" customHeight="1" x14ac:dyDescent="0.2">
      <c r="A1189" s="69" t="s">
        <v>25</v>
      </c>
      <c r="B1189" s="61">
        <v>2138054.1727999998</v>
      </c>
      <c r="C1189" s="61">
        <v>2348472.6770985224</v>
      </c>
      <c r="D1189" s="61">
        <v>5240592.1511580013</v>
      </c>
      <c r="E1189" s="61">
        <v>3975894.8619336304</v>
      </c>
      <c r="F1189" s="61">
        <v>0</v>
      </c>
      <c r="G1189" s="61">
        <v>0</v>
      </c>
      <c r="H1189" s="62">
        <v>-0.14288241211706698</v>
      </c>
      <c r="I1189" s="62">
        <v>0</v>
      </c>
      <c r="J1189" s="62">
        <v>-0.14288241211706698</v>
      </c>
    </row>
    <row r="1190" spans="1:10" ht="11.25" customHeight="1" x14ac:dyDescent="0.2">
      <c r="A1190" s="70" t="s">
        <v>38</v>
      </c>
      <c r="B1190" s="61">
        <v>962275.1320000001</v>
      </c>
      <c r="C1190" s="61">
        <v>1056844.8450885445</v>
      </c>
      <c r="D1190" s="61">
        <v>0</v>
      </c>
      <c r="E1190" s="61">
        <v>0</v>
      </c>
      <c r="F1190" s="61">
        <v>0</v>
      </c>
      <c r="G1190" s="61">
        <v>0</v>
      </c>
      <c r="H1190" s="62">
        <v>9.8277207779432052E-2</v>
      </c>
      <c r="I1190" s="62">
        <v>0</v>
      </c>
      <c r="J1190" s="62">
        <v>9.8277207779432052E-2</v>
      </c>
    </row>
    <row r="1191" spans="1:10" ht="11.25" customHeight="1" x14ac:dyDescent="0.2">
      <c r="A1191" s="71">
        <v>44136</v>
      </c>
      <c r="B1191" s="61">
        <v>81700.073000000019</v>
      </c>
      <c r="C1191" s="61">
        <v>89729.328049815784</v>
      </c>
      <c r="D1191" s="61">
        <v>0</v>
      </c>
      <c r="E1191" s="61">
        <v>0</v>
      </c>
      <c r="F1191" s="61">
        <v>0</v>
      </c>
      <c r="G1191" s="61">
        <v>0</v>
      </c>
      <c r="H1191" s="62">
        <v>9.8277207779432052E-2</v>
      </c>
      <c r="I1191" s="62">
        <v>0</v>
      </c>
      <c r="J1191" s="62">
        <v>9.8277207779432052E-2</v>
      </c>
    </row>
    <row r="1192" spans="1:10" ht="11.25" customHeight="1" x14ac:dyDescent="0.2">
      <c r="A1192" s="71">
        <v>44166</v>
      </c>
      <c r="B1192" s="61">
        <v>83869.149000000005</v>
      </c>
      <c r="C1192" s="61">
        <v>92111.57478255716</v>
      </c>
      <c r="D1192" s="61">
        <v>0</v>
      </c>
      <c r="E1192" s="61">
        <v>0</v>
      </c>
      <c r="F1192" s="61">
        <v>0</v>
      </c>
      <c r="G1192" s="61">
        <v>0</v>
      </c>
      <c r="H1192" s="62">
        <v>9.8277207779432052E-2</v>
      </c>
      <c r="I1192" s="62">
        <v>0</v>
      </c>
      <c r="J1192" s="62">
        <v>9.8277207779432052E-2</v>
      </c>
    </row>
    <row r="1193" spans="1:10" ht="11.25" customHeight="1" x14ac:dyDescent="0.2">
      <c r="A1193" s="71">
        <v>44197</v>
      </c>
      <c r="B1193" s="61">
        <v>79670.591</v>
      </c>
      <c r="C1193" s="61">
        <v>87500.394225617158</v>
      </c>
      <c r="D1193" s="61">
        <v>0</v>
      </c>
      <c r="E1193" s="61">
        <v>0</v>
      </c>
      <c r="F1193" s="61">
        <v>0</v>
      </c>
      <c r="G1193" s="61">
        <v>0</v>
      </c>
      <c r="H1193" s="62">
        <v>9.8277207779432052E-2</v>
      </c>
      <c r="I1193" s="62">
        <v>0</v>
      </c>
      <c r="J1193" s="62">
        <v>9.8277207779432052E-2</v>
      </c>
    </row>
    <row r="1194" spans="1:10" ht="11.25" customHeight="1" x14ac:dyDescent="0.2">
      <c r="A1194" s="71">
        <v>44228</v>
      </c>
      <c r="B1194" s="61">
        <v>79670.591</v>
      </c>
      <c r="C1194" s="61">
        <v>87500.394225617158</v>
      </c>
      <c r="D1194" s="61">
        <v>0</v>
      </c>
      <c r="E1194" s="61">
        <v>0</v>
      </c>
      <c r="F1194" s="61">
        <v>0</v>
      </c>
      <c r="G1194" s="61">
        <v>0</v>
      </c>
      <c r="H1194" s="62">
        <v>9.8277207779432052E-2</v>
      </c>
      <c r="I1194" s="62">
        <v>0</v>
      </c>
      <c r="J1194" s="62">
        <v>9.8277207779432052E-2</v>
      </c>
    </row>
    <row r="1195" spans="1:10" ht="11.25" customHeight="1" x14ac:dyDescent="0.2">
      <c r="A1195" s="71">
        <v>44256</v>
      </c>
      <c r="B1195" s="61">
        <v>79670.591</v>
      </c>
      <c r="C1195" s="61">
        <v>87500.394225617158</v>
      </c>
      <c r="D1195" s="61">
        <v>0</v>
      </c>
      <c r="E1195" s="61">
        <v>0</v>
      </c>
      <c r="F1195" s="61">
        <v>0</v>
      </c>
      <c r="G1195" s="61">
        <v>0</v>
      </c>
      <c r="H1195" s="62">
        <v>9.8277207779432052E-2</v>
      </c>
      <c r="I1195" s="62">
        <v>0</v>
      </c>
      <c r="J1195" s="62">
        <v>9.8277207779432052E-2</v>
      </c>
    </row>
    <row r="1196" spans="1:10" ht="11.25" customHeight="1" x14ac:dyDescent="0.2">
      <c r="A1196" s="71">
        <v>44287</v>
      </c>
      <c r="B1196" s="61">
        <v>79670.591</v>
      </c>
      <c r="C1196" s="61">
        <v>87500.394225617158</v>
      </c>
      <c r="D1196" s="61">
        <v>0</v>
      </c>
      <c r="E1196" s="61">
        <v>0</v>
      </c>
      <c r="F1196" s="61">
        <v>0</v>
      </c>
      <c r="G1196" s="61">
        <v>0</v>
      </c>
      <c r="H1196" s="62">
        <v>9.8277207779432052E-2</v>
      </c>
      <c r="I1196" s="62">
        <v>0</v>
      </c>
      <c r="J1196" s="62">
        <v>9.8277207779432052E-2</v>
      </c>
    </row>
    <row r="1197" spans="1:10" ht="11.25" customHeight="1" x14ac:dyDescent="0.2">
      <c r="A1197" s="71">
        <v>44317</v>
      </c>
      <c r="B1197" s="61">
        <v>79670.591</v>
      </c>
      <c r="C1197" s="61">
        <v>87500.394225617158</v>
      </c>
      <c r="D1197" s="61">
        <v>0</v>
      </c>
      <c r="E1197" s="61">
        <v>0</v>
      </c>
      <c r="F1197" s="61">
        <v>0</v>
      </c>
      <c r="G1197" s="61">
        <v>0</v>
      </c>
      <c r="H1197" s="62">
        <v>9.8277207779432052E-2</v>
      </c>
      <c r="I1197" s="62">
        <v>0</v>
      </c>
      <c r="J1197" s="62">
        <v>9.8277207779432052E-2</v>
      </c>
    </row>
    <row r="1198" spans="1:10" ht="11.25" customHeight="1" x14ac:dyDescent="0.2">
      <c r="A1198" s="71">
        <v>44348</v>
      </c>
      <c r="B1198" s="61">
        <v>79670.591</v>
      </c>
      <c r="C1198" s="61">
        <v>87500.394225617158</v>
      </c>
      <c r="D1198" s="61">
        <v>0</v>
      </c>
      <c r="E1198" s="61">
        <v>0</v>
      </c>
      <c r="F1198" s="61">
        <v>0</v>
      </c>
      <c r="G1198" s="61">
        <v>0</v>
      </c>
      <c r="H1198" s="62">
        <v>9.8277207779432052E-2</v>
      </c>
      <c r="I1198" s="62">
        <v>0</v>
      </c>
      <c r="J1198" s="62">
        <v>9.8277207779432052E-2</v>
      </c>
    </row>
    <row r="1199" spans="1:10" ht="11.25" customHeight="1" x14ac:dyDescent="0.2">
      <c r="A1199" s="71">
        <v>44378</v>
      </c>
      <c r="B1199" s="61">
        <v>79670.591</v>
      </c>
      <c r="C1199" s="61">
        <v>87500.394225617158</v>
      </c>
      <c r="D1199" s="61">
        <v>0</v>
      </c>
      <c r="E1199" s="61">
        <v>0</v>
      </c>
      <c r="F1199" s="61">
        <v>0</v>
      </c>
      <c r="G1199" s="61">
        <v>0</v>
      </c>
      <c r="H1199" s="62">
        <v>9.8277207779432052E-2</v>
      </c>
      <c r="I1199" s="62">
        <v>0</v>
      </c>
      <c r="J1199" s="62">
        <v>9.8277207779432052E-2</v>
      </c>
    </row>
    <row r="1200" spans="1:10" ht="11.25" customHeight="1" x14ac:dyDescent="0.2">
      <c r="A1200" s="71">
        <v>44409</v>
      </c>
      <c r="B1200" s="61">
        <v>79670.591</v>
      </c>
      <c r="C1200" s="61">
        <v>87500.394225617158</v>
      </c>
      <c r="D1200" s="61">
        <v>0</v>
      </c>
      <c r="E1200" s="61">
        <v>0</v>
      </c>
      <c r="F1200" s="61">
        <v>0</v>
      </c>
      <c r="G1200" s="61">
        <v>0</v>
      </c>
      <c r="H1200" s="62">
        <v>9.8277207779432052E-2</v>
      </c>
      <c r="I1200" s="62">
        <v>0</v>
      </c>
      <c r="J1200" s="62">
        <v>9.8277207779432052E-2</v>
      </c>
    </row>
    <row r="1201" spans="1:10" ht="11.25" customHeight="1" x14ac:dyDescent="0.2">
      <c r="A1201" s="71">
        <v>44440</v>
      </c>
      <c r="B1201" s="61">
        <v>79670.591</v>
      </c>
      <c r="C1201" s="61">
        <v>87500.394225617158</v>
      </c>
      <c r="D1201" s="61">
        <v>0</v>
      </c>
      <c r="E1201" s="61">
        <v>0</v>
      </c>
      <c r="F1201" s="61">
        <v>0</v>
      </c>
      <c r="G1201" s="61">
        <v>0</v>
      </c>
      <c r="H1201" s="62">
        <v>9.8277207779432052E-2</v>
      </c>
      <c r="I1201" s="62">
        <v>0</v>
      </c>
      <c r="J1201" s="62">
        <v>9.8277207779432052E-2</v>
      </c>
    </row>
    <row r="1202" spans="1:10" ht="11.25" customHeight="1" x14ac:dyDescent="0.2">
      <c r="A1202" s="71">
        <v>44470</v>
      </c>
      <c r="B1202" s="61">
        <v>79670.591</v>
      </c>
      <c r="C1202" s="61">
        <v>87500.394225617158</v>
      </c>
      <c r="D1202" s="61">
        <v>0</v>
      </c>
      <c r="E1202" s="61">
        <v>0</v>
      </c>
      <c r="F1202" s="61">
        <v>0</v>
      </c>
      <c r="G1202" s="61">
        <v>0</v>
      </c>
      <c r="H1202" s="62">
        <v>9.8277207779432052E-2</v>
      </c>
      <c r="I1202" s="62">
        <v>0</v>
      </c>
      <c r="J1202" s="62">
        <v>9.8277207779432052E-2</v>
      </c>
    </row>
    <row r="1203" spans="1:10" ht="11.25" customHeight="1" x14ac:dyDescent="0.2">
      <c r="A1203" s="70" t="s">
        <v>25</v>
      </c>
      <c r="B1203" s="61">
        <v>0</v>
      </c>
      <c r="C1203" s="61">
        <v>0</v>
      </c>
      <c r="D1203" s="61">
        <v>5240592.1511580013</v>
      </c>
      <c r="E1203" s="61">
        <v>3975894.8619336304</v>
      </c>
      <c r="F1203" s="61">
        <v>0</v>
      </c>
      <c r="G1203" s="61">
        <v>0</v>
      </c>
      <c r="H1203" s="62">
        <v>-0.24132717310293139</v>
      </c>
      <c r="I1203" s="62">
        <v>0</v>
      </c>
      <c r="J1203" s="62">
        <v>-0.24132717310293139</v>
      </c>
    </row>
    <row r="1204" spans="1:10" ht="11.25" customHeight="1" x14ac:dyDescent="0.2">
      <c r="A1204" s="71">
        <v>44136</v>
      </c>
      <c r="B1204" s="61">
        <v>0</v>
      </c>
      <c r="C1204" s="61">
        <v>0</v>
      </c>
      <c r="D1204" s="61">
        <v>474988.11032400001</v>
      </c>
      <c r="E1204" s="61">
        <v>360360.57240200584</v>
      </c>
      <c r="F1204" s="61">
        <v>0</v>
      </c>
      <c r="G1204" s="61">
        <v>0</v>
      </c>
      <c r="H1204" s="62">
        <v>-0.24132717310293128</v>
      </c>
      <c r="I1204" s="62">
        <v>0</v>
      </c>
      <c r="J1204" s="62">
        <v>-0.24132717310293128</v>
      </c>
    </row>
    <row r="1205" spans="1:10" ht="11.25" customHeight="1" x14ac:dyDescent="0.2">
      <c r="A1205" s="71">
        <v>44166</v>
      </c>
      <c r="B1205" s="61">
        <v>0</v>
      </c>
      <c r="C1205" s="61">
        <v>0</v>
      </c>
      <c r="D1205" s="61">
        <v>488143.86129600002</v>
      </c>
      <c r="E1205" s="61">
        <v>370341.48318188702</v>
      </c>
      <c r="F1205" s="61">
        <v>0</v>
      </c>
      <c r="G1205" s="61">
        <v>0</v>
      </c>
      <c r="H1205" s="62">
        <v>-0.24132717310293117</v>
      </c>
      <c r="I1205" s="62">
        <v>0</v>
      </c>
      <c r="J1205" s="62">
        <v>-0.24132717310293117</v>
      </c>
    </row>
    <row r="1206" spans="1:10" ht="11.25" customHeight="1" x14ac:dyDescent="0.2">
      <c r="A1206" s="71">
        <v>44197</v>
      </c>
      <c r="B1206" s="61">
        <v>0</v>
      </c>
      <c r="C1206" s="61">
        <v>0</v>
      </c>
      <c r="D1206" s="61">
        <v>451131.42656400008</v>
      </c>
      <c r="E1206" s="61">
        <v>342261.15469341731</v>
      </c>
      <c r="F1206" s="61">
        <v>0</v>
      </c>
      <c r="G1206" s="61">
        <v>0</v>
      </c>
      <c r="H1206" s="62">
        <v>-0.24132717310293128</v>
      </c>
      <c r="I1206" s="62">
        <v>0</v>
      </c>
      <c r="J1206" s="62">
        <v>-0.24132717310293128</v>
      </c>
    </row>
    <row r="1207" spans="1:10" ht="11.25" customHeight="1" x14ac:dyDescent="0.2">
      <c r="A1207" s="71">
        <v>44228</v>
      </c>
      <c r="B1207" s="61">
        <v>0</v>
      </c>
      <c r="C1207" s="61">
        <v>0</v>
      </c>
      <c r="D1207" s="61">
        <v>389207.77350000001</v>
      </c>
      <c r="E1207" s="61">
        <v>295281.36177155905</v>
      </c>
      <c r="F1207" s="61">
        <v>0</v>
      </c>
      <c r="G1207" s="61">
        <v>0</v>
      </c>
      <c r="H1207" s="62">
        <v>-0.24132717310293128</v>
      </c>
      <c r="I1207" s="62">
        <v>0</v>
      </c>
      <c r="J1207" s="62">
        <v>-0.24132717310293128</v>
      </c>
    </row>
    <row r="1208" spans="1:10" ht="11.25" customHeight="1" x14ac:dyDescent="0.2">
      <c r="A1208" s="71">
        <v>44256</v>
      </c>
      <c r="B1208" s="61">
        <v>0</v>
      </c>
      <c r="C1208" s="61">
        <v>0</v>
      </c>
      <c r="D1208" s="61">
        <v>429791.98789799999</v>
      </c>
      <c r="E1208" s="61">
        <v>326071.50243628642</v>
      </c>
      <c r="F1208" s="61">
        <v>0</v>
      </c>
      <c r="G1208" s="61">
        <v>0</v>
      </c>
      <c r="H1208" s="62">
        <v>-0.24132717310293128</v>
      </c>
      <c r="I1208" s="62">
        <v>0</v>
      </c>
      <c r="J1208" s="62">
        <v>-0.24132717310293128</v>
      </c>
    </row>
    <row r="1209" spans="1:10" ht="11.25" customHeight="1" x14ac:dyDescent="0.2">
      <c r="A1209" s="71">
        <v>44287</v>
      </c>
      <c r="B1209" s="61">
        <v>0</v>
      </c>
      <c r="C1209" s="61">
        <v>0</v>
      </c>
      <c r="D1209" s="61">
        <v>410017.06363800005</v>
      </c>
      <c r="E1209" s="61">
        <v>311068.80474627682</v>
      </c>
      <c r="F1209" s="61">
        <v>0</v>
      </c>
      <c r="G1209" s="61">
        <v>0</v>
      </c>
      <c r="H1209" s="62">
        <v>-0.24132717310293128</v>
      </c>
      <c r="I1209" s="62">
        <v>0</v>
      </c>
      <c r="J1209" s="62">
        <v>-0.24132717310293128</v>
      </c>
    </row>
    <row r="1210" spans="1:10" ht="11.25" customHeight="1" x14ac:dyDescent="0.2">
      <c r="A1210" s="71">
        <v>44317</v>
      </c>
      <c r="B1210" s="61">
        <v>0</v>
      </c>
      <c r="C1210" s="61">
        <v>0</v>
      </c>
      <c r="D1210" s="61">
        <v>416948.371476</v>
      </c>
      <c r="E1210" s="61">
        <v>316327.39965782611</v>
      </c>
      <c r="F1210" s="61">
        <v>0</v>
      </c>
      <c r="G1210" s="61">
        <v>0</v>
      </c>
      <c r="H1210" s="62">
        <v>-0.24132717310293117</v>
      </c>
      <c r="I1210" s="62">
        <v>0</v>
      </c>
      <c r="J1210" s="62">
        <v>-0.24132717310293117</v>
      </c>
    </row>
    <row r="1211" spans="1:10" ht="11.25" customHeight="1" x14ac:dyDescent="0.2">
      <c r="A1211" s="71">
        <v>44348</v>
      </c>
      <c r="B1211" s="61">
        <v>0</v>
      </c>
      <c r="C1211" s="61">
        <v>0</v>
      </c>
      <c r="D1211" s="61">
        <v>451131.42656400008</v>
      </c>
      <c r="E1211" s="61">
        <v>342261.15469341731</v>
      </c>
      <c r="F1211" s="61">
        <v>0</v>
      </c>
      <c r="G1211" s="61">
        <v>0</v>
      </c>
      <c r="H1211" s="62">
        <v>-0.24132717310293128</v>
      </c>
      <c r="I1211" s="62">
        <v>0</v>
      </c>
      <c r="J1211" s="62">
        <v>-0.24132717310293128</v>
      </c>
    </row>
    <row r="1212" spans="1:10" ht="11.25" customHeight="1" x14ac:dyDescent="0.2">
      <c r="A1212" s="71">
        <v>44378</v>
      </c>
      <c r="B1212" s="61">
        <v>0</v>
      </c>
      <c r="C1212" s="61">
        <v>0</v>
      </c>
      <c r="D1212" s="61">
        <v>429072.63781200006</v>
      </c>
      <c r="E1212" s="61">
        <v>325525.75107301219</v>
      </c>
      <c r="F1212" s="61">
        <v>0</v>
      </c>
      <c r="G1212" s="61">
        <v>0</v>
      </c>
      <c r="H1212" s="62">
        <v>-0.24132717310293128</v>
      </c>
      <c r="I1212" s="62">
        <v>0</v>
      </c>
      <c r="J1212" s="62">
        <v>-0.24132717310293128</v>
      </c>
    </row>
    <row r="1213" spans="1:10" ht="11.25" customHeight="1" x14ac:dyDescent="0.2">
      <c r="A1213" s="71">
        <v>44409</v>
      </c>
      <c r="B1213" s="61">
        <v>0</v>
      </c>
      <c r="C1213" s="61">
        <v>0</v>
      </c>
      <c r="D1213" s="61">
        <v>441255.48940200004</v>
      </c>
      <c r="E1213" s="61">
        <v>334768.54952846497</v>
      </c>
      <c r="F1213" s="61">
        <v>0</v>
      </c>
      <c r="G1213" s="61">
        <v>0</v>
      </c>
      <c r="H1213" s="62">
        <v>-0.24132717310293117</v>
      </c>
      <c r="I1213" s="62">
        <v>0</v>
      </c>
      <c r="J1213" s="62">
        <v>-0.24132717310293117</v>
      </c>
    </row>
    <row r="1214" spans="1:10" ht="11.25" customHeight="1" x14ac:dyDescent="0.2">
      <c r="A1214" s="71">
        <v>44440</v>
      </c>
      <c r="B1214" s="61">
        <v>0</v>
      </c>
      <c r="C1214" s="61">
        <v>0</v>
      </c>
      <c r="D1214" s="61">
        <v>429452.00134200003</v>
      </c>
      <c r="E1214" s="61">
        <v>325813.56387473893</v>
      </c>
      <c r="F1214" s="61">
        <v>0</v>
      </c>
      <c r="G1214" s="61">
        <v>0</v>
      </c>
      <c r="H1214" s="62">
        <v>-0.24132717310293128</v>
      </c>
      <c r="I1214" s="62">
        <v>0</v>
      </c>
      <c r="J1214" s="62">
        <v>-0.24132717310293128</v>
      </c>
    </row>
    <row r="1215" spans="1:10" ht="11.25" customHeight="1" x14ac:dyDescent="0.2">
      <c r="A1215" s="71">
        <v>44470</v>
      </c>
      <c r="B1215" s="61">
        <v>0</v>
      </c>
      <c r="C1215" s="61">
        <v>0</v>
      </c>
      <c r="D1215" s="61">
        <v>429452.00134200003</v>
      </c>
      <c r="E1215" s="61">
        <v>325813.56387473893</v>
      </c>
      <c r="F1215" s="61">
        <v>0</v>
      </c>
      <c r="G1215" s="61">
        <v>0</v>
      </c>
      <c r="H1215" s="62">
        <v>-0.24132717310293128</v>
      </c>
      <c r="I1215" s="62">
        <v>0</v>
      </c>
      <c r="J1215" s="62">
        <v>-0.24132717310293128</v>
      </c>
    </row>
    <row r="1216" spans="1:10" ht="11.25" customHeight="1" x14ac:dyDescent="0.2">
      <c r="A1216" s="70" t="s">
        <v>37</v>
      </c>
      <c r="B1216" s="61">
        <v>1175779.0408000003</v>
      </c>
      <c r="C1216" s="61">
        <v>1291627.8320099777</v>
      </c>
      <c r="D1216" s="61">
        <v>0</v>
      </c>
      <c r="E1216" s="61">
        <v>0</v>
      </c>
      <c r="F1216" s="61">
        <v>0</v>
      </c>
      <c r="G1216" s="61">
        <v>0</v>
      </c>
      <c r="H1216" s="62">
        <v>9.8529389613165597E-2</v>
      </c>
      <c r="I1216" s="62">
        <v>0</v>
      </c>
      <c r="J1216" s="62">
        <v>9.8529389613165597E-2</v>
      </c>
    </row>
    <row r="1217" spans="1:10" ht="11.25" customHeight="1" x14ac:dyDescent="0.2">
      <c r="A1217" s="71">
        <v>44136</v>
      </c>
      <c r="B1217" s="61">
        <v>99972.381600000008</v>
      </c>
      <c r="C1217" s="61">
        <v>109822.59933722246</v>
      </c>
      <c r="D1217" s="61">
        <v>0</v>
      </c>
      <c r="E1217" s="61">
        <v>0</v>
      </c>
      <c r="F1217" s="61">
        <v>0</v>
      </c>
      <c r="G1217" s="61">
        <v>0</v>
      </c>
      <c r="H1217" s="62">
        <v>9.8529389613165375E-2</v>
      </c>
      <c r="I1217" s="62">
        <v>0</v>
      </c>
      <c r="J1217" s="62">
        <v>9.8529389613165375E-2</v>
      </c>
    </row>
    <row r="1218" spans="1:10" ht="11.25" customHeight="1" x14ac:dyDescent="0.2">
      <c r="A1218" s="71">
        <v>44166</v>
      </c>
      <c r="B1218" s="61">
        <v>101777.60320000001</v>
      </c>
      <c r="C1218" s="61">
        <v>111805.68831958696</v>
      </c>
      <c r="D1218" s="61">
        <v>0</v>
      </c>
      <c r="E1218" s="61">
        <v>0</v>
      </c>
      <c r="F1218" s="61">
        <v>0</v>
      </c>
      <c r="G1218" s="61">
        <v>0</v>
      </c>
      <c r="H1218" s="62">
        <v>9.8529389613165375E-2</v>
      </c>
      <c r="I1218" s="62">
        <v>0</v>
      </c>
      <c r="J1218" s="62">
        <v>9.8529389613165375E-2</v>
      </c>
    </row>
    <row r="1219" spans="1:10" ht="11.25" customHeight="1" x14ac:dyDescent="0.2">
      <c r="A1219" s="71">
        <v>44197</v>
      </c>
      <c r="B1219" s="61">
        <v>97402.905600000013</v>
      </c>
      <c r="C1219" s="61">
        <v>106999.95443531679</v>
      </c>
      <c r="D1219" s="61">
        <v>0</v>
      </c>
      <c r="E1219" s="61">
        <v>0</v>
      </c>
      <c r="F1219" s="61">
        <v>0</v>
      </c>
      <c r="G1219" s="61">
        <v>0</v>
      </c>
      <c r="H1219" s="62">
        <v>9.8529389613165375E-2</v>
      </c>
      <c r="I1219" s="62">
        <v>0</v>
      </c>
      <c r="J1219" s="62">
        <v>9.8529389613165375E-2</v>
      </c>
    </row>
    <row r="1220" spans="1:10" ht="11.25" customHeight="1" x14ac:dyDescent="0.2">
      <c r="A1220" s="71">
        <v>44228</v>
      </c>
      <c r="B1220" s="61">
        <v>97402.905600000013</v>
      </c>
      <c r="C1220" s="61">
        <v>106999.95443531679</v>
      </c>
      <c r="D1220" s="61">
        <v>0</v>
      </c>
      <c r="E1220" s="61">
        <v>0</v>
      </c>
      <c r="F1220" s="61">
        <v>0</v>
      </c>
      <c r="G1220" s="61">
        <v>0</v>
      </c>
      <c r="H1220" s="62">
        <v>9.8529389613165375E-2</v>
      </c>
      <c r="I1220" s="62">
        <v>0</v>
      </c>
      <c r="J1220" s="62">
        <v>9.8529389613165375E-2</v>
      </c>
    </row>
    <row r="1221" spans="1:10" ht="11.25" customHeight="1" x14ac:dyDescent="0.2">
      <c r="A1221" s="71">
        <v>44256</v>
      </c>
      <c r="B1221" s="61">
        <v>97402.905600000013</v>
      </c>
      <c r="C1221" s="61">
        <v>106999.95443531679</v>
      </c>
      <c r="D1221" s="61">
        <v>0</v>
      </c>
      <c r="E1221" s="61">
        <v>0</v>
      </c>
      <c r="F1221" s="61">
        <v>0</v>
      </c>
      <c r="G1221" s="61">
        <v>0</v>
      </c>
      <c r="H1221" s="62">
        <v>9.8529389613165375E-2</v>
      </c>
      <c r="I1221" s="62">
        <v>0</v>
      </c>
      <c r="J1221" s="62">
        <v>9.8529389613165375E-2</v>
      </c>
    </row>
    <row r="1222" spans="1:10" ht="11.25" customHeight="1" x14ac:dyDescent="0.2">
      <c r="A1222" s="71">
        <v>44287</v>
      </c>
      <c r="B1222" s="61">
        <v>97402.905600000013</v>
      </c>
      <c r="C1222" s="61">
        <v>106999.95443531679</v>
      </c>
      <c r="D1222" s="61">
        <v>0</v>
      </c>
      <c r="E1222" s="61">
        <v>0</v>
      </c>
      <c r="F1222" s="61">
        <v>0</v>
      </c>
      <c r="G1222" s="61">
        <v>0</v>
      </c>
      <c r="H1222" s="62">
        <v>9.8529389613165375E-2</v>
      </c>
      <c r="I1222" s="62">
        <v>0</v>
      </c>
      <c r="J1222" s="62">
        <v>9.8529389613165375E-2</v>
      </c>
    </row>
    <row r="1223" spans="1:10" ht="11.25" customHeight="1" x14ac:dyDescent="0.2">
      <c r="A1223" s="71">
        <v>44317</v>
      </c>
      <c r="B1223" s="61">
        <v>97402.905600000013</v>
      </c>
      <c r="C1223" s="61">
        <v>106999.95443531679</v>
      </c>
      <c r="D1223" s="61">
        <v>0</v>
      </c>
      <c r="E1223" s="61">
        <v>0</v>
      </c>
      <c r="F1223" s="61">
        <v>0</v>
      </c>
      <c r="G1223" s="61">
        <v>0</v>
      </c>
      <c r="H1223" s="62">
        <v>9.8529389613165375E-2</v>
      </c>
      <c r="I1223" s="62">
        <v>0</v>
      </c>
      <c r="J1223" s="62">
        <v>9.8529389613165375E-2</v>
      </c>
    </row>
    <row r="1224" spans="1:10" ht="11.25" customHeight="1" x14ac:dyDescent="0.2">
      <c r="A1224" s="71">
        <v>44348</v>
      </c>
      <c r="B1224" s="61">
        <v>97402.905600000013</v>
      </c>
      <c r="C1224" s="61">
        <v>106999.95443531679</v>
      </c>
      <c r="D1224" s="61">
        <v>0</v>
      </c>
      <c r="E1224" s="61">
        <v>0</v>
      </c>
      <c r="F1224" s="61">
        <v>0</v>
      </c>
      <c r="G1224" s="61">
        <v>0</v>
      </c>
      <c r="H1224" s="62">
        <v>9.8529389613165375E-2</v>
      </c>
      <c r="I1224" s="62">
        <v>0</v>
      </c>
      <c r="J1224" s="62">
        <v>9.8529389613165375E-2</v>
      </c>
    </row>
    <row r="1225" spans="1:10" ht="11.25" customHeight="1" x14ac:dyDescent="0.2">
      <c r="A1225" s="71">
        <v>44378</v>
      </c>
      <c r="B1225" s="61">
        <v>97402.905600000013</v>
      </c>
      <c r="C1225" s="61">
        <v>106999.95443531679</v>
      </c>
      <c r="D1225" s="61">
        <v>0</v>
      </c>
      <c r="E1225" s="61">
        <v>0</v>
      </c>
      <c r="F1225" s="61">
        <v>0</v>
      </c>
      <c r="G1225" s="61">
        <v>0</v>
      </c>
      <c r="H1225" s="62">
        <v>9.8529389613165375E-2</v>
      </c>
      <c r="I1225" s="62">
        <v>0</v>
      </c>
      <c r="J1225" s="62">
        <v>9.8529389613165375E-2</v>
      </c>
    </row>
    <row r="1226" spans="1:10" ht="11.25" customHeight="1" x14ac:dyDescent="0.2">
      <c r="A1226" s="71">
        <v>44409</v>
      </c>
      <c r="B1226" s="61">
        <v>97402.905600000013</v>
      </c>
      <c r="C1226" s="61">
        <v>106999.95443531679</v>
      </c>
      <c r="D1226" s="61">
        <v>0</v>
      </c>
      <c r="E1226" s="61">
        <v>0</v>
      </c>
      <c r="F1226" s="61">
        <v>0</v>
      </c>
      <c r="G1226" s="61">
        <v>0</v>
      </c>
      <c r="H1226" s="62">
        <v>9.8529389613165375E-2</v>
      </c>
      <c r="I1226" s="62">
        <v>0</v>
      </c>
      <c r="J1226" s="62">
        <v>9.8529389613165375E-2</v>
      </c>
    </row>
    <row r="1227" spans="1:10" ht="11.25" customHeight="1" x14ac:dyDescent="0.2">
      <c r="A1227" s="71">
        <v>44440</v>
      </c>
      <c r="B1227" s="61">
        <v>97402.905600000013</v>
      </c>
      <c r="C1227" s="61">
        <v>106999.95443531679</v>
      </c>
      <c r="D1227" s="61">
        <v>0</v>
      </c>
      <c r="E1227" s="61">
        <v>0</v>
      </c>
      <c r="F1227" s="61">
        <v>0</v>
      </c>
      <c r="G1227" s="61">
        <v>0</v>
      </c>
      <c r="H1227" s="62">
        <v>9.8529389613165375E-2</v>
      </c>
      <c r="I1227" s="62">
        <v>0</v>
      </c>
      <c r="J1227" s="62">
        <v>9.8529389613165375E-2</v>
      </c>
    </row>
    <row r="1228" spans="1:10" ht="11.25" customHeight="1" x14ac:dyDescent="0.2">
      <c r="A1228" s="71">
        <v>44470</v>
      </c>
      <c r="B1228" s="61">
        <v>97402.905600000013</v>
      </c>
      <c r="C1228" s="61">
        <v>106999.95443531679</v>
      </c>
      <c r="D1228" s="61">
        <v>0</v>
      </c>
      <c r="E1228" s="61">
        <v>0</v>
      </c>
      <c r="F1228" s="61">
        <v>0</v>
      </c>
      <c r="G1228" s="61">
        <v>0</v>
      </c>
      <c r="H1228" s="62">
        <v>9.8529389613165375E-2</v>
      </c>
      <c r="I1228" s="62">
        <v>0</v>
      </c>
      <c r="J1228" s="62">
        <v>9.8529389613165375E-2</v>
      </c>
    </row>
    <row r="1229" spans="1:10" ht="11.25" customHeight="1" x14ac:dyDescent="0.2">
      <c r="A1229" s="64" t="s">
        <v>35</v>
      </c>
      <c r="B1229" s="61">
        <v>48170671.442915007</v>
      </c>
      <c r="C1229" s="61">
        <v>53856136.450479038</v>
      </c>
      <c r="D1229" s="61">
        <v>121513162.93783811</v>
      </c>
      <c r="E1229" s="61">
        <v>60179119.727777973</v>
      </c>
      <c r="F1229" s="61">
        <v>0</v>
      </c>
      <c r="G1229" s="61">
        <v>0</v>
      </c>
      <c r="H1229" s="62">
        <v>-0.32795450671880966</v>
      </c>
      <c r="I1229" s="62">
        <v>0</v>
      </c>
      <c r="J1229" s="62">
        <v>-0.32795450671880966</v>
      </c>
    </row>
    <row r="1230" spans="1:10" ht="11.25" customHeight="1" x14ac:dyDescent="0.2">
      <c r="A1230" s="65" t="s">
        <v>44</v>
      </c>
      <c r="B1230" s="61">
        <v>30363525.901854999</v>
      </c>
      <c r="C1230" s="61">
        <v>33954365.815919779</v>
      </c>
      <c r="D1230" s="61">
        <v>47013149.574820004</v>
      </c>
      <c r="E1230" s="61">
        <v>17030618.494177043</v>
      </c>
      <c r="F1230" s="61">
        <v>0</v>
      </c>
      <c r="G1230" s="61">
        <v>0</v>
      </c>
      <c r="H1230" s="62">
        <v>-0.34108070686668213</v>
      </c>
      <c r="I1230" s="62">
        <v>0</v>
      </c>
      <c r="J1230" s="62">
        <v>-0.34108070686668213</v>
      </c>
    </row>
    <row r="1231" spans="1:10" ht="11.25" customHeight="1" x14ac:dyDescent="0.2">
      <c r="A1231" s="66" t="s">
        <v>45</v>
      </c>
      <c r="B1231" s="61">
        <v>685332.56</v>
      </c>
      <c r="C1231" s="61">
        <v>766394.19092897419</v>
      </c>
      <c r="D1231" s="61">
        <v>522607.31431999989</v>
      </c>
      <c r="E1231" s="61">
        <v>189315.66748757791</v>
      </c>
      <c r="F1231" s="61">
        <v>0</v>
      </c>
      <c r="G1231" s="61">
        <v>0</v>
      </c>
      <c r="H1231" s="62">
        <v>-0.20881007512517025</v>
      </c>
      <c r="I1231" s="62">
        <v>0</v>
      </c>
      <c r="J1231" s="62">
        <v>-0.20881007512517025</v>
      </c>
    </row>
    <row r="1232" spans="1:10" ht="11.25" customHeight="1" x14ac:dyDescent="0.2">
      <c r="A1232" s="67" t="s">
        <v>25</v>
      </c>
      <c r="B1232" s="61">
        <v>685332.56</v>
      </c>
      <c r="C1232" s="61">
        <v>766394.19092897419</v>
      </c>
      <c r="D1232" s="61">
        <v>522607.31431999989</v>
      </c>
      <c r="E1232" s="61">
        <v>189315.66748757791</v>
      </c>
      <c r="F1232" s="61">
        <v>0</v>
      </c>
      <c r="G1232" s="61">
        <v>0</v>
      </c>
      <c r="H1232" s="62">
        <v>-0.20881007512517025</v>
      </c>
      <c r="I1232" s="62">
        <v>0</v>
      </c>
      <c r="J1232" s="62">
        <v>-0.20881007512517025</v>
      </c>
    </row>
    <row r="1233" spans="1:10" ht="11.25" customHeight="1" x14ac:dyDescent="0.2">
      <c r="A1233" s="68" t="s">
        <v>25</v>
      </c>
      <c r="B1233" s="61">
        <v>685332.56</v>
      </c>
      <c r="C1233" s="61">
        <v>766394.19092897419</v>
      </c>
      <c r="D1233" s="61">
        <v>522607.31431999989</v>
      </c>
      <c r="E1233" s="61">
        <v>189315.66748757791</v>
      </c>
      <c r="F1233" s="61">
        <v>0</v>
      </c>
      <c r="G1233" s="61">
        <v>0</v>
      </c>
      <c r="H1233" s="62">
        <v>-0.20881007512517025</v>
      </c>
      <c r="I1233" s="62">
        <v>0</v>
      </c>
      <c r="J1233" s="62">
        <v>-0.20881007512517025</v>
      </c>
    </row>
    <row r="1234" spans="1:10" ht="11.25" customHeight="1" x14ac:dyDescent="0.2">
      <c r="A1234" s="69" t="s">
        <v>25</v>
      </c>
      <c r="B1234" s="61">
        <v>685332.56</v>
      </c>
      <c r="C1234" s="61">
        <v>766394.19092897419</v>
      </c>
      <c r="D1234" s="61">
        <v>522607.31431999989</v>
      </c>
      <c r="E1234" s="61">
        <v>189315.66748757791</v>
      </c>
      <c r="F1234" s="61">
        <v>0</v>
      </c>
      <c r="G1234" s="61">
        <v>0</v>
      </c>
      <c r="H1234" s="62">
        <v>-0.20881007512517025</v>
      </c>
      <c r="I1234" s="62">
        <v>0</v>
      </c>
      <c r="J1234" s="62">
        <v>-0.20881007512517025</v>
      </c>
    </row>
    <row r="1235" spans="1:10" ht="11.25" customHeight="1" x14ac:dyDescent="0.2">
      <c r="A1235" s="70" t="s">
        <v>38</v>
      </c>
      <c r="B1235" s="61">
        <v>240216.56</v>
      </c>
      <c r="C1235" s="61">
        <v>268472.83685750444</v>
      </c>
      <c r="D1235" s="61">
        <v>0</v>
      </c>
      <c r="E1235" s="61">
        <v>0</v>
      </c>
      <c r="F1235" s="61">
        <v>0</v>
      </c>
      <c r="G1235" s="61">
        <v>0</v>
      </c>
      <c r="H1235" s="62">
        <v>0.1176283469278907</v>
      </c>
      <c r="I1235" s="62">
        <v>0</v>
      </c>
      <c r="J1235" s="62">
        <v>0.1176283469278907</v>
      </c>
    </row>
    <row r="1236" spans="1:10" ht="11.25" customHeight="1" x14ac:dyDescent="0.2">
      <c r="A1236" s="71">
        <v>44287</v>
      </c>
      <c r="B1236" s="61">
        <v>40226.559999999998</v>
      </c>
      <c r="C1236" s="61">
        <v>44958.343755395617</v>
      </c>
      <c r="D1236" s="61">
        <v>0</v>
      </c>
      <c r="E1236" s="61">
        <v>0</v>
      </c>
      <c r="F1236" s="61">
        <v>0</v>
      </c>
      <c r="G1236" s="61">
        <v>0</v>
      </c>
      <c r="H1236" s="62">
        <v>0.11762834692789093</v>
      </c>
      <c r="I1236" s="62">
        <v>0</v>
      </c>
      <c r="J1236" s="62">
        <v>0.11762834692789093</v>
      </c>
    </row>
    <row r="1237" spans="1:10" ht="11.25" customHeight="1" x14ac:dyDescent="0.2">
      <c r="A1237" s="71">
        <v>44317</v>
      </c>
      <c r="B1237" s="61">
        <v>39998</v>
      </c>
      <c r="C1237" s="61">
        <v>44702.898620421773</v>
      </c>
      <c r="D1237" s="61">
        <v>0</v>
      </c>
      <c r="E1237" s="61">
        <v>0</v>
      </c>
      <c r="F1237" s="61">
        <v>0</v>
      </c>
      <c r="G1237" s="61">
        <v>0</v>
      </c>
      <c r="H1237" s="62">
        <v>0.1176283469278907</v>
      </c>
      <c r="I1237" s="62">
        <v>0</v>
      </c>
      <c r="J1237" s="62">
        <v>0.1176283469278907</v>
      </c>
    </row>
    <row r="1238" spans="1:10" ht="11.25" customHeight="1" x14ac:dyDescent="0.2">
      <c r="A1238" s="71">
        <v>44378</v>
      </c>
      <c r="B1238" s="61">
        <v>39998</v>
      </c>
      <c r="C1238" s="61">
        <v>44702.898620421773</v>
      </c>
      <c r="D1238" s="61">
        <v>0</v>
      </c>
      <c r="E1238" s="61">
        <v>0</v>
      </c>
      <c r="F1238" s="61">
        <v>0</v>
      </c>
      <c r="G1238" s="61">
        <v>0</v>
      </c>
      <c r="H1238" s="62">
        <v>0.1176283469278907</v>
      </c>
      <c r="I1238" s="62">
        <v>0</v>
      </c>
      <c r="J1238" s="62">
        <v>0.1176283469278907</v>
      </c>
    </row>
    <row r="1239" spans="1:10" ht="11.25" customHeight="1" x14ac:dyDescent="0.2">
      <c r="A1239" s="71">
        <v>44409</v>
      </c>
      <c r="B1239" s="61">
        <v>39998</v>
      </c>
      <c r="C1239" s="61">
        <v>44702.898620421773</v>
      </c>
      <c r="D1239" s="61">
        <v>0</v>
      </c>
      <c r="E1239" s="61">
        <v>0</v>
      </c>
      <c r="F1239" s="61">
        <v>0</v>
      </c>
      <c r="G1239" s="61">
        <v>0</v>
      </c>
      <c r="H1239" s="62">
        <v>0.1176283469278907</v>
      </c>
      <c r="I1239" s="62">
        <v>0</v>
      </c>
      <c r="J1239" s="62">
        <v>0.1176283469278907</v>
      </c>
    </row>
    <row r="1240" spans="1:10" ht="11.25" customHeight="1" x14ac:dyDescent="0.2">
      <c r="A1240" s="71">
        <v>44440</v>
      </c>
      <c r="B1240" s="61">
        <v>39998</v>
      </c>
      <c r="C1240" s="61">
        <v>44702.898620421773</v>
      </c>
      <c r="D1240" s="61">
        <v>0</v>
      </c>
      <c r="E1240" s="61">
        <v>0</v>
      </c>
      <c r="F1240" s="61">
        <v>0</v>
      </c>
      <c r="G1240" s="61">
        <v>0</v>
      </c>
      <c r="H1240" s="62">
        <v>0.1176283469278907</v>
      </c>
      <c r="I1240" s="62">
        <v>0</v>
      </c>
      <c r="J1240" s="62">
        <v>0.1176283469278907</v>
      </c>
    </row>
    <row r="1241" spans="1:10" ht="11.25" customHeight="1" x14ac:dyDescent="0.2">
      <c r="A1241" s="71">
        <v>44470</v>
      </c>
      <c r="B1241" s="61">
        <v>39998</v>
      </c>
      <c r="C1241" s="61">
        <v>44702.898620421773</v>
      </c>
      <c r="D1241" s="61">
        <v>0</v>
      </c>
      <c r="E1241" s="61">
        <v>0</v>
      </c>
      <c r="F1241" s="61">
        <v>0</v>
      </c>
      <c r="G1241" s="61">
        <v>0</v>
      </c>
      <c r="H1241" s="62">
        <v>0.1176283469278907</v>
      </c>
      <c r="I1241" s="62">
        <v>0</v>
      </c>
      <c r="J1241" s="62">
        <v>0.1176283469278907</v>
      </c>
    </row>
    <row r="1242" spans="1:10" ht="11.25" customHeight="1" x14ac:dyDescent="0.2">
      <c r="A1242" s="70" t="s">
        <v>25</v>
      </c>
      <c r="B1242" s="61">
        <v>0</v>
      </c>
      <c r="C1242" s="61">
        <v>0</v>
      </c>
      <c r="D1242" s="61">
        <v>522607.31431999989</v>
      </c>
      <c r="E1242" s="61">
        <v>189315.66748757791</v>
      </c>
      <c r="F1242" s="61">
        <v>0</v>
      </c>
      <c r="G1242" s="61">
        <v>0</v>
      </c>
      <c r="H1242" s="62">
        <v>-0.63774776529121202</v>
      </c>
      <c r="I1242" s="62">
        <v>0</v>
      </c>
      <c r="J1242" s="62">
        <v>-0.63774776529121202</v>
      </c>
    </row>
    <row r="1243" spans="1:10" ht="11.25" customHeight="1" x14ac:dyDescent="0.2">
      <c r="A1243" s="71">
        <v>44287</v>
      </c>
      <c r="B1243" s="61">
        <v>0</v>
      </c>
      <c r="C1243" s="61">
        <v>0</v>
      </c>
      <c r="D1243" s="61">
        <v>110447.28967999999</v>
      </c>
      <c r="E1243" s="61">
        <v>40009.777504108846</v>
      </c>
      <c r="F1243" s="61">
        <v>0</v>
      </c>
      <c r="G1243" s="61">
        <v>0</v>
      </c>
      <c r="H1243" s="62">
        <v>-0.63774776529121202</v>
      </c>
      <c r="I1243" s="62">
        <v>0</v>
      </c>
      <c r="J1243" s="62">
        <v>-0.63774776529121202</v>
      </c>
    </row>
    <row r="1244" spans="1:10" ht="11.25" customHeight="1" x14ac:dyDescent="0.2">
      <c r="A1244" s="71">
        <v>44317</v>
      </c>
      <c r="B1244" s="61">
        <v>0</v>
      </c>
      <c r="C1244" s="61">
        <v>0</v>
      </c>
      <c r="D1244" s="61">
        <v>93529.523359999992</v>
      </c>
      <c r="E1244" s="61">
        <v>33881.278848407783</v>
      </c>
      <c r="F1244" s="61">
        <v>0</v>
      </c>
      <c r="G1244" s="61">
        <v>0</v>
      </c>
      <c r="H1244" s="62">
        <v>-0.63774776529121202</v>
      </c>
      <c r="I1244" s="62">
        <v>0</v>
      </c>
      <c r="J1244" s="62">
        <v>-0.63774776529121202</v>
      </c>
    </row>
    <row r="1245" spans="1:10" ht="11.25" customHeight="1" x14ac:dyDescent="0.2">
      <c r="A1245" s="71">
        <v>44378</v>
      </c>
      <c r="B1245" s="61">
        <v>0</v>
      </c>
      <c r="C1245" s="61">
        <v>0</v>
      </c>
      <c r="D1245" s="61">
        <v>90590.49089999999</v>
      </c>
      <c r="E1245" s="61">
        <v>32816.607771891111</v>
      </c>
      <c r="F1245" s="61">
        <v>0</v>
      </c>
      <c r="G1245" s="61">
        <v>0</v>
      </c>
      <c r="H1245" s="62">
        <v>-0.63774776529121202</v>
      </c>
      <c r="I1245" s="62">
        <v>0</v>
      </c>
      <c r="J1245" s="62">
        <v>-0.63774776529121202</v>
      </c>
    </row>
    <row r="1246" spans="1:10" ht="11.25" customHeight="1" x14ac:dyDescent="0.2">
      <c r="A1246" s="71">
        <v>44409</v>
      </c>
      <c r="B1246" s="61">
        <v>0</v>
      </c>
      <c r="C1246" s="61">
        <v>0</v>
      </c>
      <c r="D1246" s="61">
        <v>82688.829859999998</v>
      </c>
      <c r="E1246" s="61">
        <v>29954.213402239748</v>
      </c>
      <c r="F1246" s="61">
        <v>0</v>
      </c>
      <c r="G1246" s="61">
        <v>0</v>
      </c>
      <c r="H1246" s="62">
        <v>-0.63774776529121213</v>
      </c>
      <c r="I1246" s="62">
        <v>0</v>
      </c>
      <c r="J1246" s="62">
        <v>-0.63774776529121213</v>
      </c>
    </row>
    <row r="1247" spans="1:10" ht="11.25" customHeight="1" x14ac:dyDescent="0.2">
      <c r="A1247" s="71">
        <v>44440</v>
      </c>
      <c r="B1247" s="61">
        <v>0</v>
      </c>
      <c r="C1247" s="61">
        <v>0</v>
      </c>
      <c r="D1247" s="61">
        <v>72675.590259999997</v>
      </c>
      <c r="E1247" s="61">
        <v>26326.894980465218</v>
      </c>
      <c r="F1247" s="61">
        <v>0</v>
      </c>
      <c r="G1247" s="61">
        <v>0</v>
      </c>
      <c r="H1247" s="62">
        <v>-0.63774776529121213</v>
      </c>
      <c r="I1247" s="62">
        <v>0</v>
      </c>
      <c r="J1247" s="62">
        <v>-0.63774776529121213</v>
      </c>
    </row>
    <row r="1248" spans="1:10" ht="11.25" customHeight="1" x14ac:dyDescent="0.2">
      <c r="A1248" s="71">
        <v>44470</v>
      </c>
      <c r="B1248" s="61">
        <v>0</v>
      </c>
      <c r="C1248" s="61">
        <v>0</v>
      </c>
      <c r="D1248" s="61">
        <v>72675.590259999997</v>
      </c>
      <c r="E1248" s="61">
        <v>26326.894980465218</v>
      </c>
      <c r="F1248" s="61">
        <v>0</v>
      </c>
      <c r="G1248" s="61">
        <v>0</v>
      </c>
      <c r="H1248" s="62">
        <v>-0.63774776529121213</v>
      </c>
      <c r="I1248" s="62">
        <v>0</v>
      </c>
      <c r="J1248" s="62">
        <v>-0.63774776529121213</v>
      </c>
    </row>
    <row r="1249" spans="1:10" ht="11.25" customHeight="1" x14ac:dyDescent="0.2">
      <c r="A1249" s="70" t="s">
        <v>37</v>
      </c>
      <c r="B1249" s="61">
        <v>445116</v>
      </c>
      <c r="C1249" s="61">
        <v>497921.35407146963</v>
      </c>
      <c r="D1249" s="61">
        <v>0</v>
      </c>
      <c r="E1249" s="61">
        <v>0</v>
      </c>
      <c r="F1249" s="61">
        <v>0</v>
      </c>
      <c r="G1249" s="61">
        <v>0</v>
      </c>
      <c r="H1249" s="62">
        <v>0.11863279251132197</v>
      </c>
      <c r="I1249" s="62">
        <v>0</v>
      </c>
      <c r="J1249" s="62">
        <v>0.11863279251132197</v>
      </c>
    </row>
    <row r="1250" spans="1:10" ht="11.25" customHeight="1" x14ac:dyDescent="0.2">
      <c r="A1250" s="71">
        <v>44287</v>
      </c>
      <c r="B1250" s="61">
        <v>74186</v>
      </c>
      <c r="C1250" s="61">
        <v>82986.892345244938</v>
      </c>
      <c r="D1250" s="61">
        <v>0</v>
      </c>
      <c r="E1250" s="61">
        <v>0</v>
      </c>
      <c r="F1250" s="61">
        <v>0</v>
      </c>
      <c r="G1250" s="61">
        <v>0</v>
      </c>
      <c r="H1250" s="62">
        <v>0.11863279251132197</v>
      </c>
      <c r="I1250" s="62">
        <v>0</v>
      </c>
      <c r="J1250" s="62">
        <v>0.11863279251132197</v>
      </c>
    </row>
    <row r="1251" spans="1:10" ht="11.25" customHeight="1" x14ac:dyDescent="0.2">
      <c r="A1251" s="71">
        <v>44317</v>
      </c>
      <c r="B1251" s="61">
        <v>74186</v>
      </c>
      <c r="C1251" s="61">
        <v>82986.892345244938</v>
      </c>
      <c r="D1251" s="61">
        <v>0</v>
      </c>
      <c r="E1251" s="61">
        <v>0</v>
      </c>
      <c r="F1251" s="61">
        <v>0</v>
      </c>
      <c r="G1251" s="61">
        <v>0</v>
      </c>
      <c r="H1251" s="62">
        <v>0.11863279251132197</v>
      </c>
      <c r="I1251" s="62">
        <v>0</v>
      </c>
      <c r="J1251" s="62">
        <v>0.11863279251132197</v>
      </c>
    </row>
    <row r="1252" spans="1:10" ht="11.25" customHeight="1" x14ac:dyDescent="0.2">
      <c r="A1252" s="71">
        <v>44378</v>
      </c>
      <c r="B1252" s="61">
        <v>74186</v>
      </c>
      <c r="C1252" s="61">
        <v>82986.892345244938</v>
      </c>
      <c r="D1252" s="61">
        <v>0</v>
      </c>
      <c r="E1252" s="61">
        <v>0</v>
      </c>
      <c r="F1252" s="61">
        <v>0</v>
      </c>
      <c r="G1252" s="61">
        <v>0</v>
      </c>
      <c r="H1252" s="62">
        <v>0.11863279251132197</v>
      </c>
      <c r="I1252" s="62">
        <v>0</v>
      </c>
      <c r="J1252" s="62">
        <v>0.11863279251132197</v>
      </c>
    </row>
    <row r="1253" spans="1:10" ht="11.25" customHeight="1" x14ac:dyDescent="0.2">
      <c r="A1253" s="71">
        <v>44409</v>
      </c>
      <c r="B1253" s="61">
        <v>74186</v>
      </c>
      <c r="C1253" s="61">
        <v>82986.892345244938</v>
      </c>
      <c r="D1253" s="61">
        <v>0</v>
      </c>
      <c r="E1253" s="61">
        <v>0</v>
      </c>
      <c r="F1253" s="61">
        <v>0</v>
      </c>
      <c r="G1253" s="61">
        <v>0</v>
      </c>
      <c r="H1253" s="62">
        <v>0.11863279251132197</v>
      </c>
      <c r="I1253" s="62">
        <v>0</v>
      </c>
      <c r="J1253" s="62">
        <v>0.11863279251132197</v>
      </c>
    </row>
    <row r="1254" spans="1:10" ht="11.25" customHeight="1" x14ac:dyDescent="0.2">
      <c r="A1254" s="71">
        <v>44440</v>
      </c>
      <c r="B1254" s="61">
        <v>74186</v>
      </c>
      <c r="C1254" s="61">
        <v>82986.892345244938</v>
      </c>
      <c r="D1254" s="61">
        <v>0</v>
      </c>
      <c r="E1254" s="61">
        <v>0</v>
      </c>
      <c r="F1254" s="61">
        <v>0</v>
      </c>
      <c r="G1254" s="61">
        <v>0</v>
      </c>
      <c r="H1254" s="62">
        <v>0.11863279251132197</v>
      </c>
      <c r="I1254" s="62">
        <v>0</v>
      </c>
      <c r="J1254" s="62">
        <v>0.11863279251132197</v>
      </c>
    </row>
    <row r="1255" spans="1:10" ht="11.25" customHeight="1" x14ac:dyDescent="0.2">
      <c r="A1255" s="71">
        <v>44470</v>
      </c>
      <c r="B1255" s="61">
        <v>74186</v>
      </c>
      <c r="C1255" s="61">
        <v>82986.892345244938</v>
      </c>
      <c r="D1255" s="61">
        <v>0</v>
      </c>
      <c r="E1255" s="61">
        <v>0</v>
      </c>
      <c r="F1255" s="61">
        <v>0</v>
      </c>
      <c r="G1255" s="61">
        <v>0</v>
      </c>
      <c r="H1255" s="62">
        <v>0.11863279251132197</v>
      </c>
      <c r="I1255" s="62">
        <v>0</v>
      </c>
      <c r="J1255" s="62">
        <v>0.11863279251132197</v>
      </c>
    </row>
    <row r="1256" spans="1:10" ht="11.25" customHeight="1" x14ac:dyDescent="0.2">
      <c r="A1256" s="66" t="s">
        <v>42</v>
      </c>
      <c r="B1256" s="61">
        <v>29678193.341854993</v>
      </c>
      <c r="C1256" s="61">
        <v>33187971.624990799</v>
      </c>
      <c r="D1256" s="61">
        <v>46490542.260500006</v>
      </c>
      <c r="E1256" s="61">
        <v>16841302.826689467</v>
      </c>
      <c r="F1256" s="61">
        <v>0</v>
      </c>
      <c r="G1256" s="61">
        <v>0</v>
      </c>
      <c r="H1256" s="62">
        <v>-0.34317835190461732</v>
      </c>
      <c r="I1256" s="62">
        <v>0</v>
      </c>
      <c r="J1256" s="62">
        <v>-0.34317835190461732</v>
      </c>
    </row>
    <row r="1257" spans="1:10" ht="11.25" customHeight="1" x14ac:dyDescent="0.2">
      <c r="A1257" s="67" t="s">
        <v>25</v>
      </c>
      <c r="B1257" s="61">
        <v>29678193.341854993</v>
      </c>
      <c r="C1257" s="61">
        <v>33187971.624990799</v>
      </c>
      <c r="D1257" s="61">
        <v>46490542.260500006</v>
      </c>
      <c r="E1257" s="61">
        <v>16841302.826689467</v>
      </c>
      <c r="F1257" s="61">
        <v>0</v>
      </c>
      <c r="G1257" s="61">
        <v>0</v>
      </c>
      <c r="H1257" s="62">
        <v>-0.34317835190461732</v>
      </c>
      <c r="I1257" s="62">
        <v>0</v>
      </c>
      <c r="J1257" s="62">
        <v>-0.34317835190461732</v>
      </c>
    </row>
    <row r="1258" spans="1:10" ht="11.25" customHeight="1" x14ac:dyDescent="0.2">
      <c r="A1258" s="68" t="s">
        <v>62</v>
      </c>
      <c r="B1258" s="61">
        <v>23905225.221854996</v>
      </c>
      <c r="C1258" s="61">
        <v>26732174.90865599</v>
      </c>
      <c r="D1258" s="61">
        <v>39970232.761160001</v>
      </c>
      <c r="E1258" s="61">
        <v>14479306.139560614</v>
      </c>
      <c r="F1258" s="61">
        <v>0</v>
      </c>
      <c r="G1258" s="61">
        <v>0</v>
      </c>
      <c r="H1258" s="62">
        <v>-0.3548150987946721</v>
      </c>
      <c r="I1258" s="62">
        <v>0</v>
      </c>
      <c r="J1258" s="62">
        <v>-0.3548150987946721</v>
      </c>
    </row>
    <row r="1259" spans="1:10" ht="11.25" customHeight="1" x14ac:dyDescent="0.2">
      <c r="A1259" s="69" t="s">
        <v>25</v>
      </c>
      <c r="B1259" s="61">
        <v>23905225.221854996</v>
      </c>
      <c r="C1259" s="61">
        <v>26732174.90865599</v>
      </c>
      <c r="D1259" s="61">
        <v>39970232.761160001</v>
      </c>
      <c r="E1259" s="61">
        <v>14479306.139560614</v>
      </c>
      <c r="F1259" s="61">
        <v>0</v>
      </c>
      <c r="G1259" s="61">
        <v>0</v>
      </c>
      <c r="H1259" s="62">
        <v>-0.3548150987946721</v>
      </c>
      <c r="I1259" s="62">
        <v>0</v>
      </c>
      <c r="J1259" s="62">
        <v>-0.3548150987946721</v>
      </c>
    </row>
    <row r="1260" spans="1:10" ht="11.25" customHeight="1" x14ac:dyDescent="0.2">
      <c r="A1260" s="70" t="s">
        <v>38</v>
      </c>
      <c r="B1260" s="61">
        <v>8954130.545372</v>
      </c>
      <c r="C1260" s="61">
        <v>10007390.119600642</v>
      </c>
      <c r="D1260" s="61">
        <v>0</v>
      </c>
      <c r="E1260" s="61">
        <v>0</v>
      </c>
      <c r="F1260" s="61">
        <v>0</v>
      </c>
      <c r="G1260" s="61">
        <v>0</v>
      </c>
      <c r="H1260" s="62">
        <v>0.11762834692789093</v>
      </c>
      <c r="I1260" s="62">
        <v>0</v>
      </c>
      <c r="J1260" s="62">
        <v>0.11762834692789093</v>
      </c>
    </row>
    <row r="1261" spans="1:10" ht="11.25" customHeight="1" x14ac:dyDescent="0.2">
      <c r="A1261" s="71">
        <v>44136</v>
      </c>
      <c r="B1261" s="61">
        <v>727019.93861399998</v>
      </c>
      <c r="C1261" s="61">
        <v>812538.0921767815</v>
      </c>
      <c r="D1261" s="61">
        <v>0</v>
      </c>
      <c r="E1261" s="61">
        <v>0</v>
      </c>
      <c r="F1261" s="61">
        <v>0</v>
      </c>
      <c r="G1261" s="61">
        <v>0</v>
      </c>
      <c r="H1261" s="62">
        <v>0.11762834692789093</v>
      </c>
      <c r="I1261" s="62">
        <v>0</v>
      </c>
      <c r="J1261" s="62">
        <v>0.11762834692789093</v>
      </c>
    </row>
    <row r="1262" spans="1:10" ht="11.25" customHeight="1" x14ac:dyDescent="0.2">
      <c r="A1262" s="71">
        <v>44166</v>
      </c>
      <c r="B1262" s="61">
        <v>739688.21374000004</v>
      </c>
      <c r="C1262" s="61">
        <v>826696.51556428056</v>
      </c>
      <c r="D1262" s="61">
        <v>0</v>
      </c>
      <c r="E1262" s="61">
        <v>0</v>
      </c>
      <c r="F1262" s="61">
        <v>0</v>
      </c>
      <c r="G1262" s="61">
        <v>0</v>
      </c>
      <c r="H1262" s="62">
        <v>0.1176283469278907</v>
      </c>
      <c r="I1262" s="62">
        <v>0</v>
      </c>
      <c r="J1262" s="62">
        <v>0.1176283469278907</v>
      </c>
    </row>
    <row r="1263" spans="1:10" ht="11.25" customHeight="1" x14ac:dyDescent="0.2">
      <c r="A1263" s="71">
        <v>44197</v>
      </c>
      <c r="B1263" s="61">
        <v>696506.36722600006</v>
      </c>
      <c r="C1263" s="61">
        <v>778435.2598275448</v>
      </c>
      <c r="D1263" s="61">
        <v>0</v>
      </c>
      <c r="E1263" s="61">
        <v>0</v>
      </c>
      <c r="F1263" s="61">
        <v>0</v>
      </c>
      <c r="G1263" s="61">
        <v>0</v>
      </c>
      <c r="H1263" s="62">
        <v>0.1176283469278907</v>
      </c>
      <c r="I1263" s="62">
        <v>0</v>
      </c>
      <c r="J1263" s="62">
        <v>0.1176283469278907</v>
      </c>
    </row>
    <row r="1264" spans="1:10" ht="11.25" customHeight="1" x14ac:dyDescent="0.2">
      <c r="A1264" s="71">
        <v>44228</v>
      </c>
      <c r="B1264" s="61">
        <v>754088.89367000002</v>
      </c>
      <c r="C1264" s="61">
        <v>842791.12366908416</v>
      </c>
      <c r="D1264" s="61">
        <v>0</v>
      </c>
      <c r="E1264" s="61">
        <v>0</v>
      </c>
      <c r="F1264" s="61">
        <v>0</v>
      </c>
      <c r="G1264" s="61">
        <v>0</v>
      </c>
      <c r="H1264" s="62">
        <v>0.11762834692789093</v>
      </c>
      <c r="I1264" s="62">
        <v>0</v>
      </c>
      <c r="J1264" s="62">
        <v>0.11762834692789093</v>
      </c>
    </row>
    <row r="1265" spans="1:10" ht="11.25" customHeight="1" x14ac:dyDescent="0.2">
      <c r="A1265" s="71">
        <v>44256</v>
      </c>
      <c r="B1265" s="61">
        <v>760899.79310800007</v>
      </c>
      <c r="C1265" s="61">
        <v>850403.17794906814</v>
      </c>
      <c r="D1265" s="61">
        <v>0</v>
      </c>
      <c r="E1265" s="61">
        <v>0</v>
      </c>
      <c r="F1265" s="61">
        <v>0</v>
      </c>
      <c r="G1265" s="61">
        <v>0</v>
      </c>
      <c r="H1265" s="62">
        <v>0.1176283469278907</v>
      </c>
      <c r="I1265" s="62">
        <v>0</v>
      </c>
      <c r="J1265" s="62">
        <v>0.1176283469278907</v>
      </c>
    </row>
    <row r="1266" spans="1:10" ht="11.25" customHeight="1" x14ac:dyDescent="0.2">
      <c r="A1266" s="71">
        <v>44287</v>
      </c>
      <c r="B1266" s="61">
        <v>771044.98867999995</v>
      </c>
      <c r="C1266" s="61">
        <v>861741.73610546265</v>
      </c>
      <c r="D1266" s="61">
        <v>0</v>
      </c>
      <c r="E1266" s="61">
        <v>0</v>
      </c>
      <c r="F1266" s="61">
        <v>0</v>
      </c>
      <c r="G1266" s="61">
        <v>0</v>
      </c>
      <c r="H1266" s="62">
        <v>0.11762834692789093</v>
      </c>
      <c r="I1266" s="62">
        <v>0</v>
      </c>
      <c r="J1266" s="62">
        <v>0.11762834692789093</v>
      </c>
    </row>
    <row r="1267" spans="1:10" ht="11.25" customHeight="1" x14ac:dyDescent="0.2">
      <c r="A1267" s="71">
        <v>44317</v>
      </c>
      <c r="B1267" s="61">
        <v>780880.31974599999</v>
      </c>
      <c r="C1267" s="61">
        <v>872733.98090624483</v>
      </c>
      <c r="D1267" s="61">
        <v>0</v>
      </c>
      <c r="E1267" s="61">
        <v>0</v>
      </c>
      <c r="F1267" s="61">
        <v>0</v>
      </c>
      <c r="G1267" s="61">
        <v>0</v>
      </c>
      <c r="H1267" s="62">
        <v>0.11762834692789093</v>
      </c>
      <c r="I1267" s="62">
        <v>0</v>
      </c>
      <c r="J1267" s="62">
        <v>0.11762834692789093</v>
      </c>
    </row>
    <row r="1268" spans="1:10" ht="11.25" customHeight="1" x14ac:dyDescent="0.2">
      <c r="A1268" s="71">
        <v>44348</v>
      </c>
      <c r="B1268" s="61">
        <v>696506.36722600006</v>
      </c>
      <c r="C1268" s="61">
        <v>778435.2598275448</v>
      </c>
      <c r="D1268" s="61">
        <v>0</v>
      </c>
      <c r="E1268" s="61">
        <v>0</v>
      </c>
      <c r="F1268" s="61">
        <v>0</v>
      </c>
      <c r="G1268" s="61">
        <v>0</v>
      </c>
      <c r="H1268" s="62">
        <v>0.1176283469278907</v>
      </c>
      <c r="I1268" s="62">
        <v>0</v>
      </c>
      <c r="J1268" s="62">
        <v>0.1176283469278907</v>
      </c>
    </row>
    <row r="1269" spans="1:10" ht="11.25" customHeight="1" x14ac:dyDescent="0.2">
      <c r="A1269" s="71">
        <v>44378</v>
      </c>
      <c r="B1269" s="61">
        <v>785008.38190399995</v>
      </c>
      <c r="C1269" s="61">
        <v>877347.62019190588</v>
      </c>
      <c r="D1269" s="61">
        <v>0</v>
      </c>
      <c r="E1269" s="61">
        <v>0</v>
      </c>
      <c r="F1269" s="61">
        <v>0</v>
      </c>
      <c r="G1269" s="61">
        <v>0</v>
      </c>
      <c r="H1269" s="62">
        <v>0.11762834692789093</v>
      </c>
      <c r="I1269" s="62">
        <v>0</v>
      </c>
      <c r="J1269" s="62">
        <v>0.11762834692789093</v>
      </c>
    </row>
    <row r="1270" spans="1:10" ht="11.25" customHeight="1" x14ac:dyDescent="0.2">
      <c r="A1270" s="71">
        <v>44409</v>
      </c>
      <c r="B1270" s="61">
        <v>796812.64880400011</v>
      </c>
      <c r="C1270" s="61">
        <v>890540.40349404863</v>
      </c>
      <c r="D1270" s="61">
        <v>0</v>
      </c>
      <c r="E1270" s="61">
        <v>0</v>
      </c>
      <c r="F1270" s="61">
        <v>0</v>
      </c>
      <c r="G1270" s="61">
        <v>0</v>
      </c>
      <c r="H1270" s="62">
        <v>0.1176283469278907</v>
      </c>
      <c r="I1270" s="62">
        <v>0</v>
      </c>
      <c r="J1270" s="62">
        <v>0.1176283469278907</v>
      </c>
    </row>
    <row r="1271" spans="1:10" ht="11.25" customHeight="1" x14ac:dyDescent="0.2">
      <c r="A1271" s="71">
        <v>44440</v>
      </c>
      <c r="B1271" s="61">
        <v>722837.31632700004</v>
      </c>
      <c r="C1271" s="61">
        <v>807863.47494433797</v>
      </c>
      <c r="D1271" s="61">
        <v>0</v>
      </c>
      <c r="E1271" s="61">
        <v>0</v>
      </c>
      <c r="F1271" s="61">
        <v>0</v>
      </c>
      <c r="G1271" s="61">
        <v>0</v>
      </c>
      <c r="H1271" s="62">
        <v>0.11762834692789093</v>
      </c>
      <c r="I1271" s="62">
        <v>0</v>
      </c>
      <c r="J1271" s="62">
        <v>0.11762834692789093</v>
      </c>
    </row>
    <row r="1272" spans="1:10" ht="11.25" customHeight="1" x14ac:dyDescent="0.2">
      <c r="A1272" s="71">
        <v>44470</v>
      </c>
      <c r="B1272" s="61">
        <v>722837.31632700004</v>
      </c>
      <c r="C1272" s="61">
        <v>807863.47494433797</v>
      </c>
      <c r="D1272" s="61">
        <v>0</v>
      </c>
      <c r="E1272" s="61">
        <v>0</v>
      </c>
      <c r="F1272" s="61">
        <v>0</v>
      </c>
      <c r="G1272" s="61">
        <v>0</v>
      </c>
      <c r="H1272" s="62">
        <v>0.11762834692789093</v>
      </c>
      <c r="I1272" s="62">
        <v>0</v>
      </c>
      <c r="J1272" s="62">
        <v>0.11762834692789093</v>
      </c>
    </row>
    <row r="1273" spans="1:10" ht="11.25" customHeight="1" x14ac:dyDescent="0.2">
      <c r="A1273" s="70" t="s">
        <v>25</v>
      </c>
      <c r="B1273" s="61">
        <v>0</v>
      </c>
      <c r="C1273" s="61">
        <v>0</v>
      </c>
      <c r="D1273" s="61">
        <v>39970232.761160001</v>
      </c>
      <c r="E1273" s="61">
        <v>14479306.139560614</v>
      </c>
      <c r="F1273" s="61">
        <v>0</v>
      </c>
      <c r="G1273" s="61">
        <v>0</v>
      </c>
      <c r="H1273" s="62">
        <v>-0.63774776529121224</v>
      </c>
      <c r="I1273" s="62">
        <v>0</v>
      </c>
      <c r="J1273" s="62">
        <v>-0.63774776529121224</v>
      </c>
    </row>
    <row r="1274" spans="1:10" ht="11.25" customHeight="1" x14ac:dyDescent="0.2">
      <c r="A1274" s="71">
        <v>44136</v>
      </c>
      <c r="B1274" s="61">
        <v>0</v>
      </c>
      <c r="C1274" s="61">
        <v>0</v>
      </c>
      <c r="D1274" s="61">
        <v>3304474.5571499998</v>
      </c>
      <c r="E1274" s="61">
        <v>1197053.2928659196</v>
      </c>
      <c r="F1274" s="61">
        <v>0</v>
      </c>
      <c r="G1274" s="61">
        <v>0</v>
      </c>
      <c r="H1274" s="62">
        <v>-0.63774776529121213</v>
      </c>
      <c r="I1274" s="62">
        <v>0</v>
      </c>
      <c r="J1274" s="62">
        <v>-0.63774776529121213</v>
      </c>
    </row>
    <row r="1275" spans="1:10" ht="11.25" customHeight="1" x14ac:dyDescent="0.2">
      <c r="A1275" s="71">
        <v>44166</v>
      </c>
      <c r="B1275" s="61">
        <v>0</v>
      </c>
      <c r="C1275" s="61">
        <v>0</v>
      </c>
      <c r="D1275" s="61">
        <v>3303951.1514099999</v>
      </c>
      <c r="E1275" s="61">
        <v>1196863.6879669453</v>
      </c>
      <c r="F1275" s="61">
        <v>0</v>
      </c>
      <c r="G1275" s="61">
        <v>0</v>
      </c>
      <c r="H1275" s="62">
        <v>-0.63774776529121202</v>
      </c>
      <c r="I1275" s="62">
        <v>0</v>
      </c>
      <c r="J1275" s="62">
        <v>-0.63774776529121202</v>
      </c>
    </row>
    <row r="1276" spans="1:10" ht="11.25" customHeight="1" x14ac:dyDescent="0.2">
      <c r="A1276" s="71">
        <v>44197</v>
      </c>
      <c r="B1276" s="61">
        <v>0</v>
      </c>
      <c r="C1276" s="61">
        <v>0</v>
      </c>
      <c r="D1276" s="61">
        <v>2949404.8115999997</v>
      </c>
      <c r="E1276" s="61">
        <v>1068428.4840629515</v>
      </c>
      <c r="F1276" s="61">
        <v>0</v>
      </c>
      <c r="G1276" s="61">
        <v>0</v>
      </c>
      <c r="H1276" s="62">
        <v>-0.63774776529121202</v>
      </c>
      <c r="I1276" s="62">
        <v>0</v>
      </c>
      <c r="J1276" s="62">
        <v>-0.63774776529121202</v>
      </c>
    </row>
    <row r="1277" spans="1:10" ht="11.25" customHeight="1" x14ac:dyDescent="0.2">
      <c r="A1277" s="71">
        <v>44228</v>
      </c>
      <c r="B1277" s="61">
        <v>0</v>
      </c>
      <c r="C1277" s="61">
        <v>0</v>
      </c>
      <c r="D1277" s="61">
        <v>2957423.4833</v>
      </c>
      <c r="E1277" s="61">
        <v>1071333.2658056726</v>
      </c>
      <c r="F1277" s="61">
        <v>0</v>
      </c>
      <c r="G1277" s="61">
        <v>0</v>
      </c>
      <c r="H1277" s="62">
        <v>-0.63774776529121213</v>
      </c>
      <c r="I1277" s="62">
        <v>0</v>
      </c>
      <c r="J1277" s="62">
        <v>-0.63774776529121213</v>
      </c>
    </row>
    <row r="1278" spans="1:10" ht="11.25" customHeight="1" x14ac:dyDescent="0.2">
      <c r="A1278" s="71">
        <v>44256</v>
      </c>
      <c r="B1278" s="61">
        <v>0</v>
      </c>
      <c r="C1278" s="61">
        <v>0</v>
      </c>
      <c r="D1278" s="61">
        <v>3517217.1444800003</v>
      </c>
      <c r="E1278" s="61">
        <v>1274119.7705439418</v>
      </c>
      <c r="F1278" s="61">
        <v>0</v>
      </c>
      <c r="G1278" s="61">
        <v>0</v>
      </c>
      <c r="H1278" s="62">
        <v>-0.63774776529121213</v>
      </c>
      <c r="I1278" s="62">
        <v>0</v>
      </c>
      <c r="J1278" s="62">
        <v>-0.63774776529121213</v>
      </c>
    </row>
    <row r="1279" spans="1:10" ht="11.25" customHeight="1" x14ac:dyDescent="0.2">
      <c r="A1279" s="71">
        <v>44287</v>
      </c>
      <c r="B1279" s="61">
        <v>0</v>
      </c>
      <c r="C1279" s="61">
        <v>0</v>
      </c>
      <c r="D1279" s="61">
        <v>3317608.3304000003</v>
      </c>
      <c r="E1279" s="61">
        <v>1201811.0315758907</v>
      </c>
      <c r="F1279" s="61">
        <v>0</v>
      </c>
      <c r="G1279" s="61">
        <v>0</v>
      </c>
      <c r="H1279" s="62">
        <v>-0.63774776529121213</v>
      </c>
      <c r="I1279" s="62">
        <v>0</v>
      </c>
      <c r="J1279" s="62">
        <v>-0.63774776529121213</v>
      </c>
    </row>
    <row r="1280" spans="1:10" ht="11.25" customHeight="1" x14ac:dyDescent="0.2">
      <c r="A1280" s="71">
        <v>44317</v>
      </c>
      <c r="B1280" s="61">
        <v>0</v>
      </c>
      <c r="C1280" s="61">
        <v>0</v>
      </c>
      <c r="D1280" s="61">
        <v>3537165.9657100001</v>
      </c>
      <c r="E1280" s="61">
        <v>1281346.2756143154</v>
      </c>
      <c r="F1280" s="61">
        <v>0</v>
      </c>
      <c r="G1280" s="61">
        <v>0</v>
      </c>
      <c r="H1280" s="62">
        <v>-0.63774776529121202</v>
      </c>
      <c r="I1280" s="62">
        <v>0</v>
      </c>
      <c r="J1280" s="62">
        <v>-0.63774776529121202</v>
      </c>
    </row>
    <row r="1281" spans="1:10" ht="11.25" customHeight="1" x14ac:dyDescent="0.2">
      <c r="A1281" s="71">
        <v>44348</v>
      </c>
      <c r="B1281" s="61">
        <v>0</v>
      </c>
      <c r="C1281" s="61">
        <v>0</v>
      </c>
      <c r="D1281" s="61">
        <v>2949404.8115999997</v>
      </c>
      <c r="E1281" s="61">
        <v>1068428.4840629515</v>
      </c>
      <c r="F1281" s="61">
        <v>0</v>
      </c>
      <c r="G1281" s="61">
        <v>0</v>
      </c>
      <c r="H1281" s="62">
        <v>-0.63774776529121202</v>
      </c>
      <c r="I1281" s="62">
        <v>0</v>
      </c>
      <c r="J1281" s="62">
        <v>-0.63774776529121202</v>
      </c>
    </row>
    <row r="1282" spans="1:10" ht="11.25" customHeight="1" x14ac:dyDescent="0.2">
      <c r="A1282" s="71">
        <v>44378</v>
      </c>
      <c r="B1282" s="61">
        <v>0</v>
      </c>
      <c r="C1282" s="61">
        <v>0</v>
      </c>
      <c r="D1282" s="61">
        <v>3520204.20817</v>
      </c>
      <c r="E1282" s="61">
        <v>1275201.8410408618</v>
      </c>
      <c r="F1282" s="61">
        <v>0</v>
      </c>
      <c r="G1282" s="61">
        <v>0</v>
      </c>
      <c r="H1282" s="62">
        <v>-0.63774776529121202</v>
      </c>
      <c r="I1282" s="62">
        <v>0</v>
      </c>
      <c r="J1282" s="62">
        <v>-0.63774776529121202</v>
      </c>
    </row>
    <row r="1283" spans="1:10" ht="11.25" customHeight="1" x14ac:dyDescent="0.2">
      <c r="A1283" s="71">
        <v>44409</v>
      </c>
      <c r="B1283" s="61">
        <v>0</v>
      </c>
      <c r="C1283" s="61">
        <v>0</v>
      </c>
      <c r="D1283" s="61">
        <v>3447298.0380799999</v>
      </c>
      <c r="E1283" s="61">
        <v>1248791.4180017002</v>
      </c>
      <c r="F1283" s="61">
        <v>0</v>
      </c>
      <c r="G1283" s="61">
        <v>0</v>
      </c>
      <c r="H1283" s="62">
        <v>-0.63774776529121202</v>
      </c>
      <c r="I1283" s="62">
        <v>0</v>
      </c>
      <c r="J1283" s="62">
        <v>-0.63774776529121202</v>
      </c>
    </row>
    <row r="1284" spans="1:10" ht="11.25" customHeight="1" x14ac:dyDescent="0.2">
      <c r="A1284" s="71">
        <v>44440</v>
      </c>
      <c r="B1284" s="61">
        <v>0</v>
      </c>
      <c r="C1284" s="61">
        <v>0</v>
      </c>
      <c r="D1284" s="61">
        <v>3583040.1296299999</v>
      </c>
      <c r="E1284" s="61">
        <v>1297964.2940097325</v>
      </c>
      <c r="F1284" s="61">
        <v>0</v>
      </c>
      <c r="G1284" s="61">
        <v>0</v>
      </c>
      <c r="H1284" s="62">
        <v>-0.63774776529121202</v>
      </c>
      <c r="I1284" s="62">
        <v>0</v>
      </c>
      <c r="J1284" s="62">
        <v>-0.63774776529121202</v>
      </c>
    </row>
    <row r="1285" spans="1:10" ht="11.25" customHeight="1" x14ac:dyDescent="0.2">
      <c r="A1285" s="71">
        <v>44470</v>
      </c>
      <c r="B1285" s="61">
        <v>0</v>
      </c>
      <c r="C1285" s="61">
        <v>0</v>
      </c>
      <c r="D1285" s="61">
        <v>3583040.1296299999</v>
      </c>
      <c r="E1285" s="61">
        <v>1297964.2940097325</v>
      </c>
      <c r="F1285" s="61">
        <v>0</v>
      </c>
      <c r="G1285" s="61">
        <v>0</v>
      </c>
      <c r="H1285" s="62">
        <v>-0.63774776529121202</v>
      </c>
      <c r="I1285" s="62">
        <v>0</v>
      </c>
      <c r="J1285" s="62">
        <v>-0.63774776529121202</v>
      </c>
    </row>
    <row r="1286" spans="1:10" ht="11.25" customHeight="1" x14ac:dyDescent="0.2">
      <c r="A1286" s="70" t="s">
        <v>37</v>
      </c>
      <c r="B1286" s="61">
        <v>14951094.676483</v>
      </c>
      <c r="C1286" s="61">
        <v>16724784.789055338</v>
      </c>
      <c r="D1286" s="61">
        <v>0</v>
      </c>
      <c r="E1286" s="61">
        <v>0</v>
      </c>
      <c r="F1286" s="61">
        <v>0</v>
      </c>
      <c r="G1286" s="61">
        <v>0</v>
      </c>
      <c r="H1286" s="62">
        <v>0.11863279251132197</v>
      </c>
      <c r="I1286" s="62">
        <v>0</v>
      </c>
      <c r="J1286" s="62">
        <v>0.11863279251132197</v>
      </c>
    </row>
    <row r="1287" spans="1:10" ht="11.25" customHeight="1" x14ac:dyDescent="0.2">
      <c r="A1287" s="71">
        <v>44136</v>
      </c>
      <c r="B1287" s="61">
        <v>1233331.3075650001</v>
      </c>
      <c r="C1287" s="61">
        <v>1379644.8446730762</v>
      </c>
      <c r="D1287" s="61">
        <v>0</v>
      </c>
      <c r="E1287" s="61">
        <v>0</v>
      </c>
      <c r="F1287" s="61">
        <v>0</v>
      </c>
      <c r="G1287" s="61">
        <v>0</v>
      </c>
      <c r="H1287" s="62">
        <v>0.11863279251132197</v>
      </c>
      <c r="I1287" s="62">
        <v>0</v>
      </c>
      <c r="J1287" s="62">
        <v>0.11863279251132197</v>
      </c>
    </row>
    <row r="1288" spans="1:10" ht="11.25" customHeight="1" x14ac:dyDescent="0.2">
      <c r="A1288" s="71">
        <v>44166</v>
      </c>
      <c r="B1288" s="61">
        <v>1236889.0826600001</v>
      </c>
      <c r="C1288" s="61">
        <v>1383624.6885627233</v>
      </c>
      <c r="D1288" s="61">
        <v>0</v>
      </c>
      <c r="E1288" s="61">
        <v>0</v>
      </c>
      <c r="F1288" s="61">
        <v>0</v>
      </c>
      <c r="G1288" s="61">
        <v>0</v>
      </c>
      <c r="H1288" s="62">
        <v>0.11863279251132197</v>
      </c>
      <c r="I1288" s="62">
        <v>0</v>
      </c>
      <c r="J1288" s="62">
        <v>0.11863279251132197</v>
      </c>
    </row>
    <row r="1289" spans="1:10" ht="11.25" customHeight="1" x14ac:dyDescent="0.2">
      <c r="A1289" s="71">
        <v>44197</v>
      </c>
      <c r="B1289" s="61">
        <v>1123280.1971440001</v>
      </c>
      <c r="C1289" s="61">
        <v>1256538.0637038611</v>
      </c>
      <c r="D1289" s="61">
        <v>0</v>
      </c>
      <c r="E1289" s="61">
        <v>0</v>
      </c>
      <c r="F1289" s="61">
        <v>0</v>
      </c>
      <c r="G1289" s="61">
        <v>0</v>
      </c>
      <c r="H1289" s="62">
        <v>0.11863279251132197</v>
      </c>
      <c r="I1289" s="62">
        <v>0</v>
      </c>
      <c r="J1289" s="62">
        <v>0.11863279251132197</v>
      </c>
    </row>
    <row r="1290" spans="1:10" ht="11.25" customHeight="1" x14ac:dyDescent="0.2">
      <c r="A1290" s="71">
        <v>44228</v>
      </c>
      <c r="B1290" s="61">
        <v>1259038.7966800001</v>
      </c>
      <c r="C1290" s="61">
        <v>1408402.0850102431</v>
      </c>
      <c r="D1290" s="61">
        <v>0</v>
      </c>
      <c r="E1290" s="61">
        <v>0</v>
      </c>
      <c r="F1290" s="61">
        <v>0</v>
      </c>
      <c r="G1290" s="61">
        <v>0</v>
      </c>
      <c r="H1290" s="62">
        <v>0.11863279251132197</v>
      </c>
      <c r="I1290" s="62">
        <v>0</v>
      </c>
      <c r="J1290" s="62">
        <v>0.11863279251132197</v>
      </c>
    </row>
    <row r="1291" spans="1:10" ht="11.25" customHeight="1" x14ac:dyDescent="0.2">
      <c r="A1291" s="71">
        <v>44256</v>
      </c>
      <c r="B1291" s="61">
        <v>1278247.3325439999</v>
      </c>
      <c r="C1291" s="61">
        <v>1429889.3831238432</v>
      </c>
      <c r="D1291" s="61">
        <v>0</v>
      </c>
      <c r="E1291" s="61">
        <v>0</v>
      </c>
      <c r="F1291" s="61">
        <v>0</v>
      </c>
      <c r="G1291" s="61">
        <v>0</v>
      </c>
      <c r="H1291" s="62">
        <v>0.11863279251132219</v>
      </c>
      <c r="I1291" s="62">
        <v>0</v>
      </c>
      <c r="J1291" s="62">
        <v>0.11863279251132219</v>
      </c>
    </row>
    <row r="1292" spans="1:10" ht="11.25" customHeight="1" x14ac:dyDescent="0.2">
      <c r="A1292" s="71">
        <v>44287</v>
      </c>
      <c r="B1292" s="61">
        <v>1294312.9255279999</v>
      </c>
      <c r="C1292" s="61">
        <v>1447860.8822668854</v>
      </c>
      <c r="D1292" s="61">
        <v>0</v>
      </c>
      <c r="E1292" s="61">
        <v>0</v>
      </c>
      <c r="F1292" s="61">
        <v>0</v>
      </c>
      <c r="G1292" s="61">
        <v>0</v>
      </c>
      <c r="H1292" s="62">
        <v>0.11863279251132219</v>
      </c>
      <c r="I1292" s="62">
        <v>0</v>
      </c>
      <c r="J1292" s="62">
        <v>0.11863279251132219</v>
      </c>
    </row>
    <row r="1293" spans="1:10" ht="11.25" customHeight="1" x14ac:dyDescent="0.2">
      <c r="A1293" s="71">
        <v>44317</v>
      </c>
      <c r="B1293" s="61">
        <v>1314664.1589480001</v>
      </c>
      <c r="C1293" s="61">
        <v>1470626.4393385497</v>
      </c>
      <c r="D1293" s="61">
        <v>0</v>
      </c>
      <c r="E1293" s="61">
        <v>0</v>
      </c>
      <c r="F1293" s="61">
        <v>0</v>
      </c>
      <c r="G1293" s="61">
        <v>0</v>
      </c>
      <c r="H1293" s="62">
        <v>0.11863279251132197</v>
      </c>
      <c r="I1293" s="62">
        <v>0</v>
      </c>
      <c r="J1293" s="62">
        <v>0.11863279251132197</v>
      </c>
    </row>
    <row r="1294" spans="1:10" ht="11.25" customHeight="1" x14ac:dyDescent="0.2">
      <c r="A1294" s="71">
        <v>44348</v>
      </c>
      <c r="B1294" s="61">
        <v>1123280.1971440001</v>
      </c>
      <c r="C1294" s="61">
        <v>1256538.0637038611</v>
      </c>
      <c r="D1294" s="61">
        <v>0</v>
      </c>
      <c r="E1294" s="61">
        <v>0</v>
      </c>
      <c r="F1294" s="61">
        <v>0</v>
      </c>
      <c r="G1294" s="61">
        <v>0</v>
      </c>
      <c r="H1294" s="62">
        <v>0.11863279251132197</v>
      </c>
      <c r="I1294" s="62">
        <v>0</v>
      </c>
      <c r="J1294" s="62">
        <v>0.11863279251132197</v>
      </c>
    </row>
    <row r="1295" spans="1:10" ht="11.25" customHeight="1" x14ac:dyDescent="0.2">
      <c r="A1295" s="71">
        <v>44378</v>
      </c>
      <c r="B1295" s="61">
        <v>1322082.568184</v>
      </c>
      <c r="C1295" s="61">
        <v>1478924.9151782084</v>
      </c>
      <c r="D1295" s="61">
        <v>0</v>
      </c>
      <c r="E1295" s="61">
        <v>0</v>
      </c>
      <c r="F1295" s="61">
        <v>0</v>
      </c>
      <c r="G1295" s="61">
        <v>0</v>
      </c>
      <c r="H1295" s="62">
        <v>0.11863279251132219</v>
      </c>
      <c r="I1295" s="62">
        <v>0</v>
      </c>
      <c r="J1295" s="62">
        <v>0.11863279251132219</v>
      </c>
    </row>
    <row r="1296" spans="1:10" ht="11.25" customHeight="1" x14ac:dyDescent="0.2">
      <c r="A1296" s="71">
        <v>44409</v>
      </c>
      <c r="B1296" s="61">
        <v>1343919.4716359999</v>
      </c>
      <c r="C1296" s="61">
        <v>1503352.3914665191</v>
      </c>
      <c r="D1296" s="61">
        <v>0</v>
      </c>
      <c r="E1296" s="61">
        <v>0</v>
      </c>
      <c r="F1296" s="61">
        <v>0</v>
      </c>
      <c r="G1296" s="61">
        <v>0</v>
      </c>
      <c r="H1296" s="62">
        <v>0.11863279251132219</v>
      </c>
      <c r="I1296" s="62">
        <v>0</v>
      </c>
      <c r="J1296" s="62">
        <v>0.11863279251132219</v>
      </c>
    </row>
    <row r="1297" spans="1:10" ht="11.25" customHeight="1" x14ac:dyDescent="0.2">
      <c r="A1297" s="71">
        <v>44440</v>
      </c>
      <c r="B1297" s="61">
        <v>1211024.319225</v>
      </c>
      <c r="C1297" s="61">
        <v>1354691.5160137846</v>
      </c>
      <c r="D1297" s="61">
        <v>0</v>
      </c>
      <c r="E1297" s="61">
        <v>0</v>
      </c>
      <c r="F1297" s="61">
        <v>0</v>
      </c>
      <c r="G1297" s="61">
        <v>0</v>
      </c>
      <c r="H1297" s="62">
        <v>0.11863279251132219</v>
      </c>
      <c r="I1297" s="62">
        <v>0</v>
      </c>
      <c r="J1297" s="62">
        <v>0.11863279251132219</v>
      </c>
    </row>
    <row r="1298" spans="1:10" ht="11.25" customHeight="1" x14ac:dyDescent="0.2">
      <c r="A1298" s="71">
        <v>44470</v>
      </c>
      <c r="B1298" s="61">
        <v>1211024.319225</v>
      </c>
      <c r="C1298" s="61">
        <v>1354691.5160137846</v>
      </c>
      <c r="D1298" s="61">
        <v>0</v>
      </c>
      <c r="E1298" s="61">
        <v>0</v>
      </c>
      <c r="F1298" s="61">
        <v>0</v>
      </c>
      <c r="G1298" s="61">
        <v>0</v>
      </c>
      <c r="H1298" s="62">
        <v>0.11863279251132219</v>
      </c>
      <c r="I1298" s="62">
        <v>0</v>
      </c>
      <c r="J1298" s="62">
        <v>0.11863279251132219</v>
      </c>
    </row>
    <row r="1299" spans="1:10" ht="11.25" customHeight="1" x14ac:dyDescent="0.2">
      <c r="A1299" s="68" t="s">
        <v>25</v>
      </c>
      <c r="B1299" s="61">
        <v>5772968.120000001</v>
      </c>
      <c r="C1299" s="61">
        <v>6455796.7163348058</v>
      </c>
      <c r="D1299" s="61">
        <v>6520309.4993400015</v>
      </c>
      <c r="E1299" s="61">
        <v>2361996.6871288526</v>
      </c>
      <c r="F1299" s="61">
        <v>0</v>
      </c>
      <c r="G1299" s="61">
        <v>0</v>
      </c>
      <c r="H1299" s="62">
        <v>-0.28271420555968341</v>
      </c>
      <c r="I1299" s="62">
        <v>0</v>
      </c>
      <c r="J1299" s="62">
        <v>-0.28271420555968341</v>
      </c>
    </row>
    <row r="1300" spans="1:10" ht="11.25" customHeight="1" x14ac:dyDescent="0.2">
      <c r="A1300" s="69" t="s">
        <v>25</v>
      </c>
      <c r="B1300" s="61">
        <v>5772968.120000001</v>
      </c>
      <c r="C1300" s="61">
        <v>6455796.7163348058</v>
      </c>
      <c r="D1300" s="61">
        <v>6520309.4993400015</v>
      </c>
      <c r="E1300" s="61">
        <v>2361996.6871288526</v>
      </c>
      <c r="F1300" s="61">
        <v>0</v>
      </c>
      <c r="G1300" s="61">
        <v>0</v>
      </c>
      <c r="H1300" s="62">
        <v>-0.28271420555968341</v>
      </c>
      <c r="I1300" s="62">
        <v>0</v>
      </c>
      <c r="J1300" s="62">
        <v>-0.28271420555968341</v>
      </c>
    </row>
    <row r="1301" spans="1:10" ht="11.25" customHeight="1" x14ac:dyDescent="0.2">
      <c r="A1301" s="70" t="s">
        <v>38</v>
      </c>
      <c r="B1301" s="61">
        <v>2025727.2800000003</v>
      </c>
      <c r="C1301" s="61">
        <v>2264010.2312731328</v>
      </c>
      <c r="D1301" s="61">
        <v>0</v>
      </c>
      <c r="E1301" s="61">
        <v>0</v>
      </c>
      <c r="F1301" s="61">
        <v>0</v>
      </c>
      <c r="G1301" s="61">
        <v>0</v>
      </c>
      <c r="H1301" s="62">
        <v>0.1176283469278907</v>
      </c>
      <c r="I1301" s="62">
        <v>0</v>
      </c>
      <c r="J1301" s="62">
        <v>0.1176283469278907</v>
      </c>
    </row>
    <row r="1302" spans="1:10" ht="11.25" customHeight="1" x14ac:dyDescent="0.2">
      <c r="A1302" s="71">
        <v>44136</v>
      </c>
      <c r="B1302" s="61">
        <v>174648.41</v>
      </c>
      <c r="C1302" s="61">
        <v>195192.0137618845</v>
      </c>
      <c r="D1302" s="61">
        <v>0</v>
      </c>
      <c r="E1302" s="61">
        <v>0</v>
      </c>
      <c r="F1302" s="61">
        <v>0</v>
      </c>
      <c r="G1302" s="61">
        <v>0</v>
      </c>
      <c r="H1302" s="62">
        <v>0.1176283469278907</v>
      </c>
      <c r="I1302" s="62">
        <v>0</v>
      </c>
      <c r="J1302" s="62">
        <v>0.1176283469278907</v>
      </c>
    </row>
    <row r="1303" spans="1:10" ht="11.25" customHeight="1" x14ac:dyDescent="0.2">
      <c r="A1303" s="71">
        <v>44166</v>
      </c>
      <c r="B1303" s="61">
        <v>172191.39</v>
      </c>
      <c r="C1303" s="61">
        <v>192445.97856091574</v>
      </c>
      <c r="D1303" s="61">
        <v>0</v>
      </c>
      <c r="E1303" s="61">
        <v>0</v>
      </c>
      <c r="F1303" s="61">
        <v>0</v>
      </c>
      <c r="G1303" s="61">
        <v>0</v>
      </c>
      <c r="H1303" s="62">
        <v>0.1176283469278907</v>
      </c>
      <c r="I1303" s="62">
        <v>0</v>
      </c>
      <c r="J1303" s="62">
        <v>0.1176283469278907</v>
      </c>
    </row>
    <row r="1304" spans="1:10" ht="11.25" customHeight="1" x14ac:dyDescent="0.2">
      <c r="A1304" s="71">
        <v>44197</v>
      </c>
      <c r="B1304" s="61">
        <v>169620.09</v>
      </c>
      <c r="C1304" s="61">
        <v>189572.22079246005</v>
      </c>
      <c r="D1304" s="61">
        <v>0</v>
      </c>
      <c r="E1304" s="61">
        <v>0</v>
      </c>
      <c r="F1304" s="61">
        <v>0</v>
      </c>
      <c r="G1304" s="61">
        <v>0</v>
      </c>
      <c r="H1304" s="62">
        <v>0.1176283469278907</v>
      </c>
      <c r="I1304" s="62">
        <v>0</v>
      </c>
      <c r="J1304" s="62">
        <v>0.1176283469278907</v>
      </c>
    </row>
    <row r="1305" spans="1:10" ht="11.25" customHeight="1" x14ac:dyDescent="0.2">
      <c r="A1305" s="71">
        <v>44228</v>
      </c>
      <c r="B1305" s="61">
        <v>166734.51999999999</v>
      </c>
      <c r="C1305" s="61">
        <v>186347.22596341535</v>
      </c>
      <c r="D1305" s="61">
        <v>0</v>
      </c>
      <c r="E1305" s="61">
        <v>0</v>
      </c>
      <c r="F1305" s="61">
        <v>0</v>
      </c>
      <c r="G1305" s="61">
        <v>0</v>
      </c>
      <c r="H1305" s="62">
        <v>0.11762834692789093</v>
      </c>
      <c r="I1305" s="62">
        <v>0</v>
      </c>
      <c r="J1305" s="62">
        <v>0.11762834692789093</v>
      </c>
    </row>
    <row r="1306" spans="1:10" ht="11.25" customHeight="1" x14ac:dyDescent="0.2">
      <c r="A1306" s="71">
        <v>44256</v>
      </c>
      <c r="B1306" s="61">
        <v>167163.07</v>
      </c>
      <c r="C1306" s="61">
        <v>186826.18559149129</v>
      </c>
      <c r="D1306" s="61">
        <v>0</v>
      </c>
      <c r="E1306" s="61">
        <v>0</v>
      </c>
      <c r="F1306" s="61">
        <v>0</v>
      </c>
      <c r="G1306" s="61">
        <v>0</v>
      </c>
      <c r="H1306" s="62">
        <v>0.1176283469278907</v>
      </c>
      <c r="I1306" s="62">
        <v>0</v>
      </c>
      <c r="J1306" s="62">
        <v>0.1176283469278907</v>
      </c>
    </row>
    <row r="1307" spans="1:10" ht="11.25" customHeight="1" x14ac:dyDescent="0.2">
      <c r="A1307" s="71">
        <v>44287</v>
      </c>
      <c r="B1307" s="61">
        <v>170334.34</v>
      </c>
      <c r="C1307" s="61">
        <v>190370.48683925331</v>
      </c>
      <c r="D1307" s="61">
        <v>0</v>
      </c>
      <c r="E1307" s="61">
        <v>0</v>
      </c>
      <c r="F1307" s="61">
        <v>0</v>
      </c>
      <c r="G1307" s="61">
        <v>0</v>
      </c>
      <c r="H1307" s="62">
        <v>0.11762834692789093</v>
      </c>
      <c r="I1307" s="62">
        <v>0</v>
      </c>
      <c r="J1307" s="62">
        <v>0.11762834692789093</v>
      </c>
    </row>
    <row r="1308" spans="1:10" ht="11.25" customHeight="1" x14ac:dyDescent="0.2">
      <c r="A1308" s="71">
        <v>44317</v>
      </c>
      <c r="B1308" s="61">
        <v>162706.15</v>
      </c>
      <c r="C1308" s="61">
        <v>181845.00545950144</v>
      </c>
      <c r="D1308" s="61">
        <v>0</v>
      </c>
      <c r="E1308" s="61">
        <v>0</v>
      </c>
      <c r="F1308" s="61">
        <v>0</v>
      </c>
      <c r="G1308" s="61">
        <v>0</v>
      </c>
      <c r="H1308" s="62">
        <v>0.11762834692789093</v>
      </c>
      <c r="I1308" s="62">
        <v>0</v>
      </c>
      <c r="J1308" s="62">
        <v>0.11762834692789093</v>
      </c>
    </row>
    <row r="1309" spans="1:10" ht="11.25" customHeight="1" x14ac:dyDescent="0.2">
      <c r="A1309" s="71">
        <v>44348</v>
      </c>
      <c r="B1309" s="61">
        <v>169620.09</v>
      </c>
      <c r="C1309" s="61">
        <v>189572.22079246005</v>
      </c>
      <c r="D1309" s="61">
        <v>0</v>
      </c>
      <c r="E1309" s="61">
        <v>0</v>
      </c>
      <c r="F1309" s="61">
        <v>0</v>
      </c>
      <c r="G1309" s="61">
        <v>0</v>
      </c>
      <c r="H1309" s="62">
        <v>0.1176283469278907</v>
      </c>
      <c r="I1309" s="62">
        <v>0</v>
      </c>
      <c r="J1309" s="62">
        <v>0.1176283469278907</v>
      </c>
    </row>
    <row r="1310" spans="1:10" ht="11.25" customHeight="1" x14ac:dyDescent="0.2">
      <c r="A1310" s="71">
        <v>44378</v>
      </c>
      <c r="B1310" s="61">
        <v>171048.59</v>
      </c>
      <c r="C1310" s="61">
        <v>191168.75288604654</v>
      </c>
      <c r="D1310" s="61">
        <v>0</v>
      </c>
      <c r="E1310" s="61">
        <v>0</v>
      </c>
      <c r="F1310" s="61">
        <v>0</v>
      </c>
      <c r="G1310" s="61">
        <v>0</v>
      </c>
      <c r="H1310" s="62">
        <v>0.1176283469278907</v>
      </c>
      <c r="I1310" s="62">
        <v>0</v>
      </c>
      <c r="J1310" s="62">
        <v>0.1176283469278907</v>
      </c>
    </row>
    <row r="1311" spans="1:10" ht="11.25" customHeight="1" x14ac:dyDescent="0.2">
      <c r="A1311" s="71">
        <v>44409</v>
      </c>
      <c r="B1311" s="61">
        <v>169334.39</v>
      </c>
      <c r="C1311" s="61">
        <v>189252.91437374277</v>
      </c>
      <c r="D1311" s="61">
        <v>0</v>
      </c>
      <c r="E1311" s="61">
        <v>0</v>
      </c>
      <c r="F1311" s="61">
        <v>0</v>
      </c>
      <c r="G1311" s="61">
        <v>0</v>
      </c>
      <c r="H1311" s="62">
        <v>0.1176283469278907</v>
      </c>
      <c r="I1311" s="62">
        <v>0</v>
      </c>
      <c r="J1311" s="62">
        <v>0.1176283469278907</v>
      </c>
    </row>
    <row r="1312" spans="1:10" ht="11.25" customHeight="1" x14ac:dyDescent="0.2">
      <c r="A1312" s="71">
        <v>44440</v>
      </c>
      <c r="B1312" s="61">
        <v>166163.12</v>
      </c>
      <c r="C1312" s="61">
        <v>185708.61312598074</v>
      </c>
      <c r="D1312" s="61">
        <v>0</v>
      </c>
      <c r="E1312" s="61">
        <v>0</v>
      </c>
      <c r="F1312" s="61">
        <v>0</v>
      </c>
      <c r="G1312" s="61">
        <v>0</v>
      </c>
      <c r="H1312" s="62">
        <v>0.1176283469278907</v>
      </c>
      <c r="I1312" s="62">
        <v>0</v>
      </c>
      <c r="J1312" s="62">
        <v>0.1176283469278907</v>
      </c>
    </row>
    <row r="1313" spans="1:10" ht="11.25" customHeight="1" x14ac:dyDescent="0.2">
      <c r="A1313" s="71">
        <v>44470</v>
      </c>
      <c r="B1313" s="61">
        <v>166163.12</v>
      </c>
      <c r="C1313" s="61">
        <v>185708.61312598074</v>
      </c>
      <c r="D1313" s="61">
        <v>0</v>
      </c>
      <c r="E1313" s="61">
        <v>0</v>
      </c>
      <c r="F1313" s="61">
        <v>0</v>
      </c>
      <c r="G1313" s="61">
        <v>0</v>
      </c>
      <c r="H1313" s="62">
        <v>0.1176283469278907</v>
      </c>
      <c r="I1313" s="62">
        <v>0</v>
      </c>
      <c r="J1313" s="62">
        <v>0.1176283469278907</v>
      </c>
    </row>
    <row r="1314" spans="1:10" ht="11.25" customHeight="1" x14ac:dyDescent="0.2">
      <c r="A1314" s="70" t="s">
        <v>25</v>
      </c>
      <c r="B1314" s="61">
        <v>0</v>
      </c>
      <c r="C1314" s="61">
        <v>0</v>
      </c>
      <c r="D1314" s="61">
        <v>6520309.4993400015</v>
      </c>
      <c r="E1314" s="61">
        <v>2361996.6871288526</v>
      </c>
      <c r="F1314" s="61">
        <v>0</v>
      </c>
      <c r="G1314" s="61">
        <v>0</v>
      </c>
      <c r="H1314" s="62">
        <v>-0.63774776529121224</v>
      </c>
      <c r="I1314" s="62">
        <v>0</v>
      </c>
      <c r="J1314" s="62">
        <v>-0.63774776529121224</v>
      </c>
    </row>
    <row r="1315" spans="1:10" ht="11.25" customHeight="1" x14ac:dyDescent="0.2">
      <c r="A1315" s="71">
        <v>44136</v>
      </c>
      <c r="B1315" s="61">
        <v>0</v>
      </c>
      <c r="C1315" s="61">
        <v>0</v>
      </c>
      <c r="D1315" s="61">
        <v>585642.54293999996</v>
      </c>
      <c r="E1315" s="61">
        <v>212150.31992055228</v>
      </c>
      <c r="F1315" s="61">
        <v>0</v>
      </c>
      <c r="G1315" s="61">
        <v>0</v>
      </c>
      <c r="H1315" s="62">
        <v>-0.63774776529121202</v>
      </c>
      <c r="I1315" s="62">
        <v>0</v>
      </c>
      <c r="J1315" s="62">
        <v>-0.63774776529121202</v>
      </c>
    </row>
    <row r="1316" spans="1:10" ht="11.25" customHeight="1" x14ac:dyDescent="0.2">
      <c r="A1316" s="71">
        <v>44166</v>
      </c>
      <c r="B1316" s="61">
        <v>0</v>
      </c>
      <c r="C1316" s="61">
        <v>0</v>
      </c>
      <c r="D1316" s="61">
        <v>564847.2648</v>
      </c>
      <c r="E1316" s="61">
        <v>204617.18394294646</v>
      </c>
      <c r="F1316" s="61">
        <v>0</v>
      </c>
      <c r="G1316" s="61">
        <v>0</v>
      </c>
      <c r="H1316" s="62">
        <v>-0.63774776529121213</v>
      </c>
      <c r="I1316" s="62">
        <v>0</v>
      </c>
      <c r="J1316" s="62">
        <v>-0.63774776529121213</v>
      </c>
    </row>
    <row r="1317" spans="1:10" ht="11.25" customHeight="1" x14ac:dyDescent="0.2">
      <c r="A1317" s="71">
        <v>44197</v>
      </c>
      <c r="B1317" s="61">
        <v>0</v>
      </c>
      <c r="C1317" s="61">
        <v>0</v>
      </c>
      <c r="D1317" s="61">
        <v>566650.90482000005</v>
      </c>
      <c r="E1317" s="61">
        <v>205270.55657080168</v>
      </c>
      <c r="F1317" s="61">
        <v>0</v>
      </c>
      <c r="G1317" s="61">
        <v>0</v>
      </c>
      <c r="H1317" s="62">
        <v>-0.63774776529121213</v>
      </c>
      <c r="I1317" s="62">
        <v>0</v>
      </c>
      <c r="J1317" s="62">
        <v>-0.63774776529121213</v>
      </c>
    </row>
    <row r="1318" spans="1:10" ht="11.25" customHeight="1" x14ac:dyDescent="0.2">
      <c r="A1318" s="71">
        <v>44228</v>
      </c>
      <c r="B1318" s="61">
        <v>0</v>
      </c>
      <c r="C1318" s="61">
        <v>0</v>
      </c>
      <c r="D1318" s="61">
        <v>512585.69543999998</v>
      </c>
      <c r="E1318" s="61">
        <v>185685.31365289816</v>
      </c>
      <c r="F1318" s="61">
        <v>0</v>
      </c>
      <c r="G1318" s="61">
        <v>0</v>
      </c>
      <c r="H1318" s="62">
        <v>-0.63774776529121202</v>
      </c>
      <c r="I1318" s="62">
        <v>0</v>
      </c>
      <c r="J1318" s="62">
        <v>-0.63774776529121202</v>
      </c>
    </row>
    <row r="1319" spans="1:10" ht="11.25" customHeight="1" x14ac:dyDescent="0.2">
      <c r="A1319" s="71">
        <v>44256</v>
      </c>
      <c r="B1319" s="61">
        <v>0</v>
      </c>
      <c r="C1319" s="61">
        <v>0</v>
      </c>
      <c r="D1319" s="61">
        <v>474175.07591999997</v>
      </c>
      <c r="E1319" s="61">
        <v>171770.98089522915</v>
      </c>
      <c r="F1319" s="61">
        <v>0</v>
      </c>
      <c r="G1319" s="61">
        <v>0</v>
      </c>
      <c r="H1319" s="62">
        <v>-0.63774776529121213</v>
      </c>
      <c r="I1319" s="62">
        <v>0</v>
      </c>
      <c r="J1319" s="62">
        <v>-0.63774776529121213</v>
      </c>
    </row>
    <row r="1320" spans="1:10" ht="11.25" customHeight="1" x14ac:dyDescent="0.2">
      <c r="A1320" s="71">
        <v>44287</v>
      </c>
      <c r="B1320" s="61">
        <v>0</v>
      </c>
      <c r="C1320" s="61">
        <v>0</v>
      </c>
      <c r="D1320" s="61">
        <v>531973.25453999999</v>
      </c>
      <c r="E1320" s="61">
        <v>192708.50026242185</v>
      </c>
      <c r="F1320" s="61">
        <v>0</v>
      </c>
      <c r="G1320" s="61">
        <v>0</v>
      </c>
      <c r="H1320" s="62">
        <v>-0.63774776529121202</v>
      </c>
      <c r="I1320" s="62">
        <v>0</v>
      </c>
      <c r="J1320" s="62">
        <v>-0.63774776529121202</v>
      </c>
    </row>
    <row r="1321" spans="1:10" ht="11.25" customHeight="1" x14ac:dyDescent="0.2">
      <c r="A1321" s="71">
        <v>44317</v>
      </c>
      <c r="B1321" s="61">
        <v>0</v>
      </c>
      <c r="C1321" s="61">
        <v>0</v>
      </c>
      <c r="D1321" s="61">
        <v>454184.20866</v>
      </c>
      <c r="E1321" s="61">
        <v>164529.24455652741</v>
      </c>
      <c r="F1321" s="61">
        <v>0</v>
      </c>
      <c r="G1321" s="61">
        <v>0</v>
      </c>
      <c r="H1321" s="62">
        <v>-0.63774776529121213</v>
      </c>
      <c r="I1321" s="62">
        <v>0</v>
      </c>
      <c r="J1321" s="62">
        <v>-0.63774776529121213</v>
      </c>
    </row>
    <row r="1322" spans="1:10" ht="11.25" customHeight="1" x14ac:dyDescent="0.2">
      <c r="A1322" s="71">
        <v>44348</v>
      </c>
      <c r="B1322" s="61">
        <v>0</v>
      </c>
      <c r="C1322" s="61">
        <v>0</v>
      </c>
      <c r="D1322" s="61">
        <v>566650.90482000005</v>
      </c>
      <c r="E1322" s="61">
        <v>205270.55657080168</v>
      </c>
      <c r="F1322" s="61">
        <v>0</v>
      </c>
      <c r="G1322" s="61">
        <v>0</v>
      </c>
      <c r="H1322" s="62">
        <v>-0.63774776529121213</v>
      </c>
      <c r="I1322" s="62">
        <v>0</v>
      </c>
      <c r="J1322" s="62">
        <v>-0.63774776529121213</v>
      </c>
    </row>
    <row r="1323" spans="1:10" ht="11.25" customHeight="1" x14ac:dyDescent="0.2">
      <c r="A1323" s="71">
        <v>44378</v>
      </c>
      <c r="B1323" s="61">
        <v>0</v>
      </c>
      <c r="C1323" s="61">
        <v>0</v>
      </c>
      <c r="D1323" s="61">
        <v>597224.80272000004</v>
      </c>
      <c r="E1323" s="61">
        <v>216346.01940883498</v>
      </c>
      <c r="F1323" s="61">
        <v>0</v>
      </c>
      <c r="G1323" s="61">
        <v>0</v>
      </c>
      <c r="H1323" s="62">
        <v>-0.63774776529121213</v>
      </c>
      <c r="I1323" s="62">
        <v>0</v>
      </c>
      <c r="J1323" s="62">
        <v>-0.63774776529121213</v>
      </c>
    </row>
    <row r="1324" spans="1:10" ht="11.25" customHeight="1" x14ac:dyDescent="0.2">
      <c r="A1324" s="71">
        <v>44409</v>
      </c>
      <c r="B1324" s="61">
        <v>0</v>
      </c>
      <c r="C1324" s="61">
        <v>0</v>
      </c>
      <c r="D1324" s="61">
        <v>586817.73696000001</v>
      </c>
      <c r="E1324" s="61">
        <v>212576.03658051367</v>
      </c>
      <c r="F1324" s="61">
        <v>0</v>
      </c>
      <c r="G1324" s="61">
        <v>0</v>
      </c>
      <c r="H1324" s="62">
        <v>-0.63774776529121213</v>
      </c>
      <c r="I1324" s="62">
        <v>0</v>
      </c>
      <c r="J1324" s="62">
        <v>-0.63774776529121213</v>
      </c>
    </row>
    <row r="1325" spans="1:10" ht="11.25" customHeight="1" x14ac:dyDescent="0.2">
      <c r="A1325" s="71">
        <v>44440</v>
      </c>
      <c r="B1325" s="61">
        <v>0</v>
      </c>
      <c r="C1325" s="61">
        <v>0</v>
      </c>
      <c r="D1325" s="61">
        <v>539778.55385999999</v>
      </c>
      <c r="E1325" s="61">
        <v>195535.98738366284</v>
      </c>
      <c r="F1325" s="61">
        <v>0</v>
      </c>
      <c r="G1325" s="61">
        <v>0</v>
      </c>
      <c r="H1325" s="62">
        <v>-0.63774776529121202</v>
      </c>
      <c r="I1325" s="62">
        <v>0</v>
      </c>
      <c r="J1325" s="62">
        <v>-0.63774776529121202</v>
      </c>
    </row>
    <row r="1326" spans="1:10" ht="11.25" customHeight="1" x14ac:dyDescent="0.2">
      <c r="A1326" s="71">
        <v>44470</v>
      </c>
      <c r="B1326" s="61">
        <v>0</v>
      </c>
      <c r="C1326" s="61">
        <v>0</v>
      </c>
      <c r="D1326" s="61">
        <v>539778.55385999999</v>
      </c>
      <c r="E1326" s="61">
        <v>195535.98738366284</v>
      </c>
      <c r="F1326" s="61">
        <v>0</v>
      </c>
      <c r="G1326" s="61">
        <v>0</v>
      </c>
      <c r="H1326" s="62">
        <v>-0.63774776529121202</v>
      </c>
      <c r="I1326" s="62">
        <v>0</v>
      </c>
      <c r="J1326" s="62">
        <v>-0.63774776529121202</v>
      </c>
    </row>
    <row r="1327" spans="1:10" ht="11.25" customHeight="1" x14ac:dyDescent="0.2">
      <c r="A1327" s="70" t="s">
        <v>37</v>
      </c>
      <c r="B1327" s="61">
        <v>3747240.84</v>
      </c>
      <c r="C1327" s="61">
        <v>4191786.4850616721</v>
      </c>
      <c r="D1327" s="61">
        <v>0</v>
      </c>
      <c r="E1327" s="61">
        <v>0</v>
      </c>
      <c r="F1327" s="61">
        <v>0</v>
      </c>
      <c r="G1327" s="61">
        <v>0</v>
      </c>
      <c r="H1327" s="62">
        <v>0.11863279251132197</v>
      </c>
      <c r="I1327" s="62">
        <v>0</v>
      </c>
      <c r="J1327" s="62">
        <v>0.11863279251132197</v>
      </c>
    </row>
    <row r="1328" spans="1:10" ht="11.25" customHeight="1" x14ac:dyDescent="0.2">
      <c r="A1328" s="71">
        <v>44136</v>
      </c>
      <c r="B1328" s="61">
        <v>321808.27</v>
      </c>
      <c r="C1328" s="61">
        <v>359985.28372333752</v>
      </c>
      <c r="D1328" s="61">
        <v>0</v>
      </c>
      <c r="E1328" s="61">
        <v>0</v>
      </c>
      <c r="F1328" s="61">
        <v>0</v>
      </c>
      <c r="G1328" s="61">
        <v>0</v>
      </c>
      <c r="H1328" s="62">
        <v>0.11863279251132197</v>
      </c>
      <c r="I1328" s="62">
        <v>0</v>
      </c>
      <c r="J1328" s="62">
        <v>0.11863279251132197</v>
      </c>
    </row>
    <row r="1329" spans="1:10" ht="11.25" customHeight="1" x14ac:dyDescent="0.2">
      <c r="A1329" s="71">
        <v>44166</v>
      </c>
      <c r="B1329" s="61">
        <v>319370.73000000004</v>
      </c>
      <c r="C1329" s="61">
        <v>357258.57154627948</v>
      </c>
      <c r="D1329" s="61">
        <v>0</v>
      </c>
      <c r="E1329" s="61">
        <v>0</v>
      </c>
      <c r="F1329" s="61">
        <v>0</v>
      </c>
      <c r="G1329" s="61">
        <v>0</v>
      </c>
      <c r="H1329" s="62">
        <v>0.11863279251132197</v>
      </c>
      <c r="I1329" s="62">
        <v>0</v>
      </c>
      <c r="J1329" s="62">
        <v>0.11863279251132197</v>
      </c>
    </row>
    <row r="1330" spans="1:10" ht="11.25" customHeight="1" x14ac:dyDescent="0.2">
      <c r="A1330" s="71">
        <v>44197</v>
      </c>
      <c r="B1330" s="61">
        <v>314336.68</v>
      </c>
      <c r="C1330" s="61">
        <v>351627.31813713786</v>
      </c>
      <c r="D1330" s="61">
        <v>0</v>
      </c>
      <c r="E1330" s="61">
        <v>0</v>
      </c>
      <c r="F1330" s="61">
        <v>0</v>
      </c>
      <c r="G1330" s="61">
        <v>0</v>
      </c>
      <c r="H1330" s="62">
        <v>0.11863279251132219</v>
      </c>
      <c r="I1330" s="62">
        <v>0</v>
      </c>
      <c r="J1330" s="62">
        <v>0.11863279251132219</v>
      </c>
    </row>
    <row r="1331" spans="1:10" ht="11.25" customHeight="1" x14ac:dyDescent="0.2">
      <c r="A1331" s="71">
        <v>44228</v>
      </c>
      <c r="B1331" s="61">
        <v>309779.54000000004</v>
      </c>
      <c r="C1331" s="61">
        <v>346529.55189307278</v>
      </c>
      <c r="D1331" s="61">
        <v>0</v>
      </c>
      <c r="E1331" s="61">
        <v>0</v>
      </c>
      <c r="F1331" s="61">
        <v>0</v>
      </c>
      <c r="G1331" s="61">
        <v>0</v>
      </c>
      <c r="H1331" s="62">
        <v>0.11863279251132197</v>
      </c>
      <c r="I1331" s="62">
        <v>0</v>
      </c>
      <c r="J1331" s="62">
        <v>0.11863279251132197</v>
      </c>
    </row>
    <row r="1332" spans="1:10" ht="11.25" customHeight="1" x14ac:dyDescent="0.2">
      <c r="A1332" s="71">
        <v>44256</v>
      </c>
      <c r="B1332" s="61">
        <v>306812.10000000003</v>
      </c>
      <c r="C1332" s="61">
        <v>343210.07619926299</v>
      </c>
      <c r="D1332" s="61">
        <v>0</v>
      </c>
      <c r="E1332" s="61">
        <v>0</v>
      </c>
      <c r="F1332" s="61">
        <v>0</v>
      </c>
      <c r="G1332" s="61">
        <v>0</v>
      </c>
      <c r="H1332" s="62">
        <v>0.11863279251132197</v>
      </c>
      <c r="I1332" s="62">
        <v>0</v>
      </c>
      <c r="J1332" s="62">
        <v>0.11863279251132197</v>
      </c>
    </row>
    <row r="1333" spans="1:10" ht="11.25" customHeight="1" x14ac:dyDescent="0.2">
      <c r="A1333" s="71">
        <v>44287</v>
      </c>
      <c r="B1333" s="61">
        <v>316986.18</v>
      </c>
      <c r="C1333" s="61">
        <v>354591.13572089659</v>
      </c>
      <c r="D1333" s="61">
        <v>0</v>
      </c>
      <c r="E1333" s="61">
        <v>0</v>
      </c>
      <c r="F1333" s="61">
        <v>0</v>
      </c>
      <c r="G1333" s="61">
        <v>0</v>
      </c>
      <c r="H1333" s="62">
        <v>0.11863279251132219</v>
      </c>
      <c r="I1333" s="62">
        <v>0</v>
      </c>
      <c r="J1333" s="62">
        <v>0.11863279251132219</v>
      </c>
    </row>
    <row r="1334" spans="1:10" ht="11.25" customHeight="1" x14ac:dyDescent="0.2">
      <c r="A1334" s="71">
        <v>44317</v>
      </c>
      <c r="B1334" s="61">
        <v>296744</v>
      </c>
      <c r="C1334" s="61">
        <v>331947.56938097975</v>
      </c>
      <c r="D1334" s="61">
        <v>0</v>
      </c>
      <c r="E1334" s="61">
        <v>0</v>
      </c>
      <c r="F1334" s="61">
        <v>0</v>
      </c>
      <c r="G1334" s="61">
        <v>0</v>
      </c>
      <c r="H1334" s="62">
        <v>0.11863279251132197</v>
      </c>
      <c r="I1334" s="62">
        <v>0</v>
      </c>
      <c r="J1334" s="62">
        <v>0.11863279251132197</v>
      </c>
    </row>
    <row r="1335" spans="1:10" ht="11.25" customHeight="1" x14ac:dyDescent="0.2">
      <c r="A1335" s="71">
        <v>44348</v>
      </c>
      <c r="B1335" s="61">
        <v>314336.68</v>
      </c>
      <c r="C1335" s="61">
        <v>351627.31813713786</v>
      </c>
      <c r="D1335" s="61">
        <v>0</v>
      </c>
      <c r="E1335" s="61">
        <v>0</v>
      </c>
      <c r="F1335" s="61">
        <v>0</v>
      </c>
      <c r="G1335" s="61">
        <v>0</v>
      </c>
      <c r="H1335" s="62">
        <v>0.11863279251132219</v>
      </c>
      <c r="I1335" s="62">
        <v>0</v>
      </c>
      <c r="J1335" s="62">
        <v>0.11863279251132219</v>
      </c>
    </row>
    <row r="1336" spans="1:10" ht="11.25" customHeight="1" x14ac:dyDescent="0.2">
      <c r="A1336" s="71">
        <v>44378</v>
      </c>
      <c r="B1336" s="61">
        <v>312693.99</v>
      </c>
      <c r="C1336" s="61">
        <v>349789.75123520743</v>
      </c>
      <c r="D1336" s="61">
        <v>0</v>
      </c>
      <c r="E1336" s="61">
        <v>0</v>
      </c>
      <c r="F1336" s="61">
        <v>0</v>
      </c>
      <c r="G1336" s="61">
        <v>0</v>
      </c>
      <c r="H1336" s="62">
        <v>0.11863279251132219</v>
      </c>
      <c r="I1336" s="62">
        <v>0</v>
      </c>
      <c r="J1336" s="62">
        <v>0.11863279251132219</v>
      </c>
    </row>
    <row r="1337" spans="1:10" ht="11.25" customHeight="1" x14ac:dyDescent="0.2">
      <c r="A1337" s="71">
        <v>44409</v>
      </c>
      <c r="B1337" s="61">
        <v>312164.09000000003</v>
      </c>
      <c r="C1337" s="61">
        <v>349196.98771845567</v>
      </c>
      <c r="D1337" s="61">
        <v>0</v>
      </c>
      <c r="E1337" s="61">
        <v>0</v>
      </c>
      <c r="F1337" s="61">
        <v>0</v>
      </c>
      <c r="G1337" s="61">
        <v>0</v>
      </c>
      <c r="H1337" s="62">
        <v>0.11863279251132197</v>
      </c>
      <c r="I1337" s="62">
        <v>0</v>
      </c>
      <c r="J1337" s="62">
        <v>0.11863279251132197</v>
      </c>
    </row>
    <row r="1338" spans="1:10" ht="11.25" customHeight="1" x14ac:dyDescent="0.2">
      <c r="A1338" s="71">
        <v>44440</v>
      </c>
      <c r="B1338" s="61">
        <v>311104.29000000004</v>
      </c>
      <c r="C1338" s="61">
        <v>348011.46068495215</v>
      </c>
      <c r="D1338" s="61">
        <v>0</v>
      </c>
      <c r="E1338" s="61">
        <v>0</v>
      </c>
      <c r="F1338" s="61">
        <v>0</v>
      </c>
      <c r="G1338" s="61">
        <v>0</v>
      </c>
      <c r="H1338" s="62">
        <v>0.11863279251132197</v>
      </c>
      <c r="I1338" s="62">
        <v>0</v>
      </c>
      <c r="J1338" s="62">
        <v>0.11863279251132197</v>
      </c>
    </row>
    <row r="1339" spans="1:10" ht="11.25" customHeight="1" x14ac:dyDescent="0.2">
      <c r="A1339" s="71">
        <v>44470</v>
      </c>
      <c r="B1339" s="61">
        <v>311104.29000000004</v>
      </c>
      <c r="C1339" s="61">
        <v>348011.46068495215</v>
      </c>
      <c r="D1339" s="61">
        <v>0</v>
      </c>
      <c r="E1339" s="61">
        <v>0</v>
      </c>
      <c r="F1339" s="61">
        <v>0</v>
      </c>
      <c r="G1339" s="61">
        <v>0</v>
      </c>
      <c r="H1339" s="62">
        <v>0.11863279251132197</v>
      </c>
      <c r="I1339" s="62">
        <v>0</v>
      </c>
      <c r="J1339" s="62">
        <v>0.11863279251132197</v>
      </c>
    </row>
    <row r="1340" spans="1:10" ht="11.25" customHeight="1" x14ac:dyDescent="0.2">
      <c r="A1340" s="65" t="s">
        <v>36</v>
      </c>
      <c r="B1340" s="61">
        <v>17807145.541059997</v>
      </c>
      <c r="C1340" s="61">
        <v>19901770.634559248</v>
      </c>
      <c r="D1340" s="61">
        <v>74500013.363018125</v>
      </c>
      <c r="E1340" s="61">
        <v>43148501.233600929</v>
      </c>
      <c r="F1340" s="61">
        <v>0</v>
      </c>
      <c r="G1340" s="61">
        <v>0</v>
      </c>
      <c r="H1340" s="62">
        <v>-0.31695144107208983</v>
      </c>
      <c r="I1340" s="62">
        <v>0</v>
      </c>
      <c r="J1340" s="62">
        <v>-0.31695144107208983</v>
      </c>
    </row>
    <row r="1341" spans="1:10" ht="11.25" customHeight="1" x14ac:dyDescent="0.2">
      <c r="A1341" s="66" t="s">
        <v>45</v>
      </c>
      <c r="B1341" s="61">
        <v>234559.7</v>
      </c>
      <c r="C1341" s="61">
        <v>262150.5697669019</v>
      </c>
      <c r="D1341" s="61">
        <v>239975.77975999995</v>
      </c>
      <c r="E1341" s="61">
        <v>119994.40672139524</v>
      </c>
      <c r="F1341" s="61">
        <v>0</v>
      </c>
      <c r="G1341" s="61">
        <v>0</v>
      </c>
      <c r="H1341" s="62">
        <v>-0.19469672387495673</v>
      </c>
      <c r="I1341" s="62">
        <v>0</v>
      </c>
      <c r="J1341" s="62">
        <v>-0.19469672387495673</v>
      </c>
    </row>
    <row r="1342" spans="1:10" ht="11.25" customHeight="1" x14ac:dyDescent="0.2">
      <c r="A1342" s="67" t="s">
        <v>25</v>
      </c>
      <c r="B1342" s="61">
        <v>234559.7</v>
      </c>
      <c r="C1342" s="61">
        <v>262150.5697669019</v>
      </c>
      <c r="D1342" s="61">
        <v>239975.77975999995</v>
      </c>
      <c r="E1342" s="61">
        <v>119994.40672139524</v>
      </c>
      <c r="F1342" s="61">
        <v>0</v>
      </c>
      <c r="G1342" s="61">
        <v>0</v>
      </c>
      <c r="H1342" s="62">
        <v>-0.19469672387495673</v>
      </c>
      <c r="I1342" s="62">
        <v>0</v>
      </c>
      <c r="J1342" s="62">
        <v>-0.19469672387495673</v>
      </c>
    </row>
    <row r="1343" spans="1:10" ht="11.25" customHeight="1" x14ac:dyDescent="0.2">
      <c r="A1343" s="68" t="s">
        <v>25</v>
      </c>
      <c r="B1343" s="61">
        <v>234559.7</v>
      </c>
      <c r="C1343" s="61">
        <v>262150.5697669019</v>
      </c>
      <c r="D1343" s="61">
        <v>239975.77975999995</v>
      </c>
      <c r="E1343" s="61">
        <v>119994.40672139524</v>
      </c>
      <c r="F1343" s="61">
        <v>0</v>
      </c>
      <c r="G1343" s="61">
        <v>0</v>
      </c>
      <c r="H1343" s="62">
        <v>-0.19469672387495673</v>
      </c>
      <c r="I1343" s="62">
        <v>0</v>
      </c>
      <c r="J1343" s="62">
        <v>-0.19469672387495673</v>
      </c>
    </row>
    <row r="1344" spans="1:10" ht="11.25" customHeight="1" x14ac:dyDescent="0.2">
      <c r="A1344" s="69" t="s">
        <v>25</v>
      </c>
      <c r="B1344" s="61">
        <v>234559.7</v>
      </c>
      <c r="C1344" s="61">
        <v>262150.5697669019</v>
      </c>
      <c r="D1344" s="61">
        <v>239975.77975999995</v>
      </c>
      <c r="E1344" s="61">
        <v>119994.40672139524</v>
      </c>
      <c r="F1344" s="61">
        <v>0</v>
      </c>
      <c r="G1344" s="61">
        <v>0</v>
      </c>
      <c r="H1344" s="62">
        <v>-0.19469672387495673</v>
      </c>
      <c r="I1344" s="62">
        <v>0</v>
      </c>
      <c r="J1344" s="62">
        <v>-0.19469672387495673</v>
      </c>
    </row>
    <row r="1345" spans="1:10" ht="11.25" customHeight="1" x14ac:dyDescent="0.2">
      <c r="A1345" s="70" t="s">
        <v>38</v>
      </c>
      <c r="B1345" s="61">
        <v>0</v>
      </c>
      <c r="C1345" s="61">
        <v>0</v>
      </c>
      <c r="D1345" s="61">
        <v>191672.13961999997</v>
      </c>
      <c r="E1345" s="61">
        <v>69433.660908759804</v>
      </c>
      <c r="F1345" s="61">
        <v>0</v>
      </c>
      <c r="G1345" s="61">
        <v>0</v>
      </c>
      <c r="H1345" s="62">
        <v>-0.63774776529121202</v>
      </c>
      <c r="I1345" s="62">
        <v>0</v>
      </c>
      <c r="J1345" s="62">
        <v>-0.63774776529121202</v>
      </c>
    </row>
    <row r="1346" spans="1:10" ht="11.25" customHeight="1" x14ac:dyDescent="0.2">
      <c r="A1346" s="71">
        <v>44136</v>
      </c>
      <c r="B1346" s="61">
        <v>0</v>
      </c>
      <c r="C1346" s="61">
        <v>0</v>
      </c>
      <c r="D1346" s="61">
        <v>-24577.77491</v>
      </c>
      <c r="E1346" s="61">
        <v>-8903.3538853170794</v>
      </c>
      <c r="F1346" s="61">
        <v>0</v>
      </c>
      <c r="G1346" s="61">
        <v>0</v>
      </c>
      <c r="H1346" s="62">
        <v>-0.63774776529121202</v>
      </c>
      <c r="I1346" s="62">
        <v>0</v>
      </c>
      <c r="J1346" s="62">
        <v>-0.63774776529121202</v>
      </c>
    </row>
    <row r="1347" spans="1:10" ht="11.25" customHeight="1" x14ac:dyDescent="0.2">
      <c r="A1347" s="71">
        <v>44166</v>
      </c>
      <c r="B1347" s="61">
        <v>0</v>
      </c>
      <c r="C1347" s="61">
        <v>0</v>
      </c>
      <c r="D1347" s="61">
        <v>62426.084889999991</v>
      </c>
      <c r="E1347" s="61">
        <v>22613.988755522994</v>
      </c>
      <c r="F1347" s="61">
        <v>0</v>
      </c>
      <c r="G1347" s="61">
        <v>0</v>
      </c>
      <c r="H1347" s="62">
        <v>-0.63774776529121213</v>
      </c>
      <c r="I1347" s="62">
        <v>0</v>
      </c>
      <c r="J1347" s="62">
        <v>-0.63774776529121213</v>
      </c>
    </row>
    <row r="1348" spans="1:10" ht="11.25" customHeight="1" x14ac:dyDescent="0.2">
      <c r="A1348" s="71">
        <v>44197</v>
      </c>
      <c r="B1348" s="61">
        <v>0</v>
      </c>
      <c r="C1348" s="61">
        <v>0</v>
      </c>
      <c r="D1348" s="61">
        <v>10934.9604</v>
      </c>
      <c r="E1348" s="61">
        <v>3961.2138413521011</v>
      </c>
      <c r="F1348" s="61">
        <v>0</v>
      </c>
      <c r="G1348" s="61">
        <v>0</v>
      </c>
      <c r="H1348" s="62">
        <v>-0.63774776529121213</v>
      </c>
      <c r="I1348" s="62">
        <v>0</v>
      </c>
      <c r="J1348" s="62">
        <v>-0.63774776529121213</v>
      </c>
    </row>
    <row r="1349" spans="1:10" ht="11.25" customHeight="1" x14ac:dyDescent="0.2">
      <c r="A1349" s="71">
        <v>44228</v>
      </c>
      <c r="B1349" s="61">
        <v>0</v>
      </c>
      <c r="C1349" s="61">
        <v>0</v>
      </c>
      <c r="D1349" s="61">
        <v>9675.9735799999999</v>
      </c>
      <c r="E1349" s="61">
        <v>3505.1430523381905</v>
      </c>
      <c r="F1349" s="61">
        <v>0</v>
      </c>
      <c r="G1349" s="61">
        <v>0</v>
      </c>
      <c r="H1349" s="62">
        <v>-0.63774776529121213</v>
      </c>
      <c r="I1349" s="62">
        <v>0</v>
      </c>
      <c r="J1349" s="62">
        <v>-0.63774776529121213</v>
      </c>
    </row>
    <row r="1350" spans="1:10" ht="11.25" customHeight="1" x14ac:dyDescent="0.2">
      <c r="A1350" s="71">
        <v>44256</v>
      </c>
      <c r="B1350" s="61">
        <v>0</v>
      </c>
      <c r="C1350" s="61">
        <v>0</v>
      </c>
      <c r="D1350" s="61">
        <v>15192.53242</v>
      </c>
      <c r="E1350" s="61">
        <v>5503.5288200307095</v>
      </c>
      <c r="F1350" s="61">
        <v>0</v>
      </c>
      <c r="G1350" s="61">
        <v>0</v>
      </c>
      <c r="H1350" s="62">
        <v>-0.63774776529121202</v>
      </c>
      <c r="I1350" s="62">
        <v>0</v>
      </c>
      <c r="J1350" s="62">
        <v>-0.63774776529121202</v>
      </c>
    </row>
    <row r="1351" spans="1:10" ht="11.25" customHeight="1" x14ac:dyDescent="0.2">
      <c r="A1351" s="71">
        <v>44287</v>
      </c>
      <c r="B1351" s="61">
        <v>0</v>
      </c>
      <c r="C1351" s="61">
        <v>0</v>
      </c>
      <c r="D1351" s="61">
        <v>15164.85087</v>
      </c>
      <c r="E1351" s="61">
        <v>5493.5011166830063</v>
      </c>
      <c r="F1351" s="61">
        <v>0</v>
      </c>
      <c r="G1351" s="61">
        <v>0</v>
      </c>
      <c r="H1351" s="62">
        <v>-0.63774776529121213</v>
      </c>
      <c r="I1351" s="62">
        <v>0</v>
      </c>
      <c r="J1351" s="62">
        <v>-0.63774776529121213</v>
      </c>
    </row>
    <row r="1352" spans="1:10" ht="11.25" customHeight="1" x14ac:dyDescent="0.2">
      <c r="A1352" s="71">
        <v>44317</v>
      </c>
      <c r="B1352" s="61">
        <v>0</v>
      </c>
      <c r="C1352" s="61">
        <v>0</v>
      </c>
      <c r="D1352" s="61">
        <v>17260.419019999998</v>
      </c>
      <c r="E1352" s="61">
        <v>6252.6253620050666</v>
      </c>
      <c r="F1352" s="61">
        <v>0</v>
      </c>
      <c r="G1352" s="61">
        <v>0</v>
      </c>
      <c r="H1352" s="62">
        <v>-0.63774776529121202</v>
      </c>
      <c r="I1352" s="62">
        <v>0</v>
      </c>
      <c r="J1352" s="62">
        <v>-0.63774776529121202</v>
      </c>
    </row>
    <row r="1353" spans="1:10" ht="11.25" customHeight="1" x14ac:dyDescent="0.2">
      <c r="A1353" s="71">
        <v>44348</v>
      </c>
      <c r="B1353" s="61">
        <v>0</v>
      </c>
      <c r="C1353" s="61">
        <v>0</v>
      </c>
      <c r="D1353" s="61">
        <v>10934.9604</v>
      </c>
      <c r="E1353" s="61">
        <v>3961.2138413521011</v>
      </c>
      <c r="F1353" s="61">
        <v>0</v>
      </c>
      <c r="G1353" s="61">
        <v>0</v>
      </c>
      <c r="H1353" s="62">
        <v>-0.63774776529121213</v>
      </c>
      <c r="I1353" s="62">
        <v>0</v>
      </c>
      <c r="J1353" s="62">
        <v>-0.63774776529121213</v>
      </c>
    </row>
    <row r="1354" spans="1:10" ht="11.25" customHeight="1" x14ac:dyDescent="0.2">
      <c r="A1354" s="71">
        <v>44378</v>
      </c>
      <c r="B1354" s="61">
        <v>0</v>
      </c>
      <c r="C1354" s="61">
        <v>0</v>
      </c>
      <c r="D1354" s="61">
        <v>17007.993210000001</v>
      </c>
      <c r="E1354" s="61">
        <v>6161.1835482343913</v>
      </c>
      <c r="F1354" s="61">
        <v>0</v>
      </c>
      <c r="G1354" s="61">
        <v>0</v>
      </c>
      <c r="H1354" s="62">
        <v>-0.63774776529121202</v>
      </c>
      <c r="I1354" s="62">
        <v>0</v>
      </c>
      <c r="J1354" s="62">
        <v>-0.63774776529121202</v>
      </c>
    </row>
    <row r="1355" spans="1:10" ht="11.25" customHeight="1" x14ac:dyDescent="0.2">
      <c r="A1355" s="71">
        <v>44409</v>
      </c>
      <c r="B1355" s="61">
        <v>0</v>
      </c>
      <c r="C1355" s="61">
        <v>0</v>
      </c>
      <c r="D1355" s="61">
        <v>19074.832399999999</v>
      </c>
      <c r="E1355" s="61">
        <v>6909.9006635955921</v>
      </c>
      <c r="F1355" s="61">
        <v>0</v>
      </c>
      <c r="G1355" s="61">
        <v>0</v>
      </c>
      <c r="H1355" s="62">
        <v>-0.63774776529121202</v>
      </c>
      <c r="I1355" s="62">
        <v>0</v>
      </c>
      <c r="J1355" s="62">
        <v>-0.63774776529121202</v>
      </c>
    </row>
    <row r="1356" spans="1:10" ht="11.25" customHeight="1" x14ac:dyDescent="0.2">
      <c r="A1356" s="71">
        <v>44440</v>
      </c>
      <c r="B1356" s="61">
        <v>0</v>
      </c>
      <c r="C1356" s="61">
        <v>0</v>
      </c>
      <c r="D1356" s="61">
        <v>19288.65367</v>
      </c>
      <c r="E1356" s="61">
        <v>6987.3578964813623</v>
      </c>
      <c r="F1356" s="61">
        <v>0</v>
      </c>
      <c r="G1356" s="61">
        <v>0</v>
      </c>
      <c r="H1356" s="62">
        <v>-0.63774776529121213</v>
      </c>
      <c r="I1356" s="62">
        <v>0</v>
      </c>
      <c r="J1356" s="62">
        <v>-0.63774776529121213</v>
      </c>
    </row>
    <row r="1357" spans="1:10" ht="11.25" customHeight="1" x14ac:dyDescent="0.2">
      <c r="A1357" s="71">
        <v>44470</v>
      </c>
      <c r="B1357" s="61">
        <v>0</v>
      </c>
      <c r="C1357" s="61">
        <v>0</v>
      </c>
      <c r="D1357" s="61">
        <v>19288.65367</v>
      </c>
      <c r="E1357" s="61">
        <v>6987.3578964813623</v>
      </c>
      <c r="F1357" s="61">
        <v>0</v>
      </c>
      <c r="G1357" s="61">
        <v>0</v>
      </c>
      <c r="H1357" s="62">
        <v>-0.63774776529121213</v>
      </c>
      <c r="I1357" s="62">
        <v>0</v>
      </c>
      <c r="J1357" s="62">
        <v>-0.63774776529121213</v>
      </c>
    </row>
    <row r="1358" spans="1:10" ht="11.25" customHeight="1" x14ac:dyDescent="0.2">
      <c r="A1358" s="70" t="s">
        <v>25</v>
      </c>
      <c r="B1358" s="61">
        <v>234559.7</v>
      </c>
      <c r="C1358" s="61">
        <v>262150.5697669019</v>
      </c>
      <c r="D1358" s="61">
        <v>0</v>
      </c>
      <c r="E1358" s="61">
        <v>0</v>
      </c>
      <c r="F1358" s="61">
        <v>0</v>
      </c>
      <c r="G1358" s="61">
        <v>0</v>
      </c>
      <c r="H1358" s="62">
        <v>0.11762834692789026</v>
      </c>
      <c r="I1358" s="62">
        <v>0</v>
      </c>
      <c r="J1358" s="62">
        <v>0.11762834692789026</v>
      </c>
    </row>
    <row r="1359" spans="1:10" ht="11.25" customHeight="1" x14ac:dyDescent="0.2">
      <c r="A1359" s="71">
        <v>44136</v>
      </c>
      <c r="B1359" s="61">
        <v>8428.15</v>
      </c>
      <c r="C1359" s="61">
        <v>9419.5393521603037</v>
      </c>
      <c r="D1359" s="61">
        <v>0</v>
      </c>
      <c r="E1359" s="61">
        <v>0</v>
      </c>
      <c r="F1359" s="61">
        <v>0</v>
      </c>
      <c r="G1359" s="61">
        <v>0</v>
      </c>
      <c r="H1359" s="62">
        <v>0.11762834692789093</v>
      </c>
      <c r="I1359" s="62">
        <v>0</v>
      </c>
      <c r="J1359" s="62">
        <v>0.11762834692789093</v>
      </c>
    </row>
    <row r="1360" spans="1:10" ht="11.25" customHeight="1" x14ac:dyDescent="0.2">
      <c r="A1360" s="71">
        <v>44166</v>
      </c>
      <c r="B1360" s="61">
        <v>61854.05</v>
      </c>
      <c r="C1360" s="61">
        <v>69129.839652295108</v>
      </c>
      <c r="D1360" s="61">
        <v>0</v>
      </c>
      <c r="E1360" s="61">
        <v>0</v>
      </c>
      <c r="F1360" s="61">
        <v>0</v>
      </c>
      <c r="G1360" s="61">
        <v>0</v>
      </c>
      <c r="H1360" s="62">
        <v>0.1176283469278907</v>
      </c>
      <c r="I1360" s="62">
        <v>0</v>
      </c>
      <c r="J1360" s="62">
        <v>0.1176283469278907</v>
      </c>
    </row>
    <row r="1361" spans="1:10" ht="11.25" customHeight="1" x14ac:dyDescent="0.2">
      <c r="A1361" s="71">
        <v>44197</v>
      </c>
      <c r="B1361" s="61">
        <v>16427.75</v>
      </c>
      <c r="C1361" s="61">
        <v>18360.119076244657</v>
      </c>
      <c r="D1361" s="61">
        <v>0</v>
      </c>
      <c r="E1361" s="61">
        <v>0</v>
      </c>
      <c r="F1361" s="61">
        <v>0</v>
      </c>
      <c r="G1361" s="61">
        <v>0</v>
      </c>
      <c r="H1361" s="62">
        <v>0.1176283469278907</v>
      </c>
      <c r="I1361" s="62">
        <v>0</v>
      </c>
      <c r="J1361" s="62">
        <v>0.1176283469278907</v>
      </c>
    </row>
    <row r="1362" spans="1:10" ht="11.25" customHeight="1" x14ac:dyDescent="0.2">
      <c r="A1362" s="71">
        <v>44228</v>
      </c>
      <c r="B1362" s="61">
        <v>16427.75</v>
      </c>
      <c r="C1362" s="61">
        <v>18360.119076244657</v>
      </c>
      <c r="D1362" s="61">
        <v>0</v>
      </c>
      <c r="E1362" s="61">
        <v>0</v>
      </c>
      <c r="F1362" s="61">
        <v>0</v>
      </c>
      <c r="G1362" s="61">
        <v>0</v>
      </c>
      <c r="H1362" s="62">
        <v>0.1176283469278907</v>
      </c>
      <c r="I1362" s="62">
        <v>0</v>
      </c>
      <c r="J1362" s="62">
        <v>0.1176283469278907</v>
      </c>
    </row>
    <row r="1363" spans="1:10" ht="11.25" customHeight="1" x14ac:dyDescent="0.2">
      <c r="A1363" s="71">
        <v>44256</v>
      </c>
      <c r="B1363" s="61">
        <v>16427.75</v>
      </c>
      <c r="C1363" s="61">
        <v>18360.119076244657</v>
      </c>
      <c r="D1363" s="61">
        <v>0</v>
      </c>
      <c r="E1363" s="61">
        <v>0</v>
      </c>
      <c r="F1363" s="61">
        <v>0</v>
      </c>
      <c r="G1363" s="61">
        <v>0</v>
      </c>
      <c r="H1363" s="62">
        <v>0.1176283469278907</v>
      </c>
      <c r="I1363" s="62">
        <v>0</v>
      </c>
      <c r="J1363" s="62">
        <v>0.1176283469278907</v>
      </c>
    </row>
    <row r="1364" spans="1:10" ht="11.25" customHeight="1" x14ac:dyDescent="0.2">
      <c r="A1364" s="71">
        <v>44287</v>
      </c>
      <c r="B1364" s="61">
        <v>16427.75</v>
      </c>
      <c r="C1364" s="61">
        <v>18360.119076244657</v>
      </c>
      <c r="D1364" s="61">
        <v>0</v>
      </c>
      <c r="E1364" s="61">
        <v>0</v>
      </c>
      <c r="F1364" s="61">
        <v>0</v>
      </c>
      <c r="G1364" s="61">
        <v>0</v>
      </c>
      <c r="H1364" s="62">
        <v>0.1176283469278907</v>
      </c>
      <c r="I1364" s="62">
        <v>0</v>
      </c>
      <c r="J1364" s="62">
        <v>0.1176283469278907</v>
      </c>
    </row>
    <row r="1365" spans="1:10" ht="11.25" customHeight="1" x14ac:dyDescent="0.2">
      <c r="A1365" s="71">
        <v>44317</v>
      </c>
      <c r="B1365" s="61">
        <v>16427.75</v>
      </c>
      <c r="C1365" s="61">
        <v>18360.119076244657</v>
      </c>
      <c r="D1365" s="61">
        <v>0</v>
      </c>
      <c r="E1365" s="61">
        <v>0</v>
      </c>
      <c r="F1365" s="61">
        <v>0</v>
      </c>
      <c r="G1365" s="61">
        <v>0</v>
      </c>
      <c r="H1365" s="62">
        <v>0.1176283469278907</v>
      </c>
      <c r="I1365" s="62">
        <v>0</v>
      </c>
      <c r="J1365" s="62">
        <v>0.1176283469278907</v>
      </c>
    </row>
    <row r="1366" spans="1:10" ht="11.25" customHeight="1" x14ac:dyDescent="0.2">
      <c r="A1366" s="71">
        <v>44348</v>
      </c>
      <c r="B1366" s="61">
        <v>16427.75</v>
      </c>
      <c r="C1366" s="61">
        <v>18360.119076244657</v>
      </c>
      <c r="D1366" s="61">
        <v>0</v>
      </c>
      <c r="E1366" s="61">
        <v>0</v>
      </c>
      <c r="F1366" s="61">
        <v>0</v>
      </c>
      <c r="G1366" s="61">
        <v>0</v>
      </c>
      <c r="H1366" s="62">
        <v>0.1176283469278907</v>
      </c>
      <c r="I1366" s="62">
        <v>0</v>
      </c>
      <c r="J1366" s="62">
        <v>0.1176283469278907</v>
      </c>
    </row>
    <row r="1367" spans="1:10" ht="11.25" customHeight="1" x14ac:dyDescent="0.2">
      <c r="A1367" s="71">
        <v>44378</v>
      </c>
      <c r="B1367" s="61">
        <v>16427.75</v>
      </c>
      <c r="C1367" s="61">
        <v>18360.119076244657</v>
      </c>
      <c r="D1367" s="61">
        <v>0</v>
      </c>
      <c r="E1367" s="61">
        <v>0</v>
      </c>
      <c r="F1367" s="61">
        <v>0</v>
      </c>
      <c r="G1367" s="61">
        <v>0</v>
      </c>
      <c r="H1367" s="62">
        <v>0.1176283469278907</v>
      </c>
      <c r="I1367" s="62">
        <v>0</v>
      </c>
      <c r="J1367" s="62">
        <v>0.1176283469278907</v>
      </c>
    </row>
    <row r="1368" spans="1:10" ht="11.25" customHeight="1" x14ac:dyDescent="0.2">
      <c r="A1368" s="71">
        <v>44409</v>
      </c>
      <c r="B1368" s="61">
        <v>16427.75</v>
      </c>
      <c r="C1368" s="61">
        <v>18360.119076244657</v>
      </c>
      <c r="D1368" s="61">
        <v>0</v>
      </c>
      <c r="E1368" s="61">
        <v>0</v>
      </c>
      <c r="F1368" s="61">
        <v>0</v>
      </c>
      <c r="G1368" s="61">
        <v>0</v>
      </c>
      <c r="H1368" s="62">
        <v>0.1176283469278907</v>
      </c>
      <c r="I1368" s="62">
        <v>0</v>
      </c>
      <c r="J1368" s="62">
        <v>0.1176283469278907</v>
      </c>
    </row>
    <row r="1369" spans="1:10" ht="11.25" customHeight="1" x14ac:dyDescent="0.2">
      <c r="A1369" s="71">
        <v>44440</v>
      </c>
      <c r="B1369" s="61">
        <v>16427.75</v>
      </c>
      <c r="C1369" s="61">
        <v>18360.119076244657</v>
      </c>
      <c r="D1369" s="61">
        <v>0</v>
      </c>
      <c r="E1369" s="61">
        <v>0</v>
      </c>
      <c r="F1369" s="61">
        <v>0</v>
      </c>
      <c r="G1369" s="61">
        <v>0</v>
      </c>
      <c r="H1369" s="62">
        <v>0.1176283469278907</v>
      </c>
      <c r="I1369" s="62">
        <v>0</v>
      </c>
      <c r="J1369" s="62">
        <v>0.1176283469278907</v>
      </c>
    </row>
    <row r="1370" spans="1:10" ht="11.25" customHeight="1" x14ac:dyDescent="0.2">
      <c r="A1370" s="71">
        <v>44470</v>
      </c>
      <c r="B1370" s="61">
        <v>16427.75</v>
      </c>
      <c r="C1370" s="61">
        <v>18360.119076244657</v>
      </c>
      <c r="D1370" s="61">
        <v>0</v>
      </c>
      <c r="E1370" s="61">
        <v>0</v>
      </c>
      <c r="F1370" s="61">
        <v>0</v>
      </c>
      <c r="G1370" s="61">
        <v>0</v>
      </c>
      <c r="H1370" s="62">
        <v>0.1176283469278907</v>
      </c>
      <c r="I1370" s="62">
        <v>0</v>
      </c>
      <c r="J1370" s="62">
        <v>0.1176283469278907</v>
      </c>
    </row>
    <row r="1371" spans="1:10" ht="11.25" customHeight="1" x14ac:dyDescent="0.2">
      <c r="A1371" s="70" t="s">
        <v>37</v>
      </c>
      <c r="B1371" s="61">
        <v>0</v>
      </c>
      <c r="C1371" s="61">
        <v>0</v>
      </c>
      <c r="D1371" s="61">
        <v>48303.640140000003</v>
      </c>
      <c r="E1371" s="61">
        <v>50560.745812635432</v>
      </c>
      <c r="F1371" s="61">
        <v>0</v>
      </c>
      <c r="G1371" s="61">
        <v>0</v>
      </c>
      <c r="H1371" s="62">
        <v>4.6727444683124952E-2</v>
      </c>
      <c r="I1371" s="62">
        <v>0</v>
      </c>
      <c r="J1371" s="62">
        <v>4.6727444683124952E-2</v>
      </c>
    </row>
    <row r="1372" spans="1:10" ht="11.25" customHeight="1" x14ac:dyDescent="0.2">
      <c r="A1372" s="71">
        <v>44136</v>
      </c>
      <c r="B1372" s="61">
        <v>0</v>
      </c>
      <c r="C1372" s="61">
        <v>0</v>
      </c>
      <c r="D1372" s="61">
        <v>-30137.763949999997</v>
      </c>
      <c r="E1372" s="61">
        <v>-31546.024647846705</v>
      </c>
      <c r="F1372" s="61">
        <v>0</v>
      </c>
      <c r="G1372" s="61">
        <v>0</v>
      </c>
      <c r="H1372" s="62">
        <v>4.6727444683125174E-2</v>
      </c>
      <c r="I1372" s="62">
        <v>0</v>
      </c>
      <c r="J1372" s="62">
        <v>4.6727444683125174E-2</v>
      </c>
    </row>
    <row r="1373" spans="1:10" ht="11.25" customHeight="1" x14ac:dyDescent="0.2">
      <c r="A1373" s="71">
        <v>44166</v>
      </c>
      <c r="B1373" s="61">
        <v>0</v>
      </c>
      <c r="C1373" s="61">
        <v>0</v>
      </c>
      <c r="D1373" s="61">
        <v>37976.021719999997</v>
      </c>
      <c r="E1373" s="61">
        <v>39750.544174206458</v>
      </c>
      <c r="F1373" s="61">
        <v>0</v>
      </c>
      <c r="G1373" s="61">
        <v>0</v>
      </c>
      <c r="H1373" s="62">
        <v>4.6727444683125174E-2</v>
      </c>
      <c r="I1373" s="62">
        <v>0</v>
      </c>
      <c r="J1373" s="62">
        <v>4.6727444683125174E-2</v>
      </c>
    </row>
    <row r="1374" spans="1:10" ht="11.25" customHeight="1" x14ac:dyDescent="0.2">
      <c r="A1374" s="71">
        <v>44197</v>
      </c>
      <c r="B1374" s="61">
        <v>0</v>
      </c>
      <c r="C1374" s="61">
        <v>0</v>
      </c>
      <c r="D1374" s="61">
        <v>3954.2812399999998</v>
      </c>
      <c r="E1374" s="61">
        <v>4139.0546979036189</v>
      </c>
      <c r="F1374" s="61">
        <v>0</v>
      </c>
      <c r="G1374" s="61">
        <v>0</v>
      </c>
      <c r="H1374" s="62">
        <v>4.6727444683124952E-2</v>
      </c>
      <c r="I1374" s="62">
        <v>0</v>
      </c>
      <c r="J1374" s="62">
        <v>4.6727444683124952E-2</v>
      </c>
    </row>
    <row r="1375" spans="1:10" ht="11.25" customHeight="1" x14ac:dyDescent="0.2">
      <c r="A1375" s="71">
        <v>44228</v>
      </c>
      <c r="B1375" s="61">
        <v>0</v>
      </c>
      <c r="C1375" s="61">
        <v>0</v>
      </c>
      <c r="D1375" s="61">
        <v>3624.2795399999995</v>
      </c>
      <c r="E1375" s="61">
        <v>3793.6328617215318</v>
      </c>
      <c r="F1375" s="61">
        <v>0</v>
      </c>
      <c r="G1375" s="61">
        <v>0</v>
      </c>
      <c r="H1375" s="62">
        <v>4.6727444683125174E-2</v>
      </c>
      <c r="I1375" s="62">
        <v>0</v>
      </c>
      <c r="J1375" s="62">
        <v>4.6727444683125174E-2</v>
      </c>
    </row>
    <row r="1376" spans="1:10" ht="11.25" customHeight="1" x14ac:dyDescent="0.2">
      <c r="A1376" s="71">
        <v>44256</v>
      </c>
      <c r="B1376" s="61">
        <v>0</v>
      </c>
      <c r="C1376" s="61">
        <v>0</v>
      </c>
      <c r="D1376" s="61">
        <v>4710.4155700000001</v>
      </c>
      <c r="E1376" s="61">
        <v>4930.5212529817063</v>
      </c>
      <c r="F1376" s="61">
        <v>0</v>
      </c>
      <c r="G1376" s="61">
        <v>0</v>
      </c>
      <c r="H1376" s="62">
        <v>4.6727444683125174E-2</v>
      </c>
      <c r="I1376" s="62">
        <v>0</v>
      </c>
      <c r="J1376" s="62">
        <v>4.6727444683125174E-2</v>
      </c>
    </row>
    <row r="1377" spans="1:10" ht="11.25" customHeight="1" x14ac:dyDescent="0.2">
      <c r="A1377" s="71">
        <v>44287</v>
      </c>
      <c r="B1377" s="61">
        <v>0</v>
      </c>
      <c r="C1377" s="61">
        <v>0</v>
      </c>
      <c r="D1377" s="61">
        <v>4176.6736899999996</v>
      </c>
      <c r="E1377" s="61">
        <v>4371.8389788089389</v>
      </c>
      <c r="F1377" s="61">
        <v>0</v>
      </c>
      <c r="G1377" s="61">
        <v>0</v>
      </c>
      <c r="H1377" s="62">
        <v>4.6727444683125174E-2</v>
      </c>
      <c r="I1377" s="62">
        <v>0</v>
      </c>
      <c r="J1377" s="62">
        <v>4.6727444683125174E-2</v>
      </c>
    </row>
    <row r="1378" spans="1:10" ht="11.25" customHeight="1" x14ac:dyDescent="0.2">
      <c r="A1378" s="71">
        <v>44317</v>
      </c>
      <c r="B1378" s="61">
        <v>0</v>
      </c>
      <c r="C1378" s="61">
        <v>0</v>
      </c>
      <c r="D1378" s="61">
        <v>3828.0197200000002</v>
      </c>
      <c r="E1378" s="61">
        <v>4006.8932997122124</v>
      </c>
      <c r="F1378" s="61">
        <v>0</v>
      </c>
      <c r="G1378" s="61">
        <v>0</v>
      </c>
      <c r="H1378" s="62">
        <v>4.6727444683125174E-2</v>
      </c>
      <c r="I1378" s="62">
        <v>0</v>
      </c>
      <c r="J1378" s="62">
        <v>4.6727444683125174E-2</v>
      </c>
    </row>
    <row r="1379" spans="1:10" ht="11.25" customHeight="1" x14ac:dyDescent="0.2">
      <c r="A1379" s="71">
        <v>44348</v>
      </c>
      <c r="B1379" s="61">
        <v>0</v>
      </c>
      <c r="C1379" s="61">
        <v>0</v>
      </c>
      <c r="D1379" s="61">
        <v>3954.2812399999998</v>
      </c>
      <c r="E1379" s="61">
        <v>4139.0546979036189</v>
      </c>
      <c r="F1379" s="61">
        <v>0</v>
      </c>
      <c r="G1379" s="61">
        <v>0</v>
      </c>
      <c r="H1379" s="62">
        <v>4.6727444683124952E-2</v>
      </c>
      <c r="I1379" s="62">
        <v>0</v>
      </c>
      <c r="J1379" s="62">
        <v>4.6727444683124952E-2</v>
      </c>
    </row>
    <row r="1380" spans="1:10" ht="11.25" customHeight="1" x14ac:dyDescent="0.2">
      <c r="A1380" s="71">
        <v>44378</v>
      </c>
      <c r="B1380" s="61">
        <v>0</v>
      </c>
      <c r="C1380" s="61">
        <v>0</v>
      </c>
      <c r="D1380" s="61">
        <v>3939.93334</v>
      </c>
      <c r="E1380" s="61">
        <v>4124.0363572000506</v>
      </c>
      <c r="F1380" s="61">
        <v>0</v>
      </c>
      <c r="G1380" s="61">
        <v>0</v>
      </c>
      <c r="H1380" s="62">
        <v>4.6727444683125174E-2</v>
      </c>
      <c r="I1380" s="62">
        <v>0</v>
      </c>
      <c r="J1380" s="62">
        <v>4.6727444683125174E-2</v>
      </c>
    </row>
    <row r="1381" spans="1:10" ht="11.25" customHeight="1" x14ac:dyDescent="0.2">
      <c r="A1381" s="71">
        <v>44409</v>
      </c>
      <c r="B1381" s="61">
        <v>0</v>
      </c>
      <c r="C1381" s="61">
        <v>0</v>
      </c>
      <c r="D1381" s="61">
        <v>4386.1530299999995</v>
      </c>
      <c r="E1381" s="61">
        <v>4591.1067530810469</v>
      </c>
      <c r="F1381" s="61">
        <v>0</v>
      </c>
      <c r="G1381" s="61">
        <v>0</v>
      </c>
      <c r="H1381" s="62">
        <v>4.6727444683125396E-2</v>
      </c>
      <c r="I1381" s="62">
        <v>0</v>
      </c>
      <c r="J1381" s="62">
        <v>4.6727444683125396E-2</v>
      </c>
    </row>
    <row r="1382" spans="1:10" ht="11.25" customHeight="1" x14ac:dyDescent="0.2">
      <c r="A1382" s="71">
        <v>44440</v>
      </c>
      <c r="B1382" s="61">
        <v>0</v>
      </c>
      <c r="C1382" s="61">
        <v>0</v>
      </c>
      <c r="D1382" s="61">
        <v>3945.6724999999997</v>
      </c>
      <c r="E1382" s="61">
        <v>4130.0436934814779</v>
      </c>
      <c r="F1382" s="61">
        <v>0</v>
      </c>
      <c r="G1382" s="61">
        <v>0</v>
      </c>
      <c r="H1382" s="62">
        <v>4.6727444683125174E-2</v>
      </c>
      <c r="I1382" s="62">
        <v>0</v>
      </c>
      <c r="J1382" s="62">
        <v>4.6727444683125174E-2</v>
      </c>
    </row>
    <row r="1383" spans="1:10" ht="11.25" customHeight="1" x14ac:dyDescent="0.2">
      <c r="A1383" s="71">
        <v>44470</v>
      </c>
      <c r="B1383" s="61">
        <v>0</v>
      </c>
      <c r="C1383" s="61">
        <v>0</v>
      </c>
      <c r="D1383" s="61">
        <v>3945.6724999999997</v>
      </c>
      <c r="E1383" s="61">
        <v>4130.0436934814779</v>
      </c>
      <c r="F1383" s="61">
        <v>0</v>
      </c>
      <c r="G1383" s="61">
        <v>0</v>
      </c>
      <c r="H1383" s="62">
        <v>4.6727444683125174E-2</v>
      </c>
      <c r="I1383" s="62">
        <v>0</v>
      </c>
      <c r="J1383" s="62">
        <v>4.6727444683125174E-2</v>
      </c>
    </row>
    <row r="1384" spans="1:10" ht="11.25" customHeight="1" x14ac:dyDescent="0.2">
      <c r="A1384" s="66" t="s">
        <v>42</v>
      </c>
      <c r="B1384" s="61">
        <v>17572585.841059998</v>
      </c>
      <c r="C1384" s="61">
        <v>19639620.064792346</v>
      </c>
      <c r="D1384" s="61">
        <v>74260037.583258122</v>
      </c>
      <c r="E1384" s="61">
        <v>43028506.826879546</v>
      </c>
      <c r="F1384" s="61">
        <v>0</v>
      </c>
      <c r="G1384" s="61">
        <v>0</v>
      </c>
      <c r="H1384" s="62">
        <v>-0.31758317954056403</v>
      </c>
      <c r="I1384" s="62">
        <v>0</v>
      </c>
      <c r="J1384" s="62">
        <v>-0.31758317954056403</v>
      </c>
    </row>
    <row r="1385" spans="1:10" ht="11.25" customHeight="1" x14ac:dyDescent="0.2">
      <c r="A1385" s="67" t="s">
        <v>25</v>
      </c>
      <c r="B1385" s="61">
        <v>17572585.841059998</v>
      </c>
      <c r="C1385" s="61">
        <v>19639620.064792346</v>
      </c>
      <c r="D1385" s="61">
        <v>74260037.583258122</v>
      </c>
      <c r="E1385" s="61">
        <v>43028506.826879546</v>
      </c>
      <c r="F1385" s="61">
        <v>0</v>
      </c>
      <c r="G1385" s="61">
        <v>0</v>
      </c>
      <c r="H1385" s="62">
        <v>-0.31758317954056403</v>
      </c>
      <c r="I1385" s="62">
        <v>0</v>
      </c>
      <c r="J1385" s="62">
        <v>-0.31758317954056403</v>
      </c>
    </row>
    <row r="1386" spans="1:10" ht="11.25" customHeight="1" x14ac:dyDescent="0.2">
      <c r="A1386" s="68" t="s">
        <v>62</v>
      </c>
      <c r="B1386" s="61">
        <v>17283314.591060001</v>
      </c>
      <c r="C1386" s="61">
        <v>19316322.315841082</v>
      </c>
      <c r="D1386" s="61">
        <v>73353344.920128122</v>
      </c>
      <c r="E1386" s="61">
        <v>42394962.974042602</v>
      </c>
      <c r="F1386" s="61">
        <v>0</v>
      </c>
      <c r="G1386" s="61">
        <v>0</v>
      </c>
      <c r="H1386" s="62">
        <v>-0.31913548422130344</v>
      </c>
      <c r="I1386" s="62">
        <v>0</v>
      </c>
      <c r="J1386" s="62">
        <v>-0.31913548422130344</v>
      </c>
    </row>
    <row r="1387" spans="1:10" ht="11.25" customHeight="1" x14ac:dyDescent="0.2">
      <c r="A1387" s="69" t="s">
        <v>25</v>
      </c>
      <c r="B1387" s="61">
        <v>17283314.591060001</v>
      </c>
      <c r="C1387" s="61">
        <v>19316322.315841082</v>
      </c>
      <c r="D1387" s="61">
        <v>73353344.920128122</v>
      </c>
      <c r="E1387" s="61">
        <v>42394962.974042602</v>
      </c>
      <c r="F1387" s="61">
        <v>0</v>
      </c>
      <c r="G1387" s="61">
        <v>0</v>
      </c>
      <c r="H1387" s="62">
        <v>-0.31913548422130344</v>
      </c>
      <c r="I1387" s="62">
        <v>0</v>
      </c>
      <c r="J1387" s="62">
        <v>-0.31913548422130344</v>
      </c>
    </row>
    <row r="1388" spans="1:10" ht="11.25" customHeight="1" x14ac:dyDescent="0.2">
      <c r="A1388" s="70" t="s">
        <v>38</v>
      </c>
      <c r="B1388" s="61">
        <v>0</v>
      </c>
      <c r="C1388" s="61">
        <v>0</v>
      </c>
      <c r="D1388" s="61">
        <v>50237022.191720009</v>
      </c>
      <c r="E1388" s="61">
        <v>18198473.554065537</v>
      </c>
      <c r="F1388" s="61">
        <v>0</v>
      </c>
      <c r="G1388" s="61">
        <v>0</v>
      </c>
      <c r="H1388" s="62">
        <v>-0.63774776529121224</v>
      </c>
      <c r="I1388" s="62">
        <v>0</v>
      </c>
      <c r="J1388" s="62">
        <v>-0.63774776529121224</v>
      </c>
    </row>
    <row r="1389" spans="1:10" ht="11.25" customHeight="1" x14ac:dyDescent="0.2">
      <c r="A1389" s="71">
        <v>44136</v>
      </c>
      <c r="B1389" s="61">
        <v>0</v>
      </c>
      <c r="C1389" s="61">
        <v>0</v>
      </c>
      <c r="D1389" s="61">
        <v>4144904.8196399994</v>
      </c>
      <c r="E1389" s="61">
        <v>1501501.0335698153</v>
      </c>
      <c r="F1389" s="61">
        <v>0</v>
      </c>
      <c r="G1389" s="61">
        <v>0</v>
      </c>
      <c r="H1389" s="62">
        <v>-0.63774776529121202</v>
      </c>
      <c r="I1389" s="62">
        <v>0</v>
      </c>
      <c r="J1389" s="62">
        <v>-0.63774776529121202</v>
      </c>
    </row>
    <row r="1390" spans="1:10" ht="11.25" customHeight="1" x14ac:dyDescent="0.2">
      <c r="A1390" s="71">
        <v>44166</v>
      </c>
      <c r="B1390" s="61">
        <v>0</v>
      </c>
      <c r="C1390" s="61">
        <v>0</v>
      </c>
      <c r="D1390" s="61">
        <v>3880078.4233899997</v>
      </c>
      <c r="E1390" s="61">
        <v>1405567.0797183779</v>
      </c>
      <c r="F1390" s="61">
        <v>0</v>
      </c>
      <c r="G1390" s="61">
        <v>0</v>
      </c>
      <c r="H1390" s="62">
        <v>-0.63774776529121202</v>
      </c>
      <c r="I1390" s="62">
        <v>0</v>
      </c>
      <c r="J1390" s="62">
        <v>-0.63774776529121202</v>
      </c>
    </row>
    <row r="1391" spans="1:10" ht="11.25" customHeight="1" x14ac:dyDescent="0.2">
      <c r="A1391" s="71">
        <v>44197</v>
      </c>
      <c r="B1391" s="61">
        <v>0</v>
      </c>
      <c r="C1391" s="61">
        <v>0</v>
      </c>
      <c r="D1391" s="61">
        <v>3202553.3345000003</v>
      </c>
      <c r="E1391" s="61">
        <v>1160132.1021967053</v>
      </c>
      <c r="F1391" s="61">
        <v>0</v>
      </c>
      <c r="G1391" s="61">
        <v>0</v>
      </c>
      <c r="H1391" s="62">
        <v>-0.63774776529121213</v>
      </c>
      <c r="I1391" s="62">
        <v>0</v>
      </c>
      <c r="J1391" s="62">
        <v>-0.63774776529121213</v>
      </c>
    </row>
    <row r="1392" spans="1:10" ht="11.25" customHeight="1" x14ac:dyDescent="0.2">
      <c r="A1392" s="71">
        <v>44228</v>
      </c>
      <c r="B1392" s="61">
        <v>0</v>
      </c>
      <c r="C1392" s="61">
        <v>0</v>
      </c>
      <c r="D1392" s="61">
        <v>3296696.0415999996</v>
      </c>
      <c r="E1392" s="61">
        <v>1194235.5082252151</v>
      </c>
      <c r="F1392" s="61">
        <v>0</v>
      </c>
      <c r="G1392" s="61">
        <v>0</v>
      </c>
      <c r="H1392" s="62">
        <v>-0.63774776529121202</v>
      </c>
      <c r="I1392" s="62">
        <v>0</v>
      </c>
      <c r="J1392" s="62">
        <v>-0.63774776529121202</v>
      </c>
    </row>
    <row r="1393" spans="1:10" ht="11.25" customHeight="1" x14ac:dyDescent="0.2">
      <c r="A1393" s="71">
        <v>44256</v>
      </c>
      <c r="B1393" s="61">
        <v>0</v>
      </c>
      <c r="C1393" s="61">
        <v>0</v>
      </c>
      <c r="D1393" s="61">
        <v>4338892.9323999994</v>
      </c>
      <c r="E1393" s="61">
        <v>1571773.6609240656</v>
      </c>
      <c r="F1393" s="61">
        <v>0</v>
      </c>
      <c r="G1393" s="61">
        <v>0</v>
      </c>
      <c r="H1393" s="62">
        <v>-0.63774776529121202</v>
      </c>
      <c r="I1393" s="62">
        <v>0</v>
      </c>
      <c r="J1393" s="62">
        <v>-0.63774776529121202</v>
      </c>
    </row>
    <row r="1394" spans="1:10" ht="11.25" customHeight="1" x14ac:dyDescent="0.2">
      <c r="A1394" s="71">
        <v>44287</v>
      </c>
      <c r="B1394" s="61">
        <v>0</v>
      </c>
      <c r="C1394" s="61">
        <v>0</v>
      </c>
      <c r="D1394" s="61">
        <v>4330828.17466</v>
      </c>
      <c r="E1394" s="61">
        <v>1568852.1844103658</v>
      </c>
      <c r="F1394" s="61">
        <v>0</v>
      </c>
      <c r="G1394" s="61">
        <v>0</v>
      </c>
      <c r="H1394" s="62">
        <v>-0.63774776529121213</v>
      </c>
      <c r="I1394" s="62">
        <v>0</v>
      </c>
      <c r="J1394" s="62">
        <v>-0.63774776529121213</v>
      </c>
    </row>
    <row r="1395" spans="1:10" ht="11.25" customHeight="1" x14ac:dyDescent="0.2">
      <c r="A1395" s="71">
        <v>44317</v>
      </c>
      <c r="B1395" s="61">
        <v>0</v>
      </c>
      <c r="C1395" s="61">
        <v>0</v>
      </c>
      <c r="D1395" s="61">
        <v>4619799.4662299994</v>
      </c>
      <c r="E1395" s="61">
        <v>1673532.680548283</v>
      </c>
      <c r="F1395" s="61">
        <v>0</v>
      </c>
      <c r="G1395" s="61">
        <v>0</v>
      </c>
      <c r="H1395" s="62">
        <v>-0.63774776529121202</v>
      </c>
      <c r="I1395" s="62">
        <v>0</v>
      </c>
      <c r="J1395" s="62">
        <v>-0.63774776529121202</v>
      </c>
    </row>
    <row r="1396" spans="1:10" ht="11.25" customHeight="1" x14ac:dyDescent="0.2">
      <c r="A1396" s="71">
        <v>44348</v>
      </c>
      <c r="B1396" s="61">
        <v>0</v>
      </c>
      <c r="C1396" s="61">
        <v>0</v>
      </c>
      <c r="D1396" s="61">
        <v>3202553.3345000003</v>
      </c>
      <c r="E1396" s="61">
        <v>1160132.1021967053</v>
      </c>
      <c r="F1396" s="61">
        <v>0</v>
      </c>
      <c r="G1396" s="61">
        <v>0</v>
      </c>
      <c r="H1396" s="62">
        <v>-0.63774776529121213</v>
      </c>
      <c r="I1396" s="62">
        <v>0</v>
      </c>
      <c r="J1396" s="62">
        <v>-0.63774776529121213</v>
      </c>
    </row>
    <row r="1397" spans="1:10" ht="11.25" customHeight="1" x14ac:dyDescent="0.2">
      <c r="A1397" s="71">
        <v>44378</v>
      </c>
      <c r="B1397" s="61">
        <v>0</v>
      </c>
      <c r="C1397" s="61">
        <v>0</v>
      </c>
      <c r="D1397" s="61">
        <v>4748404.2067799997</v>
      </c>
      <c r="E1397" s="61">
        <v>1720120.0352066644</v>
      </c>
      <c r="F1397" s="61">
        <v>0</v>
      </c>
      <c r="G1397" s="61">
        <v>0</v>
      </c>
      <c r="H1397" s="62">
        <v>-0.63774776529121202</v>
      </c>
      <c r="I1397" s="62">
        <v>0</v>
      </c>
      <c r="J1397" s="62">
        <v>-0.63774776529121202</v>
      </c>
    </row>
    <row r="1398" spans="1:10" ht="11.25" customHeight="1" x14ac:dyDescent="0.2">
      <c r="A1398" s="71">
        <v>44409</v>
      </c>
      <c r="B1398" s="61">
        <v>0</v>
      </c>
      <c r="C1398" s="61">
        <v>0</v>
      </c>
      <c r="D1398" s="61">
        <v>4873722.3243800001</v>
      </c>
      <c r="E1398" s="61">
        <v>1765516.8033567632</v>
      </c>
      <c r="F1398" s="61">
        <v>0</v>
      </c>
      <c r="G1398" s="61">
        <v>0</v>
      </c>
      <c r="H1398" s="62">
        <v>-0.63774776529121202</v>
      </c>
      <c r="I1398" s="62">
        <v>0</v>
      </c>
      <c r="J1398" s="62">
        <v>-0.63774776529121202</v>
      </c>
    </row>
    <row r="1399" spans="1:10" ht="11.25" customHeight="1" x14ac:dyDescent="0.2">
      <c r="A1399" s="71">
        <v>44440</v>
      </c>
      <c r="B1399" s="61">
        <v>0</v>
      </c>
      <c r="C1399" s="61">
        <v>0</v>
      </c>
      <c r="D1399" s="61">
        <v>4799294.5668200003</v>
      </c>
      <c r="E1399" s="61">
        <v>1738555.1818562893</v>
      </c>
      <c r="F1399" s="61">
        <v>0</v>
      </c>
      <c r="G1399" s="61">
        <v>0</v>
      </c>
      <c r="H1399" s="62">
        <v>-0.63774776529121213</v>
      </c>
      <c r="I1399" s="62">
        <v>0</v>
      </c>
      <c r="J1399" s="62">
        <v>-0.63774776529121213</v>
      </c>
    </row>
    <row r="1400" spans="1:10" ht="11.25" customHeight="1" x14ac:dyDescent="0.2">
      <c r="A1400" s="71">
        <v>44470</v>
      </c>
      <c r="B1400" s="61">
        <v>0</v>
      </c>
      <c r="C1400" s="61">
        <v>0</v>
      </c>
      <c r="D1400" s="61">
        <v>4799294.5668200003</v>
      </c>
      <c r="E1400" s="61">
        <v>1738555.1818562893</v>
      </c>
      <c r="F1400" s="61">
        <v>0</v>
      </c>
      <c r="G1400" s="61">
        <v>0</v>
      </c>
      <c r="H1400" s="62">
        <v>-0.63774776529121213</v>
      </c>
      <c r="I1400" s="62">
        <v>0</v>
      </c>
      <c r="J1400" s="62">
        <v>-0.63774776529121213</v>
      </c>
    </row>
    <row r="1401" spans="1:10" ht="11.25" customHeight="1" x14ac:dyDescent="0.2">
      <c r="A1401" s="70" t="s">
        <v>25</v>
      </c>
      <c r="B1401" s="61">
        <v>17283314.591060001</v>
      </c>
      <c r="C1401" s="61">
        <v>19316322.315841082</v>
      </c>
      <c r="D1401" s="61">
        <v>0</v>
      </c>
      <c r="E1401" s="61">
        <v>0</v>
      </c>
      <c r="F1401" s="61">
        <v>0</v>
      </c>
      <c r="G1401" s="61">
        <v>0</v>
      </c>
      <c r="H1401" s="62">
        <v>0.1176283469278907</v>
      </c>
      <c r="I1401" s="62">
        <v>0</v>
      </c>
      <c r="J1401" s="62">
        <v>0.1176283469278907</v>
      </c>
    </row>
    <row r="1402" spans="1:10" ht="11.25" customHeight="1" x14ac:dyDescent="0.2">
      <c r="A1402" s="71">
        <v>44136</v>
      </c>
      <c r="B1402" s="61">
        <v>1487374.4846999999</v>
      </c>
      <c r="C1402" s="61">
        <v>1662331.8865979845</v>
      </c>
      <c r="D1402" s="61">
        <v>0</v>
      </c>
      <c r="E1402" s="61">
        <v>0</v>
      </c>
      <c r="F1402" s="61">
        <v>0</v>
      </c>
      <c r="G1402" s="61">
        <v>0</v>
      </c>
      <c r="H1402" s="62">
        <v>0.11762834692789093</v>
      </c>
      <c r="I1402" s="62">
        <v>0</v>
      </c>
      <c r="J1402" s="62">
        <v>0.11762834692789093</v>
      </c>
    </row>
    <row r="1403" spans="1:10" ht="11.25" customHeight="1" x14ac:dyDescent="0.2">
      <c r="A1403" s="71">
        <v>44166</v>
      </c>
      <c r="B1403" s="61">
        <v>1369442.86729</v>
      </c>
      <c r="C1403" s="61">
        <v>1530528.1679815135</v>
      </c>
      <c r="D1403" s="61">
        <v>0</v>
      </c>
      <c r="E1403" s="61">
        <v>0</v>
      </c>
      <c r="F1403" s="61">
        <v>0</v>
      </c>
      <c r="G1403" s="61">
        <v>0</v>
      </c>
      <c r="H1403" s="62">
        <v>0.1176283469278907</v>
      </c>
      <c r="I1403" s="62">
        <v>0</v>
      </c>
      <c r="J1403" s="62">
        <v>0.1176283469278907</v>
      </c>
    </row>
    <row r="1404" spans="1:10" ht="11.25" customHeight="1" x14ac:dyDescent="0.2">
      <c r="A1404" s="71">
        <v>44197</v>
      </c>
      <c r="B1404" s="61">
        <v>1403957.5700400001</v>
      </c>
      <c r="C1404" s="61">
        <v>1569102.7781607036</v>
      </c>
      <c r="D1404" s="61">
        <v>0</v>
      </c>
      <c r="E1404" s="61">
        <v>0</v>
      </c>
      <c r="F1404" s="61">
        <v>0</v>
      </c>
      <c r="G1404" s="61">
        <v>0</v>
      </c>
      <c r="H1404" s="62">
        <v>0.1176283469278907</v>
      </c>
      <c r="I1404" s="62">
        <v>0</v>
      </c>
      <c r="J1404" s="62">
        <v>0.1176283469278907</v>
      </c>
    </row>
    <row r="1405" spans="1:10" ht="11.25" customHeight="1" x14ac:dyDescent="0.2">
      <c r="A1405" s="71">
        <v>44228</v>
      </c>
      <c r="B1405" s="61">
        <v>1436492.0289499999</v>
      </c>
      <c r="C1405" s="61">
        <v>1605464.2116904804</v>
      </c>
      <c r="D1405" s="61">
        <v>0</v>
      </c>
      <c r="E1405" s="61">
        <v>0</v>
      </c>
      <c r="F1405" s="61">
        <v>0</v>
      </c>
      <c r="G1405" s="61">
        <v>0</v>
      </c>
      <c r="H1405" s="62">
        <v>0.11762834692789093</v>
      </c>
      <c r="I1405" s="62">
        <v>0</v>
      </c>
      <c r="J1405" s="62">
        <v>0.11762834692789093</v>
      </c>
    </row>
    <row r="1406" spans="1:10" ht="11.25" customHeight="1" x14ac:dyDescent="0.2">
      <c r="A1406" s="71">
        <v>44256</v>
      </c>
      <c r="B1406" s="61">
        <v>1420212.917232</v>
      </c>
      <c r="C1406" s="61">
        <v>1587270.2149716374</v>
      </c>
      <c r="D1406" s="61">
        <v>0</v>
      </c>
      <c r="E1406" s="61">
        <v>0</v>
      </c>
      <c r="F1406" s="61">
        <v>0</v>
      </c>
      <c r="G1406" s="61">
        <v>0</v>
      </c>
      <c r="H1406" s="62">
        <v>0.1176283469278907</v>
      </c>
      <c r="I1406" s="62">
        <v>0</v>
      </c>
      <c r="J1406" s="62">
        <v>0.1176283469278907</v>
      </c>
    </row>
    <row r="1407" spans="1:10" ht="11.25" customHeight="1" x14ac:dyDescent="0.2">
      <c r="A1407" s="71">
        <v>44287</v>
      </c>
      <c r="B1407" s="61">
        <v>1466171.20206</v>
      </c>
      <c r="C1407" s="61">
        <v>1638634.4968715962</v>
      </c>
      <c r="D1407" s="61">
        <v>0</v>
      </c>
      <c r="E1407" s="61">
        <v>0</v>
      </c>
      <c r="F1407" s="61">
        <v>0</v>
      </c>
      <c r="G1407" s="61">
        <v>0</v>
      </c>
      <c r="H1407" s="62">
        <v>0.1176283469278907</v>
      </c>
      <c r="I1407" s="62">
        <v>0</v>
      </c>
      <c r="J1407" s="62">
        <v>0.1176283469278907</v>
      </c>
    </row>
    <row r="1408" spans="1:10" ht="11.25" customHeight="1" x14ac:dyDescent="0.2">
      <c r="A1408" s="71">
        <v>44317</v>
      </c>
      <c r="B1408" s="61">
        <v>1507551.498656</v>
      </c>
      <c r="C1408" s="61">
        <v>1684882.2893515695</v>
      </c>
      <c r="D1408" s="61">
        <v>0</v>
      </c>
      <c r="E1408" s="61">
        <v>0</v>
      </c>
      <c r="F1408" s="61">
        <v>0</v>
      </c>
      <c r="G1408" s="61">
        <v>0</v>
      </c>
      <c r="H1408" s="62">
        <v>0.1176283469278907</v>
      </c>
      <c r="I1408" s="62">
        <v>0</v>
      </c>
      <c r="J1408" s="62">
        <v>0.1176283469278907</v>
      </c>
    </row>
    <row r="1409" spans="1:10" ht="11.25" customHeight="1" x14ac:dyDescent="0.2">
      <c r="A1409" s="71">
        <v>44348</v>
      </c>
      <c r="B1409" s="61">
        <v>1403957.5700400001</v>
      </c>
      <c r="C1409" s="61">
        <v>1569102.7781607036</v>
      </c>
      <c r="D1409" s="61">
        <v>0</v>
      </c>
      <c r="E1409" s="61">
        <v>0</v>
      </c>
      <c r="F1409" s="61">
        <v>0</v>
      </c>
      <c r="G1409" s="61">
        <v>0</v>
      </c>
      <c r="H1409" s="62">
        <v>0.1176283469278907</v>
      </c>
      <c r="I1409" s="62">
        <v>0</v>
      </c>
      <c r="J1409" s="62">
        <v>0.1176283469278907</v>
      </c>
    </row>
    <row r="1410" spans="1:10" ht="11.25" customHeight="1" x14ac:dyDescent="0.2">
      <c r="A1410" s="71">
        <v>44378</v>
      </c>
      <c r="B1410" s="61">
        <v>1449717.4533600002</v>
      </c>
      <c r="C1410" s="61">
        <v>1620245.3209112484</v>
      </c>
      <c r="D1410" s="61">
        <v>0</v>
      </c>
      <c r="E1410" s="61">
        <v>0</v>
      </c>
      <c r="F1410" s="61">
        <v>0</v>
      </c>
      <c r="G1410" s="61">
        <v>0</v>
      </c>
      <c r="H1410" s="62">
        <v>0.1176283469278907</v>
      </c>
      <c r="I1410" s="62">
        <v>0</v>
      </c>
      <c r="J1410" s="62">
        <v>0.1176283469278907</v>
      </c>
    </row>
    <row r="1411" spans="1:10" ht="11.25" customHeight="1" x14ac:dyDescent="0.2">
      <c r="A1411" s="71">
        <v>44409</v>
      </c>
      <c r="B1411" s="61">
        <v>1388798.7965880001</v>
      </c>
      <c r="C1411" s="61">
        <v>1552160.9032460905</v>
      </c>
      <c r="D1411" s="61">
        <v>0</v>
      </c>
      <c r="E1411" s="61">
        <v>0</v>
      </c>
      <c r="F1411" s="61">
        <v>0</v>
      </c>
      <c r="G1411" s="61">
        <v>0</v>
      </c>
      <c r="H1411" s="62">
        <v>0.1176283469278907</v>
      </c>
      <c r="I1411" s="62">
        <v>0</v>
      </c>
      <c r="J1411" s="62">
        <v>0.1176283469278907</v>
      </c>
    </row>
    <row r="1412" spans="1:10" ht="11.25" customHeight="1" x14ac:dyDescent="0.2">
      <c r="A1412" s="71">
        <v>44440</v>
      </c>
      <c r="B1412" s="61">
        <v>1474819.1010720001</v>
      </c>
      <c r="C1412" s="61">
        <v>1648299.6339487773</v>
      </c>
      <c r="D1412" s="61">
        <v>0</v>
      </c>
      <c r="E1412" s="61">
        <v>0</v>
      </c>
      <c r="F1412" s="61">
        <v>0</v>
      </c>
      <c r="G1412" s="61">
        <v>0</v>
      </c>
      <c r="H1412" s="62">
        <v>0.1176283469278907</v>
      </c>
      <c r="I1412" s="62">
        <v>0</v>
      </c>
      <c r="J1412" s="62">
        <v>0.1176283469278907</v>
      </c>
    </row>
    <row r="1413" spans="1:10" ht="11.25" customHeight="1" x14ac:dyDescent="0.2">
      <c r="A1413" s="71">
        <v>44470</v>
      </c>
      <c r="B1413" s="61">
        <v>1474819.1010720001</v>
      </c>
      <c r="C1413" s="61">
        <v>1648299.6339487773</v>
      </c>
      <c r="D1413" s="61">
        <v>0</v>
      </c>
      <c r="E1413" s="61">
        <v>0</v>
      </c>
      <c r="F1413" s="61">
        <v>0</v>
      </c>
      <c r="G1413" s="61">
        <v>0</v>
      </c>
      <c r="H1413" s="62">
        <v>0.1176283469278907</v>
      </c>
      <c r="I1413" s="62">
        <v>0</v>
      </c>
      <c r="J1413" s="62">
        <v>0.1176283469278907</v>
      </c>
    </row>
    <row r="1414" spans="1:10" ht="11.25" customHeight="1" x14ac:dyDescent="0.2">
      <c r="A1414" s="70" t="s">
        <v>37</v>
      </c>
      <c r="B1414" s="61">
        <v>0</v>
      </c>
      <c r="C1414" s="61">
        <v>0</v>
      </c>
      <c r="D1414" s="61">
        <v>23116322.728408102</v>
      </c>
      <c r="E1414" s="61">
        <v>24196489.419977061</v>
      </c>
      <c r="F1414" s="61">
        <v>0</v>
      </c>
      <c r="G1414" s="61">
        <v>0</v>
      </c>
      <c r="H1414" s="62">
        <v>4.6727444683125174E-2</v>
      </c>
      <c r="I1414" s="62">
        <v>0</v>
      </c>
      <c r="J1414" s="62">
        <v>4.6727444683125174E-2</v>
      </c>
    </row>
    <row r="1415" spans="1:10" ht="11.25" customHeight="1" x14ac:dyDescent="0.2">
      <c r="A1415" s="71">
        <v>44136</v>
      </c>
      <c r="B1415" s="61">
        <v>0</v>
      </c>
      <c r="C1415" s="61">
        <v>0</v>
      </c>
      <c r="D1415" s="61">
        <v>1951708.3888861509</v>
      </c>
      <c r="E1415" s="61">
        <v>2042906.7346654199</v>
      </c>
      <c r="F1415" s="61">
        <v>0</v>
      </c>
      <c r="G1415" s="61">
        <v>0</v>
      </c>
      <c r="H1415" s="62">
        <v>4.6727444683125174E-2</v>
      </c>
      <c r="I1415" s="62">
        <v>0</v>
      </c>
      <c r="J1415" s="62">
        <v>4.6727444683125174E-2</v>
      </c>
    </row>
    <row r="1416" spans="1:10" ht="11.25" customHeight="1" x14ac:dyDescent="0.2">
      <c r="A1416" s="71">
        <v>44166</v>
      </c>
      <c r="B1416" s="61">
        <v>0</v>
      </c>
      <c r="C1416" s="61">
        <v>0</v>
      </c>
      <c r="D1416" s="61">
        <v>1926969.875006848</v>
      </c>
      <c r="E1416" s="61">
        <v>2017012.253247279</v>
      </c>
      <c r="F1416" s="61">
        <v>0</v>
      </c>
      <c r="G1416" s="61">
        <v>0</v>
      </c>
      <c r="H1416" s="62">
        <v>4.6727444683125174E-2</v>
      </c>
      <c r="I1416" s="62">
        <v>0</v>
      </c>
      <c r="J1416" s="62">
        <v>4.6727444683125174E-2</v>
      </c>
    </row>
    <row r="1417" spans="1:10" ht="11.25" customHeight="1" x14ac:dyDescent="0.2">
      <c r="A1417" s="71">
        <v>44197</v>
      </c>
      <c r="B1417" s="61">
        <v>0</v>
      </c>
      <c r="C1417" s="61">
        <v>0</v>
      </c>
      <c r="D1417" s="61">
        <v>1243536.0462574349</v>
      </c>
      <c r="E1417" s="61">
        <v>1301643.3080704014</v>
      </c>
      <c r="F1417" s="61">
        <v>0</v>
      </c>
      <c r="G1417" s="61">
        <v>0</v>
      </c>
      <c r="H1417" s="62">
        <v>4.6727444683125174E-2</v>
      </c>
      <c r="I1417" s="62">
        <v>0</v>
      </c>
      <c r="J1417" s="62">
        <v>4.6727444683125174E-2</v>
      </c>
    </row>
    <row r="1418" spans="1:10" ht="11.25" customHeight="1" x14ac:dyDescent="0.2">
      <c r="A1418" s="71">
        <v>44228</v>
      </c>
      <c r="B1418" s="61">
        <v>0</v>
      </c>
      <c r="C1418" s="61">
        <v>0</v>
      </c>
      <c r="D1418" s="61">
        <v>1300866.6572084678</v>
      </c>
      <c r="E1418" s="61">
        <v>1361652.8319732985</v>
      </c>
      <c r="F1418" s="61">
        <v>0</v>
      </c>
      <c r="G1418" s="61">
        <v>0</v>
      </c>
      <c r="H1418" s="62">
        <v>4.6727444683125174E-2</v>
      </c>
      <c r="I1418" s="62">
        <v>0</v>
      </c>
      <c r="J1418" s="62">
        <v>4.6727444683125174E-2</v>
      </c>
    </row>
    <row r="1419" spans="1:10" ht="11.25" customHeight="1" x14ac:dyDescent="0.2">
      <c r="A1419" s="71">
        <v>44256</v>
      </c>
      <c r="B1419" s="61">
        <v>0</v>
      </c>
      <c r="C1419" s="61">
        <v>0</v>
      </c>
      <c r="D1419" s="61">
        <v>2024029.9336888958</v>
      </c>
      <c r="E1419" s="61">
        <v>2118607.6804523333</v>
      </c>
      <c r="F1419" s="61">
        <v>0</v>
      </c>
      <c r="G1419" s="61">
        <v>0</v>
      </c>
      <c r="H1419" s="62">
        <v>4.6727444683125174E-2</v>
      </c>
      <c r="I1419" s="62">
        <v>0</v>
      </c>
      <c r="J1419" s="62">
        <v>4.6727444683125174E-2</v>
      </c>
    </row>
    <row r="1420" spans="1:10" ht="11.25" customHeight="1" x14ac:dyDescent="0.2">
      <c r="A1420" s="71">
        <v>44287</v>
      </c>
      <c r="B1420" s="61">
        <v>0</v>
      </c>
      <c r="C1420" s="61">
        <v>0</v>
      </c>
      <c r="D1420" s="61">
        <v>1994533.6695131401</v>
      </c>
      <c r="E1420" s="61">
        <v>2087733.1312239459</v>
      </c>
      <c r="F1420" s="61">
        <v>0</v>
      </c>
      <c r="G1420" s="61">
        <v>0</v>
      </c>
      <c r="H1420" s="62">
        <v>4.6727444683125174E-2</v>
      </c>
      <c r="I1420" s="62">
        <v>0</v>
      </c>
      <c r="J1420" s="62">
        <v>4.6727444683125174E-2</v>
      </c>
    </row>
    <row r="1421" spans="1:10" ht="11.25" customHeight="1" x14ac:dyDescent="0.2">
      <c r="A1421" s="71">
        <v>44317</v>
      </c>
      <c r="B1421" s="61">
        <v>0</v>
      </c>
      <c r="C1421" s="61">
        <v>0</v>
      </c>
      <c r="D1421" s="61">
        <v>2244628.1079152701</v>
      </c>
      <c r="E1421" s="61">
        <v>2349513.8436620687</v>
      </c>
      <c r="F1421" s="61">
        <v>0</v>
      </c>
      <c r="G1421" s="61">
        <v>0</v>
      </c>
      <c r="H1421" s="62">
        <v>4.6727444683125174E-2</v>
      </c>
      <c r="I1421" s="62">
        <v>0</v>
      </c>
      <c r="J1421" s="62">
        <v>4.6727444683125174E-2</v>
      </c>
    </row>
    <row r="1422" spans="1:10" ht="11.25" customHeight="1" x14ac:dyDescent="0.2">
      <c r="A1422" s="71">
        <v>44348</v>
      </c>
      <c r="B1422" s="61">
        <v>0</v>
      </c>
      <c r="C1422" s="61">
        <v>0</v>
      </c>
      <c r="D1422" s="61">
        <v>1243536.0462574349</v>
      </c>
      <c r="E1422" s="61">
        <v>1301643.3080704014</v>
      </c>
      <c r="F1422" s="61">
        <v>0</v>
      </c>
      <c r="G1422" s="61">
        <v>0</v>
      </c>
      <c r="H1422" s="62">
        <v>4.6727444683125174E-2</v>
      </c>
      <c r="I1422" s="62">
        <v>0</v>
      </c>
      <c r="J1422" s="62">
        <v>4.6727444683125174E-2</v>
      </c>
    </row>
    <row r="1423" spans="1:10" ht="11.25" customHeight="1" x14ac:dyDescent="0.2">
      <c r="A1423" s="71">
        <v>44378</v>
      </c>
      <c r="B1423" s="61">
        <v>0</v>
      </c>
      <c r="C1423" s="61">
        <v>0</v>
      </c>
      <c r="D1423" s="61">
        <v>2391180.9251065259</v>
      </c>
      <c r="E1423" s="61">
        <v>2502914.6995117851</v>
      </c>
      <c r="F1423" s="61">
        <v>0</v>
      </c>
      <c r="G1423" s="61">
        <v>0</v>
      </c>
      <c r="H1423" s="62">
        <v>4.6727444683125174E-2</v>
      </c>
      <c r="I1423" s="62">
        <v>0</v>
      </c>
      <c r="J1423" s="62">
        <v>4.6727444683125174E-2</v>
      </c>
    </row>
    <row r="1424" spans="1:10" ht="11.25" customHeight="1" x14ac:dyDescent="0.2">
      <c r="A1424" s="71">
        <v>44409</v>
      </c>
      <c r="B1424" s="61">
        <v>0</v>
      </c>
      <c r="C1424" s="61">
        <v>0</v>
      </c>
      <c r="D1424" s="61">
        <v>2395314.694845072</v>
      </c>
      <c r="E1424" s="61">
        <v>2507241.6297471216</v>
      </c>
      <c r="F1424" s="61">
        <v>0</v>
      </c>
      <c r="G1424" s="61">
        <v>0</v>
      </c>
      <c r="H1424" s="62">
        <v>4.6727444683124952E-2</v>
      </c>
      <c r="I1424" s="62">
        <v>0</v>
      </c>
      <c r="J1424" s="62">
        <v>4.6727444683124952E-2</v>
      </c>
    </row>
    <row r="1425" spans="1:10" ht="11.25" customHeight="1" x14ac:dyDescent="0.2">
      <c r="A1425" s="71">
        <v>44440</v>
      </c>
      <c r="B1425" s="61">
        <v>0</v>
      </c>
      <c r="C1425" s="61">
        <v>0</v>
      </c>
      <c r="D1425" s="61">
        <v>2200009.191861432</v>
      </c>
      <c r="E1425" s="61">
        <v>2302809.9996765037</v>
      </c>
      <c r="F1425" s="61">
        <v>0</v>
      </c>
      <c r="G1425" s="61">
        <v>0</v>
      </c>
      <c r="H1425" s="62">
        <v>4.6727444683124952E-2</v>
      </c>
      <c r="I1425" s="62">
        <v>0</v>
      </c>
      <c r="J1425" s="62">
        <v>4.6727444683124952E-2</v>
      </c>
    </row>
    <row r="1426" spans="1:10" ht="11.25" customHeight="1" x14ac:dyDescent="0.2">
      <c r="A1426" s="71">
        <v>44470</v>
      </c>
      <c r="B1426" s="61">
        <v>0</v>
      </c>
      <c r="C1426" s="61">
        <v>0</v>
      </c>
      <c r="D1426" s="61">
        <v>2200009.191861432</v>
      </c>
      <c r="E1426" s="61">
        <v>2302809.9996765037</v>
      </c>
      <c r="F1426" s="61">
        <v>0</v>
      </c>
      <c r="G1426" s="61">
        <v>0</v>
      </c>
      <c r="H1426" s="62">
        <v>4.6727444683124952E-2</v>
      </c>
      <c r="I1426" s="62">
        <v>0</v>
      </c>
      <c r="J1426" s="62">
        <v>4.6727444683124952E-2</v>
      </c>
    </row>
    <row r="1427" spans="1:10" ht="11.25" customHeight="1" x14ac:dyDescent="0.2">
      <c r="A1427" s="68" t="s">
        <v>25</v>
      </c>
      <c r="B1427" s="61">
        <v>289271.25</v>
      </c>
      <c r="C1427" s="61">
        <v>323297.74895126466</v>
      </c>
      <c r="D1427" s="61">
        <v>906692.66313</v>
      </c>
      <c r="E1427" s="61">
        <v>633543.85283692193</v>
      </c>
      <c r="F1427" s="61">
        <v>0</v>
      </c>
      <c r="G1427" s="61">
        <v>0</v>
      </c>
      <c r="H1427" s="62">
        <v>-0.19994107574366338</v>
      </c>
      <c r="I1427" s="62">
        <v>0</v>
      </c>
      <c r="J1427" s="62">
        <v>-0.19994107574366338</v>
      </c>
    </row>
    <row r="1428" spans="1:10" ht="11.25" customHeight="1" x14ac:dyDescent="0.2">
      <c r="A1428" s="69" t="s">
        <v>25</v>
      </c>
      <c r="B1428" s="61">
        <v>289271.25</v>
      </c>
      <c r="C1428" s="61">
        <v>323297.74895126466</v>
      </c>
      <c r="D1428" s="61">
        <v>906692.66313</v>
      </c>
      <c r="E1428" s="61">
        <v>633543.85283692193</v>
      </c>
      <c r="F1428" s="61">
        <v>0</v>
      </c>
      <c r="G1428" s="61">
        <v>0</v>
      </c>
      <c r="H1428" s="62">
        <v>-0.19994107574366338</v>
      </c>
      <c r="I1428" s="62">
        <v>0</v>
      </c>
      <c r="J1428" s="62">
        <v>-0.19994107574366338</v>
      </c>
    </row>
    <row r="1429" spans="1:10" ht="11.25" customHeight="1" x14ac:dyDescent="0.2">
      <c r="A1429" s="70" t="s">
        <v>38</v>
      </c>
      <c r="B1429" s="61">
        <v>0</v>
      </c>
      <c r="C1429" s="61">
        <v>0</v>
      </c>
      <c r="D1429" s="61">
        <v>460960.80172999995</v>
      </c>
      <c r="E1429" s="61">
        <v>166984.080539847</v>
      </c>
      <c r="F1429" s="61">
        <v>0</v>
      </c>
      <c r="G1429" s="61">
        <v>0</v>
      </c>
      <c r="H1429" s="62">
        <v>-0.63774776529121202</v>
      </c>
      <c r="I1429" s="62">
        <v>0</v>
      </c>
      <c r="J1429" s="62">
        <v>-0.63774776529121202</v>
      </c>
    </row>
    <row r="1430" spans="1:10" ht="11.25" customHeight="1" x14ac:dyDescent="0.2">
      <c r="A1430" s="71">
        <v>44317</v>
      </c>
      <c r="B1430" s="61">
        <v>0</v>
      </c>
      <c r="C1430" s="61">
        <v>0</v>
      </c>
      <c r="D1430" s="61">
        <v>7077.3493699999999</v>
      </c>
      <c r="E1430" s="61">
        <v>2563.7856250973323</v>
      </c>
      <c r="F1430" s="61">
        <v>0</v>
      </c>
      <c r="G1430" s="61">
        <v>0</v>
      </c>
      <c r="H1430" s="62">
        <v>-0.63774776529121202</v>
      </c>
      <c r="I1430" s="62">
        <v>0</v>
      </c>
      <c r="J1430" s="62">
        <v>-0.63774776529121202</v>
      </c>
    </row>
    <row r="1431" spans="1:10" ht="11.25" customHeight="1" x14ac:dyDescent="0.2">
      <c r="A1431" s="71">
        <v>44378</v>
      </c>
      <c r="B1431" s="61">
        <v>0</v>
      </c>
      <c r="C1431" s="61">
        <v>0</v>
      </c>
      <c r="D1431" s="61">
        <v>79716.280279999992</v>
      </c>
      <c r="E1431" s="61">
        <v>28877.400674102078</v>
      </c>
      <c r="F1431" s="61">
        <v>0</v>
      </c>
      <c r="G1431" s="61">
        <v>0</v>
      </c>
      <c r="H1431" s="62">
        <v>-0.63774776529121202</v>
      </c>
      <c r="I1431" s="62">
        <v>0</v>
      </c>
      <c r="J1431" s="62">
        <v>-0.63774776529121202</v>
      </c>
    </row>
    <row r="1432" spans="1:10" ht="11.25" customHeight="1" x14ac:dyDescent="0.2">
      <c r="A1432" s="71">
        <v>44409</v>
      </c>
      <c r="B1432" s="61">
        <v>0</v>
      </c>
      <c r="C1432" s="61">
        <v>0</v>
      </c>
      <c r="D1432" s="61">
        <v>81067.439179999987</v>
      </c>
      <c r="E1432" s="61">
        <v>29366.861005073744</v>
      </c>
      <c r="F1432" s="61">
        <v>0</v>
      </c>
      <c r="G1432" s="61">
        <v>0</v>
      </c>
      <c r="H1432" s="62">
        <v>-0.63774776529121202</v>
      </c>
      <c r="I1432" s="62">
        <v>0</v>
      </c>
      <c r="J1432" s="62">
        <v>-0.63774776529121202</v>
      </c>
    </row>
    <row r="1433" spans="1:10" ht="11.25" customHeight="1" x14ac:dyDescent="0.2">
      <c r="A1433" s="71">
        <v>44440</v>
      </c>
      <c r="B1433" s="61">
        <v>0</v>
      </c>
      <c r="C1433" s="61">
        <v>0</v>
      </c>
      <c r="D1433" s="61">
        <v>146549.86645</v>
      </c>
      <c r="E1433" s="61">
        <v>53088.016617786918</v>
      </c>
      <c r="F1433" s="61">
        <v>0</v>
      </c>
      <c r="G1433" s="61">
        <v>0</v>
      </c>
      <c r="H1433" s="62">
        <v>-0.63774776529121213</v>
      </c>
      <c r="I1433" s="62">
        <v>0</v>
      </c>
      <c r="J1433" s="62">
        <v>-0.63774776529121213</v>
      </c>
    </row>
    <row r="1434" spans="1:10" ht="11.25" customHeight="1" x14ac:dyDescent="0.2">
      <c r="A1434" s="71">
        <v>44470</v>
      </c>
      <c r="B1434" s="61">
        <v>0</v>
      </c>
      <c r="C1434" s="61">
        <v>0</v>
      </c>
      <c r="D1434" s="61">
        <v>146549.86645</v>
      </c>
      <c r="E1434" s="61">
        <v>53088.016617786918</v>
      </c>
      <c r="F1434" s="61">
        <v>0</v>
      </c>
      <c r="G1434" s="61">
        <v>0</v>
      </c>
      <c r="H1434" s="62">
        <v>-0.63774776529121213</v>
      </c>
      <c r="I1434" s="62">
        <v>0</v>
      </c>
      <c r="J1434" s="62">
        <v>-0.63774776529121213</v>
      </c>
    </row>
    <row r="1435" spans="1:10" ht="11.25" customHeight="1" x14ac:dyDescent="0.2">
      <c r="A1435" s="70" t="s">
        <v>25</v>
      </c>
      <c r="B1435" s="61">
        <v>289271.25</v>
      </c>
      <c r="C1435" s="61">
        <v>323297.74895126466</v>
      </c>
      <c r="D1435" s="61">
        <v>0</v>
      </c>
      <c r="E1435" s="61">
        <v>0</v>
      </c>
      <c r="F1435" s="61">
        <v>0</v>
      </c>
      <c r="G1435" s="61">
        <v>0</v>
      </c>
      <c r="H1435" s="62">
        <v>0.11762834692789093</v>
      </c>
      <c r="I1435" s="62">
        <v>0</v>
      </c>
      <c r="J1435" s="62">
        <v>0.11762834692789093</v>
      </c>
    </row>
    <row r="1436" spans="1:10" ht="11.25" customHeight="1" x14ac:dyDescent="0.2">
      <c r="A1436" s="71">
        <v>44317</v>
      </c>
      <c r="B1436" s="61">
        <v>5285.45</v>
      </c>
      <c r="C1436" s="61">
        <v>5907.1687462700202</v>
      </c>
      <c r="D1436" s="61">
        <v>0</v>
      </c>
      <c r="E1436" s="61">
        <v>0</v>
      </c>
      <c r="F1436" s="61">
        <v>0</v>
      </c>
      <c r="G1436" s="61">
        <v>0</v>
      </c>
      <c r="H1436" s="62">
        <v>0.1176283469278907</v>
      </c>
      <c r="I1436" s="62">
        <v>0</v>
      </c>
      <c r="J1436" s="62">
        <v>0.1176283469278907</v>
      </c>
    </row>
    <row r="1437" spans="1:10" ht="11.25" customHeight="1" x14ac:dyDescent="0.2">
      <c r="A1437" s="71">
        <v>44378</v>
      </c>
      <c r="B1437" s="61">
        <v>53854.45</v>
      </c>
      <c r="C1437" s="61">
        <v>60189.259928210748</v>
      </c>
      <c r="D1437" s="61">
        <v>0</v>
      </c>
      <c r="E1437" s="61">
        <v>0</v>
      </c>
      <c r="F1437" s="61">
        <v>0</v>
      </c>
      <c r="G1437" s="61">
        <v>0</v>
      </c>
      <c r="H1437" s="62">
        <v>0.11762834692789093</v>
      </c>
      <c r="I1437" s="62">
        <v>0</v>
      </c>
      <c r="J1437" s="62">
        <v>0.11762834692789093</v>
      </c>
    </row>
    <row r="1438" spans="1:10" ht="11.25" customHeight="1" x14ac:dyDescent="0.2">
      <c r="A1438" s="71">
        <v>44409</v>
      </c>
      <c r="B1438" s="61">
        <v>53854.45</v>
      </c>
      <c r="C1438" s="61">
        <v>60189.259928210748</v>
      </c>
      <c r="D1438" s="61">
        <v>0</v>
      </c>
      <c r="E1438" s="61">
        <v>0</v>
      </c>
      <c r="F1438" s="61">
        <v>0</v>
      </c>
      <c r="G1438" s="61">
        <v>0</v>
      </c>
      <c r="H1438" s="62">
        <v>0.11762834692789093</v>
      </c>
      <c r="I1438" s="62">
        <v>0</v>
      </c>
      <c r="J1438" s="62">
        <v>0.11762834692789093</v>
      </c>
    </row>
    <row r="1439" spans="1:10" ht="11.25" customHeight="1" x14ac:dyDescent="0.2">
      <c r="A1439" s="71">
        <v>44440</v>
      </c>
      <c r="B1439" s="61">
        <v>88138.45</v>
      </c>
      <c r="C1439" s="61">
        <v>98506.030174286556</v>
      </c>
      <c r="D1439" s="61">
        <v>0</v>
      </c>
      <c r="E1439" s="61">
        <v>0</v>
      </c>
      <c r="F1439" s="61">
        <v>0</v>
      </c>
      <c r="G1439" s="61">
        <v>0</v>
      </c>
      <c r="H1439" s="62">
        <v>0.11762834692789093</v>
      </c>
      <c r="I1439" s="62">
        <v>0</v>
      </c>
      <c r="J1439" s="62">
        <v>0.11762834692789093</v>
      </c>
    </row>
    <row r="1440" spans="1:10" ht="11.25" customHeight="1" x14ac:dyDescent="0.2">
      <c r="A1440" s="71">
        <v>44470</v>
      </c>
      <c r="B1440" s="61">
        <v>88138.45</v>
      </c>
      <c r="C1440" s="61">
        <v>98506.030174286556</v>
      </c>
      <c r="D1440" s="61">
        <v>0</v>
      </c>
      <c r="E1440" s="61">
        <v>0</v>
      </c>
      <c r="F1440" s="61">
        <v>0</v>
      </c>
      <c r="G1440" s="61">
        <v>0</v>
      </c>
      <c r="H1440" s="62">
        <v>0.11762834692789093</v>
      </c>
      <c r="I1440" s="62">
        <v>0</v>
      </c>
      <c r="J1440" s="62">
        <v>0.11762834692789093</v>
      </c>
    </row>
    <row r="1441" spans="1:10" ht="11.25" customHeight="1" x14ac:dyDescent="0.2">
      <c r="A1441" s="70" t="s">
        <v>37</v>
      </c>
      <c r="B1441" s="61">
        <v>0</v>
      </c>
      <c r="C1441" s="61">
        <v>0</v>
      </c>
      <c r="D1441" s="61">
        <v>445731.86140000005</v>
      </c>
      <c r="E1441" s="61">
        <v>466559.7722970749</v>
      </c>
      <c r="F1441" s="61">
        <v>0</v>
      </c>
      <c r="G1441" s="61">
        <v>0</v>
      </c>
      <c r="H1441" s="62">
        <v>4.6727444683124952E-2</v>
      </c>
      <c r="I1441" s="62">
        <v>0</v>
      </c>
      <c r="J1441" s="62">
        <v>4.6727444683124952E-2</v>
      </c>
    </row>
    <row r="1442" spans="1:10" ht="11.25" customHeight="1" x14ac:dyDescent="0.2">
      <c r="A1442" s="71">
        <v>44317</v>
      </c>
      <c r="B1442" s="61">
        <v>0</v>
      </c>
      <c r="C1442" s="61">
        <v>0</v>
      </c>
      <c r="D1442" s="61">
        <v>4403.3705099999997</v>
      </c>
      <c r="E1442" s="61">
        <v>4609.1287619253289</v>
      </c>
      <c r="F1442" s="61">
        <v>0</v>
      </c>
      <c r="G1442" s="61">
        <v>0</v>
      </c>
      <c r="H1442" s="62">
        <v>4.6727444683125174E-2</v>
      </c>
      <c r="I1442" s="62">
        <v>0</v>
      </c>
      <c r="J1442" s="62">
        <v>4.6727444683125174E-2</v>
      </c>
    </row>
    <row r="1443" spans="1:10" ht="11.25" customHeight="1" x14ac:dyDescent="0.2">
      <c r="A1443" s="71">
        <v>44378</v>
      </c>
      <c r="B1443" s="61">
        <v>0</v>
      </c>
      <c r="C1443" s="61">
        <v>0</v>
      </c>
      <c r="D1443" s="61">
        <v>79026.798410000003</v>
      </c>
      <c r="E1443" s="61">
        <v>82719.518761187748</v>
      </c>
      <c r="F1443" s="61">
        <v>0</v>
      </c>
      <c r="G1443" s="61">
        <v>0</v>
      </c>
      <c r="H1443" s="62">
        <v>4.6727444683124952E-2</v>
      </c>
      <c r="I1443" s="62">
        <v>0</v>
      </c>
      <c r="J1443" s="62">
        <v>4.6727444683124952E-2</v>
      </c>
    </row>
    <row r="1444" spans="1:10" ht="11.25" customHeight="1" x14ac:dyDescent="0.2">
      <c r="A1444" s="71">
        <v>44409</v>
      </c>
      <c r="B1444" s="61">
        <v>0</v>
      </c>
      <c r="C1444" s="61">
        <v>0</v>
      </c>
      <c r="D1444" s="61">
        <v>78781.44932</v>
      </c>
      <c r="E1444" s="61">
        <v>82462.705135156721</v>
      </c>
      <c r="F1444" s="61">
        <v>0</v>
      </c>
      <c r="G1444" s="61">
        <v>0</v>
      </c>
      <c r="H1444" s="62">
        <v>4.6727444683125174E-2</v>
      </c>
      <c r="I1444" s="62">
        <v>0</v>
      </c>
      <c r="J1444" s="62">
        <v>4.6727444683125174E-2</v>
      </c>
    </row>
    <row r="1445" spans="1:10" ht="11.25" customHeight="1" x14ac:dyDescent="0.2">
      <c r="A1445" s="71">
        <v>44440</v>
      </c>
      <c r="B1445" s="61">
        <v>0</v>
      </c>
      <c r="C1445" s="61">
        <v>0</v>
      </c>
      <c r="D1445" s="61">
        <v>141760.12158000001</v>
      </c>
      <c r="E1445" s="61">
        <v>148384.20981940255</v>
      </c>
      <c r="F1445" s="61">
        <v>0</v>
      </c>
      <c r="G1445" s="61">
        <v>0</v>
      </c>
      <c r="H1445" s="62">
        <v>4.6727444683125174E-2</v>
      </c>
      <c r="I1445" s="62">
        <v>0</v>
      </c>
      <c r="J1445" s="62">
        <v>4.6727444683125174E-2</v>
      </c>
    </row>
    <row r="1446" spans="1:10" ht="11.25" customHeight="1" x14ac:dyDescent="0.2">
      <c r="A1446" s="71">
        <v>44470</v>
      </c>
      <c r="B1446" s="61">
        <v>0</v>
      </c>
      <c r="C1446" s="61">
        <v>0</v>
      </c>
      <c r="D1446" s="61">
        <v>141760.12158000001</v>
      </c>
      <c r="E1446" s="61">
        <v>148384.20981940255</v>
      </c>
      <c r="F1446" s="61">
        <v>0</v>
      </c>
      <c r="G1446" s="61">
        <v>0</v>
      </c>
      <c r="H1446" s="62">
        <v>4.6727444683125174E-2</v>
      </c>
      <c r="I1446" s="62">
        <v>0</v>
      </c>
      <c r="J1446" s="62">
        <v>4.6727444683125174E-2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A59FB-317F-45D9-AD1D-2F4463B263E5}">
  <dimension ref="A1:G615"/>
  <sheetViews>
    <sheetView showGridLines="0" workbookViewId="0"/>
  </sheetViews>
  <sheetFormatPr defaultRowHeight="11.25" customHeight="1" x14ac:dyDescent="0.2"/>
  <cols>
    <col min="1" max="1" width="34.7109375" style="17" bestFit="1" customWidth="1"/>
    <col min="2" max="2" width="20.42578125" style="61" bestFit="1" customWidth="1"/>
    <col min="3" max="3" width="21.85546875" style="61" bestFit="1" customWidth="1"/>
    <col min="4" max="4" width="20.28515625" style="61" bestFit="1" customWidth="1"/>
    <col min="5" max="5" width="21.7109375" style="61" bestFit="1" customWidth="1"/>
    <col min="6" max="6" width="14.85546875" style="61" bestFit="1" customWidth="1"/>
    <col min="7" max="7" width="14.7109375" style="61" bestFit="1" customWidth="1"/>
    <col min="8" max="16384" width="9.140625" style="17"/>
  </cols>
  <sheetData>
    <row r="1" spans="1:7" ht="11.25" customHeight="1" x14ac:dyDescent="0.2">
      <c r="A1" s="60" t="s">
        <v>826</v>
      </c>
      <c r="B1" s="61" t="s">
        <v>852</v>
      </c>
      <c r="C1" s="61" t="s">
        <v>853</v>
      </c>
      <c r="D1" s="61" t="s">
        <v>854</v>
      </c>
      <c r="E1" s="61" t="s">
        <v>855</v>
      </c>
      <c r="F1" s="61" t="s">
        <v>856</v>
      </c>
      <c r="G1" s="61" t="s">
        <v>857</v>
      </c>
    </row>
    <row r="2" spans="1:7" ht="11.25" customHeight="1" x14ac:dyDescent="0.2">
      <c r="A2" s="63" t="s">
        <v>842</v>
      </c>
      <c r="B2" s="61">
        <v>793403.19420000014</v>
      </c>
      <c r="C2" s="61">
        <v>4449974.6042477991</v>
      </c>
      <c r="D2" s="61">
        <v>882851.96302576049</v>
      </c>
      <c r="E2" s="61">
        <v>4164706.855771258</v>
      </c>
      <c r="F2" s="61">
        <v>5243377.7984478008</v>
      </c>
      <c r="G2" s="61">
        <v>5047558.8187970193</v>
      </c>
    </row>
    <row r="3" spans="1:7" ht="11.25" customHeight="1" x14ac:dyDescent="0.2">
      <c r="A3" s="64" t="s">
        <v>43</v>
      </c>
      <c r="B3" s="61">
        <v>211455.90720000005</v>
      </c>
      <c r="C3" s="61">
        <v>518300.32264199998</v>
      </c>
      <c r="D3" s="61">
        <v>232266.52850424941</v>
      </c>
      <c r="E3" s="61">
        <v>393220.37096046895</v>
      </c>
      <c r="F3" s="61">
        <v>729756.22984200006</v>
      </c>
      <c r="G3" s="61">
        <v>625486.8994647183</v>
      </c>
    </row>
    <row r="4" spans="1:7" ht="11.25" customHeight="1" x14ac:dyDescent="0.2">
      <c r="A4" s="65" t="s">
        <v>44</v>
      </c>
      <c r="B4" s="61">
        <v>211455.90720000005</v>
      </c>
      <c r="C4" s="61">
        <v>518300.32264199998</v>
      </c>
      <c r="D4" s="61">
        <v>232266.52850424941</v>
      </c>
      <c r="E4" s="61">
        <v>393220.37096046895</v>
      </c>
      <c r="F4" s="61">
        <v>729756.22984200006</v>
      </c>
      <c r="G4" s="61">
        <v>625486.8994647183</v>
      </c>
    </row>
    <row r="5" spans="1:7" ht="11.25" customHeight="1" x14ac:dyDescent="0.2">
      <c r="A5" s="66" t="s">
        <v>61</v>
      </c>
      <c r="B5" s="61">
        <v>211455.90720000005</v>
      </c>
      <c r="C5" s="61">
        <v>518300.32264199998</v>
      </c>
      <c r="D5" s="61">
        <v>232266.52850424941</v>
      </c>
      <c r="E5" s="61">
        <v>393220.37096046895</v>
      </c>
      <c r="F5" s="61">
        <v>729756.22984200006</v>
      </c>
      <c r="G5" s="61">
        <v>625486.8994647183</v>
      </c>
    </row>
    <row r="6" spans="1:7" ht="11.25" customHeight="1" x14ac:dyDescent="0.2">
      <c r="A6" s="67" t="s">
        <v>53</v>
      </c>
      <c r="B6" s="61">
        <v>211455.90720000005</v>
      </c>
      <c r="C6" s="61">
        <v>518300.32264199998</v>
      </c>
      <c r="D6" s="61">
        <v>232266.52850424941</v>
      </c>
      <c r="E6" s="61">
        <v>393220.37096046895</v>
      </c>
      <c r="F6" s="61">
        <v>729756.22984200006</v>
      </c>
      <c r="G6" s="61">
        <v>625486.8994647183</v>
      </c>
    </row>
    <row r="7" spans="1:7" ht="11.25" customHeight="1" x14ac:dyDescent="0.2">
      <c r="A7" s="68" t="s">
        <v>25</v>
      </c>
      <c r="B7" s="61">
        <v>211455.90720000005</v>
      </c>
      <c r="C7" s="61">
        <v>518300.32264199998</v>
      </c>
      <c r="D7" s="61">
        <v>232266.52850424941</v>
      </c>
      <c r="E7" s="61">
        <v>393220.37096046895</v>
      </c>
      <c r="F7" s="61">
        <v>729756.22984200006</v>
      </c>
      <c r="G7" s="61">
        <v>625486.8994647183</v>
      </c>
    </row>
    <row r="8" spans="1:7" ht="11.25" customHeight="1" x14ac:dyDescent="0.2">
      <c r="A8" s="69" t="s">
        <v>25</v>
      </c>
      <c r="B8" s="61">
        <v>211455.90720000005</v>
      </c>
      <c r="C8" s="61">
        <v>518300.32264199998</v>
      </c>
      <c r="D8" s="61">
        <v>232266.52850424941</v>
      </c>
      <c r="E8" s="61">
        <v>393220.37096046895</v>
      </c>
      <c r="F8" s="61">
        <v>729756.22984200006</v>
      </c>
      <c r="G8" s="61">
        <v>625486.8994647183</v>
      </c>
    </row>
    <row r="9" spans="1:7" ht="11.25" customHeight="1" x14ac:dyDescent="0.2">
      <c r="A9" s="70" t="s">
        <v>38</v>
      </c>
      <c r="B9" s="61">
        <v>95170.068000000028</v>
      </c>
      <c r="C9" s="61">
        <v>0</v>
      </c>
      <c r="D9" s="61">
        <v>104523.1165472187</v>
      </c>
      <c r="E9" s="61">
        <v>0</v>
      </c>
      <c r="F9" s="61">
        <v>95170.068000000028</v>
      </c>
      <c r="G9" s="61">
        <v>104523.1165472187</v>
      </c>
    </row>
    <row r="10" spans="1:7" ht="11.25" customHeight="1" x14ac:dyDescent="0.2">
      <c r="A10" s="71">
        <v>44136</v>
      </c>
      <c r="B10" s="61">
        <v>8080.2269999999935</v>
      </c>
      <c r="C10" s="61">
        <v>0</v>
      </c>
      <c r="D10" s="61">
        <v>8874.3291477839703</v>
      </c>
      <c r="E10" s="61">
        <v>0</v>
      </c>
      <c r="F10" s="61">
        <v>8080.2269999999935</v>
      </c>
      <c r="G10" s="61">
        <v>8874.3291477839703</v>
      </c>
    </row>
    <row r="11" spans="1:7" ht="11.25" customHeight="1" x14ac:dyDescent="0.2">
      <c r="A11" s="71">
        <v>44166</v>
      </c>
      <c r="B11" s="61">
        <v>8294.7509999999966</v>
      </c>
      <c r="C11" s="61">
        <v>0</v>
      </c>
      <c r="D11" s="61">
        <v>9109.9359675056494</v>
      </c>
      <c r="E11" s="61">
        <v>0</v>
      </c>
      <c r="F11" s="61">
        <v>8294.7509999999966</v>
      </c>
      <c r="G11" s="61">
        <v>9109.9359675056494</v>
      </c>
    </row>
    <row r="12" spans="1:7" ht="11.25" customHeight="1" x14ac:dyDescent="0.2">
      <c r="A12" s="71">
        <v>44197</v>
      </c>
      <c r="B12" s="61">
        <v>7879.5090000000018</v>
      </c>
      <c r="C12" s="61">
        <v>0</v>
      </c>
      <c r="D12" s="61">
        <v>8653.885143192907</v>
      </c>
      <c r="E12" s="61">
        <v>0</v>
      </c>
      <c r="F12" s="61">
        <v>7879.5090000000018</v>
      </c>
      <c r="G12" s="61">
        <v>8653.885143192907</v>
      </c>
    </row>
    <row r="13" spans="1:7" ht="11.25" customHeight="1" x14ac:dyDescent="0.2">
      <c r="A13" s="71">
        <v>44228</v>
      </c>
      <c r="B13" s="61">
        <v>7879.5090000000018</v>
      </c>
      <c r="C13" s="61">
        <v>0</v>
      </c>
      <c r="D13" s="61">
        <v>8653.885143192907</v>
      </c>
      <c r="E13" s="61">
        <v>0</v>
      </c>
      <c r="F13" s="61">
        <v>7879.5090000000018</v>
      </c>
      <c r="G13" s="61">
        <v>8653.885143192907</v>
      </c>
    </row>
    <row r="14" spans="1:7" ht="11.25" customHeight="1" x14ac:dyDescent="0.2">
      <c r="A14" s="71">
        <v>44256</v>
      </c>
      <c r="B14" s="61">
        <v>7879.5090000000018</v>
      </c>
      <c r="C14" s="61">
        <v>0</v>
      </c>
      <c r="D14" s="61">
        <v>8653.885143192907</v>
      </c>
      <c r="E14" s="61">
        <v>0</v>
      </c>
      <c r="F14" s="61">
        <v>7879.5090000000018</v>
      </c>
      <c r="G14" s="61">
        <v>8653.885143192907</v>
      </c>
    </row>
    <row r="15" spans="1:7" ht="11.25" customHeight="1" x14ac:dyDescent="0.2">
      <c r="A15" s="71">
        <v>44287</v>
      </c>
      <c r="B15" s="61">
        <v>7879.5090000000018</v>
      </c>
      <c r="C15" s="61">
        <v>0</v>
      </c>
      <c r="D15" s="61">
        <v>8653.885143192907</v>
      </c>
      <c r="E15" s="61">
        <v>0</v>
      </c>
      <c r="F15" s="61">
        <v>7879.5090000000018</v>
      </c>
      <c r="G15" s="61">
        <v>8653.885143192907</v>
      </c>
    </row>
    <row r="16" spans="1:7" ht="11.25" customHeight="1" x14ac:dyDescent="0.2">
      <c r="A16" s="71">
        <v>44317</v>
      </c>
      <c r="B16" s="61">
        <v>7879.5090000000018</v>
      </c>
      <c r="C16" s="61">
        <v>0</v>
      </c>
      <c r="D16" s="61">
        <v>8653.885143192907</v>
      </c>
      <c r="E16" s="61">
        <v>0</v>
      </c>
      <c r="F16" s="61">
        <v>7879.5090000000018</v>
      </c>
      <c r="G16" s="61">
        <v>8653.885143192907</v>
      </c>
    </row>
    <row r="17" spans="1:7" ht="11.25" customHeight="1" x14ac:dyDescent="0.2">
      <c r="A17" s="71">
        <v>44348</v>
      </c>
      <c r="B17" s="61">
        <v>7879.5090000000018</v>
      </c>
      <c r="C17" s="61">
        <v>0</v>
      </c>
      <c r="D17" s="61">
        <v>8653.885143192907</v>
      </c>
      <c r="E17" s="61">
        <v>0</v>
      </c>
      <c r="F17" s="61">
        <v>7879.5090000000018</v>
      </c>
      <c r="G17" s="61">
        <v>8653.885143192907</v>
      </c>
    </row>
    <row r="18" spans="1:7" ht="11.25" customHeight="1" x14ac:dyDescent="0.2">
      <c r="A18" s="71">
        <v>44378</v>
      </c>
      <c r="B18" s="61">
        <v>7879.5090000000018</v>
      </c>
      <c r="C18" s="61">
        <v>0</v>
      </c>
      <c r="D18" s="61">
        <v>8653.885143192907</v>
      </c>
      <c r="E18" s="61">
        <v>0</v>
      </c>
      <c r="F18" s="61">
        <v>7879.5090000000018</v>
      </c>
      <c r="G18" s="61">
        <v>8653.885143192907</v>
      </c>
    </row>
    <row r="19" spans="1:7" ht="11.25" customHeight="1" x14ac:dyDescent="0.2">
      <c r="A19" s="71">
        <v>44409</v>
      </c>
      <c r="B19" s="61">
        <v>7879.5090000000018</v>
      </c>
      <c r="C19" s="61">
        <v>0</v>
      </c>
      <c r="D19" s="61">
        <v>8653.885143192907</v>
      </c>
      <c r="E19" s="61">
        <v>0</v>
      </c>
      <c r="F19" s="61">
        <v>7879.5090000000018</v>
      </c>
      <c r="G19" s="61">
        <v>8653.885143192907</v>
      </c>
    </row>
    <row r="20" spans="1:7" ht="11.25" customHeight="1" x14ac:dyDescent="0.2">
      <c r="A20" s="71">
        <v>44440</v>
      </c>
      <c r="B20" s="61">
        <v>7879.5090000000018</v>
      </c>
      <c r="C20" s="61">
        <v>0</v>
      </c>
      <c r="D20" s="61">
        <v>8653.885143192907</v>
      </c>
      <c r="E20" s="61">
        <v>0</v>
      </c>
      <c r="F20" s="61">
        <v>7879.5090000000018</v>
      </c>
      <c r="G20" s="61">
        <v>8653.885143192907</v>
      </c>
    </row>
    <row r="21" spans="1:7" ht="11.25" customHeight="1" x14ac:dyDescent="0.2">
      <c r="A21" s="71">
        <v>44470</v>
      </c>
      <c r="B21" s="61">
        <v>7879.5090000000018</v>
      </c>
      <c r="C21" s="61">
        <v>0</v>
      </c>
      <c r="D21" s="61">
        <v>8653.885143192907</v>
      </c>
      <c r="E21" s="61">
        <v>0</v>
      </c>
      <c r="F21" s="61">
        <v>7879.5090000000018</v>
      </c>
      <c r="G21" s="61">
        <v>8653.885143192907</v>
      </c>
    </row>
    <row r="22" spans="1:7" ht="11.25" customHeight="1" x14ac:dyDescent="0.2">
      <c r="A22" s="70" t="s">
        <v>25</v>
      </c>
      <c r="B22" s="61">
        <v>0</v>
      </c>
      <c r="C22" s="61">
        <v>518300.32264199998</v>
      </c>
      <c r="D22" s="61">
        <v>0</v>
      </c>
      <c r="E22" s="61">
        <v>393220.37096046895</v>
      </c>
      <c r="F22" s="61">
        <v>518300.32264199998</v>
      </c>
      <c r="G22" s="61">
        <v>393220.37096046895</v>
      </c>
    </row>
    <row r="23" spans="1:7" ht="11.25" customHeight="1" x14ac:dyDescent="0.2">
      <c r="A23" s="71">
        <v>44136</v>
      </c>
      <c r="B23" s="61">
        <v>0</v>
      </c>
      <c r="C23" s="61">
        <v>46976.846076000031</v>
      </c>
      <c r="D23" s="61">
        <v>0</v>
      </c>
      <c r="E23" s="61">
        <v>35640.056611187414</v>
      </c>
      <c r="F23" s="61">
        <v>46976.846076000031</v>
      </c>
      <c r="G23" s="61">
        <v>35640.056611187414</v>
      </c>
    </row>
    <row r="24" spans="1:7" ht="11.25" customHeight="1" x14ac:dyDescent="0.2">
      <c r="A24" s="71">
        <v>44166</v>
      </c>
      <c r="B24" s="61">
        <v>0</v>
      </c>
      <c r="C24" s="61">
        <v>48277.964304000023</v>
      </c>
      <c r="D24" s="61">
        <v>0</v>
      </c>
      <c r="E24" s="61">
        <v>36627.179655351472</v>
      </c>
      <c r="F24" s="61">
        <v>48277.964304000023</v>
      </c>
      <c r="G24" s="61">
        <v>36627.179655351472</v>
      </c>
    </row>
    <row r="25" spans="1:7" ht="11.25" customHeight="1" x14ac:dyDescent="0.2">
      <c r="A25" s="71">
        <v>44197</v>
      </c>
      <c r="B25" s="61">
        <v>0</v>
      </c>
      <c r="C25" s="61">
        <v>44617.393835999959</v>
      </c>
      <c r="D25" s="61">
        <v>0</v>
      </c>
      <c r="E25" s="61">
        <v>33850.004310337943</v>
      </c>
      <c r="F25" s="61">
        <v>44617.393835999959</v>
      </c>
      <c r="G25" s="61">
        <v>33850.004310337943</v>
      </c>
    </row>
    <row r="26" spans="1:7" ht="11.25" customHeight="1" x14ac:dyDescent="0.2">
      <c r="A26" s="71">
        <v>44228</v>
      </c>
      <c r="B26" s="61">
        <v>0</v>
      </c>
      <c r="C26" s="61">
        <v>38493.076499999996</v>
      </c>
      <c r="D26" s="61">
        <v>0</v>
      </c>
      <c r="E26" s="61">
        <v>29203.651164220119</v>
      </c>
      <c r="F26" s="61">
        <v>38493.076499999996</v>
      </c>
      <c r="G26" s="61">
        <v>29203.651164220119</v>
      </c>
    </row>
    <row r="27" spans="1:7" ht="11.25" customHeight="1" x14ac:dyDescent="0.2">
      <c r="A27" s="71">
        <v>44256</v>
      </c>
      <c r="B27" s="61">
        <v>0</v>
      </c>
      <c r="C27" s="61">
        <v>42506.899902000005</v>
      </c>
      <c r="D27" s="61">
        <v>0</v>
      </c>
      <c r="E27" s="61">
        <v>32248.829911281078</v>
      </c>
      <c r="F27" s="61">
        <v>42506.899902000005</v>
      </c>
      <c r="G27" s="61">
        <v>32248.829911281078</v>
      </c>
    </row>
    <row r="28" spans="1:7" ht="11.25" customHeight="1" x14ac:dyDescent="0.2">
      <c r="A28" s="71">
        <v>44287</v>
      </c>
      <c r="B28" s="61">
        <v>0</v>
      </c>
      <c r="C28" s="61">
        <v>40551.13816200001</v>
      </c>
      <c r="D28" s="61">
        <v>0</v>
      </c>
      <c r="E28" s="61">
        <v>30765.046623258153</v>
      </c>
      <c r="F28" s="61">
        <v>40551.13816200001</v>
      </c>
      <c r="G28" s="61">
        <v>30765.046623258153</v>
      </c>
    </row>
    <row r="29" spans="1:7" ht="11.25" customHeight="1" x14ac:dyDescent="0.2">
      <c r="A29" s="71">
        <v>44317</v>
      </c>
      <c r="B29" s="61">
        <v>0</v>
      </c>
      <c r="C29" s="61">
        <v>41236.652124000015</v>
      </c>
      <c r="D29" s="61">
        <v>0</v>
      </c>
      <c r="E29" s="61">
        <v>31285.127438686104</v>
      </c>
      <c r="F29" s="61">
        <v>41236.652124000015</v>
      </c>
      <c r="G29" s="61">
        <v>31285.127438686104</v>
      </c>
    </row>
    <row r="30" spans="1:7" ht="11.25" customHeight="1" x14ac:dyDescent="0.2">
      <c r="A30" s="71">
        <v>44348</v>
      </c>
      <c r="B30" s="61">
        <v>0</v>
      </c>
      <c r="C30" s="61">
        <v>44617.393835999959</v>
      </c>
      <c r="D30" s="61">
        <v>0</v>
      </c>
      <c r="E30" s="61">
        <v>33850.004310337943</v>
      </c>
      <c r="F30" s="61">
        <v>44617.393835999959</v>
      </c>
      <c r="G30" s="61">
        <v>33850.004310337943</v>
      </c>
    </row>
    <row r="31" spans="1:7" ht="11.25" customHeight="1" x14ac:dyDescent="0.2">
      <c r="A31" s="71">
        <v>44378</v>
      </c>
      <c r="B31" s="61">
        <v>0</v>
      </c>
      <c r="C31" s="61">
        <v>42435.755387999983</v>
      </c>
      <c r="D31" s="61">
        <v>0</v>
      </c>
      <c r="E31" s="61">
        <v>32194.854501726466</v>
      </c>
      <c r="F31" s="61">
        <v>42435.755387999983</v>
      </c>
      <c r="G31" s="61">
        <v>32194.854501726466</v>
      </c>
    </row>
    <row r="32" spans="1:7" ht="11.25" customHeight="1" x14ac:dyDescent="0.2">
      <c r="A32" s="71">
        <v>44409</v>
      </c>
      <c r="B32" s="61">
        <v>0</v>
      </c>
      <c r="C32" s="61">
        <v>43640.65279800001</v>
      </c>
      <c r="D32" s="61">
        <v>0</v>
      </c>
      <c r="E32" s="61">
        <v>33108.977425892146</v>
      </c>
      <c r="F32" s="61">
        <v>43640.65279800001</v>
      </c>
      <c r="G32" s="61">
        <v>33108.977425892146</v>
      </c>
    </row>
    <row r="33" spans="1:7" ht="11.25" customHeight="1" x14ac:dyDescent="0.2">
      <c r="A33" s="71">
        <v>44440</v>
      </c>
      <c r="B33" s="61">
        <v>0</v>
      </c>
      <c r="C33" s="61">
        <v>42473.274857999997</v>
      </c>
      <c r="D33" s="61">
        <v>0</v>
      </c>
      <c r="E33" s="61">
        <v>32223.319504095056</v>
      </c>
      <c r="F33" s="61">
        <v>42473.274857999997</v>
      </c>
      <c r="G33" s="61">
        <v>32223.319504095056</v>
      </c>
    </row>
    <row r="34" spans="1:7" ht="11.25" customHeight="1" x14ac:dyDescent="0.2">
      <c r="A34" s="71">
        <v>44470</v>
      </c>
      <c r="B34" s="61">
        <v>0</v>
      </c>
      <c r="C34" s="61">
        <v>42473.274857999997</v>
      </c>
      <c r="D34" s="61">
        <v>0</v>
      </c>
      <c r="E34" s="61">
        <v>32223.319504095056</v>
      </c>
      <c r="F34" s="61">
        <v>42473.274857999997</v>
      </c>
      <c r="G34" s="61">
        <v>32223.319504095056</v>
      </c>
    </row>
    <row r="35" spans="1:7" ht="11.25" customHeight="1" x14ac:dyDescent="0.2">
      <c r="A35" s="70" t="s">
        <v>37</v>
      </c>
      <c r="B35" s="61">
        <v>116285.83919999994</v>
      </c>
      <c r="C35" s="61">
        <v>0</v>
      </c>
      <c r="D35" s="61">
        <v>127743.41195703069</v>
      </c>
      <c r="E35" s="61">
        <v>0</v>
      </c>
      <c r="F35" s="61">
        <v>116285.83919999994</v>
      </c>
      <c r="G35" s="61">
        <v>127743.41195703069</v>
      </c>
    </row>
    <row r="36" spans="1:7" ht="11.25" customHeight="1" x14ac:dyDescent="0.2">
      <c r="A36" s="71">
        <v>44136</v>
      </c>
      <c r="B36" s="61">
        <v>9887.3783999999996</v>
      </c>
      <c r="C36" s="61">
        <v>0</v>
      </c>
      <c r="D36" s="61">
        <v>10861.575758626395</v>
      </c>
      <c r="E36" s="61">
        <v>0</v>
      </c>
      <c r="F36" s="61">
        <v>9887.3783999999996</v>
      </c>
      <c r="G36" s="61">
        <v>10861.575758626395</v>
      </c>
    </row>
    <row r="37" spans="1:7" ht="11.25" customHeight="1" x14ac:dyDescent="0.2">
      <c r="A37" s="71">
        <v>44166</v>
      </c>
      <c r="B37" s="61">
        <v>10065.916799999999</v>
      </c>
      <c r="C37" s="61">
        <v>0</v>
      </c>
      <c r="D37" s="61">
        <v>11057.705438200906</v>
      </c>
      <c r="E37" s="61">
        <v>0</v>
      </c>
      <c r="F37" s="61">
        <v>10065.916799999999</v>
      </c>
      <c r="G37" s="61">
        <v>11057.705438200906</v>
      </c>
    </row>
    <row r="38" spans="1:7" ht="11.25" customHeight="1" x14ac:dyDescent="0.2">
      <c r="A38" s="71">
        <v>44197</v>
      </c>
      <c r="B38" s="61">
        <v>9633.2543999999962</v>
      </c>
      <c r="C38" s="61">
        <v>0</v>
      </c>
      <c r="D38" s="61">
        <v>10582.413076020337</v>
      </c>
      <c r="E38" s="61">
        <v>0</v>
      </c>
      <c r="F38" s="61">
        <v>9633.2543999999962</v>
      </c>
      <c r="G38" s="61">
        <v>10582.413076020337</v>
      </c>
    </row>
    <row r="39" spans="1:7" ht="11.25" customHeight="1" x14ac:dyDescent="0.2">
      <c r="A39" s="71">
        <v>44228</v>
      </c>
      <c r="B39" s="61">
        <v>9633.2543999999962</v>
      </c>
      <c r="C39" s="61">
        <v>0</v>
      </c>
      <c r="D39" s="61">
        <v>10582.413076020337</v>
      </c>
      <c r="E39" s="61">
        <v>0</v>
      </c>
      <c r="F39" s="61">
        <v>9633.2543999999962</v>
      </c>
      <c r="G39" s="61">
        <v>10582.413076020337</v>
      </c>
    </row>
    <row r="40" spans="1:7" ht="11.25" customHeight="1" x14ac:dyDescent="0.2">
      <c r="A40" s="71">
        <v>44256</v>
      </c>
      <c r="B40" s="61">
        <v>9633.2543999999962</v>
      </c>
      <c r="C40" s="61">
        <v>0</v>
      </c>
      <c r="D40" s="61">
        <v>10582.413076020337</v>
      </c>
      <c r="E40" s="61">
        <v>0</v>
      </c>
      <c r="F40" s="61">
        <v>9633.2543999999962</v>
      </c>
      <c r="G40" s="61">
        <v>10582.413076020337</v>
      </c>
    </row>
    <row r="41" spans="1:7" ht="11.25" customHeight="1" x14ac:dyDescent="0.2">
      <c r="A41" s="71">
        <v>44287</v>
      </c>
      <c r="B41" s="61">
        <v>9633.2543999999962</v>
      </c>
      <c r="C41" s="61">
        <v>0</v>
      </c>
      <c r="D41" s="61">
        <v>10582.413076020337</v>
      </c>
      <c r="E41" s="61">
        <v>0</v>
      </c>
      <c r="F41" s="61">
        <v>9633.2543999999962</v>
      </c>
      <c r="G41" s="61">
        <v>10582.413076020337</v>
      </c>
    </row>
    <row r="42" spans="1:7" ht="11.25" customHeight="1" x14ac:dyDescent="0.2">
      <c r="A42" s="71">
        <v>44317</v>
      </c>
      <c r="B42" s="61">
        <v>9633.2543999999962</v>
      </c>
      <c r="C42" s="61">
        <v>0</v>
      </c>
      <c r="D42" s="61">
        <v>10582.413076020337</v>
      </c>
      <c r="E42" s="61">
        <v>0</v>
      </c>
      <c r="F42" s="61">
        <v>9633.2543999999962</v>
      </c>
      <c r="G42" s="61">
        <v>10582.413076020337</v>
      </c>
    </row>
    <row r="43" spans="1:7" ht="11.25" customHeight="1" x14ac:dyDescent="0.2">
      <c r="A43" s="71">
        <v>44348</v>
      </c>
      <c r="B43" s="61">
        <v>9633.2543999999962</v>
      </c>
      <c r="C43" s="61">
        <v>0</v>
      </c>
      <c r="D43" s="61">
        <v>10582.413076020337</v>
      </c>
      <c r="E43" s="61">
        <v>0</v>
      </c>
      <c r="F43" s="61">
        <v>9633.2543999999962</v>
      </c>
      <c r="G43" s="61">
        <v>10582.413076020337</v>
      </c>
    </row>
    <row r="44" spans="1:7" ht="11.25" customHeight="1" x14ac:dyDescent="0.2">
      <c r="A44" s="71">
        <v>44378</v>
      </c>
      <c r="B44" s="61">
        <v>9633.2543999999962</v>
      </c>
      <c r="C44" s="61">
        <v>0</v>
      </c>
      <c r="D44" s="61">
        <v>10582.413076020337</v>
      </c>
      <c r="E44" s="61">
        <v>0</v>
      </c>
      <c r="F44" s="61">
        <v>9633.2543999999962</v>
      </c>
      <c r="G44" s="61">
        <v>10582.413076020337</v>
      </c>
    </row>
    <row r="45" spans="1:7" ht="11.25" customHeight="1" x14ac:dyDescent="0.2">
      <c r="A45" s="71">
        <v>44409</v>
      </c>
      <c r="B45" s="61">
        <v>9633.2543999999962</v>
      </c>
      <c r="C45" s="61">
        <v>0</v>
      </c>
      <c r="D45" s="61">
        <v>10582.413076020337</v>
      </c>
      <c r="E45" s="61">
        <v>0</v>
      </c>
      <c r="F45" s="61">
        <v>9633.2543999999962</v>
      </c>
      <c r="G45" s="61">
        <v>10582.413076020337</v>
      </c>
    </row>
    <row r="46" spans="1:7" ht="11.25" customHeight="1" x14ac:dyDescent="0.2">
      <c r="A46" s="71">
        <v>44440</v>
      </c>
      <c r="B46" s="61">
        <v>9633.2543999999962</v>
      </c>
      <c r="C46" s="61">
        <v>0</v>
      </c>
      <c r="D46" s="61">
        <v>10582.413076020337</v>
      </c>
      <c r="E46" s="61">
        <v>0</v>
      </c>
      <c r="F46" s="61">
        <v>9633.2543999999962</v>
      </c>
      <c r="G46" s="61">
        <v>10582.413076020337</v>
      </c>
    </row>
    <row r="47" spans="1:7" ht="11.25" customHeight="1" x14ac:dyDescent="0.2">
      <c r="A47" s="71">
        <v>44470</v>
      </c>
      <c r="B47" s="61">
        <v>9633.2543999999962</v>
      </c>
      <c r="C47" s="61">
        <v>0</v>
      </c>
      <c r="D47" s="61">
        <v>10582.413076020337</v>
      </c>
      <c r="E47" s="61">
        <v>0</v>
      </c>
      <c r="F47" s="61">
        <v>9633.2543999999962</v>
      </c>
      <c r="G47" s="61">
        <v>10582.413076020337</v>
      </c>
    </row>
    <row r="48" spans="1:7" ht="11.25" customHeight="1" x14ac:dyDescent="0.2">
      <c r="A48" s="64" t="s">
        <v>35</v>
      </c>
      <c r="B48" s="61">
        <v>581947.28700000013</v>
      </c>
      <c r="C48" s="61">
        <v>1427967.4247594995</v>
      </c>
      <c r="D48" s="61">
        <v>650585.43452151108</v>
      </c>
      <c r="E48" s="61">
        <v>1342098.7191727189</v>
      </c>
      <c r="F48" s="61">
        <v>2009914.7117595002</v>
      </c>
      <c r="G48" s="61">
        <v>1992684.1536942301</v>
      </c>
    </row>
    <row r="49" spans="1:7" ht="11.25" customHeight="1" x14ac:dyDescent="0.2">
      <c r="A49" s="65" t="s">
        <v>44</v>
      </c>
      <c r="B49" s="61">
        <v>288960.50850000011</v>
      </c>
      <c r="C49" s="61">
        <v>281245.03851779993</v>
      </c>
      <c r="D49" s="61">
        <v>323135.10559482774</v>
      </c>
      <c r="E49" s="61">
        <v>251623.67186156969</v>
      </c>
      <c r="F49" s="61">
        <v>570205.54701780027</v>
      </c>
      <c r="G49" s="61">
        <v>574758.77745639742</v>
      </c>
    </row>
    <row r="50" spans="1:7" ht="11.25" customHeight="1" x14ac:dyDescent="0.2">
      <c r="A50" s="66" t="s">
        <v>61</v>
      </c>
      <c r="B50" s="61">
        <v>288960.50850000011</v>
      </c>
      <c r="C50" s="61">
        <v>281245.03851779993</v>
      </c>
      <c r="D50" s="61">
        <v>323135.10559482774</v>
      </c>
      <c r="E50" s="61">
        <v>251623.67186156969</v>
      </c>
      <c r="F50" s="61">
        <v>570205.54701780027</v>
      </c>
      <c r="G50" s="61">
        <v>574758.77745639742</v>
      </c>
    </row>
    <row r="51" spans="1:7" ht="11.25" customHeight="1" x14ac:dyDescent="0.2">
      <c r="A51" s="67" t="s">
        <v>53</v>
      </c>
      <c r="B51" s="61">
        <v>288960.50850000011</v>
      </c>
      <c r="C51" s="61">
        <v>281245.03851779993</v>
      </c>
      <c r="D51" s="61">
        <v>323135.10559482774</v>
      </c>
      <c r="E51" s="61">
        <v>251623.67186156969</v>
      </c>
      <c r="F51" s="61">
        <v>570205.54701780027</v>
      </c>
      <c r="G51" s="61">
        <v>574758.77745639742</v>
      </c>
    </row>
    <row r="52" spans="1:7" ht="11.25" customHeight="1" x14ac:dyDescent="0.2">
      <c r="A52" s="68" t="s">
        <v>25</v>
      </c>
      <c r="B52" s="61">
        <v>288960.50850000011</v>
      </c>
      <c r="C52" s="61">
        <v>281245.03851779993</v>
      </c>
      <c r="D52" s="61">
        <v>323135.10559482774</v>
      </c>
      <c r="E52" s="61">
        <v>251623.67186156969</v>
      </c>
      <c r="F52" s="61">
        <v>570205.54701780027</v>
      </c>
      <c r="G52" s="61">
        <v>574758.77745639742</v>
      </c>
    </row>
    <row r="53" spans="1:7" ht="11.25" customHeight="1" x14ac:dyDescent="0.2">
      <c r="A53" s="69" t="s">
        <v>25</v>
      </c>
      <c r="B53" s="61">
        <v>288960.50850000011</v>
      </c>
      <c r="C53" s="61">
        <v>281245.03851779993</v>
      </c>
      <c r="D53" s="61">
        <v>323135.10559482774</v>
      </c>
      <c r="E53" s="61">
        <v>251623.67186156969</v>
      </c>
      <c r="F53" s="61">
        <v>570205.54701780027</v>
      </c>
      <c r="G53" s="61">
        <v>574758.77745639742</v>
      </c>
    </row>
    <row r="54" spans="1:7" ht="11.25" customHeight="1" x14ac:dyDescent="0.2">
      <c r="A54" s="70" t="s">
        <v>38</v>
      </c>
      <c r="B54" s="61">
        <v>105127.60050000003</v>
      </c>
      <c r="C54" s="61">
        <v>247288.08229739999</v>
      </c>
      <c r="D54" s="61">
        <v>117493.58636331072</v>
      </c>
      <c r="E54" s="61">
        <v>219580.82348573243</v>
      </c>
      <c r="F54" s="61">
        <v>352415.68279740005</v>
      </c>
      <c r="G54" s="61">
        <v>337074.40984904318</v>
      </c>
    </row>
    <row r="55" spans="1:7" ht="11.25" customHeight="1" x14ac:dyDescent="0.2">
      <c r="A55" s="71">
        <v>44136</v>
      </c>
      <c r="B55" s="61">
        <v>8052.4545000000035</v>
      </c>
      <c r="C55" s="61">
        <v>24188.996631599985</v>
      </c>
      <c r="D55" s="61">
        <v>8999.65141154706</v>
      </c>
      <c r="E55" s="61">
        <v>21478.753647628488</v>
      </c>
      <c r="F55" s="61">
        <v>32241.451131599988</v>
      </c>
      <c r="G55" s="61">
        <v>30478.405059175548</v>
      </c>
    </row>
    <row r="56" spans="1:7" ht="11.25" customHeight="1" x14ac:dyDescent="0.2">
      <c r="A56" s="71">
        <v>44166</v>
      </c>
      <c r="B56" s="61">
        <v>8086.7385000000013</v>
      </c>
      <c r="C56" s="61">
        <v>26047.162772999989</v>
      </c>
      <c r="D56" s="61">
        <v>9037.9681817931341</v>
      </c>
      <c r="E56" s="61">
        <v>23128.722573390216</v>
      </c>
      <c r="F56" s="61">
        <v>34133.901272999989</v>
      </c>
      <c r="G56" s="61">
        <v>32166.69075518335</v>
      </c>
    </row>
    <row r="57" spans="1:7" ht="11.25" customHeight="1" x14ac:dyDescent="0.2">
      <c r="A57" s="71">
        <v>44197</v>
      </c>
      <c r="B57" s="61">
        <v>8343.8685000000023</v>
      </c>
      <c r="C57" s="61">
        <v>25807.293584999989</v>
      </c>
      <c r="D57" s="61">
        <v>9325.3439586387012</v>
      </c>
      <c r="E57" s="61">
        <v>22915.729398221549</v>
      </c>
      <c r="F57" s="61">
        <v>34151.162084999989</v>
      </c>
      <c r="G57" s="61">
        <v>32241.073356860252</v>
      </c>
    </row>
    <row r="58" spans="1:7" ht="11.25" customHeight="1" x14ac:dyDescent="0.2">
      <c r="A58" s="71">
        <v>44228</v>
      </c>
      <c r="B58" s="61">
        <v>8468.1479999999992</v>
      </c>
      <c r="C58" s="61">
        <v>22632.067920599977</v>
      </c>
      <c r="D58" s="61">
        <v>9464.2422507807241</v>
      </c>
      <c r="E58" s="61">
        <v>20096.270168061485</v>
      </c>
      <c r="F58" s="61">
        <v>31100.215920599978</v>
      </c>
      <c r="G58" s="61">
        <v>29560.512418842209</v>
      </c>
    </row>
    <row r="59" spans="1:7" ht="11.25" customHeight="1" x14ac:dyDescent="0.2">
      <c r="A59" s="71">
        <v>44256</v>
      </c>
      <c r="B59" s="61">
        <v>8271.0149999999994</v>
      </c>
      <c r="C59" s="61">
        <v>24213.222736200005</v>
      </c>
      <c r="D59" s="61">
        <v>9243.9208218657895</v>
      </c>
      <c r="E59" s="61">
        <v>21500.265351502374</v>
      </c>
      <c r="F59" s="61">
        <v>32484.237736200004</v>
      </c>
      <c r="G59" s="61">
        <v>30744.186173368165</v>
      </c>
    </row>
    <row r="60" spans="1:7" ht="11.25" customHeight="1" x14ac:dyDescent="0.2">
      <c r="A60" s="71">
        <v>44287</v>
      </c>
      <c r="B60" s="61">
        <v>6659.6670000000013</v>
      </c>
      <c r="C60" s="61">
        <v>18333.079029</v>
      </c>
      <c r="D60" s="61">
        <v>7443.032620300226</v>
      </c>
      <c r="E60" s="61">
        <v>16278.959150871939</v>
      </c>
      <c r="F60" s="61">
        <v>24992.746029000002</v>
      </c>
      <c r="G60" s="61">
        <v>23721.991771172165</v>
      </c>
    </row>
    <row r="61" spans="1:7" ht="11.25" customHeight="1" x14ac:dyDescent="0.2">
      <c r="A61" s="71">
        <v>44317</v>
      </c>
      <c r="B61" s="61">
        <v>7516.7670000000007</v>
      </c>
      <c r="C61" s="61">
        <v>19557.847002600007</v>
      </c>
      <c r="D61" s="61">
        <v>8400.9518764521217</v>
      </c>
      <c r="E61" s="61">
        <v>17366.498662374182</v>
      </c>
      <c r="F61" s="61">
        <v>27074.614002600007</v>
      </c>
      <c r="G61" s="61">
        <v>25767.450538826306</v>
      </c>
    </row>
    <row r="62" spans="1:7" ht="11.25" customHeight="1" x14ac:dyDescent="0.2">
      <c r="A62" s="71">
        <v>44348</v>
      </c>
      <c r="B62" s="61">
        <v>6908.2259999999987</v>
      </c>
      <c r="C62" s="61">
        <v>17202.9602934</v>
      </c>
      <c r="D62" s="61">
        <v>7720.8292045842736</v>
      </c>
      <c r="E62" s="61">
        <v>15275.463954927704</v>
      </c>
      <c r="F62" s="61">
        <v>24111.186293399998</v>
      </c>
      <c r="G62" s="61">
        <v>22996.293159511977</v>
      </c>
    </row>
    <row r="63" spans="1:7" ht="11.25" customHeight="1" x14ac:dyDescent="0.2">
      <c r="A63" s="71">
        <v>44378</v>
      </c>
      <c r="B63" s="61">
        <v>10156.635000000004</v>
      </c>
      <c r="C63" s="61">
        <v>15074.958400199999</v>
      </c>
      <c r="D63" s="61">
        <v>11351.343185399961</v>
      </c>
      <c r="E63" s="61">
        <v>13385.892877555301</v>
      </c>
      <c r="F63" s="61">
        <v>25231.593400200003</v>
      </c>
      <c r="G63" s="61">
        <v>24737.236062955264</v>
      </c>
    </row>
    <row r="64" spans="1:7" ht="11.25" customHeight="1" x14ac:dyDescent="0.2">
      <c r="A64" s="71">
        <v>44409</v>
      </c>
      <c r="B64" s="61">
        <v>10259.487000000005</v>
      </c>
      <c r="C64" s="61">
        <v>13576.220177399999</v>
      </c>
      <c r="D64" s="61">
        <v>11466.293496138189</v>
      </c>
      <c r="E64" s="61">
        <v>12055.079964556997</v>
      </c>
      <c r="F64" s="61">
        <v>23835.707177400003</v>
      </c>
      <c r="G64" s="61">
        <v>23521.373460695184</v>
      </c>
    </row>
    <row r="65" spans="1:7" ht="11.25" customHeight="1" x14ac:dyDescent="0.2">
      <c r="A65" s="71">
        <v>44440</v>
      </c>
      <c r="B65" s="61">
        <v>11202.297</v>
      </c>
      <c r="C65" s="61">
        <v>20327.13687420002</v>
      </c>
      <c r="D65" s="61">
        <v>12520.004677905272</v>
      </c>
      <c r="E65" s="61">
        <v>18049.593868321113</v>
      </c>
      <c r="F65" s="61">
        <v>31529.433874200018</v>
      </c>
      <c r="G65" s="61">
        <v>30569.598546226385</v>
      </c>
    </row>
    <row r="66" spans="1:7" ht="11.25" customHeight="1" x14ac:dyDescent="0.2">
      <c r="A66" s="71">
        <v>44470</v>
      </c>
      <c r="B66" s="61">
        <v>11202.297</v>
      </c>
      <c r="C66" s="61">
        <v>20327.13687420002</v>
      </c>
      <c r="D66" s="61">
        <v>12520.004677905272</v>
      </c>
      <c r="E66" s="61">
        <v>18049.593868321113</v>
      </c>
      <c r="F66" s="61">
        <v>31529.433874200018</v>
      </c>
      <c r="G66" s="61">
        <v>30569.598546226385</v>
      </c>
    </row>
    <row r="67" spans="1:7" ht="11.25" customHeight="1" x14ac:dyDescent="0.2">
      <c r="A67" s="70" t="s">
        <v>37</v>
      </c>
      <c r="B67" s="61">
        <v>183832.90800000002</v>
      </c>
      <c r="C67" s="61">
        <v>33956.956220400003</v>
      </c>
      <c r="D67" s="61">
        <v>205641.51923151701</v>
      </c>
      <c r="E67" s="61">
        <v>32042.848375837271</v>
      </c>
      <c r="F67" s="61">
        <v>217789.86422040005</v>
      </c>
      <c r="G67" s="61">
        <v>237684.36760735424</v>
      </c>
    </row>
    <row r="68" spans="1:7" ht="11.25" customHeight="1" x14ac:dyDescent="0.2">
      <c r="A68" s="71">
        <v>44136</v>
      </c>
      <c r="B68" s="61">
        <v>14847.79800000001</v>
      </c>
      <c r="C68" s="61">
        <v>3163.5364275000011</v>
      </c>
      <c r="D68" s="61">
        <v>16609.233739384035</v>
      </c>
      <c r="E68" s="61">
        <v>2985.2121438647118</v>
      </c>
      <c r="F68" s="61">
        <v>18011.334427500013</v>
      </c>
      <c r="G68" s="61">
        <v>19594.445883248747</v>
      </c>
    </row>
    <row r="69" spans="1:7" ht="11.25" customHeight="1" x14ac:dyDescent="0.2">
      <c r="A69" s="71">
        <v>44166</v>
      </c>
      <c r="B69" s="61">
        <v>14990.870999999999</v>
      </c>
      <c r="C69" s="61">
        <v>3460.1740479</v>
      </c>
      <c r="D69" s="61">
        <v>16769.279888906993</v>
      </c>
      <c r="E69" s="61">
        <v>3265.1287015017606</v>
      </c>
      <c r="F69" s="61">
        <v>18451.045047899999</v>
      </c>
      <c r="G69" s="61">
        <v>20034.408590408755</v>
      </c>
    </row>
    <row r="70" spans="1:7" ht="11.25" customHeight="1" x14ac:dyDescent="0.2">
      <c r="A70" s="71">
        <v>44197</v>
      </c>
      <c r="B70" s="61">
        <v>15086.253000000004</v>
      </c>
      <c r="C70" s="61">
        <v>3419.6264594999975</v>
      </c>
      <c r="D70" s="61">
        <v>16875.977321922313</v>
      </c>
      <c r="E70" s="61">
        <v>3226.8667259974136</v>
      </c>
      <c r="F70" s="61">
        <v>18505.8794595</v>
      </c>
      <c r="G70" s="61">
        <v>20102.844047919727</v>
      </c>
    </row>
    <row r="71" spans="1:7" ht="11.25" customHeight="1" x14ac:dyDescent="0.2">
      <c r="A71" s="71">
        <v>44228</v>
      </c>
      <c r="B71" s="61">
        <v>14982.922500000006</v>
      </c>
      <c r="C71" s="61">
        <v>3042.5726888999989</v>
      </c>
      <c r="D71" s="61">
        <v>16760.388436155728</v>
      </c>
      <c r="E71" s="61">
        <v>2871.066968137633</v>
      </c>
      <c r="F71" s="61">
        <v>18025.495188900004</v>
      </c>
      <c r="G71" s="61">
        <v>19631.45540429336</v>
      </c>
    </row>
    <row r="72" spans="1:7" ht="11.25" customHeight="1" x14ac:dyDescent="0.2">
      <c r="A72" s="71">
        <v>44256</v>
      </c>
      <c r="B72" s="61">
        <v>14895.489000000005</v>
      </c>
      <c r="C72" s="61">
        <v>3374.2286810999985</v>
      </c>
      <c r="D72" s="61">
        <v>16662.582455891687</v>
      </c>
      <c r="E72" s="61">
        <v>3184.0279591647986</v>
      </c>
      <c r="F72" s="61">
        <v>18269.717681100003</v>
      </c>
      <c r="G72" s="61">
        <v>19846.610415056486</v>
      </c>
    </row>
    <row r="73" spans="1:7" ht="11.25" customHeight="1" x14ac:dyDescent="0.2">
      <c r="A73" s="71">
        <v>44287</v>
      </c>
      <c r="B73" s="61">
        <v>10802.011500000001</v>
      </c>
      <c r="C73" s="61">
        <v>2434.9893875999987</v>
      </c>
      <c r="D73" s="61">
        <v>12083.484288984417</v>
      </c>
      <c r="E73" s="61">
        <v>2297.7323184451338</v>
      </c>
      <c r="F73" s="61">
        <v>13237.000887599999</v>
      </c>
      <c r="G73" s="61">
        <v>14381.216607429551</v>
      </c>
    </row>
    <row r="74" spans="1:7" ht="11.25" customHeight="1" x14ac:dyDescent="0.2">
      <c r="A74" s="71">
        <v>44317</v>
      </c>
      <c r="B74" s="61">
        <v>11366.355000000007</v>
      </c>
      <c r="C74" s="61">
        <v>2504.5411122000019</v>
      </c>
      <c r="D74" s="61">
        <v>12714.777434325035</v>
      </c>
      <c r="E74" s="61">
        <v>2363.3635060925421</v>
      </c>
      <c r="F74" s="61">
        <v>13870.896112200009</v>
      </c>
      <c r="G74" s="61">
        <v>15078.140940417577</v>
      </c>
    </row>
    <row r="75" spans="1:7" ht="11.25" customHeight="1" x14ac:dyDescent="0.2">
      <c r="A75" s="71">
        <v>44348</v>
      </c>
      <c r="B75" s="61">
        <v>9697.17</v>
      </c>
      <c r="C75" s="61">
        <v>2459.5798509000001</v>
      </c>
      <c r="D75" s="61">
        <v>10847.572356557017</v>
      </c>
      <c r="E75" s="61">
        <v>2320.9366504794689</v>
      </c>
      <c r="F75" s="61">
        <v>12156.7498509</v>
      </c>
      <c r="G75" s="61">
        <v>13168.509007036486</v>
      </c>
    </row>
    <row r="76" spans="1:7" ht="11.25" customHeight="1" x14ac:dyDescent="0.2">
      <c r="A76" s="71">
        <v>44378</v>
      </c>
      <c r="B76" s="61">
        <v>18504.108</v>
      </c>
      <c r="C76" s="61">
        <v>2245.0559472000009</v>
      </c>
      <c r="D76" s="61">
        <v>20699.302004971098</v>
      </c>
      <c r="E76" s="61">
        <v>2118.5051700300464</v>
      </c>
      <c r="F76" s="61">
        <v>20749.163947200002</v>
      </c>
      <c r="G76" s="61">
        <v>22817.807175001144</v>
      </c>
    </row>
    <row r="77" spans="1:7" ht="11.25" customHeight="1" x14ac:dyDescent="0.2">
      <c r="A77" s="71">
        <v>44409</v>
      </c>
      <c r="B77" s="61">
        <v>18504.108</v>
      </c>
      <c r="C77" s="61">
        <v>1928.435543999999</v>
      </c>
      <c r="D77" s="61">
        <v>20699.302004971098</v>
      </c>
      <c r="E77" s="61">
        <v>1819.732232120519</v>
      </c>
      <c r="F77" s="61">
        <v>20432.543544</v>
      </c>
      <c r="G77" s="61">
        <v>22519.034237091615</v>
      </c>
    </row>
    <row r="78" spans="1:7" ht="11.25" customHeight="1" x14ac:dyDescent="0.2">
      <c r="A78" s="71">
        <v>44440</v>
      </c>
      <c r="B78" s="61">
        <v>20077.911</v>
      </c>
      <c r="C78" s="61">
        <v>2962.1080368000007</v>
      </c>
      <c r="D78" s="61">
        <v>22459.809649723793</v>
      </c>
      <c r="E78" s="61">
        <v>2795.1380000016202</v>
      </c>
      <c r="F78" s="61">
        <v>23040.0190368</v>
      </c>
      <c r="G78" s="61">
        <v>25254.947649725415</v>
      </c>
    </row>
    <row r="79" spans="1:7" ht="11.25" customHeight="1" x14ac:dyDescent="0.2">
      <c r="A79" s="71">
        <v>44470</v>
      </c>
      <c r="B79" s="61">
        <v>20077.911</v>
      </c>
      <c r="C79" s="61">
        <v>2962.1080368000007</v>
      </c>
      <c r="D79" s="61">
        <v>22459.809649723793</v>
      </c>
      <c r="E79" s="61">
        <v>2795.1380000016202</v>
      </c>
      <c r="F79" s="61">
        <v>23040.0190368</v>
      </c>
      <c r="G79" s="61">
        <v>25254.947649725415</v>
      </c>
    </row>
    <row r="80" spans="1:7" ht="11.25" customHeight="1" x14ac:dyDescent="0.2">
      <c r="A80" s="65" t="s">
        <v>36</v>
      </c>
      <c r="B80" s="61">
        <v>292986.77850000013</v>
      </c>
      <c r="C80" s="61">
        <v>1146722.3862416996</v>
      </c>
      <c r="D80" s="61">
        <v>327450.32892668311</v>
      </c>
      <c r="E80" s="61">
        <v>1090475.0473111491</v>
      </c>
      <c r="F80" s="61">
        <v>1439709.1647417</v>
      </c>
      <c r="G80" s="61">
        <v>1417925.376237832</v>
      </c>
    </row>
    <row r="81" spans="1:7" ht="11.25" customHeight="1" x14ac:dyDescent="0.2">
      <c r="A81" s="66" t="s">
        <v>61</v>
      </c>
      <c r="B81" s="61">
        <v>292986.77850000013</v>
      </c>
      <c r="C81" s="61">
        <v>1146722.3862416996</v>
      </c>
      <c r="D81" s="61">
        <v>327450.32892668311</v>
      </c>
      <c r="E81" s="61">
        <v>1090475.0473111491</v>
      </c>
      <c r="F81" s="61">
        <v>1439709.1647417</v>
      </c>
      <c r="G81" s="61">
        <v>1417925.376237832</v>
      </c>
    </row>
    <row r="82" spans="1:7" ht="11.25" customHeight="1" x14ac:dyDescent="0.2">
      <c r="A82" s="67" t="s">
        <v>53</v>
      </c>
      <c r="B82" s="61">
        <v>292986.77850000013</v>
      </c>
      <c r="C82" s="61">
        <v>1146722.3862416996</v>
      </c>
      <c r="D82" s="61">
        <v>327450.32892668311</v>
      </c>
      <c r="E82" s="61">
        <v>1090475.0473111491</v>
      </c>
      <c r="F82" s="61">
        <v>1439709.1647417</v>
      </c>
      <c r="G82" s="61">
        <v>1417925.376237832</v>
      </c>
    </row>
    <row r="83" spans="1:7" ht="11.25" customHeight="1" x14ac:dyDescent="0.2">
      <c r="A83" s="68" t="s">
        <v>25</v>
      </c>
      <c r="B83" s="61">
        <v>292986.77850000013</v>
      </c>
      <c r="C83" s="61">
        <v>1146722.3862416996</v>
      </c>
      <c r="D83" s="61">
        <v>327450.32892668311</v>
      </c>
      <c r="E83" s="61">
        <v>1090475.0473111491</v>
      </c>
      <c r="F83" s="61">
        <v>1439709.1647417</v>
      </c>
      <c r="G83" s="61">
        <v>1417925.376237832</v>
      </c>
    </row>
    <row r="84" spans="1:7" ht="11.25" customHeight="1" x14ac:dyDescent="0.2">
      <c r="A84" s="69" t="s">
        <v>25</v>
      </c>
      <c r="B84" s="61">
        <v>292986.77850000013</v>
      </c>
      <c r="C84" s="61">
        <v>1146722.3862416996</v>
      </c>
      <c r="D84" s="61">
        <v>327450.32892668311</v>
      </c>
      <c r="E84" s="61">
        <v>1090475.0473111491</v>
      </c>
      <c r="F84" s="61">
        <v>1439709.1647417</v>
      </c>
      <c r="G84" s="61">
        <v>1417925.376237832</v>
      </c>
    </row>
    <row r="85" spans="1:7" ht="11.25" customHeight="1" x14ac:dyDescent="0.2">
      <c r="A85" s="70" t="s">
        <v>38</v>
      </c>
      <c r="B85" s="61">
        <v>0</v>
      </c>
      <c r="C85" s="61">
        <v>755113.36340339994</v>
      </c>
      <c r="D85" s="61">
        <v>0</v>
      </c>
      <c r="E85" s="61">
        <v>670507.09690809494</v>
      </c>
      <c r="F85" s="61">
        <v>755113.36340339994</v>
      </c>
      <c r="G85" s="61">
        <v>670507.09690809483</v>
      </c>
    </row>
    <row r="86" spans="1:7" ht="11.25" customHeight="1" x14ac:dyDescent="0.2">
      <c r="A86" s="71">
        <v>44136</v>
      </c>
      <c r="B86" s="61">
        <v>0</v>
      </c>
      <c r="C86" s="61">
        <v>62544.387317399931</v>
      </c>
      <c r="D86" s="61">
        <v>0</v>
      </c>
      <c r="E86" s="61">
        <v>55536.63542527167</v>
      </c>
      <c r="F86" s="61">
        <v>62544.387317399931</v>
      </c>
      <c r="G86" s="61">
        <v>55536.63542527167</v>
      </c>
    </row>
    <row r="87" spans="1:7" ht="11.25" customHeight="1" x14ac:dyDescent="0.2">
      <c r="A87" s="71">
        <v>44166</v>
      </c>
      <c r="B87" s="61">
        <v>0</v>
      </c>
      <c r="C87" s="61">
        <v>64559.288496599969</v>
      </c>
      <c r="D87" s="61">
        <v>0</v>
      </c>
      <c r="E87" s="61">
        <v>57325.778096688504</v>
      </c>
      <c r="F87" s="61">
        <v>64559.288496599969</v>
      </c>
      <c r="G87" s="61">
        <v>57325.778096688504</v>
      </c>
    </row>
    <row r="88" spans="1:7" ht="11.25" customHeight="1" x14ac:dyDescent="0.2">
      <c r="A88" s="71">
        <v>44197</v>
      </c>
      <c r="B88" s="61">
        <v>0</v>
      </c>
      <c r="C88" s="61">
        <v>64363.839528599965</v>
      </c>
      <c r="D88" s="61">
        <v>0</v>
      </c>
      <c r="E88" s="61">
        <v>57152.228102106616</v>
      </c>
      <c r="F88" s="61">
        <v>64363.839528599965</v>
      </c>
      <c r="G88" s="61">
        <v>57152.228102106616</v>
      </c>
    </row>
    <row r="89" spans="1:7" ht="11.25" customHeight="1" x14ac:dyDescent="0.2">
      <c r="A89" s="71">
        <v>44228</v>
      </c>
      <c r="B89" s="61">
        <v>0</v>
      </c>
      <c r="C89" s="61">
        <v>57329.111795400022</v>
      </c>
      <c r="D89" s="61">
        <v>0</v>
      </c>
      <c r="E89" s="61">
        <v>50905.702615301125</v>
      </c>
      <c r="F89" s="61">
        <v>57329.111795400022</v>
      </c>
      <c r="G89" s="61">
        <v>50905.702615301125</v>
      </c>
    </row>
    <row r="90" spans="1:7" ht="11.25" customHeight="1" x14ac:dyDescent="0.2">
      <c r="A90" s="71">
        <v>44256</v>
      </c>
      <c r="B90" s="61">
        <v>0</v>
      </c>
      <c r="C90" s="61">
        <v>62763.003138599961</v>
      </c>
      <c r="D90" s="61">
        <v>0</v>
      </c>
      <c r="E90" s="61">
        <v>55730.756555574982</v>
      </c>
      <c r="F90" s="61">
        <v>62763.003138599961</v>
      </c>
      <c r="G90" s="61">
        <v>55730.756555574982</v>
      </c>
    </row>
    <row r="91" spans="1:7" ht="11.25" customHeight="1" x14ac:dyDescent="0.2">
      <c r="A91" s="71">
        <v>44287</v>
      </c>
      <c r="B91" s="61">
        <v>0</v>
      </c>
      <c r="C91" s="61">
        <v>59329.25179379998</v>
      </c>
      <c r="D91" s="61">
        <v>0</v>
      </c>
      <c r="E91" s="61">
        <v>52681.738014399831</v>
      </c>
      <c r="F91" s="61">
        <v>59329.25179379998</v>
      </c>
      <c r="G91" s="61">
        <v>52681.738014399831</v>
      </c>
    </row>
    <row r="92" spans="1:7" ht="11.25" customHeight="1" x14ac:dyDescent="0.2">
      <c r="A92" s="71">
        <v>44317</v>
      </c>
      <c r="B92" s="61">
        <v>0</v>
      </c>
      <c r="C92" s="61">
        <v>69364.292032800004</v>
      </c>
      <c r="D92" s="61">
        <v>0</v>
      </c>
      <c r="E92" s="61">
        <v>61592.407622577921</v>
      </c>
      <c r="F92" s="61">
        <v>69364.292032800004</v>
      </c>
      <c r="G92" s="61">
        <v>61592.407622577921</v>
      </c>
    </row>
    <row r="93" spans="1:7" ht="11.25" customHeight="1" x14ac:dyDescent="0.2">
      <c r="A93" s="71">
        <v>44348</v>
      </c>
      <c r="B93" s="61">
        <v>0</v>
      </c>
      <c r="C93" s="61">
        <v>63064.069721999978</v>
      </c>
      <c r="D93" s="61">
        <v>0</v>
      </c>
      <c r="E93" s="61">
        <v>55998.090297229006</v>
      </c>
      <c r="F93" s="61">
        <v>63064.069721999978</v>
      </c>
      <c r="G93" s="61">
        <v>55998.090297229006</v>
      </c>
    </row>
    <row r="94" spans="1:7" ht="11.25" customHeight="1" x14ac:dyDescent="0.2">
      <c r="A94" s="71">
        <v>44378</v>
      </c>
      <c r="B94" s="61">
        <v>0</v>
      </c>
      <c r="C94" s="61">
        <v>67410.007369200001</v>
      </c>
      <c r="D94" s="61">
        <v>0</v>
      </c>
      <c r="E94" s="61">
        <v>59857.089722208024</v>
      </c>
      <c r="F94" s="61">
        <v>67410.007369200001</v>
      </c>
      <c r="G94" s="61">
        <v>59857.089722208024</v>
      </c>
    </row>
    <row r="95" spans="1:7" ht="11.25" customHeight="1" x14ac:dyDescent="0.2">
      <c r="A95" s="71">
        <v>44409</v>
      </c>
      <c r="B95" s="61">
        <v>0</v>
      </c>
      <c r="C95" s="61">
        <v>68111.26596540006</v>
      </c>
      <c r="D95" s="61">
        <v>0</v>
      </c>
      <c r="E95" s="61">
        <v>60479.776180040913</v>
      </c>
      <c r="F95" s="61">
        <v>68111.26596540006</v>
      </c>
      <c r="G95" s="61">
        <v>60479.776180040913</v>
      </c>
    </row>
    <row r="96" spans="1:7" ht="11.25" customHeight="1" x14ac:dyDescent="0.2">
      <c r="A96" s="71">
        <v>44440</v>
      </c>
      <c r="B96" s="61">
        <v>0</v>
      </c>
      <c r="C96" s="61">
        <v>58137.423121800035</v>
      </c>
      <c r="D96" s="61">
        <v>0</v>
      </c>
      <c r="E96" s="61">
        <v>51623.44713834815</v>
      </c>
      <c r="F96" s="61">
        <v>58137.423121800035</v>
      </c>
      <c r="G96" s="61">
        <v>51623.44713834815</v>
      </c>
    </row>
    <row r="97" spans="1:7" ht="11.25" customHeight="1" x14ac:dyDescent="0.2">
      <c r="A97" s="71">
        <v>44470</v>
      </c>
      <c r="B97" s="61">
        <v>0</v>
      </c>
      <c r="C97" s="61">
        <v>58137.423121800035</v>
      </c>
      <c r="D97" s="61">
        <v>0</v>
      </c>
      <c r="E97" s="61">
        <v>51623.44713834815</v>
      </c>
      <c r="F97" s="61">
        <v>58137.423121800035</v>
      </c>
      <c r="G97" s="61">
        <v>51623.44713834815</v>
      </c>
    </row>
    <row r="98" spans="1:7" ht="11.25" customHeight="1" x14ac:dyDescent="0.2">
      <c r="A98" s="70" t="s">
        <v>25</v>
      </c>
      <c r="B98" s="61">
        <v>292986.77850000013</v>
      </c>
      <c r="C98" s="61">
        <v>0</v>
      </c>
      <c r="D98" s="61">
        <v>327450.32892668311</v>
      </c>
      <c r="E98" s="61">
        <v>0</v>
      </c>
      <c r="F98" s="61">
        <v>292986.77850000001</v>
      </c>
      <c r="G98" s="61">
        <v>327450.32892668305</v>
      </c>
    </row>
    <row r="99" spans="1:7" ht="11.25" customHeight="1" x14ac:dyDescent="0.2">
      <c r="A99" s="71">
        <v>44136</v>
      </c>
      <c r="B99" s="61">
        <v>23184.555</v>
      </c>
      <c r="C99" s="61">
        <v>0</v>
      </c>
      <c r="D99" s="61">
        <v>25911.715878908766</v>
      </c>
      <c r="E99" s="61">
        <v>0</v>
      </c>
      <c r="F99" s="61">
        <v>23184.555</v>
      </c>
      <c r="G99" s="61">
        <v>25911.715878908766</v>
      </c>
    </row>
    <row r="100" spans="1:7" ht="11.25" customHeight="1" x14ac:dyDescent="0.2">
      <c r="A100" s="71">
        <v>44166</v>
      </c>
      <c r="B100" s="61">
        <v>22965.994500000004</v>
      </c>
      <c r="C100" s="61">
        <v>0</v>
      </c>
      <c r="D100" s="61">
        <v>25667.446468590038</v>
      </c>
      <c r="E100" s="61">
        <v>0</v>
      </c>
      <c r="F100" s="61">
        <v>22965.994500000004</v>
      </c>
      <c r="G100" s="61">
        <v>25667.446468590038</v>
      </c>
    </row>
    <row r="101" spans="1:7" ht="11.25" customHeight="1" x14ac:dyDescent="0.2">
      <c r="A101" s="71">
        <v>44197</v>
      </c>
      <c r="B101" s="61">
        <v>23497.39650000001</v>
      </c>
      <c r="C101" s="61">
        <v>0</v>
      </c>
      <c r="D101" s="61">
        <v>26261.356407404215</v>
      </c>
      <c r="E101" s="61">
        <v>0</v>
      </c>
      <c r="F101" s="61">
        <v>23497.39650000001</v>
      </c>
      <c r="G101" s="61">
        <v>26261.356407404215</v>
      </c>
    </row>
    <row r="102" spans="1:7" ht="11.25" customHeight="1" x14ac:dyDescent="0.2">
      <c r="A102" s="71">
        <v>44228</v>
      </c>
      <c r="B102" s="61">
        <v>23231.695500000009</v>
      </c>
      <c r="C102" s="61">
        <v>0</v>
      </c>
      <c r="D102" s="61">
        <v>25964.40143799713</v>
      </c>
      <c r="E102" s="61">
        <v>0</v>
      </c>
      <c r="F102" s="61">
        <v>23231.695500000009</v>
      </c>
      <c r="G102" s="61">
        <v>25964.40143799713</v>
      </c>
    </row>
    <row r="103" spans="1:7" ht="11.25" customHeight="1" x14ac:dyDescent="0.2">
      <c r="A103" s="71">
        <v>44256</v>
      </c>
      <c r="B103" s="61">
        <v>23891.662500000002</v>
      </c>
      <c r="C103" s="61">
        <v>0</v>
      </c>
      <c r="D103" s="61">
        <v>26701.999265234077</v>
      </c>
      <c r="E103" s="61">
        <v>0</v>
      </c>
      <c r="F103" s="61">
        <v>23891.662500000002</v>
      </c>
      <c r="G103" s="61">
        <v>26701.999265234077</v>
      </c>
    </row>
    <row r="104" spans="1:7" ht="11.25" customHeight="1" x14ac:dyDescent="0.2">
      <c r="A104" s="71">
        <v>44287</v>
      </c>
      <c r="B104" s="61">
        <v>23154.556500000002</v>
      </c>
      <c r="C104" s="61">
        <v>0</v>
      </c>
      <c r="D104" s="61">
        <v>25878.188704943448</v>
      </c>
      <c r="E104" s="61">
        <v>0</v>
      </c>
      <c r="F104" s="61">
        <v>23154.556500000002</v>
      </c>
      <c r="G104" s="61">
        <v>25878.188704943448</v>
      </c>
    </row>
    <row r="105" spans="1:7" ht="11.25" customHeight="1" x14ac:dyDescent="0.2">
      <c r="A105" s="71">
        <v>44317</v>
      </c>
      <c r="B105" s="61">
        <v>31378.430999999997</v>
      </c>
      <c r="C105" s="61">
        <v>0</v>
      </c>
      <c r="D105" s="61">
        <v>35069.423967720883</v>
      </c>
      <c r="E105" s="61">
        <v>0</v>
      </c>
      <c r="F105" s="61">
        <v>31378.430999999997</v>
      </c>
      <c r="G105" s="61">
        <v>35069.423967720883</v>
      </c>
    </row>
    <row r="106" spans="1:7" ht="11.25" customHeight="1" x14ac:dyDescent="0.2">
      <c r="A106" s="71">
        <v>44348</v>
      </c>
      <c r="B106" s="61">
        <v>25224.453000000009</v>
      </c>
      <c r="C106" s="61">
        <v>0</v>
      </c>
      <c r="D106" s="61">
        <v>28191.563708550286</v>
      </c>
      <c r="E106" s="61">
        <v>0</v>
      </c>
      <c r="F106" s="61">
        <v>25224.453000000009</v>
      </c>
      <c r="G106" s="61">
        <v>28191.563708550286</v>
      </c>
    </row>
    <row r="107" spans="1:7" ht="11.25" customHeight="1" x14ac:dyDescent="0.2">
      <c r="A107" s="71">
        <v>44378</v>
      </c>
      <c r="B107" s="61">
        <v>24517.345500000003</v>
      </c>
      <c r="C107" s="61">
        <v>0</v>
      </c>
      <c r="D107" s="61">
        <v>27401.280322224964</v>
      </c>
      <c r="E107" s="61">
        <v>0</v>
      </c>
      <c r="F107" s="61">
        <v>24517.345500000003</v>
      </c>
      <c r="G107" s="61">
        <v>27401.280322224964</v>
      </c>
    </row>
    <row r="108" spans="1:7" ht="11.25" customHeight="1" x14ac:dyDescent="0.2">
      <c r="A108" s="71">
        <v>44409</v>
      </c>
      <c r="B108" s="61">
        <v>25185.883500000014</v>
      </c>
      <c r="C108" s="61">
        <v>0</v>
      </c>
      <c r="D108" s="61">
        <v>28148.457342023452</v>
      </c>
      <c r="E108" s="61">
        <v>0</v>
      </c>
      <c r="F108" s="61">
        <v>25185.883500000014</v>
      </c>
      <c r="G108" s="61">
        <v>28148.457342023452</v>
      </c>
    </row>
    <row r="109" spans="1:7" ht="11.25" customHeight="1" x14ac:dyDescent="0.2">
      <c r="A109" s="71">
        <v>44440</v>
      </c>
      <c r="B109" s="61">
        <v>23377.402500000007</v>
      </c>
      <c r="C109" s="61">
        <v>0</v>
      </c>
      <c r="D109" s="61">
        <v>26127.24771154295</v>
      </c>
      <c r="E109" s="61">
        <v>0</v>
      </c>
      <c r="F109" s="61">
        <v>23377.402500000007</v>
      </c>
      <c r="G109" s="61">
        <v>26127.24771154295</v>
      </c>
    </row>
    <row r="110" spans="1:7" ht="11.25" customHeight="1" x14ac:dyDescent="0.2">
      <c r="A110" s="71">
        <v>44470</v>
      </c>
      <c r="B110" s="61">
        <v>23377.402500000007</v>
      </c>
      <c r="C110" s="61">
        <v>0</v>
      </c>
      <c r="D110" s="61">
        <v>26127.24771154295</v>
      </c>
      <c r="E110" s="61">
        <v>0</v>
      </c>
      <c r="F110" s="61">
        <v>23377.402500000007</v>
      </c>
      <c r="G110" s="61">
        <v>26127.24771154295</v>
      </c>
    </row>
    <row r="111" spans="1:7" ht="11.25" customHeight="1" x14ac:dyDescent="0.2">
      <c r="A111" s="70" t="s">
        <v>37</v>
      </c>
      <c r="B111" s="61">
        <v>0</v>
      </c>
      <c r="C111" s="61">
        <v>391609.02283829992</v>
      </c>
      <c r="D111" s="61">
        <v>0</v>
      </c>
      <c r="E111" s="61">
        <v>419967.9504030543</v>
      </c>
      <c r="F111" s="61">
        <v>391609.02283829992</v>
      </c>
      <c r="G111" s="61">
        <v>419967.95040305436</v>
      </c>
    </row>
    <row r="112" spans="1:7" ht="11.25" customHeight="1" x14ac:dyDescent="0.2">
      <c r="A112" s="71">
        <v>44136</v>
      </c>
      <c r="B112" s="61">
        <v>0</v>
      </c>
      <c r="C112" s="61">
        <v>33571.515851099997</v>
      </c>
      <c r="D112" s="61">
        <v>0</v>
      </c>
      <c r="E112" s="61">
        <v>36002.64519372872</v>
      </c>
      <c r="F112" s="61">
        <v>33571.515851099997</v>
      </c>
      <c r="G112" s="61">
        <v>36002.64519372872</v>
      </c>
    </row>
    <row r="113" spans="1:7" ht="11.25" customHeight="1" x14ac:dyDescent="0.2">
      <c r="A113" s="71">
        <v>44166</v>
      </c>
      <c r="B113" s="61">
        <v>0</v>
      </c>
      <c r="C113" s="61">
        <v>36118.063496699993</v>
      </c>
      <c r="D113" s="61">
        <v>0</v>
      </c>
      <c r="E113" s="61">
        <v>38733.604729786064</v>
      </c>
      <c r="F113" s="61">
        <v>36118.063496699993</v>
      </c>
      <c r="G113" s="61">
        <v>38733.604729786064</v>
      </c>
    </row>
    <row r="114" spans="1:7" ht="11.25" customHeight="1" x14ac:dyDescent="0.2">
      <c r="A114" s="71">
        <v>44197</v>
      </c>
      <c r="B114" s="61">
        <v>0</v>
      </c>
      <c r="C114" s="61">
        <v>34499.547944999969</v>
      </c>
      <c r="D114" s="61">
        <v>0</v>
      </c>
      <c r="E114" s="61">
        <v>36997.8820592091</v>
      </c>
      <c r="F114" s="61">
        <v>34499.547944999969</v>
      </c>
      <c r="G114" s="61">
        <v>36997.8820592091</v>
      </c>
    </row>
    <row r="115" spans="1:7" ht="11.25" customHeight="1" x14ac:dyDescent="0.2">
      <c r="A115" s="71">
        <v>44228</v>
      </c>
      <c r="B115" s="61">
        <v>0</v>
      </c>
      <c r="C115" s="61">
        <v>31608.251069399987</v>
      </c>
      <c r="D115" s="61">
        <v>0</v>
      </c>
      <c r="E115" s="61">
        <v>33897.207784515842</v>
      </c>
      <c r="F115" s="61">
        <v>31608.251069399987</v>
      </c>
      <c r="G115" s="61">
        <v>33897.207784515842</v>
      </c>
    </row>
    <row r="116" spans="1:7" ht="11.25" customHeight="1" x14ac:dyDescent="0.2">
      <c r="A116" s="71">
        <v>44256</v>
      </c>
      <c r="B116" s="61">
        <v>0</v>
      </c>
      <c r="C116" s="61">
        <v>35655.935362199998</v>
      </c>
      <c r="D116" s="61">
        <v>0</v>
      </c>
      <c r="E116" s="61">
        <v>38238.010925376482</v>
      </c>
      <c r="F116" s="61">
        <v>35655.935362199998</v>
      </c>
      <c r="G116" s="61">
        <v>38238.010925376482</v>
      </c>
    </row>
    <row r="117" spans="1:7" ht="11.25" customHeight="1" x14ac:dyDescent="0.2">
      <c r="A117" s="71">
        <v>44287</v>
      </c>
      <c r="B117" s="61">
        <v>0</v>
      </c>
      <c r="C117" s="61">
        <v>32050.679247899978</v>
      </c>
      <c r="D117" s="61">
        <v>0</v>
      </c>
      <c r="E117" s="61">
        <v>34371.675032431929</v>
      </c>
      <c r="F117" s="61">
        <v>32050.679247899978</v>
      </c>
      <c r="G117" s="61">
        <v>34371.675032431929</v>
      </c>
    </row>
    <row r="118" spans="1:7" ht="11.25" customHeight="1" x14ac:dyDescent="0.2">
      <c r="A118" s="71">
        <v>44317</v>
      </c>
      <c r="B118" s="61">
        <v>0</v>
      </c>
      <c r="C118" s="61">
        <v>37232.09600849999</v>
      </c>
      <c r="D118" s="61">
        <v>0</v>
      </c>
      <c r="E118" s="61">
        <v>39928.311499492425</v>
      </c>
      <c r="F118" s="61">
        <v>37232.09600849999</v>
      </c>
      <c r="G118" s="61">
        <v>39928.311499492425</v>
      </c>
    </row>
    <row r="119" spans="1:7" ht="11.25" customHeight="1" x14ac:dyDescent="0.2">
      <c r="A119" s="71">
        <v>44348</v>
      </c>
      <c r="B119" s="61">
        <v>0</v>
      </c>
      <c r="C119" s="61">
        <v>35382.434306399977</v>
      </c>
      <c r="D119" s="61">
        <v>0</v>
      </c>
      <c r="E119" s="61">
        <v>37944.703899391956</v>
      </c>
      <c r="F119" s="61">
        <v>35382.434306399977</v>
      </c>
      <c r="G119" s="61">
        <v>37944.703899391956</v>
      </c>
    </row>
    <row r="120" spans="1:7" ht="11.25" customHeight="1" x14ac:dyDescent="0.2">
      <c r="A120" s="71">
        <v>44378</v>
      </c>
      <c r="B120" s="61">
        <v>0</v>
      </c>
      <c r="C120" s="61">
        <v>31746.479094000031</v>
      </c>
      <c r="D120" s="61">
        <v>0</v>
      </c>
      <c r="E120" s="61">
        <v>34045.445789245146</v>
      </c>
      <c r="F120" s="61">
        <v>31746.479094000031</v>
      </c>
      <c r="G120" s="61">
        <v>34045.445789245146</v>
      </c>
    </row>
    <row r="121" spans="1:7" ht="11.25" customHeight="1" x14ac:dyDescent="0.2">
      <c r="A121" s="71">
        <v>44409</v>
      </c>
      <c r="B121" s="61">
        <v>0</v>
      </c>
      <c r="C121" s="61">
        <v>31204.566137699981</v>
      </c>
      <c r="D121" s="61">
        <v>0</v>
      </c>
      <c r="E121" s="61">
        <v>33464.289431036916</v>
      </c>
      <c r="F121" s="61">
        <v>31204.566137699981</v>
      </c>
      <c r="G121" s="61">
        <v>33464.289431036916</v>
      </c>
    </row>
    <row r="122" spans="1:7" ht="11.25" customHeight="1" x14ac:dyDescent="0.2">
      <c r="A122" s="71">
        <v>44440</v>
      </c>
      <c r="B122" s="61">
        <v>0</v>
      </c>
      <c r="C122" s="61">
        <v>26269.7271597</v>
      </c>
      <c r="D122" s="61">
        <v>0</v>
      </c>
      <c r="E122" s="61">
        <v>28172.087029419872</v>
      </c>
      <c r="F122" s="61">
        <v>26269.7271597</v>
      </c>
      <c r="G122" s="61">
        <v>28172.087029419872</v>
      </c>
    </row>
    <row r="123" spans="1:7" ht="11.25" customHeight="1" x14ac:dyDescent="0.2">
      <c r="A123" s="71">
        <v>44470</v>
      </c>
      <c r="B123" s="61">
        <v>0</v>
      </c>
      <c r="C123" s="61">
        <v>26269.7271597</v>
      </c>
      <c r="D123" s="61">
        <v>0</v>
      </c>
      <c r="E123" s="61">
        <v>28172.087029419872</v>
      </c>
      <c r="F123" s="61">
        <v>26269.7271597</v>
      </c>
      <c r="G123" s="61">
        <v>28172.087029419872</v>
      </c>
    </row>
    <row r="124" spans="1:7" ht="11.25" customHeight="1" x14ac:dyDescent="0.2">
      <c r="A124" s="64" t="s">
        <v>41</v>
      </c>
      <c r="B124" s="61">
        <v>0</v>
      </c>
      <c r="C124" s="61">
        <v>2503706.856846299</v>
      </c>
      <c r="D124" s="61">
        <v>0</v>
      </c>
      <c r="E124" s="61">
        <v>2429387.7656380702</v>
      </c>
      <c r="F124" s="61">
        <v>2503706.8568462986</v>
      </c>
      <c r="G124" s="61">
        <v>2429387.7656380711</v>
      </c>
    </row>
    <row r="125" spans="1:7" ht="11.25" customHeight="1" x14ac:dyDescent="0.2">
      <c r="A125" s="65" t="s">
        <v>23</v>
      </c>
      <c r="B125" s="61">
        <v>0</v>
      </c>
      <c r="C125" s="61">
        <v>2503706.856846299</v>
      </c>
      <c r="D125" s="61">
        <v>0</v>
      </c>
      <c r="E125" s="61">
        <v>2429387.7656380702</v>
      </c>
      <c r="F125" s="61">
        <v>2503706.8568462986</v>
      </c>
      <c r="G125" s="61">
        <v>2429387.7656380711</v>
      </c>
    </row>
    <row r="126" spans="1:7" ht="11.25" customHeight="1" x14ac:dyDescent="0.2">
      <c r="A126" s="66" t="s">
        <v>61</v>
      </c>
      <c r="B126" s="61">
        <v>0</v>
      </c>
      <c r="C126" s="61">
        <v>2503706.856846299</v>
      </c>
      <c r="D126" s="61">
        <v>0</v>
      </c>
      <c r="E126" s="61">
        <v>2429387.7656380702</v>
      </c>
      <c r="F126" s="61">
        <v>2503706.8568462986</v>
      </c>
      <c r="G126" s="61">
        <v>2429387.7656380711</v>
      </c>
    </row>
    <row r="127" spans="1:7" ht="11.25" customHeight="1" x14ac:dyDescent="0.2">
      <c r="A127" s="67" t="s">
        <v>53</v>
      </c>
      <c r="B127" s="61">
        <v>0</v>
      </c>
      <c r="C127" s="61">
        <v>2503706.856846299</v>
      </c>
      <c r="D127" s="61">
        <v>0</v>
      </c>
      <c r="E127" s="61">
        <v>2429387.7656380702</v>
      </c>
      <c r="F127" s="61">
        <v>2503706.8568462986</v>
      </c>
      <c r="G127" s="61">
        <v>2429387.7656380711</v>
      </c>
    </row>
    <row r="128" spans="1:7" ht="11.25" customHeight="1" x14ac:dyDescent="0.2">
      <c r="A128" s="68" t="s">
        <v>25</v>
      </c>
      <c r="B128" s="61">
        <v>0</v>
      </c>
      <c r="C128" s="61">
        <v>2503706.856846299</v>
      </c>
      <c r="D128" s="61">
        <v>0</v>
      </c>
      <c r="E128" s="61">
        <v>2429387.7656380702</v>
      </c>
      <c r="F128" s="61">
        <v>2503706.8568462986</v>
      </c>
      <c r="G128" s="61">
        <v>2429387.7656380711</v>
      </c>
    </row>
    <row r="129" spans="1:7" ht="11.25" customHeight="1" x14ac:dyDescent="0.2">
      <c r="A129" s="69" t="s">
        <v>25</v>
      </c>
      <c r="B129" s="61">
        <v>0</v>
      </c>
      <c r="C129" s="61">
        <v>2503706.856846299</v>
      </c>
      <c r="D129" s="61">
        <v>0</v>
      </c>
      <c r="E129" s="61">
        <v>2429387.7656380702</v>
      </c>
      <c r="F129" s="61">
        <v>2503706.8568462986</v>
      </c>
      <c r="G129" s="61">
        <v>2429387.7656380711</v>
      </c>
    </row>
    <row r="130" spans="1:7" ht="11.25" customHeight="1" x14ac:dyDescent="0.2">
      <c r="A130" s="70" t="s">
        <v>25</v>
      </c>
      <c r="B130" s="61">
        <v>0</v>
      </c>
      <c r="C130" s="61">
        <v>2503706.856846299</v>
      </c>
      <c r="D130" s="61">
        <v>0</v>
      </c>
      <c r="E130" s="61">
        <v>2429387.7656380702</v>
      </c>
      <c r="F130" s="61">
        <v>2503706.8568462986</v>
      </c>
      <c r="G130" s="61">
        <v>2429387.7656380711</v>
      </c>
    </row>
    <row r="131" spans="1:7" ht="11.25" customHeight="1" x14ac:dyDescent="0.2">
      <c r="A131" s="71">
        <v>44136</v>
      </c>
      <c r="B131" s="61">
        <v>0</v>
      </c>
      <c r="C131" s="61">
        <v>177854.1583202999</v>
      </c>
      <c r="D131" s="61">
        <v>0</v>
      </c>
      <c r="E131" s="61">
        <v>172574.80248124668</v>
      </c>
      <c r="F131" s="61">
        <v>177854.1583202999</v>
      </c>
      <c r="G131" s="61">
        <v>172574.80248124668</v>
      </c>
    </row>
    <row r="132" spans="1:7" ht="11.25" customHeight="1" x14ac:dyDescent="0.2">
      <c r="A132" s="71">
        <v>44166</v>
      </c>
      <c r="B132" s="61">
        <v>0</v>
      </c>
      <c r="C132" s="61">
        <v>175164.23543849986</v>
      </c>
      <c r="D132" s="61">
        <v>0</v>
      </c>
      <c r="E132" s="61">
        <v>169964.72625699322</v>
      </c>
      <c r="F132" s="61">
        <v>175164.23543849986</v>
      </c>
      <c r="G132" s="61">
        <v>169964.72625699322</v>
      </c>
    </row>
    <row r="133" spans="1:7" ht="11.25" customHeight="1" x14ac:dyDescent="0.2">
      <c r="A133" s="71">
        <v>44197</v>
      </c>
      <c r="B133" s="61">
        <v>0</v>
      </c>
      <c r="C133" s="61">
        <v>181069.73275229998</v>
      </c>
      <c r="D133" s="61">
        <v>0</v>
      </c>
      <c r="E133" s="61">
        <v>175694.92701309366</v>
      </c>
      <c r="F133" s="61">
        <v>181069.73275229998</v>
      </c>
      <c r="G133" s="61">
        <v>175694.92701309366</v>
      </c>
    </row>
    <row r="134" spans="1:7" ht="11.25" customHeight="1" x14ac:dyDescent="0.2">
      <c r="A134" s="71">
        <v>44228</v>
      </c>
      <c r="B134" s="61">
        <v>0</v>
      </c>
      <c r="C134" s="61">
        <v>173238.94769579993</v>
      </c>
      <c r="D134" s="61">
        <v>0</v>
      </c>
      <c r="E134" s="61">
        <v>168096.58803040395</v>
      </c>
      <c r="F134" s="61">
        <v>173238.94769579993</v>
      </c>
      <c r="G134" s="61">
        <v>168096.58803040395</v>
      </c>
    </row>
    <row r="135" spans="1:7" ht="11.25" customHeight="1" x14ac:dyDescent="0.2">
      <c r="A135" s="71">
        <v>44256</v>
      </c>
      <c r="B135" s="61">
        <v>0</v>
      </c>
      <c r="C135" s="61">
        <v>178877.62473209994</v>
      </c>
      <c r="D135" s="61">
        <v>0</v>
      </c>
      <c r="E135" s="61">
        <v>173567.88870161213</v>
      </c>
      <c r="F135" s="61">
        <v>178877.62473209994</v>
      </c>
      <c r="G135" s="61">
        <v>173567.88870161213</v>
      </c>
    </row>
    <row r="136" spans="1:7" ht="11.25" customHeight="1" x14ac:dyDescent="0.2">
      <c r="A136" s="71">
        <v>44287</v>
      </c>
      <c r="B136" s="61">
        <v>0</v>
      </c>
      <c r="C136" s="61">
        <v>207450.92454029975</v>
      </c>
      <c r="D136" s="61">
        <v>0</v>
      </c>
      <c r="E136" s="61">
        <v>201293.02944168507</v>
      </c>
      <c r="F136" s="61">
        <v>207450.92454029975</v>
      </c>
      <c r="G136" s="61">
        <v>201293.02944168507</v>
      </c>
    </row>
    <row r="137" spans="1:7" ht="11.25" customHeight="1" x14ac:dyDescent="0.2">
      <c r="A137" s="71">
        <v>44317</v>
      </c>
      <c r="B137" s="61">
        <v>0</v>
      </c>
      <c r="C137" s="61">
        <v>234394.21771290019</v>
      </c>
      <c r="D137" s="61">
        <v>0</v>
      </c>
      <c r="E137" s="61">
        <v>227436.54804911662</v>
      </c>
      <c r="F137" s="61">
        <v>234394.21771290019</v>
      </c>
      <c r="G137" s="61">
        <v>227436.54804911662</v>
      </c>
    </row>
    <row r="138" spans="1:7" ht="11.25" customHeight="1" x14ac:dyDescent="0.2">
      <c r="A138" s="71">
        <v>44348</v>
      </c>
      <c r="B138" s="61">
        <v>0</v>
      </c>
      <c r="C138" s="61">
        <v>254160.13904189997</v>
      </c>
      <c r="D138" s="61">
        <v>0</v>
      </c>
      <c r="E138" s="61">
        <v>246615.7452150828</v>
      </c>
      <c r="F138" s="61">
        <v>254160.13904189997</v>
      </c>
      <c r="G138" s="61">
        <v>246615.7452150828</v>
      </c>
    </row>
    <row r="139" spans="1:7" ht="11.25" customHeight="1" x14ac:dyDescent="0.2">
      <c r="A139" s="71">
        <v>44378</v>
      </c>
      <c r="B139" s="61">
        <v>0</v>
      </c>
      <c r="C139" s="61">
        <v>246261.07295999987</v>
      </c>
      <c r="D139" s="61">
        <v>0</v>
      </c>
      <c r="E139" s="61">
        <v>238951.15203523004</v>
      </c>
      <c r="F139" s="61">
        <v>246261.07295999987</v>
      </c>
      <c r="G139" s="61">
        <v>238951.15203523004</v>
      </c>
    </row>
    <row r="140" spans="1:7" ht="11.25" customHeight="1" x14ac:dyDescent="0.2">
      <c r="A140" s="71">
        <v>44409</v>
      </c>
      <c r="B140" s="61">
        <v>0</v>
      </c>
      <c r="C140" s="61">
        <v>253466.78080500002</v>
      </c>
      <c r="D140" s="61">
        <v>0</v>
      </c>
      <c r="E140" s="61">
        <v>245942.96836290334</v>
      </c>
      <c r="F140" s="61">
        <v>253466.78080500002</v>
      </c>
      <c r="G140" s="61">
        <v>245942.96836290334</v>
      </c>
    </row>
    <row r="141" spans="1:7" ht="11.25" customHeight="1" x14ac:dyDescent="0.2">
      <c r="A141" s="71">
        <v>44440</v>
      </c>
      <c r="B141" s="61">
        <v>0</v>
      </c>
      <c r="C141" s="61">
        <v>210884.51142359982</v>
      </c>
      <c r="D141" s="61">
        <v>0</v>
      </c>
      <c r="E141" s="61">
        <v>204624.69502535148</v>
      </c>
      <c r="F141" s="61">
        <v>210884.51142359982</v>
      </c>
      <c r="G141" s="61">
        <v>204624.69502535148</v>
      </c>
    </row>
    <row r="142" spans="1:7" ht="11.25" customHeight="1" x14ac:dyDescent="0.2">
      <c r="A142" s="71">
        <v>44470</v>
      </c>
      <c r="B142" s="61">
        <v>0</v>
      </c>
      <c r="C142" s="61">
        <v>210884.51142359982</v>
      </c>
      <c r="D142" s="61">
        <v>0</v>
      </c>
      <c r="E142" s="61">
        <v>204624.69502535148</v>
      </c>
      <c r="F142" s="61">
        <v>210884.51142359982</v>
      </c>
      <c r="G142" s="61">
        <v>204624.69502535148</v>
      </c>
    </row>
    <row r="143" spans="1:7" ht="11.25" customHeight="1" x14ac:dyDescent="0.2">
      <c r="A143" s="63" t="s">
        <v>845</v>
      </c>
      <c r="B143" s="61">
        <v>0</v>
      </c>
      <c r="C143" s="61">
        <v>69144902.109499991</v>
      </c>
      <c r="D143" s="61">
        <v>0</v>
      </c>
      <c r="E143" s="61">
        <v>65263741.553311557</v>
      </c>
      <c r="F143" s="61">
        <v>69144902.109500065</v>
      </c>
      <c r="G143" s="61">
        <v>65263741.553311549</v>
      </c>
    </row>
    <row r="144" spans="1:7" ht="11.25" customHeight="1" x14ac:dyDescent="0.2">
      <c r="A144" s="64" t="s">
        <v>22</v>
      </c>
      <c r="B144" s="61">
        <v>0</v>
      </c>
      <c r="C144" s="61">
        <v>69144902.109499991</v>
      </c>
      <c r="D144" s="61">
        <v>0</v>
      </c>
      <c r="E144" s="61">
        <v>65263741.553311557</v>
      </c>
      <c r="F144" s="61">
        <v>69144902.109500065</v>
      </c>
      <c r="G144" s="61">
        <v>65263741.553311549</v>
      </c>
    </row>
    <row r="145" spans="1:7" ht="11.25" customHeight="1" x14ac:dyDescent="0.2">
      <c r="A145" s="65" t="s">
        <v>23</v>
      </c>
      <c r="B145" s="61">
        <v>0</v>
      </c>
      <c r="C145" s="61">
        <v>69144902.109499991</v>
      </c>
      <c r="D145" s="61">
        <v>0</v>
      </c>
      <c r="E145" s="61">
        <v>65263741.553311557</v>
      </c>
      <c r="F145" s="61">
        <v>69144902.109500065</v>
      </c>
      <c r="G145" s="61">
        <v>65263741.553311549</v>
      </c>
    </row>
    <row r="146" spans="1:7" ht="11.25" customHeight="1" x14ac:dyDescent="0.2">
      <c r="A146" s="66" t="s">
        <v>24</v>
      </c>
      <c r="B146" s="61">
        <v>0</v>
      </c>
      <c r="C146" s="61">
        <v>69144902.109499991</v>
      </c>
      <c r="D146" s="61">
        <v>0</v>
      </c>
      <c r="E146" s="61">
        <v>65263741.553311557</v>
      </c>
      <c r="F146" s="61">
        <v>69144902.109500065</v>
      </c>
      <c r="G146" s="61">
        <v>65263741.553311549</v>
      </c>
    </row>
    <row r="147" spans="1:7" ht="11.25" customHeight="1" x14ac:dyDescent="0.2">
      <c r="A147" s="67" t="s">
        <v>31</v>
      </c>
      <c r="B147" s="61">
        <v>0</v>
      </c>
      <c r="C147" s="61">
        <v>31345611.864320002</v>
      </c>
      <c r="D147" s="61">
        <v>0</v>
      </c>
      <c r="E147" s="61">
        <v>29585778.666594133</v>
      </c>
      <c r="F147" s="61">
        <v>31345611.86432001</v>
      </c>
      <c r="G147" s="61">
        <v>29585778.666594144</v>
      </c>
    </row>
    <row r="148" spans="1:7" ht="11.25" customHeight="1" x14ac:dyDescent="0.2">
      <c r="A148" s="68" t="s">
        <v>25</v>
      </c>
      <c r="B148" s="61">
        <v>0</v>
      </c>
      <c r="C148" s="61">
        <v>31345611.864320002</v>
      </c>
      <c r="D148" s="61">
        <v>0</v>
      </c>
      <c r="E148" s="61">
        <v>29585778.666594133</v>
      </c>
      <c r="F148" s="61">
        <v>31345611.86432001</v>
      </c>
      <c r="G148" s="61">
        <v>29585778.666594144</v>
      </c>
    </row>
    <row r="149" spans="1:7" ht="11.25" customHeight="1" x14ac:dyDescent="0.2">
      <c r="A149" s="69" t="s">
        <v>25</v>
      </c>
      <c r="B149" s="61">
        <v>0</v>
      </c>
      <c r="C149" s="61">
        <v>31345611.864320002</v>
      </c>
      <c r="D149" s="61">
        <v>0</v>
      </c>
      <c r="E149" s="61">
        <v>29585778.666594133</v>
      </c>
      <c r="F149" s="61">
        <v>31345611.86432001</v>
      </c>
      <c r="G149" s="61">
        <v>29585778.666594144</v>
      </c>
    </row>
    <row r="150" spans="1:7" ht="11.25" customHeight="1" x14ac:dyDescent="0.2">
      <c r="A150" s="70" t="s">
        <v>25</v>
      </c>
      <c r="B150" s="61">
        <v>0</v>
      </c>
      <c r="C150" s="61">
        <v>31345611.864320002</v>
      </c>
      <c r="D150" s="61">
        <v>0</v>
      </c>
      <c r="E150" s="61">
        <v>29585778.666594133</v>
      </c>
      <c r="F150" s="61">
        <v>31345611.86432001</v>
      </c>
      <c r="G150" s="61">
        <v>29585778.666594144</v>
      </c>
    </row>
    <row r="151" spans="1:7" ht="11.25" customHeight="1" x14ac:dyDescent="0.2">
      <c r="A151" s="71">
        <v>44136</v>
      </c>
      <c r="B151" s="61">
        <v>0</v>
      </c>
      <c r="C151" s="61">
        <v>2530099.3302700007</v>
      </c>
      <c r="D151" s="61">
        <v>0</v>
      </c>
      <c r="E151" s="61">
        <v>2388052.245203482</v>
      </c>
      <c r="F151" s="61">
        <v>2530099.3302700007</v>
      </c>
      <c r="G151" s="61">
        <v>2388052.245203482</v>
      </c>
    </row>
    <row r="152" spans="1:7" ht="11.25" customHeight="1" x14ac:dyDescent="0.2">
      <c r="A152" s="71">
        <v>44166</v>
      </c>
      <c r="B152" s="61">
        <v>0</v>
      </c>
      <c r="C152" s="61">
        <v>2766875.4967900007</v>
      </c>
      <c r="D152" s="61">
        <v>0</v>
      </c>
      <c r="E152" s="61">
        <v>2611535.1137628038</v>
      </c>
      <c r="F152" s="61">
        <v>2766875.4967900007</v>
      </c>
      <c r="G152" s="61">
        <v>2611535.1137628038</v>
      </c>
    </row>
    <row r="153" spans="1:7" ht="11.25" customHeight="1" x14ac:dyDescent="0.2">
      <c r="A153" s="71">
        <v>44197</v>
      </c>
      <c r="B153" s="61">
        <v>0</v>
      </c>
      <c r="C153" s="61">
        <v>2824625.6760900002</v>
      </c>
      <c r="D153" s="61">
        <v>0</v>
      </c>
      <c r="E153" s="61">
        <v>2666043.0311747068</v>
      </c>
      <c r="F153" s="61">
        <v>2824625.6760900002</v>
      </c>
      <c r="G153" s="61">
        <v>2666043.0311747068</v>
      </c>
    </row>
    <row r="154" spans="1:7" ht="11.25" customHeight="1" x14ac:dyDescent="0.2">
      <c r="A154" s="71">
        <v>44228</v>
      </c>
      <c r="B154" s="61">
        <v>0</v>
      </c>
      <c r="C154" s="61">
        <v>2816695.8651100006</v>
      </c>
      <c r="D154" s="61">
        <v>0</v>
      </c>
      <c r="E154" s="61">
        <v>2658558.4226898667</v>
      </c>
      <c r="F154" s="61">
        <v>2816695.8651100006</v>
      </c>
      <c r="G154" s="61">
        <v>2658558.4226898667</v>
      </c>
    </row>
    <row r="155" spans="1:7" ht="11.25" customHeight="1" x14ac:dyDescent="0.2">
      <c r="A155" s="71">
        <v>44256</v>
      </c>
      <c r="B155" s="61">
        <v>0</v>
      </c>
      <c r="C155" s="61">
        <v>2876382.1227300004</v>
      </c>
      <c r="D155" s="61">
        <v>0</v>
      </c>
      <c r="E155" s="61">
        <v>2714893.7213921607</v>
      </c>
      <c r="F155" s="61">
        <v>2876382.1227300004</v>
      </c>
      <c r="G155" s="61">
        <v>2714893.7213921607</v>
      </c>
    </row>
    <row r="156" spans="1:7" ht="11.25" customHeight="1" x14ac:dyDescent="0.2">
      <c r="A156" s="71">
        <v>44287</v>
      </c>
      <c r="B156" s="61">
        <v>0</v>
      </c>
      <c r="C156" s="61">
        <v>2487610.435000001</v>
      </c>
      <c r="D156" s="61">
        <v>0</v>
      </c>
      <c r="E156" s="61">
        <v>2347948.7992510609</v>
      </c>
      <c r="F156" s="61">
        <v>2487610.435000001</v>
      </c>
      <c r="G156" s="61">
        <v>2347948.7992510609</v>
      </c>
    </row>
    <row r="157" spans="1:7" ht="11.25" customHeight="1" x14ac:dyDescent="0.2">
      <c r="A157" s="71">
        <v>44317</v>
      </c>
      <c r="B157" s="61">
        <v>0</v>
      </c>
      <c r="C157" s="61">
        <v>2486908.99486</v>
      </c>
      <c r="D157" s="61">
        <v>0</v>
      </c>
      <c r="E157" s="61">
        <v>2347286.7399867619</v>
      </c>
      <c r="F157" s="61">
        <v>2486908.99486</v>
      </c>
      <c r="G157" s="61">
        <v>2347286.7399867619</v>
      </c>
    </row>
    <row r="158" spans="1:7" ht="11.25" customHeight="1" x14ac:dyDescent="0.2">
      <c r="A158" s="71">
        <v>44348</v>
      </c>
      <c r="B158" s="61">
        <v>0</v>
      </c>
      <c r="C158" s="61">
        <v>2513232.4126600004</v>
      </c>
      <c r="D158" s="61">
        <v>0</v>
      </c>
      <c r="E158" s="61">
        <v>2372132.2850713539</v>
      </c>
      <c r="F158" s="61">
        <v>2513232.4126600004</v>
      </c>
      <c r="G158" s="61">
        <v>2372132.2850713539</v>
      </c>
    </row>
    <row r="159" spans="1:7" ht="11.25" customHeight="1" x14ac:dyDescent="0.2">
      <c r="A159" s="71">
        <v>44378</v>
      </c>
      <c r="B159" s="61">
        <v>0</v>
      </c>
      <c r="C159" s="61">
        <v>2501021.4873200008</v>
      </c>
      <c r="D159" s="61">
        <v>0</v>
      </c>
      <c r="E159" s="61">
        <v>2360606.9163534832</v>
      </c>
      <c r="F159" s="61">
        <v>2501021.4873200008</v>
      </c>
      <c r="G159" s="61">
        <v>2360606.9163534832</v>
      </c>
    </row>
    <row r="160" spans="1:7" ht="11.25" customHeight="1" x14ac:dyDescent="0.2">
      <c r="A160" s="71">
        <v>44409</v>
      </c>
      <c r="B160" s="61">
        <v>0</v>
      </c>
      <c r="C160" s="61">
        <v>2510651.4062900003</v>
      </c>
      <c r="D160" s="61">
        <v>0</v>
      </c>
      <c r="E160" s="61">
        <v>2369696.1838546856</v>
      </c>
      <c r="F160" s="61">
        <v>2510651.4062900003</v>
      </c>
      <c r="G160" s="61">
        <v>2369696.1838546856</v>
      </c>
    </row>
    <row r="161" spans="1:7" ht="11.25" customHeight="1" x14ac:dyDescent="0.2">
      <c r="A161" s="71">
        <v>44440</v>
      </c>
      <c r="B161" s="61">
        <v>0</v>
      </c>
      <c r="C161" s="61">
        <v>2515754.3186000003</v>
      </c>
      <c r="D161" s="61">
        <v>0</v>
      </c>
      <c r="E161" s="61">
        <v>2374512.6039268849</v>
      </c>
      <c r="F161" s="61">
        <v>2515754.3186000003</v>
      </c>
      <c r="G161" s="61">
        <v>2374512.6039268849</v>
      </c>
    </row>
    <row r="162" spans="1:7" ht="11.25" customHeight="1" x14ac:dyDescent="0.2">
      <c r="A162" s="71">
        <v>44470</v>
      </c>
      <c r="B162" s="61">
        <v>0</v>
      </c>
      <c r="C162" s="61">
        <v>2515754.3186000003</v>
      </c>
      <c r="D162" s="61">
        <v>0</v>
      </c>
      <c r="E162" s="61">
        <v>2374512.6039268849</v>
      </c>
      <c r="F162" s="61">
        <v>2515754.3186000003</v>
      </c>
      <c r="G162" s="61">
        <v>2374512.6039268849</v>
      </c>
    </row>
    <row r="163" spans="1:7" ht="11.25" customHeight="1" x14ac:dyDescent="0.2">
      <c r="A163" s="67" t="s">
        <v>32</v>
      </c>
      <c r="B163" s="61">
        <v>0</v>
      </c>
      <c r="C163" s="61">
        <v>30950375.844180003</v>
      </c>
      <c r="D163" s="61">
        <v>0</v>
      </c>
      <c r="E163" s="61">
        <v>29212816.985690087</v>
      </c>
      <c r="F163" s="61">
        <v>30950375.844180003</v>
      </c>
      <c r="G163" s="61">
        <v>29212816.98569008</v>
      </c>
    </row>
    <row r="164" spans="1:7" ht="11.25" customHeight="1" x14ac:dyDescent="0.2">
      <c r="A164" s="68" t="s">
        <v>25</v>
      </c>
      <c r="B164" s="61">
        <v>0</v>
      </c>
      <c r="C164" s="61">
        <v>30950375.844180003</v>
      </c>
      <c r="D164" s="61">
        <v>0</v>
      </c>
      <c r="E164" s="61">
        <v>29212816.985690087</v>
      </c>
      <c r="F164" s="61">
        <v>30950375.844180003</v>
      </c>
      <c r="G164" s="61">
        <v>29212816.98569008</v>
      </c>
    </row>
    <row r="165" spans="1:7" ht="11.25" customHeight="1" x14ac:dyDescent="0.2">
      <c r="A165" s="69" t="s">
        <v>25</v>
      </c>
      <c r="B165" s="61">
        <v>0</v>
      </c>
      <c r="C165" s="61">
        <v>30950375.844180003</v>
      </c>
      <c r="D165" s="61">
        <v>0</v>
      </c>
      <c r="E165" s="61">
        <v>29212816.985690087</v>
      </c>
      <c r="F165" s="61">
        <v>30950375.844180003</v>
      </c>
      <c r="G165" s="61">
        <v>29212816.98569008</v>
      </c>
    </row>
    <row r="166" spans="1:7" ht="11.25" customHeight="1" x14ac:dyDescent="0.2">
      <c r="A166" s="70" t="s">
        <v>25</v>
      </c>
      <c r="B166" s="61">
        <v>0</v>
      </c>
      <c r="C166" s="61">
        <v>30950375.844180003</v>
      </c>
      <c r="D166" s="61">
        <v>0</v>
      </c>
      <c r="E166" s="61">
        <v>29212816.985690087</v>
      </c>
      <c r="F166" s="61">
        <v>30950375.844180003</v>
      </c>
      <c r="G166" s="61">
        <v>29212816.98569008</v>
      </c>
    </row>
    <row r="167" spans="1:7" ht="11.25" customHeight="1" x14ac:dyDescent="0.2">
      <c r="A167" s="71">
        <v>44136</v>
      </c>
      <c r="B167" s="61">
        <v>0</v>
      </c>
      <c r="C167" s="61">
        <v>2375035.8500400004</v>
      </c>
      <c r="D167" s="61">
        <v>0</v>
      </c>
      <c r="E167" s="61">
        <v>2241700.9722587294</v>
      </c>
      <c r="F167" s="61">
        <v>2375035.8500400004</v>
      </c>
      <c r="G167" s="61">
        <v>2241700.9722587294</v>
      </c>
    </row>
    <row r="168" spans="1:7" ht="11.25" customHeight="1" x14ac:dyDescent="0.2">
      <c r="A168" s="71">
        <v>44166</v>
      </c>
      <c r="B168" s="61">
        <v>0</v>
      </c>
      <c r="C168" s="61">
        <v>2615768.5590300006</v>
      </c>
      <c r="D168" s="61">
        <v>0</v>
      </c>
      <c r="E168" s="61">
        <v>2468918.9099535528</v>
      </c>
      <c r="F168" s="61">
        <v>2615768.5590300006</v>
      </c>
      <c r="G168" s="61">
        <v>2468918.9099535528</v>
      </c>
    </row>
    <row r="169" spans="1:7" ht="11.25" customHeight="1" x14ac:dyDescent="0.2">
      <c r="A169" s="71">
        <v>44197</v>
      </c>
      <c r="B169" s="61">
        <v>0</v>
      </c>
      <c r="C169" s="61">
        <v>2633030.2148400005</v>
      </c>
      <c r="D169" s="61">
        <v>0</v>
      </c>
      <c r="E169" s="61">
        <v>2485211.493752413</v>
      </c>
      <c r="F169" s="61">
        <v>2633030.2148400005</v>
      </c>
      <c r="G169" s="61">
        <v>2485211.493752413</v>
      </c>
    </row>
    <row r="170" spans="1:7" ht="11.25" customHeight="1" x14ac:dyDescent="0.2">
      <c r="A170" s="71">
        <v>44228</v>
      </c>
      <c r="B170" s="61">
        <v>0</v>
      </c>
      <c r="C170" s="61">
        <v>2520140.4246900002</v>
      </c>
      <c r="D170" s="61">
        <v>0</v>
      </c>
      <c r="E170" s="61">
        <v>2378659.353778156</v>
      </c>
      <c r="F170" s="61">
        <v>2520140.4246900002</v>
      </c>
      <c r="G170" s="61">
        <v>2378659.353778156</v>
      </c>
    </row>
    <row r="171" spans="1:7" ht="11.25" customHeight="1" x14ac:dyDescent="0.2">
      <c r="A171" s="71">
        <v>44256</v>
      </c>
      <c r="B171" s="61">
        <v>0</v>
      </c>
      <c r="C171" s="61">
        <v>2555366.7008700003</v>
      </c>
      <c r="D171" s="61">
        <v>0</v>
      </c>
      <c r="E171" s="61">
        <v>2411908.0213973969</v>
      </c>
      <c r="F171" s="61">
        <v>2555366.7008700003</v>
      </c>
      <c r="G171" s="61">
        <v>2411908.0213973969</v>
      </c>
    </row>
    <row r="172" spans="1:7" ht="11.25" customHeight="1" x14ac:dyDescent="0.2">
      <c r="A172" s="71">
        <v>44287</v>
      </c>
      <c r="B172" s="61">
        <v>0</v>
      </c>
      <c r="C172" s="61">
        <v>2561244.2066700007</v>
      </c>
      <c r="D172" s="61">
        <v>0</v>
      </c>
      <c r="E172" s="61">
        <v>2417455.5631181225</v>
      </c>
      <c r="F172" s="61">
        <v>2561244.2066700007</v>
      </c>
      <c r="G172" s="61">
        <v>2417455.5631181225</v>
      </c>
    </row>
    <row r="173" spans="1:7" ht="11.25" customHeight="1" x14ac:dyDescent="0.2">
      <c r="A173" s="71">
        <v>44317</v>
      </c>
      <c r="B173" s="61">
        <v>0</v>
      </c>
      <c r="C173" s="61">
        <v>2564138.6260799998</v>
      </c>
      <c r="D173" s="61">
        <v>0</v>
      </c>
      <c r="E173" s="61">
        <v>2420187.4893774302</v>
      </c>
      <c r="F173" s="61">
        <v>2564138.6260799998</v>
      </c>
      <c r="G173" s="61">
        <v>2420187.4893774302</v>
      </c>
    </row>
    <row r="174" spans="1:7" ht="11.25" customHeight="1" x14ac:dyDescent="0.2">
      <c r="A174" s="71">
        <v>44348</v>
      </c>
      <c r="B174" s="61">
        <v>0</v>
      </c>
      <c r="C174" s="61">
        <v>2630436.8384100008</v>
      </c>
      <c r="D174" s="61">
        <v>0</v>
      </c>
      <c r="E174" s="61">
        <v>2482763.7098739226</v>
      </c>
      <c r="F174" s="61">
        <v>2630436.8384100008</v>
      </c>
      <c r="G174" s="61">
        <v>2482763.7098739226</v>
      </c>
    </row>
    <row r="175" spans="1:7" ht="11.25" customHeight="1" x14ac:dyDescent="0.2">
      <c r="A175" s="71">
        <v>44378</v>
      </c>
      <c r="B175" s="61">
        <v>0</v>
      </c>
      <c r="C175" s="61">
        <v>2557701.5095199998</v>
      </c>
      <c r="D175" s="61">
        <v>0</v>
      </c>
      <c r="E175" s="61">
        <v>2414111.7535308106</v>
      </c>
      <c r="F175" s="61">
        <v>2557701.5095199998</v>
      </c>
      <c r="G175" s="61">
        <v>2414111.7535308106</v>
      </c>
    </row>
    <row r="176" spans="1:7" ht="11.25" customHeight="1" x14ac:dyDescent="0.2">
      <c r="A176" s="71">
        <v>44409</v>
      </c>
      <c r="B176" s="61">
        <v>0</v>
      </c>
      <c r="C176" s="61">
        <v>2621271.7521299999</v>
      </c>
      <c r="D176" s="61">
        <v>0</v>
      </c>
      <c r="E176" s="61">
        <v>2474113.1529468065</v>
      </c>
      <c r="F176" s="61">
        <v>2621271.7521299999</v>
      </c>
      <c r="G176" s="61">
        <v>2474113.1529468065</v>
      </c>
    </row>
    <row r="177" spans="1:7" ht="11.25" customHeight="1" x14ac:dyDescent="0.2">
      <c r="A177" s="71">
        <v>44440</v>
      </c>
      <c r="B177" s="61">
        <v>0</v>
      </c>
      <c r="C177" s="61">
        <v>2658120.5809500003</v>
      </c>
      <c r="D177" s="61">
        <v>0</v>
      </c>
      <c r="E177" s="61">
        <v>2508893.2828513719</v>
      </c>
      <c r="F177" s="61">
        <v>2658120.5809500003</v>
      </c>
      <c r="G177" s="61">
        <v>2508893.2828513719</v>
      </c>
    </row>
    <row r="178" spans="1:7" ht="11.25" customHeight="1" x14ac:dyDescent="0.2">
      <c r="A178" s="71">
        <v>44470</v>
      </c>
      <c r="B178" s="61">
        <v>0</v>
      </c>
      <c r="C178" s="61">
        <v>2658120.5809500003</v>
      </c>
      <c r="D178" s="61">
        <v>0</v>
      </c>
      <c r="E178" s="61">
        <v>2508893.2828513719</v>
      </c>
      <c r="F178" s="61">
        <v>2658120.5809500003</v>
      </c>
      <c r="G178" s="61">
        <v>2508893.2828513719</v>
      </c>
    </row>
    <row r="179" spans="1:7" ht="11.25" customHeight="1" x14ac:dyDescent="0.2">
      <c r="A179" s="67" t="s">
        <v>33</v>
      </c>
      <c r="B179" s="61">
        <v>0</v>
      </c>
      <c r="C179" s="61">
        <v>6848914.4010000043</v>
      </c>
      <c r="D179" s="61">
        <v>0</v>
      </c>
      <c r="E179" s="61">
        <v>6465145.9010273619</v>
      </c>
      <c r="F179" s="61">
        <v>6848914.4010000024</v>
      </c>
      <c r="G179" s="61">
        <v>6465145.9010273628</v>
      </c>
    </row>
    <row r="180" spans="1:7" ht="11.25" customHeight="1" x14ac:dyDescent="0.2">
      <c r="A180" s="68" t="s">
        <v>25</v>
      </c>
      <c r="B180" s="61">
        <v>0</v>
      </c>
      <c r="C180" s="61">
        <v>6848914.4010000043</v>
      </c>
      <c r="D180" s="61">
        <v>0</v>
      </c>
      <c r="E180" s="61">
        <v>6465145.9010273619</v>
      </c>
      <c r="F180" s="61">
        <v>6848914.4010000024</v>
      </c>
      <c r="G180" s="61">
        <v>6465145.9010273628</v>
      </c>
    </row>
    <row r="181" spans="1:7" ht="11.25" customHeight="1" x14ac:dyDescent="0.2">
      <c r="A181" s="69" t="s">
        <v>25</v>
      </c>
      <c r="B181" s="61">
        <v>0</v>
      </c>
      <c r="C181" s="61">
        <v>6848914.4010000043</v>
      </c>
      <c r="D181" s="61">
        <v>0</v>
      </c>
      <c r="E181" s="61">
        <v>6465145.9010273619</v>
      </c>
      <c r="F181" s="61">
        <v>6848914.4010000024</v>
      </c>
      <c r="G181" s="61">
        <v>6465145.9010273628</v>
      </c>
    </row>
    <row r="182" spans="1:7" ht="11.25" customHeight="1" x14ac:dyDescent="0.2">
      <c r="A182" s="70" t="s">
        <v>25</v>
      </c>
      <c r="B182" s="61">
        <v>0</v>
      </c>
      <c r="C182" s="61">
        <v>6848914.4010000043</v>
      </c>
      <c r="D182" s="61">
        <v>0</v>
      </c>
      <c r="E182" s="61">
        <v>6465145.9010273619</v>
      </c>
      <c r="F182" s="61">
        <v>6848914.4010000024</v>
      </c>
      <c r="G182" s="61">
        <v>6465145.9010273628</v>
      </c>
    </row>
    <row r="183" spans="1:7" ht="11.25" customHeight="1" x14ac:dyDescent="0.2">
      <c r="A183" s="71">
        <v>44136</v>
      </c>
      <c r="B183" s="61">
        <v>0</v>
      </c>
      <c r="C183" s="61">
        <v>531645.06444000034</v>
      </c>
      <c r="D183" s="61">
        <v>0</v>
      </c>
      <c r="E183" s="61">
        <v>501855.14198627422</v>
      </c>
      <c r="F183" s="61">
        <v>531645.06444000034</v>
      </c>
      <c r="G183" s="61">
        <v>501855.14198627422</v>
      </c>
    </row>
    <row r="184" spans="1:7" ht="11.25" customHeight="1" x14ac:dyDescent="0.2">
      <c r="A184" s="71">
        <v>44166</v>
      </c>
      <c r="B184" s="61">
        <v>0</v>
      </c>
      <c r="C184" s="61">
        <v>572291.7589200004</v>
      </c>
      <c r="D184" s="61">
        <v>0</v>
      </c>
      <c r="E184" s="61">
        <v>540224.26077235723</v>
      </c>
      <c r="F184" s="61">
        <v>572291.7589200004</v>
      </c>
      <c r="G184" s="61">
        <v>540224.26077235723</v>
      </c>
    </row>
    <row r="185" spans="1:7" ht="11.25" customHeight="1" x14ac:dyDescent="0.2">
      <c r="A185" s="71">
        <v>44197</v>
      </c>
      <c r="B185" s="61">
        <v>0</v>
      </c>
      <c r="C185" s="61">
        <v>568426.8198000004</v>
      </c>
      <c r="D185" s="61">
        <v>0</v>
      </c>
      <c r="E185" s="61">
        <v>536575.88763664686</v>
      </c>
      <c r="F185" s="61">
        <v>568426.8198000004</v>
      </c>
      <c r="G185" s="61">
        <v>536575.88763664686</v>
      </c>
    </row>
    <row r="186" spans="1:7" ht="11.25" customHeight="1" x14ac:dyDescent="0.2">
      <c r="A186" s="71">
        <v>44228</v>
      </c>
      <c r="B186" s="61">
        <v>0</v>
      </c>
      <c r="C186" s="61">
        <v>504352.98816000036</v>
      </c>
      <c r="D186" s="61">
        <v>0</v>
      </c>
      <c r="E186" s="61">
        <v>476092.33568424114</v>
      </c>
      <c r="F186" s="61">
        <v>504352.98816000036</v>
      </c>
      <c r="G186" s="61">
        <v>476092.33568424114</v>
      </c>
    </row>
    <row r="187" spans="1:7" ht="11.25" customHeight="1" x14ac:dyDescent="0.2">
      <c r="A187" s="71">
        <v>44256</v>
      </c>
      <c r="B187" s="61">
        <v>0</v>
      </c>
      <c r="C187" s="61">
        <v>522698.94012000028</v>
      </c>
      <c r="D187" s="61">
        <v>0</v>
      </c>
      <c r="E187" s="61">
        <v>493410.30013380718</v>
      </c>
      <c r="F187" s="61">
        <v>522698.94012000028</v>
      </c>
      <c r="G187" s="61">
        <v>493410.30013380718</v>
      </c>
    </row>
    <row r="188" spans="1:7" ht="11.25" customHeight="1" x14ac:dyDescent="0.2">
      <c r="A188" s="71">
        <v>44287</v>
      </c>
      <c r="B188" s="61">
        <v>0</v>
      </c>
      <c r="C188" s="61">
        <v>569097.12216000038</v>
      </c>
      <c r="D188" s="61">
        <v>0</v>
      </c>
      <c r="E188" s="61">
        <v>537208.63062356028</v>
      </c>
      <c r="F188" s="61">
        <v>569097.12216000038</v>
      </c>
      <c r="G188" s="61">
        <v>537208.63062356028</v>
      </c>
    </row>
    <row r="189" spans="1:7" ht="11.25" customHeight="1" x14ac:dyDescent="0.2">
      <c r="A189" s="71">
        <v>44317</v>
      </c>
      <c r="B189" s="61">
        <v>0</v>
      </c>
      <c r="C189" s="61">
        <v>563474.04120000033</v>
      </c>
      <c r="D189" s="61">
        <v>0</v>
      </c>
      <c r="E189" s="61">
        <v>531900.63045138982</v>
      </c>
      <c r="F189" s="61">
        <v>563474.04120000033</v>
      </c>
      <c r="G189" s="61">
        <v>531900.63045138982</v>
      </c>
    </row>
    <row r="190" spans="1:7" ht="11.25" customHeight="1" x14ac:dyDescent="0.2">
      <c r="A190" s="71">
        <v>44348</v>
      </c>
      <c r="B190" s="61">
        <v>0</v>
      </c>
      <c r="C190" s="61">
        <v>606464.57088000036</v>
      </c>
      <c r="D190" s="61">
        <v>0</v>
      </c>
      <c r="E190" s="61">
        <v>572482.25119745499</v>
      </c>
      <c r="F190" s="61">
        <v>606464.57088000036</v>
      </c>
      <c r="G190" s="61">
        <v>572482.25119745499</v>
      </c>
    </row>
    <row r="191" spans="1:7" ht="11.25" customHeight="1" x14ac:dyDescent="0.2">
      <c r="A191" s="71">
        <v>44378</v>
      </c>
      <c r="B191" s="61">
        <v>0</v>
      </c>
      <c r="C191" s="61">
        <v>552004.24608000042</v>
      </c>
      <c r="D191" s="61">
        <v>0</v>
      </c>
      <c r="E191" s="61">
        <v>521073.52785322256</v>
      </c>
      <c r="F191" s="61">
        <v>552004.24608000042</v>
      </c>
      <c r="G191" s="61">
        <v>521073.52785322256</v>
      </c>
    </row>
    <row r="192" spans="1:7" ht="11.25" customHeight="1" x14ac:dyDescent="0.2">
      <c r="A192" s="71">
        <v>44409</v>
      </c>
      <c r="B192" s="61">
        <v>0</v>
      </c>
      <c r="C192" s="61">
        <v>601424.32980000041</v>
      </c>
      <c r="D192" s="61">
        <v>0</v>
      </c>
      <c r="E192" s="61">
        <v>567724.4323592179</v>
      </c>
      <c r="F192" s="61">
        <v>601424.32980000041</v>
      </c>
      <c r="G192" s="61">
        <v>567724.4323592179</v>
      </c>
    </row>
    <row r="193" spans="1:7" ht="11.25" customHeight="1" x14ac:dyDescent="0.2">
      <c r="A193" s="71">
        <v>44440</v>
      </c>
      <c r="B193" s="61">
        <v>0</v>
      </c>
      <c r="C193" s="61">
        <v>628517.25972000044</v>
      </c>
      <c r="D193" s="61">
        <v>0</v>
      </c>
      <c r="E193" s="61">
        <v>593299.25116459443</v>
      </c>
      <c r="F193" s="61">
        <v>628517.25972000044</v>
      </c>
      <c r="G193" s="61">
        <v>593299.25116459443</v>
      </c>
    </row>
    <row r="194" spans="1:7" ht="11.25" customHeight="1" x14ac:dyDescent="0.2">
      <c r="A194" s="71">
        <v>44470</v>
      </c>
      <c r="B194" s="61">
        <v>0</v>
      </c>
      <c r="C194" s="61">
        <v>628517.25972000044</v>
      </c>
      <c r="D194" s="61">
        <v>0</v>
      </c>
      <c r="E194" s="61">
        <v>593299.25116459443</v>
      </c>
      <c r="F194" s="61">
        <v>628517.25972000044</v>
      </c>
      <c r="G194" s="61">
        <v>593299.25116459443</v>
      </c>
    </row>
    <row r="195" spans="1:7" ht="11.25" customHeight="1" x14ac:dyDescent="0.2">
      <c r="A195" s="67" t="s">
        <v>34</v>
      </c>
      <c r="B195" s="61">
        <v>0</v>
      </c>
      <c r="C195" s="61">
        <v>4.4048416611985882E-9</v>
      </c>
      <c r="D195" s="61">
        <v>0</v>
      </c>
      <c r="E195" s="61">
        <v>-4.4048416611985882E-9</v>
      </c>
      <c r="F195" s="61">
        <v>4.4048416611985866E-9</v>
      </c>
      <c r="G195" s="61">
        <v>-4.4048416611985866E-9</v>
      </c>
    </row>
    <row r="196" spans="1:7" ht="11.25" customHeight="1" x14ac:dyDescent="0.2">
      <c r="A196" s="68" t="s">
        <v>25</v>
      </c>
      <c r="B196" s="61">
        <v>0</v>
      </c>
      <c r="C196" s="61">
        <v>4.4048416611985882E-9</v>
      </c>
      <c r="D196" s="61">
        <v>0</v>
      </c>
      <c r="E196" s="61">
        <v>-4.4048416611985882E-9</v>
      </c>
      <c r="F196" s="61">
        <v>4.4048416611985866E-9</v>
      </c>
      <c r="G196" s="61">
        <v>-4.4048416611985866E-9</v>
      </c>
    </row>
    <row r="197" spans="1:7" ht="11.25" customHeight="1" x14ac:dyDescent="0.2">
      <c r="A197" s="69" t="s">
        <v>25</v>
      </c>
      <c r="B197" s="61">
        <v>0</v>
      </c>
      <c r="C197" s="61">
        <v>4.4048416611985882E-9</v>
      </c>
      <c r="D197" s="61">
        <v>0</v>
      </c>
      <c r="E197" s="61">
        <v>-4.4048416611985882E-9</v>
      </c>
      <c r="F197" s="61">
        <v>4.4048416611985866E-9</v>
      </c>
      <c r="G197" s="61">
        <v>-4.4048416611985866E-9</v>
      </c>
    </row>
    <row r="198" spans="1:7" ht="11.25" customHeight="1" x14ac:dyDescent="0.2">
      <c r="A198" s="70" t="s">
        <v>25</v>
      </c>
      <c r="B198" s="61">
        <v>0</v>
      </c>
      <c r="C198" s="61">
        <v>4.4048416611985882E-9</v>
      </c>
      <c r="D198" s="61">
        <v>0</v>
      </c>
      <c r="E198" s="61">
        <v>-4.4048416611985882E-9</v>
      </c>
      <c r="F198" s="61">
        <v>4.4048416611985866E-9</v>
      </c>
      <c r="G198" s="61">
        <v>-4.4048416611985866E-9</v>
      </c>
    </row>
    <row r="199" spans="1:7" ht="11.25" customHeight="1" x14ac:dyDescent="0.2">
      <c r="A199" s="71">
        <v>44136</v>
      </c>
      <c r="B199" s="61">
        <v>0</v>
      </c>
      <c r="C199" s="61">
        <v>3.5125594877172265E-10</v>
      </c>
      <c r="D199" s="61">
        <v>0</v>
      </c>
      <c r="E199" s="61">
        <v>-3.5125594877172265E-10</v>
      </c>
      <c r="F199" s="61">
        <v>3.5125594877172265E-10</v>
      </c>
      <c r="G199" s="61">
        <v>-3.5125594877172265E-10</v>
      </c>
    </row>
    <row r="200" spans="1:7" ht="11.25" customHeight="1" x14ac:dyDescent="0.2">
      <c r="A200" s="71">
        <v>44166</v>
      </c>
      <c r="B200" s="61">
        <v>0</v>
      </c>
      <c r="C200" s="61">
        <v>3.4952643090946368E-10</v>
      </c>
      <c r="D200" s="61">
        <v>0</v>
      </c>
      <c r="E200" s="61">
        <v>-3.4952643090946368E-10</v>
      </c>
      <c r="F200" s="61">
        <v>3.4952643090946368E-10</v>
      </c>
      <c r="G200" s="61">
        <v>-3.4952643090946368E-10</v>
      </c>
    </row>
    <row r="201" spans="1:7" ht="11.25" customHeight="1" x14ac:dyDescent="0.2">
      <c r="A201" s="71">
        <v>44197</v>
      </c>
      <c r="B201" s="61">
        <v>0</v>
      </c>
      <c r="C201" s="61">
        <v>3.4926188163808551E-10</v>
      </c>
      <c r="D201" s="61">
        <v>0</v>
      </c>
      <c r="E201" s="61">
        <v>-3.4926188163808551E-10</v>
      </c>
      <c r="F201" s="61">
        <v>3.4926188163808551E-10</v>
      </c>
      <c r="G201" s="61">
        <v>-3.4926188163808551E-10</v>
      </c>
    </row>
    <row r="202" spans="1:7" ht="11.25" customHeight="1" x14ac:dyDescent="0.2">
      <c r="A202" s="71">
        <v>44228</v>
      </c>
      <c r="B202" s="61">
        <v>0</v>
      </c>
      <c r="C202" s="61">
        <v>2.7170352723260296E-10</v>
      </c>
      <c r="D202" s="61">
        <v>0</v>
      </c>
      <c r="E202" s="61">
        <v>-2.7170352723260296E-10</v>
      </c>
      <c r="F202" s="61">
        <v>2.7170352723260296E-10</v>
      </c>
      <c r="G202" s="61">
        <v>-2.7170352723260296E-10</v>
      </c>
    </row>
    <row r="203" spans="1:7" ht="11.25" customHeight="1" x14ac:dyDescent="0.2">
      <c r="A203" s="71">
        <v>44256</v>
      </c>
      <c r="B203" s="61">
        <v>0</v>
      </c>
      <c r="C203" s="61">
        <v>3.10942823489313E-10</v>
      </c>
      <c r="D203" s="61">
        <v>0</v>
      </c>
      <c r="E203" s="61">
        <v>-3.10942823489313E-10</v>
      </c>
      <c r="F203" s="61">
        <v>3.10942823489313E-10</v>
      </c>
      <c r="G203" s="61">
        <v>-3.10942823489313E-10</v>
      </c>
    </row>
    <row r="204" spans="1:7" ht="11.25" customHeight="1" x14ac:dyDescent="0.2">
      <c r="A204" s="71">
        <v>44287</v>
      </c>
      <c r="B204" s="61">
        <v>0</v>
      </c>
      <c r="C204" s="61">
        <v>3.5352411487110656E-10</v>
      </c>
      <c r="D204" s="61">
        <v>0</v>
      </c>
      <c r="E204" s="61">
        <v>-3.5352411487110656E-10</v>
      </c>
      <c r="F204" s="61">
        <v>3.5352411487110656E-10</v>
      </c>
      <c r="G204" s="61">
        <v>-3.5352411487110656E-10</v>
      </c>
    </row>
    <row r="205" spans="1:7" ht="11.25" customHeight="1" x14ac:dyDescent="0.2">
      <c r="A205" s="71">
        <v>44317</v>
      </c>
      <c r="B205" s="61">
        <v>0</v>
      </c>
      <c r="C205" s="61">
        <v>3.3820731459854867E-10</v>
      </c>
      <c r="D205" s="61">
        <v>0</v>
      </c>
      <c r="E205" s="61">
        <v>-3.3820731459854867E-10</v>
      </c>
      <c r="F205" s="61">
        <v>3.3820731459854867E-10</v>
      </c>
      <c r="G205" s="61">
        <v>-3.3820731459854867E-10</v>
      </c>
    </row>
    <row r="206" spans="1:7" ht="11.25" customHeight="1" x14ac:dyDescent="0.2">
      <c r="A206" s="71">
        <v>44348</v>
      </c>
      <c r="B206" s="61">
        <v>0</v>
      </c>
      <c r="C206" s="61">
        <v>4.1321766275359556E-10</v>
      </c>
      <c r="D206" s="61">
        <v>0</v>
      </c>
      <c r="E206" s="61">
        <v>-4.1321766275359556E-10</v>
      </c>
      <c r="F206" s="61">
        <v>4.1321766275359556E-10</v>
      </c>
      <c r="G206" s="61">
        <v>-4.1321766275359556E-10</v>
      </c>
    </row>
    <row r="207" spans="1:7" ht="11.25" customHeight="1" x14ac:dyDescent="0.2">
      <c r="A207" s="71">
        <v>44378</v>
      </c>
      <c r="B207" s="61">
        <v>0</v>
      </c>
      <c r="C207" s="61">
        <v>3.2780997116788059E-10</v>
      </c>
      <c r="D207" s="61">
        <v>0</v>
      </c>
      <c r="E207" s="61">
        <v>-3.2780997116788059E-10</v>
      </c>
      <c r="F207" s="61">
        <v>3.2780997116788059E-10</v>
      </c>
      <c r="G207" s="61">
        <v>-3.2780997116788059E-10</v>
      </c>
    </row>
    <row r="208" spans="1:7" ht="11.25" customHeight="1" x14ac:dyDescent="0.2">
      <c r="A208" s="71">
        <v>44409</v>
      </c>
      <c r="B208" s="61">
        <v>0</v>
      </c>
      <c r="C208" s="61">
        <v>4.320971243032545E-10</v>
      </c>
      <c r="D208" s="61">
        <v>0</v>
      </c>
      <c r="E208" s="61">
        <v>-4.320971243032545E-10</v>
      </c>
      <c r="F208" s="61">
        <v>4.320971243032545E-10</v>
      </c>
      <c r="G208" s="61">
        <v>-4.320971243032545E-10</v>
      </c>
    </row>
    <row r="209" spans="1:7" ht="11.25" customHeight="1" x14ac:dyDescent="0.2">
      <c r="A209" s="71">
        <v>44440</v>
      </c>
      <c r="B209" s="61">
        <v>0</v>
      </c>
      <c r="C209" s="61">
        <v>4.5364743073150751E-10</v>
      </c>
      <c r="D209" s="61">
        <v>0</v>
      </c>
      <c r="E209" s="61">
        <v>-4.5364743073150751E-10</v>
      </c>
      <c r="F209" s="61">
        <v>4.5364743073150751E-10</v>
      </c>
      <c r="G209" s="61">
        <v>-4.5364743073150751E-10</v>
      </c>
    </row>
    <row r="210" spans="1:7" ht="11.25" customHeight="1" x14ac:dyDescent="0.2">
      <c r="A210" s="71">
        <v>44470</v>
      </c>
      <c r="B210" s="61">
        <v>0</v>
      </c>
      <c r="C210" s="61">
        <v>4.5364743073150751E-10</v>
      </c>
      <c r="D210" s="61">
        <v>0</v>
      </c>
      <c r="E210" s="61">
        <v>-4.5364743073150751E-10</v>
      </c>
      <c r="F210" s="61">
        <v>4.5364743073150751E-10</v>
      </c>
      <c r="G210" s="61">
        <v>-4.5364743073150751E-10</v>
      </c>
    </row>
    <row r="211" spans="1:7" ht="11.25" customHeight="1" x14ac:dyDescent="0.2">
      <c r="A211" s="63" t="s">
        <v>841</v>
      </c>
      <c r="B211" s="61">
        <v>43715072.880573012</v>
      </c>
      <c r="C211" s="61">
        <v>21138284.074781891</v>
      </c>
      <c r="D211" s="61">
        <v>48844559.191029407</v>
      </c>
      <c r="E211" s="61">
        <v>22126022.07458245</v>
      </c>
      <c r="F211" s="61">
        <v>64853356.955354899</v>
      </c>
      <c r="G211" s="61">
        <v>70970581.265611857</v>
      </c>
    </row>
    <row r="212" spans="1:7" ht="11.25" customHeight="1" x14ac:dyDescent="0.2">
      <c r="A212" s="64" t="s">
        <v>43</v>
      </c>
      <c r="B212" s="61">
        <v>1437005.013488</v>
      </c>
      <c r="C212" s="61">
        <v>0</v>
      </c>
      <c r="D212" s="61">
        <v>1578419.169951041</v>
      </c>
      <c r="E212" s="61">
        <v>0</v>
      </c>
      <c r="F212" s="61">
        <v>1437005.013488</v>
      </c>
      <c r="G212" s="61">
        <v>1578419.169951041</v>
      </c>
    </row>
    <row r="213" spans="1:7" ht="11.25" customHeight="1" x14ac:dyDescent="0.2">
      <c r="A213" s="65" t="s">
        <v>44</v>
      </c>
      <c r="B213" s="61">
        <v>1437005.013488</v>
      </c>
      <c r="C213" s="61">
        <v>0</v>
      </c>
      <c r="D213" s="61">
        <v>1578419.169951041</v>
      </c>
      <c r="E213" s="61">
        <v>0</v>
      </c>
      <c r="F213" s="61">
        <v>1437005.013488</v>
      </c>
      <c r="G213" s="61">
        <v>1578419.169951041</v>
      </c>
    </row>
    <row r="214" spans="1:7" ht="11.25" customHeight="1" x14ac:dyDescent="0.2">
      <c r="A214" s="66" t="s">
        <v>42</v>
      </c>
      <c r="B214" s="61">
        <v>1437005.013488</v>
      </c>
      <c r="C214" s="61">
        <v>0</v>
      </c>
      <c r="D214" s="61">
        <v>1578419.169951041</v>
      </c>
      <c r="E214" s="61">
        <v>0</v>
      </c>
      <c r="F214" s="61">
        <v>1437005.013488</v>
      </c>
      <c r="G214" s="61">
        <v>1578419.169951041</v>
      </c>
    </row>
    <row r="215" spans="1:7" ht="11.25" customHeight="1" x14ac:dyDescent="0.2">
      <c r="A215" s="67" t="s">
        <v>25</v>
      </c>
      <c r="B215" s="61">
        <v>1437005.013488</v>
      </c>
      <c r="C215" s="61">
        <v>0</v>
      </c>
      <c r="D215" s="61">
        <v>1578419.169951041</v>
      </c>
      <c r="E215" s="61">
        <v>0</v>
      </c>
      <c r="F215" s="61">
        <v>1437005.013488</v>
      </c>
      <c r="G215" s="61">
        <v>1578419.169951041</v>
      </c>
    </row>
    <row r="216" spans="1:7" ht="11.25" customHeight="1" x14ac:dyDescent="0.2">
      <c r="A216" s="68" t="s">
        <v>62</v>
      </c>
      <c r="B216" s="61">
        <v>1437005.013488</v>
      </c>
      <c r="C216" s="61">
        <v>0</v>
      </c>
      <c r="D216" s="61">
        <v>1578419.169951041</v>
      </c>
      <c r="E216" s="61">
        <v>0</v>
      </c>
      <c r="F216" s="61">
        <v>1437005.013488</v>
      </c>
      <c r="G216" s="61">
        <v>1578419.169951041</v>
      </c>
    </row>
    <row r="217" spans="1:7" ht="11.25" customHeight="1" x14ac:dyDescent="0.2">
      <c r="A217" s="69" t="s">
        <v>25</v>
      </c>
      <c r="B217" s="61">
        <v>1437005.013488</v>
      </c>
      <c r="C217" s="61">
        <v>0</v>
      </c>
      <c r="D217" s="61">
        <v>1578419.169951041</v>
      </c>
      <c r="E217" s="61">
        <v>0</v>
      </c>
      <c r="F217" s="61">
        <v>1437005.013488</v>
      </c>
      <c r="G217" s="61">
        <v>1578419.169951041</v>
      </c>
    </row>
    <row r="218" spans="1:7" ht="11.25" customHeight="1" x14ac:dyDescent="0.2">
      <c r="A218" s="70" t="s">
        <v>38</v>
      </c>
      <c r="B218" s="61">
        <v>686292.04740000004</v>
      </c>
      <c r="C218" s="61">
        <v>0</v>
      </c>
      <c r="D218" s="61">
        <v>753738.91353970172</v>
      </c>
      <c r="E218" s="61">
        <v>0</v>
      </c>
      <c r="F218" s="61">
        <v>686292.04740000004</v>
      </c>
      <c r="G218" s="61">
        <v>753738.91353970172</v>
      </c>
    </row>
    <row r="219" spans="1:7" ht="11.25" customHeight="1" x14ac:dyDescent="0.2">
      <c r="A219" s="71">
        <v>44136</v>
      </c>
      <c r="B219" s="61">
        <v>64982.845440000005</v>
      </c>
      <c r="C219" s="61">
        <v>0</v>
      </c>
      <c r="D219" s="61">
        <v>71369.178043405613</v>
      </c>
      <c r="E219" s="61">
        <v>0</v>
      </c>
      <c r="F219" s="61">
        <v>64982.845440000005</v>
      </c>
      <c r="G219" s="61">
        <v>71369.178043405613</v>
      </c>
    </row>
    <row r="220" spans="1:7" ht="11.25" customHeight="1" x14ac:dyDescent="0.2">
      <c r="A220" s="71">
        <v>44166</v>
      </c>
      <c r="B220" s="61">
        <v>54557.49293</v>
      </c>
      <c r="C220" s="61">
        <v>0</v>
      </c>
      <c r="D220" s="61">
        <v>59919.250998606505</v>
      </c>
      <c r="E220" s="61">
        <v>0</v>
      </c>
      <c r="F220" s="61">
        <v>54557.49293</v>
      </c>
      <c r="G220" s="61">
        <v>59919.250998606505</v>
      </c>
    </row>
    <row r="221" spans="1:7" ht="11.25" customHeight="1" x14ac:dyDescent="0.2">
      <c r="A221" s="71">
        <v>44197</v>
      </c>
      <c r="B221" s="61">
        <v>54557.49293</v>
      </c>
      <c r="C221" s="61">
        <v>0</v>
      </c>
      <c r="D221" s="61">
        <v>59919.250998606505</v>
      </c>
      <c r="E221" s="61">
        <v>0</v>
      </c>
      <c r="F221" s="61">
        <v>54557.49293</v>
      </c>
      <c r="G221" s="61">
        <v>59919.250998606505</v>
      </c>
    </row>
    <row r="222" spans="1:7" ht="11.25" customHeight="1" x14ac:dyDescent="0.2">
      <c r="A222" s="71">
        <v>44228</v>
      </c>
      <c r="B222" s="61">
        <v>54804.535370000005</v>
      </c>
      <c r="C222" s="61">
        <v>0</v>
      </c>
      <c r="D222" s="61">
        <v>60190.572079812729</v>
      </c>
      <c r="E222" s="61">
        <v>0</v>
      </c>
      <c r="F222" s="61">
        <v>54804.535370000005</v>
      </c>
      <c r="G222" s="61">
        <v>60190.572079812729</v>
      </c>
    </row>
    <row r="223" spans="1:7" ht="11.25" customHeight="1" x14ac:dyDescent="0.2">
      <c r="A223" s="71">
        <v>44256</v>
      </c>
      <c r="B223" s="61">
        <v>54557.49293</v>
      </c>
      <c r="C223" s="61">
        <v>0</v>
      </c>
      <c r="D223" s="61">
        <v>59919.250998606505</v>
      </c>
      <c r="E223" s="61">
        <v>0</v>
      </c>
      <c r="F223" s="61">
        <v>54557.49293</v>
      </c>
      <c r="G223" s="61">
        <v>59919.250998606505</v>
      </c>
    </row>
    <row r="224" spans="1:7" ht="11.25" customHeight="1" x14ac:dyDescent="0.2">
      <c r="A224" s="71">
        <v>44287</v>
      </c>
      <c r="B224" s="61">
        <v>54557.49293</v>
      </c>
      <c r="C224" s="61">
        <v>0</v>
      </c>
      <c r="D224" s="61">
        <v>59919.250998606505</v>
      </c>
      <c r="E224" s="61">
        <v>0</v>
      </c>
      <c r="F224" s="61">
        <v>54557.49293</v>
      </c>
      <c r="G224" s="61">
        <v>59919.250998606505</v>
      </c>
    </row>
    <row r="225" spans="1:7" ht="11.25" customHeight="1" x14ac:dyDescent="0.2">
      <c r="A225" s="71">
        <v>44317</v>
      </c>
      <c r="B225" s="61">
        <v>54557.49293</v>
      </c>
      <c r="C225" s="61">
        <v>0</v>
      </c>
      <c r="D225" s="61">
        <v>59919.250998606505</v>
      </c>
      <c r="E225" s="61">
        <v>0</v>
      </c>
      <c r="F225" s="61">
        <v>54557.49293</v>
      </c>
      <c r="G225" s="61">
        <v>59919.250998606505</v>
      </c>
    </row>
    <row r="226" spans="1:7" ht="11.25" customHeight="1" x14ac:dyDescent="0.2">
      <c r="A226" s="71">
        <v>44348</v>
      </c>
      <c r="B226" s="61">
        <v>54557.49293</v>
      </c>
      <c r="C226" s="61">
        <v>0</v>
      </c>
      <c r="D226" s="61">
        <v>59919.250998606505</v>
      </c>
      <c r="E226" s="61">
        <v>0</v>
      </c>
      <c r="F226" s="61">
        <v>54557.49293</v>
      </c>
      <c r="G226" s="61">
        <v>59919.250998606505</v>
      </c>
    </row>
    <row r="227" spans="1:7" ht="11.25" customHeight="1" x14ac:dyDescent="0.2">
      <c r="A227" s="71">
        <v>44378</v>
      </c>
      <c r="B227" s="61">
        <v>54557.49293</v>
      </c>
      <c r="C227" s="61">
        <v>0</v>
      </c>
      <c r="D227" s="61">
        <v>59919.250998606505</v>
      </c>
      <c r="E227" s="61">
        <v>0</v>
      </c>
      <c r="F227" s="61">
        <v>54557.49293</v>
      </c>
      <c r="G227" s="61">
        <v>59919.250998606505</v>
      </c>
    </row>
    <row r="228" spans="1:7" ht="11.25" customHeight="1" x14ac:dyDescent="0.2">
      <c r="A228" s="71">
        <v>44409</v>
      </c>
      <c r="B228" s="61">
        <v>58963.42</v>
      </c>
      <c r="C228" s="61">
        <v>0</v>
      </c>
      <c r="D228" s="61">
        <v>64758.180278725922</v>
      </c>
      <c r="E228" s="61">
        <v>0</v>
      </c>
      <c r="F228" s="61">
        <v>58963.42</v>
      </c>
      <c r="G228" s="61">
        <v>64758.180278725922</v>
      </c>
    </row>
    <row r="229" spans="1:7" ht="11.25" customHeight="1" x14ac:dyDescent="0.2">
      <c r="A229" s="71">
        <v>44440</v>
      </c>
      <c r="B229" s="61">
        <v>62819.398040000007</v>
      </c>
      <c r="C229" s="61">
        <v>0</v>
      </c>
      <c r="D229" s="61">
        <v>68993.113073755943</v>
      </c>
      <c r="E229" s="61">
        <v>0</v>
      </c>
      <c r="F229" s="61">
        <v>62819.398040000007</v>
      </c>
      <c r="G229" s="61">
        <v>68993.113073755943</v>
      </c>
    </row>
    <row r="230" spans="1:7" ht="11.25" customHeight="1" x14ac:dyDescent="0.2">
      <c r="A230" s="71">
        <v>44470</v>
      </c>
      <c r="B230" s="61">
        <v>62819.398040000007</v>
      </c>
      <c r="C230" s="61">
        <v>0</v>
      </c>
      <c r="D230" s="61">
        <v>68993.113073755943</v>
      </c>
      <c r="E230" s="61">
        <v>0</v>
      </c>
      <c r="F230" s="61">
        <v>62819.398040000007</v>
      </c>
      <c r="G230" s="61">
        <v>68993.113073755943</v>
      </c>
    </row>
    <row r="231" spans="1:7" ht="11.25" customHeight="1" x14ac:dyDescent="0.2">
      <c r="A231" s="70" t="s">
        <v>25</v>
      </c>
      <c r="B231" s="61">
        <v>0</v>
      </c>
      <c r="C231" s="61">
        <v>0</v>
      </c>
      <c r="D231" s="61">
        <v>0</v>
      </c>
      <c r="E231" s="61">
        <v>0</v>
      </c>
      <c r="F231" s="61">
        <v>0</v>
      </c>
      <c r="G231" s="61">
        <v>0</v>
      </c>
    </row>
    <row r="232" spans="1:7" ht="11.25" customHeight="1" x14ac:dyDescent="0.2">
      <c r="A232" s="71">
        <v>44136</v>
      </c>
      <c r="B232" s="61">
        <v>0</v>
      </c>
      <c r="C232" s="61">
        <v>0</v>
      </c>
      <c r="D232" s="61">
        <v>0</v>
      </c>
      <c r="E232" s="61">
        <v>0</v>
      </c>
      <c r="F232" s="61">
        <v>0</v>
      </c>
      <c r="G232" s="61">
        <v>0</v>
      </c>
    </row>
    <row r="233" spans="1:7" ht="11.25" customHeight="1" x14ac:dyDescent="0.2">
      <c r="A233" s="71">
        <v>44166</v>
      </c>
      <c r="B233" s="61">
        <v>0</v>
      </c>
      <c r="C233" s="61">
        <v>0</v>
      </c>
      <c r="D233" s="61">
        <v>0</v>
      </c>
      <c r="E233" s="61">
        <v>0</v>
      </c>
      <c r="F233" s="61">
        <v>0</v>
      </c>
      <c r="G233" s="61">
        <v>0</v>
      </c>
    </row>
    <row r="234" spans="1:7" ht="11.25" customHeight="1" x14ac:dyDescent="0.2">
      <c r="A234" s="71">
        <v>44197</v>
      </c>
      <c r="B234" s="61">
        <v>0</v>
      </c>
      <c r="C234" s="61">
        <v>0</v>
      </c>
      <c r="D234" s="61">
        <v>0</v>
      </c>
      <c r="E234" s="61">
        <v>0</v>
      </c>
      <c r="F234" s="61">
        <v>0</v>
      </c>
      <c r="G234" s="61">
        <v>0</v>
      </c>
    </row>
    <row r="235" spans="1:7" ht="11.25" customHeight="1" x14ac:dyDescent="0.2">
      <c r="A235" s="71">
        <v>44228</v>
      </c>
      <c r="B235" s="61">
        <v>0</v>
      </c>
      <c r="C235" s="61">
        <v>0</v>
      </c>
      <c r="D235" s="61">
        <v>0</v>
      </c>
      <c r="E235" s="61">
        <v>0</v>
      </c>
      <c r="F235" s="61">
        <v>0</v>
      </c>
      <c r="G235" s="61">
        <v>0</v>
      </c>
    </row>
    <row r="236" spans="1:7" ht="11.25" customHeight="1" x14ac:dyDescent="0.2">
      <c r="A236" s="71">
        <v>44256</v>
      </c>
      <c r="B236" s="61">
        <v>0</v>
      </c>
      <c r="C236" s="61">
        <v>0</v>
      </c>
      <c r="D236" s="61">
        <v>0</v>
      </c>
      <c r="E236" s="61">
        <v>0</v>
      </c>
      <c r="F236" s="61">
        <v>0</v>
      </c>
      <c r="G236" s="61">
        <v>0</v>
      </c>
    </row>
    <row r="237" spans="1:7" ht="11.25" customHeight="1" x14ac:dyDescent="0.2">
      <c r="A237" s="71">
        <v>44287</v>
      </c>
      <c r="B237" s="61">
        <v>0</v>
      </c>
      <c r="C237" s="61">
        <v>0</v>
      </c>
      <c r="D237" s="61">
        <v>0</v>
      </c>
      <c r="E237" s="61">
        <v>0</v>
      </c>
      <c r="F237" s="61">
        <v>0</v>
      </c>
      <c r="G237" s="61">
        <v>0</v>
      </c>
    </row>
    <row r="238" spans="1:7" ht="11.25" customHeight="1" x14ac:dyDescent="0.2">
      <c r="A238" s="71">
        <v>44317</v>
      </c>
      <c r="B238" s="61">
        <v>0</v>
      </c>
      <c r="C238" s="61">
        <v>0</v>
      </c>
      <c r="D238" s="61">
        <v>0</v>
      </c>
      <c r="E238" s="61">
        <v>0</v>
      </c>
      <c r="F238" s="61">
        <v>0</v>
      </c>
      <c r="G238" s="61">
        <v>0</v>
      </c>
    </row>
    <row r="239" spans="1:7" ht="11.25" customHeight="1" x14ac:dyDescent="0.2">
      <c r="A239" s="71">
        <v>44348</v>
      </c>
      <c r="B239" s="61">
        <v>0</v>
      </c>
      <c r="C239" s="61">
        <v>0</v>
      </c>
      <c r="D239" s="61">
        <v>0</v>
      </c>
      <c r="E239" s="61">
        <v>0</v>
      </c>
      <c r="F239" s="61">
        <v>0</v>
      </c>
      <c r="G239" s="61">
        <v>0</v>
      </c>
    </row>
    <row r="240" spans="1:7" ht="11.25" customHeight="1" x14ac:dyDescent="0.2">
      <c r="A240" s="71">
        <v>44378</v>
      </c>
      <c r="B240" s="61">
        <v>0</v>
      </c>
      <c r="C240" s="61">
        <v>0</v>
      </c>
      <c r="D240" s="61">
        <v>0</v>
      </c>
      <c r="E240" s="61">
        <v>0</v>
      </c>
      <c r="F240" s="61">
        <v>0</v>
      </c>
      <c r="G240" s="61">
        <v>0</v>
      </c>
    </row>
    <row r="241" spans="1:7" ht="11.25" customHeight="1" x14ac:dyDescent="0.2">
      <c r="A241" s="71">
        <v>44409</v>
      </c>
      <c r="B241" s="61">
        <v>0</v>
      </c>
      <c r="C241" s="61">
        <v>0</v>
      </c>
      <c r="D241" s="61">
        <v>0</v>
      </c>
      <c r="E241" s="61">
        <v>0</v>
      </c>
      <c r="F241" s="61">
        <v>0</v>
      </c>
      <c r="G241" s="61">
        <v>0</v>
      </c>
    </row>
    <row r="242" spans="1:7" ht="11.25" customHeight="1" x14ac:dyDescent="0.2">
      <c r="A242" s="71">
        <v>44440</v>
      </c>
      <c r="B242" s="61">
        <v>0</v>
      </c>
      <c r="C242" s="61">
        <v>0</v>
      </c>
      <c r="D242" s="61">
        <v>0</v>
      </c>
      <c r="E242" s="61">
        <v>0</v>
      </c>
      <c r="F242" s="61">
        <v>0</v>
      </c>
      <c r="G242" s="61">
        <v>0</v>
      </c>
    </row>
    <row r="243" spans="1:7" ht="11.25" customHeight="1" x14ac:dyDescent="0.2">
      <c r="A243" s="71">
        <v>44470</v>
      </c>
      <c r="B243" s="61">
        <v>0</v>
      </c>
      <c r="C243" s="61">
        <v>0</v>
      </c>
      <c r="D243" s="61">
        <v>0</v>
      </c>
      <c r="E243" s="61">
        <v>0</v>
      </c>
      <c r="F243" s="61">
        <v>0</v>
      </c>
      <c r="G243" s="61">
        <v>0</v>
      </c>
    </row>
    <row r="244" spans="1:7" ht="11.25" customHeight="1" x14ac:dyDescent="0.2">
      <c r="A244" s="70" t="s">
        <v>37</v>
      </c>
      <c r="B244" s="61">
        <v>750712.96608799999</v>
      </c>
      <c r="C244" s="61">
        <v>0</v>
      </c>
      <c r="D244" s="61">
        <v>824680.25641133985</v>
      </c>
      <c r="E244" s="61">
        <v>0</v>
      </c>
      <c r="F244" s="61">
        <v>750712.96608799999</v>
      </c>
      <c r="G244" s="61">
        <v>824680.25641133985</v>
      </c>
    </row>
    <row r="245" spans="1:7" ht="11.25" customHeight="1" x14ac:dyDescent="0.2">
      <c r="A245" s="71">
        <v>44136</v>
      </c>
      <c r="B245" s="61">
        <v>70065.406975999998</v>
      </c>
      <c r="C245" s="61">
        <v>0</v>
      </c>
      <c r="D245" s="61">
        <v>76968.908758343314</v>
      </c>
      <c r="E245" s="61">
        <v>0</v>
      </c>
      <c r="F245" s="61">
        <v>70065.406975999998</v>
      </c>
      <c r="G245" s="61">
        <v>76968.908758343314</v>
      </c>
    </row>
    <row r="246" spans="1:7" ht="11.25" customHeight="1" x14ac:dyDescent="0.2">
      <c r="A246" s="71">
        <v>44166</v>
      </c>
      <c r="B246" s="61">
        <v>59658.872792000009</v>
      </c>
      <c r="C246" s="61">
        <v>0</v>
      </c>
      <c r="D246" s="61">
        <v>65537.025113205251</v>
      </c>
      <c r="E246" s="61">
        <v>0</v>
      </c>
      <c r="F246" s="61">
        <v>59658.872792000009</v>
      </c>
      <c r="G246" s="61">
        <v>65537.025113205251</v>
      </c>
    </row>
    <row r="247" spans="1:7" ht="11.25" customHeight="1" x14ac:dyDescent="0.2">
      <c r="A247" s="71">
        <v>44197</v>
      </c>
      <c r="B247" s="61">
        <v>59585.892144000005</v>
      </c>
      <c r="C247" s="61">
        <v>0</v>
      </c>
      <c r="D247" s="61">
        <v>65456.85372650424</v>
      </c>
      <c r="E247" s="61">
        <v>0</v>
      </c>
      <c r="F247" s="61">
        <v>59585.892144000005</v>
      </c>
      <c r="G247" s="61">
        <v>65456.85372650424</v>
      </c>
    </row>
    <row r="248" spans="1:7" ht="11.25" customHeight="1" x14ac:dyDescent="0.2">
      <c r="A248" s="71">
        <v>44228</v>
      </c>
      <c r="B248" s="61">
        <v>59585.892144000005</v>
      </c>
      <c r="C248" s="61">
        <v>0</v>
      </c>
      <c r="D248" s="61">
        <v>65456.85372650424</v>
      </c>
      <c r="E248" s="61">
        <v>0</v>
      </c>
      <c r="F248" s="61">
        <v>59585.892144000005</v>
      </c>
      <c r="G248" s="61">
        <v>65456.85372650424</v>
      </c>
    </row>
    <row r="249" spans="1:7" ht="11.25" customHeight="1" x14ac:dyDescent="0.2">
      <c r="A249" s="71">
        <v>44256</v>
      </c>
      <c r="B249" s="61">
        <v>59585.892144000005</v>
      </c>
      <c r="C249" s="61">
        <v>0</v>
      </c>
      <c r="D249" s="61">
        <v>65456.85372650424</v>
      </c>
      <c r="E249" s="61">
        <v>0</v>
      </c>
      <c r="F249" s="61">
        <v>59585.892144000005</v>
      </c>
      <c r="G249" s="61">
        <v>65456.85372650424</v>
      </c>
    </row>
    <row r="250" spans="1:7" ht="11.25" customHeight="1" x14ac:dyDescent="0.2">
      <c r="A250" s="71">
        <v>44287</v>
      </c>
      <c r="B250" s="61">
        <v>59585.892144000005</v>
      </c>
      <c r="C250" s="61">
        <v>0</v>
      </c>
      <c r="D250" s="61">
        <v>65456.85372650424</v>
      </c>
      <c r="E250" s="61">
        <v>0</v>
      </c>
      <c r="F250" s="61">
        <v>59585.892144000005</v>
      </c>
      <c r="G250" s="61">
        <v>65456.85372650424</v>
      </c>
    </row>
    <row r="251" spans="1:7" ht="11.25" customHeight="1" x14ac:dyDescent="0.2">
      <c r="A251" s="71">
        <v>44317</v>
      </c>
      <c r="B251" s="61">
        <v>59585.892144000005</v>
      </c>
      <c r="C251" s="61">
        <v>0</v>
      </c>
      <c r="D251" s="61">
        <v>65456.85372650424</v>
      </c>
      <c r="E251" s="61">
        <v>0</v>
      </c>
      <c r="F251" s="61">
        <v>59585.892144000005</v>
      </c>
      <c r="G251" s="61">
        <v>65456.85372650424</v>
      </c>
    </row>
    <row r="252" spans="1:7" ht="11.25" customHeight="1" x14ac:dyDescent="0.2">
      <c r="A252" s="71">
        <v>44348</v>
      </c>
      <c r="B252" s="61">
        <v>59585.892144000005</v>
      </c>
      <c r="C252" s="61">
        <v>0</v>
      </c>
      <c r="D252" s="61">
        <v>65456.85372650424</v>
      </c>
      <c r="E252" s="61">
        <v>0</v>
      </c>
      <c r="F252" s="61">
        <v>59585.892144000005</v>
      </c>
      <c r="G252" s="61">
        <v>65456.85372650424</v>
      </c>
    </row>
    <row r="253" spans="1:7" ht="11.25" customHeight="1" x14ac:dyDescent="0.2">
      <c r="A253" s="71">
        <v>44378</v>
      </c>
      <c r="B253" s="61">
        <v>59585.892144000005</v>
      </c>
      <c r="C253" s="61">
        <v>0</v>
      </c>
      <c r="D253" s="61">
        <v>65456.85372650424</v>
      </c>
      <c r="E253" s="61">
        <v>0</v>
      </c>
      <c r="F253" s="61">
        <v>59585.892144000005</v>
      </c>
      <c r="G253" s="61">
        <v>65456.85372650424</v>
      </c>
    </row>
    <row r="254" spans="1:7" ht="11.25" customHeight="1" x14ac:dyDescent="0.2">
      <c r="A254" s="71">
        <v>44409</v>
      </c>
      <c r="B254" s="61">
        <v>64570.513408000006</v>
      </c>
      <c r="C254" s="61">
        <v>0</v>
      </c>
      <c r="D254" s="61">
        <v>70932.606681098958</v>
      </c>
      <c r="E254" s="61">
        <v>0</v>
      </c>
      <c r="F254" s="61">
        <v>64570.513408000006</v>
      </c>
      <c r="G254" s="61">
        <v>70932.606681098958</v>
      </c>
    </row>
    <row r="255" spans="1:7" ht="11.25" customHeight="1" x14ac:dyDescent="0.2">
      <c r="A255" s="71">
        <v>44440</v>
      </c>
      <c r="B255" s="61">
        <v>69658.463952000006</v>
      </c>
      <c r="C255" s="61">
        <v>0</v>
      </c>
      <c r="D255" s="61">
        <v>76521.869886581262</v>
      </c>
      <c r="E255" s="61">
        <v>0</v>
      </c>
      <c r="F255" s="61">
        <v>69658.463952000006</v>
      </c>
      <c r="G255" s="61">
        <v>76521.869886581262</v>
      </c>
    </row>
    <row r="256" spans="1:7" ht="11.25" customHeight="1" x14ac:dyDescent="0.2">
      <c r="A256" s="71">
        <v>44470</v>
      </c>
      <c r="B256" s="61">
        <v>69658.463952000006</v>
      </c>
      <c r="C256" s="61">
        <v>0</v>
      </c>
      <c r="D256" s="61">
        <v>76521.869886581262</v>
      </c>
      <c r="E256" s="61">
        <v>0</v>
      </c>
      <c r="F256" s="61">
        <v>69658.463952000006</v>
      </c>
      <c r="G256" s="61">
        <v>76521.869886581262</v>
      </c>
    </row>
    <row r="257" spans="1:7" ht="11.25" customHeight="1" x14ac:dyDescent="0.2">
      <c r="A257" s="64" t="s">
        <v>35</v>
      </c>
      <c r="B257" s="61">
        <v>42278067.86708501</v>
      </c>
      <c r="C257" s="61">
        <v>21138284.074781891</v>
      </c>
      <c r="D257" s="61">
        <v>47266140.021078371</v>
      </c>
      <c r="E257" s="61">
        <v>22126022.07458245</v>
      </c>
      <c r="F257" s="61">
        <v>63416351.941866904</v>
      </c>
      <c r="G257" s="61">
        <v>69392162.095660821</v>
      </c>
    </row>
    <row r="258" spans="1:7" ht="11.25" customHeight="1" x14ac:dyDescent="0.2">
      <c r="A258" s="65" t="s">
        <v>44</v>
      </c>
      <c r="B258" s="61">
        <v>23828483.478145</v>
      </c>
      <c r="C258" s="61">
        <v>0</v>
      </c>
      <c r="D258" s="61">
        <v>26646361.518960744</v>
      </c>
      <c r="E258" s="61">
        <v>0</v>
      </c>
      <c r="F258" s="61">
        <v>23828483.478145</v>
      </c>
      <c r="G258" s="61">
        <v>26646361.518960744</v>
      </c>
    </row>
    <row r="259" spans="1:7" ht="11.25" customHeight="1" x14ac:dyDescent="0.2">
      <c r="A259" s="66" t="s">
        <v>42</v>
      </c>
      <c r="B259" s="61">
        <v>23828483.478145</v>
      </c>
      <c r="C259" s="61">
        <v>0</v>
      </c>
      <c r="D259" s="61">
        <v>26646361.518960744</v>
      </c>
      <c r="E259" s="61">
        <v>0</v>
      </c>
      <c r="F259" s="61">
        <v>23828483.478145</v>
      </c>
      <c r="G259" s="61">
        <v>26646361.518960744</v>
      </c>
    </row>
    <row r="260" spans="1:7" ht="11.25" customHeight="1" x14ac:dyDescent="0.2">
      <c r="A260" s="67" t="s">
        <v>25</v>
      </c>
      <c r="B260" s="61">
        <v>23828483.478145</v>
      </c>
      <c r="C260" s="61">
        <v>0</v>
      </c>
      <c r="D260" s="61">
        <v>26646361.518960744</v>
      </c>
      <c r="E260" s="61">
        <v>0</v>
      </c>
      <c r="F260" s="61">
        <v>23828483.478145</v>
      </c>
      <c r="G260" s="61">
        <v>26646361.518960744</v>
      </c>
    </row>
    <row r="261" spans="1:7" ht="11.25" customHeight="1" x14ac:dyDescent="0.2">
      <c r="A261" s="68" t="s">
        <v>62</v>
      </c>
      <c r="B261" s="61">
        <v>23828483.478145</v>
      </c>
      <c r="C261" s="61">
        <v>0</v>
      </c>
      <c r="D261" s="61">
        <v>26646361.518960744</v>
      </c>
      <c r="E261" s="61">
        <v>0</v>
      </c>
      <c r="F261" s="61">
        <v>23828483.478145</v>
      </c>
      <c r="G261" s="61">
        <v>26646361.518960744</v>
      </c>
    </row>
    <row r="262" spans="1:7" ht="11.25" customHeight="1" x14ac:dyDescent="0.2">
      <c r="A262" s="69" t="s">
        <v>25</v>
      </c>
      <c r="B262" s="61">
        <v>23828483.478145</v>
      </c>
      <c r="C262" s="61">
        <v>0</v>
      </c>
      <c r="D262" s="61">
        <v>26646361.518960744</v>
      </c>
      <c r="E262" s="61">
        <v>0</v>
      </c>
      <c r="F262" s="61">
        <v>23828483.478145</v>
      </c>
      <c r="G262" s="61">
        <v>26646361.518960744</v>
      </c>
    </row>
    <row r="263" spans="1:7" ht="11.25" customHeight="1" x14ac:dyDescent="0.2">
      <c r="A263" s="70" t="s">
        <v>38</v>
      </c>
      <c r="B263" s="61">
        <v>8921832.7546279989</v>
      </c>
      <c r="C263" s="61">
        <v>0</v>
      </c>
      <c r="D263" s="61">
        <v>9971293.1931220014</v>
      </c>
      <c r="E263" s="61">
        <v>0</v>
      </c>
      <c r="F263" s="61">
        <v>8921832.7546279989</v>
      </c>
      <c r="G263" s="61">
        <v>9971293.1931220014</v>
      </c>
    </row>
    <row r="264" spans="1:7" ht="11.25" customHeight="1" x14ac:dyDescent="0.2">
      <c r="A264" s="71">
        <v>44136</v>
      </c>
      <c r="B264" s="61">
        <v>684395.20138600003</v>
      </c>
      <c r="C264" s="61">
        <v>0</v>
      </c>
      <c r="D264" s="61">
        <v>764899.47757041606</v>
      </c>
      <c r="E264" s="61">
        <v>0</v>
      </c>
      <c r="F264" s="61">
        <v>684395.20138600003</v>
      </c>
      <c r="G264" s="61">
        <v>764899.47757041606</v>
      </c>
    </row>
    <row r="265" spans="1:7" ht="11.25" customHeight="1" x14ac:dyDescent="0.2">
      <c r="A265" s="71">
        <v>44166</v>
      </c>
      <c r="B265" s="61">
        <v>699954.08626000001</v>
      </c>
      <c r="C265" s="61">
        <v>0</v>
      </c>
      <c r="D265" s="61">
        <v>782288.52835218608</v>
      </c>
      <c r="E265" s="61">
        <v>0</v>
      </c>
      <c r="F265" s="61">
        <v>699954.08626000001</v>
      </c>
      <c r="G265" s="61">
        <v>782288.52835218608</v>
      </c>
    </row>
    <row r="266" spans="1:7" ht="11.25" customHeight="1" x14ac:dyDescent="0.2">
      <c r="A266" s="71">
        <v>44197</v>
      </c>
      <c r="B266" s="61">
        <v>608056.97277400002</v>
      </c>
      <c r="C266" s="61">
        <v>0</v>
      </c>
      <c r="D266" s="61">
        <v>679581.70931938314</v>
      </c>
      <c r="E266" s="61">
        <v>0</v>
      </c>
      <c r="F266" s="61">
        <v>608056.97277400002</v>
      </c>
      <c r="G266" s="61">
        <v>679581.70931938314</v>
      </c>
    </row>
    <row r="267" spans="1:7" ht="11.25" customHeight="1" x14ac:dyDescent="0.2">
      <c r="A267" s="71">
        <v>44228</v>
      </c>
      <c r="B267" s="61">
        <v>740636.36632999999</v>
      </c>
      <c r="C267" s="61">
        <v>0</v>
      </c>
      <c r="D267" s="61">
        <v>827756.19777607766</v>
      </c>
      <c r="E267" s="61">
        <v>0</v>
      </c>
      <c r="F267" s="61">
        <v>740636.36632999999</v>
      </c>
      <c r="G267" s="61">
        <v>827756.19777607766</v>
      </c>
    </row>
    <row r="268" spans="1:7" ht="11.25" customHeight="1" x14ac:dyDescent="0.2">
      <c r="A268" s="71">
        <v>44256</v>
      </c>
      <c r="B268" s="61">
        <v>747624.77689199999</v>
      </c>
      <c r="C268" s="61">
        <v>0</v>
      </c>
      <c r="D268" s="61">
        <v>835566.64352013904</v>
      </c>
      <c r="E268" s="61">
        <v>0</v>
      </c>
      <c r="F268" s="61">
        <v>747624.77689199999</v>
      </c>
      <c r="G268" s="61">
        <v>835566.64352013904</v>
      </c>
    </row>
    <row r="269" spans="1:7" ht="11.25" customHeight="1" x14ac:dyDescent="0.2">
      <c r="A269" s="71">
        <v>44287</v>
      </c>
      <c r="B269" s="61">
        <v>760021.31131999998</v>
      </c>
      <c r="C269" s="61">
        <v>0</v>
      </c>
      <c r="D269" s="61">
        <v>849421.36180053954</v>
      </c>
      <c r="E269" s="61">
        <v>0</v>
      </c>
      <c r="F269" s="61">
        <v>760021.31131999998</v>
      </c>
      <c r="G269" s="61">
        <v>849421.36180053954</v>
      </c>
    </row>
    <row r="270" spans="1:7" ht="11.25" customHeight="1" x14ac:dyDescent="0.2">
      <c r="A270" s="71">
        <v>44317</v>
      </c>
      <c r="B270" s="61">
        <v>767870.81025400001</v>
      </c>
      <c r="C270" s="61">
        <v>0</v>
      </c>
      <c r="D270" s="61">
        <v>858194.18431835808</v>
      </c>
      <c r="E270" s="61">
        <v>0</v>
      </c>
      <c r="F270" s="61">
        <v>767870.81025400001</v>
      </c>
      <c r="G270" s="61">
        <v>858194.18431835808</v>
      </c>
    </row>
    <row r="271" spans="1:7" ht="11.25" customHeight="1" x14ac:dyDescent="0.2">
      <c r="A271" s="71">
        <v>44348</v>
      </c>
      <c r="B271" s="61">
        <v>608056.97277400002</v>
      </c>
      <c r="C271" s="61">
        <v>0</v>
      </c>
      <c r="D271" s="61">
        <v>679581.70931938314</v>
      </c>
      <c r="E271" s="61">
        <v>0</v>
      </c>
      <c r="F271" s="61">
        <v>608056.97277400002</v>
      </c>
      <c r="G271" s="61">
        <v>679581.70931938314</v>
      </c>
    </row>
    <row r="272" spans="1:7" ht="11.25" customHeight="1" x14ac:dyDescent="0.2">
      <c r="A272" s="71">
        <v>44378</v>
      </c>
      <c r="B272" s="61">
        <v>800226.63809600007</v>
      </c>
      <c r="C272" s="61">
        <v>0</v>
      </c>
      <c r="D272" s="61">
        <v>894355.97470289597</v>
      </c>
      <c r="E272" s="61">
        <v>0</v>
      </c>
      <c r="F272" s="61">
        <v>800226.63809600007</v>
      </c>
      <c r="G272" s="61">
        <v>894355.97470289597</v>
      </c>
    </row>
    <row r="273" spans="1:7" ht="11.25" customHeight="1" x14ac:dyDescent="0.2">
      <c r="A273" s="71">
        <v>44409</v>
      </c>
      <c r="B273" s="61">
        <v>738767.71119599999</v>
      </c>
      <c r="C273" s="61">
        <v>0</v>
      </c>
      <c r="D273" s="61">
        <v>825667.73582768685</v>
      </c>
      <c r="E273" s="61">
        <v>0</v>
      </c>
      <c r="F273" s="61">
        <v>738767.71119599999</v>
      </c>
      <c r="G273" s="61">
        <v>825667.73582768685</v>
      </c>
    </row>
    <row r="274" spans="1:7" ht="11.25" customHeight="1" x14ac:dyDescent="0.2">
      <c r="A274" s="71">
        <v>44440</v>
      </c>
      <c r="B274" s="61">
        <v>883110.95367299998</v>
      </c>
      <c r="C274" s="61">
        <v>0</v>
      </c>
      <c r="D274" s="61">
        <v>986989.83530746808</v>
      </c>
      <c r="E274" s="61">
        <v>0</v>
      </c>
      <c r="F274" s="61">
        <v>883110.95367299998</v>
      </c>
      <c r="G274" s="61">
        <v>986989.83530746808</v>
      </c>
    </row>
    <row r="275" spans="1:7" ht="11.25" customHeight="1" x14ac:dyDescent="0.2">
      <c r="A275" s="71">
        <v>44470</v>
      </c>
      <c r="B275" s="61">
        <v>883110.95367299998</v>
      </c>
      <c r="C275" s="61">
        <v>0</v>
      </c>
      <c r="D275" s="61">
        <v>986989.83530746808</v>
      </c>
      <c r="E275" s="61">
        <v>0</v>
      </c>
      <c r="F275" s="61">
        <v>883110.95367299998</v>
      </c>
      <c r="G275" s="61">
        <v>986989.83530746808</v>
      </c>
    </row>
    <row r="276" spans="1:7" ht="11.25" customHeight="1" x14ac:dyDescent="0.2">
      <c r="A276" s="70" t="s">
        <v>25</v>
      </c>
      <c r="B276" s="61">
        <v>0</v>
      </c>
      <c r="C276" s="61">
        <v>0</v>
      </c>
      <c r="D276" s="61">
        <v>0</v>
      </c>
      <c r="E276" s="61">
        <v>0</v>
      </c>
      <c r="F276" s="61">
        <v>0</v>
      </c>
      <c r="G276" s="61">
        <v>0</v>
      </c>
    </row>
    <row r="277" spans="1:7" ht="11.25" customHeight="1" x14ac:dyDescent="0.2">
      <c r="A277" s="71">
        <v>44136</v>
      </c>
      <c r="B277" s="61">
        <v>0</v>
      </c>
      <c r="C277" s="61">
        <v>0</v>
      </c>
      <c r="D277" s="61">
        <v>0</v>
      </c>
      <c r="E277" s="61">
        <v>0</v>
      </c>
      <c r="F277" s="61">
        <v>0</v>
      </c>
      <c r="G277" s="61">
        <v>0</v>
      </c>
    </row>
    <row r="278" spans="1:7" ht="11.25" customHeight="1" x14ac:dyDescent="0.2">
      <c r="A278" s="71">
        <v>44166</v>
      </c>
      <c r="B278" s="61">
        <v>0</v>
      </c>
      <c r="C278" s="61">
        <v>0</v>
      </c>
      <c r="D278" s="61">
        <v>0</v>
      </c>
      <c r="E278" s="61">
        <v>0</v>
      </c>
      <c r="F278" s="61">
        <v>0</v>
      </c>
      <c r="G278" s="61">
        <v>0</v>
      </c>
    </row>
    <row r="279" spans="1:7" ht="11.25" customHeight="1" x14ac:dyDescent="0.2">
      <c r="A279" s="71">
        <v>44197</v>
      </c>
      <c r="B279" s="61">
        <v>0</v>
      </c>
      <c r="C279" s="61">
        <v>0</v>
      </c>
      <c r="D279" s="61">
        <v>0</v>
      </c>
      <c r="E279" s="61">
        <v>0</v>
      </c>
      <c r="F279" s="61">
        <v>0</v>
      </c>
      <c r="G279" s="61">
        <v>0</v>
      </c>
    </row>
    <row r="280" spans="1:7" ht="11.25" customHeight="1" x14ac:dyDescent="0.2">
      <c r="A280" s="71">
        <v>44228</v>
      </c>
      <c r="B280" s="61">
        <v>0</v>
      </c>
      <c r="C280" s="61">
        <v>0</v>
      </c>
      <c r="D280" s="61">
        <v>0</v>
      </c>
      <c r="E280" s="61">
        <v>0</v>
      </c>
      <c r="F280" s="61">
        <v>0</v>
      </c>
      <c r="G280" s="61">
        <v>0</v>
      </c>
    </row>
    <row r="281" spans="1:7" ht="11.25" customHeight="1" x14ac:dyDescent="0.2">
      <c r="A281" s="71">
        <v>44256</v>
      </c>
      <c r="B281" s="61">
        <v>0</v>
      </c>
      <c r="C281" s="61">
        <v>0</v>
      </c>
      <c r="D281" s="61">
        <v>0</v>
      </c>
      <c r="E281" s="61">
        <v>0</v>
      </c>
      <c r="F281" s="61">
        <v>0</v>
      </c>
      <c r="G281" s="61">
        <v>0</v>
      </c>
    </row>
    <row r="282" spans="1:7" ht="11.25" customHeight="1" x14ac:dyDescent="0.2">
      <c r="A282" s="71">
        <v>44287</v>
      </c>
      <c r="B282" s="61">
        <v>0</v>
      </c>
      <c r="C282" s="61">
        <v>0</v>
      </c>
      <c r="D282" s="61">
        <v>0</v>
      </c>
      <c r="E282" s="61">
        <v>0</v>
      </c>
      <c r="F282" s="61">
        <v>0</v>
      </c>
      <c r="G282" s="61">
        <v>0</v>
      </c>
    </row>
    <row r="283" spans="1:7" ht="11.25" customHeight="1" x14ac:dyDescent="0.2">
      <c r="A283" s="71">
        <v>44317</v>
      </c>
      <c r="B283" s="61">
        <v>0</v>
      </c>
      <c r="C283" s="61">
        <v>0</v>
      </c>
      <c r="D283" s="61">
        <v>0</v>
      </c>
      <c r="E283" s="61">
        <v>0</v>
      </c>
      <c r="F283" s="61">
        <v>0</v>
      </c>
      <c r="G283" s="61">
        <v>0</v>
      </c>
    </row>
    <row r="284" spans="1:7" ht="11.25" customHeight="1" x14ac:dyDescent="0.2">
      <c r="A284" s="71">
        <v>44348</v>
      </c>
      <c r="B284" s="61">
        <v>0</v>
      </c>
      <c r="C284" s="61">
        <v>0</v>
      </c>
      <c r="D284" s="61">
        <v>0</v>
      </c>
      <c r="E284" s="61">
        <v>0</v>
      </c>
      <c r="F284" s="61">
        <v>0</v>
      </c>
      <c r="G284" s="61">
        <v>0</v>
      </c>
    </row>
    <row r="285" spans="1:7" ht="11.25" customHeight="1" x14ac:dyDescent="0.2">
      <c r="A285" s="71">
        <v>44378</v>
      </c>
      <c r="B285" s="61">
        <v>0</v>
      </c>
      <c r="C285" s="61">
        <v>0</v>
      </c>
      <c r="D285" s="61">
        <v>0</v>
      </c>
      <c r="E285" s="61">
        <v>0</v>
      </c>
      <c r="F285" s="61">
        <v>0</v>
      </c>
      <c r="G285" s="61">
        <v>0</v>
      </c>
    </row>
    <row r="286" spans="1:7" ht="11.25" customHeight="1" x14ac:dyDescent="0.2">
      <c r="A286" s="71">
        <v>44409</v>
      </c>
      <c r="B286" s="61">
        <v>0</v>
      </c>
      <c r="C286" s="61">
        <v>0</v>
      </c>
      <c r="D286" s="61">
        <v>0</v>
      </c>
      <c r="E286" s="61">
        <v>0</v>
      </c>
      <c r="F286" s="61">
        <v>0</v>
      </c>
      <c r="G286" s="61">
        <v>0</v>
      </c>
    </row>
    <row r="287" spans="1:7" ht="11.25" customHeight="1" x14ac:dyDescent="0.2">
      <c r="A287" s="71">
        <v>44440</v>
      </c>
      <c r="B287" s="61">
        <v>0</v>
      </c>
      <c r="C287" s="61">
        <v>0</v>
      </c>
      <c r="D287" s="61">
        <v>0</v>
      </c>
      <c r="E287" s="61">
        <v>0</v>
      </c>
      <c r="F287" s="61">
        <v>0</v>
      </c>
      <c r="G287" s="61">
        <v>0</v>
      </c>
    </row>
    <row r="288" spans="1:7" ht="11.25" customHeight="1" x14ac:dyDescent="0.2">
      <c r="A288" s="71">
        <v>44470</v>
      </c>
      <c r="B288" s="61">
        <v>0</v>
      </c>
      <c r="C288" s="61">
        <v>0</v>
      </c>
      <c r="D288" s="61">
        <v>0</v>
      </c>
      <c r="E288" s="61">
        <v>0</v>
      </c>
      <c r="F288" s="61">
        <v>0</v>
      </c>
      <c r="G288" s="61">
        <v>0</v>
      </c>
    </row>
    <row r="289" spans="1:7" ht="11.25" customHeight="1" x14ac:dyDescent="0.2">
      <c r="A289" s="70" t="s">
        <v>37</v>
      </c>
      <c r="B289" s="61">
        <v>14906650.723517001</v>
      </c>
      <c r="C289" s="61">
        <v>0</v>
      </c>
      <c r="D289" s="61">
        <v>16675068.325838745</v>
      </c>
      <c r="E289" s="61">
        <v>0</v>
      </c>
      <c r="F289" s="61">
        <v>14906650.723517001</v>
      </c>
      <c r="G289" s="61">
        <v>16675068.325838745</v>
      </c>
    </row>
    <row r="290" spans="1:7" ht="11.25" customHeight="1" x14ac:dyDescent="0.2">
      <c r="A290" s="71">
        <v>44136</v>
      </c>
      <c r="B290" s="61">
        <v>1161021.842435</v>
      </c>
      <c r="C290" s="61">
        <v>0</v>
      </c>
      <c r="D290" s="61">
        <v>1298757.1057697043</v>
      </c>
      <c r="E290" s="61">
        <v>0</v>
      </c>
      <c r="F290" s="61">
        <v>1161021.842435</v>
      </c>
      <c r="G290" s="61">
        <v>1298757.1057697043</v>
      </c>
    </row>
    <row r="291" spans="1:7" ht="11.25" customHeight="1" x14ac:dyDescent="0.2">
      <c r="A291" s="71">
        <v>44166</v>
      </c>
      <c r="B291" s="61">
        <v>1170446.6173399999</v>
      </c>
      <c r="C291" s="61">
        <v>0</v>
      </c>
      <c r="D291" s="61">
        <v>1309299.9680404749</v>
      </c>
      <c r="E291" s="61">
        <v>0</v>
      </c>
      <c r="F291" s="61">
        <v>1170446.6173399999</v>
      </c>
      <c r="G291" s="61">
        <v>1309299.9680404749</v>
      </c>
    </row>
    <row r="292" spans="1:7" ht="11.25" customHeight="1" x14ac:dyDescent="0.2">
      <c r="A292" s="71">
        <v>44197</v>
      </c>
      <c r="B292" s="61">
        <v>980634.7628560001</v>
      </c>
      <c r="C292" s="61">
        <v>0</v>
      </c>
      <c r="D292" s="61">
        <v>1096970.2032072854</v>
      </c>
      <c r="E292" s="61">
        <v>0</v>
      </c>
      <c r="F292" s="61">
        <v>980634.7628560001</v>
      </c>
      <c r="G292" s="61">
        <v>1096970.2032072854</v>
      </c>
    </row>
    <row r="293" spans="1:7" ht="11.25" customHeight="1" x14ac:dyDescent="0.2">
      <c r="A293" s="71">
        <v>44228</v>
      </c>
      <c r="B293" s="61">
        <v>1236578.2433200001</v>
      </c>
      <c r="C293" s="61">
        <v>0</v>
      </c>
      <c r="D293" s="61">
        <v>1383276.9734837967</v>
      </c>
      <c r="E293" s="61">
        <v>0</v>
      </c>
      <c r="F293" s="61">
        <v>1236578.2433200001</v>
      </c>
      <c r="G293" s="61">
        <v>1383276.9734837967</v>
      </c>
    </row>
    <row r="294" spans="1:7" ht="11.25" customHeight="1" x14ac:dyDescent="0.2">
      <c r="A294" s="71">
        <v>44256</v>
      </c>
      <c r="B294" s="61">
        <v>1255946.4274560001</v>
      </c>
      <c r="C294" s="61">
        <v>0</v>
      </c>
      <c r="D294" s="61">
        <v>1404942.859389724</v>
      </c>
      <c r="E294" s="61">
        <v>0</v>
      </c>
      <c r="F294" s="61">
        <v>1255946.4274560001</v>
      </c>
      <c r="G294" s="61">
        <v>1404942.859389724</v>
      </c>
    </row>
    <row r="295" spans="1:7" ht="11.25" customHeight="1" x14ac:dyDescent="0.2">
      <c r="A295" s="71">
        <v>44287</v>
      </c>
      <c r="B295" s="61">
        <v>1275808.0544720001</v>
      </c>
      <c r="C295" s="61">
        <v>0</v>
      </c>
      <c r="D295" s="61">
        <v>1427160.7266824504</v>
      </c>
      <c r="E295" s="61">
        <v>0</v>
      </c>
      <c r="F295" s="61">
        <v>1275808.0544720001</v>
      </c>
      <c r="G295" s="61">
        <v>1427160.7266824504</v>
      </c>
    </row>
    <row r="296" spans="1:7" ht="11.25" customHeight="1" x14ac:dyDescent="0.2">
      <c r="A296" s="71">
        <v>44317</v>
      </c>
      <c r="B296" s="61">
        <v>1292761.7810520001</v>
      </c>
      <c r="C296" s="61">
        <v>0</v>
      </c>
      <c r="D296" s="61">
        <v>1446125.7211901092</v>
      </c>
      <c r="E296" s="61">
        <v>0</v>
      </c>
      <c r="F296" s="61">
        <v>1292761.7810520001</v>
      </c>
      <c r="G296" s="61">
        <v>1446125.7211901092</v>
      </c>
    </row>
    <row r="297" spans="1:7" ht="11.25" customHeight="1" x14ac:dyDescent="0.2">
      <c r="A297" s="71">
        <v>44348</v>
      </c>
      <c r="B297" s="61">
        <v>980634.7628560001</v>
      </c>
      <c r="C297" s="61">
        <v>0</v>
      </c>
      <c r="D297" s="61">
        <v>1096970.2032072854</v>
      </c>
      <c r="E297" s="61">
        <v>0</v>
      </c>
      <c r="F297" s="61">
        <v>980634.7628560001</v>
      </c>
      <c r="G297" s="61">
        <v>1096970.2032072854</v>
      </c>
    </row>
    <row r="298" spans="1:7" ht="11.25" customHeight="1" x14ac:dyDescent="0.2">
      <c r="A298" s="71">
        <v>44378</v>
      </c>
      <c r="B298" s="61">
        <v>1347712.6018160002</v>
      </c>
      <c r="C298" s="61">
        <v>0</v>
      </c>
      <c r="D298" s="61">
        <v>1507595.5112721317</v>
      </c>
      <c r="E298" s="61">
        <v>0</v>
      </c>
      <c r="F298" s="61">
        <v>1347712.6018160002</v>
      </c>
      <c r="G298" s="61">
        <v>1507595.5112721317</v>
      </c>
    </row>
    <row r="299" spans="1:7" ht="11.25" customHeight="1" x14ac:dyDescent="0.2">
      <c r="A299" s="71">
        <v>44409</v>
      </c>
      <c r="B299" s="61">
        <v>1246019.7683640001</v>
      </c>
      <c r="C299" s="61">
        <v>0</v>
      </c>
      <c r="D299" s="61">
        <v>1393838.5730093322</v>
      </c>
      <c r="E299" s="61">
        <v>0</v>
      </c>
      <c r="F299" s="61">
        <v>1246019.7683640001</v>
      </c>
      <c r="G299" s="61">
        <v>1393838.5730093322</v>
      </c>
    </row>
    <row r="300" spans="1:7" ht="11.25" customHeight="1" x14ac:dyDescent="0.2">
      <c r="A300" s="71">
        <v>44440</v>
      </c>
      <c r="B300" s="61">
        <v>1479542.930775</v>
      </c>
      <c r="C300" s="61">
        <v>0</v>
      </c>
      <c r="D300" s="61">
        <v>1655065.2402932241</v>
      </c>
      <c r="E300" s="61">
        <v>0</v>
      </c>
      <c r="F300" s="61">
        <v>1479542.930775</v>
      </c>
      <c r="G300" s="61">
        <v>1655065.2402932241</v>
      </c>
    </row>
    <row r="301" spans="1:7" ht="11.25" customHeight="1" x14ac:dyDescent="0.2">
      <c r="A301" s="71">
        <v>44470</v>
      </c>
      <c r="B301" s="61">
        <v>1479542.930775</v>
      </c>
      <c r="C301" s="61">
        <v>0</v>
      </c>
      <c r="D301" s="61">
        <v>1655065.2402932241</v>
      </c>
      <c r="E301" s="61">
        <v>0</v>
      </c>
      <c r="F301" s="61">
        <v>1479542.930775</v>
      </c>
      <c r="G301" s="61">
        <v>1655065.2402932241</v>
      </c>
    </row>
    <row r="302" spans="1:7" ht="11.25" customHeight="1" x14ac:dyDescent="0.2">
      <c r="A302" s="65" t="s">
        <v>36</v>
      </c>
      <c r="B302" s="61">
        <v>18449584.388940006</v>
      </c>
      <c r="C302" s="61">
        <v>21138284.074781891</v>
      </c>
      <c r="D302" s="61">
        <v>20619778.502117634</v>
      </c>
      <c r="E302" s="61">
        <v>22126022.07458245</v>
      </c>
      <c r="F302" s="61">
        <v>39587868.463721901</v>
      </c>
      <c r="G302" s="61">
        <v>42745800.576700084</v>
      </c>
    </row>
    <row r="303" spans="1:7" ht="11.25" customHeight="1" x14ac:dyDescent="0.2">
      <c r="A303" s="66" t="s">
        <v>42</v>
      </c>
      <c r="B303" s="61">
        <v>18449584.388940006</v>
      </c>
      <c r="C303" s="61">
        <v>21138284.074781891</v>
      </c>
      <c r="D303" s="61">
        <v>20619778.502117634</v>
      </c>
      <c r="E303" s="61">
        <v>22126022.07458245</v>
      </c>
      <c r="F303" s="61">
        <v>39587868.463721901</v>
      </c>
      <c r="G303" s="61">
        <v>42745800.576700084</v>
      </c>
    </row>
    <row r="304" spans="1:7" ht="11.25" customHeight="1" x14ac:dyDescent="0.2">
      <c r="A304" s="67" t="s">
        <v>25</v>
      </c>
      <c r="B304" s="61">
        <v>18449584.388940006</v>
      </c>
      <c r="C304" s="61">
        <v>21138284.074781891</v>
      </c>
      <c r="D304" s="61">
        <v>20619778.502117634</v>
      </c>
      <c r="E304" s="61">
        <v>22126022.07458245</v>
      </c>
      <c r="F304" s="61">
        <v>39587868.463721901</v>
      </c>
      <c r="G304" s="61">
        <v>42745800.576700084</v>
      </c>
    </row>
    <row r="305" spans="1:7" ht="11.25" customHeight="1" x14ac:dyDescent="0.2">
      <c r="A305" s="68" t="s">
        <v>62</v>
      </c>
      <c r="B305" s="61">
        <v>18449584.388940006</v>
      </c>
      <c r="C305" s="61">
        <v>21138284.074781891</v>
      </c>
      <c r="D305" s="61">
        <v>20619778.502117634</v>
      </c>
      <c r="E305" s="61">
        <v>22126022.07458245</v>
      </c>
      <c r="F305" s="61">
        <v>39587868.463721901</v>
      </c>
      <c r="G305" s="61">
        <v>42745800.576700084</v>
      </c>
    </row>
    <row r="306" spans="1:7" ht="11.25" customHeight="1" x14ac:dyDescent="0.2">
      <c r="A306" s="69" t="s">
        <v>25</v>
      </c>
      <c r="B306" s="61">
        <v>18449584.388940006</v>
      </c>
      <c r="C306" s="61">
        <v>21138284.074781891</v>
      </c>
      <c r="D306" s="61">
        <v>20619778.502117634</v>
      </c>
      <c r="E306" s="61">
        <v>22126022.07458245</v>
      </c>
      <c r="F306" s="61">
        <v>39587868.463721901</v>
      </c>
      <c r="G306" s="61">
        <v>42745800.576700084</v>
      </c>
    </row>
    <row r="307" spans="1:7" ht="11.25" customHeight="1" x14ac:dyDescent="0.2">
      <c r="A307" s="70" t="s">
        <v>38</v>
      </c>
      <c r="B307" s="61">
        <v>0</v>
      </c>
      <c r="C307" s="61">
        <v>0</v>
      </c>
      <c r="D307" s="61">
        <v>0</v>
      </c>
      <c r="E307" s="61">
        <v>0</v>
      </c>
      <c r="F307" s="61">
        <v>0</v>
      </c>
      <c r="G307" s="61">
        <v>0</v>
      </c>
    </row>
    <row r="308" spans="1:7" ht="11.25" customHeight="1" x14ac:dyDescent="0.2">
      <c r="A308" s="71">
        <v>44136</v>
      </c>
      <c r="B308" s="61">
        <v>0</v>
      </c>
      <c r="C308" s="61">
        <v>0</v>
      </c>
      <c r="D308" s="61">
        <v>0</v>
      </c>
      <c r="E308" s="61">
        <v>0</v>
      </c>
      <c r="F308" s="61">
        <v>0</v>
      </c>
      <c r="G308" s="61">
        <v>0</v>
      </c>
    </row>
    <row r="309" spans="1:7" ht="11.25" customHeight="1" x14ac:dyDescent="0.2">
      <c r="A309" s="71">
        <v>44166</v>
      </c>
      <c r="B309" s="61">
        <v>0</v>
      </c>
      <c r="C309" s="61">
        <v>0</v>
      </c>
      <c r="D309" s="61">
        <v>0</v>
      </c>
      <c r="E309" s="61">
        <v>0</v>
      </c>
      <c r="F309" s="61">
        <v>0</v>
      </c>
      <c r="G309" s="61">
        <v>0</v>
      </c>
    </row>
    <row r="310" spans="1:7" ht="11.25" customHeight="1" x14ac:dyDescent="0.2">
      <c r="A310" s="71">
        <v>44197</v>
      </c>
      <c r="B310" s="61">
        <v>0</v>
      </c>
      <c r="C310" s="61">
        <v>0</v>
      </c>
      <c r="D310" s="61">
        <v>0</v>
      </c>
      <c r="E310" s="61">
        <v>0</v>
      </c>
      <c r="F310" s="61">
        <v>0</v>
      </c>
      <c r="G310" s="61">
        <v>0</v>
      </c>
    </row>
    <row r="311" spans="1:7" ht="11.25" customHeight="1" x14ac:dyDescent="0.2">
      <c r="A311" s="71">
        <v>44228</v>
      </c>
      <c r="B311" s="61">
        <v>0</v>
      </c>
      <c r="C311" s="61">
        <v>0</v>
      </c>
      <c r="D311" s="61">
        <v>0</v>
      </c>
      <c r="E311" s="61">
        <v>0</v>
      </c>
      <c r="F311" s="61">
        <v>0</v>
      </c>
      <c r="G311" s="61">
        <v>0</v>
      </c>
    </row>
    <row r="312" spans="1:7" ht="11.25" customHeight="1" x14ac:dyDescent="0.2">
      <c r="A312" s="71">
        <v>44256</v>
      </c>
      <c r="B312" s="61">
        <v>0</v>
      </c>
      <c r="C312" s="61">
        <v>0</v>
      </c>
      <c r="D312" s="61">
        <v>0</v>
      </c>
      <c r="E312" s="61">
        <v>0</v>
      </c>
      <c r="F312" s="61">
        <v>0</v>
      </c>
      <c r="G312" s="61">
        <v>0</v>
      </c>
    </row>
    <row r="313" spans="1:7" ht="11.25" customHeight="1" x14ac:dyDescent="0.2">
      <c r="A313" s="71">
        <v>44287</v>
      </c>
      <c r="B313" s="61">
        <v>0</v>
      </c>
      <c r="C313" s="61">
        <v>0</v>
      </c>
      <c r="D313" s="61">
        <v>0</v>
      </c>
      <c r="E313" s="61">
        <v>0</v>
      </c>
      <c r="F313" s="61">
        <v>0</v>
      </c>
      <c r="G313" s="61">
        <v>0</v>
      </c>
    </row>
    <row r="314" spans="1:7" ht="11.25" customHeight="1" x14ac:dyDescent="0.2">
      <c r="A314" s="71">
        <v>44317</v>
      </c>
      <c r="B314" s="61">
        <v>0</v>
      </c>
      <c r="C314" s="61">
        <v>0</v>
      </c>
      <c r="D314" s="61">
        <v>0</v>
      </c>
      <c r="E314" s="61">
        <v>0</v>
      </c>
      <c r="F314" s="61">
        <v>0</v>
      </c>
      <c r="G314" s="61">
        <v>0</v>
      </c>
    </row>
    <row r="315" spans="1:7" ht="11.25" customHeight="1" x14ac:dyDescent="0.2">
      <c r="A315" s="71">
        <v>44348</v>
      </c>
      <c r="B315" s="61">
        <v>0</v>
      </c>
      <c r="C315" s="61">
        <v>0</v>
      </c>
      <c r="D315" s="61">
        <v>0</v>
      </c>
      <c r="E315" s="61">
        <v>0</v>
      </c>
      <c r="F315" s="61">
        <v>0</v>
      </c>
      <c r="G315" s="61">
        <v>0</v>
      </c>
    </row>
    <row r="316" spans="1:7" ht="11.25" customHeight="1" x14ac:dyDescent="0.2">
      <c r="A316" s="71">
        <v>44378</v>
      </c>
      <c r="B316" s="61">
        <v>0</v>
      </c>
      <c r="C316" s="61">
        <v>0</v>
      </c>
      <c r="D316" s="61">
        <v>0</v>
      </c>
      <c r="E316" s="61">
        <v>0</v>
      </c>
      <c r="F316" s="61">
        <v>0</v>
      </c>
      <c r="G316" s="61">
        <v>0</v>
      </c>
    </row>
    <row r="317" spans="1:7" ht="11.25" customHeight="1" x14ac:dyDescent="0.2">
      <c r="A317" s="71">
        <v>44409</v>
      </c>
      <c r="B317" s="61">
        <v>0</v>
      </c>
      <c r="C317" s="61">
        <v>0</v>
      </c>
      <c r="D317" s="61">
        <v>0</v>
      </c>
      <c r="E317" s="61">
        <v>0</v>
      </c>
      <c r="F317" s="61">
        <v>0</v>
      </c>
      <c r="G317" s="61">
        <v>0</v>
      </c>
    </row>
    <row r="318" spans="1:7" ht="11.25" customHeight="1" x14ac:dyDescent="0.2">
      <c r="A318" s="71">
        <v>44440</v>
      </c>
      <c r="B318" s="61">
        <v>0</v>
      </c>
      <c r="C318" s="61">
        <v>0</v>
      </c>
      <c r="D318" s="61">
        <v>0</v>
      </c>
      <c r="E318" s="61">
        <v>0</v>
      </c>
      <c r="F318" s="61">
        <v>0</v>
      </c>
      <c r="G318" s="61">
        <v>0</v>
      </c>
    </row>
    <row r="319" spans="1:7" ht="11.25" customHeight="1" x14ac:dyDescent="0.2">
      <c r="A319" s="71">
        <v>44470</v>
      </c>
      <c r="B319" s="61">
        <v>0</v>
      </c>
      <c r="C319" s="61">
        <v>0</v>
      </c>
      <c r="D319" s="61">
        <v>0</v>
      </c>
      <c r="E319" s="61">
        <v>0</v>
      </c>
      <c r="F319" s="61">
        <v>0</v>
      </c>
      <c r="G319" s="61">
        <v>0</v>
      </c>
    </row>
    <row r="320" spans="1:7" ht="11.25" customHeight="1" x14ac:dyDescent="0.2">
      <c r="A320" s="70" t="s">
        <v>25</v>
      </c>
      <c r="B320" s="61">
        <v>18449584.388940006</v>
      </c>
      <c r="C320" s="61">
        <v>0</v>
      </c>
      <c r="D320" s="61">
        <v>20619778.502117634</v>
      </c>
      <c r="E320" s="61">
        <v>0</v>
      </c>
      <c r="F320" s="61">
        <v>18449584.388940006</v>
      </c>
      <c r="G320" s="61">
        <v>20619778.502117634</v>
      </c>
    </row>
    <row r="321" spans="1:7" ht="11.25" customHeight="1" x14ac:dyDescent="0.2">
      <c r="A321" s="71">
        <v>44136</v>
      </c>
      <c r="B321" s="61">
        <v>1423908.5153000001</v>
      </c>
      <c r="C321" s="61">
        <v>0</v>
      </c>
      <c r="D321" s="61">
        <v>1591400.5201312862</v>
      </c>
      <c r="E321" s="61">
        <v>0</v>
      </c>
      <c r="F321" s="61">
        <v>1423908.5153000001</v>
      </c>
      <c r="G321" s="61">
        <v>1591400.5201312862</v>
      </c>
    </row>
    <row r="322" spans="1:7" ht="11.25" customHeight="1" x14ac:dyDescent="0.2">
      <c r="A322" s="71">
        <v>44166</v>
      </c>
      <c r="B322" s="61">
        <v>1412846.58271</v>
      </c>
      <c r="C322" s="61">
        <v>0</v>
      </c>
      <c r="D322" s="61">
        <v>1579037.3906968969</v>
      </c>
      <c r="E322" s="61">
        <v>0</v>
      </c>
      <c r="F322" s="61">
        <v>1412846.58271</v>
      </c>
      <c r="G322" s="61">
        <v>1579037.3906968969</v>
      </c>
    </row>
    <row r="323" spans="1:7" ht="11.25" customHeight="1" x14ac:dyDescent="0.2">
      <c r="A323" s="71">
        <v>44197</v>
      </c>
      <c r="B323" s="61">
        <v>1383331.62996</v>
      </c>
      <c r="C323" s="61">
        <v>0</v>
      </c>
      <c r="D323" s="61">
        <v>1546050.6428452595</v>
      </c>
      <c r="E323" s="61">
        <v>0</v>
      </c>
      <c r="F323" s="61">
        <v>1383331.62996</v>
      </c>
      <c r="G323" s="61">
        <v>1546050.6428452595</v>
      </c>
    </row>
    <row r="324" spans="1:7" ht="11.25" customHeight="1" x14ac:dyDescent="0.2">
      <c r="A324" s="71">
        <v>44228</v>
      </c>
      <c r="B324" s="61">
        <v>1459077.4710500001</v>
      </c>
      <c r="C324" s="61">
        <v>0</v>
      </c>
      <c r="D324" s="61">
        <v>1630706.342009339</v>
      </c>
      <c r="E324" s="61">
        <v>0</v>
      </c>
      <c r="F324" s="61">
        <v>1459077.4710500001</v>
      </c>
      <c r="G324" s="61">
        <v>1630706.342009339</v>
      </c>
    </row>
    <row r="325" spans="1:7" ht="11.25" customHeight="1" x14ac:dyDescent="0.2">
      <c r="A325" s="71">
        <v>44256</v>
      </c>
      <c r="B325" s="61">
        <v>1509269.172768</v>
      </c>
      <c r="C325" s="61">
        <v>0</v>
      </c>
      <c r="D325" s="61">
        <v>1686802.0106299252</v>
      </c>
      <c r="E325" s="61">
        <v>0</v>
      </c>
      <c r="F325" s="61">
        <v>1509269.172768</v>
      </c>
      <c r="G325" s="61">
        <v>1686802.0106299252</v>
      </c>
    </row>
    <row r="326" spans="1:7" ht="11.25" customHeight="1" x14ac:dyDescent="0.2">
      <c r="A326" s="71">
        <v>44287</v>
      </c>
      <c r="B326" s="61">
        <v>1627016.9879400001</v>
      </c>
      <c r="C326" s="61">
        <v>0</v>
      </c>
      <c r="D326" s="61">
        <v>1818400.3066549783</v>
      </c>
      <c r="E326" s="61">
        <v>0</v>
      </c>
      <c r="F326" s="61">
        <v>1627016.9879400001</v>
      </c>
      <c r="G326" s="61">
        <v>1818400.3066549783</v>
      </c>
    </row>
    <row r="327" spans="1:7" ht="11.25" customHeight="1" x14ac:dyDescent="0.2">
      <c r="A327" s="71">
        <v>44317</v>
      </c>
      <c r="B327" s="61">
        <v>1645662.261344</v>
      </c>
      <c r="C327" s="61">
        <v>0</v>
      </c>
      <c r="D327" s="61">
        <v>1839238.7927475094</v>
      </c>
      <c r="E327" s="61">
        <v>0</v>
      </c>
      <c r="F327" s="61">
        <v>1645662.261344</v>
      </c>
      <c r="G327" s="61">
        <v>1839238.7927475094</v>
      </c>
    </row>
    <row r="328" spans="1:7" ht="11.25" customHeight="1" x14ac:dyDescent="0.2">
      <c r="A328" s="71">
        <v>44348</v>
      </c>
      <c r="B328" s="61">
        <v>1383331.62996</v>
      </c>
      <c r="C328" s="61">
        <v>0</v>
      </c>
      <c r="D328" s="61">
        <v>1546050.6428452595</v>
      </c>
      <c r="E328" s="61">
        <v>0</v>
      </c>
      <c r="F328" s="61">
        <v>1383331.62996</v>
      </c>
      <c r="G328" s="61">
        <v>1546050.6428452595</v>
      </c>
    </row>
    <row r="329" spans="1:7" ht="11.25" customHeight="1" x14ac:dyDescent="0.2">
      <c r="A329" s="71">
        <v>44378</v>
      </c>
      <c r="B329" s="61">
        <v>1608758.18664</v>
      </c>
      <c r="C329" s="61">
        <v>0</v>
      </c>
      <c r="D329" s="61">
        <v>1797993.7527411743</v>
      </c>
      <c r="E329" s="61">
        <v>0</v>
      </c>
      <c r="F329" s="61">
        <v>1608758.18664</v>
      </c>
      <c r="G329" s="61">
        <v>1797993.7527411743</v>
      </c>
    </row>
    <row r="330" spans="1:7" ht="11.25" customHeight="1" x14ac:dyDescent="0.2">
      <c r="A330" s="71">
        <v>44409</v>
      </c>
      <c r="B330" s="61">
        <v>1664848.5134119999</v>
      </c>
      <c r="C330" s="61">
        <v>0</v>
      </c>
      <c r="D330" s="61">
        <v>1860681.8919300099</v>
      </c>
      <c r="E330" s="61">
        <v>0</v>
      </c>
      <c r="F330" s="61">
        <v>1664848.5134119999</v>
      </c>
      <c r="G330" s="61">
        <v>1860681.8919300099</v>
      </c>
    </row>
    <row r="331" spans="1:7" ht="11.25" customHeight="1" x14ac:dyDescent="0.2">
      <c r="A331" s="71">
        <v>44440</v>
      </c>
      <c r="B331" s="61">
        <v>1665766.718928</v>
      </c>
      <c r="C331" s="61">
        <v>0</v>
      </c>
      <c r="D331" s="61">
        <v>1861708.1044429971</v>
      </c>
      <c r="E331" s="61">
        <v>0</v>
      </c>
      <c r="F331" s="61">
        <v>1665766.718928</v>
      </c>
      <c r="G331" s="61">
        <v>1861708.1044429971</v>
      </c>
    </row>
    <row r="332" spans="1:7" ht="11.25" customHeight="1" x14ac:dyDescent="0.2">
      <c r="A332" s="71">
        <v>44470</v>
      </c>
      <c r="B332" s="61">
        <v>1665766.718928</v>
      </c>
      <c r="C332" s="61">
        <v>0</v>
      </c>
      <c r="D332" s="61">
        <v>1861708.1044429971</v>
      </c>
      <c r="E332" s="61">
        <v>0</v>
      </c>
      <c r="F332" s="61">
        <v>1665766.718928</v>
      </c>
      <c r="G332" s="61">
        <v>1861708.1044429971</v>
      </c>
    </row>
    <row r="333" spans="1:7" ht="11.25" customHeight="1" x14ac:dyDescent="0.2">
      <c r="A333" s="70" t="s">
        <v>37</v>
      </c>
      <c r="B333" s="61">
        <v>0</v>
      </c>
      <c r="C333" s="61">
        <v>21138284.074781891</v>
      </c>
      <c r="D333" s="61">
        <v>0</v>
      </c>
      <c r="E333" s="61">
        <v>22126022.07458245</v>
      </c>
      <c r="F333" s="61">
        <v>21138284.074781891</v>
      </c>
      <c r="G333" s="61">
        <v>22126022.07458245</v>
      </c>
    </row>
    <row r="334" spans="1:7" ht="11.25" customHeight="1" x14ac:dyDescent="0.2">
      <c r="A334" s="71">
        <v>44136</v>
      </c>
      <c r="B334" s="61">
        <v>0</v>
      </c>
      <c r="C334" s="61">
        <v>1929199.1253038489</v>
      </c>
      <c r="D334" s="61">
        <v>0</v>
      </c>
      <c r="E334" s="61">
        <v>2019345.6707142177</v>
      </c>
      <c r="F334" s="61">
        <v>1929199.1253038489</v>
      </c>
      <c r="G334" s="61">
        <v>2019345.6707142177</v>
      </c>
    </row>
    <row r="335" spans="1:7" ht="11.25" customHeight="1" x14ac:dyDescent="0.2">
      <c r="A335" s="71">
        <v>44166</v>
      </c>
      <c r="B335" s="61">
        <v>0</v>
      </c>
      <c r="C335" s="61">
        <v>1687002.1336331517</v>
      </c>
      <c r="D335" s="61">
        <v>0</v>
      </c>
      <c r="E335" s="61">
        <v>1765831.4325128088</v>
      </c>
      <c r="F335" s="61">
        <v>1687002.1336331517</v>
      </c>
      <c r="G335" s="61">
        <v>1765831.4325128088</v>
      </c>
    </row>
    <row r="336" spans="1:7" ht="11.25" customHeight="1" x14ac:dyDescent="0.2">
      <c r="A336" s="71">
        <v>44197</v>
      </c>
      <c r="B336" s="61">
        <v>0</v>
      </c>
      <c r="C336" s="61">
        <v>1109417.6836525651</v>
      </c>
      <c r="D336" s="61">
        <v>0</v>
      </c>
      <c r="E336" s="61">
        <v>1161257.9370959213</v>
      </c>
      <c r="F336" s="61">
        <v>1109417.6836525651</v>
      </c>
      <c r="G336" s="61">
        <v>1161257.9370959213</v>
      </c>
    </row>
    <row r="337" spans="1:7" ht="11.25" customHeight="1" x14ac:dyDescent="0.2">
      <c r="A337" s="71">
        <v>44228</v>
      </c>
      <c r="B337" s="61">
        <v>0</v>
      </c>
      <c r="C337" s="61">
        <v>1156380.5230115319</v>
      </c>
      <c r="D337" s="61">
        <v>0</v>
      </c>
      <c r="E337" s="61">
        <v>1210415.2299331967</v>
      </c>
      <c r="F337" s="61">
        <v>1156380.5230115319</v>
      </c>
      <c r="G337" s="61">
        <v>1210415.2299331967</v>
      </c>
    </row>
    <row r="338" spans="1:7" ht="11.25" customHeight="1" x14ac:dyDescent="0.2">
      <c r="A338" s="71">
        <v>44256</v>
      </c>
      <c r="B338" s="61">
        <v>0</v>
      </c>
      <c r="C338" s="61">
        <v>1763451.2296511042</v>
      </c>
      <c r="D338" s="61">
        <v>0</v>
      </c>
      <c r="E338" s="61">
        <v>1845852.7994360151</v>
      </c>
      <c r="F338" s="61">
        <v>1763451.2296511042</v>
      </c>
      <c r="G338" s="61">
        <v>1845852.7994360151</v>
      </c>
    </row>
    <row r="339" spans="1:7" ht="11.25" customHeight="1" x14ac:dyDescent="0.2">
      <c r="A339" s="71">
        <v>44287</v>
      </c>
      <c r="B339" s="61">
        <v>0</v>
      </c>
      <c r="C339" s="61">
        <v>1753180.8541868601</v>
      </c>
      <c r="D339" s="61">
        <v>0</v>
      </c>
      <c r="E339" s="61">
        <v>1835102.5155703907</v>
      </c>
      <c r="F339" s="61">
        <v>1753180.8541868601</v>
      </c>
      <c r="G339" s="61">
        <v>1835102.5155703907</v>
      </c>
    </row>
    <row r="340" spans="1:7" ht="11.25" customHeight="1" x14ac:dyDescent="0.2">
      <c r="A340" s="71">
        <v>44317</v>
      </c>
      <c r="B340" s="61">
        <v>0</v>
      </c>
      <c r="C340" s="61">
        <v>1919802.5190147301</v>
      </c>
      <c r="D340" s="61">
        <v>0</v>
      </c>
      <c r="E340" s="61">
        <v>2009509.9850245151</v>
      </c>
      <c r="F340" s="61">
        <v>1919802.5190147301</v>
      </c>
      <c r="G340" s="61">
        <v>2009509.9850245151</v>
      </c>
    </row>
    <row r="341" spans="1:7" ht="11.25" customHeight="1" x14ac:dyDescent="0.2">
      <c r="A341" s="71">
        <v>44348</v>
      </c>
      <c r="B341" s="61">
        <v>0</v>
      </c>
      <c r="C341" s="61">
        <v>1109417.6836525651</v>
      </c>
      <c r="D341" s="61">
        <v>0</v>
      </c>
      <c r="E341" s="61">
        <v>1161257.9370959213</v>
      </c>
      <c r="F341" s="61">
        <v>1109417.6836525651</v>
      </c>
      <c r="G341" s="61">
        <v>1161257.9370959213</v>
      </c>
    </row>
    <row r="342" spans="1:7" ht="11.25" customHeight="1" x14ac:dyDescent="0.2">
      <c r="A342" s="71">
        <v>44378</v>
      </c>
      <c r="B342" s="61">
        <v>0</v>
      </c>
      <c r="C342" s="61">
        <v>2101830.959723474</v>
      </c>
      <c r="D342" s="61">
        <v>0</v>
      </c>
      <c r="E342" s="61">
        <v>2200044.1496272325</v>
      </c>
      <c r="F342" s="61">
        <v>2101830.959723474</v>
      </c>
      <c r="G342" s="61">
        <v>2200044.1496272325</v>
      </c>
    </row>
    <row r="343" spans="1:7" ht="11.25" customHeight="1" x14ac:dyDescent="0.2">
      <c r="A343" s="71">
        <v>44409</v>
      </c>
      <c r="B343" s="61">
        <v>0</v>
      </c>
      <c r="C343" s="61">
        <v>2257588.7527949284</v>
      </c>
      <c r="D343" s="61">
        <v>0</v>
      </c>
      <c r="E343" s="61">
        <v>2363080.1063583987</v>
      </c>
      <c r="F343" s="61">
        <v>2257588.7527949284</v>
      </c>
      <c r="G343" s="61">
        <v>2363080.1063583987</v>
      </c>
    </row>
    <row r="344" spans="1:7" ht="11.25" customHeight="1" x14ac:dyDescent="0.2">
      <c r="A344" s="71">
        <v>44440</v>
      </c>
      <c r="B344" s="61">
        <v>0</v>
      </c>
      <c r="C344" s="61">
        <v>2175506.3050785675</v>
      </c>
      <c r="D344" s="61">
        <v>0</v>
      </c>
      <c r="E344" s="61">
        <v>2277162.1556069162</v>
      </c>
      <c r="F344" s="61">
        <v>2175506.3050785675</v>
      </c>
      <c r="G344" s="61">
        <v>2277162.1556069162</v>
      </c>
    </row>
    <row r="345" spans="1:7" ht="11.25" customHeight="1" x14ac:dyDescent="0.2">
      <c r="A345" s="71">
        <v>44470</v>
      </c>
      <c r="B345" s="61">
        <v>0</v>
      </c>
      <c r="C345" s="61">
        <v>2175506.3050785675</v>
      </c>
      <c r="D345" s="61">
        <v>0</v>
      </c>
      <c r="E345" s="61">
        <v>2277162.1556069162</v>
      </c>
      <c r="F345" s="61">
        <v>2175506.3050785675</v>
      </c>
      <c r="G345" s="61">
        <v>2277162.1556069162</v>
      </c>
    </row>
    <row r="346" spans="1:7" ht="11.25" customHeight="1" x14ac:dyDescent="0.2">
      <c r="A346" s="63" t="s">
        <v>843</v>
      </c>
      <c r="B346" s="61">
        <v>0</v>
      </c>
      <c r="C346" s="61">
        <v>0</v>
      </c>
      <c r="D346" s="61">
        <v>0</v>
      </c>
      <c r="E346" s="61">
        <v>0</v>
      </c>
      <c r="F346" s="61">
        <v>0</v>
      </c>
      <c r="G346" s="61">
        <v>0</v>
      </c>
    </row>
    <row r="347" spans="1:7" ht="11.25" customHeight="1" x14ac:dyDescent="0.2">
      <c r="A347" s="64" t="s">
        <v>43</v>
      </c>
      <c r="B347" s="61">
        <v>0</v>
      </c>
      <c r="C347" s="61">
        <v>0</v>
      </c>
      <c r="D347" s="61">
        <v>0</v>
      </c>
      <c r="E347" s="61">
        <v>0</v>
      </c>
      <c r="F347" s="61">
        <v>0</v>
      </c>
      <c r="G347" s="61">
        <v>0</v>
      </c>
    </row>
    <row r="348" spans="1:7" ht="11.25" customHeight="1" x14ac:dyDescent="0.2">
      <c r="A348" s="65" t="s">
        <v>63</v>
      </c>
      <c r="B348" s="61">
        <v>0</v>
      </c>
      <c r="C348" s="61">
        <v>0</v>
      </c>
      <c r="D348" s="61">
        <v>0</v>
      </c>
      <c r="E348" s="61">
        <v>0</v>
      </c>
      <c r="F348" s="61">
        <v>0</v>
      </c>
      <c r="G348" s="61">
        <v>0</v>
      </c>
    </row>
    <row r="349" spans="1:7" ht="11.25" customHeight="1" x14ac:dyDescent="0.2">
      <c r="A349" s="66" t="s">
        <v>25</v>
      </c>
      <c r="B349" s="61">
        <v>0</v>
      </c>
      <c r="C349" s="61">
        <v>0</v>
      </c>
      <c r="D349" s="61">
        <v>0</v>
      </c>
      <c r="E349" s="61">
        <v>0</v>
      </c>
      <c r="F349" s="61">
        <v>0</v>
      </c>
      <c r="G349" s="61">
        <v>0</v>
      </c>
    </row>
    <row r="350" spans="1:7" ht="11.25" customHeight="1" x14ac:dyDescent="0.2">
      <c r="A350" s="67" t="s">
        <v>25</v>
      </c>
      <c r="B350" s="61">
        <v>0</v>
      </c>
      <c r="C350" s="61">
        <v>0</v>
      </c>
      <c r="D350" s="61">
        <v>0</v>
      </c>
      <c r="E350" s="61">
        <v>0</v>
      </c>
      <c r="F350" s="61">
        <v>0</v>
      </c>
      <c r="G350" s="61">
        <v>0</v>
      </c>
    </row>
    <row r="351" spans="1:7" ht="11.25" customHeight="1" x14ac:dyDescent="0.2">
      <c r="A351" s="68" t="s">
        <v>25</v>
      </c>
      <c r="B351" s="61">
        <v>0</v>
      </c>
      <c r="C351" s="61">
        <v>0</v>
      </c>
      <c r="D351" s="61">
        <v>0</v>
      </c>
      <c r="E351" s="61">
        <v>0</v>
      </c>
      <c r="F351" s="61">
        <v>0</v>
      </c>
      <c r="G351" s="61">
        <v>0</v>
      </c>
    </row>
    <row r="352" spans="1:7" ht="11.25" customHeight="1" x14ac:dyDescent="0.2">
      <c r="A352" s="69" t="s">
        <v>64</v>
      </c>
      <c r="B352" s="61">
        <v>0</v>
      </c>
      <c r="C352" s="61">
        <v>0</v>
      </c>
      <c r="D352" s="61">
        <v>0</v>
      </c>
      <c r="E352" s="61">
        <v>0</v>
      </c>
      <c r="F352" s="61">
        <v>0</v>
      </c>
      <c r="G352" s="61">
        <v>0</v>
      </c>
    </row>
    <row r="353" spans="1:7" ht="11.25" customHeight="1" x14ac:dyDescent="0.2">
      <c r="A353" s="70" t="s">
        <v>25</v>
      </c>
      <c r="B353" s="61">
        <v>0</v>
      </c>
      <c r="C353" s="61">
        <v>0</v>
      </c>
      <c r="D353" s="61">
        <v>0</v>
      </c>
      <c r="E353" s="61">
        <v>0</v>
      </c>
      <c r="F353" s="61">
        <v>0</v>
      </c>
      <c r="G353" s="61">
        <v>0</v>
      </c>
    </row>
    <row r="354" spans="1:7" ht="11.25" customHeight="1" x14ac:dyDescent="0.2">
      <c r="A354" s="71">
        <v>44136</v>
      </c>
      <c r="B354" s="61">
        <v>0</v>
      </c>
      <c r="C354" s="61">
        <v>0</v>
      </c>
      <c r="D354" s="61">
        <v>0</v>
      </c>
      <c r="E354" s="61">
        <v>0</v>
      </c>
      <c r="F354" s="61">
        <v>0</v>
      </c>
      <c r="G354" s="61">
        <v>0</v>
      </c>
    </row>
    <row r="355" spans="1:7" ht="11.25" customHeight="1" x14ac:dyDescent="0.2">
      <c r="A355" s="71">
        <v>44166</v>
      </c>
      <c r="B355" s="61">
        <v>0</v>
      </c>
      <c r="C355" s="61">
        <v>0</v>
      </c>
      <c r="D355" s="61">
        <v>0</v>
      </c>
      <c r="E355" s="61">
        <v>0</v>
      </c>
      <c r="F355" s="61">
        <v>0</v>
      </c>
      <c r="G355" s="61">
        <v>0</v>
      </c>
    </row>
    <row r="356" spans="1:7" ht="11.25" customHeight="1" x14ac:dyDescent="0.2">
      <c r="A356" s="71">
        <v>44197</v>
      </c>
      <c r="B356" s="61">
        <v>0</v>
      </c>
      <c r="C356" s="61">
        <v>0</v>
      </c>
      <c r="D356" s="61">
        <v>0</v>
      </c>
      <c r="E356" s="61">
        <v>0</v>
      </c>
      <c r="F356" s="61">
        <v>0</v>
      </c>
      <c r="G356" s="61">
        <v>0</v>
      </c>
    </row>
    <row r="357" spans="1:7" ht="11.25" customHeight="1" x14ac:dyDescent="0.2">
      <c r="A357" s="71">
        <v>44228</v>
      </c>
      <c r="B357" s="61">
        <v>0</v>
      </c>
      <c r="C357" s="61">
        <v>0</v>
      </c>
      <c r="D357" s="61">
        <v>0</v>
      </c>
      <c r="E357" s="61">
        <v>0</v>
      </c>
      <c r="F357" s="61">
        <v>0</v>
      </c>
      <c r="G357" s="61">
        <v>0</v>
      </c>
    </row>
    <row r="358" spans="1:7" ht="11.25" customHeight="1" x14ac:dyDescent="0.2">
      <c r="A358" s="71">
        <v>44256</v>
      </c>
      <c r="B358" s="61">
        <v>0</v>
      </c>
      <c r="C358" s="61">
        <v>0</v>
      </c>
      <c r="D358" s="61">
        <v>0</v>
      </c>
      <c r="E358" s="61">
        <v>0</v>
      </c>
      <c r="F358" s="61">
        <v>0</v>
      </c>
      <c r="G358" s="61">
        <v>0</v>
      </c>
    </row>
    <row r="359" spans="1:7" ht="11.25" customHeight="1" x14ac:dyDescent="0.2">
      <c r="A359" s="71">
        <v>44287</v>
      </c>
      <c r="B359" s="61">
        <v>0</v>
      </c>
      <c r="C359" s="61">
        <v>0</v>
      </c>
      <c r="D359" s="61">
        <v>0</v>
      </c>
      <c r="E359" s="61">
        <v>0</v>
      </c>
      <c r="F359" s="61">
        <v>0</v>
      </c>
      <c r="G359" s="61">
        <v>0</v>
      </c>
    </row>
    <row r="360" spans="1:7" ht="11.25" customHeight="1" x14ac:dyDescent="0.2">
      <c r="A360" s="71">
        <v>44317</v>
      </c>
      <c r="B360" s="61">
        <v>0</v>
      </c>
      <c r="C360" s="61">
        <v>0</v>
      </c>
      <c r="D360" s="61">
        <v>0</v>
      </c>
      <c r="E360" s="61">
        <v>0</v>
      </c>
      <c r="F360" s="61">
        <v>0</v>
      </c>
      <c r="G360" s="61">
        <v>0</v>
      </c>
    </row>
    <row r="361" spans="1:7" ht="11.25" customHeight="1" x14ac:dyDescent="0.2">
      <c r="A361" s="71">
        <v>44348</v>
      </c>
      <c r="B361" s="61">
        <v>0</v>
      </c>
      <c r="C361" s="61">
        <v>0</v>
      </c>
      <c r="D361" s="61">
        <v>0</v>
      </c>
      <c r="E361" s="61">
        <v>0</v>
      </c>
      <c r="F361" s="61">
        <v>0</v>
      </c>
      <c r="G361" s="61">
        <v>0</v>
      </c>
    </row>
    <row r="362" spans="1:7" ht="11.25" customHeight="1" x14ac:dyDescent="0.2">
      <c r="A362" s="71">
        <v>44378</v>
      </c>
      <c r="B362" s="61">
        <v>0</v>
      </c>
      <c r="C362" s="61">
        <v>0</v>
      </c>
      <c r="D362" s="61">
        <v>0</v>
      </c>
      <c r="E362" s="61">
        <v>0</v>
      </c>
      <c r="F362" s="61">
        <v>0</v>
      </c>
      <c r="G362" s="61">
        <v>0</v>
      </c>
    </row>
    <row r="363" spans="1:7" ht="11.25" customHeight="1" x14ac:dyDescent="0.2">
      <c r="A363" s="71">
        <v>44409</v>
      </c>
      <c r="B363" s="61">
        <v>0</v>
      </c>
      <c r="C363" s="61">
        <v>0</v>
      </c>
      <c r="D363" s="61">
        <v>0</v>
      </c>
      <c r="E363" s="61">
        <v>0</v>
      </c>
      <c r="F363" s="61">
        <v>0</v>
      </c>
      <c r="G363" s="61">
        <v>0</v>
      </c>
    </row>
    <row r="364" spans="1:7" ht="11.25" customHeight="1" x14ac:dyDescent="0.2">
      <c r="A364" s="71">
        <v>44440</v>
      </c>
      <c r="B364" s="61">
        <v>0</v>
      </c>
      <c r="C364" s="61">
        <v>0</v>
      </c>
      <c r="D364" s="61">
        <v>0</v>
      </c>
      <c r="E364" s="61">
        <v>0</v>
      </c>
      <c r="F364" s="61">
        <v>0</v>
      </c>
      <c r="G364" s="61">
        <v>0</v>
      </c>
    </row>
    <row r="365" spans="1:7" ht="11.25" customHeight="1" x14ac:dyDescent="0.2">
      <c r="A365" s="71">
        <v>44470</v>
      </c>
      <c r="B365" s="61">
        <v>0</v>
      </c>
      <c r="C365" s="61">
        <v>0</v>
      </c>
      <c r="D365" s="61">
        <v>0</v>
      </c>
      <c r="E365" s="61">
        <v>0</v>
      </c>
      <c r="F365" s="61">
        <v>0</v>
      </c>
      <c r="G365" s="61">
        <v>0</v>
      </c>
    </row>
    <row r="366" spans="1:7" ht="11.25" customHeight="1" x14ac:dyDescent="0.2">
      <c r="A366" s="69" t="s">
        <v>66</v>
      </c>
      <c r="B366" s="61">
        <v>0</v>
      </c>
      <c r="C366" s="61">
        <v>0</v>
      </c>
      <c r="D366" s="61">
        <v>0</v>
      </c>
      <c r="E366" s="61">
        <v>0</v>
      </c>
      <c r="F366" s="61">
        <v>0</v>
      </c>
      <c r="G366" s="61">
        <v>0</v>
      </c>
    </row>
    <row r="367" spans="1:7" ht="11.25" customHeight="1" x14ac:dyDescent="0.2">
      <c r="A367" s="70" t="s">
        <v>25</v>
      </c>
      <c r="B367" s="61">
        <v>0</v>
      </c>
      <c r="C367" s="61">
        <v>0</v>
      </c>
      <c r="D367" s="61">
        <v>0</v>
      </c>
      <c r="E367" s="61">
        <v>0</v>
      </c>
      <c r="F367" s="61">
        <v>0</v>
      </c>
      <c r="G367" s="61">
        <v>0</v>
      </c>
    </row>
    <row r="368" spans="1:7" ht="11.25" customHeight="1" x14ac:dyDescent="0.2">
      <c r="A368" s="71">
        <v>44136</v>
      </c>
      <c r="B368" s="61">
        <v>0</v>
      </c>
      <c r="C368" s="61">
        <v>0</v>
      </c>
      <c r="D368" s="61">
        <v>0</v>
      </c>
      <c r="E368" s="61">
        <v>0</v>
      </c>
      <c r="F368" s="61">
        <v>0</v>
      </c>
      <c r="G368" s="61">
        <v>0</v>
      </c>
    </row>
    <row r="369" spans="1:7" ht="11.25" customHeight="1" x14ac:dyDescent="0.2">
      <c r="A369" s="71">
        <v>44166</v>
      </c>
      <c r="B369" s="61">
        <v>0</v>
      </c>
      <c r="C369" s="61">
        <v>0</v>
      </c>
      <c r="D369" s="61">
        <v>0</v>
      </c>
      <c r="E369" s="61">
        <v>0</v>
      </c>
      <c r="F369" s="61">
        <v>0</v>
      </c>
      <c r="G369" s="61">
        <v>0</v>
      </c>
    </row>
    <row r="370" spans="1:7" ht="11.25" customHeight="1" x14ac:dyDescent="0.2">
      <c r="A370" s="71">
        <v>44197</v>
      </c>
      <c r="B370" s="61">
        <v>0</v>
      </c>
      <c r="C370" s="61">
        <v>0</v>
      </c>
      <c r="D370" s="61">
        <v>0</v>
      </c>
      <c r="E370" s="61">
        <v>0</v>
      </c>
      <c r="F370" s="61">
        <v>0</v>
      </c>
      <c r="G370" s="61">
        <v>0</v>
      </c>
    </row>
    <row r="371" spans="1:7" ht="11.25" customHeight="1" x14ac:dyDescent="0.2">
      <c r="A371" s="71">
        <v>44228</v>
      </c>
      <c r="B371" s="61">
        <v>0</v>
      </c>
      <c r="C371" s="61">
        <v>0</v>
      </c>
      <c r="D371" s="61">
        <v>0</v>
      </c>
      <c r="E371" s="61">
        <v>0</v>
      </c>
      <c r="F371" s="61">
        <v>0</v>
      </c>
      <c r="G371" s="61">
        <v>0</v>
      </c>
    </row>
    <row r="372" spans="1:7" ht="11.25" customHeight="1" x14ac:dyDescent="0.2">
      <c r="A372" s="71">
        <v>44256</v>
      </c>
      <c r="B372" s="61">
        <v>0</v>
      </c>
      <c r="C372" s="61">
        <v>0</v>
      </c>
      <c r="D372" s="61">
        <v>0</v>
      </c>
      <c r="E372" s="61">
        <v>0</v>
      </c>
      <c r="F372" s="61">
        <v>0</v>
      </c>
      <c r="G372" s="61">
        <v>0</v>
      </c>
    </row>
    <row r="373" spans="1:7" ht="11.25" customHeight="1" x14ac:dyDescent="0.2">
      <c r="A373" s="71">
        <v>44287</v>
      </c>
      <c r="B373" s="61">
        <v>0</v>
      </c>
      <c r="C373" s="61">
        <v>0</v>
      </c>
      <c r="D373" s="61">
        <v>0</v>
      </c>
      <c r="E373" s="61">
        <v>0</v>
      </c>
      <c r="F373" s="61">
        <v>0</v>
      </c>
      <c r="G373" s="61">
        <v>0</v>
      </c>
    </row>
    <row r="374" spans="1:7" ht="11.25" customHeight="1" x14ac:dyDescent="0.2">
      <c r="A374" s="71">
        <v>44317</v>
      </c>
      <c r="B374" s="61">
        <v>0</v>
      </c>
      <c r="C374" s="61">
        <v>0</v>
      </c>
      <c r="D374" s="61">
        <v>0</v>
      </c>
      <c r="E374" s="61">
        <v>0</v>
      </c>
      <c r="F374" s="61">
        <v>0</v>
      </c>
      <c r="G374" s="61">
        <v>0</v>
      </c>
    </row>
    <row r="375" spans="1:7" ht="11.25" customHeight="1" x14ac:dyDescent="0.2">
      <c r="A375" s="71">
        <v>44348</v>
      </c>
      <c r="B375" s="61">
        <v>0</v>
      </c>
      <c r="C375" s="61">
        <v>0</v>
      </c>
      <c r="D375" s="61">
        <v>0</v>
      </c>
      <c r="E375" s="61">
        <v>0</v>
      </c>
      <c r="F375" s="61">
        <v>0</v>
      </c>
      <c r="G375" s="61">
        <v>0</v>
      </c>
    </row>
    <row r="376" spans="1:7" ht="11.25" customHeight="1" x14ac:dyDescent="0.2">
      <c r="A376" s="71">
        <v>44378</v>
      </c>
      <c r="B376" s="61">
        <v>0</v>
      </c>
      <c r="C376" s="61">
        <v>0</v>
      </c>
      <c r="D376" s="61">
        <v>0</v>
      </c>
      <c r="E376" s="61">
        <v>0</v>
      </c>
      <c r="F376" s="61">
        <v>0</v>
      </c>
      <c r="G376" s="61">
        <v>0</v>
      </c>
    </row>
    <row r="377" spans="1:7" ht="11.25" customHeight="1" x14ac:dyDescent="0.2">
      <c r="A377" s="71">
        <v>44409</v>
      </c>
      <c r="B377" s="61">
        <v>0</v>
      </c>
      <c r="C377" s="61">
        <v>0</v>
      </c>
      <c r="D377" s="61">
        <v>0</v>
      </c>
      <c r="E377" s="61">
        <v>0</v>
      </c>
      <c r="F377" s="61">
        <v>0</v>
      </c>
      <c r="G377" s="61">
        <v>0</v>
      </c>
    </row>
    <row r="378" spans="1:7" ht="11.25" customHeight="1" x14ac:dyDescent="0.2">
      <c r="A378" s="71">
        <v>44440</v>
      </c>
      <c r="B378" s="61">
        <v>0</v>
      </c>
      <c r="C378" s="61">
        <v>0</v>
      </c>
      <c r="D378" s="61">
        <v>0</v>
      </c>
      <c r="E378" s="61">
        <v>0</v>
      </c>
      <c r="F378" s="61">
        <v>0</v>
      </c>
      <c r="G378" s="61">
        <v>0</v>
      </c>
    </row>
    <row r="379" spans="1:7" ht="11.25" customHeight="1" x14ac:dyDescent="0.2">
      <c r="A379" s="71">
        <v>44470</v>
      </c>
      <c r="B379" s="61">
        <v>0</v>
      </c>
      <c r="C379" s="61">
        <v>0</v>
      </c>
      <c r="D379" s="61">
        <v>0</v>
      </c>
      <c r="E379" s="61">
        <v>0</v>
      </c>
      <c r="F379" s="61">
        <v>0</v>
      </c>
      <c r="G379" s="61">
        <v>0</v>
      </c>
    </row>
    <row r="380" spans="1:7" ht="11.25" customHeight="1" x14ac:dyDescent="0.2">
      <c r="A380" s="69" t="s">
        <v>69</v>
      </c>
      <c r="B380" s="61">
        <v>0</v>
      </c>
      <c r="C380" s="61">
        <v>0</v>
      </c>
      <c r="D380" s="61">
        <v>0</v>
      </c>
      <c r="E380" s="61">
        <v>0</v>
      </c>
      <c r="F380" s="61">
        <v>0</v>
      </c>
      <c r="G380" s="61">
        <v>0</v>
      </c>
    </row>
    <row r="381" spans="1:7" ht="11.25" customHeight="1" x14ac:dyDescent="0.2">
      <c r="A381" s="70" t="s">
        <v>25</v>
      </c>
      <c r="B381" s="61">
        <v>0</v>
      </c>
      <c r="C381" s="61">
        <v>0</v>
      </c>
      <c r="D381" s="61">
        <v>0</v>
      </c>
      <c r="E381" s="61">
        <v>0</v>
      </c>
      <c r="F381" s="61">
        <v>0</v>
      </c>
      <c r="G381" s="61">
        <v>0</v>
      </c>
    </row>
    <row r="382" spans="1:7" ht="11.25" customHeight="1" x14ac:dyDescent="0.2">
      <c r="A382" s="71">
        <v>44136</v>
      </c>
      <c r="B382" s="61">
        <v>0</v>
      </c>
      <c r="C382" s="61">
        <v>0</v>
      </c>
      <c r="D382" s="61">
        <v>0</v>
      </c>
      <c r="E382" s="61">
        <v>0</v>
      </c>
      <c r="F382" s="61">
        <v>0</v>
      </c>
      <c r="G382" s="61">
        <v>0</v>
      </c>
    </row>
    <row r="383" spans="1:7" ht="11.25" customHeight="1" x14ac:dyDescent="0.2">
      <c r="A383" s="71">
        <v>44166</v>
      </c>
      <c r="B383" s="61">
        <v>0</v>
      </c>
      <c r="C383" s="61">
        <v>0</v>
      </c>
      <c r="D383" s="61">
        <v>0</v>
      </c>
      <c r="E383" s="61">
        <v>0</v>
      </c>
      <c r="F383" s="61">
        <v>0</v>
      </c>
      <c r="G383" s="61">
        <v>0</v>
      </c>
    </row>
    <row r="384" spans="1:7" ht="11.25" customHeight="1" x14ac:dyDescent="0.2">
      <c r="A384" s="71">
        <v>44197</v>
      </c>
      <c r="B384" s="61">
        <v>0</v>
      </c>
      <c r="C384" s="61">
        <v>0</v>
      </c>
      <c r="D384" s="61">
        <v>0</v>
      </c>
      <c r="E384" s="61">
        <v>0</v>
      </c>
      <c r="F384" s="61">
        <v>0</v>
      </c>
      <c r="G384" s="61">
        <v>0</v>
      </c>
    </row>
    <row r="385" spans="1:7" ht="11.25" customHeight="1" x14ac:dyDescent="0.2">
      <c r="A385" s="71">
        <v>44228</v>
      </c>
      <c r="B385" s="61">
        <v>0</v>
      </c>
      <c r="C385" s="61">
        <v>0</v>
      </c>
      <c r="D385" s="61">
        <v>0</v>
      </c>
      <c r="E385" s="61">
        <v>0</v>
      </c>
      <c r="F385" s="61">
        <v>0</v>
      </c>
      <c r="G385" s="61">
        <v>0</v>
      </c>
    </row>
    <row r="386" spans="1:7" ht="11.25" customHeight="1" x14ac:dyDescent="0.2">
      <c r="A386" s="71">
        <v>44256</v>
      </c>
      <c r="B386" s="61">
        <v>0</v>
      </c>
      <c r="C386" s="61">
        <v>0</v>
      </c>
      <c r="D386" s="61">
        <v>0</v>
      </c>
      <c r="E386" s="61">
        <v>0</v>
      </c>
      <c r="F386" s="61">
        <v>0</v>
      </c>
      <c r="G386" s="61">
        <v>0</v>
      </c>
    </row>
    <row r="387" spans="1:7" ht="11.25" customHeight="1" x14ac:dyDescent="0.2">
      <c r="A387" s="71">
        <v>44287</v>
      </c>
      <c r="B387" s="61">
        <v>0</v>
      </c>
      <c r="C387" s="61">
        <v>0</v>
      </c>
      <c r="D387" s="61">
        <v>0</v>
      </c>
      <c r="E387" s="61">
        <v>0</v>
      </c>
      <c r="F387" s="61">
        <v>0</v>
      </c>
      <c r="G387" s="61">
        <v>0</v>
      </c>
    </row>
    <row r="388" spans="1:7" ht="11.25" customHeight="1" x14ac:dyDescent="0.2">
      <c r="A388" s="71">
        <v>44317</v>
      </c>
      <c r="B388" s="61">
        <v>0</v>
      </c>
      <c r="C388" s="61">
        <v>0</v>
      </c>
      <c r="D388" s="61">
        <v>0</v>
      </c>
      <c r="E388" s="61">
        <v>0</v>
      </c>
      <c r="F388" s="61">
        <v>0</v>
      </c>
      <c r="G388" s="61">
        <v>0</v>
      </c>
    </row>
    <row r="389" spans="1:7" ht="11.25" customHeight="1" x14ac:dyDescent="0.2">
      <c r="A389" s="71">
        <v>44348</v>
      </c>
      <c r="B389" s="61">
        <v>0</v>
      </c>
      <c r="C389" s="61">
        <v>0</v>
      </c>
      <c r="D389" s="61">
        <v>0</v>
      </c>
      <c r="E389" s="61">
        <v>0</v>
      </c>
      <c r="F389" s="61">
        <v>0</v>
      </c>
      <c r="G389" s="61">
        <v>0</v>
      </c>
    </row>
    <row r="390" spans="1:7" ht="11.25" customHeight="1" x14ac:dyDescent="0.2">
      <c r="A390" s="71">
        <v>44378</v>
      </c>
      <c r="B390" s="61">
        <v>0</v>
      </c>
      <c r="C390" s="61">
        <v>0</v>
      </c>
      <c r="D390" s="61">
        <v>0</v>
      </c>
      <c r="E390" s="61">
        <v>0</v>
      </c>
      <c r="F390" s="61">
        <v>0</v>
      </c>
      <c r="G390" s="61">
        <v>0</v>
      </c>
    </row>
    <row r="391" spans="1:7" ht="11.25" customHeight="1" x14ac:dyDescent="0.2">
      <c r="A391" s="71">
        <v>44409</v>
      </c>
      <c r="B391" s="61">
        <v>0</v>
      </c>
      <c r="C391" s="61">
        <v>0</v>
      </c>
      <c r="D391" s="61">
        <v>0</v>
      </c>
      <c r="E391" s="61">
        <v>0</v>
      </c>
      <c r="F391" s="61">
        <v>0</v>
      </c>
      <c r="G391" s="61">
        <v>0</v>
      </c>
    </row>
    <row r="392" spans="1:7" ht="11.25" customHeight="1" x14ac:dyDescent="0.2">
      <c r="A392" s="71">
        <v>44440</v>
      </c>
      <c r="B392" s="61">
        <v>0</v>
      </c>
      <c r="C392" s="61">
        <v>0</v>
      </c>
      <c r="D392" s="61">
        <v>0</v>
      </c>
      <c r="E392" s="61">
        <v>0</v>
      </c>
      <c r="F392" s="61">
        <v>0</v>
      </c>
      <c r="G392" s="61">
        <v>0</v>
      </c>
    </row>
    <row r="393" spans="1:7" ht="11.25" customHeight="1" x14ac:dyDescent="0.2">
      <c r="A393" s="71">
        <v>44470</v>
      </c>
      <c r="B393" s="61">
        <v>0</v>
      </c>
      <c r="C393" s="61">
        <v>0</v>
      </c>
      <c r="D393" s="61">
        <v>0</v>
      </c>
      <c r="E393" s="61">
        <v>0</v>
      </c>
      <c r="F393" s="61">
        <v>0</v>
      </c>
      <c r="G393" s="61">
        <v>0</v>
      </c>
    </row>
    <row r="394" spans="1:7" ht="11.25" customHeight="1" x14ac:dyDescent="0.2">
      <c r="A394" s="69" t="s">
        <v>68</v>
      </c>
      <c r="B394" s="61">
        <v>0</v>
      </c>
      <c r="C394" s="61">
        <v>0</v>
      </c>
      <c r="D394" s="61">
        <v>0</v>
      </c>
      <c r="E394" s="61">
        <v>0</v>
      </c>
      <c r="F394" s="61">
        <v>0</v>
      </c>
      <c r="G394" s="61">
        <v>0</v>
      </c>
    </row>
    <row r="395" spans="1:7" ht="11.25" customHeight="1" x14ac:dyDescent="0.2">
      <c r="A395" s="70" t="s">
        <v>25</v>
      </c>
      <c r="B395" s="61">
        <v>0</v>
      </c>
      <c r="C395" s="61">
        <v>0</v>
      </c>
      <c r="D395" s="61">
        <v>0</v>
      </c>
      <c r="E395" s="61">
        <v>0</v>
      </c>
      <c r="F395" s="61">
        <v>0</v>
      </c>
      <c r="G395" s="61">
        <v>0</v>
      </c>
    </row>
    <row r="396" spans="1:7" ht="11.25" customHeight="1" x14ac:dyDescent="0.2">
      <c r="A396" s="71">
        <v>44136</v>
      </c>
      <c r="B396" s="61">
        <v>0</v>
      </c>
      <c r="C396" s="61">
        <v>0</v>
      </c>
      <c r="D396" s="61">
        <v>0</v>
      </c>
      <c r="E396" s="61">
        <v>0</v>
      </c>
      <c r="F396" s="61">
        <v>0</v>
      </c>
      <c r="G396" s="61">
        <v>0</v>
      </c>
    </row>
    <row r="397" spans="1:7" ht="11.25" customHeight="1" x14ac:dyDescent="0.2">
      <c r="A397" s="71">
        <v>44166</v>
      </c>
      <c r="B397" s="61">
        <v>0</v>
      </c>
      <c r="C397" s="61">
        <v>0</v>
      </c>
      <c r="D397" s="61">
        <v>0</v>
      </c>
      <c r="E397" s="61">
        <v>0</v>
      </c>
      <c r="F397" s="61">
        <v>0</v>
      </c>
      <c r="G397" s="61">
        <v>0</v>
      </c>
    </row>
    <row r="398" spans="1:7" ht="11.25" customHeight="1" x14ac:dyDescent="0.2">
      <c r="A398" s="71">
        <v>44197</v>
      </c>
      <c r="B398" s="61">
        <v>0</v>
      </c>
      <c r="C398" s="61">
        <v>0</v>
      </c>
      <c r="D398" s="61">
        <v>0</v>
      </c>
      <c r="E398" s="61">
        <v>0</v>
      </c>
      <c r="F398" s="61">
        <v>0</v>
      </c>
      <c r="G398" s="61">
        <v>0</v>
      </c>
    </row>
    <row r="399" spans="1:7" ht="11.25" customHeight="1" x14ac:dyDescent="0.2">
      <c r="A399" s="71">
        <v>44228</v>
      </c>
      <c r="B399" s="61">
        <v>0</v>
      </c>
      <c r="C399" s="61">
        <v>0</v>
      </c>
      <c r="D399" s="61">
        <v>0</v>
      </c>
      <c r="E399" s="61">
        <v>0</v>
      </c>
      <c r="F399" s="61">
        <v>0</v>
      </c>
      <c r="G399" s="61">
        <v>0</v>
      </c>
    </row>
    <row r="400" spans="1:7" ht="11.25" customHeight="1" x14ac:dyDescent="0.2">
      <c r="A400" s="71">
        <v>44256</v>
      </c>
      <c r="B400" s="61">
        <v>0</v>
      </c>
      <c r="C400" s="61">
        <v>0</v>
      </c>
      <c r="D400" s="61">
        <v>0</v>
      </c>
      <c r="E400" s="61">
        <v>0</v>
      </c>
      <c r="F400" s="61">
        <v>0</v>
      </c>
      <c r="G400" s="61">
        <v>0</v>
      </c>
    </row>
    <row r="401" spans="1:7" ht="11.25" customHeight="1" x14ac:dyDescent="0.2">
      <c r="A401" s="71">
        <v>44287</v>
      </c>
      <c r="B401" s="61">
        <v>0</v>
      </c>
      <c r="C401" s="61">
        <v>0</v>
      </c>
      <c r="D401" s="61">
        <v>0</v>
      </c>
      <c r="E401" s="61">
        <v>0</v>
      </c>
      <c r="F401" s="61">
        <v>0</v>
      </c>
      <c r="G401" s="61">
        <v>0</v>
      </c>
    </row>
    <row r="402" spans="1:7" ht="11.25" customHeight="1" x14ac:dyDescent="0.2">
      <c r="A402" s="71">
        <v>44317</v>
      </c>
      <c r="B402" s="61">
        <v>0</v>
      </c>
      <c r="C402" s="61">
        <v>0</v>
      </c>
      <c r="D402" s="61">
        <v>0</v>
      </c>
      <c r="E402" s="61">
        <v>0</v>
      </c>
      <c r="F402" s="61">
        <v>0</v>
      </c>
      <c r="G402" s="61">
        <v>0</v>
      </c>
    </row>
    <row r="403" spans="1:7" ht="11.25" customHeight="1" x14ac:dyDescent="0.2">
      <c r="A403" s="71">
        <v>44348</v>
      </c>
      <c r="B403" s="61">
        <v>0</v>
      </c>
      <c r="C403" s="61">
        <v>0</v>
      </c>
      <c r="D403" s="61">
        <v>0</v>
      </c>
      <c r="E403" s="61">
        <v>0</v>
      </c>
      <c r="F403" s="61">
        <v>0</v>
      </c>
      <c r="G403" s="61">
        <v>0</v>
      </c>
    </row>
    <row r="404" spans="1:7" ht="11.25" customHeight="1" x14ac:dyDescent="0.2">
      <c r="A404" s="71">
        <v>44378</v>
      </c>
      <c r="B404" s="61">
        <v>0</v>
      </c>
      <c r="C404" s="61">
        <v>0</v>
      </c>
      <c r="D404" s="61">
        <v>0</v>
      </c>
      <c r="E404" s="61">
        <v>0</v>
      </c>
      <c r="F404" s="61">
        <v>0</v>
      </c>
      <c r="G404" s="61">
        <v>0</v>
      </c>
    </row>
    <row r="405" spans="1:7" ht="11.25" customHeight="1" x14ac:dyDescent="0.2">
      <c r="A405" s="71">
        <v>44409</v>
      </c>
      <c r="B405" s="61">
        <v>0</v>
      </c>
      <c r="C405" s="61">
        <v>0</v>
      </c>
      <c r="D405" s="61">
        <v>0</v>
      </c>
      <c r="E405" s="61">
        <v>0</v>
      </c>
      <c r="F405" s="61">
        <v>0</v>
      </c>
      <c r="G405" s="61">
        <v>0</v>
      </c>
    </row>
    <row r="406" spans="1:7" ht="11.25" customHeight="1" x14ac:dyDescent="0.2">
      <c r="A406" s="71">
        <v>44440</v>
      </c>
      <c r="B406" s="61">
        <v>0</v>
      </c>
      <c r="C406" s="61">
        <v>0</v>
      </c>
      <c r="D406" s="61">
        <v>0</v>
      </c>
      <c r="E406" s="61">
        <v>0</v>
      </c>
      <c r="F406" s="61">
        <v>0</v>
      </c>
      <c r="G406" s="61">
        <v>0</v>
      </c>
    </row>
    <row r="407" spans="1:7" ht="11.25" customHeight="1" x14ac:dyDescent="0.2">
      <c r="A407" s="71">
        <v>44470</v>
      </c>
      <c r="B407" s="61">
        <v>0</v>
      </c>
      <c r="C407" s="61">
        <v>0</v>
      </c>
      <c r="D407" s="61">
        <v>0</v>
      </c>
      <c r="E407" s="61">
        <v>0</v>
      </c>
      <c r="F407" s="61">
        <v>0</v>
      </c>
      <c r="G407" s="61">
        <v>0</v>
      </c>
    </row>
    <row r="408" spans="1:7" ht="11.25" customHeight="1" x14ac:dyDescent="0.2">
      <c r="A408" s="69" t="s">
        <v>67</v>
      </c>
      <c r="B408" s="61">
        <v>0</v>
      </c>
      <c r="C408" s="61">
        <v>0</v>
      </c>
      <c r="D408" s="61">
        <v>0</v>
      </c>
      <c r="E408" s="61">
        <v>0</v>
      </c>
      <c r="F408" s="61">
        <v>0</v>
      </c>
      <c r="G408" s="61">
        <v>0</v>
      </c>
    </row>
    <row r="409" spans="1:7" ht="11.25" customHeight="1" x14ac:dyDescent="0.2">
      <c r="A409" s="70" t="s">
        <v>25</v>
      </c>
      <c r="B409" s="61">
        <v>0</v>
      </c>
      <c r="C409" s="61">
        <v>0</v>
      </c>
      <c r="D409" s="61">
        <v>0</v>
      </c>
      <c r="E409" s="61">
        <v>0</v>
      </c>
      <c r="F409" s="61">
        <v>0</v>
      </c>
      <c r="G409" s="61">
        <v>0</v>
      </c>
    </row>
    <row r="410" spans="1:7" ht="11.25" customHeight="1" x14ac:dyDescent="0.2">
      <c r="A410" s="71">
        <v>44136</v>
      </c>
      <c r="B410" s="61">
        <v>0</v>
      </c>
      <c r="C410" s="61">
        <v>0</v>
      </c>
      <c r="D410" s="61">
        <v>0</v>
      </c>
      <c r="E410" s="61">
        <v>0</v>
      </c>
      <c r="F410" s="61">
        <v>0</v>
      </c>
      <c r="G410" s="61">
        <v>0</v>
      </c>
    </row>
    <row r="411" spans="1:7" ht="11.25" customHeight="1" x14ac:dyDescent="0.2">
      <c r="A411" s="71">
        <v>44166</v>
      </c>
      <c r="B411" s="61">
        <v>0</v>
      </c>
      <c r="C411" s="61">
        <v>0</v>
      </c>
      <c r="D411" s="61">
        <v>0</v>
      </c>
      <c r="E411" s="61">
        <v>0</v>
      </c>
      <c r="F411" s="61">
        <v>0</v>
      </c>
      <c r="G411" s="61">
        <v>0</v>
      </c>
    </row>
    <row r="412" spans="1:7" ht="11.25" customHeight="1" x14ac:dyDescent="0.2">
      <c r="A412" s="71">
        <v>44197</v>
      </c>
      <c r="B412" s="61">
        <v>0</v>
      </c>
      <c r="C412" s="61">
        <v>0</v>
      </c>
      <c r="D412" s="61">
        <v>0</v>
      </c>
      <c r="E412" s="61">
        <v>0</v>
      </c>
      <c r="F412" s="61">
        <v>0</v>
      </c>
      <c r="G412" s="61">
        <v>0</v>
      </c>
    </row>
    <row r="413" spans="1:7" ht="11.25" customHeight="1" x14ac:dyDescent="0.2">
      <c r="A413" s="71">
        <v>44228</v>
      </c>
      <c r="B413" s="61">
        <v>0</v>
      </c>
      <c r="C413" s="61">
        <v>0</v>
      </c>
      <c r="D413" s="61">
        <v>0</v>
      </c>
      <c r="E413" s="61">
        <v>0</v>
      </c>
      <c r="F413" s="61">
        <v>0</v>
      </c>
      <c r="G413" s="61">
        <v>0</v>
      </c>
    </row>
    <row r="414" spans="1:7" ht="11.25" customHeight="1" x14ac:dyDescent="0.2">
      <c r="A414" s="71">
        <v>44256</v>
      </c>
      <c r="B414" s="61">
        <v>0</v>
      </c>
      <c r="C414" s="61">
        <v>0</v>
      </c>
      <c r="D414" s="61">
        <v>0</v>
      </c>
      <c r="E414" s="61">
        <v>0</v>
      </c>
      <c r="F414" s="61">
        <v>0</v>
      </c>
      <c r="G414" s="61">
        <v>0</v>
      </c>
    </row>
    <row r="415" spans="1:7" ht="11.25" customHeight="1" x14ac:dyDescent="0.2">
      <c r="A415" s="71">
        <v>44287</v>
      </c>
      <c r="B415" s="61">
        <v>0</v>
      </c>
      <c r="C415" s="61">
        <v>0</v>
      </c>
      <c r="D415" s="61">
        <v>0</v>
      </c>
      <c r="E415" s="61">
        <v>0</v>
      </c>
      <c r="F415" s="61">
        <v>0</v>
      </c>
      <c r="G415" s="61">
        <v>0</v>
      </c>
    </row>
    <row r="416" spans="1:7" ht="11.25" customHeight="1" x14ac:dyDescent="0.2">
      <c r="A416" s="71">
        <v>44317</v>
      </c>
      <c r="B416" s="61">
        <v>0</v>
      </c>
      <c r="C416" s="61">
        <v>0</v>
      </c>
      <c r="D416" s="61">
        <v>0</v>
      </c>
      <c r="E416" s="61">
        <v>0</v>
      </c>
      <c r="F416" s="61">
        <v>0</v>
      </c>
      <c r="G416" s="61">
        <v>0</v>
      </c>
    </row>
    <row r="417" spans="1:7" ht="11.25" customHeight="1" x14ac:dyDescent="0.2">
      <c r="A417" s="71">
        <v>44348</v>
      </c>
      <c r="B417" s="61">
        <v>0</v>
      </c>
      <c r="C417" s="61">
        <v>0</v>
      </c>
      <c r="D417" s="61">
        <v>0</v>
      </c>
      <c r="E417" s="61">
        <v>0</v>
      </c>
      <c r="F417" s="61">
        <v>0</v>
      </c>
      <c r="G417" s="61">
        <v>0</v>
      </c>
    </row>
    <row r="418" spans="1:7" ht="11.25" customHeight="1" x14ac:dyDescent="0.2">
      <c r="A418" s="71">
        <v>44378</v>
      </c>
      <c r="B418" s="61">
        <v>0</v>
      </c>
      <c r="C418" s="61">
        <v>0</v>
      </c>
      <c r="D418" s="61">
        <v>0</v>
      </c>
      <c r="E418" s="61">
        <v>0</v>
      </c>
      <c r="F418" s="61">
        <v>0</v>
      </c>
      <c r="G418" s="61">
        <v>0</v>
      </c>
    </row>
    <row r="419" spans="1:7" ht="11.25" customHeight="1" x14ac:dyDescent="0.2">
      <c r="A419" s="71">
        <v>44409</v>
      </c>
      <c r="B419" s="61">
        <v>0</v>
      </c>
      <c r="C419" s="61">
        <v>0</v>
      </c>
      <c r="D419" s="61">
        <v>0</v>
      </c>
      <c r="E419" s="61">
        <v>0</v>
      </c>
      <c r="F419" s="61">
        <v>0</v>
      </c>
      <c r="G419" s="61">
        <v>0</v>
      </c>
    </row>
    <row r="420" spans="1:7" ht="11.25" customHeight="1" x14ac:dyDescent="0.2">
      <c r="A420" s="71">
        <v>44440</v>
      </c>
      <c r="B420" s="61">
        <v>0</v>
      </c>
      <c r="C420" s="61">
        <v>0</v>
      </c>
      <c r="D420" s="61">
        <v>0</v>
      </c>
      <c r="E420" s="61">
        <v>0</v>
      </c>
      <c r="F420" s="61">
        <v>0</v>
      </c>
      <c r="G420" s="61">
        <v>0</v>
      </c>
    </row>
    <row r="421" spans="1:7" ht="11.25" customHeight="1" x14ac:dyDescent="0.2">
      <c r="A421" s="71">
        <v>44470</v>
      </c>
      <c r="B421" s="61">
        <v>0</v>
      </c>
      <c r="C421" s="61">
        <v>0</v>
      </c>
      <c r="D421" s="61">
        <v>0</v>
      </c>
      <c r="E421" s="61">
        <v>0</v>
      </c>
      <c r="F421" s="61">
        <v>0</v>
      </c>
      <c r="G421" s="61">
        <v>0</v>
      </c>
    </row>
    <row r="422" spans="1:7" ht="11.25" customHeight="1" x14ac:dyDescent="0.2">
      <c r="A422" s="63" t="s">
        <v>846</v>
      </c>
      <c r="B422" s="61">
        <v>0</v>
      </c>
      <c r="C422" s="61">
        <v>75130.635010800004</v>
      </c>
      <c r="D422" s="61">
        <v>0</v>
      </c>
      <c r="E422" s="61">
        <v>70834.213751603646</v>
      </c>
      <c r="F422" s="61">
        <v>75130.635010800004</v>
      </c>
      <c r="G422" s="61">
        <v>70834.21375160366</v>
      </c>
    </row>
    <row r="423" spans="1:7" ht="11.25" customHeight="1" x14ac:dyDescent="0.2">
      <c r="A423" s="64" t="s">
        <v>46</v>
      </c>
      <c r="B423" s="61">
        <v>0</v>
      </c>
      <c r="C423" s="61">
        <v>75130.635010800004</v>
      </c>
      <c r="D423" s="61">
        <v>0</v>
      </c>
      <c r="E423" s="61">
        <v>70834.213751603646</v>
      </c>
      <c r="F423" s="61">
        <v>75130.635010800004</v>
      </c>
      <c r="G423" s="61">
        <v>70834.21375160366</v>
      </c>
    </row>
    <row r="424" spans="1:7" ht="11.25" customHeight="1" x14ac:dyDescent="0.2">
      <c r="A424" s="65" t="s">
        <v>23</v>
      </c>
      <c r="B424" s="61">
        <v>0</v>
      </c>
      <c r="C424" s="61">
        <v>75130.635010800004</v>
      </c>
      <c r="D424" s="61">
        <v>0</v>
      </c>
      <c r="E424" s="61">
        <v>70834.213751603646</v>
      </c>
      <c r="F424" s="61">
        <v>75130.635010800004</v>
      </c>
      <c r="G424" s="61">
        <v>70834.21375160366</v>
      </c>
    </row>
    <row r="425" spans="1:7" ht="11.25" customHeight="1" x14ac:dyDescent="0.2">
      <c r="A425" s="66" t="s">
        <v>47</v>
      </c>
      <c r="B425" s="61">
        <v>0</v>
      </c>
      <c r="C425" s="61">
        <v>75130.635010800004</v>
      </c>
      <c r="D425" s="61">
        <v>0</v>
      </c>
      <c r="E425" s="61">
        <v>70834.213751603646</v>
      </c>
      <c r="F425" s="61">
        <v>75130.635010800004</v>
      </c>
      <c r="G425" s="61">
        <v>70834.21375160366</v>
      </c>
    </row>
    <row r="426" spans="1:7" ht="11.25" customHeight="1" x14ac:dyDescent="0.2">
      <c r="A426" s="67" t="s">
        <v>58</v>
      </c>
      <c r="B426" s="61">
        <v>0</v>
      </c>
      <c r="C426" s="61">
        <v>68493.279691200005</v>
      </c>
      <c r="D426" s="61">
        <v>0</v>
      </c>
      <c r="E426" s="61">
        <v>64656.39624803004</v>
      </c>
      <c r="F426" s="61">
        <v>68493.279691200005</v>
      </c>
      <c r="G426" s="61">
        <v>64656.396248030047</v>
      </c>
    </row>
    <row r="427" spans="1:7" ht="11.25" customHeight="1" x14ac:dyDescent="0.2">
      <c r="A427" s="68" t="s">
        <v>57</v>
      </c>
      <c r="B427" s="61">
        <v>0</v>
      </c>
      <c r="C427" s="61">
        <v>68493.279691200005</v>
      </c>
      <c r="D427" s="61">
        <v>0</v>
      </c>
      <c r="E427" s="61">
        <v>64656.39624803004</v>
      </c>
      <c r="F427" s="61">
        <v>68493.279691200005</v>
      </c>
      <c r="G427" s="61">
        <v>64656.396248030047</v>
      </c>
    </row>
    <row r="428" spans="1:7" ht="11.25" customHeight="1" x14ac:dyDescent="0.2">
      <c r="A428" s="69" t="s">
        <v>25</v>
      </c>
      <c r="B428" s="61">
        <v>0</v>
      </c>
      <c r="C428" s="61">
        <v>68493.279691200005</v>
      </c>
      <c r="D428" s="61">
        <v>0</v>
      </c>
      <c r="E428" s="61">
        <v>64656.39624803004</v>
      </c>
      <c r="F428" s="61">
        <v>68493.279691200005</v>
      </c>
      <c r="G428" s="61">
        <v>64656.396248030047</v>
      </c>
    </row>
    <row r="429" spans="1:7" ht="11.25" customHeight="1" x14ac:dyDescent="0.2">
      <c r="A429" s="70" t="s">
        <v>25</v>
      </c>
      <c r="B429" s="61">
        <v>0</v>
      </c>
      <c r="C429" s="61">
        <v>68493.279691200005</v>
      </c>
      <c r="D429" s="61">
        <v>0</v>
      </c>
      <c r="E429" s="61">
        <v>64656.39624803004</v>
      </c>
      <c r="F429" s="61">
        <v>68493.279691200005</v>
      </c>
      <c r="G429" s="61">
        <v>64656.396248030047</v>
      </c>
    </row>
    <row r="430" spans="1:7" ht="11.25" customHeight="1" x14ac:dyDescent="0.2">
      <c r="A430" s="71">
        <v>44317</v>
      </c>
      <c r="B430" s="61">
        <v>0</v>
      </c>
      <c r="C430" s="61">
        <v>8965.3114236000019</v>
      </c>
      <c r="D430" s="61">
        <v>0</v>
      </c>
      <c r="E430" s="61">
        <v>8463.0890870560415</v>
      </c>
      <c r="F430" s="61">
        <v>8965.3114236000019</v>
      </c>
      <c r="G430" s="61">
        <v>8463.0890870560415</v>
      </c>
    </row>
    <row r="431" spans="1:7" ht="11.25" customHeight="1" x14ac:dyDescent="0.2">
      <c r="A431" s="71">
        <v>44348</v>
      </c>
      <c r="B431" s="61">
        <v>0</v>
      </c>
      <c r="C431" s="61">
        <v>5111.9068633999996</v>
      </c>
      <c r="D431" s="61">
        <v>0</v>
      </c>
      <c r="E431" s="61">
        <v>4825.5460569729375</v>
      </c>
      <c r="F431" s="61">
        <v>5111.9068633999996</v>
      </c>
      <c r="G431" s="61">
        <v>4825.5460569729375</v>
      </c>
    </row>
    <row r="432" spans="1:7" ht="11.25" customHeight="1" x14ac:dyDescent="0.2">
      <c r="A432" s="71">
        <v>44378</v>
      </c>
      <c r="B432" s="61">
        <v>0</v>
      </c>
      <c r="C432" s="61">
        <v>13247.153062100002</v>
      </c>
      <c r="D432" s="61">
        <v>0</v>
      </c>
      <c r="E432" s="61">
        <v>12505.068838913941</v>
      </c>
      <c r="F432" s="61">
        <v>13247.153062100002</v>
      </c>
      <c r="G432" s="61">
        <v>12505.068838913941</v>
      </c>
    </row>
    <row r="433" spans="1:7" ht="11.25" customHeight="1" x14ac:dyDescent="0.2">
      <c r="A433" s="71">
        <v>44409</v>
      </c>
      <c r="B433" s="61">
        <v>0</v>
      </c>
      <c r="C433" s="61">
        <v>16498.6212313</v>
      </c>
      <c r="D433" s="61">
        <v>0</v>
      </c>
      <c r="E433" s="61">
        <v>15574.394987164687</v>
      </c>
      <c r="F433" s="61">
        <v>16498.6212313</v>
      </c>
      <c r="G433" s="61">
        <v>15574.394987164687</v>
      </c>
    </row>
    <row r="434" spans="1:7" ht="11.25" customHeight="1" x14ac:dyDescent="0.2">
      <c r="A434" s="71">
        <v>44440</v>
      </c>
      <c r="B434" s="61">
        <v>0</v>
      </c>
      <c r="C434" s="61">
        <v>12335.1435554</v>
      </c>
      <c r="D434" s="61">
        <v>0</v>
      </c>
      <c r="E434" s="61">
        <v>11644.148638961218</v>
      </c>
      <c r="F434" s="61">
        <v>12335.1435554</v>
      </c>
      <c r="G434" s="61">
        <v>11644.148638961218</v>
      </c>
    </row>
    <row r="435" spans="1:7" ht="11.25" customHeight="1" x14ac:dyDescent="0.2">
      <c r="A435" s="71">
        <v>44470</v>
      </c>
      <c r="B435" s="61">
        <v>0</v>
      </c>
      <c r="C435" s="61">
        <v>12335.1435554</v>
      </c>
      <c r="D435" s="61">
        <v>0</v>
      </c>
      <c r="E435" s="61">
        <v>11644.148638961218</v>
      </c>
      <c r="F435" s="61">
        <v>12335.1435554</v>
      </c>
      <c r="G435" s="61">
        <v>11644.148638961218</v>
      </c>
    </row>
    <row r="436" spans="1:7" ht="11.25" customHeight="1" x14ac:dyDescent="0.2">
      <c r="A436" s="67" t="s">
        <v>55</v>
      </c>
      <c r="B436" s="61">
        <v>0</v>
      </c>
      <c r="C436" s="61">
        <v>6637.3553196000003</v>
      </c>
      <c r="D436" s="61">
        <v>0</v>
      </c>
      <c r="E436" s="61">
        <v>6177.8175035736112</v>
      </c>
      <c r="F436" s="61">
        <v>6637.3553196000003</v>
      </c>
      <c r="G436" s="61">
        <v>6177.8175035736112</v>
      </c>
    </row>
    <row r="437" spans="1:7" ht="11.25" customHeight="1" x14ac:dyDescent="0.2">
      <c r="A437" s="68" t="s">
        <v>57</v>
      </c>
      <c r="B437" s="61">
        <v>0</v>
      </c>
      <c r="C437" s="61">
        <v>6637.3553196000003</v>
      </c>
      <c r="D437" s="61">
        <v>0</v>
      </c>
      <c r="E437" s="61">
        <v>6177.8175035736112</v>
      </c>
      <c r="F437" s="61">
        <v>6637.3553196000003</v>
      </c>
      <c r="G437" s="61">
        <v>6177.8175035736112</v>
      </c>
    </row>
    <row r="438" spans="1:7" ht="11.25" customHeight="1" x14ac:dyDescent="0.2">
      <c r="A438" s="69" t="s">
        <v>25</v>
      </c>
      <c r="B438" s="61">
        <v>0</v>
      </c>
      <c r="C438" s="61">
        <v>6637.3553196000003</v>
      </c>
      <c r="D438" s="61">
        <v>0</v>
      </c>
      <c r="E438" s="61">
        <v>6177.8175035736112</v>
      </c>
      <c r="F438" s="61">
        <v>6637.3553196000003</v>
      </c>
      <c r="G438" s="61">
        <v>6177.8175035736112</v>
      </c>
    </row>
    <row r="439" spans="1:7" ht="11.25" customHeight="1" x14ac:dyDescent="0.2">
      <c r="A439" s="70" t="s">
        <v>25</v>
      </c>
      <c r="B439" s="61">
        <v>0</v>
      </c>
      <c r="C439" s="61">
        <v>6637.3553196000003</v>
      </c>
      <c r="D439" s="61">
        <v>0</v>
      </c>
      <c r="E439" s="61">
        <v>6177.8175035736112</v>
      </c>
      <c r="F439" s="61">
        <v>6637.3553196000003</v>
      </c>
      <c r="G439" s="61">
        <v>6177.8175035736112</v>
      </c>
    </row>
    <row r="440" spans="1:7" ht="11.25" customHeight="1" x14ac:dyDescent="0.2">
      <c r="A440" s="71">
        <v>44287</v>
      </c>
      <c r="B440" s="61">
        <v>0</v>
      </c>
      <c r="C440" s="61">
        <v>6637.3553196000003</v>
      </c>
      <c r="D440" s="61">
        <v>0</v>
      </c>
      <c r="E440" s="61">
        <v>6177.8175035736112</v>
      </c>
      <c r="F440" s="61">
        <v>6637.3553196000003</v>
      </c>
      <c r="G440" s="61">
        <v>6177.8175035736112</v>
      </c>
    </row>
    <row r="441" spans="1:7" ht="11.25" customHeight="1" x14ac:dyDescent="0.2">
      <c r="A441" s="63" t="s">
        <v>844</v>
      </c>
      <c r="B441" s="61">
        <v>117205.02780000007</v>
      </c>
      <c r="C441" s="61">
        <v>8399416.4838187806</v>
      </c>
      <c r="D441" s="61">
        <v>131024.33132751744</v>
      </c>
      <c r="E441" s="61">
        <v>5539378.1845484599</v>
      </c>
      <c r="F441" s="61">
        <v>8516621.51161878</v>
      </c>
      <c r="G441" s="61">
        <v>5670402.5158759756</v>
      </c>
    </row>
    <row r="442" spans="1:7" ht="11.25" customHeight="1" x14ac:dyDescent="0.2">
      <c r="A442" s="64" t="s">
        <v>35</v>
      </c>
      <c r="B442" s="61">
        <v>117205.02780000007</v>
      </c>
      <c r="C442" s="61">
        <v>373097.27665560012</v>
      </c>
      <c r="D442" s="61">
        <v>131024.33132751744</v>
      </c>
      <c r="E442" s="61">
        <v>346977.68001335807</v>
      </c>
      <c r="F442" s="61">
        <v>490302.3044556001</v>
      </c>
      <c r="G442" s="61">
        <v>478002.01134087553</v>
      </c>
    </row>
    <row r="443" spans="1:7" ht="11.25" customHeight="1" x14ac:dyDescent="0.2">
      <c r="A443" s="65" t="s">
        <v>44</v>
      </c>
      <c r="B443" s="61">
        <v>52456.265400000026</v>
      </c>
      <c r="C443" s="61">
        <v>64581.072094200019</v>
      </c>
      <c r="D443" s="61">
        <v>58659.279040778587</v>
      </c>
      <c r="E443" s="61">
        <v>57869.753039082767</v>
      </c>
      <c r="F443" s="61">
        <v>117037.33749420004</v>
      </c>
      <c r="G443" s="61">
        <v>116529.03207986135</v>
      </c>
    </row>
    <row r="444" spans="1:7" ht="11.25" customHeight="1" x14ac:dyDescent="0.2">
      <c r="A444" s="66" t="s">
        <v>47</v>
      </c>
      <c r="B444" s="61">
        <v>52456.265400000026</v>
      </c>
      <c r="C444" s="61">
        <v>64581.072094200019</v>
      </c>
      <c r="D444" s="61">
        <v>58659.279040778587</v>
      </c>
      <c r="E444" s="61">
        <v>57869.753039082767</v>
      </c>
      <c r="F444" s="61">
        <v>117037.33749420004</v>
      </c>
      <c r="G444" s="61">
        <v>116529.03207986135</v>
      </c>
    </row>
    <row r="445" spans="1:7" ht="11.25" customHeight="1" x14ac:dyDescent="0.2">
      <c r="A445" s="67" t="s">
        <v>25</v>
      </c>
      <c r="B445" s="61">
        <v>52456.265400000026</v>
      </c>
      <c r="C445" s="61">
        <v>64581.072094200019</v>
      </c>
      <c r="D445" s="61">
        <v>58659.279040778587</v>
      </c>
      <c r="E445" s="61">
        <v>57869.753039082767</v>
      </c>
      <c r="F445" s="61">
        <v>117037.33749420004</v>
      </c>
      <c r="G445" s="61">
        <v>116529.03207986135</v>
      </c>
    </row>
    <row r="446" spans="1:7" ht="11.25" customHeight="1" x14ac:dyDescent="0.2">
      <c r="A446" s="68" t="s">
        <v>25</v>
      </c>
      <c r="B446" s="61">
        <v>52456.265400000026</v>
      </c>
      <c r="C446" s="61">
        <v>64581.072094200019</v>
      </c>
      <c r="D446" s="61">
        <v>58659.279040778587</v>
      </c>
      <c r="E446" s="61">
        <v>57869.753039082767</v>
      </c>
      <c r="F446" s="61">
        <v>117037.33749420004</v>
      </c>
      <c r="G446" s="61">
        <v>116529.03207986135</v>
      </c>
    </row>
    <row r="447" spans="1:7" ht="11.25" customHeight="1" x14ac:dyDescent="0.2">
      <c r="A447" s="69" t="s">
        <v>25</v>
      </c>
      <c r="B447" s="61">
        <v>52456.265400000026</v>
      </c>
      <c r="C447" s="61">
        <v>64581.072094200019</v>
      </c>
      <c r="D447" s="61">
        <v>58659.279040778587</v>
      </c>
      <c r="E447" s="61">
        <v>57869.753039082767</v>
      </c>
      <c r="F447" s="61">
        <v>117037.33749420004</v>
      </c>
      <c r="G447" s="61">
        <v>116529.03207986135</v>
      </c>
    </row>
    <row r="448" spans="1:7" ht="11.25" customHeight="1" x14ac:dyDescent="0.2">
      <c r="A448" s="70" t="s">
        <v>38</v>
      </c>
      <c r="B448" s="61">
        <v>19931.003400000009</v>
      </c>
      <c r="C448" s="61">
        <v>55158.090627600017</v>
      </c>
      <c r="D448" s="61">
        <v>22275.454382556181</v>
      </c>
      <c r="E448" s="61">
        <v>48977.932334575824</v>
      </c>
      <c r="F448" s="61">
        <v>75089.094027600018</v>
      </c>
      <c r="G448" s="61">
        <v>71253.386717132002</v>
      </c>
    </row>
    <row r="449" spans="1:7" ht="11.25" customHeight="1" x14ac:dyDescent="0.2">
      <c r="A449" s="71">
        <v>44136</v>
      </c>
      <c r="B449" s="61">
        <v>1613.062200000001</v>
      </c>
      <c r="C449" s="61">
        <v>4798.9555524000034</v>
      </c>
      <c r="D449" s="61">
        <v>1802.804040077868</v>
      </c>
      <c r="E449" s="61">
        <v>4261.2591851479629</v>
      </c>
      <c r="F449" s="61">
        <v>6412.0177524000046</v>
      </c>
      <c r="G449" s="61">
        <v>6064.063225225831</v>
      </c>
    </row>
    <row r="450" spans="1:7" ht="11.25" customHeight="1" x14ac:dyDescent="0.2">
      <c r="A450" s="71">
        <v>44166</v>
      </c>
      <c r="B450" s="61">
        <v>1563.3504000000016</v>
      </c>
      <c r="C450" s="61">
        <v>4039.5975864000047</v>
      </c>
      <c r="D450" s="61">
        <v>1747.2447232210586</v>
      </c>
      <c r="E450" s="61">
        <v>3586.9830698348078</v>
      </c>
      <c r="F450" s="61">
        <v>5602.9479864000059</v>
      </c>
      <c r="G450" s="61">
        <v>5334.2277930558666</v>
      </c>
    </row>
    <row r="451" spans="1:7" ht="11.25" customHeight="1" x14ac:dyDescent="0.2">
      <c r="A451" s="71">
        <v>44197</v>
      </c>
      <c r="B451" s="61">
        <v>1561.6362000000015</v>
      </c>
      <c r="C451" s="61">
        <v>4277.3710511999971</v>
      </c>
      <c r="D451" s="61">
        <v>1745.3288847087547</v>
      </c>
      <c r="E451" s="61">
        <v>3798.1153359706559</v>
      </c>
      <c r="F451" s="61">
        <v>5839.0072511999988</v>
      </c>
      <c r="G451" s="61">
        <v>5543.4442206794101</v>
      </c>
    </row>
    <row r="452" spans="1:7" ht="11.25" customHeight="1" x14ac:dyDescent="0.2">
      <c r="A452" s="71">
        <v>44228</v>
      </c>
      <c r="B452" s="61">
        <v>1520.4954000000025</v>
      </c>
      <c r="C452" s="61">
        <v>4535.9650704000087</v>
      </c>
      <c r="D452" s="61">
        <v>1699.3487604134648</v>
      </c>
      <c r="E452" s="61">
        <v>4027.7353288020722</v>
      </c>
      <c r="F452" s="61">
        <v>6056.4604704000112</v>
      </c>
      <c r="G452" s="61">
        <v>5727.0840892155375</v>
      </c>
    </row>
    <row r="453" spans="1:7" ht="11.25" customHeight="1" x14ac:dyDescent="0.2">
      <c r="A453" s="71">
        <v>44256</v>
      </c>
      <c r="B453" s="61">
        <v>1527.3522000000012</v>
      </c>
      <c r="C453" s="61">
        <v>4835.3573532000037</v>
      </c>
      <c r="D453" s="61">
        <v>1707.0121144626783</v>
      </c>
      <c r="E453" s="61">
        <v>4293.5823659570351</v>
      </c>
      <c r="F453" s="61">
        <v>6362.7095532000048</v>
      </c>
      <c r="G453" s="61">
        <v>6000.5944804197134</v>
      </c>
    </row>
    <row r="454" spans="1:7" ht="11.25" customHeight="1" x14ac:dyDescent="0.2">
      <c r="A454" s="71">
        <v>44287</v>
      </c>
      <c r="B454" s="61">
        <v>1475.9261999999999</v>
      </c>
      <c r="C454" s="61">
        <v>4417.2605748000078</v>
      </c>
      <c r="D454" s="61">
        <v>1649.5369590935634</v>
      </c>
      <c r="E454" s="61">
        <v>3922.3310139109108</v>
      </c>
      <c r="F454" s="61">
        <v>5893.1867748000077</v>
      </c>
      <c r="G454" s="61">
        <v>5571.8679730044742</v>
      </c>
    </row>
    <row r="455" spans="1:7" ht="11.25" customHeight="1" x14ac:dyDescent="0.2">
      <c r="A455" s="71">
        <v>44317</v>
      </c>
      <c r="B455" s="61">
        <v>1287.3641999999986</v>
      </c>
      <c r="C455" s="61">
        <v>5141.196262800001</v>
      </c>
      <c r="D455" s="61">
        <v>1438.7947227401451</v>
      </c>
      <c r="E455" s="61">
        <v>4565.1537211151071</v>
      </c>
      <c r="F455" s="61">
        <v>6428.5604628000001</v>
      </c>
      <c r="G455" s="61">
        <v>6003.9484438552518</v>
      </c>
    </row>
    <row r="456" spans="1:7" ht="11.25" customHeight="1" x14ac:dyDescent="0.2">
      <c r="A456" s="71">
        <v>44348</v>
      </c>
      <c r="B456" s="61">
        <v>1527.3522000000012</v>
      </c>
      <c r="C456" s="61">
        <v>4453.4118000000071</v>
      </c>
      <c r="D456" s="61">
        <v>1707.0121144626783</v>
      </c>
      <c r="E456" s="61">
        <v>3954.4316947269285</v>
      </c>
      <c r="F456" s="61">
        <v>5980.7640000000083</v>
      </c>
      <c r="G456" s="61">
        <v>5661.4438091896063</v>
      </c>
    </row>
    <row r="457" spans="1:7" ht="11.25" customHeight="1" x14ac:dyDescent="0.2">
      <c r="A457" s="71">
        <v>44378</v>
      </c>
      <c r="B457" s="61">
        <v>1693.6295999999993</v>
      </c>
      <c r="C457" s="61">
        <v>4727.5642859999953</v>
      </c>
      <c r="D457" s="61">
        <v>1892.8484501561438</v>
      </c>
      <c r="E457" s="61">
        <v>4197.8669143997495</v>
      </c>
      <c r="F457" s="61">
        <v>6421.1938859999946</v>
      </c>
      <c r="G457" s="61">
        <v>6090.7153645558938</v>
      </c>
    </row>
    <row r="458" spans="1:7" ht="11.25" customHeight="1" x14ac:dyDescent="0.2">
      <c r="A458" s="71">
        <v>44409</v>
      </c>
      <c r="B458" s="61">
        <v>1703.9148000000005</v>
      </c>
      <c r="C458" s="61">
        <v>5271.5183543999983</v>
      </c>
      <c r="D458" s="61">
        <v>1904.3434812299681</v>
      </c>
      <c r="E458" s="61">
        <v>4680.8739447751195</v>
      </c>
      <c r="F458" s="61">
        <v>6975.4331543999988</v>
      </c>
      <c r="G458" s="61">
        <v>6585.2174260050879</v>
      </c>
    </row>
    <row r="459" spans="1:7" ht="11.25" customHeight="1" x14ac:dyDescent="0.2">
      <c r="A459" s="71">
        <v>44440</v>
      </c>
      <c r="B459" s="61">
        <v>2228.4600000000019</v>
      </c>
      <c r="C459" s="61">
        <v>4329.9463679999953</v>
      </c>
      <c r="D459" s="61">
        <v>2490.5900659949293</v>
      </c>
      <c r="E459" s="61">
        <v>3844.7998799677366</v>
      </c>
      <c r="F459" s="61">
        <v>6558.4063679999972</v>
      </c>
      <c r="G459" s="61">
        <v>6335.3899459626664</v>
      </c>
    </row>
    <row r="460" spans="1:7" ht="11.25" customHeight="1" x14ac:dyDescent="0.2">
      <c r="A460" s="71">
        <v>44470</v>
      </c>
      <c r="B460" s="61">
        <v>2228.4600000000019</v>
      </c>
      <c r="C460" s="61">
        <v>4329.9463679999953</v>
      </c>
      <c r="D460" s="61">
        <v>2490.5900659949293</v>
      </c>
      <c r="E460" s="61">
        <v>3844.7998799677366</v>
      </c>
      <c r="F460" s="61">
        <v>6558.4063679999972</v>
      </c>
      <c r="G460" s="61">
        <v>6335.3899459626664</v>
      </c>
    </row>
    <row r="461" spans="1:7" ht="11.25" customHeight="1" x14ac:dyDescent="0.2">
      <c r="A461" s="70" t="s">
        <v>37</v>
      </c>
      <c r="B461" s="61">
        <v>32525.26200000001</v>
      </c>
      <c r="C461" s="61">
        <v>9422.9814666000057</v>
      </c>
      <c r="D461" s="61">
        <v>36383.824658222402</v>
      </c>
      <c r="E461" s="61">
        <v>8891.8207045069466</v>
      </c>
      <c r="F461" s="61">
        <v>41948.243466600026</v>
      </c>
      <c r="G461" s="61">
        <v>45275.645362729352</v>
      </c>
    </row>
    <row r="462" spans="1:7" ht="11.25" customHeight="1" x14ac:dyDescent="0.2">
      <c r="A462" s="71">
        <v>44136</v>
      </c>
      <c r="B462" s="61">
        <v>2696.1312000000021</v>
      </c>
      <c r="C462" s="61">
        <v>1032.3467742000007</v>
      </c>
      <c r="D462" s="61">
        <v>3015.9807732329041</v>
      </c>
      <c r="E462" s="61">
        <v>974.15477825137293</v>
      </c>
      <c r="F462" s="61">
        <v>3728.4779742000028</v>
      </c>
      <c r="G462" s="61">
        <v>3990.1355514842771</v>
      </c>
    </row>
    <row r="463" spans="1:7" ht="11.25" customHeight="1" x14ac:dyDescent="0.2">
      <c r="A463" s="71">
        <v>44166</v>
      </c>
      <c r="B463" s="61">
        <v>2562.596400000004</v>
      </c>
      <c r="C463" s="61">
        <v>815.12293140000065</v>
      </c>
      <c r="D463" s="61">
        <v>2866.6043670114655</v>
      </c>
      <c r="E463" s="61">
        <v>769.17555062921235</v>
      </c>
      <c r="F463" s="61">
        <v>3377.7193314000046</v>
      </c>
      <c r="G463" s="61">
        <v>3635.7799176406779</v>
      </c>
    </row>
    <row r="464" spans="1:7" ht="11.25" customHeight="1" x14ac:dyDescent="0.2">
      <c r="A464" s="71">
        <v>44197</v>
      </c>
      <c r="B464" s="61">
        <v>2616.646200000002</v>
      </c>
      <c r="C464" s="61">
        <v>892.27328700000157</v>
      </c>
      <c r="D464" s="61">
        <v>2927.066245720142</v>
      </c>
      <c r="E464" s="61">
        <v>841.97704469090922</v>
      </c>
      <c r="F464" s="61">
        <v>3508.9194870000038</v>
      </c>
      <c r="G464" s="61">
        <v>3769.0432904110512</v>
      </c>
    </row>
    <row r="465" spans="1:7" ht="11.25" customHeight="1" x14ac:dyDescent="0.2">
      <c r="A465" s="71">
        <v>44228</v>
      </c>
      <c r="B465" s="61">
        <v>2514.9054000000051</v>
      </c>
      <c r="C465" s="61">
        <v>963.11839560000112</v>
      </c>
      <c r="D465" s="61">
        <v>2813.2556505038092</v>
      </c>
      <c r="E465" s="61">
        <v>908.82871002585307</v>
      </c>
      <c r="F465" s="61">
        <v>3478.0237956000065</v>
      </c>
      <c r="G465" s="61">
        <v>3722.0843605296623</v>
      </c>
    </row>
    <row r="466" spans="1:7" ht="11.25" customHeight="1" x14ac:dyDescent="0.2">
      <c r="A466" s="71">
        <v>44256</v>
      </c>
      <c r="B466" s="61">
        <v>2174.7096000000042</v>
      </c>
      <c r="C466" s="61">
        <v>1018.1518848000001</v>
      </c>
      <c r="D466" s="61">
        <v>2432.7014727491851</v>
      </c>
      <c r="E466" s="61">
        <v>960.76003563063261</v>
      </c>
      <c r="F466" s="61">
        <v>3192.8614848000043</v>
      </c>
      <c r="G466" s="61">
        <v>3393.4615083798176</v>
      </c>
    </row>
    <row r="467" spans="1:7" ht="11.25" customHeight="1" x14ac:dyDescent="0.2">
      <c r="A467" s="71">
        <v>44287</v>
      </c>
      <c r="B467" s="61">
        <v>2533.9818000000005</v>
      </c>
      <c r="C467" s="61">
        <v>1002.7606152000002</v>
      </c>
      <c r="D467" s="61">
        <v>2834.5951371068672</v>
      </c>
      <c r="E467" s="61">
        <v>946.23635114891977</v>
      </c>
      <c r="F467" s="61">
        <v>3536.7424152000008</v>
      </c>
      <c r="G467" s="61">
        <v>3780.831488255787</v>
      </c>
    </row>
    <row r="468" spans="1:7" ht="11.25" customHeight="1" x14ac:dyDescent="0.2">
      <c r="A468" s="71">
        <v>44317</v>
      </c>
      <c r="B468" s="61">
        <v>2327.3207999999986</v>
      </c>
      <c r="C468" s="61">
        <v>1172.0322462000013</v>
      </c>
      <c r="D468" s="61">
        <v>2603.4173655736827</v>
      </c>
      <c r="E468" s="61">
        <v>1105.9663685055757</v>
      </c>
      <c r="F468" s="61">
        <v>3499.3530461999999</v>
      </c>
      <c r="G468" s="61">
        <v>3709.3837340792584</v>
      </c>
    </row>
    <row r="469" spans="1:7" ht="11.25" customHeight="1" x14ac:dyDescent="0.2">
      <c r="A469" s="71">
        <v>44348</v>
      </c>
      <c r="B469" s="61">
        <v>2244.6563999999985</v>
      </c>
      <c r="C469" s="61">
        <v>831.77525040000137</v>
      </c>
      <c r="D469" s="61">
        <v>2510.9462569604093</v>
      </c>
      <c r="E469" s="61">
        <v>784.88920085627637</v>
      </c>
      <c r="F469" s="61">
        <v>3076.4316503999999</v>
      </c>
      <c r="G469" s="61">
        <v>3295.8354578166854</v>
      </c>
    </row>
    <row r="470" spans="1:7" ht="11.25" customHeight="1" x14ac:dyDescent="0.2">
      <c r="A470" s="71">
        <v>44378</v>
      </c>
      <c r="B470" s="61">
        <v>1780.4640000000013</v>
      </c>
      <c r="C470" s="61">
        <v>445.11810359999959</v>
      </c>
      <c r="D470" s="61">
        <v>1991.6854162858799</v>
      </c>
      <c r="E470" s="61">
        <v>420.02739616651661</v>
      </c>
      <c r="F470" s="61">
        <v>2225.5821036000007</v>
      </c>
      <c r="G470" s="61">
        <v>2411.7128124523965</v>
      </c>
    </row>
    <row r="471" spans="1:7" ht="11.25" customHeight="1" x14ac:dyDescent="0.2">
      <c r="A471" s="71">
        <v>44409</v>
      </c>
      <c r="B471" s="61">
        <v>2610.2873999999993</v>
      </c>
      <c r="C471" s="61">
        <v>476.90301539999984</v>
      </c>
      <c r="D471" s="61">
        <v>2919.9530835191176</v>
      </c>
      <c r="E471" s="61">
        <v>450.02063533778573</v>
      </c>
      <c r="F471" s="61">
        <v>3087.190415399999</v>
      </c>
      <c r="G471" s="61">
        <v>3369.9737188569034</v>
      </c>
    </row>
    <row r="472" spans="1:7" ht="11.25" customHeight="1" x14ac:dyDescent="0.2">
      <c r="A472" s="71">
        <v>44440</v>
      </c>
      <c r="B472" s="61">
        <v>4231.7814000000008</v>
      </c>
      <c r="C472" s="61">
        <v>386.68948139999975</v>
      </c>
      <c r="D472" s="61">
        <v>4733.8094447794729</v>
      </c>
      <c r="E472" s="61">
        <v>364.89231663194641</v>
      </c>
      <c r="F472" s="61">
        <v>4618.4708814000005</v>
      </c>
      <c r="G472" s="61">
        <v>5098.7017614114193</v>
      </c>
    </row>
    <row r="473" spans="1:7" ht="11.25" customHeight="1" x14ac:dyDescent="0.2">
      <c r="A473" s="71">
        <v>44470</v>
      </c>
      <c r="B473" s="61">
        <v>4231.7814000000008</v>
      </c>
      <c r="C473" s="61">
        <v>386.68948139999975</v>
      </c>
      <c r="D473" s="61">
        <v>4733.8094447794729</v>
      </c>
      <c r="E473" s="61">
        <v>364.89231663194641</v>
      </c>
      <c r="F473" s="61">
        <v>4618.4708814000005</v>
      </c>
      <c r="G473" s="61">
        <v>5098.7017614114193</v>
      </c>
    </row>
    <row r="474" spans="1:7" ht="11.25" customHeight="1" x14ac:dyDescent="0.2">
      <c r="A474" s="65" t="s">
        <v>36</v>
      </c>
      <c r="B474" s="61">
        <v>64748.762400000051</v>
      </c>
      <c r="C474" s="61">
        <v>308516.20456140011</v>
      </c>
      <c r="D474" s="61">
        <v>72365.052286738835</v>
      </c>
      <c r="E474" s="61">
        <v>289107.92697427538</v>
      </c>
      <c r="F474" s="61">
        <v>373264.96696140012</v>
      </c>
      <c r="G474" s="61">
        <v>361472.9792610142</v>
      </c>
    </row>
    <row r="475" spans="1:7" ht="11.25" customHeight="1" x14ac:dyDescent="0.2">
      <c r="A475" s="66" t="s">
        <v>47</v>
      </c>
      <c r="B475" s="61">
        <v>64748.762400000051</v>
      </c>
      <c r="C475" s="61">
        <v>308516.20456140011</v>
      </c>
      <c r="D475" s="61">
        <v>72365.052286738835</v>
      </c>
      <c r="E475" s="61">
        <v>289107.92697427538</v>
      </c>
      <c r="F475" s="61">
        <v>373264.96696140012</v>
      </c>
      <c r="G475" s="61">
        <v>361472.9792610142</v>
      </c>
    </row>
    <row r="476" spans="1:7" ht="11.25" customHeight="1" x14ac:dyDescent="0.2">
      <c r="A476" s="67" t="s">
        <v>58</v>
      </c>
      <c r="B476" s="61">
        <v>395.9802000000002</v>
      </c>
      <c r="C476" s="61">
        <v>24525.346838400001</v>
      </c>
      <c r="D476" s="61">
        <v>442.55869634217572</v>
      </c>
      <c r="E476" s="61">
        <v>22856.771683403993</v>
      </c>
      <c r="F476" s="61">
        <v>24921.327038400002</v>
      </c>
      <c r="G476" s="61">
        <v>23299.33037974617</v>
      </c>
    </row>
    <row r="477" spans="1:7" ht="11.25" customHeight="1" x14ac:dyDescent="0.2">
      <c r="A477" s="68" t="s">
        <v>56</v>
      </c>
      <c r="B477" s="61">
        <v>0</v>
      </c>
      <c r="C477" s="61">
        <v>24626.655504000002</v>
      </c>
      <c r="D477" s="61">
        <v>0</v>
      </c>
      <c r="E477" s="61">
        <v>23121.195476200468</v>
      </c>
      <c r="F477" s="61">
        <v>24626.655504000002</v>
      </c>
      <c r="G477" s="61">
        <v>23121.195476200468</v>
      </c>
    </row>
    <row r="478" spans="1:7" ht="11.25" customHeight="1" x14ac:dyDescent="0.2">
      <c r="A478" s="69" t="s">
        <v>25</v>
      </c>
      <c r="B478" s="61">
        <v>0</v>
      </c>
      <c r="C478" s="61">
        <v>24626.655504000002</v>
      </c>
      <c r="D478" s="61">
        <v>0</v>
      </c>
      <c r="E478" s="61">
        <v>23121.195476200468</v>
      </c>
      <c r="F478" s="61">
        <v>24626.655504000002</v>
      </c>
      <c r="G478" s="61">
        <v>23121.195476200468</v>
      </c>
    </row>
    <row r="479" spans="1:7" ht="11.25" customHeight="1" x14ac:dyDescent="0.2">
      <c r="A479" s="70" t="s">
        <v>38</v>
      </c>
      <c r="B479" s="61">
        <v>0</v>
      </c>
      <c r="C479" s="61">
        <v>17829.441056000003</v>
      </c>
      <c r="D479" s="61">
        <v>0</v>
      </c>
      <c r="E479" s="61">
        <v>15831.751020894106</v>
      </c>
      <c r="F479" s="61">
        <v>17829.441056000003</v>
      </c>
      <c r="G479" s="61">
        <v>15831.751020894106</v>
      </c>
    </row>
    <row r="480" spans="1:7" ht="11.25" customHeight="1" x14ac:dyDescent="0.2">
      <c r="A480" s="71">
        <v>44378</v>
      </c>
      <c r="B480" s="61">
        <v>0</v>
      </c>
      <c r="C480" s="61">
        <v>1318.1795200000001</v>
      </c>
      <c r="D480" s="61">
        <v>0</v>
      </c>
      <c r="E480" s="61">
        <v>1170.4848119430412</v>
      </c>
      <c r="F480" s="61">
        <v>1318.1795200000001</v>
      </c>
      <c r="G480" s="61">
        <v>1170.4848119430412</v>
      </c>
    </row>
    <row r="481" spans="1:7" ht="11.25" customHeight="1" x14ac:dyDescent="0.2">
      <c r="A481" s="71">
        <v>44409</v>
      </c>
      <c r="B481" s="61">
        <v>0</v>
      </c>
      <c r="C481" s="61">
        <v>8165.4235520000002</v>
      </c>
      <c r="D481" s="61">
        <v>0</v>
      </c>
      <c r="E481" s="61">
        <v>7250.5331069762042</v>
      </c>
      <c r="F481" s="61">
        <v>8165.4235520000002</v>
      </c>
      <c r="G481" s="61">
        <v>7250.5331069762042</v>
      </c>
    </row>
    <row r="482" spans="1:7" ht="11.25" customHeight="1" x14ac:dyDescent="0.2">
      <c r="A482" s="71">
        <v>44440</v>
      </c>
      <c r="B482" s="61">
        <v>0</v>
      </c>
      <c r="C482" s="61">
        <v>4172.9189920000008</v>
      </c>
      <c r="D482" s="61">
        <v>0</v>
      </c>
      <c r="E482" s="61">
        <v>3705.3665509874299</v>
      </c>
      <c r="F482" s="61">
        <v>4172.9189920000008</v>
      </c>
      <c r="G482" s="61">
        <v>3705.3665509874299</v>
      </c>
    </row>
    <row r="483" spans="1:7" ht="11.25" customHeight="1" x14ac:dyDescent="0.2">
      <c r="A483" s="71">
        <v>44470</v>
      </c>
      <c r="B483" s="61">
        <v>0</v>
      </c>
      <c r="C483" s="61">
        <v>4172.9189920000008</v>
      </c>
      <c r="D483" s="61">
        <v>0</v>
      </c>
      <c r="E483" s="61">
        <v>3705.3665509874299</v>
      </c>
      <c r="F483" s="61">
        <v>4172.9189920000008</v>
      </c>
      <c r="G483" s="61">
        <v>3705.3665509874299</v>
      </c>
    </row>
    <row r="484" spans="1:7" ht="11.25" customHeight="1" x14ac:dyDescent="0.2">
      <c r="A484" s="70" t="s">
        <v>37</v>
      </c>
      <c r="B484" s="61">
        <v>0</v>
      </c>
      <c r="C484" s="61">
        <v>6797.2144479999988</v>
      </c>
      <c r="D484" s="61">
        <v>0</v>
      </c>
      <c r="E484" s="61">
        <v>7289.4444553063622</v>
      </c>
      <c r="F484" s="61">
        <v>6797.2144479999988</v>
      </c>
      <c r="G484" s="61">
        <v>7289.4444553063622</v>
      </c>
    </row>
    <row r="485" spans="1:7" ht="11.25" customHeight="1" x14ac:dyDescent="0.2">
      <c r="A485" s="71">
        <v>44378</v>
      </c>
      <c r="B485" s="61">
        <v>0</v>
      </c>
      <c r="C485" s="61">
        <v>5475.1285119999993</v>
      </c>
      <c r="D485" s="61">
        <v>0</v>
      </c>
      <c r="E485" s="61">
        <v>5871.6177750771731</v>
      </c>
      <c r="F485" s="61">
        <v>5475.1285119999993</v>
      </c>
      <c r="G485" s="61">
        <v>5871.6177750771731</v>
      </c>
    </row>
    <row r="486" spans="1:7" ht="11.25" customHeight="1" x14ac:dyDescent="0.2">
      <c r="A486" s="71">
        <v>44409</v>
      </c>
      <c r="B486" s="61">
        <v>0</v>
      </c>
      <c r="C486" s="61">
        <v>408.59168</v>
      </c>
      <c r="D486" s="61">
        <v>0</v>
      </c>
      <c r="E486" s="61">
        <v>438.18043097590851</v>
      </c>
      <c r="F486" s="61">
        <v>408.59168</v>
      </c>
      <c r="G486" s="61">
        <v>438.18043097590851</v>
      </c>
    </row>
    <row r="487" spans="1:7" ht="11.25" customHeight="1" x14ac:dyDescent="0.2">
      <c r="A487" s="71">
        <v>44440</v>
      </c>
      <c r="B487" s="61">
        <v>0</v>
      </c>
      <c r="C487" s="61">
        <v>456.74712799999998</v>
      </c>
      <c r="D487" s="61">
        <v>0</v>
      </c>
      <c r="E487" s="61">
        <v>489.82312462664061</v>
      </c>
      <c r="F487" s="61">
        <v>456.74712799999998</v>
      </c>
      <c r="G487" s="61">
        <v>489.82312462664061</v>
      </c>
    </row>
    <row r="488" spans="1:7" ht="11.25" customHeight="1" x14ac:dyDescent="0.2">
      <c r="A488" s="71">
        <v>44470</v>
      </c>
      <c r="B488" s="61">
        <v>0</v>
      </c>
      <c r="C488" s="61">
        <v>456.74712799999998</v>
      </c>
      <c r="D488" s="61">
        <v>0</v>
      </c>
      <c r="E488" s="61">
        <v>489.82312462664061</v>
      </c>
      <c r="F488" s="61">
        <v>456.74712799999998</v>
      </c>
      <c r="G488" s="61">
        <v>489.82312462664061</v>
      </c>
    </row>
    <row r="489" spans="1:7" ht="11.25" customHeight="1" x14ac:dyDescent="0.2">
      <c r="A489" s="68" t="s">
        <v>57</v>
      </c>
      <c r="B489" s="61">
        <v>0</v>
      </c>
      <c r="C489" s="61">
        <v>844.50811080000074</v>
      </c>
      <c r="D489" s="61">
        <v>0</v>
      </c>
      <c r="E489" s="61">
        <v>749.8856584072189</v>
      </c>
      <c r="F489" s="61">
        <v>844.50811080000074</v>
      </c>
      <c r="G489" s="61">
        <v>749.8856584072189</v>
      </c>
    </row>
    <row r="490" spans="1:7" ht="11.25" customHeight="1" x14ac:dyDescent="0.2">
      <c r="A490" s="69" t="s">
        <v>25</v>
      </c>
      <c r="B490" s="61">
        <v>0</v>
      </c>
      <c r="C490" s="61">
        <v>844.50811080000074</v>
      </c>
      <c r="D490" s="61">
        <v>0</v>
      </c>
      <c r="E490" s="61">
        <v>749.8856584072189</v>
      </c>
      <c r="F490" s="61">
        <v>844.50811080000074</v>
      </c>
      <c r="G490" s="61">
        <v>749.8856584072189</v>
      </c>
    </row>
    <row r="491" spans="1:7" ht="11.25" customHeight="1" x14ac:dyDescent="0.2">
      <c r="A491" s="70" t="s">
        <v>38</v>
      </c>
      <c r="B491" s="61">
        <v>0</v>
      </c>
      <c r="C491" s="61">
        <v>844.50811080000074</v>
      </c>
      <c r="D491" s="61">
        <v>0</v>
      </c>
      <c r="E491" s="61">
        <v>749.8856584072189</v>
      </c>
      <c r="F491" s="61">
        <v>844.50811080000074</v>
      </c>
      <c r="G491" s="61">
        <v>749.8856584072189</v>
      </c>
    </row>
    <row r="492" spans="1:7" ht="11.25" customHeight="1" x14ac:dyDescent="0.2">
      <c r="A492" s="71">
        <v>44378</v>
      </c>
      <c r="B492" s="61">
        <v>0</v>
      </c>
      <c r="C492" s="61">
        <v>84.831230400000024</v>
      </c>
      <c r="D492" s="61">
        <v>0</v>
      </c>
      <c r="E492" s="61">
        <v>75.326361284721557</v>
      </c>
      <c r="F492" s="61">
        <v>84.831230400000024</v>
      </c>
      <c r="G492" s="61">
        <v>75.326361284721557</v>
      </c>
    </row>
    <row r="493" spans="1:7" ht="11.25" customHeight="1" x14ac:dyDescent="0.2">
      <c r="A493" s="71">
        <v>44409</v>
      </c>
      <c r="B493" s="61">
        <v>0</v>
      </c>
      <c r="C493" s="61">
        <v>246.63472920000018</v>
      </c>
      <c r="D493" s="61">
        <v>0</v>
      </c>
      <c r="E493" s="61">
        <v>219.00067498111724</v>
      </c>
      <c r="F493" s="61">
        <v>246.63472920000018</v>
      </c>
      <c r="G493" s="61">
        <v>219.00067498111724</v>
      </c>
    </row>
    <row r="494" spans="1:7" ht="11.25" customHeight="1" x14ac:dyDescent="0.2">
      <c r="A494" s="71">
        <v>44440</v>
      </c>
      <c r="B494" s="61">
        <v>0</v>
      </c>
      <c r="C494" s="61">
        <v>256.52107560000024</v>
      </c>
      <c r="D494" s="61">
        <v>0</v>
      </c>
      <c r="E494" s="61">
        <v>227.77931107069008</v>
      </c>
      <c r="F494" s="61">
        <v>256.52107560000024</v>
      </c>
      <c r="G494" s="61">
        <v>227.77931107069008</v>
      </c>
    </row>
    <row r="495" spans="1:7" ht="11.25" customHeight="1" x14ac:dyDescent="0.2">
      <c r="A495" s="71">
        <v>44470</v>
      </c>
      <c r="B495" s="61">
        <v>0</v>
      </c>
      <c r="C495" s="61">
        <v>256.52107560000024</v>
      </c>
      <c r="D495" s="61">
        <v>0</v>
      </c>
      <c r="E495" s="61">
        <v>227.77931107069008</v>
      </c>
      <c r="F495" s="61">
        <v>256.52107560000024</v>
      </c>
      <c r="G495" s="61">
        <v>227.77931107069008</v>
      </c>
    </row>
    <row r="496" spans="1:7" ht="11.25" customHeight="1" x14ac:dyDescent="0.2">
      <c r="A496" s="68" t="s">
        <v>25</v>
      </c>
      <c r="B496" s="61">
        <v>395.9802000000002</v>
      </c>
      <c r="C496" s="61">
        <v>-945.81677640000089</v>
      </c>
      <c r="D496" s="61">
        <v>442.55869634217572</v>
      </c>
      <c r="E496" s="61">
        <v>-1014.3094512036977</v>
      </c>
      <c r="F496" s="61">
        <v>-549.83657640000069</v>
      </c>
      <c r="G496" s="61">
        <v>-571.75075486152195</v>
      </c>
    </row>
    <row r="497" spans="1:7" ht="11.25" customHeight="1" x14ac:dyDescent="0.2">
      <c r="A497" s="69" t="s">
        <v>25</v>
      </c>
      <c r="B497" s="61">
        <v>395.9802000000002</v>
      </c>
      <c r="C497" s="61">
        <v>-945.81677640000089</v>
      </c>
      <c r="D497" s="61">
        <v>442.55869634217572</v>
      </c>
      <c r="E497" s="61">
        <v>-1014.3094512036977</v>
      </c>
      <c r="F497" s="61">
        <v>-549.83657640000069</v>
      </c>
      <c r="G497" s="61">
        <v>-571.75075486152195</v>
      </c>
    </row>
    <row r="498" spans="1:7" ht="11.25" customHeight="1" x14ac:dyDescent="0.2">
      <c r="A498" s="70" t="s">
        <v>25</v>
      </c>
      <c r="B498" s="61">
        <v>395.9802000000002</v>
      </c>
      <c r="C498" s="61">
        <v>0</v>
      </c>
      <c r="D498" s="61">
        <v>442.55869634217572</v>
      </c>
      <c r="E498" s="61">
        <v>0</v>
      </c>
      <c r="F498" s="61">
        <v>395.9802000000002</v>
      </c>
      <c r="G498" s="61">
        <v>442.55869634217572</v>
      </c>
    </row>
    <row r="499" spans="1:7" ht="11.25" customHeight="1" x14ac:dyDescent="0.2">
      <c r="A499" s="71">
        <v>44378</v>
      </c>
      <c r="B499" s="61">
        <v>73.710600000000156</v>
      </c>
      <c r="C499" s="61">
        <v>0</v>
      </c>
      <c r="D499" s="61">
        <v>82.38105602906316</v>
      </c>
      <c r="E499" s="61">
        <v>0</v>
      </c>
      <c r="F499" s="61">
        <v>73.710600000000156</v>
      </c>
      <c r="G499" s="61">
        <v>82.38105602906316</v>
      </c>
    </row>
    <row r="500" spans="1:7" ht="11.25" customHeight="1" x14ac:dyDescent="0.2">
      <c r="A500" s="71">
        <v>44409</v>
      </c>
      <c r="B500" s="61">
        <v>150.84960000000004</v>
      </c>
      <c r="C500" s="61">
        <v>0</v>
      </c>
      <c r="D500" s="61">
        <v>168.59378908273359</v>
      </c>
      <c r="E500" s="61">
        <v>0</v>
      </c>
      <c r="F500" s="61">
        <v>150.84960000000004</v>
      </c>
      <c r="G500" s="61">
        <v>168.59378908273359</v>
      </c>
    </row>
    <row r="501" spans="1:7" ht="11.25" customHeight="1" x14ac:dyDescent="0.2">
      <c r="A501" s="71">
        <v>44440</v>
      </c>
      <c r="B501" s="61">
        <v>85.710000000000008</v>
      </c>
      <c r="C501" s="61">
        <v>0</v>
      </c>
      <c r="D501" s="61">
        <v>95.791925615189513</v>
      </c>
      <c r="E501" s="61">
        <v>0</v>
      </c>
      <c r="F501" s="61">
        <v>85.710000000000008</v>
      </c>
      <c r="G501" s="61">
        <v>95.791925615189513</v>
      </c>
    </row>
    <row r="502" spans="1:7" ht="11.25" customHeight="1" x14ac:dyDescent="0.2">
      <c r="A502" s="71">
        <v>44470</v>
      </c>
      <c r="B502" s="61">
        <v>85.710000000000008</v>
      </c>
      <c r="C502" s="61">
        <v>0</v>
      </c>
      <c r="D502" s="61">
        <v>95.791925615189513</v>
      </c>
      <c r="E502" s="61">
        <v>0</v>
      </c>
      <c r="F502" s="61">
        <v>85.710000000000008</v>
      </c>
      <c r="G502" s="61">
        <v>95.791925615189513</v>
      </c>
    </row>
    <row r="503" spans="1:7" ht="11.25" customHeight="1" x14ac:dyDescent="0.2">
      <c r="A503" s="70" t="s">
        <v>37</v>
      </c>
      <c r="B503" s="61">
        <v>0</v>
      </c>
      <c r="C503" s="61">
        <v>-945.81677640000089</v>
      </c>
      <c r="D503" s="61">
        <v>0</v>
      </c>
      <c r="E503" s="61">
        <v>-1014.3094512036977</v>
      </c>
      <c r="F503" s="61">
        <v>-945.81677640000089</v>
      </c>
      <c r="G503" s="61">
        <v>-1014.3094512036977</v>
      </c>
    </row>
    <row r="504" spans="1:7" ht="11.25" customHeight="1" x14ac:dyDescent="0.2">
      <c r="A504" s="71">
        <v>44409</v>
      </c>
      <c r="B504" s="61">
        <v>0</v>
      </c>
      <c r="C504" s="61">
        <v>-945.81677640000089</v>
      </c>
      <c r="D504" s="61">
        <v>0</v>
      </c>
      <c r="E504" s="61">
        <v>-1014.3094512036977</v>
      </c>
      <c r="F504" s="61">
        <v>-945.81677640000089</v>
      </c>
      <c r="G504" s="61">
        <v>-1014.3094512036977</v>
      </c>
    </row>
    <row r="505" spans="1:7" ht="11.25" customHeight="1" x14ac:dyDescent="0.2">
      <c r="A505" s="67" t="s">
        <v>25</v>
      </c>
      <c r="B505" s="61">
        <v>64352.782200000045</v>
      </c>
      <c r="C505" s="61">
        <v>283990.85772300011</v>
      </c>
      <c r="D505" s="61">
        <v>71922.493590396669</v>
      </c>
      <c r="E505" s="61">
        <v>266251.15529087133</v>
      </c>
      <c r="F505" s="61">
        <v>348343.63992300024</v>
      </c>
      <c r="G505" s="61">
        <v>338173.64888126799</v>
      </c>
    </row>
    <row r="506" spans="1:7" ht="11.25" customHeight="1" x14ac:dyDescent="0.2">
      <c r="A506" s="68" t="s">
        <v>25</v>
      </c>
      <c r="B506" s="61">
        <v>64352.782200000045</v>
      </c>
      <c r="C506" s="61">
        <v>283990.85772300011</v>
      </c>
      <c r="D506" s="61">
        <v>71922.493590396669</v>
      </c>
      <c r="E506" s="61">
        <v>266251.15529087133</v>
      </c>
      <c r="F506" s="61">
        <v>348343.63992300024</v>
      </c>
      <c r="G506" s="61">
        <v>338173.64888126799</v>
      </c>
    </row>
    <row r="507" spans="1:7" ht="11.25" customHeight="1" x14ac:dyDescent="0.2">
      <c r="A507" s="69" t="s">
        <v>25</v>
      </c>
      <c r="B507" s="61">
        <v>64352.782200000045</v>
      </c>
      <c r="C507" s="61">
        <v>283990.85772300011</v>
      </c>
      <c r="D507" s="61">
        <v>71922.493590396669</v>
      </c>
      <c r="E507" s="61">
        <v>266251.15529087133</v>
      </c>
      <c r="F507" s="61">
        <v>348343.63992300024</v>
      </c>
      <c r="G507" s="61">
        <v>338173.64888126799</v>
      </c>
    </row>
    <row r="508" spans="1:7" ht="11.25" customHeight="1" x14ac:dyDescent="0.2">
      <c r="A508" s="70" t="s">
        <v>38</v>
      </c>
      <c r="B508" s="61">
        <v>0</v>
      </c>
      <c r="C508" s="61">
        <v>207660.86098440006</v>
      </c>
      <c r="D508" s="61">
        <v>0</v>
      </c>
      <c r="E508" s="61">
        <v>184393.61265243718</v>
      </c>
      <c r="F508" s="61">
        <v>207660.86098440012</v>
      </c>
      <c r="G508" s="61">
        <v>184393.61265243715</v>
      </c>
    </row>
    <row r="509" spans="1:7" ht="11.25" customHeight="1" x14ac:dyDescent="0.2">
      <c r="A509" s="71">
        <v>44136</v>
      </c>
      <c r="B509" s="61">
        <v>0</v>
      </c>
      <c r="C509" s="61">
        <v>15830.6602404</v>
      </c>
      <c r="D509" s="61">
        <v>0</v>
      </c>
      <c r="E509" s="61">
        <v>14056.922515697082</v>
      </c>
      <c r="F509" s="61">
        <v>15830.6602404</v>
      </c>
      <c r="G509" s="61">
        <v>14056.922515697082</v>
      </c>
    </row>
    <row r="510" spans="1:7" ht="11.25" customHeight="1" x14ac:dyDescent="0.2">
      <c r="A510" s="71">
        <v>44166</v>
      </c>
      <c r="B510" s="61">
        <v>0</v>
      </c>
      <c r="C510" s="61">
        <v>15909.933248400022</v>
      </c>
      <c r="D510" s="61">
        <v>0</v>
      </c>
      <c r="E510" s="61">
        <v>14127.313422590456</v>
      </c>
      <c r="F510" s="61">
        <v>15909.933248400022</v>
      </c>
      <c r="G510" s="61">
        <v>14127.313422590456</v>
      </c>
    </row>
    <row r="511" spans="1:7" ht="11.25" customHeight="1" x14ac:dyDescent="0.2">
      <c r="A511" s="71">
        <v>44197</v>
      </c>
      <c r="B511" s="61">
        <v>0</v>
      </c>
      <c r="C511" s="61">
        <v>14507.347717200024</v>
      </c>
      <c r="D511" s="61">
        <v>0</v>
      </c>
      <c r="E511" s="61">
        <v>12881.879825108479</v>
      </c>
      <c r="F511" s="61">
        <v>14507.347717200024</v>
      </c>
      <c r="G511" s="61">
        <v>12881.879825108479</v>
      </c>
    </row>
    <row r="512" spans="1:7" ht="11.25" customHeight="1" x14ac:dyDescent="0.2">
      <c r="A512" s="71">
        <v>44228</v>
      </c>
      <c r="B512" s="61">
        <v>0</v>
      </c>
      <c r="C512" s="61">
        <v>13720.813688400021</v>
      </c>
      <c r="D512" s="61">
        <v>0</v>
      </c>
      <c r="E512" s="61">
        <v>12183.472574185045</v>
      </c>
      <c r="F512" s="61">
        <v>13720.813688400021</v>
      </c>
      <c r="G512" s="61">
        <v>12183.472574185045</v>
      </c>
    </row>
    <row r="513" spans="1:7" ht="11.25" customHeight="1" x14ac:dyDescent="0.2">
      <c r="A513" s="71">
        <v>44256</v>
      </c>
      <c r="B513" s="61">
        <v>0</v>
      </c>
      <c r="C513" s="61">
        <v>17043.765058800036</v>
      </c>
      <c r="D513" s="61">
        <v>0</v>
      </c>
      <c r="E513" s="61">
        <v>15134.10566388631</v>
      </c>
      <c r="F513" s="61">
        <v>17043.765058800036</v>
      </c>
      <c r="G513" s="61">
        <v>15134.10566388631</v>
      </c>
    </row>
    <row r="514" spans="1:7" ht="11.25" customHeight="1" x14ac:dyDescent="0.2">
      <c r="A514" s="71">
        <v>44287</v>
      </c>
      <c r="B514" s="61">
        <v>0</v>
      </c>
      <c r="C514" s="61">
        <v>16660.270492800006</v>
      </c>
      <c r="D514" s="61">
        <v>0</v>
      </c>
      <c r="E514" s="61">
        <v>14793.579538153663</v>
      </c>
      <c r="F514" s="61">
        <v>16660.270492800006</v>
      </c>
      <c r="G514" s="61">
        <v>14793.579538153663</v>
      </c>
    </row>
    <row r="515" spans="1:7" ht="11.25" customHeight="1" x14ac:dyDescent="0.2">
      <c r="A515" s="71">
        <v>44317</v>
      </c>
      <c r="B515" s="61">
        <v>0</v>
      </c>
      <c r="C515" s="61">
        <v>19512.185294399977</v>
      </c>
      <c r="D515" s="61">
        <v>0</v>
      </c>
      <c r="E515" s="61">
        <v>17325.953095458146</v>
      </c>
      <c r="F515" s="61">
        <v>19512.185294399977</v>
      </c>
      <c r="G515" s="61">
        <v>17325.953095458146</v>
      </c>
    </row>
    <row r="516" spans="1:7" ht="11.25" customHeight="1" x14ac:dyDescent="0.2">
      <c r="A516" s="71">
        <v>44348</v>
      </c>
      <c r="B516" s="61">
        <v>0</v>
      </c>
      <c r="C516" s="61">
        <v>17735.01202079999</v>
      </c>
      <c r="D516" s="61">
        <v>0</v>
      </c>
      <c r="E516" s="61">
        <v>15747.902235633013</v>
      </c>
      <c r="F516" s="61">
        <v>17735.01202079999</v>
      </c>
      <c r="G516" s="61">
        <v>15747.902235633013</v>
      </c>
    </row>
    <row r="517" spans="1:7" ht="11.25" customHeight="1" x14ac:dyDescent="0.2">
      <c r="A517" s="71">
        <v>44378</v>
      </c>
      <c r="B517" s="61">
        <v>0</v>
      </c>
      <c r="C517" s="61">
        <v>18691.595763599966</v>
      </c>
      <c r="D517" s="61">
        <v>0</v>
      </c>
      <c r="E517" s="61">
        <v>16597.306072751497</v>
      </c>
      <c r="F517" s="61">
        <v>18691.595763599966</v>
      </c>
      <c r="G517" s="61">
        <v>16597.306072751497</v>
      </c>
    </row>
    <row r="518" spans="1:7" ht="11.25" customHeight="1" x14ac:dyDescent="0.2">
      <c r="A518" s="71">
        <v>44409</v>
      </c>
      <c r="B518" s="61">
        <v>0</v>
      </c>
      <c r="C518" s="61">
        <v>18819.389319599977</v>
      </c>
      <c r="D518" s="61">
        <v>0</v>
      </c>
      <c r="E518" s="61">
        <v>16710.781069208886</v>
      </c>
      <c r="F518" s="61">
        <v>18819.389319599977</v>
      </c>
      <c r="G518" s="61">
        <v>16710.781069208886</v>
      </c>
    </row>
    <row r="519" spans="1:7" ht="11.25" customHeight="1" x14ac:dyDescent="0.2">
      <c r="A519" s="71">
        <v>44440</v>
      </c>
      <c r="B519" s="61">
        <v>0</v>
      </c>
      <c r="C519" s="61">
        <v>19614.944070000023</v>
      </c>
      <c r="D519" s="61">
        <v>0</v>
      </c>
      <c r="E519" s="61">
        <v>17417.198319882296</v>
      </c>
      <c r="F519" s="61">
        <v>19614.944070000023</v>
      </c>
      <c r="G519" s="61">
        <v>17417.198319882296</v>
      </c>
    </row>
    <row r="520" spans="1:7" ht="11.25" customHeight="1" x14ac:dyDescent="0.2">
      <c r="A520" s="71">
        <v>44470</v>
      </c>
      <c r="B520" s="61">
        <v>0</v>
      </c>
      <c r="C520" s="61">
        <v>19614.944070000023</v>
      </c>
      <c r="D520" s="61">
        <v>0</v>
      </c>
      <c r="E520" s="61">
        <v>17417.198319882296</v>
      </c>
      <c r="F520" s="61">
        <v>19614.944070000023</v>
      </c>
      <c r="G520" s="61">
        <v>17417.198319882296</v>
      </c>
    </row>
    <row r="521" spans="1:7" ht="11.25" customHeight="1" x14ac:dyDescent="0.2">
      <c r="A521" s="70" t="s">
        <v>25</v>
      </c>
      <c r="B521" s="61">
        <v>64352.782200000045</v>
      </c>
      <c r="C521" s="61">
        <v>0</v>
      </c>
      <c r="D521" s="61">
        <v>71922.493590396669</v>
      </c>
      <c r="E521" s="61">
        <v>0</v>
      </c>
      <c r="F521" s="61">
        <v>64352.782200000052</v>
      </c>
      <c r="G521" s="61">
        <v>71922.493590396669</v>
      </c>
    </row>
    <row r="522" spans="1:7" ht="11.25" customHeight="1" x14ac:dyDescent="0.2">
      <c r="A522" s="71">
        <v>44136</v>
      </c>
      <c r="B522" s="61">
        <v>5348.304000000011</v>
      </c>
      <c r="C522" s="61">
        <v>0</v>
      </c>
      <c r="D522" s="61">
        <v>5977.4161583878376</v>
      </c>
      <c r="E522" s="61">
        <v>0</v>
      </c>
      <c r="F522" s="61">
        <v>5348.304000000011</v>
      </c>
      <c r="G522" s="61">
        <v>5977.4161583878376</v>
      </c>
    </row>
    <row r="523" spans="1:7" ht="11.25" customHeight="1" x14ac:dyDescent="0.2">
      <c r="A523" s="71">
        <v>44166</v>
      </c>
      <c r="B523" s="61">
        <v>4712.335800000008</v>
      </c>
      <c r="C523" s="61">
        <v>0</v>
      </c>
      <c r="D523" s="61">
        <v>5266.6400703231284</v>
      </c>
      <c r="E523" s="61">
        <v>0</v>
      </c>
      <c r="F523" s="61">
        <v>4712.335800000008</v>
      </c>
      <c r="G523" s="61">
        <v>5266.6400703231284</v>
      </c>
    </row>
    <row r="524" spans="1:7" ht="11.25" customHeight="1" x14ac:dyDescent="0.2">
      <c r="A524" s="71">
        <v>44197</v>
      </c>
      <c r="B524" s="61">
        <v>5260.8797999999997</v>
      </c>
      <c r="C524" s="61">
        <v>0</v>
      </c>
      <c r="D524" s="61">
        <v>5879.7083942603322</v>
      </c>
      <c r="E524" s="61">
        <v>0</v>
      </c>
      <c r="F524" s="61">
        <v>5260.8797999999997</v>
      </c>
      <c r="G524" s="61">
        <v>5879.7083942603322</v>
      </c>
    </row>
    <row r="525" spans="1:7" ht="11.25" customHeight="1" x14ac:dyDescent="0.2">
      <c r="A525" s="71">
        <v>44228</v>
      </c>
      <c r="B525" s="61">
        <v>4892.3268000000062</v>
      </c>
      <c r="C525" s="61">
        <v>0</v>
      </c>
      <c r="D525" s="61">
        <v>5467.8031141150259</v>
      </c>
      <c r="E525" s="61">
        <v>0</v>
      </c>
      <c r="F525" s="61">
        <v>4892.3268000000062</v>
      </c>
      <c r="G525" s="61">
        <v>5467.8031141150259</v>
      </c>
    </row>
    <row r="526" spans="1:7" ht="11.25" customHeight="1" x14ac:dyDescent="0.2">
      <c r="A526" s="71">
        <v>44256</v>
      </c>
      <c r="B526" s="61">
        <v>6347.6826000000046</v>
      </c>
      <c r="C526" s="61">
        <v>0</v>
      </c>
      <c r="D526" s="61">
        <v>7094.3500110609411</v>
      </c>
      <c r="E526" s="61">
        <v>0</v>
      </c>
      <c r="F526" s="61">
        <v>6347.6826000000046</v>
      </c>
      <c r="G526" s="61">
        <v>7094.3500110609411</v>
      </c>
    </row>
    <row r="527" spans="1:7" ht="11.25" customHeight="1" x14ac:dyDescent="0.2">
      <c r="A527" s="71">
        <v>44287</v>
      </c>
      <c r="B527" s="61">
        <v>4684.9086000000007</v>
      </c>
      <c r="C527" s="61">
        <v>0</v>
      </c>
      <c r="D527" s="61">
        <v>5235.98665412626</v>
      </c>
      <c r="E527" s="61">
        <v>0</v>
      </c>
      <c r="F527" s="61">
        <v>4684.9086000000007</v>
      </c>
      <c r="G527" s="61">
        <v>5235.98665412626</v>
      </c>
    </row>
    <row r="528" spans="1:7" ht="11.25" customHeight="1" x14ac:dyDescent="0.2">
      <c r="A528" s="71">
        <v>44317</v>
      </c>
      <c r="B528" s="61">
        <v>5675.7162000000026</v>
      </c>
      <c r="C528" s="61">
        <v>0</v>
      </c>
      <c r="D528" s="61">
        <v>6343.3413142378522</v>
      </c>
      <c r="E528" s="61">
        <v>0</v>
      </c>
      <c r="F528" s="61">
        <v>5675.7162000000026</v>
      </c>
      <c r="G528" s="61">
        <v>6343.3413142378522</v>
      </c>
    </row>
    <row r="529" spans="1:7" ht="11.25" customHeight="1" x14ac:dyDescent="0.2">
      <c r="A529" s="71">
        <v>44348</v>
      </c>
      <c r="B529" s="61">
        <v>6169.4058000000077</v>
      </c>
      <c r="C529" s="61">
        <v>0</v>
      </c>
      <c r="D529" s="61">
        <v>6895.102805781351</v>
      </c>
      <c r="E529" s="61">
        <v>0</v>
      </c>
      <c r="F529" s="61">
        <v>6169.4058000000077</v>
      </c>
      <c r="G529" s="61">
        <v>6895.102805781351</v>
      </c>
    </row>
    <row r="530" spans="1:7" ht="11.25" customHeight="1" x14ac:dyDescent="0.2">
      <c r="A530" s="71">
        <v>44378</v>
      </c>
      <c r="B530" s="61">
        <v>4527.2022000000052</v>
      </c>
      <c r="C530" s="61">
        <v>0</v>
      </c>
      <c r="D530" s="61">
        <v>5059.7295109943161</v>
      </c>
      <c r="E530" s="61">
        <v>0</v>
      </c>
      <c r="F530" s="61">
        <v>4527.2022000000052</v>
      </c>
      <c r="G530" s="61">
        <v>5059.7295109943161</v>
      </c>
    </row>
    <row r="531" spans="1:7" ht="11.25" customHeight="1" x14ac:dyDescent="0.2">
      <c r="A531" s="71">
        <v>44409</v>
      </c>
      <c r="B531" s="61">
        <v>5207.7395999999972</v>
      </c>
      <c r="C531" s="61">
        <v>0</v>
      </c>
      <c r="D531" s="61">
        <v>5820.3174003789118</v>
      </c>
      <c r="E531" s="61">
        <v>0</v>
      </c>
      <c r="F531" s="61">
        <v>5207.7395999999972</v>
      </c>
      <c r="G531" s="61">
        <v>5820.3174003789118</v>
      </c>
    </row>
    <row r="532" spans="1:7" ht="11.25" customHeight="1" x14ac:dyDescent="0.2">
      <c r="A532" s="71">
        <v>44440</v>
      </c>
      <c r="B532" s="61">
        <v>5763.1404000000048</v>
      </c>
      <c r="C532" s="61">
        <v>0</v>
      </c>
      <c r="D532" s="61">
        <v>6441.0490783653477</v>
      </c>
      <c r="E532" s="61">
        <v>0</v>
      </c>
      <c r="F532" s="61">
        <v>5763.1404000000048</v>
      </c>
      <c r="G532" s="61">
        <v>6441.0490783653477</v>
      </c>
    </row>
    <row r="533" spans="1:7" ht="11.25" customHeight="1" x14ac:dyDescent="0.2">
      <c r="A533" s="71">
        <v>44470</v>
      </c>
      <c r="B533" s="61">
        <v>5763.1404000000048</v>
      </c>
      <c r="C533" s="61">
        <v>0</v>
      </c>
      <c r="D533" s="61">
        <v>6441.0490783653477</v>
      </c>
      <c r="E533" s="61">
        <v>0</v>
      </c>
      <c r="F533" s="61">
        <v>5763.1404000000048</v>
      </c>
      <c r="G533" s="61">
        <v>6441.0490783653477</v>
      </c>
    </row>
    <row r="534" spans="1:7" ht="11.25" customHeight="1" x14ac:dyDescent="0.2">
      <c r="A534" s="70" t="s">
        <v>37</v>
      </c>
      <c r="B534" s="61">
        <v>0</v>
      </c>
      <c r="C534" s="61">
        <v>76329.996738600006</v>
      </c>
      <c r="D534" s="61">
        <v>0</v>
      </c>
      <c r="E534" s="61">
        <v>81857.542638434155</v>
      </c>
      <c r="F534" s="61">
        <v>76329.996738600021</v>
      </c>
      <c r="G534" s="61">
        <v>81857.542638434126</v>
      </c>
    </row>
    <row r="535" spans="1:7" ht="11.25" customHeight="1" x14ac:dyDescent="0.2">
      <c r="A535" s="71">
        <v>44136</v>
      </c>
      <c r="B535" s="61">
        <v>0</v>
      </c>
      <c r="C535" s="61">
        <v>6225.6238728000008</v>
      </c>
      <c r="D535" s="61">
        <v>0</v>
      </c>
      <c r="E535" s="61">
        <v>6676.4613309732804</v>
      </c>
      <c r="F535" s="61">
        <v>6225.6238728000008</v>
      </c>
      <c r="G535" s="61">
        <v>6676.4613309732804</v>
      </c>
    </row>
    <row r="536" spans="1:7" ht="11.25" customHeight="1" x14ac:dyDescent="0.2">
      <c r="A536" s="71">
        <v>44166</v>
      </c>
      <c r="B536" s="61">
        <v>0</v>
      </c>
      <c r="C536" s="61">
        <v>6280.4554169999992</v>
      </c>
      <c r="D536" s="61">
        <v>0</v>
      </c>
      <c r="E536" s="61">
        <v>6735.2635798801348</v>
      </c>
      <c r="F536" s="61">
        <v>6280.4554169999992</v>
      </c>
      <c r="G536" s="61">
        <v>6735.2635798801348</v>
      </c>
    </row>
    <row r="537" spans="1:7" ht="11.25" customHeight="1" x14ac:dyDescent="0.2">
      <c r="A537" s="71">
        <v>44197</v>
      </c>
      <c r="B537" s="61">
        <v>0</v>
      </c>
      <c r="C537" s="61">
        <v>6018.7743348000067</v>
      </c>
      <c r="D537" s="61">
        <v>0</v>
      </c>
      <c r="E537" s="61">
        <v>6454.6324877917341</v>
      </c>
      <c r="F537" s="61">
        <v>6018.7743348000067</v>
      </c>
      <c r="G537" s="61">
        <v>6454.6324877917341</v>
      </c>
    </row>
    <row r="538" spans="1:7" ht="11.25" customHeight="1" x14ac:dyDescent="0.2">
      <c r="A538" s="71">
        <v>44228</v>
      </c>
      <c r="B538" s="61">
        <v>0</v>
      </c>
      <c r="C538" s="61">
        <v>5498.257719600002</v>
      </c>
      <c r="D538" s="61">
        <v>0</v>
      </c>
      <c r="E538" s="61">
        <v>5896.4219173306337</v>
      </c>
      <c r="F538" s="61">
        <v>5498.257719600002</v>
      </c>
      <c r="G538" s="61">
        <v>5896.4219173306337</v>
      </c>
    </row>
    <row r="539" spans="1:7" ht="11.25" customHeight="1" x14ac:dyDescent="0.2">
      <c r="A539" s="71">
        <v>44256</v>
      </c>
      <c r="B539" s="61">
        <v>0</v>
      </c>
      <c r="C539" s="61">
        <v>7416.3767688000116</v>
      </c>
      <c r="D539" s="61">
        <v>0</v>
      </c>
      <c r="E539" s="61">
        <v>7953.4443012459406</v>
      </c>
      <c r="F539" s="61">
        <v>7416.3767688000116</v>
      </c>
      <c r="G539" s="61">
        <v>7953.4443012459406</v>
      </c>
    </row>
    <row r="540" spans="1:7" ht="11.25" customHeight="1" x14ac:dyDescent="0.2">
      <c r="A540" s="71">
        <v>44287</v>
      </c>
      <c r="B540" s="61">
        <v>0</v>
      </c>
      <c r="C540" s="61">
        <v>6240.1799513999995</v>
      </c>
      <c r="D540" s="61">
        <v>0</v>
      </c>
      <c r="E540" s="61">
        <v>6692.0715088267971</v>
      </c>
      <c r="F540" s="61">
        <v>6240.1799513999995</v>
      </c>
      <c r="G540" s="61">
        <v>6692.0715088267971</v>
      </c>
    </row>
    <row r="541" spans="1:7" ht="11.25" customHeight="1" x14ac:dyDescent="0.2">
      <c r="A541" s="71">
        <v>44317</v>
      </c>
      <c r="B541" s="61">
        <v>0</v>
      </c>
      <c r="C541" s="61">
        <v>6188.9600658000018</v>
      </c>
      <c r="D541" s="61">
        <v>0</v>
      </c>
      <c r="E541" s="61">
        <v>6637.1424619437475</v>
      </c>
      <c r="F541" s="61">
        <v>6188.9600658000018</v>
      </c>
      <c r="G541" s="61">
        <v>6637.1424619437475</v>
      </c>
    </row>
    <row r="542" spans="1:7" ht="11.25" customHeight="1" x14ac:dyDescent="0.2">
      <c r="A542" s="71">
        <v>44348</v>
      </c>
      <c r="B542" s="61">
        <v>0</v>
      </c>
      <c r="C542" s="61">
        <v>7515.0954371999978</v>
      </c>
      <c r="D542" s="61">
        <v>0</v>
      </c>
      <c r="E542" s="61">
        <v>8059.3118232299257</v>
      </c>
      <c r="F542" s="61">
        <v>7515.0954371999978</v>
      </c>
      <c r="G542" s="61">
        <v>8059.3118232299257</v>
      </c>
    </row>
    <row r="543" spans="1:7" ht="11.25" customHeight="1" x14ac:dyDescent="0.2">
      <c r="A543" s="71">
        <v>44378</v>
      </c>
      <c r="B543" s="61">
        <v>0</v>
      </c>
      <c r="C543" s="61">
        <v>5619.7407816000004</v>
      </c>
      <c r="D543" s="61">
        <v>0</v>
      </c>
      <c r="E543" s="61">
        <v>6026.7023490404335</v>
      </c>
      <c r="F543" s="61">
        <v>5619.7407816000004</v>
      </c>
      <c r="G543" s="61">
        <v>6026.7023490404335</v>
      </c>
    </row>
    <row r="544" spans="1:7" ht="11.25" customHeight="1" x14ac:dyDescent="0.2">
      <c r="A544" s="71">
        <v>44409</v>
      </c>
      <c r="B544" s="61">
        <v>0</v>
      </c>
      <c r="C544" s="61">
        <v>6037.8176256000061</v>
      </c>
      <c r="D544" s="61">
        <v>0</v>
      </c>
      <c r="E544" s="61">
        <v>6475.0548257354312</v>
      </c>
      <c r="F544" s="61">
        <v>6037.8176256000061</v>
      </c>
      <c r="G544" s="61">
        <v>6475.0548257354312</v>
      </c>
    </row>
    <row r="545" spans="1:7" ht="11.25" customHeight="1" x14ac:dyDescent="0.2">
      <c r="A545" s="71">
        <v>44440</v>
      </c>
      <c r="B545" s="61">
        <v>0</v>
      </c>
      <c r="C545" s="61">
        <v>6644.3573819999938</v>
      </c>
      <c r="D545" s="61">
        <v>0</v>
      </c>
      <c r="E545" s="61">
        <v>7125.5180262180484</v>
      </c>
      <c r="F545" s="61">
        <v>6644.3573819999938</v>
      </c>
      <c r="G545" s="61">
        <v>7125.5180262180484</v>
      </c>
    </row>
    <row r="546" spans="1:7" ht="11.25" customHeight="1" x14ac:dyDescent="0.2">
      <c r="A546" s="71">
        <v>44470</v>
      </c>
      <c r="B546" s="61">
        <v>0</v>
      </c>
      <c r="C546" s="61">
        <v>6644.3573819999938</v>
      </c>
      <c r="D546" s="61">
        <v>0</v>
      </c>
      <c r="E546" s="61">
        <v>7125.5180262180484</v>
      </c>
      <c r="F546" s="61">
        <v>6644.3573819999938</v>
      </c>
      <c r="G546" s="61">
        <v>7125.5180262180484</v>
      </c>
    </row>
    <row r="547" spans="1:7" ht="11.25" customHeight="1" x14ac:dyDescent="0.2">
      <c r="A547" s="64" t="s">
        <v>46</v>
      </c>
      <c r="B547" s="61">
        <v>0</v>
      </c>
      <c r="C547" s="61">
        <v>8026319.2071631821</v>
      </c>
      <c r="D547" s="61">
        <v>0</v>
      </c>
      <c r="E547" s="61">
        <v>5192400.5045351014</v>
      </c>
      <c r="F547" s="61">
        <v>8026319.2071631802</v>
      </c>
      <c r="G547" s="61">
        <v>5192400.5045351004</v>
      </c>
    </row>
    <row r="548" spans="1:7" ht="11.25" customHeight="1" x14ac:dyDescent="0.2">
      <c r="A548" s="65" t="s">
        <v>39</v>
      </c>
      <c r="B548" s="61">
        <v>0</v>
      </c>
      <c r="C548" s="61">
        <v>36.631403181818186</v>
      </c>
      <c r="D548" s="61">
        <v>0</v>
      </c>
      <c r="E548" s="61">
        <v>37.163089476549501</v>
      </c>
      <c r="F548" s="61">
        <v>36.631403181818186</v>
      </c>
      <c r="G548" s="61">
        <v>37.163089476549501</v>
      </c>
    </row>
    <row r="549" spans="1:7" ht="11.25" customHeight="1" x14ac:dyDescent="0.2">
      <c r="A549" s="66" t="s">
        <v>47</v>
      </c>
      <c r="B549" s="61">
        <v>0</v>
      </c>
      <c r="C549" s="61">
        <v>36.631403181818186</v>
      </c>
      <c r="D549" s="61">
        <v>0</v>
      </c>
      <c r="E549" s="61">
        <v>37.163089476549501</v>
      </c>
      <c r="F549" s="61">
        <v>36.631403181818186</v>
      </c>
      <c r="G549" s="61">
        <v>37.163089476549501</v>
      </c>
    </row>
    <row r="550" spans="1:7" ht="11.25" customHeight="1" x14ac:dyDescent="0.2">
      <c r="A550" s="67" t="s">
        <v>25</v>
      </c>
      <c r="B550" s="61">
        <v>0</v>
      </c>
      <c r="C550" s="61">
        <v>36.631403181818186</v>
      </c>
      <c r="D550" s="61">
        <v>0</v>
      </c>
      <c r="E550" s="61">
        <v>37.163089476549501</v>
      </c>
      <c r="F550" s="61">
        <v>36.631403181818186</v>
      </c>
      <c r="G550" s="61">
        <v>37.163089476549501</v>
      </c>
    </row>
    <row r="551" spans="1:7" ht="11.25" customHeight="1" x14ac:dyDescent="0.2">
      <c r="A551" s="68" t="s">
        <v>25</v>
      </c>
      <c r="B551" s="61">
        <v>0</v>
      </c>
      <c r="C551" s="61">
        <v>36.631403181818186</v>
      </c>
      <c r="D551" s="61">
        <v>0</v>
      </c>
      <c r="E551" s="61">
        <v>37.163089476549501</v>
      </c>
      <c r="F551" s="61">
        <v>36.631403181818186</v>
      </c>
      <c r="G551" s="61">
        <v>37.163089476549501</v>
      </c>
    </row>
    <row r="552" spans="1:7" ht="11.25" customHeight="1" x14ac:dyDescent="0.2">
      <c r="A552" s="69" t="s">
        <v>25</v>
      </c>
      <c r="B552" s="61">
        <v>0</v>
      </c>
      <c r="C552" s="61">
        <v>36.631403181818186</v>
      </c>
      <c r="D552" s="61">
        <v>0</v>
      </c>
      <c r="E552" s="61">
        <v>37.163089476549501</v>
      </c>
      <c r="F552" s="61">
        <v>36.631403181818186</v>
      </c>
      <c r="G552" s="61">
        <v>37.163089476549501</v>
      </c>
    </row>
    <row r="553" spans="1:7" ht="11.25" customHeight="1" x14ac:dyDescent="0.2">
      <c r="A553" s="70" t="s">
        <v>38</v>
      </c>
      <c r="B553" s="61">
        <v>0</v>
      </c>
      <c r="C553" s="61">
        <v>36.124600909090908</v>
      </c>
      <c r="D553" s="61">
        <v>0</v>
      </c>
      <c r="E553" s="61">
        <v>36.614913843645837</v>
      </c>
      <c r="F553" s="61">
        <v>36.124600909090908</v>
      </c>
      <c r="G553" s="61">
        <v>36.614913843645837</v>
      </c>
    </row>
    <row r="554" spans="1:7" ht="11.25" customHeight="1" x14ac:dyDescent="0.2">
      <c r="A554" s="71">
        <v>44136</v>
      </c>
      <c r="B554" s="61">
        <v>0</v>
      </c>
      <c r="C554" s="61">
        <v>6.483902727272727</v>
      </c>
      <c r="D554" s="61">
        <v>0</v>
      </c>
      <c r="E554" s="61">
        <v>6.5719076129620717</v>
      </c>
      <c r="F554" s="61">
        <v>6.483902727272727</v>
      </c>
      <c r="G554" s="61">
        <v>6.5719076129620717</v>
      </c>
    </row>
    <row r="555" spans="1:7" ht="11.25" customHeight="1" x14ac:dyDescent="0.2">
      <c r="A555" s="71">
        <v>44166</v>
      </c>
      <c r="B555" s="61">
        <v>0</v>
      </c>
      <c r="C555" s="61">
        <v>3.7712495454545456</v>
      </c>
      <c r="D555" s="61">
        <v>0</v>
      </c>
      <c r="E555" s="61">
        <v>3.8224360606003884</v>
      </c>
      <c r="F555" s="61">
        <v>3.7712495454545456</v>
      </c>
      <c r="G555" s="61">
        <v>3.8224360606003884</v>
      </c>
    </row>
    <row r="556" spans="1:7" ht="11.25" customHeight="1" x14ac:dyDescent="0.2">
      <c r="A556" s="71">
        <v>44197</v>
      </c>
      <c r="B556" s="61">
        <v>0</v>
      </c>
      <c r="C556" s="61">
        <v>4.5651968181818177</v>
      </c>
      <c r="D556" s="61">
        <v>0</v>
      </c>
      <c r="E556" s="61">
        <v>4.6271594417794182</v>
      </c>
      <c r="F556" s="61">
        <v>4.5651968181818177</v>
      </c>
      <c r="G556" s="61">
        <v>4.6271594417794182</v>
      </c>
    </row>
    <row r="557" spans="1:7" ht="11.25" customHeight="1" x14ac:dyDescent="0.2">
      <c r="A557" s="71">
        <v>44228</v>
      </c>
      <c r="B557" s="61">
        <v>0</v>
      </c>
      <c r="C557" s="61">
        <v>2.6464909090909097</v>
      </c>
      <c r="D557" s="61">
        <v>0</v>
      </c>
      <c r="E557" s="61">
        <v>2.6824112705967638</v>
      </c>
      <c r="F557" s="61">
        <v>2.6464909090909097</v>
      </c>
      <c r="G557" s="61">
        <v>2.6824112705967638</v>
      </c>
    </row>
    <row r="558" spans="1:7" ht="11.25" customHeight="1" x14ac:dyDescent="0.2">
      <c r="A558" s="71">
        <v>44256</v>
      </c>
      <c r="B558" s="61">
        <v>0</v>
      </c>
      <c r="C558" s="61">
        <v>1.9848681818181815</v>
      </c>
      <c r="D558" s="61">
        <v>0</v>
      </c>
      <c r="E558" s="61">
        <v>2.011808452947573</v>
      </c>
      <c r="F558" s="61">
        <v>1.9848681818181815</v>
      </c>
      <c r="G558" s="61">
        <v>2.011808452947573</v>
      </c>
    </row>
    <row r="559" spans="1:7" ht="11.25" customHeight="1" x14ac:dyDescent="0.2">
      <c r="A559" s="71">
        <v>44287</v>
      </c>
      <c r="B559" s="61">
        <v>0</v>
      </c>
      <c r="C559" s="61">
        <v>2.448004090909091</v>
      </c>
      <c r="D559" s="61">
        <v>0</v>
      </c>
      <c r="E559" s="61">
        <v>2.4812304253020061</v>
      </c>
      <c r="F559" s="61">
        <v>2.448004090909091</v>
      </c>
      <c r="G559" s="61">
        <v>2.4812304253020061</v>
      </c>
    </row>
    <row r="560" spans="1:7" ht="11.25" customHeight="1" x14ac:dyDescent="0.2">
      <c r="A560" s="71">
        <v>44317</v>
      </c>
      <c r="B560" s="61">
        <v>0</v>
      </c>
      <c r="C560" s="61">
        <v>1.9848681818181815</v>
      </c>
      <c r="D560" s="61">
        <v>0</v>
      </c>
      <c r="E560" s="61">
        <v>2.011808452947573</v>
      </c>
      <c r="F560" s="61">
        <v>1.9848681818181815</v>
      </c>
      <c r="G560" s="61">
        <v>2.011808452947573</v>
      </c>
    </row>
    <row r="561" spans="1:7" ht="11.25" customHeight="1" x14ac:dyDescent="0.2">
      <c r="A561" s="71">
        <v>44348</v>
      </c>
      <c r="B561" s="61">
        <v>0</v>
      </c>
      <c r="C561" s="61">
        <v>4.3005477272727282</v>
      </c>
      <c r="D561" s="61">
        <v>0</v>
      </c>
      <c r="E561" s="61">
        <v>4.3589183147197401</v>
      </c>
      <c r="F561" s="61">
        <v>4.3005477272727282</v>
      </c>
      <c r="G561" s="61">
        <v>4.3589183147197401</v>
      </c>
    </row>
    <row r="562" spans="1:7" ht="11.25" customHeight="1" x14ac:dyDescent="0.2">
      <c r="A562" s="71">
        <v>44378</v>
      </c>
      <c r="B562" s="61">
        <v>0</v>
      </c>
      <c r="C562" s="61">
        <v>1.9848681818181815</v>
      </c>
      <c r="D562" s="61">
        <v>0</v>
      </c>
      <c r="E562" s="61">
        <v>2.011808452947573</v>
      </c>
      <c r="F562" s="61">
        <v>1.9848681818181815</v>
      </c>
      <c r="G562" s="61">
        <v>2.011808452947573</v>
      </c>
    </row>
    <row r="563" spans="1:7" ht="11.25" customHeight="1" x14ac:dyDescent="0.2">
      <c r="A563" s="71">
        <v>44409</v>
      </c>
      <c r="B563" s="61">
        <v>0</v>
      </c>
      <c r="C563" s="61">
        <v>1.9848681818181815</v>
      </c>
      <c r="D563" s="61">
        <v>0</v>
      </c>
      <c r="E563" s="61">
        <v>2.011808452947573</v>
      </c>
      <c r="F563" s="61">
        <v>1.9848681818181815</v>
      </c>
      <c r="G563" s="61">
        <v>2.011808452947573</v>
      </c>
    </row>
    <row r="564" spans="1:7" ht="11.25" customHeight="1" x14ac:dyDescent="0.2">
      <c r="A564" s="71">
        <v>44440</v>
      </c>
      <c r="B564" s="61">
        <v>0</v>
      </c>
      <c r="C564" s="61">
        <v>1.9848681818181815</v>
      </c>
      <c r="D564" s="61">
        <v>0</v>
      </c>
      <c r="E564" s="61">
        <v>2.011808452947573</v>
      </c>
      <c r="F564" s="61">
        <v>1.9848681818181815</v>
      </c>
      <c r="G564" s="61">
        <v>2.011808452947573</v>
      </c>
    </row>
    <row r="565" spans="1:7" ht="11.25" customHeight="1" x14ac:dyDescent="0.2">
      <c r="A565" s="71">
        <v>44470</v>
      </c>
      <c r="B565" s="61">
        <v>0</v>
      </c>
      <c r="C565" s="61">
        <v>1.9848681818181815</v>
      </c>
      <c r="D565" s="61">
        <v>0</v>
      </c>
      <c r="E565" s="61">
        <v>2.011808452947573</v>
      </c>
      <c r="F565" s="61">
        <v>1.9848681818181815</v>
      </c>
      <c r="G565" s="61">
        <v>2.011808452947573</v>
      </c>
    </row>
    <row r="566" spans="1:7" ht="11.25" customHeight="1" x14ac:dyDescent="0.2">
      <c r="A566" s="70" t="s">
        <v>40</v>
      </c>
      <c r="B566" s="61">
        <v>0</v>
      </c>
      <c r="C566" s="61">
        <v>0.50680227272727263</v>
      </c>
      <c r="D566" s="61">
        <v>0</v>
      </c>
      <c r="E566" s="61">
        <v>0.54817563290366456</v>
      </c>
      <c r="F566" s="61">
        <v>0.50680227272727263</v>
      </c>
      <c r="G566" s="61">
        <v>0.54817563290366456</v>
      </c>
    </row>
    <row r="567" spans="1:7" ht="11.25" customHeight="1" x14ac:dyDescent="0.2">
      <c r="A567" s="71">
        <v>44166</v>
      </c>
      <c r="B567" s="61">
        <v>0</v>
      </c>
      <c r="C567" s="61">
        <v>0.30408136363636362</v>
      </c>
      <c r="D567" s="61">
        <v>0</v>
      </c>
      <c r="E567" s="61">
        <v>0.32890537974219869</v>
      </c>
      <c r="F567" s="61">
        <v>0.30408136363636362</v>
      </c>
      <c r="G567" s="61">
        <v>0.32890537974219869</v>
      </c>
    </row>
    <row r="568" spans="1:7" ht="11.25" customHeight="1" x14ac:dyDescent="0.2">
      <c r="A568" s="71">
        <v>44197</v>
      </c>
      <c r="B568" s="61">
        <v>0</v>
      </c>
      <c r="C568" s="61">
        <v>0.10136045454545453</v>
      </c>
      <c r="D568" s="61">
        <v>0</v>
      </c>
      <c r="E568" s="61">
        <v>0.10963512658073291</v>
      </c>
      <c r="F568" s="61">
        <v>0.10136045454545453</v>
      </c>
      <c r="G568" s="61">
        <v>0.10963512658073291</v>
      </c>
    </row>
    <row r="569" spans="1:7" ht="11.25" customHeight="1" x14ac:dyDescent="0.2">
      <c r="A569" s="71">
        <v>44287</v>
      </c>
      <c r="B569" s="61">
        <v>0</v>
      </c>
      <c r="C569" s="61">
        <v>0.10136045454545453</v>
      </c>
      <c r="D569" s="61">
        <v>0</v>
      </c>
      <c r="E569" s="61">
        <v>0.10963512658073291</v>
      </c>
      <c r="F569" s="61">
        <v>0.10136045454545453</v>
      </c>
      <c r="G569" s="61">
        <v>0.10963512658073291</v>
      </c>
    </row>
    <row r="570" spans="1:7" ht="11.25" customHeight="1" x14ac:dyDescent="0.2">
      <c r="A570" s="65" t="s">
        <v>23</v>
      </c>
      <c r="B570" s="61">
        <v>0</v>
      </c>
      <c r="C570" s="61">
        <v>8026282.5757600004</v>
      </c>
      <c r="D570" s="61">
        <v>0</v>
      </c>
      <c r="E570" s="61">
        <v>5192363.3414456248</v>
      </c>
      <c r="F570" s="61">
        <v>8026282.5757599985</v>
      </c>
      <c r="G570" s="61">
        <v>5192363.3414456239</v>
      </c>
    </row>
    <row r="571" spans="1:7" ht="11.25" customHeight="1" x14ac:dyDescent="0.2">
      <c r="A571" s="66" t="s">
        <v>47</v>
      </c>
      <c r="B571" s="61">
        <v>0</v>
      </c>
      <c r="C571" s="61">
        <v>8026282.5757600004</v>
      </c>
      <c r="D571" s="61">
        <v>0</v>
      </c>
      <c r="E571" s="61">
        <v>5192363.3414456248</v>
      </c>
      <c r="F571" s="61">
        <v>8026282.5757599985</v>
      </c>
      <c r="G571" s="61">
        <v>5192363.3414456239</v>
      </c>
    </row>
    <row r="572" spans="1:7" ht="11.25" customHeight="1" x14ac:dyDescent="0.2">
      <c r="A572" s="67" t="s">
        <v>58</v>
      </c>
      <c r="B572" s="61">
        <v>0</v>
      </c>
      <c r="C572" s="61">
        <v>31959.911359999998</v>
      </c>
      <c r="D572" s="61">
        <v>0</v>
      </c>
      <c r="E572" s="61">
        <v>20675.508440225938</v>
      </c>
      <c r="F572" s="61">
        <v>31959.911359999995</v>
      </c>
      <c r="G572" s="61">
        <v>20675.508440225938</v>
      </c>
    </row>
    <row r="573" spans="1:7" ht="11.25" customHeight="1" x14ac:dyDescent="0.2">
      <c r="A573" s="68" t="s">
        <v>56</v>
      </c>
      <c r="B573" s="61">
        <v>0</v>
      </c>
      <c r="C573" s="61">
        <v>29641.75432</v>
      </c>
      <c r="D573" s="61">
        <v>0</v>
      </c>
      <c r="E573" s="61">
        <v>19175.846100540111</v>
      </c>
      <c r="F573" s="61">
        <v>29641.754319999996</v>
      </c>
      <c r="G573" s="61">
        <v>19175.846100540111</v>
      </c>
    </row>
    <row r="574" spans="1:7" ht="11.25" customHeight="1" x14ac:dyDescent="0.2">
      <c r="A574" s="69" t="s">
        <v>25</v>
      </c>
      <c r="B574" s="61">
        <v>0</v>
      </c>
      <c r="C574" s="61">
        <v>29641.75432</v>
      </c>
      <c r="D574" s="61">
        <v>0</v>
      </c>
      <c r="E574" s="61">
        <v>19175.846100540111</v>
      </c>
      <c r="F574" s="61">
        <v>29641.754319999996</v>
      </c>
      <c r="G574" s="61">
        <v>19175.846100540111</v>
      </c>
    </row>
    <row r="575" spans="1:7" ht="11.25" customHeight="1" x14ac:dyDescent="0.2">
      <c r="A575" s="70" t="s">
        <v>25</v>
      </c>
      <c r="B575" s="61">
        <v>0</v>
      </c>
      <c r="C575" s="61">
        <v>29641.75432</v>
      </c>
      <c r="D575" s="61">
        <v>0</v>
      </c>
      <c r="E575" s="61">
        <v>19175.846100540111</v>
      </c>
      <c r="F575" s="61">
        <v>29641.754319999996</v>
      </c>
      <c r="G575" s="61">
        <v>19175.846100540111</v>
      </c>
    </row>
    <row r="576" spans="1:7" ht="11.25" customHeight="1" x14ac:dyDescent="0.2">
      <c r="A576" s="71">
        <v>44317</v>
      </c>
      <c r="B576" s="61">
        <v>0</v>
      </c>
      <c r="C576" s="61">
        <v>3188.5269000000003</v>
      </c>
      <c r="D576" s="61">
        <v>0</v>
      </c>
      <c r="E576" s="61">
        <v>2062.7220798661642</v>
      </c>
      <c r="F576" s="61">
        <v>3188.5269000000003</v>
      </c>
      <c r="G576" s="61">
        <v>2062.7220798661642</v>
      </c>
    </row>
    <row r="577" spans="1:7" ht="11.25" customHeight="1" x14ac:dyDescent="0.2">
      <c r="A577" s="71">
        <v>44348</v>
      </c>
      <c r="B577" s="61">
        <v>0</v>
      </c>
      <c r="C577" s="61">
        <v>3946.3091199999999</v>
      </c>
      <c r="D577" s="61">
        <v>0</v>
      </c>
      <c r="E577" s="61">
        <v>2552.9466148776137</v>
      </c>
      <c r="F577" s="61">
        <v>3946.3091199999999</v>
      </c>
      <c r="G577" s="61">
        <v>2552.9466148776137</v>
      </c>
    </row>
    <row r="578" spans="1:7" ht="11.25" customHeight="1" x14ac:dyDescent="0.2">
      <c r="A578" s="71">
        <v>44378</v>
      </c>
      <c r="B578" s="61">
        <v>0</v>
      </c>
      <c r="C578" s="61">
        <v>4103.4574999999995</v>
      </c>
      <c r="D578" s="61">
        <v>0</v>
      </c>
      <c r="E578" s="61">
        <v>2654.6090575690014</v>
      </c>
      <c r="F578" s="61">
        <v>4103.4574999999995</v>
      </c>
      <c r="G578" s="61">
        <v>2654.6090575690014</v>
      </c>
    </row>
    <row r="579" spans="1:7" ht="11.25" customHeight="1" x14ac:dyDescent="0.2">
      <c r="A579" s="71">
        <v>44409</v>
      </c>
      <c r="B579" s="61">
        <v>0</v>
      </c>
      <c r="C579" s="61">
        <v>7602.5365599999996</v>
      </c>
      <c r="D579" s="61">
        <v>0</v>
      </c>
      <c r="E579" s="61">
        <v>4918.2335658832781</v>
      </c>
      <c r="F579" s="61">
        <v>7602.5365599999996</v>
      </c>
      <c r="G579" s="61">
        <v>4918.2335658832781</v>
      </c>
    </row>
    <row r="580" spans="1:7" ht="11.25" customHeight="1" x14ac:dyDescent="0.2">
      <c r="A580" s="71">
        <v>44440</v>
      </c>
      <c r="B580" s="61">
        <v>0</v>
      </c>
      <c r="C580" s="61">
        <v>5400.4621200000001</v>
      </c>
      <c r="D580" s="61">
        <v>0</v>
      </c>
      <c r="E580" s="61">
        <v>3493.6673911720281</v>
      </c>
      <c r="F580" s="61">
        <v>5400.4621200000001</v>
      </c>
      <c r="G580" s="61">
        <v>3493.6673911720281</v>
      </c>
    </row>
    <row r="581" spans="1:7" ht="11.25" customHeight="1" x14ac:dyDescent="0.2">
      <c r="A581" s="71">
        <v>44470</v>
      </c>
      <c r="B581" s="61">
        <v>0</v>
      </c>
      <c r="C581" s="61">
        <v>5400.4621200000001</v>
      </c>
      <c r="D581" s="61">
        <v>0</v>
      </c>
      <c r="E581" s="61">
        <v>3493.6673911720281</v>
      </c>
      <c r="F581" s="61">
        <v>5400.4621200000001</v>
      </c>
      <c r="G581" s="61">
        <v>3493.6673911720281</v>
      </c>
    </row>
    <row r="582" spans="1:7" ht="11.25" customHeight="1" x14ac:dyDescent="0.2">
      <c r="A582" s="68" t="s">
        <v>57</v>
      </c>
      <c r="B582" s="61">
        <v>0</v>
      </c>
      <c r="C582" s="61">
        <v>2318.1570399999996</v>
      </c>
      <c r="D582" s="61">
        <v>0</v>
      </c>
      <c r="E582" s="61">
        <v>1499.6623396858249</v>
      </c>
      <c r="F582" s="61">
        <v>2318.1570399999996</v>
      </c>
      <c r="G582" s="61">
        <v>1499.6623396858249</v>
      </c>
    </row>
    <row r="583" spans="1:7" ht="11.25" customHeight="1" x14ac:dyDescent="0.2">
      <c r="A583" s="69" t="s">
        <v>25</v>
      </c>
      <c r="B583" s="61">
        <v>0</v>
      </c>
      <c r="C583" s="61">
        <v>2318.1570399999996</v>
      </c>
      <c r="D583" s="61">
        <v>0</v>
      </c>
      <c r="E583" s="61">
        <v>1499.6623396858249</v>
      </c>
      <c r="F583" s="61">
        <v>2318.1570399999996</v>
      </c>
      <c r="G583" s="61">
        <v>1499.6623396858249</v>
      </c>
    </row>
    <row r="584" spans="1:7" ht="11.25" customHeight="1" x14ac:dyDescent="0.2">
      <c r="A584" s="70" t="s">
        <v>25</v>
      </c>
      <c r="B584" s="61">
        <v>0</v>
      </c>
      <c r="C584" s="61">
        <v>2318.1570399999996</v>
      </c>
      <c r="D584" s="61">
        <v>0</v>
      </c>
      <c r="E584" s="61">
        <v>1499.6623396858249</v>
      </c>
      <c r="F584" s="61">
        <v>2318.1570399999996</v>
      </c>
      <c r="G584" s="61">
        <v>1499.6623396858249</v>
      </c>
    </row>
    <row r="585" spans="1:7" ht="11.25" customHeight="1" x14ac:dyDescent="0.2">
      <c r="A585" s="71">
        <v>44348</v>
      </c>
      <c r="B585" s="61">
        <v>0</v>
      </c>
      <c r="C585" s="61">
        <v>2318.1570399999996</v>
      </c>
      <c r="D585" s="61">
        <v>0</v>
      </c>
      <c r="E585" s="61">
        <v>1499.6623396858249</v>
      </c>
      <c r="F585" s="61">
        <v>2318.1570399999996</v>
      </c>
      <c r="G585" s="61">
        <v>1499.6623396858249</v>
      </c>
    </row>
    <row r="586" spans="1:7" ht="11.25" customHeight="1" x14ac:dyDescent="0.2">
      <c r="A586" s="67" t="s">
        <v>25</v>
      </c>
      <c r="B586" s="61">
        <v>0</v>
      </c>
      <c r="C586" s="61">
        <v>7991914.4222999997</v>
      </c>
      <c r="D586" s="61">
        <v>0</v>
      </c>
      <c r="E586" s="61">
        <v>5170129.9240345284</v>
      </c>
      <c r="F586" s="61">
        <v>7991914.4222999979</v>
      </c>
      <c r="G586" s="61">
        <v>5170129.9240345266</v>
      </c>
    </row>
    <row r="587" spans="1:7" ht="11.25" customHeight="1" x14ac:dyDescent="0.2">
      <c r="A587" s="68" t="s">
        <v>25</v>
      </c>
      <c r="B587" s="61">
        <v>0</v>
      </c>
      <c r="C587" s="61">
        <v>7991914.4222999997</v>
      </c>
      <c r="D587" s="61">
        <v>0</v>
      </c>
      <c r="E587" s="61">
        <v>5170129.9240345284</v>
      </c>
      <c r="F587" s="61">
        <v>7991914.4222999979</v>
      </c>
      <c r="G587" s="61">
        <v>5170129.9240345266</v>
      </c>
    </row>
    <row r="588" spans="1:7" ht="11.25" customHeight="1" x14ac:dyDescent="0.2">
      <c r="A588" s="69" t="s">
        <v>25</v>
      </c>
      <c r="B588" s="61">
        <v>0</v>
      </c>
      <c r="C588" s="61">
        <v>7991914.4222999997</v>
      </c>
      <c r="D588" s="61">
        <v>0</v>
      </c>
      <c r="E588" s="61">
        <v>5170129.9240345284</v>
      </c>
      <c r="F588" s="61">
        <v>7991914.4222999979</v>
      </c>
      <c r="G588" s="61">
        <v>5170129.9240345266</v>
      </c>
    </row>
    <row r="589" spans="1:7" ht="11.25" customHeight="1" x14ac:dyDescent="0.2">
      <c r="A589" s="70" t="s">
        <v>25</v>
      </c>
      <c r="B589" s="61">
        <v>0</v>
      </c>
      <c r="C589" s="61">
        <v>7991914.4222999997</v>
      </c>
      <c r="D589" s="61">
        <v>0</v>
      </c>
      <c r="E589" s="61">
        <v>5170129.9240345284</v>
      </c>
      <c r="F589" s="61">
        <v>7991914.4222999979</v>
      </c>
      <c r="G589" s="61">
        <v>5170129.9240345266</v>
      </c>
    </row>
    <row r="590" spans="1:7" ht="11.25" customHeight="1" x14ac:dyDescent="0.2">
      <c r="A590" s="71">
        <v>44136</v>
      </c>
      <c r="B590" s="61">
        <v>0</v>
      </c>
      <c r="C590" s="61">
        <v>715297.23659999983</v>
      </c>
      <c r="D590" s="61">
        <v>0</v>
      </c>
      <c r="E590" s="61">
        <v>462740.14611639996</v>
      </c>
      <c r="F590" s="61">
        <v>715297.23659999983</v>
      </c>
      <c r="G590" s="61">
        <v>462740.14611639996</v>
      </c>
    </row>
    <row r="591" spans="1:7" ht="11.25" customHeight="1" x14ac:dyDescent="0.2">
      <c r="A591" s="71">
        <v>44166</v>
      </c>
      <c r="B591" s="61">
        <v>0</v>
      </c>
      <c r="C591" s="61">
        <v>718408.87438000005</v>
      </c>
      <c r="D591" s="61">
        <v>0</v>
      </c>
      <c r="E591" s="61">
        <v>464753.12708054099</v>
      </c>
      <c r="F591" s="61">
        <v>718408.87438000005</v>
      </c>
      <c r="G591" s="61">
        <v>464753.12708054099</v>
      </c>
    </row>
    <row r="592" spans="1:7" ht="11.25" customHeight="1" x14ac:dyDescent="0.2">
      <c r="A592" s="71">
        <v>44197</v>
      </c>
      <c r="B592" s="61">
        <v>0</v>
      </c>
      <c r="C592" s="61">
        <v>647145.76623999991</v>
      </c>
      <c r="D592" s="61">
        <v>0</v>
      </c>
      <c r="E592" s="61">
        <v>418651.59140264906</v>
      </c>
      <c r="F592" s="61">
        <v>647145.76623999991</v>
      </c>
      <c r="G592" s="61">
        <v>418651.59140264906</v>
      </c>
    </row>
    <row r="593" spans="1:7" ht="11.25" customHeight="1" x14ac:dyDescent="0.2">
      <c r="A593" s="71">
        <v>44228</v>
      </c>
      <c r="B593" s="61">
        <v>0</v>
      </c>
      <c r="C593" s="61">
        <v>623332.73146000004</v>
      </c>
      <c r="D593" s="61">
        <v>0</v>
      </c>
      <c r="E593" s="61">
        <v>403246.461018042</v>
      </c>
      <c r="F593" s="61">
        <v>623332.73146000004</v>
      </c>
      <c r="G593" s="61">
        <v>403246.461018042</v>
      </c>
    </row>
    <row r="594" spans="1:7" ht="11.25" customHeight="1" x14ac:dyDescent="0.2">
      <c r="A594" s="71">
        <v>44256</v>
      </c>
      <c r="B594" s="61">
        <v>0</v>
      </c>
      <c r="C594" s="61">
        <v>649403.51040000003</v>
      </c>
      <c r="D594" s="61">
        <v>0</v>
      </c>
      <c r="E594" s="61">
        <v>420112.17143712228</v>
      </c>
      <c r="F594" s="61">
        <v>649403.51040000003</v>
      </c>
      <c r="G594" s="61">
        <v>420112.17143712228</v>
      </c>
    </row>
    <row r="595" spans="1:7" ht="11.25" customHeight="1" x14ac:dyDescent="0.2">
      <c r="A595" s="71">
        <v>44287</v>
      </c>
      <c r="B595" s="61">
        <v>0</v>
      </c>
      <c r="C595" s="61">
        <v>665923.93668000004</v>
      </c>
      <c r="D595" s="61">
        <v>0</v>
      </c>
      <c r="E595" s="61">
        <v>430799.56694147171</v>
      </c>
      <c r="F595" s="61">
        <v>665923.93668000004</v>
      </c>
      <c r="G595" s="61">
        <v>430799.56694147171</v>
      </c>
    </row>
    <row r="596" spans="1:7" ht="11.25" customHeight="1" x14ac:dyDescent="0.2">
      <c r="A596" s="71">
        <v>44317</v>
      </c>
      <c r="B596" s="61">
        <v>0</v>
      </c>
      <c r="C596" s="61">
        <v>666243.85034</v>
      </c>
      <c r="D596" s="61">
        <v>0</v>
      </c>
      <c r="E596" s="61">
        <v>431006.52551225654</v>
      </c>
      <c r="F596" s="61">
        <v>666243.85034</v>
      </c>
      <c r="G596" s="61">
        <v>431006.52551225654</v>
      </c>
    </row>
    <row r="597" spans="1:7" ht="11.25" customHeight="1" x14ac:dyDescent="0.2">
      <c r="A597" s="71">
        <v>44348</v>
      </c>
      <c r="B597" s="61">
        <v>0</v>
      </c>
      <c r="C597" s="61">
        <v>673081.11547999992</v>
      </c>
      <c r="D597" s="61">
        <v>0</v>
      </c>
      <c r="E597" s="61">
        <v>435429.689629259</v>
      </c>
      <c r="F597" s="61">
        <v>673081.11547999992</v>
      </c>
      <c r="G597" s="61">
        <v>435429.689629259</v>
      </c>
    </row>
    <row r="598" spans="1:7" ht="11.25" customHeight="1" x14ac:dyDescent="0.2">
      <c r="A598" s="71">
        <v>44378</v>
      </c>
      <c r="B598" s="61">
        <v>0</v>
      </c>
      <c r="C598" s="61">
        <v>643193.84022000001</v>
      </c>
      <c r="D598" s="61">
        <v>0</v>
      </c>
      <c r="E598" s="61">
        <v>416095.0111023694</v>
      </c>
      <c r="F598" s="61">
        <v>643193.84022000001</v>
      </c>
      <c r="G598" s="61">
        <v>416095.0111023694</v>
      </c>
    </row>
    <row r="599" spans="1:7" ht="11.25" customHeight="1" x14ac:dyDescent="0.2">
      <c r="A599" s="71">
        <v>44409</v>
      </c>
      <c r="B599" s="61">
        <v>0</v>
      </c>
      <c r="C599" s="61">
        <v>671392.42569999991</v>
      </c>
      <c r="D599" s="61">
        <v>0</v>
      </c>
      <c r="E599" s="61">
        <v>434337.24230029015</v>
      </c>
      <c r="F599" s="61">
        <v>671392.42569999991</v>
      </c>
      <c r="G599" s="61">
        <v>434337.24230029015</v>
      </c>
    </row>
    <row r="600" spans="1:7" ht="11.25" customHeight="1" x14ac:dyDescent="0.2">
      <c r="A600" s="71">
        <v>44440</v>
      </c>
      <c r="B600" s="61">
        <v>0</v>
      </c>
      <c r="C600" s="61">
        <v>659245.56739999994</v>
      </c>
      <c r="D600" s="61">
        <v>0</v>
      </c>
      <c r="E600" s="61">
        <v>426479.19574706344</v>
      </c>
      <c r="F600" s="61">
        <v>659245.56739999994</v>
      </c>
      <c r="G600" s="61">
        <v>426479.19574706344</v>
      </c>
    </row>
    <row r="601" spans="1:7" ht="11.25" customHeight="1" x14ac:dyDescent="0.2">
      <c r="A601" s="71">
        <v>44470</v>
      </c>
      <c r="B601" s="61">
        <v>0</v>
      </c>
      <c r="C601" s="61">
        <v>659245.56739999994</v>
      </c>
      <c r="D601" s="61">
        <v>0</v>
      </c>
      <c r="E601" s="61">
        <v>426479.19574706344</v>
      </c>
      <c r="F601" s="61">
        <v>659245.56739999994</v>
      </c>
      <c r="G601" s="61">
        <v>426479.19574706344</v>
      </c>
    </row>
    <row r="602" spans="1:7" ht="11.25" customHeight="1" x14ac:dyDescent="0.2">
      <c r="A602" s="67" t="s">
        <v>55</v>
      </c>
      <c r="B602" s="61">
        <v>0</v>
      </c>
      <c r="C602" s="61">
        <v>2408.2421000000004</v>
      </c>
      <c r="D602" s="61">
        <v>0</v>
      </c>
      <c r="E602" s="61">
        <v>1557.9089708704073</v>
      </c>
      <c r="F602" s="61">
        <v>2408.2421000000004</v>
      </c>
      <c r="G602" s="61">
        <v>1557.9089708704073</v>
      </c>
    </row>
    <row r="603" spans="1:7" ht="11.25" customHeight="1" x14ac:dyDescent="0.2">
      <c r="A603" s="68" t="s">
        <v>56</v>
      </c>
      <c r="B603" s="61">
        <v>0</v>
      </c>
      <c r="C603" s="61">
        <v>2408.2421000000004</v>
      </c>
      <c r="D603" s="61">
        <v>0</v>
      </c>
      <c r="E603" s="61">
        <v>1557.9089708704073</v>
      </c>
      <c r="F603" s="61">
        <v>2408.2421000000004</v>
      </c>
      <c r="G603" s="61">
        <v>1557.9089708704073</v>
      </c>
    </row>
    <row r="604" spans="1:7" ht="11.25" customHeight="1" x14ac:dyDescent="0.2">
      <c r="A604" s="69" t="s">
        <v>25</v>
      </c>
      <c r="B604" s="61">
        <v>0</v>
      </c>
      <c r="C604" s="61">
        <v>2408.2421000000004</v>
      </c>
      <c r="D604" s="61">
        <v>0</v>
      </c>
      <c r="E604" s="61">
        <v>1557.9089708704073</v>
      </c>
      <c r="F604" s="61">
        <v>2408.2421000000004</v>
      </c>
      <c r="G604" s="61">
        <v>1557.9089708704073</v>
      </c>
    </row>
    <row r="605" spans="1:7" ht="11.25" customHeight="1" x14ac:dyDescent="0.2">
      <c r="A605" s="70" t="s">
        <v>25</v>
      </c>
      <c r="B605" s="61">
        <v>0</v>
      </c>
      <c r="C605" s="61">
        <v>2408.2421000000004</v>
      </c>
      <c r="D605" s="61">
        <v>0</v>
      </c>
      <c r="E605" s="61">
        <v>1557.9089708704073</v>
      </c>
      <c r="F605" s="61">
        <v>2408.2421000000004</v>
      </c>
      <c r="G605" s="61">
        <v>1557.9089708704073</v>
      </c>
    </row>
    <row r="606" spans="1:7" ht="11.25" customHeight="1" x14ac:dyDescent="0.2">
      <c r="A606" s="71">
        <v>44287</v>
      </c>
      <c r="B606" s="61">
        <v>0</v>
      </c>
      <c r="C606" s="61">
        <v>2408.2421000000004</v>
      </c>
      <c r="D606" s="61">
        <v>0</v>
      </c>
      <c r="E606" s="61">
        <v>1557.9089708704073</v>
      </c>
      <c r="F606" s="61">
        <v>2408.2421000000004</v>
      </c>
      <c r="G606" s="61">
        <v>1557.9089708704073</v>
      </c>
    </row>
    <row r="607" spans="1:7" ht="11.25" customHeight="1" x14ac:dyDescent="0.2">
      <c r="A607" s="63" t="s">
        <v>851</v>
      </c>
      <c r="B607" s="61">
        <v>0</v>
      </c>
      <c r="C607" s="61">
        <v>0</v>
      </c>
      <c r="D607" s="61">
        <v>0</v>
      </c>
      <c r="E607" s="61">
        <v>0</v>
      </c>
      <c r="F607" s="61">
        <v>0</v>
      </c>
      <c r="G607" s="61">
        <v>0</v>
      </c>
    </row>
    <row r="608" spans="1:7" ht="11.25" customHeight="1" x14ac:dyDescent="0.2">
      <c r="A608" s="64" t="s">
        <v>22</v>
      </c>
      <c r="B608" s="61">
        <v>0</v>
      </c>
      <c r="C608" s="61">
        <v>0</v>
      </c>
      <c r="D608" s="61">
        <v>0</v>
      </c>
      <c r="E608" s="61">
        <v>0</v>
      </c>
      <c r="F608" s="61">
        <v>0</v>
      </c>
      <c r="G608" s="61">
        <v>0</v>
      </c>
    </row>
    <row r="609" spans="1:7" ht="11.25" customHeight="1" x14ac:dyDescent="0.2">
      <c r="A609" s="65" t="s">
        <v>23</v>
      </c>
      <c r="B609" s="61">
        <v>0</v>
      </c>
      <c r="C609" s="61">
        <v>0</v>
      </c>
      <c r="D609" s="61">
        <v>0</v>
      </c>
      <c r="E609" s="61">
        <v>0</v>
      </c>
      <c r="F609" s="61">
        <v>0</v>
      </c>
      <c r="G609" s="61">
        <v>0</v>
      </c>
    </row>
    <row r="610" spans="1:7" ht="11.25" customHeight="1" x14ac:dyDescent="0.2">
      <c r="A610" s="66" t="s">
        <v>24</v>
      </c>
      <c r="B610" s="61">
        <v>0</v>
      </c>
      <c r="C610" s="61">
        <v>0</v>
      </c>
      <c r="D610" s="61">
        <v>0</v>
      </c>
      <c r="E610" s="61">
        <v>0</v>
      </c>
      <c r="F610" s="61">
        <v>0</v>
      </c>
      <c r="G610" s="61">
        <v>0</v>
      </c>
    </row>
    <row r="611" spans="1:7" ht="11.25" customHeight="1" x14ac:dyDescent="0.2">
      <c r="A611" s="67" t="s">
        <v>24</v>
      </c>
      <c r="B611" s="61">
        <v>0</v>
      </c>
      <c r="C611" s="61">
        <v>0</v>
      </c>
      <c r="D611" s="61">
        <v>0</v>
      </c>
      <c r="E611" s="61">
        <v>0</v>
      </c>
      <c r="F611" s="61">
        <v>0</v>
      </c>
      <c r="G611" s="61">
        <v>0</v>
      </c>
    </row>
    <row r="612" spans="1:7" ht="11.25" customHeight="1" x14ac:dyDescent="0.2">
      <c r="A612" s="68" t="s">
        <v>25</v>
      </c>
      <c r="B612" s="61">
        <v>0</v>
      </c>
      <c r="C612" s="61">
        <v>0</v>
      </c>
      <c r="D612" s="61">
        <v>0</v>
      </c>
      <c r="E612" s="61">
        <v>0</v>
      </c>
      <c r="F612" s="61">
        <v>0</v>
      </c>
      <c r="G612" s="61">
        <v>0</v>
      </c>
    </row>
    <row r="613" spans="1:7" ht="11.25" customHeight="1" x14ac:dyDescent="0.2">
      <c r="A613" s="69" t="s">
        <v>25</v>
      </c>
      <c r="B613" s="61">
        <v>0</v>
      </c>
      <c r="C613" s="61">
        <v>0</v>
      </c>
      <c r="D613" s="61">
        <v>0</v>
      </c>
      <c r="E613" s="61">
        <v>0</v>
      </c>
      <c r="F613" s="61">
        <v>0</v>
      </c>
      <c r="G613" s="61">
        <v>0</v>
      </c>
    </row>
    <row r="614" spans="1:7" ht="11.25" customHeight="1" x14ac:dyDescent="0.2">
      <c r="A614" s="70" t="s">
        <v>25</v>
      </c>
      <c r="B614" s="61">
        <v>0</v>
      </c>
      <c r="C614" s="61">
        <v>0</v>
      </c>
      <c r="D614" s="61">
        <v>0</v>
      </c>
      <c r="E614" s="61">
        <v>0</v>
      </c>
      <c r="F614" s="61">
        <v>0</v>
      </c>
      <c r="G614" s="61">
        <v>0</v>
      </c>
    </row>
    <row r="615" spans="1:7" ht="11.25" customHeight="1" x14ac:dyDescent="0.2">
      <c r="A615" s="71">
        <v>44136</v>
      </c>
      <c r="B615" s="61">
        <v>0</v>
      </c>
      <c r="C615" s="61">
        <v>0</v>
      </c>
      <c r="D615" s="61">
        <v>0</v>
      </c>
      <c r="E615" s="61">
        <v>0</v>
      </c>
      <c r="F615" s="61">
        <v>0</v>
      </c>
      <c r="G615" s="61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AC93A-F32D-4C06-9595-6859D4094D55}">
  <dimension ref="A1:V35"/>
  <sheetViews>
    <sheetView showGridLines="0" tabSelected="1" topLeftCell="F10" workbookViewId="0">
      <selection activeCell="Q5" sqref="Q5:V35"/>
    </sheetView>
  </sheetViews>
  <sheetFormatPr defaultRowHeight="11.25" customHeight="1" x14ac:dyDescent="0.25"/>
  <cols>
    <col min="1" max="1" width="9.28515625" style="94" bestFit="1" customWidth="1"/>
    <col min="2" max="2" width="11.140625" style="94" bestFit="1" customWidth="1"/>
    <col min="3" max="3" width="10.28515625" style="94" bestFit="1" customWidth="1"/>
    <col min="4" max="4" width="6.28515625" style="94" bestFit="1" customWidth="1"/>
    <col min="5" max="10" width="7.7109375" style="94" customWidth="1"/>
    <col min="11" max="12" width="9.140625" style="94"/>
    <col min="13" max="13" width="14.28515625" style="94" customWidth="1"/>
    <col min="14" max="14" width="16.7109375" style="94" customWidth="1"/>
    <col min="15" max="15" width="31.7109375" style="94" customWidth="1"/>
    <col min="16" max="22" width="7.7109375" style="94" customWidth="1"/>
    <col min="23" max="16384" width="9.140625" style="94"/>
  </cols>
  <sheetData>
    <row r="1" spans="1:22" ht="11.25" customHeight="1" x14ac:dyDescent="0.25">
      <c r="A1" s="113" t="s">
        <v>924</v>
      </c>
      <c r="B1" s="136"/>
      <c r="C1" s="136"/>
      <c r="D1" s="136"/>
      <c r="E1" s="136"/>
      <c r="F1" s="136"/>
      <c r="G1" s="136"/>
      <c r="H1" s="136"/>
      <c r="I1" s="136"/>
      <c r="J1" s="136"/>
      <c r="L1" s="113" t="s">
        <v>934</v>
      </c>
      <c r="M1" s="114"/>
      <c r="N1" s="114"/>
      <c r="O1" s="114"/>
      <c r="P1" s="114"/>
      <c r="Q1" s="114"/>
      <c r="R1" s="114"/>
      <c r="S1" s="114"/>
      <c r="T1" s="114"/>
      <c r="U1" s="114"/>
      <c r="V1" s="114"/>
    </row>
    <row r="2" spans="1:22" ht="11.25" customHeight="1" x14ac:dyDescent="0.25">
      <c r="A2" s="134" t="s">
        <v>76</v>
      </c>
      <c r="B2" s="134" t="s">
        <v>77</v>
      </c>
      <c r="C2" s="134" t="s">
        <v>925</v>
      </c>
      <c r="D2" s="134" t="s">
        <v>82</v>
      </c>
      <c r="E2" s="134" t="s">
        <v>926</v>
      </c>
      <c r="F2" s="137"/>
      <c r="G2" s="137"/>
      <c r="H2" s="134" t="s">
        <v>687</v>
      </c>
      <c r="I2" s="137"/>
      <c r="J2" s="137"/>
      <c r="L2" s="134" t="s">
        <v>76</v>
      </c>
      <c r="M2" s="134" t="s">
        <v>77</v>
      </c>
      <c r="N2" s="134" t="s">
        <v>78</v>
      </c>
      <c r="O2" s="134" t="s">
        <v>79</v>
      </c>
      <c r="P2" s="134" t="s">
        <v>82</v>
      </c>
      <c r="Q2" s="134" t="s">
        <v>926</v>
      </c>
      <c r="R2" s="139"/>
      <c r="S2" s="139"/>
      <c r="T2" s="134" t="s">
        <v>687</v>
      </c>
      <c r="U2" s="139"/>
      <c r="V2" s="139"/>
    </row>
    <row r="3" spans="1:22" ht="11.25" customHeight="1" x14ac:dyDescent="0.25">
      <c r="A3" s="137"/>
      <c r="B3" s="137"/>
      <c r="C3" s="137"/>
      <c r="D3" s="137"/>
      <c r="E3" s="134" t="s">
        <v>646</v>
      </c>
      <c r="F3" s="137"/>
      <c r="G3" s="95" t="s">
        <v>674</v>
      </c>
      <c r="H3" s="134" t="s">
        <v>646</v>
      </c>
      <c r="I3" s="137"/>
      <c r="J3" s="95" t="s">
        <v>674</v>
      </c>
      <c r="L3" s="139"/>
      <c r="M3" s="139"/>
      <c r="N3" s="139"/>
      <c r="O3" s="139"/>
      <c r="P3" s="139"/>
      <c r="Q3" s="134" t="s">
        <v>646</v>
      </c>
      <c r="R3" s="139"/>
      <c r="S3" s="95" t="s">
        <v>674</v>
      </c>
      <c r="T3" s="134" t="s">
        <v>646</v>
      </c>
      <c r="U3" s="139"/>
      <c r="V3" s="95" t="s">
        <v>674</v>
      </c>
    </row>
    <row r="4" spans="1:22" ht="11.25" customHeight="1" x14ac:dyDescent="0.25">
      <c r="A4" s="137"/>
      <c r="B4" s="137"/>
      <c r="C4" s="137"/>
      <c r="D4" s="137"/>
      <c r="E4" s="95" t="s">
        <v>927</v>
      </c>
      <c r="F4" s="95" t="s">
        <v>928</v>
      </c>
      <c r="G4" s="95" t="s">
        <v>928</v>
      </c>
      <c r="H4" s="95" t="s">
        <v>927</v>
      </c>
      <c r="I4" s="95" t="s">
        <v>928</v>
      </c>
      <c r="J4" s="95" t="s">
        <v>928</v>
      </c>
      <c r="L4" s="139"/>
      <c r="M4" s="139"/>
      <c r="N4" s="139"/>
      <c r="O4" s="139"/>
      <c r="P4" s="139"/>
      <c r="Q4" s="95" t="s">
        <v>927</v>
      </c>
      <c r="R4" s="95" t="s">
        <v>928</v>
      </c>
      <c r="S4" s="95" t="s">
        <v>928</v>
      </c>
      <c r="T4" s="95" t="s">
        <v>927</v>
      </c>
      <c r="U4" s="95" t="s">
        <v>928</v>
      </c>
      <c r="V4" s="95" t="s">
        <v>928</v>
      </c>
    </row>
    <row r="5" spans="1:22" ht="11.25" customHeight="1" x14ac:dyDescent="0.25">
      <c r="A5" s="138" t="s">
        <v>43</v>
      </c>
      <c r="B5" s="138" t="s">
        <v>44</v>
      </c>
      <c r="C5" s="138" t="s">
        <v>25</v>
      </c>
      <c r="D5" s="96" t="s">
        <v>929</v>
      </c>
      <c r="E5" s="52">
        <f ca="1">ROUND('TUSD BE'!$AM$5+'TUSD BF'!$AM$5+'TUSD CVA'!$AM$5,2)</f>
        <v>7.95</v>
      </c>
      <c r="F5" s="52">
        <f ca="1">ROUND('TUSD BE'!$AM$7+'TUSD BF'!$AM$7+'TUSD CVA'!$AM$7,2)</f>
        <v>66.36</v>
      </c>
      <c r="G5" s="52">
        <f>ROUND('TE BE'!$AA$5+'TE BF'!$AA$5+'TE CVA'!$AA$5,2)</f>
        <v>454.33</v>
      </c>
      <c r="H5" s="52">
        <f ca="1">ROUND('TUSD BE'!$AM$5,2)</f>
        <v>7.34</v>
      </c>
      <c r="I5" s="52">
        <f ca="1">ROUND('TUSD BE'!$AM$7,2)</f>
        <v>65.599999999999994</v>
      </c>
      <c r="J5" s="52">
        <f>ROUND('TE BE'!$AA$5,2)</f>
        <v>440.08</v>
      </c>
      <c r="L5" s="140" t="s">
        <v>22</v>
      </c>
      <c r="M5" s="140" t="s">
        <v>935</v>
      </c>
      <c r="N5" s="140" t="s">
        <v>936</v>
      </c>
      <c r="O5" s="140" t="s">
        <v>936</v>
      </c>
      <c r="P5" s="96" t="s">
        <v>929</v>
      </c>
      <c r="Q5" s="52">
        <v>0</v>
      </c>
      <c r="R5" s="52">
        <f ca="1">ROUND('TUSD BE'!$AM$22+'TUSD BF'!$AM$22+'TUSD CVA'!$AM$22,2)</f>
        <v>1084.52</v>
      </c>
      <c r="S5" s="52">
        <f>ROUND('TE BE'!$AA$10+'TE BF'!$AA$10+'TE CVA'!$AA$10,2)</f>
        <v>454.33</v>
      </c>
      <c r="T5" s="52">
        <v>0</v>
      </c>
      <c r="U5" s="52">
        <f ca="1">ROUND('TUSD BE'!$AM$22,2)</f>
        <v>1062.03</v>
      </c>
      <c r="V5" s="52">
        <f>ROUND('TE BE'!$AA$10,2)</f>
        <v>440.08</v>
      </c>
    </row>
    <row r="6" spans="1:22" ht="11.25" customHeight="1" x14ac:dyDescent="0.25">
      <c r="A6" s="137"/>
      <c r="B6" s="137"/>
      <c r="C6" s="137"/>
      <c r="D6" s="96" t="s">
        <v>930</v>
      </c>
      <c r="E6" s="52">
        <f ca="1">ROUND('TUSD BE'!$AM$6+'TUSD BF'!$AM$6+'TUSD CVA'!$AM$6,2)</f>
        <v>6.48</v>
      </c>
      <c r="F6" s="52">
        <f ca="1">ROUND('TUSD BE'!$AM$7+'TUSD BF'!$AM$7+'TUSD CVA'!$AM$7,2)</f>
        <v>66.36</v>
      </c>
      <c r="G6" s="52">
        <f>ROUND('TE BE'!$AA$6+'TE BF'!$AA$6+'TE CVA'!$AA$6,2)</f>
        <v>282.92</v>
      </c>
      <c r="H6" s="52">
        <f ca="1">ROUND('TUSD BE'!$AM$6,2)</f>
        <v>5.98</v>
      </c>
      <c r="I6" s="52">
        <f ca="1">ROUND('TUSD BE'!$AM$7,2)</f>
        <v>65.599999999999994</v>
      </c>
      <c r="J6" s="52">
        <f>ROUND('TE BE'!$AA$6,2)</f>
        <v>268.69</v>
      </c>
      <c r="L6" s="141"/>
      <c r="M6" s="141"/>
      <c r="N6" s="141"/>
      <c r="O6" s="141"/>
      <c r="P6" s="96" t="s">
        <v>937</v>
      </c>
      <c r="Q6" s="52">
        <v>0</v>
      </c>
      <c r="R6" s="52">
        <f ca="1">ROUND('TUSD BE'!$AM$23+'TUSD BF'!$AM$23+'TUSD CVA'!$AM$23,2)</f>
        <v>743.23</v>
      </c>
      <c r="S6" s="52">
        <f>ROUND('TE BE'!$AA$11+'TE BF'!$AA$11+'TE CVA'!$AA$11,2)</f>
        <v>282.92</v>
      </c>
      <c r="T6" s="52">
        <v>0</v>
      </c>
      <c r="U6" s="52">
        <f ca="1">ROUND('TUSD BE'!$AM$23,2)</f>
        <v>728.13</v>
      </c>
      <c r="V6" s="52">
        <f>ROUND('TE BE'!$AA$11,2)</f>
        <v>268.69</v>
      </c>
    </row>
    <row r="7" spans="1:22" ht="11.25" customHeight="1" x14ac:dyDescent="0.25">
      <c r="A7" s="137"/>
      <c r="B7" s="138" t="s">
        <v>931</v>
      </c>
      <c r="C7" s="138" t="s">
        <v>25</v>
      </c>
      <c r="D7" s="96" t="s">
        <v>929</v>
      </c>
      <c r="E7" s="52">
        <f ca="1">ROUND('TUSD BE'!$AM$5+'TUSD BF'!$AM$5+'TUSD CVA'!$AM$5,2)</f>
        <v>7.95</v>
      </c>
      <c r="F7" s="52">
        <f ca="1">ROUND('TUSD BE'!$AM$8+'TUSD BF'!$AM$8+'TUSD CVA'!$AM$8,2)</f>
        <v>31.71</v>
      </c>
      <c r="G7" s="52">
        <v>0</v>
      </c>
      <c r="H7" s="52">
        <f ca="1">ROUND('TUSD BE'!$AM$5,2)</f>
        <v>7.34</v>
      </c>
      <c r="I7" s="52">
        <f ca="1">ROUND('TUSD BE'!$AM$8,2)</f>
        <v>30.76</v>
      </c>
      <c r="J7" s="52">
        <v>0</v>
      </c>
      <c r="L7" s="141"/>
      <c r="M7" s="142"/>
      <c r="N7" s="142"/>
      <c r="O7" s="142"/>
      <c r="P7" s="96" t="s">
        <v>930</v>
      </c>
      <c r="Q7" s="52">
        <v>0</v>
      </c>
      <c r="R7" s="52">
        <f ca="1">ROUND('TUSD BE'!$AM$24+'TUSD BF'!$AM$24+'TUSD CVA'!$AM$24,2)</f>
        <v>401.93</v>
      </c>
      <c r="S7" s="52">
        <f>ROUND('TE BE'!$AA$12+'TE BF'!$AA$12+'TE CVA'!$AA$12,2)</f>
        <v>282.92</v>
      </c>
      <c r="T7" s="52">
        <v>0</v>
      </c>
      <c r="U7" s="52">
        <f ca="1">ROUND('TUSD BE'!$AM$24,2)</f>
        <v>394.23</v>
      </c>
      <c r="V7" s="52">
        <f>ROUND('TE BE'!$AA$12,2)</f>
        <v>268.69</v>
      </c>
    </row>
    <row r="8" spans="1:22" ht="11.25" customHeight="1" x14ac:dyDescent="0.25">
      <c r="A8" s="137"/>
      <c r="B8" s="137"/>
      <c r="C8" s="137"/>
      <c r="D8" s="96" t="s">
        <v>930</v>
      </c>
      <c r="E8" s="52">
        <f ca="1">ROUND('TUSD BE'!$AM$6+'TUSD BF'!$AM$6+'TUSD CVA'!$AM$6,2)</f>
        <v>6.48</v>
      </c>
      <c r="F8" s="52">
        <f ca="1">ROUND('TUSD BE'!$AM$8+'TUSD BF'!$AM$8+'TUSD CVA'!$AM$8,2)</f>
        <v>31.71</v>
      </c>
      <c r="G8" s="52">
        <v>0</v>
      </c>
      <c r="H8" s="52">
        <f ca="1">ROUND('TUSD BE'!$AM$6,2)</f>
        <v>5.98</v>
      </c>
      <c r="I8" s="52">
        <f ca="1">ROUND('TUSD BE'!$AM$8,2)</f>
        <v>30.76</v>
      </c>
      <c r="J8" s="52">
        <v>0</v>
      </c>
      <c r="L8" s="141"/>
      <c r="M8" s="96" t="s">
        <v>938</v>
      </c>
      <c r="N8" s="96" t="s">
        <v>936</v>
      </c>
      <c r="O8" s="96" t="s">
        <v>936</v>
      </c>
      <c r="P8" s="96" t="s">
        <v>932</v>
      </c>
      <c r="Q8" s="52">
        <v>0</v>
      </c>
      <c r="R8" s="52">
        <f ca="1">ROUND('TUSD BE'!$AM$30+'TUSD BF'!$AM$30+'TUSD CVA'!$AM$30,2)</f>
        <v>506.52</v>
      </c>
      <c r="S8" s="52">
        <f>ROUND('TE BE'!$AA$18+'TE BF'!$AA$18+'TE CVA'!$AA$18,2)</f>
        <v>297.2</v>
      </c>
      <c r="T8" s="52">
        <v>0</v>
      </c>
      <c r="U8" s="52">
        <f ca="1">ROUND('TUSD BE'!$AM$30,2)</f>
        <v>496.55</v>
      </c>
      <c r="V8" s="52">
        <f>ROUND('TE BE'!$AA$18,2)</f>
        <v>282.97000000000003</v>
      </c>
    </row>
    <row r="9" spans="1:22" ht="11.25" customHeight="1" x14ac:dyDescent="0.25">
      <c r="A9" s="137"/>
      <c r="B9" s="96" t="s">
        <v>63</v>
      </c>
      <c r="C9" s="96" t="s">
        <v>25</v>
      </c>
      <c r="D9" s="96" t="s">
        <v>932</v>
      </c>
      <c r="E9" s="52">
        <f ca="1">ROUND('TUSD BE'!$AM$9+'TUSD BF'!$AM$9+'TUSD CVA'!$AM$9,2)</f>
        <v>9.16</v>
      </c>
      <c r="F9" s="52">
        <v>0</v>
      </c>
      <c r="G9" s="52">
        <v>0</v>
      </c>
      <c r="H9" s="52">
        <f>ROUND('TUSD BE'!$AM$9,2)</f>
        <v>9.18</v>
      </c>
      <c r="I9" s="52">
        <v>0</v>
      </c>
      <c r="J9" s="52">
        <v>0</v>
      </c>
      <c r="L9" s="141"/>
      <c r="M9" s="96" t="s">
        <v>940</v>
      </c>
      <c r="N9" s="96" t="s">
        <v>936</v>
      </c>
      <c r="O9" s="96" t="s">
        <v>936</v>
      </c>
      <c r="P9" s="96" t="s">
        <v>932</v>
      </c>
      <c r="Q9" s="52">
        <v>0</v>
      </c>
      <c r="R9" s="52">
        <f ca="1">ROUND('TUSD BE'!$AM$25+'TUSD BF'!$AM$25+'TUSD CVA'!$AM$25,2)</f>
        <v>506.52</v>
      </c>
      <c r="S9" s="52">
        <f>ROUND('TE BE'!$AA$13+'TE BF'!$AA$13+'TE CVA'!$AA$13,2)</f>
        <v>297.2</v>
      </c>
      <c r="T9" s="52">
        <v>0</v>
      </c>
      <c r="U9" s="52">
        <f ca="1">ROUND('TUSD BE'!$AM$25,2)</f>
        <v>496.55</v>
      </c>
      <c r="V9" s="52">
        <f>ROUND('TE BE'!$AA$13,2)</f>
        <v>282.97000000000003</v>
      </c>
    </row>
    <row r="10" spans="1:22" ht="11.25" customHeight="1" x14ac:dyDescent="0.25">
      <c r="A10" s="138" t="s">
        <v>35</v>
      </c>
      <c r="B10" s="138" t="s">
        <v>44</v>
      </c>
      <c r="C10" s="138" t="s">
        <v>25</v>
      </c>
      <c r="D10" s="96" t="s">
        <v>929</v>
      </c>
      <c r="E10" s="52">
        <f ca="1">ROUND('TUSD BE'!$AM$10+'TUSD BF'!$AM$10+'TUSD CVA'!$AM$10,2)</f>
        <v>59.28</v>
      </c>
      <c r="F10" s="52">
        <f ca="1">ROUND('TUSD BE'!$AM$12+'TUSD BF'!$AM$12+'TUSD CVA'!$AM$12,2)</f>
        <v>168.51</v>
      </c>
      <c r="G10" s="52">
        <f>ROUND('TE BE'!$AA$7+'TE BF'!$AA$7+'TE CVA'!$AA$7,2)</f>
        <v>454.33</v>
      </c>
      <c r="H10" s="52">
        <f ca="1">ROUND('TUSD BE'!$AM$10,2)</f>
        <v>57.94</v>
      </c>
      <c r="I10" s="52">
        <f ca="1">ROUND('TUSD BE'!$AM$12,2)</f>
        <v>164.95</v>
      </c>
      <c r="J10" s="52">
        <f>ROUND('TE BE'!$AA$7,2)</f>
        <v>440.08</v>
      </c>
      <c r="L10" s="141"/>
      <c r="M10" s="96" t="s">
        <v>938</v>
      </c>
      <c r="N10" s="96" t="s">
        <v>936</v>
      </c>
      <c r="O10" s="96" t="s">
        <v>939</v>
      </c>
      <c r="P10" s="96" t="s">
        <v>932</v>
      </c>
      <c r="Q10" s="52">
        <v>0</v>
      </c>
      <c r="R10" s="52">
        <f ca="1">ROUND('TUSD BE'!$AM$31+'TUSD BF'!$AM$31+'TUSD CVA'!$AM$31,2)</f>
        <v>460.04</v>
      </c>
      <c r="S10" s="52">
        <f>ROUND('TE BE'!$AA$19+'TE BF'!$AA$19+'TE CVA'!$AA$19,2)</f>
        <v>297.2</v>
      </c>
      <c r="T10" s="52">
        <v>0</v>
      </c>
      <c r="U10" s="52">
        <f ca="1">ROUND('TUSD BE'!$AM$31,2)</f>
        <v>449.27</v>
      </c>
      <c r="V10" s="52">
        <f>ROUND('TE BE'!$AA$19,2)</f>
        <v>282.97000000000003</v>
      </c>
    </row>
    <row r="11" spans="1:22" ht="11.25" customHeight="1" x14ac:dyDescent="0.25">
      <c r="A11" s="137"/>
      <c r="B11" s="137"/>
      <c r="C11" s="137"/>
      <c r="D11" s="96" t="s">
        <v>930</v>
      </c>
      <c r="E11" s="52">
        <f ca="1">ROUND('TUSD BE'!$AM$11+'TUSD BF'!$AM$11+'TUSD CVA'!$AM$11,2)</f>
        <v>31.93</v>
      </c>
      <c r="F11" s="52">
        <f ca="1">ROUND('TUSD BE'!$AM$12+'TUSD BF'!$AM$12+'TUSD CVA'!$AM$12,2)</f>
        <v>168.51</v>
      </c>
      <c r="G11" s="52">
        <f>ROUND('TE BE'!$AA$8+'TE BF'!$AA$8+'TE CVA'!$AA$8,2)</f>
        <v>282.92</v>
      </c>
      <c r="H11" s="52">
        <f ca="1">ROUND('TUSD BE'!$AM$11,2)</f>
        <v>31.11</v>
      </c>
      <c r="I11" s="52">
        <f ca="1">ROUND('TUSD BE'!$AM$12,2)</f>
        <v>164.95</v>
      </c>
      <c r="J11" s="52">
        <f>ROUND('TE BE'!$AA$8,2)</f>
        <v>268.69</v>
      </c>
      <c r="L11" s="142"/>
      <c r="M11" s="96" t="s">
        <v>940</v>
      </c>
      <c r="N11" s="96" t="s">
        <v>936</v>
      </c>
      <c r="O11" s="96" t="s">
        <v>939</v>
      </c>
      <c r="P11" s="96" t="s">
        <v>932</v>
      </c>
      <c r="Q11" s="52">
        <v>0</v>
      </c>
      <c r="R11" s="52">
        <f ca="1">ROUND('TUSD BE'!$AM$26+'TUSD BF'!$AM$26+'TUSD CVA'!$AM$26,2)</f>
        <v>460.04</v>
      </c>
      <c r="S11" s="52">
        <f>ROUND('TE BE'!$AA$14+'TE BF'!$AA$14+'TE CVA'!$AA$14,2)</f>
        <v>297.2</v>
      </c>
      <c r="T11" s="52">
        <v>0</v>
      </c>
      <c r="U11" s="52">
        <f ca="1">ROUND('TUSD BE'!$AM$26,2)</f>
        <v>449.27</v>
      </c>
      <c r="V11" s="52">
        <f>ROUND('TE BE'!$AA$14,2)</f>
        <v>282.97000000000003</v>
      </c>
    </row>
    <row r="12" spans="1:22" ht="11.25" customHeight="1" x14ac:dyDescent="0.25">
      <c r="A12" s="137"/>
      <c r="B12" s="138" t="s">
        <v>931</v>
      </c>
      <c r="C12" s="138" t="s">
        <v>25</v>
      </c>
      <c r="D12" s="96" t="s">
        <v>929</v>
      </c>
      <c r="E12" s="52">
        <f ca="1">ROUND('TUSD BE'!$AM$10+'TUSD BF'!$AM$10+'TUSD CVA'!$AM$10,2)</f>
        <v>59.28</v>
      </c>
      <c r="F12" s="52">
        <f ca="1">ROUND('TUSD BE'!$AM$13+'TUSD BF'!$AM$13+'TUSD CVA'!$AM$13,2)</f>
        <v>126.69</v>
      </c>
      <c r="G12" s="52">
        <v>0</v>
      </c>
      <c r="H12" s="52">
        <f ca="1">ROUND('TUSD BE'!$AM$10,2)</f>
        <v>57.94</v>
      </c>
      <c r="I12" s="52">
        <f ca="1">ROUND('TUSD BE'!$AM$13,2)</f>
        <v>122.57</v>
      </c>
      <c r="J12" s="52">
        <v>0</v>
      </c>
      <c r="L12" s="140" t="s">
        <v>46</v>
      </c>
      <c r="M12" s="140" t="s">
        <v>935</v>
      </c>
      <c r="N12" s="140" t="s">
        <v>941</v>
      </c>
      <c r="O12" s="140" t="s">
        <v>942</v>
      </c>
      <c r="P12" s="96" t="s">
        <v>929</v>
      </c>
      <c r="Q12" s="52">
        <v>0</v>
      </c>
      <c r="R12" s="52">
        <f ca="1">ROUND(('TUSD BE'!$AM$35+'TUSD BF'!$AM$35+'TUSD CVA'!$AM$35)*(1-CUSTOS!$M$38),2)</f>
        <v>978.6</v>
      </c>
      <c r="S12" s="52">
        <f>ROUND(('TE BE'!$AA$23+'TE BF'!$AA$23+'TE CVA'!$AA$23)*(1-CUSTOS!$M$38),2)</f>
        <v>399.81</v>
      </c>
      <c r="T12" s="52">
        <v>0</v>
      </c>
      <c r="U12" s="52">
        <f ca="1">ROUND('TUSD BE'!$AM$35*(1-CUSTOS!$M$38),2)</f>
        <v>958.28</v>
      </c>
      <c r="V12" s="52">
        <f>ROUND('TE BE'!$AA$23*(1-CUSTOS!$M$38),2)</f>
        <v>387.27</v>
      </c>
    </row>
    <row r="13" spans="1:22" ht="11.25" customHeight="1" x14ac:dyDescent="0.25">
      <c r="A13" s="137"/>
      <c r="B13" s="137"/>
      <c r="C13" s="137"/>
      <c r="D13" s="96" t="s">
        <v>930</v>
      </c>
      <c r="E13" s="52">
        <f ca="1">ROUND('TUSD BE'!$AM$11+'TUSD BF'!$AM$11+'TUSD CVA'!$AM$11,2)</f>
        <v>31.93</v>
      </c>
      <c r="F13" s="52">
        <f ca="1">ROUND('TUSD BE'!$AM$13+'TUSD BF'!$AM$13+'TUSD CVA'!$AM$13,2)</f>
        <v>126.69</v>
      </c>
      <c r="G13" s="52">
        <v>0</v>
      </c>
      <c r="H13" s="52">
        <f ca="1">ROUND('TUSD BE'!$AM$11,2)</f>
        <v>31.11</v>
      </c>
      <c r="I13" s="52">
        <f ca="1">ROUND('TUSD BE'!$AM$13,2)</f>
        <v>122.57</v>
      </c>
      <c r="J13" s="52">
        <v>0</v>
      </c>
      <c r="L13" s="141"/>
      <c r="M13" s="141"/>
      <c r="N13" s="141"/>
      <c r="O13" s="141"/>
      <c r="P13" s="96" t="s">
        <v>937</v>
      </c>
      <c r="Q13" s="52">
        <v>0</v>
      </c>
      <c r="R13" s="52">
        <f ca="1">ROUND(('TUSD BE'!$AM$36+'TUSD BF'!$AM$36+'TUSD CVA'!$AM$36)*(1-CUSTOS!$M$38),2)</f>
        <v>668.57</v>
      </c>
      <c r="S13" s="52">
        <f>ROUND(('TE BE'!$AA$24+'TE BF'!$AA$24+'TE CVA'!$AA$24)*(1-CUSTOS!$M$38),2)</f>
        <v>248.97</v>
      </c>
      <c r="T13" s="52">
        <v>0</v>
      </c>
      <c r="U13" s="52">
        <f ca="1">ROUND('TUSD BE'!$AM$36*(1-CUSTOS!$M$38),2)</f>
        <v>654.97</v>
      </c>
      <c r="V13" s="52">
        <f>ROUND('TE BE'!$AA$24*(1-CUSTOS!$M$38),2)</f>
        <v>236.44</v>
      </c>
    </row>
    <row r="14" spans="1:22" ht="11.25" customHeight="1" x14ac:dyDescent="0.25">
      <c r="A14" s="137"/>
      <c r="B14" s="138" t="s">
        <v>36</v>
      </c>
      <c r="C14" s="138" t="s">
        <v>25</v>
      </c>
      <c r="D14" s="96" t="s">
        <v>932</v>
      </c>
      <c r="E14" s="52">
        <f ca="1">ROUND('TUSD BE'!$AM$15+'TUSD BF'!$AM$15+'TUSD CVA'!$AM$15,2)</f>
        <v>31.93</v>
      </c>
      <c r="F14" s="52">
        <v>0</v>
      </c>
      <c r="G14" s="52">
        <v>0</v>
      </c>
      <c r="H14" s="52">
        <f ca="1">ROUND('TUSD BE'!$AM$15,2)</f>
        <v>31.11</v>
      </c>
      <c r="I14" s="52">
        <v>0</v>
      </c>
      <c r="J14" s="52">
        <v>0</v>
      </c>
      <c r="L14" s="141"/>
      <c r="M14" s="142"/>
      <c r="N14" s="142"/>
      <c r="O14" s="142"/>
      <c r="P14" s="96" t="s">
        <v>930</v>
      </c>
      <c r="Q14" s="52">
        <v>0</v>
      </c>
      <c r="R14" s="52">
        <f ca="1">ROUND(('TUSD BE'!$AM$37+'TUSD BF'!$AM$37+'TUSD CVA'!$AM$37)*(1-CUSTOS!$M$38),2)</f>
        <v>358.54</v>
      </c>
      <c r="S14" s="52">
        <f>ROUND(('TE BE'!$AA$25+'TE BF'!$AA$25+'TE CVA'!$AA$25)*(1-CUSTOS!$M$38),2)</f>
        <v>248.97</v>
      </c>
      <c r="T14" s="52">
        <v>0</v>
      </c>
      <c r="U14" s="52">
        <f ca="1">ROUND('TUSD BE'!$AM$37*(1-CUSTOS!$M$38),2)</f>
        <v>351.66</v>
      </c>
      <c r="V14" s="52">
        <f>ROUND('TE BE'!$AA$25*(1-CUSTOS!$M$38),2)</f>
        <v>236.44</v>
      </c>
    </row>
    <row r="15" spans="1:22" ht="11.25" customHeight="1" x14ac:dyDescent="0.25">
      <c r="A15" s="137"/>
      <c r="B15" s="137"/>
      <c r="C15" s="137"/>
      <c r="D15" s="96" t="s">
        <v>929</v>
      </c>
      <c r="E15" s="52">
        <v>0</v>
      </c>
      <c r="F15" s="52">
        <f ca="1">ROUND('TUSD BE'!$AM$16+'TUSD BF'!$AM$16+'TUSD CVA'!$AM$16,2)</f>
        <v>1605.99</v>
      </c>
      <c r="G15" s="52">
        <f>ROUND('TE BE'!$AA$7+'TE BF'!$AA$7+'TE CVA'!$AA$7,2)</f>
        <v>454.33</v>
      </c>
      <c r="H15" s="52">
        <v>0</v>
      </c>
      <c r="I15" s="52">
        <f ca="1">ROUND('TUSD BE'!$AM$16,2)</f>
        <v>1570.33</v>
      </c>
      <c r="J15" s="52">
        <f>ROUND('TE BE'!$AA$7,2)</f>
        <v>440.08</v>
      </c>
      <c r="L15" s="141"/>
      <c r="M15" s="96" t="s">
        <v>938</v>
      </c>
      <c r="N15" s="96" t="s">
        <v>941</v>
      </c>
      <c r="O15" s="96" t="s">
        <v>942</v>
      </c>
      <c r="P15" s="96" t="s">
        <v>932</v>
      </c>
      <c r="Q15" s="52">
        <v>0</v>
      </c>
      <c r="R15" s="52">
        <f ca="1">ROUND(('TUSD BE'!$AM$47+'TUSD BF'!$AM$47+'TUSD CVA'!$AM$47)*(1-CUSTOS!$M$38),2)</f>
        <v>445.74</v>
      </c>
      <c r="S15" s="52">
        <f>ROUND(('TE BE'!$AA$35+'TE BF'!$AA$35+'TE CVA'!$AA$35)*(1-CUSTOS!$M$38),2)</f>
        <v>261.54000000000002</v>
      </c>
      <c r="T15" s="52">
        <v>0</v>
      </c>
      <c r="U15" s="52">
        <f ca="1">ROUND(('TUSD BE'!$AM$47)*(1-CUSTOS!$M$38),2)</f>
        <v>436.96</v>
      </c>
      <c r="V15" s="52">
        <f>ROUND(('TE BE'!$AA$35)*(1-CUSTOS!$M$38),2)</f>
        <v>249.01</v>
      </c>
    </row>
    <row r="16" spans="1:22" ht="11.25" customHeight="1" x14ac:dyDescent="0.25">
      <c r="A16" s="137"/>
      <c r="B16" s="137"/>
      <c r="C16" s="137"/>
      <c r="D16" s="96" t="s">
        <v>930</v>
      </c>
      <c r="E16" s="52">
        <v>0</v>
      </c>
      <c r="F16" s="52">
        <f ca="1">ROUND('TUSD BE'!$AM$17+'TUSD BF'!$AM$17+'TUSD CVA'!$AM$17,2)</f>
        <v>168.51</v>
      </c>
      <c r="G16" s="52">
        <f>ROUND('TE BE'!$AA$8+'TE BF'!$AA$8+'TE CVA'!$AA$8,2)</f>
        <v>282.92</v>
      </c>
      <c r="H16" s="52">
        <v>0</v>
      </c>
      <c r="I16" s="52">
        <f ca="1">ROUND('TUSD BE'!$AM$17,2)</f>
        <v>164.95</v>
      </c>
      <c r="J16" s="52">
        <f>ROUND('TE BE'!$AA$8,2)</f>
        <v>268.69</v>
      </c>
      <c r="L16" s="141"/>
      <c r="M16" s="96" t="s">
        <v>940</v>
      </c>
      <c r="N16" s="96" t="s">
        <v>941</v>
      </c>
      <c r="O16" s="96" t="s">
        <v>942</v>
      </c>
      <c r="P16" s="96" t="s">
        <v>932</v>
      </c>
      <c r="Q16" s="52">
        <v>0</v>
      </c>
      <c r="R16" s="52">
        <f ca="1">ROUND(('TUSD BE'!$AM$38+'TUSD BF'!$AM$38+'TUSD CVA'!$AM$38)*(1-CUSTOS!$M$38),2)</f>
        <v>445.74</v>
      </c>
      <c r="S16" s="52">
        <f>ROUND(('TE BE'!$AA$26+'TE BF'!$AA$26+'TE CVA'!$AA$26)*(1-CUSTOS!$M$38),2)</f>
        <v>261.54000000000002</v>
      </c>
      <c r="T16" s="52">
        <v>0</v>
      </c>
      <c r="U16" s="52">
        <f ca="1">ROUND(('TUSD BE'!$AM$38)*(1-CUSTOS!$M$38),2)</f>
        <v>436.96</v>
      </c>
      <c r="V16" s="52">
        <f>ROUND(('TE BE'!$AA$26)*(1-CUSTOS!$M$38),2)</f>
        <v>249.01</v>
      </c>
    </row>
    <row r="17" spans="1:22" ht="11.25" customHeight="1" x14ac:dyDescent="0.25">
      <c r="A17" s="137"/>
      <c r="B17" s="138" t="s">
        <v>933</v>
      </c>
      <c r="C17" s="138" t="s">
        <v>25</v>
      </c>
      <c r="D17" s="96" t="s">
        <v>932</v>
      </c>
      <c r="E17" s="52">
        <f ca="1">ROUND('TUSD BE'!$AM$15+'TUSD BF'!$AM$15+'TUSD CVA'!$AM$15,2)</f>
        <v>31.93</v>
      </c>
      <c r="F17" s="52">
        <v>0</v>
      </c>
      <c r="G17" s="52">
        <v>0</v>
      </c>
      <c r="H17" s="52">
        <f ca="1">ROUND('TUSD BE'!$AM$15,2)</f>
        <v>31.11</v>
      </c>
      <c r="I17" s="52">
        <v>0</v>
      </c>
      <c r="J17" s="52">
        <v>0</v>
      </c>
      <c r="L17" s="141"/>
      <c r="M17" s="140" t="s">
        <v>935</v>
      </c>
      <c r="N17" s="140" t="s">
        <v>941</v>
      </c>
      <c r="O17" s="140" t="s">
        <v>943</v>
      </c>
      <c r="P17" s="96" t="s">
        <v>929</v>
      </c>
      <c r="Q17" s="52">
        <v>0</v>
      </c>
      <c r="R17" s="52">
        <f ca="1">ROUND(('TUSD BE'!$AM$39+'TUSD BF'!$AM$39+'TUSD CVA'!$AM$39)*(1-CUSTOS!$M$39),2)</f>
        <v>978.6</v>
      </c>
      <c r="S17" s="52">
        <f>ROUND(('TE BE'!$AA$27+'TE BF'!$AA$27+'TE CVA'!$AA$27)*(1-CUSTOS!$M$39),2)</f>
        <v>399.81</v>
      </c>
      <c r="T17" s="52">
        <v>0</v>
      </c>
      <c r="U17" s="52">
        <f ca="1">ROUND('TUSD BE'!$AM$39*(1-CUSTOS!$M$39),2)</f>
        <v>958.28</v>
      </c>
      <c r="V17" s="52">
        <f>ROUND('TE BE'!$AA$27*(1-CUSTOS!$M$39),2)</f>
        <v>387.27</v>
      </c>
    </row>
    <row r="18" spans="1:22" ht="11.25" customHeight="1" x14ac:dyDescent="0.25">
      <c r="A18" s="137"/>
      <c r="B18" s="137"/>
      <c r="C18" s="137"/>
      <c r="D18" s="96" t="s">
        <v>929</v>
      </c>
      <c r="E18" s="52">
        <v>0</v>
      </c>
      <c r="F18" s="52">
        <f ca="1">ROUND('TUSD BE'!$AM$18+'TUSD BF'!$AM$18+'TUSD CVA'!$AM$18,2)</f>
        <v>1564.17</v>
      </c>
      <c r="G18" s="52">
        <v>0</v>
      </c>
      <c r="H18" s="52">
        <v>0</v>
      </c>
      <c r="I18" s="52">
        <f ca="1">ROUND('TUSD BE'!$AM$18,2)</f>
        <v>1527.95</v>
      </c>
      <c r="J18" s="52">
        <v>0</v>
      </c>
      <c r="L18" s="141"/>
      <c r="M18" s="141"/>
      <c r="N18" s="141"/>
      <c r="O18" s="141"/>
      <c r="P18" s="96" t="s">
        <v>937</v>
      </c>
      <c r="Q18" s="52">
        <v>0</v>
      </c>
      <c r="R18" s="52">
        <f ca="1">ROUND(('TUSD BE'!$AM$40+'TUSD BF'!$AM$40+'TUSD CVA'!$AM$40)*(1-CUSTOS!$M$39),2)</f>
        <v>668.57</v>
      </c>
      <c r="S18" s="52">
        <f>ROUND(('TE BE'!$AA$28+'TE BF'!$AA$28+'TE CVA'!$AA$28)*(1-CUSTOS!$M$39),2)</f>
        <v>248.97</v>
      </c>
      <c r="T18" s="52">
        <v>0</v>
      </c>
      <c r="U18" s="52">
        <f ca="1">ROUND('TUSD BE'!$AM$40*(1-CUSTOS!$M$39),2)</f>
        <v>654.97</v>
      </c>
      <c r="V18" s="52">
        <f>ROUND('TE BE'!$AA$28*(1-CUSTOS!$M$39),2)</f>
        <v>236.44</v>
      </c>
    </row>
    <row r="19" spans="1:22" ht="11.25" customHeight="1" x14ac:dyDescent="0.25">
      <c r="A19" s="137"/>
      <c r="B19" s="137"/>
      <c r="C19" s="137"/>
      <c r="D19" s="96" t="s">
        <v>930</v>
      </c>
      <c r="E19" s="52">
        <v>0</v>
      </c>
      <c r="F19" s="52">
        <f ca="1">ROUND('TUSD BE'!$AM$19+'TUSD BF'!$AM$19+'TUSD CVA'!$AM$19,2)</f>
        <v>126.69</v>
      </c>
      <c r="G19" s="52">
        <v>0</v>
      </c>
      <c r="H19" s="52">
        <v>0</v>
      </c>
      <c r="I19" s="52">
        <f ca="1">ROUND('TUSD BE'!$AM$19,2)</f>
        <v>122.57</v>
      </c>
      <c r="J19" s="52">
        <v>0</v>
      </c>
      <c r="L19" s="141"/>
      <c r="M19" s="142"/>
      <c r="N19" s="142"/>
      <c r="O19" s="142"/>
      <c r="P19" s="96" t="s">
        <v>930</v>
      </c>
      <c r="Q19" s="52">
        <v>0</v>
      </c>
      <c r="R19" s="52">
        <f ca="1">ROUND(('TUSD BE'!$AM$41+'TUSD BF'!$AM$41+'TUSD CVA'!$AM$41)*(1-CUSTOS!$M$39),2)</f>
        <v>358.54</v>
      </c>
      <c r="S19" s="52">
        <f>ROUND(('TE BE'!$AA$29+'TE BF'!$AA$29+'TE CVA'!$AA$29)*(1-CUSTOS!$M$39),2)</f>
        <v>248.97</v>
      </c>
      <c r="T19" s="52">
        <v>0</v>
      </c>
      <c r="U19" s="52">
        <f ca="1">ROUND('TUSD BE'!$AM$41*(1-CUSTOS!$M$39),2)</f>
        <v>351.66</v>
      </c>
      <c r="V19" s="52">
        <f>ROUND('TE BE'!$AA$29*(1-CUSTOS!$M$39),2)</f>
        <v>236.44</v>
      </c>
    </row>
    <row r="20" spans="1:22" ht="11.25" customHeight="1" x14ac:dyDescent="0.25">
      <c r="A20" s="137"/>
      <c r="B20" s="96" t="s">
        <v>63</v>
      </c>
      <c r="C20" s="96" t="s">
        <v>25</v>
      </c>
      <c r="D20" s="96" t="s">
        <v>932</v>
      </c>
      <c r="E20" s="52">
        <f ca="1">ROUND('TUSD BE'!$AM$14+'TUSD BF'!$AM$14+'TUSD CVA'!$AM$14,2)</f>
        <v>22.66</v>
      </c>
      <c r="F20" s="52">
        <v>0</v>
      </c>
      <c r="G20" s="52">
        <v>0</v>
      </c>
      <c r="H20" s="52">
        <f ca="1">ROUND('TUSD BE'!$AM$14,2)</f>
        <v>22.73</v>
      </c>
      <c r="I20" s="52">
        <v>0</v>
      </c>
      <c r="J20" s="52">
        <v>0</v>
      </c>
      <c r="L20" s="141"/>
      <c r="M20" s="96" t="s">
        <v>938</v>
      </c>
      <c r="N20" s="96" t="s">
        <v>941</v>
      </c>
      <c r="O20" s="96" t="s">
        <v>943</v>
      </c>
      <c r="P20" s="96" t="s">
        <v>932</v>
      </c>
      <c r="Q20" s="52">
        <v>0</v>
      </c>
      <c r="R20" s="52">
        <f ca="1">ROUND(('TUSD BE'!$AM$47+'TUSD BF'!$AM$47+'TUSD CVA'!$AM$47)*(1-CUSTOS!$M$39),2)</f>
        <v>445.74</v>
      </c>
      <c r="S20" s="52">
        <f>ROUND(('TE BE'!$AA$35+'TE BF'!$AA$35+'TE CVA'!$AA$35)*(1-CUSTOS!$M$39),2)</f>
        <v>261.54000000000002</v>
      </c>
      <c r="T20" s="52">
        <v>0</v>
      </c>
      <c r="U20" s="52">
        <f ca="1">ROUND(('TUSD BE'!$AM$47)*(1-CUSTOS!$M$39),2)</f>
        <v>436.96</v>
      </c>
      <c r="V20" s="52">
        <f>ROUND(('TE BE'!$AA$35)*(1-CUSTOS!$M$39),2)</f>
        <v>249.01</v>
      </c>
    </row>
    <row r="21" spans="1:22" ht="11.25" customHeight="1" x14ac:dyDescent="0.25">
      <c r="L21" s="141"/>
      <c r="M21" s="96" t="s">
        <v>940</v>
      </c>
      <c r="N21" s="96" t="s">
        <v>941</v>
      </c>
      <c r="O21" s="96" t="s">
        <v>943</v>
      </c>
      <c r="P21" s="96" t="s">
        <v>932</v>
      </c>
      <c r="Q21" s="52">
        <v>0</v>
      </c>
      <c r="R21" s="52">
        <f ca="1">ROUND(('TUSD BE'!$AM$38+'TUSD BF'!$AM$38+'TUSD CVA'!$AM$38)*(1-CUSTOS!$M$39),2)</f>
        <v>445.74</v>
      </c>
      <c r="S21" s="52">
        <f>ROUND(('TE BE'!$AA$26+'TE BF'!$AA$26+'TE CVA'!$AA$26)*(1-CUSTOS!$M$39),2)</f>
        <v>261.54000000000002</v>
      </c>
      <c r="T21" s="52">
        <v>0</v>
      </c>
      <c r="U21" s="52">
        <f ca="1">ROUND(('TUSD BE'!$AM$38)*(1-CUSTOS!$M$39),2)</f>
        <v>436.96</v>
      </c>
      <c r="V21" s="52">
        <f>ROUND(('TE BE'!$AA$26)*(1-CUSTOS!$M$39),2)</f>
        <v>249.01</v>
      </c>
    </row>
    <row r="22" spans="1:22" ht="11.25" customHeight="1" x14ac:dyDescent="0.25">
      <c r="L22" s="141"/>
      <c r="M22" s="140" t="s">
        <v>935</v>
      </c>
      <c r="N22" s="140" t="s">
        <v>941</v>
      </c>
      <c r="O22" s="140" t="s">
        <v>944</v>
      </c>
      <c r="P22" s="96" t="s">
        <v>929</v>
      </c>
      <c r="Q22" s="52">
        <v>0</v>
      </c>
      <c r="R22" s="52">
        <f ca="1">ROUND(('TUSD BE'!$AM$43+'TUSD BF'!$AM$43+'TUSD CVA'!$AM$43)*(1-CUSTOS!$M$40),2)</f>
        <v>934.12</v>
      </c>
      <c r="S22" s="52">
        <f>ROUND(('TE BE'!$AA$31+'TE BF'!$AA$31+'TE CVA'!$AA$31)*(1-CUSTOS!$M$40),2)</f>
        <v>381.64</v>
      </c>
      <c r="T22" s="52">
        <v>0</v>
      </c>
      <c r="U22" s="52">
        <f ca="1">ROUND('TUSD BE'!$AM$43*(1-CUSTOS!$M$40),2)</f>
        <v>914.73</v>
      </c>
      <c r="V22" s="52">
        <f>ROUND('TE BE'!$AA$31*(1-CUSTOS!$M$40),2)</f>
        <v>369.67</v>
      </c>
    </row>
    <row r="23" spans="1:22" ht="11.25" customHeight="1" x14ac:dyDescent="0.25">
      <c r="L23" s="141"/>
      <c r="M23" s="141"/>
      <c r="N23" s="141"/>
      <c r="O23" s="141"/>
      <c r="P23" s="96" t="s">
        <v>937</v>
      </c>
      <c r="Q23" s="52">
        <v>0</v>
      </c>
      <c r="R23" s="52">
        <f ca="1">ROUND(('TUSD BE'!$AM$44+'TUSD BF'!$AM$44+'TUSD CVA'!$AM$44)*(1-CUSTOS!$M$40),2)</f>
        <v>638.17999999999995</v>
      </c>
      <c r="S23" s="52">
        <f>ROUND(('TE BE'!$AA$32+'TE BF'!$AA$32+'TE CVA'!$AA$32)*(1-CUSTOS!$M$40),2)</f>
        <v>237.65</v>
      </c>
      <c r="T23" s="52">
        <v>0</v>
      </c>
      <c r="U23" s="52">
        <f ca="1">ROUND('TUSD BE'!$AM$44*(1-CUSTOS!$M$40),2)</f>
        <v>625.20000000000005</v>
      </c>
      <c r="V23" s="52">
        <f>ROUND('TE BE'!$AA$32*(1-CUSTOS!$M$40),2)</f>
        <v>225.7</v>
      </c>
    </row>
    <row r="24" spans="1:22" ht="11.25" customHeight="1" x14ac:dyDescent="0.25">
      <c r="L24" s="141"/>
      <c r="M24" s="142"/>
      <c r="N24" s="142"/>
      <c r="O24" s="142"/>
      <c r="P24" s="96" t="s">
        <v>930</v>
      </c>
      <c r="Q24" s="52">
        <v>0</v>
      </c>
      <c r="R24" s="52">
        <f ca="1">ROUND(('TUSD BE'!$AM$45+'TUSD BF'!$AM$45+'TUSD CVA'!$AM$45)*(1-CUSTOS!$M$40),2)</f>
        <v>342.24</v>
      </c>
      <c r="S24" s="52">
        <f>ROUND(('TE BE'!$AA$33+'TE BF'!$AA$33+'TE CVA'!$AA$33)*(1-CUSTOS!$M$40),2)</f>
        <v>237.65</v>
      </c>
      <c r="T24" s="52">
        <v>0</v>
      </c>
      <c r="U24" s="52">
        <f ca="1">ROUND('TUSD BE'!$AM$45*(1-CUSTOS!$M$40),2)</f>
        <v>335.67</v>
      </c>
      <c r="V24" s="52">
        <f>ROUND('TE BE'!$AA$33*(1-CUSTOS!$M$40),2)</f>
        <v>225.7</v>
      </c>
    </row>
    <row r="25" spans="1:22" ht="11.25" customHeight="1" x14ac:dyDescent="0.25">
      <c r="L25" s="141"/>
      <c r="M25" s="96" t="s">
        <v>938</v>
      </c>
      <c r="N25" s="96" t="s">
        <v>941</v>
      </c>
      <c r="O25" s="96" t="s">
        <v>944</v>
      </c>
      <c r="P25" s="96" t="s">
        <v>932</v>
      </c>
      <c r="Q25" s="52">
        <v>0</v>
      </c>
      <c r="R25" s="52">
        <f ca="1">ROUND(('TUSD BE'!$AM$47+'TUSD BF'!$AM$47+'TUSD CVA'!$AM$47)*(1-CUSTOS!$M$40),2)</f>
        <v>425.48</v>
      </c>
      <c r="S25" s="52">
        <f>ROUND(('TE BE'!$AA$35+'TE BF'!$AA$35+'TE CVA'!$AA$35)*(1-CUSTOS!$M$40),2)</f>
        <v>249.65</v>
      </c>
      <c r="T25" s="52">
        <v>0</v>
      </c>
      <c r="U25" s="52">
        <f ca="1">ROUND(('TUSD BE'!$AM$47)*(1-CUSTOS!$M$40),2)</f>
        <v>417.1</v>
      </c>
      <c r="V25" s="52">
        <f>ROUND(('TE BE'!$AA$35)*(1-CUSTOS!$M$40),2)</f>
        <v>237.7</v>
      </c>
    </row>
    <row r="26" spans="1:22" ht="11.25" customHeight="1" x14ac:dyDescent="0.25">
      <c r="L26" s="142"/>
      <c r="M26" s="96" t="s">
        <v>940</v>
      </c>
      <c r="N26" s="96" t="s">
        <v>941</v>
      </c>
      <c r="O26" s="96" t="s">
        <v>944</v>
      </c>
      <c r="P26" s="96" t="s">
        <v>932</v>
      </c>
      <c r="Q26" s="52">
        <v>0</v>
      </c>
      <c r="R26" s="52">
        <f ca="1">ROUND(('TUSD BE'!$AM$38+'TUSD BF'!$AM$38+'TUSD CVA'!$AM$38)*(1-CUSTOS!$M$40),2)</f>
        <v>425.48</v>
      </c>
      <c r="S26" s="52">
        <f>ROUND(('TE BE'!$AA$26+'TE BF'!$AA$26+'TE CVA'!$AA$26)*(1-CUSTOS!$M$40),2)</f>
        <v>249.65</v>
      </c>
      <c r="T26" s="52">
        <v>0</v>
      </c>
      <c r="U26" s="52">
        <f ca="1">ROUND(('TUSD BE'!$AM$38)*(1-CUSTOS!$M$40),2)</f>
        <v>417.1</v>
      </c>
      <c r="V26" s="52">
        <f>ROUND(('TE BE'!$AA$26)*(1-CUSTOS!$M$40),2)</f>
        <v>237.7</v>
      </c>
    </row>
    <row r="27" spans="1:22" ht="11.25" customHeight="1" x14ac:dyDescent="0.25">
      <c r="L27" s="140" t="s">
        <v>41</v>
      </c>
      <c r="M27" s="140" t="s">
        <v>935</v>
      </c>
      <c r="N27" s="140" t="s">
        <v>932</v>
      </c>
      <c r="O27" s="140" t="s">
        <v>932</v>
      </c>
      <c r="P27" s="96" t="s">
        <v>929</v>
      </c>
      <c r="Q27" s="52">
        <v>0</v>
      </c>
      <c r="R27" s="52">
        <f ca="1">ROUND(('TUSD BE'!$AM$50+'TUSD BF'!$AM$50+'TUSD CVA'!$AM$50)*(1-CUSTOS!$M$31),2)</f>
        <v>1222.1400000000001</v>
      </c>
      <c r="S27" s="52">
        <f>ROUND(('TE BE'!$AA$38+'TE BF'!$AA$38+'TE CVA'!$AA$38)*(1-CUSTOS!$M$31),2)</f>
        <v>454.33</v>
      </c>
      <c r="T27" s="52">
        <v>0</v>
      </c>
      <c r="U27" s="52">
        <f ca="1">ROUND('TUSD BE'!$AM$50*(1-CUSTOS!$M$31),2)</f>
        <v>1196.67</v>
      </c>
      <c r="V27" s="52">
        <f>ROUND('TE BE'!$AA$38*(1-CUSTOS!$M$31),2)</f>
        <v>440.08</v>
      </c>
    </row>
    <row r="28" spans="1:22" ht="11.25" customHeight="1" x14ac:dyDescent="0.25">
      <c r="L28" s="141"/>
      <c r="M28" s="141"/>
      <c r="N28" s="141"/>
      <c r="O28" s="141"/>
      <c r="P28" s="96" t="s">
        <v>937</v>
      </c>
      <c r="Q28" s="52">
        <v>0</v>
      </c>
      <c r="R28" s="52">
        <f ca="1">ROUND(('TUSD BE'!$AM$51+'TUSD BF'!$AM$51+'TUSD CVA'!$AM$51)*(1-CUSTOS!$M$31),2)</f>
        <v>825.8</v>
      </c>
      <c r="S28" s="52">
        <f>ROUND(('TE BE'!$AA$39+'TE BF'!$AA$39+'TE CVA'!$AA$39)*(1-CUSTOS!$M$31),2)</f>
        <v>282.92</v>
      </c>
      <c r="T28" s="52">
        <v>0</v>
      </c>
      <c r="U28" s="52">
        <f ca="1">ROUND('TUSD BE'!$AM$51*(1-CUSTOS!$M$31),2)</f>
        <v>808.91</v>
      </c>
      <c r="V28" s="52">
        <f>ROUND('TE BE'!$AA$39*(1-CUSTOS!$M$31),2)</f>
        <v>268.69</v>
      </c>
    </row>
    <row r="29" spans="1:22" ht="11.25" customHeight="1" x14ac:dyDescent="0.25">
      <c r="L29" s="141"/>
      <c r="M29" s="142"/>
      <c r="N29" s="142"/>
      <c r="O29" s="142"/>
      <c r="P29" s="96" t="s">
        <v>930</v>
      </c>
      <c r="Q29" s="52">
        <v>0</v>
      </c>
      <c r="R29" s="52">
        <f ca="1">ROUND(('TUSD BE'!$AM$52+'TUSD BF'!$AM$52+'TUSD CVA'!$AM$52)*(1-CUSTOS!$M$31),2)</f>
        <v>429.45</v>
      </c>
      <c r="S29" s="52">
        <f>ROUND(('TE BE'!$AA$40+'TE BF'!$AA$40+'TE CVA'!$AA$40)*(1-CUSTOS!$M$31),2)</f>
        <v>282.92</v>
      </c>
      <c r="T29" s="52">
        <v>0</v>
      </c>
      <c r="U29" s="52">
        <f ca="1">ROUND('TUSD BE'!$AM$52*(1-CUSTOS!$M$31),2)</f>
        <v>421.15</v>
      </c>
      <c r="V29" s="52">
        <f>ROUND('TE BE'!$AA$40*(1-CUSTOS!$M$31),2)</f>
        <v>268.69</v>
      </c>
    </row>
    <row r="30" spans="1:22" ht="11.25" customHeight="1" x14ac:dyDescent="0.25">
      <c r="L30" s="141"/>
      <c r="M30" s="96" t="s">
        <v>938</v>
      </c>
      <c r="N30" s="96" t="s">
        <v>932</v>
      </c>
      <c r="O30" s="96" t="s">
        <v>932</v>
      </c>
      <c r="P30" s="96" t="s">
        <v>932</v>
      </c>
      <c r="Q30" s="52">
        <v>0</v>
      </c>
      <c r="R30" s="52">
        <f ca="1">ROUND(('TUSD BE'!$AM$54+'TUSD BF'!$AM$54+'TUSD CVA'!$AM$54)*(1-CUSTOS!$M$31),2)</f>
        <v>506.52</v>
      </c>
      <c r="S30" s="52">
        <f>ROUND(('TE BE'!$AA$42+'TE BF'!$AA$42+'TE CVA'!$AA$42)*(1-CUSTOS!$M$31),2)</f>
        <v>297.2</v>
      </c>
      <c r="T30" s="52">
        <v>0</v>
      </c>
      <c r="U30" s="52">
        <f ca="1">ROUND(('TUSD BE'!$AM$54)*(1-CUSTOS!$M$31),2)</f>
        <v>496.55</v>
      </c>
      <c r="V30" s="52">
        <f>ROUND(('TE BE'!$AA$42)*(1-CUSTOS!$M$31),2)</f>
        <v>282.97000000000003</v>
      </c>
    </row>
    <row r="31" spans="1:22" ht="11.25" customHeight="1" x14ac:dyDescent="0.25">
      <c r="L31" s="142"/>
      <c r="M31" s="96" t="s">
        <v>940</v>
      </c>
      <c r="N31" s="96" t="s">
        <v>932</v>
      </c>
      <c r="O31" s="96" t="s">
        <v>932</v>
      </c>
      <c r="P31" s="96" t="s">
        <v>932</v>
      </c>
      <c r="Q31" s="52">
        <v>0</v>
      </c>
      <c r="R31" s="52">
        <f ca="1">ROUND(('TUSD BE'!$AM$53+'TUSD BF'!$AM$53+'TUSD CVA'!$AM$53)*(1-CUSTOS!$M$31),2)</f>
        <v>506.52</v>
      </c>
      <c r="S31" s="52">
        <f>ROUND(('TE BE'!$AA$41+'TE BF'!$AA$41+'TE CVA'!$AA$41)*(1-CUSTOS!$M$31),2)</f>
        <v>297.2</v>
      </c>
      <c r="T31" s="52">
        <v>0</v>
      </c>
      <c r="U31" s="52">
        <f ca="1">ROUND(('TUSD BE'!$AM$53)*(1-CUSTOS!$M$31),2)</f>
        <v>496.55</v>
      </c>
      <c r="V31" s="52">
        <f>ROUND(('TE BE'!$AA$41)*(1-CUSTOS!$M$31),2)</f>
        <v>282.97000000000003</v>
      </c>
    </row>
    <row r="32" spans="1:22" ht="11.25" customHeight="1" x14ac:dyDescent="0.25">
      <c r="L32" s="140" t="s">
        <v>49</v>
      </c>
      <c r="M32" s="140" t="s">
        <v>940</v>
      </c>
      <c r="N32" s="140" t="s">
        <v>945</v>
      </c>
      <c r="O32" s="96" t="s">
        <v>946</v>
      </c>
      <c r="P32" s="96" t="s">
        <v>932</v>
      </c>
      <c r="Q32" s="52">
        <v>0</v>
      </c>
      <c r="R32" s="52">
        <f ca="1">ROUND(('TUSD BE'!$AM$55+'TUSD BF'!$AM$55+'TUSD CVA'!$AM$55),2)</f>
        <v>278.58999999999997</v>
      </c>
      <c r="S32" s="52">
        <f>ROUND(('TE BE'!$AA$43+'TE BF'!$AA$43+'TE CVA'!$AA$43),2)</f>
        <v>163.46</v>
      </c>
      <c r="T32" s="52">
        <v>0</v>
      </c>
      <c r="U32" s="52">
        <f ca="1">ROUND(('TUSD BE'!$AM$55),2)</f>
        <v>273.10000000000002</v>
      </c>
      <c r="V32" s="52">
        <f>ROUND(('TE BE'!$AA$43),2)</f>
        <v>155.63</v>
      </c>
    </row>
    <row r="33" spans="12:22" ht="11.25" customHeight="1" x14ac:dyDescent="0.25">
      <c r="L33" s="142"/>
      <c r="M33" s="142"/>
      <c r="N33" s="142"/>
      <c r="O33" s="96" t="s">
        <v>947</v>
      </c>
      <c r="P33" s="96" t="s">
        <v>932</v>
      </c>
      <c r="Q33" s="52">
        <v>0</v>
      </c>
      <c r="R33" s="52">
        <f ca="1">ROUND(('TUSD BE'!$AM$56+'TUSD BF'!$AM$56+'TUSD CVA'!$AM$56),2)</f>
        <v>303.91000000000003</v>
      </c>
      <c r="S33" s="52">
        <f>ROUND(('TE BE'!$AA$44+'TE BF'!$AA$44+'TE CVA'!$AA$44),2)</f>
        <v>178.32</v>
      </c>
      <c r="T33" s="52">
        <v>0</v>
      </c>
      <c r="U33" s="52">
        <f ca="1">ROUND(('TUSD BE'!$AM$56),2)</f>
        <v>297.93</v>
      </c>
      <c r="V33" s="52">
        <f>ROUND(('TE BE'!$AA$44),2)</f>
        <v>169.78</v>
      </c>
    </row>
    <row r="34" spans="12:22" ht="11.25" customHeight="1" x14ac:dyDescent="0.25">
      <c r="L34" s="140" t="s">
        <v>95</v>
      </c>
      <c r="M34" s="140" t="s">
        <v>65</v>
      </c>
      <c r="N34" s="96" t="s">
        <v>96</v>
      </c>
      <c r="O34" s="96" t="s">
        <v>932</v>
      </c>
      <c r="P34" s="96" t="s">
        <v>932</v>
      </c>
      <c r="Q34" s="52">
        <f ca="1">ROUND(('TUSD BE'!$AM$20+'TUSD BF'!$AM$20+'TUSD CVA'!$AM$20),2)</f>
        <v>2.36</v>
      </c>
      <c r="R34" s="52">
        <v>0</v>
      </c>
      <c r="S34" s="52">
        <v>0</v>
      </c>
      <c r="T34" s="52">
        <f ca="1">ROUND(('TUSD BE'!$AM$20),2)</f>
        <v>2.37</v>
      </c>
      <c r="U34" s="52">
        <v>0</v>
      </c>
      <c r="V34" s="52">
        <v>0</v>
      </c>
    </row>
    <row r="35" spans="12:22" ht="11.25" customHeight="1" x14ac:dyDescent="0.25">
      <c r="L35" s="142"/>
      <c r="M35" s="142"/>
      <c r="N35" s="96" t="s">
        <v>97</v>
      </c>
      <c r="O35" s="96" t="s">
        <v>932</v>
      </c>
      <c r="P35" s="96" t="s">
        <v>932</v>
      </c>
      <c r="Q35" s="52">
        <f ca="1">ROUND(('TUSD BE'!$AM$21+'TUSD BF'!$AM$21+'TUSD CVA'!$AM$21),2)</f>
        <v>19.46</v>
      </c>
      <c r="R35" s="52">
        <v>0</v>
      </c>
      <c r="S35" s="52">
        <v>0</v>
      </c>
      <c r="T35" s="52">
        <f ca="1">ROUND(('TUSD BE'!$AM$21),2)</f>
        <v>19.52</v>
      </c>
      <c r="U35" s="52">
        <v>0</v>
      </c>
      <c r="V35" s="52">
        <v>0</v>
      </c>
    </row>
  </sheetData>
  <mergeCells count="56">
    <mergeCell ref="O5:O7"/>
    <mergeCell ref="O12:O14"/>
    <mergeCell ref="O17:O19"/>
    <mergeCell ref="O22:O24"/>
    <mergeCell ref="O27:O29"/>
    <mergeCell ref="M32:M33"/>
    <mergeCell ref="M34:M35"/>
    <mergeCell ref="N5:N7"/>
    <mergeCell ref="N12:N14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L5:L11"/>
    <mergeCell ref="L12:L26"/>
    <mergeCell ref="L27:L31"/>
    <mergeCell ref="L32:L33"/>
    <mergeCell ref="L34:L35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C17:C19"/>
    <mergeCell ref="A5:A9"/>
    <mergeCell ref="A10:A20"/>
    <mergeCell ref="B5:B6"/>
    <mergeCell ref="B7:B8"/>
    <mergeCell ref="B10:B11"/>
    <mergeCell ref="B12:B13"/>
    <mergeCell ref="B14:B16"/>
    <mergeCell ref="B17:B19"/>
    <mergeCell ref="C5:C6"/>
    <mergeCell ref="C7:C8"/>
    <mergeCell ref="C10:C11"/>
    <mergeCell ref="C12:C13"/>
    <mergeCell ref="C14:C16"/>
    <mergeCell ref="A1:J1"/>
    <mergeCell ref="A2:A4"/>
    <mergeCell ref="B2:B4"/>
    <mergeCell ref="C2:C4"/>
    <mergeCell ref="D2:D4"/>
    <mergeCell ref="E2:G2"/>
    <mergeCell ref="E3:F3"/>
    <mergeCell ref="H2:J2"/>
    <mergeCell ref="H3:I3"/>
  </mergeCells>
  <pageMargins left="0.511811024" right="0.511811024" top="0.78740157499999996" bottom="0.78740157499999996" header="0.31496062000000002" footer="0.31496062000000002"/>
  <pageSetup paperSize="9" orientation="portrait" horizontalDpi="30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B15FF-C3A2-410B-8B96-B0BE45AA3AFC}">
  <dimension ref="A1:AN2578"/>
  <sheetViews>
    <sheetView showGridLines="0" topLeftCell="AD1" workbookViewId="0">
      <selection activeCell="AF3" sqref="AF3:AJ13"/>
    </sheetView>
  </sheetViews>
  <sheetFormatPr defaultRowHeight="11.25" customHeight="1" x14ac:dyDescent="0.25"/>
  <cols>
    <col min="1" max="1" width="23.7109375" style="4" bestFit="1" customWidth="1"/>
    <col min="2" max="2" width="8.7109375" style="4" bestFit="1" customWidth="1"/>
    <col min="3" max="3" width="10.28515625" style="4" bestFit="1" customWidth="1"/>
    <col min="4" max="4" width="13.5703125" style="4" bestFit="1" customWidth="1"/>
    <col min="5" max="5" width="25.140625" style="4" bestFit="1" customWidth="1"/>
    <col min="6" max="6" width="13.28515625" style="4" bestFit="1" customWidth="1"/>
    <col min="7" max="7" width="15.42578125" style="4" bestFit="1" customWidth="1"/>
    <col min="8" max="8" width="10.28515625" style="4" bestFit="1" customWidth="1"/>
    <col min="9" max="9" width="8.7109375" style="5" bestFit="1" customWidth="1"/>
    <col min="10" max="10" width="10.5703125" style="6" bestFit="1" customWidth="1"/>
    <col min="11" max="12" width="10.85546875" style="6" bestFit="1" customWidth="1"/>
    <col min="13" max="13" width="13.7109375" style="6" bestFit="1" customWidth="1"/>
    <col min="14" max="14" width="14.140625" style="6" bestFit="1" customWidth="1"/>
    <col min="15" max="15" width="12.85546875" style="6" bestFit="1" customWidth="1"/>
    <col min="16" max="16" width="8.7109375" style="6" bestFit="1" customWidth="1"/>
    <col min="17" max="17" width="9.28515625" style="4" bestFit="1" customWidth="1"/>
    <col min="18" max="18" width="18.85546875" style="4" bestFit="1" customWidth="1"/>
    <col min="19" max="19" width="20.28515625" style="4" bestFit="1" customWidth="1"/>
    <col min="20" max="20" width="18.140625" style="4" bestFit="1" customWidth="1"/>
    <col min="21" max="21" width="17" style="4" bestFit="1" customWidth="1"/>
    <col min="22" max="22" width="18.5703125" style="4" bestFit="1" customWidth="1"/>
    <col min="23" max="23" width="16.28515625" style="4" bestFit="1" customWidth="1"/>
    <col min="24" max="24" width="16.7109375" style="4" bestFit="1" customWidth="1"/>
    <col min="25" max="25" width="18.28515625" style="4" bestFit="1" customWidth="1"/>
    <col min="26" max="26" width="16" style="4" bestFit="1" customWidth="1"/>
    <col min="27" max="27" width="16.85546875" style="4" bestFit="1" customWidth="1"/>
    <col min="28" max="28" width="18.42578125" style="4" bestFit="1" customWidth="1"/>
    <col min="29" max="29" width="16.140625" style="4" bestFit="1" customWidth="1"/>
    <col min="30" max="30" width="17.28515625" style="4" bestFit="1" customWidth="1"/>
    <col min="31" max="31" width="21.5703125" style="4" bestFit="1" customWidth="1"/>
    <col min="32" max="32" width="11.42578125" style="4" bestFit="1" customWidth="1"/>
    <col min="33" max="33" width="12.85546875" style="4" bestFit="1" customWidth="1"/>
    <col min="34" max="34" width="10.7109375" style="4" bestFit="1" customWidth="1"/>
    <col min="35" max="35" width="11.7109375" style="4" bestFit="1" customWidth="1"/>
    <col min="36" max="36" width="16" style="4" bestFit="1" customWidth="1"/>
    <col min="37" max="37" width="9.140625" style="4"/>
    <col min="38" max="38" width="8.7109375" style="4" bestFit="1" customWidth="1"/>
    <col min="39" max="39" width="5.5703125" style="4" bestFit="1" customWidth="1"/>
    <col min="40" max="40" width="14.7109375" style="4" bestFit="1" customWidth="1"/>
    <col min="41" max="16384" width="9.140625" style="4"/>
  </cols>
  <sheetData>
    <row r="1" spans="1:40" s="1" customFormat="1" ht="11.25" customHeight="1" x14ac:dyDescent="0.25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81" t="s">
        <v>8</v>
      </c>
      <c r="J1" s="80" t="s">
        <v>895</v>
      </c>
      <c r="K1" s="80" t="s">
        <v>896</v>
      </c>
      <c r="L1" s="80" t="s">
        <v>897</v>
      </c>
      <c r="M1" s="80" t="s">
        <v>898</v>
      </c>
      <c r="N1" s="80" t="s">
        <v>899</v>
      </c>
      <c r="O1" s="80" t="s">
        <v>900</v>
      </c>
      <c r="P1" s="79"/>
      <c r="Q1" s="134" t="s">
        <v>901</v>
      </c>
      <c r="R1" s="139"/>
      <c r="S1" s="139"/>
      <c r="T1" s="139"/>
      <c r="U1" s="139"/>
      <c r="V1" s="139"/>
      <c r="W1" s="139"/>
      <c r="X1" s="139"/>
      <c r="Y1" s="139"/>
      <c r="Z1" s="139"/>
      <c r="AA1" s="139"/>
      <c r="AB1" s="139"/>
      <c r="AC1" s="139"/>
      <c r="AD1" s="139"/>
      <c r="AE1" s="139"/>
      <c r="AF1" s="139"/>
      <c r="AG1" s="139"/>
      <c r="AH1" s="139"/>
      <c r="AI1" s="139"/>
      <c r="AJ1" s="139"/>
      <c r="AL1" s="56" t="s">
        <v>922</v>
      </c>
      <c r="AM1" s="56" t="s">
        <v>73</v>
      </c>
      <c r="AN1" s="56" t="s">
        <v>923</v>
      </c>
    </row>
    <row r="2" spans="1:40" ht="11.25" customHeight="1" x14ac:dyDescent="0.2">
      <c r="A2" s="57" t="s">
        <v>21</v>
      </c>
      <c r="B2" s="57" t="s">
        <v>43</v>
      </c>
      <c r="C2" s="57" t="s">
        <v>44</v>
      </c>
      <c r="D2" s="57" t="s">
        <v>45</v>
      </c>
      <c r="E2" s="57" t="s">
        <v>25</v>
      </c>
      <c r="F2" s="57" t="s">
        <v>25</v>
      </c>
      <c r="G2" s="57" t="s">
        <v>25</v>
      </c>
      <c r="H2" s="57" t="s">
        <v>38</v>
      </c>
      <c r="I2" s="82">
        <v>44136</v>
      </c>
      <c r="J2" s="83">
        <f ca="1">EFEITO!$J$2*EFEITO!$Y$2</f>
        <v>91041.689138876027</v>
      </c>
      <c r="K2" s="83">
        <f ca="1">EFEITO!$L$2*EFEITO!$Z$2</f>
        <v>0</v>
      </c>
      <c r="L2" s="83">
        <f>EFEITO!$N$2*EFEITO!$AA$2</f>
        <v>0</v>
      </c>
      <c r="M2" s="83">
        <f ca="1">$J$2-EFEITO!$K$2*EFEITO!$Y$2</f>
        <v>0</v>
      </c>
      <c r="N2" s="83">
        <f ca="1">$K$2-EFEITO!$M$2*EFEITO!$Z$2</f>
        <v>0</v>
      </c>
      <c r="O2" s="83">
        <f>$L$2-EFEITO!$O$2*EFEITO!$AA$2</f>
        <v>0</v>
      </c>
      <c r="P2" s="61"/>
      <c r="Q2" s="51" t="s">
        <v>76</v>
      </c>
      <c r="R2" s="51" t="s">
        <v>903</v>
      </c>
      <c r="S2" s="51" t="s">
        <v>904</v>
      </c>
      <c r="T2" s="51" t="s">
        <v>905</v>
      </c>
      <c r="U2" s="51" t="s">
        <v>906</v>
      </c>
      <c r="V2" s="51" t="s">
        <v>907</v>
      </c>
      <c r="W2" s="51" t="s">
        <v>908</v>
      </c>
      <c r="X2" s="84" t="s">
        <v>909</v>
      </c>
      <c r="Y2" s="84" t="s">
        <v>910</v>
      </c>
      <c r="Z2" s="84" t="s">
        <v>911</v>
      </c>
      <c r="AA2" s="84" t="s">
        <v>912</v>
      </c>
      <c r="AB2" s="84" t="s">
        <v>913</v>
      </c>
      <c r="AC2" s="84" t="s">
        <v>914</v>
      </c>
      <c r="AD2" s="84" t="s">
        <v>915</v>
      </c>
      <c r="AE2" s="84" t="s">
        <v>916</v>
      </c>
      <c r="AF2" s="84" t="s">
        <v>917</v>
      </c>
      <c r="AG2" s="84" t="s">
        <v>918</v>
      </c>
      <c r="AH2" s="84" t="s">
        <v>919</v>
      </c>
      <c r="AI2" s="84" t="s">
        <v>920</v>
      </c>
      <c r="AJ2" s="84" t="s">
        <v>921</v>
      </c>
      <c r="AL2" s="57"/>
      <c r="AM2" s="57"/>
      <c r="AN2" s="57"/>
    </row>
    <row r="3" spans="1:40" ht="11.25" customHeight="1" x14ac:dyDescent="0.2">
      <c r="A3" s="57" t="s">
        <v>21</v>
      </c>
      <c r="B3" s="57" t="s">
        <v>43</v>
      </c>
      <c r="C3" s="57" t="s">
        <v>44</v>
      </c>
      <c r="D3" s="57" t="s">
        <v>45</v>
      </c>
      <c r="E3" s="57" t="s">
        <v>25</v>
      </c>
      <c r="F3" s="57" t="s">
        <v>25</v>
      </c>
      <c r="G3" s="57" t="s">
        <v>25</v>
      </c>
      <c r="H3" s="57" t="s">
        <v>38</v>
      </c>
      <c r="I3" s="82">
        <v>44166</v>
      </c>
      <c r="J3" s="83">
        <f ca="1">EFEITO!$J$3*EFEITO!$Y$3</f>
        <v>91041.689138876027</v>
      </c>
      <c r="K3" s="83">
        <f ca="1">EFEITO!$L$3*EFEITO!$Z$3</f>
        <v>0</v>
      </c>
      <c r="L3" s="83">
        <f>EFEITO!$N$3*EFEITO!$AA$3</f>
        <v>0</v>
      </c>
      <c r="M3" s="83">
        <f ca="1">$J$3-EFEITO!$K$3*EFEITO!$Y$3</f>
        <v>0</v>
      </c>
      <c r="N3" s="83">
        <f ca="1">$K$3-EFEITO!$M$3*EFEITO!$Z$3</f>
        <v>0</v>
      </c>
      <c r="O3" s="83">
        <f>$L$3-EFEITO!$O$3*EFEITO!$AA$3</f>
        <v>0</v>
      </c>
      <c r="P3" s="61"/>
      <c r="Q3" s="83" t="s">
        <v>902</v>
      </c>
      <c r="R3" s="83">
        <f>SUMIF($B$2:$B$2578,$Q$3,$J$2:$J$2578)</f>
        <v>0</v>
      </c>
      <c r="S3" s="83">
        <f>SUMIF($B$2:$B$2578,$Q$3,$K$2:$K$2578)</f>
        <v>0</v>
      </c>
      <c r="T3" s="83">
        <f>SUMIF($B$2:$B$2578,$Q$3,$L$2:$L$2578)</f>
        <v>0</v>
      </c>
      <c r="U3" s="83">
        <f>SUMIF($B$2:$B$2578,$Q$3,$M$2:$M$2578)</f>
        <v>0</v>
      </c>
      <c r="V3" s="83">
        <f>SUMIF($B$2:$B$2578,$Q$3,$N$2:$N$2578)</f>
        <v>0</v>
      </c>
      <c r="W3" s="83">
        <f>SUMIF($B$2:$B$2578,$Q$3,$O$2:$O$2578)</f>
        <v>0</v>
      </c>
      <c r="X3" s="58">
        <f>$R$3-$U$3</f>
        <v>0</v>
      </c>
      <c r="Y3" s="58">
        <f>$S$3-$V$3</f>
        <v>0</v>
      </c>
      <c r="Z3" s="58">
        <f>$T$3-$W$3</f>
        <v>0</v>
      </c>
      <c r="AA3" s="58">
        <f>SUMIF(EFEITO!$B$2:$B$2578,$Q$3,EFEITO!$AE$2:$AE$2578)</f>
        <v>0</v>
      </c>
      <c r="AB3" s="58">
        <f>SUMIF(EFEITO!$B$2:$B$2578,$Q$3,EFEITO!$AF$2:$AF$2578)</f>
        <v>0</v>
      </c>
      <c r="AC3" s="58">
        <f>SUMIF(EFEITO!$B$2:$B$2578,$Q$3,EFEITO!$AG$2:$AH$2578)</f>
        <v>0</v>
      </c>
      <c r="AD3" s="58">
        <f>SUMIF(SUBSIDIO!$B$2:$B$2578,$Q$3,SUBSIDIO!$AD$2:$AD$2578)</f>
        <v>0</v>
      </c>
      <c r="AE3" s="58">
        <f>SUMIF(SUBSIDIO!$B$2:$B$2578,$Q$3,SUBSIDIO!$AE$2:$AE$2578)</f>
        <v>0</v>
      </c>
      <c r="AF3" s="92" t="str">
        <f>IF(ABS($X$3-$AA$3)&lt;0.01,"OK","ERRO")</f>
        <v>OK</v>
      </c>
      <c r="AG3" s="92" t="str">
        <f>IF(ABS($Y$3-$AB$3)&lt;0.01,"OK","ERRO")</f>
        <v>OK</v>
      </c>
      <c r="AH3" s="92" t="str">
        <f>IF(ABS($Z$3-$AC$3)&lt;0.01,"OK","ERRO")</f>
        <v>OK</v>
      </c>
      <c r="AI3" s="92" t="str">
        <f>IF(ABS($U$3-$AD$3)&lt;0.01,"OK","ERRO")</f>
        <v>OK</v>
      </c>
      <c r="AJ3" s="92" t="str">
        <f>IF(ABS(($V$3+$W$3)-$AE$3)&lt;0.01,"OK","ERRO")</f>
        <v>OK</v>
      </c>
    </row>
    <row r="4" spans="1:40" ht="11.25" customHeight="1" x14ac:dyDescent="0.2">
      <c r="A4" s="57" t="s">
        <v>21</v>
      </c>
      <c r="B4" s="57" t="s">
        <v>43</v>
      </c>
      <c r="C4" s="57" t="s">
        <v>44</v>
      </c>
      <c r="D4" s="57" t="s">
        <v>45</v>
      </c>
      <c r="E4" s="57" t="s">
        <v>25</v>
      </c>
      <c r="F4" s="57" t="s">
        <v>25</v>
      </c>
      <c r="G4" s="57" t="s">
        <v>25</v>
      </c>
      <c r="H4" s="57" t="s">
        <v>38</v>
      </c>
      <c r="I4" s="82">
        <v>44197</v>
      </c>
      <c r="J4" s="83">
        <f ca="1">EFEITO!$J$4*EFEITO!$Y$4</f>
        <v>84561.853612977371</v>
      </c>
      <c r="K4" s="83">
        <f ca="1">EFEITO!$L$4*EFEITO!$Z$4</f>
        <v>0</v>
      </c>
      <c r="L4" s="83">
        <f>EFEITO!$N$4*EFEITO!$AA$4</f>
        <v>0</v>
      </c>
      <c r="M4" s="83">
        <f ca="1">$J$4-EFEITO!$K$4*EFEITO!$Y$4</f>
        <v>0</v>
      </c>
      <c r="N4" s="83">
        <f ca="1">$K$4-EFEITO!$M$4*EFEITO!$Z$4</f>
        <v>0</v>
      </c>
      <c r="O4" s="83">
        <f>$L$4-EFEITO!$O$4*EFEITO!$AA$4</f>
        <v>0</v>
      </c>
      <c r="P4" s="61"/>
      <c r="Q4" s="83" t="s">
        <v>778</v>
      </c>
      <c r="R4" s="83">
        <f>SUMIF($B$2:$B$2578,$Q$4,$J$2:$J$2578)</f>
        <v>0</v>
      </c>
      <c r="S4" s="83">
        <f>SUMIF($B$2:$B$2578,$Q$4,$K$2:$K$2578)</f>
        <v>0</v>
      </c>
      <c r="T4" s="83">
        <f>SUMIF($B$2:$B$2578,$Q$4,$L$2:$L$2578)</f>
        <v>0</v>
      </c>
      <c r="U4" s="83">
        <f>SUMIF($B$2:$B$2578,$Q$4,$M$2:$M$2578)</f>
        <v>0</v>
      </c>
      <c r="V4" s="83">
        <f>SUMIF($B$2:$B$2578,$Q$4,$N$2:$N$2578)</f>
        <v>0</v>
      </c>
      <c r="W4" s="83">
        <f>SUMIF($B$2:$B$2578,$Q$4,$O$2:$O$2578)</f>
        <v>0</v>
      </c>
      <c r="X4" s="58">
        <f>$R$4-$U$4</f>
        <v>0</v>
      </c>
      <c r="Y4" s="58">
        <f>$S$4-$V$4</f>
        <v>0</v>
      </c>
      <c r="Z4" s="58">
        <f>$T$4-$W$4</f>
        <v>0</v>
      </c>
      <c r="AA4" s="58">
        <f>SUMIF(EFEITO!$B$2:$B$2578,$Q$4,EFEITO!$AE$2:$AE$2578)</f>
        <v>0</v>
      </c>
      <c r="AB4" s="58">
        <f>SUMIF(EFEITO!$B$2:$B$2578,$Q$4,EFEITO!$AF$2:$AF$2578)</f>
        <v>0</v>
      </c>
      <c r="AC4" s="58">
        <f>SUMIF(EFEITO!$B$2:$B$2578,$Q$4,EFEITO!$AG$2:$AH$2578)</f>
        <v>0</v>
      </c>
      <c r="AD4" s="58">
        <f>SUMIF(SUBSIDIO!$B$2:$B$2578,$Q$4,SUBSIDIO!$AD$2:$AD$2578)</f>
        <v>0</v>
      </c>
      <c r="AE4" s="58">
        <f>SUMIF(SUBSIDIO!$B$2:$B$2578,$Q$4,SUBSIDIO!$AE$2:$AE$2578)</f>
        <v>0</v>
      </c>
      <c r="AF4" s="92" t="str">
        <f>IF(ABS($X$4-$AA$4)&lt;0.01,"OK","ERRO")</f>
        <v>OK</v>
      </c>
      <c r="AG4" s="92" t="str">
        <f>IF(ABS($Y$4-$AB$4)&lt;0.01,"OK","ERRO")</f>
        <v>OK</v>
      </c>
      <c r="AH4" s="92" t="str">
        <f>IF(ABS($Z$4-$AC$4)&lt;0.01,"OK","ERRO")</f>
        <v>OK</v>
      </c>
      <c r="AI4" s="92" t="str">
        <f>IF(ABS($U$4-$AD$4)&lt;0.01,"OK","ERRO")</f>
        <v>OK</v>
      </c>
      <c r="AJ4" s="92" t="str">
        <f>IF(ABS(($V$4+$W$4)-$AE$4)&lt;0.01,"OK","ERRO")</f>
        <v>OK</v>
      </c>
    </row>
    <row r="5" spans="1:40" ht="11.25" customHeight="1" x14ac:dyDescent="0.2">
      <c r="A5" s="57" t="s">
        <v>21</v>
      </c>
      <c r="B5" s="57" t="s">
        <v>43</v>
      </c>
      <c r="C5" s="57" t="s">
        <v>44</v>
      </c>
      <c r="D5" s="57" t="s">
        <v>45</v>
      </c>
      <c r="E5" s="57" t="s">
        <v>25</v>
      </c>
      <c r="F5" s="57" t="s">
        <v>25</v>
      </c>
      <c r="G5" s="57" t="s">
        <v>25</v>
      </c>
      <c r="H5" s="57" t="s">
        <v>38</v>
      </c>
      <c r="I5" s="82">
        <v>44228</v>
      </c>
      <c r="J5" s="83">
        <f ca="1">EFEITO!$J$5*EFEITO!$Y$5</f>
        <v>84561.853612977371</v>
      </c>
      <c r="K5" s="83">
        <f ca="1">EFEITO!$L$5*EFEITO!$Z$5</f>
        <v>0</v>
      </c>
      <c r="L5" s="83">
        <f>EFEITO!$N$5*EFEITO!$AA$5</f>
        <v>0</v>
      </c>
      <c r="M5" s="83">
        <f ca="1">$J$5-EFEITO!$K$5*EFEITO!$Y$5</f>
        <v>0</v>
      </c>
      <c r="N5" s="83">
        <f ca="1">$K$5-EFEITO!$M$5*EFEITO!$Z$5</f>
        <v>0</v>
      </c>
      <c r="O5" s="83">
        <f>$L$5-EFEITO!$O$5*EFEITO!$AA$5</f>
        <v>0</v>
      </c>
      <c r="P5" s="61"/>
      <c r="Q5" s="83" t="s">
        <v>43</v>
      </c>
      <c r="R5" s="83">
        <f ca="1">SUMIF($B$2:$B$2578,$Q$5,$J$2:$J$2578)</f>
        <v>80997331.714646325</v>
      </c>
      <c r="S5" s="83">
        <f ca="1">SUMIF($B$2:$B$2578,$Q$5,$K$2:$K$2578)</f>
        <v>76684227.246600509</v>
      </c>
      <c r="T5" s="83">
        <f>SUMIF($B$2:$B$2578,$Q$5,$L$2:$L$2578)</f>
        <v>17367068.932474382</v>
      </c>
      <c r="U5" s="83">
        <f ca="1">SUMIF($B$2:$B$2578,$Q$5,$M$2:$M$2578)</f>
        <v>1733263.5222872077</v>
      </c>
      <c r="V5" s="83">
        <f ca="1">SUMIF($B$2:$B$2578,$Q$5,$N$2:$N$2578)</f>
        <v>434535.67588273564</v>
      </c>
      <c r="W5" s="83">
        <f>SUMIF($B$2:$B$2578,$Q$5,$O$2:$O$2578)</f>
        <v>0</v>
      </c>
      <c r="X5" s="58">
        <f ca="1">$R$5-$U$5</f>
        <v>79264068.19235912</v>
      </c>
      <c r="Y5" s="58">
        <f ca="1">$S$5-$V$5</f>
        <v>76249691.570717767</v>
      </c>
      <c r="Z5" s="58">
        <f>$T$5-$W$5</f>
        <v>17367068.932474382</v>
      </c>
      <c r="AA5" s="58">
        <f ca="1">SUMIF(EFEITO!$B$2:$B$2578,$Q$5,EFEITO!$AE$2:$AE$2578)</f>
        <v>79264068.192359045</v>
      </c>
      <c r="AB5" s="58">
        <f ca="1">SUMIF(EFEITO!$B$2:$B$2578,$Q$5,EFEITO!$AF$2:$AF$2578)</f>
        <v>76249691.570717767</v>
      </c>
      <c r="AC5" s="58">
        <f>SUMIF(EFEITO!$B$2:$B$2578,$Q$5,EFEITO!$AG$2:$AH$2578)</f>
        <v>17367068.932474382</v>
      </c>
      <c r="AD5" s="58">
        <f ca="1">SUMIF(SUBSIDIO!$B$2:$B$2578,$Q$5,SUBSIDIO!$AD$2:$AD$2578)</f>
        <v>1733263.5222872074</v>
      </c>
      <c r="AE5" s="58">
        <f ca="1">SUMIF(SUBSIDIO!$B$2:$B$2578,$Q$5,SUBSIDIO!$AE$2:$AE$2578)</f>
        <v>434535.67588273506</v>
      </c>
      <c r="AF5" s="92" t="str">
        <f ca="1">IF(ABS($X$5-$AA$5)&lt;0.01,"OK","ERRO")</f>
        <v>OK</v>
      </c>
      <c r="AG5" s="92" t="str">
        <f ca="1">IF(ABS($Y$5-$AB$5)&lt;0.01,"OK","ERRO")</f>
        <v>OK</v>
      </c>
      <c r="AH5" s="92" t="str">
        <f>IF(ABS($Z$5-$AC$5)&lt;0.01,"OK","ERRO")</f>
        <v>OK</v>
      </c>
      <c r="AI5" s="92" t="str">
        <f ca="1">IF(ABS($U$5-$AD$5)&lt;0.01,"OK","ERRO")</f>
        <v>OK</v>
      </c>
      <c r="AJ5" s="92" t="str">
        <f ca="1">IF(ABS(($V$5+$W$5)-$AE$5)&lt;0.01,"OK","ERRO")</f>
        <v>OK</v>
      </c>
    </row>
    <row r="6" spans="1:40" ht="11.25" customHeight="1" x14ac:dyDescent="0.2">
      <c r="A6" s="57" t="s">
        <v>21</v>
      </c>
      <c r="B6" s="57" t="s">
        <v>43</v>
      </c>
      <c r="C6" s="57" t="s">
        <v>44</v>
      </c>
      <c r="D6" s="57" t="s">
        <v>45</v>
      </c>
      <c r="E6" s="57" t="s">
        <v>25</v>
      </c>
      <c r="F6" s="57" t="s">
        <v>25</v>
      </c>
      <c r="G6" s="57" t="s">
        <v>25</v>
      </c>
      <c r="H6" s="57" t="s">
        <v>38</v>
      </c>
      <c r="I6" s="82">
        <v>44256</v>
      </c>
      <c r="J6" s="83">
        <f ca="1">EFEITO!$J$6*EFEITO!$Y$6</f>
        <v>84561.853612977371</v>
      </c>
      <c r="K6" s="83">
        <f ca="1">EFEITO!$L$6*EFEITO!$Z$6</f>
        <v>0</v>
      </c>
      <c r="L6" s="83">
        <f>EFEITO!$N$6*EFEITO!$AA$6</f>
        <v>0</v>
      </c>
      <c r="M6" s="83">
        <f ca="1">$J$6-EFEITO!$K$6*EFEITO!$Y$6</f>
        <v>0</v>
      </c>
      <c r="N6" s="83">
        <f ca="1">$K$6-EFEITO!$M$6*EFEITO!$Z$6</f>
        <v>0</v>
      </c>
      <c r="O6" s="83">
        <f>$L$6-EFEITO!$O$6*EFEITO!$AA$6</f>
        <v>0</v>
      </c>
      <c r="P6" s="61"/>
      <c r="Q6" s="83" t="s">
        <v>779</v>
      </c>
      <c r="R6" s="83">
        <f>SUMIF($B$2:$B$2578,$Q$6,$J$2:$J$2578)</f>
        <v>0</v>
      </c>
      <c r="S6" s="83">
        <f>SUMIF($B$2:$B$2578,$Q$6,$K$2:$K$2578)</f>
        <v>0</v>
      </c>
      <c r="T6" s="83">
        <f>SUMIF($B$2:$B$2578,$Q$6,$L$2:$L$2578)</f>
        <v>0</v>
      </c>
      <c r="U6" s="83">
        <f>SUMIF($B$2:$B$2578,$Q$6,$M$2:$M$2578)</f>
        <v>0</v>
      </c>
      <c r="V6" s="83">
        <f>SUMIF($B$2:$B$2578,$Q$6,$N$2:$N$2578)</f>
        <v>0</v>
      </c>
      <c r="W6" s="83">
        <f>SUMIF($B$2:$B$2578,$Q$6,$O$2:$O$2578)</f>
        <v>0</v>
      </c>
      <c r="X6" s="58">
        <f>$R$6-$U$6</f>
        <v>0</v>
      </c>
      <c r="Y6" s="58">
        <f>$S$6-$V$6</f>
        <v>0</v>
      </c>
      <c r="Z6" s="58">
        <f>$T$6-$W$6</f>
        <v>0</v>
      </c>
      <c r="AA6" s="58">
        <f>SUMIF(EFEITO!$B$2:$B$2578,$Q$6,EFEITO!$AE$2:$AE$2578)</f>
        <v>0</v>
      </c>
      <c r="AB6" s="58">
        <f>SUMIF(EFEITO!$B$2:$B$2578,$Q$6,EFEITO!$AF$2:$AF$2578)</f>
        <v>0</v>
      </c>
      <c r="AC6" s="58">
        <f>SUMIF(EFEITO!$B$2:$B$2578,$Q$6,EFEITO!$AG$2:$AH$2578)</f>
        <v>0</v>
      </c>
      <c r="AD6" s="58">
        <f>SUMIF(SUBSIDIO!$B$2:$B$2578,$Q$6,SUBSIDIO!$AD$2:$AD$2578)</f>
        <v>0</v>
      </c>
      <c r="AE6" s="58">
        <f>SUMIF(SUBSIDIO!$B$2:$B$2578,$Q$6,SUBSIDIO!$AE$2:$AE$2578)</f>
        <v>0</v>
      </c>
      <c r="AF6" s="92" t="str">
        <f>IF(ABS($X$6-$AA$6)&lt;0.01,"OK","ERRO")</f>
        <v>OK</v>
      </c>
      <c r="AG6" s="92" t="str">
        <f>IF(ABS($Y$6-$AB$6)&lt;0.01,"OK","ERRO")</f>
        <v>OK</v>
      </c>
      <c r="AH6" s="92" t="str">
        <f>IF(ABS($Z$6-$AC$6)&lt;0.01,"OK","ERRO")</f>
        <v>OK</v>
      </c>
      <c r="AI6" s="92" t="str">
        <f>IF(ABS($U$6-$AD$6)&lt;0.01,"OK","ERRO")</f>
        <v>OK</v>
      </c>
      <c r="AJ6" s="92" t="str">
        <f>IF(ABS(($V$6+$W$6)-$AE$6)&lt;0.01,"OK","ERRO")</f>
        <v>OK</v>
      </c>
    </row>
    <row r="7" spans="1:40" ht="11.25" customHeight="1" x14ac:dyDescent="0.2">
      <c r="A7" s="57" t="s">
        <v>21</v>
      </c>
      <c r="B7" s="57" t="s">
        <v>43</v>
      </c>
      <c r="C7" s="57" t="s">
        <v>44</v>
      </c>
      <c r="D7" s="57" t="s">
        <v>45</v>
      </c>
      <c r="E7" s="57" t="s">
        <v>25</v>
      </c>
      <c r="F7" s="57" t="s">
        <v>25</v>
      </c>
      <c r="G7" s="57" t="s">
        <v>25</v>
      </c>
      <c r="H7" s="57" t="s">
        <v>38</v>
      </c>
      <c r="I7" s="82">
        <v>44287</v>
      </c>
      <c r="J7" s="83">
        <f ca="1">EFEITO!$J$7*EFEITO!$Y$7</f>
        <v>84561.853612977371</v>
      </c>
      <c r="K7" s="83">
        <f ca="1">EFEITO!$L$7*EFEITO!$Z$7</f>
        <v>0</v>
      </c>
      <c r="L7" s="83">
        <f>EFEITO!$N$7*EFEITO!$AA$7</f>
        <v>0</v>
      </c>
      <c r="M7" s="83">
        <f ca="1">$J$7-EFEITO!$K$7*EFEITO!$Y$7</f>
        <v>0</v>
      </c>
      <c r="N7" s="83">
        <f ca="1">$K$7-EFEITO!$M$7*EFEITO!$Z$7</f>
        <v>0</v>
      </c>
      <c r="O7" s="83">
        <f>$L$7-EFEITO!$O$7*EFEITO!$AA$7</f>
        <v>0</v>
      </c>
      <c r="P7" s="61"/>
      <c r="Q7" s="83" t="s">
        <v>35</v>
      </c>
      <c r="R7" s="83">
        <f ca="1">SUMIF($B$2:$B$2578,$Q$7,$J$2:$J$2578)</f>
        <v>326113030.87614197</v>
      </c>
      <c r="S7" s="83">
        <f ca="1">SUMIF($B$2:$B$2578,$Q$7,$K$2:$K$2578)</f>
        <v>435512863.17640656</v>
      </c>
      <c r="T7" s="83">
        <f>SUMIF($B$2:$B$2578,$Q$7,$L$2:$L$2578)</f>
        <v>330748043.20686793</v>
      </c>
      <c r="U7" s="83">
        <f ca="1">SUMIF($B$2:$B$2578,$Q$7,$M$2:$M$2578)</f>
        <v>47613723.749105357</v>
      </c>
      <c r="V7" s="83">
        <f ca="1">SUMIF($B$2:$B$2578,$Q$7,$N$2:$N$2578)</f>
        <v>24319142.794616148</v>
      </c>
      <c r="W7" s="83">
        <f>SUMIF($B$2:$B$2578,$Q$7,$O$2:$O$2578)</f>
        <v>731853.08211026934</v>
      </c>
      <c r="X7" s="58">
        <f ca="1">$R$7-$U$7</f>
        <v>278499307.12703663</v>
      </c>
      <c r="Y7" s="58">
        <f ca="1">$S$7-$V$7</f>
        <v>411193720.3817904</v>
      </c>
      <c r="Z7" s="58">
        <f>$T$7-$W$7</f>
        <v>330016190.12475765</v>
      </c>
      <c r="AA7" s="58">
        <f ca="1">SUMIF(EFEITO!$B$2:$B$2578,$Q$7,EFEITO!$AE$2:$AE$2578)</f>
        <v>278499307.12703693</v>
      </c>
      <c r="AB7" s="58">
        <f ca="1">SUMIF(EFEITO!$B$2:$B$2578,$Q$7,EFEITO!$AF$2:$AF$2578)</f>
        <v>411193720.3817904</v>
      </c>
      <c r="AC7" s="58">
        <f>SUMIF(EFEITO!$B$2:$B$2578,$Q$7,EFEITO!$AG$2:$AH$2578)</f>
        <v>330016190.12475759</v>
      </c>
      <c r="AD7" s="58">
        <f ca="1">SUMIF(SUBSIDIO!$B$2:$B$2578,$Q$7,SUBSIDIO!$AD$2:$AD$2578)</f>
        <v>47613723.749105357</v>
      </c>
      <c r="AE7" s="58">
        <f ca="1">SUMIF(SUBSIDIO!$B$2:$B$2578,$Q$7,SUBSIDIO!$AE$2:$AE$2578)</f>
        <v>25050995.876726415</v>
      </c>
      <c r="AF7" s="92" t="str">
        <f ca="1">IF(ABS($X$7-$AA$7)&lt;0.01,"OK","ERRO")</f>
        <v>OK</v>
      </c>
      <c r="AG7" s="92" t="str">
        <f ca="1">IF(ABS($Y$7-$AB$7)&lt;0.01,"OK","ERRO")</f>
        <v>OK</v>
      </c>
      <c r="AH7" s="92" t="str">
        <f>IF(ABS($Z$7-$AC$7)&lt;0.01,"OK","ERRO")</f>
        <v>OK</v>
      </c>
      <c r="AI7" s="92" t="str">
        <f ca="1">IF(ABS($U$7-$AD$7)&lt;0.01,"OK","ERRO")</f>
        <v>OK</v>
      </c>
      <c r="AJ7" s="92" t="str">
        <f ca="1">IF(ABS(($V$7+$W$7)-$AE$7)&lt;0.01,"OK","ERRO")</f>
        <v>OK</v>
      </c>
    </row>
    <row r="8" spans="1:40" ht="11.25" customHeight="1" x14ac:dyDescent="0.2">
      <c r="A8" s="57" t="s">
        <v>21</v>
      </c>
      <c r="B8" s="57" t="s">
        <v>43</v>
      </c>
      <c r="C8" s="57" t="s">
        <v>44</v>
      </c>
      <c r="D8" s="57" t="s">
        <v>45</v>
      </c>
      <c r="E8" s="57" t="s">
        <v>25</v>
      </c>
      <c r="F8" s="57" t="s">
        <v>25</v>
      </c>
      <c r="G8" s="57" t="s">
        <v>25</v>
      </c>
      <c r="H8" s="57" t="s">
        <v>38</v>
      </c>
      <c r="I8" s="82">
        <v>44317</v>
      </c>
      <c r="J8" s="83">
        <f ca="1">EFEITO!$J$8*EFEITO!$Y$8</f>
        <v>84561.853612977371</v>
      </c>
      <c r="K8" s="83">
        <f ca="1">EFEITO!$L$8*EFEITO!$Z$8</f>
        <v>0</v>
      </c>
      <c r="L8" s="83">
        <f>EFEITO!$N$8*EFEITO!$AA$8</f>
        <v>0</v>
      </c>
      <c r="M8" s="83">
        <f ca="1">$J$8-EFEITO!$K$8*EFEITO!$Y$8</f>
        <v>0</v>
      </c>
      <c r="N8" s="83">
        <f ca="1">$K$8-EFEITO!$M$8*EFEITO!$Z$8</f>
        <v>0</v>
      </c>
      <c r="O8" s="83">
        <f>$L$8-EFEITO!$O$8*EFEITO!$AA$8</f>
        <v>0</v>
      </c>
      <c r="P8" s="61"/>
      <c r="Q8" s="83" t="s">
        <v>780</v>
      </c>
      <c r="R8" s="83">
        <f>SUMIF($B$2:$B$2578,$Q$8,$J$2:$J$2578)</f>
        <v>0</v>
      </c>
      <c r="S8" s="83">
        <f>SUMIF($B$2:$B$2578,$Q$8,$K$2:$K$2578)</f>
        <v>0</v>
      </c>
      <c r="T8" s="83">
        <f>SUMIF($B$2:$B$2578,$Q$8,$L$2:$L$2578)</f>
        <v>0</v>
      </c>
      <c r="U8" s="83">
        <f>SUMIF($B$2:$B$2578,$Q$8,$M$2:$M$2578)</f>
        <v>0</v>
      </c>
      <c r="V8" s="83">
        <f>SUMIF($B$2:$B$2578,$Q$8,$N$2:$N$2578)</f>
        <v>0</v>
      </c>
      <c r="W8" s="83">
        <f>SUMIF($B$2:$B$2578,$Q$8,$O$2:$O$2578)</f>
        <v>0</v>
      </c>
      <c r="X8" s="58">
        <f>$R$8-$U$8</f>
        <v>0</v>
      </c>
      <c r="Y8" s="58">
        <f>$S$8-$V$8</f>
        <v>0</v>
      </c>
      <c r="Z8" s="58">
        <f>$T$8-$W$8</f>
        <v>0</v>
      </c>
      <c r="AA8" s="58">
        <f>SUMIF(EFEITO!$B$2:$B$2578,$Q$8,EFEITO!$AE$2:$AE$2578)</f>
        <v>0</v>
      </c>
      <c r="AB8" s="58">
        <f>SUMIF(EFEITO!$B$2:$B$2578,$Q$8,EFEITO!$AF$2:$AF$2578)</f>
        <v>0</v>
      </c>
      <c r="AC8" s="58">
        <f>SUMIF(EFEITO!$B$2:$B$2578,$Q$8,EFEITO!$AG$2:$AH$2578)</f>
        <v>0</v>
      </c>
      <c r="AD8" s="58">
        <f>SUMIF(SUBSIDIO!$B$2:$B$2578,$Q$8,SUBSIDIO!$AD$2:$AD$2578)</f>
        <v>0</v>
      </c>
      <c r="AE8" s="58">
        <f>SUMIF(SUBSIDIO!$B$2:$B$2578,$Q$8,SUBSIDIO!$AE$2:$AE$2578)</f>
        <v>0</v>
      </c>
      <c r="AF8" s="92" t="str">
        <f>IF(ABS($X$8-$AA$8)&lt;0.01,"OK","ERRO")</f>
        <v>OK</v>
      </c>
      <c r="AG8" s="92" t="str">
        <f>IF(ABS($Y$8-$AB$8)&lt;0.01,"OK","ERRO")</f>
        <v>OK</v>
      </c>
      <c r="AH8" s="92" t="str">
        <f>IF(ABS($Z$8-$AC$8)&lt;0.01,"OK","ERRO")</f>
        <v>OK</v>
      </c>
      <c r="AI8" s="92" t="str">
        <f>IF(ABS($U$8-$AD$8)&lt;0.01,"OK","ERRO")</f>
        <v>OK</v>
      </c>
      <c r="AJ8" s="92" t="str">
        <f>IF(ABS(($V$8+$W$8)-$AE$8)&lt;0.01,"OK","ERRO")</f>
        <v>OK</v>
      </c>
    </row>
    <row r="9" spans="1:40" ht="11.25" customHeight="1" x14ac:dyDescent="0.2">
      <c r="A9" s="57" t="s">
        <v>21</v>
      </c>
      <c r="B9" s="57" t="s">
        <v>43</v>
      </c>
      <c r="C9" s="57" t="s">
        <v>44</v>
      </c>
      <c r="D9" s="57" t="s">
        <v>45</v>
      </c>
      <c r="E9" s="57" t="s">
        <v>25</v>
      </c>
      <c r="F9" s="57" t="s">
        <v>25</v>
      </c>
      <c r="G9" s="57" t="s">
        <v>25</v>
      </c>
      <c r="H9" s="57" t="s">
        <v>38</v>
      </c>
      <c r="I9" s="82">
        <v>44348</v>
      </c>
      <c r="J9" s="83">
        <f ca="1">EFEITO!$J$9*EFEITO!$Y$9</f>
        <v>84561.853612977371</v>
      </c>
      <c r="K9" s="83">
        <f ca="1">EFEITO!$L$9*EFEITO!$Z$9</f>
        <v>0</v>
      </c>
      <c r="L9" s="83">
        <f>EFEITO!$N$9*EFEITO!$AA$9</f>
        <v>0</v>
      </c>
      <c r="M9" s="83">
        <f ca="1">$J$9-EFEITO!$K$9*EFEITO!$Y$9</f>
        <v>0</v>
      </c>
      <c r="N9" s="83">
        <f ca="1">$K$9-EFEITO!$M$9*EFEITO!$Z$9</f>
        <v>0</v>
      </c>
      <c r="O9" s="83">
        <f>$L$9-EFEITO!$O$9*EFEITO!$AA$9</f>
        <v>0</v>
      </c>
      <c r="P9" s="61"/>
      <c r="Q9" s="83" t="s">
        <v>22</v>
      </c>
      <c r="R9" s="83">
        <f>SUMIF($B$2:$B$2578,$Q$9,$J$2:$J$2578)</f>
        <v>0</v>
      </c>
      <c r="S9" s="83">
        <f ca="1">SUMIF($B$2:$B$2578,$Q$9,$K$2:$K$2578)</f>
        <v>1055396684.4517839</v>
      </c>
      <c r="T9" s="83">
        <f>SUMIF($B$2:$B$2578,$Q$9,$L$2:$L$2578)</f>
        <v>629357536.96709406</v>
      </c>
      <c r="U9" s="83">
        <f>SUMIF($B$2:$B$2578,$Q$9,$M$2:$M$2578)</f>
        <v>0</v>
      </c>
      <c r="V9" s="83">
        <f ca="1">SUMIF($B$2:$B$2578,$Q$9,$N$2:$N$2578)</f>
        <v>47929603.494660214</v>
      </c>
      <c r="W9" s="83">
        <f>SUMIF($B$2:$B$2578,$Q$9,$O$2:$O$2578)</f>
        <v>30964226.473271035</v>
      </c>
      <c r="X9" s="58">
        <f>$R$9-$U$9</f>
        <v>0</v>
      </c>
      <c r="Y9" s="58">
        <f ca="1">$S$9-$V$9</f>
        <v>1007467080.9571236</v>
      </c>
      <c r="Z9" s="58">
        <f>$T$9-$W$9</f>
        <v>598393310.49382305</v>
      </c>
      <c r="AA9" s="58">
        <f>SUMIF(EFEITO!$B$2:$B$2578,$Q$9,EFEITO!$AE$2:$AE$2578)</f>
        <v>0</v>
      </c>
      <c r="AB9" s="58">
        <f ca="1">SUMIF(EFEITO!$B$2:$B$2578,$Q$9,EFEITO!$AF$2:$AF$2578)</f>
        <v>1007467080.9571235</v>
      </c>
      <c r="AC9" s="58">
        <f>SUMIF(EFEITO!$B$2:$B$2578,$Q$9,EFEITO!$AG$2:$AH$2578)</f>
        <v>598393310.49382269</v>
      </c>
      <c r="AD9" s="58">
        <f>SUMIF(SUBSIDIO!$B$2:$B$2578,$Q$9,SUBSIDIO!$AD$2:$AD$2578)</f>
        <v>0</v>
      </c>
      <c r="AE9" s="58">
        <f ca="1">SUMIF(SUBSIDIO!$B$2:$B$2578,$Q$9,SUBSIDIO!$AE$2:$AE$2578)</f>
        <v>78893829.967931241</v>
      </c>
      <c r="AF9" s="92" t="str">
        <f>IF(ABS($X$9-$AA$9)&lt;0.01,"OK","ERRO")</f>
        <v>OK</v>
      </c>
      <c r="AG9" s="92" t="str">
        <f ca="1">IF(ABS($Y$9-$AB$9)&lt;0.01,"OK","ERRO")</f>
        <v>OK</v>
      </c>
      <c r="AH9" s="92" t="str">
        <f>IF(ABS($Z$9-$AC$9)&lt;0.01,"OK","ERRO")</f>
        <v>OK</v>
      </c>
      <c r="AI9" s="92" t="str">
        <f>IF(ABS($U$9-$AD$9)&lt;0.01,"OK","ERRO")</f>
        <v>OK</v>
      </c>
      <c r="AJ9" s="92" t="str">
        <f ca="1">IF(ABS(($V$9+$W$9)-$AE$9)&lt;0.01,"OK","ERRO")</f>
        <v>OK</v>
      </c>
    </row>
    <row r="10" spans="1:40" ht="11.25" customHeight="1" x14ac:dyDescent="0.2">
      <c r="A10" s="57" t="s">
        <v>21</v>
      </c>
      <c r="B10" s="57" t="s">
        <v>43</v>
      </c>
      <c r="C10" s="57" t="s">
        <v>44</v>
      </c>
      <c r="D10" s="57" t="s">
        <v>45</v>
      </c>
      <c r="E10" s="57" t="s">
        <v>25</v>
      </c>
      <c r="F10" s="57" t="s">
        <v>25</v>
      </c>
      <c r="G10" s="57" t="s">
        <v>25</v>
      </c>
      <c r="H10" s="57" t="s">
        <v>38</v>
      </c>
      <c r="I10" s="82">
        <v>44378</v>
      </c>
      <c r="J10" s="83">
        <f ca="1">EFEITO!$J$10*EFEITO!$Y$10</f>
        <v>84561.853612977371</v>
      </c>
      <c r="K10" s="83">
        <f ca="1">EFEITO!$L$10*EFEITO!$Z$10</f>
        <v>0</v>
      </c>
      <c r="L10" s="83">
        <f>EFEITO!$N$10*EFEITO!$AA$10</f>
        <v>0</v>
      </c>
      <c r="M10" s="83">
        <f ca="1">$J$10-EFEITO!$K$10*EFEITO!$Y$10</f>
        <v>0</v>
      </c>
      <c r="N10" s="83">
        <f ca="1">$K$10-EFEITO!$M$10*EFEITO!$Z$10</f>
        <v>0</v>
      </c>
      <c r="O10" s="83">
        <f>$L$10-EFEITO!$O$10*EFEITO!$AA$10</f>
        <v>0</v>
      </c>
      <c r="P10" s="61"/>
      <c r="Q10" s="83" t="s">
        <v>46</v>
      </c>
      <c r="R10" s="83">
        <f>SUMIF($B$2:$B$2578,$Q$10,$J$2:$J$2578)</f>
        <v>0</v>
      </c>
      <c r="S10" s="83">
        <f ca="1">SUMIF($B$2:$B$2578,$Q$10,$K$2:$K$2578)</f>
        <v>32643142.245247837</v>
      </c>
      <c r="T10" s="83">
        <f>SUMIF($B$2:$B$2578,$Q$10,$L$2:$L$2578)</f>
        <v>19153460.65526953</v>
      </c>
      <c r="U10" s="83">
        <f>SUMIF($B$2:$B$2578,$Q$10,$M$2:$M$2578)</f>
        <v>0</v>
      </c>
      <c r="V10" s="83">
        <f ca="1">SUMIF($B$2:$B$2578,$Q$10,$N$2:$N$2578)</f>
        <v>3961827.3698843173</v>
      </c>
      <c r="W10" s="83">
        <f>SUMIF($B$2:$B$2578,$Q$10,$O$2:$O$2578)</f>
        <v>2324613.9433871619</v>
      </c>
      <c r="X10" s="58">
        <f>$R$10-$U$10</f>
        <v>0</v>
      </c>
      <c r="Y10" s="58">
        <f ca="1">$S$10-$V$10</f>
        <v>28681314.875363521</v>
      </c>
      <c r="Z10" s="58">
        <f>$T$10-$W$10</f>
        <v>16828846.711882368</v>
      </c>
      <c r="AA10" s="58">
        <f>SUMIF(EFEITO!$B$2:$B$2578,$Q$10,EFEITO!$AE$2:$AE$2578)</f>
        <v>0</v>
      </c>
      <c r="AB10" s="58">
        <f ca="1">SUMIF(EFEITO!$B$2:$B$2578,$Q$10,EFEITO!$AF$2:$AF$2578)</f>
        <v>28681314.875363518</v>
      </c>
      <c r="AC10" s="58">
        <f>SUMIF(EFEITO!$B$2:$B$2578,$Q$10,EFEITO!$AG$2:$AH$2578)</f>
        <v>16828846.711882364</v>
      </c>
      <c r="AD10" s="58">
        <f>SUMIF(SUBSIDIO!$B$2:$B$2578,$Q$10,SUBSIDIO!$AD$2:$AD$2578)</f>
        <v>0</v>
      </c>
      <c r="AE10" s="58">
        <f ca="1">SUMIF(SUBSIDIO!$B$2:$B$2578,$Q$10,SUBSIDIO!$AE$2:$AE$2578)</f>
        <v>6286441.3132714825</v>
      </c>
      <c r="AF10" s="92" t="str">
        <f>IF(ABS($X$10-$AA$10)&lt;0.01,"OK","ERRO")</f>
        <v>OK</v>
      </c>
      <c r="AG10" s="92" t="str">
        <f ca="1">IF(ABS($Y$10-$AB$10)&lt;0.01,"OK","ERRO")</f>
        <v>OK</v>
      </c>
      <c r="AH10" s="92" t="str">
        <f>IF(ABS($Z$10-$AC$10)&lt;0.01,"OK","ERRO")</f>
        <v>OK</v>
      </c>
      <c r="AI10" s="92" t="str">
        <f>IF(ABS($U$10-$AD$10)&lt;0.01,"OK","ERRO")</f>
        <v>OK</v>
      </c>
      <c r="AJ10" s="92" t="str">
        <f ca="1">IF(ABS(($V$10+$W$10)-$AE$10)&lt;0.01,"OK","ERRO")</f>
        <v>OK</v>
      </c>
    </row>
    <row r="11" spans="1:40" ht="11.25" customHeight="1" x14ac:dyDescent="0.2">
      <c r="A11" s="57" t="s">
        <v>21</v>
      </c>
      <c r="B11" s="57" t="s">
        <v>43</v>
      </c>
      <c r="C11" s="57" t="s">
        <v>44</v>
      </c>
      <c r="D11" s="57" t="s">
        <v>45</v>
      </c>
      <c r="E11" s="57" t="s">
        <v>25</v>
      </c>
      <c r="F11" s="57" t="s">
        <v>25</v>
      </c>
      <c r="G11" s="57" t="s">
        <v>25</v>
      </c>
      <c r="H11" s="57" t="s">
        <v>38</v>
      </c>
      <c r="I11" s="82">
        <v>44409</v>
      </c>
      <c r="J11" s="83">
        <f ca="1">EFEITO!$J$11*EFEITO!$Y$11</f>
        <v>84561.853612977371</v>
      </c>
      <c r="K11" s="83">
        <f ca="1">EFEITO!$L$11*EFEITO!$Z$11</f>
        <v>0</v>
      </c>
      <c r="L11" s="83">
        <f>EFEITO!$N$11*EFEITO!$AA$11</f>
        <v>0</v>
      </c>
      <c r="M11" s="83">
        <f ca="1">$J$11-EFEITO!$K$11*EFEITO!$Y$11</f>
        <v>0</v>
      </c>
      <c r="N11" s="83">
        <f ca="1">$K$11-EFEITO!$M$11*EFEITO!$Z$11</f>
        <v>0</v>
      </c>
      <c r="O11" s="83">
        <f>$L$11-EFEITO!$O$11*EFEITO!$AA$11</f>
        <v>0</v>
      </c>
      <c r="P11" s="61"/>
      <c r="Q11" s="83" t="s">
        <v>41</v>
      </c>
      <c r="R11" s="83">
        <f>SUMIF($B$2:$B$2578,$Q$11,$J$2:$J$2578)</f>
        <v>0</v>
      </c>
      <c r="S11" s="83">
        <f ca="1">SUMIF($B$2:$B$2578,$Q$11,$K$2:$K$2578)</f>
        <v>431695290.41051155</v>
      </c>
      <c r="T11" s="83">
        <f>SUMIF($B$2:$B$2578,$Q$11,$L$2:$L$2578)</f>
        <v>253315747.93178612</v>
      </c>
      <c r="U11" s="83">
        <f>SUMIF($B$2:$B$2578,$Q$11,$M$2:$M$2578)</f>
        <v>0</v>
      </c>
      <c r="V11" s="83">
        <f ca="1">SUMIF($B$2:$B$2578,$Q$11,$N$2:$N$2578)</f>
        <v>1219125.6843301142</v>
      </c>
      <c r="W11" s="83">
        <f>SUMIF($B$2:$B$2578,$Q$11,$O$2:$O$2578)</f>
        <v>715324.75196329795</v>
      </c>
      <c r="X11" s="58">
        <f>$R$11-$U$11</f>
        <v>0</v>
      </c>
      <c r="Y11" s="58">
        <f ca="1">$S$11-$V$11</f>
        <v>430476164.72618145</v>
      </c>
      <c r="Z11" s="58">
        <f>$T$11-$W$11</f>
        <v>252600423.17982283</v>
      </c>
      <c r="AA11" s="58">
        <f>SUMIF(EFEITO!$B$2:$B$2578,$Q$11,EFEITO!$AE$2:$AE$2578)</f>
        <v>0</v>
      </c>
      <c r="AB11" s="58">
        <f ca="1">SUMIF(EFEITO!$B$2:$B$2578,$Q$11,EFEITO!$AF$2:$AF$2578)</f>
        <v>430476164.72618139</v>
      </c>
      <c r="AC11" s="58">
        <f>SUMIF(EFEITO!$B$2:$B$2578,$Q$11,EFEITO!$AG$2:$AH$2578)</f>
        <v>252600423.1798228</v>
      </c>
      <c r="AD11" s="58">
        <f>SUMIF(SUBSIDIO!$B$2:$B$2578,$Q$11,SUBSIDIO!$AD$2:$AD$2578)</f>
        <v>0</v>
      </c>
      <c r="AE11" s="58">
        <f ca="1">SUMIF(SUBSIDIO!$B$2:$B$2578,$Q$11,SUBSIDIO!$AE$2:$AE$2578)</f>
        <v>1934450.4362934106</v>
      </c>
      <c r="AF11" s="92" t="str">
        <f>IF(ABS($X$11-$AA$11)&lt;0.01,"OK","ERRO")</f>
        <v>OK</v>
      </c>
      <c r="AG11" s="92" t="str">
        <f ca="1">IF(ABS($Y$11-$AB$11)&lt;0.01,"OK","ERRO")</f>
        <v>OK</v>
      </c>
      <c r="AH11" s="92" t="str">
        <f>IF(ABS($Z$11-$AC$11)&lt;0.01,"OK","ERRO")</f>
        <v>OK</v>
      </c>
      <c r="AI11" s="92" t="str">
        <f>IF(ABS($U$11-$AD$11)&lt;0.01,"OK","ERRO")</f>
        <v>OK</v>
      </c>
      <c r="AJ11" s="92" t="str">
        <f ca="1">IF(ABS(($V$11+$W$11)-$AE$11)&lt;0.01,"OK","ERRO")</f>
        <v>OK</v>
      </c>
    </row>
    <row r="12" spans="1:40" ht="11.25" customHeight="1" x14ac:dyDescent="0.2">
      <c r="A12" s="57" t="s">
        <v>21</v>
      </c>
      <c r="B12" s="57" t="s">
        <v>43</v>
      </c>
      <c r="C12" s="57" t="s">
        <v>44</v>
      </c>
      <c r="D12" s="57" t="s">
        <v>45</v>
      </c>
      <c r="E12" s="57" t="s">
        <v>25</v>
      </c>
      <c r="F12" s="57" t="s">
        <v>25</v>
      </c>
      <c r="G12" s="57" t="s">
        <v>25</v>
      </c>
      <c r="H12" s="57" t="s">
        <v>38</v>
      </c>
      <c r="I12" s="82">
        <v>44440</v>
      </c>
      <c r="J12" s="83">
        <f ca="1">EFEITO!$J$12*EFEITO!$Y$12</f>
        <v>84561.853612977371</v>
      </c>
      <c r="K12" s="83">
        <f ca="1">EFEITO!$L$12*EFEITO!$Z$12</f>
        <v>0</v>
      </c>
      <c r="L12" s="83">
        <f>EFEITO!$N$12*EFEITO!$AA$12</f>
        <v>0</v>
      </c>
      <c r="M12" s="83">
        <f ca="1">$J$12-EFEITO!$K$12*EFEITO!$Y$12</f>
        <v>0</v>
      </c>
      <c r="N12" s="83">
        <f ca="1">$K$12-EFEITO!$M$12*EFEITO!$Z$12</f>
        <v>0</v>
      </c>
      <c r="O12" s="83">
        <f>$L$12-EFEITO!$O$12*EFEITO!$AA$12</f>
        <v>0</v>
      </c>
      <c r="P12" s="61"/>
      <c r="Q12" s="83" t="s">
        <v>49</v>
      </c>
      <c r="R12" s="83">
        <f>SUMIF($B$2:$B$2578,$Q$12,$J$2:$J$2578)</f>
        <v>0</v>
      </c>
      <c r="S12" s="83">
        <f ca="1">SUMIF($B$2:$B$2578,$Q$12,$K$2:$K$2578)</f>
        <v>55767914.435582526</v>
      </c>
      <c r="T12" s="83">
        <f>SUMIF($B$2:$B$2578,$Q$12,$L$2:$L$2578)</f>
        <v>32721949.897285119</v>
      </c>
      <c r="U12" s="83">
        <f>SUMIF($B$2:$B$2578,$Q$12,$M$2:$M$2578)</f>
        <v>0</v>
      </c>
      <c r="V12" s="83">
        <f ca="1">SUMIF($B$2:$B$2578,$Q$12,$N$2:$N$2578)</f>
        <v>0</v>
      </c>
      <c r="W12" s="83">
        <f>SUMIF($B$2:$B$2578,$Q$12,$O$2:$O$2578)</f>
        <v>0</v>
      </c>
      <c r="X12" s="58">
        <f>$R$12-$U$12</f>
        <v>0</v>
      </c>
      <c r="Y12" s="58">
        <f ca="1">$S$12-$V$12</f>
        <v>55767914.435582526</v>
      </c>
      <c r="Z12" s="58">
        <f>$T$12-$W$12</f>
        <v>32721949.897285119</v>
      </c>
      <c r="AA12" s="58">
        <f>SUMIF(EFEITO!$B$2:$B$2578,$Q$12,EFEITO!$AE$2:$AE$2578)</f>
        <v>0</v>
      </c>
      <c r="AB12" s="58">
        <f ca="1">SUMIF(EFEITO!$B$2:$B$2578,$Q$12,EFEITO!$AF$2:$AF$2578)</f>
        <v>55767914.435582526</v>
      </c>
      <c r="AC12" s="58">
        <f>SUMIF(EFEITO!$B$2:$B$2578,$Q$12,EFEITO!$AG$2:$AH$2578)</f>
        <v>32721949.897285119</v>
      </c>
      <c r="AD12" s="58">
        <f>SUMIF(SUBSIDIO!$B$2:$B$2578,$Q$12,SUBSIDIO!$AD$2:$AD$2578)</f>
        <v>0</v>
      </c>
      <c r="AE12" s="58">
        <f>SUMIF(SUBSIDIO!$B$2:$B$2578,$Q$12,SUBSIDIO!$AE$2:$AE$2578)</f>
        <v>0</v>
      </c>
      <c r="AF12" s="92" t="str">
        <f>IF(ABS($X$12-$AA$12)&lt;0.01,"OK","ERRO")</f>
        <v>OK</v>
      </c>
      <c r="AG12" s="92" t="str">
        <f ca="1">IF(ABS($Y$12-$AB$12)&lt;0.01,"OK","ERRO")</f>
        <v>OK</v>
      </c>
      <c r="AH12" s="92" t="str">
        <f>IF(ABS($Z$12-$AC$12)&lt;0.01,"OK","ERRO")</f>
        <v>OK</v>
      </c>
      <c r="AI12" s="92" t="str">
        <f>IF(ABS($U$12-$AD$12)&lt;0.01,"OK","ERRO")</f>
        <v>OK</v>
      </c>
      <c r="AJ12" s="92" t="str">
        <f ca="1">IF(ABS(($V$12+$W$12)-$AE$12)&lt;0.01,"OK","ERRO")</f>
        <v>OK</v>
      </c>
    </row>
    <row r="13" spans="1:40" ht="11.25" customHeight="1" x14ac:dyDescent="0.2">
      <c r="A13" s="57" t="s">
        <v>59</v>
      </c>
      <c r="B13" s="57" t="s">
        <v>43</v>
      </c>
      <c r="C13" s="57" t="s">
        <v>44</v>
      </c>
      <c r="D13" s="57" t="s">
        <v>45</v>
      </c>
      <c r="E13" s="57" t="s">
        <v>25</v>
      </c>
      <c r="F13" s="57" t="s">
        <v>25</v>
      </c>
      <c r="G13" s="57" t="s">
        <v>25</v>
      </c>
      <c r="H13" s="57" t="s">
        <v>38</v>
      </c>
      <c r="I13" s="82">
        <v>44470</v>
      </c>
      <c r="J13" s="83">
        <f ca="1">EFEITO!$J$13*EFEITO!$Y$13</f>
        <v>84561.853612977371</v>
      </c>
      <c r="K13" s="83">
        <f ca="1">EFEITO!$L$13*EFEITO!$Z$13</f>
        <v>0</v>
      </c>
      <c r="L13" s="83">
        <f>EFEITO!$N$13*EFEITO!$AA$13</f>
        <v>0</v>
      </c>
      <c r="M13" s="83">
        <f ca="1">$J$13-EFEITO!$K$13*EFEITO!$Y$13</f>
        <v>0</v>
      </c>
      <c r="N13" s="83">
        <f ca="1">$K$13-EFEITO!$M$13*EFEITO!$Z$13</f>
        <v>0</v>
      </c>
      <c r="O13" s="83">
        <f>$L$13-EFEITO!$O$13*EFEITO!$AA$13</f>
        <v>0</v>
      </c>
      <c r="P13" s="61"/>
      <c r="Q13" s="83" t="s">
        <v>95</v>
      </c>
      <c r="R13" s="83">
        <f>SUMIF($B$2:$B$2578,$Q$13,$J$2:$J$2578)</f>
        <v>0</v>
      </c>
      <c r="S13" s="83">
        <f>SUMIF($B$2:$B$2578,$Q$13,$K$2:$K$2578)</f>
        <v>0</v>
      </c>
      <c r="T13" s="83">
        <f>SUMIF($B$2:$B$2578,$Q$13,$L$2:$L$2578)</f>
        <v>0</v>
      </c>
      <c r="U13" s="83">
        <f>SUMIF($B$2:$B$2578,$Q$13,$M$2:$M$2578)</f>
        <v>0</v>
      </c>
      <c r="V13" s="83">
        <f>SUMIF($B$2:$B$2578,$Q$13,$N$2:$N$2578)</f>
        <v>0</v>
      </c>
      <c r="W13" s="83">
        <f>SUMIF($B$2:$B$2578,$Q$13,$O$2:$O$2578)</f>
        <v>0</v>
      </c>
      <c r="X13" s="58">
        <f>$R$13-$U$13</f>
        <v>0</v>
      </c>
      <c r="Y13" s="58">
        <f>$S$13-$V$13</f>
        <v>0</v>
      </c>
      <c r="Z13" s="58">
        <f>$T$13-$W$13</f>
        <v>0</v>
      </c>
      <c r="AA13" s="58">
        <f>SUMIF(EFEITO!$B$2:$B$2578,$Q$13,EFEITO!$AE$2:$AE$2578)</f>
        <v>0</v>
      </c>
      <c r="AB13" s="58">
        <f>SUMIF(EFEITO!$B$2:$B$2578,$Q$13,EFEITO!$AF$2:$AF$2578)</f>
        <v>0</v>
      </c>
      <c r="AC13" s="58">
        <f>SUMIF(EFEITO!$B$2:$B$2578,$Q$13,EFEITO!$AG$2:$AH$2578)</f>
        <v>0</v>
      </c>
      <c r="AD13" s="58">
        <f>SUMIF(SUBSIDIO!$B$2:$B$2578,$Q$13,SUBSIDIO!$AD$2:$AD$2578)</f>
        <v>0</v>
      </c>
      <c r="AE13" s="58">
        <f>SUMIF(SUBSIDIO!$B$2:$B$2578,$Q$13,SUBSIDIO!$AE$2:$AE$2578)</f>
        <v>0</v>
      </c>
      <c r="AF13" s="92" t="str">
        <f>IF(ABS($X$13-$AA$13)&lt;0.01,"OK","ERRO")</f>
        <v>OK</v>
      </c>
      <c r="AG13" s="92" t="str">
        <f>IF(ABS($Y$13-$AB$13)&lt;0.01,"OK","ERRO")</f>
        <v>OK</v>
      </c>
      <c r="AH13" s="92" t="str">
        <f>IF(ABS($Z$13-$AC$13)&lt;0.01,"OK","ERRO")</f>
        <v>OK</v>
      </c>
      <c r="AI13" s="92" t="str">
        <f>IF(ABS($U$13-$AD$13)&lt;0.01,"OK","ERRO")</f>
        <v>OK</v>
      </c>
      <c r="AJ13" s="92" t="str">
        <f>IF(ABS(($V$13+$W$13)-$AE$13)&lt;0.01,"OK","ERRO")</f>
        <v>OK</v>
      </c>
    </row>
    <row r="14" spans="1:40" ht="11.25" customHeight="1" x14ac:dyDescent="0.2">
      <c r="A14" s="57" t="s">
        <v>21</v>
      </c>
      <c r="B14" s="57" t="s">
        <v>43</v>
      </c>
      <c r="C14" s="57" t="s">
        <v>44</v>
      </c>
      <c r="D14" s="57" t="s">
        <v>45</v>
      </c>
      <c r="E14" s="57" t="s">
        <v>25</v>
      </c>
      <c r="F14" s="57" t="s">
        <v>25</v>
      </c>
      <c r="G14" s="57" t="s">
        <v>25</v>
      </c>
      <c r="H14" s="57" t="s">
        <v>25</v>
      </c>
      <c r="I14" s="82">
        <v>44136</v>
      </c>
      <c r="J14" s="83">
        <f>EFEITO!$J$14*EFEITO!$Y$14</f>
        <v>0</v>
      </c>
      <c r="K14" s="83">
        <f ca="1">EFEITO!$L$14*EFEITO!$Z$14</f>
        <v>287036.44427415967</v>
      </c>
      <c r="L14" s="83">
        <f>EFEITO!$N$14*EFEITO!$AA$14</f>
        <v>0</v>
      </c>
      <c r="M14" s="83">
        <f>$J$14-EFEITO!$K$14*EFEITO!$Y$14</f>
        <v>0</v>
      </c>
      <c r="N14" s="83">
        <f ca="1">$K$14-EFEITO!$M$14*EFEITO!$Z$14</f>
        <v>0</v>
      </c>
      <c r="O14" s="83">
        <f>$L$14-EFEITO!$O$14*EFEITO!$AA$14</f>
        <v>0</v>
      </c>
      <c r="P14" s="61"/>
      <c r="Q14" s="61"/>
      <c r="R14" s="61"/>
      <c r="S14" s="61"/>
      <c r="T14" s="61"/>
      <c r="U14" s="61"/>
      <c r="V14" s="61"/>
      <c r="W14" s="61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spans="1:40" ht="11.25" customHeight="1" x14ac:dyDescent="0.2">
      <c r="A15" s="57" t="s">
        <v>21</v>
      </c>
      <c r="B15" s="57" t="s">
        <v>43</v>
      </c>
      <c r="C15" s="57" t="s">
        <v>44</v>
      </c>
      <c r="D15" s="57" t="s">
        <v>45</v>
      </c>
      <c r="E15" s="57" t="s">
        <v>25</v>
      </c>
      <c r="F15" s="57" t="s">
        <v>25</v>
      </c>
      <c r="G15" s="57" t="s">
        <v>25</v>
      </c>
      <c r="H15" s="57" t="s">
        <v>25</v>
      </c>
      <c r="I15" s="82">
        <v>44166</v>
      </c>
      <c r="J15" s="83">
        <f>EFEITO!$J$15*EFEITO!$Y$15</f>
        <v>0</v>
      </c>
      <c r="K15" s="83">
        <f ca="1">EFEITO!$L$15*EFEITO!$Z$15</f>
        <v>290064.56217904453</v>
      </c>
      <c r="L15" s="83">
        <f>EFEITO!$N$15*EFEITO!$AA$15</f>
        <v>0</v>
      </c>
      <c r="M15" s="83">
        <f>$J$15-EFEITO!$K$15*EFEITO!$Y$15</f>
        <v>0</v>
      </c>
      <c r="N15" s="83">
        <f ca="1">$K$15-EFEITO!$M$15*EFEITO!$Z$15</f>
        <v>0</v>
      </c>
      <c r="O15" s="83">
        <f>$L$15-EFEITO!$O$15*EFEITO!$AA$15</f>
        <v>0</v>
      </c>
      <c r="P15" s="61"/>
      <c r="Q15" s="61"/>
      <c r="R15" s="61"/>
      <c r="S15" s="61"/>
      <c r="T15" s="61"/>
      <c r="U15" s="61"/>
      <c r="V15" s="61"/>
      <c r="W15" s="61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spans="1:40" ht="11.25" customHeight="1" x14ac:dyDescent="0.2">
      <c r="A16" s="57" t="s">
        <v>21</v>
      </c>
      <c r="B16" s="57" t="s">
        <v>43</v>
      </c>
      <c r="C16" s="57" t="s">
        <v>44</v>
      </c>
      <c r="D16" s="57" t="s">
        <v>45</v>
      </c>
      <c r="E16" s="57" t="s">
        <v>25</v>
      </c>
      <c r="F16" s="57" t="s">
        <v>25</v>
      </c>
      <c r="G16" s="57" t="s">
        <v>25</v>
      </c>
      <c r="H16" s="57" t="s">
        <v>25</v>
      </c>
      <c r="I16" s="82">
        <v>44197</v>
      </c>
      <c r="J16" s="83">
        <f>EFEITO!$J$16*EFEITO!$Y$16</f>
        <v>0</v>
      </c>
      <c r="K16" s="83">
        <f ca="1">EFEITO!$L$16*EFEITO!$Z$16</f>
        <v>127956.728869247</v>
      </c>
      <c r="L16" s="83">
        <f>EFEITO!$N$16*EFEITO!$AA$16</f>
        <v>0</v>
      </c>
      <c r="M16" s="83">
        <f>$J$16-EFEITO!$K$16*EFEITO!$Y$16</f>
        <v>0</v>
      </c>
      <c r="N16" s="83">
        <f ca="1">$K$16-EFEITO!$M$16*EFEITO!$Z$16</f>
        <v>0</v>
      </c>
      <c r="O16" s="83">
        <f>$L$16-EFEITO!$O$16*EFEITO!$AA$16</f>
        <v>0</v>
      </c>
      <c r="P16" s="61"/>
      <c r="Q16" s="61"/>
      <c r="R16" s="61"/>
      <c r="S16" s="61"/>
      <c r="T16" s="61"/>
      <c r="U16" s="61"/>
      <c r="V16" s="61"/>
      <c r="W16" s="61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spans="1:36" ht="11.25" customHeight="1" x14ac:dyDescent="0.2">
      <c r="A17" s="57" t="s">
        <v>21</v>
      </c>
      <c r="B17" s="57" t="s">
        <v>43</v>
      </c>
      <c r="C17" s="57" t="s">
        <v>44</v>
      </c>
      <c r="D17" s="57" t="s">
        <v>45</v>
      </c>
      <c r="E17" s="57" t="s">
        <v>25</v>
      </c>
      <c r="F17" s="57" t="s">
        <v>25</v>
      </c>
      <c r="G17" s="57" t="s">
        <v>25</v>
      </c>
      <c r="H17" s="57" t="s">
        <v>25</v>
      </c>
      <c r="I17" s="82">
        <v>44228</v>
      </c>
      <c r="J17" s="83">
        <f>EFEITO!$J$17*EFEITO!$Y$17</f>
        <v>0</v>
      </c>
      <c r="K17" s="83">
        <f ca="1">EFEITO!$L$17*EFEITO!$Z$17</f>
        <v>119484.23680445082</v>
      </c>
      <c r="L17" s="83">
        <f>EFEITO!$N$17*EFEITO!$AA$17</f>
        <v>0</v>
      </c>
      <c r="M17" s="83">
        <f>$J$17-EFEITO!$K$17*EFEITO!$Y$17</f>
        <v>0</v>
      </c>
      <c r="N17" s="83">
        <f ca="1">$K$17-EFEITO!$M$17*EFEITO!$Z$17</f>
        <v>0</v>
      </c>
      <c r="O17" s="83">
        <f>$L$17-EFEITO!$O$17*EFEITO!$AA$17</f>
        <v>0</v>
      </c>
      <c r="P17" s="61"/>
      <c r="Q17" s="61"/>
      <c r="R17" s="61"/>
      <c r="S17" s="61"/>
      <c r="T17" s="61"/>
      <c r="U17" s="61"/>
      <c r="V17" s="61"/>
      <c r="W17" s="61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spans="1:36" ht="11.25" customHeight="1" x14ac:dyDescent="0.2">
      <c r="A18" s="57" t="s">
        <v>21</v>
      </c>
      <c r="B18" s="57" t="s">
        <v>43</v>
      </c>
      <c r="C18" s="57" t="s">
        <v>44</v>
      </c>
      <c r="D18" s="57" t="s">
        <v>45</v>
      </c>
      <c r="E18" s="57" t="s">
        <v>25</v>
      </c>
      <c r="F18" s="57" t="s">
        <v>25</v>
      </c>
      <c r="G18" s="57" t="s">
        <v>25</v>
      </c>
      <c r="H18" s="57" t="s">
        <v>25</v>
      </c>
      <c r="I18" s="82">
        <v>44256</v>
      </c>
      <c r="J18" s="83">
        <f>EFEITO!$J$18*EFEITO!$Y$18</f>
        <v>0</v>
      </c>
      <c r="K18" s="83">
        <f ca="1">EFEITO!$L$18*EFEITO!$Z$18</f>
        <v>207342.7916288024</v>
      </c>
      <c r="L18" s="83">
        <f>EFEITO!$N$18*EFEITO!$AA$18</f>
        <v>0</v>
      </c>
      <c r="M18" s="83">
        <f>$J$18-EFEITO!$K$18*EFEITO!$Y$18</f>
        <v>0</v>
      </c>
      <c r="N18" s="83">
        <f ca="1">$K$18-EFEITO!$M$18*EFEITO!$Z$18</f>
        <v>0</v>
      </c>
      <c r="O18" s="83">
        <f>$L$18-EFEITO!$O$18*EFEITO!$AA$18</f>
        <v>0</v>
      </c>
      <c r="P18" s="61"/>
      <c r="Q18" s="61"/>
      <c r="R18" s="61"/>
      <c r="S18" s="61"/>
      <c r="T18" s="61"/>
      <c r="U18" s="61"/>
      <c r="V18" s="61"/>
      <c r="W18" s="61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spans="1:36" ht="11.25" customHeight="1" x14ac:dyDescent="0.2">
      <c r="A19" s="57" t="s">
        <v>21</v>
      </c>
      <c r="B19" s="57" t="s">
        <v>43</v>
      </c>
      <c r="C19" s="57" t="s">
        <v>44</v>
      </c>
      <c r="D19" s="57" t="s">
        <v>45</v>
      </c>
      <c r="E19" s="57" t="s">
        <v>25</v>
      </c>
      <c r="F19" s="57" t="s">
        <v>25</v>
      </c>
      <c r="G19" s="57" t="s">
        <v>25</v>
      </c>
      <c r="H19" s="57" t="s">
        <v>25</v>
      </c>
      <c r="I19" s="82">
        <v>44287</v>
      </c>
      <c r="J19" s="83">
        <f>EFEITO!$J$19*EFEITO!$Y$19</f>
        <v>0</v>
      </c>
      <c r="K19" s="83">
        <f ca="1">EFEITO!$L$19*EFEITO!$Z$19</f>
        <v>233829.36664957041</v>
      </c>
      <c r="L19" s="83">
        <f>EFEITO!$N$19*EFEITO!$AA$19</f>
        <v>0</v>
      </c>
      <c r="M19" s="83">
        <f>$J$19-EFEITO!$K$19*EFEITO!$Y$19</f>
        <v>0</v>
      </c>
      <c r="N19" s="83">
        <f ca="1">$K$19-EFEITO!$M$19*EFEITO!$Z$19</f>
        <v>0</v>
      </c>
      <c r="O19" s="83">
        <f>$L$19-EFEITO!$O$19*EFEITO!$AA$19</f>
        <v>0</v>
      </c>
      <c r="P19" s="61"/>
      <c r="Q19" s="61"/>
      <c r="R19" s="61"/>
      <c r="S19" s="61"/>
      <c r="T19" s="61"/>
      <c r="U19" s="61"/>
      <c r="V19" s="61"/>
      <c r="W19" s="61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spans="1:36" ht="11.25" customHeight="1" x14ac:dyDescent="0.2">
      <c r="A20" s="57" t="s">
        <v>21</v>
      </c>
      <c r="B20" s="57" t="s">
        <v>43</v>
      </c>
      <c r="C20" s="57" t="s">
        <v>44</v>
      </c>
      <c r="D20" s="57" t="s">
        <v>45</v>
      </c>
      <c r="E20" s="57" t="s">
        <v>25</v>
      </c>
      <c r="F20" s="57" t="s">
        <v>25</v>
      </c>
      <c r="G20" s="57" t="s">
        <v>25</v>
      </c>
      <c r="H20" s="57" t="s">
        <v>25</v>
      </c>
      <c r="I20" s="82">
        <v>44317</v>
      </c>
      <c r="J20" s="83">
        <f>EFEITO!$J$20*EFEITO!$Y$20</f>
        <v>0</v>
      </c>
      <c r="K20" s="83">
        <f ca="1">EFEITO!$L$20*EFEITO!$Z$20</f>
        <v>269413.89968414931</v>
      </c>
      <c r="L20" s="83">
        <f>EFEITO!$N$20*EFEITO!$AA$20</f>
        <v>0</v>
      </c>
      <c r="M20" s="83">
        <f>$J$20-EFEITO!$K$20*EFEITO!$Y$20</f>
        <v>0</v>
      </c>
      <c r="N20" s="83">
        <f ca="1">$K$20-EFEITO!$M$20*EFEITO!$Z$20</f>
        <v>0</v>
      </c>
      <c r="O20" s="83">
        <f>$L$20-EFEITO!$O$20*EFEITO!$AA$20</f>
        <v>0</v>
      </c>
      <c r="P20" s="61"/>
      <c r="Q20" s="61"/>
      <c r="R20" s="61"/>
      <c r="S20" s="61"/>
      <c r="T20" s="61"/>
      <c r="U20" s="61"/>
      <c r="V20" s="61"/>
      <c r="W20" s="61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spans="1:36" ht="11.25" customHeight="1" x14ac:dyDescent="0.2">
      <c r="A21" s="57" t="s">
        <v>21</v>
      </c>
      <c r="B21" s="57" t="s">
        <v>43</v>
      </c>
      <c r="C21" s="57" t="s">
        <v>44</v>
      </c>
      <c r="D21" s="57" t="s">
        <v>45</v>
      </c>
      <c r="E21" s="57" t="s">
        <v>25</v>
      </c>
      <c r="F21" s="57" t="s">
        <v>25</v>
      </c>
      <c r="G21" s="57" t="s">
        <v>25</v>
      </c>
      <c r="H21" s="57" t="s">
        <v>25</v>
      </c>
      <c r="I21" s="82">
        <v>44348</v>
      </c>
      <c r="J21" s="83">
        <f>EFEITO!$J$21*EFEITO!$Y$21</f>
        <v>0</v>
      </c>
      <c r="K21" s="83">
        <f ca="1">EFEITO!$L$21*EFEITO!$Z$21</f>
        <v>127956.728869247</v>
      </c>
      <c r="L21" s="83">
        <f>EFEITO!$N$21*EFEITO!$AA$21</f>
        <v>0</v>
      </c>
      <c r="M21" s="83">
        <f>$J$21-EFEITO!$K$21*EFEITO!$Y$21</f>
        <v>0</v>
      </c>
      <c r="N21" s="83">
        <f ca="1">$K$21-EFEITO!$M$21*EFEITO!$Z$21</f>
        <v>0</v>
      </c>
      <c r="O21" s="83">
        <f>$L$21-EFEITO!$O$21*EFEITO!$AA$21</f>
        <v>0</v>
      </c>
      <c r="P21" s="61"/>
      <c r="Q21" s="61"/>
      <c r="R21" s="61"/>
      <c r="S21" s="61"/>
      <c r="T21" s="61"/>
      <c r="U21" s="61"/>
      <c r="V21" s="61"/>
      <c r="W21" s="61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spans="1:36" ht="11.25" customHeight="1" x14ac:dyDescent="0.2">
      <c r="A22" s="57" t="s">
        <v>21</v>
      </c>
      <c r="B22" s="57" t="s">
        <v>43</v>
      </c>
      <c r="C22" s="57" t="s">
        <v>44</v>
      </c>
      <c r="D22" s="57" t="s">
        <v>45</v>
      </c>
      <c r="E22" s="57" t="s">
        <v>25</v>
      </c>
      <c r="F22" s="57" t="s">
        <v>25</v>
      </c>
      <c r="G22" s="57" t="s">
        <v>25</v>
      </c>
      <c r="H22" s="57" t="s">
        <v>25</v>
      </c>
      <c r="I22" s="82">
        <v>44378</v>
      </c>
      <c r="J22" s="83">
        <f>EFEITO!$J$22*EFEITO!$Y$22</f>
        <v>0</v>
      </c>
      <c r="K22" s="83">
        <f ca="1">EFEITO!$L$22*EFEITO!$Z$22</f>
        <v>296381.93417018006</v>
      </c>
      <c r="L22" s="83">
        <f>EFEITO!$N$22*EFEITO!$AA$22</f>
        <v>0</v>
      </c>
      <c r="M22" s="83">
        <f>$J$22-EFEITO!$K$22*EFEITO!$Y$22</f>
        <v>0</v>
      </c>
      <c r="N22" s="83">
        <f ca="1">$K$22-EFEITO!$M$22*EFEITO!$Z$22</f>
        <v>0</v>
      </c>
      <c r="O22" s="83">
        <f>$L$22-EFEITO!$O$22*EFEITO!$AA$22</f>
        <v>0</v>
      </c>
      <c r="P22" s="61"/>
      <c r="Q22" s="61"/>
      <c r="R22" s="61"/>
      <c r="S22" s="61"/>
      <c r="T22" s="61"/>
      <c r="U22" s="61"/>
      <c r="V22" s="61"/>
      <c r="W22" s="61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spans="1:36" ht="11.25" customHeight="1" x14ac:dyDescent="0.2">
      <c r="A23" s="57" t="s">
        <v>21</v>
      </c>
      <c r="B23" s="57" t="s">
        <v>43</v>
      </c>
      <c r="C23" s="57" t="s">
        <v>44</v>
      </c>
      <c r="D23" s="57" t="s">
        <v>45</v>
      </c>
      <c r="E23" s="57" t="s">
        <v>25</v>
      </c>
      <c r="F23" s="57" t="s">
        <v>25</v>
      </c>
      <c r="G23" s="57" t="s">
        <v>25</v>
      </c>
      <c r="H23" s="57" t="s">
        <v>25</v>
      </c>
      <c r="I23" s="82">
        <v>44409</v>
      </c>
      <c r="J23" s="83">
        <f>EFEITO!$J$23*EFEITO!$Y$23</f>
        <v>0</v>
      </c>
      <c r="K23" s="83">
        <f ca="1">EFEITO!$L$23*EFEITO!$Z$23</f>
        <v>306500.54643288703</v>
      </c>
      <c r="L23" s="83">
        <f>EFEITO!$N$23*EFEITO!$AA$23</f>
        <v>0</v>
      </c>
      <c r="M23" s="83">
        <f>$J$23-EFEITO!$K$23*EFEITO!$Y$23</f>
        <v>0</v>
      </c>
      <c r="N23" s="83">
        <f ca="1">$K$23-EFEITO!$M$23*EFEITO!$Z$23</f>
        <v>0</v>
      </c>
      <c r="O23" s="83">
        <f>$L$23-EFEITO!$O$23*EFEITO!$AA$23</f>
        <v>0</v>
      </c>
      <c r="P23" s="61"/>
      <c r="Q23" s="61"/>
      <c r="R23" s="61"/>
      <c r="S23" s="61"/>
      <c r="T23" s="61"/>
      <c r="U23" s="61"/>
      <c r="V23" s="61"/>
      <c r="W23" s="61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spans="1:36" ht="11.25" customHeight="1" x14ac:dyDescent="0.2">
      <c r="A24" s="57" t="s">
        <v>21</v>
      </c>
      <c r="B24" s="57" t="s">
        <v>43</v>
      </c>
      <c r="C24" s="57" t="s">
        <v>44</v>
      </c>
      <c r="D24" s="57" t="s">
        <v>45</v>
      </c>
      <c r="E24" s="57" t="s">
        <v>25</v>
      </c>
      <c r="F24" s="57" t="s">
        <v>25</v>
      </c>
      <c r="G24" s="57" t="s">
        <v>25</v>
      </c>
      <c r="H24" s="57" t="s">
        <v>25</v>
      </c>
      <c r="I24" s="82">
        <v>44440</v>
      </c>
      <c r="J24" s="83">
        <f>EFEITO!$J$24*EFEITO!$Y$24</f>
        <v>0</v>
      </c>
      <c r="K24" s="83">
        <f ca="1">EFEITO!$L$24*EFEITO!$Z$24</f>
        <v>293521.71322561428</v>
      </c>
      <c r="L24" s="83">
        <f>EFEITO!$N$24*EFEITO!$AA$24</f>
        <v>0</v>
      </c>
      <c r="M24" s="83">
        <f>$J$24-EFEITO!$K$24*EFEITO!$Y$24</f>
        <v>0</v>
      </c>
      <c r="N24" s="83">
        <f ca="1">$K$24-EFEITO!$M$24*EFEITO!$Z$24</f>
        <v>0</v>
      </c>
      <c r="O24" s="83">
        <f>$L$24-EFEITO!$O$24*EFEITO!$AA$24</f>
        <v>0</v>
      </c>
      <c r="P24" s="61"/>
      <c r="Q24" s="61"/>
      <c r="R24" s="61"/>
      <c r="S24" s="61"/>
      <c r="T24" s="61"/>
      <c r="U24" s="61"/>
      <c r="V24" s="61"/>
      <c r="W24" s="61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spans="1:36" ht="11.25" customHeight="1" x14ac:dyDescent="0.2">
      <c r="A25" s="57" t="s">
        <v>59</v>
      </c>
      <c r="B25" s="57" t="s">
        <v>43</v>
      </c>
      <c r="C25" s="57" t="s">
        <v>44</v>
      </c>
      <c r="D25" s="57" t="s">
        <v>45</v>
      </c>
      <c r="E25" s="57" t="s">
        <v>25</v>
      </c>
      <c r="F25" s="57" t="s">
        <v>25</v>
      </c>
      <c r="G25" s="57" t="s">
        <v>25</v>
      </c>
      <c r="H25" s="57" t="s">
        <v>25</v>
      </c>
      <c r="I25" s="82">
        <v>44470</v>
      </c>
      <c r="J25" s="83">
        <f>EFEITO!$J$25*EFEITO!$Y$25</f>
        <v>0</v>
      </c>
      <c r="K25" s="83">
        <f ca="1">EFEITO!$L$25*EFEITO!$Z$25</f>
        <v>293521.71322561428</v>
      </c>
      <c r="L25" s="83">
        <f>EFEITO!$N$25*EFEITO!$AA$25</f>
        <v>0</v>
      </c>
      <c r="M25" s="83">
        <f>$J$25-EFEITO!$K$25*EFEITO!$Y$25</f>
        <v>0</v>
      </c>
      <c r="N25" s="83">
        <f ca="1">$K$25-EFEITO!$M$25*EFEITO!$Z$25</f>
        <v>0</v>
      </c>
      <c r="O25" s="83">
        <f>$L$25-EFEITO!$O$25*EFEITO!$AA$25</f>
        <v>0</v>
      </c>
      <c r="P25" s="61"/>
      <c r="Q25" s="61"/>
      <c r="R25" s="61"/>
      <c r="S25" s="61"/>
      <c r="T25" s="61"/>
      <c r="U25" s="61"/>
      <c r="V25" s="61"/>
      <c r="W25" s="61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spans="1:36" ht="11.25" customHeight="1" x14ac:dyDescent="0.2">
      <c r="A26" s="57" t="s">
        <v>21</v>
      </c>
      <c r="B26" s="57" t="s">
        <v>43</v>
      </c>
      <c r="C26" s="57" t="s">
        <v>44</v>
      </c>
      <c r="D26" s="57" t="s">
        <v>45</v>
      </c>
      <c r="E26" s="57" t="s">
        <v>25</v>
      </c>
      <c r="F26" s="57" t="s">
        <v>25</v>
      </c>
      <c r="G26" s="57" t="s">
        <v>25</v>
      </c>
      <c r="H26" s="57" t="s">
        <v>37</v>
      </c>
      <c r="I26" s="82">
        <v>44136</v>
      </c>
      <c r="J26" s="83">
        <f ca="1">EFEITO!$J$26*EFEITO!$Y$26</f>
        <v>105461.45787339896</v>
      </c>
      <c r="K26" s="83">
        <f ca="1">EFEITO!$L$26*EFEITO!$Z$26</f>
        <v>0</v>
      </c>
      <c r="L26" s="83">
        <f>EFEITO!$N$26*EFEITO!$AA$26</f>
        <v>0</v>
      </c>
      <c r="M26" s="83">
        <f ca="1">$J$26-EFEITO!$K$26*EFEITO!$Y$26</f>
        <v>0</v>
      </c>
      <c r="N26" s="83">
        <f ca="1">$K$26-EFEITO!$M$26*EFEITO!$Z$26</f>
        <v>0</v>
      </c>
      <c r="O26" s="83">
        <f>$L$26-EFEITO!$O$26*EFEITO!$AA$26</f>
        <v>0</v>
      </c>
      <c r="P26" s="61"/>
      <c r="Q26" s="61"/>
      <c r="R26" s="61"/>
      <c r="S26" s="61"/>
      <c r="T26" s="61"/>
      <c r="U26" s="61"/>
      <c r="V26" s="61"/>
      <c r="W26" s="61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spans="1:36" ht="11.25" customHeight="1" x14ac:dyDescent="0.2">
      <c r="A27" s="57" t="s">
        <v>21</v>
      </c>
      <c r="B27" s="57" t="s">
        <v>43</v>
      </c>
      <c r="C27" s="57" t="s">
        <v>44</v>
      </c>
      <c r="D27" s="57" t="s">
        <v>45</v>
      </c>
      <c r="E27" s="57" t="s">
        <v>25</v>
      </c>
      <c r="F27" s="57" t="s">
        <v>25</v>
      </c>
      <c r="G27" s="57" t="s">
        <v>25</v>
      </c>
      <c r="H27" s="57" t="s">
        <v>37</v>
      </c>
      <c r="I27" s="82">
        <v>44166</v>
      </c>
      <c r="J27" s="83">
        <f ca="1">EFEITO!$J$27*EFEITO!$Y$27</f>
        <v>105461.45787339896</v>
      </c>
      <c r="K27" s="83">
        <f ca="1">EFEITO!$L$27*EFEITO!$Z$27</f>
        <v>0</v>
      </c>
      <c r="L27" s="83">
        <f>EFEITO!$N$27*EFEITO!$AA$27</f>
        <v>0</v>
      </c>
      <c r="M27" s="83">
        <f ca="1">$J$27-EFEITO!$K$27*EFEITO!$Y$27</f>
        <v>0</v>
      </c>
      <c r="N27" s="83">
        <f ca="1">$K$27-EFEITO!$M$27*EFEITO!$Z$27</f>
        <v>0</v>
      </c>
      <c r="O27" s="83">
        <f>$L$27-EFEITO!$O$27*EFEITO!$AA$27</f>
        <v>0</v>
      </c>
      <c r="P27" s="61"/>
      <c r="Q27" s="61"/>
      <c r="R27" s="61"/>
      <c r="S27" s="61"/>
      <c r="T27" s="61"/>
      <c r="U27" s="61"/>
      <c r="V27" s="61"/>
      <c r="W27" s="61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spans="1:36" ht="11.25" customHeight="1" x14ac:dyDescent="0.2">
      <c r="A28" s="57" t="s">
        <v>21</v>
      </c>
      <c r="B28" s="57" t="s">
        <v>43</v>
      </c>
      <c r="C28" s="57" t="s">
        <v>44</v>
      </c>
      <c r="D28" s="57" t="s">
        <v>45</v>
      </c>
      <c r="E28" s="57" t="s">
        <v>25</v>
      </c>
      <c r="F28" s="57" t="s">
        <v>25</v>
      </c>
      <c r="G28" s="57" t="s">
        <v>25</v>
      </c>
      <c r="H28" s="57" t="s">
        <v>37</v>
      </c>
      <c r="I28" s="82">
        <v>44197</v>
      </c>
      <c r="J28" s="83">
        <f ca="1">EFEITO!$J$28*EFEITO!$Y$28</f>
        <v>97508.105092599639</v>
      </c>
      <c r="K28" s="83">
        <f ca="1">EFEITO!$L$28*EFEITO!$Z$28</f>
        <v>0</v>
      </c>
      <c r="L28" s="83">
        <f>EFEITO!$N$28*EFEITO!$AA$28</f>
        <v>0</v>
      </c>
      <c r="M28" s="83">
        <f ca="1">$J$28-EFEITO!$K$28*EFEITO!$Y$28</f>
        <v>0</v>
      </c>
      <c r="N28" s="83">
        <f ca="1">$K$28-EFEITO!$M$28*EFEITO!$Z$28</f>
        <v>0</v>
      </c>
      <c r="O28" s="83">
        <f>$L$28-EFEITO!$O$28*EFEITO!$AA$28</f>
        <v>0</v>
      </c>
      <c r="P28" s="61"/>
      <c r="Q28" s="61"/>
      <c r="R28" s="61"/>
      <c r="S28" s="61"/>
      <c r="T28" s="61"/>
      <c r="U28" s="61"/>
      <c r="V28" s="61"/>
      <c r="W28" s="61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spans="1:36" ht="11.25" customHeight="1" x14ac:dyDescent="0.2">
      <c r="A29" s="57" t="s">
        <v>21</v>
      </c>
      <c r="B29" s="57" t="s">
        <v>43</v>
      </c>
      <c r="C29" s="57" t="s">
        <v>44</v>
      </c>
      <c r="D29" s="57" t="s">
        <v>45</v>
      </c>
      <c r="E29" s="57" t="s">
        <v>25</v>
      </c>
      <c r="F29" s="57" t="s">
        <v>25</v>
      </c>
      <c r="G29" s="57" t="s">
        <v>25</v>
      </c>
      <c r="H29" s="57" t="s">
        <v>37</v>
      </c>
      <c r="I29" s="82">
        <v>44228</v>
      </c>
      <c r="J29" s="83">
        <f ca="1">EFEITO!$J$29*EFEITO!$Y$29</f>
        <v>97508.105092599639</v>
      </c>
      <c r="K29" s="83">
        <f ca="1">EFEITO!$L$29*EFEITO!$Z$29</f>
        <v>0</v>
      </c>
      <c r="L29" s="83">
        <f>EFEITO!$N$29*EFEITO!$AA$29</f>
        <v>0</v>
      </c>
      <c r="M29" s="83">
        <f ca="1">$J$29-EFEITO!$K$29*EFEITO!$Y$29</f>
        <v>0</v>
      </c>
      <c r="N29" s="83">
        <f ca="1">$K$29-EFEITO!$M$29*EFEITO!$Z$29</f>
        <v>0</v>
      </c>
      <c r="O29" s="83">
        <f>$L$29-EFEITO!$O$29*EFEITO!$AA$29</f>
        <v>0</v>
      </c>
      <c r="P29" s="61"/>
      <c r="Q29" s="61"/>
      <c r="R29" s="61"/>
      <c r="S29" s="61"/>
      <c r="T29" s="61"/>
      <c r="U29" s="61"/>
      <c r="V29" s="61"/>
      <c r="W29" s="61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spans="1:36" ht="11.25" customHeight="1" x14ac:dyDescent="0.2">
      <c r="A30" s="57" t="s">
        <v>21</v>
      </c>
      <c r="B30" s="57" t="s">
        <v>43</v>
      </c>
      <c r="C30" s="57" t="s">
        <v>44</v>
      </c>
      <c r="D30" s="57" t="s">
        <v>45</v>
      </c>
      <c r="E30" s="57" t="s">
        <v>25</v>
      </c>
      <c r="F30" s="57" t="s">
        <v>25</v>
      </c>
      <c r="G30" s="57" t="s">
        <v>25</v>
      </c>
      <c r="H30" s="57" t="s">
        <v>37</v>
      </c>
      <c r="I30" s="82">
        <v>44256</v>
      </c>
      <c r="J30" s="83">
        <f ca="1">EFEITO!$J$30*EFEITO!$Y$30</f>
        <v>97508.105092599639</v>
      </c>
      <c r="K30" s="83">
        <f ca="1">EFEITO!$L$30*EFEITO!$Z$30</f>
        <v>0</v>
      </c>
      <c r="L30" s="83">
        <f>EFEITO!$N$30*EFEITO!$AA$30</f>
        <v>0</v>
      </c>
      <c r="M30" s="83">
        <f ca="1">$J$30-EFEITO!$K$30*EFEITO!$Y$30</f>
        <v>0</v>
      </c>
      <c r="N30" s="83">
        <f ca="1">$K$30-EFEITO!$M$30*EFEITO!$Z$30</f>
        <v>0</v>
      </c>
      <c r="O30" s="83">
        <f>$L$30-EFEITO!$O$30*EFEITO!$AA$30</f>
        <v>0</v>
      </c>
      <c r="P30" s="61"/>
      <c r="Q30" s="61"/>
      <c r="R30" s="61"/>
      <c r="S30" s="61"/>
      <c r="T30" s="61"/>
      <c r="U30" s="61"/>
      <c r="V30" s="61"/>
      <c r="W30" s="61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spans="1:36" ht="11.25" customHeight="1" x14ac:dyDescent="0.2">
      <c r="A31" s="57" t="s">
        <v>21</v>
      </c>
      <c r="B31" s="57" t="s">
        <v>43</v>
      </c>
      <c r="C31" s="57" t="s">
        <v>44</v>
      </c>
      <c r="D31" s="57" t="s">
        <v>45</v>
      </c>
      <c r="E31" s="57" t="s">
        <v>25</v>
      </c>
      <c r="F31" s="57" t="s">
        <v>25</v>
      </c>
      <c r="G31" s="57" t="s">
        <v>25</v>
      </c>
      <c r="H31" s="57" t="s">
        <v>37</v>
      </c>
      <c r="I31" s="82">
        <v>44287</v>
      </c>
      <c r="J31" s="83">
        <f ca="1">EFEITO!$J$31*EFEITO!$Y$31</f>
        <v>97508.105092599639</v>
      </c>
      <c r="K31" s="83">
        <f ca="1">EFEITO!$L$31*EFEITO!$Z$31</f>
        <v>0</v>
      </c>
      <c r="L31" s="83">
        <f>EFEITO!$N$31*EFEITO!$AA$31</f>
        <v>0</v>
      </c>
      <c r="M31" s="83">
        <f ca="1">$J$31-EFEITO!$K$31*EFEITO!$Y$31</f>
        <v>0</v>
      </c>
      <c r="N31" s="83">
        <f ca="1">$K$31-EFEITO!$M$31*EFEITO!$Z$31</f>
        <v>0</v>
      </c>
      <c r="O31" s="83">
        <f>$L$31-EFEITO!$O$31*EFEITO!$AA$31</f>
        <v>0</v>
      </c>
      <c r="P31" s="61"/>
      <c r="Q31" s="61"/>
      <c r="R31" s="61"/>
      <c r="S31" s="61"/>
      <c r="T31" s="61"/>
      <c r="U31" s="61"/>
      <c r="V31" s="61"/>
      <c r="W31" s="61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spans="1:36" ht="11.25" customHeight="1" x14ac:dyDescent="0.2">
      <c r="A32" s="57" t="s">
        <v>21</v>
      </c>
      <c r="B32" s="57" t="s">
        <v>43</v>
      </c>
      <c r="C32" s="57" t="s">
        <v>44</v>
      </c>
      <c r="D32" s="57" t="s">
        <v>45</v>
      </c>
      <c r="E32" s="57" t="s">
        <v>25</v>
      </c>
      <c r="F32" s="57" t="s">
        <v>25</v>
      </c>
      <c r="G32" s="57" t="s">
        <v>25</v>
      </c>
      <c r="H32" s="57" t="s">
        <v>37</v>
      </c>
      <c r="I32" s="82">
        <v>44317</v>
      </c>
      <c r="J32" s="83">
        <f ca="1">EFEITO!$J$32*EFEITO!$Y$32</f>
        <v>97508.105092599639</v>
      </c>
      <c r="K32" s="83">
        <f ca="1">EFEITO!$L$32*EFEITO!$Z$32</f>
        <v>0</v>
      </c>
      <c r="L32" s="83">
        <f>EFEITO!$N$32*EFEITO!$AA$32</f>
        <v>0</v>
      </c>
      <c r="M32" s="83">
        <f ca="1">$J$32-EFEITO!$K$32*EFEITO!$Y$32</f>
        <v>0</v>
      </c>
      <c r="N32" s="83">
        <f ca="1">$K$32-EFEITO!$M$32*EFEITO!$Z$32</f>
        <v>0</v>
      </c>
      <c r="O32" s="83">
        <f>$L$32-EFEITO!$O$32*EFEITO!$AA$32</f>
        <v>0</v>
      </c>
      <c r="P32" s="61"/>
      <c r="Q32" s="61"/>
      <c r="R32" s="61"/>
      <c r="S32" s="61"/>
      <c r="T32" s="61"/>
      <c r="U32" s="61"/>
      <c r="V32" s="61"/>
      <c r="W32" s="61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spans="1:36" ht="11.25" customHeight="1" x14ac:dyDescent="0.2">
      <c r="A33" s="57" t="s">
        <v>21</v>
      </c>
      <c r="B33" s="57" t="s">
        <v>43</v>
      </c>
      <c r="C33" s="57" t="s">
        <v>44</v>
      </c>
      <c r="D33" s="57" t="s">
        <v>45</v>
      </c>
      <c r="E33" s="57" t="s">
        <v>25</v>
      </c>
      <c r="F33" s="57" t="s">
        <v>25</v>
      </c>
      <c r="G33" s="57" t="s">
        <v>25</v>
      </c>
      <c r="H33" s="57" t="s">
        <v>37</v>
      </c>
      <c r="I33" s="82">
        <v>44348</v>
      </c>
      <c r="J33" s="83">
        <f ca="1">EFEITO!$J$33*EFEITO!$Y$33</f>
        <v>97508.105092599639</v>
      </c>
      <c r="K33" s="83">
        <f ca="1">EFEITO!$L$33*EFEITO!$Z$33</f>
        <v>0</v>
      </c>
      <c r="L33" s="83">
        <f>EFEITO!$N$33*EFEITO!$AA$33</f>
        <v>0</v>
      </c>
      <c r="M33" s="83">
        <f ca="1">$J$33-EFEITO!$K$33*EFEITO!$Y$33</f>
        <v>0</v>
      </c>
      <c r="N33" s="83">
        <f ca="1">$K$33-EFEITO!$M$33*EFEITO!$Z$33</f>
        <v>0</v>
      </c>
      <c r="O33" s="83">
        <f>$L$33-EFEITO!$O$33*EFEITO!$AA$33</f>
        <v>0</v>
      </c>
      <c r="P33" s="61"/>
      <c r="Q33" s="61"/>
      <c r="R33" s="61"/>
      <c r="S33" s="61"/>
      <c r="T33" s="61"/>
      <c r="U33" s="61"/>
      <c r="V33" s="61"/>
      <c r="W33" s="61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spans="1:36" ht="11.25" customHeight="1" x14ac:dyDescent="0.2">
      <c r="A34" s="57" t="s">
        <v>21</v>
      </c>
      <c r="B34" s="57" t="s">
        <v>43</v>
      </c>
      <c r="C34" s="57" t="s">
        <v>44</v>
      </c>
      <c r="D34" s="57" t="s">
        <v>45</v>
      </c>
      <c r="E34" s="57" t="s">
        <v>25</v>
      </c>
      <c r="F34" s="57" t="s">
        <v>25</v>
      </c>
      <c r="G34" s="57" t="s">
        <v>25</v>
      </c>
      <c r="H34" s="57" t="s">
        <v>37</v>
      </c>
      <c r="I34" s="82">
        <v>44378</v>
      </c>
      <c r="J34" s="83">
        <f ca="1">EFEITO!$J$34*EFEITO!$Y$34</f>
        <v>97508.105092599639</v>
      </c>
      <c r="K34" s="83">
        <f ca="1">EFEITO!$L$34*EFEITO!$Z$34</f>
        <v>0</v>
      </c>
      <c r="L34" s="83">
        <f>EFEITO!$N$34*EFEITO!$AA$34</f>
        <v>0</v>
      </c>
      <c r="M34" s="83">
        <f ca="1">$J$34-EFEITO!$K$34*EFEITO!$Y$34</f>
        <v>0</v>
      </c>
      <c r="N34" s="83">
        <f ca="1">$K$34-EFEITO!$M$34*EFEITO!$Z$34</f>
        <v>0</v>
      </c>
      <c r="O34" s="83">
        <f>$L$34-EFEITO!$O$34*EFEITO!$AA$34</f>
        <v>0</v>
      </c>
      <c r="P34" s="61"/>
      <c r="Q34" s="61"/>
      <c r="R34" s="61"/>
      <c r="S34" s="61"/>
      <c r="T34" s="61"/>
      <c r="U34" s="61"/>
      <c r="V34" s="61"/>
      <c r="W34" s="61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spans="1:36" ht="11.25" customHeight="1" x14ac:dyDescent="0.2">
      <c r="A35" s="57" t="s">
        <v>21</v>
      </c>
      <c r="B35" s="57" t="s">
        <v>43</v>
      </c>
      <c r="C35" s="57" t="s">
        <v>44</v>
      </c>
      <c r="D35" s="57" t="s">
        <v>45</v>
      </c>
      <c r="E35" s="57" t="s">
        <v>25</v>
      </c>
      <c r="F35" s="57" t="s">
        <v>25</v>
      </c>
      <c r="G35" s="57" t="s">
        <v>25</v>
      </c>
      <c r="H35" s="57" t="s">
        <v>37</v>
      </c>
      <c r="I35" s="82">
        <v>44409</v>
      </c>
      <c r="J35" s="83">
        <f ca="1">EFEITO!$J$35*EFEITO!$Y$35</f>
        <v>97508.105092599639</v>
      </c>
      <c r="K35" s="83">
        <f ca="1">EFEITO!$L$35*EFEITO!$Z$35</f>
        <v>0</v>
      </c>
      <c r="L35" s="83">
        <f>EFEITO!$N$35*EFEITO!$AA$35</f>
        <v>0</v>
      </c>
      <c r="M35" s="83">
        <f ca="1">$J$35-EFEITO!$K$35*EFEITO!$Y$35</f>
        <v>0</v>
      </c>
      <c r="N35" s="83">
        <f ca="1">$K$35-EFEITO!$M$35*EFEITO!$Z$35</f>
        <v>0</v>
      </c>
      <c r="O35" s="83">
        <f>$L$35-EFEITO!$O$35*EFEITO!$AA$35</f>
        <v>0</v>
      </c>
      <c r="P35" s="61"/>
      <c r="Q35" s="61"/>
      <c r="R35" s="61"/>
      <c r="S35" s="61"/>
      <c r="T35" s="61"/>
      <c r="U35" s="61"/>
      <c r="V35" s="61"/>
      <c r="W35" s="61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spans="1:36" ht="11.25" customHeight="1" x14ac:dyDescent="0.2">
      <c r="A36" s="57" t="s">
        <v>21</v>
      </c>
      <c r="B36" s="57" t="s">
        <v>43</v>
      </c>
      <c r="C36" s="57" t="s">
        <v>44</v>
      </c>
      <c r="D36" s="57" t="s">
        <v>45</v>
      </c>
      <c r="E36" s="57" t="s">
        <v>25</v>
      </c>
      <c r="F36" s="57" t="s">
        <v>25</v>
      </c>
      <c r="G36" s="57" t="s">
        <v>25</v>
      </c>
      <c r="H36" s="57" t="s">
        <v>37</v>
      </c>
      <c r="I36" s="82">
        <v>44440</v>
      </c>
      <c r="J36" s="83">
        <f ca="1">EFEITO!$J$36*EFEITO!$Y$36</f>
        <v>97508.105092599639</v>
      </c>
      <c r="K36" s="83">
        <f ca="1">EFEITO!$L$36*EFEITO!$Z$36</f>
        <v>0</v>
      </c>
      <c r="L36" s="83">
        <f>EFEITO!$N$36*EFEITO!$AA$36</f>
        <v>0</v>
      </c>
      <c r="M36" s="83">
        <f ca="1">$J$36-EFEITO!$K$36*EFEITO!$Y$36</f>
        <v>0</v>
      </c>
      <c r="N36" s="83">
        <f ca="1">$K$36-EFEITO!$M$36*EFEITO!$Z$36</f>
        <v>0</v>
      </c>
      <c r="O36" s="83">
        <f>$L$36-EFEITO!$O$36*EFEITO!$AA$36</f>
        <v>0</v>
      </c>
      <c r="P36" s="61"/>
      <c r="Q36" s="61"/>
      <c r="R36" s="61"/>
      <c r="S36" s="61"/>
      <c r="T36" s="61"/>
      <c r="U36" s="61"/>
      <c r="V36" s="61"/>
      <c r="W36" s="61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spans="1:36" ht="11.25" customHeight="1" x14ac:dyDescent="0.2">
      <c r="A37" s="57" t="s">
        <v>59</v>
      </c>
      <c r="B37" s="57" t="s">
        <v>43</v>
      </c>
      <c r="C37" s="57" t="s">
        <v>44</v>
      </c>
      <c r="D37" s="57" t="s">
        <v>45</v>
      </c>
      <c r="E37" s="57" t="s">
        <v>25</v>
      </c>
      <c r="F37" s="57" t="s">
        <v>25</v>
      </c>
      <c r="G37" s="57" t="s">
        <v>25</v>
      </c>
      <c r="H37" s="57" t="s">
        <v>37</v>
      </c>
      <c r="I37" s="82">
        <v>44470</v>
      </c>
      <c r="J37" s="83">
        <f ca="1">EFEITO!$J$37*EFEITO!$Y$37</f>
        <v>97508.105092599639</v>
      </c>
      <c r="K37" s="83">
        <f ca="1">EFEITO!$L$37*EFEITO!$Z$37</f>
        <v>0</v>
      </c>
      <c r="L37" s="83">
        <f>EFEITO!$N$37*EFEITO!$AA$37</f>
        <v>0</v>
      </c>
      <c r="M37" s="83">
        <f ca="1">$J$37-EFEITO!$K$37*EFEITO!$Y$37</f>
        <v>0</v>
      </c>
      <c r="N37" s="83">
        <f ca="1">$K$37-EFEITO!$M$37*EFEITO!$Z$37</f>
        <v>0</v>
      </c>
      <c r="O37" s="83">
        <f>$L$37-EFEITO!$O$37*EFEITO!$AA$37</f>
        <v>0</v>
      </c>
      <c r="P37" s="61"/>
      <c r="Q37" s="61"/>
      <c r="R37" s="61"/>
      <c r="S37" s="61"/>
      <c r="T37" s="61"/>
      <c r="U37" s="61"/>
      <c r="V37" s="61"/>
      <c r="W37" s="61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spans="1:36" ht="11.25" customHeight="1" x14ac:dyDescent="0.2">
      <c r="A38" s="57" t="s">
        <v>21</v>
      </c>
      <c r="B38" s="57" t="s">
        <v>43</v>
      </c>
      <c r="C38" s="57" t="s">
        <v>44</v>
      </c>
      <c r="D38" s="57" t="s">
        <v>42</v>
      </c>
      <c r="E38" s="57" t="s">
        <v>25</v>
      </c>
      <c r="F38" s="57" t="s">
        <v>62</v>
      </c>
      <c r="G38" s="57" t="s">
        <v>25</v>
      </c>
      <c r="H38" s="57" t="s">
        <v>38</v>
      </c>
      <c r="I38" s="82">
        <v>44136</v>
      </c>
      <c r="J38" s="83">
        <f ca="1">EFEITO!$J$38*EFEITO!$Y$38</f>
        <v>150695.05499029899</v>
      </c>
      <c r="K38" s="83">
        <f ca="1">EFEITO!$L$38*EFEITO!$Z$38</f>
        <v>0</v>
      </c>
      <c r="L38" s="83">
        <f>EFEITO!$N$38*EFEITO!$AA$38</f>
        <v>0</v>
      </c>
      <c r="M38" s="83">
        <f ca="1">$J$38-EFEITO!$K$38*EFEITO!$Y$38</f>
        <v>71369.178043405598</v>
      </c>
      <c r="N38" s="83">
        <f ca="1">$K$38-EFEITO!$M$38*EFEITO!$Z$38</f>
        <v>0</v>
      </c>
      <c r="O38" s="83">
        <f>$L$38-EFEITO!$O$38*EFEITO!$AA$38</f>
        <v>0</v>
      </c>
      <c r="P38" s="61"/>
      <c r="Q38" s="61"/>
      <c r="R38" s="61"/>
      <c r="S38" s="61"/>
      <c r="T38" s="61"/>
      <c r="U38" s="61"/>
      <c r="V38" s="61"/>
      <c r="W38" s="61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spans="1:36" ht="11.25" customHeight="1" x14ac:dyDescent="0.2">
      <c r="A39" s="57" t="s">
        <v>21</v>
      </c>
      <c r="B39" s="57" t="s">
        <v>43</v>
      </c>
      <c r="C39" s="57" t="s">
        <v>44</v>
      </c>
      <c r="D39" s="57" t="s">
        <v>42</v>
      </c>
      <c r="E39" s="57" t="s">
        <v>25</v>
      </c>
      <c r="F39" s="57" t="s">
        <v>62</v>
      </c>
      <c r="G39" s="57" t="s">
        <v>25</v>
      </c>
      <c r="H39" s="57" t="s">
        <v>38</v>
      </c>
      <c r="I39" s="82">
        <v>44166</v>
      </c>
      <c r="J39" s="83">
        <f ca="1">EFEITO!$J$39*EFEITO!$Y$39</f>
        <v>154550.55712820869</v>
      </c>
      <c r="K39" s="83">
        <f ca="1">EFEITO!$L$39*EFEITO!$Z$39</f>
        <v>0</v>
      </c>
      <c r="L39" s="83">
        <f>EFEITO!$N$39*EFEITO!$AA$39</f>
        <v>0</v>
      </c>
      <c r="M39" s="83">
        <f ca="1">$J$39-EFEITO!$K$39*EFEITO!$Y$39</f>
        <v>59919.250998606512</v>
      </c>
      <c r="N39" s="83">
        <f ca="1">$K$39-EFEITO!$M$39*EFEITO!$Z$39</f>
        <v>0</v>
      </c>
      <c r="O39" s="83">
        <f>$L$39-EFEITO!$O$39*EFEITO!$AA$39</f>
        <v>0</v>
      </c>
      <c r="P39" s="61"/>
      <c r="Q39" s="61"/>
      <c r="R39" s="61"/>
      <c r="S39" s="61"/>
      <c r="T39" s="61"/>
      <c r="U39" s="61"/>
      <c r="V39" s="61"/>
      <c r="W39" s="61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spans="1:36" ht="11.25" customHeight="1" x14ac:dyDescent="0.2">
      <c r="A40" s="57" t="s">
        <v>21</v>
      </c>
      <c r="B40" s="57" t="s">
        <v>43</v>
      </c>
      <c r="C40" s="57" t="s">
        <v>44</v>
      </c>
      <c r="D40" s="57" t="s">
        <v>42</v>
      </c>
      <c r="E40" s="57" t="s">
        <v>25</v>
      </c>
      <c r="F40" s="57" t="s">
        <v>62</v>
      </c>
      <c r="G40" s="57" t="s">
        <v>25</v>
      </c>
      <c r="H40" s="57" t="s">
        <v>38</v>
      </c>
      <c r="I40" s="82">
        <v>44197</v>
      </c>
      <c r="J40" s="83">
        <f ca="1">EFEITO!$J$40*EFEITO!$Y$40</f>
        <v>154550.55712820869</v>
      </c>
      <c r="K40" s="83">
        <f ca="1">EFEITO!$L$40*EFEITO!$Z$40</f>
        <v>0</v>
      </c>
      <c r="L40" s="83">
        <f>EFEITO!$N$40*EFEITO!$AA$40</f>
        <v>0</v>
      </c>
      <c r="M40" s="83">
        <f ca="1">$J$40-EFEITO!$K$40*EFEITO!$Y$40</f>
        <v>59919.250998606512</v>
      </c>
      <c r="N40" s="83">
        <f ca="1">$K$40-EFEITO!$M$40*EFEITO!$Z$40</f>
        <v>0</v>
      </c>
      <c r="O40" s="83">
        <f>$L$40-EFEITO!$O$40*EFEITO!$AA$40</f>
        <v>0</v>
      </c>
      <c r="P40" s="61"/>
      <c r="Q40" s="61"/>
      <c r="R40" s="61"/>
      <c r="S40" s="61"/>
      <c r="T40" s="61"/>
      <c r="U40" s="61"/>
      <c r="V40" s="61"/>
      <c r="W40" s="61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spans="1:36" ht="11.25" customHeight="1" x14ac:dyDescent="0.2">
      <c r="A41" s="57" t="s">
        <v>21</v>
      </c>
      <c r="B41" s="57" t="s">
        <v>43</v>
      </c>
      <c r="C41" s="57" t="s">
        <v>44</v>
      </c>
      <c r="D41" s="57" t="s">
        <v>42</v>
      </c>
      <c r="E41" s="57" t="s">
        <v>25</v>
      </c>
      <c r="F41" s="57" t="s">
        <v>62</v>
      </c>
      <c r="G41" s="57" t="s">
        <v>25</v>
      </c>
      <c r="H41" s="57" t="s">
        <v>38</v>
      </c>
      <c r="I41" s="82">
        <v>44228</v>
      </c>
      <c r="J41" s="83">
        <f ca="1">EFEITO!$J$41*EFEITO!$Y$41</f>
        <v>155250.37936500573</v>
      </c>
      <c r="K41" s="83">
        <f ca="1">EFEITO!$L$41*EFEITO!$Z$41</f>
        <v>0</v>
      </c>
      <c r="L41" s="83">
        <f>EFEITO!$N$41*EFEITO!$AA$41</f>
        <v>0</v>
      </c>
      <c r="M41" s="83">
        <f ca="1">$J$41-EFEITO!$K$41*EFEITO!$Y$41</f>
        <v>60190.572079812715</v>
      </c>
      <c r="N41" s="83">
        <f ca="1">$K$41-EFEITO!$M$41*EFEITO!$Z$41</f>
        <v>0</v>
      </c>
      <c r="O41" s="83">
        <f>$L$41-EFEITO!$O$41*EFEITO!$AA$41</f>
        <v>0</v>
      </c>
      <c r="P41" s="61"/>
      <c r="Q41" s="61"/>
      <c r="R41" s="61"/>
      <c r="S41" s="61"/>
      <c r="T41" s="61"/>
      <c r="U41" s="61"/>
      <c r="V41" s="61"/>
      <c r="W41" s="61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spans="1:36" ht="11.25" customHeight="1" x14ac:dyDescent="0.2">
      <c r="A42" s="57" t="s">
        <v>21</v>
      </c>
      <c r="B42" s="57" t="s">
        <v>43</v>
      </c>
      <c r="C42" s="57" t="s">
        <v>44</v>
      </c>
      <c r="D42" s="57" t="s">
        <v>42</v>
      </c>
      <c r="E42" s="57" t="s">
        <v>25</v>
      </c>
      <c r="F42" s="57" t="s">
        <v>62</v>
      </c>
      <c r="G42" s="57" t="s">
        <v>25</v>
      </c>
      <c r="H42" s="57" t="s">
        <v>38</v>
      </c>
      <c r="I42" s="82">
        <v>44256</v>
      </c>
      <c r="J42" s="83">
        <f ca="1">EFEITO!$J$42*EFEITO!$Y$42</f>
        <v>154550.55712820869</v>
      </c>
      <c r="K42" s="83">
        <f ca="1">EFEITO!$L$42*EFEITO!$Z$42</f>
        <v>0</v>
      </c>
      <c r="L42" s="83">
        <f>EFEITO!$N$42*EFEITO!$AA$42</f>
        <v>0</v>
      </c>
      <c r="M42" s="83">
        <f ca="1">$J$42-EFEITO!$K$42*EFEITO!$Y$42</f>
        <v>59919.250998606512</v>
      </c>
      <c r="N42" s="83">
        <f ca="1">$K$42-EFEITO!$M$42*EFEITO!$Z$42</f>
        <v>0</v>
      </c>
      <c r="O42" s="83">
        <f>$L$42-EFEITO!$O$42*EFEITO!$AA$42</f>
        <v>0</v>
      </c>
      <c r="P42" s="61"/>
      <c r="Q42" s="61"/>
      <c r="R42" s="61"/>
      <c r="S42" s="61"/>
      <c r="T42" s="61"/>
      <c r="U42" s="61"/>
      <c r="V42" s="61"/>
      <c r="W42" s="61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spans="1:36" ht="11.25" customHeight="1" x14ac:dyDescent="0.2">
      <c r="A43" s="57" t="s">
        <v>21</v>
      </c>
      <c r="B43" s="57" t="s">
        <v>43</v>
      </c>
      <c r="C43" s="57" t="s">
        <v>44</v>
      </c>
      <c r="D43" s="57" t="s">
        <v>42</v>
      </c>
      <c r="E43" s="57" t="s">
        <v>25</v>
      </c>
      <c r="F43" s="57" t="s">
        <v>62</v>
      </c>
      <c r="G43" s="57" t="s">
        <v>25</v>
      </c>
      <c r="H43" s="57" t="s">
        <v>38</v>
      </c>
      <c r="I43" s="82">
        <v>44287</v>
      </c>
      <c r="J43" s="83">
        <f ca="1">EFEITO!$J$43*EFEITO!$Y$43</f>
        <v>154550.55712820869</v>
      </c>
      <c r="K43" s="83">
        <f ca="1">EFEITO!$L$43*EFEITO!$Z$43</f>
        <v>0</v>
      </c>
      <c r="L43" s="83">
        <f>EFEITO!$N$43*EFEITO!$AA$43</f>
        <v>0</v>
      </c>
      <c r="M43" s="83">
        <f ca="1">$J$43-EFEITO!$K$43*EFEITO!$Y$43</f>
        <v>59919.250998606512</v>
      </c>
      <c r="N43" s="83">
        <f ca="1">$K$43-EFEITO!$M$43*EFEITO!$Z$43</f>
        <v>0</v>
      </c>
      <c r="O43" s="83">
        <f>$L$43-EFEITO!$O$43*EFEITO!$AA$43</f>
        <v>0</v>
      </c>
      <c r="P43" s="61"/>
      <c r="Q43" s="61"/>
      <c r="R43" s="61"/>
      <c r="S43" s="61"/>
      <c r="T43" s="61"/>
      <c r="U43" s="61"/>
      <c r="V43" s="61"/>
      <c r="W43" s="61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spans="1:36" ht="11.25" customHeight="1" x14ac:dyDescent="0.2">
      <c r="A44" s="57" t="s">
        <v>21</v>
      </c>
      <c r="B44" s="57" t="s">
        <v>43</v>
      </c>
      <c r="C44" s="57" t="s">
        <v>44</v>
      </c>
      <c r="D44" s="57" t="s">
        <v>42</v>
      </c>
      <c r="E44" s="57" t="s">
        <v>25</v>
      </c>
      <c r="F44" s="57" t="s">
        <v>62</v>
      </c>
      <c r="G44" s="57" t="s">
        <v>25</v>
      </c>
      <c r="H44" s="57" t="s">
        <v>38</v>
      </c>
      <c r="I44" s="82">
        <v>44317</v>
      </c>
      <c r="J44" s="83">
        <f ca="1">EFEITO!$J$44*EFEITO!$Y$44</f>
        <v>154550.55712820869</v>
      </c>
      <c r="K44" s="83">
        <f ca="1">EFEITO!$L$44*EFEITO!$Z$44</f>
        <v>0</v>
      </c>
      <c r="L44" s="83">
        <f>EFEITO!$N$44*EFEITO!$AA$44</f>
        <v>0</v>
      </c>
      <c r="M44" s="83">
        <f ca="1">$J$44-EFEITO!$K$44*EFEITO!$Y$44</f>
        <v>59919.250998606512</v>
      </c>
      <c r="N44" s="83">
        <f ca="1">$K$44-EFEITO!$M$44*EFEITO!$Z$44</f>
        <v>0</v>
      </c>
      <c r="O44" s="83">
        <f>$L$44-EFEITO!$O$44*EFEITO!$AA$44</f>
        <v>0</v>
      </c>
      <c r="P44" s="61"/>
      <c r="Q44" s="61"/>
      <c r="R44" s="61"/>
      <c r="S44" s="61"/>
      <c r="T44" s="61"/>
      <c r="U44" s="61"/>
      <c r="V44" s="61"/>
      <c r="W44" s="61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spans="1:36" ht="11.25" customHeight="1" x14ac:dyDescent="0.2">
      <c r="A45" s="57" t="s">
        <v>21</v>
      </c>
      <c r="B45" s="57" t="s">
        <v>43</v>
      </c>
      <c r="C45" s="57" t="s">
        <v>44</v>
      </c>
      <c r="D45" s="57" t="s">
        <v>42</v>
      </c>
      <c r="E45" s="57" t="s">
        <v>25</v>
      </c>
      <c r="F45" s="57" t="s">
        <v>62</v>
      </c>
      <c r="G45" s="57" t="s">
        <v>25</v>
      </c>
      <c r="H45" s="57" t="s">
        <v>38</v>
      </c>
      <c r="I45" s="82">
        <v>44348</v>
      </c>
      <c r="J45" s="83">
        <f ca="1">EFEITO!$J$45*EFEITO!$Y$45</f>
        <v>154550.55712820869</v>
      </c>
      <c r="K45" s="83">
        <f ca="1">EFEITO!$L$45*EFEITO!$Z$45</f>
        <v>0</v>
      </c>
      <c r="L45" s="83">
        <f>EFEITO!$N$45*EFEITO!$AA$45</f>
        <v>0</v>
      </c>
      <c r="M45" s="83">
        <f ca="1">$J$45-EFEITO!$K$45*EFEITO!$Y$45</f>
        <v>59919.250998606512</v>
      </c>
      <c r="N45" s="83">
        <f ca="1">$K$45-EFEITO!$M$45*EFEITO!$Z$45</f>
        <v>0</v>
      </c>
      <c r="O45" s="83">
        <f>$L$45-EFEITO!$O$45*EFEITO!$AA$45</f>
        <v>0</v>
      </c>
      <c r="P45" s="61"/>
      <c r="Q45" s="61"/>
      <c r="R45" s="61"/>
      <c r="S45" s="61"/>
      <c r="T45" s="61"/>
      <c r="U45" s="61"/>
      <c r="V45" s="61"/>
      <c r="W45" s="61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spans="1:36" ht="11.25" customHeight="1" x14ac:dyDescent="0.2">
      <c r="A46" s="57" t="s">
        <v>21</v>
      </c>
      <c r="B46" s="57" t="s">
        <v>43</v>
      </c>
      <c r="C46" s="57" t="s">
        <v>44</v>
      </c>
      <c r="D46" s="57" t="s">
        <v>42</v>
      </c>
      <c r="E46" s="57" t="s">
        <v>25</v>
      </c>
      <c r="F46" s="57" t="s">
        <v>62</v>
      </c>
      <c r="G46" s="57" t="s">
        <v>25</v>
      </c>
      <c r="H46" s="57" t="s">
        <v>38</v>
      </c>
      <c r="I46" s="82">
        <v>44378</v>
      </c>
      <c r="J46" s="83">
        <f ca="1">EFEITO!$J$46*EFEITO!$Y$46</f>
        <v>154550.55712820869</v>
      </c>
      <c r="K46" s="83">
        <f ca="1">EFEITO!$L$46*EFEITO!$Z$46</f>
        <v>0</v>
      </c>
      <c r="L46" s="83">
        <f>EFEITO!$N$46*EFEITO!$AA$46</f>
        <v>0</v>
      </c>
      <c r="M46" s="83">
        <f ca="1">$J$46-EFEITO!$K$46*EFEITO!$Y$46</f>
        <v>59919.250998606512</v>
      </c>
      <c r="N46" s="83">
        <f ca="1">$K$46-EFEITO!$M$46*EFEITO!$Z$46</f>
        <v>0</v>
      </c>
      <c r="O46" s="83">
        <f>$L$46-EFEITO!$O$46*EFEITO!$AA$46</f>
        <v>0</v>
      </c>
      <c r="P46" s="61"/>
      <c r="Q46" s="61"/>
      <c r="R46" s="61"/>
      <c r="S46" s="61"/>
      <c r="T46" s="61"/>
      <c r="U46" s="61"/>
      <c r="V46" s="61"/>
      <c r="W46" s="61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spans="1:36" ht="11.25" customHeight="1" x14ac:dyDescent="0.2">
      <c r="A47" s="57" t="s">
        <v>21</v>
      </c>
      <c r="B47" s="57" t="s">
        <v>43</v>
      </c>
      <c r="C47" s="57" t="s">
        <v>44</v>
      </c>
      <c r="D47" s="57" t="s">
        <v>42</v>
      </c>
      <c r="E47" s="57" t="s">
        <v>25</v>
      </c>
      <c r="F47" s="57" t="s">
        <v>62</v>
      </c>
      <c r="G47" s="57" t="s">
        <v>25</v>
      </c>
      <c r="H47" s="57" t="s">
        <v>38</v>
      </c>
      <c r="I47" s="82">
        <v>44409</v>
      </c>
      <c r="J47" s="83">
        <f ca="1">EFEITO!$J$47*EFEITO!$Y$47</f>
        <v>173335.60031778886</v>
      </c>
      <c r="K47" s="83">
        <f ca="1">EFEITO!$L$47*EFEITO!$Z$47</f>
        <v>0</v>
      </c>
      <c r="L47" s="83">
        <f>EFEITO!$N$47*EFEITO!$AA$47</f>
        <v>0</v>
      </c>
      <c r="M47" s="83">
        <f ca="1">$J$47-EFEITO!$K$47*EFEITO!$Y$47</f>
        <v>64758.180278725908</v>
      </c>
      <c r="N47" s="83">
        <f ca="1">$K$47-EFEITO!$M$47*EFEITO!$Z$47</f>
        <v>0</v>
      </c>
      <c r="O47" s="83">
        <f>$L$47-EFEITO!$O$47*EFEITO!$AA$47</f>
        <v>0</v>
      </c>
      <c r="P47" s="61"/>
      <c r="Q47" s="61"/>
      <c r="R47" s="61"/>
      <c r="S47" s="61"/>
      <c r="T47" s="61"/>
      <c r="U47" s="61"/>
      <c r="V47" s="61"/>
      <c r="W47" s="61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spans="1:36" ht="11.25" customHeight="1" x14ac:dyDescent="0.2">
      <c r="A48" s="57" t="s">
        <v>21</v>
      </c>
      <c r="B48" s="57" t="s">
        <v>43</v>
      </c>
      <c r="C48" s="57" t="s">
        <v>44</v>
      </c>
      <c r="D48" s="57" t="s">
        <v>42</v>
      </c>
      <c r="E48" s="57" t="s">
        <v>25</v>
      </c>
      <c r="F48" s="57" t="s">
        <v>62</v>
      </c>
      <c r="G48" s="57" t="s">
        <v>25</v>
      </c>
      <c r="H48" s="57" t="s">
        <v>38</v>
      </c>
      <c r="I48" s="82">
        <v>44440</v>
      </c>
      <c r="J48" s="83">
        <f ca="1">EFEITO!$J$48*EFEITO!$Y$48</f>
        <v>173218.96327832271</v>
      </c>
      <c r="K48" s="83">
        <f ca="1">EFEITO!$L$48*EFEITO!$Z$48</f>
        <v>0</v>
      </c>
      <c r="L48" s="83">
        <f>EFEITO!$N$48*EFEITO!$AA$48</f>
        <v>0</v>
      </c>
      <c r="M48" s="83">
        <f ca="1">$J$48-EFEITO!$K$48*EFEITO!$Y$48</f>
        <v>68993.113073755943</v>
      </c>
      <c r="N48" s="83">
        <f ca="1">$K$48-EFEITO!$M$48*EFEITO!$Z$48</f>
        <v>0</v>
      </c>
      <c r="O48" s="83">
        <f>$L$48-EFEITO!$O$48*EFEITO!$AA$48</f>
        <v>0</v>
      </c>
      <c r="P48" s="61"/>
      <c r="Q48" s="61"/>
      <c r="R48" s="61"/>
      <c r="S48" s="61"/>
      <c r="T48" s="61"/>
      <c r="U48" s="61"/>
      <c r="V48" s="61"/>
      <c r="W48" s="61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spans="1:36" ht="11.25" customHeight="1" x14ac:dyDescent="0.2">
      <c r="A49" s="57" t="s">
        <v>59</v>
      </c>
      <c r="B49" s="57" t="s">
        <v>43</v>
      </c>
      <c r="C49" s="57" t="s">
        <v>44</v>
      </c>
      <c r="D49" s="57" t="s">
        <v>42</v>
      </c>
      <c r="E49" s="57" t="s">
        <v>25</v>
      </c>
      <c r="F49" s="57" t="s">
        <v>62</v>
      </c>
      <c r="G49" s="57" t="s">
        <v>25</v>
      </c>
      <c r="H49" s="57" t="s">
        <v>38</v>
      </c>
      <c r="I49" s="82">
        <v>44470</v>
      </c>
      <c r="J49" s="83">
        <f ca="1">EFEITO!$J$49*EFEITO!$Y$49</f>
        <v>173218.96327832271</v>
      </c>
      <c r="K49" s="83">
        <f ca="1">EFEITO!$L$49*EFEITO!$Z$49</f>
        <v>0</v>
      </c>
      <c r="L49" s="83">
        <f>EFEITO!$N$49*EFEITO!$AA$49</f>
        <v>0</v>
      </c>
      <c r="M49" s="83">
        <f ca="1">$J$49-EFEITO!$K$49*EFEITO!$Y$49</f>
        <v>68993.113073755943</v>
      </c>
      <c r="N49" s="83">
        <f ca="1">$K$49-EFEITO!$M$49*EFEITO!$Z$49</f>
        <v>0</v>
      </c>
      <c r="O49" s="83">
        <f>$L$49-EFEITO!$O$49*EFEITO!$AA$49</f>
        <v>0</v>
      </c>
      <c r="P49" s="61"/>
      <c r="Q49" s="61"/>
      <c r="R49" s="61"/>
      <c r="S49" s="61"/>
      <c r="T49" s="61"/>
      <c r="U49" s="61"/>
      <c r="V49" s="61"/>
      <c r="W49" s="61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spans="1:36" ht="11.25" customHeight="1" x14ac:dyDescent="0.2">
      <c r="A50" s="57" t="s">
        <v>21</v>
      </c>
      <c r="B50" s="57" t="s">
        <v>43</v>
      </c>
      <c r="C50" s="57" t="s">
        <v>44</v>
      </c>
      <c r="D50" s="57" t="s">
        <v>42</v>
      </c>
      <c r="E50" s="57" t="s">
        <v>25</v>
      </c>
      <c r="F50" s="57" t="s">
        <v>62</v>
      </c>
      <c r="G50" s="57" t="s">
        <v>25</v>
      </c>
      <c r="H50" s="57" t="s">
        <v>25</v>
      </c>
      <c r="I50" s="82">
        <v>44136</v>
      </c>
      <c r="J50" s="83">
        <f>EFEITO!$J$50*EFEITO!$Y$50</f>
        <v>0</v>
      </c>
      <c r="K50" s="83">
        <f ca="1">EFEITO!$L$50*EFEITO!$Z$50</f>
        <v>452175.31543597806</v>
      </c>
      <c r="L50" s="83">
        <f>EFEITO!$N$50*EFEITO!$AA$50</f>
        <v>0</v>
      </c>
      <c r="M50" s="83">
        <f>$J$50-EFEITO!$K$50*EFEITO!$Y$50</f>
        <v>0</v>
      </c>
      <c r="N50" s="83">
        <f ca="1">$K$50-EFEITO!$M$50*EFEITO!$Z$50</f>
        <v>0</v>
      </c>
      <c r="O50" s="83">
        <f>$L$50-EFEITO!$O$50*EFEITO!$AA$50</f>
        <v>0</v>
      </c>
      <c r="P50" s="61"/>
      <c r="Q50" s="61"/>
      <c r="R50" s="61"/>
      <c r="S50" s="61"/>
      <c r="T50" s="61"/>
      <c r="U50" s="61"/>
      <c r="V50" s="61"/>
      <c r="W50" s="61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spans="1:36" ht="11.25" customHeight="1" x14ac:dyDescent="0.2">
      <c r="A51" s="57" t="s">
        <v>21</v>
      </c>
      <c r="B51" s="57" t="s">
        <v>43</v>
      </c>
      <c r="C51" s="57" t="s">
        <v>44</v>
      </c>
      <c r="D51" s="57" t="s">
        <v>42</v>
      </c>
      <c r="E51" s="57" t="s">
        <v>25</v>
      </c>
      <c r="F51" s="57" t="s">
        <v>62</v>
      </c>
      <c r="G51" s="57" t="s">
        <v>25</v>
      </c>
      <c r="H51" s="57" t="s">
        <v>25</v>
      </c>
      <c r="I51" s="82">
        <v>44166</v>
      </c>
      <c r="J51" s="83">
        <f>EFEITO!$J$51*EFEITO!$Y$51</f>
        <v>0</v>
      </c>
      <c r="K51" s="83">
        <f ca="1">EFEITO!$L$51*EFEITO!$Z$51</f>
        <v>430257.39588406595</v>
      </c>
      <c r="L51" s="83">
        <f>EFEITO!$N$51*EFEITO!$AA$51</f>
        <v>0</v>
      </c>
      <c r="M51" s="83">
        <f>$J$51-EFEITO!$K$51*EFEITO!$Y$51</f>
        <v>0</v>
      </c>
      <c r="N51" s="83">
        <f ca="1">$K$51-EFEITO!$M$51*EFEITO!$Z$51</f>
        <v>0</v>
      </c>
      <c r="O51" s="83">
        <f>$L$51-EFEITO!$O$51*EFEITO!$AA$51</f>
        <v>0</v>
      </c>
      <c r="P51" s="61"/>
      <c r="Q51" s="61"/>
      <c r="R51" s="61"/>
      <c r="S51" s="61"/>
      <c r="T51" s="61"/>
      <c r="U51" s="61"/>
      <c r="V51" s="61"/>
      <c r="W51" s="61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spans="1:36" ht="11.25" customHeight="1" x14ac:dyDescent="0.2">
      <c r="A52" s="57" t="s">
        <v>21</v>
      </c>
      <c r="B52" s="57" t="s">
        <v>43</v>
      </c>
      <c r="C52" s="57" t="s">
        <v>44</v>
      </c>
      <c r="D52" s="57" t="s">
        <v>42</v>
      </c>
      <c r="E52" s="57" t="s">
        <v>25</v>
      </c>
      <c r="F52" s="57" t="s">
        <v>62</v>
      </c>
      <c r="G52" s="57" t="s">
        <v>25</v>
      </c>
      <c r="H52" s="57" t="s">
        <v>25</v>
      </c>
      <c r="I52" s="82">
        <v>44197</v>
      </c>
      <c r="J52" s="83">
        <f>EFEITO!$J$52*EFEITO!$Y$52</f>
        <v>0</v>
      </c>
      <c r="K52" s="83">
        <f ca="1">EFEITO!$L$52*EFEITO!$Z$52</f>
        <v>330057.48540217476</v>
      </c>
      <c r="L52" s="83">
        <f>EFEITO!$N$52*EFEITO!$AA$52</f>
        <v>0</v>
      </c>
      <c r="M52" s="83">
        <f>$J$52-EFEITO!$K$52*EFEITO!$Y$52</f>
        <v>0</v>
      </c>
      <c r="N52" s="83">
        <f ca="1">$K$52-EFEITO!$M$52*EFEITO!$Z$52</f>
        <v>0</v>
      </c>
      <c r="O52" s="83">
        <f>$L$52-EFEITO!$O$52*EFEITO!$AA$52</f>
        <v>0</v>
      </c>
      <c r="P52" s="61"/>
      <c r="Q52" s="61"/>
      <c r="R52" s="61"/>
      <c r="S52" s="61"/>
      <c r="T52" s="61"/>
      <c r="U52" s="61"/>
      <c r="V52" s="61"/>
      <c r="W52" s="61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spans="1:36" ht="11.25" customHeight="1" x14ac:dyDescent="0.2">
      <c r="A53" s="57" t="s">
        <v>21</v>
      </c>
      <c r="B53" s="57" t="s">
        <v>43</v>
      </c>
      <c r="C53" s="57" t="s">
        <v>44</v>
      </c>
      <c r="D53" s="57" t="s">
        <v>42</v>
      </c>
      <c r="E53" s="57" t="s">
        <v>25</v>
      </c>
      <c r="F53" s="57" t="s">
        <v>62</v>
      </c>
      <c r="G53" s="57" t="s">
        <v>25</v>
      </c>
      <c r="H53" s="57" t="s">
        <v>25</v>
      </c>
      <c r="I53" s="82">
        <v>44228</v>
      </c>
      <c r="J53" s="83">
        <f>EFEITO!$J$53*EFEITO!$Y$53</f>
        <v>0</v>
      </c>
      <c r="K53" s="83">
        <f ca="1">EFEITO!$L$53*EFEITO!$Z$53</f>
        <v>330257.4354185547</v>
      </c>
      <c r="L53" s="83">
        <f>EFEITO!$N$53*EFEITO!$AA$53</f>
        <v>0</v>
      </c>
      <c r="M53" s="83">
        <f>$J$53-EFEITO!$K$53*EFEITO!$Y$53</f>
        <v>0</v>
      </c>
      <c r="N53" s="83">
        <f ca="1">$K$53-EFEITO!$M$53*EFEITO!$Z$53</f>
        <v>0</v>
      </c>
      <c r="O53" s="83">
        <f>$L$53-EFEITO!$O$53*EFEITO!$AA$53</f>
        <v>0</v>
      </c>
      <c r="P53" s="61"/>
      <c r="Q53" s="61"/>
      <c r="R53" s="61"/>
      <c r="S53" s="61"/>
      <c r="T53" s="61"/>
      <c r="U53" s="61"/>
      <c r="V53" s="61"/>
      <c r="W53" s="61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spans="1:36" ht="11.25" customHeight="1" x14ac:dyDescent="0.2">
      <c r="A54" s="57" t="s">
        <v>21</v>
      </c>
      <c r="B54" s="57" t="s">
        <v>43</v>
      </c>
      <c r="C54" s="57" t="s">
        <v>44</v>
      </c>
      <c r="D54" s="57" t="s">
        <v>42</v>
      </c>
      <c r="E54" s="57" t="s">
        <v>25</v>
      </c>
      <c r="F54" s="57" t="s">
        <v>62</v>
      </c>
      <c r="G54" s="57" t="s">
        <v>25</v>
      </c>
      <c r="H54" s="57" t="s">
        <v>25</v>
      </c>
      <c r="I54" s="82">
        <v>44256</v>
      </c>
      <c r="J54" s="83">
        <f>EFEITO!$J$54*EFEITO!$Y$54</f>
        <v>0</v>
      </c>
      <c r="K54" s="83">
        <f ca="1">EFEITO!$L$54*EFEITO!$Z$54</f>
        <v>441053.36951988621</v>
      </c>
      <c r="L54" s="83">
        <f>EFEITO!$N$54*EFEITO!$AA$54</f>
        <v>0</v>
      </c>
      <c r="M54" s="83">
        <f>$J$54-EFEITO!$K$54*EFEITO!$Y$54</f>
        <v>0</v>
      </c>
      <c r="N54" s="83">
        <f ca="1">$K$54-EFEITO!$M$54*EFEITO!$Z$54</f>
        <v>0</v>
      </c>
      <c r="O54" s="83">
        <f>$L$54-EFEITO!$O$54*EFEITO!$AA$54</f>
        <v>0</v>
      </c>
      <c r="P54" s="61"/>
      <c r="Q54" s="61"/>
      <c r="R54" s="61"/>
      <c r="S54" s="61"/>
      <c r="T54" s="61"/>
      <c r="U54" s="61"/>
      <c r="V54" s="61"/>
      <c r="W54" s="61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spans="1:36" ht="11.25" customHeight="1" x14ac:dyDescent="0.2">
      <c r="A55" s="57" t="s">
        <v>21</v>
      </c>
      <c r="B55" s="57" t="s">
        <v>43</v>
      </c>
      <c r="C55" s="57" t="s">
        <v>44</v>
      </c>
      <c r="D55" s="57" t="s">
        <v>42</v>
      </c>
      <c r="E55" s="57" t="s">
        <v>25</v>
      </c>
      <c r="F55" s="57" t="s">
        <v>62</v>
      </c>
      <c r="G55" s="57" t="s">
        <v>25</v>
      </c>
      <c r="H55" s="57" t="s">
        <v>25</v>
      </c>
      <c r="I55" s="82">
        <v>44287</v>
      </c>
      <c r="J55" s="83">
        <f>EFEITO!$J$55*EFEITO!$Y$55</f>
        <v>0</v>
      </c>
      <c r="K55" s="83">
        <f ca="1">EFEITO!$L$55*EFEITO!$Z$55</f>
        <v>444362.93051121896</v>
      </c>
      <c r="L55" s="83">
        <f>EFEITO!$N$55*EFEITO!$AA$55</f>
        <v>0</v>
      </c>
      <c r="M55" s="83">
        <f>$J$55-EFEITO!$K$55*EFEITO!$Y$55</f>
        <v>0</v>
      </c>
      <c r="N55" s="83">
        <f ca="1">$K$55-EFEITO!$M$55*EFEITO!$Z$55</f>
        <v>0</v>
      </c>
      <c r="O55" s="83">
        <f>$L$55-EFEITO!$O$55*EFEITO!$AA$55</f>
        <v>0</v>
      </c>
      <c r="P55" s="61"/>
      <c r="Q55" s="61"/>
      <c r="R55" s="61"/>
      <c r="S55" s="61"/>
      <c r="T55" s="61"/>
      <c r="U55" s="61"/>
      <c r="V55" s="61"/>
      <c r="W55" s="61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spans="1:36" ht="11.25" customHeight="1" x14ac:dyDescent="0.2">
      <c r="A56" s="57" t="s">
        <v>21</v>
      </c>
      <c r="B56" s="57" t="s">
        <v>43</v>
      </c>
      <c r="C56" s="57" t="s">
        <v>44</v>
      </c>
      <c r="D56" s="57" t="s">
        <v>42</v>
      </c>
      <c r="E56" s="57" t="s">
        <v>25</v>
      </c>
      <c r="F56" s="57" t="s">
        <v>62</v>
      </c>
      <c r="G56" s="57" t="s">
        <v>25</v>
      </c>
      <c r="H56" s="57" t="s">
        <v>25</v>
      </c>
      <c r="I56" s="82">
        <v>44317</v>
      </c>
      <c r="J56" s="83">
        <f>EFEITO!$J$56*EFEITO!$Y$56</f>
        <v>0</v>
      </c>
      <c r="K56" s="83">
        <f ca="1">EFEITO!$L$56*EFEITO!$Z$56</f>
        <v>474839.61329330859</v>
      </c>
      <c r="L56" s="83">
        <f>EFEITO!$N$56*EFEITO!$AA$56</f>
        <v>0</v>
      </c>
      <c r="M56" s="83">
        <f>$J$56-EFEITO!$K$56*EFEITO!$Y$56</f>
        <v>0</v>
      </c>
      <c r="N56" s="83">
        <f ca="1">$K$56-EFEITO!$M$56*EFEITO!$Z$56</f>
        <v>0</v>
      </c>
      <c r="O56" s="83">
        <f>$L$56-EFEITO!$O$56*EFEITO!$AA$56</f>
        <v>0</v>
      </c>
      <c r="P56" s="61"/>
      <c r="Q56" s="61"/>
      <c r="R56" s="61"/>
      <c r="S56" s="61"/>
      <c r="T56" s="61"/>
      <c r="U56" s="61"/>
      <c r="V56" s="61"/>
      <c r="W56" s="61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spans="1:36" ht="11.25" customHeight="1" x14ac:dyDescent="0.2">
      <c r="A57" s="57" t="s">
        <v>21</v>
      </c>
      <c r="B57" s="57" t="s">
        <v>43</v>
      </c>
      <c r="C57" s="57" t="s">
        <v>44</v>
      </c>
      <c r="D57" s="57" t="s">
        <v>42</v>
      </c>
      <c r="E57" s="57" t="s">
        <v>25</v>
      </c>
      <c r="F57" s="57" t="s">
        <v>62</v>
      </c>
      <c r="G57" s="57" t="s">
        <v>25</v>
      </c>
      <c r="H57" s="57" t="s">
        <v>25</v>
      </c>
      <c r="I57" s="82">
        <v>44348</v>
      </c>
      <c r="J57" s="83">
        <f>EFEITO!$J$57*EFEITO!$Y$57</f>
        <v>0</v>
      </c>
      <c r="K57" s="83">
        <f ca="1">EFEITO!$L$57*EFEITO!$Z$57</f>
        <v>330057.48540217476</v>
      </c>
      <c r="L57" s="83">
        <f>EFEITO!$N$57*EFEITO!$AA$57</f>
        <v>0</v>
      </c>
      <c r="M57" s="83">
        <f>$J$57-EFEITO!$K$57*EFEITO!$Y$57</f>
        <v>0</v>
      </c>
      <c r="N57" s="83">
        <f ca="1">$K$57-EFEITO!$M$57*EFEITO!$Z$57</f>
        <v>0</v>
      </c>
      <c r="O57" s="83">
        <f>$L$57-EFEITO!$O$57*EFEITO!$AA$57</f>
        <v>0</v>
      </c>
      <c r="P57" s="61"/>
      <c r="Q57" s="61"/>
      <c r="R57" s="61"/>
      <c r="S57" s="61"/>
      <c r="T57" s="61"/>
      <c r="U57" s="61"/>
      <c r="V57" s="61"/>
      <c r="W57" s="61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spans="1:36" ht="11.25" customHeight="1" x14ac:dyDescent="0.2">
      <c r="A58" s="57" t="s">
        <v>21</v>
      </c>
      <c r="B58" s="57" t="s">
        <v>43</v>
      </c>
      <c r="C58" s="57" t="s">
        <v>44</v>
      </c>
      <c r="D58" s="57" t="s">
        <v>42</v>
      </c>
      <c r="E58" s="57" t="s">
        <v>25</v>
      </c>
      <c r="F58" s="57" t="s">
        <v>62</v>
      </c>
      <c r="G58" s="57" t="s">
        <v>25</v>
      </c>
      <c r="H58" s="57" t="s">
        <v>25</v>
      </c>
      <c r="I58" s="82">
        <v>44378</v>
      </c>
      <c r="J58" s="83">
        <f>EFEITO!$J$58*EFEITO!$Y$58</f>
        <v>0</v>
      </c>
      <c r="K58" s="83">
        <f ca="1">EFEITO!$L$58*EFEITO!$Z$58</f>
        <v>416607.30664769147</v>
      </c>
      <c r="L58" s="83">
        <f>EFEITO!$N$58*EFEITO!$AA$58</f>
        <v>0</v>
      </c>
      <c r="M58" s="83">
        <f>$J$58-EFEITO!$K$58*EFEITO!$Y$58</f>
        <v>0</v>
      </c>
      <c r="N58" s="83">
        <f ca="1">$K$58-EFEITO!$M$58*EFEITO!$Z$58</f>
        <v>0</v>
      </c>
      <c r="O58" s="83">
        <f>$L$58-EFEITO!$O$58*EFEITO!$AA$58</f>
        <v>0</v>
      </c>
      <c r="P58" s="61"/>
      <c r="Q58" s="61"/>
      <c r="R58" s="61"/>
      <c r="S58" s="61"/>
      <c r="T58" s="61"/>
      <c r="U58" s="61"/>
      <c r="V58" s="61"/>
      <c r="W58" s="61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spans="1:36" ht="11.25" customHeight="1" x14ac:dyDescent="0.2">
      <c r="A59" s="57" t="s">
        <v>21</v>
      </c>
      <c r="B59" s="57" t="s">
        <v>43</v>
      </c>
      <c r="C59" s="57" t="s">
        <v>44</v>
      </c>
      <c r="D59" s="57" t="s">
        <v>42</v>
      </c>
      <c r="E59" s="57" t="s">
        <v>25</v>
      </c>
      <c r="F59" s="57" t="s">
        <v>62</v>
      </c>
      <c r="G59" s="57" t="s">
        <v>25</v>
      </c>
      <c r="H59" s="57" t="s">
        <v>25</v>
      </c>
      <c r="I59" s="82">
        <v>44409</v>
      </c>
      <c r="J59" s="83">
        <f>EFEITO!$J$59*EFEITO!$Y$59</f>
        <v>0</v>
      </c>
      <c r="K59" s="83">
        <f ca="1">EFEITO!$L$59*EFEITO!$Z$59</f>
        <v>585119.7785505295</v>
      </c>
      <c r="L59" s="83">
        <f>EFEITO!$N$59*EFEITO!$AA$59</f>
        <v>0</v>
      </c>
      <c r="M59" s="83">
        <f>$J$59-EFEITO!$K$59*EFEITO!$Y$59</f>
        <v>0</v>
      </c>
      <c r="N59" s="83">
        <f ca="1">$K$59-EFEITO!$M$59*EFEITO!$Z$59</f>
        <v>0</v>
      </c>
      <c r="O59" s="83">
        <f>$L$59-EFEITO!$O$59*EFEITO!$AA$59</f>
        <v>0</v>
      </c>
      <c r="P59" s="61"/>
      <c r="Q59" s="61"/>
      <c r="R59" s="61"/>
      <c r="S59" s="61"/>
      <c r="T59" s="61"/>
      <c r="U59" s="61"/>
      <c r="V59" s="61"/>
      <c r="W59" s="61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spans="1:36" ht="11.25" customHeight="1" x14ac:dyDescent="0.2">
      <c r="A60" s="57" t="s">
        <v>21</v>
      </c>
      <c r="B60" s="57" t="s">
        <v>43</v>
      </c>
      <c r="C60" s="57" t="s">
        <v>44</v>
      </c>
      <c r="D60" s="57" t="s">
        <v>42</v>
      </c>
      <c r="E60" s="57" t="s">
        <v>25</v>
      </c>
      <c r="F60" s="57" t="s">
        <v>62</v>
      </c>
      <c r="G60" s="57" t="s">
        <v>25</v>
      </c>
      <c r="H60" s="57" t="s">
        <v>25</v>
      </c>
      <c r="I60" s="82">
        <v>44440</v>
      </c>
      <c r="J60" s="83">
        <f>EFEITO!$J$60*EFEITO!$Y$60</f>
        <v>0</v>
      </c>
      <c r="K60" s="83">
        <f ca="1">EFEITO!$L$60*EFEITO!$Z$60</f>
        <v>591653.69116677216</v>
      </c>
      <c r="L60" s="83">
        <f>EFEITO!$N$60*EFEITO!$AA$60</f>
        <v>0</v>
      </c>
      <c r="M60" s="83">
        <f>$J$60-EFEITO!$K$60*EFEITO!$Y$60</f>
        <v>0</v>
      </c>
      <c r="N60" s="83">
        <f ca="1">$K$60-EFEITO!$M$60*EFEITO!$Z$60</f>
        <v>0</v>
      </c>
      <c r="O60" s="83">
        <f>$L$60-EFEITO!$O$60*EFEITO!$AA$60</f>
        <v>0</v>
      </c>
      <c r="P60" s="61"/>
      <c r="Q60" s="61"/>
      <c r="R60" s="61"/>
      <c r="S60" s="61"/>
      <c r="T60" s="61"/>
      <c r="U60" s="61"/>
      <c r="V60" s="61"/>
      <c r="W60" s="61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spans="1:36" ht="11.25" customHeight="1" x14ac:dyDescent="0.2">
      <c r="A61" s="57" t="s">
        <v>59</v>
      </c>
      <c r="B61" s="57" t="s">
        <v>43</v>
      </c>
      <c r="C61" s="57" t="s">
        <v>44</v>
      </c>
      <c r="D61" s="57" t="s">
        <v>42</v>
      </c>
      <c r="E61" s="57" t="s">
        <v>25</v>
      </c>
      <c r="F61" s="57" t="s">
        <v>62</v>
      </c>
      <c r="G61" s="57" t="s">
        <v>25</v>
      </c>
      <c r="H61" s="57" t="s">
        <v>25</v>
      </c>
      <c r="I61" s="82">
        <v>44470</v>
      </c>
      <c r="J61" s="83">
        <f>EFEITO!$J$61*EFEITO!$Y$61</f>
        <v>0</v>
      </c>
      <c r="K61" s="83">
        <f ca="1">EFEITO!$L$61*EFEITO!$Z$61</f>
        <v>591653.69116677216</v>
      </c>
      <c r="L61" s="83">
        <f>EFEITO!$N$61*EFEITO!$AA$61</f>
        <v>0</v>
      </c>
      <c r="M61" s="83">
        <f>$J$61-EFEITO!$K$61*EFEITO!$Y$61</f>
        <v>0</v>
      </c>
      <c r="N61" s="83">
        <f ca="1">$K$61-EFEITO!$M$61*EFEITO!$Z$61</f>
        <v>0</v>
      </c>
      <c r="O61" s="83">
        <f>$L$61-EFEITO!$O$61*EFEITO!$AA$61</f>
        <v>0</v>
      </c>
      <c r="P61" s="61"/>
      <c r="Q61" s="61"/>
      <c r="R61" s="61"/>
      <c r="S61" s="61"/>
      <c r="T61" s="61"/>
      <c r="U61" s="61"/>
      <c r="V61" s="61"/>
      <c r="W61" s="61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spans="1:36" ht="11.25" customHeight="1" x14ac:dyDescent="0.2">
      <c r="A62" s="57" t="s">
        <v>21</v>
      </c>
      <c r="B62" s="57" t="s">
        <v>43</v>
      </c>
      <c r="C62" s="57" t="s">
        <v>44</v>
      </c>
      <c r="D62" s="57" t="s">
        <v>42</v>
      </c>
      <c r="E62" s="57" t="s">
        <v>25</v>
      </c>
      <c r="F62" s="57" t="s">
        <v>62</v>
      </c>
      <c r="G62" s="57" t="s">
        <v>25</v>
      </c>
      <c r="H62" s="57" t="s">
        <v>37</v>
      </c>
      <c r="I62" s="82">
        <v>44136</v>
      </c>
      <c r="J62" s="83">
        <f ca="1">EFEITO!$J$62*EFEITO!$Y$62</f>
        <v>162518.81072285326</v>
      </c>
      <c r="K62" s="83">
        <f ca="1">EFEITO!$L$62*EFEITO!$Z$62</f>
        <v>0</v>
      </c>
      <c r="L62" s="83">
        <f>EFEITO!$N$62*EFEITO!$AA$62</f>
        <v>0</v>
      </c>
      <c r="M62" s="83">
        <f ca="1">$J$62-EFEITO!$K$62*EFEITO!$Y$62</f>
        <v>76968.908758343299</v>
      </c>
      <c r="N62" s="83">
        <f ca="1">$K$62-EFEITO!$M$62*EFEITO!$Z$62</f>
        <v>0</v>
      </c>
      <c r="O62" s="83">
        <f>$L$62-EFEITO!$O$62*EFEITO!$AA$62</f>
        <v>0</v>
      </c>
      <c r="P62" s="61"/>
      <c r="Q62" s="61"/>
      <c r="R62" s="61"/>
      <c r="S62" s="61"/>
      <c r="T62" s="61"/>
      <c r="U62" s="61"/>
      <c r="V62" s="61"/>
      <c r="W62" s="61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spans="1:36" ht="11.25" customHeight="1" x14ac:dyDescent="0.2">
      <c r="A63" s="57" t="s">
        <v>21</v>
      </c>
      <c r="B63" s="57" t="s">
        <v>43</v>
      </c>
      <c r="C63" s="57" t="s">
        <v>44</v>
      </c>
      <c r="D63" s="57" t="s">
        <v>42</v>
      </c>
      <c r="E63" s="57" t="s">
        <v>25</v>
      </c>
      <c r="F63" s="57" t="s">
        <v>62</v>
      </c>
      <c r="G63" s="57" t="s">
        <v>25</v>
      </c>
      <c r="H63" s="57" t="s">
        <v>37</v>
      </c>
      <c r="I63" s="82">
        <v>44166</v>
      </c>
      <c r="J63" s="83">
        <f ca="1">EFEITO!$J$63*EFEITO!$Y$63</f>
        <v>169040.56000310872</v>
      </c>
      <c r="K63" s="83">
        <f ca="1">EFEITO!$L$63*EFEITO!$Z$63</f>
        <v>0</v>
      </c>
      <c r="L63" s="83">
        <f>EFEITO!$N$63*EFEITO!$AA$63</f>
        <v>0</v>
      </c>
      <c r="M63" s="83">
        <f ca="1">$J$63-EFEITO!$K$63*EFEITO!$Y$63</f>
        <v>65537.025113205265</v>
      </c>
      <c r="N63" s="83">
        <f ca="1">$K$63-EFEITO!$M$63*EFEITO!$Z$63</f>
        <v>0</v>
      </c>
      <c r="O63" s="83">
        <f>$L$63-EFEITO!$O$63*EFEITO!$AA$63</f>
        <v>0</v>
      </c>
      <c r="P63" s="61"/>
      <c r="Q63" s="61"/>
      <c r="R63" s="61"/>
      <c r="S63" s="61"/>
      <c r="T63" s="61"/>
      <c r="U63" s="61"/>
      <c r="V63" s="61"/>
      <c r="W63" s="61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spans="1:36" ht="11.25" customHeight="1" x14ac:dyDescent="0.2">
      <c r="A64" s="57" t="s">
        <v>21</v>
      </c>
      <c r="B64" s="57" t="s">
        <v>43</v>
      </c>
      <c r="C64" s="57" t="s">
        <v>44</v>
      </c>
      <c r="D64" s="57" t="s">
        <v>42</v>
      </c>
      <c r="E64" s="57" t="s">
        <v>25</v>
      </c>
      <c r="F64" s="57" t="s">
        <v>62</v>
      </c>
      <c r="G64" s="57" t="s">
        <v>25</v>
      </c>
      <c r="H64" s="57" t="s">
        <v>37</v>
      </c>
      <c r="I64" s="82">
        <v>44197</v>
      </c>
      <c r="J64" s="83">
        <f ca="1">EFEITO!$J$64*EFEITO!$Y$64</f>
        <v>168833.77283080792</v>
      </c>
      <c r="K64" s="83">
        <f ca="1">EFEITO!$L$64*EFEITO!$Z$64</f>
        <v>0</v>
      </c>
      <c r="L64" s="83">
        <f>EFEITO!$N$64*EFEITO!$AA$64</f>
        <v>0</v>
      </c>
      <c r="M64" s="83">
        <f ca="1">$J$64-EFEITO!$K$64*EFEITO!$Y$64</f>
        <v>65456.85372650424</v>
      </c>
      <c r="N64" s="83">
        <f ca="1">$K$64-EFEITO!$M$64*EFEITO!$Z$64</f>
        <v>0</v>
      </c>
      <c r="O64" s="83">
        <f>$L$64-EFEITO!$O$64*EFEITO!$AA$64</f>
        <v>0</v>
      </c>
      <c r="P64" s="61"/>
      <c r="Q64" s="61"/>
      <c r="R64" s="61"/>
      <c r="S64" s="61"/>
      <c r="T64" s="61"/>
      <c r="U64" s="61"/>
      <c r="V64" s="61"/>
      <c r="W64" s="61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spans="1:36" ht="11.25" customHeight="1" x14ac:dyDescent="0.2">
      <c r="A65" s="57" t="s">
        <v>21</v>
      </c>
      <c r="B65" s="57" t="s">
        <v>43</v>
      </c>
      <c r="C65" s="57" t="s">
        <v>44</v>
      </c>
      <c r="D65" s="57" t="s">
        <v>42</v>
      </c>
      <c r="E65" s="57" t="s">
        <v>25</v>
      </c>
      <c r="F65" s="57" t="s">
        <v>62</v>
      </c>
      <c r="G65" s="57" t="s">
        <v>25</v>
      </c>
      <c r="H65" s="57" t="s">
        <v>37</v>
      </c>
      <c r="I65" s="82">
        <v>44228</v>
      </c>
      <c r="J65" s="83">
        <f ca="1">EFEITO!$J$65*EFEITO!$Y$65</f>
        <v>168833.77283080792</v>
      </c>
      <c r="K65" s="83">
        <f ca="1">EFEITO!$L$65*EFEITO!$Z$65</f>
        <v>0</v>
      </c>
      <c r="L65" s="83">
        <f>EFEITO!$N$65*EFEITO!$AA$65</f>
        <v>0</v>
      </c>
      <c r="M65" s="83">
        <f ca="1">$J$65-EFEITO!$K$65*EFEITO!$Y$65</f>
        <v>65456.85372650424</v>
      </c>
      <c r="N65" s="83">
        <f ca="1">$K$65-EFEITO!$M$65*EFEITO!$Z$65</f>
        <v>0</v>
      </c>
      <c r="O65" s="83">
        <f>$L$65-EFEITO!$O$65*EFEITO!$AA$65</f>
        <v>0</v>
      </c>
      <c r="P65" s="61"/>
      <c r="Q65" s="61"/>
      <c r="R65" s="61"/>
      <c r="S65" s="61"/>
      <c r="T65" s="61"/>
      <c r="U65" s="61"/>
      <c r="V65" s="61"/>
      <c r="W65" s="61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spans="1:36" ht="11.25" customHeight="1" x14ac:dyDescent="0.2">
      <c r="A66" s="57" t="s">
        <v>21</v>
      </c>
      <c r="B66" s="57" t="s">
        <v>43</v>
      </c>
      <c r="C66" s="57" t="s">
        <v>44</v>
      </c>
      <c r="D66" s="57" t="s">
        <v>42</v>
      </c>
      <c r="E66" s="57" t="s">
        <v>25</v>
      </c>
      <c r="F66" s="57" t="s">
        <v>62</v>
      </c>
      <c r="G66" s="57" t="s">
        <v>25</v>
      </c>
      <c r="H66" s="57" t="s">
        <v>37</v>
      </c>
      <c r="I66" s="82">
        <v>44256</v>
      </c>
      <c r="J66" s="83">
        <f ca="1">EFEITO!$J$66*EFEITO!$Y$66</f>
        <v>168833.77283080792</v>
      </c>
      <c r="K66" s="83">
        <f ca="1">EFEITO!$L$66*EFEITO!$Z$66</f>
        <v>0</v>
      </c>
      <c r="L66" s="83">
        <f>EFEITO!$N$66*EFEITO!$AA$66</f>
        <v>0</v>
      </c>
      <c r="M66" s="83">
        <f ca="1">$J$66-EFEITO!$K$66*EFEITO!$Y$66</f>
        <v>65456.85372650424</v>
      </c>
      <c r="N66" s="83">
        <f ca="1">$K$66-EFEITO!$M$66*EFEITO!$Z$66</f>
        <v>0</v>
      </c>
      <c r="O66" s="83">
        <f>$L$66-EFEITO!$O$66*EFEITO!$AA$66</f>
        <v>0</v>
      </c>
      <c r="P66" s="61"/>
      <c r="Q66" s="61"/>
      <c r="R66" s="61"/>
      <c r="S66" s="61"/>
      <c r="T66" s="61"/>
      <c r="U66" s="61"/>
      <c r="V66" s="61"/>
      <c r="W66" s="61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spans="1:36" ht="11.25" customHeight="1" x14ac:dyDescent="0.2">
      <c r="A67" s="57" t="s">
        <v>21</v>
      </c>
      <c r="B67" s="57" t="s">
        <v>43</v>
      </c>
      <c r="C67" s="57" t="s">
        <v>44</v>
      </c>
      <c r="D67" s="57" t="s">
        <v>42</v>
      </c>
      <c r="E67" s="57" t="s">
        <v>25</v>
      </c>
      <c r="F67" s="57" t="s">
        <v>62</v>
      </c>
      <c r="G67" s="57" t="s">
        <v>25</v>
      </c>
      <c r="H67" s="57" t="s">
        <v>37</v>
      </c>
      <c r="I67" s="82">
        <v>44287</v>
      </c>
      <c r="J67" s="83">
        <f ca="1">EFEITO!$J$67*EFEITO!$Y$67</f>
        <v>168833.77283080792</v>
      </c>
      <c r="K67" s="83">
        <f ca="1">EFEITO!$L$67*EFEITO!$Z$67</f>
        <v>0</v>
      </c>
      <c r="L67" s="83">
        <f>EFEITO!$N$67*EFEITO!$AA$67</f>
        <v>0</v>
      </c>
      <c r="M67" s="83">
        <f ca="1">$J$67-EFEITO!$K$67*EFEITO!$Y$67</f>
        <v>65456.85372650424</v>
      </c>
      <c r="N67" s="83">
        <f ca="1">$K$67-EFEITO!$M$67*EFEITO!$Z$67</f>
        <v>0</v>
      </c>
      <c r="O67" s="83">
        <f>$L$67-EFEITO!$O$67*EFEITO!$AA$67</f>
        <v>0</v>
      </c>
      <c r="P67" s="61"/>
      <c r="Q67" s="61"/>
      <c r="R67" s="61"/>
      <c r="S67" s="61"/>
      <c r="T67" s="61"/>
      <c r="U67" s="61"/>
      <c r="V67" s="61"/>
      <c r="W67" s="61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spans="1:36" ht="11.25" customHeight="1" x14ac:dyDescent="0.2">
      <c r="A68" s="57" t="s">
        <v>21</v>
      </c>
      <c r="B68" s="57" t="s">
        <v>43</v>
      </c>
      <c r="C68" s="57" t="s">
        <v>44</v>
      </c>
      <c r="D68" s="57" t="s">
        <v>42</v>
      </c>
      <c r="E68" s="57" t="s">
        <v>25</v>
      </c>
      <c r="F68" s="57" t="s">
        <v>62</v>
      </c>
      <c r="G68" s="57" t="s">
        <v>25</v>
      </c>
      <c r="H68" s="57" t="s">
        <v>37</v>
      </c>
      <c r="I68" s="82">
        <v>44317</v>
      </c>
      <c r="J68" s="83">
        <f ca="1">EFEITO!$J$68*EFEITO!$Y$68</f>
        <v>168833.77283080792</v>
      </c>
      <c r="K68" s="83">
        <f ca="1">EFEITO!$L$68*EFEITO!$Z$68</f>
        <v>0</v>
      </c>
      <c r="L68" s="83">
        <f>EFEITO!$N$68*EFEITO!$AA$68</f>
        <v>0</v>
      </c>
      <c r="M68" s="83">
        <f ca="1">$J$68-EFEITO!$K$68*EFEITO!$Y$68</f>
        <v>65456.85372650424</v>
      </c>
      <c r="N68" s="83">
        <f ca="1">$K$68-EFEITO!$M$68*EFEITO!$Z$68</f>
        <v>0</v>
      </c>
      <c r="O68" s="83">
        <f>$L$68-EFEITO!$O$68*EFEITO!$AA$68</f>
        <v>0</v>
      </c>
      <c r="P68" s="61"/>
      <c r="Q68" s="61"/>
      <c r="R68" s="61"/>
      <c r="S68" s="61"/>
      <c r="T68" s="61"/>
      <c r="U68" s="61"/>
      <c r="V68" s="61"/>
      <c r="W68" s="61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spans="1:36" ht="11.25" customHeight="1" x14ac:dyDescent="0.2">
      <c r="A69" s="57" t="s">
        <v>21</v>
      </c>
      <c r="B69" s="57" t="s">
        <v>43</v>
      </c>
      <c r="C69" s="57" t="s">
        <v>44</v>
      </c>
      <c r="D69" s="57" t="s">
        <v>42</v>
      </c>
      <c r="E69" s="57" t="s">
        <v>25</v>
      </c>
      <c r="F69" s="57" t="s">
        <v>62</v>
      </c>
      <c r="G69" s="57" t="s">
        <v>25</v>
      </c>
      <c r="H69" s="57" t="s">
        <v>37</v>
      </c>
      <c r="I69" s="82">
        <v>44348</v>
      </c>
      <c r="J69" s="83">
        <f ca="1">EFEITO!$J$69*EFEITO!$Y$69</f>
        <v>168833.77283080792</v>
      </c>
      <c r="K69" s="83">
        <f ca="1">EFEITO!$L$69*EFEITO!$Z$69</f>
        <v>0</v>
      </c>
      <c r="L69" s="83">
        <f>EFEITO!$N$69*EFEITO!$AA$69</f>
        <v>0</v>
      </c>
      <c r="M69" s="83">
        <f ca="1">$J$69-EFEITO!$K$69*EFEITO!$Y$69</f>
        <v>65456.85372650424</v>
      </c>
      <c r="N69" s="83">
        <f ca="1">$K$69-EFEITO!$M$69*EFEITO!$Z$69</f>
        <v>0</v>
      </c>
      <c r="O69" s="83">
        <f>$L$69-EFEITO!$O$69*EFEITO!$AA$69</f>
        <v>0</v>
      </c>
      <c r="P69" s="61"/>
      <c r="Q69" s="61"/>
      <c r="R69" s="61"/>
      <c r="S69" s="61"/>
      <c r="T69" s="61"/>
      <c r="U69" s="61"/>
      <c r="V69" s="61"/>
      <c r="W69" s="61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spans="1:36" ht="11.25" customHeight="1" x14ac:dyDescent="0.2">
      <c r="A70" s="57" t="s">
        <v>21</v>
      </c>
      <c r="B70" s="57" t="s">
        <v>43</v>
      </c>
      <c r="C70" s="57" t="s">
        <v>44</v>
      </c>
      <c r="D70" s="57" t="s">
        <v>42</v>
      </c>
      <c r="E70" s="57" t="s">
        <v>25</v>
      </c>
      <c r="F70" s="57" t="s">
        <v>62</v>
      </c>
      <c r="G70" s="57" t="s">
        <v>25</v>
      </c>
      <c r="H70" s="57" t="s">
        <v>37</v>
      </c>
      <c r="I70" s="82">
        <v>44378</v>
      </c>
      <c r="J70" s="83">
        <f ca="1">EFEITO!$J$70*EFEITO!$Y$70</f>
        <v>168833.77283080792</v>
      </c>
      <c r="K70" s="83">
        <f ca="1">EFEITO!$L$70*EFEITO!$Z$70</f>
        <v>0</v>
      </c>
      <c r="L70" s="83">
        <f>EFEITO!$N$70*EFEITO!$AA$70</f>
        <v>0</v>
      </c>
      <c r="M70" s="83">
        <f ca="1">$J$70-EFEITO!$K$70*EFEITO!$Y$70</f>
        <v>65456.85372650424</v>
      </c>
      <c r="N70" s="83">
        <f ca="1">$K$70-EFEITO!$M$70*EFEITO!$Z$70</f>
        <v>0</v>
      </c>
      <c r="O70" s="83">
        <f>$L$70-EFEITO!$O$70*EFEITO!$AA$70</f>
        <v>0</v>
      </c>
      <c r="P70" s="61"/>
      <c r="Q70" s="61"/>
      <c r="R70" s="61"/>
      <c r="S70" s="61"/>
      <c r="T70" s="61"/>
      <c r="U70" s="61"/>
      <c r="V70" s="61"/>
      <c r="W70" s="61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spans="1:36" ht="11.25" customHeight="1" x14ac:dyDescent="0.2">
      <c r="A71" s="57" t="s">
        <v>21</v>
      </c>
      <c r="B71" s="57" t="s">
        <v>43</v>
      </c>
      <c r="C71" s="57" t="s">
        <v>44</v>
      </c>
      <c r="D71" s="57" t="s">
        <v>42</v>
      </c>
      <c r="E71" s="57" t="s">
        <v>25</v>
      </c>
      <c r="F71" s="57" t="s">
        <v>62</v>
      </c>
      <c r="G71" s="57" t="s">
        <v>25</v>
      </c>
      <c r="H71" s="57" t="s">
        <v>37</v>
      </c>
      <c r="I71" s="82">
        <v>44409</v>
      </c>
      <c r="J71" s="83">
        <f ca="1">EFEITO!$J$71*EFEITO!$Y$71</f>
        <v>189862.43758324132</v>
      </c>
      <c r="K71" s="83">
        <f ca="1">EFEITO!$L$71*EFEITO!$Z$71</f>
        <v>0</v>
      </c>
      <c r="L71" s="83">
        <f>EFEITO!$N$71*EFEITO!$AA$71</f>
        <v>0</v>
      </c>
      <c r="M71" s="83">
        <f ca="1">$J$71-EFEITO!$K$71*EFEITO!$Y$71</f>
        <v>70932.606681098958</v>
      </c>
      <c r="N71" s="83">
        <f ca="1">$K$71-EFEITO!$M$71*EFEITO!$Z$71</f>
        <v>0</v>
      </c>
      <c r="O71" s="83">
        <f>$L$71-EFEITO!$O$71*EFEITO!$AA$71</f>
        <v>0</v>
      </c>
      <c r="P71" s="61"/>
      <c r="Q71" s="61"/>
      <c r="R71" s="61"/>
      <c r="S71" s="61"/>
      <c r="T71" s="61"/>
      <c r="U71" s="61"/>
      <c r="V71" s="61"/>
      <c r="W71" s="61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spans="1:36" ht="11.25" customHeight="1" x14ac:dyDescent="0.2">
      <c r="A72" s="57" t="s">
        <v>21</v>
      </c>
      <c r="B72" s="57" t="s">
        <v>43</v>
      </c>
      <c r="C72" s="57" t="s">
        <v>44</v>
      </c>
      <c r="D72" s="57" t="s">
        <v>42</v>
      </c>
      <c r="E72" s="57" t="s">
        <v>25</v>
      </c>
      <c r="F72" s="57" t="s">
        <v>62</v>
      </c>
      <c r="G72" s="57" t="s">
        <v>25</v>
      </c>
      <c r="H72" s="57" t="s">
        <v>37</v>
      </c>
      <c r="I72" s="82">
        <v>44440</v>
      </c>
      <c r="J72" s="83">
        <f ca="1">EFEITO!$J$72*EFEITO!$Y$72</f>
        <v>192121.18977298832</v>
      </c>
      <c r="K72" s="83">
        <f ca="1">EFEITO!$L$72*EFEITO!$Z$72</f>
        <v>0</v>
      </c>
      <c r="L72" s="83">
        <f>EFEITO!$N$72*EFEITO!$AA$72</f>
        <v>0</v>
      </c>
      <c r="M72" s="83">
        <f ca="1">$J$72-EFEITO!$K$72*EFEITO!$Y$72</f>
        <v>76521.869886581248</v>
      </c>
      <c r="N72" s="83">
        <f ca="1">$K$72-EFEITO!$M$72*EFEITO!$Z$72</f>
        <v>0</v>
      </c>
      <c r="O72" s="83">
        <f>$L$72-EFEITO!$O$72*EFEITO!$AA$72</f>
        <v>0</v>
      </c>
      <c r="P72" s="61"/>
      <c r="Q72" s="61"/>
      <c r="R72" s="61"/>
      <c r="S72" s="61"/>
      <c r="T72" s="61"/>
      <c r="U72" s="61"/>
      <c r="V72" s="61"/>
      <c r="W72" s="61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spans="1:36" ht="11.25" customHeight="1" x14ac:dyDescent="0.2">
      <c r="A73" s="57" t="s">
        <v>59</v>
      </c>
      <c r="B73" s="57" t="s">
        <v>43</v>
      </c>
      <c r="C73" s="57" t="s">
        <v>44</v>
      </c>
      <c r="D73" s="57" t="s">
        <v>42</v>
      </c>
      <c r="E73" s="57" t="s">
        <v>25</v>
      </c>
      <c r="F73" s="57" t="s">
        <v>62</v>
      </c>
      <c r="G73" s="57" t="s">
        <v>25</v>
      </c>
      <c r="H73" s="57" t="s">
        <v>37</v>
      </c>
      <c r="I73" s="82">
        <v>44470</v>
      </c>
      <c r="J73" s="83">
        <f ca="1">EFEITO!$J$73*EFEITO!$Y$73</f>
        <v>192121.18977298832</v>
      </c>
      <c r="K73" s="83">
        <f ca="1">EFEITO!$L$73*EFEITO!$Z$73</f>
        <v>0</v>
      </c>
      <c r="L73" s="83">
        <f>EFEITO!$N$73*EFEITO!$AA$73</f>
        <v>0</v>
      </c>
      <c r="M73" s="83">
        <f ca="1">$J$73-EFEITO!$K$73*EFEITO!$Y$73</f>
        <v>76521.869886581248</v>
      </c>
      <c r="N73" s="83">
        <f ca="1">$K$73-EFEITO!$M$73*EFEITO!$Z$73</f>
        <v>0</v>
      </c>
      <c r="O73" s="83">
        <f>$L$73-EFEITO!$O$73*EFEITO!$AA$73</f>
        <v>0</v>
      </c>
      <c r="P73" s="61"/>
      <c r="Q73" s="61"/>
      <c r="R73" s="61"/>
      <c r="S73" s="61"/>
      <c r="T73" s="61"/>
      <c r="U73" s="61"/>
      <c r="V73" s="61"/>
      <c r="W73" s="61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spans="1:36" ht="11.25" customHeight="1" x14ac:dyDescent="0.2">
      <c r="A74" s="57" t="s">
        <v>21</v>
      </c>
      <c r="B74" s="57" t="s">
        <v>43</v>
      </c>
      <c r="C74" s="57" t="s">
        <v>44</v>
      </c>
      <c r="D74" s="57" t="s">
        <v>42</v>
      </c>
      <c r="E74" s="57" t="s">
        <v>25</v>
      </c>
      <c r="F74" s="57" t="s">
        <v>25</v>
      </c>
      <c r="G74" s="57" t="s">
        <v>25</v>
      </c>
      <c r="H74" s="57" t="s">
        <v>38</v>
      </c>
      <c r="I74" s="82">
        <v>44136</v>
      </c>
      <c r="J74" s="83">
        <f ca="1">EFEITO!$J$74*EFEITO!$Y$74</f>
        <v>66671.027725971202</v>
      </c>
      <c r="K74" s="83">
        <f ca="1">EFEITO!$L$74*EFEITO!$Z$74</f>
        <v>179033.63869570129</v>
      </c>
      <c r="L74" s="83">
        <f>EFEITO!$N$74*EFEITO!$AA$74</f>
        <v>763259.08763497777</v>
      </c>
      <c r="M74" s="83">
        <f ca="1">$J$74-EFEITO!$K$74*EFEITO!$Y$74</f>
        <v>0</v>
      </c>
      <c r="N74" s="83">
        <f ca="1">$K$74-EFEITO!$M$74*EFEITO!$Z$74</f>
        <v>0</v>
      </c>
      <c r="O74" s="83">
        <f>$L$74-EFEITO!$O$74*EFEITO!$AA$74</f>
        <v>0</v>
      </c>
      <c r="P74" s="61"/>
      <c r="Q74" s="61"/>
      <c r="R74" s="61"/>
      <c r="S74" s="61"/>
      <c r="T74" s="61"/>
      <c r="U74" s="61"/>
      <c r="V74" s="61"/>
      <c r="W74" s="61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spans="1:36" ht="11.25" customHeight="1" x14ac:dyDescent="0.2">
      <c r="A75" s="57" t="s">
        <v>21</v>
      </c>
      <c r="B75" s="57" t="s">
        <v>43</v>
      </c>
      <c r="C75" s="57" t="s">
        <v>44</v>
      </c>
      <c r="D75" s="57" t="s">
        <v>42</v>
      </c>
      <c r="E75" s="57" t="s">
        <v>25</v>
      </c>
      <c r="F75" s="57" t="s">
        <v>25</v>
      </c>
      <c r="G75" s="57" t="s">
        <v>25</v>
      </c>
      <c r="H75" s="57" t="s">
        <v>38</v>
      </c>
      <c r="I75" s="82">
        <v>44136</v>
      </c>
      <c r="J75" s="83">
        <f ca="1">EFEITO!$J$75*EFEITO!$Y$75</f>
        <v>1000868.9154947795</v>
      </c>
      <c r="K75" s="83">
        <f ca="1">EFEITO!$L$75*EFEITO!$Z$75</f>
        <v>0</v>
      </c>
      <c r="L75" s="83">
        <f>EFEITO!$N$75*EFEITO!$AA$75</f>
        <v>0</v>
      </c>
      <c r="M75" s="83">
        <f ca="1">$J$75-EFEITO!$K$75*EFEITO!$Y$75</f>
        <v>0</v>
      </c>
      <c r="N75" s="83">
        <f ca="1">$K$75-EFEITO!$M$75*EFEITO!$Z$75</f>
        <v>0</v>
      </c>
      <c r="O75" s="83">
        <f>$L$75-EFEITO!$O$75*EFEITO!$AA$75</f>
        <v>0</v>
      </c>
      <c r="P75" s="61"/>
      <c r="Q75" s="61"/>
      <c r="R75" s="61"/>
      <c r="S75" s="61"/>
      <c r="T75" s="61"/>
      <c r="U75" s="61"/>
      <c r="V75" s="61"/>
      <c r="W75" s="61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spans="1:36" ht="11.25" customHeight="1" x14ac:dyDescent="0.2">
      <c r="A76" s="57" t="s">
        <v>21</v>
      </c>
      <c r="B76" s="57" t="s">
        <v>43</v>
      </c>
      <c r="C76" s="57" t="s">
        <v>44</v>
      </c>
      <c r="D76" s="57" t="s">
        <v>42</v>
      </c>
      <c r="E76" s="57" t="s">
        <v>25</v>
      </c>
      <c r="F76" s="57" t="s">
        <v>25</v>
      </c>
      <c r="G76" s="57" t="s">
        <v>25</v>
      </c>
      <c r="H76" s="57" t="s">
        <v>38</v>
      </c>
      <c r="I76" s="82">
        <v>44166</v>
      </c>
      <c r="J76" s="83">
        <f ca="1">EFEITO!$J$76*EFEITO!$Y$76</f>
        <v>65368.580785265578</v>
      </c>
      <c r="K76" s="83">
        <f ca="1">EFEITO!$L$76*EFEITO!$Z$76</f>
        <v>188498.51461212247</v>
      </c>
      <c r="L76" s="83">
        <f>EFEITO!$N$76*EFEITO!$AA$76</f>
        <v>803609.89885221841</v>
      </c>
      <c r="M76" s="83">
        <f ca="1">$J$76-EFEITO!$K$76*EFEITO!$Y$76</f>
        <v>0</v>
      </c>
      <c r="N76" s="83">
        <f ca="1">$K$76-EFEITO!$M$76*EFEITO!$Z$76</f>
        <v>0</v>
      </c>
      <c r="O76" s="83">
        <f>$L$76-EFEITO!$O$76*EFEITO!$AA$76</f>
        <v>0</v>
      </c>
      <c r="P76" s="61"/>
      <c r="Q76" s="61"/>
      <c r="R76" s="61"/>
      <c r="S76" s="61"/>
      <c r="T76" s="61"/>
      <c r="U76" s="61"/>
      <c r="V76" s="61"/>
      <c r="W76" s="61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spans="1:36" ht="11.25" customHeight="1" x14ac:dyDescent="0.2">
      <c r="A77" s="57" t="s">
        <v>21</v>
      </c>
      <c r="B77" s="57" t="s">
        <v>43</v>
      </c>
      <c r="C77" s="57" t="s">
        <v>44</v>
      </c>
      <c r="D77" s="57" t="s">
        <v>42</v>
      </c>
      <c r="E77" s="57" t="s">
        <v>25</v>
      </c>
      <c r="F77" s="57" t="s">
        <v>25</v>
      </c>
      <c r="G77" s="57" t="s">
        <v>25</v>
      </c>
      <c r="H77" s="57" t="s">
        <v>38</v>
      </c>
      <c r="I77" s="82">
        <v>44166</v>
      </c>
      <c r="J77" s="83">
        <f ca="1">EFEITO!$J$77*EFEITO!$Y$77</f>
        <v>1002534.2332249355</v>
      </c>
      <c r="K77" s="83">
        <f ca="1">EFEITO!$L$77*EFEITO!$Z$77</f>
        <v>0</v>
      </c>
      <c r="L77" s="83">
        <f>EFEITO!$N$77*EFEITO!$AA$77</f>
        <v>0</v>
      </c>
      <c r="M77" s="83">
        <f ca="1">$J$77-EFEITO!$K$77*EFEITO!$Y$77</f>
        <v>0</v>
      </c>
      <c r="N77" s="83">
        <f ca="1">$K$77-EFEITO!$M$77*EFEITO!$Z$77</f>
        <v>0</v>
      </c>
      <c r="O77" s="83">
        <f>$L$77-EFEITO!$O$77*EFEITO!$AA$77</f>
        <v>0</v>
      </c>
      <c r="P77" s="61"/>
      <c r="Q77" s="61"/>
      <c r="R77" s="61"/>
      <c r="S77" s="61"/>
      <c r="T77" s="61"/>
      <c r="U77" s="61"/>
      <c r="V77" s="61"/>
      <c r="W77" s="61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spans="1:36" ht="11.25" customHeight="1" x14ac:dyDescent="0.2">
      <c r="A78" s="57" t="s">
        <v>21</v>
      </c>
      <c r="B78" s="57" t="s">
        <v>43</v>
      </c>
      <c r="C78" s="57" t="s">
        <v>44</v>
      </c>
      <c r="D78" s="57" t="s">
        <v>42</v>
      </c>
      <c r="E78" s="57" t="s">
        <v>25</v>
      </c>
      <c r="F78" s="57" t="s">
        <v>25</v>
      </c>
      <c r="G78" s="57" t="s">
        <v>25</v>
      </c>
      <c r="H78" s="57" t="s">
        <v>38</v>
      </c>
      <c r="I78" s="82">
        <v>44197</v>
      </c>
      <c r="J78" s="83">
        <f ca="1">EFEITO!$J$78*EFEITO!$Y$78</f>
        <v>68051.232692987614</v>
      </c>
      <c r="K78" s="83">
        <f ca="1">EFEITO!$L$78*EFEITO!$Z$78</f>
        <v>183179.96362879805</v>
      </c>
      <c r="L78" s="83">
        <f>EFEITO!$N$78*EFEITO!$AA$78</f>
        <v>780935.7667692973</v>
      </c>
      <c r="M78" s="83">
        <f ca="1">$J$78-EFEITO!$K$78*EFEITO!$Y$78</f>
        <v>0</v>
      </c>
      <c r="N78" s="83">
        <f ca="1">$K$78-EFEITO!$M$78*EFEITO!$Z$78</f>
        <v>0</v>
      </c>
      <c r="O78" s="83">
        <f>$L$78-EFEITO!$O$78*EFEITO!$AA$78</f>
        <v>0</v>
      </c>
      <c r="P78" s="61"/>
      <c r="Q78" s="61"/>
      <c r="R78" s="61"/>
      <c r="S78" s="61"/>
      <c r="T78" s="61"/>
      <c r="U78" s="61"/>
      <c r="V78" s="61"/>
      <c r="W78" s="61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spans="1:36" ht="11.25" customHeight="1" x14ac:dyDescent="0.2">
      <c r="A79" s="57" t="s">
        <v>21</v>
      </c>
      <c r="B79" s="57" t="s">
        <v>43</v>
      </c>
      <c r="C79" s="57" t="s">
        <v>44</v>
      </c>
      <c r="D79" s="57" t="s">
        <v>42</v>
      </c>
      <c r="E79" s="57" t="s">
        <v>25</v>
      </c>
      <c r="F79" s="57" t="s">
        <v>25</v>
      </c>
      <c r="G79" s="57" t="s">
        <v>25</v>
      </c>
      <c r="H79" s="57" t="s">
        <v>38</v>
      </c>
      <c r="I79" s="82">
        <v>44197</v>
      </c>
      <c r="J79" s="83">
        <f ca="1">EFEITO!$J$79*EFEITO!$Y$79</f>
        <v>1000182.0529290342</v>
      </c>
      <c r="K79" s="83">
        <f ca="1">EFEITO!$L$79*EFEITO!$Z$79</f>
        <v>0</v>
      </c>
      <c r="L79" s="83">
        <f>EFEITO!$N$79*EFEITO!$AA$79</f>
        <v>0</v>
      </c>
      <c r="M79" s="83">
        <f ca="1">$J$79-EFEITO!$K$79*EFEITO!$Y$79</f>
        <v>0</v>
      </c>
      <c r="N79" s="83">
        <f ca="1">$K$79-EFEITO!$M$79*EFEITO!$Z$79</f>
        <v>0</v>
      </c>
      <c r="O79" s="83">
        <f>$L$79-EFEITO!$O$79*EFEITO!$AA$79</f>
        <v>0</v>
      </c>
      <c r="P79" s="61"/>
      <c r="Q79" s="61"/>
      <c r="R79" s="61"/>
      <c r="S79" s="61"/>
      <c r="T79" s="61"/>
      <c r="U79" s="61"/>
      <c r="V79" s="61"/>
      <c r="W79" s="61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spans="1:36" ht="11.25" customHeight="1" x14ac:dyDescent="0.2">
      <c r="A80" s="57" t="s">
        <v>21</v>
      </c>
      <c r="B80" s="57" t="s">
        <v>43</v>
      </c>
      <c r="C80" s="57" t="s">
        <v>44</v>
      </c>
      <c r="D80" s="57" t="s">
        <v>42</v>
      </c>
      <c r="E80" s="57" t="s">
        <v>25</v>
      </c>
      <c r="F80" s="57" t="s">
        <v>25</v>
      </c>
      <c r="G80" s="57" t="s">
        <v>25</v>
      </c>
      <c r="H80" s="57" t="s">
        <v>38</v>
      </c>
      <c r="I80" s="82">
        <v>44228</v>
      </c>
      <c r="J80" s="83">
        <f ca="1">EFEITO!$J$80*EFEITO!$Y$80</f>
        <v>68342.825291653062</v>
      </c>
      <c r="K80" s="83">
        <f ca="1">EFEITO!$L$80*EFEITO!$Z$80</f>
        <v>171241.3615887195</v>
      </c>
      <c r="L80" s="83">
        <f>EFEITO!$N$80*EFEITO!$AA$80</f>
        <v>730038.92656020506</v>
      </c>
      <c r="M80" s="83">
        <f ca="1">$J$80-EFEITO!$K$80*EFEITO!$Y$80</f>
        <v>0</v>
      </c>
      <c r="N80" s="83">
        <f ca="1">$K$80-EFEITO!$M$80*EFEITO!$Z$80</f>
        <v>0</v>
      </c>
      <c r="O80" s="83">
        <f>$L$80-EFEITO!$O$80*EFEITO!$AA$80</f>
        <v>0</v>
      </c>
      <c r="P80" s="61"/>
      <c r="Q80" s="61"/>
      <c r="R80" s="61"/>
      <c r="S80" s="61"/>
      <c r="T80" s="61"/>
      <c r="U80" s="61"/>
      <c r="V80" s="61"/>
      <c r="W80" s="61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spans="1:36" ht="11.25" customHeight="1" x14ac:dyDescent="0.2">
      <c r="A81" s="57" t="s">
        <v>21</v>
      </c>
      <c r="B81" s="57" t="s">
        <v>43</v>
      </c>
      <c r="C81" s="57" t="s">
        <v>44</v>
      </c>
      <c r="D81" s="57" t="s">
        <v>42</v>
      </c>
      <c r="E81" s="57" t="s">
        <v>25</v>
      </c>
      <c r="F81" s="57" t="s">
        <v>25</v>
      </c>
      <c r="G81" s="57" t="s">
        <v>25</v>
      </c>
      <c r="H81" s="57" t="s">
        <v>38</v>
      </c>
      <c r="I81" s="82">
        <v>44228</v>
      </c>
      <c r="J81" s="83">
        <f ca="1">EFEITO!$J$81*EFEITO!$Y$81</f>
        <v>1001186.4274355485</v>
      </c>
      <c r="K81" s="83">
        <f ca="1">EFEITO!$L$81*EFEITO!$Z$81</f>
        <v>0</v>
      </c>
      <c r="L81" s="83">
        <f>EFEITO!$N$81*EFEITO!$AA$81</f>
        <v>0</v>
      </c>
      <c r="M81" s="83">
        <f ca="1">$J$81-EFEITO!$K$81*EFEITO!$Y$81</f>
        <v>0</v>
      </c>
      <c r="N81" s="83">
        <f ca="1">$K$81-EFEITO!$M$81*EFEITO!$Z$81</f>
        <v>0</v>
      </c>
      <c r="O81" s="83">
        <f>$L$81-EFEITO!$O$81*EFEITO!$AA$81</f>
        <v>0</v>
      </c>
      <c r="P81" s="61"/>
      <c r="Q81" s="61"/>
      <c r="R81" s="61"/>
      <c r="S81" s="61"/>
      <c r="T81" s="61"/>
      <c r="U81" s="61"/>
      <c r="V81" s="61"/>
      <c r="W81" s="61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spans="1:36" ht="11.25" customHeight="1" x14ac:dyDescent="0.2">
      <c r="A82" s="57" t="s">
        <v>21</v>
      </c>
      <c r="B82" s="57" t="s">
        <v>43</v>
      </c>
      <c r="C82" s="57" t="s">
        <v>44</v>
      </c>
      <c r="D82" s="57" t="s">
        <v>42</v>
      </c>
      <c r="E82" s="57" t="s">
        <v>25</v>
      </c>
      <c r="F82" s="57" t="s">
        <v>25</v>
      </c>
      <c r="G82" s="57" t="s">
        <v>25</v>
      </c>
      <c r="H82" s="57" t="s">
        <v>38</v>
      </c>
      <c r="I82" s="82">
        <v>44256</v>
      </c>
      <c r="J82" s="83">
        <f ca="1">EFEITO!$J$82*EFEITO!$Y$82</f>
        <v>67908.676311417847</v>
      </c>
      <c r="K82" s="83">
        <f ca="1">EFEITO!$L$82*EFEITO!$Z$82</f>
        <v>188980.30588955976</v>
      </c>
      <c r="L82" s="83">
        <f>EFEITO!$N$82*EFEITO!$AA$82</f>
        <v>805663.87917416391</v>
      </c>
      <c r="M82" s="83">
        <f ca="1">$J$82-EFEITO!$K$82*EFEITO!$Y$82</f>
        <v>0</v>
      </c>
      <c r="N82" s="83">
        <f ca="1">$K$82-EFEITO!$M$82*EFEITO!$Z$82</f>
        <v>0</v>
      </c>
      <c r="O82" s="83">
        <f>$L$82-EFEITO!$O$82*EFEITO!$AA$82</f>
        <v>0</v>
      </c>
      <c r="P82" s="61"/>
      <c r="Q82" s="61"/>
      <c r="R82" s="61"/>
      <c r="S82" s="61"/>
      <c r="T82" s="61"/>
      <c r="U82" s="61"/>
      <c r="V82" s="61"/>
      <c r="W82" s="61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spans="1:36" ht="11.25" customHeight="1" x14ac:dyDescent="0.2">
      <c r="A83" s="57" t="s">
        <v>21</v>
      </c>
      <c r="B83" s="57" t="s">
        <v>43</v>
      </c>
      <c r="C83" s="57" t="s">
        <v>44</v>
      </c>
      <c r="D83" s="57" t="s">
        <v>42</v>
      </c>
      <c r="E83" s="57" t="s">
        <v>25</v>
      </c>
      <c r="F83" s="57" t="s">
        <v>25</v>
      </c>
      <c r="G83" s="57" t="s">
        <v>25</v>
      </c>
      <c r="H83" s="57" t="s">
        <v>38</v>
      </c>
      <c r="I83" s="82">
        <v>44256</v>
      </c>
      <c r="J83" s="83">
        <f ca="1">EFEITO!$J$83*EFEITO!$Y$83</f>
        <v>1001179.9476000227</v>
      </c>
      <c r="K83" s="83">
        <f ca="1">EFEITO!$L$83*EFEITO!$Z$83</f>
        <v>0</v>
      </c>
      <c r="L83" s="83">
        <f>EFEITO!$N$83*EFEITO!$AA$83</f>
        <v>0</v>
      </c>
      <c r="M83" s="83">
        <f ca="1">$J$83-EFEITO!$K$83*EFEITO!$Y$83</f>
        <v>0</v>
      </c>
      <c r="N83" s="83">
        <f ca="1">$K$83-EFEITO!$M$83*EFEITO!$Z$83</f>
        <v>0</v>
      </c>
      <c r="O83" s="83">
        <f>$L$83-EFEITO!$O$83*EFEITO!$AA$83</f>
        <v>0</v>
      </c>
      <c r="P83" s="61"/>
      <c r="Q83" s="61"/>
      <c r="R83" s="61"/>
      <c r="S83" s="61"/>
      <c r="T83" s="61"/>
      <c r="U83" s="61"/>
      <c r="V83" s="61"/>
      <c r="W83" s="61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spans="1:36" ht="11.25" customHeight="1" x14ac:dyDescent="0.2">
      <c r="A84" s="57" t="s">
        <v>21</v>
      </c>
      <c r="B84" s="57" t="s">
        <v>43</v>
      </c>
      <c r="C84" s="57" t="s">
        <v>44</v>
      </c>
      <c r="D84" s="57" t="s">
        <v>42</v>
      </c>
      <c r="E84" s="57" t="s">
        <v>25</v>
      </c>
      <c r="F84" s="57" t="s">
        <v>25</v>
      </c>
      <c r="G84" s="57" t="s">
        <v>25</v>
      </c>
      <c r="H84" s="57" t="s">
        <v>38</v>
      </c>
      <c r="I84" s="82">
        <v>44287</v>
      </c>
      <c r="J84" s="83">
        <f ca="1">EFEITO!$J$84*EFEITO!$Y$84</f>
        <v>68634.417890318495</v>
      </c>
      <c r="K84" s="83">
        <f ca="1">EFEITO!$L$84*EFEITO!$Z$84</f>
        <v>180881.43433329967</v>
      </c>
      <c r="L84" s="83">
        <f>EFEITO!$N$84*EFEITO!$AA$84</f>
        <v>771136.63971269852</v>
      </c>
      <c r="M84" s="83">
        <f ca="1">$J$84-EFEITO!$K$84*EFEITO!$Y$84</f>
        <v>0</v>
      </c>
      <c r="N84" s="83">
        <f ca="1">$K$84-EFEITO!$M$84*EFEITO!$Z$84</f>
        <v>0</v>
      </c>
      <c r="O84" s="83">
        <f>$L$84-EFEITO!$O$84*EFEITO!$AA$84</f>
        <v>0</v>
      </c>
      <c r="P84" s="61"/>
      <c r="Q84" s="61"/>
      <c r="R84" s="61"/>
      <c r="S84" s="61"/>
      <c r="T84" s="61"/>
      <c r="U84" s="61"/>
      <c r="V84" s="61"/>
      <c r="W84" s="61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spans="1:36" ht="11.25" customHeight="1" x14ac:dyDescent="0.2">
      <c r="A85" s="57" t="s">
        <v>21</v>
      </c>
      <c r="B85" s="57" t="s">
        <v>43</v>
      </c>
      <c r="C85" s="57" t="s">
        <v>44</v>
      </c>
      <c r="D85" s="57" t="s">
        <v>42</v>
      </c>
      <c r="E85" s="57" t="s">
        <v>25</v>
      </c>
      <c r="F85" s="57" t="s">
        <v>25</v>
      </c>
      <c r="G85" s="57" t="s">
        <v>25</v>
      </c>
      <c r="H85" s="57" t="s">
        <v>38</v>
      </c>
      <c r="I85" s="82">
        <v>44287</v>
      </c>
      <c r="J85" s="83">
        <f ca="1">EFEITO!$J$85*EFEITO!$Y$85</f>
        <v>1020878.6475987545</v>
      </c>
      <c r="K85" s="83">
        <f ca="1">EFEITO!$L$85*EFEITO!$Z$85</f>
        <v>0</v>
      </c>
      <c r="L85" s="83">
        <f>EFEITO!$N$85*EFEITO!$AA$85</f>
        <v>0</v>
      </c>
      <c r="M85" s="83">
        <f ca="1">$J$85-EFEITO!$K$85*EFEITO!$Y$85</f>
        <v>0</v>
      </c>
      <c r="N85" s="83">
        <f ca="1">$K$85-EFEITO!$M$85*EFEITO!$Z$85</f>
        <v>0</v>
      </c>
      <c r="O85" s="83">
        <f>$L$85-EFEITO!$O$85*EFEITO!$AA$85</f>
        <v>0</v>
      </c>
      <c r="P85" s="61"/>
      <c r="Q85" s="61"/>
      <c r="R85" s="61"/>
      <c r="S85" s="61"/>
      <c r="T85" s="61"/>
      <c r="U85" s="61"/>
      <c r="V85" s="61"/>
      <c r="W85" s="61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spans="1:36" ht="11.25" customHeight="1" x14ac:dyDescent="0.2">
      <c r="A86" s="57" t="s">
        <v>21</v>
      </c>
      <c r="B86" s="57" t="s">
        <v>43</v>
      </c>
      <c r="C86" s="57" t="s">
        <v>44</v>
      </c>
      <c r="D86" s="57" t="s">
        <v>42</v>
      </c>
      <c r="E86" s="57" t="s">
        <v>25</v>
      </c>
      <c r="F86" s="57" t="s">
        <v>25</v>
      </c>
      <c r="G86" s="57" t="s">
        <v>25</v>
      </c>
      <c r="H86" s="57" t="s">
        <v>38</v>
      </c>
      <c r="I86" s="82">
        <v>44317</v>
      </c>
      <c r="J86" s="83">
        <f ca="1">EFEITO!$J$86*EFEITO!$Y$86</f>
        <v>68848.252462673147</v>
      </c>
      <c r="K86" s="83">
        <f ca="1">EFEITO!$L$86*EFEITO!$Z$86</f>
        <v>189437.14489147137</v>
      </c>
      <c r="L86" s="83">
        <f>EFEITO!$N$86*EFEITO!$AA$86</f>
        <v>807611.48255381582</v>
      </c>
      <c r="M86" s="83">
        <f ca="1">$J$86-EFEITO!$K$86*EFEITO!$Y$86</f>
        <v>0</v>
      </c>
      <c r="N86" s="83">
        <f ca="1">$K$86-EFEITO!$M$86*EFEITO!$Z$86</f>
        <v>0</v>
      </c>
      <c r="O86" s="83">
        <f>$L$86-EFEITO!$O$86*EFEITO!$AA$86</f>
        <v>0</v>
      </c>
      <c r="P86" s="61"/>
      <c r="Q86" s="61"/>
      <c r="R86" s="61"/>
      <c r="S86" s="61"/>
      <c r="T86" s="61"/>
      <c r="U86" s="61"/>
      <c r="V86" s="61"/>
      <c r="W86" s="61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spans="1:36" ht="11.25" customHeight="1" x14ac:dyDescent="0.2">
      <c r="A87" s="57" t="s">
        <v>21</v>
      </c>
      <c r="B87" s="57" t="s">
        <v>43</v>
      </c>
      <c r="C87" s="57" t="s">
        <v>44</v>
      </c>
      <c r="D87" s="57" t="s">
        <v>42</v>
      </c>
      <c r="E87" s="57" t="s">
        <v>25</v>
      </c>
      <c r="F87" s="57" t="s">
        <v>25</v>
      </c>
      <c r="G87" s="57" t="s">
        <v>25</v>
      </c>
      <c r="H87" s="57" t="s">
        <v>38</v>
      </c>
      <c r="I87" s="82">
        <v>44317</v>
      </c>
      <c r="J87" s="83">
        <f ca="1">EFEITO!$J$87*EFEITO!$Y$87</f>
        <v>1017768.3265463231</v>
      </c>
      <c r="K87" s="83">
        <f ca="1">EFEITO!$L$87*EFEITO!$Z$87</f>
        <v>0</v>
      </c>
      <c r="L87" s="83">
        <f>EFEITO!$N$87*EFEITO!$AA$87</f>
        <v>0</v>
      </c>
      <c r="M87" s="83">
        <f ca="1">$J$87-EFEITO!$K$87*EFEITO!$Y$87</f>
        <v>0</v>
      </c>
      <c r="N87" s="83">
        <f ca="1">$K$87-EFEITO!$M$87*EFEITO!$Z$87</f>
        <v>0</v>
      </c>
      <c r="O87" s="83">
        <f>$L$87-EFEITO!$O$87*EFEITO!$AA$87</f>
        <v>0</v>
      </c>
      <c r="P87" s="61"/>
      <c r="Q87" s="61"/>
      <c r="R87" s="61"/>
      <c r="S87" s="61"/>
      <c r="T87" s="61"/>
      <c r="U87" s="61"/>
      <c r="V87" s="61"/>
      <c r="W87" s="61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spans="1:36" ht="11.25" customHeight="1" x14ac:dyDescent="0.2">
      <c r="A88" s="57" t="s">
        <v>21</v>
      </c>
      <c r="B88" s="57" t="s">
        <v>43</v>
      </c>
      <c r="C88" s="57" t="s">
        <v>44</v>
      </c>
      <c r="D88" s="57" t="s">
        <v>42</v>
      </c>
      <c r="E88" s="57" t="s">
        <v>25</v>
      </c>
      <c r="F88" s="57" t="s">
        <v>25</v>
      </c>
      <c r="G88" s="57" t="s">
        <v>25</v>
      </c>
      <c r="H88" s="57" t="s">
        <v>38</v>
      </c>
      <c r="I88" s="82">
        <v>44348</v>
      </c>
      <c r="J88" s="83">
        <f ca="1">EFEITO!$J$88*EFEITO!$Y$88</f>
        <v>38879.013155391898</v>
      </c>
      <c r="K88" s="83">
        <f ca="1">EFEITO!$L$88*EFEITO!$Z$88</f>
        <v>14464.356312704445</v>
      </c>
      <c r="L88" s="83">
        <f>EFEITO!$N$88*EFEITO!$AA$88</f>
        <v>61664.676442322147</v>
      </c>
      <c r="M88" s="83">
        <f ca="1">$J$88-EFEITO!$K$88*EFEITO!$Y$88</f>
        <v>0</v>
      </c>
      <c r="N88" s="83">
        <f ca="1">$K$88-EFEITO!$M$88*EFEITO!$Z$88</f>
        <v>0</v>
      </c>
      <c r="O88" s="83">
        <f>$L$88-EFEITO!$O$88*EFEITO!$AA$88</f>
        <v>0</v>
      </c>
      <c r="P88" s="61"/>
      <c r="Q88" s="61"/>
      <c r="R88" s="61"/>
      <c r="S88" s="61"/>
      <c r="T88" s="61"/>
      <c r="U88" s="61"/>
      <c r="V88" s="61"/>
      <c r="W88" s="61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spans="1:36" ht="11.25" customHeight="1" x14ac:dyDescent="0.2">
      <c r="A89" s="57" t="s">
        <v>21</v>
      </c>
      <c r="B89" s="57" t="s">
        <v>43</v>
      </c>
      <c r="C89" s="57" t="s">
        <v>44</v>
      </c>
      <c r="D89" s="57" t="s">
        <v>42</v>
      </c>
      <c r="E89" s="57" t="s">
        <v>25</v>
      </c>
      <c r="F89" s="57" t="s">
        <v>25</v>
      </c>
      <c r="G89" s="57" t="s">
        <v>25</v>
      </c>
      <c r="H89" s="57" t="s">
        <v>38</v>
      </c>
      <c r="I89" s="82">
        <v>44348</v>
      </c>
      <c r="J89" s="83">
        <f ca="1">EFEITO!$J$89*EFEITO!$Y$89</f>
        <v>1000182.0529290342</v>
      </c>
      <c r="K89" s="83">
        <f ca="1">EFEITO!$L$89*EFEITO!$Z$89</f>
        <v>0</v>
      </c>
      <c r="L89" s="83">
        <f>EFEITO!$N$89*EFEITO!$AA$89</f>
        <v>0</v>
      </c>
      <c r="M89" s="83">
        <f ca="1">$J$89-EFEITO!$K$89*EFEITO!$Y$89</f>
        <v>0</v>
      </c>
      <c r="N89" s="83">
        <f ca="1">$K$89-EFEITO!$M$89*EFEITO!$Z$89</f>
        <v>0</v>
      </c>
      <c r="O89" s="83">
        <f>$L$89-EFEITO!$O$89*EFEITO!$AA$89</f>
        <v>0</v>
      </c>
      <c r="P89" s="61"/>
      <c r="Q89" s="61"/>
      <c r="R89" s="61"/>
      <c r="S89" s="61"/>
      <c r="T89" s="61"/>
      <c r="U89" s="61"/>
      <c r="V89" s="61"/>
      <c r="W89" s="61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spans="1:36" ht="11.25" customHeight="1" x14ac:dyDescent="0.2">
      <c r="A90" s="57" t="s">
        <v>21</v>
      </c>
      <c r="B90" s="57" t="s">
        <v>43</v>
      </c>
      <c r="C90" s="57" t="s">
        <v>44</v>
      </c>
      <c r="D90" s="57" t="s">
        <v>42</v>
      </c>
      <c r="E90" s="57" t="s">
        <v>25</v>
      </c>
      <c r="F90" s="57" t="s">
        <v>25</v>
      </c>
      <c r="G90" s="57" t="s">
        <v>25</v>
      </c>
      <c r="H90" s="57" t="s">
        <v>38</v>
      </c>
      <c r="I90" s="82">
        <v>44378</v>
      </c>
      <c r="J90" s="83">
        <f ca="1">EFEITO!$J$90*EFEITO!$Y$90</f>
        <v>65446.338811576359</v>
      </c>
      <c r="K90" s="83">
        <f ca="1">EFEITO!$L$90*EFEITO!$Z$90</f>
        <v>108936.19322544953</v>
      </c>
      <c r="L90" s="83">
        <f>EFEITO!$N$90*EFEITO!$AA$90</f>
        <v>464418.53082708223</v>
      </c>
      <c r="M90" s="83">
        <f ca="1">$J$90-EFEITO!$K$90*EFEITO!$Y$90</f>
        <v>0</v>
      </c>
      <c r="N90" s="83">
        <f ca="1">$K$90-EFEITO!$M$90*EFEITO!$Z$90</f>
        <v>0</v>
      </c>
      <c r="O90" s="83">
        <f>$L$90-EFEITO!$O$90*EFEITO!$AA$90</f>
        <v>0</v>
      </c>
      <c r="P90" s="61"/>
      <c r="Q90" s="61"/>
      <c r="R90" s="61"/>
      <c r="S90" s="61"/>
      <c r="T90" s="61"/>
      <c r="U90" s="61"/>
      <c r="V90" s="61"/>
      <c r="W90" s="61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spans="1:36" ht="11.25" customHeight="1" x14ac:dyDescent="0.2">
      <c r="A91" s="57" t="s">
        <v>21</v>
      </c>
      <c r="B91" s="57" t="s">
        <v>43</v>
      </c>
      <c r="C91" s="57" t="s">
        <v>44</v>
      </c>
      <c r="D91" s="57" t="s">
        <v>42</v>
      </c>
      <c r="E91" s="57" t="s">
        <v>25</v>
      </c>
      <c r="F91" s="57" t="s">
        <v>25</v>
      </c>
      <c r="G91" s="57" t="s">
        <v>25</v>
      </c>
      <c r="H91" s="57" t="s">
        <v>38</v>
      </c>
      <c r="I91" s="82">
        <v>44378</v>
      </c>
      <c r="J91" s="83">
        <f ca="1">EFEITO!$J$91*EFEITO!$Y$91</f>
        <v>1022226.4533881415</v>
      </c>
      <c r="K91" s="83">
        <f ca="1">EFEITO!$L$91*EFEITO!$Z$91</f>
        <v>0</v>
      </c>
      <c r="L91" s="83">
        <f>EFEITO!$N$91*EFEITO!$AA$91</f>
        <v>0</v>
      </c>
      <c r="M91" s="83">
        <f ca="1">$J$91-EFEITO!$K$91*EFEITO!$Y$91</f>
        <v>0</v>
      </c>
      <c r="N91" s="83">
        <f ca="1">$K$91-EFEITO!$M$91*EFEITO!$Z$91</f>
        <v>0</v>
      </c>
      <c r="O91" s="83">
        <f>$L$91-EFEITO!$O$91*EFEITO!$AA$91</f>
        <v>0</v>
      </c>
      <c r="P91" s="61"/>
      <c r="Q91" s="61"/>
      <c r="R91" s="61"/>
      <c r="S91" s="61"/>
      <c r="T91" s="61"/>
      <c r="U91" s="61"/>
      <c r="V91" s="61"/>
      <c r="W91" s="61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spans="1:36" ht="11.25" customHeight="1" x14ac:dyDescent="0.2">
      <c r="A92" s="57" t="s">
        <v>21</v>
      </c>
      <c r="B92" s="57" t="s">
        <v>43</v>
      </c>
      <c r="C92" s="57" t="s">
        <v>44</v>
      </c>
      <c r="D92" s="57" t="s">
        <v>42</v>
      </c>
      <c r="E92" s="57" t="s">
        <v>25</v>
      </c>
      <c r="F92" s="57" t="s">
        <v>25</v>
      </c>
      <c r="G92" s="57" t="s">
        <v>25</v>
      </c>
      <c r="H92" s="57" t="s">
        <v>38</v>
      </c>
      <c r="I92" s="82">
        <v>44409</v>
      </c>
      <c r="J92" s="83">
        <f ca="1">EFEITO!$J$92*EFEITO!$Y$92</f>
        <v>65446.338811576359</v>
      </c>
      <c r="K92" s="83">
        <f ca="1">EFEITO!$L$92*EFEITO!$Z$92</f>
        <v>119986.53407427491</v>
      </c>
      <c r="L92" s="83">
        <f>EFEITO!$N$92*EFEITO!$AA$92</f>
        <v>511528.52164096216</v>
      </c>
      <c r="M92" s="83">
        <f ca="1">$J$92-EFEITO!$K$92*EFEITO!$Y$92</f>
        <v>0</v>
      </c>
      <c r="N92" s="83">
        <f ca="1">$K$92-EFEITO!$M$92*EFEITO!$Z$92</f>
        <v>0</v>
      </c>
      <c r="O92" s="83">
        <f>$L$92-EFEITO!$O$92*EFEITO!$AA$92</f>
        <v>0</v>
      </c>
      <c r="P92" s="61"/>
      <c r="Q92" s="61"/>
      <c r="R92" s="61"/>
      <c r="S92" s="61"/>
      <c r="T92" s="61"/>
      <c r="U92" s="61"/>
      <c r="V92" s="61"/>
      <c r="W92" s="61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spans="1:36" ht="11.25" customHeight="1" x14ac:dyDescent="0.2">
      <c r="A93" s="57" t="s">
        <v>21</v>
      </c>
      <c r="B93" s="57" t="s">
        <v>43</v>
      </c>
      <c r="C93" s="57" t="s">
        <v>44</v>
      </c>
      <c r="D93" s="57" t="s">
        <v>42</v>
      </c>
      <c r="E93" s="57" t="s">
        <v>25</v>
      </c>
      <c r="F93" s="57" t="s">
        <v>25</v>
      </c>
      <c r="G93" s="57" t="s">
        <v>25</v>
      </c>
      <c r="H93" s="57" t="s">
        <v>38</v>
      </c>
      <c r="I93" s="82">
        <v>44409</v>
      </c>
      <c r="J93" s="83">
        <f ca="1">EFEITO!$J$93*EFEITO!$Y$93</f>
        <v>1053711.974208483</v>
      </c>
      <c r="K93" s="83">
        <f ca="1">EFEITO!$L$93*EFEITO!$Z$93</f>
        <v>0</v>
      </c>
      <c r="L93" s="83">
        <f>EFEITO!$N$93*EFEITO!$AA$93</f>
        <v>0</v>
      </c>
      <c r="M93" s="83">
        <f ca="1">$J$93-EFEITO!$K$93*EFEITO!$Y$93</f>
        <v>0</v>
      </c>
      <c r="N93" s="83">
        <f ca="1">$K$93-EFEITO!$M$93*EFEITO!$Z$93</f>
        <v>0</v>
      </c>
      <c r="O93" s="83">
        <f>$L$93-EFEITO!$O$93*EFEITO!$AA$93</f>
        <v>0</v>
      </c>
      <c r="P93" s="61"/>
      <c r="Q93" s="61"/>
      <c r="R93" s="61"/>
      <c r="S93" s="61"/>
      <c r="T93" s="61"/>
      <c r="U93" s="61"/>
      <c r="V93" s="61"/>
      <c r="W93" s="61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spans="1:36" ht="11.25" customHeight="1" x14ac:dyDescent="0.2">
      <c r="A94" s="57" t="s">
        <v>21</v>
      </c>
      <c r="B94" s="57" t="s">
        <v>43</v>
      </c>
      <c r="C94" s="57" t="s">
        <v>44</v>
      </c>
      <c r="D94" s="57" t="s">
        <v>42</v>
      </c>
      <c r="E94" s="57" t="s">
        <v>25</v>
      </c>
      <c r="F94" s="57" t="s">
        <v>25</v>
      </c>
      <c r="G94" s="57" t="s">
        <v>25</v>
      </c>
      <c r="H94" s="57" t="s">
        <v>38</v>
      </c>
      <c r="I94" s="82">
        <v>44440</v>
      </c>
      <c r="J94" s="83">
        <f ca="1">EFEITO!$J$94*EFEITO!$Y$94</f>
        <v>65446.338811576359</v>
      </c>
      <c r="K94" s="83">
        <f ca="1">EFEITO!$L$94*EFEITO!$Z$94</f>
        <v>114148.69703778978</v>
      </c>
      <c r="L94" s="83">
        <f>EFEITO!$N$94*EFEITO!$AA$94</f>
        <v>486640.56090525544</v>
      </c>
      <c r="M94" s="83">
        <f ca="1">$J$94-EFEITO!$K$94*EFEITO!$Y$94</f>
        <v>0</v>
      </c>
      <c r="N94" s="83">
        <f ca="1">$K$94-EFEITO!$M$94*EFEITO!$Z$94</f>
        <v>0</v>
      </c>
      <c r="O94" s="83">
        <f>$L$94-EFEITO!$O$94*EFEITO!$AA$94</f>
        <v>0</v>
      </c>
      <c r="P94" s="61"/>
      <c r="Q94" s="61"/>
      <c r="R94" s="61"/>
      <c r="S94" s="61"/>
      <c r="T94" s="61"/>
      <c r="U94" s="61"/>
      <c r="V94" s="61"/>
      <c r="W94" s="61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spans="1:36" ht="11.25" customHeight="1" x14ac:dyDescent="0.2">
      <c r="A95" s="57" t="s">
        <v>21</v>
      </c>
      <c r="B95" s="57" t="s">
        <v>43</v>
      </c>
      <c r="C95" s="57" t="s">
        <v>44</v>
      </c>
      <c r="D95" s="57" t="s">
        <v>42</v>
      </c>
      <c r="E95" s="57" t="s">
        <v>25</v>
      </c>
      <c r="F95" s="57" t="s">
        <v>25</v>
      </c>
      <c r="G95" s="57" t="s">
        <v>25</v>
      </c>
      <c r="H95" s="57" t="s">
        <v>38</v>
      </c>
      <c r="I95" s="82">
        <v>44440</v>
      </c>
      <c r="J95" s="83">
        <f ca="1">EFEITO!$J$95*EFEITO!$Y$95</f>
        <v>1051800.4227283429</v>
      </c>
      <c r="K95" s="83">
        <f ca="1">EFEITO!$L$95*EFEITO!$Z$95</f>
        <v>0</v>
      </c>
      <c r="L95" s="83">
        <f>EFEITO!$N$95*EFEITO!$AA$95</f>
        <v>0</v>
      </c>
      <c r="M95" s="83">
        <f ca="1">$J$95-EFEITO!$K$95*EFEITO!$Y$95</f>
        <v>0</v>
      </c>
      <c r="N95" s="83">
        <f ca="1">$K$95-EFEITO!$M$95*EFEITO!$Z$95</f>
        <v>0</v>
      </c>
      <c r="O95" s="83">
        <f>$L$95-EFEITO!$O$95*EFEITO!$AA$95</f>
        <v>0</v>
      </c>
      <c r="P95" s="61"/>
      <c r="Q95" s="61"/>
      <c r="R95" s="61"/>
      <c r="S95" s="61"/>
      <c r="T95" s="61"/>
      <c r="U95" s="61"/>
      <c r="V95" s="61"/>
      <c r="W95" s="61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spans="1:36" ht="11.25" customHeight="1" x14ac:dyDescent="0.2">
      <c r="A96" s="57" t="s">
        <v>59</v>
      </c>
      <c r="B96" s="57" t="s">
        <v>43</v>
      </c>
      <c r="C96" s="57" t="s">
        <v>44</v>
      </c>
      <c r="D96" s="57" t="s">
        <v>42</v>
      </c>
      <c r="E96" s="57" t="s">
        <v>25</v>
      </c>
      <c r="F96" s="57" t="s">
        <v>25</v>
      </c>
      <c r="G96" s="57" t="s">
        <v>25</v>
      </c>
      <c r="H96" s="57" t="s">
        <v>38</v>
      </c>
      <c r="I96" s="82">
        <v>44470</v>
      </c>
      <c r="J96" s="83">
        <f ca="1">EFEITO!$J$96*EFEITO!$Y$96</f>
        <v>65446.338811576359</v>
      </c>
      <c r="K96" s="83">
        <f ca="1">EFEITO!$L$96*EFEITO!$Z$96</f>
        <v>114148.69703778978</v>
      </c>
      <c r="L96" s="83">
        <f>EFEITO!$N$96*EFEITO!$AA$96</f>
        <v>486640.56090525544</v>
      </c>
      <c r="M96" s="83">
        <f ca="1">$J$96-EFEITO!$K$96*EFEITO!$Y$96</f>
        <v>0</v>
      </c>
      <c r="N96" s="83">
        <f ca="1">$K$96-EFEITO!$M$96*EFEITO!$Z$96</f>
        <v>0</v>
      </c>
      <c r="O96" s="83">
        <f>$L$96-EFEITO!$O$96*EFEITO!$AA$96</f>
        <v>0</v>
      </c>
      <c r="P96" s="61"/>
      <c r="Q96" s="61"/>
      <c r="R96" s="61"/>
      <c r="S96" s="61"/>
      <c r="T96" s="61"/>
      <c r="U96" s="61"/>
      <c r="V96" s="61"/>
      <c r="W96" s="61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spans="1:36" ht="11.25" customHeight="1" x14ac:dyDescent="0.2">
      <c r="A97" s="57" t="s">
        <v>59</v>
      </c>
      <c r="B97" s="57" t="s">
        <v>43</v>
      </c>
      <c r="C97" s="57" t="s">
        <v>44</v>
      </c>
      <c r="D97" s="57" t="s">
        <v>42</v>
      </c>
      <c r="E97" s="57" t="s">
        <v>25</v>
      </c>
      <c r="F97" s="57" t="s">
        <v>25</v>
      </c>
      <c r="G97" s="57" t="s">
        <v>25</v>
      </c>
      <c r="H97" s="57" t="s">
        <v>38</v>
      </c>
      <c r="I97" s="82">
        <v>44470</v>
      </c>
      <c r="J97" s="83">
        <f ca="1">EFEITO!$J$97*EFEITO!$Y$97</f>
        <v>1051800.4227283429</v>
      </c>
      <c r="K97" s="83">
        <f ca="1">EFEITO!$L$97*EFEITO!$Z$97</f>
        <v>0</v>
      </c>
      <c r="L97" s="83">
        <f>EFEITO!$N$97*EFEITO!$AA$97</f>
        <v>0</v>
      </c>
      <c r="M97" s="83">
        <f ca="1">$J$97-EFEITO!$K$97*EFEITO!$Y$97</f>
        <v>0</v>
      </c>
      <c r="N97" s="83">
        <f ca="1">$K$97-EFEITO!$M$97*EFEITO!$Z$97</f>
        <v>0</v>
      </c>
      <c r="O97" s="83">
        <f>$L$97-EFEITO!$O$97*EFEITO!$AA$97</f>
        <v>0</v>
      </c>
      <c r="P97" s="61"/>
      <c r="Q97" s="61"/>
      <c r="R97" s="61"/>
      <c r="S97" s="61"/>
      <c r="T97" s="61"/>
      <c r="U97" s="61"/>
      <c r="V97" s="61"/>
      <c r="W97" s="61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spans="1:36" ht="11.25" customHeight="1" x14ac:dyDescent="0.2">
      <c r="A98" s="57" t="s">
        <v>21</v>
      </c>
      <c r="B98" s="57" t="s">
        <v>43</v>
      </c>
      <c r="C98" s="57" t="s">
        <v>44</v>
      </c>
      <c r="D98" s="57" t="s">
        <v>42</v>
      </c>
      <c r="E98" s="57" t="s">
        <v>25</v>
      </c>
      <c r="F98" s="57" t="s">
        <v>25</v>
      </c>
      <c r="G98" s="57" t="s">
        <v>25</v>
      </c>
      <c r="H98" s="57" t="s">
        <v>25</v>
      </c>
      <c r="I98" s="82">
        <v>44136</v>
      </c>
      <c r="J98" s="83">
        <f>EFEITO!$J$98*EFEITO!$Y$98</f>
        <v>0</v>
      </c>
      <c r="K98" s="83">
        <f ca="1">EFEITO!$L$98*EFEITO!$Z$98</f>
        <v>4880356.5075003756</v>
      </c>
      <c r="L98" s="83">
        <f>EFEITO!$N$98*EFEITO!$AA$98</f>
        <v>0</v>
      </c>
      <c r="M98" s="83">
        <f>$J$98-EFEITO!$K$98*EFEITO!$Y$98</f>
        <v>0</v>
      </c>
      <c r="N98" s="83">
        <f ca="1">$K$98-EFEITO!$M$98*EFEITO!$Z$98</f>
        <v>0</v>
      </c>
      <c r="O98" s="83">
        <f>$L$98-EFEITO!$O$98*EFEITO!$AA$98</f>
        <v>0</v>
      </c>
      <c r="P98" s="61"/>
      <c r="Q98" s="61"/>
      <c r="R98" s="61"/>
      <c r="S98" s="61"/>
      <c r="T98" s="61"/>
      <c r="U98" s="61"/>
      <c r="V98" s="61"/>
      <c r="W98" s="61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spans="1:36" ht="11.25" customHeight="1" x14ac:dyDescent="0.2">
      <c r="A99" s="57" t="s">
        <v>21</v>
      </c>
      <c r="B99" s="57" t="s">
        <v>43</v>
      </c>
      <c r="C99" s="57" t="s">
        <v>44</v>
      </c>
      <c r="D99" s="57" t="s">
        <v>42</v>
      </c>
      <c r="E99" s="57" t="s">
        <v>25</v>
      </c>
      <c r="F99" s="57" t="s">
        <v>25</v>
      </c>
      <c r="G99" s="57" t="s">
        <v>25</v>
      </c>
      <c r="H99" s="57" t="s">
        <v>25</v>
      </c>
      <c r="I99" s="82">
        <v>44166</v>
      </c>
      <c r="J99" s="83">
        <f>EFEITO!$J$99*EFEITO!$Y$99</f>
        <v>0</v>
      </c>
      <c r="K99" s="83">
        <f ca="1">EFEITO!$L$99*EFEITO!$Z$99</f>
        <v>4421039.5986316968</v>
      </c>
      <c r="L99" s="83">
        <f>EFEITO!$N$99*EFEITO!$AA$99</f>
        <v>0</v>
      </c>
      <c r="M99" s="83">
        <f>$J$99-EFEITO!$K$99*EFEITO!$Y$99</f>
        <v>0</v>
      </c>
      <c r="N99" s="83">
        <f ca="1">$K$99-EFEITO!$M$99*EFEITO!$Z$99</f>
        <v>0</v>
      </c>
      <c r="O99" s="83">
        <f>$L$99-EFEITO!$O$99*EFEITO!$AA$99</f>
        <v>0</v>
      </c>
      <c r="P99" s="61"/>
      <c r="Q99" s="61"/>
      <c r="R99" s="61"/>
      <c r="S99" s="61"/>
      <c r="T99" s="61"/>
      <c r="U99" s="61"/>
      <c r="V99" s="61"/>
      <c r="W99" s="61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spans="1:36" ht="11.25" customHeight="1" x14ac:dyDescent="0.2">
      <c r="A100" s="57" t="s">
        <v>21</v>
      </c>
      <c r="B100" s="57" t="s">
        <v>43</v>
      </c>
      <c r="C100" s="57" t="s">
        <v>44</v>
      </c>
      <c r="D100" s="57" t="s">
        <v>42</v>
      </c>
      <c r="E100" s="57" t="s">
        <v>25</v>
      </c>
      <c r="F100" s="57" t="s">
        <v>25</v>
      </c>
      <c r="G100" s="57" t="s">
        <v>25</v>
      </c>
      <c r="H100" s="57" t="s">
        <v>25</v>
      </c>
      <c r="I100" s="82">
        <v>44197</v>
      </c>
      <c r="J100" s="83">
        <f>EFEITO!$J$100*EFEITO!$Y$100</f>
        <v>0</v>
      </c>
      <c r="K100" s="83">
        <f ca="1">EFEITO!$L$100*EFEITO!$Z$100</f>
        <v>4169634.7383584655</v>
      </c>
      <c r="L100" s="83">
        <f>EFEITO!$N$100*EFEITO!$AA$100</f>
        <v>0</v>
      </c>
      <c r="M100" s="83">
        <f>$J$100-EFEITO!$K$100*EFEITO!$Y$100</f>
        <v>0</v>
      </c>
      <c r="N100" s="83">
        <f ca="1">$K$100-EFEITO!$M$100*EFEITO!$Z$100</f>
        <v>0</v>
      </c>
      <c r="O100" s="83">
        <f>$L$100-EFEITO!$O$100*EFEITO!$AA$100</f>
        <v>0</v>
      </c>
      <c r="P100" s="61"/>
      <c r="Q100" s="61"/>
      <c r="R100" s="61"/>
      <c r="S100" s="61"/>
      <c r="T100" s="61"/>
      <c r="U100" s="61"/>
      <c r="V100" s="61"/>
      <c r="W100" s="61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spans="1:36" ht="11.25" customHeight="1" x14ac:dyDescent="0.2">
      <c r="A101" s="57" t="s">
        <v>21</v>
      </c>
      <c r="B101" s="57" t="s">
        <v>43</v>
      </c>
      <c r="C101" s="57" t="s">
        <v>44</v>
      </c>
      <c r="D101" s="57" t="s">
        <v>42</v>
      </c>
      <c r="E101" s="57" t="s">
        <v>25</v>
      </c>
      <c r="F101" s="57" t="s">
        <v>25</v>
      </c>
      <c r="G101" s="57" t="s">
        <v>25</v>
      </c>
      <c r="H101" s="57" t="s">
        <v>25</v>
      </c>
      <c r="I101" s="82">
        <v>44228</v>
      </c>
      <c r="J101" s="83">
        <f>EFEITO!$J$101*EFEITO!$Y$101</f>
        <v>0</v>
      </c>
      <c r="K101" s="83">
        <f ca="1">EFEITO!$L$101*EFEITO!$Z$101</f>
        <v>4154682.2863370073</v>
      </c>
      <c r="L101" s="83">
        <f>EFEITO!$N$101*EFEITO!$AA$101</f>
        <v>0</v>
      </c>
      <c r="M101" s="83">
        <f>$J$101-EFEITO!$K$101*EFEITO!$Y$101</f>
        <v>0</v>
      </c>
      <c r="N101" s="83">
        <f ca="1">$K$101-EFEITO!$M$101*EFEITO!$Z$101</f>
        <v>0</v>
      </c>
      <c r="O101" s="83">
        <f>$L$101-EFEITO!$O$101*EFEITO!$AA$101</f>
        <v>0</v>
      </c>
      <c r="P101" s="61"/>
      <c r="Q101" s="61"/>
      <c r="R101" s="61"/>
      <c r="S101" s="61"/>
      <c r="T101" s="61"/>
      <c r="U101" s="61"/>
      <c r="V101" s="61"/>
      <c r="W101" s="61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spans="1:36" ht="11.25" customHeight="1" x14ac:dyDescent="0.2">
      <c r="A102" s="57" t="s">
        <v>21</v>
      </c>
      <c r="B102" s="57" t="s">
        <v>43</v>
      </c>
      <c r="C102" s="57" t="s">
        <v>44</v>
      </c>
      <c r="D102" s="57" t="s">
        <v>42</v>
      </c>
      <c r="E102" s="57" t="s">
        <v>25</v>
      </c>
      <c r="F102" s="57" t="s">
        <v>25</v>
      </c>
      <c r="G102" s="57" t="s">
        <v>25</v>
      </c>
      <c r="H102" s="57" t="s">
        <v>25</v>
      </c>
      <c r="I102" s="82">
        <v>44256</v>
      </c>
      <c r="J102" s="83">
        <f>EFEITO!$J$102*EFEITO!$Y$102</f>
        <v>0</v>
      </c>
      <c r="K102" s="83">
        <f ca="1">EFEITO!$L$102*EFEITO!$Z$102</f>
        <v>4887357.4125710716</v>
      </c>
      <c r="L102" s="83">
        <f>EFEITO!$N$102*EFEITO!$AA$102</f>
        <v>0</v>
      </c>
      <c r="M102" s="83">
        <f>$J$102-EFEITO!$K$102*EFEITO!$Y$102</f>
        <v>0</v>
      </c>
      <c r="N102" s="83">
        <f ca="1">$K$102-EFEITO!$M$102*EFEITO!$Z$102</f>
        <v>0</v>
      </c>
      <c r="O102" s="83">
        <f>$L$102-EFEITO!$O$102*EFEITO!$AA$102</f>
        <v>0</v>
      </c>
      <c r="P102" s="61"/>
      <c r="Q102" s="61"/>
      <c r="R102" s="61"/>
      <c r="S102" s="61"/>
      <c r="T102" s="61"/>
      <c r="U102" s="61"/>
      <c r="V102" s="61"/>
      <c r="W102" s="61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spans="1:36" ht="11.25" customHeight="1" x14ac:dyDescent="0.2">
      <c r="A103" s="57" t="s">
        <v>21</v>
      </c>
      <c r="B103" s="57" t="s">
        <v>43</v>
      </c>
      <c r="C103" s="57" t="s">
        <v>44</v>
      </c>
      <c r="D103" s="57" t="s">
        <v>42</v>
      </c>
      <c r="E103" s="57" t="s">
        <v>25</v>
      </c>
      <c r="F103" s="57" t="s">
        <v>25</v>
      </c>
      <c r="G103" s="57" t="s">
        <v>25</v>
      </c>
      <c r="H103" s="57" t="s">
        <v>25</v>
      </c>
      <c r="I103" s="82">
        <v>44287</v>
      </c>
      <c r="J103" s="83">
        <f>EFEITO!$J$103*EFEITO!$Y$103</f>
        <v>0</v>
      </c>
      <c r="K103" s="83">
        <f ca="1">EFEITO!$L$103*EFEITO!$Z$103</f>
        <v>4883942.3353082333</v>
      </c>
      <c r="L103" s="83">
        <f>EFEITO!$N$103*EFEITO!$AA$103</f>
        <v>0</v>
      </c>
      <c r="M103" s="83">
        <f>$J$103-EFEITO!$K$103*EFEITO!$Y$103</f>
        <v>0</v>
      </c>
      <c r="N103" s="83">
        <f ca="1">$K$103-EFEITO!$M$103*EFEITO!$Z$103</f>
        <v>0</v>
      </c>
      <c r="O103" s="83">
        <f>$L$103-EFEITO!$O$103*EFEITO!$AA$103</f>
        <v>0</v>
      </c>
      <c r="P103" s="61"/>
      <c r="Q103" s="61"/>
      <c r="R103" s="61"/>
      <c r="S103" s="61"/>
      <c r="T103" s="61"/>
      <c r="U103" s="61"/>
      <c r="V103" s="61"/>
      <c r="W103" s="61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spans="1:36" ht="11.25" customHeight="1" x14ac:dyDescent="0.2">
      <c r="A104" s="57" t="s">
        <v>21</v>
      </c>
      <c r="B104" s="57" t="s">
        <v>43</v>
      </c>
      <c r="C104" s="57" t="s">
        <v>44</v>
      </c>
      <c r="D104" s="57" t="s">
        <v>42</v>
      </c>
      <c r="E104" s="57" t="s">
        <v>25</v>
      </c>
      <c r="F104" s="57" t="s">
        <v>25</v>
      </c>
      <c r="G104" s="57" t="s">
        <v>25</v>
      </c>
      <c r="H104" s="57" t="s">
        <v>25</v>
      </c>
      <c r="I104" s="82">
        <v>44317</v>
      </c>
      <c r="J104" s="83">
        <f>EFEITO!$J$104*EFEITO!$Y$104</f>
        <v>0</v>
      </c>
      <c r="K104" s="83">
        <f ca="1">EFEITO!$L$104*EFEITO!$Z$104</f>
        <v>5054302.6028486704</v>
      </c>
      <c r="L104" s="83">
        <f>EFEITO!$N$104*EFEITO!$AA$104</f>
        <v>0</v>
      </c>
      <c r="M104" s="83">
        <f>$J$104-EFEITO!$K$104*EFEITO!$Y$104</f>
        <v>0</v>
      </c>
      <c r="N104" s="83">
        <f ca="1">$K$104-EFEITO!$M$104*EFEITO!$Z$104</f>
        <v>0</v>
      </c>
      <c r="O104" s="83">
        <f>$L$104-EFEITO!$O$104*EFEITO!$AA$104</f>
        <v>0</v>
      </c>
      <c r="P104" s="61"/>
      <c r="Q104" s="61"/>
      <c r="R104" s="61"/>
      <c r="S104" s="61"/>
      <c r="T104" s="61"/>
      <c r="U104" s="61"/>
      <c r="V104" s="61"/>
      <c r="W104" s="61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spans="1:36" ht="11.25" customHeight="1" x14ac:dyDescent="0.2">
      <c r="A105" s="57" t="s">
        <v>21</v>
      </c>
      <c r="B105" s="57" t="s">
        <v>43</v>
      </c>
      <c r="C105" s="57" t="s">
        <v>44</v>
      </c>
      <c r="D105" s="57" t="s">
        <v>42</v>
      </c>
      <c r="E105" s="57" t="s">
        <v>25</v>
      </c>
      <c r="F105" s="57" t="s">
        <v>25</v>
      </c>
      <c r="G105" s="57" t="s">
        <v>25</v>
      </c>
      <c r="H105" s="57" t="s">
        <v>25</v>
      </c>
      <c r="I105" s="82">
        <v>44348</v>
      </c>
      <c r="J105" s="83">
        <f>EFEITO!$J$105*EFEITO!$Y$105</f>
        <v>0</v>
      </c>
      <c r="K105" s="83">
        <f ca="1">EFEITO!$L$105*EFEITO!$Z$105</f>
        <v>4169634.7383584655</v>
      </c>
      <c r="L105" s="83">
        <f>EFEITO!$N$105*EFEITO!$AA$105</f>
        <v>0</v>
      </c>
      <c r="M105" s="83">
        <f>$J$105-EFEITO!$K$105*EFEITO!$Y$105</f>
        <v>0</v>
      </c>
      <c r="N105" s="83">
        <f ca="1">$K$105-EFEITO!$M$105*EFEITO!$Z$105</f>
        <v>0</v>
      </c>
      <c r="O105" s="83">
        <f>$L$105-EFEITO!$O$105*EFEITO!$AA$105</f>
        <v>0</v>
      </c>
      <c r="P105" s="61"/>
      <c r="Q105" s="61"/>
      <c r="R105" s="61"/>
      <c r="S105" s="61"/>
      <c r="T105" s="61"/>
      <c r="U105" s="61"/>
      <c r="V105" s="61"/>
      <c r="W105" s="61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spans="1:36" ht="11.25" customHeight="1" x14ac:dyDescent="0.2">
      <c r="A106" s="57" t="s">
        <v>21</v>
      </c>
      <c r="B106" s="57" t="s">
        <v>43</v>
      </c>
      <c r="C106" s="57" t="s">
        <v>44</v>
      </c>
      <c r="D106" s="57" t="s">
        <v>42</v>
      </c>
      <c r="E106" s="57" t="s">
        <v>25</v>
      </c>
      <c r="F106" s="57" t="s">
        <v>25</v>
      </c>
      <c r="G106" s="57" t="s">
        <v>25</v>
      </c>
      <c r="H106" s="57" t="s">
        <v>25</v>
      </c>
      <c r="I106" s="82">
        <v>44378</v>
      </c>
      <c r="J106" s="83">
        <f>EFEITO!$J$106*EFEITO!$Y$106</f>
        <v>0</v>
      </c>
      <c r="K106" s="83">
        <f ca="1">EFEITO!$L$106*EFEITO!$Z$106</f>
        <v>4976079.2099487158</v>
      </c>
      <c r="L106" s="83">
        <f>EFEITO!$N$106*EFEITO!$AA$106</f>
        <v>0</v>
      </c>
      <c r="M106" s="83">
        <f>$J$106-EFEITO!$K$106*EFEITO!$Y$106</f>
        <v>0</v>
      </c>
      <c r="N106" s="83">
        <f ca="1">$K$106-EFEITO!$M$106*EFEITO!$Z$106</f>
        <v>0</v>
      </c>
      <c r="O106" s="83">
        <f>$L$106-EFEITO!$O$106*EFEITO!$AA$106</f>
        <v>0</v>
      </c>
      <c r="P106" s="61"/>
      <c r="Q106" s="61"/>
      <c r="R106" s="61"/>
      <c r="S106" s="61"/>
      <c r="T106" s="61"/>
      <c r="U106" s="61"/>
      <c r="V106" s="61"/>
      <c r="W106" s="61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spans="1:36" ht="11.25" customHeight="1" x14ac:dyDescent="0.2">
      <c r="A107" s="57" t="s">
        <v>21</v>
      </c>
      <c r="B107" s="57" t="s">
        <v>43</v>
      </c>
      <c r="C107" s="57" t="s">
        <v>44</v>
      </c>
      <c r="D107" s="57" t="s">
        <v>42</v>
      </c>
      <c r="E107" s="57" t="s">
        <v>25</v>
      </c>
      <c r="F107" s="57" t="s">
        <v>25</v>
      </c>
      <c r="G107" s="57" t="s">
        <v>25</v>
      </c>
      <c r="H107" s="57" t="s">
        <v>25</v>
      </c>
      <c r="I107" s="82">
        <v>44409</v>
      </c>
      <c r="J107" s="83">
        <f>EFEITO!$J$107*EFEITO!$Y$107</f>
        <v>0</v>
      </c>
      <c r="K107" s="83">
        <f ca="1">EFEITO!$L$107*EFEITO!$Z$107</f>
        <v>5365503.8659958811</v>
      </c>
      <c r="L107" s="83">
        <f>EFEITO!$N$107*EFEITO!$AA$107</f>
        <v>0</v>
      </c>
      <c r="M107" s="83">
        <f>$J$107-EFEITO!$K$107*EFEITO!$Y$107</f>
        <v>0</v>
      </c>
      <c r="N107" s="83">
        <f ca="1">$K$107-EFEITO!$M$107*EFEITO!$Z$107</f>
        <v>0</v>
      </c>
      <c r="O107" s="83">
        <f>$L$107-EFEITO!$O$107*EFEITO!$AA$107</f>
        <v>0</v>
      </c>
      <c r="P107" s="61"/>
      <c r="Q107" s="61"/>
      <c r="R107" s="61"/>
      <c r="S107" s="61"/>
      <c r="T107" s="61"/>
      <c r="U107" s="61"/>
      <c r="V107" s="61"/>
      <c r="W107" s="61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spans="1:36" ht="11.25" customHeight="1" x14ac:dyDescent="0.2">
      <c r="A108" s="57" t="s">
        <v>21</v>
      </c>
      <c r="B108" s="57" t="s">
        <v>43</v>
      </c>
      <c r="C108" s="57" t="s">
        <v>44</v>
      </c>
      <c r="D108" s="57" t="s">
        <v>42</v>
      </c>
      <c r="E108" s="57" t="s">
        <v>25</v>
      </c>
      <c r="F108" s="57" t="s">
        <v>25</v>
      </c>
      <c r="G108" s="57" t="s">
        <v>25</v>
      </c>
      <c r="H108" s="57" t="s">
        <v>25</v>
      </c>
      <c r="I108" s="82">
        <v>44440</v>
      </c>
      <c r="J108" s="83">
        <f>EFEITO!$J$108*EFEITO!$Y$108</f>
        <v>0</v>
      </c>
      <c r="K108" s="83">
        <f ca="1">EFEITO!$L$108*EFEITO!$Z$108</f>
        <v>5167855.2988585448</v>
      </c>
      <c r="L108" s="83">
        <f>EFEITO!$N$108*EFEITO!$AA$108</f>
        <v>0</v>
      </c>
      <c r="M108" s="83">
        <f>$J$108-EFEITO!$K$108*EFEITO!$Y$108</f>
        <v>0</v>
      </c>
      <c r="N108" s="83">
        <f ca="1">$K$108-EFEITO!$M$108*EFEITO!$Z$108</f>
        <v>0</v>
      </c>
      <c r="O108" s="83">
        <f>$L$108-EFEITO!$O$108*EFEITO!$AA$108</f>
        <v>0</v>
      </c>
      <c r="P108" s="61"/>
      <c r="Q108" s="61"/>
      <c r="R108" s="61"/>
      <c r="S108" s="61"/>
      <c r="T108" s="61"/>
      <c r="U108" s="61"/>
      <c r="V108" s="61"/>
      <c r="W108" s="61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spans="1:36" ht="11.25" customHeight="1" x14ac:dyDescent="0.2">
      <c r="A109" s="57" t="s">
        <v>59</v>
      </c>
      <c r="B109" s="57" t="s">
        <v>43</v>
      </c>
      <c r="C109" s="57" t="s">
        <v>44</v>
      </c>
      <c r="D109" s="57" t="s">
        <v>42</v>
      </c>
      <c r="E109" s="57" t="s">
        <v>25</v>
      </c>
      <c r="F109" s="57" t="s">
        <v>25</v>
      </c>
      <c r="G109" s="57" t="s">
        <v>25</v>
      </c>
      <c r="H109" s="57" t="s">
        <v>25</v>
      </c>
      <c r="I109" s="82">
        <v>44470</v>
      </c>
      <c r="J109" s="83">
        <f>EFEITO!$J$109*EFEITO!$Y$109</f>
        <v>0</v>
      </c>
      <c r="K109" s="83">
        <f ca="1">EFEITO!$L$109*EFEITO!$Z$109</f>
        <v>5167855.2988585448</v>
      </c>
      <c r="L109" s="83">
        <f>EFEITO!$N$109*EFEITO!$AA$109</f>
        <v>0</v>
      </c>
      <c r="M109" s="83">
        <f>$J$109-EFEITO!$K$109*EFEITO!$Y$109</f>
        <v>0</v>
      </c>
      <c r="N109" s="83">
        <f ca="1">$K$109-EFEITO!$M$109*EFEITO!$Z$109</f>
        <v>0</v>
      </c>
      <c r="O109" s="83">
        <f>$L$109-EFEITO!$O$109*EFEITO!$AA$109</f>
        <v>0</v>
      </c>
      <c r="P109" s="61"/>
      <c r="Q109" s="61"/>
      <c r="R109" s="61"/>
      <c r="S109" s="61"/>
      <c r="T109" s="61"/>
      <c r="U109" s="61"/>
      <c r="V109" s="61"/>
      <c r="W109" s="61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spans="1:36" ht="11.25" customHeight="1" x14ac:dyDescent="0.2">
      <c r="A110" s="57" t="s">
        <v>21</v>
      </c>
      <c r="B110" s="57" t="s">
        <v>43</v>
      </c>
      <c r="C110" s="57" t="s">
        <v>44</v>
      </c>
      <c r="D110" s="57" t="s">
        <v>42</v>
      </c>
      <c r="E110" s="57" t="s">
        <v>25</v>
      </c>
      <c r="F110" s="57" t="s">
        <v>25</v>
      </c>
      <c r="G110" s="57" t="s">
        <v>25</v>
      </c>
      <c r="H110" s="57" t="s">
        <v>37</v>
      </c>
      <c r="I110" s="82">
        <v>44136</v>
      </c>
      <c r="J110" s="83">
        <f ca="1">EFEITO!$J$110*EFEITO!$Y$110</f>
        <v>73170.84558335373</v>
      </c>
      <c r="K110" s="83">
        <f ca="1">EFEITO!$L$110*EFEITO!$Z$110</f>
        <v>16565.125552174861</v>
      </c>
      <c r="L110" s="83">
        <f>EFEITO!$N$110*EFEITO!$AA$110</f>
        <v>113407.67981201665</v>
      </c>
      <c r="M110" s="83">
        <f ca="1">$J$110-EFEITO!$K$110*EFEITO!$Y$110</f>
        <v>0</v>
      </c>
      <c r="N110" s="83">
        <f ca="1">$K$110-EFEITO!$M$110*EFEITO!$Z$110</f>
        <v>0</v>
      </c>
      <c r="O110" s="83">
        <f>$L$110-EFEITO!$O$110*EFEITO!$AA$110</f>
        <v>0</v>
      </c>
      <c r="P110" s="61"/>
      <c r="Q110" s="61"/>
      <c r="R110" s="61"/>
      <c r="S110" s="61"/>
      <c r="T110" s="61"/>
      <c r="U110" s="61"/>
      <c r="V110" s="61"/>
      <c r="W110" s="61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spans="1:36" ht="11.25" customHeight="1" x14ac:dyDescent="0.2">
      <c r="A111" s="57" t="s">
        <v>21</v>
      </c>
      <c r="B111" s="57" t="s">
        <v>43</v>
      </c>
      <c r="C111" s="57" t="s">
        <v>44</v>
      </c>
      <c r="D111" s="57" t="s">
        <v>42</v>
      </c>
      <c r="E111" s="57" t="s">
        <v>25</v>
      </c>
      <c r="F111" s="57" t="s">
        <v>25</v>
      </c>
      <c r="G111" s="57" t="s">
        <v>25</v>
      </c>
      <c r="H111" s="57" t="s">
        <v>37</v>
      </c>
      <c r="I111" s="82">
        <v>44136</v>
      </c>
      <c r="J111" s="83">
        <f ca="1">EFEITO!$J$111*EFEITO!$Y$111</f>
        <v>1099582.835356629</v>
      </c>
      <c r="K111" s="83">
        <f ca="1">EFEITO!$L$111*EFEITO!$Z$111</f>
        <v>0</v>
      </c>
      <c r="L111" s="83">
        <f>EFEITO!$N$111*EFEITO!$AA$111</f>
        <v>0</v>
      </c>
      <c r="M111" s="83">
        <f ca="1">$J$111-EFEITO!$K$111*EFEITO!$Y$111</f>
        <v>0</v>
      </c>
      <c r="N111" s="83">
        <f ca="1">$K$111-EFEITO!$M$111*EFEITO!$Z$111</f>
        <v>0</v>
      </c>
      <c r="O111" s="83">
        <f>$L$111-EFEITO!$O$111*EFEITO!$AA$111</f>
        <v>0</v>
      </c>
      <c r="P111" s="61"/>
      <c r="Q111" s="61"/>
      <c r="R111" s="61"/>
      <c r="S111" s="61"/>
      <c r="T111" s="61"/>
      <c r="U111" s="61"/>
      <c r="V111" s="61"/>
      <c r="W111" s="61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spans="1:36" ht="11.25" customHeight="1" x14ac:dyDescent="0.2">
      <c r="A112" s="57" t="s">
        <v>21</v>
      </c>
      <c r="B112" s="57" t="s">
        <v>43</v>
      </c>
      <c r="C112" s="57" t="s">
        <v>44</v>
      </c>
      <c r="D112" s="57" t="s">
        <v>42</v>
      </c>
      <c r="E112" s="57" t="s">
        <v>25</v>
      </c>
      <c r="F112" s="57" t="s">
        <v>25</v>
      </c>
      <c r="G112" s="57" t="s">
        <v>25</v>
      </c>
      <c r="H112" s="57" t="s">
        <v>37</v>
      </c>
      <c r="I112" s="82">
        <v>44166</v>
      </c>
      <c r="J112" s="83">
        <f ca="1">EFEITO!$J$112*EFEITO!$Y$112</f>
        <v>73242.425758380923</v>
      </c>
      <c r="K112" s="83">
        <f ca="1">EFEITO!$L$112*EFEITO!$Z$112</f>
        <v>18473.178280670356</v>
      </c>
      <c r="L112" s="83">
        <f>EFEITO!$N$112*EFEITO!$AA$112</f>
        <v>126470.53479709412</v>
      </c>
      <c r="M112" s="83">
        <f ca="1">$J$112-EFEITO!$K$112*EFEITO!$Y$112</f>
        <v>0</v>
      </c>
      <c r="N112" s="83">
        <f ca="1">$K$112-EFEITO!$M$112*EFEITO!$Z$112</f>
        <v>0</v>
      </c>
      <c r="O112" s="83">
        <f>$L$112-EFEITO!$O$112*EFEITO!$AA$112</f>
        <v>0</v>
      </c>
      <c r="P112" s="61"/>
      <c r="Q112" s="61"/>
      <c r="R112" s="61"/>
      <c r="S112" s="61"/>
      <c r="T112" s="61"/>
      <c r="U112" s="61"/>
      <c r="V112" s="61"/>
      <c r="W112" s="61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spans="1:36" ht="11.25" customHeight="1" x14ac:dyDescent="0.2">
      <c r="A113" s="57" t="s">
        <v>21</v>
      </c>
      <c r="B113" s="57" t="s">
        <v>43</v>
      </c>
      <c r="C113" s="57" t="s">
        <v>44</v>
      </c>
      <c r="D113" s="57" t="s">
        <v>42</v>
      </c>
      <c r="E113" s="57" t="s">
        <v>25</v>
      </c>
      <c r="F113" s="57" t="s">
        <v>25</v>
      </c>
      <c r="G113" s="57" t="s">
        <v>25</v>
      </c>
      <c r="H113" s="57" t="s">
        <v>37</v>
      </c>
      <c r="I113" s="82">
        <v>44166</v>
      </c>
      <c r="J113" s="83">
        <f ca="1">EFEITO!$J$113*EFEITO!$Y$113</f>
        <v>1094222.2755823701</v>
      </c>
      <c r="K113" s="83">
        <f ca="1">EFEITO!$L$113*EFEITO!$Z$113</f>
        <v>0</v>
      </c>
      <c r="L113" s="83">
        <f>EFEITO!$N$113*EFEITO!$AA$113</f>
        <v>0</v>
      </c>
      <c r="M113" s="83">
        <f ca="1">$J$113-EFEITO!$K$113*EFEITO!$Y$113</f>
        <v>0</v>
      </c>
      <c r="N113" s="83">
        <f ca="1">$K$113-EFEITO!$M$113*EFEITO!$Z$113</f>
        <v>0</v>
      </c>
      <c r="O113" s="83">
        <f>$L$113-EFEITO!$O$113*EFEITO!$AA$113</f>
        <v>0</v>
      </c>
      <c r="P113" s="61"/>
      <c r="Q113" s="61"/>
      <c r="R113" s="61"/>
      <c r="S113" s="61"/>
      <c r="T113" s="61"/>
      <c r="U113" s="61"/>
      <c r="V113" s="61"/>
      <c r="W113" s="61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spans="1:36" ht="11.25" customHeight="1" x14ac:dyDescent="0.2">
      <c r="A114" s="57" t="s">
        <v>21</v>
      </c>
      <c r="B114" s="57" t="s">
        <v>43</v>
      </c>
      <c r="C114" s="57" t="s">
        <v>44</v>
      </c>
      <c r="D114" s="57" t="s">
        <v>42</v>
      </c>
      <c r="E114" s="57" t="s">
        <v>25</v>
      </c>
      <c r="F114" s="57" t="s">
        <v>25</v>
      </c>
      <c r="G114" s="57" t="s">
        <v>25</v>
      </c>
      <c r="H114" s="57" t="s">
        <v>37</v>
      </c>
      <c r="I114" s="82">
        <v>44197</v>
      </c>
      <c r="J114" s="83">
        <f ca="1">EFEITO!$J$114*EFEITO!$Y$114</f>
        <v>75827.265412140696</v>
      </c>
      <c r="K114" s="83">
        <f ca="1">EFEITO!$L$114*EFEITO!$Z$114</f>
        <v>16325.158987544932</v>
      </c>
      <c r="L114" s="83">
        <f>EFEITO!$N$114*EFEITO!$AA$114</f>
        <v>111764.82771038753</v>
      </c>
      <c r="M114" s="83">
        <f ca="1">$J$114-EFEITO!$K$114*EFEITO!$Y$114</f>
        <v>0</v>
      </c>
      <c r="N114" s="83">
        <f ca="1">$K$114-EFEITO!$M$114*EFEITO!$Z$114</f>
        <v>0</v>
      </c>
      <c r="O114" s="83">
        <f>$L$114-EFEITO!$O$114*EFEITO!$AA$114</f>
        <v>0</v>
      </c>
      <c r="P114" s="61"/>
      <c r="Q114" s="61"/>
      <c r="R114" s="61"/>
      <c r="S114" s="61"/>
      <c r="T114" s="61"/>
      <c r="U114" s="61"/>
      <c r="V114" s="61"/>
      <c r="W114" s="61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spans="1:36" ht="11.25" customHeight="1" x14ac:dyDescent="0.2">
      <c r="A115" s="57" t="s">
        <v>21</v>
      </c>
      <c r="B115" s="57" t="s">
        <v>43</v>
      </c>
      <c r="C115" s="57" t="s">
        <v>44</v>
      </c>
      <c r="D115" s="57" t="s">
        <v>42</v>
      </c>
      <c r="E115" s="57" t="s">
        <v>25</v>
      </c>
      <c r="F115" s="57" t="s">
        <v>25</v>
      </c>
      <c r="G115" s="57" t="s">
        <v>25</v>
      </c>
      <c r="H115" s="57" t="s">
        <v>37</v>
      </c>
      <c r="I115" s="82">
        <v>44197</v>
      </c>
      <c r="J115" s="83">
        <f ca="1">EFEITO!$J$115*EFEITO!$Y$115</f>
        <v>1057183.5116821877</v>
      </c>
      <c r="K115" s="83">
        <f ca="1">EFEITO!$L$115*EFEITO!$Z$115</f>
        <v>0</v>
      </c>
      <c r="L115" s="83">
        <f>EFEITO!$N$115*EFEITO!$AA$115</f>
        <v>0</v>
      </c>
      <c r="M115" s="83">
        <f ca="1">$J$115-EFEITO!$K$115*EFEITO!$Y$115</f>
        <v>0</v>
      </c>
      <c r="N115" s="83">
        <f ca="1">$K$115-EFEITO!$M$115*EFEITO!$Z$115</f>
        <v>0</v>
      </c>
      <c r="O115" s="83">
        <f>$L$115-EFEITO!$O$115*EFEITO!$AA$115</f>
        <v>0</v>
      </c>
      <c r="P115" s="61"/>
      <c r="Q115" s="61"/>
      <c r="R115" s="61"/>
      <c r="S115" s="61"/>
      <c r="T115" s="61"/>
      <c r="U115" s="61"/>
      <c r="V115" s="61"/>
      <c r="W115" s="61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spans="1:36" ht="11.25" customHeight="1" x14ac:dyDescent="0.2">
      <c r="A116" s="57" t="s">
        <v>21</v>
      </c>
      <c r="B116" s="57" t="s">
        <v>43</v>
      </c>
      <c r="C116" s="57" t="s">
        <v>44</v>
      </c>
      <c r="D116" s="57" t="s">
        <v>42</v>
      </c>
      <c r="E116" s="57" t="s">
        <v>25</v>
      </c>
      <c r="F116" s="57" t="s">
        <v>25</v>
      </c>
      <c r="G116" s="57" t="s">
        <v>25</v>
      </c>
      <c r="H116" s="57" t="s">
        <v>37</v>
      </c>
      <c r="I116" s="82">
        <v>44228</v>
      </c>
      <c r="J116" s="83">
        <f ca="1">EFEITO!$J$116*EFEITO!$Y$116</f>
        <v>76718.040923590219</v>
      </c>
      <c r="K116" s="83">
        <f ca="1">EFEITO!$L$116*EFEITO!$Z$116</f>
        <v>16697.850421992302</v>
      </c>
      <c r="L116" s="83">
        <f>EFEITO!$N$116*EFEITO!$AA$116</f>
        <v>114316.33694787345</v>
      </c>
      <c r="M116" s="83">
        <f ca="1">$J$116-EFEITO!$K$116*EFEITO!$Y$116</f>
        <v>0</v>
      </c>
      <c r="N116" s="83">
        <f ca="1">$K$116-EFEITO!$M$116*EFEITO!$Z$116</f>
        <v>0</v>
      </c>
      <c r="O116" s="83">
        <f>$L$116-EFEITO!$O$116*EFEITO!$AA$116</f>
        <v>0</v>
      </c>
      <c r="P116" s="61"/>
      <c r="Q116" s="61"/>
      <c r="R116" s="61"/>
      <c r="S116" s="61"/>
      <c r="T116" s="61"/>
      <c r="U116" s="61"/>
      <c r="V116" s="61"/>
      <c r="W116" s="61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spans="1:36" ht="11.25" customHeight="1" x14ac:dyDescent="0.2">
      <c r="A117" s="57" t="s">
        <v>21</v>
      </c>
      <c r="B117" s="57" t="s">
        <v>43</v>
      </c>
      <c r="C117" s="57" t="s">
        <v>44</v>
      </c>
      <c r="D117" s="57" t="s">
        <v>42</v>
      </c>
      <c r="E117" s="57" t="s">
        <v>25</v>
      </c>
      <c r="F117" s="57" t="s">
        <v>25</v>
      </c>
      <c r="G117" s="57" t="s">
        <v>25</v>
      </c>
      <c r="H117" s="57" t="s">
        <v>37</v>
      </c>
      <c r="I117" s="82">
        <v>44228</v>
      </c>
      <c r="J117" s="83">
        <f ca="1">EFEITO!$J$117*EFEITO!$Y$117</f>
        <v>1062313.4242258032</v>
      </c>
      <c r="K117" s="83">
        <f ca="1">EFEITO!$L$117*EFEITO!$Z$117</f>
        <v>0</v>
      </c>
      <c r="L117" s="83">
        <f>EFEITO!$N$117*EFEITO!$AA$117</f>
        <v>0</v>
      </c>
      <c r="M117" s="83">
        <f ca="1">$J$117-EFEITO!$K$117*EFEITO!$Y$117</f>
        <v>0</v>
      </c>
      <c r="N117" s="83">
        <f ca="1">$K$117-EFEITO!$M$117*EFEITO!$Z$117</f>
        <v>0</v>
      </c>
      <c r="O117" s="83">
        <f>$L$117-EFEITO!$O$117*EFEITO!$AA$117</f>
        <v>0</v>
      </c>
      <c r="P117" s="61"/>
      <c r="Q117" s="61"/>
      <c r="R117" s="61"/>
      <c r="S117" s="61"/>
      <c r="T117" s="61"/>
      <c r="U117" s="61"/>
      <c r="V117" s="61"/>
      <c r="W117" s="61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spans="1:36" ht="11.25" customHeight="1" x14ac:dyDescent="0.2">
      <c r="A118" s="57" t="s">
        <v>21</v>
      </c>
      <c r="B118" s="57" t="s">
        <v>43</v>
      </c>
      <c r="C118" s="57" t="s">
        <v>44</v>
      </c>
      <c r="D118" s="57" t="s">
        <v>42</v>
      </c>
      <c r="E118" s="57" t="s">
        <v>25</v>
      </c>
      <c r="F118" s="57" t="s">
        <v>25</v>
      </c>
      <c r="G118" s="57" t="s">
        <v>25</v>
      </c>
      <c r="H118" s="57" t="s">
        <v>37</v>
      </c>
      <c r="I118" s="82">
        <v>44256</v>
      </c>
      <c r="J118" s="83">
        <f ca="1">EFEITO!$J$118*EFEITO!$Y$118</f>
        <v>76988.454918137402</v>
      </c>
      <c r="K118" s="83">
        <f ca="1">EFEITO!$L$118*EFEITO!$Z$118</f>
        <v>19298.196071455553</v>
      </c>
      <c r="L118" s="83">
        <f>EFEITO!$N$118*EFEITO!$AA$118</f>
        <v>132118.74755358006</v>
      </c>
      <c r="M118" s="83">
        <f ca="1">$J$118-EFEITO!$K$118*EFEITO!$Y$118</f>
        <v>0</v>
      </c>
      <c r="N118" s="83">
        <f ca="1">$K$118-EFEITO!$M$118*EFEITO!$Z$118</f>
        <v>0</v>
      </c>
      <c r="O118" s="83">
        <f>$L$118-EFEITO!$O$118*EFEITO!$AA$118</f>
        <v>0</v>
      </c>
      <c r="P118" s="61"/>
      <c r="Q118" s="61"/>
      <c r="R118" s="61"/>
      <c r="S118" s="61"/>
      <c r="T118" s="61"/>
      <c r="U118" s="61"/>
      <c r="V118" s="61"/>
      <c r="W118" s="61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spans="1:36" ht="11.25" customHeight="1" x14ac:dyDescent="0.2">
      <c r="A119" s="57" t="s">
        <v>21</v>
      </c>
      <c r="B119" s="57" t="s">
        <v>43</v>
      </c>
      <c r="C119" s="57" t="s">
        <v>44</v>
      </c>
      <c r="D119" s="57" t="s">
        <v>42</v>
      </c>
      <c r="E119" s="57" t="s">
        <v>25</v>
      </c>
      <c r="F119" s="57" t="s">
        <v>25</v>
      </c>
      <c r="G119" s="57" t="s">
        <v>25</v>
      </c>
      <c r="H119" s="57" t="s">
        <v>37</v>
      </c>
      <c r="I119" s="82">
        <v>44256</v>
      </c>
      <c r="J119" s="83">
        <f ca="1">EFEITO!$J$119*EFEITO!$Y$119</f>
        <v>1063705.2609624432</v>
      </c>
      <c r="K119" s="83">
        <f ca="1">EFEITO!$L$119*EFEITO!$Z$119</f>
        <v>0</v>
      </c>
      <c r="L119" s="83">
        <f>EFEITO!$N$119*EFEITO!$AA$119</f>
        <v>0</v>
      </c>
      <c r="M119" s="83">
        <f ca="1">$J$119-EFEITO!$K$119*EFEITO!$Y$119</f>
        <v>0</v>
      </c>
      <c r="N119" s="83">
        <f ca="1">$K$119-EFEITO!$M$119*EFEITO!$Z$119</f>
        <v>0</v>
      </c>
      <c r="O119" s="83">
        <f>$L$119-EFEITO!$O$119*EFEITO!$AA$119</f>
        <v>0</v>
      </c>
      <c r="P119" s="61"/>
      <c r="Q119" s="61"/>
      <c r="R119" s="61"/>
      <c r="S119" s="61"/>
      <c r="T119" s="61"/>
      <c r="U119" s="61"/>
      <c r="V119" s="61"/>
      <c r="W119" s="61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spans="1:36" ht="11.25" customHeight="1" x14ac:dyDescent="0.2">
      <c r="A120" s="57" t="s">
        <v>21</v>
      </c>
      <c r="B120" s="57" t="s">
        <v>43</v>
      </c>
      <c r="C120" s="57" t="s">
        <v>44</v>
      </c>
      <c r="D120" s="57" t="s">
        <v>42</v>
      </c>
      <c r="E120" s="57" t="s">
        <v>25</v>
      </c>
      <c r="F120" s="57" t="s">
        <v>25</v>
      </c>
      <c r="G120" s="57" t="s">
        <v>25</v>
      </c>
      <c r="H120" s="57" t="s">
        <v>37</v>
      </c>
      <c r="I120" s="82">
        <v>44287</v>
      </c>
      <c r="J120" s="83">
        <f ca="1">EFEITO!$J$120*EFEITO!$Y$120</f>
        <v>77250.915559903777</v>
      </c>
      <c r="K120" s="83">
        <f ca="1">EFEITO!$L$120*EFEITO!$Z$120</f>
        <v>17202.470377038204</v>
      </c>
      <c r="L120" s="83">
        <f>EFEITO!$N$120*EFEITO!$AA$120</f>
        <v>117771.05137840105</v>
      </c>
      <c r="M120" s="83">
        <f ca="1">$J$120-EFEITO!$K$120*EFEITO!$Y$120</f>
        <v>0</v>
      </c>
      <c r="N120" s="83">
        <f ca="1">$K$120-EFEITO!$M$120*EFEITO!$Z$120</f>
        <v>0</v>
      </c>
      <c r="O120" s="83">
        <f>$L$120-EFEITO!$O$120*EFEITO!$AA$120</f>
        <v>0</v>
      </c>
      <c r="P120" s="61"/>
      <c r="Q120" s="61"/>
      <c r="R120" s="61"/>
      <c r="S120" s="61"/>
      <c r="T120" s="61"/>
      <c r="U120" s="61"/>
      <c r="V120" s="61"/>
      <c r="W120" s="61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spans="1:36" ht="11.25" customHeight="1" x14ac:dyDescent="0.2">
      <c r="A121" s="57" t="s">
        <v>21</v>
      </c>
      <c r="B121" s="57" t="s">
        <v>43</v>
      </c>
      <c r="C121" s="57" t="s">
        <v>44</v>
      </c>
      <c r="D121" s="57" t="s">
        <v>42</v>
      </c>
      <c r="E121" s="57" t="s">
        <v>25</v>
      </c>
      <c r="F121" s="57" t="s">
        <v>25</v>
      </c>
      <c r="G121" s="57" t="s">
        <v>25</v>
      </c>
      <c r="H121" s="57" t="s">
        <v>37</v>
      </c>
      <c r="I121" s="82">
        <v>44287</v>
      </c>
      <c r="J121" s="83">
        <f ca="1">EFEITO!$J$121*EFEITO!$Y$121</f>
        <v>1089283.2435054937</v>
      </c>
      <c r="K121" s="83">
        <f ca="1">EFEITO!$L$121*EFEITO!$Z$121</f>
        <v>0</v>
      </c>
      <c r="L121" s="83">
        <f>EFEITO!$N$121*EFEITO!$AA$121</f>
        <v>0</v>
      </c>
      <c r="M121" s="83">
        <f ca="1">$J$121-EFEITO!$K$121*EFEITO!$Y$121</f>
        <v>0</v>
      </c>
      <c r="N121" s="83">
        <f ca="1">$K$121-EFEITO!$M$121*EFEITO!$Z$121</f>
        <v>0</v>
      </c>
      <c r="O121" s="83">
        <f>$L$121-EFEITO!$O$121*EFEITO!$AA$121</f>
        <v>0</v>
      </c>
      <c r="P121" s="61"/>
      <c r="Q121" s="61"/>
      <c r="R121" s="61"/>
      <c r="S121" s="61"/>
      <c r="T121" s="61"/>
      <c r="U121" s="61"/>
      <c r="V121" s="61"/>
      <c r="W121" s="61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spans="1:36" ht="11.25" customHeight="1" x14ac:dyDescent="0.2">
      <c r="A122" s="57" t="s">
        <v>21</v>
      </c>
      <c r="B122" s="57" t="s">
        <v>43</v>
      </c>
      <c r="C122" s="57" t="s">
        <v>44</v>
      </c>
      <c r="D122" s="57" t="s">
        <v>42</v>
      </c>
      <c r="E122" s="57" t="s">
        <v>25</v>
      </c>
      <c r="F122" s="57" t="s">
        <v>25</v>
      </c>
      <c r="G122" s="57" t="s">
        <v>25</v>
      </c>
      <c r="H122" s="57" t="s">
        <v>37</v>
      </c>
      <c r="I122" s="82">
        <v>44317</v>
      </c>
      <c r="J122" s="83">
        <f ca="1">EFEITO!$J$122*EFEITO!$Y$122</f>
        <v>76718.040923590219</v>
      </c>
      <c r="K122" s="83">
        <f ca="1">EFEITO!$L$122*EFEITO!$Z$122</f>
        <v>17992.448802191597</v>
      </c>
      <c r="L122" s="83">
        <f>EFEITO!$N$122*EFEITO!$AA$122</f>
        <v>123179.37865102077</v>
      </c>
      <c r="M122" s="83">
        <f ca="1">$J$122-EFEITO!$K$122*EFEITO!$Y$122</f>
        <v>0</v>
      </c>
      <c r="N122" s="83">
        <f ca="1">$K$122-EFEITO!$M$122*EFEITO!$Z$122</f>
        <v>0</v>
      </c>
      <c r="O122" s="83">
        <f>$L$122-EFEITO!$O$122*EFEITO!$AA$122</f>
        <v>0</v>
      </c>
      <c r="P122" s="61"/>
      <c r="Q122" s="61"/>
      <c r="R122" s="61"/>
      <c r="S122" s="61"/>
      <c r="T122" s="61"/>
      <c r="U122" s="61"/>
      <c r="V122" s="61"/>
      <c r="W122" s="61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spans="1:36" ht="11.25" customHeight="1" x14ac:dyDescent="0.2">
      <c r="A123" s="57" t="s">
        <v>21</v>
      </c>
      <c r="B123" s="57" t="s">
        <v>43</v>
      </c>
      <c r="C123" s="57" t="s">
        <v>44</v>
      </c>
      <c r="D123" s="57" t="s">
        <v>42</v>
      </c>
      <c r="E123" s="57" t="s">
        <v>25</v>
      </c>
      <c r="F123" s="57" t="s">
        <v>25</v>
      </c>
      <c r="G123" s="57" t="s">
        <v>25</v>
      </c>
      <c r="H123" s="57" t="s">
        <v>37</v>
      </c>
      <c r="I123" s="82">
        <v>44317</v>
      </c>
      <c r="J123" s="83">
        <f ca="1">EFEITO!$J$123*EFEITO!$Y$123</f>
        <v>1091677.2026925145</v>
      </c>
      <c r="K123" s="83">
        <f ca="1">EFEITO!$L$123*EFEITO!$Z$123</f>
        <v>0</v>
      </c>
      <c r="L123" s="83">
        <f>EFEITO!$N$123*EFEITO!$AA$123</f>
        <v>0</v>
      </c>
      <c r="M123" s="83">
        <f ca="1">$J$123-EFEITO!$K$123*EFEITO!$Y$123</f>
        <v>0</v>
      </c>
      <c r="N123" s="83">
        <f ca="1">$K$123-EFEITO!$M$123*EFEITO!$Z$123</f>
        <v>0</v>
      </c>
      <c r="O123" s="83">
        <f>$L$123-EFEITO!$O$123*EFEITO!$AA$123</f>
        <v>0</v>
      </c>
      <c r="P123" s="61"/>
      <c r="Q123" s="61"/>
      <c r="R123" s="61"/>
      <c r="S123" s="61"/>
      <c r="T123" s="61"/>
      <c r="U123" s="61"/>
      <c r="V123" s="61"/>
      <c r="W123" s="61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spans="1:36" ht="11.25" customHeight="1" x14ac:dyDescent="0.2">
      <c r="A124" s="57" t="s">
        <v>21</v>
      </c>
      <c r="B124" s="57" t="s">
        <v>43</v>
      </c>
      <c r="C124" s="57" t="s">
        <v>44</v>
      </c>
      <c r="D124" s="57" t="s">
        <v>42</v>
      </c>
      <c r="E124" s="57" t="s">
        <v>25</v>
      </c>
      <c r="F124" s="57" t="s">
        <v>25</v>
      </c>
      <c r="G124" s="57" t="s">
        <v>25</v>
      </c>
      <c r="H124" s="57" t="s">
        <v>37</v>
      </c>
      <c r="I124" s="82">
        <v>44348</v>
      </c>
      <c r="J124" s="83">
        <f ca="1">EFEITO!$J$124*EFEITO!$Y$124</f>
        <v>41357.434460156452</v>
      </c>
      <c r="K124" s="83">
        <f ca="1">EFEITO!$L$124*EFEITO!$Z$124</f>
        <v>1050.6500694748431</v>
      </c>
      <c r="L124" s="83">
        <f>EFEITO!$N$124*EFEITO!$AA$124</f>
        <v>7192.9298874425021</v>
      </c>
      <c r="M124" s="83">
        <f ca="1">$J$124-EFEITO!$K$124*EFEITO!$Y$124</f>
        <v>0</v>
      </c>
      <c r="N124" s="83">
        <f ca="1">$K$124-EFEITO!$M$124*EFEITO!$Z$124</f>
        <v>0</v>
      </c>
      <c r="O124" s="83">
        <f>$L$124-EFEITO!$O$124*EFEITO!$AA$124</f>
        <v>0</v>
      </c>
      <c r="P124" s="61"/>
      <c r="Q124" s="61"/>
      <c r="R124" s="61"/>
      <c r="S124" s="61"/>
      <c r="T124" s="61"/>
      <c r="U124" s="61"/>
      <c r="V124" s="61"/>
      <c r="W124" s="61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spans="1:36" ht="11.25" customHeight="1" x14ac:dyDescent="0.2">
      <c r="A125" s="57" t="s">
        <v>21</v>
      </c>
      <c r="B125" s="57" t="s">
        <v>43</v>
      </c>
      <c r="C125" s="57" t="s">
        <v>44</v>
      </c>
      <c r="D125" s="57" t="s">
        <v>42</v>
      </c>
      <c r="E125" s="57" t="s">
        <v>25</v>
      </c>
      <c r="F125" s="57" t="s">
        <v>25</v>
      </c>
      <c r="G125" s="57" t="s">
        <v>25</v>
      </c>
      <c r="H125" s="57" t="s">
        <v>37</v>
      </c>
      <c r="I125" s="82">
        <v>44348</v>
      </c>
      <c r="J125" s="83">
        <f ca="1">EFEITO!$J$125*EFEITO!$Y$125</f>
        <v>1057183.5116821877</v>
      </c>
      <c r="K125" s="83">
        <f ca="1">EFEITO!$L$125*EFEITO!$Z$125</f>
        <v>0</v>
      </c>
      <c r="L125" s="83">
        <f>EFEITO!$N$125*EFEITO!$AA$125</f>
        <v>0</v>
      </c>
      <c r="M125" s="83">
        <f ca="1">$J$125-EFEITO!$K$125*EFEITO!$Y$125</f>
        <v>0</v>
      </c>
      <c r="N125" s="83">
        <f ca="1">$K$125-EFEITO!$M$125*EFEITO!$Z$125</f>
        <v>0</v>
      </c>
      <c r="O125" s="83">
        <f>$L$125-EFEITO!$O$125*EFEITO!$AA$125</f>
        <v>0</v>
      </c>
      <c r="P125" s="61"/>
      <c r="Q125" s="61"/>
      <c r="R125" s="61"/>
      <c r="S125" s="61"/>
      <c r="T125" s="61"/>
      <c r="U125" s="61"/>
      <c r="V125" s="61"/>
      <c r="W125" s="61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spans="1:36" ht="11.25" customHeight="1" x14ac:dyDescent="0.2">
      <c r="A126" s="57" t="s">
        <v>21</v>
      </c>
      <c r="B126" s="57" t="s">
        <v>43</v>
      </c>
      <c r="C126" s="57" t="s">
        <v>44</v>
      </c>
      <c r="D126" s="57" t="s">
        <v>42</v>
      </c>
      <c r="E126" s="57" t="s">
        <v>25</v>
      </c>
      <c r="F126" s="57" t="s">
        <v>25</v>
      </c>
      <c r="G126" s="57" t="s">
        <v>25</v>
      </c>
      <c r="H126" s="57" t="s">
        <v>37</v>
      </c>
      <c r="I126" s="82">
        <v>44378</v>
      </c>
      <c r="J126" s="83">
        <f ca="1">EFEITO!$J$126*EFEITO!$Y$126</f>
        <v>72375.510305273798</v>
      </c>
      <c r="K126" s="83">
        <f ca="1">EFEITO!$L$126*EFEITO!$Z$126</f>
        <v>11469.884162318305</v>
      </c>
      <c r="L126" s="83">
        <f>EFEITO!$N$126*EFEITO!$AA$126</f>
        <v>78524.786695041665</v>
      </c>
      <c r="M126" s="83">
        <f ca="1">$J$126-EFEITO!$K$126*EFEITO!$Y$126</f>
        <v>0</v>
      </c>
      <c r="N126" s="83">
        <f ca="1">$K$126-EFEITO!$M$126*EFEITO!$Z$126</f>
        <v>0</v>
      </c>
      <c r="O126" s="83">
        <f>$L$126-EFEITO!$O$126*EFEITO!$AA$126</f>
        <v>0</v>
      </c>
      <c r="P126" s="61"/>
      <c r="Q126" s="61"/>
      <c r="R126" s="61"/>
      <c r="S126" s="61"/>
      <c r="T126" s="61"/>
      <c r="U126" s="61"/>
      <c r="V126" s="61"/>
      <c r="W126" s="61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spans="1:36" ht="11.25" customHeight="1" x14ac:dyDescent="0.2">
      <c r="A127" s="57" t="s">
        <v>21</v>
      </c>
      <c r="B127" s="57" t="s">
        <v>43</v>
      </c>
      <c r="C127" s="57" t="s">
        <v>44</v>
      </c>
      <c r="D127" s="57" t="s">
        <v>42</v>
      </c>
      <c r="E127" s="57" t="s">
        <v>25</v>
      </c>
      <c r="F127" s="57" t="s">
        <v>25</v>
      </c>
      <c r="G127" s="57" t="s">
        <v>25</v>
      </c>
      <c r="H127" s="57" t="s">
        <v>37</v>
      </c>
      <c r="I127" s="82">
        <v>44378</v>
      </c>
      <c r="J127" s="83">
        <f ca="1">EFEITO!$J$127*EFEITO!$Y$127</f>
        <v>1094405.2026963285</v>
      </c>
      <c r="K127" s="83">
        <f ca="1">EFEITO!$L$127*EFEITO!$Z$127</f>
        <v>0</v>
      </c>
      <c r="L127" s="83">
        <f>EFEITO!$N$127*EFEITO!$AA$127</f>
        <v>0</v>
      </c>
      <c r="M127" s="83">
        <f ca="1">$J$127-EFEITO!$K$127*EFEITO!$Y$127</f>
        <v>0</v>
      </c>
      <c r="N127" s="83">
        <f ca="1">$K$127-EFEITO!$M$127*EFEITO!$Z$127</f>
        <v>0</v>
      </c>
      <c r="O127" s="83">
        <f>$L$127-EFEITO!$O$127*EFEITO!$AA$127</f>
        <v>0</v>
      </c>
      <c r="P127" s="61"/>
      <c r="Q127" s="61"/>
      <c r="R127" s="61"/>
      <c r="S127" s="61"/>
      <c r="T127" s="61"/>
      <c r="U127" s="61"/>
      <c r="V127" s="61"/>
      <c r="W127" s="61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spans="1:36" ht="11.25" customHeight="1" x14ac:dyDescent="0.2">
      <c r="A128" s="57" t="s">
        <v>21</v>
      </c>
      <c r="B128" s="57" t="s">
        <v>43</v>
      </c>
      <c r="C128" s="57" t="s">
        <v>44</v>
      </c>
      <c r="D128" s="57" t="s">
        <v>42</v>
      </c>
      <c r="E128" s="57" t="s">
        <v>25</v>
      </c>
      <c r="F128" s="57" t="s">
        <v>25</v>
      </c>
      <c r="G128" s="57" t="s">
        <v>25</v>
      </c>
      <c r="H128" s="57" t="s">
        <v>37</v>
      </c>
      <c r="I128" s="82">
        <v>44409</v>
      </c>
      <c r="J128" s="83">
        <f ca="1">EFEITO!$J$128*EFEITO!$Y$128</f>
        <v>72375.510305273798</v>
      </c>
      <c r="K128" s="83">
        <f ca="1">EFEITO!$L$128*EFEITO!$Z$128</f>
        <v>13721.56157877115</v>
      </c>
      <c r="L128" s="83">
        <f>EFEITO!$N$128*EFEITO!$AA$128</f>
        <v>93940.155004852437</v>
      </c>
      <c r="M128" s="83">
        <f ca="1">$J$128-EFEITO!$K$128*EFEITO!$Y$128</f>
        <v>0</v>
      </c>
      <c r="N128" s="83">
        <f ca="1">$K$128-EFEITO!$M$128*EFEITO!$Z$128</f>
        <v>0</v>
      </c>
      <c r="O128" s="83">
        <f>$L$128-EFEITO!$O$128*EFEITO!$AA$128</f>
        <v>0</v>
      </c>
      <c r="P128" s="61"/>
      <c r="Q128" s="61"/>
      <c r="R128" s="61"/>
      <c r="S128" s="61"/>
      <c r="T128" s="61"/>
      <c r="U128" s="61"/>
      <c r="V128" s="61"/>
      <c r="W128" s="61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spans="1:36" ht="11.25" customHeight="1" x14ac:dyDescent="0.2">
      <c r="A129" s="57" t="s">
        <v>21</v>
      </c>
      <c r="B129" s="57" t="s">
        <v>43</v>
      </c>
      <c r="C129" s="57" t="s">
        <v>44</v>
      </c>
      <c r="D129" s="57" t="s">
        <v>42</v>
      </c>
      <c r="E129" s="57" t="s">
        <v>25</v>
      </c>
      <c r="F129" s="57" t="s">
        <v>25</v>
      </c>
      <c r="G129" s="57" t="s">
        <v>25</v>
      </c>
      <c r="H129" s="57" t="s">
        <v>37</v>
      </c>
      <c r="I129" s="82">
        <v>44409</v>
      </c>
      <c r="J129" s="83">
        <f ca="1">EFEITO!$J$129*EFEITO!$Y$129</f>
        <v>1141489.0511586606</v>
      </c>
      <c r="K129" s="83">
        <f ca="1">EFEITO!$L$129*EFEITO!$Z$129</f>
        <v>0</v>
      </c>
      <c r="L129" s="83">
        <f>EFEITO!$N$129*EFEITO!$AA$129</f>
        <v>0</v>
      </c>
      <c r="M129" s="83">
        <f ca="1">$J$129-EFEITO!$K$129*EFEITO!$Y$129</f>
        <v>0</v>
      </c>
      <c r="N129" s="83">
        <f ca="1">$K$129-EFEITO!$M$129*EFEITO!$Z$129</f>
        <v>0</v>
      </c>
      <c r="O129" s="83">
        <f>$L$129-EFEITO!$O$129*EFEITO!$AA$129</f>
        <v>0</v>
      </c>
      <c r="P129" s="61"/>
      <c r="Q129" s="61"/>
      <c r="R129" s="61"/>
      <c r="S129" s="61"/>
      <c r="T129" s="61"/>
      <c r="U129" s="61"/>
      <c r="V129" s="61"/>
      <c r="W129" s="61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spans="1:36" ht="11.25" customHeight="1" x14ac:dyDescent="0.2">
      <c r="A130" s="57" t="s">
        <v>21</v>
      </c>
      <c r="B130" s="57" t="s">
        <v>43</v>
      </c>
      <c r="C130" s="57" t="s">
        <v>44</v>
      </c>
      <c r="D130" s="57" t="s">
        <v>42</v>
      </c>
      <c r="E130" s="57" t="s">
        <v>25</v>
      </c>
      <c r="F130" s="57" t="s">
        <v>25</v>
      </c>
      <c r="G130" s="57" t="s">
        <v>25</v>
      </c>
      <c r="H130" s="57" t="s">
        <v>37</v>
      </c>
      <c r="I130" s="82">
        <v>44440</v>
      </c>
      <c r="J130" s="83">
        <f ca="1">EFEITO!$J$130*EFEITO!$Y$130</f>
        <v>72375.510305273798</v>
      </c>
      <c r="K130" s="83">
        <f ca="1">EFEITO!$L$130*EFEITO!$Z$130</f>
        <v>11051.601735088649</v>
      </c>
      <c r="L130" s="83">
        <f>EFEITO!$N$130*EFEITO!$AA$130</f>
        <v>75661.153731388928</v>
      </c>
      <c r="M130" s="83">
        <f ca="1">$J$130-EFEITO!$K$130*EFEITO!$Y$130</f>
        <v>0</v>
      </c>
      <c r="N130" s="83">
        <f ca="1">$K$130-EFEITO!$M$130*EFEITO!$Z$130</f>
        <v>0</v>
      </c>
      <c r="O130" s="83">
        <f>$L$130-EFEITO!$O$130*EFEITO!$AA$130</f>
        <v>0</v>
      </c>
      <c r="P130" s="61"/>
      <c r="Q130" s="61"/>
      <c r="R130" s="61"/>
      <c r="S130" s="61"/>
      <c r="T130" s="61"/>
      <c r="U130" s="61"/>
      <c r="V130" s="61"/>
      <c r="W130" s="61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spans="1:36" ht="11.25" customHeight="1" x14ac:dyDescent="0.2">
      <c r="A131" s="57" t="s">
        <v>21</v>
      </c>
      <c r="B131" s="57" t="s">
        <v>43</v>
      </c>
      <c r="C131" s="57" t="s">
        <v>44</v>
      </c>
      <c r="D131" s="57" t="s">
        <v>42</v>
      </c>
      <c r="E131" s="57" t="s">
        <v>25</v>
      </c>
      <c r="F131" s="57" t="s">
        <v>25</v>
      </c>
      <c r="G131" s="57" t="s">
        <v>25</v>
      </c>
      <c r="H131" s="57" t="s">
        <v>37</v>
      </c>
      <c r="I131" s="82">
        <v>44440</v>
      </c>
      <c r="J131" s="83">
        <f ca="1">EFEITO!$J$131*EFEITO!$Y$131</f>
        <v>1170288.1415779348</v>
      </c>
      <c r="K131" s="83">
        <f ca="1">EFEITO!$L$131*EFEITO!$Z$131</f>
        <v>0</v>
      </c>
      <c r="L131" s="83">
        <f>EFEITO!$N$131*EFEITO!$AA$131</f>
        <v>0</v>
      </c>
      <c r="M131" s="83">
        <f ca="1">$J$131-EFEITO!$K$131*EFEITO!$Y$131</f>
        <v>0</v>
      </c>
      <c r="N131" s="83">
        <f ca="1">$K$131-EFEITO!$M$131*EFEITO!$Z$131</f>
        <v>0</v>
      </c>
      <c r="O131" s="83">
        <f>$L$131-EFEITO!$O$131*EFEITO!$AA$131</f>
        <v>0</v>
      </c>
      <c r="P131" s="61"/>
      <c r="Q131" s="61"/>
      <c r="R131" s="61"/>
      <c r="S131" s="61"/>
      <c r="T131" s="61"/>
      <c r="U131" s="61"/>
      <c r="V131" s="61"/>
      <c r="W131" s="61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spans="1:36" ht="11.25" customHeight="1" x14ac:dyDescent="0.2">
      <c r="A132" s="57" t="s">
        <v>59</v>
      </c>
      <c r="B132" s="57" t="s">
        <v>43</v>
      </c>
      <c r="C132" s="57" t="s">
        <v>44</v>
      </c>
      <c r="D132" s="57" t="s">
        <v>42</v>
      </c>
      <c r="E132" s="57" t="s">
        <v>25</v>
      </c>
      <c r="F132" s="57" t="s">
        <v>25</v>
      </c>
      <c r="G132" s="57" t="s">
        <v>25</v>
      </c>
      <c r="H132" s="57" t="s">
        <v>37</v>
      </c>
      <c r="I132" s="82">
        <v>44470</v>
      </c>
      <c r="J132" s="83">
        <f ca="1">EFEITO!$J$132*EFEITO!$Y$132</f>
        <v>72375.510305273798</v>
      </c>
      <c r="K132" s="83">
        <f ca="1">EFEITO!$L$132*EFEITO!$Z$132</f>
        <v>11051.601735088649</v>
      </c>
      <c r="L132" s="83">
        <f>EFEITO!$N$132*EFEITO!$AA$132</f>
        <v>75661.153731388928</v>
      </c>
      <c r="M132" s="83">
        <f ca="1">$J$132-EFEITO!$K$132*EFEITO!$Y$132</f>
        <v>0</v>
      </c>
      <c r="N132" s="83">
        <f ca="1">$K$132-EFEITO!$M$132*EFEITO!$Z$132</f>
        <v>0</v>
      </c>
      <c r="O132" s="83">
        <f>$L$132-EFEITO!$O$132*EFEITO!$AA$132</f>
        <v>0</v>
      </c>
      <c r="P132" s="61"/>
      <c r="Q132" s="61"/>
      <c r="R132" s="61"/>
      <c r="S132" s="61"/>
      <c r="T132" s="61"/>
      <c r="U132" s="61"/>
      <c r="V132" s="61"/>
      <c r="W132" s="61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spans="1:36" ht="11.25" customHeight="1" x14ac:dyDescent="0.2">
      <c r="A133" s="57" t="s">
        <v>59</v>
      </c>
      <c r="B133" s="57" t="s">
        <v>43</v>
      </c>
      <c r="C133" s="57" t="s">
        <v>44</v>
      </c>
      <c r="D133" s="57" t="s">
        <v>42</v>
      </c>
      <c r="E133" s="57" t="s">
        <v>25</v>
      </c>
      <c r="F133" s="57" t="s">
        <v>25</v>
      </c>
      <c r="G133" s="57" t="s">
        <v>25</v>
      </c>
      <c r="H133" s="57" t="s">
        <v>37</v>
      </c>
      <c r="I133" s="82">
        <v>44470</v>
      </c>
      <c r="J133" s="83">
        <f ca="1">EFEITO!$J$133*EFEITO!$Y$133</f>
        <v>1170288.1415779348</v>
      </c>
      <c r="K133" s="83">
        <f ca="1">EFEITO!$L$133*EFEITO!$Z$133</f>
        <v>0</v>
      </c>
      <c r="L133" s="83">
        <f>EFEITO!$N$133*EFEITO!$AA$133</f>
        <v>0</v>
      </c>
      <c r="M133" s="83">
        <f ca="1">$J$133-EFEITO!$K$133*EFEITO!$Y$133</f>
        <v>0</v>
      </c>
      <c r="N133" s="83">
        <f ca="1">$K$133-EFEITO!$M$133*EFEITO!$Z$133</f>
        <v>0</v>
      </c>
      <c r="O133" s="83">
        <f>$L$133-EFEITO!$O$133*EFEITO!$AA$133</f>
        <v>0</v>
      </c>
      <c r="P133" s="61"/>
      <c r="Q133" s="61"/>
      <c r="R133" s="61"/>
      <c r="S133" s="61"/>
      <c r="T133" s="61"/>
      <c r="U133" s="61"/>
      <c r="V133" s="61"/>
      <c r="W133" s="61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spans="1:36" ht="11.25" customHeight="1" x14ac:dyDescent="0.2">
      <c r="A134" s="57" t="s">
        <v>21</v>
      </c>
      <c r="B134" s="57" t="s">
        <v>43</v>
      </c>
      <c r="C134" s="57" t="s">
        <v>44</v>
      </c>
      <c r="D134" s="57" t="s">
        <v>48</v>
      </c>
      <c r="E134" s="57" t="s">
        <v>25</v>
      </c>
      <c r="F134" s="57" t="s">
        <v>25</v>
      </c>
      <c r="G134" s="57" t="s">
        <v>25</v>
      </c>
      <c r="H134" s="57" t="s">
        <v>38</v>
      </c>
      <c r="I134" s="82">
        <v>44136</v>
      </c>
      <c r="J134" s="83">
        <f ca="1">EFEITO!$J$134*EFEITO!$Y$134</f>
        <v>44062.88157611082</v>
      </c>
      <c r="K134" s="83">
        <f ca="1">EFEITO!$L$134*EFEITO!$Z$134</f>
        <v>153050.09093154134</v>
      </c>
      <c r="L134" s="83">
        <f>EFEITO!$N$134*EFEITO!$AA$134</f>
        <v>652485.60894977488</v>
      </c>
      <c r="M134" s="83">
        <f ca="1">$J$134-EFEITO!$K$134*EFEITO!$Y$134</f>
        <v>0</v>
      </c>
      <c r="N134" s="83">
        <f ca="1">$K$134-EFEITO!$M$134*EFEITO!$Z$134</f>
        <v>0</v>
      </c>
      <c r="O134" s="83">
        <f>$L$134-EFEITO!$O$134*EFEITO!$AA$134</f>
        <v>0</v>
      </c>
      <c r="P134" s="61"/>
      <c r="Q134" s="61"/>
      <c r="R134" s="61"/>
      <c r="S134" s="61"/>
      <c r="T134" s="61"/>
      <c r="U134" s="61"/>
      <c r="V134" s="61"/>
      <c r="W134" s="61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spans="1:36" ht="11.25" customHeight="1" x14ac:dyDescent="0.2">
      <c r="A135" s="57" t="s">
        <v>21</v>
      </c>
      <c r="B135" s="57" t="s">
        <v>43</v>
      </c>
      <c r="C135" s="57" t="s">
        <v>44</v>
      </c>
      <c r="D135" s="57" t="s">
        <v>48</v>
      </c>
      <c r="E135" s="57" t="s">
        <v>25</v>
      </c>
      <c r="F135" s="57" t="s">
        <v>25</v>
      </c>
      <c r="G135" s="57" t="s">
        <v>25</v>
      </c>
      <c r="H135" s="57" t="s">
        <v>38</v>
      </c>
      <c r="I135" s="82">
        <v>44166</v>
      </c>
      <c r="J135" s="83">
        <f ca="1">EFEITO!$J$135*EFEITO!$Y$135</f>
        <v>44062.88157611082</v>
      </c>
      <c r="K135" s="83">
        <f ca="1">EFEITO!$L$135*EFEITO!$Z$135</f>
        <v>155068.9689263344</v>
      </c>
      <c r="L135" s="83">
        <f>EFEITO!$N$135*EFEITO!$AA$135</f>
        <v>661092.52208396618</v>
      </c>
      <c r="M135" s="83">
        <f ca="1">$J$135-EFEITO!$K$135*EFEITO!$Y$135</f>
        <v>0</v>
      </c>
      <c r="N135" s="83">
        <f ca="1">$K$135-EFEITO!$M$135*EFEITO!$Z$135</f>
        <v>0</v>
      </c>
      <c r="O135" s="83">
        <f>$L$135-EFEITO!$O$135*EFEITO!$AA$135</f>
        <v>0</v>
      </c>
      <c r="P135" s="61"/>
      <c r="Q135" s="61"/>
      <c r="R135" s="61"/>
      <c r="S135" s="61"/>
      <c r="T135" s="61"/>
      <c r="U135" s="61"/>
      <c r="V135" s="61"/>
      <c r="W135" s="61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spans="1:36" ht="11.25" customHeight="1" x14ac:dyDescent="0.2">
      <c r="A136" s="57" t="s">
        <v>21</v>
      </c>
      <c r="B136" s="57" t="s">
        <v>43</v>
      </c>
      <c r="C136" s="57" t="s">
        <v>44</v>
      </c>
      <c r="D136" s="57" t="s">
        <v>48</v>
      </c>
      <c r="E136" s="57" t="s">
        <v>25</v>
      </c>
      <c r="F136" s="57" t="s">
        <v>25</v>
      </c>
      <c r="G136" s="57" t="s">
        <v>25</v>
      </c>
      <c r="H136" s="57" t="s">
        <v>38</v>
      </c>
      <c r="I136" s="82">
        <v>44197</v>
      </c>
      <c r="J136" s="83">
        <f ca="1">EFEITO!$J$136*EFEITO!$Y$136</f>
        <v>44062.88157611082</v>
      </c>
      <c r="K136" s="83">
        <f ca="1">EFEITO!$L$136*EFEITO!$Z$136</f>
        <v>148018.22566702266</v>
      </c>
      <c r="L136" s="83">
        <f>EFEITO!$N$136*EFEITO!$AA$136</f>
        <v>631033.68003363151</v>
      </c>
      <c r="M136" s="83">
        <f ca="1">$J$136-EFEITO!$K$136*EFEITO!$Y$136</f>
        <v>0</v>
      </c>
      <c r="N136" s="83">
        <f ca="1">$K$136-EFEITO!$M$136*EFEITO!$Z$136</f>
        <v>0</v>
      </c>
      <c r="O136" s="83">
        <f>$L$136-EFEITO!$O$136*EFEITO!$AA$136</f>
        <v>0</v>
      </c>
      <c r="P136" s="61"/>
      <c r="Q136" s="61"/>
      <c r="R136" s="61"/>
      <c r="S136" s="61"/>
      <c r="T136" s="61"/>
      <c r="U136" s="61"/>
      <c r="V136" s="61"/>
      <c r="W136" s="61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spans="1:36" ht="11.25" customHeight="1" x14ac:dyDescent="0.2">
      <c r="A137" s="57" t="s">
        <v>21</v>
      </c>
      <c r="B137" s="57" t="s">
        <v>43</v>
      </c>
      <c r="C137" s="57" t="s">
        <v>44</v>
      </c>
      <c r="D137" s="57" t="s">
        <v>48</v>
      </c>
      <c r="E137" s="57" t="s">
        <v>25</v>
      </c>
      <c r="F137" s="57" t="s">
        <v>25</v>
      </c>
      <c r="G137" s="57" t="s">
        <v>25</v>
      </c>
      <c r="H137" s="57" t="s">
        <v>38</v>
      </c>
      <c r="I137" s="82">
        <v>44228</v>
      </c>
      <c r="J137" s="83">
        <f ca="1">EFEITO!$J$137*EFEITO!$Y$137</f>
        <v>44062.88157611082</v>
      </c>
      <c r="K137" s="83">
        <f ca="1">EFEITO!$L$137*EFEITO!$Z$137</f>
        <v>134875.54360796025</v>
      </c>
      <c r="L137" s="83">
        <f>EFEITO!$N$137*EFEITO!$AA$137</f>
        <v>575003.5865240735</v>
      </c>
      <c r="M137" s="83">
        <f ca="1">$J$137-EFEITO!$K$137*EFEITO!$Y$137</f>
        <v>0</v>
      </c>
      <c r="N137" s="83">
        <f ca="1">$K$137-EFEITO!$M$137*EFEITO!$Z$137</f>
        <v>0</v>
      </c>
      <c r="O137" s="83">
        <f>$L$137-EFEITO!$O$137*EFEITO!$AA$137</f>
        <v>0</v>
      </c>
      <c r="P137" s="61"/>
      <c r="Q137" s="61"/>
      <c r="R137" s="61"/>
      <c r="S137" s="61"/>
      <c r="T137" s="61"/>
      <c r="U137" s="61"/>
      <c r="V137" s="61"/>
      <c r="W137" s="61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spans="1:36" ht="11.25" customHeight="1" x14ac:dyDescent="0.2">
      <c r="A138" s="57" t="s">
        <v>21</v>
      </c>
      <c r="B138" s="57" t="s">
        <v>43</v>
      </c>
      <c r="C138" s="57" t="s">
        <v>44</v>
      </c>
      <c r="D138" s="57" t="s">
        <v>48</v>
      </c>
      <c r="E138" s="57" t="s">
        <v>25</v>
      </c>
      <c r="F138" s="57" t="s">
        <v>25</v>
      </c>
      <c r="G138" s="57" t="s">
        <v>25</v>
      </c>
      <c r="H138" s="57" t="s">
        <v>38</v>
      </c>
      <c r="I138" s="82">
        <v>44256</v>
      </c>
      <c r="J138" s="83">
        <f ca="1">EFEITO!$J$138*EFEITO!$Y$138</f>
        <v>44062.88157611082</v>
      </c>
      <c r="K138" s="83">
        <f ca="1">EFEITO!$L$138*EFEITO!$Z$138</f>
        <v>150624.27848588806</v>
      </c>
      <c r="L138" s="83">
        <f>EFEITO!$N$138*EFEITO!$AA$138</f>
        <v>642143.84632051899</v>
      </c>
      <c r="M138" s="83">
        <f ca="1">$J$138-EFEITO!$K$138*EFEITO!$Y$138</f>
        <v>0</v>
      </c>
      <c r="N138" s="83">
        <f ca="1">$K$138-EFEITO!$M$138*EFEITO!$Z$138</f>
        <v>0</v>
      </c>
      <c r="O138" s="83">
        <f>$L$138-EFEITO!$O$138*EFEITO!$AA$138</f>
        <v>0</v>
      </c>
      <c r="P138" s="61"/>
      <c r="Q138" s="61"/>
      <c r="R138" s="61"/>
      <c r="S138" s="61"/>
      <c r="T138" s="61"/>
      <c r="U138" s="61"/>
      <c r="V138" s="61"/>
      <c r="W138" s="61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spans="1:36" ht="11.25" customHeight="1" x14ac:dyDescent="0.2">
      <c r="A139" s="57" t="s">
        <v>21</v>
      </c>
      <c r="B139" s="57" t="s">
        <v>43</v>
      </c>
      <c r="C139" s="57" t="s">
        <v>44</v>
      </c>
      <c r="D139" s="57" t="s">
        <v>48</v>
      </c>
      <c r="E139" s="57" t="s">
        <v>25</v>
      </c>
      <c r="F139" s="57" t="s">
        <v>25</v>
      </c>
      <c r="G139" s="57" t="s">
        <v>25</v>
      </c>
      <c r="H139" s="57" t="s">
        <v>38</v>
      </c>
      <c r="I139" s="82">
        <v>44287</v>
      </c>
      <c r="J139" s="83">
        <f ca="1">EFEITO!$J$139*EFEITO!$Y$139</f>
        <v>44062.88157611082</v>
      </c>
      <c r="K139" s="83">
        <f ca="1">EFEITO!$L$139*EFEITO!$Z$139</f>
        <v>142266.3279837443</v>
      </c>
      <c r="L139" s="83">
        <f>EFEITO!$N$139*EFEITO!$AA$139</f>
        <v>606512.09733055823</v>
      </c>
      <c r="M139" s="83">
        <f ca="1">$J$139-EFEITO!$K$139*EFEITO!$Y$139</f>
        <v>0</v>
      </c>
      <c r="N139" s="83">
        <f ca="1">$K$139-EFEITO!$M$139*EFEITO!$Z$139</f>
        <v>0</v>
      </c>
      <c r="O139" s="83">
        <f>$L$139-EFEITO!$O$139*EFEITO!$AA$139</f>
        <v>0</v>
      </c>
      <c r="P139" s="61"/>
      <c r="Q139" s="61"/>
      <c r="R139" s="61"/>
      <c r="S139" s="61"/>
      <c r="T139" s="61"/>
      <c r="U139" s="61"/>
      <c r="V139" s="61"/>
      <c r="W139" s="61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spans="1:36" ht="11.25" customHeight="1" x14ac:dyDescent="0.2">
      <c r="A140" s="57" t="s">
        <v>21</v>
      </c>
      <c r="B140" s="57" t="s">
        <v>43</v>
      </c>
      <c r="C140" s="57" t="s">
        <v>44</v>
      </c>
      <c r="D140" s="57" t="s">
        <v>48</v>
      </c>
      <c r="E140" s="57" t="s">
        <v>25</v>
      </c>
      <c r="F140" s="57" t="s">
        <v>25</v>
      </c>
      <c r="G140" s="57" t="s">
        <v>25</v>
      </c>
      <c r="H140" s="57" t="s">
        <v>38</v>
      </c>
      <c r="I140" s="82">
        <v>44317</v>
      </c>
      <c r="J140" s="83">
        <f ca="1">EFEITO!$J$140*EFEITO!$Y$140</f>
        <v>44062.88157611082</v>
      </c>
      <c r="K140" s="83">
        <f ca="1">EFEITO!$L$140*EFEITO!$Z$140</f>
        <v>145770.79544640394</v>
      </c>
      <c r="L140" s="83">
        <f>EFEITO!$N$140*EFEITO!$AA$140</f>
        <v>621452.3993748147</v>
      </c>
      <c r="M140" s="83">
        <f ca="1">$J$140-EFEITO!$K$140*EFEITO!$Y$140</f>
        <v>0</v>
      </c>
      <c r="N140" s="83">
        <f ca="1">$K$140-EFEITO!$M$140*EFEITO!$Z$140</f>
        <v>0</v>
      </c>
      <c r="O140" s="83">
        <f>$L$140-EFEITO!$O$140*EFEITO!$AA$140</f>
        <v>0</v>
      </c>
      <c r="P140" s="61"/>
      <c r="Q140" s="61"/>
      <c r="R140" s="61"/>
      <c r="S140" s="61"/>
      <c r="T140" s="61"/>
      <c r="U140" s="61"/>
      <c r="V140" s="61"/>
      <c r="W140" s="61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spans="1:36" ht="11.25" customHeight="1" x14ac:dyDescent="0.2">
      <c r="A141" s="57" t="s">
        <v>21</v>
      </c>
      <c r="B141" s="57" t="s">
        <v>43</v>
      </c>
      <c r="C141" s="57" t="s">
        <v>44</v>
      </c>
      <c r="D141" s="57" t="s">
        <v>48</v>
      </c>
      <c r="E141" s="57" t="s">
        <v>25</v>
      </c>
      <c r="F141" s="57" t="s">
        <v>25</v>
      </c>
      <c r="G141" s="57" t="s">
        <v>25</v>
      </c>
      <c r="H141" s="57" t="s">
        <v>38</v>
      </c>
      <c r="I141" s="82">
        <v>44348</v>
      </c>
      <c r="J141" s="83">
        <f ca="1">EFEITO!$J$141*EFEITO!$Y$141</f>
        <v>44062.88157611082</v>
      </c>
      <c r="K141" s="83">
        <f ca="1">EFEITO!$L$141*EFEITO!$Z$141</f>
        <v>139259.84423263971</v>
      </c>
      <c r="L141" s="83">
        <f>EFEITO!$N$141*EFEITO!$AA$141</f>
        <v>593694.80745377834</v>
      </c>
      <c r="M141" s="83">
        <f ca="1">$J$141-EFEITO!$K$141*EFEITO!$Y$141</f>
        <v>0</v>
      </c>
      <c r="N141" s="83">
        <f ca="1">$K$141-EFEITO!$M$141*EFEITO!$Z$141</f>
        <v>0</v>
      </c>
      <c r="O141" s="83">
        <f>$L$141-EFEITO!$O$141*EFEITO!$AA$141</f>
        <v>0</v>
      </c>
      <c r="P141" s="61"/>
      <c r="Q141" s="61"/>
      <c r="R141" s="61"/>
      <c r="S141" s="61"/>
      <c r="T141" s="61"/>
      <c r="U141" s="61"/>
      <c r="V141" s="61"/>
      <c r="W141" s="61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spans="1:36" ht="11.25" customHeight="1" x14ac:dyDescent="0.2">
      <c r="A142" s="57" t="s">
        <v>21</v>
      </c>
      <c r="B142" s="57" t="s">
        <v>43</v>
      </c>
      <c r="C142" s="57" t="s">
        <v>44</v>
      </c>
      <c r="D142" s="57" t="s">
        <v>48</v>
      </c>
      <c r="E142" s="57" t="s">
        <v>25</v>
      </c>
      <c r="F142" s="57" t="s">
        <v>25</v>
      </c>
      <c r="G142" s="57" t="s">
        <v>25</v>
      </c>
      <c r="H142" s="57" t="s">
        <v>38</v>
      </c>
      <c r="I142" s="82">
        <v>44378</v>
      </c>
      <c r="J142" s="83">
        <f ca="1">EFEITO!$J$142*EFEITO!$Y$142</f>
        <v>44062.88157611082</v>
      </c>
      <c r="K142" s="83">
        <f ca="1">EFEITO!$L$142*EFEITO!$Z$142</f>
        <v>147885.36807233538</v>
      </c>
      <c r="L142" s="83">
        <f>EFEITO!$N$142*EFEITO!$AA$142</f>
        <v>630467.2793993979</v>
      </c>
      <c r="M142" s="83">
        <f ca="1">$J$142-EFEITO!$K$142*EFEITO!$Y$142</f>
        <v>0</v>
      </c>
      <c r="N142" s="83">
        <f ca="1">$K$142-EFEITO!$M$142*EFEITO!$Z$142</f>
        <v>0</v>
      </c>
      <c r="O142" s="83">
        <f>$L$142-EFEITO!$O$142*EFEITO!$AA$142</f>
        <v>0</v>
      </c>
      <c r="P142" s="61"/>
      <c r="Q142" s="61"/>
      <c r="R142" s="61"/>
      <c r="S142" s="61"/>
      <c r="T142" s="61"/>
      <c r="U142" s="61"/>
      <c r="V142" s="61"/>
      <c r="W142" s="61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spans="1:36" ht="11.25" customHeight="1" x14ac:dyDescent="0.2">
      <c r="A143" s="57" t="s">
        <v>21</v>
      </c>
      <c r="B143" s="57" t="s">
        <v>43</v>
      </c>
      <c r="C143" s="57" t="s">
        <v>44</v>
      </c>
      <c r="D143" s="57" t="s">
        <v>48</v>
      </c>
      <c r="E143" s="57" t="s">
        <v>25</v>
      </c>
      <c r="F143" s="57" t="s">
        <v>25</v>
      </c>
      <c r="G143" s="57" t="s">
        <v>25</v>
      </c>
      <c r="H143" s="57" t="s">
        <v>38</v>
      </c>
      <c r="I143" s="82">
        <v>44409</v>
      </c>
      <c r="J143" s="83">
        <f ca="1">EFEITO!$J$143*EFEITO!$Y$143</f>
        <v>44062.88157611082</v>
      </c>
      <c r="K143" s="83">
        <f ca="1">EFEITO!$L$143*EFEITO!$Z$143</f>
        <v>158758.32213264974</v>
      </c>
      <c r="L143" s="83">
        <f>EFEITO!$N$143*EFEITO!$AA$143</f>
        <v>676821.03200383426</v>
      </c>
      <c r="M143" s="83">
        <f ca="1">$J$143-EFEITO!$K$143*EFEITO!$Y$143</f>
        <v>0</v>
      </c>
      <c r="N143" s="83">
        <f ca="1">$K$143-EFEITO!$M$143*EFEITO!$Z$143</f>
        <v>0</v>
      </c>
      <c r="O143" s="83">
        <f>$L$143-EFEITO!$O$143*EFEITO!$AA$143</f>
        <v>0</v>
      </c>
      <c r="P143" s="61"/>
      <c r="Q143" s="61"/>
      <c r="R143" s="61"/>
      <c r="S143" s="61"/>
      <c r="T143" s="61"/>
      <c r="U143" s="61"/>
      <c r="V143" s="61"/>
      <c r="W143" s="61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spans="1:36" ht="11.25" customHeight="1" x14ac:dyDescent="0.2">
      <c r="A144" s="57" t="s">
        <v>21</v>
      </c>
      <c r="B144" s="57" t="s">
        <v>43</v>
      </c>
      <c r="C144" s="57" t="s">
        <v>44</v>
      </c>
      <c r="D144" s="57" t="s">
        <v>48</v>
      </c>
      <c r="E144" s="57" t="s">
        <v>25</v>
      </c>
      <c r="F144" s="57" t="s">
        <v>25</v>
      </c>
      <c r="G144" s="57" t="s">
        <v>25</v>
      </c>
      <c r="H144" s="57" t="s">
        <v>38</v>
      </c>
      <c r="I144" s="82">
        <v>44440</v>
      </c>
      <c r="J144" s="83">
        <f ca="1">EFEITO!$J$144*EFEITO!$Y$144</f>
        <v>44062.88157611082</v>
      </c>
      <c r="K144" s="83">
        <f ca="1">EFEITO!$L$144*EFEITO!$Z$144</f>
        <v>156103.0283870821</v>
      </c>
      <c r="L144" s="83">
        <f>EFEITO!$N$144*EFEITO!$AA$144</f>
        <v>665500.94100635685</v>
      </c>
      <c r="M144" s="83">
        <f ca="1">$J$144-EFEITO!$K$144*EFEITO!$Y$144</f>
        <v>0</v>
      </c>
      <c r="N144" s="83">
        <f ca="1">$K$144-EFEITO!$M$144*EFEITO!$Z$144</f>
        <v>0</v>
      </c>
      <c r="O144" s="83">
        <f>$L$144-EFEITO!$O$144*EFEITO!$AA$144</f>
        <v>0</v>
      </c>
      <c r="P144" s="61"/>
      <c r="Q144" s="61"/>
      <c r="R144" s="61"/>
      <c r="S144" s="61"/>
      <c r="T144" s="61"/>
      <c r="U144" s="61"/>
      <c r="V144" s="61"/>
      <c r="W144" s="61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spans="1:36" ht="11.25" customHeight="1" x14ac:dyDescent="0.2">
      <c r="A145" s="57" t="s">
        <v>59</v>
      </c>
      <c r="B145" s="57" t="s">
        <v>43</v>
      </c>
      <c r="C145" s="57" t="s">
        <v>44</v>
      </c>
      <c r="D145" s="57" t="s">
        <v>48</v>
      </c>
      <c r="E145" s="57" t="s">
        <v>25</v>
      </c>
      <c r="F145" s="57" t="s">
        <v>25</v>
      </c>
      <c r="G145" s="57" t="s">
        <v>25</v>
      </c>
      <c r="H145" s="57" t="s">
        <v>38</v>
      </c>
      <c r="I145" s="82">
        <v>44470</v>
      </c>
      <c r="J145" s="83">
        <f ca="1">EFEITO!$J$145*EFEITO!$Y$145</f>
        <v>44062.88157611082</v>
      </c>
      <c r="K145" s="83">
        <f ca="1">EFEITO!$L$145*EFEITO!$Z$145</f>
        <v>156103.0283870821</v>
      </c>
      <c r="L145" s="83">
        <f>EFEITO!$N$145*EFEITO!$AA$145</f>
        <v>665500.94100635685</v>
      </c>
      <c r="M145" s="83">
        <f ca="1">$J$145-EFEITO!$K$145*EFEITO!$Y$145</f>
        <v>0</v>
      </c>
      <c r="N145" s="83">
        <f ca="1">$K$145-EFEITO!$M$145*EFEITO!$Z$145</f>
        <v>0</v>
      </c>
      <c r="O145" s="83">
        <f>$L$145-EFEITO!$O$145*EFEITO!$AA$145</f>
        <v>0</v>
      </c>
      <c r="P145" s="61"/>
      <c r="Q145" s="61"/>
      <c r="R145" s="61"/>
      <c r="S145" s="61"/>
      <c r="T145" s="61"/>
      <c r="U145" s="61"/>
      <c r="V145" s="61"/>
      <c r="W145" s="61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spans="1:36" ht="11.25" customHeight="1" x14ac:dyDescent="0.2">
      <c r="A146" s="57" t="s">
        <v>21</v>
      </c>
      <c r="B146" s="57" t="s">
        <v>43</v>
      </c>
      <c r="C146" s="57" t="s">
        <v>44</v>
      </c>
      <c r="D146" s="57" t="s">
        <v>48</v>
      </c>
      <c r="E146" s="57" t="s">
        <v>25</v>
      </c>
      <c r="F146" s="57" t="s">
        <v>25</v>
      </c>
      <c r="G146" s="57" t="s">
        <v>25</v>
      </c>
      <c r="H146" s="57" t="s">
        <v>37</v>
      </c>
      <c r="I146" s="82">
        <v>44136</v>
      </c>
      <c r="J146" s="83">
        <f ca="1">EFEITO!$J$146*EFEITO!$Y$146</f>
        <v>50106.122519035707</v>
      </c>
      <c r="K146" s="83">
        <f ca="1">EFEITO!$L$146*EFEITO!$Z$146</f>
        <v>13061.852613343572</v>
      </c>
      <c r="L146" s="83">
        <f>EFEITO!$N$146*EFEITO!$AA$146</f>
        <v>89423.674711076164</v>
      </c>
      <c r="M146" s="83">
        <f ca="1">$J$146-EFEITO!$K$146*EFEITO!$Y$146</f>
        <v>0</v>
      </c>
      <c r="N146" s="83">
        <f ca="1">$K$146-EFEITO!$M$146*EFEITO!$Z$146</f>
        <v>0</v>
      </c>
      <c r="O146" s="83">
        <f>$L$146-EFEITO!$O$146*EFEITO!$AA$146</f>
        <v>0</v>
      </c>
      <c r="P146" s="61"/>
      <c r="Q146" s="61"/>
      <c r="R146" s="61"/>
      <c r="S146" s="61"/>
      <c r="T146" s="61"/>
      <c r="U146" s="61"/>
      <c r="V146" s="61"/>
      <c r="W146" s="61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spans="1:36" ht="11.25" customHeight="1" x14ac:dyDescent="0.2">
      <c r="A147" s="57" t="s">
        <v>21</v>
      </c>
      <c r="B147" s="57" t="s">
        <v>43</v>
      </c>
      <c r="C147" s="57" t="s">
        <v>44</v>
      </c>
      <c r="D147" s="57" t="s">
        <v>48</v>
      </c>
      <c r="E147" s="57" t="s">
        <v>25</v>
      </c>
      <c r="F147" s="57" t="s">
        <v>25</v>
      </c>
      <c r="G147" s="57" t="s">
        <v>25</v>
      </c>
      <c r="H147" s="57" t="s">
        <v>37</v>
      </c>
      <c r="I147" s="82">
        <v>44166</v>
      </c>
      <c r="J147" s="83">
        <f ca="1">EFEITO!$J$147*EFEITO!$Y$147</f>
        <v>50106.122519035707</v>
      </c>
      <c r="K147" s="83">
        <f ca="1">EFEITO!$L$147*EFEITO!$Z$147</f>
        <v>14281.726891835649</v>
      </c>
      <c r="L147" s="83">
        <f>EFEITO!$N$147*EFEITO!$AA$147</f>
        <v>97775.142446736092</v>
      </c>
      <c r="M147" s="83">
        <f ca="1">$J$147-EFEITO!$K$147*EFEITO!$Y$147</f>
        <v>0</v>
      </c>
      <c r="N147" s="83">
        <f ca="1">$K$147-EFEITO!$M$147*EFEITO!$Z$147</f>
        <v>0</v>
      </c>
      <c r="O147" s="83">
        <f>$L$147-EFEITO!$O$147*EFEITO!$AA$147</f>
        <v>0</v>
      </c>
      <c r="P147" s="61"/>
      <c r="Q147" s="61"/>
      <c r="R147" s="61"/>
      <c r="S147" s="61"/>
      <c r="T147" s="61"/>
      <c r="U147" s="61"/>
      <c r="V147" s="61"/>
      <c r="W147" s="61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spans="1:36" ht="11.25" customHeight="1" x14ac:dyDescent="0.2">
      <c r="A148" s="57" t="s">
        <v>21</v>
      </c>
      <c r="B148" s="57" t="s">
        <v>43</v>
      </c>
      <c r="C148" s="57" t="s">
        <v>44</v>
      </c>
      <c r="D148" s="57" t="s">
        <v>48</v>
      </c>
      <c r="E148" s="57" t="s">
        <v>25</v>
      </c>
      <c r="F148" s="57" t="s">
        <v>25</v>
      </c>
      <c r="G148" s="57" t="s">
        <v>25</v>
      </c>
      <c r="H148" s="57" t="s">
        <v>37</v>
      </c>
      <c r="I148" s="82">
        <v>44197</v>
      </c>
      <c r="J148" s="83">
        <f ca="1">EFEITO!$J$148*EFEITO!$Y$148</f>
        <v>50106.122519035707</v>
      </c>
      <c r="K148" s="83">
        <f ca="1">EFEITO!$L$148*EFEITO!$Z$148</f>
        <v>12594.528346716372</v>
      </c>
      <c r="L148" s="83">
        <f>EFEITO!$N$148*EFEITO!$AA$148</f>
        <v>86224.292935724341</v>
      </c>
      <c r="M148" s="83">
        <f ca="1">$J$148-EFEITO!$K$148*EFEITO!$Y$148</f>
        <v>0</v>
      </c>
      <c r="N148" s="83">
        <f ca="1">$K$148-EFEITO!$M$148*EFEITO!$Z$148</f>
        <v>0</v>
      </c>
      <c r="O148" s="83">
        <f>$L$148-EFEITO!$O$148*EFEITO!$AA$148</f>
        <v>0</v>
      </c>
      <c r="P148" s="61"/>
      <c r="Q148" s="61"/>
      <c r="R148" s="61"/>
      <c r="S148" s="61"/>
      <c r="T148" s="61"/>
      <c r="U148" s="61"/>
      <c r="V148" s="61"/>
      <c r="W148" s="61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spans="1:36" ht="11.25" customHeight="1" x14ac:dyDescent="0.2">
      <c r="A149" s="57" t="s">
        <v>21</v>
      </c>
      <c r="B149" s="57" t="s">
        <v>43</v>
      </c>
      <c r="C149" s="57" t="s">
        <v>44</v>
      </c>
      <c r="D149" s="57" t="s">
        <v>48</v>
      </c>
      <c r="E149" s="57" t="s">
        <v>25</v>
      </c>
      <c r="F149" s="57" t="s">
        <v>25</v>
      </c>
      <c r="G149" s="57" t="s">
        <v>25</v>
      </c>
      <c r="H149" s="57" t="s">
        <v>37</v>
      </c>
      <c r="I149" s="82">
        <v>44228</v>
      </c>
      <c r="J149" s="83">
        <f ca="1">EFEITO!$J$149*EFEITO!$Y$149</f>
        <v>50106.122519035707</v>
      </c>
      <c r="K149" s="83">
        <f ca="1">EFEITO!$L$149*EFEITO!$Z$149</f>
        <v>12240.551118913263</v>
      </c>
      <c r="L149" s="83">
        <f>EFEITO!$N$149*EFEITO!$AA$149</f>
        <v>83800.904354394224</v>
      </c>
      <c r="M149" s="83">
        <f ca="1">$J$149-EFEITO!$K$149*EFEITO!$Y$149</f>
        <v>0</v>
      </c>
      <c r="N149" s="83">
        <f ca="1">$K$149-EFEITO!$M$149*EFEITO!$Z$149</f>
        <v>0</v>
      </c>
      <c r="O149" s="83">
        <f>$L$149-EFEITO!$O$149*EFEITO!$AA$149</f>
        <v>0</v>
      </c>
      <c r="P149" s="61"/>
      <c r="Q149" s="61"/>
      <c r="R149" s="61"/>
      <c r="S149" s="61"/>
      <c r="T149" s="61"/>
      <c r="U149" s="61"/>
      <c r="V149" s="61"/>
      <c r="W149" s="61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spans="1:36" ht="11.25" customHeight="1" x14ac:dyDescent="0.2">
      <c r="A150" s="57" t="s">
        <v>21</v>
      </c>
      <c r="B150" s="57" t="s">
        <v>43</v>
      </c>
      <c r="C150" s="57" t="s">
        <v>44</v>
      </c>
      <c r="D150" s="57" t="s">
        <v>48</v>
      </c>
      <c r="E150" s="57" t="s">
        <v>25</v>
      </c>
      <c r="F150" s="57" t="s">
        <v>25</v>
      </c>
      <c r="G150" s="57" t="s">
        <v>25</v>
      </c>
      <c r="H150" s="57" t="s">
        <v>37</v>
      </c>
      <c r="I150" s="82">
        <v>44256</v>
      </c>
      <c r="J150" s="83">
        <f ca="1">EFEITO!$J$150*EFEITO!$Y$150</f>
        <v>50106.122519035707</v>
      </c>
      <c r="K150" s="83">
        <f ca="1">EFEITO!$L$150*EFEITO!$Z$150</f>
        <v>14659.860045945532</v>
      </c>
      <c r="L150" s="83">
        <f>EFEITO!$N$150*EFEITO!$AA$150</f>
        <v>100363.90662679214</v>
      </c>
      <c r="M150" s="83">
        <f ca="1">$J$150-EFEITO!$K$150*EFEITO!$Y$150</f>
        <v>0</v>
      </c>
      <c r="N150" s="83">
        <f ca="1">$K$150-EFEITO!$M$150*EFEITO!$Z$150</f>
        <v>0</v>
      </c>
      <c r="O150" s="83">
        <f>$L$150-EFEITO!$O$150*EFEITO!$AA$150</f>
        <v>0</v>
      </c>
      <c r="P150" s="61"/>
      <c r="Q150" s="61"/>
      <c r="R150" s="61"/>
      <c r="S150" s="61"/>
      <c r="T150" s="61"/>
      <c r="U150" s="61"/>
      <c r="V150" s="61"/>
      <c r="W150" s="61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spans="1:36" ht="11.25" customHeight="1" x14ac:dyDescent="0.2">
      <c r="A151" s="57" t="s">
        <v>21</v>
      </c>
      <c r="B151" s="57" t="s">
        <v>43</v>
      </c>
      <c r="C151" s="57" t="s">
        <v>44</v>
      </c>
      <c r="D151" s="57" t="s">
        <v>48</v>
      </c>
      <c r="E151" s="57" t="s">
        <v>25</v>
      </c>
      <c r="F151" s="57" t="s">
        <v>25</v>
      </c>
      <c r="G151" s="57" t="s">
        <v>25</v>
      </c>
      <c r="H151" s="57" t="s">
        <v>37</v>
      </c>
      <c r="I151" s="82">
        <v>44287</v>
      </c>
      <c r="J151" s="83">
        <f ca="1">EFEITO!$J$151*EFEITO!$Y$151</f>
        <v>50106.122519035707</v>
      </c>
      <c r="K151" s="83">
        <f ca="1">EFEITO!$L$151*EFEITO!$Z$151</f>
        <v>12558.29445725621</v>
      </c>
      <c r="L151" s="83">
        <f>EFEITO!$N$151*EFEITO!$AA$151</f>
        <v>85976.22953763543</v>
      </c>
      <c r="M151" s="83">
        <f ca="1">$J$151-EFEITO!$K$151*EFEITO!$Y$151</f>
        <v>0</v>
      </c>
      <c r="N151" s="83">
        <f ca="1">$K$151-EFEITO!$M$151*EFEITO!$Z$151</f>
        <v>0</v>
      </c>
      <c r="O151" s="83">
        <f>$L$151-EFEITO!$O$151*EFEITO!$AA$151</f>
        <v>0</v>
      </c>
      <c r="P151" s="61"/>
      <c r="Q151" s="61"/>
      <c r="R151" s="61"/>
      <c r="S151" s="61"/>
      <c r="T151" s="61"/>
      <c r="U151" s="61"/>
      <c r="V151" s="61"/>
      <c r="W151" s="61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spans="1:36" ht="11.25" customHeight="1" x14ac:dyDescent="0.2">
      <c r="A152" s="57" t="s">
        <v>21</v>
      </c>
      <c r="B152" s="57" t="s">
        <v>43</v>
      </c>
      <c r="C152" s="57" t="s">
        <v>44</v>
      </c>
      <c r="D152" s="57" t="s">
        <v>48</v>
      </c>
      <c r="E152" s="57" t="s">
        <v>25</v>
      </c>
      <c r="F152" s="57" t="s">
        <v>25</v>
      </c>
      <c r="G152" s="57" t="s">
        <v>25</v>
      </c>
      <c r="H152" s="57" t="s">
        <v>37</v>
      </c>
      <c r="I152" s="82">
        <v>44317</v>
      </c>
      <c r="J152" s="83">
        <f ca="1">EFEITO!$J$152*EFEITO!$Y$152</f>
        <v>50106.122519035707</v>
      </c>
      <c r="K152" s="83">
        <f ca="1">EFEITO!$L$152*EFEITO!$Z$152</f>
        <v>12928.065944567596</v>
      </c>
      <c r="L152" s="83">
        <f>EFEITO!$N$152*EFEITO!$AA$152</f>
        <v>88507.748318132493</v>
      </c>
      <c r="M152" s="83">
        <f ca="1">$J$152-EFEITO!$K$152*EFEITO!$Y$152</f>
        <v>0</v>
      </c>
      <c r="N152" s="83">
        <f ca="1">$K$152-EFEITO!$M$152*EFEITO!$Z$152</f>
        <v>0</v>
      </c>
      <c r="O152" s="83">
        <f>$L$152-EFEITO!$O$152*EFEITO!$AA$152</f>
        <v>0</v>
      </c>
      <c r="P152" s="61"/>
      <c r="Q152" s="61"/>
      <c r="R152" s="61"/>
      <c r="S152" s="61"/>
      <c r="T152" s="61"/>
      <c r="U152" s="61"/>
      <c r="V152" s="61"/>
      <c r="W152" s="61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spans="1:36" ht="11.25" customHeight="1" x14ac:dyDescent="0.2">
      <c r="A153" s="57" t="s">
        <v>21</v>
      </c>
      <c r="B153" s="57" t="s">
        <v>43</v>
      </c>
      <c r="C153" s="57" t="s">
        <v>44</v>
      </c>
      <c r="D153" s="57" t="s">
        <v>48</v>
      </c>
      <c r="E153" s="57" t="s">
        <v>25</v>
      </c>
      <c r="F153" s="57" t="s">
        <v>25</v>
      </c>
      <c r="G153" s="57" t="s">
        <v>25</v>
      </c>
      <c r="H153" s="57" t="s">
        <v>37</v>
      </c>
      <c r="I153" s="82">
        <v>44348</v>
      </c>
      <c r="J153" s="83">
        <f ca="1">EFEITO!$J$153*EFEITO!$Y$153</f>
        <v>50106.122519035707</v>
      </c>
      <c r="K153" s="83">
        <f ca="1">EFEITO!$L$153*EFEITO!$Z$153</f>
        <v>12706.017237363019</v>
      </c>
      <c r="L153" s="83">
        <f>EFEITO!$N$153*EFEITO!$AA$153</f>
        <v>86987.564929844055</v>
      </c>
      <c r="M153" s="83">
        <f ca="1">$J$153-EFEITO!$K$153*EFEITO!$Y$153</f>
        <v>0</v>
      </c>
      <c r="N153" s="83">
        <f ca="1">$K$153-EFEITO!$M$153*EFEITO!$Z$153</f>
        <v>0</v>
      </c>
      <c r="O153" s="83">
        <f>$L$153-EFEITO!$O$153*EFEITO!$AA$153</f>
        <v>0</v>
      </c>
      <c r="P153" s="61"/>
      <c r="Q153" s="61"/>
      <c r="R153" s="61"/>
      <c r="S153" s="61"/>
      <c r="T153" s="61"/>
      <c r="U153" s="61"/>
      <c r="V153" s="61"/>
      <c r="W153" s="61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spans="1:36" ht="11.25" customHeight="1" x14ac:dyDescent="0.2">
      <c r="A154" s="57" t="s">
        <v>21</v>
      </c>
      <c r="B154" s="57" t="s">
        <v>43</v>
      </c>
      <c r="C154" s="57" t="s">
        <v>44</v>
      </c>
      <c r="D154" s="57" t="s">
        <v>48</v>
      </c>
      <c r="E154" s="57" t="s">
        <v>25</v>
      </c>
      <c r="F154" s="57" t="s">
        <v>25</v>
      </c>
      <c r="G154" s="57" t="s">
        <v>25</v>
      </c>
      <c r="H154" s="57" t="s">
        <v>37</v>
      </c>
      <c r="I154" s="82">
        <v>44378</v>
      </c>
      <c r="J154" s="83">
        <f ca="1">EFEITO!$J$154*EFEITO!$Y$154</f>
        <v>50106.122519035707</v>
      </c>
      <c r="K154" s="83">
        <f ca="1">EFEITO!$L$154*EFEITO!$Z$154</f>
        <v>13576.559658495598</v>
      </c>
      <c r="L154" s="83">
        <f>EFEITO!$N$154*EFEITO!$AA$154</f>
        <v>92947.44708392887</v>
      </c>
      <c r="M154" s="83">
        <f ca="1">$J$154-EFEITO!$K$154*EFEITO!$Y$154</f>
        <v>0</v>
      </c>
      <c r="N154" s="83">
        <f ca="1">$K$154-EFEITO!$M$154*EFEITO!$Z$154</f>
        <v>0</v>
      </c>
      <c r="O154" s="83">
        <f>$L$154-EFEITO!$O$154*EFEITO!$AA$154</f>
        <v>0</v>
      </c>
      <c r="P154" s="61"/>
      <c r="Q154" s="61"/>
      <c r="R154" s="61"/>
      <c r="S154" s="61"/>
      <c r="T154" s="61"/>
      <c r="U154" s="61"/>
      <c r="V154" s="61"/>
      <c r="W154" s="61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spans="1:36" ht="11.25" customHeight="1" x14ac:dyDescent="0.2">
      <c r="A155" s="57" t="s">
        <v>21</v>
      </c>
      <c r="B155" s="57" t="s">
        <v>43</v>
      </c>
      <c r="C155" s="57" t="s">
        <v>44</v>
      </c>
      <c r="D155" s="57" t="s">
        <v>48</v>
      </c>
      <c r="E155" s="57" t="s">
        <v>25</v>
      </c>
      <c r="F155" s="57" t="s">
        <v>25</v>
      </c>
      <c r="G155" s="57" t="s">
        <v>25</v>
      </c>
      <c r="H155" s="57" t="s">
        <v>37</v>
      </c>
      <c r="I155" s="82">
        <v>44409</v>
      </c>
      <c r="J155" s="83">
        <f ca="1">EFEITO!$J$155*EFEITO!$Y$155</f>
        <v>50106.122519035707</v>
      </c>
      <c r="K155" s="83">
        <f ca="1">EFEITO!$L$155*EFEITO!$Z$155</f>
        <v>14631.058749195148</v>
      </c>
      <c r="L155" s="83">
        <f>EFEITO!$N$155*EFEITO!$AA$155</f>
        <v>100166.72802831122</v>
      </c>
      <c r="M155" s="83">
        <f ca="1">$J$155-EFEITO!$K$155*EFEITO!$Y$155</f>
        <v>0</v>
      </c>
      <c r="N155" s="83">
        <f ca="1">$K$155-EFEITO!$M$155*EFEITO!$Z$155</f>
        <v>0</v>
      </c>
      <c r="O155" s="83">
        <f>$L$155-EFEITO!$O$155*EFEITO!$AA$155</f>
        <v>0</v>
      </c>
      <c r="P155" s="61"/>
      <c r="Q155" s="61"/>
      <c r="R155" s="61"/>
      <c r="S155" s="61"/>
      <c r="T155" s="61"/>
      <c r="U155" s="61"/>
      <c r="V155" s="61"/>
      <c r="W155" s="61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spans="1:36" ht="11.25" customHeight="1" x14ac:dyDescent="0.2">
      <c r="A156" s="57" t="s">
        <v>21</v>
      </c>
      <c r="B156" s="57" t="s">
        <v>43</v>
      </c>
      <c r="C156" s="57" t="s">
        <v>44</v>
      </c>
      <c r="D156" s="57" t="s">
        <v>48</v>
      </c>
      <c r="E156" s="57" t="s">
        <v>25</v>
      </c>
      <c r="F156" s="57" t="s">
        <v>25</v>
      </c>
      <c r="G156" s="57" t="s">
        <v>25</v>
      </c>
      <c r="H156" s="57" t="s">
        <v>37</v>
      </c>
      <c r="I156" s="82">
        <v>44440</v>
      </c>
      <c r="J156" s="83">
        <f ca="1">EFEITO!$J$156*EFEITO!$Y$156</f>
        <v>50106.122519035707</v>
      </c>
      <c r="K156" s="83">
        <f ca="1">EFEITO!$L$156*EFEITO!$Z$156</f>
        <v>13878.508737330272</v>
      </c>
      <c r="L156" s="83">
        <f>EFEITO!$N$156*EFEITO!$AA$156</f>
        <v>95014.642068003115</v>
      </c>
      <c r="M156" s="83">
        <f ca="1">$J$156-EFEITO!$K$156*EFEITO!$Y$156</f>
        <v>0</v>
      </c>
      <c r="N156" s="83">
        <f ca="1">$K$156-EFEITO!$M$156*EFEITO!$Z$156</f>
        <v>0</v>
      </c>
      <c r="O156" s="83">
        <f>$L$156-EFEITO!$O$156*EFEITO!$AA$156</f>
        <v>0</v>
      </c>
      <c r="P156" s="61"/>
      <c r="Q156" s="61"/>
      <c r="R156" s="61"/>
      <c r="S156" s="61"/>
      <c r="T156" s="61"/>
      <c r="U156" s="61"/>
      <c r="V156" s="61"/>
      <c r="W156" s="61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spans="1:36" ht="11.25" customHeight="1" x14ac:dyDescent="0.2">
      <c r="A157" s="57" t="s">
        <v>59</v>
      </c>
      <c r="B157" s="57" t="s">
        <v>43</v>
      </c>
      <c r="C157" s="57" t="s">
        <v>44</v>
      </c>
      <c r="D157" s="57" t="s">
        <v>48</v>
      </c>
      <c r="E157" s="57" t="s">
        <v>25</v>
      </c>
      <c r="F157" s="57" t="s">
        <v>25</v>
      </c>
      <c r="G157" s="57" t="s">
        <v>25</v>
      </c>
      <c r="H157" s="57" t="s">
        <v>37</v>
      </c>
      <c r="I157" s="82">
        <v>44470</v>
      </c>
      <c r="J157" s="83">
        <f ca="1">EFEITO!$J$157*EFEITO!$Y$157</f>
        <v>50106.122519035707</v>
      </c>
      <c r="K157" s="83">
        <f ca="1">EFEITO!$L$157*EFEITO!$Z$157</f>
        <v>13878.508737330272</v>
      </c>
      <c r="L157" s="83">
        <f>EFEITO!$N$157*EFEITO!$AA$157</f>
        <v>95014.642068003115</v>
      </c>
      <c r="M157" s="83">
        <f ca="1">$J$157-EFEITO!$K$157*EFEITO!$Y$157</f>
        <v>0</v>
      </c>
      <c r="N157" s="83">
        <f ca="1">$K$157-EFEITO!$M$157*EFEITO!$Z$157</f>
        <v>0</v>
      </c>
      <c r="O157" s="83">
        <f>$L$157-EFEITO!$O$157*EFEITO!$AA$157</f>
        <v>0</v>
      </c>
      <c r="P157" s="61"/>
      <c r="Q157" s="61"/>
      <c r="R157" s="61"/>
      <c r="S157" s="61"/>
      <c r="T157" s="61"/>
      <c r="U157" s="61"/>
      <c r="V157" s="61"/>
      <c r="W157" s="61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spans="1:36" ht="11.25" customHeight="1" x14ac:dyDescent="0.2">
      <c r="A158" s="57" t="s">
        <v>21</v>
      </c>
      <c r="B158" s="57" t="s">
        <v>43</v>
      </c>
      <c r="C158" s="57" t="s">
        <v>44</v>
      </c>
      <c r="D158" s="57" t="s">
        <v>61</v>
      </c>
      <c r="E158" s="57" t="s">
        <v>53</v>
      </c>
      <c r="F158" s="57" t="s">
        <v>25</v>
      </c>
      <c r="G158" s="57" t="s">
        <v>25</v>
      </c>
      <c r="H158" s="57" t="s">
        <v>38</v>
      </c>
      <c r="I158" s="82">
        <v>44136</v>
      </c>
      <c r="J158" s="83">
        <f ca="1">EFEITO!$J$158*EFEITO!$Y$145</f>
        <v>98603.65719759975</v>
      </c>
      <c r="K158" s="83">
        <f ca="1">EFEITO!$L$158*EFEITO!$Z$145</f>
        <v>0</v>
      </c>
      <c r="L158" s="83">
        <f>EFEITO!$N$158*EFEITO!$AA$145</f>
        <v>0</v>
      </c>
      <c r="M158" s="83">
        <f ca="1">$J$158-EFEITO!$K$158*EFEITO!$Y$158</f>
        <v>5916.2194318559923</v>
      </c>
      <c r="N158" s="83">
        <f ca="1">$K$158-EFEITO!$M$158*EFEITO!$Z$158</f>
        <v>0</v>
      </c>
      <c r="O158" s="83">
        <f>$L$158-EFEITO!$O$158*EFEITO!$AA$158</f>
        <v>0</v>
      </c>
      <c r="P158" s="61"/>
      <c r="Q158" s="61"/>
      <c r="R158" s="61"/>
      <c r="S158" s="61"/>
      <c r="T158" s="61"/>
      <c r="U158" s="61"/>
      <c r="V158" s="61"/>
      <c r="W158" s="61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spans="1:36" ht="11.25" customHeight="1" x14ac:dyDescent="0.2">
      <c r="A159" s="57" t="s">
        <v>21</v>
      </c>
      <c r="B159" s="57" t="s">
        <v>43</v>
      </c>
      <c r="C159" s="57" t="s">
        <v>44</v>
      </c>
      <c r="D159" s="57" t="s">
        <v>61</v>
      </c>
      <c r="E159" s="57" t="s">
        <v>53</v>
      </c>
      <c r="F159" s="57" t="s">
        <v>25</v>
      </c>
      <c r="G159" s="57" t="s">
        <v>25</v>
      </c>
      <c r="H159" s="57" t="s">
        <v>38</v>
      </c>
      <c r="I159" s="82">
        <v>44166</v>
      </c>
      <c r="J159" s="83">
        <f ca="1">EFEITO!$J$159*EFEITO!$Y$145</f>
        <v>101221.51075006281</v>
      </c>
      <c r="K159" s="83">
        <f ca="1">EFEITO!$L$159*EFEITO!$Z$145</f>
        <v>0</v>
      </c>
      <c r="L159" s="83">
        <f>EFEITO!$N$159*EFEITO!$AA$145</f>
        <v>0</v>
      </c>
      <c r="M159" s="83">
        <f ca="1">$J$159-EFEITO!$K$159*EFEITO!$Y$159</f>
        <v>6073.2906450037699</v>
      </c>
      <c r="N159" s="83">
        <f ca="1">$K$159-EFEITO!$M$159*EFEITO!$Z$159</f>
        <v>0</v>
      </c>
      <c r="O159" s="83">
        <f>$L$159-EFEITO!$O$159*EFEITO!$AA$159</f>
        <v>0</v>
      </c>
      <c r="P159" s="61"/>
      <c r="Q159" s="61"/>
      <c r="R159" s="61"/>
      <c r="S159" s="61"/>
      <c r="T159" s="61"/>
      <c r="U159" s="61"/>
      <c r="V159" s="61"/>
      <c r="W159" s="61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spans="1:36" ht="11.25" customHeight="1" x14ac:dyDescent="0.2">
      <c r="A160" s="57" t="s">
        <v>21</v>
      </c>
      <c r="B160" s="57" t="s">
        <v>43</v>
      </c>
      <c r="C160" s="57" t="s">
        <v>44</v>
      </c>
      <c r="D160" s="57" t="s">
        <v>61</v>
      </c>
      <c r="E160" s="57" t="s">
        <v>53</v>
      </c>
      <c r="F160" s="57" t="s">
        <v>25</v>
      </c>
      <c r="G160" s="57" t="s">
        <v>25</v>
      </c>
      <c r="H160" s="57" t="s">
        <v>38</v>
      </c>
      <c r="I160" s="82">
        <v>44197</v>
      </c>
      <c r="J160" s="83">
        <f ca="1">EFEITO!$J$160*EFEITO!$Y$145</f>
        <v>96154.279368810065</v>
      </c>
      <c r="K160" s="83">
        <f ca="1">EFEITO!$L$160*EFEITO!$Z$145</f>
        <v>0</v>
      </c>
      <c r="L160" s="83">
        <f>EFEITO!$N$160*EFEITO!$AA$145</f>
        <v>0</v>
      </c>
      <c r="M160" s="83">
        <f ca="1">$J$160-EFEITO!$K$160*EFEITO!$Y$160</f>
        <v>5769.2567621286144</v>
      </c>
      <c r="N160" s="83">
        <f ca="1">$K$160-EFEITO!$M$160*EFEITO!$Z$160</f>
        <v>0</v>
      </c>
      <c r="O160" s="83">
        <f>$L$160-EFEITO!$O$160*EFEITO!$AA$160</f>
        <v>0</v>
      </c>
      <c r="P160" s="61"/>
      <c r="Q160" s="61"/>
      <c r="R160" s="61"/>
      <c r="S160" s="61"/>
      <c r="T160" s="61"/>
      <c r="U160" s="61"/>
      <c r="V160" s="61"/>
      <c r="W160" s="61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spans="1:36" ht="11.25" customHeight="1" x14ac:dyDescent="0.2">
      <c r="A161" s="57" t="s">
        <v>21</v>
      </c>
      <c r="B161" s="57" t="s">
        <v>43</v>
      </c>
      <c r="C161" s="57" t="s">
        <v>44</v>
      </c>
      <c r="D161" s="57" t="s">
        <v>61</v>
      </c>
      <c r="E161" s="57" t="s">
        <v>53</v>
      </c>
      <c r="F161" s="57" t="s">
        <v>25</v>
      </c>
      <c r="G161" s="57" t="s">
        <v>25</v>
      </c>
      <c r="H161" s="57" t="s">
        <v>38</v>
      </c>
      <c r="I161" s="82">
        <v>44228</v>
      </c>
      <c r="J161" s="83">
        <f ca="1">EFEITO!$J$161*EFEITO!$Y$145</f>
        <v>96154.279368810065</v>
      </c>
      <c r="K161" s="83">
        <f ca="1">EFEITO!$L$161*EFEITO!$Z$145</f>
        <v>0</v>
      </c>
      <c r="L161" s="83">
        <f>EFEITO!$N$161*EFEITO!$AA$145</f>
        <v>0</v>
      </c>
      <c r="M161" s="83">
        <f ca="1">$J$161-EFEITO!$K$161*EFEITO!$Y$161</f>
        <v>5769.2567621286144</v>
      </c>
      <c r="N161" s="83">
        <f ca="1">$K$161-EFEITO!$M$161*EFEITO!$Z$161</f>
        <v>0</v>
      </c>
      <c r="O161" s="83">
        <f>$L$161-EFEITO!$O$161*EFEITO!$AA$161</f>
        <v>0</v>
      </c>
      <c r="P161" s="61"/>
      <c r="Q161" s="61"/>
      <c r="R161" s="61"/>
      <c r="S161" s="61"/>
      <c r="T161" s="61"/>
      <c r="U161" s="61"/>
      <c r="V161" s="61"/>
      <c r="W161" s="61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spans="1:36" ht="11.25" customHeight="1" x14ac:dyDescent="0.2">
      <c r="A162" s="57" t="s">
        <v>21</v>
      </c>
      <c r="B162" s="57" t="s">
        <v>43</v>
      </c>
      <c r="C162" s="57" t="s">
        <v>44</v>
      </c>
      <c r="D162" s="57" t="s">
        <v>61</v>
      </c>
      <c r="E162" s="57" t="s">
        <v>53</v>
      </c>
      <c r="F162" s="57" t="s">
        <v>25</v>
      </c>
      <c r="G162" s="57" t="s">
        <v>25</v>
      </c>
      <c r="H162" s="57" t="s">
        <v>38</v>
      </c>
      <c r="I162" s="82">
        <v>44256</v>
      </c>
      <c r="J162" s="83">
        <f ca="1">EFEITO!$J$162*EFEITO!$Y$145</f>
        <v>96154.279368810065</v>
      </c>
      <c r="K162" s="83">
        <f ca="1">EFEITO!$L$162*EFEITO!$Z$145</f>
        <v>0</v>
      </c>
      <c r="L162" s="83">
        <f>EFEITO!$N$162*EFEITO!$AA$145</f>
        <v>0</v>
      </c>
      <c r="M162" s="83">
        <f ca="1">$J$162-EFEITO!$K$162*EFEITO!$Y$162</f>
        <v>5769.2567621286144</v>
      </c>
      <c r="N162" s="83">
        <f ca="1">$K$162-EFEITO!$M$162*EFEITO!$Z$162</f>
        <v>0</v>
      </c>
      <c r="O162" s="83">
        <f>$L$162-EFEITO!$O$162*EFEITO!$AA$162</f>
        <v>0</v>
      </c>
      <c r="P162" s="61"/>
      <c r="Q162" s="61"/>
      <c r="R162" s="61"/>
      <c r="S162" s="61"/>
      <c r="T162" s="61"/>
      <c r="U162" s="61"/>
      <c r="V162" s="61"/>
      <c r="W162" s="61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spans="1:36" ht="11.25" customHeight="1" x14ac:dyDescent="0.2">
      <c r="A163" s="57" t="s">
        <v>21</v>
      </c>
      <c r="B163" s="57" t="s">
        <v>43</v>
      </c>
      <c r="C163" s="57" t="s">
        <v>44</v>
      </c>
      <c r="D163" s="57" t="s">
        <v>61</v>
      </c>
      <c r="E163" s="57" t="s">
        <v>53</v>
      </c>
      <c r="F163" s="57" t="s">
        <v>25</v>
      </c>
      <c r="G163" s="57" t="s">
        <v>25</v>
      </c>
      <c r="H163" s="57" t="s">
        <v>38</v>
      </c>
      <c r="I163" s="82">
        <v>44287</v>
      </c>
      <c r="J163" s="83">
        <f ca="1">EFEITO!$J$163*EFEITO!$Y$145</f>
        <v>96154.279368810065</v>
      </c>
      <c r="K163" s="83">
        <f ca="1">EFEITO!$L$163*EFEITO!$Z$145</f>
        <v>0</v>
      </c>
      <c r="L163" s="83">
        <f>EFEITO!$N$163*EFEITO!$AA$145</f>
        <v>0</v>
      </c>
      <c r="M163" s="83">
        <f ca="1">$J$163-EFEITO!$K$163*EFEITO!$Y$163</f>
        <v>5769.2567621286144</v>
      </c>
      <c r="N163" s="83">
        <f ca="1">$K$163-EFEITO!$M$163*EFEITO!$Z$163</f>
        <v>0</v>
      </c>
      <c r="O163" s="83">
        <f>$L$163-EFEITO!$O$163*EFEITO!$AA$163</f>
        <v>0</v>
      </c>
      <c r="P163" s="61"/>
      <c r="Q163" s="61"/>
      <c r="R163" s="61"/>
      <c r="S163" s="61"/>
      <c r="T163" s="61"/>
      <c r="U163" s="61"/>
      <c r="V163" s="61"/>
      <c r="W163" s="61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spans="1:36" ht="11.25" customHeight="1" x14ac:dyDescent="0.2">
      <c r="A164" s="57" t="s">
        <v>21</v>
      </c>
      <c r="B164" s="57" t="s">
        <v>43</v>
      </c>
      <c r="C164" s="57" t="s">
        <v>44</v>
      </c>
      <c r="D164" s="57" t="s">
        <v>61</v>
      </c>
      <c r="E164" s="57" t="s">
        <v>53</v>
      </c>
      <c r="F164" s="57" t="s">
        <v>25</v>
      </c>
      <c r="G164" s="57" t="s">
        <v>25</v>
      </c>
      <c r="H164" s="57" t="s">
        <v>38</v>
      </c>
      <c r="I164" s="82">
        <v>44317</v>
      </c>
      <c r="J164" s="83">
        <f ca="1">EFEITO!$J$164*EFEITO!$Y$145</f>
        <v>96154.279368810065</v>
      </c>
      <c r="K164" s="83">
        <f ca="1">EFEITO!$L$164*EFEITO!$Z$145</f>
        <v>0</v>
      </c>
      <c r="L164" s="83">
        <f>EFEITO!$N$164*EFEITO!$AA$145</f>
        <v>0</v>
      </c>
      <c r="M164" s="83">
        <f ca="1">$J$164-EFEITO!$K$164*EFEITO!$Y$164</f>
        <v>5769.2567621286144</v>
      </c>
      <c r="N164" s="83">
        <f ca="1">$K$164-EFEITO!$M$164*EFEITO!$Z$164</f>
        <v>0</v>
      </c>
      <c r="O164" s="83">
        <f>$L$164-EFEITO!$O$164*EFEITO!$AA$164</f>
        <v>0</v>
      </c>
      <c r="P164" s="61"/>
      <c r="Q164" s="61"/>
      <c r="R164" s="61"/>
      <c r="S164" s="61"/>
      <c r="T164" s="61"/>
      <c r="U164" s="61"/>
      <c r="V164" s="61"/>
      <c r="W164" s="61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spans="1:36" ht="11.25" customHeight="1" x14ac:dyDescent="0.2">
      <c r="A165" s="57" t="s">
        <v>21</v>
      </c>
      <c r="B165" s="57" t="s">
        <v>43</v>
      </c>
      <c r="C165" s="57" t="s">
        <v>44</v>
      </c>
      <c r="D165" s="57" t="s">
        <v>61</v>
      </c>
      <c r="E165" s="57" t="s">
        <v>53</v>
      </c>
      <c r="F165" s="57" t="s">
        <v>25</v>
      </c>
      <c r="G165" s="57" t="s">
        <v>25</v>
      </c>
      <c r="H165" s="57" t="s">
        <v>38</v>
      </c>
      <c r="I165" s="82">
        <v>44348</v>
      </c>
      <c r="J165" s="83">
        <f ca="1">EFEITO!$J$165*EFEITO!$Y$145</f>
        <v>96154.279368810065</v>
      </c>
      <c r="K165" s="83">
        <f ca="1">EFEITO!$L$165*EFEITO!$Z$145</f>
        <v>0</v>
      </c>
      <c r="L165" s="83">
        <f>EFEITO!$N$165*EFEITO!$AA$145</f>
        <v>0</v>
      </c>
      <c r="M165" s="83">
        <f ca="1">$J$165-EFEITO!$K$165*EFEITO!$Y$165</f>
        <v>5769.2567621286144</v>
      </c>
      <c r="N165" s="83">
        <f ca="1">$K$165-EFEITO!$M$165*EFEITO!$Z$165</f>
        <v>0</v>
      </c>
      <c r="O165" s="83">
        <f>$L$165-EFEITO!$O$165*EFEITO!$AA$165</f>
        <v>0</v>
      </c>
      <c r="P165" s="61"/>
      <c r="Q165" s="61"/>
      <c r="R165" s="61"/>
      <c r="S165" s="61"/>
      <c r="T165" s="61"/>
      <c r="U165" s="61"/>
      <c r="V165" s="61"/>
      <c r="W165" s="61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spans="1:36" ht="11.25" customHeight="1" x14ac:dyDescent="0.2">
      <c r="A166" s="57" t="s">
        <v>21</v>
      </c>
      <c r="B166" s="57" t="s">
        <v>43</v>
      </c>
      <c r="C166" s="57" t="s">
        <v>44</v>
      </c>
      <c r="D166" s="57" t="s">
        <v>61</v>
      </c>
      <c r="E166" s="57" t="s">
        <v>53</v>
      </c>
      <c r="F166" s="57" t="s">
        <v>25</v>
      </c>
      <c r="G166" s="57" t="s">
        <v>25</v>
      </c>
      <c r="H166" s="57" t="s">
        <v>38</v>
      </c>
      <c r="I166" s="82">
        <v>44378</v>
      </c>
      <c r="J166" s="83">
        <f ca="1">EFEITO!$J$166*EFEITO!$Y$145</f>
        <v>96154.279368810065</v>
      </c>
      <c r="K166" s="83">
        <f ca="1">EFEITO!$L$166*EFEITO!$Z$145</f>
        <v>0</v>
      </c>
      <c r="L166" s="83">
        <f>EFEITO!$N$166*EFEITO!$AA$145</f>
        <v>0</v>
      </c>
      <c r="M166" s="83">
        <f ca="1">$J$166-EFEITO!$K$166*EFEITO!$Y$166</f>
        <v>5769.2567621286144</v>
      </c>
      <c r="N166" s="83">
        <f ca="1">$K$166-EFEITO!$M$166*EFEITO!$Z$166</f>
        <v>0</v>
      </c>
      <c r="O166" s="83">
        <f>$L$166-EFEITO!$O$166*EFEITO!$AA$166</f>
        <v>0</v>
      </c>
      <c r="P166" s="61"/>
      <c r="Q166" s="61"/>
      <c r="R166" s="61"/>
      <c r="S166" s="61"/>
      <c r="T166" s="61"/>
      <c r="U166" s="61"/>
      <c r="V166" s="61"/>
      <c r="W166" s="61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spans="1:36" ht="11.25" customHeight="1" x14ac:dyDescent="0.2">
      <c r="A167" s="57" t="s">
        <v>21</v>
      </c>
      <c r="B167" s="57" t="s">
        <v>43</v>
      </c>
      <c r="C167" s="57" t="s">
        <v>44</v>
      </c>
      <c r="D167" s="57" t="s">
        <v>61</v>
      </c>
      <c r="E167" s="57" t="s">
        <v>53</v>
      </c>
      <c r="F167" s="57" t="s">
        <v>25</v>
      </c>
      <c r="G167" s="57" t="s">
        <v>25</v>
      </c>
      <c r="H167" s="57" t="s">
        <v>38</v>
      </c>
      <c r="I167" s="82">
        <v>44409</v>
      </c>
      <c r="J167" s="83">
        <f ca="1">EFEITO!$J$167*EFEITO!$Y$145</f>
        <v>96154.279368810065</v>
      </c>
      <c r="K167" s="83">
        <f ca="1">EFEITO!$L$167*EFEITO!$Z$145</f>
        <v>0</v>
      </c>
      <c r="L167" s="83">
        <f>EFEITO!$N$167*EFEITO!$AA$145</f>
        <v>0</v>
      </c>
      <c r="M167" s="83">
        <f ca="1">$J$167-EFEITO!$K$167*EFEITO!$Y$167</f>
        <v>5769.2567621286144</v>
      </c>
      <c r="N167" s="83">
        <f ca="1">$K$167-EFEITO!$M$167*EFEITO!$Z$167</f>
        <v>0</v>
      </c>
      <c r="O167" s="83">
        <f>$L$167-EFEITO!$O$167*EFEITO!$AA$167</f>
        <v>0</v>
      </c>
      <c r="P167" s="61"/>
      <c r="Q167" s="61"/>
      <c r="R167" s="61"/>
      <c r="S167" s="61"/>
      <c r="T167" s="61"/>
      <c r="U167" s="61"/>
      <c r="V167" s="61"/>
      <c r="W167" s="61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spans="1:36" ht="11.25" customHeight="1" x14ac:dyDescent="0.2">
      <c r="A168" s="57" t="s">
        <v>21</v>
      </c>
      <c r="B168" s="57" t="s">
        <v>43</v>
      </c>
      <c r="C168" s="57" t="s">
        <v>44</v>
      </c>
      <c r="D168" s="57" t="s">
        <v>61</v>
      </c>
      <c r="E168" s="57" t="s">
        <v>53</v>
      </c>
      <c r="F168" s="57" t="s">
        <v>25</v>
      </c>
      <c r="G168" s="57" t="s">
        <v>25</v>
      </c>
      <c r="H168" s="57" t="s">
        <v>38</v>
      </c>
      <c r="I168" s="82">
        <v>44440</v>
      </c>
      <c r="J168" s="83">
        <f ca="1">EFEITO!$J$168*EFEITO!$Y$145</f>
        <v>96154.279368810065</v>
      </c>
      <c r="K168" s="83">
        <f ca="1">EFEITO!$L$168*EFEITO!$Z$145</f>
        <v>0</v>
      </c>
      <c r="L168" s="83">
        <f>EFEITO!$N$168*EFEITO!$AA$145</f>
        <v>0</v>
      </c>
      <c r="M168" s="83">
        <f ca="1">$J$168-EFEITO!$K$168*EFEITO!$Y$168</f>
        <v>5769.2567621286144</v>
      </c>
      <c r="N168" s="83">
        <f ca="1">$K$168-EFEITO!$M$168*EFEITO!$Z$168</f>
        <v>0</v>
      </c>
      <c r="O168" s="83">
        <f>$L$168-EFEITO!$O$168*EFEITO!$AA$168</f>
        <v>0</v>
      </c>
      <c r="P168" s="61"/>
      <c r="Q168" s="61"/>
      <c r="R168" s="61"/>
      <c r="S168" s="61"/>
      <c r="T168" s="61"/>
      <c r="U168" s="61"/>
      <c r="V168" s="61"/>
      <c r="W168" s="61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spans="1:36" ht="11.25" customHeight="1" x14ac:dyDescent="0.2">
      <c r="A169" s="57" t="s">
        <v>59</v>
      </c>
      <c r="B169" s="57" t="s">
        <v>43</v>
      </c>
      <c r="C169" s="57" t="s">
        <v>44</v>
      </c>
      <c r="D169" s="57" t="s">
        <v>61</v>
      </c>
      <c r="E169" s="57" t="s">
        <v>53</v>
      </c>
      <c r="F169" s="57" t="s">
        <v>25</v>
      </c>
      <c r="G169" s="57" t="s">
        <v>25</v>
      </c>
      <c r="H169" s="57" t="s">
        <v>38</v>
      </c>
      <c r="I169" s="82">
        <v>44470</v>
      </c>
      <c r="J169" s="83">
        <f ca="1">EFEITO!$J$169*EFEITO!$Y$145</f>
        <v>96154.279368810065</v>
      </c>
      <c r="K169" s="83">
        <f ca="1">EFEITO!$L$169*EFEITO!$Z$145</f>
        <v>0</v>
      </c>
      <c r="L169" s="83">
        <f>EFEITO!$N$169*EFEITO!$AA$145</f>
        <v>0</v>
      </c>
      <c r="M169" s="83">
        <f ca="1">$J$169-EFEITO!$K$169*EFEITO!$Y$169</f>
        <v>5769.2567621286144</v>
      </c>
      <c r="N169" s="83">
        <f ca="1">$K$169-EFEITO!$M$169*EFEITO!$Z$169</f>
        <v>0</v>
      </c>
      <c r="O169" s="83">
        <f>$L$169-EFEITO!$O$169*EFEITO!$AA$169</f>
        <v>0</v>
      </c>
      <c r="P169" s="61"/>
      <c r="Q169" s="61"/>
      <c r="R169" s="61"/>
      <c r="S169" s="61"/>
      <c r="T169" s="61"/>
      <c r="U169" s="61"/>
      <c r="V169" s="61"/>
      <c r="W169" s="61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spans="1:36" ht="11.25" customHeight="1" x14ac:dyDescent="0.2">
      <c r="A170" s="57" t="s">
        <v>21</v>
      </c>
      <c r="B170" s="57" t="s">
        <v>43</v>
      </c>
      <c r="C170" s="57" t="s">
        <v>44</v>
      </c>
      <c r="D170" s="57" t="s">
        <v>61</v>
      </c>
      <c r="E170" s="57" t="s">
        <v>53</v>
      </c>
      <c r="F170" s="57" t="s">
        <v>25</v>
      </c>
      <c r="G170" s="57" t="s">
        <v>25</v>
      </c>
      <c r="H170" s="57" t="s">
        <v>25</v>
      </c>
      <c r="I170" s="82">
        <v>44136</v>
      </c>
      <c r="J170" s="83">
        <f>EFEITO!$J$170*EFEITO!$Y$109</f>
        <v>0</v>
      </c>
      <c r="K170" s="83">
        <f ca="1">EFEITO!$L$170*EFEITO!$Z$109</f>
        <v>656412.07966131275</v>
      </c>
      <c r="L170" s="83">
        <f>EFEITO!$N$170*EFEITO!$AA$109</f>
        <v>0</v>
      </c>
      <c r="M170" s="83">
        <f>$J$170-EFEITO!$K$170*EFEITO!$Y$170</f>
        <v>0</v>
      </c>
      <c r="N170" s="83">
        <f ca="1">$K$170-EFEITO!$M$170*EFEITO!$Z$170</f>
        <v>39384.724779678858</v>
      </c>
      <c r="O170" s="83">
        <f>$L$170-EFEITO!$O$170*EFEITO!$AA$170</f>
        <v>0</v>
      </c>
      <c r="P170" s="61"/>
      <c r="Q170" s="61"/>
      <c r="R170" s="61"/>
      <c r="S170" s="61"/>
      <c r="T170" s="61"/>
      <c r="U170" s="61"/>
      <c r="V170" s="61"/>
      <c r="W170" s="61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spans="1:36" ht="11.25" customHeight="1" x14ac:dyDescent="0.2">
      <c r="A171" s="57" t="s">
        <v>21</v>
      </c>
      <c r="B171" s="57" t="s">
        <v>43</v>
      </c>
      <c r="C171" s="57" t="s">
        <v>44</v>
      </c>
      <c r="D171" s="57" t="s">
        <v>61</v>
      </c>
      <c r="E171" s="57" t="s">
        <v>53</v>
      </c>
      <c r="F171" s="57" t="s">
        <v>25</v>
      </c>
      <c r="G171" s="57" t="s">
        <v>25</v>
      </c>
      <c r="H171" s="57" t="s">
        <v>25</v>
      </c>
      <c r="I171" s="82">
        <v>44166</v>
      </c>
      <c r="J171" s="83">
        <f>EFEITO!$J$171*EFEITO!$Y$109</f>
        <v>0</v>
      </c>
      <c r="K171" s="83">
        <f ca="1">EFEITO!$L$171*EFEITO!$Z$109</f>
        <v>674592.73232890549</v>
      </c>
      <c r="L171" s="83">
        <f>EFEITO!$N$171*EFEITO!$AA$109</f>
        <v>0</v>
      </c>
      <c r="M171" s="83">
        <f>$J$171-EFEITO!$K$171*EFEITO!$Y$171</f>
        <v>0</v>
      </c>
      <c r="N171" s="83">
        <f ca="1">$K$171-EFEITO!$M$171*EFEITO!$Z$171</f>
        <v>40475.563939734362</v>
      </c>
      <c r="O171" s="83">
        <f>$L$171-EFEITO!$O$171*EFEITO!$AA$171</f>
        <v>0</v>
      </c>
      <c r="P171" s="61"/>
      <c r="Q171" s="61"/>
      <c r="R171" s="61"/>
      <c r="S171" s="61"/>
      <c r="T171" s="61"/>
      <c r="U171" s="61"/>
      <c r="V171" s="61"/>
      <c r="W171" s="61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spans="1:36" ht="11.25" customHeight="1" x14ac:dyDescent="0.2">
      <c r="A172" s="57" t="s">
        <v>21</v>
      </c>
      <c r="B172" s="57" t="s">
        <v>43</v>
      </c>
      <c r="C172" s="57" t="s">
        <v>44</v>
      </c>
      <c r="D172" s="57" t="s">
        <v>61</v>
      </c>
      <c r="E172" s="57" t="s">
        <v>53</v>
      </c>
      <c r="F172" s="57" t="s">
        <v>25</v>
      </c>
      <c r="G172" s="57" t="s">
        <v>25</v>
      </c>
      <c r="H172" s="57" t="s">
        <v>25</v>
      </c>
      <c r="I172" s="82">
        <v>44197</v>
      </c>
      <c r="J172" s="83">
        <f>EFEITO!$J$172*EFEITO!$Y$109</f>
        <v>0</v>
      </c>
      <c r="K172" s="83">
        <f ca="1">EFEITO!$L$172*EFEITO!$Z$109</f>
        <v>623443.22199866106</v>
      </c>
      <c r="L172" s="83">
        <f>EFEITO!$N$172*EFEITO!$AA$109</f>
        <v>0</v>
      </c>
      <c r="M172" s="83">
        <f>$J$172-EFEITO!$K$172*EFEITO!$Y$172</f>
        <v>0</v>
      </c>
      <c r="N172" s="83">
        <f ca="1">$K$172-EFEITO!$M$172*EFEITO!$Z$172</f>
        <v>37406.593319919659</v>
      </c>
      <c r="O172" s="83">
        <f>$L$172-EFEITO!$O$172*EFEITO!$AA$172</f>
        <v>0</v>
      </c>
      <c r="P172" s="61"/>
      <c r="Q172" s="61"/>
      <c r="R172" s="61"/>
      <c r="S172" s="61"/>
      <c r="T172" s="61"/>
      <c r="U172" s="61"/>
      <c r="V172" s="61"/>
      <c r="W172" s="61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spans="1:36" ht="11.25" customHeight="1" x14ac:dyDescent="0.2">
      <c r="A173" s="57" t="s">
        <v>21</v>
      </c>
      <c r="B173" s="57" t="s">
        <v>43</v>
      </c>
      <c r="C173" s="57" t="s">
        <v>44</v>
      </c>
      <c r="D173" s="57" t="s">
        <v>61</v>
      </c>
      <c r="E173" s="57" t="s">
        <v>53</v>
      </c>
      <c r="F173" s="57" t="s">
        <v>25</v>
      </c>
      <c r="G173" s="57" t="s">
        <v>25</v>
      </c>
      <c r="H173" s="57" t="s">
        <v>25</v>
      </c>
      <c r="I173" s="82">
        <v>44228</v>
      </c>
      <c r="J173" s="83">
        <f>EFEITO!$J$173*EFEITO!$Y$109</f>
        <v>0</v>
      </c>
      <c r="K173" s="83">
        <f ca="1">EFEITO!$L$173*EFEITO!$Z$109</f>
        <v>537867.53493516939</v>
      </c>
      <c r="L173" s="83">
        <f>EFEITO!$N$173*EFEITO!$AA$109</f>
        <v>0</v>
      </c>
      <c r="M173" s="83">
        <f>$J$173-EFEITO!$K$173*EFEITO!$Y$173</f>
        <v>0</v>
      </c>
      <c r="N173" s="83">
        <f ca="1">$K$173-EFEITO!$M$173*EFEITO!$Z$173</f>
        <v>32272.052096110187</v>
      </c>
      <c r="O173" s="83">
        <f>$L$173-EFEITO!$O$173*EFEITO!$AA$173</f>
        <v>0</v>
      </c>
      <c r="P173" s="61"/>
      <c r="Q173" s="61"/>
      <c r="R173" s="61"/>
      <c r="S173" s="61"/>
      <c r="T173" s="61"/>
      <c r="U173" s="61"/>
      <c r="V173" s="61"/>
      <c r="W173" s="61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spans="1:36" ht="11.25" customHeight="1" x14ac:dyDescent="0.2">
      <c r="A174" s="57" t="s">
        <v>21</v>
      </c>
      <c r="B174" s="57" t="s">
        <v>43</v>
      </c>
      <c r="C174" s="57" t="s">
        <v>44</v>
      </c>
      <c r="D174" s="57" t="s">
        <v>61</v>
      </c>
      <c r="E174" s="57" t="s">
        <v>53</v>
      </c>
      <c r="F174" s="57" t="s">
        <v>25</v>
      </c>
      <c r="G174" s="57" t="s">
        <v>25</v>
      </c>
      <c r="H174" s="57" t="s">
        <v>25</v>
      </c>
      <c r="I174" s="82">
        <v>44256</v>
      </c>
      <c r="J174" s="83">
        <f>EFEITO!$J$174*EFEITO!$Y$109</f>
        <v>0</v>
      </c>
      <c r="K174" s="83">
        <f ca="1">EFEITO!$L$174*EFEITO!$Z$109</f>
        <v>593953.08317392436</v>
      </c>
      <c r="L174" s="83">
        <f>EFEITO!$N$174*EFEITO!$AA$109</f>
        <v>0</v>
      </c>
      <c r="M174" s="83">
        <f>$J$174-EFEITO!$K$174*EFEITO!$Y$174</f>
        <v>0</v>
      </c>
      <c r="N174" s="83">
        <f ca="1">$K$174-EFEITO!$M$174*EFEITO!$Z$174</f>
        <v>35637.184990435489</v>
      </c>
      <c r="O174" s="83">
        <f>$L$174-EFEITO!$O$174*EFEITO!$AA$174</f>
        <v>0</v>
      </c>
      <c r="P174" s="61"/>
      <c r="Q174" s="61"/>
      <c r="R174" s="61"/>
      <c r="S174" s="61"/>
      <c r="T174" s="61"/>
      <c r="U174" s="61"/>
      <c r="V174" s="61"/>
      <c r="W174" s="61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spans="1:36" ht="11.25" customHeight="1" x14ac:dyDescent="0.2">
      <c r="A175" s="57" t="s">
        <v>21</v>
      </c>
      <c r="B175" s="57" t="s">
        <v>43</v>
      </c>
      <c r="C175" s="57" t="s">
        <v>44</v>
      </c>
      <c r="D175" s="57" t="s">
        <v>61</v>
      </c>
      <c r="E175" s="57" t="s">
        <v>53</v>
      </c>
      <c r="F175" s="57" t="s">
        <v>25</v>
      </c>
      <c r="G175" s="57" t="s">
        <v>25</v>
      </c>
      <c r="H175" s="57" t="s">
        <v>25</v>
      </c>
      <c r="I175" s="82">
        <v>44287</v>
      </c>
      <c r="J175" s="83">
        <f>EFEITO!$J$175*EFEITO!$Y$109</f>
        <v>0</v>
      </c>
      <c r="K175" s="83">
        <f ca="1">EFEITO!$L$175*EFEITO!$Z$109</f>
        <v>566625.03247851378</v>
      </c>
      <c r="L175" s="83">
        <f>EFEITO!$N$175*EFEITO!$AA$109</f>
        <v>0</v>
      </c>
      <c r="M175" s="83">
        <f>$J$175-EFEITO!$K$175*EFEITO!$Y$175</f>
        <v>0</v>
      </c>
      <c r="N175" s="83">
        <f ca="1">$K$175-EFEITO!$M$175*EFEITO!$Z$175</f>
        <v>33997.50194871088</v>
      </c>
      <c r="O175" s="83">
        <f>$L$175-EFEITO!$O$175*EFEITO!$AA$175</f>
        <v>0</v>
      </c>
      <c r="P175" s="61"/>
      <c r="Q175" s="61"/>
      <c r="R175" s="61"/>
      <c r="S175" s="61"/>
      <c r="T175" s="61"/>
      <c r="U175" s="61"/>
      <c r="V175" s="61"/>
      <c r="W175" s="61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spans="1:36" ht="11.25" customHeight="1" x14ac:dyDescent="0.2">
      <c r="A176" s="57" t="s">
        <v>21</v>
      </c>
      <c r="B176" s="57" t="s">
        <v>43</v>
      </c>
      <c r="C176" s="57" t="s">
        <v>44</v>
      </c>
      <c r="D176" s="57" t="s">
        <v>61</v>
      </c>
      <c r="E176" s="57" t="s">
        <v>53</v>
      </c>
      <c r="F176" s="57" t="s">
        <v>25</v>
      </c>
      <c r="G176" s="57" t="s">
        <v>25</v>
      </c>
      <c r="H176" s="57" t="s">
        <v>25</v>
      </c>
      <c r="I176" s="82">
        <v>44317</v>
      </c>
      <c r="J176" s="83">
        <f>EFEITO!$J$176*EFEITO!$Y$109</f>
        <v>0</v>
      </c>
      <c r="K176" s="83">
        <f ca="1">EFEITO!$L$176*EFEITO!$Z$109</f>
        <v>576203.78633323836</v>
      </c>
      <c r="L176" s="83">
        <f>EFEITO!$N$176*EFEITO!$AA$109</f>
        <v>0</v>
      </c>
      <c r="M176" s="83">
        <f>$J$176-EFEITO!$K$176*EFEITO!$Y$176</f>
        <v>0</v>
      </c>
      <c r="N176" s="83">
        <f ca="1">$K$176-EFEITO!$M$176*EFEITO!$Z$176</f>
        <v>34572.227179994341</v>
      </c>
      <c r="O176" s="83">
        <f>$L$176-EFEITO!$O$176*EFEITO!$AA$176</f>
        <v>0</v>
      </c>
      <c r="P176" s="61"/>
      <c r="Q176" s="61"/>
      <c r="R176" s="61"/>
      <c r="S176" s="61"/>
      <c r="T176" s="61"/>
      <c r="U176" s="61"/>
      <c r="V176" s="61"/>
      <c r="W176" s="61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spans="1:36" ht="11.25" customHeight="1" x14ac:dyDescent="0.2">
      <c r="A177" s="57" t="s">
        <v>21</v>
      </c>
      <c r="B177" s="57" t="s">
        <v>43</v>
      </c>
      <c r="C177" s="57" t="s">
        <v>44</v>
      </c>
      <c r="D177" s="57" t="s">
        <v>61</v>
      </c>
      <c r="E177" s="57" t="s">
        <v>53</v>
      </c>
      <c r="F177" s="57" t="s">
        <v>25</v>
      </c>
      <c r="G177" s="57" t="s">
        <v>25</v>
      </c>
      <c r="H177" s="57" t="s">
        <v>25</v>
      </c>
      <c r="I177" s="82">
        <v>44348</v>
      </c>
      <c r="J177" s="83">
        <f>EFEITO!$J$177*EFEITO!$Y$109</f>
        <v>0</v>
      </c>
      <c r="K177" s="83">
        <f ca="1">EFEITO!$L$177*EFEITO!$Z$109</f>
        <v>623443.22199866106</v>
      </c>
      <c r="L177" s="83">
        <f>EFEITO!$N$177*EFEITO!$AA$109</f>
        <v>0</v>
      </c>
      <c r="M177" s="83">
        <f>$J$177-EFEITO!$K$177*EFEITO!$Y$177</f>
        <v>0</v>
      </c>
      <c r="N177" s="83">
        <f ca="1">$K$177-EFEITO!$M$177*EFEITO!$Z$177</f>
        <v>37406.593319919659</v>
      </c>
      <c r="O177" s="83">
        <f>$L$177-EFEITO!$O$177*EFEITO!$AA$177</f>
        <v>0</v>
      </c>
      <c r="P177" s="61"/>
      <c r="Q177" s="61"/>
      <c r="R177" s="61"/>
      <c r="S177" s="61"/>
      <c r="T177" s="61"/>
      <c r="U177" s="61"/>
      <c r="V177" s="61"/>
      <c r="W177" s="61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spans="1:36" ht="11.25" customHeight="1" x14ac:dyDescent="0.2">
      <c r="A178" s="57" t="s">
        <v>21</v>
      </c>
      <c r="B178" s="57" t="s">
        <v>43</v>
      </c>
      <c r="C178" s="57" t="s">
        <v>44</v>
      </c>
      <c r="D178" s="57" t="s">
        <v>61</v>
      </c>
      <c r="E178" s="57" t="s">
        <v>53</v>
      </c>
      <c r="F178" s="57" t="s">
        <v>25</v>
      </c>
      <c r="G178" s="57" t="s">
        <v>25</v>
      </c>
      <c r="H178" s="57" t="s">
        <v>25</v>
      </c>
      <c r="I178" s="82">
        <v>44378</v>
      </c>
      <c r="J178" s="83">
        <f>EFEITO!$J$178*EFEITO!$Y$109</f>
        <v>0</v>
      </c>
      <c r="K178" s="83">
        <f ca="1">EFEITO!$L$178*EFEITO!$Z$109</f>
        <v>592958.97389899183</v>
      </c>
      <c r="L178" s="83">
        <f>EFEITO!$N$178*EFEITO!$AA$109</f>
        <v>0</v>
      </c>
      <c r="M178" s="83">
        <f>$J$178-EFEITO!$K$178*EFEITO!$Y$178</f>
        <v>0</v>
      </c>
      <c r="N178" s="83">
        <f ca="1">$K$178-EFEITO!$M$178*EFEITO!$Z$178</f>
        <v>35577.538433939568</v>
      </c>
      <c r="O178" s="83">
        <f>$L$178-EFEITO!$O$178*EFEITO!$AA$178</f>
        <v>0</v>
      </c>
      <c r="P178" s="61"/>
      <c r="Q178" s="61"/>
      <c r="R178" s="61"/>
      <c r="S178" s="61"/>
      <c r="T178" s="61"/>
      <c r="U178" s="61"/>
      <c r="V178" s="61"/>
      <c r="W178" s="61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spans="1:36" ht="11.25" customHeight="1" x14ac:dyDescent="0.2">
      <c r="A179" s="57" t="s">
        <v>21</v>
      </c>
      <c r="B179" s="57" t="s">
        <v>43</v>
      </c>
      <c r="C179" s="57" t="s">
        <v>44</v>
      </c>
      <c r="D179" s="57" t="s">
        <v>61</v>
      </c>
      <c r="E179" s="57" t="s">
        <v>53</v>
      </c>
      <c r="F179" s="57" t="s">
        <v>25</v>
      </c>
      <c r="G179" s="57" t="s">
        <v>25</v>
      </c>
      <c r="H179" s="57" t="s">
        <v>25</v>
      </c>
      <c r="I179" s="82">
        <v>44409</v>
      </c>
      <c r="J179" s="83">
        <f>EFEITO!$J$179*EFEITO!$Y$109</f>
        <v>0</v>
      </c>
      <c r="K179" s="83">
        <f ca="1">EFEITO!$L$179*EFEITO!$Z$109</f>
        <v>609795.12363533385</v>
      </c>
      <c r="L179" s="83">
        <f>EFEITO!$N$179*EFEITO!$AA$109</f>
        <v>0</v>
      </c>
      <c r="M179" s="83">
        <f>$J$179-EFEITO!$K$179*EFEITO!$Y$179</f>
        <v>0</v>
      </c>
      <c r="N179" s="83">
        <f ca="1">$K$179-EFEITO!$M$179*EFEITO!$Z$179</f>
        <v>36587.707418120001</v>
      </c>
      <c r="O179" s="83">
        <f>$L$179-EFEITO!$O$179*EFEITO!$AA$179</f>
        <v>0</v>
      </c>
      <c r="P179" s="61"/>
      <c r="Q179" s="61"/>
      <c r="R179" s="61"/>
      <c r="S179" s="61"/>
      <c r="T179" s="61"/>
      <c r="U179" s="61"/>
      <c r="V179" s="61"/>
      <c r="W179" s="61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spans="1:36" ht="11.25" customHeight="1" x14ac:dyDescent="0.2">
      <c r="A180" s="57" t="s">
        <v>21</v>
      </c>
      <c r="B180" s="57" t="s">
        <v>43</v>
      </c>
      <c r="C180" s="57" t="s">
        <v>44</v>
      </c>
      <c r="D180" s="57" t="s">
        <v>61</v>
      </c>
      <c r="E180" s="57" t="s">
        <v>53</v>
      </c>
      <c r="F180" s="57" t="s">
        <v>25</v>
      </c>
      <c r="G180" s="57" t="s">
        <v>25</v>
      </c>
      <c r="H180" s="57" t="s">
        <v>25</v>
      </c>
      <c r="I180" s="82">
        <v>44440</v>
      </c>
      <c r="J180" s="83">
        <f>EFEITO!$J$180*EFEITO!$Y$109</f>
        <v>0</v>
      </c>
      <c r="K180" s="83">
        <f ca="1">EFEITO!$L$180*EFEITO!$Z$109</f>
        <v>593483.23713477061</v>
      </c>
      <c r="L180" s="83">
        <f>EFEITO!$N$180*EFEITO!$AA$109</f>
        <v>0</v>
      </c>
      <c r="M180" s="83">
        <f>$J$180-EFEITO!$K$180*EFEITO!$Y$180</f>
        <v>0</v>
      </c>
      <c r="N180" s="83">
        <f ca="1">$K$180-EFEITO!$M$180*EFEITO!$Z$180</f>
        <v>35608.994228086318</v>
      </c>
      <c r="O180" s="83">
        <f>$L$180-EFEITO!$O$180*EFEITO!$AA$180</f>
        <v>0</v>
      </c>
      <c r="P180" s="61"/>
      <c r="Q180" s="61"/>
      <c r="R180" s="61"/>
      <c r="S180" s="61"/>
      <c r="T180" s="61"/>
      <c r="U180" s="61"/>
      <c r="V180" s="61"/>
      <c r="W180" s="61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spans="1:36" ht="11.25" customHeight="1" x14ac:dyDescent="0.2">
      <c r="A181" s="57" t="s">
        <v>59</v>
      </c>
      <c r="B181" s="57" t="s">
        <v>43</v>
      </c>
      <c r="C181" s="57" t="s">
        <v>44</v>
      </c>
      <c r="D181" s="57" t="s">
        <v>61</v>
      </c>
      <c r="E181" s="57" t="s">
        <v>53</v>
      </c>
      <c r="F181" s="57" t="s">
        <v>25</v>
      </c>
      <c r="G181" s="57" t="s">
        <v>25</v>
      </c>
      <c r="H181" s="57" t="s">
        <v>25</v>
      </c>
      <c r="I181" s="82">
        <v>44470</v>
      </c>
      <c r="J181" s="83">
        <f>EFEITO!$J$181*EFEITO!$Y$109</f>
        <v>0</v>
      </c>
      <c r="K181" s="83">
        <f ca="1">EFEITO!$L$181*EFEITO!$Z$109</f>
        <v>593483.23713477061</v>
      </c>
      <c r="L181" s="83">
        <f>EFEITO!$N$181*EFEITO!$AA$109</f>
        <v>0</v>
      </c>
      <c r="M181" s="83">
        <f>$J$181-EFEITO!$K$181*EFEITO!$Y$181</f>
        <v>0</v>
      </c>
      <c r="N181" s="83">
        <f ca="1">$K$181-EFEITO!$M$181*EFEITO!$Z$181</f>
        <v>35608.994228086318</v>
      </c>
      <c r="O181" s="83">
        <f>$L$181-EFEITO!$O$181*EFEITO!$AA$181</f>
        <v>0</v>
      </c>
      <c r="P181" s="61"/>
      <c r="Q181" s="61"/>
      <c r="R181" s="61"/>
      <c r="S181" s="61"/>
      <c r="T181" s="61"/>
      <c r="U181" s="61"/>
      <c r="V181" s="61"/>
      <c r="W181" s="61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spans="1:36" ht="11.25" customHeight="1" x14ac:dyDescent="0.2">
      <c r="A182" s="57" t="s">
        <v>21</v>
      </c>
      <c r="B182" s="57" t="s">
        <v>43</v>
      </c>
      <c r="C182" s="57" t="s">
        <v>44</v>
      </c>
      <c r="D182" s="57" t="s">
        <v>61</v>
      </c>
      <c r="E182" s="57" t="s">
        <v>53</v>
      </c>
      <c r="F182" s="57" t="s">
        <v>25</v>
      </c>
      <c r="G182" s="57" t="s">
        <v>25</v>
      </c>
      <c r="H182" s="57" t="s">
        <v>37</v>
      </c>
      <c r="I182" s="82">
        <v>44136</v>
      </c>
      <c r="J182" s="83">
        <f ca="1">EFEITO!$J$182*EFEITO!$Y$157</f>
        <v>120684.17509584886</v>
      </c>
      <c r="K182" s="83">
        <f ca="1">EFEITO!$L$182*EFEITO!$Z$157</f>
        <v>0</v>
      </c>
      <c r="L182" s="83">
        <f>EFEITO!$N$182*EFEITO!$AA$157</f>
        <v>0</v>
      </c>
      <c r="M182" s="83">
        <f ca="1">$J$182-EFEITO!$K$182*EFEITO!$Y$182</f>
        <v>7241.0505057509436</v>
      </c>
      <c r="N182" s="83">
        <f ca="1">$K$182-EFEITO!$M$182*EFEITO!$Z$182</f>
        <v>0</v>
      </c>
      <c r="O182" s="83">
        <f>$L$182-EFEITO!$O$182*EFEITO!$AA$182</f>
        <v>0</v>
      </c>
      <c r="P182" s="61"/>
      <c r="Q182" s="61"/>
      <c r="R182" s="61"/>
      <c r="S182" s="61"/>
      <c r="T182" s="61"/>
      <c r="U182" s="61"/>
      <c r="V182" s="61"/>
      <c r="W182" s="61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spans="1:36" ht="11.25" customHeight="1" x14ac:dyDescent="0.2">
      <c r="A183" s="57" t="s">
        <v>21</v>
      </c>
      <c r="B183" s="57" t="s">
        <v>43</v>
      </c>
      <c r="C183" s="57" t="s">
        <v>44</v>
      </c>
      <c r="D183" s="57" t="s">
        <v>61</v>
      </c>
      <c r="E183" s="57" t="s">
        <v>53</v>
      </c>
      <c r="F183" s="57" t="s">
        <v>25</v>
      </c>
      <c r="G183" s="57" t="s">
        <v>25</v>
      </c>
      <c r="H183" s="57" t="s">
        <v>37</v>
      </c>
      <c r="I183" s="82">
        <v>44166</v>
      </c>
      <c r="J183" s="83">
        <f ca="1">EFEITO!$J$183*EFEITO!$Y$157</f>
        <v>122863.39375778787</v>
      </c>
      <c r="K183" s="83">
        <f ca="1">EFEITO!$L$183*EFEITO!$Z$157</f>
        <v>0</v>
      </c>
      <c r="L183" s="83">
        <f>EFEITO!$N$183*EFEITO!$AA$157</f>
        <v>0</v>
      </c>
      <c r="M183" s="83">
        <f ca="1">$J$183-EFEITO!$K$183*EFEITO!$Y$183</f>
        <v>7371.803625467277</v>
      </c>
      <c r="N183" s="83">
        <f ca="1">$K$183-EFEITO!$M$183*EFEITO!$Z$183</f>
        <v>0</v>
      </c>
      <c r="O183" s="83">
        <f>$L$183-EFEITO!$O$183*EFEITO!$AA$183</f>
        <v>0</v>
      </c>
      <c r="P183" s="61"/>
      <c r="Q183" s="61"/>
      <c r="R183" s="61"/>
      <c r="S183" s="61"/>
      <c r="T183" s="61"/>
      <c r="U183" s="61"/>
      <c r="V183" s="61"/>
      <c r="W183" s="61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spans="1:36" ht="11.25" customHeight="1" x14ac:dyDescent="0.2">
      <c r="A184" s="57" t="s">
        <v>21</v>
      </c>
      <c r="B184" s="57" t="s">
        <v>43</v>
      </c>
      <c r="C184" s="57" t="s">
        <v>44</v>
      </c>
      <c r="D184" s="57" t="s">
        <v>61</v>
      </c>
      <c r="E184" s="57" t="s">
        <v>53</v>
      </c>
      <c r="F184" s="57" t="s">
        <v>25</v>
      </c>
      <c r="G184" s="57" t="s">
        <v>25</v>
      </c>
      <c r="H184" s="57" t="s">
        <v>37</v>
      </c>
      <c r="I184" s="82">
        <v>44197</v>
      </c>
      <c r="J184" s="83">
        <f ca="1">EFEITO!$J$184*EFEITO!$Y$157</f>
        <v>117582.36751133713</v>
      </c>
      <c r="K184" s="83">
        <f ca="1">EFEITO!$L$184*EFEITO!$Z$157</f>
        <v>0</v>
      </c>
      <c r="L184" s="83">
        <f>EFEITO!$N$184*EFEITO!$AA$157</f>
        <v>0</v>
      </c>
      <c r="M184" s="83">
        <f ca="1">$J$184-EFEITO!$K$184*EFEITO!$Y$184</f>
        <v>7054.9420506802417</v>
      </c>
      <c r="N184" s="83">
        <f ca="1">$K$184-EFEITO!$M$184*EFEITO!$Z$184</f>
        <v>0</v>
      </c>
      <c r="O184" s="83">
        <f>$L$184-EFEITO!$O$184*EFEITO!$AA$184</f>
        <v>0</v>
      </c>
      <c r="P184" s="61"/>
      <c r="Q184" s="61"/>
      <c r="R184" s="61"/>
      <c r="S184" s="61"/>
      <c r="T184" s="61"/>
      <c r="U184" s="61"/>
      <c r="V184" s="61"/>
      <c r="W184" s="61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spans="1:36" ht="11.25" customHeight="1" x14ac:dyDescent="0.2">
      <c r="A185" s="57" t="s">
        <v>21</v>
      </c>
      <c r="B185" s="57" t="s">
        <v>43</v>
      </c>
      <c r="C185" s="57" t="s">
        <v>44</v>
      </c>
      <c r="D185" s="57" t="s">
        <v>61</v>
      </c>
      <c r="E185" s="57" t="s">
        <v>53</v>
      </c>
      <c r="F185" s="57" t="s">
        <v>25</v>
      </c>
      <c r="G185" s="57" t="s">
        <v>25</v>
      </c>
      <c r="H185" s="57" t="s">
        <v>37</v>
      </c>
      <c r="I185" s="82">
        <v>44228</v>
      </c>
      <c r="J185" s="83">
        <f ca="1">EFEITO!$J$185*EFEITO!$Y$157</f>
        <v>117582.36751133713</v>
      </c>
      <c r="K185" s="83">
        <f ca="1">EFEITO!$L$185*EFEITO!$Z$157</f>
        <v>0</v>
      </c>
      <c r="L185" s="83">
        <f>EFEITO!$N$185*EFEITO!$AA$157</f>
        <v>0</v>
      </c>
      <c r="M185" s="83">
        <f ca="1">$J$185-EFEITO!$K$185*EFEITO!$Y$185</f>
        <v>7054.9420506802417</v>
      </c>
      <c r="N185" s="83">
        <f ca="1">$K$185-EFEITO!$M$185*EFEITO!$Z$185</f>
        <v>0</v>
      </c>
      <c r="O185" s="83">
        <f>$L$185-EFEITO!$O$185*EFEITO!$AA$185</f>
        <v>0</v>
      </c>
      <c r="P185" s="61"/>
      <c r="Q185" s="61"/>
      <c r="R185" s="61"/>
      <c r="S185" s="61"/>
      <c r="T185" s="61"/>
      <c r="U185" s="61"/>
      <c r="V185" s="61"/>
      <c r="W185" s="61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spans="1:36" ht="11.25" customHeight="1" x14ac:dyDescent="0.2">
      <c r="A186" s="57" t="s">
        <v>21</v>
      </c>
      <c r="B186" s="57" t="s">
        <v>43</v>
      </c>
      <c r="C186" s="57" t="s">
        <v>44</v>
      </c>
      <c r="D186" s="57" t="s">
        <v>61</v>
      </c>
      <c r="E186" s="57" t="s">
        <v>53</v>
      </c>
      <c r="F186" s="57" t="s">
        <v>25</v>
      </c>
      <c r="G186" s="57" t="s">
        <v>25</v>
      </c>
      <c r="H186" s="57" t="s">
        <v>37</v>
      </c>
      <c r="I186" s="82">
        <v>44256</v>
      </c>
      <c r="J186" s="83">
        <f ca="1">EFEITO!$J$186*EFEITO!$Y$157</f>
        <v>117582.36751133713</v>
      </c>
      <c r="K186" s="83">
        <f ca="1">EFEITO!$L$186*EFEITO!$Z$157</f>
        <v>0</v>
      </c>
      <c r="L186" s="83">
        <f>EFEITO!$N$186*EFEITO!$AA$157</f>
        <v>0</v>
      </c>
      <c r="M186" s="83">
        <f ca="1">$J$186-EFEITO!$K$186*EFEITO!$Y$186</f>
        <v>7054.9420506802417</v>
      </c>
      <c r="N186" s="83">
        <f ca="1">$K$186-EFEITO!$M$186*EFEITO!$Z$186</f>
        <v>0</v>
      </c>
      <c r="O186" s="83">
        <f>$L$186-EFEITO!$O$186*EFEITO!$AA$186</f>
        <v>0</v>
      </c>
      <c r="P186" s="61"/>
      <c r="Q186" s="61"/>
      <c r="R186" s="61"/>
      <c r="S186" s="61"/>
      <c r="T186" s="61"/>
      <c r="U186" s="61"/>
      <c r="V186" s="61"/>
      <c r="W186" s="61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spans="1:36" ht="11.25" customHeight="1" x14ac:dyDescent="0.2">
      <c r="A187" s="57" t="s">
        <v>21</v>
      </c>
      <c r="B187" s="57" t="s">
        <v>43</v>
      </c>
      <c r="C187" s="57" t="s">
        <v>44</v>
      </c>
      <c r="D187" s="57" t="s">
        <v>61</v>
      </c>
      <c r="E187" s="57" t="s">
        <v>53</v>
      </c>
      <c r="F187" s="57" t="s">
        <v>25</v>
      </c>
      <c r="G187" s="57" t="s">
        <v>25</v>
      </c>
      <c r="H187" s="57" t="s">
        <v>37</v>
      </c>
      <c r="I187" s="82">
        <v>44287</v>
      </c>
      <c r="J187" s="83">
        <f ca="1">EFEITO!$J$187*EFEITO!$Y$157</f>
        <v>117582.36751133713</v>
      </c>
      <c r="K187" s="83">
        <f ca="1">EFEITO!$L$187*EFEITO!$Z$157</f>
        <v>0</v>
      </c>
      <c r="L187" s="83">
        <f>EFEITO!$N$187*EFEITO!$AA$157</f>
        <v>0</v>
      </c>
      <c r="M187" s="83">
        <f ca="1">$J$187-EFEITO!$K$187*EFEITO!$Y$187</f>
        <v>7054.9420506802417</v>
      </c>
      <c r="N187" s="83">
        <f ca="1">$K$187-EFEITO!$M$187*EFEITO!$Z$187</f>
        <v>0</v>
      </c>
      <c r="O187" s="83">
        <f>$L$187-EFEITO!$O$187*EFEITO!$AA$187</f>
        <v>0</v>
      </c>
      <c r="P187" s="61"/>
      <c r="Q187" s="61"/>
      <c r="R187" s="61"/>
      <c r="S187" s="61"/>
      <c r="T187" s="61"/>
      <c r="U187" s="61"/>
      <c r="V187" s="61"/>
      <c r="W187" s="61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spans="1:36" ht="11.25" customHeight="1" x14ac:dyDescent="0.2">
      <c r="A188" s="57" t="s">
        <v>21</v>
      </c>
      <c r="B188" s="57" t="s">
        <v>43</v>
      </c>
      <c r="C188" s="57" t="s">
        <v>44</v>
      </c>
      <c r="D188" s="57" t="s">
        <v>61</v>
      </c>
      <c r="E188" s="57" t="s">
        <v>53</v>
      </c>
      <c r="F188" s="57" t="s">
        <v>25</v>
      </c>
      <c r="G188" s="57" t="s">
        <v>25</v>
      </c>
      <c r="H188" s="57" t="s">
        <v>37</v>
      </c>
      <c r="I188" s="82">
        <v>44317</v>
      </c>
      <c r="J188" s="83">
        <f ca="1">EFEITO!$J$188*EFEITO!$Y$157</f>
        <v>117582.36751133713</v>
      </c>
      <c r="K188" s="83">
        <f ca="1">EFEITO!$L$188*EFEITO!$Z$157</f>
        <v>0</v>
      </c>
      <c r="L188" s="83">
        <f>EFEITO!$N$188*EFEITO!$AA$157</f>
        <v>0</v>
      </c>
      <c r="M188" s="83">
        <f ca="1">$J$188-EFEITO!$K$188*EFEITO!$Y$188</f>
        <v>7054.9420506802417</v>
      </c>
      <c r="N188" s="83">
        <f ca="1">$K$188-EFEITO!$M$188*EFEITO!$Z$188</f>
        <v>0</v>
      </c>
      <c r="O188" s="83">
        <f>$L$188-EFEITO!$O$188*EFEITO!$AA$188</f>
        <v>0</v>
      </c>
      <c r="P188" s="61"/>
      <c r="Q188" s="61"/>
      <c r="R188" s="61"/>
      <c r="S188" s="61"/>
      <c r="T188" s="61"/>
      <c r="U188" s="61"/>
      <c r="V188" s="61"/>
      <c r="W188" s="61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spans="1:36" ht="11.25" customHeight="1" x14ac:dyDescent="0.2">
      <c r="A189" s="57" t="s">
        <v>21</v>
      </c>
      <c r="B189" s="57" t="s">
        <v>43</v>
      </c>
      <c r="C189" s="57" t="s">
        <v>44</v>
      </c>
      <c r="D189" s="57" t="s">
        <v>61</v>
      </c>
      <c r="E189" s="57" t="s">
        <v>53</v>
      </c>
      <c r="F189" s="57" t="s">
        <v>25</v>
      </c>
      <c r="G189" s="57" t="s">
        <v>25</v>
      </c>
      <c r="H189" s="57" t="s">
        <v>37</v>
      </c>
      <c r="I189" s="82">
        <v>44348</v>
      </c>
      <c r="J189" s="83">
        <f ca="1">EFEITO!$J$189*EFEITO!$Y$157</f>
        <v>117582.36751133713</v>
      </c>
      <c r="K189" s="83">
        <f ca="1">EFEITO!$L$189*EFEITO!$Z$157</f>
        <v>0</v>
      </c>
      <c r="L189" s="83">
        <f>EFEITO!$N$189*EFEITO!$AA$157</f>
        <v>0</v>
      </c>
      <c r="M189" s="83">
        <f ca="1">$J$189-EFEITO!$K$189*EFEITO!$Y$189</f>
        <v>7054.9420506802417</v>
      </c>
      <c r="N189" s="83">
        <f ca="1">$K$189-EFEITO!$M$189*EFEITO!$Z$189</f>
        <v>0</v>
      </c>
      <c r="O189" s="83">
        <f>$L$189-EFEITO!$O$189*EFEITO!$AA$189</f>
        <v>0</v>
      </c>
      <c r="P189" s="61"/>
      <c r="Q189" s="61"/>
      <c r="R189" s="61"/>
      <c r="S189" s="61"/>
      <c r="T189" s="61"/>
      <c r="U189" s="61"/>
      <c r="V189" s="61"/>
      <c r="W189" s="61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spans="1:36" ht="11.25" customHeight="1" x14ac:dyDescent="0.2">
      <c r="A190" s="57" t="s">
        <v>21</v>
      </c>
      <c r="B190" s="57" t="s">
        <v>43</v>
      </c>
      <c r="C190" s="57" t="s">
        <v>44</v>
      </c>
      <c r="D190" s="57" t="s">
        <v>61</v>
      </c>
      <c r="E190" s="57" t="s">
        <v>53</v>
      </c>
      <c r="F190" s="57" t="s">
        <v>25</v>
      </c>
      <c r="G190" s="57" t="s">
        <v>25</v>
      </c>
      <c r="H190" s="57" t="s">
        <v>37</v>
      </c>
      <c r="I190" s="82">
        <v>44378</v>
      </c>
      <c r="J190" s="83">
        <f ca="1">EFEITO!$J$190*EFEITO!$Y$157</f>
        <v>117582.36751133713</v>
      </c>
      <c r="K190" s="83">
        <f ca="1">EFEITO!$L$190*EFEITO!$Z$157</f>
        <v>0</v>
      </c>
      <c r="L190" s="83">
        <f>EFEITO!$N$190*EFEITO!$AA$157</f>
        <v>0</v>
      </c>
      <c r="M190" s="83">
        <f ca="1">$J$190-EFEITO!$K$190*EFEITO!$Y$190</f>
        <v>7054.9420506802417</v>
      </c>
      <c r="N190" s="83">
        <f ca="1">$K$190-EFEITO!$M$190*EFEITO!$Z$190</f>
        <v>0</v>
      </c>
      <c r="O190" s="83">
        <f>$L$190-EFEITO!$O$190*EFEITO!$AA$190</f>
        <v>0</v>
      </c>
      <c r="P190" s="61"/>
      <c r="Q190" s="61"/>
      <c r="R190" s="61"/>
      <c r="S190" s="61"/>
      <c r="T190" s="61"/>
      <c r="U190" s="61"/>
      <c r="V190" s="61"/>
      <c r="W190" s="61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spans="1:36" ht="11.25" customHeight="1" x14ac:dyDescent="0.2">
      <c r="A191" s="57" t="s">
        <v>21</v>
      </c>
      <c r="B191" s="57" t="s">
        <v>43</v>
      </c>
      <c r="C191" s="57" t="s">
        <v>44</v>
      </c>
      <c r="D191" s="57" t="s">
        <v>61</v>
      </c>
      <c r="E191" s="57" t="s">
        <v>53</v>
      </c>
      <c r="F191" s="57" t="s">
        <v>25</v>
      </c>
      <c r="G191" s="57" t="s">
        <v>25</v>
      </c>
      <c r="H191" s="57" t="s">
        <v>37</v>
      </c>
      <c r="I191" s="82">
        <v>44409</v>
      </c>
      <c r="J191" s="83">
        <f ca="1">EFEITO!$J$191*EFEITO!$Y$157</f>
        <v>117582.36751133713</v>
      </c>
      <c r="K191" s="83">
        <f ca="1">EFEITO!$L$191*EFEITO!$Z$157</f>
        <v>0</v>
      </c>
      <c r="L191" s="83">
        <f>EFEITO!$N$191*EFEITO!$AA$157</f>
        <v>0</v>
      </c>
      <c r="M191" s="83">
        <f ca="1">$J$191-EFEITO!$K$191*EFEITO!$Y$191</f>
        <v>7054.9420506802417</v>
      </c>
      <c r="N191" s="83">
        <f ca="1">$K$191-EFEITO!$M$191*EFEITO!$Z$191</f>
        <v>0</v>
      </c>
      <c r="O191" s="83">
        <f>$L$191-EFEITO!$O$191*EFEITO!$AA$191</f>
        <v>0</v>
      </c>
      <c r="P191" s="61"/>
      <c r="Q191" s="61"/>
      <c r="R191" s="61"/>
      <c r="S191" s="61"/>
      <c r="T191" s="61"/>
      <c r="U191" s="61"/>
      <c r="V191" s="61"/>
      <c r="W191" s="61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spans="1:36" ht="11.25" customHeight="1" x14ac:dyDescent="0.2">
      <c r="A192" s="57" t="s">
        <v>21</v>
      </c>
      <c r="B192" s="57" t="s">
        <v>43</v>
      </c>
      <c r="C192" s="57" t="s">
        <v>44</v>
      </c>
      <c r="D192" s="57" t="s">
        <v>61</v>
      </c>
      <c r="E192" s="57" t="s">
        <v>53</v>
      </c>
      <c r="F192" s="57" t="s">
        <v>25</v>
      </c>
      <c r="G192" s="57" t="s">
        <v>25</v>
      </c>
      <c r="H192" s="57" t="s">
        <v>37</v>
      </c>
      <c r="I192" s="82">
        <v>44440</v>
      </c>
      <c r="J192" s="83">
        <f ca="1">EFEITO!$J$192*EFEITO!$Y$157</f>
        <v>117582.36751133713</v>
      </c>
      <c r="K192" s="83">
        <f ca="1">EFEITO!$L$192*EFEITO!$Z$157</f>
        <v>0</v>
      </c>
      <c r="L192" s="83">
        <f>EFEITO!$N$192*EFEITO!$AA$157</f>
        <v>0</v>
      </c>
      <c r="M192" s="83">
        <f ca="1">$J$192-EFEITO!$K$192*EFEITO!$Y$192</f>
        <v>7054.9420506802417</v>
      </c>
      <c r="N192" s="83">
        <f ca="1">$K$192-EFEITO!$M$192*EFEITO!$Z$192</f>
        <v>0</v>
      </c>
      <c r="O192" s="83">
        <f>$L$192-EFEITO!$O$192*EFEITO!$AA$192</f>
        <v>0</v>
      </c>
      <c r="P192" s="61"/>
      <c r="Q192" s="61"/>
      <c r="R192" s="61"/>
      <c r="S192" s="61"/>
      <c r="T192" s="61"/>
      <c r="U192" s="61"/>
      <c r="V192" s="61"/>
      <c r="W192" s="61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spans="1:36" ht="11.25" customHeight="1" x14ac:dyDescent="0.2">
      <c r="A193" s="57" t="s">
        <v>59</v>
      </c>
      <c r="B193" s="57" t="s">
        <v>43</v>
      </c>
      <c r="C193" s="57" t="s">
        <v>44</v>
      </c>
      <c r="D193" s="57" t="s">
        <v>61</v>
      </c>
      <c r="E193" s="57" t="s">
        <v>53</v>
      </c>
      <c r="F193" s="57" t="s">
        <v>25</v>
      </c>
      <c r="G193" s="57" t="s">
        <v>25</v>
      </c>
      <c r="H193" s="57" t="s">
        <v>37</v>
      </c>
      <c r="I193" s="82">
        <v>44470</v>
      </c>
      <c r="J193" s="83">
        <f ca="1">EFEITO!$J$193*EFEITO!$Y$157</f>
        <v>117582.36751133713</v>
      </c>
      <c r="K193" s="83">
        <f ca="1">EFEITO!$L$193*EFEITO!$Z$157</f>
        <v>0</v>
      </c>
      <c r="L193" s="83">
        <f>EFEITO!$N$193*EFEITO!$AA$157</f>
        <v>0</v>
      </c>
      <c r="M193" s="83">
        <f ca="1">$J$193-EFEITO!$K$193*EFEITO!$Y$193</f>
        <v>7054.9420506802417</v>
      </c>
      <c r="N193" s="83">
        <f ca="1">$K$193-EFEITO!$M$193*EFEITO!$Z$193</f>
        <v>0</v>
      </c>
      <c r="O193" s="83">
        <f>$L$193-EFEITO!$O$193*EFEITO!$AA$193</f>
        <v>0</v>
      </c>
      <c r="P193" s="61"/>
      <c r="Q193" s="61"/>
      <c r="R193" s="61"/>
      <c r="S193" s="61"/>
      <c r="T193" s="61"/>
      <c r="U193" s="61"/>
      <c r="V193" s="61"/>
      <c r="W193" s="61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spans="1:36" ht="11.25" customHeight="1" x14ac:dyDescent="0.2">
      <c r="A194" s="57" t="s">
        <v>21</v>
      </c>
      <c r="B194" s="57" t="s">
        <v>43</v>
      </c>
      <c r="C194" s="57" t="s">
        <v>63</v>
      </c>
      <c r="D194" s="57" t="s">
        <v>25</v>
      </c>
      <c r="E194" s="57" t="s">
        <v>25</v>
      </c>
      <c r="F194" s="57" t="s">
        <v>25</v>
      </c>
      <c r="G194" s="57" t="s">
        <v>64</v>
      </c>
      <c r="H194" s="57" t="s">
        <v>25</v>
      </c>
      <c r="I194" s="82">
        <v>44136</v>
      </c>
      <c r="J194" s="83">
        <f ca="1">EFEITO!$J$194*EFEITO!$Y$194</f>
        <v>1442297.6071449707</v>
      </c>
      <c r="K194" s="83">
        <f>EFEITO!$L$194*EFEITO!$Z$194</f>
        <v>0</v>
      </c>
      <c r="L194" s="83">
        <f>EFEITO!$N$194*EFEITO!$AA$194</f>
        <v>0</v>
      </c>
      <c r="M194" s="83">
        <f ca="1">$J$194-EFEITO!$K$194*EFEITO!$Y$194</f>
        <v>0</v>
      </c>
      <c r="N194" s="83">
        <f>$K$194-EFEITO!$M$194*EFEITO!$Z$194</f>
        <v>0</v>
      </c>
      <c r="O194" s="83">
        <f>$L$194-EFEITO!$O$194*EFEITO!$AA$194</f>
        <v>0</v>
      </c>
      <c r="P194" s="61"/>
      <c r="Q194" s="61"/>
      <c r="R194" s="61"/>
      <c r="S194" s="61"/>
      <c r="T194" s="61"/>
      <c r="U194" s="61"/>
      <c r="V194" s="61"/>
      <c r="W194" s="61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spans="1:36" ht="11.25" customHeight="1" x14ac:dyDescent="0.2">
      <c r="A195" s="57" t="s">
        <v>21</v>
      </c>
      <c r="B195" s="57" t="s">
        <v>43</v>
      </c>
      <c r="C195" s="57" t="s">
        <v>63</v>
      </c>
      <c r="D195" s="57" t="s">
        <v>25</v>
      </c>
      <c r="E195" s="57" t="s">
        <v>25</v>
      </c>
      <c r="F195" s="57" t="s">
        <v>25</v>
      </c>
      <c r="G195" s="57" t="s">
        <v>66</v>
      </c>
      <c r="H195" s="57" t="s">
        <v>25</v>
      </c>
      <c r="I195" s="82">
        <v>44136</v>
      </c>
      <c r="J195" s="83">
        <f ca="1">EFEITO!$J$195*EFEITO!$Y$195</f>
        <v>549446.70748379838</v>
      </c>
      <c r="K195" s="83">
        <f>EFEITO!$L$195*EFEITO!$Z$195</f>
        <v>0</v>
      </c>
      <c r="L195" s="83">
        <f>EFEITO!$N$195*EFEITO!$AA$195</f>
        <v>0</v>
      </c>
      <c r="M195" s="83">
        <f ca="1">$J$195-EFEITO!$K$195*EFEITO!$Y$195</f>
        <v>0</v>
      </c>
      <c r="N195" s="83">
        <f>$K$195-EFEITO!$M$195*EFEITO!$Z$195</f>
        <v>0</v>
      </c>
      <c r="O195" s="83">
        <f>$L$195-EFEITO!$O$195*EFEITO!$AA$195</f>
        <v>0</v>
      </c>
      <c r="P195" s="61"/>
      <c r="Q195" s="61"/>
      <c r="R195" s="61"/>
      <c r="S195" s="61"/>
      <c r="T195" s="61"/>
      <c r="U195" s="61"/>
      <c r="V195" s="61"/>
      <c r="W195" s="61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spans="1:36" ht="11.25" customHeight="1" x14ac:dyDescent="0.2">
      <c r="A196" s="57" t="s">
        <v>21</v>
      </c>
      <c r="B196" s="57" t="s">
        <v>43</v>
      </c>
      <c r="C196" s="57" t="s">
        <v>63</v>
      </c>
      <c r="D196" s="57" t="s">
        <v>25</v>
      </c>
      <c r="E196" s="57" t="s">
        <v>25</v>
      </c>
      <c r="F196" s="57" t="s">
        <v>25</v>
      </c>
      <c r="G196" s="57" t="s">
        <v>67</v>
      </c>
      <c r="H196" s="57" t="s">
        <v>25</v>
      </c>
      <c r="I196" s="82">
        <v>44136</v>
      </c>
      <c r="J196" s="83">
        <f ca="1">EFEITO!$J$196*EFEITO!$Y$196</f>
        <v>549446.70748379838</v>
      </c>
      <c r="K196" s="83">
        <f>EFEITO!$L$196*EFEITO!$Z$196</f>
        <v>0</v>
      </c>
      <c r="L196" s="83">
        <f>EFEITO!$N$196*EFEITO!$AA$196</f>
        <v>0</v>
      </c>
      <c r="M196" s="83">
        <f ca="1">$J$196-EFEITO!$K$196*EFEITO!$Y$196</f>
        <v>0</v>
      </c>
      <c r="N196" s="83">
        <f>$K$196-EFEITO!$M$196*EFEITO!$Z$196</f>
        <v>0</v>
      </c>
      <c r="O196" s="83">
        <f>$L$196-EFEITO!$O$196*EFEITO!$AA$196</f>
        <v>0</v>
      </c>
      <c r="P196" s="61"/>
      <c r="Q196" s="61"/>
      <c r="R196" s="61"/>
      <c r="S196" s="61"/>
      <c r="T196" s="61"/>
      <c r="U196" s="61"/>
      <c r="V196" s="61"/>
      <c r="W196" s="61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spans="1:36" ht="11.25" customHeight="1" x14ac:dyDescent="0.2">
      <c r="A197" s="57" t="s">
        <v>21</v>
      </c>
      <c r="B197" s="57" t="s">
        <v>43</v>
      </c>
      <c r="C197" s="57" t="s">
        <v>63</v>
      </c>
      <c r="D197" s="57" t="s">
        <v>25</v>
      </c>
      <c r="E197" s="57" t="s">
        <v>25</v>
      </c>
      <c r="F197" s="57" t="s">
        <v>25</v>
      </c>
      <c r="G197" s="57" t="s">
        <v>68</v>
      </c>
      <c r="H197" s="57" t="s">
        <v>25</v>
      </c>
      <c r="I197" s="82">
        <v>44136</v>
      </c>
      <c r="J197" s="83">
        <f ca="1">EFEITO!$J$197*EFEITO!$Y$197</f>
        <v>549446.70748379838</v>
      </c>
      <c r="K197" s="83">
        <f>EFEITO!$L$197*EFEITO!$Z$197</f>
        <v>0</v>
      </c>
      <c r="L197" s="83">
        <f>EFEITO!$N$197*EFEITO!$AA$197</f>
        <v>0</v>
      </c>
      <c r="M197" s="83">
        <f ca="1">$J$197-EFEITO!$K$197*EFEITO!$Y$197</f>
        <v>0</v>
      </c>
      <c r="N197" s="83">
        <f>$K$197-EFEITO!$M$197*EFEITO!$Z$197</f>
        <v>0</v>
      </c>
      <c r="O197" s="83">
        <f>$L$197-EFEITO!$O$197*EFEITO!$AA$197</f>
        <v>0</v>
      </c>
      <c r="P197" s="61"/>
      <c r="Q197" s="61"/>
      <c r="R197" s="61"/>
      <c r="S197" s="61"/>
      <c r="T197" s="61"/>
      <c r="U197" s="61"/>
      <c r="V197" s="61"/>
      <c r="W197" s="61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spans="1:36" ht="11.25" customHeight="1" x14ac:dyDescent="0.2">
      <c r="A198" s="57" t="s">
        <v>21</v>
      </c>
      <c r="B198" s="57" t="s">
        <v>43</v>
      </c>
      <c r="C198" s="57" t="s">
        <v>63</v>
      </c>
      <c r="D198" s="57" t="s">
        <v>25</v>
      </c>
      <c r="E198" s="57" t="s">
        <v>25</v>
      </c>
      <c r="F198" s="57" t="s">
        <v>25</v>
      </c>
      <c r="G198" s="57" t="s">
        <v>69</v>
      </c>
      <c r="H198" s="57" t="s">
        <v>25</v>
      </c>
      <c r="I198" s="82">
        <v>44136</v>
      </c>
      <c r="J198" s="83">
        <f ca="1">EFEITO!$J$198*EFEITO!$Y$198</f>
        <v>576919.04285798827</v>
      </c>
      <c r="K198" s="83">
        <f>EFEITO!$L$198*EFEITO!$Z$198</f>
        <v>0</v>
      </c>
      <c r="L198" s="83">
        <f>EFEITO!$N$198*EFEITO!$AA$198</f>
        <v>0</v>
      </c>
      <c r="M198" s="83">
        <f ca="1">$J$198-EFEITO!$K$198*EFEITO!$Y$198</f>
        <v>0</v>
      </c>
      <c r="N198" s="83">
        <f>$K$198-EFEITO!$M$198*EFEITO!$Z$198</f>
        <v>0</v>
      </c>
      <c r="O198" s="83">
        <f>$L$198-EFEITO!$O$198*EFEITO!$AA$198</f>
        <v>0</v>
      </c>
      <c r="P198" s="61"/>
      <c r="Q198" s="61"/>
      <c r="R198" s="61"/>
      <c r="S198" s="61"/>
      <c r="T198" s="61"/>
      <c r="U198" s="61"/>
      <c r="V198" s="61"/>
      <c r="W198" s="61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spans="1:36" ht="11.25" customHeight="1" x14ac:dyDescent="0.2">
      <c r="A199" s="57" t="s">
        <v>21</v>
      </c>
      <c r="B199" s="57" t="s">
        <v>43</v>
      </c>
      <c r="C199" s="57" t="s">
        <v>63</v>
      </c>
      <c r="D199" s="57" t="s">
        <v>25</v>
      </c>
      <c r="E199" s="57" t="s">
        <v>25</v>
      </c>
      <c r="F199" s="57" t="s">
        <v>25</v>
      </c>
      <c r="G199" s="57" t="s">
        <v>64</v>
      </c>
      <c r="H199" s="57" t="s">
        <v>25</v>
      </c>
      <c r="I199" s="82">
        <v>44166</v>
      </c>
      <c r="J199" s="83">
        <f ca="1">EFEITO!$J$199*EFEITO!$Y$199</f>
        <v>1442297.6071449707</v>
      </c>
      <c r="K199" s="83">
        <f>EFEITO!$L$199*EFEITO!$Z$199</f>
        <v>0</v>
      </c>
      <c r="L199" s="83">
        <f>EFEITO!$N$199*EFEITO!$AA$199</f>
        <v>0</v>
      </c>
      <c r="M199" s="83">
        <f ca="1">$J$199-EFEITO!$K$199*EFEITO!$Y$199</f>
        <v>0</v>
      </c>
      <c r="N199" s="83">
        <f>$K$199-EFEITO!$M$199*EFEITO!$Z$199</f>
        <v>0</v>
      </c>
      <c r="O199" s="83">
        <f>$L$199-EFEITO!$O$199*EFEITO!$AA$199</f>
        <v>0</v>
      </c>
      <c r="P199" s="61"/>
      <c r="Q199" s="61"/>
      <c r="R199" s="61"/>
      <c r="S199" s="61"/>
      <c r="T199" s="61"/>
      <c r="U199" s="61"/>
      <c r="V199" s="61"/>
      <c r="W199" s="61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spans="1:36" ht="11.25" customHeight="1" x14ac:dyDescent="0.2">
      <c r="A200" s="57" t="s">
        <v>21</v>
      </c>
      <c r="B200" s="57" t="s">
        <v>43</v>
      </c>
      <c r="C200" s="57" t="s">
        <v>63</v>
      </c>
      <c r="D200" s="57" t="s">
        <v>25</v>
      </c>
      <c r="E200" s="57" t="s">
        <v>25</v>
      </c>
      <c r="F200" s="57" t="s">
        <v>25</v>
      </c>
      <c r="G200" s="57" t="s">
        <v>66</v>
      </c>
      <c r="H200" s="57" t="s">
        <v>25</v>
      </c>
      <c r="I200" s="82">
        <v>44166</v>
      </c>
      <c r="J200" s="83">
        <f ca="1">EFEITO!$J$200*EFEITO!$Y$200</f>
        <v>549446.70748379838</v>
      </c>
      <c r="K200" s="83">
        <f>EFEITO!$L$200*EFEITO!$Z$200</f>
        <v>0</v>
      </c>
      <c r="L200" s="83">
        <f>EFEITO!$N$200*EFEITO!$AA$200</f>
        <v>0</v>
      </c>
      <c r="M200" s="83">
        <f ca="1">$J$200-EFEITO!$K$200*EFEITO!$Y$200</f>
        <v>0</v>
      </c>
      <c r="N200" s="83">
        <f>$K$200-EFEITO!$M$200*EFEITO!$Z$200</f>
        <v>0</v>
      </c>
      <c r="O200" s="83">
        <f>$L$200-EFEITO!$O$200*EFEITO!$AA$200</f>
        <v>0</v>
      </c>
      <c r="P200" s="61"/>
      <c r="Q200" s="61"/>
      <c r="R200" s="61"/>
      <c r="S200" s="61"/>
      <c r="T200" s="61"/>
      <c r="U200" s="61"/>
      <c r="V200" s="61"/>
      <c r="W200" s="61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spans="1:36" ht="11.25" customHeight="1" x14ac:dyDescent="0.2">
      <c r="A201" s="57" t="s">
        <v>21</v>
      </c>
      <c r="B201" s="57" t="s">
        <v>43</v>
      </c>
      <c r="C201" s="57" t="s">
        <v>63</v>
      </c>
      <c r="D201" s="57" t="s">
        <v>25</v>
      </c>
      <c r="E201" s="57" t="s">
        <v>25</v>
      </c>
      <c r="F201" s="57" t="s">
        <v>25</v>
      </c>
      <c r="G201" s="57" t="s">
        <v>67</v>
      </c>
      <c r="H201" s="57" t="s">
        <v>25</v>
      </c>
      <c r="I201" s="82">
        <v>44166</v>
      </c>
      <c r="J201" s="83">
        <f ca="1">EFEITO!$J$201*EFEITO!$Y$201</f>
        <v>549446.70748379838</v>
      </c>
      <c r="K201" s="83">
        <f>EFEITO!$L$201*EFEITO!$Z$201</f>
        <v>0</v>
      </c>
      <c r="L201" s="83">
        <f>EFEITO!$N$201*EFEITO!$AA$201</f>
        <v>0</v>
      </c>
      <c r="M201" s="83">
        <f ca="1">$J$201-EFEITO!$K$201*EFEITO!$Y$201</f>
        <v>0</v>
      </c>
      <c r="N201" s="83">
        <f>$K$201-EFEITO!$M$201*EFEITO!$Z$201</f>
        <v>0</v>
      </c>
      <c r="O201" s="83">
        <f>$L$201-EFEITO!$O$201*EFEITO!$AA$201</f>
        <v>0</v>
      </c>
      <c r="P201" s="61"/>
      <c r="Q201" s="61"/>
      <c r="R201" s="61"/>
      <c r="S201" s="61"/>
      <c r="T201" s="61"/>
      <c r="U201" s="61"/>
      <c r="V201" s="61"/>
      <c r="W201" s="61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spans="1:36" ht="11.25" customHeight="1" x14ac:dyDescent="0.2">
      <c r="A202" s="57" t="s">
        <v>21</v>
      </c>
      <c r="B202" s="57" t="s">
        <v>43</v>
      </c>
      <c r="C202" s="57" t="s">
        <v>63</v>
      </c>
      <c r="D202" s="57" t="s">
        <v>25</v>
      </c>
      <c r="E202" s="57" t="s">
        <v>25</v>
      </c>
      <c r="F202" s="57" t="s">
        <v>25</v>
      </c>
      <c r="G202" s="57" t="s">
        <v>68</v>
      </c>
      <c r="H202" s="57" t="s">
        <v>25</v>
      </c>
      <c r="I202" s="82">
        <v>44166</v>
      </c>
      <c r="J202" s="83">
        <f ca="1">EFEITO!$J$202*EFEITO!$Y$202</f>
        <v>549446.70748379838</v>
      </c>
      <c r="K202" s="83">
        <f>EFEITO!$L$202*EFEITO!$Z$202</f>
        <v>0</v>
      </c>
      <c r="L202" s="83">
        <f>EFEITO!$N$202*EFEITO!$AA$202</f>
        <v>0</v>
      </c>
      <c r="M202" s="83">
        <f ca="1">$J$202-EFEITO!$K$202*EFEITO!$Y$202</f>
        <v>0</v>
      </c>
      <c r="N202" s="83">
        <f>$K$202-EFEITO!$M$202*EFEITO!$Z$202</f>
        <v>0</v>
      </c>
      <c r="O202" s="83">
        <f>$L$202-EFEITO!$O$202*EFEITO!$AA$202</f>
        <v>0</v>
      </c>
      <c r="P202" s="61"/>
      <c r="Q202" s="61"/>
      <c r="R202" s="61"/>
      <c r="S202" s="61"/>
      <c r="T202" s="61"/>
      <c r="U202" s="61"/>
      <c r="V202" s="61"/>
      <c r="W202" s="61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spans="1:36" ht="11.25" customHeight="1" x14ac:dyDescent="0.2">
      <c r="A203" s="57" t="s">
        <v>21</v>
      </c>
      <c r="B203" s="57" t="s">
        <v>43</v>
      </c>
      <c r="C203" s="57" t="s">
        <v>63</v>
      </c>
      <c r="D203" s="57" t="s">
        <v>25</v>
      </c>
      <c r="E203" s="57" t="s">
        <v>25</v>
      </c>
      <c r="F203" s="57" t="s">
        <v>25</v>
      </c>
      <c r="G203" s="57" t="s">
        <v>69</v>
      </c>
      <c r="H203" s="57" t="s">
        <v>25</v>
      </c>
      <c r="I203" s="82">
        <v>44166</v>
      </c>
      <c r="J203" s="83">
        <f ca="1">EFEITO!$J$203*EFEITO!$Y$203</f>
        <v>576919.04285798827</v>
      </c>
      <c r="K203" s="83">
        <f>EFEITO!$L$203*EFEITO!$Z$203</f>
        <v>0</v>
      </c>
      <c r="L203" s="83">
        <f>EFEITO!$N$203*EFEITO!$AA$203</f>
        <v>0</v>
      </c>
      <c r="M203" s="83">
        <f ca="1">$J$203-EFEITO!$K$203*EFEITO!$Y$203</f>
        <v>0</v>
      </c>
      <c r="N203" s="83">
        <f>$K$203-EFEITO!$M$203*EFEITO!$Z$203</f>
        <v>0</v>
      </c>
      <c r="O203" s="83">
        <f>$L$203-EFEITO!$O$203*EFEITO!$AA$203</f>
        <v>0</v>
      </c>
      <c r="P203" s="61"/>
      <c r="Q203" s="61"/>
      <c r="R203" s="61"/>
      <c r="S203" s="61"/>
      <c r="T203" s="61"/>
      <c r="U203" s="61"/>
      <c r="V203" s="61"/>
      <c r="W203" s="61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spans="1:36" ht="11.25" customHeight="1" x14ac:dyDescent="0.2">
      <c r="A204" s="57" t="s">
        <v>21</v>
      </c>
      <c r="B204" s="57" t="s">
        <v>43</v>
      </c>
      <c r="C204" s="57" t="s">
        <v>63</v>
      </c>
      <c r="D204" s="57" t="s">
        <v>25</v>
      </c>
      <c r="E204" s="57" t="s">
        <v>25</v>
      </c>
      <c r="F204" s="57" t="s">
        <v>25</v>
      </c>
      <c r="G204" s="57" t="s">
        <v>64</v>
      </c>
      <c r="H204" s="57" t="s">
        <v>25</v>
      </c>
      <c r="I204" s="82">
        <v>44197</v>
      </c>
      <c r="J204" s="83">
        <f ca="1">EFEITO!$J$204*EFEITO!$Y$204</f>
        <v>1442297.6071449707</v>
      </c>
      <c r="K204" s="83">
        <f>EFEITO!$L$204*EFEITO!$Z$204</f>
        <v>0</v>
      </c>
      <c r="L204" s="83">
        <f>EFEITO!$N$204*EFEITO!$AA$204</f>
        <v>0</v>
      </c>
      <c r="M204" s="83">
        <f ca="1">$J$204-EFEITO!$K$204*EFEITO!$Y$204</f>
        <v>0</v>
      </c>
      <c r="N204" s="83">
        <f>$K$204-EFEITO!$M$204*EFEITO!$Z$204</f>
        <v>0</v>
      </c>
      <c r="O204" s="83">
        <f>$L$204-EFEITO!$O$204*EFEITO!$AA$204</f>
        <v>0</v>
      </c>
      <c r="P204" s="61"/>
      <c r="Q204" s="61"/>
      <c r="R204" s="61"/>
      <c r="S204" s="61"/>
      <c r="T204" s="61"/>
      <c r="U204" s="61"/>
      <c r="V204" s="61"/>
      <c r="W204" s="61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spans="1:36" ht="11.25" customHeight="1" x14ac:dyDescent="0.2">
      <c r="A205" s="57" t="s">
        <v>21</v>
      </c>
      <c r="B205" s="57" t="s">
        <v>43</v>
      </c>
      <c r="C205" s="57" t="s">
        <v>63</v>
      </c>
      <c r="D205" s="57" t="s">
        <v>25</v>
      </c>
      <c r="E205" s="57" t="s">
        <v>25</v>
      </c>
      <c r="F205" s="57" t="s">
        <v>25</v>
      </c>
      <c r="G205" s="57" t="s">
        <v>66</v>
      </c>
      <c r="H205" s="57" t="s">
        <v>25</v>
      </c>
      <c r="I205" s="82">
        <v>44197</v>
      </c>
      <c r="J205" s="83">
        <f ca="1">EFEITO!$J$205*EFEITO!$Y$205</f>
        <v>549446.70748379838</v>
      </c>
      <c r="K205" s="83">
        <f>EFEITO!$L$205*EFEITO!$Z$205</f>
        <v>0</v>
      </c>
      <c r="L205" s="83">
        <f>EFEITO!$N$205*EFEITO!$AA$205</f>
        <v>0</v>
      </c>
      <c r="M205" s="83">
        <f ca="1">$J$205-EFEITO!$K$205*EFEITO!$Y$205</f>
        <v>0</v>
      </c>
      <c r="N205" s="83">
        <f>$K$205-EFEITO!$M$205*EFEITO!$Z$205</f>
        <v>0</v>
      </c>
      <c r="O205" s="83">
        <f>$L$205-EFEITO!$O$205*EFEITO!$AA$205</f>
        <v>0</v>
      </c>
      <c r="P205" s="61"/>
      <c r="Q205" s="61"/>
      <c r="R205" s="61"/>
      <c r="S205" s="61"/>
      <c r="T205" s="61"/>
      <c r="U205" s="61"/>
      <c r="V205" s="61"/>
      <c r="W205" s="61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spans="1:36" ht="11.25" customHeight="1" x14ac:dyDescent="0.2">
      <c r="A206" s="57" t="s">
        <v>21</v>
      </c>
      <c r="B206" s="57" t="s">
        <v>43</v>
      </c>
      <c r="C206" s="57" t="s">
        <v>63</v>
      </c>
      <c r="D206" s="57" t="s">
        <v>25</v>
      </c>
      <c r="E206" s="57" t="s">
        <v>25</v>
      </c>
      <c r="F206" s="57" t="s">
        <v>25</v>
      </c>
      <c r="G206" s="57" t="s">
        <v>67</v>
      </c>
      <c r="H206" s="57" t="s">
        <v>25</v>
      </c>
      <c r="I206" s="82">
        <v>44197</v>
      </c>
      <c r="J206" s="83">
        <f ca="1">EFEITO!$J$206*EFEITO!$Y$206</f>
        <v>549446.70748379838</v>
      </c>
      <c r="K206" s="83">
        <f>EFEITO!$L$206*EFEITO!$Z$206</f>
        <v>0</v>
      </c>
      <c r="L206" s="83">
        <f>EFEITO!$N$206*EFEITO!$AA$206</f>
        <v>0</v>
      </c>
      <c r="M206" s="83">
        <f ca="1">$J$206-EFEITO!$K$206*EFEITO!$Y$206</f>
        <v>0</v>
      </c>
      <c r="N206" s="83">
        <f>$K$206-EFEITO!$M$206*EFEITO!$Z$206</f>
        <v>0</v>
      </c>
      <c r="O206" s="83">
        <f>$L$206-EFEITO!$O$206*EFEITO!$AA$206</f>
        <v>0</v>
      </c>
      <c r="P206" s="61"/>
      <c r="Q206" s="61"/>
      <c r="R206" s="61"/>
      <c r="S206" s="61"/>
      <c r="T206" s="61"/>
      <c r="U206" s="61"/>
      <c r="V206" s="61"/>
      <c r="W206" s="61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spans="1:36" ht="11.25" customHeight="1" x14ac:dyDescent="0.2">
      <c r="A207" s="57" t="s">
        <v>21</v>
      </c>
      <c r="B207" s="57" t="s">
        <v>43</v>
      </c>
      <c r="C207" s="57" t="s">
        <v>63</v>
      </c>
      <c r="D207" s="57" t="s">
        <v>25</v>
      </c>
      <c r="E207" s="57" t="s">
        <v>25</v>
      </c>
      <c r="F207" s="57" t="s">
        <v>25</v>
      </c>
      <c r="G207" s="57" t="s">
        <v>68</v>
      </c>
      <c r="H207" s="57" t="s">
        <v>25</v>
      </c>
      <c r="I207" s="82">
        <v>44197</v>
      </c>
      <c r="J207" s="83">
        <f ca="1">EFEITO!$J$207*EFEITO!$Y$207</f>
        <v>549446.70748379838</v>
      </c>
      <c r="K207" s="83">
        <f>EFEITO!$L$207*EFEITO!$Z$207</f>
        <v>0</v>
      </c>
      <c r="L207" s="83">
        <f>EFEITO!$N$207*EFEITO!$AA$207</f>
        <v>0</v>
      </c>
      <c r="M207" s="83">
        <f ca="1">$J$207-EFEITO!$K$207*EFEITO!$Y$207</f>
        <v>0</v>
      </c>
      <c r="N207" s="83">
        <f>$K$207-EFEITO!$M$207*EFEITO!$Z$207</f>
        <v>0</v>
      </c>
      <c r="O207" s="83">
        <f>$L$207-EFEITO!$O$207*EFEITO!$AA$207</f>
        <v>0</v>
      </c>
      <c r="P207" s="61"/>
      <c r="Q207" s="61"/>
      <c r="R207" s="61"/>
      <c r="S207" s="61"/>
      <c r="T207" s="61"/>
      <c r="U207" s="61"/>
      <c r="V207" s="61"/>
      <c r="W207" s="61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spans="1:36" ht="11.25" customHeight="1" x14ac:dyDescent="0.2">
      <c r="A208" s="57" t="s">
        <v>21</v>
      </c>
      <c r="B208" s="57" t="s">
        <v>43</v>
      </c>
      <c r="C208" s="57" t="s">
        <v>63</v>
      </c>
      <c r="D208" s="57" t="s">
        <v>25</v>
      </c>
      <c r="E208" s="57" t="s">
        <v>25</v>
      </c>
      <c r="F208" s="57" t="s">
        <v>25</v>
      </c>
      <c r="G208" s="57" t="s">
        <v>69</v>
      </c>
      <c r="H208" s="57" t="s">
        <v>25</v>
      </c>
      <c r="I208" s="82">
        <v>44197</v>
      </c>
      <c r="J208" s="83">
        <f ca="1">EFEITO!$J$208*EFEITO!$Y$208</f>
        <v>576919.04285798827</v>
      </c>
      <c r="K208" s="83">
        <f>EFEITO!$L$208*EFEITO!$Z$208</f>
        <v>0</v>
      </c>
      <c r="L208" s="83">
        <f>EFEITO!$N$208*EFEITO!$AA$208</f>
        <v>0</v>
      </c>
      <c r="M208" s="83">
        <f ca="1">$J$208-EFEITO!$K$208*EFEITO!$Y$208</f>
        <v>0</v>
      </c>
      <c r="N208" s="83">
        <f>$K$208-EFEITO!$M$208*EFEITO!$Z$208</f>
        <v>0</v>
      </c>
      <c r="O208" s="83">
        <f>$L$208-EFEITO!$O$208*EFEITO!$AA$208</f>
        <v>0</v>
      </c>
      <c r="P208" s="61"/>
      <c r="Q208" s="61"/>
      <c r="R208" s="61"/>
      <c r="S208" s="61"/>
      <c r="T208" s="61"/>
      <c r="U208" s="61"/>
      <c r="V208" s="61"/>
      <c r="W208" s="61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spans="1:36" ht="11.25" customHeight="1" x14ac:dyDescent="0.2">
      <c r="A209" s="57" t="s">
        <v>21</v>
      </c>
      <c r="B209" s="57" t="s">
        <v>43</v>
      </c>
      <c r="C209" s="57" t="s">
        <v>63</v>
      </c>
      <c r="D209" s="57" t="s">
        <v>25</v>
      </c>
      <c r="E209" s="57" t="s">
        <v>25</v>
      </c>
      <c r="F209" s="57" t="s">
        <v>25</v>
      </c>
      <c r="G209" s="57" t="s">
        <v>64</v>
      </c>
      <c r="H209" s="57" t="s">
        <v>25</v>
      </c>
      <c r="I209" s="82">
        <v>44228</v>
      </c>
      <c r="J209" s="83">
        <f ca="1">EFEITO!$J$209*EFEITO!$Y$209</f>
        <v>1442297.6071449707</v>
      </c>
      <c r="K209" s="83">
        <f>EFEITO!$L$209*EFEITO!$Z$209</f>
        <v>0</v>
      </c>
      <c r="L209" s="83">
        <f>EFEITO!$N$209*EFEITO!$AA$209</f>
        <v>0</v>
      </c>
      <c r="M209" s="83">
        <f ca="1">$J$209-EFEITO!$K$209*EFEITO!$Y$209</f>
        <v>0</v>
      </c>
      <c r="N209" s="83">
        <f>$K$209-EFEITO!$M$209*EFEITO!$Z$209</f>
        <v>0</v>
      </c>
      <c r="O209" s="83">
        <f>$L$209-EFEITO!$O$209*EFEITO!$AA$209</f>
        <v>0</v>
      </c>
      <c r="P209" s="61"/>
      <c r="Q209" s="61"/>
      <c r="R209" s="61"/>
      <c r="S209" s="61"/>
      <c r="T209" s="61"/>
      <c r="U209" s="61"/>
      <c r="V209" s="61"/>
      <c r="W209" s="61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spans="1:36" ht="11.25" customHeight="1" x14ac:dyDescent="0.2">
      <c r="A210" s="57" t="s">
        <v>21</v>
      </c>
      <c r="B210" s="57" t="s">
        <v>43</v>
      </c>
      <c r="C210" s="57" t="s">
        <v>63</v>
      </c>
      <c r="D210" s="57" t="s">
        <v>25</v>
      </c>
      <c r="E210" s="57" t="s">
        <v>25</v>
      </c>
      <c r="F210" s="57" t="s">
        <v>25</v>
      </c>
      <c r="G210" s="57" t="s">
        <v>66</v>
      </c>
      <c r="H210" s="57" t="s">
        <v>25</v>
      </c>
      <c r="I210" s="82">
        <v>44228</v>
      </c>
      <c r="J210" s="83">
        <f ca="1">EFEITO!$J$210*EFEITO!$Y$210</f>
        <v>549446.70748379838</v>
      </c>
      <c r="K210" s="83">
        <f>EFEITO!$L$210*EFEITO!$Z$210</f>
        <v>0</v>
      </c>
      <c r="L210" s="83">
        <f>EFEITO!$N$210*EFEITO!$AA$210</f>
        <v>0</v>
      </c>
      <c r="M210" s="83">
        <f ca="1">$J$210-EFEITO!$K$210*EFEITO!$Y$210</f>
        <v>0</v>
      </c>
      <c r="N210" s="83">
        <f>$K$210-EFEITO!$M$210*EFEITO!$Z$210</f>
        <v>0</v>
      </c>
      <c r="O210" s="83">
        <f>$L$210-EFEITO!$O$210*EFEITO!$AA$210</f>
        <v>0</v>
      </c>
      <c r="P210" s="61"/>
      <c r="Q210" s="61"/>
      <c r="R210" s="61"/>
      <c r="S210" s="61"/>
      <c r="T210" s="61"/>
      <c r="U210" s="61"/>
      <c r="V210" s="61"/>
      <c r="W210" s="61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spans="1:36" ht="11.25" customHeight="1" x14ac:dyDescent="0.2">
      <c r="A211" s="57" t="s">
        <v>21</v>
      </c>
      <c r="B211" s="57" t="s">
        <v>43</v>
      </c>
      <c r="C211" s="57" t="s">
        <v>63</v>
      </c>
      <c r="D211" s="57" t="s">
        <v>25</v>
      </c>
      <c r="E211" s="57" t="s">
        <v>25</v>
      </c>
      <c r="F211" s="57" t="s">
        <v>25</v>
      </c>
      <c r="G211" s="57" t="s">
        <v>67</v>
      </c>
      <c r="H211" s="57" t="s">
        <v>25</v>
      </c>
      <c r="I211" s="82">
        <v>44228</v>
      </c>
      <c r="J211" s="83">
        <f ca="1">EFEITO!$J$211*EFEITO!$Y$211</f>
        <v>549446.70748379838</v>
      </c>
      <c r="K211" s="83">
        <f>EFEITO!$L$211*EFEITO!$Z$211</f>
        <v>0</v>
      </c>
      <c r="L211" s="83">
        <f>EFEITO!$N$211*EFEITO!$AA$211</f>
        <v>0</v>
      </c>
      <c r="M211" s="83">
        <f ca="1">$J$211-EFEITO!$K$211*EFEITO!$Y$211</f>
        <v>0</v>
      </c>
      <c r="N211" s="83">
        <f>$K$211-EFEITO!$M$211*EFEITO!$Z$211</f>
        <v>0</v>
      </c>
      <c r="O211" s="83">
        <f>$L$211-EFEITO!$O$211*EFEITO!$AA$211</f>
        <v>0</v>
      </c>
      <c r="P211" s="61"/>
      <c r="Q211" s="61"/>
      <c r="R211" s="61"/>
      <c r="S211" s="61"/>
      <c r="T211" s="61"/>
      <c r="U211" s="61"/>
      <c r="V211" s="61"/>
      <c r="W211" s="61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spans="1:36" ht="11.25" customHeight="1" x14ac:dyDescent="0.2">
      <c r="A212" s="57" t="s">
        <v>21</v>
      </c>
      <c r="B212" s="57" t="s">
        <v>43</v>
      </c>
      <c r="C212" s="57" t="s">
        <v>63</v>
      </c>
      <c r="D212" s="57" t="s">
        <v>25</v>
      </c>
      <c r="E212" s="57" t="s">
        <v>25</v>
      </c>
      <c r="F212" s="57" t="s">
        <v>25</v>
      </c>
      <c r="G212" s="57" t="s">
        <v>68</v>
      </c>
      <c r="H212" s="57" t="s">
        <v>25</v>
      </c>
      <c r="I212" s="82">
        <v>44228</v>
      </c>
      <c r="J212" s="83">
        <f ca="1">EFEITO!$J$212*EFEITO!$Y$212</f>
        <v>549446.70748379838</v>
      </c>
      <c r="K212" s="83">
        <f>EFEITO!$L$212*EFEITO!$Z$212</f>
        <v>0</v>
      </c>
      <c r="L212" s="83">
        <f>EFEITO!$N$212*EFEITO!$AA$212</f>
        <v>0</v>
      </c>
      <c r="M212" s="83">
        <f ca="1">$J$212-EFEITO!$K$212*EFEITO!$Y$212</f>
        <v>0</v>
      </c>
      <c r="N212" s="83">
        <f>$K$212-EFEITO!$M$212*EFEITO!$Z$212</f>
        <v>0</v>
      </c>
      <c r="O212" s="83">
        <f>$L$212-EFEITO!$O$212*EFEITO!$AA$212</f>
        <v>0</v>
      </c>
      <c r="P212" s="61"/>
      <c r="Q212" s="61"/>
      <c r="R212" s="61"/>
      <c r="S212" s="61"/>
      <c r="T212" s="61"/>
      <c r="U212" s="61"/>
      <c r="V212" s="61"/>
      <c r="W212" s="61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spans="1:36" ht="11.25" customHeight="1" x14ac:dyDescent="0.2">
      <c r="A213" s="57" t="s">
        <v>21</v>
      </c>
      <c r="B213" s="57" t="s">
        <v>43</v>
      </c>
      <c r="C213" s="57" t="s">
        <v>63</v>
      </c>
      <c r="D213" s="57" t="s">
        <v>25</v>
      </c>
      <c r="E213" s="57" t="s">
        <v>25</v>
      </c>
      <c r="F213" s="57" t="s">
        <v>25</v>
      </c>
      <c r="G213" s="57" t="s">
        <v>69</v>
      </c>
      <c r="H213" s="57" t="s">
        <v>25</v>
      </c>
      <c r="I213" s="82">
        <v>44228</v>
      </c>
      <c r="J213" s="83">
        <f ca="1">EFEITO!$J$213*EFEITO!$Y$213</f>
        <v>576919.04285798827</v>
      </c>
      <c r="K213" s="83">
        <f>EFEITO!$L$213*EFEITO!$Z$213</f>
        <v>0</v>
      </c>
      <c r="L213" s="83">
        <f>EFEITO!$N$213*EFEITO!$AA$213</f>
        <v>0</v>
      </c>
      <c r="M213" s="83">
        <f ca="1">$J$213-EFEITO!$K$213*EFEITO!$Y$213</f>
        <v>0</v>
      </c>
      <c r="N213" s="83">
        <f>$K$213-EFEITO!$M$213*EFEITO!$Z$213</f>
        <v>0</v>
      </c>
      <c r="O213" s="83">
        <f>$L$213-EFEITO!$O$213*EFEITO!$AA$213</f>
        <v>0</v>
      </c>
      <c r="P213" s="61"/>
      <c r="Q213" s="61"/>
      <c r="R213" s="61"/>
      <c r="S213" s="61"/>
      <c r="T213" s="61"/>
      <c r="U213" s="61"/>
      <c r="V213" s="61"/>
      <c r="W213" s="61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spans="1:36" ht="11.25" customHeight="1" x14ac:dyDescent="0.2">
      <c r="A214" s="57" t="s">
        <v>21</v>
      </c>
      <c r="B214" s="57" t="s">
        <v>43</v>
      </c>
      <c r="C214" s="57" t="s">
        <v>63</v>
      </c>
      <c r="D214" s="57" t="s">
        <v>25</v>
      </c>
      <c r="E214" s="57" t="s">
        <v>25</v>
      </c>
      <c r="F214" s="57" t="s">
        <v>25</v>
      </c>
      <c r="G214" s="57" t="s">
        <v>64</v>
      </c>
      <c r="H214" s="57" t="s">
        <v>25</v>
      </c>
      <c r="I214" s="82">
        <v>44256</v>
      </c>
      <c r="J214" s="83">
        <f ca="1">EFEITO!$J$214*EFEITO!$Y$214</f>
        <v>1442297.6071449707</v>
      </c>
      <c r="K214" s="83">
        <f>EFEITO!$L$214*EFEITO!$Z$214</f>
        <v>0</v>
      </c>
      <c r="L214" s="83">
        <f>EFEITO!$N$214*EFEITO!$AA$214</f>
        <v>0</v>
      </c>
      <c r="M214" s="83">
        <f ca="1">$J$214-EFEITO!$K$214*EFEITO!$Y$214</f>
        <v>0</v>
      </c>
      <c r="N214" s="83">
        <f>$K$214-EFEITO!$M$214*EFEITO!$Z$214</f>
        <v>0</v>
      </c>
      <c r="O214" s="83">
        <f>$L$214-EFEITO!$O$214*EFEITO!$AA$214</f>
        <v>0</v>
      </c>
      <c r="P214" s="61"/>
      <c r="Q214" s="61"/>
      <c r="R214" s="61"/>
      <c r="S214" s="61"/>
      <c r="T214" s="61"/>
      <c r="U214" s="61"/>
      <c r="V214" s="61"/>
      <c r="W214" s="61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spans="1:36" ht="11.25" customHeight="1" x14ac:dyDescent="0.2">
      <c r="A215" s="57" t="s">
        <v>21</v>
      </c>
      <c r="B215" s="57" t="s">
        <v>43</v>
      </c>
      <c r="C215" s="57" t="s">
        <v>63</v>
      </c>
      <c r="D215" s="57" t="s">
        <v>25</v>
      </c>
      <c r="E215" s="57" t="s">
        <v>25</v>
      </c>
      <c r="F215" s="57" t="s">
        <v>25</v>
      </c>
      <c r="G215" s="57" t="s">
        <v>66</v>
      </c>
      <c r="H215" s="57" t="s">
        <v>25</v>
      </c>
      <c r="I215" s="82">
        <v>44256</v>
      </c>
      <c r="J215" s="83">
        <f ca="1">EFEITO!$J$215*EFEITO!$Y$215</f>
        <v>549446.70748379838</v>
      </c>
      <c r="K215" s="83">
        <f>EFEITO!$L$215*EFEITO!$Z$215</f>
        <v>0</v>
      </c>
      <c r="L215" s="83">
        <f>EFEITO!$N$215*EFEITO!$AA$215</f>
        <v>0</v>
      </c>
      <c r="M215" s="83">
        <f ca="1">$J$215-EFEITO!$K$215*EFEITO!$Y$215</f>
        <v>0</v>
      </c>
      <c r="N215" s="83">
        <f>$K$215-EFEITO!$M$215*EFEITO!$Z$215</f>
        <v>0</v>
      </c>
      <c r="O215" s="83">
        <f>$L$215-EFEITO!$O$215*EFEITO!$AA$215</f>
        <v>0</v>
      </c>
      <c r="P215" s="61"/>
      <c r="Q215" s="61"/>
      <c r="R215" s="61"/>
      <c r="S215" s="61"/>
      <c r="T215" s="61"/>
      <c r="U215" s="61"/>
      <c r="V215" s="61"/>
      <c r="W215" s="61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spans="1:36" ht="11.25" customHeight="1" x14ac:dyDescent="0.2">
      <c r="A216" s="57" t="s">
        <v>21</v>
      </c>
      <c r="B216" s="57" t="s">
        <v>43</v>
      </c>
      <c r="C216" s="57" t="s">
        <v>63</v>
      </c>
      <c r="D216" s="57" t="s">
        <v>25</v>
      </c>
      <c r="E216" s="57" t="s">
        <v>25</v>
      </c>
      <c r="F216" s="57" t="s">
        <v>25</v>
      </c>
      <c r="G216" s="57" t="s">
        <v>67</v>
      </c>
      <c r="H216" s="57" t="s">
        <v>25</v>
      </c>
      <c r="I216" s="82">
        <v>44256</v>
      </c>
      <c r="J216" s="83">
        <f ca="1">EFEITO!$J$216*EFEITO!$Y$216</f>
        <v>549446.70748379838</v>
      </c>
      <c r="K216" s="83">
        <f>EFEITO!$L$216*EFEITO!$Z$216</f>
        <v>0</v>
      </c>
      <c r="L216" s="83">
        <f>EFEITO!$N$216*EFEITO!$AA$216</f>
        <v>0</v>
      </c>
      <c r="M216" s="83">
        <f ca="1">$J$216-EFEITO!$K$216*EFEITO!$Y$216</f>
        <v>0</v>
      </c>
      <c r="N216" s="83">
        <f>$K$216-EFEITO!$M$216*EFEITO!$Z$216</f>
        <v>0</v>
      </c>
      <c r="O216" s="83">
        <f>$L$216-EFEITO!$O$216*EFEITO!$AA$216</f>
        <v>0</v>
      </c>
      <c r="P216" s="61"/>
      <c r="Q216" s="61"/>
      <c r="R216" s="61"/>
      <c r="S216" s="61"/>
      <c r="T216" s="61"/>
      <c r="U216" s="61"/>
      <c r="V216" s="61"/>
      <c r="W216" s="61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spans="1:36" ht="11.25" customHeight="1" x14ac:dyDescent="0.2">
      <c r="A217" s="57" t="s">
        <v>21</v>
      </c>
      <c r="B217" s="57" t="s">
        <v>43</v>
      </c>
      <c r="C217" s="57" t="s">
        <v>63</v>
      </c>
      <c r="D217" s="57" t="s">
        <v>25</v>
      </c>
      <c r="E217" s="57" t="s">
        <v>25</v>
      </c>
      <c r="F217" s="57" t="s">
        <v>25</v>
      </c>
      <c r="G217" s="57" t="s">
        <v>68</v>
      </c>
      <c r="H217" s="57" t="s">
        <v>25</v>
      </c>
      <c r="I217" s="82">
        <v>44256</v>
      </c>
      <c r="J217" s="83">
        <f ca="1">EFEITO!$J$217*EFEITO!$Y$217</f>
        <v>549446.70748379838</v>
      </c>
      <c r="K217" s="83">
        <f>EFEITO!$L$217*EFEITO!$Z$217</f>
        <v>0</v>
      </c>
      <c r="L217" s="83">
        <f>EFEITO!$N$217*EFEITO!$AA$217</f>
        <v>0</v>
      </c>
      <c r="M217" s="83">
        <f ca="1">$J$217-EFEITO!$K$217*EFEITO!$Y$217</f>
        <v>0</v>
      </c>
      <c r="N217" s="83">
        <f>$K$217-EFEITO!$M$217*EFEITO!$Z$217</f>
        <v>0</v>
      </c>
      <c r="O217" s="83">
        <f>$L$217-EFEITO!$O$217*EFEITO!$AA$217</f>
        <v>0</v>
      </c>
      <c r="P217" s="61"/>
      <c r="Q217" s="61"/>
      <c r="R217" s="61"/>
      <c r="S217" s="61"/>
      <c r="T217" s="61"/>
      <c r="U217" s="61"/>
      <c r="V217" s="61"/>
      <c r="W217" s="61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spans="1:36" ht="11.25" customHeight="1" x14ac:dyDescent="0.2">
      <c r="A218" s="57" t="s">
        <v>21</v>
      </c>
      <c r="B218" s="57" t="s">
        <v>43</v>
      </c>
      <c r="C218" s="57" t="s">
        <v>63</v>
      </c>
      <c r="D218" s="57" t="s">
        <v>25</v>
      </c>
      <c r="E218" s="57" t="s">
        <v>25</v>
      </c>
      <c r="F218" s="57" t="s">
        <v>25</v>
      </c>
      <c r="G218" s="57" t="s">
        <v>69</v>
      </c>
      <c r="H218" s="57" t="s">
        <v>25</v>
      </c>
      <c r="I218" s="82">
        <v>44256</v>
      </c>
      <c r="J218" s="83">
        <f ca="1">EFEITO!$J$218*EFEITO!$Y$218</f>
        <v>576919.04285798827</v>
      </c>
      <c r="K218" s="83">
        <f>EFEITO!$L$218*EFEITO!$Z$218</f>
        <v>0</v>
      </c>
      <c r="L218" s="83">
        <f>EFEITO!$N$218*EFEITO!$AA$218</f>
        <v>0</v>
      </c>
      <c r="M218" s="83">
        <f ca="1">$J$218-EFEITO!$K$218*EFEITO!$Y$218</f>
        <v>0</v>
      </c>
      <c r="N218" s="83">
        <f>$K$218-EFEITO!$M$218*EFEITO!$Z$218</f>
        <v>0</v>
      </c>
      <c r="O218" s="83">
        <f>$L$218-EFEITO!$O$218*EFEITO!$AA$218</f>
        <v>0</v>
      </c>
      <c r="P218" s="61"/>
      <c r="Q218" s="61"/>
      <c r="R218" s="61"/>
      <c r="S218" s="61"/>
      <c r="T218" s="61"/>
      <c r="U218" s="61"/>
      <c r="V218" s="61"/>
      <c r="W218" s="61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spans="1:36" ht="11.25" customHeight="1" x14ac:dyDescent="0.2">
      <c r="A219" s="57" t="s">
        <v>21</v>
      </c>
      <c r="B219" s="57" t="s">
        <v>43</v>
      </c>
      <c r="C219" s="57" t="s">
        <v>63</v>
      </c>
      <c r="D219" s="57" t="s">
        <v>25</v>
      </c>
      <c r="E219" s="57" t="s">
        <v>25</v>
      </c>
      <c r="F219" s="57" t="s">
        <v>25</v>
      </c>
      <c r="G219" s="57" t="s">
        <v>64</v>
      </c>
      <c r="H219" s="57" t="s">
        <v>25</v>
      </c>
      <c r="I219" s="82">
        <v>44287</v>
      </c>
      <c r="J219" s="83">
        <f ca="1">EFEITO!$J$219*EFEITO!$Y$219</f>
        <v>1442297.6071449707</v>
      </c>
      <c r="K219" s="83">
        <f>EFEITO!$L$219*EFEITO!$Z$219</f>
        <v>0</v>
      </c>
      <c r="L219" s="83">
        <f>EFEITO!$N$219*EFEITO!$AA$219</f>
        <v>0</v>
      </c>
      <c r="M219" s="83">
        <f ca="1">$J$219-EFEITO!$K$219*EFEITO!$Y$219</f>
        <v>0</v>
      </c>
      <c r="N219" s="83">
        <f>$K$219-EFEITO!$M$219*EFEITO!$Z$219</f>
        <v>0</v>
      </c>
      <c r="O219" s="83">
        <f>$L$219-EFEITO!$O$219*EFEITO!$AA$219</f>
        <v>0</v>
      </c>
      <c r="P219" s="61"/>
      <c r="Q219" s="61"/>
      <c r="R219" s="61"/>
      <c r="S219" s="61"/>
      <c r="T219" s="61"/>
      <c r="U219" s="61"/>
      <c r="V219" s="61"/>
      <c r="W219" s="61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spans="1:36" ht="11.25" customHeight="1" x14ac:dyDescent="0.2">
      <c r="A220" s="57" t="s">
        <v>21</v>
      </c>
      <c r="B220" s="57" t="s">
        <v>43</v>
      </c>
      <c r="C220" s="57" t="s">
        <v>63</v>
      </c>
      <c r="D220" s="57" t="s">
        <v>25</v>
      </c>
      <c r="E220" s="57" t="s">
        <v>25</v>
      </c>
      <c r="F220" s="57" t="s">
        <v>25</v>
      </c>
      <c r="G220" s="57" t="s">
        <v>66</v>
      </c>
      <c r="H220" s="57" t="s">
        <v>25</v>
      </c>
      <c r="I220" s="82">
        <v>44287</v>
      </c>
      <c r="J220" s="83">
        <f ca="1">EFEITO!$J$220*EFEITO!$Y$220</f>
        <v>549446.70748379838</v>
      </c>
      <c r="K220" s="83">
        <f>EFEITO!$L$220*EFEITO!$Z$220</f>
        <v>0</v>
      </c>
      <c r="L220" s="83">
        <f>EFEITO!$N$220*EFEITO!$AA$220</f>
        <v>0</v>
      </c>
      <c r="M220" s="83">
        <f ca="1">$J$220-EFEITO!$K$220*EFEITO!$Y$220</f>
        <v>0</v>
      </c>
      <c r="N220" s="83">
        <f>$K$220-EFEITO!$M$220*EFEITO!$Z$220</f>
        <v>0</v>
      </c>
      <c r="O220" s="83">
        <f>$L$220-EFEITO!$O$220*EFEITO!$AA$220</f>
        <v>0</v>
      </c>
      <c r="P220" s="61"/>
      <c r="Q220" s="61"/>
      <c r="R220" s="61"/>
      <c r="S220" s="61"/>
      <c r="T220" s="61"/>
      <c r="U220" s="61"/>
      <c r="V220" s="61"/>
      <c r="W220" s="61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spans="1:36" ht="11.25" customHeight="1" x14ac:dyDescent="0.2">
      <c r="A221" s="57" t="s">
        <v>21</v>
      </c>
      <c r="B221" s="57" t="s">
        <v>43</v>
      </c>
      <c r="C221" s="57" t="s">
        <v>63</v>
      </c>
      <c r="D221" s="57" t="s">
        <v>25</v>
      </c>
      <c r="E221" s="57" t="s">
        <v>25</v>
      </c>
      <c r="F221" s="57" t="s">
        <v>25</v>
      </c>
      <c r="G221" s="57" t="s">
        <v>67</v>
      </c>
      <c r="H221" s="57" t="s">
        <v>25</v>
      </c>
      <c r="I221" s="82">
        <v>44287</v>
      </c>
      <c r="J221" s="83">
        <f ca="1">EFEITO!$J$221*EFEITO!$Y$221</f>
        <v>549446.70748379838</v>
      </c>
      <c r="K221" s="83">
        <f>EFEITO!$L$221*EFEITO!$Z$221</f>
        <v>0</v>
      </c>
      <c r="L221" s="83">
        <f>EFEITO!$N$221*EFEITO!$AA$221</f>
        <v>0</v>
      </c>
      <c r="M221" s="83">
        <f ca="1">$J$221-EFEITO!$K$221*EFEITO!$Y$221</f>
        <v>0</v>
      </c>
      <c r="N221" s="83">
        <f>$K$221-EFEITO!$M$221*EFEITO!$Z$221</f>
        <v>0</v>
      </c>
      <c r="O221" s="83">
        <f>$L$221-EFEITO!$O$221*EFEITO!$AA$221</f>
        <v>0</v>
      </c>
      <c r="P221" s="61"/>
      <c r="Q221" s="61"/>
      <c r="R221" s="61"/>
      <c r="S221" s="61"/>
      <c r="T221" s="61"/>
      <c r="U221" s="61"/>
      <c r="V221" s="61"/>
      <c r="W221" s="61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spans="1:36" ht="11.25" customHeight="1" x14ac:dyDescent="0.2">
      <c r="A222" s="57" t="s">
        <v>21</v>
      </c>
      <c r="B222" s="57" t="s">
        <v>43</v>
      </c>
      <c r="C222" s="57" t="s">
        <v>63</v>
      </c>
      <c r="D222" s="57" t="s">
        <v>25</v>
      </c>
      <c r="E222" s="57" t="s">
        <v>25</v>
      </c>
      <c r="F222" s="57" t="s">
        <v>25</v>
      </c>
      <c r="G222" s="57" t="s">
        <v>68</v>
      </c>
      <c r="H222" s="57" t="s">
        <v>25</v>
      </c>
      <c r="I222" s="82">
        <v>44287</v>
      </c>
      <c r="J222" s="83">
        <f ca="1">EFEITO!$J$222*EFEITO!$Y$222</f>
        <v>549446.70748379838</v>
      </c>
      <c r="K222" s="83">
        <f>EFEITO!$L$222*EFEITO!$Z$222</f>
        <v>0</v>
      </c>
      <c r="L222" s="83">
        <f>EFEITO!$N$222*EFEITO!$AA$222</f>
        <v>0</v>
      </c>
      <c r="M222" s="83">
        <f ca="1">$J$222-EFEITO!$K$222*EFEITO!$Y$222</f>
        <v>0</v>
      </c>
      <c r="N222" s="83">
        <f>$K$222-EFEITO!$M$222*EFEITO!$Z$222</f>
        <v>0</v>
      </c>
      <c r="O222" s="83">
        <f>$L$222-EFEITO!$O$222*EFEITO!$AA$222</f>
        <v>0</v>
      </c>
      <c r="P222" s="61"/>
      <c r="Q222" s="61"/>
      <c r="R222" s="61"/>
      <c r="S222" s="61"/>
      <c r="T222" s="61"/>
      <c r="U222" s="61"/>
      <c r="V222" s="61"/>
      <c r="W222" s="61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spans="1:36" ht="11.25" customHeight="1" x14ac:dyDescent="0.2">
      <c r="A223" s="57" t="s">
        <v>21</v>
      </c>
      <c r="B223" s="57" t="s">
        <v>43</v>
      </c>
      <c r="C223" s="57" t="s">
        <v>63</v>
      </c>
      <c r="D223" s="57" t="s">
        <v>25</v>
      </c>
      <c r="E223" s="57" t="s">
        <v>25</v>
      </c>
      <c r="F223" s="57" t="s">
        <v>25</v>
      </c>
      <c r="G223" s="57" t="s">
        <v>69</v>
      </c>
      <c r="H223" s="57" t="s">
        <v>25</v>
      </c>
      <c r="I223" s="82">
        <v>44287</v>
      </c>
      <c r="J223" s="83">
        <f ca="1">EFEITO!$J$223*EFEITO!$Y$223</f>
        <v>576919.04285798827</v>
      </c>
      <c r="K223" s="83">
        <f>EFEITO!$L$223*EFEITO!$Z$223</f>
        <v>0</v>
      </c>
      <c r="L223" s="83">
        <f>EFEITO!$N$223*EFEITO!$AA$223</f>
        <v>0</v>
      </c>
      <c r="M223" s="83">
        <f ca="1">$J$223-EFEITO!$K$223*EFEITO!$Y$223</f>
        <v>0</v>
      </c>
      <c r="N223" s="83">
        <f>$K$223-EFEITO!$M$223*EFEITO!$Z$223</f>
        <v>0</v>
      </c>
      <c r="O223" s="83">
        <f>$L$223-EFEITO!$O$223*EFEITO!$AA$223</f>
        <v>0</v>
      </c>
      <c r="P223" s="61"/>
      <c r="Q223" s="61"/>
      <c r="R223" s="61"/>
      <c r="S223" s="61"/>
      <c r="T223" s="61"/>
      <c r="U223" s="61"/>
      <c r="V223" s="61"/>
      <c r="W223" s="61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spans="1:36" ht="11.25" customHeight="1" x14ac:dyDescent="0.2">
      <c r="A224" s="57" t="s">
        <v>21</v>
      </c>
      <c r="B224" s="57" t="s">
        <v>43</v>
      </c>
      <c r="C224" s="57" t="s">
        <v>63</v>
      </c>
      <c r="D224" s="57" t="s">
        <v>25</v>
      </c>
      <c r="E224" s="57" t="s">
        <v>25</v>
      </c>
      <c r="F224" s="57" t="s">
        <v>25</v>
      </c>
      <c r="G224" s="57" t="s">
        <v>64</v>
      </c>
      <c r="H224" s="57" t="s">
        <v>25</v>
      </c>
      <c r="I224" s="82">
        <v>44317</v>
      </c>
      <c r="J224" s="83">
        <f ca="1">EFEITO!$J$224*EFEITO!$Y$224</f>
        <v>1442297.6071449707</v>
      </c>
      <c r="K224" s="83">
        <f>EFEITO!$L$224*EFEITO!$Z$224</f>
        <v>0</v>
      </c>
      <c r="L224" s="83">
        <f>EFEITO!$N$224*EFEITO!$AA$224</f>
        <v>0</v>
      </c>
      <c r="M224" s="83">
        <f ca="1">$J$224-EFEITO!$K$224*EFEITO!$Y$224</f>
        <v>0</v>
      </c>
      <c r="N224" s="83">
        <f>$K$224-EFEITO!$M$224*EFEITO!$Z$224</f>
        <v>0</v>
      </c>
      <c r="O224" s="83">
        <f>$L$224-EFEITO!$O$224*EFEITO!$AA$224</f>
        <v>0</v>
      </c>
      <c r="P224" s="61"/>
      <c r="Q224" s="61"/>
      <c r="R224" s="61"/>
      <c r="S224" s="61"/>
      <c r="T224" s="61"/>
      <c r="U224" s="61"/>
      <c r="V224" s="61"/>
      <c r="W224" s="61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spans="1:36" ht="11.25" customHeight="1" x14ac:dyDescent="0.2">
      <c r="A225" s="57" t="s">
        <v>21</v>
      </c>
      <c r="B225" s="57" t="s">
        <v>43</v>
      </c>
      <c r="C225" s="57" t="s">
        <v>63</v>
      </c>
      <c r="D225" s="57" t="s">
        <v>25</v>
      </c>
      <c r="E225" s="57" t="s">
        <v>25</v>
      </c>
      <c r="F225" s="57" t="s">
        <v>25</v>
      </c>
      <c r="G225" s="57" t="s">
        <v>66</v>
      </c>
      <c r="H225" s="57" t="s">
        <v>25</v>
      </c>
      <c r="I225" s="82">
        <v>44317</v>
      </c>
      <c r="J225" s="83">
        <f ca="1">EFEITO!$J$225*EFEITO!$Y$225</f>
        <v>549446.70748379838</v>
      </c>
      <c r="K225" s="83">
        <f>EFEITO!$L$225*EFEITO!$Z$225</f>
        <v>0</v>
      </c>
      <c r="L225" s="83">
        <f>EFEITO!$N$225*EFEITO!$AA$225</f>
        <v>0</v>
      </c>
      <c r="M225" s="83">
        <f ca="1">$J$225-EFEITO!$K$225*EFEITO!$Y$225</f>
        <v>0</v>
      </c>
      <c r="N225" s="83">
        <f>$K$225-EFEITO!$M$225*EFEITO!$Z$225</f>
        <v>0</v>
      </c>
      <c r="O225" s="83">
        <f>$L$225-EFEITO!$O$225*EFEITO!$AA$225</f>
        <v>0</v>
      </c>
      <c r="P225" s="61"/>
      <c r="Q225" s="61"/>
      <c r="R225" s="61"/>
      <c r="S225" s="61"/>
      <c r="T225" s="61"/>
      <c r="U225" s="61"/>
      <c r="V225" s="61"/>
      <c r="W225" s="61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spans="1:36" ht="11.25" customHeight="1" x14ac:dyDescent="0.2">
      <c r="A226" s="57" t="s">
        <v>21</v>
      </c>
      <c r="B226" s="57" t="s">
        <v>43</v>
      </c>
      <c r="C226" s="57" t="s">
        <v>63</v>
      </c>
      <c r="D226" s="57" t="s">
        <v>25</v>
      </c>
      <c r="E226" s="57" t="s">
        <v>25</v>
      </c>
      <c r="F226" s="57" t="s">
        <v>25</v>
      </c>
      <c r="G226" s="57" t="s">
        <v>67</v>
      </c>
      <c r="H226" s="57" t="s">
        <v>25</v>
      </c>
      <c r="I226" s="82">
        <v>44317</v>
      </c>
      <c r="J226" s="83">
        <f ca="1">EFEITO!$J$226*EFEITO!$Y$226</f>
        <v>549446.70748379838</v>
      </c>
      <c r="K226" s="83">
        <f>EFEITO!$L$226*EFEITO!$Z$226</f>
        <v>0</v>
      </c>
      <c r="L226" s="83">
        <f>EFEITO!$N$226*EFEITO!$AA$226</f>
        <v>0</v>
      </c>
      <c r="M226" s="83">
        <f ca="1">$J$226-EFEITO!$K$226*EFEITO!$Y$226</f>
        <v>0</v>
      </c>
      <c r="N226" s="83">
        <f>$K$226-EFEITO!$M$226*EFEITO!$Z$226</f>
        <v>0</v>
      </c>
      <c r="O226" s="83">
        <f>$L$226-EFEITO!$O$226*EFEITO!$AA$226</f>
        <v>0</v>
      </c>
      <c r="P226" s="61"/>
      <c r="Q226" s="61"/>
      <c r="R226" s="61"/>
      <c r="S226" s="61"/>
      <c r="T226" s="61"/>
      <c r="U226" s="61"/>
      <c r="V226" s="61"/>
      <c r="W226" s="61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spans="1:36" ht="11.25" customHeight="1" x14ac:dyDescent="0.2">
      <c r="A227" s="57" t="s">
        <v>21</v>
      </c>
      <c r="B227" s="57" t="s">
        <v>43</v>
      </c>
      <c r="C227" s="57" t="s">
        <v>63</v>
      </c>
      <c r="D227" s="57" t="s">
        <v>25</v>
      </c>
      <c r="E227" s="57" t="s">
        <v>25</v>
      </c>
      <c r="F227" s="57" t="s">
        <v>25</v>
      </c>
      <c r="G227" s="57" t="s">
        <v>68</v>
      </c>
      <c r="H227" s="57" t="s">
        <v>25</v>
      </c>
      <c r="I227" s="82">
        <v>44317</v>
      </c>
      <c r="J227" s="83">
        <f ca="1">EFEITO!$J$227*EFEITO!$Y$227</f>
        <v>549446.70748379838</v>
      </c>
      <c r="K227" s="83">
        <f>EFEITO!$L$227*EFEITO!$Z$227</f>
        <v>0</v>
      </c>
      <c r="L227" s="83">
        <f>EFEITO!$N$227*EFEITO!$AA$227</f>
        <v>0</v>
      </c>
      <c r="M227" s="83">
        <f ca="1">$J$227-EFEITO!$K$227*EFEITO!$Y$227</f>
        <v>0</v>
      </c>
      <c r="N227" s="83">
        <f>$K$227-EFEITO!$M$227*EFEITO!$Z$227</f>
        <v>0</v>
      </c>
      <c r="O227" s="83">
        <f>$L$227-EFEITO!$O$227*EFEITO!$AA$227</f>
        <v>0</v>
      </c>
      <c r="P227" s="61"/>
      <c r="Q227" s="61"/>
      <c r="R227" s="61"/>
      <c r="S227" s="61"/>
      <c r="T227" s="61"/>
      <c r="U227" s="61"/>
      <c r="V227" s="61"/>
      <c r="W227" s="61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spans="1:36" ht="11.25" customHeight="1" x14ac:dyDescent="0.2">
      <c r="A228" s="57" t="s">
        <v>21</v>
      </c>
      <c r="B228" s="57" t="s">
        <v>43</v>
      </c>
      <c r="C228" s="57" t="s">
        <v>63</v>
      </c>
      <c r="D228" s="57" t="s">
        <v>25</v>
      </c>
      <c r="E228" s="57" t="s">
        <v>25</v>
      </c>
      <c r="F228" s="57" t="s">
        <v>25</v>
      </c>
      <c r="G228" s="57" t="s">
        <v>69</v>
      </c>
      <c r="H228" s="57" t="s">
        <v>25</v>
      </c>
      <c r="I228" s="82">
        <v>44317</v>
      </c>
      <c r="J228" s="83">
        <f ca="1">EFEITO!$J$228*EFEITO!$Y$228</f>
        <v>576919.04285798827</v>
      </c>
      <c r="K228" s="83">
        <f>EFEITO!$L$228*EFEITO!$Z$228</f>
        <v>0</v>
      </c>
      <c r="L228" s="83">
        <f>EFEITO!$N$228*EFEITO!$AA$228</f>
        <v>0</v>
      </c>
      <c r="M228" s="83">
        <f ca="1">$J$228-EFEITO!$K$228*EFEITO!$Y$228</f>
        <v>0</v>
      </c>
      <c r="N228" s="83">
        <f>$K$228-EFEITO!$M$228*EFEITO!$Z$228</f>
        <v>0</v>
      </c>
      <c r="O228" s="83">
        <f>$L$228-EFEITO!$O$228*EFEITO!$AA$228</f>
        <v>0</v>
      </c>
      <c r="P228" s="61"/>
      <c r="Q228" s="61"/>
      <c r="R228" s="61"/>
      <c r="S228" s="61"/>
      <c r="T228" s="61"/>
      <c r="U228" s="61"/>
      <c r="V228" s="61"/>
      <c r="W228" s="61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spans="1:36" ht="11.25" customHeight="1" x14ac:dyDescent="0.2">
      <c r="A229" s="57" t="s">
        <v>21</v>
      </c>
      <c r="B229" s="57" t="s">
        <v>43</v>
      </c>
      <c r="C229" s="57" t="s">
        <v>63</v>
      </c>
      <c r="D229" s="57" t="s">
        <v>25</v>
      </c>
      <c r="E229" s="57" t="s">
        <v>25</v>
      </c>
      <c r="F229" s="57" t="s">
        <v>25</v>
      </c>
      <c r="G229" s="57" t="s">
        <v>64</v>
      </c>
      <c r="H229" s="57" t="s">
        <v>25</v>
      </c>
      <c r="I229" s="82">
        <v>44348</v>
      </c>
      <c r="J229" s="83">
        <f ca="1">EFEITO!$J$229*EFEITO!$Y$229</f>
        <v>1442297.6071449707</v>
      </c>
      <c r="K229" s="83">
        <f>EFEITO!$L$229*EFEITO!$Z$229</f>
        <v>0</v>
      </c>
      <c r="L229" s="83">
        <f>EFEITO!$N$229*EFEITO!$AA$229</f>
        <v>0</v>
      </c>
      <c r="M229" s="83">
        <f ca="1">$J$229-EFEITO!$K$229*EFEITO!$Y$229</f>
        <v>0</v>
      </c>
      <c r="N229" s="83">
        <f>$K$229-EFEITO!$M$229*EFEITO!$Z$229</f>
        <v>0</v>
      </c>
      <c r="O229" s="83">
        <f>$L$229-EFEITO!$O$229*EFEITO!$AA$229</f>
        <v>0</v>
      </c>
      <c r="P229" s="61"/>
      <c r="Q229" s="61"/>
      <c r="R229" s="61"/>
      <c r="S229" s="61"/>
      <c r="T229" s="61"/>
      <c r="U229" s="61"/>
      <c r="V229" s="61"/>
      <c r="W229" s="61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spans="1:36" ht="11.25" customHeight="1" x14ac:dyDescent="0.2">
      <c r="A230" s="57" t="s">
        <v>21</v>
      </c>
      <c r="B230" s="57" t="s">
        <v>43</v>
      </c>
      <c r="C230" s="57" t="s">
        <v>63</v>
      </c>
      <c r="D230" s="57" t="s">
        <v>25</v>
      </c>
      <c r="E230" s="57" t="s">
        <v>25</v>
      </c>
      <c r="F230" s="57" t="s">
        <v>25</v>
      </c>
      <c r="G230" s="57" t="s">
        <v>66</v>
      </c>
      <c r="H230" s="57" t="s">
        <v>25</v>
      </c>
      <c r="I230" s="82">
        <v>44348</v>
      </c>
      <c r="J230" s="83">
        <f ca="1">EFEITO!$J$230*EFEITO!$Y$230</f>
        <v>549446.70748379838</v>
      </c>
      <c r="K230" s="83">
        <f>EFEITO!$L$230*EFEITO!$Z$230</f>
        <v>0</v>
      </c>
      <c r="L230" s="83">
        <f>EFEITO!$N$230*EFEITO!$AA$230</f>
        <v>0</v>
      </c>
      <c r="M230" s="83">
        <f ca="1">$J$230-EFEITO!$K$230*EFEITO!$Y$230</f>
        <v>0</v>
      </c>
      <c r="N230" s="83">
        <f>$K$230-EFEITO!$M$230*EFEITO!$Z$230</f>
        <v>0</v>
      </c>
      <c r="O230" s="83">
        <f>$L$230-EFEITO!$O$230*EFEITO!$AA$230</f>
        <v>0</v>
      </c>
      <c r="P230" s="61"/>
      <c r="Q230" s="61"/>
      <c r="R230" s="61"/>
      <c r="S230" s="61"/>
      <c r="T230" s="61"/>
      <c r="U230" s="61"/>
      <c r="V230" s="61"/>
      <c r="W230" s="61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spans="1:36" ht="11.25" customHeight="1" x14ac:dyDescent="0.2">
      <c r="A231" s="57" t="s">
        <v>21</v>
      </c>
      <c r="B231" s="57" t="s">
        <v>43</v>
      </c>
      <c r="C231" s="57" t="s">
        <v>63</v>
      </c>
      <c r="D231" s="57" t="s">
        <v>25</v>
      </c>
      <c r="E231" s="57" t="s">
        <v>25</v>
      </c>
      <c r="F231" s="57" t="s">
        <v>25</v>
      </c>
      <c r="G231" s="57" t="s">
        <v>67</v>
      </c>
      <c r="H231" s="57" t="s">
        <v>25</v>
      </c>
      <c r="I231" s="82">
        <v>44348</v>
      </c>
      <c r="J231" s="83">
        <f ca="1">EFEITO!$J$231*EFEITO!$Y$231</f>
        <v>549446.70748379838</v>
      </c>
      <c r="K231" s="83">
        <f>EFEITO!$L$231*EFEITO!$Z$231</f>
        <v>0</v>
      </c>
      <c r="L231" s="83">
        <f>EFEITO!$N$231*EFEITO!$AA$231</f>
        <v>0</v>
      </c>
      <c r="M231" s="83">
        <f ca="1">$J$231-EFEITO!$K$231*EFEITO!$Y$231</f>
        <v>0</v>
      </c>
      <c r="N231" s="83">
        <f>$K$231-EFEITO!$M$231*EFEITO!$Z$231</f>
        <v>0</v>
      </c>
      <c r="O231" s="83">
        <f>$L$231-EFEITO!$O$231*EFEITO!$AA$231</f>
        <v>0</v>
      </c>
      <c r="P231" s="61"/>
      <c r="Q231" s="61"/>
      <c r="R231" s="61"/>
      <c r="S231" s="61"/>
      <c r="T231" s="61"/>
      <c r="U231" s="61"/>
      <c r="V231" s="61"/>
      <c r="W231" s="61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spans="1:36" ht="11.25" customHeight="1" x14ac:dyDescent="0.2">
      <c r="A232" s="57" t="s">
        <v>21</v>
      </c>
      <c r="B232" s="57" t="s">
        <v>43</v>
      </c>
      <c r="C232" s="57" t="s">
        <v>63</v>
      </c>
      <c r="D232" s="57" t="s">
        <v>25</v>
      </c>
      <c r="E232" s="57" t="s">
        <v>25</v>
      </c>
      <c r="F232" s="57" t="s">
        <v>25</v>
      </c>
      <c r="G232" s="57" t="s">
        <v>68</v>
      </c>
      <c r="H232" s="57" t="s">
        <v>25</v>
      </c>
      <c r="I232" s="82">
        <v>44348</v>
      </c>
      <c r="J232" s="83">
        <f ca="1">EFEITO!$J$232*EFEITO!$Y$232</f>
        <v>549446.70748379838</v>
      </c>
      <c r="K232" s="83">
        <f>EFEITO!$L$232*EFEITO!$Z$232</f>
        <v>0</v>
      </c>
      <c r="L232" s="83">
        <f>EFEITO!$N$232*EFEITO!$AA$232</f>
        <v>0</v>
      </c>
      <c r="M232" s="83">
        <f ca="1">$J$232-EFEITO!$K$232*EFEITO!$Y$232</f>
        <v>0</v>
      </c>
      <c r="N232" s="83">
        <f>$K$232-EFEITO!$M$232*EFEITO!$Z$232</f>
        <v>0</v>
      </c>
      <c r="O232" s="83">
        <f>$L$232-EFEITO!$O$232*EFEITO!$AA$232</f>
        <v>0</v>
      </c>
      <c r="P232" s="61"/>
      <c r="Q232" s="61"/>
      <c r="R232" s="61"/>
      <c r="S232" s="61"/>
      <c r="T232" s="61"/>
      <c r="U232" s="61"/>
      <c r="V232" s="61"/>
      <c r="W232" s="61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spans="1:36" ht="11.25" customHeight="1" x14ac:dyDescent="0.2">
      <c r="A233" s="57" t="s">
        <v>21</v>
      </c>
      <c r="B233" s="57" t="s">
        <v>43</v>
      </c>
      <c r="C233" s="57" t="s">
        <v>63</v>
      </c>
      <c r="D233" s="57" t="s">
        <v>25</v>
      </c>
      <c r="E233" s="57" t="s">
        <v>25</v>
      </c>
      <c r="F233" s="57" t="s">
        <v>25</v>
      </c>
      <c r="G233" s="57" t="s">
        <v>69</v>
      </c>
      <c r="H233" s="57" t="s">
        <v>25</v>
      </c>
      <c r="I233" s="82">
        <v>44348</v>
      </c>
      <c r="J233" s="83">
        <f ca="1">EFEITO!$J$233*EFEITO!$Y$233</f>
        <v>576919.04285798827</v>
      </c>
      <c r="K233" s="83">
        <f>EFEITO!$L$233*EFEITO!$Z$233</f>
        <v>0</v>
      </c>
      <c r="L233" s="83">
        <f>EFEITO!$N$233*EFEITO!$AA$233</f>
        <v>0</v>
      </c>
      <c r="M233" s="83">
        <f ca="1">$J$233-EFEITO!$K$233*EFEITO!$Y$233</f>
        <v>0</v>
      </c>
      <c r="N233" s="83">
        <f>$K$233-EFEITO!$M$233*EFEITO!$Z$233</f>
        <v>0</v>
      </c>
      <c r="O233" s="83">
        <f>$L$233-EFEITO!$O$233*EFEITO!$AA$233</f>
        <v>0</v>
      </c>
      <c r="P233" s="61"/>
      <c r="Q233" s="61"/>
      <c r="R233" s="61"/>
      <c r="S233" s="61"/>
      <c r="T233" s="61"/>
      <c r="U233" s="61"/>
      <c r="V233" s="61"/>
      <c r="W233" s="61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spans="1:36" ht="11.25" customHeight="1" x14ac:dyDescent="0.2">
      <c r="A234" s="57" t="s">
        <v>21</v>
      </c>
      <c r="B234" s="57" t="s">
        <v>43</v>
      </c>
      <c r="C234" s="57" t="s">
        <v>63</v>
      </c>
      <c r="D234" s="57" t="s">
        <v>25</v>
      </c>
      <c r="E234" s="57" t="s">
        <v>25</v>
      </c>
      <c r="F234" s="57" t="s">
        <v>25</v>
      </c>
      <c r="G234" s="57" t="s">
        <v>64</v>
      </c>
      <c r="H234" s="57" t="s">
        <v>25</v>
      </c>
      <c r="I234" s="82">
        <v>44378</v>
      </c>
      <c r="J234" s="83">
        <f ca="1">EFEITO!$J$234*EFEITO!$Y$234</f>
        <v>1442297.6071449707</v>
      </c>
      <c r="K234" s="83">
        <f>EFEITO!$L$234*EFEITO!$Z$234</f>
        <v>0</v>
      </c>
      <c r="L234" s="83">
        <f>EFEITO!$N$234*EFEITO!$AA$234</f>
        <v>0</v>
      </c>
      <c r="M234" s="83">
        <f ca="1">$J$234-EFEITO!$K$234*EFEITO!$Y$234</f>
        <v>0</v>
      </c>
      <c r="N234" s="83">
        <f>$K$234-EFEITO!$M$234*EFEITO!$Z$234</f>
        <v>0</v>
      </c>
      <c r="O234" s="83">
        <f>$L$234-EFEITO!$O$234*EFEITO!$AA$234</f>
        <v>0</v>
      </c>
      <c r="P234" s="61"/>
      <c r="Q234" s="61"/>
      <c r="R234" s="61"/>
      <c r="S234" s="61"/>
      <c r="T234" s="61"/>
      <c r="U234" s="61"/>
      <c r="V234" s="61"/>
      <c r="W234" s="61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spans="1:36" ht="11.25" customHeight="1" x14ac:dyDescent="0.2">
      <c r="A235" s="57" t="s">
        <v>21</v>
      </c>
      <c r="B235" s="57" t="s">
        <v>43</v>
      </c>
      <c r="C235" s="57" t="s">
        <v>63</v>
      </c>
      <c r="D235" s="57" t="s">
        <v>25</v>
      </c>
      <c r="E235" s="57" t="s">
        <v>25</v>
      </c>
      <c r="F235" s="57" t="s">
        <v>25</v>
      </c>
      <c r="G235" s="57" t="s">
        <v>66</v>
      </c>
      <c r="H235" s="57" t="s">
        <v>25</v>
      </c>
      <c r="I235" s="82">
        <v>44378</v>
      </c>
      <c r="J235" s="83">
        <f ca="1">EFEITO!$J$235*EFEITO!$Y$235</f>
        <v>549446.70748379838</v>
      </c>
      <c r="K235" s="83">
        <f>EFEITO!$L$235*EFEITO!$Z$235</f>
        <v>0</v>
      </c>
      <c r="L235" s="83">
        <f>EFEITO!$N$235*EFEITO!$AA$235</f>
        <v>0</v>
      </c>
      <c r="M235" s="83">
        <f ca="1">$J$235-EFEITO!$K$235*EFEITO!$Y$235</f>
        <v>0</v>
      </c>
      <c r="N235" s="83">
        <f>$K$235-EFEITO!$M$235*EFEITO!$Z$235</f>
        <v>0</v>
      </c>
      <c r="O235" s="83">
        <f>$L$235-EFEITO!$O$235*EFEITO!$AA$235</f>
        <v>0</v>
      </c>
      <c r="P235" s="61"/>
      <c r="Q235" s="61"/>
      <c r="R235" s="61"/>
      <c r="S235" s="61"/>
      <c r="T235" s="61"/>
      <c r="U235" s="61"/>
      <c r="V235" s="61"/>
      <c r="W235" s="61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spans="1:36" ht="11.25" customHeight="1" x14ac:dyDescent="0.2">
      <c r="A236" s="57" t="s">
        <v>21</v>
      </c>
      <c r="B236" s="57" t="s">
        <v>43</v>
      </c>
      <c r="C236" s="57" t="s">
        <v>63</v>
      </c>
      <c r="D236" s="57" t="s">
        <v>25</v>
      </c>
      <c r="E236" s="57" t="s">
        <v>25</v>
      </c>
      <c r="F236" s="57" t="s">
        <v>25</v>
      </c>
      <c r="G236" s="57" t="s">
        <v>67</v>
      </c>
      <c r="H236" s="57" t="s">
        <v>25</v>
      </c>
      <c r="I236" s="82">
        <v>44378</v>
      </c>
      <c r="J236" s="83">
        <f ca="1">EFEITO!$J$236*EFEITO!$Y$236</f>
        <v>549446.70748379838</v>
      </c>
      <c r="K236" s="83">
        <f>EFEITO!$L$236*EFEITO!$Z$236</f>
        <v>0</v>
      </c>
      <c r="L236" s="83">
        <f>EFEITO!$N$236*EFEITO!$AA$236</f>
        <v>0</v>
      </c>
      <c r="M236" s="83">
        <f ca="1">$J$236-EFEITO!$K$236*EFEITO!$Y$236</f>
        <v>0</v>
      </c>
      <c r="N236" s="83">
        <f>$K$236-EFEITO!$M$236*EFEITO!$Z$236</f>
        <v>0</v>
      </c>
      <c r="O236" s="83">
        <f>$L$236-EFEITO!$O$236*EFEITO!$AA$236</f>
        <v>0</v>
      </c>
      <c r="P236" s="61"/>
      <c r="Q236" s="61"/>
      <c r="R236" s="61"/>
      <c r="S236" s="61"/>
      <c r="T236" s="61"/>
      <c r="U236" s="61"/>
      <c r="V236" s="61"/>
      <c r="W236" s="61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spans="1:36" ht="11.25" customHeight="1" x14ac:dyDescent="0.2">
      <c r="A237" s="57" t="s">
        <v>21</v>
      </c>
      <c r="B237" s="57" t="s">
        <v>43</v>
      </c>
      <c r="C237" s="57" t="s">
        <v>63</v>
      </c>
      <c r="D237" s="57" t="s">
        <v>25</v>
      </c>
      <c r="E237" s="57" t="s">
        <v>25</v>
      </c>
      <c r="F237" s="57" t="s">
        <v>25</v>
      </c>
      <c r="G237" s="57" t="s">
        <v>68</v>
      </c>
      <c r="H237" s="57" t="s">
        <v>25</v>
      </c>
      <c r="I237" s="82">
        <v>44378</v>
      </c>
      <c r="J237" s="83">
        <f ca="1">EFEITO!$J$237*EFEITO!$Y$237</f>
        <v>549446.70748379838</v>
      </c>
      <c r="K237" s="83">
        <f>EFEITO!$L$237*EFEITO!$Z$237</f>
        <v>0</v>
      </c>
      <c r="L237" s="83">
        <f>EFEITO!$N$237*EFEITO!$AA$237</f>
        <v>0</v>
      </c>
      <c r="M237" s="83">
        <f ca="1">$J$237-EFEITO!$K$237*EFEITO!$Y$237</f>
        <v>0</v>
      </c>
      <c r="N237" s="83">
        <f>$K$237-EFEITO!$M$237*EFEITO!$Z$237</f>
        <v>0</v>
      </c>
      <c r="O237" s="83">
        <f>$L$237-EFEITO!$O$237*EFEITO!$AA$237</f>
        <v>0</v>
      </c>
      <c r="P237" s="61"/>
      <c r="Q237" s="61"/>
      <c r="R237" s="61"/>
      <c r="S237" s="61"/>
      <c r="T237" s="61"/>
      <c r="U237" s="61"/>
      <c r="V237" s="61"/>
      <c r="W237" s="61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spans="1:36" ht="11.25" customHeight="1" x14ac:dyDescent="0.2">
      <c r="A238" s="57" t="s">
        <v>21</v>
      </c>
      <c r="B238" s="57" t="s">
        <v>43</v>
      </c>
      <c r="C238" s="57" t="s">
        <v>63</v>
      </c>
      <c r="D238" s="57" t="s">
        <v>25</v>
      </c>
      <c r="E238" s="57" t="s">
        <v>25</v>
      </c>
      <c r="F238" s="57" t="s">
        <v>25</v>
      </c>
      <c r="G238" s="57" t="s">
        <v>69</v>
      </c>
      <c r="H238" s="57" t="s">
        <v>25</v>
      </c>
      <c r="I238" s="82">
        <v>44378</v>
      </c>
      <c r="J238" s="83">
        <f ca="1">EFEITO!$J$238*EFEITO!$Y$238</f>
        <v>580893.37404212111</v>
      </c>
      <c r="K238" s="83">
        <f>EFEITO!$L$238*EFEITO!$Z$238</f>
        <v>0</v>
      </c>
      <c r="L238" s="83">
        <f>EFEITO!$N$238*EFEITO!$AA$238</f>
        <v>0</v>
      </c>
      <c r="M238" s="83">
        <f ca="1">$J$238-EFEITO!$K$238*EFEITO!$Y$238</f>
        <v>0</v>
      </c>
      <c r="N238" s="83">
        <f>$K$238-EFEITO!$M$238*EFEITO!$Z$238</f>
        <v>0</v>
      </c>
      <c r="O238" s="83">
        <f>$L$238-EFEITO!$O$238*EFEITO!$AA$238</f>
        <v>0</v>
      </c>
      <c r="P238" s="61"/>
      <c r="Q238" s="61"/>
      <c r="R238" s="61"/>
      <c r="S238" s="61"/>
      <c r="T238" s="61"/>
      <c r="U238" s="61"/>
      <c r="V238" s="61"/>
      <c r="W238" s="61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spans="1:36" ht="11.25" customHeight="1" x14ac:dyDescent="0.2">
      <c r="A239" s="57" t="s">
        <v>21</v>
      </c>
      <c r="B239" s="57" t="s">
        <v>43</v>
      </c>
      <c r="C239" s="57" t="s">
        <v>63</v>
      </c>
      <c r="D239" s="57" t="s">
        <v>25</v>
      </c>
      <c r="E239" s="57" t="s">
        <v>25</v>
      </c>
      <c r="F239" s="57" t="s">
        <v>25</v>
      </c>
      <c r="G239" s="57" t="s">
        <v>64</v>
      </c>
      <c r="H239" s="57" t="s">
        <v>25</v>
      </c>
      <c r="I239" s="82">
        <v>44409</v>
      </c>
      <c r="J239" s="83">
        <f ca="1">EFEITO!$J$239*EFEITO!$Y$239</f>
        <v>1442297.6071449707</v>
      </c>
      <c r="K239" s="83">
        <f>EFEITO!$L$239*EFEITO!$Z$239</f>
        <v>0</v>
      </c>
      <c r="L239" s="83">
        <f>EFEITO!$N$239*EFEITO!$AA$239</f>
        <v>0</v>
      </c>
      <c r="M239" s="83">
        <f ca="1">$J$239-EFEITO!$K$239*EFEITO!$Y$239</f>
        <v>0</v>
      </c>
      <c r="N239" s="83">
        <f>$K$239-EFEITO!$M$239*EFEITO!$Z$239</f>
        <v>0</v>
      </c>
      <c r="O239" s="83">
        <f>$L$239-EFEITO!$O$239*EFEITO!$AA$239</f>
        <v>0</v>
      </c>
      <c r="P239" s="61"/>
      <c r="Q239" s="61"/>
      <c r="R239" s="61"/>
      <c r="S239" s="61"/>
      <c r="T239" s="61"/>
      <c r="U239" s="61"/>
      <c r="V239" s="61"/>
      <c r="W239" s="61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spans="1:36" ht="11.25" customHeight="1" x14ac:dyDescent="0.2">
      <c r="A240" s="57" t="s">
        <v>21</v>
      </c>
      <c r="B240" s="57" t="s">
        <v>43</v>
      </c>
      <c r="C240" s="57" t="s">
        <v>63</v>
      </c>
      <c r="D240" s="57" t="s">
        <v>25</v>
      </c>
      <c r="E240" s="57" t="s">
        <v>25</v>
      </c>
      <c r="F240" s="57" t="s">
        <v>25</v>
      </c>
      <c r="G240" s="57" t="s">
        <v>66</v>
      </c>
      <c r="H240" s="57" t="s">
        <v>25</v>
      </c>
      <c r="I240" s="82">
        <v>44409</v>
      </c>
      <c r="J240" s="83">
        <f ca="1">EFEITO!$J$240*EFEITO!$Y$240</f>
        <v>549446.70748379838</v>
      </c>
      <c r="K240" s="83">
        <f>EFEITO!$L$240*EFEITO!$Z$240</f>
        <v>0</v>
      </c>
      <c r="L240" s="83">
        <f>EFEITO!$N$240*EFEITO!$AA$240</f>
        <v>0</v>
      </c>
      <c r="M240" s="83">
        <f ca="1">$J$240-EFEITO!$K$240*EFEITO!$Y$240</f>
        <v>0</v>
      </c>
      <c r="N240" s="83">
        <f>$K$240-EFEITO!$M$240*EFEITO!$Z$240</f>
        <v>0</v>
      </c>
      <c r="O240" s="83">
        <f>$L$240-EFEITO!$O$240*EFEITO!$AA$240</f>
        <v>0</v>
      </c>
      <c r="P240" s="61"/>
      <c r="Q240" s="61"/>
      <c r="R240" s="61"/>
      <c r="S240" s="61"/>
      <c r="T240" s="61"/>
      <c r="U240" s="61"/>
      <c r="V240" s="61"/>
      <c r="W240" s="61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spans="1:36" ht="11.25" customHeight="1" x14ac:dyDescent="0.2">
      <c r="A241" s="57" t="s">
        <v>21</v>
      </c>
      <c r="B241" s="57" t="s">
        <v>43</v>
      </c>
      <c r="C241" s="57" t="s">
        <v>63</v>
      </c>
      <c r="D241" s="57" t="s">
        <v>25</v>
      </c>
      <c r="E241" s="57" t="s">
        <v>25</v>
      </c>
      <c r="F241" s="57" t="s">
        <v>25</v>
      </c>
      <c r="G241" s="57" t="s">
        <v>67</v>
      </c>
      <c r="H241" s="57" t="s">
        <v>25</v>
      </c>
      <c r="I241" s="82">
        <v>44409</v>
      </c>
      <c r="J241" s="83">
        <f ca="1">EFEITO!$J$241*EFEITO!$Y$241</f>
        <v>549446.70748379838</v>
      </c>
      <c r="K241" s="83">
        <f>EFEITO!$L$241*EFEITO!$Z$241</f>
        <v>0</v>
      </c>
      <c r="L241" s="83">
        <f>EFEITO!$N$241*EFEITO!$AA$241</f>
        <v>0</v>
      </c>
      <c r="M241" s="83">
        <f ca="1">$J$241-EFEITO!$K$241*EFEITO!$Y$241</f>
        <v>0</v>
      </c>
      <c r="N241" s="83">
        <f>$K$241-EFEITO!$M$241*EFEITO!$Z$241</f>
        <v>0</v>
      </c>
      <c r="O241" s="83">
        <f>$L$241-EFEITO!$O$241*EFEITO!$AA$241</f>
        <v>0</v>
      </c>
      <c r="P241" s="61"/>
      <c r="Q241" s="61"/>
      <c r="R241" s="61"/>
      <c r="S241" s="61"/>
      <c r="T241" s="61"/>
      <c r="U241" s="61"/>
      <c r="V241" s="61"/>
      <c r="W241" s="61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spans="1:36" ht="11.25" customHeight="1" x14ac:dyDescent="0.2">
      <c r="A242" s="57" t="s">
        <v>21</v>
      </c>
      <c r="B242" s="57" t="s">
        <v>43</v>
      </c>
      <c r="C242" s="57" t="s">
        <v>63</v>
      </c>
      <c r="D242" s="57" t="s">
        <v>25</v>
      </c>
      <c r="E242" s="57" t="s">
        <v>25</v>
      </c>
      <c r="F242" s="57" t="s">
        <v>25</v>
      </c>
      <c r="G242" s="57" t="s">
        <v>68</v>
      </c>
      <c r="H242" s="57" t="s">
        <v>25</v>
      </c>
      <c r="I242" s="82">
        <v>44409</v>
      </c>
      <c r="J242" s="83">
        <f ca="1">EFEITO!$J$242*EFEITO!$Y$242</f>
        <v>549446.70748379838</v>
      </c>
      <c r="K242" s="83">
        <f>EFEITO!$L$242*EFEITO!$Z$242</f>
        <v>0</v>
      </c>
      <c r="L242" s="83">
        <f>EFEITO!$N$242*EFEITO!$AA$242</f>
        <v>0</v>
      </c>
      <c r="M242" s="83">
        <f ca="1">$J$242-EFEITO!$K$242*EFEITO!$Y$242</f>
        <v>0</v>
      </c>
      <c r="N242" s="83">
        <f>$K$242-EFEITO!$M$242*EFEITO!$Z$242</f>
        <v>0</v>
      </c>
      <c r="O242" s="83">
        <f>$L$242-EFEITO!$O$242*EFEITO!$AA$242</f>
        <v>0</v>
      </c>
      <c r="P242" s="61"/>
      <c r="Q242" s="61"/>
      <c r="R242" s="61"/>
      <c r="S242" s="61"/>
      <c r="T242" s="61"/>
      <c r="U242" s="61"/>
      <c r="V242" s="61"/>
      <c r="W242" s="61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spans="1:36" ht="11.25" customHeight="1" x14ac:dyDescent="0.2">
      <c r="A243" s="57" t="s">
        <v>21</v>
      </c>
      <c r="B243" s="57" t="s">
        <v>43</v>
      </c>
      <c r="C243" s="57" t="s">
        <v>63</v>
      </c>
      <c r="D243" s="57" t="s">
        <v>25</v>
      </c>
      <c r="E243" s="57" t="s">
        <v>25</v>
      </c>
      <c r="F243" s="57" t="s">
        <v>25</v>
      </c>
      <c r="G243" s="57" t="s">
        <v>69</v>
      </c>
      <c r="H243" s="57" t="s">
        <v>25</v>
      </c>
      <c r="I243" s="82">
        <v>44409</v>
      </c>
      <c r="J243" s="83">
        <f ca="1">EFEITO!$J$243*EFEITO!$Y$243</f>
        <v>580893.37404212111</v>
      </c>
      <c r="K243" s="83">
        <f>EFEITO!$L$243*EFEITO!$Z$243</f>
        <v>0</v>
      </c>
      <c r="L243" s="83">
        <f>EFEITO!$N$243*EFEITO!$AA$243</f>
        <v>0</v>
      </c>
      <c r="M243" s="83">
        <f ca="1">$J$243-EFEITO!$K$243*EFEITO!$Y$243</f>
        <v>0</v>
      </c>
      <c r="N243" s="83">
        <f>$K$243-EFEITO!$M$243*EFEITO!$Z$243</f>
        <v>0</v>
      </c>
      <c r="O243" s="83">
        <f>$L$243-EFEITO!$O$243*EFEITO!$AA$243</f>
        <v>0</v>
      </c>
      <c r="P243" s="61"/>
      <c r="Q243" s="61"/>
      <c r="R243" s="61"/>
      <c r="S243" s="61"/>
      <c r="T243" s="61"/>
      <c r="U243" s="61"/>
      <c r="V243" s="61"/>
      <c r="W243" s="61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spans="1:36" ht="11.25" customHeight="1" x14ac:dyDescent="0.2">
      <c r="A244" s="57" t="s">
        <v>21</v>
      </c>
      <c r="B244" s="57" t="s">
        <v>43</v>
      </c>
      <c r="C244" s="57" t="s">
        <v>63</v>
      </c>
      <c r="D244" s="57" t="s">
        <v>25</v>
      </c>
      <c r="E244" s="57" t="s">
        <v>25</v>
      </c>
      <c r="F244" s="57" t="s">
        <v>25</v>
      </c>
      <c r="G244" s="57" t="s">
        <v>64</v>
      </c>
      <c r="H244" s="57" t="s">
        <v>25</v>
      </c>
      <c r="I244" s="82">
        <v>44440</v>
      </c>
      <c r="J244" s="83">
        <f ca="1">EFEITO!$J$244*EFEITO!$Y$244</f>
        <v>1442297.6071449707</v>
      </c>
      <c r="K244" s="83">
        <f>EFEITO!$L$244*EFEITO!$Z$244</f>
        <v>0</v>
      </c>
      <c r="L244" s="83">
        <f>EFEITO!$N$244*EFEITO!$AA$244</f>
        <v>0</v>
      </c>
      <c r="M244" s="83">
        <f ca="1">$J$244-EFEITO!$K$244*EFEITO!$Y$244</f>
        <v>0</v>
      </c>
      <c r="N244" s="83">
        <f>$K$244-EFEITO!$M$244*EFEITO!$Z$244</f>
        <v>0</v>
      </c>
      <c r="O244" s="83">
        <f>$L$244-EFEITO!$O$244*EFEITO!$AA$244</f>
        <v>0</v>
      </c>
      <c r="P244" s="61"/>
      <c r="Q244" s="61"/>
      <c r="R244" s="61"/>
      <c r="S244" s="61"/>
      <c r="T244" s="61"/>
      <c r="U244" s="61"/>
      <c r="V244" s="61"/>
      <c r="W244" s="61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spans="1:36" ht="11.25" customHeight="1" x14ac:dyDescent="0.2">
      <c r="A245" s="57" t="s">
        <v>21</v>
      </c>
      <c r="B245" s="57" t="s">
        <v>43</v>
      </c>
      <c r="C245" s="57" t="s">
        <v>63</v>
      </c>
      <c r="D245" s="57" t="s">
        <v>25</v>
      </c>
      <c r="E245" s="57" t="s">
        <v>25</v>
      </c>
      <c r="F245" s="57" t="s">
        <v>25</v>
      </c>
      <c r="G245" s="57" t="s">
        <v>66</v>
      </c>
      <c r="H245" s="57" t="s">
        <v>25</v>
      </c>
      <c r="I245" s="82">
        <v>44440</v>
      </c>
      <c r="J245" s="83">
        <f ca="1">EFEITO!$J$245*EFEITO!$Y$245</f>
        <v>549446.70748379838</v>
      </c>
      <c r="K245" s="83">
        <f>EFEITO!$L$245*EFEITO!$Z$245</f>
        <v>0</v>
      </c>
      <c r="L245" s="83">
        <f>EFEITO!$N$245*EFEITO!$AA$245</f>
        <v>0</v>
      </c>
      <c r="M245" s="83">
        <f ca="1">$J$245-EFEITO!$K$245*EFEITO!$Y$245</f>
        <v>0</v>
      </c>
      <c r="N245" s="83">
        <f>$K$245-EFEITO!$M$245*EFEITO!$Z$245</f>
        <v>0</v>
      </c>
      <c r="O245" s="83">
        <f>$L$245-EFEITO!$O$245*EFEITO!$AA$245</f>
        <v>0</v>
      </c>
      <c r="P245" s="61"/>
      <c r="Q245" s="61"/>
      <c r="R245" s="61"/>
      <c r="S245" s="61"/>
      <c r="T245" s="61"/>
      <c r="U245" s="61"/>
      <c r="V245" s="61"/>
      <c r="W245" s="61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spans="1:36" ht="11.25" customHeight="1" x14ac:dyDescent="0.2">
      <c r="A246" s="57" t="s">
        <v>21</v>
      </c>
      <c r="B246" s="57" t="s">
        <v>43</v>
      </c>
      <c r="C246" s="57" t="s">
        <v>63</v>
      </c>
      <c r="D246" s="57" t="s">
        <v>25</v>
      </c>
      <c r="E246" s="57" t="s">
        <v>25</v>
      </c>
      <c r="F246" s="57" t="s">
        <v>25</v>
      </c>
      <c r="G246" s="57" t="s">
        <v>67</v>
      </c>
      <c r="H246" s="57" t="s">
        <v>25</v>
      </c>
      <c r="I246" s="82">
        <v>44440</v>
      </c>
      <c r="J246" s="83">
        <f ca="1">EFEITO!$J$246*EFEITO!$Y$246</f>
        <v>549446.70748379838</v>
      </c>
      <c r="K246" s="83">
        <f>EFEITO!$L$246*EFEITO!$Z$246</f>
        <v>0</v>
      </c>
      <c r="L246" s="83">
        <f>EFEITO!$N$246*EFEITO!$AA$246</f>
        <v>0</v>
      </c>
      <c r="M246" s="83">
        <f ca="1">$J$246-EFEITO!$K$246*EFEITO!$Y$246</f>
        <v>0</v>
      </c>
      <c r="N246" s="83">
        <f>$K$246-EFEITO!$M$246*EFEITO!$Z$246</f>
        <v>0</v>
      </c>
      <c r="O246" s="83">
        <f>$L$246-EFEITO!$O$246*EFEITO!$AA$246</f>
        <v>0</v>
      </c>
      <c r="P246" s="61"/>
      <c r="Q246" s="61"/>
      <c r="R246" s="61"/>
      <c r="S246" s="61"/>
      <c r="T246" s="61"/>
      <c r="U246" s="61"/>
      <c r="V246" s="61"/>
      <c r="W246" s="61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spans="1:36" ht="11.25" customHeight="1" x14ac:dyDescent="0.2">
      <c r="A247" s="57" t="s">
        <v>21</v>
      </c>
      <c r="B247" s="57" t="s">
        <v>43</v>
      </c>
      <c r="C247" s="57" t="s">
        <v>63</v>
      </c>
      <c r="D247" s="57" t="s">
        <v>25</v>
      </c>
      <c r="E247" s="57" t="s">
        <v>25</v>
      </c>
      <c r="F247" s="57" t="s">
        <v>25</v>
      </c>
      <c r="G247" s="57" t="s">
        <v>68</v>
      </c>
      <c r="H247" s="57" t="s">
        <v>25</v>
      </c>
      <c r="I247" s="82">
        <v>44440</v>
      </c>
      <c r="J247" s="83">
        <f ca="1">EFEITO!$J$247*EFEITO!$Y$247</f>
        <v>549446.70748379838</v>
      </c>
      <c r="K247" s="83">
        <f>EFEITO!$L$247*EFEITO!$Z$247</f>
        <v>0</v>
      </c>
      <c r="L247" s="83">
        <f>EFEITO!$N$247*EFEITO!$AA$247</f>
        <v>0</v>
      </c>
      <c r="M247" s="83">
        <f ca="1">$J$247-EFEITO!$K$247*EFEITO!$Y$247</f>
        <v>0</v>
      </c>
      <c r="N247" s="83">
        <f>$K$247-EFEITO!$M$247*EFEITO!$Z$247</f>
        <v>0</v>
      </c>
      <c r="O247" s="83">
        <f>$L$247-EFEITO!$O$247*EFEITO!$AA$247</f>
        <v>0</v>
      </c>
      <c r="P247" s="61"/>
      <c r="Q247" s="61"/>
      <c r="R247" s="61"/>
      <c r="S247" s="61"/>
      <c r="T247" s="61"/>
      <c r="U247" s="61"/>
      <c r="V247" s="61"/>
      <c r="W247" s="61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spans="1:36" ht="11.25" customHeight="1" x14ac:dyDescent="0.2">
      <c r="A248" s="57" t="s">
        <v>21</v>
      </c>
      <c r="B248" s="57" t="s">
        <v>43</v>
      </c>
      <c r="C248" s="57" t="s">
        <v>63</v>
      </c>
      <c r="D248" s="57" t="s">
        <v>25</v>
      </c>
      <c r="E248" s="57" t="s">
        <v>25</v>
      </c>
      <c r="F248" s="57" t="s">
        <v>25</v>
      </c>
      <c r="G248" s="57" t="s">
        <v>69</v>
      </c>
      <c r="H248" s="57" t="s">
        <v>25</v>
      </c>
      <c r="I248" s="82">
        <v>44440</v>
      </c>
      <c r="J248" s="83">
        <f ca="1">EFEITO!$J$248*EFEITO!$Y$248</f>
        <v>580893.37404212111</v>
      </c>
      <c r="K248" s="83">
        <f>EFEITO!$L$248*EFEITO!$Z$248</f>
        <v>0</v>
      </c>
      <c r="L248" s="83">
        <f>EFEITO!$N$248*EFEITO!$AA$248</f>
        <v>0</v>
      </c>
      <c r="M248" s="83">
        <f ca="1">$J$248-EFEITO!$K$248*EFEITO!$Y$248</f>
        <v>0</v>
      </c>
      <c r="N248" s="83">
        <f>$K$248-EFEITO!$M$248*EFEITO!$Z$248</f>
        <v>0</v>
      </c>
      <c r="O248" s="83">
        <f>$L$248-EFEITO!$O$248*EFEITO!$AA$248</f>
        <v>0</v>
      </c>
      <c r="P248" s="61"/>
      <c r="Q248" s="61"/>
      <c r="R248" s="61"/>
      <c r="S248" s="61"/>
      <c r="T248" s="61"/>
      <c r="U248" s="61"/>
      <c r="V248" s="61"/>
      <c r="W248" s="61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spans="1:36" ht="11.25" customHeight="1" x14ac:dyDescent="0.2">
      <c r="A249" s="57" t="s">
        <v>59</v>
      </c>
      <c r="B249" s="57" t="s">
        <v>43</v>
      </c>
      <c r="C249" s="57" t="s">
        <v>63</v>
      </c>
      <c r="D249" s="57" t="s">
        <v>25</v>
      </c>
      <c r="E249" s="57" t="s">
        <v>25</v>
      </c>
      <c r="F249" s="57" t="s">
        <v>25</v>
      </c>
      <c r="G249" s="57" t="s">
        <v>64</v>
      </c>
      <c r="H249" s="57" t="s">
        <v>25</v>
      </c>
      <c r="I249" s="82">
        <v>44470</v>
      </c>
      <c r="J249" s="83">
        <f ca="1">EFEITO!$J$249*EFEITO!$Y$249</f>
        <v>1442297.6071449707</v>
      </c>
      <c r="K249" s="83">
        <f>EFEITO!$L$249*EFEITO!$Z$249</f>
        <v>0</v>
      </c>
      <c r="L249" s="83">
        <f>EFEITO!$N$249*EFEITO!$AA$249</f>
        <v>0</v>
      </c>
      <c r="M249" s="83">
        <f ca="1">$J$249-EFEITO!$K$249*EFEITO!$Y$249</f>
        <v>0</v>
      </c>
      <c r="N249" s="83">
        <f>$K$249-EFEITO!$M$249*EFEITO!$Z$249</f>
        <v>0</v>
      </c>
      <c r="O249" s="83">
        <f>$L$249-EFEITO!$O$249*EFEITO!$AA$249</f>
        <v>0</v>
      </c>
      <c r="P249" s="61"/>
      <c r="Q249" s="61"/>
      <c r="R249" s="61"/>
      <c r="S249" s="61"/>
      <c r="T249" s="61"/>
      <c r="U249" s="61"/>
      <c r="V249" s="61"/>
      <c r="W249" s="61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spans="1:36" ht="11.25" customHeight="1" x14ac:dyDescent="0.2">
      <c r="A250" s="57" t="s">
        <v>59</v>
      </c>
      <c r="B250" s="57" t="s">
        <v>43</v>
      </c>
      <c r="C250" s="57" t="s">
        <v>63</v>
      </c>
      <c r="D250" s="57" t="s">
        <v>25</v>
      </c>
      <c r="E250" s="57" t="s">
        <v>25</v>
      </c>
      <c r="F250" s="57" t="s">
        <v>25</v>
      </c>
      <c r="G250" s="57" t="s">
        <v>66</v>
      </c>
      <c r="H250" s="57" t="s">
        <v>25</v>
      </c>
      <c r="I250" s="82">
        <v>44470</v>
      </c>
      <c r="J250" s="83">
        <f ca="1">EFEITO!$J$250*EFEITO!$Y$250</f>
        <v>549446.70748379838</v>
      </c>
      <c r="K250" s="83">
        <f>EFEITO!$L$250*EFEITO!$Z$250</f>
        <v>0</v>
      </c>
      <c r="L250" s="83">
        <f>EFEITO!$N$250*EFEITO!$AA$250</f>
        <v>0</v>
      </c>
      <c r="M250" s="83">
        <f ca="1">$J$250-EFEITO!$K$250*EFEITO!$Y$250</f>
        <v>0</v>
      </c>
      <c r="N250" s="83">
        <f>$K$250-EFEITO!$M$250*EFEITO!$Z$250</f>
        <v>0</v>
      </c>
      <c r="O250" s="83">
        <f>$L$250-EFEITO!$O$250*EFEITO!$AA$250</f>
        <v>0</v>
      </c>
      <c r="P250" s="61"/>
      <c r="Q250" s="61"/>
      <c r="R250" s="61"/>
      <c r="S250" s="61"/>
      <c r="T250" s="61"/>
      <c r="U250" s="61"/>
      <c r="V250" s="61"/>
      <c r="W250" s="61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spans="1:36" ht="11.25" customHeight="1" x14ac:dyDescent="0.2">
      <c r="A251" s="57" t="s">
        <v>59</v>
      </c>
      <c r="B251" s="57" t="s">
        <v>43</v>
      </c>
      <c r="C251" s="57" t="s">
        <v>63</v>
      </c>
      <c r="D251" s="57" t="s">
        <v>25</v>
      </c>
      <c r="E251" s="57" t="s">
        <v>25</v>
      </c>
      <c r="F251" s="57" t="s">
        <v>25</v>
      </c>
      <c r="G251" s="57" t="s">
        <v>67</v>
      </c>
      <c r="H251" s="57" t="s">
        <v>25</v>
      </c>
      <c r="I251" s="82">
        <v>44470</v>
      </c>
      <c r="J251" s="83">
        <f ca="1">EFEITO!$J$251*EFEITO!$Y$251</f>
        <v>549446.70748379838</v>
      </c>
      <c r="K251" s="83">
        <f>EFEITO!$L$251*EFEITO!$Z$251</f>
        <v>0</v>
      </c>
      <c r="L251" s="83">
        <f>EFEITO!$N$251*EFEITO!$AA$251</f>
        <v>0</v>
      </c>
      <c r="M251" s="83">
        <f ca="1">$J$251-EFEITO!$K$251*EFEITO!$Y$251</f>
        <v>0</v>
      </c>
      <c r="N251" s="83">
        <f>$K$251-EFEITO!$M$251*EFEITO!$Z$251</f>
        <v>0</v>
      </c>
      <c r="O251" s="83">
        <f>$L$251-EFEITO!$O$251*EFEITO!$AA$251</f>
        <v>0</v>
      </c>
      <c r="P251" s="61"/>
      <c r="Q251" s="61"/>
      <c r="R251" s="61"/>
      <c r="S251" s="61"/>
      <c r="T251" s="61"/>
      <c r="U251" s="61"/>
      <c r="V251" s="61"/>
      <c r="W251" s="61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spans="1:36" ht="11.25" customHeight="1" x14ac:dyDescent="0.2">
      <c r="A252" s="57" t="s">
        <v>59</v>
      </c>
      <c r="B252" s="57" t="s">
        <v>43</v>
      </c>
      <c r="C252" s="57" t="s">
        <v>63</v>
      </c>
      <c r="D252" s="57" t="s">
        <v>25</v>
      </c>
      <c r="E252" s="57" t="s">
        <v>25</v>
      </c>
      <c r="F252" s="57" t="s">
        <v>25</v>
      </c>
      <c r="G252" s="57" t="s">
        <v>68</v>
      </c>
      <c r="H252" s="57" t="s">
        <v>25</v>
      </c>
      <c r="I252" s="82">
        <v>44470</v>
      </c>
      <c r="J252" s="83">
        <f ca="1">EFEITO!$J$252*EFEITO!$Y$252</f>
        <v>549446.70748379838</v>
      </c>
      <c r="K252" s="83">
        <f>EFEITO!$L$252*EFEITO!$Z$252</f>
        <v>0</v>
      </c>
      <c r="L252" s="83">
        <f>EFEITO!$N$252*EFEITO!$AA$252</f>
        <v>0</v>
      </c>
      <c r="M252" s="83">
        <f ca="1">$J$252-EFEITO!$K$252*EFEITO!$Y$252</f>
        <v>0</v>
      </c>
      <c r="N252" s="83">
        <f>$K$252-EFEITO!$M$252*EFEITO!$Z$252</f>
        <v>0</v>
      </c>
      <c r="O252" s="83">
        <f>$L$252-EFEITO!$O$252*EFEITO!$AA$252</f>
        <v>0</v>
      </c>
      <c r="P252" s="61"/>
      <c r="Q252" s="61"/>
      <c r="R252" s="61"/>
      <c r="S252" s="61"/>
      <c r="T252" s="61"/>
      <c r="U252" s="61"/>
      <c r="V252" s="61"/>
      <c r="W252" s="61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spans="1:36" ht="11.25" customHeight="1" x14ac:dyDescent="0.2">
      <c r="A253" s="57" t="s">
        <v>59</v>
      </c>
      <c r="B253" s="57" t="s">
        <v>43</v>
      </c>
      <c r="C253" s="57" t="s">
        <v>63</v>
      </c>
      <c r="D253" s="57" t="s">
        <v>25</v>
      </c>
      <c r="E253" s="57" t="s">
        <v>25</v>
      </c>
      <c r="F253" s="57" t="s">
        <v>25</v>
      </c>
      <c r="G253" s="57" t="s">
        <v>69</v>
      </c>
      <c r="H253" s="57" t="s">
        <v>25</v>
      </c>
      <c r="I253" s="82">
        <v>44470</v>
      </c>
      <c r="J253" s="83">
        <f ca="1">EFEITO!$J$253*EFEITO!$Y$253</f>
        <v>580893.37404212111</v>
      </c>
      <c r="K253" s="83">
        <f>EFEITO!$L$253*EFEITO!$Z$253</f>
        <v>0</v>
      </c>
      <c r="L253" s="83">
        <f>EFEITO!$N$253*EFEITO!$AA$253</f>
        <v>0</v>
      </c>
      <c r="M253" s="83">
        <f ca="1">$J$253-EFEITO!$K$253*EFEITO!$Y$253</f>
        <v>0</v>
      </c>
      <c r="N253" s="83">
        <f>$K$253-EFEITO!$M$253*EFEITO!$Z$253</f>
        <v>0</v>
      </c>
      <c r="O253" s="83">
        <f>$L$253-EFEITO!$O$253*EFEITO!$AA$253</f>
        <v>0</v>
      </c>
      <c r="P253" s="61"/>
      <c r="Q253" s="61"/>
      <c r="R253" s="61"/>
      <c r="S253" s="61"/>
      <c r="T253" s="61"/>
      <c r="U253" s="61"/>
      <c r="V253" s="61"/>
      <c r="W253" s="61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spans="1:36" ht="11.25" customHeight="1" x14ac:dyDescent="0.2">
      <c r="A254" s="57" t="s">
        <v>21</v>
      </c>
      <c r="B254" s="57" t="s">
        <v>35</v>
      </c>
      <c r="C254" s="57" t="s">
        <v>44</v>
      </c>
      <c r="D254" s="57" t="s">
        <v>45</v>
      </c>
      <c r="E254" s="57" t="s">
        <v>25</v>
      </c>
      <c r="F254" s="57" t="s">
        <v>25</v>
      </c>
      <c r="G254" s="57" t="s">
        <v>25</v>
      </c>
      <c r="H254" s="57" t="s">
        <v>38</v>
      </c>
      <c r="I254" s="82">
        <v>44136</v>
      </c>
      <c r="J254" s="83">
        <f ca="1">EFEITO!$J$254*EFEITO!$Y$254</f>
        <v>557700.59093163337</v>
      </c>
      <c r="K254" s="83">
        <f ca="1">EFEITO!$L$254*EFEITO!$Z$254</f>
        <v>794141.21625427564</v>
      </c>
      <c r="L254" s="83">
        <f>EFEITO!$N$254*EFEITO!$AA$254</f>
        <v>1333285.0254284299</v>
      </c>
      <c r="M254" s="83">
        <f ca="1">$J$254-EFEITO!$K$254*EFEITO!$Y$254</f>
        <v>0</v>
      </c>
      <c r="N254" s="83">
        <f ca="1">$K$254-EFEITO!$M$254*EFEITO!$Z$254</f>
        <v>0</v>
      </c>
      <c r="O254" s="83">
        <f>$L$254-EFEITO!$O$254*EFEITO!$AA$254</f>
        <v>0</v>
      </c>
      <c r="P254" s="61"/>
      <c r="Q254" s="61"/>
      <c r="R254" s="61"/>
      <c r="S254" s="61"/>
      <c r="T254" s="61"/>
      <c r="U254" s="61"/>
      <c r="V254" s="61"/>
      <c r="W254" s="61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spans="1:36" ht="11.25" customHeight="1" x14ac:dyDescent="0.2">
      <c r="A255" s="57" t="s">
        <v>28</v>
      </c>
      <c r="B255" s="57" t="s">
        <v>35</v>
      </c>
      <c r="C255" s="57" t="s">
        <v>44</v>
      </c>
      <c r="D255" s="57" t="s">
        <v>45</v>
      </c>
      <c r="E255" s="57" t="s">
        <v>25</v>
      </c>
      <c r="F255" s="57" t="s">
        <v>25</v>
      </c>
      <c r="G255" s="57" t="s">
        <v>25</v>
      </c>
      <c r="H255" s="57" t="s">
        <v>38</v>
      </c>
      <c r="I255" s="82">
        <v>44136</v>
      </c>
      <c r="J255" s="83">
        <f ca="1">EFEITO!$J$255*EFEITO!$Y$255</f>
        <v>26662.085962894416</v>
      </c>
      <c r="K255" s="83">
        <f ca="1">EFEITO!$L$255*EFEITO!$Z$255</f>
        <v>22582.98377209419</v>
      </c>
      <c r="L255" s="83">
        <f>EFEITO!$N$255*EFEITO!$AA$255</f>
        <v>37914.609488277289</v>
      </c>
      <c r="M255" s="83">
        <f ca="1">$J$255-EFEITO!$K$255*EFEITO!$Y$255</f>
        <v>0</v>
      </c>
      <c r="N255" s="83">
        <f ca="1">$K$255-EFEITO!$M$255*EFEITO!$Z$255</f>
        <v>0</v>
      </c>
      <c r="O255" s="83">
        <f>$L$255-EFEITO!$O$255*EFEITO!$AA$255</f>
        <v>0</v>
      </c>
      <c r="P255" s="61"/>
      <c r="Q255" s="61"/>
      <c r="R255" s="61"/>
      <c r="S255" s="61"/>
      <c r="T255" s="61"/>
      <c r="U255" s="61"/>
      <c r="V255" s="61"/>
      <c r="W255" s="61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spans="1:36" ht="11.25" customHeight="1" x14ac:dyDescent="0.2">
      <c r="A256" s="57" t="s">
        <v>30</v>
      </c>
      <c r="B256" s="57" t="s">
        <v>35</v>
      </c>
      <c r="C256" s="57" t="s">
        <v>44</v>
      </c>
      <c r="D256" s="57" t="s">
        <v>45</v>
      </c>
      <c r="E256" s="57" t="s">
        <v>25</v>
      </c>
      <c r="F256" s="57" t="s">
        <v>25</v>
      </c>
      <c r="G256" s="57" t="s">
        <v>25</v>
      </c>
      <c r="H256" s="57" t="s">
        <v>38</v>
      </c>
      <c r="I256" s="82">
        <v>44136</v>
      </c>
      <c r="J256" s="83">
        <f ca="1">EFEITO!$J$256*EFEITO!$Y$256</f>
        <v>21074.223635341696</v>
      </c>
      <c r="K256" s="83">
        <f ca="1">EFEITO!$L$256*EFEITO!$Z$256</f>
        <v>19557.326010325174</v>
      </c>
      <c r="L256" s="83">
        <f>EFEITO!$N$256*EFEITO!$AA$256</f>
        <v>32834.827576358155</v>
      </c>
      <c r="M256" s="83">
        <f ca="1">$J$256-EFEITO!$K$256*EFEITO!$Y$256</f>
        <v>0</v>
      </c>
      <c r="N256" s="83">
        <f ca="1">$K$256-EFEITO!$M$256*EFEITO!$Z$256</f>
        <v>0</v>
      </c>
      <c r="O256" s="83">
        <f>$L$256-EFEITO!$O$256*EFEITO!$AA$256</f>
        <v>0</v>
      </c>
      <c r="P256" s="61"/>
      <c r="Q256" s="61"/>
      <c r="R256" s="61"/>
      <c r="S256" s="61"/>
      <c r="T256" s="61"/>
      <c r="U256" s="61"/>
      <c r="V256" s="61"/>
      <c r="W256" s="61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spans="1:36" ht="11.25" customHeight="1" x14ac:dyDescent="0.2">
      <c r="A257" s="57" t="s">
        <v>21</v>
      </c>
      <c r="B257" s="57" t="s">
        <v>35</v>
      </c>
      <c r="C257" s="57" t="s">
        <v>44</v>
      </c>
      <c r="D257" s="57" t="s">
        <v>45</v>
      </c>
      <c r="E257" s="57" t="s">
        <v>25</v>
      </c>
      <c r="F257" s="57" t="s">
        <v>25</v>
      </c>
      <c r="G257" s="57" t="s">
        <v>25</v>
      </c>
      <c r="H257" s="57" t="s">
        <v>38</v>
      </c>
      <c r="I257" s="82">
        <v>44166</v>
      </c>
      <c r="J257" s="83">
        <f ca="1">EFEITO!$J$257*EFEITO!$Y$257</f>
        <v>556199.85076366214</v>
      </c>
      <c r="K257" s="83">
        <f ca="1">EFEITO!$L$257*EFEITO!$Z$257</f>
        <v>780594.59404258814</v>
      </c>
      <c r="L257" s="83">
        <f>EFEITO!$N$257*EFEITO!$AA$257</f>
        <v>1310541.5785825783</v>
      </c>
      <c r="M257" s="83">
        <f ca="1">$J$257-EFEITO!$K$257*EFEITO!$Y$257</f>
        <v>0</v>
      </c>
      <c r="N257" s="83">
        <f ca="1">$K$257-EFEITO!$M$257*EFEITO!$Z$257</f>
        <v>0</v>
      </c>
      <c r="O257" s="83">
        <f>$L$257-EFEITO!$O$257*EFEITO!$AA$257</f>
        <v>0</v>
      </c>
      <c r="P257" s="61"/>
      <c r="Q257" s="61"/>
      <c r="R257" s="61"/>
      <c r="S257" s="61"/>
      <c r="T257" s="61"/>
      <c r="U257" s="61"/>
      <c r="V257" s="61"/>
      <c r="W257" s="61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spans="1:36" ht="11.25" customHeight="1" x14ac:dyDescent="0.2">
      <c r="A258" s="57" t="s">
        <v>28</v>
      </c>
      <c r="B258" s="57" t="s">
        <v>35</v>
      </c>
      <c r="C258" s="57" t="s">
        <v>44</v>
      </c>
      <c r="D258" s="57" t="s">
        <v>45</v>
      </c>
      <c r="E258" s="57" t="s">
        <v>25</v>
      </c>
      <c r="F258" s="57" t="s">
        <v>25</v>
      </c>
      <c r="G258" s="57" t="s">
        <v>25</v>
      </c>
      <c r="H258" s="57" t="s">
        <v>38</v>
      </c>
      <c r="I258" s="82">
        <v>44166</v>
      </c>
      <c r="J258" s="83">
        <f ca="1">EFEITO!$J$258*EFEITO!$Y$258</f>
        <v>29344.259880119724</v>
      </c>
      <c r="K258" s="83">
        <f ca="1">EFEITO!$L$258*EFEITO!$Z$258</f>
        <v>19500.87402757983</v>
      </c>
      <c r="L258" s="83">
        <f>EFEITO!$N$258*EFEITO!$AA$258</f>
        <v>32740.050247452953</v>
      </c>
      <c r="M258" s="83">
        <f ca="1">$J$258-EFEITO!$K$258*EFEITO!$Y$258</f>
        <v>0</v>
      </c>
      <c r="N258" s="83">
        <f ca="1">$K$258-EFEITO!$M$258*EFEITO!$Z$258</f>
        <v>0</v>
      </c>
      <c r="O258" s="83">
        <f>$L$258-EFEITO!$O$258*EFEITO!$AA$258</f>
        <v>0</v>
      </c>
      <c r="P258" s="61"/>
      <c r="Q258" s="61"/>
      <c r="R258" s="61"/>
      <c r="S258" s="61"/>
      <c r="T258" s="61"/>
      <c r="U258" s="61"/>
      <c r="V258" s="61"/>
      <c r="W258" s="61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spans="1:36" ht="11.25" customHeight="1" x14ac:dyDescent="0.2">
      <c r="A259" s="57" t="s">
        <v>30</v>
      </c>
      <c r="B259" s="57" t="s">
        <v>35</v>
      </c>
      <c r="C259" s="57" t="s">
        <v>44</v>
      </c>
      <c r="D259" s="57" t="s">
        <v>45</v>
      </c>
      <c r="E259" s="57" t="s">
        <v>25</v>
      </c>
      <c r="F259" s="57" t="s">
        <v>25</v>
      </c>
      <c r="G259" s="57" t="s">
        <v>25</v>
      </c>
      <c r="H259" s="57" t="s">
        <v>38</v>
      </c>
      <c r="I259" s="82">
        <v>44166</v>
      </c>
      <c r="J259" s="83">
        <f ca="1">EFEITO!$J$259*EFEITO!$Y$259</f>
        <v>17913.090090040441</v>
      </c>
      <c r="K259" s="83">
        <f ca="1">EFEITO!$L$259*EFEITO!$Z$259</f>
        <v>14772.051520714773</v>
      </c>
      <c r="L259" s="83">
        <f>EFEITO!$N$259*EFEITO!$AA$259</f>
        <v>24800.822176593876</v>
      </c>
      <c r="M259" s="83">
        <f ca="1">$J$259-EFEITO!$K$259*EFEITO!$Y$259</f>
        <v>0</v>
      </c>
      <c r="N259" s="83">
        <f ca="1">$K$259-EFEITO!$M$259*EFEITO!$Z$259</f>
        <v>0</v>
      </c>
      <c r="O259" s="83">
        <f>$L$259-EFEITO!$O$259*EFEITO!$AA$259</f>
        <v>0</v>
      </c>
      <c r="P259" s="61"/>
      <c r="Q259" s="61"/>
      <c r="R259" s="61"/>
      <c r="S259" s="61"/>
      <c r="T259" s="61"/>
      <c r="U259" s="61"/>
      <c r="V259" s="61"/>
      <c r="W259" s="61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spans="1:36" ht="11.25" customHeight="1" x14ac:dyDescent="0.2">
      <c r="A260" s="57" t="s">
        <v>21</v>
      </c>
      <c r="B260" s="57" t="s">
        <v>35</v>
      </c>
      <c r="C260" s="57" t="s">
        <v>44</v>
      </c>
      <c r="D260" s="57" t="s">
        <v>45</v>
      </c>
      <c r="E260" s="57" t="s">
        <v>25</v>
      </c>
      <c r="F260" s="57" t="s">
        <v>25</v>
      </c>
      <c r="G260" s="57" t="s">
        <v>25</v>
      </c>
      <c r="H260" s="57" t="s">
        <v>38</v>
      </c>
      <c r="I260" s="82">
        <v>44197</v>
      </c>
      <c r="J260" s="83">
        <f ca="1">EFEITO!$J$260*EFEITO!$Y$260</f>
        <v>552272.38181343931</v>
      </c>
      <c r="K260" s="83">
        <f ca="1">EFEITO!$L$260*EFEITO!$Z$260</f>
        <v>747776.27600192861</v>
      </c>
      <c r="L260" s="83">
        <f>EFEITO!$N$260*EFEITO!$AA$260</f>
        <v>1255442.8491528886</v>
      </c>
      <c r="M260" s="83">
        <f ca="1">$J$260-EFEITO!$K$260*EFEITO!$Y$260</f>
        <v>0</v>
      </c>
      <c r="N260" s="83">
        <f ca="1">$K$260-EFEITO!$M$260*EFEITO!$Z$260</f>
        <v>0</v>
      </c>
      <c r="O260" s="83">
        <f>$L$260-EFEITO!$O$260*EFEITO!$AA$260</f>
        <v>0</v>
      </c>
      <c r="P260" s="61"/>
      <c r="Q260" s="61"/>
      <c r="R260" s="61"/>
      <c r="S260" s="61"/>
      <c r="T260" s="61"/>
      <c r="U260" s="61"/>
      <c r="V260" s="61"/>
      <c r="W260" s="61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spans="1:36" ht="11.25" customHeight="1" x14ac:dyDescent="0.2">
      <c r="A261" s="57" t="s">
        <v>27</v>
      </c>
      <c r="B261" s="57" t="s">
        <v>35</v>
      </c>
      <c r="C261" s="57" t="s">
        <v>44</v>
      </c>
      <c r="D261" s="57" t="s">
        <v>45</v>
      </c>
      <c r="E261" s="57" t="s">
        <v>25</v>
      </c>
      <c r="F261" s="57" t="s">
        <v>25</v>
      </c>
      <c r="G261" s="57" t="s">
        <v>25</v>
      </c>
      <c r="H261" s="57" t="s">
        <v>38</v>
      </c>
      <c r="I261" s="82">
        <v>44197</v>
      </c>
      <c r="J261" s="83">
        <f ca="1">EFEITO!$J$261*EFEITO!$Y$261</f>
        <v>-223.51449310210887</v>
      </c>
      <c r="K261" s="83">
        <f ca="1">EFEITO!$L$261*EFEITO!$Z$261</f>
        <v>-12862.120856727581</v>
      </c>
      <c r="L261" s="83">
        <f>EFEITO!$N$261*EFEITO!$AA$261</f>
        <v>-21594.236368201149</v>
      </c>
      <c r="M261" s="83">
        <f ca="1">$J$261-EFEITO!$K$261*EFEITO!$Y$261</f>
        <v>0</v>
      </c>
      <c r="N261" s="83">
        <f ca="1">$K$261-EFEITO!$M$261*EFEITO!$Z$261</f>
        <v>0</v>
      </c>
      <c r="O261" s="83">
        <f>$L$261-EFEITO!$O$261*EFEITO!$AA$261</f>
        <v>0</v>
      </c>
      <c r="P261" s="61"/>
      <c r="Q261" s="61"/>
      <c r="R261" s="61"/>
      <c r="S261" s="61"/>
      <c r="T261" s="61"/>
      <c r="U261" s="61"/>
      <c r="V261" s="61"/>
      <c r="W261" s="61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spans="1:36" ht="11.25" customHeight="1" x14ac:dyDescent="0.2">
      <c r="A262" s="57" t="s">
        <v>28</v>
      </c>
      <c r="B262" s="57" t="s">
        <v>35</v>
      </c>
      <c r="C262" s="57" t="s">
        <v>44</v>
      </c>
      <c r="D262" s="57" t="s">
        <v>45</v>
      </c>
      <c r="E262" s="57" t="s">
        <v>25</v>
      </c>
      <c r="F262" s="57" t="s">
        <v>25</v>
      </c>
      <c r="G262" s="57" t="s">
        <v>25</v>
      </c>
      <c r="H262" s="57" t="s">
        <v>38</v>
      </c>
      <c r="I262" s="82">
        <v>44197</v>
      </c>
      <c r="J262" s="83">
        <f ca="1">EFEITO!$J$262*EFEITO!$Y$262</f>
        <v>32218.017648575409</v>
      </c>
      <c r="K262" s="83">
        <f ca="1">EFEITO!$L$262*EFEITO!$Z$262</f>
        <v>16761.689014070762</v>
      </c>
      <c r="L262" s="83">
        <f>EFEITO!$N$262*EFEITO!$AA$262</f>
        <v>28141.227915052757</v>
      </c>
      <c r="M262" s="83">
        <f ca="1">$J$262-EFEITO!$K$262*EFEITO!$Y$262</f>
        <v>0</v>
      </c>
      <c r="N262" s="83">
        <f ca="1">$K$262-EFEITO!$M$262*EFEITO!$Z$262</f>
        <v>0</v>
      </c>
      <c r="O262" s="83">
        <f>$L$262-EFEITO!$O$262*EFEITO!$AA$262</f>
        <v>0</v>
      </c>
      <c r="P262" s="61"/>
      <c r="Q262" s="61"/>
      <c r="R262" s="61"/>
      <c r="S262" s="61"/>
      <c r="T262" s="61"/>
      <c r="U262" s="61"/>
      <c r="V262" s="61"/>
      <c r="W262" s="61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spans="1:36" ht="11.25" customHeight="1" x14ac:dyDescent="0.2">
      <c r="A263" s="57" t="s">
        <v>30</v>
      </c>
      <c r="B263" s="57" t="s">
        <v>35</v>
      </c>
      <c r="C263" s="57" t="s">
        <v>44</v>
      </c>
      <c r="D263" s="57" t="s">
        <v>45</v>
      </c>
      <c r="E263" s="57" t="s">
        <v>25</v>
      </c>
      <c r="F263" s="57" t="s">
        <v>25</v>
      </c>
      <c r="G263" s="57" t="s">
        <v>25</v>
      </c>
      <c r="H263" s="57" t="s">
        <v>38</v>
      </c>
      <c r="I263" s="82">
        <v>44197</v>
      </c>
      <c r="J263" s="83">
        <f ca="1">EFEITO!$J$263*EFEITO!$Y$263</f>
        <v>17497.991745707954</v>
      </c>
      <c r="K263" s="83">
        <f ca="1">EFEITO!$L$263*EFEITO!$Z$263</f>
        <v>12493.413578378897</v>
      </c>
      <c r="L263" s="83">
        <f>EFEITO!$N$263*EFEITO!$AA$263</f>
        <v>20975.213097620304</v>
      </c>
      <c r="M263" s="83">
        <f ca="1">$J$263-EFEITO!$K$263*EFEITO!$Y$263</f>
        <v>0</v>
      </c>
      <c r="N263" s="83">
        <f ca="1">$K$263-EFEITO!$M$263*EFEITO!$Z$263</f>
        <v>0</v>
      </c>
      <c r="O263" s="83">
        <f>$L$263-EFEITO!$O$263*EFEITO!$AA$263</f>
        <v>0</v>
      </c>
      <c r="P263" s="61"/>
      <c r="Q263" s="61"/>
      <c r="R263" s="61"/>
      <c r="S263" s="61"/>
      <c r="T263" s="61"/>
      <c r="U263" s="61"/>
      <c r="V263" s="61"/>
      <c r="W263" s="61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spans="1:36" ht="11.25" customHeight="1" x14ac:dyDescent="0.2">
      <c r="A264" s="57" t="s">
        <v>21</v>
      </c>
      <c r="B264" s="57" t="s">
        <v>35</v>
      </c>
      <c r="C264" s="57" t="s">
        <v>44</v>
      </c>
      <c r="D264" s="57" t="s">
        <v>45</v>
      </c>
      <c r="E264" s="57" t="s">
        <v>25</v>
      </c>
      <c r="F264" s="57" t="s">
        <v>25</v>
      </c>
      <c r="G264" s="57" t="s">
        <v>25</v>
      </c>
      <c r="H264" s="57" t="s">
        <v>38</v>
      </c>
      <c r="I264" s="82">
        <v>44228</v>
      </c>
      <c r="J264" s="83">
        <f ca="1">EFEITO!$J$264*EFEITO!$Y$264</f>
        <v>527973.16334905289</v>
      </c>
      <c r="K264" s="83">
        <f ca="1">EFEITO!$L$264*EFEITO!$Z$264</f>
        <v>637024.22639082035</v>
      </c>
      <c r="L264" s="83">
        <f>EFEITO!$N$264*EFEITO!$AA$264</f>
        <v>1069501.0465368703</v>
      </c>
      <c r="M264" s="83">
        <f ca="1">$J$264-EFEITO!$K$264*EFEITO!$Y$264</f>
        <v>0</v>
      </c>
      <c r="N264" s="83">
        <f ca="1">$K$264-EFEITO!$M$264*EFEITO!$Z$264</f>
        <v>0</v>
      </c>
      <c r="O264" s="83">
        <f>$L$264-EFEITO!$O$264*EFEITO!$AA$264</f>
        <v>0</v>
      </c>
      <c r="P264" s="61"/>
      <c r="Q264" s="61"/>
      <c r="R264" s="61"/>
      <c r="S264" s="61"/>
      <c r="T264" s="61"/>
      <c r="U264" s="61"/>
      <c r="V264" s="61"/>
      <c r="W264" s="61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spans="1:36" ht="11.25" customHeight="1" x14ac:dyDescent="0.2">
      <c r="A265" s="57" t="s">
        <v>28</v>
      </c>
      <c r="B265" s="57" t="s">
        <v>35</v>
      </c>
      <c r="C265" s="57" t="s">
        <v>44</v>
      </c>
      <c r="D265" s="57" t="s">
        <v>45</v>
      </c>
      <c r="E265" s="57" t="s">
        <v>25</v>
      </c>
      <c r="F265" s="57" t="s">
        <v>25</v>
      </c>
      <c r="G265" s="57" t="s">
        <v>25</v>
      </c>
      <c r="H265" s="57" t="s">
        <v>38</v>
      </c>
      <c r="I265" s="82">
        <v>44228</v>
      </c>
      <c r="J265" s="83">
        <f ca="1">EFEITO!$J$265*EFEITO!$Y$265</f>
        <v>32218.017648575409</v>
      </c>
      <c r="K265" s="83">
        <f ca="1">EFEITO!$L$265*EFEITO!$Z$265</f>
        <v>13466.072815412079</v>
      </c>
      <c r="L265" s="83">
        <f>EFEITO!$N$265*EFEITO!$AA$265</f>
        <v>22608.212328786954</v>
      </c>
      <c r="M265" s="83">
        <f ca="1">$J$265-EFEITO!$K$265*EFEITO!$Y$265</f>
        <v>0</v>
      </c>
      <c r="N265" s="83">
        <f ca="1">$K$265-EFEITO!$M$265*EFEITO!$Z$265</f>
        <v>0</v>
      </c>
      <c r="O265" s="83">
        <f>$L$265-EFEITO!$O$265*EFEITO!$AA$265</f>
        <v>0</v>
      </c>
      <c r="P265" s="61"/>
      <c r="Q265" s="61"/>
      <c r="R265" s="61"/>
      <c r="S265" s="61"/>
      <c r="T265" s="61"/>
      <c r="U265" s="61"/>
      <c r="V265" s="61"/>
      <c r="W265" s="61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spans="1:36" ht="11.25" customHeight="1" x14ac:dyDescent="0.2">
      <c r="A266" s="57" t="s">
        <v>30</v>
      </c>
      <c r="B266" s="57" t="s">
        <v>35</v>
      </c>
      <c r="C266" s="57" t="s">
        <v>44</v>
      </c>
      <c r="D266" s="57" t="s">
        <v>45</v>
      </c>
      <c r="E266" s="57" t="s">
        <v>25</v>
      </c>
      <c r="F266" s="57" t="s">
        <v>25</v>
      </c>
      <c r="G266" s="57" t="s">
        <v>25</v>
      </c>
      <c r="H266" s="57" t="s">
        <v>38</v>
      </c>
      <c r="I266" s="82">
        <v>44228</v>
      </c>
      <c r="J266" s="83">
        <f ca="1">EFEITO!$J$266*EFEITO!$Y$266</f>
        <v>18296.257792501197</v>
      </c>
      <c r="K266" s="83">
        <f ca="1">EFEITO!$L$266*EFEITO!$Z$266</f>
        <v>11741.338357505874</v>
      </c>
      <c r="L266" s="83">
        <f>EFEITO!$N$266*EFEITO!$AA$266</f>
        <v>19712.552742683234</v>
      </c>
      <c r="M266" s="83">
        <f ca="1">$J$266-EFEITO!$K$266*EFEITO!$Y$266</f>
        <v>0</v>
      </c>
      <c r="N266" s="83">
        <f ca="1">$K$266-EFEITO!$M$266*EFEITO!$Z$266</f>
        <v>0</v>
      </c>
      <c r="O266" s="83">
        <f>$L$266-EFEITO!$O$266*EFEITO!$AA$266</f>
        <v>0</v>
      </c>
      <c r="P266" s="61"/>
      <c r="Q266" s="61"/>
      <c r="R266" s="61"/>
      <c r="S266" s="61"/>
      <c r="T266" s="61"/>
      <c r="U266" s="61"/>
      <c r="V266" s="61"/>
      <c r="W266" s="61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spans="1:36" ht="11.25" customHeight="1" x14ac:dyDescent="0.2">
      <c r="A267" s="57" t="s">
        <v>21</v>
      </c>
      <c r="B267" s="57" t="s">
        <v>35</v>
      </c>
      <c r="C267" s="57" t="s">
        <v>44</v>
      </c>
      <c r="D267" s="57" t="s">
        <v>45</v>
      </c>
      <c r="E267" s="57" t="s">
        <v>25</v>
      </c>
      <c r="F267" s="57" t="s">
        <v>25</v>
      </c>
      <c r="G267" s="57" t="s">
        <v>25</v>
      </c>
      <c r="H267" s="57" t="s">
        <v>38</v>
      </c>
      <c r="I267" s="82">
        <v>44256</v>
      </c>
      <c r="J267" s="83">
        <f ca="1">EFEITO!$J$267*EFEITO!$Y$267</f>
        <v>466698.26159720332</v>
      </c>
      <c r="K267" s="83">
        <f ca="1">EFEITO!$L$267*EFEITO!$Z$267</f>
        <v>677867.99421729147</v>
      </c>
      <c r="L267" s="83">
        <f>EFEITO!$N$267*EFEITO!$AA$267</f>
        <v>1138073.7171280831</v>
      </c>
      <c r="M267" s="83">
        <f ca="1">$J$267-EFEITO!$K$267*EFEITO!$Y$267</f>
        <v>0</v>
      </c>
      <c r="N267" s="83">
        <f ca="1">$K$267-EFEITO!$M$267*EFEITO!$Z$267</f>
        <v>0</v>
      </c>
      <c r="O267" s="83">
        <f>$L$267-EFEITO!$O$267*EFEITO!$AA$267</f>
        <v>0</v>
      </c>
      <c r="P267" s="61"/>
      <c r="Q267" s="61"/>
      <c r="R267" s="61"/>
      <c r="S267" s="61"/>
      <c r="T267" s="61"/>
      <c r="U267" s="61"/>
      <c r="V267" s="61"/>
      <c r="W267" s="61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spans="1:36" ht="11.25" customHeight="1" x14ac:dyDescent="0.2">
      <c r="A268" s="57" t="s">
        <v>27</v>
      </c>
      <c r="B268" s="57" t="s">
        <v>35</v>
      </c>
      <c r="C268" s="57" t="s">
        <v>44</v>
      </c>
      <c r="D268" s="57" t="s">
        <v>45</v>
      </c>
      <c r="E268" s="57" t="s">
        <v>25</v>
      </c>
      <c r="F268" s="57" t="s">
        <v>25</v>
      </c>
      <c r="G268" s="57" t="s">
        <v>25</v>
      </c>
      <c r="H268" s="57" t="s">
        <v>38</v>
      </c>
      <c r="I268" s="82">
        <v>44256</v>
      </c>
      <c r="J268" s="83">
        <f ca="1">EFEITO!$J$268*EFEITO!$Y$268</f>
        <v>-2777.965842840496</v>
      </c>
      <c r="K268" s="83">
        <f ca="1">EFEITO!$L$268*EFEITO!$Z$268</f>
        <v>0</v>
      </c>
      <c r="L268" s="83">
        <f>EFEITO!$N$268*EFEITO!$AA$268</f>
        <v>0</v>
      </c>
      <c r="M268" s="83">
        <f ca="1">$J$268-EFEITO!$K$268*EFEITO!$Y$268</f>
        <v>0</v>
      </c>
      <c r="N268" s="83">
        <f ca="1">$K$268-EFEITO!$M$268*EFEITO!$Z$268</f>
        <v>0</v>
      </c>
      <c r="O268" s="83">
        <f>$L$268-EFEITO!$O$268*EFEITO!$AA$268</f>
        <v>0</v>
      </c>
      <c r="P268" s="61"/>
      <c r="Q268" s="61"/>
      <c r="R268" s="61"/>
      <c r="S268" s="61"/>
      <c r="T268" s="61"/>
      <c r="U268" s="61"/>
      <c r="V268" s="61"/>
      <c r="W268" s="61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spans="1:36" ht="11.25" customHeight="1" x14ac:dyDescent="0.2">
      <c r="A269" s="57" t="s">
        <v>28</v>
      </c>
      <c r="B269" s="57" t="s">
        <v>35</v>
      </c>
      <c r="C269" s="57" t="s">
        <v>44</v>
      </c>
      <c r="D269" s="57" t="s">
        <v>45</v>
      </c>
      <c r="E269" s="57" t="s">
        <v>25</v>
      </c>
      <c r="F269" s="57" t="s">
        <v>25</v>
      </c>
      <c r="G269" s="57" t="s">
        <v>25</v>
      </c>
      <c r="H269" s="57" t="s">
        <v>38</v>
      </c>
      <c r="I269" s="82">
        <v>44256</v>
      </c>
      <c r="J269" s="83">
        <f ca="1">EFEITO!$J$269*EFEITO!$Y$269</f>
        <v>33207.867546599031</v>
      </c>
      <c r="K269" s="83">
        <f ca="1">EFEITO!$L$269*EFEITO!$Z$269</f>
        <v>15940.354793471362</v>
      </c>
      <c r="L269" s="83">
        <f>EFEITO!$N$269*EFEITO!$AA$269</f>
        <v>26762.288508831989</v>
      </c>
      <c r="M269" s="83">
        <f ca="1">$J$269-EFEITO!$K$269*EFEITO!$Y$269</f>
        <v>0</v>
      </c>
      <c r="N269" s="83">
        <f ca="1">$K$269-EFEITO!$M$269*EFEITO!$Z$269</f>
        <v>0</v>
      </c>
      <c r="O269" s="83">
        <f>$L$269-EFEITO!$O$269*EFEITO!$AA$269</f>
        <v>0</v>
      </c>
      <c r="P269" s="61"/>
      <c r="Q269" s="61"/>
      <c r="R269" s="61"/>
      <c r="S269" s="61"/>
      <c r="T269" s="61"/>
      <c r="U269" s="61"/>
      <c r="V269" s="61"/>
      <c r="W269" s="61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spans="1:36" ht="11.25" customHeight="1" x14ac:dyDescent="0.2">
      <c r="A270" s="57" t="s">
        <v>30</v>
      </c>
      <c r="B270" s="57" t="s">
        <v>35</v>
      </c>
      <c r="C270" s="57" t="s">
        <v>44</v>
      </c>
      <c r="D270" s="57" t="s">
        <v>45</v>
      </c>
      <c r="E270" s="57" t="s">
        <v>25</v>
      </c>
      <c r="F270" s="57" t="s">
        <v>25</v>
      </c>
      <c r="G270" s="57" t="s">
        <v>25</v>
      </c>
      <c r="H270" s="57" t="s">
        <v>38</v>
      </c>
      <c r="I270" s="82">
        <v>44256</v>
      </c>
      <c r="J270" s="83">
        <f ca="1">EFEITO!$J$270*EFEITO!$Y$270</f>
        <v>17976.951373783901</v>
      </c>
      <c r="K270" s="83">
        <f ca="1">EFEITO!$L$270*EFEITO!$Z$270</f>
        <v>13404.902457989514</v>
      </c>
      <c r="L270" s="83">
        <f>EFEITO!$N$270*EFEITO!$AA$270</f>
        <v>22505.513312689676</v>
      </c>
      <c r="M270" s="83">
        <f ca="1">$J$270-EFEITO!$K$270*EFEITO!$Y$270</f>
        <v>0</v>
      </c>
      <c r="N270" s="83">
        <f ca="1">$K$270-EFEITO!$M$270*EFEITO!$Z$270</f>
        <v>0</v>
      </c>
      <c r="O270" s="83">
        <f>$L$270-EFEITO!$O$270*EFEITO!$AA$270</f>
        <v>0</v>
      </c>
      <c r="P270" s="61"/>
      <c r="Q270" s="61"/>
      <c r="R270" s="61"/>
      <c r="S270" s="61"/>
      <c r="T270" s="61"/>
      <c r="U270" s="61"/>
      <c r="V270" s="61"/>
      <c r="W270" s="61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spans="1:36" ht="11.25" customHeight="1" x14ac:dyDescent="0.2">
      <c r="A271" s="57" t="s">
        <v>21</v>
      </c>
      <c r="B271" s="57" t="s">
        <v>35</v>
      </c>
      <c r="C271" s="57" t="s">
        <v>44</v>
      </c>
      <c r="D271" s="57" t="s">
        <v>45</v>
      </c>
      <c r="E271" s="57" t="s">
        <v>25</v>
      </c>
      <c r="F271" s="57" t="s">
        <v>25</v>
      </c>
      <c r="G271" s="57" t="s">
        <v>25</v>
      </c>
      <c r="H271" s="57" t="s">
        <v>38</v>
      </c>
      <c r="I271" s="82">
        <v>44287</v>
      </c>
      <c r="J271" s="83">
        <f ca="1">EFEITO!$J$271*EFEITO!$Y$271</f>
        <v>472988.59804593411</v>
      </c>
      <c r="K271" s="83">
        <f ca="1">EFEITO!$L$271*EFEITO!$Z$271</f>
        <v>699206.00112812431</v>
      </c>
      <c r="L271" s="83">
        <f>EFEITO!$N$271*EFEITO!$AA$271</f>
        <v>1173898.1328672511</v>
      </c>
      <c r="M271" s="83">
        <f ca="1">$J$271-EFEITO!$K$271*EFEITO!$Y$271</f>
        <v>0</v>
      </c>
      <c r="N271" s="83">
        <f ca="1">$K$271-EFEITO!$M$271*EFEITO!$Z$271</f>
        <v>0</v>
      </c>
      <c r="O271" s="83">
        <f>$L$271-EFEITO!$O$271*EFEITO!$AA$271</f>
        <v>0</v>
      </c>
      <c r="P271" s="61"/>
      <c r="Q271" s="61"/>
      <c r="R271" s="61"/>
      <c r="S271" s="61"/>
      <c r="T271" s="61"/>
      <c r="U271" s="61"/>
      <c r="V271" s="61"/>
      <c r="W271" s="61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spans="1:36" ht="11.25" customHeight="1" x14ac:dyDescent="0.2">
      <c r="A272" s="57" t="s">
        <v>28</v>
      </c>
      <c r="B272" s="57" t="s">
        <v>35</v>
      </c>
      <c r="C272" s="57" t="s">
        <v>44</v>
      </c>
      <c r="D272" s="57" t="s">
        <v>45</v>
      </c>
      <c r="E272" s="57" t="s">
        <v>25</v>
      </c>
      <c r="F272" s="57" t="s">
        <v>25</v>
      </c>
      <c r="G272" s="57" t="s">
        <v>25</v>
      </c>
      <c r="H272" s="57" t="s">
        <v>38</v>
      </c>
      <c r="I272" s="82">
        <v>44287</v>
      </c>
      <c r="J272" s="83">
        <f ca="1">EFEITO!$J$272*EFEITO!$Y$272</f>
        <v>32218.017648575409</v>
      </c>
      <c r="K272" s="83">
        <f ca="1">EFEITO!$L$272*EFEITO!$Z$272</f>
        <v>15858.962830289274</v>
      </c>
      <c r="L272" s="83">
        <f>EFEITO!$N$272*EFEITO!$AA$272</f>
        <v>26625.63940476867</v>
      </c>
      <c r="M272" s="83">
        <f ca="1">$J$272-EFEITO!$K$272*EFEITO!$Y$272</f>
        <v>0</v>
      </c>
      <c r="N272" s="83">
        <f ca="1">$K$272-EFEITO!$M$272*EFEITO!$Z$272</f>
        <v>0</v>
      </c>
      <c r="O272" s="83">
        <f>$L$272-EFEITO!$O$272*EFEITO!$AA$272</f>
        <v>0</v>
      </c>
      <c r="P272" s="61"/>
      <c r="Q272" s="61"/>
      <c r="R272" s="61"/>
      <c r="S272" s="61"/>
      <c r="T272" s="61"/>
      <c r="U272" s="61"/>
      <c r="V272" s="61"/>
      <c r="W272" s="61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spans="1:36" ht="11.25" customHeight="1" x14ac:dyDescent="0.2">
      <c r="A273" s="57" t="s">
        <v>30</v>
      </c>
      <c r="B273" s="57" t="s">
        <v>35</v>
      </c>
      <c r="C273" s="57" t="s">
        <v>44</v>
      </c>
      <c r="D273" s="57" t="s">
        <v>45</v>
      </c>
      <c r="E273" s="57" t="s">
        <v>25</v>
      </c>
      <c r="F273" s="57" t="s">
        <v>25</v>
      </c>
      <c r="G273" s="57" t="s">
        <v>25</v>
      </c>
      <c r="H273" s="57" t="s">
        <v>38</v>
      </c>
      <c r="I273" s="82">
        <v>44287</v>
      </c>
      <c r="J273" s="83">
        <f ca="1">EFEITO!$J$273*EFEITO!$Y$273</f>
        <v>17657.6449550666</v>
      </c>
      <c r="K273" s="83">
        <f ca="1">EFEITO!$L$273*EFEITO!$Z$273</f>
        <v>14972.245417734077</v>
      </c>
      <c r="L273" s="83">
        <f>EFEITO!$N$273*EFEITO!$AA$273</f>
        <v>25136.928047457699</v>
      </c>
      <c r="M273" s="83">
        <f ca="1">$J$273-EFEITO!$K$273*EFEITO!$Y$273</f>
        <v>0</v>
      </c>
      <c r="N273" s="83">
        <f ca="1">$K$273-EFEITO!$M$273*EFEITO!$Z$273</f>
        <v>0</v>
      </c>
      <c r="O273" s="83">
        <f>$L$273-EFEITO!$O$273*EFEITO!$AA$273</f>
        <v>0</v>
      </c>
      <c r="P273" s="61"/>
      <c r="Q273" s="61"/>
      <c r="R273" s="61"/>
      <c r="S273" s="61"/>
      <c r="T273" s="61"/>
      <c r="U273" s="61"/>
      <c r="V273" s="61"/>
      <c r="W273" s="61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spans="1:36" ht="11.25" customHeight="1" x14ac:dyDescent="0.2">
      <c r="A274" s="57" t="s">
        <v>21</v>
      </c>
      <c r="B274" s="57" t="s">
        <v>35</v>
      </c>
      <c r="C274" s="57" t="s">
        <v>44</v>
      </c>
      <c r="D274" s="57" t="s">
        <v>45</v>
      </c>
      <c r="E274" s="57" t="s">
        <v>25</v>
      </c>
      <c r="F274" s="57" t="s">
        <v>25</v>
      </c>
      <c r="G274" s="57" t="s">
        <v>25</v>
      </c>
      <c r="H274" s="57" t="s">
        <v>38</v>
      </c>
      <c r="I274" s="82">
        <v>44287</v>
      </c>
      <c r="J274" s="83">
        <f ca="1">EFEITO!$J$274*EFEITO!$Y$274</f>
        <v>44958.343755395617</v>
      </c>
      <c r="K274" s="83">
        <f ca="1">EFEITO!$L$274*EFEITO!$Z$274</f>
        <v>0</v>
      </c>
      <c r="L274" s="83">
        <f>EFEITO!$N$274*EFEITO!$AA$274</f>
        <v>0</v>
      </c>
      <c r="M274" s="83">
        <f ca="1">$J$274-EFEITO!$K$274*EFEITO!$Y$274</f>
        <v>0</v>
      </c>
      <c r="N274" s="83">
        <f ca="1">$K$274-EFEITO!$M$274*EFEITO!$Z$274</f>
        <v>0</v>
      </c>
      <c r="O274" s="83">
        <f>$L$274-EFEITO!$O$274*EFEITO!$AA$274</f>
        <v>0</v>
      </c>
      <c r="P274" s="61"/>
      <c r="Q274" s="61"/>
      <c r="R274" s="61"/>
      <c r="S274" s="61"/>
      <c r="T274" s="61"/>
      <c r="U274" s="61"/>
      <c r="V274" s="61"/>
      <c r="W274" s="61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spans="1:36" ht="11.25" customHeight="1" x14ac:dyDescent="0.2">
      <c r="A275" s="57" t="s">
        <v>21</v>
      </c>
      <c r="B275" s="57" t="s">
        <v>35</v>
      </c>
      <c r="C275" s="57" t="s">
        <v>44</v>
      </c>
      <c r="D275" s="57" t="s">
        <v>45</v>
      </c>
      <c r="E275" s="57" t="s">
        <v>25</v>
      </c>
      <c r="F275" s="57" t="s">
        <v>25</v>
      </c>
      <c r="G275" s="57" t="s">
        <v>25</v>
      </c>
      <c r="H275" s="57" t="s">
        <v>38</v>
      </c>
      <c r="I275" s="82">
        <v>44317</v>
      </c>
      <c r="J275" s="83">
        <f ca="1">EFEITO!$J$275*EFEITO!$Y$275</f>
        <v>460088.61872975528</v>
      </c>
      <c r="K275" s="83">
        <f ca="1">EFEITO!$L$275*EFEITO!$Z$275</f>
        <v>736489.24972048681</v>
      </c>
      <c r="L275" s="83">
        <f>EFEITO!$N$275*EFEITO!$AA$275</f>
        <v>1236493.0417198427</v>
      </c>
      <c r="M275" s="83">
        <f ca="1">$J$275-EFEITO!$K$275*EFEITO!$Y$275</f>
        <v>0</v>
      </c>
      <c r="N275" s="83">
        <f ca="1">$K$275-EFEITO!$M$275*EFEITO!$Z$275</f>
        <v>0</v>
      </c>
      <c r="O275" s="83">
        <f>$L$275-EFEITO!$O$275*EFEITO!$AA$275</f>
        <v>0</v>
      </c>
      <c r="P275" s="61"/>
      <c r="Q275" s="61"/>
      <c r="R275" s="61"/>
      <c r="S275" s="61"/>
      <c r="T275" s="61"/>
      <c r="U275" s="61"/>
      <c r="V275" s="61"/>
      <c r="W275" s="61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spans="1:36" ht="11.25" customHeight="1" x14ac:dyDescent="0.2">
      <c r="A276" s="57" t="s">
        <v>28</v>
      </c>
      <c r="B276" s="57" t="s">
        <v>35</v>
      </c>
      <c r="C276" s="57" t="s">
        <v>44</v>
      </c>
      <c r="D276" s="57" t="s">
        <v>45</v>
      </c>
      <c r="E276" s="57" t="s">
        <v>25</v>
      </c>
      <c r="F276" s="57" t="s">
        <v>25</v>
      </c>
      <c r="G276" s="57" t="s">
        <v>25</v>
      </c>
      <c r="H276" s="57" t="s">
        <v>38</v>
      </c>
      <c r="I276" s="82">
        <v>44317</v>
      </c>
      <c r="J276" s="83">
        <f ca="1">EFEITO!$J$276*EFEITO!$Y$276</f>
        <v>32218.017648575409</v>
      </c>
      <c r="K276" s="83">
        <f ca="1">EFEITO!$L$276*EFEITO!$Z$276</f>
        <v>18502.263729821927</v>
      </c>
      <c r="L276" s="83">
        <f>EFEITO!$N$276*EFEITO!$AA$276</f>
        <v>31063.481736729878</v>
      </c>
      <c r="M276" s="83">
        <f ca="1">$J$276-EFEITO!$K$276*EFEITO!$Y$276</f>
        <v>0</v>
      </c>
      <c r="N276" s="83">
        <f ca="1">$K$276-EFEITO!$M$276*EFEITO!$Z$276</f>
        <v>0</v>
      </c>
      <c r="O276" s="83">
        <f>$L$276-EFEITO!$O$276*EFEITO!$AA$276</f>
        <v>0</v>
      </c>
      <c r="P276" s="61"/>
      <c r="Q276" s="61"/>
      <c r="R276" s="61"/>
      <c r="S276" s="61"/>
      <c r="T276" s="61"/>
      <c r="U276" s="61"/>
      <c r="V276" s="61"/>
      <c r="W276" s="61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spans="1:36" ht="11.25" customHeight="1" x14ac:dyDescent="0.2">
      <c r="A277" s="57" t="s">
        <v>30</v>
      </c>
      <c r="B277" s="57" t="s">
        <v>35</v>
      </c>
      <c r="C277" s="57" t="s">
        <v>44</v>
      </c>
      <c r="D277" s="57" t="s">
        <v>45</v>
      </c>
      <c r="E277" s="57" t="s">
        <v>25</v>
      </c>
      <c r="F277" s="57" t="s">
        <v>25</v>
      </c>
      <c r="G277" s="57" t="s">
        <v>25</v>
      </c>
      <c r="H277" s="57" t="s">
        <v>38</v>
      </c>
      <c r="I277" s="82">
        <v>44317</v>
      </c>
      <c r="J277" s="83">
        <f ca="1">EFEITO!$J$277*EFEITO!$Y$277</f>
        <v>17945.020731912169</v>
      </c>
      <c r="K277" s="83">
        <f ca="1">EFEITO!$L$277*EFEITO!$Z$277</f>
        <v>16556.439715611577</v>
      </c>
      <c r="L277" s="83">
        <f>EFEITO!$N$277*EFEITO!$AA$277</f>
        <v>27796.634522197426</v>
      </c>
      <c r="M277" s="83">
        <f ca="1">$J$277-EFEITO!$K$277*EFEITO!$Y$277</f>
        <v>0</v>
      </c>
      <c r="N277" s="83">
        <f ca="1">$K$277-EFEITO!$M$277*EFEITO!$Z$277</f>
        <v>0</v>
      </c>
      <c r="O277" s="83">
        <f>$L$277-EFEITO!$O$277*EFEITO!$AA$277</f>
        <v>0</v>
      </c>
      <c r="P277" s="61"/>
      <c r="Q277" s="61"/>
      <c r="R277" s="61"/>
      <c r="S277" s="61"/>
      <c r="T277" s="61"/>
      <c r="U277" s="61"/>
      <c r="V277" s="61"/>
      <c r="W277" s="61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spans="1:36" ht="11.25" customHeight="1" x14ac:dyDescent="0.2">
      <c r="A278" s="57" t="s">
        <v>21</v>
      </c>
      <c r="B278" s="57" t="s">
        <v>35</v>
      </c>
      <c r="C278" s="57" t="s">
        <v>44</v>
      </c>
      <c r="D278" s="57" t="s">
        <v>45</v>
      </c>
      <c r="E278" s="57" t="s">
        <v>25</v>
      </c>
      <c r="F278" s="57" t="s">
        <v>25</v>
      </c>
      <c r="G278" s="57" t="s">
        <v>25</v>
      </c>
      <c r="H278" s="57" t="s">
        <v>38</v>
      </c>
      <c r="I278" s="82">
        <v>44317</v>
      </c>
      <c r="J278" s="83">
        <f ca="1">EFEITO!$J$278*EFEITO!$Y$278</f>
        <v>44702.898620421773</v>
      </c>
      <c r="K278" s="83">
        <f ca="1">EFEITO!$L$278*EFEITO!$Z$278</f>
        <v>0</v>
      </c>
      <c r="L278" s="83">
        <f>EFEITO!$N$278*EFEITO!$AA$278</f>
        <v>0</v>
      </c>
      <c r="M278" s="83">
        <f ca="1">$J$278-EFEITO!$K$278*EFEITO!$Y$278</f>
        <v>0</v>
      </c>
      <c r="N278" s="83">
        <f ca="1">$K$278-EFEITO!$M$278*EFEITO!$Z$278</f>
        <v>0</v>
      </c>
      <c r="O278" s="83">
        <f>$L$278-EFEITO!$O$278*EFEITO!$AA$278</f>
        <v>0</v>
      </c>
      <c r="P278" s="61"/>
      <c r="Q278" s="61"/>
      <c r="R278" s="61"/>
      <c r="S278" s="61"/>
      <c r="T278" s="61"/>
      <c r="U278" s="61"/>
      <c r="V278" s="61"/>
      <c r="W278" s="61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spans="1:36" ht="11.25" customHeight="1" x14ac:dyDescent="0.2">
      <c r="A279" s="57" t="s">
        <v>21</v>
      </c>
      <c r="B279" s="57" t="s">
        <v>35</v>
      </c>
      <c r="C279" s="57" t="s">
        <v>44</v>
      </c>
      <c r="D279" s="57" t="s">
        <v>45</v>
      </c>
      <c r="E279" s="57" t="s">
        <v>25</v>
      </c>
      <c r="F279" s="57" t="s">
        <v>25</v>
      </c>
      <c r="G279" s="57" t="s">
        <v>25</v>
      </c>
      <c r="H279" s="57" t="s">
        <v>38</v>
      </c>
      <c r="I279" s="82">
        <v>44348</v>
      </c>
      <c r="J279" s="83">
        <f ca="1">EFEITO!$J$279*EFEITO!$Y$279</f>
        <v>459162.6301154751</v>
      </c>
      <c r="K279" s="83">
        <f ca="1">EFEITO!$L$279*EFEITO!$Z$279</f>
        <v>711408.72912370996</v>
      </c>
      <c r="L279" s="83">
        <f>EFEITO!$N$279*EFEITO!$AA$279</f>
        <v>1194385.3134503595</v>
      </c>
      <c r="M279" s="83">
        <f ca="1">$J$279-EFEITO!$K$279*EFEITO!$Y$279</f>
        <v>0</v>
      </c>
      <c r="N279" s="83">
        <f ca="1">$K$279-EFEITO!$M$279*EFEITO!$Z$279</f>
        <v>0</v>
      </c>
      <c r="O279" s="83">
        <f>$L$279-EFEITO!$O$279*EFEITO!$AA$279</f>
        <v>0</v>
      </c>
      <c r="P279" s="61"/>
      <c r="Q279" s="61"/>
      <c r="R279" s="61"/>
      <c r="S279" s="61"/>
      <c r="T279" s="61"/>
      <c r="U279" s="61"/>
      <c r="V279" s="61"/>
      <c r="W279" s="61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spans="1:36" ht="11.25" customHeight="1" x14ac:dyDescent="0.2">
      <c r="A280" s="57" t="s">
        <v>27</v>
      </c>
      <c r="B280" s="57" t="s">
        <v>35</v>
      </c>
      <c r="C280" s="57" t="s">
        <v>44</v>
      </c>
      <c r="D280" s="57" t="s">
        <v>45</v>
      </c>
      <c r="E280" s="57" t="s">
        <v>25</v>
      </c>
      <c r="F280" s="57" t="s">
        <v>25</v>
      </c>
      <c r="G280" s="57" t="s">
        <v>25</v>
      </c>
      <c r="H280" s="57" t="s">
        <v>38</v>
      </c>
      <c r="I280" s="82">
        <v>44348</v>
      </c>
      <c r="J280" s="83">
        <f ca="1">EFEITO!$J$280*EFEITO!$Y$280</f>
        <v>351.23706058902826</v>
      </c>
      <c r="K280" s="83">
        <f ca="1">EFEITO!$L$280*EFEITO!$Z$280</f>
        <v>2805.4107723715165</v>
      </c>
      <c r="L280" s="83">
        <f>EFEITO!$N$280*EFEITO!$AA$280</f>
        <v>4710.008870488984</v>
      </c>
      <c r="M280" s="83">
        <f ca="1">$J$280-EFEITO!$K$280*EFEITO!$Y$280</f>
        <v>0</v>
      </c>
      <c r="N280" s="83">
        <f ca="1">$K$280-EFEITO!$M$280*EFEITO!$Z$280</f>
        <v>0</v>
      </c>
      <c r="O280" s="83">
        <f>$L$280-EFEITO!$O$280*EFEITO!$AA$280</f>
        <v>0</v>
      </c>
      <c r="P280" s="61"/>
      <c r="Q280" s="61"/>
      <c r="R280" s="61"/>
      <c r="S280" s="61"/>
      <c r="T280" s="61"/>
      <c r="U280" s="61"/>
      <c r="V280" s="61"/>
      <c r="W280" s="61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spans="1:36" ht="11.25" customHeight="1" x14ac:dyDescent="0.2">
      <c r="A281" s="57" t="s">
        <v>28</v>
      </c>
      <c r="B281" s="57" t="s">
        <v>35</v>
      </c>
      <c r="C281" s="57" t="s">
        <v>44</v>
      </c>
      <c r="D281" s="57" t="s">
        <v>45</v>
      </c>
      <c r="E281" s="57" t="s">
        <v>25</v>
      </c>
      <c r="F281" s="57" t="s">
        <v>25</v>
      </c>
      <c r="G281" s="57" t="s">
        <v>25</v>
      </c>
      <c r="H281" s="57" t="s">
        <v>38</v>
      </c>
      <c r="I281" s="82">
        <v>44348</v>
      </c>
      <c r="J281" s="83">
        <f ca="1">EFEITO!$J$281*EFEITO!$Y$281</f>
        <v>32218.017648575409</v>
      </c>
      <c r="K281" s="83">
        <f ca="1">EFEITO!$L$281*EFEITO!$Z$281</f>
        <v>19246.587335153796</v>
      </c>
      <c r="L281" s="83">
        <f>EFEITO!$N$281*EFEITO!$AA$281</f>
        <v>32313.127891279964</v>
      </c>
      <c r="M281" s="83">
        <f ca="1">$J$281-EFEITO!$K$281*EFEITO!$Y$281</f>
        <v>0</v>
      </c>
      <c r="N281" s="83">
        <f ca="1">$K$281-EFEITO!$M$281*EFEITO!$Z$281</f>
        <v>0</v>
      </c>
      <c r="O281" s="83">
        <f>$L$281-EFEITO!$O$281*EFEITO!$AA$281</f>
        <v>0</v>
      </c>
      <c r="P281" s="61"/>
      <c r="Q281" s="61"/>
      <c r="R281" s="61"/>
      <c r="S281" s="61"/>
      <c r="T281" s="61"/>
      <c r="U281" s="61"/>
      <c r="V281" s="61"/>
      <c r="W281" s="61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spans="1:36" ht="11.25" customHeight="1" x14ac:dyDescent="0.2">
      <c r="A282" s="57" t="s">
        <v>30</v>
      </c>
      <c r="B282" s="57" t="s">
        <v>35</v>
      </c>
      <c r="C282" s="57" t="s">
        <v>44</v>
      </c>
      <c r="D282" s="57" t="s">
        <v>45</v>
      </c>
      <c r="E282" s="57" t="s">
        <v>25</v>
      </c>
      <c r="F282" s="57" t="s">
        <v>25</v>
      </c>
      <c r="G282" s="57" t="s">
        <v>25</v>
      </c>
      <c r="H282" s="57" t="s">
        <v>38</v>
      </c>
      <c r="I282" s="82">
        <v>44348</v>
      </c>
      <c r="J282" s="83">
        <f ca="1">EFEITO!$J$282*EFEITO!$Y$282</f>
        <v>15518.291949660703</v>
      </c>
      <c r="K282" s="83">
        <f ca="1">EFEITO!$L$282*EFEITO!$Z$282</f>
        <v>15650.006237440841</v>
      </c>
      <c r="L282" s="83">
        <f>EFEITO!$N$282*EFEITO!$AA$282</f>
        <v>26274.821829119563</v>
      </c>
      <c r="M282" s="83">
        <f ca="1">$J$282-EFEITO!$K$282*EFEITO!$Y$282</f>
        <v>0</v>
      </c>
      <c r="N282" s="83">
        <f ca="1">$K$282-EFEITO!$M$282*EFEITO!$Z$282</f>
        <v>0</v>
      </c>
      <c r="O282" s="83">
        <f>$L$282-EFEITO!$O$282*EFEITO!$AA$282</f>
        <v>0</v>
      </c>
      <c r="P282" s="61"/>
      <c r="Q282" s="61"/>
      <c r="R282" s="61"/>
      <c r="S282" s="61"/>
      <c r="T282" s="61"/>
      <c r="U282" s="61"/>
      <c r="V282" s="61"/>
      <c r="W282" s="61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spans="1:36" ht="11.25" customHeight="1" x14ac:dyDescent="0.2">
      <c r="A283" s="57" t="s">
        <v>21</v>
      </c>
      <c r="B283" s="57" t="s">
        <v>35</v>
      </c>
      <c r="C283" s="57" t="s">
        <v>44</v>
      </c>
      <c r="D283" s="57" t="s">
        <v>45</v>
      </c>
      <c r="E283" s="57" t="s">
        <v>25</v>
      </c>
      <c r="F283" s="57" t="s">
        <v>25</v>
      </c>
      <c r="G283" s="57" t="s">
        <v>25</v>
      </c>
      <c r="H283" s="57" t="s">
        <v>38</v>
      </c>
      <c r="I283" s="82">
        <v>44378</v>
      </c>
      <c r="J283" s="83">
        <f ca="1">EFEITO!$J$283*EFEITO!$Y$283</f>
        <v>451563.13735000341</v>
      </c>
      <c r="K283" s="83">
        <f ca="1">EFEITO!$L$283*EFEITO!$Z$283</f>
        <v>722234.70279383461</v>
      </c>
      <c r="L283" s="83">
        <f>EFEITO!$N$283*EFEITO!$AA$283</f>
        <v>1212561.0588777799</v>
      </c>
      <c r="M283" s="83">
        <f ca="1">$J$283-EFEITO!$K$283*EFEITO!$Y$283</f>
        <v>0</v>
      </c>
      <c r="N283" s="83">
        <f ca="1">$K$283-EFEITO!$M$283*EFEITO!$Z$283</f>
        <v>0</v>
      </c>
      <c r="O283" s="83">
        <f>$L$283-EFEITO!$O$283*EFEITO!$AA$283</f>
        <v>0</v>
      </c>
      <c r="P283" s="61"/>
      <c r="Q283" s="61"/>
      <c r="R283" s="61"/>
      <c r="S283" s="61"/>
      <c r="T283" s="61"/>
      <c r="U283" s="61"/>
      <c r="V283" s="61"/>
      <c r="W283" s="61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spans="1:36" ht="11.25" customHeight="1" x14ac:dyDescent="0.2">
      <c r="A284" s="57" t="s">
        <v>27</v>
      </c>
      <c r="B284" s="57" t="s">
        <v>35</v>
      </c>
      <c r="C284" s="57" t="s">
        <v>44</v>
      </c>
      <c r="D284" s="57" t="s">
        <v>45</v>
      </c>
      <c r="E284" s="57" t="s">
        <v>25</v>
      </c>
      <c r="F284" s="57" t="s">
        <v>25</v>
      </c>
      <c r="G284" s="57" t="s">
        <v>25</v>
      </c>
      <c r="H284" s="57" t="s">
        <v>38</v>
      </c>
      <c r="I284" s="82">
        <v>44378</v>
      </c>
      <c r="J284" s="83">
        <f ca="1">EFEITO!$J$284*EFEITO!$Y$284</f>
        <v>-65393.954553302712</v>
      </c>
      <c r="K284" s="83">
        <f ca="1">EFEITO!$L$284*EFEITO!$Z$284</f>
        <v>-90881.625738273186</v>
      </c>
      <c r="L284" s="83">
        <f>EFEITO!$N$284*EFEITO!$AA$284</f>
        <v>-152581.31451098606</v>
      </c>
      <c r="M284" s="83">
        <f ca="1">$J$284-EFEITO!$K$284*EFEITO!$Y$284</f>
        <v>0</v>
      </c>
      <c r="N284" s="83">
        <f ca="1">$K$284-EFEITO!$M$284*EFEITO!$Z$284</f>
        <v>0</v>
      </c>
      <c r="O284" s="83">
        <f>$L$284-EFEITO!$O$284*EFEITO!$AA$284</f>
        <v>0</v>
      </c>
      <c r="P284" s="61"/>
      <c r="Q284" s="61"/>
      <c r="R284" s="61"/>
      <c r="S284" s="61"/>
      <c r="T284" s="61"/>
      <c r="U284" s="61"/>
      <c r="V284" s="61"/>
      <c r="W284" s="61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spans="1:36" ht="11.25" customHeight="1" x14ac:dyDescent="0.2">
      <c r="A285" s="57" t="s">
        <v>28</v>
      </c>
      <c r="B285" s="57" t="s">
        <v>35</v>
      </c>
      <c r="C285" s="57" t="s">
        <v>44</v>
      </c>
      <c r="D285" s="57" t="s">
        <v>45</v>
      </c>
      <c r="E285" s="57" t="s">
        <v>25</v>
      </c>
      <c r="F285" s="57" t="s">
        <v>25</v>
      </c>
      <c r="G285" s="57" t="s">
        <v>25</v>
      </c>
      <c r="H285" s="57" t="s">
        <v>38</v>
      </c>
      <c r="I285" s="82">
        <v>44378</v>
      </c>
      <c r="J285" s="83">
        <f ca="1">EFEITO!$J$285*EFEITO!$Y$285</f>
        <v>16252.696712710489</v>
      </c>
      <c r="K285" s="83">
        <f ca="1">EFEITO!$L$285*EFEITO!$Z$285</f>
        <v>5627.8413962573004</v>
      </c>
      <c r="L285" s="83">
        <f>EFEITO!$N$285*EFEITO!$AA$285</f>
        <v>9448.5923983493885</v>
      </c>
      <c r="M285" s="83">
        <f ca="1">$J$285-EFEITO!$K$285*EFEITO!$Y$285</f>
        <v>0</v>
      </c>
      <c r="N285" s="83">
        <f ca="1">$K$285-EFEITO!$M$285*EFEITO!$Z$285</f>
        <v>0</v>
      </c>
      <c r="O285" s="83">
        <f>$L$285-EFEITO!$O$285*EFEITO!$AA$285</f>
        <v>0</v>
      </c>
      <c r="P285" s="61"/>
      <c r="Q285" s="61"/>
      <c r="R285" s="61"/>
      <c r="S285" s="61"/>
      <c r="T285" s="61"/>
      <c r="U285" s="61"/>
      <c r="V285" s="61"/>
      <c r="W285" s="61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spans="1:36" ht="11.25" customHeight="1" x14ac:dyDescent="0.2">
      <c r="A286" s="57" t="s">
        <v>30</v>
      </c>
      <c r="B286" s="57" t="s">
        <v>35</v>
      </c>
      <c r="C286" s="57" t="s">
        <v>44</v>
      </c>
      <c r="D286" s="57" t="s">
        <v>45</v>
      </c>
      <c r="E286" s="57" t="s">
        <v>25</v>
      </c>
      <c r="F286" s="57" t="s">
        <v>25</v>
      </c>
      <c r="G286" s="57" t="s">
        <v>25</v>
      </c>
      <c r="H286" s="57" t="s">
        <v>38</v>
      </c>
      <c r="I286" s="82">
        <v>44378</v>
      </c>
      <c r="J286" s="83">
        <f ca="1">EFEITO!$J$286*EFEITO!$Y$286</f>
        <v>15103.193605328213</v>
      </c>
      <c r="K286" s="83">
        <f ca="1">EFEITO!$L$286*EFEITO!$Z$286</f>
        <v>15251.472090596859</v>
      </c>
      <c r="L286" s="83">
        <f>EFEITO!$N$286*EFEITO!$AA$286</f>
        <v>25605.722178788805</v>
      </c>
      <c r="M286" s="83">
        <f ca="1">$J$286-EFEITO!$K$286*EFEITO!$Y$286</f>
        <v>0</v>
      </c>
      <c r="N286" s="83">
        <f ca="1">$K$286-EFEITO!$M$286*EFEITO!$Z$286</f>
        <v>0</v>
      </c>
      <c r="O286" s="83">
        <f>$L$286-EFEITO!$O$286*EFEITO!$AA$286</f>
        <v>0</v>
      </c>
      <c r="P286" s="61"/>
      <c r="Q286" s="61"/>
      <c r="R286" s="61"/>
      <c r="S286" s="61"/>
      <c r="T286" s="61"/>
      <c r="U286" s="61"/>
      <c r="V286" s="61"/>
      <c r="W286" s="61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spans="1:36" ht="11.25" customHeight="1" x14ac:dyDescent="0.2">
      <c r="A287" s="57" t="s">
        <v>21</v>
      </c>
      <c r="B287" s="57" t="s">
        <v>35</v>
      </c>
      <c r="C287" s="57" t="s">
        <v>44</v>
      </c>
      <c r="D287" s="57" t="s">
        <v>45</v>
      </c>
      <c r="E287" s="57" t="s">
        <v>25</v>
      </c>
      <c r="F287" s="57" t="s">
        <v>25</v>
      </c>
      <c r="G287" s="57" t="s">
        <v>25</v>
      </c>
      <c r="H287" s="57" t="s">
        <v>38</v>
      </c>
      <c r="I287" s="82">
        <v>44378</v>
      </c>
      <c r="J287" s="83">
        <f ca="1">EFEITO!$J$287*EFEITO!$Y$287</f>
        <v>44702.898620421773</v>
      </c>
      <c r="K287" s="83">
        <f ca="1">EFEITO!$L$287*EFEITO!$Z$287</f>
        <v>0</v>
      </c>
      <c r="L287" s="83">
        <f>EFEITO!$N$287*EFEITO!$AA$287</f>
        <v>0</v>
      </c>
      <c r="M287" s="83">
        <f ca="1">$J$287-EFEITO!$K$287*EFEITO!$Y$287</f>
        <v>0</v>
      </c>
      <c r="N287" s="83">
        <f ca="1">$K$287-EFEITO!$M$287*EFEITO!$Z$287</f>
        <v>0</v>
      </c>
      <c r="O287" s="83">
        <f>$L$287-EFEITO!$O$287*EFEITO!$AA$287</f>
        <v>0</v>
      </c>
      <c r="P287" s="61"/>
      <c r="Q287" s="61"/>
      <c r="R287" s="61"/>
      <c r="S287" s="61"/>
      <c r="T287" s="61"/>
      <c r="U287" s="61"/>
      <c r="V287" s="61"/>
      <c r="W287" s="61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spans="1:36" ht="11.25" customHeight="1" x14ac:dyDescent="0.2">
      <c r="A288" s="57" t="s">
        <v>21</v>
      </c>
      <c r="B288" s="57" t="s">
        <v>35</v>
      </c>
      <c r="C288" s="57" t="s">
        <v>44</v>
      </c>
      <c r="D288" s="57" t="s">
        <v>45</v>
      </c>
      <c r="E288" s="57" t="s">
        <v>25</v>
      </c>
      <c r="F288" s="57" t="s">
        <v>25</v>
      </c>
      <c r="G288" s="57" t="s">
        <v>25</v>
      </c>
      <c r="H288" s="57" t="s">
        <v>38</v>
      </c>
      <c r="I288" s="82">
        <v>44409</v>
      </c>
      <c r="J288" s="83">
        <f ca="1">EFEITO!$J$288*EFEITO!$Y$288</f>
        <v>540330.32175341237</v>
      </c>
      <c r="K288" s="83">
        <f ca="1">EFEITO!$L$288*EFEITO!$Z$288</f>
        <v>873908.71044035093</v>
      </c>
      <c r="L288" s="83">
        <f>EFEITO!$N$288*EFEITO!$AA$288</f>
        <v>1467206.8057584795</v>
      </c>
      <c r="M288" s="83">
        <f ca="1">$J$288-EFEITO!$K$288*EFEITO!$Y$288</f>
        <v>0</v>
      </c>
      <c r="N288" s="83">
        <f ca="1">$K$288-EFEITO!$M$288*EFEITO!$Z$288</f>
        <v>0</v>
      </c>
      <c r="O288" s="83">
        <f>$L$288-EFEITO!$O$288*EFEITO!$AA$288</f>
        <v>0</v>
      </c>
      <c r="P288" s="61"/>
      <c r="Q288" s="61"/>
      <c r="R288" s="61"/>
      <c r="S288" s="61"/>
      <c r="T288" s="61"/>
      <c r="U288" s="61"/>
      <c r="V288" s="61"/>
      <c r="W288" s="61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spans="1:36" ht="11.25" customHeight="1" x14ac:dyDescent="0.2">
      <c r="A289" s="57" t="s">
        <v>27</v>
      </c>
      <c r="B289" s="57" t="s">
        <v>35</v>
      </c>
      <c r="C289" s="57" t="s">
        <v>44</v>
      </c>
      <c r="D289" s="57" t="s">
        <v>45</v>
      </c>
      <c r="E289" s="57" t="s">
        <v>25</v>
      </c>
      <c r="F289" s="57" t="s">
        <v>25</v>
      </c>
      <c r="G289" s="57" t="s">
        <v>25</v>
      </c>
      <c r="H289" s="57" t="s">
        <v>38</v>
      </c>
      <c r="I289" s="82">
        <v>44409</v>
      </c>
      <c r="J289" s="83">
        <f ca="1">EFEITO!$J$289*EFEITO!$Y$289</f>
        <v>22319.518668339158</v>
      </c>
      <c r="K289" s="83">
        <f ca="1">EFEITO!$L$289*EFEITO!$Z$289</f>
        <v>21535.504593750764</v>
      </c>
      <c r="L289" s="83">
        <f>EFEITO!$N$289*EFEITO!$AA$289</f>
        <v>36155.994931636276</v>
      </c>
      <c r="M289" s="83">
        <f ca="1">$J$289-EFEITO!$K$289*EFEITO!$Y$289</f>
        <v>0</v>
      </c>
      <c r="N289" s="83">
        <f ca="1">$K$289-EFEITO!$M$289*EFEITO!$Z$289</f>
        <v>0</v>
      </c>
      <c r="O289" s="83">
        <f>$L$289-EFEITO!$O$289*EFEITO!$AA$289</f>
        <v>0</v>
      </c>
      <c r="P289" s="61"/>
      <c r="Q289" s="61"/>
      <c r="R289" s="61"/>
      <c r="S289" s="61"/>
      <c r="T289" s="61"/>
      <c r="U289" s="61"/>
      <c r="V289" s="61"/>
      <c r="W289" s="61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spans="1:36" ht="11.25" customHeight="1" x14ac:dyDescent="0.2">
      <c r="A290" s="57" t="s">
        <v>28</v>
      </c>
      <c r="B290" s="57" t="s">
        <v>35</v>
      </c>
      <c r="C290" s="57" t="s">
        <v>44</v>
      </c>
      <c r="D290" s="57" t="s">
        <v>45</v>
      </c>
      <c r="E290" s="57" t="s">
        <v>25</v>
      </c>
      <c r="F290" s="57" t="s">
        <v>25</v>
      </c>
      <c r="G290" s="57" t="s">
        <v>25</v>
      </c>
      <c r="H290" s="57" t="s">
        <v>38</v>
      </c>
      <c r="I290" s="82">
        <v>44409</v>
      </c>
      <c r="J290" s="83">
        <f ca="1">EFEITO!$J$290*EFEITO!$Y$290</f>
        <v>16252.696712710489</v>
      </c>
      <c r="K290" s="83">
        <f ca="1">EFEITO!$L$290*EFEITO!$Z$290</f>
        <v>4704.3880665722991</v>
      </c>
      <c r="L290" s="83">
        <f>EFEITO!$N$290*EFEITO!$AA$290</f>
        <v>7898.2050479001073</v>
      </c>
      <c r="M290" s="83">
        <f ca="1">$J$290-EFEITO!$K$290*EFEITO!$Y$290</f>
        <v>0</v>
      </c>
      <c r="N290" s="83">
        <f ca="1">$K$290-EFEITO!$M$290*EFEITO!$Z$290</f>
        <v>0</v>
      </c>
      <c r="O290" s="83">
        <f>$L$290-EFEITO!$O$290*EFEITO!$AA$290</f>
        <v>0</v>
      </c>
      <c r="P290" s="61"/>
      <c r="Q290" s="61"/>
      <c r="R290" s="61"/>
      <c r="S290" s="61"/>
      <c r="T290" s="61"/>
      <c r="U290" s="61"/>
      <c r="V290" s="61"/>
      <c r="W290" s="61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spans="1:36" ht="11.25" customHeight="1" x14ac:dyDescent="0.2">
      <c r="A291" s="57" t="s">
        <v>30</v>
      </c>
      <c r="B291" s="57" t="s">
        <v>35</v>
      </c>
      <c r="C291" s="57" t="s">
        <v>44</v>
      </c>
      <c r="D291" s="57" t="s">
        <v>45</v>
      </c>
      <c r="E291" s="57" t="s">
        <v>25</v>
      </c>
      <c r="F291" s="57" t="s">
        <v>25</v>
      </c>
      <c r="G291" s="57" t="s">
        <v>25</v>
      </c>
      <c r="H291" s="57" t="s">
        <v>38</v>
      </c>
      <c r="I291" s="82">
        <v>44409</v>
      </c>
      <c r="J291" s="83">
        <f ca="1">EFEITO!$J$291*EFEITO!$Y$291</f>
        <v>15230.916172815134</v>
      </c>
      <c r="K291" s="83">
        <f ca="1">EFEITO!$L$291*EFEITO!$Z$291</f>
        <v>16943.514952525162</v>
      </c>
      <c r="L291" s="83">
        <f>EFEITO!$N$291*EFEITO!$AA$291</f>
        <v>28446.495789347424</v>
      </c>
      <c r="M291" s="83">
        <f ca="1">$J$291-EFEITO!$K$291*EFEITO!$Y$291</f>
        <v>0</v>
      </c>
      <c r="N291" s="83">
        <f ca="1">$K$291-EFEITO!$M$291*EFEITO!$Z$291</f>
        <v>0</v>
      </c>
      <c r="O291" s="83">
        <f>$L$291-EFEITO!$O$291*EFEITO!$AA$291</f>
        <v>0</v>
      </c>
      <c r="P291" s="61"/>
      <c r="Q291" s="61"/>
      <c r="R291" s="61"/>
      <c r="S291" s="61"/>
      <c r="T291" s="61"/>
      <c r="U291" s="61"/>
      <c r="V291" s="61"/>
      <c r="W291" s="61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spans="1:36" ht="11.25" customHeight="1" x14ac:dyDescent="0.2">
      <c r="A292" s="57" t="s">
        <v>21</v>
      </c>
      <c r="B292" s="57" t="s">
        <v>35</v>
      </c>
      <c r="C292" s="57" t="s">
        <v>44</v>
      </c>
      <c r="D292" s="57" t="s">
        <v>45</v>
      </c>
      <c r="E292" s="57" t="s">
        <v>25</v>
      </c>
      <c r="F292" s="57" t="s">
        <v>25</v>
      </c>
      <c r="G292" s="57" t="s">
        <v>25</v>
      </c>
      <c r="H292" s="57" t="s">
        <v>38</v>
      </c>
      <c r="I292" s="82">
        <v>44409</v>
      </c>
      <c r="J292" s="83">
        <f ca="1">EFEITO!$J$292*EFEITO!$Y$292</f>
        <v>44702.898620421773</v>
      </c>
      <c r="K292" s="83">
        <f ca="1">EFEITO!$L$292*EFEITO!$Z$292</f>
        <v>0</v>
      </c>
      <c r="L292" s="83">
        <f>EFEITO!$N$292*EFEITO!$AA$292</f>
        <v>0</v>
      </c>
      <c r="M292" s="83">
        <f ca="1">$J$292-EFEITO!$K$292*EFEITO!$Y$292</f>
        <v>0</v>
      </c>
      <c r="N292" s="83">
        <f ca="1">$K$292-EFEITO!$M$292*EFEITO!$Z$292</f>
        <v>0</v>
      </c>
      <c r="O292" s="83">
        <f>$L$292-EFEITO!$O$292*EFEITO!$AA$292</f>
        <v>0</v>
      </c>
      <c r="P292" s="61"/>
      <c r="Q292" s="61"/>
      <c r="R292" s="61"/>
      <c r="S292" s="61"/>
      <c r="T292" s="61"/>
      <c r="U292" s="61"/>
      <c r="V292" s="61"/>
      <c r="W292" s="61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spans="1:36" ht="11.25" customHeight="1" x14ac:dyDescent="0.2">
      <c r="A293" s="57" t="s">
        <v>21</v>
      </c>
      <c r="B293" s="57" t="s">
        <v>35</v>
      </c>
      <c r="C293" s="57" t="s">
        <v>44</v>
      </c>
      <c r="D293" s="57" t="s">
        <v>45</v>
      </c>
      <c r="E293" s="57" t="s">
        <v>25</v>
      </c>
      <c r="F293" s="57" t="s">
        <v>25</v>
      </c>
      <c r="G293" s="57" t="s">
        <v>25</v>
      </c>
      <c r="H293" s="57" t="s">
        <v>38</v>
      </c>
      <c r="I293" s="82">
        <v>44440</v>
      </c>
      <c r="J293" s="83">
        <f ca="1">EFEITO!$J$293*EFEITO!$Y$293</f>
        <v>560095.38907201309</v>
      </c>
      <c r="K293" s="83">
        <f ca="1">EFEITO!$L$293*EFEITO!$Z$293</f>
        <v>887941.32524379238</v>
      </c>
      <c r="L293" s="83">
        <f>EFEITO!$N$293*EFEITO!$AA$293</f>
        <v>1490766.1863851151</v>
      </c>
      <c r="M293" s="83">
        <f ca="1">$J$293-EFEITO!$K$293*EFEITO!$Y$293</f>
        <v>0</v>
      </c>
      <c r="N293" s="83">
        <f ca="1">$K$293-EFEITO!$M$293*EFEITO!$Z$293</f>
        <v>0</v>
      </c>
      <c r="O293" s="83">
        <f>$L$293-EFEITO!$O$293*EFEITO!$AA$293</f>
        <v>0</v>
      </c>
      <c r="P293" s="61"/>
      <c r="Q293" s="61"/>
      <c r="R293" s="61"/>
      <c r="S293" s="61"/>
      <c r="T293" s="61"/>
      <c r="U293" s="61"/>
      <c r="V293" s="61"/>
      <c r="W293" s="61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spans="1:36" ht="11.25" customHeight="1" x14ac:dyDescent="0.2">
      <c r="A294" s="57" t="s">
        <v>27</v>
      </c>
      <c r="B294" s="57" t="s">
        <v>35</v>
      </c>
      <c r="C294" s="57" t="s">
        <v>44</v>
      </c>
      <c r="D294" s="57" t="s">
        <v>45</v>
      </c>
      <c r="E294" s="57" t="s">
        <v>25</v>
      </c>
      <c r="F294" s="57" t="s">
        <v>25</v>
      </c>
      <c r="G294" s="57" t="s">
        <v>25</v>
      </c>
      <c r="H294" s="57" t="s">
        <v>38</v>
      </c>
      <c r="I294" s="82">
        <v>44440</v>
      </c>
      <c r="J294" s="83">
        <f ca="1">EFEITO!$J$294*EFEITO!$Y$294</f>
        <v>-8876.7184403408955</v>
      </c>
      <c r="K294" s="83">
        <f ca="1">EFEITO!$L$294*EFEITO!$Z$294</f>
        <v>57.968603177306683</v>
      </c>
      <c r="L294" s="83">
        <f>EFEITO!$N$294*EFEITO!$AA$294</f>
        <v>97.323585502655604</v>
      </c>
      <c r="M294" s="83">
        <f ca="1">$J$294-EFEITO!$K$294*EFEITO!$Y$294</f>
        <v>0</v>
      </c>
      <c r="N294" s="83">
        <f ca="1">$K$294-EFEITO!$M$294*EFEITO!$Z$294</f>
        <v>0</v>
      </c>
      <c r="O294" s="83">
        <f>$L$294-EFEITO!$O$294*EFEITO!$AA$294</f>
        <v>0</v>
      </c>
      <c r="P294" s="61"/>
      <c r="Q294" s="61"/>
      <c r="R294" s="61"/>
      <c r="S294" s="61"/>
      <c r="T294" s="61"/>
      <c r="U294" s="61"/>
      <c r="V294" s="61"/>
      <c r="W294" s="61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spans="1:36" ht="11.25" customHeight="1" x14ac:dyDescent="0.2">
      <c r="A295" s="57" t="s">
        <v>28</v>
      </c>
      <c r="B295" s="57" t="s">
        <v>35</v>
      </c>
      <c r="C295" s="57" t="s">
        <v>44</v>
      </c>
      <c r="D295" s="57" t="s">
        <v>45</v>
      </c>
      <c r="E295" s="57" t="s">
        <v>25</v>
      </c>
      <c r="F295" s="57" t="s">
        <v>25</v>
      </c>
      <c r="G295" s="57" t="s">
        <v>25</v>
      </c>
      <c r="H295" s="57" t="s">
        <v>38</v>
      </c>
      <c r="I295" s="82">
        <v>44440</v>
      </c>
      <c r="J295" s="83">
        <f ca="1">EFEITO!$J$295*EFEITO!$Y$295</f>
        <v>16252.696712710489</v>
      </c>
      <c r="K295" s="83">
        <f ca="1">EFEITO!$L$295*EFEITO!$Z$295</f>
        <v>3921.9804370599882</v>
      </c>
      <c r="L295" s="83">
        <f>EFEITO!$N$295*EFEITO!$AA$295</f>
        <v>6584.619561013973</v>
      </c>
      <c r="M295" s="83">
        <f ca="1">$J$295-EFEITO!$K$295*EFEITO!$Y$295</f>
        <v>0</v>
      </c>
      <c r="N295" s="83">
        <f ca="1">$K$295-EFEITO!$M$295*EFEITO!$Z$295</f>
        <v>0</v>
      </c>
      <c r="O295" s="83">
        <f>$L$295-EFEITO!$O$295*EFEITO!$AA$295</f>
        <v>0</v>
      </c>
      <c r="P295" s="61"/>
      <c r="Q295" s="61"/>
      <c r="R295" s="61"/>
      <c r="S295" s="61"/>
      <c r="T295" s="61"/>
      <c r="U295" s="61"/>
      <c r="V295" s="61"/>
      <c r="W295" s="61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spans="1:36" ht="11.25" customHeight="1" x14ac:dyDescent="0.2">
      <c r="A296" s="57" t="s">
        <v>30</v>
      </c>
      <c r="B296" s="57" t="s">
        <v>35</v>
      </c>
      <c r="C296" s="57" t="s">
        <v>44</v>
      </c>
      <c r="D296" s="57" t="s">
        <v>45</v>
      </c>
      <c r="E296" s="57" t="s">
        <v>25</v>
      </c>
      <c r="F296" s="57" t="s">
        <v>25</v>
      </c>
      <c r="G296" s="57" t="s">
        <v>25</v>
      </c>
      <c r="H296" s="57" t="s">
        <v>38</v>
      </c>
      <c r="I296" s="82">
        <v>44440</v>
      </c>
      <c r="J296" s="83">
        <f ca="1">EFEITO!$J$296*EFEITO!$Y$296</f>
        <v>15550.222591532432</v>
      </c>
      <c r="K296" s="83">
        <f ca="1">EFEITO!$L$296*EFEITO!$Z$296</f>
        <v>16177.116094239142</v>
      </c>
      <c r="L296" s="83">
        <f>EFEITO!$N$296*EFEITO!$AA$296</f>
        <v>27159.787455434405</v>
      </c>
      <c r="M296" s="83">
        <f ca="1">$J$296-EFEITO!$K$296*EFEITO!$Y$296</f>
        <v>0</v>
      </c>
      <c r="N296" s="83">
        <f ca="1">$K$296-EFEITO!$M$296*EFEITO!$Z$296</f>
        <v>0</v>
      </c>
      <c r="O296" s="83">
        <f>$L$296-EFEITO!$O$296*EFEITO!$AA$296</f>
        <v>0</v>
      </c>
      <c r="P296" s="61"/>
      <c r="Q296" s="61"/>
      <c r="R296" s="61"/>
      <c r="S296" s="61"/>
      <c r="T296" s="61"/>
      <c r="U296" s="61"/>
      <c r="V296" s="61"/>
      <c r="W296" s="61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spans="1:36" ht="11.25" customHeight="1" x14ac:dyDescent="0.2">
      <c r="A297" s="57" t="s">
        <v>30</v>
      </c>
      <c r="B297" s="57" t="s">
        <v>35</v>
      </c>
      <c r="C297" s="57" t="s">
        <v>44</v>
      </c>
      <c r="D297" s="57" t="s">
        <v>45</v>
      </c>
      <c r="E297" s="57" t="s">
        <v>25</v>
      </c>
      <c r="F297" s="57" t="s">
        <v>25</v>
      </c>
      <c r="G297" s="57" t="s">
        <v>25</v>
      </c>
      <c r="H297" s="57" t="s">
        <v>38</v>
      </c>
      <c r="I297" s="82">
        <v>44440</v>
      </c>
      <c r="J297" s="83">
        <f ca="1">EFEITO!$J$297*EFEITO!$Y$297</f>
        <v>-4214.8447270683391</v>
      </c>
      <c r="K297" s="83">
        <f ca="1">EFEITO!$L$297*EFEITO!$Z$297</f>
        <v>-3164.6813013657547</v>
      </c>
      <c r="L297" s="83">
        <f>EFEITO!$N$297*EFEITO!$AA$297</f>
        <v>-5313.1887666856765</v>
      </c>
      <c r="M297" s="83">
        <f ca="1">$J$297-EFEITO!$K$297*EFEITO!$Y$297</f>
        <v>0</v>
      </c>
      <c r="N297" s="83">
        <f ca="1">$K$297-EFEITO!$M$297*EFEITO!$Z$297</f>
        <v>0</v>
      </c>
      <c r="O297" s="83">
        <f>$L$297-EFEITO!$O$297*EFEITO!$AA$297</f>
        <v>0</v>
      </c>
      <c r="P297" s="61"/>
      <c r="Q297" s="61"/>
      <c r="R297" s="61"/>
      <c r="S297" s="61"/>
      <c r="T297" s="61"/>
      <c r="U297" s="61"/>
      <c r="V297" s="61"/>
      <c r="W297" s="61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spans="1:36" ht="11.25" customHeight="1" x14ac:dyDescent="0.2">
      <c r="A298" s="57" t="s">
        <v>21</v>
      </c>
      <c r="B298" s="57" t="s">
        <v>35</v>
      </c>
      <c r="C298" s="57" t="s">
        <v>44</v>
      </c>
      <c r="D298" s="57" t="s">
        <v>45</v>
      </c>
      <c r="E298" s="57" t="s">
        <v>25</v>
      </c>
      <c r="F298" s="57" t="s">
        <v>25</v>
      </c>
      <c r="G298" s="57" t="s">
        <v>25</v>
      </c>
      <c r="H298" s="57" t="s">
        <v>38</v>
      </c>
      <c r="I298" s="82">
        <v>44440</v>
      </c>
      <c r="J298" s="83">
        <f ca="1">EFEITO!$J$298*EFEITO!$Y$298</f>
        <v>44702.898620421773</v>
      </c>
      <c r="K298" s="83">
        <f ca="1">EFEITO!$L$298*EFEITO!$Z$298</f>
        <v>0</v>
      </c>
      <c r="L298" s="83">
        <f>EFEITO!$N$298*EFEITO!$AA$298</f>
        <v>0</v>
      </c>
      <c r="M298" s="83">
        <f ca="1">$J$298-EFEITO!$K$298*EFEITO!$Y$298</f>
        <v>0</v>
      </c>
      <c r="N298" s="83">
        <f ca="1">$K$298-EFEITO!$M$298*EFEITO!$Z$298</f>
        <v>0</v>
      </c>
      <c r="O298" s="83">
        <f>$L$298-EFEITO!$O$298*EFEITO!$AA$298</f>
        <v>0</v>
      </c>
      <c r="P298" s="61"/>
      <c r="Q298" s="61"/>
      <c r="R298" s="61"/>
      <c r="S298" s="61"/>
      <c r="T298" s="61"/>
      <c r="U298" s="61"/>
      <c r="V298" s="61"/>
      <c r="W298" s="61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spans="1:36" ht="11.25" customHeight="1" x14ac:dyDescent="0.2">
      <c r="A299" s="57" t="s">
        <v>59</v>
      </c>
      <c r="B299" s="57" t="s">
        <v>35</v>
      </c>
      <c r="C299" s="57" t="s">
        <v>44</v>
      </c>
      <c r="D299" s="57" t="s">
        <v>45</v>
      </c>
      <c r="E299" s="57" t="s">
        <v>25</v>
      </c>
      <c r="F299" s="57" t="s">
        <v>25</v>
      </c>
      <c r="G299" s="57" t="s">
        <v>25</v>
      </c>
      <c r="H299" s="57" t="s">
        <v>38</v>
      </c>
      <c r="I299" s="82">
        <v>44470</v>
      </c>
      <c r="J299" s="83">
        <f ca="1">EFEITO!$J$299*EFEITO!$Y$299</f>
        <v>560095.38907201309</v>
      </c>
      <c r="K299" s="83">
        <f ca="1">EFEITO!$L$299*EFEITO!$Z$299</f>
        <v>887941.32524379238</v>
      </c>
      <c r="L299" s="83">
        <f>EFEITO!$N$299*EFEITO!$AA$299</f>
        <v>1490766.1863851151</v>
      </c>
      <c r="M299" s="83">
        <f ca="1">$J$299-EFEITO!$K$299*EFEITO!$Y$299</f>
        <v>0</v>
      </c>
      <c r="N299" s="83">
        <f ca="1">$K$299-EFEITO!$M$299*EFEITO!$Z$299</f>
        <v>0</v>
      </c>
      <c r="O299" s="83">
        <f>$L$299-EFEITO!$O$299*EFEITO!$AA$299</f>
        <v>0</v>
      </c>
      <c r="P299" s="61"/>
      <c r="Q299" s="61"/>
      <c r="R299" s="61"/>
      <c r="S299" s="61"/>
      <c r="T299" s="61"/>
      <c r="U299" s="61"/>
      <c r="V299" s="61"/>
      <c r="W299" s="61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spans="1:36" ht="11.25" customHeight="1" x14ac:dyDescent="0.2">
      <c r="A300" s="57" t="s">
        <v>59</v>
      </c>
      <c r="B300" s="57" t="s">
        <v>35</v>
      </c>
      <c r="C300" s="57" t="s">
        <v>44</v>
      </c>
      <c r="D300" s="57" t="s">
        <v>45</v>
      </c>
      <c r="E300" s="57" t="s">
        <v>25</v>
      </c>
      <c r="F300" s="57" t="s">
        <v>25</v>
      </c>
      <c r="G300" s="57" t="s">
        <v>25</v>
      </c>
      <c r="H300" s="57" t="s">
        <v>38</v>
      </c>
      <c r="I300" s="82">
        <v>44470</v>
      </c>
      <c r="J300" s="83">
        <f ca="1">EFEITO!$J$300*EFEITO!$Y$300</f>
        <v>-8876.7184403408955</v>
      </c>
      <c r="K300" s="83">
        <f ca="1">EFEITO!$L$300*EFEITO!$Z$300</f>
        <v>57.968603177306683</v>
      </c>
      <c r="L300" s="83">
        <f>EFEITO!$N$300*EFEITO!$AA$300</f>
        <v>97.323585502655604</v>
      </c>
      <c r="M300" s="83">
        <f ca="1">$J$300-EFEITO!$K$300*EFEITO!$Y$300</f>
        <v>0</v>
      </c>
      <c r="N300" s="83">
        <f ca="1">$K$300-EFEITO!$M$300*EFEITO!$Z$300</f>
        <v>0</v>
      </c>
      <c r="O300" s="83">
        <f>$L$300-EFEITO!$O$300*EFEITO!$AA$300</f>
        <v>0</v>
      </c>
      <c r="P300" s="61"/>
      <c r="Q300" s="61"/>
      <c r="R300" s="61"/>
      <c r="S300" s="61"/>
      <c r="T300" s="61"/>
      <c r="U300" s="61"/>
      <c r="V300" s="61"/>
      <c r="W300" s="61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spans="1:36" ht="11.25" customHeight="1" x14ac:dyDescent="0.2">
      <c r="A301" s="57" t="s">
        <v>59</v>
      </c>
      <c r="B301" s="57" t="s">
        <v>35</v>
      </c>
      <c r="C301" s="57" t="s">
        <v>44</v>
      </c>
      <c r="D301" s="57" t="s">
        <v>45</v>
      </c>
      <c r="E301" s="57" t="s">
        <v>25</v>
      </c>
      <c r="F301" s="57" t="s">
        <v>25</v>
      </c>
      <c r="G301" s="57" t="s">
        <v>25</v>
      </c>
      <c r="H301" s="57" t="s">
        <v>38</v>
      </c>
      <c r="I301" s="82">
        <v>44470</v>
      </c>
      <c r="J301" s="83">
        <f ca="1">EFEITO!$J$301*EFEITO!$Y$301</f>
        <v>16252.696712710489</v>
      </c>
      <c r="K301" s="83">
        <f ca="1">EFEITO!$L$301*EFEITO!$Z$301</f>
        <v>3921.9804370599882</v>
      </c>
      <c r="L301" s="83">
        <f>EFEITO!$N$301*EFEITO!$AA$301</f>
        <v>6584.619561013973</v>
      </c>
      <c r="M301" s="83">
        <f ca="1">$J$301-EFEITO!$K$301*EFEITO!$Y$301</f>
        <v>0</v>
      </c>
      <c r="N301" s="83">
        <f ca="1">$K$301-EFEITO!$M$301*EFEITO!$Z$301</f>
        <v>0</v>
      </c>
      <c r="O301" s="83">
        <f>$L$301-EFEITO!$O$301*EFEITO!$AA$301</f>
        <v>0</v>
      </c>
      <c r="P301" s="61"/>
      <c r="Q301" s="61"/>
      <c r="R301" s="61"/>
      <c r="S301" s="61"/>
      <c r="T301" s="61"/>
      <c r="U301" s="61"/>
      <c r="V301" s="61"/>
      <c r="W301" s="61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spans="1:36" ht="11.25" customHeight="1" x14ac:dyDescent="0.2">
      <c r="A302" s="57" t="s">
        <v>59</v>
      </c>
      <c r="B302" s="57" t="s">
        <v>35</v>
      </c>
      <c r="C302" s="57" t="s">
        <v>44</v>
      </c>
      <c r="D302" s="57" t="s">
        <v>45</v>
      </c>
      <c r="E302" s="57" t="s">
        <v>25</v>
      </c>
      <c r="F302" s="57" t="s">
        <v>25</v>
      </c>
      <c r="G302" s="57" t="s">
        <v>25</v>
      </c>
      <c r="H302" s="57" t="s">
        <v>38</v>
      </c>
      <c r="I302" s="82">
        <v>44470</v>
      </c>
      <c r="J302" s="83">
        <f ca="1">EFEITO!$J$302*EFEITO!$Y$302</f>
        <v>15550.222591532432</v>
      </c>
      <c r="K302" s="83">
        <f ca="1">EFEITO!$L$302*EFEITO!$Z$302</f>
        <v>16177.116094239142</v>
      </c>
      <c r="L302" s="83">
        <f>EFEITO!$N$302*EFEITO!$AA$302</f>
        <v>27159.787455434405</v>
      </c>
      <c r="M302" s="83">
        <f ca="1">$J$302-EFEITO!$K$302*EFEITO!$Y$302</f>
        <v>0</v>
      </c>
      <c r="N302" s="83">
        <f ca="1">$K$302-EFEITO!$M$302*EFEITO!$Z$302</f>
        <v>0</v>
      </c>
      <c r="O302" s="83">
        <f>$L$302-EFEITO!$O$302*EFEITO!$AA$302</f>
        <v>0</v>
      </c>
      <c r="P302" s="61"/>
      <c r="Q302" s="61"/>
      <c r="R302" s="61"/>
      <c r="S302" s="61"/>
      <c r="T302" s="61"/>
      <c r="U302" s="61"/>
      <c r="V302" s="61"/>
      <c r="W302" s="61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spans="1:36" ht="11.25" customHeight="1" x14ac:dyDescent="0.2">
      <c r="A303" s="57" t="s">
        <v>59</v>
      </c>
      <c r="B303" s="57" t="s">
        <v>35</v>
      </c>
      <c r="C303" s="57" t="s">
        <v>44</v>
      </c>
      <c r="D303" s="57" t="s">
        <v>45</v>
      </c>
      <c r="E303" s="57" t="s">
        <v>25</v>
      </c>
      <c r="F303" s="57" t="s">
        <v>25</v>
      </c>
      <c r="G303" s="57" t="s">
        <v>25</v>
      </c>
      <c r="H303" s="57" t="s">
        <v>38</v>
      </c>
      <c r="I303" s="82">
        <v>44470</v>
      </c>
      <c r="J303" s="83">
        <f ca="1">EFEITO!$J$303*EFEITO!$Y$303</f>
        <v>-4214.8447270683391</v>
      </c>
      <c r="K303" s="83">
        <f ca="1">EFEITO!$L$303*EFEITO!$Z$303</f>
        <v>-3164.6813013657547</v>
      </c>
      <c r="L303" s="83">
        <f>EFEITO!$N$303*EFEITO!$AA$303</f>
        <v>-5313.1887666856765</v>
      </c>
      <c r="M303" s="83">
        <f ca="1">$J$303-EFEITO!$K$303*EFEITO!$Y$303</f>
        <v>0</v>
      </c>
      <c r="N303" s="83">
        <f ca="1">$K$303-EFEITO!$M$303*EFEITO!$Z$303</f>
        <v>0</v>
      </c>
      <c r="O303" s="83">
        <f>$L$303-EFEITO!$O$303*EFEITO!$AA$303</f>
        <v>0</v>
      </c>
      <c r="P303" s="61"/>
      <c r="Q303" s="61"/>
      <c r="R303" s="61"/>
      <c r="S303" s="61"/>
      <c r="T303" s="61"/>
      <c r="U303" s="61"/>
      <c r="V303" s="61"/>
      <c r="W303" s="61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spans="1:36" ht="11.25" customHeight="1" x14ac:dyDescent="0.2">
      <c r="A304" s="57" t="s">
        <v>59</v>
      </c>
      <c r="B304" s="57" t="s">
        <v>35</v>
      </c>
      <c r="C304" s="57" t="s">
        <v>44</v>
      </c>
      <c r="D304" s="57" t="s">
        <v>45</v>
      </c>
      <c r="E304" s="57" t="s">
        <v>25</v>
      </c>
      <c r="F304" s="57" t="s">
        <v>25</v>
      </c>
      <c r="G304" s="57" t="s">
        <v>25</v>
      </c>
      <c r="H304" s="57" t="s">
        <v>38</v>
      </c>
      <c r="I304" s="82">
        <v>44470</v>
      </c>
      <c r="J304" s="83">
        <f ca="1">EFEITO!$J$304*EFEITO!$Y$304</f>
        <v>44702.898620421773</v>
      </c>
      <c r="K304" s="83">
        <f ca="1">EFEITO!$L$304*EFEITO!$Z$304</f>
        <v>0</v>
      </c>
      <c r="L304" s="83">
        <f>EFEITO!$N$304*EFEITO!$AA$304</f>
        <v>0</v>
      </c>
      <c r="M304" s="83">
        <f ca="1">$J$304-EFEITO!$K$304*EFEITO!$Y$304</f>
        <v>0</v>
      </c>
      <c r="N304" s="83">
        <f ca="1">$K$304-EFEITO!$M$304*EFEITO!$Z$304</f>
        <v>0</v>
      </c>
      <c r="O304" s="83">
        <f>$L$304-EFEITO!$O$304*EFEITO!$AA$304</f>
        <v>0</v>
      </c>
      <c r="P304" s="61"/>
      <c r="Q304" s="61"/>
      <c r="R304" s="61"/>
      <c r="S304" s="61"/>
      <c r="T304" s="61"/>
      <c r="U304" s="61"/>
      <c r="V304" s="61"/>
      <c r="W304" s="61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spans="1:36" ht="11.25" customHeight="1" x14ac:dyDescent="0.2">
      <c r="A305" s="57" t="s">
        <v>21</v>
      </c>
      <c r="B305" s="57" t="s">
        <v>35</v>
      </c>
      <c r="C305" s="57" t="s">
        <v>44</v>
      </c>
      <c r="D305" s="57" t="s">
        <v>45</v>
      </c>
      <c r="E305" s="57" t="s">
        <v>25</v>
      </c>
      <c r="F305" s="57" t="s">
        <v>25</v>
      </c>
      <c r="G305" s="57" t="s">
        <v>25</v>
      </c>
      <c r="H305" s="57" t="s">
        <v>25</v>
      </c>
      <c r="I305" s="82">
        <v>44287</v>
      </c>
      <c r="J305" s="83">
        <f>EFEITO!$J$305*EFEITO!$Y$305</f>
        <v>0</v>
      </c>
      <c r="K305" s="83">
        <f ca="1">EFEITO!$L$305*EFEITO!$Z$305</f>
        <v>124385.79324094317</v>
      </c>
      <c r="L305" s="83">
        <f>EFEITO!$N$305*EFEITO!$AA$305</f>
        <v>0</v>
      </c>
      <c r="M305" s="83">
        <f>$J$305-EFEITO!$K$305*EFEITO!$Y$305</f>
        <v>0</v>
      </c>
      <c r="N305" s="83">
        <f ca="1">$K$305-EFEITO!$M$305*EFEITO!$Z$305</f>
        <v>0</v>
      </c>
      <c r="O305" s="83">
        <f>$L$305-EFEITO!$O$305*EFEITO!$AA$305</f>
        <v>0</v>
      </c>
      <c r="P305" s="61"/>
      <c r="Q305" s="61"/>
      <c r="R305" s="61"/>
      <c r="S305" s="61"/>
      <c r="T305" s="61"/>
      <c r="U305" s="61"/>
      <c r="V305" s="61"/>
      <c r="W305" s="61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spans="1:36" ht="11.25" customHeight="1" x14ac:dyDescent="0.2">
      <c r="A306" s="57" t="s">
        <v>21</v>
      </c>
      <c r="B306" s="57" t="s">
        <v>35</v>
      </c>
      <c r="C306" s="57" t="s">
        <v>44</v>
      </c>
      <c r="D306" s="57" t="s">
        <v>45</v>
      </c>
      <c r="E306" s="57" t="s">
        <v>25</v>
      </c>
      <c r="F306" s="57" t="s">
        <v>25</v>
      </c>
      <c r="G306" s="57" t="s">
        <v>25</v>
      </c>
      <c r="H306" s="57" t="s">
        <v>25</v>
      </c>
      <c r="I306" s="82">
        <v>44317</v>
      </c>
      <c r="J306" s="83">
        <f>EFEITO!$J$306*EFEITO!$Y$306</f>
        <v>0</v>
      </c>
      <c r="K306" s="83">
        <f ca="1">EFEITO!$L$306*EFEITO!$Z$306</f>
        <v>105332.99629431816</v>
      </c>
      <c r="L306" s="83">
        <f>EFEITO!$N$306*EFEITO!$AA$306</f>
        <v>0</v>
      </c>
      <c r="M306" s="83">
        <f>$J$306-EFEITO!$K$306*EFEITO!$Y$306</f>
        <v>0</v>
      </c>
      <c r="N306" s="83">
        <f ca="1">$K$306-EFEITO!$M$306*EFEITO!$Z$306</f>
        <v>0</v>
      </c>
      <c r="O306" s="83">
        <f>$L$306-EFEITO!$O$306*EFEITO!$AA$306</f>
        <v>0</v>
      </c>
      <c r="P306" s="61"/>
      <c r="Q306" s="61"/>
      <c r="R306" s="61"/>
      <c r="S306" s="61"/>
      <c r="T306" s="61"/>
      <c r="U306" s="61"/>
      <c r="V306" s="61"/>
      <c r="W306" s="61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spans="1:36" ht="11.25" customHeight="1" x14ac:dyDescent="0.2">
      <c r="A307" s="57" t="s">
        <v>21</v>
      </c>
      <c r="B307" s="57" t="s">
        <v>35</v>
      </c>
      <c r="C307" s="57" t="s">
        <v>44</v>
      </c>
      <c r="D307" s="57" t="s">
        <v>45</v>
      </c>
      <c r="E307" s="57" t="s">
        <v>25</v>
      </c>
      <c r="F307" s="57" t="s">
        <v>25</v>
      </c>
      <c r="G307" s="57" t="s">
        <v>25</v>
      </c>
      <c r="H307" s="57" t="s">
        <v>25</v>
      </c>
      <c r="I307" s="82">
        <v>44378</v>
      </c>
      <c r="J307" s="83">
        <f>EFEITO!$J$307*EFEITO!$Y$307</f>
        <v>0</v>
      </c>
      <c r="K307" s="83">
        <f ca="1">EFEITO!$L$307*EFEITO!$Z$307</f>
        <v>102023.05645824647</v>
      </c>
      <c r="L307" s="83">
        <f>EFEITO!$N$307*EFEITO!$AA$307</f>
        <v>0</v>
      </c>
      <c r="M307" s="83">
        <f>$J$307-EFEITO!$K$307*EFEITO!$Y$307</f>
        <v>0</v>
      </c>
      <c r="N307" s="83">
        <f ca="1">$K$307-EFEITO!$M$307*EFEITO!$Z$307</f>
        <v>0</v>
      </c>
      <c r="O307" s="83">
        <f>$L$307-EFEITO!$O$307*EFEITO!$AA$307</f>
        <v>0</v>
      </c>
      <c r="P307" s="61"/>
      <c r="Q307" s="61"/>
      <c r="R307" s="61"/>
      <c r="S307" s="61"/>
      <c r="T307" s="61"/>
      <c r="U307" s="61"/>
      <c r="V307" s="61"/>
      <c r="W307" s="61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spans="1:36" ht="11.25" customHeight="1" x14ac:dyDescent="0.2">
      <c r="A308" s="57" t="s">
        <v>21</v>
      </c>
      <c r="B308" s="57" t="s">
        <v>35</v>
      </c>
      <c r="C308" s="57" t="s">
        <v>44</v>
      </c>
      <c r="D308" s="57" t="s">
        <v>45</v>
      </c>
      <c r="E308" s="57" t="s">
        <v>25</v>
      </c>
      <c r="F308" s="57" t="s">
        <v>25</v>
      </c>
      <c r="G308" s="57" t="s">
        <v>25</v>
      </c>
      <c r="H308" s="57" t="s">
        <v>25</v>
      </c>
      <c r="I308" s="82">
        <v>44409</v>
      </c>
      <c r="J308" s="83">
        <f>EFEITO!$J$308*EFEITO!$Y$308</f>
        <v>0</v>
      </c>
      <c r="K308" s="83">
        <f ca="1">EFEITO!$L$308*EFEITO!$Z$308</f>
        <v>93124.201817004578</v>
      </c>
      <c r="L308" s="83">
        <f>EFEITO!$N$308*EFEITO!$AA$308</f>
        <v>0</v>
      </c>
      <c r="M308" s="83">
        <f>$J$308-EFEITO!$K$308*EFEITO!$Y$308</f>
        <v>0</v>
      </c>
      <c r="N308" s="83">
        <f ca="1">$K$308-EFEITO!$M$308*EFEITO!$Z$308</f>
        <v>0</v>
      </c>
      <c r="O308" s="83">
        <f>$L$308-EFEITO!$O$308*EFEITO!$AA$308</f>
        <v>0</v>
      </c>
      <c r="P308" s="61"/>
      <c r="Q308" s="61"/>
      <c r="R308" s="61"/>
      <c r="S308" s="61"/>
      <c r="T308" s="61"/>
      <c r="U308" s="61"/>
      <c r="V308" s="61"/>
      <c r="W308" s="61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spans="1:36" ht="11.25" customHeight="1" x14ac:dyDescent="0.2">
      <c r="A309" s="57" t="s">
        <v>21</v>
      </c>
      <c r="B309" s="57" t="s">
        <v>35</v>
      </c>
      <c r="C309" s="57" t="s">
        <v>44</v>
      </c>
      <c r="D309" s="57" t="s">
        <v>45</v>
      </c>
      <c r="E309" s="57" t="s">
        <v>25</v>
      </c>
      <c r="F309" s="57" t="s">
        <v>25</v>
      </c>
      <c r="G309" s="57" t="s">
        <v>25</v>
      </c>
      <c r="H309" s="57" t="s">
        <v>25</v>
      </c>
      <c r="I309" s="82">
        <v>44440</v>
      </c>
      <c r="J309" s="83">
        <f>EFEITO!$J$309*EFEITO!$Y$309</f>
        <v>0</v>
      </c>
      <c r="K309" s="83">
        <f ca="1">EFEITO!$L$309*EFEITO!$Z$309</f>
        <v>81847.286338442485</v>
      </c>
      <c r="L309" s="83">
        <f>EFEITO!$N$309*EFEITO!$AA$309</f>
        <v>0</v>
      </c>
      <c r="M309" s="83">
        <f>$J$309-EFEITO!$K$309*EFEITO!$Y$309</f>
        <v>0</v>
      </c>
      <c r="N309" s="83">
        <f ca="1">$K$309-EFEITO!$M$309*EFEITO!$Z$309</f>
        <v>0</v>
      </c>
      <c r="O309" s="83">
        <f>$L$309-EFEITO!$O$309*EFEITO!$AA$309</f>
        <v>0</v>
      </c>
      <c r="P309" s="61"/>
      <c r="Q309" s="61"/>
      <c r="R309" s="61"/>
      <c r="S309" s="61"/>
      <c r="T309" s="61"/>
      <c r="U309" s="61"/>
      <c r="V309" s="61"/>
      <c r="W309" s="61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spans="1:36" ht="11.25" customHeight="1" x14ac:dyDescent="0.2">
      <c r="A310" s="57" t="s">
        <v>59</v>
      </c>
      <c r="B310" s="57" t="s">
        <v>35</v>
      </c>
      <c r="C310" s="57" t="s">
        <v>44</v>
      </c>
      <c r="D310" s="57" t="s">
        <v>45</v>
      </c>
      <c r="E310" s="57" t="s">
        <v>25</v>
      </c>
      <c r="F310" s="57" t="s">
        <v>25</v>
      </c>
      <c r="G310" s="57" t="s">
        <v>25</v>
      </c>
      <c r="H310" s="57" t="s">
        <v>25</v>
      </c>
      <c r="I310" s="82">
        <v>44470</v>
      </c>
      <c r="J310" s="83">
        <f>EFEITO!$J$310*EFEITO!$Y$310</f>
        <v>0</v>
      </c>
      <c r="K310" s="83">
        <f ca="1">EFEITO!$L$310*EFEITO!$Z$310</f>
        <v>81847.286338442485</v>
      </c>
      <c r="L310" s="83">
        <f>EFEITO!$N$310*EFEITO!$AA$310</f>
        <v>0</v>
      </c>
      <c r="M310" s="83">
        <f>$J$310-EFEITO!$K$310*EFEITO!$Y$310</f>
        <v>0</v>
      </c>
      <c r="N310" s="83">
        <f ca="1">$K$310-EFEITO!$M$310*EFEITO!$Z$310</f>
        <v>0</v>
      </c>
      <c r="O310" s="83">
        <f>$L$310-EFEITO!$O$310*EFEITO!$AA$310</f>
        <v>0</v>
      </c>
      <c r="P310" s="61"/>
      <c r="Q310" s="61"/>
      <c r="R310" s="61"/>
      <c r="S310" s="61"/>
      <c r="T310" s="61"/>
      <c r="U310" s="61"/>
      <c r="V310" s="61"/>
      <c r="W310" s="61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spans="1:36" ht="11.25" customHeight="1" x14ac:dyDescent="0.2">
      <c r="A311" s="57" t="s">
        <v>21</v>
      </c>
      <c r="B311" s="57" t="s">
        <v>35</v>
      </c>
      <c r="C311" s="57" t="s">
        <v>44</v>
      </c>
      <c r="D311" s="57" t="s">
        <v>45</v>
      </c>
      <c r="E311" s="57" t="s">
        <v>25</v>
      </c>
      <c r="F311" s="57" t="s">
        <v>25</v>
      </c>
      <c r="G311" s="57" t="s">
        <v>25</v>
      </c>
      <c r="H311" s="57" t="s">
        <v>37</v>
      </c>
      <c r="I311" s="82">
        <v>44136</v>
      </c>
      <c r="J311" s="83">
        <f ca="1">EFEITO!$J$311*EFEITO!$Y$311</f>
        <v>845636.43299804593</v>
      </c>
      <c r="K311" s="83">
        <f ca="1">EFEITO!$L$311*EFEITO!$Z$311</f>
        <v>65864.466172876113</v>
      </c>
      <c r="L311" s="83">
        <f>EFEITO!$N$311*EFEITO!$AA$311</f>
        <v>177577.04674622451</v>
      </c>
      <c r="M311" s="83">
        <f ca="1">$J$311-EFEITO!$K$311*EFEITO!$Y$311</f>
        <v>0</v>
      </c>
      <c r="N311" s="83">
        <f ca="1">$K$311-EFEITO!$M$311*EFEITO!$Z$311</f>
        <v>0</v>
      </c>
      <c r="O311" s="83">
        <f>$L$311-EFEITO!$O$311*EFEITO!$AA$311</f>
        <v>0</v>
      </c>
      <c r="P311" s="61"/>
      <c r="Q311" s="61"/>
      <c r="R311" s="61"/>
      <c r="S311" s="61"/>
      <c r="T311" s="61"/>
      <c r="U311" s="61"/>
      <c r="V311" s="61"/>
      <c r="W311" s="61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spans="1:36" ht="11.25" customHeight="1" x14ac:dyDescent="0.2">
      <c r="A312" s="57" t="s">
        <v>28</v>
      </c>
      <c r="B312" s="57" t="s">
        <v>35</v>
      </c>
      <c r="C312" s="57" t="s">
        <v>44</v>
      </c>
      <c r="D312" s="57" t="s">
        <v>45</v>
      </c>
      <c r="E312" s="57" t="s">
        <v>25</v>
      </c>
      <c r="F312" s="57" t="s">
        <v>25</v>
      </c>
      <c r="G312" s="57" t="s">
        <v>25</v>
      </c>
      <c r="H312" s="57" t="s">
        <v>37</v>
      </c>
      <c r="I312" s="82">
        <v>44136</v>
      </c>
      <c r="J312" s="83">
        <f ca="1">EFEITO!$J$312*EFEITO!$Y$312</f>
        <v>37581.206962060925</v>
      </c>
      <c r="K312" s="83">
        <f ca="1">EFEITO!$L$312*EFEITO!$Z$312</f>
        <v>1865.4431313162356</v>
      </c>
      <c r="L312" s="83">
        <f>EFEITO!$N$312*EFEITO!$AA$312</f>
        <v>5029.4172469674386</v>
      </c>
      <c r="M312" s="83">
        <f ca="1">$J$312-EFEITO!$K$312*EFEITO!$Y$312</f>
        <v>0</v>
      </c>
      <c r="N312" s="83">
        <f ca="1">$K$312-EFEITO!$M$312*EFEITO!$Z$312</f>
        <v>0</v>
      </c>
      <c r="O312" s="83">
        <f>$L$312-EFEITO!$O$312*EFEITO!$AA$312</f>
        <v>0</v>
      </c>
      <c r="P312" s="61"/>
      <c r="Q312" s="61"/>
      <c r="R312" s="61"/>
      <c r="S312" s="61"/>
      <c r="T312" s="61"/>
      <c r="U312" s="61"/>
      <c r="V312" s="61"/>
      <c r="W312" s="61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spans="1:36" ht="11.25" customHeight="1" x14ac:dyDescent="0.2">
      <c r="A313" s="57" t="s">
        <v>30</v>
      </c>
      <c r="B313" s="57" t="s">
        <v>35</v>
      </c>
      <c r="C313" s="57" t="s">
        <v>44</v>
      </c>
      <c r="D313" s="57" t="s">
        <v>45</v>
      </c>
      <c r="E313" s="57" t="s">
        <v>25</v>
      </c>
      <c r="F313" s="57" t="s">
        <v>25</v>
      </c>
      <c r="G313" s="57" t="s">
        <v>25</v>
      </c>
      <c r="H313" s="57" t="s">
        <v>37</v>
      </c>
      <c r="I313" s="82">
        <v>44136</v>
      </c>
      <c r="J313" s="83">
        <f ca="1">EFEITO!$J$313*EFEITO!$Y$313</f>
        <v>26140.871088752156</v>
      </c>
      <c r="K313" s="83">
        <f ca="1">EFEITO!$L$313*EFEITO!$Z$313</f>
        <v>3915.408415188142</v>
      </c>
      <c r="L313" s="83">
        <f>EFEITO!$N$313*EFEITO!$AA$313</f>
        <v>10556.32427581648</v>
      </c>
      <c r="M313" s="83">
        <f ca="1">$J$313-EFEITO!$K$313*EFEITO!$Y$313</f>
        <v>0</v>
      </c>
      <c r="N313" s="83">
        <f ca="1">$K$313-EFEITO!$M$313*EFEITO!$Z$313</f>
        <v>0</v>
      </c>
      <c r="O313" s="83">
        <f>$L$313-EFEITO!$O$313*EFEITO!$AA$313</f>
        <v>0</v>
      </c>
      <c r="P313" s="61"/>
      <c r="Q313" s="61"/>
      <c r="R313" s="61"/>
      <c r="S313" s="61"/>
      <c r="T313" s="61"/>
      <c r="U313" s="61"/>
      <c r="V313" s="61"/>
      <c r="W313" s="61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spans="1:36" ht="11.25" customHeight="1" x14ac:dyDescent="0.2">
      <c r="A314" s="57" t="s">
        <v>21</v>
      </c>
      <c r="B314" s="57" t="s">
        <v>35</v>
      </c>
      <c r="C314" s="57" t="s">
        <v>44</v>
      </c>
      <c r="D314" s="57" t="s">
        <v>45</v>
      </c>
      <c r="E314" s="57" t="s">
        <v>25</v>
      </c>
      <c r="F314" s="57" t="s">
        <v>25</v>
      </c>
      <c r="G314" s="57" t="s">
        <v>25</v>
      </c>
      <c r="H314" s="57" t="s">
        <v>37</v>
      </c>
      <c r="I314" s="82">
        <v>44166</v>
      </c>
      <c r="J314" s="83">
        <f ca="1">EFEITO!$J$314*EFEITO!$Y$314</f>
        <v>834551.75523478817</v>
      </c>
      <c r="K314" s="83">
        <f ca="1">EFEITO!$L$314*EFEITO!$Z$314</f>
        <v>71023.671855656401</v>
      </c>
      <c r="L314" s="83">
        <f>EFEITO!$N$314*EFEITO!$AA$314</f>
        <v>191486.77018192052</v>
      </c>
      <c r="M314" s="83">
        <f ca="1">$J$314-EFEITO!$K$314*EFEITO!$Y$314</f>
        <v>0</v>
      </c>
      <c r="N314" s="83">
        <f ca="1">$K$314-EFEITO!$M$314*EFEITO!$Z$314</f>
        <v>0</v>
      </c>
      <c r="O314" s="83">
        <f>$L$314-EFEITO!$O$314*EFEITO!$AA$314</f>
        <v>0</v>
      </c>
      <c r="P314" s="61"/>
      <c r="Q314" s="61"/>
      <c r="R314" s="61"/>
      <c r="S314" s="61"/>
      <c r="T314" s="61"/>
      <c r="U314" s="61"/>
      <c r="V314" s="61"/>
      <c r="W314" s="61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spans="1:36" ht="11.25" customHeight="1" x14ac:dyDescent="0.2">
      <c r="A315" s="57" t="s">
        <v>28</v>
      </c>
      <c r="B315" s="57" t="s">
        <v>35</v>
      </c>
      <c r="C315" s="57" t="s">
        <v>44</v>
      </c>
      <c r="D315" s="57" t="s">
        <v>45</v>
      </c>
      <c r="E315" s="57" t="s">
        <v>25</v>
      </c>
      <c r="F315" s="57" t="s">
        <v>25</v>
      </c>
      <c r="G315" s="57" t="s">
        <v>25</v>
      </c>
      <c r="H315" s="57" t="s">
        <v>37</v>
      </c>
      <c r="I315" s="82">
        <v>44166</v>
      </c>
      <c r="J315" s="83">
        <f ca="1">EFEITO!$J$315*EFEITO!$Y$315</f>
        <v>41078.511710896244</v>
      </c>
      <c r="K315" s="83">
        <f ca="1">EFEITO!$L$315*EFEITO!$Z$315</f>
        <v>2278.8064557172047</v>
      </c>
      <c r="L315" s="83">
        <f>EFEITO!$N$315*EFEITO!$AA$315</f>
        <v>6143.8852240958149</v>
      </c>
      <c r="M315" s="83">
        <f ca="1">$J$315-EFEITO!$K$315*EFEITO!$Y$315</f>
        <v>0</v>
      </c>
      <c r="N315" s="83">
        <f ca="1">$K$315-EFEITO!$M$315*EFEITO!$Z$315</f>
        <v>0</v>
      </c>
      <c r="O315" s="83">
        <f>$L$315-EFEITO!$O$315*EFEITO!$AA$315</f>
        <v>0</v>
      </c>
      <c r="P315" s="61"/>
      <c r="Q315" s="61"/>
      <c r="R315" s="61"/>
      <c r="S315" s="61"/>
      <c r="T315" s="61"/>
      <c r="U315" s="61"/>
      <c r="V315" s="61"/>
      <c r="W315" s="61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spans="1:36" ht="11.25" customHeight="1" x14ac:dyDescent="0.2">
      <c r="A316" s="57" t="s">
        <v>30</v>
      </c>
      <c r="B316" s="57" t="s">
        <v>35</v>
      </c>
      <c r="C316" s="57" t="s">
        <v>44</v>
      </c>
      <c r="D316" s="57" t="s">
        <v>45</v>
      </c>
      <c r="E316" s="57" t="s">
        <v>25</v>
      </c>
      <c r="F316" s="57" t="s">
        <v>25</v>
      </c>
      <c r="G316" s="57" t="s">
        <v>25</v>
      </c>
      <c r="H316" s="57" t="s">
        <v>37</v>
      </c>
      <c r="I316" s="82">
        <v>44166</v>
      </c>
      <c r="J316" s="83">
        <f ca="1">EFEITO!$J$316*EFEITO!$Y$316</f>
        <v>21458.039306413335</v>
      </c>
      <c r="K316" s="83">
        <f ca="1">EFEITO!$L$316*EFEITO!$Z$316</f>
        <v>697.81391208496223</v>
      </c>
      <c r="L316" s="83">
        <f>EFEITO!$N$316*EFEITO!$AA$316</f>
        <v>1881.3745997915235</v>
      </c>
      <c r="M316" s="83">
        <f ca="1">$J$316-EFEITO!$K$316*EFEITO!$Y$316</f>
        <v>0</v>
      </c>
      <c r="N316" s="83">
        <f ca="1">$K$316-EFEITO!$M$316*EFEITO!$Z$316</f>
        <v>0</v>
      </c>
      <c r="O316" s="83">
        <f>$L$316-EFEITO!$O$316*EFEITO!$AA$316</f>
        <v>0</v>
      </c>
      <c r="P316" s="61"/>
      <c r="Q316" s="61"/>
      <c r="R316" s="61"/>
      <c r="S316" s="61"/>
      <c r="T316" s="61"/>
      <c r="U316" s="61"/>
      <c r="V316" s="61"/>
      <c r="W316" s="61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spans="1:36" ht="11.25" customHeight="1" x14ac:dyDescent="0.2">
      <c r="A317" s="57" t="s">
        <v>21</v>
      </c>
      <c r="B317" s="57" t="s">
        <v>35</v>
      </c>
      <c r="C317" s="57" t="s">
        <v>44</v>
      </c>
      <c r="D317" s="57" t="s">
        <v>45</v>
      </c>
      <c r="E317" s="57" t="s">
        <v>25</v>
      </c>
      <c r="F317" s="57" t="s">
        <v>25</v>
      </c>
      <c r="G317" s="57" t="s">
        <v>25</v>
      </c>
      <c r="H317" s="57" t="s">
        <v>37</v>
      </c>
      <c r="I317" s="82">
        <v>44197</v>
      </c>
      <c r="J317" s="83">
        <f ca="1">EFEITO!$J$317*EFEITO!$Y$317</f>
        <v>835085.24239986483</v>
      </c>
      <c r="K317" s="83">
        <f ca="1">EFEITO!$L$317*EFEITO!$Z$317</f>
        <v>61520.696742348693</v>
      </c>
      <c r="L317" s="83">
        <f>EFEITO!$N$317*EFEITO!$AA$317</f>
        <v>165865.81925073403</v>
      </c>
      <c r="M317" s="83">
        <f ca="1">$J$317-EFEITO!$K$317*EFEITO!$Y$317</f>
        <v>0</v>
      </c>
      <c r="N317" s="83">
        <f ca="1">$K$317-EFEITO!$M$317*EFEITO!$Z$317</f>
        <v>0</v>
      </c>
      <c r="O317" s="83">
        <f>$L$317-EFEITO!$O$317*EFEITO!$AA$317</f>
        <v>0</v>
      </c>
      <c r="P317" s="61"/>
      <c r="Q317" s="61"/>
      <c r="R317" s="61"/>
      <c r="S317" s="61"/>
      <c r="T317" s="61"/>
      <c r="U317" s="61"/>
      <c r="V317" s="61"/>
      <c r="W317" s="61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spans="1:36" ht="11.25" customHeight="1" x14ac:dyDescent="0.2">
      <c r="A318" s="57" t="s">
        <v>27</v>
      </c>
      <c r="B318" s="57" t="s">
        <v>35</v>
      </c>
      <c r="C318" s="57" t="s">
        <v>44</v>
      </c>
      <c r="D318" s="57" t="s">
        <v>45</v>
      </c>
      <c r="E318" s="57" t="s">
        <v>25</v>
      </c>
      <c r="F318" s="57" t="s">
        <v>25</v>
      </c>
      <c r="G318" s="57" t="s">
        <v>25</v>
      </c>
      <c r="H318" s="57" t="s">
        <v>37</v>
      </c>
      <c r="I318" s="82">
        <v>44197</v>
      </c>
      <c r="J318" s="83">
        <f ca="1">EFEITO!$J$318*EFEITO!$Y$318</f>
        <v>-296.38175837587477</v>
      </c>
      <c r="K318" s="83">
        <f ca="1">EFEITO!$L$318*EFEITO!$Z$318</f>
        <v>-1449.5521061953261</v>
      </c>
      <c r="L318" s="83">
        <f>EFEITO!$N$318*EFEITO!$AA$318</f>
        <v>-3908.1343413201366</v>
      </c>
      <c r="M318" s="83">
        <f ca="1">$J$318-EFEITO!$K$318*EFEITO!$Y$318</f>
        <v>0</v>
      </c>
      <c r="N318" s="83">
        <f ca="1">$K$318-EFEITO!$M$318*EFEITO!$Z$318</f>
        <v>0</v>
      </c>
      <c r="O318" s="83">
        <f>$L$318-EFEITO!$O$318*EFEITO!$AA$318</f>
        <v>0</v>
      </c>
      <c r="P318" s="61"/>
      <c r="Q318" s="61"/>
      <c r="R318" s="61"/>
      <c r="S318" s="61"/>
      <c r="T318" s="61"/>
      <c r="U318" s="61"/>
      <c r="V318" s="61"/>
      <c r="W318" s="61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spans="1:36" ht="11.25" customHeight="1" x14ac:dyDescent="0.2">
      <c r="A319" s="57" t="s">
        <v>28</v>
      </c>
      <c r="B319" s="57" t="s">
        <v>35</v>
      </c>
      <c r="C319" s="57" t="s">
        <v>44</v>
      </c>
      <c r="D319" s="57" t="s">
        <v>45</v>
      </c>
      <c r="E319" s="57" t="s">
        <v>25</v>
      </c>
      <c r="F319" s="57" t="s">
        <v>25</v>
      </c>
      <c r="G319" s="57" t="s">
        <v>25</v>
      </c>
      <c r="H319" s="57" t="s">
        <v>37</v>
      </c>
      <c r="I319" s="82">
        <v>44197</v>
      </c>
      <c r="J319" s="83">
        <f ca="1">EFEITO!$J$319*EFEITO!$Y$319</f>
        <v>49555.030000446262</v>
      </c>
      <c r="K319" s="83">
        <f ca="1">EFEITO!$L$319*EFEITO!$Z$319</f>
        <v>1922.2321408242367</v>
      </c>
      <c r="L319" s="83">
        <f>EFEITO!$N$319*EFEITO!$AA$319</f>
        <v>5182.5259743593115</v>
      </c>
      <c r="M319" s="83">
        <f ca="1">$J$319-EFEITO!$K$319*EFEITO!$Y$319</f>
        <v>0</v>
      </c>
      <c r="N319" s="83">
        <f ca="1">$K$319-EFEITO!$M$319*EFEITO!$Z$319</f>
        <v>0</v>
      </c>
      <c r="O319" s="83">
        <f>$L$319-EFEITO!$O$319*EFEITO!$AA$319</f>
        <v>0</v>
      </c>
      <c r="P319" s="61"/>
      <c r="Q319" s="61"/>
      <c r="R319" s="61"/>
      <c r="S319" s="61"/>
      <c r="T319" s="61"/>
      <c r="U319" s="61"/>
      <c r="V319" s="61"/>
      <c r="W319" s="61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spans="1:36" ht="11.25" customHeight="1" x14ac:dyDescent="0.2">
      <c r="A320" s="57" t="s">
        <v>30</v>
      </c>
      <c r="B320" s="57" t="s">
        <v>35</v>
      </c>
      <c r="C320" s="57" t="s">
        <v>44</v>
      </c>
      <c r="D320" s="57" t="s">
        <v>45</v>
      </c>
      <c r="E320" s="57" t="s">
        <v>25</v>
      </c>
      <c r="F320" s="57" t="s">
        <v>25</v>
      </c>
      <c r="G320" s="57" t="s">
        <v>25</v>
      </c>
      <c r="H320" s="57" t="s">
        <v>37</v>
      </c>
      <c r="I320" s="82">
        <v>44197</v>
      </c>
      <c r="J320" s="83">
        <f ca="1">EFEITO!$J$320*EFEITO!$Y$320</f>
        <v>20272.512272909837</v>
      </c>
      <c r="K320" s="83">
        <f ca="1">EFEITO!$L$320*EFEITO!$Z$320</f>
        <v>665.12231610706249</v>
      </c>
      <c r="L320" s="83">
        <f>EFEITO!$N$320*EFEITO!$AA$320</f>
        <v>1793.2348576134129</v>
      </c>
      <c r="M320" s="83">
        <f ca="1">$J$320-EFEITO!$K$320*EFEITO!$Y$320</f>
        <v>0</v>
      </c>
      <c r="N320" s="83">
        <f ca="1">$K$320-EFEITO!$M$320*EFEITO!$Z$320</f>
        <v>0</v>
      </c>
      <c r="O320" s="83">
        <f>$L$320-EFEITO!$O$320*EFEITO!$AA$320</f>
        <v>0</v>
      </c>
      <c r="P320" s="61"/>
      <c r="Q320" s="61"/>
      <c r="R320" s="61"/>
      <c r="S320" s="61"/>
      <c r="T320" s="61"/>
      <c r="U320" s="61"/>
      <c r="V320" s="61"/>
      <c r="W320" s="61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spans="1:36" ht="11.25" customHeight="1" x14ac:dyDescent="0.2">
      <c r="A321" s="57" t="s">
        <v>21</v>
      </c>
      <c r="B321" s="57" t="s">
        <v>35</v>
      </c>
      <c r="C321" s="57" t="s">
        <v>44</v>
      </c>
      <c r="D321" s="57" t="s">
        <v>45</v>
      </c>
      <c r="E321" s="57" t="s">
        <v>25</v>
      </c>
      <c r="F321" s="57" t="s">
        <v>25</v>
      </c>
      <c r="G321" s="57" t="s">
        <v>25</v>
      </c>
      <c r="H321" s="57" t="s">
        <v>37</v>
      </c>
      <c r="I321" s="82">
        <v>44228</v>
      </c>
      <c r="J321" s="83">
        <f ca="1">EFEITO!$J$321*EFEITO!$Y$321</f>
        <v>808470.16049771127</v>
      </c>
      <c r="K321" s="83">
        <f ca="1">EFEITO!$L$321*EFEITO!$Z$321</f>
        <v>52085.464008335381</v>
      </c>
      <c r="L321" s="83">
        <f>EFEITO!$N$321*EFEITO!$AA$321</f>
        <v>140427.50840385474</v>
      </c>
      <c r="M321" s="83">
        <f ca="1">$J$321-EFEITO!$K$321*EFEITO!$Y$321</f>
        <v>0</v>
      </c>
      <c r="N321" s="83">
        <f ca="1">$K$321-EFEITO!$M$321*EFEITO!$Z$321</f>
        <v>0</v>
      </c>
      <c r="O321" s="83">
        <f>$L$321-EFEITO!$O$321*EFEITO!$AA$321</f>
        <v>0</v>
      </c>
      <c r="P321" s="61"/>
      <c r="Q321" s="61"/>
      <c r="R321" s="61"/>
      <c r="S321" s="61"/>
      <c r="T321" s="61"/>
      <c r="U321" s="61"/>
      <c r="V321" s="61"/>
      <c r="W321" s="61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spans="1:36" ht="11.25" customHeight="1" x14ac:dyDescent="0.2">
      <c r="A322" s="57" t="s">
        <v>28</v>
      </c>
      <c r="B322" s="57" t="s">
        <v>35</v>
      </c>
      <c r="C322" s="57" t="s">
        <v>44</v>
      </c>
      <c r="D322" s="57" t="s">
        <v>45</v>
      </c>
      <c r="E322" s="57" t="s">
        <v>25</v>
      </c>
      <c r="F322" s="57" t="s">
        <v>25</v>
      </c>
      <c r="G322" s="57" t="s">
        <v>25</v>
      </c>
      <c r="H322" s="57" t="s">
        <v>37</v>
      </c>
      <c r="I322" s="82">
        <v>44228</v>
      </c>
      <c r="J322" s="83">
        <f ca="1">EFEITO!$J$322*EFEITO!$Y$322</f>
        <v>49317.924593745563</v>
      </c>
      <c r="K322" s="83">
        <f ca="1">EFEITO!$L$322*EFEITO!$Z$322</f>
        <v>1414.164296116156</v>
      </c>
      <c r="L322" s="83">
        <f>EFEITO!$N$322*EFEITO!$AA$322</f>
        <v>3812.725342055171</v>
      </c>
      <c r="M322" s="83">
        <f ca="1">$J$322-EFEITO!$K$322*EFEITO!$Y$322</f>
        <v>0</v>
      </c>
      <c r="N322" s="83">
        <f ca="1">$K$322-EFEITO!$M$322*EFEITO!$Z$322</f>
        <v>0</v>
      </c>
      <c r="O322" s="83">
        <f>$L$322-EFEITO!$O$322*EFEITO!$AA$322</f>
        <v>0</v>
      </c>
      <c r="P322" s="61"/>
      <c r="Q322" s="61"/>
      <c r="R322" s="61"/>
      <c r="S322" s="61"/>
      <c r="T322" s="61"/>
      <c r="U322" s="61"/>
      <c r="V322" s="61"/>
      <c r="W322" s="61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spans="1:36" ht="11.25" customHeight="1" x14ac:dyDescent="0.2">
      <c r="A323" s="57" t="s">
        <v>30</v>
      </c>
      <c r="B323" s="57" t="s">
        <v>35</v>
      </c>
      <c r="C323" s="57" t="s">
        <v>44</v>
      </c>
      <c r="D323" s="57" t="s">
        <v>45</v>
      </c>
      <c r="E323" s="57" t="s">
        <v>25</v>
      </c>
      <c r="F323" s="57" t="s">
        <v>25</v>
      </c>
      <c r="G323" s="57" t="s">
        <v>25</v>
      </c>
      <c r="H323" s="57" t="s">
        <v>37</v>
      </c>
      <c r="I323" s="82">
        <v>44228</v>
      </c>
      <c r="J323" s="83">
        <f ca="1">EFEITO!$J$323*EFEITO!$Y$323</f>
        <v>21991.526471489909</v>
      </c>
      <c r="K323" s="83">
        <f ca="1">EFEITO!$L$323*EFEITO!$Z$323</f>
        <v>725.45010662298046</v>
      </c>
      <c r="L323" s="83">
        <f>EFEITO!$N$323*EFEITO!$AA$323</f>
        <v>1955.8844849317816</v>
      </c>
      <c r="M323" s="83">
        <f ca="1">$J$323-EFEITO!$K$323*EFEITO!$Y$323</f>
        <v>0</v>
      </c>
      <c r="N323" s="83">
        <f ca="1">$K$323-EFEITO!$M$323*EFEITO!$Z$323</f>
        <v>0</v>
      </c>
      <c r="O323" s="83">
        <f>$L$323-EFEITO!$O$323*EFEITO!$AA$323</f>
        <v>0</v>
      </c>
      <c r="P323" s="61"/>
      <c r="Q323" s="61"/>
      <c r="R323" s="61"/>
      <c r="S323" s="61"/>
      <c r="T323" s="61"/>
      <c r="U323" s="61"/>
      <c r="V323" s="61"/>
      <c r="W323" s="61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spans="1:36" ht="11.25" customHeight="1" x14ac:dyDescent="0.2">
      <c r="A324" s="57" t="s">
        <v>21</v>
      </c>
      <c r="B324" s="57" t="s">
        <v>35</v>
      </c>
      <c r="C324" s="57" t="s">
        <v>44</v>
      </c>
      <c r="D324" s="57" t="s">
        <v>45</v>
      </c>
      <c r="E324" s="57" t="s">
        <v>25</v>
      </c>
      <c r="F324" s="57" t="s">
        <v>25</v>
      </c>
      <c r="G324" s="57" t="s">
        <v>25</v>
      </c>
      <c r="H324" s="57" t="s">
        <v>37</v>
      </c>
      <c r="I324" s="82">
        <v>44256</v>
      </c>
      <c r="J324" s="83">
        <f ca="1">EFEITO!$J$324*EFEITO!$Y$324</f>
        <v>695074.49974310154</v>
      </c>
      <c r="K324" s="83">
        <f ca="1">EFEITO!$L$324*EFEITO!$Z$324</f>
        <v>59770.853790624409</v>
      </c>
      <c r="L324" s="83">
        <f>EFEITO!$N$324*EFEITO!$AA$324</f>
        <v>161148.07140136545</v>
      </c>
      <c r="M324" s="83">
        <f ca="1">$J$324-EFEITO!$K$324*EFEITO!$Y$324</f>
        <v>0</v>
      </c>
      <c r="N324" s="83">
        <f ca="1">$K$324-EFEITO!$M$324*EFEITO!$Z$324</f>
        <v>0</v>
      </c>
      <c r="O324" s="83">
        <f>$L$324-EFEITO!$O$324*EFEITO!$AA$324</f>
        <v>0</v>
      </c>
      <c r="P324" s="61"/>
      <c r="Q324" s="61"/>
      <c r="R324" s="61"/>
      <c r="S324" s="61"/>
      <c r="T324" s="61"/>
      <c r="U324" s="61"/>
      <c r="V324" s="61"/>
      <c r="W324" s="61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spans="1:36" ht="11.25" customHeight="1" x14ac:dyDescent="0.2">
      <c r="A325" s="57" t="s">
        <v>27</v>
      </c>
      <c r="B325" s="57" t="s">
        <v>35</v>
      </c>
      <c r="C325" s="57" t="s">
        <v>44</v>
      </c>
      <c r="D325" s="57" t="s">
        <v>45</v>
      </c>
      <c r="E325" s="57" t="s">
        <v>25</v>
      </c>
      <c r="F325" s="57" t="s">
        <v>25</v>
      </c>
      <c r="G325" s="57" t="s">
        <v>25</v>
      </c>
      <c r="H325" s="57" t="s">
        <v>37</v>
      </c>
      <c r="I325" s="82">
        <v>44256</v>
      </c>
      <c r="J325" s="83">
        <f ca="1">EFEITO!$J$325*EFEITO!$Y$325</f>
        <v>-6816.7804426451203</v>
      </c>
      <c r="K325" s="83">
        <f ca="1">EFEITO!$L$325*EFEITO!$Z$325</f>
        <v>0</v>
      </c>
      <c r="L325" s="83">
        <f>EFEITO!$N$325*EFEITO!$AA$325</f>
        <v>0</v>
      </c>
      <c r="M325" s="83">
        <f ca="1">$J$325-EFEITO!$K$325*EFEITO!$Y$325</f>
        <v>0</v>
      </c>
      <c r="N325" s="83">
        <f ca="1">$K$325-EFEITO!$M$325*EFEITO!$Z$325</f>
        <v>0</v>
      </c>
      <c r="O325" s="83">
        <f>$L$325-EFEITO!$O$325*EFEITO!$AA$325</f>
        <v>0</v>
      </c>
      <c r="P325" s="61"/>
      <c r="Q325" s="61"/>
      <c r="R325" s="61"/>
      <c r="S325" s="61"/>
      <c r="T325" s="61"/>
      <c r="U325" s="61"/>
      <c r="V325" s="61"/>
      <c r="W325" s="61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spans="1:36" ht="11.25" customHeight="1" x14ac:dyDescent="0.2">
      <c r="A326" s="57" t="s">
        <v>28</v>
      </c>
      <c r="B326" s="57" t="s">
        <v>35</v>
      </c>
      <c r="C326" s="57" t="s">
        <v>44</v>
      </c>
      <c r="D326" s="57" t="s">
        <v>45</v>
      </c>
      <c r="E326" s="57" t="s">
        <v>25</v>
      </c>
      <c r="F326" s="57" t="s">
        <v>25</v>
      </c>
      <c r="G326" s="57" t="s">
        <v>25</v>
      </c>
      <c r="H326" s="57" t="s">
        <v>37</v>
      </c>
      <c r="I326" s="82">
        <v>44256</v>
      </c>
      <c r="J326" s="83">
        <f ca="1">EFEITO!$J$326*EFEITO!$Y$326</f>
        <v>50029.240813847668</v>
      </c>
      <c r="K326" s="83">
        <f ca="1">EFEITO!$L$326*EFEITO!$Z$326</f>
        <v>1928.1301091707651</v>
      </c>
      <c r="L326" s="83">
        <f>EFEITO!$N$326*EFEITO!$AA$326</f>
        <v>5198.4274742368052</v>
      </c>
      <c r="M326" s="83">
        <f ca="1">$J$326-EFEITO!$K$326*EFEITO!$Y$326</f>
        <v>0</v>
      </c>
      <c r="N326" s="83">
        <f ca="1">$K$326-EFEITO!$M$326*EFEITO!$Z$326</f>
        <v>0</v>
      </c>
      <c r="O326" s="83">
        <f>$L$326-EFEITO!$O$326*EFEITO!$AA$326</f>
        <v>0</v>
      </c>
      <c r="P326" s="61"/>
      <c r="Q326" s="61"/>
      <c r="R326" s="61"/>
      <c r="S326" s="61"/>
      <c r="T326" s="61"/>
      <c r="U326" s="61"/>
      <c r="V326" s="61"/>
      <c r="W326" s="61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spans="1:36" ht="11.25" customHeight="1" x14ac:dyDescent="0.2">
      <c r="A327" s="57" t="s">
        <v>30</v>
      </c>
      <c r="B327" s="57" t="s">
        <v>35</v>
      </c>
      <c r="C327" s="57" t="s">
        <v>44</v>
      </c>
      <c r="D327" s="57" t="s">
        <v>45</v>
      </c>
      <c r="E327" s="57" t="s">
        <v>25</v>
      </c>
      <c r="F327" s="57" t="s">
        <v>25</v>
      </c>
      <c r="G327" s="57" t="s">
        <v>25</v>
      </c>
      <c r="H327" s="57" t="s">
        <v>37</v>
      </c>
      <c r="I327" s="82">
        <v>44256</v>
      </c>
      <c r="J327" s="83">
        <f ca="1">EFEITO!$J$327*EFEITO!$Y$327</f>
        <v>20865.275789661584</v>
      </c>
      <c r="K327" s="83">
        <f ca="1">EFEITO!$L$327*EFEITO!$Z$327</f>
        <v>869.52904765960034</v>
      </c>
      <c r="L327" s="83">
        <f>EFEITO!$N$327*EFEITO!$AA$327</f>
        <v>2344.3354105105677</v>
      </c>
      <c r="M327" s="83">
        <f ca="1">$J$327-EFEITO!$K$327*EFEITO!$Y$327</f>
        <v>0</v>
      </c>
      <c r="N327" s="83">
        <f ca="1">$K$327-EFEITO!$M$327*EFEITO!$Z$327</f>
        <v>0</v>
      </c>
      <c r="O327" s="83">
        <f>$L$327-EFEITO!$O$327*EFEITO!$AA$327</f>
        <v>0</v>
      </c>
      <c r="P327" s="61"/>
      <c r="Q327" s="61"/>
      <c r="R327" s="61"/>
      <c r="S327" s="61"/>
      <c r="T327" s="61"/>
      <c r="U327" s="61"/>
      <c r="V327" s="61"/>
      <c r="W327" s="61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spans="1:36" ht="11.25" customHeight="1" x14ac:dyDescent="0.2">
      <c r="A328" s="57" t="s">
        <v>21</v>
      </c>
      <c r="B328" s="57" t="s">
        <v>35</v>
      </c>
      <c r="C328" s="57" t="s">
        <v>44</v>
      </c>
      <c r="D328" s="57" t="s">
        <v>45</v>
      </c>
      <c r="E328" s="57" t="s">
        <v>25</v>
      </c>
      <c r="F328" s="57" t="s">
        <v>25</v>
      </c>
      <c r="G328" s="57" t="s">
        <v>25</v>
      </c>
      <c r="H328" s="57" t="s">
        <v>37</v>
      </c>
      <c r="I328" s="82">
        <v>44287</v>
      </c>
      <c r="J328" s="83">
        <f ca="1">EFEITO!$J$328*EFEITO!$Y$328</f>
        <v>695785.81596320367</v>
      </c>
      <c r="K328" s="83">
        <f ca="1">EFEITO!$L$328*EFEITO!$Z$328</f>
        <v>57434.584271873886</v>
      </c>
      <c r="L328" s="83">
        <f>EFEITO!$N$328*EFEITO!$AA$328</f>
        <v>154849.26013560608</v>
      </c>
      <c r="M328" s="83">
        <f ca="1">$J$328-EFEITO!$K$328*EFEITO!$Y$328</f>
        <v>0</v>
      </c>
      <c r="N328" s="83">
        <f ca="1">$K$328-EFEITO!$M$328*EFEITO!$Z$328</f>
        <v>0</v>
      </c>
      <c r="O328" s="83">
        <f>$L$328-EFEITO!$O$328*EFEITO!$AA$328</f>
        <v>0</v>
      </c>
      <c r="P328" s="61"/>
      <c r="Q328" s="61"/>
      <c r="R328" s="61"/>
      <c r="S328" s="61"/>
      <c r="T328" s="61"/>
      <c r="U328" s="61"/>
      <c r="V328" s="61"/>
      <c r="W328" s="61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spans="1:36" ht="11.25" customHeight="1" x14ac:dyDescent="0.2">
      <c r="A329" s="57" t="s">
        <v>28</v>
      </c>
      <c r="B329" s="57" t="s">
        <v>35</v>
      </c>
      <c r="C329" s="57" t="s">
        <v>44</v>
      </c>
      <c r="D329" s="57" t="s">
        <v>45</v>
      </c>
      <c r="E329" s="57" t="s">
        <v>25</v>
      </c>
      <c r="F329" s="57" t="s">
        <v>25</v>
      </c>
      <c r="G329" s="57" t="s">
        <v>25</v>
      </c>
      <c r="H329" s="57" t="s">
        <v>37</v>
      </c>
      <c r="I329" s="82">
        <v>44287</v>
      </c>
      <c r="J329" s="83">
        <f ca="1">EFEITO!$J$329*EFEITO!$Y$329</f>
        <v>49317.924593745563</v>
      </c>
      <c r="K329" s="83">
        <f ca="1">EFEITO!$L$329*EFEITO!$Z$329</f>
        <v>1680.0784118539177</v>
      </c>
      <c r="L329" s="83">
        <f>EFEITO!$N$329*EFEITO!$AA$329</f>
        <v>4529.6558222461945</v>
      </c>
      <c r="M329" s="83">
        <f ca="1">$J$329-EFEITO!$K$329*EFEITO!$Y$329</f>
        <v>0</v>
      </c>
      <c r="N329" s="83">
        <f ca="1">$K$329-EFEITO!$M$329*EFEITO!$Z$329</f>
        <v>0</v>
      </c>
      <c r="O329" s="83">
        <f>$L$329-EFEITO!$O$329*EFEITO!$AA$329</f>
        <v>0</v>
      </c>
      <c r="P329" s="61"/>
      <c r="Q329" s="61"/>
      <c r="R329" s="61"/>
      <c r="S329" s="61"/>
      <c r="T329" s="61"/>
      <c r="U329" s="61"/>
      <c r="V329" s="61"/>
      <c r="W329" s="61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spans="1:36" ht="11.25" customHeight="1" x14ac:dyDescent="0.2">
      <c r="A330" s="57" t="s">
        <v>30</v>
      </c>
      <c r="B330" s="57" t="s">
        <v>35</v>
      </c>
      <c r="C330" s="57" t="s">
        <v>44</v>
      </c>
      <c r="D330" s="57" t="s">
        <v>45</v>
      </c>
      <c r="E330" s="57" t="s">
        <v>25</v>
      </c>
      <c r="F330" s="57" t="s">
        <v>25</v>
      </c>
      <c r="G330" s="57" t="s">
        <v>25</v>
      </c>
      <c r="H330" s="57" t="s">
        <v>37</v>
      </c>
      <c r="I330" s="82">
        <v>44287</v>
      </c>
      <c r="J330" s="83">
        <f ca="1">EFEITO!$J$330*EFEITO!$Y$330</f>
        <v>20924.552141336761</v>
      </c>
      <c r="K330" s="83">
        <f ca="1">EFEITO!$L$330*EFEITO!$Z$330</f>
        <v>1332.9408463153952</v>
      </c>
      <c r="L330" s="83">
        <f>EFEITO!$N$330*EFEITO!$AA$330</f>
        <v>3593.7389723136803</v>
      </c>
      <c r="M330" s="83">
        <f ca="1">$J$330-EFEITO!$K$330*EFEITO!$Y$330</f>
        <v>0</v>
      </c>
      <c r="N330" s="83">
        <f ca="1">$K$330-EFEITO!$M$330*EFEITO!$Z$330</f>
        <v>0</v>
      </c>
      <c r="O330" s="83">
        <f>$L$330-EFEITO!$O$330*EFEITO!$AA$330</f>
        <v>0</v>
      </c>
      <c r="P330" s="61"/>
      <c r="Q330" s="61"/>
      <c r="R330" s="61"/>
      <c r="S330" s="61"/>
      <c r="T330" s="61"/>
      <c r="U330" s="61"/>
      <c r="V330" s="61"/>
      <c r="W330" s="61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spans="1:36" ht="11.25" customHeight="1" x14ac:dyDescent="0.2">
      <c r="A331" s="57" t="s">
        <v>21</v>
      </c>
      <c r="B331" s="57" t="s">
        <v>35</v>
      </c>
      <c r="C331" s="57" t="s">
        <v>44</v>
      </c>
      <c r="D331" s="57" t="s">
        <v>45</v>
      </c>
      <c r="E331" s="57" t="s">
        <v>25</v>
      </c>
      <c r="F331" s="57" t="s">
        <v>25</v>
      </c>
      <c r="G331" s="57" t="s">
        <v>25</v>
      </c>
      <c r="H331" s="57" t="s">
        <v>37</v>
      </c>
      <c r="I331" s="82">
        <v>44287</v>
      </c>
      <c r="J331" s="83">
        <f ca="1">EFEITO!$J$331*EFEITO!$Y$331</f>
        <v>82986.892345244938</v>
      </c>
      <c r="K331" s="83">
        <f ca="1">EFEITO!$L$331*EFEITO!$Z$331</f>
        <v>0</v>
      </c>
      <c r="L331" s="83">
        <f>EFEITO!$N$331*EFEITO!$AA$331</f>
        <v>0</v>
      </c>
      <c r="M331" s="83">
        <f ca="1">$J$331-EFEITO!$K$331*EFEITO!$Y$331</f>
        <v>0</v>
      </c>
      <c r="N331" s="83">
        <f ca="1">$K$331-EFEITO!$M$331*EFEITO!$Z$331</f>
        <v>0</v>
      </c>
      <c r="O331" s="83">
        <f>$L$331-EFEITO!$O$331*EFEITO!$AA$331</f>
        <v>0</v>
      </c>
      <c r="P331" s="61"/>
      <c r="Q331" s="61"/>
      <c r="R331" s="61"/>
      <c r="S331" s="61"/>
      <c r="T331" s="61"/>
      <c r="U331" s="61"/>
      <c r="V331" s="61"/>
      <c r="W331" s="61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spans="1:36" ht="11.25" customHeight="1" x14ac:dyDescent="0.2">
      <c r="A332" s="57" t="s">
        <v>21</v>
      </c>
      <c r="B332" s="57" t="s">
        <v>35</v>
      </c>
      <c r="C332" s="57" t="s">
        <v>44</v>
      </c>
      <c r="D332" s="57" t="s">
        <v>45</v>
      </c>
      <c r="E332" s="57" t="s">
        <v>25</v>
      </c>
      <c r="F332" s="57" t="s">
        <v>25</v>
      </c>
      <c r="G332" s="57" t="s">
        <v>25</v>
      </c>
      <c r="H332" s="57" t="s">
        <v>37</v>
      </c>
      <c r="I332" s="82">
        <v>44317</v>
      </c>
      <c r="J332" s="83">
        <f ca="1">EFEITO!$J$332*EFEITO!$Y$332</f>
        <v>662887.44078348158</v>
      </c>
      <c r="K332" s="83">
        <f ca="1">EFEITO!$L$332*EFEITO!$Z$332</f>
        <v>60242.522744965347</v>
      </c>
      <c r="L332" s="83">
        <f>EFEITO!$N$332*EFEITO!$AA$332</f>
        <v>162419.7370629971</v>
      </c>
      <c r="M332" s="83">
        <f ca="1">$J$332-EFEITO!$K$332*EFEITO!$Y$332</f>
        <v>0</v>
      </c>
      <c r="N332" s="83">
        <f ca="1">$K$332-EFEITO!$M$332*EFEITO!$Z$332</f>
        <v>0</v>
      </c>
      <c r="O332" s="83">
        <f>$L$332-EFEITO!$O$332*EFEITO!$AA$332</f>
        <v>0</v>
      </c>
      <c r="P332" s="61"/>
      <c r="Q332" s="61"/>
      <c r="R332" s="61"/>
      <c r="S332" s="61"/>
      <c r="T332" s="61"/>
      <c r="U332" s="61"/>
      <c r="V332" s="61"/>
      <c r="W332" s="61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spans="1:36" ht="11.25" customHeight="1" x14ac:dyDescent="0.2">
      <c r="A333" s="57" t="s">
        <v>28</v>
      </c>
      <c r="B333" s="57" t="s">
        <v>35</v>
      </c>
      <c r="C333" s="57" t="s">
        <v>44</v>
      </c>
      <c r="D333" s="57" t="s">
        <v>45</v>
      </c>
      <c r="E333" s="57" t="s">
        <v>25</v>
      </c>
      <c r="F333" s="57" t="s">
        <v>25</v>
      </c>
      <c r="G333" s="57" t="s">
        <v>25</v>
      </c>
      <c r="H333" s="57" t="s">
        <v>37</v>
      </c>
      <c r="I333" s="82">
        <v>44317</v>
      </c>
      <c r="J333" s="83">
        <f ca="1">EFEITO!$J$333*EFEITO!$Y$333</f>
        <v>55541.941519638938</v>
      </c>
      <c r="K333" s="83">
        <f ca="1">EFEITO!$L$333*EFEITO!$Z$333</f>
        <v>1749.842951724281</v>
      </c>
      <c r="L333" s="83">
        <f>EFEITO!$N$333*EFEITO!$AA$333</f>
        <v>4717.747849368553</v>
      </c>
      <c r="M333" s="83">
        <f ca="1">$J$333-EFEITO!$K$333*EFEITO!$Y$333</f>
        <v>0</v>
      </c>
      <c r="N333" s="83">
        <f ca="1">$K$333-EFEITO!$M$333*EFEITO!$Z$333</f>
        <v>0</v>
      </c>
      <c r="O333" s="83">
        <f>$L$333-EFEITO!$O$333*EFEITO!$AA$333</f>
        <v>0</v>
      </c>
      <c r="P333" s="61"/>
      <c r="Q333" s="61"/>
      <c r="R333" s="61"/>
      <c r="S333" s="61"/>
      <c r="T333" s="61"/>
      <c r="U333" s="61"/>
      <c r="V333" s="61"/>
      <c r="W333" s="61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spans="1:36" ht="11.25" customHeight="1" x14ac:dyDescent="0.2">
      <c r="A334" s="57" t="s">
        <v>30</v>
      </c>
      <c r="B334" s="57" t="s">
        <v>35</v>
      </c>
      <c r="C334" s="57" t="s">
        <v>44</v>
      </c>
      <c r="D334" s="57" t="s">
        <v>45</v>
      </c>
      <c r="E334" s="57" t="s">
        <v>25</v>
      </c>
      <c r="F334" s="57" t="s">
        <v>25</v>
      </c>
      <c r="G334" s="57" t="s">
        <v>25</v>
      </c>
      <c r="H334" s="57" t="s">
        <v>37</v>
      </c>
      <c r="I334" s="82">
        <v>44317</v>
      </c>
      <c r="J334" s="83">
        <f ca="1">EFEITO!$J$334*EFEITO!$Y$334</f>
        <v>21398.762954738158</v>
      </c>
      <c r="K334" s="83">
        <f ca="1">EFEITO!$L$334*EFEITO!$Z$334</f>
        <v>1476.5142472080267</v>
      </c>
      <c r="L334" s="83">
        <f>EFEITO!$N$334*EFEITO!$AA$334</f>
        <v>3980.8269121886815</v>
      </c>
      <c r="M334" s="83">
        <f ca="1">$J$334-EFEITO!$K$334*EFEITO!$Y$334</f>
        <v>0</v>
      </c>
      <c r="N334" s="83">
        <f ca="1">$K$334-EFEITO!$M$334*EFEITO!$Z$334</f>
        <v>0</v>
      </c>
      <c r="O334" s="83">
        <f>$L$334-EFEITO!$O$334*EFEITO!$AA$334</f>
        <v>0</v>
      </c>
      <c r="P334" s="61"/>
      <c r="Q334" s="61"/>
      <c r="R334" s="61"/>
      <c r="S334" s="61"/>
      <c r="T334" s="61"/>
      <c r="U334" s="61"/>
      <c r="V334" s="61"/>
      <c r="W334" s="61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spans="1:36" ht="11.25" customHeight="1" x14ac:dyDescent="0.2">
      <c r="A335" s="57" t="s">
        <v>21</v>
      </c>
      <c r="B335" s="57" t="s">
        <v>35</v>
      </c>
      <c r="C335" s="57" t="s">
        <v>44</v>
      </c>
      <c r="D335" s="57" t="s">
        <v>45</v>
      </c>
      <c r="E335" s="57" t="s">
        <v>25</v>
      </c>
      <c r="F335" s="57" t="s">
        <v>25</v>
      </c>
      <c r="G335" s="57" t="s">
        <v>25</v>
      </c>
      <c r="H335" s="57" t="s">
        <v>37</v>
      </c>
      <c r="I335" s="82">
        <v>44317</v>
      </c>
      <c r="J335" s="83">
        <f ca="1">EFEITO!$J$335*EFEITO!$Y$335</f>
        <v>82986.892345244938</v>
      </c>
      <c r="K335" s="83">
        <f ca="1">EFEITO!$L$335*EFEITO!$Z$335</f>
        <v>0</v>
      </c>
      <c r="L335" s="83">
        <f>EFEITO!$N$335*EFEITO!$AA$335</f>
        <v>0</v>
      </c>
      <c r="M335" s="83">
        <f ca="1">$J$335-EFEITO!$K$335*EFEITO!$Y$335</f>
        <v>0</v>
      </c>
      <c r="N335" s="83">
        <f ca="1">$K$335-EFEITO!$M$335*EFEITO!$Z$335</f>
        <v>0</v>
      </c>
      <c r="O335" s="83">
        <f>$L$335-EFEITO!$O$335*EFEITO!$AA$335</f>
        <v>0</v>
      </c>
      <c r="P335" s="61"/>
      <c r="Q335" s="61"/>
      <c r="R335" s="61"/>
      <c r="S335" s="61"/>
      <c r="T335" s="61"/>
      <c r="U335" s="61"/>
      <c r="V335" s="61"/>
      <c r="W335" s="61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spans="1:36" ht="11.25" customHeight="1" x14ac:dyDescent="0.2">
      <c r="A336" s="57" t="s">
        <v>21</v>
      </c>
      <c r="B336" s="57" t="s">
        <v>35</v>
      </c>
      <c r="C336" s="57" t="s">
        <v>44</v>
      </c>
      <c r="D336" s="57" t="s">
        <v>45</v>
      </c>
      <c r="E336" s="57" t="s">
        <v>25</v>
      </c>
      <c r="F336" s="57" t="s">
        <v>25</v>
      </c>
      <c r="G336" s="57" t="s">
        <v>25</v>
      </c>
      <c r="H336" s="57" t="s">
        <v>37</v>
      </c>
      <c r="I336" s="82">
        <v>44348</v>
      </c>
      <c r="J336" s="83">
        <f ca="1">EFEITO!$J$336*EFEITO!$Y$336</f>
        <v>657908.22724276688</v>
      </c>
      <c r="K336" s="83">
        <f ca="1">EFEITO!$L$336*EFEITO!$Z$336</f>
        <v>59453.0375534372</v>
      </c>
      <c r="L336" s="83">
        <f>EFEITO!$N$336*EFEITO!$AA$336</f>
        <v>160291.2077222525</v>
      </c>
      <c r="M336" s="83">
        <f ca="1">$J$336-EFEITO!$K$336*EFEITO!$Y$336</f>
        <v>0</v>
      </c>
      <c r="N336" s="83">
        <f ca="1">$K$336-EFEITO!$M$336*EFEITO!$Z$336</f>
        <v>0</v>
      </c>
      <c r="O336" s="83">
        <f>$L$336-EFEITO!$O$336*EFEITO!$AA$336</f>
        <v>0</v>
      </c>
      <c r="P336" s="61"/>
      <c r="Q336" s="61"/>
      <c r="R336" s="61"/>
      <c r="S336" s="61"/>
      <c r="T336" s="61"/>
      <c r="U336" s="61"/>
      <c r="V336" s="61"/>
      <c r="W336" s="61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spans="1:36" ht="11.25" customHeight="1" x14ac:dyDescent="0.2">
      <c r="A337" s="57" t="s">
        <v>27</v>
      </c>
      <c r="B337" s="57" t="s">
        <v>35</v>
      </c>
      <c r="C337" s="57" t="s">
        <v>44</v>
      </c>
      <c r="D337" s="57" t="s">
        <v>45</v>
      </c>
      <c r="E337" s="57" t="s">
        <v>25</v>
      </c>
      <c r="F337" s="57" t="s">
        <v>25</v>
      </c>
      <c r="G337" s="57" t="s">
        <v>25</v>
      </c>
      <c r="H337" s="57" t="s">
        <v>37</v>
      </c>
      <c r="I337" s="82">
        <v>44348</v>
      </c>
      <c r="J337" s="83">
        <f ca="1">EFEITO!$J$337*EFEITO!$Y$337</f>
        <v>-355.65811005104973</v>
      </c>
      <c r="K337" s="83">
        <f ca="1">EFEITO!$L$337*EFEITO!$Z$337</f>
        <v>198.84578996866827</v>
      </c>
      <c r="L337" s="83">
        <f>EFEITO!$N$337*EFEITO!$AA$337</f>
        <v>536.10771015551734</v>
      </c>
      <c r="M337" s="83">
        <f ca="1">$J$337-EFEITO!$K$337*EFEITO!$Y$337</f>
        <v>0</v>
      </c>
      <c r="N337" s="83">
        <f ca="1">$K$337-EFEITO!$M$337*EFEITO!$Z$337</f>
        <v>0</v>
      </c>
      <c r="O337" s="83">
        <f>$L$337-EFEITO!$O$337*EFEITO!$AA$337</f>
        <v>0</v>
      </c>
      <c r="P337" s="61"/>
      <c r="Q337" s="61"/>
      <c r="R337" s="61"/>
      <c r="S337" s="61"/>
      <c r="T337" s="61"/>
      <c r="U337" s="61"/>
      <c r="V337" s="61"/>
      <c r="W337" s="61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spans="1:36" ht="11.25" customHeight="1" x14ac:dyDescent="0.2">
      <c r="A338" s="57" t="s">
        <v>28</v>
      </c>
      <c r="B338" s="57" t="s">
        <v>35</v>
      </c>
      <c r="C338" s="57" t="s">
        <v>44</v>
      </c>
      <c r="D338" s="57" t="s">
        <v>45</v>
      </c>
      <c r="E338" s="57" t="s">
        <v>25</v>
      </c>
      <c r="F338" s="57" t="s">
        <v>25</v>
      </c>
      <c r="G338" s="57" t="s">
        <v>25</v>
      </c>
      <c r="H338" s="57" t="s">
        <v>37</v>
      </c>
      <c r="I338" s="82">
        <v>44348</v>
      </c>
      <c r="J338" s="83">
        <f ca="1">EFEITO!$J$338*EFEITO!$Y$338</f>
        <v>57201.679366543831</v>
      </c>
      <c r="K338" s="83">
        <f ca="1">EFEITO!$L$338*EFEITO!$Z$338</f>
        <v>2188.3147699433275</v>
      </c>
      <c r="L338" s="83">
        <f>EFEITO!$N$338*EFEITO!$AA$338</f>
        <v>5899.9107831182628</v>
      </c>
      <c r="M338" s="83">
        <f ca="1">$J$338-EFEITO!$K$338*EFEITO!$Y$338</f>
        <v>0</v>
      </c>
      <c r="N338" s="83">
        <f ca="1">$K$338-EFEITO!$M$338*EFEITO!$Z$338</f>
        <v>0</v>
      </c>
      <c r="O338" s="83">
        <f>$L$338-EFEITO!$O$338*EFEITO!$AA$338</f>
        <v>0</v>
      </c>
      <c r="P338" s="61"/>
      <c r="Q338" s="61"/>
      <c r="R338" s="61"/>
      <c r="S338" s="61"/>
      <c r="T338" s="61"/>
      <c r="U338" s="61"/>
      <c r="V338" s="61"/>
      <c r="W338" s="61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spans="1:36" ht="11.25" customHeight="1" x14ac:dyDescent="0.2">
      <c r="A339" s="57" t="s">
        <v>30</v>
      </c>
      <c r="B339" s="57" t="s">
        <v>35</v>
      </c>
      <c r="C339" s="57" t="s">
        <v>44</v>
      </c>
      <c r="D339" s="57" t="s">
        <v>45</v>
      </c>
      <c r="E339" s="57" t="s">
        <v>25</v>
      </c>
      <c r="F339" s="57" t="s">
        <v>25</v>
      </c>
      <c r="G339" s="57" t="s">
        <v>25</v>
      </c>
      <c r="H339" s="57" t="s">
        <v>37</v>
      </c>
      <c r="I339" s="82">
        <v>44348</v>
      </c>
      <c r="J339" s="83">
        <f ca="1">EFEITO!$J$339*EFEITO!$Y$339</f>
        <v>14641.258863768215</v>
      </c>
      <c r="K339" s="83">
        <f ca="1">EFEITO!$L$339*EFEITO!$Z$339</f>
        <v>1499.2635536874932</v>
      </c>
      <c r="L339" s="83">
        <f>EFEITO!$N$339*EFEITO!$AA$339</f>
        <v>4042.1612688590158</v>
      </c>
      <c r="M339" s="83">
        <f ca="1">$J$339-EFEITO!$K$339*EFEITO!$Y$339</f>
        <v>0</v>
      </c>
      <c r="N339" s="83">
        <f ca="1">$K$339-EFEITO!$M$339*EFEITO!$Z$339</f>
        <v>0</v>
      </c>
      <c r="O339" s="83">
        <f>$L$339-EFEITO!$O$339*EFEITO!$AA$339</f>
        <v>0</v>
      </c>
      <c r="P339" s="61"/>
      <c r="Q339" s="61"/>
      <c r="R339" s="61"/>
      <c r="S339" s="61"/>
      <c r="T339" s="61"/>
      <c r="U339" s="61"/>
      <c r="V339" s="61"/>
      <c r="W339" s="61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spans="1:36" ht="11.25" customHeight="1" x14ac:dyDescent="0.2">
      <c r="A340" s="57" t="s">
        <v>21</v>
      </c>
      <c r="B340" s="57" t="s">
        <v>35</v>
      </c>
      <c r="C340" s="57" t="s">
        <v>44</v>
      </c>
      <c r="D340" s="57" t="s">
        <v>45</v>
      </c>
      <c r="E340" s="57" t="s">
        <v>25</v>
      </c>
      <c r="F340" s="57" t="s">
        <v>25</v>
      </c>
      <c r="G340" s="57" t="s">
        <v>25</v>
      </c>
      <c r="H340" s="57" t="s">
        <v>37</v>
      </c>
      <c r="I340" s="82">
        <v>44378</v>
      </c>
      <c r="J340" s="83">
        <f ca="1">EFEITO!$J$340*EFEITO!$Y$340</f>
        <v>649431.70895321679</v>
      </c>
      <c r="K340" s="83">
        <f ca="1">EFEITO!$L$340*EFEITO!$Z$340</f>
        <v>61887.044833358756</v>
      </c>
      <c r="L340" s="83">
        <f>EFEITO!$N$340*EFEITO!$AA$340</f>
        <v>166853.52955741037</v>
      </c>
      <c r="M340" s="83">
        <f ca="1">$J$340-EFEITO!$K$340*EFEITO!$Y$340</f>
        <v>0</v>
      </c>
      <c r="N340" s="83">
        <f ca="1">$K$340-EFEITO!$M$340*EFEITO!$Z$340</f>
        <v>0</v>
      </c>
      <c r="O340" s="83">
        <f>$L$340-EFEITO!$O$340*EFEITO!$AA$340</f>
        <v>0</v>
      </c>
      <c r="P340" s="61"/>
      <c r="Q340" s="61"/>
      <c r="R340" s="61"/>
      <c r="S340" s="61"/>
      <c r="T340" s="61"/>
      <c r="U340" s="61"/>
      <c r="V340" s="61"/>
      <c r="W340" s="61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spans="1:36" ht="11.25" customHeight="1" x14ac:dyDescent="0.2">
      <c r="A341" s="57" t="s">
        <v>27</v>
      </c>
      <c r="B341" s="57" t="s">
        <v>35</v>
      </c>
      <c r="C341" s="57" t="s">
        <v>44</v>
      </c>
      <c r="D341" s="57" t="s">
        <v>45</v>
      </c>
      <c r="E341" s="57" t="s">
        <v>25</v>
      </c>
      <c r="F341" s="57" t="s">
        <v>25</v>
      </c>
      <c r="G341" s="57" t="s">
        <v>25</v>
      </c>
      <c r="H341" s="57" t="s">
        <v>37</v>
      </c>
      <c r="I341" s="82">
        <v>44378</v>
      </c>
      <c r="J341" s="83">
        <f ca="1">EFEITO!$J$341*EFEITO!$Y$341</f>
        <v>-76407.217309300526</v>
      </c>
      <c r="K341" s="83">
        <f ca="1">EFEITO!$L$341*EFEITO!$Z$341</f>
        <v>-10301.223000664995</v>
      </c>
      <c r="L341" s="83">
        <f>EFEITO!$N$341*EFEITO!$AA$341</f>
        <v>-27773.105357463373</v>
      </c>
      <c r="M341" s="83">
        <f ca="1">$J$341-EFEITO!$K$341*EFEITO!$Y$341</f>
        <v>0</v>
      </c>
      <c r="N341" s="83">
        <f ca="1">$K$341-EFEITO!$M$341*EFEITO!$Z$341</f>
        <v>0</v>
      </c>
      <c r="O341" s="83">
        <f>$L$341-EFEITO!$O$341*EFEITO!$AA$341</f>
        <v>0</v>
      </c>
      <c r="P341" s="61"/>
      <c r="Q341" s="61"/>
      <c r="R341" s="61"/>
      <c r="S341" s="61"/>
      <c r="T341" s="61"/>
      <c r="U341" s="61"/>
      <c r="V341" s="61"/>
      <c r="W341" s="61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spans="1:36" ht="11.25" customHeight="1" x14ac:dyDescent="0.2">
      <c r="A342" s="57" t="s">
        <v>28</v>
      </c>
      <c r="B342" s="57" t="s">
        <v>35</v>
      </c>
      <c r="C342" s="57" t="s">
        <v>44</v>
      </c>
      <c r="D342" s="57" t="s">
        <v>45</v>
      </c>
      <c r="E342" s="57" t="s">
        <v>25</v>
      </c>
      <c r="F342" s="57" t="s">
        <v>25</v>
      </c>
      <c r="G342" s="57" t="s">
        <v>25</v>
      </c>
      <c r="H342" s="57" t="s">
        <v>37</v>
      </c>
      <c r="I342" s="82">
        <v>44378</v>
      </c>
      <c r="J342" s="83">
        <f ca="1">EFEITO!$J$342*EFEITO!$Y$342</f>
        <v>28571.201507434329</v>
      </c>
      <c r="K342" s="83">
        <f ca="1">EFEITO!$L$342*EFEITO!$Z$342</f>
        <v>421.45196670477912</v>
      </c>
      <c r="L342" s="83">
        <f>EFEITO!$N$342*EFEITO!$AA$342</f>
        <v>1136.2757483889397</v>
      </c>
      <c r="M342" s="83">
        <f ca="1">$J$342-EFEITO!$K$342*EFEITO!$Y$342</f>
        <v>0</v>
      </c>
      <c r="N342" s="83">
        <f ca="1">$K$342-EFEITO!$M$342*EFEITO!$Z$342</f>
        <v>0</v>
      </c>
      <c r="O342" s="83">
        <f>$L$342-EFEITO!$O$342*EFEITO!$AA$342</f>
        <v>0</v>
      </c>
      <c r="P342" s="61"/>
      <c r="Q342" s="61"/>
      <c r="R342" s="61"/>
      <c r="S342" s="61"/>
      <c r="T342" s="61"/>
      <c r="U342" s="61"/>
      <c r="V342" s="61"/>
      <c r="W342" s="61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spans="1:36" ht="11.25" customHeight="1" x14ac:dyDescent="0.2">
      <c r="A343" s="57" t="s">
        <v>30</v>
      </c>
      <c r="B343" s="57" t="s">
        <v>35</v>
      </c>
      <c r="C343" s="57" t="s">
        <v>44</v>
      </c>
      <c r="D343" s="57" t="s">
        <v>45</v>
      </c>
      <c r="E343" s="57" t="s">
        <v>25</v>
      </c>
      <c r="F343" s="57" t="s">
        <v>25</v>
      </c>
      <c r="G343" s="57" t="s">
        <v>25</v>
      </c>
      <c r="H343" s="57" t="s">
        <v>37</v>
      </c>
      <c r="I343" s="82">
        <v>44378</v>
      </c>
      <c r="J343" s="83">
        <f ca="1">EFEITO!$J$343*EFEITO!$Y$343</f>
        <v>14700.535215443389</v>
      </c>
      <c r="K343" s="83">
        <f ca="1">EFEITO!$L$343*EFEITO!$Z$343</f>
        <v>1601.8882029170854</v>
      </c>
      <c r="L343" s="83">
        <f>EFEITO!$N$343*EFEITO!$AA$343</f>
        <v>4318.8473667274138</v>
      </c>
      <c r="M343" s="83">
        <f ca="1">$J$343-EFEITO!$K$343*EFEITO!$Y$343</f>
        <v>0</v>
      </c>
      <c r="N343" s="83">
        <f ca="1">$K$343-EFEITO!$M$343*EFEITO!$Z$343</f>
        <v>0</v>
      </c>
      <c r="O343" s="83">
        <f>$L$343-EFEITO!$O$343*EFEITO!$AA$343</f>
        <v>0</v>
      </c>
      <c r="P343" s="61"/>
      <c r="Q343" s="61"/>
      <c r="R343" s="61"/>
      <c r="S343" s="61"/>
      <c r="T343" s="61"/>
      <c r="U343" s="61"/>
      <c r="V343" s="61"/>
      <c r="W343" s="61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spans="1:36" ht="11.25" customHeight="1" x14ac:dyDescent="0.2">
      <c r="A344" s="57" t="s">
        <v>21</v>
      </c>
      <c r="B344" s="57" t="s">
        <v>35</v>
      </c>
      <c r="C344" s="57" t="s">
        <v>44</v>
      </c>
      <c r="D344" s="57" t="s">
        <v>45</v>
      </c>
      <c r="E344" s="57" t="s">
        <v>25</v>
      </c>
      <c r="F344" s="57" t="s">
        <v>25</v>
      </c>
      <c r="G344" s="57" t="s">
        <v>25</v>
      </c>
      <c r="H344" s="57" t="s">
        <v>37</v>
      </c>
      <c r="I344" s="82">
        <v>44378</v>
      </c>
      <c r="J344" s="83">
        <f ca="1">EFEITO!$J$344*EFEITO!$Y$344</f>
        <v>82986.892345244938</v>
      </c>
      <c r="K344" s="83">
        <f ca="1">EFEITO!$L$344*EFEITO!$Z$344</f>
        <v>0</v>
      </c>
      <c r="L344" s="83">
        <f>EFEITO!$N$344*EFEITO!$AA$344</f>
        <v>0</v>
      </c>
      <c r="M344" s="83">
        <f ca="1">$J$344-EFEITO!$K$344*EFEITO!$Y$344</f>
        <v>0</v>
      </c>
      <c r="N344" s="83">
        <f ca="1">$K$344-EFEITO!$M$344*EFEITO!$Z$344</f>
        <v>0</v>
      </c>
      <c r="O344" s="83">
        <f>$L$344-EFEITO!$O$344*EFEITO!$AA$344</f>
        <v>0</v>
      </c>
      <c r="P344" s="61"/>
      <c r="Q344" s="61"/>
      <c r="R344" s="61"/>
      <c r="S344" s="61"/>
      <c r="T344" s="61"/>
      <c r="U344" s="61"/>
      <c r="V344" s="61"/>
      <c r="W344" s="61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spans="1:36" ht="11.25" customHeight="1" x14ac:dyDescent="0.2">
      <c r="A345" s="57" t="s">
        <v>21</v>
      </c>
      <c r="B345" s="57" t="s">
        <v>35</v>
      </c>
      <c r="C345" s="57" t="s">
        <v>44</v>
      </c>
      <c r="D345" s="57" t="s">
        <v>45</v>
      </c>
      <c r="E345" s="57" t="s">
        <v>25</v>
      </c>
      <c r="F345" s="57" t="s">
        <v>25</v>
      </c>
      <c r="G345" s="57" t="s">
        <v>25</v>
      </c>
      <c r="H345" s="57" t="s">
        <v>37</v>
      </c>
      <c r="I345" s="82">
        <v>44409</v>
      </c>
      <c r="J345" s="83">
        <f ca="1">EFEITO!$J$345*EFEITO!$Y$345</f>
        <v>877112.17573756387</v>
      </c>
      <c r="K345" s="83">
        <f ca="1">EFEITO!$L$345*EFEITO!$Z$345</f>
        <v>76626.404758095639</v>
      </c>
      <c r="L345" s="83">
        <f>EFEITO!$N$345*EFEITO!$AA$345</f>
        <v>206592.28640840415</v>
      </c>
      <c r="M345" s="83">
        <f ca="1">$J$345-EFEITO!$K$345*EFEITO!$Y$345</f>
        <v>0</v>
      </c>
      <c r="N345" s="83">
        <f ca="1">$K$345-EFEITO!$M$345*EFEITO!$Z$345</f>
        <v>0</v>
      </c>
      <c r="O345" s="83">
        <f>$L$345-EFEITO!$O$345*EFEITO!$AA$345</f>
        <v>0</v>
      </c>
      <c r="P345" s="61"/>
      <c r="Q345" s="61"/>
      <c r="R345" s="61"/>
      <c r="S345" s="61"/>
      <c r="T345" s="61"/>
      <c r="U345" s="61"/>
      <c r="V345" s="61"/>
      <c r="W345" s="61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spans="1:36" ht="11.25" customHeight="1" x14ac:dyDescent="0.2">
      <c r="A346" s="57" t="s">
        <v>27</v>
      </c>
      <c r="B346" s="57" t="s">
        <v>35</v>
      </c>
      <c r="C346" s="57" t="s">
        <v>44</v>
      </c>
      <c r="D346" s="57" t="s">
        <v>45</v>
      </c>
      <c r="E346" s="57" t="s">
        <v>25</v>
      </c>
      <c r="F346" s="57" t="s">
        <v>25</v>
      </c>
      <c r="G346" s="57" t="s">
        <v>25</v>
      </c>
      <c r="H346" s="57" t="s">
        <v>37</v>
      </c>
      <c r="I346" s="82">
        <v>44409</v>
      </c>
      <c r="J346" s="83">
        <f ca="1">EFEITO!$J$346*EFEITO!$Y$346</f>
        <v>34024.625861550427</v>
      </c>
      <c r="K346" s="83">
        <f ca="1">EFEITO!$L$346*EFEITO!$Z$346</f>
        <v>2114.0003687770709</v>
      </c>
      <c r="L346" s="83">
        <f>EFEITO!$N$346*EFEITO!$AA$346</f>
        <v>5699.5518846618352</v>
      </c>
      <c r="M346" s="83">
        <f ca="1">$J$346-EFEITO!$K$346*EFEITO!$Y$346</f>
        <v>0</v>
      </c>
      <c r="N346" s="83">
        <f ca="1">$K$346-EFEITO!$M$346*EFEITO!$Z$346</f>
        <v>0</v>
      </c>
      <c r="O346" s="83">
        <f>$L$346-EFEITO!$O$346*EFEITO!$AA$346</f>
        <v>0</v>
      </c>
      <c r="P346" s="61"/>
      <c r="Q346" s="61"/>
      <c r="R346" s="61"/>
      <c r="S346" s="61"/>
      <c r="T346" s="61"/>
      <c r="U346" s="61"/>
      <c r="V346" s="61"/>
      <c r="W346" s="61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spans="1:36" ht="11.25" customHeight="1" x14ac:dyDescent="0.2">
      <c r="A347" s="57" t="s">
        <v>28</v>
      </c>
      <c r="B347" s="57" t="s">
        <v>35</v>
      </c>
      <c r="C347" s="57" t="s">
        <v>44</v>
      </c>
      <c r="D347" s="57" t="s">
        <v>45</v>
      </c>
      <c r="E347" s="57" t="s">
        <v>25</v>
      </c>
      <c r="F347" s="57" t="s">
        <v>25</v>
      </c>
      <c r="G347" s="57" t="s">
        <v>25</v>
      </c>
      <c r="H347" s="57" t="s">
        <v>37</v>
      </c>
      <c r="I347" s="82">
        <v>44409</v>
      </c>
      <c r="J347" s="83">
        <f ca="1">EFEITO!$J$347*EFEITO!$Y$347</f>
        <v>28571.201507434329</v>
      </c>
      <c r="K347" s="83">
        <f ca="1">EFEITO!$L$347*EFEITO!$Z$347</f>
        <v>345.28391834389942</v>
      </c>
      <c r="L347" s="83">
        <f>EFEITO!$N$347*EFEITO!$AA$347</f>
        <v>930.91923568530103</v>
      </c>
      <c r="M347" s="83">
        <f ca="1">$J$347-EFEITO!$K$347*EFEITO!$Y$347</f>
        <v>0</v>
      </c>
      <c r="N347" s="83">
        <f ca="1">$K$347-EFEITO!$M$347*EFEITO!$Z$347</f>
        <v>0</v>
      </c>
      <c r="O347" s="83">
        <f>$L$347-EFEITO!$O$347*EFEITO!$AA$347</f>
        <v>0</v>
      </c>
      <c r="P347" s="61"/>
      <c r="Q347" s="61"/>
      <c r="R347" s="61"/>
      <c r="S347" s="61"/>
      <c r="T347" s="61"/>
      <c r="U347" s="61"/>
      <c r="V347" s="61"/>
      <c r="W347" s="61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spans="1:36" ht="11.25" customHeight="1" x14ac:dyDescent="0.2">
      <c r="A348" s="57" t="s">
        <v>30</v>
      </c>
      <c r="B348" s="57" t="s">
        <v>35</v>
      </c>
      <c r="C348" s="57" t="s">
        <v>44</v>
      </c>
      <c r="D348" s="57" t="s">
        <v>45</v>
      </c>
      <c r="E348" s="57" t="s">
        <v>25</v>
      </c>
      <c r="F348" s="57" t="s">
        <v>25</v>
      </c>
      <c r="G348" s="57" t="s">
        <v>25</v>
      </c>
      <c r="H348" s="57" t="s">
        <v>37</v>
      </c>
      <c r="I348" s="82">
        <v>44409</v>
      </c>
      <c r="J348" s="83">
        <f ca="1">EFEITO!$J$348*EFEITO!$Y$348</f>
        <v>15826.785897271713</v>
      </c>
      <c r="K348" s="83">
        <f ca="1">EFEITO!$L$348*EFEITO!$Z$348</f>
        <v>1469.9422253361811</v>
      </c>
      <c r="L348" s="83">
        <f>EFEITO!$N$348*EFEITO!$AA$348</f>
        <v>3963.1080980394736</v>
      </c>
      <c r="M348" s="83">
        <f ca="1">$J$348-EFEITO!$K$348*EFEITO!$Y$348</f>
        <v>0</v>
      </c>
      <c r="N348" s="83">
        <f ca="1">$K$348-EFEITO!$M$348*EFEITO!$Z$348</f>
        <v>0</v>
      </c>
      <c r="O348" s="83">
        <f>$L$348-EFEITO!$O$348*EFEITO!$AA$348</f>
        <v>0</v>
      </c>
      <c r="P348" s="61"/>
      <c r="Q348" s="61"/>
      <c r="R348" s="61"/>
      <c r="S348" s="61"/>
      <c r="T348" s="61"/>
      <c r="U348" s="61"/>
      <c r="V348" s="61"/>
      <c r="W348" s="61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spans="1:36" ht="11.25" customHeight="1" x14ac:dyDescent="0.2">
      <c r="A349" s="57" t="s">
        <v>21</v>
      </c>
      <c r="B349" s="57" t="s">
        <v>35</v>
      </c>
      <c r="C349" s="57" t="s">
        <v>44</v>
      </c>
      <c r="D349" s="57" t="s">
        <v>45</v>
      </c>
      <c r="E349" s="57" t="s">
        <v>25</v>
      </c>
      <c r="F349" s="57" t="s">
        <v>25</v>
      </c>
      <c r="G349" s="57" t="s">
        <v>25</v>
      </c>
      <c r="H349" s="57" t="s">
        <v>37</v>
      </c>
      <c r="I349" s="82">
        <v>44409</v>
      </c>
      <c r="J349" s="83">
        <f ca="1">EFEITO!$J$349*EFEITO!$Y$349</f>
        <v>82986.892345244938</v>
      </c>
      <c r="K349" s="83">
        <f ca="1">EFEITO!$L$349*EFEITO!$Z$349</f>
        <v>0</v>
      </c>
      <c r="L349" s="83">
        <f>EFEITO!$N$349*EFEITO!$AA$349</f>
        <v>0</v>
      </c>
      <c r="M349" s="83">
        <f ca="1">$J$349-EFEITO!$K$349*EFEITO!$Y$349</f>
        <v>0</v>
      </c>
      <c r="N349" s="83">
        <f ca="1">$K$349-EFEITO!$M$349*EFEITO!$Z$349</f>
        <v>0</v>
      </c>
      <c r="O349" s="83">
        <f>$L$349-EFEITO!$O$349*EFEITO!$AA$349</f>
        <v>0</v>
      </c>
      <c r="P349" s="61"/>
      <c r="Q349" s="61"/>
      <c r="R349" s="61"/>
      <c r="S349" s="61"/>
      <c r="T349" s="61"/>
      <c r="U349" s="61"/>
      <c r="V349" s="61"/>
      <c r="W349" s="61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spans="1:36" ht="11.25" customHeight="1" x14ac:dyDescent="0.2">
      <c r="A350" s="57" t="s">
        <v>21</v>
      </c>
      <c r="B350" s="57" t="s">
        <v>35</v>
      </c>
      <c r="C350" s="57" t="s">
        <v>44</v>
      </c>
      <c r="D350" s="57" t="s">
        <v>45</v>
      </c>
      <c r="E350" s="57" t="s">
        <v>25</v>
      </c>
      <c r="F350" s="57" t="s">
        <v>25</v>
      </c>
      <c r="G350" s="57" t="s">
        <v>25</v>
      </c>
      <c r="H350" s="57" t="s">
        <v>37</v>
      </c>
      <c r="I350" s="82">
        <v>44440</v>
      </c>
      <c r="J350" s="83">
        <f ca="1">EFEITO!$J$350*EFEITO!$Y$350</f>
        <v>922340.03206572239</v>
      </c>
      <c r="K350" s="83">
        <f ca="1">EFEITO!$L$350*EFEITO!$Z$350</f>
        <v>76363.355369840472</v>
      </c>
      <c r="L350" s="83">
        <f>EFEITO!$N$350*EFEITO!$AA$350</f>
        <v>205883.07951386788</v>
      </c>
      <c r="M350" s="83">
        <f ca="1">$J$350-EFEITO!$K$350*EFEITO!$Y$350</f>
        <v>0</v>
      </c>
      <c r="N350" s="83">
        <f ca="1">$K$350-EFEITO!$M$350*EFEITO!$Z$350</f>
        <v>0</v>
      </c>
      <c r="O350" s="83">
        <f>$L$350-EFEITO!$O$350*EFEITO!$AA$350</f>
        <v>0</v>
      </c>
      <c r="P350" s="61"/>
      <c r="Q350" s="61"/>
      <c r="R350" s="61"/>
      <c r="S350" s="61"/>
      <c r="T350" s="61"/>
      <c r="U350" s="61"/>
      <c r="V350" s="61"/>
      <c r="W350" s="61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spans="1:36" ht="11.25" customHeight="1" x14ac:dyDescent="0.2">
      <c r="A351" s="57" t="s">
        <v>27</v>
      </c>
      <c r="B351" s="57" t="s">
        <v>35</v>
      </c>
      <c r="C351" s="57" t="s">
        <v>44</v>
      </c>
      <c r="D351" s="57" t="s">
        <v>45</v>
      </c>
      <c r="E351" s="57" t="s">
        <v>25</v>
      </c>
      <c r="F351" s="57" t="s">
        <v>25</v>
      </c>
      <c r="G351" s="57" t="s">
        <v>25</v>
      </c>
      <c r="H351" s="57" t="s">
        <v>37</v>
      </c>
      <c r="I351" s="82">
        <v>44440</v>
      </c>
      <c r="J351" s="83">
        <f ca="1">EFEITO!$J$351*EFEITO!$Y$351</f>
        <v>-118.55270335034992</v>
      </c>
      <c r="K351" s="83">
        <f ca="1">EFEITO!$L$351*EFEITO!$Z$351</f>
        <v>0</v>
      </c>
      <c r="L351" s="83">
        <f>EFEITO!$N$351*EFEITO!$AA$351</f>
        <v>0</v>
      </c>
      <c r="M351" s="83">
        <f ca="1">$J$351-EFEITO!$K$351*EFEITO!$Y$351</f>
        <v>0</v>
      </c>
      <c r="N351" s="83">
        <f ca="1">$K$351-EFEITO!$M$351*EFEITO!$Z$351</f>
        <v>0</v>
      </c>
      <c r="O351" s="83">
        <f>$L$351-EFEITO!$O$351*EFEITO!$AA$351</f>
        <v>0</v>
      </c>
      <c r="P351" s="61"/>
      <c r="Q351" s="61"/>
      <c r="R351" s="61"/>
      <c r="S351" s="61"/>
      <c r="T351" s="61"/>
      <c r="U351" s="61"/>
      <c r="V351" s="61"/>
      <c r="W351" s="61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spans="1:36" ht="11.25" customHeight="1" x14ac:dyDescent="0.2">
      <c r="A352" s="57" t="s">
        <v>28</v>
      </c>
      <c r="B352" s="57" t="s">
        <v>35</v>
      </c>
      <c r="C352" s="57" t="s">
        <v>44</v>
      </c>
      <c r="D352" s="57" t="s">
        <v>45</v>
      </c>
      <c r="E352" s="57" t="s">
        <v>25</v>
      </c>
      <c r="F352" s="57" t="s">
        <v>25</v>
      </c>
      <c r="G352" s="57" t="s">
        <v>25</v>
      </c>
      <c r="H352" s="57" t="s">
        <v>37</v>
      </c>
      <c r="I352" s="82">
        <v>44440</v>
      </c>
      <c r="J352" s="83">
        <f ca="1">EFEITO!$J$352*EFEITO!$Y$352</f>
        <v>28571.201507434329</v>
      </c>
      <c r="K352" s="83">
        <f ca="1">EFEITO!$L$352*EFEITO!$Z$352</f>
        <v>295.23544408907361</v>
      </c>
      <c r="L352" s="83">
        <f>EFEITO!$N$352*EFEITO!$AA$352</f>
        <v>795.98365101056481</v>
      </c>
      <c r="M352" s="83">
        <f ca="1">$J$352-EFEITO!$K$352*EFEITO!$Y$352</f>
        <v>0</v>
      </c>
      <c r="N352" s="83">
        <f ca="1">$K$352-EFEITO!$M$352*EFEITO!$Z$352</f>
        <v>0</v>
      </c>
      <c r="O352" s="83">
        <f>$L$352-EFEITO!$O$352*EFEITO!$AA$352</f>
        <v>0</v>
      </c>
      <c r="P352" s="61"/>
      <c r="Q352" s="61"/>
      <c r="R352" s="61"/>
      <c r="S352" s="61"/>
      <c r="T352" s="61"/>
      <c r="U352" s="61"/>
      <c r="V352" s="61"/>
      <c r="W352" s="61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spans="1:36" ht="11.25" customHeight="1" x14ac:dyDescent="0.2">
      <c r="A353" s="57" t="s">
        <v>30</v>
      </c>
      <c r="B353" s="57" t="s">
        <v>35</v>
      </c>
      <c r="C353" s="57" t="s">
        <v>44</v>
      </c>
      <c r="D353" s="57" t="s">
        <v>45</v>
      </c>
      <c r="E353" s="57" t="s">
        <v>25</v>
      </c>
      <c r="F353" s="57" t="s">
        <v>25</v>
      </c>
      <c r="G353" s="57" t="s">
        <v>25</v>
      </c>
      <c r="H353" s="57" t="s">
        <v>37</v>
      </c>
      <c r="I353" s="82">
        <v>44440</v>
      </c>
      <c r="J353" s="83">
        <f ca="1">EFEITO!$J$353*EFEITO!$Y$353</f>
        <v>14759.811567118564</v>
      </c>
      <c r="K353" s="83">
        <f ca="1">EFEITO!$L$353*EFEITO!$Z$353</f>
        <v>1425.2861792838953</v>
      </c>
      <c r="L353" s="83">
        <f>EFEITO!$N$353*EFEITO!$AA$353</f>
        <v>3842.7110275384462</v>
      </c>
      <c r="M353" s="83">
        <f ca="1">$J$353-EFEITO!$K$353*EFEITO!$Y$353</f>
        <v>0</v>
      </c>
      <c r="N353" s="83">
        <f ca="1">$K$353-EFEITO!$M$353*EFEITO!$Z$353</f>
        <v>0</v>
      </c>
      <c r="O353" s="83">
        <f>$L$353-EFEITO!$O$353*EFEITO!$AA$353</f>
        <v>0</v>
      </c>
      <c r="P353" s="61"/>
      <c r="Q353" s="61"/>
      <c r="R353" s="61"/>
      <c r="S353" s="61"/>
      <c r="T353" s="61"/>
      <c r="U353" s="61"/>
      <c r="V353" s="61"/>
      <c r="W353" s="61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spans="1:36" ht="11.25" customHeight="1" x14ac:dyDescent="0.2">
      <c r="A354" s="57" t="s">
        <v>30</v>
      </c>
      <c r="B354" s="57" t="s">
        <v>35</v>
      </c>
      <c r="C354" s="57" t="s">
        <v>44</v>
      </c>
      <c r="D354" s="57" t="s">
        <v>45</v>
      </c>
      <c r="E354" s="57" t="s">
        <v>25</v>
      </c>
      <c r="F354" s="57" t="s">
        <v>25</v>
      </c>
      <c r="G354" s="57" t="s">
        <v>25</v>
      </c>
      <c r="H354" s="57" t="s">
        <v>37</v>
      </c>
      <c r="I354" s="82">
        <v>44440</v>
      </c>
      <c r="J354" s="83">
        <f ca="1">EFEITO!$J$354*EFEITO!$Y$354</f>
        <v>-4208.6209689374218</v>
      </c>
      <c r="K354" s="83">
        <f ca="1">EFEITO!$L$354*EFEITO!$Z$354</f>
        <v>-596.87439666866362</v>
      </c>
      <c r="L354" s="83">
        <f>EFEITO!$N$354*EFEITO!$AA$354</f>
        <v>-1609.231787602409</v>
      </c>
      <c r="M354" s="83">
        <f ca="1">$J$354-EFEITO!$K$354*EFEITO!$Y$354</f>
        <v>0</v>
      </c>
      <c r="N354" s="83">
        <f ca="1">$K$354-EFEITO!$M$354*EFEITO!$Z$354</f>
        <v>0</v>
      </c>
      <c r="O354" s="83">
        <f>$L$354-EFEITO!$O$354*EFEITO!$AA$354</f>
        <v>0</v>
      </c>
      <c r="P354" s="61"/>
      <c r="Q354" s="61"/>
      <c r="R354" s="61"/>
      <c r="S354" s="61"/>
      <c r="T354" s="61"/>
      <c r="U354" s="61"/>
      <c r="V354" s="61"/>
      <c r="W354" s="61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spans="1:36" ht="11.25" customHeight="1" x14ac:dyDescent="0.2">
      <c r="A355" s="57" t="s">
        <v>21</v>
      </c>
      <c r="B355" s="57" t="s">
        <v>35</v>
      </c>
      <c r="C355" s="57" t="s">
        <v>44</v>
      </c>
      <c r="D355" s="57" t="s">
        <v>45</v>
      </c>
      <c r="E355" s="57" t="s">
        <v>25</v>
      </c>
      <c r="F355" s="57" t="s">
        <v>25</v>
      </c>
      <c r="G355" s="57" t="s">
        <v>25</v>
      </c>
      <c r="H355" s="57" t="s">
        <v>37</v>
      </c>
      <c r="I355" s="82">
        <v>44440</v>
      </c>
      <c r="J355" s="83">
        <f ca="1">EFEITO!$J$355*EFEITO!$Y$355</f>
        <v>82986.892345244938</v>
      </c>
      <c r="K355" s="83">
        <f ca="1">EFEITO!$L$355*EFEITO!$Z$355</f>
        <v>0</v>
      </c>
      <c r="L355" s="83">
        <f>EFEITO!$N$355*EFEITO!$AA$355</f>
        <v>0</v>
      </c>
      <c r="M355" s="83">
        <f ca="1">$J$355-EFEITO!$K$355*EFEITO!$Y$355</f>
        <v>0</v>
      </c>
      <c r="N355" s="83">
        <f ca="1">$K$355-EFEITO!$M$355*EFEITO!$Z$355</f>
        <v>0</v>
      </c>
      <c r="O355" s="83">
        <f>$L$355-EFEITO!$O$355*EFEITO!$AA$355</f>
        <v>0</v>
      </c>
      <c r="P355" s="61"/>
      <c r="Q355" s="61"/>
      <c r="R355" s="61"/>
      <c r="S355" s="61"/>
      <c r="T355" s="61"/>
      <c r="U355" s="61"/>
      <c r="V355" s="61"/>
      <c r="W355" s="61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spans="1:36" ht="11.25" customHeight="1" x14ac:dyDescent="0.2">
      <c r="A356" s="57" t="s">
        <v>59</v>
      </c>
      <c r="B356" s="57" t="s">
        <v>35</v>
      </c>
      <c r="C356" s="57" t="s">
        <v>44</v>
      </c>
      <c r="D356" s="57" t="s">
        <v>45</v>
      </c>
      <c r="E356" s="57" t="s">
        <v>25</v>
      </c>
      <c r="F356" s="57" t="s">
        <v>25</v>
      </c>
      <c r="G356" s="57" t="s">
        <v>25</v>
      </c>
      <c r="H356" s="57" t="s">
        <v>37</v>
      </c>
      <c r="I356" s="82">
        <v>44470</v>
      </c>
      <c r="J356" s="83">
        <f ca="1">EFEITO!$J$356*EFEITO!$Y$356</f>
        <v>922340.03206572239</v>
      </c>
      <c r="K356" s="83">
        <f ca="1">EFEITO!$L$356*EFEITO!$Z$356</f>
        <v>76363.355369840472</v>
      </c>
      <c r="L356" s="83">
        <f>EFEITO!$N$356*EFEITO!$AA$356</f>
        <v>205883.07951386788</v>
      </c>
      <c r="M356" s="83">
        <f ca="1">$J$356-EFEITO!$K$356*EFEITO!$Y$356</f>
        <v>0</v>
      </c>
      <c r="N356" s="83">
        <f ca="1">$K$356-EFEITO!$M$356*EFEITO!$Z$356</f>
        <v>0</v>
      </c>
      <c r="O356" s="83">
        <f>$L$356-EFEITO!$O$356*EFEITO!$AA$356</f>
        <v>0</v>
      </c>
      <c r="P356" s="61"/>
      <c r="Q356" s="61"/>
      <c r="R356" s="61"/>
      <c r="S356" s="61"/>
      <c r="T356" s="61"/>
      <c r="U356" s="61"/>
      <c r="V356" s="61"/>
      <c r="W356" s="61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spans="1:36" ht="11.25" customHeight="1" x14ac:dyDescent="0.2">
      <c r="A357" s="57" t="s">
        <v>59</v>
      </c>
      <c r="B357" s="57" t="s">
        <v>35</v>
      </c>
      <c r="C357" s="57" t="s">
        <v>44</v>
      </c>
      <c r="D357" s="57" t="s">
        <v>45</v>
      </c>
      <c r="E357" s="57" t="s">
        <v>25</v>
      </c>
      <c r="F357" s="57" t="s">
        <v>25</v>
      </c>
      <c r="G357" s="57" t="s">
        <v>25</v>
      </c>
      <c r="H357" s="57" t="s">
        <v>37</v>
      </c>
      <c r="I357" s="82">
        <v>44470</v>
      </c>
      <c r="J357" s="83">
        <f ca="1">EFEITO!$J$357*EFEITO!$Y$357</f>
        <v>-118.55270335034992</v>
      </c>
      <c r="K357" s="83">
        <f ca="1">EFEITO!$L$357*EFEITO!$Z$357</f>
        <v>0</v>
      </c>
      <c r="L357" s="83">
        <f>EFEITO!$N$357*EFEITO!$AA$357</f>
        <v>0</v>
      </c>
      <c r="M357" s="83">
        <f ca="1">$J$357-EFEITO!$K$357*EFEITO!$Y$357</f>
        <v>0</v>
      </c>
      <c r="N357" s="83">
        <f ca="1">$K$357-EFEITO!$M$357*EFEITO!$Z$357</f>
        <v>0</v>
      </c>
      <c r="O357" s="83">
        <f>$L$357-EFEITO!$O$357*EFEITO!$AA$357</f>
        <v>0</v>
      </c>
      <c r="P357" s="61"/>
      <c r="Q357" s="61"/>
      <c r="R357" s="61"/>
      <c r="S357" s="61"/>
      <c r="T357" s="61"/>
      <c r="U357" s="61"/>
      <c r="V357" s="61"/>
      <c r="W357" s="61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spans="1:36" ht="11.25" customHeight="1" x14ac:dyDescent="0.2">
      <c r="A358" s="57" t="s">
        <v>59</v>
      </c>
      <c r="B358" s="57" t="s">
        <v>35</v>
      </c>
      <c r="C358" s="57" t="s">
        <v>44</v>
      </c>
      <c r="D358" s="57" t="s">
        <v>45</v>
      </c>
      <c r="E358" s="57" t="s">
        <v>25</v>
      </c>
      <c r="F358" s="57" t="s">
        <v>25</v>
      </c>
      <c r="G358" s="57" t="s">
        <v>25</v>
      </c>
      <c r="H358" s="57" t="s">
        <v>37</v>
      </c>
      <c r="I358" s="82">
        <v>44470</v>
      </c>
      <c r="J358" s="83">
        <f ca="1">EFEITO!$J$358*EFEITO!$Y$358</f>
        <v>28571.201507434329</v>
      </c>
      <c r="K358" s="83">
        <f ca="1">EFEITO!$L$358*EFEITO!$Z$358</f>
        <v>295.23544408907361</v>
      </c>
      <c r="L358" s="83">
        <f>EFEITO!$N$358*EFEITO!$AA$358</f>
        <v>795.98365101056481</v>
      </c>
      <c r="M358" s="83">
        <f ca="1">$J$358-EFEITO!$K$358*EFEITO!$Y$358</f>
        <v>0</v>
      </c>
      <c r="N358" s="83">
        <f ca="1">$K$358-EFEITO!$M$358*EFEITO!$Z$358</f>
        <v>0</v>
      </c>
      <c r="O358" s="83">
        <f>$L$358-EFEITO!$O$358*EFEITO!$AA$358</f>
        <v>0</v>
      </c>
      <c r="P358" s="61"/>
      <c r="Q358" s="61"/>
      <c r="R358" s="61"/>
      <c r="S358" s="61"/>
      <c r="T358" s="61"/>
      <c r="U358" s="61"/>
      <c r="V358" s="61"/>
      <c r="W358" s="61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spans="1:36" ht="11.25" customHeight="1" x14ac:dyDescent="0.2">
      <c r="A359" s="57" t="s">
        <v>59</v>
      </c>
      <c r="B359" s="57" t="s">
        <v>35</v>
      </c>
      <c r="C359" s="57" t="s">
        <v>44</v>
      </c>
      <c r="D359" s="57" t="s">
        <v>45</v>
      </c>
      <c r="E359" s="57" t="s">
        <v>25</v>
      </c>
      <c r="F359" s="57" t="s">
        <v>25</v>
      </c>
      <c r="G359" s="57" t="s">
        <v>25</v>
      </c>
      <c r="H359" s="57" t="s">
        <v>37</v>
      </c>
      <c r="I359" s="82">
        <v>44470</v>
      </c>
      <c r="J359" s="83">
        <f ca="1">EFEITO!$J$359*EFEITO!$Y$359</f>
        <v>14759.811567118564</v>
      </c>
      <c r="K359" s="83">
        <f ca="1">EFEITO!$L$359*EFEITO!$Z$359</f>
        <v>1425.2861792838953</v>
      </c>
      <c r="L359" s="83">
        <f>EFEITO!$N$359*EFEITO!$AA$359</f>
        <v>3842.7110275384462</v>
      </c>
      <c r="M359" s="83">
        <f ca="1">$J$359-EFEITO!$K$359*EFEITO!$Y$359</f>
        <v>0</v>
      </c>
      <c r="N359" s="83">
        <f ca="1">$K$359-EFEITO!$M$359*EFEITO!$Z$359</f>
        <v>0</v>
      </c>
      <c r="O359" s="83">
        <f>$L$359-EFEITO!$O$359*EFEITO!$AA$359</f>
        <v>0</v>
      </c>
      <c r="P359" s="61"/>
      <c r="Q359" s="61"/>
      <c r="R359" s="61"/>
      <c r="S359" s="61"/>
      <c r="T359" s="61"/>
      <c r="U359" s="61"/>
      <c r="V359" s="61"/>
      <c r="W359" s="61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spans="1:36" ht="11.25" customHeight="1" x14ac:dyDescent="0.2">
      <c r="A360" s="57" t="s">
        <v>59</v>
      </c>
      <c r="B360" s="57" t="s">
        <v>35</v>
      </c>
      <c r="C360" s="57" t="s">
        <v>44</v>
      </c>
      <c r="D360" s="57" t="s">
        <v>45</v>
      </c>
      <c r="E360" s="57" t="s">
        <v>25</v>
      </c>
      <c r="F360" s="57" t="s">
        <v>25</v>
      </c>
      <c r="G360" s="57" t="s">
        <v>25</v>
      </c>
      <c r="H360" s="57" t="s">
        <v>37</v>
      </c>
      <c r="I360" s="82">
        <v>44470</v>
      </c>
      <c r="J360" s="83">
        <f ca="1">EFEITO!$J$360*EFEITO!$Y$360</f>
        <v>-4208.6209689374218</v>
      </c>
      <c r="K360" s="83">
        <f ca="1">EFEITO!$L$360*EFEITO!$Z$360</f>
        <v>-596.87439666866362</v>
      </c>
      <c r="L360" s="83">
        <f>EFEITO!$N$360*EFEITO!$AA$360</f>
        <v>-1609.231787602409</v>
      </c>
      <c r="M360" s="83">
        <f ca="1">$J$360-EFEITO!$K$360*EFEITO!$Y$360</f>
        <v>0</v>
      </c>
      <c r="N360" s="83">
        <f ca="1">$K$360-EFEITO!$M$360*EFEITO!$Z$360</f>
        <v>0</v>
      </c>
      <c r="O360" s="83">
        <f>$L$360-EFEITO!$O$360*EFEITO!$AA$360</f>
        <v>0</v>
      </c>
      <c r="P360" s="61"/>
      <c r="Q360" s="61"/>
      <c r="R360" s="61"/>
      <c r="S360" s="61"/>
      <c r="T360" s="61"/>
      <c r="U360" s="61"/>
      <c r="V360" s="61"/>
      <c r="W360" s="61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spans="1:36" ht="11.25" customHeight="1" x14ac:dyDescent="0.2">
      <c r="A361" s="57" t="s">
        <v>59</v>
      </c>
      <c r="B361" s="57" t="s">
        <v>35</v>
      </c>
      <c r="C361" s="57" t="s">
        <v>44</v>
      </c>
      <c r="D361" s="57" t="s">
        <v>45</v>
      </c>
      <c r="E361" s="57" t="s">
        <v>25</v>
      </c>
      <c r="F361" s="57" t="s">
        <v>25</v>
      </c>
      <c r="G361" s="57" t="s">
        <v>25</v>
      </c>
      <c r="H361" s="57" t="s">
        <v>37</v>
      </c>
      <c r="I361" s="82">
        <v>44470</v>
      </c>
      <c r="J361" s="83">
        <f ca="1">EFEITO!$J$361*EFEITO!$Y$361</f>
        <v>82986.892345244938</v>
      </c>
      <c r="K361" s="83">
        <f ca="1">EFEITO!$L$361*EFEITO!$Z$361</f>
        <v>0</v>
      </c>
      <c r="L361" s="83">
        <f>EFEITO!$N$361*EFEITO!$AA$361</f>
        <v>0</v>
      </c>
      <c r="M361" s="83">
        <f ca="1">$J$361-EFEITO!$K$361*EFEITO!$Y$361</f>
        <v>0</v>
      </c>
      <c r="N361" s="83">
        <f ca="1">$K$361-EFEITO!$M$361*EFEITO!$Z$361</f>
        <v>0</v>
      </c>
      <c r="O361" s="83">
        <f>$L$361-EFEITO!$O$361*EFEITO!$AA$361</f>
        <v>0</v>
      </c>
      <c r="P361" s="61"/>
      <c r="Q361" s="61"/>
      <c r="R361" s="61"/>
      <c r="S361" s="61"/>
      <c r="T361" s="61"/>
      <c r="U361" s="61"/>
      <c r="V361" s="61"/>
      <c r="W361" s="61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spans="1:36" ht="11.25" customHeight="1" x14ac:dyDescent="0.2">
      <c r="A362" s="57" t="s">
        <v>21</v>
      </c>
      <c r="B362" s="57" t="s">
        <v>35</v>
      </c>
      <c r="C362" s="57" t="s">
        <v>44</v>
      </c>
      <c r="D362" s="57" t="s">
        <v>42</v>
      </c>
      <c r="E362" s="57" t="s">
        <v>25</v>
      </c>
      <c r="F362" s="57" t="s">
        <v>62</v>
      </c>
      <c r="G362" s="57" t="s">
        <v>25</v>
      </c>
      <c r="H362" s="57" t="s">
        <v>38</v>
      </c>
      <c r="I362" s="82">
        <v>44136</v>
      </c>
      <c r="J362" s="83">
        <f ca="1">EFEITO!$J$362*EFEITO!$Y$362</f>
        <v>1577437.5697471974</v>
      </c>
      <c r="K362" s="83">
        <f ca="1">EFEITO!$L$362*EFEITO!$Z$362</f>
        <v>0</v>
      </c>
      <c r="L362" s="83">
        <f>EFEITO!$N$362*EFEITO!$AA$362</f>
        <v>0</v>
      </c>
      <c r="M362" s="83">
        <f ca="1">$J$362-EFEITO!$K$362*EFEITO!$Y$362</f>
        <v>764899.47757041594</v>
      </c>
      <c r="N362" s="83">
        <f ca="1">$K$362-EFEITO!$M$362*EFEITO!$Z$362</f>
        <v>0</v>
      </c>
      <c r="O362" s="83">
        <f>$L$362-EFEITO!$O$362*EFEITO!$AA$362</f>
        <v>0</v>
      </c>
      <c r="P362" s="61"/>
      <c r="Q362" s="61"/>
      <c r="R362" s="61"/>
      <c r="S362" s="61"/>
      <c r="T362" s="61"/>
      <c r="U362" s="61"/>
      <c r="V362" s="61"/>
      <c r="W362" s="61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spans="1:36" ht="11.25" customHeight="1" x14ac:dyDescent="0.2">
      <c r="A363" s="57" t="s">
        <v>21</v>
      </c>
      <c r="B363" s="57" t="s">
        <v>35</v>
      </c>
      <c r="C363" s="57" t="s">
        <v>44</v>
      </c>
      <c r="D363" s="57" t="s">
        <v>42</v>
      </c>
      <c r="E363" s="57" t="s">
        <v>25</v>
      </c>
      <c r="F363" s="57" t="s">
        <v>62</v>
      </c>
      <c r="G363" s="57" t="s">
        <v>25</v>
      </c>
      <c r="H363" s="57" t="s">
        <v>38</v>
      </c>
      <c r="I363" s="82">
        <v>44166</v>
      </c>
      <c r="J363" s="83">
        <f ca="1">EFEITO!$J$363*EFEITO!$Y$363</f>
        <v>1608985.0439164666</v>
      </c>
      <c r="K363" s="83">
        <f ca="1">EFEITO!$L$363*EFEITO!$Z$363</f>
        <v>0</v>
      </c>
      <c r="L363" s="83">
        <f>EFEITO!$N$363*EFEITO!$AA$363</f>
        <v>0</v>
      </c>
      <c r="M363" s="83">
        <f ca="1">$J$363-EFEITO!$K$363*EFEITO!$Y$363</f>
        <v>782288.52835218608</v>
      </c>
      <c r="N363" s="83">
        <f ca="1">$K$363-EFEITO!$M$363*EFEITO!$Z$363</f>
        <v>0</v>
      </c>
      <c r="O363" s="83">
        <f>$L$363-EFEITO!$O$363*EFEITO!$AA$363</f>
        <v>0</v>
      </c>
      <c r="P363" s="61"/>
      <c r="Q363" s="61"/>
      <c r="R363" s="61"/>
      <c r="S363" s="61"/>
      <c r="T363" s="61"/>
      <c r="U363" s="61"/>
      <c r="V363" s="61"/>
      <c r="W363" s="61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spans="1:36" ht="11.25" customHeight="1" x14ac:dyDescent="0.2">
      <c r="A364" s="57" t="s">
        <v>21</v>
      </c>
      <c r="B364" s="57" t="s">
        <v>35</v>
      </c>
      <c r="C364" s="57" t="s">
        <v>44</v>
      </c>
      <c r="D364" s="57" t="s">
        <v>42</v>
      </c>
      <c r="E364" s="57" t="s">
        <v>25</v>
      </c>
      <c r="F364" s="57" t="s">
        <v>62</v>
      </c>
      <c r="G364" s="57" t="s">
        <v>25</v>
      </c>
      <c r="H364" s="57" t="s">
        <v>38</v>
      </c>
      <c r="I364" s="82">
        <v>44197</v>
      </c>
      <c r="J364" s="83">
        <f ca="1">EFEITO!$J$364*EFEITO!$Y$364</f>
        <v>1458016.9691469281</v>
      </c>
      <c r="K364" s="83">
        <f ca="1">EFEITO!$L$364*EFEITO!$Z$364</f>
        <v>0</v>
      </c>
      <c r="L364" s="83">
        <f>EFEITO!$N$364*EFEITO!$AA$364</f>
        <v>0</v>
      </c>
      <c r="M364" s="83">
        <f ca="1">$J$364-EFEITO!$K$364*EFEITO!$Y$364</f>
        <v>679581.70931938326</v>
      </c>
      <c r="N364" s="83">
        <f ca="1">$K$364-EFEITO!$M$364*EFEITO!$Z$364</f>
        <v>0</v>
      </c>
      <c r="O364" s="83">
        <f>$L$364-EFEITO!$O$364*EFEITO!$AA$364</f>
        <v>0</v>
      </c>
      <c r="P364" s="61"/>
      <c r="Q364" s="61"/>
      <c r="R364" s="61"/>
      <c r="S364" s="61"/>
      <c r="T364" s="61"/>
      <c r="U364" s="61"/>
      <c r="V364" s="61"/>
      <c r="W364" s="61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spans="1:36" ht="11.25" customHeight="1" x14ac:dyDescent="0.2">
      <c r="A365" s="57" t="s">
        <v>21</v>
      </c>
      <c r="B365" s="57" t="s">
        <v>35</v>
      </c>
      <c r="C365" s="57" t="s">
        <v>44</v>
      </c>
      <c r="D365" s="57" t="s">
        <v>42</v>
      </c>
      <c r="E365" s="57" t="s">
        <v>25</v>
      </c>
      <c r="F365" s="57" t="s">
        <v>62</v>
      </c>
      <c r="G365" s="57" t="s">
        <v>25</v>
      </c>
      <c r="H365" s="57" t="s">
        <v>38</v>
      </c>
      <c r="I365" s="82">
        <v>44228</v>
      </c>
      <c r="J365" s="83">
        <f ca="1">EFEITO!$J$365*EFEITO!$Y$365</f>
        <v>1670547.3214451617</v>
      </c>
      <c r="K365" s="83">
        <f ca="1">EFEITO!$L$365*EFEITO!$Z$365</f>
        <v>0</v>
      </c>
      <c r="L365" s="83">
        <f>EFEITO!$N$365*EFEITO!$AA$365</f>
        <v>0</v>
      </c>
      <c r="M365" s="83">
        <f ca="1">$J$365-EFEITO!$K$365*EFEITO!$Y$365</f>
        <v>827756.19777607755</v>
      </c>
      <c r="N365" s="83">
        <f ca="1">$K$365-EFEITO!$M$365*EFEITO!$Z$365</f>
        <v>0</v>
      </c>
      <c r="O365" s="83">
        <f>$L$365-EFEITO!$O$365*EFEITO!$AA$365</f>
        <v>0</v>
      </c>
      <c r="P365" s="61"/>
      <c r="Q365" s="61"/>
      <c r="R365" s="61"/>
      <c r="S365" s="61"/>
      <c r="T365" s="61"/>
      <c r="U365" s="61"/>
      <c r="V365" s="61"/>
      <c r="W365" s="61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spans="1:36" ht="11.25" customHeight="1" x14ac:dyDescent="0.2">
      <c r="A366" s="57" t="s">
        <v>21</v>
      </c>
      <c r="B366" s="57" t="s">
        <v>35</v>
      </c>
      <c r="C366" s="57" t="s">
        <v>44</v>
      </c>
      <c r="D366" s="57" t="s">
        <v>42</v>
      </c>
      <c r="E366" s="57" t="s">
        <v>25</v>
      </c>
      <c r="F366" s="57" t="s">
        <v>62</v>
      </c>
      <c r="G366" s="57" t="s">
        <v>25</v>
      </c>
      <c r="H366" s="57" t="s">
        <v>38</v>
      </c>
      <c r="I366" s="82">
        <v>44256</v>
      </c>
      <c r="J366" s="83">
        <f ca="1">EFEITO!$J$366*EFEITO!$Y$366</f>
        <v>1685969.8214692073</v>
      </c>
      <c r="K366" s="83">
        <f ca="1">EFEITO!$L$366*EFEITO!$Z$366</f>
        <v>0</v>
      </c>
      <c r="L366" s="83">
        <f>EFEITO!$N$366*EFEITO!$AA$366</f>
        <v>0</v>
      </c>
      <c r="M366" s="83">
        <f ca="1">$J$366-EFEITO!$K$366*EFEITO!$Y$366</f>
        <v>835566.64352013916</v>
      </c>
      <c r="N366" s="83">
        <f ca="1">$K$366-EFEITO!$M$366*EFEITO!$Z$366</f>
        <v>0</v>
      </c>
      <c r="O366" s="83">
        <f>$L$366-EFEITO!$O$366*EFEITO!$AA$366</f>
        <v>0</v>
      </c>
      <c r="P366" s="61"/>
      <c r="Q366" s="61"/>
      <c r="R366" s="61"/>
      <c r="S366" s="61"/>
      <c r="T366" s="61"/>
      <c r="U366" s="61"/>
      <c r="V366" s="61"/>
      <c r="W366" s="61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spans="1:36" ht="11.25" customHeight="1" x14ac:dyDescent="0.2">
      <c r="A367" s="57" t="s">
        <v>21</v>
      </c>
      <c r="B367" s="57" t="s">
        <v>35</v>
      </c>
      <c r="C367" s="57" t="s">
        <v>44</v>
      </c>
      <c r="D367" s="57" t="s">
        <v>42</v>
      </c>
      <c r="E367" s="57" t="s">
        <v>25</v>
      </c>
      <c r="F367" s="57" t="s">
        <v>62</v>
      </c>
      <c r="G367" s="57" t="s">
        <v>25</v>
      </c>
      <c r="H367" s="57" t="s">
        <v>38</v>
      </c>
      <c r="I367" s="82">
        <v>44287</v>
      </c>
      <c r="J367" s="83">
        <f ca="1">EFEITO!$J$367*EFEITO!$Y$367</f>
        <v>1711163.0979060021</v>
      </c>
      <c r="K367" s="83">
        <f ca="1">EFEITO!$L$367*EFEITO!$Z$367</f>
        <v>0</v>
      </c>
      <c r="L367" s="83">
        <f>EFEITO!$N$367*EFEITO!$AA$367</f>
        <v>0</v>
      </c>
      <c r="M367" s="83">
        <f ca="1">$J$367-EFEITO!$K$367*EFEITO!$Y$367</f>
        <v>849421.36180053942</v>
      </c>
      <c r="N367" s="83">
        <f ca="1">$K$367-EFEITO!$M$367*EFEITO!$Z$367</f>
        <v>0</v>
      </c>
      <c r="O367" s="83">
        <f>$L$367-EFEITO!$O$367*EFEITO!$AA$367</f>
        <v>0</v>
      </c>
      <c r="P367" s="61"/>
      <c r="Q367" s="61"/>
      <c r="R367" s="61"/>
      <c r="S367" s="61"/>
      <c r="T367" s="61"/>
      <c r="U367" s="61"/>
      <c r="V367" s="61"/>
      <c r="W367" s="61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spans="1:36" ht="11.25" customHeight="1" x14ac:dyDescent="0.2">
      <c r="A368" s="57" t="s">
        <v>21</v>
      </c>
      <c r="B368" s="57" t="s">
        <v>35</v>
      </c>
      <c r="C368" s="57" t="s">
        <v>44</v>
      </c>
      <c r="D368" s="57" t="s">
        <v>42</v>
      </c>
      <c r="E368" s="57" t="s">
        <v>25</v>
      </c>
      <c r="F368" s="57" t="s">
        <v>62</v>
      </c>
      <c r="G368" s="57" t="s">
        <v>25</v>
      </c>
      <c r="H368" s="57" t="s">
        <v>38</v>
      </c>
      <c r="I368" s="82">
        <v>44317</v>
      </c>
      <c r="J368" s="83">
        <f ca="1">EFEITO!$J$368*EFEITO!$Y$368</f>
        <v>1730928.1652246029</v>
      </c>
      <c r="K368" s="83">
        <f ca="1">EFEITO!$L$368*EFEITO!$Z$368</f>
        <v>0</v>
      </c>
      <c r="L368" s="83">
        <f>EFEITO!$N$368*EFEITO!$AA$368</f>
        <v>0</v>
      </c>
      <c r="M368" s="83">
        <f ca="1">$J$368-EFEITO!$K$368*EFEITO!$Y$368</f>
        <v>858194.18431835808</v>
      </c>
      <c r="N368" s="83">
        <f ca="1">$K$368-EFEITO!$M$368*EFEITO!$Z$368</f>
        <v>0</v>
      </c>
      <c r="O368" s="83">
        <f>$L$368-EFEITO!$O$368*EFEITO!$AA$368</f>
        <v>0</v>
      </c>
      <c r="P368" s="61"/>
      <c r="Q368" s="61"/>
      <c r="R368" s="61"/>
      <c r="S368" s="61"/>
      <c r="T368" s="61"/>
      <c r="U368" s="61"/>
      <c r="V368" s="61"/>
      <c r="W368" s="61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spans="1:36" ht="11.25" customHeight="1" x14ac:dyDescent="0.2">
      <c r="A369" s="57" t="s">
        <v>21</v>
      </c>
      <c r="B369" s="57" t="s">
        <v>35</v>
      </c>
      <c r="C369" s="57" t="s">
        <v>44</v>
      </c>
      <c r="D369" s="57" t="s">
        <v>42</v>
      </c>
      <c r="E369" s="57" t="s">
        <v>25</v>
      </c>
      <c r="F369" s="57" t="s">
        <v>62</v>
      </c>
      <c r="G369" s="57" t="s">
        <v>25</v>
      </c>
      <c r="H369" s="57" t="s">
        <v>38</v>
      </c>
      <c r="I369" s="82">
        <v>44348</v>
      </c>
      <c r="J369" s="83">
        <f ca="1">EFEITO!$J$369*EFEITO!$Y$369</f>
        <v>1458016.9691469281</v>
      </c>
      <c r="K369" s="83">
        <f ca="1">EFEITO!$L$369*EFEITO!$Z$369</f>
        <v>0</v>
      </c>
      <c r="L369" s="83">
        <f>EFEITO!$N$369*EFEITO!$AA$369</f>
        <v>0</v>
      </c>
      <c r="M369" s="83">
        <f ca="1">$J$369-EFEITO!$K$369*EFEITO!$Y$369</f>
        <v>679581.70931938326</v>
      </c>
      <c r="N369" s="83">
        <f ca="1">$K$369-EFEITO!$M$369*EFEITO!$Z$369</f>
        <v>0</v>
      </c>
      <c r="O369" s="83">
        <f>$L$369-EFEITO!$O$369*EFEITO!$AA$369</f>
        <v>0</v>
      </c>
      <c r="P369" s="61"/>
      <c r="Q369" s="61"/>
      <c r="R369" s="61"/>
      <c r="S369" s="61"/>
      <c r="T369" s="61"/>
      <c r="U369" s="61"/>
      <c r="V369" s="61"/>
      <c r="W369" s="61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spans="1:36" ht="11.25" customHeight="1" x14ac:dyDescent="0.2">
      <c r="A370" s="57" t="s">
        <v>21</v>
      </c>
      <c r="B370" s="57" t="s">
        <v>35</v>
      </c>
      <c r="C370" s="57" t="s">
        <v>44</v>
      </c>
      <c r="D370" s="57" t="s">
        <v>42</v>
      </c>
      <c r="E370" s="57" t="s">
        <v>25</v>
      </c>
      <c r="F370" s="57" t="s">
        <v>62</v>
      </c>
      <c r="G370" s="57" t="s">
        <v>25</v>
      </c>
      <c r="H370" s="57" t="s">
        <v>38</v>
      </c>
      <c r="I370" s="82">
        <v>44378</v>
      </c>
      <c r="J370" s="83">
        <f ca="1">EFEITO!$J$370*EFEITO!$Y$370</f>
        <v>1771703.594894802</v>
      </c>
      <c r="K370" s="83">
        <f ca="1">EFEITO!$L$370*EFEITO!$Z$370</f>
        <v>0</v>
      </c>
      <c r="L370" s="83">
        <f>EFEITO!$N$370*EFEITO!$AA$370</f>
        <v>0</v>
      </c>
      <c r="M370" s="83">
        <f ca="1">$J$370-EFEITO!$K$370*EFEITO!$Y$370</f>
        <v>894355.97470289608</v>
      </c>
      <c r="N370" s="83">
        <f ca="1">$K$370-EFEITO!$M$370*EFEITO!$Z$370</f>
        <v>0</v>
      </c>
      <c r="O370" s="83">
        <f>$L$370-EFEITO!$O$370*EFEITO!$AA$370</f>
        <v>0</v>
      </c>
      <c r="P370" s="61"/>
      <c r="Q370" s="61"/>
      <c r="R370" s="61"/>
      <c r="S370" s="61"/>
      <c r="T370" s="61"/>
      <c r="U370" s="61"/>
      <c r="V370" s="61"/>
      <c r="W370" s="61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spans="1:36" ht="11.25" customHeight="1" x14ac:dyDescent="0.2">
      <c r="A371" s="57" t="s">
        <v>21</v>
      </c>
      <c r="B371" s="57" t="s">
        <v>35</v>
      </c>
      <c r="C371" s="57" t="s">
        <v>44</v>
      </c>
      <c r="D371" s="57" t="s">
        <v>42</v>
      </c>
      <c r="E371" s="57" t="s">
        <v>25</v>
      </c>
      <c r="F371" s="57" t="s">
        <v>62</v>
      </c>
      <c r="G371" s="57" t="s">
        <v>25</v>
      </c>
      <c r="H371" s="57" t="s">
        <v>38</v>
      </c>
      <c r="I371" s="82">
        <v>44409</v>
      </c>
      <c r="J371" s="83">
        <f ca="1">EFEITO!$J$371*EFEITO!$Y$371</f>
        <v>1716208.1393217354</v>
      </c>
      <c r="K371" s="83">
        <f ca="1">EFEITO!$L$371*EFEITO!$Z$371</f>
        <v>0</v>
      </c>
      <c r="L371" s="83">
        <f>EFEITO!$N$371*EFEITO!$AA$371</f>
        <v>0</v>
      </c>
      <c r="M371" s="83">
        <f ca="1">$J$371-EFEITO!$K$371*EFEITO!$Y$371</f>
        <v>825667.73582768673</v>
      </c>
      <c r="N371" s="83">
        <f ca="1">$K$371-EFEITO!$M$371*EFEITO!$Z$371</f>
        <v>0</v>
      </c>
      <c r="O371" s="83">
        <f>$L$371-EFEITO!$O$371*EFEITO!$AA$371</f>
        <v>0</v>
      </c>
      <c r="P371" s="61"/>
      <c r="Q371" s="61"/>
      <c r="R371" s="61"/>
      <c r="S371" s="61"/>
      <c r="T371" s="61"/>
      <c r="U371" s="61"/>
      <c r="V371" s="61"/>
      <c r="W371" s="61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spans="1:36" ht="11.25" customHeight="1" x14ac:dyDescent="0.2">
      <c r="A372" s="57" t="s">
        <v>21</v>
      </c>
      <c r="B372" s="57" t="s">
        <v>35</v>
      </c>
      <c r="C372" s="57" t="s">
        <v>44</v>
      </c>
      <c r="D372" s="57" t="s">
        <v>42</v>
      </c>
      <c r="E372" s="57" t="s">
        <v>25</v>
      </c>
      <c r="F372" s="57" t="s">
        <v>62</v>
      </c>
      <c r="G372" s="57" t="s">
        <v>25</v>
      </c>
      <c r="H372" s="57" t="s">
        <v>38</v>
      </c>
      <c r="I372" s="82">
        <v>44440</v>
      </c>
      <c r="J372" s="83">
        <f ca="1">EFEITO!$J$372*EFEITO!$Y$372</f>
        <v>1794853.3102518059</v>
      </c>
      <c r="K372" s="83">
        <f ca="1">EFEITO!$L$372*EFEITO!$Z$372</f>
        <v>0</v>
      </c>
      <c r="L372" s="83">
        <f>EFEITO!$N$372*EFEITO!$AA$372</f>
        <v>0</v>
      </c>
      <c r="M372" s="83">
        <f ca="1">$J$372-EFEITO!$K$372*EFEITO!$Y$372</f>
        <v>986989.83530746796</v>
      </c>
      <c r="N372" s="83">
        <f ca="1">$K$372-EFEITO!$M$372*EFEITO!$Z$372</f>
        <v>0</v>
      </c>
      <c r="O372" s="83">
        <f>$L$372-EFEITO!$O$372*EFEITO!$AA$372</f>
        <v>0</v>
      </c>
      <c r="P372" s="61"/>
      <c r="Q372" s="61"/>
      <c r="R372" s="61"/>
      <c r="S372" s="61"/>
      <c r="T372" s="61"/>
      <c r="U372" s="61"/>
      <c r="V372" s="61"/>
      <c r="W372" s="61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spans="1:36" ht="11.25" customHeight="1" x14ac:dyDescent="0.2">
      <c r="A373" s="57" t="s">
        <v>59</v>
      </c>
      <c r="B373" s="57" t="s">
        <v>35</v>
      </c>
      <c r="C373" s="57" t="s">
        <v>44</v>
      </c>
      <c r="D373" s="57" t="s">
        <v>42</v>
      </c>
      <c r="E373" s="57" t="s">
        <v>25</v>
      </c>
      <c r="F373" s="57" t="s">
        <v>62</v>
      </c>
      <c r="G373" s="57" t="s">
        <v>25</v>
      </c>
      <c r="H373" s="57" t="s">
        <v>38</v>
      </c>
      <c r="I373" s="82">
        <v>44470</v>
      </c>
      <c r="J373" s="83">
        <f ca="1">EFEITO!$J$373*EFEITO!$Y$373</f>
        <v>1794853.3102518059</v>
      </c>
      <c r="K373" s="83">
        <f ca="1">EFEITO!$L$373*EFEITO!$Z$373</f>
        <v>0</v>
      </c>
      <c r="L373" s="83">
        <f>EFEITO!$N$373*EFEITO!$AA$373</f>
        <v>0</v>
      </c>
      <c r="M373" s="83">
        <f ca="1">$J$373-EFEITO!$K$373*EFEITO!$Y$373</f>
        <v>986989.83530746796</v>
      </c>
      <c r="N373" s="83">
        <f ca="1">$K$373-EFEITO!$M$373*EFEITO!$Z$373</f>
        <v>0</v>
      </c>
      <c r="O373" s="83">
        <f>$L$373-EFEITO!$O$373*EFEITO!$AA$373</f>
        <v>0</v>
      </c>
      <c r="P373" s="61"/>
      <c r="Q373" s="61"/>
      <c r="R373" s="61"/>
      <c r="S373" s="61"/>
      <c r="T373" s="61"/>
      <c r="U373" s="61"/>
      <c r="V373" s="61"/>
      <c r="W373" s="61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spans="1:36" ht="11.25" customHeight="1" x14ac:dyDescent="0.2">
      <c r="A374" s="57" t="s">
        <v>21</v>
      </c>
      <c r="B374" s="57" t="s">
        <v>35</v>
      </c>
      <c r="C374" s="57" t="s">
        <v>44</v>
      </c>
      <c r="D374" s="57" t="s">
        <v>42</v>
      </c>
      <c r="E374" s="57" t="s">
        <v>25</v>
      </c>
      <c r="F374" s="57" t="s">
        <v>62</v>
      </c>
      <c r="G374" s="57" t="s">
        <v>25</v>
      </c>
      <c r="H374" s="57" t="s">
        <v>25</v>
      </c>
      <c r="I374" s="82">
        <v>44136</v>
      </c>
      <c r="J374" s="83">
        <f>EFEITO!$J$374*EFEITO!$Y$374</f>
        <v>0</v>
      </c>
      <c r="K374" s="83">
        <f ca="1">EFEITO!$L$374*EFEITO!$Z$374</f>
        <v>3721500.9098593313</v>
      </c>
      <c r="L374" s="83">
        <f>EFEITO!$N$374*EFEITO!$AA$374</f>
        <v>0</v>
      </c>
      <c r="M374" s="83">
        <f>$J$374-EFEITO!$K$374*EFEITO!$Y$374</f>
        <v>0</v>
      </c>
      <c r="N374" s="83">
        <f ca="1">$K$374-EFEITO!$M$374*EFEITO!$Z$374</f>
        <v>0</v>
      </c>
      <c r="O374" s="83">
        <f>$L$374-EFEITO!$O$374*EFEITO!$AA$374</f>
        <v>0</v>
      </c>
      <c r="P374" s="61"/>
      <c r="Q374" s="61"/>
      <c r="R374" s="61"/>
      <c r="S374" s="61"/>
      <c r="T374" s="61"/>
      <c r="U374" s="61"/>
      <c r="V374" s="61"/>
      <c r="W374" s="61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spans="1:36" ht="11.25" customHeight="1" x14ac:dyDescent="0.2">
      <c r="A375" s="57" t="s">
        <v>21</v>
      </c>
      <c r="B375" s="57" t="s">
        <v>35</v>
      </c>
      <c r="C375" s="57" t="s">
        <v>44</v>
      </c>
      <c r="D375" s="57" t="s">
        <v>42</v>
      </c>
      <c r="E375" s="57" t="s">
        <v>25</v>
      </c>
      <c r="F375" s="57" t="s">
        <v>62</v>
      </c>
      <c r="G375" s="57" t="s">
        <v>25</v>
      </c>
      <c r="H375" s="57" t="s">
        <v>25</v>
      </c>
      <c r="I375" s="82">
        <v>44166</v>
      </c>
      <c r="J375" s="83">
        <f>EFEITO!$J$375*EFEITO!$Y$375</f>
        <v>0</v>
      </c>
      <c r="K375" s="83">
        <f ca="1">EFEITO!$L$375*EFEITO!$Z$375</f>
        <v>3720911.4500514413</v>
      </c>
      <c r="L375" s="83">
        <f>EFEITO!$N$375*EFEITO!$AA$375</f>
        <v>0</v>
      </c>
      <c r="M375" s="83">
        <f>$J$375-EFEITO!$K$375*EFEITO!$Y$375</f>
        <v>0</v>
      </c>
      <c r="N375" s="83">
        <f ca="1">$K$375-EFEITO!$M$375*EFEITO!$Z$375</f>
        <v>0</v>
      </c>
      <c r="O375" s="83">
        <f>$L$375-EFEITO!$O$375*EFEITO!$AA$375</f>
        <v>0</v>
      </c>
      <c r="P375" s="61"/>
      <c r="Q375" s="61"/>
      <c r="R375" s="61"/>
      <c r="S375" s="61"/>
      <c r="T375" s="61"/>
      <c r="U375" s="61"/>
      <c r="V375" s="61"/>
      <c r="W375" s="61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spans="1:36" ht="11.25" customHeight="1" x14ac:dyDescent="0.2">
      <c r="A376" s="57" t="s">
        <v>21</v>
      </c>
      <c r="B376" s="57" t="s">
        <v>35</v>
      </c>
      <c r="C376" s="57" t="s">
        <v>44</v>
      </c>
      <c r="D376" s="57" t="s">
        <v>42</v>
      </c>
      <c r="E376" s="57" t="s">
        <v>25</v>
      </c>
      <c r="F376" s="57" t="s">
        <v>62</v>
      </c>
      <c r="G376" s="57" t="s">
        <v>25</v>
      </c>
      <c r="H376" s="57" t="s">
        <v>25</v>
      </c>
      <c r="I376" s="82">
        <v>44197</v>
      </c>
      <c r="J376" s="83">
        <f>EFEITO!$J$376*EFEITO!$Y$376</f>
        <v>0</v>
      </c>
      <c r="K376" s="83">
        <f ca="1">EFEITO!$L$376*EFEITO!$Z$376</f>
        <v>3321621.183665433</v>
      </c>
      <c r="L376" s="83">
        <f>EFEITO!$N$376*EFEITO!$AA$376</f>
        <v>0</v>
      </c>
      <c r="M376" s="83">
        <f>$J$376-EFEITO!$K$376*EFEITO!$Y$376</f>
        <v>0</v>
      </c>
      <c r="N376" s="83">
        <f ca="1">$K$376-EFEITO!$M$376*EFEITO!$Z$376</f>
        <v>0</v>
      </c>
      <c r="O376" s="83">
        <f>$L$376-EFEITO!$O$376*EFEITO!$AA$376</f>
        <v>0</v>
      </c>
      <c r="P376" s="61"/>
      <c r="Q376" s="61"/>
      <c r="R376" s="61"/>
      <c r="S376" s="61"/>
      <c r="T376" s="61"/>
      <c r="U376" s="61"/>
      <c r="V376" s="61"/>
      <c r="W376" s="61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spans="1:36" ht="11.25" customHeight="1" x14ac:dyDescent="0.2">
      <c r="A377" s="57" t="s">
        <v>21</v>
      </c>
      <c r="B377" s="57" t="s">
        <v>35</v>
      </c>
      <c r="C377" s="57" t="s">
        <v>44</v>
      </c>
      <c r="D377" s="57" t="s">
        <v>42</v>
      </c>
      <c r="E377" s="57" t="s">
        <v>25</v>
      </c>
      <c r="F377" s="57" t="s">
        <v>62</v>
      </c>
      <c r="G377" s="57" t="s">
        <v>25</v>
      </c>
      <c r="H377" s="57" t="s">
        <v>25</v>
      </c>
      <c r="I377" s="82">
        <v>44228</v>
      </c>
      <c r="J377" s="83">
        <f>EFEITO!$J$377*EFEITO!$Y$377</f>
        <v>0</v>
      </c>
      <c r="K377" s="83">
        <f ca="1">EFEITO!$L$377*EFEITO!$Z$377</f>
        <v>3330651.8157708743</v>
      </c>
      <c r="L377" s="83">
        <f>EFEITO!$N$377*EFEITO!$AA$377</f>
        <v>0</v>
      </c>
      <c r="M377" s="83">
        <f>$J$377-EFEITO!$K$377*EFEITO!$Y$377</f>
        <v>0</v>
      </c>
      <c r="N377" s="83">
        <f ca="1">$K$377-EFEITO!$M$377*EFEITO!$Z$377</f>
        <v>0</v>
      </c>
      <c r="O377" s="83">
        <f>$L$377-EFEITO!$O$377*EFEITO!$AA$377</f>
        <v>0</v>
      </c>
      <c r="P377" s="61"/>
      <c r="Q377" s="61"/>
      <c r="R377" s="61"/>
      <c r="S377" s="61"/>
      <c r="T377" s="61"/>
      <c r="U377" s="61"/>
      <c r="V377" s="61"/>
      <c r="W377" s="61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spans="1:36" ht="11.25" customHeight="1" x14ac:dyDescent="0.2">
      <c r="A378" s="57" t="s">
        <v>21</v>
      </c>
      <c r="B378" s="57" t="s">
        <v>35</v>
      </c>
      <c r="C378" s="57" t="s">
        <v>44</v>
      </c>
      <c r="D378" s="57" t="s">
        <v>42</v>
      </c>
      <c r="E378" s="57" t="s">
        <v>25</v>
      </c>
      <c r="F378" s="57" t="s">
        <v>62</v>
      </c>
      <c r="G378" s="57" t="s">
        <v>25</v>
      </c>
      <c r="H378" s="57" t="s">
        <v>25</v>
      </c>
      <c r="I378" s="82">
        <v>44256</v>
      </c>
      <c r="J378" s="83">
        <f>EFEITO!$J$378*EFEITO!$Y$378</f>
        <v>0</v>
      </c>
      <c r="K378" s="83">
        <f ca="1">EFEITO!$L$378*EFEITO!$Z$378</f>
        <v>3961091.7188130119</v>
      </c>
      <c r="L378" s="83">
        <f>EFEITO!$N$378*EFEITO!$AA$378</f>
        <v>0</v>
      </c>
      <c r="M378" s="83">
        <f>$J$378-EFEITO!$K$378*EFEITO!$Y$378</f>
        <v>0</v>
      </c>
      <c r="N378" s="83">
        <f ca="1">$K$378-EFEITO!$M$378*EFEITO!$Z$378</f>
        <v>0</v>
      </c>
      <c r="O378" s="83">
        <f>$L$378-EFEITO!$O$378*EFEITO!$AA$378</f>
        <v>0</v>
      </c>
      <c r="P378" s="61"/>
      <c r="Q378" s="61"/>
      <c r="R378" s="61"/>
      <c r="S378" s="61"/>
      <c r="T378" s="61"/>
      <c r="U378" s="61"/>
      <c r="V378" s="61"/>
      <c r="W378" s="61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spans="1:36" ht="11.25" customHeight="1" x14ac:dyDescent="0.2">
      <c r="A379" s="57" t="s">
        <v>21</v>
      </c>
      <c r="B379" s="57" t="s">
        <v>35</v>
      </c>
      <c r="C379" s="57" t="s">
        <v>44</v>
      </c>
      <c r="D379" s="57" t="s">
        <v>42</v>
      </c>
      <c r="E379" s="57" t="s">
        <v>25</v>
      </c>
      <c r="F379" s="57" t="s">
        <v>62</v>
      </c>
      <c r="G379" s="57" t="s">
        <v>25</v>
      </c>
      <c r="H379" s="57" t="s">
        <v>25</v>
      </c>
      <c r="I379" s="82">
        <v>44287</v>
      </c>
      <c r="J379" s="83">
        <f>EFEITO!$J$379*EFEITO!$Y$379</f>
        <v>0</v>
      </c>
      <c r="K379" s="83">
        <f ca="1">EFEITO!$L$379*EFEITO!$Z$379</f>
        <v>3736292.171905518</v>
      </c>
      <c r="L379" s="83">
        <f>EFEITO!$N$379*EFEITO!$AA$379</f>
        <v>0</v>
      </c>
      <c r="M379" s="83">
        <f>$J$379-EFEITO!$K$379*EFEITO!$Y$379</f>
        <v>0</v>
      </c>
      <c r="N379" s="83">
        <f ca="1">$K$379-EFEITO!$M$379*EFEITO!$Z$379</f>
        <v>0</v>
      </c>
      <c r="O379" s="83">
        <f>$L$379-EFEITO!$O$379*EFEITO!$AA$379</f>
        <v>0</v>
      </c>
      <c r="P379" s="61"/>
      <c r="Q379" s="61"/>
      <c r="R379" s="61"/>
      <c r="S379" s="61"/>
      <c r="T379" s="61"/>
      <c r="U379" s="61"/>
      <c r="V379" s="61"/>
      <c r="W379" s="61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spans="1:36" ht="11.25" customHeight="1" x14ac:dyDescent="0.2">
      <c r="A380" s="57" t="s">
        <v>21</v>
      </c>
      <c r="B380" s="57" t="s">
        <v>35</v>
      </c>
      <c r="C380" s="57" t="s">
        <v>44</v>
      </c>
      <c r="D380" s="57" t="s">
        <v>42</v>
      </c>
      <c r="E380" s="57" t="s">
        <v>25</v>
      </c>
      <c r="F380" s="57" t="s">
        <v>62</v>
      </c>
      <c r="G380" s="57" t="s">
        <v>25</v>
      </c>
      <c r="H380" s="57" t="s">
        <v>25</v>
      </c>
      <c r="I380" s="82">
        <v>44317</v>
      </c>
      <c r="J380" s="83">
        <f>EFEITO!$J$380*EFEITO!$Y$380</f>
        <v>0</v>
      </c>
      <c r="K380" s="83">
        <f ca="1">EFEITO!$L$380*EFEITO!$Z$380</f>
        <v>3983558.0913252262</v>
      </c>
      <c r="L380" s="83">
        <f>EFEITO!$N$380*EFEITO!$AA$380</f>
        <v>0</v>
      </c>
      <c r="M380" s="83">
        <f>$J$380-EFEITO!$K$380*EFEITO!$Y$380</f>
        <v>0</v>
      </c>
      <c r="N380" s="83">
        <f ca="1">$K$380-EFEITO!$M$380*EFEITO!$Z$380</f>
        <v>0</v>
      </c>
      <c r="O380" s="83">
        <f>$L$380-EFEITO!$O$380*EFEITO!$AA$380</f>
        <v>0</v>
      </c>
      <c r="P380" s="61"/>
      <c r="Q380" s="61"/>
      <c r="R380" s="61"/>
      <c r="S380" s="61"/>
      <c r="T380" s="61"/>
      <c r="U380" s="61"/>
      <c r="V380" s="61"/>
      <c r="W380" s="61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spans="1:36" ht="11.25" customHeight="1" x14ac:dyDescent="0.2">
      <c r="A381" s="57" t="s">
        <v>21</v>
      </c>
      <c r="B381" s="57" t="s">
        <v>35</v>
      </c>
      <c r="C381" s="57" t="s">
        <v>44</v>
      </c>
      <c r="D381" s="57" t="s">
        <v>42</v>
      </c>
      <c r="E381" s="57" t="s">
        <v>25</v>
      </c>
      <c r="F381" s="57" t="s">
        <v>62</v>
      </c>
      <c r="G381" s="57" t="s">
        <v>25</v>
      </c>
      <c r="H381" s="57" t="s">
        <v>25</v>
      </c>
      <c r="I381" s="82">
        <v>44348</v>
      </c>
      <c r="J381" s="83">
        <f>EFEITO!$J$381*EFEITO!$Y$381</f>
        <v>0</v>
      </c>
      <c r="K381" s="83">
        <f ca="1">EFEITO!$L$381*EFEITO!$Z$381</f>
        <v>3321621.183665433</v>
      </c>
      <c r="L381" s="83">
        <f>EFEITO!$N$381*EFEITO!$AA$381</f>
        <v>0</v>
      </c>
      <c r="M381" s="83">
        <f>$J$381-EFEITO!$K$381*EFEITO!$Y$381</f>
        <v>0</v>
      </c>
      <c r="N381" s="83">
        <f ca="1">$K$381-EFEITO!$M$381*EFEITO!$Z$381</f>
        <v>0</v>
      </c>
      <c r="O381" s="83">
        <f>$L$381-EFEITO!$O$381*EFEITO!$AA$381</f>
        <v>0</v>
      </c>
      <c r="P381" s="61"/>
      <c r="Q381" s="61"/>
      <c r="R381" s="61"/>
      <c r="S381" s="61"/>
      <c r="T381" s="61"/>
      <c r="U381" s="61"/>
      <c r="V381" s="61"/>
      <c r="W381" s="61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spans="1:36" ht="11.25" customHeight="1" x14ac:dyDescent="0.2">
      <c r="A382" s="57" t="s">
        <v>21</v>
      </c>
      <c r="B382" s="57" t="s">
        <v>35</v>
      </c>
      <c r="C382" s="57" t="s">
        <v>44</v>
      </c>
      <c r="D382" s="57" t="s">
        <v>42</v>
      </c>
      <c r="E382" s="57" t="s">
        <v>25</v>
      </c>
      <c r="F382" s="57" t="s">
        <v>62</v>
      </c>
      <c r="G382" s="57" t="s">
        <v>25</v>
      </c>
      <c r="H382" s="57" t="s">
        <v>25</v>
      </c>
      <c r="I382" s="82">
        <v>44378</v>
      </c>
      <c r="J382" s="83">
        <f>EFEITO!$J$382*EFEITO!$Y$382</f>
        <v>0</v>
      </c>
      <c r="K382" s="83">
        <f ca="1">EFEITO!$L$382*EFEITO!$Z$382</f>
        <v>3964455.7514444906</v>
      </c>
      <c r="L382" s="83">
        <f>EFEITO!$N$382*EFEITO!$AA$382</f>
        <v>0</v>
      </c>
      <c r="M382" s="83">
        <f>$J$382-EFEITO!$K$382*EFEITO!$Y$382</f>
        <v>0</v>
      </c>
      <c r="N382" s="83">
        <f ca="1">$K$382-EFEITO!$M$382*EFEITO!$Z$382</f>
        <v>0</v>
      </c>
      <c r="O382" s="83">
        <f>$L$382-EFEITO!$O$382*EFEITO!$AA$382</f>
        <v>0</v>
      </c>
      <c r="P382" s="61"/>
      <c r="Q382" s="61"/>
      <c r="R382" s="61"/>
      <c r="S382" s="61"/>
      <c r="T382" s="61"/>
      <c r="U382" s="61"/>
      <c r="V382" s="61"/>
      <c r="W382" s="61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spans="1:36" ht="11.25" customHeight="1" x14ac:dyDescent="0.2">
      <c r="A383" s="57" t="s">
        <v>21</v>
      </c>
      <c r="B383" s="57" t="s">
        <v>35</v>
      </c>
      <c r="C383" s="57" t="s">
        <v>44</v>
      </c>
      <c r="D383" s="57" t="s">
        <v>42</v>
      </c>
      <c r="E383" s="57" t="s">
        <v>25</v>
      </c>
      <c r="F383" s="57" t="s">
        <v>62</v>
      </c>
      <c r="G383" s="57" t="s">
        <v>25</v>
      </c>
      <c r="H383" s="57" t="s">
        <v>25</v>
      </c>
      <c r="I383" s="82">
        <v>44409</v>
      </c>
      <c r="J383" s="83">
        <f>EFEITO!$J$383*EFEITO!$Y$383</f>
        <v>0</v>
      </c>
      <c r="K383" s="83">
        <f ca="1">EFEITO!$L$383*EFEITO!$Z$383</f>
        <v>3882348.7859854191</v>
      </c>
      <c r="L383" s="83">
        <f>EFEITO!$N$383*EFEITO!$AA$383</f>
        <v>0</v>
      </c>
      <c r="M383" s="83">
        <f>$J$383-EFEITO!$K$383*EFEITO!$Y$383</f>
        <v>0</v>
      </c>
      <c r="N383" s="83">
        <f ca="1">$K$383-EFEITO!$M$383*EFEITO!$Z$383</f>
        <v>0</v>
      </c>
      <c r="O383" s="83">
        <f>$L$383-EFEITO!$O$383*EFEITO!$AA$383</f>
        <v>0</v>
      </c>
      <c r="P383" s="61"/>
      <c r="Q383" s="61"/>
      <c r="R383" s="61"/>
      <c r="S383" s="61"/>
      <c r="T383" s="61"/>
      <c r="U383" s="61"/>
      <c r="V383" s="61"/>
      <c r="W383" s="61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spans="1:36" ht="11.25" customHeight="1" x14ac:dyDescent="0.2">
      <c r="A384" s="57" t="s">
        <v>21</v>
      </c>
      <c r="B384" s="57" t="s">
        <v>35</v>
      </c>
      <c r="C384" s="57" t="s">
        <v>44</v>
      </c>
      <c r="D384" s="57" t="s">
        <v>42</v>
      </c>
      <c r="E384" s="57" t="s">
        <v>25</v>
      </c>
      <c r="F384" s="57" t="s">
        <v>62</v>
      </c>
      <c r="G384" s="57" t="s">
        <v>25</v>
      </c>
      <c r="H384" s="57" t="s">
        <v>25</v>
      </c>
      <c r="I384" s="82">
        <v>44440</v>
      </c>
      <c r="J384" s="83">
        <f>EFEITO!$J$384*EFEITO!$Y$384</f>
        <v>0</v>
      </c>
      <c r="K384" s="83">
        <f ca="1">EFEITO!$L$384*EFEITO!$Z$384</f>
        <v>4035221.5978267128</v>
      </c>
      <c r="L384" s="83">
        <f>EFEITO!$N$384*EFEITO!$AA$384</f>
        <v>0</v>
      </c>
      <c r="M384" s="83">
        <f>$J$384-EFEITO!$K$384*EFEITO!$Y$384</f>
        <v>0</v>
      </c>
      <c r="N384" s="83">
        <f ca="1">$K$384-EFEITO!$M$384*EFEITO!$Z$384</f>
        <v>0</v>
      </c>
      <c r="O384" s="83">
        <f>$L$384-EFEITO!$O$384*EFEITO!$AA$384</f>
        <v>0</v>
      </c>
      <c r="P384" s="61"/>
      <c r="Q384" s="61"/>
      <c r="R384" s="61"/>
      <c r="S384" s="61"/>
      <c r="T384" s="61"/>
      <c r="U384" s="61"/>
      <c r="V384" s="61"/>
      <c r="W384" s="61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spans="1:36" ht="11.25" customHeight="1" x14ac:dyDescent="0.2">
      <c r="A385" s="57" t="s">
        <v>59</v>
      </c>
      <c r="B385" s="57" t="s">
        <v>35</v>
      </c>
      <c r="C385" s="57" t="s">
        <v>44</v>
      </c>
      <c r="D385" s="57" t="s">
        <v>42</v>
      </c>
      <c r="E385" s="57" t="s">
        <v>25</v>
      </c>
      <c r="F385" s="57" t="s">
        <v>62</v>
      </c>
      <c r="G385" s="57" t="s">
        <v>25</v>
      </c>
      <c r="H385" s="57" t="s">
        <v>25</v>
      </c>
      <c r="I385" s="82">
        <v>44470</v>
      </c>
      <c r="J385" s="83">
        <f>EFEITO!$J$385*EFEITO!$Y$385</f>
        <v>0</v>
      </c>
      <c r="K385" s="83">
        <f ca="1">EFEITO!$L$385*EFEITO!$Z$385</f>
        <v>4035221.5978267128</v>
      </c>
      <c r="L385" s="83">
        <f>EFEITO!$N$385*EFEITO!$AA$385</f>
        <v>0</v>
      </c>
      <c r="M385" s="83">
        <f>$J$385-EFEITO!$K$385*EFEITO!$Y$385</f>
        <v>0</v>
      </c>
      <c r="N385" s="83">
        <f ca="1">$K$385-EFEITO!$M$385*EFEITO!$Z$385</f>
        <v>0</v>
      </c>
      <c r="O385" s="83">
        <f>$L$385-EFEITO!$O$385*EFEITO!$AA$385</f>
        <v>0</v>
      </c>
      <c r="P385" s="61"/>
      <c r="Q385" s="61"/>
      <c r="R385" s="61"/>
      <c r="S385" s="61"/>
      <c r="T385" s="61"/>
      <c r="U385" s="61"/>
      <c r="V385" s="61"/>
      <c r="W385" s="61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spans="1:36" ht="11.25" customHeight="1" x14ac:dyDescent="0.2">
      <c r="A386" s="57" t="s">
        <v>21</v>
      </c>
      <c r="B386" s="57" t="s">
        <v>35</v>
      </c>
      <c r="C386" s="57" t="s">
        <v>44</v>
      </c>
      <c r="D386" s="57" t="s">
        <v>42</v>
      </c>
      <c r="E386" s="57" t="s">
        <v>25</v>
      </c>
      <c r="F386" s="57" t="s">
        <v>62</v>
      </c>
      <c r="G386" s="57" t="s">
        <v>25</v>
      </c>
      <c r="H386" s="57" t="s">
        <v>37</v>
      </c>
      <c r="I386" s="82">
        <v>44136</v>
      </c>
      <c r="J386" s="83">
        <f ca="1">EFEITO!$J$386*EFEITO!$Y$386</f>
        <v>2678401.9504427803</v>
      </c>
      <c r="K386" s="83">
        <f ca="1">EFEITO!$L$386*EFEITO!$Z$386</f>
        <v>0</v>
      </c>
      <c r="L386" s="83">
        <f>EFEITO!$N$386*EFEITO!$AA$386</f>
        <v>0</v>
      </c>
      <c r="M386" s="83">
        <f ca="1">$J$386-EFEITO!$K$386*EFEITO!$Y$386</f>
        <v>1298757.1057697041</v>
      </c>
      <c r="N386" s="83">
        <f ca="1">$K$386-EFEITO!$M$386*EFEITO!$Z$386</f>
        <v>0</v>
      </c>
      <c r="O386" s="83">
        <f>$L$386-EFEITO!$O$386*EFEITO!$AA$386</f>
        <v>0</v>
      </c>
      <c r="P386" s="61"/>
      <c r="Q386" s="61"/>
      <c r="R386" s="61"/>
      <c r="S386" s="61"/>
      <c r="T386" s="61"/>
      <c r="U386" s="61"/>
      <c r="V386" s="61"/>
      <c r="W386" s="61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spans="1:36" ht="11.25" customHeight="1" x14ac:dyDescent="0.2">
      <c r="A387" s="57" t="s">
        <v>21</v>
      </c>
      <c r="B387" s="57" t="s">
        <v>35</v>
      </c>
      <c r="C387" s="57" t="s">
        <v>44</v>
      </c>
      <c r="D387" s="57" t="s">
        <v>42</v>
      </c>
      <c r="E387" s="57" t="s">
        <v>25</v>
      </c>
      <c r="F387" s="57" t="s">
        <v>62</v>
      </c>
      <c r="G387" s="57" t="s">
        <v>25</v>
      </c>
      <c r="H387" s="57" t="s">
        <v>37</v>
      </c>
      <c r="I387" s="82">
        <v>44166</v>
      </c>
      <c r="J387" s="83">
        <f ca="1">EFEITO!$J$387*EFEITO!$Y$387</f>
        <v>2692924.6566031985</v>
      </c>
      <c r="K387" s="83">
        <f ca="1">EFEITO!$L$387*EFEITO!$Z$387</f>
        <v>0</v>
      </c>
      <c r="L387" s="83">
        <f>EFEITO!$N$387*EFEITO!$AA$387</f>
        <v>0</v>
      </c>
      <c r="M387" s="83">
        <f ca="1">$J$387-EFEITO!$K$387*EFEITO!$Y$387</f>
        <v>1309299.9680404752</v>
      </c>
      <c r="N387" s="83">
        <f ca="1">$K$387-EFEITO!$M$387*EFEITO!$Z$387</f>
        <v>0</v>
      </c>
      <c r="O387" s="83">
        <f>$L$387-EFEITO!$O$387*EFEITO!$AA$387</f>
        <v>0</v>
      </c>
      <c r="P387" s="61"/>
      <c r="Q387" s="61"/>
      <c r="R387" s="61"/>
      <c r="S387" s="61"/>
      <c r="T387" s="61"/>
      <c r="U387" s="61"/>
      <c r="V387" s="61"/>
      <c r="W387" s="61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spans="1:36" ht="11.25" customHeight="1" x14ac:dyDescent="0.2">
      <c r="A388" s="57" t="s">
        <v>21</v>
      </c>
      <c r="B388" s="57" t="s">
        <v>35</v>
      </c>
      <c r="C388" s="57" t="s">
        <v>44</v>
      </c>
      <c r="D388" s="57" t="s">
        <v>42</v>
      </c>
      <c r="E388" s="57" t="s">
        <v>25</v>
      </c>
      <c r="F388" s="57" t="s">
        <v>62</v>
      </c>
      <c r="G388" s="57" t="s">
        <v>25</v>
      </c>
      <c r="H388" s="57" t="s">
        <v>37</v>
      </c>
      <c r="I388" s="82">
        <v>44197</v>
      </c>
      <c r="J388" s="83">
        <f ca="1">EFEITO!$J$388*EFEITO!$Y$388</f>
        <v>2353508.2669111467</v>
      </c>
      <c r="K388" s="83">
        <f ca="1">EFEITO!$L$388*EFEITO!$Z$388</f>
        <v>0</v>
      </c>
      <c r="L388" s="83">
        <f>EFEITO!$N$388*EFEITO!$AA$388</f>
        <v>0</v>
      </c>
      <c r="M388" s="83">
        <f ca="1">$J$388-EFEITO!$K$388*EFEITO!$Y$388</f>
        <v>1096970.2032072856</v>
      </c>
      <c r="N388" s="83">
        <f ca="1">$K$388-EFEITO!$M$388*EFEITO!$Z$388</f>
        <v>0</v>
      </c>
      <c r="O388" s="83">
        <f>$L$388-EFEITO!$O$388*EFEITO!$AA$388</f>
        <v>0</v>
      </c>
      <c r="P388" s="61"/>
      <c r="Q388" s="61"/>
      <c r="R388" s="61"/>
      <c r="S388" s="61"/>
      <c r="T388" s="61"/>
      <c r="U388" s="61"/>
      <c r="V388" s="61"/>
      <c r="W388" s="61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spans="1:36" ht="11.25" customHeight="1" x14ac:dyDescent="0.2">
      <c r="A389" s="57" t="s">
        <v>21</v>
      </c>
      <c r="B389" s="57" t="s">
        <v>35</v>
      </c>
      <c r="C389" s="57" t="s">
        <v>44</v>
      </c>
      <c r="D389" s="57" t="s">
        <v>42</v>
      </c>
      <c r="E389" s="57" t="s">
        <v>25</v>
      </c>
      <c r="F389" s="57" t="s">
        <v>62</v>
      </c>
      <c r="G389" s="57" t="s">
        <v>25</v>
      </c>
      <c r="H389" s="57" t="s">
        <v>37</v>
      </c>
      <c r="I389" s="82">
        <v>44228</v>
      </c>
      <c r="J389" s="83">
        <f ca="1">EFEITO!$J$389*EFEITO!$Y$389</f>
        <v>2791679.0584940398</v>
      </c>
      <c r="K389" s="83">
        <f ca="1">EFEITO!$L$389*EFEITO!$Z$389</f>
        <v>0</v>
      </c>
      <c r="L389" s="83">
        <f>EFEITO!$N$389*EFEITO!$AA$389</f>
        <v>0</v>
      </c>
      <c r="M389" s="83">
        <f ca="1">$J$389-EFEITO!$K$389*EFEITO!$Y$389</f>
        <v>1383276.9734837967</v>
      </c>
      <c r="N389" s="83">
        <f ca="1">$K$389-EFEITO!$M$389*EFEITO!$Z$389</f>
        <v>0</v>
      </c>
      <c r="O389" s="83">
        <f>$L$389-EFEITO!$O$389*EFEITO!$AA$389</f>
        <v>0</v>
      </c>
      <c r="P389" s="61"/>
      <c r="Q389" s="61"/>
      <c r="R389" s="61"/>
      <c r="S389" s="61"/>
      <c r="T389" s="61"/>
      <c r="U389" s="61"/>
      <c r="V389" s="61"/>
      <c r="W389" s="61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spans="1:36" ht="11.25" customHeight="1" x14ac:dyDescent="0.2">
      <c r="A390" s="57" t="s">
        <v>21</v>
      </c>
      <c r="B390" s="57" t="s">
        <v>35</v>
      </c>
      <c r="C390" s="57" t="s">
        <v>44</v>
      </c>
      <c r="D390" s="57" t="s">
        <v>42</v>
      </c>
      <c r="E390" s="57" t="s">
        <v>25</v>
      </c>
      <c r="F390" s="57" t="s">
        <v>62</v>
      </c>
      <c r="G390" s="57" t="s">
        <v>25</v>
      </c>
      <c r="H390" s="57" t="s">
        <v>37</v>
      </c>
      <c r="I390" s="82">
        <v>44256</v>
      </c>
      <c r="J390" s="83">
        <f ca="1">EFEITO!$J$390*EFEITO!$Y$390</f>
        <v>2834832.2425135672</v>
      </c>
      <c r="K390" s="83">
        <f ca="1">EFEITO!$L$390*EFEITO!$Z$390</f>
        <v>0</v>
      </c>
      <c r="L390" s="83">
        <f>EFEITO!$N$390*EFEITO!$AA$390</f>
        <v>0</v>
      </c>
      <c r="M390" s="83">
        <f ca="1">$J$390-EFEITO!$K$390*EFEITO!$Y$390</f>
        <v>1404942.859389724</v>
      </c>
      <c r="N390" s="83">
        <f ca="1">$K$390-EFEITO!$M$390*EFEITO!$Z$390</f>
        <v>0</v>
      </c>
      <c r="O390" s="83">
        <f>$L$390-EFEITO!$O$390*EFEITO!$AA$390</f>
        <v>0</v>
      </c>
      <c r="P390" s="61"/>
      <c r="Q390" s="61"/>
      <c r="R390" s="61"/>
      <c r="S390" s="61"/>
      <c r="T390" s="61"/>
      <c r="U390" s="61"/>
      <c r="V390" s="61"/>
      <c r="W390" s="61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spans="1:36" ht="11.25" customHeight="1" x14ac:dyDescent="0.2">
      <c r="A391" s="57" t="s">
        <v>21</v>
      </c>
      <c r="B391" s="57" t="s">
        <v>35</v>
      </c>
      <c r="C391" s="57" t="s">
        <v>44</v>
      </c>
      <c r="D391" s="57" t="s">
        <v>42</v>
      </c>
      <c r="E391" s="57" t="s">
        <v>25</v>
      </c>
      <c r="F391" s="57" t="s">
        <v>62</v>
      </c>
      <c r="G391" s="57" t="s">
        <v>25</v>
      </c>
      <c r="H391" s="57" t="s">
        <v>37</v>
      </c>
      <c r="I391" s="82">
        <v>44287</v>
      </c>
      <c r="J391" s="83">
        <f ca="1">EFEITO!$J$391*EFEITO!$Y$391</f>
        <v>2875021.6089493358</v>
      </c>
      <c r="K391" s="83">
        <f ca="1">EFEITO!$L$391*EFEITO!$Z$391</f>
        <v>0</v>
      </c>
      <c r="L391" s="83">
        <f>EFEITO!$N$391*EFEITO!$AA$391</f>
        <v>0</v>
      </c>
      <c r="M391" s="83">
        <f ca="1">$J$391-EFEITO!$K$391*EFEITO!$Y$391</f>
        <v>1427160.7266824504</v>
      </c>
      <c r="N391" s="83">
        <f ca="1">$K$391-EFEITO!$M$391*EFEITO!$Z$391</f>
        <v>0</v>
      </c>
      <c r="O391" s="83">
        <f>$L$391-EFEITO!$O$391*EFEITO!$AA$391</f>
        <v>0</v>
      </c>
      <c r="P391" s="61"/>
      <c r="Q391" s="61"/>
      <c r="R391" s="61"/>
      <c r="S391" s="61"/>
      <c r="T391" s="61"/>
      <c r="U391" s="61"/>
      <c r="V391" s="61"/>
      <c r="W391" s="61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spans="1:36" ht="11.25" customHeight="1" x14ac:dyDescent="0.2">
      <c r="A392" s="57" t="s">
        <v>21</v>
      </c>
      <c r="B392" s="57" t="s">
        <v>35</v>
      </c>
      <c r="C392" s="57" t="s">
        <v>44</v>
      </c>
      <c r="D392" s="57" t="s">
        <v>42</v>
      </c>
      <c r="E392" s="57" t="s">
        <v>25</v>
      </c>
      <c r="F392" s="57" t="s">
        <v>62</v>
      </c>
      <c r="G392" s="57" t="s">
        <v>25</v>
      </c>
      <c r="H392" s="57" t="s">
        <v>37</v>
      </c>
      <c r="I392" s="82">
        <v>44317</v>
      </c>
      <c r="J392" s="83">
        <f ca="1">EFEITO!$J$392*EFEITO!$Y$392</f>
        <v>2916752.1605286589</v>
      </c>
      <c r="K392" s="83">
        <f ca="1">EFEITO!$L$392*EFEITO!$Z$392</f>
        <v>0</v>
      </c>
      <c r="L392" s="83">
        <f>EFEITO!$N$392*EFEITO!$AA$392</f>
        <v>0</v>
      </c>
      <c r="M392" s="83">
        <f ca="1">$J$392-EFEITO!$K$392*EFEITO!$Y$392</f>
        <v>1446125.7211901092</v>
      </c>
      <c r="N392" s="83">
        <f ca="1">$K$392-EFEITO!$M$392*EFEITO!$Z$392</f>
        <v>0</v>
      </c>
      <c r="O392" s="83">
        <f>$L$392-EFEITO!$O$392*EFEITO!$AA$392</f>
        <v>0</v>
      </c>
      <c r="P392" s="61"/>
      <c r="Q392" s="61"/>
      <c r="R392" s="61"/>
      <c r="S392" s="61"/>
      <c r="T392" s="61"/>
      <c r="U392" s="61"/>
      <c r="V392" s="61"/>
      <c r="W392" s="61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spans="1:36" ht="11.25" customHeight="1" x14ac:dyDescent="0.2">
      <c r="A393" s="57" t="s">
        <v>21</v>
      </c>
      <c r="B393" s="57" t="s">
        <v>35</v>
      </c>
      <c r="C393" s="57" t="s">
        <v>44</v>
      </c>
      <c r="D393" s="57" t="s">
        <v>42</v>
      </c>
      <c r="E393" s="57" t="s">
        <v>25</v>
      </c>
      <c r="F393" s="57" t="s">
        <v>62</v>
      </c>
      <c r="G393" s="57" t="s">
        <v>25</v>
      </c>
      <c r="H393" s="57" t="s">
        <v>37</v>
      </c>
      <c r="I393" s="82">
        <v>44348</v>
      </c>
      <c r="J393" s="83">
        <f ca="1">EFEITO!$J$393*EFEITO!$Y$393</f>
        <v>2353508.2669111467</v>
      </c>
      <c r="K393" s="83">
        <f ca="1">EFEITO!$L$393*EFEITO!$Z$393</f>
        <v>0</v>
      </c>
      <c r="L393" s="83">
        <f>EFEITO!$N$393*EFEITO!$AA$393</f>
        <v>0</v>
      </c>
      <c r="M393" s="83">
        <f ca="1">$J$393-EFEITO!$K$393*EFEITO!$Y$393</f>
        <v>1096970.2032072856</v>
      </c>
      <c r="N393" s="83">
        <f ca="1">$K$393-EFEITO!$M$393*EFEITO!$Z$393</f>
        <v>0</v>
      </c>
      <c r="O393" s="83">
        <f>$L$393-EFEITO!$O$393*EFEITO!$AA$393</f>
        <v>0</v>
      </c>
      <c r="P393" s="61"/>
      <c r="Q393" s="61"/>
      <c r="R393" s="61"/>
      <c r="S393" s="61"/>
      <c r="T393" s="61"/>
      <c r="U393" s="61"/>
      <c r="V393" s="61"/>
      <c r="W393" s="61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spans="1:36" ht="11.25" customHeight="1" x14ac:dyDescent="0.2">
      <c r="A394" s="57" t="s">
        <v>21</v>
      </c>
      <c r="B394" s="57" t="s">
        <v>35</v>
      </c>
      <c r="C394" s="57" t="s">
        <v>44</v>
      </c>
      <c r="D394" s="57" t="s">
        <v>42</v>
      </c>
      <c r="E394" s="57" t="s">
        <v>25</v>
      </c>
      <c r="F394" s="57" t="s">
        <v>62</v>
      </c>
      <c r="G394" s="57" t="s">
        <v>25</v>
      </c>
      <c r="H394" s="57" t="s">
        <v>37</v>
      </c>
      <c r="I394" s="82">
        <v>44378</v>
      </c>
      <c r="J394" s="83">
        <f ca="1">EFEITO!$J$394*EFEITO!$Y$394</f>
        <v>2986520.4264503401</v>
      </c>
      <c r="K394" s="83">
        <f ca="1">EFEITO!$L$394*EFEITO!$Z$394</f>
        <v>0</v>
      </c>
      <c r="L394" s="83">
        <f>EFEITO!$N$394*EFEITO!$AA$394</f>
        <v>0</v>
      </c>
      <c r="M394" s="83">
        <f ca="1">$J$394-EFEITO!$K$394*EFEITO!$Y$394</f>
        <v>1507595.5112721317</v>
      </c>
      <c r="N394" s="83">
        <f ca="1">$K$394-EFEITO!$M$394*EFEITO!$Z$394</f>
        <v>0</v>
      </c>
      <c r="O394" s="83">
        <f>$L$394-EFEITO!$O$394*EFEITO!$AA$394</f>
        <v>0</v>
      </c>
      <c r="P394" s="61"/>
      <c r="Q394" s="61"/>
      <c r="R394" s="61"/>
      <c r="S394" s="61"/>
      <c r="T394" s="61"/>
      <c r="U394" s="61"/>
      <c r="V394" s="61"/>
      <c r="W394" s="61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spans="1:36" ht="11.25" customHeight="1" x14ac:dyDescent="0.2">
      <c r="A395" s="57" t="s">
        <v>21</v>
      </c>
      <c r="B395" s="57" t="s">
        <v>35</v>
      </c>
      <c r="C395" s="57" t="s">
        <v>44</v>
      </c>
      <c r="D395" s="57" t="s">
        <v>42</v>
      </c>
      <c r="E395" s="57" t="s">
        <v>25</v>
      </c>
      <c r="F395" s="57" t="s">
        <v>62</v>
      </c>
      <c r="G395" s="57" t="s">
        <v>25</v>
      </c>
      <c r="H395" s="57" t="s">
        <v>37</v>
      </c>
      <c r="I395" s="82">
        <v>44409</v>
      </c>
      <c r="J395" s="83">
        <f ca="1">EFEITO!$J$395*EFEITO!$Y$395</f>
        <v>2897190.964475851</v>
      </c>
      <c r="K395" s="83">
        <f ca="1">EFEITO!$L$395*EFEITO!$Z$395</f>
        <v>0</v>
      </c>
      <c r="L395" s="83">
        <f>EFEITO!$N$395*EFEITO!$AA$395</f>
        <v>0</v>
      </c>
      <c r="M395" s="83">
        <f ca="1">$J$395-EFEITO!$K$395*EFEITO!$Y$395</f>
        <v>1393838.5730093319</v>
      </c>
      <c r="N395" s="83">
        <f ca="1">$K$395-EFEITO!$M$395*EFEITO!$Z$395</f>
        <v>0</v>
      </c>
      <c r="O395" s="83">
        <f>$L$395-EFEITO!$O$395*EFEITO!$AA$395</f>
        <v>0</v>
      </c>
      <c r="P395" s="61"/>
      <c r="Q395" s="61"/>
      <c r="R395" s="61"/>
      <c r="S395" s="61"/>
      <c r="T395" s="61"/>
      <c r="U395" s="61"/>
      <c r="V395" s="61"/>
      <c r="W395" s="61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spans="1:36" ht="11.25" customHeight="1" x14ac:dyDescent="0.2">
      <c r="A396" s="57" t="s">
        <v>21</v>
      </c>
      <c r="B396" s="57" t="s">
        <v>35</v>
      </c>
      <c r="C396" s="57" t="s">
        <v>44</v>
      </c>
      <c r="D396" s="57" t="s">
        <v>42</v>
      </c>
      <c r="E396" s="57" t="s">
        <v>25</v>
      </c>
      <c r="F396" s="57" t="s">
        <v>62</v>
      </c>
      <c r="G396" s="57" t="s">
        <v>25</v>
      </c>
      <c r="H396" s="57" t="s">
        <v>37</v>
      </c>
      <c r="I396" s="82">
        <v>44440</v>
      </c>
      <c r="J396" s="83">
        <f ca="1">EFEITO!$J$396*EFEITO!$Y$396</f>
        <v>3009756.7563070087</v>
      </c>
      <c r="K396" s="83">
        <f ca="1">EFEITO!$L$396*EFEITO!$Z$396</f>
        <v>0</v>
      </c>
      <c r="L396" s="83">
        <f>EFEITO!$N$396*EFEITO!$AA$396</f>
        <v>0</v>
      </c>
      <c r="M396" s="83">
        <f ca="1">$J$396-EFEITO!$K$396*EFEITO!$Y$396</f>
        <v>1655065.2402932241</v>
      </c>
      <c r="N396" s="83">
        <f ca="1">$K$396-EFEITO!$M$396*EFEITO!$Z$396</f>
        <v>0</v>
      </c>
      <c r="O396" s="83">
        <f>$L$396-EFEITO!$O$396*EFEITO!$AA$396</f>
        <v>0</v>
      </c>
      <c r="P396" s="61"/>
      <c r="Q396" s="61"/>
      <c r="R396" s="61"/>
      <c r="S396" s="61"/>
      <c r="T396" s="61"/>
      <c r="U396" s="61"/>
      <c r="V396" s="61"/>
      <c r="W396" s="61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spans="1:36" ht="11.25" customHeight="1" x14ac:dyDescent="0.2">
      <c r="A397" s="57" t="s">
        <v>59</v>
      </c>
      <c r="B397" s="57" t="s">
        <v>35</v>
      </c>
      <c r="C397" s="57" t="s">
        <v>44</v>
      </c>
      <c r="D397" s="57" t="s">
        <v>42</v>
      </c>
      <c r="E397" s="57" t="s">
        <v>25</v>
      </c>
      <c r="F397" s="57" t="s">
        <v>62</v>
      </c>
      <c r="G397" s="57" t="s">
        <v>25</v>
      </c>
      <c r="H397" s="57" t="s">
        <v>37</v>
      </c>
      <c r="I397" s="82">
        <v>44470</v>
      </c>
      <c r="J397" s="83">
        <f ca="1">EFEITO!$J$397*EFEITO!$Y$397</f>
        <v>3009756.7563070087</v>
      </c>
      <c r="K397" s="83">
        <f ca="1">EFEITO!$L$397*EFEITO!$Z$397</f>
        <v>0</v>
      </c>
      <c r="L397" s="83">
        <f>EFEITO!$N$397*EFEITO!$AA$397</f>
        <v>0</v>
      </c>
      <c r="M397" s="83">
        <f ca="1">$J$397-EFEITO!$K$397*EFEITO!$Y$397</f>
        <v>1655065.2402932241</v>
      </c>
      <c r="N397" s="83">
        <f ca="1">$K$397-EFEITO!$M$397*EFEITO!$Z$397</f>
        <v>0</v>
      </c>
      <c r="O397" s="83">
        <f>$L$397-EFEITO!$O$397*EFEITO!$AA$397</f>
        <v>0</v>
      </c>
      <c r="P397" s="61"/>
      <c r="Q397" s="61"/>
      <c r="R397" s="61"/>
      <c r="S397" s="61"/>
      <c r="T397" s="61"/>
      <c r="U397" s="61"/>
      <c r="V397" s="61"/>
      <c r="W397" s="61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spans="1:36" ht="11.25" customHeight="1" x14ac:dyDescent="0.2">
      <c r="A398" s="57" t="s">
        <v>21</v>
      </c>
      <c r="B398" s="57" t="s">
        <v>35</v>
      </c>
      <c r="C398" s="57" t="s">
        <v>44</v>
      </c>
      <c r="D398" s="57" t="s">
        <v>42</v>
      </c>
      <c r="E398" s="57" t="s">
        <v>25</v>
      </c>
      <c r="F398" s="57" t="s">
        <v>25</v>
      </c>
      <c r="G398" s="57" t="s">
        <v>25</v>
      </c>
      <c r="H398" s="57" t="s">
        <v>38</v>
      </c>
      <c r="I398" s="82">
        <v>44136</v>
      </c>
      <c r="J398" s="83">
        <f ca="1">EFEITO!$J$398*EFEITO!$Y$398</f>
        <v>833549.40606150753</v>
      </c>
      <c r="K398" s="83">
        <f ca="1">EFEITO!$L$398*EFEITO!$Z$398</f>
        <v>1175244.8444736921</v>
      </c>
      <c r="L398" s="83">
        <f>EFEITO!$N$398*EFEITO!$AA$398</f>
        <v>1973120.5486846578</v>
      </c>
      <c r="M398" s="83">
        <f ca="1">$J$398-EFEITO!$K$398*EFEITO!$Y$398</f>
        <v>0</v>
      </c>
      <c r="N398" s="83">
        <f ca="1">$K$398-EFEITO!$M$398*EFEITO!$Z$398</f>
        <v>0</v>
      </c>
      <c r="O398" s="83">
        <f>$L$398-EFEITO!$O$398*EFEITO!$AA$398</f>
        <v>0</v>
      </c>
      <c r="P398" s="61"/>
      <c r="Q398" s="61"/>
      <c r="R398" s="61"/>
      <c r="S398" s="61"/>
      <c r="T398" s="61"/>
      <c r="U398" s="61"/>
      <c r="V398" s="61"/>
      <c r="W398" s="61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spans="1:36" ht="11.25" customHeight="1" x14ac:dyDescent="0.2">
      <c r="A399" s="57" t="s">
        <v>28</v>
      </c>
      <c r="B399" s="57" t="s">
        <v>35</v>
      </c>
      <c r="C399" s="57" t="s">
        <v>44</v>
      </c>
      <c r="D399" s="57" t="s">
        <v>42</v>
      </c>
      <c r="E399" s="57" t="s">
        <v>25</v>
      </c>
      <c r="F399" s="57" t="s">
        <v>25</v>
      </c>
      <c r="G399" s="57" t="s">
        <v>25</v>
      </c>
      <c r="H399" s="57" t="s">
        <v>38</v>
      </c>
      <c r="I399" s="82">
        <v>44136</v>
      </c>
      <c r="J399" s="83">
        <f ca="1">EFEITO!$J$399*EFEITO!$Y$399</f>
        <v>80241.703023657086</v>
      </c>
      <c r="K399" s="83">
        <f ca="1">EFEITO!$L$399*EFEITO!$Z$399</f>
        <v>84308.761299520731</v>
      </c>
      <c r="L399" s="83">
        <f>EFEITO!$N$399*EFEITO!$AA$399</f>
        <v>141546.12133502364</v>
      </c>
      <c r="M399" s="83">
        <f ca="1">$J$399-EFEITO!$K$399*EFEITO!$Y$399</f>
        <v>0</v>
      </c>
      <c r="N399" s="83">
        <f ca="1">$K$399-EFEITO!$M$399*EFEITO!$Z$399</f>
        <v>0</v>
      </c>
      <c r="O399" s="83">
        <f>$L$399-EFEITO!$O$399*EFEITO!$AA$399</f>
        <v>0</v>
      </c>
      <c r="P399" s="61"/>
      <c r="Q399" s="61"/>
      <c r="R399" s="61"/>
      <c r="S399" s="61"/>
      <c r="T399" s="61"/>
      <c r="U399" s="61"/>
      <c r="V399" s="61"/>
      <c r="W399" s="61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spans="1:36" ht="11.25" customHeight="1" x14ac:dyDescent="0.2">
      <c r="A400" s="57" t="s">
        <v>29</v>
      </c>
      <c r="B400" s="57" t="s">
        <v>35</v>
      </c>
      <c r="C400" s="57" t="s">
        <v>44</v>
      </c>
      <c r="D400" s="57" t="s">
        <v>42</v>
      </c>
      <c r="E400" s="57" t="s">
        <v>25</v>
      </c>
      <c r="F400" s="57" t="s">
        <v>25</v>
      </c>
      <c r="G400" s="57" t="s">
        <v>25</v>
      </c>
      <c r="H400" s="57" t="s">
        <v>38</v>
      </c>
      <c r="I400" s="82">
        <v>44136</v>
      </c>
      <c r="J400" s="83">
        <f ca="1">EFEITO!$J$400*EFEITO!$Y$400</f>
        <v>-322403.69097885618</v>
      </c>
      <c r="K400" s="83">
        <f ca="1">EFEITO!$L$400*EFEITO!$Z$400</f>
        <v>-2279.9860493865099</v>
      </c>
      <c r="L400" s="83">
        <f>EFEITO!$N$400*EFEITO!$AA$400</f>
        <v>-3827.8724181713092</v>
      </c>
      <c r="M400" s="83">
        <f ca="1">$J$400-EFEITO!$K$400*EFEITO!$Y$400</f>
        <v>0</v>
      </c>
      <c r="N400" s="83">
        <f ca="1">$K$400-EFEITO!$M$400*EFEITO!$Z$400</f>
        <v>0</v>
      </c>
      <c r="O400" s="83">
        <f>$L$400-EFEITO!$O$400*EFEITO!$AA$400</f>
        <v>0</v>
      </c>
      <c r="P400" s="61"/>
      <c r="Q400" s="61"/>
      <c r="R400" s="61"/>
      <c r="S400" s="61"/>
      <c r="T400" s="61"/>
      <c r="U400" s="61"/>
      <c r="V400" s="61"/>
      <c r="W400" s="61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spans="1:36" ht="11.25" customHeight="1" x14ac:dyDescent="0.2">
      <c r="A401" s="57" t="s">
        <v>30</v>
      </c>
      <c r="B401" s="57" t="s">
        <v>35</v>
      </c>
      <c r="C401" s="57" t="s">
        <v>44</v>
      </c>
      <c r="D401" s="57" t="s">
        <v>42</v>
      </c>
      <c r="E401" s="57" t="s">
        <v>25</v>
      </c>
      <c r="F401" s="57" t="s">
        <v>25</v>
      </c>
      <c r="G401" s="57" t="s">
        <v>25</v>
      </c>
      <c r="H401" s="57" t="s">
        <v>38</v>
      </c>
      <c r="I401" s="82">
        <v>44136</v>
      </c>
      <c r="J401" s="83">
        <f ca="1">EFEITO!$J$401*EFEITO!$Y$401</f>
        <v>50290.760947974501</v>
      </c>
      <c r="K401" s="83">
        <f ca="1">EFEITO!$L$401*EFEITO!$Z$401</f>
        <v>121422.65394364735</v>
      </c>
      <c r="L401" s="83">
        <f>EFEITO!$N$401*EFEITO!$AA$401</f>
        <v>203856.69820089973</v>
      </c>
      <c r="M401" s="83">
        <f ca="1">$J$401-EFEITO!$K$401*EFEITO!$Y$401</f>
        <v>0</v>
      </c>
      <c r="N401" s="83">
        <f ca="1">$K$401-EFEITO!$M$401*EFEITO!$Z$401</f>
        <v>0</v>
      </c>
      <c r="O401" s="83">
        <f>$L$401-EFEITO!$O$401*EFEITO!$AA$401</f>
        <v>0</v>
      </c>
      <c r="P401" s="61"/>
      <c r="Q401" s="61"/>
      <c r="R401" s="61"/>
      <c r="S401" s="61"/>
      <c r="T401" s="61"/>
      <c r="U401" s="61"/>
      <c r="V401" s="61"/>
      <c r="W401" s="61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spans="1:36" ht="11.25" customHeight="1" x14ac:dyDescent="0.2">
      <c r="A402" s="57" t="s">
        <v>21</v>
      </c>
      <c r="B402" s="57" t="s">
        <v>35</v>
      </c>
      <c r="C402" s="57" t="s">
        <v>44</v>
      </c>
      <c r="D402" s="57" t="s">
        <v>42</v>
      </c>
      <c r="E402" s="57" t="s">
        <v>25</v>
      </c>
      <c r="F402" s="57" t="s">
        <v>25</v>
      </c>
      <c r="G402" s="57" t="s">
        <v>25</v>
      </c>
      <c r="H402" s="57" t="s">
        <v>38</v>
      </c>
      <c r="I402" s="82">
        <v>44136</v>
      </c>
      <c r="J402" s="83">
        <f ca="1">EFEITO!$J$402*EFEITO!$Y$402</f>
        <v>195192.0137618845</v>
      </c>
      <c r="K402" s="83">
        <f ca="1">EFEITO!$L$402*EFEITO!$Z$402</f>
        <v>0</v>
      </c>
      <c r="L402" s="83">
        <f>EFEITO!$N$402*EFEITO!$AA$402</f>
        <v>0</v>
      </c>
      <c r="M402" s="83">
        <f ca="1">$J$402-EFEITO!$K$402*EFEITO!$Y$402</f>
        <v>0</v>
      </c>
      <c r="N402" s="83">
        <f ca="1">$K$402-EFEITO!$M$402*EFEITO!$Z$402</f>
        <v>0</v>
      </c>
      <c r="O402" s="83">
        <f>$L$402-EFEITO!$O$402*EFEITO!$AA$402</f>
        <v>0</v>
      </c>
      <c r="P402" s="61"/>
      <c r="Q402" s="61"/>
      <c r="R402" s="61"/>
      <c r="S402" s="61"/>
      <c r="T402" s="61"/>
      <c r="U402" s="61"/>
      <c r="V402" s="61"/>
      <c r="W402" s="61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spans="1:36" ht="11.25" customHeight="1" x14ac:dyDescent="0.2">
      <c r="A403" s="57" t="s">
        <v>21</v>
      </c>
      <c r="B403" s="57" t="s">
        <v>35</v>
      </c>
      <c r="C403" s="57" t="s">
        <v>44</v>
      </c>
      <c r="D403" s="57" t="s">
        <v>42</v>
      </c>
      <c r="E403" s="57" t="s">
        <v>25</v>
      </c>
      <c r="F403" s="57" t="s">
        <v>25</v>
      </c>
      <c r="G403" s="57" t="s">
        <v>25</v>
      </c>
      <c r="H403" s="57" t="s">
        <v>38</v>
      </c>
      <c r="I403" s="82">
        <v>44166</v>
      </c>
      <c r="J403" s="83">
        <f ca="1">EFEITO!$J$403*EFEITO!$Y$403</f>
        <v>811006.3729000662</v>
      </c>
      <c r="K403" s="83">
        <f ca="1">EFEITO!$L$403*EFEITO!$Z$403</f>
        <v>1061965.7681961684</v>
      </c>
      <c r="L403" s="83">
        <f>EFEITO!$N$403*EFEITO!$AA$403</f>
        <v>1782936.1167424826</v>
      </c>
      <c r="M403" s="83">
        <f ca="1">$J$403-EFEITO!$K$403*EFEITO!$Y$403</f>
        <v>0</v>
      </c>
      <c r="N403" s="83">
        <f ca="1">$K$403-EFEITO!$M$403*EFEITO!$Z$403</f>
        <v>0</v>
      </c>
      <c r="O403" s="83">
        <f>$L$403-EFEITO!$O$403*EFEITO!$AA$403</f>
        <v>0</v>
      </c>
      <c r="P403" s="61"/>
      <c r="Q403" s="61"/>
      <c r="R403" s="61"/>
      <c r="S403" s="61"/>
      <c r="T403" s="61"/>
      <c r="U403" s="61"/>
      <c r="V403" s="61"/>
      <c r="W403" s="61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spans="1:36" ht="11.25" customHeight="1" x14ac:dyDescent="0.2">
      <c r="A404" s="57" t="s">
        <v>27</v>
      </c>
      <c r="B404" s="57" t="s">
        <v>35</v>
      </c>
      <c r="C404" s="57" t="s">
        <v>44</v>
      </c>
      <c r="D404" s="57" t="s">
        <v>42</v>
      </c>
      <c r="E404" s="57" t="s">
        <v>25</v>
      </c>
      <c r="F404" s="57" t="s">
        <v>25</v>
      </c>
      <c r="G404" s="57" t="s">
        <v>25</v>
      </c>
      <c r="H404" s="57" t="s">
        <v>38</v>
      </c>
      <c r="I404" s="82">
        <v>44166</v>
      </c>
      <c r="J404" s="83">
        <f ca="1">EFEITO!$J$404*EFEITO!$Y$404</f>
        <v>-15965.32093586492</v>
      </c>
      <c r="K404" s="83">
        <f ca="1">EFEITO!$L$404*EFEITO!$Z$404</f>
        <v>0</v>
      </c>
      <c r="L404" s="83">
        <f>EFEITO!$N$404*EFEITO!$AA$404</f>
        <v>0</v>
      </c>
      <c r="M404" s="83">
        <f ca="1">$J$404-EFEITO!$K$404*EFEITO!$Y$404</f>
        <v>0</v>
      </c>
      <c r="N404" s="83">
        <f ca="1">$K$404-EFEITO!$M$404*EFEITO!$Z$404</f>
        <v>0</v>
      </c>
      <c r="O404" s="83">
        <f>$L$404-EFEITO!$O$404*EFEITO!$AA$404</f>
        <v>0</v>
      </c>
      <c r="P404" s="61"/>
      <c r="Q404" s="61"/>
      <c r="R404" s="61"/>
      <c r="S404" s="61"/>
      <c r="T404" s="61"/>
      <c r="U404" s="61"/>
      <c r="V404" s="61"/>
      <c r="W404" s="61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spans="1:36" ht="11.25" customHeight="1" x14ac:dyDescent="0.2">
      <c r="A405" s="57" t="s">
        <v>28</v>
      </c>
      <c r="B405" s="57" t="s">
        <v>35</v>
      </c>
      <c r="C405" s="57" t="s">
        <v>44</v>
      </c>
      <c r="D405" s="57" t="s">
        <v>42</v>
      </c>
      <c r="E405" s="57" t="s">
        <v>25</v>
      </c>
      <c r="F405" s="57" t="s">
        <v>25</v>
      </c>
      <c r="G405" s="57" t="s">
        <v>25</v>
      </c>
      <c r="H405" s="57" t="s">
        <v>38</v>
      </c>
      <c r="I405" s="82">
        <v>44166</v>
      </c>
      <c r="J405" s="83">
        <f ca="1">EFEITO!$J$405*EFEITO!$Y$405</f>
        <v>77814.974241405624</v>
      </c>
      <c r="K405" s="83">
        <f ca="1">EFEITO!$L$405*EFEITO!$Z$405</f>
        <v>90405.406922636379</v>
      </c>
      <c r="L405" s="83">
        <f>EFEITO!$N$405*EFEITO!$AA$405</f>
        <v>151781.78993938578</v>
      </c>
      <c r="M405" s="83">
        <f ca="1">$J$405-EFEITO!$K$405*EFEITO!$Y$405</f>
        <v>0</v>
      </c>
      <c r="N405" s="83">
        <f ca="1">$K$405-EFEITO!$M$405*EFEITO!$Z$405</f>
        <v>0</v>
      </c>
      <c r="O405" s="83">
        <f>$L$405-EFEITO!$O$405*EFEITO!$AA$405</f>
        <v>0</v>
      </c>
      <c r="P405" s="61"/>
      <c r="Q405" s="61"/>
      <c r="R405" s="61"/>
      <c r="S405" s="61"/>
      <c r="T405" s="61"/>
      <c r="U405" s="61"/>
      <c r="V405" s="61"/>
      <c r="W405" s="61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spans="1:36" ht="11.25" customHeight="1" x14ac:dyDescent="0.2">
      <c r="A406" s="57" t="s">
        <v>29</v>
      </c>
      <c r="B406" s="57" t="s">
        <v>35</v>
      </c>
      <c r="C406" s="57" t="s">
        <v>44</v>
      </c>
      <c r="D406" s="57" t="s">
        <v>42</v>
      </c>
      <c r="E406" s="57" t="s">
        <v>25</v>
      </c>
      <c r="F406" s="57" t="s">
        <v>25</v>
      </c>
      <c r="G406" s="57" t="s">
        <v>25</v>
      </c>
      <c r="H406" s="57" t="s">
        <v>38</v>
      </c>
      <c r="I406" s="82">
        <v>44166</v>
      </c>
      <c r="J406" s="83">
        <f ca="1">EFEITO!$J$406*EFEITO!$Y$406</f>
        <v>-75994.927654717016</v>
      </c>
      <c r="K406" s="83">
        <f ca="1">EFEITO!$L$406*EFEITO!$Z$406</f>
        <v>0</v>
      </c>
      <c r="L406" s="83">
        <f>EFEITO!$N$406*EFEITO!$AA$406</f>
        <v>0</v>
      </c>
      <c r="M406" s="83">
        <f ca="1">$J$406-EFEITO!$K$406*EFEITO!$Y$406</f>
        <v>0</v>
      </c>
      <c r="N406" s="83">
        <f ca="1">$K$406-EFEITO!$M$406*EFEITO!$Z$406</f>
        <v>0</v>
      </c>
      <c r="O406" s="83">
        <f>$L$406-EFEITO!$O$406*EFEITO!$AA$406</f>
        <v>0</v>
      </c>
      <c r="P406" s="61"/>
      <c r="Q406" s="61"/>
      <c r="R406" s="61"/>
      <c r="S406" s="61"/>
      <c r="T406" s="61"/>
      <c r="U406" s="61"/>
      <c r="V406" s="61"/>
      <c r="W406" s="61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spans="1:36" ht="11.25" customHeight="1" x14ac:dyDescent="0.2">
      <c r="A407" s="57" t="s">
        <v>30</v>
      </c>
      <c r="B407" s="57" t="s">
        <v>35</v>
      </c>
      <c r="C407" s="57" t="s">
        <v>44</v>
      </c>
      <c r="D407" s="57" t="s">
        <v>42</v>
      </c>
      <c r="E407" s="57" t="s">
        <v>25</v>
      </c>
      <c r="F407" s="57" t="s">
        <v>25</v>
      </c>
      <c r="G407" s="57" t="s">
        <v>25</v>
      </c>
      <c r="H407" s="57" t="s">
        <v>38</v>
      </c>
      <c r="I407" s="82">
        <v>44166</v>
      </c>
      <c r="J407" s="83">
        <f ca="1">EFEITO!$J$407*EFEITO!$Y$407</f>
        <v>51536.055980971963</v>
      </c>
      <c r="K407" s="83">
        <f ca="1">EFEITO!$L$407*EFEITO!$Z$407</f>
        <v>118976.17667350742</v>
      </c>
      <c r="L407" s="83">
        <f>EFEITO!$N$407*EFEITO!$AA$407</f>
        <v>199749.303391808</v>
      </c>
      <c r="M407" s="83">
        <f ca="1">$J$407-EFEITO!$K$407*EFEITO!$Y$407</f>
        <v>0</v>
      </c>
      <c r="N407" s="83">
        <f ca="1">$K$407-EFEITO!$M$407*EFEITO!$Z$407</f>
        <v>0</v>
      </c>
      <c r="O407" s="83">
        <f>$L$407-EFEITO!$O$407*EFEITO!$AA$407</f>
        <v>0</v>
      </c>
      <c r="P407" s="61"/>
      <c r="Q407" s="61"/>
      <c r="R407" s="61"/>
      <c r="S407" s="61"/>
      <c r="T407" s="61"/>
      <c r="U407" s="61"/>
      <c r="V407" s="61"/>
      <c r="W407" s="61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spans="1:36" ht="11.25" customHeight="1" x14ac:dyDescent="0.2">
      <c r="A408" s="57" t="s">
        <v>21</v>
      </c>
      <c r="B408" s="57" t="s">
        <v>35</v>
      </c>
      <c r="C408" s="57" t="s">
        <v>44</v>
      </c>
      <c r="D408" s="57" t="s">
        <v>42</v>
      </c>
      <c r="E408" s="57" t="s">
        <v>25</v>
      </c>
      <c r="F408" s="57" t="s">
        <v>25</v>
      </c>
      <c r="G408" s="57" t="s">
        <v>25</v>
      </c>
      <c r="H408" s="57" t="s">
        <v>38</v>
      </c>
      <c r="I408" s="82">
        <v>44166</v>
      </c>
      <c r="J408" s="83">
        <f ca="1">EFEITO!$J$408*EFEITO!$Y$408</f>
        <v>192445.97856091574</v>
      </c>
      <c r="K408" s="83">
        <f ca="1">EFEITO!$L$408*EFEITO!$Z$408</f>
        <v>0</v>
      </c>
      <c r="L408" s="83">
        <f>EFEITO!$N$408*EFEITO!$AA$408</f>
        <v>0</v>
      </c>
      <c r="M408" s="83">
        <f ca="1">$J$408-EFEITO!$K$408*EFEITO!$Y$408</f>
        <v>0</v>
      </c>
      <c r="N408" s="83">
        <f ca="1">$K$408-EFEITO!$M$408*EFEITO!$Z$408</f>
        <v>0</v>
      </c>
      <c r="O408" s="83">
        <f>$L$408-EFEITO!$O$408*EFEITO!$AA$408</f>
        <v>0</v>
      </c>
      <c r="P408" s="61"/>
      <c r="Q408" s="61"/>
      <c r="R408" s="61"/>
      <c r="S408" s="61"/>
      <c r="T408" s="61"/>
      <c r="U408" s="61"/>
      <c r="V408" s="61"/>
      <c r="W408" s="61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spans="1:36" ht="11.25" customHeight="1" x14ac:dyDescent="0.2">
      <c r="A409" s="57" t="s">
        <v>21</v>
      </c>
      <c r="B409" s="57" t="s">
        <v>35</v>
      </c>
      <c r="C409" s="57" t="s">
        <v>44</v>
      </c>
      <c r="D409" s="57" t="s">
        <v>42</v>
      </c>
      <c r="E409" s="57" t="s">
        <v>25</v>
      </c>
      <c r="F409" s="57" t="s">
        <v>25</v>
      </c>
      <c r="G409" s="57" t="s">
        <v>25</v>
      </c>
      <c r="H409" s="57" t="s">
        <v>38</v>
      </c>
      <c r="I409" s="82">
        <v>44197</v>
      </c>
      <c r="J409" s="83">
        <f ca="1">EFEITO!$J$409*EFEITO!$Y$409</f>
        <v>902711.17635567428</v>
      </c>
      <c r="K409" s="83">
        <f ca="1">EFEITO!$L$409*EFEITO!$Z$409</f>
        <v>1041216.2100129378</v>
      </c>
      <c r="L409" s="83">
        <f>EFEITO!$N$409*EFEITO!$AA$409</f>
        <v>1748099.6485631268</v>
      </c>
      <c r="M409" s="83">
        <f ca="1">$J$409-EFEITO!$K$409*EFEITO!$Y$409</f>
        <v>0</v>
      </c>
      <c r="N409" s="83">
        <f ca="1">$K$409-EFEITO!$M$409*EFEITO!$Z$409</f>
        <v>0</v>
      </c>
      <c r="O409" s="83">
        <f>$L$409-EFEITO!$O$409*EFEITO!$AA$409</f>
        <v>0</v>
      </c>
      <c r="P409" s="61"/>
      <c r="Q409" s="61"/>
      <c r="R409" s="61"/>
      <c r="S409" s="61"/>
      <c r="T409" s="61"/>
      <c r="U409" s="61"/>
      <c r="V409" s="61"/>
      <c r="W409" s="61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spans="1:36" ht="11.25" customHeight="1" x14ac:dyDescent="0.2">
      <c r="A410" s="57" t="s">
        <v>27</v>
      </c>
      <c r="B410" s="57" t="s">
        <v>35</v>
      </c>
      <c r="C410" s="57" t="s">
        <v>44</v>
      </c>
      <c r="D410" s="57" t="s">
        <v>42</v>
      </c>
      <c r="E410" s="57" t="s">
        <v>25</v>
      </c>
      <c r="F410" s="57" t="s">
        <v>25</v>
      </c>
      <c r="G410" s="57" t="s">
        <v>25</v>
      </c>
      <c r="H410" s="57" t="s">
        <v>38</v>
      </c>
      <c r="I410" s="82">
        <v>44197</v>
      </c>
      <c r="J410" s="83">
        <f ca="1">EFEITO!$J$410*EFEITO!$Y$410</f>
        <v>-6130.6832393721288</v>
      </c>
      <c r="K410" s="83">
        <f ca="1">EFEITO!$L$410*EFEITO!$Z$410</f>
        <v>-63037.822714457092</v>
      </c>
      <c r="L410" s="83">
        <f>EFEITO!$N$410*EFEITO!$AA$410</f>
        <v>-105834.30672094307</v>
      </c>
      <c r="M410" s="83">
        <f ca="1">$J$410-EFEITO!$K$410*EFEITO!$Y$410</f>
        <v>0</v>
      </c>
      <c r="N410" s="83">
        <f ca="1">$K$410-EFEITO!$M$410*EFEITO!$Z$410</f>
        <v>0</v>
      </c>
      <c r="O410" s="83">
        <f>$L$410-EFEITO!$O$410*EFEITO!$AA$410</f>
        <v>0</v>
      </c>
      <c r="P410" s="61"/>
      <c r="Q410" s="61"/>
      <c r="R410" s="61"/>
      <c r="S410" s="61"/>
      <c r="T410" s="61"/>
      <c r="U410" s="61"/>
      <c r="V410" s="61"/>
      <c r="W410" s="61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spans="1:36" ht="11.25" customHeight="1" x14ac:dyDescent="0.2">
      <c r="A411" s="57" t="s">
        <v>28</v>
      </c>
      <c r="B411" s="57" t="s">
        <v>35</v>
      </c>
      <c r="C411" s="57" t="s">
        <v>44</v>
      </c>
      <c r="D411" s="57" t="s">
        <v>42</v>
      </c>
      <c r="E411" s="57" t="s">
        <v>25</v>
      </c>
      <c r="F411" s="57" t="s">
        <v>25</v>
      </c>
      <c r="G411" s="57" t="s">
        <v>25</v>
      </c>
      <c r="H411" s="57" t="s">
        <v>38</v>
      </c>
      <c r="I411" s="82">
        <v>44197</v>
      </c>
      <c r="J411" s="83">
        <f ca="1">EFEITO!$J$411*EFEITO!$Y$411</f>
        <v>73855.574649311122</v>
      </c>
      <c r="K411" s="83">
        <f ca="1">EFEITO!$L$411*EFEITO!$Z$411</f>
        <v>58656.980340037204</v>
      </c>
      <c r="L411" s="83">
        <f>EFEITO!$N$411*EFEITO!$AA$411</f>
        <v>98479.303080499638</v>
      </c>
      <c r="M411" s="83">
        <f ca="1">$J$411-EFEITO!$K$411*EFEITO!$Y$411</f>
        <v>0</v>
      </c>
      <c r="N411" s="83">
        <f ca="1">$K$411-EFEITO!$M$411*EFEITO!$Z$411</f>
        <v>0</v>
      </c>
      <c r="O411" s="83">
        <f>$L$411-EFEITO!$O$411*EFEITO!$AA$411</f>
        <v>0</v>
      </c>
      <c r="P411" s="61"/>
      <c r="Q411" s="61"/>
      <c r="R411" s="61"/>
      <c r="S411" s="61"/>
      <c r="T411" s="61"/>
      <c r="U411" s="61"/>
      <c r="V411" s="61"/>
      <c r="W411" s="61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spans="1:36" ht="11.25" customHeight="1" x14ac:dyDescent="0.2">
      <c r="A412" s="57" t="s">
        <v>30</v>
      </c>
      <c r="B412" s="57" t="s">
        <v>35</v>
      </c>
      <c r="C412" s="57" t="s">
        <v>44</v>
      </c>
      <c r="D412" s="57" t="s">
        <v>42</v>
      </c>
      <c r="E412" s="57" t="s">
        <v>25</v>
      </c>
      <c r="F412" s="57" t="s">
        <v>25</v>
      </c>
      <c r="G412" s="57" t="s">
        <v>25</v>
      </c>
      <c r="H412" s="57" t="s">
        <v>38</v>
      </c>
      <c r="I412" s="82">
        <v>44197</v>
      </c>
      <c r="J412" s="83">
        <f ca="1">EFEITO!$J$412*EFEITO!$Y$412</f>
        <v>47417.003179518812</v>
      </c>
      <c r="K412" s="83">
        <f ca="1">EFEITO!$L$412*EFEITO!$Z$412</f>
        <v>118735.53956496906</v>
      </c>
      <c r="L412" s="83">
        <f>EFEITO!$N$412*EFEITO!$AA$412</f>
        <v>199345.29734501211</v>
      </c>
      <c r="M412" s="83">
        <f ca="1">$J$412-EFEITO!$K$412*EFEITO!$Y$412</f>
        <v>0</v>
      </c>
      <c r="N412" s="83">
        <f ca="1">$K$412-EFEITO!$M$412*EFEITO!$Z$412</f>
        <v>0</v>
      </c>
      <c r="O412" s="83">
        <f>$L$412-EFEITO!$O$412*EFEITO!$AA$412</f>
        <v>0</v>
      </c>
      <c r="P412" s="61"/>
      <c r="Q412" s="61"/>
      <c r="R412" s="61"/>
      <c r="S412" s="61"/>
      <c r="T412" s="61"/>
      <c r="U412" s="61"/>
      <c r="V412" s="61"/>
      <c r="W412" s="61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spans="1:36" ht="11.25" customHeight="1" x14ac:dyDescent="0.2">
      <c r="A413" s="57" t="s">
        <v>21</v>
      </c>
      <c r="B413" s="57" t="s">
        <v>35</v>
      </c>
      <c r="C413" s="57" t="s">
        <v>44</v>
      </c>
      <c r="D413" s="57" t="s">
        <v>42</v>
      </c>
      <c r="E413" s="57" t="s">
        <v>25</v>
      </c>
      <c r="F413" s="57" t="s">
        <v>25</v>
      </c>
      <c r="G413" s="57" t="s">
        <v>25</v>
      </c>
      <c r="H413" s="57" t="s">
        <v>38</v>
      </c>
      <c r="I413" s="82">
        <v>44197</v>
      </c>
      <c r="J413" s="83">
        <f ca="1">EFEITO!$J$413*EFEITO!$Y$413</f>
        <v>189572.22079246005</v>
      </c>
      <c r="K413" s="83">
        <f ca="1">EFEITO!$L$413*EFEITO!$Z$413</f>
        <v>0</v>
      </c>
      <c r="L413" s="83">
        <f>EFEITO!$N$413*EFEITO!$AA$413</f>
        <v>0</v>
      </c>
      <c r="M413" s="83">
        <f ca="1">$J$413-EFEITO!$K$413*EFEITO!$Y$413</f>
        <v>0</v>
      </c>
      <c r="N413" s="83">
        <f ca="1">$K$413-EFEITO!$M$413*EFEITO!$Z$413</f>
        <v>0</v>
      </c>
      <c r="O413" s="83">
        <f>$L$413-EFEITO!$O$413*EFEITO!$AA$413</f>
        <v>0</v>
      </c>
      <c r="P413" s="61"/>
      <c r="Q413" s="61"/>
      <c r="R413" s="61"/>
      <c r="S413" s="61"/>
      <c r="T413" s="61"/>
      <c r="U413" s="61"/>
      <c r="V413" s="61"/>
      <c r="W413" s="61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spans="1:36" ht="11.25" customHeight="1" x14ac:dyDescent="0.2">
      <c r="A414" s="57" t="s">
        <v>21</v>
      </c>
      <c r="B414" s="57" t="s">
        <v>35</v>
      </c>
      <c r="C414" s="57" t="s">
        <v>44</v>
      </c>
      <c r="D414" s="57" t="s">
        <v>42</v>
      </c>
      <c r="E414" s="57" t="s">
        <v>25</v>
      </c>
      <c r="F414" s="57" t="s">
        <v>25</v>
      </c>
      <c r="G414" s="57" t="s">
        <v>25</v>
      </c>
      <c r="H414" s="57" t="s">
        <v>38</v>
      </c>
      <c r="I414" s="82">
        <v>44228</v>
      </c>
      <c r="J414" s="83">
        <f ca="1">EFEITO!$J$414*EFEITO!$Y$414</f>
        <v>857976.34709338075</v>
      </c>
      <c r="K414" s="83">
        <f ca="1">EFEITO!$L$414*EFEITO!$Z$414</f>
        <v>1017459.5305398845</v>
      </c>
      <c r="L414" s="83">
        <f>EFEITO!$N$414*EFEITO!$AA$414</f>
        <v>1708214.5193858203</v>
      </c>
      <c r="M414" s="83">
        <f ca="1">$J$414-EFEITO!$K$414*EFEITO!$Y$414</f>
        <v>0</v>
      </c>
      <c r="N414" s="83">
        <f ca="1">$K$414-EFEITO!$M$414*EFEITO!$Z$414</f>
        <v>0</v>
      </c>
      <c r="O414" s="83">
        <f>$L$414-EFEITO!$O$414*EFEITO!$AA$414</f>
        <v>0</v>
      </c>
      <c r="P414" s="61"/>
      <c r="Q414" s="61"/>
      <c r="R414" s="61"/>
      <c r="S414" s="61"/>
      <c r="T414" s="61"/>
      <c r="U414" s="61"/>
      <c r="V414" s="61"/>
      <c r="W414" s="61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spans="1:36" ht="11.25" customHeight="1" x14ac:dyDescent="0.2">
      <c r="A415" s="57" t="s">
        <v>28</v>
      </c>
      <c r="B415" s="57" t="s">
        <v>35</v>
      </c>
      <c r="C415" s="57" t="s">
        <v>44</v>
      </c>
      <c r="D415" s="57" t="s">
        <v>42</v>
      </c>
      <c r="E415" s="57" t="s">
        <v>25</v>
      </c>
      <c r="F415" s="57" t="s">
        <v>25</v>
      </c>
      <c r="G415" s="57" t="s">
        <v>25</v>
      </c>
      <c r="H415" s="57" t="s">
        <v>38</v>
      </c>
      <c r="I415" s="82">
        <v>44228</v>
      </c>
      <c r="J415" s="83">
        <f ca="1">EFEITO!$J$415*EFEITO!$Y$415</f>
        <v>62073.167798642811</v>
      </c>
      <c r="K415" s="83">
        <f ca="1">EFEITO!$L$415*EFEITO!$Z$415</f>
        <v>49190.57263047796</v>
      </c>
      <c r="L415" s="83">
        <f>EFEITO!$N$415*EFEITO!$AA$415</f>
        <v>82586.135233996218</v>
      </c>
      <c r="M415" s="83">
        <f ca="1">$J$415-EFEITO!$K$415*EFEITO!$Y$415</f>
        <v>0</v>
      </c>
      <c r="N415" s="83">
        <f ca="1">$K$415-EFEITO!$M$415*EFEITO!$Z$415</f>
        <v>0</v>
      </c>
      <c r="O415" s="83">
        <f>$L$415-EFEITO!$O$415*EFEITO!$AA$415</f>
        <v>0</v>
      </c>
      <c r="P415" s="61"/>
      <c r="Q415" s="61"/>
      <c r="R415" s="61"/>
      <c r="S415" s="61"/>
      <c r="T415" s="61"/>
      <c r="U415" s="61"/>
      <c r="V415" s="61"/>
      <c r="W415" s="61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spans="1:36" ht="11.25" customHeight="1" x14ac:dyDescent="0.2">
      <c r="A416" s="57" t="s">
        <v>29</v>
      </c>
      <c r="B416" s="57" t="s">
        <v>35</v>
      </c>
      <c r="C416" s="57" t="s">
        <v>44</v>
      </c>
      <c r="D416" s="57" t="s">
        <v>42</v>
      </c>
      <c r="E416" s="57" t="s">
        <v>25</v>
      </c>
      <c r="F416" s="57" t="s">
        <v>25</v>
      </c>
      <c r="G416" s="57" t="s">
        <v>25</v>
      </c>
      <c r="H416" s="57" t="s">
        <v>38</v>
      </c>
      <c r="I416" s="82">
        <v>44228</v>
      </c>
      <c r="J416" s="83">
        <f ca="1">EFEITO!$J$416*EFEITO!$Y$416</f>
        <v>-33431.382039701144</v>
      </c>
      <c r="K416" s="83">
        <f ca="1">EFEITO!$L$416*EFEITO!$Z$416</f>
        <v>0</v>
      </c>
      <c r="L416" s="83">
        <f>EFEITO!$N$416*EFEITO!$AA$416</f>
        <v>0</v>
      </c>
      <c r="M416" s="83">
        <f ca="1">$J$416-EFEITO!$K$416*EFEITO!$Y$416</f>
        <v>0</v>
      </c>
      <c r="N416" s="83">
        <f ca="1">$K$416-EFEITO!$M$416*EFEITO!$Z$416</f>
        <v>0</v>
      </c>
      <c r="O416" s="83">
        <f>$L$416-EFEITO!$O$416*EFEITO!$AA$416</f>
        <v>0</v>
      </c>
      <c r="P416" s="61"/>
      <c r="Q416" s="61"/>
      <c r="R416" s="61"/>
      <c r="S416" s="61"/>
      <c r="T416" s="61"/>
      <c r="U416" s="61"/>
      <c r="V416" s="61"/>
      <c r="W416" s="61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spans="1:36" ht="11.25" customHeight="1" x14ac:dyDescent="0.2">
      <c r="A417" s="57" t="s">
        <v>30</v>
      </c>
      <c r="B417" s="57" t="s">
        <v>35</v>
      </c>
      <c r="C417" s="57" t="s">
        <v>44</v>
      </c>
      <c r="D417" s="57" t="s">
        <v>42</v>
      </c>
      <c r="E417" s="57" t="s">
        <v>25</v>
      </c>
      <c r="F417" s="57" t="s">
        <v>25</v>
      </c>
      <c r="G417" s="57" t="s">
        <v>25</v>
      </c>
      <c r="H417" s="57" t="s">
        <v>38</v>
      </c>
      <c r="I417" s="82">
        <v>44228</v>
      </c>
      <c r="J417" s="83">
        <f ca="1">EFEITO!$J$417*EFEITO!$Y$417</f>
        <v>50450.414157333144</v>
      </c>
      <c r="K417" s="83">
        <f ca="1">EFEITO!$L$417*EFEITO!$Z$417</f>
        <v>141836.7019846511</v>
      </c>
      <c r="L417" s="83">
        <f>EFEITO!$N$417*EFEITO!$AA$417</f>
        <v>238129.87783741922</v>
      </c>
      <c r="M417" s="83">
        <f ca="1">$J$417-EFEITO!$K$417*EFEITO!$Y$417</f>
        <v>0</v>
      </c>
      <c r="N417" s="83">
        <f ca="1">$K$417-EFEITO!$M$417*EFEITO!$Z$417</f>
        <v>0</v>
      </c>
      <c r="O417" s="83">
        <f>$L$417-EFEITO!$O$417*EFEITO!$AA$417</f>
        <v>0</v>
      </c>
      <c r="P417" s="61"/>
      <c r="Q417" s="61"/>
      <c r="R417" s="61"/>
      <c r="S417" s="61"/>
      <c r="T417" s="61"/>
      <c r="U417" s="61"/>
      <c r="V417" s="61"/>
      <c r="W417" s="61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spans="1:36" ht="11.25" customHeight="1" x14ac:dyDescent="0.2">
      <c r="A418" s="57" t="s">
        <v>21</v>
      </c>
      <c r="B418" s="57" t="s">
        <v>35</v>
      </c>
      <c r="C418" s="57" t="s">
        <v>44</v>
      </c>
      <c r="D418" s="57" t="s">
        <v>42</v>
      </c>
      <c r="E418" s="57" t="s">
        <v>25</v>
      </c>
      <c r="F418" s="57" t="s">
        <v>25</v>
      </c>
      <c r="G418" s="57" t="s">
        <v>25</v>
      </c>
      <c r="H418" s="57" t="s">
        <v>38</v>
      </c>
      <c r="I418" s="82">
        <v>44228</v>
      </c>
      <c r="J418" s="83">
        <f ca="1">EFEITO!$J$418*EFEITO!$Y$418</f>
        <v>186347.22596341535</v>
      </c>
      <c r="K418" s="83">
        <f ca="1">EFEITO!$L$418*EFEITO!$Z$418</f>
        <v>0</v>
      </c>
      <c r="L418" s="83">
        <f>EFEITO!$N$418*EFEITO!$AA$418</f>
        <v>0</v>
      </c>
      <c r="M418" s="83">
        <f ca="1">$J$418-EFEITO!$K$418*EFEITO!$Y$418</f>
        <v>0</v>
      </c>
      <c r="N418" s="83">
        <f ca="1">$K$418-EFEITO!$M$418*EFEITO!$Z$418</f>
        <v>0</v>
      </c>
      <c r="O418" s="83">
        <f>$L$418-EFEITO!$O$418*EFEITO!$AA$418</f>
        <v>0</v>
      </c>
      <c r="P418" s="61"/>
      <c r="Q418" s="61"/>
      <c r="R418" s="61"/>
      <c r="S418" s="61"/>
      <c r="T418" s="61"/>
      <c r="U418" s="61"/>
      <c r="V418" s="61"/>
      <c r="W418" s="61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spans="1:36" ht="11.25" customHeight="1" x14ac:dyDescent="0.2">
      <c r="A419" s="57" t="s">
        <v>21</v>
      </c>
      <c r="B419" s="57" t="s">
        <v>35</v>
      </c>
      <c r="C419" s="57" t="s">
        <v>44</v>
      </c>
      <c r="D419" s="57" t="s">
        <v>42</v>
      </c>
      <c r="E419" s="57" t="s">
        <v>25</v>
      </c>
      <c r="F419" s="57" t="s">
        <v>25</v>
      </c>
      <c r="G419" s="57" t="s">
        <v>25</v>
      </c>
      <c r="H419" s="57" t="s">
        <v>38</v>
      </c>
      <c r="I419" s="82">
        <v>44256</v>
      </c>
      <c r="J419" s="83">
        <f ca="1">EFEITO!$J$419*EFEITO!$Y$419</f>
        <v>863372.62556970317</v>
      </c>
      <c r="K419" s="83">
        <f ca="1">EFEITO!$L$419*EFEITO!$Z$419</f>
        <v>1228124.0065080889</v>
      </c>
      <c r="L419" s="83">
        <f>EFEITO!$N$419*EFEITO!$AA$419</f>
        <v>2061899.4628810599</v>
      </c>
      <c r="M419" s="83">
        <f ca="1">$J$419-EFEITO!$K$419*EFEITO!$Y$419</f>
        <v>0</v>
      </c>
      <c r="N419" s="83">
        <f ca="1">$K$419-EFEITO!$M$419*EFEITO!$Z$419</f>
        <v>0</v>
      </c>
      <c r="O419" s="83">
        <f>$L$419-EFEITO!$O$419*EFEITO!$AA$419</f>
        <v>0</v>
      </c>
      <c r="P419" s="61"/>
      <c r="Q419" s="61"/>
      <c r="R419" s="61"/>
      <c r="S419" s="61"/>
      <c r="T419" s="61"/>
      <c r="U419" s="61"/>
      <c r="V419" s="61"/>
      <c r="W419" s="61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spans="1:36" ht="11.25" customHeight="1" x14ac:dyDescent="0.2">
      <c r="A420" s="57" t="s">
        <v>28</v>
      </c>
      <c r="B420" s="57" t="s">
        <v>35</v>
      </c>
      <c r="C420" s="57" t="s">
        <v>44</v>
      </c>
      <c r="D420" s="57" t="s">
        <v>42</v>
      </c>
      <c r="E420" s="57" t="s">
        <v>25</v>
      </c>
      <c r="F420" s="57" t="s">
        <v>25</v>
      </c>
      <c r="G420" s="57" t="s">
        <v>25</v>
      </c>
      <c r="H420" s="57" t="s">
        <v>38</v>
      </c>
      <c r="I420" s="82">
        <v>44256</v>
      </c>
      <c r="J420" s="83">
        <f ca="1">EFEITO!$J$420*EFEITO!$Y$420</f>
        <v>69736.521847857977</v>
      </c>
      <c r="K420" s="83">
        <f ca="1">EFEITO!$L$420*EFEITO!$Z$420</f>
        <v>87737.840096192289</v>
      </c>
      <c r="L420" s="83">
        <f>EFEITO!$N$420*EFEITO!$AA$420</f>
        <v>147303.20750186531</v>
      </c>
      <c r="M420" s="83">
        <f ca="1">$J$420-EFEITO!$K$420*EFEITO!$Y$420</f>
        <v>0</v>
      </c>
      <c r="N420" s="83">
        <f ca="1">$K$420-EFEITO!$M$420*EFEITO!$Z$420</f>
        <v>0</v>
      </c>
      <c r="O420" s="83">
        <f>$L$420-EFEITO!$O$420*EFEITO!$AA$420</f>
        <v>0</v>
      </c>
      <c r="P420" s="61"/>
      <c r="Q420" s="61"/>
      <c r="R420" s="61"/>
      <c r="S420" s="61"/>
      <c r="T420" s="61"/>
      <c r="U420" s="61"/>
      <c r="V420" s="61"/>
      <c r="W420" s="61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spans="1:36" ht="11.25" customHeight="1" x14ac:dyDescent="0.2">
      <c r="A421" s="57" t="s">
        <v>30</v>
      </c>
      <c r="B421" s="57" t="s">
        <v>35</v>
      </c>
      <c r="C421" s="57" t="s">
        <v>44</v>
      </c>
      <c r="D421" s="57" t="s">
        <v>42</v>
      </c>
      <c r="E421" s="57" t="s">
        <v>25</v>
      </c>
      <c r="F421" s="57" t="s">
        <v>25</v>
      </c>
      <c r="G421" s="57" t="s">
        <v>25</v>
      </c>
      <c r="H421" s="57" t="s">
        <v>38</v>
      </c>
      <c r="I421" s="82">
        <v>44256</v>
      </c>
      <c r="J421" s="83">
        <f ca="1">EFEITO!$J$421*EFEITO!$Y$421</f>
        <v>52398.18331150867</v>
      </c>
      <c r="K421" s="83">
        <f ca="1">EFEITO!$L$421*EFEITO!$Z$421</f>
        <v>145915.73689311006</v>
      </c>
      <c r="L421" s="83">
        <f>EFEITO!$N$421*EFEITO!$AA$421</f>
        <v>244978.17641496946</v>
      </c>
      <c r="M421" s="83">
        <f ca="1">$J$421-EFEITO!$K$421*EFEITO!$Y$421</f>
        <v>0</v>
      </c>
      <c r="N421" s="83">
        <f ca="1">$K$421-EFEITO!$M$421*EFEITO!$Z$421</f>
        <v>0</v>
      </c>
      <c r="O421" s="83">
        <f>$L$421-EFEITO!$O$421*EFEITO!$AA$421</f>
        <v>0</v>
      </c>
      <c r="P421" s="61"/>
      <c r="Q421" s="61"/>
      <c r="R421" s="61"/>
      <c r="S421" s="61"/>
      <c r="T421" s="61"/>
      <c r="U421" s="61"/>
      <c r="V421" s="61"/>
      <c r="W421" s="61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spans="1:36" ht="11.25" customHeight="1" x14ac:dyDescent="0.2">
      <c r="A422" s="57" t="s">
        <v>21</v>
      </c>
      <c r="B422" s="57" t="s">
        <v>35</v>
      </c>
      <c r="C422" s="57" t="s">
        <v>44</v>
      </c>
      <c r="D422" s="57" t="s">
        <v>42</v>
      </c>
      <c r="E422" s="57" t="s">
        <v>25</v>
      </c>
      <c r="F422" s="57" t="s">
        <v>25</v>
      </c>
      <c r="G422" s="57" t="s">
        <v>25</v>
      </c>
      <c r="H422" s="57" t="s">
        <v>38</v>
      </c>
      <c r="I422" s="82">
        <v>44256</v>
      </c>
      <c r="J422" s="83">
        <f ca="1">EFEITO!$J$422*EFEITO!$Y$422</f>
        <v>186826.18559149129</v>
      </c>
      <c r="K422" s="83">
        <f ca="1">EFEITO!$L$422*EFEITO!$Z$422</f>
        <v>0</v>
      </c>
      <c r="L422" s="83">
        <f>EFEITO!$N$422*EFEITO!$AA$422</f>
        <v>0</v>
      </c>
      <c r="M422" s="83">
        <f ca="1">$J$422-EFEITO!$K$422*EFEITO!$Y$422</f>
        <v>0</v>
      </c>
      <c r="N422" s="83">
        <f ca="1">$K$422-EFEITO!$M$422*EFEITO!$Z$422</f>
        <v>0</v>
      </c>
      <c r="O422" s="83">
        <f>$L$422-EFEITO!$O$422*EFEITO!$AA$422</f>
        <v>0</v>
      </c>
      <c r="P422" s="61"/>
      <c r="Q422" s="61"/>
      <c r="R422" s="61"/>
      <c r="S422" s="61"/>
      <c r="T422" s="61"/>
      <c r="U422" s="61"/>
      <c r="V422" s="61"/>
      <c r="W422" s="61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spans="1:36" ht="11.25" customHeight="1" x14ac:dyDescent="0.2">
      <c r="A423" s="57" t="s">
        <v>21</v>
      </c>
      <c r="B423" s="57" t="s">
        <v>35</v>
      </c>
      <c r="C423" s="57" t="s">
        <v>44</v>
      </c>
      <c r="D423" s="57" t="s">
        <v>42</v>
      </c>
      <c r="E423" s="57" t="s">
        <v>25</v>
      </c>
      <c r="F423" s="57" t="s">
        <v>25</v>
      </c>
      <c r="G423" s="57" t="s">
        <v>25</v>
      </c>
      <c r="H423" s="57" t="s">
        <v>38</v>
      </c>
      <c r="I423" s="82">
        <v>44287</v>
      </c>
      <c r="J423" s="83">
        <f ca="1">EFEITO!$J$423*EFEITO!$Y$423</f>
        <v>828280.85015267204</v>
      </c>
      <c r="K423" s="83">
        <f ca="1">EFEITO!$L$423*EFEITO!$Z$423</f>
        <v>1035453.0523714731</v>
      </c>
      <c r="L423" s="83">
        <f>EFEITO!$N$423*EFEITO!$AA$423</f>
        <v>1738423.8734928046</v>
      </c>
      <c r="M423" s="83">
        <f ca="1">$J$423-EFEITO!$K$423*EFEITO!$Y$423</f>
        <v>0</v>
      </c>
      <c r="N423" s="83">
        <f ca="1">$K$423-EFEITO!$M$423*EFEITO!$Z$423</f>
        <v>0</v>
      </c>
      <c r="O423" s="83">
        <f>$L$423-EFEITO!$O$423*EFEITO!$AA$423</f>
        <v>0</v>
      </c>
      <c r="P423" s="61"/>
      <c r="Q423" s="61"/>
      <c r="R423" s="61"/>
      <c r="S423" s="61"/>
      <c r="T423" s="61"/>
      <c r="U423" s="61"/>
      <c r="V423" s="61"/>
      <c r="W423" s="61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spans="1:36" ht="11.25" customHeight="1" x14ac:dyDescent="0.2">
      <c r="A424" s="57" t="s">
        <v>28</v>
      </c>
      <c r="B424" s="57" t="s">
        <v>35</v>
      </c>
      <c r="C424" s="57" t="s">
        <v>44</v>
      </c>
      <c r="D424" s="57" t="s">
        <v>42</v>
      </c>
      <c r="E424" s="57" t="s">
        <v>25</v>
      </c>
      <c r="F424" s="57" t="s">
        <v>25</v>
      </c>
      <c r="G424" s="57" t="s">
        <v>25</v>
      </c>
      <c r="H424" s="57" t="s">
        <v>38</v>
      </c>
      <c r="I424" s="82">
        <v>44287</v>
      </c>
      <c r="J424" s="83">
        <f ca="1">EFEITO!$J$424*EFEITO!$Y$424</f>
        <v>42787.060108117985</v>
      </c>
      <c r="K424" s="83">
        <f ca="1">EFEITO!$L$424*EFEITO!$Z$424</f>
        <v>64727.843415809446</v>
      </c>
      <c r="L424" s="83">
        <f>EFEITO!$N$424*EFEITO!$AA$424</f>
        <v>108671.68532270509</v>
      </c>
      <c r="M424" s="83">
        <f ca="1">$J$424-EFEITO!$K$424*EFEITO!$Y$424</f>
        <v>0</v>
      </c>
      <c r="N424" s="83">
        <f ca="1">$K$424-EFEITO!$M$424*EFEITO!$Z$424</f>
        <v>0</v>
      </c>
      <c r="O424" s="83">
        <f>$L$424-EFEITO!$O$424*EFEITO!$AA$424</f>
        <v>0</v>
      </c>
      <c r="P424" s="61"/>
      <c r="Q424" s="61"/>
      <c r="R424" s="61"/>
      <c r="S424" s="61"/>
      <c r="T424" s="61"/>
      <c r="U424" s="61"/>
      <c r="V424" s="61"/>
      <c r="W424" s="61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spans="1:36" ht="11.25" customHeight="1" x14ac:dyDescent="0.2">
      <c r="A425" s="57" t="s">
        <v>29</v>
      </c>
      <c r="B425" s="57" t="s">
        <v>35</v>
      </c>
      <c r="C425" s="57" t="s">
        <v>44</v>
      </c>
      <c r="D425" s="57" t="s">
        <v>42</v>
      </c>
      <c r="E425" s="57" t="s">
        <v>25</v>
      </c>
      <c r="F425" s="57" t="s">
        <v>25</v>
      </c>
      <c r="G425" s="57" t="s">
        <v>25</v>
      </c>
      <c r="H425" s="57" t="s">
        <v>38</v>
      </c>
      <c r="I425" s="82">
        <v>44287</v>
      </c>
      <c r="J425" s="83">
        <f ca="1">EFEITO!$J$425*EFEITO!$Y$425</f>
        <v>-12548.742255589827</v>
      </c>
      <c r="K425" s="83">
        <f ca="1">EFEITO!$L$425*EFEITO!$Z$425</f>
        <v>-13818.097269009153</v>
      </c>
      <c r="L425" s="83">
        <f>EFEITO!$N$425*EFEITO!$AA$425</f>
        <v>-23199.226776795815</v>
      </c>
      <c r="M425" s="83">
        <f ca="1">$J$425-EFEITO!$K$425*EFEITO!$Y$425</f>
        <v>0</v>
      </c>
      <c r="N425" s="83">
        <f ca="1">$K$425-EFEITO!$M$425*EFEITO!$Z$425</f>
        <v>0</v>
      </c>
      <c r="O425" s="83">
        <f>$L$425-EFEITO!$O$425*EFEITO!$AA$425</f>
        <v>0</v>
      </c>
      <c r="P425" s="61"/>
      <c r="Q425" s="61"/>
      <c r="R425" s="61"/>
      <c r="S425" s="61"/>
      <c r="T425" s="61"/>
      <c r="U425" s="61"/>
      <c r="V425" s="61"/>
      <c r="W425" s="61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spans="1:36" ht="11.25" customHeight="1" x14ac:dyDescent="0.2">
      <c r="A426" s="57" t="s">
        <v>30</v>
      </c>
      <c r="B426" s="57" t="s">
        <v>35</v>
      </c>
      <c r="C426" s="57" t="s">
        <v>44</v>
      </c>
      <c r="D426" s="57" t="s">
        <v>42</v>
      </c>
      <c r="E426" s="57" t="s">
        <v>25</v>
      </c>
      <c r="F426" s="57" t="s">
        <v>25</v>
      </c>
      <c r="G426" s="57" t="s">
        <v>25</v>
      </c>
      <c r="H426" s="57" t="s">
        <v>38</v>
      </c>
      <c r="I426" s="82">
        <v>44287</v>
      </c>
      <c r="J426" s="83">
        <f ca="1">EFEITO!$J$426*EFEITO!$Y$426</f>
        <v>52493.975237123857</v>
      </c>
      <c r="K426" s="83">
        <f ca="1">EFEITO!$L$426*EFEITO!$Z$426</f>
        <v>135131.89156831772</v>
      </c>
      <c r="L426" s="83">
        <f>EFEITO!$N$426*EFEITO!$AA$426</f>
        <v>226873.16033747833</v>
      </c>
      <c r="M426" s="83">
        <f ca="1">$J$426-EFEITO!$K$426*EFEITO!$Y$426</f>
        <v>0</v>
      </c>
      <c r="N426" s="83">
        <f ca="1">$K$426-EFEITO!$M$426*EFEITO!$Z$426</f>
        <v>0</v>
      </c>
      <c r="O426" s="83">
        <f>$L$426-EFEITO!$O$426*EFEITO!$AA$426</f>
        <v>0</v>
      </c>
      <c r="P426" s="61"/>
      <c r="Q426" s="61"/>
      <c r="R426" s="61"/>
      <c r="S426" s="61"/>
      <c r="T426" s="61"/>
      <c r="U426" s="61"/>
      <c r="V426" s="61"/>
      <c r="W426" s="61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spans="1:36" ht="11.25" customHeight="1" x14ac:dyDescent="0.2">
      <c r="A427" s="57" t="s">
        <v>21</v>
      </c>
      <c r="B427" s="57" t="s">
        <v>35</v>
      </c>
      <c r="C427" s="57" t="s">
        <v>44</v>
      </c>
      <c r="D427" s="57" t="s">
        <v>42</v>
      </c>
      <c r="E427" s="57" t="s">
        <v>25</v>
      </c>
      <c r="F427" s="57" t="s">
        <v>25</v>
      </c>
      <c r="G427" s="57" t="s">
        <v>25</v>
      </c>
      <c r="H427" s="57" t="s">
        <v>38</v>
      </c>
      <c r="I427" s="82">
        <v>44287</v>
      </c>
      <c r="J427" s="83">
        <f ca="1">EFEITO!$J$427*EFEITO!$Y$427</f>
        <v>190370.48683925331</v>
      </c>
      <c r="K427" s="83">
        <f ca="1">EFEITO!$L$427*EFEITO!$Z$427</f>
        <v>0</v>
      </c>
      <c r="L427" s="83">
        <f>EFEITO!$N$427*EFEITO!$AA$427</f>
        <v>0</v>
      </c>
      <c r="M427" s="83">
        <f ca="1">$J$427-EFEITO!$K$427*EFEITO!$Y$427</f>
        <v>0</v>
      </c>
      <c r="N427" s="83">
        <f ca="1">$K$427-EFEITO!$M$427*EFEITO!$Z$427</f>
        <v>0</v>
      </c>
      <c r="O427" s="83">
        <f>$L$427-EFEITO!$O$427*EFEITO!$AA$427</f>
        <v>0</v>
      </c>
      <c r="P427" s="61"/>
      <c r="Q427" s="61"/>
      <c r="R427" s="61"/>
      <c r="S427" s="61"/>
      <c r="T427" s="61"/>
      <c r="U427" s="61"/>
      <c r="V427" s="61"/>
      <c r="W427" s="61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spans="1:36" ht="11.25" customHeight="1" x14ac:dyDescent="0.2">
      <c r="A428" s="57" t="s">
        <v>21</v>
      </c>
      <c r="B428" s="57" t="s">
        <v>35</v>
      </c>
      <c r="C428" s="57" t="s">
        <v>44</v>
      </c>
      <c r="D428" s="57" t="s">
        <v>42</v>
      </c>
      <c r="E428" s="57" t="s">
        <v>25</v>
      </c>
      <c r="F428" s="57" t="s">
        <v>25</v>
      </c>
      <c r="G428" s="57" t="s">
        <v>25</v>
      </c>
      <c r="H428" s="57" t="s">
        <v>38</v>
      </c>
      <c r="I428" s="82">
        <v>44317</v>
      </c>
      <c r="J428" s="83">
        <f ca="1">EFEITO!$J$428*EFEITO!$Y$428</f>
        <v>742770.59122017957</v>
      </c>
      <c r="K428" s="83">
        <f ca="1">EFEITO!$L$428*EFEITO!$Z$428</f>
        <v>950729.5796405006</v>
      </c>
      <c r="L428" s="83">
        <f>EFEITO!$N$428*EFEITO!$AA$428</f>
        <v>1596181.4924370772</v>
      </c>
      <c r="M428" s="83">
        <f ca="1">$J$428-EFEITO!$K$428*EFEITO!$Y$428</f>
        <v>0</v>
      </c>
      <c r="N428" s="83">
        <f ca="1">$K$428-EFEITO!$M$428*EFEITO!$Z$428</f>
        <v>0</v>
      </c>
      <c r="O428" s="83">
        <f>$L$428-EFEITO!$O$428*EFEITO!$AA$428</f>
        <v>0</v>
      </c>
      <c r="P428" s="61"/>
      <c r="Q428" s="61"/>
      <c r="R428" s="61"/>
      <c r="S428" s="61"/>
      <c r="T428" s="61"/>
      <c r="U428" s="61"/>
      <c r="V428" s="61"/>
      <c r="W428" s="61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spans="1:36" ht="11.25" customHeight="1" x14ac:dyDescent="0.2">
      <c r="A429" s="57" t="s">
        <v>27</v>
      </c>
      <c r="B429" s="57" t="s">
        <v>35</v>
      </c>
      <c r="C429" s="57" t="s">
        <v>44</v>
      </c>
      <c r="D429" s="57" t="s">
        <v>42</v>
      </c>
      <c r="E429" s="57" t="s">
        <v>25</v>
      </c>
      <c r="F429" s="57" t="s">
        <v>25</v>
      </c>
      <c r="G429" s="57" t="s">
        <v>25</v>
      </c>
      <c r="H429" s="57" t="s">
        <v>38</v>
      </c>
      <c r="I429" s="82">
        <v>44317</v>
      </c>
      <c r="J429" s="83">
        <f ca="1">EFEITO!$J$429*EFEITO!$Y$429</f>
        <v>41382.111865761872</v>
      </c>
      <c r="K429" s="83">
        <f ca="1">EFEITO!$L$429*EFEITO!$Z$429</f>
        <v>125945.21607176524</v>
      </c>
      <c r="L429" s="83">
        <f>EFEITO!$N$429*EFEITO!$AA$429</f>
        <v>211449.63537450516</v>
      </c>
      <c r="M429" s="83">
        <f ca="1">$J$429-EFEITO!$K$429*EFEITO!$Y$429</f>
        <v>0</v>
      </c>
      <c r="N429" s="83">
        <f ca="1">$K$429-EFEITO!$M$429*EFEITO!$Z$429</f>
        <v>0</v>
      </c>
      <c r="O429" s="83">
        <f>$L$429-EFEITO!$O$429*EFEITO!$AA$429</f>
        <v>0</v>
      </c>
      <c r="P429" s="61"/>
      <c r="Q429" s="61"/>
      <c r="R429" s="61"/>
      <c r="S429" s="61"/>
      <c r="T429" s="61"/>
      <c r="U429" s="61"/>
      <c r="V429" s="61"/>
      <c r="W429" s="61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spans="1:36" ht="11.25" customHeight="1" x14ac:dyDescent="0.2">
      <c r="A430" s="57" t="s">
        <v>28</v>
      </c>
      <c r="B430" s="57" t="s">
        <v>35</v>
      </c>
      <c r="C430" s="57" t="s">
        <v>44</v>
      </c>
      <c r="D430" s="57" t="s">
        <v>42</v>
      </c>
      <c r="E430" s="57" t="s">
        <v>25</v>
      </c>
      <c r="F430" s="57" t="s">
        <v>25</v>
      </c>
      <c r="G430" s="57" t="s">
        <v>25</v>
      </c>
      <c r="H430" s="57" t="s">
        <v>38</v>
      </c>
      <c r="I430" s="82">
        <v>44317</v>
      </c>
      <c r="J430" s="83">
        <f ca="1">EFEITO!$J$430*EFEITO!$Y$430</f>
        <v>43904.632573628529</v>
      </c>
      <c r="K430" s="83">
        <f ca="1">EFEITO!$L$430*EFEITO!$Z$430</f>
        <v>70390.735595383259</v>
      </c>
      <c r="L430" s="83">
        <f>EFEITO!$N$430*EFEITO!$AA$430</f>
        <v>118179.12454019563</v>
      </c>
      <c r="M430" s="83">
        <f ca="1">$J$430-EFEITO!$K$430*EFEITO!$Y$430</f>
        <v>0</v>
      </c>
      <c r="N430" s="83">
        <f ca="1">$K$430-EFEITO!$M$430*EFEITO!$Z$430</f>
        <v>0</v>
      </c>
      <c r="O430" s="83">
        <f>$L$430-EFEITO!$O$430*EFEITO!$AA$430</f>
        <v>0</v>
      </c>
      <c r="P430" s="61"/>
      <c r="Q430" s="61"/>
      <c r="R430" s="61"/>
      <c r="S430" s="61"/>
      <c r="T430" s="61"/>
      <c r="U430" s="61"/>
      <c r="V430" s="61"/>
      <c r="W430" s="61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spans="1:36" ht="11.25" customHeight="1" x14ac:dyDescent="0.2">
      <c r="A431" s="57" t="s">
        <v>30</v>
      </c>
      <c r="B431" s="57" t="s">
        <v>35</v>
      </c>
      <c r="C431" s="57" t="s">
        <v>44</v>
      </c>
      <c r="D431" s="57" t="s">
        <v>42</v>
      </c>
      <c r="E431" s="57" t="s">
        <v>25</v>
      </c>
      <c r="F431" s="57" t="s">
        <v>25</v>
      </c>
      <c r="G431" s="57" t="s">
        <v>25</v>
      </c>
      <c r="H431" s="57" t="s">
        <v>38</v>
      </c>
      <c r="I431" s="82">
        <v>44317</v>
      </c>
      <c r="J431" s="83">
        <f ca="1">EFEITO!$J$431*EFEITO!$Y$431</f>
        <v>53036.796148943264</v>
      </c>
      <c r="K431" s="83">
        <f ca="1">EFEITO!$L$431*EFEITO!$Z$431</f>
        <v>127766.50869717318</v>
      </c>
      <c r="L431" s="83">
        <f>EFEITO!$N$431*EFEITO!$AA$431</f>
        <v>214507.40663064676</v>
      </c>
      <c r="M431" s="83">
        <f ca="1">$J$431-EFEITO!$K$431*EFEITO!$Y$431</f>
        <v>0</v>
      </c>
      <c r="N431" s="83">
        <f ca="1">$K$431-EFEITO!$M$431*EFEITO!$Z$431</f>
        <v>0</v>
      </c>
      <c r="O431" s="83">
        <f>$L$431-EFEITO!$O$431*EFEITO!$AA$431</f>
        <v>0</v>
      </c>
      <c r="P431" s="61"/>
      <c r="Q431" s="61"/>
      <c r="R431" s="61"/>
      <c r="S431" s="61"/>
      <c r="T431" s="61"/>
      <c r="U431" s="61"/>
      <c r="V431" s="61"/>
      <c r="W431" s="61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spans="1:36" ht="11.25" customHeight="1" x14ac:dyDescent="0.2">
      <c r="A432" s="57" t="s">
        <v>21</v>
      </c>
      <c r="B432" s="57" t="s">
        <v>35</v>
      </c>
      <c r="C432" s="57" t="s">
        <v>44</v>
      </c>
      <c r="D432" s="57" t="s">
        <v>42</v>
      </c>
      <c r="E432" s="57" t="s">
        <v>25</v>
      </c>
      <c r="F432" s="57" t="s">
        <v>25</v>
      </c>
      <c r="G432" s="57" t="s">
        <v>25</v>
      </c>
      <c r="H432" s="57" t="s">
        <v>38</v>
      </c>
      <c r="I432" s="82">
        <v>44317</v>
      </c>
      <c r="J432" s="83">
        <f ca="1">EFEITO!$J$432*EFEITO!$Y$432</f>
        <v>181845.00545950144</v>
      </c>
      <c r="K432" s="83">
        <f ca="1">EFEITO!$L$432*EFEITO!$Z$432</f>
        <v>0</v>
      </c>
      <c r="L432" s="83">
        <f>EFEITO!$N$432*EFEITO!$AA$432</f>
        <v>0</v>
      </c>
      <c r="M432" s="83">
        <f ca="1">$J$432-EFEITO!$K$432*EFEITO!$Y$432</f>
        <v>0</v>
      </c>
      <c r="N432" s="83">
        <f ca="1">$K$432-EFEITO!$M$432*EFEITO!$Z$432</f>
        <v>0</v>
      </c>
      <c r="O432" s="83">
        <f>$L$432-EFEITO!$O$432*EFEITO!$AA$432</f>
        <v>0</v>
      </c>
      <c r="P432" s="61"/>
      <c r="Q432" s="61"/>
      <c r="R432" s="61"/>
      <c r="S432" s="61"/>
      <c r="T432" s="61"/>
      <c r="U432" s="61"/>
      <c r="V432" s="61"/>
      <c r="W432" s="61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spans="1:36" ht="11.25" customHeight="1" x14ac:dyDescent="0.2">
      <c r="A433" s="57" t="s">
        <v>21</v>
      </c>
      <c r="B433" s="57" t="s">
        <v>35</v>
      </c>
      <c r="C433" s="57" t="s">
        <v>44</v>
      </c>
      <c r="D433" s="57" t="s">
        <v>42</v>
      </c>
      <c r="E433" s="57" t="s">
        <v>25</v>
      </c>
      <c r="F433" s="57" t="s">
        <v>25</v>
      </c>
      <c r="G433" s="57" t="s">
        <v>25</v>
      </c>
      <c r="H433" s="57" t="s">
        <v>38</v>
      </c>
      <c r="I433" s="82">
        <v>44348</v>
      </c>
      <c r="J433" s="83">
        <f ca="1">EFEITO!$J$433*EFEITO!$Y$433</f>
        <v>639730.4099001073</v>
      </c>
      <c r="K433" s="83">
        <f ca="1">EFEITO!$L$433*EFEITO!$Z$433</f>
        <v>803870.3363253274</v>
      </c>
      <c r="L433" s="83">
        <f>EFEITO!$N$433*EFEITO!$AA$433</f>
        <v>1349619.2615010922</v>
      </c>
      <c r="M433" s="83">
        <f ca="1">$J$433-EFEITO!$K$433*EFEITO!$Y$433</f>
        <v>0</v>
      </c>
      <c r="N433" s="83">
        <f ca="1">$K$433-EFEITO!$M$433*EFEITO!$Z$433</f>
        <v>0</v>
      </c>
      <c r="O433" s="83">
        <f>$L$433-EFEITO!$O$433*EFEITO!$AA$433</f>
        <v>0</v>
      </c>
      <c r="P433" s="61"/>
      <c r="Q433" s="61"/>
      <c r="R433" s="61"/>
      <c r="S433" s="61"/>
      <c r="T433" s="61"/>
      <c r="U433" s="61"/>
      <c r="V433" s="61"/>
      <c r="W433" s="61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spans="1:36" ht="11.25" customHeight="1" x14ac:dyDescent="0.2">
      <c r="A434" s="57" t="s">
        <v>27</v>
      </c>
      <c r="B434" s="57" t="s">
        <v>35</v>
      </c>
      <c r="C434" s="57" t="s">
        <v>44</v>
      </c>
      <c r="D434" s="57" t="s">
        <v>42</v>
      </c>
      <c r="E434" s="57" t="s">
        <v>25</v>
      </c>
      <c r="F434" s="57" t="s">
        <v>25</v>
      </c>
      <c r="G434" s="57" t="s">
        <v>25</v>
      </c>
      <c r="H434" s="57" t="s">
        <v>38</v>
      </c>
      <c r="I434" s="82">
        <v>44348</v>
      </c>
      <c r="J434" s="83">
        <f ca="1">EFEITO!$J$434*EFEITO!$Y$434</f>
        <v>-69097.909010423376</v>
      </c>
      <c r="K434" s="83">
        <f ca="1">EFEITO!$L$434*EFEITO!$Z$434</f>
        <v>-93963.566969406224</v>
      </c>
      <c r="L434" s="83">
        <f>EFEITO!$N$434*EFEITO!$AA$434</f>
        <v>-157755.59083441069</v>
      </c>
      <c r="M434" s="83">
        <f ca="1">$J$434-EFEITO!$K$434*EFEITO!$Y$434</f>
        <v>0</v>
      </c>
      <c r="N434" s="83">
        <f ca="1">$K$434-EFEITO!$M$434*EFEITO!$Z$434</f>
        <v>0</v>
      </c>
      <c r="O434" s="83">
        <f>$L$434-EFEITO!$O$434*EFEITO!$AA$434</f>
        <v>0</v>
      </c>
      <c r="P434" s="61"/>
      <c r="Q434" s="61"/>
      <c r="R434" s="61"/>
      <c r="S434" s="61"/>
      <c r="T434" s="61"/>
      <c r="U434" s="61"/>
      <c r="V434" s="61"/>
      <c r="W434" s="61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spans="1:36" ht="11.25" customHeight="1" x14ac:dyDescent="0.2">
      <c r="A435" s="57" t="s">
        <v>28</v>
      </c>
      <c r="B435" s="57" t="s">
        <v>35</v>
      </c>
      <c r="C435" s="57" t="s">
        <v>44</v>
      </c>
      <c r="D435" s="57" t="s">
        <v>42</v>
      </c>
      <c r="E435" s="57" t="s">
        <v>25</v>
      </c>
      <c r="F435" s="57" t="s">
        <v>25</v>
      </c>
      <c r="G435" s="57" t="s">
        <v>25</v>
      </c>
      <c r="H435" s="57" t="s">
        <v>38</v>
      </c>
      <c r="I435" s="82">
        <v>44348</v>
      </c>
      <c r="J435" s="83">
        <f ca="1">EFEITO!$J$435*EFEITO!$Y$435</f>
        <v>44479.384127319667</v>
      </c>
      <c r="K435" s="83">
        <f ca="1">EFEITO!$L$435*EFEITO!$Z$435</f>
        <v>70375.232364300959</v>
      </c>
      <c r="L435" s="83">
        <f>EFEITO!$N$435*EFEITO!$AA$435</f>
        <v>118153.09613942166</v>
      </c>
      <c r="M435" s="83">
        <f ca="1">$J$435-EFEITO!$K$435*EFEITO!$Y$435</f>
        <v>0</v>
      </c>
      <c r="N435" s="83">
        <f ca="1">$K$435-EFEITO!$M$435*EFEITO!$Z$435</f>
        <v>0</v>
      </c>
      <c r="O435" s="83">
        <f>$L$435-EFEITO!$O$435*EFEITO!$AA$435</f>
        <v>0</v>
      </c>
      <c r="P435" s="61"/>
      <c r="Q435" s="61"/>
      <c r="R435" s="61"/>
      <c r="S435" s="61"/>
      <c r="T435" s="61"/>
      <c r="U435" s="61"/>
      <c r="V435" s="61"/>
      <c r="W435" s="61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spans="1:36" ht="11.25" customHeight="1" x14ac:dyDescent="0.2">
      <c r="A436" s="57" t="s">
        <v>29</v>
      </c>
      <c r="B436" s="57" t="s">
        <v>35</v>
      </c>
      <c r="C436" s="57" t="s">
        <v>44</v>
      </c>
      <c r="D436" s="57" t="s">
        <v>42</v>
      </c>
      <c r="E436" s="57" t="s">
        <v>25</v>
      </c>
      <c r="F436" s="57" t="s">
        <v>25</v>
      </c>
      <c r="G436" s="57" t="s">
        <v>25</v>
      </c>
      <c r="H436" s="57" t="s">
        <v>38</v>
      </c>
      <c r="I436" s="82">
        <v>44348</v>
      </c>
      <c r="J436" s="83">
        <f ca="1">EFEITO!$J$436*EFEITO!$Y$436</f>
        <v>-3224.9948290447137</v>
      </c>
      <c r="K436" s="83">
        <f ca="1">EFEITO!$L$436*EFEITO!$Z$436</f>
        <v>-7613.7715952240433</v>
      </c>
      <c r="L436" s="83">
        <f>EFEITO!$N$436*EFEITO!$AA$436</f>
        <v>-12782.773954014494</v>
      </c>
      <c r="M436" s="83">
        <f ca="1">$J$436-EFEITO!$K$436*EFEITO!$Y$436</f>
        <v>0</v>
      </c>
      <c r="N436" s="83">
        <f ca="1">$K$436-EFEITO!$M$436*EFEITO!$Z$436</f>
        <v>0</v>
      </c>
      <c r="O436" s="83">
        <f>$L$436-EFEITO!$O$436*EFEITO!$AA$436</f>
        <v>0</v>
      </c>
      <c r="P436" s="61"/>
      <c r="Q436" s="61"/>
      <c r="R436" s="61"/>
      <c r="S436" s="61"/>
      <c r="T436" s="61"/>
      <c r="U436" s="61"/>
      <c r="V436" s="61"/>
      <c r="W436" s="61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spans="1:36" ht="11.25" customHeight="1" x14ac:dyDescent="0.2">
      <c r="A437" s="57" t="s">
        <v>30</v>
      </c>
      <c r="B437" s="57" t="s">
        <v>35</v>
      </c>
      <c r="C437" s="57" t="s">
        <v>44</v>
      </c>
      <c r="D437" s="57" t="s">
        <v>42</v>
      </c>
      <c r="E437" s="57" t="s">
        <v>25</v>
      </c>
      <c r="F437" s="57" t="s">
        <v>25</v>
      </c>
      <c r="G437" s="57" t="s">
        <v>25</v>
      </c>
      <c r="H437" s="57" t="s">
        <v>38</v>
      </c>
      <c r="I437" s="82">
        <v>44348</v>
      </c>
      <c r="J437" s="83">
        <f ca="1">EFEITO!$J$437*EFEITO!$Y$437</f>
        <v>71109.539448342359</v>
      </c>
      <c r="K437" s="83">
        <f ca="1">EFEITO!$L$437*EFEITO!$Z$437</f>
        <v>148449.33558139729</v>
      </c>
      <c r="L437" s="83">
        <f>EFEITO!$N$437*EFEITO!$AA$437</f>
        <v>249231.83951971488</v>
      </c>
      <c r="M437" s="83">
        <f ca="1">$J$437-EFEITO!$K$437*EFEITO!$Y$437</f>
        <v>0</v>
      </c>
      <c r="N437" s="83">
        <f ca="1">$K$437-EFEITO!$M$437*EFEITO!$Z$437</f>
        <v>0</v>
      </c>
      <c r="O437" s="83">
        <f>$L$437-EFEITO!$O$437*EFEITO!$AA$437</f>
        <v>0</v>
      </c>
      <c r="P437" s="61"/>
      <c r="Q437" s="61"/>
      <c r="R437" s="61"/>
      <c r="S437" s="61"/>
      <c r="T437" s="61"/>
      <c r="U437" s="61"/>
      <c r="V437" s="61"/>
      <c r="W437" s="61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spans="1:36" ht="11.25" customHeight="1" x14ac:dyDescent="0.2">
      <c r="A438" s="57" t="s">
        <v>21</v>
      </c>
      <c r="B438" s="57" t="s">
        <v>35</v>
      </c>
      <c r="C438" s="57" t="s">
        <v>44</v>
      </c>
      <c r="D438" s="57" t="s">
        <v>42</v>
      </c>
      <c r="E438" s="57" t="s">
        <v>25</v>
      </c>
      <c r="F438" s="57" t="s">
        <v>25</v>
      </c>
      <c r="G438" s="57" t="s">
        <v>25</v>
      </c>
      <c r="H438" s="57" t="s">
        <v>38</v>
      </c>
      <c r="I438" s="82">
        <v>44348</v>
      </c>
      <c r="J438" s="83">
        <f ca="1">EFEITO!$J$438*EFEITO!$Y$438</f>
        <v>189572.22079246005</v>
      </c>
      <c r="K438" s="83">
        <f ca="1">EFEITO!$L$438*EFEITO!$Z$438</f>
        <v>0</v>
      </c>
      <c r="L438" s="83">
        <f>EFEITO!$N$438*EFEITO!$AA$438</f>
        <v>0</v>
      </c>
      <c r="M438" s="83">
        <f ca="1">$J$438-EFEITO!$K$438*EFEITO!$Y$438</f>
        <v>0</v>
      </c>
      <c r="N438" s="83">
        <f ca="1">$K$438-EFEITO!$M$438*EFEITO!$Z$438</f>
        <v>0</v>
      </c>
      <c r="O438" s="83">
        <f>$L$438-EFEITO!$O$438*EFEITO!$AA$438</f>
        <v>0</v>
      </c>
      <c r="P438" s="61"/>
      <c r="Q438" s="61"/>
      <c r="R438" s="61"/>
      <c r="S438" s="61"/>
      <c r="T438" s="61"/>
      <c r="U438" s="61"/>
      <c r="V438" s="61"/>
      <c r="W438" s="61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spans="1:36" ht="11.25" customHeight="1" x14ac:dyDescent="0.2">
      <c r="A439" s="57" t="s">
        <v>21</v>
      </c>
      <c r="B439" s="57" t="s">
        <v>35</v>
      </c>
      <c r="C439" s="57" t="s">
        <v>44</v>
      </c>
      <c r="D439" s="57" t="s">
        <v>42</v>
      </c>
      <c r="E439" s="57" t="s">
        <v>25</v>
      </c>
      <c r="F439" s="57" t="s">
        <v>25</v>
      </c>
      <c r="G439" s="57" t="s">
        <v>25</v>
      </c>
      <c r="H439" s="57" t="s">
        <v>38</v>
      </c>
      <c r="I439" s="82">
        <v>44378</v>
      </c>
      <c r="J439" s="83">
        <f ca="1">EFEITO!$J$439*EFEITO!$Y$439</f>
        <v>614313.61897021043</v>
      </c>
      <c r="K439" s="83">
        <f ca="1">EFEITO!$L$439*EFEITO!$Z$439</f>
        <v>863381.34248194192</v>
      </c>
      <c r="L439" s="83">
        <f>EFEITO!$N$439*EFEITO!$AA$439</f>
        <v>1449532.3899633579</v>
      </c>
      <c r="M439" s="83">
        <f ca="1">$J$439-EFEITO!$K$439*EFEITO!$Y$439</f>
        <v>0</v>
      </c>
      <c r="N439" s="83">
        <f ca="1">$K$439-EFEITO!$M$439*EFEITO!$Z$439</f>
        <v>0</v>
      </c>
      <c r="O439" s="83">
        <f>$L$439-EFEITO!$O$439*EFEITO!$AA$439</f>
        <v>0</v>
      </c>
      <c r="P439" s="61"/>
      <c r="Q439" s="61"/>
      <c r="R439" s="61"/>
      <c r="S439" s="61"/>
      <c r="T439" s="61"/>
      <c r="U439" s="61"/>
      <c r="V439" s="61"/>
      <c r="W439" s="61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spans="1:36" ht="11.25" customHeight="1" x14ac:dyDescent="0.2">
      <c r="A440" s="57" t="s">
        <v>27</v>
      </c>
      <c r="B440" s="57" t="s">
        <v>35</v>
      </c>
      <c r="C440" s="57" t="s">
        <v>44</v>
      </c>
      <c r="D440" s="57" t="s">
        <v>42</v>
      </c>
      <c r="E440" s="57" t="s">
        <v>25</v>
      </c>
      <c r="F440" s="57" t="s">
        <v>25</v>
      </c>
      <c r="G440" s="57" t="s">
        <v>25</v>
      </c>
      <c r="H440" s="57" t="s">
        <v>38</v>
      </c>
      <c r="I440" s="82">
        <v>44378</v>
      </c>
      <c r="J440" s="83">
        <f ca="1">EFEITO!$J$440*EFEITO!$Y$440</f>
        <v>-38316.770246075808</v>
      </c>
      <c r="K440" s="83">
        <f ca="1">EFEITO!$L$440*EFEITO!$Z$440</f>
        <v>0</v>
      </c>
      <c r="L440" s="83">
        <f>EFEITO!$N$440*EFEITO!$AA$440</f>
        <v>0</v>
      </c>
      <c r="M440" s="83">
        <f ca="1">$J$440-EFEITO!$K$440*EFEITO!$Y$440</f>
        <v>0</v>
      </c>
      <c r="N440" s="83">
        <f ca="1">$K$440-EFEITO!$M$440*EFEITO!$Z$440</f>
        <v>0</v>
      </c>
      <c r="O440" s="83">
        <f>$L$440-EFEITO!$O$440*EFEITO!$AA$440</f>
        <v>0</v>
      </c>
      <c r="P440" s="61"/>
      <c r="Q440" s="61"/>
      <c r="R440" s="61"/>
      <c r="S440" s="61"/>
      <c r="T440" s="61"/>
      <c r="U440" s="61"/>
      <c r="V440" s="61"/>
      <c r="W440" s="61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spans="1:36" ht="11.25" customHeight="1" x14ac:dyDescent="0.2">
      <c r="A441" s="57" t="s">
        <v>28</v>
      </c>
      <c r="B441" s="57" t="s">
        <v>35</v>
      </c>
      <c r="C441" s="57" t="s">
        <v>44</v>
      </c>
      <c r="D441" s="57" t="s">
        <v>42</v>
      </c>
      <c r="E441" s="57" t="s">
        <v>25</v>
      </c>
      <c r="F441" s="57" t="s">
        <v>25</v>
      </c>
      <c r="G441" s="57" t="s">
        <v>25</v>
      </c>
      <c r="H441" s="57" t="s">
        <v>38</v>
      </c>
      <c r="I441" s="82">
        <v>44378</v>
      </c>
      <c r="J441" s="83">
        <f ca="1">EFEITO!$J$441*EFEITO!$Y$441</f>
        <v>35985.833389439533</v>
      </c>
      <c r="K441" s="83">
        <f ca="1">EFEITO!$L$441*EFEITO!$Z$441</f>
        <v>72959.385066987001</v>
      </c>
      <c r="L441" s="83">
        <f>EFEITO!$N$441*EFEITO!$AA$441</f>
        <v>122491.63446408219</v>
      </c>
      <c r="M441" s="83">
        <f ca="1">$J$441-EFEITO!$K$441*EFEITO!$Y$441</f>
        <v>0</v>
      </c>
      <c r="N441" s="83">
        <f ca="1">$K$441-EFEITO!$M$441*EFEITO!$Z$441</f>
        <v>0</v>
      </c>
      <c r="O441" s="83">
        <f>$L$441-EFEITO!$O$441*EFEITO!$AA$441</f>
        <v>0</v>
      </c>
      <c r="P441" s="61"/>
      <c r="Q441" s="61"/>
      <c r="R441" s="61"/>
      <c r="S441" s="61"/>
      <c r="T441" s="61"/>
      <c r="U441" s="61"/>
      <c r="V441" s="61"/>
      <c r="W441" s="61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spans="1:36" ht="11.25" customHeight="1" x14ac:dyDescent="0.2">
      <c r="A442" s="57" t="s">
        <v>30</v>
      </c>
      <c r="B442" s="57" t="s">
        <v>35</v>
      </c>
      <c r="C442" s="57" t="s">
        <v>44</v>
      </c>
      <c r="D442" s="57" t="s">
        <v>42</v>
      </c>
      <c r="E442" s="57" t="s">
        <v>25</v>
      </c>
      <c r="F442" s="57" t="s">
        <v>25</v>
      </c>
      <c r="G442" s="57" t="s">
        <v>25</v>
      </c>
      <c r="H442" s="57" t="s">
        <v>38</v>
      </c>
      <c r="I442" s="82">
        <v>44378</v>
      </c>
      <c r="J442" s="83">
        <f ca="1">EFEITO!$J$442*EFEITO!$Y$442</f>
        <v>81071.899712322062</v>
      </c>
      <c r="K442" s="83">
        <f ca="1">EFEITO!$L$442*EFEITO!$Z$442</f>
        <v>166532.16950509039</v>
      </c>
      <c r="L442" s="83">
        <f>EFEITO!$N$442*EFEITO!$AA$442</f>
        <v>279591.13984854909</v>
      </c>
      <c r="M442" s="83">
        <f ca="1">$J$442-EFEITO!$K$442*EFEITO!$Y$442</f>
        <v>0</v>
      </c>
      <c r="N442" s="83">
        <f ca="1">$K$442-EFEITO!$M$442*EFEITO!$Z$442</f>
        <v>0</v>
      </c>
      <c r="O442" s="83">
        <f>$L$442-EFEITO!$O$442*EFEITO!$AA$442</f>
        <v>0</v>
      </c>
      <c r="P442" s="61"/>
      <c r="Q442" s="61"/>
      <c r="R442" s="61"/>
      <c r="S442" s="61"/>
      <c r="T442" s="61"/>
      <c r="U442" s="61"/>
      <c r="V442" s="61"/>
      <c r="W442" s="61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spans="1:36" ht="11.25" customHeight="1" x14ac:dyDescent="0.2">
      <c r="A443" s="57" t="s">
        <v>21</v>
      </c>
      <c r="B443" s="57" t="s">
        <v>35</v>
      </c>
      <c r="C443" s="57" t="s">
        <v>44</v>
      </c>
      <c r="D443" s="57" t="s">
        <v>42</v>
      </c>
      <c r="E443" s="57" t="s">
        <v>25</v>
      </c>
      <c r="F443" s="57" t="s">
        <v>25</v>
      </c>
      <c r="G443" s="57" t="s">
        <v>25</v>
      </c>
      <c r="H443" s="57" t="s">
        <v>38</v>
      </c>
      <c r="I443" s="82">
        <v>44378</v>
      </c>
      <c r="J443" s="83">
        <f ca="1">EFEITO!$J$443*EFEITO!$Y$443</f>
        <v>191168.75288604654</v>
      </c>
      <c r="K443" s="83">
        <f ca="1">EFEITO!$L$443*EFEITO!$Z$443</f>
        <v>0</v>
      </c>
      <c r="L443" s="83">
        <f>EFEITO!$N$443*EFEITO!$AA$443</f>
        <v>0</v>
      </c>
      <c r="M443" s="83">
        <f ca="1">$J$443-EFEITO!$K$443*EFEITO!$Y$443</f>
        <v>0</v>
      </c>
      <c r="N443" s="83">
        <f ca="1">$K$443-EFEITO!$M$443*EFEITO!$Z$443</f>
        <v>0</v>
      </c>
      <c r="O443" s="83">
        <f>$L$443-EFEITO!$O$443*EFEITO!$AA$443</f>
        <v>0</v>
      </c>
      <c r="P443" s="61"/>
      <c r="Q443" s="61"/>
      <c r="R443" s="61"/>
      <c r="S443" s="61"/>
      <c r="T443" s="61"/>
      <c r="U443" s="61"/>
      <c r="V443" s="61"/>
      <c r="W443" s="61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spans="1:36" ht="11.25" customHeight="1" x14ac:dyDescent="0.2">
      <c r="A444" s="57" t="s">
        <v>21</v>
      </c>
      <c r="B444" s="57" t="s">
        <v>35</v>
      </c>
      <c r="C444" s="57" t="s">
        <v>44</v>
      </c>
      <c r="D444" s="57" t="s">
        <v>42</v>
      </c>
      <c r="E444" s="57" t="s">
        <v>25</v>
      </c>
      <c r="F444" s="57" t="s">
        <v>25</v>
      </c>
      <c r="G444" s="57" t="s">
        <v>25</v>
      </c>
      <c r="H444" s="57" t="s">
        <v>38</v>
      </c>
      <c r="I444" s="82">
        <v>44409</v>
      </c>
      <c r="J444" s="83">
        <f ca="1">EFEITO!$J$444*EFEITO!$Y$444</f>
        <v>654801.67286356387</v>
      </c>
      <c r="K444" s="83">
        <f ca="1">EFEITO!$L$444*EFEITO!$Z$444</f>
        <v>967613.27234265383</v>
      </c>
      <c r="L444" s="83">
        <f>EFEITO!$N$444*EFEITO!$AA$444</f>
        <v>1624527.5525495252</v>
      </c>
      <c r="M444" s="83">
        <f ca="1">$J$444-EFEITO!$K$444*EFEITO!$Y$444</f>
        <v>0</v>
      </c>
      <c r="N444" s="83">
        <f ca="1">$K$444-EFEITO!$M$444*EFEITO!$Z$444</f>
        <v>0</v>
      </c>
      <c r="O444" s="83">
        <f>$L$444-EFEITO!$O$444*EFEITO!$AA$444</f>
        <v>0</v>
      </c>
      <c r="P444" s="61"/>
      <c r="Q444" s="61"/>
      <c r="R444" s="61"/>
      <c r="S444" s="61"/>
      <c r="T444" s="61"/>
      <c r="U444" s="61"/>
      <c r="V444" s="61"/>
      <c r="W444" s="61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spans="1:36" ht="11.25" customHeight="1" x14ac:dyDescent="0.2">
      <c r="A445" s="57" t="s">
        <v>27</v>
      </c>
      <c r="B445" s="57" t="s">
        <v>35</v>
      </c>
      <c r="C445" s="57" t="s">
        <v>44</v>
      </c>
      <c r="D445" s="57" t="s">
        <v>42</v>
      </c>
      <c r="E445" s="57" t="s">
        <v>25</v>
      </c>
      <c r="F445" s="57" t="s">
        <v>25</v>
      </c>
      <c r="G445" s="57" t="s">
        <v>25</v>
      </c>
      <c r="H445" s="57" t="s">
        <v>38</v>
      </c>
      <c r="I445" s="82">
        <v>44409</v>
      </c>
      <c r="J445" s="83">
        <f ca="1">EFEITO!$J$445*EFEITO!$Y$445</f>
        <v>-15965.32093586492</v>
      </c>
      <c r="K445" s="83">
        <f ca="1">EFEITO!$L$445*EFEITO!$Z$445</f>
        <v>0</v>
      </c>
      <c r="L445" s="83">
        <f>EFEITO!$N$445*EFEITO!$AA$445</f>
        <v>0</v>
      </c>
      <c r="M445" s="83">
        <f ca="1">$J$445-EFEITO!$K$445*EFEITO!$Y$445</f>
        <v>0</v>
      </c>
      <c r="N445" s="83">
        <f ca="1">$K$445-EFEITO!$M$445*EFEITO!$Z$445</f>
        <v>0</v>
      </c>
      <c r="O445" s="83">
        <f>$L$445-EFEITO!$O$445*EFEITO!$AA$445</f>
        <v>0</v>
      </c>
      <c r="P445" s="61"/>
      <c r="Q445" s="61"/>
      <c r="R445" s="61"/>
      <c r="S445" s="61"/>
      <c r="T445" s="61"/>
      <c r="U445" s="61"/>
      <c r="V445" s="61"/>
      <c r="W445" s="61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spans="1:36" ht="11.25" customHeight="1" x14ac:dyDescent="0.2">
      <c r="A446" s="57" t="s">
        <v>28</v>
      </c>
      <c r="B446" s="57" t="s">
        <v>35</v>
      </c>
      <c r="C446" s="57" t="s">
        <v>44</v>
      </c>
      <c r="D446" s="57" t="s">
        <v>42</v>
      </c>
      <c r="E446" s="57" t="s">
        <v>25</v>
      </c>
      <c r="F446" s="57" t="s">
        <v>25</v>
      </c>
      <c r="G446" s="57" t="s">
        <v>25</v>
      </c>
      <c r="H446" s="57" t="s">
        <v>38</v>
      </c>
      <c r="I446" s="82">
        <v>44409</v>
      </c>
      <c r="J446" s="83">
        <f ca="1">EFEITO!$J$446*EFEITO!$Y$446</f>
        <v>41126.666730788034</v>
      </c>
      <c r="K446" s="83">
        <f ca="1">EFEITO!$L$446*EFEITO!$Z$446</f>
        <v>76656.400139972262</v>
      </c>
      <c r="L446" s="83">
        <f>EFEITO!$N$446*EFEITO!$AA$446</f>
        <v>128698.55929647395</v>
      </c>
      <c r="M446" s="83">
        <f ca="1">$J$446-EFEITO!$K$446*EFEITO!$Y$446</f>
        <v>0</v>
      </c>
      <c r="N446" s="83">
        <f ca="1">$K$446-EFEITO!$M$446*EFEITO!$Z$446</f>
        <v>0</v>
      </c>
      <c r="O446" s="83">
        <f>$L$446-EFEITO!$O$446*EFEITO!$AA$446</f>
        <v>0</v>
      </c>
      <c r="P446" s="61"/>
      <c r="Q446" s="61"/>
      <c r="R446" s="61"/>
      <c r="S446" s="61"/>
      <c r="T446" s="61"/>
      <c r="U446" s="61"/>
      <c r="V446" s="61"/>
      <c r="W446" s="61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spans="1:36" ht="11.25" customHeight="1" x14ac:dyDescent="0.2">
      <c r="A447" s="57" t="s">
        <v>30</v>
      </c>
      <c r="B447" s="57" t="s">
        <v>35</v>
      </c>
      <c r="C447" s="57" t="s">
        <v>44</v>
      </c>
      <c r="D447" s="57" t="s">
        <v>42</v>
      </c>
      <c r="E447" s="57" t="s">
        <v>25</v>
      </c>
      <c r="F447" s="57" t="s">
        <v>25</v>
      </c>
      <c r="G447" s="57" t="s">
        <v>25</v>
      </c>
      <c r="H447" s="57" t="s">
        <v>38</v>
      </c>
      <c r="I447" s="82">
        <v>44409</v>
      </c>
      <c r="J447" s="83">
        <f ca="1">EFEITO!$J$447*EFEITO!$Y$447</f>
        <v>70694.441104009864</v>
      </c>
      <c r="K447" s="83">
        <f ca="1">EFEITO!$L$447*EFEITO!$Z$447</f>
        <v>165527.66123898595</v>
      </c>
      <c r="L447" s="83">
        <f>EFEITO!$N$447*EFEITO!$AA$447</f>
        <v>277904.66922883596</v>
      </c>
      <c r="M447" s="83">
        <f ca="1">$J$447-EFEITO!$K$447*EFEITO!$Y$447</f>
        <v>0</v>
      </c>
      <c r="N447" s="83">
        <f ca="1">$K$447-EFEITO!$M$447*EFEITO!$Z$447</f>
        <v>0</v>
      </c>
      <c r="O447" s="83">
        <f>$L$447-EFEITO!$O$447*EFEITO!$AA$447</f>
        <v>0</v>
      </c>
      <c r="P447" s="61"/>
      <c r="Q447" s="61"/>
      <c r="R447" s="61"/>
      <c r="S447" s="61"/>
      <c r="T447" s="61"/>
      <c r="U447" s="61"/>
      <c r="V447" s="61"/>
      <c r="W447" s="61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spans="1:36" ht="11.25" customHeight="1" x14ac:dyDescent="0.2">
      <c r="A448" s="57" t="s">
        <v>30</v>
      </c>
      <c r="B448" s="57" t="s">
        <v>35</v>
      </c>
      <c r="C448" s="57" t="s">
        <v>44</v>
      </c>
      <c r="D448" s="57" t="s">
        <v>42</v>
      </c>
      <c r="E448" s="57" t="s">
        <v>25</v>
      </c>
      <c r="F448" s="57" t="s">
        <v>25</v>
      </c>
      <c r="G448" s="57" t="s">
        <v>25</v>
      </c>
      <c r="H448" s="57" t="s">
        <v>38</v>
      </c>
      <c r="I448" s="82">
        <v>44409</v>
      </c>
      <c r="J448" s="83">
        <f ca="1">EFEITO!$J$448*EFEITO!$Y$448</f>
        <v>-11175.724655105443</v>
      </c>
      <c r="K448" s="83">
        <f ca="1">EFEITO!$L$448*EFEITO!$Z$448</f>
        <v>0</v>
      </c>
      <c r="L448" s="83">
        <f>EFEITO!$N$448*EFEITO!$AA$448</f>
        <v>0</v>
      </c>
      <c r="M448" s="83">
        <f ca="1">$J$448-EFEITO!$K$448*EFEITO!$Y$448</f>
        <v>0</v>
      </c>
      <c r="N448" s="83">
        <f ca="1">$K$448-EFEITO!$M$448*EFEITO!$Z$448</f>
        <v>0</v>
      </c>
      <c r="O448" s="83">
        <f>$L$448-EFEITO!$O$448*EFEITO!$AA$448</f>
        <v>0</v>
      </c>
      <c r="P448" s="61"/>
      <c r="Q448" s="61"/>
      <c r="R448" s="61"/>
      <c r="S448" s="61"/>
      <c r="T448" s="61"/>
      <c r="U448" s="61"/>
      <c r="V448" s="61"/>
      <c r="W448" s="61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spans="1:36" ht="11.25" customHeight="1" x14ac:dyDescent="0.2">
      <c r="A449" s="57" t="s">
        <v>21</v>
      </c>
      <c r="B449" s="57" t="s">
        <v>35</v>
      </c>
      <c r="C449" s="57" t="s">
        <v>44</v>
      </c>
      <c r="D449" s="57" t="s">
        <v>42</v>
      </c>
      <c r="E449" s="57" t="s">
        <v>25</v>
      </c>
      <c r="F449" s="57" t="s">
        <v>25</v>
      </c>
      <c r="G449" s="57" t="s">
        <v>25</v>
      </c>
      <c r="H449" s="57" t="s">
        <v>38</v>
      </c>
      <c r="I449" s="82">
        <v>44409</v>
      </c>
      <c r="J449" s="83">
        <f ca="1">EFEITO!$J$449*EFEITO!$Y$449</f>
        <v>189252.91437374277</v>
      </c>
      <c r="K449" s="83">
        <f ca="1">EFEITO!$L$449*EFEITO!$Z$449</f>
        <v>0</v>
      </c>
      <c r="L449" s="83">
        <f>EFEITO!$N$449*EFEITO!$AA$449</f>
        <v>0</v>
      </c>
      <c r="M449" s="83">
        <f ca="1">$J$449-EFEITO!$K$449*EFEITO!$Y$449</f>
        <v>0</v>
      </c>
      <c r="N449" s="83">
        <f ca="1">$K$449-EFEITO!$M$449*EFEITO!$Z$449</f>
        <v>0</v>
      </c>
      <c r="O449" s="83">
        <f>$L$449-EFEITO!$O$449*EFEITO!$AA$449</f>
        <v>0</v>
      </c>
      <c r="P449" s="61"/>
      <c r="Q449" s="61"/>
      <c r="R449" s="61"/>
      <c r="S449" s="61"/>
      <c r="T449" s="61"/>
      <c r="U449" s="61"/>
      <c r="V449" s="61"/>
      <c r="W449" s="61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spans="1:36" ht="11.25" customHeight="1" x14ac:dyDescent="0.2">
      <c r="A450" s="57" t="s">
        <v>21</v>
      </c>
      <c r="B450" s="57" t="s">
        <v>35</v>
      </c>
      <c r="C450" s="57" t="s">
        <v>44</v>
      </c>
      <c r="D450" s="57" t="s">
        <v>42</v>
      </c>
      <c r="E450" s="57" t="s">
        <v>25</v>
      </c>
      <c r="F450" s="57" t="s">
        <v>25</v>
      </c>
      <c r="G450" s="57" t="s">
        <v>25</v>
      </c>
      <c r="H450" s="57" t="s">
        <v>38</v>
      </c>
      <c r="I450" s="82">
        <v>44440</v>
      </c>
      <c r="J450" s="83">
        <f ca="1">EFEITO!$J$450*EFEITO!$Y$450</f>
        <v>615048.02373326023</v>
      </c>
      <c r="K450" s="83">
        <f ca="1">EFEITO!$L$450*EFEITO!$Z$450</f>
        <v>901024.70417020551</v>
      </c>
      <c r="L450" s="83">
        <f>EFEITO!$N$450*EFEITO!$AA$450</f>
        <v>1512731.8932991449</v>
      </c>
      <c r="M450" s="83">
        <f ca="1">$J$450-EFEITO!$K$450*EFEITO!$Y$450</f>
        <v>0</v>
      </c>
      <c r="N450" s="83">
        <f ca="1">$K$450-EFEITO!$M$450*EFEITO!$Z$450</f>
        <v>0</v>
      </c>
      <c r="O450" s="83">
        <f>$L$450-EFEITO!$O$450*EFEITO!$AA$450</f>
        <v>0</v>
      </c>
      <c r="P450" s="61"/>
      <c r="Q450" s="61"/>
      <c r="R450" s="61"/>
      <c r="S450" s="61"/>
      <c r="T450" s="61"/>
      <c r="U450" s="61"/>
      <c r="V450" s="61"/>
      <c r="W450" s="61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spans="1:36" ht="11.25" customHeight="1" x14ac:dyDescent="0.2">
      <c r="A451" s="57" t="s">
        <v>28</v>
      </c>
      <c r="B451" s="57" t="s">
        <v>35</v>
      </c>
      <c r="C451" s="57" t="s">
        <v>44</v>
      </c>
      <c r="D451" s="57" t="s">
        <v>42</v>
      </c>
      <c r="E451" s="57" t="s">
        <v>25</v>
      </c>
      <c r="F451" s="57" t="s">
        <v>25</v>
      </c>
      <c r="G451" s="57" t="s">
        <v>25</v>
      </c>
      <c r="H451" s="57" t="s">
        <v>38</v>
      </c>
      <c r="I451" s="82">
        <v>44440</v>
      </c>
      <c r="J451" s="83">
        <f ca="1">EFEITO!$J$451*EFEITO!$Y$451</f>
        <v>41637.557000735709</v>
      </c>
      <c r="K451" s="83">
        <f ca="1">EFEITO!$L$451*EFEITO!$Z$451</f>
        <v>71704.802942989758</v>
      </c>
      <c r="L451" s="83">
        <f>EFEITO!$N$451*EFEITO!$AA$451</f>
        <v>120385.31442318896</v>
      </c>
      <c r="M451" s="83">
        <f ca="1">$J$451-EFEITO!$K$451*EFEITO!$Y$451</f>
        <v>0</v>
      </c>
      <c r="N451" s="83">
        <f ca="1">$K$451-EFEITO!$M$451*EFEITO!$Z$451</f>
        <v>0</v>
      </c>
      <c r="O451" s="83">
        <f>$L$451-EFEITO!$O$451*EFEITO!$AA$451</f>
        <v>0</v>
      </c>
      <c r="P451" s="61"/>
      <c r="Q451" s="61"/>
      <c r="R451" s="61"/>
      <c r="S451" s="61"/>
      <c r="T451" s="61"/>
      <c r="U451" s="61"/>
      <c r="V451" s="61"/>
      <c r="W451" s="61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spans="1:36" ht="11.25" customHeight="1" x14ac:dyDescent="0.2">
      <c r="A452" s="57" t="s">
        <v>30</v>
      </c>
      <c r="B452" s="57" t="s">
        <v>35</v>
      </c>
      <c r="C452" s="57" t="s">
        <v>44</v>
      </c>
      <c r="D452" s="57" t="s">
        <v>42</v>
      </c>
      <c r="E452" s="57" t="s">
        <v>25</v>
      </c>
      <c r="F452" s="57" t="s">
        <v>25</v>
      </c>
      <c r="G452" s="57" t="s">
        <v>25</v>
      </c>
      <c r="H452" s="57" t="s">
        <v>38</v>
      </c>
      <c r="I452" s="82">
        <v>44440</v>
      </c>
      <c r="J452" s="83">
        <f ca="1">EFEITO!$J$452*EFEITO!$Y$452</f>
        <v>70502.857252779489</v>
      </c>
      <c r="K452" s="83">
        <f ca="1">EFEITO!$L$452*EFEITO!$Z$452</f>
        <v>155348.94746654743</v>
      </c>
      <c r="L452" s="83">
        <f>EFEITO!$N$452*EFEITO!$AA$452</f>
        <v>260815.60953372865</v>
      </c>
      <c r="M452" s="83">
        <f ca="1">$J$452-EFEITO!$K$452*EFEITO!$Y$452</f>
        <v>0</v>
      </c>
      <c r="N452" s="83">
        <f ca="1">$K$452-EFEITO!$M$452*EFEITO!$Z$452</f>
        <v>0</v>
      </c>
      <c r="O452" s="83">
        <f>$L$452-EFEITO!$O$452*EFEITO!$AA$452</f>
        <v>0</v>
      </c>
      <c r="P452" s="61"/>
      <c r="Q452" s="61"/>
      <c r="R452" s="61"/>
      <c r="S452" s="61"/>
      <c r="T452" s="61"/>
      <c r="U452" s="61"/>
      <c r="V452" s="61"/>
      <c r="W452" s="61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spans="1:36" ht="11.25" customHeight="1" x14ac:dyDescent="0.2">
      <c r="A453" s="57" t="s">
        <v>21</v>
      </c>
      <c r="B453" s="57" t="s">
        <v>35</v>
      </c>
      <c r="C453" s="57" t="s">
        <v>44</v>
      </c>
      <c r="D453" s="57" t="s">
        <v>42</v>
      </c>
      <c r="E453" s="57" t="s">
        <v>25</v>
      </c>
      <c r="F453" s="57" t="s">
        <v>25</v>
      </c>
      <c r="G453" s="57" t="s">
        <v>25</v>
      </c>
      <c r="H453" s="57" t="s">
        <v>38</v>
      </c>
      <c r="I453" s="82">
        <v>44440</v>
      </c>
      <c r="J453" s="83">
        <f ca="1">EFEITO!$J$453*EFEITO!$Y$453</f>
        <v>185708.61312598074</v>
      </c>
      <c r="K453" s="83">
        <f ca="1">EFEITO!$L$453*EFEITO!$Z$453</f>
        <v>0</v>
      </c>
      <c r="L453" s="83">
        <f>EFEITO!$N$453*EFEITO!$AA$453</f>
        <v>0</v>
      </c>
      <c r="M453" s="83">
        <f ca="1">$J$453-EFEITO!$K$453*EFEITO!$Y$453</f>
        <v>0</v>
      </c>
      <c r="N453" s="83">
        <f ca="1">$K$453-EFEITO!$M$453*EFEITO!$Z$453</f>
        <v>0</v>
      </c>
      <c r="O453" s="83">
        <f>$L$453-EFEITO!$O$453*EFEITO!$AA$453</f>
        <v>0</v>
      </c>
      <c r="P453" s="61"/>
      <c r="Q453" s="61"/>
      <c r="R453" s="61"/>
      <c r="S453" s="61"/>
      <c r="T453" s="61"/>
      <c r="U453" s="61"/>
      <c r="V453" s="61"/>
      <c r="W453" s="61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spans="1:36" ht="11.25" customHeight="1" x14ac:dyDescent="0.2">
      <c r="A454" s="57" t="s">
        <v>59</v>
      </c>
      <c r="B454" s="57" t="s">
        <v>35</v>
      </c>
      <c r="C454" s="57" t="s">
        <v>44</v>
      </c>
      <c r="D454" s="57" t="s">
        <v>42</v>
      </c>
      <c r="E454" s="57" t="s">
        <v>25</v>
      </c>
      <c r="F454" s="57" t="s">
        <v>25</v>
      </c>
      <c r="G454" s="57" t="s">
        <v>25</v>
      </c>
      <c r="H454" s="57" t="s">
        <v>38</v>
      </c>
      <c r="I454" s="82">
        <v>44470</v>
      </c>
      <c r="J454" s="83">
        <f ca="1">EFEITO!$J$454*EFEITO!$Y$454</f>
        <v>615048.02373326023</v>
      </c>
      <c r="K454" s="83">
        <f ca="1">EFEITO!$L$454*EFEITO!$Z$454</f>
        <v>901024.70417020551</v>
      </c>
      <c r="L454" s="83">
        <f>EFEITO!$N$454*EFEITO!$AA$454</f>
        <v>1512731.8932991449</v>
      </c>
      <c r="M454" s="83">
        <f ca="1">$J$454-EFEITO!$K$454*EFEITO!$Y$454</f>
        <v>0</v>
      </c>
      <c r="N454" s="83">
        <f ca="1">$K$454-EFEITO!$M$454*EFEITO!$Z$454</f>
        <v>0</v>
      </c>
      <c r="O454" s="83">
        <f>$L$454-EFEITO!$O$454*EFEITO!$AA$454</f>
        <v>0</v>
      </c>
      <c r="P454" s="61"/>
      <c r="Q454" s="61"/>
      <c r="R454" s="61"/>
      <c r="S454" s="61"/>
      <c r="T454" s="61"/>
      <c r="U454" s="61"/>
      <c r="V454" s="61"/>
      <c r="W454" s="61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spans="1:36" ht="11.25" customHeight="1" x14ac:dyDescent="0.2">
      <c r="A455" s="57" t="s">
        <v>59</v>
      </c>
      <c r="B455" s="57" t="s">
        <v>35</v>
      </c>
      <c r="C455" s="57" t="s">
        <v>44</v>
      </c>
      <c r="D455" s="57" t="s">
        <v>42</v>
      </c>
      <c r="E455" s="57" t="s">
        <v>25</v>
      </c>
      <c r="F455" s="57" t="s">
        <v>25</v>
      </c>
      <c r="G455" s="57" t="s">
        <v>25</v>
      </c>
      <c r="H455" s="57" t="s">
        <v>38</v>
      </c>
      <c r="I455" s="82">
        <v>44470</v>
      </c>
      <c r="J455" s="83">
        <f ca="1">EFEITO!$J$455*EFEITO!$Y$455</f>
        <v>41637.557000735709</v>
      </c>
      <c r="K455" s="83">
        <f ca="1">EFEITO!$L$455*EFEITO!$Z$455</f>
        <v>71704.802942989758</v>
      </c>
      <c r="L455" s="83">
        <f>EFEITO!$N$455*EFEITO!$AA$455</f>
        <v>120385.31442318896</v>
      </c>
      <c r="M455" s="83">
        <f ca="1">$J$455-EFEITO!$K$455*EFEITO!$Y$455</f>
        <v>0</v>
      </c>
      <c r="N455" s="83">
        <f ca="1">$K$455-EFEITO!$M$455*EFEITO!$Z$455</f>
        <v>0</v>
      </c>
      <c r="O455" s="83">
        <f>$L$455-EFEITO!$O$455*EFEITO!$AA$455</f>
        <v>0</v>
      </c>
      <c r="P455" s="61"/>
      <c r="Q455" s="61"/>
      <c r="R455" s="61"/>
      <c r="S455" s="61"/>
      <c r="T455" s="61"/>
      <c r="U455" s="61"/>
      <c r="V455" s="61"/>
      <c r="W455" s="61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spans="1:36" ht="11.25" customHeight="1" x14ac:dyDescent="0.2">
      <c r="A456" s="57" t="s">
        <v>59</v>
      </c>
      <c r="B456" s="57" t="s">
        <v>35</v>
      </c>
      <c r="C456" s="57" t="s">
        <v>44</v>
      </c>
      <c r="D456" s="57" t="s">
        <v>42</v>
      </c>
      <c r="E456" s="57" t="s">
        <v>25</v>
      </c>
      <c r="F456" s="57" t="s">
        <v>25</v>
      </c>
      <c r="G456" s="57" t="s">
        <v>25</v>
      </c>
      <c r="H456" s="57" t="s">
        <v>38</v>
      </c>
      <c r="I456" s="82">
        <v>44470</v>
      </c>
      <c r="J456" s="83">
        <f ca="1">EFEITO!$J$456*EFEITO!$Y$456</f>
        <v>70502.857252779489</v>
      </c>
      <c r="K456" s="83">
        <f ca="1">EFEITO!$L$456*EFEITO!$Z$456</f>
        <v>155348.94746654743</v>
      </c>
      <c r="L456" s="83">
        <f>EFEITO!$N$456*EFEITO!$AA$456</f>
        <v>260815.60953372865</v>
      </c>
      <c r="M456" s="83">
        <f ca="1">$J$456-EFEITO!$K$456*EFEITO!$Y$456</f>
        <v>0</v>
      </c>
      <c r="N456" s="83">
        <f ca="1">$K$456-EFEITO!$M$456*EFEITO!$Z$456</f>
        <v>0</v>
      </c>
      <c r="O456" s="83">
        <f>$L$456-EFEITO!$O$456*EFEITO!$AA$456</f>
        <v>0</v>
      </c>
      <c r="P456" s="61"/>
      <c r="Q456" s="61"/>
      <c r="R456" s="61"/>
      <c r="S456" s="61"/>
      <c r="T456" s="61"/>
      <c r="U456" s="61"/>
      <c r="V456" s="61"/>
      <c r="W456" s="61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spans="1:36" ht="11.25" customHeight="1" x14ac:dyDescent="0.2">
      <c r="A457" s="57" t="s">
        <v>59</v>
      </c>
      <c r="B457" s="57" t="s">
        <v>35</v>
      </c>
      <c r="C457" s="57" t="s">
        <v>44</v>
      </c>
      <c r="D457" s="57" t="s">
        <v>42</v>
      </c>
      <c r="E457" s="57" t="s">
        <v>25</v>
      </c>
      <c r="F457" s="57" t="s">
        <v>25</v>
      </c>
      <c r="G457" s="57" t="s">
        <v>25</v>
      </c>
      <c r="H457" s="57" t="s">
        <v>38</v>
      </c>
      <c r="I457" s="82">
        <v>44470</v>
      </c>
      <c r="J457" s="83">
        <f ca="1">EFEITO!$J$457*EFEITO!$Y$457</f>
        <v>185708.61312598074</v>
      </c>
      <c r="K457" s="83">
        <f ca="1">EFEITO!$L$457*EFEITO!$Z$457</f>
        <v>0</v>
      </c>
      <c r="L457" s="83">
        <f>EFEITO!$N$457*EFEITO!$AA$457</f>
        <v>0</v>
      </c>
      <c r="M457" s="83">
        <f ca="1">$J$457-EFEITO!$K$457*EFEITO!$Y$457</f>
        <v>0</v>
      </c>
      <c r="N457" s="83">
        <f ca="1">$K$457-EFEITO!$M$457*EFEITO!$Z$457</f>
        <v>0</v>
      </c>
      <c r="O457" s="83">
        <f>$L$457-EFEITO!$O$457*EFEITO!$AA$457</f>
        <v>0</v>
      </c>
      <c r="P457" s="61"/>
      <c r="Q457" s="61"/>
      <c r="R457" s="61"/>
      <c r="S457" s="61"/>
      <c r="T457" s="61"/>
      <c r="U457" s="61"/>
      <c r="V457" s="61"/>
      <c r="W457" s="61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spans="1:36" ht="11.25" customHeight="1" x14ac:dyDescent="0.2">
      <c r="A458" s="57" t="s">
        <v>21</v>
      </c>
      <c r="B458" s="57" t="s">
        <v>35</v>
      </c>
      <c r="C458" s="57" t="s">
        <v>44</v>
      </c>
      <c r="D458" s="57" t="s">
        <v>42</v>
      </c>
      <c r="E458" s="57" t="s">
        <v>25</v>
      </c>
      <c r="F458" s="57" t="s">
        <v>25</v>
      </c>
      <c r="G458" s="57" t="s">
        <v>25</v>
      </c>
      <c r="H458" s="57" t="s">
        <v>25</v>
      </c>
      <c r="I458" s="82">
        <v>44136</v>
      </c>
      <c r="J458" s="83">
        <f>EFEITO!$J$458*EFEITO!$Y$458</f>
        <v>0</v>
      </c>
      <c r="K458" s="83">
        <f ca="1">EFEITO!$L$458*EFEITO!$Z$458</f>
        <v>659550.92669355054</v>
      </c>
      <c r="L458" s="83">
        <f>EFEITO!$N$458*EFEITO!$AA$458</f>
        <v>0</v>
      </c>
      <c r="M458" s="83">
        <f>$J$458-EFEITO!$K$458*EFEITO!$Y$458</f>
        <v>0</v>
      </c>
      <c r="N458" s="83">
        <f ca="1">$K$458-EFEITO!$M$458*EFEITO!$Z$458</f>
        <v>0</v>
      </c>
      <c r="O458" s="83">
        <f>$L$458-EFEITO!$O$458*EFEITO!$AA$458</f>
        <v>0</v>
      </c>
      <c r="P458" s="61"/>
      <c r="Q458" s="61"/>
      <c r="R458" s="61"/>
      <c r="S458" s="61"/>
      <c r="T458" s="61"/>
      <c r="U458" s="61"/>
      <c r="V458" s="61"/>
      <c r="W458" s="61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spans="1:36" ht="11.25" customHeight="1" x14ac:dyDescent="0.2">
      <c r="A459" s="57" t="s">
        <v>21</v>
      </c>
      <c r="B459" s="57" t="s">
        <v>35</v>
      </c>
      <c r="C459" s="57" t="s">
        <v>44</v>
      </c>
      <c r="D459" s="57" t="s">
        <v>42</v>
      </c>
      <c r="E459" s="57" t="s">
        <v>25</v>
      </c>
      <c r="F459" s="57" t="s">
        <v>25</v>
      </c>
      <c r="G459" s="57" t="s">
        <v>25</v>
      </c>
      <c r="H459" s="57" t="s">
        <v>25</v>
      </c>
      <c r="I459" s="82">
        <v>44166</v>
      </c>
      <c r="J459" s="83">
        <f>EFEITO!$J$459*EFEITO!$Y$459</f>
        <v>0</v>
      </c>
      <c r="K459" s="83">
        <f ca="1">EFEITO!$L$459*EFEITO!$Z$459</f>
        <v>636131.27398315596</v>
      </c>
      <c r="L459" s="83">
        <f>EFEITO!$N$459*EFEITO!$AA$459</f>
        <v>0</v>
      </c>
      <c r="M459" s="83">
        <f>$J$459-EFEITO!$K$459*EFEITO!$Y$459</f>
        <v>0</v>
      </c>
      <c r="N459" s="83">
        <f ca="1">$K$459-EFEITO!$M$459*EFEITO!$Z$459</f>
        <v>0</v>
      </c>
      <c r="O459" s="83">
        <f>$L$459-EFEITO!$O$459*EFEITO!$AA$459</f>
        <v>0</v>
      </c>
      <c r="P459" s="61"/>
      <c r="Q459" s="61"/>
      <c r="R459" s="61"/>
      <c r="S459" s="61"/>
      <c r="T459" s="61"/>
      <c r="U459" s="61"/>
      <c r="V459" s="61"/>
      <c r="W459" s="61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spans="1:36" ht="11.25" customHeight="1" x14ac:dyDescent="0.2">
      <c r="A460" s="57" t="s">
        <v>21</v>
      </c>
      <c r="B460" s="57" t="s">
        <v>35</v>
      </c>
      <c r="C460" s="57" t="s">
        <v>44</v>
      </c>
      <c r="D460" s="57" t="s">
        <v>42</v>
      </c>
      <c r="E460" s="57" t="s">
        <v>25</v>
      </c>
      <c r="F460" s="57" t="s">
        <v>25</v>
      </c>
      <c r="G460" s="57" t="s">
        <v>25</v>
      </c>
      <c r="H460" s="57" t="s">
        <v>25</v>
      </c>
      <c r="I460" s="82">
        <v>44197</v>
      </c>
      <c r="J460" s="83">
        <f>EFEITO!$J$460*EFEITO!$Y$460</f>
        <v>0</v>
      </c>
      <c r="K460" s="83">
        <f ca="1">EFEITO!$L$460*EFEITO!$Z$460</f>
        <v>638162.53428170038</v>
      </c>
      <c r="L460" s="83">
        <f>EFEITO!$N$460*EFEITO!$AA$460</f>
        <v>0</v>
      </c>
      <c r="M460" s="83">
        <f>$J$460-EFEITO!$K$460*EFEITO!$Y$460</f>
        <v>0</v>
      </c>
      <c r="N460" s="83">
        <f ca="1">$K$460-EFEITO!$M$460*EFEITO!$Z$460</f>
        <v>0</v>
      </c>
      <c r="O460" s="83">
        <f>$L$460-EFEITO!$O$460*EFEITO!$AA$460</f>
        <v>0</v>
      </c>
      <c r="P460" s="61"/>
      <c r="Q460" s="61"/>
      <c r="R460" s="61"/>
      <c r="S460" s="61"/>
      <c r="T460" s="61"/>
      <c r="U460" s="61"/>
      <c r="V460" s="61"/>
      <c r="W460" s="61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spans="1:36" ht="11.25" customHeight="1" x14ac:dyDescent="0.2">
      <c r="A461" s="57" t="s">
        <v>21</v>
      </c>
      <c r="B461" s="57" t="s">
        <v>35</v>
      </c>
      <c r="C461" s="57" t="s">
        <v>44</v>
      </c>
      <c r="D461" s="57" t="s">
        <v>42</v>
      </c>
      <c r="E461" s="57" t="s">
        <v>25</v>
      </c>
      <c r="F461" s="57" t="s">
        <v>25</v>
      </c>
      <c r="G461" s="57" t="s">
        <v>25</v>
      </c>
      <c r="H461" s="57" t="s">
        <v>25</v>
      </c>
      <c r="I461" s="82">
        <v>44228</v>
      </c>
      <c r="J461" s="83">
        <f>EFEITO!$J$461*EFEITO!$Y$461</f>
        <v>0</v>
      </c>
      <c r="K461" s="83">
        <f ca="1">EFEITO!$L$461*EFEITO!$Z$461</f>
        <v>577274.26825948083</v>
      </c>
      <c r="L461" s="83">
        <f>EFEITO!$N$461*EFEITO!$AA$461</f>
        <v>0</v>
      </c>
      <c r="M461" s="83">
        <f>$J$461-EFEITO!$K$461*EFEITO!$Y$461</f>
        <v>0</v>
      </c>
      <c r="N461" s="83">
        <f ca="1">$K$461-EFEITO!$M$461*EFEITO!$Z$461</f>
        <v>0</v>
      </c>
      <c r="O461" s="83">
        <f>$L$461-EFEITO!$O$461*EFEITO!$AA$461</f>
        <v>0</v>
      </c>
      <c r="P461" s="61"/>
      <c r="Q461" s="61"/>
      <c r="R461" s="61"/>
      <c r="S461" s="61"/>
      <c r="T461" s="61"/>
      <c r="U461" s="61"/>
      <c r="V461" s="61"/>
      <c r="W461" s="61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spans="1:36" ht="11.25" customHeight="1" x14ac:dyDescent="0.2">
      <c r="A462" s="57" t="s">
        <v>21</v>
      </c>
      <c r="B462" s="57" t="s">
        <v>35</v>
      </c>
      <c r="C462" s="57" t="s">
        <v>44</v>
      </c>
      <c r="D462" s="57" t="s">
        <v>42</v>
      </c>
      <c r="E462" s="57" t="s">
        <v>25</v>
      </c>
      <c r="F462" s="57" t="s">
        <v>25</v>
      </c>
      <c r="G462" s="57" t="s">
        <v>25</v>
      </c>
      <c r="H462" s="57" t="s">
        <v>25</v>
      </c>
      <c r="I462" s="82">
        <v>44256</v>
      </c>
      <c r="J462" s="83">
        <f>EFEITO!$J$462*EFEITO!$Y$462</f>
        <v>0</v>
      </c>
      <c r="K462" s="83">
        <f ca="1">EFEITO!$L$462*EFEITO!$Z$462</f>
        <v>534016.20921870368</v>
      </c>
      <c r="L462" s="83">
        <f>EFEITO!$N$462*EFEITO!$AA$462</f>
        <v>0</v>
      </c>
      <c r="M462" s="83">
        <f>$J$462-EFEITO!$K$462*EFEITO!$Y$462</f>
        <v>0</v>
      </c>
      <c r="N462" s="83">
        <f ca="1">$K$462-EFEITO!$M$462*EFEITO!$Z$462</f>
        <v>0</v>
      </c>
      <c r="O462" s="83">
        <f>$L$462-EFEITO!$O$462*EFEITO!$AA$462</f>
        <v>0</v>
      </c>
      <c r="P462" s="61"/>
      <c r="Q462" s="61"/>
      <c r="R462" s="61"/>
      <c r="S462" s="61"/>
      <c r="T462" s="61"/>
      <c r="U462" s="61"/>
      <c r="V462" s="61"/>
      <c r="W462" s="61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spans="1:36" ht="11.25" customHeight="1" x14ac:dyDescent="0.2">
      <c r="A463" s="57" t="s">
        <v>21</v>
      </c>
      <c r="B463" s="57" t="s">
        <v>35</v>
      </c>
      <c r="C463" s="57" t="s">
        <v>44</v>
      </c>
      <c r="D463" s="57" t="s">
        <v>42</v>
      </c>
      <c r="E463" s="57" t="s">
        <v>25</v>
      </c>
      <c r="F463" s="57" t="s">
        <v>25</v>
      </c>
      <c r="G463" s="57" t="s">
        <v>25</v>
      </c>
      <c r="H463" s="57" t="s">
        <v>25</v>
      </c>
      <c r="I463" s="82">
        <v>44287</v>
      </c>
      <c r="J463" s="83">
        <f>EFEITO!$J$463*EFEITO!$Y$463</f>
        <v>0</v>
      </c>
      <c r="K463" s="83">
        <f ca="1">EFEITO!$L$463*EFEITO!$Z$463</f>
        <v>599108.54707832856</v>
      </c>
      <c r="L463" s="83">
        <f>EFEITO!$N$463*EFEITO!$AA$463</f>
        <v>0</v>
      </c>
      <c r="M463" s="83">
        <f>$J$463-EFEITO!$K$463*EFEITO!$Y$463</f>
        <v>0</v>
      </c>
      <c r="N463" s="83">
        <f ca="1">$K$463-EFEITO!$M$463*EFEITO!$Z$463</f>
        <v>0</v>
      </c>
      <c r="O463" s="83">
        <f>$L$463-EFEITO!$O$463*EFEITO!$AA$463</f>
        <v>0</v>
      </c>
      <c r="P463" s="61"/>
      <c r="Q463" s="61"/>
      <c r="R463" s="61"/>
      <c r="S463" s="61"/>
      <c r="T463" s="61"/>
      <c r="U463" s="61"/>
      <c r="V463" s="61"/>
      <c r="W463" s="61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spans="1:36" ht="11.25" customHeight="1" x14ac:dyDescent="0.2">
      <c r="A464" s="57" t="s">
        <v>21</v>
      </c>
      <c r="B464" s="57" t="s">
        <v>35</v>
      </c>
      <c r="C464" s="57" t="s">
        <v>44</v>
      </c>
      <c r="D464" s="57" t="s">
        <v>42</v>
      </c>
      <c r="E464" s="57" t="s">
        <v>25</v>
      </c>
      <c r="F464" s="57" t="s">
        <v>25</v>
      </c>
      <c r="G464" s="57" t="s">
        <v>25</v>
      </c>
      <c r="H464" s="57" t="s">
        <v>25</v>
      </c>
      <c r="I464" s="82">
        <v>44317</v>
      </c>
      <c r="J464" s="83">
        <f>EFEITO!$J$464*EFEITO!$Y$464</f>
        <v>0</v>
      </c>
      <c r="K464" s="83">
        <f ca="1">EFEITO!$L$464*EFEITO!$Z$464</f>
        <v>511502.48444633587</v>
      </c>
      <c r="L464" s="83">
        <f>EFEITO!$N$464*EFEITO!$AA$464</f>
        <v>0</v>
      </c>
      <c r="M464" s="83">
        <f>$J$464-EFEITO!$K$464*EFEITO!$Y$464</f>
        <v>0</v>
      </c>
      <c r="N464" s="83">
        <f ca="1">$K$464-EFEITO!$M$464*EFEITO!$Z$464</f>
        <v>0</v>
      </c>
      <c r="O464" s="83">
        <f>$L$464-EFEITO!$O$464*EFEITO!$AA$464</f>
        <v>0</v>
      </c>
      <c r="P464" s="61"/>
      <c r="Q464" s="61"/>
      <c r="R464" s="61"/>
      <c r="S464" s="61"/>
      <c r="T464" s="61"/>
      <c r="U464" s="61"/>
      <c r="V464" s="61"/>
      <c r="W464" s="61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spans="1:36" ht="11.25" customHeight="1" x14ac:dyDescent="0.2">
      <c r="A465" s="57" t="s">
        <v>21</v>
      </c>
      <c r="B465" s="57" t="s">
        <v>35</v>
      </c>
      <c r="C465" s="57" t="s">
        <v>44</v>
      </c>
      <c r="D465" s="57" t="s">
        <v>42</v>
      </c>
      <c r="E465" s="57" t="s">
        <v>25</v>
      </c>
      <c r="F465" s="57" t="s">
        <v>25</v>
      </c>
      <c r="G465" s="57" t="s">
        <v>25</v>
      </c>
      <c r="H465" s="57" t="s">
        <v>25</v>
      </c>
      <c r="I465" s="82">
        <v>44348</v>
      </c>
      <c r="J465" s="83">
        <f>EFEITO!$J$465*EFEITO!$Y$465</f>
        <v>0</v>
      </c>
      <c r="K465" s="83">
        <f ca="1">EFEITO!$L$465*EFEITO!$Z$465</f>
        <v>638162.53428170038</v>
      </c>
      <c r="L465" s="83">
        <f>EFEITO!$N$465*EFEITO!$AA$465</f>
        <v>0</v>
      </c>
      <c r="M465" s="83">
        <f>$J$465-EFEITO!$K$465*EFEITO!$Y$465</f>
        <v>0</v>
      </c>
      <c r="N465" s="83">
        <f ca="1">$K$465-EFEITO!$M$465*EFEITO!$Z$465</f>
        <v>0</v>
      </c>
      <c r="O465" s="83">
        <f>$L$465-EFEITO!$O$465*EFEITO!$AA$465</f>
        <v>0</v>
      </c>
      <c r="P465" s="61"/>
      <c r="Q465" s="61"/>
      <c r="R465" s="61"/>
      <c r="S465" s="61"/>
      <c r="T465" s="61"/>
      <c r="U465" s="61"/>
      <c r="V465" s="61"/>
      <c r="W465" s="61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spans="1:36" ht="11.25" customHeight="1" x14ac:dyDescent="0.2">
      <c r="A466" s="57" t="s">
        <v>21</v>
      </c>
      <c r="B466" s="57" t="s">
        <v>35</v>
      </c>
      <c r="C466" s="57" t="s">
        <v>44</v>
      </c>
      <c r="D466" s="57" t="s">
        <v>42</v>
      </c>
      <c r="E466" s="57" t="s">
        <v>25</v>
      </c>
      <c r="F466" s="57" t="s">
        <v>25</v>
      </c>
      <c r="G466" s="57" t="s">
        <v>25</v>
      </c>
      <c r="H466" s="57" t="s">
        <v>25</v>
      </c>
      <c r="I466" s="82">
        <v>44378</v>
      </c>
      <c r="J466" s="83">
        <f>EFEITO!$J$466*EFEITO!$Y$466</f>
        <v>0</v>
      </c>
      <c r="K466" s="83">
        <f ca="1">EFEITO!$L$466*EFEITO!$Z$466</f>
        <v>672594.8734887325</v>
      </c>
      <c r="L466" s="83">
        <f>EFEITO!$N$466*EFEITO!$AA$466</f>
        <v>0</v>
      </c>
      <c r="M466" s="83">
        <f>$J$466-EFEITO!$K$466*EFEITO!$Y$466</f>
        <v>0</v>
      </c>
      <c r="N466" s="83">
        <f ca="1">$K$466-EFEITO!$M$466*EFEITO!$Z$466</f>
        <v>0</v>
      </c>
      <c r="O466" s="83">
        <f>$L$466-EFEITO!$O$466*EFEITO!$AA$466</f>
        <v>0</v>
      </c>
      <c r="P466" s="61"/>
      <c r="Q466" s="61"/>
      <c r="R466" s="61"/>
      <c r="S466" s="61"/>
      <c r="T466" s="61"/>
      <c r="U466" s="61"/>
      <c r="V466" s="61"/>
      <c r="W466" s="61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spans="1:36" ht="11.25" customHeight="1" x14ac:dyDescent="0.2">
      <c r="A467" s="57" t="s">
        <v>21</v>
      </c>
      <c r="B467" s="57" t="s">
        <v>35</v>
      </c>
      <c r="C467" s="57" t="s">
        <v>44</v>
      </c>
      <c r="D467" s="57" t="s">
        <v>42</v>
      </c>
      <c r="E467" s="57" t="s">
        <v>25</v>
      </c>
      <c r="F467" s="57" t="s">
        <v>25</v>
      </c>
      <c r="G467" s="57" t="s">
        <v>25</v>
      </c>
      <c r="H467" s="57" t="s">
        <v>25</v>
      </c>
      <c r="I467" s="82">
        <v>44409</v>
      </c>
      <c r="J467" s="83">
        <f>EFEITO!$J$467*EFEITO!$Y$467</f>
        <v>0</v>
      </c>
      <c r="K467" s="83">
        <f ca="1">EFEITO!$L$467*EFEITO!$Z$467</f>
        <v>660874.43079051154</v>
      </c>
      <c r="L467" s="83">
        <f>EFEITO!$N$467*EFEITO!$AA$467</f>
        <v>0</v>
      </c>
      <c r="M467" s="83">
        <f>$J$467-EFEITO!$K$467*EFEITO!$Y$467</f>
        <v>0</v>
      </c>
      <c r="N467" s="83">
        <f ca="1">$K$467-EFEITO!$M$467*EFEITO!$Z$467</f>
        <v>0</v>
      </c>
      <c r="O467" s="83">
        <f>$L$467-EFEITO!$O$467*EFEITO!$AA$467</f>
        <v>0</v>
      </c>
      <c r="P467" s="61"/>
      <c r="Q467" s="61"/>
      <c r="R467" s="61"/>
      <c r="S467" s="61"/>
      <c r="T467" s="61"/>
      <c r="U467" s="61"/>
      <c r="V467" s="61"/>
      <c r="W467" s="61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spans="1:36" ht="11.25" customHeight="1" x14ac:dyDescent="0.2">
      <c r="A468" s="57" t="s">
        <v>21</v>
      </c>
      <c r="B468" s="57" t="s">
        <v>35</v>
      </c>
      <c r="C468" s="57" t="s">
        <v>44</v>
      </c>
      <c r="D468" s="57" t="s">
        <v>42</v>
      </c>
      <c r="E468" s="57" t="s">
        <v>25</v>
      </c>
      <c r="F468" s="57" t="s">
        <v>25</v>
      </c>
      <c r="G468" s="57" t="s">
        <v>25</v>
      </c>
      <c r="H468" s="57" t="s">
        <v>25</v>
      </c>
      <c r="I468" s="82">
        <v>44440</v>
      </c>
      <c r="J468" s="83">
        <f>EFEITO!$J$468*EFEITO!$Y$468</f>
        <v>0</v>
      </c>
      <c r="K468" s="83">
        <f ca="1">EFEITO!$L$468*EFEITO!$Z$468</f>
        <v>607898.87910199433</v>
      </c>
      <c r="L468" s="83">
        <f>EFEITO!$N$468*EFEITO!$AA$468</f>
        <v>0</v>
      </c>
      <c r="M468" s="83">
        <f>$J$468-EFEITO!$K$468*EFEITO!$Y$468</f>
        <v>0</v>
      </c>
      <c r="N468" s="83">
        <f ca="1">$K$468-EFEITO!$M$468*EFEITO!$Z$468</f>
        <v>0</v>
      </c>
      <c r="O468" s="83">
        <f>$L$468-EFEITO!$O$468*EFEITO!$AA$468</f>
        <v>0</v>
      </c>
      <c r="P468" s="61"/>
      <c r="Q468" s="61"/>
      <c r="R468" s="61"/>
      <c r="S468" s="61"/>
      <c r="T468" s="61"/>
      <c r="U468" s="61"/>
      <c r="V468" s="61"/>
      <c r="W468" s="61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spans="1:36" ht="11.25" customHeight="1" x14ac:dyDescent="0.2">
      <c r="A469" s="57" t="s">
        <v>59</v>
      </c>
      <c r="B469" s="57" t="s">
        <v>35</v>
      </c>
      <c r="C469" s="57" t="s">
        <v>44</v>
      </c>
      <c r="D469" s="57" t="s">
        <v>42</v>
      </c>
      <c r="E469" s="57" t="s">
        <v>25</v>
      </c>
      <c r="F469" s="57" t="s">
        <v>25</v>
      </c>
      <c r="G469" s="57" t="s">
        <v>25</v>
      </c>
      <c r="H469" s="57" t="s">
        <v>25</v>
      </c>
      <c r="I469" s="82">
        <v>44470</v>
      </c>
      <c r="J469" s="83">
        <f>EFEITO!$J$469*EFEITO!$Y$469</f>
        <v>0</v>
      </c>
      <c r="K469" s="83">
        <f ca="1">EFEITO!$L$469*EFEITO!$Z$469</f>
        <v>607898.87910199433</v>
      </c>
      <c r="L469" s="83">
        <f>EFEITO!$N$469*EFEITO!$AA$469</f>
        <v>0</v>
      </c>
      <c r="M469" s="83">
        <f>$J$469-EFEITO!$K$469*EFEITO!$Y$469</f>
        <v>0</v>
      </c>
      <c r="N469" s="83">
        <f ca="1">$K$469-EFEITO!$M$469*EFEITO!$Z$469</f>
        <v>0</v>
      </c>
      <c r="O469" s="83">
        <f>$L$469-EFEITO!$O$469*EFEITO!$AA$469</f>
        <v>0</v>
      </c>
      <c r="P469" s="61"/>
      <c r="Q469" s="61"/>
      <c r="R469" s="61"/>
      <c r="S469" s="61"/>
      <c r="T469" s="61"/>
      <c r="U469" s="61"/>
      <c r="V469" s="61"/>
      <c r="W469" s="61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spans="1:36" ht="11.25" customHeight="1" x14ac:dyDescent="0.2">
      <c r="A470" s="57" t="s">
        <v>21</v>
      </c>
      <c r="B470" s="57" t="s">
        <v>35</v>
      </c>
      <c r="C470" s="57" t="s">
        <v>44</v>
      </c>
      <c r="D470" s="57" t="s">
        <v>42</v>
      </c>
      <c r="E470" s="57" t="s">
        <v>25</v>
      </c>
      <c r="F470" s="57" t="s">
        <v>25</v>
      </c>
      <c r="G470" s="57" t="s">
        <v>25</v>
      </c>
      <c r="H470" s="57" t="s">
        <v>37</v>
      </c>
      <c r="I470" s="82">
        <v>44136</v>
      </c>
      <c r="J470" s="83">
        <f ca="1">EFEITO!$J$470*EFEITO!$Y$470</f>
        <v>1223463.8985756112</v>
      </c>
      <c r="K470" s="83">
        <f ca="1">EFEITO!$L$470*EFEITO!$Z$470</f>
        <v>111236.18855566766</v>
      </c>
      <c r="L470" s="83">
        <f>EFEITO!$N$470*EFEITO!$AA$470</f>
        <v>299903.65067524364</v>
      </c>
      <c r="M470" s="83">
        <f ca="1">$J$470-EFEITO!$K$470*EFEITO!$Y$470</f>
        <v>0</v>
      </c>
      <c r="N470" s="83">
        <f ca="1">$K$470-EFEITO!$M$470*EFEITO!$Z$470</f>
        <v>0</v>
      </c>
      <c r="O470" s="83">
        <f>$L$470-EFEITO!$O$470*EFEITO!$AA$470</f>
        <v>0</v>
      </c>
      <c r="P470" s="61"/>
      <c r="Q470" s="61"/>
      <c r="R470" s="61"/>
      <c r="S470" s="61"/>
      <c r="T470" s="61"/>
      <c r="U470" s="61"/>
      <c r="V470" s="61"/>
      <c r="W470" s="61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spans="1:36" ht="11.25" customHeight="1" x14ac:dyDescent="0.2">
      <c r="A471" s="57" t="s">
        <v>28</v>
      </c>
      <c r="B471" s="57" t="s">
        <v>35</v>
      </c>
      <c r="C471" s="57" t="s">
        <v>44</v>
      </c>
      <c r="D471" s="57" t="s">
        <v>42</v>
      </c>
      <c r="E471" s="57" t="s">
        <v>25</v>
      </c>
      <c r="F471" s="57" t="s">
        <v>25</v>
      </c>
      <c r="G471" s="57" t="s">
        <v>25</v>
      </c>
      <c r="H471" s="57" t="s">
        <v>37</v>
      </c>
      <c r="I471" s="82">
        <v>44136</v>
      </c>
      <c r="J471" s="83">
        <f ca="1">EFEITO!$J$471*EFEITO!$Y$471</f>
        <v>76585.046364326045</v>
      </c>
      <c r="K471" s="83">
        <f ca="1">EFEITO!$L$471*EFEITO!$Z$471</f>
        <v>3054.6420633576695</v>
      </c>
      <c r="L471" s="83">
        <f>EFEITO!$N$471*EFEITO!$AA$471</f>
        <v>8235.6139508381893</v>
      </c>
      <c r="M471" s="83">
        <f ca="1">$J$471-EFEITO!$K$471*EFEITO!$Y$471</f>
        <v>0</v>
      </c>
      <c r="N471" s="83">
        <f ca="1">$K$471-EFEITO!$M$471*EFEITO!$Z$471</f>
        <v>0</v>
      </c>
      <c r="O471" s="83">
        <f>$L$471-EFEITO!$O$471*EFEITO!$AA$471</f>
        <v>0</v>
      </c>
      <c r="P471" s="61"/>
      <c r="Q471" s="61"/>
      <c r="R471" s="61"/>
      <c r="S471" s="61"/>
      <c r="T471" s="61"/>
      <c r="U471" s="61"/>
      <c r="V471" s="61"/>
      <c r="W471" s="61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spans="1:36" ht="11.25" customHeight="1" x14ac:dyDescent="0.2">
      <c r="A472" s="57" t="s">
        <v>29</v>
      </c>
      <c r="B472" s="57" t="s">
        <v>35</v>
      </c>
      <c r="C472" s="57" t="s">
        <v>44</v>
      </c>
      <c r="D472" s="57" t="s">
        <v>42</v>
      </c>
      <c r="E472" s="57" t="s">
        <v>25</v>
      </c>
      <c r="F472" s="57" t="s">
        <v>25</v>
      </c>
      <c r="G472" s="57" t="s">
        <v>25</v>
      </c>
      <c r="H472" s="57" t="s">
        <v>37</v>
      </c>
      <c r="I472" s="82">
        <v>44136</v>
      </c>
      <c r="J472" s="83">
        <f ca="1">EFEITO!$J$472*EFEITO!$Y$472</f>
        <v>-232066.91680830996</v>
      </c>
      <c r="K472" s="83">
        <f ca="1">EFEITO!$L$472*EFEITO!$Z$472</f>
        <v>-62.181437710541189</v>
      </c>
      <c r="L472" s="83">
        <f>EFEITO!$N$472*EFEITO!$AA$472</f>
        <v>-167.64724156558128</v>
      </c>
      <c r="M472" s="83">
        <f ca="1">$J$472-EFEITO!$K$472*EFEITO!$Y$472</f>
        <v>0</v>
      </c>
      <c r="N472" s="83">
        <f ca="1">$K$472-EFEITO!$M$472*EFEITO!$Z$472</f>
        <v>0</v>
      </c>
      <c r="O472" s="83">
        <f>$L$472-EFEITO!$O$472*EFEITO!$AA$472</f>
        <v>0</v>
      </c>
      <c r="P472" s="61"/>
      <c r="Q472" s="61"/>
      <c r="R472" s="61"/>
      <c r="S472" s="61"/>
      <c r="T472" s="61"/>
      <c r="U472" s="61"/>
      <c r="V472" s="61"/>
      <c r="W472" s="61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spans="1:36" ht="11.25" customHeight="1" x14ac:dyDescent="0.2">
      <c r="A473" s="57" t="s">
        <v>30</v>
      </c>
      <c r="B473" s="57" t="s">
        <v>35</v>
      </c>
      <c r="C473" s="57" t="s">
        <v>44</v>
      </c>
      <c r="D473" s="57" t="s">
        <v>42</v>
      </c>
      <c r="E473" s="57" t="s">
        <v>25</v>
      </c>
      <c r="F473" s="57" t="s">
        <v>25</v>
      </c>
      <c r="G473" s="57" t="s">
        <v>25</v>
      </c>
      <c r="H473" s="57" t="s">
        <v>37</v>
      </c>
      <c r="I473" s="82">
        <v>44136</v>
      </c>
      <c r="J473" s="83">
        <f ca="1">EFEITO!$J$473*EFEITO!$Y$473</f>
        <v>85357.946412251942</v>
      </c>
      <c r="K473" s="83">
        <f ca="1">EFEITO!$L$473*EFEITO!$Z$473</f>
        <v>13560.608822337859</v>
      </c>
      <c r="L473" s="83">
        <f>EFEITO!$N$473*EFEITO!$AA$473</f>
        <v>36560.728518334574</v>
      </c>
      <c r="M473" s="83">
        <f ca="1">$J$473-EFEITO!$K$473*EFEITO!$Y$473</f>
        <v>0</v>
      </c>
      <c r="N473" s="83">
        <f ca="1">$K$473-EFEITO!$M$473*EFEITO!$Z$473</f>
        <v>0</v>
      </c>
      <c r="O473" s="83">
        <f>$L$473-EFEITO!$O$473*EFEITO!$AA$473</f>
        <v>0</v>
      </c>
      <c r="P473" s="61"/>
      <c r="Q473" s="61"/>
      <c r="R473" s="61"/>
      <c r="S473" s="61"/>
      <c r="T473" s="61"/>
      <c r="U473" s="61"/>
      <c r="V473" s="61"/>
      <c r="W473" s="61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spans="1:36" ht="11.25" customHeight="1" x14ac:dyDescent="0.2">
      <c r="A474" s="57" t="s">
        <v>21</v>
      </c>
      <c r="B474" s="57" t="s">
        <v>35</v>
      </c>
      <c r="C474" s="57" t="s">
        <v>44</v>
      </c>
      <c r="D474" s="57" t="s">
        <v>42</v>
      </c>
      <c r="E474" s="57" t="s">
        <v>25</v>
      </c>
      <c r="F474" s="57" t="s">
        <v>25</v>
      </c>
      <c r="G474" s="57" t="s">
        <v>25</v>
      </c>
      <c r="H474" s="57" t="s">
        <v>37</v>
      </c>
      <c r="I474" s="82">
        <v>44136</v>
      </c>
      <c r="J474" s="83">
        <f ca="1">EFEITO!$J$474*EFEITO!$Y$474</f>
        <v>359985.28372333752</v>
      </c>
      <c r="K474" s="83">
        <f ca="1">EFEITO!$L$474*EFEITO!$Z$474</f>
        <v>0</v>
      </c>
      <c r="L474" s="83">
        <f>EFEITO!$N$474*EFEITO!$AA$474</f>
        <v>0</v>
      </c>
      <c r="M474" s="83">
        <f ca="1">$J$474-EFEITO!$K$474*EFEITO!$Y$474</f>
        <v>0</v>
      </c>
      <c r="N474" s="83">
        <f ca="1">$K$474-EFEITO!$M$474*EFEITO!$Z$474</f>
        <v>0</v>
      </c>
      <c r="O474" s="83">
        <f>$L$474-EFEITO!$O$474*EFEITO!$AA$474</f>
        <v>0</v>
      </c>
      <c r="P474" s="61"/>
      <c r="Q474" s="61"/>
      <c r="R474" s="61"/>
      <c r="S474" s="61"/>
      <c r="T474" s="61"/>
      <c r="U474" s="61"/>
      <c r="V474" s="61"/>
      <c r="W474" s="61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spans="1:36" ht="11.25" customHeight="1" x14ac:dyDescent="0.2">
      <c r="A475" s="57" t="s">
        <v>21</v>
      </c>
      <c r="B475" s="57" t="s">
        <v>35</v>
      </c>
      <c r="C475" s="57" t="s">
        <v>44</v>
      </c>
      <c r="D475" s="57" t="s">
        <v>42</v>
      </c>
      <c r="E475" s="57" t="s">
        <v>25</v>
      </c>
      <c r="F475" s="57" t="s">
        <v>25</v>
      </c>
      <c r="G475" s="57" t="s">
        <v>25</v>
      </c>
      <c r="H475" s="57" t="s">
        <v>37</v>
      </c>
      <c r="I475" s="82">
        <v>44166</v>
      </c>
      <c r="J475" s="83">
        <f ca="1">EFEITO!$J$475*EFEITO!$Y$475</f>
        <v>1216765.6708363164</v>
      </c>
      <c r="K475" s="83">
        <f ca="1">EFEITO!$L$475*EFEITO!$Z$475</f>
        <v>98920.219567828623</v>
      </c>
      <c r="L475" s="83">
        <f>EFEITO!$N$475*EFEITO!$AA$475</f>
        <v>266698.59295962832</v>
      </c>
      <c r="M475" s="83">
        <f ca="1">$J$475-EFEITO!$K$475*EFEITO!$Y$475</f>
        <v>0</v>
      </c>
      <c r="N475" s="83">
        <f ca="1">$K$475-EFEITO!$M$475*EFEITO!$Z$475</f>
        <v>0</v>
      </c>
      <c r="O475" s="83">
        <f>$L$475-EFEITO!$O$475*EFEITO!$AA$475</f>
        <v>0</v>
      </c>
      <c r="P475" s="61"/>
      <c r="Q475" s="61"/>
      <c r="R475" s="61"/>
      <c r="S475" s="61"/>
      <c r="T475" s="61"/>
      <c r="U475" s="61"/>
      <c r="V475" s="61"/>
      <c r="W475" s="61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spans="1:36" ht="11.25" customHeight="1" x14ac:dyDescent="0.2">
      <c r="A476" s="57" t="s">
        <v>27</v>
      </c>
      <c r="B476" s="57" t="s">
        <v>35</v>
      </c>
      <c r="C476" s="57" t="s">
        <v>44</v>
      </c>
      <c r="D476" s="57" t="s">
        <v>42</v>
      </c>
      <c r="E476" s="57" t="s">
        <v>25</v>
      </c>
      <c r="F476" s="57" t="s">
        <v>25</v>
      </c>
      <c r="G476" s="57" t="s">
        <v>25</v>
      </c>
      <c r="H476" s="57" t="s">
        <v>37</v>
      </c>
      <c r="I476" s="82">
        <v>44166</v>
      </c>
      <c r="J476" s="83">
        <f ca="1">EFEITO!$J$476*EFEITO!$Y$476</f>
        <v>-29638.175837587478</v>
      </c>
      <c r="K476" s="83">
        <f ca="1">EFEITO!$L$476*EFEITO!$Z$476</f>
        <v>0</v>
      </c>
      <c r="L476" s="83">
        <f>EFEITO!$N$476*EFEITO!$AA$476</f>
        <v>0</v>
      </c>
      <c r="M476" s="83">
        <f ca="1">$J$476-EFEITO!$K$476*EFEITO!$Y$476</f>
        <v>0</v>
      </c>
      <c r="N476" s="83">
        <f ca="1">$K$476-EFEITO!$M$476*EFEITO!$Z$476</f>
        <v>0</v>
      </c>
      <c r="O476" s="83">
        <f>$L$476-EFEITO!$O$476*EFEITO!$AA$476</f>
        <v>0</v>
      </c>
      <c r="P476" s="61"/>
      <c r="Q476" s="61"/>
      <c r="R476" s="61"/>
      <c r="S476" s="61"/>
      <c r="T476" s="61"/>
      <c r="U476" s="61"/>
      <c r="V476" s="61"/>
      <c r="W476" s="61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spans="1:36" ht="11.25" customHeight="1" x14ac:dyDescent="0.2">
      <c r="A477" s="57" t="s">
        <v>28</v>
      </c>
      <c r="B477" s="57" t="s">
        <v>35</v>
      </c>
      <c r="C477" s="57" t="s">
        <v>44</v>
      </c>
      <c r="D477" s="57" t="s">
        <v>42</v>
      </c>
      <c r="E477" s="57" t="s">
        <v>25</v>
      </c>
      <c r="F477" s="57" t="s">
        <v>25</v>
      </c>
      <c r="G477" s="57" t="s">
        <v>25</v>
      </c>
      <c r="H477" s="57" t="s">
        <v>37</v>
      </c>
      <c r="I477" s="82">
        <v>44166</v>
      </c>
      <c r="J477" s="83">
        <f ca="1">EFEITO!$J$477*EFEITO!$Y$477</f>
        <v>70894.516603509255</v>
      </c>
      <c r="K477" s="83">
        <f ca="1">EFEITO!$L$477*EFEITO!$Z$477</f>
        <v>3032.3982970221919</v>
      </c>
      <c r="L477" s="83">
        <f>EFEITO!$N$477*EFEITO!$AA$477</f>
        <v>8175.6425798716409</v>
      </c>
      <c r="M477" s="83">
        <f ca="1">$J$477-EFEITO!$K$477*EFEITO!$Y$477</f>
        <v>0</v>
      </c>
      <c r="N477" s="83">
        <f ca="1">$K$477-EFEITO!$M$477*EFEITO!$Z$477</f>
        <v>0</v>
      </c>
      <c r="O477" s="83">
        <f>$L$477-EFEITO!$O$477*EFEITO!$AA$477</f>
        <v>0</v>
      </c>
      <c r="P477" s="61"/>
      <c r="Q477" s="61"/>
      <c r="R477" s="61"/>
      <c r="S477" s="61"/>
      <c r="T477" s="61"/>
      <c r="U477" s="61"/>
      <c r="V477" s="61"/>
      <c r="W477" s="61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spans="1:36" ht="11.25" customHeight="1" x14ac:dyDescent="0.2">
      <c r="A478" s="57" t="s">
        <v>29</v>
      </c>
      <c r="B478" s="57" t="s">
        <v>35</v>
      </c>
      <c r="C478" s="57" t="s">
        <v>44</v>
      </c>
      <c r="D478" s="57" t="s">
        <v>42</v>
      </c>
      <c r="E478" s="57" t="s">
        <v>25</v>
      </c>
      <c r="F478" s="57" t="s">
        <v>25</v>
      </c>
      <c r="G478" s="57" t="s">
        <v>25</v>
      </c>
      <c r="H478" s="57" t="s">
        <v>37</v>
      </c>
      <c r="I478" s="82">
        <v>44166</v>
      </c>
      <c r="J478" s="83">
        <f ca="1">EFEITO!$J$478*EFEITO!$Y$478</f>
        <v>-3556.5811005104974</v>
      </c>
      <c r="K478" s="83">
        <f ca="1">EFEITO!$L$478*EFEITO!$Z$478</f>
        <v>0</v>
      </c>
      <c r="L478" s="83">
        <f>EFEITO!$N$478*EFEITO!$AA$478</f>
        <v>0</v>
      </c>
      <c r="M478" s="83">
        <f ca="1">$J$478-EFEITO!$K$478*EFEITO!$Y$478</f>
        <v>0</v>
      </c>
      <c r="N478" s="83">
        <f ca="1">$K$478-EFEITO!$M$478*EFEITO!$Z$478</f>
        <v>0</v>
      </c>
      <c r="O478" s="83">
        <f>$L$478-EFEITO!$O$478*EFEITO!$AA$478</f>
        <v>0</v>
      </c>
      <c r="P478" s="61"/>
      <c r="Q478" s="61"/>
      <c r="R478" s="61"/>
      <c r="S478" s="61"/>
      <c r="T478" s="61"/>
      <c r="U478" s="61"/>
      <c r="V478" s="61"/>
      <c r="W478" s="61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spans="1:36" ht="11.25" customHeight="1" x14ac:dyDescent="0.2">
      <c r="A479" s="57" t="s">
        <v>30</v>
      </c>
      <c r="B479" s="57" t="s">
        <v>35</v>
      </c>
      <c r="C479" s="57" t="s">
        <v>44</v>
      </c>
      <c r="D479" s="57" t="s">
        <v>42</v>
      </c>
      <c r="E479" s="57" t="s">
        <v>25</v>
      </c>
      <c r="F479" s="57" t="s">
        <v>25</v>
      </c>
      <c r="G479" s="57" t="s">
        <v>25</v>
      </c>
      <c r="H479" s="57" t="s">
        <v>37</v>
      </c>
      <c r="I479" s="82">
        <v>44166</v>
      </c>
      <c r="J479" s="83">
        <f ca="1">EFEITO!$J$479*EFEITO!$Y$479</f>
        <v>85357.946412251942</v>
      </c>
      <c r="K479" s="83">
        <f ca="1">EFEITO!$L$479*EFEITO!$Z$479</f>
        <v>12567.390952782496</v>
      </c>
      <c r="L479" s="83">
        <f>EFEITO!$N$479*EFEITO!$AA$479</f>
        <v>33882.915938964557</v>
      </c>
      <c r="M479" s="83">
        <f ca="1">$J$479-EFEITO!$K$479*EFEITO!$Y$479</f>
        <v>0</v>
      </c>
      <c r="N479" s="83">
        <f ca="1">$K$479-EFEITO!$M$479*EFEITO!$Z$479</f>
        <v>0</v>
      </c>
      <c r="O479" s="83">
        <f>$L$479-EFEITO!$O$479*EFEITO!$AA$479</f>
        <v>0</v>
      </c>
      <c r="P479" s="61"/>
      <c r="Q479" s="61"/>
      <c r="R479" s="61"/>
      <c r="S479" s="61"/>
      <c r="T479" s="61"/>
      <c r="U479" s="61"/>
      <c r="V479" s="61"/>
      <c r="W479" s="61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spans="1:36" ht="11.25" customHeight="1" x14ac:dyDescent="0.2">
      <c r="A480" s="57" t="s">
        <v>21</v>
      </c>
      <c r="B480" s="57" t="s">
        <v>35</v>
      </c>
      <c r="C480" s="57" t="s">
        <v>44</v>
      </c>
      <c r="D480" s="57" t="s">
        <v>42</v>
      </c>
      <c r="E480" s="57" t="s">
        <v>25</v>
      </c>
      <c r="F480" s="57" t="s">
        <v>25</v>
      </c>
      <c r="G480" s="57" t="s">
        <v>25</v>
      </c>
      <c r="H480" s="57" t="s">
        <v>37</v>
      </c>
      <c r="I480" s="82">
        <v>44166</v>
      </c>
      <c r="J480" s="83">
        <f ca="1">EFEITO!$J$480*EFEITO!$Y$480</f>
        <v>357258.57154627948</v>
      </c>
      <c r="K480" s="83">
        <f ca="1">EFEITO!$L$480*EFEITO!$Z$480</f>
        <v>0</v>
      </c>
      <c r="L480" s="83">
        <f>EFEITO!$N$480*EFEITO!$AA$480</f>
        <v>0</v>
      </c>
      <c r="M480" s="83">
        <f ca="1">$J$480-EFEITO!$K$480*EFEITO!$Y$480</f>
        <v>0</v>
      </c>
      <c r="N480" s="83">
        <f ca="1">$K$480-EFEITO!$M$480*EFEITO!$Z$480</f>
        <v>0</v>
      </c>
      <c r="O480" s="83">
        <f>$L$480-EFEITO!$O$480*EFEITO!$AA$480</f>
        <v>0</v>
      </c>
      <c r="P480" s="61"/>
      <c r="Q480" s="61"/>
      <c r="R480" s="61"/>
      <c r="S480" s="61"/>
      <c r="T480" s="61"/>
      <c r="U480" s="61"/>
      <c r="V480" s="61"/>
      <c r="W480" s="61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spans="1:36" ht="11.25" customHeight="1" x14ac:dyDescent="0.2">
      <c r="A481" s="57" t="s">
        <v>21</v>
      </c>
      <c r="B481" s="57" t="s">
        <v>35</v>
      </c>
      <c r="C481" s="57" t="s">
        <v>44</v>
      </c>
      <c r="D481" s="57" t="s">
        <v>42</v>
      </c>
      <c r="E481" s="57" t="s">
        <v>25</v>
      </c>
      <c r="F481" s="57" t="s">
        <v>25</v>
      </c>
      <c r="G481" s="57" t="s">
        <v>25</v>
      </c>
      <c r="H481" s="57" t="s">
        <v>37</v>
      </c>
      <c r="I481" s="82">
        <v>44197</v>
      </c>
      <c r="J481" s="83">
        <f ca="1">EFEITO!$J$481*EFEITO!$Y$481</f>
        <v>1354998.1229428244</v>
      </c>
      <c r="K481" s="83">
        <f ca="1">EFEITO!$L$481*EFEITO!$Z$481</f>
        <v>82735.520371429651</v>
      </c>
      <c r="L481" s="83">
        <f>EFEITO!$N$481*EFEITO!$AA$481</f>
        <v>223063.0599815126</v>
      </c>
      <c r="M481" s="83">
        <f ca="1">$J$481-EFEITO!$K$481*EFEITO!$Y$481</f>
        <v>0</v>
      </c>
      <c r="N481" s="83">
        <f ca="1">$K$481-EFEITO!$M$481*EFEITO!$Z$481</f>
        <v>0</v>
      </c>
      <c r="O481" s="83">
        <f>$L$481-EFEITO!$O$481*EFEITO!$AA$481</f>
        <v>0</v>
      </c>
      <c r="P481" s="61"/>
      <c r="Q481" s="61"/>
      <c r="R481" s="61"/>
      <c r="S481" s="61"/>
      <c r="T481" s="61"/>
      <c r="U481" s="61"/>
      <c r="V481" s="61"/>
      <c r="W481" s="61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spans="1:36" ht="11.25" customHeight="1" x14ac:dyDescent="0.2">
      <c r="A482" s="57" t="s">
        <v>27</v>
      </c>
      <c r="B482" s="57" t="s">
        <v>35</v>
      </c>
      <c r="C482" s="57" t="s">
        <v>44</v>
      </c>
      <c r="D482" s="57" t="s">
        <v>42</v>
      </c>
      <c r="E482" s="57" t="s">
        <v>25</v>
      </c>
      <c r="F482" s="57" t="s">
        <v>25</v>
      </c>
      <c r="G482" s="57" t="s">
        <v>25</v>
      </c>
      <c r="H482" s="57" t="s">
        <v>37</v>
      </c>
      <c r="I482" s="82">
        <v>44197</v>
      </c>
      <c r="J482" s="83">
        <f ca="1">EFEITO!$J$482*EFEITO!$Y$482</f>
        <v>-6816.7804426451203</v>
      </c>
      <c r="K482" s="83">
        <f ca="1">EFEITO!$L$482*EFEITO!$Z$482</f>
        <v>-6568.8201176005587</v>
      </c>
      <c r="L482" s="83">
        <f>EFEITO!$N$482*EFEITO!$AA$482</f>
        <v>-17710.18190641714</v>
      </c>
      <c r="M482" s="83">
        <f ca="1">$J$482-EFEITO!$K$482*EFEITO!$Y$482</f>
        <v>0</v>
      </c>
      <c r="N482" s="83">
        <f ca="1">$K$482-EFEITO!$M$482*EFEITO!$Z$482</f>
        <v>0</v>
      </c>
      <c r="O482" s="83">
        <f>$L$482-EFEITO!$O$482*EFEITO!$AA$482</f>
        <v>0</v>
      </c>
      <c r="P482" s="61"/>
      <c r="Q482" s="61"/>
      <c r="R482" s="61"/>
      <c r="S482" s="61"/>
      <c r="T482" s="61"/>
      <c r="U482" s="61"/>
      <c r="V482" s="61"/>
      <c r="W482" s="61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spans="1:36" ht="11.25" customHeight="1" x14ac:dyDescent="0.2">
      <c r="A483" s="57" t="s">
        <v>28</v>
      </c>
      <c r="B483" s="57" t="s">
        <v>35</v>
      </c>
      <c r="C483" s="57" t="s">
        <v>44</v>
      </c>
      <c r="D483" s="57" t="s">
        <v>42</v>
      </c>
      <c r="E483" s="57" t="s">
        <v>25</v>
      </c>
      <c r="F483" s="57" t="s">
        <v>25</v>
      </c>
      <c r="G483" s="57" t="s">
        <v>25</v>
      </c>
      <c r="H483" s="57" t="s">
        <v>37</v>
      </c>
      <c r="I483" s="82">
        <v>44197</v>
      </c>
      <c r="J483" s="83">
        <f ca="1">EFEITO!$J$483*EFEITO!$Y$483</f>
        <v>68404.909833151905</v>
      </c>
      <c r="K483" s="83">
        <f ca="1">EFEITO!$L$483*EFEITO!$Z$483</f>
        <v>2774.2357968255815</v>
      </c>
      <c r="L483" s="83">
        <f>EFEITO!$N$483*EFEITO!$AA$483</f>
        <v>7479.611213805325</v>
      </c>
      <c r="M483" s="83">
        <f ca="1">$J$483-EFEITO!$K$483*EFEITO!$Y$483</f>
        <v>0</v>
      </c>
      <c r="N483" s="83">
        <f ca="1">$K$483-EFEITO!$M$483*EFEITO!$Z$483</f>
        <v>0</v>
      </c>
      <c r="O483" s="83">
        <f>$L$483-EFEITO!$O$483*EFEITO!$AA$483</f>
        <v>0</v>
      </c>
      <c r="P483" s="61"/>
      <c r="Q483" s="61"/>
      <c r="R483" s="61"/>
      <c r="S483" s="61"/>
      <c r="T483" s="61"/>
      <c r="U483" s="61"/>
      <c r="V483" s="61"/>
      <c r="W483" s="61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spans="1:36" ht="11.25" customHeight="1" x14ac:dyDescent="0.2">
      <c r="A484" s="57" t="s">
        <v>30</v>
      </c>
      <c r="B484" s="57" t="s">
        <v>35</v>
      </c>
      <c r="C484" s="57" t="s">
        <v>44</v>
      </c>
      <c r="D484" s="57" t="s">
        <v>42</v>
      </c>
      <c r="E484" s="57" t="s">
        <v>25</v>
      </c>
      <c r="F484" s="57" t="s">
        <v>25</v>
      </c>
      <c r="G484" s="57" t="s">
        <v>25</v>
      </c>
      <c r="H484" s="57" t="s">
        <v>37</v>
      </c>
      <c r="I484" s="82">
        <v>44197</v>
      </c>
      <c r="J484" s="83">
        <f ca="1">EFEITO!$J$484*EFEITO!$Y$484</f>
        <v>86780.578852456136</v>
      </c>
      <c r="K484" s="83">
        <f ca="1">EFEITO!$L$484*EFEITO!$Z$484</f>
        <v>12911.832304219748</v>
      </c>
      <c r="L484" s="83">
        <f>EFEITO!$N$484*EFEITO!$AA$484</f>
        <v>34811.563531810214</v>
      </c>
      <c r="M484" s="83">
        <f ca="1">$J$484-EFEITO!$K$484*EFEITO!$Y$484</f>
        <v>0</v>
      </c>
      <c r="N484" s="83">
        <f ca="1">$K$484-EFEITO!$M$484*EFEITO!$Z$484</f>
        <v>0</v>
      </c>
      <c r="O484" s="83">
        <f>$L$484-EFEITO!$O$484*EFEITO!$AA$484</f>
        <v>0</v>
      </c>
      <c r="P484" s="61"/>
      <c r="Q484" s="61"/>
      <c r="R484" s="61"/>
      <c r="S484" s="61"/>
      <c r="T484" s="61"/>
      <c r="U484" s="61"/>
      <c r="V484" s="61"/>
      <c r="W484" s="61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spans="1:36" ht="11.25" customHeight="1" x14ac:dyDescent="0.2">
      <c r="A485" s="57" t="s">
        <v>21</v>
      </c>
      <c r="B485" s="57" t="s">
        <v>35</v>
      </c>
      <c r="C485" s="57" t="s">
        <v>44</v>
      </c>
      <c r="D485" s="57" t="s">
        <v>42</v>
      </c>
      <c r="E485" s="57" t="s">
        <v>25</v>
      </c>
      <c r="F485" s="57" t="s">
        <v>25</v>
      </c>
      <c r="G485" s="57" t="s">
        <v>25</v>
      </c>
      <c r="H485" s="57" t="s">
        <v>37</v>
      </c>
      <c r="I485" s="82">
        <v>44197</v>
      </c>
      <c r="J485" s="83">
        <f ca="1">EFEITO!$J$485*EFEITO!$Y$485</f>
        <v>351627.31813713786</v>
      </c>
      <c r="K485" s="83">
        <f ca="1">EFEITO!$L$485*EFEITO!$Z$485</f>
        <v>0</v>
      </c>
      <c r="L485" s="83">
        <f>EFEITO!$N$485*EFEITO!$AA$485</f>
        <v>0</v>
      </c>
      <c r="M485" s="83">
        <f ca="1">$J$485-EFEITO!$K$485*EFEITO!$Y$485</f>
        <v>0</v>
      </c>
      <c r="N485" s="83">
        <f ca="1">$K$485-EFEITO!$M$485*EFEITO!$Z$485</f>
        <v>0</v>
      </c>
      <c r="O485" s="83">
        <f>$L$485-EFEITO!$O$485*EFEITO!$AA$485</f>
        <v>0</v>
      </c>
      <c r="P485" s="61"/>
      <c r="Q485" s="61"/>
      <c r="R485" s="61"/>
      <c r="S485" s="61"/>
      <c r="T485" s="61"/>
      <c r="U485" s="61"/>
      <c r="V485" s="61"/>
      <c r="W485" s="61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spans="1:36" ht="11.25" customHeight="1" x14ac:dyDescent="0.2">
      <c r="A486" s="57" t="s">
        <v>21</v>
      </c>
      <c r="B486" s="57" t="s">
        <v>35</v>
      </c>
      <c r="C486" s="57" t="s">
        <v>44</v>
      </c>
      <c r="D486" s="57" t="s">
        <v>42</v>
      </c>
      <c r="E486" s="57" t="s">
        <v>25</v>
      </c>
      <c r="F486" s="57" t="s">
        <v>25</v>
      </c>
      <c r="G486" s="57" t="s">
        <v>25</v>
      </c>
      <c r="H486" s="57" t="s">
        <v>37</v>
      </c>
      <c r="I486" s="82">
        <v>44228</v>
      </c>
      <c r="J486" s="83">
        <f ca="1">EFEITO!$J$486*EFEITO!$Y$486</f>
        <v>1291513.1502987121</v>
      </c>
      <c r="K486" s="83">
        <f ca="1">EFEITO!$L$486*EFEITO!$Z$486</f>
        <v>82670.305692855181</v>
      </c>
      <c r="L486" s="83">
        <f>EFEITO!$N$486*EFEITO!$AA$486</f>
        <v>222887.2348257243</v>
      </c>
      <c r="M486" s="83">
        <f ca="1">$J$486-EFEITO!$K$486*EFEITO!$Y$486</f>
        <v>0</v>
      </c>
      <c r="N486" s="83">
        <f ca="1">$K$486-EFEITO!$M$486*EFEITO!$Z$486</f>
        <v>0</v>
      </c>
      <c r="O486" s="83">
        <f>$L$486-EFEITO!$O$486*EFEITO!$AA$486</f>
        <v>0</v>
      </c>
      <c r="P486" s="61"/>
      <c r="Q486" s="61"/>
      <c r="R486" s="61"/>
      <c r="S486" s="61"/>
      <c r="T486" s="61"/>
      <c r="U486" s="61"/>
      <c r="V486" s="61"/>
      <c r="W486" s="61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spans="1:36" ht="11.25" customHeight="1" x14ac:dyDescent="0.2">
      <c r="A487" s="57" t="s">
        <v>28</v>
      </c>
      <c r="B487" s="57" t="s">
        <v>35</v>
      </c>
      <c r="C487" s="57" t="s">
        <v>44</v>
      </c>
      <c r="D487" s="57" t="s">
        <v>42</v>
      </c>
      <c r="E487" s="57" t="s">
        <v>25</v>
      </c>
      <c r="F487" s="57" t="s">
        <v>25</v>
      </c>
      <c r="G487" s="57" t="s">
        <v>25</v>
      </c>
      <c r="H487" s="57" t="s">
        <v>37</v>
      </c>
      <c r="I487" s="82">
        <v>44228</v>
      </c>
      <c r="J487" s="83">
        <f ca="1">EFEITO!$J$487*EFEITO!$Y$487</f>
        <v>60284.049653652932</v>
      </c>
      <c r="K487" s="83">
        <f ca="1">EFEITO!$L$487*EFEITO!$Z$487</f>
        <v>1884.1481166437966</v>
      </c>
      <c r="L487" s="83">
        <f>EFEITO!$N$487*EFEITO!$AA$487</f>
        <v>5079.8477180074915</v>
      </c>
      <c r="M487" s="83">
        <f ca="1">$J$487-EFEITO!$K$487*EFEITO!$Y$487</f>
        <v>0</v>
      </c>
      <c r="N487" s="83">
        <f ca="1">$K$487-EFEITO!$M$487*EFEITO!$Z$487</f>
        <v>0</v>
      </c>
      <c r="O487" s="83">
        <f>$L$487-EFEITO!$O$487*EFEITO!$AA$487</f>
        <v>0</v>
      </c>
      <c r="P487" s="61"/>
      <c r="Q487" s="61"/>
      <c r="R487" s="61"/>
      <c r="S487" s="61"/>
      <c r="T487" s="61"/>
      <c r="U487" s="61"/>
      <c r="V487" s="61"/>
      <c r="W487" s="61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spans="1:36" ht="11.25" customHeight="1" x14ac:dyDescent="0.2">
      <c r="A488" s="57" t="s">
        <v>29</v>
      </c>
      <c r="B488" s="57" t="s">
        <v>35</v>
      </c>
      <c r="C488" s="57" t="s">
        <v>44</v>
      </c>
      <c r="D488" s="57" t="s">
        <v>42</v>
      </c>
      <c r="E488" s="57" t="s">
        <v>25</v>
      </c>
      <c r="F488" s="57" t="s">
        <v>25</v>
      </c>
      <c r="G488" s="57" t="s">
        <v>25</v>
      </c>
      <c r="H488" s="57" t="s">
        <v>37</v>
      </c>
      <c r="I488" s="82">
        <v>44228</v>
      </c>
      <c r="J488" s="83">
        <f ca="1">EFEITO!$J$488*EFEITO!$Y$488</f>
        <v>-22939.948098292709</v>
      </c>
      <c r="K488" s="83">
        <f ca="1">EFEITO!$L$488*EFEITO!$Z$488</f>
        <v>0</v>
      </c>
      <c r="L488" s="83">
        <f>EFEITO!$N$488*EFEITO!$AA$488</f>
        <v>0</v>
      </c>
      <c r="M488" s="83">
        <f ca="1">$J$488-EFEITO!$K$488*EFEITO!$Y$488</f>
        <v>0</v>
      </c>
      <c r="N488" s="83">
        <f ca="1">$K$488-EFEITO!$M$488*EFEITO!$Z$488</f>
        <v>0</v>
      </c>
      <c r="O488" s="83">
        <f>$L$488-EFEITO!$O$488*EFEITO!$AA$488</f>
        <v>0</v>
      </c>
      <c r="P488" s="61"/>
      <c r="Q488" s="61"/>
      <c r="R488" s="61"/>
      <c r="S488" s="61"/>
      <c r="T488" s="61"/>
      <c r="U488" s="61"/>
      <c r="V488" s="61"/>
      <c r="W488" s="61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spans="1:36" ht="11.25" customHeight="1" x14ac:dyDescent="0.2">
      <c r="A489" s="57" t="s">
        <v>30</v>
      </c>
      <c r="B489" s="57" t="s">
        <v>35</v>
      </c>
      <c r="C489" s="57" t="s">
        <v>44</v>
      </c>
      <c r="D489" s="57" t="s">
        <v>42</v>
      </c>
      <c r="E489" s="57" t="s">
        <v>25</v>
      </c>
      <c r="F489" s="57" t="s">
        <v>25</v>
      </c>
      <c r="G489" s="57" t="s">
        <v>25</v>
      </c>
      <c r="H489" s="57" t="s">
        <v>37</v>
      </c>
      <c r="I489" s="82">
        <v>44228</v>
      </c>
      <c r="J489" s="83">
        <f ca="1">EFEITO!$J$489*EFEITO!$Y$489</f>
        <v>90277.883601291454</v>
      </c>
      <c r="K489" s="83">
        <f ca="1">EFEITO!$L$489*EFEITO!$Z$489</f>
        <v>13294.020653074782</v>
      </c>
      <c r="L489" s="83">
        <f>EFEITO!$N$489*EFEITO!$AA$489</f>
        <v>35841.980723871842</v>
      </c>
      <c r="M489" s="83">
        <f ca="1">$J$489-EFEITO!$K$489*EFEITO!$Y$489</f>
        <v>0</v>
      </c>
      <c r="N489" s="83">
        <f ca="1">$K$489-EFEITO!$M$489*EFEITO!$Z$489</f>
        <v>0</v>
      </c>
      <c r="O489" s="83">
        <f>$L$489-EFEITO!$O$489*EFEITO!$AA$489</f>
        <v>0</v>
      </c>
      <c r="P489" s="61"/>
      <c r="Q489" s="61"/>
      <c r="R489" s="61"/>
      <c r="S489" s="61"/>
      <c r="T489" s="61"/>
      <c r="U489" s="61"/>
      <c r="V489" s="61"/>
      <c r="W489" s="61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spans="1:36" ht="11.25" customHeight="1" x14ac:dyDescent="0.2">
      <c r="A490" s="57" t="s">
        <v>21</v>
      </c>
      <c r="B490" s="57" t="s">
        <v>35</v>
      </c>
      <c r="C490" s="57" t="s">
        <v>44</v>
      </c>
      <c r="D490" s="57" t="s">
        <v>42</v>
      </c>
      <c r="E490" s="57" t="s">
        <v>25</v>
      </c>
      <c r="F490" s="57" t="s">
        <v>25</v>
      </c>
      <c r="G490" s="57" t="s">
        <v>25</v>
      </c>
      <c r="H490" s="57" t="s">
        <v>37</v>
      </c>
      <c r="I490" s="82">
        <v>44228</v>
      </c>
      <c r="J490" s="83">
        <f ca="1">EFEITO!$J$490*EFEITO!$Y$490</f>
        <v>346529.55189307278</v>
      </c>
      <c r="K490" s="83">
        <f ca="1">EFEITO!$L$490*EFEITO!$Z$490</f>
        <v>0</v>
      </c>
      <c r="L490" s="83">
        <f>EFEITO!$N$490*EFEITO!$AA$490</f>
        <v>0</v>
      </c>
      <c r="M490" s="83">
        <f ca="1">$J$490-EFEITO!$K$490*EFEITO!$Y$490</f>
        <v>0</v>
      </c>
      <c r="N490" s="83">
        <f ca="1">$K$490-EFEITO!$M$490*EFEITO!$Z$490</f>
        <v>0</v>
      </c>
      <c r="O490" s="83">
        <f>$L$490-EFEITO!$O$490*EFEITO!$AA$490</f>
        <v>0</v>
      </c>
      <c r="P490" s="61"/>
      <c r="Q490" s="61"/>
      <c r="R490" s="61"/>
      <c r="S490" s="61"/>
      <c r="T490" s="61"/>
      <c r="U490" s="61"/>
      <c r="V490" s="61"/>
      <c r="W490" s="61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spans="1:36" ht="11.25" customHeight="1" x14ac:dyDescent="0.2">
      <c r="A491" s="57" t="s">
        <v>21</v>
      </c>
      <c r="B491" s="57" t="s">
        <v>35</v>
      </c>
      <c r="C491" s="57" t="s">
        <v>44</v>
      </c>
      <c r="D491" s="57" t="s">
        <v>42</v>
      </c>
      <c r="E491" s="57" t="s">
        <v>25</v>
      </c>
      <c r="F491" s="57" t="s">
        <v>25</v>
      </c>
      <c r="G491" s="57" t="s">
        <v>25</v>
      </c>
      <c r="H491" s="57" t="s">
        <v>37</v>
      </c>
      <c r="I491" s="82">
        <v>44256</v>
      </c>
      <c r="J491" s="83">
        <f ca="1">EFEITO!$J$491*EFEITO!$Y$491</f>
        <v>1293528.5462556679</v>
      </c>
      <c r="K491" s="83">
        <f ca="1">EFEITO!$L$491*EFEITO!$Z$491</f>
        <v>118103.27735822124</v>
      </c>
      <c r="L491" s="83">
        <f>EFEITO!$N$491*EFEITO!$AA$491</f>
        <v>318417.99414689408</v>
      </c>
      <c r="M491" s="83">
        <f ca="1">$J$491-EFEITO!$K$491*EFEITO!$Y$491</f>
        <v>0</v>
      </c>
      <c r="N491" s="83">
        <f ca="1">$K$491-EFEITO!$M$491*EFEITO!$Z$491</f>
        <v>0</v>
      </c>
      <c r="O491" s="83">
        <f>$L$491-EFEITO!$O$491*EFEITO!$AA$491</f>
        <v>0</v>
      </c>
      <c r="P491" s="61"/>
      <c r="Q491" s="61"/>
      <c r="R491" s="61"/>
      <c r="S491" s="61"/>
      <c r="T491" s="61"/>
      <c r="U491" s="61"/>
      <c r="V491" s="61"/>
      <c r="W491" s="61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spans="1:36" ht="11.25" customHeight="1" x14ac:dyDescent="0.2">
      <c r="A492" s="57" t="s">
        <v>28</v>
      </c>
      <c r="B492" s="57" t="s">
        <v>35</v>
      </c>
      <c r="C492" s="57" t="s">
        <v>44</v>
      </c>
      <c r="D492" s="57" t="s">
        <v>42</v>
      </c>
      <c r="E492" s="57" t="s">
        <v>25</v>
      </c>
      <c r="F492" s="57" t="s">
        <v>25</v>
      </c>
      <c r="G492" s="57" t="s">
        <v>25</v>
      </c>
      <c r="H492" s="57" t="s">
        <v>37</v>
      </c>
      <c r="I492" s="82">
        <v>44256</v>
      </c>
      <c r="J492" s="83">
        <f ca="1">EFEITO!$J$492*EFEITO!$Y$492</f>
        <v>60284.049653652932</v>
      </c>
      <c r="K492" s="83">
        <f ca="1">EFEITO!$L$492*EFEITO!$Z$492</f>
        <v>3567.4282827429729</v>
      </c>
      <c r="L492" s="83">
        <f>EFEITO!$N$492*EFEITO!$AA$492</f>
        <v>9618.1357830443267</v>
      </c>
      <c r="M492" s="83">
        <f ca="1">$J$492-EFEITO!$K$492*EFEITO!$Y$492</f>
        <v>0</v>
      </c>
      <c r="N492" s="83">
        <f ca="1">$K$492-EFEITO!$M$492*EFEITO!$Z$492</f>
        <v>0</v>
      </c>
      <c r="O492" s="83">
        <f>$L$492-EFEITO!$O$492*EFEITO!$AA$492</f>
        <v>0</v>
      </c>
      <c r="P492" s="61"/>
      <c r="Q492" s="61"/>
      <c r="R492" s="61"/>
      <c r="S492" s="61"/>
      <c r="T492" s="61"/>
      <c r="U492" s="61"/>
      <c r="V492" s="61"/>
      <c r="W492" s="61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spans="1:36" ht="11.25" customHeight="1" x14ac:dyDescent="0.2">
      <c r="A493" s="57" t="s">
        <v>30</v>
      </c>
      <c r="B493" s="57" t="s">
        <v>35</v>
      </c>
      <c r="C493" s="57" t="s">
        <v>44</v>
      </c>
      <c r="D493" s="57" t="s">
        <v>42</v>
      </c>
      <c r="E493" s="57" t="s">
        <v>25</v>
      </c>
      <c r="F493" s="57" t="s">
        <v>25</v>
      </c>
      <c r="G493" s="57" t="s">
        <v>25</v>
      </c>
      <c r="H493" s="57" t="s">
        <v>37</v>
      </c>
      <c r="I493" s="82">
        <v>44256</v>
      </c>
      <c r="J493" s="83">
        <f ca="1">EFEITO!$J$493*EFEITO!$Y$493</f>
        <v>94842.162680279929</v>
      </c>
      <c r="K493" s="83">
        <f ca="1">EFEITO!$L$493*EFEITO!$Z$493</f>
        <v>16358.605005930884</v>
      </c>
      <c r="L493" s="83">
        <f>EFEITO!$N$493*EFEITO!$AA$493</f>
        <v>44104.400060217798</v>
      </c>
      <c r="M493" s="83">
        <f ca="1">$J$493-EFEITO!$K$493*EFEITO!$Y$493</f>
        <v>0</v>
      </c>
      <c r="N493" s="83">
        <f ca="1">$K$493-EFEITO!$M$493*EFEITO!$Z$493</f>
        <v>0</v>
      </c>
      <c r="O493" s="83">
        <f>$L$493-EFEITO!$O$493*EFEITO!$AA$493</f>
        <v>0</v>
      </c>
      <c r="P493" s="61"/>
      <c r="Q493" s="61"/>
      <c r="R493" s="61"/>
      <c r="S493" s="61"/>
      <c r="T493" s="61"/>
      <c r="U493" s="61"/>
      <c r="V493" s="61"/>
      <c r="W493" s="61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spans="1:36" ht="11.25" customHeight="1" x14ac:dyDescent="0.2">
      <c r="A494" s="57" t="s">
        <v>21</v>
      </c>
      <c r="B494" s="57" t="s">
        <v>35</v>
      </c>
      <c r="C494" s="57" t="s">
        <v>44</v>
      </c>
      <c r="D494" s="57" t="s">
        <v>42</v>
      </c>
      <c r="E494" s="57" t="s">
        <v>25</v>
      </c>
      <c r="F494" s="57" t="s">
        <v>25</v>
      </c>
      <c r="G494" s="57" t="s">
        <v>25</v>
      </c>
      <c r="H494" s="57" t="s">
        <v>37</v>
      </c>
      <c r="I494" s="82">
        <v>44256</v>
      </c>
      <c r="J494" s="83">
        <f ca="1">EFEITO!$J$494*EFEITO!$Y$494</f>
        <v>343210.07619926299</v>
      </c>
      <c r="K494" s="83">
        <f ca="1">EFEITO!$L$494*EFEITO!$Z$494</f>
        <v>0</v>
      </c>
      <c r="L494" s="83">
        <f>EFEITO!$N$494*EFEITO!$AA$494</f>
        <v>0</v>
      </c>
      <c r="M494" s="83">
        <f ca="1">$J$494-EFEITO!$K$494*EFEITO!$Y$494</f>
        <v>0</v>
      </c>
      <c r="N494" s="83">
        <f ca="1">$K$494-EFEITO!$M$494*EFEITO!$Z$494</f>
        <v>0</v>
      </c>
      <c r="O494" s="83">
        <f>$L$494-EFEITO!$O$494*EFEITO!$AA$494</f>
        <v>0</v>
      </c>
      <c r="P494" s="61"/>
      <c r="Q494" s="61"/>
      <c r="R494" s="61"/>
      <c r="S494" s="61"/>
      <c r="T494" s="61"/>
      <c r="U494" s="61"/>
      <c r="V494" s="61"/>
      <c r="W494" s="61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spans="1:36" ht="11.25" customHeight="1" x14ac:dyDescent="0.2">
      <c r="A495" s="57" t="s">
        <v>21</v>
      </c>
      <c r="B495" s="57" t="s">
        <v>35</v>
      </c>
      <c r="C495" s="57" t="s">
        <v>44</v>
      </c>
      <c r="D495" s="57" t="s">
        <v>42</v>
      </c>
      <c r="E495" s="57" t="s">
        <v>25</v>
      </c>
      <c r="F495" s="57" t="s">
        <v>25</v>
      </c>
      <c r="G495" s="57" t="s">
        <v>25</v>
      </c>
      <c r="H495" s="57" t="s">
        <v>37</v>
      </c>
      <c r="I495" s="82">
        <v>44287</v>
      </c>
      <c r="J495" s="83">
        <f ca="1">EFEITO!$J$495*EFEITO!$Y$495</f>
        <v>1243617.8581451706</v>
      </c>
      <c r="K495" s="83">
        <f ca="1">EFEITO!$L$495*EFEITO!$Z$495</f>
        <v>92889.799703575423</v>
      </c>
      <c r="L495" s="83">
        <f>EFEITO!$N$495*EFEITO!$AA$495</f>
        <v>250439.99082774238</v>
      </c>
      <c r="M495" s="83">
        <f ca="1">$J$495-EFEITO!$K$495*EFEITO!$Y$495</f>
        <v>0</v>
      </c>
      <c r="N495" s="83">
        <f ca="1">$K$495-EFEITO!$M$495*EFEITO!$Z$495</f>
        <v>0</v>
      </c>
      <c r="O495" s="83">
        <f>$L$495-EFEITO!$O$495*EFEITO!$AA$495</f>
        <v>0</v>
      </c>
      <c r="P495" s="61"/>
      <c r="Q495" s="61"/>
      <c r="R495" s="61"/>
      <c r="S495" s="61"/>
      <c r="T495" s="61"/>
      <c r="U495" s="61"/>
      <c r="V495" s="61"/>
      <c r="W495" s="61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spans="1:36" ht="11.25" customHeight="1" x14ac:dyDescent="0.2">
      <c r="A496" s="57" t="s">
        <v>28</v>
      </c>
      <c r="B496" s="57" t="s">
        <v>35</v>
      </c>
      <c r="C496" s="57" t="s">
        <v>44</v>
      </c>
      <c r="D496" s="57" t="s">
        <v>42</v>
      </c>
      <c r="E496" s="57" t="s">
        <v>25</v>
      </c>
      <c r="F496" s="57" t="s">
        <v>25</v>
      </c>
      <c r="G496" s="57" t="s">
        <v>25</v>
      </c>
      <c r="H496" s="57" t="s">
        <v>37</v>
      </c>
      <c r="I496" s="82">
        <v>44287</v>
      </c>
      <c r="J496" s="83">
        <f ca="1">EFEITO!$J$496*EFEITO!$Y$496</f>
        <v>49673.582703796616</v>
      </c>
      <c r="K496" s="83">
        <f ca="1">EFEITO!$L$496*EFEITO!$Z$496</f>
        <v>3236.4680018120703</v>
      </c>
      <c r="L496" s="83">
        <f>EFEITO!$N$496*EFEITO!$AA$496</f>
        <v>8725.8344756329388</v>
      </c>
      <c r="M496" s="83">
        <f ca="1">$J$496-EFEITO!$K$496*EFEITO!$Y$496</f>
        <v>0</v>
      </c>
      <c r="N496" s="83">
        <f ca="1">$K$496-EFEITO!$M$496*EFEITO!$Z$496</f>
        <v>0</v>
      </c>
      <c r="O496" s="83">
        <f>$L$496-EFEITO!$O$496*EFEITO!$AA$496</f>
        <v>0</v>
      </c>
      <c r="P496" s="61"/>
      <c r="Q496" s="61"/>
      <c r="R496" s="61"/>
      <c r="S496" s="61"/>
      <c r="T496" s="61"/>
      <c r="U496" s="61"/>
      <c r="V496" s="61"/>
      <c r="W496" s="61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spans="1:36" ht="11.25" customHeight="1" x14ac:dyDescent="0.2">
      <c r="A497" s="57" t="s">
        <v>29</v>
      </c>
      <c r="B497" s="57" t="s">
        <v>35</v>
      </c>
      <c r="C497" s="57" t="s">
        <v>44</v>
      </c>
      <c r="D497" s="57" t="s">
        <v>42</v>
      </c>
      <c r="E497" s="57" t="s">
        <v>25</v>
      </c>
      <c r="F497" s="57" t="s">
        <v>25</v>
      </c>
      <c r="G497" s="57" t="s">
        <v>25</v>
      </c>
      <c r="H497" s="57" t="s">
        <v>37</v>
      </c>
      <c r="I497" s="82">
        <v>44287</v>
      </c>
      <c r="J497" s="83">
        <f ca="1">EFEITO!$J$497*EFEITO!$Y$497</f>
        <v>0</v>
      </c>
      <c r="K497" s="83">
        <f ca="1">EFEITO!$L$497*EFEITO!$Z$497</f>
        <v>-168.51338132937991</v>
      </c>
      <c r="L497" s="83">
        <f>EFEITO!$N$497*EFEITO!$AA$497</f>
        <v>-454.3285679284046</v>
      </c>
      <c r="M497" s="83">
        <f ca="1">$J$497-EFEITO!$K$497*EFEITO!$Y$497</f>
        <v>0</v>
      </c>
      <c r="N497" s="83">
        <f ca="1">$K$497-EFEITO!$M$497*EFEITO!$Z$497</f>
        <v>0</v>
      </c>
      <c r="O497" s="83">
        <f>$L$497-EFEITO!$O$497*EFEITO!$AA$497</f>
        <v>0</v>
      </c>
      <c r="P497" s="61"/>
      <c r="Q497" s="61"/>
      <c r="R497" s="61"/>
      <c r="S497" s="61"/>
      <c r="T497" s="61"/>
      <c r="U497" s="61"/>
      <c r="V497" s="61"/>
      <c r="W497" s="61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spans="1:36" ht="11.25" customHeight="1" x14ac:dyDescent="0.2">
      <c r="A498" s="57" t="s">
        <v>30</v>
      </c>
      <c r="B498" s="57" t="s">
        <v>35</v>
      </c>
      <c r="C498" s="57" t="s">
        <v>44</v>
      </c>
      <c r="D498" s="57" t="s">
        <v>42</v>
      </c>
      <c r="E498" s="57" t="s">
        <v>25</v>
      </c>
      <c r="F498" s="57" t="s">
        <v>25</v>
      </c>
      <c r="G498" s="57" t="s">
        <v>25</v>
      </c>
      <c r="H498" s="57" t="s">
        <v>37</v>
      </c>
      <c r="I498" s="82">
        <v>44287</v>
      </c>
      <c r="J498" s="83">
        <f ca="1">EFEITO!$J$498*EFEITO!$Y$498</f>
        <v>94842.162680279929</v>
      </c>
      <c r="K498" s="83">
        <f ca="1">EFEITO!$L$498*EFEITO!$Z$498</f>
        <v>14204.66696577875</v>
      </c>
      <c r="L498" s="83">
        <f>EFEITO!$N$498*EFEITO!$AA$498</f>
        <v>38297.172304956934</v>
      </c>
      <c r="M498" s="83">
        <f ca="1">$J$498-EFEITO!$K$498*EFEITO!$Y$498</f>
        <v>0</v>
      </c>
      <c r="N498" s="83">
        <f ca="1">$K$498-EFEITO!$M$498*EFEITO!$Z$498</f>
        <v>0</v>
      </c>
      <c r="O498" s="83">
        <f>$L$498-EFEITO!$O$498*EFEITO!$AA$498</f>
        <v>0</v>
      </c>
      <c r="P498" s="61"/>
      <c r="Q498" s="61"/>
      <c r="R498" s="61"/>
      <c r="S498" s="61"/>
      <c r="T498" s="61"/>
      <c r="U498" s="61"/>
      <c r="V498" s="61"/>
      <c r="W498" s="61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spans="1:36" ht="11.25" customHeight="1" x14ac:dyDescent="0.2">
      <c r="A499" s="57" t="s">
        <v>21</v>
      </c>
      <c r="B499" s="57" t="s">
        <v>35</v>
      </c>
      <c r="C499" s="57" t="s">
        <v>44</v>
      </c>
      <c r="D499" s="57" t="s">
        <v>42</v>
      </c>
      <c r="E499" s="57" t="s">
        <v>25</v>
      </c>
      <c r="F499" s="57" t="s">
        <v>25</v>
      </c>
      <c r="G499" s="57" t="s">
        <v>25</v>
      </c>
      <c r="H499" s="57" t="s">
        <v>37</v>
      </c>
      <c r="I499" s="82">
        <v>44287</v>
      </c>
      <c r="J499" s="83">
        <f ca="1">EFEITO!$J$499*EFEITO!$Y$499</f>
        <v>354591.13572089659</v>
      </c>
      <c r="K499" s="83">
        <f ca="1">EFEITO!$L$499*EFEITO!$Z$499</f>
        <v>0</v>
      </c>
      <c r="L499" s="83">
        <f>EFEITO!$N$499*EFEITO!$AA$499</f>
        <v>0</v>
      </c>
      <c r="M499" s="83">
        <f ca="1">$J$499-EFEITO!$K$499*EFEITO!$Y$499</f>
        <v>0</v>
      </c>
      <c r="N499" s="83">
        <f ca="1">$K$499-EFEITO!$M$499*EFEITO!$Z$499</f>
        <v>0</v>
      </c>
      <c r="O499" s="83">
        <f>$L$499-EFEITO!$O$499*EFEITO!$AA$499</f>
        <v>0</v>
      </c>
      <c r="P499" s="61"/>
      <c r="Q499" s="61"/>
      <c r="R499" s="61"/>
      <c r="S499" s="61"/>
      <c r="T499" s="61"/>
      <c r="U499" s="61"/>
      <c r="V499" s="61"/>
      <c r="W499" s="61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spans="1:36" ht="11.25" customHeight="1" x14ac:dyDescent="0.2">
      <c r="A500" s="57" t="s">
        <v>21</v>
      </c>
      <c r="B500" s="57" t="s">
        <v>35</v>
      </c>
      <c r="C500" s="57" t="s">
        <v>44</v>
      </c>
      <c r="D500" s="57" t="s">
        <v>42</v>
      </c>
      <c r="E500" s="57" t="s">
        <v>25</v>
      </c>
      <c r="F500" s="57" t="s">
        <v>25</v>
      </c>
      <c r="G500" s="57" t="s">
        <v>25</v>
      </c>
      <c r="H500" s="57" t="s">
        <v>37</v>
      </c>
      <c r="I500" s="82">
        <v>44317</v>
      </c>
      <c r="J500" s="83">
        <f ca="1">EFEITO!$J$500*EFEITO!$Y$500</f>
        <v>1038758.7867557659</v>
      </c>
      <c r="K500" s="83">
        <f ca="1">EFEITO!$L$500*EFEITO!$Z$500</f>
        <v>81303.999197036566</v>
      </c>
      <c r="L500" s="83">
        <f>EFEITO!$N$500*EFEITO!$AA$500</f>
        <v>219203.53879696078</v>
      </c>
      <c r="M500" s="83">
        <f ca="1">$J$500-EFEITO!$K$500*EFEITO!$Y$500</f>
        <v>0</v>
      </c>
      <c r="N500" s="83">
        <f ca="1">$K$500-EFEITO!$M$500*EFEITO!$Z$500</f>
        <v>0</v>
      </c>
      <c r="O500" s="83">
        <f>$L$500-EFEITO!$O$500*EFEITO!$AA$500</f>
        <v>0</v>
      </c>
      <c r="P500" s="61"/>
      <c r="Q500" s="61"/>
      <c r="R500" s="61"/>
      <c r="S500" s="61"/>
      <c r="T500" s="61"/>
      <c r="U500" s="61"/>
      <c r="V500" s="61"/>
      <c r="W500" s="61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spans="1:36" ht="11.25" customHeight="1" x14ac:dyDescent="0.2">
      <c r="A501" s="57" t="s">
        <v>27</v>
      </c>
      <c r="B501" s="57" t="s">
        <v>35</v>
      </c>
      <c r="C501" s="57" t="s">
        <v>44</v>
      </c>
      <c r="D501" s="57" t="s">
        <v>42</v>
      </c>
      <c r="E501" s="57" t="s">
        <v>25</v>
      </c>
      <c r="F501" s="57" t="s">
        <v>25</v>
      </c>
      <c r="G501" s="57" t="s">
        <v>25</v>
      </c>
      <c r="H501" s="57" t="s">
        <v>37</v>
      </c>
      <c r="I501" s="82">
        <v>44317</v>
      </c>
      <c r="J501" s="83">
        <f ca="1">EFEITO!$J$501*EFEITO!$Y$501</f>
        <v>73028.465263815553</v>
      </c>
      <c r="K501" s="83">
        <f ca="1">EFEITO!$L$501*EFEITO!$Z$501</f>
        <v>11515.193399761847</v>
      </c>
      <c r="L501" s="83">
        <f>EFEITO!$N$501*EFEITO!$AA$501</f>
        <v>31046.088360819602</v>
      </c>
      <c r="M501" s="83">
        <f ca="1">$J$501-EFEITO!$K$501*EFEITO!$Y$501</f>
        <v>0</v>
      </c>
      <c r="N501" s="83">
        <f ca="1">$K$501-EFEITO!$M$501*EFEITO!$Z$501</f>
        <v>0</v>
      </c>
      <c r="O501" s="83">
        <f>$L$501-EFEITO!$O$501*EFEITO!$AA$501</f>
        <v>0</v>
      </c>
      <c r="P501" s="61"/>
      <c r="Q501" s="61"/>
      <c r="R501" s="61"/>
      <c r="S501" s="61"/>
      <c r="T501" s="61"/>
      <c r="U501" s="61"/>
      <c r="V501" s="61"/>
      <c r="W501" s="61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spans="1:36" ht="11.25" customHeight="1" x14ac:dyDescent="0.2">
      <c r="A502" s="57" t="s">
        <v>28</v>
      </c>
      <c r="B502" s="57" t="s">
        <v>35</v>
      </c>
      <c r="C502" s="57" t="s">
        <v>44</v>
      </c>
      <c r="D502" s="57" t="s">
        <v>42</v>
      </c>
      <c r="E502" s="57" t="s">
        <v>25</v>
      </c>
      <c r="F502" s="57" t="s">
        <v>25</v>
      </c>
      <c r="G502" s="57" t="s">
        <v>25</v>
      </c>
      <c r="H502" s="57" t="s">
        <v>37</v>
      </c>
      <c r="I502" s="82">
        <v>44317</v>
      </c>
      <c r="J502" s="83">
        <f ca="1">EFEITO!$J$502*EFEITO!$Y$502</f>
        <v>49673.582703796616</v>
      </c>
      <c r="K502" s="83">
        <f ca="1">EFEITO!$L$502*EFEITO!$Z$502</f>
        <v>3086.4910924289225</v>
      </c>
      <c r="L502" s="83">
        <f>EFEITO!$N$502*EFEITO!$AA$502</f>
        <v>8321.482050176659</v>
      </c>
      <c r="M502" s="83">
        <f ca="1">$J$502-EFEITO!$K$502*EFEITO!$Y$502</f>
        <v>0</v>
      </c>
      <c r="N502" s="83">
        <f ca="1">$K$502-EFEITO!$M$502*EFEITO!$Z$502</f>
        <v>0</v>
      </c>
      <c r="O502" s="83">
        <f>$L$502-EFEITO!$O$502*EFEITO!$AA$502</f>
        <v>0</v>
      </c>
      <c r="P502" s="61"/>
      <c r="Q502" s="61"/>
      <c r="R502" s="61"/>
      <c r="S502" s="61"/>
      <c r="T502" s="61"/>
      <c r="U502" s="61"/>
      <c r="V502" s="61"/>
      <c r="W502" s="61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spans="1:36" ht="11.25" customHeight="1" x14ac:dyDescent="0.2">
      <c r="A503" s="57" t="s">
        <v>30</v>
      </c>
      <c r="B503" s="57" t="s">
        <v>35</v>
      </c>
      <c r="C503" s="57" t="s">
        <v>44</v>
      </c>
      <c r="D503" s="57" t="s">
        <v>42</v>
      </c>
      <c r="E503" s="57" t="s">
        <v>25</v>
      </c>
      <c r="F503" s="57" t="s">
        <v>25</v>
      </c>
      <c r="G503" s="57" t="s">
        <v>25</v>
      </c>
      <c r="H503" s="57" t="s">
        <v>37</v>
      </c>
      <c r="I503" s="82">
        <v>44317</v>
      </c>
      <c r="J503" s="83">
        <f ca="1">EFEITO!$J$503*EFEITO!$Y$503</f>
        <v>94842.162680279929</v>
      </c>
      <c r="K503" s="83">
        <f ca="1">EFEITO!$L$503*EFEITO!$Z$503</f>
        <v>14768.512739706855</v>
      </c>
      <c r="L503" s="83">
        <f>EFEITO!$N$503*EFEITO!$AA$503</f>
        <v>39817.355693245379</v>
      </c>
      <c r="M503" s="83">
        <f ca="1">$J$503-EFEITO!$K$503*EFEITO!$Y$503</f>
        <v>0</v>
      </c>
      <c r="N503" s="83">
        <f ca="1">$K$503-EFEITO!$M$503*EFEITO!$Z$503</f>
        <v>0</v>
      </c>
      <c r="O503" s="83">
        <f>$L$503-EFEITO!$O$503*EFEITO!$AA$503</f>
        <v>0</v>
      </c>
      <c r="P503" s="61"/>
      <c r="Q503" s="61"/>
      <c r="R503" s="61"/>
      <c r="S503" s="61"/>
      <c r="T503" s="61"/>
      <c r="U503" s="61"/>
      <c r="V503" s="61"/>
      <c r="W503" s="61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spans="1:36" ht="11.25" customHeight="1" x14ac:dyDescent="0.2">
      <c r="A504" s="57" t="s">
        <v>21</v>
      </c>
      <c r="B504" s="57" t="s">
        <v>35</v>
      </c>
      <c r="C504" s="57" t="s">
        <v>44</v>
      </c>
      <c r="D504" s="57" t="s">
        <v>42</v>
      </c>
      <c r="E504" s="57" t="s">
        <v>25</v>
      </c>
      <c r="F504" s="57" t="s">
        <v>25</v>
      </c>
      <c r="G504" s="57" t="s">
        <v>25</v>
      </c>
      <c r="H504" s="57" t="s">
        <v>37</v>
      </c>
      <c r="I504" s="82">
        <v>44317</v>
      </c>
      <c r="J504" s="83">
        <f ca="1">EFEITO!$J$504*EFEITO!$Y$504</f>
        <v>331947.56938097975</v>
      </c>
      <c r="K504" s="83">
        <f ca="1">EFEITO!$L$504*EFEITO!$Z$504</f>
        <v>0</v>
      </c>
      <c r="L504" s="83">
        <f>EFEITO!$N$504*EFEITO!$AA$504</f>
        <v>0</v>
      </c>
      <c r="M504" s="83">
        <f ca="1">$J$504-EFEITO!$K$504*EFEITO!$Y$504</f>
        <v>0</v>
      </c>
      <c r="N504" s="83">
        <f ca="1">$K$504-EFEITO!$M$504*EFEITO!$Z$504</f>
        <v>0</v>
      </c>
      <c r="O504" s="83">
        <f>$L$504-EFEITO!$O$504*EFEITO!$AA$504</f>
        <v>0</v>
      </c>
      <c r="P504" s="61"/>
      <c r="Q504" s="61"/>
      <c r="R504" s="61"/>
      <c r="S504" s="61"/>
      <c r="T504" s="61"/>
      <c r="U504" s="61"/>
      <c r="V504" s="61"/>
      <c r="W504" s="61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spans="1:36" ht="11.25" customHeight="1" x14ac:dyDescent="0.2">
      <c r="A505" s="57" t="s">
        <v>21</v>
      </c>
      <c r="B505" s="57" t="s">
        <v>35</v>
      </c>
      <c r="C505" s="57" t="s">
        <v>44</v>
      </c>
      <c r="D505" s="57" t="s">
        <v>42</v>
      </c>
      <c r="E505" s="57" t="s">
        <v>25</v>
      </c>
      <c r="F505" s="57" t="s">
        <v>25</v>
      </c>
      <c r="G505" s="57" t="s">
        <v>25</v>
      </c>
      <c r="H505" s="57" t="s">
        <v>37</v>
      </c>
      <c r="I505" s="82">
        <v>44348</v>
      </c>
      <c r="J505" s="83">
        <f ca="1">EFEITO!$J$505*EFEITO!$Y$505</f>
        <v>974147.56342982524</v>
      </c>
      <c r="K505" s="83">
        <f ca="1">EFEITO!$L$505*EFEITO!$Z$505</f>
        <v>83218.985262463626</v>
      </c>
      <c r="L505" s="83">
        <f>EFEITO!$N$505*EFEITO!$AA$505</f>
        <v>224366.52864289918</v>
      </c>
      <c r="M505" s="83">
        <f ca="1">$J$505-EFEITO!$K$505*EFEITO!$Y$505</f>
        <v>0</v>
      </c>
      <c r="N505" s="83">
        <f ca="1">$K$505-EFEITO!$M$505*EFEITO!$Z$505</f>
        <v>0</v>
      </c>
      <c r="O505" s="83">
        <f>$L$505-EFEITO!$O$505*EFEITO!$AA$505</f>
        <v>0</v>
      </c>
      <c r="P505" s="61"/>
      <c r="Q505" s="61"/>
      <c r="R505" s="61"/>
      <c r="S505" s="61"/>
      <c r="T505" s="61"/>
      <c r="U505" s="61"/>
      <c r="V505" s="61"/>
      <c r="W505" s="61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spans="1:36" ht="11.25" customHeight="1" x14ac:dyDescent="0.2">
      <c r="A506" s="57" t="s">
        <v>27</v>
      </c>
      <c r="B506" s="57" t="s">
        <v>35</v>
      </c>
      <c r="C506" s="57" t="s">
        <v>44</v>
      </c>
      <c r="D506" s="57" t="s">
        <v>42</v>
      </c>
      <c r="E506" s="57" t="s">
        <v>25</v>
      </c>
      <c r="F506" s="57" t="s">
        <v>25</v>
      </c>
      <c r="G506" s="57" t="s">
        <v>25</v>
      </c>
      <c r="H506" s="57" t="s">
        <v>37</v>
      </c>
      <c r="I506" s="82">
        <v>44348</v>
      </c>
      <c r="J506" s="83">
        <f ca="1">EFEITO!$J$506*EFEITO!$Y$506</f>
        <v>-17901.458205902836</v>
      </c>
      <c r="K506" s="83">
        <f ca="1">EFEITO!$L$506*EFEITO!$Z$506</f>
        <v>-905.42239788275833</v>
      </c>
      <c r="L506" s="83">
        <f>EFEITO!$N$506*EFEITO!$AA$506</f>
        <v>-2441.1073954793178</v>
      </c>
      <c r="M506" s="83">
        <f ca="1">$J$506-EFEITO!$K$506*EFEITO!$Y$506</f>
        <v>0</v>
      </c>
      <c r="N506" s="83">
        <f ca="1">$K$506-EFEITO!$M$506*EFEITO!$Z$506</f>
        <v>0</v>
      </c>
      <c r="O506" s="83">
        <f>$L$506-EFEITO!$O$506*EFEITO!$AA$506</f>
        <v>0</v>
      </c>
      <c r="P506" s="61"/>
      <c r="Q506" s="61"/>
      <c r="R506" s="61"/>
      <c r="S506" s="61"/>
      <c r="T506" s="61"/>
      <c r="U506" s="61"/>
      <c r="V506" s="61"/>
      <c r="W506" s="61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spans="1:36" ht="11.25" customHeight="1" x14ac:dyDescent="0.2">
      <c r="A507" s="57" t="s">
        <v>28</v>
      </c>
      <c r="B507" s="57" t="s">
        <v>35</v>
      </c>
      <c r="C507" s="57" t="s">
        <v>44</v>
      </c>
      <c r="D507" s="57" t="s">
        <v>42</v>
      </c>
      <c r="E507" s="57" t="s">
        <v>25</v>
      </c>
      <c r="F507" s="57" t="s">
        <v>25</v>
      </c>
      <c r="G507" s="57" t="s">
        <v>25</v>
      </c>
      <c r="H507" s="57" t="s">
        <v>37</v>
      </c>
      <c r="I507" s="82">
        <v>44348</v>
      </c>
      <c r="J507" s="83">
        <f ca="1">EFEITO!$J$507*EFEITO!$Y$507</f>
        <v>49673.582703796616</v>
      </c>
      <c r="K507" s="83">
        <f ca="1">EFEITO!$L$507*EFEITO!$Z$507</f>
        <v>3443.7394608472077</v>
      </c>
      <c r="L507" s="83">
        <f>EFEITO!$N$507*EFEITO!$AA$507</f>
        <v>9284.6586141848766</v>
      </c>
      <c r="M507" s="83">
        <f ca="1">$J$507-EFEITO!$K$507*EFEITO!$Y$507</f>
        <v>0</v>
      </c>
      <c r="N507" s="83">
        <f ca="1">$K$507-EFEITO!$M$507*EFEITO!$Z$507</f>
        <v>0</v>
      </c>
      <c r="O507" s="83">
        <f>$L$507-EFEITO!$O$507*EFEITO!$AA$507</f>
        <v>0</v>
      </c>
      <c r="P507" s="61"/>
      <c r="Q507" s="61"/>
      <c r="R507" s="61"/>
      <c r="S507" s="61"/>
      <c r="T507" s="61"/>
      <c r="U507" s="61"/>
      <c r="V507" s="61"/>
      <c r="W507" s="61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spans="1:36" ht="11.25" customHeight="1" x14ac:dyDescent="0.2">
      <c r="A508" s="57" t="s">
        <v>29</v>
      </c>
      <c r="B508" s="57" t="s">
        <v>35</v>
      </c>
      <c r="C508" s="57" t="s">
        <v>44</v>
      </c>
      <c r="D508" s="57" t="s">
        <v>42</v>
      </c>
      <c r="E508" s="57" t="s">
        <v>25</v>
      </c>
      <c r="F508" s="57" t="s">
        <v>25</v>
      </c>
      <c r="G508" s="57" t="s">
        <v>25</v>
      </c>
      <c r="H508" s="57" t="s">
        <v>37</v>
      </c>
      <c r="I508" s="82">
        <v>44348</v>
      </c>
      <c r="J508" s="83">
        <f ca="1">EFEITO!$J$508*EFEITO!$Y$508</f>
        <v>-2963.8175837587478</v>
      </c>
      <c r="K508" s="83">
        <f ca="1">EFEITO!$L$508*EFEITO!$Z$508</f>
        <v>-230.6948190399211</v>
      </c>
      <c r="L508" s="83">
        <f>EFEITO!$N$508*EFEITO!$AA$508</f>
        <v>-621.97580949398593</v>
      </c>
      <c r="M508" s="83">
        <f ca="1">$J$508-EFEITO!$K$508*EFEITO!$Y$508</f>
        <v>0</v>
      </c>
      <c r="N508" s="83">
        <f ca="1">$K$508-EFEITO!$M$508*EFEITO!$Z$508</f>
        <v>0</v>
      </c>
      <c r="O508" s="83">
        <f>$L$508-EFEITO!$O$508*EFEITO!$AA$508</f>
        <v>0</v>
      </c>
      <c r="P508" s="61"/>
      <c r="Q508" s="61"/>
      <c r="R508" s="61"/>
      <c r="S508" s="61"/>
      <c r="T508" s="61"/>
      <c r="U508" s="61"/>
      <c r="V508" s="61"/>
      <c r="W508" s="61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spans="1:36" ht="11.25" customHeight="1" x14ac:dyDescent="0.2">
      <c r="A509" s="57" t="s">
        <v>30</v>
      </c>
      <c r="B509" s="57" t="s">
        <v>35</v>
      </c>
      <c r="C509" s="57" t="s">
        <v>44</v>
      </c>
      <c r="D509" s="57" t="s">
        <v>42</v>
      </c>
      <c r="E509" s="57" t="s">
        <v>25</v>
      </c>
      <c r="F509" s="57" t="s">
        <v>25</v>
      </c>
      <c r="G509" s="57" t="s">
        <v>25</v>
      </c>
      <c r="H509" s="57" t="s">
        <v>37</v>
      </c>
      <c r="I509" s="82">
        <v>44348</v>
      </c>
      <c r="J509" s="83">
        <f ca="1">EFEITO!$J$509*EFEITO!$Y$509</f>
        <v>122109.28445086042</v>
      </c>
      <c r="K509" s="83">
        <f ca="1">EFEITO!$L$509*EFEITO!$Z$509</f>
        <v>15154.071356188477</v>
      </c>
      <c r="L509" s="83">
        <f>EFEITO!$N$509*EFEITO!$AA$509</f>
        <v>40856.859456665567</v>
      </c>
      <c r="M509" s="83">
        <f ca="1">$J$509-EFEITO!$K$509*EFEITO!$Y$509</f>
        <v>0</v>
      </c>
      <c r="N509" s="83">
        <f ca="1">$K$509-EFEITO!$M$509*EFEITO!$Z$509</f>
        <v>0</v>
      </c>
      <c r="O509" s="83">
        <f>$L$509-EFEITO!$O$509*EFEITO!$AA$509</f>
        <v>0</v>
      </c>
      <c r="P509" s="61"/>
      <c r="Q509" s="61"/>
      <c r="R509" s="61"/>
      <c r="S509" s="61"/>
      <c r="T509" s="61"/>
      <c r="U509" s="61"/>
      <c r="V509" s="61"/>
      <c r="W509" s="61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spans="1:36" ht="11.25" customHeight="1" x14ac:dyDescent="0.2">
      <c r="A510" s="57" t="s">
        <v>21</v>
      </c>
      <c r="B510" s="57" t="s">
        <v>35</v>
      </c>
      <c r="C510" s="57" t="s">
        <v>44</v>
      </c>
      <c r="D510" s="57" t="s">
        <v>42</v>
      </c>
      <c r="E510" s="57" t="s">
        <v>25</v>
      </c>
      <c r="F510" s="57" t="s">
        <v>25</v>
      </c>
      <c r="G510" s="57" t="s">
        <v>25</v>
      </c>
      <c r="H510" s="57" t="s">
        <v>37</v>
      </c>
      <c r="I510" s="82">
        <v>44348</v>
      </c>
      <c r="J510" s="83">
        <f ca="1">EFEITO!$J$510*EFEITO!$Y$510</f>
        <v>351627.31813713786</v>
      </c>
      <c r="K510" s="83">
        <f ca="1">EFEITO!$L$510*EFEITO!$Z$510</f>
        <v>0</v>
      </c>
      <c r="L510" s="83">
        <f>EFEITO!$N$510*EFEITO!$AA$510</f>
        <v>0</v>
      </c>
      <c r="M510" s="83">
        <f ca="1">$J$510-EFEITO!$K$510*EFEITO!$Y$510</f>
        <v>0</v>
      </c>
      <c r="N510" s="83">
        <f ca="1">$K$510-EFEITO!$M$510*EFEITO!$Z$510</f>
        <v>0</v>
      </c>
      <c r="O510" s="83">
        <f>$L$510-EFEITO!$O$510*EFEITO!$AA$510</f>
        <v>0</v>
      </c>
      <c r="P510" s="61"/>
      <c r="Q510" s="61"/>
      <c r="R510" s="61"/>
      <c r="S510" s="61"/>
      <c r="T510" s="61"/>
      <c r="U510" s="61"/>
      <c r="V510" s="61"/>
      <c r="W510" s="61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spans="1:36" ht="11.25" customHeight="1" x14ac:dyDescent="0.2">
      <c r="A511" s="57" t="s">
        <v>21</v>
      </c>
      <c r="B511" s="57" t="s">
        <v>35</v>
      </c>
      <c r="C511" s="57" t="s">
        <v>44</v>
      </c>
      <c r="D511" s="57" t="s">
        <v>42</v>
      </c>
      <c r="E511" s="57" t="s">
        <v>25</v>
      </c>
      <c r="F511" s="57" t="s">
        <v>25</v>
      </c>
      <c r="G511" s="57" t="s">
        <v>25</v>
      </c>
      <c r="H511" s="57" t="s">
        <v>37</v>
      </c>
      <c r="I511" s="82">
        <v>44378</v>
      </c>
      <c r="J511" s="83">
        <f ca="1">EFEITO!$J$511*EFEITO!$Y$511</f>
        <v>908172.98401535559</v>
      </c>
      <c r="K511" s="83">
        <f ca="1">EFEITO!$L$511*EFEITO!$Z$511</f>
        <v>87349.753778990722</v>
      </c>
      <c r="L511" s="83">
        <f>EFEITO!$N$511*EFEITO!$AA$511</f>
        <v>235503.48482852816</v>
      </c>
      <c r="M511" s="83">
        <f ca="1">$J$511-EFEITO!$K$511*EFEITO!$Y$511</f>
        <v>0</v>
      </c>
      <c r="N511" s="83">
        <f ca="1">$K$511-EFEITO!$M$511*EFEITO!$Z$511</f>
        <v>0</v>
      </c>
      <c r="O511" s="83">
        <f>$L$511-EFEITO!$O$511*EFEITO!$AA$511</f>
        <v>0</v>
      </c>
      <c r="P511" s="61"/>
      <c r="Q511" s="61"/>
      <c r="R511" s="61"/>
      <c r="S511" s="61"/>
      <c r="T511" s="61"/>
      <c r="U511" s="61"/>
      <c r="V511" s="61"/>
      <c r="W511" s="61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spans="1:36" ht="11.25" customHeight="1" x14ac:dyDescent="0.2">
      <c r="A512" s="57" t="s">
        <v>27</v>
      </c>
      <c r="B512" s="57" t="s">
        <v>35</v>
      </c>
      <c r="C512" s="57" t="s">
        <v>44</v>
      </c>
      <c r="D512" s="57" t="s">
        <v>42</v>
      </c>
      <c r="E512" s="57" t="s">
        <v>25</v>
      </c>
      <c r="F512" s="57" t="s">
        <v>25</v>
      </c>
      <c r="G512" s="57" t="s">
        <v>25</v>
      </c>
      <c r="H512" s="57" t="s">
        <v>37</v>
      </c>
      <c r="I512" s="82">
        <v>44378</v>
      </c>
      <c r="J512" s="83">
        <f ca="1">EFEITO!$J$512*EFEITO!$Y$512</f>
        <v>-71131.622010209947</v>
      </c>
      <c r="K512" s="83">
        <f ca="1">EFEITO!$L$512*EFEITO!$Z$512</f>
        <v>0</v>
      </c>
      <c r="L512" s="83">
        <f>EFEITO!$N$512*EFEITO!$AA$512</f>
        <v>0</v>
      </c>
      <c r="M512" s="83">
        <f ca="1">$J$512-EFEITO!$K$512*EFEITO!$Y$512</f>
        <v>0</v>
      </c>
      <c r="N512" s="83">
        <f ca="1">$K$512-EFEITO!$M$512*EFEITO!$Z$512</f>
        <v>0</v>
      </c>
      <c r="O512" s="83">
        <f>$L$512-EFEITO!$O$512*EFEITO!$AA$512</f>
        <v>0</v>
      </c>
      <c r="P512" s="61"/>
      <c r="Q512" s="61"/>
      <c r="R512" s="61"/>
      <c r="S512" s="61"/>
      <c r="T512" s="61"/>
      <c r="U512" s="61"/>
      <c r="V512" s="61"/>
      <c r="W512" s="61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spans="1:36" ht="11.25" customHeight="1" x14ac:dyDescent="0.2">
      <c r="A513" s="57" t="s">
        <v>28</v>
      </c>
      <c r="B513" s="57" t="s">
        <v>35</v>
      </c>
      <c r="C513" s="57" t="s">
        <v>44</v>
      </c>
      <c r="D513" s="57" t="s">
        <v>42</v>
      </c>
      <c r="E513" s="57" t="s">
        <v>25</v>
      </c>
      <c r="F513" s="57" t="s">
        <v>25</v>
      </c>
      <c r="G513" s="57" t="s">
        <v>25</v>
      </c>
      <c r="H513" s="57" t="s">
        <v>37</v>
      </c>
      <c r="I513" s="82">
        <v>44378</v>
      </c>
      <c r="J513" s="83">
        <f ca="1">EFEITO!$J$513*EFEITO!$Y$513</f>
        <v>50562.727978924238</v>
      </c>
      <c r="K513" s="83">
        <f ca="1">EFEITO!$L$513*EFEITO!$Z$513</f>
        <v>3515.6946746748531</v>
      </c>
      <c r="L513" s="83">
        <f>EFEITO!$N$513*EFEITO!$AA$513</f>
        <v>9478.656912690305</v>
      </c>
      <c r="M513" s="83">
        <f ca="1">$J$513-EFEITO!$K$513*EFEITO!$Y$513</f>
        <v>0</v>
      </c>
      <c r="N513" s="83">
        <f ca="1">$K$513-EFEITO!$M$513*EFEITO!$Z$513</f>
        <v>0</v>
      </c>
      <c r="O513" s="83">
        <f>$L$513-EFEITO!$O$513*EFEITO!$AA$513</f>
        <v>0</v>
      </c>
      <c r="P513" s="61"/>
      <c r="Q513" s="61"/>
      <c r="R513" s="61"/>
      <c r="S513" s="61"/>
      <c r="T513" s="61"/>
      <c r="U513" s="61"/>
      <c r="V513" s="61"/>
      <c r="W513" s="61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spans="1:36" ht="11.25" customHeight="1" x14ac:dyDescent="0.2">
      <c r="A514" s="57" t="s">
        <v>30</v>
      </c>
      <c r="B514" s="57" t="s">
        <v>35</v>
      </c>
      <c r="C514" s="57" t="s">
        <v>44</v>
      </c>
      <c r="D514" s="57" t="s">
        <v>42</v>
      </c>
      <c r="E514" s="57" t="s">
        <v>25</v>
      </c>
      <c r="F514" s="57" t="s">
        <v>25</v>
      </c>
      <c r="G514" s="57" t="s">
        <v>25</v>
      </c>
      <c r="H514" s="57" t="s">
        <v>37</v>
      </c>
      <c r="I514" s="82">
        <v>44378</v>
      </c>
      <c r="J514" s="83">
        <f ca="1">EFEITO!$J$514*EFEITO!$Y$514</f>
        <v>144041.53457067514</v>
      </c>
      <c r="K514" s="83">
        <f ca="1">EFEITO!$L$514*EFEITO!$Z$514</f>
        <v>16831.790580703782</v>
      </c>
      <c r="L514" s="83">
        <f>EFEITO!$N$514*EFEITO!$AA$514</f>
        <v>45380.154678960767</v>
      </c>
      <c r="M514" s="83">
        <f ca="1">$J$514-EFEITO!$K$514*EFEITO!$Y$514</f>
        <v>0</v>
      </c>
      <c r="N514" s="83">
        <f ca="1">$K$514-EFEITO!$M$514*EFEITO!$Z$514</f>
        <v>0</v>
      </c>
      <c r="O514" s="83">
        <f>$L$514-EFEITO!$O$514*EFEITO!$AA$514</f>
        <v>0</v>
      </c>
      <c r="P514" s="61"/>
      <c r="Q514" s="61"/>
      <c r="R514" s="61"/>
      <c r="S514" s="61"/>
      <c r="T514" s="61"/>
      <c r="U514" s="61"/>
      <c r="V514" s="61"/>
      <c r="W514" s="61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spans="1:36" ht="11.25" customHeight="1" x14ac:dyDescent="0.2">
      <c r="A515" s="57" t="s">
        <v>21</v>
      </c>
      <c r="B515" s="57" t="s">
        <v>35</v>
      </c>
      <c r="C515" s="57" t="s">
        <v>44</v>
      </c>
      <c r="D515" s="57" t="s">
        <v>42</v>
      </c>
      <c r="E515" s="57" t="s">
        <v>25</v>
      </c>
      <c r="F515" s="57" t="s">
        <v>25</v>
      </c>
      <c r="G515" s="57" t="s">
        <v>25</v>
      </c>
      <c r="H515" s="57" t="s">
        <v>37</v>
      </c>
      <c r="I515" s="82">
        <v>44378</v>
      </c>
      <c r="J515" s="83">
        <f ca="1">EFEITO!$J$515*EFEITO!$Y$515</f>
        <v>349789.75123520743</v>
      </c>
      <c r="K515" s="83">
        <f ca="1">EFEITO!$L$515*EFEITO!$Z$515</f>
        <v>0</v>
      </c>
      <c r="L515" s="83">
        <f>EFEITO!$N$515*EFEITO!$AA$515</f>
        <v>0</v>
      </c>
      <c r="M515" s="83">
        <f ca="1">$J$515-EFEITO!$K$515*EFEITO!$Y$515</f>
        <v>0</v>
      </c>
      <c r="N515" s="83">
        <f ca="1">$K$515-EFEITO!$M$515*EFEITO!$Z$515</f>
        <v>0</v>
      </c>
      <c r="O515" s="83">
        <f>$L$515-EFEITO!$O$515*EFEITO!$AA$515</f>
        <v>0</v>
      </c>
      <c r="P515" s="61"/>
      <c r="Q515" s="61"/>
      <c r="R515" s="61"/>
      <c r="S515" s="61"/>
      <c r="T515" s="61"/>
      <c r="U515" s="61"/>
      <c r="V515" s="61"/>
      <c r="W515" s="61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spans="1:36" ht="11.25" customHeight="1" x14ac:dyDescent="0.2">
      <c r="A516" s="57" t="s">
        <v>21</v>
      </c>
      <c r="B516" s="57" t="s">
        <v>35</v>
      </c>
      <c r="C516" s="57" t="s">
        <v>44</v>
      </c>
      <c r="D516" s="57" t="s">
        <v>42</v>
      </c>
      <c r="E516" s="57" t="s">
        <v>25</v>
      </c>
      <c r="F516" s="57" t="s">
        <v>25</v>
      </c>
      <c r="G516" s="57" t="s">
        <v>25</v>
      </c>
      <c r="H516" s="57" t="s">
        <v>37</v>
      </c>
      <c r="I516" s="82">
        <v>44409</v>
      </c>
      <c r="J516" s="83">
        <f ca="1">EFEITO!$J$516*EFEITO!$Y$516</f>
        <v>952037.484254985</v>
      </c>
      <c r="K516" s="83">
        <f ca="1">EFEITO!$L$516*EFEITO!$Z$516</f>
        <v>90629.866746567117</v>
      </c>
      <c r="L516" s="83">
        <f>EFEITO!$N$516*EFEITO!$AA$516</f>
        <v>244346.99040325457</v>
      </c>
      <c r="M516" s="83">
        <f ca="1">$J$516-EFEITO!$K$516*EFEITO!$Y$516</f>
        <v>0</v>
      </c>
      <c r="N516" s="83">
        <f ca="1">$K$516-EFEITO!$M$516*EFEITO!$Z$516</f>
        <v>0</v>
      </c>
      <c r="O516" s="83">
        <f>$L$516-EFEITO!$O$516*EFEITO!$AA$516</f>
        <v>0</v>
      </c>
      <c r="P516" s="61"/>
      <c r="Q516" s="61"/>
      <c r="R516" s="61"/>
      <c r="S516" s="61"/>
      <c r="T516" s="61"/>
      <c r="U516" s="61"/>
      <c r="V516" s="61"/>
      <c r="W516" s="61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spans="1:36" ht="11.25" customHeight="1" x14ac:dyDescent="0.2">
      <c r="A517" s="57" t="s">
        <v>27</v>
      </c>
      <c r="B517" s="57" t="s">
        <v>35</v>
      </c>
      <c r="C517" s="57" t="s">
        <v>44</v>
      </c>
      <c r="D517" s="57" t="s">
        <v>42</v>
      </c>
      <c r="E517" s="57" t="s">
        <v>25</v>
      </c>
      <c r="F517" s="57" t="s">
        <v>25</v>
      </c>
      <c r="G517" s="57" t="s">
        <v>25</v>
      </c>
      <c r="H517" s="57" t="s">
        <v>37</v>
      </c>
      <c r="I517" s="82">
        <v>44409</v>
      </c>
      <c r="J517" s="83">
        <f ca="1">EFEITO!$J$517*EFEITO!$Y$517</f>
        <v>-29638.175837587478</v>
      </c>
      <c r="K517" s="83">
        <f ca="1">EFEITO!$L$517*EFEITO!$Z$517</f>
        <v>0</v>
      </c>
      <c r="L517" s="83">
        <f>EFEITO!$N$517*EFEITO!$AA$517</f>
        <v>0</v>
      </c>
      <c r="M517" s="83">
        <f ca="1">$J$517-EFEITO!$K$517*EFEITO!$Y$517</f>
        <v>0</v>
      </c>
      <c r="N517" s="83">
        <f ca="1">$K$517-EFEITO!$M$517*EFEITO!$Z$517</f>
        <v>0</v>
      </c>
      <c r="O517" s="83">
        <f>$L$517-EFEITO!$O$517*EFEITO!$AA$517</f>
        <v>0</v>
      </c>
      <c r="P517" s="61"/>
      <c r="Q517" s="61"/>
      <c r="R517" s="61"/>
      <c r="S517" s="61"/>
      <c r="T517" s="61"/>
      <c r="U517" s="61"/>
      <c r="V517" s="61"/>
      <c r="W517" s="61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spans="1:36" ht="11.25" customHeight="1" x14ac:dyDescent="0.2">
      <c r="A518" s="57" t="s">
        <v>28</v>
      </c>
      <c r="B518" s="57" t="s">
        <v>35</v>
      </c>
      <c r="C518" s="57" t="s">
        <v>44</v>
      </c>
      <c r="D518" s="57" t="s">
        <v>42</v>
      </c>
      <c r="E518" s="57" t="s">
        <v>25</v>
      </c>
      <c r="F518" s="57" t="s">
        <v>25</v>
      </c>
      <c r="G518" s="57" t="s">
        <v>25</v>
      </c>
      <c r="H518" s="57" t="s">
        <v>37</v>
      </c>
      <c r="I518" s="82">
        <v>44409</v>
      </c>
      <c r="J518" s="83">
        <f ca="1">EFEITO!$J$518*EFEITO!$Y$518</f>
        <v>50088.517165522841</v>
      </c>
      <c r="K518" s="83">
        <f ca="1">EFEITO!$L$518*EFEITO!$Z$518</f>
        <v>3442.2228404152434</v>
      </c>
      <c r="L518" s="83">
        <f>EFEITO!$N$518*EFEITO!$AA$518</f>
        <v>9280.5696570735199</v>
      </c>
      <c r="M518" s="83">
        <f ca="1">$J$518-EFEITO!$K$518*EFEITO!$Y$518</f>
        <v>0</v>
      </c>
      <c r="N518" s="83">
        <f ca="1">$K$518-EFEITO!$M$518*EFEITO!$Z$518</f>
        <v>0</v>
      </c>
      <c r="O518" s="83">
        <f>$L$518-EFEITO!$O$518*EFEITO!$AA$518</f>
        <v>0</v>
      </c>
      <c r="P518" s="61"/>
      <c r="Q518" s="61"/>
      <c r="R518" s="61"/>
      <c r="S518" s="61"/>
      <c r="T518" s="61"/>
      <c r="U518" s="61"/>
      <c r="V518" s="61"/>
      <c r="W518" s="61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spans="1:36" ht="11.25" customHeight="1" x14ac:dyDescent="0.2">
      <c r="A519" s="57" t="s">
        <v>30</v>
      </c>
      <c r="B519" s="57" t="s">
        <v>35</v>
      </c>
      <c r="C519" s="57" t="s">
        <v>44</v>
      </c>
      <c r="D519" s="57" t="s">
        <v>42</v>
      </c>
      <c r="E519" s="57" t="s">
        <v>25</v>
      </c>
      <c r="F519" s="57" t="s">
        <v>25</v>
      </c>
      <c r="G519" s="57" t="s">
        <v>25</v>
      </c>
      <c r="H519" s="57" t="s">
        <v>37</v>
      </c>
      <c r="I519" s="82">
        <v>44409</v>
      </c>
      <c r="J519" s="83">
        <f ca="1">EFEITO!$J$519*EFEITO!$Y$519</f>
        <v>121220.13917573279</v>
      </c>
      <c r="K519" s="83">
        <f ca="1">EFEITO!$L$519*EFEITO!$Z$519</f>
        <v>17465.063867739591</v>
      </c>
      <c r="L519" s="83">
        <f>EFEITO!$N$519*EFEITO!$AA$519</f>
        <v>47087.521437235708</v>
      </c>
      <c r="M519" s="83">
        <f ca="1">$J$519-EFEITO!$K$519*EFEITO!$Y$519</f>
        <v>0</v>
      </c>
      <c r="N519" s="83">
        <f ca="1">$K$519-EFEITO!$M$519*EFEITO!$Z$519</f>
        <v>0</v>
      </c>
      <c r="O519" s="83">
        <f>$L$519-EFEITO!$O$519*EFEITO!$AA$519</f>
        <v>0</v>
      </c>
      <c r="P519" s="61"/>
      <c r="Q519" s="61"/>
      <c r="R519" s="61"/>
      <c r="S519" s="61"/>
      <c r="T519" s="61"/>
      <c r="U519" s="61"/>
      <c r="V519" s="61"/>
      <c r="W519" s="61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spans="1:36" ht="11.25" customHeight="1" x14ac:dyDescent="0.2">
      <c r="A520" s="57" t="s">
        <v>30</v>
      </c>
      <c r="B520" s="57" t="s">
        <v>35</v>
      </c>
      <c r="C520" s="57" t="s">
        <v>44</v>
      </c>
      <c r="D520" s="57" t="s">
        <v>42</v>
      </c>
      <c r="E520" s="57" t="s">
        <v>25</v>
      </c>
      <c r="F520" s="57" t="s">
        <v>25</v>
      </c>
      <c r="G520" s="57" t="s">
        <v>25</v>
      </c>
      <c r="H520" s="57" t="s">
        <v>37</v>
      </c>
      <c r="I520" s="82">
        <v>44409</v>
      </c>
      <c r="J520" s="83">
        <f ca="1">EFEITO!$J$520*EFEITO!$Y$520</f>
        <v>-22702.84269159201</v>
      </c>
      <c r="K520" s="83">
        <f ca="1">EFEITO!$L$520*EFEITO!$Z$520</f>
        <v>0</v>
      </c>
      <c r="L520" s="83">
        <f>EFEITO!$N$520*EFEITO!$AA$520</f>
        <v>0</v>
      </c>
      <c r="M520" s="83">
        <f ca="1">$J$520-EFEITO!$K$520*EFEITO!$Y$520</f>
        <v>0</v>
      </c>
      <c r="N520" s="83">
        <f ca="1">$K$520-EFEITO!$M$520*EFEITO!$Z$520</f>
        <v>0</v>
      </c>
      <c r="O520" s="83">
        <f>$L$520-EFEITO!$O$520*EFEITO!$AA$520</f>
        <v>0</v>
      </c>
      <c r="P520" s="61"/>
      <c r="Q520" s="61"/>
      <c r="R520" s="61"/>
      <c r="S520" s="61"/>
      <c r="T520" s="61"/>
      <c r="U520" s="61"/>
      <c r="V520" s="61"/>
      <c r="W520" s="61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spans="1:36" ht="11.25" customHeight="1" x14ac:dyDescent="0.2">
      <c r="A521" s="57" t="s">
        <v>21</v>
      </c>
      <c r="B521" s="57" t="s">
        <v>35</v>
      </c>
      <c r="C521" s="57" t="s">
        <v>44</v>
      </c>
      <c r="D521" s="57" t="s">
        <v>42</v>
      </c>
      <c r="E521" s="57" t="s">
        <v>25</v>
      </c>
      <c r="F521" s="57" t="s">
        <v>25</v>
      </c>
      <c r="G521" s="57" t="s">
        <v>25</v>
      </c>
      <c r="H521" s="57" t="s">
        <v>37</v>
      </c>
      <c r="I521" s="82">
        <v>44409</v>
      </c>
      <c r="J521" s="83">
        <f ca="1">EFEITO!$J$521*EFEITO!$Y$521</f>
        <v>349196.98771845567</v>
      </c>
      <c r="K521" s="83">
        <f ca="1">EFEITO!$L$521*EFEITO!$Z$521</f>
        <v>0</v>
      </c>
      <c r="L521" s="83">
        <f>EFEITO!$N$521*EFEITO!$AA$521</f>
        <v>0</v>
      </c>
      <c r="M521" s="83">
        <f ca="1">$J$521-EFEITO!$K$521*EFEITO!$Y$521</f>
        <v>0</v>
      </c>
      <c r="N521" s="83">
        <f ca="1">$K$521-EFEITO!$M$521*EFEITO!$Z$521</f>
        <v>0</v>
      </c>
      <c r="O521" s="83">
        <f>$L$521-EFEITO!$O$521*EFEITO!$AA$521</f>
        <v>0</v>
      </c>
      <c r="P521" s="61"/>
      <c r="Q521" s="61"/>
      <c r="R521" s="61"/>
      <c r="S521" s="61"/>
      <c r="T521" s="61"/>
      <c r="U521" s="61"/>
      <c r="V521" s="61"/>
      <c r="W521" s="61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spans="1:36" ht="11.25" customHeight="1" x14ac:dyDescent="0.2">
      <c r="A522" s="57" t="s">
        <v>21</v>
      </c>
      <c r="B522" s="57" t="s">
        <v>35</v>
      </c>
      <c r="C522" s="57" t="s">
        <v>44</v>
      </c>
      <c r="D522" s="57" t="s">
        <v>42</v>
      </c>
      <c r="E522" s="57" t="s">
        <v>25</v>
      </c>
      <c r="F522" s="57" t="s">
        <v>25</v>
      </c>
      <c r="G522" s="57" t="s">
        <v>25</v>
      </c>
      <c r="H522" s="57" t="s">
        <v>37</v>
      </c>
      <c r="I522" s="82">
        <v>44440</v>
      </c>
      <c r="J522" s="83">
        <f ca="1">EFEITO!$J$522*EFEITO!$Y$522</f>
        <v>883217.63996010693</v>
      </c>
      <c r="K522" s="83">
        <f ca="1">EFEITO!$L$522*EFEITO!$Z$522</f>
        <v>84328.140338373603</v>
      </c>
      <c r="L522" s="83">
        <f>EFEITO!$N$522*EFEITO!$AA$522</f>
        <v>227356.91927700394</v>
      </c>
      <c r="M522" s="83">
        <f ca="1">$J$522-EFEITO!$K$522*EFEITO!$Y$522</f>
        <v>0</v>
      </c>
      <c r="N522" s="83">
        <f ca="1">$K$522-EFEITO!$M$522*EFEITO!$Z$522</f>
        <v>0</v>
      </c>
      <c r="O522" s="83">
        <f>$L$522-EFEITO!$O$522*EFEITO!$AA$522</f>
        <v>0</v>
      </c>
      <c r="P522" s="61"/>
      <c r="Q522" s="61"/>
      <c r="R522" s="61"/>
      <c r="S522" s="61"/>
      <c r="T522" s="61"/>
      <c r="U522" s="61"/>
      <c r="V522" s="61"/>
      <c r="W522" s="61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spans="1:36" ht="11.25" customHeight="1" x14ac:dyDescent="0.2">
      <c r="A523" s="57" t="s">
        <v>28</v>
      </c>
      <c r="B523" s="57" t="s">
        <v>35</v>
      </c>
      <c r="C523" s="57" t="s">
        <v>44</v>
      </c>
      <c r="D523" s="57" t="s">
        <v>42</v>
      </c>
      <c r="E523" s="57" t="s">
        <v>25</v>
      </c>
      <c r="F523" s="57" t="s">
        <v>25</v>
      </c>
      <c r="G523" s="57" t="s">
        <v>25</v>
      </c>
      <c r="H523" s="57" t="s">
        <v>37</v>
      </c>
      <c r="I523" s="82">
        <v>44440</v>
      </c>
      <c r="J523" s="83">
        <f ca="1">EFEITO!$J$523*EFEITO!$Y$523</f>
        <v>50088.517165522841</v>
      </c>
      <c r="K523" s="83">
        <f ca="1">EFEITO!$L$523*EFEITO!$Z$523</f>
        <v>3466.6572807080033</v>
      </c>
      <c r="L523" s="83">
        <f>EFEITO!$N$523*EFEITO!$AA$523</f>
        <v>9346.4472994231382</v>
      </c>
      <c r="M523" s="83">
        <f ca="1">$J$523-EFEITO!$K$523*EFEITO!$Y$523</f>
        <v>0</v>
      </c>
      <c r="N523" s="83">
        <f ca="1">$K$523-EFEITO!$M$523*EFEITO!$Z$523</f>
        <v>0</v>
      </c>
      <c r="O523" s="83">
        <f>$L$523-EFEITO!$O$523*EFEITO!$AA$523</f>
        <v>0</v>
      </c>
      <c r="P523" s="61"/>
      <c r="Q523" s="61"/>
      <c r="R523" s="61"/>
      <c r="S523" s="61"/>
      <c r="T523" s="61"/>
      <c r="U523" s="61"/>
      <c r="V523" s="61"/>
      <c r="W523" s="61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spans="1:36" ht="11.25" customHeight="1" x14ac:dyDescent="0.2">
      <c r="A524" s="57" t="s">
        <v>30</v>
      </c>
      <c r="B524" s="57" t="s">
        <v>35</v>
      </c>
      <c r="C524" s="57" t="s">
        <v>44</v>
      </c>
      <c r="D524" s="57" t="s">
        <v>42</v>
      </c>
      <c r="E524" s="57" t="s">
        <v>25</v>
      </c>
      <c r="F524" s="57" t="s">
        <v>25</v>
      </c>
      <c r="G524" s="57" t="s">
        <v>25</v>
      </c>
      <c r="H524" s="57" t="s">
        <v>37</v>
      </c>
      <c r="I524" s="82">
        <v>44440</v>
      </c>
      <c r="J524" s="83">
        <f ca="1">EFEITO!$J$524*EFEITO!$Y$524</f>
        <v>127444.15610162615</v>
      </c>
      <c r="K524" s="83">
        <f ca="1">EFEITO!$L$524*EFEITO!$Z$524</f>
        <v>13585.380289393279</v>
      </c>
      <c r="L524" s="83">
        <f>EFEITO!$N$524*EFEITO!$AA$524</f>
        <v>36627.514817820047</v>
      </c>
      <c r="M524" s="83">
        <f ca="1">$J$524-EFEITO!$K$524*EFEITO!$Y$524</f>
        <v>0</v>
      </c>
      <c r="N524" s="83">
        <f ca="1">$K$524-EFEITO!$M$524*EFEITO!$Z$524</f>
        <v>0</v>
      </c>
      <c r="O524" s="83">
        <f>$L$524-EFEITO!$O$524*EFEITO!$AA$524</f>
        <v>0</v>
      </c>
      <c r="P524" s="61"/>
      <c r="Q524" s="61"/>
      <c r="R524" s="61"/>
      <c r="S524" s="61"/>
      <c r="T524" s="61"/>
      <c r="U524" s="61"/>
      <c r="V524" s="61"/>
      <c r="W524" s="61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spans="1:36" ht="11.25" customHeight="1" x14ac:dyDescent="0.2">
      <c r="A525" s="57" t="s">
        <v>21</v>
      </c>
      <c r="B525" s="57" t="s">
        <v>35</v>
      </c>
      <c r="C525" s="57" t="s">
        <v>44</v>
      </c>
      <c r="D525" s="57" t="s">
        <v>42</v>
      </c>
      <c r="E525" s="57" t="s">
        <v>25</v>
      </c>
      <c r="F525" s="57" t="s">
        <v>25</v>
      </c>
      <c r="G525" s="57" t="s">
        <v>25</v>
      </c>
      <c r="H525" s="57" t="s">
        <v>37</v>
      </c>
      <c r="I525" s="82">
        <v>44440</v>
      </c>
      <c r="J525" s="83">
        <f ca="1">EFEITO!$J$525*EFEITO!$Y$525</f>
        <v>348011.46068495215</v>
      </c>
      <c r="K525" s="83">
        <f ca="1">EFEITO!$L$525*EFEITO!$Z$525</f>
        <v>0</v>
      </c>
      <c r="L525" s="83">
        <f>EFEITO!$N$525*EFEITO!$AA$525</f>
        <v>0</v>
      </c>
      <c r="M525" s="83">
        <f ca="1">$J$525-EFEITO!$K$525*EFEITO!$Y$525</f>
        <v>0</v>
      </c>
      <c r="N525" s="83">
        <f ca="1">$K$525-EFEITO!$M$525*EFEITO!$Z$525</f>
        <v>0</v>
      </c>
      <c r="O525" s="83">
        <f>$L$525-EFEITO!$O$525*EFEITO!$AA$525</f>
        <v>0</v>
      </c>
      <c r="P525" s="61"/>
      <c r="Q525" s="61"/>
      <c r="R525" s="61"/>
      <c r="S525" s="61"/>
      <c r="T525" s="61"/>
      <c r="U525" s="61"/>
      <c r="V525" s="61"/>
      <c r="W525" s="61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spans="1:36" ht="11.25" customHeight="1" x14ac:dyDescent="0.2">
      <c r="A526" s="57" t="s">
        <v>59</v>
      </c>
      <c r="B526" s="57" t="s">
        <v>35</v>
      </c>
      <c r="C526" s="57" t="s">
        <v>44</v>
      </c>
      <c r="D526" s="57" t="s">
        <v>42</v>
      </c>
      <c r="E526" s="57" t="s">
        <v>25</v>
      </c>
      <c r="F526" s="57" t="s">
        <v>25</v>
      </c>
      <c r="G526" s="57" t="s">
        <v>25</v>
      </c>
      <c r="H526" s="57" t="s">
        <v>37</v>
      </c>
      <c r="I526" s="82">
        <v>44470</v>
      </c>
      <c r="J526" s="83">
        <f ca="1">EFEITO!$J$526*EFEITO!$Y$526</f>
        <v>883217.63996010693</v>
      </c>
      <c r="K526" s="83">
        <f ca="1">EFEITO!$L$526*EFEITO!$Z$526</f>
        <v>84328.140338373603</v>
      </c>
      <c r="L526" s="83">
        <f>EFEITO!$N$526*EFEITO!$AA$526</f>
        <v>227356.91927700394</v>
      </c>
      <c r="M526" s="83">
        <f ca="1">$J$526-EFEITO!$K$526*EFEITO!$Y$526</f>
        <v>0</v>
      </c>
      <c r="N526" s="83">
        <f ca="1">$K$526-EFEITO!$M$526*EFEITO!$Z$526</f>
        <v>0</v>
      </c>
      <c r="O526" s="83">
        <f>$L$526-EFEITO!$O$526*EFEITO!$AA$526</f>
        <v>0</v>
      </c>
      <c r="P526" s="61"/>
      <c r="Q526" s="61"/>
      <c r="R526" s="61"/>
      <c r="S526" s="61"/>
      <c r="T526" s="61"/>
      <c r="U526" s="61"/>
      <c r="V526" s="61"/>
      <c r="W526" s="61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spans="1:36" ht="11.25" customHeight="1" x14ac:dyDescent="0.2">
      <c r="A527" s="57" t="s">
        <v>59</v>
      </c>
      <c r="B527" s="57" t="s">
        <v>35</v>
      </c>
      <c r="C527" s="57" t="s">
        <v>44</v>
      </c>
      <c r="D527" s="57" t="s">
        <v>42</v>
      </c>
      <c r="E527" s="57" t="s">
        <v>25</v>
      </c>
      <c r="F527" s="57" t="s">
        <v>25</v>
      </c>
      <c r="G527" s="57" t="s">
        <v>25</v>
      </c>
      <c r="H527" s="57" t="s">
        <v>37</v>
      </c>
      <c r="I527" s="82">
        <v>44470</v>
      </c>
      <c r="J527" s="83">
        <f ca="1">EFEITO!$J$527*EFEITO!$Y$527</f>
        <v>50088.517165522841</v>
      </c>
      <c r="K527" s="83">
        <f ca="1">EFEITO!$L$527*EFEITO!$Z$527</f>
        <v>3466.6572807080033</v>
      </c>
      <c r="L527" s="83">
        <f>EFEITO!$N$527*EFEITO!$AA$527</f>
        <v>9346.4472994231382</v>
      </c>
      <c r="M527" s="83">
        <f ca="1">$J$527-EFEITO!$K$527*EFEITO!$Y$527</f>
        <v>0</v>
      </c>
      <c r="N527" s="83">
        <f ca="1">$K$527-EFEITO!$M$527*EFEITO!$Z$527</f>
        <v>0</v>
      </c>
      <c r="O527" s="83">
        <f>$L$527-EFEITO!$O$527*EFEITO!$AA$527</f>
        <v>0</v>
      </c>
      <c r="P527" s="61"/>
      <c r="Q527" s="61"/>
      <c r="R527" s="61"/>
      <c r="S527" s="61"/>
      <c r="T527" s="61"/>
      <c r="U527" s="61"/>
      <c r="V527" s="61"/>
      <c r="W527" s="61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spans="1:36" ht="11.25" customHeight="1" x14ac:dyDescent="0.2">
      <c r="A528" s="57" t="s">
        <v>59</v>
      </c>
      <c r="B528" s="57" t="s">
        <v>35</v>
      </c>
      <c r="C528" s="57" t="s">
        <v>44</v>
      </c>
      <c r="D528" s="57" t="s">
        <v>42</v>
      </c>
      <c r="E528" s="57" t="s">
        <v>25</v>
      </c>
      <c r="F528" s="57" t="s">
        <v>25</v>
      </c>
      <c r="G528" s="57" t="s">
        <v>25</v>
      </c>
      <c r="H528" s="57" t="s">
        <v>37</v>
      </c>
      <c r="I528" s="82">
        <v>44470</v>
      </c>
      <c r="J528" s="83">
        <f ca="1">EFEITO!$J$528*EFEITO!$Y$528</f>
        <v>127444.15610162615</v>
      </c>
      <c r="K528" s="83">
        <f ca="1">EFEITO!$L$528*EFEITO!$Z$528</f>
        <v>13585.380289393279</v>
      </c>
      <c r="L528" s="83">
        <f>EFEITO!$N$528*EFEITO!$AA$528</f>
        <v>36627.514817820047</v>
      </c>
      <c r="M528" s="83">
        <f ca="1">$J$528-EFEITO!$K$528*EFEITO!$Y$528</f>
        <v>0</v>
      </c>
      <c r="N528" s="83">
        <f ca="1">$K$528-EFEITO!$M$528*EFEITO!$Z$528</f>
        <v>0</v>
      </c>
      <c r="O528" s="83">
        <f>$L$528-EFEITO!$O$528*EFEITO!$AA$528</f>
        <v>0</v>
      </c>
      <c r="P528" s="61"/>
      <c r="Q528" s="61"/>
      <c r="R528" s="61"/>
      <c r="S528" s="61"/>
      <c r="T528" s="61"/>
      <c r="U528" s="61"/>
      <c r="V528" s="61"/>
      <c r="W528" s="61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spans="1:36" ht="11.25" customHeight="1" x14ac:dyDescent="0.2">
      <c r="A529" s="57" t="s">
        <v>59</v>
      </c>
      <c r="B529" s="57" t="s">
        <v>35</v>
      </c>
      <c r="C529" s="57" t="s">
        <v>44</v>
      </c>
      <c r="D529" s="57" t="s">
        <v>42</v>
      </c>
      <c r="E529" s="57" t="s">
        <v>25</v>
      </c>
      <c r="F529" s="57" t="s">
        <v>25</v>
      </c>
      <c r="G529" s="57" t="s">
        <v>25</v>
      </c>
      <c r="H529" s="57" t="s">
        <v>37</v>
      </c>
      <c r="I529" s="82">
        <v>44470</v>
      </c>
      <c r="J529" s="83">
        <f ca="1">EFEITO!$J$529*EFEITO!$Y$529</f>
        <v>348011.46068495215</v>
      </c>
      <c r="K529" s="83">
        <f ca="1">EFEITO!$L$529*EFEITO!$Z$529</f>
        <v>0</v>
      </c>
      <c r="L529" s="83">
        <f>EFEITO!$N$529*EFEITO!$AA$529</f>
        <v>0</v>
      </c>
      <c r="M529" s="83">
        <f ca="1">$J$529-EFEITO!$K$529*EFEITO!$Y$529</f>
        <v>0</v>
      </c>
      <c r="N529" s="83">
        <f ca="1">$K$529-EFEITO!$M$529*EFEITO!$Z$529</f>
        <v>0</v>
      </c>
      <c r="O529" s="83">
        <f>$L$529-EFEITO!$O$529*EFEITO!$AA$529</f>
        <v>0</v>
      </c>
      <c r="P529" s="61"/>
      <c r="Q529" s="61"/>
      <c r="R529" s="61"/>
      <c r="S529" s="61"/>
      <c r="T529" s="61"/>
      <c r="U529" s="61"/>
      <c r="V529" s="61"/>
      <c r="W529" s="61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spans="1:36" ht="11.25" customHeight="1" x14ac:dyDescent="0.2">
      <c r="A530" s="57" t="s">
        <v>21</v>
      </c>
      <c r="B530" s="57" t="s">
        <v>35</v>
      </c>
      <c r="C530" s="57" t="s">
        <v>44</v>
      </c>
      <c r="D530" s="57" t="s">
        <v>48</v>
      </c>
      <c r="E530" s="57" t="s">
        <v>25</v>
      </c>
      <c r="F530" s="57" t="s">
        <v>25</v>
      </c>
      <c r="G530" s="57" t="s">
        <v>25</v>
      </c>
      <c r="H530" s="57" t="s">
        <v>38</v>
      </c>
      <c r="I530" s="82">
        <v>44136</v>
      </c>
      <c r="J530" s="83">
        <f ca="1">EFEITO!$J$530*EFEITO!$Y$530</f>
        <v>681814.99588704726</v>
      </c>
      <c r="K530" s="83">
        <f ca="1">EFEITO!$L$530*EFEITO!$Z$530</f>
        <v>949708.72557640716</v>
      </c>
      <c r="L530" s="83">
        <f>EFEITO!$N$530*EFEITO!$AA$530</f>
        <v>1594467.5788295916</v>
      </c>
      <c r="M530" s="83">
        <f ca="1">$J$530-EFEITO!$K$530*EFEITO!$Y$530</f>
        <v>0</v>
      </c>
      <c r="N530" s="83">
        <f ca="1">$K$530-EFEITO!$M$530*EFEITO!$Z$530</f>
        <v>0</v>
      </c>
      <c r="O530" s="83">
        <f>$L$530-EFEITO!$O$530*EFEITO!$AA$530</f>
        <v>0</v>
      </c>
      <c r="P530" s="61"/>
      <c r="Q530" s="61"/>
      <c r="R530" s="61"/>
      <c r="S530" s="61"/>
      <c r="T530" s="61"/>
      <c r="U530" s="61"/>
      <c r="V530" s="61"/>
      <c r="W530" s="61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spans="1:36" ht="11.25" customHeight="1" x14ac:dyDescent="0.2">
      <c r="A531" s="57" t="s">
        <v>27</v>
      </c>
      <c r="B531" s="57" t="s">
        <v>35</v>
      </c>
      <c r="C531" s="57" t="s">
        <v>44</v>
      </c>
      <c r="D531" s="57" t="s">
        <v>48</v>
      </c>
      <c r="E531" s="57" t="s">
        <v>25</v>
      </c>
      <c r="F531" s="57" t="s">
        <v>25</v>
      </c>
      <c r="G531" s="57" t="s">
        <v>25</v>
      </c>
      <c r="H531" s="57" t="s">
        <v>38</v>
      </c>
      <c r="I531" s="82">
        <v>44136</v>
      </c>
      <c r="J531" s="83">
        <f ca="1">EFEITO!$J$531*EFEITO!$Y$531</f>
        <v>830.1966886649758</v>
      </c>
      <c r="K531" s="83">
        <f ca="1">EFEITO!$L$531*EFEITO!$Z$531</f>
        <v>0</v>
      </c>
      <c r="L531" s="83">
        <f>EFEITO!$N$531*EFEITO!$AA$531</f>
        <v>0</v>
      </c>
      <c r="M531" s="83">
        <f ca="1">$J$531-EFEITO!$K$531*EFEITO!$Y$531</f>
        <v>0</v>
      </c>
      <c r="N531" s="83">
        <f ca="1">$K$531-EFEITO!$M$531*EFEITO!$Z$531</f>
        <v>0</v>
      </c>
      <c r="O531" s="83">
        <f>$L$531-EFEITO!$O$531*EFEITO!$AA$531</f>
        <v>0</v>
      </c>
      <c r="P531" s="61"/>
      <c r="Q531" s="61"/>
      <c r="R531" s="61"/>
      <c r="S531" s="61"/>
      <c r="T531" s="61"/>
      <c r="U531" s="61"/>
      <c r="V531" s="61"/>
      <c r="W531" s="61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spans="1:36" ht="11.25" customHeight="1" x14ac:dyDescent="0.2">
      <c r="A532" s="57" t="s">
        <v>28</v>
      </c>
      <c r="B532" s="57" t="s">
        <v>35</v>
      </c>
      <c r="C532" s="57" t="s">
        <v>44</v>
      </c>
      <c r="D532" s="57" t="s">
        <v>48</v>
      </c>
      <c r="E532" s="57" t="s">
        <v>25</v>
      </c>
      <c r="F532" s="57" t="s">
        <v>25</v>
      </c>
      <c r="G532" s="57" t="s">
        <v>25</v>
      </c>
      <c r="H532" s="57" t="s">
        <v>38</v>
      </c>
      <c r="I532" s="82">
        <v>44136</v>
      </c>
      <c r="J532" s="83">
        <f ca="1">EFEITO!$J$532*EFEITO!$Y$532</f>
        <v>196213.79430177985</v>
      </c>
      <c r="K532" s="83">
        <f ca="1">EFEITO!$L$532*EFEITO!$Z$532</f>
        <v>248614.86903725003</v>
      </c>
      <c r="L532" s="83">
        <f>EFEITO!$N$532*EFEITO!$AA$532</f>
        <v>417399.92233331088</v>
      </c>
      <c r="M532" s="83">
        <f ca="1">$J$532-EFEITO!$K$532*EFEITO!$Y$532</f>
        <v>0</v>
      </c>
      <c r="N532" s="83">
        <f ca="1">$K$532-EFEITO!$M$532*EFEITO!$Z$532</f>
        <v>0</v>
      </c>
      <c r="O532" s="83">
        <f>$L$532-EFEITO!$O$532*EFEITO!$AA$532</f>
        <v>0</v>
      </c>
      <c r="P532" s="61"/>
      <c r="Q532" s="61"/>
      <c r="R532" s="61"/>
      <c r="S532" s="61"/>
      <c r="T532" s="61"/>
      <c r="U532" s="61"/>
      <c r="V532" s="61"/>
      <c r="W532" s="61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spans="1:36" ht="11.25" customHeight="1" x14ac:dyDescent="0.2">
      <c r="A533" s="57" t="s">
        <v>21</v>
      </c>
      <c r="B533" s="57" t="s">
        <v>35</v>
      </c>
      <c r="C533" s="57" t="s">
        <v>44</v>
      </c>
      <c r="D533" s="57" t="s">
        <v>48</v>
      </c>
      <c r="E533" s="57" t="s">
        <v>25</v>
      </c>
      <c r="F533" s="57" t="s">
        <v>25</v>
      </c>
      <c r="G533" s="57" t="s">
        <v>25</v>
      </c>
      <c r="H533" s="57" t="s">
        <v>38</v>
      </c>
      <c r="I533" s="82">
        <v>44166</v>
      </c>
      <c r="J533" s="83">
        <f ca="1">EFEITO!$J$533*EFEITO!$Y$533</f>
        <v>676578.37062008353</v>
      </c>
      <c r="K533" s="83">
        <f ca="1">EFEITO!$L$533*EFEITO!$Z$533</f>
        <v>921590.58276778692</v>
      </c>
      <c r="L533" s="83">
        <f>EFEITO!$N$533*EFEITO!$AA$533</f>
        <v>1547259.9815128094</v>
      </c>
      <c r="M533" s="83">
        <f ca="1">$J$533-EFEITO!$K$533*EFEITO!$Y$533</f>
        <v>0</v>
      </c>
      <c r="N533" s="83">
        <f ca="1">$K$533-EFEITO!$M$533*EFEITO!$Z$533</f>
        <v>0</v>
      </c>
      <c r="O533" s="83">
        <f>$L$533-EFEITO!$O$533*EFEITO!$AA$533</f>
        <v>0</v>
      </c>
      <c r="P533" s="61"/>
      <c r="Q533" s="61"/>
      <c r="R533" s="61"/>
      <c r="S533" s="61"/>
      <c r="T533" s="61"/>
      <c r="U533" s="61"/>
      <c r="V533" s="61"/>
      <c r="W533" s="61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spans="1:36" ht="11.25" customHeight="1" x14ac:dyDescent="0.2">
      <c r="A534" s="57" t="s">
        <v>28</v>
      </c>
      <c r="B534" s="57" t="s">
        <v>35</v>
      </c>
      <c r="C534" s="57" t="s">
        <v>44</v>
      </c>
      <c r="D534" s="57" t="s">
        <v>48</v>
      </c>
      <c r="E534" s="57" t="s">
        <v>25</v>
      </c>
      <c r="F534" s="57" t="s">
        <v>25</v>
      </c>
      <c r="G534" s="57" t="s">
        <v>25</v>
      </c>
      <c r="H534" s="57" t="s">
        <v>38</v>
      </c>
      <c r="I534" s="82">
        <v>44166</v>
      </c>
      <c r="J534" s="83">
        <f ca="1">EFEITO!$J$534*EFEITO!$Y$534</f>
        <v>202120.96304804989</v>
      </c>
      <c r="K534" s="83">
        <f ca="1">EFEITO!$L$534*EFEITO!$Z$534</f>
        <v>241503.43583176887</v>
      </c>
      <c r="L534" s="83">
        <f>EFEITO!$N$534*EFEITO!$AA$534</f>
        <v>405460.52514785284</v>
      </c>
      <c r="M534" s="83">
        <f ca="1">$J$534-EFEITO!$K$534*EFEITO!$Y$534</f>
        <v>0</v>
      </c>
      <c r="N534" s="83">
        <f ca="1">$K$534-EFEITO!$M$534*EFEITO!$Z$534</f>
        <v>0</v>
      </c>
      <c r="O534" s="83">
        <f>$L$534-EFEITO!$O$534*EFEITO!$AA$534</f>
        <v>0</v>
      </c>
      <c r="P534" s="61"/>
      <c r="Q534" s="61"/>
      <c r="R534" s="61"/>
      <c r="S534" s="61"/>
      <c r="T534" s="61"/>
      <c r="U534" s="61"/>
      <c r="V534" s="61"/>
      <c r="W534" s="61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spans="1:36" ht="11.25" customHeight="1" x14ac:dyDescent="0.2">
      <c r="A535" s="57" t="s">
        <v>21</v>
      </c>
      <c r="B535" s="57" t="s">
        <v>35</v>
      </c>
      <c r="C535" s="57" t="s">
        <v>44</v>
      </c>
      <c r="D535" s="57" t="s">
        <v>48</v>
      </c>
      <c r="E535" s="57" t="s">
        <v>25</v>
      </c>
      <c r="F535" s="57" t="s">
        <v>25</v>
      </c>
      <c r="G535" s="57" t="s">
        <v>25</v>
      </c>
      <c r="H535" s="57" t="s">
        <v>38</v>
      </c>
      <c r="I535" s="82">
        <v>44197</v>
      </c>
      <c r="J535" s="83">
        <f ca="1">EFEITO!$J$535*EFEITO!$Y$535</f>
        <v>676738.02382944222</v>
      </c>
      <c r="K535" s="83">
        <f ca="1">EFEITO!$L$535*EFEITO!$Z$535</f>
        <v>861477.47829968261</v>
      </c>
      <c r="L535" s="83">
        <f>EFEITO!$N$535*EFEITO!$AA$535</f>
        <v>1446335.9891813549</v>
      </c>
      <c r="M535" s="83">
        <f ca="1">$J$535-EFEITO!$K$535*EFEITO!$Y$535</f>
        <v>0</v>
      </c>
      <c r="N535" s="83">
        <f ca="1">$K$535-EFEITO!$M$535*EFEITO!$Z$535</f>
        <v>0</v>
      </c>
      <c r="O535" s="83">
        <f>$L$535-EFEITO!$O$535*EFEITO!$AA$535</f>
        <v>0</v>
      </c>
      <c r="P535" s="61"/>
      <c r="Q535" s="61"/>
      <c r="R535" s="61"/>
      <c r="S535" s="61"/>
      <c r="T535" s="61"/>
      <c r="U535" s="61"/>
      <c r="V535" s="61"/>
      <c r="W535" s="61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spans="1:36" ht="11.25" customHeight="1" x14ac:dyDescent="0.2">
      <c r="A536" s="57" t="s">
        <v>28</v>
      </c>
      <c r="B536" s="57" t="s">
        <v>35</v>
      </c>
      <c r="C536" s="57" t="s">
        <v>44</v>
      </c>
      <c r="D536" s="57" t="s">
        <v>48</v>
      </c>
      <c r="E536" s="57" t="s">
        <v>25</v>
      </c>
      <c r="F536" s="57" t="s">
        <v>25</v>
      </c>
      <c r="G536" s="57" t="s">
        <v>25</v>
      </c>
      <c r="H536" s="57" t="s">
        <v>38</v>
      </c>
      <c r="I536" s="82">
        <v>44197</v>
      </c>
      <c r="J536" s="83">
        <f ca="1">EFEITO!$J$536*EFEITO!$Y$536</f>
        <v>194713.05413380856</v>
      </c>
      <c r="K536" s="83">
        <f ca="1">EFEITO!$L$536*EFEITO!$Z$536</f>
        <v>236323.1659763224</v>
      </c>
      <c r="L536" s="83">
        <f>EFEITO!$N$536*EFEITO!$AA$536</f>
        <v>396763.36136315187</v>
      </c>
      <c r="M536" s="83">
        <f ca="1">$J$536-EFEITO!$K$536*EFEITO!$Y$536</f>
        <v>0</v>
      </c>
      <c r="N536" s="83">
        <f ca="1">$K$536-EFEITO!$M$536*EFEITO!$Z$536</f>
        <v>0</v>
      </c>
      <c r="O536" s="83">
        <f>$L$536-EFEITO!$O$536*EFEITO!$AA$536</f>
        <v>0</v>
      </c>
      <c r="P536" s="61"/>
      <c r="Q536" s="61"/>
      <c r="R536" s="61"/>
      <c r="S536" s="61"/>
      <c r="T536" s="61"/>
      <c r="U536" s="61"/>
      <c r="V536" s="61"/>
      <c r="W536" s="61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spans="1:36" ht="11.25" customHeight="1" x14ac:dyDescent="0.2">
      <c r="A537" s="57" t="s">
        <v>21</v>
      </c>
      <c r="B537" s="57" t="s">
        <v>35</v>
      </c>
      <c r="C537" s="57" t="s">
        <v>44</v>
      </c>
      <c r="D537" s="57" t="s">
        <v>48</v>
      </c>
      <c r="E537" s="57" t="s">
        <v>25</v>
      </c>
      <c r="F537" s="57" t="s">
        <v>25</v>
      </c>
      <c r="G537" s="57" t="s">
        <v>25</v>
      </c>
      <c r="H537" s="57" t="s">
        <v>38</v>
      </c>
      <c r="I537" s="82">
        <v>44228</v>
      </c>
      <c r="J537" s="83">
        <f ca="1">EFEITO!$J$537*EFEITO!$Y$537</f>
        <v>672076.15011616971</v>
      </c>
      <c r="K537" s="83">
        <f ca="1">EFEITO!$L$537*EFEITO!$Z$537</f>
        <v>814768.43372266111</v>
      </c>
      <c r="L537" s="83">
        <f>EFEITO!$N$537*EFEITO!$AA$537</f>
        <v>1367916.0955755915</v>
      </c>
      <c r="M537" s="83">
        <f ca="1">$J$537-EFEITO!$K$537*EFEITO!$Y$537</f>
        <v>0</v>
      </c>
      <c r="N537" s="83">
        <f ca="1">$K$537-EFEITO!$M$537*EFEITO!$Z$537</f>
        <v>0</v>
      </c>
      <c r="O537" s="83">
        <f>$L$537-EFEITO!$O$537*EFEITO!$AA$537</f>
        <v>0</v>
      </c>
      <c r="P537" s="61"/>
      <c r="Q537" s="61"/>
      <c r="R537" s="61"/>
      <c r="S537" s="61"/>
      <c r="T537" s="61"/>
      <c r="U537" s="61"/>
      <c r="V537" s="61"/>
      <c r="W537" s="61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spans="1:36" ht="11.25" customHeight="1" x14ac:dyDescent="0.2">
      <c r="A538" s="57" t="s">
        <v>27</v>
      </c>
      <c r="B538" s="57" t="s">
        <v>35</v>
      </c>
      <c r="C538" s="57" t="s">
        <v>44</v>
      </c>
      <c r="D538" s="57" t="s">
        <v>48</v>
      </c>
      <c r="E538" s="57" t="s">
        <v>25</v>
      </c>
      <c r="F538" s="57" t="s">
        <v>25</v>
      </c>
      <c r="G538" s="57" t="s">
        <v>25</v>
      </c>
      <c r="H538" s="57" t="s">
        <v>38</v>
      </c>
      <c r="I538" s="82">
        <v>44228</v>
      </c>
      <c r="J538" s="83">
        <f ca="1">EFEITO!$J$538*EFEITO!$Y$538</f>
        <v>-2394.798140379738</v>
      </c>
      <c r="K538" s="83">
        <f ca="1">EFEITO!$L$538*EFEITO!$Z$538</f>
        <v>0</v>
      </c>
      <c r="L538" s="83">
        <f>EFEITO!$N$538*EFEITO!$AA$538</f>
        <v>0</v>
      </c>
      <c r="M538" s="83">
        <f ca="1">$J$538-EFEITO!$K$538*EFEITO!$Y$538</f>
        <v>0</v>
      </c>
      <c r="N538" s="83">
        <f ca="1">$K$538-EFEITO!$M$538*EFEITO!$Z$538</f>
        <v>0</v>
      </c>
      <c r="O538" s="83">
        <f>$L$538-EFEITO!$O$538*EFEITO!$AA$538</f>
        <v>0</v>
      </c>
      <c r="P538" s="61"/>
      <c r="Q538" s="61"/>
      <c r="R538" s="61"/>
      <c r="S538" s="61"/>
      <c r="T538" s="61"/>
      <c r="U538" s="61"/>
      <c r="V538" s="61"/>
      <c r="W538" s="61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spans="1:36" ht="11.25" customHeight="1" x14ac:dyDescent="0.2">
      <c r="A539" s="57" t="s">
        <v>28</v>
      </c>
      <c r="B539" s="57" t="s">
        <v>35</v>
      </c>
      <c r="C539" s="57" t="s">
        <v>44</v>
      </c>
      <c r="D539" s="57" t="s">
        <v>48</v>
      </c>
      <c r="E539" s="57" t="s">
        <v>25</v>
      </c>
      <c r="F539" s="57" t="s">
        <v>25</v>
      </c>
      <c r="G539" s="57" t="s">
        <v>25</v>
      </c>
      <c r="H539" s="57" t="s">
        <v>38</v>
      </c>
      <c r="I539" s="82">
        <v>44228</v>
      </c>
      <c r="J539" s="83">
        <f ca="1">EFEITO!$J$539*EFEITO!$Y$539</f>
        <v>209624.66388790641</v>
      </c>
      <c r="K539" s="83">
        <f ca="1">EFEITO!$L$539*EFEITO!$Z$539</f>
        <v>245911.74588734543</v>
      </c>
      <c r="L539" s="83">
        <f>EFEITO!$N$539*EFEITO!$AA$539</f>
        <v>412861.64432445011</v>
      </c>
      <c r="M539" s="83">
        <f ca="1">$J$539-EFEITO!$K$539*EFEITO!$Y$539</f>
        <v>0</v>
      </c>
      <c r="N539" s="83">
        <f ca="1">$K$539-EFEITO!$M$539*EFEITO!$Z$539</f>
        <v>0</v>
      </c>
      <c r="O539" s="83">
        <f>$L$539-EFEITO!$O$539*EFEITO!$AA$539</f>
        <v>0</v>
      </c>
      <c r="P539" s="61"/>
      <c r="Q539" s="61"/>
      <c r="R539" s="61"/>
      <c r="S539" s="61"/>
      <c r="T539" s="61"/>
      <c r="U539" s="61"/>
      <c r="V539" s="61"/>
      <c r="W539" s="61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spans="1:36" ht="11.25" customHeight="1" x14ac:dyDescent="0.2">
      <c r="A540" s="57" t="s">
        <v>29</v>
      </c>
      <c r="B540" s="57" t="s">
        <v>35</v>
      </c>
      <c r="C540" s="57" t="s">
        <v>44</v>
      </c>
      <c r="D540" s="57" t="s">
        <v>48</v>
      </c>
      <c r="E540" s="57" t="s">
        <v>25</v>
      </c>
      <c r="F540" s="57" t="s">
        <v>25</v>
      </c>
      <c r="G540" s="57" t="s">
        <v>25</v>
      </c>
      <c r="H540" s="57" t="s">
        <v>38</v>
      </c>
      <c r="I540" s="82">
        <v>44228</v>
      </c>
      <c r="J540" s="83">
        <f ca="1">EFEITO!$J$540*EFEITO!$Y$540</f>
        <v>-7344.0476304978629</v>
      </c>
      <c r="K540" s="83">
        <f ca="1">EFEITO!$L$540*EFEITO!$Z$540</f>
        <v>3381.2209963740083</v>
      </c>
      <c r="L540" s="83">
        <f>EFEITO!$N$540*EFEITO!$AA$540</f>
        <v>5676.7376253220491</v>
      </c>
      <c r="M540" s="83">
        <f ca="1">$J$540-EFEITO!$K$540*EFEITO!$Y$540</f>
        <v>0</v>
      </c>
      <c r="N540" s="83">
        <f ca="1">$K$540-EFEITO!$M$540*EFEITO!$Z$540</f>
        <v>0</v>
      </c>
      <c r="O540" s="83">
        <f>$L$540-EFEITO!$O$540*EFEITO!$AA$540</f>
        <v>0</v>
      </c>
      <c r="P540" s="61"/>
      <c r="Q540" s="61"/>
      <c r="R540" s="61"/>
      <c r="S540" s="61"/>
      <c r="T540" s="61"/>
      <c r="U540" s="61"/>
      <c r="V540" s="61"/>
      <c r="W540" s="61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spans="1:36" ht="11.25" customHeight="1" x14ac:dyDescent="0.2">
      <c r="A541" s="57" t="s">
        <v>21</v>
      </c>
      <c r="B541" s="57" t="s">
        <v>35</v>
      </c>
      <c r="C541" s="57" t="s">
        <v>44</v>
      </c>
      <c r="D541" s="57" t="s">
        <v>48</v>
      </c>
      <c r="E541" s="57" t="s">
        <v>25</v>
      </c>
      <c r="F541" s="57" t="s">
        <v>25</v>
      </c>
      <c r="G541" s="57" t="s">
        <v>25</v>
      </c>
      <c r="H541" s="57" t="s">
        <v>38</v>
      </c>
      <c r="I541" s="82">
        <v>44256</v>
      </c>
      <c r="J541" s="83">
        <f ca="1">EFEITO!$J$541*EFEITO!$Y$541</f>
        <v>704709.26610907761</v>
      </c>
      <c r="K541" s="83">
        <f ca="1">EFEITO!$L$541*EFEITO!$Z$541</f>
        <v>885946.29532223381</v>
      </c>
      <c r="L541" s="83">
        <f>EFEITO!$N$541*EFEITO!$AA$541</f>
        <v>1487416.7272898655</v>
      </c>
      <c r="M541" s="83">
        <f ca="1">$J$541-EFEITO!$K$541*EFEITO!$Y$541</f>
        <v>0</v>
      </c>
      <c r="N541" s="83">
        <f ca="1">$K$541-EFEITO!$M$541*EFEITO!$Z$541</f>
        <v>0</v>
      </c>
      <c r="O541" s="83">
        <f>$L$541-EFEITO!$O$541*EFEITO!$AA$541</f>
        <v>0</v>
      </c>
      <c r="P541" s="61"/>
      <c r="Q541" s="61"/>
      <c r="R541" s="61"/>
      <c r="S541" s="61"/>
      <c r="T541" s="61"/>
      <c r="U541" s="61"/>
      <c r="V541" s="61"/>
      <c r="W541" s="61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spans="1:36" ht="11.25" customHeight="1" x14ac:dyDescent="0.2">
      <c r="A542" s="57" t="s">
        <v>28</v>
      </c>
      <c r="B542" s="57" t="s">
        <v>35</v>
      </c>
      <c r="C542" s="57" t="s">
        <v>44</v>
      </c>
      <c r="D542" s="57" t="s">
        <v>48</v>
      </c>
      <c r="E542" s="57" t="s">
        <v>25</v>
      </c>
      <c r="F542" s="57" t="s">
        <v>25</v>
      </c>
      <c r="G542" s="57" t="s">
        <v>25</v>
      </c>
      <c r="H542" s="57" t="s">
        <v>38</v>
      </c>
      <c r="I542" s="82">
        <v>44256</v>
      </c>
      <c r="J542" s="83">
        <f ca="1">EFEITO!$J$542*EFEITO!$Y$542</f>
        <v>185165.79221416134</v>
      </c>
      <c r="K542" s="83">
        <f ca="1">EFEITO!$L$542*EFEITO!$Z$542</f>
        <v>268435.74997597432</v>
      </c>
      <c r="L542" s="83">
        <f>EFEITO!$N$542*EFEITO!$AA$542</f>
        <v>450677.23272282642</v>
      </c>
      <c r="M542" s="83">
        <f ca="1">$J$542-EFEITO!$K$542*EFEITO!$Y$542</f>
        <v>0</v>
      </c>
      <c r="N542" s="83">
        <f ca="1">$K$542-EFEITO!$M$542*EFEITO!$Z$542</f>
        <v>0</v>
      </c>
      <c r="O542" s="83">
        <f>$L$542-EFEITO!$O$542*EFEITO!$AA$542</f>
        <v>0</v>
      </c>
      <c r="P542" s="61"/>
      <c r="Q542" s="61"/>
      <c r="R542" s="61"/>
      <c r="S542" s="61"/>
      <c r="T542" s="61"/>
      <c r="U542" s="61"/>
      <c r="V542" s="61"/>
      <c r="W542" s="61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spans="1:36" ht="11.25" customHeight="1" x14ac:dyDescent="0.2">
      <c r="A543" s="57" t="s">
        <v>29</v>
      </c>
      <c r="B543" s="57" t="s">
        <v>35</v>
      </c>
      <c r="C543" s="57" t="s">
        <v>44</v>
      </c>
      <c r="D543" s="57" t="s">
        <v>48</v>
      </c>
      <c r="E543" s="57" t="s">
        <v>25</v>
      </c>
      <c r="F543" s="57" t="s">
        <v>25</v>
      </c>
      <c r="G543" s="57" t="s">
        <v>25</v>
      </c>
      <c r="H543" s="57" t="s">
        <v>38</v>
      </c>
      <c r="I543" s="82">
        <v>44256</v>
      </c>
      <c r="J543" s="83">
        <f ca="1">EFEITO!$J$543*EFEITO!$Y$543</f>
        <v>8780.9265147257065</v>
      </c>
      <c r="K543" s="83">
        <f ca="1">EFEITO!$L$543*EFEITO!$Z$543</f>
        <v>2672.4537145026361</v>
      </c>
      <c r="L543" s="83">
        <f>EFEITO!$N$543*EFEITO!$AA$543</f>
        <v>4486.7870421122543</v>
      </c>
      <c r="M543" s="83">
        <f ca="1">$J$543-EFEITO!$K$543*EFEITO!$Y$543</f>
        <v>0</v>
      </c>
      <c r="N543" s="83">
        <f ca="1">$K$543-EFEITO!$M$543*EFEITO!$Z$543</f>
        <v>0</v>
      </c>
      <c r="O543" s="83">
        <f>$L$543-EFEITO!$O$543*EFEITO!$AA$543</f>
        <v>0</v>
      </c>
      <c r="P543" s="61"/>
      <c r="Q543" s="61"/>
      <c r="R543" s="61"/>
      <c r="S543" s="61"/>
      <c r="T543" s="61"/>
      <c r="U543" s="61"/>
      <c r="V543" s="61"/>
      <c r="W543" s="61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spans="1:36" ht="11.25" customHeight="1" x14ac:dyDescent="0.2">
      <c r="A544" s="57" t="s">
        <v>21</v>
      </c>
      <c r="B544" s="57" t="s">
        <v>35</v>
      </c>
      <c r="C544" s="57" t="s">
        <v>44</v>
      </c>
      <c r="D544" s="57" t="s">
        <v>48</v>
      </c>
      <c r="E544" s="57" t="s">
        <v>25</v>
      </c>
      <c r="F544" s="57" t="s">
        <v>25</v>
      </c>
      <c r="G544" s="57" t="s">
        <v>25</v>
      </c>
      <c r="H544" s="57" t="s">
        <v>38</v>
      </c>
      <c r="I544" s="82">
        <v>44287</v>
      </c>
      <c r="J544" s="83">
        <f ca="1">EFEITO!$J$544*EFEITO!$Y$544</f>
        <v>682804.84578507091</v>
      </c>
      <c r="K544" s="83">
        <f ca="1">EFEITO!$L$544*EFEITO!$Z$544</f>
        <v>906945.25330983195</v>
      </c>
      <c r="L544" s="83">
        <f>EFEITO!$N$544*EFEITO!$AA$544</f>
        <v>1522671.9132208028</v>
      </c>
      <c r="M544" s="83">
        <f ca="1">$J$544-EFEITO!$K$544*EFEITO!$Y$544</f>
        <v>0</v>
      </c>
      <c r="N544" s="83">
        <f ca="1">$K$544-EFEITO!$M$544*EFEITO!$Z$544</f>
        <v>0</v>
      </c>
      <c r="O544" s="83">
        <f>$L$544-EFEITO!$O$544*EFEITO!$AA$544</f>
        <v>0</v>
      </c>
      <c r="P544" s="61"/>
      <c r="Q544" s="61"/>
      <c r="R544" s="61"/>
      <c r="S544" s="61"/>
      <c r="T544" s="61"/>
      <c r="U544" s="61"/>
      <c r="V544" s="61"/>
      <c r="W544" s="61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spans="1:36" ht="11.25" customHeight="1" x14ac:dyDescent="0.2">
      <c r="A545" s="57" t="s">
        <v>27</v>
      </c>
      <c r="B545" s="57" t="s">
        <v>35</v>
      </c>
      <c r="C545" s="57" t="s">
        <v>44</v>
      </c>
      <c r="D545" s="57" t="s">
        <v>48</v>
      </c>
      <c r="E545" s="57" t="s">
        <v>25</v>
      </c>
      <c r="F545" s="57" t="s">
        <v>25</v>
      </c>
      <c r="G545" s="57" t="s">
        <v>25</v>
      </c>
      <c r="H545" s="57" t="s">
        <v>38</v>
      </c>
      <c r="I545" s="82">
        <v>44287</v>
      </c>
      <c r="J545" s="83">
        <f ca="1">EFEITO!$J$545*EFEITO!$Y$545</f>
        <v>-26821.739172253066</v>
      </c>
      <c r="K545" s="83">
        <f ca="1">EFEITO!$L$545*EFEITO!$Z$545</f>
        <v>-250.07385789279979</v>
      </c>
      <c r="L545" s="83">
        <f>EFEITO!$N$545*EFEITO!$AA$545</f>
        <v>-419.84942118006086</v>
      </c>
      <c r="M545" s="83">
        <f ca="1">$J$545-EFEITO!$K$545*EFEITO!$Y$545</f>
        <v>0</v>
      </c>
      <c r="N545" s="83">
        <f ca="1">$K$545-EFEITO!$M$545*EFEITO!$Z$545</f>
        <v>0</v>
      </c>
      <c r="O545" s="83">
        <f>$L$545-EFEITO!$O$545*EFEITO!$AA$545</f>
        <v>0</v>
      </c>
      <c r="P545" s="61"/>
      <c r="Q545" s="61"/>
      <c r="R545" s="61"/>
      <c r="S545" s="61"/>
      <c r="T545" s="61"/>
      <c r="U545" s="61"/>
      <c r="V545" s="61"/>
      <c r="W545" s="61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spans="1:36" ht="11.25" customHeight="1" x14ac:dyDescent="0.2">
      <c r="A546" s="57" t="s">
        <v>28</v>
      </c>
      <c r="B546" s="57" t="s">
        <v>35</v>
      </c>
      <c r="C546" s="57" t="s">
        <v>44</v>
      </c>
      <c r="D546" s="57" t="s">
        <v>48</v>
      </c>
      <c r="E546" s="57" t="s">
        <v>25</v>
      </c>
      <c r="F546" s="57" t="s">
        <v>25</v>
      </c>
      <c r="G546" s="57" t="s">
        <v>25</v>
      </c>
      <c r="H546" s="57" t="s">
        <v>38</v>
      </c>
      <c r="I546" s="82">
        <v>44287</v>
      </c>
      <c r="J546" s="83">
        <f ca="1">EFEITO!$J$546*EFEITO!$Y$546</f>
        <v>181717.28289201451</v>
      </c>
      <c r="K546" s="83">
        <f ca="1">EFEITO!$L$546*EFEITO!$Z$546</f>
        <v>272461.19762917061</v>
      </c>
      <c r="L546" s="83">
        <f>EFEITO!$N$546*EFEITO!$AA$546</f>
        <v>457435.56356726668</v>
      </c>
      <c r="M546" s="83">
        <f ca="1">$J$546-EFEITO!$K$546*EFEITO!$Y$546</f>
        <v>0</v>
      </c>
      <c r="N546" s="83">
        <f ca="1">$K$546-EFEITO!$M$546*EFEITO!$Z$546</f>
        <v>0</v>
      </c>
      <c r="O546" s="83">
        <f>$L$546-EFEITO!$O$546*EFEITO!$AA$546</f>
        <v>0</v>
      </c>
      <c r="P546" s="61"/>
      <c r="Q546" s="61"/>
      <c r="R546" s="61"/>
      <c r="S546" s="61"/>
      <c r="T546" s="61"/>
      <c r="U546" s="61"/>
      <c r="V546" s="61"/>
      <c r="W546" s="61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spans="1:36" ht="11.25" customHeight="1" x14ac:dyDescent="0.2">
      <c r="A547" s="57" t="s">
        <v>21</v>
      </c>
      <c r="B547" s="57" t="s">
        <v>35</v>
      </c>
      <c r="C547" s="57" t="s">
        <v>44</v>
      </c>
      <c r="D547" s="57" t="s">
        <v>48</v>
      </c>
      <c r="E547" s="57" t="s">
        <v>25</v>
      </c>
      <c r="F547" s="57" t="s">
        <v>25</v>
      </c>
      <c r="G547" s="57" t="s">
        <v>25</v>
      </c>
      <c r="H547" s="57" t="s">
        <v>38</v>
      </c>
      <c r="I547" s="82">
        <v>44317</v>
      </c>
      <c r="J547" s="83">
        <f ca="1">EFEITO!$J$547*EFEITO!$Y$547</f>
        <v>652949.6956350035</v>
      </c>
      <c r="K547" s="83">
        <f ca="1">EFEITO!$L$547*EFEITO!$Z$547</f>
        <v>960500.65954350343</v>
      </c>
      <c r="L547" s="83">
        <f>EFEITO!$N$547*EFEITO!$AA$547</f>
        <v>1612586.1749422692</v>
      </c>
      <c r="M547" s="83">
        <f ca="1">$J$547-EFEITO!$K$547*EFEITO!$Y$547</f>
        <v>0</v>
      </c>
      <c r="N547" s="83">
        <f ca="1">$K$547-EFEITO!$M$547*EFEITO!$Z$547</f>
        <v>0</v>
      </c>
      <c r="O547" s="83">
        <f>$L$547-EFEITO!$O$547*EFEITO!$AA$547</f>
        <v>0</v>
      </c>
      <c r="P547" s="61"/>
      <c r="Q547" s="61"/>
      <c r="R547" s="61"/>
      <c r="S547" s="61"/>
      <c r="T547" s="61"/>
      <c r="U547" s="61"/>
      <c r="V547" s="61"/>
      <c r="W547" s="61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spans="1:36" ht="11.25" customHeight="1" x14ac:dyDescent="0.2">
      <c r="A548" s="57" t="s">
        <v>27</v>
      </c>
      <c r="B548" s="57" t="s">
        <v>35</v>
      </c>
      <c r="C548" s="57" t="s">
        <v>44</v>
      </c>
      <c r="D548" s="57" t="s">
        <v>48</v>
      </c>
      <c r="E548" s="57" t="s">
        <v>25</v>
      </c>
      <c r="F548" s="57" t="s">
        <v>25</v>
      </c>
      <c r="G548" s="57" t="s">
        <v>25</v>
      </c>
      <c r="H548" s="57" t="s">
        <v>38</v>
      </c>
      <c r="I548" s="82">
        <v>44317</v>
      </c>
      <c r="J548" s="83">
        <f ca="1">EFEITO!$J$548*EFEITO!$Y$548</f>
        <v>-92247.624367427503</v>
      </c>
      <c r="K548" s="83">
        <f ca="1">EFEITO!$L$548*EFEITO!$Z$548</f>
        <v>-27234.627150310393</v>
      </c>
      <c r="L548" s="83">
        <f>EFEITO!$N$548*EFEITO!$AA$548</f>
        <v>-45724.261390065963</v>
      </c>
      <c r="M548" s="83">
        <f ca="1">$J$548-EFEITO!$K$548*EFEITO!$Y$548</f>
        <v>0</v>
      </c>
      <c r="N548" s="83">
        <f ca="1">$K$548-EFEITO!$M$548*EFEITO!$Z$548</f>
        <v>0</v>
      </c>
      <c r="O548" s="83">
        <f>$L$548-EFEITO!$O$548*EFEITO!$AA$548</f>
        <v>0</v>
      </c>
      <c r="P548" s="61"/>
      <c r="Q548" s="61"/>
      <c r="R548" s="61"/>
      <c r="S548" s="61"/>
      <c r="T548" s="61"/>
      <c r="U548" s="61"/>
      <c r="V548" s="61"/>
      <c r="W548" s="61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spans="1:36" ht="11.25" customHeight="1" x14ac:dyDescent="0.2">
      <c r="A549" s="57" t="s">
        <v>28</v>
      </c>
      <c r="B549" s="57" t="s">
        <v>35</v>
      </c>
      <c r="C549" s="57" t="s">
        <v>44</v>
      </c>
      <c r="D549" s="57" t="s">
        <v>48</v>
      </c>
      <c r="E549" s="57" t="s">
        <v>25</v>
      </c>
      <c r="F549" s="57" t="s">
        <v>25</v>
      </c>
      <c r="G549" s="57" t="s">
        <v>25</v>
      </c>
      <c r="H549" s="57" t="s">
        <v>38</v>
      </c>
      <c r="I549" s="82">
        <v>44317</v>
      </c>
      <c r="J549" s="83">
        <f ca="1">EFEITO!$J$549*EFEITO!$Y$549</f>
        <v>191807.36572348114</v>
      </c>
      <c r="K549" s="83">
        <f ca="1">EFEITO!$L$549*EFEITO!$Z$549</f>
        <v>263692.94085845893</v>
      </c>
      <c r="L549" s="83">
        <f>EFEITO!$N$549*EFEITO!$AA$549</f>
        <v>442714.52250779083</v>
      </c>
      <c r="M549" s="83">
        <f ca="1">$J$549-EFEITO!$K$549*EFEITO!$Y$549</f>
        <v>0</v>
      </c>
      <c r="N549" s="83">
        <f ca="1">$K$549-EFEITO!$M$549*EFEITO!$Z$549</f>
        <v>0</v>
      </c>
      <c r="O549" s="83">
        <f>$L$549-EFEITO!$O$549*EFEITO!$AA$549</f>
        <v>0</v>
      </c>
      <c r="P549" s="61"/>
      <c r="Q549" s="61"/>
      <c r="R549" s="61"/>
      <c r="S549" s="61"/>
      <c r="T549" s="61"/>
      <c r="U549" s="61"/>
      <c r="V549" s="61"/>
      <c r="W549" s="61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spans="1:36" ht="11.25" customHeight="1" x14ac:dyDescent="0.2">
      <c r="A550" s="57" t="s">
        <v>29</v>
      </c>
      <c r="B550" s="57" t="s">
        <v>35</v>
      </c>
      <c r="C550" s="57" t="s">
        <v>44</v>
      </c>
      <c r="D550" s="57" t="s">
        <v>48</v>
      </c>
      <c r="E550" s="57" t="s">
        <v>25</v>
      </c>
      <c r="F550" s="57" t="s">
        <v>25</v>
      </c>
      <c r="G550" s="57" t="s">
        <v>25</v>
      </c>
      <c r="H550" s="57" t="s">
        <v>38</v>
      </c>
      <c r="I550" s="82">
        <v>44317</v>
      </c>
      <c r="J550" s="83">
        <f ca="1">EFEITO!$J$550*EFEITO!$Y$550</f>
        <v>-81008.038428578599</v>
      </c>
      <c r="K550" s="83">
        <f ca="1">EFEITO!$L$550*EFEITO!$Z$550</f>
        <v>-16589.468338352133</v>
      </c>
      <c r="L550" s="83">
        <f>EFEITO!$N$550*EFEITO!$AA$550</f>
        <v>-27852.08633254196</v>
      </c>
      <c r="M550" s="83">
        <f ca="1">$J$550-EFEITO!$K$550*EFEITO!$Y$550</f>
        <v>0</v>
      </c>
      <c r="N550" s="83">
        <f ca="1">$K$550-EFEITO!$M$550*EFEITO!$Z$550</f>
        <v>0</v>
      </c>
      <c r="O550" s="83">
        <f>$L$550-EFEITO!$O$550*EFEITO!$AA$550</f>
        <v>0</v>
      </c>
      <c r="P550" s="61"/>
      <c r="Q550" s="61"/>
      <c r="R550" s="61"/>
      <c r="S550" s="61"/>
      <c r="T550" s="61"/>
      <c r="U550" s="61"/>
      <c r="V550" s="61"/>
      <c r="W550" s="61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spans="1:36" ht="11.25" customHeight="1" x14ac:dyDescent="0.2">
      <c r="A551" s="57" t="s">
        <v>21</v>
      </c>
      <c r="B551" s="57" t="s">
        <v>35</v>
      </c>
      <c r="C551" s="57" t="s">
        <v>44</v>
      </c>
      <c r="D551" s="57" t="s">
        <v>48</v>
      </c>
      <c r="E551" s="57" t="s">
        <v>25</v>
      </c>
      <c r="F551" s="57" t="s">
        <v>25</v>
      </c>
      <c r="G551" s="57" t="s">
        <v>25</v>
      </c>
      <c r="H551" s="57" t="s">
        <v>38</v>
      </c>
      <c r="I551" s="82">
        <v>44348</v>
      </c>
      <c r="J551" s="83">
        <f ca="1">EFEITO!$J$551*EFEITO!$Y$551</f>
        <v>651289.30225767358</v>
      </c>
      <c r="K551" s="83">
        <f ca="1">EFEITO!$L$551*EFEITO!$Z$551</f>
        <v>951178.49928836222</v>
      </c>
      <c r="L551" s="83">
        <f>EFEITO!$N$551*EFEITO!$AA$551</f>
        <v>1596935.1843899237</v>
      </c>
      <c r="M551" s="83">
        <f ca="1">$J$551-EFEITO!$K$551*EFEITO!$Y$551</f>
        <v>0</v>
      </c>
      <c r="N551" s="83">
        <f ca="1">$K$551-EFEITO!$M$551*EFEITO!$Z$551</f>
        <v>0</v>
      </c>
      <c r="O551" s="83">
        <f>$L$551-EFEITO!$O$551*EFEITO!$AA$551</f>
        <v>0</v>
      </c>
      <c r="P551" s="61"/>
      <c r="Q551" s="61"/>
      <c r="R551" s="61"/>
      <c r="S551" s="61"/>
      <c r="T551" s="61"/>
      <c r="U551" s="61"/>
      <c r="V551" s="61"/>
      <c r="W551" s="61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spans="1:36" ht="11.25" customHeight="1" x14ac:dyDescent="0.2">
      <c r="A552" s="57" t="s">
        <v>28</v>
      </c>
      <c r="B552" s="57" t="s">
        <v>35</v>
      </c>
      <c r="C552" s="57" t="s">
        <v>44</v>
      </c>
      <c r="D552" s="57" t="s">
        <v>48</v>
      </c>
      <c r="E552" s="57" t="s">
        <v>25</v>
      </c>
      <c r="F552" s="57" t="s">
        <v>25</v>
      </c>
      <c r="G552" s="57" t="s">
        <v>25</v>
      </c>
      <c r="H552" s="57" t="s">
        <v>38</v>
      </c>
      <c r="I552" s="82">
        <v>44348</v>
      </c>
      <c r="J552" s="83">
        <f ca="1">EFEITO!$J$552*EFEITO!$Y$552</f>
        <v>174884.12553146432</v>
      </c>
      <c r="K552" s="83">
        <f ca="1">EFEITO!$L$552*EFEITO!$Z$552</f>
        <v>266498.85717097443</v>
      </c>
      <c r="L552" s="83">
        <f>EFEITO!$N$552*EFEITO!$AA$552</f>
        <v>447425.380130479</v>
      </c>
      <c r="M552" s="83">
        <f ca="1">$J$552-EFEITO!$K$552*EFEITO!$Y$552</f>
        <v>0</v>
      </c>
      <c r="N552" s="83">
        <f ca="1">$K$552-EFEITO!$M$552*EFEITO!$Z$552</f>
        <v>0</v>
      </c>
      <c r="O552" s="83">
        <f>$L$552-EFEITO!$O$552*EFEITO!$AA$552</f>
        <v>0</v>
      </c>
      <c r="P552" s="61"/>
      <c r="Q552" s="61"/>
      <c r="R552" s="61"/>
      <c r="S552" s="61"/>
      <c r="T552" s="61"/>
      <c r="U552" s="61"/>
      <c r="V552" s="61"/>
      <c r="W552" s="61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spans="1:36" ht="11.25" customHeight="1" x14ac:dyDescent="0.2">
      <c r="A553" s="57" t="s">
        <v>21</v>
      </c>
      <c r="B553" s="57" t="s">
        <v>35</v>
      </c>
      <c r="C553" s="57" t="s">
        <v>44</v>
      </c>
      <c r="D553" s="57" t="s">
        <v>48</v>
      </c>
      <c r="E553" s="57" t="s">
        <v>25</v>
      </c>
      <c r="F553" s="57" t="s">
        <v>25</v>
      </c>
      <c r="G553" s="57" t="s">
        <v>25</v>
      </c>
      <c r="H553" s="57" t="s">
        <v>38</v>
      </c>
      <c r="I553" s="82">
        <v>44378</v>
      </c>
      <c r="J553" s="83">
        <f ca="1">EFEITO!$J$553*EFEITO!$Y$553</f>
        <v>649054.15732665244</v>
      </c>
      <c r="K553" s="83">
        <f ca="1">EFEITO!$L$553*EFEITO!$Z$553</f>
        <v>953545.77526927728</v>
      </c>
      <c r="L553" s="83">
        <f>EFEITO!$N$553*EFEITO!$AA$553</f>
        <v>1600909.6080211482</v>
      </c>
      <c r="M553" s="83">
        <f ca="1">$J$553-EFEITO!$K$553*EFEITO!$Y$553</f>
        <v>0</v>
      </c>
      <c r="N553" s="83">
        <f ca="1">$K$553-EFEITO!$M$553*EFEITO!$Z$553</f>
        <v>0</v>
      </c>
      <c r="O553" s="83">
        <f>$L$553-EFEITO!$O$553*EFEITO!$AA$553</f>
        <v>0</v>
      </c>
      <c r="P553" s="61"/>
      <c r="Q553" s="61"/>
      <c r="R553" s="61"/>
      <c r="S553" s="61"/>
      <c r="T553" s="61"/>
      <c r="U553" s="61"/>
      <c r="V553" s="61"/>
      <c r="W553" s="61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spans="1:36" ht="11.25" customHeight="1" x14ac:dyDescent="0.2">
      <c r="A554" s="57" t="s">
        <v>28</v>
      </c>
      <c r="B554" s="57" t="s">
        <v>35</v>
      </c>
      <c r="C554" s="57" t="s">
        <v>44</v>
      </c>
      <c r="D554" s="57" t="s">
        <v>48</v>
      </c>
      <c r="E554" s="57" t="s">
        <v>25</v>
      </c>
      <c r="F554" s="57" t="s">
        <v>25</v>
      </c>
      <c r="G554" s="57" t="s">
        <v>25</v>
      </c>
      <c r="H554" s="57" t="s">
        <v>38</v>
      </c>
      <c r="I554" s="82">
        <v>44378</v>
      </c>
      <c r="J554" s="83">
        <f ca="1">EFEITO!$J$554*EFEITO!$Y$554</f>
        <v>173894.2756334407</v>
      </c>
      <c r="K554" s="83">
        <f ca="1">EFEITO!$L$554*EFEITO!$Z$554</f>
        <v>261273.59424271304</v>
      </c>
      <c r="L554" s="83">
        <f>EFEITO!$N$554*EFEITO!$AA$554</f>
        <v>438652.6774000536</v>
      </c>
      <c r="M554" s="83">
        <f ca="1">$J$554-EFEITO!$K$554*EFEITO!$Y$554</f>
        <v>0</v>
      </c>
      <c r="N554" s="83">
        <f ca="1">$K$554-EFEITO!$M$554*EFEITO!$Z$554</f>
        <v>0</v>
      </c>
      <c r="O554" s="83">
        <f>$L$554-EFEITO!$O$554*EFEITO!$AA$554</f>
        <v>0</v>
      </c>
      <c r="P554" s="61"/>
      <c r="Q554" s="61"/>
      <c r="R554" s="61"/>
      <c r="S554" s="61"/>
      <c r="T554" s="61"/>
      <c r="U554" s="61"/>
      <c r="V554" s="61"/>
      <c r="W554" s="61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spans="1:36" ht="11.25" customHeight="1" x14ac:dyDescent="0.2">
      <c r="A555" s="57" t="s">
        <v>21</v>
      </c>
      <c r="B555" s="57" t="s">
        <v>35</v>
      </c>
      <c r="C555" s="57" t="s">
        <v>44</v>
      </c>
      <c r="D555" s="57" t="s">
        <v>48</v>
      </c>
      <c r="E555" s="57" t="s">
        <v>25</v>
      </c>
      <c r="F555" s="57" t="s">
        <v>25</v>
      </c>
      <c r="G555" s="57" t="s">
        <v>25</v>
      </c>
      <c r="H555" s="57" t="s">
        <v>38</v>
      </c>
      <c r="I555" s="82">
        <v>44409</v>
      </c>
      <c r="J555" s="83">
        <f ca="1">EFEITO!$J$555*EFEITO!$Y$555</f>
        <v>675396.93687082955</v>
      </c>
      <c r="K555" s="83">
        <f ca="1">EFEITO!$L$555*EFEITO!$Z$555</f>
        <v>1032695.3308860178</v>
      </c>
      <c r="L555" s="83">
        <f>EFEITO!$N$555*EFEITO!$AA$555</f>
        <v>1733793.9302464356</v>
      </c>
      <c r="M555" s="83">
        <f ca="1">$J$555-EFEITO!$K$555*EFEITO!$Y$555</f>
        <v>0</v>
      </c>
      <c r="N555" s="83">
        <f ca="1">$K$555-EFEITO!$M$555*EFEITO!$Z$555</f>
        <v>0</v>
      </c>
      <c r="O555" s="83">
        <f>$L$555-EFEITO!$O$555*EFEITO!$AA$555</f>
        <v>0</v>
      </c>
      <c r="P555" s="61"/>
      <c r="Q555" s="61"/>
      <c r="R555" s="61"/>
      <c r="S555" s="61"/>
      <c r="T555" s="61"/>
      <c r="U555" s="61"/>
      <c r="V555" s="61"/>
      <c r="W555" s="61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spans="1:36" ht="11.25" customHeight="1" x14ac:dyDescent="0.2">
      <c r="A556" s="57" t="s">
        <v>27</v>
      </c>
      <c r="B556" s="57" t="s">
        <v>35</v>
      </c>
      <c r="C556" s="57" t="s">
        <v>44</v>
      </c>
      <c r="D556" s="57" t="s">
        <v>48</v>
      </c>
      <c r="E556" s="57" t="s">
        <v>25</v>
      </c>
      <c r="F556" s="57" t="s">
        <v>25</v>
      </c>
      <c r="G556" s="57" t="s">
        <v>25</v>
      </c>
      <c r="H556" s="57" t="s">
        <v>38</v>
      </c>
      <c r="I556" s="82">
        <v>44409</v>
      </c>
      <c r="J556" s="83">
        <f ca="1">EFEITO!$J$556*EFEITO!$Y$556</f>
        <v>-16763.586982658166</v>
      </c>
      <c r="K556" s="83">
        <f ca="1">EFEITO!$L$556*EFEITO!$Z$556</f>
        <v>-21535.504593750764</v>
      </c>
      <c r="L556" s="83">
        <f>EFEITO!$N$556*EFEITO!$AA$556</f>
        <v>-36155.994931636276</v>
      </c>
      <c r="M556" s="83">
        <f ca="1">$J$556-EFEITO!$K$556*EFEITO!$Y$556</f>
        <v>0</v>
      </c>
      <c r="N556" s="83">
        <f ca="1">$K$556-EFEITO!$M$556*EFEITO!$Z$556</f>
        <v>0</v>
      </c>
      <c r="O556" s="83">
        <f>$L$556-EFEITO!$O$556*EFEITO!$AA$556</f>
        <v>0</v>
      </c>
      <c r="P556" s="61"/>
      <c r="Q556" s="61"/>
      <c r="R556" s="61"/>
      <c r="S556" s="61"/>
      <c r="T556" s="61"/>
      <c r="U556" s="61"/>
      <c r="V556" s="61"/>
      <c r="W556" s="61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spans="1:36" ht="11.25" customHeight="1" x14ac:dyDescent="0.2">
      <c r="A557" s="57" t="s">
        <v>28</v>
      </c>
      <c r="B557" s="57" t="s">
        <v>35</v>
      </c>
      <c r="C557" s="57" t="s">
        <v>44</v>
      </c>
      <c r="D557" s="57" t="s">
        <v>48</v>
      </c>
      <c r="E557" s="57" t="s">
        <v>25</v>
      </c>
      <c r="F557" s="57" t="s">
        <v>25</v>
      </c>
      <c r="G557" s="57" t="s">
        <v>25</v>
      </c>
      <c r="H557" s="57" t="s">
        <v>38</v>
      </c>
      <c r="I557" s="82">
        <v>44409</v>
      </c>
      <c r="J557" s="83">
        <f ca="1">EFEITO!$J$557*EFEITO!$Y$557</f>
        <v>191519.98994663559</v>
      </c>
      <c r="K557" s="83">
        <f ca="1">EFEITO!$L$557*EFEITO!$Z$557</f>
        <v>287901.06768009369</v>
      </c>
      <c r="L557" s="83">
        <f>EFEITO!$N$557*EFEITO!$AA$557</f>
        <v>483357.58739893913</v>
      </c>
      <c r="M557" s="83">
        <f ca="1">$J$557-EFEITO!$K$557*EFEITO!$Y$557</f>
        <v>0</v>
      </c>
      <c r="N557" s="83">
        <f ca="1">$K$557-EFEITO!$M$557*EFEITO!$Z$557</f>
        <v>0</v>
      </c>
      <c r="O557" s="83">
        <f>$L$557-EFEITO!$O$557*EFEITO!$AA$557</f>
        <v>0</v>
      </c>
      <c r="P557" s="61"/>
      <c r="Q557" s="61"/>
      <c r="R557" s="61"/>
      <c r="S557" s="61"/>
      <c r="T557" s="61"/>
      <c r="U557" s="61"/>
      <c r="V557" s="61"/>
      <c r="W557" s="61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spans="1:36" ht="11.25" customHeight="1" x14ac:dyDescent="0.2">
      <c r="A558" s="57" t="s">
        <v>29</v>
      </c>
      <c r="B558" s="57" t="s">
        <v>35</v>
      </c>
      <c r="C558" s="57" t="s">
        <v>44</v>
      </c>
      <c r="D558" s="57" t="s">
        <v>48</v>
      </c>
      <c r="E558" s="57" t="s">
        <v>25</v>
      </c>
      <c r="F558" s="57" t="s">
        <v>25</v>
      </c>
      <c r="G558" s="57" t="s">
        <v>25</v>
      </c>
      <c r="H558" s="57" t="s">
        <v>38</v>
      </c>
      <c r="I558" s="82">
        <v>44409</v>
      </c>
      <c r="J558" s="83">
        <f ca="1">EFEITO!$J$558*EFEITO!$Y$558</f>
        <v>-3129.2029034295242</v>
      </c>
      <c r="K558" s="83">
        <f ca="1">EFEITO!$L$558*EFEITO!$Z$558</f>
        <v>-5168.8109455160693</v>
      </c>
      <c r="L558" s="83">
        <f>EFEITO!$N$558*EFEITO!$AA$558</f>
        <v>-8677.9254015202187</v>
      </c>
      <c r="M558" s="83">
        <f ca="1">$J$558-EFEITO!$K$558*EFEITO!$Y$558</f>
        <v>0</v>
      </c>
      <c r="N558" s="83">
        <f ca="1">$K$558-EFEITO!$M$558*EFEITO!$Z$558</f>
        <v>0</v>
      </c>
      <c r="O558" s="83">
        <f>$L$558-EFEITO!$O$558*EFEITO!$AA$558</f>
        <v>0</v>
      </c>
      <c r="P558" s="61"/>
      <c r="Q558" s="61"/>
      <c r="R558" s="61"/>
      <c r="S558" s="61"/>
      <c r="T558" s="61"/>
      <c r="U558" s="61"/>
      <c r="V558" s="61"/>
      <c r="W558" s="61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spans="1:36" ht="11.25" customHeight="1" x14ac:dyDescent="0.2">
      <c r="A559" s="57" t="s">
        <v>30</v>
      </c>
      <c r="B559" s="57" t="s">
        <v>35</v>
      </c>
      <c r="C559" s="57" t="s">
        <v>44</v>
      </c>
      <c r="D559" s="57" t="s">
        <v>48</v>
      </c>
      <c r="E559" s="57" t="s">
        <v>25</v>
      </c>
      <c r="F559" s="57" t="s">
        <v>25</v>
      </c>
      <c r="G559" s="57" t="s">
        <v>25</v>
      </c>
      <c r="H559" s="57" t="s">
        <v>38</v>
      </c>
      <c r="I559" s="82">
        <v>44409</v>
      </c>
      <c r="J559" s="83">
        <f ca="1">EFEITO!$J$559*EFEITO!$Y$559</f>
        <v>17561.853029451413</v>
      </c>
      <c r="K559" s="83">
        <f ca="1">EFEITO!$L$559*EFEITO!$Z$559</f>
        <v>9894.4316981358716</v>
      </c>
      <c r="L559" s="83">
        <f>EFEITO!$N$559*EFEITO!$AA$559</f>
        <v>16611.778041784673</v>
      </c>
      <c r="M559" s="83">
        <f ca="1">$J$559-EFEITO!$K$559*EFEITO!$Y$559</f>
        <v>0</v>
      </c>
      <c r="N559" s="83">
        <f ca="1">$K$559-EFEITO!$M$559*EFEITO!$Z$559</f>
        <v>0</v>
      </c>
      <c r="O559" s="83">
        <f>$L$559-EFEITO!$O$559*EFEITO!$AA$559</f>
        <v>0</v>
      </c>
      <c r="P559" s="61"/>
      <c r="Q559" s="61"/>
      <c r="R559" s="61"/>
      <c r="S559" s="61"/>
      <c r="T559" s="61"/>
      <c r="U559" s="61"/>
      <c r="V559" s="61"/>
      <c r="W559" s="61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spans="1:36" ht="11.25" customHeight="1" x14ac:dyDescent="0.2">
      <c r="A560" s="57" t="s">
        <v>21</v>
      </c>
      <c r="B560" s="57" t="s">
        <v>35</v>
      </c>
      <c r="C560" s="57" t="s">
        <v>44</v>
      </c>
      <c r="D560" s="57" t="s">
        <v>48</v>
      </c>
      <c r="E560" s="57" t="s">
        <v>25</v>
      </c>
      <c r="F560" s="57" t="s">
        <v>25</v>
      </c>
      <c r="G560" s="57" t="s">
        <v>25</v>
      </c>
      <c r="H560" s="57" t="s">
        <v>38</v>
      </c>
      <c r="I560" s="82">
        <v>44440</v>
      </c>
      <c r="J560" s="83">
        <f ca="1">EFEITO!$J$560*EFEITO!$Y$560</f>
        <v>673289.51450729545</v>
      </c>
      <c r="K560" s="83">
        <f ca="1">EFEITO!$L$560*EFEITO!$Z$560</f>
        <v>995159.98627518618</v>
      </c>
      <c r="L560" s="83">
        <f>EFEITO!$N$560*EFEITO!$AA$560</f>
        <v>1670775.776963867</v>
      </c>
      <c r="M560" s="83">
        <f ca="1">$J$560-EFEITO!$K$560*EFEITO!$Y$560</f>
        <v>0</v>
      </c>
      <c r="N560" s="83">
        <f ca="1">$K$560-EFEITO!$M$560*EFEITO!$Z$560</f>
        <v>0</v>
      </c>
      <c r="O560" s="83">
        <f>$L$560-EFEITO!$O$560*EFEITO!$AA$560</f>
        <v>0</v>
      </c>
      <c r="P560" s="61"/>
      <c r="Q560" s="61"/>
      <c r="R560" s="61"/>
      <c r="S560" s="61"/>
      <c r="T560" s="61"/>
      <c r="U560" s="61"/>
      <c r="V560" s="61"/>
      <c r="W560" s="61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spans="1:36" ht="11.25" customHeight="1" x14ac:dyDescent="0.2">
      <c r="A561" s="57" t="s">
        <v>28</v>
      </c>
      <c r="B561" s="57" t="s">
        <v>35</v>
      </c>
      <c r="C561" s="57" t="s">
        <v>44</v>
      </c>
      <c r="D561" s="57" t="s">
        <v>48</v>
      </c>
      <c r="E561" s="57" t="s">
        <v>25</v>
      </c>
      <c r="F561" s="57" t="s">
        <v>25</v>
      </c>
      <c r="G561" s="57" t="s">
        <v>25</v>
      </c>
      <c r="H561" s="57" t="s">
        <v>38</v>
      </c>
      <c r="I561" s="82">
        <v>44440</v>
      </c>
      <c r="J561" s="83">
        <f ca="1">EFEITO!$J$561*EFEITO!$Y$561</f>
        <v>190210.83362989465</v>
      </c>
      <c r="K561" s="83">
        <f ca="1">EFEITO!$L$561*EFEITO!$Z$561</f>
        <v>271923.47142934852</v>
      </c>
      <c r="L561" s="83">
        <f>EFEITO!$N$561*EFEITO!$AA$561</f>
        <v>456532.77414476965</v>
      </c>
      <c r="M561" s="83">
        <f ca="1">$J$561-EFEITO!$K$561*EFEITO!$Y$561</f>
        <v>0</v>
      </c>
      <c r="N561" s="83">
        <f ca="1">$K$561-EFEITO!$M$561*EFEITO!$Z$561</f>
        <v>0</v>
      </c>
      <c r="O561" s="83">
        <f>$L$561-EFEITO!$O$561*EFEITO!$AA$561</f>
        <v>0</v>
      </c>
      <c r="P561" s="61"/>
      <c r="Q561" s="61"/>
      <c r="R561" s="61"/>
      <c r="S561" s="61"/>
      <c r="T561" s="61"/>
      <c r="U561" s="61"/>
      <c r="V561" s="61"/>
      <c r="W561" s="61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spans="1:36" ht="11.25" customHeight="1" x14ac:dyDescent="0.2">
      <c r="A562" s="57" t="s">
        <v>29</v>
      </c>
      <c r="B562" s="57" t="s">
        <v>35</v>
      </c>
      <c r="C562" s="57" t="s">
        <v>44</v>
      </c>
      <c r="D562" s="57" t="s">
        <v>48</v>
      </c>
      <c r="E562" s="57" t="s">
        <v>25</v>
      </c>
      <c r="F562" s="57" t="s">
        <v>25</v>
      </c>
      <c r="G562" s="57" t="s">
        <v>25</v>
      </c>
      <c r="H562" s="57" t="s">
        <v>38</v>
      </c>
      <c r="I562" s="82">
        <v>44440</v>
      </c>
      <c r="J562" s="83">
        <f ca="1">EFEITO!$J$562*EFEITO!$Y$562</f>
        <v>-2299.0062147645485</v>
      </c>
      <c r="K562" s="83">
        <f ca="1">EFEITO!$L$562*EFEITO!$Z$562</f>
        <v>0</v>
      </c>
      <c r="L562" s="83">
        <f>EFEITO!$N$562*EFEITO!$AA$562</f>
        <v>0</v>
      </c>
      <c r="M562" s="83">
        <f ca="1">$J$562-EFEITO!$K$562*EFEITO!$Y$562</f>
        <v>0</v>
      </c>
      <c r="N562" s="83">
        <f ca="1">$K$562-EFEITO!$M$562*EFEITO!$Z$562</f>
        <v>0</v>
      </c>
      <c r="O562" s="83">
        <f>$L$562-EFEITO!$O$562*EFEITO!$AA$562</f>
        <v>0</v>
      </c>
      <c r="P562" s="61"/>
      <c r="Q562" s="61"/>
      <c r="R562" s="61"/>
      <c r="S562" s="61"/>
      <c r="T562" s="61"/>
      <c r="U562" s="61"/>
      <c r="V562" s="61"/>
      <c r="W562" s="61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spans="1:36" ht="11.25" customHeight="1" x14ac:dyDescent="0.2">
      <c r="A563" s="57" t="s">
        <v>30</v>
      </c>
      <c r="B563" s="57" t="s">
        <v>35</v>
      </c>
      <c r="C563" s="57" t="s">
        <v>44</v>
      </c>
      <c r="D563" s="57" t="s">
        <v>48</v>
      </c>
      <c r="E563" s="57" t="s">
        <v>25</v>
      </c>
      <c r="F563" s="57" t="s">
        <v>25</v>
      </c>
      <c r="G563" s="57" t="s">
        <v>25</v>
      </c>
      <c r="H563" s="57" t="s">
        <v>38</v>
      </c>
      <c r="I563" s="82">
        <v>44440</v>
      </c>
      <c r="J563" s="83">
        <f ca="1">EFEITO!$J$563*EFEITO!$Y$563</f>
        <v>17561.853029451413</v>
      </c>
      <c r="K563" s="83">
        <f ca="1">EFEITO!$L$563*EFEITO!$Z$563</f>
        <v>9095.8467840159392</v>
      </c>
      <c r="L563" s="83">
        <f>EFEITO!$N$563*EFEITO!$AA$563</f>
        <v>15271.032484525704</v>
      </c>
      <c r="M563" s="83">
        <f ca="1">$J$563-EFEITO!$K$563*EFEITO!$Y$563</f>
        <v>0</v>
      </c>
      <c r="N563" s="83">
        <f ca="1">$K$563-EFEITO!$M$563*EFEITO!$Z$563</f>
        <v>0</v>
      </c>
      <c r="O563" s="83">
        <f>$L$563-EFEITO!$O$563*EFEITO!$AA$563</f>
        <v>0</v>
      </c>
      <c r="P563" s="61"/>
      <c r="Q563" s="61"/>
      <c r="R563" s="61"/>
      <c r="S563" s="61"/>
      <c r="T563" s="61"/>
      <c r="U563" s="61"/>
      <c r="V563" s="61"/>
      <c r="W563" s="61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spans="1:36" ht="11.25" customHeight="1" x14ac:dyDescent="0.2">
      <c r="A564" s="57" t="s">
        <v>59</v>
      </c>
      <c r="B564" s="57" t="s">
        <v>35</v>
      </c>
      <c r="C564" s="57" t="s">
        <v>44</v>
      </c>
      <c r="D564" s="57" t="s">
        <v>48</v>
      </c>
      <c r="E564" s="57" t="s">
        <v>25</v>
      </c>
      <c r="F564" s="57" t="s">
        <v>25</v>
      </c>
      <c r="G564" s="57" t="s">
        <v>25</v>
      </c>
      <c r="H564" s="57" t="s">
        <v>38</v>
      </c>
      <c r="I564" s="82">
        <v>44470</v>
      </c>
      <c r="J564" s="83">
        <f ca="1">EFEITO!$J$564*EFEITO!$Y$564</f>
        <v>673289.51450729545</v>
      </c>
      <c r="K564" s="83">
        <f ca="1">EFEITO!$L$564*EFEITO!$Z$564</f>
        <v>995159.98627518618</v>
      </c>
      <c r="L564" s="83">
        <f>EFEITO!$N$564*EFEITO!$AA$564</f>
        <v>1670775.776963867</v>
      </c>
      <c r="M564" s="83">
        <f ca="1">$J$564-EFEITO!$K$564*EFEITO!$Y$564</f>
        <v>0</v>
      </c>
      <c r="N564" s="83">
        <f ca="1">$K$564-EFEITO!$M$564*EFEITO!$Z$564</f>
        <v>0</v>
      </c>
      <c r="O564" s="83">
        <f>$L$564-EFEITO!$O$564*EFEITO!$AA$564</f>
        <v>0</v>
      </c>
      <c r="P564" s="61"/>
      <c r="Q564" s="61"/>
      <c r="R564" s="61"/>
      <c r="S564" s="61"/>
      <c r="T564" s="61"/>
      <c r="U564" s="61"/>
      <c r="V564" s="61"/>
      <c r="W564" s="61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spans="1:36" ht="11.25" customHeight="1" x14ac:dyDescent="0.2">
      <c r="A565" s="57" t="s">
        <v>59</v>
      </c>
      <c r="B565" s="57" t="s">
        <v>35</v>
      </c>
      <c r="C565" s="57" t="s">
        <v>44</v>
      </c>
      <c r="D565" s="57" t="s">
        <v>48</v>
      </c>
      <c r="E565" s="57" t="s">
        <v>25</v>
      </c>
      <c r="F565" s="57" t="s">
        <v>25</v>
      </c>
      <c r="G565" s="57" t="s">
        <v>25</v>
      </c>
      <c r="H565" s="57" t="s">
        <v>38</v>
      </c>
      <c r="I565" s="82">
        <v>44470</v>
      </c>
      <c r="J565" s="83">
        <f ca="1">EFEITO!$J$565*EFEITO!$Y$565</f>
        <v>190210.83362989465</v>
      </c>
      <c r="K565" s="83">
        <f ca="1">EFEITO!$L$565*EFEITO!$Z$565</f>
        <v>271923.47142934852</v>
      </c>
      <c r="L565" s="83">
        <f>EFEITO!$N$565*EFEITO!$AA$565</f>
        <v>456532.77414476965</v>
      </c>
      <c r="M565" s="83">
        <f ca="1">$J$565-EFEITO!$K$565*EFEITO!$Y$565</f>
        <v>0</v>
      </c>
      <c r="N565" s="83">
        <f ca="1">$K$565-EFEITO!$M$565*EFEITO!$Z$565</f>
        <v>0</v>
      </c>
      <c r="O565" s="83">
        <f>$L$565-EFEITO!$O$565*EFEITO!$AA$565</f>
        <v>0</v>
      </c>
      <c r="P565" s="61"/>
      <c r="Q565" s="61"/>
      <c r="R565" s="61"/>
      <c r="S565" s="61"/>
      <c r="T565" s="61"/>
      <c r="U565" s="61"/>
      <c r="V565" s="61"/>
      <c r="W565" s="61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spans="1:36" ht="11.25" customHeight="1" x14ac:dyDescent="0.2">
      <c r="A566" s="57" t="s">
        <v>59</v>
      </c>
      <c r="B566" s="57" t="s">
        <v>35</v>
      </c>
      <c r="C566" s="57" t="s">
        <v>44</v>
      </c>
      <c r="D566" s="57" t="s">
        <v>48</v>
      </c>
      <c r="E566" s="57" t="s">
        <v>25</v>
      </c>
      <c r="F566" s="57" t="s">
        <v>25</v>
      </c>
      <c r="G566" s="57" t="s">
        <v>25</v>
      </c>
      <c r="H566" s="57" t="s">
        <v>38</v>
      </c>
      <c r="I566" s="82">
        <v>44470</v>
      </c>
      <c r="J566" s="83">
        <f ca="1">EFEITO!$J$566*EFEITO!$Y$566</f>
        <v>-2299.0062147645485</v>
      </c>
      <c r="K566" s="83">
        <f ca="1">EFEITO!$L$566*EFEITO!$Z$566</f>
        <v>0</v>
      </c>
      <c r="L566" s="83">
        <f>EFEITO!$N$566*EFEITO!$AA$566</f>
        <v>0</v>
      </c>
      <c r="M566" s="83">
        <f ca="1">$J$566-EFEITO!$K$566*EFEITO!$Y$566</f>
        <v>0</v>
      </c>
      <c r="N566" s="83">
        <f ca="1">$K$566-EFEITO!$M$566*EFEITO!$Z$566</f>
        <v>0</v>
      </c>
      <c r="O566" s="83">
        <f>$L$566-EFEITO!$O$566*EFEITO!$AA$566</f>
        <v>0</v>
      </c>
      <c r="P566" s="61"/>
      <c r="Q566" s="61"/>
      <c r="R566" s="61"/>
      <c r="S566" s="61"/>
      <c r="T566" s="61"/>
      <c r="U566" s="61"/>
      <c r="V566" s="61"/>
      <c r="W566" s="61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spans="1:36" ht="11.25" customHeight="1" x14ac:dyDescent="0.2">
      <c r="A567" s="57" t="s">
        <v>59</v>
      </c>
      <c r="B567" s="57" t="s">
        <v>35</v>
      </c>
      <c r="C567" s="57" t="s">
        <v>44</v>
      </c>
      <c r="D567" s="57" t="s">
        <v>48</v>
      </c>
      <c r="E567" s="57" t="s">
        <v>25</v>
      </c>
      <c r="F567" s="57" t="s">
        <v>25</v>
      </c>
      <c r="G567" s="57" t="s">
        <v>25</v>
      </c>
      <c r="H567" s="57" t="s">
        <v>38</v>
      </c>
      <c r="I567" s="82">
        <v>44470</v>
      </c>
      <c r="J567" s="83">
        <f ca="1">EFEITO!$J$567*EFEITO!$Y$567</f>
        <v>17561.853029451413</v>
      </c>
      <c r="K567" s="83">
        <f ca="1">EFEITO!$L$567*EFEITO!$Z$567</f>
        <v>9095.8467840159392</v>
      </c>
      <c r="L567" s="83">
        <f>EFEITO!$N$567*EFEITO!$AA$567</f>
        <v>15271.032484525704</v>
      </c>
      <c r="M567" s="83">
        <f ca="1">$J$567-EFEITO!$K$567*EFEITO!$Y$567</f>
        <v>0</v>
      </c>
      <c r="N567" s="83">
        <f ca="1">$K$567-EFEITO!$M$567*EFEITO!$Z$567</f>
        <v>0</v>
      </c>
      <c r="O567" s="83">
        <f>$L$567-EFEITO!$O$567*EFEITO!$AA$567</f>
        <v>0</v>
      </c>
      <c r="P567" s="61"/>
      <c r="Q567" s="61"/>
      <c r="R567" s="61"/>
      <c r="S567" s="61"/>
      <c r="T567" s="61"/>
      <c r="U567" s="61"/>
      <c r="V567" s="61"/>
      <c r="W567" s="61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spans="1:36" ht="11.25" customHeight="1" x14ac:dyDescent="0.2">
      <c r="A568" s="57" t="s">
        <v>21</v>
      </c>
      <c r="B568" s="57" t="s">
        <v>35</v>
      </c>
      <c r="C568" s="57" t="s">
        <v>44</v>
      </c>
      <c r="D568" s="57" t="s">
        <v>48</v>
      </c>
      <c r="E568" s="57" t="s">
        <v>25</v>
      </c>
      <c r="F568" s="57" t="s">
        <v>25</v>
      </c>
      <c r="G568" s="57" t="s">
        <v>25</v>
      </c>
      <c r="H568" s="57" t="s">
        <v>37</v>
      </c>
      <c r="I568" s="82">
        <v>44136</v>
      </c>
      <c r="J568" s="83">
        <f ca="1">EFEITO!$J$568*EFEITO!$Y$568</f>
        <v>918724.17461353668</v>
      </c>
      <c r="K568" s="83">
        <f ca="1">EFEITO!$L$568*EFEITO!$Z$568</f>
        <v>77091.670203946051</v>
      </c>
      <c r="L568" s="83">
        <f>EFEITO!$N$568*EFEITO!$AA$568</f>
        <v>207846.68758445446</v>
      </c>
      <c r="M568" s="83">
        <f ca="1">$J$568-EFEITO!$K$568*EFEITO!$Y$568</f>
        <v>0</v>
      </c>
      <c r="N568" s="83">
        <f ca="1">$K$568-EFEITO!$M$568*EFEITO!$Z$568</f>
        <v>0</v>
      </c>
      <c r="O568" s="83">
        <f>$L$568-EFEITO!$O$568*EFEITO!$AA$568</f>
        <v>0</v>
      </c>
      <c r="P568" s="61"/>
      <c r="Q568" s="61"/>
      <c r="R568" s="61"/>
      <c r="S568" s="61"/>
      <c r="T568" s="61"/>
      <c r="U568" s="61"/>
      <c r="V568" s="61"/>
      <c r="W568" s="61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spans="1:36" ht="11.25" customHeight="1" x14ac:dyDescent="0.2">
      <c r="A569" s="57" t="s">
        <v>27</v>
      </c>
      <c r="B569" s="57" t="s">
        <v>35</v>
      </c>
      <c r="C569" s="57" t="s">
        <v>44</v>
      </c>
      <c r="D569" s="57" t="s">
        <v>48</v>
      </c>
      <c r="E569" s="57" t="s">
        <v>25</v>
      </c>
      <c r="F569" s="57" t="s">
        <v>25</v>
      </c>
      <c r="G569" s="57" t="s">
        <v>25</v>
      </c>
      <c r="H569" s="57" t="s">
        <v>37</v>
      </c>
      <c r="I569" s="82">
        <v>44136</v>
      </c>
      <c r="J569" s="83">
        <f ca="1">EFEITO!$J$569*EFEITO!$Y$569</f>
        <v>5512.7007057912715</v>
      </c>
      <c r="K569" s="83">
        <f ca="1">EFEITO!$L$569*EFEITO!$Z$569</f>
        <v>0</v>
      </c>
      <c r="L569" s="83">
        <f>EFEITO!$N$569*EFEITO!$AA$569</f>
        <v>0</v>
      </c>
      <c r="M569" s="83">
        <f ca="1">$J$569-EFEITO!$K$569*EFEITO!$Y$569</f>
        <v>0</v>
      </c>
      <c r="N569" s="83">
        <f ca="1">$K$569-EFEITO!$M$569*EFEITO!$Z$569</f>
        <v>0</v>
      </c>
      <c r="O569" s="83">
        <f>$L$569-EFEITO!$O$569*EFEITO!$AA$569</f>
        <v>0</v>
      </c>
      <c r="P569" s="61"/>
      <c r="Q569" s="61"/>
      <c r="R569" s="61"/>
      <c r="S569" s="61"/>
      <c r="T569" s="61"/>
      <c r="U569" s="61"/>
      <c r="V569" s="61"/>
      <c r="W569" s="61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spans="1:36" ht="11.25" customHeight="1" x14ac:dyDescent="0.2">
      <c r="A570" s="57" t="s">
        <v>28</v>
      </c>
      <c r="B570" s="57" t="s">
        <v>35</v>
      </c>
      <c r="C570" s="57" t="s">
        <v>44</v>
      </c>
      <c r="D570" s="57" t="s">
        <v>48</v>
      </c>
      <c r="E570" s="57" t="s">
        <v>25</v>
      </c>
      <c r="F570" s="57" t="s">
        <v>25</v>
      </c>
      <c r="G570" s="57" t="s">
        <v>25</v>
      </c>
      <c r="H570" s="57" t="s">
        <v>37</v>
      </c>
      <c r="I570" s="82">
        <v>44136</v>
      </c>
      <c r="J570" s="83">
        <f ca="1">EFEITO!$J$570*EFEITO!$Y$570</f>
        <v>313097.68954827415</v>
      </c>
      <c r="K570" s="83">
        <f ca="1">EFEITO!$L$570*EFEITO!$Z$570</f>
        <v>24297.775940501961</v>
      </c>
      <c r="L570" s="83">
        <f>EFEITO!$N$570*EFEITO!$AA$570</f>
        <v>65509.18188102873</v>
      </c>
      <c r="M570" s="83">
        <f ca="1">$J$570-EFEITO!$K$570*EFEITO!$Y$570</f>
        <v>0</v>
      </c>
      <c r="N570" s="83">
        <f ca="1">$K$570-EFEITO!$M$570*EFEITO!$Z$570</f>
        <v>0</v>
      </c>
      <c r="O570" s="83">
        <f>$L$570-EFEITO!$O$570*EFEITO!$AA$570</f>
        <v>0</v>
      </c>
      <c r="P570" s="61"/>
      <c r="Q570" s="61"/>
      <c r="R570" s="61"/>
      <c r="S570" s="61"/>
      <c r="T570" s="61"/>
      <c r="U570" s="61"/>
      <c r="V570" s="61"/>
      <c r="W570" s="61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spans="1:36" ht="11.25" customHeight="1" x14ac:dyDescent="0.2">
      <c r="A571" s="57" t="s">
        <v>29</v>
      </c>
      <c r="B571" s="57" t="s">
        <v>35</v>
      </c>
      <c r="C571" s="57" t="s">
        <v>44</v>
      </c>
      <c r="D571" s="57" t="s">
        <v>48</v>
      </c>
      <c r="E571" s="57" t="s">
        <v>25</v>
      </c>
      <c r="F571" s="57" t="s">
        <v>25</v>
      </c>
      <c r="G571" s="57" t="s">
        <v>25</v>
      </c>
      <c r="H571" s="57" t="s">
        <v>37</v>
      </c>
      <c r="I571" s="82">
        <v>44136</v>
      </c>
      <c r="J571" s="83">
        <f ca="1">EFEITO!$J$571*EFEITO!$Y$571</f>
        <v>2548.8831220325233</v>
      </c>
      <c r="K571" s="83">
        <f ca="1">EFEITO!$L$571*EFEITO!$Z$571</f>
        <v>0</v>
      </c>
      <c r="L571" s="83">
        <f>EFEITO!$N$571*EFEITO!$AA$571</f>
        <v>0</v>
      </c>
      <c r="M571" s="83">
        <f ca="1">$J$571-EFEITO!$K$571*EFEITO!$Y$571</f>
        <v>0</v>
      </c>
      <c r="N571" s="83">
        <f ca="1">$K$571-EFEITO!$M$571*EFEITO!$Z$571</f>
        <v>0</v>
      </c>
      <c r="O571" s="83">
        <f>$L$571-EFEITO!$O$571*EFEITO!$AA$571</f>
        <v>0</v>
      </c>
      <c r="P571" s="61"/>
      <c r="Q571" s="61"/>
      <c r="R571" s="61"/>
      <c r="S571" s="61"/>
      <c r="T571" s="61"/>
      <c r="U571" s="61"/>
      <c r="V571" s="61"/>
      <c r="W571" s="61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spans="1:36" ht="11.25" customHeight="1" x14ac:dyDescent="0.2">
      <c r="A572" s="57" t="s">
        <v>21</v>
      </c>
      <c r="B572" s="57" t="s">
        <v>35</v>
      </c>
      <c r="C572" s="57" t="s">
        <v>44</v>
      </c>
      <c r="D572" s="57" t="s">
        <v>48</v>
      </c>
      <c r="E572" s="57" t="s">
        <v>25</v>
      </c>
      <c r="F572" s="57" t="s">
        <v>25</v>
      </c>
      <c r="G572" s="57" t="s">
        <v>25</v>
      </c>
      <c r="H572" s="57" t="s">
        <v>37</v>
      </c>
      <c r="I572" s="82">
        <v>44166</v>
      </c>
      <c r="J572" s="83">
        <f ca="1">EFEITO!$J$572*EFEITO!$Y$572</f>
        <v>917479.37122835801</v>
      </c>
      <c r="K572" s="83">
        <f ca="1">EFEITO!$L$572*EFEITO!$Z$572</f>
        <v>80640.730528124113</v>
      </c>
      <c r="L572" s="83">
        <f>EFEITO!$N$572*EFEITO!$AA$572</f>
        <v>217415.30155359459</v>
      </c>
      <c r="M572" s="83">
        <f ca="1">$J$572-EFEITO!$K$572*EFEITO!$Y$572</f>
        <v>0</v>
      </c>
      <c r="N572" s="83">
        <f ca="1">$K$572-EFEITO!$M$572*EFEITO!$Z$572</f>
        <v>0</v>
      </c>
      <c r="O572" s="83">
        <f>$L$572-EFEITO!$O$572*EFEITO!$AA$572</f>
        <v>0</v>
      </c>
      <c r="P572" s="61"/>
      <c r="Q572" s="61"/>
      <c r="R572" s="61"/>
      <c r="S572" s="61"/>
      <c r="T572" s="61"/>
      <c r="U572" s="61"/>
      <c r="V572" s="61"/>
      <c r="W572" s="61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spans="1:36" ht="11.25" customHeight="1" x14ac:dyDescent="0.2">
      <c r="A573" s="57" t="s">
        <v>28</v>
      </c>
      <c r="B573" s="57" t="s">
        <v>35</v>
      </c>
      <c r="C573" s="57" t="s">
        <v>44</v>
      </c>
      <c r="D573" s="57" t="s">
        <v>48</v>
      </c>
      <c r="E573" s="57" t="s">
        <v>25</v>
      </c>
      <c r="F573" s="57" t="s">
        <v>25</v>
      </c>
      <c r="G573" s="57" t="s">
        <v>25</v>
      </c>
      <c r="H573" s="57" t="s">
        <v>37</v>
      </c>
      <c r="I573" s="82">
        <v>44166</v>
      </c>
      <c r="J573" s="83">
        <f ca="1">EFEITO!$J$573*EFEITO!$Y$573</f>
        <v>322226.24770625104</v>
      </c>
      <c r="K573" s="83">
        <f ca="1">EFEITO!$L$573*EFEITO!$Z$573</f>
        <v>24095.222856144046</v>
      </c>
      <c r="L573" s="83">
        <f>EFEITO!$N$573*EFEITO!$AA$573</f>
        <v>64963.078942378786</v>
      </c>
      <c r="M573" s="83">
        <f ca="1">$J$573-EFEITO!$K$573*EFEITO!$Y$573</f>
        <v>0</v>
      </c>
      <c r="N573" s="83">
        <f ca="1">$K$573-EFEITO!$M$573*EFEITO!$Z$573</f>
        <v>0</v>
      </c>
      <c r="O573" s="83">
        <f>$L$573-EFEITO!$O$573*EFEITO!$AA$573</f>
        <v>0</v>
      </c>
      <c r="P573" s="61"/>
      <c r="Q573" s="61"/>
      <c r="R573" s="61"/>
      <c r="S573" s="61"/>
      <c r="T573" s="61"/>
      <c r="U573" s="61"/>
      <c r="V573" s="61"/>
      <c r="W573" s="61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spans="1:36" ht="11.25" customHeight="1" x14ac:dyDescent="0.2">
      <c r="A574" s="57" t="s">
        <v>21</v>
      </c>
      <c r="B574" s="57" t="s">
        <v>35</v>
      </c>
      <c r="C574" s="57" t="s">
        <v>44</v>
      </c>
      <c r="D574" s="57" t="s">
        <v>48</v>
      </c>
      <c r="E574" s="57" t="s">
        <v>25</v>
      </c>
      <c r="F574" s="57" t="s">
        <v>25</v>
      </c>
      <c r="G574" s="57" t="s">
        <v>25</v>
      </c>
      <c r="H574" s="57" t="s">
        <v>37</v>
      </c>
      <c r="I574" s="82">
        <v>44197</v>
      </c>
      <c r="J574" s="83">
        <f ca="1">EFEITO!$J$574*EFEITO!$Y$574</f>
        <v>912974.36850104469</v>
      </c>
      <c r="K574" s="83">
        <f ca="1">EFEITO!$L$574*EFEITO!$Z$574</f>
        <v>69203.390310536444</v>
      </c>
      <c r="L574" s="83">
        <f>EFEITO!$N$574*EFEITO!$AA$574</f>
        <v>186579.11299115792</v>
      </c>
      <c r="M574" s="83">
        <f ca="1">$J$574-EFEITO!$K$574*EFEITO!$Y$574</f>
        <v>0</v>
      </c>
      <c r="N574" s="83">
        <f ca="1">$K$574-EFEITO!$M$574*EFEITO!$Z$574</f>
        <v>0</v>
      </c>
      <c r="O574" s="83">
        <f>$L$574-EFEITO!$O$574*EFEITO!$AA$574</f>
        <v>0</v>
      </c>
      <c r="P574" s="61"/>
      <c r="Q574" s="61"/>
      <c r="R574" s="61"/>
      <c r="S574" s="61"/>
      <c r="T574" s="61"/>
      <c r="U574" s="61"/>
      <c r="V574" s="61"/>
      <c r="W574" s="61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spans="1:36" ht="11.25" customHeight="1" x14ac:dyDescent="0.2">
      <c r="A575" s="57" t="s">
        <v>28</v>
      </c>
      <c r="B575" s="57" t="s">
        <v>35</v>
      </c>
      <c r="C575" s="57" t="s">
        <v>44</v>
      </c>
      <c r="D575" s="57" t="s">
        <v>48</v>
      </c>
      <c r="E575" s="57" t="s">
        <v>25</v>
      </c>
      <c r="F575" s="57" t="s">
        <v>25</v>
      </c>
      <c r="G575" s="57" t="s">
        <v>25</v>
      </c>
      <c r="H575" s="57" t="s">
        <v>37</v>
      </c>
      <c r="I575" s="82">
        <v>44197</v>
      </c>
      <c r="J575" s="83">
        <f ca="1">EFEITO!$J$575*EFEITO!$Y$575</f>
        <v>318610.39025406539</v>
      </c>
      <c r="K575" s="83">
        <f ca="1">EFEITO!$L$575*EFEITO!$Z$575</f>
        <v>24643.565398989849</v>
      </c>
      <c r="L575" s="83">
        <f>EFEITO!$N$575*EFEITO!$AA$575</f>
        <v>66441.464102417827</v>
      </c>
      <c r="M575" s="83">
        <f ca="1">$J$575-EFEITO!$K$575*EFEITO!$Y$575</f>
        <v>0</v>
      </c>
      <c r="N575" s="83">
        <f ca="1">$K$575-EFEITO!$M$575*EFEITO!$Z$575</f>
        <v>0</v>
      </c>
      <c r="O575" s="83">
        <f>$L$575-EFEITO!$O$575*EFEITO!$AA$575</f>
        <v>0</v>
      </c>
      <c r="P575" s="61"/>
      <c r="Q575" s="61"/>
      <c r="R575" s="61"/>
      <c r="S575" s="61"/>
      <c r="T575" s="61"/>
      <c r="U575" s="61"/>
      <c r="V575" s="61"/>
      <c r="W575" s="61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spans="1:36" ht="11.25" customHeight="1" x14ac:dyDescent="0.2">
      <c r="A576" s="57" t="s">
        <v>21</v>
      </c>
      <c r="B576" s="57" t="s">
        <v>35</v>
      </c>
      <c r="C576" s="57" t="s">
        <v>44</v>
      </c>
      <c r="D576" s="57" t="s">
        <v>48</v>
      </c>
      <c r="E576" s="57" t="s">
        <v>25</v>
      </c>
      <c r="F576" s="57" t="s">
        <v>25</v>
      </c>
      <c r="G576" s="57" t="s">
        <v>25</v>
      </c>
      <c r="H576" s="57" t="s">
        <v>37</v>
      </c>
      <c r="I576" s="82">
        <v>44228</v>
      </c>
      <c r="J576" s="83">
        <f ca="1">EFEITO!$J$576*EFEITO!$Y$576</f>
        <v>916827.33135993103</v>
      </c>
      <c r="K576" s="83">
        <f ca="1">EFEITO!$L$576*EFEITO!$Z$576</f>
        <v>70536.83669699583</v>
      </c>
      <c r="L576" s="83">
        <f>EFEITO!$N$576*EFEITO!$AA$576</f>
        <v>190174.2149491754</v>
      </c>
      <c r="M576" s="83">
        <f ca="1">$J$576-EFEITO!$K$576*EFEITO!$Y$576</f>
        <v>0</v>
      </c>
      <c r="N576" s="83">
        <f ca="1">$K$576-EFEITO!$M$576*EFEITO!$Z$576</f>
        <v>0</v>
      </c>
      <c r="O576" s="83">
        <f>$L$576-EFEITO!$O$576*EFEITO!$AA$576</f>
        <v>0</v>
      </c>
      <c r="P576" s="61"/>
      <c r="Q576" s="61"/>
      <c r="R576" s="61"/>
      <c r="S576" s="61"/>
      <c r="T576" s="61"/>
      <c r="U576" s="61"/>
      <c r="V576" s="61"/>
      <c r="W576" s="61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spans="1:36" ht="11.25" customHeight="1" x14ac:dyDescent="0.2">
      <c r="A577" s="57" t="s">
        <v>27</v>
      </c>
      <c r="B577" s="57" t="s">
        <v>35</v>
      </c>
      <c r="C577" s="57" t="s">
        <v>44</v>
      </c>
      <c r="D577" s="57" t="s">
        <v>48</v>
      </c>
      <c r="E577" s="57" t="s">
        <v>25</v>
      </c>
      <c r="F577" s="57" t="s">
        <v>25</v>
      </c>
      <c r="G577" s="57" t="s">
        <v>25</v>
      </c>
      <c r="H577" s="57" t="s">
        <v>37</v>
      </c>
      <c r="I577" s="82">
        <v>44228</v>
      </c>
      <c r="J577" s="83">
        <f ca="1">EFEITO!$J$577*EFEITO!$Y$577</f>
        <v>-4445.7263756381217</v>
      </c>
      <c r="K577" s="83">
        <f ca="1">EFEITO!$L$577*EFEITO!$Z$577</f>
        <v>0</v>
      </c>
      <c r="L577" s="83">
        <f>EFEITO!$N$577*EFEITO!$AA$577</f>
        <v>0</v>
      </c>
      <c r="M577" s="83">
        <f ca="1">$J$577-EFEITO!$K$577*EFEITO!$Y$577</f>
        <v>0</v>
      </c>
      <c r="N577" s="83">
        <f ca="1">$K$577-EFEITO!$M$577*EFEITO!$Z$577</f>
        <v>0</v>
      </c>
      <c r="O577" s="83">
        <f>$L$577-EFEITO!$O$577*EFEITO!$AA$577</f>
        <v>0</v>
      </c>
      <c r="P577" s="61"/>
      <c r="Q577" s="61"/>
      <c r="R577" s="61"/>
      <c r="S577" s="61"/>
      <c r="T577" s="61"/>
      <c r="U577" s="61"/>
      <c r="V577" s="61"/>
      <c r="W577" s="61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spans="1:36" ht="11.25" customHeight="1" x14ac:dyDescent="0.2">
      <c r="A578" s="57" t="s">
        <v>28</v>
      </c>
      <c r="B578" s="57" t="s">
        <v>35</v>
      </c>
      <c r="C578" s="57" t="s">
        <v>44</v>
      </c>
      <c r="D578" s="57" t="s">
        <v>48</v>
      </c>
      <c r="E578" s="57" t="s">
        <v>25</v>
      </c>
      <c r="F578" s="57" t="s">
        <v>25</v>
      </c>
      <c r="G578" s="57" t="s">
        <v>25</v>
      </c>
      <c r="H578" s="57" t="s">
        <v>37</v>
      </c>
      <c r="I578" s="82">
        <v>44228</v>
      </c>
      <c r="J578" s="83">
        <f ca="1">EFEITO!$J$578*EFEITO!$Y$578</f>
        <v>322759.73487132764</v>
      </c>
      <c r="K578" s="83">
        <f ca="1">EFEITO!$L$578*EFEITO!$Z$578</f>
        <v>25666.104596896523</v>
      </c>
      <c r="L578" s="83">
        <f>EFEITO!$N$578*EFEITO!$AA$578</f>
        <v>69198.329852607378</v>
      </c>
      <c r="M578" s="83">
        <f ca="1">$J$578-EFEITO!$K$578*EFEITO!$Y$578</f>
        <v>0</v>
      </c>
      <c r="N578" s="83">
        <f ca="1">$K$578-EFEITO!$M$578*EFEITO!$Z$578</f>
        <v>0</v>
      </c>
      <c r="O578" s="83">
        <f>$L$578-EFEITO!$O$578*EFEITO!$AA$578</f>
        <v>0</v>
      </c>
      <c r="P578" s="61"/>
      <c r="Q578" s="61"/>
      <c r="R578" s="61"/>
      <c r="S578" s="61"/>
      <c r="T578" s="61"/>
      <c r="U578" s="61"/>
      <c r="V578" s="61"/>
      <c r="W578" s="61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spans="1:36" ht="11.25" customHeight="1" x14ac:dyDescent="0.2">
      <c r="A579" s="57" t="s">
        <v>29</v>
      </c>
      <c r="B579" s="57" t="s">
        <v>35</v>
      </c>
      <c r="C579" s="57" t="s">
        <v>44</v>
      </c>
      <c r="D579" s="57" t="s">
        <v>48</v>
      </c>
      <c r="E579" s="57" t="s">
        <v>25</v>
      </c>
      <c r="F579" s="57" t="s">
        <v>25</v>
      </c>
      <c r="G579" s="57" t="s">
        <v>25</v>
      </c>
      <c r="H579" s="57" t="s">
        <v>37</v>
      </c>
      <c r="I579" s="82">
        <v>44228</v>
      </c>
      <c r="J579" s="83">
        <f ca="1">EFEITO!$J$579*EFEITO!$Y$579</f>
        <v>-9069.2818063017694</v>
      </c>
      <c r="K579" s="83">
        <f ca="1">EFEITO!$L$579*EFEITO!$Z$579</f>
        <v>320.68096466980995</v>
      </c>
      <c r="L579" s="83">
        <f>EFEITO!$N$579*EFEITO!$AA$579</f>
        <v>864.58726476775394</v>
      </c>
      <c r="M579" s="83">
        <f ca="1">$J$579-EFEITO!$K$579*EFEITO!$Y$579</f>
        <v>0</v>
      </c>
      <c r="N579" s="83">
        <f ca="1">$K$579-EFEITO!$M$579*EFEITO!$Z$579</f>
        <v>0</v>
      </c>
      <c r="O579" s="83">
        <f>$L$579-EFEITO!$O$579*EFEITO!$AA$579</f>
        <v>0</v>
      </c>
      <c r="P579" s="61"/>
      <c r="Q579" s="61"/>
      <c r="R579" s="61"/>
      <c r="S579" s="61"/>
      <c r="T579" s="61"/>
      <c r="U579" s="61"/>
      <c r="V579" s="61"/>
      <c r="W579" s="61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spans="1:36" ht="11.25" customHeight="1" x14ac:dyDescent="0.2">
      <c r="A580" s="57" t="s">
        <v>21</v>
      </c>
      <c r="B580" s="57" t="s">
        <v>35</v>
      </c>
      <c r="C580" s="57" t="s">
        <v>44</v>
      </c>
      <c r="D580" s="57" t="s">
        <v>48</v>
      </c>
      <c r="E580" s="57" t="s">
        <v>25</v>
      </c>
      <c r="F580" s="57" t="s">
        <v>25</v>
      </c>
      <c r="G580" s="57" t="s">
        <v>25</v>
      </c>
      <c r="H580" s="57" t="s">
        <v>37</v>
      </c>
      <c r="I580" s="82">
        <v>44256</v>
      </c>
      <c r="J580" s="83">
        <f ca="1">EFEITO!$J$580*EFEITO!$Y$580</f>
        <v>942019.78082188044</v>
      </c>
      <c r="K580" s="83">
        <f ca="1">EFEITO!$L$580*EFEITO!$Z$580</f>
        <v>80324.767938131525</v>
      </c>
      <c r="L580" s="83">
        <f>EFEITO!$N$580*EFEITO!$AA$580</f>
        <v>216563.43548872884</v>
      </c>
      <c r="M580" s="83">
        <f ca="1">$J$580-EFEITO!$K$580*EFEITO!$Y$580</f>
        <v>0</v>
      </c>
      <c r="N580" s="83">
        <f ca="1">$K$580-EFEITO!$M$580*EFEITO!$Z$580</f>
        <v>0</v>
      </c>
      <c r="O580" s="83">
        <f>$L$580-EFEITO!$O$580*EFEITO!$AA$580</f>
        <v>0</v>
      </c>
      <c r="P580" s="61"/>
      <c r="Q580" s="61"/>
      <c r="R580" s="61"/>
      <c r="S580" s="61"/>
      <c r="T580" s="61"/>
      <c r="U580" s="61"/>
      <c r="V580" s="61"/>
      <c r="W580" s="61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spans="1:36" ht="11.25" customHeight="1" x14ac:dyDescent="0.2">
      <c r="A581" s="57" t="s">
        <v>28</v>
      </c>
      <c r="B581" s="57" t="s">
        <v>35</v>
      </c>
      <c r="C581" s="57" t="s">
        <v>44</v>
      </c>
      <c r="D581" s="57" t="s">
        <v>48</v>
      </c>
      <c r="E581" s="57" t="s">
        <v>25</v>
      </c>
      <c r="F581" s="57" t="s">
        <v>25</v>
      </c>
      <c r="G581" s="57" t="s">
        <v>25</v>
      </c>
      <c r="H581" s="57" t="s">
        <v>37</v>
      </c>
      <c r="I581" s="82">
        <v>44256</v>
      </c>
      <c r="J581" s="83">
        <f ca="1">EFEITO!$J$581*EFEITO!$Y$581</f>
        <v>322581.90581630211</v>
      </c>
      <c r="K581" s="83">
        <f ca="1">EFEITO!$L$581*EFEITO!$Z$581</f>
        <v>27941.540784987144</v>
      </c>
      <c r="L581" s="83">
        <f>EFEITO!$N$581*EFEITO!$AA$581</f>
        <v>75333.128505344634</v>
      </c>
      <c r="M581" s="83">
        <f ca="1">$J$581-EFEITO!$K$581*EFEITO!$Y$581</f>
        <v>0</v>
      </c>
      <c r="N581" s="83">
        <f ca="1">$K$581-EFEITO!$M$581*EFEITO!$Z$581</f>
        <v>0</v>
      </c>
      <c r="O581" s="83">
        <f>$L$581-EFEITO!$O$581*EFEITO!$AA$581</f>
        <v>0</v>
      </c>
      <c r="P581" s="61"/>
      <c r="Q581" s="61"/>
      <c r="R581" s="61"/>
      <c r="S581" s="61"/>
      <c r="T581" s="61"/>
      <c r="U581" s="61"/>
      <c r="V581" s="61"/>
      <c r="W581" s="61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spans="1:36" ht="11.25" customHeight="1" x14ac:dyDescent="0.2">
      <c r="A582" s="57" t="s">
        <v>29</v>
      </c>
      <c r="B582" s="57" t="s">
        <v>35</v>
      </c>
      <c r="C582" s="57" t="s">
        <v>44</v>
      </c>
      <c r="D582" s="57" t="s">
        <v>48</v>
      </c>
      <c r="E582" s="57" t="s">
        <v>25</v>
      </c>
      <c r="F582" s="57" t="s">
        <v>25</v>
      </c>
      <c r="G582" s="57" t="s">
        <v>25</v>
      </c>
      <c r="H582" s="57" t="s">
        <v>37</v>
      </c>
      <c r="I582" s="82">
        <v>44256</v>
      </c>
      <c r="J582" s="83">
        <f ca="1">EFEITO!$J$582*EFEITO!$Y$582</f>
        <v>0</v>
      </c>
      <c r="K582" s="83">
        <f ca="1">EFEITO!$L$582*EFEITO!$Z$582</f>
        <v>303.32408639288383</v>
      </c>
      <c r="L582" s="83">
        <f>EFEITO!$N$582*EFEITO!$AA$582</f>
        <v>817.79142227112834</v>
      </c>
      <c r="M582" s="83">
        <f ca="1">$J$582-EFEITO!$K$582*EFEITO!$Y$582</f>
        <v>0</v>
      </c>
      <c r="N582" s="83">
        <f ca="1">$K$582-EFEITO!$M$582*EFEITO!$Z$582</f>
        <v>0</v>
      </c>
      <c r="O582" s="83">
        <f>$L$582-EFEITO!$O$582*EFEITO!$AA$582</f>
        <v>0</v>
      </c>
      <c r="P582" s="61"/>
      <c r="Q582" s="61"/>
      <c r="R582" s="61"/>
      <c r="S582" s="61"/>
      <c r="T582" s="61"/>
      <c r="U582" s="61"/>
      <c r="V582" s="61"/>
      <c r="W582" s="61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spans="1:36" ht="11.25" customHeight="1" x14ac:dyDescent="0.2">
      <c r="A583" s="57" t="s">
        <v>21</v>
      </c>
      <c r="B583" s="57" t="s">
        <v>35</v>
      </c>
      <c r="C583" s="57" t="s">
        <v>44</v>
      </c>
      <c r="D583" s="57" t="s">
        <v>48</v>
      </c>
      <c r="E583" s="57" t="s">
        <v>25</v>
      </c>
      <c r="F583" s="57" t="s">
        <v>25</v>
      </c>
      <c r="G583" s="57" t="s">
        <v>25</v>
      </c>
      <c r="H583" s="57" t="s">
        <v>37</v>
      </c>
      <c r="I583" s="82">
        <v>44287</v>
      </c>
      <c r="J583" s="83">
        <f ca="1">EFEITO!$J$583*EFEITO!$Y$583</f>
        <v>912440.88133596815</v>
      </c>
      <c r="K583" s="83">
        <f ca="1">EFEITO!$L$583*EFEITO!$Z$583</f>
        <v>72440.195339111175</v>
      </c>
      <c r="L583" s="83">
        <f>EFEITO!$N$583*EFEITO!$AA$583</f>
        <v>195305.8561239267</v>
      </c>
      <c r="M583" s="83">
        <f ca="1">$J$583-EFEITO!$K$583*EFEITO!$Y$583</f>
        <v>0</v>
      </c>
      <c r="N583" s="83">
        <f ca="1">$K$583-EFEITO!$M$583*EFEITO!$Z$583</f>
        <v>0</v>
      </c>
      <c r="O583" s="83">
        <f>$L$583-EFEITO!$O$583*EFEITO!$AA$583</f>
        <v>0</v>
      </c>
      <c r="P583" s="61"/>
      <c r="Q583" s="61"/>
      <c r="R583" s="61"/>
      <c r="S583" s="61"/>
      <c r="T583" s="61"/>
      <c r="U583" s="61"/>
      <c r="V583" s="61"/>
      <c r="W583" s="61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spans="1:36" ht="11.25" customHeight="1" x14ac:dyDescent="0.2">
      <c r="A584" s="57" t="s">
        <v>27</v>
      </c>
      <c r="B584" s="57" t="s">
        <v>35</v>
      </c>
      <c r="C584" s="57" t="s">
        <v>44</v>
      </c>
      <c r="D584" s="57" t="s">
        <v>48</v>
      </c>
      <c r="E584" s="57" t="s">
        <v>25</v>
      </c>
      <c r="F584" s="57" t="s">
        <v>25</v>
      </c>
      <c r="G584" s="57" t="s">
        <v>25</v>
      </c>
      <c r="H584" s="57" t="s">
        <v>37</v>
      </c>
      <c r="I584" s="82">
        <v>44287</v>
      </c>
      <c r="J584" s="83">
        <f ca="1">EFEITO!$J$584*EFEITO!$Y$584</f>
        <v>-32898.375179722105</v>
      </c>
      <c r="K584" s="83">
        <f ca="1">EFEITO!$L$584*EFEITO!$Z$584</f>
        <v>-47.183746772226378</v>
      </c>
      <c r="L584" s="83">
        <f>EFEITO!$N$584*EFEITO!$AA$584</f>
        <v>-127.2119990199533</v>
      </c>
      <c r="M584" s="83">
        <f ca="1">$J$584-EFEITO!$K$584*EFEITO!$Y$584</f>
        <v>0</v>
      </c>
      <c r="N584" s="83">
        <f ca="1">$K$584-EFEITO!$M$584*EFEITO!$Z$584</f>
        <v>0</v>
      </c>
      <c r="O584" s="83">
        <f>$L$584-EFEITO!$O$584*EFEITO!$AA$584</f>
        <v>0</v>
      </c>
      <c r="P584" s="61"/>
      <c r="Q584" s="61"/>
      <c r="R584" s="61"/>
      <c r="S584" s="61"/>
      <c r="T584" s="61"/>
      <c r="U584" s="61"/>
      <c r="V584" s="61"/>
      <c r="W584" s="61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spans="1:36" ht="11.25" customHeight="1" x14ac:dyDescent="0.2">
      <c r="A585" s="57" t="s">
        <v>28</v>
      </c>
      <c r="B585" s="57" t="s">
        <v>35</v>
      </c>
      <c r="C585" s="57" t="s">
        <v>44</v>
      </c>
      <c r="D585" s="57" t="s">
        <v>48</v>
      </c>
      <c r="E585" s="57" t="s">
        <v>25</v>
      </c>
      <c r="F585" s="57" t="s">
        <v>25</v>
      </c>
      <c r="G585" s="57" t="s">
        <v>25</v>
      </c>
      <c r="H585" s="57" t="s">
        <v>37</v>
      </c>
      <c r="I585" s="82">
        <v>44287</v>
      </c>
      <c r="J585" s="83">
        <f ca="1">EFEITO!$J$585*EFEITO!$Y$585</f>
        <v>320210.85174929514</v>
      </c>
      <c r="K585" s="83">
        <f ca="1">EFEITO!$L$585*EFEITO!$Z$585</f>
        <v>28010.631271332189</v>
      </c>
      <c r="L585" s="83">
        <f>EFEITO!$N$585*EFEITO!$AA$585</f>
        <v>75519.403218195279</v>
      </c>
      <c r="M585" s="83">
        <f ca="1">$J$585-EFEITO!$K$585*EFEITO!$Y$585</f>
        <v>0</v>
      </c>
      <c r="N585" s="83">
        <f ca="1">$K$585-EFEITO!$M$585*EFEITO!$Z$585</f>
        <v>0</v>
      </c>
      <c r="O585" s="83">
        <f>$L$585-EFEITO!$O$585*EFEITO!$AA$585</f>
        <v>0</v>
      </c>
      <c r="P585" s="61"/>
      <c r="Q585" s="61"/>
      <c r="R585" s="61"/>
      <c r="S585" s="61"/>
      <c r="T585" s="61"/>
      <c r="U585" s="61"/>
      <c r="V585" s="61"/>
      <c r="W585" s="61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spans="1:36" ht="11.25" customHeight="1" x14ac:dyDescent="0.2">
      <c r="A586" s="57" t="s">
        <v>21</v>
      </c>
      <c r="B586" s="57" t="s">
        <v>35</v>
      </c>
      <c r="C586" s="57" t="s">
        <v>44</v>
      </c>
      <c r="D586" s="57" t="s">
        <v>48</v>
      </c>
      <c r="E586" s="57" t="s">
        <v>25</v>
      </c>
      <c r="F586" s="57" t="s">
        <v>25</v>
      </c>
      <c r="G586" s="57" t="s">
        <v>25</v>
      </c>
      <c r="H586" s="57" t="s">
        <v>37</v>
      </c>
      <c r="I586" s="82">
        <v>44317</v>
      </c>
      <c r="J586" s="83">
        <f ca="1">EFEITO!$J$586*EFEITO!$Y$586</f>
        <v>878890.46628781909</v>
      </c>
      <c r="K586" s="83">
        <f ca="1">EFEITO!$L$586*EFEITO!$Z$586</f>
        <v>77148.627726835388</v>
      </c>
      <c r="L586" s="83">
        <f>EFEITO!$N$586*EFEITO!$AA$586</f>
        <v>208000.25064041428</v>
      </c>
      <c r="M586" s="83">
        <f ca="1">$J$586-EFEITO!$K$586*EFEITO!$Y$586</f>
        <v>0</v>
      </c>
      <c r="N586" s="83">
        <f ca="1">$K$586-EFEITO!$M$586*EFEITO!$Z$586</f>
        <v>0</v>
      </c>
      <c r="O586" s="83">
        <f>$L$586-EFEITO!$O$586*EFEITO!$AA$586</f>
        <v>0</v>
      </c>
      <c r="P586" s="61"/>
      <c r="Q586" s="61"/>
      <c r="R586" s="61"/>
      <c r="S586" s="61"/>
      <c r="T586" s="61"/>
      <c r="U586" s="61"/>
      <c r="V586" s="61"/>
      <c r="W586" s="61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spans="1:36" ht="11.25" customHeight="1" x14ac:dyDescent="0.2">
      <c r="A587" s="57" t="s">
        <v>27</v>
      </c>
      <c r="B587" s="57" t="s">
        <v>35</v>
      </c>
      <c r="C587" s="57" t="s">
        <v>44</v>
      </c>
      <c r="D587" s="57" t="s">
        <v>48</v>
      </c>
      <c r="E587" s="57" t="s">
        <v>25</v>
      </c>
      <c r="F587" s="57" t="s">
        <v>25</v>
      </c>
      <c r="G587" s="57" t="s">
        <v>25</v>
      </c>
      <c r="H587" s="57" t="s">
        <v>37</v>
      </c>
      <c r="I587" s="82">
        <v>44317</v>
      </c>
      <c r="J587" s="83">
        <f ca="1">EFEITO!$J$587*EFEITO!$Y$587</f>
        <v>-134498.04195097196</v>
      </c>
      <c r="K587" s="83">
        <f ca="1">EFEITO!$L$587*EFEITO!$Z$587</f>
        <v>-2406.7081121462038</v>
      </c>
      <c r="L587" s="83">
        <f>EFEITO!$N$587*EFEITO!$AA$587</f>
        <v>-6488.7206071534747</v>
      </c>
      <c r="M587" s="83">
        <f ca="1">$J$587-EFEITO!$K$587*EFEITO!$Y$587</f>
        <v>0</v>
      </c>
      <c r="N587" s="83">
        <f ca="1">$K$587-EFEITO!$M$587*EFEITO!$Z$587</f>
        <v>0</v>
      </c>
      <c r="O587" s="83">
        <f>$L$587-EFEITO!$O$587*EFEITO!$AA$587</f>
        <v>0</v>
      </c>
      <c r="P587" s="61"/>
      <c r="Q587" s="61"/>
      <c r="R587" s="61"/>
      <c r="S587" s="61"/>
      <c r="T587" s="61"/>
      <c r="U587" s="61"/>
      <c r="V587" s="61"/>
      <c r="W587" s="61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spans="1:36" ht="11.25" customHeight="1" x14ac:dyDescent="0.2">
      <c r="A588" s="57" t="s">
        <v>28</v>
      </c>
      <c r="B588" s="57" t="s">
        <v>35</v>
      </c>
      <c r="C588" s="57" t="s">
        <v>44</v>
      </c>
      <c r="D588" s="57" t="s">
        <v>48</v>
      </c>
      <c r="E588" s="57" t="s">
        <v>25</v>
      </c>
      <c r="F588" s="57" t="s">
        <v>25</v>
      </c>
      <c r="G588" s="57" t="s">
        <v>25</v>
      </c>
      <c r="H588" s="57" t="s">
        <v>37</v>
      </c>
      <c r="I588" s="82">
        <v>44317</v>
      </c>
      <c r="J588" s="83">
        <f ca="1">EFEITO!$J$588*EFEITO!$Y$588</f>
        <v>312801.30778989824</v>
      </c>
      <c r="K588" s="83">
        <f ca="1">EFEITO!$L$588*EFEITO!$Z$588</f>
        <v>26998.539903067933</v>
      </c>
      <c r="L588" s="83">
        <f>EFEITO!$N$588*EFEITO!$AA$588</f>
        <v>72790.705839217277</v>
      </c>
      <c r="M588" s="83">
        <f ca="1">$J$588-EFEITO!$K$588*EFEITO!$Y$588</f>
        <v>0</v>
      </c>
      <c r="N588" s="83">
        <f ca="1">$K$588-EFEITO!$M$588*EFEITO!$Z$588</f>
        <v>0</v>
      </c>
      <c r="O588" s="83">
        <f>$L$588-EFEITO!$O$588*EFEITO!$AA$588</f>
        <v>0</v>
      </c>
      <c r="P588" s="61"/>
      <c r="Q588" s="61"/>
      <c r="R588" s="61"/>
      <c r="S588" s="61"/>
      <c r="T588" s="61"/>
      <c r="U588" s="61"/>
      <c r="V588" s="61"/>
      <c r="W588" s="61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spans="1:36" ht="11.25" customHeight="1" x14ac:dyDescent="0.2">
      <c r="A589" s="57" t="s">
        <v>29</v>
      </c>
      <c r="B589" s="57" t="s">
        <v>35</v>
      </c>
      <c r="C589" s="57" t="s">
        <v>44</v>
      </c>
      <c r="D589" s="57" t="s">
        <v>48</v>
      </c>
      <c r="E589" s="57" t="s">
        <v>25</v>
      </c>
      <c r="F589" s="57" t="s">
        <v>25</v>
      </c>
      <c r="G589" s="57" t="s">
        <v>25</v>
      </c>
      <c r="H589" s="57" t="s">
        <v>37</v>
      </c>
      <c r="I589" s="82">
        <v>44317</v>
      </c>
      <c r="J589" s="83">
        <f ca="1">EFEITO!$J$589*EFEITO!$Y$589</f>
        <v>-97213.216747286933</v>
      </c>
      <c r="K589" s="83">
        <f ca="1">EFEITO!$L$589*EFEITO!$Z$589</f>
        <v>-1932.3429437039995</v>
      </c>
      <c r="L589" s="83">
        <f>EFEITO!$N$589*EFEITO!$AA$589</f>
        <v>-5209.7856884350158</v>
      </c>
      <c r="M589" s="83">
        <f ca="1">$J$589-EFEITO!$K$589*EFEITO!$Y$589</f>
        <v>0</v>
      </c>
      <c r="N589" s="83">
        <f ca="1">$K$589-EFEITO!$M$589*EFEITO!$Z$589</f>
        <v>0</v>
      </c>
      <c r="O589" s="83">
        <f>$L$589-EFEITO!$O$589*EFEITO!$AA$589</f>
        <v>0</v>
      </c>
      <c r="P589" s="61"/>
      <c r="Q589" s="61"/>
      <c r="R589" s="61"/>
      <c r="S589" s="61"/>
      <c r="T589" s="61"/>
      <c r="U589" s="61"/>
      <c r="V589" s="61"/>
      <c r="W589" s="61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spans="1:36" ht="11.25" customHeight="1" x14ac:dyDescent="0.2">
      <c r="A590" s="57" t="s">
        <v>21</v>
      </c>
      <c r="B590" s="57" t="s">
        <v>35</v>
      </c>
      <c r="C590" s="57" t="s">
        <v>44</v>
      </c>
      <c r="D590" s="57" t="s">
        <v>48</v>
      </c>
      <c r="E590" s="57" t="s">
        <v>25</v>
      </c>
      <c r="F590" s="57" t="s">
        <v>25</v>
      </c>
      <c r="G590" s="57" t="s">
        <v>25</v>
      </c>
      <c r="H590" s="57" t="s">
        <v>37</v>
      </c>
      <c r="I590" s="82">
        <v>44348</v>
      </c>
      <c r="J590" s="83">
        <f ca="1">EFEITO!$J$590*EFEITO!$Y$590</f>
        <v>880550.20413472399</v>
      </c>
      <c r="K590" s="83">
        <f ca="1">EFEITO!$L$590*EFEITO!$Z$590</f>
        <v>77991.700173626276</v>
      </c>
      <c r="L590" s="83">
        <f>EFEITO!$N$590*EFEITO!$AA$590</f>
        <v>210273.25646576006</v>
      </c>
      <c r="M590" s="83">
        <f ca="1">$J$590-EFEITO!$K$590*EFEITO!$Y$590</f>
        <v>0</v>
      </c>
      <c r="N590" s="83">
        <f ca="1">$K$590-EFEITO!$M$590*EFEITO!$Z$590</f>
        <v>0</v>
      </c>
      <c r="O590" s="83">
        <f>$L$590-EFEITO!$O$590*EFEITO!$AA$590</f>
        <v>0</v>
      </c>
      <c r="P590" s="61"/>
      <c r="Q590" s="61"/>
      <c r="R590" s="61"/>
      <c r="S590" s="61"/>
      <c r="T590" s="61"/>
      <c r="U590" s="61"/>
      <c r="V590" s="61"/>
      <c r="W590" s="61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spans="1:36" ht="11.25" customHeight="1" x14ac:dyDescent="0.2">
      <c r="A591" s="57" t="s">
        <v>28</v>
      </c>
      <c r="B591" s="57" t="s">
        <v>35</v>
      </c>
      <c r="C591" s="57" t="s">
        <v>44</v>
      </c>
      <c r="D591" s="57" t="s">
        <v>48</v>
      </c>
      <c r="E591" s="57" t="s">
        <v>25</v>
      </c>
      <c r="F591" s="57" t="s">
        <v>25</v>
      </c>
      <c r="G591" s="57" t="s">
        <v>25</v>
      </c>
      <c r="H591" s="57" t="s">
        <v>37</v>
      </c>
      <c r="I591" s="82">
        <v>44348</v>
      </c>
      <c r="J591" s="83">
        <f ca="1">EFEITO!$J$591*EFEITO!$Y$591</f>
        <v>304680.44761039928</v>
      </c>
      <c r="K591" s="83">
        <f ca="1">EFEITO!$L$591*EFEITO!$Z$591</f>
        <v>27623.387521037275</v>
      </c>
      <c r="L591" s="83">
        <f>EFEITO!$N$591*EFEITO!$AA$591</f>
        <v>74475.356169095801</v>
      </c>
      <c r="M591" s="83">
        <f ca="1">$J$591-EFEITO!$K$591*EFEITO!$Y$591</f>
        <v>0</v>
      </c>
      <c r="N591" s="83">
        <f ca="1">$K$591-EFEITO!$M$591*EFEITO!$Z$591</f>
        <v>0</v>
      </c>
      <c r="O591" s="83">
        <f>$L$591-EFEITO!$O$591*EFEITO!$AA$591</f>
        <v>0</v>
      </c>
      <c r="P591" s="61"/>
      <c r="Q591" s="61"/>
      <c r="R591" s="61"/>
      <c r="S591" s="61"/>
      <c r="T591" s="61"/>
      <c r="U591" s="61"/>
      <c r="V591" s="61"/>
      <c r="W591" s="61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spans="1:36" ht="11.25" customHeight="1" x14ac:dyDescent="0.2">
      <c r="A592" s="57" t="s">
        <v>21</v>
      </c>
      <c r="B592" s="57" t="s">
        <v>35</v>
      </c>
      <c r="C592" s="57" t="s">
        <v>44</v>
      </c>
      <c r="D592" s="57" t="s">
        <v>48</v>
      </c>
      <c r="E592" s="57" t="s">
        <v>25</v>
      </c>
      <c r="F592" s="57" t="s">
        <v>25</v>
      </c>
      <c r="G592" s="57" t="s">
        <v>25</v>
      </c>
      <c r="H592" s="57" t="s">
        <v>37</v>
      </c>
      <c r="I592" s="82">
        <v>44378</v>
      </c>
      <c r="J592" s="83">
        <f ca="1">EFEITO!$J$592*EFEITO!$Y$592</f>
        <v>875926.64870406035</v>
      </c>
      <c r="K592" s="83">
        <f ca="1">EFEITO!$L$592*EFEITO!$Z$592</f>
        <v>80834.857943415569</v>
      </c>
      <c r="L592" s="83">
        <f>EFEITO!$N$592*EFEITO!$AA$592</f>
        <v>217938.68806384812</v>
      </c>
      <c r="M592" s="83">
        <f ca="1">$J$592-EFEITO!$K$592*EFEITO!$Y$592</f>
        <v>0</v>
      </c>
      <c r="N592" s="83">
        <f ca="1">$K$592-EFEITO!$M$592*EFEITO!$Z$592</f>
        <v>0</v>
      </c>
      <c r="O592" s="83">
        <f>$L$592-EFEITO!$O$592*EFEITO!$AA$592</f>
        <v>0</v>
      </c>
      <c r="P592" s="61"/>
      <c r="Q592" s="61"/>
      <c r="R592" s="61"/>
      <c r="S592" s="61"/>
      <c r="T592" s="61"/>
      <c r="U592" s="61"/>
      <c r="V592" s="61"/>
      <c r="W592" s="61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spans="1:36" ht="11.25" customHeight="1" x14ac:dyDescent="0.2">
      <c r="A593" s="57" t="s">
        <v>28</v>
      </c>
      <c r="B593" s="57" t="s">
        <v>35</v>
      </c>
      <c r="C593" s="57" t="s">
        <v>44</v>
      </c>
      <c r="D593" s="57" t="s">
        <v>48</v>
      </c>
      <c r="E593" s="57" t="s">
        <v>25</v>
      </c>
      <c r="F593" s="57" t="s">
        <v>25</v>
      </c>
      <c r="G593" s="57" t="s">
        <v>25</v>
      </c>
      <c r="H593" s="57" t="s">
        <v>37</v>
      </c>
      <c r="I593" s="82">
        <v>44378</v>
      </c>
      <c r="J593" s="83">
        <f ca="1">EFEITO!$J$593*EFEITO!$Y$593</f>
        <v>306458.73816065455</v>
      </c>
      <c r="K593" s="83">
        <f ca="1">EFEITO!$L$593*EFEITO!$Z$593</f>
        <v>28500.836697619354</v>
      </c>
      <c r="L593" s="83">
        <f>EFEITO!$N$593*EFEITO!$AA$593</f>
        <v>76841.045022299004</v>
      </c>
      <c r="M593" s="83">
        <f ca="1">$J$593-EFEITO!$K$593*EFEITO!$Y$593</f>
        <v>0</v>
      </c>
      <c r="N593" s="83">
        <f ca="1">$K$593-EFEITO!$M$593*EFEITO!$Z$593</f>
        <v>0</v>
      </c>
      <c r="O593" s="83">
        <f>$L$593-EFEITO!$O$593*EFEITO!$AA$593</f>
        <v>0</v>
      </c>
      <c r="P593" s="61"/>
      <c r="Q593" s="61"/>
      <c r="R593" s="61"/>
      <c r="S593" s="61"/>
      <c r="T593" s="61"/>
      <c r="U593" s="61"/>
      <c r="V593" s="61"/>
      <c r="W593" s="61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spans="1:36" ht="11.25" customHeight="1" x14ac:dyDescent="0.2">
      <c r="A594" s="57" t="s">
        <v>21</v>
      </c>
      <c r="B594" s="57" t="s">
        <v>35</v>
      </c>
      <c r="C594" s="57" t="s">
        <v>44</v>
      </c>
      <c r="D594" s="57" t="s">
        <v>48</v>
      </c>
      <c r="E594" s="57" t="s">
        <v>25</v>
      </c>
      <c r="F594" s="57" t="s">
        <v>25</v>
      </c>
      <c r="G594" s="57" t="s">
        <v>25</v>
      </c>
      <c r="H594" s="57" t="s">
        <v>37</v>
      </c>
      <c r="I594" s="82">
        <v>44409</v>
      </c>
      <c r="J594" s="83">
        <f ca="1">EFEITO!$J$594*EFEITO!$Y$594</f>
        <v>1139884.2427136144</v>
      </c>
      <c r="K594" s="83">
        <f ca="1">EFEITO!$L$594*EFEITO!$Z$594</f>
        <v>86031.642110232322</v>
      </c>
      <c r="L594" s="83">
        <f>EFEITO!$N$594*EFEITO!$AA$594</f>
        <v>231949.72677019218</v>
      </c>
      <c r="M594" s="83">
        <f ca="1">$J$594-EFEITO!$K$594*EFEITO!$Y$594</f>
        <v>0</v>
      </c>
      <c r="N594" s="83">
        <f ca="1">$K$594-EFEITO!$M$594*EFEITO!$Z$594</f>
        <v>0</v>
      </c>
      <c r="O594" s="83">
        <f>$L$594-EFEITO!$O$594*EFEITO!$AA$594</f>
        <v>0</v>
      </c>
      <c r="P594" s="61"/>
      <c r="Q594" s="61"/>
      <c r="R594" s="61"/>
      <c r="S594" s="61"/>
      <c r="T594" s="61"/>
      <c r="U594" s="61"/>
      <c r="V594" s="61"/>
      <c r="W594" s="61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spans="1:36" ht="11.25" customHeight="1" x14ac:dyDescent="0.2">
      <c r="A595" s="57" t="s">
        <v>27</v>
      </c>
      <c r="B595" s="57" t="s">
        <v>35</v>
      </c>
      <c r="C595" s="57" t="s">
        <v>44</v>
      </c>
      <c r="D595" s="57" t="s">
        <v>48</v>
      </c>
      <c r="E595" s="57" t="s">
        <v>25</v>
      </c>
      <c r="F595" s="57" t="s">
        <v>25</v>
      </c>
      <c r="G595" s="57" t="s">
        <v>25</v>
      </c>
      <c r="H595" s="57" t="s">
        <v>37</v>
      </c>
      <c r="I595" s="82">
        <v>44409</v>
      </c>
      <c r="J595" s="83">
        <f ca="1">EFEITO!$J$595*EFEITO!$Y$595</f>
        <v>-26674.35825382873</v>
      </c>
      <c r="K595" s="83">
        <f ca="1">EFEITO!$L$595*EFEITO!$Z$595</f>
        <v>-2114.0003687770709</v>
      </c>
      <c r="L595" s="83">
        <f>EFEITO!$N$595*EFEITO!$AA$595</f>
        <v>-5699.5518846618352</v>
      </c>
      <c r="M595" s="83">
        <f ca="1">$J$595-EFEITO!$K$595*EFEITO!$Y$595</f>
        <v>0</v>
      </c>
      <c r="N595" s="83">
        <f ca="1">$K$595-EFEITO!$M$595*EFEITO!$Z$595</f>
        <v>0</v>
      </c>
      <c r="O595" s="83">
        <f>$L$595-EFEITO!$O$595*EFEITO!$AA$595</f>
        <v>0</v>
      </c>
      <c r="P595" s="61"/>
      <c r="Q595" s="61"/>
      <c r="R595" s="61"/>
      <c r="S595" s="61"/>
      <c r="T595" s="61"/>
      <c r="U595" s="61"/>
      <c r="V595" s="61"/>
      <c r="W595" s="61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spans="1:36" ht="11.25" customHeight="1" x14ac:dyDescent="0.2">
      <c r="A596" s="57" t="s">
        <v>28</v>
      </c>
      <c r="B596" s="57" t="s">
        <v>35</v>
      </c>
      <c r="C596" s="57" t="s">
        <v>44</v>
      </c>
      <c r="D596" s="57" t="s">
        <v>48</v>
      </c>
      <c r="E596" s="57" t="s">
        <v>25</v>
      </c>
      <c r="F596" s="57" t="s">
        <v>25</v>
      </c>
      <c r="G596" s="57" t="s">
        <v>25</v>
      </c>
      <c r="H596" s="57" t="s">
        <v>37</v>
      </c>
      <c r="I596" s="82">
        <v>44409</v>
      </c>
      <c r="J596" s="83">
        <f ca="1">EFEITO!$J$596*EFEITO!$Y$596</f>
        <v>326968.35584026505</v>
      </c>
      <c r="K596" s="83">
        <f ca="1">EFEITO!$L$596*EFEITO!$Z$596</f>
        <v>31572.33009910996</v>
      </c>
      <c r="L596" s="83">
        <f>EFEITO!$N$596*EFEITO!$AA$596</f>
        <v>85122.091829930025</v>
      </c>
      <c r="M596" s="83">
        <f ca="1">$J$596-EFEITO!$K$596*EFEITO!$Y$596</f>
        <v>0</v>
      </c>
      <c r="N596" s="83">
        <f ca="1">$K$596-EFEITO!$M$596*EFEITO!$Z$596</f>
        <v>0</v>
      </c>
      <c r="O596" s="83">
        <f>$L$596-EFEITO!$O$596*EFEITO!$AA$596</f>
        <v>0</v>
      </c>
      <c r="P596" s="61"/>
      <c r="Q596" s="61"/>
      <c r="R596" s="61"/>
      <c r="S596" s="61"/>
      <c r="T596" s="61"/>
      <c r="U596" s="61"/>
      <c r="V596" s="61"/>
      <c r="W596" s="61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spans="1:36" ht="11.25" customHeight="1" x14ac:dyDescent="0.2">
      <c r="A597" s="57" t="s">
        <v>29</v>
      </c>
      <c r="B597" s="57" t="s">
        <v>35</v>
      </c>
      <c r="C597" s="57" t="s">
        <v>44</v>
      </c>
      <c r="D597" s="57" t="s">
        <v>48</v>
      </c>
      <c r="E597" s="57" t="s">
        <v>25</v>
      </c>
      <c r="F597" s="57" t="s">
        <v>25</v>
      </c>
      <c r="G597" s="57" t="s">
        <v>25</v>
      </c>
      <c r="H597" s="57" t="s">
        <v>37</v>
      </c>
      <c r="I597" s="82">
        <v>44409</v>
      </c>
      <c r="J597" s="83">
        <f ca="1">EFEITO!$J$597*EFEITO!$Y$597</f>
        <v>-5631.253409141621</v>
      </c>
      <c r="K597" s="83">
        <f ca="1">EFEITO!$L$597*EFEITO!$Z$597</f>
        <v>-451.78437534406754</v>
      </c>
      <c r="L597" s="83">
        <f>EFEITO!$N$597*EFEITO!$AA$597</f>
        <v>-1218.0548906160527</v>
      </c>
      <c r="M597" s="83">
        <f ca="1">$J$597-EFEITO!$K$597*EFEITO!$Y$597</f>
        <v>0</v>
      </c>
      <c r="N597" s="83">
        <f ca="1">$K$597-EFEITO!$M$597*EFEITO!$Z$597</f>
        <v>0</v>
      </c>
      <c r="O597" s="83">
        <f>$L$597-EFEITO!$O$597*EFEITO!$AA$597</f>
        <v>0</v>
      </c>
      <c r="P597" s="61"/>
      <c r="Q597" s="61"/>
      <c r="R597" s="61"/>
      <c r="S597" s="61"/>
      <c r="T597" s="61"/>
      <c r="U597" s="61"/>
      <c r="V597" s="61"/>
      <c r="W597" s="61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spans="1:36" ht="11.25" customHeight="1" x14ac:dyDescent="0.2">
      <c r="A598" s="57" t="s">
        <v>30</v>
      </c>
      <c r="B598" s="57" t="s">
        <v>35</v>
      </c>
      <c r="C598" s="57" t="s">
        <v>44</v>
      </c>
      <c r="D598" s="57" t="s">
        <v>48</v>
      </c>
      <c r="E598" s="57" t="s">
        <v>25</v>
      </c>
      <c r="F598" s="57" t="s">
        <v>25</v>
      </c>
      <c r="G598" s="57" t="s">
        <v>25</v>
      </c>
      <c r="H598" s="57" t="s">
        <v>37</v>
      </c>
      <c r="I598" s="82">
        <v>44409</v>
      </c>
      <c r="J598" s="83">
        <f ca="1">EFEITO!$J$598*EFEITO!$Y$598</f>
        <v>32601.993421346226</v>
      </c>
      <c r="K598" s="83">
        <f ca="1">EFEITO!$L$598*EFEITO!$Z$598</f>
        <v>677.08676618144841</v>
      </c>
      <c r="L598" s="83">
        <f>EFEITO!$N$598*EFEITO!$AA$598</f>
        <v>1825.4921859363296</v>
      </c>
      <c r="M598" s="83">
        <f ca="1">$J$598-EFEITO!$K$598*EFEITO!$Y$598</f>
        <v>0</v>
      </c>
      <c r="N598" s="83">
        <f ca="1">$K$598-EFEITO!$M$598*EFEITO!$Z$598</f>
        <v>0</v>
      </c>
      <c r="O598" s="83">
        <f>$L$598-EFEITO!$O$598*EFEITO!$AA$598</f>
        <v>0</v>
      </c>
      <c r="P598" s="61"/>
      <c r="Q598" s="61"/>
      <c r="R598" s="61"/>
      <c r="S598" s="61"/>
      <c r="T598" s="61"/>
      <c r="U598" s="61"/>
      <c r="V598" s="61"/>
      <c r="W598" s="61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spans="1:36" ht="11.25" customHeight="1" x14ac:dyDescent="0.2">
      <c r="A599" s="57" t="s">
        <v>21</v>
      </c>
      <c r="B599" s="57" t="s">
        <v>35</v>
      </c>
      <c r="C599" s="57" t="s">
        <v>44</v>
      </c>
      <c r="D599" s="57" t="s">
        <v>48</v>
      </c>
      <c r="E599" s="57" t="s">
        <v>25</v>
      </c>
      <c r="F599" s="57" t="s">
        <v>25</v>
      </c>
      <c r="G599" s="57" t="s">
        <v>25</v>
      </c>
      <c r="H599" s="57" t="s">
        <v>37</v>
      </c>
      <c r="I599" s="82">
        <v>44440</v>
      </c>
      <c r="J599" s="83">
        <f ca="1">EFEITO!$J$599*EFEITO!$Y$599</f>
        <v>1132593.251457568</v>
      </c>
      <c r="K599" s="83">
        <f ca="1">EFEITO!$L$599*EFEITO!$Z$599</f>
        <v>80676.11833820329</v>
      </c>
      <c r="L599" s="83">
        <f>EFEITO!$N$599*EFEITO!$AA$599</f>
        <v>217510.71055285956</v>
      </c>
      <c r="M599" s="83">
        <f ca="1">$J$599-EFEITO!$K$599*EFEITO!$Y$599</f>
        <v>0</v>
      </c>
      <c r="N599" s="83">
        <f ca="1">$K$599-EFEITO!$M$599*EFEITO!$Z$599</f>
        <v>0</v>
      </c>
      <c r="O599" s="83">
        <f>$L$599-EFEITO!$O$599*EFEITO!$AA$599</f>
        <v>0</v>
      </c>
      <c r="P599" s="61"/>
      <c r="Q599" s="61"/>
      <c r="R599" s="61"/>
      <c r="S599" s="61"/>
      <c r="T599" s="61"/>
      <c r="U599" s="61"/>
      <c r="V599" s="61"/>
      <c r="W599" s="61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spans="1:36" ht="11.25" customHeight="1" x14ac:dyDescent="0.2">
      <c r="A600" s="57" t="s">
        <v>28</v>
      </c>
      <c r="B600" s="57" t="s">
        <v>35</v>
      </c>
      <c r="C600" s="57" t="s">
        <v>44</v>
      </c>
      <c r="D600" s="57" t="s">
        <v>48</v>
      </c>
      <c r="E600" s="57" t="s">
        <v>25</v>
      </c>
      <c r="F600" s="57" t="s">
        <v>25</v>
      </c>
      <c r="G600" s="57" t="s">
        <v>25</v>
      </c>
      <c r="H600" s="57" t="s">
        <v>37</v>
      </c>
      <c r="I600" s="82">
        <v>44440</v>
      </c>
      <c r="J600" s="83">
        <f ca="1">EFEITO!$J$600*EFEITO!$Y$600</f>
        <v>332421.78019438114</v>
      </c>
      <c r="K600" s="83">
        <f ca="1">EFEITO!$L$600*EFEITO!$Z$600</f>
        <v>28127.748071356105</v>
      </c>
      <c r="L600" s="83">
        <f>EFEITO!$N$600*EFEITO!$AA$600</f>
        <v>75835.161572905505</v>
      </c>
      <c r="M600" s="83">
        <f ca="1">$J$600-EFEITO!$K$600*EFEITO!$Y$600</f>
        <v>0</v>
      </c>
      <c r="N600" s="83">
        <f ca="1">$K$600-EFEITO!$M$600*EFEITO!$Z$600</f>
        <v>0</v>
      </c>
      <c r="O600" s="83">
        <f>$L$600-EFEITO!$O$600*EFEITO!$AA$600</f>
        <v>0</v>
      </c>
      <c r="P600" s="61"/>
      <c r="Q600" s="61"/>
      <c r="R600" s="61"/>
      <c r="S600" s="61"/>
      <c r="T600" s="61"/>
      <c r="U600" s="61"/>
      <c r="V600" s="61"/>
      <c r="W600" s="61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spans="1:36" ht="11.25" customHeight="1" x14ac:dyDescent="0.2">
      <c r="A601" s="57" t="s">
        <v>29</v>
      </c>
      <c r="B601" s="57" t="s">
        <v>35</v>
      </c>
      <c r="C601" s="57" t="s">
        <v>44</v>
      </c>
      <c r="D601" s="57" t="s">
        <v>48</v>
      </c>
      <c r="E601" s="57" t="s">
        <v>25</v>
      </c>
      <c r="F601" s="57" t="s">
        <v>25</v>
      </c>
      <c r="G601" s="57" t="s">
        <v>25</v>
      </c>
      <c r="H601" s="57" t="s">
        <v>37</v>
      </c>
      <c r="I601" s="82">
        <v>44440</v>
      </c>
      <c r="J601" s="83">
        <f ca="1">EFEITO!$J$601*EFEITO!$Y$601</f>
        <v>-2489.6067703573481</v>
      </c>
      <c r="K601" s="83">
        <f ca="1">EFEITO!$L$601*EFEITO!$Z$601</f>
        <v>0</v>
      </c>
      <c r="L601" s="83">
        <f>EFEITO!$N$601*EFEITO!$AA$601</f>
        <v>0</v>
      </c>
      <c r="M601" s="83">
        <f ca="1">$J$601-EFEITO!$K$601*EFEITO!$Y$601</f>
        <v>0</v>
      </c>
      <c r="N601" s="83">
        <f ca="1">$K$601-EFEITO!$M$601*EFEITO!$Z$601</f>
        <v>0</v>
      </c>
      <c r="O601" s="83">
        <f>$L$601-EFEITO!$O$601*EFEITO!$AA$601</f>
        <v>0</v>
      </c>
      <c r="P601" s="61"/>
      <c r="Q601" s="61"/>
      <c r="R601" s="61"/>
      <c r="S601" s="61"/>
      <c r="T601" s="61"/>
      <c r="U601" s="61"/>
      <c r="V601" s="61"/>
      <c r="W601" s="61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spans="1:36" ht="11.25" customHeight="1" x14ac:dyDescent="0.2">
      <c r="A602" s="57" t="s">
        <v>30</v>
      </c>
      <c r="B602" s="57" t="s">
        <v>35</v>
      </c>
      <c r="C602" s="57" t="s">
        <v>44</v>
      </c>
      <c r="D602" s="57" t="s">
        <v>48</v>
      </c>
      <c r="E602" s="57" t="s">
        <v>25</v>
      </c>
      <c r="F602" s="57" t="s">
        <v>25</v>
      </c>
      <c r="G602" s="57" t="s">
        <v>25</v>
      </c>
      <c r="H602" s="57" t="s">
        <v>37</v>
      </c>
      <c r="I602" s="82">
        <v>44440</v>
      </c>
      <c r="J602" s="83">
        <f ca="1">EFEITO!$J$602*EFEITO!$Y$602</f>
        <v>32601.993421346226</v>
      </c>
      <c r="K602" s="83">
        <f ca="1">EFEITO!$L$602*EFEITO!$Z$602</f>
        <v>618.10708271616556</v>
      </c>
      <c r="L602" s="83">
        <f>EFEITO!$N$602*EFEITO!$AA$602</f>
        <v>1666.4771871613882</v>
      </c>
      <c r="M602" s="83">
        <f ca="1">$J$602-EFEITO!$K$602*EFEITO!$Y$602</f>
        <v>0</v>
      </c>
      <c r="N602" s="83">
        <f ca="1">$K$602-EFEITO!$M$602*EFEITO!$Z$602</f>
        <v>0</v>
      </c>
      <c r="O602" s="83">
        <f>$L$602-EFEITO!$O$602*EFEITO!$AA$602</f>
        <v>0</v>
      </c>
      <c r="P602" s="61"/>
      <c r="Q602" s="61"/>
      <c r="R602" s="61"/>
      <c r="S602" s="61"/>
      <c r="T602" s="61"/>
      <c r="U602" s="61"/>
      <c r="V602" s="61"/>
      <c r="W602" s="61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spans="1:36" ht="11.25" customHeight="1" x14ac:dyDescent="0.2">
      <c r="A603" s="57" t="s">
        <v>59</v>
      </c>
      <c r="B603" s="57" t="s">
        <v>35</v>
      </c>
      <c r="C603" s="57" t="s">
        <v>44</v>
      </c>
      <c r="D603" s="57" t="s">
        <v>48</v>
      </c>
      <c r="E603" s="57" t="s">
        <v>25</v>
      </c>
      <c r="F603" s="57" t="s">
        <v>25</v>
      </c>
      <c r="G603" s="57" t="s">
        <v>25</v>
      </c>
      <c r="H603" s="57" t="s">
        <v>37</v>
      </c>
      <c r="I603" s="82">
        <v>44470</v>
      </c>
      <c r="J603" s="83">
        <f ca="1">EFEITO!$J$603*EFEITO!$Y$603</f>
        <v>1132593.251457568</v>
      </c>
      <c r="K603" s="83">
        <f ca="1">EFEITO!$L$603*EFEITO!$Z$603</f>
        <v>80676.11833820329</v>
      </c>
      <c r="L603" s="83">
        <f>EFEITO!$N$603*EFEITO!$AA$603</f>
        <v>217510.71055285956</v>
      </c>
      <c r="M603" s="83">
        <f ca="1">$J$603-EFEITO!$K$603*EFEITO!$Y$603</f>
        <v>0</v>
      </c>
      <c r="N603" s="83">
        <f ca="1">$K$603-EFEITO!$M$603*EFEITO!$Z$603</f>
        <v>0</v>
      </c>
      <c r="O603" s="83">
        <f>$L$603-EFEITO!$O$603*EFEITO!$AA$603</f>
        <v>0</v>
      </c>
      <c r="P603" s="61"/>
      <c r="Q603" s="61"/>
      <c r="R603" s="61"/>
      <c r="S603" s="61"/>
      <c r="T603" s="61"/>
      <c r="U603" s="61"/>
      <c r="V603" s="61"/>
      <c r="W603" s="61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spans="1:36" ht="11.25" customHeight="1" x14ac:dyDescent="0.2">
      <c r="A604" s="57" t="s">
        <v>59</v>
      </c>
      <c r="B604" s="57" t="s">
        <v>35</v>
      </c>
      <c r="C604" s="57" t="s">
        <v>44</v>
      </c>
      <c r="D604" s="57" t="s">
        <v>48</v>
      </c>
      <c r="E604" s="57" t="s">
        <v>25</v>
      </c>
      <c r="F604" s="57" t="s">
        <v>25</v>
      </c>
      <c r="G604" s="57" t="s">
        <v>25</v>
      </c>
      <c r="H604" s="57" t="s">
        <v>37</v>
      </c>
      <c r="I604" s="82">
        <v>44470</v>
      </c>
      <c r="J604" s="83">
        <f ca="1">EFEITO!$J$604*EFEITO!$Y$604</f>
        <v>332421.78019438114</v>
      </c>
      <c r="K604" s="83">
        <f ca="1">EFEITO!$L$604*EFEITO!$Z$604</f>
        <v>28127.748071356105</v>
      </c>
      <c r="L604" s="83">
        <f>EFEITO!$N$604*EFEITO!$AA$604</f>
        <v>75835.161572905505</v>
      </c>
      <c r="M604" s="83">
        <f ca="1">$J$604-EFEITO!$K$604*EFEITO!$Y$604</f>
        <v>0</v>
      </c>
      <c r="N604" s="83">
        <f ca="1">$K$604-EFEITO!$M$604*EFEITO!$Z$604</f>
        <v>0</v>
      </c>
      <c r="O604" s="83">
        <f>$L$604-EFEITO!$O$604*EFEITO!$AA$604</f>
        <v>0</v>
      </c>
      <c r="P604" s="61"/>
      <c r="Q604" s="61"/>
      <c r="R604" s="61"/>
      <c r="S604" s="61"/>
      <c r="T604" s="61"/>
      <c r="U604" s="61"/>
      <c r="V604" s="61"/>
      <c r="W604" s="61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spans="1:36" ht="11.25" customHeight="1" x14ac:dyDescent="0.2">
      <c r="A605" s="57" t="s">
        <v>59</v>
      </c>
      <c r="B605" s="57" t="s">
        <v>35</v>
      </c>
      <c r="C605" s="57" t="s">
        <v>44</v>
      </c>
      <c r="D605" s="57" t="s">
        <v>48</v>
      </c>
      <c r="E605" s="57" t="s">
        <v>25</v>
      </c>
      <c r="F605" s="57" t="s">
        <v>25</v>
      </c>
      <c r="G605" s="57" t="s">
        <v>25</v>
      </c>
      <c r="H605" s="57" t="s">
        <v>37</v>
      </c>
      <c r="I605" s="82">
        <v>44470</v>
      </c>
      <c r="J605" s="83">
        <f ca="1">EFEITO!$J$605*EFEITO!$Y$605</f>
        <v>-2489.6067703573481</v>
      </c>
      <c r="K605" s="83">
        <f ca="1">EFEITO!$L$605*EFEITO!$Z$605</f>
        <v>0</v>
      </c>
      <c r="L605" s="83">
        <f>EFEITO!$N$605*EFEITO!$AA$605</f>
        <v>0</v>
      </c>
      <c r="M605" s="83">
        <f ca="1">$J$605-EFEITO!$K$605*EFEITO!$Y$605</f>
        <v>0</v>
      </c>
      <c r="N605" s="83">
        <f ca="1">$K$605-EFEITO!$M$605*EFEITO!$Z$605</f>
        <v>0</v>
      </c>
      <c r="O605" s="83">
        <f>$L$605-EFEITO!$O$605*EFEITO!$AA$605</f>
        <v>0</v>
      </c>
      <c r="P605" s="61"/>
      <c r="Q605" s="61"/>
      <c r="R605" s="61"/>
      <c r="S605" s="61"/>
      <c r="T605" s="61"/>
      <c r="U605" s="61"/>
      <c r="V605" s="61"/>
      <c r="W605" s="61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spans="1:36" ht="11.25" customHeight="1" x14ac:dyDescent="0.2">
      <c r="A606" s="57" t="s">
        <v>59</v>
      </c>
      <c r="B606" s="57" t="s">
        <v>35</v>
      </c>
      <c r="C606" s="57" t="s">
        <v>44</v>
      </c>
      <c r="D606" s="57" t="s">
        <v>48</v>
      </c>
      <c r="E606" s="57" t="s">
        <v>25</v>
      </c>
      <c r="F606" s="57" t="s">
        <v>25</v>
      </c>
      <c r="G606" s="57" t="s">
        <v>25</v>
      </c>
      <c r="H606" s="57" t="s">
        <v>37</v>
      </c>
      <c r="I606" s="82">
        <v>44470</v>
      </c>
      <c r="J606" s="83">
        <f ca="1">EFEITO!$J$606*EFEITO!$Y$606</f>
        <v>32601.993421346226</v>
      </c>
      <c r="K606" s="83">
        <f ca="1">EFEITO!$L$606*EFEITO!$Z$606</f>
        <v>618.10708271616556</v>
      </c>
      <c r="L606" s="83">
        <f>EFEITO!$N$606*EFEITO!$AA$606</f>
        <v>1666.4771871613882</v>
      </c>
      <c r="M606" s="83">
        <f ca="1">$J$606-EFEITO!$K$606*EFEITO!$Y$606</f>
        <v>0</v>
      </c>
      <c r="N606" s="83">
        <f ca="1">$K$606-EFEITO!$M$606*EFEITO!$Z$606</f>
        <v>0</v>
      </c>
      <c r="O606" s="83">
        <f>$L$606-EFEITO!$O$606*EFEITO!$AA$606</f>
        <v>0</v>
      </c>
      <c r="P606" s="61"/>
      <c r="Q606" s="61"/>
      <c r="R606" s="61"/>
      <c r="S606" s="61"/>
      <c r="T606" s="61"/>
      <c r="U606" s="61"/>
      <c r="V606" s="61"/>
      <c r="W606" s="61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spans="1:36" ht="11.25" customHeight="1" x14ac:dyDescent="0.2">
      <c r="A607" s="57" t="s">
        <v>21</v>
      </c>
      <c r="B607" s="57" t="s">
        <v>35</v>
      </c>
      <c r="C607" s="57" t="s">
        <v>44</v>
      </c>
      <c r="D607" s="57" t="s">
        <v>47</v>
      </c>
      <c r="E607" s="57" t="s">
        <v>25</v>
      </c>
      <c r="F607" s="57" t="s">
        <v>25</v>
      </c>
      <c r="G607" s="57" t="s">
        <v>25</v>
      </c>
      <c r="H607" s="57" t="s">
        <v>38</v>
      </c>
      <c r="I607" s="82">
        <v>44136</v>
      </c>
      <c r="J607" s="83">
        <f ca="1">EFEITO!$J$607*EFEITO!$Y$567</f>
        <v>5524.0010438092622</v>
      </c>
      <c r="K607" s="83">
        <f ca="1">EFEITO!$L$607*EFEITO!$Z$567</f>
        <v>6260.1036030051346</v>
      </c>
      <c r="L607" s="83">
        <f>EFEITO!$N$607*EFEITO!$AA$567</f>
        <v>10510.098482087655</v>
      </c>
      <c r="M607" s="83">
        <f ca="1">$J$607-EFEITO!$K$607*EFEITO!$Y$607</f>
        <v>220.96004175237067</v>
      </c>
      <c r="N607" s="83">
        <f ca="1">$K$607-EFEITO!$M$607*EFEITO!$Z$607</f>
        <v>250.40414412020618</v>
      </c>
      <c r="O607" s="83">
        <f>$L$607-EFEITO!$O$607*EFEITO!$AA$607</f>
        <v>420.4039392835075</v>
      </c>
      <c r="P607" s="61"/>
      <c r="Q607" s="61"/>
      <c r="R607" s="61"/>
      <c r="S607" s="61"/>
      <c r="T607" s="61"/>
      <c r="U607" s="61"/>
      <c r="V607" s="61"/>
      <c r="W607" s="61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spans="1:36" ht="11.25" customHeight="1" x14ac:dyDescent="0.2">
      <c r="A608" s="57" t="s">
        <v>28</v>
      </c>
      <c r="B608" s="57" t="s">
        <v>35</v>
      </c>
      <c r="C608" s="57" t="s">
        <v>44</v>
      </c>
      <c r="D608" s="57" t="s">
        <v>47</v>
      </c>
      <c r="E608" s="57" t="s">
        <v>25</v>
      </c>
      <c r="F608" s="57" t="s">
        <v>25</v>
      </c>
      <c r="G608" s="57" t="s">
        <v>25</v>
      </c>
      <c r="H608" s="57" t="s">
        <v>38</v>
      </c>
      <c r="I608" s="82">
        <v>44136</v>
      </c>
      <c r="J608" s="83">
        <f ca="1">EFEITO!$J$608*EFEITO!$Y$567</f>
        <v>24522.732957488515</v>
      </c>
      <c r="K608" s="83">
        <f ca="1">EFEITO!$L$608*EFEITO!$Z$567</f>
        <v>29240.441928274005</v>
      </c>
      <c r="L608" s="83">
        <f>EFEITO!$N$608*EFEITO!$AA$567</f>
        <v>49091.827198897685</v>
      </c>
      <c r="M608" s="83">
        <f ca="1">$J$608-EFEITO!$K$608*EFEITO!$Y$608</f>
        <v>980.90931829953843</v>
      </c>
      <c r="N608" s="83">
        <f ca="1">$K$608-EFEITO!$M$608*EFEITO!$Z$608</f>
        <v>1169.6176771309656</v>
      </c>
      <c r="O608" s="83">
        <f>$L$608-EFEITO!$O$608*EFEITO!$AA$608</f>
        <v>1963.6730879559109</v>
      </c>
      <c r="P608" s="61"/>
      <c r="Q608" s="61"/>
      <c r="R608" s="61"/>
      <c r="S608" s="61"/>
      <c r="T608" s="61"/>
      <c r="U608" s="61"/>
      <c r="V608" s="61"/>
      <c r="W608" s="61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spans="1:36" ht="11.25" customHeight="1" x14ac:dyDescent="0.2">
      <c r="A609" s="57" t="s">
        <v>21</v>
      </c>
      <c r="B609" s="57" t="s">
        <v>35</v>
      </c>
      <c r="C609" s="57" t="s">
        <v>44</v>
      </c>
      <c r="D609" s="57" t="s">
        <v>47</v>
      </c>
      <c r="E609" s="57" t="s">
        <v>25</v>
      </c>
      <c r="F609" s="57" t="s">
        <v>25</v>
      </c>
      <c r="G609" s="57" t="s">
        <v>25</v>
      </c>
      <c r="H609" s="57" t="s">
        <v>38</v>
      </c>
      <c r="I609" s="82">
        <v>44166</v>
      </c>
      <c r="J609" s="83">
        <f ca="1">EFEITO!$J$609*EFEITO!$Y$567</f>
        <v>6066.8219556286695</v>
      </c>
      <c r="K609" s="83">
        <f ca="1">EFEITO!$L$609*EFEITO!$Z$567</f>
        <v>6911.4078218431878</v>
      </c>
      <c r="L609" s="83">
        <f>EFEITO!$N$609*EFEITO!$AA$567</f>
        <v>11603.574231993947</v>
      </c>
      <c r="M609" s="83">
        <f ca="1">$J$609-EFEITO!$K$609*EFEITO!$Y$609</f>
        <v>242.67287822514663</v>
      </c>
      <c r="N609" s="83">
        <f ca="1">$K$609-EFEITO!$M$609*EFEITO!$Z$609</f>
        <v>276.45631287372817</v>
      </c>
      <c r="O609" s="83">
        <f>$L$609-EFEITO!$O$609*EFEITO!$AA$609</f>
        <v>464.1429692797592</v>
      </c>
      <c r="P609" s="61"/>
      <c r="Q609" s="61"/>
      <c r="R609" s="61"/>
      <c r="S609" s="61"/>
      <c r="T609" s="61"/>
      <c r="U609" s="61"/>
      <c r="V609" s="61"/>
      <c r="W609" s="61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spans="1:36" ht="11.25" customHeight="1" x14ac:dyDescent="0.2">
      <c r="A610" s="57" t="s">
        <v>28</v>
      </c>
      <c r="B610" s="57" t="s">
        <v>35</v>
      </c>
      <c r="C610" s="57" t="s">
        <v>44</v>
      </c>
      <c r="D610" s="57" t="s">
        <v>47</v>
      </c>
      <c r="E610" s="57" t="s">
        <v>25</v>
      </c>
      <c r="F610" s="57" t="s">
        <v>25</v>
      </c>
      <c r="G610" s="57" t="s">
        <v>25</v>
      </c>
      <c r="H610" s="57" t="s">
        <v>38</v>
      </c>
      <c r="I610" s="82">
        <v>44166</v>
      </c>
      <c r="J610" s="83">
        <f ca="1">EFEITO!$J$610*EFEITO!$Y$567</f>
        <v>23053.923431388943</v>
      </c>
      <c r="K610" s="83">
        <f ca="1">EFEITO!$L$610*EFEITO!$Z$567</f>
        <v>22971.74414282107</v>
      </c>
      <c r="L610" s="83">
        <f>EFEITO!$N$610*EFEITO!$AA$567</f>
        <v>38567.299929424458</v>
      </c>
      <c r="M610" s="83">
        <f ca="1">$J$610-EFEITO!$K$610*EFEITO!$Y$610</f>
        <v>922.15693725555684</v>
      </c>
      <c r="N610" s="83">
        <f ca="1">$K$610-EFEITO!$M$610*EFEITO!$Z$610</f>
        <v>918.86976571284686</v>
      </c>
      <c r="O610" s="83">
        <f>$L$610-EFEITO!$O$610*EFEITO!$AA$610</f>
        <v>1542.6919971769821</v>
      </c>
      <c r="P610" s="61"/>
      <c r="Q610" s="61"/>
      <c r="R610" s="61"/>
      <c r="S610" s="61"/>
      <c r="T610" s="61"/>
      <c r="U610" s="61"/>
      <c r="V610" s="61"/>
      <c r="W610" s="61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spans="1:36" ht="11.25" customHeight="1" x14ac:dyDescent="0.2">
      <c r="A611" s="57" t="s">
        <v>21</v>
      </c>
      <c r="B611" s="57" t="s">
        <v>35</v>
      </c>
      <c r="C611" s="57" t="s">
        <v>44</v>
      </c>
      <c r="D611" s="57" t="s">
        <v>47</v>
      </c>
      <c r="E611" s="57" t="s">
        <v>25</v>
      </c>
      <c r="F611" s="57" t="s">
        <v>25</v>
      </c>
      <c r="G611" s="57" t="s">
        <v>25</v>
      </c>
      <c r="H611" s="57" t="s">
        <v>38</v>
      </c>
      <c r="I611" s="82">
        <v>44197</v>
      </c>
      <c r="J611" s="83">
        <f ca="1">EFEITO!$J$611*EFEITO!$Y$567</f>
        <v>6098.7525975003991</v>
      </c>
      <c r="K611" s="83">
        <f ca="1">EFEITO!$L$611*EFEITO!$Z$567</f>
        <v>6769.5195547638496</v>
      </c>
      <c r="L611" s="83">
        <f>EFEITO!$N$611*EFEITO!$AA$567</f>
        <v>11365.357781432213</v>
      </c>
      <c r="M611" s="83">
        <f ca="1">$J$611-EFEITO!$K$611*EFEITO!$Y$611</f>
        <v>243.95010390001516</v>
      </c>
      <c r="N611" s="83">
        <f ca="1">$K$611-EFEITO!$M$611*EFEITO!$Z$611</f>
        <v>270.78078219055442</v>
      </c>
      <c r="O611" s="83">
        <f>$L$611-EFEITO!$O$611*EFEITO!$AA$611</f>
        <v>454.61431125728996</v>
      </c>
      <c r="P611" s="61"/>
      <c r="Q611" s="61"/>
      <c r="R611" s="61"/>
      <c r="S611" s="61"/>
      <c r="T611" s="61"/>
      <c r="U611" s="61"/>
      <c r="V611" s="61"/>
      <c r="W611" s="61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spans="1:36" ht="11.25" customHeight="1" x14ac:dyDescent="0.2">
      <c r="A612" s="57" t="s">
        <v>28</v>
      </c>
      <c r="B612" s="57" t="s">
        <v>35</v>
      </c>
      <c r="C612" s="57" t="s">
        <v>44</v>
      </c>
      <c r="D612" s="57" t="s">
        <v>47</v>
      </c>
      <c r="E612" s="57" t="s">
        <v>25</v>
      </c>
      <c r="F612" s="57" t="s">
        <v>25</v>
      </c>
      <c r="G612" s="57" t="s">
        <v>25</v>
      </c>
      <c r="H612" s="57" t="s">
        <v>38</v>
      </c>
      <c r="I612" s="82">
        <v>44197</v>
      </c>
      <c r="J612" s="83">
        <f ca="1">EFEITO!$J$612*EFEITO!$Y$567</f>
        <v>22990.062147645483</v>
      </c>
      <c r="K612" s="83">
        <f ca="1">EFEITO!$L$612*EFEITO!$Z$567</f>
        <v>24872.575084216474</v>
      </c>
      <c r="L612" s="83">
        <f>EFEITO!$N$612*EFEITO!$AA$567</f>
        <v>41758.608198232469</v>
      </c>
      <c r="M612" s="83">
        <f ca="1">$J$612-EFEITO!$K$612*EFEITO!$Y$612</f>
        <v>919.60248590581614</v>
      </c>
      <c r="N612" s="83">
        <f ca="1">$K$612-EFEITO!$M$612*EFEITO!$Z$612</f>
        <v>994.9030033686613</v>
      </c>
      <c r="O612" s="83">
        <f>$L$612-EFEITO!$O$612*EFEITO!$AA$612</f>
        <v>1670.344327929306</v>
      </c>
      <c r="P612" s="61"/>
      <c r="Q612" s="61"/>
      <c r="R612" s="61"/>
      <c r="S612" s="61"/>
      <c r="T612" s="61"/>
      <c r="U612" s="61"/>
      <c r="V612" s="61"/>
      <c r="W612" s="61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spans="1:36" ht="11.25" customHeight="1" x14ac:dyDescent="0.2">
      <c r="A613" s="57" t="s">
        <v>21</v>
      </c>
      <c r="B613" s="57" t="s">
        <v>35</v>
      </c>
      <c r="C613" s="57" t="s">
        <v>44</v>
      </c>
      <c r="D613" s="57" t="s">
        <v>47</v>
      </c>
      <c r="E613" s="57" t="s">
        <v>25</v>
      </c>
      <c r="F613" s="57" t="s">
        <v>25</v>
      </c>
      <c r="G613" s="57" t="s">
        <v>25</v>
      </c>
      <c r="H613" s="57" t="s">
        <v>38</v>
      </c>
      <c r="I613" s="82">
        <v>44228</v>
      </c>
      <c r="J613" s="83">
        <f ca="1">EFEITO!$J$613*EFEITO!$Y$567</f>
        <v>5811.3768206548311</v>
      </c>
      <c r="K613" s="83">
        <f ca="1">EFEITO!$L$613*EFEITO!$Z$567</f>
        <v>7486.7125057016901</v>
      </c>
      <c r="L613" s="83">
        <f>EFEITO!$N$613*EFEITO!$AA$567</f>
        <v>12569.454234627859</v>
      </c>
      <c r="M613" s="83">
        <f ca="1">$J$613-EFEITO!$K$613*EFEITO!$Y$613</f>
        <v>232.45507282619383</v>
      </c>
      <c r="N613" s="83">
        <f ca="1">$K$613-EFEITO!$M$613*EFEITO!$Z$613</f>
        <v>299.46850022806848</v>
      </c>
      <c r="O613" s="83">
        <f>$L$613-EFEITO!$O$613*EFEITO!$AA$613</f>
        <v>502.77816938511751</v>
      </c>
      <c r="P613" s="61"/>
      <c r="Q613" s="61"/>
      <c r="R613" s="61"/>
      <c r="S613" s="61"/>
      <c r="T613" s="61"/>
      <c r="U613" s="61"/>
      <c r="V613" s="61"/>
      <c r="W613" s="61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spans="1:36" ht="11.25" customHeight="1" x14ac:dyDescent="0.2">
      <c r="A614" s="57" t="s">
        <v>28</v>
      </c>
      <c r="B614" s="57" t="s">
        <v>35</v>
      </c>
      <c r="C614" s="57" t="s">
        <v>44</v>
      </c>
      <c r="D614" s="57" t="s">
        <v>47</v>
      </c>
      <c r="E614" s="57" t="s">
        <v>25</v>
      </c>
      <c r="F614" s="57" t="s">
        <v>25</v>
      </c>
      <c r="G614" s="57" t="s">
        <v>25</v>
      </c>
      <c r="H614" s="57" t="s">
        <v>38</v>
      </c>
      <c r="I614" s="82">
        <v>44228</v>
      </c>
      <c r="J614" s="83">
        <f ca="1">EFEITO!$J$614*EFEITO!$Y$567</f>
        <v>22511.102519569537</v>
      </c>
      <c r="K614" s="83">
        <f ca="1">EFEITO!$L$614*EFEITO!$Z$567</f>
        <v>26068.346038129755</v>
      </c>
      <c r="L614" s="83">
        <f>EFEITO!$N$614*EFEITO!$AA$567</f>
        <v>43766.190066624455</v>
      </c>
      <c r="M614" s="83">
        <f ca="1">$J$614-EFEITO!$K$614*EFEITO!$Y$614</f>
        <v>900.44410078278088</v>
      </c>
      <c r="N614" s="83">
        <f ca="1">$K$614-EFEITO!$M$614*EFEITO!$Z$614</f>
        <v>1042.7338415251943</v>
      </c>
      <c r="O614" s="83">
        <f>$L$614-EFEITO!$O$614*EFEITO!$AA$614</f>
        <v>1750.6476026649834</v>
      </c>
      <c r="P614" s="61"/>
      <c r="Q614" s="61"/>
      <c r="R614" s="61"/>
      <c r="S614" s="61"/>
      <c r="T614" s="61"/>
      <c r="U614" s="61"/>
      <c r="V614" s="61"/>
      <c r="W614" s="61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spans="1:36" ht="11.25" customHeight="1" x14ac:dyDescent="0.2">
      <c r="A615" s="57" t="s">
        <v>21</v>
      </c>
      <c r="B615" s="57" t="s">
        <v>35</v>
      </c>
      <c r="C615" s="57" t="s">
        <v>44</v>
      </c>
      <c r="D615" s="57" t="s">
        <v>47</v>
      </c>
      <c r="E615" s="57" t="s">
        <v>25</v>
      </c>
      <c r="F615" s="57" t="s">
        <v>25</v>
      </c>
      <c r="G615" s="57" t="s">
        <v>25</v>
      </c>
      <c r="H615" s="57" t="s">
        <v>38</v>
      </c>
      <c r="I615" s="82">
        <v>44256</v>
      </c>
      <c r="J615" s="83">
        <f ca="1">EFEITO!$J$615*EFEITO!$Y$567</f>
        <v>5524.0010438092622</v>
      </c>
      <c r="K615" s="83">
        <f ca="1">EFEITO!$L$615*EFEITO!$Z$567</f>
        <v>6770.0250949078372</v>
      </c>
      <c r="L615" s="83">
        <f>EFEITO!$N$615*EFEITO!$AA$567</f>
        <v>11366.206533631363</v>
      </c>
      <c r="M615" s="83">
        <f ca="1">$J$615-EFEITO!$K$615*EFEITO!$Y$615</f>
        <v>220.96004175237067</v>
      </c>
      <c r="N615" s="83">
        <f ca="1">$K$615-EFEITO!$M$615*EFEITO!$Z$615</f>
        <v>270.80100379631403</v>
      </c>
      <c r="O615" s="83">
        <f>$L$615-EFEITO!$O$615*EFEITO!$AA$615</f>
        <v>454.64826134525538</v>
      </c>
      <c r="P615" s="61"/>
      <c r="Q615" s="61"/>
      <c r="R615" s="61"/>
      <c r="S615" s="61"/>
      <c r="T615" s="61"/>
      <c r="U615" s="61"/>
      <c r="V615" s="61"/>
      <c r="W615" s="61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spans="1:36" ht="11.25" customHeight="1" x14ac:dyDescent="0.2">
      <c r="A616" s="57" t="s">
        <v>28</v>
      </c>
      <c r="B616" s="57" t="s">
        <v>35</v>
      </c>
      <c r="C616" s="57" t="s">
        <v>44</v>
      </c>
      <c r="D616" s="57" t="s">
        <v>47</v>
      </c>
      <c r="E616" s="57" t="s">
        <v>25</v>
      </c>
      <c r="F616" s="57" t="s">
        <v>25</v>
      </c>
      <c r="G616" s="57" t="s">
        <v>25</v>
      </c>
      <c r="H616" s="57" t="s">
        <v>38</v>
      </c>
      <c r="I616" s="82">
        <v>44256</v>
      </c>
      <c r="J616" s="83">
        <f ca="1">EFEITO!$J$616*EFEITO!$Y$567</f>
        <v>22926.200863902024</v>
      </c>
      <c r="K616" s="83">
        <f ca="1">EFEITO!$L$616*EFEITO!$Z$567</f>
        <v>28999.804819735651</v>
      </c>
      <c r="L616" s="83">
        <f>EFEITO!$N$616*EFEITO!$AA$567</f>
        <v>48687.82115210178</v>
      </c>
      <c r="M616" s="83">
        <f ca="1">$J$616-EFEITO!$K$616*EFEITO!$Y$616</f>
        <v>917.04803455607907</v>
      </c>
      <c r="N616" s="83">
        <f ca="1">$K$616-EFEITO!$M$616*EFEITO!$Z$616</f>
        <v>1159.9921927894284</v>
      </c>
      <c r="O616" s="83">
        <f>$L$616-EFEITO!$O$616*EFEITO!$AA$616</f>
        <v>1947.5128460840788</v>
      </c>
      <c r="P616" s="61"/>
      <c r="Q616" s="61"/>
      <c r="R616" s="61"/>
      <c r="S616" s="61"/>
      <c r="T616" s="61"/>
      <c r="U616" s="61"/>
      <c r="V616" s="61"/>
      <c r="W616" s="61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spans="1:36" ht="11.25" customHeight="1" x14ac:dyDescent="0.2">
      <c r="A617" s="57" t="s">
        <v>21</v>
      </c>
      <c r="B617" s="57" t="s">
        <v>35</v>
      </c>
      <c r="C617" s="57" t="s">
        <v>44</v>
      </c>
      <c r="D617" s="57" t="s">
        <v>47</v>
      </c>
      <c r="E617" s="57" t="s">
        <v>25</v>
      </c>
      <c r="F617" s="57" t="s">
        <v>25</v>
      </c>
      <c r="G617" s="57" t="s">
        <v>25</v>
      </c>
      <c r="H617" s="57" t="s">
        <v>38</v>
      </c>
      <c r="I617" s="82">
        <v>44287</v>
      </c>
      <c r="J617" s="83">
        <f ca="1">EFEITO!$J$617*EFEITO!$Y$567</f>
        <v>5268.5559088354239</v>
      </c>
      <c r="K617" s="83">
        <f ca="1">EFEITO!$L$617*EFEITO!$Z$567</f>
        <v>6627.4627743031824</v>
      </c>
      <c r="L617" s="83">
        <f>EFEITO!$N$617*EFEITO!$AA$567</f>
        <v>11126.858413470763</v>
      </c>
      <c r="M617" s="83">
        <f ca="1">$J$617-EFEITO!$K$617*EFEITO!$Y$617</f>
        <v>210.74223635341696</v>
      </c>
      <c r="N617" s="83">
        <f ca="1">$K$617-EFEITO!$M$617*EFEITO!$Z$617</f>
        <v>265.09851097212777</v>
      </c>
      <c r="O617" s="83">
        <f>$L$617-EFEITO!$O$617*EFEITO!$AA$617</f>
        <v>445.07433653883163</v>
      </c>
      <c r="P617" s="61"/>
      <c r="Q617" s="61"/>
      <c r="R617" s="61"/>
      <c r="S617" s="61"/>
      <c r="T617" s="61"/>
      <c r="U617" s="61"/>
      <c r="V617" s="61"/>
      <c r="W617" s="61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spans="1:36" ht="11.25" customHeight="1" x14ac:dyDescent="0.2">
      <c r="A618" s="57" t="s">
        <v>28</v>
      </c>
      <c r="B618" s="57" t="s">
        <v>35</v>
      </c>
      <c r="C618" s="57" t="s">
        <v>44</v>
      </c>
      <c r="D618" s="57" t="s">
        <v>47</v>
      </c>
      <c r="E618" s="57" t="s">
        <v>25</v>
      </c>
      <c r="F618" s="57" t="s">
        <v>25</v>
      </c>
      <c r="G618" s="57" t="s">
        <v>25</v>
      </c>
      <c r="H618" s="57" t="s">
        <v>38</v>
      </c>
      <c r="I618" s="82">
        <v>44287</v>
      </c>
      <c r="J618" s="83">
        <f ca="1">EFEITO!$J$618*EFEITO!$Y$567</f>
        <v>22223.726742723968</v>
      </c>
      <c r="K618" s="83">
        <f ca="1">EFEITO!$L$618*EFEITO!$Z$567</f>
        <v>26049.472539420865</v>
      </c>
      <c r="L618" s="83">
        <f>EFEITO!$N$618*EFEITO!$AA$567</f>
        <v>43734.50331785615</v>
      </c>
      <c r="M618" s="83">
        <f ca="1">$J$618-EFEITO!$K$618*EFEITO!$Y$618</f>
        <v>888.94906970895681</v>
      </c>
      <c r="N618" s="83">
        <f ca="1">$K$618-EFEITO!$M$618*EFEITO!$Z$618</f>
        <v>1041.9789015768365</v>
      </c>
      <c r="O618" s="83">
        <f>$L$618-EFEITO!$O$618*EFEITO!$AA$618</f>
        <v>1749.3801327142501</v>
      </c>
      <c r="P618" s="61"/>
      <c r="Q618" s="61"/>
      <c r="R618" s="61"/>
      <c r="S618" s="61"/>
      <c r="T618" s="61"/>
      <c r="U618" s="61"/>
      <c r="V618" s="61"/>
      <c r="W618" s="61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spans="1:36" ht="11.25" customHeight="1" x14ac:dyDescent="0.2">
      <c r="A619" s="57" t="s">
        <v>21</v>
      </c>
      <c r="B619" s="57" t="s">
        <v>35</v>
      </c>
      <c r="C619" s="57" t="s">
        <v>44</v>
      </c>
      <c r="D619" s="57" t="s">
        <v>47</v>
      </c>
      <c r="E619" s="57" t="s">
        <v>25</v>
      </c>
      <c r="F619" s="57" t="s">
        <v>25</v>
      </c>
      <c r="G619" s="57" t="s">
        <v>25</v>
      </c>
      <c r="H619" s="57" t="s">
        <v>38</v>
      </c>
      <c r="I619" s="82">
        <v>44317</v>
      </c>
      <c r="J619" s="83">
        <f ca="1">EFEITO!$J$619*EFEITO!$Y$567</f>
        <v>5396.2784763223426</v>
      </c>
      <c r="K619" s="83">
        <f ca="1">EFEITO!$L$619*EFEITO!$Z$567</f>
        <v>6142.8182895998862</v>
      </c>
      <c r="L619" s="83">
        <f>EFEITO!$N$619*EFEITO!$AA$567</f>
        <v>10313.187971884608</v>
      </c>
      <c r="M619" s="83">
        <f ca="1">$J$619-EFEITO!$K$619*EFEITO!$Y$619</f>
        <v>215.8511390528929</v>
      </c>
      <c r="N619" s="83">
        <f ca="1">$K$619-EFEITO!$M$619*EFEITO!$Z$619</f>
        <v>245.71273158399617</v>
      </c>
      <c r="O619" s="83">
        <f>$L$619-EFEITO!$O$619*EFEITO!$AA$619</f>
        <v>412.52751887538579</v>
      </c>
      <c r="P619" s="61"/>
      <c r="Q619" s="61"/>
      <c r="R619" s="61"/>
      <c r="S619" s="61"/>
      <c r="T619" s="61"/>
      <c r="U619" s="61"/>
      <c r="V619" s="61"/>
      <c r="W619" s="61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spans="1:36" ht="11.25" customHeight="1" x14ac:dyDescent="0.2">
      <c r="A620" s="57" t="s">
        <v>28</v>
      </c>
      <c r="B620" s="57" t="s">
        <v>35</v>
      </c>
      <c r="C620" s="57" t="s">
        <v>44</v>
      </c>
      <c r="D620" s="57" t="s">
        <v>47</v>
      </c>
      <c r="E620" s="57" t="s">
        <v>25</v>
      </c>
      <c r="F620" s="57" t="s">
        <v>25</v>
      </c>
      <c r="G620" s="57" t="s">
        <v>25</v>
      </c>
      <c r="H620" s="57" t="s">
        <v>38</v>
      </c>
      <c r="I620" s="82">
        <v>44317</v>
      </c>
      <c r="J620" s="83">
        <f ca="1">EFEITO!$J$620*EFEITO!$Y$567</f>
        <v>18583.633569346766</v>
      </c>
      <c r="K620" s="83">
        <f ca="1">EFEITO!$L$620*EFEITO!$Z$567</f>
        <v>31889.472282771854</v>
      </c>
      <c r="L620" s="83">
        <f>EFEITO!$N$620*EFEITO!$AA$567</f>
        <v>53539.288722449273</v>
      </c>
      <c r="M620" s="83">
        <f ca="1">$J$620-EFEITO!$K$620*EFEITO!$Y$620</f>
        <v>743.34534277387138</v>
      </c>
      <c r="N620" s="83">
        <f ca="1">$K$620-EFEITO!$M$620*EFEITO!$Z$620</f>
        <v>1275.5788913108736</v>
      </c>
      <c r="O620" s="83">
        <f>$L$620-EFEITO!$O$620*EFEITO!$AA$620</f>
        <v>2141.5715488979768</v>
      </c>
      <c r="P620" s="61"/>
      <c r="Q620" s="61"/>
      <c r="R620" s="61"/>
      <c r="S620" s="61"/>
      <c r="T620" s="61"/>
      <c r="U620" s="61"/>
      <c r="V620" s="61"/>
      <c r="W620" s="61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spans="1:36" ht="11.25" customHeight="1" x14ac:dyDescent="0.2">
      <c r="A621" s="57" t="s">
        <v>21</v>
      </c>
      <c r="B621" s="57" t="s">
        <v>35</v>
      </c>
      <c r="C621" s="57" t="s">
        <v>44</v>
      </c>
      <c r="D621" s="57" t="s">
        <v>47</v>
      </c>
      <c r="E621" s="57" t="s">
        <v>25</v>
      </c>
      <c r="F621" s="57" t="s">
        <v>25</v>
      </c>
      <c r="G621" s="57" t="s">
        <v>25</v>
      </c>
      <c r="H621" s="57" t="s">
        <v>38</v>
      </c>
      <c r="I621" s="82">
        <v>44348</v>
      </c>
      <c r="J621" s="83">
        <f ca="1">EFEITO!$J$621*EFEITO!$Y$567</f>
        <v>4789.596280759476</v>
      </c>
      <c r="K621" s="83">
        <f ca="1">EFEITO!$L$621*EFEITO!$Z$567</f>
        <v>5960.6553243828266</v>
      </c>
      <c r="L621" s="83">
        <f>EFEITO!$N$621*EFEITO!$AA$567</f>
        <v>10007.354262790506</v>
      </c>
      <c r="M621" s="83">
        <f ca="1">$J$621-EFEITO!$K$621*EFEITO!$Y$621</f>
        <v>191.58385123037897</v>
      </c>
      <c r="N621" s="83">
        <f ca="1">$K$621-EFEITO!$M$621*EFEITO!$Z$621</f>
        <v>238.42621297531423</v>
      </c>
      <c r="O621" s="83">
        <f>$L$621-EFEITO!$O$621*EFEITO!$AA$621</f>
        <v>400.29417051162091</v>
      </c>
      <c r="P621" s="61"/>
      <c r="Q621" s="61"/>
      <c r="R621" s="61"/>
      <c r="S621" s="61"/>
      <c r="T621" s="61"/>
      <c r="U621" s="61"/>
      <c r="V621" s="61"/>
      <c r="W621" s="61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spans="1:36" ht="11.25" customHeight="1" x14ac:dyDescent="0.2">
      <c r="A622" s="57" t="s">
        <v>28</v>
      </c>
      <c r="B622" s="57" t="s">
        <v>35</v>
      </c>
      <c r="C622" s="57" t="s">
        <v>44</v>
      </c>
      <c r="D622" s="57" t="s">
        <v>47</v>
      </c>
      <c r="E622" s="57" t="s">
        <v>25</v>
      </c>
      <c r="F622" s="57" t="s">
        <v>25</v>
      </c>
      <c r="G622" s="57" t="s">
        <v>25</v>
      </c>
      <c r="H622" s="57" t="s">
        <v>38</v>
      </c>
      <c r="I622" s="82">
        <v>44348</v>
      </c>
      <c r="J622" s="83">
        <f ca="1">EFEITO!$J$622*EFEITO!$Y$567</f>
        <v>23660.605626951812</v>
      </c>
      <c r="K622" s="83">
        <f ca="1">EFEITO!$L$622*EFEITO!$Z$567</f>
        <v>26983.710725510944</v>
      </c>
      <c r="L622" s="83">
        <f>EFEITO!$N$622*EFEITO!$AA$567</f>
        <v>45302.997381887319</v>
      </c>
      <c r="M622" s="83">
        <f ca="1">$J$622-EFEITO!$K$622*EFEITO!$Y$622</f>
        <v>946.4242250780735</v>
      </c>
      <c r="N622" s="83">
        <f ca="1">$K$622-EFEITO!$M$622*EFEITO!$Z$622</f>
        <v>1079.3484290204397</v>
      </c>
      <c r="O622" s="83">
        <f>$L$622-EFEITO!$O$622*EFEITO!$AA$622</f>
        <v>1812.1198952755003</v>
      </c>
      <c r="P622" s="61"/>
      <c r="Q622" s="61"/>
      <c r="R622" s="61"/>
      <c r="S622" s="61"/>
      <c r="T622" s="61"/>
      <c r="U622" s="61"/>
      <c r="V622" s="61"/>
      <c r="W622" s="61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spans="1:36" ht="11.25" customHeight="1" x14ac:dyDescent="0.2">
      <c r="A623" s="57" t="s">
        <v>21</v>
      </c>
      <c r="B623" s="57" t="s">
        <v>35</v>
      </c>
      <c r="C623" s="57" t="s">
        <v>44</v>
      </c>
      <c r="D623" s="57" t="s">
        <v>47</v>
      </c>
      <c r="E623" s="57" t="s">
        <v>25</v>
      </c>
      <c r="F623" s="57" t="s">
        <v>25</v>
      </c>
      <c r="G623" s="57" t="s">
        <v>25</v>
      </c>
      <c r="H623" s="57" t="s">
        <v>38</v>
      </c>
      <c r="I623" s="82">
        <v>44378</v>
      </c>
      <c r="J623" s="83">
        <f ca="1">EFEITO!$J$623*EFEITO!$Y$567</f>
        <v>5587.8623275527216</v>
      </c>
      <c r="K623" s="83">
        <f ca="1">EFEITO!$L$623*EFEITO!$Z$567</f>
        <v>6811.8164134775243</v>
      </c>
      <c r="L623" s="83">
        <f>EFEITO!$N$623*EFEITO!$AA$567</f>
        <v>11436.370048761186</v>
      </c>
      <c r="M623" s="83">
        <f ca="1">$J$623-EFEITO!$K$623*EFEITO!$Y$623</f>
        <v>223.51449310210864</v>
      </c>
      <c r="N623" s="83">
        <f ca="1">$K$623-EFEITO!$M$623*EFEITO!$Z$623</f>
        <v>272.47265653910108</v>
      </c>
      <c r="O623" s="83">
        <f>$L$623-EFEITO!$O$623*EFEITO!$AA$623</f>
        <v>457.45480195044911</v>
      </c>
      <c r="P623" s="61"/>
      <c r="Q623" s="61"/>
      <c r="R623" s="61"/>
      <c r="S623" s="61"/>
      <c r="T623" s="61"/>
      <c r="U623" s="61"/>
      <c r="V623" s="61"/>
      <c r="W623" s="61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spans="1:36" ht="11.25" customHeight="1" x14ac:dyDescent="0.2">
      <c r="A624" s="57" t="s">
        <v>28</v>
      </c>
      <c r="B624" s="57" t="s">
        <v>35</v>
      </c>
      <c r="C624" s="57" t="s">
        <v>44</v>
      </c>
      <c r="D624" s="57" t="s">
        <v>47</v>
      </c>
      <c r="E624" s="57" t="s">
        <v>25</v>
      </c>
      <c r="F624" s="57" t="s">
        <v>25</v>
      </c>
      <c r="G624" s="57" t="s">
        <v>25</v>
      </c>
      <c r="H624" s="57" t="s">
        <v>38</v>
      </c>
      <c r="I624" s="82">
        <v>44378</v>
      </c>
      <c r="J624" s="83">
        <f ca="1">EFEITO!$J$624*EFEITO!$Y$567</f>
        <v>25959.61184171636</v>
      </c>
      <c r="K624" s="83">
        <f ca="1">EFEITO!$L$624*EFEITO!$Z$567</f>
        <v>28160.608180715335</v>
      </c>
      <c r="L624" s="83">
        <f>EFEITO!$N$624*EFEITO!$AA$567</f>
        <v>47278.892501511</v>
      </c>
      <c r="M624" s="83">
        <f ca="1">$J$624-EFEITO!$K$624*EFEITO!$Y$624</f>
        <v>1038.3844736686551</v>
      </c>
      <c r="N624" s="83">
        <f ca="1">$K$624-EFEITO!$M$624*EFEITO!$Z$624</f>
        <v>1126.4243272286149</v>
      </c>
      <c r="O624" s="83">
        <f>$L$624-EFEITO!$O$624*EFEITO!$AA$624</f>
        <v>1891.1557000604444</v>
      </c>
      <c r="P624" s="61"/>
      <c r="Q624" s="61"/>
      <c r="R624" s="61"/>
      <c r="S624" s="61"/>
      <c r="T624" s="61"/>
      <c r="U624" s="61"/>
      <c r="V624" s="61"/>
      <c r="W624" s="61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spans="1:36" ht="11.25" customHeight="1" x14ac:dyDescent="0.2">
      <c r="A625" s="57" t="s">
        <v>21</v>
      </c>
      <c r="B625" s="57" t="s">
        <v>35</v>
      </c>
      <c r="C625" s="57" t="s">
        <v>44</v>
      </c>
      <c r="D625" s="57" t="s">
        <v>47</v>
      </c>
      <c r="E625" s="57" t="s">
        <v>25</v>
      </c>
      <c r="F625" s="57" t="s">
        <v>25</v>
      </c>
      <c r="G625" s="57" t="s">
        <v>25</v>
      </c>
      <c r="H625" s="57" t="s">
        <v>38</v>
      </c>
      <c r="I625" s="82">
        <v>44409</v>
      </c>
      <c r="J625" s="83">
        <f ca="1">EFEITO!$J$625*EFEITO!$Y$567</f>
        <v>6066.8219556286695</v>
      </c>
      <c r="K625" s="83">
        <f ca="1">EFEITO!$L$625*EFEITO!$Z$567</f>
        <v>7305.0550806286192</v>
      </c>
      <c r="L625" s="83">
        <f>EFEITO!$N$625*EFEITO!$AA$567</f>
        <v>12264.469277732909</v>
      </c>
      <c r="M625" s="83">
        <f ca="1">$J$625-EFEITO!$K$625*EFEITO!$Y$625</f>
        <v>242.67287822514663</v>
      </c>
      <c r="N625" s="83">
        <f ca="1">$K$625-EFEITO!$M$625*EFEITO!$Z$625</f>
        <v>292.20220322514524</v>
      </c>
      <c r="O625" s="83">
        <f>$L$625-EFEITO!$O$625*EFEITO!$AA$625</f>
        <v>490.57877110931622</v>
      </c>
      <c r="P625" s="61"/>
      <c r="Q625" s="61"/>
      <c r="R625" s="61"/>
      <c r="S625" s="61"/>
      <c r="T625" s="61"/>
      <c r="U625" s="61"/>
      <c r="V625" s="61"/>
      <c r="W625" s="61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spans="1:36" ht="11.25" customHeight="1" x14ac:dyDescent="0.2">
      <c r="A626" s="57" t="s">
        <v>28</v>
      </c>
      <c r="B626" s="57" t="s">
        <v>35</v>
      </c>
      <c r="C626" s="57" t="s">
        <v>44</v>
      </c>
      <c r="D626" s="57" t="s">
        <v>47</v>
      </c>
      <c r="E626" s="57" t="s">
        <v>25</v>
      </c>
      <c r="F626" s="57" t="s">
        <v>25</v>
      </c>
      <c r="G626" s="57" t="s">
        <v>25</v>
      </c>
      <c r="H626" s="57" t="s">
        <v>38</v>
      </c>
      <c r="I626" s="82">
        <v>44409</v>
      </c>
      <c r="J626" s="83">
        <f ca="1">EFEITO!$J$626*EFEITO!$Y$567</f>
        <v>25672.236064870791</v>
      </c>
      <c r="K626" s="83">
        <f ca="1">EFEITO!$L$626*EFEITO!$Z$567</f>
        <v>31691.300546328501</v>
      </c>
      <c r="L626" s="83">
        <f>EFEITO!$N$626*EFEITO!$AA$567</f>
        <v>53206.577860382051</v>
      </c>
      <c r="M626" s="83">
        <f ca="1">$J$626-EFEITO!$K$626*EFEITO!$Y$626</f>
        <v>1026.8894425948311</v>
      </c>
      <c r="N626" s="83">
        <f ca="1">$K$626-EFEITO!$M$626*EFEITO!$Z$626</f>
        <v>1267.6520218531405</v>
      </c>
      <c r="O626" s="83">
        <f>$L$626-EFEITO!$O$626*EFEITO!$AA$626</f>
        <v>2128.2631144152911</v>
      </c>
      <c r="P626" s="61"/>
      <c r="Q626" s="61"/>
      <c r="R626" s="61"/>
      <c r="S626" s="61"/>
      <c r="T626" s="61"/>
      <c r="U626" s="61"/>
      <c r="V626" s="61"/>
      <c r="W626" s="61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spans="1:36" ht="11.25" customHeight="1" x14ac:dyDescent="0.2">
      <c r="A627" s="57" t="s">
        <v>21</v>
      </c>
      <c r="B627" s="57" t="s">
        <v>35</v>
      </c>
      <c r="C627" s="57" t="s">
        <v>44</v>
      </c>
      <c r="D627" s="57" t="s">
        <v>47</v>
      </c>
      <c r="E627" s="57" t="s">
        <v>25</v>
      </c>
      <c r="F627" s="57" t="s">
        <v>25</v>
      </c>
      <c r="G627" s="57" t="s">
        <v>25</v>
      </c>
      <c r="H627" s="57" t="s">
        <v>38</v>
      </c>
      <c r="I627" s="82">
        <v>44440</v>
      </c>
      <c r="J627" s="83">
        <f ca="1">EFEITO!$J$627*EFEITO!$Y$567</f>
        <v>16252.696712710489</v>
      </c>
      <c r="K627" s="83">
        <f ca="1">EFEITO!$L$627*EFEITO!$Z$567</f>
        <v>7279.7780734292128</v>
      </c>
      <c r="L627" s="83">
        <f>EFEITO!$N$627*EFEITO!$AA$567</f>
        <v>12222.031667775356</v>
      </c>
      <c r="M627" s="83">
        <f ca="1">$J$627-EFEITO!$K$627*EFEITO!$Y$627</f>
        <v>650.10786850841941</v>
      </c>
      <c r="N627" s="83">
        <f ca="1">$K$627-EFEITO!$M$627*EFEITO!$Z$627</f>
        <v>291.19112293716898</v>
      </c>
      <c r="O627" s="83">
        <f>$L$627-EFEITO!$O$627*EFEITO!$AA$627</f>
        <v>488.88126671101418</v>
      </c>
      <c r="P627" s="61"/>
      <c r="Q627" s="61"/>
      <c r="R627" s="61"/>
      <c r="S627" s="61"/>
      <c r="T627" s="61"/>
      <c r="U627" s="61"/>
      <c r="V627" s="61"/>
      <c r="W627" s="61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spans="1:36" ht="11.25" customHeight="1" x14ac:dyDescent="0.2">
      <c r="A628" s="57" t="s">
        <v>28</v>
      </c>
      <c r="B628" s="57" t="s">
        <v>35</v>
      </c>
      <c r="C628" s="57" t="s">
        <v>44</v>
      </c>
      <c r="D628" s="57" t="s">
        <v>47</v>
      </c>
      <c r="E628" s="57" t="s">
        <v>25</v>
      </c>
      <c r="F628" s="57" t="s">
        <v>25</v>
      </c>
      <c r="G628" s="57" t="s">
        <v>25</v>
      </c>
      <c r="H628" s="57" t="s">
        <v>38</v>
      </c>
      <c r="I628" s="82">
        <v>44440</v>
      </c>
      <c r="J628" s="83">
        <f ca="1">EFEITO!$J$628*EFEITO!$Y$567</f>
        <v>25257.137720538303</v>
      </c>
      <c r="K628" s="83">
        <f ca="1">EFEITO!$L$628*EFEITO!$Z$567</f>
        <v>24751.24544965932</v>
      </c>
      <c r="L628" s="83">
        <f>EFEITO!$N$628*EFEITO!$AA$567</f>
        <v>41554.907670436209</v>
      </c>
      <c r="M628" s="83">
        <f ca="1">$J$628-EFEITO!$K$628*EFEITO!$Y$628</f>
        <v>1010.2855088215329</v>
      </c>
      <c r="N628" s="83">
        <f ca="1">$K$628-EFEITO!$M$628*EFEITO!$Z$628</f>
        <v>990.04981798637527</v>
      </c>
      <c r="O628" s="83">
        <f>$L$628-EFEITO!$O$628*EFEITO!$AA$628</f>
        <v>1662.1963068174518</v>
      </c>
      <c r="P628" s="61"/>
      <c r="Q628" s="61"/>
      <c r="R628" s="61"/>
      <c r="S628" s="61"/>
      <c r="T628" s="61"/>
      <c r="U628" s="61"/>
      <c r="V628" s="61"/>
      <c r="W628" s="61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spans="1:36" ht="11.25" customHeight="1" x14ac:dyDescent="0.2">
      <c r="A629" s="57" t="s">
        <v>59</v>
      </c>
      <c r="B629" s="57" t="s">
        <v>35</v>
      </c>
      <c r="C629" s="57" t="s">
        <v>44</v>
      </c>
      <c r="D629" s="57" t="s">
        <v>47</v>
      </c>
      <c r="E629" s="57" t="s">
        <v>25</v>
      </c>
      <c r="F629" s="57" t="s">
        <v>25</v>
      </c>
      <c r="G629" s="57" t="s">
        <v>25</v>
      </c>
      <c r="H629" s="57" t="s">
        <v>38</v>
      </c>
      <c r="I629" s="82">
        <v>44470</v>
      </c>
      <c r="J629" s="83">
        <f ca="1">EFEITO!$J$629*EFEITO!$Y$567</f>
        <v>16252.696712710489</v>
      </c>
      <c r="K629" s="83">
        <f ca="1">EFEITO!$L$629*EFEITO!$Z$567</f>
        <v>7279.7780734292128</v>
      </c>
      <c r="L629" s="83">
        <f>EFEITO!$N$629*EFEITO!$AA$567</f>
        <v>12222.031667775356</v>
      </c>
      <c r="M629" s="83">
        <f ca="1">$J$629-EFEITO!$K$629*EFEITO!$Y$629</f>
        <v>650.10786850841941</v>
      </c>
      <c r="N629" s="83">
        <f ca="1">$K$629-EFEITO!$M$629*EFEITO!$Z$629</f>
        <v>291.19112293716898</v>
      </c>
      <c r="O629" s="83">
        <f>$L$629-EFEITO!$O$629*EFEITO!$AA$629</f>
        <v>488.88126671101418</v>
      </c>
      <c r="P629" s="61"/>
      <c r="Q629" s="61"/>
      <c r="R629" s="61"/>
      <c r="S629" s="61"/>
      <c r="T629" s="61"/>
      <c r="U629" s="61"/>
      <c r="V629" s="61"/>
      <c r="W629" s="61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spans="1:36" ht="11.25" customHeight="1" x14ac:dyDescent="0.2">
      <c r="A630" s="57" t="s">
        <v>59</v>
      </c>
      <c r="B630" s="57" t="s">
        <v>35</v>
      </c>
      <c r="C630" s="57" t="s">
        <v>44</v>
      </c>
      <c r="D630" s="57" t="s">
        <v>47</v>
      </c>
      <c r="E630" s="57" t="s">
        <v>25</v>
      </c>
      <c r="F630" s="57" t="s">
        <v>25</v>
      </c>
      <c r="G630" s="57" t="s">
        <v>25</v>
      </c>
      <c r="H630" s="57" t="s">
        <v>38</v>
      </c>
      <c r="I630" s="82">
        <v>44470</v>
      </c>
      <c r="J630" s="83">
        <f ca="1">EFEITO!$J$630*EFEITO!$Y$567</f>
        <v>25257.137720538303</v>
      </c>
      <c r="K630" s="83">
        <f ca="1">EFEITO!$L$630*EFEITO!$Z$567</f>
        <v>24751.24544965932</v>
      </c>
      <c r="L630" s="83">
        <f>EFEITO!$N$630*EFEITO!$AA$567</f>
        <v>41554.907670436209</v>
      </c>
      <c r="M630" s="83">
        <f ca="1">$J$630-EFEITO!$K$630*EFEITO!$Y$630</f>
        <v>1010.2855088215329</v>
      </c>
      <c r="N630" s="83">
        <f ca="1">$K$630-EFEITO!$M$630*EFEITO!$Z$630</f>
        <v>990.04981798637527</v>
      </c>
      <c r="O630" s="83">
        <f>$L$630-EFEITO!$O$630*EFEITO!$AA$630</f>
        <v>1662.1963068174518</v>
      </c>
      <c r="P630" s="61"/>
      <c r="Q630" s="61"/>
      <c r="R630" s="61"/>
      <c r="S630" s="61"/>
      <c r="T630" s="61"/>
      <c r="U630" s="61"/>
      <c r="V630" s="61"/>
      <c r="W630" s="61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spans="1:36" ht="11.25" customHeight="1" x14ac:dyDescent="0.2">
      <c r="A631" s="57" t="s">
        <v>21</v>
      </c>
      <c r="B631" s="57" t="s">
        <v>35</v>
      </c>
      <c r="C631" s="57" t="s">
        <v>44</v>
      </c>
      <c r="D631" s="57" t="s">
        <v>47</v>
      </c>
      <c r="E631" s="57" t="s">
        <v>25</v>
      </c>
      <c r="F631" s="57" t="s">
        <v>25</v>
      </c>
      <c r="G631" s="57" t="s">
        <v>25</v>
      </c>
      <c r="H631" s="57" t="s">
        <v>37</v>
      </c>
      <c r="I631" s="82">
        <v>44136</v>
      </c>
      <c r="J631" s="83">
        <f ca="1">EFEITO!$J$631*EFEITO!$Y$606</f>
        <v>6342.5696292437206</v>
      </c>
      <c r="K631" s="83">
        <f ca="1">EFEITO!$L$631*EFEITO!$Z$606</f>
        <v>607.8277664550734</v>
      </c>
      <c r="L631" s="83">
        <f>EFEITO!$N$631*EFEITO!$AA$606</f>
        <v>1638.7631445177556</v>
      </c>
      <c r="M631" s="83">
        <f ca="1">$J$631-EFEITO!$K$631*EFEITO!$Y$631</f>
        <v>253.7027851697494</v>
      </c>
      <c r="N631" s="83">
        <f ca="1">$K$631-EFEITO!$M$631*EFEITO!$Z$631</f>
        <v>24.313110658202959</v>
      </c>
      <c r="O631" s="83">
        <f>$L$631-EFEITO!$O$631*EFEITO!$AA$631</f>
        <v>65.550525780710359</v>
      </c>
      <c r="P631" s="61"/>
      <c r="Q631" s="61"/>
      <c r="R631" s="61"/>
      <c r="S631" s="61"/>
      <c r="T631" s="61"/>
      <c r="U631" s="61"/>
      <c r="V631" s="61"/>
      <c r="W631" s="61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spans="1:36" ht="11.25" customHeight="1" x14ac:dyDescent="0.2">
      <c r="A632" s="57" t="s">
        <v>28</v>
      </c>
      <c r="B632" s="57" t="s">
        <v>35</v>
      </c>
      <c r="C632" s="57" t="s">
        <v>44</v>
      </c>
      <c r="D632" s="57" t="s">
        <v>47</v>
      </c>
      <c r="E632" s="57" t="s">
        <v>25</v>
      </c>
      <c r="F632" s="57" t="s">
        <v>25</v>
      </c>
      <c r="G632" s="57" t="s">
        <v>25</v>
      </c>
      <c r="H632" s="57" t="s">
        <v>37</v>
      </c>
      <c r="I632" s="82">
        <v>44136</v>
      </c>
      <c r="J632" s="83">
        <f ca="1">EFEITO!$J$632*EFEITO!$Y$606</f>
        <v>43923.776591304646</v>
      </c>
      <c r="K632" s="83">
        <f ca="1">EFEITO!$L$632*EFEITO!$Z$606</f>
        <v>4772.298959248039</v>
      </c>
      <c r="L632" s="83">
        <f>EFEITO!$N$632*EFEITO!$AA$606</f>
        <v>12866.585043732419</v>
      </c>
      <c r="M632" s="83">
        <f ca="1">$J$632-EFEITO!$K$632*EFEITO!$Y$632</f>
        <v>1756.9510636521882</v>
      </c>
      <c r="N632" s="83">
        <f ca="1">$K$632-EFEITO!$M$632*EFEITO!$Z$632</f>
        <v>190.89195836992167</v>
      </c>
      <c r="O632" s="83">
        <f>$L$632-EFEITO!$O$632*EFEITO!$AA$632</f>
        <v>514.66340174929792</v>
      </c>
      <c r="P632" s="61"/>
      <c r="Q632" s="61"/>
      <c r="R632" s="61"/>
      <c r="S632" s="61"/>
      <c r="T632" s="61"/>
      <c r="U632" s="61"/>
      <c r="V632" s="61"/>
      <c r="W632" s="61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spans="1:36" ht="11.25" customHeight="1" x14ac:dyDescent="0.2">
      <c r="A633" s="57" t="s">
        <v>21</v>
      </c>
      <c r="B633" s="57" t="s">
        <v>35</v>
      </c>
      <c r="C633" s="57" t="s">
        <v>44</v>
      </c>
      <c r="D633" s="57" t="s">
        <v>47</v>
      </c>
      <c r="E633" s="57" t="s">
        <v>25</v>
      </c>
      <c r="F633" s="57" t="s">
        <v>25</v>
      </c>
      <c r="G633" s="57" t="s">
        <v>25</v>
      </c>
      <c r="H633" s="57" t="s">
        <v>37</v>
      </c>
      <c r="I633" s="82">
        <v>44166</v>
      </c>
      <c r="J633" s="83">
        <f ca="1">EFEITO!$J$633*EFEITO!$Y$606</f>
        <v>6105.4642225430207</v>
      </c>
      <c r="K633" s="83">
        <f ca="1">EFEITO!$L$633*EFEITO!$Z$606</f>
        <v>648.6080047367833</v>
      </c>
      <c r="L633" s="83">
        <f>EFEITO!$N$633*EFEITO!$AA$606</f>
        <v>1748.7106579564295</v>
      </c>
      <c r="M633" s="83">
        <f ca="1">$J$633-EFEITO!$K$633*EFEITO!$Y$633</f>
        <v>244.21856890172148</v>
      </c>
      <c r="N633" s="83">
        <f ca="1">$K$633-EFEITO!$M$633*EFEITO!$Z$633</f>
        <v>25.944320189471341</v>
      </c>
      <c r="O633" s="83">
        <f>$L$633-EFEITO!$O$633*EFEITO!$AA$633</f>
        <v>69.948426318257361</v>
      </c>
      <c r="P633" s="61"/>
      <c r="Q633" s="61"/>
      <c r="R633" s="61"/>
      <c r="S633" s="61"/>
      <c r="T633" s="61"/>
      <c r="U633" s="61"/>
      <c r="V633" s="61"/>
      <c r="W633" s="61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spans="1:36" ht="11.25" customHeight="1" x14ac:dyDescent="0.2">
      <c r="A634" s="57" t="s">
        <v>28</v>
      </c>
      <c r="B634" s="57" t="s">
        <v>35</v>
      </c>
      <c r="C634" s="57" t="s">
        <v>44</v>
      </c>
      <c r="D634" s="57" t="s">
        <v>47</v>
      </c>
      <c r="E634" s="57" t="s">
        <v>25</v>
      </c>
      <c r="F634" s="57" t="s">
        <v>25</v>
      </c>
      <c r="G634" s="57" t="s">
        <v>25</v>
      </c>
      <c r="H634" s="57" t="s">
        <v>37</v>
      </c>
      <c r="I634" s="82">
        <v>44166</v>
      </c>
      <c r="J634" s="83">
        <f ca="1">EFEITO!$J$634*EFEITO!$Y$606</f>
        <v>41671.275227647995</v>
      </c>
      <c r="K634" s="83">
        <f ca="1">EFEITO!$L$634*EFEITO!$Z$606</f>
        <v>3599.4458251955548</v>
      </c>
      <c r="L634" s="83">
        <f>EFEITO!$N$634*EFEITO!$AA$606</f>
        <v>9704.4582109507228</v>
      </c>
      <c r="M634" s="83">
        <f ca="1">$J$634-EFEITO!$K$634*EFEITO!$Y$634</f>
        <v>1666.8510091059215</v>
      </c>
      <c r="N634" s="83">
        <f ca="1">$K$634-EFEITO!$M$634*EFEITO!$Z$634</f>
        <v>143.97783300782248</v>
      </c>
      <c r="O634" s="83">
        <f>$L$634-EFEITO!$O$634*EFEITO!$AA$634</f>
        <v>388.1783284380308</v>
      </c>
      <c r="P634" s="61"/>
      <c r="Q634" s="61"/>
      <c r="R634" s="61"/>
      <c r="S634" s="61"/>
      <c r="T634" s="61"/>
      <c r="U634" s="61"/>
      <c r="V634" s="61"/>
      <c r="W634" s="61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spans="1:36" ht="11.25" customHeight="1" x14ac:dyDescent="0.2">
      <c r="A635" s="57" t="s">
        <v>21</v>
      </c>
      <c r="B635" s="57" t="s">
        <v>35</v>
      </c>
      <c r="C635" s="57" t="s">
        <v>44</v>
      </c>
      <c r="D635" s="57" t="s">
        <v>47</v>
      </c>
      <c r="E635" s="57" t="s">
        <v>25</v>
      </c>
      <c r="F635" s="57" t="s">
        <v>25</v>
      </c>
      <c r="G635" s="57" t="s">
        <v>25</v>
      </c>
      <c r="H635" s="57" t="s">
        <v>37</v>
      </c>
      <c r="I635" s="82">
        <v>44197</v>
      </c>
      <c r="J635" s="83">
        <f ca="1">EFEITO!$J$635*EFEITO!$Y$606</f>
        <v>6579.6750359444204</v>
      </c>
      <c r="K635" s="83">
        <f ca="1">EFEITO!$L$635*EFEITO!$Z$606</f>
        <v>646.24881739817192</v>
      </c>
      <c r="L635" s="83">
        <f>EFEITO!$N$635*EFEITO!$AA$606</f>
        <v>1742.3500580054317</v>
      </c>
      <c r="M635" s="83">
        <f ca="1">$J$635-EFEITO!$K$635*EFEITO!$Y$635</f>
        <v>263.18700143777733</v>
      </c>
      <c r="N635" s="83">
        <f ca="1">$K$635-EFEITO!$M$635*EFEITO!$Z$635</f>
        <v>25.849952695926845</v>
      </c>
      <c r="O635" s="83">
        <f>$L$635-EFEITO!$O$635*EFEITO!$AA$635</f>
        <v>69.694002320217578</v>
      </c>
      <c r="P635" s="61"/>
      <c r="Q635" s="61"/>
      <c r="R635" s="61"/>
      <c r="S635" s="61"/>
      <c r="T635" s="61"/>
      <c r="U635" s="61"/>
      <c r="V635" s="61"/>
      <c r="W635" s="61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spans="1:36" ht="11.25" customHeight="1" x14ac:dyDescent="0.2">
      <c r="A636" s="57" t="s">
        <v>28</v>
      </c>
      <c r="B636" s="57" t="s">
        <v>35</v>
      </c>
      <c r="C636" s="57" t="s">
        <v>44</v>
      </c>
      <c r="D636" s="57" t="s">
        <v>47</v>
      </c>
      <c r="E636" s="57" t="s">
        <v>25</v>
      </c>
      <c r="F636" s="57" t="s">
        <v>25</v>
      </c>
      <c r="G636" s="57" t="s">
        <v>25</v>
      </c>
      <c r="H636" s="57" t="s">
        <v>37</v>
      </c>
      <c r="I636" s="82">
        <v>44197</v>
      </c>
      <c r="J636" s="83">
        <f ca="1">EFEITO!$J$636*EFEITO!$Y$606</f>
        <v>42204.762392724573</v>
      </c>
      <c r="K636" s="83">
        <f ca="1">EFEITO!$L$636*EFEITO!$Z$606</f>
        <v>4003.8779403860672</v>
      </c>
      <c r="L636" s="83">
        <f>EFEITO!$N$636*EFEITO!$AA$606</f>
        <v>10794.846773978894</v>
      </c>
      <c r="M636" s="83">
        <f ca="1">$J$636-EFEITO!$K$636*EFEITO!$Y$636</f>
        <v>1688.1904957089864</v>
      </c>
      <c r="N636" s="83">
        <f ca="1">$K$636-EFEITO!$M$636*EFEITO!$Z$636</f>
        <v>160.15511761544303</v>
      </c>
      <c r="O636" s="83">
        <f>$L$636-EFEITO!$O$636*EFEITO!$AA$636</f>
        <v>431.79387095915627</v>
      </c>
      <c r="P636" s="61"/>
      <c r="Q636" s="61"/>
      <c r="R636" s="61"/>
      <c r="S636" s="61"/>
      <c r="T636" s="61"/>
      <c r="U636" s="61"/>
      <c r="V636" s="61"/>
      <c r="W636" s="61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spans="1:36" ht="11.25" customHeight="1" x14ac:dyDescent="0.2">
      <c r="A637" s="57" t="s">
        <v>21</v>
      </c>
      <c r="B637" s="57" t="s">
        <v>35</v>
      </c>
      <c r="C637" s="57" t="s">
        <v>44</v>
      </c>
      <c r="D637" s="57" t="s">
        <v>47</v>
      </c>
      <c r="E637" s="57" t="s">
        <v>25</v>
      </c>
      <c r="F637" s="57" t="s">
        <v>25</v>
      </c>
      <c r="G637" s="57" t="s">
        <v>25</v>
      </c>
      <c r="H637" s="57" t="s">
        <v>37</v>
      </c>
      <c r="I637" s="82">
        <v>44228</v>
      </c>
      <c r="J637" s="83">
        <f ca="1">EFEITO!$J$637*EFEITO!$Y$606</f>
        <v>6105.4642225430207</v>
      </c>
      <c r="K637" s="83">
        <f ca="1">EFEITO!$L$637*EFEITO!$Z$606</f>
        <v>675.40163236815465</v>
      </c>
      <c r="L637" s="83">
        <f>EFEITO!$N$637*EFEITO!$AA$606</f>
        <v>1820.9489002570456</v>
      </c>
      <c r="M637" s="83">
        <f ca="1">$J$637-EFEITO!$K$637*EFEITO!$Y$637</f>
        <v>244.21856890172148</v>
      </c>
      <c r="N637" s="83">
        <f ca="1">$K$637-EFEITO!$M$637*EFEITO!$Z$637</f>
        <v>27.016065294726218</v>
      </c>
      <c r="O637" s="83">
        <f>$L$637-EFEITO!$O$637*EFEITO!$AA$637</f>
        <v>72.837956010281914</v>
      </c>
      <c r="P637" s="61"/>
      <c r="Q637" s="61"/>
      <c r="R637" s="61"/>
      <c r="S637" s="61"/>
      <c r="T637" s="61"/>
      <c r="U637" s="61"/>
      <c r="V637" s="61"/>
      <c r="W637" s="61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spans="1:36" ht="11.25" customHeight="1" x14ac:dyDescent="0.2">
      <c r="A638" s="57" t="s">
        <v>28</v>
      </c>
      <c r="B638" s="57" t="s">
        <v>35</v>
      </c>
      <c r="C638" s="57" t="s">
        <v>44</v>
      </c>
      <c r="D638" s="57" t="s">
        <v>47</v>
      </c>
      <c r="E638" s="57" t="s">
        <v>25</v>
      </c>
      <c r="F638" s="57" t="s">
        <v>25</v>
      </c>
      <c r="G638" s="57" t="s">
        <v>25</v>
      </c>
      <c r="H638" s="57" t="s">
        <v>37</v>
      </c>
      <c r="I638" s="82">
        <v>44228</v>
      </c>
      <c r="J638" s="83">
        <f ca="1">EFEITO!$J$638*EFEITO!$Y$606</f>
        <v>40782.129952520372</v>
      </c>
      <c r="K638" s="83">
        <f ca="1">EFEITO!$L$638*EFEITO!$Z$606</f>
        <v>4343.9379439087552</v>
      </c>
      <c r="L638" s="83">
        <f>EFEITO!$N$638*EFEITO!$AA$606</f>
        <v>11711.681824058413</v>
      </c>
      <c r="M638" s="83">
        <f ca="1">$J$638-EFEITO!$K$638*EFEITO!$Y$638</f>
        <v>1631.2851981008207</v>
      </c>
      <c r="N638" s="83">
        <f ca="1">$K$638-EFEITO!$M$638*EFEITO!$Z$638</f>
        <v>173.75751775635035</v>
      </c>
      <c r="O638" s="83">
        <f>$L$638-EFEITO!$O$638*EFEITO!$AA$638</f>
        <v>468.46727296233621</v>
      </c>
      <c r="P638" s="61"/>
      <c r="Q638" s="61"/>
      <c r="R638" s="61"/>
      <c r="S638" s="61"/>
      <c r="T638" s="61"/>
      <c r="U638" s="61"/>
      <c r="V638" s="61"/>
      <c r="W638" s="61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spans="1:36" ht="11.25" customHeight="1" x14ac:dyDescent="0.2">
      <c r="A639" s="57" t="s">
        <v>21</v>
      </c>
      <c r="B639" s="57" t="s">
        <v>35</v>
      </c>
      <c r="C639" s="57" t="s">
        <v>44</v>
      </c>
      <c r="D639" s="57" t="s">
        <v>47</v>
      </c>
      <c r="E639" s="57" t="s">
        <v>25</v>
      </c>
      <c r="F639" s="57" t="s">
        <v>25</v>
      </c>
      <c r="G639" s="57" t="s">
        <v>25</v>
      </c>
      <c r="H639" s="57" t="s">
        <v>37</v>
      </c>
      <c r="I639" s="82">
        <v>44256</v>
      </c>
      <c r="J639" s="83">
        <f ca="1">EFEITO!$J$639*EFEITO!$Y$606</f>
        <v>5927.6351675174956</v>
      </c>
      <c r="K639" s="83">
        <f ca="1">EFEITO!$L$639*EFEITO!$Z$606</f>
        <v>677.42379294410716</v>
      </c>
      <c r="L639" s="83">
        <f>EFEITO!$N$639*EFEITO!$AA$606</f>
        <v>1826.4008430721863</v>
      </c>
      <c r="M639" s="83">
        <f ca="1">$J$639-EFEITO!$K$639*EFEITO!$Y$639</f>
        <v>237.10540670069986</v>
      </c>
      <c r="N639" s="83">
        <f ca="1">$K$639-EFEITO!$M$639*EFEITO!$Z$639</f>
        <v>27.096951717764341</v>
      </c>
      <c r="O639" s="83">
        <f>$L$639-EFEITO!$O$639*EFEITO!$AA$639</f>
        <v>73.056033722887605</v>
      </c>
      <c r="P639" s="61"/>
      <c r="Q639" s="61"/>
      <c r="R639" s="61"/>
      <c r="S639" s="61"/>
      <c r="T639" s="61"/>
      <c r="U639" s="61"/>
      <c r="V639" s="61"/>
      <c r="W639" s="61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spans="1:36" ht="11.25" customHeight="1" x14ac:dyDescent="0.2">
      <c r="A640" s="57" t="s">
        <v>28</v>
      </c>
      <c r="B640" s="57" t="s">
        <v>35</v>
      </c>
      <c r="C640" s="57" t="s">
        <v>44</v>
      </c>
      <c r="D640" s="57" t="s">
        <v>47</v>
      </c>
      <c r="E640" s="57" t="s">
        <v>25</v>
      </c>
      <c r="F640" s="57" t="s">
        <v>25</v>
      </c>
      <c r="G640" s="57" t="s">
        <v>25</v>
      </c>
      <c r="H640" s="57" t="s">
        <v>37</v>
      </c>
      <c r="I640" s="82">
        <v>44256</v>
      </c>
      <c r="J640" s="83">
        <f ca="1">EFEITO!$J$640*EFEITO!$Y$606</f>
        <v>34617.389378302178</v>
      </c>
      <c r="K640" s="83">
        <f ca="1">EFEITO!$L$640*EFEITO!$Z$606</f>
        <v>4628.725558355407</v>
      </c>
      <c r="L640" s="83">
        <f>EFEITO!$N$640*EFEITO!$AA$606</f>
        <v>12479.497103857417</v>
      </c>
      <c r="M640" s="83">
        <f ca="1">$J$640-EFEITO!$K$640*EFEITO!$Y$640</f>
        <v>1384.6955751320929</v>
      </c>
      <c r="N640" s="83">
        <f ca="1">$K$640-EFEITO!$M$640*EFEITO!$Z$640</f>
        <v>185.14902233421617</v>
      </c>
      <c r="O640" s="83">
        <f>$L$640-EFEITO!$O$640*EFEITO!$AA$640</f>
        <v>499.17988415429681</v>
      </c>
      <c r="P640" s="61"/>
      <c r="Q640" s="61"/>
      <c r="R640" s="61"/>
      <c r="S640" s="61"/>
      <c r="T640" s="61"/>
      <c r="U640" s="61"/>
      <c r="V640" s="61"/>
      <c r="W640" s="61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spans="1:36" ht="11.25" customHeight="1" x14ac:dyDescent="0.2">
      <c r="A641" s="57" t="s">
        <v>21</v>
      </c>
      <c r="B641" s="57" t="s">
        <v>35</v>
      </c>
      <c r="C641" s="57" t="s">
        <v>44</v>
      </c>
      <c r="D641" s="57" t="s">
        <v>47</v>
      </c>
      <c r="E641" s="57" t="s">
        <v>25</v>
      </c>
      <c r="F641" s="57" t="s">
        <v>25</v>
      </c>
      <c r="G641" s="57" t="s">
        <v>25</v>
      </c>
      <c r="H641" s="57" t="s">
        <v>37</v>
      </c>
      <c r="I641" s="82">
        <v>44287</v>
      </c>
      <c r="J641" s="83">
        <f ca="1">EFEITO!$J$641*EFEITO!$Y$606</f>
        <v>5631.253409141621</v>
      </c>
      <c r="K641" s="83">
        <f ca="1">EFEITO!$L$641*EFEITO!$Z$606</f>
        <v>603.27790515918014</v>
      </c>
      <c r="L641" s="83">
        <f>EFEITO!$N$641*EFEITO!$AA$606</f>
        <v>1626.4962731836886</v>
      </c>
      <c r="M641" s="83">
        <f ca="1">$J$641-EFEITO!$K$641*EFEITO!$Y$641</f>
        <v>225.25013636566473</v>
      </c>
      <c r="N641" s="83">
        <f ca="1">$K$641-EFEITO!$M$641*EFEITO!$Z$641</f>
        <v>24.131116206367324</v>
      </c>
      <c r="O641" s="83">
        <f>$L$641-EFEITO!$O$641*EFEITO!$AA$641</f>
        <v>65.059850927347725</v>
      </c>
      <c r="P641" s="61"/>
      <c r="Q641" s="61"/>
      <c r="R641" s="61"/>
      <c r="S641" s="61"/>
      <c r="T641" s="61"/>
      <c r="U641" s="61"/>
      <c r="V641" s="61"/>
      <c r="W641" s="61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spans="1:36" ht="11.25" customHeight="1" x14ac:dyDescent="0.2">
      <c r="A642" s="57" t="s">
        <v>28</v>
      </c>
      <c r="B642" s="57" t="s">
        <v>35</v>
      </c>
      <c r="C642" s="57" t="s">
        <v>44</v>
      </c>
      <c r="D642" s="57" t="s">
        <v>47</v>
      </c>
      <c r="E642" s="57" t="s">
        <v>25</v>
      </c>
      <c r="F642" s="57" t="s">
        <v>25</v>
      </c>
      <c r="G642" s="57" t="s">
        <v>25</v>
      </c>
      <c r="H642" s="57" t="s">
        <v>37</v>
      </c>
      <c r="I642" s="82">
        <v>44287</v>
      </c>
      <c r="J642" s="83">
        <f ca="1">EFEITO!$J$642*EFEITO!$Y$606</f>
        <v>41611.998875972822</v>
      </c>
      <c r="K642" s="83">
        <f ca="1">EFEITO!$L$642*EFEITO!$Z$606</f>
        <v>4622.6590766275494</v>
      </c>
      <c r="L642" s="83">
        <f>EFEITO!$N$642*EFEITO!$AA$606</f>
        <v>12463.141275411994</v>
      </c>
      <c r="M642" s="83">
        <f ca="1">$J$642-EFEITO!$K$642*EFEITO!$Y$642</f>
        <v>1664.4799550389143</v>
      </c>
      <c r="N642" s="83">
        <f ca="1">$K$642-EFEITO!$M$642*EFEITO!$Z$642</f>
        <v>184.9063630651026</v>
      </c>
      <c r="O642" s="83">
        <f>$L$642-EFEITO!$O$642*EFEITO!$AA$642</f>
        <v>498.52565101647997</v>
      </c>
      <c r="P642" s="61"/>
      <c r="Q642" s="61"/>
      <c r="R642" s="61"/>
      <c r="S642" s="61"/>
      <c r="T642" s="61"/>
      <c r="U642" s="61"/>
      <c r="V642" s="61"/>
      <c r="W642" s="61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spans="1:36" ht="11.25" customHeight="1" x14ac:dyDescent="0.2">
      <c r="A643" s="57" t="s">
        <v>21</v>
      </c>
      <c r="B643" s="57" t="s">
        <v>35</v>
      </c>
      <c r="C643" s="57" t="s">
        <v>44</v>
      </c>
      <c r="D643" s="57" t="s">
        <v>47</v>
      </c>
      <c r="E643" s="57" t="s">
        <v>25</v>
      </c>
      <c r="F643" s="57" t="s">
        <v>25</v>
      </c>
      <c r="G643" s="57" t="s">
        <v>25</v>
      </c>
      <c r="H643" s="57" t="s">
        <v>37</v>
      </c>
      <c r="I643" s="82">
        <v>44317</v>
      </c>
      <c r="J643" s="83">
        <f ca="1">EFEITO!$J$643*EFEITO!$Y$606</f>
        <v>5571.9770574664462</v>
      </c>
      <c r="K643" s="83">
        <f ca="1">EFEITO!$L$643*EFEITO!$Z$606</f>
        <v>636.13801451840914</v>
      </c>
      <c r="L643" s="83">
        <f>EFEITO!$N$643*EFEITO!$AA$606</f>
        <v>1715.0903439297274</v>
      </c>
      <c r="M643" s="83">
        <f ca="1">$J$643-EFEITO!$K$643*EFEITO!$Y$643</f>
        <v>222.87908229865843</v>
      </c>
      <c r="N643" s="83">
        <f ca="1">$K$643-EFEITO!$M$643*EFEITO!$Z$643</f>
        <v>25.445520580736456</v>
      </c>
      <c r="O643" s="83">
        <f>$L$643-EFEITO!$O$643*EFEITO!$AA$643</f>
        <v>68.603613757189351</v>
      </c>
      <c r="P643" s="61"/>
      <c r="Q643" s="61"/>
      <c r="R643" s="61"/>
      <c r="S643" s="61"/>
      <c r="T643" s="61"/>
      <c r="U643" s="61"/>
      <c r="V643" s="61"/>
      <c r="W643" s="61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spans="1:36" ht="11.25" customHeight="1" x14ac:dyDescent="0.2">
      <c r="A644" s="57" t="s">
        <v>28</v>
      </c>
      <c r="B644" s="57" t="s">
        <v>35</v>
      </c>
      <c r="C644" s="57" t="s">
        <v>44</v>
      </c>
      <c r="D644" s="57" t="s">
        <v>47</v>
      </c>
      <c r="E644" s="57" t="s">
        <v>25</v>
      </c>
      <c r="F644" s="57" t="s">
        <v>25</v>
      </c>
      <c r="G644" s="57" t="s">
        <v>25</v>
      </c>
      <c r="H644" s="57" t="s">
        <v>37</v>
      </c>
      <c r="I644" s="82">
        <v>44317</v>
      </c>
      <c r="J644" s="83">
        <f ca="1">EFEITO!$J$644*EFEITO!$Y$606</f>
        <v>37818.312368761624</v>
      </c>
      <c r="K644" s="83">
        <f ca="1">EFEITO!$L$644*EFEITO!$Z$606</f>
        <v>5471.9665185276244</v>
      </c>
      <c r="L644" s="83">
        <f>EFEITO!$N$644*EFEITO!$AA$606</f>
        <v>14752.957257771155</v>
      </c>
      <c r="M644" s="83">
        <f ca="1">$J$644-EFEITO!$K$644*EFEITO!$Y$644</f>
        <v>1512.7324947504676</v>
      </c>
      <c r="N644" s="83">
        <f ca="1">$K$644-EFEITO!$M$644*EFEITO!$Z$644</f>
        <v>218.8786607411048</v>
      </c>
      <c r="O644" s="83">
        <f>$L$644-EFEITO!$O$644*EFEITO!$AA$644</f>
        <v>590.11829031084744</v>
      </c>
      <c r="P644" s="61"/>
      <c r="Q644" s="61"/>
      <c r="R644" s="61"/>
      <c r="S644" s="61"/>
      <c r="T644" s="61"/>
      <c r="U644" s="61"/>
      <c r="V644" s="61"/>
      <c r="W644" s="61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spans="1:36" ht="11.25" customHeight="1" x14ac:dyDescent="0.2">
      <c r="A645" s="57" t="s">
        <v>21</v>
      </c>
      <c r="B645" s="57" t="s">
        <v>35</v>
      </c>
      <c r="C645" s="57" t="s">
        <v>44</v>
      </c>
      <c r="D645" s="57" t="s">
        <v>47</v>
      </c>
      <c r="E645" s="57" t="s">
        <v>25</v>
      </c>
      <c r="F645" s="57" t="s">
        <v>25</v>
      </c>
      <c r="G645" s="57" t="s">
        <v>25</v>
      </c>
      <c r="H645" s="57" t="s">
        <v>37</v>
      </c>
      <c r="I645" s="82">
        <v>44348</v>
      </c>
      <c r="J645" s="83">
        <f ca="1">EFEITO!$J$645*EFEITO!$Y$606</f>
        <v>5394.1480024409211</v>
      </c>
      <c r="K645" s="83">
        <f ca="1">EFEITO!$L$645*EFEITO!$Z$606</f>
        <v>658.55029423521671</v>
      </c>
      <c r="L645" s="83">
        <f>EFEITO!$N$645*EFEITO!$AA$606</f>
        <v>1775.516043464205</v>
      </c>
      <c r="M645" s="83">
        <f ca="1">$J$645-EFEITO!$K$645*EFEITO!$Y$645</f>
        <v>215.76592009763681</v>
      </c>
      <c r="N645" s="83">
        <f ca="1">$K$645-EFEITO!$M$645*EFEITO!$Z$645</f>
        <v>26.342011769408714</v>
      </c>
      <c r="O645" s="83">
        <f>$L$645-EFEITO!$O$645*EFEITO!$AA$645</f>
        <v>71.020641738568202</v>
      </c>
      <c r="P645" s="61"/>
      <c r="Q645" s="61"/>
      <c r="R645" s="61"/>
      <c r="S645" s="61"/>
      <c r="T645" s="61"/>
      <c r="U645" s="61"/>
      <c r="V645" s="61"/>
      <c r="W645" s="61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spans="1:36" ht="11.25" customHeight="1" x14ac:dyDescent="0.2">
      <c r="A646" s="57" t="s">
        <v>28</v>
      </c>
      <c r="B646" s="57" t="s">
        <v>35</v>
      </c>
      <c r="C646" s="57" t="s">
        <v>44</v>
      </c>
      <c r="D646" s="57" t="s">
        <v>47</v>
      </c>
      <c r="E646" s="57" t="s">
        <v>25</v>
      </c>
      <c r="F646" s="57" t="s">
        <v>25</v>
      </c>
      <c r="G646" s="57" t="s">
        <v>25</v>
      </c>
      <c r="H646" s="57" t="s">
        <v>37</v>
      </c>
      <c r="I646" s="82">
        <v>44348</v>
      </c>
      <c r="J646" s="83">
        <f ca="1">EFEITO!$J$646*EFEITO!$Y$606</f>
        <v>36454.956280232596</v>
      </c>
      <c r="K646" s="83">
        <f ca="1">EFEITO!$L$646*EFEITO!$Z$606</f>
        <v>3676.2879270817521</v>
      </c>
      <c r="L646" s="83">
        <f>EFEITO!$N$646*EFEITO!$AA$606</f>
        <v>9911.6320379260742</v>
      </c>
      <c r="M646" s="83">
        <f ca="1">$J$646-EFEITO!$K$646*EFEITO!$Y$646</f>
        <v>1458.1982512093018</v>
      </c>
      <c r="N646" s="83">
        <f ca="1">$K$646-EFEITO!$M$646*EFEITO!$Z$646</f>
        <v>147.05151708327048</v>
      </c>
      <c r="O646" s="83">
        <f>$L$646-EFEITO!$O$646*EFEITO!$AA$646</f>
        <v>396.46528151704297</v>
      </c>
      <c r="P646" s="61"/>
      <c r="Q646" s="61"/>
      <c r="R646" s="61"/>
      <c r="S646" s="61"/>
      <c r="T646" s="61"/>
      <c r="U646" s="61"/>
      <c r="V646" s="61"/>
      <c r="W646" s="61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spans="1:36" ht="11.25" customHeight="1" x14ac:dyDescent="0.2">
      <c r="A647" s="57" t="s">
        <v>21</v>
      </c>
      <c r="B647" s="57" t="s">
        <v>35</v>
      </c>
      <c r="C647" s="57" t="s">
        <v>44</v>
      </c>
      <c r="D647" s="57" t="s">
        <v>47</v>
      </c>
      <c r="E647" s="57" t="s">
        <v>25</v>
      </c>
      <c r="F647" s="57" t="s">
        <v>25</v>
      </c>
      <c r="G647" s="57" t="s">
        <v>25</v>
      </c>
      <c r="H647" s="57" t="s">
        <v>37</v>
      </c>
      <c r="I647" s="82">
        <v>44378</v>
      </c>
      <c r="J647" s="83">
        <f ca="1">EFEITO!$J$647*EFEITO!$Y$606</f>
        <v>5868.3588158423208</v>
      </c>
      <c r="K647" s="83">
        <f ca="1">EFEITO!$L$647*EFEITO!$Z$606</f>
        <v>718.20403122581706</v>
      </c>
      <c r="L647" s="83">
        <f>EFEITO!$N$647*EFEITO!$AA$606</f>
        <v>1936.3483565108602</v>
      </c>
      <c r="M647" s="83">
        <f ca="1">$J$647-EFEITO!$K$647*EFEITO!$Y$647</f>
        <v>234.73435263369356</v>
      </c>
      <c r="N647" s="83">
        <f ca="1">$K$647-EFEITO!$M$647*EFEITO!$Z$647</f>
        <v>28.728161249032723</v>
      </c>
      <c r="O647" s="83">
        <f>$L$647-EFEITO!$O$647*EFEITO!$AA$647</f>
        <v>77.453934260434607</v>
      </c>
      <c r="P647" s="61"/>
      <c r="Q647" s="61"/>
      <c r="R647" s="61"/>
      <c r="S647" s="61"/>
      <c r="T647" s="61"/>
      <c r="U647" s="61"/>
      <c r="V647" s="61"/>
      <c r="W647" s="61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spans="1:36" ht="11.25" customHeight="1" x14ac:dyDescent="0.2">
      <c r="A648" s="57" t="s">
        <v>28</v>
      </c>
      <c r="B648" s="57" t="s">
        <v>35</v>
      </c>
      <c r="C648" s="57" t="s">
        <v>44</v>
      </c>
      <c r="D648" s="57" t="s">
        <v>47</v>
      </c>
      <c r="E648" s="57" t="s">
        <v>25</v>
      </c>
      <c r="F648" s="57" t="s">
        <v>25</v>
      </c>
      <c r="G648" s="57" t="s">
        <v>25</v>
      </c>
      <c r="H648" s="57" t="s">
        <v>37</v>
      </c>
      <c r="I648" s="82">
        <v>44378</v>
      </c>
      <c r="J648" s="83">
        <f ca="1">EFEITO!$J$648*EFEITO!$Y$606</f>
        <v>27326.398122255654</v>
      </c>
      <c r="K648" s="83">
        <f ca="1">EFEITO!$L$648*EFEITO!$Z$606</f>
        <v>1601.5511761544267</v>
      </c>
      <c r="L648" s="83">
        <f>EFEITO!$N$648*EFEITO!$AA$606</f>
        <v>4317.9387095915572</v>
      </c>
      <c r="M648" s="83">
        <f ca="1">$J$648-EFEITO!$K$648*EFEITO!$Y$648</f>
        <v>1093.0559248902246</v>
      </c>
      <c r="N648" s="83">
        <f ca="1">$K$648-EFEITO!$M$648*EFEITO!$Z$648</f>
        <v>64.062047046177213</v>
      </c>
      <c r="O648" s="83">
        <f>$L$648-EFEITO!$O$648*EFEITO!$AA$648</f>
        <v>172.71754838366269</v>
      </c>
      <c r="P648" s="61"/>
      <c r="Q648" s="61"/>
      <c r="R648" s="61"/>
      <c r="S648" s="61"/>
      <c r="T648" s="61"/>
      <c r="U648" s="61"/>
      <c r="V648" s="61"/>
      <c r="W648" s="61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spans="1:36" ht="11.25" customHeight="1" x14ac:dyDescent="0.2">
      <c r="A649" s="57" t="s">
        <v>21</v>
      </c>
      <c r="B649" s="57" t="s">
        <v>35</v>
      </c>
      <c r="C649" s="57" t="s">
        <v>44</v>
      </c>
      <c r="D649" s="57" t="s">
        <v>47</v>
      </c>
      <c r="E649" s="57" t="s">
        <v>25</v>
      </c>
      <c r="F649" s="57" t="s">
        <v>25</v>
      </c>
      <c r="G649" s="57" t="s">
        <v>25</v>
      </c>
      <c r="H649" s="57" t="s">
        <v>37</v>
      </c>
      <c r="I649" s="82">
        <v>44409</v>
      </c>
      <c r="J649" s="83">
        <f ca="1">EFEITO!$J$649*EFEITO!$Y$606</f>
        <v>6046.187870867846</v>
      </c>
      <c r="K649" s="83">
        <f ca="1">EFEITO!$L$649*EFEITO!$Z$606</f>
        <v>689.72526978115195</v>
      </c>
      <c r="L649" s="83">
        <f>EFEITO!$N$649*EFEITO!$AA$606</f>
        <v>1859.56682853096</v>
      </c>
      <c r="M649" s="83">
        <f ca="1">$J$649-EFEITO!$K$649*EFEITO!$Y$649</f>
        <v>241.84751483471427</v>
      </c>
      <c r="N649" s="83">
        <f ca="1">$K$649-EFEITO!$M$649*EFEITO!$Z$649</f>
        <v>27.589010791246096</v>
      </c>
      <c r="O649" s="83">
        <f>$L$649-EFEITO!$O$649*EFEITO!$AA$649</f>
        <v>74.382673141238683</v>
      </c>
      <c r="P649" s="61"/>
      <c r="Q649" s="61"/>
      <c r="R649" s="61"/>
      <c r="S649" s="61"/>
      <c r="T649" s="61"/>
      <c r="U649" s="61"/>
      <c r="V649" s="61"/>
      <c r="W649" s="61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spans="1:36" ht="11.25" customHeight="1" x14ac:dyDescent="0.2">
      <c r="A650" s="57" t="s">
        <v>28</v>
      </c>
      <c r="B650" s="57" t="s">
        <v>35</v>
      </c>
      <c r="C650" s="57" t="s">
        <v>44</v>
      </c>
      <c r="D650" s="57" t="s">
        <v>47</v>
      </c>
      <c r="E650" s="57" t="s">
        <v>25</v>
      </c>
      <c r="F650" s="57" t="s">
        <v>25</v>
      </c>
      <c r="G650" s="57" t="s">
        <v>25</v>
      </c>
      <c r="H650" s="57" t="s">
        <v>37</v>
      </c>
      <c r="I650" s="82">
        <v>44409</v>
      </c>
      <c r="J650" s="83">
        <f ca="1">EFEITO!$J$650*EFEITO!$Y$606</f>
        <v>42619.696854450798</v>
      </c>
      <c r="K650" s="83">
        <f ca="1">EFEITO!$L$650*EFEITO!$Z$606</f>
        <v>1795.6785914458724</v>
      </c>
      <c r="L650" s="83">
        <f>EFEITO!$N$650*EFEITO!$AA$606</f>
        <v>4841.32521984508</v>
      </c>
      <c r="M650" s="83">
        <f ca="1">$J$650-EFEITO!$K$650*EFEITO!$Y$650</f>
        <v>1704.7878741780369</v>
      </c>
      <c r="N650" s="83">
        <f ca="1">$K$650-EFEITO!$M$650*EFEITO!$Z$650</f>
        <v>71.827143657834995</v>
      </c>
      <c r="O650" s="83">
        <f>$L$650-EFEITO!$O$650*EFEITO!$AA$650</f>
        <v>193.65300879380356</v>
      </c>
      <c r="P650" s="61"/>
      <c r="Q650" s="61"/>
      <c r="R650" s="61"/>
      <c r="S650" s="61"/>
      <c r="T650" s="61"/>
      <c r="U650" s="61"/>
      <c r="V650" s="61"/>
      <c r="W650" s="61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spans="1:36" ht="11.25" customHeight="1" x14ac:dyDescent="0.2">
      <c r="A651" s="57" t="s">
        <v>21</v>
      </c>
      <c r="B651" s="57" t="s">
        <v>35</v>
      </c>
      <c r="C651" s="57" t="s">
        <v>44</v>
      </c>
      <c r="D651" s="57" t="s">
        <v>47</v>
      </c>
      <c r="E651" s="57" t="s">
        <v>25</v>
      </c>
      <c r="F651" s="57" t="s">
        <v>25</v>
      </c>
      <c r="G651" s="57" t="s">
        <v>25</v>
      </c>
      <c r="H651" s="57" t="s">
        <v>37</v>
      </c>
      <c r="I651" s="82">
        <v>44440</v>
      </c>
      <c r="J651" s="83">
        <f ca="1">EFEITO!$J$651*EFEITO!$Y$606</f>
        <v>39122.392105615472</v>
      </c>
      <c r="K651" s="83">
        <f ca="1">EFEITO!$L$651*EFEITO!$Z$606</f>
        <v>729.15740101222684</v>
      </c>
      <c r="L651" s="83">
        <f>EFEITO!$N$651*EFEITO!$AA$606</f>
        <v>1965.8797134262068</v>
      </c>
      <c r="M651" s="83">
        <f ca="1">$J$651-EFEITO!$K$651*EFEITO!$Y$651</f>
        <v>1564.8956842246189</v>
      </c>
      <c r="N651" s="83">
        <f ca="1">$K$651-EFEITO!$M$651*EFEITO!$Z$651</f>
        <v>29.166296040489101</v>
      </c>
      <c r="O651" s="83">
        <f>$L$651-EFEITO!$O$651*EFEITO!$AA$651</f>
        <v>78.635188537048407</v>
      </c>
      <c r="P651" s="61"/>
      <c r="Q651" s="61"/>
      <c r="R651" s="61"/>
      <c r="S651" s="61"/>
      <c r="T651" s="61"/>
      <c r="U651" s="61"/>
      <c r="V651" s="61"/>
      <c r="W651" s="61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spans="1:36" ht="11.25" customHeight="1" x14ac:dyDescent="0.2">
      <c r="A652" s="57" t="s">
        <v>28</v>
      </c>
      <c r="B652" s="57" t="s">
        <v>35</v>
      </c>
      <c r="C652" s="57" t="s">
        <v>44</v>
      </c>
      <c r="D652" s="57" t="s">
        <v>47</v>
      </c>
      <c r="E652" s="57" t="s">
        <v>25</v>
      </c>
      <c r="F652" s="57" t="s">
        <v>25</v>
      </c>
      <c r="G652" s="57" t="s">
        <v>25</v>
      </c>
      <c r="H652" s="57" t="s">
        <v>37</v>
      </c>
      <c r="I652" s="82">
        <v>44440</v>
      </c>
      <c r="J652" s="83">
        <f ca="1">EFEITO!$J$652*EFEITO!$Y$606</f>
        <v>39774.431974042396</v>
      </c>
      <c r="K652" s="83">
        <f ca="1">EFEITO!$L$652*EFEITO!$Z$606</f>
        <v>1286.0941263058273</v>
      </c>
      <c r="L652" s="83">
        <f>EFEITO!$N$652*EFEITO!$AA$606</f>
        <v>3467.4356304295839</v>
      </c>
      <c r="M652" s="83">
        <f ca="1">$J$652-EFEITO!$K$652*EFEITO!$Y$652</f>
        <v>1590.9772789616982</v>
      </c>
      <c r="N652" s="83">
        <f ca="1">$K$652-EFEITO!$M$652*EFEITO!$Z$652</f>
        <v>51.443765052233175</v>
      </c>
      <c r="O652" s="83">
        <f>$L$652-EFEITO!$O$652*EFEITO!$AA$652</f>
        <v>138.69742521718354</v>
      </c>
      <c r="P652" s="61"/>
      <c r="Q652" s="61"/>
      <c r="R652" s="61"/>
      <c r="S652" s="61"/>
      <c r="T652" s="61"/>
      <c r="U652" s="61"/>
      <c r="V652" s="61"/>
      <c r="W652" s="61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spans="1:36" ht="11.25" customHeight="1" x14ac:dyDescent="0.2">
      <c r="A653" s="57" t="s">
        <v>59</v>
      </c>
      <c r="B653" s="57" t="s">
        <v>35</v>
      </c>
      <c r="C653" s="57" t="s">
        <v>44</v>
      </c>
      <c r="D653" s="57" t="s">
        <v>47</v>
      </c>
      <c r="E653" s="57" t="s">
        <v>25</v>
      </c>
      <c r="F653" s="57" t="s">
        <v>25</v>
      </c>
      <c r="G653" s="57" t="s">
        <v>25</v>
      </c>
      <c r="H653" s="57" t="s">
        <v>37</v>
      </c>
      <c r="I653" s="82">
        <v>44470</v>
      </c>
      <c r="J653" s="83">
        <f ca="1">EFEITO!$J$653*EFEITO!$Y$606</f>
        <v>39122.392105615472</v>
      </c>
      <c r="K653" s="83">
        <f ca="1">EFEITO!$L$653*EFEITO!$Z$606</f>
        <v>729.15740101222684</v>
      </c>
      <c r="L653" s="83">
        <f>EFEITO!$N$653*EFEITO!$AA$606</f>
        <v>1965.8797134262068</v>
      </c>
      <c r="M653" s="83">
        <f ca="1">$J$653-EFEITO!$K$653*EFEITO!$Y$653</f>
        <v>1564.8956842246189</v>
      </c>
      <c r="N653" s="83">
        <f ca="1">$K$653-EFEITO!$M$653*EFEITO!$Z$653</f>
        <v>29.166296040489101</v>
      </c>
      <c r="O653" s="83">
        <f>$L$653-EFEITO!$O$653*EFEITO!$AA$653</f>
        <v>78.635188537048407</v>
      </c>
      <c r="P653" s="61"/>
      <c r="Q653" s="61"/>
      <c r="R653" s="61"/>
      <c r="S653" s="61"/>
      <c r="T653" s="61"/>
      <c r="U653" s="61"/>
      <c r="V653" s="61"/>
      <c r="W653" s="61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spans="1:36" ht="11.25" customHeight="1" x14ac:dyDescent="0.2">
      <c r="A654" s="57" t="s">
        <v>59</v>
      </c>
      <c r="B654" s="57" t="s">
        <v>35</v>
      </c>
      <c r="C654" s="57" t="s">
        <v>44</v>
      </c>
      <c r="D654" s="57" t="s">
        <v>47</v>
      </c>
      <c r="E654" s="57" t="s">
        <v>25</v>
      </c>
      <c r="F654" s="57" t="s">
        <v>25</v>
      </c>
      <c r="G654" s="57" t="s">
        <v>25</v>
      </c>
      <c r="H654" s="57" t="s">
        <v>37</v>
      </c>
      <c r="I654" s="82">
        <v>44470</v>
      </c>
      <c r="J654" s="83">
        <f ca="1">EFEITO!$J$654*EFEITO!$Y$606</f>
        <v>39774.431974042396</v>
      </c>
      <c r="K654" s="83">
        <f ca="1">EFEITO!$L$654*EFEITO!$Z$606</f>
        <v>1286.0941263058273</v>
      </c>
      <c r="L654" s="83">
        <f>EFEITO!$N$654*EFEITO!$AA$606</f>
        <v>3467.4356304295839</v>
      </c>
      <c r="M654" s="83">
        <f ca="1">$J$654-EFEITO!$K$654*EFEITO!$Y$654</f>
        <v>1590.9772789616982</v>
      </c>
      <c r="N654" s="83">
        <f ca="1">$K$654-EFEITO!$M$654*EFEITO!$Z$654</f>
        <v>51.443765052233175</v>
      </c>
      <c r="O654" s="83">
        <f>$L$654-EFEITO!$O$654*EFEITO!$AA$654</f>
        <v>138.69742521718354</v>
      </c>
      <c r="P654" s="61"/>
      <c r="Q654" s="61"/>
      <c r="R654" s="61"/>
      <c r="S654" s="61"/>
      <c r="T654" s="61"/>
      <c r="U654" s="61"/>
      <c r="V654" s="61"/>
      <c r="W654" s="61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spans="1:36" ht="11.25" customHeight="1" x14ac:dyDescent="0.2">
      <c r="A655" s="57" t="s">
        <v>21</v>
      </c>
      <c r="B655" s="57" t="s">
        <v>35</v>
      </c>
      <c r="C655" s="57" t="s">
        <v>44</v>
      </c>
      <c r="D655" s="57" t="s">
        <v>52</v>
      </c>
      <c r="E655" s="57" t="s">
        <v>53</v>
      </c>
      <c r="F655" s="57" t="s">
        <v>25</v>
      </c>
      <c r="G655" s="57" t="s">
        <v>25</v>
      </c>
      <c r="H655" s="57" t="s">
        <v>38</v>
      </c>
      <c r="I655" s="82">
        <v>44136</v>
      </c>
      <c r="J655" s="83">
        <f ca="1">EFEITO!$J$655*EFEITO!$Y$567</f>
        <v>40679.637744583815</v>
      </c>
      <c r="K655" s="83">
        <f ca="1">EFEITO!$L$655*EFEITO!$Z$567</f>
        <v>75196.905744278512</v>
      </c>
      <c r="L655" s="83">
        <f>EFEITO!$N$655*EFEITO!$AA$567</f>
        <v>126248.21169752481</v>
      </c>
      <c r="M655" s="83">
        <f ca="1">$J$655-EFEITO!$K$655*EFEITO!$Y$655</f>
        <v>2440.7782646750347</v>
      </c>
      <c r="N655" s="83">
        <f ca="1">$K$655-EFEITO!$M$655*EFEITO!$Z$655</f>
        <v>4511.8143446567265</v>
      </c>
      <c r="O655" s="83">
        <f>$L$655-EFEITO!$O$655*EFEITO!$AA$655</f>
        <v>7574.8927018514951</v>
      </c>
      <c r="P655" s="61"/>
      <c r="Q655" s="61"/>
      <c r="R655" s="61"/>
      <c r="S655" s="61"/>
      <c r="T655" s="61"/>
      <c r="U655" s="61"/>
      <c r="V655" s="61"/>
      <c r="W655" s="61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spans="1:36" ht="11.25" customHeight="1" x14ac:dyDescent="0.2">
      <c r="A656" s="57" t="s">
        <v>28</v>
      </c>
      <c r="B656" s="57" t="s">
        <v>35</v>
      </c>
      <c r="C656" s="57" t="s">
        <v>44</v>
      </c>
      <c r="D656" s="57" t="s">
        <v>52</v>
      </c>
      <c r="E656" s="57" t="s">
        <v>53</v>
      </c>
      <c r="F656" s="57" t="s">
        <v>25</v>
      </c>
      <c r="G656" s="57" t="s">
        <v>25</v>
      </c>
      <c r="H656" s="57" t="s">
        <v>38</v>
      </c>
      <c r="I656" s="82">
        <v>44136</v>
      </c>
      <c r="J656" s="83">
        <f ca="1">EFEITO!$J$656*EFEITO!$Y$567</f>
        <v>19318.038332396554</v>
      </c>
      <c r="K656" s="83">
        <f ca="1">EFEITO!$L$656*EFEITO!$Z$567</f>
        <v>44096.076086128152</v>
      </c>
      <c r="L656" s="83">
        <f>EFEITO!$N$656*EFEITO!$AA$567</f>
        <v>74032.976405751207</v>
      </c>
      <c r="M656" s="83">
        <f ca="1">$J$656-EFEITO!$K$656*EFEITO!$Y$656</f>
        <v>1159.0822999437951</v>
      </c>
      <c r="N656" s="83">
        <f ca="1">$K$656-EFEITO!$M$656*EFEITO!$Z$656</f>
        <v>2645.7645651676939</v>
      </c>
      <c r="O656" s="83">
        <f>$L$656-EFEITO!$O$656*EFEITO!$AA$656</f>
        <v>4441.9785843450809</v>
      </c>
      <c r="P656" s="61"/>
      <c r="Q656" s="61"/>
      <c r="R656" s="61"/>
      <c r="S656" s="61"/>
      <c r="T656" s="61"/>
      <c r="U656" s="61"/>
      <c r="V656" s="61"/>
      <c r="W656" s="61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spans="1:36" ht="11.25" customHeight="1" x14ac:dyDescent="0.2">
      <c r="A657" s="57" t="s">
        <v>21</v>
      </c>
      <c r="B657" s="57" t="s">
        <v>35</v>
      </c>
      <c r="C657" s="57" t="s">
        <v>44</v>
      </c>
      <c r="D657" s="57" t="s">
        <v>52</v>
      </c>
      <c r="E657" s="57" t="s">
        <v>53</v>
      </c>
      <c r="F657" s="57" t="s">
        <v>25</v>
      </c>
      <c r="G657" s="57" t="s">
        <v>25</v>
      </c>
      <c r="H657" s="57" t="s">
        <v>38</v>
      </c>
      <c r="I657" s="82">
        <v>44166</v>
      </c>
      <c r="J657" s="83">
        <f ca="1">EFEITO!$J$657*EFEITO!$Y$567</f>
        <v>40711.568386455547</v>
      </c>
      <c r="K657" s="83">
        <f ca="1">EFEITO!$L$657*EFEITO!$Z$567</f>
        <v>77975.017348874666</v>
      </c>
      <c r="L657" s="83">
        <f>EFEITO!$N$657*EFEITO!$AA$567</f>
        <v>130912.38794925963</v>
      </c>
      <c r="M657" s="83">
        <f ca="1">$J$657-EFEITO!$K$657*EFEITO!$Y$657</f>
        <v>2442.6941031873357</v>
      </c>
      <c r="N657" s="83">
        <f ca="1">$K$657-EFEITO!$M$657*EFEITO!$Z$657</f>
        <v>4678.5010409324896</v>
      </c>
      <c r="O657" s="83">
        <f>$L$657-EFEITO!$O$657*EFEITO!$AA$657</f>
        <v>7854.743276955589</v>
      </c>
      <c r="P657" s="61"/>
      <c r="Q657" s="61"/>
      <c r="R657" s="61"/>
      <c r="S657" s="61"/>
      <c r="T657" s="61"/>
      <c r="U657" s="61"/>
      <c r="V657" s="61"/>
      <c r="W657" s="61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spans="1:36" ht="11.25" customHeight="1" x14ac:dyDescent="0.2">
      <c r="A658" s="57" t="s">
        <v>28</v>
      </c>
      <c r="B658" s="57" t="s">
        <v>35</v>
      </c>
      <c r="C658" s="57" t="s">
        <v>44</v>
      </c>
      <c r="D658" s="57" t="s">
        <v>52</v>
      </c>
      <c r="E658" s="57" t="s">
        <v>53</v>
      </c>
      <c r="F658" s="57" t="s">
        <v>25</v>
      </c>
      <c r="G658" s="57" t="s">
        <v>25</v>
      </c>
      <c r="H658" s="57" t="s">
        <v>38</v>
      </c>
      <c r="I658" s="82">
        <v>44166</v>
      </c>
      <c r="J658" s="83">
        <f ca="1">EFEITO!$J$658*EFEITO!$Y$567</f>
        <v>19541.55282549866</v>
      </c>
      <c r="K658" s="83">
        <f ca="1">EFEITO!$L$658*EFEITO!$Z$567</f>
        <v>50481.890671604997</v>
      </c>
      <c r="L658" s="83">
        <f>EFEITO!$N$658*EFEITO!$AA$567</f>
        <v>84754.131268027762</v>
      </c>
      <c r="M658" s="83">
        <f ca="1">$J$658-EFEITO!$K$658*EFEITO!$Y$658</f>
        <v>1172.4931695299201</v>
      </c>
      <c r="N658" s="83">
        <f ca="1">$K$658-EFEITO!$M$658*EFEITO!$Z$658</f>
        <v>3028.9134402963027</v>
      </c>
      <c r="O658" s="83">
        <f>$L$658-EFEITO!$O$658*EFEITO!$AA$658</f>
        <v>5085.2478760816739</v>
      </c>
      <c r="P658" s="61"/>
      <c r="Q658" s="61"/>
      <c r="R658" s="61"/>
      <c r="S658" s="61"/>
      <c r="T658" s="61"/>
      <c r="U658" s="61"/>
      <c r="V658" s="61"/>
      <c r="W658" s="61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spans="1:36" ht="11.25" customHeight="1" x14ac:dyDescent="0.2">
      <c r="A659" s="57" t="s">
        <v>21</v>
      </c>
      <c r="B659" s="57" t="s">
        <v>35</v>
      </c>
      <c r="C659" s="57" t="s">
        <v>44</v>
      </c>
      <c r="D659" s="57" t="s">
        <v>52</v>
      </c>
      <c r="E659" s="57" t="s">
        <v>53</v>
      </c>
      <c r="F659" s="57" t="s">
        <v>25</v>
      </c>
      <c r="G659" s="57" t="s">
        <v>25</v>
      </c>
      <c r="H659" s="57" t="s">
        <v>38</v>
      </c>
      <c r="I659" s="82">
        <v>44197</v>
      </c>
      <c r="J659" s="83">
        <f ca="1">EFEITO!$J$659*EFEITO!$Y$567</f>
        <v>42659.337540631066</v>
      </c>
      <c r="K659" s="83">
        <f ca="1">EFEITO!$L$659*EFEITO!$Z$567</f>
        <v>77801.954106249395</v>
      </c>
      <c r="L659" s="83">
        <f>EFEITO!$N$659*EFEITO!$AA$567</f>
        <v>130621.83177975025</v>
      </c>
      <c r="M659" s="83">
        <f ca="1">$J$659-EFEITO!$K$659*EFEITO!$Y$659</f>
        <v>2559.5602524378701</v>
      </c>
      <c r="N659" s="83">
        <f ca="1">$K$659-EFEITO!$M$659*EFEITO!$Z$659</f>
        <v>4668.1172463749826</v>
      </c>
      <c r="O659" s="83">
        <f>$L$659-EFEITO!$O$659*EFEITO!$AA$659</f>
        <v>7837.3099067850271</v>
      </c>
      <c r="P659" s="61"/>
      <c r="Q659" s="61"/>
      <c r="R659" s="61"/>
      <c r="S659" s="61"/>
      <c r="T659" s="61"/>
      <c r="U659" s="61"/>
      <c r="V659" s="61"/>
      <c r="W659" s="61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spans="1:36" ht="11.25" customHeight="1" x14ac:dyDescent="0.2">
      <c r="A660" s="57" t="s">
        <v>28</v>
      </c>
      <c r="B660" s="57" t="s">
        <v>35</v>
      </c>
      <c r="C660" s="57" t="s">
        <v>44</v>
      </c>
      <c r="D660" s="57" t="s">
        <v>52</v>
      </c>
      <c r="E660" s="57" t="s">
        <v>53</v>
      </c>
      <c r="F660" s="57" t="s">
        <v>25</v>
      </c>
      <c r="G660" s="57" t="s">
        <v>25</v>
      </c>
      <c r="H660" s="57" t="s">
        <v>38</v>
      </c>
      <c r="I660" s="82">
        <v>44197</v>
      </c>
      <c r="J660" s="83">
        <f ca="1">EFEITO!$J$660*EFEITO!$Y$567</f>
        <v>19509.622183626932</v>
      </c>
      <c r="K660" s="83">
        <f ca="1">EFEITO!$L$660*EFEITO!$Z$567</f>
        <v>49471.989977298028</v>
      </c>
      <c r="L660" s="83">
        <f>EFEITO!$N$660*EFEITO!$AA$567</f>
        <v>83058.607291523644</v>
      </c>
      <c r="M660" s="83">
        <f ca="1">$J$660-EFEITO!$K$660*EFEITO!$Y$660</f>
        <v>1170.5773310176191</v>
      </c>
      <c r="N660" s="83">
        <f ca="1">$K$660-EFEITO!$M$660*EFEITO!$Z$660</f>
        <v>2968.3193986378901</v>
      </c>
      <c r="O660" s="83">
        <f>$L$660-EFEITO!$O$660*EFEITO!$AA$660</f>
        <v>4983.5164374914311</v>
      </c>
      <c r="P660" s="61"/>
      <c r="Q660" s="61"/>
      <c r="R660" s="61"/>
      <c r="S660" s="61"/>
      <c r="T660" s="61"/>
      <c r="U660" s="61"/>
      <c r="V660" s="61"/>
      <c r="W660" s="61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spans="1:36" ht="11.25" customHeight="1" x14ac:dyDescent="0.2">
      <c r="A661" s="57" t="s">
        <v>21</v>
      </c>
      <c r="B661" s="57" t="s">
        <v>35</v>
      </c>
      <c r="C661" s="57" t="s">
        <v>44</v>
      </c>
      <c r="D661" s="57" t="s">
        <v>52</v>
      </c>
      <c r="E661" s="57" t="s">
        <v>53</v>
      </c>
      <c r="F661" s="57" t="s">
        <v>25</v>
      </c>
      <c r="G661" s="57" t="s">
        <v>25</v>
      </c>
      <c r="H661" s="57" t="s">
        <v>38</v>
      </c>
      <c r="I661" s="82">
        <v>44228</v>
      </c>
      <c r="J661" s="83">
        <f ca="1">EFEITO!$J$661*EFEITO!$Y$567</f>
        <v>43585.326154911229</v>
      </c>
      <c r="K661" s="83">
        <f ca="1">EFEITO!$L$661*EFEITO!$Z$567</f>
        <v>68349.027467196502</v>
      </c>
      <c r="L661" s="83">
        <f>EFEITO!$N$661*EFEITO!$AA$567</f>
        <v>114751.29732522418</v>
      </c>
      <c r="M661" s="83">
        <f ca="1">$J$661-EFEITO!$K$661*EFEITO!$Y$661</f>
        <v>2615.1195692946712</v>
      </c>
      <c r="N661" s="83">
        <f ca="1">$K$661-EFEITO!$M$661*EFEITO!$Z$661</f>
        <v>4100.9416480318032</v>
      </c>
      <c r="O661" s="83">
        <f>$L$661-EFEITO!$O$661*EFEITO!$AA$661</f>
        <v>6885.0778395134548</v>
      </c>
      <c r="P661" s="61"/>
      <c r="Q661" s="61"/>
      <c r="R661" s="61"/>
      <c r="S661" s="61"/>
      <c r="T661" s="61"/>
      <c r="U661" s="61"/>
      <c r="V661" s="61"/>
      <c r="W661" s="61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spans="1:36" ht="11.25" customHeight="1" x14ac:dyDescent="0.2">
      <c r="A662" s="57" t="s">
        <v>28</v>
      </c>
      <c r="B662" s="57" t="s">
        <v>35</v>
      </c>
      <c r="C662" s="57" t="s">
        <v>44</v>
      </c>
      <c r="D662" s="57" t="s">
        <v>52</v>
      </c>
      <c r="E662" s="57" t="s">
        <v>53</v>
      </c>
      <c r="F662" s="57" t="s">
        <v>25</v>
      </c>
      <c r="G662" s="57" t="s">
        <v>25</v>
      </c>
      <c r="H662" s="57" t="s">
        <v>38</v>
      </c>
      <c r="I662" s="82">
        <v>44228</v>
      </c>
      <c r="J662" s="83">
        <f ca="1">EFEITO!$J$662*EFEITO!$Y$567</f>
        <v>19509.622183626932</v>
      </c>
      <c r="K662" s="83">
        <f ca="1">EFEITO!$L$662*EFEITO!$Z$567</f>
        <v>43265.642142936966</v>
      </c>
      <c r="L662" s="83">
        <f>EFEITO!$N$662*EFEITO!$AA$567</f>
        <v>72638.759459945722</v>
      </c>
      <c r="M662" s="83">
        <f ca="1">$J$662-EFEITO!$K$662*EFEITO!$Y$662</f>
        <v>1170.5773310176191</v>
      </c>
      <c r="N662" s="83">
        <f ca="1">$K$662-EFEITO!$M$662*EFEITO!$Z$662</f>
        <v>2595.9385285762255</v>
      </c>
      <c r="O662" s="83">
        <f>$L$662-EFEITO!$O$662*EFEITO!$AA$662</f>
        <v>4358.3255675967521</v>
      </c>
      <c r="P662" s="61"/>
      <c r="Q662" s="61"/>
      <c r="R662" s="61"/>
      <c r="S662" s="61"/>
      <c r="T662" s="61"/>
      <c r="U662" s="61"/>
      <c r="V662" s="61"/>
      <c r="W662" s="61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spans="1:36" ht="11.25" customHeight="1" x14ac:dyDescent="0.2">
      <c r="A663" s="57" t="s">
        <v>21</v>
      </c>
      <c r="B663" s="57" t="s">
        <v>35</v>
      </c>
      <c r="C663" s="57" t="s">
        <v>44</v>
      </c>
      <c r="D663" s="57" t="s">
        <v>52</v>
      </c>
      <c r="E663" s="57" t="s">
        <v>53</v>
      </c>
      <c r="F663" s="57" t="s">
        <v>25</v>
      </c>
      <c r="G663" s="57" t="s">
        <v>25</v>
      </c>
      <c r="H663" s="57" t="s">
        <v>38</v>
      </c>
      <c r="I663" s="82">
        <v>44256</v>
      </c>
      <c r="J663" s="83">
        <f ca="1">EFEITO!$J$663*EFEITO!$Y$567</f>
        <v>42148.447270683391</v>
      </c>
      <c r="K663" s="83">
        <f ca="1">EFEITO!$L$663*EFEITO!$Z$567</f>
        <v>70564.809918296509</v>
      </c>
      <c r="L663" s="83">
        <f>EFEITO!$N$663*EFEITO!$AA$567</f>
        <v>118471.37821410332</v>
      </c>
      <c r="M663" s="83">
        <f ca="1">$J$663-EFEITO!$K$663*EFEITO!$Y$663</f>
        <v>2528.9068362410108</v>
      </c>
      <c r="N663" s="83">
        <f ca="1">$K$663-EFEITO!$M$663*EFEITO!$Z$663</f>
        <v>4233.8885950978001</v>
      </c>
      <c r="O663" s="83">
        <f>$L$663-EFEITO!$O$663*EFEITO!$AA$663</f>
        <v>7108.2826928462164</v>
      </c>
      <c r="P663" s="61"/>
      <c r="Q663" s="61"/>
      <c r="R663" s="61"/>
      <c r="S663" s="61"/>
      <c r="T663" s="61"/>
      <c r="U663" s="61"/>
      <c r="V663" s="61"/>
      <c r="W663" s="61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spans="1:36" ht="11.25" customHeight="1" x14ac:dyDescent="0.2">
      <c r="A664" s="57" t="s">
        <v>28</v>
      </c>
      <c r="B664" s="57" t="s">
        <v>35</v>
      </c>
      <c r="C664" s="57" t="s">
        <v>44</v>
      </c>
      <c r="D664" s="57" t="s">
        <v>52</v>
      </c>
      <c r="E664" s="57" t="s">
        <v>53</v>
      </c>
      <c r="F664" s="57" t="s">
        <v>25</v>
      </c>
      <c r="G664" s="57" t="s">
        <v>25</v>
      </c>
      <c r="H664" s="57" t="s">
        <v>38</v>
      </c>
      <c r="I664" s="82">
        <v>44256</v>
      </c>
      <c r="J664" s="83">
        <f ca="1">EFEITO!$J$664*EFEITO!$Y$567</f>
        <v>19477.691541755201</v>
      </c>
      <c r="K664" s="83">
        <f ca="1">EFEITO!$L$664*EFEITO!$Z$567</f>
        <v>48847.647899472679</v>
      </c>
      <c r="L664" s="83">
        <f>EFEITO!$N$664*EFEITO!$AA$567</f>
        <v>82010.398325572081</v>
      </c>
      <c r="M664" s="83">
        <f ca="1">$J$664-EFEITO!$K$664*EFEITO!$Y$664</f>
        <v>1168.6614925053109</v>
      </c>
      <c r="N664" s="83">
        <f ca="1">$K$664-EFEITO!$M$664*EFEITO!$Z$664</f>
        <v>2930.8588739683692</v>
      </c>
      <c r="O664" s="83">
        <f>$L$664-EFEITO!$O$664*EFEITO!$AA$664</f>
        <v>4920.6238995343301</v>
      </c>
      <c r="P664" s="61"/>
      <c r="Q664" s="61"/>
      <c r="R664" s="61"/>
      <c r="S664" s="61"/>
      <c r="T664" s="61"/>
      <c r="U664" s="61"/>
      <c r="V664" s="61"/>
      <c r="W664" s="61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spans="1:36" ht="11.25" customHeight="1" x14ac:dyDescent="0.2">
      <c r="A665" s="57" t="s">
        <v>21</v>
      </c>
      <c r="B665" s="57" t="s">
        <v>35</v>
      </c>
      <c r="C665" s="57" t="s">
        <v>44</v>
      </c>
      <c r="D665" s="57" t="s">
        <v>52</v>
      </c>
      <c r="E665" s="57" t="s">
        <v>53</v>
      </c>
      <c r="F665" s="57" t="s">
        <v>25</v>
      </c>
      <c r="G665" s="57" t="s">
        <v>25</v>
      </c>
      <c r="H665" s="57" t="s">
        <v>38</v>
      </c>
      <c r="I665" s="82">
        <v>44287</v>
      </c>
      <c r="J665" s="83">
        <f ca="1">EFEITO!$J$665*EFEITO!$Y$567</f>
        <v>29950.942075682589</v>
      </c>
      <c r="K665" s="83">
        <f ca="1">EFEITO!$L$665*EFEITO!$Z$567</f>
        <v>44399.905712665022</v>
      </c>
      <c r="L665" s="83">
        <f>EFEITO!$N$665*EFEITO!$AA$567</f>
        <v>74543.076477440991</v>
      </c>
      <c r="M665" s="83">
        <f ca="1">$J$665-EFEITO!$K$665*EFEITO!$Y$665</f>
        <v>1797.0565245409562</v>
      </c>
      <c r="N665" s="83">
        <f ca="1">$K$665-EFEITO!$M$665*EFEITO!$Z$665</f>
        <v>2663.9943427599064</v>
      </c>
      <c r="O665" s="83">
        <f>$L$665-EFEITO!$O$665*EFEITO!$AA$665</f>
        <v>4472.5845886464522</v>
      </c>
      <c r="P665" s="61"/>
      <c r="Q665" s="61"/>
      <c r="R665" s="61"/>
      <c r="S665" s="61"/>
      <c r="T665" s="61"/>
      <c r="U665" s="61"/>
      <c r="V665" s="61"/>
      <c r="W665" s="61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spans="1:36" ht="11.25" customHeight="1" x14ac:dyDescent="0.2">
      <c r="A666" s="57" t="s">
        <v>28</v>
      </c>
      <c r="B666" s="57" t="s">
        <v>35</v>
      </c>
      <c r="C666" s="57" t="s">
        <v>44</v>
      </c>
      <c r="D666" s="57" t="s">
        <v>52</v>
      </c>
      <c r="E666" s="57" t="s">
        <v>53</v>
      </c>
      <c r="F666" s="57" t="s">
        <v>25</v>
      </c>
      <c r="G666" s="57" t="s">
        <v>25</v>
      </c>
      <c r="H666" s="57" t="s">
        <v>38</v>
      </c>
      <c r="I666" s="82">
        <v>44287</v>
      </c>
      <c r="J666" s="83">
        <f ca="1">EFEITO!$J$666*EFEITO!$Y$567</f>
        <v>19669.275392985583</v>
      </c>
      <c r="K666" s="83">
        <f ca="1">EFEITO!$L$666*EFEITO!$Z$567</f>
        <v>46013.42133889383</v>
      </c>
      <c r="L666" s="83">
        <f>EFEITO!$N$666*EFEITO!$AA$567</f>
        <v>77252.010579731475</v>
      </c>
      <c r="M666" s="83">
        <f ca="1">$J$666-EFEITO!$K$666*EFEITO!$Y$666</f>
        <v>1180.1565235791386</v>
      </c>
      <c r="N666" s="83">
        <f ca="1">$K$666-EFEITO!$M$666*EFEITO!$Z$666</f>
        <v>2760.8052803336323</v>
      </c>
      <c r="O666" s="83">
        <f>$L$666-EFEITO!$O$666*EFEITO!$AA$666</f>
        <v>4635.1206347838888</v>
      </c>
      <c r="P666" s="61"/>
      <c r="Q666" s="61"/>
      <c r="R666" s="61"/>
      <c r="S666" s="61"/>
      <c r="T666" s="61"/>
      <c r="U666" s="61"/>
      <c r="V666" s="61"/>
      <c r="W666" s="61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spans="1:36" ht="11.25" customHeight="1" x14ac:dyDescent="0.2">
      <c r="A667" s="57" t="s">
        <v>21</v>
      </c>
      <c r="B667" s="57" t="s">
        <v>35</v>
      </c>
      <c r="C667" s="57" t="s">
        <v>44</v>
      </c>
      <c r="D667" s="57" t="s">
        <v>52</v>
      </c>
      <c r="E667" s="57" t="s">
        <v>53</v>
      </c>
      <c r="F667" s="57" t="s">
        <v>25</v>
      </c>
      <c r="G667" s="57" t="s">
        <v>25</v>
      </c>
      <c r="H667" s="57" t="s">
        <v>38</v>
      </c>
      <c r="I667" s="82">
        <v>44317</v>
      </c>
      <c r="J667" s="83">
        <f ca="1">EFEITO!$J$667*EFEITO!$Y$567</f>
        <v>35570.735045107045</v>
      </c>
      <c r="K667" s="83">
        <f ca="1">EFEITO!$L$667*EFEITO!$Z$567</f>
        <v>49721.389781665508</v>
      </c>
      <c r="L667" s="83">
        <f>EFEITO!$N$667*EFEITO!$AA$567</f>
        <v>83477.325043104836</v>
      </c>
      <c r="M667" s="83">
        <f ca="1">$J$667-EFEITO!$K$667*EFEITO!$Y$667</f>
        <v>2134.2441027064269</v>
      </c>
      <c r="N667" s="83">
        <f ca="1">$K$667-EFEITO!$M$667*EFEITO!$Z$667</f>
        <v>2983.2833868999369</v>
      </c>
      <c r="O667" s="83">
        <f>$L$667-EFEITO!$O$667*EFEITO!$AA$667</f>
        <v>5008.6395025862876</v>
      </c>
      <c r="P667" s="61"/>
      <c r="Q667" s="61"/>
      <c r="R667" s="61"/>
      <c r="S667" s="61"/>
      <c r="T667" s="61"/>
      <c r="U667" s="61"/>
      <c r="V667" s="61"/>
      <c r="W667" s="61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spans="1:36" ht="11.25" customHeight="1" x14ac:dyDescent="0.2">
      <c r="A668" s="57" t="s">
        <v>28</v>
      </c>
      <c r="B668" s="57" t="s">
        <v>35</v>
      </c>
      <c r="C668" s="57" t="s">
        <v>44</v>
      </c>
      <c r="D668" s="57" t="s">
        <v>52</v>
      </c>
      <c r="E668" s="57" t="s">
        <v>53</v>
      </c>
      <c r="F668" s="57" t="s">
        <v>25</v>
      </c>
      <c r="G668" s="57" t="s">
        <v>25</v>
      </c>
      <c r="H668" s="57" t="s">
        <v>38</v>
      </c>
      <c r="I668" s="82">
        <v>44317</v>
      </c>
      <c r="J668" s="83">
        <f ca="1">EFEITO!$J$668*EFEITO!$Y$567</f>
        <v>20435.610797907098</v>
      </c>
      <c r="K668" s="83">
        <f ca="1">EFEITO!$L$668*EFEITO!$Z$567</f>
        <v>46732.130910263637</v>
      </c>
      <c r="L668" s="83">
        <f>EFEITO!$N$668*EFEITO!$AA$567</f>
        <v>78458.653289524576</v>
      </c>
      <c r="M668" s="83">
        <f ca="1">$J$668-EFEITO!$K$668*EFEITO!$Y$668</f>
        <v>1226.1366478744276</v>
      </c>
      <c r="N668" s="83">
        <f ca="1">$K$668-EFEITO!$M$668*EFEITO!$Z$668</f>
        <v>2803.9278546158239</v>
      </c>
      <c r="O668" s="83">
        <f>$L$668-EFEITO!$O$668*EFEITO!$AA$668</f>
        <v>4707.5191973714827</v>
      </c>
      <c r="P668" s="61"/>
      <c r="Q668" s="61"/>
      <c r="R668" s="61"/>
      <c r="S668" s="61"/>
      <c r="T668" s="61"/>
      <c r="U668" s="61"/>
      <c r="V668" s="61"/>
      <c r="W668" s="61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spans="1:36" ht="11.25" customHeight="1" x14ac:dyDescent="0.2">
      <c r="A669" s="57" t="s">
        <v>21</v>
      </c>
      <c r="B669" s="57" t="s">
        <v>35</v>
      </c>
      <c r="C669" s="57" t="s">
        <v>44</v>
      </c>
      <c r="D669" s="57" t="s">
        <v>52</v>
      </c>
      <c r="E669" s="57" t="s">
        <v>53</v>
      </c>
      <c r="F669" s="57" t="s">
        <v>25</v>
      </c>
      <c r="G669" s="57" t="s">
        <v>25</v>
      </c>
      <c r="H669" s="57" t="s">
        <v>38</v>
      </c>
      <c r="I669" s="82">
        <v>44348</v>
      </c>
      <c r="J669" s="83">
        <f ca="1">EFEITO!$J$669*EFEITO!$Y$567</f>
        <v>30845.000048091024</v>
      </c>
      <c r="K669" s="83">
        <f ca="1">EFEITO!$L$669*EFEITO!$Z$567</f>
        <v>40209.314945765997</v>
      </c>
      <c r="L669" s="83">
        <f>EFEITO!$N$669*EFEITO!$AA$567</f>
        <v>67507.486581278077</v>
      </c>
      <c r="M669" s="83">
        <f ca="1">$J$669-EFEITO!$K$669*EFEITO!$Y$669</f>
        <v>1850.7000028854636</v>
      </c>
      <c r="N669" s="83">
        <f ca="1">$K$669-EFEITO!$M$669*EFEITO!$Z$669</f>
        <v>2412.5588967459626</v>
      </c>
      <c r="O669" s="83">
        <f>$L$669-EFEITO!$O$669*EFEITO!$AA$669</f>
        <v>4050.4491948766808</v>
      </c>
      <c r="P669" s="61"/>
      <c r="Q669" s="61"/>
      <c r="R669" s="61"/>
      <c r="S669" s="61"/>
      <c r="T669" s="61"/>
      <c r="U669" s="61"/>
      <c r="V669" s="61"/>
      <c r="W669" s="61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spans="1:36" ht="11.25" customHeight="1" x14ac:dyDescent="0.2">
      <c r="A670" s="57" t="s">
        <v>28</v>
      </c>
      <c r="B670" s="57" t="s">
        <v>35</v>
      </c>
      <c r="C670" s="57" t="s">
        <v>44</v>
      </c>
      <c r="D670" s="57" t="s">
        <v>52</v>
      </c>
      <c r="E670" s="57" t="s">
        <v>53</v>
      </c>
      <c r="F670" s="57" t="s">
        <v>25</v>
      </c>
      <c r="G670" s="57" t="s">
        <v>25</v>
      </c>
      <c r="H670" s="57" t="s">
        <v>38</v>
      </c>
      <c r="I670" s="82">
        <v>44348</v>
      </c>
      <c r="J670" s="83">
        <f ca="1">EFEITO!$J$670*EFEITO!$Y$567</f>
        <v>20627.194649137477</v>
      </c>
      <c r="K670" s="83">
        <f ca="1">EFEITO!$L$670*EFEITO!$Z$567</f>
        <v>44630.600531704935</v>
      </c>
      <c r="L670" s="83">
        <f>EFEITO!$N$670*EFEITO!$AA$567</f>
        <v>74930.390397653595</v>
      </c>
      <c r="M670" s="83">
        <f ca="1">$J$670-EFEITO!$K$670*EFEITO!$Y$670</f>
        <v>1237.6316789482516</v>
      </c>
      <c r="N670" s="83">
        <f ca="1">$K$670-EFEITO!$M$670*EFEITO!$Z$670</f>
        <v>2677.8360319022977</v>
      </c>
      <c r="O670" s="83">
        <f>$L$670-EFEITO!$O$670*EFEITO!$AA$670</f>
        <v>4495.8234238592268</v>
      </c>
      <c r="P670" s="61"/>
      <c r="Q670" s="61"/>
      <c r="R670" s="61"/>
      <c r="S670" s="61"/>
      <c r="T670" s="61"/>
      <c r="U670" s="61"/>
      <c r="V670" s="61"/>
      <c r="W670" s="61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spans="1:36" ht="11.25" customHeight="1" x14ac:dyDescent="0.2">
      <c r="A671" s="57" t="s">
        <v>21</v>
      </c>
      <c r="B671" s="57" t="s">
        <v>35</v>
      </c>
      <c r="C671" s="57" t="s">
        <v>44</v>
      </c>
      <c r="D671" s="57" t="s">
        <v>52</v>
      </c>
      <c r="E671" s="57" t="s">
        <v>53</v>
      </c>
      <c r="F671" s="57" t="s">
        <v>25</v>
      </c>
      <c r="G671" s="57" t="s">
        <v>25</v>
      </c>
      <c r="H671" s="57" t="s">
        <v>38</v>
      </c>
      <c r="I671" s="82">
        <v>44378</v>
      </c>
      <c r="J671" s="83">
        <f ca="1">EFEITO!$J$671*EFEITO!$Y$567</f>
        <v>55750.900708040303</v>
      </c>
      <c r="K671" s="83">
        <f ca="1">EFEITO!$L$671*EFEITO!$Z$567</f>
        <v>26499.908807714299</v>
      </c>
      <c r="L671" s="83">
        <f>EFEITO!$N$671*EFEITO!$AA$567</f>
        <v>44490.741527299753</v>
      </c>
      <c r="M671" s="83">
        <f ca="1">$J$671-EFEITO!$K$671*EFEITO!$Y$671</f>
        <v>3345.0540424824212</v>
      </c>
      <c r="N671" s="83">
        <f ca="1">$K$671-EFEITO!$M$671*EFEITO!$Z$671</f>
        <v>1589.9945284628629</v>
      </c>
      <c r="O671" s="83">
        <f>$L$671-EFEITO!$O$671*EFEITO!$AA$671</f>
        <v>2669.4444916379871</v>
      </c>
      <c r="P671" s="61"/>
      <c r="Q671" s="61"/>
      <c r="R671" s="61"/>
      <c r="S671" s="61"/>
      <c r="T671" s="61"/>
      <c r="U671" s="61"/>
      <c r="V671" s="61"/>
      <c r="W671" s="61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spans="1:36" ht="11.25" customHeight="1" x14ac:dyDescent="0.2">
      <c r="A672" s="57" t="s">
        <v>28</v>
      </c>
      <c r="B672" s="57" t="s">
        <v>35</v>
      </c>
      <c r="C672" s="57" t="s">
        <v>44</v>
      </c>
      <c r="D672" s="57" t="s">
        <v>52</v>
      </c>
      <c r="E672" s="57" t="s">
        <v>53</v>
      </c>
      <c r="F672" s="57" t="s">
        <v>25</v>
      </c>
      <c r="G672" s="57" t="s">
        <v>25</v>
      </c>
      <c r="H672" s="57" t="s">
        <v>38</v>
      </c>
      <c r="I672" s="82">
        <v>44378</v>
      </c>
      <c r="J672" s="83">
        <f ca="1">EFEITO!$J$672*EFEITO!$Y$567</f>
        <v>19924.72052795942</v>
      </c>
      <c r="K672" s="83">
        <f ca="1">EFEITO!$L$672*EFEITO!$Z$567</f>
        <v>47845.330307325516</v>
      </c>
      <c r="L672" s="83">
        <f>EFEITO!$N$672*EFEITO!$AA$567</f>
        <v>80327.605632055216</v>
      </c>
      <c r="M672" s="83">
        <f ca="1">$J$672-EFEITO!$K$672*EFEITO!$Y$672</f>
        <v>1195.4832316775683</v>
      </c>
      <c r="N672" s="83">
        <f ca="1">$K$672-EFEITO!$M$672*EFEITO!$Z$672</f>
        <v>2870.7198184395311</v>
      </c>
      <c r="O672" s="83">
        <f>$L$672-EFEITO!$O$672*EFEITO!$AA$672</f>
        <v>4819.6563379233121</v>
      </c>
      <c r="P672" s="61"/>
      <c r="Q672" s="61"/>
      <c r="R672" s="61"/>
      <c r="S672" s="61"/>
      <c r="T672" s="61"/>
      <c r="U672" s="61"/>
      <c r="V672" s="61"/>
      <c r="W672" s="61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spans="1:36" ht="11.25" customHeight="1" x14ac:dyDescent="0.2">
      <c r="A673" s="57" t="s">
        <v>21</v>
      </c>
      <c r="B673" s="57" t="s">
        <v>35</v>
      </c>
      <c r="C673" s="57" t="s">
        <v>44</v>
      </c>
      <c r="D673" s="57" t="s">
        <v>52</v>
      </c>
      <c r="E673" s="57" t="s">
        <v>53</v>
      </c>
      <c r="F673" s="57" t="s">
        <v>25</v>
      </c>
      <c r="G673" s="57" t="s">
        <v>25</v>
      </c>
      <c r="H673" s="57" t="s">
        <v>38</v>
      </c>
      <c r="I673" s="82">
        <v>44409</v>
      </c>
      <c r="J673" s="83">
        <f ca="1">EFEITO!$J$673*EFEITO!$Y$567</f>
        <v>55750.900708040303</v>
      </c>
      <c r="K673" s="83">
        <f ca="1">EFEITO!$L$673*EFEITO!$Z$567</f>
        <v>21745.640780268503</v>
      </c>
      <c r="L673" s="83">
        <f>EFEITO!$N$673*EFEITO!$AA$567</f>
        <v>36508.792929083407</v>
      </c>
      <c r="M673" s="83">
        <f ca="1">$J$673-EFEITO!$K$673*EFEITO!$Y$673</f>
        <v>3345.0540424824212</v>
      </c>
      <c r="N673" s="83">
        <f ca="1">$K$673-EFEITO!$M$673*EFEITO!$Z$673</f>
        <v>1304.7384468161108</v>
      </c>
      <c r="O673" s="83">
        <f>$L$673-EFEITO!$O$673*EFEITO!$AA$673</f>
        <v>2190.5275757450072</v>
      </c>
      <c r="P673" s="61"/>
      <c r="Q673" s="61"/>
      <c r="R673" s="61"/>
      <c r="S673" s="61"/>
      <c r="T673" s="61"/>
      <c r="U673" s="61"/>
      <c r="V673" s="61"/>
      <c r="W673" s="61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spans="1:36" ht="11.25" customHeight="1" x14ac:dyDescent="0.2">
      <c r="A674" s="57" t="s">
        <v>28</v>
      </c>
      <c r="B674" s="57" t="s">
        <v>35</v>
      </c>
      <c r="C674" s="57" t="s">
        <v>44</v>
      </c>
      <c r="D674" s="57" t="s">
        <v>52</v>
      </c>
      <c r="E674" s="57" t="s">
        <v>53</v>
      </c>
      <c r="F674" s="57" t="s">
        <v>25</v>
      </c>
      <c r="G674" s="57" t="s">
        <v>25</v>
      </c>
      <c r="H674" s="57" t="s">
        <v>38</v>
      </c>
      <c r="I674" s="82">
        <v>44409</v>
      </c>
      <c r="J674" s="83">
        <f ca="1">EFEITO!$J$674*EFEITO!$Y$567</f>
        <v>20691.055932880936</v>
      </c>
      <c r="K674" s="83">
        <f ca="1">EFEITO!$L$674*EFEITO!$Z$567</f>
        <v>45208.264402902052</v>
      </c>
      <c r="L674" s="83">
        <f>EFEITO!$N$674*EFEITO!$AA$567</f>
        <v>75900.231243883551</v>
      </c>
      <c r="M674" s="83">
        <f ca="1">$J$674-EFEITO!$K$674*EFEITO!$Y$674</f>
        <v>1241.4633559728572</v>
      </c>
      <c r="N674" s="83">
        <f ca="1">$K$674-EFEITO!$M$674*EFEITO!$Z$674</f>
        <v>2712.495864174125</v>
      </c>
      <c r="O674" s="83">
        <f>$L$674-EFEITO!$O$674*EFEITO!$AA$674</f>
        <v>4554.0138746330194</v>
      </c>
      <c r="P674" s="61"/>
      <c r="Q674" s="61"/>
      <c r="R674" s="61"/>
      <c r="S674" s="61"/>
      <c r="T674" s="61"/>
      <c r="U674" s="61"/>
      <c r="V674" s="61"/>
      <c r="W674" s="61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spans="1:36" ht="11.25" customHeight="1" x14ac:dyDescent="0.2">
      <c r="A675" s="57" t="s">
        <v>21</v>
      </c>
      <c r="B675" s="57" t="s">
        <v>35</v>
      </c>
      <c r="C675" s="57" t="s">
        <v>44</v>
      </c>
      <c r="D675" s="57" t="s">
        <v>52</v>
      </c>
      <c r="E675" s="57" t="s">
        <v>53</v>
      </c>
      <c r="F675" s="57" t="s">
        <v>25</v>
      </c>
      <c r="G675" s="57" t="s">
        <v>25</v>
      </c>
      <c r="H675" s="57" t="s">
        <v>38</v>
      </c>
      <c r="I675" s="82">
        <v>44440</v>
      </c>
      <c r="J675" s="83">
        <f ca="1">EFEITO!$J$675*EFEITO!$Y$567</f>
        <v>62328.612933616649</v>
      </c>
      <c r="K675" s="83">
        <f ca="1">EFEITO!$L$675*EFEITO!$Z$567</f>
        <v>57453.963310726765</v>
      </c>
      <c r="L675" s="83">
        <f>EFEITO!$N$675*EFEITO!$AA$567</f>
        <v>96459.555763919838</v>
      </c>
      <c r="M675" s="83">
        <f ca="1">$J$675-EFEITO!$K$675*EFEITO!$Y$675</f>
        <v>3739.716776017005</v>
      </c>
      <c r="N675" s="83">
        <f ca="1">$K$675-EFEITO!$M$675*EFEITO!$Z$675</f>
        <v>3447.2377986436113</v>
      </c>
      <c r="O675" s="83">
        <f>$L$675-EFEITO!$O$675*EFEITO!$AA$675</f>
        <v>5787.5733458352042</v>
      </c>
      <c r="P675" s="61"/>
      <c r="Q675" s="61"/>
      <c r="R675" s="61"/>
      <c r="S675" s="61"/>
      <c r="T675" s="61"/>
      <c r="U675" s="61"/>
      <c r="V675" s="61"/>
      <c r="W675" s="61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spans="1:36" ht="11.25" customHeight="1" x14ac:dyDescent="0.2">
      <c r="A676" s="57" t="s">
        <v>28</v>
      </c>
      <c r="B676" s="57" t="s">
        <v>35</v>
      </c>
      <c r="C676" s="57" t="s">
        <v>44</v>
      </c>
      <c r="D676" s="57" t="s">
        <v>52</v>
      </c>
      <c r="E676" s="57" t="s">
        <v>53</v>
      </c>
      <c r="F676" s="57" t="s">
        <v>25</v>
      </c>
      <c r="G676" s="57" t="s">
        <v>25</v>
      </c>
      <c r="H676" s="57" t="s">
        <v>38</v>
      </c>
      <c r="I676" s="82">
        <v>44440</v>
      </c>
      <c r="J676" s="83">
        <f ca="1">EFEITO!$J$676*EFEITO!$Y$567</f>
        <v>21138.084919085155</v>
      </c>
      <c r="K676" s="83">
        <f ca="1">EFEITO!$L$676*EFEITO!$Z$567</f>
        <v>42793.467648452039</v>
      </c>
      <c r="L676" s="83">
        <f>EFEITO!$N$676*EFEITO!$AA$567</f>
        <v>71846.024905938626</v>
      </c>
      <c r="M676" s="83">
        <f ca="1">$J$676-EFEITO!$K$676*EFEITO!$Y$676</f>
        <v>1268.285095145111</v>
      </c>
      <c r="N676" s="83">
        <f ca="1">$K$676-EFEITO!$M$676*EFEITO!$Z$676</f>
        <v>2567.608058907128</v>
      </c>
      <c r="O676" s="83">
        <f>$L$676-EFEITO!$O$676*EFEITO!$AA$676</f>
        <v>4310.761494356324</v>
      </c>
      <c r="P676" s="61"/>
      <c r="Q676" s="61"/>
      <c r="R676" s="61"/>
      <c r="S676" s="61"/>
      <c r="T676" s="61"/>
      <c r="U676" s="61"/>
      <c r="V676" s="61"/>
      <c r="W676" s="61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spans="1:36" ht="11.25" customHeight="1" x14ac:dyDescent="0.2">
      <c r="A677" s="57" t="s">
        <v>59</v>
      </c>
      <c r="B677" s="57" t="s">
        <v>35</v>
      </c>
      <c r="C677" s="57" t="s">
        <v>44</v>
      </c>
      <c r="D677" s="57" t="s">
        <v>52</v>
      </c>
      <c r="E677" s="57" t="s">
        <v>53</v>
      </c>
      <c r="F677" s="57" t="s">
        <v>25</v>
      </c>
      <c r="G677" s="57" t="s">
        <v>25</v>
      </c>
      <c r="H677" s="57" t="s">
        <v>38</v>
      </c>
      <c r="I677" s="82">
        <v>44470</v>
      </c>
      <c r="J677" s="83">
        <f ca="1">EFEITO!$J$677*EFEITO!$Y$567</f>
        <v>62328.612933616649</v>
      </c>
      <c r="K677" s="83">
        <f ca="1">EFEITO!$L$677*EFEITO!$Z$567</f>
        <v>57453.963310726765</v>
      </c>
      <c r="L677" s="83">
        <f>EFEITO!$N$677*EFEITO!$AA$567</f>
        <v>96459.555763919838</v>
      </c>
      <c r="M677" s="83">
        <f ca="1">$J$677-EFEITO!$K$677*EFEITO!$Y$677</f>
        <v>3739.716776017005</v>
      </c>
      <c r="N677" s="83">
        <f ca="1">$K$677-EFEITO!$M$677*EFEITO!$Z$677</f>
        <v>3447.2377986436113</v>
      </c>
      <c r="O677" s="83">
        <f>$L$677-EFEITO!$O$677*EFEITO!$AA$677</f>
        <v>5787.5733458352042</v>
      </c>
      <c r="P677" s="61"/>
      <c r="Q677" s="61"/>
      <c r="R677" s="61"/>
      <c r="S677" s="61"/>
      <c r="T677" s="61"/>
      <c r="U677" s="61"/>
      <c r="V677" s="61"/>
      <c r="W677" s="61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spans="1:36" ht="11.25" customHeight="1" x14ac:dyDescent="0.2">
      <c r="A678" s="57" t="s">
        <v>59</v>
      </c>
      <c r="B678" s="57" t="s">
        <v>35</v>
      </c>
      <c r="C678" s="57" t="s">
        <v>44</v>
      </c>
      <c r="D678" s="57" t="s">
        <v>52</v>
      </c>
      <c r="E678" s="57" t="s">
        <v>53</v>
      </c>
      <c r="F678" s="57" t="s">
        <v>25</v>
      </c>
      <c r="G678" s="57" t="s">
        <v>25</v>
      </c>
      <c r="H678" s="57" t="s">
        <v>38</v>
      </c>
      <c r="I678" s="82">
        <v>44470</v>
      </c>
      <c r="J678" s="83">
        <f ca="1">EFEITO!$J$678*EFEITO!$Y$567</f>
        <v>21138.084919085155</v>
      </c>
      <c r="K678" s="83">
        <f ca="1">EFEITO!$L$678*EFEITO!$Z$567</f>
        <v>42793.467648452039</v>
      </c>
      <c r="L678" s="83">
        <f>EFEITO!$N$678*EFEITO!$AA$567</f>
        <v>71846.024905938626</v>
      </c>
      <c r="M678" s="83">
        <f ca="1">$J$678-EFEITO!$K$678*EFEITO!$Y$678</f>
        <v>1268.285095145111</v>
      </c>
      <c r="N678" s="83">
        <f ca="1">$K$678-EFEITO!$M$678*EFEITO!$Z$678</f>
        <v>2567.608058907128</v>
      </c>
      <c r="O678" s="83">
        <f>$L$678-EFEITO!$O$678*EFEITO!$AA$678</f>
        <v>4310.761494356324</v>
      </c>
      <c r="P678" s="61"/>
      <c r="Q678" s="61"/>
      <c r="R678" s="61"/>
      <c r="S678" s="61"/>
      <c r="T678" s="61"/>
      <c r="U678" s="61"/>
      <c r="V678" s="61"/>
      <c r="W678" s="61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spans="1:36" ht="11.25" customHeight="1" x14ac:dyDescent="0.2">
      <c r="A679" s="57" t="s">
        <v>21</v>
      </c>
      <c r="B679" s="57" t="s">
        <v>35</v>
      </c>
      <c r="C679" s="57" t="s">
        <v>44</v>
      </c>
      <c r="D679" s="57" t="s">
        <v>52</v>
      </c>
      <c r="E679" s="57" t="s">
        <v>53</v>
      </c>
      <c r="F679" s="57" t="s">
        <v>25</v>
      </c>
      <c r="G679" s="57" t="s">
        <v>25</v>
      </c>
      <c r="H679" s="57" t="s">
        <v>37</v>
      </c>
      <c r="I679" s="82">
        <v>44136</v>
      </c>
      <c r="J679" s="83">
        <f ca="1">EFEITO!$J$679*EFEITO!$Y$606</f>
        <v>74925.308517421145</v>
      </c>
      <c r="K679" s="83">
        <f ca="1">EFEITO!$L$679*EFEITO!$Z$606</f>
        <v>6600.6691466718112</v>
      </c>
      <c r="L679" s="83">
        <f>EFEITO!$N$679*EFEITO!$AA$606</f>
        <v>17796.050005755609</v>
      </c>
      <c r="M679" s="83">
        <f ca="1">$J$679-EFEITO!$K$679*EFEITO!$Y$679</f>
        <v>4495.518511045273</v>
      </c>
      <c r="N679" s="83">
        <f ca="1">$K$679-EFEITO!$M$679*EFEITO!$Z$679</f>
        <v>396.040148800309</v>
      </c>
      <c r="O679" s="83">
        <f>$L$679-EFEITO!$O$679*EFEITO!$AA$679</f>
        <v>1067.7630003453378</v>
      </c>
      <c r="P679" s="61"/>
      <c r="Q679" s="61"/>
      <c r="R679" s="61"/>
      <c r="S679" s="61"/>
      <c r="T679" s="61"/>
      <c r="U679" s="61"/>
      <c r="V679" s="61"/>
      <c r="W679" s="61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spans="1:36" ht="11.25" customHeight="1" x14ac:dyDescent="0.2">
      <c r="A680" s="57" t="s">
        <v>28</v>
      </c>
      <c r="B680" s="57" t="s">
        <v>35</v>
      </c>
      <c r="C680" s="57" t="s">
        <v>44</v>
      </c>
      <c r="D680" s="57" t="s">
        <v>52</v>
      </c>
      <c r="E680" s="57" t="s">
        <v>53</v>
      </c>
      <c r="F680" s="57" t="s">
        <v>25</v>
      </c>
      <c r="G680" s="57" t="s">
        <v>25</v>
      </c>
      <c r="H680" s="57" t="s">
        <v>37</v>
      </c>
      <c r="I680" s="82">
        <v>44136</v>
      </c>
      <c r="J680" s="83">
        <f ca="1">EFEITO!$J$680*EFEITO!$Y$606</f>
        <v>35802.916411805672</v>
      </c>
      <c r="K680" s="83">
        <f ca="1">EFEITO!$L$680*EFEITO!$Z$606</f>
        <v>4390.6161505369937</v>
      </c>
      <c r="L680" s="83">
        <f>EFEITO!$N$680*EFEITO!$AA$606</f>
        <v>11837.530837374581</v>
      </c>
      <c r="M680" s="83">
        <f ca="1">$J$680-EFEITO!$K$680*EFEITO!$Y$680</f>
        <v>2148.1749847083411</v>
      </c>
      <c r="N680" s="83">
        <f ca="1">$K$680-EFEITO!$M$680*EFEITO!$Z$680</f>
        <v>263.43696903222008</v>
      </c>
      <c r="O680" s="83">
        <f>$L$680-EFEITO!$O$680*EFEITO!$AA$680</f>
        <v>710.25185024247548</v>
      </c>
      <c r="P680" s="61"/>
      <c r="Q680" s="61"/>
      <c r="R680" s="61"/>
      <c r="S680" s="61"/>
      <c r="T680" s="61"/>
      <c r="U680" s="61"/>
      <c r="V680" s="61"/>
      <c r="W680" s="61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spans="1:36" ht="11.25" customHeight="1" x14ac:dyDescent="0.2">
      <c r="A681" s="57" t="s">
        <v>21</v>
      </c>
      <c r="B681" s="57" t="s">
        <v>35</v>
      </c>
      <c r="C681" s="57" t="s">
        <v>44</v>
      </c>
      <c r="D681" s="57" t="s">
        <v>52</v>
      </c>
      <c r="E681" s="57" t="s">
        <v>53</v>
      </c>
      <c r="F681" s="57" t="s">
        <v>25</v>
      </c>
      <c r="G681" s="57" t="s">
        <v>25</v>
      </c>
      <c r="H681" s="57" t="s">
        <v>37</v>
      </c>
      <c r="I681" s="82">
        <v>44166</v>
      </c>
      <c r="J681" s="83">
        <f ca="1">EFEITO!$J$681*EFEITO!$Y$606</f>
        <v>75577.348385848076</v>
      </c>
      <c r="K681" s="83">
        <f ca="1">EFEITO!$L$681*EFEITO!$Z$606</f>
        <v>6896.4101309048719</v>
      </c>
      <c r="L681" s="83">
        <f>EFEITO!$N$681*EFEITO!$AA$606</f>
        <v>18593.396642469957</v>
      </c>
      <c r="M681" s="83">
        <f ca="1">$J$681-EFEITO!$K$681*EFEITO!$Y$681</f>
        <v>4534.6409031508956</v>
      </c>
      <c r="N681" s="83">
        <f ca="1">$K$681-EFEITO!$M$681*EFEITO!$Z$681</f>
        <v>413.78460785429252</v>
      </c>
      <c r="O681" s="83">
        <f>$L$681-EFEITO!$O$681*EFEITO!$AA$681</f>
        <v>1115.6037985481998</v>
      </c>
      <c r="P681" s="61"/>
      <c r="Q681" s="61"/>
      <c r="R681" s="61"/>
      <c r="S681" s="61"/>
      <c r="T681" s="61"/>
      <c r="U681" s="61"/>
      <c r="V681" s="61"/>
      <c r="W681" s="61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spans="1:36" ht="11.25" customHeight="1" x14ac:dyDescent="0.2">
      <c r="A682" s="57" t="s">
        <v>28</v>
      </c>
      <c r="B682" s="57" t="s">
        <v>35</v>
      </c>
      <c r="C682" s="57" t="s">
        <v>44</v>
      </c>
      <c r="D682" s="57" t="s">
        <v>52</v>
      </c>
      <c r="E682" s="57" t="s">
        <v>53</v>
      </c>
      <c r="F682" s="57" t="s">
        <v>25</v>
      </c>
      <c r="G682" s="57" t="s">
        <v>25</v>
      </c>
      <c r="H682" s="57" t="s">
        <v>37</v>
      </c>
      <c r="I682" s="82">
        <v>44166</v>
      </c>
      <c r="J682" s="83">
        <f ca="1">EFEITO!$J$682*EFEITO!$Y$606</f>
        <v>36217.850873531897</v>
      </c>
      <c r="K682" s="83">
        <f ca="1">EFEITO!$L$682*EFEITO!$Z$606</f>
        <v>5125.5030065144192</v>
      </c>
      <c r="L682" s="83">
        <f>EFEITO!$N$682*EFEITO!$AA$606</f>
        <v>13818.857722110355</v>
      </c>
      <c r="M682" s="83">
        <f ca="1">$J$682-EFEITO!$K$682*EFEITO!$Y$682</f>
        <v>2173.0710524119131</v>
      </c>
      <c r="N682" s="83">
        <f ca="1">$K$682-EFEITO!$M$682*EFEITO!$Z$682</f>
        <v>307.53018039086601</v>
      </c>
      <c r="O682" s="83">
        <f>$L$682-EFEITO!$O$682*EFEITO!$AA$682</f>
        <v>829.13146332662291</v>
      </c>
      <c r="P682" s="61"/>
      <c r="Q682" s="61"/>
      <c r="R682" s="61"/>
      <c r="S682" s="61"/>
      <c r="T682" s="61"/>
      <c r="U682" s="61"/>
      <c r="V682" s="61"/>
      <c r="W682" s="61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spans="1:36" ht="11.25" customHeight="1" x14ac:dyDescent="0.2">
      <c r="A683" s="57" t="s">
        <v>21</v>
      </c>
      <c r="B683" s="57" t="s">
        <v>35</v>
      </c>
      <c r="C683" s="57" t="s">
        <v>44</v>
      </c>
      <c r="D683" s="57" t="s">
        <v>52</v>
      </c>
      <c r="E683" s="57" t="s">
        <v>53</v>
      </c>
      <c r="F683" s="57" t="s">
        <v>25</v>
      </c>
      <c r="G683" s="57" t="s">
        <v>25</v>
      </c>
      <c r="H683" s="57" t="s">
        <v>37</v>
      </c>
      <c r="I683" s="82">
        <v>44197</v>
      </c>
      <c r="J683" s="83">
        <f ca="1">EFEITO!$J$683*EFEITO!$Y$606</f>
        <v>76347.940957625338</v>
      </c>
      <c r="K683" s="83">
        <f ca="1">EFEITO!$L$683*EFEITO!$Z$606</f>
        <v>6825.634510746534</v>
      </c>
      <c r="L683" s="83">
        <f>EFEITO!$N$683*EFEITO!$AA$606</f>
        <v>18402.578643940029</v>
      </c>
      <c r="M683" s="83">
        <f ca="1">$J$683-EFEITO!$K$683*EFEITO!$Y$683</f>
        <v>4580.876457457518</v>
      </c>
      <c r="N683" s="83">
        <f ca="1">$K$683-EFEITO!$M$683*EFEITO!$Z$683</f>
        <v>409.53807064479315</v>
      </c>
      <c r="O683" s="83">
        <f>$L$683-EFEITO!$O$683*EFEITO!$AA$683</f>
        <v>1104.1547186364041</v>
      </c>
      <c r="P683" s="61"/>
      <c r="Q683" s="61"/>
      <c r="R683" s="61"/>
      <c r="S683" s="61"/>
      <c r="T683" s="61"/>
      <c r="U683" s="61"/>
      <c r="V683" s="61"/>
      <c r="W683" s="61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spans="1:36" ht="11.25" customHeight="1" x14ac:dyDescent="0.2">
      <c r="A684" s="57" t="s">
        <v>28</v>
      </c>
      <c r="B684" s="57" t="s">
        <v>35</v>
      </c>
      <c r="C684" s="57" t="s">
        <v>44</v>
      </c>
      <c r="D684" s="57" t="s">
        <v>52</v>
      </c>
      <c r="E684" s="57" t="s">
        <v>53</v>
      </c>
      <c r="F684" s="57" t="s">
        <v>25</v>
      </c>
      <c r="G684" s="57" t="s">
        <v>25</v>
      </c>
      <c r="H684" s="57" t="s">
        <v>37</v>
      </c>
      <c r="I684" s="82">
        <v>44197</v>
      </c>
      <c r="J684" s="83">
        <f ca="1">EFEITO!$J$684*EFEITO!$Y$606</f>
        <v>36158.574521856724</v>
      </c>
      <c r="K684" s="83">
        <f ca="1">EFEITO!$L$684*EFEITO!$Z$606</f>
        <v>5055.401439881397</v>
      </c>
      <c r="L684" s="83">
        <f>EFEITO!$N$684*EFEITO!$AA$606</f>
        <v>13629.857037852138</v>
      </c>
      <c r="M684" s="83">
        <f ca="1">$J$684-EFEITO!$K$684*EFEITO!$Y$684</f>
        <v>2169.5144713114059</v>
      </c>
      <c r="N684" s="83">
        <f ca="1">$K$684-EFEITO!$M$684*EFEITO!$Z$684</f>
        <v>303.32408639288406</v>
      </c>
      <c r="O684" s="83">
        <f>$L$684-EFEITO!$O$684*EFEITO!$AA$684</f>
        <v>817.7914222711297</v>
      </c>
      <c r="P684" s="61"/>
      <c r="Q684" s="61"/>
      <c r="R684" s="61"/>
      <c r="S684" s="61"/>
      <c r="T684" s="61"/>
      <c r="U684" s="61"/>
      <c r="V684" s="61"/>
      <c r="W684" s="61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spans="1:36" ht="11.25" customHeight="1" x14ac:dyDescent="0.2">
      <c r="A685" s="57" t="s">
        <v>21</v>
      </c>
      <c r="B685" s="57" t="s">
        <v>35</v>
      </c>
      <c r="C685" s="57" t="s">
        <v>44</v>
      </c>
      <c r="D685" s="57" t="s">
        <v>52</v>
      </c>
      <c r="E685" s="57" t="s">
        <v>53</v>
      </c>
      <c r="F685" s="57" t="s">
        <v>25</v>
      </c>
      <c r="G685" s="57" t="s">
        <v>25</v>
      </c>
      <c r="H685" s="57" t="s">
        <v>37</v>
      </c>
      <c r="I685" s="82">
        <v>44228</v>
      </c>
      <c r="J685" s="83">
        <f ca="1">EFEITO!$J$685*EFEITO!$Y$606</f>
        <v>75458.795682497715</v>
      </c>
      <c r="K685" s="83">
        <f ca="1">EFEITO!$L$685*EFEITO!$Z$606</f>
        <v>6228.0860605525522</v>
      </c>
      <c r="L685" s="83">
        <f>EFEITO!$N$685*EFEITO!$AA$606</f>
        <v>16791.529542065906</v>
      </c>
      <c r="M685" s="83">
        <f ca="1">$J$685-EFEITO!$K$685*EFEITO!$Y$685</f>
        <v>4527.5277409498667</v>
      </c>
      <c r="N685" s="83">
        <f ca="1">$K$685-EFEITO!$M$685*EFEITO!$Z$685</f>
        <v>373.68516363315393</v>
      </c>
      <c r="O685" s="83">
        <f>$L$685-EFEITO!$O$685*EFEITO!$AA$685</f>
        <v>1007.4917725239557</v>
      </c>
      <c r="P685" s="61"/>
      <c r="Q685" s="61"/>
      <c r="R685" s="61"/>
      <c r="S685" s="61"/>
      <c r="T685" s="61"/>
      <c r="U685" s="61"/>
      <c r="V685" s="61"/>
      <c r="W685" s="61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spans="1:36" ht="11.25" customHeight="1" x14ac:dyDescent="0.2">
      <c r="A686" s="57" t="s">
        <v>28</v>
      </c>
      <c r="B686" s="57" t="s">
        <v>35</v>
      </c>
      <c r="C686" s="57" t="s">
        <v>44</v>
      </c>
      <c r="D686" s="57" t="s">
        <v>52</v>
      </c>
      <c r="E686" s="57" t="s">
        <v>53</v>
      </c>
      <c r="F686" s="57" t="s">
        <v>25</v>
      </c>
      <c r="G686" s="57" t="s">
        <v>25</v>
      </c>
      <c r="H686" s="57" t="s">
        <v>37</v>
      </c>
      <c r="I686" s="82">
        <v>44228</v>
      </c>
      <c r="J686" s="83">
        <f ca="1">EFEITO!$J$686*EFEITO!$Y$606</f>
        <v>36277.127225207078</v>
      </c>
      <c r="K686" s="83">
        <f ca="1">EFEITO!$L$686*EFEITO!$Z$606</f>
        <v>4342.9268636207789</v>
      </c>
      <c r="L686" s="83">
        <f>EFEITO!$N$686*EFEITO!$AA$606</f>
        <v>11708.955852650843</v>
      </c>
      <c r="M686" s="83">
        <f ca="1">$J$686-EFEITO!$K$686*EFEITO!$Y$686</f>
        <v>2176.6276335124276</v>
      </c>
      <c r="N686" s="83">
        <f ca="1">$K$686-EFEITO!$M$686*EFEITO!$Z$686</f>
        <v>260.57561181724759</v>
      </c>
      <c r="O686" s="83">
        <f>$L$686-EFEITO!$O$686*EFEITO!$AA$686</f>
        <v>702.53735115905147</v>
      </c>
      <c r="P686" s="61"/>
      <c r="Q686" s="61"/>
      <c r="R686" s="61"/>
      <c r="S686" s="61"/>
      <c r="T686" s="61"/>
      <c r="U686" s="61"/>
      <c r="V686" s="61"/>
      <c r="W686" s="61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spans="1:36" ht="11.25" customHeight="1" x14ac:dyDescent="0.2">
      <c r="A687" s="57" t="s">
        <v>21</v>
      </c>
      <c r="B687" s="57" t="s">
        <v>35</v>
      </c>
      <c r="C687" s="57" t="s">
        <v>44</v>
      </c>
      <c r="D687" s="57" t="s">
        <v>52</v>
      </c>
      <c r="E687" s="57" t="s">
        <v>53</v>
      </c>
      <c r="F687" s="57" t="s">
        <v>25</v>
      </c>
      <c r="G687" s="57" t="s">
        <v>25</v>
      </c>
      <c r="H687" s="57" t="s">
        <v>37</v>
      </c>
      <c r="I687" s="82">
        <v>44256</v>
      </c>
      <c r="J687" s="83">
        <f ca="1">EFEITO!$J$687*EFEITO!$Y$606</f>
        <v>75458.795682497715</v>
      </c>
      <c r="K687" s="83">
        <f ca="1">EFEITO!$L$687*EFEITO!$Z$606</f>
        <v>6918.4853838590216</v>
      </c>
      <c r="L687" s="83">
        <f>EFEITO!$N$687*EFEITO!$AA$606</f>
        <v>18652.913684868578</v>
      </c>
      <c r="M687" s="83">
        <f ca="1">$J$687-EFEITO!$K$687*EFEITO!$Y$687</f>
        <v>4527.5277409498667</v>
      </c>
      <c r="N687" s="83">
        <f ca="1">$K$687-EFEITO!$M$687*EFEITO!$Z$687</f>
        <v>415.10912303154237</v>
      </c>
      <c r="O687" s="83">
        <f>$L$687-EFEITO!$O$687*EFEITO!$AA$687</f>
        <v>1119.1748210921178</v>
      </c>
      <c r="P687" s="61"/>
      <c r="Q687" s="61"/>
      <c r="R687" s="61"/>
      <c r="S687" s="61"/>
      <c r="T687" s="61"/>
      <c r="U687" s="61"/>
      <c r="V687" s="61"/>
      <c r="W687" s="61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spans="1:36" ht="11.25" customHeight="1" x14ac:dyDescent="0.2">
      <c r="A688" s="57" t="s">
        <v>28</v>
      </c>
      <c r="B688" s="57" t="s">
        <v>35</v>
      </c>
      <c r="C688" s="57" t="s">
        <v>44</v>
      </c>
      <c r="D688" s="57" t="s">
        <v>52</v>
      </c>
      <c r="E688" s="57" t="s">
        <v>53</v>
      </c>
      <c r="F688" s="57" t="s">
        <v>25</v>
      </c>
      <c r="G688" s="57" t="s">
        <v>25</v>
      </c>
      <c r="H688" s="57" t="s">
        <v>37</v>
      </c>
      <c r="I688" s="82">
        <v>44256</v>
      </c>
      <c r="J688" s="83">
        <f ca="1">EFEITO!$J$688*EFEITO!$Y$606</f>
        <v>35625.087356780146</v>
      </c>
      <c r="K688" s="83">
        <f ca="1">EFEITO!$L$688*EFEITO!$Z$606</f>
        <v>4804.8220418446099</v>
      </c>
      <c r="L688" s="83">
        <f>EFEITO!$N$688*EFEITO!$AA$606</f>
        <v>12954.270457342602</v>
      </c>
      <c r="M688" s="83">
        <f ca="1">$J$688-EFEITO!$K$688*EFEITO!$Y$688</f>
        <v>2137.505241406805</v>
      </c>
      <c r="N688" s="83">
        <f ca="1">$K$688-EFEITO!$M$688*EFEITO!$Z$688</f>
        <v>288.28932251067727</v>
      </c>
      <c r="O688" s="83">
        <f>$L$688-EFEITO!$O$688*EFEITO!$AA$688</f>
        <v>777.25622744055727</v>
      </c>
      <c r="P688" s="61"/>
      <c r="Q688" s="61"/>
      <c r="R688" s="61"/>
      <c r="S688" s="61"/>
      <c r="T688" s="61"/>
      <c r="U688" s="61"/>
      <c r="V688" s="61"/>
      <c r="W688" s="61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spans="1:36" ht="11.25" customHeight="1" x14ac:dyDescent="0.2">
      <c r="A689" s="57" t="s">
        <v>21</v>
      </c>
      <c r="B689" s="57" t="s">
        <v>35</v>
      </c>
      <c r="C689" s="57" t="s">
        <v>44</v>
      </c>
      <c r="D689" s="57" t="s">
        <v>52</v>
      </c>
      <c r="E689" s="57" t="s">
        <v>53</v>
      </c>
      <c r="F689" s="57" t="s">
        <v>25</v>
      </c>
      <c r="G689" s="57" t="s">
        <v>25</v>
      </c>
      <c r="H689" s="57" t="s">
        <v>37</v>
      </c>
      <c r="I689" s="82">
        <v>44287</v>
      </c>
      <c r="J689" s="83">
        <f ca="1">EFEITO!$J$689*EFEITO!$Y$606</f>
        <v>44397.987404706044</v>
      </c>
      <c r="K689" s="83">
        <f ca="1">EFEITO!$L$689*EFEITO!$Z$606</f>
        <v>3714.7089780248507</v>
      </c>
      <c r="L689" s="83">
        <f>EFEITO!$N$689*EFEITO!$AA$606</f>
        <v>10015.218951413752</v>
      </c>
      <c r="M689" s="83">
        <f ca="1">$J$689-EFEITO!$K$689*EFEITO!$Y$689</f>
        <v>2663.8792442823615</v>
      </c>
      <c r="N689" s="83">
        <f ca="1">$K$689-EFEITO!$M$689*EFEITO!$Z$689</f>
        <v>222.8825386814915</v>
      </c>
      <c r="O689" s="83">
        <f>$L$689-EFEITO!$O$689*EFEITO!$AA$689</f>
        <v>600.9131370848263</v>
      </c>
      <c r="P689" s="61"/>
      <c r="Q689" s="61"/>
      <c r="R689" s="61"/>
      <c r="S689" s="61"/>
      <c r="T689" s="61"/>
      <c r="U689" s="61"/>
      <c r="V689" s="61"/>
      <c r="W689" s="61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spans="1:36" ht="11.25" customHeight="1" x14ac:dyDescent="0.2">
      <c r="A690" s="57" t="s">
        <v>28</v>
      </c>
      <c r="B690" s="57" t="s">
        <v>35</v>
      </c>
      <c r="C690" s="57" t="s">
        <v>44</v>
      </c>
      <c r="D690" s="57" t="s">
        <v>52</v>
      </c>
      <c r="E690" s="57" t="s">
        <v>53</v>
      </c>
      <c r="F690" s="57" t="s">
        <v>25</v>
      </c>
      <c r="G690" s="57" t="s">
        <v>25</v>
      </c>
      <c r="H690" s="57" t="s">
        <v>37</v>
      </c>
      <c r="I690" s="82">
        <v>44287</v>
      </c>
      <c r="J690" s="83">
        <f ca="1">EFEITO!$J$690*EFEITO!$Y$606</f>
        <v>36158.574521856724</v>
      </c>
      <c r="K690" s="83">
        <f ca="1">EFEITO!$L$690*EFEITO!$Z$606</f>
        <v>4745.3368182353379</v>
      </c>
      <c r="L690" s="83">
        <f>EFEITO!$N$690*EFEITO!$AA$606</f>
        <v>12793.892472863874</v>
      </c>
      <c r="M690" s="83">
        <f ca="1">$J$690-EFEITO!$K$690*EFEITO!$Y$690</f>
        <v>2169.5144713114059</v>
      </c>
      <c r="N690" s="83">
        <f ca="1">$K$690-EFEITO!$M$690*EFEITO!$Z$690</f>
        <v>284.72020909412004</v>
      </c>
      <c r="O690" s="83">
        <f>$L$690-EFEITO!$O$690*EFEITO!$AA$690</f>
        <v>767.63354837183397</v>
      </c>
      <c r="P690" s="61"/>
      <c r="Q690" s="61"/>
      <c r="R690" s="61"/>
      <c r="S690" s="61"/>
      <c r="T690" s="61"/>
      <c r="U690" s="61"/>
      <c r="V690" s="61"/>
      <c r="W690" s="61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spans="1:36" ht="11.25" customHeight="1" x14ac:dyDescent="0.2">
      <c r="A691" s="57" t="s">
        <v>21</v>
      </c>
      <c r="B691" s="57" t="s">
        <v>35</v>
      </c>
      <c r="C691" s="57" t="s">
        <v>44</v>
      </c>
      <c r="D691" s="57" t="s">
        <v>52</v>
      </c>
      <c r="E691" s="57" t="s">
        <v>53</v>
      </c>
      <c r="F691" s="57" t="s">
        <v>25</v>
      </c>
      <c r="G691" s="57" t="s">
        <v>25</v>
      </c>
      <c r="H691" s="57" t="s">
        <v>37</v>
      </c>
      <c r="I691" s="82">
        <v>44317</v>
      </c>
      <c r="J691" s="83">
        <f ca="1">EFEITO!$J$691*EFEITO!$Y$606</f>
        <v>48784.437428668993</v>
      </c>
      <c r="K691" s="83">
        <f ca="1">EFEITO!$L$691*EFEITO!$Z$606</f>
        <v>4213.8456135224742</v>
      </c>
      <c r="L691" s="83">
        <f>EFEITO!$N$691*EFEITO!$AA$606</f>
        <v>11360.940169617685</v>
      </c>
      <c r="M691" s="83">
        <f ca="1">$J$691-EFEITO!$K$691*EFEITO!$Y$691</f>
        <v>2927.0662457201397</v>
      </c>
      <c r="N691" s="83">
        <f ca="1">$K$691-EFEITO!$M$691*EFEITO!$Z$691</f>
        <v>252.8307368113492</v>
      </c>
      <c r="O691" s="83">
        <f>$L$691-EFEITO!$O$691*EFEITO!$AA$691</f>
        <v>681.65641017706184</v>
      </c>
      <c r="P691" s="61"/>
      <c r="Q691" s="61"/>
      <c r="R691" s="61"/>
      <c r="S691" s="61"/>
      <c r="T691" s="61"/>
      <c r="U691" s="61"/>
      <c r="V691" s="61"/>
      <c r="W691" s="61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spans="1:36" ht="11.25" customHeight="1" x14ac:dyDescent="0.2">
      <c r="A692" s="57" t="s">
        <v>28</v>
      </c>
      <c r="B692" s="57" t="s">
        <v>35</v>
      </c>
      <c r="C692" s="57" t="s">
        <v>44</v>
      </c>
      <c r="D692" s="57" t="s">
        <v>52</v>
      </c>
      <c r="E692" s="57" t="s">
        <v>53</v>
      </c>
      <c r="F692" s="57" t="s">
        <v>25</v>
      </c>
      <c r="G692" s="57" t="s">
        <v>25</v>
      </c>
      <c r="H692" s="57" t="s">
        <v>37</v>
      </c>
      <c r="I692" s="82">
        <v>44317</v>
      </c>
      <c r="J692" s="83">
        <f ca="1">EFEITO!$J$692*EFEITO!$Y$606</f>
        <v>35980.745466831198</v>
      </c>
      <c r="K692" s="83">
        <f ca="1">EFEITO!$L$692*EFEITO!$Z$606</f>
        <v>4487.8483715640459</v>
      </c>
      <c r="L692" s="83">
        <f>EFEITO!$N$692*EFEITO!$AA$606</f>
        <v>12099.678421069271</v>
      </c>
      <c r="M692" s="83">
        <f ca="1">$J$692-EFEITO!$K$692*EFEITO!$Y$692</f>
        <v>2158.8447280098699</v>
      </c>
      <c r="N692" s="83">
        <f ca="1">$K$692-EFEITO!$M$692*EFEITO!$Z$692</f>
        <v>269.27090229384339</v>
      </c>
      <c r="O692" s="83">
        <f>$L$692-EFEITO!$O$692*EFEITO!$AA$692</f>
        <v>725.98070526415722</v>
      </c>
      <c r="P692" s="61"/>
      <c r="Q692" s="61"/>
      <c r="R692" s="61"/>
      <c r="S692" s="61"/>
      <c r="T692" s="61"/>
      <c r="U692" s="61"/>
      <c r="V692" s="61"/>
      <c r="W692" s="61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spans="1:36" ht="11.25" customHeight="1" x14ac:dyDescent="0.2">
      <c r="A693" s="57" t="s">
        <v>21</v>
      </c>
      <c r="B693" s="57" t="s">
        <v>35</v>
      </c>
      <c r="C693" s="57" t="s">
        <v>44</v>
      </c>
      <c r="D693" s="57" t="s">
        <v>52</v>
      </c>
      <c r="E693" s="57" t="s">
        <v>53</v>
      </c>
      <c r="F693" s="57" t="s">
        <v>25</v>
      </c>
      <c r="G693" s="57" t="s">
        <v>25</v>
      </c>
      <c r="H693" s="57" t="s">
        <v>37</v>
      </c>
      <c r="I693" s="82">
        <v>44348</v>
      </c>
      <c r="J693" s="83">
        <f ca="1">EFEITO!$J$693*EFEITO!$Y$606</f>
        <v>35862.192763480853</v>
      </c>
      <c r="K693" s="83">
        <f ca="1">EFEITO!$L$693*EFEITO!$Z$606</f>
        <v>3846.991982368414</v>
      </c>
      <c r="L693" s="83">
        <f>EFEITO!$N$693*EFEITO!$AA$606</f>
        <v>10371.866877237549</v>
      </c>
      <c r="M693" s="83">
        <f ca="1">$J$693-EFEITO!$K$693*EFEITO!$Y$693</f>
        <v>2151.7315658088555</v>
      </c>
      <c r="N693" s="83">
        <f ca="1">$K$693-EFEITO!$M$693*EFEITO!$Z$693</f>
        <v>230.81951894210533</v>
      </c>
      <c r="O693" s="83">
        <f>$L$693-EFEITO!$O$693*EFEITO!$AA$693</f>
        <v>622.31201263425464</v>
      </c>
      <c r="P693" s="61"/>
      <c r="Q693" s="61"/>
      <c r="R693" s="61"/>
      <c r="S693" s="61"/>
      <c r="T693" s="61"/>
      <c r="U693" s="61"/>
      <c r="V693" s="61"/>
      <c r="W693" s="61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spans="1:36" ht="11.25" customHeight="1" x14ac:dyDescent="0.2">
      <c r="A694" s="57" t="s">
        <v>28</v>
      </c>
      <c r="B694" s="57" t="s">
        <v>35</v>
      </c>
      <c r="C694" s="57" t="s">
        <v>44</v>
      </c>
      <c r="D694" s="57" t="s">
        <v>52</v>
      </c>
      <c r="E694" s="57" t="s">
        <v>53</v>
      </c>
      <c r="F694" s="57" t="s">
        <v>25</v>
      </c>
      <c r="G694" s="57" t="s">
        <v>25</v>
      </c>
      <c r="H694" s="57" t="s">
        <v>37</v>
      </c>
      <c r="I694" s="82">
        <v>44348</v>
      </c>
      <c r="J694" s="83">
        <f ca="1">EFEITO!$J$694*EFEITO!$Y$606</f>
        <v>36454.956280232596</v>
      </c>
      <c r="K694" s="83">
        <f ca="1">EFEITO!$L$694*EFEITO!$Z$606</f>
        <v>4698.4900982257714</v>
      </c>
      <c r="L694" s="83">
        <f>EFEITO!$N$694*EFEITO!$AA$606</f>
        <v>12667.589130979777</v>
      </c>
      <c r="M694" s="83">
        <f ca="1">$J$694-EFEITO!$K$694*EFEITO!$Y$694</f>
        <v>2187.2973768139564</v>
      </c>
      <c r="N694" s="83">
        <f ca="1">$K$694-EFEITO!$M$694*EFEITO!$Z$694</f>
        <v>281.90940589354705</v>
      </c>
      <c r="O694" s="83">
        <f>$L$694-EFEITO!$O$694*EFEITO!$AA$694</f>
        <v>760.05534785878808</v>
      </c>
      <c r="P694" s="61"/>
      <c r="Q694" s="61"/>
      <c r="R694" s="61"/>
      <c r="S694" s="61"/>
      <c r="T694" s="61"/>
      <c r="U694" s="61"/>
      <c r="V694" s="61"/>
      <c r="W694" s="61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spans="1:36" ht="11.25" customHeight="1" x14ac:dyDescent="0.2">
      <c r="A695" s="57" t="s">
        <v>21</v>
      </c>
      <c r="B695" s="57" t="s">
        <v>35</v>
      </c>
      <c r="C695" s="57" t="s">
        <v>44</v>
      </c>
      <c r="D695" s="57" t="s">
        <v>52</v>
      </c>
      <c r="E695" s="57" t="s">
        <v>53</v>
      </c>
      <c r="F695" s="57" t="s">
        <v>25</v>
      </c>
      <c r="G695" s="57" t="s">
        <v>25</v>
      </c>
      <c r="H695" s="57" t="s">
        <v>37</v>
      </c>
      <c r="I695" s="82">
        <v>44378</v>
      </c>
      <c r="J695" s="83">
        <f ca="1">EFEITO!$J$695*EFEITO!$Y$606</f>
        <v>101658.94312292505</v>
      </c>
      <c r="K695" s="83">
        <f ca="1">EFEITO!$L$695*EFEITO!$Z$606</f>
        <v>2517.2528902982772</v>
      </c>
      <c r="L695" s="83">
        <f>EFEITO!$N$695*EFEITO!$AA$606</f>
        <v>6786.7601477145081</v>
      </c>
      <c r="M695" s="83">
        <f ca="1">$J$695-EFEITO!$K$695*EFEITO!$Y$695</f>
        <v>6099.5365873755072</v>
      </c>
      <c r="N695" s="83">
        <f ca="1">$K$695-EFEITO!$M$695*EFEITO!$Z$695</f>
        <v>151.03517341789711</v>
      </c>
      <c r="O695" s="83">
        <f>$L$695-EFEITO!$O$695*EFEITO!$AA$695</f>
        <v>407.20560886287149</v>
      </c>
      <c r="P695" s="61"/>
      <c r="Q695" s="61"/>
      <c r="R695" s="61"/>
      <c r="S695" s="61"/>
      <c r="T695" s="61"/>
      <c r="U695" s="61"/>
      <c r="V695" s="61"/>
      <c r="W695" s="61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spans="1:36" ht="11.25" customHeight="1" x14ac:dyDescent="0.2">
      <c r="A696" s="57" t="s">
        <v>28</v>
      </c>
      <c r="B696" s="57" t="s">
        <v>35</v>
      </c>
      <c r="C696" s="57" t="s">
        <v>44</v>
      </c>
      <c r="D696" s="57" t="s">
        <v>52</v>
      </c>
      <c r="E696" s="57" t="s">
        <v>53</v>
      </c>
      <c r="F696" s="57" t="s">
        <v>25</v>
      </c>
      <c r="G696" s="57" t="s">
        <v>25</v>
      </c>
      <c r="H696" s="57" t="s">
        <v>37</v>
      </c>
      <c r="I696" s="82">
        <v>44378</v>
      </c>
      <c r="J696" s="83">
        <f ca="1">EFEITO!$J$696*EFEITO!$Y$606</f>
        <v>36336.40357688225</v>
      </c>
      <c r="K696" s="83">
        <f ca="1">EFEITO!$L$696*EFEITO!$Z$606</f>
        <v>5282.89450467606</v>
      </c>
      <c r="L696" s="83">
        <f>EFEITO!$N$696*EFEITO!$AA$606</f>
        <v>14243.200604555484</v>
      </c>
      <c r="M696" s="83">
        <f ca="1">$J$696-EFEITO!$K$696*EFEITO!$Y$696</f>
        <v>2180.1842146129347</v>
      </c>
      <c r="N696" s="83">
        <f ca="1">$K$696-EFEITO!$M$696*EFEITO!$Z$696</f>
        <v>316.97367028056397</v>
      </c>
      <c r="O696" s="83">
        <f>$L$696-EFEITO!$O$696*EFEITO!$AA$696</f>
        <v>854.59203627333045</v>
      </c>
      <c r="P696" s="61"/>
      <c r="Q696" s="61"/>
      <c r="R696" s="61"/>
      <c r="S696" s="61"/>
      <c r="T696" s="61"/>
      <c r="U696" s="61"/>
      <c r="V696" s="61"/>
      <c r="W696" s="61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spans="1:36" ht="11.25" customHeight="1" x14ac:dyDescent="0.2">
      <c r="A697" s="57" t="s">
        <v>21</v>
      </c>
      <c r="B697" s="57" t="s">
        <v>35</v>
      </c>
      <c r="C697" s="57" t="s">
        <v>44</v>
      </c>
      <c r="D697" s="57" t="s">
        <v>52</v>
      </c>
      <c r="E697" s="57" t="s">
        <v>53</v>
      </c>
      <c r="F697" s="57" t="s">
        <v>25</v>
      </c>
      <c r="G697" s="57" t="s">
        <v>25</v>
      </c>
      <c r="H697" s="57" t="s">
        <v>37</v>
      </c>
      <c r="I697" s="82">
        <v>44409</v>
      </c>
      <c r="J697" s="83">
        <f ca="1">EFEITO!$J$697*EFEITO!$Y$606</f>
        <v>101658.94312292505</v>
      </c>
      <c r="K697" s="83">
        <f ca="1">EFEITO!$L$697*EFEITO!$Z$606</f>
        <v>2101.698891940026</v>
      </c>
      <c r="L697" s="83">
        <f>EFEITO!$N$697*EFEITO!$AA$606</f>
        <v>5666.3858992030619</v>
      </c>
      <c r="M697" s="83">
        <f ca="1">$J$697-EFEITO!$K$697*EFEITO!$Y$697</f>
        <v>6099.5365873755072</v>
      </c>
      <c r="N697" s="83">
        <f ca="1">$K$697-EFEITO!$M$697*EFEITO!$Z$697</f>
        <v>126.10193351640169</v>
      </c>
      <c r="O697" s="83">
        <f>$L$697-EFEITO!$O$697*EFEITO!$AA$697</f>
        <v>339.98315395218469</v>
      </c>
      <c r="P697" s="61"/>
      <c r="Q697" s="61"/>
      <c r="R697" s="61"/>
      <c r="S697" s="61"/>
      <c r="T697" s="61"/>
      <c r="U697" s="61"/>
      <c r="V697" s="61"/>
      <c r="W697" s="61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spans="1:36" ht="11.25" customHeight="1" x14ac:dyDescent="0.2">
      <c r="A698" s="57" t="s">
        <v>28</v>
      </c>
      <c r="B698" s="57" t="s">
        <v>35</v>
      </c>
      <c r="C698" s="57" t="s">
        <v>44</v>
      </c>
      <c r="D698" s="57" t="s">
        <v>52</v>
      </c>
      <c r="E698" s="57" t="s">
        <v>53</v>
      </c>
      <c r="F698" s="57" t="s">
        <v>25</v>
      </c>
      <c r="G698" s="57" t="s">
        <v>25</v>
      </c>
      <c r="H698" s="57" t="s">
        <v>37</v>
      </c>
      <c r="I698" s="82">
        <v>44409</v>
      </c>
      <c r="J698" s="83">
        <f ca="1">EFEITO!$J$698*EFEITO!$Y$606</f>
        <v>36336.40357688225</v>
      </c>
      <c r="K698" s="83">
        <f ca="1">EFEITO!$L$698*EFEITO!$Z$606</f>
        <v>4598.3931497161193</v>
      </c>
      <c r="L698" s="83">
        <f>EFEITO!$N$698*EFEITO!$AA$606</f>
        <v>12397.717961630306</v>
      </c>
      <c r="M698" s="83">
        <f ca="1">$J$698-EFEITO!$K$698*EFEITO!$Y$698</f>
        <v>2180.1842146129347</v>
      </c>
      <c r="N698" s="83">
        <f ca="1">$K$698-EFEITO!$M$698*EFEITO!$Z$698</f>
        <v>275.90358898296836</v>
      </c>
      <c r="O698" s="83">
        <f>$L$698-EFEITO!$O$698*EFEITO!$AA$698</f>
        <v>743.8630776978207</v>
      </c>
      <c r="P698" s="61"/>
      <c r="Q698" s="61"/>
      <c r="R698" s="61"/>
      <c r="S698" s="61"/>
      <c r="T698" s="61"/>
      <c r="U698" s="61"/>
      <c r="V698" s="61"/>
      <c r="W698" s="61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spans="1:36" ht="11.25" customHeight="1" x14ac:dyDescent="0.2">
      <c r="A699" s="57" t="s">
        <v>21</v>
      </c>
      <c r="B699" s="57" t="s">
        <v>35</v>
      </c>
      <c r="C699" s="57" t="s">
        <v>44</v>
      </c>
      <c r="D699" s="57" t="s">
        <v>52</v>
      </c>
      <c r="E699" s="57" t="s">
        <v>53</v>
      </c>
      <c r="F699" s="57" t="s">
        <v>25</v>
      </c>
      <c r="G699" s="57" t="s">
        <v>25</v>
      </c>
      <c r="H699" s="57" t="s">
        <v>37</v>
      </c>
      <c r="I699" s="82">
        <v>44440</v>
      </c>
      <c r="J699" s="83">
        <f ca="1">EFEITO!$J$699*EFEITO!$Y$606</f>
        <v>113632.7661613104</v>
      </c>
      <c r="K699" s="83">
        <f ca="1">EFEITO!$L$699*EFEITO!$Z$606</f>
        <v>5704.6834981434986</v>
      </c>
      <c r="L699" s="83">
        <f>EFEITO!$N$699*EFEITO!$AA$606</f>
        <v>15380.385010080281</v>
      </c>
      <c r="M699" s="83">
        <f ca="1">$J$699-EFEITO!$K$699*EFEITO!$Y$699</f>
        <v>6817.9659696786257</v>
      </c>
      <c r="N699" s="83">
        <f ca="1">$K$699-EFEITO!$M$699*EFEITO!$Z$699</f>
        <v>342.28100988861115</v>
      </c>
      <c r="O699" s="83">
        <f>$L$699-EFEITO!$O$699*EFEITO!$AA$699</f>
        <v>922.82310060481723</v>
      </c>
      <c r="P699" s="61"/>
      <c r="Q699" s="61"/>
      <c r="R699" s="61"/>
      <c r="S699" s="61"/>
      <c r="T699" s="61"/>
      <c r="U699" s="61"/>
      <c r="V699" s="61"/>
      <c r="W699" s="61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spans="1:36" ht="11.25" customHeight="1" x14ac:dyDescent="0.2">
      <c r="A700" s="57" t="s">
        <v>28</v>
      </c>
      <c r="B700" s="57" t="s">
        <v>35</v>
      </c>
      <c r="C700" s="57" t="s">
        <v>44</v>
      </c>
      <c r="D700" s="57" t="s">
        <v>52</v>
      </c>
      <c r="E700" s="57" t="s">
        <v>53</v>
      </c>
      <c r="F700" s="57" t="s">
        <v>25</v>
      </c>
      <c r="G700" s="57" t="s">
        <v>25</v>
      </c>
      <c r="H700" s="57" t="s">
        <v>37</v>
      </c>
      <c r="I700" s="82">
        <v>44440</v>
      </c>
      <c r="J700" s="83">
        <f ca="1">EFEITO!$J$700*EFEITO!$Y$606</f>
        <v>36099.298170181552</v>
      </c>
      <c r="K700" s="83">
        <f ca="1">EFEITO!$L$700*EFEITO!$Z$606</f>
        <v>4586.7657264043919</v>
      </c>
      <c r="L700" s="83">
        <f>EFEITO!$N$700*EFEITO!$AA$606</f>
        <v>12366.369290443245</v>
      </c>
      <c r="M700" s="83">
        <f ca="1">$J$700-EFEITO!$K$700*EFEITO!$Y$700</f>
        <v>2165.9578902108988</v>
      </c>
      <c r="N700" s="83">
        <f ca="1">$K$700-EFEITO!$M$700*EFEITO!$Z$700</f>
        <v>275.20594358426388</v>
      </c>
      <c r="O700" s="83">
        <f>$L$700-EFEITO!$O$700*EFEITO!$AA$700</f>
        <v>741.98215742659522</v>
      </c>
      <c r="P700" s="61"/>
      <c r="Q700" s="61"/>
      <c r="R700" s="61"/>
      <c r="S700" s="61"/>
      <c r="T700" s="61"/>
      <c r="U700" s="61"/>
      <c r="V700" s="61"/>
      <c r="W700" s="61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spans="1:36" ht="11.25" customHeight="1" x14ac:dyDescent="0.2">
      <c r="A701" s="57" t="s">
        <v>59</v>
      </c>
      <c r="B701" s="57" t="s">
        <v>35</v>
      </c>
      <c r="C701" s="57" t="s">
        <v>44</v>
      </c>
      <c r="D701" s="57" t="s">
        <v>52</v>
      </c>
      <c r="E701" s="57" t="s">
        <v>53</v>
      </c>
      <c r="F701" s="57" t="s">
        <v>25</v>
      </c>
      <c r="G701" s="57" t="s">
        <v>25</v>
      </c>
      <c r="H701" s="57" t="s">
        <v>37</v>
      </c>
      <c r="I701" s="82">
        <v>44470</v>
      </c>
      <c r="J701" s="83">
        <f ca="1">EFEITO!$J$701*EFEITO!$Y$606</f>
        <v>113632.7661613104</v>
      </c>
      <c r="K701" s="83">
        <f ca="1">EFEITO!$L$701*EFEITO!$Z$606</f>
        <v>5704.6834981434986</v>
      </c>
      <c r="L701" s="83">
        <f>EFEITO!$N$701*EFEITO!$AA$606</f>
        <v>15380.385010080281</v>
      </c>
      <c r="M701" s="83">
        <f ca="1">$J$701-EFEITO!$K$701*EFEITO!$Y$701</f>
        <v>6817.9659696786257</v>
      </c>
      <c r="N701" s="83">
        <f ca="1">$K$701-EFEITO!$M$701*EFEITO!$Z$701</f>
        <v>342.28100988861115</v>
      </c>
      <c r="O701" s="83">
        <f>$L$701-EFEITO!$O$701*EFEITO!$AA$701</f>
        <v>922.82310060481723</v>
      </c>
      <c r="P701" s="61"/>
      <c r="Q701" s="61"/>
      <c r="R701" s="61"/>
      <c r="S701" s="61"/>
      <c r="T701" s="61"/>
      <c r="U701" s="61"/>
      <c r="V701" s="61"/>
      <c r="W701" s="61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spans="1:36" ht="11.25" customHeight="1" x14ac:dyDescent="0.2">
      <c r="A702" s="57" t="s">
        <v>59</v>
      </c>
      <c r="B702" s="57" t="s">
        <v>35</v>
      </c>
      <c r="C702" s="57" t="s">
        <v>44</v>
      </c>
      <c r="D702" s="57" t="s">
        <v>52</v>
      </c>
      <c r="E702" s="57" t="s">
        <v>53</v>
      </c>
      <c r="F702" s="57" t="s">
        <v>25</v>
      </c>
      <c r="G702" s="57" t="s">
        <v>25</v>
      </c>
      <c r="H702" s="57" t="s">
        <v>37</v>
      </c>
      <c r="I702" s="82">
        <v>44470</v>
      </c>
      <c r="J702" s="83">
        <f ca="1">EFEITO!$J$702*EFEITO!$Y$606</f>
        <v>36099.298170181552</v>
      </c>
      <c r="K702" s="83">
        <f ca="1">EFEITO!$L$702*EFEITO!$Z$606</f>
        <v>4586.7657264043919</v>
      </c>
      <c r="L702" s="83">
        <f>EFEITO!$N$702*EFEITO!$AA$606</f>
        <v>12366.369290443245</v>
      </c>
      <c r="M702" s="83">
        <f ca="1">$J$702-EFEITO!$K$702*EFEITO!$Y$702</f>
        <v>2165.9578902108988</v>
      </c>
      <c r="N702" s="83">
        <f ca="1">$K$702-EFEITO!$M$702*EFEITO!$Z$702</f>
        <v>275.20594358426388</v>
      </c>
      <c r="O702" s="83">
        <f>$L$702-EFEITO!$O$702*EFEITO!$AA$702</f>
        <v>741.98215742659522</v>
      </c>
      <c r="P702" s="61"/>
      <c r="Q702" s="61"/>
      <c r="R702" s="61"/>
      <c r="S702" s="61"/>
      <c r="T702" s="61"/>
      <c r="U702" s="61"/>
      <c r="V702" s="61"/>
      <c r="W702" s="61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spans="1:36" ht="11.25" customHeight="1" x14ac:dyDescent="0.2">
      <c r="A703" s="57" t="s">
        <v>21</v>
      </c>
      <c r="B703" s="57" t="s">
        <v>35</v>
      </c>
      <c r="C703" s="57" t="s">
        <v>36</v>
      </c>
      <c r="D703" s="57" t="s">
        <v>45</v>
      </c>
      <c r="E703" s="57" t="s">
        <v>25</v>
      </c>
      <c r="F703" s="57" t="s">
        <v>25</v>
      </c>
      <c r="G703" s="57" t="s">
        <v>25</v>
      </c>
      <c r="H703" s="57" t="s">
        <v>38</v>
      </c>
      <c r="I703" s="82">
        <v>44136</v>
      </c>
      <c r="J703" s="83">
        <f>EFEITO!$J$703*EFEITO!$Y$703</f>
        <v>0</v>
      </c>
      <c r="K703" s="83">
        <f ca="1">EFEITO!$L$703*EFEITO!$Z$703</f>
        <v>4066893.6878475696</v>
      </c>
      <c r="L703" s="83">
        <f>EFEITO!$N$703*EFEITO!$AA$703</f>
        <v>6827914.6618180266</v>
      </c>
      <c r="M703" s="83">
        <f>$J$703-EFEITO!$K$703*EFEITO!$Y$703</f>
        <v>0</v>
      </c>
      <c r="N703" s="83">
        <f ca="1">$K$703-EFEITO!$M$703*EFEITO!$Z$703</f>
        <v>0</v>
      </c>
      <c r="O703" s="83">
        <f>$L$703-EFEITO!$O$703*EFEITO!$AA$703</f>
        <v>0</v>
      </c>
      <c r="P703" s="61"/>
      <c r="Q703" s="61"/>
      <c r="R703" s="61"/>
      <c r="S703" s="61"/>
      <c r="T703" s="61"/>
      <c r="U703" s="61"/>
      <c r="V703" s="61"/>
      <c r="W703" s="61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spans="1:36" ht="11.25" customHeight="1" x14ac:dyDescent="0.2">
      <c r="A704" s="57" t="s">
        <v>27</v>
      </c>
      <c r="B704" s="57" t="s">
        <v>35</v>
      </c>
      <c r="C704" s="57" t="s">
        <v>36</v>
      </c>
      <c r="D704" s="57" t="s">
        <v>45</v>
      </c>
      <c r="E704" s="57" t="s">
        <v>25</v>
      </c>
      <c r="F704" s="57" t="s">
        <v>25</v>
      </c>
      <c r="G704" s="57" t="s">
        <v>25</v>
      </c>
      <c r="H704" s="57" t="s">
        <v>38</v>
      </c>
      <c r="I704" s="82">
        <v>44136</v>
      </c>
      <c r="J704" s="83">
        <f>EFEITO!$J$704*EFEITO!$Y$704</f>
        <v>0</v>
      </c>
      <c r="K704" s="83">
        <f ca="1">EFEITO!$L$704*EFEITO!$Z$704</f>
        <v>12712.986514251079</v>
      </c>
      <c r="L704" s="83">
        <f>EFEITO!$N$704*EFEITO!$AA$704</f>
        <v>21343.85446945158</v>
      </c>
      <c r="M704" s="83">
        <f>$J$704-EFEITO!$K$704*EFEITO!$Y$704</f>
        <v>0</v>
      </c>
      <c r="N704" s="83">
        <f ca="1">$K$704-EFEITO!$M$704*EFEITO!$Z$704</f>
        <v>0</v>
      </c>
      <c r="O704" s="83">
        <f>$L$704-EFEITO!$O$704*EFEITO!$AA$704</f>
        <v>0</v>
      </c>
      <c r="P704" s="61"/>
      <c r="Q704" s="61"/>
      <c r="R704" s="61"/>
      <c r="S704" s="61"/>
      <c r="T704" s="61"/>
      <c r="U704" s="61"/>
      <c r="V704" s="61"/>
      <c r="W704" s="61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spans="1:36" ht="11.25" customHeight="1" x14ac:dyDescent="0.2">
      <c r="A705" s="57" t="s">
        <v>28</v>
      </c>
      <c r="B705" s="57" t="s">
        <v>35</v>
      </c>
      <c r="C705" s="57" t="s">
        <v>36</v>
      </c>
      <c r="D705" s="57" t="s">
        <v>45</v>
      </c>
      <c r="E705" s="57" t="s">
        <v>25</v>
      </c>
      <c r="F705" s="57" t="s">
        <v>25</v>
      </c>
      <c r="G705" s="57" t="s">
        <v>25</v>
      </c>
      <c r="H705" s="57" t="s">
        <v>38</v>
      </c>
      <c r="I705" s="82">
        <v>44136</v>
      </c>
      <c r="J705" s="83">
        <f>EFEITO!$J$705*EFEITO!$Y$705</f>
        <v>0</v>
      </c>
      <c r="K705" s="83">
        <f ca="1">EFEITO!$L$705*EFEITO!$Z$705</f>
        <v>297345.7371634614</v>
      </c>
      <c r="L705" s="83">
        <f>EFEITO!$N$705*EFEITO!$AA$705</f>
        <v>499214.25890087901</v>
      </c>
      <c r="M705" s="83">
        <f>$J$705-EFEITO!$K$705*EFEITO!$Y$705</f>
        <v>0</v>
      </c>
      <c r="N705" s="83">
        <f ca="1">$K$705-EFEITO!$M$705*EFEITO!$Z$705</f>
        <v>0</v>
      </c>
      <c r="O705" s="83">
        <f>$L$705-EFEITO!$O$705*EFEITO!$AA$705</f>
        <v>0</v>
      </c>
      <c r="P705" s="61"/>
      <c r="Q705" s="61"/>
      <c r="R705" s="61"/>
      <c r="S705" s="61"/>
      <c r="T705" s="61"/>
      <c r="U705" s="61"/>
      <c r="V705" s="61"/>
      <c r="W705" s="61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spans="1:36" ht="11.25" customHeight="1" x14ac:dyDescent="0.2">
      <c r="A706" s="57" t="s">
        <v>30</v>
      </c>
      <c r="B706" s="57" t="s">
        <v>35</v>
      </c>
      <c r="C706" s="57" t="s">
        <v>36</v>
      </c>
      <c r="D706" s="57" t="s">
        <v>45</v>
      </c>
      <c r="E706" s="57" t="s">
        <v>25</v>
      </c>
      <c r="F706" s="57" t="s">
        <v>25</v>
      </c>
      <c r="G706" s="57" t="s">
        <v>25</v>
      </c>
      <c r="H706" s="57" t="s">
        <v>38</v>
      </c>
      <c r="I706" s="82">
        <v>44136</v>
      </c>
      <c r="J706" s="83">
        <f>EFEITO!$J$706*EFEITO!$Y$706</f>
        <v>0</v>
      </c>
      <c r="K706" s="83">
        <f ca="1">EFEITO!$L$706*EFEITO!$Z$706</f>
        <v>96286.018390887737</v>
      </c>
      <c r="L706" s="83">
        <f>EFEITO!$N$706*EFEITO!$AA$706</f>
        <v>161654.75843731069</v>
      </c>
      <c r="M706" s="83">
        <f>$J$706-EFEITO!$K$706*EFEITO!$Y$706</f>
        <v>0</v>
      </c>
      <c r="N706" s="83">
        <f ca="1">$K$706-EFEITO!$M$706*EFEITO!$Z$706</f>
        <v>0</v>
      </c>
      <c r="O706" s="83">
        <f>$L$706-EFEITO!$O$706*EFEITO!$AA$706</f>
        <v>0</v>
      </c>
      <c r="P706" s="61"/>
      <c r="Q706" s="61"/>
      <c r="R706" s="61"/>
      <c r="S706" s="61"/>
      <c r="T706" s="61"/>
      <c r="U706" s="61"/>
      <c r="V706" s="61"/>
      <c r="W706" s="61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spans="1:36" ht="11.25" customHeight="1" x14ac:dyDescent="0.2">
      <c r="A707" s="57" t="s">
        <v>21</v>
      </c>
      <c r="B707" s="57" t="s">
        <v>35</v>
      </c>
      <c r="C707" s="57" t="s">
        <v>36</v>
      </c>
      <c r="D707" s="57" t="s">
        <v>45</v>
      </c>
      <c r="E707" s="57" t="s">
        <v>25</v>
      </c>
      <c r="F707" s="57" t="s">
        <v>25</v>
      </c>
      <c r="G707" s="57" t="s">
        <v>25</v>
      </c>
      <c r="H707" s="57" t="s">
        <v>38</v>
      </c>
      <c r="I707" s="82">
        <v>44136</v>
      </c>
      <c r="J707" s="83">
        <f>EFEITO!$J$707*EFEITO!$Y$707</f>
        <v>0</v>
      </c>
      <c r="K707" s="83">
        <f ca="1">EFEITO!$L$707*EFEITO!$Z$707</f>
        <v>-27679.502477019956</v>
      </c>
      <c r="L707" s="83">
        <f>EFEITO!$N$707*EFEITO!$AA$707</f>
        <v>0</v>
      </c>
      <c r="M707" s="83">
        <f>$J$707-EFEITO!$K$707*EFEITO!$Y$707</f>
        <v>0</v>
      </c>
      <c r="N707" s="83">
        <f ca="1">$K$707-EFEITO!$M$707*EFEITO!$Z$707</f>
        <v>0</v>
      </c>
      <c r="O707" s="83">
        <f>$L$707-EFEITO!$O$707*EFEITO!$AA$707</f>
        <v>0</v>
      </c>
      <c r="P707" s="61"/>
      <c r="Q707" s="61"/>
      <c r="R707" s="61"/>
      <c r="S707" s="61"/>
      <c r="T707" s="61"/>
      <c r="U707" s="61"/>
      <c r="V707" s="61"/>
      <c r="W707" s="61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spans="1:36" ht="11.25" customHeight="1" x14ac:dyDescent="0.2">
      <c r="A708" s="57" t="s">
        <v>21</v>
      </c>
      <c r="B708" s="57" t="s">
        <v>35</v>
      </c>
      <c r="C708" s="57" t="s">
        <v>36</v>
      </c>
      <c r="D708" s="57" t="s">
        <v>45</v>
      </c>
      <c r="E708" s="57" t="s">
        <v>25</v>
      </c>
      <c r="F708" s="57" t="s">
        <v>25</v>
      </c>
      <c r="G708" s="57" t="s">
        <v>25</v>
      </c>
      <c r="H708" s="57" t="s">
        <v>38</v>
      </c>
      <c r="I708" s="82">
        <v>44166</v>
      </c>
      <c r="J708" s="83">
        <f>EFEITO!$J$708*EFEITO!$Y$708</f>
        <v>0</v>
      </c>
      <c r="K708" s="83">
        <f ca="1">EFEITO!$L$708*EFEITO!$Z$708</f>
        <v>3913231.559328129</v>
      </c>
      <c r="L708" s="83">
        <f>EFEITO!$N$708*EFEITO!$AA$708</f>
        <v>6569931.0554554649</v>
      </c>
      <c r="M708" s="83">
        <f>$J$708-EFEITO!$K$708*EFEITO!$Y$708</f>
        <v>0</v>
      </c>
      <c r="N708" s="83">
        <f ca="1">$K$708-EFEITO!$M$708*EFEITO!$Z$708</f>
        <v>0</v>
      </c>
      <c r="O708" s="83">
        <f>$L$708-EFEITO!$O$708*EFEITO!$AA$708</f>
        <v>0</v>
      </c>
      <c r="P708" s="61"/>
      <c r="Q708" s="61"/>
      <c r="R708" s="61"/>
      <c r="S708" s="61"/>
      <c r="T708" s="61"/>
      <c r="U708" s="61"/>
      <c r="V708" s="61"/>
      <c r="W708" s="61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spans="1:36" ht="11.25" customHeight="1" x14ac:dyDescent="0.2">
      <c r="A709" s="57" t="s">
        <v>27</v>
      </c>
      <c r="B709" s="57" t="s">
        <v>35</v>
      </c>
      <c r="C709" s="57" t="s">
        <v>36</v>
      </c>
      <c r="D709" s="57" t="s">
        <v>45</v>
      </c>
      <c r="E709" s="57" t="s">
        <v>25</v>
      </c>
      <c r="F709" s="57" t="s">
        <v>25</v>
      </c>
      <c r="G709" s="57" t="s">
        <v>25</v>
      </c>
      <c r="H709" s="57" t="s">
        <v>38</v>
      </c>
      <c r="I709" s="82">
        <v>44166</v>
      </c>
      <c r="J709" s="83">
        <f>EFEITO!$J$709*EFEITO!$Y$709</f>
        <v>0</v>
      </c>
      <c r="K709" s="83">
        <f ca="1">EFEITO!$L$709*EFEITO!$Z$709</f>
        <v>-27519.414764757043</v>
      </c>
      <c r="L709" s="83">
        <f>EFEITO!$N$709*EFEITO!$AA$709</f>
        <v>-46202.391795587733</v>
      </c>
      <c r="M709" s="83">
        <f>$J$709-EFEITO!$K$709*EFEITO!$Y$709</f>
        <v>0</v>
      </c>
      <c r="N709" s="83">
        <f ca="1">$K$709-EFEITO!$M$709*EFEITO!$Z$709</f>
        <v>0</v>
      </c>
      <c r="O709" s="83">
        <f>$L$709-EFEITO!$O$709*EFEITO!$AA$709</f>
        <v>0</v>
      </c>
      <c r="P709" s="61"/>
      <c r="Q709" s="61"/>
      <c r="R709" s="61"/>
      <c r="S709" s="61"/>
      <c r="T709" s="61"/>
      <c r="U709" s="61"/>
      <c r="V709" s="61"/>
      <c r="W709" s="61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spans="1:36" ht="11.25" customHeight="1" x14ac:dyDescent="0.2">
      <c r="A710" s="57" t="s">
        <v>28</v>
      </c>
      <c r="B710" s="57" t="s">
        <v>35</v>
      </c>
      <c r="C710" s="57" t="s">
        <v>36</v>
      </c>
      <c r="D710" s="57" t="s">
        <v>45</v>
      </c>
      <c r="E710" s="57" t="s">
        <v>25</v>
      </c>
      <c r="F710" s="57" t="s">
        <v>25</v>
      </c>
      <c r="G710" s="57" t="s">
        <v>25</v>
      </c>
      <c r="H710" s="57" t="s">
        <v>38</v>
      </c>
      <c r="I710" s="82">
        <v>44166</v>
      </c>
      <c r="J710" s="83">
        <f>EFEITO!$J$710*EFEITO!$Y$710</f>
        <v>0</v>
      </c>
      <c r="K710" s="83">
        <f ca="1">EFEITO!$L$710*EFEITO!$Z$710</f>
        <v>300650.79011147458</v>
      </c>
      <c r="L710" s="83">
        <f>EFEITO!$N$710*EFEITO!$AA$710</f>
        <v>504763.117861529</v>
      </c>
      <c r="M710" s="83">
        <f>$J$710-EFEITO!$K$710*EFEITO!$Y$710</f>
        <v>0</v>
      </c>
      <c r="N710" s="83">
        <f ca="1">$K$710-EFEITO!$M$710*EFEITO!$Z$710</f>
        <v>0</v>
      </c>
      <c r="O710" s="83">
        <f>$L$710-EFEITO!$O$710*EFEITO!$AA$710</f>
        <v>0</v>
      </c>
      <c r="P710" s="61"/>
      <c r="Q710" s="61"/>
      <c r="R710" s="61"/>
      <c r="S710" s="61"/>
      <c r="T710" s="61"/>
      <c r="U710" s="61"/>
      <c r="V710" s="61"/>
      <c r="W710" s="61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spans="1:36" ht="11.25" customHeight="1" x14ac:dyDescent="0.2">
      <c r="A711" s="57" t="s">
        <v>30</v>
      </c>
      <c r="B711" s="57" t="s">
        <v>35</v>
      </c>
      <c r="C711" s="57" t="s">
        <v>36</v>
      </c>
      <c r="D711" s="57" t="s">
        <v>45</v>
      </c>
      <c r="E711" s="57" t="s">
        <v>25</v>
      </c>
      <c r="F711" s="57" t="s">
        <v>25</v>
      </c>
      <c r="G711" s="57" t="s">
        <v>25</v>
      </c>
      <c r="H711" s="57" t="s">
        <v>38</v>
      </c>
      <c r="I711" s="82">
        <v>44166</v>
      </c>
      <c r="J711" s="83">
        <f>EFEITO!$J$711*EFEITO!$Y$711</f>
        <v>0</v>
      </c>
      <c r="K711" s="83">
        <f ca="1">EFEITO!$L$711*EFEITO!$Z$711</f>
        <v>104764.60065909415</v>
      </c>
      <c r="L711" s="83">
        <f>EFEITO!$N$711*EFEITO!$AA$711</f>
        <v>175889.46448667292</v>
      </c>
      <c r="M711" s="83">
        <f>$J$711-EFEITO!$K$711*EFEITO!$Y$711</f>
        <v>0</v>
      </c>
      <c r="N711" s="83">
        <f ca="1">$K$711-EFEITO!$M$711*EFEITO!$Z$711</f>
        <v>0</v>
      </c>
      <c r="O711" s="83">
        <f>$L$711-EFEITO!$O$711*EFEITO!$AA$711</f>
        <v>0</v>
      </c>
      <c r="P711" s="61"/>
      <c r="Q711" s="61"/>
      <c r="R711" s="61"/>
      <c r="S711" s="61"/>
      <c r="T711" s="61"/>
      <c r="U711" s="61"/>
      <c r="V711" s="61"/>
      <c r="W711" s="61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spans="1:36" ht="11.25" customHeight="1" x14ac:dyDescent="0.2">
      <c r="A712" s="57" t="s">
        <v>21</v>
      </c>
      <c r="B712" s="57" t="s">
        <v>35</v>
      </c>
      <c r="C712" s="57" t="s">
        <v>36</v>
      </c>
      <c r="D712" s="57" t="s">
        <v>45</v>
      </c>
      <c r="E712" s="57" t="s">
        <v>25</v>
      </c>
      <c r="F712" s="57" t="s">
        <v>25</v>
      </c>
      <c r="G712" s="57" t="s">
        <v>25</v>
      </c>
      <c r="H712" s="57" t="s">
        <v>38</v>
      </c>
      <c r="I712" s="82">
        <v>44166</v>
      </c>
      <c r="J712" s="83">
        <f>EFEITO!$J$712*EFEITO!$Y$712</f>
        <v>0</v>
      </c>
      <c r="K712" s="83">
        <f ca="1">EFEITO!$L$712*EFEITO!$Z$712</f>
        <v>70304.288230761289</v>
      </c>
      <c r="L712" s="83">
        <f>EFEITO!$N$712*EFEITO!$AA$712</f>
        <v>0</v>
      </c>
      <c r="M712" s="83">
        <f>$J$712-EFEITO!$K$712*EFEITO!$Y$712</f>
        <v>0</v>
      </c>
      <c r="N712" s="83">
        <f ca="1">$K$712-EFEITO!$M$712*EFEITO!$Z$712</f>
        <v>0</v>
      </c>
      <c r="O712" s="83">
        <f>$L$712-EFEITO!$O$712*EFEITO!$AA$712</f>
        <v>0</v>
      </c>
      <c r="P712" s="61"/>
      <c r="Q712" s="61"/>
      <c r="R712" s="61"/>
      <c r="S712" s="61"/>
      <c r="T712" s="61"/>
      <c r="U712" s="61"/>
      <c r="V712" s="61"/>
      <c r="W712" s="61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spans="1:36" ht="11.25" customHeight="1" x14ac:dyDescent="0.2">
      <c r="A713" s="57" t="s">
        <v>21</v>
      </c>
      <c r="B713" s="57" t="s">
        <v>35</v>
      </c>
      <c r="C713" s="57" t="s">
        <v>36</v>
      </c>
      <c r="D713" s="57" t="s">
        <v>45</v>
      </c>
      <c r="E713" s="57" t="s">
        <v>25</v>
      </c>
      <c r="F713" s="57" t="s">
        <v>25</v>
      </c>
      <c r="G713" s="57" t="s">
        <v>25</v>
      </c>
      <c r="H713" s="57" t="s">
        <v>38</v>
      </c>
      <c r="I713" s="82">
        <v>44197</v>
      </c>
      <c r="J713" s="83">
        <f>EFEITO!$J$713*EFEITO!$Y$713</f>
        <v>0</v>
      </c>
      <c r="K713" s="83">
        <f ca="1">EFEITO!$L$713*EFEITO!$Z$713</f>
        <v>3282297.575051934</v>
      </c>
      <c r="L713" s="83">
        <f>EFEITO!$N$713*EFEITO!$AA$713</f>
        <v>5510654.9266617671</v>
      </c>
      <c r="M713" s="83">
        <f>$J$713-EFEITO!$K$713*EFEITO!$Y$713</f>
        <v>0</v>
      </c>
      <c r="N713" s="83">
        <f ca="1">$K$713-EFEITO!$M$713*EFEITO!$Z$713</f>
        <v>0</v>
      </c>
      <c r="O713" s="83">
        <f>$L$713-EFEITO!$O$713*EFEITO!$AA$713</f>
        <v>0</v>
      </c>
      <c r="P713" s="61"/>
      <c r="Q713" s="61"/>
      <c r="R713" s="61"/>
      <c r="S713" s="61"/>
      <c r="T713" s="61"/>
      <c r="U713" s="61"/>
      <c r="V713" s="61"/>
      <c r="W713" s="61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spans="1:36" ht="11.25" customHeight="1" x14ac:dyDescent="0.2">
      <c r="A714" s="57" t="s">
        <v>27</v>
      </c>
      <c r="B714" s="57" t="s">
        <v>35</v>
      </c>
      <c r="C714" s="57" t="s">
        <v>36</v>
      </c>
      <c r="D714" s="57" t="s">
        <v>45</v>
      </c>
      <c r="E714" s="57" t="s">
        <v>25</v>
      </c>
      <c r="F714" s="57" t="s">
        <v>25</v>
      </c>
      <c r="G714" s="57" t="s">
        <v>25</v>
      </c>
      <c r="H714" s="57" t="s">
        <v>38</v>
      </c>
      <c r="I714" s="82">
        <v>44197</v>
      </c>
      <c r="J714" s="83">
        <f>EFEITO!$J$714*EFEITO!$Y$714</f>
        <v>0</v>
      </c>
      <c r="K714" s="83">
        <f ca="1">EFEITO!$L$714*EFEITO!$Z$714</f>
        <v>-33648.077930325264</v>
      </c>
      <c r="L714" s="83">
        <f>EFEITO!$N$714*EFEITO!$AA$714</f>
        <v>-56491.814705896111</v>
      </c>
      <c r="M714" s="83">
        <f>$J$714-EFEITO!$K$714*EFEITO!$Y$714</f>
        <v>0</v>
      </c>
      <c r="N714" s="83">
        <f ca="1">$K$714-EFEITO!$M$714*EFEITO!$Z$714</f>
        <v>0</v>
      </c>
      <c r="O714" s="83">
        <f>$L$714-EFEITO!$O$714*EFEITO!$AA$714</f>
        <v>0</v>
      </c>
      <c r="P714" s="61"/>
      <c r="Q714" s="61"/>
      <c r="R714" s="61"/>
      <c r="S714" s="61"/>
      <c r="T714" s="61"/>
      <c r="U714" s="61"/>
      <c r="V714" s="61"/>
      <c r="W714" s="61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spans="1:36" ht="11.25" customHeight="1" x14ac:dyDescent="0.2">
      <c r="A715" s="57" t="s">
        <v>28</v>
      </c>
      <c r="B715" s="57" t="s">
        <v>35</v>
      </c>
      <c r="C715" s="57" t="s">
        <v>36</v>
      </c>
      <c r="D715" s="57" t="s">
        <v>45</v>
      </c>
      <c r="E715" s="57" t="s">
        <v>25</v>
      </c>
      <c r="F715" s="57" t="s">
        <v>25</v>
      </c>
      <c r="G715" s="57" t="s">
        <v>25</v>
      </c>
      <c r="H715" s="57" t="s">
        <v>38</v>
      </c>
      <c r="I715" s="82">
        <v>44197</v>
      </c>
      <c r="J715" s="83">
        <f>EFEITO!$J$715*EFEITO!$Y$715</f>
        <v>0</v>
      </c>
      <c r="K715" s="83">
        <f ca="1">EFEITO!$L$715*EFEITO!$Z$715</f>
        <v>254483.85308218969</v>
      </c>
      <c r="L715" s="83">
        <f>EFEITO!$N$715*EFEITO!$AA$715</f>
        <v>427253.36953065533</v>
      </c>
      <c r="M715" s="83">
        <f>$J$715-EFEITO!$K$715*EFEITO!$Y$715</f>
        <v>0</v>
      </c>
      <c r="N715" s="83">
        <f ca="1">$K$715-EFEITO!$M$715*EFEITO!$Z$715</f>
        <v>0</v>
      </c>
      <c r="O715" s="83">
        <f>$L$715-EFEITO!$O$715*EFEITO!$AA$715</f>
        <v>0</v>
      </c>
      <c r="P715" s="61"/>
      <c r="Q715" s="61"/>
      <c r="R715" s="61"/>
      <c r="S715" s="61"/>
      <c r="T715" s="61"/>
      <c r="U715" s="61"/>
      <c r="V715" s="61"/>
      <c r="W715" s="61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spans="1:36" ht="11.25" customHeight="1" x14ac:dyDescent="0.2">
      <c r="A716" s="57" t="s">
        <v>29</v>
      </c>
      <c r="B716" s="57" t="s">
        <v>35</v>
      </c>
      <c r="C716" s="57" t="s">
        <v>36</v>
      </c>
      <c r="D716" s="57" t="s">
        <v>45</v>
      </c>
      <c r="E716" s="57" t="s">
        <v>25</v>
      </c>
      <c r="F716" s="57" t="s">
        <v>25</v>
      </c>
      <c r="G716" s="57" t="s">
        <v>25</v>
      </c>
      <c r="H716" s="57" t="s">
        <v>38</v>
      </c>
      <c r="I716" s="82">
        <v>44197</v>
      </c>
      <c r="J716" s="83">
        <f>EFEITO!$J$716*EFEITO!$Y$716</f>
        <v>0</v>
      </c>
      <c r="K716" s="83">
        <f ca="1">EFEITO!$L$716*EFEITO!$Z$716</f>
        <v>-569.74374227463341</v>
      </c>
      <c r="L716" s="83">
        <f>EFEITO!$N$716*EFEITO!$AA$716</f>
        <v>-956.54372844325178</v>
      </c>
      <c r="M716" s="83">
        <f>$J$716-EFEITO!$K$716*EFEITO!$Y$716</f>
        <v>0</v>
      </c>
      <c r="N716" s="83">
        <f ca="1">$K$716-EFEITO!$M$716*EFEITO!$Z$716</f>
        <v>0</v>
      </c>
      <c r="O716" s="83">
        <f>$L$716-EFEITO!$O$716*EFEITO!$AA$716</f>
        <v>0</v>
      </c>
      <c r="P716" s="61"/>
      <c r="Q716" s="61"/>
      <c r="R716" s="61"/>
      <c r="S716" s="61"/>
      <c r="T716" s="61"/>
      <c r="U716" s="61"/>
      <c r="V716" s="61"/>
      <c r="W716" s="61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spans="1:36" ht="11.25" customHeight="1" x14ac:dyDescent="0.2">
      <c r="A717" s="57" t="s">
        <v>30</v>
      </c>
      <c r="B717" s="57" t="s">
        <v>35</v>
      </c>
      <c r="C717" s="57" t="s">
        <v>36</v>
      </c>
      <c r="D717" s="57" t="s">
        <v>45</v>
      </c>
      <c r="E717" s="57" t="s">
        <v>25</v>
      </c>
      <c r="F717" s="57" t="s">
        <v>25</v>
      </c>
      <c r="G717" s="57" t="s">
        <v>25</v>
      </c>
      <c r="H717" s="57" t="s">
        <v>38</v>
      </c>
      <c r="I717" s="82">
        <v>44197</v>
      </c>
      <c r="J717" s="83">
        <f>EFEITO!$J$717*EFEITO!$Y$717</f>
        <v>0</v>
      </c>
      <c r="K717" s="83">
        <f ca="1">EFEITO!$L$717*EFEITO!$Z$717</f>
        <v>86060.794925202295</v>
      </c>
      <c r="L717" s="83">
        <f>EFEITO!$N$717*EFEITO!$AA$717</f>
        <v>144487.61353988151</v>
      </c>
      <c r="M717" s="83">
        <f>$J$717-EFEITO!$K$717*EFEITO!$Y$717</f>
        <v>0</v>
      </c>
      <c r="N717" s="83">
        <f ca="1">$K$717-EFEITO!$M$717*EFEITO!$Z$717</f>
        <v>0</v>
      </c>
      <c r="O717" s="83">
        <f>$L$717-EFEITO!$O$717*EFEITO!$AA$717</f>
        <v>0</v>
      </c>
      <c r="P717" s="61"/>
      <c r="Q717" s="61"/>
      <c r="R717" s="61"/>
      <c r="S717" s="61"/>
      <c r="T717" s="61"/>
      <c r="U717" s="61"/>
      <c r="V717" s="61"/>
      <c r="W717" s="61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spans="1:36" ht="11.25" customHeight="1" x14ac:dyDescent="0.2">
      <c r="A718" s="57" t="s">
        <v>21</v>
      </c>
      <c r="B718" s="57" t="s">
        <v>35</v>
      </c>
      <c r="C718" s="57" t="s">
        <v>36</v>
      </c>
      <c r="D718" s="57" t="s">
        <v>45</v>
      </c>
      <c r="E718" s="57" t="s">
        <v>25</v>
      </c>
      <c r="F718" s="57" t="s">
        <v>25</v>
      </c>
      <c r="G718" s="57" t="s">
        <v>25</v>
      </c>
      <c r="H718" s="57" t="s">
        <v>38</v>
      </c>
      <c r="I718" s="82">
        <v>44197</v>
      </c>
      <c r="J718" s="83">
        <f>EFEITO!$J$718*EFEITO!$Y$718</f>
        <v>0</v>
      </c>
      <c r="K718" s="83">
        <f ca="1">EFEITO!$L$718*EFEITO!$Z$718</f>
        <v>12314.957907551083</v>
      </c>
      <c r="L718" s="83">
        <f>EFEITO!$N$718*EFEITO!$AA$718</f>
        <v>0</v>
      </c>
      <c r="M718" s="83">
        <f>$J$718-EFEITO!$K$718*EFEITO!$Y$718</f>
        <v>0</v>
      </c>
      <c r="N718" s="83">
        <f ca="1">$K$718-EFEITO!$M$718*EFEITO!$Z$718</f>
        <v>0</v>
      </c>
      <c r="O718" s="83">
        <f>$L$718-EFEITO!$O$718*EFEITO!$AA$718</f>
        <v>0</v>
      </c>
      <c r="P718" s="61"/>
      <c r="Q718" s="61"/>
      <c r="R718" s="61"/>
      <c r="S718" s="61"/>
      <c r="T718" s="61"/>
      <c r="U718" s="61"/>
      <c r="V718" s="61"/>
      <c r="W718" s="61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spans="1:36" ht="11.25" customHeight="1" x14ac:dyDescent="0.2">
      <c r="A719" s="57" t="s">
        <v>21</v>
      </c>
      <c r="B719" s="57" t="s">
        <v>35</v>
      </c>
      <c r="C719" s="57" t="s">
        <v>36</v>
      </c>
      <c r="D719" s="57" t="s">
        <v>45</v>
      </c>
      <c r="E719" s="57" t="s">
        <v>25</v>
      </c>
      <c r="F719" s="57" t="s">
        <v>25</v>
      </c>
      <c r="G719" s="57" t="s">
        <v>25</v>
      </c>
      <c r="H719" s="57" t="s">
        <v>38</v>
      </c>
      <c r="I719" s="82">
        <v>44228</v>
      </c>
      <c r="J719" s="83">
        <f>EFEITO!$J$719*EFEITO!$Y$719</f>
        <v>0</v>
      </c>
      <c r="K719" s="83">
        <f ca="1">EFEITO!$L$719*EFEITO!$Z$719</f>
        <v>3126409.3847651323</v>
      </c>
      <c r="L719" s="83">
        <f>EFEITO!$N$719*EFEITO!$AA$719</f>
        <v>5248933.9814489437</v>
      </c>
      <c r="M719" s="83">
        <f>$J$719-EFEITO!$K$719*EFEITO!$Y$719</f>
        <v>0</v>
      </c>
      <c r="N719" s="83">
        <f ca="1">$K$719-EFEITO!$M$719*EFEITO!$Z$719</f>
        <v>0</v>
      </c>
      <c r="O719" s="83">
        <f>$L$719-EFEITO!$O$719*EFEITO!$AA$719</f>
        <v>0</v>
      </c>
      <c r="P719" s="61"/>
      <c r="Q719" s="61"/>
      <c r="R719" s="61"/>
      <c r="S719" s="61"/>
      <c r="T719" s="61"/>
      <c r="U719" s="61"/>
      <c r="V719" s="61"/>
      <c r="W719" s="61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spans="1:36" ht="11.25" customHeight="1" x14ac:dyDescent="0.2">
      <c r="A720" s="57" t="s">
        <v>27</v>
      </c>
      <c r="B720" s="57" t="s">
        <v>35</v>
      </c>
      <c r="C720" s="57" t="s">
        <v>36</v>
      </c>
      <c r="D720" s="57" t="s">
        <v>45</v>
      </c>
      <c r="E720" s="57" t="s">
        <v>25</v>
      </c>
      <c r="F720" s="57" t="s">
        <v>25</v>
      </c>
      <c r="G720" s="57" t="s">
        <v>25</v>
      </c>
      <c r="H720" s="57" t="s">
        <v>38</v>
      </c>
      <c r="I720" s="82">
        <v>44228</v>
      </c>
      <c r="J720" s="83">
        <f>EFEITO!$J$720*EFEITO!$Y$720</f>
        <v>0</v>
      </c>
      <c r="K720" s="83">
        <f ca="1">EFEITO!$L$720*EFEITO!$Z$720</f>
        <v>-163.28946650816914</v>
      </c>
      <c r="L720" s="83">
        <f>EFEITO!$N$720*EFEITO!$AA$720</f>
        <v>-274.14696032579445</v>
      </c>
      <c r="M720" s="83">
        <f>$J$720-EFEITO!$K$720*EFEITO!$Y$720</f>
        <v>0</v>
      </c>
      <c r="N720" s="83">
        <f ca="1">$K$720-EFEITO!$M$720*EFEITO!$Z$720</f>
        <v>0</v>
      </c>
      <c r="O720" s="83">
        <f>$L$720-EFEITO!$O$720*EFEITO!$AA$720</f>
        <v>0</v>
      </c>
      <c r="P720" s="61"/>
      <c r="Q720" s="61"/>
      <c r="R720" s="61"/>
      <c r="S720" s="61"/>
      <c r="T720" s="61"/>
      <c r="U720" s="61"/>
      <c r="V720" s="61"/>
      <c r="W720" s="61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spans="1:36" ht="11.25" customHeight="1" x14ac:dyDescent="0.2">
      <c r="A721" s="57" t="s">
        <v>28</v>
      </c>
      <c r="B721" s="57" t="s">
        <v>35</v>
      </c>
      <c r="C721" s="57" t="s">
        <v>36</v>
      </c>
      <c r="D721" s="57" t="s">
        <v>45</v>
      </c>
      <c r="E721" s="57" t="s">
        <v>25</v>
      </c>
      <c r="F721" s="57" t="s">
        <v>25</v>
      </c>
      <c r="G721" s="57" t="s">
        <v>25</v>
      </c>
      <c r="H721" s="57" t="s">
        <v>38</v>
      </c>
      <c r="I721" s="82">
        <v>44228</v>
      </c>
      <c r="J721" s="83">
        <f>EFEITO!$J$721*EFEITO!$Y$721</f>
        <v>0</v>
      </c>
      <c r="K721" s="83">
        <f ca="1">EFEITO!$L$721*EFEITO!$Z$721</f>
        <v>225564.7661721108</v>
      </c>
      <c r="L721" s="83">
        <f>EFEITO!$N$721*EFEITO!$AA$721</f>
        <v>378701.06581301801</v>
      </c>
      <c r="M721" s="83">
        <f>$J$721-EFEITO!$K$721*EFEITO!$Y$721</f>
        <v>0</v>
      </c>
      <c r="N721" s="83">
        <f ca="1">$K$721-EFEITO!$M$721*EFEITO!$Z$721</f>
        <v>0</v>
      </c>
      <c r="O721" s="83">
        <f>$L$721-EFEITO!$O$721*EFEITO!$AA$721</f>
        <v>0</v>
      </c>
      <c r="P721" s="61"/>
      <c r="Q721" s="61"/>
      <c r="R721" s="61"/>
      <c r="S721" s="61"/>
      <c r="T721" s="61"/>
      <c r="U721" s="61"/>
      <c r="V721" s="61"/>
      <c r="W721" s="61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spans="1:36" ht="11.25" customHeight="1" x14ac:dyDescent="0.2">
      <c r="A722" s="57" t="s">
        <v>29</v>
      </c>
      <c r="B722" s="57" t="s">
        <v>35</v>
      </c>
      <c r="C722" s="57" t="s">
        <v>36</v>
      </c>
      <c r="D722" s="57" t="s">
        <v>45</v>
      </c>
      <c r="E722" s="57" t="s">
        <v>25</v>
      </c>
      <c r="F722" s="57" t="s">
        <v>25</v>
      </c>
      <c r="G722" s="57" t="s">
        <v>25</v>
      </c>
      <c r="H722" s="57" t="s">
        <v>38</v>
      </c>
      <c r="I722" s="82">
        <v>44228</v>
      </c>
      <c r="J722" s="83">
        <f>EFEITO!$J$722*EFEITO!$Y$722</f>
        <v>0</v>
      </c>
      <c r="K722" s="83">
        <f ca="1">EFEITO!$L$722*EFEITO!$Z$722</f>
        <v>-2001.2649166677156</v>
      </c>
      <c r="L722" s="83">
        <f>EFEITO!$N$722*EFEITO!$AA$722</f>
        <v>-3359.9270390393549</v>
      </c>
      <c r="M722" s="83">
        <f>$J$722-EFEITO!$K$722*EFEITO!$Y$722</f>
        <v>0</v>
      </c>
      <c r="N722" s="83">
        <f ca="1">$K$722-EFEITO!$M$722*EFEITO!$Z$722</f>
        <v>0</v>
      </c>
      <c r="O722" s="83">
        <f>$L$722-EFEITO!$O$722*EFEITO!$AA$722</f>
        <v>0</v>
      </c>
      <c r="P722" s="61"/>
      <c r="Q722" s="61"/>
      <c r="R722" s="61"/>
      <c r="S722" s="61"/>
      <c r="T722" s="61"/>
      <c r="U722" s="61"/>
      <c r="V722" s="61"/>
      <c r="W722" s="61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spans="1:36" ht="11.25" customHeight="1" x14ac:dyDescent="0.2">
      <c r="A723" s="57" t="s">
        <v>30</v>
      </c>
      <c r="B723" s="57" t="s">
        <v>35</v>
      </c>
      <c r="C723" s="57" t="s">
        <v>36</v>
      </c>
      <c r="D723" s="57" t="s">
        <v>45</v>
      </c>
      <c r="E723" s="57" t="s">
        <v>25</v>
      </c>
      <c r="F723" s="57" t="s">
        <v>25</v>
      </c>
      <c r="G723" s="57" t="s">
        <v>25</v>
      </c>
      <c r="H723" s="57" t="s">
        <v>38</v>
      </c>
      <c r="I723" s="82">
        <v>44228</v>
      </c>
      <c r="J723" s="83">
        <f>EFEITO!$J$723*EFEITO!$Y$723</f>
        <v>0</v>
      </c>
      <c r="K723" s="83">
        <f ca="1">EFEITO!$L$723*EFEITO!$Z$723</f>
        <v>101666.48214335351</v>
      </c>
      <c r="L723" s="83">
        <f>EFEITO!$N$723*EFEITO!$AA$723</f>
        <v>170688.02809287549</v>
      </c>
      <c r="M723" s="83">
        <f>$J$723-EFEITO!$K$723*EFEITO!$Y$723</f>
        <v>0</v>
      </c>
      <c r="N723" s="83">
        <f ca="1">$K$723-EFEITO!$M$723*EFEITO!$Z$723</f>
        <v>0</v>
      </c>
      <c r="O723" s="83">
        <f>$L$723-EFEITO!$O$723*EFEITO!$AA$723</f>
        <v>0</v>
      </c>
      <c r="P723" s="61"/>
      <c r="Q723" s="61"/>
      <c r="R723" s="61"/>
      <c r="S723" s="61"/>
      <c r="T723" s="61"/>
      <c r="U723" s="61"/>
      <c r="V723" s="61"/>
      <c r="W723" s="61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spans="1:36" ht="11.25" customHeight="1" x14ac:dyDescent="0.2">
      <c r="A724" s="57" t="s">
        <v>21</v>
      </c>
      <c r="B724" s="57" t="s">
        <v>35</v>
      </c>
      <c r="C724" s="57" t="s">
        <v>36</v>
      </c>
      <c r="D724" s="57" t="s">
        <v>45</v>
      </c>
      <c r="E724" s="57" t="s">
        <v>25</v>
      </c>
      <c r="F724" s="57" t="s">
        <v>25</v>
      </c>
      <c r="G724" s="57" t="s">
        <v>25</v>
      </c>
      <c r="H724" s="57" t="s">
        <v>38</v>
      </c>
      <c r="I724" s="82">
        <v>44228</v>
      </c>
      <c r="J724" s="83">
        <f>EFEITO!$J$724*EFEITO!$Y$724</f>
        <v>0</v>
      </c>
      <c r="K724" s="83">
        <f ca="1">EFEITO!$L$724*EFEITO!$Z$724</f>
        <v>10897.086317045681</v>
      </c>
      <c r="L724" s="83">
        <f>EFEITO!$N$724*EFEITO!$AA$724</f>
        <v>0</v>
      </c>
      <c r="M724" s="83">
        <f>$J$724-EFEITO!$K$724*EFEITO!$Y$724</f>
        <v>0</v>
      </c>
      <c r="N724" s="83">
        <f ca="1">$K$724-EFEITO!$M$724*EFEITO!$Z$724</f>
        <v>0</v>
      </c>
      <c r="O724" s="83">
        <f>$L$724-EFEITO!$O$724*EFEITO!$AA$724</f>
        <v>0</v>
      </c>
      <c r="P724" s="61"/>
      <c r="Q724" s="61"/>
      <c r="R724" s="61"/>
      <c r="S724" s="61"/>
      <c r="T724" s="61"/>
      <c r="U724" s="61"/>
      <c r="V724" s="61"/>
      <c r="W724" s="61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spans="1:36" ht="11.25" customHeight="1" x14ac:dyDescent="0.2">
      <c r="A725" s="57" t="s">
        <v>21</v>
      </c>
      <c r="B725" s="57" t="s">
        <v>35</v>
      </c>
      <c r="C725" s="57" t="s">
        <v>36</v>
      </c>
      <c r="D725" s="57" t="s">
        <v>45</v>
      </c>
      <c r="E725" s="57" t="s">
        <v>25</v>
      </c>
      <c r="F725" s="57" t="s">
        <v>25</v>
      </c>
      <c r="G725" s="57" t="s">
        <v>25</v>
      </c>
      <c r="H725" s="57" t="s">
        <v>38</v>
      </c>
      <c r="I725" s="82">
        <v>44256</v>
      </c>
      <c r="J725" s="83">
        <f>EFEITO!$J$725*EFEITO!$Y$725</f>
        <v>0</v>
      </c>
      <c r="K725" s="83">
        <f ca="1">EFEITO!$L$725*EFEITO!$Z$725</f>
        <v>3666529.9912224934</v>
      </c>
      <c r="L725" s="83">
        <f>EFEITO!$N$725*EFEITO!$AA$725</f>
        <v>6155743.3772785412</v>
      </c>
      <c r="M725" s="83">
        <f>$J$725-EFEITO!$K$725*EFEITO!$Y$725</f>
        <v>0</v>
      </c>
      <c r="N725" s="83">
        <f ca="1">$K$725-EFEITO!$M$725*EFEITO!$Z$725</f>
        <v>0</v>
      </c>
      <c r="O725" s="83">
        <f>$L$725-EFEITO!$O$725*EFEITO!$AA$725</f>
        <v>0</v>
      </c>
      <c r="P725" s="61"/>
      <c r="Q725" s="61"/>
      <c r="R725" s="61"/>
      <c r="S725" s="61"/>
      <c r="T725" s="61"/>
      <c r="U725" s="61"/>
      <c r="V725" s="61"/>
      <c r="W725" s="61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spans="1:36" ht="11.25" customHeight="1" x14ac:dyDescent="0.2">
      <c r="A726" s="57" t="s">
        <v>27</v>
      </c>
      <c r="B726" s="57" t="s">
        <v>35</v>
      </c>
      <c r="C726" s="57" t="s">
        <v>36</v>
      </c>
      <c r="D726" s="57" t="s">
        <v>45</v>
      </c>
      <c r="E726" s="57" t="s">
        <v>25</v>
      </c>
      <c r="F726" s="57" t="s">
        <v>25</v>
      </c>
      <c r="G726" s="57" t="s">
        <v>25</v>
      </c>
      <c r="H726" s="57" t="s">
        <v>38</v>
      </c>
      <c r="I726" s="82">
        <v>44256</v>
      </c>
      <c r="J726" s="83">
        <f>EFEITO!$J$726*EFEITO!$Y$726</f>
        <v>0</v>
      </c>
      <c r="K726" s="83">
        <f ca="1">EFEITO!$L$726*EFEITO!$Z$726</f>
        <v>-16427.864005657259</v>
      </c>
      <c r="L726" s="83">
        <f>EFEITO!$N$726*EFEITO!$AA$726</f>
        <v>-27580.768546213334</v>
      </c>
      <c r="M726" s="83">
        <f>$J$726-EFEITO!$K$726*EFEITO!$Y$726</f>
        <v>0</v>
      </c>
      <c r="N726" s="83">
        <f ca="1">$K$726-EFEITO!$M$726*EFEITO!$Z$726</f>
        <v>0</v>
      </c>
      <c r="O726" s="83">
        <f>$L$726-EFEITO!$O$726*EFEITO!$AA$726</f>
        <v>0</v>
      </c>
      <c r="P726" s="61"/>
      <c r="Q726" s="61"/>
      <c r="R726" s="61"/>
      <c r="S726" s="61"/>
      <c r="T726" s="61"/>
      <c r="U726" s="61"/>
      <c r="V726" s="61"/>
      <c r="W726" s="61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spans="1:36" ht="11.25" customHeight="1" x14ac:dyDescent="0.2">
      <c r="A727" s="57" t="s">
        <v>28</v>
      </c>
      <c r="B727" s="57" t="s">
        <v>35</v>
      </c>
      <c r="C727" s="57" t="s">
        <v>36</v>
      </c>
      <c r="D727" s="57" t="s">
        <v>45</v>
      </c>
      <c r="E727" s="57" t="s">
        <v>25</v>
      </c>
      <c r="F727" s="57" t="s">
        <v>25</v>
      </c>
      <c r="G727" s="57" t="s">
        <v>25</v>
      </c>
      <c r="H727" s="57" t="s">
        <v>38</v>
      </c>
      <c r="I727" s="82">
        <v>44256</v>
      </c>
      <c r="J727" s="83">
        <f>EFEITO!$J$727*EFEITO!$Y$727</f>
        <v>0</v>
      </c>
      <c r="K727" s="83">
        <f ca="1">EFEITO!$L$727*EFEITO!$Z$727</f>
        <v>243875.26167397987</v>
      </c>
      <c r="L727" s="83">
        <f>EFEITO!$N$727*EFEITO!$AA$727</f>
        <v>409442.58754886989</v>
      </c>
      <c r="M727" s="83">
        <f>$J$727-EFEITO!$K$727*EFEITO!$Y$727</f>
        <v>0</v>
      </c>
      <c r="N727" s="83">
        <f ca="1">$K$727-EFEITO!$M$727*EFEITO!$Z$727</f>
        <v>0</v>
      </c>
      <c r="O727" s="83">
        <f>$L$727-EFEITO!$O$727*EFEITO!$AA$727</f>
        <v>0</v>
      </c>
      <c r="P727" s="61"/>
      <c r="Q727" s="61"/>
      <c r="R727" s="61"/>
      <c r="S727" s="61"/>
      <c r="T727" s="61"/>
      <c r="U727" s="61"/>
      <c r="V727" s="61"/>
      <c r="W727" s="61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spans="1:36" ht="11.25" customHeight="1" x14ac:dyDescent="0.2">
      <c r="A728" s="57" t="s">
        <v>30</v>
      </c>
      <c r="B728" s="57" t="s">
        <v>35</v>
      </c>
      <c r="C728" s="57" t="s">
        <v>36</v>
      </c>
      <c r="D728" s="57" t="s">
        <v>45</v>
      </c>
      <c r="E728" s="57" t="s">
        <v>25</v>
      </c>
      <c r="F728" s="57" t="s">
        <v>25</v>
      </c>
      <c r="G728" s="57" t="s">
        <v>25</v>
      </c>
      <c r="H728" s="57" t="s">
        <v>38</v>
      </c>
      <c r="I728" s="82">
        <v>44256</v>
      </c>
      <c r="J728" s="83">
        <f>EFEITO!$J$728*EFEITO!$Y$728</f>
        <v>0</v>
      </c>
      <c r="K728" s="83">
        <f ca="1">EFEITO!$L$728*EFEITO!$Z$728</f>
        <v>124578.7410625653</v>
      </c>
      <c r="L728" s="83">
        <f>EFEITO!$N$728*EFEITO!$AA$728</f>
        <v>209155.45818019981</v>
      </c>
      <c r="M728" s="83">
        <f>$J$728-EFEITO!$K$728*EFEITO!$Y$728</f>
        <v>0</v>
      </c>
      <c r="N728" s="83">
        <f ca="1">$K$728-EFEITO!$M$728*EFEITO!$Z$728</f>
        <v>0</v>
      </c>
      <c r="O728" s="83">
        <f>$L$728-EFEITO!$O$728*EFEITO!$AA$728</f>
        <v>0</v>
      </c>
      <c r="P728" s="61"/>
      <c r="Q728" s="61"/>
      <c r="R728" s="61"/>
      <c r="S728" s="61"/>
      <c r="T728" s="61"/>
      <c r="U728" s="61"/>
      <c r="V728" s="61"/>
      <c r="W728" s="61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spans="1:36" ht="11.25" customHeight="1" x14ac:dyDescent="0.2">
      <c r="A729" s="57" t="s">
        <v>21</v>
      </c>
      <c r="B729" s="57" t="s">
        <v>35</v>
      </c>
      <c r="C729" s="57" t="s">
        <v>36</v>
      </c>
      <c r="D729" s="57" t="s">
        <v>45</v>
      </c>
      <c r="E729" s="57" t="s">
        <v>25</v>
      </c>
      <c r="F729" s="57" t="s">
        <v>25</v>
      </c>
      <c r="G729" s="57" t="s">
        <v>25</v>
      </c>
      <c r="H729" s="57" t="s">
        <v>38</v>
      </c>
      <c r="I729" s="82">
        <v>44256</v>
      </c>
      <c r="J729" s="83">
        <f>EFEITO!$J$729*EFEITO!$Y$729</f>
        <v>0</v>
      </c>
      <c r="K729" s="83">
        <f ca="1">EFEITO!$L$729*EFEITO!$Z$729</f>
        <v>17109.837659897261</v>
      </c>
      <c r="L729" s="83">
        <f>EFEITO!$N$729*EFEITO!$AA$729</f>
        <v>0</v>
      </c>
      <c r="M729" s="83">
        <f>$J$729-EFEITO!$K$729*EFEITO!$Y$729</f>
        <v>0</v>
      </c>
      <c r="N729" s="83">
        <f ca="1">$K$729-EFEITO!$M$729*EFEITO!$Z$729</f>
        <v>0</v>
      </c>
      <c r="O729" s="83">
        <f>$L$729-EFEITO!$O$729*EFEITO!$AA$729</f>
        <v>0</v>
      </c>
      <c r="P729" s="61"/>
      <c r="Q729" s="61"/>
      <c r="R729" s="61"/>
      <c r="S729" s="61"/>
      <c r="T729" s="61"/>
      <c r="U729" s="61"/>
      <c r="V729" s="61"/>
      <c r="W729" s="61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spans="1:36" ht="11.25" customHeight="1" x14ac:dyDescent="0.2">
      <c r="A730" s="57" t="s">
        <v>21</v>
      </c>
      <c r="B730" s="57" t="s">
        <v>35</v>
      </c>
      <c r="C730" s="57" t="s">
        <v>36</v>
      </c>
      <c r="D730" s="57" t="s">
        <v>45</v>
      </c>
      <c r="E730" s="57" t="s">
        <v>25</v>
      </c>
      <c r="F730" s="57" t="s">
        <v>25</v>
      </c>
      <c r="G730" s="57" t="s">
        <v>25</v>
      </c>
      <c r="H730" s="57" t="s">
        <v>38</v>
      </c>
      <c r="I730" s="82">
        <v>44287</v>
      </c>
      <c r="J730" s="83">
        <f>EFEITO!$J$730*EFEITO!$Y$730</f>
        <v>0</v>
      </c>
      <c r="K730" s="83">
        <f ca="1">EFEITO!$L$730*EFEITO!$Z$730</f>
        <v>3715325.7370005162</v>
      </c>
      <c r="L730" s="83">
        <f>EFEITO!$N$730*EFEITO!$AA$730</f>
        <v>6237666.6370450007</v>
      </c>
      <c r="M730" s="83">
        <f>$J$730-EFEITO!$K$730*EFEITO!$Y$730</f>
        <v>0</v>
      </c>
      <c r="N730" s="83">
        <f ca="1">$K$730-EFEITO!$M$730*EFEITO!$Z$730</f>
        <v>0</v>
      </c>
      <c r="O730" s="83">
        <f>$L$730-EFEITO!$O$730*EFEITO!$AA$730</f>
        <v>0</v>
      </c>
      <c r="P730" s="61"/>
      <c r="Q730" s="61"/>
      <c r="R730" s="61"/>
      <c r="S730" s="61"/>
      <c r="T730" s="61"/>
      <c r="U730" s="61"/>
      <c r="V730" s="61"/>
      <c r="W730" s="61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spans="1:36" ht="11.25" customHeight="1" x14ac:dyDescent="0.2">
      <c r="A731" s="57" t="s">
        <v>27</v>
      </c>
      <c r="B731" s="57" t="s">
        <v>35</v>
      </c>
      <c r="C731" s="57" t="s">
        <v>36</v>
      </c>
      <c r="D731" s="57" t="s">
        <v>45</v>
      </c>
      <c r="E731" s="57" t="s">
        <v>25</v>
      </c>
      <c r="F731" s="57" t="s">
        <v>25</v>
      </c>
      <c r="G731" s="57" t="s">
        <v>25</v>
      </c>
      <c r="H731" s="57" t="s">
        <v>38</v>
      </c>
      <c r="I731" s="82">
        <v>44287</v>
      </c>
      <c r="J731" s="83">
        <f>EFEITO!$J$731*EFEITO!$Y$731</f>
        <v>0</v>
      </c>
      <c r="K731" s="83">
        <f ca="1">EFEITO!$L$731*EFEITO!$Z$731</f>
        <v>-77452.288839990928</v>
      </c>
      <c r="L731" s="83">
        <f>EFEITO!$N$731*EFEITO!$AA$731</f>
        <v>-130034.77817533743</v>
      </c>
      <c r="M731" s="83">
        <f>$J$731-EFEITO!$K$731*EFEITO!$Y$731</f>
        <v>0</v>
      </c>
      <c r="N731" s="83">
        <f ca="1">$K$731-EFEITO!$M$731*EFEITO!$Z$731</f>
        <v>0</v>
      </c>
      <c r="O731" s="83">
        <f>$L$731-EFEITO!$O$731*EFEITO!$AA$731</f>
        <v>0</v>
      </c>
      <c r="P731" s="61"/>
      <c r="Q731" s="61"/>
      <c r="R731" s="61"/>
      <c r="S731" s="61"/>
      <c r="T731" s="61"/>
      <c r="U731" s="61"/>
      <c r="V731" s="61"/>
      <c r="W731" s="61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spans="1:36" ht="11.25" customHeight="1" x14ac:dyDescent="0.2">
      <c r="A732" s="57" t="s">
        <v>28</v>
      </c>
      <c r="B732" s="57" t="s">
        <v>35</v>
      </c>
      <c r="C732" s="57" t="s">
        <v>36</v>
      </c>
      <c r="D732" s="57" t="s">
        <v>45</v>
      </c>
      <c r="E732" s="57" t="s">
        <v>25</v>
      </c>
      <c r="F732" s="57" t="s">
        <v>25</v>
      </c>
      <c r="G732" s="57" t="s">
        <v>25</v>
      </c>
      <c r="H732" s="57" t="s">
        <v>38</v>
      </c>
      <c r="I732" s="82">
        <v>44287</v>
      </c>
      <c r="J732" s="83">
        <f>EFEITO!$J$732*EFEITO!$Y$732</f>
        <v>0</v>
      </c>
      <c r="K732" s="83">
        <f ca="1">EFEITO!$L$732*EFEITO!$Z$732</f>
        <v>255449.26624382567</v>
      </c>
      <c r="L732" s="83">
        <f>EFEITO!$N$732*EFEITO!$AA$732</f>
        <v>428874.20331363409</v>
      </c>
      <c r="M732" s="83">
        <f>$J$732-EFEITO!$K$732*EFEITO!$Y$732</f>
        <v>0</v>
      </c>
      <c r="N732" s="83">
        <f ca="1">$K$732-EFEITO!$M$732*EFEITO!$Z$732</f>
        <v>0</v>
      </c>
      <c r="O732" s="83">
        <f>$L$732-EFEITO!$O$732*EFEITO!$AA$732</f>
        <v>0</v>
      </c>
      <c r="P732" s="61"/>
      <c r="Q732" s="61"/>
      <c r="R732" s="61"/>
      <c r="S732" s="61"/>
      <c r="T732" s="61"/>
      <c r="U732" s="61"/>
      <c r="V732" s="61"/>
      <c r="W732" s="61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spans="1:36" ht="11.25" customHeight="1" x14ac:dyDescent="0.2">
      <c r="A733" s="57" t="s">
        <v>30</v>
      </c>
      <c r="B733" s="57" t="s">
        <v>35</v>
      </c>
      <c r="C733" s="57" t="s">
        <v>36</v>
      </c>
      <c r="D733" s="57" t="s">
        <v>45</v>
      </c>
      <c r="E733" s="57" t="s">
        <v>25</v>
      </c>
      <c r="F733" s="57" t="s">
        <v>25</v>
      </c>
      <c r="G733" s="57" t="s">
        <v>25</v>
      </c>
      <c r="H733" s="57" t="s">
        <v>38</v>
      </c>
      <c r="I733" s="82">
        <v>44287</v>
      </c>
      <c r="J733" s="83">
        <f>EFEITO!$J$733*EFEITO!$Y$733</f>
        <v>0</v>
      </c>
      <c r="K733" s="83">
        <f ca="1">EFEITO!$L$733*EFEITO!$Z$733</f>
        <v>127681.91497974585</v>
      </c>
      <c r="L733" s="83">
        <f>EFEITO!$N$733*EFEITO!$AA$733</f>
        <v>214365.38209598881</v>
      </c>
      <c r="M733" s="83">
        <f>$J$733-EFEITO!$K$733*EFEITO!$Y$733</f>
        <v>0</v>
      </c>
      <c r="N733" s="83">
        <f ca="1">$K$733-EFEITO!$M$733*EFEITO!$Z$733</f>
        <v>0</v>
      </c>
      <c r="O733" s="83">
        <f>$L$733-EFEITO!$O$733*EFEITO!$AA$733</f>
        <v>0</v>
      </c>
      <c r="P733" s="61"/>
      <c r="Q733" s="61"/>
      <c r="R733" s="61"/>
      <c r="S733" s="61"/>
      <c r="T733" s="61"/>
      <c r="U733" s="61"/>
      <c r="V733" s="61"/>
      <c r="W733" s="61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spans="1:36" ht="11.25" customHeight="1" x14ac:dyDescent="0.2">
      <c r="A734" s="57" t="s">
        <v>21</v>
      </c>
      <c r="B734" s="57" t="s">
        <v>35</v>
      </c>
      <c r="C734" s="57" t="s">
        <v>36</v>
      </c>
      <c r="D734" s="57" t="s">
        <v>45</v>
      </c>
      <c r="E734" s="57" t="s">
        <v>25</v>
      </c>
      <c r="F734" s="57" t="s">
        <v>25</v>
      </c>
      <c r="G734" s="57" t="s">
        <v>25</v>
      </c>
      <c r="H734" s="57" t="s">
        <v>38</v>
      </c>
      <c r="I734" s="82">
        <v>44287</v>
      </c>
      <c r="J734" s="83">
        <f>EFEITO!$J$734*EFEITO!$Y$734</f>
        <v>0</v>
      </c>
      <c r="K734" s="83">
        <f ca="1">EFEITO!$L$734*EFEITO!$Z$734</f>
        <v>17078.662684351326</v>
      </c>
      <c r="L734" s="83">
        <f>EFEITO!$N$734*EFEITO!$AA$734</f>
        <v>0</v>
      </c>
      <c r="M734" s="83">
        <f>$J$734-EFEITO!$K$734*EFEITO!$Y$734</f>
        <v>0</v>
      </c>
      <c r="N734" s="83">
        <f ca="1">$K$734-EFEITO!$M$734*EFEITO!$Z$734</f>
        <v>0</v>
      </c>
      <c r="O734" s="83">
        <f>$L$734-EFEITO!$O$734*EFEITO!$AA$734</f>
        <v>0</v>
      </c>
      <c r="P734" s="61"/>
      <c r="Q734" s="61"/>
      <c r="R734" s="61"/>
      <c r="S734" s="61"/>
      <c r="T734" s="61"/>
      <c r="U734" s="61"/>
      <c r="V734" s="61"/>
      <c r="W734" s="61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spans="1:36" ht="11.25" customHeight="1" x14ac:dyDescent="0.2">
      <c r="A735" s="57" t="s">
        <v>21</v>
      </c>
      <c r="B735" s="57" t="s">
        <v>35</v>
      </c>
      <c r="C735" s="57" t="s">
        <v>36</v>
      </c>
      <c r="D735" s="57" t="s">
        <v>45</v>
      </c>
      <c r="E735" s="57" t="s">
        <v>25</v>
      </c>
      <c r="F735" s="57" t="s">
        <v>25</v>
      </c>
      <c r="G735" s="57" t="s">
        <v>25</v>
      </c>
      <c r="H735" s="57" t="s">
        <v>38</v>
      </c>
      <c r="I735" s="82">
        <v>44317</v>
      </c>
      <c r="J735" s="83">
        <f>EFEITO!$J$735*EFEITO!$Y$735</f>
        <v>0</v>
      </c>
      <c r="K735" s="83">
        <f ca="1">EFEITO!$L$735*EFEITO!$Z$735</f>
        <v>3888069.1412280262</v>
      </c>
      <c r="L735" s="83">
        <f>EFEITO!$N$735*EFEITO!$AA$735</f>
        <v>6527685.8293297188</v>
      </c>
      <c r="M735" s="83">
        <f>$J$735-EFEITO!$K$735*EFEITO!$Y$735</f>
        <v>0</v>
      </c>
      <c r="N735" s="83">
        <f ca="1">$K$735-EFEITO!$M$735*EFEITO!$Z$735</f>
        <v>0</v>
      </c>
      <c r="O735" s="83">
        <f>$L$735-EFEITO!$O$735*EFEITO!$AA$735</f>
        <v>0</v>
      </c>
      <c r="P735" s="61"/>
      <c r="Q735" s="61"/>
      <c r="R735" s="61"/>
      <c r="S735" s="61"/>
      <c r="T735" s="61"/>
      <c r="U735" s="61"/>
      <c r="V735" s="61"/>
      <c r="W735" s="61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spans="1:36" ht="11.25" customHeight="1" x14ac:dyDescent="0.2">
      <c r="A736" s="57" t="s">
        <v>27</v>
      </c>
      <c r="B736" s="57" t="s">
        <v>35</v>
      </c>
      <c r="C736" s="57" t="s">
        <v>36</v>
      </c>
      <c r="D736" s="57" t="s">
        <v>45</v>
      </c>
      <c r="E736" s="57" t="s">
        <v>25</v>
      </c>
      <c r="F736" s="57" t="s">
        <v>25</v>
      </c>
      <c r="G736" s="57" t="s">
        <v>25</v>
      </c>
      <c r="H736" s="57" t="s">
        <v>38</v>
      </c>
      <c r="I736" s="82">
        <v>44317</v>
      </c>
      <c r="J736" s="83">
        <f>EFEITO!$J$736*EFEITO!$Y$736</f>
        <v>0</v>
      </c>
      <c r="K736" s="83">
        <f ca="1">EFEITO!$L$736*EFEITO!$Z$736</f>
        <v>-3208.3262671300645</v>
      </c>
      <c r="L736" s="83">
        <f>EFEITO!$N$736*EFEITO!$AA$736</f>
        <v>-5386.464373212385</v>
      </c>
      <c r="M736" s="83">
        <f>$J$736-EFEITO!$K$736*EFEITO!$Y$736</f>
        <v>0</v>
      </c>
      <c r="N736" s="83">
        <f ca="1">$K$736-EFEITO!$M$736*EFEITO!$Z$736</f>
        <v>0</v>
      </c>
      <c r="O736" s="83">
        <f>$L$736-EFEITO!$O$736*EFEITO!$AA$736</f>
        <v>0</v>
      </c>
      <c r="P736" s="61"/>
      <c r="Q736" s="61"/>
      <c r="R736" s="61"/>
      <c r="S736" s="61"/>
      <c r="T736" s="61"/>
      <c r="U736" s="61"/>
      <c r="V736" s="61"/>
      <c r="W736" s="61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spans="1:36" ht="11.25" customHeight="1" x14ac:dyDescent="0.2">
      <c r="A737" s="57" t="s">
        <v>28</v>
      </c>
      <c r="B737" s="57" t="s">
        <v>35</v>
      </c>
      <c r="C737" s="57" t="s">
        <v>36</v>
      </c>
      <c r="D737" s="57" t="s">
        <v>45</v>
      </c>
      <c r="E737" s="57" t="s">
        <v>25</v>
      </c>
      <c r="F737" s="57" t="s">
        <v>25</v>
      </c>
      <c r="G737" s="57" t="s">
        <v>25</v>
      </c>
      <c r="H737" s="57" t="s">
        <v>38</v>
      </c>
      <c r="I737" s="82">
        <v>44317</v>
      </c>
      <c r="J737" s="83">
        <f>EFEITO!$J$737*EFEITO!$Y$737</f>
        <v>0</v>
      </c>
      <c r="K737" s="83">
        <f ca="1">EFEITO!$L$737*EFEITO!$Z$737</f>
        <v>271577.17643071664</v>
      </c>
      <c r="L737" s="83">
        <f>EFEITO!$N$737*EFEITO!$AA$737</f>
        <v>455951.3788883512</v>
      </c>
      <c r="M737" s="83">
        <f>$J$737-EFEITO!$K$737*EFEITO!$Y$737</f>
        <v>0</v>
      </c>
      <c r="N737" s="83">
        <f ca="1">$K$737-EFEITO!$M$737*EFEITO!$Z$737</f>
        <v>0</v>
      </c>
      <c r="O737" s="83">
        <f>$L$737-EFEITO!$O$737*EFEITO!$AA$737</f>
        <v>0</v>
      </c>
      <c r="P737" s="61"/>
      <c r="Q737" s="61"/>
      <c r="R737" s="61"/>
      <c r="S737" s="61"/>
      <c r="T737" s="61"/>
      <c r="U737" s="61"/>
      <c r="V737" s="61"/>
      <c r="W737" s="61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spans="1:36" ht="11.25" customHeight="1" x14ac:dyDescent="0.2">
      <c r="A738" s="57" t="s">
        <v>30</v>
      </c>
      <c r="B738" s="57" t="s">
        <v>35</v>
      </c>
      <c r="C738" s="57" t="s">
        <v>36</v>
      </c>
      <c r="D738" s="57" t="s">
        <v>45</v>
      </c>
      <c r="E738" s="57" t="s">
        <v>25</v>
      </c>
      <c r="F738" s="57" t="s">
        <v>25</v>
      </c>
      <c r="G738" s="57" t="s">
        <v>25</v>
      </c>
      <c r="H738" s="57" t="s">
        <v>38</v>
      </c>
      <c r="I738" s="82">
        <v>44317</v>
      </c>
      <c r="J738" s="83">
        <f>EFEITO!$J$738*EFEITO!$Y$738</f>
        <v>0</v>
      </c>
      <c r="K738" s="83">
        <f ca="1">EFEITO!$L$738*EFEITO!$Z$738</f>
        <v>135689.50234713664</v>
      </c>
      <c r="L738" s="83">
        <f>EFEITO!$N$738*EFEITO!$AA$738</f>
        <v>227809.33401314198</v>
      </c>
      <c r="M738" s="83">
        <f>$J$738-EFEITO!$K$738*EFEITO!$Y$738</f>
        <v>0</v>
      </c>
      <c r="N738" s="83">
        <f ca="1">$K$738-EFEITO!$M$738*EFEITO!$Z$738</f>
        <v>0</v>
      </c>
      <c r="O738" s="83">
        <f>$L$738-EFEITO!$O$738*EFEITO!$AA$738</f>
        <v>0</v>
      </c>
      <c r="P738" s="61"/>
      <c r="Q738" s="61"/>
      <c r="R738" s="61"/>
      <c r="S738" s="61"/>
      <c r="T738" s="61"/>
      <c r="U738" s="61"/>
      <c r="V738" s="61"/>
      <c r="W738" s="61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spans="1:36" ht="11.25" customHeight="1" x14ac:dyDescent="0.2">
      <c r="A739" s="57" t="s">
        <v>21</v>
      </c>
      <c r="B739" s="57" t="s">
        <v>35</v>
      </c>
      <c r="C739" s="57" t="s">
        <v>36</v>
      </c>
      <c r="D739" s="57" t="s">
        <v>45</v>
      </c>
      <c r="E739" s="57" t="s">
        <v>25</v>
      </c>
      <c r="F739" s="57" t="s">
        <v>25</v>
      </c>
      <c r="G739" s="57" t="s">
        <v>25</v>
      </c>
      <c r="H739" s="57" t="s">
        <v>38</v>
      </c>
      <c r="I739" s="82">
        <v>44317</v>
      </c>
      <c r="J739" s="83">
        <f>EFEITO!$J$739*EFEITO!$Y$739</f>
        <v>0</v>
      </c>
      <c r="K739" s="83">
        <f ca="1">EFEITO!$L$739*EFEITO!$Z$739</f>
        <v>19438.69258986929</v>
      </c>
      <c r="L739" s="83">
        <f>EFEITO!$N$739*EFEITO!$AA$739</f>
        <v>0</v>
      </c>
      <c r="M739" s="83">
        <f>$J$739-EFEITO!$K$739*EFEITO!$Y$739</f>
        <v>0</v>
      </c>
      <c r="N739" s="83">
        <f ca="1">$K$739-EFEITO!$M$739*EFEITO!$Z$739</f>
        <v>0</v>
      </c>
      <c r="O739" s="83">
        <f>$L$739-EFEITO!$O$739*EFEITO!$AA$739</f>
        <v>0</v>
      </c>
      <c r="P739" s="61"/>
      <c r="Q739" s="61"/>
      <c r="R739" s="61"/>
      <c r="S739" s="61"/>
      <c r="T739" s="61"/>
      <c r="U739" s="61"/>
      <c r="V739" s="61"/>
      <c r="W739" s="61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spans="1:36" ht="11.25" customHeight="1" x14ac:dyDescent="0.2">
      <c r="A740" s="57" t="s">
        <v>21</v>
      </c>
      <c r="B740" s="57" t="s">
        <v>35</v>
      </c>
      <c r="C740" s="57" t="s">
        <v>36</v>
      </c>
      <c r="D740" s="57" t="s">
        <v>45</v>
      </c>
      <c r="E740" s="57" t="s">
        <v>25</v>
      </c>
      <c r="F740" s="57" t="s">
        <v>25</v>
      </c>
      <c r="G740" s="57" t="s">
        <v>25</v>
      </c>
      <c r="H740" s="57" t="s">
        <v>38</v>
      </c>
      <c r="I740" s="82">
        <v>44348</v>
      </c>
      <c r="J740" s="83">
        <f>EFEITO!$J$740*EFEITO!$Y$740</f>
        <v>0</v>
      </c>
      <c r="K740" s="83">
        <f ca="1">EFEITO!$L$740*EFEITO!$Z$740</f>
        <v>3738832.0055889138</v>
      </c>
      <c r="L740" s="83">
        <f>EFEITO!$N$740*EFEITO!$AA$740</f>
        <v>6277131.3509663269</v>
      </c>
      <c r="M740" s="83">
        <f>$J$740-EFEITO!$K$740*EFEITO!$Y$740</f>
        <v>0</v>
      </c>
      <c r="N740" s="83">
        <f ca="1">$K$740-EFEITO!$M$740*EFEITO!$Z$740</f>
        <v>0</v>
      </c>
      <c r="O740" s="83">
        <f>$L$740-EFEITO!$O$740*EFEITO!$AA$740</f>
        <v>0</v>
      </c>
      <c r="P740" s="61"/>
      <c r="Q740" s="61"/>
      <c r="R740" s="61"/>
      <c r="S740" s="61"/>
      <c r="T740" s="61"/>
      <c r="U740" s="61"/>
      <c r="V740" s="61"/>
      <c r="W740" s="61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spans="1:36" ht="11.25" customHeight="1" x14ac:dyDescent="0.2">
      <c r="A741" s="57" t="s">
        <v>27</v>
      </c>
      <c r="B741" s="57" t="s">
        <v>35</v>
      </c>
      <c r="C741" s="57" t="s">
        <v>36</v>
      </c>
      <c r="D741" s="57" t="s">
        <v>45</v>
      </c>
      <c r="E741" s="57" t="s">
        <v>25</v>
      </c>
      <c r="F741" s="57" t="s">
        <v>25</v>
      </c>
      <c r="G741" s="57" t="s">
        <v>25</v>
      </c>
      <c r="H741" s="57" t="s">
        <v>38</v>
      </c>
      <c r="I741" s="82">
        <v>44348</v>
      </c>
      <c r="J741" s="83">
        <f>EFEITO!$J$741*EFEITO!$Y$741</f>
        <v>0</v>
      </c>
      <c r="K741" s="83">
        <f ca="1">EFEITO!$L$741*EFEITO!$Z$741</f>
        <v>-5658.173804896589</v>
      </c>
      <c r="L741" s="83">
        <f>EFEITO!$N$741*EFEITO!$AA$741</f>
        <v>-9499.5175302984517</v>
      </c>
      <c r="M741" s="83">
        <f>$J$741-EFEITO!$K$741*EFEITO!$Y$741</f>
        <v>0</v>
      </c>
      <c r="N741" s="83">
        <f ca="1">$K$741-EFEITO!$M$741*EFEITO!$Z$741</f>
        <v>0</v>
      </c>
      <c r="O741" s="83">
        <f>$L$741-EFEITO!$O$741*EFEITO!$AA$741</f>
        <v>0</v>
      </c>
      <c r="P741" s="61"/>
      <c r="Q741" s="61"/>
      <c r="R741" s="61"/>
      <c r="S741" s="61"/>
      <c r="T741" s="61"/>
      <c r="U741" s="61"/>
      <c r="V741" s="61"/>
      <c r="W741" s="61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spans="1:36" ht="11.25" customHeight="1" x14ac:dyDescent="0.2">
      <c r="A742" s="57" t="s">
        <v>28</v>
      </c>
      <c r="B742" s="57" t="s">
        <v>35</v>
      </c>
      <c r="C742" s="57" t="s">
        <v>36</v>
      </c>
      <c r="D742" s="57" t="s">
        <v>45</v>
      </c>
      <c r="E742" s="57" t="s">
        <v>25</v>
      </c>
      <c r="F742" s="57" t="s">
        <v>25</v>
      </c>
      <c r="G742" s="57" t="s">
        <v>25</v>
      </c>
      <c r="H742" s="57" t="s">
        <v>38</v>
      </c>
      <c r="I742" s="82">
        <v>44348</v>
      </c>
      <c r="J742" s="83">
        <f>EFEITO!$J$742*EFEITO!$Y$742</f>
        <v>0</v>
      </c>
      <c r="K742" s="83">
        <f ca="1">EFEITO!$L$742*EFEITO!$Z$742</f>
        <v>241706.32594288944</v>
      </c>
      <c r="L742" s="83">
        <f>EFEITO!$N$742*EFEITO!$AA$742</f>
        <v>405801.15769711212</v>
      </c>
      <c r="M742" s="83">
        <f>$J$742-EFEITO!$K$742*EFEITO!$Y$742</f>
        <v>0</v>
      </c>
      <c r="N742" s="83">
        <f ca="1">$K$742-EFEITO!$M$742*EFEITO!$Z$742</f>
        <v>0</v>
      </c>
      <c r="O742" s="83">
        <f>$L$742-EFEITO!$O$742*EFEITO!$AA$742</f>
        <v>0</v>
      </c>
      <c r="P742" s="61"/>
      <c r="Q742" s="61"/>
      <c r="R742" s="61"/>
      <c r="S742" s="61"/>
      <c r="T742" s="61"/>
      <c r="U742" s="61"/>
      <c r="V742" s="61"/>
      <c r="W742" s="61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spans="1:36" ht="11.25" customHeight="1" x14ac:dyDescent="0.2">
      <c r="A743" s="57" t="s">
        <v>29</v>
      </c>
      <c r="B743" s="57" t="s">
        <v>35</v>
      </c>
      <c r="C743" s="57" t="s">
        <v>36</v>
      </c>
      <c r="D743" s="57" t="s">
        <v>45</v>
      </c>
      <c r="E743" s="57" t="s">
        <v>25</v>
      </c>
      <c r="F743" s="57" t="s">
        <v>25</v>
      </c>
      <c r="G743" s="57" t="s">
        <v>25</v>
      </c>
      <c r="H743" s="57" t="s">
        <v>38</v>
      </c>
      <c r="I743" s="82">
        <v>44348</v>
      </c>
      <c r="J743" s="83">
        <f>EFEITO!$J$743*EFEITO!$Y$743</f>
        <v>0</v>
      </c>
      <c r="K743" s="83">
        <f ca="1">EFEITO!$L$743*EFEITO!$Z$743</f>
        <v>-1365.9694690559536</v>
      </c>
      <c r="L743" s="83">
        <f>EFEITO!$N$743*EFEITO!$AA$743</f>
        <v>-2293.3284421061812</v>
      </c>
      <c r="M743" s="83">
        <f>$J$743-EFEITO!$K$743*EFEITO!$Y$743</f>
        <v>0</v>
      </c>
      <c r="N743" s="83">
        <f ca="1">$K$743-EFEITO!$M$743*EFEITO!$Z$743</f>
        <v>0</v>
      </c>
      <c r="O743" s="83">
        <f>$L$743-EFEITO!$O$743*EFEITO!$AA$743</f>
        <v>0</v>
      </c>
      <c r="P743" s="61"/>
      <c r="Q743" s="61"/>
      <c r="R743" s="61"/>
      <c r="S743" s="61"/>
      <c r="T743" s="61"/>
      <c r="U743" s="61"/>
      <c r="V743" s="61"/>
      <c r="W743" s="61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spans="1:36" ht="11.25" customHeight="1" x14ac:dyDescent="0.2">
      <c r="A744" s="57" t="s">
        <v>30</v>
      </c>
      <c r="B744" s="57" t="s">
        <v>35</v>
      </c>
      <c r="C744" s="57" t="s">
        <v>36</v>
      </c>
      <c r="D744" s="57" t="s">
        <v>45</v>
      </c>
      <c r="E744" s="57" t="s">
        <v>25</v>
      </c>
      <c r="F744" s="57" t="s">
        <v>25</v>
      </c>
      <c r="G744" s="57" t="s">
        <v>25</v>
      </c>
      <c r="H744" s="57" t="s">
        <v>38</v>
      </c>
      <c r="I744" s="82">
        <v>44348</v>
      </c>
      <c r="J744" s="83">
        <f>EFEITO!$J$744*EFEITO!$Y$744</f>
        <v>0</v>
      </c>
      <c r="K744" s="83">
        <f ca="1">EFEITO!$L$744*EFEITO!$Z$744</f>
        <v>142222.59762789539</v>
      </c>
      <c r="L744" s="83">
        <f>EFEITO!$N$744*EFEITO!$AA$744</f>
        <v>238777.75868277121</v>
      </c>
      <c r="M744" s="83">
        <f>$J$744-EFEITO!$K$744*EFEITO!$Y$744</f>
        <v>0</v>
      </c>
      <c r="N744" s="83">
        <f ca="1">$K$744-EFEITO!$M$744*EFEITO!$Z$744</f>
        <v>0</v>
      </c>
      <c r="O744" s="83">
        <f>$L$744-EFEITO!$O$744*EFEITO!$AA$744</f>
        <v>0</v>
      </c>
      <c r="P744" s="61"/>
      <c r="Q744" s="61"/>
      <c r="R744" s="61"/>
      <c r="S744" s="61"/>
      <c r="T744" s="61"/>
      <c r="U744" s="61"/>
      <c r="V744" s="61"/>
      <c r="W744" s="61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spans="1:36" ht="11.25" customHeight="1" x14ac:dyDescent="0.2">
      <c r="A745" s="57" t="s">
        <v>21</v>
      </c>
      <c r="B745" s="57" t="s">
        <v>35</v>
      </c>
      <c r="C745" s="57" t="s">
        <v>36</v>
      </c>
      <c r="D745" s="57" t="s">
        <v>45</v>
      </c>
      <c r="E745" s="57" t="s">
        <v>25</v>
      </c>
      <c r="F745" s="57" t="s">
        <v>25</v>
      </c>
      <c r="G745" s="57" t="s">
        <v>25</v>
      </c>
      <c r="H745" s="57" t="s">
        <v>38</v>
      </c>
      <c r="I745" s="82">
        <v>44348</v>
      </c>
      <c r="J745" s="83">
        <f>EFEITO!$J$745*EFEITO!$Y$745</f>
        <v>0</v>
      </c>
      <c r="K745" s="83">
        <f ca="1">EFEITO!$L$745*EFEITO!$Z$745</f>
        <v>12314.957907551083</v>
      </c>
      <c r="L745" s="83">
        <f>EFEITO!$N$745*EFEITO!$AA$745</f>
        <v>0</v>
      </c>
      <c r="M745" s="83">
        <f>$J$745-EFEITO!$K$745*EFEITO!$Y$745</f>
        <v>0</v>
      </c>
      <c r="N745" s="83">
        <f ca="1">$K$745-EFEITO!$M$745*EFEITO!$Z$745</f>
        <v>0</v>
      </c>
      <c r="O745" s="83">
        <f>$L$745-EFEITO!$O$745*EFEITO!$AA$745</f>
        <v>0</v>
      </c>
      <c r="P745" s="61"/>
      <c r="Q745" s="61"/>
      <c r="R745" s="61"/>
      <c r="S745" s="61"/>
      <c r="T745" s="61"/>
      <c r="U745" s="61"/>
      <c r="V745" s="61"/>
      <c r="W745" s="61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spans="1:36" ht="11.25" customHeight="1" x14ac:dyDescent="0.2">
      <c r="A746" s="57" t="s">
        <v>21</v>
      </c>
      <c r="B746" s="57" t="s">
        <v>35</v>
      </c>
      <c r="C746" s="57" t="s">
        <v>36</v>
      </c>
      <c r="D746" s="57" t="s">
        <v>45</v>
      </c>
      <c r="E746" s="57" t="s">
        <v>25</v>
      </c>
      <c r="F746" s="57" t="s">
        <v>25</v>
      </c>
      <c r="G746" s="57" t="s">
        <v>25</v>
      </c>
      <c r="H746" s="57" t="s">
        <v>38</v>
      </c>
      <c r="I746" s="82">
        <v>44378</v>
      </c>
      <c r="J746" s="83">
        <f>EFEITO!$J$746*EFEITO!$Y$746</f>
        <v>0</v>
      </c>
      <c r="K746" s="83">
        <f ca="1">EFEITO!$L$746*EFEITO!$Z$746</f>
        <v>3879794.7971779909</v>
      </c>
      <c r="L746" s="83">
        <f>EFEITO!$N$746*EFEITO!$AA$746</f>
        <v>6513794.0191688137</v>
      </c>
      <c r="M746" s="83">
        <f>$J$746-EFEITO!$K$746*EFEITO!$Y$746</f>
        <v>0</v>
      </c>
      <c r="N746" s="83">
        <f ca="1">$K$746-EFEITO!$M$746*EFEITO!$Z$746</f>
        <v>0</v>
      </c>
      <c r="O746" s="83">
        <f>$L$746-EFEITO!$O$746*EFEITO!$AA$746</f>
        <v>0</v>
      </c>
      <c r="P746" s="61"/>
      <c r="Q746" s="61"/>
      <c r="R746" s="61"/>
      <c r="S746" s="61"/>
      <c r="T746" s="61"/>
      <c r="U746" s="61"/>
      <c r="V746" s="61"/>
      <c r="W746" s="61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spans="1:36" ht="11.25" customHeight="1" x14ac:dyDescent="0.2">
      <c r="A747" s="57" t="s">
        <v>27</v>
      </c>
      <c r="B747" s="57" t="s">
        <v>35</v>
      </c>
      <c r="C747" s="57" t="s">
        <v>36</v>
      </c>
      <c r="D747" s="57" t="s">
        <v>45</v>
      </c>
      <c r="E747" s="57" t="s">
        <v>25</v>
      </c>
      <c r="F747" s="57" t="s">
        <v>25</v>
      </c>
      <c r="G747" s="57" t="s">
        <v>25</v>
      </c>
      <c r="H747" s="57" t="s">
        <v>38</v>
      </c>
      <c r="I747" s="82">
        <v>44378</v>
      </c>
      <c r="J747" s="83">
        <f>EFEITO!$J$747*EFEITO!$Y$747</f>
        <v>0</v>
      </c>
      <c r="K747" s="83">
        <f ca="1">EFEITO!$L$747*EFEITO!$Z$747</f>
        <v>-10046.599281476301</v>
      </c>
      <c r="L747" s="83">
        <f>EFEITO!$N$747*EFEITO!$AA$747</f>
        <v>-16867.252453729143</v>
      </c>
      <c r="M747" s="83">
        <f>$J$747-EFEITO!$K$747*EFEITO!$Y$747</f>
        <v>0</v>
      </c>
      <c r="N747" s="83">
        <f ca="1">$K$747-EFEITO!$M$747*EFEITO!$Z$747</f>
        <v>0</v>
      </c>
      <c r="O747" s="83">
        <f>$L$747-EFEITO!$O$747*EFEITO!$AA$747</f>
        <v>0</v>
      </c>
      <c r="P747" s="61"/>
      <c r="Q747" s="61"/>
      <c r="R747" s="61"/>
      <c r="S747" s="61"/>
      <c r="T747" s="61"/>
      <c r="U747" s="61"/>
      <c r="V747" s="61"/>
      <c r="W747" s="61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spans="1:36" ht="11.25" customHeight="1" x14ac:dyDescent="0.2">
      <c r="A748" s="57" t="s">
        <v>28</v>
      </c>
      <c r="B748" s="57" t="s">
        <v>35</v>
      </c>
      <c r="C748" s="57" t="s">
        <v>36</v>
      </c>
      <c r="D748" s="57" t="s">
        <v>45</v>
      </c>
      <c r="E748" s="57" t="s">
        <v>25</v>
      </c>
      <c r="F748" s="57" t="s">
        <v>25</v>
      </c>
      <c r="G748" s="57" t="s">
        <v>25</v>
      </c>
      <c r="H748" s="57" t="s">
        <v>38</v>
      </c>
      <c r="I748" s="82">
        <v>44378</v>
      </c>
      <c r="J748" s="83">
        <f>EFEITO!$J$748*EFEITO!$Y$748</f>
        <v>0</v>
      </c>
      <c r="K748" s="83">
        <f ca="1">EFEITO!$L$748*EFEITO!$Z$748</f>
        <v>262764.43212733406</v>
      </c>
      <c r="L748" s="83">
        <f>EFEITO!$N$748*EFEITO!$AA$748</f>
        <v>441155.64763535006</v>
      </c>
      <c r="M748" s="83">
        <f>$J$748-EFEITO!$K$748*EFEITO!$Y$748</f>
        <v>0</v>
      </c>
      <c r="N748" s="83">
        <f ca="1">$K$748-EFEITO!$M$748*EFEITO!$Z$748</f>
        <v>0</v>
      </c>
      <c r="O748" s="83">
        <f>$L$748-EFEITO!$O$748*EFEITO!$AA$748</f>
        <v>0</v>
      </c>
      <c r="P748" s="61"/>
      <c r="Q748" s="61"/>
      <c r="R748" s="61"/>
      <c r="S748" s="61"/>
      <c r="T748" s="61"/>
      <c r="U748" s="61"/>
      <c r="V748" s="61"/>
      <c r="W748" s="61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spans="1:36" ht="11.25" customHeight="1" x14ac:dyDescent="0.2">
      <c r="A749" s="57" t="s">
        <v>29</v>
      </c>
      <c r="B749" s="57" t="s">
        <v>35</v>
      </c>
      <c r="C749" s="57" t="s">
        <v>36</v>
      </c>
      <c r="D749" s="57" t="s">
        <v>45</v>
      </c>
      <c r="E749" s="57" t="s">
        <v>25</v>
      </c>
      <c r="F749" s="57" t="s">
        <v>25</v>
      </c>
      <c r="G749" s="57" t="s">
        <v>25</v>
      </c>
      <c r="H749" s="57" t="s">
        <v>38</v>
      </c>
      <c r="I749" s="82">
        <v>44378</v>
      </c>
      <c r="J749" s="83">
        <f>EFEITO!$J$749*EFEITO!$Y$749</f>
        <v>0</v>
      </c>
      <c r="K749" s="83">
        <f ca="1">EFEITO!$L$749*EFEITO!$Z$749</f>
        <v>13769.396901804961</v>
      </c>
      <c r="L749" s="83">
        <f>EFEITO!$N$749*EFEITO!$AA$749</f>
        <v>23117.463648277597</v>
      </c>
      <c r="M749" s="83">
        <f>$J$749-EFEITO!$K$749*EFEITO!$Y$749</f>
        <v>0</v>
      </c>
      <c r="N749" s="83">
        <f ca="1">$K$749-EFEITO!$M$749*EFEITO!$Z$749</f>
        <v>0</v>
      </c>
      <c r="O749" s="83">
        <f>$L$749-EFEITO!$O$749*EFEITO!$AA$749</f>
        <v>0</v>
      </c>
      <c r="P749" s="61"/>
      <c r="Q749" s="61"/>
      <c r="R749" s="61"/>
      <c r="S749" s="61"/>
      <c r="T749" s="61"/>
      <c r="U749" s="61"/>
      <c r="V749" s="61"/>
      <c r="W749" s="61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spans="1:36" ht="11.25" customHeight="1" x14ac:dyDescent="0.2">
      <c r="A750" s="57" t="s">
        <v>30</v>
      </c>
      <c r="B750" s="57" t="s">
        <v>35</v>
      </c>
      <c r="C750" s="57" t="s">
        <v>36</v>
      </c>
      <c r="D750" s="57" t="s">
        <v>45</v>
      </c>
      <c r="E750" s="57" t="s">
        <v>25</v>
      </c>
      <c r="F750" s="57" t="s">
        <v>25</v>
      </c>
      <c r="G750" s="57" t="s">
        <v>25</v>
      </c>
      <c r="H750" s="57" t="s">
        <v>38</v>
      </c>
      <c r="I750" s="82">
        <v>44378</v>
      </c>
      <c r="J750" s="83">
        <f>EFEITO!$J$750*EFEITO!$Y$750</f>
        <v>0</v>
      </c>
      <c r="K750" s="83">
        <f ca="1">EFEITO!$L$750*EFEITO!$Z$750</f>
        <v>147065.50369392041</v>
      </c>
      <c r="L750" s="83">
        <f>EFEITO!$N$750*EFEITO!$AA$750</f>
        <v>246908.52183323869</v>
      </c>
      <c r="M750" s="83">
        <f>$J$750-EFEITO!$K$750*EFEITO!$Y$750</f>
        <v>0</v>
      </c>
      <c r="N750" s="83">
        <f ca="1">$K$750-EFEITO!$M$750*EFEITO!$Z$750</f>
        <v>0</v>
      </c>
      <c r="O750" s="83">
        <f>$L$750-EFEITO!$O$750*EFEITO!$AA$750</f>
        <v>0</v>
      </c>
      <c r="P750" s="61"/>
      <c r="Q750" s="61"/>
      <c r="R750" s="61"/>
      <c r="S750" s="61"/>
      <c r="T750" s="61"/>
      <c r="U750" s="61"/>
      <c r="V750" s="61"/>
      <c r="W750" s="61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spans="1:36" ht="11.25" customHeight="1" x14ac:dyDescent="0.2">
      <c r="A751" s="57" t="s">
        <v>30</v>
      </c>
      <c r="B751" s="57" t="s">
        <v>35</v>
      </c>
      <c r="C751" s="57" t="s">
        <v>36</v>
      </c>
      <c r="D751" s="57" t="s">
        <v>45</v>
      </c>
      <c r="E751" s="57" t="s">
        <v>25</v>
      </c>
      <c r="F751" s="57" t="s">
        <v>25</v>
      </c>
      <c r="G751" s="57" t="s">
        <v>25</v>
      </c>
      <c r="H751" s="57" t="s">
        <v>38</v>
      </c>
      <c r="I751" s="82">
        <v>44378</v>
      </c>
      <c r="J751" s="83">
        <f>EFEITO!$J$751*EFEITO!$Y$751</f>
        <v>0</v>
      </c>
      <c r="K751" s="83">
        <f ca="1">EFEITO!$L$751*EFEITO!$Z$751</f>
        <v>-5447.5320782348645</v>
      </c>
      <c r="L751" s="83">
        <f>EFEITO!$N$751*EFEITO!$AA$751</f>
        <v>-9145.8707806521743</v>
      </c>
      <c r="M751" s="83">
        <f>$J$751-EFEITO!$K$751*EFEITO!$Y$751</f>
        <v>0</v>
      </c>
      <c r="N751" s="83">
        <f ca="1">$K$751-EFEITO!$M$751*EFEITO!$Z$751</f>
        <v>0</v>
      </c>
      <c r="O751" s="83">
        <f>$L$751-EFEITO!$O$751*EFEITO!$AA$751</f>
        <v>0</v>
      </c>
      <c r="P751" s="61"/>
      <c r="Q751" s="61"/>
      <c r="R751" s="61"/>
      <c r="S751" s="61"/>
      <c r="T751" s="61"/>
      <c r="U751" s="61"/>
      <c r="V751" s="61"/>
      <c r="W751" s="61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spans="1:36" ht="11.25" customHeight="1" x14ac:dyDescent="0.2">
      <c r="A752" s="57" t="s">
        <v>21</v>
      </c>
      <c r="B752" s="57" t="s">
        <v>35</v>
      </c>
      <c r="C752" s="57" t="s">
        <v>36</v>
      </c>
      <c r="D752" s="57" t="s">
        <v>45</v>
      </c>
      <c r="E752" s="57" t="s">
        <v>25</v>
      </c>
      <c r="F752" s="57" t="s">
        <v>25</v>
      </c>
      <c r="G752" s="57" t="s">
        <v>25</v>
      </c>
      <c r="H752" s="57" t="s">
        <v>38</v>
      </c>
      <c r="I752" s="82">
        <v>44378</v>
      </c>
      <c r="J752" s="83">
        <f>EFEITO!$J$752*EFEITO!$Y$752</f>
        <v>0</v>
      </c>
      <c r="K752" s="83">
        <f ca="1">EFEITO!$L$752*EFEITO!$Z$752</f>
        <v>19154.410515566626</v>
      </c>
      <c r="L752" s="83">
        <f>EFEITO!$N$752*EFEITO!$AA$752</f>
        <v>0</v>
      </c>
      <c r="M752" s="83">
        <f>$J$752-EFEITO!$K$752*EFEITO!$Y$752</f>
        <v>0</v>
      </c>
      <c r="N752" s="83">
        <f ca="1">$K$752-EFEITO!$M$752*EFEITO!$Z$752</f>
        <v>0</v>
      </c>
      <c r="O752" s="83">
        <f>$L$752-EFEITO!$O$752*EFEITO!$AA$752</f>
        <v>0</v>
      </c>
      <c r="P752" s="61"/>
      <c r="Q752" s="61"/>
      <c r="R752" s="61"/>
      <c r="S752" s="61"/>
      <c r="T752" s="61"/>
      <c r="U752" s="61"/>
      <c r="V752" s="61"/>
      <c r="W752" s="61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spans="1:36" ht="11.25" customHeight="1" x14ac:dyDescent="0.2">
      <c r="A753" s="57" t="s">
        <v>21</v>
      </c>
      <c r="B753" s="57" t="s">
        <v>35</v>
      </c>
      <c r="C753" s="57" t="s">
        <v>36</v>
      </c>
      <c r="D753" s="57" t="s">
        <v>45</v>
      </c>
      <c r="E753" s="57" t="s">
        <v>25</v>
      </c>
      <c r="F753" s="57" t="s">
        <v>25</v>
      </c>
      <c r="G753" s="57" t="s">
        <v>25</v>
      </c>
      <c r="H753" s="57" t="s">
        <v>38</v>
      </c>
      <c r="I753" s="82">
        <v>44409</v>
      </c>
      <c r="J753" s="83">
        <f>EFEITO!$J$753*EFEITO!$Y$753</f>
        <v>0</v>
      </c>
      <c r="K753" s="83">
        <f ca="1">EFEITO!$L$753*EFEITO!$Z$753</f>
        <v>4162402.8595505287</v>
      </c>
      <c r="L753" s="83">
        <f>EFEITO!$N$753*EFEITO!$AA$753</f>
        <v>6988265.1710426407</v>
      </c>
      <c r="M753" s="83">
        <f>$J$753-EFEITO!$K$753*EFEITO!$Y$753</f>
        <v>0</v>
      </c>
      <c r="N753" s="83">
        <f ca="1">$K$753-EFEITO!$M$753*EFEITO!$Z$753</f>
        <v>0</v>
      </c>
      <c r="O753" s="83">
        <f>$L$753-EFEITO!$O$753*EFEITO!$AA$753</f>
        <v>0</v>
      </c>
      <c r="P753" s="61"/>
      <c r="Q753" s="61"/>
      <c r="R753" s="61"/>
      <c r="S753" s="61"/>
      <c r="T753" s="61"/>
      <c r="U753" s="61"/>
      <c r="V753" s="61"/>
      <c r="W753" s="61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spans="1:36" ht="11.25" customHeight="1" x14ac:dyDescent="0.2">
      <c r="A754" s="57" t="s">
        <v>27</v>
      </c>
      <c r="B754" s="57" t="s">
        <v>35</v>
      </c>
      <c r="C754" s="57" t="s">
        <v>36</v>
      </c>
      <c r="D754" s="57" t="s">
        <v>45</v>
      </c>
      <c r="E754" s="57" t="s">
        <v>25</v>
      </c>
      <c r="F754" s="57" t="s">
        <v>25</v>
      </c>
      <c r="G754" s="57" t="s">
        <v>25</v>
      </c>
      <c r="H754" s="57" t="s">
        <v>38</v>
      </c>
      <c r="I754" s="82">
        <v>44409</v>
      </c>
      <c r="J754" s="83">
        <f>EFEITO!$J$754*EFEITO!$Y$754</f>
        <v>0</v>
      </c>
      <c r="K754" s="83">
        <f ca="1">EFEITO!$L$754*EFEITO!$Z$754</f>
        <v>3843506.4515889967</v>
      </c>
      <c r="L754" s="83">
        <f>EFEITO!$N$754*EFEITO!$AA$754</f>
        <v>6452869.454644151</v>
      </c>
      <c r="M754" s="83">
        <f>$J$754-EFEITO!$K$754*EFEITO!$Y$754</f>
        <v>0</v>
      </c>
      <c r="N754" s="83">
        <f ca="1">$K$754-EFEITO!$M$754*EFEITO!$Z$754</f>
        <v>0</v>
      </c>
      <c r="O754" s="83">
        <f>$L$754-EFEITO!$O$754*EFEITO!$AA$754</f>
        <v>0</v>
      </c>
      <c r="P754" s="61"/>
      <c r="Q754" s="61"/>
      <c r="R754" s="61"/>
      <c r="S754" s="61"/>
      <c r="T754" s="61"/>
      <c r="U754" s="61"/>
      <c r="V754" s="61"/>
      <c r="W754" s="61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spans="1:36" ht="11.25" customHeight="1" x14ac:dyDescent="0.2">
      <c r="A755" s="57" t="s">
        <v>28</v>
      </c>
      <c r="B755" s="57" t="s">
        <v>35</v>
      </c>
      <c r="C755" s="57" t="s">
        <v>36</v>
      </c>
      <c r="D755" s="57" t="s">
        <v>45</v>
      </c>
      <c r="E755" s="57" t="s">
        <v>25</v>
      </c>
      <c r="F755" s="57" t="s">
        <v>25</v>
      </c>
      <c r="G755" s="57" t="s">
        <v>25</v>
      </c>
      <c r="H755" s="57" t="s">
        <v>38</v>
      </c>
      <c r="I755" s="82">
        <v>44409</v>
      </c>
      <c r="J755" s="83">
        <f>EFEITO!$J$755*EFEITO!$Y$755</f>
        <v>0</v>
      </c>
      <c r="K755" s="83">
        <f ca="1">EFEITO!$L$755*EFEITO!$Z$755</f>
        <v>304481.60480923532</v>
      </c>
      <c r="L755" s="83">
        <f>EFEITO!$N$755*EFEITO!$AA$755</f>
        <v>511194.67910929606</v>
      </c>
      <c r="M755" s="83">
        <f>$J$755-EFEITO!$K$755*EFEITO!$Y$755</f>
        <v>0</v>
      </c>
      <c r="N755" s="83">
        <f ca="1">$K$755-EFEITO!$M$755*EFEITO!$Z$755</f>
        <v>0</v>
      </c>
      <c r="O755" s="83">
        <f>$L$755-EFEITO!$O$755*EFEITO!$AA$755</f>
        <v>0</v>
      </c>
      <c r="P755" s="61"/>
      <c r="Q755" s="61"/>
      <c r="R755" s="61"/>
      <c r="S755" s="61"/>
      <c r="T755" s="61"/>
      <c r="U755" s="61"/>
      <c r="V755" s="61"/>
      <c r="W755" s="61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spans="1:36" ht="11.25" customHeight="1" x14ac:dyDescent="0.2">
      <c r="A756" s="57" t="s">
        <v>30</v>
      </c>
      <c r="B756" s="57" t="s">
        <v>35</v>
      </c>
      <c r="C756" s="57" t="s">
        <v>36</v>
      </c>
      <c r="D756" s="57" t="s">
        <v>45</v>
      </c>
      <c r="E756" s="57" t="s">
        <v>25</v>
      </c>
      <c r="F756" s="57" t="s">
        <v>25</v>
      </c>
      <c r="G756" s="57" t="s">
        <v>25</v>
      </c>
      <c r="H756" s="57" t="s">
        <v>38</v>
      </c>
      <c r="I756" s="82">
        <v>44409</v>
      </c>
      <c r="J756" s="83">
        <f>EFEITO!$J$756*EFEITO!$Y$756</f>
        <v>0</v>
      </c>
      <c r="K756" s="83">
        <f ca="1">EFEITO!$L$756*EFEITO!$Z$756</f>
        <v>152602.01083749719</v>
      </c>
      <c r="L756" s="83">
        <f>EFEITO!$N$756*EFEITO!$AA$756</f>
        <v>256203.77300094147</v>
      </c>
      <c r="M756" s="83">
        <f>$J$756-EFEITO!$K$756*EFEITO!$Y$756</f>
        <v>0</v>
      </c>
      <c r="N756" s="83">
        <f ca="1">$K$756-EFEITO!$M$756*EFEITO!$Z$756</f>
        <v>0</v>
      </c>
      <c r="O756" s="83">
        <f>$L$756-EFEITO!$O$756*EFEITO!$AA$756</f>
        <v>0</v>
      </c>
      <c r="P756" s="61"/>
      <c r="Q756" s="61"/>
      <c r="R756" s="61"/>
      <c r="S756" s="61"/>
      <c r="T756" s="61"/>
      <c r="U756" s="61"/>
      <c r="V756" s="61"/>
      <c r="W756" s="61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spans="1:36" ht="11.25" customHeight="1" x14ac:dyDescent="0.2">
      <c r="A757" s="57" t="s">
        <v>30</v>
      </c>
      <c r="B757" s="57" t="s">
        <v>35</v>
      </c>
      <c r="C757" s="57" t="s">
        <v>36</v>
      </c>
      <c r="D757" s="57" t="s">
        <v>45</v>
      </c>
      <c r="E757" s="57" t="s">
        <v>25</v>
      </c>
      <c r="F757" s="57" t="s">
        <v>25</v>
      </c>
      <c r="G757" s="57" t="s">
        <v>25</v>
      </c>
      <c r="H757" s="57" t="s">
        <v>38</v>
      </c>
      <c r="I757" s="82">
        <v>44409</v>
      </c>
      <c r="J757" s="83">
        <f>EFEITO!$J$757*EFEITO!$Y$757</f>
        <v>0</v>
      </c>
      <c r="K757" s="83">
        <f ca="1">EFEITO!$L$757*EFEITO!$Z$757</f>
        <v>-0.1685133813293799</v>
      </c>
      <c r="L757" s="83">
        <f>EFEITO!$N$757*EFEITO!$AA$757</f>
        <v>-0.28291739971702212</v>
      </c>
      <c r="M757" s="83">
        <f>$J$757-EFEITO!$K$757*EFEITO!$Y$757</f>
        <v>0</v>
      </c>
      <c r="N757" s="83">
        <f ca="1">$K$757-EFEITO!$M$757*EFEITO!$Z$757</f>
        <v>0</v>
      </c>
      <c r="O757" s="83">
        <f>$L$757-EFEITO!$O$757*EFEITO!$AA$757</f>
        <v>0</v>
      </c>
      <c r="P757" s="61"/>
      <c r="Q757" s="61"/>
      <c r="R757" s="61"/>
      <c r="S757" s="61"/>
      <c r="T757" s="61"/>
      <c r="U757" s="61"/>
      <c r="V757" s="61"/>
      <c r="W757" s="61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spans="1:36" ht="11.25" customHeight="1" x14ac:dyDescent="0.2">
      <c r="A758" s="57" t="s">
        <v>21</v>
      </c>
      <c r="B758" s="57" t="s">
        <v>35</v>
      </c>
      <c r="C758" s="57" t="s">
        <v>36</v>
      </c>
      <c r="D758" s="57" t="s">
        <v>45</v>
      </c>
      <c r="E758" s="57" t="s">
        <v>25</v>
      </c>
      <c r="F758" s="57" t="s">
        <v>25</v>
      </c>
      <c r="G758" s="57" t="s">
        <v>25</v>
      </c>
      <c r="H758" s="57" t="s">
        <v>38</v>
      </c>
      <c r="I758" s="82">
        <v>44409</v>
      </c>
      <c r="J758" s="83">
        <f>EFEITO!$J$758*EFEITO!$Y$758</f>
        <v>0</v>
      </c>
      <c r="K758" s="83">
        <f ca="1">EFEITO!$L$758*EFEITO!$Z$758</f>
        <v>21482.085851869353</v>
      </c>
      <c r="L758" s="83">
        <f>EFEITO!$N$758*EFEITO!$AA$758</f>
        <v>0</v>
      </c>
      <c r="M758" s="83">
        <f>$J$758-EFEITO!$K$758*EFEITO!$Y$758</f>
        <v>0</v>
      </c>
      <c r="N758" s="83">
        <f ca="1">$K$758-EFEITO!$M$758*EFEITO!$Z$758</f>
        <v>0</v>
      </c>
      <c r="O758" s="83">
        <f>$L$758-EFEITO!$O$758*EFEITO!$AA$758</f>
        <v>0</v>
      </c>
      <c r="P758" s="61"/>
      <c r="Q758" s="61"/>
      <c r="R758" s="61"/>
      <c r="S758" s="61"/>
      <c r="T758" s="61"/>
      <c r="U758" s="61"/>
      <c r="V758" s="61"/>
      <c r="W758" s="61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spans="1:36" ht="11.25" customHeight="1" x14ac:dyDescent="0.2">
      <c r="A759" s="57" t="s">
        <v>21</v>
      </c>
      <c r="B759" s="57" t="s">
        <v>35</v>
      </c>
      <c r="C759" s="57" t="s">
        <v>36</v>
      </c>
      <c r="D759" s="57" t="s">
        <v>45</v>
      </c>
      <c r="E759" s="57" t="s">
        <v>25</v>
      </c>
      <c r="F759" s="57" t="s">
        <v>25</v>
      </c>
      <c r="G759" s="57" t="s">
        <v>25</v>
      </c>
      <c r="H759" s="57" t="s">
        <v>38</v>
      </c>
      <c r="I759" s="82">
        <v>44440</v>
      </c>
      <c r="J759" s="83">
        <f>EFEITO!$J$759*EFEITO!$Y$759</f>
        <v>0</v>
      </c>
      <c r="K759" s="83">
        <f ca="1">EFEITO!$L$759*EFEITO!$Z$759</f>
        <v>4046388.9796074107</v>
      </c>
      <c r="L759" s="83">
        <f>EFEITO!$N$759*EFEITO!$AA$759</f>
        <v>6793489.2726204591</v>
      </c>
      <c r="M759" s="83">
        <f>$J$759-EFEITO!$K$759*EFEITO!$Y$759</f>
        <v>0</v>
      </c>
      <c r="N759" s="83">
        <f ca="1">$K$759-EFEITO!$M$759*EFEITO!$Z$759</f>
        <v>0</v>
      </c>
      <c r="O759" s="83">
        <f>$L$759-EFEITO!$O$759*EFEITO!$AA$759</f>
        <v>0</v>
      </c>
      <c r="P759" s="61"/>
      <c r="Q759" s="61"/>
      <c r="R759" s="61"/>
      <c r="S759" s="61"/>
      <c r="T759" s="61"/>
      <c r="U759" s="61"/>
      <c r="V759" s="61"/>
      <c r="W759" s="61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spans="1:36" ht="11.25" customHeight="1" x14ac:dyDescent="0.2">
      <c r="A760" s="57" t="s">
        <v>27</v>
      </c>
      <c r="B760" s="57" t="s">
        <v>35</v>
      </c>
      <c r="C760" s="57" t="s">
        <v>36</v>
      </c>
      <c r="D760" s="57" t="s">
        <v>45</v>
      </c>
      <c r="E760" s="57" t="s">
        <v>25</v>
      </c>
      <c r="F760" s="57" t="s">
        <v>25</v>
      </c>
      <c r="G760" s="57" t="s">
        <v>25</v>
      </c>
      <c r="H760" s="57" t="s">
        <v>38</v>
      </c>
      <c r="I760" s="82">
        <v>44440</v>
      </c>
      <c r="J760" s="83">
        <f>EFEITO!$J$760*EFEITO!$Y$760</f>
        <v>0</v>
      </c>
      <c r="K760" s="83">
        <f ca="1">EFEITO!$L$760*EFEITO!$Z$760</f>
        <v>-6626.2831806338772</v>
      </c>
      <c r="L760" s="83">
        <f>EFEITO!$N$760*EFEITO!$AA$760</f>
        <v>-11124.877991672745</v>
      </c>
      <c r="M760" s="83">
        <f>$J$760-EFEITO!$K$760*EFEITO!$Y$760</f>
        <v>0</v>
      </c>
      <c r="N760" s="83">
        <f ca="1">$K$760-EFEITO!$M$760*EFEITO!$Z$760</f>
        <v>0</v>
      </c>
      <c r="O760" s="83">
        <f>$L$760-EFEITO!$O$760*EFEITO!$AA$760</f>
        <v>0</v>
      </c>
      <c r="P760" s="61"/>
      <c r="Q760" s="61"/>
      <c r="R760" s="61"/>
      <c r="S760" s="61"/>
      <c r="T760" s="61"/>
      <c r="U760" s="61"/>
      <c r="V760" s="61"/>
      <c r="W760" s="61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spans="1:36" ht="11.25" customHeight="1" x14ac:dyDescent="0.2">
      <c r="A761" s="57" t="s">
        <v>28</v>
      </c>
      <c r="B761" s="57" t="s">
        <v>35</v>
      </c>
      <c r="C761" s="57" t="s">
        <v>36</v>
      </c>
      <c r="D761" s="57" t="s">
        <v>45</v>
      </c>
      <c r="E761" s="57" t="s">
        <v>25</v>
      </c>
      <c r="F761" s="57" t="s">
        <v>25</v>
      </c>
      <c r="G761" s="57" t="s">
        <v>25</v>
      </c>
      <c r="H761" s="57" t="s">
        <v>38</v>
      </c>
      <c r="I761" s="82">
        <v>44440</v>
      </c>
      <c r="J761" s="83">
        <f>EFEITO!$J$761*EFEITO!$Y$761</f>
        <v>0</v>
      </c>
      <c r="K761" s="83">
        <f ca="1">EFEITO!$L$761*EFEITO!$Z$761</f>
        <v>322696.72173727199</v>
      </c>
      <c r="L761" s="83">
        <f>EFEITO!$N$761*EFEITO!$AA$761</f>
        <v>541776.06959690817</v>
      </c>
      <c r="M761" s="83">
        <f>$J$761-EFEITO!$K$761*EFEITO!$Y$761</f>
        <v>0</v>
      </c>
      <c r="N761" s="83">
        <f ca="1">$K$761-EFEITO!$M$761*EFEITO!$Z$761</f>
        <v>0</v>
      </c>
      <c r="O761" s="83">
        <f>$L$761-EFEITO!$O$761*EFEITO!$AA$761</f>
        <v>0</v>
      </c>
      <c r="P761" s="61"/>
      <c r="Q761" s="61"/>
      <c r="R761" s="61"/>
      <c r="S761" s="61"/>
      <c r="T761" s="61"/>
      <c r="U761" s="61"/>
      <c r="V761" s="61"/>
      <c r="W761" s="61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spans="1:36" ht="11.25" customHeight="1" x14ac:dyDescent="0.2">
      <c r="A762" s="57" t="s">
        <v>30</v>
      </c>
      <c r="B762" s="57" t="s">
        <v>35</v>
      </c>
      <c r="C762" s="57" t="s">
        <v>36</v>
      </c>
      <c r="D762" s="57" t="s">
        <v>45</v>
      </c>
      <c r="E762" s="57" t="s">
        <v>25</v>
      </c>
      <c r="F762" s="57" t="s">
        <v>25</v>
      </c>
      <c r="G762" s="57" t="s">
        <v>25</v>
      </c>
      <c r="H762" s="57" t="s">
        <v>38</v>
      </c>
      <c r="I762" s="82">
        <v>44440</v>
      </c>
      <c r="J762" s="83">
        <f>EFEITO!$J$762*EFEITO!$Y$762</f>
        <v>0</v>
      </c>
      <c r="K762" s="83">
        <f ca="1">EFEITO!$L$762*EFEITO!$Z$762</f>
        <v>153372.62253031644</v>
      </c>
      <c r="L762" s="83">
        <f>EFEITO!$N$762*EFEITO!$AA$762</f>
        <v>257497.5542698474</v>
      </c>
      <c r="M762" s="83">
        <f>$J$762-EFEITO!$K$762*EFEITO!$Y$762</f>
        <v>0</v>
      </c>
      <c r="N762" s="83">
        <f ca="1">$K$762-EFEITO!$M$762*EFEITO!$Z$762</f>
        <v>0</v>
      </c>
      <c r="O762" s="83">
        <f>$L$762-EFEITO!$O$762*EFEITO!$AA$762</f>
        <v>0</v>
      </c>
      <c r="P762" s="61"/>
      <c r="Q762" s="61"/>
      <c r="R762" s="61"/>
      <c r="S762" s="61"/>
      <c r="T762" s="61"/>
      <c r="U762" s="61"/>
      <c r="V762" s="61"/>
      <c r="W762" s="61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spans="1:36" ht="11.25" customHeight="1" x14ac:dyDescent="0.2">
      <c r="A763" s="57" t="s">
        <v>21</v>
      </c>
      <c r="B763" s="57" t="s">
        <v>35</v>
      </c>
      <c r="C763" s="57" t="s">
        <v>36</v>
      </c>
      <c r="D763" s="57" t="s">
        <v>45</v>
      </c>
      <c r="E763" s="57" t="s">
        <v>25</v>
      </c>
      <c r="F763" s="57" t="s">
        <v>25</v>
      </c>
      <c r="G763" s="57" t="s">
        <v>25</v>
      </c>
      <c r="H763" s="57" t="s">
        <v>38</v>
      </c>
      <c r="I763" s="82">
        <v>44440</v>
      </c>
      <c r="J763" s="83">
        <f>EFEITO!$J$763*EFEITO!$Y$763</f>
        <v>0</v>
      </c>
      <c r="K763" s="83">
        <f ca="1">EFEITO!$L$763*EFEITO!$Z$763</f>
        <v>21722.891473789034</v>
      </c>
      <c r="L763" s="83">
        <f>EFEITO!$N$763*EFEITO!$AA$763</f>
        <v>0</v>
      </c>
      <c r="M763" s="83">
        <f>$J$763-EFEITO!$K$763*EFEITO!$Y$763</f>
        <v>0</v>
      </c>
      <c r="N763" s="83">
        <f ca="1">$K$763-EFEITO!$M$763*EFEITO!$Z$763</f>
        <v>0</v>
      </c>
      <c r="O763" s="83">
        <f>$L$763-EFEITO!$O$763*EFEITO!$AA$763</f>
        <v>0</v>
      </c>
      <c r="P763" s="61"/>
      <c r="Q763" s="61"/>
      <c r="R763" s="61"/>
      <c r="S763" s="61"/>
      <c r="T763" s="61"/>
      <c r="U763" s="61"/>
      <c r="V763" s="61"/>
      <c r="W763" s="61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spans="1:36" ht="11.25" customHeight="1" x14ac:dyDescent="0.2">
      <c r="A764" s="57" t="s">
        <v>59</v>
      </c>
      <c r="B764" s="57" t="s">
        <v>35</v>
      </c>
      <c r="C764" s="57" t="s">
        <v>36</v>
      </c>
      <c r="D764" s="57" t="s">
        <v>45</v>
      </c>
      <c r="E764" s="57" t="s">
        <v>25</v>
      </c>
      <c r="F764" s="57" t="s">
        <v>25</v>
      </c>
      <c r="G764" s="57" t="s">
        <v>25</v>
      </c>
      <c r="H764" s="57" t="s">
        <v>38</v>
      </c>
      <c r="I764" s="82">
        <v>44470</v>
      </c>
      <c r="J764" s="83">
        <f>EFEITO!$J$764*EFEITO!$Y$764</f>
        <v>0</v>
      </c>
      <c r="K764" s="83">
        <f ca="1">EFEITO!$L$764*EFEITO!$Z$764</f>
        <v>4046388.9796074107</v>
      </c>
      <c r="L764" s="83">
        <f>EFEITO!$N$764*EFEITO!$AA$764</f>
        <v>6793489.2726204591</v>
      </c>
      <c r="M764" s="83">
        <f>$J$764-EFEITO!$K$764*EFEITO!$Y$764</f>
        <v>0</v>
      </c>
      <c r="N764" s="83">
        <f ca="1">$K$764-EFEITO!$M$764*EFEITO!$Z$764</f>
        <v>0</v>
      </c>
      <c r="O764" s="83">
        <f>$L$764-EFEITO!$O$764*EFEITO!$AA$764</f>
        <v>0</v>
      </c>
      <c r="P764" s="61"/>
      <c r="Q764" s="61"/>
      <c r="R764" s="61"/>
      <c r="S764" s="61"/>
      <c r="T764" s="61"/>
      <c r="U764" s="61"/>
      <c r="V764" s="61"/>
      <c r="W764" s="61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spans="1:36" ht="11.25" customHeight="1" x14ac:dyDescent="0.2">
      <c r="A765" s="57" t="s">
        <v>59</v>
      </c>
      <c r="B765" s="57" t="s">
        <v>35</v>
      </c>
      <c r="C765" s="57" t="s">
        <v>36</v>
      </c>
      <c r="D765" s="57" t="s">
        <v>45</v>
      </c>
      <c r="E765" s="57" t="s">
        <v>25</v>
      </c>
      <c r="F765" s="57" t="s">
        <v>25</v>
      </c>
      <c r="G765" s="57" t="s">
        <v>25</v>
      </c>
      <c r="H765" s="57" t="s">
        <v>38</v>
      </c>
      <c r="I765" s="82">
        <v>44470</v>
      </c>
      <c r="J765" s="83">
        <f>EFEITO!$J$765*EFEITO!$Y$765</f>
        <v>0</v>
      </c>
      <c r="K765" s="83">
        <f ca="1">EFEITO!$L$765*EFEITO!$Z$765</f>
        <v>-6626.2831806338772</v>
      </c>
      <c r="L765" s="83">
        <f>EFEITO!$N$765*EFEITO!$AA$765</f>
        <v>-11124.877991672745</v>
      </c>
      <c r="M765" s="83">
        <f>$J$765-EFEITO!$K$765*EFEITO!$Y$765</f>
        <v>0</v>
      </c>
      <c r="N765" s="83">
        <f ca="1">$K$765-EFEITO!$M$765*EFEITO!$Z$765</f>
        <v>0</v>
      </c>
      <c r="O765" s="83">
        <f>$L$765-EFEITO!$O$765*EFEITO!$AA$765</f>
        <v>0</v>
      </c>
      <c r="P765" s="61"/>
      <c r="Q765" s="61"/>
      <c r="R765" s="61"/>
      <c r="S765" s="61"/>
      <c r="T765" s="61"/>
      <c r="U765" s="61"/>
      <c r="V765" s="61"/>
      <c r="W765" s="61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spans="1:36" ht="11.25" customHeight="1" x14ac:dyDescent="0.2">
      <c r="A766" s="57" t="s">
        <v>59</v>
      </c>
      <c r="B766" s="57" t="s">
        <v>35</v>
      </c>
      <c r="C766" s="57" t="s">
        <v>36</v>
      </c>
      <c r="D766" s="57" t="s">
        <v>45</v>
      </c>
      <c r="E766" s="57" t="s">
        <v>25</v>
      </c>
      <c r="F766" s="57" t="s">
        <v>25</v>
      </c>
      <c r="G766" s="57" t="s">
        <v>25</v>
      </c>
      <c r="H766" s="57" t="s">
        <v>38</v>
      </c>
      <c r="I766" s="82">
        <v>44470</v>
      </c>
      <c r="J766" s="83">
        <f>EFEITO!$J$766*EFEITO!$Y$766</f>
        <v>0</v>
      </c>
      <c r="K766" s="83">
        <f ca="1">EFEITO!$L$766*EFEITO!$Z$766</f>
        <v>322696.72173727199</v>
      </c>
      <c r="L766" s="83">
        <f>EFEITO!$N$766*EFEITO!$AA$766</f>
        <v>541776.06959690817</v>
      </c>
      <c r="M766" s="83">
        <f>$J$766-EFEITO!$K$766*EFEITO!$Y$766</f>
        <v>0</v>
      </c>
      <c r="N766" s="83">
        <f ca="1">$K$766-EFEITO!$M$766*EFEITO!$Z$766</f>
        <v>0</v>
      </c>
      <c r="O766" s="83">
        <f>$L$766-EFEITO!$O$766*EFEITO!$AA$766</f>
        <v>0</v>
      </c>
      <c r="P766" s="61"/>
      <c r="Q766" s="61"/>
      <c r="R766" s="61"/>
      <c r="S766" s="61"/>
      <c r="T766" s="61"/>
      <c r="U766" s="61"/>
      <c r="V766" s="61"/>
      <c r="W766" s="61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spans="1:36" ht="11.25" customHeight="1" x14ac:dyDescent="0.2">
      <c r="A767" s="57" t="s">
        <v>59</v>
      </c>
      <c r="B767" s="57" t="s">
        <v>35</v>
      </c>
      <c r="C767" s="57" t="s">
        <v>36</v>
      </c>
      <c r="D767" s="57" t="s">
        <v>45</v>
      </c>
      <c r="E767" s="57" t="s">
        <v>25</v>
      </c>
      <c r="F767" s="57" t="s">
        <v>25</v>
      </c>
      <c r="G767" s="57" t="s">
        <v>25</v>
      </c>
      <c r="H767" s="57" t="s">
        <v>38</v>
      </c>
      <c r="I767" s="82">
        <v>44470</v>
      </c>
      <c r="J767" s="83">
        <f>EFEITO!$J$767*EFEITO!$Y$767</f>
        <v>0</v>
      </c>
      <c r="K767" s="83">
        <f ca="1">EFEITO!$L$767*EFEITO!$Z$767</f>
        <v>153372.62253031644</v>
      </c>
      <c r="L767" s="83">
        <f>EFEITO!$N$767*EFEITO!$AA$767</f>
        <v>257497.5542698474</v>
      </c>
      <c r="M767" s="83">
        <f>$J$767-EFEITO!$K$767*EFEITO!$Y$767</f>
        <v>0</v>
      </c>
      <c r="N767" s="83">
        <f ca="1">$K$767-EFEITO!$M$767*EFEITO!$Z$767</f>
        <v>0</v>
      </c>
      <c r="O767" s="83">
        <f>$L$767-EFEITO!$O$767*EFEITO!$AA$767</f>
        <v>0</v>
      </c>
      <c r="P767" s="61"/>
      <c r="Q767" s="61"/>
      <c r="R767" s="61"/>
      <c r="S767" s="61"/>
      <c r="T767" s="61"/>
      <c r="U767" s="61"/>
      <c r="V767" s="61"/>
      <c r="W767" s="61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spans="1:36" ht="11.25" customHeight="1" x14ac:dyDescent="0.2">
      <c r="A768" s="57" t="s">
        <v>59</v>
      </c>
      <c r="B768" s="57" t="s">
        <v>35</v>
      </c>
      <c r="C768" s="57" t="s">
        <v>36</v>
      </c>
      <c r="D768" s="57" t="s">
        <v>45</v>
      </c>
      <c r="E768" s="57" t="s">
        <v>25</v>
      </c>
      <c r="F768" s="57" t="s">
        <v>25</v>
      </c>
      <c r="G768" s="57" t="s">
        <v>25</v>
      </c>
      <c r="H768" s="57" t="s">
        <v>38</v>
      </c>
      <c r="I768" s="82">
        <v>44470</v>
      </c>
      <c r="J768" s="83">
        <f>EFEITO!$J$768*EFEITO!$Y$768</f>
        <v>0</v>
      </c>
      <c r="K768" s="83">
        <f ca="1">EFEITO!$L$768*EFEITO!$Z$768</f>
        <v>21722.891473789034</v>
      </c>
      <c r="L768" s="83">
        <f>EFEITO!$N$768*EFEITO!$AA$768</f>
        <v>0</v>
      </c>
      <c r="M768" s="83">
        <f>$J$768-EFEITO!$K$768*EFEITO!$Y$768</f>
        <v>0</v>
      </c>
      <c r="N768" s="83">
        <f ca="1">$K$768-EFEITO!$M$768*EFEITO!$Z$768</f>
        <v>0</v>
      </c>
      <c r="O768" s="83">
        <f>$L$768-EFEITO!$O$768*EFEITO!$AA$768</f>
        <v>0</v>
      </c>
      <c r="P768" s="61"/>
      <c r="Q768" s="61"/>
      <c r="R768" s="61"/>
      <c r="S768" s="61"/>
      <c r="T768" s="61"/>
      <c r="U768" s="61"/>
      <c r="V768" s="61"/>
      <c r="W768" s="61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spans="1:36" ht="11.25" customHeight="1" x14ac:dyDescent="0.2">
      <c r="A769" s="57" t="s">
        <v>21</v>
      </c>
      <c r="B769" s="57" t="s">
        <v>35</v>
      </c>
      <c r="C769" s="57" t="s">
        <v>36</v>
      </c>
      <c r="D769" s="57" t="s">
        <v>45</v>
      </c>
      <c r="E769" s="57" t="s">
        <v>25</v>
      </c>
      <c r="F769" s="57" t="s">
        <v>25</v>
      </c>
      <c r="G769" s="57" t="s">
        <v>25</v>
      </c>
      <c r="H769" s="57" t="s">
        <v>25</v>
      </c>
      <c r="I769" s="82">
        <v>44136</v>
      </c>
      <c r="J769" s="83">
        <f ca="1">EFEITO!$J$769*EFEITO!$Y$769</f>
        <v>4429354.7791626202</v>
      </c>
      <c r="K769" s="83">
        <f>EFEITO!$L$769*EFEITO!$Z$769</f>
        <v>0</v>
      </c>
      <c r="L769" s="83">
        <f>EFEITO!$N$769*EFEITO!$AA$769</f>
        <v>0</v>
      </c>
      <c r="M769" s="83">
        <f ca="1">$J$769-EFEITO!$K$769*EFEITO!$Y$769</f>
        <v>0</v>
      </c>
      <c r="N769" s="83">
        <f>$K$769-EFEITO!$M$769*EFEITO!$Z$769</f>
        <v>0</v>
      </c>
      <c r="O769" s="83">
        <f>$L$769-EFEITO!$O$769*EFEITO!$AA$769</f>
        <v>0</v>
      </c>
      <c r="P769" s="61"/>
      <c r="Q769" s="61"/>
      <c r="R769" s="61"/>
      <c r="S769" s="61"/>
      <c r="T769" s="61"/>
      <c r="U769" s="61"/>
      <c r="V769" s="61"/>
      <c r="W769" s="61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spans="1:36" ht="11.25" customHeight="1" x14ac:dyDescent="0.2">
      <c r="A770" s="57" t="s">
        <v>27</v>
      </c>
      <c r="B770" s="57" t="s">
        <v>35</v>
      </c>
      <c r="C770" s="57" t="s">
        <v>36</v>
      </c>
      <c r="D770" s="57" t="s">
        <v>45</v>
      </c>
      <c r="E770" s="57" t="s">
        <v>25</v>
      </c>
      <c r="F770" s="57" t="s">
        <v>25</v>
      </c>
      <c r="G770" s="57" t="s">
        <v>25</v>
      </c>
      <c r="H770" s="57" t="s">
        <v>25</v>
      </c>
      <c r="I770" s="82">
        <v>44136</v>
      </c>
      <c r="J770" s="83">
        <f ca="1">EFEITO!$J$770*EFEITO!$Y$770</f>
        <v>-7375.9782723695935</v>
      </c>
      <c r="K770" s="83">
        <f>EFEITO!$L$770*EFEITO!$Z$770</f>
        <v>0</v>
      </c>
      <c r="L770" s="83">
        <f>EFEITO!$N$770*EFEITO!$AA$770</f>
        <v>0</v>
      </c>
      <c r="M770" s="83">
        <f ca="1">$J$770-EFEITO!$K$770*EFEITO!$Y$770</f>
        <v>0</v>
      </c>
      <c r="N770" s="83">
        <f>$K$770-EFEITO!$M$770*EFEITO!$Z$770</f>
        <v>0</v>
      </c>
      <c r="O770" s="83">
        <f>$L$770-EFEITO!$O$770*EFEITO!$AA$770</f>
        <v>0</v>
      </c>
      <c r="P770" s="61"/>
      <c r="Q770" s="61"/>
      <c r="R770" s="61"/>
      <c r="S770" s="61"/>
      <c r="T770" s="61"/>
      <c r="U770" s="61"/>
      <c r="V770" s="61"/>
      <c r="W770" s="61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spans="1:36" ht="11.25" customHeight="1" x14ac:dyDescent="0.2">
      <c r="A771" s="57" t="s">
        <v>28</v>
      </c>
      <c r="B771" s="57" t="s">
        <v>35</v>
      </c>
      <c r="C771" s="57" t="s">
        <v>36</v>
      </c>
      <c r="D771" s="57" t="s">
        <v>45</v>
      </c>
      <c r="E771" s="57" t="s">
        <v>25</v>
      </c>
      <c r="F771" s="57" t="s">
        <v>25</v>
      </c>
      <c r="G771" s="57" t="s">
        <v>25</v>
      </c>
      <c r="H771" s="57" t="s">
        <v>25</v>
      </c>
      <c r="I771" s="82">
        <v>44136</v>
      </c>
      <c r="J771" s="83">
        <f ca="1">EFEITO!$J$771*EFEITO!$Y$771</f>
        <v>291239.38451204787</v>
      </c>
      <c r="K771" s="83">
        <f>EFEITO!$L$771*EFEITO!$Z$771</f>
        <v>0</v>
      </c>
      <c r="L771" s="83">
        <f>EFEITO!$N$771*EFEITO!$AA$771</f>
        <v>0</v>
      </c>
      <c r="M771" s="83">
        <f ca="1">$J$771-EFEITO!$K$771*EFEITO!$Y$771</f>
        <v>0</v>
      </c>
      <c r="N771" s="83">
        <f>$K$771-EFEITO!$M$771*EFEITO!$Z$771</f>
        <v>0</v>
      </c>
      <c r="O771" s="83">
        <f>$L$771-EFEITO!$O$771*EFEITO!$AA$771</f>
        <v>0</v>
      </c>
      <c r="P771" s="61"/>
      <c r="Q771" s="61"/>
      <c r="R771" s="61"/>
      <c r="S771" s="61"/>
      <c r="T771" s="61"/>
      <c r="U771" s="61"/>
      <c r="V771" s="61"/>
      <c r="W771" s="61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spans="1:36" ht="11.25" customHeight="1" x14ac:dyDescent="0.2">
      <c r="A772" s="57" t="s">
        <v>30</v>
      </c>
      <c r="B772" s="57" t="s">
        <v>35</v>
      </c>
      <c r="C772" s="57" t="s">
        <v>36</v>
      </c>
      <c r="D772" s="57" t="s">
        <v>45</v>
      </c>
      <c r="E772" s="57" t="s">
        <v>25</v>
      </c>
      <c r="F772" s="57" t="s">
        <v>25</v>
      </c>
      <c r="G772" s="57" t="s">
        <v>25</v>
      </c>
      <c r="H772" s="57" t="s">
        <v>25</v>
      </c>
      <c r="I772" s="82">
        <v>44136</v>
      </c>
      <c r="J772" s="83">
        <f ca="1">EFEITO!$J$772*EFEITO!$Y$772</f>
        <v>184591.0406604702</v>
      </c>
      <c r="K772" s="83">
        <f>EFEITO!$L$772*EFEITO!$Z$772</f>
        <v>0</v>
      </c>
      <c r="L772" s="83">
        <f>EFEITO!$N$772*EFEITO!$AA$772</f>
        <v>0</v>
      </c>
      <c r="M772" s="83">
        <f ca="1">$J$772-EFEITO!$K$772*EFEITO!$Y$772</f>
        <v>0</v>
      </c>
      <c r="N772" s="83">
        <f>$K$772-EFEITO!$M$772*EFEITO!$Z$772</f>
        <v>0</v>
      </c>
      <c r="O772" s="83">
        <f>$L$772-EFEITO!$O$772*EFEITO!$AA$772</f>
        <v>0</v>
      </c>
      <c r="P772" s="61"/>
      <c r="Q772" s="61"/>
      <c r="R772" s="61"/>
      <c r="S772" s="61"/>
      <c r="T772" s="61"/>
      <c r="U772" s="61"/>
      <c r="V772" s="61"/>
      <c r="W772" s="61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spans="1:36" ht="11.25" customHeight="1" x14ac:dyDescent="0.2">
      <c r="A773" s="57" t="s">
        <v>21</v>
      </c>
      <c r="B773" s="57" t="s">
        <v>35</v>
      </c>
      <c r="C773" s="57" t="s">
        <v>36</v>
      </c>
      <c r="D773" s="57" t="s">
        <v>45</v>
      </c>
      <c r="E773" s="57" t="s">
        <v>25</v>
      </c>
      <c r="F773" s="57" t="s">
        <v>25</v>
      </c>
      <c r="G773" s="57" t="s">
        <v>25</v>
      </c>
      <c r="H773" s="57" t="s">
        <v>25</v>
      </c>
      <c r="I773" s="82">
        <v>44136</v>
      </c>
      <c r="J773" s="83">
        <f ca="1">EFEITO!$J$773*EFEITO!$Y$773</f>
        <v>9419.5393521603037</v>
      </c>
      <c r="K773" s="83">
        <f>EFEITO!$L$773*EFEITO!$Z$773</f>
        <v>0</v>
      </c>
      <c r="L773" s="83">
        <f>EFEITO!$N$773*EFEITO!$AA$773</f>
        <v>0</v>
      </c>
      <c r="M773" s="83">
        <f ca="1">$J$773-EFEITO!$K$773*EFEITO!$Y$773</f>
        <v>0</v>
      </c>
      <c r="N773" s="83">
        <f>$K$773-EFEITO!$M$773*EFEITO!$Z$773</f>
        <v>0</v>
      </c>
      <c r="O773" s="83">
        <f>$L$773-EFEITO!$O$773*EFEITO!$AA$773</f>
        <v>0</v>
      </c>
      <c r="P773" s="61"/>
      <c r="Q773" s="61"/>
      <c r="R773" s="61"/>
      <c r="S773" s="61"/>
      <c r="T773" s="61"/>
      <c r="U773" s="61"/>
      <c r="V773" s="61"/>
      <c r="W773" s="61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spans="1:36" ht="11.25" customHeight="1" x14ac:dyDescent="0.2">
      <c r="A774" s="57" t="s">
        <v>21</v>
      </c>
      <c r="B774" s="57" t="s">
        <v>35</v>
      </c>
      <c r="C774" s="57" t="s">
        <v>36</v>
      </c>
      <c r="D774" s="57" t="s">
        <v>45</v>
      </c>
      <c r="E774" s="57" t="s">
        <v>25</v>
      </c>
      <c r="F774" s="57" t="s">
        <v>25</v>
      </c>
      <c r="G774" s="57" t="s">
        <v>25</v>
      </c>
      <c r="H774" s="57" t="s">
        <v>25</v>
      </c>
      <c r="I774" s="82">
        <v>44166</v>
      </c>
      <c r="J774" s="83">
        <f ca="1">EFEITO!$J$774*EFEITO!$Y$774</f>
        <v>4315330.4570386726</v>
      </c>
      <c r="K774" s="83">
        <f>EFEITO!$L$774*EFEITO!$Z$774</f>
        <v>0</v>
      </c>
      <c r="L774" s="83">
        <f>EFEITO!$N$774*EFEITO!$AA$774</f>
        <v>0</v>
      </c>
      <c r="M774" s="83">
        <f ca="1">$J$774-EFEITO!$K$774*EFEITO!$Y$774</f>
        <v>0</v>
      </c>
      <c r="N774" s="83">
        <f>$K$774-EFEITO!$M$774*EFEITO!$Z$774</f>
        <v>0</v>
      </c>
      <c r="O774" s="83">
        <f>$L$774-EFEITO!$O$774*EFEITO!$AA$774</f>
        <v>0</v>
      </c>
      <c r="P774" s="61"/>
      <c r="Q774" s="61"/>
      <c r="R774" s="61"/>
      <c r="S774" s="61"/>
      <c r="T774" s="61"/>
      <c r="U774" s="61"/>
      <c r="V774" s="61"/>
      <c r="W774" s="61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spans="1:36" ht="11.25" customHeight="1" x14ac:dyDescent="0.2">
      <c r="A775" s="57" t="s">
        <v>27</v>
      </c>
      <c r="B775" s="57" t="s">
        <v>35</v>
      </c>
      <c r="C775" s="57" t="s">
        <v>36</v>
      </c>
      <c r="D775" s="57" t="s">
        <v>45</v>
      </c>
      <c r="E775" s="57" t="s">
        <v>25</v>
      </c>
      <c r="F775" s="57" t="s">
        <v>25</v>
      </c>
      <c r="G775" s="57" t="s">
        <v>25</v>
      </c>
      <c r="H775" s="57" t="s">
        <v>25</v>
      </c>
      <c r="I775" s="82">
        <v>44166</v>
      </c>
      <c r="J775" s="83">
        <f ca="1">EFEITO!$J$775*EFEITO!$Y$775</f>
        <v>-215723.41648540681</v>
      </c>
      <c r="K775" s="83">
        <f>EFEITO!$L$775*EFEITO!$Z$775</f>
        <v>0</v>
      </c>
      <c r="L775" s="83">
        <f>EFEITO!$N$775*EFEITO!$AA$775</f>
        <v>0</v>
      </c>
      <c r="M775" s="83">
        <f ca="1">$J$775-EFEITO!$K$775*EFEITO!$Y$775</f>
        <v>0</v>
      </c>
      <c r="N775" s="83">
        <f>$K$775-EFEITO!$M$775*EFEITO!$Z$775</f>
        <v>0</v>
      </c>
      <c r="O775" s="83">
        <f>$L$775-EFEITO!$O$775*EFEITO!$AA$775</f>
        <v>0</v>
      </c>
      <c r="P775" s="61"/>
      <c r="Q775" s="61"/>
      <c r="R775" s="61"/>
      <c r="S775" s="61"/>
      <c r="T775" s="61"/>
      <c r="U775" s="61"/>
      <c r="V775" s="61"/>
      <c r="W775" s="61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spans="1:36" ht="11.25" customHeight="1" x14ac:dyDescent="0.2">
      <c r="A776" s="57" t="s">
        <v>28</v>
      </c>
      <c r="B776" s="57" t="s">
        <v>35</v>
      </c>
      <c r="C776" s="57" t="s">
        <v>36</v>
      </c>
      <c r="D776" s="57" t="s">
        <v>45</v>
      </c>
      <c r="E776" s="57" t="s">
        <v>25</v>
      </c>
      <c r="F776" s="57" t="s">
        <v>25</v>
      </c>
      <c r="G776" s="57" t="s">
        <v>25</v>
      </c>
      <c r="H776" s="57" t="s">
        <v>25</v>
      </c>
      <c r="I776" s="82">
        <v>44166</v>
      </c>
      <c r="J776" s="83">
        <f ca="1">EFEITO!$J$776*EFEITO!$Y$776</f>
        <v>295454.22923911619</v>
      </c>
      <c r="K776" s="83">
        <f>EFEITO!$L$776*EFEITO!$Z$776</f>
        <v>0</v>
      </c>
      <c r="L776" s="83">
        <f>EFEITO!$N$776*EFEITO!$AA$776</f>
        <v>0</v>
      </c>
      <c r="M776" s="83">
        <f ca="1">$J$776-EFEITO!$K$776*EFEITO!$Y$776</f>
        <v>0</v>
      </c>
      <c r="N776" s="83">
        <f>$K$776-EFEITO!$M$776*EFEITO!$Z$776</f>
        <v>0</v>
      </c>
      <c r="O776" s="83">
        <f>$L$776-EFEITO!$O$776*EFEITO!$AA$776</f>
        <v>0</v>
      </c>
      <c r="P776" s="61"/>
      <c r="Q776" s="61"/>
      <c r="R776" s="61"/>
      <c r="S776" s="61"/>
      <c r="T776" s="61"/>
      <c r="U776" s="61"/>
      <c r="V776" s="61"/>
      <c r="W776" s="61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spans="1:36" ht="11.25" customHeight="1" x14ac:dyDescent="0.2">
      <c r="A777" s="57" t="s">
        <v>30</v>
      </c>
      <c r="B777" s="57" t="s">
        <v>35</v>
      </c>
      <c r="C777" s="57" t="s">
        <v>36</v>
      </c>
      <c r="D777" s="57" t="s">
        <v>45</v>
      </c>
      <c r="E777" s="57" t="s">
        <v>25</v>
      </c>
      <c r="F777" s="57" t="s">
        <v>25</v>
      </c>
      <c r="G777" s="57" t="s">
        <v>25</v>
      </c>
      <c r="H777" s="57" t="s">
        <v>25</v>
      </c>
      <c r="I777" s="82">
        <v>44166</v>
      </c>
      <c r="J777" s="83">
        <f ca="1">EFEITO!$J$777*EFEITO!$Y$777</f>
        <v>194681.12349193683</v>
      </c>
      <c r="K777" s="83">
        <f>EFEITO!$L$777*EFEITO!$Z$777</f>
        <v>0</v>
      </c>
      <c r="L777" s="83">
        <f>EFEITO!$N$777*EFEITO!$AA$777</f>
        <v>0</v>
      </c>
      <c r="M777" s="83">
        <f ca="1">$J$777-EFEITO!$K$777*EFEITO!$Y$777</f>
        <v>0</v>
      </c>
      <c r="N777" s="83">
        <f>$K$777-EFEITO!$M$777*EFEITO!$Z$777</f>
        <v>0</v>
      </c>
      <c r="O777" s="83">
        <f>$L$777-EFEITO!$O$777*EFEITO!$AA$777</f>
        <v>0</v>
      </c>
      <c r="P777" s="61"/>
      <c r="Q777" s="61"/>
      <c r="R777" s="61"/>
      <c r="S777" s="61"/>
      <c r="T777" s="61"/>
      <c r="U777" s="61"/>
      <c r="V777" s="61"/>
      <c r="W777" s="61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spans="1:36" ht="11.25" customHeight="1" x14ac:dyDescent="0.2">
      <c r="A778" s="57" t="s">
        <v>21</v>
      </c>
      <c r="B778" s="57" t="s">
        <v>35</v>
      </c>
      <c r="C778" s="57" t="s">
        <v>36</v>
      </c>
      <c r="D778" s="57" t="s">
        <v>45</v>
      </c>
      <c r="E778" s="57" t="s">
        <v>25</v>
      </c>
      <c r="F778" s="57" t="s">
        <v>25</v>
      </c>
      <c r="G778" s="57" t="s">
        <v>25</v>
      </c>
      <c r="H778" s="57" t="s">
        <v>25</v>
      </c>
      <c r="I778" s="82">
        <v>44166</v>
      </c>
      <c r="J778" s="83">
        <f ca="1">EFEITO!$J$778*EFEITO!$Y$778</f>
        <v>69129.839652295108</v>
      </c>
      <c r="K778" s="83">
        <f>EFEITO!$L$778*EFEITO!$Z$778</f>
        <v>0</v>
      </c>
      <c r="L778" s="83">
        <f>EFEITO!$N$778*EFEITO!$AA$778</f>
        <v>0</v>
      </c>
      <c r="M778" s="83">
        <f ca="1">$J$778-EFEITO!$K$778*EFEITO!$Y$778</f>
        <v>0</v>
      </c>
      <c r="N778" s="83">
        <f>$K$778-EFEITO!$M$778*EFEITO!$Z$778</f>
        <v>0</v>
      </c>
      <c r="O778" s="83">
        <f>$L$778-EFEITO!$O$778*EFEITO!$AA$778</f>
        <v>0</v>
      </c>
      <c r="P778" s="61"/>
      <c r="Q778" s="61"/>
      <c r="R778" s="61"/>
      <c r="S778" s="61"/>
      <c r="T778" s="61"/>
      <c r="U778" s="61"/>
      <c r="V778" s="61"/>
      <c r="W778" s="61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 spans="1:36" ht="11.25" customHeight="1" x14ac:dyDescent="0.2">
      <c r="A779" s="57" t="s">
        <v>21</v>
      </c>
      <c r="B779" s="57" t="s">
        <v>35</v>
      </c>
      <c r="C779" s="57" t="s">
        <v>36</v>
      </c>
      <c r="D779" s="57" t="s">
        <v>45</v>
      </c>
      <c r="E779" s="57" t="s">
        <v>25</v>
      </c>
      <c r="F779" s="57" t="s">
        <v>25</v>
      </c>
      <c r="G779" s="57" t="s">
        <v>25</v>
      </c>
      <c r="H779" s="57" t="s">
        <v>25</v>
      </c>
      <c r="I779" s="82">
        <v>44197</v>
      </c>
      <c r="J779" s="83">
        <f ca="1">EFEITO!$J$779*EFEITO!$Y$779</f>
        <v>4274235.720949756</v>
      </c>
      <c r="K779" s="83">
        <f>EFEITO!$L$779*EFEITO!$Z$779</f>
        <v>0</v>
      </c>
      <c r="L779" s="83">
        <f>EFEITO!$N$779*EFEITO!$AA$779</f>
        <v>0</v>
      </c>
      <c r="M779" s="83">
        <f ca="1">$J$779-EFEITO!$K$779*EFEITO!$Y$779</f>
        <v>0</v>
      </c>
      <c r="N779" s="83">
        <f>$K$779-EFEITO!$M$779*EFEITO!$Z$779</f>
        <v>0</v>
      </c>
      <c r="O779" s="83">
        <f>$L$779-EFEITO!$O$779*EFEITO!$AA$779</f>
        <v>0</v>
      </c>
      <c r="P779" s="61"/>
      <c r="Q779" s="61"/>
      <c r="R779" s="61"/>
      <c r="S779" s="61"/>
      <c r="T779" s="61"/>
      <c r="U779" s="61"/>
      <c r="V779" s="61"/>
      <c r="W779" s="61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 spans="1:36" ht="11.25" customHeight="1" x14ac:dyDescent="0.2">
      <c r="A780" s="57" t="s">
        <v>27</v>
      </c>
      <c r="B780" s="57" t="s">
        <v>35</v>
      </c>
      <c r="C780" s="57" t="s">
        <v>36</v>
      </c>
      <c r="D780" s="57" t="s">
        <v>45</v>
      </c>
      <c r="E780" s="57" t="s">
        <v>25</v>
      </c>
      <c r="F780" s="57" t="s">
        <v>25</v>
      </c>
      <c r="G780" s="57" t="s">
        <v>25</v>
      </c>
      <c r="H780" s="57" t="s">
        <v>25</v>
      </c>
      <c r="I780" s="82">
        <v>44197</v>
      </c>
      <c r="J780" s="83">
        <f ca="1">EFEITO!$J$780*EFEITO!$Y$780</f>
        <v>-19445.760899883473</v>
      </c>
      <c r="K780" s="83">
        <f>EFEITO!$L$780*EFEITO!$Z$780</f>
        <v>0</v>
      </c>
      <c r="L780" s="83">
        <f>EFEITO!$N$780*EFEITO!$AA$780</f>
        <v>0</v>
      </c>
      <c r="M780" s="83">
        <f ca="1">$J$780-EFEITO!$K$780*EFEITO!$Y$780</f>
        <v>0</v>
      </c>
      <c r="N780" s="83">
        <f>$K$780-EFEITO!$M$780*EFEITO!$Z$780</f>
        <v>0</v>
      </c>
      <c r="O780" s="83">
        <f>$L$780-EFEITO!$O$780*EFEITO!$AA$780</f>
        <v>0</v>
      </c>
      <c r="P780" s="61"/>
      <c r="Q780" s="61"/>
      <c r="R780" s="61"/>
      <c r="S780" s="61"/>
      <c r="T780" s="61"/>
      <c r="U780" s="61"/>
      <c r="V780" s="61"/>
      <c r="W780" s="61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spans="1:36" ht="11.25" customHeight="1" x14ac:dyDescent="0.2">
      <c r="A781" s="57" t="s">
        <v>28</v>
      </c>
      <c r="B781" s="57" t="s">
        <v>35</v>
      </c>
      <c r="C781" s="57" t="s">
        <v>36</v>
      </c>
      <c r="D781" s="57" t="s">
        <v>45</v>
      </c>
      <c r="E781" s="57" t="s">
        <v>25</v>
      </c>
      <c r="F781" s="57" t="s">
        <v>25</v>
      </c>
      <c r="G781" s="57" t="s">
        <v>25</v>
      </c>
      <c r="H781" s="57" t="s">
        <v>25</v>
      </c>
      <c r="I781" s="82">
        <v>44197</v>
      </c>
      <c r="J781" s="83">
        <f ca="1">EFEITO!$J$781*EFEITO!$Y$781</f>
        <v>291590.62157263688</v>
      </c>
      <c r="K781" s="83">
        <f>EFEITO!$L$781*EFEITO!$Z$781</f>
        <v>0</v>
      </c>
      <c r="L781" s="83">
        <f>EFEITO!$N$781*EFEITO!$AA$781</f>
        <v>0</v>
      </c>
      <c r="M781" s="83">
        <f ca="1">$J$781-EFEITO!$K$781*EFEITO!$Y$781</f>
        <v>0</v>
      </c>
      <c r="N781" s="83">
        <f>$K$781-EFEITO!$M$781*EFEITO!$Z$781</f>
        <v>0</v>
      </c>
      <c r="O781" s="83">
        <f>$L$781-EFEITO!$O$781*EFEITO!$AA$781</f>
        <v>0</v>
      </c>
      <c r="P781" s="61"/>
      <c r="Q781" s="61"/>
      <c r="R781" s="61"/>
      <c r="S781" s="61"/>
      <c r="T781" s="61"/>
      <c r="U781" s="61"/>
      <c r="V781" s="61"/>
      <c r="W781" s="61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 spans="1:36" ht="11.25" customHeight="1" x14ac:dyDescent="0.2">
      <c r="A782" s="57" t="s">
        <v>29</v>
      </c>
      <c r="B782" s="57" t="s">
        <v>35</v>
      </c>
      <c r="C782" s="57" t="s">
        <v>36</v>
      </c>
      <c r="D782" s="57" t="s">
        <v>45</v>
      </c>
      <c r="E782" s="57" t="s">
        <v>25</v>
      </c>
      <c r="F782" s="57" t="s">
        <v>25</v>
      </c>
      <c r="G782" s="57" t="s">
        <v>25</v>
      </c>
      <c r="H782" s="57" t="s">
        <v>25</v>
      </c>
      <c r="I782" s="82">
        <v>44197</v>
      </c>
      <c r="J782" s="83">
        <f ca="1">EFEITO!$J$782*EFEITO!$Y$782</f>
        <v>-12644.534181205017</v>
      </c>
      <c r="K782" s="83">
        <f>EFEITO!$L$782*EFEITO!$Z$782</f>
        <v>0</v>
      </c>
      <c r="L782" s="83">
        <f>EFEITO!$N$782*EFEITO!$AA$782</f>
        <v>0</v>
      </c>
      <c r="M782" s="83">
        <f ca="1">$J$782-EFEITO!$K$782*EFEITO!$Y$782</f>
        <v>0</v>
      </c>
      <c r="N782" s="83">
        <f>$K$782-EFEITO!$M$782*EFEITO!$Z$782</f>
        <v>0</v>
      </c>
      <c r="O782" s="83">
        <f>$L$782-EFEITO!$O$782*EFEITO!$AA$782</f>
        <v>0</v>
      </c>
      <c r="P782" s="61"/>
      <c r="Q782" s="61"/>
      <c r="R782" s="61"/>
      <c r="S782" s="61"/>
      <c r="T782" s="61"/>
      <c r="U782" s="61"/>
      <c r="V782" s="61"/>
      <c r="W782" s="61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spans="1:36" ht="11.25" customHeight="1" x14ac:dyDescent="0.2">
      <c r="A783" s="57" t="s">
        <v>30</v>
      </c>
      <c r="B783" s="57" t="s">
        <v>35</v>
      </c>
      <c r="C783" s="57" t="s">
        <v>36</v>
      </c>
      <c r="D783" s="57" t="s">
        <v>45</v>
      </c>
      <c r="E783" s="57" t="s">
        <v>25</v>
      </c>
      <c r="F783" s="57" t="s">
        <v>25</v>
      </c>
      <c r="G783" s="57" t="s">
        <v>25</v>
      </c>
      <c r="H783" s="57" t="s">
        <v>25</v>
      </c>
      <c r="I783" s="82">
        <v>44197</v>
      </c>
      <c r="J783" s="83">
        <f ca="1">EFEITO!$J$783*EFEITO!$Y$783</f>
        <v>197842.2570372381</v>
      </c>
      <c r="K783" s="83">
        <f>EFEITO!$L$783*EFEITO!$Z$783</f>
        <v>0</v>
      </c>
      <c r="L783" s="83">
        <f>EFEITO!$N$783*EFEITO!$AA$783</f>
        <v>0</v>
      </c>
      <c r="M783" s="83">
        <f ca="1">$J$783-EFEITO!$K$783*EFEITO!$Y$783</f>
        <v>0</v>
      </c>
      <c r="N783" s="83">
        <f>$K$783-EFEITO!$M$783*EFEITO!$Z$783</f>
        <v>0</v>
      </c>
      <c r="O783" s="83">
        <f>$L$783-EFEITO!$O$783*EFEITO!$AA$783</f>
        <v>0</v>
      </c>
      <c r="P783" s="61"/>
      <c r="Q783" s="61"/>
      <c r="R783" s="61"/>
      <c r="S783" s="61"/>
      <c r="T783" s="61"/>
      <c r="U783" s="61"/>
      <c r="V783" s="61"/>
      <c r="W783" s="61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 spans="1:36" ht="11.25" customHeight="1" x14ac:dyDescent="0.2">
      <c r="A784" s="57" t="s">
        <v>21</v>
      </c>
      <c r="B784" s="57" t="s">
        <v>35</v>
      </c>
      <c r="C784" s="57" t="s">
        <v>36</v>
      </c>
      <c r="D784" s="57" t="s">
        <v>45</v>
      </c>
      <c r="E784" s="57" t="s">
        <v>25</v>
      </c>
      <c r="F784" s="57" t="s">
        <v>25</v>
      </c>
      <c r="G784" s="57" t="s">
        <v>25</v>
      </c>
      <c r="H784" s="57" t="s">
        <v>25</v>
      </c>
      <c r="I784" s="82">
        <v>44197</v>
      </c>
      <c r="J784" s="83">
        <f ca="1">EFEITO!$J$784*EFEITO!$Y$784</f>
        <v>18360.119076244657</v>
      </c>
      <c r="K784" s="83">
        <f>EFEITO!$L$784*EFEITO!$Z$784</f>
        <v>0</v>
      </c>
      <c r="L784" s="83">
        <f>EFEITO!$N$784*EFEITO!$AA$784</f>
        <v>0</v>
      </c>
      <c r="M784" s="83">
        <f ca="1">$J$784-EFEITO!$K$784*EFEITO!$Y$784</f>
        <v>0</v>
      </c>
      <c r="N784" s="83">
        <f>$K$784-EFEITO!$M$784*EFEITO!$Z$784</f>
        <v>0</v>
      </c>
      <c r="O784" s="83">
        <f>$L$784-EFEITO!$O$784*EFEITO!$AA$784</f>
        <v>0</v>
      </c>
      <c r="P784" s="61"/>
      <c r="Q784" s="61"/>
      <c r="R784" s="61"/>
      <c r="S784" s="61"/>
      <c r="T784" s="61"/>
      <c r="U784" s="61"/>
      <c r="V784" s="61"/>
      <c r="W784" s="61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spans="1:36" ht="11.25" customHeight="1" x14ac:dyDescent="0.2">
      <c r="A785" s="57" t="s">
        <v>21</v>
      </c>
      <c r="B785" s="57" t="s">
        <v>35</v>
      </c>
      <c r="C785" s="57" t="s">
        <v>36</v>
      </c>
      <c r="D785" s="57" t="s">
        <v>45</v>
      </c>
      <c r="E785" s="57" t="s">
        <v>25</v>
      </c>
      <c r="F785" s="57" t="s">
        <v>25</v>
      </c>
      <c r="G785" s="57" t="s">
        <v>25</v>
      </c>
      <c r="H785" s="57" t="s">
        <v>25</v>
      </c>
      <c r="I785" s="82">
        <v>44228</v>
      </c>
      <c r="J785" s="83">
        <f ca="1">EFEITO!$J$785*EFEITO!$Y$785</f>
        <v>4248595.415526757</v>
      </c>
      <c r="K785" s="83">
        <f>EFEITO!$L$785*EFEITO!$Z$785</f>
        <v>0</v>
      </c>
      <c r="L785" s="83">
        <f>EFEITO!$N$785*EFEITO!$AA$785</f>
        <v>0</v>
      </c>
      <c r="M785" s="83">
        <f ca="1">$J$785-EFEITO!$K$785*EFEITO!$Y$785</f>
        <v>0</v>
      </c>
      <c r="N785" s="83">
        <f>$K$785-EFEITO!$M$785*EFEITO!$Z$785</f>
        <v>0</v>
      </c>
      <c r="O785" s="83">
        <f>$L$785-EFEITO!$O$785*EFEITO!$AA$785</f>
        <v>0</v>
      </c>
      <c r="P785" s="61"/>
      <c r="Q785" s="61"/>
      <c r="R785" s="61"/>
      <c r="S785" s="61"/>
      <c r="T785" s="61"/>
      <c r="U785" s="61"/>
      <c r="V785" s="61"/>
      <c r="W785" s="61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 spans="1:36" ht="11.25" customHeight="1" x14ac:dyDescent="0.2">
      <c r="A786" s="57" t="s">
        <v>27</v>
      </c>
      <c r="B786" s="57" t="s">
        <v>35</v>
      </c>
      <c r="C786" s="57" t="s">
        <v>36</v>
      </c>
      <c r="D786" s="57" t="s">
        <v>45</v>
      </c>
      <c r="E786" s="57" t="s">
        <v>25</v>
      </c>
      <c r="F786" s="57" t="s">
        <v>25</v>
      </c>
      <c r="G786" s="57" t="s">
        <v>25</v>
      </c>
      <c r="H786" s="57" t="s">
        <v>25</v>
      </c>
      <c r="I786" s="82">
        <v>44228</v>
      </c>
      <c r="J786" s="83">
        <f ca="1">EFEITO!$J$786*EFEITO!$Y$786</f>
        <v>-12261.366478744258</v>
      </c>
      <c r="K786" s="83">
        <f>EFEITO!$L$786*EFEITO!$Z$786</f>
        <v>0</v>
      </c>
      <c r="L786" s="83">
        <f>EFEITO!$N$786*EFEITO!$AA$786</f>
        <v>0</v>
      </c>
      <c r="M786" s="83">
        <f ca="1">$J$786-EFEITO!$K$786*EFEITO!$Y$786</f>
        <v>0</v>
      </c>
      <c r="N786" s="83">
        <f>$K$786-EFEITO!$M$786*EFEITO!$Z$786</f>
        <v>0</v>
      </c>
      <c r="O786" s="83">
        <f>$L$786-EFEITO!$O$786*EFEITO!$AA$786</f>
        <v>0</v>
      </c>
      <c r="P786" s="61"/>
      <c r="Q786" s="61"/>
      <c r="R786" s="61"/>
      <c r="S786" s="61"/>
      <c r="T786" s="61"/>
      <c r="U786" s="61"/>
      <c r="V786" s="61"/>
      <c r="W786" s="61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spans="1:36" ht="11.25" customHeight="1" x14ac:dyDescent="0.2">
      <c r="A787" s="57" t="s">
        <v>28</v>
      </c>
      <c r="B787" s="57" t="s">
        <v>35</v>
      </c>
      <c r="C787" s="57" t="s">
        <v>36</v>
      </c>
      <c r="D787" s="57" t="s">
        <v>45</v>
      </c>
      <c r="E787" s="57" t="s">
        <v>25</v>
      </c>
      <c r="F787" s="57" t="s">
        <v>25</v>
      </c>
      <c r="G787" s="57" t="s">
        <v>25</v>
      </c>
      <c r="H787" s="57" t="s">
        <v>25</v>
      </c>
      <c r="I787" s="82">
        <v>44228</v>
      </c>
      <c r="J787" s="83">
        <f ca="1">EFEITO!$J$787*EFEITO!$Y$787</f>
        <v>285332.21576577786</v>
      </c>
      <c r="K787" s="83">
        <f>EFEITO!$L$787*EFEITO!$Z$787</f>
        <v>0</v>
      </c>
      <c r="L787" s="83">
        <f>EFEITO!$N$787*EFEITO!$AA$787</f>
        <v>0</v>
      </c>
      <c r="M787" s="83">
        <f ca="1">$J$787-EFEITO!$K$787*EFEITO!$Y$787</f>
        <v>0</v>
      </c>
      <c r="N787" s="83">
        <f>$K$787-EFEITO!$M$787*EFEITO!$Z$787</f>
        <v>0</v>
      </c>
      <c r="O787" s="83">
        <f>$L$787-EFEITO!$O$787*EFEITO!$AA$787</f>
        <v>0</v>
      </c>
      <c r="P787" s="61"/>
      <c r="Q787" s="61"/>
      <c r="R787" s="61"/>
      <c r="S787" s="61"/>
      <c r="T787" s="61"/>
      <c r="U787" s="61"/>
      <c r="V787" s="61"/>
      <c r="W787" s="61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 spans="1:36" ht="11.25" customHeight="1" x14ac:dyDescent="0.2">
      <c r="A788" s="57" t="s">
        <v>29</v>
      </c>
      <c r="B788" s="57" t="s">
        <v>35</v>
      </c>
      <c r="C788" s="57" t="s">
        <v>36</v>
      </c>
      <c r="D788" s="57" t="s">
        <v>45</v>
      </c>
      <c r="E788" s="57" t="s">
        <v>25</v>
      </c>
      <c r="F788" s="57" t="s">
        <v>25</v>
      </c>
      <c r="G788" s="57" t="s">
        <v>25</v>
      </c>
      <c r="H788" s="57" t="s">
        <v>25</v>
      </c>
      <c r="I788" s="82">
        <v>44228</v>
      </c>
      <c r="J788" s="83">
        <f ca="1">EFEITO!$J$788*EFEITO!$Y$788</f>
        <v>-7407.9089142413231</v>
      </c>
      <c r="K788" s="83">
        <f>EFEITO!$L$788*EFEITO!$Z$788</f>
        <v>0</v>
      </c>
      <c r="L788" s="83">
        <f>EFEITO!$N$788*EFEITO!$AA$788</f>
        <v>0</v>
      </c>
      <c r="M788" s="83">
        <f ca="1">$J$788-EFEITO!$K$788*EFEITO!$Y$788</f>
        <v>0</v>
      </c>
      <c r="N788" s="83">
        <f>$K$788-EFEITO!$M$788*EFEITO!$Z$788</f>
        <v>0</v>
      </c>
      <c r="O788" s="83">
        <f>$L$788-EFEITO!$O$788*EFEITO!$AA$788</f>
        <v>0</v>
      </c>
      <c r="P788" s="61"/>
      <c r="Q788" s="61"/>
      <c r="R788" s="61"/>
      <c r="S788" s="61"/>
      <c r="T788" s="61"/>
      <c r="U788" s="61"/>
      <c r="V788" s="61"/>
      <c r="W788" s="61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 spans="1:36" ht="11.25" customHeight="1" x14ac:dyDescent="0.2">
      <c r="A789" s="57" t="s">
        <v>30</v>
      </c>
      <c r="B789" s="57" t="s">
        <v>35</v>
      </c>
      <c r="C789" s="57" t="s">
        <v>36</v>
      </c>
      <c r="D789" s="57" t="s">
        <v>45</v>
      </c>
      <c r="E789" s="57" t="s">
        <v>25</v>
      </c>
      <c r="F789" s="57" t="s">
        <v>25</v>
      </c>
      <c r="G789" s="57" t="s">
        <v>25</v>
      </c>
      <c r="H789" s="57" t="s">
        <v>25</v>
      </c>
      <c r="I789" s="82">
        <v>44228</v>
      </c>
      <c r="J789" s="83">
        <f ca="1">EFEITO!$J$789*EFEITO!$Y$789</f>
        <v>243343.4217044531</v>
      </c>
      <c r="K789" s="83">
        <f>EFEITO!$L$789*EFEITO!$Z$789</f>
        <v>0</v>
      </c>
      <c r="L789" s="83">
        <f>EFEITO!$N$789*EFEITO!$AA$789</f>
        <v>0</v>
      </c>
      <c r="M789" s="83">
        <f ca="1">$J$789-EFEITO!$K$789*EFEITO!$Y$789</f>
        <v>0</v>
      </c>
      <c r="N789" s="83">
        <f>$K$789-EFEITO!$M$789*EFEITO!$Z$789</f>
        <v>0</v>
      </c>
      <c r="O789" s="83">
        <f>$L$789-EFEITO!$O$789*EFEITO!$AA$789</f>
        <v>0</v>
      </c>
      <c r="P789" s="61"/>
      <c r="Q789" s="61"/>
      <c r="R789" s="61"/>
      <c r="S789" s="61"/>
      <c r="T789" s="61"/>
      <c r="U789" s="61"/>
      <c r="V789" s="61"/>
      <c r="W789" s="61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spans="1:36" ht="11.25" customHeight="1" x14ac:dyDescent="0.2">
      <c r="A790" s="57" t="s">
        <v>21</v>
      </c>
      <c r="B790" s="57" t="s">
        <v>35</v>
      </c>
      <c r="C790" s="57" t="s">
        <v>36</v>
      </c>
      <c r="D790" s="57" t="s">
        <v>45</v>
      </c>
      <c r="E790" s="57" t="s">
        <v>25</v>
      </c>
      <c r="F790" s="57" t="s">
        <v>25</v>
      </c>
      <c r="G790" s="57" t="s">
        <v>25</v>
      </c>
      <c r="H790" s="57" t="s">
        <v>25</v>
      </c>
      <c r="I790" s="82">
        <v>44228</v>
      </c>
      <c r="J790" s="83">
        <f ca="1">EFEITO!$J$790*EFEITO!$Y$790</f>
        <v>18360.119076244657</v>
      </c>
      <c r="K790" s="83">
        <f>EFEITO!$L$790*EFEITO!$Z$790</f>
        <v>0</v>
      </c>
      <c r="L790" s="83">
        <f>EFEITO!$N$790*EFEITO!$AA$790</f>
        <v>0</v>
      </c>
      <c r="M790" s="83">
        <f ca="1">$J$790-EFEITO!$K$790*EFEITO!$Y$790</f>
        <v>0</v>
      </c>
      <c r="N790" s="83">
        <f>$K$790-EFEITO!$M$790*EFEITO!$Z$790</f>
        <v>0</v>
      </c>
      <c r="O790" s="83">
        <f>$L$790-EFEITO!$O$790*EFEITO!$AA$790</f>
        <v>0</v>
      </c>
      <c r="P790" s="61"/>
      <c r="Q790" s="61"/>
      <c r="R790" s="61"/>
      <c r="S790" s="61"/>
      <c r="T790" s="61"/>
      <c r="U790" s="61"/>
      <c r="V790" s="61"/>
      <c r="W790" s="61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 spans="1:36" ht="11.25" customHeight="1" x14ac:dyDescent="0.2">
      <c r="A791" s="57" t="s">
        <v>21</v>
      </c>
      <c r="B791" s="57" t="s">
        <v>35</v>
      </c>
      <c r="C791" s="57" t="s">
        <v>36</v>
      </c>
      <c r="D791" s="57" t="s">
        <v>45</v>
      </c>
      <c r="E791" s="57" t="s">
        <v>25</v>
      </c>
      <c r="F791" s="57" t="s">
        <v>25</v>
      </c>
      <c r="G791" s="57" t="s">
        <v>25</v>
      </c>
      <c r="H791" s="57" t="s">
        <v>25</v>
      </c>
      <c r="I791" s="82">
        <v>44256</v>
      </c>
      <c r="J791" s="83">
        <f ca="1">EFEITO!$J$791*EFEITO!$Y$791</f>
        <v>4257408.272683355</v>
      </c>
      <c r="K791" s="83">
        <f>EFEITO!$L$791*EFEITO!$Z$791</f>
        <v>0</v>
      </c>
      <c r="L791" s="83">
        <f>EFEITO!$N$791*EFEITO!$AA$791</f>
        <v>0</v>
      </c>
      <c r="M791" s="83">
        <f ca="1">$J$791-EFEITO!$K$791*EFEITO!$Y$791</f>
        <v>0</v>
      </c>
      <c r="N791" s="83">
        <f>$K$791-EFEITO!$M$791*EFEITO!$Z$791</f>
        <v>0</v>
      </c>
      <c r="O791" s="83">
        <f>$L$791-EFEITO!$O$791*EFEITO!$AA$791</f>
        <v>0</v>
      </c>
      <c r="P791" s="61"/>
      <c r="Q791" s="61"/>
      <c r="R791" s="61"/>
      <c r="S791" s="61"/>
      <c r="T791" s="61"/>
      <c r="U791" s="61"/>
      <c r="V791" s="61"/>
      <c r="W791" s="61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spans="1:36" ht="11.25" customHeight="1" x14ac:dyDescent="0.2">
      <c r="A792" s="57" t="s">
        <v>27</v>
      </c>
      <c r="B792" s="57" t="s">
        <v>35</v>
      </c>
      <c r="C792" s="57" t="s">
        <v>36</v>
      </c>
      <c r="D792" s="57" t="s">
        <v>45</v>
      </c>
      <c r="E792" s="57" t="s">
        <v>25</v>
      </c>
      <c r="F792" s="57" t="s">
        <v>25</v>
      </c>
      <c r="G792" s="57" t="s">
        <v>25</v>
      </c>
      <c r="H792" s="57" t="s">
        <v>25</v>
      </c>
      <c r="I792" s="82">
        <v>44256</v>
      </c>
      <c r="J792" s="83">
        <f ca="1">EFEITO!$J$792*EFEITO!$Y$792</f>
        <v>-33335.59011408595</v>
      </c>
      <c r="K792" s="83">
        <f>EFEITO!$L$792*EFEITO!$Z$792</f>
        <v>0</v>
      </c>
      <c r="L792" s="83">
        <f>EFEITO!$N$792*EFEITO!$AA$792</f>
        <v>0</v>
      </c>
      <c r="M792" s="83">
        <f ca="1">$J$792-EFEITO!$K$792*EFEITO!$Y$792</f>
        <v>0</v>
      </c>
      <c r="N792" s="83">
        <f>$K$792-EFEITO!$M$792*EFEITO!$Z$792</f>
        <v>0</v>
      </c>
      <c r="O792" s="83">
        <f>$L$792-EFEITO!$O$792*EFEITO!$AA$792</f>
        <v>0</v>
      </c>
      <c r="P792" s="61"/>
      <c r="Q792" s="61"/>
      <c r="R792" s="61"/>
      <c r="S792" s="61"/>
      <c r="T792" s="61"/>
      <c r="U792" s="61"/>
      <c r="V792" s="61"/>
      <c r="W792" s="61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spans="1:36" ht="11.25" customHeight="1" x14ac:dyDescent="0.2">
      <c r="A793" s="57" t="s">
        <v>28</v>
      </c>
      <c r="B793" s="57" t="s">
        <v>35</v>
      </c>
      <c r="C793" s="57" t="s">
        <v>36</v>
      </c>
      <c r="D793" s="57" t="s">
        <v>45</v>
      </c>
      <c r="E793" s="57" t="s">
        <v>25</v>
      </c>
      <c r="F793" s="57" t="s">
        <v>25</v>
      </c>
      <c r="G793" s="57" t="s">
        <v>25</v>
      </c>
      <c r="H793" s="57" t="s">
        <v>25</v>
      </c>
      <c r="I793" s="82">
        <v>44256</v>
      </c>
      <c r="J793" s="83">
        <f ca="1">EFEITO!$J$793*EFEITO!$Y$793</f>
        <v>289291.61535787233</v>
      </c>
      <c r="K793" s="83">
        <f>EFEITO!$L$793*EFEITO!$Z$793</f>
        <v>0</v>
      </c>
      <c r="L793" s="83">
        <f>EFEITO!$N$793*EFEITO!$AA$793</f>
        <v>0</v>
      </c>
      <c r="M793" s="83">
        <f ca="1">$J$793-EFEITO!$K$793*EFEITO!$Y$793</f>
        <v>0</v>
      </c>
      <c r="N793" s="83">
        <f>$K$793-EFEITO!$M$793*EFEITO!$Z$793</f>
        <v>0</v>
      </c>
      <c r="O793" s="83">
        <f>$L$793-EFEITO!$O$793*EFEITO!$AA$793</f>
        <v>0</v>
      </c>
      <c r="P793" s="61"/>
      <c r="Q793" s="61"/>
      <c r="R793" s="61"/>
      <c r="S793" s="61"/>
      <c r="T793" s="61"/>
      <c r="U793" s="61"/>
      <c r="V793" s="61"/>
      <c r="W793" s="61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 spans="1:36" ht="11.25" customHeight="1" x14ac:dyDescent="0.2">
      <c r="A794" s="57" t="s">
        <v>30</v>
      </c>
      <c r="B794" s="57" t="s">
        <v>35</v>
      </c>
      <c r="C794" s="57" t="s">
        <v>36</v>
      </c>
      <c r="D794" s="57" t="s">
        <v>45</v>
      </c>
      <c r="E794" s="57" t="s">
        <v>25</v>
      </c>
      <c r="F794" s="57" t="s">
        <v>25</v>
      </c>
      <c r="G794" s="57" t="s">
        <v>25</v>
      </c>
      <c r="H794" s="57" t="s">
        <v>25</v>
      </c>
      <c r="I794" s="82">
        <v>44256</v>
      </c>
      <c r="J794" s="83">
        <f ca="1">EFEITO!$J$794*EFEITO!$Y$794</f>
        <v>245865.94241231977</v>
      </c>
      <c r="K794" s="83">
        <f>EFEITO!$L$794*EFEITO!$Z$794</f>
        <v>0</v>
      </c>
      <c r="L794" s="83">
        <f>EFEITO!$N$794*EFEITO!$AA$794</f>
        <v>0</v>
      </c>
      <c r="M794" s="83">
        <f ca="1">$J$794-EFEITO!$K$794*EFEITO!$Y$794</f>
        <v>0</v>
      </c>
      <c r="N794" s="83">
        <f>$K$794-EFEITO!$M$794*EFEITO!$Z$794</f>
        <v>0</v>
      </c>
      <c r="O794" s="83">
        <f>$L$794-EFEITO!$O$794*EFEITO!$AA$794</f>
        <v>0</v>
      </c>
      <c r="P794" s="61"/>
      <c r="Q794" s="61"/>
      <c r="R794" s="61"/>
      <c r="S794" s="61"/>
      <c r="T794" s="61"/>
      <c r="U794" s="61"/>
      <c r="V794" s="61"/>
      <c r="W794" s="61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 spans="1:36" ht="11.25" customHeight="1" x14ac:dyDescent="0.2">
      <c r="A795" s="57" t="s">
        <v>21</v>
      </c>
      <c r="B795" s="57" t="s">
        <v>35</v>
      </c>
      <c r="C795" s="57" t="s">
        <v>36</v>
      </c>
      <c r="D795" s="57" t="s">
        <v>45</v>
      </c>
      <c r="E795" s="57" t="s">
        <v>25</v>
      </c>
      <c r="F795" s="57" t="s">
        <v>25</v>
      </c>
      <c r="G795" s="57" t="s">
        <v>25</v>
      </c>
      <c r="H795" s="57" t="s">
        <v>25</v>
      </c>
      <c r="I795" s="82">
        <v>44256</v>
      </c>
      <c r="J795" s="83">
        <f ca="1">EFEITO!$J$795*EFEITO!$Y$795</f>
        <v>18360.119076244657</v>
      </c>
      <c r="K795" s="83">
        <f>EFEITO!$L$795*EFEITO!$Z$795</f>
        <v>0</v>
      </c>
      <c r="L795" s="83">
        <f>EFEITO!$N$795*EFEITO!$AA$795</f>
        <v>0</v>
      </c>
      <c r="M795" s="83">
        <f ca="1">$J$795-EFEITO!$K$795*EFEITO!$Y$795</f>
        <v>0</v>
      </c>
      <c r="N795" s="83">
        <f>$K$795-EFEITO!$M$795*EFEITO!$Z$795</f>
        <v>0</v>
      </c>
      <c r="O795" s="83">
        <f>$L$795-EFEITO!$O$795*EFEITO!$AA$795</f>
        <v>0</v>
      </c>
      <c r="P795" s="61"/>
      <c r="Q795" s="61"/>
      <c r="R795" s="61"/>
      <c r="S795" s="61"/>
      <c r="T795" s="61"/>
      <c r="U795" s="61"/>
      <c r="V795" s="61"/>
      <c r="W795" s="61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spans="1:36" ht="11.25" customHeight="1" x14ac:dyDescent="0.2">
      <c r="A796" s="57" t="s">
        <v>21</v>
      </c>
      <c r="B796" s="57" t="s">
        <v>35</v>
      </c>
      <c r="C796" s="57" t="s">
        <v>36</v>
      </c>
      <c r="D796" s="57" t="s">
        <v>45</v>
      </c>
      <c r="E796" s="57" t="s">
        <v>25</v>
      </c>
      <c r="F796" s="57" t="s">
        <v>25</v>
      </c>
      <c r="G796" s="57" t="s">
        <v>25</v>
      </c>
      <c r="H796" s="57" t="s">
        <v>25</v>
      </c>
      <c r="I796" s="82">
        <v>44287</v>
      </c>
      <c r="J796" s="83">
        <f ca="1">EFEITO!$J$796*EFEITO!$Y$796</f>
        <v>4219730.1152747134</v>
      </c>
      <c r="K796" s="83">
        <f>EFEITO!$L$796*EFEITO!$Z$796</f>
        <v>0</v>
      </c>
      <c r="L796" s="83">
        <f>EFEITO!$N$796*EFEITO!$AA$796</f>
        <v>0</v>
      </c>
      <c r="M796" s="83">
        <f ca="1">$J$796-EFEITO!$K$796*EFEITO!$Y$796</f>
        <v>0</v>
      </c>
      <c r="N796" s="83">
        <f>$K$796-EFEITO!$M$796*EFEITO!$Z$796</f>
        <v>0</v>
      </c>
      <c r="O796" s="83">
        <f>$L$796-EFEITO!$O$796*EFEITO!$AA$796</f>
        <v>0</v>
      </c>
      <c r="P796" s="61"/>
      <c r="Q796" s="61"/>
      <c r="R796" s="61"/>
      <c r="S796" s="61"/>
      <c r="T796" s="61"/>
      <c r="U796" s="61"/>
      <c r="V796" s="61"/>
      <c r="W796" s="61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spans="1:36" ht="11.25" customHeight="1" x14ac:dyDescent="0.2">
      <c r="A797" s="57" t="s">
        <v>27</v>
      </c>
      <c r="B797" s="57" t="s">
        <v>35</v>
      </c>
      <c r="C797" s="57" t="s">
        <v>36</v>
      </c>
      <c r="D797" s="57" t="s">
        <v>45</v>
      </c>
      <c r="E797" s="57" t="s">
        <v>25</v>
      </c>
      <c r="F797" s="57" t="s">
        <v>25</v>
      </c>
      <c r="G797" s="57" t="s">
        <v>25</v>
      </c>
      <c r="H797" s="57" t="s">
        <v>25</v>
      </c>
      <c r="I797" s="82">
        <v>44287</v>
      </c>
      <c r="J797" s="83">
        <f ca="1">EFEITO!$J$797*EFEITO!$Y$797</f>
        <v>-120091.14407957593</v>
      </c>
      <c r="K797" s="83">
        <f>EFEITO!$L$797*EFEITO!$Z$797</f>
        <v>0</v>
      </c>
      <c r="L797" s="83">
        <f>EFEITO!$N$797*EFEITO!$AA$797</f>
        <v>0</v>
      </c>
      <c r="M797" s="83">
        <f ca="1">$J$797-EFEITO!$K$797*EFEITO!$Y$797</f>
        <v>0</v>
      </c>
      <c r="N797" s="83">
        <f>$K$797-EFEITO!$M$797*EFEITO!$Z$797</f>
        <v>0</v>
      </c>
      <c r="O797" s="83">
        <f>$L$797-EFEITO!$O$797*EFEITO!$AA$797</f>
        <v>0</v>
      </c>
      <c r="P797" s="61"/>
      <c r="Q797" s="61"/>
      <c r="R797" s="61"/>
      <c r="S797" s="61"/>
      <c r="T797" s="61"/>
      <c r="U797" s="61"/>
      <c r="V797" s="61"/>
      <c r="W797" s="61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spans="1:36" ht="11.25" customHeight="1" x14ac:dyDescent="0.2">
      <c r="A798" s="57" t="s">
        <v>28</v>
      </c>
      <c r="B798" s="57" t="s">
        <v>35</v>
      </c>
      <c r="C798" s="57" t="s">
        <v>36</v>
      </c>
      <c r="D798" s="57" t="s">
        <v>45</v>
      </c>
      <c r="E798" s="57" t="s">
        <v>25</v>
      </c>
      <c r="F798" s="57" t="s">
        <v>25</v>
      </c>
      <c r="G798" s="57" t="s">
        <v>25</v>
      </c>
      <c r="H798" s="57" t="s">
        <v>25</v>
      </c>
      <c r="I798" s="82">
        <v>44287</v>
      </c>
      <c r="J798" s="83">
        <f ca="1">EFEITO!$J$798*EFEITO!$Y$798</f>
        <v>262693.39067872142</v>
      </c>
      <c r="K798" s="83">
        <f>EFEITO!$L$798*EFEITO!$Z$798</f>
        <v>0</v>
      </c>
      <c r="L798" s="83">
        <f>EFEITO!$N$798*EFEITO!$AA$798</f>
        <v>0</v>
      </c>
      <c r="M798" s="83">
        <f ca="1">$J$798-EFEITO!$K$798*EFEITO!$Y$798</f>
        <v>0</v>
      </c>
      <c r="N798" s="83">
        <f>$K$798-EFEITO!$M$798*EFEITO!$Z$798</f>
        <v>0</v>
      </c>
      <c r="O798" s="83">
        <f>$L$798-EFEITO!$O$798*EFEITO!$AA$798</f>
        <v>0</v>
      </c>
      <c r="P798" s="61"/>
      <c r="Q798" s="61"/>
      <c r="R798" s="61"/>
      <c r="S798" s="61"/>
      <c r="T798" s="61"/>
      <c r="U798" s="61"/>
      <c r="V798" s="61"/>
      <c r="W798" s="61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spans="1:36" ht="11.25" customHeight="1" x14ac:dyDescent="0.2">
      <c r="A799" s="57" t="s">
        <v>30</v>
      </c>
      <c r="B799" s="57" t="s">
        <v>35</v>
      </c>
      <c r="C799" s="57" t="s">
        <v>36</v>
      </c>
      <c r="D799" s="57" t="s">
        <v>45</v>
      </c>
      <c r="E799" s="57" t="s">
        <v>25</v>
      </c>
      <c r="F799" s="57" t="s">
        <v>25</v>
      </c>
      <c r="G799" s="57" t="s">
        <v>25</v>
      </c>
      <c r="H799" s="57" t="s">
        <v>25</v>
      </c>
      <c r="I799" s="82">
        <v>44287</v>
      </c>
      <c r="J799" s="83">
        <f ca="1">EFEITO!$J$799*EFEITO!$Y$799</f>
        <v>251389.94345612903</v>
      </c>
      <c r="K799" s="83">
        <f>EFEITO!$L$799*EFEITO!$Z$799</f>
        <v>0</v>
      </c>
      <c r="L799" s="83">
        <f>EFEITO!$N$799*EFEITO!$AA$799</f>
        <v>0</v>
      </c>
      <c r="M799" s="83">
        <f ca="1">$J$799-EFEITO!$K$799*EFEITO!$Y$799</f>
        <v>0</v>
      </c>
      <c r="N799" s="83">
        <f>$K$799-EFEITO!$M$799*EFEITO!$Z$799</f>
        <v>0</v>
      </c>
      <c r="O799" s="83">
        <f>$L$799-EFEITO!$O$799*EFEITO!$AA$799</f>
        <v>0</v>
      </c>
      <c r="P799" s="61"/>
      <c r="Q799" s="61"/>
      <c r="R799" s="61"/>
      <c r="S799" s="61"/>
      <c r="T799" s="61"/>
      <c r="U799" s="61"/>
      <c r="V799" s="61"/>
      <c r="W799" s="61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 spans="1:36" ht="11.25" customHeight="1" x14ac:dyDescent="0.2">
      <c r="A800" s="57" t="s">
        <v>21</v>
      </c>
      <c r="B800" s="57" t="s">
        <v>35</v>
      </c>
      <c r="C800" s="57" t="s">
        <v>36</v>
      </c>
      <c r="D800" s="57" t="s">
        <v>45</v>
      </c>
      <c r="E800" s="57" t="s">
        <v>25</v>
      </c>
      <c r="F800" s="57" t="s">
        <v>25</v>
      </c>
      <c r="G800" s="57" t="s">
        <v>25</v>
      </c>
      <c r="H800" s="57" t="s">
        <v>25</v>
      </c>
      <c r="I800" s="82">
        <v>44287</v>
      </c>
      <c r="J800" s="83">
        <f ca="1">EFEITO!$J$800*EFEITO!$Y$800</f>
        <v>18360.119076244657</v>
      </c>
      <c r="K800" s="83">
        <f>EFEITO!$L$800*EFEITO!$Z$800</f>
        <v>0</v>
      </c>
      <c r="L800" s="83">
        <f>EFEITO!$N$800*EFEITO!$AA$800</f>
        <v>0</v>
      </c>
      <c r="M800" s="83">
        <f ca="1">$J$800-EFEITO!$K$800*EFEITO!$Y$800</f>
        <v>0</v>
      </c>
      <c r="N800" s="83">
        <f>$K$800-EFEITO!$M$800*EFEITO!$Z$800</f>
        <v>0</v>
      </c>
      <c r="O800" s="83">
        <f>$L$800-EFEITO!$O$800*EFEITO!$AA$800</f>
        <v>0</v>
      </c>
      <c r="P800" s="61"/>
      <c r="Q800" s="61"/>
      <c r="R800" s="61"/>
      <c r="S800" s="61"/>
      <c r="T800" s="61"/>
      <c r="U800" s="61"/>
      <c r="V800" s="61"/>
      <c r="W800" s="61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 spans="1:36" ht="11.25" customHeight="1" x14ac:dyDescent="0.2">
      <c r="A801" s="57" t="s">
        <v>21</v>
      </c>
      <c r="B801" s="57" t="s">
        <v>35</v>
      </c>
      <c r="C801" s="57" t="s">
        <v>36</v>
      </c>
      <c r="D801" s="57" t="s">
        <v>45</v>
      </c>
      <c r="E801" s="57" t="s">
        <v>25</v>
      </c>
      <c r="F801" s="57" t="s">
        <v>25</v>
      </c>
      <c r="G801" s="57" t="s">
        <v>25</v>
      </c>
      <c r="H801" s="57" t="s">
        <v>25</v>
      </c>
      <c r="I801" s="82">
        <v>44317</v>
      </c>
      <c r="J801" s="83">
        <f ca="1">EFEITO!$J$801*EFEITO!$Y$801</f>
        <v>4190928.676306413</v>
      </c>
      <c r="K801" s="83">
        <f>EFEITO!$L$801*EFEITO!$Z$801</f>
        <v>0</v>
      </c>
      <c r="L801" s="83">
        <f>EFEITO!$N$801*EFEITO!$AA$801</f>
        <v>0</v>
      </c>
      <c r="M801" s="83">
        <f ca="1">$J$801-EFEITO!$K$801*EFEITO!$Y$801</f>
        <v>0</v>
      </c>
      <c r="N801" s="83">
        <f>$K$801-EFEITO!$M$801*EFEITO!$Z$801</f>
        <v>0</v>
      </c>
      <c r="O801" s="83">
        <f>$L$801-EFEITO!$O$801*EFEITO!$AA$801</f>
        <v>0</v>
      </c>
      <c r="P801" s="61"/>
      <c r="Q801" s="61"/>
      <c r="R801" s="61"/>
      <c r="S801" s="61"/>
      <c r="T801" s="61"/>
      <c r="U801" s="61"/>
      <c r="V801" s="61"/>
      <c r="W801" s="61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spans="1:36" ht="11.25" customHeight="1" x14ac:dyDescent="0.2">
      <c r="A802" s="57" t="s">
        <v>27</v>
      </c>
      <c r="B802" s="57" t="s">
        <v>35</v>
      </c>
      <c r="C802" s="57" t="s">
        <v>36</v>
      </c>
      <c r="D802" s="57" t="s">
        <v>45</v>
      </c>
      <c r="E802" s="57" t="s">
        <v>25</v>
      </c>
      <c r="F802" s="57" t="s">
        <v>25</v>
      </c>
      <c r="G802" s="57" t="s">
        <v>25</v>
      </c>
      <c r="H802" s="57" t="s">
        <v>25</v>
      </c>
      <c r="I802" s="82">
        <v>44317</v>
      </c>
      <c r="J802" s="83">
        <f ca="1">EFEITO!$J$802*EFEITO!$Y$802</f>
        <v>-46746.459700212486</v>
      </c>
      <c r="K802" s="83">
        <f>EFEITO!$L$802*EFEITO!$Z$802</f>
        <v>0</v>
      </c>
      <c r="L802" s="83">
        <f>EFEITO!$N$802*EFEITO!$AA$802</f>
        <v>0</v>
      </c>
      <c r="M802" s="83">
        <f ca="1">$J$802-EFEITO!$K$802*EFEITO!$Y$802</f>
        <v>0</v>
      </c>
      <c r="N802" s="83">
        <f>$K$802-EFEITO!$M$802*EFEITO!$Z$802</f>
        <v>0</v>
      </c>
      <c r="O802" s="83">
        <f>$L$802-EFEITO!$O$802*EFEITO!$AA$802</f>
        <v>0</v>
      </c>
      <c r="P802" s="61"/>
      <c r="Q802" s="61"/>
      <c r="R802" s="61"/>
      <c r="S802" s="61"/>
      <c r="T802" s="61"/>
      <c r="U802" s="61"/>
      <c r="V802" s="61"/>
      <c r="W802" s="61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spans="1:36" ht="11.25" customHeight="1" x14ac:dyDescent="0.2">
      <c r="A803" s="57" t="s">
        <v>28</v>
      </c>
      <c r="B803" s="57" t="s">
        <v>35</v>
      </c>
      <c r="C803" s="57" t="s">
        <v>36</v>
      </c>
      <c r="D803" s="57" t="s">
        <v>45</v>
      </c>
      <c r="E803" s="57" t="s">
        <v>25</v>
      </c>
      <c r="F803" s="57" t="s">
        <v>25</v>
      </c>
      <c r="G803" s="57" t="s">
        <v>25</v>
      </c>
      <c r="H803" s="57" t="s">
        <v>25</v>
      </c>
      <c r="I803" s="82">
        <v>44317</v>
      </c>
      <c r="J803" s="83">
        <f ca="1">EFEITO!$J$803*EFEITO!$Y$803</f>
        <v>277732.72300030617</v>
      </c>
      <c r="K803" s="83">
        <f>EFEITO!$L$803*EFEITO!$Z$803</f>
        <v>0</v>
      </c>
      <c r="L803" s="83">
        <f>EFEITO!$N$803*EFEITO!$AA$803</f>
        <v>0</v>
      </c>
      <c r="M803" s="83">
        <f ca="1">$J$803-EFEITO!$K$803*EFEITO!$Y$803</f>
        <v>0</v>
      </c>
      <c r="N803" s="83">
        <f>$K$803-EFEITO!$M$803*EFEITO!$Z$803</f>
        <v>0</v>
      </c>
      <c r="O803" s="83">
        <f>$L$803-EFEITO!$O$803*EFEITO!$AA$803</f>
        <v>0</v>
      </c>
      <c r="P803" s="61"/>
      <c r="Q803" s="61"/>
      <c r="R803" s="61"/>
      <c r="S803" s="61"/>
      <c r="T803" s="61"/>
      <c r="U803" s="61"/>
      <c r="V803" s="61"/>
      <c r="W803" s="61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spans="1:36" ht="11.25" customHeight="1" x14ac:dyDescent="0.2">
      <c r="A804" s="57" t="s">
        <v>30</v>
      </c>
      <c r="B804" s="57" t="s">
        <v>35</v>
      </c>
      <c r="C804" s="57" t="s">
        <v>36</v>
      </c>
      <c r="D804" s="57" t="s">
        <v>45</v>
      </c>
      <c r="E804" s="57" t="s">
        <v>25</v>
      </c>
      <c r="F804" s="57" t="s">
        <v>25</v>
      </c>
      <c r="G804" s="57" t="s">
        <v>25</v>
      </c>
      <c r="H804" s="57" t="s">
        <v>25</v>
      </c>
      <c r="I804" s="82">
        <v>44317</v>
      </c>
      <c r="J804" s="83">
        <f ca="1">EFEITO!$J$804*EFEITO!$Y$804</f>
        <v>276902.52631164115</v>
      </c>
      <c r="K804" s="83">
        <f>EFEITO!$L$804*EFEITO!$Z$804</f>
        <v>0</v>
      </c>
      <c r="L804" s="83">
        <f>EFEITO!$N$804*EFEITO!$AA$804</f>
        <v>0</v>
      </c>
      <c r="M804" s="83">
        <f ca="1">$J$804-EFEITO!$K$804*EFEITO!$Y$804</f>
        <v>0</v>
      </c>
      <c r="N804" s="83">
        <f>$K$804-EFEITO!$M$804*EFEITO!$Z$804</f>
        <v>0</v>
      </c>
      <c r="O804" s="83">
        <f>$L$804-EFEITO!$O$804*EFEITO!$AA$804</f>
        <v>0</v>
      </c>
      <c r="P804" s="61"/>
      <c r="Q804" s="61"/>
      <c r="R804" s="61"/>
      <c r="S804" s="61"/>
      <c r="T804" s="61"/>
      <c r="U804" s="61"/>
      <c r="V804" s="61"/>
      <c r="W804" s="61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 spans="1:36" ht="11.25" customHeight="1" x14ac:dyDescent="0.2">
      <c r="A805" s="57" t="s">
        <v>21</v>
      </c>
      <c r="B805" s="57" t="s">
        <v>35</v>
      </c>
      <c r="C805" s="57" t="s">
        <v>36</v>
      </c>
      <c r="D805" s="57" t="s">
        <v>45</v>
      </c>
      <c r="E805" s="57" t="s">
        <v>25</v>
      </c>
      <c r="F805" s="57" t="s">
        <v>25</v>
      </c>
      <c r="G805" s="57" t="s">
        <v>25</v>
      </c>
      <c r="H805" s="57" t="s">
        <v>25</v>
      </c>
      <c r="I805" s="82">
        <v>44317</v>
      </c>
      <c r="J805" s="83">
        <f ca="1">EFEITO!$J$805*EFEITO!$Y$805</f>
        <v>18360.119076244657</v>
      </c>
      <c r="K805" s="83">
        <f>EFEITO!$L$805*EFEITO!$Z$805</f>
        <v>0</v>
      </c>
      <c r="L805" s="83">
        <f>EFEITO!$N$805*EFEITO!$AA$805</f>
        <v>0</v>
      </c>
      <c r="M805" s="83">
        <f ca="1">$J$805-EFEITO!$K$805*EFEITO!$Y$805</f>
        <v>0</v>
      </c>
      <c r="N805" s="83">
        <f>$K$805-EFEITO!$M$805*EFEITO!$Z$805</f>
        <v>0</v>
      </c>
      <c r="O805" s="83">
        <f>$L$805-EFEITO!$O$805*EFEITO!$AA$805</f>
        <v>0</v>
      </c>
      <c r="P805" s="61"/>
      <c r="Q805" s="61"/>
      <c r="R805" s="61"/>
      <c r="S805" s="61"/>
      <c r="T805" s="61"/>
      <c r="U805" s="61"/>
      <c r="V805" s="61"/>
      <c r="W805" s="61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 spans="1:36" ht="11.25" customHeight="1" x14ac:dyDescent="0.2">
      <c r="A806" s="57" t="s">
        <v>21</v>
      </c>
      <c r="B806" s="57" t="s">
        <v>35</v>
      </c>
      <c r="C806" s="57" t="s">
        <v>36</v>
      </c>
      <c r="D806" s="57" t="s">
        <v>45</v>
      </c>
      <c r="E806" s="57" t="s">
        <v>25</v>
      </c>
      <c r="F806" s="57" t="s">
        <v>25</v>
      </c>
      <c r="G806" s="57" t="s">
        <v>25</v>
      </c>
      <c r="H806" s="57" t="s">
        <v>25</v>
      </c>
      <c r="I806" s="82">
        <v>44348</v>
      </c>
      <c r="J806" s="83">
        <f ca="1">EFEITO!$J$806*EFEITO!$Y$806</f>
        <v>4159955.9536908353</v>
      </c>
      <c r="K806" s="83">
        <f>EFEITO!$L$806*EFEITO!$Z$806</f>
        <v>0</v>
      </c>
      <c r="L806" s="83">
        <f>EFEITO!$N$806*EFEITO!$AA$806</f>
        <v>0</v>
      </c>
      <c r="M806" s="83">
        <f ca="1">$J$806-EFEITO!$K$806*EFEITO!$Y$806</f>
        <v>0</v>
      </c>
      <c r="N806" s="83">
        <f>$K$806-EFEITO!$M$806*EFEITO!$Z$806</f>
        <v>0</v>
      </c>
      <c r="O806" s="83">
        <f>$L$806-EFEITO!$O$806*EFEITO!$AA$806</f>
        <v>0</v>
      </c>
      <c r="P806" s="61"/>
      <c r="Q806" s="61"/>
      <c r="R806" s="61"/>
      <c r="S806" s="61"/>
      <c r="T806" s="61"/>
      <c r="U806" s="61"/>
      <c r="V806" s="61"/>
      <c r="W806" s="61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spans="1:36" ht="11.25" customHeight="1" x14ac:dyDescent="0.2">
      <c r="A807" s="57" t="s">
        <v>27</v>
      </c>
      <c r="B807" s="57" t="s">
        <v>35</v>
      </c>
      <c r="C807" s="57" t="s">
        <v>36</v>
      </c>
      <c r="D807" s="57" t="s">
        <v>45</v>
      </c>
      <c r="E807" s="57" t="s">
        <v>25</v>
      </c>
      <c r="F807" s="57" t="s">
        <v>25</v>
      </c>
      <c r="G807" s="57" t="s">
        <v>25</v>
      </c>
      <c r="H807" s="57" t="s">
        <v>25</v>
      </c>
      <c r="I807" s="82">
        <v>44348</v>
      </c>
      <c r="J807" s="83">
        <f ca="1">EFEITO!$J$807*EFEITO!$Y$807</f>
        <v>-17242.546610734113</v>
      </c>
      <c r="K807" s="83">
        <f>EFEITO!$L$807*EFEITO!$Z$807</f>
        <v>0</v>
      </c>
      <c r="L807" s="83">
        <f>EFEITO!$N$807*EFEITO!$AA$807</f>
        <v>0</v>
      </c>
      <c r="M807" s="83">
        <f ca="1">$J$807-EFEITO!$K$807*EFEITO!$Y$807</f>
        <v>0</v>
      </c>
      <c r="N807" s="83">
        <f>$K$807-EFEITO!$M$807*EFEITO!$Z$807</f>
        <v>0</v>
      </c>
      <c r="O807" s="83">
        <f>$L$807-EFEITO!$O$807*EFEITO!$AA$807</f>
        <v>0</v>
      </c>
      <c r="P807" s="61"/>
      <c r="Q807" s="61"/>
      <c r="R807" s="61"/>
      <c r="S807" s="61"/>
      <c r="T807" s="61"/>
      <c r="U807" s="61"/>
      <c r="V807" s="61"/>
      <c r="W807" s="61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 spans="1:36" ht="11.25" customHeight="1" x14ac:dyDescent="0.2">
      <c r="A808" s="57" t="s">
        <v>28</v>
      </c>
      <c r="B808" s="57" t="s">
        <v>35</v>
      </c>
      <c r="C808" s="57" t="s">
        <v>36</v>
      </c>
      <c r="D808" s="57" t="s">
        <v>45</v>
      </c>
      <c r="E808" s="57" t="s">
        <v>25</v>
      </c>
      <c r="F808" s="57" t="s">
        <v>25</v>
      </c>
      <c r="G808" s="57" t="s">
        <v>25</v>
      </c>
      <c r="H808" s="57" t="s">
        <v>25</v>
      </c>
      <c r="I808" s="82">
        <v>44348</v>
      </c>
      <c r="J808" s="83">
        <f ca="1">EFEITO!$J$808*EFEITO!$Y$808</f>
        <v>285779.24475198204</v>
      </c>
      <c r="K808" s="83">
        <f>EFEITO!$L$808*EFEITO!$Z$808</f>
        <v>0</v>
      </c>
      <c r="L808" s="83">
        <f>EFEITO!$N$808*EFEITO!$AA$808</f>
        <v>0</v>
      </c>
      <c r="M808" s="83">
        <f ca="1">$J$808-EFEITO!$K$808*EFEITO!$Y$808</f>
        <v>0</v>
      </c>
      <c r="N808" s="83">
        <f>$K$808-EFEITO!$M$808*EFEITO!$Z$808</f>
        <v>0</v>
      </c>
      <c r="O808" s="83">
        <f>$L$808-EFEITO!$O$808*EFEITO!$AA$808</f>
        <v>0</v>
      </c>
      <c r="P808" s="61"/>
      <c r="Q808" s="61"/>
      <c r="R808" s="61"/>
      <c r="S808" s="61"/>
      <c r="T808" s="61"/>
      <c r="U808" s="61"/>
      <c r="V808" s="61"/>
      <c r="W808" s="61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spans="1:36" ht="11.25" customHeight="1" x14ac:dyDescent="0.2">
      <c r="A809" s="57" t="s">
        <v>29</v>
      </c>
      <c r="B809" s="57" t="s">
        <v>35</v>
      </c>
      <c r="C809" s="57" t="s">
        <v>36</v>
      </c>
      <c r="D809" s="57" t="s">
        <v>45</v>
      </c>
      <c r="E809" s="57" t="s">
        <v>25</v>
      </c>
      <c r="F809" s="57" t="s">
        <v>25</v>
      </c>
      <c r="G809" s="57" t="s">
        <v>25</v>
      </c>
      <c r="H809" s="57" t="s">
        <v>25</v>
      </c>
      <c r="I809" s="82">
        <v>44348</v>
      </c>
      <c r="J809" s="83">
        <f ca="1">EFEITO!$J$809*EFEITO!$Y$809</f>
        <v>-18136.604583142551</v>
      </c>
      <c r="K809" s="83">
        <f>EFEITO!$L$809*EFEITO!$Z$809</f>
        <v>0</v>
      </c>
      <c r="L809" s="83">
        <f>EFEITO!$N$809*EFEITO!$AA$809</f>
        <v>0</v>
      </c>
      <c r="M809" s="83">
        <f ca="1">$J$809-EFEITO!$K$809*EFEITO!$Y$809</f>
        <v>0</v>
      </c>
      <c r="N809" s="83">
        <f>$K$809-EFEITO!$M$809*EFEITO!$Z$809</f>
        <v>0</v>
      </c>
      <c r="O809" s="83">
        <f>$L$809-EFEITO!$O$809*EFEITO!$AA$809</f>
        <v>0</v>
      </c>
      <c r="P809" s="61"/>
      <c r="Q809" s="61"/>
      <c r="R809" s="61"/>
      <c r="S809" s="61"/>
      <c r="T809" s="61"/>
      <c r="U809" s="61"/>
      <c r="V809" s="61"/>
      <c r="W809" s="61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spans="1:36" ht="11.25" customHeight="1" x14ac:dyDescent="0.2">
      <c r="A810" s="57" t="s">
        <v>30</v>
      </c>
      <c r="B810" s="57" t="s">
        <v>35</v>
      </c>
      <c r="C810" s="57" t="s">
        <v>36</v>
      </c>
      <c r="D810" s="57" t="s">
        <v>45</v>
      </c>
      <c r="E810" s="57" t="s">
        <v>25</v>
      </c>
      <c r="F810" s="57" t="s">
        <v>25</v>
      </c>
      <c r="G810" s="57" t="s">
        <v>25</v>
      </c>
      <c r="H810" s="57" t="s">
        <v>25</v>
      </c>
      <c r="I810" s="82">
        <v>44348</v>
      </c>
      <c r="J810" s="83">
        <f ca="1">EFEITO!$J$810*EFEITO!$Y$810</f>
        <v>288269.83481797698</v>
      </c>
      <c r="K810" s="83">
        <f>EFEITO!$L$810*EFEITO!$Z$810</f>
        <v>0</v>
      </c>
      <c r="L810" s="83">
        <f>EFEITO!$N$810*EFEITO!$AA$810</f>
        <v>0</v>
      </c>
      <c r="M810" s="83">
        <f ca="1">$J$810-EFEITO!$K$810*EFEITO!$Y$810</f>
        <v>0</v>
      </c>
      <c r="N810" s="83">
        <f>$K$810-EFEITO!$M$810*EFEITO!$Z$810</f>
        <v>0</v>
      </c>
      <c r="O810" s="83">
        <f>$L$810-EFEITO!$O$810*EFEITO!$AA$810</f>
        <v>0</v>
      </c>
      <c r="P810" s="61"/>
      <c r="Q810" s="61"/>
      <c r="R810" s="61"/>
      <c r="S810" s="61"/>
      <c r="T810" s="61"/>
      <c r="U810" s="61"/>
      <c r="V810" s="61"/>
      <c r="W810" s="61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 spans="1:36" ht="11.25" customHeight="1" x14ac:dyDescent="0.2">
      <c r="A811" s="57" t="s">
        <v>21</v>
      </c>
      <c r="B811" s="57" t="s">
        <v>35</v>
      </c>
      <c r="C811" s="57" t="s">
        <v>36</v>
      </c>
      <c r="D811" s="57" t="s">
        <v>45</v>
      </c>
      <c r="E811" s="57" t="s">
        <v>25</v>
      </c>
      <c r="F811" s="57" t="s">
        <v>25</v>
      </c>
      <c r="G811" s="57" t="s">
        <v>25</v>
      </c>
      <c r="H811" s="57" t="s">
        <v>25</v>
      </c>
      <c r="I811" s="82">
        <v>44348</v>
      </c>
      <c r="J811" s="83">
        <f ca="1">EFEITO!$J$811*EFEITO!$Y$811</f>
        <v>18360.119076244657</v>
      </c>
      <c r="K811" s="83">
        <f>EFEITO!$L$811*EFEITO!$Z$811</f>
        <v>0</v>
      </c>
      <c r="L811" s="83">
        <f>EFEITO!$N$811*EFEITO!$AA$811</f>
        <v>0</v>
      </c>
      <c r="M811" s="83">
        <f ca="1">$J$811-EFEITO!$K$811*EFEITO!$Y$811</f>
        <v>0</v>
      </c>
      <c r="N811" s="83">
        <f>$K$811-EFEITO!$M$811*EFEITO!$Z$811</f>
        <v>0</v>
      </c>
      <c r="O811" s="83">
        <f>$L$811-EFEITO!$O$811*EFEITO!$AA$811</f>
        <v>0</v>
      </c>
      <c r="P811" s="61"/>
      <c r="Q811" s="61"/>
      <c r="R811" s="61"/>
      <c r="S811" s="61"/>
      <c r="T811" s="61"/>
      <c r="U811" s="61"/>
      <c r="V811" s="61"/>
      <c r="W811" s="61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spans="1:36" ht="11.25" customHeight="1" x14ac:dyDescent="0.2">
      <c r="A812" s="57" t="s">
        <v>21</v>
      </c>
      <c r="B812" s="57" t="s">
        <v>35</v>
      </c>
      <c r="C812" s="57" t="s">
        <v>36</v>
      </c>
      <c r="D812" s="57" t="s">
        <v>45</v>
      </c>
      <c r="E812" s="57" t="s">
        <v>25</v>
      </c>
      <c r="F812" s="57" t="s">
        <v>25</v>
      </c>
      <c r="G812" s="57" t="s">
        <v>25</v>
      </c>
      <c r="H812" s="57" t="s">
        <v>25</v>
      </c>
      <c r="I812" s="82">
        <v>44378</v>
      </c>
      <c r="J812" s="83">
        <f ca="1">EFEITO!$J$812*EFEITO!$Y$812</f>
        <v>4311339.1268047066</v>
      </c>
      <c r="K812" s="83">
        <f>EFEITO!$L$812*EFEITO!$Z$812</f>
        <v>0</v>
      </c>
      <c r="L812" s="83">
        <f>EFEITO!$N$812*EFEITO!$AA$812</f>
        <v>0</v>
      </c>
      <c r="M812" s="83">
        <f ca="1">$J$812-EFEITO!$K$812*EFEITO!$Y$812</f>
        <v>0</v>
      </c>
      <c r="N812" s="83">
        <f>$K$812-EFEITO!$M$812*EFEITO!$Z$812</f>
        <v>0</v>
      </c>
      <c r="O812" s="83">
        <f>$L$812-EFEITO!$O$812*EFEITO!$AA$812</f>
        <v>0</v>
      </c>
      <c r="P812" s="61"/>
      <c r="Q812" s="61"/>
      <c r="R812" s="61"/>
      <c r="S812" s="61"/>
      <c r="T812" s="61"/>
      <c r="U812" s="61"/>
      <c r="V812" s="61"/>
      <c r="W812" s="61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spans="1:36" ht="11.25" customHeight="1" x14ac:dyDescent="0.2">
      <c r="A813" s="57" t="s">
        <v>27</v>
      </c>
      <c r="B813" s="57" t="s">
        <v>35</v>
      </c>
      <c r="C813" s="57" t="s">
        <v>36</v>
      </c>
      <c r="D813" s="57" t="s">
        <v>45</v>
      </c>
      <c r="E813" s="57" t="s">
        <v>25</v>
      </c>
      <c r="F813" s="57" t="s">
        <v>25</v>
      </c>
      <c r="G813" s="57" t="s">
        <v>25</v>
      </c>
      <c r="H813" s="57" t="s">
        <v>25</v>
      </c>
      <c r="I813" s="82">
        <v>44378</v>
      </c>
      <c r="J813" s="83">
        <f ca="1">EFEITO!$J$813*EFEITO!$Y$813</f>
        <v>-8653.203947238786</v>
      </c>
      <c r="K813" s="83">
        <f>EFEITO!$L$813*EFEITO!$Z$813</f>
        <v>0</v>
      </c>
      <c r="L813" s="83">
        <f>EFEITO!$N$813*EFEITO!$AA$813</f>
        <v>0</v>
      </c>
      <c r="M813" s="83">
        <f ca="1">$J$813-EFEITO!$K$813*EFEITO!$Y$813</f>
        <v>0</v>
      </c>
      <c r="N813" s="83">
        <f>$K$813-EFEITO!$M$813*EFEITO!$Z$813</f>
        <v>0</v>
      </c>
      <c r="O813" s="83">
        <f>$L$813-EFEITO!$O$813*EFEITO!$AA$813</f>
        <v>0</v>
      </c>
      <c r="P813" s="61"/>
      <c r="Q813" s="61"/>
      <c r="R813" s="61"/>
      <c r="S813" s="61"/>
      <c r="T813" s="61"/>
      <c r="U813" s="61"/>
      <c r="V813" s="61"/>
      <c r="W813" s="61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 spans="1:36" ht="11.25" customHeight="1" x14ac:dyDescent="0.2">
      <c r="A814" s="57" t="s">
        <v>28</v>
      </c>
      <c r="B814" s="57" t="s">
        <v>35</v>
      </c>
      <c r="C814" s="57" t="s">
        <v>36</v>
      </c>
      <c r="D814" s="57" t="s">
        <v>45</v>
      </c>
      <c r="E814" s="57" t="s">
        <v>25</v>
      </c>
      <c r="F814" s="57" t="s">
        <v>25</v>
      </c>
      <c r="G814" s="57" t="s">
        <v>25</v>
      </c>
      <c r="H814" s="57" t="s">
        <v>25</v>
      </c>
      <c r="I814" s="82">
        <v>44378</v>
      </c>
      <c r="J814" s="83">
        <f ca="1">EFEITO!$J$814*EFEITO!$Y$814</f>
        <v>308609.65369026893</v>
      </c>
      <c r="K814" s="83">
        <f>EFEITO!$L$814*EFEITO!$Z$814</f>
        <v>0</v>
      </c>
      <c r="L814" s="83">
        <f>EFEITO!$N$814*EFEITO!$AA$814</f>
        <v>0</v>
      </c>
      <c r="M814" s="83">
        <f ca="1">$J$814-EFEITO!$K$814*EFEITO!$Y$814</f>
        <v>0</v>
      </c>
      <c r="N814" s="83">
        <f>$K$814-EFEITO!$M$814*EFEITO!$Z$814</f>
        <v>0</v>
      </c>
      <c r="O814" s="83">
        <f>$L$814-EFEITO!$O$814*EFEITO!$AA$814</f>
        <v>0</v>
      </c>
      <c r="P814" s="61"/>
      <c r="Q814" s="61"/>
      <c r="R814" s="61"/>
      <c r="S814" s="61"/>
      <c r="T814" s="61"/>
      <c r="U814" s="61"/>
      <c r="V814" s="61"/>
      <c r="W814" s="61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 spans="1:36" ht="11.25" customHeight="1" x14ac:dyDescent="0.2">
      <c r="A815" s="57" t="s">
        <v>29</v>
      </c>
      <c r="B815" s="57" t="s">
        <v>35</v>
      </c>
      <c r="C815" s="57" t="s">
        <v>36</v>
      </c>
      <c r="D815" s="57" t="s">
        <v>45</v>
      </c>
      <c r="E815" s="57" t="s">
        <v>25</v>
      </c>
      <c r="F815" s="57" t="s">
        <v>25</v>
      </c>
      <c r="G815" s="57" t="s">
        <v>25</v>
      </c>
      <c r="H815" s="57" t="s">
        <v>25</v>
      </c>
      <c r="I815" s="82">
        <v>44378</v>
      </c>
      <c r="J815" s="83">
        <f ca="1">EFEITO!$J$815*EFEITO!$Y$815</f>
        <v>191.58385123037903</v>
      </c>
      <c r="K815" s="83">
        <f>EFEITO!$L$815*EFEITO!$Z$815</f>
        <v>0</v>
      </c>
      <c r="L815" s="83">
        <f>EFEITO!$N$815*EFEITO!$AA$815</f>
        <v>0</v>
      </c>
      <c r="M815" s="83">
        <f ca="1">$J$815-EFEITO!$K$815*EFEITO!$Y$815</f>
        <v>0</v>
      </c>
      <c r="N815" s="83">
        <f>$K$815-EFEITO!$M$815*EFEITO!$Z$815</f>
        <v>0</v>
      </c>
      <c r="O815" s="83">
        <f>$L$815-EFEITO!$O$815*EFEITO!$AA$815</f>
        <v>0</v>
      </c>
      <c r="P815" s="61"/>
      <c r="Q815" s="61"/>
      <c r="R815" s="61"/>
      <c r="S815" s="61"/>
      <c r="T815" s="61"/>
      <c r="U815" s="61"/>
      <c r="V815" s="61"/>
      <c r="W815" s="61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spans="1:36" ht="11.25" customHeight="1" x14ac:dyDescent="0.2">
      <c r="A816" s="57" t="s">
        <v>30</v>
      </c>
      <c r="B816" s="57" t="s">
        <v>35</v>
      </c>
      <c r="C816" s="57" t="s">
        <v>36</v>
      </c>
      <c r="D816" s="57" t="s">
        <v>45</v>
      </c>
      <c r="E816" s="57" t="s">
        <v>25</v>
      </c>
      <c r="F816" s="57" t="s">
        <v>25</v>
      </c>
      <c r="G816" s="57" t="s">
        <v>25</v>
      </c>
      <c r="H816" s="57" t="s">
        <v>25</v>
      </c>
      <c r="I816" s="82">
        <v>44378</v>
      </c>
      <c r="J816" s="83">
        <f ca="1">EFEITO!$J$816*EFEITO!$Y$816</f>
        <v>294177.00356424699</v>
      </c>
      <c r="K816" s="83">
        <f>EFEITO!$L$816*EFEITO!$Z$816</f>
        <v>0</v>
      </c>
      <c r="L816" s="83">
        <f>EFEITO!$N$816*EFEITO!$AA$816</f>
        <v>0</v>
      </c>
      <c r="M816" s="83">
        <f ca="1">$J$816-EFEITO!$K$816*EFEITO!$Y$816</f>
        <v>0</v>
      </c>
      <c r="N816" s="83">
        <f>$K$816-EFEITO!$M$816*EFEITO!$Z$816</f>
        <v>0</v>
      </c>
      <c r="O816" s="83">
        <f>$L$816-EFEITO!$O$816*EFEITO!$AA$816</f>
        <v>0</v>
      </c>
      <c r="P816" s="61"/>
      <c r="Q816" s="61"/>
      <c r="R816" s="61"/>
      <c r="S816" s="61"/>
      <c r="T816" s="61"/>
      <c r="U816" s="61"/>
      <c r="V816" s="61"/>
      <c r="W816" s="61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 spans="1:36" ht="11.25" customHeight="1" x14ac:dyDescent="0.2">
      <c r="A817" s="57" t="s">
        <v>30</v>
      </c>
      <c r="B817" s="57" t="s">
        <v>35</v>
      </c>
      <c r="C817" s="57" t="s">
        <v>36</v>
      </c>
      <c r="D817" s="57" t="s">
        <v>45</v>
      </c>
      <c r="E817" s="57" t="s">
        <v>25</v>
      </c>
      <c r="F817" s="57" t="s">
        <v>25</v>
      </c>
      <c r="G817" s="57" t="s">
        <v>25</v>
      </c>
      <c r="H817" s="57" t="s">
        <v>25</v>
      </c>
      <c r="I817" s="82">
        <v>44378</v>
      </c>
      <c r="J817" s="83">
        <f ca="1">EFEITO!$J$817*EFEITO!$Y$817</f>
        <v>-3033.4109778143347</v>
      </c>
      <c r="K817" s="83">
        <f>EFEITO!$L$817*EFEITO!$Z$817</f>
        <v>0</v>
      </c>
      <c r="L817" s="83">
        <f>EFEITO!$N$817*EFEITO!$AA$817</f>
        <v>0</v>
      </c>
      <c r="M817" s="83">
        <f ca="1">$J$817-EFEITO!$K$817*EFEITO!$Y$817</f>
        <v>0</v>
      </c>
      <c r="N817" s="83">
        <f>$K$817-EFEITO!$M$817*EFEITO!$Z$817</f>
        <v>0</v>
      </c>
      <c r="O817" s="83">
        <f>$L$817-EFEITO!$O$817*EFEITO!$AA$817</f>
        <v>0</v>
      </c>
      <c r="P817" s="61"/>
      <c r="Q817" s="61"/>
      <c r="R817" s="61"/>
      <c r="S817" s="61"/>
      <c r="T817" s="61"/>
      <c r="U817" s="61"/>
      <c r="V817" s="61"/>
      <c r="W817" s="61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spans="1:36" ht="11.25" customHeight="1" x14ac:dyDescent="0.2">
      <c r="A818" s="57" t="s">
        <v>21</v>
      </c>
      <c r="B818" s="57" t="s">
        <v>35</v>
      </c>
      <c r="C818" s="57" t="s">
        <v>36</v>
      </c>
      <c r="D818" s="57" t="s">
        <v>45</v>
      </c>
      <c r="E818" s="57" t="s">
        <v>25</v>
      </c>
      <c r="F818" s="57" t="s">
        <v>25</v>
      </c>
      <c r="G818" s="57" t="s">
        <v>25</v>
      </c>
      <c r="H818" s="57" t="s">
        <v>25</v>
      </c>
      <c r="I818" s="82">
        <v>44378</v>
      </c>
      <c r="J818" s="83">
        <f ca="1">EFEITO!$J$818*EFEITO!$Y$818</f>
        <v>18360.119076244657</v>
      </c>
      <c r="K818" s="83">
        <f>EFEITO!$L$818*EFEITO!$Z$818</f>
        <v>0</v>
      </c>
      <c r="L818" s="83">
        <f>EFEITO!$N$818*EFEITO!$AA$818</f>
        <v>0</v>
      </c>
      <c r="M818" s="83">
        <f ca="1">$J$818-EFEITO!$K$818*EFEITO!$Y$818</f>
        <v>0</v>
      </c>
      <c r="N818" s="83">
        <f>$K$818-EFEITO!$M$818*EFEITO!$Z$818</f>
        <v>0</v>
      </c>
      <c r="O818" s="83">
        <f>$L$818-EFEITO!$O$818*EFEITO!$AA$818</f>
        <v>0</v>
      </c>
      <c r="P818" s="61"/>
      <c r="Q818" s="61"/>
      <c r="R818" s="61"/>
      <c r="S818" s="61"/>
      <c r="T818" s="61"/>
      <c r="U818" s="61"/>
      <c r="V818" s="61"/>
      <c r="W818" s="61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 spans="1:36" ht="11.25" customHeight="1" x14ac:dyDescent="0.2">
      <c r="A819" s="57" t="s">
        <v>21</v>
      </c>
      <c r="B819" s="57" t="s">
        <v>35</v>
      </c>
      <c r="C819" s="57" t="s">
        <v>36</v>
      </c>
      <c r="D819" s="57" t="s">
        <v>45</v>
      </c>
      <c r="E819" s="57" t="s">
        <v>25</v>
      </c>
      <c r="F819" s="57" t="s">
        <v>25</v>
      </c>
      <c r="G819" s="57" t="s">
        <v>25</v>
      </c>
      <c r="H819" s="57" t="s">
        <v>25</v>
      </c>
      <c r="I819" s="82">
        <v>44409</v>
      </c>
      <c r="J819" s="83">
        <f ca="1">EFEITO!$J$819*EFEITO!$Y$819</f>
        <v>4302143.101945648</v>
      </c>
      <c r="K819" s="83">
        <f>EFEITO!$L$819*EFEITO!$Z$819</f>
        <v>0</v>
      </c>
      <c r="L819" s="83">
        <f>EFEITO!$N$819*EFEITO!$AA$819</f>
        <v>0</v>
      </c>
      <c r="M819" s="83">
        <f ca="1">$J$819-EFEITO!$K$819*EFEITO!$Y$819</f>
        <v>0</v>
      </c>
      <c r="N819" s="83">
        <f>$K$819-EFEITO!$M$819*EFEITO!$Z$819</f>
        <v>0</v>
      </c>
      <c r="O819" s="83">
        <f>$L$819-EFEITO!$O$819*EFEITO!$AA$819</f>
        <v>0</v>
      </c>
      <c r="P819" s="61"/>
      <c r="Q819" s="61"/>
      <c r="R819" s="61"/>
      <c r="S819" s="61"/>
      <c r="T819" s="61"/>
      <c r="U819" s="61"/>
      <c r="V819" s="61"/>
      <c r="W819" s="61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spans="1:36" ht="11.25" customHeight="1" x14ac:dyDescent="0.2">
      <c r="A820" s="57" t="s">
        <v>27</v>
      </c>
      <c r="B820" s="57" t="s">
        <v>35</v>
      </c>
      <c r="C820" s="57" t="s">
        <v>36</v>
      </c>
      <c r="D820" s="57" t="s">
        <v>45</v>
      </c>
      <c r="E820" s="57" t="s">
        <v>25</v>
      </c>
      <c r="F820" s="57" t="s">
        <v>25</v>
      </c>
      <c r="G820" s="57" t="s">
        <v>25</v>
      </c>
      <c r="H820" s="57" t="s">
        <v>25</v>
      </c>
      <c r="I820" s="82">
        <v>44409</v>
      </c>
      <c r="J820" s="83">
        <f ca="1">EFEITO!$J$820*EFEITO!$Y$820</f>
        <v>1450672.9215164301</v>
      </c>
      <c r="K820" s="83">
        <f>EFEITO!$L$820*EFEITO!$Z$820</f>
        <v>0</v>
      </c>
      <c r="L820" s="83">
        <f>EFEITO!$N$820*EFEITO!$AA$820</f>
        <v>0</v>
      </c>
      <c r="M820" s="83">
        <f ca="1">$J$820-EFEITO!$K$820*EFEITO!$Y$820</f>
        <v>0</v>
      </c>
      <c r="N820" s="83">
        <f>$K$820-EFEITO!$M$820*EFEITO!$Z$820</f>
        <v>0</v>
      </c>
      <c r="O820" s="83">
        <f>$L$820-EFEITO!$O$820*EFEITO!$AA$820</f>
        <v>0</v>
      </c>
      <c r="P820" s="61"/>
      <c r="Q820" s="61"/>
      <c r="R820" s="61"/>
      <c r="S820" s="61"/>
      <c r="T820" s="61"/>
      <c r="U820" s="61"/>
      <c r="V820" s="61"/>
      <c r="W820" s="61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spans="1:36" ht="11.25" customHeight="1" x14ac:dyDescent="0.2">
      <c r="A821" s="57" t="s">
        <v>28</v>
      </c>
      <c r="B821" s="57" t="s">
        <v>35</v>
      </c>
      <c r="C821" s="57" t="s">
        <v>36</v>
      </c>
      <c r="D821" s="57" t="s">
        <v>45</v>
      </c>
      <c r="E821" s="57" t="s">
        <v>25</v>
      </c>
      <c r="F821" s="57" t="s">
        <v>25</v>
      </c>
      <c r="G821" s="57" t="s">
        <v>25</v>
      </c>
      <c r="H821" s="57" t="s">
        <v>25</v>
      </c>
      <c r="I821" s="82">
        <v>44409</v>
      </c>
      <c r="J821" s="83">
        <f ca="1">EFEITO!$J$821*EFEITO!$Y$821</f>
        <v>320168.54604783509</v>
      </c>
      <c r="K821" s="83">
        <f>EFEITO!$L$821*EFEITO!$Z$821</f>
        <v>0</v>
      </c>
      <c r="L821" s="83">
        <f>EFEITO!$N$821*EFEITO!$AA$821</f>
        <v>0</v>
      </c>
      <c r="M821" s="83">
        <f ca="1">$J$821-EFEITO!$K$821*EFEITO!$Y$821</f>
        <v>0</v>
      </c>
      <c r="N821" s="83">
        <f>$K$821-EFEITO!$M$821*EFEITO!$Z$821</f>
        <v>0</v>
      </c>
      <c r="O821" s="83">
        <f>$L$821-EFEITO!$O$821*EFEITO!$AA$821</f>
        <v>0</v>
      </c>
      <c r="P821" s="61"/>
      <c r="Q821" s="61"/>
      <c r="R821" s="61"/>
      <c r="S821" s="61"/>
      <c r="T821" s="61"/>
      <c r="U821" s="61"/>
      <c r="V821" s="61"/>
      <c r="W821" s="61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spans="1:36" ht="11.25" customHeight="1" x14ac:dyDescent="0.2">
      <c r="A822" s="57" t="s">
        <v>30</v>
      </c>
      <c r="B822" s="57" t="s">
        <v>35</v>
      </c>
      <c r="C822" s="57" t="s">
        <v>36</v>
      </c>
      <c r="D822" s="57" t="s">
        <v>45</v>
      </c>
      <c r="E822" s="57" t="s">
        <v>25</v>
      </c>
      <c r="F822" s="57" t="s">
        <v>25</v>
      </c>
      <c r="G822" s="57" t="s">
        <v>25</v>
      </c>
      <c r="H822" s="57" t="s">
        <v>25</v>
      </c>
      <c r="I822" s="82">
        <v>44409</v>
      </c>
      <c r="J822" s="83">
        <f ca="1">EFEITO!$J$822*EFEITO!$Y$822</f>
        <v>310812.86797941825</v>
      </c>
      <c r="K822" s="83">
        <f>EFEITO!$L$822*EFEITO!$Z$822</f>
        <v>0</v>
      </c>
      <c r="L822" s="83">
        <f>EFEITO!$N$822*EFEITO!$AA$822</f>
        <v>0</v>
      </c>
      <c r="M822" s="83">
        <f ca="1">$J$822-EFEITO!$K$822*EFEITO!$Y$822</f>
        <v>0</v>
      </c>
      <c r="N822" s="83">
        <f>$K$822-EFEITO!$M$822*EFEITO!$Z$822</f>
        <v>0</v>
      </c>
      <c r="O822" s="83">
        <f>$L$822-EFEITO!$O$822*EFEITO!$AA$822</f>
        <v>0</v>
      </c>
      <c r="P822" s="61"/>
      <c r="Q822" s="61"/>
      <c r="R822" s="61"/>
      <c r="S822" s="61"/>
      <c r="T822" s="61"/>
      <c r="U822" s="61"/>
      <c r="V822" s="61"/>
      <c r="W822" s="61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 spans="1:36" ht="11.25" customHeight="1" x14ac:dyDescent="0.2">
      <c r="A823" s="57" t="s">
        <v>30</v>
      </c>
      <c r="B823" s="57" t="s">
        <v>35</v>
      </c>
      <c r="C823" s="57" t="s">
        <v>36</v>
      </c>
      <c r="D823" s="57" t="s">
        <v>45</v>
      </c>
      <c r="E823" s="57" t="s">
        <v>25</v>
      </c>
      <c r="F823" s="57" t="s">
        <v>25</v>
      </c>
      <c r="G823" s="57" t="s">
        <v>25</v>
      </c>
      <c r="H823" s="57" t="s">
        <v>25</v>
      </c>
      <c r="I823" s="82">
        <v>44409</v>
      </c>
      <c r="J823" s="83">
        <f ca="1">EFEITO!$J$823*EFEITO!$Y$823</f>
        <v>-159.65320935864921</v>
      </c>
      <c r="K823" s="83">
        <f>EFEITO!$L$823*EFEITO!$Z$823</f>
        <v>0</v>
      </c>
      <c r="L823" s="83">
        <f>EFEITO!$N$823*EFEITO!$AA$823</f>
        <v>0</v>
      </c>
      <c r="M823" s="83">
        <f ca="1">$J$823-EFEITO!$K$823*EFEITO!$Y$823</f>
        <v>0</v>
      </c>
      <c r="N823" s="83">
        <f>$K$823-EFEITO!$M$823*EFEITO!$Z$823</f>
        <v>0</v>
      </c>
      <c r="O823" s="83">
        <f>$L$823-EFEITO!$O$823*EFEITO!$AA$823</f>
        <v>0</v>
      </c>
      <c r="P823" s="61"/>
      <c r="Q823" s="61"/>
      <c r="R823" s="61"/>
      <c r="S823" s="61"/>
      <c r="T823" s="61"/>
      <c r="U823" s="61"/>
      <c r="V823" s="61"/>
      <c r="W823" s="61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spans="1:36" ht="11.25" customHeight="1" x14ac:dyDescent="0.2">
      <c r="A824" s="57" t="s">
        <v>21</v>
      </c>
      <c r="B824" s="57" t="s">
        <v>35</v>
      </c>
      <c r="C824" s="57" t="s">
        <v>36</v>
      </c>
      <c r="D824" s="57" t="s">
        <v>45</v>
      </c>
      <c r="E824" s="57" t="s">
        <v>25</v>
      </c>
      <c r="F824" s="57" t="s">
        <v>25</v>
      </c>
      <c r="G824" s="57" t="s">
        <v>25</v>
      </c>
      <c r="H824" s="57" t="s">
        <v>25</v>
      </c>
      <c r="I824" s="82">
        <v>44409</v>
      </c>
      <c r="J824" s="83">
        <f ca="1">EFEITO!$J$824*EFEITO!$Y$824</f>
        <v>18360.119076244657</v>
      </c>
      <c r="K824" s="83">
        <f>EFEITO!$L$824*EFEITO!$Z$824</f>
        <v>0</v>
      </c>
      <c r="L824" s="83">
        <f>EFEITO!$N$824*EFEITO!$AA$824</f>
        <v>0</v>
      </c>
      <c r="M824" s="83">
        <f ca="1">$J$824-EFEITO!$K$824*EFEITO!$Y$824</f>
        <v>0</v>
      </c>
      <c r="N824" s="83">
        <f>$K$824-EFEITO!$M$824*EFEITO!$Z$824</f>
        <v>0</v>
      </c>
      <c r="O824" s="83">
        <f>$L$824-EFEITO!$O$824*EFEITO!$AA$824</f>
        <v>0</v>
      </c>
      <c r="P824" s="61"/>
      <c r="Q824" s="61"/>
      <c r="R824" s="61"/>
      <c r="S824" s="61"/>
      <c r="T824" s="61"/>
      <c r="U824" s="61"/>
      <c r="V824" s="61"/>
      <c r="W824" s="61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spans="1:36" ht="11.25" customHeight="1" x14ac:dyDescent="0.2">
      <c r="A825" s="57" t="s">
        <v>21</v>
      </c>
      <c r="B825" s="57" t="s">
        <v>35</v>
      </c>
      <c r="C825" s="57" t="s">
        <v>36</v>
      </c>
      <c r="D825" s="57" t="s">
        <v>45</v>
      </c>
      <c r="E825" s="57" t="s">
        <v>25</v>
      </c>
      <c r="F825" s="57" t="s">
        <v>25</v>
      </c>
      <c r="G825" s="57" t="s">
        <v>25</v>
      </c>
      <c r="H825" s="57" t="s">
        <v>25</v>
      </c>
      <c r="I825" s="82">
        <v>44440</v>
      </c>
      <c r="J825" s="83">
        <f ca="1">EFEITO!$J$825*EFEITO!$Y$825</f>
        <v>4274618.8886522176</v>
      </c>
      <c r="K825" s="83">
        <f>EFEITO!$L$825*EFEITO!$Z$825</f>
        <v>0</v>
      </c>
      <c r="L825" s="83">
        <f>EFEITO!$N$825*EFEITO!$AA$825</f>
        <v>0</v>
      </c>
      <c r="M825" s="83">
        <f ca="1">$J$825-EFEITO!$K$825*EFEITO!$Y$825</f>
        <v>0</v>
      </c>
      <c r="N825" s="83">
        <f>$K$825-EFEITO!$M$825*EFEITO!$Z$825</f>
        <v>0</v>
      </c>
      <c r="O825" s="83">
        <f>$L$825-EFEITO!$O$825*EFEITO!$AA$825</f>
        <v>0</v>
      </c>
      <c r="P825" s="61"/>
      <c r="Q825" s="61"/>
      <c r="R825" s="61"/>
      <c r="S825" s="61"/>
      <c r="T825" s="61"/>
      <c r="U825" s="61"/>
      <c r="V825" s="61"/>
      <c r="W825" s="61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 spans="1:36" ht="11.25" customHeight="1" x14ac:dyDescent="0.2">
      <c r="A826" s="57" t="s">
        <v>27</v>
      </c>
      <c r="B826" s="57" t="s">
        <v>35</v>
      </c>
      <c r="C826" s="57" t="s">
        <v>36</v>
      </c>
      <c r="D826" s="57" t="s">
        <v>45</v>
      </c>
      <c r="E826" s="57" t="s">
        <v>25</v>
      </c>
      <c r="F826" s="57" t="s">
        <v>25</v>
      </c>
      <c r="G826" s="57" t="s">
        <v>25</v>
      </c>
      <c r="H826" s="57" t="s">
        <v>25</v>
      </c>
      <c r="I826" s="82">
        <v>44440</v>
      </c>
      <c r="J826" s="83">
        <f ca="1">EFEITO!$J$826*EFEITO!$Y$826</f>
        <v>-53707.339628249589</v>
      </c>
      <c r="K826" s="83">
        <f>EFEITO!$L$826*EFEITO!$Z$826</f>
        <v>0</v>
      </c>
      <c r="L826" s="83">
        <f>EFEITO!$N$826*EFEITO!$AA$826</f>
        <v>0</v>
      </c>
      <c r="M826" s="83">
        <f ca="1">$J$826-EFEITO!$K$826*EFEITO!$Y$826</f>
        <v>0</v>
      </c>
      <c r="N826" s="83">
        <f>$K$826-EFEITO!$M$826*EFEITO!$Z$826</f>
        <v>0</v>
      </c>
      <c r="O826" s="83">
        <f>$L$826-EFEITO!$O$826*EFEITO!$AA$826</f>
        <v>0</v>
      </c>
      <c r="P826" s="61"/>
      <c r="Q826" s="61"/>
      <c r="R826" s="61"/>
      <c r="S826" s="61"/>
      <c r="T826" s="61"/>
      <c r="U826" s="61"/>
      <c r="V826" s="61"/>
      <c r="W826" s="61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spans="1:36" ht="11.25" customHeight="1" x14ac:dyDescent="0.2">
      <c r="A827" s="57" t="s">
        <v>28</v>
      </c>
      <c r="B827" s="57" t="s">
        <v>35</v>
      </c>
      <c r="C827" s="57" t="s">
        <v>36</v>
      </c>
      <c r="D827" s="57" t="s">
        <v>45</v>
      </c>
      <c r="E827" s="57" t="s">
        <v>25</v>
      </c>
      <c r="F827" s="57" t="s">
        <v>25</v>
      </c>
      <c r="G827" s="57" t="s">
        <v>25</v>
      </c>
      <c r="H827" s="57" t="s">
        <v>25</v>
      </c>
      <c r="I827" s="82">
        <v>44440</v>
      </c>
      <c r="J827" s="83">
        <f ca="1">EFEITO!$J$827*EFEITO!$Y$827</f>
        <v>332110.60610786208</v>
      </c>
      <c r="K827" s="83">
        <f>EFEITO!$L$827*EFEITO!$Z$827</f>
        <v>0</v>
      </c>
      <c r="L827" s="83">
        <f>EFEITO!$N$827*EFEITO!$AA$827</f>
        <v>0</v>
      </c>
      <c r="M827" s="83">
        <f ca="1">$J$827-EFEITO!$K$827*EFEITO!$Y$827</f>
        <v>0</v>
      </c>
      <c r="N827" s="83">
        <f>$K$827-EFEITO!$M$827*EFEITO!$Z$827</f>
        <v>0</v>
      </c>
      <c r="O827" s="83">
        <f>$L$827-EFEITO!$O$827*EFEITO!$AA$827</f>
        <v>0</v>
      </c>
      <c r="P827" s="61"/>
      <c r="Q827" s="61"/>
      <c r="R827" s="61"/>
      <c r="S827" s="61"/>
      <c r="T827" s="61"/>
      <c r="U827" s="61"/>
      <c r="V827" s="61"/>
      <c r="W827" s="61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 spans="1:36" ht="11.25" customHeight="1" x14ac:dyDescent="0.2">
      <c r="A828" s="57" t="s">
        <v>30</v>
      </c>
      <c r="B828" s="57" t="s">
        <v>35</v>
      </c>
      <c r="C828" s="57" t="s">
        <v>36</v>
      </c>
      <c r="D828" s="57" t="s">
        <v>45</v>
      </c>
      <c r="E828" s="57" t="s">
        <v>25</v>
      </c>
      <c r="F828" s="57" t="s">
        <v>25</v>
      </c>
      <c r="G828" s="57" t="s">
        <v>25</v>
      </c>
      <c r="H828" s="57" t="s">
        <v>25</v>
      </c>
      <c r="I828" s="82">
        <v>44440</v>
      </c>
      <c r="J828" s="83">
        <f ca="1">EFEITO!$J$828*EFEITO!$Y$828</f>
        <v>307779.45700160391</v>
      </c>
      <c r="K828" s="83">
        <f>EFEITO!$L$828*EFEITO!$Z$828</f>
        <v>0</v>
      </c>
      <c r="L828" s="83">
        <f>EFEITO!$N$828*EFEITO!$AA$828</f>
        <v>0</v>
      </c>
      <c r="M828" s="83">
        <f ca="1">$J$828-EFEITO!$K$828*EFEITO!$Y$828</f>
        <v>0</v>
      </c>
      <c r="N828" s="83">
        <f>$K$828-EFEITO!$M$828*EFEITO!$Z$828</f>
        <v>0</v>
      </c>
      <c r="O828" s="83">
        <f>$L$828-EFEITO!$O$828*EFEITO!$AA$828</f>
        <v>0</v>
      </c>
      <c r="P828" s="61"/>
      <c r="Q828" s="61"/>
      <c r="R828" s="61"/>
      <c r="S828" s="61"/>
      <c r="T828" s="61"/>
      <c r="U828" s="61"/>
      <c r="V828" s="61"/>
      <c r="W828" s="61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 spans="1:36" ht="11.25" customHeight="1" x14ac:dyDescent="0.2">
      <c r="A829" s="57" t="s">
        <v>21</v>
      </c>
      <c r="B829" s="57" t="s">
        <v>35</v>
      </c>
      <c r="C829" s="57" t="s">
        <v>36</v>
      </c>
      <c r="D829" s="57" t="s">
        <v>45</v>
      </c>
      <c r="E829" s="57" t="s">
        <v>25</v>
      </c>
      <c r="F829" s="57" t="s">
        <v>25</v>
      </c>
      <c r="G829" s="57" t="s">
        <v>25</v>
      </c>
      <c r="H829" s="57" t="s">
        <v>25</v>
      </c>
      <c r="I829" s="82">
        <v>44440</v>
      </c>
      <c r="J829" s="83">
        <f ca="1">EFEITO!$J$829*EFEITO!$Y$829</f>
        <v>18360.119076244657</v>
      </c>
      <c r="K829" s="83">
        <f>EFEITO!$L$829*EFEITO!$Z$829</f>
        <v>0</v>
      </c>
      <c r="L829" s="83">
        <f>EFEITO!$N$829*EFEITO!$AA$829</f>
        <v>0</v>
      </c>
      <c r="M829" s="83">
        <f ca="1">$J$829-EFEITO!$K$829*EFEITO!$Y$829</f>
        <v>0</v>
      </c>
      <c r="N829" s="83">
        <f>$K$829-EFEITO!$M$829*EFEITO!$Z$829</f>
        <v>0</v>
      </c>
      <c r="O829" s="83">
        <f>$L$829-EFEITO!$O$829*EFEITO!$AA$829</f>
        <v>0</v>
      </c>
      <c r="P829" s="61"/>
      <c r="Q829" s="61"/>
      <c r="R829" s="61"/>
      <c r="S829" s="61"/>
      <c r="T829" s="61"/>
      <c r="U829" s="61"/>
      <c r="V829" s="61"/>
      <c r="W829" s="61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spans="1:36" ht="11.25" customHeight="1" x14ac:dyDescent="0.2">
      <c r="A830" s="57" t="s">
        <v>59</v>
      </c>
      <c r="B830" s="57" t="s">
        <v>35</v>
      </c>
      <c r="C830" s="57" t="s">
        <v>36</v>
      </c>
      <c r="D830" s="57" t="s">
        <v>45</v>
      </c>
      <c r="E830" s="57" t="s">
        <v>25</v>
      </c>
      <c r="F830" s="57" t="s">
        <v>25</v>
      </c>
      <c r="G830" s="57" t="s">
        <v>25</v>
      </c>
      <c r="H830" s="57" t="s">
        <v>25</v>
      </c>
      <c r="I830" s="82">
        <v>44470</v>
      </c>
      <c r="J830" s="83">
        <f ca="1">EFEITO!$J$830*EFEITO!$Y$830</f>
        <v>4274618.8886522176</v>
      </c>
      <c r="K830" s="83">
        <f>EFEITO!$L$830*EFEITO!$Z$830</f>
        <v>0</v>
      </c>
      <c r="L830" s="83">
        <f>EFEITO!$N$830*EFEITO!$AA$830</f>
        <v>0</v>
      </c>
      <c r="M830" s="83">
        <f ca="1">$J$830-EFEITO!$K$830*EFEITO!$Y$830</f>
        <v>0</v>
      </c>
      <c r="N830" s="83">
        <f>$K$830-EFEITO!$M$830*EFEITO!$Z$830</f>
        <v>0</v>
      </c>
      <c r="O830" s="83">
        <f>$L$830-EFEITO!$O$830*EFEITO!$AA$830</f>
        <v>0</v>
      </c>
      <c r="P830" s="61"/>
      <c r="Q830" s="61"/>
      <c r="R830" s="61"/>
      <c r="S830" s="61"/>
      <c r="T830" s="61"/>
      <c r="U830" s="61"/>
      <c r="V830" s="61"/>
      <c r="W830" s="61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spans="1:36" ht="11.25" customHeight="1" x14ac:dyDescent="0.2">
      <c r="A831" s="57" t="s">
        <v>59</v>
      </c>
      <c r="B831" s="57" t="s">
        <v>35</v>
      </c>
      <c r="C831" s="57" t="s">
        <v>36</v>
      </c>
      <c r="D831" s="57" t="s">
        <v>45</v>
      </c>
      <c r="E831" s="57" t="s">
        <v>25</v>
      </c>
      <c r="F831" s="57" t="s">
        <v>25</v>
      </c>
      <c r="G831" s="57" t="s">
        <v>25</v>
      </c>
      <c r="H831" s="57" t="s">
        <v>25</v>
      </c>
      <c r="I831" s="82">
        <v>44470</v>
      </c>
      <c r="J831" s="83">
        <f ca="1">EFEITO!$J$831*EFEITO!$Y$831</f>
        <v>-53707.339628249589</v>
      </c>
      <c r="K831" s="83">
        <f>EFEITO!$L$831*EFEITO!$Z$831</f>
        <v>0</v>
      </c>
      <c r="L831" s="83">
        <f>EFEITO!$N$831*EFEITO!$AA$831</f>
        <v>0</v>
      </c>
      <c r="M831" s="83">
        <f ca="1">$J$831-EFEITO!$K$831*EFEITO!$Y$831</f>
        <v>0</v>
      </c>
      <c r="N831" s="83">
        <f>$K$831-EFEITO!$M$831*EFEITO!$Z$831</f>
        <v>0</v>
      </c>
      <c r="O831" s="83">
        <f>$L$831-EFEITO!$O$831*EFEITO!$AA$831</f>
        <v>0</v>
      </c>
      <c r="P831" s="61"/>
      <c r="Q831" s="61"/>
      <c r="R831" s="61"/>
      <c r="S831" s="61"/>
      <c r="T831" s="61"/>
      <c r="U831" s="61"/>
      <c r="V831" s="61"/>
      <c r="W831" s="61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 spans="1:36" ht="11.25" customHeight="1" x14ac:dyDescent="0.2">
      <c r="A832" s="57" t="s">
        <v>59</v>
      </c>
      <c r="B832" s="57" t="s">
        <v>35</v>
      </c>
      <c r="C832" s="57" t="s">
        <v>36</v>
      </c>
      <c r="D832" s="57" t="s">
        <v>45</v>
      </c>
      <c r="E832" s="57" t="s">
        <v>25</v>
      </c>
      <c r="F832" s="57" t="s">
        <v>25</v>
      </c>
      <c r="G832" s="57" t="s">
        <v>25</v>
      </c>
      <c r="H832" s="57" t="s">
        <v>25</v>
      </c>
      <c r="I832" s="82">
        <v>44470</v>
      </c>
      <c r="J832" s="83">
        <f ca="1">EFEITO!$J$832*EFEITO!$Y$832</f>
        <v>332110.60610786208</v>
      </c>
      <c r="K832" s="83">
        <f>EFEITO!$L$832*EFEITO!$Z$832</f>
        <v>0</v>
      </c>
      <c r="L832" s="83">
        <f>EFEITO!$N$832*EFEITO!$AA$832</f>
        <v>0</v>
      </c>
      <c r="M832" s="83">
        <f ca="1">$J$832-EFEITO!$K$832*EFEITO!$Y$832</f>
        <v>0</v>
      </c>
      <c r="N832" s="83">
        <f>$K$832-EFEITO!$M$832*EFEITO!$Z$832</f>
        <v>0</v>
      </c>
      <c r="O832" s="83">
        <f>$L$832-EFEITO!$O$832*EFEITO!$AA$832</f>
        <v>0</v>
      </c>
      <c r="P832" s="61"/>
      <c r="Q832" s="61"/>
      <c r="R832" s="61"/>
      <c r="S832" s="61"/>
      <c r="T832" s="61"/>
      <c r="U832" s="61"/>
      <c r="V832" s="61"/>
      <c r="W832" s="61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spans="1:36" ht="11.25" customHeight="1" x14ac:dyDescent="0.2">
      <c r="A833" s="57" t="s">
        <v>59</v>
      </c>
      <c r="B833" s="57" t="s">
        <v>35</v>
      </c>
      <c r="C833" s="57" t="s">
        <v>36</v>
      </c>
      <c r="D833" s="57" t="s">
        <v>45</v>
      </c>
      <c r="E833" s="57" t="s">
        <v>25</v>
      </c>
      <c r="F833" s="57" t="s">
        <v>25</v>
      </c>
      <c r="G833" s="57" t="s">
        <v>25</v>
      </c>
      <c r="H833" s="57" t="s">
        <v>25</v>
      </c>
      <c r="I833" s="82">
        <v>44470</v>
      </c>
      <c r="J833" s="83">
        <f ca="1">EFEITO!$J$833*EFEITO!$Y$833</f>
        <v>307779.45700160391</v>
      </c>
      <c r="K833" s="83">
        <f>EFEITO!$L$833*EFEITO!$Z$833</f>
        <v>0</v>
      </c>
      <c r="L833" s="83">
        <f>EFEITO!$N$833*EFEITO!$AA$833</f>
        <v>0</v>
      </c>
      <c r="M833" s="83">
        <f ca="1">$J$833-EFEITO!$K$833*EFEITO!$Y$833</f>
        <v>0</v>
      </c>
      <c r="N833" s="83">
        <f>$K$833-EFEITO!$M$833*EFEITO!$Z$833</f>
        <v>0</v>
      </c>
      <c r="O833" s="83">
        <f>$L$833-EFEITO!$O$833*EFEITO!$AA$833</f>
        <v>0</v>
      </c>
      <c r="P833" s="61"/>
      <c r="Q833" s="61"/>
      <c r="R833" s="61"/>
      <c r="S833" s="61"/>
      <c r="T833" s="61"/>
      <c r="U833" s="61"/>
      <c r="V833" s="61"/>
      <c r="W833" s="61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spans="1:36" ht="11.25" customHeight="1" x14ac:dyDescent="0.2">
      <c r="A834" s="57" t="s">
        <v>59</v>
      </c>
      <c r="B834" s="57" t="s">
        <v>35</v>
      </c>
      <c r="C834" s="57" t="s">
        <v>36</v>
      </c>
      <c r="D834" s="57" t="s">
        <v>45</v>
      </c>
      <c r="E834" s="57" t="s">
        <v>25</v>
      </c>
      <c r="F834" s="57" t="s">
        <v>25</v>
      </c>
      <c r="G834" s="57" t="s">
        <v>25</v>
      </c>
      <c r="H834" s="57" t="s">
        <v>25</v>
      </c>
      <c r="I834" s="82">
        <v>44470</v>
      </c>
      <c r="J834" s="83">
        <f ca="1">EFEITO!$J$834*EFEITO!$Y$834</f>
        <v>18360.119076244657</v>
      </c>
      <c r="K834" s="83">
        <f>EFEITO!$L$834*EFEITO!$Z$834</f>
        <v>0</v>
      </c>
      <c r="L834" s="83">
        <f>EFEITO!$N$834*EFEITO!$AA$834</f>
        <v>0</v>
      </c>
      <c r="M834" s="83">
        <f ca="1">$J$834-EFEITO!$K$834*EFEITO!$Y$834</f>
        <v>0</v>
      </c>
      <c r="N834" s="83">
        <f>$K$834-EFEITO!$M$834*EFEITO!$Z$834</f>
        <v>0</v>
      </c>
      <c r="O834" s="83">
        <f>$L$834-EFEITO!$O$834*EFEITO!$AA$834</f>
        <v>0</v>
      </c>
      <c r="P834" s="61"/>
      <c r="Q834" s="61"/>
      <c r="R834" s="61"/>
      <c r="S834" s="61"/>
      <c r="T834" s="61"/>
      <c r="U834" s="61"/>
      <c r="V834" s="61"/>
      <c r="W834" s="61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spans="1:36" ht="11.25" customHeight="1" x14ac:dyDescent="0.2">
      <c r="A835" s="57" t="s">
        <v>21</v>
      </c>
      <c r="B835" s="57" t="s">
        <v>35</v>
      </c>
      <c r="C835" s="57" t="s">
        <v>36</v>
      </c>
      <c r="D835" s="57" t="s">
        <v>45</v>
      </c>
      <c r="E835" s="57" t="s">
        <v>25</v>
      </c>
      <c r="F835" s="57" t="s">
        <v>25</v>
      </c>
      <c r="G835" s="57" t="s">
        <v>25</v>
      </c>
      <c r="H835" s="57" t="s">
        <v>37</v>
      </c>
      <c r="I835" s="82">
        <v>44136</v>
      </c>
      <c r="J835" s="83">
        <f>EFEITO!$J$835*EFEITO!$Y$835</f>
        <v>0</v>
      </c>
      <c r="K835" s="83">
        <f ca="1">EFEITO!$L$835*EFEITO!$Z$835</f>
        <v>2839947.2714692974</v>
      </c>
      <c r="L835" s="83">
        <f>EFEITO!$N$835*EFEITO!$AA$835</f>
        <v>803409.65145335463</v>
      </c>
      <c r="M835" s="83">
        <f>$J$835-EFEITO!$K$835*EFEITO!$Y$835</f>
        <v>0</v>
      </c>
      <c r="N835" s="83">
        <f ca="1">$K$835-EFEITO!$M$835*EFEITO!$Z$835</f>
        <v>0</v>
      </c>
      <c r="O835" s="83">
        <f>$L$835-EFEITO!$O$835*EFEITO!$AA$835</f>
        <v>0</v>
      </c>
      <c r="P835" s="61"/>
      <c r="Q835" s="61"/>
      <c r="R835" s="61"/>
      <c r="S835" s="61"/>
      <c r="T835" s="61"/>
      <c r="U835" s="61"/>
      <c r="V835" s="61"/>
      <c r="W835" s="61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spans="1:36" ht="11.25" customHeight="1" x14ac:dyDescent="0.2">
      <c r="A836" s="57" t="s">
        <v>27</v>
      </c>
      <c r="B836" s="57" t="s">
        <v>35</v>
      </c>
      <c r="C836" s="57" t="s">
        <v>36</v>
      </c>
      <c r="D836" s="57" t="s">
        <v>45</v>
      </c>
      <c r="E836" s="57" t="s">
        <v>25</v>
      </c>
      <c r="F836" s="57" t="s">
        <v>25</v>
      </c>
      <c r="G836" s="57" t="s">
        <v>25</v>
      </c>
      <c r="H836" s="57" t="s">
        <v>37</v>
      </c>
      <c r="I836" s="82">
        <v>44136</v>
      </c>
      <c r="J836" s="83">
        <f>EFEITO!$J$836*EFEITO!$Y$836</f>
        <v>0</v>
      </c>
      <c r="K836" s="83">
        <f ca="1">EFEITO!$L$836*EFEITO!$Z$836</f>
        <v>4915.9403837868285</v>
      </c>
      <c r="L836" s="83">
        <f>EFEITO!$N$836*EFEITO!$AA$836</f>
        <v>1390.6997464288465</v>
      </c>
      <c r="M836" s="83">
        <f>$J$836-EFEITO!$K$836*EFEITO!$Y$836</f>
        <v>0</v>
      </c>
      <c r="N836" s="83">
        <f ca="1">$K$836-EFEITO!$M$836*EFEITO!$Z$836</f>
        <v>0</v>
      </c>
      <c r="O836" s="83">
        <f>$L$836-EFEITO!$O$836*EFEITO!$AA$836</f>
        <v>0</v>
      </c>
      <c r="P836" s="61"/>
      <c r="Q836" s="61"/>
      <c r="R836" s="61"/>
      <c r="S836" s="61"/>
      <c r="T836" s="61"/>
      <c r="U836" s="61"/>
      <c r="V836" s="61"/>
      <c r="W836" s="61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spans="1:36" ht="11.25" customHeight="1" x14ac:dyDescent="0.2">
      <c r="A837" s="57" t="s">
        <v>28</v>
      </c>
      <c r="B837" s="57" t="s">
        <v>35</v>
      </c>
      <c r="C837" s="57" t="s">
        <v>36</v>
      </c>
      <c r="D837" s="57" t="s">
        <v>45</v>
      </c>
      <c r="E837" s="57" t="s">
        <v>25</v>
      </c>
      <c r="F837" s="57" t="s">
        <v>25</v>
      </c>
      <c r="G837" s="57" t="s">
        <v>25</v>
      </c>
      <c r="H837" s="57" t="s">
        <v>37</v>
      </c>
      <c r="I837" s="82">
        <v>44136</v>
      </c>
      <c r="J837" s="83">
        <f>EFEITO!$J$837*EFEITO!$Y$837</f>
        <v>0</v>
      </c>
      <c r="K837" s="83">
        <f ca="1">EFEITO!$L$837*EFEITO!$Z$837</f>
        <v>227177.15221461927</v>
      </c>
      <c r="L837" s="83">
        <f>EFEITO!$N$837*EFEITO!$AA$837</f>
        <v>64267.501904880395</v>
      </c>
      <c r="M837" s="83">
        <f>$J$837-EFEITO!$K$837*EFEITO!$Y$837</f>
        <v>0</v>
      </c>
      <c r="N837" s="83">
        <f ca="1">$K$837-EFEITO!$M$837*EFEITO!$Z$837</f>
        <v>0</v>
      </c>
      <c r="O837" s="83">
        <f>$L$837-EFEITO!$O$837*EFEITO!$AA$837</f>
        <v>0</v>
      </c>
      <c r="P837" s="61"/>
      <c r="Q837" s="61"/>
      <c r="R837" s="61"/>
      <c r="S837" s="61"/>
      <c r="T837" s="61"/>
      <c r="U837" s="61"/>
      <c r="V837" s="61"/>
      <c r="W837" s="61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spans="1:36" ht="11.25" customHeight="1" x14ac:dyDescent="0.2">
      <c r="A838" s="57" t="s">
        <v>30</v>
      </c>
      <c r="B838" s="57" t="s">
        <v>35</v>
      </c>
      <c r="C838" s="57" t="s">
        <v>36</v>
      </c>
      <c r="D838" s="57" t="s">
        <v>45</v>
      </c>
      <c r="E838" s="57" t="s">
        <v>25</v>
      </c>
      <c r="F838" s="57" t="s">
        <v>25</v>
      </c>
      <c r="G838" s="57" t="s">
        <v>25</v>
      </c>
      <c r="H838" s="57" t="s">
        <v>37</v>
      </c>
      <c r="I838" s="82">
        <v>44136</v>
      </c>
      <c r="J838" s="83">
        <f>EFEITO!$J$838*EFEITO!$Y$838</f>
        <v>0</v>
      </c>
      <c r="K838" s="83">
        <f ca="1">EFEITO!$L$838*EFEITO!$Z$838</f>
        <v>70676.479715678128</v>
      </c>
      <c r="L838" s="83">
        <f>EFEITO!$N$838*EFEITO!$AA$838</f>
        <v>19994.091617393231</v>
      </c>
      <c r="M838" s="83">
        <f>$J$838-EFEITO!$K$838*EFEITO!$Y$838</f>
        <v>0</v>
      </c>
      <c r="N838" s="83">
        <f ca="1">$K$838-EFEITO!$M$838*EFEITO!$Z$838</f>
        <v>0</v>
      </c>
      <c r="O838" s="83">
        <f>$L$838-EFEITO!$O$838*EFEITO!$AA$838</f>
        <v>0</v>
      </c>
      <c r="P838" s="61"/>
      <c r="Q838" s="61"/>
      <c r="R838" s="61"/>
      <c r="S838" s="61"/>
      <c r="T838" s="61"/>
      <c r="U838" s="61"/>
      <c r="V838" s="61"/>
      <c r="W838" s="61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spans="1:36" ht="11.25" customHeight="1" x14ac:dyDescent="0.2">
      <c r="A839" s="57" t="s">
        <v>21</v>
      </c>
      <c r="B839" s="57" t="s">
        <v>35</v>
      </c>
      <c r="C839" s="57" t="s">
        <v>36</v>
      </c>
      <c r="D839" s="57" t="s">
        <v>45</v>
      </c>
      <c r="E839" s="57" t="s">
        <v>25</v>
      </c>
      <c r="F839" s="57" t="s">
        <v>25</v>
      </c>
      <c r="G839" s="57" t="s">
        <v>25</v>
      </c>
      <c r="H839" s="57" t="s">
        <v>37</v>
      </c>
      <c r="I839" s="82">
        <v>44136</v>
      </c>
      <c r="J839" s="83">
        <f>EFEITO!$J$839*EFEITO!$Y$839</f>
        <v>0</v>
      </c>
      <c r="K839" s="83">
        <f ca="1">EFEITO!$L$839*EFEITO!$Z$839</f>
        <v>-33733.854218047149</v>
      </c>
      <c r="L839" s="83">
        <f>EFEITO!$N$839*EFEITO!$AA$839</f>
        <v>0</v>
      </c>
      <c r="M839" s="83">
        <f>$J$839-EFEITO!$K$839*EFEITO!$Y$839</f>
        <v>0</v>
      </c>
      <c r="N839" s="83">
        <f ca="1">$K$839-EFEITO!$M$839*EFEITO!$Z$839</f>
        <v>0</v>
      </c>
      <c r="O839" s="83">
        <f>$L$839-EFEITO!$O$839*EFEITO!$AA$839</f>
        <v>0</v>
      </c>
      <c r="P839" s="61"/>
      <c r="Q839" s="61"/>
      <c r="R839" s="61"/>
      <c r="S839" s="61"/>
      <c r="T839" s="61"/>
      <c r="U839" s="61"/>
      <c r="V839" s="61"/>
      <c r="W839" s="61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spans="1:36" ht="11.25" customHeight="1" x14ac:dyDescent="0.2">
      <c r="A840" s="57" t="s">
        <v>21</v>
      </c>
      <c r="B840" s="57" t="s">
        <v>35</v>
      </c>
      <c r="C840" s="57" t="s">
        <v>36</v>
      </c>
      <c r="D840" s="57" t="s">
        <v>45</v>
      </c>
      <c r="E840" s="57" t="s">
        <v>25</v>
      </c>
      <c r="F840" s="57" t="s">
        <v>25</v>
      </c>
      <c r="G840" s="57" t="s">
        <v>25</v>
      </c>
      <c r="H840" s="57" t="s">
        <v>37</v>
      </c>
      <c r="I840" s="82">
        <v>44166</v>
      </c>
      <c r="J840" s="83">
        <f>EFEITO!$J$840*EFEITO!$Y$840</f>
        <v>0</v>
      </c>
      <c r="K840" s="83">
        <f ca="1">EFEITO!$L$840*EFEITO!$Z$840</f>
        <v>2871980.3805496674</v>
      </c>
      <c r="L840" s="83">
        <f>EFEITO!$N$840*EFEITO!$AA$840</f>
        <v>812471.68906925456</v>
      </c>
      <c r="M840" s="83">
        <f>$J$840-EFEITO!$K$840*EFEITO!$Y$840</f>
        <v>0</v>
      </c>
      <c r="N840" s="83">
        <f ca="1">$K$840-EFEITO!$M$840*EFEITO!$Z$840</f>
        <v>0</v>
      </c>
      <c r="O840" s="83">
        <f>$L$840-EFEITO!$O$840*EFEITO!$AA$840</f>
        <v>0</v>
      </c>
      <c r="P840" s="61"/>
      <c r="Q840" s="61"/>
      <c r="R840" s="61"/>
      <c r="S840" s="61"/>
      <c r="T840" s="61"/>
      <c r="U840" s="61"/>
      <c r="V840" s="61"/>
      <c r="W840" s="61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spans="1:36" ht="11.25" customHeight="1" x14ac:dyDescent="0.2">
      <c r="A841" s="57" t="s">
        <v>27</v>
      </c>
      <c r="B841" s="57" t="s">
        <v>35</v>
      </c>
      <c r="C841" s="57" t="s">
        <v>36</v>
      </c>
      <c r="D841" s="57" t="s">
        <v>45</v>
      </c>
      <c r="E841" s="57" t="s">
        <v>25</v>
      </c>
      <c r="F841" s="57" t="s">
        <v>25</v>
      </c>
      <c r="G841" s="57" t="s">
        <v>25</v>
      </c>
      <c r="H841" s="57" t="s">
        <v>37</v>
      </c>
      <c r="I841" s="82">
        <v>44166</v>
      </c>
      <c r="J841" s="83">
        <f>EFEITO!$J$841*EFEITO!$Y$841</f>
        <v>0</v>
      </c>
      <c r="K841" s="83">
        <f ca="1">EFEITO!$L$841*EFEITO!$Z$841</f>
        <v>-32511.694586533995</v>
      </c>
      <c r="L841" s="83">
        <f>EFEITO!$N$841*EFEITO!$AA$841</f>
        <v>-9197.427529142622</v>
      </c>
      <c r="M841" s="83">
        <f>$J$841-EFEITO!$K$841*EFEITO!$Y$841</f>
        <v>0</v>
      </c>
      <c r="N841" s="83">
        <f ca="1">$K$841-EFEITO!$M$841*EFEITO!$Z$841</f>
        <v>0</v>
      </c>
      <c r="O841" s="83">
        <f>$L$841-EFEITO!$O$841*EFEITO!$AA$841</f>
        <v>0</v>
      </c>
      <c r="P841" s="61"/>
      <c r="Q841" s="61"/>
      <c r="R841" s="61"/>
      <c r="S841" s="61"/>
      <c r="T841" s="61"/>
      <c r="U841" s="61"/>
      <c r="V841" s="61"/>
      <c r="W841" s="61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spans="1:36" ht="11.25" customHeight="1" x14ac:dyDescent="0.2">
      <c r="A842" s="57" t="s">
        <v>28</v>
      </c>
      <c r="B842" s="57" t="s">
        <v>35</v>
      </c>
      <c r="C842" s="57" t="s">
        <v>36</v>
      </c>
      <c r="D842" s="57" t="s">
        <v>45</v>
      </c>
      <c r="E842" s="57" t="s">
        <v>25</v>
      </c>
      <c r="F842" s="57" t="s">
        <v>25</v>
      </c>
      <c r="G842" s="57" t="s">
        <v>25</v>
      </c>
      <c r="H842" s="57" t="s">
        <v>37</v>
      </c>
      <c r="I842" s="82">
        <v>44166</v>
      </c>
      <c r="J842" s="83">
        <f>EFEITO!$J$842*EFEITO!$Y$842</f>
        <v>0</v>
      </c>
      <c r="K842" s="83">
        <f ca="1">EFEITO!$L$842*EFEITO!$Z$842</f>
        <v>235955.50247197924</v>
      </c>
      <c r="L842" s="83">
        <f>EFEITO!$N$842*EFEITO!$AA$842</f>
        <v>66750.861857177064</v>
      </c>
      <c r="M842" s="83">
        <f>$J$842-EFEITO!$K$842*EFEITO!$Y$842</f>
        <v>0</v>
      </c>
      <c r="N842" s="83">
        <f ca="1">$K$842-EFEITO!$M$842*EFEITO!$Z$842</f>
        <v>0</v>
      </c>
      <c r="O842" s="83">
        <f>$L$842-EFEITO!$O$842*EFEITO!$AA$842</f>
        <v>0</v>
      </c>
      <c r="P842" s="61"/>
      <c r="Q842" s="61"/>
      <c r="R842" s="61"/>
      <c r="S842" s="61"/>
      <c r="T842" s="61"/>
      <c r="U842" s="61"/>
      <c r="V842" s="61"/>
      <c r="W842" s="61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spans="1:36" ht="11.25" customHeight="1" x14ac:dyDescent="0.2">
      <c r="A843" s="57" t="s">
        <v>30</v>
      </c>
      <c r="B843" s="57" t="s">
        <v>35</v>
      </c>
      <c r="C843" s="57" t="s">
        <v>36</v>
      </c>
      <c r="D843" s="57" t="s">
        <v>45</v>
      </c>
      <c r="E843" s="57" t="s">
        <v>25</v>
      </c>
      <c r="F843" s="57" t="s">
        <v>25</v>
      </c>
      <c r="G843" s="57" t="s">
        <v>25</v>
      </c>
      <c r="H843" s="57" t="s">
        <v>37</v>
      </c>
      <c r="I843" s="82">
        <v>44166</v>
      </c>
      <c r="J843" s="83">
        <f>EFEITO!$J$843*EFEITO!$Y$843</f>
        <v>0</v>
      </c>
      <c r="K843" s="83">
        <f ca="1">EFEITO!$L$843*EFEITO!$Z$843</f>
        <v>85547.962222658214</v>
      </c>
      <c r="L843" s="83">
        <f>EFEITO!$N$843*EFEITO!$AA$843</f>
        <v>24201.174156410256</v>
      </c>
      <c r="M843" s="83">
        <f>$J$843-EFEITO!$K$843*EFEITO!$Y$843</f>
        <v>0</v>
      </c>
      <c r="N843" s="83">
        <f ca="1">$K$843-EFEITO!$M$843*EFEITO!$Z$843</f>
        <v>0</v>
      </c>
      <c r="O843" s="83">
        <f>$L$843-EFEITO!$O$843*EFEITO!$AA$843</f>
        <v>0</v>
      </c>
      <c r="P843" s="61"/>
      <c r="Q843" s="61"/>
      <c r="R843" s="61"/>
      <c r="S843" s="61"/>
      <c r="T843" s="61"/>
      <c r="U843" s="61"/>
      <c r="V843" s="61"/>
      <c r="W843" s="61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 spans="1:36" ht="11.25" customHeight="1" x14ac:dyDescent="0.2">
      <c r="A844" s="57" t="s">
        <v>21</v>
      </c>
      <c r="B844" s="57" t="s">
        <v>35</v>
      </c>
      <c r="C844" s="57" t="s">
        <v>36</v>
      </c>
      <c r="D844" s="57" t="s">
        <v>45</v>
      </c>
      <c r="E844" s="57" t="s">
        <v>25</v>
      </c>
      <c r="F844" s="57" t="s">
        <v>25</v>
      </c>
      <c r="G844" s="57" t="s">
        <v>25</v>
      </c>
      <c r="H844" s="57" t="s">
        <v>37</v>
      </c>
      <c r="I844" s="82">
        <v>44166</v>
      </c>
      <c r="J844" s="83">
        <f>EFEITO!$J$844*EFEITO!$Y$844</f>
        <v>0</v>
      </c>
      <c r="K844" s="83">
        <f ca="1">EFEITO!$L$844*EFEITO!$Z$844</f>
        <v>42507.386500512832</v>
      </c>
      <c r="L844" s="83">
        <f>EFEITO!$N$844*EFEITO!$AA$844</f>
        <v>0</v>
      </c>
      <c r="M844" s="83">
        <f>$J$844-EFEITO!$K$844*EFEITO!$Y$844</f>
        <v>0</v>
      </c>
      <c r="N844" s="83">
        <f ca="1">$K$844-EFEITO!$M$844*EFEITO!$Z$844</f>
        <v>0</v>
      </c>
      <c r="O844" s="83">
        <f>$L$844-EFEITO!$O$844*EFEITO!$AA$844</f>
        <v>0</v>
      </c>
      <c r="P844" s="61"/>
      <c r="Q844" s="61"/>
      <c r="R844" s="61"/>
      <c r="S844" s="61"/>
      <c r="T844" s="61"/>
      <c r="U844" s="61"/>
      <c r="V844" s="61"/>
      <c r="W844" s="61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 spans="1:36" ht="11.25" customHeight="1" x14ac:dyDescent="0.2">
      <c r="A845" s="57" t="s">
        <v>21</v>
      </c>
      <c r="B845" s="57" t="s">
        <v>35</v>
      </c>
      <c r="C845" s="57" t="s">
        <v>36</v>
      </c>
      <c r="D845" s="57" t="s">
        <v>45</v>
      </c>
      <c r="E845" s="57" t="s">
        <v>25</v>
      </c>
      <c r="F845" s="57" t="s">
        <v>25</v>
      </c>
      <c r="G845" s="57" t="s">
        <v>25</v>
      </c>
      <c r="H845" s="57" t="s">
        <v>37</v>
      </c>
      <c r="I845" s="82">
        <v>44197</v>
      </c>
      <c r="J845" s="83">
        <f>EFEITO!$J$845*EFEITO!$Y$845</f>
        <v>0</v>
      </c>
      <c r="K845" s="83">
        <f ca="1">EFEITO!$L$845*EFEITO!$Z$845</f>
        <v>2111813.1496647974</v>
      </c>
      <c r="L845" s="83">
        <f>EFEITO!$N$845*EFEITO!$AA$845</f>
        <v>597423.43935456697</v>
      </c>
      <c r="M845" s="83">
        <f>$J$845-EFEITO!$K$845*EFEITO!$Y$845</f>
        <v>0</v>
      </c>
      <c r="N845" s="83">
        <f ca="1">$K$845-EFEITO!$M$845*EFEITO!$Z$845</f>
        <v>0</v>
      </c>
      <c r="O845" s="83">
        <f>$L$845-EFEITO!$O$845*EFEITO!$AA$845</f>
        <v>0</v>
      </c>
      <c r="P845" s="61"/>
      <c r="Q845" s="61"/>
      <c r="R845" s="61"/>
      <c r="S845" s="61"/>
      <c r="T845" s="61"/>
      <c r="U845" s="61"/>
      <c r="V845" s="61"/>
      <c r="W845" s="61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 spans="1:36" ht="11.25" customHeight="1" x14ac:dyDescent="0.2">
      <c r="A846" s="57" t="s">
        <v>27</v>
      </c>
      <c r="B846" s="57" t="s">
        <v>35</v>
      </c>
      <c r="C846" s="57" t="s">
        <v>36</v>
      </c>
      <c r="D846" s="57" t="s">
        <v>45</v>
      </c>
      <c r="E846" s="57" t="s">
        <v>25</v>
      </c>
      <c r="F846" s="57" t="s">
        <v>25</v>
      </c>
      <c r="G846" s="57" t="s">
        <v>25</v>
      </c>
      <c r="H846" s="57" t="s">
        <v>37</v>
      </c>
      <c r="I846" s="82">
        <v>44197</v>
      </c>
      <c r="J846" s="83">
        <f>EFEITO!$J$846*EFEITO!$Y$846</f>
        <v>0</v>
      </c>
      <c r="K846" s="83">
        <f ca="1">EFEITO!$L$846*EFEITO!$Z$846</f>
        <v>-30370.907741846691</v>
      </c>
      <c r="L846" s="83">
        <f>EFEITO!$N$846*EFEITO!$AA$846</f>
        <v>-8591.8075480940606</v>
      </c>
      <c r="M846" s="83">
        <f>$J$846-EFEITO!$K$846*EFEITO!$Y$846</f>
        <v>0</v>
      </c>
      <c r="N846" s="83">
        <f ca="1">$K$846-EFEITO!$M$846*EFEITO!$Z$846</f>
        <v>0</v>
      </c>
      <c r="O846" s="83">
        <f>$L$846-EFEITO!$O$846*EFEITO!$AA$846</f>
        <v>0</v>
      </c>
      <c r="P846" s="61"/>
      <c r="Q846" s="61"/>
      <c r="R846" s="61"/>
      <c r="S846" s="61"/>
      <c r="T846" s="61"/>
      <c r="U846" s="61"/>
      <c r="V846" s="61"/>
      <c r="W846" s="61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 spans="1:36" ht="11.25" customHeight="1" x14ac:dyDescent="0.2">
      <c r="A847" s="57" t="s">
        <v>28</v>
      </c>
      <c r="B847" s="57" t="s">
        <v>35</v>
      </c>
      <c r="C847" s="57" t="s">
        <v>36</v>
      </c>
      <c r="D847" s="57" t="s">
        <v>45</v>
      </c>
      <c r="E847" s="57" t="s">
        <v>25</v>
      </c>
      <c r="F847" s="57" t="s">
        <v>25</v>
      </c>
      <c r="G847" s="57" t="s">
        <v>25</v>
      </c>
      <c r="H847" s="57" t="s">
        <v>37</v>
      </c>
      <c r="I847" s="82">
        <v>44197</v>
      </c>
      <c r="J847" s="83">
        <f>EFEITO!$J$847*EFEITO!$Y$847</f>
        <v>0</v>
      </c>
      <c r="K847" s="83">
        <f ca="1">EFEITO!$L$847*EFEITO!$Z$847</f>
        <v>194239.8698457581</v>
      </c>
      <c r="L847" s="83">
        <f>EFEITO!$N$847*EFEITO!$AA$847</f>
        <v>54949.67730523675</v>
      </c>
      <c r="M847" s="83">
        <f>$J$847-EFEITO!$K$847*EFEITO!$Y$847</f>
        <v>0</v>
      </c>
      <c r="N847" s="83">
        <f ca="1">$K$847-EFEITO!$M$847*EFEITO!$Z$847</f>
        <v>0</v>
      </c>
      <c r="O847" s="83">
        <f>$L$847-EFEITO!$O$847*EFEITO!$AA$847</f>
        <v>0</v>
      </c>
      <c r="P847" s="61"/>
      <c r="Q847" s="61"/>
      <c r="R847" s="61"/>
      <c r="S847" s="61"/>
      <c r="T847" s="61"/>
      <c r="U847" s="61"/>
      <c r="V847" s="61"/>
      <c r="W847" s="61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 spans="1:36" ht="11.25" customHeight="1" x14ac:dyDescent="0.2">
      <c r="A848" s="57" t="s">
        <v>29</v>
      </c>
      <c r="B848" s="57" t="s">
        <v>35</v>
      </c>
      <c r="C848" s="57" t="s">
        <v>36</v>
      </c>
      <c r="D848" s="57" t="s">
        <v>45</v>
      </c>
      <c r="E848" s="57" t="s">
        <v>25</v>
      </c>
      <c r="F848" s="57" t="s">
        <v>25</v>
      </c>
      <c r="G848" s="57" t="s">
        <v>25</v>
      </c>
      <c r="H848" s="57" t="s">
        <v>37</v>
      </c>
      <c r="I848" s="82">
        <v>44197</v>
      </c>
      <c r="J848" s="83">
        <f>EFEITO!$J$848*EFEITO!$Y$848</f>
        <v>0</v>
      </c>
      <c r="K848" s="83">
        <f ca="1">EFEITO!$L$848*EFEITO!$Z$848</f>
        <v>-23656.256730865727</v>
      </c>
      <c r="L848" s="83">
        <f>EFEITO!$N$848*EFEITO!$AA$848</f>
        <v>-6692.2598055853996</v>
      </c>
      <c r="M848" s="83">
        <f>$J$848-EFEITO!$K$848*EFEITO!$Y$848</f>
        <v>0</v>
      </c>
      <c r="N848" s="83">
        <f ca="1">$K$848-EFEITO!$M$848*EFEITO!$Z$848</f>
        <v>0</v>
      </c>
      <c r="O848" s="83">
        <f>$L$848-EFEITO!$O$848*EFEITO!$AA$848</f>
        <v>0</v>
      </c>
      <c r="P848" s="61"/>
      <c r="Q848" s="61"/>
      <c r="R848" s="61"/>
      <c r="S848" s="61"/>
      <c r="T848" s="61"/>
      <c r="U848" s="61"/>
      <c r="V848" s="61"/>
      <c r="W848" s="61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spans="1:36" ht="11.25" customHeight="1" x14ac:dyDescent="0.2">
      <c r="A849" s="57" t="s">
        <v>30</v>
      </c>
      <c r="B849" s="57" t="s">
        <v>35</v>
      </c>
      <c r="C849" s="57" t="s">
        <v>36</v>
      </c>
      <c r="D849" s="57" t="s">
        <v>45</v>
      </c>
      <c r="E849" s="57" t="s">
        <v>25</v>
      </c>
      <c r="F849" s="57" t="s">
        <v>25</v>
      </c>
      <c r="G849" s="57" t="s">
        <v>25</v>
      </c>
      <c r="H849" s="57" t="s">
        <v>37</v>
      </c>
      <c r="I849" s="82">
        <v>44197</v>
      </c>
      <c r="J849" s="83">
        <f>EFEITO!$J$849*EFEITO!$Y$849</f>
        <v>0</v>
      </c>
      <c r="K849" s="83">
        <f ca="1">EFEITO!$L$849*EFEITO!$Z$849</f>
        <v>66488.053540926077</v>
      </c>
      <c r="L849" s="83">
        <f>EFEITO!$N$849*EFEITO!$AA$849</f>
        <v>18809.20271223595</v>
      </c>
      <c r="M849" s="83">
        <f>$J$849-EFEITO!$K$849*EFEITO!$Y$849</f>
        <v>0</v>
      </c>
      <c r="N849" s="83">
        <f ca="1">$K$849-EFEITO!$M$849*EFEITO!$Z$849</f>
        <v>0</v>
      </c>
      <c r="O849" s="83">
        <f>$L$849-EFEITO!$O$849*EFEITO!$AA$849</f>
        <v>0</v>
      </c>
      <c r="P849" s="61"/>
      <c r="Q849" s="61"/>
      <c r="R849" s="61"/>
      <c r="S849" s="61"/>
      <c r="T849" s="61"/>
      <c r="U849" s="61"/>
      <c r="V849" s="61"/>
      <c r="W849" s="61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spans="1:36" ht="11.25" customHeight="1" x14ac:dyDescent="0.2">
      <c r="A850" s="57" t="s">
        <v>21</v>
      </c>
      <c r="B850" s="57" t="s">
        <v>35</v>
      </c>
      <c r="C850" s="57" t="s">
        <v>36</v>
      </c>
      <c r="D850" s="57" t="s">
        <v>45</v>
      </c>
      <c r="E850" s="57" t="s">
        <v>25</v>
      </c>
      <c r="F850" s="57" t="s">
        <v>25</v>
      </c>
      <c r="G850" s="57" t="s">
        <v>25</v>
      </c>
      <c r="H850" s="57" t="s">
        <v>37</v>
      </c>
      <c r="I850" s="82">
        <v>44197</v>
      </c>
      <c r="J850" s="83">
        <f>EFEITO!$J$850*EFEITO!$Y$850</f>
        <v>0</v>
      </c>
      <c r="K850" s="83">
        <f ca="1">EFEITO!$L$850*EFEITO!$Z$850</f>
        <v>4426.1129362027114</v>
      </c>
      <c r="L850" s="83">
        <f>EFEITO!$N$850*EFEITO!$AA$850</f>
        <v>0</v>
      </c>
      <c r="M850" s="83">
        <f>$J$850-EFEITO!$K$850*EFEITO!$Y$850</f>
        <v>0</v>
      </c>
      <c r="N850" s="83">
        <f ca="1">$K$850-EFEITO!$M$850*EFEITO!$Z$850</f>
        <v>0</v>
      </c>
      <c r="O850" s="83">
        <f>$L$850-EFEITO!$O$850*EFEITO!$AA$850</f>
        <v>0</v>
      </c>
      <c r="P850" s="61"/>
      <c r="Q850" s="61"/>
      <c r="R850" s="61"/>
      <c r="S850" s="61"/>
      <c r="T850" s="61"/>
      <c r="U850" s="61"/>
      <c r="V850" s="61"/>
      <c r="W850" s="61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 spans="1:36" ht="11.25" customHeight="1" x14ac:dyDescent="0.2">
      <c r="A851" s="57" t="s">
        <v>21</v>
      </c>
      <c r="B851" s="57" t="s">
        <v>35</v>
      </c>
      <c r="C851" s="57" t="s">
        <v>36</v>
      </c>
      <c r="D851" s="57" t="s">
        <v>45</v>
      </c>
      <c r="E851" s="57" t="s">
        <v>25</v>
      </c>
      <c r="F851" s="57" t="s">
        <v>25</v>
      </c>
      <c r="G851" s="57" t="s">
        <v>25</v>
      </c>
      <c r="H851" s="57" t="s">
        <v>37</v>
      </c>
      <c r="I851" s="82">
        <v>44228</v>
      </c>
      <c r="J851" s="83">
        <f>EFEITO!$J$851*EFEITO!$Y$851</f>
        <v>0</v>
      </c>
      <c r="K851" s="83">
        <f ca="1">EFEITO!$L$851*EFEITO!$Z$851</f>
        <v>2031174.7038594002</v>
      </c>
      <c r="L851" s="83">
        <f>EFEITO!$N$851*EFEITO!$AA$851</f>
        <v>574611.14763031388</v>
      </c>
      <c r="M851" s="83">
        <f>$J$851-EFEITO!$K$851*EFEITO!$Y$851</f>
        <v>0</v>
      </c>
      <c r="N851" s="83">
        <f ca="1">$K$851-EFEITO!$M$851*EFEITO!$Z$851</f>
        <v>0</v>
      </c>
      <c r="O851" s="83">
        <f>$L$851-EFEITO!$O$851*EFEITO!$AA$851</f>
        <v>0</v>
      </c>
      <c r="P851" s="61"/>
      <c r="Q851" s="61"/>
      <c r="R851" s="61"/>
      <c r="S851" s="61"/>
      <c r="T851" s="61"/>
      <c r="U851" s="61"/>
      <c r="V851" s="61"/>
      <c r="W851" s="61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spans="1:36" ht="11.25" customHeight="1" x14ac:dyDescent="0.2">
      <c r="A852" s="57" t="s">
        <v>27</v>
      </c>
      <c r="B852" s="57" t="s">
        <v>35</v>
      </c>
      <c r="C852" s="57" t="s">
        <v>36</v>
      </c>
      <c r="D852" s="57" t="s">
        <v>45</v>
      </c>
      <c r="E852" s="57" t="s">
        <v>25</v>
      </c>
      <c r="F852" s="57" t="s">
        <v>25</v>
      </c>
      <c r="G852" s="57" t="s">
        <v>25</v>
      </c>
      <c r="H852" s="57" t="s">
        <v>37</v>
      </c>
      <c r="I852" s="82">
        <v>44228</v>
      </c>
      <c r="J852" s="83">
        <f>EFEITO!$J$852*EFEITO!$Y$852</f>
        <v>0</v>
      </c>
      <c r="K852" s="83">
        <f ca="1">EFEITO!$L$852*EFEITO!$Z$852</f>
        <v>-96.359497885400103</v>
      </c>
      <c r="L852" s="83">
        <f>EFEITO!$N$852*EFEITO!$AA$852</f>
        <v>-27.259714075704274</v>
      </c>
      <c r="M852" s="83">
        <f>$J$852-EFEITO!$K$852*EFEITO!$Y$852</f>
        <v>0</v>
      </c>
      <c r="N852" s="83">
        <f ca="1">$K$852-EFEITO!$M$852*EFEITO!$Z$852</f>
        <v>0</v>
      </c>
      <c r="O852" s="83">
        <f>$L$852-EFEITO!$O$852*EFEITO!$AA$852</f>
        <v>0</v>
      </c>
      <c r="P852" s="61"/>
      <c r="Q852" s="61"/>
      <c r="R852" s="61"/>
      <c r="S852" s="61"/>
      <c r="T852" s="61"/>
      <c r="U852" s="61"/>
      <c r="V852" s="61"/>
      <c r="W852" s="61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 spans="1:36" ht="11.25" customHeight="1" x14ac:dyDescent="0.2">
      <c r="A853" s="57" t="s">
        <v>28</v>
      </c>
      <c r="B853" s="57" t="s">
        <v>35</v>
      </c>
      <c r="C853" s="57" t="s">
        <v>36</v>
      </c>
      <c r="D853" s="57" t="s">
        <v>45</v>
      </c>
      <c r="E853" s="57" t="s">
        <v>25</v>
      </c>
      <c r="F853" s="57" t="s">
        <v>25</v>
      </c>
      <c r="G853" s="57" t="s">
        <v>25</v>
      </c>
      <c r="H853" s="57" t="s">
        <v>37</v>
      </c>
      <c r="I853" s="82">
        <v>44228</v>
      </c>
      <c r="J853" s="83">
        <f>EFEITO!$J$853*EFEITO!$Y$853</f>
        <v>0</v>
      </c>
      <c r="K853" s="83">
        <f ca="1">EFEITO!$L$853*EFEITO!$Z$853</f>
        <v>158395.7426240207</v>
      </c>
      <c r="L853" s="83">
        <f>EFEITO!$N$853*EFEITO!$AA$853</f>
        <v>44809.517997642688</v>
      </c>
      <c r="M853" s="83">
        <f>$J$853-EFEITO!$K$853*EFEITO!$Y$853</f>
        <v>0</v>
      </c>
      <c r="N853" s="83">
        <f ca="1">$K$853-EFEITO!$M$853*EFEITO!$Z$853</f>
        <v>0</v>
      </c>
      <c r="O853" s="83">
        <f>$L$853-EFEITO!$O$853*EFEITO!$AA$853</f>
        <v>0</v>
      </c>
      <c r="P853" s="61"/>
      <c r="Q853" s="61"/>
      <c r="R853" s="61"/>
      <c r="S853" s="61"/>
      <c r="T853" s="61"/>
      <c r="U853" s="61"/>
      <c r="V853" s="61"/>
      <c r="W853" s="61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spans="1:36" ht="11.25" customHeight="1" x14ac:dyDescent="0.2">
      <c r="A854" s="57" t="s">
        <v>29</v>
      </c>
      <c r="B854" s="57" t="s">
        <v>35</v>
      </c>
      <c r="C854" s="57" t="s">
        <v>36</v>
      </c>
      <c r="D854" s="57" t="s">
        <v>45</v>
      </c>
      <c r="E854" s="57" t="s">
        <v>25</v>
      </c>
      <c r="F854" s="57" t="s">
        <v>25</v>
      </c>
      <c r="G854" s="57" t="s">
        <v>25</v>
      </c>
      <c r="H854" s="57" t="s">
        <v>37</v>
      </c>
      <c r="I854" s="82">
        <v>44228</v>
      </c>
      <c r="J854" s="83">
        <f>EFEITO!$J$854*EFEITO!$Y$854</f>
        <v>0</v>
      </c>
      <c r="K854" s="83">
        <f ca="1">EFEITO!$L$854*EFEITO!$Z$854</f>
        <v>-1243.0375227216614</v>
      </c>
      <c r="L854" s="83">
        <f>EFEITO!$N$854*EFEITO!$AA$854</f>
        <v>-351.65031157658518</v>
      </c>
      <c r="M854" s="83">
        <f>$J$854-EFEITO!$K$854*EFEITO!$Y$854</f>
        <v>0</v>
      </c>
      <c r="N854" s="83">
        <f ca="1">$K$854-EFEITO!$M$854*EFEITO!$Z$854</f>
        <v>0</v>
      </c>
      <c r="O854" s="83">
        <f>$L$854-EFEITO!$O$854*EFEITO!$AA$854</f>
        <v>0</v>
      </c>
      <c r="P854" s="61"/>
      <c r="Q854" s="61"/>
      <c r="R854" s="61"/>
      <c r="S854" s="61"/>
      <c r="T854" s="61"/>
      <c r="U854" s="61"/>
      <c r="V854" s="61"/>
      <c r="W854" s="61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spans="1:36" ht="11.25" customHeight="1" x14ac:dyDescent="0.2">
      <c r="A855" s="57" t="s">
        <v>30</v>
      </c>
      <c r="B855" s="57" t="s">
        <v>35</v>
      </c>
      <c r="C855" s="57" t="s">
        <v>36</v>
      </c>
      <c r="D855" s="57" t="s">
        <v>45</v>
      </c>
      <c r="E855" s="57" t="s">
        <v>25</v>
      </c>
      <c r="F855" s="57" t="s">
        <v>25</v>
      </c>
      <c r="G855" s="57" t="s">
        <v>25</v>
      </c>
      <c r="H855" s="57" t="s">
        <v>37</v>
      </c>
      <c r="I855" s="82">
        <v>44228</v>
      </c>
      <c r="J855" s="83">
        <f>EFEITO!$J$855*EFEITO!$Y$855</f>
        <v>0</v>
      </c>
      <c r="K855" s="83">
        <f ca="1">EFEITO!$L$855*EFEITO!$Z$855</f>
        <v>70536.7584437443</v>
      </c>
      <c r="L855" s="83">
        <f>EFEITO!$N$855*EFEITO!$AA$855</f>
        <v>19954.565031983457</v>
      </c>
      <c r="M855" s="83">
        <f>$J$855-EFEITO!$K$855*EFEITO!$Y$855</f>
        <v>0</v>
      </c>
      <c r="N855" s="83">
        <f ca="1">$K$855-EFEITO!$M$855*EFEITO!$Z$855</f>
        <v>0</v>
      </c>
      <c r="O855" s="83">
        <f>$L$855-EFEITO!$O$855*EFEITO!$AA$855</f>
        <v>0</v>
      </c>
      <c r="P855" s="61"/>
      <c r="Q855" s="61"/>
      <c r="R855" s="61"/>
      <c r="S855" s="61"/>
      <c r="T855" s="61"/>
      <c r="U855" s="61"/>
      <c r="V855" s="61"/>
      <c r="W855" s="61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 spans="1:36" ht="11.25" customHeight="1" x14ac:dyDescent="0.2">
      <c r="A856" s="57" t="s">
        <v>21</v>
      </c>
      <c r="B856" s="57" t="s">
        <v>35</v>
      </c>
      <c r="C856" s="57" t="s">
        <v>36</v>
      </c>
      <c r="D856" s="57" t="s">
        <v>45</v>
      </c>
      <c r="E856" s="57" t="s">
        <v>25</v>
      </c>
      <c r="F856" s="57" t="s">
        <v>25</v>
      </c>
      <c r="G856" s="57" t="s">
        <v>25</v>
      </c>
      <c r="H856" s="57" t="s">
        <v>37</v>
      </c>
      <c r="I856" s="82">
        <v>44228</v>
      </c>
      <c r="J856" s="83">
        <f>EFEITO!$J$856*EFEITO!$Y$856</f>
        <v>0</v>
      </c>
      <c r="K856" s="83">
        <f ca="1">EFEITO!$L$856*EFEITO!$Z$856</f>
        <v>4056.734860975344</v>
      </c>
      <c r="L856" s="83">
        <f>EFEITO!$N$856*EFEITO!$AA$856</f>
        <v>0</v>
      </c>
      <c r="M856" s="83">
        <f>$J$856-EFEITO!$K$856*EFEITO!$Y$856</f>
        <v>0</v>
      </c>
      <c r="N856" s="83">
        <f ca="1">$K$856-EFEITO!$M$856*EFEITO!$Z$856</f>
        <v>0</v>
      </c>
      <c r="O856" s="83">
        <f>$L$856-EFEITO!$O$856*EFEITO!$AA$856</f>
        <v>0</v>
      </c>
      <c r="P856" s="61"/>
      <c r="Q856" s="61"/>
      <c r="R856" s="61"/>
      <c r="S856" s="61"/>
      <c r="T856" s="61"/>
      <c r="U856" s="61"/>
      <c r="V856" s="61"/>
      <c r="W856" s="61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spans="1:36" ht="11.25" customHeight="1" x14ac:dyDescent="0.2">
      <c r="A857" s="57" t="s">
        <v>21</v>
      </c>
      <c r="B857" s="57" t="s">
        <v>35</v>
      </c>
      <c r="C857" s="57" t="s">
        <v>36</v>
      </c>
      <c r="D857" s="57" t="s">
        <v>45</v>
      </c>
      <c r="E857" s="57" t="s">
        <v>25</v>
      </c>
      <c r="F857" s="57" t="s">
        <v>25</v>
      </c>
      <c r="G857" s="57" t="s">
        <v>25</v>
      </c>
      <c r="H857" s="57" t="s">
        <v>37</v>
      </c>
      <c r="I857" s="82">
        <v>44256</v>
      </c>
      <c r="J857" s="83">
        <f>EFEITO!$J$857*EFEITO!$Y$857</f>
        <v>0</v>
      </c>
      <c r="K857" s="83">
        <f ca="1">EFEITO!$L$857*EFEITO!$Z$857</f>
        <v>2482273.6632517437</v>
      </c>
      <c r="L857" s="83">
        <f>EFEITO!$N$857*EFEITO!$AA$857</f>
        <v>702225.22743288381</v>
      </c>
      <c r="M857" s="83">
        <f>$J$857-EFEITO!$K$857*EFEITO!$Y$857</f>
        <v>0</v>
      </c>
      <c r="N857" s="83">
        <f ca="1">$K$857-EFEITO!$M$857*EFEITO!$Z$857</f>
        <v>0</v>
      </c>
      <c r="O857" s="83">
        <f>$L$857-EFEITO!$O$857*EFEITO!$AA$857</f>
        <v>0</v>
      </c>
      <c r="P857" s="61"/>
      <c r="Q857" s="61"/>
      <c r="R857" s="61"/>
      <c r="S857" s="61"/>
      <c r="T857" s="61"/>
      <c r="U857" s="61"/>
      <c r="V857" s="61"/>
      <c r="W857" s="61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 spans="1:36" ht="11.25" customHeight="1" x14ac:dyDescent="0.2">
      <c r="A858" s="57" t="s">
        <v>27</v>
      </c>
      <c r="B858" s="57" t="s">
        <v>35</v>
      </c>
      <c r="C858" s="57" t="s">
        <v>36</v>
      </c>
      <c r="D858" s="57" t="s">
        <v>45</v>
      </c>
      <c r="E858" s="57" t="s">
        <v>25</v>
      </c>
      <c r="F858" s="57" t="s">
        <v>25</v>
      </c>
      <c r="G858" s="57" t="s">
        <v>25</v>
      </c>
      <c r="H858" s="57" t="s">
        <v>37</v>
      </c>
      <c r="I858" s="82">
        <v>44256</v>
      </c>
      <c r="J858" s="83">
        <f>EFEITO!$J$858*EFEITO!$Y$858</f>
        <v>0</v>
      </c>
      <c r="K858" s="83">
        <f ca="1">EFEITO!$L$858*EFEITO!$Z$858</f>
        <v>-20204.980714936977</v>
      </c>
      <c r="L858" s="83">
        <f>EFEITO!$N$858*EFEITO!$AA$858</f>
        <v>-5715.9077131072581</v>
      </c>
      <c r="M858" s="83">
        <f>$J$858-EFEITO!$K$858*EFEITO!$Y$858</f>
        <v>0</v>
      </c>
      <c r="N858" s="83">
        <f ca="1">$K$858-EFEITO!$M$858*EFEITO!$Z$858</f>
        <v>0</v>
      </c>
      <c r="O858" s="83">
        <f>$L$858-EFEITO!$O$858*EFEITO!$AA$858</f>
        <v>0</v>
      </c>
      <c r="P858" s="61"/>
      <c r="Q858" s="61"/>
      <c r="R858" s="61"/>
      <c r="S858" s="61"/>
      <c r="T858" s="61"/>
      <c r="U858" s="61"/>
      <c r="V858" s="61"/>
      <c r="W858" s="61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 spans="1:36" ht="11.25" customHeight="1" x14ac:dyDescent="0.2">
      <c r="A859" s="57" t="s">
        <v>28</v>
      </c>
      <c r="B859" s="57" t="s">
        <v>35</v>
      </c>
      <c r="C859" s="57" t="s">
        <v>36</v>
      </c>
      <c r="D859" s="57" t="s">
        <v>45</v>
      </c>
      <c r="E859" s="57" t="s">
        <v>25</v>
      </c>
      <c r="F859" s="57" t="s">
        <v>25</v>
      </c>
      <c r="G859" s="57" t="s">
        <v>25</v>
      </c>
      <c r="H859" s="57" t="s">
        <v>37</v>
      </c>
      <c r="I859" s="82">
        <v>44256</v>
      </c>
      <c r="J859" s="83">
        <f>EFEITO!$J$859*EFEITO!$Y$859</f>
        <v>0</v>
      </c>
      <c r="K859" s="83">
        <f ca="1">EFEITO!$L$859*EFEITO!$Z$859</f>
        <v>175428.88986689658</v>
      </c>
      <c r="L859" s="83">
        <f>EFEITO!$N$859*EFEITO!$AA$859</f>
        <v>49628.126789091344</v>
      </c>
      <c r="M859" s="83">
        <f>$J$859-EFEITO!$K$859*EFEITO!$Y$859</f>
        <v>0</v>
      </c>
      <c r="N859" s="83">
        <f ca="1">$K$859-EFEITO!$M$859*EFEITO!$Z$859</f>
        <v>0</v>
      </c>
      <c r="O859" s="83">
        <f>$L$859-EFEITO!$O$859*EFEITO!$AA$859</f>
        <v>0</v>
      </c>
      <c r="P859" s="61"/>
      <c r="Q859" s="61"/>
      <c r="R859" s="61"/>
      <c r="S859" s="61"/>
      <c r="T859" s="61"/>
      <c r="U859" s="61"/>
      <c r="V859" s="61"/>
      <c r="W859" s="61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spans="1:36" ht="11.25" customHeight="1" x14ac:dyDescent="0.2">
      <c r="A860" s="57" t="s">
        <v>30</v>
      </c>
      <c r="B860" s="57" t="s">
        <v>35</v>
      </c>
      <c r="C860" s="57" t="s">
        <v>36</v>
      </c>
      <c r="D860" s="57" t="s">
        <v>45</v>
      </c>
      <c r="E860" s="57" t="s">
        <v>25</v>
      </c>
      <c r="F860" s="57" t="s">
        <v>25</v>
      </c>
      <c r="G860" s="57" t="s">
        <v>25</v>
      </c>
      <c r="H860" s="57" t="s">
        <v>37</v>
      </c>
      <c r="I860" s="82">
        <v>44256</v>
      </c>
      <c r="J860" s="83">
        <f>EFEITO!$J$860*EFEITO!$Y$860</f>
        <v>0</v>
      </c>
      <c r="K860" s="83">
        <f ca="1">EFEITO!$L$860*EFEITO!$Z$860</f>
        <v>106207.438569288</v>
      </c>
      <c r="L860" s="83">
        <f>EFEITO!$N$860*EFEITO!$AA$860</f>
        <v>30045.656854241253</v>
      </c>
      <c r="M860" s="83">
        <f>$J$860-EFEITO!$K$860*EFEITO!$Y$860</f>
        <v>0</v>
      </c>
      <c r="N860" s="83">
        <f ca="1">$K$860-EFEITO!$M$860*EFEITO!$Z$860</f>
        <v>0</v>
      </c>
      <c r="O860" s="83">
        <f>$L$860-EFEITO!$O$860*EFEITO!$AA$860</f>
        <v>0</v>
      </c>
      <c r="P860" s="61"/>
      <c r="Q860" s="61"/>
      <c r="R860" s="61"/>
      <c r="S860" s="61"/>
      <c r="T860" s="61"/>
      <c r="U860" s="61"/>
      <c r="V860" s="61"/>
      <c r="W860" s="61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 spans="1:36" ht="11.25" customHeight="1" x14ac:dyDescent="0.2">
      <c r="A861" s="57" t="s">
        <v>21</v>
      </c>
      <c r="B861" s="57" t="s">
        <v>35</v>
      </c>
      <c r="C861" s="57" t="s">
        <v>36</v>
      </c>
      <c r="D861" s="57" t="s">
        <v>45</v>
      </c>
      <c r="E861" s="57" t="s">
        <v>25</v>
      </c>
      <c r="F861" s="57" t="s">
        <v>25</v>
      </c>
      <c r="G861" s="57" t="s">
        <v>25</v>
      </c>
      <c r="H861" s="57" t="s">
        <v>37</v>
      </c>
      <c r="I861" s="82">
        <v>44256</v>
      </c>
      <c r="J861" s="83">
        <f>EFEITO!$J$861*EFEITO!$Y$861</f>
        <v>0</v>
      </c>
      <c r="K861" s="83">
        <f ca="1">EFEITO!$L$861*EFEITO!$Z$861</f>
        <v>5272.470525962809</v>
      </c>
      <c r="L861" s="83">
        <f>EFEITO!$N$861*EFEITO!$AA$861</f>
        <v>0</v>
      </c>
      <c r="M861" s="83">
        <f>$J$861-EFEITO!$K$861*EFEITO!$Y$861</f>
        <v>0</v>
      </c>
      <c r="N861" s="83">
        <f ca="1">$K$861-EFEITO!$M$861*EFEITO!$Z$861</f>
        <v>0</v>
      </c>
      <c r="O861" s="83">
        <f>$L$861-EFEITO!$O$861*EFEITO!$AA$861</f>
        <v>0</v>
      </c>
      <c r="P861" s="61"/>
      <c r="Q861" s="61"/>
      <c r="R861" s="61"/>
      <c r="S861" s="61"/>
      <c r="T861" s="61"/>
      <c r="U861" s="61"/>
      <c r="V861" s="61"/>
      <c r="W861" s="61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spans="1:36" ht="11.25" customHeight="1" x14ac:dyDescent="0.2">
      <c r="A862" s="57" t="s">
        <v>21</v>
      </c>
      <c r="B862" s="57" t="s">
        <v>35</v>
      </c>
      <c r="C862" s="57" t="s">
        <v>36</v>
      </c>
      <c r="D862" s="57" t="s">
        <v>45</v>
      </c>
      <c r="E862" s="57" t="s">
        <v>25</v>
      </c>
      <c r="F862" s="57" t="s">
        <v>25</v>
      </c>
      <c r="G862" s="57" t="s">
        <v>25</v>
      </c>
      <c r="H862" s="57" t="s">
        <v>37</v>
      </c>
      <c r="I862" s="82">
        <v>44287</v>
      </c>
      <c r="J862" s="83">
        <f>EFEITO!$J$862*EFEITO!$Y$862</f>
        <v>0</v>
      </c>
      <c r="K862" s="83">
        <f ca="1">EFEITO!$L$862*EFEITO!$Z$862</f>
        <v>2340014.924540265</v>
      </c>
      <c r="L862" s="83">
        <f>EFEITO!$N$862*EFEITO!$AA$862</f>
        <v>661980.8028857857</v>
      </c>
      <c r="M862" s="83">
        <f>$J$862-EFEITO!$K$862*EFEITO!$Y$862</f>
        <v>0</v>
      </c>
      <c r="N862" s="83">
        <f ca="1">$K$862-EFEITO!$M$862*EFEITO!$Z$862</f>
        <v>0</v>
      </c>
      <c r="O862" s="83">
        <f>$L$862-EFEITO!$O$862*EFEITO!$AA$862</f>
        <v>0</v>
      </c>
      <c r="P862" s="61"/>
      <c r="Q862" s="61"/>
      <c r="R862" s="61"/>
      <c r="S862" s="61"/>
      <c r="T862" s="61"/>
      <c r="U862" s="61"/>
      <c r="V862" s="61"/>
      <c r="W862" s="61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 spans="1:36" ht="11.25" customHeight="1" x14ac:dyDescent="0.2">
      <c r="A863" s="57" t="s">
        <v>27</v>
      </c>
      <c r="B863" s="57" t="s">
        <v>35</v>
      </c>
      <c r="C863" s="57" t="s">
        <v>36</v>
      </c>
      <c r="D863" s="57" t="s">
        <v>45</v>
      </c>
      <c r="E863" s="57" t="s">
        <v>25</v>
      </c>
      <c r="F863" s="57" t="s">
        <v>25</v>
      </c>
      <c r="G863" s="57" t="s">
        <v>25</v>
      </c>
      <c r="H863" s="57" t="s">
        <v>37</v>
      </c>
      <c r="I863" s="82">
        <v>44287</v>
      </c>
      <c r="J863" s="83">
        <f>EFEITO!$J$863*EFEITO!$Y$863</f>
        <v>0</v>
      </c>
      <c r="K863" s="83">
        <f ca="1">EFEITO!$L$863*EFEITO!$Z$863</f>
        <v>-90253.517702728583</v>
      </c>
      <c r="L863" s="83">
        <f>EFEITO!$N$863*EFEITO!$AA$863</f>
        <v>-25532.356860440483</v>
      </c>
      <c r="M863" s="83">
        <f>$J$863-EFEITO!$K$863*EFEITO!$Y$863</f>
        <v>0</v>
      </c>
      <c r="N863" s="83">
        <f ca="1">$K$863-EFEITO!$M$863*EFEITO!$Z$863</f>
        <v>0</v>
      </c>
      <c r="O863" s="83">
        <f>$L$863-EFEITO!$O$863*EFEITO!$AA$863</f>
        <v>0</v>
      </c>
      <c r="P863" s="61"/>
      <c r="Q863" s="61"/>
      <c r="R863" s="61"/>
      <c r="S863" s="61"/>
      <c r="T863" s="61"/>
      <c r="U863" s="61"/>
      <c r="V863" s="61"/>
      <c r="W863" s="61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 spans="1:36" ht="11.25" customHeight="1" x14ac:dyDescent="0.2">
      <c r="A864" s="57" t="s">
        <v>28</v>
      </c>
      <c r="B864" s="57" t="s">
        <v>35</v>
      </c>
      <c r="C864" s="57" t="s">
        <v>36</v>
      </c>
      <c r="D864" s="57" t="s">
        <v>45</v>
      </c>
      <c r="E864" s="57" t="s">
        <v>25</v>
      </c>
      <c r="F864" s="57" t="s">
        <v>25</v>
      </c>
      <c r="G864" s="57" t="s">
        <v>25</v>
      </c>
      <c r="H864" s="57" t="s">
        <v>37</v>
      </c>
      <c r="I864" s="82">
        <v>44287</v>
      </c>
      <c r="J864" s="83">
        <f>EFEITO!$J$864*EFEITO!$Y$864</f>
        <v>0</v>
      </c>
      <c r="K864" s="83">
        <f ca="1">EFEITO!$L$864*EFEITO!$Z$864</f>
        <v>192587.30445702351</v>
      </c>
      <c r="L864" s="83">
        <f>EFEITO!$N$864*EFEITO!$AA$864</f>
        <v>54482.173208838423</v>
      </c>
      <c r="M864" s="83">
        <f>$J$864-EFEITO!$K$864*EFEITO!$Y$864</f>
        <v>0</v>
      </c>
      <c r="N864" s="83">
        <f ca="1">$K$864-EFEITO!$M$864*EFEITO!$Z$864</f>
        <v>0</v>
      </c>
      <c r="O864" s="83">
        <f>$L$864-EFEITO!$O$864*EFEITO!$AA$864</f>
        <v>0</v>
      </c>
      <c r="P864" s="61"/>
      <c r="Q864" s="61"/>
      <c r="R864" s="61"/>
      <c r="S864" s="61"/>
      <c r="T864" s="61"/>
      <c r="U864" s="61"/>
      <c r="V864" s="61"/>
      <c r="W864" s="61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 spans="1:36" ht="11.25" customHeight="1" x14ac:dyDescent="0.2">
      <c r="A865" s="57" t="s">
        <v>30</v>
      </c>
      <c r="B865" s="57" t="s">
        <v>35</v>
      </c>
      <c r="C865" s="57" t="s">
        <v>36</v>
      </c>
      <c r="D865" s="57" t="s">
        <v>45</v>
      </c>
      <c r="E865" s="57" t="s">
        <v>25</v>
      </c>
      <c r="F865" s="57" t="s">
        <v>25</v>
      </c>
      <c r="G865" s="57" t="s">
        <v>25</v>
      </c>
      <c r="H865" s="57" t="s">
        <v>37</v>
      </c>
      <c r="I865" s="82">
        <v>44287</v>
      </c>
      <c r="J865" s="83">
        <f>EFEITO!$J$865*EFEITO!$Y$865</f>
        <v>0</v>
      </c>
      <c r="K865" s="83">
        <f ca="1">EFEITO!$L$865*EFEITO!$Z$865</f>
        <v>102667.83301363097</v>
      </c>
      <c r="L865" s="83">
        <f>EFEITO!$N$865*EFEITO!$AA$865</f>
        <v>29044.316690527048</v>
      </c>
      <c r="M865" s="83">
        <f>$J$865-EFEITO!$K$865*EFEITO!$Y$865</f>
        <v>0</v>
      </c>
      <c r="N865" s="83">
        <f ca="1">$K$865-EFEITO!$M$865*EFEITO!$Z$865</f>
        <v>0</v>
      </c>
      <c r="O865" s="83">
        <f>$L$865-EFEITO!$O$865*EFEITO!$AA$865</f>
        <v>0</v>
      </c>
      <c r="P865" s="61"/>
      <c r="Q865" s="61"/>
      <c r="R865" s="61"/>
      <c r="S865" s="61"/>
      <c r="T865" s="61"/>
      <c r="U865" s="61"/>
      <c r="V865" s="61"/>
      <c r="W865" s="61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 spans="1:36" ht="11.25" customHeight="1" x14ac:dyDescent="0.2">
      <c r="A866" s="57" t="s">
        <v>21</v>
      </c>
      <c r="B866" s="57" t="s">
        <v>35</v>
      </c>
      <c r="C866" s="57" t="s">
        <v>36</v>
      </c>
      <c r="D866" s="57" t="s">
        <v>45</v>
      </c>
      <c r="E866" s="57" t="s">
        <v>25</v>
      </c>
      <c r="F866" s="57" t="s">
        <v>25</v>
      </c>
      <c r="G866" s="57" t="s">
        <v>25</v>
      </c>
      <c r="H866" s="57" t="s">
        <v>37</v>
      </c>
      <c r="I866" s="82">
        <v>44287</v>
      </c>
      <c r="J866" s="83">
        <f>EFEITO!$J$866*EFEITO!$Y$866</f>
        <v>0</v>
      </c>
      <c r="K866" s="83">
        <f ca="1">EFEITO!$L$866*EFEITO!$Z$866</f>
        <v>4675.041639073329</v>
      </c>
      <c r="L866" s="83">
        <f>EFEITO!$N$866*EFEITO!$AA$866</f>
        <v>0</v>
      </c>
      <c r="M866" s="83">
        <f>$J$866-EFEITO!$K$866*EFEITO!$Y$866</f>
        <v>0</v>
      </c>
      <c r="N866" s="83">
        <f ca="1">$K$866-EFEITO!$M$866*EFEITO!$Z$866</f>
        <v>0</v>
      </c>
      <c r="O866" s="83">
        <f>$L$866-EFEITO!$O$866*EFEITO!$AA$866</f>
        <v>0</v>
      </c>
      <c r="P866" s="61"/>
      <c r="Q866" s="61"/>
      <c r="R866" s="61"/>
      <c r="S866" s="61"/>
      <c r="T866" s="61"/>
      <c r="U866" s="61"/>
      <c r="V866" s="61"/>
      <c r="W866" s="61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 spans="1:36" ht="11.25" customHeight="1" x14ac:dyDescent="0.2">
      <c r="A867" s="57" t="s">
        <v>21</v>
      </c>
      <c r="B867" s="57" t="s">
        <v>35</v>
      </c>
      <c r="C867" s="57" t="s">
        <v>36</v>
      </c>
      <c r="D867" s="57" t="s">
        <v>45</v>
      </c>
      <c r="E867" s="57" t="s">
        <v>25</v>
      </c>
      <c r="F867" s="57" t="s">
        <v>25</v>
      </c>
      <c r="G867" s="57" t="s">
        <v>25</v>
      </c>
      <c r="H867" s="57" t="s">
        <v>37</v>
      </c>
      <c r="I867" s="82">
        <v>44317</v>
      </c>
      <c r="J867" s="83">
        <f>EFEITO!$J$867*EFEITO!$Y$867</f>
        <v>0</v>
      </c>
      <c r="K867" s="83">
        <f ca="1">EFEITO!$L$867*EFEITO!$Z$867</f>
        <v>2595683.9742879653</v>
      </c>
      <c r="L867" s="83">
        <f>EFEITO!$N$867*EFEITO!$AA$867</f>
        <v>734308.54791428393</v>
      </c>
      <c r="M867" s="83">
        <f>$J$867-EFEITO!$K$867*EFEITO!$Y$867</f>
        <v>0</v>
      </c>
      <c r="N867" s="83">
        <f ca="1">$K$867-EFEITO!$M$867*EFEITO!$Z$867</f>
        <v>0</v>
      </c>
      <c r="O867" s="83">
        <f>$L$867-EFEITO!$O$867*EFEITO!$AA$867</f>
        <v>0</v>
      </c>
      <c r="P867" s="61"/>
      <c r="Q867" s="61"/>
      <c r="R867" s="61"/>
      <c r="S867" s="61"/>
      <c r="T867" s="61"/>
      <c r="U867" s="61"/>
      <c r="V867" s="61"/>
      <c r="W867" s="61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spans="1:36" ht="11.25" customHeight="1" x14ac:dyDescent="0.2">
      <c r="A868" s="57" t="s">
        <v>27</v>
      </c>
      <c r="B868" s="57" t="s">
        <v>35</v>
      </c>
      <c r="C868" s="57" t="s">
        <v>36</v>
      </c>
      <c r="D868" s="57" t="s">
        <v>45</v>
      </c>
      <c r="E868" s="57" t="s">
        <v>25</v>
      </c>
      <c r="F868" s="57" t="s">
        <v>25</v>
      </c>
      <c r="G868" s="57" t="s">
        <v>25</v>
      </c>
      <c r="H868" s="57" t="s">
        <v>37</v>
      </c>
      <c r="I868" s="82">
        <v>44317</v>
      </c>
      <c r="J868" s="83">
        <f>EFEITO!$J$868*EFEITO!$Y$868</f>
        <v>0</v>
      </c>
      <c r="K868" s="83">
        <f ca="1">EFEITO!$L$868*EFEITO!$Z$868</f>
        <v>-3515.5156811856805</v>
      </c>
      <c r="L868" s="83">
        <f>EFEITO!$N$868*EFEITO!$AA$868</f>
        <v>-994.52523519527767</v>
      </c>
      <c r="M868" s="83">
        <f>$J$868-EFEITO!$K$868*EFEITO!$Y$868</f>
        <v>0</v>
      </c>
      <c r="N868" s="83">
        <f ca="1">$K$868-EFEITO!$M$868*EFEITO!$Z$868</f>
        <v>0</v>
      </c>
      <c r="O868" s="83">
        <f>$L$868-EFEITO!$O$868*EFEITO!$AA$868</f>
        <v>0</v>
      </c>
      <c r="P868" s="61"/>
      <c r="Q868" s="61"/>
      <c r="R868" s="61"/>
      <c r="S868" s="61"/>
      <c r="T868" s="61"/>
      <c r="U868" s="61"/>
      <c r="V868" s="61"/>
      <c r="W868" s="61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 spans="1:36" ht="11.25" customHeight="1" x14ac:dyDescent="0.2">
      <c r="A869" s="57" t="s">
        <v>28</v>
      </c>
      <c r="B869" s="57" t="s">
        <v>35</v>
      </c>
      <c r="C869" s="57" t="s">
        <v>36</v>
      </c>
      <c r="D869" s="57" t="s">
        <v>45</v>
      </c>
      <c r="E869" s="57" t="s">
        <v>25</v>
      </c>
      <c r="F869" s="57" t="s">
        <v>25</v>
      </c>
      <c r="G869" s="57" t="s">
        <v>25</v>
      </c>
      <c r="H869" s="57" t="s">
        <v>37</v>
      </c>
      <c r="I869" s="82">
        <v>44317</v>
      </c>
      <c r="J869" s="83">
        <f>EFEITO!$J$869*EFEITO!$Y$869</f>
        <v>0</v>
      </c>
      <c r="K869" s="83">
        <f ca="1">EFEITO!$L$869*EFEITO!$Z$869</f>
        <v>195927.76705038405</v>
      </c>
      <c r="L869" s="83">
        <f>EFEITO!$N$869*EFEITO!$AA$869</f>
        <v>55427.176630129507</v>
      </c>
      <c r="M869" s="83">
        <f>$J$869-EFEITO!$K$869*EFEITO!$Y$869</f>
        <v>0</v>
      </c>
      <c r="N869" s="83">
        <f ca="1">$K$869-EFEITO!$M$869*EFEITO!$Z$869</f>
        <v>0</v>
      </c>
      <c r="O869" s="83">
        <f>$L$869-EFEITO!$O$869*EFEITO!$AA$869</f>
        <v>0</v>
      </c>
      <c r="P869" s="61"/>
      <c r="Q869" s="61"/>
      <c r="R869" s="61"/>
      <c r="S869" s="61"/>
      <c r="T869" s="61"/>
      <c r="U869" s="61"/>
      <c r="V869" s="61"/>
      <c r="W869" s="61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 spans="1:36" ht="11.25" customHeight="1" x14ac:dyDescent="0.2">
      <c r="A870" s="57" t="s">
        <v>30</v>
      </c>
      <c r="B870" s="57" t="s">
        <v>35</v>
      </c>
      <c r="C870" s="57" t="s">
        <v>36</v>
      </c>
      <c r="D870" s="57" t="s">
        <v>45</v>
      </c>
      <c r="E870" s="57" t="s">
        <v>25</v>
      </c>
      <c r="F870" s="57" t="s">
        <v>25</v>
      </c>
      <c r="G870" s="57" t="s">
        <v>25</v>
      </c>
      <c r="H870" s="57" t="s">
        <v>37</v>
      </c>
      <c r="I870" s="82">
        <v>44317</v>
      </c>
      <c r="J870" s="83">
        <f>EFEITO!$J$870*EFEITO!$Y$870</f>
        <v>0</v>
      </c>
      <c r="K870" s="83">
        <f ca="1">EFEITO!$L$870*EFEITO!$Z$870</f>
        <v>115164.05389773594</v>
      </c>
      <c r="L870" s="83">
        <f>EFEITO!$N$870*EFEITO!$AA$870</f>
        <v>32579.447277577965</v>
      </c>
      <c r="M870" s="83">
        <f>$J$870-EFEITO!$K$870*EFEITO!$Y$870</f>
        <v>0</v>
      </c>
      <c r="N870" s="83">
        <f ca="1">$K$870-EFEITO!$M$870*EFEITO!$Z$870</f>
        <v>0</v>
      </c>
      <c r="O870" s="83">
        <f>$L$870-EFEITO!$O$870*EFEITO!$AA$870</f>
        <v>0</v>
      </c>
      <c r="P870" s="61"/>
      <c r="Q870" s="61"/>
      <c r="R870" s="61"/>
      <c r="S870" s="61"/>
      <c r="T870" s="61"/>
      <c r="U870" s="61"/>
      <c r="V870" s="61"/>
      <c r="W870" s="61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 spans="1:36" ht="11.25" customHeight="1" x14ac:dyDescent="0.2">
      <c r="A871" s="57" t="s">
        <v>21</v>
      </c>
      <c r="B871" s="57" t="s">
        <v>35</v>
      </c>
      <c r="C871" s="57" t="s">
        <v>36</v>
      </c>
      <c r="D871" s="57" t="s">
        <v>45</v>
      </c>
      <c r="E871" s="57" t="s">
        <v>25</v>
      </c>
      <c r="F871" s="57" t="s">
        <v>25</v>
      </c>
      <c r="G871" s="57" t="s">
        <v>25</v>
      </c>
      <c r="H871" s="57" t="s">
        <v>37</v>
      </c>
      <c r="I871" s="82">
        <v>44317</v>
      </c>
      <c r="J871" s="83">
        <f>EFEITO!$J$871*EFEITO!$Y$871</f>
        <v>0</v>
      </c>
      <c r="K871" s="83">
        <f ca="1">EFEITO!$L$871*EFEITO!$Z$871</f>
        <v>4284.7856726374584</v>
      </c>
      <c r="L871" s="83">
        <f>EFEITO!$N$871*EFEITO!$AA$871</f>
        <v>0</v>
      </c>
      <c r="M871" s="83">
        <f>$J$871-EFEITO!$K$871*EFEITO!$Y$871</f>
        <v>0</v>
      </c>
      <c r="N871" s="83">
        <f ca="1">$K$871-EFEITO!$M$871*EFEITO!$Z$871</f>
        <v>0</v>
      </c>
      <c r="O871" s="83">
        <f>$L$871-EFEITO!$O$871*EFEITO!$AA$871</f>
        <v>0</v>
      </c>
      <c r="P871" s="61"/>
      <c r="Q871" s="61"/>
      <c r="R871" s="61"/>
      <c r="S871" s="61"/>
      <c r="T871" s="61"/>
      <c r="U871" s="61"/>
      <c r="V871" s="61"/>
      <c r="W871" s="61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spans="1:36" ht="11.25" customHeight="1" x14ac:dyDescent="0.2">
      <c r="A872" s="57" t="s">
        <v>21</v>
      </c>
      <c r="B872" s="57" t="s">
        <v>35</v>
      </c>
      <c r="C872" s="57" t="s">
        <v>36</v>
      </c>
      <c r="D872" s="57" t="s">
        <v>45</v>
      </c>
      <c r="E872" s="57" t="s">
        <v>25</v>
      </c>
      <c r="F872" s="57" t="s">
        <v>25</v>
      </c>
      <c r="G872" s="57" t="s">
        <v>25</v>
      </c>
      <c r="H872" s="57" t="s">
        <v>37</v>
      </c>
      <c r="I872" s="82">
        <v>44348</v>
      </c>
      <c r="J872" s="83">
        <f>EFEITO!$J$872*EFEITO!$Y$872</f>
        <v>0</v>
      </c>
      <c r="K872" s="83">
        <f ca="1">EFEITO!$L$872*EFEITO!$Z$872</f>
        <v>2534254.7943860227</v>
      </c>
      <c r="L872" s="83">
        <f>EFEITO!$N$872*EFEITO!$AA$872</f>
        <v>716930.48019102251</v>
      </c>
      <c r="M872" s="83">
        <f>$J$872-EFEITO!$K$872*EFEITO!$Y$872</f>
        <v>0</v>
      </c>
      <c r="N872" s="83">
        <f ca="1">$K$872-EFEITO!$M$872*EFEITO!$Z$872</f>
        <v>0</v>
      </c>
      <c r="O872" s="83">
        <f>$L$872-EFEITO!$O$872*EFEITO!$AA$872</f>
        <v>0</v>
      </c>
      <c r="P872" s="61"/>
      <c r="Q872" s="61"/>
      <c r="R872" s="61"/>
      <c r="S872" s="61"/>
      <c r="T872" s="61"/>
      <c r="U872" s="61"/>
      <c r="V872" s="61"/>
      <c r="W872" s="61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spans="1:36" ht="11.25" customHeight="1" x14ac:dyDescent="0.2">
      <c r="A873" s="57" t="s">
        <v>27</v>
      </c>
      <c r="B873" s="57" t="s">
        <v>35</v>
      </c>
      <c r="C873" s="57" t="s">
        <v>36</v>
      </c>
      <c r="D873" s="57" t="s">
        <v>45</v>
      </c>
      <c r="E873" s="57" t="s">
        <v>25</v>
      </c>
      <c r="F873" s="57" t="s">
        <v>25</v>
      </c>
      <c r="G873" s="57" t="s">
        <v>25</v>
      </c>
      <c r="H873" s="57" t="s">
        <v>37</v>
      </c>
      <c r="I873" s="82">
        <v>44348</v>
      </c>
      <c r="J873" s="83">
        <f>EFEITO!$J$873*EFEITO!$Y$873</f>
        <v>0</v>
      </c>
      <c r="K873" s="83">
        <f ca="1">EFEITO!$L$873*EFEITO!$Z$873</f>
        <v>-4532.1083838766517</v>
      </c>
      <c r="L873" s="83">
        <f>EFEITO!$N$873*EFEITO!$AA$873</f>
        <v>-1282.1152186939578</v>
      </c>
      <c r="M873" s="83">
        <f>$J$873-EFEITO!$K$873*EFEITO!$Y$873</f>
        <v>0</v>
      </c>
      <c r="N873" s="83">
        <f ca="1">$K$873-EFEITO!$M$873*EFEITO!$Z$873</f>
        <v>0</v>
      </c>
      <c r="O873" s="83">
        <f>$L$873-EFEITO!$O$873*EFEITO!$AA$873</f>
        <v>0</v>
      </c>
      <c r="P873" s="61"/>
      <c r="Q873" s="61"/>
      <c r="R873" s="61"/>
      <c r="S873" s="61"/>
      <c r="T873" s="61"/>
      <c r="U873" s="61"/>
      <c r="V873" s="61"/>
      <c r="W873" s="61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spans="1:36" ht="11.25" customHeight="1" x14ac:dyDescent="0.2">
      <c r="A874" s="57" t="s">
        <v>28</v>
      </c>
      <c r="B874" s="57" t="s">
        <v>35</v>
      </c>
      <c r="C874" s="57" t="s">
        <v>36</v>
      </c>
      <c r="D874" s="57" t="s">
        <v>45</v>
      </c>
      <c r="E874" s="57" t="s">
        <v>25</v>
      </c>
      <c r="F874" s="57" t="s">
        <v>25</v>
      </c>
      <c r="G874" s="57" t="s">
        <v>25</v>
      </c>
      <c r="H874" s="57" t="s">
        <v>37</v>
      </c>
      <c r="I874" s="82">
        <v>44348</v>
      </c>
      <c r="J874" s="83">
        <f>EFEITO!$J$874*EFEITO!$Y$874</f>
        <v>0</v>
      </c>
      <c r="K874" s="83">
        <f ca="1">EFEITO!$L$874*EFEITO!$Z$874</f>
        <v>183735.07858461808</v>
      </c>
      <c r="L874" s="83">
        <f>EFEITO!$N$874*EFEITO!$AA$874</f>
        <v>51977.914142417059</v>
      </c>
      <c r="M874" s="83">
        <f>$J$874-EFEITO!$K$874*EFEITO!$Y$874</f>
        <v>0</v>
      </c>
      <c r="N874" s="83">
        <f ca="1">$K$874-EFEITO!$M$874*EFEITO!$Z$874</f>
        <v>0</v>
      </c>
      <c r="O874" s="83">
        <f>$L$874-EFEITO!$O$874*EFEITO!$AA$874</f>
        <v>0</v>
      </c>
      <c r="P874" s="61"/>
      <c r="Q874" s="61"/>
      <c r="R874" s="61"/>
      <c r="S874" s="61"/>
      <c r="T874" s="61"/>
      <c r="U874" s="61"/>
      <c r="V874" s="61"/>
      <c r="W874" s="61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 spans="1:36" ht="11.25" customHeight="1" x14ac:dyDescent="0.2">
      <c r="A875" s="57" t="s">
        <v>29</v>
      </c>
      <c r="B875" s="57" t="s">
        <v>35</v>
      </c>
      <c r="C875" s="57" t="s">
        <v>36</v>
      </c>
      <c r="D875" s="57" t="s">
        <v>45</v>
      </c>
      <c r="E875" s="57" t="s">
        <v>25</v>
      </c>
      <c r="F875" s="57" t="s">
        <v>25</v>
      </c>
      <c r="G875" s="57" t="s">
        <v>25</v>
      </c>
      <c r="H875" s="57" t="s">
        <v>37</v>
      </c>
      <c r="I875" s="82">
        <v>44348</v>
      </c>
      <c r="J875" s="83">
        <f>EFEITO!$J$875*EFEITO!$Y$875</f>
        <v>0</v>
      </c>
      <c r="K875" s="83">
        <f ca="1">EFEITO!$L$875*EFEITO!$Z$875</f>
        <v>-4557.8042499794255</v>
      </c>
      <c r="L875" s="83">
        <f>EFEITO!$N$875*EFEITO!$AA$875</f>
        <v>-1289.3844757808122</v>
      </c>
      <c r="M875" s="83">
        <f>$J$875-EFEITO!$K$875*EFEITO!$Y$875</f>
        <v>0</v>
      </c>
      <c r="N875" s="83">
        <f ca="1">$K$875-EFEITO!$M$875*EFEITO!$Z$875</f>
        <v>0</v>
      </c>
      <c r="O875" s="83">
        <f>$L$875-EFEITO!$O$875*EFEITO!$AA$875</f>
        <v>0</v>
      </c>
      <c r="P875" s="61"/>
      <c r="Q875" s="61"/>
      <c r="R875" s="61"/>
      <c r="S875" s="61"/>
      <c r="T875" s="61"/>
      <c r="U875" s="61"/>
      <c r="V875" s="61"/>
      <c r="W875" s="61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spans="1:36" ht="11.25" customHeight="1" x14ac:dyDescent="0.2">
      <c r="A876" s="57" t="s">
        <v>30</v>
      </c>
      <c r="B876" s="57" t="s">
        <v>35</v>
      </c>
      <c r="C876" s="57" t="s">
        <v>36</v>
      </c>
      <c r="D876" s="57" t="s">
        <v>45</v>
      </c>
      <c r="E876" s="57" t="s">
        <v>25</v>
      </c>
      <c r="F876" s="57" t="s">
        <v>25</v>
      </c>
      <c r="G876" s="57" t="s">
        <v>25</v>
      </c>
      <c r="H876" s="57" t="s">
        <v>37</v>
      </c>
      <c r="I876" s="82">
        <v>44348</v>
      </c>
      <c r="J876" s="83">
        <f>EFEITO!$J$876*EFEITO!$Y$876</f>
        <v>0</v>
      </c>
      <c r="K876" s="83">
        <f ca="1">EFEITO!$L$876*EFEITO!$Z$876</f>
        <v>128718.62326694888</v>
      </c>
      <c r="L876" s="83">
        <f>EFEITO!$N$876*EFEITO!$AA$876</f>
        <v>36413.980390893703</v>
      </c>
      <c r="M876" s="83">
        <f>$J$876-EFEITO!$K$876*EFEITO!$Y$876</f>
        <v>0</v>
      </c>
      <c r="N876" s="83">
        <f ca="1">$K$876-EFEITO!$M$876*EFEITO!$Z$876</f>
        <v>0</v>
      </c>
      <c r="O876" s="83">
        <f>$L$876-EFEITO!$O$876*EFEITO!$AA$876</f>
        <v>0</v>
      </c>
      <c r="P876" s="61"/>
      <c r="Q876" s="61"/>
      <c r="R876" s="61"/>
      <c r="S876" s="61"/>
      <c r="T876" s="61"/>
      <c r="U876" s="61"/>
      <c r="V876" s="61"/>
      <c r="W876" s="61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spans="1:36" ht="11.25" customHeight="1" x14ac:dyDescent="0.2">
      <c r="A877" s="57" t="s">
        <v>21</v>
      </c>
      <c r="B877" s="57" t="s">
        <v>35</v>
      </c>
      <c r="C877" s="57" t="s">
        <v>36</v>
      </c>
      <c r="D877" s="57" t="s">
        <v>45</v>
      </c>
      <c r="E877" s="57" t="s">
        <v>25</v>
      </c>
      <c r="F877" s="57" t="s">
        <v>25</v>
      </c>
      <c r="G877" s="57" t="s">
        <v>25</v>
      </c>
      <c r="H877" s="57" t="s">
        <v>37</v>
      </c>
      <c r="I877" s="82">
        <v>44348</v>
      </c>
      <c r="J877" s="83">
        <f>EFEITO!$J$877*EFEITO!$Y$877</f>
        <v>0</v>
      </c>
      <c r="K877" s="83">
        <f ca="1">EFEITO!$L$877*EFEITO!$Z$877</f>
        <v>4426.1129362027114</v>
      </c>
      <c r="L877" s="83">
        <f>EFEITO!$N$877*EFEITO!$AA$877</f>
        <v>0</v>
      </c>
      <c r="M877" s="83">
        <f>$J$877-EFEITO!$K$877*EFEITO!$Y$877</f>
        <v>0</v>
      </c>
      <c r="N877" s="83">
        <f ca="1">$K$877-EFEITO!$M$877*EFEITO!$Z$877</f>
        <v>0</v>
      </c>
      <c r="O877" s="83">
        <f>$L$877-EFEITO!$O$877*EFEITO!$AA$877</f>
        <v>0</v>
      </c>
      <c r="P877" s="61"/>
      <c r="Q877" s="61"/>
      <c r="R877" s="61"/>
      <c r="S877" s="61"/>
      <c r="T877" s="61"/>
      <c r="U877" s="61"/>
      <c r="V877" s="61"/>
      <c r="W877" s="61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 spans="1:36" ht="11.25" customHeight="1" x14ac:dyDescent="0.2">
      <c r="A878" s="57" t="s">
        <v>21</v>
      </c>
      <c r="B878" s="57" t="s">
        <v>35</v>
      </c>
      <c r="C878" s="57" t="s">
        <v>36</v>
      </c>
      <c r="D878" s="57" t="s">
        <v>45</v>
      </c>
      <c r="E878" s="57" t="s">
        <v>25</v>
      </c>
      <c r="F878" s="57" t="s">
        <v>25</v>
      </c>
      <c r="G878" s="57" t="s">
        <v>25</v>
      </c>
      <c r="H878" s="57" t="s">
        <v>37</v>
      </c>
      <c r="I878" s="82">
        <v>44378</v>
      </c>
      <c r="J878" s="83">
        <f>EFEITO!$J$878*EFEITO!$Y$878</f>
        <v>0</v>
      </c>
      <c r="K878" s="83">
        <f ca="1">EFEITO!$L$878*EFEITO!$Z$878</f>
        <v>2688270.9978311523</v>
      </c>
      <c r="L878" s="83">
        <f>EFEITO!$N$878*EFEITO!$AA$878</f>
        <v>760501.04418392444</v>
      </c>
      <c r="M878" s="83">
        <f>$J$878-EFEITO!$K$878*EFEITO!$Y$878</f>
        <v>0</v>
      </c>
      <c r="N878" s="83">
        <f ca="1">$K$878-EFEITO!$M$878*EFEITO!$Z$878</f>
        <v>0</v>
      </c>
      <c r="O878" s="83">
        <f>$L$878-EFEITO!$O$878*EFEITO!$AA$878</f>
        <v>0</v>
      </c>
      <c r="P878" s="61"/>
      <c r="Q878" s="61"/>
      <c r="R878" s="61"/>
      <c r="S878" s="61"/>
      <c r="T878" s="61"/>
      <c r="U878" s="61"/>
      <c r="V878" s="61"/>
      <c r="W878" s="61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spans="1:36" ht="11.25" customHeight="1" x14ac:dyDescent="0.2">
      <c r="A879" s="57" t="s">
        <v>27</v>
      </c>
      <c r="B879" s="57" t="s">
        <v>35</v>
      </c>
      <c r="C879" s="57" t="s">
        <v>36</v>
      </c>
      <c r="D879" s="57" t="s">
        <v>45</v>
      </c>
      <c r="E879" s="57" t="s">
        <v>25</v>
      </c>
      <c r="F879" s="57" t="s">
        <v>25</v>
      </c>
      <c r="G879" s="57" t="s">
        <v>25</v>
      </c>
      <c r="H879" s="57" t="s">
        <v>37</v>
      </c>
      <c r="I879" s="82">
        <v>44378</v>
      </c>
      <c r="J879" s="83">
        <f>EFEITO!$J$879*EFEITO!$Y$879</f>
        <v>0</v>
      </c>
      <c r="K879" s="83">
        <f ca="1">EFEITO!$L$879*EFEITO!$Z$879</f>
        <v>-9880.0605165163579</v>
      </c>
      <c r="L879" s="83">
        <f>EFEITO!$N$879*EFEITO!$AA$879</f>
        <v>-2795.0293498955452</v>
      </c>
      <c r="M879" s="83">
        <f>$J$879-EFEITO!$K$879*EFEITO!$Y$879</f>
        <v>0</v>
      </c>
      <c r="N879" s="83">
        <f ca="1">$K$879-EFEITO!$M$879*EFEITO!$Z$879</f>
        <v>0</v>
      </c>
      <c r="O879" s="83">
        <f>$L$879-EFEITO!$O$879*EFEITO!$AA$879</f>
        <v>0</v>
      </c>
      <c r="P879" s="61"/>
      <c r="Q879" s="61"/>
      <c r="R879" s="61"/>
      <c r="S879" s="61"/>
      <c r="T879" s="61"/>
      <c r="U879" s="61"/>
      <c r="V879" s="61"/>
      <c r="W879" s="61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spans="1:36" ht="11.25" customHeight="1" x14ac:dyDescent="0.2">
      <c r="A880" s="57" t="s">
        <v>28</v>
      </c>
      <c r="B880" s="57" t="s">
        <v>35</v>
      </c>
      <c r="C880" s="57" t="s">
        <v>36</v>
      </c>
      <c r="D880" s="57" t="s">
        <v>45</v>
      </c>
      <c r="E880" s="57" t="s">
        <v>25</v>
      </c>
      <c r="F880" s="57" t="s">
        <v>25</v>
      </c>
      <c r="G880" s="57" t="s">
        <v>25</v>
      </c>
      <c r="H880" s="57" t="s">
        <v>37</v>
      </c>
      <c r="I880" s="82">
        <v>44378</v>
      </c>
      <c r="J880" s="83">
        <f>EFEITO!$J$880*EFEITO!$Y$880</f>
        <v>0</v>
      </c>
      <c r="K880" s="83">
        <f ca="1">EFEITO!$L$880*EFEITO!$Z$880</f>
        <v>213842.60369891132</v>
      </c>
      <c r="L880" s="83">
        <f>EFEITO!$N$880*EFEITO!$AA$880</f>
        <v>60495.211805370855</v>
      </c>
      <c r="M880" s="83">
        <f>$J$880-EFEITO!$K$880*EFEITO!$Y$880</f>
        <v>0</v>
      </c>
      <c r="N880" s="83">
        <f ca="1">$K$880-EFEITO!$M$880*EFEITO!$Z$880</f>
        <v>0</v>
      </c>
      <c r="O880" s="83">
        <f>$L$880-EFEITO!$O$880*EFEITO!$AA$880</f>
        <v>0</v>
      </c>
      <c r="P880" s="61"/>
      <c r="Q880" s="61"/>
      <c r="R880" s="61"/>
      <c r="S880" s="61"/>
      <c r="T880" s="61"/>
      <c r="U880" s="61"/>
      <c r="V880" s="61"/>
      <c r="W880" s="61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 spans="1:36" ht="11.25" customHeight="1" x14ac:dyDescent="0.2">
      <c r="A881" s="57" t="s">
        <v>29</v>
      </c>
      <c r="B881" s="57" t="s">
        <v>35</v>
      </c>
      <c r="C881" s="57" t="s">
        <v>36</v>
      </c>
      <c r="D881" s="57" t="s">
        <v>45</v>
      </c>
      <c r="E881" s="57" t="s">
        <v>25</v>
      </c>
      <c r="F881" s="57" t="s">
        <v>25</v>
      </c>
      <c r="G881" s="57" t="s">
        <v>25</v>
      </c>
      <c r="H881" s="57" t="s">
        <v>37</v>
      </c>
      <c r="I881" s="82">
        <v>44378</v>
      </c>
      <c r="J881" s="83">
        <f>EFEITO!$J$881*EFEITO!$Y$881</f>
        <v>0</v>
      </c>
      <c r="K881" s="83">
        <f ca="1">EFEITO!$L$881*EFEITO!$Z$881</f>
        <v>10175.562976698251</v>
      </c>
      <c r="L881" s="83">
        <f>EFEITO!$N$881*EFEITO!$AA$881</f>
        <v>2878.6258063943715</v>
      </c>
      <c r="M881" s="83">
        <f>$J$881-EFEITO!$K$881*EFEITO!$Y$881</f>
        <v>0</v>
      </c>
      <c r="N881" s="83">
        <f ca="1">$K$881-EFEITO!$M$881*EFEITO!$Z$881</f>
        <v>0</v>
      </c>
      <c r="O881" s="83">
        <f>$L$881-EFEITO!$O$881*EFEITO!$AA$881</f>
        <v>0</v>
      </c>
      <c r="P881" s="61"/>
      <c r="Q881" s="61"/>
      <c r="R881" s="61"/>
      <c r="S881" s="61"/>
      <c r="T881" s="61"/>
      <c r="U881" s="61"/>
      <c r="V881" s="61"/>
      <c r="W881" s="61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spans="1:36" ht="11.25" customHeight="1" x14ac:dyDescent="0.2">
      <c r="A882" s="57" t="s">
        <v>30</v>
      </c>
      <c r="B882" s="57" t="s">
        <v>35</v>
      </c>
      <c r="C882" s="57" t="s">
        <v>36</v>
      </c>
      <c r="D882" s="57" t="s">
        <v>45</v>
      </c>
      <c r="E882" s="57" t="s">
        <v>25</v>
      </c>
      <c r="F882" s="57" t="s">
        <v>25</v>
      </c>
      <c r="G882" s="57" t="s">
        <v>25</v>
      </c>
      <c r="H882" s="57" t="s">
        <v>37</v>
      </c>
      <c r="I882" s="82">
        <v>44378</v>
      </c>
      <c r="J882" s="83">
        <f>EFEITO!$J$882*EFEITO!$Y$882</f>
        <v>0</v>
      </c>
      <c r="K882" s="83">
        <f ca="1">EFEITO!$L$882*EFEITO!$Z$882</f>
        <v>142069.23169897107</v>
      </c>
      <c r="L882" s="83">
        <f>EFEITO!$N$882*EFEITO!$AA$882</f>
        <v>40190.813776082527</v>
      </c>
      <c r="M882" s="83">
        <f>$J$882-EFEITO!$K$882*EFEITO!$Y$882</f>
        <v>0</v>
      </c>
      <c r="N882" s="83">
        <f ca="1">$K$882-EFEITO!$M$882*EFEITO!$Z$882</f>
        <v>0</v>
      </c>
      <c r="O882" s="83">
        <f>$L$882-EFEITO!$O$882*EFEITO!$AA$882</f>
        <v>0</v>
      </c>
      <c r="P882" s="61"/>
      <c r="Q882" s="61"/>
      <c r="R882" s="61"/>
      <c r="S882" s="61"/>
      <c r="T882" s="61"/>
      <c r="U882" s="61"/>
      <c r="V882" s="61"/>
      <c r="W882" s="61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spans="1:36" ht="11.25" customHeight="1" x14ac:dyDescent="0.2">
      <c r="A883" s="57" t="s">
        <v>30</v>
      </c>
      <c r="B883" s="57" t="s">
        <v>35</v>
      </c>
      <c r="C883" s="57" t="s">
        <v>36</v>
      </c>
      <c r="D883" s="57" t="s">
        <v>45</v>
      </c>
      <c r="E883" s="57" t="s">
        <v>25</v>
      </c>
      <c r="F883" s="57" t="s">
        <v>25</v>
      </c>
      <c r="G883" s="57" t="s">
        <v>25</v>
      </c>
      <c r="H883" s="57" t="s">
        <v>37</v>
      </c>
      <c r="I883" s="82">
        <v>44378</v>
      </c>
      <c r="J883" s="83">
        <f>EFEITO!$J$883*EFEITO!$Y$883</f>
        <v>0</v>
      </c>
      <c r="K883" s="83">
        <f ca="1">EFEITO!$L$883*EFEITO!$Z$883</f>
        <v>-1638.1114640518019</v>
      </c>
      <c r="L883" s="83">
        <f>EFEITO!$N$883*EFEITO!$AA$883</f>
        <v>-463.4151392869727</v>
      </c>
      <c r="M883" s="83">
        <f>$J$883-EFEITO!$K$883*EFEITO!$Y$883</f>
        <v>0</v>
      </c>
      <c r="N883" s="83">
        <f ca="1">$K$883-EFEITO!$M$883*EFEITO!$Z$883</f>
        <v>0</v>
      </c>
      <c r="O883" s="83">
        <f>$L$883-EFEITO!$O$883*EFEITO!$AA$883</f>
        <v>0</v>
      </c>
      <c r="P883" s="61"/>
      <c r="Q883" s="61"/>
      <c r="R883" s="61"/>
      <c r="S883" s="61"/>
      <c r="T883" s="61"/>
      <c r="U883" s="61"/>
      <c r="V883" s="61"/>
      <c r="W883" s="61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spans="1:36" ht="11.25" customHeight="1" x14ac:dyDescent="0.2">
      <c r="A884" s="57" t="s">
        <v>21</v>
      </c>
      <c r="B884" s="57" t="s">
        <v>35</v>
      </c>
      <c r="C884" s="57" t="s">
        <v>36</v>
      </c>
      <c r="D884" s="57" t="s">
        <v>45</v>
      </c>
      <c r="E884" s="57" t="s">
        <v>25</v>
      </c>
      <c r="F884" s="57" t="s">
        <v>25</v>
      </c>
      <c r="G884" s="57" t="s">
        <v>25</v>
      </c>
      <c r="H884" s="57" t="s">
        <v>37</v>
      </c>
      <c r="I884" s="82">
        <v>44378</v>
      </c>
      <c r="J884" s="83">
        <f>EFEITO!$J$884*EFEITO!$Y$884</f>
        <v>0</v>
      </c>
      <c r="K884" s="83">
        <f ca="1">EFEITO!$L$884*EFEITO!$Z$884</f>
        <v>4410.053019888478</v>
      </c>
      <c r="L884" s="83">
        <f>EFEITO!$N$884*EFEITO!$AA$884</f>
        <v>0</v>
      </c>
      <c r="M884" s="83">
        <f>$J$884-EFEITO!$K$884*EFEITO!$Y$884</f>
        <v>0</v>
      </c>
      <c r="N884" s="83">
        <f ca="1">$K$884-EFEITO!$M$884*EFEITO!$Z$884</f>
        <v>0</v>
      </c>
      <c r="O884" s="83">
        <f>$L$884-EFEITO!$O$884*EFEITO!$AA$884</f>
        <v>0</v>
      </c>
      <c r="P884" s="61"/>
      <c r="Q884" s="61"/>
      <c r="R884" s="61"/>
      <c r="S884" s="61"/>
      <c r="T884" s="61"/>
      <c r="U884" s="61"/>
      <c r="V884" s="61"/>
      <c r="W884" s="61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spans="1:36" ht="11.25" customHeight="1" x14ac:dyDescent="0.2">
      <c r="A885" s="57" t="s">
        <v>21</v>
      </c>
      <c r="B885" s="57" t="s">
        <v>35</v>
      </c>
      <c r="C885" s="57" t="s">
        <v>36</v>
      </c>
      <c r="D885" s="57" t="s">
        <v>45</v>
      </c>
      <c r="E885" s="57" t="s">
        <v>25</v>
      </c>
      <c r="F885" s="57" t="s">
        <v>25</v>
      </c>
      <c r="G885" s="57" t="s">
        <v>25</v>
      </c>
      <c r="H885" s="57" t="s">
        <v>37</v>
      </c>
      <c r="I885" s="82">
        <v>44409</v>
      </c>
      <c r="J885" s="83">
        <f>EFEITO!$J$885*EFEITO!$Y$885</f>
        <v>0</v>
      </c>
      <c r="K885" s="83">
        <f ca="1">EFEITO!$L$885*EFEITO!$Z$885</f>
        <v>2863044.643112428</v>
      </c>
      <c r="L885" s="83">
        <f>EFEITO!$N$885*EFEITO!$AA$885</f>
        <v>809943.80491730093</v>
      </c>
      <c r="M885" s="83">
        <f>$J$885-EFEITO!$K$885*EFEITO!$Y$885</f>
        <v>0</v>
      </c>
      <c r="N885" s="83">
        <f ca="1">$K$885-EFEITO!$M$885*EFEITO!$Z$885</f>
        <v>0</v>
      </c>
      <c r="O885" s="83">
        <f>$L$885-EFEITO!$O$885*EFEITO!$AA$885</f>
        <v>0</v>
      </c>
      <c r="P885" s="61"/>
      <c r="Q885" s="61"/>
      <c r="R885" s="61"/>
      <c r="S885" s="61"/>
      <c r="T885" s="61"/>
      <c r="U885" s="61"/>
      <c r="V885" s="61"/>
      <c r="W885" s="61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 spans="1:36" ht="11.25" customHeight="1" x14ac:dyDescent="0.2">
      <c r="A886" s="57" t="s">
        <v>27</v>
      </c>
      <c r="B886" s="57" t="s">
        <v>35</v>
      </c>
      <c r="C886" s="57" t="s">
        <v>36</v>
      </c>
      <c r="D886" s="57" t="s">
        <v>45</v>
      </c>
      <c r="E886" s="57" t="s">
        <v>25</v>
      </c>
      <c r="F886" s="57" t="s">
        <v>25</v>
      </c>
      <c r="G886" s="57" t="s">
        <v>25</v>
      </c>
      <c r="H886" s="57" t="s">
        <v>37</v>
      </c>
      <c r="I886" s="82">
        <v>44409</v>
      </c>
      <c r="J886" s="83">
        <f>EFEITO!$J$886*EFEITO!$Y$886</f>
        <v>0</v>
      </c>
      <c r="K886" s="83">
        <f ca="1">EFEITO!$L$886*EFEITO!$Z$886</f>
        <v>3433945.7602340574</v>
      </c>
      <c r="L886" s="83">
        <f>EFEITO!$N$886*EFEITO!$AA$886</f>
        <v>971449.43290162599</v>
      </c>
      <c r="M886" s="83">
        <f>$J$886-EFEITO!$K$886*EFEITO!$Y$886</f>
        <v>0</v>
      </c>
      <c r="N886" s="83">
        <f ca="1">$K$886-EFEITO!$M$886*EFEITO!$Z$886</f>
        <v>0</v>
      </c>
      <c r="O886" s="83">
        <f>$L$886-EFEITO!$O$886*EFEITO!$AA$886</f>
        <v>0</v>
      </c>
      <c r="P886" s="61"/>
      <c r="Q886" s="61"/>
      <c r="R886" s="61"/>
      <c r="S886" s="61"/>
      <c r="T886" s="61"/>
      <c r="U886" s="61"/>
      <c r="V886" s="61"/>
      <c r="W886" s="61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 spans="1:36" ht="11.25" customHeight="1" x14ac:dyDescent="0.2">
      <c r="A887" s="57" t="s">
        <v>28</v>
      </c>
      <c r="B887" s="57" t="s">
        <v>35</v>
      </c>
      <c r="C887" s="57" t="s">
        <v>36</v>
      </c>
      <c r="D887" s="57" t="s">
        <v>45</v>
      </c>
      <c r="E887" s="57" t="s">
        <v>25</v>
      </c>
      <c r="F887" s="57" t="s">
        <v>25</v>
      </c>
      <c r="G887" s="57" t="s">
        <v>25</v>
      </c>
      <c r="H887" s="57" t="s">
        <v>37</v>
      </c>
      <c r="I887" s="82">
        <v>44409</v>
      </c>
      <c r="J887" s="83">
        <f>EFEITO!$J$887*EFEITO!$Y$887</f>
        <v>0</v>
      </c>
      <c r="K887" s="83">
        <f ca="1">EFEITO!$L$887*EFEITO!$Z$887</f>
        <v>227806.70093413725</v>
      </c>
      <c r="L887" s="83">
        <f>EFEITO!$N$887*EFEITO!$AA$887</f>
        <v>64445.598703508338</v>
      </c>
      <c r="M887" s="83">
        <f>$J$887-EFEITO!$K$887*EFEITO!$Y$887</f>
        <v>0</v>
      </c>
      <c r="N887" s="83">
        <f ca="1">$K$887-EFEITO!$M$887*EFEITO!$Z$887</f>
        <v>0</v>
      </c>
      <c r="O887" s="83">
        <f>$L$887-EFEITO!$O$887*EFEITO!$AA$887</f>
        <v>0</v>
      </c>
      <c r="P887" s="61"/>
      <c r="Q887" s="61"/>
      <c r="R887" s="61"/>
      <c r="S887" s="61"/>
      <c r="T887" s="61"/>
      <c r="U887" s="61"/>
      <c r="V887" s="61"/>
      <c r="W887" s="61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 spans="1:36" ht="11.25" customHeight="1" x14ac:dyDescent="0.2">
      <c r="A888" s="57" t="s">
        <v>30</v>
      </c>
      <c r="B888" s="57" t="s">
        <v>35</v>
      </c>
      <c r="C888" s="57" t="s">
        <v>36</v>
      </c>
      <c r="D888" s="57" t="s">
        <v>45</v>
      </c>
      <c r="E888" s="57" t="s">
        <v>25</v>
      </c>
      <c r="F888" s="57" t="s">
        <v>25</v>
      </c>
      <c r="G888" s="57" t="s">
        <v>25</v>
      </c>
      <c r="H888" s="57" t="s">
        <v>37</v>
      </c>
      <c r="I888" s="82">
        <v>44409</v>
      </c>
      <c r="J888" s="83">
        <f>EFEITO!$J$888*EFEITO!$Y$888</f>
        <v>0</v>
      </c>
      <c r="K888" s="83">
        <f ca="1">EFEITO!$L$888*EFEITO!$Z$888</f>
        <v>160151.0914771664</v>
      </c>
      <c r="L888" s="83">
        <f>EFEITO!$N$888*EFEITO!$AA$888</f>
        <v>45306.099122388434</v>
      </c>
      <c r="M888" s="83">
        <f>$J$888-EFEITO!$K$888*EFEITO!$Y$888</f>
        <v>0</v>
      </c>
      <c r="N888" s="83">
        <f ca="1">$K$888-EFEITO!$M$888*EFEITO!$Z$888</f>
        <v>0</v>
      </c>
      <c r="O888" s="83">
        <f>$L$888-EFEITO!$O$888*EFEITO!$AA$888</f>
        <v>0</v>
      </c>
      <c r="P888" s="61"/>
      <c r="Q888" s="61"/>
      <c r="R888" s="61"/>
      <c r="S888" s="61"/>
      <c r="T888" s="61"/>
      <c r="U888" s="61"/>
      <c r="V888" s="61"/>
      <c r="W888" s="61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 spans="1:36" ht="11.25" customHeight="1" x14ac:dyDescent="0.2">
      <c r="A889" s="57" t="s">
        <v>30</v>
      </c>
      <c r="B889" s="57" t="s">
        <v>35</v>
      </c>
      <c r="C889" s="57" t="s">
        <v>36</v>
      </c>
      <c r="D889" s="57" t="s">
        <v>45</v>
      </c>
      <c r="E889" s="57" t="s">
        <v>25</v>
      </c>
      <c r="F889" s="57" t="s">
        <v>25</v>
      </c>
      <c r="G889" s="57" t="s">
        <v>25</v>
      </c>
      <c r="H889" s="57" t="s">
        <v>37</v>
      </c>
      <c r="I889" s="82">
        <v>44409</v>
      </c>
      <c r="J889" s="83">
        <f>EFEITO!$J$889*EFEITO!$Y$889</f>
        <v>0</v>
      </c>
      <c r="K889" s="83">
        <f ca="1">EFEITO!$L$889*EFEITO!$Z$889</f>
        <v>-1.6059916314233351</v>
      </c>
      <c r="L889" s="83">
        <f>EFEITO!$N$889*EFEITO!$AA$889</f>
        <v>-0.45432856792840459</v>
      </c>
      <c r="M889" s="83">
        <f>$J$889-EFEITO!$K$889*EFEITO!$Y$889</f>
        <v>0</v>
      </c>
      <c r="N889" s="83">
        <f ca="1">$K$889-EFEITO!$M$889*EFEITO!$Z$889</f>
        <v>0</v>
      </c>
      <c r="O889" s="83">
        <f>$L$889-EFEITO!$O$889*EFEITO!$AA$889</f>
        <v>0</v>
      </c>
      <c r="P889" s="61"/>
      <c r="Q889" s="61"/>
      <c r="R889" s="61"/>
      <c r="S889" s="61"/>
      <c r="T889" s="61"/>
      <c r="U889" s="61"/>
      <c r="V889" s="61"/>
      <c r="W889" s="61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 spans="1:36" ht="11.25" customHeight="1" x14ac:dyDescent="0.2">
      <c r="A890" s="57" t="s">
        <v>21</v>
      </c>
      <c r="B890" s="57" t="s">
        <v>35</v>
      </c>
      <c r="C890" s="57" t="s">
        <v>36</v>
      </c>
      <c r="D890" s="57" t="s">
        <v>45</v>
      </c>
      <c r="E890" s="57" t="s">
        <v>25</v>
      </c>
      <c r="F890" s="57" t="s">
        <v>25</v>
      </c>
      <c r="G890" s="57" t="s">
        <v>25</v>
      </c>
      <c r="H890" s="57" t="s">
        <v>37</v>
      </c>
      <c r="I890" s="82">
        <v>44409</v>
      </c>
      <c r="J890" s="83">
        <f>EFEITO!$J$890*EFEITO!$Y$890</f>
        <v>0</v>
      </c>
      <c r="K890" s="83">
        <f ca="1">EFEITO!$L$890*EFEITO!$Z$890</f>
        <v>4909.5164172611348</v>
      </c>
      <c r="L890" s="83">
        <f>EFEITO!$N$890*EFEITO!$AA$890</f>
        <v>0</v>
      </c>
      <c r="M890" s="83">
        <f>$J$890-EFEITO!$K$890*EFEITO!$Y$890</f>
        <v>0</v>
      </c>
      <c r="N890" s="83">
        <f ca="1">$K$890-EFEITO!$M$890*EFEITO!$Z$890</f>
        <v>0</v>
      </c>
      <c r="O890" s="83">
        <f>$L$890-EFEITO!$O$890*EFEITO!$AA$890</f>
        <v>0</v>
      </c>
      <c r="P890" s="61"/>
      <c r="Q890" s="61"/>
      <c r="R890" s="61"/>
      <c r="S890" s="61"/>
      <c r="T890" s="61"/>
      <c r="U890" s="61"/>
      <c r="V890" s="61"/>
      <c r="W890" s="61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 spans="1:36" ht="11.25" customHeight="1" x14ac:dyDescent="0.2">
      <c r="A891" s="57" t="s">
        <v>21</v>
      </c>
      <c r="B891" s="57" t="s">
        <v>35</v>
      </c>
      <c r="C891" s="57" t="s">
        <v>36</v>
      </c>
      <c r="D891" s="57" t="s">
        <v>45</v>
      </c>
      <c r="E891" s="57" t="s">
        <v>25</v>
      </c>
      <c r="F891" s="57" t="s">
        <v>25</v>
      </c>
      <c r="G891" s="57" t="s">
        <v>25</v>
      </c>
      <c r="H891" s="57" t="s">
        <v>37</v>
      </c>
      <c r="I891" s="82">
        <v>44440</v>
      </c>
      <c r="J891" s="83">
        <f>EFEITO!$J$891*EFEITO!$Y$891</f>
        <v>0</v>
      </c>
      <c r="K891" s="83">
        <f ca="1">EFEITO!$L$891*EFEITO!$Z$891</f>
        <v>2751540.6441427059</v>
      </c>
      <c r="L891" s="83">
        <f>EFEITO!$N$891*EFEITO!$AA$891</f>
        <v>778399.7724460318</v>
      </c>
      <c r="M891" s="83">
        <f>$J$891-EFEITO!$K$891*EFEITO!$Y$891</f>
        <v>0</v>
      </c>
      <c r="N891" s="83">
        <f ca="1">$K$891-EFEITO!$M$891*EFEITO!$Z$891</f>
        <v>0</v>
      </c>
      <c r="O891" s="83">
        <f>$L$891-EFEITO!$O$891*EFEITO!$AA$891</f>
        <v>0</v>
      </c>
      <c r="P891" s="61"/>
      <c r="Q891" s="61"/>
      <c r="R891" s="61"/>
      <c r="S891" s="61"/>
      <c r="T891" s="61"/>
      <c r="U891" s="61"/>
      <c r="V891" s="61"/>
      <c r="W891" s="61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spans="1:36" ht="11.25" customHeight="1" x14ac:dyDescent="0.2">
      <c r="A892" s="57" t="s">
        <v>27</v>
      </c>
      <c r="B892" s="57" t="s">
        <v>35</v>
      </c>
      <c r="C892" s="57" t="s">
        <v>36</v>
      </c>
      <c r="D892" s="57" t="s">
        <v>45</v>
      </c>
      <c r="E892" s="57" t="s">
        <v>25</v>
      </c>
      <c r="F892" s="57" t="s">
        <v>25</v>
      </c>
      <c r="G892" s="57" t="s">
        <v>25</v>
      </c>
      <c r="H892" s="57" t="s">
        <v>37</v>
      </c>
      <c r="I892" s="82">
        <v>44440</v>
      </c>
      <c r="J892" s="83">
        <f>EFEITO!$J$892*EFEITO!$Y$892</f>
        <v>0</v>
      </c>
      <c r="K892" s="83">
        <f ca="1">EFEITO!$L$892*EFEITO!$Z$892</f>
        <v>-10543.335060294196</v>
      </c>
      <c r="L892" s="83">
        <f>EFEITO!$N$892*EFEITO!$AA$892</f>
        <v>-2982.6670484499764</v>
      </c>
      <c r="M892" s="83">
        <f>$J$892-EFEITO!$K$892*EFEITO!$Y$892</f>
        <v>0</v>
      </c>
      <c r="N892" s="83">
        <f ca="1">$K$892-EFEITO!$M$892*EFEITO!$Z$892</f>
        <v>0</v>
      </c>
      <c r="O892" s="83">
        <f>$L$892-EFEITO!$O$892*EFEITO!$AA$892</f>
        <v>0</v>
      </c>
      <c r="P892" s="61"/>
      <c r="Q892" s="61"/>
      <c r="R892" s="61"/>
      <c r="S892" s="61"/>
      <c r="T892" s="61"/>
      <c r="U892" s="61"/>
      <c r="V892" s="61"/>
      <c r="W892" s="61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 spans="1:36" ht="11.25" customHeight="1" x14ac:dyDescent="0.2">
      <c r="A893" s="57" t="s">
        <v>28</v>
      </c>
      <c r="B893" s="57" t="s">
        <v>35</v>
      </c>
      <c r="C893" s="57" t="s">
        <v>36</v>
      </c>
      <c r="D893" s="57" t="s">
        <v>45</v>
      </c>
      <c r="E893" s="57" t="s">
        <v>25</v>
      </c>
      <c r="F893" s="57" t="s">
        <v>25</v>
      </c>
      <c r="G893" s="57" t="s">
        <v>25</v>
      </c>
      <c r="H893" s="57" t="s">
        <v>37</v>
      </c>
      <c r="I893" s="82">
        <v>44440</v>
      </c>
      <c r="J893" s="83">
        <f>EFEITO!$J$893*EFEITO!$Y$893</f>
        <v>0</v>
      </c>
      <c r="K893" s="83">
        <f ca="1">EFEITO!$L$893*EFEITO!$Z$893</f>
        <v>259117.11378036658</v>
      </c>
      <c r="L893" s="83">
        <f>EFEITO!$N$893*EFEITO!$AA$893</f>
        <v>73303.188463840503</v>
      </c>
      <c r="M893" s="83">
        <f>$J$893-EFEITO!$K$893*EFEITO!$Y$893</f>
        <v>0</v>
      </c>
      <c r="N893" s="83">
        <f ca="1">$K$893-EFEITO!$M$893*EFEITO!$Z$893</f>
        <v>0</v>
      </c>
      <c r="O893" s="83">
        <f>$L$893-EFEITO!$O$893*EFEITO!$AA$893</f>
        <v>0</v>
      </c>
      <c r="P893" s="61"/>
      <c r="Q893" s="61"/>
      <c r="R893" s="61"/>
      <c r="S893" s="61"/>
      <c r="T893" s="61"/>
      <c r="U893" s="61"/>
      <c r="V893" s="61"/>
      <c r="W893" s="61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 spans="1:36" ht="11.25" customHeight="1" x14ac:dyDescent="0.2">
      <c r="A894" s="57" t="s">
        <v>30</v>
      </c>
      <c r="B894" s="57" t="s">
        <v>35</v>
      </c>
      <c r="C894" s="57" t="s">
        <v>36</v>
      </c>
      <c r="D894" s="57" t="s">
        <v>45</v>
      </c>
      <c r="E894" s="57" t="s">
        <v>25</v>
      </c>
      <c r="F894" s="57" t="s">
        <v>25</v>
      </c>
      <c r="G894" s="57" t="s">
        <v>25</v>
      </c>
      <c r="H894" s="57" t="s">
        <v>37</v>
      </c>
      <c r="I894" s="82">
        <v>44440</v>
      </c>
      <c r="J894" s="83">
        <f>EFEITO!$J$894*EFEITO!$Y$894</f>
        <v>0</v>
      </c>
      <c r="K894" s="83">
        <f ca="1">EFEITO!$L$894*EFEITO!$Z$894</f>
        <v>154592.75444081024</v>
      </c>
      <c r="L894" s="83">
        <f>EFEITO!$N$894*EFEITO!$AA$894</f>
        <v>43733.667948788228</v>
      </c>
      <c r="M894" s="83">
        <f>$J$894-EFEITO!$K$894*EFEITO!$Y$894</f>
        <v>0</v>
      </c>
      <c r="N894" s="83">
        <f ca="1">$K$894-EFEITO!$M$894*EFEITO!$Z$894</f>
        <v>0</v>
      </c>
      <c r="O894" s="83">
        <f>$L$894-EFEITO!$O$894*EFEITO!$AA$894</f>
        <v>0</v>
      </c>
      <c r="P894" s="61"/>
      <c r="Q894" s="61"/>
      <c r="R894" s="61"/>
      <c r="S894" s="61"/>
      <c r="T894" s="61"/>
      <c r="U894" s="61"/>
      <c r="V894" s="61"/>
      <c r="W894" s="61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 spans="1:36" ht="11.25" customHeight="1" x14ac:dyDescent="0.2">
      <c r="A895" s="57" t="s">
        <v>21</v>
      </c>
      <c r="B895" s="57" t="s">
        <v>35</v>
      </c>
      <c r="C895" s="57" t="s">
        <v>36</v>
      </c>
      <c r="D895" s="57" t="s">
        <v>45</v>
      </c>
      <c r="E895" s="57" t="s">
        <v>25</v>
      </c>
      <c r="F895" s="57" t="s">
        <v>25</v>
      </c>
      <c r="G895" s="57" t="s">
        <v>25</v>
      </c>
      <c r="H895" s="57" t="s">
        <v>37</v>
      </c>
      <c r="I895" s="82">
        <v>44440</v>
      </c>
      <c r="J895" s="83">
        <f>EFEITO!$J$895*EFEITO!$Y$895</f>
        <v>0</v>
      </c>
      <c r="K895" s="83">
        <f ca="1">EFEITO!$L$895*EFEITO!$Z$895</f>
        <v>4416.4769864141717</v>
      </c>
      <c r="L895" s="83">
        <f>EFEITO!$N$895*EFEITO!$AA$895</f>
        <v>0</v>
      </c>
      <c r="M895" s="83">
        <f>$J$895-EFEITO!$K$895*EFEITO!$Y$895</f>
        <v>0</v>
      </c>
      <c r="N895" s="83">
        <f ca="1">$K$895-EFEITO!$M$895*EFEITO!$Z$895</f>
        <v>0</v>
      </c>
      <c r="O895" s="83">
        <f>$L$895-EFEITO!$O$895*EFEITO!$AA$895</f>
        <v>0</v>
      </c>
      <c r="P895" s="61"/>
      <c r="Q895" s="61"/>
      <c r="R895" s="61"/>
      <c r="S895" s="61"/>
      <c r="T895" s="61"/>
      <c r="U895" s="61"/>
      <c r="V895" s="61"/>
      <c r="W895" s="61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 spans="1:36" ht="11.25" customHeight="1" x14ac:dyDescent="0.2">
      <c r="A896" s="57" t="s">
        <v>59</v>
      </c>
      <c r="B896" s="57" t="s">
        <v>35</v>
      </c>
      <c r="C896" s="57" t="s">
        <v>36</v>
      </c>
      <c r="D896" s="57" t="s">
        <v>45</v>
      </c>
      <c r="E896" s="57" t="s">
        <v>25</v>
      </c>
      <c r="F896" s="57" t="s">
        <v>25</v>
      </c>
      <c r="G896" s="57" t="s">
        <v>25</v>
      </c>
      <c r="H896" s="57" t="s">
        <v>37</v>
      </c>
      <c r="I896" s="82">
        <v>44470</v>
      </c>
      <c r="J896" s="83">
        <f>EFEITO!$J$896*EFEITO!$Y$896</f>
        <v>0</v>
      </c>
      <c r="K896" s="83">
        <f ca="1">EFEITO!$L$896*EFEITO!$Z$896</f>
        <v>2751540.6441427059</v>
      </c>
      <c r="L896" s="83">
        <f>EFEITO!$N$896*EFEITO!$AA$896</f>
        <v>778399.7724460318</v>
      </c>
      <c r="M896" s="83">
        <f>$J$896-EFEITO!$K$896*EFEITO!$Y$896</f>
        <v>0</v>
      </c>
      <c r="N896" s="83">
        <f ca="1">$K$896-EFEITO!$M$896*EFEITO!$Z$896</f>
        <v>0</v>
      </c>
      <c r="O896" s="83">
        <f>$L$896-EFEITO!$O$896*EFEITO!$AA$896</f>
        <v>0</v>
      </c>
      <c r="P896" s="61"/>
      <c r="Q896" s="61"/>
      <c r="R896" s="61"/>
      <c r="S896" s="61"/>
      <c r="T896" s="61"/>
      <c r="U896" s="61"/>
      <c r="V896" s="61"/>
      <c r="W896" s="61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 spans="1:36" ht="11.25" customHeight="1" x14ac:dyDescent="0.2">
      <c r="A897" s="57" t="s">
        <v>59</v>
      </c>
      <c r="B897" s="57" t="s">
        <v>35</v>
      </c>
      <c r="C897" s="57" t="s">
        <v>36</v>
      </c>
      <c r="D897" s="57" t="s">
        <v>45</v>
      </c>
      <c r="E897" s="57" t="s">
        <v>25</v>
      </c>
      <c r="F897" s="57" t="s">
        <v>25</v>
      </c>
      <c r="G897" s="57" t="s">
        <v>25</v>
      </c>
      <c r="H897" s="57" t="s">
        <v>37</v>
      </c>
      <c r="I897" s="82">
        <v>44470</v>
      </c>
      <c r="J897" s="83">
        <f>EFEITO!$J$897*EFEITO!$Y$897</f>
        <v>0</v>
      </c>
      <c r="K897" s="83">
        <f ca="1">EFEITO!$L$897*EFEITO!$Z$897</f>
        <v>-10543.335060294196</v>
      </c>
      <c r="L897" s="83">
        <f>EFEITO!$N$897*EFEITO!$AA$897</f>
        <v>-2982.6670484499764</v>
      </c>
      <c r="M897" s="83">
        <f>$J$897-EFEITO!$K$897*EFEITO!$Y$897</f>
        <v>0</v>
      </c>
      <c r="N897" s="83">
        <f ca="1">$K$897-EFEITO!$M$897*EFEITO!$Z$897</f>
        <v>0</v>
      </c>
      <c r="O897" s="83">
        <f>$L$897-EFEITO!$O$897*EFEITO!$AA$897</f>
        <v>0</v>
      </c>
      <c r="P897" s="61"/>
      <c r="Q897" s="61"/>
      <c r="R897" s="61"/>
      <c r="S897" s="61"/>
      <c r="T897" s="61"/>
      <c r="U897" s="61"/>
      <c r="V897" s="61"/>
      <c r="W897" s="61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 spans="1:36" ht="11.25" customHeight="1" x14ac:dyDescent="0.2">
      <c r="A898" s="57" t="s">
        <v>59</v>
      </c>
      <c r="B898" s="57" t="s">
        <v>35</v>
      </c>
      <c r="C898" s="57" t="s">
        <v>36</v>
      </c>
      <c r="D898" s="57" t="s">
        <v>45</v>
      </c>
      <c r="E898" s="57" t="s">
        <v>25</v>
      </c>
      <c r="F898" s="57" t="s">
        <v>25</v>
      </c>
      <c r="G898" s="57" t="s">
        <v>25</v>
      </c>
      <c r="H898" s="57" t="s">
        <v>37</v>
      </c>
      <c r="I898" s="82">
        <v>44470</v>
      </c>
      <c r="J898" s="83">
        <f>EFEITO!$J$898*EFEITO!$Y$898</f>
        <v>0</v>
      </c>
      <c r="K898" s="83">
        <f ca="1">EFEITO!$L$898*EFEITO!$Z$898</f>
        <v>259117.11378036658</v>
      </c>
      <c r="L898" s="83">
        <f>EFEITO!$N$898*EFEITO!$AA$898</f>
        <v>73303.188463840503</v>
      </c>
      <c r="M898" s="83">
        <f>$J$898-EFEITO!$K$898*EFEITO!$Y$898</f>
        <v>0</v>
      </c>
      <c r="N898" s="83">
        <f ca="1">$K$898-EFEITO!$M$898*EFEITO!$Z$898</f>
        <v>0</v>
      </c>
      <c r="O898" s="83">
        <f>$L$898-EFEITO!$O$898*EFEITO!$AA$898</f>
        <v>0</v>
      </c>
      <c r="P898" s="61"/>
      <c r="Q898" s="61"/>
      <c r="R898" s="61"/>
      <c r="S898" s="61"/>
      <c r="T898" s="61"/>
      <c r="U898" s="61"/>
      <c r="V898" s="61"/>
      <c r="W898" s="61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 spans="1:36" ht="11.25" customHeight="1" x14ac:dyDescent="0.2">
      <c r="A899" s="57" t="s">
        <v>59</v>
      </c>
      <c r="B899" s="57" t="s">
        <v>35</v>
      </c>
      <c r="C899" s="57" t="s">
        <v>36</v>
      </c>
      <c r="D899" s="57" t="s">
        <v>45</v>
      </c>
      <c r="E899" s="57" t="s">
        <v>25</v>
      </c>
      <c r="F899" s="57" t="s">
        <v>25</v>
      </c>
      <c r="G899" s="57" t="s">
        <v>25</v>
      </c>
      <c r="H899" s="57" t="s">
        <v>37</v>
      </c>
      <c r="I899" s="82">
        <v>44470</v>
      </c>
      <c r="J899" s="83">
        <f>EFEITO!$J$899*EFEITO!$Y$899</f>
        <v>0</v>
      </c>
      <c r="K899" s="83">
        <f ca="1">EFEITO!$L$899*EFEITO!$Z$899</f>
        <v>154592.75444081024</v>
      </c>
      <c r="L899" s="83">
        <f>EFEITO!$N$899*EFEITO!$AA$899</f>
        <v>43733.667948788228</v>
      </c>
      <c r="M899" s="83">
        <f>$J$899-EFEITO!$K$899*EFEITO!$Y$899</f>
        <v>0</v>
      </c>
      <c r="N899" s="83">
        <f ca="1">$K$899-EFEITO!$M$899*EFEITO!$Z$899</f>
        <v>0</v>
      </c>
      <c r="O899" s="83">
        <f>$L$899-EFEITO!$O$899*EFEITO!$AA$899</f>
        <v>0</v>
      </c>
      <c r="P899" s="61"/>
      <c r="Q899" s="61"/>
      <c r="R899" s="61"/>
      <c r="S899" s="61"/>
      <c r="T899" s="61"/>
      <c r="U899" s="61"/>
      <c r="V899" s="61"/>
      <c r="W899" s="61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 spans="1:36" ht="11.25" customHeight="1" x14ac:dyDescent="0.2">
      <c r="A900" s="57" t="s">
        <v>59</v>
      </c>
      <c r="B900" s="57" t="s">
        <v>35</v>
      </c>
      <c r="C900" s="57" t="s">
        <v>36</v>
      </c>
      <c r="D900" s="57" t="s">
        <v>45</v>
      </c>
      <c r="E900" s="57" t="s">
        <v>25</v>
      </c>
      <c r="F900" s="57" t="s">
        <v>25</v>
      </c>
      <c r="G900" s="57" t="s">
        <v>25</v>
      </c>
      <c r="H900" s="57" t="s">
        <v>37</v>
      </c>
      <c r="I900" s="82">
        <v>44470</v>
      </c>
      <c r="J900" s="83">
        <f>EFEITO!$J$900*EFEITO!$Y$900</f>
        <v>0</v>
      </c>
      <c r="K900" s="83">
        <f ca="1">EFEITO!$L$900*EFEITO!$Z$900</f>
        <v>4416.4769864141717</v>
      </c>
      <c r="L900" s="83">
        <f>EFEITO!$N$900*EFEITO!$AA$900</f>
        <v>0</v>
      </c>
      <c r="M900" s="83">
        <f>$J$900-EFEITO!$K$900*EFEITO!$Y$900</f>
        <v>0</v>
      </c>
      <c r="N900" s="83">
        <f ca="1">$K$900-EFEITO!$M$900*EFEITO!$Z$900</f>
        <v>0</v>
      </c>
      <c r="O900" s="83">
        <f>$L$900-EFEITO!$O$900*EFEITO!$AA$900</f>
        <v>0</v>
      </c>
      <c r="P900" s="61"/>
      <c r="Q900" s="61"/>
      <c r="R900" s="61"/>
      <c r="S900" s="61"/>
      <c r="T900" s="61"/>
      <c r="U900" s="61"/>
      <c r="V900" s="61"/>
      <c r="W900" s="61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 spans="1:36" ht="11.25" customHeight="1" x14ac:dyDescent="0.2">
      <c r="A901" s="57" t="s">
        <v>21</v>
      </c>
      <c r="B901" s="57" t="s">
        <v>35</v>
      </c>
      <c r="C901" s="57" t="s">
        <v>36</v>
      </c>
      <c r="D901" s="57" t="s">
        <v>54</v>
      </c>
      <c r="E901" s="57" t="s">
        <v>25</v>
      </c>
      <c r="F901" s="57" t="s">
        <v>25</v>
      </c>
      <c r="G901" s="57" t="s">
        <v>25</v>
      </c>
      <c r="H901" s="57" t="s">
        <v>38</v>
      </c>
      <c r="I901" s="82">
        <v>44136</v>
      </c>
      <c r="J901" s="83">
        <f>EFEITO!$J$901*EFEITO!$Y$901</f>
        <v>0</v>
      </c>
      <c r="K901" s="83">
        <f ca="1">EFEITO!$L$901*EFEITO!$Z$901</f>
        <v>33841.362778710063</v>
      </c>
      <c r="L901" s="83">
        <f>EFEITO!$N$901*EFEITO!$AA$901</f>
        <v>56816.320963371538</v>
      </c>
      <c r="M901" s="83">
        <f>$J$901-EFEITO!$K$901*EFEITO!$Y$901</f>
        <v>0</v>
      </c>
      <c r="N901" s="83">
        <f ca="1">$K$901-EFEITO!$M$901*EFEITO!$Z$901</f>
        <v>0</v>
      </c>
      <c r="O901" s="83">
        <f>$L$901-EFEITO!$O$901*EFEITO!$AA$901</f>
        <v>0</v>
      </c>
      <c r="P901" s="61"/>
      <c r="Q901" s="61"/>
      <c r="R901" s="61"/>
      <c r="S901" s="61"/>
      <c r="T901" s="61"/>
      <c r="U901" s="61"/>
      <c r="V901" s="61"/>
      <c r="W901" s="61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 spans="1:36" ht="11.25" customHeight="1" x14ac:dyDescent="0.2">
      <c r="A902" s="57" t="s">
        <v>21</v>
      </c>
      <c r="B902" s="57" t="s">
        <v>35</v>
      </c>
      <c r="C902" s="57" t="s">
        <v>36</v>
      </c>
      <c r="D902" s="57" t="s">
        <v>54</v>
      </c>
      <c r="E902" s="57" t="s">
        <v>25</v>
      </c>
      <c r="F902" s="57" t="s">
        <v>25</v>
      </c>
      <c r="G902" s="57" t="s">
        <v>25</v>
      </c>
      <c r="H902" s="57" t="s">
        <v>38</v>
      </c>
      <c r="I902" s="82">
        <v>44166</v>
      </c>
      <c r="J902" s="83">
        <f>EFEITO!$J$902*EFEITO!$Y$902</f>
        <v>0</v>
      </c>
      <c r="K902" s="83">
        <f ca="1">EFEITO!$L$902*EFEITO!$Z$902</f>
        <v>32457.530891233193</v>
      </c>
      <c r="L902" s="83">
        <f>EFEITO!$N$902*EFEITO!$AA$902</f>
        <v>54493.003276895346</v>
      </c>
      <c r="M902" s="83">
        <f>$J$902-EFEITO!$K$902*EFEITO!$Y$902</f>
        <v>0</v>
      </c>
      <c r="N902" s="83">
        <f ca="1">$K$902-EFEITO!$M$902*EFEITO!$Z$902</f>
        <v>0</v>
      </c>
      <c r="O902" s="83">
        <f>$L$902-EFEITO!$O$902*EFEITO!$AA$902</f>
        <v>0</v>
      </c>
      <c r="P902" s="61"/>
      <c r="Q902" s="61"/>
      <c r="R902" s="61"/>
      <c r="S902" s="61"/>
      <c r="T902" s="61"/>
      <c r="U902" s="61"/>
      <c r="V902" s="61"/>
      <c r="W902" s="61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 spans="1:36" ht="11.25" customHeight="1" x14ac:dyDescent="0.2">
      <c r="A903" s="57" t="s">
        <v>21</v>
      </c>
      <c r="B903" s="57" t="s">
        <v>35</v>
      </c>
      <c r="C903" s="57" t="s">
        <v>36</v>
      </c>
      <c r="D903" s="57" t="s">
        <v>54</v>
      </c>
      <c r="E903" s="57" t="s">
        <v>25</v>
      </c>
      <c r="F903" s="57" t="s">
        <v>25</v>
      </c>
      <c r="G903" s="57" t="s">
        <v>25</v>
      </c>
      <c r="H903" s="57" t="s">
        <v>38</v>
      </c>
      <c r="I903" s="82">
        <v>44197</v>
      </c>
      <c r="J903" s="83">
        <f>EFEITO!$J$903*EFEITO!$Y$903</f>
        <v>0</v>
      </c>
      <c r="K903" s="83">
        <f ca="1">EFEITO!$L$903*EFEITO!$Z$903</f>
        <v>28946.386077854237</v>
      </c>
      <c r="L903" s="83">
        <f>EFEITO!$N$903*EFEITO!$AA$903</f>
        <v>48598.136336391479</v>
      </c>
      <c r="M903" s="83">
        <f>$J$903-EFEITO!$K$903*EFEITO!$Y$903</f>
        <v>0</v>
      </c>
      <c r="N903" s="83">
        <f ca="1">$K$903-EFEITO!$M$903*EFEITO!$Z$903</f>
        <v>0</v>
      </c>
      <c r="O903" s="83">
        <f>$L$903-EFEITO!$O$903*EFEITO!$AA$903</f>
        <v>0</v>
      </c>
      <c r="P903" s="61"/>
      <c r="Q903" s="61"/>
      <c r="R903" s="61"/>
      <c r="S903" s="61"/>
      <c r="T903" s="61"/>
      <c r="U903" s="61"/>
      <c r="V903" s="61"/>
      <c r="W903" s="61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 spans="1:36" ht="11.25" customHeight="1" x14ac:dyDescent="0.2">
      <c r="A904" s="57" t="s">
        <v>21</v>
      </c>
      <c r="B904" s="57" t="s">
        <v>35</v>
      </c>
      <c r="C904" s="57" t="s">
        <v>36</v>
      </c>
      <c r="D904" s="57" t="s">
        <v>54</v>
      </c>
      <c r="E904" s="57" t="s">
        <v>25</v>
      </c>
      <c r="F904" s="57" t="s">
        <v>25</v>
      </c>
      <c r="G904" s="57" t="s">
        <v>25</v>
      </c>
      <c r="H904" s="57" t="s">
        <v>38</v>
      </c>
      <c r="I904" s="82">
        <v>44228</v>
      </c>
      <c r="J904" s="83">
        <f>EFEITO!$J$904*EFEITO!$Y$904</f>
        <v>0</v>
      </c>
      <c r="K904" s="83">
        <f ca="1">EFEITO!$L$904*EFEITO!$Z$904</f>
        <v>28772.143241559657</v>
      </c>
      <c r="L904" s="83">
        <f>EFEITO!$N$904*EFEITO!$AA$904</f>
        <v>48305.59974508408</v>
      </c>
      <c r="M904" s="83">
        <f>$J$904-EFEITO!$K$904*EFEITO!$Y$904</f>
        <v>0</v>
      </c>
      <c r="N904" s="83">
        <f ca="1">$K$904-EFEITO!$M$904*EFEITO!$Z$904</f>
        <v>0</v>
      </c>
      <c r="O904" s="83">
        <f>$L$904-EFEITO!$O$904*EFEITO!$AA$904</f>
        <v>0</v>
      </c>
      <c r="P904" s="61"/>
      <c r="Q904" s="61"/>
      <c r="R904" s="61"/>
      <c r="S904" s="61"/>
      <c r="T904" s="61"/>
      <c r="U904" s="61"/>
      <c r="V904" s="61"/>
      <c r="W904" s="61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 spans="1:36" ht="11.25" customHeight="1" x14ac:dyDescent="0.2">
      <c r="A905" s="57" t="s">
        <v>21</v>
      </c>
      <c r="B905" s="57" t="s">
        <v>35</v>
      </c>
      <c r="C905" s="57" t="s">
        <v>36</v>
      </c>
      <c r="D905" s="57" t="s">
        <v>54</v>
      </c>
      <c r="E905" s="57" t="s">
        <v>25</v>
      </c>
      <c r="F905" s="57" t="s">
        <v>25</v>
      </c>
      <c r="G905" s="57" t="s">
        <v>25</v>
      </c>
      <c r="H905" s="57" t="s">
        <v>38</v>
      </c>
      <c r="I905" s="82">
        <v>44256</v>
      </c>
      <c r="J905" s="83">
        <f>EFEITO!$J$905*EFEITO!$Y$905</f>
        <v>0</v>
      </c>
      <c r="K905" s="83">
        <f ca="1">EFEITO!$L$905*EFEITO!$Z$905</f>
        <v>32973.181838101096</v>
      </c>
      <c r="L905" s="83">
        <f>EFEITO!$N$905*EFEITO!$AA$905</f>
        <v>55358.730520029436</v>
      </c>
      <c r="M905" s="83">
        <f>$J$905-EFEITO!$K$905*EFEITO!$Y$905</f>
        <v>0</v>
      </c>
      <c r="N905" s="83">
        <f ca="1">$K$905-EFEITO!$M$905*EFEITO!$Z$905</f>
        <v>0</v>
      </c>
      <c r="O905" s="83">
        <f>$L$905-EFEITO!$O$905*EFEITO!$AA$905</f>
        <v>0</v>
      </c>
      <c r="P905" s="61"/>
      <c r="Q905" s="61"/>
      <c r="R905" s="61"/>
      <c r="S905" s="61"/>
      <c r="T905" s="61"/>
      <c r="U905" s="61"/>
      <c r="V905" s="61"/>
      <c r="W905" s="61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 spans="1:36" ht="11.25" customHeight="1" x14ac:dyDescent="0.2">
      <c r="A906" s="57" t="s">
        <v>21</v>
      </c>
      <c r="B906" s="57" t="s">
        <v>35</v>
      </c>
      <c r="C906" s="57" t="s">
        <v>36</v>
      </c>
      <c r="D906" s="57" t="s">
        <v>54</v>
      </c>
      <c r="E906" s="57" t="s">
        <v>25</v>
      </c>
      <c r="F906" s="57" t="s">
        <v>25</v>
      </c>
      <c r="G906" s="57" t="s">
        <v>25</v>
      </c>
      <c r="H906" s="57" t="s">
        <v>38</v>
      </c>
      <c r="I906" s="82">
        <v>44287</v>
      </c>
      <c r="J906" s="83">
        <f>EFEITO!$J$906*EFEITO!$Y$906</f>
        <v>0</v>
      </c>
      <c r="K906" s="83">
        <f ca="1">EFEITO!$L$906*EFEITO!$Z$906</f>
        <v>33197.810175413157</v>
      </c>
      <c r="L906" s="83">
        <f>EFEITO!$N$906*EFEITO!$AA$906</f>
        <v>55735.859413852224</v>
      </c>
      <c r="M906" s="83">
        <f>$J$906-EFEITO!$K$906*EFEITO!$Y$906</f>
        <v>0</v>
      </c>
      <c r="N906" s="83">
        <f ca="1">$K$906-EFEITO!$M$906*EFEITO!$Z$906</f>
        <v>0</v>
      </c>
      <c r="O906" s="83">
        <f>$L$906-EFEITO!$O$906*EFEITO!$AA$906</f>
        <v>0</v>
      </c>
      <c r="P906" s="61"/>
      <c r="Q906" s="61"/>
      <c r="R906" s="61"/>
      <c r="S906" s="61"/>
      <c r="T906" s="61"/>
      <c r="U906" s="61"/>
      <c r="V906" s="61"/>
      <c r="W906" s="61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 spans="1:36" ht="11.25" customHeight="1" x14ac:dyDescent="0.2">
      <c r="A907" s="57" t="s">
        <v>21</v>
      </c>
      <c r="B907" s="57" t="s">
        <v>35</v>
      </c>
      <c r="C907" s="57" t="s">
        <v>36</v>
      </c>
      <c r="D907" s="57" t="s">
        <v>54</v>
      </c>
      <c r="E907" s="57" t="s">
        <v>25</v>
      </c>
      <c r="F907" s="57" t="s">
        <v>25</v>
      </c>
      <c r="G907" s="57" t="s">
        <v>25</v>
      </c>
      <c r="H907" s="57" t="s">
        <v>38</v>
      </c>
      <c r="I907" s="82">
        <v>44317</v>
      </c>
      <c r="J907" s="83">
        <f>EFEITO!$J$907*EFEITO!$Y$907</f>
        <v>0</v>
      </c>
      <c r="K907" s="83">
        <f ca="1">EFEITO!$L$907*EFEITO!$Z$907</f>
        <v>35620.527058785658</v>
      </c>
      <c r="L907" s="83">
        <f>EFEITO!$N$907*EFEITO!$AA$907</f>
        <v>59803.362869583856</v>
      </c>
      <c r="M907" s="83">
        <f>$J$907-EFEITO!$K$907*EFEITO!$Y$907</f>
        <v>0</v>
      </c>
      <c r="N907" s="83">
        <f ca="1">$K$907-EFEITO!$M$907*EFEITO!$Z$907</f>
        <v>0</v>
      </c>
      <c r="O907" s="83">
        <f>$L$907-EFEITO!$O$907*EFEITO!$AA$907</f>
        <v>0</v>
      </c>
      <c r="P907" s="61"/>
      <c r="Q907" s="61"/>
      <c r="R907" s="61"/>
      <c r="S907" s="61"/>
      <c r="T907" s="61"/>
      <c r="U907" s="61"/>
      <c r="V907" s="61"/>
      <c r="W907" s="61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 spans="1:36" ht="11.25" customHeight="1" x14ac:dyDescent="0.2">
      <c r="A908" s="57" t="s">
        <v>21</v>
      </c>
      <c r="B908" s="57" t="s">
        <v>35</v>
      </c>
      <c r="C908" s="57" t="s">
        <v>36</v>
      </c>
      <c r="D908" s="57" t="s">
        <v>54</v>
      </c>
      <c r="E908" s="57" t="s">
        <v>25</v>
      </c>
      <c r="F908" s="57" t="s">
        <v>25</v>
      </c>
      <c r="G908" s="57" t="s">
        <v>25</v>
      </c>
      <c r="H908" s="57" t="s">
        <v>38</v>
      </c>
      <c r="I908" s="82">
        <v>44348</v>
      </c>
      <c r="J908" s="83">
        <f>EFEITO!$J$908*EFEITO!$Y$908</f>
        <v>0</v>
      </c>
      <c r="K908" s="83">
        <f ca="1">EFEITO!$L$908*EFEITO!$Z$908</f>
        <v>34302.078363264583</v>
      </c>
      <c r="L908" s="83">
        <f>EFEITO!$N$908*EFEITO!$AA$908</f>
        <v>57589.817134197874</v>
      </c>
      <c r="M908" s="83">
        <f>$J$908-EFEITO!$K$908*EFEITO!$Y$908</f>
        <v>0</v>
      </c>
      <c r="N908" s="83">
        <f ca="1">$K$908-EFEITO!$M$908*EFEITO!$Z$908</f>
        <v>0</v>
      </c>
      <c r="O908" s="83">
        <f>$L$908-EFEITO!$O$908*EFEITO!$AA$908</f>
        <v>0</v>
      </c>
      <c r="P908" s="61"/>
      <c r="Q908" s="61"/>
      <c r="R908" s="61"/>
      <c r="S908" s="61"/>
      <c r="T908" s="61"/>
      <c r="U908" s="61"/>
      <c r="V908" s="61"/>
      <c r="W908" s="61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 spans="1:36" ht="11.25" customHeight="1" x14ac:dyDescent="0.2">
      <c r="A909" s="57" t="s">
        <v>21</v>
      </c>
      <c r="B909" s="57" t="s">
        <v>35</v>
      </c>
      <c r="C909" s="57" t="s">
        <v>36</v>
      </c>
      <c r="D909" s="57" t="s">
        <v>54</v>
      </c>
      <c r="E909" s="57" t="s">
        <v>25</v>
      </c>
      <c r="F909" s="57" t="s">
        <v>25</v>
      </c>
      <c r="G909" s="57" t="s">
        <v>25</v>
      </c>
      <c r="H909" s="57" t="s">
        <v>38</v>
      </c>
      <c r="I909" s="82">
        <v>44378</v>
      </c>
      <c r="J909" s="83">
        <f>EFEITO!$J$909*EFEITO!$Y$909</f>
        <v>0</v>
      </c>
      <c r="K909" s="83">
        <f ca="1">EFEITO!$L$909*EFEITO!$Z$909</f>
        <v>35537.618475171599</v>
      </c>
      <c r="L909" s="83">
        <f>EFEITO!$N$909*EFEITO!$AA$909</f>
        <v>59664.167508923085</v>
      </c>
      <c r="M909" s="83">
        <f>$J$909-EFEITO!$K$909*EFEITO!$Y$909</f>
        <v>0</v>
      </c>
      <c r="N909" s="83">
        <f ca="1">$K$909-EFEITO!$M$909*EFEITO!$Z$909</f>
        <v>0</v>
      </c>
      <c r="O909" s="83">
        <f>$L$909-EFEITO!$O$909*EFEITO!$AA$909</f>
        <v>0</v>
      </c>
      <c r="P909" s="61"/>
      <c r="Q909" s="61"/>
      <c r="R909" s="61"/>
      <c r="S909" s="61"/>
      <c r="T909" s="61"/>
      <c r="U909" s="61"/>
      <c r="V909" s="61"/>
      <c r="W909" s="61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 spans="1:36" ht="11.25" customHeight="1" x14ac:dyDescent="0.2">
      <c r="A910" s="57" t="s">
        <v>21</v>
      </c>
      <c r="B910" s="57" t="s">
        <v>35</v>
      </c>
      <c r="C910" s="57" t="s">
        <v>36</v>
      </c>
      <c r="D910" s="57" t="s">
        <v>54</v>
      </c>
      <c r="E910" s="57" t="s">
        <v>25</v>
      </c>
      <c r="F910" s="57" t="s">
        <v>25</v>
      </c>
      <c r="G910" s="57" t="s">
        <v>25</v>
      </c>
      <c r="H910" s="57" t="s">
        <v>38</v>
      </c>
      <c r="I910" s="82">
        <v>44409</v>
      </c>
      <c r="J910" s="83">
        <f>EFEITO!$J$910*EFEITO!$Y$910</f>
        <v>0</v>
      </c>
      <c r="K910" s="83">
        <f ca="1">EFEITO!$L$910*EFEITO!$Z$910</f>
        <v>37678.749498342702</v>
      </c>
      <c r="L910" s="83">
        <f>EFEITO!$N$910*EFEITO!$AA$910</f>
        <v>63258.915989727568</v>
      </c>
      <c r="M910" s="83">
        <f>$J$910-EFEITO!$K$910*EFEITO!$Y$910</f>
        <v>0</v>
      </c>
      <c r="N910" s="83">
        <f ca="1">$K$910-EFEITO!$M$910*EFEITO!$Z$910</f>
        <v>0</v>
      </c>
      <c r="O910" s="83">
        <f>$L$910-EFEITO!$O$910*EFEITO!$AA$910</f>
        <v>0</v>
      </c>
      <c r="P910" s="61"/>
      <c r="Q910" s="61"/>
      <c r="R910" s="61"/>
      <c r="S910" s="61"/>
      <c r="T910" s="61"/>
      <c r="U910" s="61"/>
      <c r="V910" s="61"/>
      <c r="W910" s="61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 spans="1:36" ht="11.25" customHeight="1" x14ac:dyDescent="0.2">
      <c r="A911" s="57" t="s">
        <v>21</v>
      </c>
      <c r="B911" s="57" t="s">
        <v>35</v>
      </c>
      <c r="C911" s="57" t="s">
        <v>36</v>
      </c>
      <c r="D911" s="57" t="s">
        <v>54</v>
      </c>
      <c r="E911" s="57" t="s">
        <v>25</v>
      </c>
      <c r="F911" s="57" t="s">
        <v>25</v>
      </c>
      <c r="G911" s="57" t="s">
        <v>25</v>
      </c>
      <c r="H911" s="57" t="s">
        <v>38</v>
      </c>
      <c r="I911" s="82">
        <v>44440</v>
      </c>
      <c r="J911" s="83">
        <f>EFEITO!$J$911*EFEITO!$Y$911</f>
        <v>0</v>
      </c>
      <c r="K911" s="83">
        <f ca="1">EFEITO!$L$911*EFEITO!$Z$911</f>
        <v>35357.140643767838</v>
      </c>
      <c r="L911" s="83">
        <f>EFEITO!$N$911*EFEITO!$AA$911</f>
        <v>59361.162973826154</v>
      </c>
      <c r="M911" s="83">
        <f>$J$911-EFEITO!$K$911*EFEITO!$Y$911</f>
        <v>0</v>
      </c>
      <c r="N911" s="83">
        <f ca="1">$K$911-EFEITO!$M$911*EFEITO!$Z$911</f>
        <v>0</v>
      </c>
      <c r="O911" s="83">
        <f>$L$911-EFEITO!$O$911*EFEITO!$AA$911</f>
        <v>0</v>
      </c>
      <c r="P911" s="61"/>
      <c r="Q911" s="61"/>
      <c r="R911" s="61"/>
      <c r="S911" s="61"/>
      <c r="T911" s="61"/>
      <c r="U911" s="61"/>
      <c r="V911" s="61"/>
      <c r="W911" s="61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 spans="1:36" ht="11.25" customHeight="1" x14ac:dyDescent="0.2">
      <c r="A912" s="57" t="s">
        <v>59</v>
      </c>
      <c r="B912" s="57" t="s">
        <v>35</v>
      </c>
      <c r="C912" s="57" t="s">
        <v>36</v>
      </c>
      <c r="D912" s="57" t="s">
        <v>54</v>
      </c>
      <c r="E912" s="57" t="s">
        <v>25</v>
      </c>
      <c r="F912" s="57" t="s">
        <v>25</v>
      </c>
      <c r="G912" s="57" t="s">
        <v>25</v>
      </c>
      <c r="H912" s="57" t="s">
        <v>38</v>
      </c>
      <c r="I912" s="82">
        <v>44470</v>
      </c>
      <c r="J912" s="83">
        <f>EFEITO!$J$912*EFEITO!$Y$912</f>
        <v>0</v>
      </c>
      <c r="K912" s="83">
        <f ca="1">EFEITO!$L$912*EFEITO!$Z$912</f>
        <v>35357.140643767838</v>
      </c>
      <c r="L912" s="83">
        <f>EFEITO!$N$912*EFEITO!$AA$912</f>
        <v>59361.162973826154</v>
      </c>
      <c r="M912" s="83">
        <f>$J$912-EFEITO!$K$912*EFEITO!$Y$912</f>
        <v>0</v>
      </c>
      <c r="N912" s="83">
        <f ca="1">$K$912-EFEITO!$M$912*EFEITO!$Z$912</f>
        <v>0</v>
      </c>
      <c r="O912" s="83">
        <f>$L$912-EFEITO!$O$912*EFEITO!$AA$912</f>
        <v>0</v>
      </c>
      <c r="P912" s="61"/>
      <c r="Q912" s="61"/>
      <c r="R912" s="61"/>
      <c r="S912" s="61"/>
      <c r="T912" s="61"/>
      <c r="U912" s="61"/>
      <c r="V912" s="61"/>
      <c r="W912" s="61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 spans="1:36" ht="11.25" customHeight="1" x14ac:dyDescent="0.2">
      <c r="A913" s="57" t="s">
        <v>21</v>
      </c>
      <c r="B913" s="57" t="s">
        <v>35</v>
      </c>
      <c r="C913" s="57" t="s">
        <v>36</v>
      </c>
      <c r="D913" s="57" t="s">
        <v>54</v>
      </c>
      <c r="E913" s="57" t="s">
        <v>25</v>
      </c>
      <c r="F913" s="57" t="s">
        <v>25</v>
      </c>
      <c r="G913" s="57" t="s">
        <v>25</v>
      </c>
      <c r="H913" s="57" t="s">
        <v>25</v>
      </c>
      <c r="I913" s="82">
        <v>44136</v>
      </c>
      <c r="J913" s="83">
        <f ca="1">EFEITO!$J$913*EFEITO!$Y$913</f>
        <v>28673.716400813395</v>
      </c>
      <c r="K913" s="83">
        <f>EFEITO!$L$913*EFEITO!$Z$913</f>
        <v>0</v>
      </c>
      <c r="L913" s="83">
        <f>EFEITO!$N$913*EFEITO!$AA$913</f>
        <v>0</v>
      </c>
      <c r="M913" s="83">
        <f ca="1">$J$913-EFEITO!$K$913*EFEITO!$Y$913</f>
        <v>0</v>
      </c>
      <c r="N913" s="83">
        <f>$K$913-EFEITO!$M$913*EFEITO!$Z$913</f>
        <v>0</v>
      </c>
      <c r="O913" s="83">
        <f>$L$913-EFEITO!$O$913*EFEITO!$AA$913</f>
        <v>0</v>
      </c>
      <c r="P913" s="61"/>
      <c r="Q913" s="61"/>
      <c r="R913" s="61"/>
      <c r="S913" s="61"/>
      <c r="T913" s="61"/>
      <c r="U913" s="61"/>
      <c r="V913" s="61"/>
      <c r="W913" s="61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 spans="1:36" ht="11.25" customHeight="1" x14ac:dyDescent="0.2">
      <c r="A914" s="57" t="s">
        <v>21</v>
      </c>
      <c r="B914" s="57" t="s">
        <v>35</v>
      </c>
      <c r="C914" s="57" t="s">
        <v>36</v>
      </c>
      <c r="D914" s="57" t="s">
        <v>54</v>
      </c>
      <c r="E914" s="57" t="s">
        <v>25</v>
      </c>
      <c r="F914" s="57" t="s">
        <v>25</v>
      </c>
      <c r="G914" s="57" t="s">
        <v>25</v>
      </c>
      <c r="H914" s="57" t="s">
        <v>25</v>
      </c>
      <c r="I914" s="82">
        <v>44166</v>
      </c>
      <c r="J914" s="83">
        <f ca="1">EFEITO!$J$914*EFEITO!$Y$914</f>
        <v>28067.034205250529</v>
      </c>
      <c r="K914" s="83">
        <f>EFEITO!$L$914*EFEITO!$Z$914</f>
        <v>0</v>
      </c>
      <c r="L914" s="83">
        <f>EFEITO!$N$914*EFEITO!$AA$914</f>
        <v>0</v>
      </c>
      <c r="M914" s="83">
        <f ca="1">$J$914-EFEITO!$K$914*EFEITO!$Y$914</f>
        <v>0</v>
      </c>
      <c r="N914" s="83">
        <f>$K$914-EFEITO!$M$914*EFEITO!$Z$914</f>
        <v>0</v>
      </c>
      <c r="O914" s="83">
        <f>$L$914-EFEITO!$O$914*EFEITO!$AA$914</f>
        <v>0</v>
      </c>
      <c r="P914" s="61"/>
      <c r="Q914" s="61"/>
      <c r="R914" s="61"/>
      <c r="S914" s="61"/>
      <c r="T914" s="61"/>
      <c r="U914" s="61"/>
      <c r="V914" s="61"/>
      <c r="W914" s="61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 spans="1:36" ht="11.25" customHeight="1" x14ac:dyDescent="0.2">
      <c r="A915" s="57" t="s">
        <v>21</v>
      </c>
      <c r="B915" s="57" t="s">
        <v>35</v>
      </c>
      <c r="C915" s="57" t="s">
        <v>36</v>
      </c>
      <c r="D915" s="57" t="s">
        <v>54</v>
      </c>
      <c r="E915" s="57" t="s">
        <v>25</v>
      </c>
      <c r="F915" s="57" t="s">
        <v>25</v>
      </c>
      <c r="G915" s="57" t="s">
        <v>25</v>
      </c>
      <c r="H915" s="57" t="s">
        <v>25</v>
      </c>
      <c r="I915" s="82">
        <v>44197</v>
      </c>
      <c r="J915" s="83">
        <f ca="1">EFEITO!$J$915*EFEITO!$Y$915</f>
        <v>25480.652213640413</v>
      </c>
      <c r="K915" s="83">
        <f>EFEITO!$L$915*EFEITO!$Z$915</f>
        <v>0</v>
      </c>
      <c r="L915" s="83">
        <f>EFEITO!$N$915*EFEITO!$AA$915</f>
        <v>0</v>
      </c>
      <c r="M915" s="83">
        <f ca="1">$J$915-EFEITO!$K$915*EFEITO!$Y$915</f>
        <v>0</v>
      </c>
      <c r="N915" s="83">
        <f>$K$915-EFEITO!$M$915*EFEITO!$Z$915</f>
        <v>0</v>
      </c>
      <c r="O915" s="83">
        <f>$L$915-EFEITO!$O$915*EFEITO!$AA$915</f>
        <v>0</v>
      </c>
      <c r="P915" s="61"/>
      <c r="Q915" s="61"/>
      <c r="R915" s="61"/>
      <c r="S915" s="61"/>
      <c r="T915" s="61"/>
      <c r="U915" s="61"/>
      <c r="V915" s="61"/>
      <c r="W915" s="61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 spans="1:36" ht="11.25" customHeight="1" x14ac:dyDescent="0.2">
      <c r="A916" s="57" t="s">
        <v>21</v>
      </c>
      <c r="B916" s="57" t="s">
        <v>35</v>
      </c>
      <c r="C916" s="57" t="s">
        <v>36</v>
      </c>
      <c r="D916" s="57" t="s">
        <v>54</v>
      </c>
      <c r="E916" s="57" t="s">
        <v>25</v>
      </c>
      <c r="F916" s="57" t="s">
        <v>25</v>
      </c>
      <c r="G916" s="57" t="s">
        <v>25</v>
      </c>
      <c r="H916" s="57" t="s">
        <v>25</v>
      </c>
      <c r="I916" s="82">
        <v>44228</v>
      </c>
      <c r="J916" s="83">
        <f ca="1">EFEITO!$J$916*EFEITO!$Y$916</f>
        <v>26406.640827920579</v>
      </c>
      <c r="K916" s="83">
        <f>EFEITO!$L$916*EFEITO!$Z$916</f>
        <v>0</v>
      </c>
      <c r="L916" s="83">
        <f>EFEITO!$N$916*EFEITO!$AA$916</f>
        <v>0</v>
      </c>
      <c r="M916" s="83">
        <f ca="1">$J$916-EFEITO!$K$916*EFEITO!$Y$916</f>
        <v>0</v>
      </c>
      <c r="N916" s="83">
        <f>$K$916-EFEITO!$M$916*EFEITO!$Z$916</f>
        <v>0</v>
      </c>
      <c r="O916" s="83">
        <f>$L$916-EFEITO!$O$916*EFEITO!$AA$916</f>
        <v>0</v>
      </c>
      <c r="P916" s="61"/>
      <c r="Q916" s="61"/>
      <c r="R916" s="61"/>
      <c r="S916" s="61"/>
      <c r="T916" s="61"/>
      <c r="U916" s="61"/>
      <c r="V916" s="61"/>
      <c r="W916" s="61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 spans="1:36" ht="11.25" customHeight="1" x14ac:dyDescent="0.2">
      <c r="A917" s="57" t="s">
        <v>21</v>
      </c>
      <c r="B917" s="57" t="s">
        <v>35</v>
      </c>
      <c r="C917" s="57" t="s">
        <v>36</v>
      </c>
      <c r="D917" s="57" t="s">
        <v>54</v>
      </c>
      <c r="E917" s="57" t="s">
        <v>25</v>
      </c>
      <c r="F917" s="57" t="s">
        <v>25</v>
      </c>
      <c r="G917" s="57" t="s">
        <v>25</v>
      </c>
      <c r="H917" s="57" t="s">
        <v>25</v>
      </c>
      <c r="I917" s="82">
        <v>44256</v>
      </c>
      <c r="J917" s="83">
        <f ca="1">EFEITO!$J$917*EFEITO!$Y$917</f>
        <v>26917.531097868254</v>
      </c>
      <c r="K917" s="83">
        <f>EFEITO!$L$917*EFEITO!$Z$917</f>
        <v>0</v>
      </c>
      <c r="L917" s="83">
        <f>EFEITO!$N$917*EFEITO!$AA$917</f>
        <v>0</v>
      </c>
      <c r="M917" s="83">
        <f ca="1">$J$917-EFEITO!$K$917*EFEITO!$Y$917</f>
        <v>0</v>
      </c>
      <c r="N917" s="83">
        <f>$K$917-EFEITO!$M$917*EFEITO!$Z$917</f>
        <v>0</v>
      </c>
      <c r="O917" s="83">
        <f>$L$917-EFEITO!$O$917*EFEITO!$AA$917</f>
        <v>0</v>
      </c>
      <c r="P917" s="61"/>
      <c r="Q917" s="61"/>
      <c r="R917" s="61"/>
      <c r="S917" s="61"/>
      <c r="T917" s="61"/>
      <c r="U917" s="61"/>
      <c r="V917" s="61"/>
      <c r="W917" s="61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 spans="1:36" ht="11.25" customHeight="1" x14ac:dyDescent="0.2">
      <c r="A918" s="57" t="s">
        <v>21</v>
      </c>
      <c r="B918" s="57" t="s">
        <v>35</v>
      </c>
      <c r="C918" s="57" t="s">
        <v>36</v>
      </c>
      <c r="D918" s="57" t="s">
        <v>54</v>
      </c>
      <c r="E918" s="57" t="s">
        <v>25</v>
      </c>
      <c r="F918" s="57" t="s">
        <v>25</v>
      </c>
      <c r="G918" s="57" t="s">
        <v>25</v>
      </c>
      <c r="H918" s="57" t="s">
        <v>25</v>
      </c>
      <c r="I918" s="82">
        <v>44287</v>
      </c>
      <c r="J918" s="83">
        <f ca="1">EFEITO!$J$918*EFEITO!$Y$918</f>
        <v>27620.00521904631</v>
      </c>
      <c r="K918" s="83">
        <f>EFEITO!$L$918*EFEITO!$Z$918</f>
        <v>0</v>
      </c>
      <c r="L918" s="83">
        <f>EFEITO!$N$918*EFEITO!$AA$918</f>
        <v>0</v>
      </c>
      <c r="M918" s="83">
        <f ca="1">$J$918-EFEITO!$K$918*EFEITO!$Y$918</f>
        <v>0</v>
      </c>
      <c r="N918" s="83">
        <f>$K$918-EFEITO!$M$918*EFEITO!$Z$918</f>
        <v>0</v>
      </c>
      <c r="O918" s="83">
        <f>$L$918-EFEITO!$O$918*EFEITO!$AA$918</f>
        <v>0</v>
      </c>
      <c r="P918" s="61"/>
      <c r="Q918" s="61"/>
      <c r="R918" s="61"/>
      <c r="S918" s="61"/>
      <c r="T918" s="61"/>
      <c r="U918" s="61"/>
      <c r="V918" s="61"/>
      <c r="W918" s="61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 spans="1:36" ht="11.25" customHeight="1" x14ac:dyDescent="0.2">
      <c r="A919" s="57" t="s">
        <v>21</v>
      </c>
      <c r="B919" s="57" t="s">
        <v>35</v>
      </c>
      <c r="C919" s="57" t="s">
        <v>36</v>
      </c>
      <c r="D919" s="57" t="s">
        <v>54</v>
      </c>
      <c r="E919" s="57" t="s">
        <v>25</v>
      </c>
      <c r="F919" s="57" t="s">
        <v>25</v>
      </c>
      <c r="G919" s="57" t="s">
        <v>25</v>
      </c>
      <c r="H919" s="57" t="s">
        <v>25</v>
      </c>
      <c r="I919" s="82">
        <v>44317</v>
      </c>
      <c r="J919" s="83">
        <f ca="1">EFEITO!$J$919*EFEITO!$Y$919</f>
        <v>28354.409982096098</v>
      </c>
      <c r="K919" s="83">
        <f>EFEITO!$L$919*EFEITO!$Z$919</f>
        <v>0</v>
      </c>
      <c r="L919" s="83">
        <f>EFEITO!$N$919*EFEITO!$AA$919</f>
        <v>0</v>
      </c>
      <c r="M919" s="83">
        <f ca="1">$J$919-EFEITO!$K$919*EFEITO!$Y$919</f>
        <v>0</v>
      </c>
      <c r="N919" s="83">
        <f>$K$919-EFEITO!$M$919*EFEITO!$Z$919</f>
        <v>0</v>
      </c>
      <c r="O919" s="83">
        <f>$L$919-EFEITO!$O$919*EFEITO!$AA$919</f>
        <v>0</v>
      </c>
      <c r="P919" s="61"/>
      <c r="Q919" s="61"/>
      <c r="R919" s="61"/>
      <c r="S919" s="61"/>
      <c r="T919" s="61"/>
      <c r="U919" s="61"/>
      <c r="V919" s="61"/>
      <c r="W919" s="61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 spans="1:36" ht="11.25" customHeight="1" x14ac:dyDescent="0.2">
      <c r="A920" s="57" t="s">
        <v>21</v>
      </c>
      <c r="B920" s="57" t="s">
        <v>35</v>
      </c>
      <c r="C920" s="57" t="s">
        <v>36</v>
      </c>
      <c r="D920" s="57" t="s">
        <v>54</v>
      </c>
      <c r="E920" s="57" t="s">
        <v>25</v>
      </c>
      <c r="F920" s="57" t="s">
        <v>25</v>
      </c>
      <c r="G920" s="57" t="s">
        <v>25</v>
      </c>
      <c r="H920" s="57" t="s">
        <v>25</v>
      </c>
      <c r="I920" s="82">
        <v>44348</v>
      </c>
      <c r="J920" s="83">
        <f ca="1">EFEITO!$J$920*EFEITO!$Y$920</f>
        <v>28450.201907711289</v>
      </c>
      <c r="K920" s="83">
        <f>EFEITO!$L$920*EFEITO!$Z$920</f>
        <v>0</v>
      </c>
      <c r="L920" s="83">
        <f>EFEITO!$N$920*EFEITO!$AA$920</f>
        <v>0</v>
      </c>
      <c r="M920" s="83">
        <f ca="1">$J$920-EFEITO!$K$920*EFEITO!$Y$920</f>
        <v>0</v>
      </c>
      <c r="N920" s="83">
        <f>$K$920-EFEITO!$M$920*EFEITO!$Z$920</f>
        <v>0</v>
      </c>
      <c r="O920" s="83">
        <f>$L$920-EFEITO!$O$920*EFEITO!$AA$920</f>
        <v>0</v>
      </c>
      <c r="P920" s="61"/>
      <c r="Q920" s="61"/>
      <c r="R920" s="61"/>
      <c r="S920" s="61"/>
      <c r="T920" s="61"/>
      <c r="U920" s="61"/>
      <c r="V920" s="61"/>
      <c r="W920" s="61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 spans="1:36" ht="11.25" customHeight="1" x14ac:dyDescent="0.2">
      <c r="A921" s="57" t="s">
        <v>21</v>
      </c>
      <c r="B921" s="57" t="s">
        <v>35</v>
      </c>
      <c r="C921" s="57" t="s">
        <v>36</v>
      </c>
      <c r="D921" s="57" t="s">
        <v>54</v>
      </c>
      <c r="E921" s="57" t="s">
        <v>25</v>
      </c>
      <c r="F921" s="57" t="s">
        <v>25</v>
      </c>
      <c r="G921" s="57" t="s">
        <v>25</v>
      </c>
      <c r="H921" s="57" t="s">
        <v>25</v>
      </c>
      <c r="I921" s="82">
        <v>44378</v>
      </c>
      <c r="J921" s="83">
        <f ca="1">EFEITO!$J$921*EFEITO!$Y$921</f>
        <v>27875.450354020151</v>
      </c>
      <c r="K921" s="83">
        <f>EFEITO!$L$921*EFEITO!$Z$921</f>
        <v>0</v>
      </c>
      <c r="L921" s="83">
        <f>EFEITO!$N$921*EFEITO!$AA$921</f>
        <v>0</v>
      </c>
      <c r="M921" s="83">
        <f ca="1">$J$921-EFEITO!$K$921*EFEITO!$Y$921</f>
        <v>0</v>
      </c>
      <c r="N921" s="83">
        <f>$K$921-EFEITO!$M$921*EFEITO!$Z$921</f>
        <v>0</v>
      </c>
      <c r="O921" s="83">
        <f>$L$921-EFEITO!$O$921*EFEITO!$AA$921</f>
        <v>0</v>
      </c>
      <c r="P921" s="61"/>
      <c r="Q921" s="61"/>
      <c r="R921" s="61"/>
      <c r="S921" s="61"/>
      <c r="T921" s="61"/>
      <c r="U921" s="61"/>
      <c r="V921" s="61"/>
      <c r="W921" s="61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  <row r="922" spans="1:36" ht="11.25" customHeight="1" x14ac:dyDescent="0.2">
      <c r="A922" s="57" t="s">
        <v>21</v>
      </c>
      <c r="B922" s="57" t="s">
        <v>35</v>
      </c>
      <c r="C922" s="57" t="s">
        <v>36</v>
      </c>
      <c r="D922" s="57" t="s">
        <v>54</v>
      </c>
      <c r="E922" s="57" t="s">
        <v>25</v>
      </c>
      <c r="F922" s="57" t="s">
        <v>25</v>
      </c>
      <c r="G922" s="57" t="s">
        <v>25</v>
      </c>
      <c r="H922" s="57" t="s">
        <v>25</v>
      </c>
      <c r="I922" s="82">
        <v>44409</v>
      </c>
      <c r="J922" s="83">
        <f ca="1">EFEITO!$J$922*EFEITO!$Y$922</f>
        <v>29184.606670761073</v>
      </c>
      <c r="K922" s="83">
        <f>EFEITO!$L$922*EFEITO!$Z$922</f>
        <v>0</v>
      </c>
      <c r="L922" s="83">
        <f>EFEITO!$N$922*EFEITO!$AA$922</f>
        <v>0</v>
      </c>
      <c r="M922" s="83">
        <f ca="1">$J$922-EFEITO!$K$922*EFEITO!$Y$922</f>
        <v>0</v>
      </c>
      <c r="N922" s="83">
        <f>$K$922-EFEITO!$M$922*EFEITO!$Z$922</f>
        <v>0</v>
      </c>
      <c r="O922" s="83">
        <f>$L$922-EFEITO!$O$922*EFEITO!$AA$922</f>
        <v>0</v>
      </c>
      <c r="P922" s="61"/>
      <c r="Q922" s="61"/>
      <c r="R922" s="61"/>
      <c r="S922" s="61"/>
      <c r="T922" s="61"/>
      <c r="U922" s="61"/>
      <c r="V922" s="61"/>
      <c r="W922" s="61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 spans="1:36" ht="11.25" customHeight="1" x14ac:dyDescent="0.2">
      <c r="A923" s="57" t="s">
        <v>21</v>
      </c>
      <c r="B923" s="57" t="s">
        <v>35</v>
      </c>
      <c r="C923" s="57" t="s">
        <v>36</v>
      </c>
      <c r="D923" s="57" t="s">
        <v>54</v>
      </c>
      <c r="E923" s="57" t="s">
        <v>25</v>
      </c>
      <c r="F923" s="57" t="s">
        <v>25</v>
      </c>
      <c r="G923" s="57" t="s">
        <v>25</v>
      </c>
      <c r="H923" s="57" t="s">
        <v>25</v>
      </c>
      <c r="I923" s="82">
        <v>44440</v>
      </c>
      <c r="J923" s="83">
        <f ca="1">EFEITO!$J$923*EFEITO!$Y$923</f>
        <v>28577.924475198208</v>
      </c>
      <c r="K923" s="83">
        <f>EFEITO!$L$923*EFEITO!$Z$923</f>
        <v>0</v>
      </c>
      <c r="L923" s="83">
        <f>EFEITO!$N$923*EFEITO!$AA$923</f>
        <v>0</v>
      </c>
      <c r="M923" s="83">
        <f ca="1">$J$923-EFEITO!$K$923*EFEITO!$Y$923</f>
        <v>0</v>
      </c>
      <c r="N923" s="83">
        <f>$K$923-EFEITO!$M$923*EFEITO!$Z$923</f>
        <v>0</v>
      </c>
      <c r="O923" s="83">
        <f>$L$923-EFEITO!$O$923*EFEITO!$AA$923</f>
        <v>0</v>
      </c>
      <c r="P923" s="61"/>
      <c r="Q923" s="61"/>
      <c r="R923" s="61"/>
      <c r="S923" s="61"/>
      <c r="T923" s="61"/>
      <c r="U923" s="61"/>
      <c r="V923" s="61"/>
      <c r="W923" s="61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</row>
    <row r="924" spans="1:36" ht="11.25" customHeight="1" x14ac:dyDescent="0.2">
      <c r="A924" s="57" t="s">
        <v>59</v>
      </c>
      <c r="B924" s="57" t="s">
        <v>35</v>
      </c>
      <c r="C924" s="57" t="s">
        <v>36</v>
      </c>
      <c r="D924" s="57" t="s">
        <v>54</v>
      </c>
      <c r="E924" s="57" t="s">
        <v>25</v>
      </c>
      <c r="F924" s="57" t="s">
        <v>25</v>
      </c>
      <c r="G924" s="57" t="s">
        <v>25</v>
      </c>
      <c r="H924" s="57" t="s">
        <v>25</v>
      </c>
      <c r="I924" s="82">
        <v>44470</v>
      </c>
      <c r="J924" s="83">
        <f ca="1">EFEITO!$J$924*EFEITO!$Y$924</f>
        <v>28577.924475198208</v>
      </c>
      <c r="K924" s="83">
        <f>EFEITO!$L$924*EFEITO!$Z$924</f>
        <v>0</v>
      </c>
      <c r="L924" s="83">
        <f>EFEITO!$N$924*EFEITO!$AA$924</f>
        <v>0</v>
      </c>
      <c r="M924" s="83">
        <f ca="1">$J$924-EFEITO!$K$924*EFEITO!$Y$924</f>
        <v>0</v>
      </c>
      <c r="N924" s="83">
        <f>$K$924-EFEITO!$M$924*EFEITO!$Z$924</f>
        <v>0</v>
      </c>
      <c r="O924" s="83">
        <f>$L$924-EFEITO!$O$924*EFEITO!$AA$924</f>
        <v>0</v>
      </c>
      <c r="P924" s="61"/>
      <c r="Q924" s="61"/>
      <c r="R924" s="61"/>
      <c r="S924" s="61"/>
      <c r="T924" s="61"/>
      <c r="U924" s="61"/>
      <c r="V924" s="61"/>
      <c r="W924" s="61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</row>
    <row r="925" spans="1:36" ht="11.25" customHeight="1" x14ac:dyDescent="0.2">
      <c r="A925" s="57" t="s">
        <v>21</v>
      </c>
      <c r="B925" s="57" t="s">
        <v>35</v>
      </c>
      <c r="C925" s="57" t="s">
        <v>36</v>
      </c>
      <c r="D925" s="57" t="s">
        <v>54</v>
      </c>
      <c r="E925" s="57" t="s">
        <v>25</v>
      </c>
      <c r="F925" s="57" t="s">
        <v>25</v>
      </c>
      <c r="G925" s="57" t="s">
        <v>25</v>
      </c>
      <c r="H925" s="57" t="s">
        <v>37</v>
      </c>
      <c r="I925" s="82">
        <v>44136</v>
      </c>
      <c r="J925" s="83">
        <f>EFEITO!$J$925*EFEITO!$Y$925</f>
        <v>0</v>
      </c>
      <c r="K925" s="83">
        <f ca="1">EFEITO!$L$925*EFEITO!$Z$925</f>
        <v>16085.612180336124</v>
      </c>
      <c r="L925" s="83">
        <f>EFEITO!$N$925*EFEITO!$AA$925</f>
        <v>4550.5549363709006</v>
      </c>
      <c r="M925" s="83">
        <f>$J$925-EFEITO!$K$925*EFEITO!$Y$925</f>
        <v>0</v>
      </c>
      <c r="N925" s="83">
        <f ca="1">$K$925-EFEITO!$M$925*EFEITO!$Z$925</f>
        <v>0</v>
      </c>
      <c r="O925" s="83">
        <f>$L$925-EFEITO!$O$925*EFEITO!$AA$925</f>
        <v>0</v>
      </c>
      <c r="P925" s="61"/>
      <c r="Q925" s="61"/>
      <c r="R925" s="61"/>
      <c r="S925" s="61"/>
      <c r="T925" s="61"/>
      <c r="U925" s="61"/>
      <c r="V925" s="61"/>
      <c r="W925" s="61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 spans="1:36" ht="11.25" customHeight="1" x14ac:dyDescent="0.2">
      <c r="A926" s="57" t="s">
        <v>21</v>
      </c>
      <c r="B926" s="57" t="s">
        <v>35</v>
      </c>
      <c r="C926" s="57" t="s">
        <v>36</v>
      </c>
      <c r="D926" s="57" t="s">
        <v>54</v>
      </c>
      <c r="E926" s="57" t="s">
        <v>25</v>
      </c>
      <c r="F926" s="57" t="s">
        <v>25</v>
      </c>
      <c r="G926" s="57" t="s">
        <v>25</v>
      </c>
      <c r="H926" s="57" t="s">
        <v>37</v>
      </c>
      <c r="I926" s="82">
        <v>44166</v>
      </c>
      <c r="J926" s="83">
        <f>EFEITO!$J$926*EFEITO!$Y$926</f>
        <v>0</v>
      </c>
      <c r="K926" s="83">
        <f ca="1">EFEITO!$L$926*EFEITO!$Z$926</f>
        <v>17800.811242696247</v>
      </c>
      <c r="L926" s="83">
        <f>EFEITO!$N$926*EFEITO!$AA$926</f>
        <v>5035.7778469184368</v>
      </c>
      <c r="M926" s="83">
        <f>$J$926-EFEITO!$K$926*EFEITO!$Y$926</f>
        <v>0</v>
      </c>
      <c r="N926" s="83">
        <f ca="1">$K$926-EFEITO!$M$926*EFEITO!$Z$926</f>
        <v>0</v>
      </c>
      <c r="O926" s="83">
        <f>$L$926-EFEITO!$O$926*EFEITO!$AA$926</f>
        <v>0</v>
      </c>
      <c r="P926" s="61"/>
      <c r="Q926" s="61"/>
      <c r="R926" s="61"/>
      <c r="S926" s="61"/>
      <c r="T926" s="61"/>
      <c r="U926" s="61"/>
      <c r="V926" s="61"/>
      <c r="W926" s="61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 spans="1:36" ht="11.25" customHeight="1" x14ac:dyDescent="0.2">
      <c r="A927" s="57" t="s">
        <v>21</v>
      </c>
      <c r="B927" s="57" t="s">
        <v>35</v>
      </c>
      <c r="C927" s="57" t="s">
        <v>36</v>
      </c>
      <c r="D927" s="57" t="s">
        <v>54</v>
      </c>
      <c r="E927" s="57" t="s">
        <v>25</v>
      </c>
      <c r="F927" s="57" t="s">
        <v>25</v>
      </c>
      <c r="G927" s="57" t="s">
        <v>25</v>
      </c>
      <c r="H927" s="57" t="s">
        <v>37</v>
      </c>
      <c r="I927" s="82">
        <v>44197</v>
      </c>
      <c r="J927" s="83">
        <f>EFEITO!$J$927*EFEITO!$Y$927</f>
        <v>0</v>
      </c>
      <c r="K927" s="83">
        <f ca="1">EFEITO!$L$927*EFEITO!$Z$927</f>
        <v>15104.351293536465</v>
      </c>
      <c r="L927" s="83">
        <f>EFEITO!$N$927*EFEITO!$AA$927</f>
        <v>4272.960181366645</v>
      </c>
      <c r="M927" s="83">
        <f>$J$927-EFEITO!$K$927*EFEITO!$Y$927</f>
        <v>0</v>
      </c>
      <c r="N927" s="83">
        <f ca="1">$K$927-EFEITO!$M$927*EFEITO!$Z$927</f>
        <v>0</v>
      </c>
      <c r="O927" s="83">
        <f>$L$927-EFEITO!$O$927*EFEITO!$AA$927</f>
        <v>0</v>
      </c>
      <c r="P927" s="61"/>
      <c r="Q927" s="61"/>
      <c r="R927" s="61"/>
      <c r="S927" s="61"/>
      <c r="T927" s="61"/>
      <c r="U927" s="61"/>
      <c r="V927" s="61"/>
      <c r="W927" s="61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 spans="1:36" ht="11.25" customHeight="1" x14ac:dyDescent="0.2">
      <c r="A928" s="57" t="s">
        <v>21</v>
      </c>
      <c r="B928" s="57" t="s">
        <v>35</v>
      </c>
      <c r="C928" s="57" t="s">
        <v>36</v>
      </c>
      <c r="D928" s="57" t="s">
        <v>54</v>
      </c>
      <c r="E928" s="57" t="s">
        <v>25</v>
      </c>
      <c r="F928" s="57" t="s">
        <v>25</v>
      </c>
      <c r="G928" s="57" t="s">
        <v>25</v>
      </c>
      <c r="H928" s="57" t="s">
        <v>37</v>
      </c>
      <c r="I928" s="82">
        <v>44228</v>
      </c>
      <c r="J928" s="83">
        <f>EFEITO!$J$928*EFEITO!$Y$928</f>
        <v>0</v>
      </c>
      <c r="K928" s="83">
        <f ca="1">EFEITO!$L$928*EFEITO!$Z$928</f>
        <v>15362.915946195624</v>
      </c>
      <c r="L928" s="83">
        <f>EFEITO!$N$928*EFEITO!$AA$928</f>
        <v>4346.1070808031191</v>
      </c>
      <c r="M928" s="83">
        <f>$J$928-EFEITO!$K$928*EFEITO!$Y$928</f>
        <v>0</v>
      </c>
      <c r="N928" s="83">
        <f ca="1">$K$928-EFEITO!$M$928*EFEITO!$Z$928</f>
        <v>0</v>
      </c>
      <c r="O928" s="83">
        <f>$L$928-EFEITO!$O$928*EFEITO!$AA$928</f>
        <v>0</v>
      </c>
      <c r="P928" s="61"/>
      <c r="Q928" s="61"/>
      <c r="R928" s="61"/>
      <c r="S928" s="61"/>
      <c r="T928" s="61"/>
      <c r="U928" s="61"/>
      <c r="V928" s="61"/>
      <c r="W928" s="61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 spans="1:36" ht="11.25" customHeight="1" x14ac:dyDescent="0.2">
      <c r="A929" s="57" t="s">
        <v>21</v>
      </c>
      <c r="B929" s="57" t="s">
        <v>35</v>
      </c>
      <c r="C929" s="57" t="s">
        <v>36</v>
      </c>
      <c r="D929" s="57" t="s">
        <v>54</v>
      </c>
      <c r="E929" s="57" t="s">
        <v>25</v>
      </c>
      <c r="F929" s="57" t="s">
        <v>25</v>
      </c>
      <c r="G929" s="57" t="s">
        <v>25</v>
      </c>
      <c r="H929" s="57" t="s">
        <v>37</v>
      </c>
      <c r="I929" s="82">
        <v>44256</v>
      </c>
      <c r="J929" s="83">
        <f>EFEITO!$J$929*EFEITO!$Y$929</f>
        <v>0</v>
      </c>
      <c r="K929" s="83">
        <f ca="1">EFEITO!$L$929*EFEITO!$Z$929</f>
        <v>17987.106271941353</v>
      </c>
      <c r="L929" s="83">
        <f>EFEITO!$N$929*EFEITO!$AA$929</f>
        <v>5088.4799607981313</v>
      </c>
      <c r="M929" s="83">
        <f>$J$929-EFEITO!$K$929*EFEITO!$Y$929</f>
        <v>0</v>
      </c>
      <c r="N929" s="83">
        <f ca="1">$K$929-EFEITO!$M$929*EFEITO!$Z$929</f>
        <v>0</v>
      </c>
      <c r="O929" s="83">
        <f>$L$929-EFEITO!$O$929*EFEITO!$AA$929</f>
        <v>0</v>
      </c>
      <c r="P929" s="61"/>
      <c r="Q929" s="61"/>
      <c r="R929" s="61"/>
      <c r="S929" s="61"/>
      <c r="T929" s="61"/>
      <c r="U929" s="61"/>
      <c r="V929" s="61"/>
      <c r="W929" s="61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spans="1:36" ht="11.25" customHeight="1" x14ac:dyDescent="0.2">
      <c r="A930" s="57" t="s">
        <v>21</v>
      </c>
      <c r="B930" s="57" t="s">
        <v>35</v>
      </c>
      <c r="C930" s="57" t="s">
        <v>36</v>
      </c>
      <c r="D930" s="57" t="s">
        <v>54</v>
      </c>
      <c r="E930" s="57" t="s">
        <v>25</v>
      </c>
      <c r="F930" s="57" t="s">
        <v>25</v>
      </c>
      <c r="G930" s="57" t="s">
        <v>25</v>
      </c>
      <c r="H930" s="57" t="s">
        <v>37</v>
      </c>
      <c r="I930" s="82">
        <v>44287</v>
      </c>
      <c r="J930" s="83">
        <f>EFEITO!$J$930*EFEITO!$Y$930</f>
        <v>0</v>
      </c>
      <c r="K930" s="83">
        <f ca="1">EFEITO!$L$930*EFEITO!$Z$930</f>
        <v>17209.806322332457</v>
      </c>
      <c r="L930" s="83">
        <f>EFEITO!$N$930*EFEITO!$AA$930</f>
        <v>4868.5849339207834</v>
      </c>
      <c r="M930" s="83">
        <f>$J$930-EFEITO!$K$930*EFEITO!$Y$930</f>
        <v>0</v>
      </c>
      <c r="N930" s="83">
        <f ca="1">$K$930-EFEITO!$M$930*EFEITO!$Z$930</f>
        <v>0</v>
      </c>
      <c r="O930" s="83">
        <f>$L$930-EFEITO!$O$930*EFEITO!$AA$930</f>
        <v>0</v>
      </c>
      <c r="P930" s="61"/>
      <c r="Q930" s="61"/>
      <c r="R930" s="61"/>
      <c r="S930" s="61"/>
      <c r="T930" s="61"/>
      <c r="U930" s="61"/>
      <c r="V930" s="61"/>
      <c r="W930" s="61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 spans="1:36" ht="11.25" customHeight="1" x14ac:dyDescent="0.2">
      <c r="A931" s="57" t="s">
        <v>21</v>
      </c>
      <c r="B931" s="57" t="s">
        <v>35</v>
      </c>
      <c r="C931" s="57" t="s">
        <v>36</v>
      </c>
      <c r="D931" s="57" t="s">
        <v>54</v>
      </c>
      <c r="E931" s="57" t="s">
        <v>25</v>
      </c>
      <c r="F931" s="57" t="s">
        <v>25</v>
      </c>
      <c r="G931" s="57" t="s">
        <v>25</v>
      </c>
      <c r="H931" s="57" t="s">
        <v>37</v>
      </c>
      <c r="I931" s="82">
        <v>44317</v>
      </c>
      <c r="J931" s="83">
        <f>EFEITO!$J$931*EFEITO!$Y$931</f>
        <v>0</v>
      </c>
      <c r="K931" s="83">
        <f ca="1">EFEITO!$L$931*EFEITO!$Z$931</f>
        <v>19308.837384602757</v>
      </c>
      <c r="L931" s="83">
        <f>EFEITO!$N$931*EFEITO!$AA$931</f>
        <v>5462.3923722032087</v>
      </c>
      <c r="M931" s="83">
        <f>$J$931-EFEITO!$K$931*EFEITO!$Y$931</f>
        <v>0</v>
      </c>
      <c r="N931" s="83">
        <f ca="1">$K$931-EFEITO!$M$931*EFEITO!$Z$931</f>
        <v>0</v>
      </c>
      <c r="O931" s="83">
        <f>$L$931-EFEITO!$O$931*EFEITO!$AA$931</f>
        <v>0</v>
      </c>
      <c r="P931" s="61"/>
      <c r="Q931" s="61"/>
      <c r="R931" s="61"/>
      <c r="S931" s="61"/>
      <c r="T931" s="61"/>
      <c r="U931" s="61"/>
      <c r="V931" s="61"/>
      <c r="W931" s="61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 spans="1:36" ht="11.25" customHeight="1" x14ac:dyDescent="0.2">
      <c r="A932" s="57" t="s">
        <v>21</v>
      </c>
      <c r="B932" s="57" t="s">
        <v>35</v>
      </c>
      <c r="C932" s="57" t="s">
        <v>36</v>
      </c>
      <c r="D932" s="57" t="s">
        <v>54</v>
      </c>
      <c r="E932" s="57" t="s">
        <v>25</v>
      </c>
      <c r="F932" s="57" t="s">
        <v>25</v>
      </c>
      <c r="G932" s="57" t="s">
        <v>25</v>
      </c>
      <c r="H932" s="57" t="s">
        <v>37</v>
      </c>
      <c r="I932" s="82">
        <v>44348</v>
      </c>
      <c r="J932" s="83">
        <f>EFEITO!$J$932*EFEITO!$Y$932</f>
        <v>0</v>
      </c>
      <c r="K932" s="83">
        <f ca="1">EFEITO!$L$932*EFEITO!$Z$932</f>
        <v>19045.454757049331</v>
      </c>
      <c r="L932" s="83">
        <f>EFEITO!$N$932*EFEITO!$AA$932</f>
        <v>5387.8824870629505</v>
      </c>
      <c r="M932" s="83">
        <f>$J$932-EFEITO!$K$932*EFEITO!$Y$932</f>
        <v>0</v>
      </c>
      <c r="N932" s="83">
        <f ca="1">$K$932-EFEITO!$M$932*EFEITO!$Z$932</f>
        <v>0</v>
      </c>
      <c r="O932" s="83">
        <f>$L$932-EFEITO!$O$932*EFEITO!$AA$932</f>
        <v>0</v>
      </c>
      <c r="P932" s="61"/>
      <c r="Q932" s="61"/>
      <c r="R932" s="61"/>
      <c r="S932" s="61"/>
      <c r="T932" s="61"/>
      <c r="U932" s="61"/>
      <c r="V932" s="61"/>
      <c r="W932" s="61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</row>
    <row r="933" spans="1:36" ht="11.25" customHeight="1" x14ac:dyDescent="0.2">
      <c r="A933" s="57" t="s">
        <v>21</v>
      </c>
      <c r="B933" s="57" t="s">
        <v>35</v>
      </c>
      <c r="C933" s="57" t="s">
        <v>36</v>
      </c>
      <c r="D933" s="57" t="s">
        <v>54</v>
      </c>
      <c r="E933" s="57" t="s">
        <v>25</v>
      </c>
      <c r="F933" s="57" t="s">
        <v>25</v>
      </c>
      <c r="G933" s="57" t="s">
        <v>25</v>
      </c>
      <c r="H933" s="57" t="s">
        <v>37</v>
      </c>
      <c r="I933" s="82">
        <v>44378</v>
      </c>
      <c r="J933" s="83">
        <f>EFEITO!$J$933*EFEITO!$Y$933</f>
        <v>0</v>
      </c>
      <c r="K933" s="83">
        <f ca="1">EFEITO!$L$933*EFEITO!$Z$933</f>
        <v>19191.599995508852</v>
      </c>
      <c r="L933" s="83">
        <f>EFEITO!$N$933*EFEITO!$AA$933</f>
        <v>5429.2263867444344</v>
      </c>
      <c r="M933" s="83">
        <f>$J$933-EFEITO!$K$933*EFEITO!$Y$933</f>
        <v>0</v>
      </c>
      <c r="N933" s="83">
        <f ca="1">$K$933-EFEITO!$M$933*EFEITO!$Z$933</f>
        <v>0</v>
      </c>
      <c r="O933" s="83">
        <f>$L$933-EFEITO!$O$933*EFEITO!$AA$933</f>
        <v>0</v>
      </c>
      <c r="P933" s="61"/>
      <c r="Q933" s="61"/>
      <c r="R933" s="61"/>
      <c r="S933" s="61"/>
      <c r="T933" s="61"/>
      <c r="U933" s="61"/>
      <c r="V933" s="61"/>
      <c r="W933" s="61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 spans="1:36" ht="11.25" customHeight="1" x14ac:dyDescent="0.2">
      <c r="A934" s="57" t="s">
        <v>21</v>
      </c>
      <c r="B934" s="57" t="s">
        <v>35</v>
      </c>
      <c r="C934" s="57" t="s">
        <v>36</v>
      </c>
      <c r="D934" s="57" t="s">
        <v>54</v>
      </c>
      <c r="E934" s="57" t="s">
        <v>25</v>
      </c>
      <c r="F934" s="57" t="s">
        <v>25</v>
      </c>
      <c r="G934" s="57" t="s">
        <v>25</v>
      </c>
      <c r="H934" s="57" t="s">
        <v>37</v>
      </c>
      <c r="I934" s="82">
        <v>44409</v>
      </c>
      <c r="J934" s="83">
        <f>EFEITO!$J$934*EFEITO!$Y$934</f>
        <v>0</v>
      </c>
      <c r="K934" s="83">
        <f ca="1">EFEITO!$L$934*EFEITO!$Z$934</f>
        <v>19895.024330072276</v>
      </c>
      <c r="L934" s="83">
        <f>EFEITO!$N$934*EFEITO!$AA$934</f>
        <v>5628.2222994970762</v>
      </c>
      <c r="M934" s="83">
        <f>$J$934-EFEITO!$K$934*EFEITO!$Y$934</f>
        <v>0</v>
      </c>
      <c r="N934" s="83">
        <f ca="1">$K$934-EFEITO!$M$934*EFEITO!$Z$934</f>
        <v>0</v>
      </c>
      <c r="O934" s="83">
        <f>$L$934-EFEITO!$O$934*EFEITO!$AA$934</f>
        <v>0</v>
      </c>
      <c r="P934" s="61"/>
      <c r="Q934" s="61"/>
      <c r="R934" s="61"/>
      <c r="S934" s="61"/>
      <c r="T934" s="61"/>
      <c r="U934" s="61"/>
      <c r="V934" s="61"/>
      <c r="W934" s="61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</row>
    <row r="935" spans="1:36" ht="11.25" customHeight="1" x14ac:dyDescent="0.2">
      <c r="A935" s="57" t="s">
        <v>21</v>
      </c>
      <c r="B935" s="57" t="s">
        <v>35</v>
      </c>
      <c r="C935" s="57" t="s">
        <v>36</v>
      </c>
      <c r="D935" s="57" t="s">
        <v>54</v>
      </c>
      <c r="E935" s="57" t="s">
        <v>25</v>
      </c>
      <c r="F935" s="57" t="s">
        <v>25</v>
      </c>
      <c r="G935" s="57" t="s">
        <v>25</v>
      </c>
      <c r="H935" s="57" t="s">
        <v>37</v>
      </c>
      <c r="I935" s="82">
        <v>44440</v>
      </c>
      <c r="J935" s="83">
        <f>EFEITO!$J$935*EFEITO!$Y$935</f>
        <v>0</v>
      </c>
      <c r="K935" s="83">
        <f ca="1">EFEITO!$L$935*EFEITO!$Z$935</f>
        <v>18306.698606594597</v>
      </c>
      <c r="L935" s="83">
        <f>EFEITO!$N$935*EFEITO!$AA$935</f>
        <v>5178.8913458158831</v>
      </c>
      <c r="M935" s="83">
        <f>$J$935-EFEITO!$K$935*EFEITO!$Y$935</f>
        <v>0</v>
      </c>
      <c r="N935" s="83">
        <f ca="1">$K$935-EFEITO!$M$935*EFEITO!$Z$935</f>
        <v>0</v>
      </c>
      <c r="O935" s="83">
        <f>$L$935-EFEITO!$O$935*EFEITO!$AA$935</f>
        <v>0</v>
      </c>
      <c r="P935" s="61"/>
      <c r="Q935" s="61"/>
      <c r="R935" s="61"/>
      <c r="S935" s="61"/>
      <c r="T935" s="61"/>
      <c r="U935" s="61"/>
      <c r="V935" s="61"/>
      <c r="W935" s="61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</row>
    <row r="936" spans="1:36" ht="11.25" customHeight="1" x14ac:dyDescent="0.2">
      <c r="A936" s="57" t="s">
        <v>59</v>
      </c>
      <c r="B936" s="57" t="s">
        <v>35</v>
      </c>
      <c r="C936" s="57" t="s">
        <v>36</v>
      </c>
      <c r="D936" s="57" t="s">
        <v>54</v>
      </c>
      <c r="E936" s="57" t="s">
        <v>25</v>
      </c>
      <c r="F936" s="57" t="s">
        <v>25</v>
      </c>
      <c r="G936" s="57" t="s">
        <v>25</v>
      </c>
      <c r="H936" s="57" t="s">
        <v>37</v>
      </c>
      <c r="I936" s="82">
        <v>44470</v>
      </c>
      <c r="J936" s="83">
        <f>EFEITO!$J$936*EFEITO!$Y$936</f>
        <v>0</v>
      </c>
      <c r="K936" s="83">
        <f ca="1">EFEITO!$L$936*EFEITO!$Z$936</f>
        <v>18306.698606594597</v>
      </c>
      <c r="L936" s="83">
        <f>EFEITO!$N$936*EFEITO!$AA$936</f>
        <v>5178.8913458158831</v>
      </c>
      <c r="M936" s="83">
        <f>$J$936-EFEITO!$K$936*EFEITO!$Y$936</f>
        <v>0</v>
      </c>
      <c r="N936" s="83">
        <f ca="1">$K$936-EFEITO!$M$936*EFEITO!$Z$936</f>
        <v>0</v>
      </c>
      <c r="O936" s="83">
        <f>$L$936-EFEITO!$O$936*EFEITO!$AA$936</f>
        <v>0</v>
      </c>
      <c r="P936" s="61"/>
      <c r="Q936" s="61"/>
      <c r="R936" s="61"/>
      <c r="S936" s="61"/>
      <c r="T936" s="61"/>
      <c r="U936" s="61"/>
      <c r="V936" s="61"/>
      <c r="W936" s="61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</row>
    <row r="937" spans="1:36" ht="11.25" customHeight="1" x14ac:dyDescent="0.2">
      <c r="A937" s="57" t="s">
        <v>21</v>
      </c>
      <c r="B937" s="57" t="s">
        <v>35</v>
      </c>
      <c r="C937" s="57" t="s">
        <v>36</v>
      </c>
      <c r="D937" s="57" t="s">
        <v>42</v>
      </c>
      <c r="E937" s="57" t="s">
        <v>25</v>
      </c>
      <c r="F937" s="57" t="s">
        <v>62</v>
      </c>
      <c r="G937" s="57" t="s">
        <v>25</v>
      </c>
      <c r="H937" s="57" t="s">
        <v>38</v>
      </c>
      <c r="I937" s="82">
        <v>44136</v>
      </c>
      <c r="J937" s="83">
        <f>EFEITO!$J$937*EFEITO!$Y$937</f>
        <v>0</v>
      </c>
      <c r="K937" s="83">
        <f ca="1">EFEITO!$L$937*EFEITO!$Z$937</f>
        <v>4667993.8945798296</v>
      </c>
      <c r="L937" s="83">
        <f>EFEITO!$N$937*EFEITO!$AA$937</f>
        <v>0</v>
      </c>
      <c r="M937" s="83">
        <f>$J$937-EFEITO!$K$937*EFEITO!$Y$937</f>
        <v>0</v>
      </c>
      <c r="N937" s="83">
        <f ca="1">$K$937-EFEITO!$M$937*EFEITO!$Z$937</f>
        <v>0</v>
      </c>
      <c r="O937" s="83">
        <f>$L$937-EFEITO!$O$937*EFEITO!$AA$937</f>
        <v>0</v>
      </c>
      <c r="P937" s="61"/>
      <c r="Q937" s="61"/>
      <c r="R937" s="61"/>
      <c r="S937" s="61"/>
      <c r="T937" s="61"/>
      <c r="U937" s="61"/>
      <c r="V937" s="61"/>
      <c r="W937" s="61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</row>
    <row r="938" spans="1:36" ht="11.25" customHeight="1" x14ac:dyDescent="0.2">
      <c r="A938" s="57" t="s">
        <v>21</v>
      </c>
      <c r="B938" s="57" t="s">
        <v>35</v>
      </c>
      <c r="C938" s="57" t="s">
        <v>36</v>
      </c>
      <c r="D938" s="57" t="s">
        <v>42</v>
      </c>
      <c r="E938" s="57" t="s">
        <v>25</v>
      </c>
      <c r="F938" s="57" t="s">
        <v>62</v>
      </c>
      <c r="G938" s="57" t="s">
        <v>25</v>
      </c>
      <c r="H938" s="57" t="s">
        <v>38</v>
      </c>
      <c r="I938" s="82">
        <v>44166</v>
      </c>
      <c r="J938" s="83">
        <f>EFEITO!$J$938*EFEITO!$Y$938</f>
        <v>0</v>
      </c>
      <c r="K938" s="83">
        <f ca="1">EFEITO!$L$938*EFEITO!$Z$938</f>
        <v>4369746.2737994939</v>
      </c>
      <c r="L938" s="83">
        <f>EFEITO!$N$938*EFEITO!$AA$938</f>
        <v>0</v>
      </c>
      <c r="M938" s="83">
        <f>$J$938-EFEITO!$K$938*EFEITO!$Y$938</f>
        <v>0</v>
      </c>
      <c r="N938" s="83">
        <f ca="1">$K$938-EFEITO!$M$938*EFEITO!$Z$938</f>
        <v>0</v>
      </c>
      <c r="O938" s="83">
        <f>$L$938-EFEITO!$O$938*EFEITO!$AA$938</f>
        <v>0</v>
      </c>
      <c r="P938" s="61"/>
      <c r="Q938" s="61"/>
      <c r="R938" s="61"/>
      <c r="S938" s="61"/>
      <c r="T938" s="61"/>
      <c r="U938" s="61"/>
      <c r="V938" s="61"/>
      <c r="W938" s="61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</row>
    <row r="939" spans="1:36" ht="11.25" customHeight="1" x14ac:dyDescent="0.2">
      <c r="A939" s="57" t="s">
        <v>21</v>
      </c>
      <c r="B939" s="57" t="s">
        <v>35</v>
      </c>
      <c r="C939" s="57" t="s">
        <v>36</v>
      </c>
      <c r="D939" s="57" t="s">
        <v>42</v>
      </c>
      <c r="E939" s="57" t="s">
        <v>25</v>
      </c>
      <c r="F939" s="57" t="s">
        <v>62</v>
      </c>
      <c r="G939" s="57" t="s">
        <v>25</v>
      </c>
      <c r="H939" s="57" t="s">
        <v>38</v>
      </c>
      <c r="I939" s="82">
        <v>44197</v>
      </c>
      <c r="J939" s="83">
        <f>EFEITO!$J$939*EFEITO!$Y$939</f>
        <v>0</v>
      </c>
      <c r="K939" s="83">
        <f ca="1">EFEITO!$L$939*EFEITO!$Z$939</f>
        <v>3606717.1775999181</v>
      </c>
      <c r="L939" s="83">
        <f>EFEITO!$N$939*EFEITO!$AA$939</f>
        <v>0</v>
      </c>
      <c r="M939" s="83">
        <f>$J$939-EFEITO!$K$939*EFEITO!$Y$939</f>
        <v>0</v>
      </c>
      <c r="N939" s="83">
        <f ca="1">$K$939-EFEITO!$M$939*EFEITO!$Z$939</f>
        <v>0</v>
      </c>
      <c r="O939" s="83">
        <f>$L$939-EFEITO!$O$939*EFEITO!$AA$939</f>
        <v>0</v>
      </c>
      <c r="P939" s="61"/>
      <c r="Q939" s="61"/>
      <c r="R939" s="61"/>
      <c r="S939" s="61"/>
      <c r="T939" s="61"/>
      <c r="U939" s="61"/>
      <c r="V939" s="61"/>
      <c r="W939" s="61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</row>
    <row r="940" spans="1:36" ht="11.25" customHeight="1" x14ac:dyDescent="0.2">
      <c r="A940" s="57" t="s">
        <v>21</v>
      </c>
      <c r="B940" s="57" t="s">
        <v>35</v>
      </c>
      <c r="C940" s="57" t="s">
        <v>36</v>
      </c>
      <c r="D940" s="57" t="s">
        <v>42</v>
      </c>
      <c r="E940" s="57" t="s">
        <v>25</v>
      </c>
      <c r="F940" s="57" t="s">
        <v>62</v>
      </c>
      <c r="G940" s="57" t="s">
        <v>25</v>
      </c>
      <c r="H940" s="57" t="s">
        <v>38</v>
      </c>
      <c r="I940" s="82">
        <v>44228</v>
      </c>
      <c r="J940" s="83">
        <f>EFEITO!$J$940*EFEITO!$Y$940</f>
        <v>0</v>
      </c>
      <c r="K940" s="83">
        <f ca="1">EFEITO!$L$940*EFEITO!$Z$940</f>
        <v>3712740.7417309238</v>
      </c>
      <c r="L940" s="83">
        <f>EFEITO!$N$940*EFEITO!$AA$940</f>
        <v>0</v>
      </c>
      <c r="M940" s="83">
        <f>$J$940-EFEITO!$K$940*EFEITO!$Y$940</f>
        <v>0</v>
      </c>
      <c r="N940" s="83">
        <f ca="1">$K$940-EFEITO!$M$940*EFEITO!$Z$940</f>
        <v>0</v>
      </c>
      <c r="O940" s="83">
        <f>$L$940-EFEITO!$O$940*EFEITO!$AA$940</f>
        <v>0</v>
      </c>
      <c r="P940" s="61"/>
      <c r="Q940" s="61"/>
      <c r="R940" s="61"/>
      <c r="S940" s="61"/>
      <c r="T940" s="61"/>
      <c r="U940" s="61"/>
      <c r="V940" s="61"/>
      <c r="W940" s="61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</row>
    <row r="941" spans="1:36" ht="11.25" customHeight="1" x14ac:dyDescent="0.2">
      <c r="A941" s="57" t="s">
        <v>21</v>
      </c>
      <c r="B941" s="57" t="s">
        <v>35</v>
      </c>
      <c r="C941" s="57" t="s">
        <v>36</v>
      </c>
      <c r="D941" s="57" t="s">
        <v>42</v>
      </c>
      <c r="E941" s="57" t="s">
        <v>25</v>
      </c>
      <c r="F941" s="57" t="s">
        <v>62</v>
      </c>
      <c r="G941" s="57" t="s">
        <v>25</v>
      </c>
      <c r="H941" s="57" t="s">
        <v>38</v>
      </c>
      <c r="I941" s="82">
        <v>44256</v>
      </c>
      <c r="J941" s="83">
        <f>EFEITO!$J$941*EFEITO!$Y$941</f>
        <v>0</v>
      </c>
      <c r="K941" s="83">
        <f ca="1">EFEITO!$L$941*EFEITO!$Z$941</f>
        <v>4886463.4048310677</v>
      </c>
      <c r="L941" s="83">
        <f>EFEITO!$N$941*EFEITO!$AA$941</f>
        <v>0</v>
      </c>
      <c r="M941" s="83">
        <f>$J$941-EFEITO!$K$941*EFEITO!$Y$941</f>
        <v>0</v>
      </c>
      <c r="N941" s="83">
        <f ca="1">$K$941-EFEITO!$M$941*EFEITO!$Z$941</f>
        <v>0</v>
      </c>
      <c r="O941" s="83">
        <f>$L$941-EFEITO!$O$941*EFEITO!$AA$941</f>
        <v>0</v>
      </c>
      <c r="P941" s="61"/>
      <c r="Q941" s="61"/>
      <c r="R941" s="61"/>
      <c r="S941" s="61"/>
      <c r="T941" s="61"/>
      <c r="U941" s="61"/>
      <c r="V941" s="61"/>
      <c r="W941" s="61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</row>
    <row r="942" spans="1:36" ht="11.25" customHeight="1" x14ac:dyDescent="0.2">
      <c r="A942" s="57" t="s">
        <v>21</v>
      </c>
      <c r="B942" s="57" t="s">
        <v>35</v>
      </c>
      <c r="C942" s="57" t="s">
        <v>36</v>
      </c>
      <c r="D942" s="57" t="s">
        <v>42</v>
      </c>
      <c r="E942" s="57" t="s">
        <v>25</v>
      </c>
      <c r="F942" s="57" t="s">
        <v>62</v>
      </c>
      <c r="G942" s="57" t="s">
        <v>25</v>
      </c>
      <c r="H942" s="57" t="s">
        <v>38</v>
      </c>
      <c r="I942" s="82">
        <v>44287</v>
      </c>
      <c r="J942" s="83">
        <f>EFEITO!$J$942*EFEITO!$Y$942</f>
        <v>0</v>
      </c>
      <c r="K942" s="83">
        <f ca="1">EFEITO!$L$942*EFEITO!$Z$942</f>
        <v>4877380.8706041761</v>
      </c>
      <c r="L942" s="83">
        <f>EFEITO!$N$942*EFEITO!$AA$942</f>
        <v>0</v>
      </c>
      <c r="M942" s="83">
        <f>$J$942-EFEITO!$K$942*EFEITO!$Y$942</f>
        <v>0</v>
      </c>
      <c r="N942" s="83">
        <f ca="1">$K$942-EFEITO!$M$942*EFEITO!$Z$942</f>
        <v>0</v>
      </c>
      <c r="O942" s="83">
        <f>$L$942-EFEITO!$O$942*EFEITO!$AA$942</f>
        <v>0</v>
      </c>
      <c r="P942" s="61"/>
      <c r="Q942" s="61"/>
      <c r="R942" s="61"/>
      <c r="S942" s="61"/>
      <c r="T942" s="61"/>
      <c r="U942" s="61"/>
      <c r="V942" s="61"/>
      <c r="W942" s="61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</row>
    <row r="943" spans="1:36" ht="11.25" customHeight="1" x14ac:dyDescent="0.2">
      <c r="A943" s="57" t="s">
        <v>21</v>
      </c>
      <c r="B943" s="57" t="s">
        <v>35</v>
      </c>
      <c r="C943" s="57" t="s">
        <v>36</v>
      </c>
      <c r="D943" s="57" t="s">
        <v>42</v>
      </c>
      <c r="E943" s="57" t="s">
        <v>25</v>
      </c>
      <c r="F943" s="57" t="s">
        <v>62</v>
      </c>
      <c r="G943" s="57" t="s">
        <v>25</v>
      </c>
      <c r="H943" s="57" t="s">
        <v>38</v>
      </c>
      <c r="I943" s="82">
        <v>44317</v>
      </c>
      <c r="J943" s="83">
        <f>EFEITO!$J$943*EFEITO!$Y$943</f>
        <v>0</v>
      </c>
      <c r="K943" s="83">
        <f ca="1">EFEITO!$L$943*EFEITO!$Z$943</f>
        <v>5202820.4846493471</v>
      </c>
      <c r="L943" s="83">
        <f>EFEITO!$N$943*EFEITO!$AA$943</f>
        <v>0</v>
      </c>
      <c r="M943" s="83">
        <f>$J$943-EFEITO!$K$943*EFEITO!$Y$943</f>
        <v>0</v>
      </c>
      <c r="N943" s="83">
        <f ca="1">$K$943-EFEITO!$M$943*EFEITO!$Z$943</f>
        <v>0</v>
      </c>
      <c r="O943" s="83">
        <f>$L$943-EFEITO!$O$943*EFEITO!$AA$943</f>
        <v>0</v>
      </c>
      <c r="P943" s="61"/>
      <c r="Q943" s="61"/>
      <c r="R943" s="61"/>
      <c r="S943" s="61"/>
      <c r="T943" s="61"/>
      <c r="U943" s="61"/>
      <c r="V943" s="61"/>
      <c r="W943" s="61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</row>
    <row r="944" spans="1:36" ht="11.25" customHeight="1" x14ac:dyDescent="0.2">
      <c r="A944" s="57" t="s">
        <v>21</v>
      </c>
      <c r="B944" s="57" t="s">
        <v>35</v>
      </c>
      <c r="C944" s="57" t="s">
        <v>36</v>
      </c>
      <c r="D944" s="57" t="s">
        <v>42</v>
      </c>
      <c r="E944" s="57" t="s">
        <v>25</v>
      </c>
      <c r="F944" s="57" t="s">
        <v>62</v>
      </c>
      <c r="G944" s="57" t="s">
        <v>25</v>
      </c>
      <c r="H944" s="57" t="s">
        <v>38</v>
      </c>
      <c r="I944" s="82">
        <v>44348</v>
      </c>
      <c r="J944" s="83">
        <f>EFEITO!$J$944*EFEITO!$Y$944</f>
        <v>0</v>
      </c>
      <c r="K944" s="83">
        <f ca="1">EFEITO!$L$944*EFEITO!$Z$944</f>
        <v>3606717.1775999181</v>
      </c>
      <c r="L944" s="83">
        <f>EFEITO!$N$944*EFEITO!$AA$944</f>
        <v>0</v>
      </c>
      <c r="M944" s="83">
        <f>$J$944-EFEITO!$K$944*EFEITO!$Y$944</f>
        <v>0</v>
      </c>
      <c r="N944" s="83">
        <f ca="1">$K$944-EFEITO!$M$944*EFEITO!$Z$944</f>
        <v>0</v>
      </c>
      <c r="O944" s="83">
        <f>$L$944-EFEITO!$O$944*EFEITO!$AA$944</f>
        <v>0</v>
      </c>
      <c r="P944" s="61"/>
      <c r="Q944" s="61"/>
      <c r="R944" s="61"/>
      <c r="S944" s="61"/>
      <c r="T944" s="61"/>
      <c r="U944" s="61"/>
      <c r="V944" s="61"/>
      <c r="W944" s="61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</row>
    <row r="945" spans="1:36" ht="11.25" customHeight="1" x14ac:dyDescent="0.2">
      <c r="A945" s="57" t="s">
        <v>21</v>
      </c>
      <c r="B945" s="57" t="s">
        <v>35</v>
      </c>
      <c r="C945" s="57" t="s">
        <v>36</v>
      </c>
      <c r="D945" s="57" t="s">
        <v>42</v>
      </c>
      <c r="E945" s="57" t="s">
        <v>25</v>
      </c>
      <c r="F945" s="57" t="s">
        <v>62</v>
      </c>
      <c r="G945" s="57" t="s">
        <v>25</v>
      </c>
      <c r="H945" s="57" t="s">
        <v>38</v>
      </c>
      <c r="I945" s="82">
        <v>44378</v>
      </c>
      <c r="J945" s="83">
        <f>EFEITO!$J$945*EFEITO!$Y$945</f>
        <v>0</v>
      </c>
      <c r="K945" s="83">
        <f ca="1">EFEITO!$L$945*EFEITO!$Z$945</f>
        <v>5347655.2082012286</v>
      </c>
      <c r="L945" s="83">
        <f>EFEITO!$N$945*EFEITO!$AA$945</f>
        <v>0</v>
      </c>
      <c r="M945" s="83">
        <f>$J$945-EFEITO!$K$945*EFEITO!$Y$945</f>
        <v>0</v>
      </c>
      <c r="N945" s="83">
        <f ca="1">$K$945-EFEITO!$M$945*EFEITO!$Z$945</f>
        <v>0</v>
      </c>
      <c r="O945" s="83">
        <f>$L$945-EFEITO!$O$945*EFEITO!$AA$945</f>
        <v>0</v>
      </c>
      <c r="P945" s="61"/>
      <c r="Q945" s="61"/>
      <c r="R945" s="61"/>
      <c r="S945" s="61"/>
      <c r="T945" s="61"/>
      <c r="U945" s="61"/>
      <c r="V945" s="61"/>
      <c r="W945" s="61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 spans="1:36" ht="11.25" customHeight="1" x14ac:dyDescent="0.2">
      <c r="A946" s="57" t="s">
        <v>21</v>
      </c>
      <c r="B946" s="57" t="s">
        <v>35</v>
      </c>
      <c r="C946" s="57" t="s">
        <v>36</v>
      </c>
      <c r="D946" s="57" t="s">
        <v>42</v>
      </c>
      <c r="E946" s="57" t="s">
        <v>25</v>
      </c>
      <c r="F946" s="57" t="s">
        <v>62</v>
      </c>
      <c r="G946" s="57" t="s">
        <v>25</v>
      </c>
      <c r="H946" s="57" t="s">
        <v>38</v>
      </c>
      <c r="I946" s="82">
        <v>44409</v>
      </c>
      <c r="J946" s="83">
        <f>EFEITO!$J$946*EFEITO!$Y$946</f>
        <v>0</v>
      </c>
      <c r="K946" s="83">
        <f ca="1">EFEITO!$L$946*EFEITO!$Z$946</f>
        <v>5488788.5353322113</v>
      </c>
      <c r="L946" s="83">
        <f>EFEITO!$N$946*EFEITO!$AA$946</f>
        <v>0</v>
      </c>
      <c r="M946" s="83">
        <f>$J$946-EFEITO!$K$946*EFEITO!$Y$946</f>
        <v>0</v>
      </c>
      <c r="N946" s="83">
        <f ca="1">$K$946-EFEITO!$M$946*EFEITO!$Z$946</f>
        <v>0</v>
      </c>
      <c r="O946" s="83">
        <f>$L$946-EFEITO!$O$946*EFEITO!$AA$946</f>
        <v>0</v>
      </c>
      <c r="P946" s="61"/>
      <c r="Q946" s="61"/>
      <c r="R946" s="61"/>
      <c r="S946" s="61"/>
      <c r="T946" s="61"/>
      <c r="U946" s="61"/>
      <c r="V946" s="61"/>
      <c r="W946" s="61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</row>
    <row r="947" spans="1:36" ht="11.25" customHeight="1" x14ac:dyDescent="0.2">
      <c r="A947" s="57" t="s">
        <v>21</v>
      </c>
      <c r="B947" s="57" t="s">
        <v>35</v>
      </c>
      <c r="C947" s="57" t="s">
        <v>36</v>
      </c>
      <c r="D947" s="57" t="s">
        <v>42</v>
      </c>
      <c r="E947" s="57" t="s">
        <v>25</v>
      </c>
      <c r="F947" s="57" t="s">
        <v>62</v>
      </c>
      <c r="G947" s="57" t="s">
        <v>25</v>
      </c>
      <c r="H947" s="57" t="s">
        <v>38</v>
      </c>
      <c r="I947" s="82">
        <v>44440</v>
      </c>
      <c r="J947" s="83">
        <f>EFEITO!$J$947*EFEITO!$Y$947</f>
        <v>0</v>
      </c>
      <c r="K947" s="83">
        <f ca="1">EFEITO!$L$947*EFEITO!$Z$947</f>
        <v>5404967.9572984017</v>
      </c>
      <c r="L947" s="83">
        <f>EFEITO!$N$947*EFEITO!$AA$947</f>
        <v>0</v>
      </c>
      <c r="M947" s="83">
        <f>$J$947-EFEITO!$K$947*EFEITO!$Y$947</f>
        <v>0</v>
      </c>
      <c r="N947" s="83">
        <f ca="1">$K$947-EFEITO!$M$947*EFEITO!$Z$947</f>
        <v>0</v>
      </c>
      <c r="O947" s="83">
        <f>$L$947-EFEITO!$O$947*EFEITO!$AA$947</f>
        <v>0</v>
      </c>
      <c r="P947" s="61"/>
      <c r="Q947" s="61"/>
      <c r="R947" s="61"/>
      <c r="S947" s="61"/>
      <c r="T947" s="61"/>
      <c r="U947" s="61"/>
      <c r="V947" s="61"/>
      <c r="W947" s="61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</row>
    <row r="948" spans="1:36" ht="11.25" customHeight="1" x14ac:dyDescent="0.2">
      <c r="A948" s="57" t="s">
        <v>59</v>
      </c>
      <c r="B948" s="57" t="s">
        <v>35</v>
      </c>
      <c r="C948" s="57" t="s">
        <v>36</v>
      </c>
      <c r="D948" s="57" t="s">
        <v>42</v>
      </c>
      <c r="E948" s="57" t="s">
        <v>25</v>
      </c>
      <c r="F948" s="57" t="s">
        <v>62</v>
      </c>
      <c r="G948" s="57" t="s">
        <v>25</v>
      </c>
      <c r="H948" s="57" t="s">
        <v>38</v>
      </c>
      <c r="I948" s="82">
        <v>44470</v>
      </c>
      <c r="J948" s="83">
        <f>EFEITO!$J$948*EFEITO!$Y$948</f>
        <v>0</v>
      </c>
      <c r="K948" s="83">
        <f ca="1">EFEITO!$L$948*EFEITO!$Z$948</f>
        <v>5404967.9572984017</v>
      </c>
      <c r="L948" s="83">
        <f>EFEITO!$N$948*EFEITO!$AA$948</f>
        <v>0</v>
      </c>
      <c r="M948" s="83">
        <f>$J$948-EFEITO!$K$948*EFEITO!$Y$948</f>
        <v>0</v>
      </c>
      <c r="N948" s="83">
        <f ca="1">$K$948-EFEITO!$M$948*EFEITO!$Z$948</f>
        <v>0</v>
      </c>
      <c r="O948" s="83">
        <f>$L$948-EFEITO!$O$948*EFEITO!$AA$948</f>
        <v>0</v>
      </c>
      <c r="P948" s="61"/>
      <c r="Q948" s="61"/>
      <c r="R948" s="61"/>
      <c r="S948" s="61"/>
      <c r="T948" s="61"/>
      <c r="U948" s="61"/>
      <c r="V948" s="61"/>
      <c r="W948" s="61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</row>
    <row r="949" spans="1:36" ht="11.25" customHeight="1" x14ac:dyDescent="0.2">
      <c r="A949" s="57" t="s">
        <v>21</v>
      </c>
      <c r="B949" s="57" t="s">
        <v>35</v>
      </c>
      <c r="C949" s="57" t="s">
        <v>36</v>
      </c>
      <c r="D949" s="57" t="s">
        <v>42</v>
      </c>
      <c r="E949" s="57" t="s">
        <v>25</v>
      </c>
      <c r="F949" s="57" t="s">
        <v>62</v>
      </c>
      <c r="G949" s="57" t="s">
        <v>25</v>
      </c>
      <c r="H949" s="57" t="s">
        <v>25</v>
      </c>
      <c r="I949" s="82">
        <v>44136</v>
      </c>
      <c r="J949" s="83">
        <f ca="1">EFEITO!$J$949*EFEITO!$Y$949</f>
        <v>3253732.4067292707</v>
      </c>
      <c r="K949" s="83">
        <f>EFEITO!$L$949*EFEITO!$Z$949</f>
        <v>0</v>
      </c>
      <c r="L949" s="83">
        <f>EFEITO!$N$949*EFEITO!$AA$949</f>
        <v>0</v>
      </c>
      <c r="M949" s="83">
        <f ca="1">$J$949-EFEITO!$K$949*EFEITO!$Y$949</f>
        <v>1591400.5201312862</v>
      </c>
      <c r="N949" s="83">
        <f>$K$949-EFEITO!$M$949*EFEITO!$Z$949</f>
        <v>0</v>
      </c>
      <c r="O949" s="83">
        <f>$L$949-EFEITO!$O$949*EFEITO!$AA$949</f>
        <v>0</v>
      </c>
      <c r="P949" s="61"/>
      <c r="Q949" s="61"/>
      <c r="R949" s="61"/>
      <c r="S949" s="61"/>
      <c r="T949" s="61"/>
      <c r="U949" s="61"/>
      <c r="V949" s="61"/>
      <c r="W949" s="61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</row>
    <row r="950" spans="1:36" ht="11.25" customHeight="1" x14ac:dyDescent="0.2">
      <c r="A950" s="57" t="s">
        <v>21</v>
      </c>
      <c r="B950" s="57" t="s">
        <v>35</v>
      </c>
      <c r="C950" s="57" t="s">
        <v>36</v>
      </c>
      <c r="D950" s="57" t="s">
        <v>42</v>
      </c>
      <c r="E950" s="57" t="s">
        <v>25</v>
      </c>
      <c r="F950" s="57" t="s">
        <v>62</v>
      </c>
      <c r="G950" s="57" t="s">
        <v>25</v>
      </c>
      <c r="H950" s="57" t="s">
        <v>25</v>
      </c>
      <c r="I950" s="82">
        <v>44166</v>
      </c>
      <c r="J950" s="83">
        <f ca="1">EFEITO!$J$950*EFEITO!$Y$950</f>
        <v>3109565.5586784105</v>
      </c>
      <c r="K950" s="83">
        <f>EFEITO!$L$950*EFEITO!$Z$950</f>
        <v>0</v>
      </c>
      <c r="L950" s="83">
        <f>EFEITO!$N$950*EFEITO!$AA$950</f>
        <v>0</v>
      </c>
      <c r="M950" s="83">
        <f ca="1">$J$950-EFEITO!$K$950*EFEITO!$Y$950</f>
        <v>1579037.3906968969</v>
      </c>
      <c r="N950" s="83">
        <f>$K$950-EFEITO!$M$950*EFEITO!$Z$950</f>
        <v>0</v>
      </c>
      <c r="O950" s="83">
        <f>$L$950-EFEITO!$O$950*EFEITO!$AA$950</f>
        <v>0</v>
      </c>
      <c r="P950" s="61"/>
      <c r="Q950" s="61"/>
      <c r="R950" s="61"/>
      <c r="S950" s="61"/>
      <c r="T950" s="61"/>
      <c r="U950" s="61"/>
      <c r="V950" s="61"/>
      <c r="W950" s="61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</row>
    <row r="951" spans="1:36" ht="11.25" customHeight="1" x14ac:dyDescent="0.2">
      <c r="A951" s="57" t="s">
        <v>21</v>
      </c>
      <c r="B951" s="57" t="s">
        <v>35</v>
      </c>
      <c r="C951" s="57" t="s">
        <v>36</v>
      </c>
      <c r="D951" s="57" t="s">
        <v>42</v>
      </c>
      <c r="E951" s="57" t="s">
        <v>25</v>
      </c>
      <c r="F951" s="57" t="s">
        <v>62</v>
      </c>
      <c r="G951" s="57" t="s">
        <v>25</v>
      </c>
      <c r="H951" s="57" t="s">
        <v>25</v>
      </c>
      <c r="I951" s="82">
        <v>44197</v>
      </c>
      <c r="J951" s="83">
        <f ca="1">EFEITO!$J$951*EFEITO!$Y$951</f>
        <v>3115153.4210059633</v>
      </c>
      <c r="K951" s="83">
        <f>EFEITO!$L$951*EFEITO!$Z$951</f>
        <v>0</v>
      </c>
      <c r="L951" s="83">
        <f>EFEITO!$N$951*EFEITO!$AA$951</f>
        <v>0</v>
      </c>
      <c r="M951" s="83">
        <f ca="1">$J$951-EFEITO!$K$951*EFEITO!$Y$951</f>
        <v>1546050.6428452597</v>
      </c>
      <c r="N951" s="83">
        <f>$K$951-EFEITO!$M$951*EFEITO!$Z$951</f>
        <v>0</v>
      </c>
      <c r="O951" s="83">
        <f>$L$951-EFEITO!$O$951*EFEITO!$AA$951</f>
        <v>0</v>
      </c>
      <c r="P951" s="61"/>
      <c r="Q951" s="61"/>
      <c r="R951" s="61"/>
      <c r="S951" s="61"/>
      <c r="T951" s="61"/>
      <c r="U951" s="61"/>
      <c r="V951" s="61"/>
      <c r="W951" s="61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</row>
    <row r="952" spans="1:36" ht="11.25" customHeight="1" x14ac:dyDescent="0.2">
      <c r="A952" s="57" t="s">
        <v>21</v>
      </c>
      <c r="B952" s="57" t="s">
        <v>35</v>
      </c>
      <c r="C952" s="57" t="s">
        <v>36</v>
      </c>
      <c r="D952" s="57" t="s">
        <v>42</v>
      </c>
      <c r="E952" s="57" t="s">
        <v>25</v>
      </c>
      <c r="F952" s="57" t="s">
        <v>62</v>
      </c>
      <c r="G952" s="57" t="s">
        <v>25</v>
      </c>
      <c r="H952" s="57" t="s">
        <v>25</v>
      </c>
      <c r="I952" s="82">
        <v>44228</v>
      </c>
      <c r="J952" s="83">
        <f ca="1">EFEITO!$J$952*EFEITO!$Y$952</f>
        <v>3236170.5536998194</v>
      </c>
      <c r="K952" s="83">
        <f>EFEITO!$L$952*EFEITO!$Z$952</f>
        <v>0</v>
      </c>
      <c r="L952" s="83">
        <f>EFEITO!$N$952*EFEITO!$AA$952</f>
        <v>0</v>
      </c>
      <c r="M952" s="83">
        <f ca="1">$J$952-EFEITO!$K$952*EFEITO!$Y$952</f>
        <v>1630706.342009339</v>
      </c>
      <c r="N952" s="83">
        <f>$K$952-EFEITO!$M$952*EFEITO!$Z$952</f>
        <v>0</v>
      </c>
      <c r="O952" s="83">
        <f>$L$952-EFEITO!$O$952*EFEITO!$AA$952</f>
        <v>0</v>
      </c>
      <c r="P952" s="61"/>
      <c r="Q952" s="61"/>
      <c r="R952" s="61"/>
      <c r="S952" s="61"/>
      <c r="T952" s="61"/>
      <c r="U952" s="61"/>
      <c r="V952" s="61"/>
      <c r="W952" s="61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</row>
    <row r="953" spans="1:36" ht="11.25" customHeight="1" x14ac:dyDescent="0.2">
      <c r="A953" s="57" t="s">
        <v>21</v>
      </c>
      <c r="B953" s="57" t="s">
        <v>35</v>
      </c>
      <c r="C953" s="57" t="s">
        <v>36</v>
      </c>
      <c r="D953" s="57" t="s">
        <v>42</v>
      </c>
      <c r="E953" s="57" t="s">
        <v>25</v>
      </c>
      <c r="F953" s="57" t="s">
        <v>62</v>
      </c>
      <c r="G953" s="57" t="s">
        <v>25</v>
      </c>
      <c r="H953" s="57" t="s">
        <v>25</v>
      </c>
      <c r="I953" s="82">
        <v>44256</v>
      </c>
      <c r="J953" s="83">
        <f ca="1">EFEITO!$J$953*EFEITO!$Y$953</f>
        <v>3274072.2256015628</v>
      </c>
      <c r="K953" s="83">
        <f>EFEITO!$L$953*EFEITO!$Z$953</f>
        <v>0</v>
      </c>
      <c r="L953" s="83">
        <f>EFEITO!$N$953*EFEITO!$AA$953</f>
        <v>0</v>
      </c>
      <c r="M953" s="83">
        <f ca="1">$J$953-EFEITO!$K$953*EFEITO!$Y$953</f>
        <v>1686802.0106299254</v>
      </c>
      <c r="N953" s="83">
        <f>$K$953-EFEITO!$M$953*EFEITO!$Z$953</f>
        <v>0</v>
      </c>
      <c r="O953" s="83">
        <f>$L$953-EFEITO!$O$953*EFEITO!$AA$953</f>
        <v>0</v>
      </c>
      <c r="P953" s="61"/>
      <c r="Q953" s="61"/>
      <c r="R953" s="61"/>
      <c r="S953" s="61"/>
      <c r="T953" s="61"/>
      <c r="U953" s="61"/>
      <c r="V953" s="61"/>
      <c r="W953" s="61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</row>
    <row r="954" spans="1:36" ht="11.25" customHeight="1" x14ac:dyDescent="0.2">
      <c r="A954" s="57" t="s">
        <v>21</v>
      </c>
      <c r="B954" s="57" t="s">
        <v>35</v>
      </c>
      <c r="C954" s="57" t="s">
        <v>36</v>
      </c>
      <c r="D954" s="57" t="s">
        <v>42</v>
      </c>
      <c r="E954" s="57" t="s">
        <v>25</v>
      </c>
      <c r="F954" s="57" t="s">
        <v>62</v>
      </c>
      <c r="G954" s="57" t="s">
        <v>25</v>
      </c>
      <c r="H954" s="57" t="s">
        <v>25</v>
      </c>
      <c r="I954" s="82">
        <v>44287</v>
      </c>
      <c r="J954" s="83">
        <f ca="1">EFEITO!$J$954*EFEITO!$Y$954</f>
        <v>3457034.8035265747</v>
      </c>
      <c r="K954" s="83">
        <f>EFEITO!$L$954*EFEITO!$Z$954</f>
        <v>0</v>
      </c>
      <c r="L954" s="83">
        <f>EFEITO!$N$954*EFEITO!$AA$954</f>
        <v>0</v>
      </c>
      <c r="M954" s="83">
        <f ca="1">$J$954-EFEITO!$K$954*EFEITO!$Y$954</f>
        <v>1818400.3066549785</v>
      </c>
      <c r="N954" s="83">
        <f>$K$954-EFEITO!$M$954*EFEITO!$Z$954</f>
        <v>0</v>
      </c>
      <c r="O954" s="83">
        <f>$L$954-EFEITO!$O$954*EFEITO!$AA$954</f>
        <v>0</v>
      </c>
      <c r="P954" s="61"/>
      <c r="Q954" s="61"/>
      <c r="R954" s="61"/>
      <c r="S954" s="61"/>
      <c r="T954" s="61"/>
      <c r="U954" s="61"/>
      <c r="V954" s="61"/>
      <c r="W954" s="61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</row>
    <row r="955" spans="1:36" ht="11.25" customHeight="1" x14ac:dyDescent="0.2">
      <c r="A955" s="57" t="s">
        <v>21</v>
      </c>
      <c r="B955" s="57" t="s">
        <v>35</v>
      </c>
      <c r="C955" s="57" t="s">
        <v>36</v>
      </c>
      <c r="D955" s="57" t="s">
        <v>42</v>
      </c>
      <c r="E955" s="57" t="s">
        <v>25</v>
      </c>
      <c r="F955" s="57" t="s">
        <v>62</v>
      </c>
      <c r="G955" s="57" t="s">
        <v>25</v>
      </c>
      <c r="H955" s="57" t="s">
        <v>25</v>
      </c>
      <c r="I955" s="82">
        <v>44317</v>
      </c>
      <c r="J955" s="83">
        <f ca="1">EFEITO!$J$955*EFEITO!$Y$955</f>
        <v>3524121.0820990792</v>
      </c>
      <c r="K955" s="83">
        <f>EFEITO!$L$955*EFEITO!$Z$955</f>
        <v>0</v>
      </c>
      <c r="L955" s="83">
        <f>EFEITO!$N$955*EFEITO!$AA$955</f>
        <v>0</v>
      </c>
      <c r="M955" s="83">
        <f ca="1">$J$955-EFEITO!$K$955*EFEITO!$Y$955</f>
        <v>1839238.7927475097</v>
      </c>
      <c r="N955" s="83">
        <f>$K$955-EFEITO!$M$955*EFEITO!$Z$955</f>
        <v>0</v>
      </c>
      <c r="O955" s="83">
        <f>$L$955-EFEITO!$O$955*EFEITO!$AA$955</f>
        <v>0</v>
      </c>
      <c r="P955" s="61"/>
      <c r="Q955" s="61"/>
      <c r="R955" s="61"/>
      <c r="S955" s="61"/>
      <c r="T955" s="61"/>
      <c r="U955" s="61"/>
      <c r="V955" s="61"/>
      <c r="W955" s="61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</row>
    <row r="956" spans="1:36" ht="11.25" customHeight="1" x14ac:dyDescent="0.2">
      <c r="A956" s="57" t="s">
        <v>21</v>
      </c>
      <c r="B956" s="57" t="s">
        <v>35</v>
      </c>
      <c r="C956" s="57" t="s">
        <v>36</v>
      </c>
      <c r="D956" s="57" t="s">
        <v>42</v>
      </c>
      <c r="E956" s="57" t="s">
        <v>25</v>
      </c>
      <c r="F956" s="57" t="s">
        <v>62</v>
      </c>
      <c r="G956" s="57" t="s">
        <v>25</v>
      </c>
      <c r="H956" s="57" t="s">
        <v>25</v>
      </c>
      <c r="I956" s="82">
        <v>44348</v>
      </c>
      <c r="J956" s="83">
        <f ca="1">EFEITO!$J$956*EFEITO!$Y$956</f>
        <v>3115153.4210059633</v>
      </c>
      <c r="K956" s="83">
        <f>EFEITO!$L$956*EFEITO!$Z$956</f>
        <v>0</v>
      </c>
      <c r="L956" s="83">
        <f>EFEITO!$N$956*EFEITO!$AA$956</f>
        <v>0</v>
      </c>
      <c r="M956" s="83">
        <f ca="1">$J$956-EFEITO!$K$956*EFEITO!$Y$956</f>
        <v>1546050.6428452597</v>
      </c>
      <c r="N956" s="83">
        <f>$K$956-EFEITO!$M$956*EFEITO!$Z$956</f>
        <v>0</v>
      </c>
      <c r="O956" s="83">
        <f>$L$956-EFEITO!$O$956*EFEITO!$AA$956</f>
        <v>0</v>
      </c>
      <c r="P956" s="61"/>
      <c r="Q956" s="61"/>
      <c r="R956" s="61"/>
      <c r="S956" s="61"/>
      <c r="T956" s="61"/>
      <c r="U956" s="61"/>
      <c r="V956" s="61"/>
      <c r="W956" s="61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</row>
    <row r="957" spans="1:36" ht="11.25" customHeight="1" x14ac:dyDescent="0.2">
      <c r="A957" s="57" t="s">
        <v>21</v>
      </c>
      <c r="B957" s="57" t="s">
        <v>35</v>
      </c>
      <c r="C957" s="57" t="s">
        <v>36</v>
      </c>
      <c r="D957" s="57" t="s">
        <v>42</v>
      </c>
      <c r="E957" s="57" t="s">
        <v>25</v>
      </c>
      <c r="F957" s="57" t="s">
        <v>62</v>
      </c>
      <c r="G957" s="57" t="s">
        <v>25</v>
      </c>
      <c r="H957" s="57" t="s">
        <v>25</v>
      </c>
      <c r="I957" s="82">
        <v>44378</v>
      </c>
      <c r="J957" s="83">
        <f ca="1">EFEITO!$J$957*EFEITO!$Y$957</f>
        <v>3418239.073652423</v>
      </c>
      <c r="K957" s="83">
        <f>EFEITO!$L$957*EFEITO!$Z$957</f>
        <v>0</v>
      </c>
      <c r="L957" s="83">
        <f>EFEITO!$N$957*EFEITO!$AA$957</f>
        <v>0</v>
      </c>
      <c r="M957" s="83">
        <f ca="1">$J$957-EFEITO!$K$957*EFEITO!$Y$957</f>
        <v>1797993.7527411745</v>
      </c>
      <c r="N957" s="83">
        <f>$K$957-EFEITO!$M$957*EFEITO!$Z$957</f>
        <v>0</v>
      </c>
      <c r="O957" s="83">
        <f>$L$957-EFEITO!$O$957*EFEITO!$AA$957</f>
        <v>0</v>
      </c>
      <c r="P957" s="61"/>
      <c r="Q957" s="61"/>
      <c r="R957" s="61"/>
      <c r="S957" s="61"/>
      <c r="T957" s="61"/>
      <c r="U957" s="61"/>
      <c r="V957" s="61"/>
      <c r="W957" s="61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</row>
    <row r="958" spans="1:36" ht="11.25" customHeight="1" x14ac:dyDescent="0.2">
      <c r="A958" s="57" t="s">
        <v>21</v>
      </c>
      <c r="B958" s="57" t="s">
        <v>35</v>
      </c>
      <c r="C958" s="57" t="s">
        <v>36</v>
      </c>
      <c r="D958" s="57" t="s">
        <v>42</v>
      </c>
      <c r="E958" s="57" t="s">
        <v>25</v>
      </c>
      <c r="F958" s="57" t="s">
        <v>62</v>
      </c>
      <c r="G958" s="57" t="s">
        <v>25</v>
      </c>
      <c r="H958" s="57" t="s">
        <v>25</v>
      </c>
      <c r="I958" s="82">
        <v>44409</v>
      </c>
      <c r="J958" s="83">
        <f ca="1">EFEITO!$J$958*EFEITO!$Y$958</f>
        <v>3412842.7951761005</v>
      </c>
      <c r="K958" s="83">
        <f>EFEITO!$L$958*EFEITO!$Z$958</f>
        <v>0</v>
      </c>
      <c r="L958" s="83">
        <f>EFEITO!$N$958*EFEITO!$AA$958</f>
        <v>0</v>
      </c>
      <c r="M958" s="83">
        <f ca="1">$J$958-EFEITO!$K$958*EFEITO!$Y$958</f>
        <v>1860681.8919300099</v>
      </c>
      <c r="N958" s="83">
        <f>$K$958-EFEITO!$M$958*EFEITO!$Z$958</f>
        <v>0</v>
      </c>
      <c r="O958" s="83">
        <f>$L$958-EFEITO!$O$958*EFEITO!$AA$958</f>
        <v>0</v>
      </c>
      <c r="P958" s="61"/>
      <c r="Q958" s="61"/>
      <c r="R958" s="61"/>
      <c r="S958" s="61"/>
      <c r="T958" s="61"/>
      <c r="U958" s="61"/>
      <c r="V958" s="61"/>
      <c r="W958" s="61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</row>
    <row r="959" spans="1:36" ht="11.25" customHeight="1" x14ac:dyDescent="0.2">
      <c r="A959" s="57" t="s">
        <v>21</v>
      </c>
      <c r="B959" s="57" t="s">
        <v>35</v>
      </c>
      <c r="C959" s="57" t="s">
        <v>36</v>
      </c>
      <c r="D959" s="57" t="s">
        <v>42</v>
      </c>
      <c r="E959" s="57" t="s">
        <v>25</v>
      </c>
      <c r="F959" s="57" t="s">
        <v>62</v>
      </c>
      <c r="G959" s="57" t="s">
        <v>25</v>
      </c>
      <c r="H959" s="57" t="s">
        <v>25</v>
      </c>
      <c r="I959" s="82">
        <v>44440</v>
      </c>
      <c r="J959" s="83">
        <f ca="1">EFEITO!$J$959*EFEITO!$Y$959</f>
        <v>3510007.7383917742</v>
      </c>
      <c r="K959" s="83">
        <f>EFEITO!$L$959*EFEITO!$Z$959</f>
        <v>0</v>
      </c>
      <c r="L959" s="83">
        <f>EFEITO!$N$959*EFEITO!$AA$959</f>
        <v>0</v>
      </c>
      <c r="M959" s="83">
        <f ca="1">$J$959-EFEITO!$K$959*EFEITO!$Y$959</f>
        <v>1861708.1044429969</v>
      </c>
      <c r="N959" s="83">
        <f>$K$959-EFEITO!$M$959*EFEITO!$Z$959</f>
        <v>0</v>
      </c>
      <c r="O959" s="83">
        <f>$L$959-EFEITO!$O$959*EFEITO!$AA$959</f>
        <v>0</v>
      </c>
      <c r="P959" s="61"/>
      <c r="Q959" s="61"/>
      <c r="R959" s="61"/>
      <c r="S959" s="61"/>
      <c r="T959" s="61"/>
      <c r="U959" s="61"/>
      <c r="V959" s="61"/>
      <c r="W959" s="61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 spans="1:36" ht="11.25" customHeight="1" x14ac:dyDescent="0.2">
      <c r="A960" s="57" t="s">
        <v>59</v>
      </c>
      <c r="B960" s="57" t="s">
        <v>35</v>
      </c>
      <c r="C960" s="57" t="s">
        <v>36</v>
      </c>
      <c r="D960" s="57" t="s">
        <v>42</v>
      </c>
      <c r="E960" s="57" t="s">
        <v>25</v>
      </c>
      <c r="F960" s="57" t="s">
        <v>62</v>
      </c>
      <c r="G960" s="57" t="s">
        <v>25</v>
      </c>
      <c r="H960" s="57" t="s">
        <v>25</v>
      </c>
      <c r="I960" s="82">
        <v>44470</v>
      </c>
      <c r="J960" s="83">
        <f ca="1">EFEITO!$J$960*EFEITO!$Y$960</f>
        <v>3510007.7383917742</v>
      </c>
      <c r="K960" s="83">
        <f>EFEITO!$L$960*EFEITO!$Z$960</f>
        <v>0</v>
      </c>
      <c r="L960" s="83">
        <f>EFEITO!$N$960*EFEITO!$AA$960</f>
        <v>0</v>
      </c>
      <c r="M960" s="83">
        <f ca="1">$J$960-EFEITO!$K$960*EFEITO!$Y$960</f>
        <v>1861708.1044429969</v>
      </c>
      <c r="N960" s="83">
        <f>$K$960-EFEITO!$M$960*EFEITO!$Z$960</f>
        <v>0</v>
      </c>
      <c r="O960" s="83">
        <f>$L$960-EFEITO!$O$960*EFEITO!$AA$960</f>
        <v>0</v>
      </c>
      <c r="P960" s="61"/>
      <c r="Q960" s="61"/>
      <c r="R960" s="61"/>
      <c r="S960" s="61"/>
      <c r="T960" s="61"/>
      <c r="U960" s="61"/>
      <c r="V960" s="61"/>
      <c r="W960" s="61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</row>
    <row r="961" spans="1:36" ht="11.25" customHeight="1" x14ac:dyDescent="0.2">
      <c r="A961" s="57" t="s">
        <v>21</v>
      </c>
      <c r="B961" s="57" t="s">
        <v>35</v>
      </c>
      <c r="C961" s="57" t="s">
        <v>36</v>
      </c>
      <c r="D961" s="57" t="s">
        <v>42</v>
      </c>
      <c r="E961" s="57" t="s">
        <v>25</v>
      </c>
      <c r="F961" s="57" t="s">
        <v>62</v>
      </c>
      <c r="G961" s="57" t="s">
        <v>25</v>
      </c>
      <c r="H961" s="57" t="s">
        <v>37</v>
      </c>
      <c r="I961" s="82">
        <v>44136</v>
      </c>
      <c r="J961" s="83">
        <f>EFEITO!$J$961*EFEITO!$Y$961</f>
        <v>0</v>
      </c>
      <c r="K961" s="83">
        <f ca="1">EFEITO!$L$961*EFEITO!$Z$961</f>
        <v>4343984.1301633529</v>
      </c>
      <c r="L961" s="83">
        <f>EFEITO!$N$961*EFEITO!$AA$961</f>
        <v>0</v>
      </c>
      <c r="M961" s="83">
        <f>$J$961-EFEITO!$K$961*EFEITO!$Y$961</f>
        <v>0</v>
      </c>
      <c r="N961" s="83">
        <f ca="1">$K$961-EFEITO!$M$961*EFEITO!$Z$961</f>
        <v>2159394.5111042024</v>
      </c>
      <c r="O961" s="83">
        <f>$L$961-EFEITO!$O$961*EFEITO!$AA$961</f>
        <v>0</v>
      </c>
      <c r="P961" s="61"/>
      <c r="Q961" s="61"/>
      <c r="R961" s="61"/>
      <c r="S961" s="61"/>
      <c r="T961" s="61"/>
      <c r="U961" s="61"/>
      <c r="V961" s="61"/>
      <c r="W961" s="61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spans="1:36" ht="11.25" customHeight="1" x14ac:dyDescent="0.2">
      <c r="A962" s="57" t="s">
        <v>21</v>
      </c>
      <c r="B962" s="57" t="s">
        <v>35</v>
      </c>
      <c r="C962" s="57" t="s">
        <v>36</v>
      </c>
      <c r="D962" s="57" t="s">
        <v>42</v>
      </c>
      <c r="E962" s="57" t="s">
        <v>25</v>
      </c>
      <c r="F962" s="57" t="s">
        <v>62</v>
      </c>
      <c r="G962" s="57" t="s">
        <v>25</v>
      </c>
      <c r="H962" s="57" t="s">
        <v>37</v>
      </c>
      <c r="I962" s="82">
        <v>44166</v>
      </c>
      <c r="J962" s="83">
        <f>EFEITO!$J$962*EFEITO!$Y$962</f>
        <v>0</v>
      </c>
      <c r="K962" s="83">
        <f ca="1">EFEITO!$L$962*EFEITO!$Z$962</f>
        <v>4045197.4170951988</v>
      </c>
      <c r="L962" s="83">
        <f>EFEITO!$N$962*EFEITO!$AA$962</f>
        <v>0</v>
      </c>
      <c r="M962" s="83">
        <f>$J$962-EFEITO!$K$962*EFEITO!$Y$962</f>
        <v>0</v>
      </c>
      <c r="N962" s="83">
        <f ca="1">$K$962-EFEITO!$M$962*EFEITO!$Z$962</f>
        <v>1888298.1543000387</v>
      </c>
      <c r="O962" s="83">
        <f>$L$962-EFEITO!$O$962*EFEITO!$AA$962</f>
        <v>0</v>
      </c>
      <c r="P962" s="61"/>
      <c r="Q962" s="61"/>
      <c r="R962" s="61"/>
      <c r="S962" s="61"/>
      <c r="T962" s="61"/>
      <c r="U962" s="61"/>
      <c r="V962" s="61"/>
      <c r="W962" s="61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</row>
    <row r="963" spans="1:36" ht="11.25" customHeight="1" x14ac:dyDescent="0.2">
      <c r="A963" s="57" t="s">
        <v>21</v>
      </c>
      <c r="B963" s="57" t="s">
        <v>35</v>
      </c>
      <c r="C963" s="57" t="s">
        <v>36</v>
      </c>
      <c r="D963" s="57" t="s">
        <v>42</v>
      </c>
      <c r="E963" s="57" t="s">
        <v>25</v>
      </c>
      <c r="F963" s="57" t="s">
        <v>62</v>
      </c>
      <c r="G963" s="57" t="s">
        <v>25</v>
      </c>
      <c r="H963" s="57" t="s">
        <v>37</v>
      </c>
      <c r="I963" s="82">
        <v>44197</v>
      </c>
      <c r="J963" s="83">
        <f>EFEITO!$J$963*EFEITO!$Y$963</f>
        <v>0</v>
      </c>
      <c r="K963" s="83">
        <f ca="1">EFEITO!$L$963*EFEITO!$Z$963</f>
        <v>2633712.2501284387</v>
      </c>
      <c r="L963" s="83">
        <f>EFEITO!$N$963*EFEITO!$AA$963</f>
        <v>0</v>
      </c>
      <c r="M963" s="83">
        <f>$J$963-EFEITO!$K$963*EFEITO!$Y$963</f>
        <v>0</v>
      </c>
      <c r="N963" s="83">
        <f ca="1">$K$963-EFEITO!$M$963*EFEITO!$Z$963</f>
        <v>1241795.3259355589</v>
      </c>
      <c r="O963" s="83">
        <f>$L$963-EFEITO!$O$963*EFEITO!$AA$963</f>
        <v>0</v>
      </c>
      <c r="P963" s="61"/>
      <c r="Q963" s="61"/>
      <c r="R963" s="61"/>
      <c r="S963" s="61"/>
      <c r="T963" s="61"/>
      <c r="U963" s="61"/>
      <c r="V963" s="61"/>
      <c r="W963" s="61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</row>
    <row r="964" spans="1:36" ht="11.25" customHeight="1" x14ac:dyDescent="0.2">
      <c r="A964" s="57" t="s">
        <v>21</v>
      </c>
      <c r="B964" s="57" t="s">
        <v>35</v>
      </c>
      <c r="C964" s="57" t="s">
        <v>36</v>
      </c>
      <c r="D964" s="57" t="s">
        <v>42</v>
      </c>
      <c r="E964" s="57" t="s">
        <v>25</v>
      </c>
      <c r="F964" s="57" t="s">
        <v>62</v>
      </c>
      <c r="G964" s="57" t="s">
        <v>25</v>
      </c>
      <c r="H964" s="57" t="s">
        <v>37</v>
      </c>
      <c r="I964" s="82">
        <v>44228</v>
      </c>
      <c r="J964" s="83">
        <f>EFEITO!$J$964*EFEITO!$Y$964</f>
        <v>0</v>
      </c>
      <c r="K964" s="83">
        <f ca="1">EFEITO!$L$964*EFEITO!$Z$964</f>
        <v>2750450.1758249691</v>
      </c>
      <c r="L964" s="83">
        <f>EFEITO!$N$964*EFEITO!$AA$964</f>
        <v>0</v>
      </c>
      <c r="M964" s="83">
        <f>$J$964-EFEITO!$K$964*EFEITO!$Y$964</f>
        <v>0</v>
      </c>
      <c r="N964" s="83">
        <f ca="1">$K$964-EFEITO!$M$964*EFEITO!$Z$964</f>
        <v>1294361.8527432303</v>
      </c>
      <c r="O964" s="83">
        <f>$L$964-EFEITO!$O$964*EFEITO!$AA$964</f>
        <v>0</v>
      </c>
      <c r="P964" s="61"/>
      <c r="Q964" s="61"/>
      <c r="R964" s="61"/>
      <c r="S964" s="61"/>
      <c r="T964" s="61"/>
      <c r="U964" s="61"/>
      <c r="V964" s="61"/>
      <c r="W964" s="61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</row>
    <row r="965" spans="1:36" ht="11.25" customHeight="1" x14ac:dyDescent="0.2">
      <c r="A965" s="57" t="s">
        <v>21</v>
      </c>
      <c r="B965" s="57" t="s">
        <v>35</v>
      </c>
      <c r="C965" s="57" t="s">
        <v>36</v>
      </c>
      <c r="D965" s="57" t="s">
        <v>42</v>
      </c>
      <c r="E965" s="57" t="s">
        <v>25</v>
      </c>
      <c r="F965" s="57" t="s">
        <v>62</v>
      </c>
      <c r="G965" s="57" t="s">
        <v>25</v>
      </c>
      <c r="H965" s="57" t="s">
        <v>37</v>
      </c>
      <c r="I965" s="82">
        <v>44256</v>
      </c>
      <c r="J965" s="83">
        <f>EFEITO!$J$965*EFEITO!$Y$965</f>
        <v>0</v>
      </c>
      <c r="K965" s="83">
        <f ca="1">EFEITO!$L$965*EFEITO!$Z$965</f>
        <v>4239409.9850832233</v>
      </c>
      <c r="L965" s="83">
        <f>EFEITO!$N$965*EFEITO!$AA$965</f>
        <v>0</v>
      </c>
      <c r="M965" s="83">
        <f>$J$965-EFEITO!$K$965*EFEITO!$Y$965</f>
        <v>0</v>
      </c>
      <c r="N965" s="83">
        <f ca="1">$K$965-EFEITO!$M$965*EFEITO!$Z$965</f>
        <v>1973869.2890547491</v>
      </c>
      <c r="O965" s="83">
        <f>$L$965-EFEITO!$O$965*EFEITO!$AA$965</f>
        <v>0</v>
      </c>
      <c r="P965" s="61"/>
      <c r="Q965" s="61"/>
      <c r="R965" s="61"/>
      <c r="S965" s="61"/>
      <c r="T965" s="61"/>
      <c r="U965" s="61"/>
      <c r="V965" s="61"/>
      <c r="W965" s="61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</row>
    <row r="966" spans="1:36" ht="11.25" customHeight="1" x14ac:dyDescent="0.2">
      <c r="A966" s="57" t="s">
        <v>21</v>
      </c>
      <c r="B966" s="57" t="s">
        <v>35</v>
      </c>
      <c r="C966" s="57" t="s">
        <v>36</v>
      </c>
      <c r="D966" s="57" t="s">
        <v>42</v>
      </c>
      <c r="E966" s="57" t="s">
        <v>25</v>
      </c>
      <c r="F966" s="57" t="s">
        <v>62</v>
      </c>
      <c r="G966" s="57" t="s">
        <v>25</v>
      </c>
      <c r="H966" s="57" t="s">
        <v>37</v>
      </c>
      <c r="I966" s="82">
        <v>44287</v>
      </c>
      <c r="J966" s="83">
        <f>EFEITO!$J$966*EFEITO!$Y$966</f>
        <v>0</v>
      </c>
      <c r="K966" s="83">
        <f ca="1">EFEITO!$L$966*EFEITO!$Z$966</f>
        <v>4194898.321026694</v>
      </c>
      <c r="L966" s="83">
        <f>EFEITO!$N$966*EFEITO!$AA$966</f>
        <v>0</v>
      </c>
      <c r="M966" s="83">
        <f>$J$966-EFEITO!$K$966*EFEITO!$Y$966</f>
        <v>0</v>
      </c>
      <c r="N966" s="83">
        <f ca="1">$K$966-EFEITO!$M$966*EFEITO!$Z$966</f>
        <v>1962373.4345762874</v>
      </c>
      <c r="O966" s="83">
        <f>$L$966-EFEITO!$O$966*EFEITO!$AA$966</f>
        <v>0</v>
      </c>
      <c r="P966" s="61"/>
      <c r="Q966" s="61"/>
      <c r="R966" s="61"/>
      <c r="S966" s="61"/>
      <c r="T966" s="61"/>
      <c r="U966" s="61"/>
      <c r="V966" s="61"/>
      <c r="W966" s="61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</row>
    <row r="967" spans="1:36" ht="11.25" customHeight="1" x14ac:dyDescent="0.2">
      <c r="A967" s="57" t="s">
        <v>21</v>
      </c>
      <c r="B967" s="57" t="s">
        <v>35</v>
      </c>
      <c r="C967" s="57" t="s">
        <v>36</v>
      </c>
      <c r="D967" s="57" t="s">
        <v>42</v>
      </c>
      <c r="E967" s="57" t="s">
        <v>25</v>
      </c>
      <c r="F967" s="57" t="s">
        <v>62</v>
      </c>
      <c r="G967" s="57" t="s">
        <v>25</v>
      </c>
      <c r="H967" s="57" t="s">
        <v>37</v>
      </c>
      <c r="I967" s="82">
        <v>44317</v>
      </c>
      <c r="J967" s="83">
        <f>EFEITO!$J$967*EFEITO!$Y$967</f>
        <v>0</v>
      </c>
      <c r="K967" s="83">
        <f ca="1">EFEITO!$L$967*EFEITO!$Z$967</f>
        <v>4661337.7124823937</v>
      </c>
      <c r="L967" s="83">
        <f>EFEITO!$N$967*EFEITO!$AA$967</f>
        <v>0</v>
      </c>
      <c r="M967" s="83">
        <f>$J$967-EFEITO!$K$967*EFEITO!$Y$967</f>
        <v>0</v>
      </c>
      <c r="N967" s="83">
        <f ca="1">$K$967-EFEITO!$M$967*EFEITO!$Z$967</f>
        <v>2148876.685454384</v>
      </c>
      <c r="O967" s="83">
        <f>$L$967-EFEITO!$O$967*EFEITO!$AA$967</f>
        <v>0</v>
      </c>
      <c r="P967" s="61"/>
      <c r="Q967" s="61"/>
      <c r="R967" s="61"/>
      <c r="S967" s="61"/>
      <c r="T967" s="61"/>
      <c r="U967" s="61"/>
      <c r="V967" s="61"/>
      <c r="W967" s="61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spans="1:36" ht="11.25" customHeight="1" x14ac:dyDescent="0.2">
      <c r="A968" s="57" t="s">
        <v>21</v>
      </c>
      <c r="B968" s="57" t="s">
        <v>35</v>
      </c>
      <c r="C968" s="57" t="s">
        <v>36</v>
      </c>
      <c r="D968" s="57" t="s">
        <v>42</v>
      </c>
      <c r="E968" s="57" t="s">
        <v>25</v>
      </c>
      <c r="F968" s="57" t="s">
        <v>62</v>
      </c>
      <c r="G968" s="57" t="s">
        <v>25</v>
      </c>
      <c r="H968" s="57" t="s">
        <v>37</v>
      </c>
      <c r="I968" s="82">
        <v>44348</v>
      </c>
      <c r="J968" s="83">
        <f>EFEITO!$J$968*EFEITO!$Y$968</f>
        <v>0</v>
      </c>
      <c r="K968" s="83">
        <f ca="1">EFEITO!$L$968*EFEITO!$Z$968</f>
        <v>2633712.2501284387</v>
      </c>
      <c r="L968" s="83">
        <f>EFEITO!$N$968*EFEITO!$AA$968</f>
        <v>0</v>
      </c>
      <c r="M968" s="83">
        <f>$J$968-EFEITO!$K$968*EFEITO!$Y$968</f>
        <v>0</v>
      </c>
      <c r="N968" s="83">
        <f ca="1">$K$968-EFEITO!$M$968*EFEITO!$Z$968</f>
        <v>1241795.3259355589</v>
      </c>
      <c r="O968" s="83">
        <f>$L$968-EFEITO!$O$968*EFEITO!$AA$968</f>
        <v>0</v>
      </c>
      <c r="P968" s="61"/>
      <c r="Q968" s="61"/>
      <c r="R968" s="61"/>
      <c r="S968" s="61"/>
      <c r="T968" s="61"/>
      <c r="U968" s="61"/>
      <c r="V968" s="61"/>
      <c r="W968" s="61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</row>
    <row r="969" spans="1:36" ht="11.25" customHeight="1" x14ac:dyDescent="0.2">
      <c r="A969" s="57" t="s">
        <v>21</v>
      </c>
      <c r="B969" s="57" t="s">
        <v>35</v>
      </c>
      <c r="C969" s="57" t="s">
        <v>36</v>
      </c>
      <c r="D969" s="57" t="s">
        <v>42</v>
      </c>
      <c r="E969" s="57" t="s">
        <v>25</v>
      </c>
      <c r="F969" s="57" t="s">
        <v>62</v>
      </c>
      <c r="G969" s="57" t="s">
        <v>25</v>
      </c>
      <c r="H969" s="57" t="s">
        <v>37</v>
      </c>
      <c r="I969" s="82">
        <v>44378</v>
      </c>
      <c r="J969" s="83">
        <f>EFEITO!$J$969*EFEITO!$Y$969</f>
        <v>0</v>
      </c>
      <c r="K969" s="83">
        <f ca="1">EFEITO!$L$969*EFEITO!$Z$969</f>
        <v>5029125.8559946511</v>
      </c>
      <c r="L969" s="83">
        <f>EFEITO!$N$969*EFEITO!$AA$969</f>
        <v>0</v>
      </c>
      <c r="M969" s="83">
        <f>$J$969-EFEITO!$K$969*EFEITO!$Y$969</f>
        <v>0</v>
      </c>
      <c r="N969" s="83">
        <f ca="1">$K$969-EFEITO!$M$969*EFEITO!$Z$969</f>
        <v>2352625.0754342978</v>
      </c>
      <c r="O969" s="83">
        <f>$L$969-EFEITO!$O$969*EFEITO!$AA$969</f>
        <v>0</v>
      </c>
      <c r="P969" s="61"/>
      <c r="Q969" s="61"/>
      <c r="R969" s="61"/>
      <c r="S969" s="61"/>
      <c r="T969" s="61"/>
      <c r="U969" s="61"/>
      <c r="V969" s="61"/>
      <c r="W969" s="61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</row>
    <row r="970" spans="1:36" ht="11.25" customHeight="1" x14ac:dyDescent="0.2">
      <c r="A970" s="57" t="s">
        <v>21</v>
      </c>
      <c r="B970" s="57" t="s">
        <v>35</v>
      </c>
      <c r="C970" s="57" t="s">
        <v>36</v>
      </c>
      <c r="D970" s="57" t="s">
        <v>42</v>
      </c>
      <c r="E970" s="57" t="s">
        <v>25</v>
      </c>
      <c r="F970" s="57" t="s">
        <v>62</v>
      </c>
      <c r="G970" s="57" t="s">
        <v>25</v>
      </c>
      <c r="H970" s="57" t="s">
        <v>37</v>
      </c>
      <c r="I970" s="82">
        <v>44409</v>
      </c>
      <c r="J970" s="83">
        <f>EFEITO!$J$970*EFEITO!$Y$970</f>
        <v>0</v>
      </c>
      <c r="K970" s="83">
        <f ca="1">EFEITO!$L$970*EFEITO!$Z$970</f>
        <v>5208095.9574088361</v>
      </c>
      <c r="L970" s="83">
        <f>EFEITO!$N$970*EFEITO!$AA$970</f>
        <v>0</v>
      </c>
      <c r="M970" s="83">
        <f>$J$970-EFEITO!$K$970*EFEITO!$Y$970</f>
        <v>0</v>
      </c>
      <c r="N970" s="83">
        <f ca="1">$K$970-EFEITO!$M$970*EFEITO!$Z$970</f>
        <v>2526968.1585347671</v>
      </c>
      <c r="O970" s="83">
        <f>$L$970-EFEITO!$O$970*EFEITO!$AA$970</f>
        <v>0</v>
      </c>
      <c r="P970" s="61"/>
      <c r="Q970" s="61"/>
      <c r="R970" s="61"/>
      <c r="S970" s="61"/>
      <c r="T970" s="61"/>
      <c r="U970" s="61"/>
      <c r="V970" s="61"/>
      <c r="W970" s="61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</row>
    <row r="971" spans="1:36" ht="11.25" customHeight="1" x14ac:dyDescent="0.2">
      <c r="A971" s="57" t="s">
        <v>21</v>
      </c>
      <c r="B971" s="57" t="s">
        <v>35</v>
      </c>
      <c r="C971" s="57" t="s">
        <v>36</v>
      </c>
      <c r="D971" s="57" t="s">
        <v>42</v>
      </c>
      <c r="E971" s="57" t="s">
        <v>25</v>
      </c>
      <c r="F971" s="57" t="s">
        <v>62</v>
      </c>
      <c r="G971" s="57" t="s">
        <v>25</v>
      </c>
      <c r="H971" s="57" t="s">
        <v>37</v>
      </c>
      <c r="I971" s="82">
        <v>44440</v>
      </c>
      <c r="J971" s="83">
        <f>EFEITO!$J$971*EFEITO!$Y$971</f>
        <v>0</v>
      </c>
      <c r="K971" s="83">
        <f ca="1">EFEITO!$L$971*EFEITO!$Z$971</f>
        <v>4897609.5953057623</v>
      </c>
      <c r="L971" s="83">
        <f>EFEITO!$N$971*EFEITO!$AA$971</f>
        <v>0</v>
      </c>
      <c r="M971" s="83">
        <f>$J$971-EFEITO!$K$971*EFEITO!$Y$971</f>
        <v>0</v>
      </c>
      <c r="N971" s="83">
        <f ca="1">$K$971-EFEITO!$M$971*EFEITO!$Z$971</f>
        <v>2435091.4907860248</v>
      </c>
      <c r="O971" s="83">
        <f>$L$971-EFEITO!$O$971*EFEITO!$AA$971</f>
        <v>0</v>
      </c>
      <c r="P971" s="61"/>
      <c r="Q971" s="61"/>
      <c r="R971" s="61"/>
      <c r="S971" s="61"/>
      <c r="T971" s="61"/>
      <c r="U971" s="61"/>
      <c r="V971" s="61"/>
      <c r="W971" s="61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</row>
    <row r="972" spans="1:36" ht="11.25" customHeight="1" x14ac:dyDescent="0.2">
      <c r="A972" s="57" t="s">
        <v>59</v>
      </c>
      <c r="B972" s="57" t="s">
        <v>35</v>
      </c>
      <c r="C972" s="57" t="s">
        <v>36</v>
      </c>
      <c r="D972" s="57" t="s">
        <v>42</v>
      </c>
      <c r="E972" s="57" t="s">
        <v>25</v>
      </c>
      <c r="F972" s="57" t="s">
        <v>62</v>
      </c>
      <c r="G972" s="57" t="s">
        <v>25</v>
      </c>
      <c r="H972" s="57" t="s">
        <v>37</v>
      </c>
      <c r="I972" s="82">
        <v>44470</v>
      </c>
      <c r="J972" s="83">
        <f>EFEITO!$J$972*EFEITO!$Y$972</f>
        <v>0</v>
      </c>
      <c r="K972" s="83">
        <f ca="1">EFEITO!$L$972*EFEITO!$Z$972</f>
        <v>4897609.5953057623</v>
      </c>
      <c r="L972" s="83">
        <f>EFEITO!$N$972*EFEITO!$AA$972</f>
        <v>0</v>
      </c>
      <c r="M972" s="83">
        <f>$J$972-EFEITO!$K$972*EFEITO!$Y$972</f>
        <v>0</v>
      </c>
      <c r="N972" s="83">
        <f ca="1">$K$972-EFEITO!$M$972*EFEITO!$Z$972</f>
        <v>2435091.4907860248</v>
      </c>
      <c r="O972" s="83">
        <f>$L$972-EFEITO!$O$972*EFEITO!$AA$972</f>
        <v>0</v>
      </c>
      <c r="P972" s="61"/>
      <c r="Q972" s="61"/>
      <c r="R972" s="61"/>
      <c r="S972" s="61"/>
      <c r="T972" s="61"/>
      <c r="U972" s="61"/>
      <c r="V972" s="61"/>
      <c r="W972" s="61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</row>
    <row r="973" spans="1:36" ht="11.25" customHeight="1" x14ac:dyDescent="0.2">
      <c r="A973" s="57" t="s">
        <v>21</v>
      </c>
      <c r="B973" s="57" t="s">
        <v>35</v>
      </c>
      <c r="C973" s="57" t="s">
        <v>36</v>
      </c>
      <c r="D973" s="57" t="s">
        <v>42</v>
      </c>
      <c r="E973" s="57" t="s">
        <v>25</v>
      </c>
      <c r="F973" s="57" t="s">
        <v>25</v>
      </c>
      <c r="G973" s="57" t="s">
        <v>25</v>
      </c>
      <c r="H973" s="57" t="s">
        <v>38</v>
      </c>
      <c r="I973" s="82">
        <v>44136</v>
      </c>
      <c r="J973" s="83">
        <f>EFEITO!$J$973*EFEITO!$Y$973</f>
        <v>0</v>
      </c>
      <c r="K973" s="83">
        <f ca="1">EFEITO!$L$973*EFEITO!$Z$973</f>
        <v>3593072.4806002965</v>
      </c>
      <c r="L973" s="83">
        <f>EFEITO!$N$973*EFEITO!$AA$973</f>
        <v>6032415.4389808951</v>
      </c>
      <c r="M973" s="83">
        <f>$J$973-EFEITO!$K$973*EFEITO!$Y$973</f>
        <v>0</v>
      </c>
      <c r="N973" s="83">
        <f ca="1">$K$973-EFEITO!$M$973*EFEITO!$Z$973</f>
        <v>0</v>
      </c>
      <c r="O973" s="83">
        <f>$L$973-EFEITO!$O$973*EFEITO!$AA$973</f>
        <v>0</v>
      </c>
      <c r="P973" s="61"/>
      <c r="Q973" s="61"/>
      <c r="R973" s="61"/>
      <c r="S973" s="61"/>
      <c r="T973" s="61"/>
      <c r="U973" s="61"/>
      <c r="V973" s="61"/>
      <c r="W973" s="61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</row>
    <row r="974" spans="1:36" ht="11.25" customHeight="1" x14ac:dyDescent="0.2">
      <c r="A974" s="57" t="s">
        <v>27</v>
      </c>
      <c r="B974" s="57" t="s">
        <v>35</v>
      </c>
      <c r="C974" s="57" t="s">
        <v>36</v>
      </c>
      <c r="D974" s="57" t="s">
        <v>42</v>
      </c>
      <c r="E974" s="57" t="s">
        <v>25</v>
      </c>
      <c r="F974" s="57" t="s">
        <v>25</v>
      </c>
      <c r="G974" s="57" t="s">
        <v>25</v>
      </c>
      <c r="H974" s="57" t="s">
        <v>38</v>
      </c>
      <c r="I974" s="82">
        <v>44136</v>
      </c>
      <c r="J974" s="83">
        <f>EFEITO!$J$974*EFEITO!$Y$974</f>
        <v>0</v>
      </c>
      <c r="K974" s="83">
        <f ca="1">EFEITO!$L$974*EFEITO!$Z$974</f>
        <v>-19882.556836290878</v>
      </c>
      <c r="L974" s="83">
        <f>EFEITO!$N$974*EFEITO!$AA$974</f>
        <v>-33380.858157812007</v>
      </c>
      <c r="M974" s="83">
        <f>$J$974-EFEITO!$K$974*EFEITO!$Y$974</f>
        <v>0</v>
      </c>
      <c r="N974" s="83">
        <f ca="1">$K$974-EFEITO!$M$974*EFEITO!$Z$974</f>
        <v>0</v>
      </c>
      <c r="O974" s="83">
        <f>$L$974-EFEITO!$O$974*EFEITO!$AA$974</f>
        <v>0</v>
      </c>
      <c r="P974" s="61"/>
      <c r="Q974" s="61"/>
      <c r="R974" s="61"/>
      <c r="S974" s="61"/>
      <c r="T974" s="61"/>
      <c r="U974" s="61"/>
      <c r="V974" s="61"/>
      <c r="W974" s="61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</row>
    <row r="975" spans="1:36" ht="11.25" customHeight="1" x14ac:dyDescent="0.2">
      <c r="A975" s="57" t="s">
        <v>28</v>
      </c>
      <c r="B975" s="57" t="s">
        <v>35</v>
      </c>
      <c r="C975" s="57" t="s">
        <v>36</v>
      </c>
      <c r="D975" s="57" t="s">
        <v>42</v>
      </c>
      <c r="E975" s="57" t="s">
        <v>25</v>
      </c>
      <c r="F975" s="57" t="s">
        <v>25</v>
      </c>
      <c r="G975" s="57" t="s">
        <v>25</v>
      </c>
      <c r="H975" s="57" t="s">
        <v>38</v>
      </c>
      <c r="I975" s="82">
        <v>44136</v>
      </c>
      <c r="J975" s="83">
        <f>EFEITO!$J$975*EFEITO!$Y$975</f>
        <v>0</v>
      </c>
      <c r="K975" s="83">
        <f ca="1">EFEITO!$L$975*EFEITO!$Z$975</f>
        <v>356174.60115245462</v>
      </c>
      <c r="L975" s="83">
        <f>EFEITO!$N$975*EFEITO!$AA$975</f>
        <v>597982.13772909006</v>
      </c>
      <c r="M975" s="83">
        <f>$J$975-EFEITO!$K$975*EFEITO!$Y$975</f>
        <v>0</v>
      </c>
      <c r="N975" s="83">
        <f ca="1">$K$975-EFEITO!$M$975*EFEITO!$Z$975</f>
        <v>0</v>
      </c>
      <c r="O975" s="83">
        <f>$L$975-EFEITO!$O$975*EFEITO!$AA$975</f>
        <v>0</v>
      </c>
      <c r="P975" s="61"/>
      <c r="Q975" s="61"/>
      <c r="R975" s="61"/>
      <c r="S975" s="61"/>
      <c r="T975" s="61"/>
      <c r="U975" s="61"/>
      <c r="V975" s="61"/>
      <c r="W975" s="61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</row>
    <row r="976" spans="1:36" ht="11.25" customHeight="1" x14ac:dyDescent="0.2">
      <c r="A976" s="57" t="s">
        <v>30</v>
      </c>
      <c r="B976" s="57" t="s">
        <v>35</v>
      </c>
      <c r="C976" s="57" t="s">
        <v>36</v>
      </c>
      <c r="D976" s="57" t="s">
        <v>42</v>
      </c>
      <c r="E976" s="57" t="s">
        <v>25</v>
      </c>
      <c r="F976" s="57" t="s">
        <v>25</v>
      </c>
      <c r="G976" s="57" t="s">
        <v>25</v>
      </c>
      <c r="H976" s="57" t="s">
        <v>38</v>
      </c>
      <c r="I976" s="82">
        <v>44136</v>
      </c>
      <c r="J976" s="83">
        <f>EFEITO!$J$976*EFEITO!$Y$976</f>
        <v>0</v>
      </c>
      <c r="K976" s="83">
        <f ca="1">EFEITO!$L$976*EFEITO!$Z$976</f>
        <v>79252.517292732678</v>
      </c>
      <c r="L976" s="83">
        <f>EFEITO!$N$976*EFEITO!$AA$976</f>
        <v>133057.18475651438</v>
      </c>
      <c r="M976" s="83">
        <f>$J$976-EFEITO!$K$976*EFEITO!$Y$976</f>
        <v>0</v>
      </c>
      <c r="N976" s="83">
        <f ca="1">$K$976-EFEITO!$M$976*EFEITO!$Z$976</f>
        <v>0</v>
      </c>
      <c r="O976" s="83">
        <f>$L$976-EFEITO!$O$976*EFEITO!$AA$976</f>
        <v>0</v>
      </c>
      <c r="P976" s="61"/>
      <c r="Q976" s="61"/>
      <c r="R976" s="61"/>
      <c r="S976" s="61"/>
      <c r="T976" s="61"/>
      <c r="U976" s="61"/>
      <c r="V976" s="61"/>
      <c r="W976" s="61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</row>
    <row r="977" spans="1:36" ht="11.25" customHeight="1" x14ac:dyDescent="0.2">
      <c r="A977" s="57" t="s">
        <v>21</v>
      </c>
      <c r="B977" s="57" t="s">
        <v>35</v>
      </c>
      <c r="C977" s="57" t="s">
        <v>36</v>
      </c>
      <c r="D977" s="57" t="s">
        <v>42</v>
      </c>
      <c r="E977" s="57" t="s">
        <v>25</v>
      </c>
      <c r="F977" s="57" t="s">
        <v>25</v>
      </c>
      <c r="G977" s="57" t="s">
        <v>25</v>
      </c>
      <c r="H977" s="57" t="s">
        <v>38</v>
      </c>
      <c r="I977" s="82">
        <v>44166</v>
      </c>
      <c r="J977" s="83">
        <f>EFEITO!$J$977*EFEITO!$Y$977</f>
        <v>0</v>
      </c>
      <c r="K977" s="83">
        <f ca="1">EFEITO!$L$977*EFEITO!$Z$977</f>
        <v>3359464.5707373344</v>
      </c>
      <c r="L977" s="83">
        <f>EFEITO!$N$977*EFEITO!$AA$977</f>
        <v>5640210.7256793836</v>
      </c>
      <c r="M977" s="83">
        <f>$J$977-EFEITO!$K$977*EFEITO!$Y$977</f>
        <v>0</v>
      </c>
      <c r="N977" s="83">
        <f ca="1">$K$977-EFEITO!$M$977*EFEITO!$Z$977</f>
        <v>0</v>
      </c>
      <c r="O977" s="83">
        <f>$L$977-EFEITO!$O$977*EFEITO!$AA$977</f>
        <v>0</v>
      </c>
      <c r="P977" s="61"/>
      <c r="Q977" s="61"/>
      <c r="R977" s="61"/>
      <c r="S977" s="61"/>
      <c r="T977" s="61"/>
      <c r="U977" s="61"/>
      <c r="V977" s="61"/>
      <c r="W977" s="61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</row>
    <row r="978" spans="1:36" ht="11.25" customHeight="1" x14ac:dyDescent="0.2">
      <c r="A978" s="57" t="s">
        <v>28</v>
      </c>
      <c r="B978" s="57" t="s">
        <v>35</v>
      </c>
      <c r="C978" s="57" t="s">
        <v>36</v>
      </c>
      <c r="D978" s="57" t="s">
        <v>42</v>
      </c>
      <c r="E978" s="57" t="s">
        <v>25</v>
      </c>
      <c r="F978" s="57" t="s">
        <v>25</v>
      </c>
      <c r="G978" s="57" t="s">
        <v>25</v>
      </c>
      <c r="H978" s="57" t="s">
        <v>38</v>
      </c>
      <c r="I978" s="82">
        <v>44166</v>
      </c>
      <c r="J978" s="83">
        <f>EFEITO!$J$978*EFEITO!$Y$978</f>
        <v>0</v>
      </c>
      <c r="K978" s="83">
        <f ca="1">EFEITO!$L$978*EFEITO!$Z$978</f>
        <v>330411.93838805635</v>
      </c>
      <c r="L978" s="83">
        <f>EFEITO!$N$978*EFEITO!$AA$978</f>
        <v>554729.15982555225</v>
      </c>
      <c r="M978" s="83">
        <f>$J$978-EFEITO!$K$978*EFEITO!$Y$978</f>
        <v>0</v>
      </c>
      <c r="N978" s="83">
        <f ca="1">$K$978-EFEITO!$M$978*EFEITO!$Z$978</f>
        <v>0</v>
      </c>
      <c r="O978" s="83">
        <f>$L$978-EFEITO!$O$978*EFEITO!$AA$978</f>
        <v>0</v>
      </c>
      <c r="P978" s="61"/>
      <c r="Q978" s="61"/>
      <c r="R978" s="61"/>
      <c r="S978" s="61"/>
      <c r="T978" s="61"/>
      <c r="U978" s="61"/>
      <c r="V978" s="61"/>
      <c r="W978" s="61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</row>
    <row r="979" spans="1:36" ht="11.25" customHeight="1" x14ac:dyDescent="0.2">
      <c r="A979" s="57" t="s">
        <v>30</v>
      </c>
      <c r="B979" s="57" t="s">
        <v>35</v>
      </c>
      <c r="C979" s="57" t="s">
        <v>36</v>
      </c>
      <c r="D979" s="57" t="s">
        <v>42</v>
      </c>
      <c r="E979" s="57" t="s">
        <v>25</v>
      </c>
      <c r="F979" s="57" t="s">
        <v>25</v>
      </c>
      <c r="G979" s="57" t="s">
        <v>25</v>
      </c>
      <c r="H979" s="57" t="s">
        <v>38</v>
      </c>
      <c r="I979" s="82">
        <v>44166</v>
      </c>
      <c r="J979" s="83">
        <f>EFEITO!$J$979*EFEITO!$Y$979</f>
        <v>0</v>
      </c>
      <c r="K979" s="83">
        <f ca="1">EFEITO!$L$979*EFEITO!$Z$979</f>
        <v>74389.389620948117</v>
      </c>
      <c r="L979" s="83">
        <f>EFEITO!$N$979*EFEITO!$AA$979</f>
        <v>124892.47151808084</v>
      </c>
      <c r="M979" s="83">
        <f>$J$979-EFEITO!$K$979*EFEITO!$Y$979</f>
        <v>0</v>
      </c>
      <c r="N979" s="83">
        <f ca="1">$K$979-EFEITO!$M$979*EFEITO!$Z$979</f>
        <v>0</v>
      </c>
      <c r="O979" s="83">
        <f>$L$979-EFEITO!$O$979*EFEITO!$AA$979</f>
        <v>0</v>
      </c>
      <c r="P979" s="61"/>
      <c r="Q979" s="61"/>
      <c r="R979" s="61"/>
      <c r="S979" s="61"/>
      <c r="T979" s="61"/>
      <c r="U979" s="61"/>
      <c r="V979" s="61"/>
      <c r="W979" s="61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</row>
    <row r="980" spans="1:36" ht="11.25" customHeight="1" x14ac:dyDescent="0.2">
      <c r="A980" s="57" t="s">
        <v>21</v>
      </c>
      <c r="B980" s="57" t="s">
        <v>35</v>
      </c>
      <c r="C980" s="57" t="s">
        <v>36</v>
      </c>
      <c r="D980" s="57" t="s">
        <v>42</v>
      </c>
      <c r="E980" s="57" t="s">
        <v>25</v>
      </c>
      <c r="F980" s="57" t="s">
        <v>25</v>
      </c>
      <c r="G980" s="57" t="s">
        <v>25</v>
      </c>
      <c r="H980" s="57" t="s">
        <v>38</v>
      </c>
      <c r="I980" s="82">
        <v>44197</v>
      </c>
      <c r="J980" s="83">
        <f>EFEITO!$J$980*EFEITO!$Y$980</f>
        <v>0</v>
      </c>
      <c r="K980" s="83">
        <f ca="1">EFEITO!$L$980*EFEITO!$Z$980</f>
        <v>3143719.9218621934</v>
      </c>
      <c r="L980" s="83">
        <f>EFEITO!$N$980*EFEITO!$AA$980</f>
        <v>5277996.6713348757</v>
      </c>
      <c r="M980" s="83">
        <f>$J$980-EFEITO!$K$980*EFEITO!$Y$980</f>
        <v>0</v>
      </c>
      <c r="N980" s="83">
        <f ca="1">$K$980-EFEITO!$M$980*EFEITO!$Z$980</f>
        <v>0</v>
      </c>
      <c r="O980" s="83">
        <f>$L$980-EFEITO!$O$980*EFEITO!$AA$980</f>
        <v>0</v>
      </c>
      <c r="P980" s="61"/>
      <c r="Q980" s="61"/>
      <c r="R980" s="61"/>
      <c r="S980" s="61"/>
      <c r="T980" s="61"/>
      <c r="U980" s="61"/>
      <c r="V980" s="61"/>
      <c r="W980" s="61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</row>
    <row r="981" spans="1:36" ht="11.25" customHeight="1" x14ac:dyDescent="0.2">
      <c r="A981" s="57" t="s">
        <v>27</v>
      </c>
      <c r="B981" s="57" t="s">
        <v>35</v>
      </c>
      <c r="C981" s="57" t="s">
        <v>36</v>
      </c>
      <c r="D981" s="57" t="s">
        <v>42</v>
      </c>
      <c r="E981" s="57" t="s">
        <v>25</v>
      </c>
      <c r="F981" s="57" t="s">
        <v>25</v>
      </c>
      <c r="G981" s="57" t="s">
        <v>25</v>
      </c>
      <c r="H981" s="57" t="s">
        <v>38</v>
      </c>
      <c r="I981" s="82">
        <v>44197</v>
      </c>
      <c r="J981" s="83">
        <f>EFEITO!$J$981*EFEITO!$Y$981</f>
        <v>0</v>
      </c>
      <c r="K981" s="83">
        <f ca="1">EFEITO!$L$981*EFEITO!$Z$981</f>
        <v>-6869.9535300361604</v>
      </c>
      <c r="L981" s="83">
        <f>EFEITO!$N$981*EFEITO!$AA$981</f>
        <v>-11533.976551663558</v>
      </c>
      <c r="M981" s="83">
        <f>$J$981-EFEITO!$K$981*EFEITO!$Y$981</f>
        <v>0</v>
      </c>
      <c r="N981" s="83">
        <f ca="1">$K$981-EFEITO!$M$981*EFEITO!$Z$981</f>
        <v>0</v>
      </c>
      <c r="O981" s="83">
        <f>$L$981-EFEITO!$O$981*EFEITO!$AA$981</f>
        <v>0</v>
      </c>
      <c r="P981" s="61"/>
      <c r="Q981" s="61"/>
      <c r="R981" s="61"/>
      <c r="S981" s="61"/>
      <c r="T981" s="61"/>
      <c r="U981" s="61"/>
      <c r="V981" s="61"/>
      <c r="W981" s="61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</row>
    <row r="982" spans="1:36" ht="11.25" customHeight="1" x14ac:dyDescent="0.2">
      <c r="A982" s="57" t="s">
        <v>28</v>
      </c>
      <c r="B982" s="57" t="s">
        <v>35</v>
      </c>
      <c r="C982" s="57" t="s">
        <v>36</v>
      </c>
      <c r="D982" s="57" t="s">
        <v>42</v>
      </c>
      <c r="E982" s="57" t="s">
        <v>25</v>
      </c>
      <c r="F982" s="57" t="s">
        <v>25</v>
      </c>
      <c r="G982" s="57" t="s">
        <v>25</v>
      </c>
      <c r="H982" s="57" t="s">
        <v>38</v>
      </c>
      <c r="I982" s="82">
        <v>44197</v>
      </c>
      <c r="J982" s="83">
        <f>EFEITO!$J$982*EFEITO!$Y$982</f>
        <v>0</v>
      </c>
      <c r="K982" s="83">
        <f ca="1">EFEITO!$L$982*EFEITO!$Z$982</f>
        <v>302034.28497218876</v>
      </c>
      <c r="L982" s="83">
        <f>EFEITO!$N$982*EFEITO!$AA$982</f>
        <v>507085.86971320579</v>
      </c>
      <c r="M982" s="83">
        <f>$J$982-EFEITO!$K$982*EFEITO!$Y$982</f>
        <v>0</v>
      </c>
      <c r="N982" s="83">
        <f ca="1">$K$982-EFEITO!$M$982*EFEITO!$Z$982</f>
        <v>0</v>
      </c>
      <c r="O982" s="83">
        <f>$L$982-EFEITO!$O$982*EFEITO!$AA$982</f>
        <v>0</v>
      </c>
      <c r="P982" s="61"/>
      <c r="Q982" s="61"/>
      <c r="R982" s="61"/>
      <c r="S982" s="61"/>
      <c r="T982" s="61"/>
      <c r="U982" s="61"/>
      <c r="V982" s="61"/>
      <c r="W982" s="61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</row>
    <row r="983" spans="1:36" ht="11.25" customHeight="1" x14ac:dyDescent="0.2">
      <c r="A983" s="57" t="s">
        <v>29</v>
      </c>
      <c r="B983" s="57" t="s">
        <v>35</v>
      </c>
      <c r="C983" s="57" t="s">
        <v>36</v>
      </c>
      <c r="D983" s="57" t="s">
        <v>42</v>
      </c>
      <c r="E983" s="57" t="s">
        <v>25</v>
      </c>
      <c r="F983" s="57" t="s">
        <v>25</v>
      </c>
      <c r="G983" s="57" t="s">
        <v>25</v>
      </c>
      <c r="H983" s="57" t="s">
        <v>38</v>
      </c>
      <c r="I983" s="82">
        <v>44197</v>
      </c>
      <c r="J983" s="83">
        <f>EFEITO!$J$983*EFEITO!$Y$983</f>
        <v>0</v>
      </c>
      <c r="K983" s="83">
        <f ca="1">EFEITO!$L$983*EFEITO!$Z$983</f>
        <v>-15134.355290572941</v>
      </c>
      <c r="L983" s="83">
        <f>EFEITO!$N$983*EFEITO!$AA$983</f>
        <v>-25409.094585985476</v>
      </c>
      <c r="M983" s="83">
        <f>$J$983-EFEITO!$K$983*EFEITO!$Y$983</f>
        <v>0</v>
      </c>
      <c r="N983" s="83">
        <f ca="1">$K$983-EFEITO!$M$983*EFEITO!$Z$983</f>
        <v>0</v>
      </c>
      <c r="O983" s="83">
        <f>$L$983-EFEITO!$O$983*EFEITO!$AA$983</f>
        <v>0</v>
      </c>
      <c r="P983" s="61"/>
      <c r="Q983" s="61"/>
      <c r="R983" s="61"/>
      <c r="S983" s="61"/>
      <c r="T983" s="61"/>
      <c r="U983" s="61"/>
      <c r="V983" s="61"/>
      <c r="W983" s="61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 spans="1:36" ht="11.25" customHeight="1" x14ac:dyDescent="0.2">
      <c r="A984" s="57" t="s">
        <v>30</v>
      </c>
      <c r="B984" s="57" t="s">
        <v>35</v>
      </c>
      <c r="C984" s="57" t="s">
        <v>36</v>
      </c>
      <c r="D984" s="57" t="s">
        <v>42</v>
      </c>
      <c r="E984" s="57" t="s">
        <v>25</v>
      </c>
      <c r="F984" s="57" t="s">
        <v>25</v>
      </c>
      <c r="G984" s="57" t="s">
        <v>25</v>
      </c>
      <c r="H984" s="57" t="s">
        <v>38</v>
      </c>
      <c r="I984" s="82">
        <v>44197</v>
      </c>
      <c r="J984" s="83">
        <f>EFEITO!$J$984*EFEITO!$Y$984</f>
        <v>0</v>
      </c>
      <c r="K984" s="83">
        <f ca="1">EFEITO!$L$984*EFEITO!$Z$984</f>
        <v>66324.676217286644</v>
      </c>
      <c r="L984" s="83">
        <f>EFEITO!$N$984*EFEITO!$AA$984</f>
        <v>111352.61060242359</v>
      </c>
      <c r="M984" s="83">
        <f>$J$984-EFEITO!$K$984*EFEITO!$Y$984</f>
        <v>0</v>
      </c>
      <c r="N984" s="83">
        <f ca="1">$K$984-EFEITO!$M$984*EFEITO!$Z$984</f>
        <v>0</v>
      </c>
      <c r="O984" s="83">
        <f>$L$984-EFEITO!$O$984*EFEITO!$AA$984</f>
        <v>0</v>
      </c>
      <c r="P984" s="61"/>
      <c r="Q984" s="61"/>
      <c r="R984" s="61"/>
      <c r="S984" s="61"/>
      <c r="T984" s="61"/>
      <c r="U984" s="61"/>
      <c r="V984" s="61"/>
      <c r="W984" s="61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</row>
    <row r="985" spans="1:36" ht="11.25" customHeight="1" x14ac:dyDescent="0.2">
      <c r="A985" s="57" t="s">
        <v>21</v>
      </c>
      <c r="B985" s="57" t="s">
        <v>35</v>
      </c>
      <c r="C985" s="57" t="s">
        <v>36</v>
      </c>
      <c r="D985" s="57" t="s">
        <v>42</v>
      </c>
      <c r="E985" s="57" t="s">
        <v>25</v>
      </c>
      <c r="F985" s="57" t="s">
        <v>25</v>
      </c>
      <c r="G985" s="57" t="s">
        <v>25</v>
      </c>
      <c r="H985" s="57" t="s">
        <v>38</v>
      </c>
      <c r="I985" s="82">
        <v>44228</v>
      </c>
      <c r="J985" s="83">
        <f>EFEITO!$J$985*EFEITO!$Y$985</f>
        <v>0</v>
      </c>
      <c r="K985" s="83">
        <f ca="1">EFEITO!$L$985*EFEITO!$Z$985</f>
        <v>3157778.9932665033</v>
      </c>
      <c r="L985" s="83">
        <f>EFEITO!$N$985*EFEITO!$AA$985</f>
        <v>5301600.4699932663</v>
      </c>
      <c r="M985" s="83">
        <f>$J$985-EFEITO!$K$985*EFEITO!$Y$985</f>
        <v>0</v>
      </c>
      <c r="N985" s="83">
        <f ca="1">$K$985-EFEITO!$M$985*EFEITO!$Z$985</f>
        <v>0</v>
      </c>
      <c r="O985" s="83">
        <f>$L$985-EFEITO!$O$985*EFEITO!$AA$985</f>
        <v>0</v>
      </c>
      <c r="P985" s="61"/>
      <c r="Q985" s="61"/>
      <c r="R985" s="61"/>
      <c r="S985" s="61"/>
      <c r="T985" s="61"/>
      <c r="U985" s="61"/>
      <c r="V985" s="61"/>
      <c r="W985" s="61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</row>
    <row r="986" spans="1:36" ht="11.25" customHeight="1" x14ac:dyDescent="0.2">
      <c r="A986" s="57" t="s">
        <v>27</v>
      </c>
      <c r="B986" s="57" t="s">
        <v>35</v>
      </c>
      <c r="C986" s="57" t="s">
        <v>36</v>
      </c>
      <c r="D986" s="57" t="s">
        <v>42</v>
      </c>
      <c r="E986" s="57" t="s">
        <v>25</v>
      </c>
      <c r="F986" s="57" t="s">
        <v>25</v>
      </c>
      <c r="G986" s="57" t="s">
        <v>25</v>
      </c>
      <c r="H986" s="57" t="s">
        <v>38</v>
      </c>
      <c r="I986" s="82">
        <v>44228</v>
      </c>
      <c r="J986" s="83">
        <f>EFEITO!$J$986*EFEITO!$Y$986</f>
        <v>0</v>
      </c>
      <c r="K986" s="83">
        <f ca="1">EFEITO!$L$986*EFEITO!$Z$986</f>
        <v>-121560.49788957479</v>
      </c>
      <c r="L986" s="83">
        <f>EFEITO!$N$986*EFEITO!$AA$986</f>
        <v>-204088.12463386825</v>
      </c>
      <c r="M986" s="83">
        <f>$J$986-EFEITO!$K$986*EFEITO!$Y$986</f>
        <v>0</v>
      </c>
      <c r="N986" s="83">
        <f ca="1">$K$986-EFEITO!$M$986*EFEITO!$Z$986</f>
        <v>0</v>
      </c>
      <c r="O986" s="83">
        <f>$L$986-EFEITO!$O$986*EFEITO!$AA$986</f>
        <v>0</v>
      </c>
      <c r="P986" s="61"/>
      <c r="Q986" s="61"/>
      <c r="R986" s="61"/>
      <c r="S986" s="61"/>
      <c r="T986" s="61"/>
      <c r="U986" s="61"/>
      <c r="V986" s="61"/>
      <c r="W986" s="61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</row>
    <row r="987" spans="1:36" ht="11.25" customHeight="1" x14ac:dyDescent="0.2">
      <c r="A987" s="57" t="s">
        <v>28</v>
      </c>
      <c r="B987" s="57" t="s">
        <v>35</v>
      </c>
      <c r="C987" s="57" t="s">
        <v>36</v>
      </c>
      <c r="D987" s="57" t="s">
        <v>42</v>
      </c>
      <c r="E987" s="57" t="s">
        <v>25</v>
      </c>
      <c r="F987" s="57" t="s">
        <v>25</v>
      </c>
      <c r="G987" s="57" t="s">
        <v>25</v>
      </c>
      <c r="H987" s="57" t="s">
        <v>38</v>
      </c>
      <c r="I987" s="82">
        <v>44228</v>
      </c>
      <c r="J987" s="83">
        <f>EFEITO!$J$987*EFEITO!$Y$987</f>
        <v>0</v>
      </c>
      <c r="K987" s="83">
        <f ca="1">EFEITO!$L$987*EFEITO!$Z$987</f>
        <v>280698.300221932</v>
      </c>
      <c r="L987" s="83">
        <f>EFEITO!$N$987*EFEITO!$AA$987</f>
        <v>471264.84898283443</v>
      </c>
      <c r="M987" s="83">
        <f>$J$987-EFEITO!$K$987*EFEITO!$Y$987</f>
        <v>0</v>
      </c>
      <c r="N987" s="83">
        <f ca="1">$K$987-EFEITO!$M$987*EFEITO!$Z$987</f>
        <v>0</v>
      </c>
      <c r="O987" s="83">
        <f>$L$987-EFEITO!$O$987*EFEITO!$AA$987</f>
        <v>0</v>
      </c>
      <c r="P987" s="61"/>
      <c r="Q987" s="61"/>
      <c r="R987" s="61"/>
      <c r="S987" s="61"/>
      <c r="T987" s="61"/>
      <c r="U987" s="61"/>
      <c r="V987" s="61"/>
      <c r="W987" s="61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</row>
    <row r="988" spans="1:36" ht="11.25" customHeight="1" x14ac:dyDescent="0.2">
      <c r="A988" s="57" t="s">
        <v>30</v>
      </c>
      <c r="B988" s="57" t="s">
        <v>35</v>
      </c>
      <c r="C988" s="57" t="s">
        <v>36</v>
      </c>
      <c r="D988" s="57" t="s">
        <v>42</v>
      </c>
      <c r="E988" s="57" t="s">
        <v>25</v>
      </c>
      <c r="F988" s="57" t="s">
        <v>25</v>
      </c>
      <c r="G988" s="57" t="s">
        <v>25</v>
      </c>
      <c r="H988" s="57" t="s">
        <v>38</v>
      </c>
      <c r="I988" s="82">
        <v>44228</v>
      </c>
      <c r="J988" s="83">
        <f>EFEITO!$J$988*EFEITO!$Y$988</f>
        <v>0</v>
      </c>
      <c r="K988" s="83">
        <f ca="1">EFEITO!$L$988*EFEITO!$Z$988</f>
        <v>70486.282682597026</v>
      </c>
      <c r="L988" s="83">
        <f>EFEITO!$N$988*EFEITO!$AA$988</f>
        <v>118339.53870583518</v>
      </c>
      <c r="M988" s="83">
        <f>$J$988-EFEITO!$K$988*EFEITO!$Y$988</f>
        <v>0</v>
      </c>
      <c r="N988" s="83">
        <f ca="1">$K$988-EFEITO!$M$988*EFEITO!$Z$988</f>
        <v>0</v>
      </c>
      <c r="O988" s="83">
        <f>$L$988-EFEITO!$O$988*EFEITO!$AA$988</f>
        <v>0</v>
      </c>
      <c r="P988" s="61"/>
      <c r="Q988" s="61"/>
      <c r="R988" s="61"/>
      <c r="S988" s="61"/>
      <c r="T988" s="61"/>
      <c r="U988" s="61"/>
      <c r="V988" s="61"/>
      <c r="W988" s="61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</row>
    <row r="989" spans="1:36" ht="11.25" customHeight="1" x14ac:dyDescent="0.2">
      <c r="A989" s="57" t="s">
        <v>21</v>
      </c>
      <c r="B989" s="57" t="s">
        <v>35</v>
      </c>
      <c r="C989" s="57" t="s">
        <v>36</v>
      </c>
      <c r="D989" s="57" t="s">
        <v>42</v>
      </c>
      <c r="E989" s="57" t="s">
        <v>25</v>
      </c>
      <c r="F989" s="57" t="s">
        <v>25</v>
      </c>
      <c r="G989" s="57" t="s">
        <v>25</v>
      </c>
      <c r="H989" s="57" t="s">
        <v>38</v>
      </c>
      <c r="I989" s="82">
        <v>44256</v>
      </c>
      <c r="J989" s="83">
        <f>EFEITO!$J$989*EFEITO!$Y$989</f>
        <v>0</v>
      </c>
      <c r="K989" s="83">
        <f ca="1">EFEITO!$L$989*EFEITO!$Z$989</f>
        <v>3692483.242621175</v>
      </c>
      <c r="L989" s="83">
        <f>EFEITO!$N$989*EFEITO!$AA$989</f>
        <v>6199316.3347611586</v>
      </c>
      <c r="M989" s="83">
        <f>$J$989-EFEITO!$K$989*EFEITO!$Y$989</f>
        <v>0</v>
      </c>
      <c r="N989" s="83">
        <f ca="1">$K$989-EFEITO!$M$989*EFEITO!$Z$989</f>
        <v>0</v>
      </c>
      <c r="O989" s="83">
        <f>$L$989-EFEITO!$O$989*EFEITO!$AA$989</f>
        <v>0</v>
      </c>
      <c r="P989" s="61"/>
      <c r="Q989" s="61"/>
      <c r="R989" s="61"/>
      <c r="S989" s="61"/>
      <c r="T989" s="61"/>
      <c r="U989" s="61"/>
      <c r="V989" s="61"/>
      <c r="W989" s="61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</row>
    <row r="990" spans="1:36" ht="11.25" customHeight="1" x14ac:dyDescent="0.2">
      <c r="A990" s="57" t="s">
        <v>27</v>
      </c>
      <c r="B990" s="57" t="s">
        <v>35</v>
      </c>
      <c r="C990" s="57" t="s">
        <v>36</v>
      </c>
      <c r="D990" s="57" t="s">
        <v>42</v>
      </c>
      <c r="E990" s="57" t="s">
        <v>25</v>
      </c>
      <c r="F990" s="57" t="s">
        <v>25</v>
      </c>
      <c r="G990" s="57" t="s">
        <v>25</v>
      </c>
      <c r="H990" s="57" t="s">
        <v>38</v>
      </c>
      <c r="I990" s="82">
        <v>44256</v>
      </c>
      <c r="J990" s="83">
        <f>EFEITO!$J$990*EFEITO!$Y$990</f>
        <v>0</v>
      </c>
      <c r="K990" s="83">
        <f ca="1">EFEITO!$L$990*EFEITO!$Z$990</f>
        <v>-100873.12114405479</v>
      </c>
      <c r="L990" s="83">
        <f>EFEITO!$N$990*EFEITO!$AA$990</f>
        <v>-169356.05297500774</v>
      </c>
      <c r="M990" s="83">
        <f>$J$990-EFEITO!$K$990*EFEITO!$Y$990</f>
        <v>0</v>
      </c>
      <c r="N990" s="83">
        <f ca="1">$K$990-EFEITO!$M$990*EFEITO!$Z$990</f>
        <v>0</v>
      </c>
      <c r="O990" s="83">
        <f>$L$990-EFEITO!$O$990*EFEITO!$AA$990</f>
        <v>0</v>
      </c>
      <c r="P990" s="61"/>
      <c r="Q990" s="61"/>
      <c r="R990" s="61"/>
      <c r="S990" s="61"/>
      <c r="T990" s="61"/>
      <c r="U990" s="61"/>
      <c r="V990" s="61"/>
      <c r="W990" s="61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</row>
    <row r="991" spans="1:36" ht="11.25" customHeight="1" x14ac:dyDescent="0.2">
      <c r="A991" s="57" t="s">
        <v>28</v>
      </c>
      <c r="B991" s="57" t="s">
        <v>35</v>
      </c>
      <c r="C991" s="57" t="s">
        <v>36</v>
      </c>
      <c r="D991" s="57" t="s">
        <v>42</v>
      </c>
      <c r="E991" s="57" t="s">
        <v>25</v>
      </c>
      <c r="F991" s="57" t="s">
        <v>25</v>
      </c>
      <c r="G991" s="57" t="s">
        <v>25</v>
      </c>
      <c r="H991" s="57" t="s">
        <v>38</v>
      </c>
      <c r="I991" s="82">
        <v>44256</v>
      </c>
      <c r="J991" s="83">
        <f>EFEITO!$J$991*EFEITO!$Y$991</f>
        <v>0</v>
      </c>
      <c r="K991" s="83">
        <f ca="1">EFEITO!$L$991*EFEITO!$Z$991</f>
        <v>321445.34136752004</v>
      </c>
      <c r="L991" s="83">
        <f>EFEITO!$N$991*EFEITO!$AA$991</f>
        <v>539675.12498660956</v>
      </c>
      <c r="M991" s="83">
        <f>$J$991-EFEITO!$K$991*EFEITO!$Y$991</f>
        <v>0</v>
      </c>
      <c r="N991" s="83">
        <f ca="1">$K$991-EFEITO!$M$991*EFEITO!$Z$991</f>
        <v>0</v>
      </c>
      <c r="O991" s="83">
        <f>$L$991-EFEITO!$O$991*EFEITO!$AA$991</f>
        <v>0</v>
      </c>
      <c r="P991" s="61"/>
      <c r="Q991" s="61"/>
      <c r="R991" s="61"/>
      <c r="S991" s="61"/>
      <c r="T991" s="61"/>
      <c r="U991" s="61"/>
      <c r="V991" s="61"/>
      <c r="W991" s="61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</row>
    <row r="992" spans="1:36" ht="11.25" customHeight="1" x14ac:dyDescent="0.2">
      <c r="A992" s="57" t="s">
        <v>30</v>
      </c>
      <c r="B992" s="57" t="s">
        <v>35</v>
      </c>
      <c r="C992" s="57" t="s">
        <v>36</v>
      </c>
      <c r="D992" s="57" t="s">
        <v>42</v>
      </c>
      <c r="E992" s="57" t="s">
        <v>25</v>
      </c>
      <c r="F992" s="57" t="s">
        <v>25</v>
      </c>
      <c r="G992" s="57" t="s">
        <v>25</v>
      </c>
      <c r="H992" s="57" t="s">
        <v>38</v>
      </c>
      <c r="I992" s="82">
        <v>44256</v>
      </c>
      <c r="J992" s="83">
        <f>EFEITO!$J$992*EFEITO!$Y$992</f>
        <v>0</v>
      </c>
      <c r="K992" s="83">
        <f ca="1">EFEITO!$L$992*EFEITO!$Z$992</f>
        <v>84230.571090583908</v>
      </c>
      <c r="L992" s="83">
        <f>EFEITO!$N$992*EFEITO!$AA$992</f>
        <v>141414.84766155493</v>
      </c>
      <c r="M992" s="83">
        <f>$J$992-EFEITO!$K$992*EFEITO!$Y$992</f>
        <v>0</v>
      </c>
      <c r="N992" s="83">
        <f ca="1">$K$992-EFEITO!$M$992*EFEITO!$Z$992</f>
        <v>0</v>
      </c>
      <c r="O992" s="83">
        <f>$L$992-EFEITO!$O$992*EFEITO!$AA$992</f>
        <v>0</v>
      </c>
      <c r="P992" s="61"/>
      <c r="Q992" s="61"/>
      <c r="R992" s="61"/>
      <c r="S992" s="61"/>
      <c r="T992" s="61"/>
      <c r="U992" s="61"/>
      <c r="V992" s="61"/>
      <c r="W992" s="61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</row>
    <row r="993" spans="1:36" ht="11.25" customHeight="1" x14ac:dyDescent="0.2">
      <c r="A993" s="57" t="s">
        <v>21</v>
      </c>
      <c r="B993" s="57" t="s">
        <v>35</v>
      </c>
      <c r="C993" s="57" t="s">
        <v>36</v>
      </c>
      <c r="D993" s="57" t="s">
        <v>42</v>
      </c>
      <c r="E993" s="57" t="s">
        <v>25</v>
      </c>
      <c r="F993" s="57" t="s">
        <v>25</v>
      </c>
      <c r="G993" s="57" t="s">
        <v>25</v>
      </c>
      <c r="H993" s="57" t="s">
        <v>38</v>
      </c>
      <c r="I993" s="82">
        <v>44287</v>
      </c>
      <c r="J993" s="83">
        <f>EFEITO!$J$993*EFEITO!$Y$993</f>
        <v>0</v>
      </c>
      <c r="K993" s="83">
        <f ca="1">EFEITO!$L$993*EFEITO!$Z$993</f>
        <v>3416190.0507005742</v>
      </c>
      <c r="L993" s="83">
        <f>EFEITO!$N$993*EFEITO!$AA$993</f>
        <v>5735447.2295243265</v>
      </c>
      <c r="M993" s="83">
        <f>$J$993-EFEITO!$K$993*EFEITO!$Y$993</f>
        <v>0</v>
      </c>
      <c r="N993" s="83">
        <f ca="1">$K$993-EFEITO!$M$993*EFEITO!$Z$993</f>
        <v>0</v>
      </c>
      <c r="O993" s="83">
        <f>$L$993-EFEITO!$O$993*EFEITO!$AA$993</f>
        <v>0</v>
      </c>
      <c r="P993" s="61"/>
      <c r="Q993" s="61"/>
      <c r="R993" s="61"/>
      <c r="S993" s="61"/>
      <c r="T993" s="61"/>
      <c r="U993" s="61"/>
      <c r="V993" s="61"/>
      <c r="W993" s="61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</row>
    <row r="994" spans="1:36" ht="11.25" customHeight="1" x14ac:dyDescent="0.2">
      <c r="A994" s="57" t="s">
        <v>27</v>
      </c>
      <c r="B994" s="57" t="s">
        <v>35</v>
      </c>
      <c r="C994" s="57" t="s">
        <v>36</v>
      </c>
      <c r="D994" s="57" t="s">
        <v>42</v>
      </c>
      <c r="E994" s="57" t="s">
        <v>25</v>
      </c>
      <c r="F994" s="57" t="s">
        <v>25</v>
      </c>
      <c r="G994" s="57" t="s">
        <v>25</v>
      </c>
      <c r="H994" s="57" t="s">
        <v>38</v>
      </c>
      <c r="I994" s="82">
        <v>44287</v>
      </c>
      <c r="J994" s="83">
        <f>EFEITO!$J$994*EFEITO!$Y$994</f>
        <v>0</v>
      </c>
      <c r="K994" s="83">
        <f ca="1">EFEITO!$L$994*EFEITO!$Z$994</f>
        <v>-2723.5132690454379</v>
      </c>
      <c r="L994" s="83">
        <f>EFEITO!$N$994*EFEITO!$AA$994</f>
        <v>-4572.5110142265112</v>
      </c>
      <c r="M994" s="83">
        <f>$J$994-EFEITO!$K$994*EFEITO!$Y$994</f>
        <v>0</v>
      </c>
      <c r="N994" s="83">
        <f ca="1">$K$994-EFEITO!$M$994*EFEITO!$Z$994</f>
        <v>0</v>
      </c>
      <c r="O994" s="83">
        <f>$L$994-EFEITO!$O$994*EFEITO!$AA$994</f>
        <v>0</v>
      </c>
      <c r="P994" s="61"/>
      <c r="Q994" s="61"/>
      <c r="R994" s="61"/>
      <c r="S994" s="61"/>
      <c r="T994" s="61"/>
      <c r="U994" s="61"/>
      <c r="V994" s="61"/>
      <c r="W994" s="61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</row>
    <row r="995" spans="1:36" ht="11.25" customHeight="1" x14ac:dyDescent="0.2">
      <c r="A995" s="57" t="s">
        <v>28</v>
      </c>
      <c r="B995" s="57" t="s">
        <v>35</v>
      </c>
      <c r="C995" s="57" t="s">
        <v>36</v>
      </c>
      <c r="D995" s="57" t="s">
        <v>42</v>
      </c>
      <c r="E995" s="57" t="s">
        <v>25</v>
      </c>
      <c r="F995" s="57" t="s">
        <v>25</v>
      </c>
      <c r="G995" s="57" t="s">
        <v>25</v>
      </c>
      <c r="H995" s="57" t="s">
        <v>38</v>
      </c>
      <c r="I995" s="82">
        <v>44287</v>
      </c>
      <c r="J995" s="83">
        <f>EFEITO!$J$995*EFEITO!$Y$995</f>
        <v>0</v>
      </c>
      <c r="K995" s="83">
        <f ca="1">EFEITO!$L$995*EFEITO!$Z$995</f>
        <v>353938.93412235769</v>
      </c>
      <c r="L995" s="83">
        <f>EFEITO!$N$995*EFEITO!$AA$995</f>
        <v>594228.6725870443</v>
      </c>
      <c r="M995" s="83">
        <f>$J$995-EFEITO!$K$995*EFEITO!$Y$995</f>
        <v>0</v>
      </c>
      <c r="N995" s="83">
        <f ca="1">$K$995-EFEITO!$M$995*EFEITO!$Z$995</f>
        <v>0</v>
      </c>
      <c r="O995" s="83">
        <f>$L$995-EFEITO!$O$995*EFEITO!$AA$995</f>
        <v>0</v>
      </c>
      <c r="P995" s="61"/>
      <c r="Q995" s="61"/>
      <c r="R995" s="61"/>
      <c r="S995" s="61"/>
      <c r="T995" s="61"/>
      <c r="U995" s="61"/>
      <c r="V995" s="61"/>
      <c r="W995" s="61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</row>
    <row r="996" spans="1:36" ht="11.25" customHeight="1" x14ac:dyDescent="0.2">
      <c r="A996" s="57" t="s">
        <v>29</v>
      </c>
      <c r="B996" s="57" t="s">
        <v>35</v>
      </c>
      <c r="C996" s="57" t="s">
        <v>36</v>
      </c>
      <c r="D996" s="57" t="s">
        <v>42</v>
      </c>
      <c r="E996" s="57" t="s">
        <v>25</v>
      </c>
      <c r="F996" s="57" t="s">
        <v>25</v>
      </c>
      <c r="G996" s="57" t="s">
        <v>25</v>
      </c>
      <c r="H996" s="57" t="s">
        <v>38</v>
      </c>
      <c r="I996" s="82">
        <v>44287</v>
      </c>
      <c r="J996" s="83">
        <f>EFEITO!$J$996*EFEITO!$Y$996</f>
        <v>0</v>
      </c>
      <c r="K996" s="83">
        <f ca="1">EFEITO!$L$996*EFEITO!$Z$996</f>
        <v>-36685.026088643346</v>
      </c>
      <c r="L996" s="83">
        <f>EFEITO!$N$996*EFEITO!$AA$996</f>
        <v>-61590.552083596289</v>
      </c>
      <c r="M996" s="83">
        <f>$J$996-EFEITO!$K$996*EFEITO!$Y$996</f>
        <v>0</v>
      </c>
      <c r="N996" s="83">
        <f ca="1">$K$996-EFEITO!$M$996*EFEITO!$Z$996</f>
        <v>0</v>
      </c>
      <c r="O996" s="83">
        <f>$L$996-EFEITO!$O$996*EFEITO!$AA$996</f>
        <v>0</v>
      </c>
      <c r="P996" s="61"/>
      <c r="Q996" s="61"/>
      <c r="R996" s="61"/>
      <c r="S996" s="61"/>
      <c r="T996" s="61"/>
      <c r="U996" s="61"/>
      <c r="V996" s="61"/>
      <c r="W996" s="61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</row>
    <row r="997" spans="1:36" ht="11.25" customHeight="1" x14ac:dyDescent="0.2">
      <c r="A997" s="57" t="s">
        <v>30</v>
      </c>
      <c r="B997" s="57" t="s">
        <v>35</v>
      </c>
      <c r="C997" s="57" t="s">
        <v>36</v>
      </c>
      <c r="D997" s="57" t="s">
        <v>42</v>
      </c>
      <c r="E997" s="57" t="s">
        <v>25</v>
      </c>
      <c r="F997" s="57" t="s">
        <v>25</v>
      </c>
      <c r="G997" s="57" t="s">
        <v>25</v>
      </c>
      <c r="H997" s="57" t="s">
        <v>38</v>
      </c>
      <c r="I997" s="82">
        <v>44287</v>
      </c>
      <c r="J997" s="83">
        <f>EFEITO!$J$997*EFEITO!$Y$997</f>
        <v>0</v>
      </c>
      <c r="K997" s="83">
        <f ca="1">EFEITO!$L$997*EFEITO!$Z$997</f>
        <v>109236.60877281324</v>
      </c>
      <c r="L997" s="83">
        <f>EFEITO!$N$997*EFEITO!$AA$997</f>
        <v>183397.52644036326</v>
      </c>
      <c r="M997" s="83">
        <f>$J$997-EFEITO!$K$997*EFEITO!$Y$997</f>
        <v>0</v>
      </c>
      <c r="N997" s="83">
        <f ca="1">$K$997-EFEITO!$M$997*EFEITO!$Z$997</f>
        <v>0</v>
      </c>
      <c r="O997" s="83">
        <f>$L$997-EFEITO!$O$997*EFEITO!$AA$997</f>
        <v>0</v>
      </c>
      <c r="P997" s="61"/>
      <c r="Q997" s="61"/>
      <c r="R997" s="61"/>
      <c r="S997" s="61"/>
      <c r="T997" s="61"/>
      <c r="U997" s="61"/>
      <c r="V997" s="61"/>
      <c r="W997" s="61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</row>
    <row r="998" spans="1:36" ht="11.25" customHeight="1" x14ac:dyDescent="0.2">
      <c r="A998" s="57" t="s">
        <v>21</v>
      </c>
      <c r="B998" s="57" t="s">
        <v>35</v>
      </c>
      <c r="C998" s="57" t="s">
        <v>36</v>
      </c>
      <c r="D998" s="57" t="s">
        <v>42</v>
      </c>
      <c r="E998" s="57" t="s">
        <v>25</v>
      </c>
      <c r="F998" s="57" t="s">
        <v>25</v>
      </c>
      <c r="G998" s="57" t="s">
        <v>25</v>
      </c>
      <c r="H998" s="57" t="s">
        <v>38</v>
      </c>
      <c r="I998" s="82">
        <v>44317</v>
      </c>
      <c r="J998" s="83">
        <f>EFEITO!$J$998*EFEITO!$Y$998</f>
        <v>0</v>
      </c>
      <c r="K998" s="83">
        <f ca="1">EFEITO!$L$998*EFEITO!$Z$998</f>
        <v>3476793.0235682032</v>
      </c>
      <c r="L998" s="83">
        <f>EFEITO!$N$998*EFEITO!$AA$998</f>
        <v>5837193.6627367595</v>
      </c>
      <c r="M998" s="83">
        <f>$J$998-EFEITO!$K$998*EFEITO!$Y$998</f>
        <v>0</v>
      </c>
      <c r="N998" s="83">
        <f ca="1">$K$998-EFEITO!$M$998*EFEITO!$Z$998</f>
        <v>0</v>
      </c>
      <c r="O998" s="83">
        <f>$L$998-EFEITO!$O$998*EFEITO!$AA$998</f>
        <v>0</v>
      </c>
      <c r="P998" s="61"/>
      <c r="Q998" s="61"/>
      <c r="R998" s="61"/>
      <c r="S998" s="61"/>
      <c r="T998" s="61"/>
      <c r="U998" s="61"/>
      <c r="V998" s="61"/>
      <c r="W998" s="61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</row>
    <row r="999" spans="1:36" ht="11.25" customHeight="1" x14ac:dyDescent="0.2">
      <c r="A999" s="57" t="s">
        <v>27</v>
      </c>
      <c r="B999" s="57" t="s">
        <v>35</v>
      </c>
      <c r="C999" s="57" t="s">
        <v>36</v>
      </c>
      <c r="D999" s="57" t="s">
        <v>42</v>
      </c>
      <c r="E999" s="57" t="s">
        <v>25</v>
      </c>
      <c r="F999" s="57" t="s">
        <v>25</v>
      </c>
      <c r="G999" s="57" t="s">
        <v>25</v>
      </c>
      <c r="H999" s="57" t="s">
        <v>38</v>
      </c>
      <c r="I999" s="82">
        <v>44317</v>
      </c>
      <c r="J999" s="83">
        <f>EFEITO!$J$999*EFEITO!$Y$999</f>
        <v>0</v>
      </c>
      <c r="K999" s="83">
        <f ca="1">EFEITO!$L$999*EFEITO!$Z$999</f>
        <v>-125945.21607176524</v>
      </c>
      <c r="L999" s="83">
        <f>EFEITO!$N$999*EFEITO!$AA$999</f>
        <v>-211449.63537450516</v>
      </c>
      <c r="M999" s="83">
        <f>$J$999-EFEITO!$K$999*EFEITO!$Y$999</f>
        <v>0</v>
      </c>
      <c r="N999" s="83">
        <f ca="1">$K$999-EFEITO!$M$999*EFEITO!$Z$999</f>
        <v>0</v>
      </c>
      <c r="O999" s="83">
        <f>$L$999-EFEITO!$O$999*EFEITO!$AA$999</f>
        <v>0</v>
      </c>
      <c r="P999" s="61"/>
      <c r="Q999" s="61"/>
      <c r="R999" s="61"/>
      <c r="S999" s="61"/>
      <c r="T999" s="61"/>
      <c r="U999" s="61"/>
      <c r="V999" s="61"/>
      <c r="W999" s="61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</row>
    <row r="1000" spans="1:36" ht="11.25" customHeight="1" x14ac:dyDescent="0.2">
      <c r="A1000" s="57" t="s">
        <v>28</v>
      </c>
      <c r="B1000" s="57" t="s">
        <v>35</v>
      </c>
      <c r="C1000" s="57" t="s">
        <v>36</v>
      </c>
      <c r="D1000" s="57" t="s">
        <v>42</v>
      </c>
      <c r="E1000" s="57" t="s">
        <v>25</v>
      </c>
      <c r="F1000" s="57" t="s">
        <v>25</v>
      </c>
      <c r="G1000" s="57" t="s">
        <v>25</v>
      </c>
      <c r="H1000" s="57" t="s">
        <v>38</v>
      </c>
      <c r="I1000" s="82">
        <v>44317</v>
      </c>
      <c r="J1000" s="83">
        <f>EFEITO!$J$1000*EFEITO!$Y$1000</f>
        <v>0</v>
      </c>
      <c r="K1000" s="83">
        <f ca="1">EFEITO!$L$1000*EFEITO!$Z$1000</f>
        <v>357354.70036190422</v>
      </c>
      <c r="L1000" s="83">
        <f>EFEITO!$N$1000*EFEITO!$AA$1000</f>
        <v>599963.40827930835</v>
      </c>
      <c r="M1000" s="83">
        <f>$J$1000-EFEITO!$K$1000*EFEITO!$Y$1000</f>
        <v>0</v>
      </c>
      <c r="N1000" s="83">
        <f ca="1">$K$1000-EFEITO!$M$1000*EFEITO!$Z$1000</f>
        <v>0</v>
      </c>
      <c r="O1000" s="83">
        <f>$L$1000-EFEITO!$O$1000*EFEITO!$AA$1000</f>
        <v>0</v>
      </c>
      <c r="P1000" s="61"/>
      <c r="Q1000" s="61"/>
      <c r="R1000" s="61"/>
      <c r="S1000" s="61"/>
      <c r="T1000" s="61"/>
      <c r="U1000" s="61"/>
      <c r="V1000" s="61"/>
      <c r="W1000" s="61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</row>
    <row r="1001" spans="1:36" ht="11.25" customHeight="1" x14ac:dyDescent="0.2">
      <c r="A1001" s="57" t="s">
        <v>29</v>
      </c>
      <c r="B1001" s="57" t="s">
        <v>35</v>
      </c>
      <c r="C1001" s="57" t="s">
        <v>36</v>
      </c>
      <c r="D1001" s="57" t="s">
        <v>42</v>
      </c>
      <c r="E1001" s="57" t="s">
        <v>25</v>
      </c>
      <c r="F1001" s="57" t="s">
        <v>25</v>
      </c>
      <c r="G1001" s="57" t="s">
        <v>25</v>
      </c>
      <c r="H1001" s="57" t="s">
        <v>38</v>
      </c>
      <c r="I1001" s="82">
        <v>44317</v>
      </c>
      <c r="J1001" s="83">
        <f>EFEITO!$J$1001*EFEITO!$Y$1001</f>
        <v>0</v>
      </c>
      <c r="K1001" s="83">
        <f ca="1">EFEITO!$L$1001*EFEITO!$Z$1001</f>
        <v>-33988.980500754602</v>
      </c>
      <c r="L1001" s="83">
        <f>EFEITO!$N$1001*EFEITO!$AA$1001</f>
        <v>-57064.156605523654</v>
      </c>
      <c r="M1001" s="83">
        <f>$J$1001-EFEITO!$K$1001*EFEITO!$Y$1001</f>
        <v>0</v>
      </c>
      <c r="N1001" s="83">
        <f ca="1">$K$1001-EFEITO!$M$1001*EFEITO!$Z$1001</f>
        <v>0</v>
      </c>
      <c r="O1001" s="83">
        <f>$L$1001-EFEITO!$O$1001*EFEITO!$AA$1001</f>
        <v>0</v>
      </c>
      <c r="P1001" s="61"/>
      <c r="Q1001" s="61"/>
      <c r="R1001" s="61"/>
      <c r="S1001" s="61"/>
      <c r="T1001" s="61"/>
      <c r="U1001" s="61"/>
      <c r="V1001" s="61"/>
      <c r="W1001" s="61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</row>
    <row r="1002" spans="1:36" ht="11.25" customHeight="1" x14ac:dyDescent="0.2">
      <c r="A1002" s="57" t="s">
        <v>30</v>
      </c>
      <c r="B1002" s="57" t="s">
        <v>35</v>
      </c>
      <c r="C1002" s="57" t="s">
        <v>36</v>
      </c>
      <c r="D1002" s="57" t="s">
        <v>42</v>
      </c>
      <c r="E1002" s="57" t="s">
        <v>25</v>
      </c>
      <c r="F1002" s="57" t="s">
        <v>25</v>
      </c>
      <c r="G1002" s="57" t="s">
        <v>25</v>
      </c>
      <c r="H1002" s="57" t="s">
        <v>38</v>
      </c>
      <c r="I1002" s="82">
        <v>44317</v>
      </c>
      <c r="J1002" s="83">
        <f>EFEITO!$J$1002*EFEITO!$Y$1002</f>
        <v>0</v>
      </c>
      <c r="K1002" s="83">
        <f ca="1">EFEITO!$L$1002*EFEITO!$Z$1002</f>
        <v>112586.65479364131</v>
      </c>
      <c r="L1002" s="83">
        <f>EFEITO!$N$1002*EFEITO!$AA$1002</f>
        <v>189021.92434673768</v>
      </c>
      <c r="M1002" s="83">
        <f>$J$1002-EFEITO!$K$1002*EFEITO!$Y$1002</f>
        <v>0</v>
      </c>
      <c r="N1002" s="83">
        <f ca="1">$K$1002-EFEITO!$M$1002*EFEITO!$Z$1002</f>
        <v>0</v>
      </c>
      <c r="O1002" s="83">
        <f>$L$1002-EFEITO!$O$1002*EFEITO!$AA$1002</f>
        <v>0</v>
      </c>
      <c r="P1002" s="61"/>
      <c r="Q1002" s="61"/>
      <c r="R1002" s="61"/>
      <c r="S1002" s="61"/>
      <c r="T1002" s="61"/>
      <c r="U1002" s="61"/>
      <c r="V1002" s="61"/>
      <c r="W1002" s="61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</row>
    <row r="1003" spans="1:36" ht="11.25" customHeight="1" x14ac:dyDescent="0.2">
      <c r="A1003" s="57" t="s">
        <v>21</v>
      </c>
      <c r="B1003" s="57" t="s">
        <v>35</v>
      </c>
      <c r="C1003" s="57" t="s">
        <v>36</v>
      </c>
      <c r="D1003" s="57" t="s">
        <v>42</v>
      </c>
      <c r="E1003" s="57" t="s">
        <v>25</v>
      </c>
      <c r="F1003" s="57" t="s">
        <v>25</v>
      </c>
      <c r="G1003" s="57" t="s">
        <v>25</v>
      </c>
      <c r="H1003" s="57" t="s">
        <v>38</v>
      </c>
      <c r="I1003" s="82">
        <v>44317</v>
      </c>
      <c r="J1003" s="83">
        <f>EFEITO!$J$1003*EFEITO!$Y$1003</f>
        <v>0</v>
      </c>
      <c r="K1003" s="83">
        <f ca="1">EFEITO!$L$1003*EFEITO!$Z$1003</f>
        <v>7970.51442349834</v>
      </c>
      <c r="L1003" s="83">
        <f>EFEITO!$N$1003*EFEITO!$AA$1003</f>
        <v>0</v>
      </c>
      <c r="M1003" s="83">
        <f>$J$1003-EFEITO!$K$1003*EFEITO!$Y$1003</f>
        <v>0</v>
      </c>
      <c r="N1003" s="83">
        <f ca="1">$K$1003-EFEITO!$M$1003*EFEITO!$Z$1003</f>
        <v>0</v>
      </c>
      <c r="O1003" s="83">
        <f>$L$1003-EFEITO!$O$1003*EFEITO!$AA$1003</f>
        <v>0</v>
      </c>
      <c r="P1003" s="61"/>
      <c r="Q1003" s="61"/>
      <c r="R1003" s="61"/>
      <c r="S1003" s="61"/>
      <c r="T1003" s="61"/>
      <c r="U1003" s="61"/>
      <c r="V1003" s="61"/>
      <c r="W1003" s="61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</row>
    <row r="1004" spans="1:36" ht="11.25" customHeight="1" x14ac:dyDescent="0.2">
      <c r="A1004" s="57" t="s">
        <v>21</v>
      </c>
      <c r="B1004" s="57" t="s">
        <v>35</v>
      </c>
      <c r="C1004" s="57" t="s">
        <v>36</v>
      </c>
      <c r="D1004" s="57" t="s">
        <v>42</v>
      </c>
      <c r="E1004" s="57" t="s">
        <v>25</v>
      </c>
      <c r="F1004" s="57" t="s">
        <v>25</v>
      </c>
      <c r="G1004" s="57" t="s">
        <v>25</v>
      </c>
      <c r="H1004" s="57" t="s">
        <v>38</v>
      </c>
      <c r="I1004" s="82">
        <v>44348</v>
      </c>
      <c r="J1004" s="83">
        <f>EFEITO!$J$1004*EFEITO!$Y$1004</f>
        <v>0</v>
      </c>
      <c r="K1004" s="83">
        <f ca="1">EFEITO!$L$1004*EFEITO!$Z$1004</f>
        <v>3500015.1785956798</v>
      </c>
      <c r="L1004" s="83">
        <f>EFEITO!$N$1004*EFEITO!$AA$1004</f>
        <v>5876181.3779221633</v>
      </c>
      <c r="M1004" s="83">
        <f>$J$1004-EFEITO!$K$1004*EFEITO!$Y$1004</f>
        <v>0</v>
      </c>
      <c r="N1004" s="83">
        <f ca="1">$K$1004-EFEITO!$M$1004*EFEITO!$Z$1004</f>
        <v>0</v>
      </c>
      <c r="O1004" s="83">
        <f>$L$1004-EFEITO!$O$1004*EFEITO!$AA$1004</f>
        <v>0</v>
      </c>
      <c r="P1004" s="61"/>
      <c r="Q1004" s="61"/>
      <c r="R1004" s="61"/>
      <c r="S1004" s="61"/>
      <c r="T1004" s="61"/>
      <c r="U1004" s="61"/>
      <c r="V1004" s="61"/>
      <c r="W1004" s="61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</row>
    <row r="1005" spans="1:36" ht="11.25" customHeight="1" x14ac:dyDescent="0.2">
      <c r="A1005" s="57" t="s">
        <v>27</v>
      </c>
      <c r="B1005" s="57" t="s">
        <v>35</v>
      </c>
      <c r="C1005" s="57" t="s">
        <v>36</v>
      </c>
      <c r="D1005" s="57" t="s">
        <v>42</v>
      </c>
      <c r="E1005" s="57" t="s">
        <v>25</v>
      </c>
      <c r="F1005" s="57" t="s">
        <v>25</v>
      </c>
      <c r="G1005" s="57" t="s">
        <v>25</v>
      </c>
      <c r="H1005" s="57" t="s">
        <v>38</v>
      </c>
      <c r="I1005" s="82">
        <v>44348</v>
      </c>
      <c r="J1005" s="83">
        <f>EFEITO!$J$1005*EFEITO!$Y$1005</f>
        <v>0</v>
      </c>
      <c r="K1005" s="83">
        <f ca="1">EFEITO!$L$1005*EFEITO!$Z$1005</f>
        <v>24096.065423050692</v>
      </c>
      <c r="L1005" s="83">
        <f>EFEITO!$N$1005*EFEITO!$AA$1005</f>
        <v>40454.924820336426</v>
      </c>
      <c r="M1005" s="83">
        <f>$J$1005-EFEITO!$K$1005*EFEITO!$Y$1005</f>
        <v>0</v>
      </c>
      <c r="N1005" s="83">
        <f ca="1">$K$1005-EFEITO!$M$1005*EFEITO!$Z$1005</f>
        <v>0</v>
      </c>
      <c r="O1005" s="83">
        <f>$L$1005-EFEITO!$O$1005*EFEITO!$AA$1005</f>
        <v>0</v>
      </c>
      <c r="P1005" s="61"/>
      <c r="Q1005" s="61"/>
      <c r="R1005" s="61"/>
      <c r="S1005" s="61"/>
      <c r="T1005" s="61"/>
      <c r="U1005" s="61"/>
      <c r="V1005" s="61"/>
      <c r="W1005" s="61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</row>
    <row r="1006" spans="1:36" ht="11.25" customHeight="1" x14ac:dyDescent="0.2">
      <c r="A1006" s="57" t="s">
        <v>28</v>
      </c>
      <c r="B1006" s="57" t="s">
        <v>35</v>
      </c>
      <c r="C1006" s="57" t="s">
        <v>36</v>
      </c>
      <c r="D1006" s="57" t="s">
        <v>42</v>
      </c>
      <c r="E1006" s="57" t="s">
        <v>25</v>
      </c>
      <c r="F1006" s="57" t="s">
        <v>25</v>
      </c>
      <c r="G1006" s="57" t="s">
        <v>25</v>
      </c>
      <c r="H1006" s="57" t="s">
        <v>38</v>
      </c>
      <c r="I1006" s="82">
        <v>44348</v>
      </c>
      <c r="J1006" s="83">
        <f>EFEITO!$J$1006*EFEITO!$Y$1006</f>
        <v>0</v>
      </c>
      <c r="K1006" s="83">
        <f ca="1">EFEITO!$L$1006*EFEITO!$Z$1006</f>
        <v>298192.01136449759</v>
      </c>
      <c r="L1006" s="83">
        <f>EFEITO!$N$1006*EFEITO!$AA$1006</f>
        <v>500635.07008225797</v>
      </c>
      <c r="M1006" s="83">
        <f>$J$1006-EFEITO!$K$1006*EFEITO!$Y$1006</f>
        <v>0</v>
      </c>
      <c r="N1006" s="83">
        <f ca="1">$K$1006-EFEITO!$M$1006*EFEITO!$Z$1006</f>
        <v>0</v>
      </c>
      <c r="O1006" s="83">
        <f>$L$1006-EFEITO!$O$1006*EFEITO!$AA$1006</f>
        <v>0</v>
      </c>
      <c r="P1006" s="61"/>
      <c r="Q1006" s="61"/>
      <c r="R1006" s="61"/>
      <c r="S1006" s="61"/>
      <c r="T1006" s="61"/>
      <c r="U1006" s="61"/>
      <c r="V1006" s="61"/>
      <c r="W1006" s="61"/>
      <c r="X1006" s="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</row>
    <row r="1007" spans="1:36" ht="11.25" customHeight="1" x14ac:dyDescent="0.2">
      <c r="A1007" s="57" t="s">
        <v>30</v>
      </c>
      <c r="B1007" s="57" t="s">
        <v>35</v>
      </c>
      <c r="C1007" s="57" t="s">
        <v>36</v>
      </c>
      <c r="D1007" s="57" t="s">
        <v>42</v>
      </c>
      <c r="E1007" s="57" t="s">
        <v>25</v>
      </c>
      <c r="F1007" s="57" t="s">
        <v>25</v>
      </c>
      <c r="G1007" s="57" t="s">
        <v>25</v>
      </c>
      <c r="H1007" s="57" t="s">
        <v>38</v>
      </c>
      <c r="I1007" s="82">
        <v>44348</v>
      </c>
      <c r="J1007" s="83">
        <f>EFEITO!$J$1007*EFEITO!$Y$1007</f>
        <v>0</v>
      </c>
      <c r="K1007" s="83">
        <f ca="1">EFEITO!$L$1007*EFEITO!$Z$1007</f>
        <v>85103.301892488758</v>
      </c>
      <c r="L1007" s="83">
        <f>EFEITO!$N$1007*EFEITO!$AA$1007</f>
        <v>142880.07687468937</v>
      </c>
      <c r="M1007" s="83">
        <f>$J$1007-EFEITO!$K$1007*EFEITO!$Y$1007</f>
        <v>0</v>
      </c>
      <c r="N1007" s="83">
        <f ca="1">$K$1007-EFEITO!$M$1007*EFEITO!$Z$1007</f>
        <v>0</v>
      </c>
      <c r="O1007" s="83">
        <f>$L$1007-EFEITO!$O$1007*EFEITO!$AA$1007</f>
        <v>0</v>
      </c>
      <c r="P1007" s="61"/>
      <c r="Q1007" s="61"/>
      <c r="R1007" s="61"/>
      <c r="S1007" s="61"/>
      <c r="T1007" s="61"/>
      <c r="U1007" s="61"/>
      <c r="V1007" s="61"/>
      <c r="W1007" s="61"/>
      <c r="X1007" s="6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</row>
    <row r="1008" spans="1:36" ht="11.25" customHeight="1" x14ac:dyDescent="0.2">
      <c r="A1008" s="57" t="s">
        <v>21</v>
      </c>
      <c r="B1008" s="57" t="s">
        <v>35</v>
      </c>
      <c r="C1008" s="57" t="s">
        <v>36</v>
      </c>
      <c r="D1008" s="57" t="s">
        <v>42</v>
      </c>
      <c r="E1008" s="57" t="s">
        <v>25</v>
      </c>
      <c r="F1008" s="57" t="s">
        <v>25</v>
      </c>
      <c r="G1008" s="57" t="s">
        <v>25</v>
      </c>
      <c r="H1008" s="57" t="s">
        <v>38</v>
      </c>
      <c r="I1008" s="82">
        <v>44378</v>
      </c>
      <c r="J1008" s="83">
        <f>EFEITO!$J$1008*EFEITO!$Y$1008</f>
        <v>0</v>
      </c>
      <c r="K1008" s="83">
        <f ca="1">EFEITO!$L$1008*EFEITO!$Z$1008</f>
        <v>3716219.86900185</v>
      </c>
      <c r="L1008" s="83">
        <f>EFEITO!$N$1008*EFEITO!$AA$1008</f>
        <v>6239167.7967678988</v>
      </c>
      <c r="M1008" s="83">
        <f>$J$1008-EFEITO!$K$1008*EFEITO!$Y$1008</f>
        <v>0</v>
      </c>
      <c r="N1008" s="83">
        <f ca="1">$K$1008-EFEITO!$M$1008*EFEITO!$Z$1008</f>
        <v>0</v>
      </c>
      <c r="O1008" s="83">
        <f>$L$1008-EFEITO!$O$1008*EFEITO!$AA$1008</f>
        <v>0</v>
      </c>
      <c r="P1008" s="61"/>
      <c r="Q1008" s="61"/>
      <c r="R1008" s="61"/>
      <c r="S1008" s="61"/>
      <c r="T1008" s="61"/>
      <c r="U1008" s="61"/>
      <c r="V1008" s="61"/>
      <c r="W1008" s="61"/>
      <c r="X1008" s="6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</row>
    <row r="1009" spans="1:36" ht="11.25" customHeight="1" x14ac:dyDescent="0.2">
      <c r="A1009" s="57" t="s">
        <v>28</v>
      </c>
      <c r="B1009" s="57" t="s">
        <v>35</v>
      </c>
      <c r="C1009" s="57" t="s">
        <v>36</v>
      </c>
      <c r="D1009" s="57" t="s">
        <v>42</v>
      </c>
      <c r="E1009" s="57" t="s">
        <v>25</v>
      </c>
      <c r="F1009" s="57" t="s">
        <v>25</v>
      </c>
      <c r="G1009" s="57" t="s">
        <v>25</v>
      </c>
      <c r="H1009" s="57" t="s">
        <v>38</v>
      </c>
      <c r="I1009" s="82">
        <v>44378</v>
      </c>
      <c r="J1009" s="83">
        <f>EFEITO!$J$1009*EFEITO!$Y$1009</f>
        <v>0</v>
      </c>
      <c r="K1009" s="83">
        <f ca="1">EFEITO!$L$1009*EFEITO!$Z$1009</f>
        <v>256636.10598852849</v>
      </c>
      <c r="L1009" s="83">
        <f>EFEITO!$N$1009*EFEITO!$AA$1009</f>
        <v>430866.79055984115</v>
      </c>
      <c r="M1009" s="83">
        <f>$J$1009-EFEITO!$K$1009*EFEITO!$Y$1009</f>
        <v>0</v>
      </c>
      <c r="N1009" s="83">
        <f ca="1">$K$1009-EFEITO!$M$1009*EFEITO!$Z$1009</f>
        <v>0</v>
      </c>
      <c r="O1009" s="83">
        <f>$L$1009-EFEITO!$O$1009*EFEITO!$AA$1009</f>
        <v>0</v>
      </c>
      <c r="P1009" s="61"/>
      <c r="Q1009" s="61"/>
      <c r="R1009" s="61"/>
      <c r="S1009" s="61"/>
      <c r="T1009" s="61"/>
      <c r="U1009" s="61"/>
      <c r="V1009" s="61"/>
      <c r="W1009" s="61"/>
      <c r="X1009" s="6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</row>
    <row r="1010" spans="1:36" ht="11.25" customHeight="1" x14ac:dyDescent="0.2">
      <c r="A1010" s="57" t="s">
        <v>30</v>
      </c>
      <c r="B1010" s="57" t="s">
        <v>35</v>
      </c>
      <c r="C1010" s="57" t="s">
        <v>36</v>
      </c>
      <c r="D1010" s="57" t="s">
        <v>42</v>
      </c>
      <c r="E1010" s="57" t="s">
        <v>25</v>
      </c>
      <c r="F1010" s="57" t="s">
        <v>25</v>
      </c>
      <c r="G1010" s="57" t="s">
        <v>25</v>
      </c>
      <c r="H1010" s="57" t="s">
        <v>38</v>
      </c>
      <c r="I1010" s="82">
        <v>44378</v>
      </c>
      <c r="J1010" s="83">
        <f>EFEITO!$J$1010*EFEITO!$Y$1010</f>
        <v>0</v>
      </c>
      <c r="K1010" s="83">
        <f ca="1">EFEITO!$L$1010*EFEITO!$Z$1010</f>
        <v>88628.264803136728</v>
      </c>
      <c r="L1010" s="83">
        <f>EFEITO!$N$1010*EFEITO!$AA$1010</f>
        <v>148798.14304197006</v>
      </c>
      <c r="M1010" s="83">
        <f>$J$1010-EFEITO!$K$1010*EFEITO!$Y$1010</f>
        <v>0</v>
      </c>
      <c r="N1010" s="83">
        <f ca="1">$K$1010-EFEITO!$M$1010*EFEITO!$Z$1010</f>
        <v>0</v>
      </c>
      <c r="O1010" s="83">
        <f>$L$1010-EFEITO!$O$1010*EFEITO!$AA$1010</f>
        <v>0</v>
      </c>
      <c r="P1010" s="61"/>
      <c r="Q1010" s="61"/>
      <c r="R1010" s="61"/>
      <c r="S1010" s="61"/>
      <c r="T1010" s="61"/>
      <c r="U1010" s="61"/>
      <c r="V1010" s="61"/>
      <c r="W1010" s="61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</row>
    <row r="1011" spans="1:36" ht="11.25" customHeight="1" x14ac:dyDescent="0.2">
      <c r="A1011" s="57" t="s">
        <v>21</v>
      </c>
      <c r="B1011" s="57" t="s">
        <v>35</v>
      </c>
      <c r="C1011" s="57" t="s">
        <v>36</v>
      </c>
      <c r="D1011" s="57" t="s">
        <v>42</v>
      </c>
      <c r="E1011" s="57" t="s">
        <v>25</v>
      </c>
      <c r="F1011" s="57" t="s">
        <v>25</v>
      </c>
      <c r="G1011" s="57" t="s">
        <v>25</v>
      </c>
      <c r="H1011" s="57" t="s">
        <v>38</v>
      </c>
      <c r="I1011" s="82">
        <v>44378</v>
      </c>
      <c r="J1011" s="83">
        <f>EFEITO!$J$1011*EFEITO!$Y$1011</f>
        <v>0</v>
      </c>
      <c r="K1011" s="83">
        <f ca="1">EFEITO!$L$1011*EFEITO!$Z$1011</f>
        <v>89776.514983515124</v>
      </c>
      <c r="L1011" s="83">
        <f>EFEITO!$N$1011*EFEITO!$AA$1011</f>
        <v>0</v>
      </c>
      <c r="M1011" s="83">
        <f>$J$1011-EFEITO!$K$1011*EFEITO!$Y$1011</f>
        <v>0</v>
      </c>
      <c r="N1011" s="83">
        <f ca="1">$K$1011-EFEITO!$M$1011*EFEITO!$Z$1011</f>
        <v>0</v>
      </c>
      <c r="O1011" s="83">
        <f>$L$1011-EFEITO!$O$1011*EFEITO!$AA$1011</f>
        <v>0</v>
      </c>
      <c r="P1011" s="61"/>
      <c r="Q1011" s="61"/>
      <c r="R1011" s="61"/>
      <c r="S1011" s="61"/>
      <c r="T1011" s="61"/>
      <c r="U1011" s="61"/>
      <c r="V1011" s="61"/>
      <c r="W1011" s="61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</row>
    <row r="1012" spans="1:36" ht="11.25" customHeight="1" x14ac:dyDescent="0.2">
      <c r="A1012" s="57" t="s">
        <v>21</v>
      </c>
      <c r="B1012" s="57" t="s">
        <v>35</v>
      </c>
      <c r="C1012" s="57" t="s">
        <v>36</v>
      </c>
      <c r="D1012" s="57" t="s">
        <v>42</v>
      </c>
      <c r="E1012" s="57" t="s">
        <v>25</v>
      </c>
      <c r="F1012" s="57" t="s">
        <v>25</v>
      </c>
      <c r="G1012" s="57" t="s">
        <v>25</v>
      </c>
      <c r="H1012" s="57" t="s">
        <v>38</v>
      </c>
      <c r="I1012" s="82">
        <v>44409</v>
      </c>
      <c r="J1012" s="83">
        <f>EFEITO!$J$1012*EFEITO!$Y$1012</f>
        <v>0</v>
      </c>
      <c r="K1012" s="83">
        <f ca="1">EFEITO!$L$1012*EFEITO!$Z$1012</f>
        <v>3832124.3837604858</v>
      </c>
      <c r="L1012" s="83">
        <f>EFEITO!$N$1012*EFEITO!$AA$1012</f>
        <v>6433760.081797665</v>
      </c>
      <c r="M1012" s="83">
        <f>$J$1012-EFEITO!$K$1012*EFEITO!$Y$1012</f>
        <v>0</v>
      </c>
      <c r="N1012" s="83">
        <f ca="1">$K$1012-EFEITO!$M$1012*EFEITO!$Z$1012</f>
        <v>0</v>
      </c>
      <c r="O1012" s="83">
        <f>$L$1012-EFEITO!$O$1012*EFEITO!$AA$1012</f>
        <v>0</v>
      </c>
      <c r="P1012" s="61"/>
      <c r="Q1012" s="61"/>
      <c r="R1012" s="61"/>
      <c r="S1012" s="61"/>
      <c r="T1012" s="61"/>
      <c r="U1012" s="61"/>
      <c r="V1012" s="61"/>
      <c r="W1012" s="61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</row>
    <row r="1013" spans="1:36" ht="11.25" customHeight="1" x14ac:dyDescent="0.2">
      <c r="A1013" s="57" t="s">
        <v>27</v>
      </c>
      <c r="B1013" s="57" t="s">
        <v>35</v>
      </c>
      <c r="C1013" s="57" t="s">
        <v>36</v>
      </c>
      <c r="D1013" s="57" t="s">
        <v>42</v>
      </c>
      <c r="E1013" s="57" t="s">
        <v>25</v>
      </c>
      <c r="F1013" s="57" t="s">
        <v>25</v>
      </c>
      <c r="G1013" s="57" t="s">
        <v>25</v>
      </c>
      <c r="H1013" s="57" t="s">
        <v>38</v>
      </c>
      <c r="I1013" s="82">
        <v>44409</v>
      </c>
      <c r="J1013" s="83">
        <f>EFEITO!$J$1013*EFEITO!$Y$1013</f>
        <v>0</v>
      </c>
      <c r="K1013" s="83">
        <f ca="1">EFEITO!$L$1013*EFEITO!$Z$1013</f>
        <v>-1627.6707502604806</v>
      </c>
      <c r="L1013" s="83">
        <f>EFEITO!$N$1013*EFEITO!$AA$1013</f>
        <v>-2732.6991638667168</v>
      </c>
      <c r="M1013" s="83">
        <f>$J$1013-EFEITO!$K$1013*EFEITO!$Y$1013</f>
        <v>0</v>
      </c>
      <c r="N1013" s="83">
        <f ca="1">$K$1013-EFEITO!$M$1013*EFEITO!$Z$1013</f>
        <v>0</v>
      </c>
      <c r="O1013" s="83">
        <f>$L$1013-EFEITO!$O$1013*EFEITO!$AA$1013</f>
        <v>0</v>
      </c>
      <c r="P1013" s="61"/>
      <c r="Q1013" s="61"/>
      <c r="R1013" s="61"/>
      <c r="S1013" s="61"/>
      <c r="T1013" s="61"/>
      <c r="U1013" s="61"/>
      <c r="V1013" s="61"/>
      <c r="W1013" s="61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</row>
    <row r="1014" spans="1:36" ht="11.25" customHeight="1" x14ac:dyDescent="0.2">
      <c r="A1014" s="57" t="s">
        <v>28</v>
      </c>
      <c r="B1014" s="57" t="s">
        <v>35</v>
      </c>
      <c r="C1014" s="57" t="s">
        <v>36</v>
      </c>
      <c r="D1014" s="57" t="s">
        <v>42</v>
      </c>
      <c r="E1014" s="57" t="s">
        <v>25</v>
      </c>
      <c r="F1014" s="57" t="s">
        <v>25</v>
      </c>
      <c r="G1014" s="57" t="s">
        <v>25</v>
      </c>
      <c r="H1014" s="57" t="s">
        <v>38</v>
      </c>
      <c r="I1014" s="82">
        <v>44409</v>
      </c>
      <c r="J1014" s="83">
        <f>EFEITO!$J$1014*EFEITO!$Y$1014</f>
        <v>0</v>
      </c>
      <c r="K1014" s="83">
        <f ca="1">EFEITO!$L$1014*EFEITO!$Z$1014</f>
        <v>294211.38827073498</v>
      </c>
      <c r="L1014" s="83">
        <f>EFEITO!$N$1014*EFEITO!$AA$1014</f>
        <v>493951.99526614242</v>
      </c>
      <c r="M1014" s="83">
        <f>$J$1014-EFEITO!$K$1014*EFEITO!$Y$1014</f>
        <v>0</v>
      </c>
      <c r="N1014" s="83">
        <f ca="1">$K$1014-EFEITO!$M$1014*EFEITO!$Z$1014</f>
        <v>0</v>
      </c>
      <c r="O1014" s="83">
        <f>$L$1014-EFEITO!$O$1014*EFEITO!$AA$1014</f>
        <v>0</v>
      </c>
      <c r="P1014" s="61"/>
      <c r="Q1014" s="61"/>
      <c r="R1014" s="61"/>
      <c r="S1014" s="61"/>
      <c r="T1014" s="61"/>
      <c r="U1014" s="61"/>
      <c r="V1014" s="61"/>
      <c r="W1014" s="61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</row>
    <row r="1015" spans="1:36" ht="11.25" customHeight="1" x14ac:dyDescent="0.2">
      <c r="A1015" s="57" t="s">
        <v>30</v>
      </c>
      <c r="B1015" s="57" t="s">
        <v>35</v>
      </c>
      <c r="C1015" s="57" t="s">
        <v>36</v>
      </c>
      <c r="D1015" s="57" t="s">
        <v>42</v>
      </c>
      <c r="E1015" s="57" t="s">
        <v>25</v>
      </c>
      <c r="F1015" s="57" t="s">
        <v>25</v>
      </c>
      <c r="G1015" s="57" t="s">
        <v>25</v>
      </c>
      <c r="H1015" s="57" t="s">
        <v>38</v>
      </c>
      <c r="I1015" s="82">
        <v>44409</v>
      </c>
      <c r="J1015" s="83">
        <f>EFEITO!$J$1015*EFEITO!$Y$1015</f>
        <v>0</v>
      </c>
      <c r="K1015" s="83">
        <f ca="1">EFEITO!$L$1015*EFEITO!$Z$1015</f>
        <v>88949.956848094516</v>
      </c>
      <c r="L1015" s="83">
        <f>EFEITO!$N$1015*EFEITO!$AA$1015</f>
        <v>149338.23235802984</v>
      </c>
      <c r="M1015" s="83">
        <f>$J$1015-EFEITO!$K$1015*EFEITO!$Y$1015</f>
        <v>0</v>
      </c>
      <c r="N1015" s="83">
        <f ca="1">$K$1015-EFEITO!$M$1015*EFEITO!$Z$1015</f>
        <v>0</v>
      </c>
      <c r="O1015" s="83">
        <f>$L$1015-EFEITO!$O$1015*EFEITO!$AA$1015</f>
        <v>0</v>
      </c>
      <c r="P1015" s="61"/>
      <c r="Q1015" s="61"/>
      <c r="R1015" s="61"/>
      <c r="S1015" s="61"/>
      <c r="T1015" s="61"/>
      <c r="U1015" s="61"/>
      <c r="V1015" s="61"/>
      <c r="W1015" s="61"/>
      <c r="X1015" s="6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</row>
    <row r="1016" spans="1:36" ht="11.25" customHeight="1" x14ac:dyDescent="0.2">
      <c r="A1016" s="57" t="s">
        <v>21</v>
      </c>
      <c r="B1016" s="57" t="s">
        <v>35</v>
      </c>
      <c r="C1016" s="57" t="s">
        <v>36</v>
      </c>
      <c r="D1016" s="57" t="s">
        <v>42</v>
      </c>
      <c r="E1016" s="57" t="s">
        <v>25</v>
      </c>
      <c r="F1016" s="57" t="s">
        <v>25</v>
      </c>
      <c r="G1016" s="57" t="s">
        <v>25</v>
      </c>
      <c r="H1016" s="57" t="s">
        <v>38</v>
      </c>
      <c r="I1016" s="82">
        <v>44409</v>
      </c>
      <c r="J1016" s="83">
        <f>EFEITO!$J$1016*EFEITO!$Y$1016</f>
        <v>0</v>
      </c>
      <c r="K1016" s="83">
        <f ca="1">EFEITO!$L$1016*EFEITO!$Z$1016</f>
        <v>91298.190816919421</v>
      </c>
      <c r="L1016" s="83">
        <f>EFEITO!$N$1016*EFEITO!$AA$1016</f>
        <v>0</v>
      </c>
      <c r="M1016" s="83">
        <f>$J$1016-EFEITO!$K$1016*EFEITO!$Y$1016</f>
        <v>0</v>
      </c>
      <c r="N1016" s="83">
        <f ca="1">$K$1016-EFEITO!$M$1016*EFEITO!$Z$1016</f>
        <v>0</v>
      </c>
      <c r="O1016" s="83">
        <f>$L$1016-EFEITO!$O$1016*EFEITO!$AA$1016</f>
        <v>0</v>
      </c>
      <c r="P1016" s="61"/>
      <c r="Q1016" s="61"/>
      <c r="R1016" s="61"/>
      <c r="S1016" s="61"/>
      <c r="T1016" s="61"/>
      <c r="U1016" s="61"/>
      <c r="V1016" s="61"/>
      <c r="W1016" s="61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</row>
    <row r="1017" spans="1:36" ht="11.25" customHeight="1" x14ac:dyDescent="0.2">
      <c r="A1017" s="57" t="s">
        <v>21</v>
      </c>
      <c r="B1017" s="57" t="s">
        <v>35</v>
      </c>
      <c r="C1017" s="57" t="s">
        <v>36</v>
      </c>
      <c r="D1017" s="57" t="s">
        <v>42</v>
      </c>
      <c r="E1017" s="57" t="s">
        <v>25</v>
      </c>
      <c r="F1017" s="57" t="s">
        <v>25</v>
      </c>
      <c r="G1017" s="57" t="s">
        <v>25</v>
      </c>
      <c r="H1017" s="57" t="s">
        <v>38</v>
      </c>
      <c r="I1017" s="82">
        <v>44440</v>
      </c>
      <c r="J1017" s="83">
        <f>EFEITO!$J$1017*EFEITO!$Y$1017</f>
        <v>0</v>
      </c>
      <c r="K1017" s="83">
        <f ca="1">EFEITO!$L$1017*EFEITO!$Z$1017</f>
        <v>3466209.5406538113</v>
      </c>
      <c r="L1017" s="83">
        <f>EFEITO!$N$1017*EFEITO!$AA$1017</f>
        <v>5819425.0354475314</v>
      </c>
      <c r="M1017" s="83">
        <f>$J$1017-EFEITO!$K$1017*EFEITO!$Y$1017</f>
        <v>0</v>
      </c>
      <c r="N1017" s="83">
        <f ca="1">$K$1017-EFEITO!$M$1017*EFEITO!$Z$1017</f>
        <v>0</v>
      </c>
      <c r="O1017" s="83">
        <f>$L$1017-EFEITO!$O$1017*EFEITO!$AA$1017</f>
        <v>0</v>
      </c>
      <c r="P1017" s="61"/>
      <c r="Q1017" s="61"/>
      <c r="R1017" s="61"/>
      <c r="S1017" s="61"/>
      <c r="T1017" s="61"/>
      <c r="U1017" s="61"/>
      <c r="V1017" s="61"/>
      <c r="W1017" s="61"/>
      <c r="X1017" s="6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</row>
    <row r="1018" spans="1:36" ht="11.25" customHeight="1" x14ac:dyDescent="0.2">
      <c r="A1018" s="57" t="s">
        <v>27</v>
      </c>
      <c r="B1018" s="57" t="s">
        <v>35</v>
      </c>
      <c r="C1018" s="57" t="s">
        <v>36</v>
      </c>
      <c r="D1018" s="57" t="s">
        <v>42</v>
      </c>
      <c r="E1018" s="57" t="s">
        <v>25</v>
      </c>
      <c r="F1018" s="57" t="s">
        <v>25</v>
      </c>
      <c r="G1018" s="57" t="s">
        <v>25</v>
      </c>
      <c r="H1018" s="57" t="s">
        <v>38</v>
      </c>
      <c r="I1018" s="82">
        <v>44440</v>
      </c>
      <c r="J1018" s="83">
        <f>EFEITO!$J$1018*EFEITO!$Y$1018</f>
        <v>0</v>
      </c>
      <c r="K1018" s="83">
        <f ca="1">EFEITO!$L$1018*EFEITO!$Z$1018</f>
        <v>-5980.539903379693</v>
      </c>
      <c r="L1018" s="83">
        <f>EFEITO!$N$1018*EFEITO!$AA$1018</f>
        <v>-10040.738515957117</v>
      </c>
      <c r="M1018" s="83">
        <f>$J$1018-EFEITO!$K$1018*EFEITO!$Y$1018</f>
        <v>0</v>
      </c>
      <c r="N1018" s="83">
        <f ca="1">$K$1018-EFEITO!$M$1018*EFEITO!$Z$1018</f>
        <v>0</v>
      </c>
      <c r="O1018" s="83">
        <f>$L$1018-EFEITO!$O$1018*EFEITO!$AA$1018</f>
        <v>0</v>
      </c>
      <c r="P1018" s="61"/>
      <c r="Q1018" s="61"/>
      <c r="R1018" s="61"/>
      <c r="S1018" s="61"/>
      <c r="T1018" s="61"/>
      <c r="U1018" s="61"/>
      <c r="V1018" s="61"/>
      <c r="W1018" s="61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</row>
    <row r="1019" spans="1:36" ht="11.25" customHeight="1" x14ac:dyDescent="0.2">
      <c r="A1019" s="57" t="s">
        <v>28</v>
      </c>
      <c r="B1019" s="57" t="s">
        <v>35</v>
      </c>
      <c r="C1019" s="57" t="s">
        <v>36</v>
      </c>
      <c r="D1019" s="57" t="s">
        <v>42</v>
      </c>
      <c r="E1019" s="57" t="s">
        <v>25</v>
      </c>
      <c r="F1019" s="57" t="s">
        <v>25</v>
      </c>
      <c r="G1019" s="57" t="s">
        <v>25</v>
      </c>
      <c r="H1019" s="57" t="s">
        <v>38</v>
      </c>
      <c r="I1019" s="82">
        <v>44440</v>
      </c>
      <c r="J1019" s="83">
        <f>EFEITO!$J$1019*EFEITO!$Y$1019</f>
        <v>0</v>
      </c>
      <c r="K1019" s="83">
        <f ca="1">EFEITO!$L$1019*EFEITO!$Z$1019</f>
        <v>351673.27171038423</v>
      </c>
      <c r="L1019" s="83">
        <f>EFEITO!$N$1019*EFEITO!$AA$1019</f>
        <v>590424.84814784897</v>
      </c>
      <c r="M1019" s="83">
        <f>$J$1019-EFEITO!$K$1019*EFEITO!$Y$1019</f>
        <v>0</v>
      </c>
      <c r="N1019" s="83">
        <f ca="1">$K$1019-EFEITO!$M$1019*EFEITO!$Z$1019</f>
        <v>0</v>
      </c>
      <c r="O1019" s="83">
        <f>$L$1019-EFEITO!$O$1019*EFEITO!$AA$1019</f>
        <v>0</v>
      </c>
      <c r="P1019" s="61"/>
      <c r="Q1019" s="61"/>
      <c r="R1019" s="61"/>
      <c r="S1019" s="61"/>
      <c r="T1019" s="61"/>
      <c r="U1019" s="61"/>
      <c r="V1019" s="61"/>
      <c r="W1019" s="61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</row>
    <row r="1020" spans="1:36" ht="11.25" customHeight="1" x14ac:dyDescent="0.2">
      <c r="A1020" s="57" t="s">
        <v>29</v>
      </c>
      <c r="B1020" s="57" t="s">
        <v>35</v>
      </c>
      <c r="C1020" s="57" t="s">
        <v>36</v>
      </c>
      <c r="D1020" s="57" t="s">
        <v>42</v>
      </c>
      <c r="E1020" s="57" t="s">
        <v>25</v>
      </c>
      <c r="F1020" s="57" t="s">
        <v>25</v>
      </c>
      <c r="G1020" s="57" t="s">
        <v>25</v>
      </c>
      <c r="H1020" s="57" t="s">
        <v>38</v>
      </c>
      <c r="I1020" s="82">
        <v>44440</v>
      </c>
      <c r="J1020" s="83">
        <f>EFEITO!$J$1020*EFEITO!$Y$1020</f>
        <v>0</v>
      </c>
      <c r="K1020" s="83">
        <f ca="1">EFEITO!$L$1020*EFEITO!$Z$1020</f>
        <v>-846.10568765481651</v>
      </c>
      <c r="L1020" s="83">
        <f>EFEITO!$N$1020*EFEITO!$AA$1020</f>
        <v>-1420.5282639791681</v>
      </c>
      <c r="M1020" s="83">
        <f>$J$1020-EFEITO!$K$1020*EFEITO!$Y$1020</f>
        <v>0</v>
      </c>
      <c r="N1020" s="83">
        <f ca="1">$K$1020-EFEITO!$M$1020*EFEITO!$Z$1020</f>
        <v>0</v>
      </c>
      <c r="O1020" s="83">
        <f>$L$1020-EFEITO!$O$1020*EFEITO!$AA$1020</f>
        <v>0</v>
      </c>
      <c r="P1020" s="61"/>
      <c r="Q1020" s="61"/>
      <c r="R1020" s="61"/>
      <c r="S1020" s="61"/>
      <c r="T1020" s="61"/>
      <c r="U1020" s="61"/>
      <c r="V1020" s="61"/>
      <c r="W1020" s="61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</row>
    <row r="1021" spans="1:36" ht="11.25" customHeight="1" x14ac:dyDescent="0.2">
      <c r="A1021" s="57" t="s">
        <v>30</v>
      </c>
      <c r="B1021" s="57" t="s">
        <v>35</v>
      </c>
      <c r="C1021" s="57" t="s">
        <v>36</v>
      </c>
      <c r="D1021" s="57" t="s">
        <v>42</v>
      </c>
      <c r="E1021" s="57" t="s">
        <v>25</v>
      </c>
      <c r="F1021" s="57" t="s">
        <v>25</v>
      </c>
      <c r="G1021" s="57" t="s">
        <v>25</v>
      </c>
      <c r="H1021" s="57" t="s">
        <v>38</v>
      </c>
      <c r="I1021" s="82">
        <v>44440</v>
      </c>
      <c r="J1021" s="83">
        <f>EFEITO!$J$1021*EFEITO!$Y$1021</f>
        <v>0</v>
      </c>
      <c r="K1021" s="83">
        <f ca="1">EFEITO!$L$1021*EFEITO!$Z$1021</f>
        <v>87501.415822187162</v>
      </c>
      <c r="L1021" s="83">
        <f>EFEITO!$N$1021*EFEITO!$AA$1021</f>
        <v>146906.27439006232</v>
      </c>
      <c r="M1021" s="83">
        <f>$J$1021-EFEITO!$K$1021*EFEITO!$Y$1021</f>
        <v>0</v>
      </c>
      <c r="N1021" s="83">
        <f ca="1">$K$1021-EFEITO!$M$1021*EFEITO!$Z$1021</f>
        <v>0</v>
      </c>
      <c r="O1021" s="83">
        <f>$L$1021-EFEITO!$O$1021*EFEITO!$AA$1021</f>
        <v>0</v>
      </c>
      <c r="P1021" s="61"/>
      <c r="Q1021" s="61"/>
      <c r="R1021" s="61"/>
      <c r="S1021" s="61"/>
      <c r="T1021" s="61"/>
      <c r="U1021" s="61"/>
      <c r="V1021" s="61"/>
      <c r="W1021" s="61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</row>
    <row r="1022" spans="1:36" ht="11.25" customHeight="1" x14ac:dyDescent="0.2">
      <c r="A1022" s="57" t="s">
        <v>21</v>
      </c>
      <c r="B1022" s="57" t="s">
        <v>35</v>
      </c>
      <c r="C1022" s="57" t="s">
        <v>36</v>
      </c>
      <c r="D1022" s="57" t="s">
        <v>42</v>
      </c>
      <c r="E1022" s="57" t="s">
        <v>25</v>
      </c>
      <c r="F1022" s="57" t="s">
        <v>25</v>
      </c>
      <c r="G1022" s="57" t="s">
        <v>25</v>
      </c>
      <c r="H1022" s="57" t="s">
        <v>38</v>
      </c>
      <c r="I1022" s="82">
        <v>44440</v>
      </c>
      <c r="J1022" s="83">
        <f>EFEITO!$J$1022*EFEITO!$Y$1022</f>
        <v>0</v>
      </c>
      <c r="K1022" s="83">
        <f ca="1">EFEITO!$L$1022*EFEITO!$Z$1022</f>
        <v>165044.53337471461</v>
      </c>
      <c r="L1022" s="83">
        <f>EFEITO!$N$1022*EFEITO!$AA$1022</f>
        <v>0</v>
      </c>
      <c r="M1022" s="83">
        <f>$J$1022-EFEITO!$K$1022*EFEITO!$Y$1022</f>
        <v>0</v>
      </c>
      <c r="N1022" s="83">
        <f ca="1">$K$1022-EFEITO!$M$1022*EFEITO!$Z$1022</f>
        <v>0</v>
      </c>
      <c r="O1022" s="83">
        <f>$L$1022-EFEITO!$O$1022*EFEITO!$AA$1022</f>
        <v>0</v>
      </c>
      <c r="P1022" s="61"/>
      <c r="Q1022" s="61"/>
      <c r="R1022" s="61"/>
      <c r="S1022" s="61"/>
      <c r="T1022" s="61"/>
      <c r="U1022" s="61"/>
      <c r="V1022" s="61"/>
      <c r="W1022" s="61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</row>
    <row r="1023" spans="1:36" ht="11.25" customHeight="1" x14ac:dyDescent="0.2">
      <c r="A1023" s="57" t="s">
        <v>59</v>
      </c>
      <c r="B1023" s="57" t="s">
        <v>35</v>
      </c>
      <c r="C1023" s="57" t="s">
        <v>36</v>
      </c>
      <c r="D1023" s="57" t="s">
        <v>42</v>
      </c>
      <c r="E1023" s="57" t="s">
        <v>25</v>
      </c>
      <c r="F1023" s="57" t="s">
        <v>25</v>
      </c>
      <c r="G1023" s="57" t="s">
        <v>25</v>
      </c>
      <c r="H1023" s="57" t="s">
        <v>38</v>
      </c>
      <c r="I1023" s="82">
        <v>44470</v>
      </c>
      <c r="J1023" s="83">
        <f>EFEITO!$J$1023*EFEITO!$Y$1023</f>
        <v>0</v>
      </c>
      <c r="K1023" s="83">
        <f ca="1">EFEITO!$L$1023*EFEITO!$Z$1023</f>
        <v>3466209.5406538113</v>
      </c>
      <c r="L1023" s="83">
        <f>EFEITO!$N$1023*EFEITO!$AA$1023</f>
        <v>5819425.0354475314</v>
      </c>
      <c r="M1023" s="83">
        <f>$J$1023-EFEITO!$K$1023*EFEITO!$Y$1023</f>
        <v>0</v>
      </c>
      <c r="N1023" s="83">
        <f ca="1">$K$1023-EFEITO!$M$1023*EFEITO!$Z$1023</f>
        <v>0</v>
      </c>
      <c r="O1023" s="83">
        <f>$L$1023-EFEITO!$O$1023*EFEITO!$AA$1023</f>
        <v>0</v>
      </c>
      <c r="P1023" s="61"/>
      <c r="Q1023" s="61"/>
      <c r="R1023" s="61"/>
      <c r="S1023" s="61"/>
      <c r="T1023" s="61"/>
      <c r="U1023" s="61"/>
      <c r="V1023" s="61"/>
      <c r="W1023" s="61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</row>
    <row r="1024" spans="1:36" ht="11.25" customHeight="1" x14ac:dyDescent="0.2">
      <c r="A1024" s="57" t="s">
        <v>59</v>
      </c>
      <c r="B1024" s="57" t="s">
        <v>35</v>
      </c>
      <c r="C1024" s="57" t="s">
        <v>36</v>
      </c>
      <c r="D1024" s="57" t="s">
        <v>42</v>
      </c>
      <c r="E1024" s="57" t="s">
        <v>25</v>
      </c>
      <c r="F1024" s="57" t="s">
        <v>25</v>
      </c>
      <c r="G1024" s="57" t="s">
        <v>25</v>
      </c>
      <c r="H1024" s="57" t="s">
        <v>38</v>
      </c>
      <c r="I1024" s="82">
        <v>44470</v>
      </c>
      <c r="J1024" s="83">
        <f>EFEITO!$J$1024*EFEITO!$Y$1024</f>
        <v>0</v>
      </c>
      <c r="K1024" s="83">
        <f ca="1">EFEITO!$L$1024*EFEITO!$Z$1024</f>
        <v>-5980.539903379693</v>
      </c>
      <c r="L1024" s="83">
        <f>EFEITO!$N$1024*EFEITO!$AA$1024</f>
        <v>-10040.738515957117</v>
      </c>
      <c r="M1024" s="83">
        <f>$J$1024-EFEITO!$K$1024*EFEITO!$Y$1024</f>
        <v>0</v>
      </c>
      <c r="N1024" s="83">
        <f ca="1">$K$1024-EFEITO!$M$1024*EFEITO!$Z$1024</f>
        <v>0</v>
      </c>
      <c r="O1024" s="83">
        <f>$L$1024-EFEITO!$O$1024*EFEITO!$AA$1024</f>
        <v>0</v>
      </c>
      <c r="P1024" s="61"/>
      <c r="Q1024" s="61"/>
      <c r="R1024" s="61"/>
      <c r="S1024" s="61"/>
      <c r="T1024" s="61"/>
      <c r="U1024" s="61"/>
      <c r="V1024" s="61"/>
      <c r="W1024" s="61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</row>
    <row r="1025" spans="1:36" ht="11.25" customHeight="1" x14ac:dyDescent="0.2">
      <c r="A1025" s="57" t="s">
        <v>59</v>
      </c>
      <c r="B1025" s="57" t="s">
        <v>35</v>
      </c>
      <c r="C1025" s="57" t="s">
        <v>36</v>
      </c>
      <c r="D1025" s="57" t="s">
        <v>42</v>
      </c>
      <c r="E1025" s="57" t="s">
        <v>25</v>
      </c>
      <c r="F1025" s="57" t="s">
        <v>25</v>
      </c>
      <c r="G1025" s="57" t="s">
        <v>25</v>
      </c>
      <c r="H1025" s="57" t="s">
        <v>38</v>
      </c>
      <c r="I1025" s="82">
        <v>44470</v>
      </c>
      <c r="J1025" s="83">
        <f>EFEITO!$J$1025*EFEITO!$Y$1025</f>
        <v>0</v>
      </c>
      <c r="K1025" s="83">
        <f ca="1">EFEITO!$L$1025*EFEITO!$Z$1025</f>
        <v>351673.27171038423</v>
      </c>
      <c r="L1025" s="83">
        <f>EFEITO!$N$1025*EFEITO!$AA$1025</f>
        <v>590424.84814784897</v>
      </c>
      <c r="M1025" s="83">
        <f>$J$1025-EFEITO!$K$1025*EFEITO!$Y$1025</f>
        <v>0</v>
      </c>
      <c r="N1025" s="83">
        <f ca="1">$K$1025-EFEITO!$M$1025*EFEITO!$Z$1025</f>
        <v>0</v>
      </c>
      <c r="O1025" s="83">
        <f>$L$1025-EFEITO!$O$1025*EFEITO!$AA$1025</f>
        <v>0</v>
      </c>
      <c r="P1025" s="61"/>
      <c r="Q1025" s="61"/>
      <c r="R1025" s="61"/>
      <c r="S1025" s="61"/>
      <c r="T1025" s="61"/>
      <c r="U1025" s="61"/>
      <c r="V1025" s="61"/>
      <c r="W1025" s="61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</row>
    <row r="1026" spans="1:36" ht="11.25" customHeight="1" x14ac:dyDescent="0.2">
      <c r="A1026" s="57" t="s">
        <v>59</v>
      </c>
      <c r="B1026" s="57" t="s">
        <v>35</v>
      </c>
      <c r="C1026" s="57" t="s">
        <v>36</v>
      </c>
      <c r="D1026" s="57" t="s">
        <v>42</v>
      </c>
      <c r="E1026" s="57" t="s">
        <v>25</v>
      </c>
      <c r="F1026" s="57" t="s">
        <v>25</v>
      </c>
      <c r="G1026" s="57" t="s">
        <v>25</v>
      </c>
      <c r="H1026" s="57" t="s">
        <v>38</v>
      </c>
      <c r="I1026" s="82">
        <v>44470</v>
      </c>
      <c r="J1026" s="83">
        <f>EFEITO!$J$1026*EFEITO!$Y$1026</f>
        <v>0</v>
      </c>
      <c r="K1026" s="83">
        <f ca="1">EFEITO!$L$1026*EFEITO!$Z$1026</f>
        <v>-846.10568765481651</v>
      </c>
      <c r="L1026" s="83">
        <f>EFEITO!$N$1026*EFEITO!$AA$1026</f>
        <v>-1420.5282639791681</v>
      </c>
      <c r="M1026" s="83">
        <f>$J$1026-EFEITO!$K$1026*EFEITO!$Y$1026</f>
        <v>0</v>
      </c>
      <c r="N1026" s="83">
        <f ca="1">$K$1026-EFEITO!$M$1026*EFEITO!$Z$1026</f>
        <v>0</v>
      </c>
      <c r="O1026" s="83">
        <f>$L$1026-EFEITO!$O$1026*EFEITO!$AA$1026</f>
        <v>0</v>
      </c>
      <c r="P1026" s="61"/>
      <c r="Q1026" s="61"/>
      <c r="R1026" s="61"/>
      <c r="S1026" s="61"/>
      <c r="T1026" s="61"/>
      <c r="U1026" s="61"/>
      <c r="V1026" s="61"/>
      <c r="W1026" s="61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</row>
    <row r="1027" spans="1:36" ht="11.25" customHeight="1" x14ac:dyDescent="0.2">
      <c r="A1027" s="57" t="s">
        <v>59</v>
      </c>
      <c r="B1027" s="57" t="s">
        <v>35</v>
      </c>
      <c r="C1027" s="57" t="s">
        <v>36</v>
      </c>
      <c r="D1027" s="57" t="s">
        <v>42</v>
      </c>
      <c r="E1027" s="57" t="s">
        <v>25</v>
      </c>
      <c r="F1027" s="57" t="s">
        <v>25</v>
      </c>
      <c r="G1027" s="57" t="s">
        <v>25</v>
      </c>
      <c r="H1027" s="57" t="s">
        <v>38</v>
      </c>
      <c r="I1027" s="82">
        <v>44470</v>
      </c>
      <c r="J1027" s="83">
        <f>EFEITO!$J$1027*EFEITO!$Y$1027</f>
        <v>0</v>
      </c>
      <c r="K1027" s="83">
        <f ca="1">EFEITO!$L$1027*EFEITO!$Z$1027</f>
        <v>87501.415822187162</v>
      </c>
      <c r="L1027" s="83">
        <f>EFEITO!$N$1027*EFEITO!$AA$1027</f>
        <v>146906.27439006232</v>
      </c>
      <c r="M1027" s="83">
        <f>$J$1027-EFEITO!$K$1027*EFEITO!$Y$1027</f>
        <v>0</v>
      </c>
      <c r="N1027" s="83">
        <f ca="1">$K$1027-EFEITO!$M$1027*EFEITO!$Z$1027</f>
        <v>0</v>
      </c>
      <c r="O1027" s="83">
        <f>$L$1027-EFEITO!$O$1027*EFEITO!$AA$1027</f>
        <v>0</v>
      </c>
      <c r="P1027" s="61"/>
      <c r="Q1027" s="61"/>
      <c r="R1027" s="61"/>
      <c r="S1027" s="61"/>
      <c r="T1027" s="61"/>
      <c r="U1027" s="61"/>
      <c r="V1027" s="61"/>
      <c r="W1027" s="61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</row>
    <row r="1028" spans="1:36" ht="11.25" customHeight="1" x14ac:dyDescent="0.2">
      <c r="A1028" s="57" t="s">
        <v>59</v>
      </c>
      <c r="B1028" s="57" t="s">
        <v>35</v>
      </c>
      <c r="C1028" s="57" t="s">
        <v>36</v>
      </c>
      <c r="D1028" s="57" t="s">
        <v>42</v>
      </c>
      <c r="E1028" s="57" t="s">
        <v>25</v>
      </c>
      <c r="F1028" s="57" t="s">
        <v>25</v>
      </c>
      <c r="G1028" s="57" t="s">
        <v>25</v>
      </c>
      <c r="H1028" s="57" t="s">
        <v>38</v>
      </c>
      <c r="I1028" s="82">
        <v>44470</v>
      </c>
      <c r="J1028" s="83">
        <f>EFEITO!$J$1028*EFEITO!$Y$1028</f>
        <v>0</v>
      </c>
      <c r="K1028" s="83">
        <f ca="1">EFEITO!$L$1028*EFEITO!$Z$1028</f>
        <v>165044.53337471461</v>
      </c>
      <c r="L1028" s="83">
        <f>EFEITO!$N$1028*EFEITO!$AA$1028</f>
        <v>0</v>
      </c>
      <c r="M1028" s="83">
        <f>$J$1028-EFEITO!$K$1028*EFEITO!$Y$1028</f>
        <v>0</v>
      </c>
      <c r="N1028" s="83">
        <f ca="1">$K$1028-EFEITO!$M$1028*EFEITO!$Z$1028</f>
        <v>0</v>
      </c>
      <c r="O1028" s="83">
        <f>$L$1028-EFEITO!$O$1028*EFEITO!$AA$1028</f>
        <v>0</v>
      </c>
      <c r="P1028" s="61"/>
      <c r="Q1028" s="61"/>
      <c r="R1028" s="61"/>
      <c r="S1028" s="61"/>
      <c r="T1028" s="61"/>
      <c r="U1028" s="61"/>
      <c r="V1028" s="61"/>
      <c r="W1028" s="61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</row>
    <row r="1029" spans="1:36" ht="11.25" customHeight="1" x14ac:dyDescent="0.2">
      <c r="A1029" s="57" t="s">
        <v>21</v>
      </c>
      <c r="B1029" s="57" t="s">
        <v>35</v>
      </c>
      <c r="C1029" s="57" t="s">
        <v>36</v>
      </c>
      <c r="D1029" s="57" t="s">
        <v>42</v>
      </c>
      <c r="E1029" s="57" t="s">
        <v>25</v>
      </c>
      <c r="F1029" s="57" t="s">
        <v>25</v>
      </c>
      <c r="G1029" s="57" t="s">
        <v>25</v>
      </c>
      <c r="H1029" s="57" t="s">
        <v>25</v>
      </c>
      <c r="I1029" s="82">
        <v>44136</v>
      </c>
      <c r="J1029" s="83">
        <f ca="1">EFEITO!$J$1029*EFEITO!$Y$1029</f>
        <v>3253445.0309524252</v>
      </c>
      <c r="K1029" s="83">
        <f>EFEITO!$L$1029*EFEITO!$Z$1029</f>
        <v>0</v>
      </c>
      <c r="L1029" s="83">
        <f>EFEITO!$N$1029*EFEITO!$AA$1029</f>
        <v>0</v>
      </c>
      <c r="M1029" s="83">
        <f ca="1">$J$1029-EFEITO!$K$1029*EFEITO!$Y$1029</f>
        <v>0</v>
      </c>
      <c r="N1029" s="83">
        <f>$K$1029-EFEITO!$M$1029*EFEITO!$Z$1029</f>
        <v>0</v>
      </c>
      <c r="O1029" s="83">
        <f>$L$1029-EFEITO!$O$1029*EFEITO!$AA$1029</f>
        <v>0</v>
      </c>
      <c r="P1029" s="61"/>
      <c r="Q1029" s="61"/>
      <c r="R1029" s="61"/>
      <c r="S1029" s="61"/>
      <c r="T1029" s="61"/>
      <c r="U1029" s="61"/>
      <c r="V1029" s="61"/>
      <c r="W1029" s="61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</row>
    <row r="1030" spans="1:36" ht="11.25" customHeight="1" x14ac:dyDescent="0.2">
      <c r="A1030" s="57" t="s">
        <v>27</v>
      </c>
      <c r="B1030" s="57" t="s">
        <v>35</v>
      </c>
      <c r="C1030" s="57" t="s">
        <v>36</v>
      </c>
      <c r="D1030" s="57" t="s">
        <v>42</v>
      </c>
      <c r="E1030" s="57" t="s">
        <v>25</v>
      </c>
      <c r="F1030" s="57" t="s">
        <v>25</v>
      </c>
      <c r="G1030" s="57" t="s">
        <v>25</v>
      </c>
      <c r="H1030" s="57" t="s">
        <v>25</v>
      </c>
      <c r="I1030" s="82">
        <v>44136</v>
      </c>
      <c r="J1030" s="83">
        <f ca="1">EFEITO!$J$1030*EFEITO!$Y$1030</f>
        <v>-191.58385123037903</v>
      </c>
      <c r="K1030" s="83">
        <f>EFEITO!$L$1030*EFEITO!$Z$1030</f>
        <v>0</v>
      </c>
      <c r="L1030" s="83">
        <f>EFEITO!$N$1030*EFEITO!$AA$1030</f>
        <v>0</v>
      </c>
      <c r="M1030" s="83">
        <f ca="1">$J$1030-EFEITO!$K$1030*EFEITO!$Y$1030</f>
        <v>0</v>
      </c>
      <c r="N1030" s="83">
        <f>$K$1030-EFEITO!$M$1030*EFEITO!$Z$1030</f>
        <v>0</v>
      </c>
      <c r="O1030" s="83">
        <f>$L$1030-EFEITO!$O$1030*EFEITO!$AA$1030</f>
        <v>0</v>
      </c>
      <c r="P1030" s="61"/>
      <c r="Q1030" s="61"/>
      <c r="R1030" s="61"/>
      <c r="S1030" s="61"/>
      <c r="T1030" s="61"/>
      <c r="U1030" s="61"/>
      <c r="V1030" s="61"/>
      <c r="W1030" s="61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</row>
    <row r="1031" spans="1:36" ht="11.25" customHeight="1" x14ac:dyDescent="0.2">
      <c r="A1031" s="57" t="s">
        <v>28</v>
      </c>
      <c r="B1031" s="57" t="s">
        <v>35</v>
      </c>
      <c r="C1031" s="57" t="s">
        <v>36</v>
      </c>
      <c r="D1031" s="57" t="s">
        <v>42</v>
      </c>
      <c r="E1031" s="57" t="s">
        <v>25</v>
      </c>
      <c r="F1031" s="57" t="s">
        <v>25</v>
      </c>
      <c r="G1031" s="57" t="s">
        <v>25</v>
      </c>
      <c r="H1031" s="57" t="s">
        <v>25</v>
      </c>
      <c r="I1031" s="82">
        <v>44136</v>
      </c>
      <c r="J1031" s="83">
        <f ca="1">EFEITO!$J$1031*EFEITO!$Y$1031</f>
        <v>379814.98506422644</v>
      </c>
      <c r="K1031" s="83">
        <f>EFEITO!$L$1031*EFEITO!$Z$1031</f>
        <v>0</v>
      </c>
      <c r="L1031" s="83">
        <f>EFEITO!$N$1031*EFEITO!$AA$1031</f>
        <v>0</v>
      </c>
      <c r="M1031" s="83">
        <f ca="1">$J$1031-EFEITO!$K$1031*EFEITO!$Y$1031</f>
        <v>0</v>
      </c>
      <c r="N1031" s="83">
        <f>$K$1031-EFEITO!$M$1031*EFEITO!$Z$1031</f>
        <v>0</v>
      </c>
      <c r="O1031" s="83">
        <f>$L$1031-EFEITO!$O$1031*EFEITO!$AA$1031</f>
        <v>0</v>
      </c>
      <c r="P1031" s="61"/>
      <c r="Q1031" s="61"/>
      <c r="R1031" s="61"/>
      <c r="S1031" s="61"/>
      <c r="T1031" s="61"/>
      <c r="U1031" s="61"/>
      <c r="V1031" s="61"/>
      <c r="W1031" s="61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</row>
    <row r="1032" spans="1:36" ht="11.25" customHeight="1" x14ac:dyDescent="0.2">
      <c r="A1032" s="57" t="s">
        <v>29</v>
      </c>
      <c r="B1032" s="57" t="s">
        <v>35</v>
      </c>
      <c r="C1032" s="57" t="s">
        <v>36</v>
      </c>
      <c r="D1032" s="57" t="s">
        <v>42</v>
      </c>
      <c r="E1032" s="57" t="s">
        <v>25</v>
      </c>
      <c r="F1032" s="57" t="s">
        <v>25</v>
      </c>
      <c r="G1032" s="57" t="s">
        <v>25</v>
      </c>
      <c r="H1032" s="57" t="s">
        <v>25</v>
      </c>
      <c r="I1032" s="82">
        <v>44136</v>
      </c>
      <c r="J1032" s="83">
        <f ca="1">EFEITO!$J$1032*EFEITO!$Y$1032</f>
        <v>-3001.4803359426051</v>
      </c>
      <c r="K1032" s="83">
        <f>EFEITO!$L$1032*EFEITO!$Z$1032</f>
        <v>0</v>
      </c>
      <c r="L1032" s="83">
        <f>EFEITO!$N$1032*EFEITO!$AA$1032</f>
        <v>0</v>
      </c>
      <c r="M1032" s="83">
        <f ca="1">$J$1032-EFEITO!$K$1032*EFEITO!$Y$1032</f>
        <v>0</v>
      </c>
      <c r="N1032" s="83">
        <f>$K$1032-EFEITO!$M$1032*EFEITO!$Z$1032</f>
        <v>0</v>
      </c>
      <c r="O1032" s="83">
        <f>$L$1032-EFEITO!$O$1032*EFEITO!$AA$1032</f>
        <v>0</v>
      </c>
      <c r="P1032" s="61"/>
      <c r="Q1032" s="61"/>
      <c r="R1032" s="61"/>
      <c r="S1032" s="61"/>
      <c r="T1032" s="61"/>
      <c r="U1032" s="61"/>
      <c r="V1032" s="61"/>
      <c r="W1032" s="61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</row>
    <row r="1033" spans="1:36" ht="11.25" customHeight="1" x14ac:dyDescent="0.2">
      <c r="A1033" s="57" t="s">
        <v>30</v>
      </c>
      <c r="B1033" s="57" t="s">
        <v>35</v>
      </c>
      <c r="C1033" s="57" t="s">
        <v>36</v>
      </c>
      <c r="D1033" s="57" t="s">
        <v>42</v>
      </c>
      <c r="E1033" s="57" t="s">
        <v>25</v>
      </c>
      <c r="F1033" s="57" t="s">
        <v>25</v>
      </c>
      <c r="G1033" s="57" t="s">
        <v>25</v>
      </c>
      <c r="H1033" s="57" t="s">
        <v>25</v>
      </c>
      <c r="I1033" s="82">
        <v>44136</v>
      </c>
      <c r="J1033" s="83">
        <f ca="1">EFEITO!$J$1033*EFEITO!$Y$1033</f>
        <v>54888.773377503596</v>
      </c>
      <c r="K1033" s="83">
        <f>EFEITO!$L$1033*EFEITO!$Z$1033</f>
        <v>0</v>
      </c>
      <c r="L1033" s="83">
        <f>EFEITO!$N$1033*EFEITO!$AA$1033</f>
        <v>0</v>
      </c>
      <c r="M1033" s="83">
        <f ca="1">$J$1033-EFEITO!$K$1033*EFEITO!$Y$1033</f>
        <v>0</v>
      </c>
      <c r="N1033" s="83">
        <f>$K$1033-EFEITO!$M$1033*EFEITO!$Z$1033</f>
        <v>0</v>
      </c>
      <c r="O1033" s="83">
        <f>$L$1033-EFEITO!$O$1033*EFEITO!$AA$1033</f>
        <v>0</v>
      </c>
      <c r="P1033" s="61"/>
      <c r="Q1033" s="61"/>
      <c r="R1033" s="61"/>
      <c r="S1033" s="61"/>
      <c r="T1033" s="61"/>
      <c r="U1033" s="61"/>
      <c r="V1033" s="61"/>
      <c r="W1033" s="61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</row>
    <row r="1034" spans="1:36" ht="11.25" customHeight="1" x14ac:dyDescent="0.2">
      <c r="A1034" s="57" t="s">
        <v>21</v>
      </c>
      <c r="B1034" s="57" t="s">
        <v>35</v>
      </c>
      <c r="C1034" s="57" t="s">
        <v>36</v>
      </c>
      <c r="D1034" s="57" t="s">
        <v>42</v>
      </c>
      <c r="E1034" s="57" t="s">
        <v>25</v>
      </c>
      <c r="F1034" s="57" t="s">
        <v>25</v>
      </c>
      <c r="G1034" s="57" t="s">
        <v>25</v>
      </c>
      <c r="H1034" s="57" t="s">
        <v>25</v>
      </c>
      <c r="I1034" s="82">
        <v>44166</v>
      </c>
      <c r="J1034" s="83">
        <f ca="1">EFEITO!$J$1034*EFEITO!$Y$1034</f>
        <v>3284034.5858655423</v>
      </c>
      <c r="K1034" s="83">
        <f>EFEITO!$L$1034*EFEITO!$Z$1034</f>
        <v>0</v>
      </c>
      <c r="L1034" s="83">
        <f>EFEITO!$N$1034*EFEITO!$AA$1034</f>
        <v>0</v>
      </c>
      <c r="M1034" s="83">
        <f ca="1">$J$1034-EFEITO!$K$1034*EFEITO!$Y$1034</f>
        <v>0</v>
      </c>
      <c r="N1034" s="83">
        <f>$K$1034-EFEITO!$M$1034*EFEITO!$Z$1034</f>
        <v>0</v>
      </c>
      <c r="O1034" s="83">
        <f>$L$1034-EFEITO!$O$1034*EFEITO!$AA$1034</f>
        <v>0</v>
      </c>
      <c r="P1034" s="61"/>
      <c r="Q1034" s="61"/>
      <c r="R1034" s="61"/>
      <c r="S1034" s="61"/>
      <c r="T1034" s="61"/>
      <c r="U1034" s="61"/>
      <c r="V1034" s="61"/>
      <c r="W1034" s="61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</row>
    <row r="1035" spans="1:36" ht="11.25" customHeight="1" x14ac:dyDescent="0.2">
      <c r="A1035" s="57" t="s">
        <v>27</v>
      </c>
      <c r="B1035" s="57" t="s">
        <v>35</v>
      </c>
      <c r="C1035" s="57" t="s">
        <v>36</v>
      </c>
      <c r="D1035" s="57" t="s">
        <v>42</v>
      </c>
      <c r="E1035" s="57" t="s">
        <v>25</v>
      </c>
      <c r="F1035" s="57" t="s">
        <v>25</v>
      </c>
      <c r="G1035" s="57" t="s">
        <v>25</v>
      </c>
      <c r="H1035" s="57" t="s">
        <v>25</v>
      </c>
      <c r="I1035" s="82">
        <v>44166</v>
      </c>
      <c r="J1035" s="83">
        <f ca="1">EFEITO!$J$1035*EFEITO!$Y$1035</f>
        <v>-25799.95863235771</v>
      </c>
      <c r="K1035" s="83">
        <f>EFEITO!$L$1035*EFEITO!$Z$1035</f>
        <v>0</v>
      </c>
      <c r="L1035" s="83">
        <f>EFEITO!$N$1035*EFEITO!$AA$1035</f>
        <v>0</v>
      </c>
      <c r="M1035" s="83">
        <f ca="1">$J$1035-EFEITO!$K$1035*EFEITO!$Y$1035</f>
        <v>0</v>
      </c>
      <c r="N1035" s="83">
        <f>$K$1035-EFEITO!$M$1035*EFEITO!$Z$1035</f>
        <v>0</v>
      </c>
      <c r="O1035" s="83">
        <f>$L$1035-EFEITO!$O$1035*EFEITO!$AA$1035</f>
        <v>0</v>
      </c>
      <c r="P1035" s="61"/>
      <c r="Q1035" s="61"/>
      <c r="R1035" s="61"/>
      <c r="S1035" s="61"/>
      <c r="T1035" s="61"/>
      <c r="U1035" s="61"/>
      <c r="V1035" s="61"/>
      <c r="W1035" s="61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</row>
    <row r="1036" spans="1:36" ht="11.25" customHeight="1" x14ac:dyDescent="0.2">
      <c r="A1036" s="57" t="s">
        <v>28</v>
      </c>
      <c r="B1036" s="57" t="s">
        <v>35</v>
      </c>
      <c r="C1036" s="57" t="s">
        <v>36</v>
      </c>
      <c r="D1036" s="57" t="s">
        <v>42</v>
      </c>
      <c r="E1036" s="57" t="s">
        <v>25</v>
      </c>
      <c r="F1036" s="57" t="s">
        <v>25</v>
      </c>
      <c r="G1036" s="57" t="s">
        <v>25</v>
      </c>
      <c r="H1036" s="57" t="s">
        <v>25</v>
      </c>
      <c r="I1036" s="82">
        <v>44166</v>
      </c>
      <c r="J1036" s="83">
        <f ca="1">EFEITO!$J$1036*EFEITO!$Y$1036</f>
        <v>388180.81323461968</v>
      </c>
      <c r="K1036" s="83">
        <f>EFEITO!$L$1036*EFEITO!$Z$1036</f>
        <v>0</v>
      </c>
      <c r="L1036" s="83">
        <f>EFEITO!$N$1036*EFEITO!$AA$1036</f>
        <v>0</v>
      </c>
      <c r="M1036" s="83">
        <f ca="1">$J$1036-EFEITO!$K$1036*EFEITO!$Y$1036</f>
        <v>0</v>
      </c>
      <c r="N1036" s="83">
        <f>$K$1036-EFEITO!$M$1036*EFEITO!$Z$1036</f>
        <v>0</v>
      </c>
      <c r="O1036" s="83">
        <f>$L$1036-EFEITO!$O$1036*EFEITO!$AA$1036</f>
        <v>0</v>
      </c>
      <c r="P1036" s="61"/>
      <c r="Q1036" s="61"/>
      <c r="R1036" s="61"/>
      <c r="S1036" s="61"/>
      <c r="T1036" s="61"/>
      <c r="U1036" s="61"/>
      <c r="V1036" s="61"/>
      <c r="W1036" s="61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</row>
    <row r="1037" spans="1:36" ht="11.25" customHeight="1" x14ac:dyDescent="0.2">
      <c r="A1037" s="57" t="s">
        <v>30</v>
      </c>
      <c r="B1037" s="57" t="s">
        <v>35</v>
      </c>
      <c r="C1037" s="57" t="s">
        <v>36</v>
      </c>
      <c r="D1037" s="57" t="s">
        <v>42</v>
      </c>
      <c r="E1037" s="57" t="s">
        <v>25</v>
      </c>
      <c r="F1037" s="57" t="s">
        <v>25</v>
      </c>
      <c r="G1037" s="57" t="s">
        <v>25</v>
      </c>
      <c r="H1037" s="57" t="s">
        <v>25</v>
      </c>
      <c r="I1037" s="82">
        <v>44166</v>
      </c>
      <c r="J1037" s="83">
        <f ca="1">EFEITO!$J$1037*EFEITO!$Y$1037</f>
        <v>53068.726790814995</v>
      </c>
      <c r="K1037" s="83">
        <f>EFEITO!$L$1037*EFEITO!$Z$1037</f>
        <v>0</v>
      </c>
      <c r="L1037" s="83">
        <f>EFEITO!$N$1037*EFEITO!$AA$1037</f>
        <v>0</v>
      </c>
      <c r="M1037" s="83">
        <f ca="1">$J$1037-EFEITO!$K$1037*EFEITO!$Y$1037</f>
        <v>0</v>
      </c>
      <c r="N1037" s="83">
        <f>$K$1037-EFEITO!$M$1037*EFEITO!$Z$1037</f>
        <v>0</v>
      </c>
      <c r="O1037" s="83">
        <f>$L$1037-EFEITO!$O$1037*EFEITO!$AA$1037</f>
        <v>0</v>
      </c>
      <c r="P1037" s="61"/>
      <c r="Q1037" s="61"/>
      <c r="R1037" s="61"/>
      <c r="S1037" s="61"/>
      <c r="T1037" s="61"/>
      <c r="U1037" s="61"/>
      <c r="V1037" s="61"/>
      <c r="W1037" s="61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</row>
    <row r="1038" spans="1:36" ht="11.25" customHeight="1" x14ac:dyDescent="0.2">
      <c r="A1038" s="57" t="s">
        <v>21</v>
      </c>
      <c r="B1038" s="57" t="s">
        <v>35</v>
      </c>
      <c r="C1038" s="57" t="s">
        <v>36</v>
      </c>
      <c r="D1038" s="57" t="s">
        <v>42</v>
      </c>
      <c r="E1038" s="57" t="s">
        <v>25</v>
      </c>
      <c r="F1038" s="57" t="s">
        <v>25</v>
      </c>
      <c r="G1038" s="57" t="s">
        <v>25</v>
      </c>
      <c r="H1038" s="57" t="s">
        <v>25</v>
      </c>
      <c r="I1038" s="82">
        <v>44197</v>
      </c>
      <c r="J1038" s="83">
        <f ca="1">EFEITO!$J$1038*EFEITO!$Y$1038</f>
        <v>3281639.7877251627</v>
      </c>
      <c r="K1038" s="83">
        <f>EFEITO!$L$1038*EFEITO!$Z$1038</f>
        <v>0</v>
      </c>
      <c r="L1038" s="83">
        <f>EFEITO!$N$1038*EFEITO!$AA$1038</f>
        <v>0</v>
      </c>
      <c r="M1038" s="83">
        <f ca="1">$J$1038-EFEITO!$K$1038*EFEITO!$Y$1038</f>
        <v>0</v>
      </c>
      <c r="N1038" s="83">
        <f>$K$1038-EFEITO!$M$1038*EFEITO!$Z$1038</f>
        <v>0</v>
      </c>
      <c r="O1038" s="83">
        <f>$L$1038-EFEITO!$O$1038*EFEITO!$AA$1038</f>
        <v>0</v>
      </c>
      <c r="P1038" s="61"/>
      <c r="Q1038" s="61"/>
      <c r="R1038" s="61"/>
      <c r="S1038" s="61"/>
      <c r="T1038" s="61"/>
      <c r="U1038" s="61"/>
      <c r="V1038" s="61"/>
      <c r="W1038" s="61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</row>
    <row r="1039" spans="1:36" ht="11.25" customHeight="1" x14ac:dyDescent="0.2">
      <c r="A1039" s="57" t="s">
        <v>27</v>
      </c>
      <c r="B1039" s="57" t="s">
        <v>35</v>
      </c>
      <c r="C1039" s="57" t="s">
        <v>36</v>
      </c>
      <c r="D1039" s="57" t="s">
        <v>42</v>
      </c>
      <c r="E1039" s="57" t="s">
        <v>25</v>
      </c>
      <c r="F1039" s="57" t="s">
        <v>25</v>
      </c>
      <c r="G1039" s="57" t="s">
        <v>25</v>
      </c>
      <c r="H1039" s="57" t="s">
        <v>25</v>
      </c>
      <c r="I1039" s="82">
        <v>44197</v>
      </c>
      <c r="J1039" s="83">
        <f ca="1">EFEITO!$J$1039*EFEITO!$Y$1039</f>
        <v>-7503.7008398565122</v>
      </c>
      <c r="K1039" s="83">
        <f>EFEITO!$L$1039*EFEITO!$Z$1039</f>
        <v>0</v>
      </c>
      <c r="L1039" s="83">
        <f>EFEITO!$N$1039*EFEITO!$AA$1039</f>
        <v>0</v>
      </c>
      <c r="M1039" s="83">
        <f ca="1">$J$1039-EFEITO!$K$1039*EFEITO!$Y$1039</f>
        <v>0</v>
      </c>
      <c r="N1039" s="83">
        <f>$K$1039-EFEITO!$M$1039*EFEITO!$Z$1039</f>
        <v>0</v>
      </c>
      <c r="O1039" s="83">
        <f>$L$1039-EFEITO!$O$1039*EFEITO!$AA$1039</f>
        <v>0</v>
      </c>
      <c r="P1039" s="61"/>
      <c r="Q1039" s="61"/>
      <c r="R1039" s="61"/>
      <c r="S1039" s="61"/>
      <c r="T1039" s="61"/>
      <c r="U1039" s="61"/>
      <c r="V1039" s="61"/>
      <c r="W1039" s="61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</row>
    <row r="1040" spans="1:36" ht="11.25" customHeight="1" x14ac:dyDescent="0.2">
      <c r="A1040" s="57" t="s">
        <v>28</v>
      </c>
      <c r="B1040" s="57" t="s">
        <v>35</v>
      </c>
      <c r="C1040" s="57" t="s">
        <v>36</v>
      </c>
      <c r="D1040" s="57" t="s">
        <v>42</v>
      </c>
      <c r="E1040" s="57" t="s">
        <v>25</v>
      </c>
      <c r="F1040" s="57" t="s">
        <v>25</v>
      </c>
      <c r="G1040" s="57" t="s">
        <v>25</v>
      </c>
      <c r="H1040" s="57" t="s">
        <v>25</v>
      </c>
      <c r="I1040" s="82">
        <v>44197</v>
      </c>
      <c r="J1040" s="83">
        <f ca="1">EFEITO!$J$1040*EFEITO!$Y$1040</f>
        <v>398909.50890352088</v>
      </c>
      <c r="K1040" s="83">
        <f>EFEITO!$L$1040*EFEITO!$Z$1040</f>
        <v>0</v>
      </c>
      <c r="L1040" s="83">
        <f>EFEITO!$N$1040*EFEITO!$AA$1040</f>
        <v>0</v>
      </c>
      <c r="M1040" s="83">
        <f ca="1">$J$1040-EFEITO!$K$1040*EFEITO!$Y$1040</f>
        <v>0</v>
      </c>
      <c r="N1040" s="83">
        <f>$K$1040-EFEITO!$M$1040*EFEITO!$Z$1040</f>
        <v>0</v>
      </c>
      <c r="O1040" s="83">
        <f>$L$1040-EFEITO!$O$1040*EFEITO!$AA$1040</f>
        <v>0</v>
      </c>
      <c r="P1040" s="61"/>
      <c r="Q1040" s="61"/>
      <c r="R1040" s="61"/>
      <c r="S1040" s="61"/>
      <c r="T1040" s="61"/>
      <c r="U1040" s="61"/>
      <c r="V1040" s="61"/>
      <c r="W1040" s="61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</row>
    <row r="1041" spans="1:36" ht="11.25" customHeight="1" x14ac:dyDescent="0.2">
      <c r="A1041" s="57" t="s">
        <v>29</v>
      </c>
      <c r="B1041" s="57" t="s">
        <v>35</v>
      </c>
      <c r="C1041" s="57" t="s">
        <v>36</v>
      </c>
      <c r="D1041" s="57" t="s">
        <v>42</v>
      </c>
      <c r="E1041" s="57" t="s">
        <v>25</v>
      </c>
      <c r="F1041" s="57" t="s">
        <v>25</v>
      </c>
      <c r="G1041" s="57" t="s">
        <v>25</v>
      </c>
      <c r="H1041" s="57" t="s">
        <v>25</v>
      </c>
      <c r="I1041" s="82">
        <v>44197</v>
      </c>
      <c r="J1041" s="83">
        <f ca="1">EFEITO!$J$1041*EFEITO!$Y$1041</f>
        <v>-118686.19583721981</v>
      </c>
      <c r="K1041" s="83">
        <f>EFEITO!$L$1041*EFEITO!$Z$1041</f>
        <v>0</v>
      </c>
      <c r="L1041" s="83">
        <f>EFEITO!$N$1041*EFEITO!$AA$1041</f>
        <v>0</v>
      </c>
      <c r="M1041" s="83">
        <f ca="1">$J$1041-EFEITO!$K$1041*EFEITO!$Y$1041</f>
        <v>0</v>
      </c>
      <c r="N1041" s="83">
        <f>$K$1041-EFEITO!$M$1041*EFEITO!$Z$1041</f>
        <v>0</v>
      </c>
      <c r="O1041" s="83">
        <f>$L$1041-EFEITO!$O$1041*EFEITO!$AA$1041</f>
        <v>0</v>
      </c>
      <c r="P1041" s="61"/>
      <c r="Q1041" s="61"/>
      <c r="R1041" s="61"/>
      <c r="S1041" s="61"/>
      <c r="T1041" s="61"/>
      <c r="U1041" s="61"/>
      <c r="V1041" s="61"/>
      <c r="W1041" s="61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</row>
    <row r="1042" spans="1:36" ht="11.25" customHeight="1" x14ac:dyDescent="0.2">
      <c r="A1042" s="57" t="s">
        <v>30</v>
      </c>
      <c r="B1042" s="57" t="s">
        <v>35</v>
      </c>
      <c r="C1042" s="57" t="s">
        <v>36</v>
      </c>
      <c r="D1042" s="57" t="s">
        <v>42</v>
      </c>
      <c r="E1042" s="57" t="s">
        <v>25</v>
      </c>
      <c r="F1042" s="57" t="s">
        <v>25</v>
      </c>
      <c r="G1042" s="57" t="s">
        <v>25</v>
      </c>
      <c r="H1042" s="57" t="s">
        <v>25</v>
      </c>
      <c r="I1042" s="82">
        <v>44197</v>
      </c>
      <c r="J1042" s="83">
        <f ca="1">EFEITO!$J$1042*EFEITO!$Y$1042</f>
        <v>53419.96385140402</v>
      </c>
      <c r="K1042" s="83">
        <f>EFEITO!$L$1042*EFEITO!$Z$1042</f>
        <v>0</v>
      </c>
      <c r="L1042" s="83">
        <f>EFEITO!$N$1042*EFEITO!$AA$1042</f>
        <v>0</v>
      </c>
      <c r="M1042" s="83">
        <f ca="1">$J$1042-EFEITO!$K$1042*EFEITO!$Y$1042</f>
        <v>0</v>
      </c>
      <c r="N1042" s="83">
        <f>$K$1042-EFEITO!$M$1042*EFEITO!$Z$1042</f>
        <v>0</v>
      </c>
      <c r="O1042" s="83">
        <f>$L$1042-EFEITO!$O$1042*EFEITO!$AA$1042</f>
        <v>0</v>
      </c>
      <c r="P1042" s="61"/>
      <c r="Q1042" s="61"/>
      <c r="R1042" s="61"/>
      <c r="S1042" s="61"/>
      <c r="T1042" s="61"/>
      <c r="U1042" s="61"/>
      <c r="V1042" s="61"/>
      <c r="W1042" s="61"/>
      <c r="X1042" s="6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</row>
    <row r="1043" spans="1:36" ht="11.25" customHeight="1" x14ac:dyDescent="0.2">
      <c r="A1043" s="57" t="s">
        <v>21</v>
      </c>
      <c r="B1043" s="57" t="s">
        <v>35</v>
      </c>
      <c r="C1043" s="57" t="s">
        <v>36</v>
      </c>
      <c r="D1043" s="57" t="s">
        <v>42</v>
      </c>
      <c r="E1043" s="57" t="s">
        <v>25</v>
      </c>
      <c r="F1043" s="57" t="s">
        <v>25</v>
      </c>
      <c r="G1043" s="57" t="s">
        <v>25</v>
      </c>
      <c r="H1043" s="57" t="s">
        <v>25</v>
      </c>
      <c r="I1043" s="82">
        <v>44228</v>
      </c>
      <c r="J1043" s="83">
        <f ca="1">EFEITO!$J$1043*EFEITO!$Y$1043</f>
        <v>3225090.6209703288</v>
      </c>
      <c r="K1043" s="83">
        <f>EFEITO!$L$1043*EFEITO!$Z$1043</f>
        <v>0</v>
      </c>
      <c r="L1043" s="83">
        <f>EFEITO!$N$1043*EFEITO!$AA$1043</f>
        <v>0</v>
      </c>
      <c r="M1043" s="83">
        <f ca="1">$J$1043-EFEITO!$K$1043*EFEITO!$Y$1043</f>
        <v>0</v>
      </c>
      <c r="N1043" s="83">
        <f>$K$1043-EFEITO!$M$1043*EFEITO!$Z$1043</f>
        <v>0</v>
      </c>
      <c r="O1043" s="83">
        <f>$L$1043-EFEITO!$O$1043*EFEITO!$AA$1043</f>
        <v>0</v>
      </c>
      <c r="P1043" s="61"/>
      <c r="Q1043" s="61"/>
      <c r="R1043" s="61"/>
      <c r="S1043" s="61"/>
      <c r="T1043" s="61"/>
      <c r="U1043" s="61"/>
      <c r="V1043" s="61"/>
      <c r="W1043" s="61"/>
      <c r="X1043" s="6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</row>
    <row r="1044" spans="1:36" ht="11.25" customHeight="1" x14ac:dyDescent="0.2">
      <c r="A1044" s="57" t="s">
        <v>27</v>
      </c>
      <c r="B1044" s="57" t="s">
        <v>35</v>
      </c>
      <c r="C1044" s="57" t="s">
        <v>36</v>
      </c>
      <c r="D1044" s="57" t="s">
        <v>42</v>
      </c>
      <c r="E1044" s="57" t="s">
        <v>25</v>
      </c>
      <c r="F1044" s="57" t="s">
        <v>25</v>
      </c>
      <c r="G1044" s="57" t="s">
        <v>25</v>
      </c>
      <c r="H1044" s="57" t="s">
        <v>25</v>
      </c>
      <c r="I1044" s="82">
        <v>44228</v>
      </c>
      <c r="J1044" s="83">
        <f ca="1">EFEITO!$J$1044*EFEITO!$Y$1044</f>
        <v>-91385.497036890796</v>
      </c>
      <c r="K1044" s="83">
        <f>EFEITO!$L$1044*EFEITO!$Z$1044</f>
        <v>0</v>
      </c>
      <c r="L1044" s="83">
        <f>EFEITO!$N$1044*EFEITO!$AA$1044</f>
        <v>0</v>
      </c>
      <c r="M1044" s="83">
        <f ca="1">$J$1044-EFEITO!$K$1044*EFEITO!$Y$1044</f>
        <v>0</v>
      </c>
      <c r="N1044" s="83">
        <f>$K$1044-EFEITO!$M$1044*EFEITO!$Z$1044</f>
        <v>0</v>
      </c>
      <c r="O1044" s="83">
        <f>$L$1044-EFEITO!$O$1044*EFEITO!$AA$1044</f>
        <v>0</v>
      </c>
      <c r="P1044" s="61"/>
      <c r="Q1044" s="61"/>
      <c r="R1044" s="61"/>
      <c r="S1044" s="61"/>
      <c r="T1044" s="61"/>
      <c r="U1044" s="61"/>
      <c r="V1044" s="61"/>
      <c r="W1044" s="61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</row>
    <row r="1045" spans="1:36" ht="11.25" customHeight="1" x14ac:dyDescent="0.2">
      <c r="A1045" s="57" t="s">
        <v>28</v>
      </c>
      <c r="B1045" s="57" t="s">
        <v>35</v>
      </c>
      <c r="C1045" s="57" t="s">
        <v>36</v>
      </c>
      <c r="D1045" s="57" t="s">
        <v>42</v>
      </c>
      <c r="E1045" s="57" t="s">
        <v>25</v>
      </c>
      <c r="F1045" s="57" t="s">
        <v>25</v>
      </c>
      <c r="G1045" s="57" t="s">
        <v>25</v>
      </c>
      <c r="H1045" s="57" t="s">
        <v>25</v>
      </c>
      <c r="I1045" s="82">
        <v>44228</v>
      </c>
      <c r="J1045" s="83">
        <f ca="1">EFEITO!$J$1045*EFEITO!$Y$1045</f>
        <v>382720.67347455386</v>
      </c>
      <c r="K1045" s="83">
        <f>EFEITO!$L$1045*EFEITO!$Z$1045</f>
        <v>0</v>
      </c>
      <c r="L1045" s="83">
        <f>EFEITO!$N$1045*EFEITO!$AA$1045</f>
        <v>0</v>
      </c>
      <c r="M1045" s="83">
        <f ca="1">$J$1045-EFEITO!$K$1045*EFEITO!$Y$1045</f>
        <v>0</v>
      </c>
      <c r="N1045" s="83">
        <f>$K$1045-EFEITO!$M$1045*EFEITO!$Z$1045</f>
        <v>0</v>
      </c>
      <c r="O1045" s="83">
        <f>$L$1045-EFEITO!$O$1045*EFEITO!$AA$1045</f>
        <v>0</v>
      </c>
      <c r="P1045" s="61"/>
      <c r="Q1045" s="61"/>
      <c r="R1045" s="61"/>
      <c r="S1045" s="61"/>
      <c r="T1045" s="61"/>
      <c r="U1045" s="61"/>
      <c r="V1045" s="61"/>
      <c r="W1045" s="61"/>
      <c r="X1045" s="6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</row>
    <row r="1046" spans="1:36" ht="11.25" customHeight="1" x14ac:dyDescent="0.2">
      <c r="A1046" s="57" t="s">
        <v>29</v>
      </c>
      <c r="B1046" s="57" t="s">
        <v>35</v>
      </c>
      <c r="C1046" s="57" t="s">
        <v>36</v>
      </c>
      <c r="D1046" s="57" t="s">
        <v>42</v>
      </c>
      <c r="E1046" s="57" t="s">
        <v>25</v>
      </c>
      <c r="F1046" s="57" t="s">
        <v>25</v>
      </c>
      <c r="G1046" s="57" t="s">
        <v>25</v>
      </c>
      <c r="H1046" s="57" t="s">
        <v>25</v>
      </c>
      <c r="I1046" s="82">
        <v>44228</v>
      </c>
      <c r="J1046" s="83">
        <f ca="1">EFEITO!$J$1046*EFEITO!$Y$1046</f>
        <v>-16316.557996453948</v>
      </c>
      <c r="K1046" s="83">
        <f>EFEITO!$L$1046*EFEITO!$Z$1046</f>
        <v>0</v>
      </c>
      <c r="L1046" s="83">
        <f>EFEITO!$N$1046*EFEITO!$AA$1046</f>
        <v>0</v>
      </c>
      <c r="M1046" s="83">
        <f ca="1">$J$1046-EFEITO!$K$1046*EFEITO!$Y$1046</f>
        <v>0</v>
      </c>
      <c r="N1046" s="83">
        <f>$K$1046-EFEITO!$M$1046*EFEITO!$Z$1046</f>
        <v>0</v>
      </c>
      <c r="O1046" s="83">
        <f>$L$1046-EFEITO!$O$1046*EFEITO!$AA$1046</f>
        <v>0</v>
      </c>
      <c r="P1046" s="61"/>
      <c r="Q1046" s="61"/>
      <c r="R1046" s="61"/>
      <c r="S1046" s="61"/>
      <c r="T1046" s="61"/>
      <c r="U1046" s="61"/>
      <c r="V1046" s="61"/>
      <c r="W1046" s="61"/>
      <c r="X1046" s="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</row>
    <row r="1047" spans="1:36" ht="11.25" customHeight="1" x14ac:dyDescent="0.2">
      <c r="A1047" s="57" t="s">
        <v>30</v>
      </c>
      <c r="B1047" s="57" t="s">
        <v>35</v>
      </c>
      <c r="C1047" s="57" t="s">
        <v>36</v>
      </c>
      <c r="D1047" s="57" t="s">
        <v>42</v>
      </c>
      <c r="E1047" s="57" t="s">
        <v>25</v>
      </c>
      <c r="F1047" s="57" t="s">
        <v>25</v>
      </c>
      <c r="G1047" s="57" t="s">
        <v>25</v>
      </c>
      <c r="H1047" s="57" t="s">
        <v>25</v>
      </c>
      <c r="I1047" s="82">
        <v>44228</v>
      </c>
      <c r="J1047" s="83">
        <f ca="1">EFEITO!$J$1047*EFEITO!$Y$1047</f>
        <v>54473.675033171108</v>
      </c>
      <c r="K1047" s="83">
        <f>EFEITO!$L$1047*EFEITO!$Z$1047</f>
        <v>0</v>
      </c>
      <c r="L1047" s="83">
        <f>EFEITO!$N$1047*EFEITO!$AA$1047</f>
        <v>0</v>
      </c>
      <c r="M1047" s="83">
        <f ca="1">$J$1047-EFEITO!$K$1047*EFEITO!$Y$1047</f>
        <v>0</v>
      </c>
      <c r="N1047" s="83">
        <f>$K$1047-EFEITO!$M$1047*EFEITO!$Z$1047</f>
        <v>0</v>
      </c>
      <c r="O1047" s="83">
        <f>$L$1047-EFEITO!$O$1047*EFEITO!$AA$1047</f>
        <v>0</v>
      </c>
      <c r="P1047" s="61"/>
      <c r="Q1047" s="61"/>
      <c r="R1047" s="61"/>
      <c r="S1047" s="61"/>
      <c r="T1047" s="61"/>
      <c r="U1047" s="61"/>
      <c r="V1047" s="61"/>
      <c r="W1047" s="61"/>
      <c r="X1047" s="6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</row>
    <row r="1048" spans="1:36" ht="11.25" customHeight="1" x14ac:dyDescent="0.2">
      <c r="A1048" s="57" t="s">
        <v>21</v>
      </c>
      <c r="B1048" s="57" t="s">
        <v>35</v>
      </c>
      <c r="C1048" s="57" t="s">
        <v>36</v>
      </c>
      <c r="D1048" s="57" t="s">
        <v>42</v>
      </c>
      <c r="E1048" s="57" t="s">
        <v>25</v>
      </c>
      <c r="F1048" s="57" t="s">
        <v>25</v>
      </c>
      <c r="G1048" s="57" t="s">
        <v>25</v>
      </c>
      <c r="H1048" s="57" t="s">
        <v>25</v>
      </c>
      <c r="I1048" s="82">
        <v>44256</v>
      </c>
      <c r="J1048" s="83">
        <f ca="1">EFEITO!$J$1048*EFEITO!$Y$1048</f>
        <v>3225186.4128959444</v>
      </c>
      <c r="K1048" s="83">
        <f>EFEITO!$L$1048*EFEITO!$Z$1048</f>
        <v>0</v>
      </c>
      <c r="L1048" s="83">
        <f>EFEITO!$N$1048*EFEITO!$AA$1048</f>
        <v>0</v>
      </c>
      <c r="M1048" s="83">
        <f ca="1">$J$1048-EFEITO!$K$1048*EFEITO!$Y$1048</f>
        <v>0</v>
      </c>
      <c r="N1048" s="83">
        <f>$K$1048-EFEITO!$M$1048*EFEITO!$Z$1048</f>
        <v>0</v>
      </c>
      <c r="O1048" s="83">
        <f>$L$1048-EFEITO!$O$1048*EFEITO!$AA$1048</f>
        <v>0</v>
      </c>
      <c r="P1048" s="61"/>
      <c r="Q1048" s="61"/>
      <c r="R1048" s="61"/>
      <c r="S1048" s="61"/>
      <c r="T1048" s="61"/>
      <c r="U1048" s="61"/>
      <c r="V1048" s="61"/>
      <c r="W1048" s="61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</row>
    <row r="1049" spans="1:36" ht="11.25" customHeight="1" x14ac:dyDescent="0.2">
      <c r="A1049" s="57" t="s">
        <v>28</v>
      </c>
      <c r="B1049" s="57" t="s">
        <v>35</v>
      </c>
      <c r="C1049" s="57" t="s">
        <v>36</v>
      </c>
      <c r="D1049" s="57" t="s">
        <v>42</v>
      </c>
      <c r="E1049" s="57" t="s">
        <v>25</v>
      </c>
      <c r="F1049" s="57" t="s">
        <v>25</v>
      </c>
      <c r="G1049" s="57" t="s">
        <v>25</v>
      </c>
      <c r="H1049" s="57" t="s">
        <v>25</v>
      </c>
      <c r="I1049" s="82">
        <v>44256</v>
      </c>
      <c r="J1049" s="83">
        <f ca="1">EFEITO!$J$1049*EFEITO!$Y$1049</f>
        <v>393417.43850158335</v>
      </c>
      <c r="K1049" s="83">
        <f>EFEITO!$L$1049*EFEITO!$Z$1049</f>
        <v>0</v>
      </c>
      <c r="L1049" s="83">
        <f>EFEITO!$N$1049*EFEITO!$AA$1049</f>
        <v>0</v>
      </c>
      <c r="M1049" s="83">
        <f ca="1">$J$1049-EFEITO!$K$1049*EFEITO!$Y$1049</f>
        <v>0</v>
      </c>
      <c r="N1049" s="83">
        <f>$K$1049-EFEITO!$M$1049*EFEITO!$Z$1049</f>
        <v>0</v>
      </c>
      <c r="O1049" s="83">
        <f>$L$1049-EFEITO!$O$1049*EFEITO!$AA$1049</f>
        <v>0</v>
      </c>
      <c r="P1049" s="61"/>
      <c r="Q1049" s="61"/>
      <c r="R1049" s="61"/>
      <c r="S1049" s="61"/>
      <c r="T1049" s="61"/>
      <c r="U1049" s="61"/>
      <c r="V1049" s="61"/>
      <c r="W1049" s="61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</row>
    <row r="1050" spans="1:36" ht="11.25" customHeight="1" x14ac:dyDescent="0.2">
      <c r="A1050" s="57" t="s">
        <v>29</v>
      </c>
      <c r="B1050" s="57" t="s">
        <v>35</v>
      </c>
      <c r="C1050" s="57" t="s">
        <v>36</v>
      </c>
      <c r="D1050" s="57" t="s">
        <v>42</v>
      </c>
      <c r="E1050" s="57" t="s">
        <v>25</v>
      </c>
      <c r="F1050" s="57" t="s">
        <v>25</v>
      </c>
      <c r="G1050" s="57" t="s">
        <v>25</v>
      </c>
      <c r="H1050" s="57" t="s">
        <v>25</v>
      </c>
      <c r="I1050" s="82">
        <v>44256</v>
      </c>
      <c r="J1050" s="83">
        <f ca="1">EFEITO!$J$1050*EFEITO!$Y$1050</f>
        <v>-8780.9265147257065</v>
      </c>
      <c r="K1050" s="83">
        <f>EFEITO!$L$1050*EFEITO!$Z$1050</f>
        <v>0</v>
      </c>
      <c r="L1050" s="83">
        <f>EFEITO!$N$1050*EFEITO!$AA$1050</f>
        <v>0</v>
      </c>
      <c r="M1050" s="83">
        <f ca="1">$J$1050-EFEITO!$K$1050*EFEITO!$Y$1050</f>
        <v>0</v>
      </c>
      <c r="N1050" s="83">
        <f>$K$1050-EFEITO!$M$1050*EFEITO!$Z$1050</f>
        <v>0</v>
      </c>
      <c r="O1050" s="83">
        <f>$L$1050-EFEITO!$O$1050*EFEITO!$AA$1050</f>
        <v>0</v>
      </c>
      <c r="P1050" s="61"/>
      <c r="Q1050" s="61"/>
      <c r="R1050" s="61"/>
      <c r="S1050" s="61"/>
      <c r="T1050" s="61"/>
      <c r="U1050" s="61"/>
      <c r="V1050" s="61"/>
      <c r="W1050" s="61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</row>
    <row r="1051" spans="1:36" ht="11.25" customHeight="1" x14ac:dyDescent="0.2">
      <c r="A1051" s="57" t="s">
        <v>30</v>
      </c>
      <c r="B1051" s="57" t="s">
        <v>35</v>
      </c>
      <c r="C1051" s="57" t="s">
        <v>36</v>
      </c>
      <c r="D1051" s="57" t="s">
        <v>42</v>
      </c>
      <c r="E1051" s="57" t="s">
        <v>25</v>
      </c>
      <c r="F1051" s="57" t="s">
        <v>25</v>
      </c>
      <c r="G1051" s="57" t="s">
        <v>25</v>
      </c>
      <c r="H1051" s="57" t="s">
        <v>25</v>
      </c>
      <c r="I1051" s="82">
        <v>44256</v>
      </c>
      <c r="J1051" s="83">
        <f ca="1">EFEITO!$J$1051*EFEITO!$Y$1051</f>
        <v>55718.970066168571</v>
      </c>
      <c r="K1051" s="83">
        <f>EFEITO!$L$1051*EFEITO!$Z$1051</f>
        <v>0</v>
      </c>
      <c r="L1051" s="83">
        <f>EFEITO!$N$1051*EFEITO!$AA$1051</f>
        <v>0</v>
      </c>
      <c r="M1051" s="83">
        <f ca="1">$J$1051-EFEITO!$K$1051*EFEITO!$Y$1051</f>
        <v>0</v>
      </c>
      <c r="N1051" s="83">
        <f>$K$1051-EFEITO!$M$1051*EFEITO!$Z$1051</f>
        <v>0</v>
      </c>
      <c r="O1051" s="83">
        <f>$L$1051-EFEITO!$O$1051*EFEITO!$AA$1051</f>
        <v>0</v>
      </c>
      <c r="P1051" s="61"/>
      <c r="Q1051" s="61"/>
      <c r="R1051" s="61"/>
      <c r="S1051" s="61"/>
      <c r="T1051" s="61"/>
      <c r="U1051" s="61"/>
      <c r="V1051" s="61"/>
      <c r="W1051" s="61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</row>
    <row r="1052" spans="1:36" ht="11.25" customHeight="1" x14ac:dyDescent="0.2">
      <c r="A1052" s="57" t="s">
        <v>21</v>
      </c>
      <c r="B1052" s="57" t="s">
        <v>35</v>
      </c>
      <c r="C1052" s="57" t="s">
        <v>36</v>
      </c>
      <c r="D1052" s="57" t="s">
        <v>42</v>
      </c>
      <c r="E1052" s="57" t="s">
        <v>25</v>
      </c>
      <c r="F1052" s="57" t="s">
        <v>25</v>
      </c>
      <c r="G1052" s="57" t="s">
        <v>25</v>
      </c>
      <c r="H1052" s="57" t="s">
        <v>25</v>
      </c>
      <c r="I1052" s="82">
        <v>44287</v>
      </c>
      <c r="J1052" s="83">
        <f ca="1">EFEITO!$J$1052*EFEITO!$Y$1052</f>
        <v>3202483.7265251442</v>
      </c>
      <c r="K1052" s="83">
        <f>EFEITO!$L$1052*EFEITO!$Z$1052</f>
        <v>0</v>
      </c>
      <c r="L1052" s="83">
        <f>EFEITO!$N$1052*EFEITO!$AA$1052</f>
        <v>0</v>
      </c>
      <c r="M1052" s="83">
        <f ca="1">$J$1052-EFEITO!$K$1052*EFEITO!$Y$1052</f>
        <v>0</v>
      </c>
      <c r="N1052" s="83">
        <f>$K$1052-EFEITO!$M$1052*EFEITO!$Z$1052</f>
        <v>0</v>
      </c>
      <c r="O1052" s="83">
        <f>$L$1052-EFEITO!$O$1052*EFEITO!$AA$1052</f>
        <v>0</v>
      </c>
      <c r="P1052" s="61"/>
      <c r="Q1052" s="61"/>
      <c r="R1052" s="61"/>
      <c r="S1052" s="61"/>
      <c r="T1052" s="61"/>
      <c r="U1052" s="61"/>
      <c r="V1052" s="61"/>
      <c r="W1052" s="61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</row>
    <row r="1053" spans="1:36" ht="11.25" customHeight="1" x14ac:dyDescent="0.2">
      <c r="A1053" s="57" t="s">
        <v>27</v>
      </c>
      <c r="B1053" s="57" t="s">
        <v>35</v>
      </c>
      <c r="C1053" s="57" t="s">
        <v>36</v>
      </c>
      <c r="D1053" s="57" t="s">
        <v>42</v>
      </c>
      <c r="E1053" s="57" t="s">
        <v>25</v>
      </c>
      <c r="F1053" s="57" t="s">
        <v>25</v>
      </c>
      <c r="G1053" s="57" t="s">
        <v>25</v>
      </c>
      <c r="H1053" s="57" t="s">
        <v>25</v>
      </c>
      <c r="I1053" s="82">
        <v>44287</v>
      </c>
      <c r="J1053" s="83">
        <f ca="1">EFEITO!$J$1053*EFEITO!$Y$1053</f>
        <v>-4981.180131989855</v>
      </c>
      <c r="K1053" s="83">
        <f>EFEITO!$L$1053*EFEITO!$Z$1053</f>
        <v>0</v>
      </c>
      <c r="L1053" s="83">
        <f>EFEITO!$N$1053*EFEITO!$AA$1053</f>
        <v>0</v>
      </c>
      <c r="M1053" s="83">
        <f ca="1">$J$1053-EFEITO!$K$1053*EFEITO!$Y$1053</f>
        <v>0</v>
      </c>
      <c r="N1053" s="83">
        <f>$K$1053-EFEITO!$M$1053*EFEITO!$Z$1053</f>
        <v>0</v>
      </c>
      <c r="O1053" s="83">
        <f>$L$1053-EFEITO!$O$1053*EFEITO!$AA$1053</f>
        <v>0</v>
      </c>
      <c r="P1053" s="61"/>
      <c r="Q1053" s="61"/>
      <c r="R1053" s="61"/>
      <c r="S1053" s="61"/>
      <c r="T1053" s="61"/>
      <c r="U1053" s="61"/>
      <c r="V1053" s="61"/>
      <c r="W1053" s="61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</row>
    <row r="1054" spans="1:36" ht="11.25" customHeight="1" x14ac:dyDescent="0.2">
      <c r="A1054" s="57" t="s">
        <v>28</v>
      </c>
      <c r="B1054" s="57" t="s">
        <v>35</v>
      </c>
      <c r="C1054" s="57" t="s">
        <v>36</v>
      </c>
      <c r="D1054" s="57" t="s">
        <v>42</v>
      </c>
      <c r="E1054" s="57" t="s">
        <v>25</v>
      </c>
      <c r="F1054" s="57" t="s">
        <v>25</v>
      </c>
      <c r="G1054" s="57" t="s">
        <v>25</v>
      </c>
      <c r="H1054" s="57" t="s">
        <v>25</v>
      </c>
      <c r="I1054" s="82">
        <v>44287</v>
      </c>
      <c r="J1054" s="83">
        <f ca="1">EFEITO!$J$1054*EFEITO!$Y$1054</f>
        <v>350534.5864678502</v>
      </c>
      <c r="K1054" s="83">
        <f>EFEITO!$L$1054*EFEITO!$Z$1054</f>
        <v>0</v>
      </c>
      <c r="L1054" s="83">
        <f>EFEITO!$N$1054*EFEITO!$AA$1054</f>
        <v>0</v>
      </c>
      <c r="M1054" s="83">
        <f ca="1">$J$1054-EFEITO!$K$1054*EFEITO!$Y$1054</f>
        <v>0</v>
      </c>
      <c r="N1054" s="83">
        <f>$K$1054-EFEITO!$M$1054*EFEITO!$Z$1054</f>
        <v>0</v>
      </c>
      <c r="O1054" s="83">
        <f>$L$1054-EFEITO!$O$1054*EFEITO!$AA$1054</f>
        <v>0</v>
      </c>
      <c r="P1054" s="61"/>
      <c r="Q1054" s="61"/>
      <c r="R1054" s="61"/>
      <c r="S1054" s="61"/>
      <c r="T1054" s="61"/>
      <c r="U1054" s="61"/>
      <c r="V1054" s="61"/>
      <c r="W1054" s="61"/>
      <c r="X1054" s="6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</row>
    <row r="1055" spans="1:36" ht="11.25" customHeight="1" x14ac:dyDescent="0.2">
      <c r="A1055" s="57" t="s">
        <v>29</v>
      </c>
      <c r="B1055" s="57" t="s">
        <v>35</v>
      </c>
      <c r="C1055" s="57" t="s">
        <v>36</v>
      </c>
      <c r="D1055" s="57" t="s">
        <v>42</v>
      </c>
      <c r="E1055" s="57" t="s">
        <v>25</v>
      </c>
      <c r="F1055" s="57" t="s">
        <v>25</v>
      </c>
      <c r="G1055" s="57" t="s">
        <v>25</v>
      </c>
      <c r="H1055" s="57" t="s">
        <v>25</v>
      </c>
      <c r="I1055" s="82">
        <v>44287</v>
      </c>
      <c r="J1055" s="83">
        <f ca="1">EFEITO!$J$1055*EFEITO!$Y$1055</f>
        <v>-254678.79956891719</v>
      </c>
      <c r="K1055" s="83">
        <f>EFEITO!$L$1055*EFEITO!$Z$1055</f>
        <v>0</v>
      </c>
      <c r="L1055" s="83">
        <f>EFEITO!$N$1055*EFEITO!$AA$1055</f>
        <v>0</v>
      </c>
      <c r="M1055" s="83">
        <f ca="1">$J$1055-EFEITO!$K$1055*EFEITO!$Y$1055</f>
        <v>0</v>
      </c>
      <c r="N1055" s="83">
        <f>$K$1055-EFEITO!$M$1055*EFEITO!$Z$1055</f>
        <v>0</v>
      </c>
      <c r="O1055" s="83">
        <f>$L$1055-EFEITO!$O$1055*EFEITO!$AA$1055</f>
        <v>0</v>
      </c>
      <c r="P1055" s="61"/>
      <c r="Q1055" s="61"/>
      <c r="R1055" s="61"/>
      <c r="S1055" s="61"/>
      <c r="T1055" s="61"/>
      <c r="U1055" s="61"/>
      <c r="V1055" s="61"/>
      <c r="W1055" s="61"/>
      <c r="X1055" s="6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</row>
    <row r="1056" spans="1:36" ht="11.25" customHeight="1" x14ac:dyDescent="0.2">
      <c r="A1056" s="57" t="s">
        <v>30</v>
      </c>
      <c r="B1056" s="57" t="s">
        <v>35</v>
      </c>
      <c r="C1056" s="57" t="s">
        <v>36</v>
      </c>
      <c r="D1056" s="57" t="s">
        <v>42</v>
      </c>
      <c r="E1056" s="57" t="s">
        <v>25</v>
      </c>
      <c r="F1056" s="57" t="s">
        <v>25</v>
      </c>
      <c r="G1056" s="57" t="s">
        <v>25</v>
      </c>
      <c r="H1056" s="57" t="s">
        <v>25</v>
      </c>
      <c r="I1056" s="82">
        <v>44287</v>
      </c>
      <c r="J1056" s="83">
        <f ca="1">EFEITO!$J$1056*EFEITO!$Y$1056</f>
        <v>80880.315861091687</v>
      </c>
      <c r="K1056" s="83">
        <f>EFEITO!$L$1056*EFEITO!$Z$1056</f>
        <v>0</v>
      </c>
      <c r="L1056" s="83">
        <f>EFEITO!$N$1056*EFEITO!$AA$1056</f>
        <v>0</v>
      </c>
      <c r="M1056" s="83">
        <f ca="1">$J$1056-EFEITO!$K$1056*EFEITO!$Y$1056</f>
        <v>0</v>
      </c>
      <c r="N1056" s="83">
        <f>$K$1056-EFEITO!$M$1056*EFEITO!$Z$1056</f>
        <v>0</v>
      </c>
      <c r="O1056" s="83">
        <f>$L$1056-EFEITO!$O$1056*EFEITO!$AA$1056</f>
        <v>0</v>
      </c>
      <c r="P1056" s="61"/>
      <c r="Q1056" s="61"/>
      <c r="R1056" s="61"/>
      <c r="S1056" s="61"/>
      <c r="T1056" s="61"/>
      <c r="U1056" s="61"/>
      <c r="V1056" s="61"/>
      <c r="W1056" s="61"/>
      <c r="X1056" s="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</row>
    <row r="1057" spans="1:36" ht="11.25" customHeight="1" x14ac:dyDescent="0.2">
      <c r="A1057" s="57" t="s">
        <v>21</v>
      </c>
      <c r="B1057" s="57" t="s">
        <v>35</v>
      </c>
      <c r="C1057" s="57" t="s">
        <v>36</v>
      </c>
      <c r="D1057" s="57" t="s">
        <v>42</v>
      </c>
      <c r="E1057" s="57" t="s">
        <v>25</v>
      </c>
      <c r="F1057" s="57" t="s">
        <v>25</v>
      </c>
      <c r="G1057" s="57" t="s">
        <v>25</v>
      </c>
      <c r="H1057" s="57" t="s">
        <v>25</v>
      </c>
      <c r="I1057" s="82">
        <v>44317</v>
      </c>
      <c r="J1057" s="83">
        <f ca="1">EFEITO!$J$1057*EFEITO!$Y$1057</f>
        <v>3174001.5939755612</v>
      </c>
      <c r="K1057" s="83">
        <f>EFEITO!$L$1057*EFEITO!$Z$1057</f>
        <v>0</v>
      </c>
      <c r="L1057" s="83">
        <f>EFEITO!$N$1057*EFEITO!$AA$1057</f>
        <v>0</v>
      </c>
      <c r="M1057" s="83">
        <f ca="1">$J$1057-EFEITO!$K$1057*EFEITO!$Y$1057</f>
        <v>0</v>
      </c>
      <c r="N1057" s="83">
        <f>$K$1057-EFEITO!$M$1057*EFEITO!$Z$1057</f>
        <v>0</v>
      </c>
      <c r="O1057" s="83">
        <f>$L$1057-EFEITO!$O$1057*EFEITO!$AA$1057</f>
        <v>0</v>
      </c>
      <c r="P1057" s="61"/>
      <c r="Q1057" s="61"/>
      <c r="R1057" s="61"/>
      <c r="S1057" s="61"/>
      <c r="T1057" s="61"/>
      <c r="U1057" s="61"/>
      <c r="V1057" s="61"/>
      <c r="W1057" s="61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</row>
    <row r="1058" spans="1:36" ht="11.25" customHeight="1" x14ac:dyDescent="0.2">
      <c r="A1058" s="57" t="s">
        <v>27</v>
      </c>
      <c r="B1058" s="57" t="s">
        <v>35</v>
      </c>
      <c r="C1058" s="57" t="s">
        <v>36</v>
      </c>
      <c r="D1058" s="57" t="s">
        <v>42</v>
      </c>
      <c r="E1058" s="57" t="s">
        <v>25</v>
      </c>
      <c r="F1058" s="57" t="s">
        <v>25</v>
      </c>
      <c r="G1058" s="57" t="s">
        <v>25</v>
      </c>
      <c r="H1058" s="57" t="s">
        <v>25</v>
      </c>
      <c r="I1058" s="82">
        <v>44317</v>
      </c>
      <c r="J1058" s="83">
        <f ca="1">EFEITO!$J$1058*EFEITO!$Y$1058</f>
        <v>-43617.25679678296</v>
      </c>
      <c r="K1058" s="83">
        <f>EFEITO!$L$1058*EFEITO!$Z$1058</f>
        <v>0</v>
      </c>
      <c r="L1058" s="83">
        <f>EFEITO!$N$1058*EFEITO!$AA$1058</f>
        <v>0</v>
      </c>
      <c r="M1058" s="83">
        <f ca="1">$J$1058-EFEITO!$K$1058*EFEITO!$Y$1058</f>
        <v>0</v>
      </c>
      <c r="N1058" s="83">
        <f>$K$1058-EFEITO!$M$1058*EFEITO!$Z$1058</f>
        <v>0</v>
      </c>
      <c r="O1058" s="83">
        <f>$L$1058-EFEITO!$O$1058*EFEITO!$AA$1058</f>
        <v>0</v>
      </c>
      <c r="P1058" s="61"/>
      <c r="Q1058" s="61"/>
      <c r="R1058" s="61"/>
      <c r="S1058" s="61"/>
      <c r="T1058" s="61"/>
      <c r="U1058" s="61"/>
      <c r="V1058" s="61"/>
      <c r="W1058" s="61"/>
      <c r="X1058" s="6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</row>
    <row r="1059" spans="1:36" ht="11.25" customHeight="1" x14ac:dyDescent="0.2">
      <c r="A1059" s="57" t="s">
        <v>28</v>
      </c>
      <c r="B1059" s="57" t="s">
        <v>35</v>
      </c>
      <c r="C1059" s="57" t="s">
        <v>36</v>
      </c>
      <c r="D1059" s="57" t="s">
        <v>42</v>
      </c>
      <c r="E1059" s="57" t="s">
        <v>25</v>
      </c>
      <c r="F1059" s="57" t="s">
        <v>25</v>
      </c>
      <c r="G1059" s="57" t="s">
        <v>25</v>
      </c>
      <c r="H1059" s="57" t="s">
        <v>25</v>
      </c>
      <c r="I1059" s="82">
        <v>44317</v>
      </c>
      <c r="J1059" s="83">
        <f ca="1">EFEITO!$J$1059*EFEITO!$Y$1059</f>
        <v>336325.45083493041</v>
      </c>
      <c r="K1059" s="83">
        <f>EFEITO!$L$1059*EFEITO!$Z$1059</f>
        <v>0</v>
      </c>
      <c r="L1059" s="83">
        <f>EFEITO!$N$1059*EFEITO!$AA$1059</f>
        <v>0</v>
      </c>
      <c r="M1059" s="83">
        <f ca="1">$J$1059-EFEITO!$K$1059*EFEITO!$Y$1059</f>
        <v>0</v>
      </c>
      <c r="N1059" s="83">
        <f>$K$1059-EFEITO!$M$1059*EFEITO!$Z$1059</f>
        <v>0</v>
      </c>
      <c r="O1059" s="83">
        <f>$L$1059-EFEITO!$O$1059*EFEITO!$AA$1059</f>
        <v>0</v>
      </c>
      <c r="P1059" s="61"/>
      <c r="Q1059" s="61"/>
      <c r="R1059" s="61"/>
      <c r="S1059" s="61"/>
      <c r="T1059" s="61"/>
      <c r="U1059" s="61"/>
      <c r="V1059" s="61"/>
      <c r="W1059" s="61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</row>
    <row r="1060" spans="1:36" ht="11.25" customHeight="1" x14ac:dyDescent="0.2">
      <c r="A1060" s="57" t="s">
        <v>29</v>
      </c>
      <c r="B1060" s="57" t="s">
        <v>35</v>
      </c>
      <c r="C1060" s="57" t="s">
        <v>36</v>
      </c>
      <c r="D1060" s="57" t="s">
        <v>42</v>
      </c>
      <c r="E1060" s="57" t="s">
        <v>25</v>
      </c>
      <c r="F1060" s="57" t="s">
        <v>25</v>
      </c>
      <c r="G1060" s="57" t="s">
        <v>25</v>
      </c>
      <c r="H1060" s="57" t="s">
        <v>25</v>
      </c>
      <c r="I1060" s="82">
        <v>44317</v>
      </c>
      <c r="J1060" s="83">
        <f ca="1">EFEITO!$J$1060*EFEITO!$Y$1060</f>
        <v>-8206.1749610345687</v>
      </c>
      <c r="K1060" s="83">
        <f>EFEITO!$L$1060*EFEITO!$Z$1060</f>
        <v>0</v>
      </c>
      <c r="L1060" s="83">
        <f>EFEITO!$N$1060*EFEITO!$AA$1060</f>
        <v>0</v>
      </c>
      <c r="M1060" s="83">
        <f ca="1">$J$1060-EFEITO!$K$1060*EFEITO!$Y$1060</f>
        <v>0</v>
      </c>
      <c r="N1060" s="83">
        <f>$K$1060-EFEITO!$M$1060*EFEITO!$Z$1060</f>
        <v>0</v>
      </c>
      <c r="O1060" s="83">
        <f>$L$1060-EFEITO!$O$1060*EFEITO!$AA$1060</f>
        <v>0</v>
      </c>
      <c r="P1060" s="61"/>
      <c r="Q1060" s="61"/>
      <c r="R1060" s="61"/>
      <c r="S1060" s="61"/>
      <c r="T1060" s="61"/>
      <c r="U1060" s="61"/>
      <c r="V1060" s="61"/>
      <c r="W1060" s="61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</row>
    <row r="1061" spans="1:36" ht="11.25" customHeight="1" x14ac:dyDescent="0.2">
      <c r="A1061" s="57" t="s">
        <v>30</v>
      </c>
      <c r="B1061" s="57" t="s">
        <v>35</v>
      </c>
      <c r="C1061" s="57" t="s">
        <v>36</v>
      </c>
      <c r="D1061" s="57" t="s">
        <v>42</v>
      </c>
      <c r="E1061" s="57" t="s">
        <v>25</v>
      </c>
      <c r="F1061" s="57" t="s">
        <v>25</v>
      </c>
      <c r="G1061" s="57" t="s">
        <v>25</v>
      </c>
      <c r="H1061" s="57" t="s">
        <v>25</v>
      </c>
      <c r="I1061" s="82">
        <v>44317</v>
      </c>
      <c r="J1061" s="83">
        <f ca="1">EFEITO!$J$1061*EFEITO!$Y$1061</f>
        <v>80177.841739913623</v>
      </c>
      <c r="K1061" s="83">
        <f>EFEITO!$L$1061*EFEITO!$Z$1061</f>
        <v>0</v>
      </c>
      <c r="L1061" s="83">
        <f>EFEITO!$N$1061*EFEITO!$AA$1061</f>
        <v>0</v>
      </c>
      <c r="M1061" s="83">
        <f ca="1">$J$1061-EFEITO!$K$1061*EFEITO!$Y$1061</f>
        <v>0</v>
      </c>
      <c r="N1061" s="83">
        <f>$K$1061-EFEITO!$M$1061*EFEITO!$Z$1061</f>
        <v>0</v>
      </c>
      <c r="O1061" s="83">
        <f>$L$1061-EFEITO!$O$1061*EFEITO!$AA$1061</f>
        <v>0</v>
      </c>
      <c r="P1061" s="61"/>
      <c r="Q1061" s="61"/>
      <c r="R1061" s="61"/>
      <c r="S1061" s="61"/>
      <c r="T1061" s="61"/>
      <c r="U1061" s="61"/>
      <c r="V1061" s="61"/>
      <c r="W1061" s="61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</row>
    <row r="1062" spans="1:36" ht="11.25" customHeight="1" x14ac:dyDescent="0.2">
      <c r="A1062" s="57" t="s">
        <v>21</v>
      </c>
      <c r="B1062" s="57" t="s">
        <v>35</v>
      </c>
      <c r="C1062" s="57" t="s">
        <v>36</v>
      </c>
      <c r="D1062" s="57" t="s">
        <v>42</v>
      </c>
      <c r="E1062" s="57" t="s">
        <v>25</v>
      </c>
      <c r="F1062" s="57" t="s">
        <v>25</v>
      </c>
      <c r="G1062" s="57" t="s">
        <v>25</v>
      </c>
      <c r="H1062" s="57" t="s">
        <v>25</v>
      </c>
      <c r="I1062" s="82">
        <v>44317</v>
      </c>
      <c r="J1062" s="83">
        <f ca="1">EFEITO!$J$1062*EFEITO!$Y$1062</f>
        <v>5907.1687462700202</v>
      </c>
      <c r="K1062" s="83">
        <f>EFEITO!$L$1062*EFEITO!$Z$1062</f>
        <v>0</v>
      </c>
      <c r="L1062" s="83">
        <f>EFEITO!$N$1062*EFEITO!$AA$1062</f>
        <v>0</v>
      </c>
      <c r="M1062" s="83">
        <f ca="1">$J$1062-EFEITO!$K$1062*EFEITO!$Y$1062</f>
        <v>0</v>
      </c>
      <c r="N1062" s="83">
        <f>$K$1062-EFEITO!$M$1062*EFEITO!$Z$1062</f>
        <v>0</v>
      </c>
      <c r="O1062" s="83">
        <f>$L$1062-EFEITO!$O$1062*EFEITO!$AA$1062</f>
        <v>0</v>
      </c>
      <c r="P1062" s="61"/>
      <c r="Q1062" s="61"/>
      <c r="R1062" s="61"/>
      <c r="S1062" s="61"/>
      <c r="T1062" s="61"/>
      <c r="U1062" s="61"/>
      <c r="V1062" s="61"/>
      <c r="W1062" s="61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</row>
    <row r="1063" spans="1:36" ht="11.25" customHeight="1" x14ac:dyDescent="0.2">
      <c r="A1063" s="57" t="s">
        <v>21</v>
      </c>
      <c r="B1063" s="57" t="s">
        <v>35</v>
      </c>
      <c r="C1063" s="57" t="s">
        <v>36</v>
      </c>
      <c r="D1063" s="57" t="s">
        <v>42</v>
      </c>
      <c r="E1063" s="57" t="s">
        <v>25</v>
      </c>
      <c r="F1063" s="57" t="s">
        <v>25</v>
      </c>
      <c r="G1063" s="57" t="s">
        <v>25</v>
      </c>
      <c r="H1063" s="57" t="s">
        <v>25</v>
      </c>
      <c r="I1063" s="82">
        <v>44348</v>
      </c>
      <c r="J1063" s="83">
        <f ca="1">EFEITO!$J$1063*EFEITO!$Y$1063</f>
        <v>3260214.3270292319</v>
      </c>
      <c r="K1063" s="83">
        <f>EFEITO!$L$1063*EFEITO!$Z$1063</f>
        <v>0</v>
      </c>
      <c r="L1063" s="83">
        <f>EFEITO!$N$1063*EFEITO!$AA$1063</f>
        <v>0</v>
      </c>
      <c r="M1063" s="83">
        <f ca="1">$J$1063-EFEITO!$K$1063*EFEITO!$Y$1063</f>
        <v>0</v>
      </c>
      <c r="N1063" s="83">
        <f>$K$1063-EFEITO!$M$1063*EFEITO!$Z$1063</f>
        <v>0</v>
      </c>
      <c r="O1063" s="83">
        <f>$L$1063-EFEITO!$O$1063*EFEITO!$AA$1063</f>
        <v>0</v>
      </c>
      <c r="P1063" s="61"/>
      <c r="Q1063" s="61"/>
      <c r="R1063" s="61"/>
      <c r="S1063" s="61"/>
      <c r="T1063" s="61"/>
      <c r="U1063" s="61"/>
      <c r="V1063" s="61"/>
      <c r="W1063" s="61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</row>
    <row r="1064" spans="1:36" ht="11.25" customHeight="1" x14ac:dyDescent="0.2">
      <c r="A1064" s="57" t="s">
        <v>27</v>
      </c>
      <c r="B1064" s="57" t="s">
        <v>35</v>
      </c>
      <c r="C1064" s="57" t="s">
        <v>36</v>
      </c>
      <c r="D1064" s="57" t="s">
        <v>42</v>
      </c>
      <c r="E1064" s="57" t="s">
        <v>25</v>
      </c>
      <c r="F1064" s="57" t="s">
        <v>25</v>
      </c>
      <c r="G1064" s="57" t="s">
        <v>25</v>
      </c>
      <c r="H1064" s="57" t="s">
        <v>25</v>
      </c>
      <c r="I1064" s="82">
        <v>44348</v>
      </c>
      <c r="J1064" s="83">
        <f ca="1">EFEITO!$J$1064*EFEITO!$Y$1064</f>
        <v>60508.566346928048</v>
      </c>
      <c r="K1064" s="83">
        <f>EFEITO!$L$1064*EFEITO!$Z$1064</f>
        <v>0</v>
      </c>
      <c r="L1064" s="83">
        <f>EFEITO!$N$1064*EFEITO!$AA$1064</f>
        <v>0</v>
      </c>
      <c r="M1064" s="83">
        <f ca="1">$J$1064-EFEITO!$K$1064*EFEITO!$Y$1064</f>
        <v>0</v>
      </c>
      <c r="N1064" s="83">
        <f>$K$1064-EFEITO!$M$1064*EFEITO!$Z$1064</f>
        <v>0</v>
      </c>
      <c r="O1064" s="83">
        <f>$L$1064-EFEITO!$O$1064*EFEITO!$AA$1064</f>
        <v>0</v>
      </c>
      <c r="P1064" s="61"/>
      <c r="Q1064" s="61"/>
      <c r="R1064" s="61"/>
      <c r="S1064" s="61"/>
      <c r="T1064" s="61"/>
      <c r="U1064" s="61"/>
      <c r="V1064" s="61"/>
      <c r="W1064" s="61"/>
      <c r="X1064" s="6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</row>
    <row r="1065" spans="1:36" ht="11.25" customHeight="1" x14ac:dyDescent="0.2">
      <c r="A1065" s="57" t="s">
        <v>28</v>
      </c>
      <c r="B1065" s="57" t="s">
        <v>35</v>
      </c>
      <c r="C1065" s="57" t="s">
        <v>36</v>
      </c>
      <c r="D1065" s="57" t="s">
        <v>42</v>
      </c>
      <c r="E1065" s="57" t="s">
        <v>25</v>
      </c>
      <c r="F1065" s="57" t="s">
        <v>25</v>
      </c>
      <c r="G1065" s="57" t="s">
        <v>25</v>
      </c>
      <c r="H1065" s="57" t="s">
        <v>25</v>
      </c>
      <c r="I1065" s="82">
        <v>44348</v>
      </c>
      <c r="J1065" s="83">
        <f ca="1">EFEITO!$J$1065*EFEITO!$Y$1065</f>
        <v>338943.76346841227</v>
      </c>
      <c r="K1065" s="83">
        <f>EFEITO!$L$1065*EFEITO!$Z$1065</f>
        <v>0</v>
      </c>
      <c r="L1065" s="83">
        <f>EFEITO!$N$1065*EFEITO!$AA$1065</f>
        <v>0</v>
      </c>
      <c r="M1065" s="83">
        <f ca="1">$J$1065-EFEITO!$K$1065*EFEITO!$Y$1065</f>
        <v>0</v>
      </c>
      <c r="N1065" s="83">
        <f>$K$1065-EFEITO!$M$1065*EFEITO!$Z$1065</f>
        <v>0</v>
      </c>
      <c r="O1065" s="83">
        <f>$L$1065-EFEITO!$O$1065*EFEITO!$AA$1065</f>
        <v>0</v>
      </c>
      <c r="P1065" s="61"/>
      <c r="Q1065" s="61"/>
      <c r="R1065" s="61"/>
      <c r="S1065" s="61"/>
      <c r="T1065" s="61"/>
      <c r="U1065" s="61"/>
      <c r="V1065" s="61"/>
      <c r="W1065" s="61"/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</row>
    <row r="1066" spans="1:36" ht="11.25" customHeight="1" x14ac:dyDescent="0.2">
      <c r="A1066" s="57" t="s">
        <v>29</v>
      </c>
      <c r="B1066" s="57" t="s">
        <v>35</v>
      </c>
      <c r="C1066" s="57" t="s">
        <v>36</v>
      </c>
      <c r="D1066" s="57" t="s">
        <v>42</v>
      </c>
      <c r="E1066" s="57" t="s">
        <v>25</v>
      </c>
      <c r="F1066" s="57" t="s">
        <v>25</v>
      </c>
      <c r="G1066" s="57" t="s">
        <v>25</v>
      </c>
      <c r="H1066" s="57" t="s">
        <v>25</v>
      </c>
      <c r="I1066" s="82">
        <v>44348</v>
      </c>
      <c r="J1066" s="83">
        <f ca="1">EFEITO!$J$1066*EFEITO!$Y$1066</f>
        <v>-1564.6014517147621</v>
      </c>
      <c r="K1066" s="83">
        <f>EFEITO!$L$1066*EFEITO!$Z$1066</f>
        <v>0</v>
      </c>
      <c r="L1066" s="83">
        <f>EFEITO!$N$1066*EFEITO!$AA$1066</f>
        <v>0</v>
      </c>
      <c r="M1066" s="83">
        <f ca="1">$J$1066-EFEITO!$K$1066*EFEITO!$Y$1066</f>
        <v>0</v>
      </c>
      <c r="N1066" s="83">
        <f>$K$1066-EFEITO!$M$1066*EFEITO!$Z$1066</f>
        <v>0</v>
      </c>
      <c r="O1066" s="83">
        <f>$L$1066-EFEITO!$O$1066*EFEITO!$AA$1066</f>
        <v>0</v>
      </c>
      <c r="P1066" s="61"/>
      <c r="Q1066" s="61"/>
      <c r="R1066" s="61"/>
      <c r="S1066" s="61"/>
      <c r="T1066" s="61"/>
      <c r="U1066" s="61"/>
      <c r="V1066" s="61"/>
      <c r="W1066" s="61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</row>
    <row r="1067" spans="1:36" ht="11.25" customHeight="1" x14ac:dyDescent="0.2">
      <c r="A1067" s="57" t="s">
        <v>30</v>
      </c>
      <c r="B1067" s="57" t="s">
        <v>35</v>
      </c>
      <c r="C1067" s="57" t="s">
        <v>36</v>
      </c>
      <c r="D1067" s="57" t="s">
        <v>42</v>
      </c>
      <c r="E1067" s="57" t="s">
        <v>25</v>
      </c>
      <c r="F1067" s="57" t="s">
        <v>25</v>
      </c>
      <c r="G1067" s="57" t="s">
        <v>25</v>
      </c>
      <c r="H1067" s="57" t="s">
        <v>25</v>
      </c>
      <c r="I1067" s="82">
        <v>44348</v>
      </c>
      <c r="J1067" s="83">
        <f ca="1">EFEITO!$J$1067*EFEITO!$Y$1067</f>
        <v>55240.01043809262</v>
      </c>
      <c r="K1067" s="83">
        <f>EFEITO!$L$1067*EFEITO!$Z$1067</f>
        <v>0</v>
      </c>
      <c r="L1067" s="83">
        <f>EFEITO!$N$1067*EFEITO!$AA$1067</f>
        <v>0</v>
      </c>
      <c r="M1067" s="83">
        <f ca="1">$J$1067-EFEITO!$K$1067*EFEITO!$Y$1067</f>
        <v>0</v>
      </c>
      <c r="N1067" s="83">
        <f>$K$1067-EFEITO!$M$1067*EFEITO!$Z$1067</f>
        <v>0</v>
      </c>
      <c r="O1067" s="83">
        <f>$L$1067-EFEITO!$O$1067*EFEITO!$AA$1067</f>
        <v>0</v>
      </c>
      <c r="P1067" s="61"/>
      <c r="Q1067" s="61"/>
      <c r="R1067" s="61"/>
      <c r="S1067" s="61"/>
      <c r="T1067" s="61"/>
      <c r="U1067" s="61"/>
      <c r="V1067" s="61"/>
      <c r="W1067" s="61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</row>
    <row r="1068" spans="1:36" ht="11.25" customHeight="1" x14ac:dyDescent="0.2">
      <c r="A1068" s="57" t="s">
        <v>30</v>
      </c>
      <c r="B1068" s="57" t="s">
        <v>35</v>
      </c>
      <c r="C1068" s="57" t="s">
        <v>36</v>
      </c>
      <c r="D1068" s="57" t="s">
        <v>42</v>
      </c>
      <c r="E1068" s="57" t="s">
        <v>25</v>
      </c>
      <c r="F1068" s="57" t="s">
        <v>25</v>
      </c>
      <c r="G1068" s="57" t="s">
        <v>25</v>
      </c>
      <c r="H1068" s="57" t="s">
        <v>25</v>
      </c>
      <c r="I1068" s="82">
        <v>44348</v>
      </c>
      <c r="J1068" s="83">
        <f ca="1">EFEITO!$J$1068*EFEITO!$Y$1068</f>
        <v>957.91925615189518</v>
      </c>
      <c r="K1068" s="83">
        <f>EFEITO!$L$1068*EFEITO!$Z$1068</f>
        <v>0</v>
      </c>
      <c r="L1068" s="83">
        <f>EFEITO!$N$1068*EFEITO!$AA$1068</f>
        <v>0</v>
      </c>
      <c r="M1068" s="83">
        <f ca="1">$J$1068-EFEITO!$K$1068*EFEITO!$Y$1068</f>
        <v>0</v>
      </c>
      <c r="N1068" s="83">
        <f>$K$1068-EFEITO!$M$1068*EFEITO!$Z$1068</f>
        <v>0</v>
      </c>
      <c r="O1068" s="83">
        <f>$L$1068-EFEITO!$O$1068*EFEITO!$AA$1068</f>
        <v>0</v>
      </c>
      <c r="P1068" s="61"/>
      <c r="Q1068" s="61"/>
      <c r="R1068" s="61"/>
      <c r="S1068" s="61"/>
      <c r="T1068" s="61"/>
      <c r="U1068" s="61"/>
      <c r="V1068" s="61"/>
      <c r="W1068" s="61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</row>
    <row r="1069" spans="1:36" ht="11.25" customHeight="1" x14ac:dyDescent="0.2">
      <c r="A1069" s="57" t="s">
        <v>21</v>
      </c>
      <c r="B1069" s="57" t="s">
        <v>35</v>
      </c>
      <c r="C1069" s="57" t="s">
        <v>36</v>
      </c>
      <c r="D1069" s="57" t="s">
        <v>42</v>
      </c>
      <c r="E1069" s="57" t="s">
        <v>25</v>
      </c>
      <c r="F1069" s="57" t="s">
        <v>25</v>
      </c>
      <c r="G1069" s="57" t="s">
        <v>25</v>
      </c>
      <c r="H1069" s="57" t="s">
        <v>25</v>
      </c>
      <c r="I1069" s="82">
        <v>44378</v>
      </c>
      <c r="J1069" s="83">
        <f ca="1">EFEITO!$J$1069*EFEITO!$Y$1069</f>
        <v>3252072.0133519405</v>
      </c>
      <c r="K1069" s="83">
        <f>EFEITO!$L$1069*EFEITO!$Z$1069</f>
        <v>0</v>
      </c>
      <c r="L1069" s="83">
        <f>EFEITO!$N$1069*EFEITO!$AA$1069</f>
        <v>0</v>
      </c>
      <c r="M1069" s="83">
        <f ca="1">$J$1069-EFEITO!$K$1069*EFEITO!$Y$1069</f>
        <v>0</v>
      </c>
      <c r="N1069" s="83">
        <f>$K$1069-EFEITO!$M$1069*EFEITO!$Z$1069</f>
        <v>0</v>
      </c>
      <c r="O1069" s="83">
        <f>$L$1069-EFEITO!$O$1069*EFEITO!$AA$1069</f>
        <v>0</v>
      </c>
      <c r="P1069" s="61"/>
      <c r="Q1069" s="61"/>
      <c r="R1069" s="61"/>
      <c r="S1069" s="61"/>
      <c r="T1069" s="61"/>
      <c r="U1069" s="61"/>
      <c r="V1069" s="61"/>
      <c r="W1069" s="61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</row>
    <row r="1070" spans="1:36" ht="11.25" customHeight="1" x14ac:dyDescent="0.2">
      <c r="A1070" s="57" t="s">
        <v>28</v>
      </c>
      <c r="B1070" s="57" t="s">
        <v>35</v>
      </c>
      <c r="C1070" s="57" t="s">
        <v>36</v>
      </c>
      <c r="D1070" s="57" t="s">
        <v>42</v>
      </c>
      <c r="E1070" s="57" t="s">
        <v>25</v>
      </c>
      <c r="F1070" s="57" t="s">
        <v>25</v>
      </c>
      <c r="G1070" s="57" t="s">
        <v>25</v>
      </c>
      <c r="H1070" s="57" t="s">
        <v>25</v>
      </c>
      <c r="I1070" s="82">
        <v>44378</v>
      </c>
      <c r="J1070" s="83">
        <f ca="1">EFEITO!$J$1070*EFEITO!$Y$1070</f>
        <v>334218.02847139625</v>
      </c>
      <c r="K1070" s="83">
        <f>EFEITO!$L$1070*EFEITO!$Z$1070</f>
        <v>0</v>
      </c>
      <c r="L1070" s="83">
        <f>EFEITO!$N$1070*EFEITO!$AA$1070</f>
        <v>0</v>
      </c>
      <c r="M1070" s="83">
        <f ca="1">$J$1070-EFEITO!$K$1070*EFEITO!$Y$1070</f>
        <v>0</v>
      </c>
      <c r="N1070" s="83">
        <f>$K$1070-EFEITO!$M$1070*EFEITO!$Z$1070</f>
        <v>0</v>
      </c>
      <c r="O1070" s="83">
        <f>$L$1070-EFEITO!$O$1070*EFEITO!$AA$1070</f>
        <v>0</v>
      </c>
      <c r="P1070" s="61"/>
      <c r="Q1070" s="61"/>
      <c r="R1070" s="61"/>
      <c r="S1070" s="61"/>
      <c r="T1070" s="61"/>
      <c r="U1070" s="61"/>
      <c r="V1070" s="61"/>
      <c r="W1070" s="61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</row>
    <row r="1071" spans="1:36" ht="11.25" customHeight="1" x14ac:dyDescent="0.2">
      <c r="A1071" s="57" t="s">
        <v>30</v>
      </c>
      <c r="B1071" s="57" t="s">
        <v>35</v>
      </c>
      <c r="C1071" s="57" t="s">
        <v>36</v>
      </c>
      <c r="D1071" s="57" t="s">
        <v>42</v>
      </c>
      <c r="E1071" s="57" t="s">
        <v>25</v>
      </c>
      <c r="F1071" s="57" t="s">
        <v>25</v>
      </c>
      <c r="G1071" s="57" t="s">
        <v>25</v>
      </c>
      <c r="H1071" s="57" t="s">
        <v>25</v>
      </c>
      <c r="I1071" s="82">
        <v>44378</v>
      </c>
      <c r="J1071" s="83">
        <f ca="1">EFEITO!$J$1071*EFEITO!$Y$1071</f>
        <v>57986.045639061391</v>
      </c>
      <c r="K1071" s="83">
        <f>EFEITO!$L$1071*EFEITO!$Z$1071</f>
        <v>0</v>
      </c>
      <c r="L1071" s="83">
        <f>EFEITO!$N$1071*EFEITO!$AA$1071</f>
        <v>0</v>
      </c>
      <c r="M1071" s="83">
        <f ca="1">$J$1071-EFEITO!$K$1071*EFEITO!$Y$1071</f>
        <v>0</v>
      </c>
      <c r="N1071" s="83">
        <f>$K$1071-EFEITO!$M$1071*EFEITO!$Z$1071</f>
        <v>0</v>
      </c>
      <c r="O1071" s="83">
        <f>$L$1071-EFEITO!$O$1071*EFEITO!$AA$1071</f>
        <v>0</v>
      </c>
      <c r="P1071" s="61"/>
      <c r="Q1071" s="61"/>
      <c r="R1071" s="61"/>
      <c r="S1071" s="61"/>
      <c r="T1071" s="61"/>
      <c r="U1071" s="61"/>
      <c r="V1071" s="61"/>
      <c r="W1071" s="61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</row>
    <row r="1072" spans="1:36" ht="11.25" customHeight="1" x14ac:dyDescent="0.2">
      <c r="A1072" s="57" t="s">
        <v>21</v>
      </c>
      <c r="B1072" s="57" t="s">
        <v>35</v>
      </c>
      <c r="C1072" s="57" t="s">
        <v>36</v>
      </c>
      <c r="D1072" s="57" t="s">
        <v>42</v>
      </c>
      <c r="E1072" s="57" t="s">
        <v>25</v>
      </c>
      <c r="F1072" s="57" t="s">
        <v>25</v>
      </c>
      <c r="G1072" s="57" t="s">
        <v>25</v>
      </c>
      <c r="H1072" s="57" t="s">
        <v>25</v>
      </c>
      <c r="I1072" s="82">
        <v>44378</v>
      </c>
      <c r="J1072" s="83">
        <f ca="1">EFEITO!$J$1072*EFEITO!$Y$1072</f>
        <v>60189.259928210748</v>
      </c>
      <c r="K1072" s="83">
        <f>EFEITO!$L$1072*EFEITO!$Z$1072</f>
        <v>0</v>
      </c>
      <c r="L1072" s="83">
        <f>EFEITO!$N$1072*EFEITO!$AA$1072</f>
        <v>0</v>
      </c>
      <c r="M1072" s="83">
        <f ca="1">$J$1072-EFEITO!$K$1072*EFEITO!$Y$1072</f>
        <v>0</v>
      </c>
      <c r="N1072" s="83">
        <f>$K$1072-EFEITO!$M$1072*EFEITO!$Z$1072</f>
        <v>0</v>
      </c>
      <c r="O1072" s="83">
        <f>$L$1072-EFEITO!$O$1072*EFEITO!$AA$1072</f>
        <v>0</v>
      </c>
      <c r="P1072" s="61"/>
      <c r="Q1072" s="61"/>
      <c r="R1072" s="61"/>
      <c r="S1072" s="61"/>
      <c r="T1072" s="61"/>
      <c r="U1072" s="61"/>
      <c r="V1072" s="61"/>
      <c r="W1072" s="61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</row>
    <row r="1073" spans="1:36" ht="11.25" customHeight="1" x14ac:dyDescent="0.2">
      <c r="A1073" s="57" t="s">
        <v>21</v>
      </c>
      <c r="B1073" s="57" t="s">
        <v>35</v>
      </c>
      <c r="C1073" s="57" t="s">
        <v>36</v>
      </c>
      <c r="D1073" s="57" t="s">
        <v>42</v>
      </c>
      <c r="E1073" s="57" t="s">
        <v>25</v>
      </c>
      <c r="F1073" s="57" t="s">
        <v>25</v>
      </c>
      <c r="G1073" s="57" t="s">
        <v>25</v>
      </c>
      <c r="H1073" s="57" t="s">
        <v>25</v>
      </c>
      <c r="I1073" s="82">
        <v>44409</v>
      </c>
      <c r="J1073" s="83">
        <f ca="1">EFEITO!$J$1073*EFEITO!$Y$1073</f>
        <v>3312740.2329082275</v>
      </c>
      <c r="K1073" s="83">
        <f>EFEITO!$L$1073*EFEITO!$Z$1073</f>
        <v>0</v>
      </c>
      <c r="L1073" s="83">
        <f>EFEITO!$N$1073*EFEITO!$AA$1073</f>
        <v>0</v>
      </c>
      <c r="M1073" s="83">
        <f ca="1">$J$1073-EFEITO!$K$1073*EFEITO!$Y$1073</f>
        <v>0</v>
      </c>
      <c r="N1073" s="83">
        <f>$K$1073-EFEITO!$M$1073*EFEITO!$Z$1073</f>
        <v>0</v>
      </c>
      <c r="O1073" s="83">
        <f>$L$1073-EFEITO!$O$1073*EFEITO!$AA$1073</f>
        <v>0</v>
      </c>
      <c r="P1073" s="61"/>
      <c r="Q1073" s="61"/>
      <c r="R1073" s="61"/>
      <c r="S1073" s="61"/>
      <c r="T1073" s="61"/>
      <c r="U1073" s="61"/>
      <c r="V1073" s="61"/>
      <c r="W1073" s="61"/>
      <c r="X1073" s="6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</row>
    <row r="1074" spans="1:36" ht="11.25" customHeight="1" x14ac:dyDescent="0.2">
      <c r="A1074" s="57" t="s">
        <v>27</v>
      </c>
      <c r="B1074" s="57" t="s">
        <v>35</v>
      </c>
      <c r="C1074" s="57" t="s">
        <v>36</v>
      </c>
      <c r="D1074" s="57" t="s">
        <v>42</v>
      </c>
      <c r="E1074" s="57" t="s">
        <v>25</v>
      </c>
      <c r="F1074" s="57" t="s">
        <v>25</v>
      </c>
      <c r="G1074" s="57" t="s">
        <v>25</v>
      </c>
      <c r="H1074" s="57" t="s">
        <v>25</v>
      </c>
      <c r="I1074" s="82">
        <v>44409</v>
      </c>
      <c r="J1074" s="83">
        <f ca="1">EFEITO!$J$1074*EFEITO!$Y$1074</f>
        <v>-17913.090090040441</v>
      </c>
      <c r="K1074" s="83">
        <f>EFEITO!$L$1074*EFEITO!$Z$1074</f>
        <v>0</v>
      </c>
      <c r="L1074" s="83">
        <f>EFEITO!$N$1074*EFEITO!$AA$1074</f>
        <v>0</v>
      </c>
      <c r="M1074" s="83">
        <f ca="1">$J$1074-EFEITO!$K$1074*EFEITO!$Y$1074</f>
        <v>0</v>
      </c>
      <c r="N1074" s="83">
        <f>$K$1074-EFEITO!$M$1074*EFEITO!$Z$1074</f>
        <v>0</v>
      </c>
      <c r="O1074" s="83">
        <f>$L$1074-EFEITO!$O$1074*EFEITO!$AA$1074</f>
        <v>0</v>
      </c>
      <c r="P1074" s="61"/>
      <c r="Q1074" s="61"/>
      <c r="R1074" s="61"/>
      <c r="S1074" s="61"/>
      <c r="T1074" s="61"/>
      <c r="U1074" s="61"/>
      <c r="V1074" s="61"/>
      <c r="W1074" s="61"/>
      <c r="X1074" s="6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</row>
    <row r="1075" spans="1:36" ht="11.25" customHeight="1" x14ac:dyDescent="0.2">
      <c r="A1075" s="57" t="s">
        <v>28</v>
      </c>
      <c r="B1075" s="57" t="s">
        <v>35</v>
      </c>
      <c r="C1075" s="57" t="s">
        <v>36</v>
      </c>
      <c r="D1075" s="57" t="s">
        <v>42</v>
      </c>
      <c r="E1075" s="57" t="s">
        <v>25</v>
      </c>
      <c r="F1075" s="57" t="s">
        <v>25</v>
      </c>
      <c r="G1075" s="57" t="s">
        <v>25</v>
      </c>
      <c r="H1075" s="57" t="s">
        <v>25</v>
      </c>
      <c r="I1075" s="82">
        <v>44409</v>
      </c>
      <c r="J1075" s="83">
        <f ca="1">EFEITO!$J$1075*EFEITO!$Y$1075</f>
        <v>368256.09270666022</v>
      </c>
      <c r="K1075" s="83">
        <f>EFEITO!$L$1075*EFEITO!$Z$1075</f>
        <v>0</v>
      </c>
      <c r="L1075" s="83">
        <f>EFEITO!$N$1075*EFEITO!$AA$1075</f>
        <v>0</v>
      </c>
      <c r="M1075" s="83">
        <f ca="1">$J$1075-EFEITO!$K$1075*EFEITO!$Y$1075</f>
        <v>0</v>
      </c>
      <c r="N1075" s="83">
        <f>$K$1075-EFEITO!$M$1075*EFEITO!$Z$1075</f>
        <v>0</v>
      </c>
      <c r="O1075" s="83">
        <f>$L$1075-EFEITO!$O$1075*EFEITO!$AA$1075</f>
        <v>0</v>
      </c>
      <c r="P1075" s="61"/>
      <c r="Q1075" s="61"/>
      <c r="R1075" s="61"/>
      <c r="S1075" s="61"/>
      <c r="T1075" s="61"/>
      <c r="U1075" s="61"/>
      <c r="V1075" s="61"/>
      <c r="W1075" s="61"/>
      <c r="X1075" s="6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</row>
    <row r="1076" spans="1:36" ht="11.25" customHeight="1" x14ac:dyDescent="0.2">
      <c r="A1076" s="57" t="s">
        <v>30</v>
      </c>
      <c r="B1076" s="57" t="s">
        <v>35</v>
      </c>
      <c r="C1076" s="57" t="s">
        <v>36</v>
      </c>
      <c r="D1076" s="57" t="s">
        <v>42</v>
      </c>
      <c r="E1076" s="57" t="s">
        <v>25</v>
      </c>
      <c r="F1076" s="57" t="s">
        <v>25</v>
      </c>
      <c r="G1076" s="57" t="s">
        <v>25</v>
      </c>
      <c r="H1076" s="57" t="s">
        <v>25</v>
      </c>
      <c r="I1076" s="82">
        <v>44409</v>
      </c>
      <c r="J1076" s="83">
        <f ca="1">EFEITO!$J$1076*EFEITO!$Y$1076</f>
        <v>68395.434889245313</v>
      </c>
      <c r="K1076" s="83">
        <f>EFEITO!$L$1076*EFEITO!$Z$1076</f>
        <v>0</v>
      </c>
      <c r="L1076" s="83">
        <f>EFEITO!$N$1076*EFEITO!$AA$1076</f>
        <v>0</v>
      </c>
      <c r="M1076" s="83">
        <f ca="1">$J$1076-EFEITO!$K$1076*EFEITO!$Y$1076</f>
        <v>0</v>
      </c>
      <c r="N1076" s="83">
        <f>$K$1076-EFEITO!$M$1076*EFEITO!$Z$1076</f>
        <v>0</v>
      </c>
      <c r="O1076" s="83">
        <f>$L$1076-EFEITO!$O$1076*EFEITO!$AA$1076</f>
        <v>0</v>
      </c>
      <c r="P1076" s="61"/>
      <c r="Q1076" s="61"/>
      <c r="R1076" s="61"/>
      <c r="S1076" s="61"/>
      <c r="T1076" s="61"/>
      <c r="U1076" s="61"/>
      <c r="V1076" s="61"/>
      <c r="W1076" s="61"/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</row>
    <row r="1077" spans="1:36" ht="11.25" customHeight="1" x14ac:dyDescent="0.2">
      <c r="A1077" s="57" t="s">
        <v>21</v>
      </c>
      <c r="B1077" s="57" t="s">
        <v>35</v>
      </c>
      <c r="C1077" s="57" t="s">
        <v>36</v>
      </c>
      <c r="D1077" s="57" t="s">
        <v>42</v>
      </c>
      <c r="E1077" s="57" t="s">
        <v>25</v>
      </c>
      <c r="F1077" s="57" t="s">
        <v>25</v>
      </c>
      <c r="G1077" s="57" t="s">
        <v>25</v>
      </c>
      <c r="H1077" s="57" t="s">
        <v>25</v>
      </c>
      <c r="I1077" s="82">
        <v>44409</v>
      </c>
      <c r="J1077" s="83">
        <f ca="1">EFEITO!$J$1077*EFEITO!$Y$1077</f>
        <v>60189.259928210748</v>
      </c>
      <c r="K1077" s="83">
        <f>EFEITO!$L$1077*EFEITO!$Z$1077</f>
        <v>0</v>
      </c>
      <c r="L1077" s="83">
        <f>EFEITO!$N$1077*EFEITO!$AA$1077</f>
        <v>0</v>
      </c>
      <c r="M1077" s="83">
        <f ca="1">$J$1077-EFEITO!$K$1077*EFEITO!$Y$1077</f>
        <v>0</v>
      </c>
      <c r="N1077" s="83">
        <f>$K$1077-EFEITO!$M$1077*EFEITO!$Z$1077</f>
        <v>0</v>
      </c>
      <c r="O1077" s="83">
        <f>$L$1077-EFEITO!$O$1077*EFEITO!$AA$1077</f>
        <v>0</v>
      </c>
      <c r="P1077" s="61"/>
      <c r="Q1077" s="61"/>
      <c r="R1077" s="61"/>
      <c r="S1077" s="61"/>
      <c r="T1077" s="61"/>
      <c r="U1077" s="61"/>
      <c r="V1077" s="61"/>
      <c r="W1077" s="61"/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</row>
    <row r="1078" spans="1:36" ht="11.25" customHeight="1" x14ac:dyDescent="0.2">
      <c r="A1078" s="57" t="s">
        <v>21</v>
      </c>
      <c r="B1078" s="57" t="s">
        <v>35</v>
      </c>
      <c r="C1078" s="57" t="s">
        <v>36</v>
      </c>
      <c r="D1078" s="57" t="s">
        <v>42</v>
      </c>
      <c r="E1078" s="57" t="s">
        <v>25</v>
      </c>
      <c r="F1078" s="57" t="s">
        <v>25</v>
      </c>
      <c r="G1078" s="57" t="s">
        <v>25</v>
      </c>
      <c r="H1078" s="57" t="s">
        <v>25</v>
      </c>
      <c r="I1078" s="82">
        <v>44440</v>
      </c>
      <c r="J1078" s="83">
        <f ca="1">EFEITO!$J$1078*EFEITO!$Y$1078</f>
        <v>3145742.9759190804</v>
      </c>
      <c r="K1078" s="83">
        <f>EFEITO!$L$1078*EFEITO!$Z$1078</f>
        <v>0</v>
      </c>
      <c r="L1078" s="83">
        <f>EFEITO!$N$1078*EFEITO!$AA$1078</f>
        <v>0</v>
      </c>
      <c r="M1078" s="83">
        <f ca="1">$J$1078-EFEITO!$K$1078*EFEITO!$Y$1078</f>
        <v>0</v>
      </c>
      <c r="N1078" s="83">
        <f>$K$1078-EFEITO!$M$1078*EFEITO!$Z$1078</f>
        <v>0</v>
      </c>
      <c r="O1078" s="83">
        <f>$L$1078-EFEITO!$O$1078*EFEITO!$AA$1078</f>
        <v>0</v>
      </c>
      <c r="P1078" s="61"/>
      <c r="Q1078" s="61"/>
      <c r="R1078" s="61"/>
      <c r="S1078" s="61"/>
      <c r="T1078" s="61"/>
      <c r="U1078" s="61"/>
      <c r="V1078" s="61"/>
      <c r="W1078" s="61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</row>
    <row r="1079" spans="1:36" ht="11.25" customHeight="1" x14ac:dyDescent="0.2">
      <c r="A1079" s="57" t="s">
        <v>27</v>
      </c>
      <c r="B1079" s="57" t="s">
        <v>35</v>
      </c>
      <c r="C1079" s="57" t="s">
        <v>36</v>
      </c>
      <c r="D1079" s="57" t="s">
        <v>42</v>
      </c>
      <c r="E1079" s="57" t="s">
        <v>25</v>
      </c>
      <c r="F1079" s="57" t="s">
        <v>25</v>
      </c>
      <c r="G1079" s="57" t="s">
        <v>25</v>
      </c>
      <c r="H1079" s="57" t="s">
        <v>25</v>
      </c>
      <c r="I1079" s="82">
        <v>44440</v>
      </c>
      <c r="J1079" s="83">
        <f ca="1">EFEITO!$J$1079*EFEITO!$Y$1079</f>
        <v>-5747.5155369113709</v>
      </c>
      <c r="K1079" s="83">
        <f>EFEITO!$L$1079*EFEITO!$Z$1079</f>
        <v>0</v>
      </c>
      <c r="L1079" s="83">
        <f>EFEITO!$N$1079*EFEITO!$AA$1079</f>
        <v>0</v>
      </c>
      <c r="M1079" s="83">
        <f ca="1">$J$1079-EFEITO!$K$1079*EFEITO!$Y$1079</f>
        <v>0</v>
      </c>
      <c r="N1079" s="83">
        <f>$K$1079-EFEITO!$M$1079*EFEITO!$Z$1079</f>
        <v>0</v>
      </c>
      <c r="O1079" s="83">
        <f>$L$1079-EFEITO!$O$1079*EFEITO!$AA$1079</f>
        <v>0</v>
      </c>
      <c r="P1079" s="61"/>
      <c r="Q1079" s="61"/>
      <c r="R1079" s="61"/>
      <c r="S1079" s="61"/>
      <c r="T1079" s="61"/>
      <c r="U1079" s="61"/>
      <c r="V1079" s="61"/>
      <c r="W1079" s="61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</row>
    <row r="1080" spans="1:36" ht="11.25" customHeight="1" x14ac:dyDescent="0.2">
      <c r="A1080" s="57" t="s">
        <v>28</v>
      </c>
      <c r="B1080" s="57" t="s">
        <v>35</v>
      </c>
      <c r="C1080" s="57" t="s">
        <v>36</v>
      </c>
      <c r="D1080" s="57" t="s">
        <v>42</v>
      </c>
      <c r="E1080" s="57" t="s">
        <v>25</v>
      </c>
      <c r="F1080" s="57" t="s">
        <v>25</v>
      </c>
      <c r="G1080" s="57" t="s">
        <v>25</v>
      </c>
      <c r="H1080" s="57" t="s">
        <v>25</v>
      </c>
      <c r="I1080" s="82">
        <v>44440</v>
      </c>
      <c r="J1080" s="83">
        <f ca="1">EFEITO!$J$1080*EFEITO!$Y$1080</f>
        <v>373620.44054111087</v>
      </c>
      <c r="K1080" s="83">
        <f>EFEITO!$L$1080*EFEITO!$Z$1080</f>
        <v>0</v>
      </c>
      <c r="L1080" s="83">
        <f>EFEITO!$N$1080*EFEITO!$AA$1080</f>
        <v>0</v>
      </c>
      <c r="M1080" s="83">
        <f ca="1">$J$1080-EFEITO!$K$1080*EFEITO!$Y$1080</f>
        <v>0</v>
      </c>
      <c r="N1080" s="83">
        <f>$K$1080-EFEITO!$M$1080*EFEITO!$Z$1080</f>
        <v>0</v>
      </c>
      <c r="O1080" s="83">
        <f>$L$1080-EFEITO!$O$1080*EFEITO!$AA$1080</f>
        <v>0</v>
      </c>
      <c r="P1080" s="61"/>
      <c r="Q1080" s="61"/>
      <c r="R1080" s="61"/>
      <c r="S1080" s="61"/>
      <c r="T1080" s="61"/>
      <c r="U1080" s="61"/>
      <c r="V1080" s="61"/>
      <c r="W1080" s="61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</row>
    <row r="1081" spans="1:36" ht="11.25" customHeight="1" x14ac:dyDescent="0.2">
      <c r="A1081" s="57" t="s">
        <v>29</v>
      </c>
      <c r="B1081" s="57" t="s">
        <v>35</v>
      </c>
      <c r="C1081" s="57" t="s">
        <v>36</v>
      </c>
      <c r="D1081" s="57" t="s">
        <v>42</v>
      </c>
      <c r="E1081" s="57" t="s">
        <v>25</v>
      </c>
      <c r="F1081" s="57" t="s">
        <v>25</v>
      </c>
      <c r="G1081" s="57" t="s">
        <v>25</v>
      </c>
      <c r="H1081" s="57" t="s">
        <v>25</v>
      </c>
      <c r="I1081" s="82">
        <v>44440</v>
      </c>
      <c r="J1081" s="83">
        <f ca="1">EFEITO!$J$1081*EFEITO!$Y$1081</f>
        <v>-447.02898620421774</v>
      </c>
      <c r="K1081" s="83">
        <f>EFEITO!$L$1081*EFEITO!$Z$1081</f>
        <v>0</v>
      </c>
      <c r="L1081" s="83">
        <f>EFEITO!$N$1081*EFEITO!$AA$1081</f>
        <v>0</v>
      </c>
      <c r="M1081" s="83">
        <f ca="1">$J$1081-EFEITO!$K$1081*EFEITO!$Y$1081</f>
        <v>0</v>
      </c>
      <c r="N1081" s="83">
        <f>$K$1081-EFEITO!$M$1081*EFEITO!$Z$1081</f>
        <v>0</v>
      </c>
      <c r="O1081" s="83">
        <f>$L$1081-EFEITO!$O$1081*EFEITO!$AA$1081</f>
        <v>0</v>
      </c>
      <c r="P1081" s="61"/>
      <c r="Q1081" s="61"/>
      <c r="R1081" s="61"/>
      <c r="S1081" s="61"/>
      <c r="T1081" s="61"/>
      <c r="U1081" s="61"/>
      <c r="V1081" s="61"/>
      <c r="W1081" s="61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</row>
    <row r="1082" spans="1:36" ht="11.25" customHeight="1" x14ac:dyDescent="0.2">
      <c r="A1082" s="57" t="s">
        <v>30</v>
      </c>
      <c r="B1082" s="57" t="s">
        <v>35</v>
      </c>
      <c r="C1082" s="57" t="s">
        <v>36</v>
      </c>
      <c r="D1082" s="57" t="s">
        <v>42</v>
      </c>
      <c r="E1082" s="57" t="s">
        <v>25</v>
      </c>
      <c r="F1082" s="57" t="s">
        <v>25</v>
      </c>
      <c r="G1082" s="57" t="s">
        <v>25</v>
      </c>
      <c r="H1082" s="57" t="s">
        <v>25</v>
      </c>
      <c r="I1082" s="82">
        <v>44440</v>
      </c>
      <c r="J1082" s="83">
        <f ca="1">EFEITO!$J$1082*EFEITO!$Y$1082</f>
        <v>79890.465963068054</v>
      </c>
      <c r="K1082" s="83">
        <f>EFEITO!$L$1082*EFEITO!$Z$1082</f>
        <v>0</v>
      </c>
      <c r="L1082" s="83">
        <f>EFEITO!$N$1082*EFEITO!$AA$1082</f>
        <v>0</v>
      </c>
      <c r="M1082" s="83">
        <f ca="1">$J$1082-EFEITO!$K$1082*EFEITO!$Y$1082</f>
        <v>0</v>
      </c>
      <c r="N1082" s="83">
        <f>$K$1082-EFEITO!$M$1082*EFEITO!$Z$1082</f>
        <v>0</v>
      </c>
      <c r="O1082" s="83">
        <f>$L$1082-EFEITO!$O$1082*EFEITO!$AA$1082</f>
        <v>0</v>
      </c>
      <c r="P1082" s="61"/>
      <c r="Q1082" s="61"/>
      <c r="R1082" s="61"/>
      <c r="S1082" s="61"/>
      <c r="T1082" s="61"/>
      <c r="U1082" s="61"/>
      <c r="V1082" s="61"/>
      <c r="W1082" s="61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</row>
    <row r="1083" spans="1:36" ht="11.25" customHeight="1" x14ac:dyDescent="0.2">
      <c r="A1083" s="57" t="s">
        <v>21</v>
      </c>
      <c r="B1083" s="57" t="s">
        <v>35</v>
      </c>
      <c r="C1083" s="57" t="s">
        <v>36</v>
      </c>
      <c r="D1083" s="57" t="s">
        <v>42</v>
      </c>
      <c r="E1083" s="57" t="s">
        <v>25</v>
      </c>
      <c r="F1083" s="57" t="s">
        <v>25</v>
      </c>
      <c r="G1083" s="57" t="s">
        <v>25</v>
      </c>
      <c r="H1083" s="57" t="s">
        <v>25</v>
      </c>
      <c r="I1083" s="82">
        <v>44440</v>
      </c>
      <c r="J1083" s="83">
        <f ca="1">EFEITO!$J$1083*EFEITO!$Y$1083</f>
        <v>98506.030174286556</v>
      </c>
      <c r="K1083" s="83">
        <f>EFEITO!$L$1083*EFEITO!$Z$1083</f>
        <v>0</v>
      </c>
      <c r="L1083" s="83">
        <f>EFEITO!$N$1083*EFEITO!$AA$1083</f>
        <v>0</v>
      </c>
      <c r="M1083" s="83">
        <f ca="1">$J$1083-EFEITO!$K$1083*EFEITO!$Y$1083</f>
        <v>0</v>
      </c>
      <c r="N1083" s="83">
        <f>$K$1083-EFEITO!$M$1083*EFEITO!$Z$1083</f>
        <v>0</v>
      </c>
      <c r="O1083" s="83">
        <f>$L$1083-EFEITO!$O$1083*EFEITO!$AA$1083</f>
        <v>0</v>
      </c>
      <c r="P1083" s="61"/>
      <c r="Q1083" s="61"/>
      <c r="R1083" s="61"/>
      <c r="S1083" s="61"/>
      <c r="T1083" s="61"/>
      <c r="U1083" s="61"/>
      <c r="V1083" s="61"/>
      <c r="W1083" s="61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</row>
    <row r="1084" spans="1:36" ht="11.25" customHeight="1" x14ac:dyDescent="0.2">
      <c r="A1084" s="57" t="s">
        <v>59</v>
      </c>
      <c r="B1084" s="57" t="s">
        <v>35</v>
      </c>
      <c r="C1084" s="57" t="s">
        <v>36</v>
      </c>
      <c r="D1084" s="57" t="s">
        <v>42</v>
      </c>
      <c r="E1084" s="57" t="s">
        <v>25</v>
      </c>
      <c r="F1084" s="57" t="s">
        <v>25</v>
      </c>
      <c r="G1084" s="57" t="s">
        <v>25</v>
      </c>
      <c r="H1084" s="57" t="s">
        <v>25</v>
      </c>
      <c r="I1084" s="82">
        <v>44470</v>
      </c>
      <c r="J1084" s="83">
        <f ca="1">EFEITO!$J$1084*EFEITO!$Y$1084</f>
        <v>3145742.9759190804</v>
      </c>
      <c r="K1084" s="83">
        <f>EFEITO!$L$1084*EFEITO!$Z$1084</f>
        <v>0</v>
      </c>
      <c r="L1084" s="83">
        <f>EFEITO!$N$1084*EFEITO!$AA$1084</f>
        <v>0</v>
      </c>
      <c r="M1084" s="83">
        <f ca="1">$J$1084-EFEITO!$K$1084*EFEITO!$Y$1084</f>
        <v>0</v>
      </c>
      <c r="N1084" s="83">
        <f>$K$1084-EFEITO!$M$1084*EFEITO!$Z$1084</f>
        <v>0</v>
      </c>
      <c r="O1084" s="83">
        <f>$L$1084-EFEITO!$O$1084*EFEITO!$AA$1084</f>
        <v>0</v>
      </c>
      <c r="P1084" s="61"/>
      <c r="Q1084" s="61"/>
      <c r="R1084" s="61"/>
      <c r="S1084" s="61"/>
      <c r="T1084" s="61"/>
      <c r="U1084" s="61"/>
      <c r="V1084" s="61"/>
      <c r="W1084" s="61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</row>
    <row r="1085" spans="1:36" ht="11.25" customHeight="1" x14ac:dyDescent="0.2">
      <c r="A1085" s="57" t="s">
        <v>59</v>
      </c>
      <c r="B1085" s="57" t="s">
        <v>35</v>
      </c>
      <c r="C1085" s="57" t="s">
        <v>36</v>
      </c>
      <c r="D1085" s="57" t="s">
        <v>42</v>
      </c>
      <c r="E1085" s="57" t="s">
        <v>25</v>
      </c>
      <c r="F1085" s="57" t="s">
        <v>25</v>
      </c>
      <c r="G1085" s="57" t="s">
        <v>25</v>
      </c>
      <c r="H1085" s="57" t="s">
        <v>25</v>
      </c>
      <c r="I1085" s="82">
        <v>44470</v>
      </c>
      <c r="J1085" s="83">
        <f ca="1">EFEITO!$J$1085*EFEITO!$Y$1085</f>
        <v>-5747.5155369113709</v>
      </c>
      <c r="K1085" s="83">
        <f>EFEITO!$L$1085*EFEITO!$Z$1085</f>
        <v>0</v>
      </c>
      <c r="L1085" s="83">
        <f>EFEITO!$N$1085*EFEITO!$AA$1085</f>
        <v>0</v>
      </c>
      <c r="M1085" s="83">
        <f ca="1">$J$1085-EFEITO!$K$1085*EFEITO!$Y$1085</f>
        <v>0</v>
      </c>
      <c r="N1085" s="83">
        <f>$K$1085-EFEITO!$M$1085*EFEITO!$Z$1085</f>
        <v>0</v>
      </c>
      <c r="O1085" s="83">
        <f>$L$1085-EFEITO!$O$1085*EFEITO!$AA$1085</f>
        <v>0</v>
      </c>
      <c r="P1085" s="61"/>
      <c r="Q1085" s="61"/>
      <c r="R1085" s="61"/>
      <c r="S1085" s="61"/>
      <c r="T1085" s="61"/>
      <c r="U1085" s="61"/>
      <c r="V1085" s="61"/>
      <c r="W1085" s="61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</row>
    <row r="1086" spans="1:36" ht="11.25" customHeight="1" x14ac:dyDescent="0.2">
      <c r="A1086" s="57" t="s">
        <v>59</v>
      </c>
      <c r="B1086" s="57" t="s">
        <v>35</v>
      </c>
      <c r="C1086" s="57" t="s">
        <v>36</v>
      </c>
      <c r="D1086" s="57" t="s">
        <v>42</v>
      </c>
      <c r="E1086" s="57" t="s">
        <v>25</v>
      </c>
      <c r="F1086" s="57" t="s">
        <v>25</v>
      </c>
      <c r="G1086" s="57" t="s">
        <v>25</v>
      </c>
      <c r="H1086" s="57" t="s">
        <v>25</v>
      </c>
      <c r="I1086" s="82">
        <v>44470</v>
      </c>
      <c r="J1086" s="83">
        <f ca="1">EFEITO!$J$1086*EFEITO!$Y$1086</f>
        <v>373620.44054111087</v>
      </c>
      <c r="K1086" s="83">
        <f>EFEITO!$L$1086*EFEITO!$Z$1086</f>
        <v>0</v>
      </c>
      <c r="L1086" s="83">
        <f>EFEITO!$N$1086*EFEITO!$AA$1086</f>
        <v>0</v>
      </c>
      <c r="M1086" s="83">
        <f ca="1">$J$1086-EFEITO!$K$1086*EFEITO!$Y$1086</f>
        <v>0</v>
      </c>
      <c r="N1086" s="83">
        <f>$K$1086-EFEITO!$M$1086*EFEITO!$Z$1086</f>
        <v>0</v>
      </c>
      <c r="O1086" s="83">
        <f>$L$1086-EFEITO!$O$1086*EFEITO!$AA$1086</f>
        <v>0</v>
      </c>
      <c r="P1086" s="61"/>
      <c r="Q1086" s="61"/>
      <c r="R1086" s="61"/>
      <c r="S1086" s="61"/>
      <c r="T1086" s="61"/>
      <c r="U1086" s="61"/>
      <c r="V1086" s="61"/>
      <c r="W1086" s="61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</row>
    <row r="1087" spans="1:36" ht="11.25" customHeight="1" x14ac:dyDescent="0.2">
      <c r="A1087" s="57" t="s">
        <v>59</v>
      </c>
      <c r="B1087" s="57" t="s">
        <v>35</v>
      </c>
      <c r="C1087" s="57" t="s">
        <v>36</v>
      </c>
      <c r="D1087" s="57" t="s">
        <v>42</v>
      </c>
      <c r="E1087" s="57" t="s">
        <v>25</v>
      </c>
      <c r="F1087" s="57" t="s">
        <v>25</v>
      </c>
      <c r="G1087" s="57" t="s">
        <v>25</v>
      </c>
      <c r="H1087" s="57" t="s">
        <v>25</v>
      </c>
      <c r="I1087" s="82">
        <v>44470</v>
      </c>
      <c r="J1087" s="83">
        <f ca="1">EFEITO!$J$1087*EFEITO!$Y$1087</f>
        <v>-447.02898620421774</v>
      </c>
      <c r="K1087" s="83">
        <f>EFEITO!$L$1087*EFEITO!$Z$1087</f>
        <v>0</v>
      </c>
      <c r="L1087" s="83">
        <f>EFEITO!$N$1087*EFEITO!$AA$1087</f>
        <v>0</v>
      </c>
      <c r="M1087" s="83">
        <f ca="1">$J$1087-EFEITO!$K$1087*EFEITO!$Y$1087</f>
        <v>0</v>
      </c>
      <c r="N1087" s="83">
        <f>$K$1087-EFEITO!$M$1087*EFEITO!$Z$1087</f>
        <v>0</v>
      </c>
      <c r="O1087" s="83">
        <f>$L$1087-EFEITO!$O$1087*EFEITO!$AA$1087</f>
        <v>0</v>
      </c>
      <c r="P1087" s="61"/>
      <c r="Q1087" s="61"/>
      <c r="R1087" s="61"/>
      <c r="S1087" s="61"/>
      <c r="T1087" s="61"/>
      <c r="U1087" s="61"/>
      <c r="V1087" s="61"/>
      <c r="W1087" s="61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</row>
    <row r="1088" spans="1:36" ht="11.25" customHeight="1" x14ac:dyDescent="0.2">
      <c r="A1088" s="57" t="s">
        <v>59</v>
      </c>
      <c r="B1088" s="57" t="s">
        <v>35</v>
      </c>
      <c r="C1088" s="57" t="s">
        <v>36</v>
      </c>
      <c r="D1088" s="57" t="s">
        <v>42</v>
      </c>
      <c r="E1088" s="57" t="s">
        <v>25</v>
      </c>
      <c r="F1088" s="57" t="s">
        <v>25</v>
      </c>
      <c r="G1088" s="57" t="s">
        <v>25</v>
      </c>
      <c r="H1088" s="57" t="s">
        <v>25</v>
      </c>
      <c r="I1088" s="82">
        <v>44470</v>
      </c>
      <c r="J1088" s="83">
        <f ca="1">EFEITO!$J$1088*EFEITO!$Y$1088</f>
        <v>79890.465963068054</v>
      </c>
      <c r="K1088" s="83">
        <f>EFEITO!$L$1088*EFEITO!$Z$1088</f>
        <v>0</v>
      </c>
      <c r="L1088" s="83">
        <f>EFEITO!$N$1088*EFEITO!$AA$1088</f>
        <v>0</v>
      </c>
      <c r="M1088" s="83">
        <f ca="1">$J$1088-EFEITO!$K$1088*EFEITO!$Y$1088</f>
        <v>0</v>
      </c>
      <c r="N1088" s="83">
        <f>$K$1088-EFEITO!$M$1088*EFEITO!$Z$1088</f>
        <v>0</v>
      </c>
      <c r="O1088" s="83">
        <f>$L$1088-EFEITO!$O$1088*EFEITO!$AA$1088</f>
        <v>0</v>
      </c>
      <c r="P1088" s="61"/>
      <c r="Q1088" s="61"/>
      <c r="R1088" s="61"/>
      <c r="S1088" s="61"/>
      <c r="T1088" s="61"/>
      <c r="U1088" s="61"/>
      <c r="V1088" s="61"/>
      <c r="W1088" s="61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</row>
    <row r="1089" spans="1:36" ht="11.25" customHeight="1" x14ac:dyDescent="0.2">
      <c r="A1089" s="57" t="s">
        <v>59</v>
      </c>
      <c r="B1089" s="57" t="s">
        <v>35</v>
      </c>
      <c r="C1089" s="57" t="s">
        <v>36</v>
      </c>
      <c r="D1089" s="57" t="s">
        <v>42</v>
      </c>
      <c r="E1089" s="57" t="s">
        <v>25</v>
      </c>
      <c r="F1089" s="57" t="s">
        <v>25</v>
      </c>
      <c r="G1089" s="57" t="s">
        <v>25</v>
      </c>
      <c r="H1089" s="57" t="s">
        <v>25</v>
      </c>
      <c r="I1089" s="82">
        <v>44470</v>
      </c>
      <c r="J1089" s="83">
        <f ca="1">EFEITO!$J$1089*EFEITO!$Y$1089</f>
        <v>98506.030174286556</v>
      </c>
      <c r="K1089" s="83">
        <f>EFEITO!$L$1089*EFEITO!$Z$1089</f>
        <v>0</v>
      </c>
      <c r="L1089" s="83">
        <f>EFEITO!$N$1089*EFEITO!$AA$1089</f>
        <v>0</v>
      </c>
      <c r="M1089" s="83">
        <f ca="1">$J$1089-EFEITO!$K$1089*EFEITO!$Y$1089</f>
        <v>0</v>
      </c>
      <c r="N1089" s="83">
        <f>$K$1089-EFEITO!$M$1089*EFEITO!$Z$1089</f>
        <v>0</v>
      </c>
      <c r="O1089" s="83">
        <f>$L$1089-EFEITO!$O$1089*EFEITO!$AA$1089</f>
        <v>0</v>
      </c>
      <c r="P1089" s="61"/>
      <c r="Q1089" s="61"/>
      <c r="R1089" s="61"/>
      <c r="S1089" s="61"/>
      <c r="T1089" s="61"/>
      <c r="U1089" s="61"/>
      <c r="V1089" s="61"/>
      <c r="W1089" s="61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</row>
    <row r="1090" spans="1:36" ht="11.25" customHeight="1" x14ac:dyDescent="0.2">
      <c r="A1090" s="57" t="s">
        <v>21</v>
      </c>
      <c r="B1090" s="57" t="s">
        <v>35</v>
      </c>
      <c r="C1090" s="57" t="s">
        <v>36</v>
      </c>
      <c r="D1090" s="57" t="s">
        <v>42</v>
      </c>
      <c r="E1090" s="57" t="s">
        <v>25</v>
      </c>
      <c r="F1090" s="57" t="s">
        <v>25</v>
      </c>
      <c r="G1090" s="57" t="s">
        <v>25</v>
      </c>
      <c r="H1090" s="57" t="s">
        <v>37</v>
      </c>
      <c r="I1090" s="82">
        <v>44136</v>
      </c>
      <c r="J1090" s="83">
        <f>EFEITO!$J$1090*EFEITO!$Y$1090</f>
        <v>0</v>
      </c>
      <c r="K1090" s="83">
        <f ca="1">EFEITO!$L$1090*EFEITO!$Z$1090</f>
        <v>2830311.3216807577</v>
      </c>
      <c r="L1090" s="83">
        <f>EFEITO!$N$1090*EFEITO!$AA$1090</f>
        <v>800683.68004578422</v>
      </c>
      <c r="M1090" s="83">
        <f>$J$1090-EFEITO!$K$1090*EFEITO!$Y$1090</f>
        <v>0</v>
      </c>
      <c r="N1090" s="83">
        <f ca="1">$K$1090-EFEITO!$M$1090*EFEITO!$Z$1090</f>
        <v>0</v>
      </c>
      <c r="O1090" s="83">
        <f>$L$1090-EFEITO!$O$1090*EFEITO!$AA$1090</f>
        <v>0</v>
      </c>
      <c r="P1090" s="61"/>
      <c r="Q1090" s="61"/>
      <c r="R1090" s="61"/>
      <c r="S1090" s="61"/>
      <c r="T1090" s="61"/>
      <c r="U1090" s="61"/>
      <c r="V1090" s="61"/>
      <c r="W1090" s="61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</row>
    <row r="1091" spans="1:36" ht="11.25" customHeight="1" x14ac:dyDescent="0.2">
      <c r="A1091" s="57" t="s">
        <v>27</v>
      </c>
      <c r="B1091" s="57" t="s">
        <v>35</v>
      </c>
      <c r="C1091" s="57" t="s">
        <v>36</v>
      </c>
      <c r="D1091" s="57" t="s">
        <v>42</v>
      </c>
      <c r="E1091" s="57" t="s">
        <v>25</v>
      </c>
      <c r="F1091" s="57" t="s">
        <v>25</v>
      </c>
      <c r="G1091" s="57" t="s">
        <v>25</v>
      </c>
      <c r="H1091" s="57" t="s">
        <v>37</v>
      </c>
      <c r="I1091" s="82">
        <v>44136</v>
      </c>
      <c r="J1091" s="83">
        <f>EFEITO!$J$1091*EFEITO!$Y$1091</f>
        <v>0</v>
      </c>
      <c r="K1091" s="83">
        <f ca="1">EFEITO!$L$1091*EFEITO!$Z$1091</f>
        <v>-5601.6988104045931</v>
      </c>
      <c r="L1091" s="83">
        <f>EFEITO!$N$1091*EFEITO!$AA$1091</f>
        <v>-1584.6980449342752</v>
      </c>
      <c r="M1091" s="83">
        <f>$J$1091-EFEITO!$K$1091*EFEITO!$Y$1091</f>
        <v>0</v>
      </c>
      <c r="N1091" s="83">
        <f ca="1">$K$1091-EFEITO!$M$1091*EFEITO!$Z$1091</f>
        <v>0</v>
      </c>
      <c r="O1091" s="83">
        <f>$L$1091-EFEITO!$O$1091*EFEITO!$AA$1091</f>
        <v>0</v>
      </c>
      <c r="P1091" s="61"/>
      <c r="Q1091" s="61"/>
      <c r="R1091" s="61"/>
      <c r="S1091" s="61"/>
      <c r="T1091" s="61"/>
      <c r="U1091" s="61"/>
      <c r="V1091" s="61"/>
      <c r="W1091" s="61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</row>
    <row r="1092" spans="1:36" ht="11.25" customHeight="1" x14ac:dyDescent="0.2">
      <c r="A1092" s="57" t="s">
        <v>28</v>
      </c>
      <c r="B1092" s="57" t="s">
        <v>35</v>
      </c>
      <c r="C1092" s="57" t="s">
        <v>36</v>
      </c>
      <c r="D1092" s="57" t="s">
        <v>42</v>
      </c>
      <c r="E1092" s="57" t="s">
        <v>25</v>
      </c>
      <c r="F1092" s="57" t="s">
        <v>25</v>
      </c>
      <c r="G1092" s="57" t="s">
        <v>25</v>
      </c>
      <c r="H1092" s="57" t="s">
        <v>37</v>
      </c>
      <c r="I1092" s="82">
        <v>44136</v>
      </c>
      <c r="J1092" s="83">
        <f>EFEITO!$J$1092*EFEITO!$Y$1092</f>
        <v>0</v>
      </c>
      <c r="K1092" s="83">
        <f ca="1">EFEITO!$L$1092*EFEITO!$Z$1092</f>
        <v>260154.58437426607</v>
      </c>
      <c r="L1092" s="83">
        <f>EFEITO!$N$1092*EFEITO!$AA$1092</f>
        <v>73596.684718722259</v>
      </c>
      <c r="M1092" s="83">
        <f>$J$1092-EFEITO!$K$1092*EFEITO!$Y$1092</f>
        <v>0</v>
      </c>
      <c r="N1092" s="83">
        <f ca="1">$K$1092-EFEITO!$M$1092*EFEITO!$Z$1092</f>
        <v>0</v>
      </c>
      <c r="O1092" s="83">
        <f>$L$1092-EFEITO!$O$1092*EFEITO!$AA$1092</f>
        <v>0</v>
      </c>
      <c r="P1092" s="61"/>
      <c r="Q1092" s="61"/>
      <c r="R1092" s="61"/>
      <c r="S1092" s="61"/>
      <c r="T1092" s="61"/>
      <c r="U1092" s="61"/>
      <c r="V1092" s="61"/>
      <c r="W1092" s="61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</row>
    <row r="1093" spans="1:36" ht="11.25" customHeight="1" x14ac:dyDescent="0.2">
      <c r="A1093" s="57" t="s">
        <v>30</v>
      </c>
      <c r="B1093" s="57" t="s">
        <v>35</v>
      </c>
      <c r="C1093" s="57" t="s">
        <v>36</v>
      </c>
      <c r="D1093" s="57" t="s">
        <v>42</v>
      </c>
      <c r="E1093" s="57" t="s">
        <v>25</v>
      </c>
      <c r="F1093" s="57" t="s">
        <v>25</v>
      </c>
      <c r="G1093" s="57" t="s">
        <v>25</v>
      </c>
      <c r="H1093" s="57" t="s">
        <v>37</v>
      </c>
      <c r="I1093" s="82">
        <v>44136</v>
      </c>
      <c r="J1093" s="83">
        <f>EFEITO!$J$1093*EFEITO!$Y$1093</f>
        <v>0</v>
      </c>
      <c r="K1093" s="83">
        <f ca="1">EFEITO!$L$1093*EFEITO!$Z$1093</f>
        <v>60478.432856139952</v>
      </c>
      <c r="L1093" s="83">
        <f>EFEITO!$N$1093*EFEITO!$AA$1093</f>
        <v>17109.105211047859</v>
      </c>
      <c r="M1093" s="83">
        <f>$J$1093-EFEITO!$K$1093*EFEITO!$Y$1093</f>
        <v>0</v>
      </c>
      <c r="N1093" s="83">
        <f ca="1">$K$1093-EFEITO!$M$1093*EFEITO!$Z$1093</f>
        <v>0</v>
      </c>
      <c r="O1093" s="83">
        <f>$L$1093-EFEITO!$O$1093*EFEITO!$AA$1093</f>
        <v>0</v>
      </c>
      <c r="P1093" s="61"/>
      <c r="Q1093" s="61"/>
      <c r="R1093" s="61"/>
      <c r="S1093" s="61"/>
      <c r="T1093" s="61"/>
      <c r="U1093" s="61"/>
      <c r="V1093" s="61"/>
      <c r="W1093" s="61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</row>
    <row r="1094" spans="1:36" ht="11.25" customHeight="1" x14ac:dyDescent="0.2">
      <c r="A1094" s="57" t="s">
        <v>21</v>
      </c>
      <c r="B1094" s="57" t="s">
        <v>35</v>
      </c>
      <c r="C1094" s="57" t="s">
        <v>36</v>
      </c>
      <c r="D1094" s="57" t="s">
        <v>42</v>
      </c>
      <c r="E1094" s="57" t="s">
        <v>25</v>
      </c>
      <c r="F1094" s="57" t="s">
        <v>25</v>
      </c>
      <c r="G1094" s="57" t="s">
        <v>25</v>
      </c>
      <c r="H1094" s="57" t="s">
        <v>37</v>
      </c>
      <c r="I1094" s="82">
        <v>44166</v>
      </c>
      <c r="J1094" s="83">
        <f>EFEITO!$J$1094*EFEITO!$Y$1094</f>
        <v>0</v>
      </c>
      <c r="K1094" s="83">
        <f ca="1">EFEITO!$L$1094*EFEITO!$Z$1094</f>
        <v>2651011.9919821308</v>
      </c>
      <c r="L1094" s="83">
        <f>EFEITO!$N$1094*EFEITO!$AA$1094</f>
        <v>749960.62140798545</v>
      </c>
      <c r="M1094" s="83">
        <f>$J$1094-EFEITO!$K$1094*EFEITO!$Y$1094</f>
        <v>0</v>
      </c>
      <c r="N1094" s="83">
        <f ca="1">$K$1094-EFEITO!$M$1094*EFEITO!$Z$1094</f>
        <v>0</v>
      </c>
      <c r="O1094" s="83">
        <f>$L$1094-EFEITO!$O$1094*EFEITO!$AA$1094</f>
        <v>0</v>
      </c>
      <c r="P1094" s="61"/>
      <c r="Q1094" s="61"/>
      <c r="R1094" s="61"/>
      <c r="S1094" s="61"/>
      <c r="T1094" s="61"/>
      <c r="U1094" s="61"/>
      <c r="V1094" s="61"/>
      <c r="W1094" s="61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</row>
    <row r="1095" spans="1:36" ht="11.25" customHeight="1" x14ac:dyDescent="0.2">
      <c r="A1095" s="57" t="s">
        <v>28</v>
      </c>
      <c r="B1095" s="57" t="s">
        <v>35</v>
      </c>
      <c r="C1095" s="57" t="s">
        <v>36</v>
      </c>
      <c r="D1095" s="57" t="s">
        <v>42</v>
      </c>
      <c r="E1095" s="57" t="s">
        <v>25</v>
      </c>
      <c r="F1095" s="57" t="s">
        <v>25</v>
      </c>
      <c r="G1095" s="57" t="s">
        <v>25</v>
      </c>
      <c r="H1095" s="57" t="s">
        <v>37</v>
      </c>
      <c r="I1095" s="82">
        <v>44166</v>
      </c>
      <c r="J1095" s="83">
        <f>EFEITO!$J$1095*EFEITO!$Y$1095</f>
        <v>0</v>
      </c>
      <c r="K1095" s="83">
        <f ca="1">EFEITO!$L$1095*EFEITO!$Z$1095</f>
        <v>245135.35063719502</v>
      </c>
      <c r="L1095" s="83">
        <f>EFEITO!$N$1095*EFEITO!$AA$1095</f>
        <v>69347.803951455819</v>
      </c>
      <c r="M1095" s="83">
        <f>$J$1095-EFEITO!$K$1095*EFEITO!$Y$1095</f>
        <v>0</v>
      </c>
      <c r="N1095" s="83">
        <f ca="1">$K$1095-EFEITO!$M$1095*EFEITO!$Z$1095</f>
        <v>0</v>
      </c>
      <c r="O1095" s="83">
        <f>$L$1095-EFEITO!$O$1095*EFEITO!$AA$1095</f>
        <v>0</v>
      </c>
      <c r="P1095" s="61"/>
      <c r="Q1095" s="61"/>
      <c r="R1095" s="61"/>
      <c r="S1095" s="61"/>
      <c r="T1095" s="61"/>
      <c r="U1095" s="61"/>
      <c r="V1095" s="61"/>
      <c r="W1095" s="61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</row>
    <row r="1096" spans="1:36" ht="11.25" customHeight="1" x14ac:dyDescent="0.2">
      <c r="A1096" s="57" t="s">
        <v>30</v>
      </c>
      <c r="B1096" s="57" t="s">
        <v>35</v>
      </c>
      <c r="C1096" s="57" t="s">
        <v>36</v>
      </c>
      <c r="D1096" s="57" t="s">
        <v>42</v>
      </c>
      <c r="E1096" s="57" t="s">
        <v>25</v>
      </c>
      <c r="F1096" s="57" t="s">
        <v>25</v>
      </c>
      <c r="G1096" s="57" t="s">
        <v>25</v>
      </c>
      <c r="H1096" s="57" t="s">
        <v>37</v>
      </c>
      <c r="I1096" s="82">
        <v>44166</v>
      </c>
      <c r="J1096" s="83">
        <f>EFEITO!$J$1096*EFEITO!$Y$1096</f>
        <v>0</v>
      </c>
      <c r="K1096" s="83">
        <f ca="1">EFEITO!$L$1096*EFEITO!$Z$1096</f>
        <v>55381.015418002287</v>
      </c>
      <c r="L1096" s="83">
        <f>EFEITO!$N$1096*EFEITO!$AA$1096</f>
        <v>15667.066336443106</v>
      </c>
      <c r="M1096" s="83">
        <f>$J$1096-EFEITO!$K$1096*EFEITO!$Y$1096</f>
        <v>0</v>
      </c>
      <c r="N1096" s="83">
        <f ca="1">$K$1096-EFEITO!$M$1096*EFEITO!$Z$1096</f>
        <v>0</v>
      </c>
      <c r="O1096" s="83">
        <f>$L$1096-EFEITO!$O$1096*EFEITO!$AA$1096</f>
        <v>0</v>
      </c>
      <c r="P1096" s="61"/>
      <c r="Q1096" s="61"/>
      <c r="R1096" s="61"/>
      <c r="S1096" s="61"/>
      <c r="T1096" s="61"/>
      <c r="U1096" s="61"/>
      <c r="V1096" s="61"/>
      <c r="W1096" s="61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</row>
    <row r="1097" spans="1:36" ht="11.25" customHeight="1" x14ac:dyDescent="0.2">
      <c r="A1097" s="57" t="s">
        <v>21</v>
      </c>
      <c r="B1097" s="57" t="s">
        <v>35</v>
      </c>
      <c r="C1097" s="57" t="s">
        <v>36</v>
      </c>
      <c r="D1097" s="57" t="s">
        <v>42</v>
      </c>
      <c r="E1097" s="57" t="s">
        <v>25</v>
      </c>
      <c r="F1097" s="57" t="s">
        <v>25</v>
      </c>
      <c r="G1097" s="57" t="s">
        <v>25</v>
      </c>
      <c r="H1097" s="57" t="s">
        <v>37</v>
      </c>
      <c r="I1097" s="82">
        <v>44197</v>
      </c>
      <c r="J1097" s="83">
        <f>EFEITO!$J$1097*EFEITO!$Y$1097</f>
        <v>0</v>
      </c>
      <c r="K1097" s="83">
        <f ca="1">EFEITO!$L$1097*EFEITO!$Z$1097</f>
        <v>2070935.8446701793</v>
      </c>
      <c r="L1097" s="83">
        <f>EFEITO!$N$1097*EFEITO!$AA$1097</f>
        <v>585859.41431508539</v>
      </c>
      <c r="M1097" s="83">
        <f>$J$1097-EFEITO!$K$1097*EFEITO!$Y$1097</f>
        <v>0</v>
      </c>
      <c r="N1097" s="83">
        <f ca="1">$K$1097-EFEITO!$M$1097*EFEITO!$Z$1097</f>
        <v>0</v>
      </c>
      <c r="O1097" s="83">
        <f>$L$1097-EFEITO!$O$1097*EFEITO!$AA$1097</f>
        <v>0</v>
      </c>
      <c r="P1097" s="61"/>
      <c r="Q1097" s="61"/>
      <c r="R1097" s="61"/>
      <c r="S1097" s="61"/>
      <c r="T1097" s="61"/>
      <c r="U1097" s="61"/>
      <c r="V1097" s="61"/>
      <c r="W1097" s="61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</row>
    <row r="1098" spans="1:36" ht="11.25" customHeight="1" x14ac:dyDescent="0.2">
      <c r="A1098" s="57" t="s">
        <v>27</v>
      </c>
      <c r="B1098" s="57" t="s">
        <v>35</v>
      </c>
      <c r="C1098" s="57" t="s">
        <v>36</v>
      </c>
      <c r="D1098" s="57" t="s">
        <v>42</v>
      </c>
      <c r="E1098" s="57" t="s">
        <v>25</v>
      </c>
      <c r="F1098" s="57" t="s">
        <v>25</v>
      </c>
      <c r="G1098" s="57" t="s">
        <v>25</v>
      </c>
      <c r="H1098" s="57" t="s">
        <v>37</v>
      </c>
      <c r="I1098" s="82">
        <v>44197</v>
      </c>
      <c r="J1098" s="83">
        <f>EFEITO!$J$1098*EFEITO!$Y$1098</f>
        <v>0</v>
      </c>
      <c r="K1098" s="83">
        <f ca="1">EFEITO!$L$1098*EFEITO!$Z$1098</f>
        <v>-958.77700395973102</v>
      </c>
      <c r="L1098" s="83">
        <f>EFEITO!$N$1098*EFEITO!$AA$1098</f>
        <v>-271.23415505325755</v>
      </c>
      <c r="M1098" s="83">
        <f>$J$1098-EFEITO!$K$1098*EFEITO!$Y$1098</f>
        <v>0</v>
      </c>
      <c r="N1098" s="83">
        <f ca="1">$K$1098-EFEITO!$M$1098*EFEITO!$Z$1098</f>
        <v>0</v>
      </c>
      <c r="O1098" s="83">
        <f>$L$1098-EFEITO!$O$1098*EFEITO!$AA$1098</f>
        <v>0</v>
      </c>
      <c r="P1098" s="61"/>
      <c r="Q1098" s="61"/>
      <c r="R1098" s="61"/>
      <c r="S1098" s="61"/>
      <c r="T1098" s="61"/>
      <c r="U1098" s="61"/>
      <c r="V1098" s="61"/>
      <c r="W1098" s="61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</row>
    <row r="1099" spans="1:36" ht="11.25" customHeight="1" x14ac:dyDescent="0.2">
      <c r="A1099" s="57" t="s">
        <v>28</v>
      </c>
      <c r="B1099" s="57" t="s">
        <v>35</v>
      </c>
      <c r="C1099" s="57" t="s">
        <v>36</v>
      </c>
      <c r="D1099" s="57" t="s">
        <v>42</v>
      </c>
      <c r="E1099" s="57" t="s">
        <v>25</v>
      </c>
      <c r="F1099" s="57" t="s">
        <v>25</v>
      </c>
      <c r="G1099" s="57" t="s">
        <v>25</v>
      </c>
      <c r="H1099" s="57" t="s">
        <v>37</v>
      </c>
      <c r="I1099" s="82">
        <v>44197</v>
      </c>
      <c r="J1099" s="83">
        <f>EFEITO!$J$1099*EFEITO!$Y$1099</f>
        <v>0</v>
      </c>
      <c r="K1099" s="83">
        <f ca="1">EFEITO!$L$1099*EFEITO!$Z$1099</f>
        <v>201906.87389417313</v>
      </c>
      <c r="L1099" s="83">
        <f>EFEITO!$N$1099*EFEITO!$AA$1099</f>
        <v>57118.641888526952</v>
      </c>
      <c r="M1099" s="83">
        <f>$J$1099-EFEITO!$K$1099*EFEITO!$Y$1099</f>
        <v>0</v>
      </c>
      <c r="N1099" s="83">
        <f ca="1">$K$1099-EFEITO!$M$1099*EFEITO!$Z$1099</f>
        <v>0</v>
      </c>
      <c r="O1099" s="83">
        <f>$L$1099-EFEITO!$O$1099*EFEITO!$AA$1099</f>
        <v>0</v>
      </c>
      <c r="P1099" s="61"/>
      <c r="Q1099" s="61"/>
      <c r="R1099" s="61"/>
      <c r="S1099" s="61"/>
      <c r="T1099" s="61"/>
      <c r="U1099" s="61"/>
      <c r="V1099" s="61"/>
      <c r="W1099" s="61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</row>
    <row r="1100" spans="1:36" ht="11.25" customHeight="1" x14ac:dyDescent="0.2">
      <c r="A1100" s="57" t="s">
        <v>29</v>
      </c>
      <c r="B1100" s="57" t="s">
        <v>35</v>
      </c>
      <c r="C1100" s="57" t="s">
        <v>36</v>
      </c>
      <c r="D1100" s="57" t="s">
        <v>42</v>
      </c>
      <c r="E1100" s="57" t="s">
        <v>25</v>
      </c>
      <c r="F1100" s="57" t="s">
        <v>25</v>
      </c>
      <c r="G1100" s="57" t="s">
        <v>25</v>
      </c>
      <c r="H1100" s="57" t="s">
        <v>37</v>
      </c>
      <c r="I1100" s="82">
        <v>44197</v>
      </c>
      <c r="J1100" s="83">
        <f>EFEITO!$J$1100*EFEITO!$Y$1100</f>
        <v>0</v>
      </c>
      <c r="K1100" s="83">
        <f ca="1">EFEITO!$L$1100*EFEITO!$Z$1100</f>
        <v>-20481.211275541791</v>
      </c>
      <c r="L1100" s="83">
        <f>EFEITO!$N$1100*EFEITO!$AA$1100</f>
        <v>-5794.0522267909437</v>
      </c>
      <c r="M1100" s="83">
        <f>$J$1100-EFEITO!$K$1100*EFEITO!$Y$1100</f>
        <v>0</v>
      </c>
      <c r="N1100" s="83">
        <f ca="1">$K$1100-EFEITO!$M$1100*EFEITO!$Z$1100</f>
        <v>0</v>
      </c>
      <c r="O1100" s="83">
        <f>$L$1100-EFEITO!$O$1100*EFEITO!$AA$1100</f>
        <v>0</v>
      </c>
      <c r="P1100" s="61"/>
      <c r="Q1100" s="61"/>
      <c r="R1100" s="61"/>
      <c r="S1100" s="61"/>
      <c r="T1100" s="61"/>
      <c r="U1100" s="61"/>
      <c r="V1100" s="61"/>
      <c r="W1100" s="61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</row>
    <row r="1101" spans="1:36" ht="11.25" customHeight="1" x14ac:dyDescent="0.2">
      <c r="A1101" s="57" t="s">
        <v>30</v>
      </c>
      <c r="B1101" s="57" t="s">
        <v>35</v>
      </c>
      <c r="C1101" s="57" t="s">
        <v>36</v>
      </c>
      <c r="D1101" s="57" t="s">
        <v>42</v>
      </c>
      <c r="E1101" s="57" t="s">
        <v>25</v>
      </c>
      <c r="F1101" s="57" t="s">
        <v>25</v>
      </c>
      <c r="G1101" s="57" t="s">
        <v>25</v>
      </c>
      <c r="H1101" s="57" t="s">
        <v>37</v>
      </c>
      <c r="I1101" s="82">
        <v>44197</v>
      </c>
      <c r="J1101" s="83">
        <f>EFEITO!$J$1101*EFEITO!$Y$1101</f>
        <v>0</v>
      </c>
      <c r="K1101" s="83">
        <f ca="1">EFEITO!$L$1101*EFEITO!$Z$1101</f>
        <v>41463.491940087668</v>
      </c>
      <c r="L1101" s="83">
        <f>EFEITO!$N$1101*EFEITO!$AA$1101</f>
        <v>11729.854966775551</v>
      </c>
      <c r="M1101" s="83">
        <f>$J$1101-EFEITO!$K$1101*EFEITO!$Y$1101</f>
        <v>0</v>
      </c>
      <c r="N1101" s="83">
        <f ca="1">$K$1101-EFEITO!$M$1101*EFEITO!$Z$1101</f>
        <v>0</v>
      </c>
      <c r="O1101" s="83">
        <f>$L$1101-EFEITO!$O$1101*EFEITO!$AA$1101</f>
        <v>0</v>
      </c>
      <c r="P1101" s="61"/>
      <c r="Q1101" s="61"/>
      <c r="R1101" s="61"/>
      <c r="S1101" s="61"/>
      <c r="T1101" s="61"/>
      <c r="U1101" s="61"/>
      <c r="V1101" s="61"/>
      <c r="W1101" s="61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</row>
    <row r="1102" spans="1:36" ht="11.25" customHeight="1" x14ac:dyDescent="0.2">
      <c r="A1102" s="57" t="s">
        <v>21</v>
      </c>
      <c r="B1102" s="57" t="s">
        <v>35</v>
      </c>
      <c r="C1102" s="57" t="s">
        <v>36</v>
      </c>
      <c r="D1102" s="57" t="s">
        <v>42</v>
      </c>
      <c r="E1102" s="57" t="s">
        <v>25</v>
      </c>
      <c r="F1102" s="57" t="s">
        <v>25</v>
      </c>
      <c r="G1102" s="57" t="s">
        <v>25</v>
      </c>
      <c r="H1102" s="57" t="s">
        <v>37</v>
      </c>
      <c r="I1102" s="82">
        <v>44228</v>
      </c>
      <c r="J1102" s="83">
        <f>EFEITO!$J$1102*EFEITO!$Y$1102</f>
        <v>0</v>
      </c>
      <c r="K1102" s="83">
        <f ca="1">EFEITO!$L$1102*EFEITO!$Z$1102</f>
        <v>2086830.3438463758</v>
      </c>
      <c r="L1102" s="83">
        <f>EFEITO!$N$1102*EFEITO!$AA$1102</f>
        <v>590355.90415187273</v>
      </c>
      <c r="M1102" s="83">
        <f>$J$1102-EFEITO!$K$1102*EFEITO!$Y$1102</f>
        <v>0</v>
      </c>
      <c r="N1102" s="83">
        <f ca="1">$K$1102-EFEITO!$M$1102*EFEITO!$Z$1102</f>
        <v>0</v>
      </c>
      <c r="O1102" s="83">
        <f>$L$1102-EFEITO!$O$1102*EFEITO!$AA$1102</f>
        <v>0</v>
      </c>
      <c r="P1102" s="61"/>
      <c r="Q1102" s="61"/>
      <c r="R1102" s="61"/>
      <c r="S1102" s="61"/>
      <c r="T1102" s="61"/>
      <c r="U1102" s="61"/>
      <c r="V1102" s="61"/>
      <c r="W1102" s="61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</row>
    <row r="1103" spans="1:36" ht="11.25" customHeight="1" x14ac:dyDescent="0.2">
      <c r="A1103" s="57" t="s">
        <v>27</v>
      </c>
      <c r="B1103" s="57" t="s">
        <v>35</v>
      </c>
      <c r="C1103" s="57" t="s">
        <v>36</v>
      </c>
      <c r="D1103" s="57" t="s">
        <v>42</v>
      </c>
      <c r="E1103" s="57" t="s">
        <v>25</v>
      </c>
      <c r="F1103" s="57" t="s">
        <v>25</v>
      </c>
      <c r="G1103" s="57" t="s">
        <v>25</v>
      </c>
      <c r="H1103" s="57" t="s">
        <v>37</v>
      </c>
      <c r="I1103" s="82">
        <v>44228</v>
      </c>
      <c r="J1103" s="83">
        <f>EFEITO!$J$1103*EFEITO!$Y$1103</f>
        <v>0</v>
      </c>
      <c r="K1103" s="83">
        <f ca="1">EFEITO!$L$1103*EFEITO!$Z$1103</f>
        <v>-220650.40222451484</v>
      </c>
      <c r="L1103" s="83">
        <f>EFEITO!$N$1103*EFEITO!$AA$1103</f>
        <v>-62421.110604819361</v>
      </c>
      <c r="M1103" s="83">
        <f>$J$1103-EFEITO!$K$1103*EFEITO!$Y$1103</f>
        <v>0</v>
      </c>
      <c r="N1103" s="83">
        <f ca="1">$K$1103-EFEITO!$M$1103*EFEITO!$Z$1103</f>
        <v>0</v>
      </c>
      <c r="O1103" s="83">
        <f>$L$1103-EFEITO!$O$1103*EFEITO!$AA$1103</f>
        <v>0</v>
      </c>
      <c r="P1103" s="61"/>
      <c r="Q1103" s="61"/>
      <c r="R1103" s="61"/>
      <c r="S1103" s="61"/>
      <c r="T1103" s="61"/>
      <c r="U1103" s="61"/>
      <c r="V1103" s="61"/>
      <c r="W1103" s="61"/>
      <c r="X1103" s="6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</row>
    <row r="1104" spans="1:36" ht="11.25" customHeight="1" x14ac:dyDescent="0.2">
      <c r="A1104" s="57" t="s">
        <v>28</v>
      </c>
      <c r="B1104" s="57" t="s">
        <v>35</v>
      </c>
      <c r="C1104" s="57" t="s">
        <v>36</v>
      </c>
      <c r="D1104" s="57" t="s">
        <v>42</v>
      </c>
      <c r="E1104" s="57" t="s">
        <v>25</v>
      </c>
      <c r="F1104" s="57" t="s">
        <v>25</v>
      </c>
      <c r="G1104" s="57" t="s">
        <v>25</v>
      </c>
      <c r="H1104" s="57" t="s">
        <v>37</v>
      </c>
      <c r="I1104" s="82">
        <v>44228</v>
      </c>
      <c r="J1104" s="83">
        <f>EFEITO!$J$1104*EFEITO!$Y$1104</f>
        <v>0</v>
      </c>
      <c r="K1104" s="83">
        <f ca="1">EFEITO!$L$1104*EFEITO!$Z$1104</f>
        <v>197731.29565247244</v>
      </c>
      <c r="L1104" s="83">
        <f>EFEITO!$N$1104*EFEITO!$AA$1104</f>
        <v>55937.387611913102</v>
      </c>
      <c r="M1104" s="83">
        <f>$J$1104-EFEITO!$K$1104*EFEITO!$Y$1104</f>
        <v>0</v>
      </c>
      <c r="N1104" s="83">
        <f ca="1">$K$1104-EFEITO!$M$1104*EFEITO!$Z$1104</f>
        <v>0</v>
      </c>
      <c r="O1104" s="83">
        <f>$L$1104-EFEITO!$O$1104*EFEITO!$AA$1104</f>
        <v>0</v>
      </c>
      <c r="P1104" s="61"/>
      <c r="Q1104" s="61"/>
      <c r="R1104" s="61"/>
      <c r="S1104" s="61"/>
      <c r="T1104" s="61"/>
      <c r="U1104" s="61"/>
      <c r="V1104" s="61"/>
      <c r="W1104" s="61"/>
      <c r="X1104" s="6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</row>
    <row r="1105" spans="1:36" ht="11.25" customHeight="1" x14ac:dyDescent="0.2">
      <c r="A1105" s="57" t="s">
        <v>30</v>
      </c>
      <c r="B1105" s="57" t="s">
        <v>35</v>
      </c>
      <c r="C1105" s="57" t="s">
        <v>36</v>
      </c>
      <c r="D1105" s="57" t="s">
        <v>42</v>
      </c>
      <c r="E1105" s="57" t="s">
        <v>25</v>
      </c>
      <c r="F1105" s="57" t="s">
        <v>25</v>
      </c>
      <c r="G1105" s="57" t="s">
        <v>25</v>
      </c>
      <c r="H1105" s="57" t="s">
        <v>37</v>
      </c>
      <c r="I1105" s="82">
        <v>44228</v>
      </c>
      <c r="J1105" s="83">
        <f>EFEITO!$J$1105*EFEITO!$Y$1105</f>
        <v>0</v>
      </c>
      <c r="K1105" s="83">
        <f ca="1">EFEITO!$L$1105*EFEITO!$Z$1105</f>
        <v>59204.881492421249</v>
      </c>
      <c r="L1105" s="83">
        <f>EFEITO!$N$1105*EFEITO!$AA$1105</f>
        <v>16748.822656680637</v>
      </c>
      <c r="M1105" s="83">
        <f>$J$1105-EFEITO!$K$1105*EFEITO!$Y$1105</f>
        <v>0</v>
      </c>
      <c r="N1105" s="83">
        <f ca="1">$K$1105-EFEITO!$M$1105*EFEITO!$Z$1105</f>
        <v>0</v>
      </c>
      <c r="O1105" s="83">
        <f>$L$1105-EFEITO!$O$1105*EFEITO!$AA$1105</f>
        <v>0</v>
      </c>
      <c r="P1105" s="61"/>
      <c r="Q1105" s="61"/>
      <c r="R1105" s="61"/>
      <c r="S1105" s="61"/>
      <c r="T1105" s="61"/>
      <c r="U1105" s="61"/>
      <c r="V1105" s="61"/>
      <c r="W1105" s="61"/>
      <c r="X1105" s="6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</row>
    <row r="1106" spans="1:36" ht="11.25" customHeight="1" x14ac:dyDescent="0.2">
      <c r="A1106" s="57" t="s">
        <v>21</v>
      </c>
      <c r="B1106" s="57" t="s">
        <v>35</v>
      </c>
      <c r="C1106" s="57" t="s">
        <v>36</v>
      </c>
      <c r="D1106" s="57" t="s">
        <v>42</v>
      </c>
      <c r="E1106" s="57" t="s">
        <v>25</v>
      </c>
      <c r="F1106" s="57" t="s">
        <v>25</v>
      </c>
      <c r="G1106" s="57" t="s">
        <v>25</v>
      </c>
      <c r="H1106" s="57" t="s">
        <v>37</v>
      </c>
      <c r="I1106" s="82">
        <v>44256</v>
      </c>
      <c r="J1106" s="83">
        <f>EFEITO!$J$1106*EFEITO!$Y$1106</f>
        <v>0</v>
      </c>
      <c r="K1106" s="83">
        <f ca="1">EFEITO!$L$1106*EFEITO!$Z$1106</f>
        <v>2929078.2010216611</v>
      </c>
      <c r="L1106" s="83">
        <f>EFEITO!$N$1106*EFEITO!$AA$1106</f>
        <v>828624.43264481321</v>
      </c>
      <c r="M1106" s="83">
        <f>$J$1106-EFEITO!$K$1106*EFEITO!$Y$1106</f>
        <v>0</v>
      </c>
      <c r="N1106" s="83">
        <f ca="1">$K$1106-EFEITO!$M$1106*EFEITO!$Z$1106</f>
        <v>0</v>
      </c>
      <c r="O1106" s="83">
        <f>$L$1106-EFEITO!$O$1106*EFEITO!$AA$1106</f>
        <v>0</v>
      </c>
      <c r="P1106" s="61"/>
      <c r="Q1106" s="61"/>
      <c r="R1106" s="61"/>
      <c r="S1106" s="61"/>
      <c r="T1106" s="61"/>
      <c r="U1106" s="61"/>
      <c r="V1106" s="61"/>
      <c r="W1106" s="61"/>
      <c r="X1106" s="6"/>
      <c r="Y1106" s="6"/>
      <c r="Z1106" s="6"/>
      <c r="AA1106" s="6"/>
      <c r="AB1106" s="6"/>
      <c r="AC1106" s="6"/>
      <c r="AD1106" s="6"/>
      <c r="AE1106" s="6"/>
      <c r="AF1106" s="6"/>
      <c r="AG1106" s="6"/>
      <c r="AH1106" s="6"/>
      <c r="AI1106" s="6"/>
      <c r="AJ1106" s="6"/>
    </row>
    <row r="1107" spans="1:36" ht="11.25" customHeight="1" x14ac:dyDescent="0.2">
      <c r="A1107" s="57" t="s">
        <v>28</v>
      </c>
      <c r="B1107" s="57" t="s">
        <v>35</v>
      </c>
      <c r="C1107" s="57" t="s">
        <v>36</v>
      </c>
      <c r="D1107" s="57" t="s">
        <v>42</v>
      </c>
      <c r="E1107" s="57" t="s">
        <v>25</v>
      </c>
      <c r="F1107" s="57" t="s">
        <v>25</v>
      </c>
      <c r="G1107" s="57" t="s">
        <v>25</v>
      </c>
      <c r="H1107" s="57" t="s">
        <v>37</v>
      </c>
      <c r="I1107" s="82">
        <v>44256</v>
      </c>
      <c r="J1107" s="83">
        <f>EFEITO!$J$1107*EFEITO!$Y$1107</f>
        <v>0</v>
      </c>
      <c r="K1107" s="83">
        <f ca="1">EFEITO!$L$1107*EFEITO!$Z$1107</f>
        <v>208896.14947412748</v>
      </c>
      <c r="L1107" s="83">
        <f>EFEITO!$N$1107*EFEITO!$AA$1107</f>
        <v>59095.879816151377</v>
      </c>
      <c r="M1107" s="83">
        <f>$J$1107-EFEITO!$K$1107*EFEITO!$Y$1107</f>
        <v>0</v>
      </c>
      <c r="N1107" s="83">
        <f ca="1">$K$1107-EFEITO!$M$1107*EFEITO!$Z$1107</f>
        <v>0</v>
      </c>
      <c r="O1107" s="83">
        <f>$L$1107-EFEITO!$O$1107*EFEITO!$AA$1107</f>
        <v>0</v>
      </c>
      <c r="P1107" s="61"/>
      <c r="Q1107" s="61"/>
      <c r="R1107" s="61"/>
      <c r="S1107" s="61"/>
      <c r="T1107" s="61"/>
      <c r="U1107" s="61"/>
      <c r="V1107" s="61"/>
      <c r="W1107" s="61"/>
      <c r="X1107" s="6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</row>
    <row r="1108" spans="1:36" ht="11.25" customHeight="1" x14ac:dyDescent="0.2">
      <c r="A1108" s="57" t="s">
        <v>30</v>
      </c>
      <c r="B1108" s="57" t="s">
        <v>35</v>
      </c>
      <c r="C1108" s="57" t="s">
        <v>36</v>
      </c>
      <c r="D1108" s="57" t="s">
        <v>42</v>
      </c>
      <c r="E1108" s="57" t="s">
        <v>25</v>
      </c>
      <c r="F1108" s="57" t="s">
        <v>25</v>
      </c>
      <c r="G1108" s="57" t="s">
        <v>25</v>
      </c>
      <c r="H1108" s="57" t="s">
        <v>37</v>
      </c>
      <c r="I1108" s="82">
        <v>44256</v>
      </c>
      <c r="J1108" s="83">
        <f>EFEITO!$J$1108*EFEITO!$Y$1108</f>
        <v>0</v>
      </c>
      <c r="K1108" s="83">
        <f ca="1">EFEITO!$L$1108*EFEITO!$Z$1108</f>
        <v>80227.311947752707</v>
      </c>
      <c r="L1108" s="83">
        <f>EFEITO!$N$1108*EFEITO!$AA$1108</f>
        <v>22695.983610863452</v>
      </c>
      <c r="M1108" s="83">
        <f>$J$1108-EFEITO!$K$1108*EFEITO!$Y$1108</f>
        <v>0</v>
      </c>
      <c r="N1108" s="83">
        <f ca="1">$K$1108-EFEITO!$M$1108*EFEITO!$Z$1108</f>
        <v>0</v>
      </c>
      <c r="O1108" s="83">
        <f>$L$1108-EFEITO!$O$1108*EFEITO!$AA$1108</f>
        <v>0</v>
      </c>
      <c r="P1108" s="61"/>
      <c r="Q1108" s="61"/>
      <c r="R1108" s="61"/>
      <c r="S1108" s="61"/>
      <c r="T1108" s="61"/>
      <c r="U1108" s="61"/>
      <c r="V1108" s="61"/>
      <c r="W1108" s="61"/>
      <c r="X1108" s="6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</row>
    <row r="1109" spans="1:36" ht="11.25" customHeight="1" x14ac:dyDescent="0.2">
      <c r="A1109" s="57" t="s">
        <v>21</v>
      </c>
      <c r="B1109" s="57" t="s">
        <v>35</v>
      </c>
      <c r="C1109" s="57" t="s">
        <v>36</v>
      </c>
      <c r="D1109" s="57" t="s">
        <v>42</v>
      </c>
      <c r="E1109" s="57" t="s">
        <v>25</v>
      </c>
      <c r="F1109" s="57" t="s">
        <v>25</v>
      </c>
      <c r="G1109" s="57" t="s">
        <v>25</v>
      </c>
      <c r="H1109" s="57" t="s">
        <v>37</v>
      </c>
      <c r="I1109" s="82">
        <v>44287</v>
      </c>
      <c r="J1109" s="83">
        <f>EFEITO!$J$1109*EFEITO!$Y$1109</f>
        <v>0</v>
      </c>
      <c r="K1109" s="83">
        <f ca="1">EFEITO!$L$1109*EFEITO!$Z$1109</f>
        <v>2504164.935179675</v>
      </c>
      <c r="L1109" s="83">
        <f>EFEITO!$N$1109*EFEITO!$AA$1109</f>
        <v>708418.1801423158</v>
      </c>
      <c r="M1109" s="83">
        <f>$J$1109-EFEITO!$K$1109*EFEITO!$Y$1109</f>
        <v>0</v>
      </c>
      <c r="N1109" s="83">
        <f ca="1">$K$1109-EFEITO!$M$1109*EFEITO!$Z$1109</f>
        <v>0</v>
      </c>
      <c r="O1109" s="83">
        <f>$L$1109-EFEITO!$O$1109*EFEITO!$AA$1109</f>
        <v>0</v>
      </c>
      <c r="P1109" s="61"/>
      <c r="Q1109" s="61"/>
      <c r="R1109" s="61"/>
      <c r="S1109" s="61"/>
      <c r="T1109" s="61"/>
      <c r="U1109" s="61"/>
      <c r="V1109" s="61"/>
      <c r="W1109" s="61"/>
      <c r="X1109" s="6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</row>
    <row r="1110" spans="1:36" ht="11.25" customHeight="1" x14ac:dyDescent="0.2">
      <c r="A1110" s="57" t="s">
        <v>27</v>
      </c>
      <c r="B1110" s="57" t="s">
        <v>35</v>
      </c>
      <c r="C1110" s="57" t="s">
        <v>36</v>
      </c>
      <c r="D1110" s="57" t="s">
        <v>42</v>
      </c>
      <c r="E1110" s="57" t="s">
        <v>25</v>
      </c>
      <c r="F1110" s="57" t="s">
        <v>25</v>
      </c>
      <c r="G1110" s="57" t="s">
        <v>25</v>
      </c>
      <c r="H1110" s="57" t="s">
        <v>37</v>
      </c>
      <c r="I1110" s="82">
        <v>44287</v>
      </c>
      <c r="J1110" s="83">
        <f>EFEITO!$J$1110*EFEITO!$Y$1110</f>
        <v>0</v>
      </c>
      <c r="K1110" s="83">
        <f ca="1">EFEITO!$L$1110*EFEITO!$Z$1110</f>
        <v>-1165.9499244133413</v>
      </c>
      <c r="L1110" s="83">
        <f>EFEITO!$N$1110*EFEITO!$AA$1110</f>
        <v>-329.84254031602171</v>
      </c>
      <c r="M1110" s="83">
        <f>$J$1110-EFEITO!$K$1110*EFEITO!$Y$1110</f>
        <v>0</v>
      </c>
      <c r="N1110" s="83">
        <f ca="1">$K$1110-EFEITO!$M$1110*EFEITO!$Z$1110</f>
        <v>0</v>
      </c>
      <c r="O1110" s="83">
        <f>$L$1110-EFEITO!$O$1110*EFEITO!$AA$1110</f>
        <v>0</v>
      </c>
      <c r="P1110" s="61"/>
      <c r="Q1110" s="61"/>
      <c r="R1110" s="61"/>
      <c r="S1110" s="61"/>
      <c r="T1110" s="61"/>
      <c r="U1110" s="61"/>
      <c r="V1110" s="61"/>
      <c r="W1110" s="61"/>
      <c r="X1110" s="6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</row>
    <row r="1111" spans="1:36" ht="11.25" customHeight="1" x14ac:dyDescent="0.2">
      <c r="A1111" s="57" t="s">
        <v>28</v>
      </c>
      <c r="B1111" s="57" t="s">
        <v>35</v>
      </c>
      <c r="C1111" s="57" t="s">
        <v>36</v>
      </c>
      <c r="D1111" s="57" t="s">
        <v>42</v>
      </c>
      <c r="E1111" s="57" t="s">
        <v>25</v>
      </c>
      <c r="F1111" s="57" t="s">
        <v>25</v>
      </c>
      <c r="G1111" s="57" t="s">
        <v>25</v>
      </c>
      <c r="H1111" s="57" t="s">
        <v>37</v>
      </c>
      <c r="I1111" s="82">
        <v>44287</v>
      </c>
      <c r="J1111" s="83">
        <f>EFEITO!$J$1111*EFEITO!$Y$1111</f>
        <v>0</v>
      </c>
      <c r="K1111" s="83">
        <f ca="1">EFEITO!$L$1111*EFEITO!$Z$1111</f>
        <v>247287.37942330231</v>
      </c>
      <c r="L1111" s="83">
        <f>EFEITO!$N$1111*EFEITO!$AA$1111</f>
        <v>69956.604232479891</v>
      </c>
      <c r="M1111" s="83">
        <f>$J$1111-EFEITO!$K$1111*EFEITO!$Y$1111</f>
        <v>0</v>
      </c>
      <c r="N1111" s="83">
        <f ca="1">$K$1111-EFEITO!$M$1111*EFEITO!$Z$1111</f>
        <v>0</v>
      </c>
      <c r="O1111" s="83">
        <f>$L$1111-EFEITO!$O$1111*EFEITO!$AA$1111</f>
        <v>0</v>
      </c>
      <c r="P1111" s="61"/>
      <c r="Q1111" s="61"/>
      <c r="R1111" s="61"/>
      <c r="S1111" s="61"/>
      <c r="T1111" s="61"/>
      <c r="U1111" s="61"/>
      <c r="V1111" s="61"/>
      <c r="W1111" s="61"/>
      <c r="X1111" s="6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</row>
    <row r="1112" spans="1:36" ht="11.25" customHeight="1" x14ac:dyDescent="0.2">
      <c r="A1112" s="57" t="s">
        <v>29</v>
      </c>
      <c r="B1112" s="57" t="s">
        <v>35</v>
      </c>
      <c r="C1112" s="57" t="s">
        <v>36</v>
      </c>
      <c r="D1112" s="57" t="s">
        <v>42</v>
      </c>
      <c r="E1112" s="57" t="s">
        <v>25</v>
      </c>
      <c r="F1112" s="57" t="s">
        <v>25</v>
      </c>
      <c r="G1112" s="57" t="s">
        <v>25</v>
      </c>
      <c r="H1112" s="57" t="s">
        <v>37</v>
      </c>
      <c r="I1112" s="82">
        <v>44287</v>
      </c>
      <c r="J1112" s="83">
        <f>EFEITO!$J$1112*EFEITO!$Y$1112</f>
        <v>0</v>
      </c>
      <c r="K1112" s="83">
        <f ca="1">EFEITO!$L$1112*EFEITO!$Z$1112</f>
        <v>-49939.91577074003</v>
      </c>
      <c r="L1112" s="83">
        <f>EFEITO!$N$1112*EFEITO!$AA$1112</f>
        <v>-14127.801148301669</v>
      </c>
      <c r="M1112" s="83">
        <f>$J$1112-EFEITO!$K$1112*EFEITO!$Y$1112</f>
        <v>0</v>
      </c>
      <c r="N1112" s="83">
        <f ca="1">$K$1112-EFEITO!$M$1112*EFEITO!$Z$1112</f>
        <v>0</v>
      </c>
      <c r="O1112" s="83">
        <f>$L$1112-EFEITO!$O$1112*EFEITO!$AA$1112</f>
        <v>0</v>
      </c>
      <c r="P1112" s="61"/>
      <c r="Q1112" s="61"/>
      <c r="R1112" s="61"/>
      <c r="S1112" s="61"/>
      <c r="T1112" s="61"/>
      <c r="U1112" s="61"/>
      <c r="V1112" s="61"/>
      <c r="W1112" s="61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</row>
    <row r="1113" spans="1:36" ht="11.25" customHeight="1" x14ac:dyDescent="0.2">
      <c r="A1113" s="57" t="s">
        <v>30</v>
      </c>
      <c r="B1113" s="57" t="s">
        <v>35</v>
      </c>
      <c r="C1113" s="57" t="s">
        <v>36</v>
      </c>
      <c r="D1113" s="57" t="s">
        <v>42</v>
      </c>
      <c r="E1113" s="57" t="s">
        <v>25</v>
      </c>
      <c r="F1113" s="57" t="s">
        <v>25</v>
      </c>
      <c r="G1113" s="57" t="s">
        <v>25</v>
      </c>
      <c r="H1113" s="57" t="s">
        <v>37</v>
      </c>
      <c r="I1113" s="82">
        <v>44287</v>
      </c>
      <c r="J1113" s="83">
        <f>EFEITO!$J$1113*EFEITO!$Y$1113</f>
        <v>0</v>
      </c>
      <c r="K1113" s="83">
        <f ca="1">EFEITO!$L$1113*EFEITO!$Z$1113</f>
        <v>87741.746791182493</v>
      </c>
      <c r="L1113" s="83">
        <f>EFEITO!$N$1113*EFEITO!$AA$1113</f>
        <v>24821.786980200457</v>
      </c>
      <c r="M1113" s="83">
        <f>$J$1113-EFEITO!$K$1113*EFEITO!$Y$1113</f>
        <v>0</v>
      </c>
      <c r="N1113" s="83">
        <f ca="1">$K$1113-EFEITO!$M$1113*EFEITO!$Z$1113</f>
        <v>0</v>
      </c>
      <c r="O1113" s="83">
        <f>$L$1113-EFEITO!$O$1113*EFEITO!$AA$1113</f>
        <v>0</v>
      </c>
      <c r="P1113" s="61"/>
      <c r="Q1113" s="61"/>
      <c r="R1113" s="61"/>
      <c r="S1113" s="61"/>
      <c r="T1113" s="61"/>
      <c r="U1113" s="61"/>
      <c r="V1113" s="61"/>
      <c r="W1113" s="61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</row>
    <row r="1114" spans="1:36" ht="11.25" customHeight="1" x14ac:dyDescent="0.2">
      <c r="A1114" s="57" t="s">
        <v>21</v>
      </c>
      <c r="B1114" s="57" t="s">
        <v>35</v>
      </c>
      <c r="C1114" s="57" t="s">
        <v>36</v>
      </c>
      <c r="D1114" s="57" t="s">
        <v>42</v>
      </c>
      <c r="E1114" s="57" t="s">
        <v>25</v>
      </c>
      <c r="F1114" s="57" t="s">
        <v>25</v>
      </c>
      <c r="G1114" s="57" t="s">
        <v>25</v>
      </c>
      <c r="H1114" s="57" t="s">
        <v>37</v>
      </c>
      <c r="I1114" s="82">
        <v>44317</v>
      </c>
      <c r="J1114" s="83">
        <f>EFEITO!$J$1114*EFEITO!$Y$1114</f>
        <v>0</v>
      </c>
      <c r="K1114" s="83">
        <f ca="1">EFEITO!$L$1114*EFEITO!$Z$1114</f>
        <v>2588077.9979215441</v>
      </c>
      <c r="L1114" s="83">
        <f>EFEITO!$N$1114*EFEITO!$AA$1114</f>
        <v>732156.84781657497</v>
      </c>
      <c r="M1114" s="83">
        <f>$J$1114-EFEITO!$K$1114*EFEITO!$Y$1114</f>
        <v>0</v>
      </c>
      <c r="N1114" s="83">
        <f ca="1">$K$1114-EFEITO!$M$1114*EFEITO!$Z$1114</f>
        <v>0</v>
      </c>
      <c r="O1114" s="83">
        <f>$L$1114-EFEITO!$O$1114*EFEITO!$AA$1114</f>
        <v>0</v>
      </c>
      <c r="P1114" s="61"/>
      <c r="Q1114" s="61"/>
      <c r="R1114" s="61"/>
      <c r="S1114" s="61"/>
      <c r="T1114" s="61"/>
      <c r="U1114" s="61"/>
      <c r="V1114" s="61"/>
      <c r="W1114" s="61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</row>
    <row r="1115" spans="1:36" ht="11.25" customHeight="1" x14ac:dyDescent="0.2">
      <c r="A1115" s="57" t="s">
        <v>27</v>
      </c>
      <c r="B1115" s="57" t="s">
        <v>35</v>
      </c>
      <c r="C1115" s="57" t="s">
        <v>36</v>
      </c>
      <c r="D1115" s="57" t="s">
        <v>42</v>
      </c>
      <c r="E1115" s="57" t="s">
        <v>25</v>
      </c>
      <c r="F1115" s="57" t="s">
        <v>25</v>
      </c>
      <c r="G1115" s="57" t="s">
        <v>25</v>
      </c>
      <c r="H1115" s="57" t="s">
        <v>37</v>
      </c>
      <c r="I1115" s="82">
        <v>44317</v>
      </c>
      <c r="J1115" s="83">
        <f>EFEITO!$J$1115*EFEITO!$Y$1115</f>
        <v>0</v>
      </c>
      <c r="K1115" s="83">
        <f ca="1">EFEITO!$L$1115*EFEITO!$Z$1115</f>
        <v>-109743.83214168219</v>
      </c>
      <c r="L1115" s="83">
        <f>EFEITO!$N$1115*EFEITO!$AA$1115</f>
        <v>-31046.088360819602</v>
      </c>
      <c r="M1115" s="83">
        <f>$J$1115-EFEITO!$K$1115*EFEITO!$Y$1115</f>
        <v>0</v>
      </c>
      <c r="N1115" s="83">
        <f ca="1">$K$1115-EFEITO!$M$1115*EFEITO!$Z$1115</f>
        <v>0</v>
      </c>
      <c r="O1115" s="83">
        <f>$L$1115-EFEITO!$O$1115*EFEITO!$AA$1115</f>
        <v>0</v>
      </c>
      <c r="P1115" s="61"/>
      <c r="Q1115" s="61"/>
      <c r="R1115" s="61"/>
      <c r="S1115" s="61"/>
      <c r="T1115" s="61"/>
      <c r="U1115" s="61"/>
      <c r="V1115" s="61"/>
      <c r="W1115" s="61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</row>
    <row r="1116" spans="1:36" ht="11.25" customHeight="1" x14ac:dyDescent="0.2">
      <c r="A1116" s="57" t="s">
        <v>28</v>
      </c>
      <c r="B1116" s="57" t="s">
        <v>35</v>
      </c>
      <c r="C1116" s="57" t="s">
        <v>36</v>
      </c>
      <c r="D1116" s="57" t="s">
        <v>42</v>
      </c>
      <c r="E1116" s="57" t="s">
        <v>25</v>
      </c>
      <c r="F1116" s="57" t="s">
        <v>25</v>
      </c>
      <c r="G1116" s="57" t="s">
        <v>25</v>
      </c>
      <c r="H1116" s="57" t="s">
        <v>37</v>
      </c>
      <c r="I1116" s="82">
        <v>44317</v>
      </c>
      <c r="J1116" s="83">
        <f>EFEITO!$J$1116*EFEITO!$Y$1116</f>
        <v>0</v>
      </c>
      <c r="K1116" s="83">
        <f ca="1">EFEITO!$L$1116*EFEITO!$Z$1116</f>
        <v>259189.38340378064</v>
      </c>
      <c r="L1116" s="83">
        <f>EFEITO!$N$1116*EFEITO!$AA$1116</f>
        <v>73323.633249397288</v>
      </c>
      <c r="M1116" s="83">
        <f>$J$1116-EFEITO!$K$1116*EFEITO!$Y$1116</f>
        <v>0</v>
      </c>
      <c r="N1116" s="83">
        <f ca="1">$K$1116-EFEITO!$M$1116*EFEITO!$Z$1116</f>
        <v>0</v>
      </c>
      <c r="O1116" s="83">
        <f>$L$1116-EFEITO!$O$1116*EFEITO!$AA$1116</f>
        <v>0</v>
      </c>
      <c r="P1116" s="61"/>
      <c r="Q1116" s="61"/>
      <c r="R1116" s="61"/>
      <c r="S1116" s="61"/>
      <c r="T1116" s="61"/>
      <c r="U1116" s="61"/>
      <c r="V1116" s="61"/>
      <c r="W1116" s="61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</row>
    <row r="1117" spans="1:36" ht="11.25" customHeight="1" x14ac:dyDescent="0.2">
      <c r="A1117" s="57" t="s">
        <v>29</v>
      </c>
      <c r="B1117" s="57" t="s">
        <v>35</v>
      </c>
      <c r="C1117" s="57" t="s">
        <v>36</v>
      </c>
      <c r="D1117" s="57" t="s">
        <v>42</v>
      </c>
      <c r="E1117" s="57" t="s">
        <v>25</v>
      </c>
      <c r="F1117" s="57" t="s">
        <v>25</v>
      </c>
      <c r="G1117" s="57" t="s">
        <v>25</v>
      </c>
      <c r="H1117" s="57" t="s">
        <v>37</v>
      </c>
      <c r="I1117" s="82">
        <v>44317</v>
      </c>
      <c r="J1117" s="83">
        <f>EFEITO!$J$1117*EFEITO!$Y$1117</f>
        <v>0</v>
      </c>
      <c r="K1117" s="83">
        <f ca="1">EFEITO!$L$1117*EFEITO!$Z$1117</f>
        <v>-28753.674169003392</v>
      </c>
      <c r="L1117" s="83">
        <f>EFEITO!$N$1117*EFEITO!$AA$1117</f>
        <v>-8134.2986801901561</v>
      </c>
      <c r="M1117" s="83">
        <f>$J$1117-EFEITO!$K$1117*EFEITO!$Y$1117</f>
        <v>0</v>
      </c>
      <c r="N1117" s="83">
        <f ca="1">$K$1117-EFEITO!$M$1117*EFEITO!$Z$1117</f>
        <v>0</v>
      </c>
      <c r="O1117" s="83">
        <f>$L$1117-EFEITO!$O$1117*EFEITO!$AA$1117</f>
        <v>0</v>
      </c>
      <c r="P1117" s="61"/>
      <c r="Q1117" s="61"/>
      <c r="R1117" s="61"/>
      <c r="S1117" s="61"/>
      <c r="T1117" s="61"/>
      <c r="U1117" s="61"/>
      <c r="V1117" s="61"/>
      <c r="W1117" s="61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</row>
    <row r="1118" spans="1:36" ht="11.25" customHeight="1" x14ac:dyDescent="0.2">
      <c r="A1118" s="57" t="s">
        <v>30</v>
      </c>
      <c r="B1118" s="57" t="s">
        <v>35</v>
      </c>
      <c r="C1118" s="57" t="s">
        <v>36</v>
      </c>
      <c r="D1118" s="57" t="s">
        <v>42</v>
      </c>
      <c r="E1118" s="57" t="s">
        <v>25</v>
      </c>
      <c r="F1118" s="57" t="s">
        <v>25</v>
      </c>
      <c r="G1118" s="57" t="s">
        <v>25</v>
      </c>
      <c r="H1118" s="57" t="s">
        <v>37</v>
      </c>
      <c r="I1118" s="82">
        <v>44317</v>
      </c>
      <c r="J1118" s="83">
        <f>EFEITO!$J$1118*EFEITO!$Y$1118</f>
        <v>0</v>
      </c>
      <c r="K1118" s="83">
        <f ca="1">EFEITO!$L$1118*EFEITO!$Z$1118</f>
        <v>95847.186554976055</v>
      </c>
      <c r="L1118" s="83">
        <f>EFEITO!$N$1118*EFEITO!$AA$1118</f>
        <v>27114.783262535115</v>
      </c>
      <c r="M1118" s="83">
        <f>$J$1118-EFEITO!$K$1118*EFEITO!$Y$1118</f>
        <v>0</v>
      </c>
      <c r="N1118" s="83">
        <f ca="1">$K$1118-EFEITO!$M$1118*EFEITO!$Z$1118</f>
        <v>0</v>
      </c>
      <c r="O1118" s="83">
        <f>$L$1118-EFEITO!$O$1118*EFEITO!$AA$1118</f>
        <v>0</v>
      </c>
      <c r="P1118" s="61"/>
      <c r="Q1118" s="61"/>
      <c r="R1118" s="61"/>
      <c r="S1118" s="61"/>
      <c r="T1118" s="61"/>
      <c r="U1118" s="61"/>
      <c r="V1118" s="61"/>
      <c r="W1118" s="61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</row>
    <row r="1119" spans="1:36" ht="11.25" customHeight="1" x14ac:dyDescent="0.2">
      <c r="A1119" s="57" t="s">
        <v>21</v>
      </c>
      <c r="B1119" s="57" t="s">
        <v>35</v>
      </c>
      <c r="C1119" s="57" t="s">
        <v>36</v>
      </c>
      <c r="D1119" s="57" t="s">
        <v>42</v>
      </c>
      <c r="E1119" s="57" t="s">
        <v>25</v>
      </c>
      <c r="F1119" s="57" t="s">
        <v>25</v>
      </c>
      <c r="G1119" s="57" t="s">
        <v>25</v>
      </c>
      <c r="H1119" s="57" t="s">
        <v>37</v>
      </c>
      <c r="I1119" s="82">
        <v>44317</v>
      </c>
      <c r="J1119" s="83">
        <f>EFEITO!$J$1119*EFEITO!$Y$1119</f>
        <v>0</v>
      </c>
      <c r="K1119" s="83">
        <f ca="1">EFEITO!$L$1119*EFEITO!$Z$1119</f>
        <v>4928.788316838215</v>
      </c>
      <c r="L1119" s="83">
        <f>EFEITO!$N$1119*EFEITO!$AA$1119</f>
        <v>0</v>
      </c>
      <c r="M1119" s="83">
        <f>$J$1119-EFEITO!$K$1119*EFEITO!$Y$1119</f>
        <v>0</v>
      </c>
      <c r="N1119" s="83">
        <f ca="1">$K$1119-EFEITO!$M$1119*EFEITO!$Z$1119</f>
        <v>0</v>
      </c>
      <c r="O1119" s="83">
        <f>$L$1119-EFEITO!$O$1119*EFEITO!$AA$1119</f>
        <v>0</v>
      </c>
      <c r="P1119" s="61"/>
      <c r="Q1119" s="61"/>
      <c r="R1119" s="61"/>
      <c r="S1119" s="61"/>
      <c r="T1119" s="61"/>
      <c r="U1119" s="61"/>
      <c r="V1119" s="61"/>
      <c r="W1119" s="61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</row>
    <row r="1120" spans="1:36" ht="11.25" customHeight="1" x14ac:dyDescent="0.2">
      <c r="A1120" s="57" t="s">
        <v>21</v>
      </c>
      <c r="B1120" s="57" t="s">
        <v>35</v>
      </c>
      <c r="C1120" s="57" t="s">
        <v>36</v>
      </c>
      <c r="D1120" s="57" t="s">
        <v>42</v>
      </c>
      <c r="E1120" s="57" t="s">
        <v>25</v>
      </c>
      <c r="F1120" s="57" t="s">
        <v>25</v>
      </c>
      <c r="G1120" s="57" t="s">
        <v>25</v>
      </c>
      <c r="H1120" s="57" t="s">
        <v>37</v>
      </c>
      <c r="I1120" s="82">
        <v>44348</v>
      </c>
      <c r="J1120" s="83">
        <f>EFEITO!$J$1120*EFEITO!$Y$1120</f>
        <v>0</v>
      </c>
      <c r="K1120" s="83">
        <f ca="1">EFEITO!$L$1120*EFEITO!$Z$1120</f>
        <v>2469189.6494305381</v>
      </c>
      <c r="L1120" s="83">
        <f>EFEITO!$N$1120*EFEITO!$AA$1120</f>
        <v>698523.81258997112</v>
      </c>
      <c r="M1120" s="83">
        <f>$J$1120-EFEITO!$K$1120*EFEITO!$Y$1120</f>
        <v>0</v>
      </c>
      <c r="N1120" s="83">
        <f ca="1">$K$1120-EFEITO!$M$1120*EFEITO!$Z$1120</f>
        <v>0</v>
      </c>
      <c r="O1120" s="83">
        <f>$L$1120-EFEITO!$O$1120*EFEITO!$AA$1120</f>
        <v>0</v>
      </c>
      <c r="P1120" s="61"/>
      <c r="Q1120" s="61"/>
      <c r="R1120" s="61"/>
      <c r="S1120" s="61"/>
      <c r="T1120" s="61"/>
      <c r="U1120" s="61"/>
      <c r="V1120" s="61"/>
      <c r="W1120" s="61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</row>
    <row r="1121" spans="1:36" ht="11.25" customHeight="1" x14ac:dyDescent="0.2">
      <c r="A1121" s="57" t="s">
        <v>27</v>
      </c>
      <c r="B1121" s="57" t="s">
        <v>35</v>
      </c>
      <c r="C1121" s="57" t="s">
        <v>36</v>
      </c>
      <c r="D1121" s="57" t="s">
        <v>42</v>
      </c>
      <c r="E1121" s="57" t="s">
        <v>25</v>
      </c>
      <c r="F1121" s="57" t="s">
        <v>25</v>
      </c>
      <c r="G1121" s="57" t="s">
        <v>25</v>
      </c>
      <c r="H1121" s="57" t="s">
        <v>37</v>
      </c>
      <c r="I1121" s="82">
        <v>44348</v>
      </c>
      <c r="J1121" s="83">
        <f>EFEITO!$J$1121*EFEITO!$Y$1121</f>
        <v>0</v>
      </c>
      <c r="K1121" s="83">
        <f ca="1">EFEITO!$L$1121*EFEITO!$Z$1121</f>
        <v>-45075.367119158749</v>
      </c>
      <c r="L1121" s="83">
        <f>EFEITO!$N$1121*EFEITO!$AA$1121</f>
        <v>-12751.639916046532</v>
      </c>
      <c r="M1121" s="83">
        <f>$J$1121-EFEITO!$K$1121*EFEITO!$Y$1121</f>
        <v>0</v>
      </c>
      <c r="N1121" s="83">
        <f ca="1">$K$1121-EFEITO!$M$1121*EFEITO!$Z$1121</f>
        <v>0</v>
      </c>
      <c r="O1121" s="83">
        <f>$L$1121-EFEITO!$O$1121*EFEITO!$AA$1121</f>
        <v>0</v>
      </c>
      <c r="P1121" s="61"/>
      <c r="Q1121" s="61"/>
      <c r="R1121" s="61"/>
      <c r="S1121" s="61"/>
      <c r="T1121" s="61"/>
      <c r="U1121" s="61"/>
      <c r="V1121" s="61"/>
      <c r="W1121" s="61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</row>
    <row r="1122" spans="1:36" ht="11.25" customHeight="1" x14ac:dyDescent="0.2">
      <c r="A1122" s="57" t="s">
        <v>28</v>
      </c>
      <c r="B1122" s="57" t="s">
        <v>35</v>
      </c>
      <c r="C1122" s="57" t="s">
        <v>36</v>
      </c>
      <c r="D1122" s="57" t="s">
        <v>42</v>
      </c>
      <c r="E1122" s="57" t="s">
        <v>25</v>
      </c>
      <c r="F1122" s="57" t="s">
        <v>25</v>
      </c>
      <c r="G1122" s="57" t="s">
        <v>25</v>
      </c>
      <c r="H1122" s="57" t="s">
        <v>37</v>
      </c>
      <c r="I1122" s="82">
        <v>44348</v>
      </c>
      <c r="J1122" s="83">
        <f>EFEITO!$J$1122*EFEITO!$Y$1122</f>
        <v>0</v>
      </c>
      <c r="K1122" s="83">
        <f ca="1">EFEITO!$L$1122*EFEITO!$Z$1122</f>
        <v>192722.20775406304</v>
      </c>
      <c r="L1122" s="83">
        <f>EFEITO!$N$1122*EFEITO!$AA$1122</f>
        <v>54520.336808544409</v>
      </c>
      <c r="M1122" s="83">
        <f>$J$1122-EFEITO!$K$1122*EFEITO!$Y$1122</f>
        <v>0</v>
      </c>
      <c r="N1122" s="83">
        <f ca="1">$K$1122-EFEITO!$M$1122*EFEITO!$Z$1122</f>
        <v>0</v>
      </c>
      <c r="O1122" s="83">
        <f>$L$1122-EFEITO!$O$1122*EFEITO!$AA$1122</f>
        <v>0</v>
      </c>
      <c r="P1122" s="61"/>
      <c r="Q1122" s="61"/>
      <c r="R1122" s="61"/>
      <c r="S1122" s="61"/>
      <c r="T1122" s="61"/>
      <c r="U1122" s="61"/>
      <c r="V1122" s="61"/>
      <c r="W1122" s="61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</row>
    <row r="1123" spans="1:36" ht="11.25" customHeight="1" x14ac:dyDescent="0.2">
      <c r="A1123" s="57" t="s">
        <v>30</v>
      </c>
      <c r="B1123" s="57" t="s">
        <v>35</v>
      </c>
      <c r="C1123" s="57" t="s">
        <v>36</v>
      </c>
      <c r="D1123" s="57" t="s">
        <v>42</v>
      </c>
      <c r="E1123" s="57" t="s">
        <v>25</v>
      </c>
      <c r="F1123" s="57" t="s">
        <v>25</v>
      </c>
      <c r="G1123" s="57" t="s">
        <v>25</v>
      </c>
      <c r="H1123" s="57" t="s">
        <v>37</v>
      </c>
      <c r="I1123" s="82">
        <v>44348</v>
      </c>
      <c r="J1123" s="83">
        <f>EFEITO!$J$1123*EFEITO!$Y$1123</f>
        <v>0</v>
      </c>
      <c r="K1123" s="83">
        <f ca="1">EFEITO!$L$1123*EFEITO!$Z$1123</f>
        <v>73058.165305078932</v>
      </c>
      <c r="L1123" s="83">
        <f>EFEITO!$N$1123*EFEITO!$AA$1123</f>
        <v>20667.860883631052</v>
      </c>
      <c r="M1123" s="83">
        <f>$J$1123-EFEITO!$K$1123*EFEITO!$Y$1123</f>
        <v>0</v>
      </c>
      <c r="N1123" s="83">
        <f ca="1">$K$1123-EFEITO!$M$1123*EFEITO!$Z$1123</f>
        <v>0</v>
      </c>
      <c r="O1123" s="83">
        <f>$L$1123-EFEITO!$O$1123*EFEITO!$AA$1123</f>
        <v>0</v>
      </c>
      <c r="P1123" s="61"/>
      <c r="Q1123" s="61"/>
      <c r="R1123" s="61"/>
      <c r="S1123" s="61"/>
      <c r="T1123" s="61"/>
      <c r="U1123" s="61"/>
      <c r="V1123" s="61"/>
      <c r="W1123" s="61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</row>
    <row r="1124" spans="1:36" ht="11.25" customHeight="1" x14ac:dyDescent="0.2">
      <c r="A1124" s="57" t="s">
        <v>21</v>
      </c>
      <c r="B1124" s="57" t="s">
        <v>35</v>
      </c>
      <c r="C1124" s="57" t="s">
        <v>36</v>
      </c>
      <c r="D1124" s="57" t="s">
        <v>42</v>
      </c>
      <c r="E1124" s="57" t="s">
        <v>25</v>
      </c>
      <c r="F1124" s="57" t="s">
        <v>25</v>
      </c>
      <c r="G1124" s="57" t="s">
        <v>25</v>
      </c>
      <c r="H1124" s="57" t="s">
        <v>37</v>
      </c>
      <c r="I1124" s="82">
        <v>44378</v>
      </c>
      <c r="J1124" s="83">
        <f>EFEITO!$J$1124*EFEITO!$Y$1124</f>
        <v>0</v>
      </c>
      <c r="K1124" s="83">
        <f ca="1">EFEITO!$L$1124*EFEITO!$Z$1124</f>
        <v>2720257.5331542105</v>
      </c>
      <c r="L1124" s="83">
        <f>EFEITO!$N$1124*EFEITO!$AA$1124</f>
        <v>769549.90627135441</v>
      </c>
      <c r="M1124" s="83">
        <f>$J$1124-EFEITO!$K$1124*EFEITO!$Y$1124</f>
        <v>0</v>
      </c>
      <c r="N1124" s="83">
        <f ca="1">$K$1124-EFEITO!$M$1124*EFEITO!$Z$1124</f>
        <v>0</v>
      </c>
      <c r="O1124" s="83">
        <f>$L$1124-EFEITO!$O$1124*EFEITO!$AA$1124</f>
        <v>0</v>
      </c>
      <c r="P1124" s="61"/>
      <c r="Q1124" s="61"/>
      <c r="R1124" s="61"/>
      <c r="S1124" s="61"/>
      <c r="T1124" s="61"/>
      <c r="U1124" s="61"/>
      <c r="V1124" s="61"/>
      <c r="W1124" s="61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</row>
    <row r="1125" spans="1:36" ht="11.25" customHeight="1" x14ac:dyDescent="0.2">
      <c r="A1125" s="57" t="s">
        <v>28</v>
      </c>
      <c r="B1125" s="57" t="s">
        <v>35</v>
      </c>
      <c r="C1125" s="57" t="s">
        <v>36</v>
      </c>
      <c r="D1125" s="57" t="s">
        <v>42</v>
      </c>
      <c r="E1125" s="57" t="s">
        <v>25</v>
      </c>
      <c r="F1125" s="57" t="s">
        <v>25</v>
      </c>
      <c r="G1125" s="57" t="s">
        <v>25</v>
      </c>
      <c r="H1125" s="57" t="s">
        <v>37</v>
      </c>
      <c r="I1125" s="82">
        <v>44378</v>
      </c>
      <c r="J1125" s="83">
        <f>EFEITO!$J$1125*EFEITO!$Y$1125</f>
        <v>0</v>
      </c>
      <c r="K1125" s="83">
        <f ca="1">EFEITO!$L$1125*EFEITO!$Z$1125</f>
        <v>181676.19731313337</v>
      </c>
      <c r="L1125" s="83">
        <f>EFEITO!$N$1125*EFEITO!$AA$1125</f>
        <v>51395.464918332837</v>
      </c>
      <c r="M1125" s="83">
        <f>$J$1125-EFEITO!$K$1125*EFEITO!$Y$1125</f>
        <v>0</v>
      </c>
      <c r="N1125" s="83">
        <f ca="1">$K$1125-EFEITO!$M$1125*EFEITO!$Z$1125</f>
        <v>0</v>
      </c>
      <c r="O1125" s="83">
        <f>$L$1125-EFEITO!$O$1125*EFEITO!$AA$1125</f>
        <v>0</v>
      </c>
      <c r="P1125" s="61"/>
      <c r="Q1125" s="61"/>
      <c r="R1125" s="61"/>
      <c r="S1125" s="61"/>
      <c r="T1125" s="61"/>
      <c r="U1125" s="61"/>
      <c r="V1125" s="61"/>
      <c r="W1125" s="61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</row>
    <row r="1126" spans="1:36" ht="11.25" customHeight="1" x14ac:dyDescent="0.2">
      <c r="A1126" s="57" t="s">
        <v>30</v>
      </c>
      <c r="B1126" s="57" t="s">
        <v>35</v>
      </c>
      <c r="C1126" s="57" t="s">
        <v>36</v>
      </c>
      <c r="D1126" s="57" t="s">
        <v>42</v>
      </c>
      <c r="E1126" s="57" t="s">
        <v>25</v>
      </c>
      <c r="F1126" s="57" t="s">
        <v>25</v>
      </c>
      <c r="G1126" s="57" t="s">
        <v>25</v>
      </c>
      <c r="H1126" s="57" t="s">
        <v>37</v>
      </c>
      <c r="I1126" s="82">
        <v>44378</v>
      </c>
      <c r="J1126" s="83">
        <f>EFEITO!$J$1126*EFEITO!$Y$1126</f>
        <v>0</v>
      </c>
      <c r="K1126" s="83">
        <f ca="1">EFEITO!$L$1126*EFEITO!$Z$1126</f>
        <v>74744.456518073435</v>
      </c>
      <c r="L1126" s="83">
        <f>EFEITO!$N$1126*EFEITO!$AA$1126</f>
        <v>21144.905879955877</v>
      </c>
      <c r="M1126" s="83">
        <f>$J$1126-EFEITO!$K$1126*EFEITO!$Y$1126</f>
        <v>0</v>
      </c>
      <c r="N1126" s="83">
        <f ca="1">$K$1126-EFEITO!$M$1126*EFEITO!$Z$1126</f>
        <v>0</v>
      </c>
      <c r="O1126" s="83">
        <f>$L$1126-EFEITO!$O$1126*EFEITO!$AA$1126</f>
        <v>0</v>
      </c>
      <c r="P1126" s="61"/>
      <c r="Q1126" s="61"/>
      <c r="R1126" s="61"/>
      <c r="S1126" s="61"/>
      <c r="T1126" s="61"/>
      <c r="U1126" s="61"/>
      <c r="V1126" s="61"/>
      <c r="W1126" s="61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</row>
    <row r="1127" spans="1:36" ht="11.25" customHeight="1" x14ac:dyDescent="0.2">
      <c r="A1127" s="57" t="s">
        <v>21</v>
      </c>
      <c r="B1127" s="57" t="s">
        <v>35</v>
      </c>
      <c r="C1127" s="57" t="s">
        <v>36</v>
      </c>
      <c r="D1127" s="57" t="s">
        <v>42</v>
      </c>
      <c r="E1127" s="57" t="s">
        <v>25</v>
      </c>
      <c r="F1127" s="57" t="s">
        <v>25</v>
      </c>
      <c r="G1127" s="57" t="s">
        <v>25</v>
      </c>
      <c r="H1127" s="57" t="s">
        <v>37</v>
      </c>
      <c r="I1127" s="82">
        <v>44378</v>
      </c>
      <c r="J1127" s="83">
        <f>EFEITO!$J$1127*EFEITO!$Y$1127</f>
        <v>0</v>
      </c>
      <c r="K1127" s="83">
        <f ca="1">EFEITO!$L$1127*EFEITO!$Z$1127</f>
        <v>88456.413067165879</v>
      </c>
      <c r="L1127" s="83">
        <f>EFEITO!$N$1127*EFEITO!$AA$1127</f>
        <v>0</v>
      </c>
      <c r="M1127" s="83">
        <f>$J$1127-EFEITO!$K$1127*EFEITO!$Y$1127</f>
        <v>0</v>
      </c>
      <c r="N1127" s="83">
        <f ca="1">$K$1127-EFEITO!$M$1127*EFEITO!$Z$1127</f>
        <v>0</v>
      </c>
      <c r="O1127" s="83">
        <f>$L$1127-EFEITO!$O$1127*EFEITO!$AA$1127</f>
        <v>0</v>
      </c>
      <c r="P1127" s="61"/>
      <c r="Q1127" s="61"/>
      <c r="R1127" s="61"/>
      <c r="S1127" s="61"/>
      <c r="T1127" s="61"/>
      <c r="U1127" s="61"/>
      <c r="V1127" s="61"/>
      <c r="W1127" s="61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</row>
    <row r="1128" spans="1:36" ht="11.25" customHeight="1" x14ac:dyDescent="0.2">
      <c r="A1128" s="57" t="s">
        <v>21</v>
      </c>
      <c r="B1128" s="57" t="s">
        <v>35</v>
      </c>
      <c r="C1128" s="57" t="s">
        <v>36</v>
      </c>
      <c r="D1128" s="57" t="s">
        <v>42</v>
      </c>
      <c r="E1128" s="57" t="s">
        <v>25</v>
      </c>
      <c r="F1128" s="57" t="s">
        <v>25</v>
      </c>
      <c r="G1128" s="57" t="s">
        <v>25</v>
      </c>
      <c r="H1128" s="57" t="s">
        <v>37</v>
      </c>
      <c r="I1128" s="82">
        <v>44409</v>
      </c>
      <c r="J1128" s="83">
        <f>EFEITO!$J$1128*EFEITO!$Y$1128</f>
        <v>0</v>
      </c>
      <c r="K1128" s="83">
        <f ca="1">EFEITO!$L$1128*EFEITO!$Z$1128</f>
        <v>2926397.8009888157</v>
      </c>
      <c r="L1128" s="83">
        <f>EFEITO!$N$1128*EFEITO!$AA$1128</f>
        <v>827866.1582649406</v>
      </c>
      <c r="M1128" s="83">
        <f>$J$1128-EFEITO!$K$1128*EFEITO!$Y$1128</f>
        <v>0</v>
      </c>
      <c r="N1128" s="83">
        <f ca="1">$K$1128-EFEITO!$M$1128*EFEITO!$Z$1128</f>
        <v>0</v>
      </c>
      <c r="O1128" s="83">
        <f>$L$1128-EFEITO!$O$1128*EFEITO!$AA$1128</f>
        <v>0</v>
      </c>
      <c r="P1128" s="61"/>
      <c r="Q1128" s="61"/>
      <c r="R1128" s="61"/>
      <c r="S1128" s="61"/>
      <c r="T1128" s="61"/>
      <c r="U1128" s="61"/>
      <c r="V1128" s="61"/>
      <c r="W1128" s="61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</row>
    <row r="1129" spans="1:36" ht="11.25" customHeight="1" x14ac:dyDescent="0.2">
      <c r="A1129" s="57" t="s">
        <v>27</v>
      </c>
      <c r="B1129" s="57" t="s">
        <v>35</v>
      </c>
      <c r="C1129" s="57" t="s">
        <v>36</v>
      </c>
      <c r="D1129" s="57" t="s">
        <v>42</v>
      </c>
      <c r="E1129" s="57" t="s">
        <v>25</v>
      </c>
      <c r="F1129" s="57" t="s">
        <v>25</v>
      </c>
      <c r="G1129" s="57" t="s">
        <v>25</v>
      </c>
      <c r="H1129" s="57" t="s">
        <v>37</v>
      </c>
      <c r="I1129" s="82">
        <v>44409</v>
      </c>
      <c r="J1129" s="83">
        <f>EFEITO!$J$1129*EFEITO!$Y$1129</f>
        <v>0</v>
      </c>
      <c r="K1129" s="83">
        <f ca="1">EFEITO!$L$1129*EFEITO!$Z$1129</f>
        <v>-375.80204175306045</v>
      </c>
      <c r="L1129" s="83">
        <f>EFEITO!$N$1129*EFEITO!$AA$1129</f>
        <v>-106.31288489524668</v>
      </c>
      <c r="M1129" s="83">
        <f>$J$1129-EFEITO!$K$1129*EFEITO!$Y$1129</f>
        <v>0</v>
      </c>
      <c r="N1129" s="83">
        <f ca="1">$K$1129-EFEITO!$M$1129*EFEITO!$Z$1129</f>
        <v>0</v>
      </c>
      <c r="O1129" s="83">
        <f>$L$1129-EFEITO!$O$1129*EFEITO!$AA$1129</f>
        <v>0</v>
      </c>
      <c r="P1129" s="61"/>
      <c r="Q1129" s="61"/>
      <c r="R1129" s="61"/>
      <c r="S1129" s="61"/>
      <c r="T1129" s="61"/>
      <c r="U1129" s="61"/>
      <c r="V1129" s="61"/>
      <c r="W1129" s="61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</row>
    <row r="1130" spans="1:36" ht="11.25" customHeight="1" x14ac:dyDescent="0.2">
      <c r="A1130" s="57" t="s">
        <v>28</v>
      </c>
      <c r="B1130" s="57" t="s">
        <v>35</v>
      </c>
      <c r="C1130" s="57" t="s">
        <v>36</v>
      </c>
      <c r="D1130" s="57" t="s">
        <v>42</v>
      </c>
      <c r="E1130" s="57" t="s">
        <v>25</v>
      </c>
      <c r="F1130" s="57" t="s">
        <v>25</v>
      </c>
      <c r="G1130" s="57" t="s">
        <v>25</v>
      </c>
      <c r="H1130" s="57" t="s">
        <v>37</v>
      </c>
      <c r="I1130" s="82">
        <v>44409</v>
      </c>
      <c r="J1130" s="83">
        <f>EFEITO!$J$1130*EFEITO!$Y$1130</f>
        <v>0</v>
      </c>
      <c r="K1130" s="83">
        <f ca="1">EFEITO!$L$1130*EFEITO!$Z$1130</f>
        <v>200924.00701574201</v>
      </c>
      <c r="L1130" s="83">
        <f>EFEITO!$N$1130*EFEITO!$AA$1130</f>
        <v>56840.592804954766</v>
      </c>
      <c r="M1130" s="83">
        <f>$J$1130-EFEITO!$K$1130*EFEITO!$Y$1130</f>
        <v>0</v>
      </c>
      <c r="N1130" s="83">
        <f ca="1">$K$1130-EFEITO!$M$1130*EFEITO!$Z$1130</f>
        <v>0</v>
      </c>
      <c r="O1130" s="83">
        <f>$L$1130-EFEITO!$O$1130*EFEITO!$AA$1130</f>
        <v>0</v>
      </c>
      <c r="P1130" s="61"/>
      <c r="Q1130" s="61"/>
      <c r="R1130" s="61"/>
      <c r="S1130" s="61"/>
      <c r="T1130" s="61"/>
      <c r="U1130" s="61"/>
      <c r="V1130" s="61"/>
      <c r="W1130" s="61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</row>
    <row r="1131" spans="1:36" ht="11.25" customHeight="1" x14ac:dyDescent="0.2">
      <c r="A1131" s="57" t="s">
        <v>30</v>
      </c>
      <c r="B1131" s="57" t="s">
        <v>35</v>
      </c>
      <c r="C1131" s="57" t="s">
        <v>36</v>
      </c>
      <c r="D1131" s="57" t="s">
        <v>42</v>
      </c>
      <c r="E1131" s="57" t="s">
        <v>25</v>
      </c>
      <c r="F1131" s="57" t="s">
        <v>25</v>
      </c>
      <c r="G1131" s="57" t="s">
        <v>25</v>
      </c>
      <c r="H1131" s="57" t="s">
        <v>37</v>
      </c>
      <c r="I1131" s="82">
        <v>44409</v>
      </c>
      <c r="J1131" s="83">
        <f>EFEITO!$J$1131*EFEITO!$Y$1131</f>
        <v>0</v>
      </c>
      <c r="K1131" s="83">
        <f ca="1">EFEITO!$L$1131*EFEITO!$Z$1131</f>
        <v>78296.910006781851</v>
      </c>
      <c r="L1131" s="83">
        <f>EFEITO!$N$1131*EFEITO!$AA$1131</f>
        <v>22149.880672213509</v>
      </c>
      <c r="M1131" s="83">
        <f>$J$1131-EFEITO!$K$1131*EFEITO!$Y$1131</f>
        <v>0</v>
      </c>
      <c r="N1131" s="83">
        <f ca="1">$K$1131-EFEITO!$M$1131*EFEITO!$Z$1131</f>
        <v>0</v>
      </c>
      <c r="O1131" s="83">
        <f>$L$1131-EFEITO!$O$1131*EFEITO!$AA$1131</f>
        <v>0</v>
      </c>
      <c r="P1131" s="61"/>
      <c r="Q1131" s="61"/>
      <c r="R1131" s="61"/>
      <c r="S1131" s="61"/>
      <c r="T1131" s="61"/>
      <c r="U1131" s="61"/>
      <c r="V1131" s="61"/>
      <c r="W1131" s="61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</row>
    <row r="1132" spans="1:36" ht="11.25" customHeight="1" x14ac:dyDescent="0.2">
      <c r="A1132" s="57" t="s">
        <v>21</v>
      </c>
      <c r="B1132" s="57" t="s">
        <v>35</v>
      </c>
      <c r="C1132" s="57" t="s">
        <v>36</v>
      </c>
      <c r="D1132" s="57" t="s">
        <v>42</v>
      </c>
      <c r="E1132" s="57" t="s">
        <v>25</v>
      </c>
      <c r="F1132" s="57" t="s">
        <v>25</v>
      </c>
      <c r="G1132" s="57" t="s">
        <v>25</v>
      </c>
      <c r="H1132" s="57" t="s">
        <v>37</v>
      </c>
      <c r="I1132" s="82">
        <v>44409</v>
      </c>
      <c r="J1132" s="83">
        <f>EFEITO!$J$1132*EFEITO!$Y$1132</f>
        <v>0</v>
      </c>
      <c r="K1132" s="83">
        <f ca="1">EFEITO!$L$1132*EFEITO!$Z$1132</f>
        <v>88181.788498192487</v>
      </c>
      <c r="L1132" s="83">
        <f>EFEITO!$N$1132*EFEITO!$AA$1132</f>
        <v>0</v>
      </c>
      <c r="M1132" s="83">
        <f>$J$1132-EFEITO!$K$1132*EFEITO!$Y$1132</f>
        <v>0</v>
      </c>
      <c r="N1132" s="83">
        <f ca="1">$K$1132-EFEITO!$M$1132*EFEITO!$Z$1132</f>
        <v>0</v>
      </c>
      <c r="O1132" s="83">
        <f>$L$1132-EFEITO!$O$1132*EFEITO!$AA$1132</f>
        <v>0</v>
      </c>
      <c r="P1132" s="61"/>
      <c r="Q1132" s="61"/>
      <c r="R1132" s="61"/>
      <c r="S1132" s="61"/>
      <c r="T1132" s="61"/>
      <c r="U1132" s="61"/>
      <c r="V1132" s="61"/>
      <c r="W1132" s="61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</row>
    <row r="1133" spans="1:36" ht="11.25" customHeight="1" x14ac:dyDescent="0.2">
      <c r="A1133" s="57" t="s">
        <v>21</v>
      </c>
      <c r="B1133" s="57" t="s">
        <v>35</v>
      </c>
      <c r="C1133" s="57" t="s">
        <v>36</v>
      </c>
      <c r="D1133" s="57" t="s">
        <v>42</v>
      </c>
      <c r="E1133" s="57" t="s">
        <v>25</v>
      </c>
      <c r="F1133" s="57" t="s">
        <v>25</v>
      </c>
      <c r="G1133" s="57" t="s">
        <v>25</v>
      </c>
      <c r="H1133" s="57" t="s">
        <v>37</v>
      </c>
      <c r="I1133" s="82">
        <v>44440</v>
      </c>
      <c r="J1133" s="83">
        <f>EFEITO!$J$1133*EFEITO!$Y$1133</f>
        <v>0</v>
      </c>
      <c r="K1133" s="83">
        <f ca="1">EFEITO!$L$1133*EFEITO!$Z$1133</f>
        <v>2542835.6076727179</v>
      </c>
      <c r="L1133" s="83">
        <f>EFEITO!$N$1133*EFEITO!$AA$1133</f>
        <v>719357.95772946393</v>
      </c>
      <c r="M1133" s="83">
        <f>$J$1133-EFEITO!$K$1133*EFEITO!$Y$1133</f>
        <v>0</v>
      </c>
      <c r="N1133" s="83">
        <f ca="1">$K$1133-EFEITO!$M$1133*EFEITO!$Z$1133</f>
        <v>0</v>
      </c>
      <c r="O1133" s="83">
        <f>$L$1133-EFEITO!$O$1133*EFEITO!$AA$1133</f>
        <v>0</v>
      </c>
      <c r="P1133" s="61"/>
      <c r="Q1133" s="61"/>
      <c r="R1133" s="61"/>
      <c r="S1133" s="61"/>
      <c r="T1133" s="61"/>
      <c r="U1133" s="61"/>
      <c r="V1133" s="61"/>
      <c r="W1133" s="61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</row>
    <row r="1134" spans="1:36" ht="11.25" customHeight="1" x14ac:dyDescent="0.2">
      <c r="A1134" s="57" t="s">
        <v>27</v>
      </c>
      <c r="B1134" s="57" t="s">
        <v>35</v>
      </c>
      <c r="C1134" s="57" t="s">
        <v>36</v>
      </c>
      <c r="D1134" s="57" t="s">
        <v>42</v>
      </c>
      <c r="E1134" s="57" t="s">
        <v>25</v>
      </c>
      <c r="F1134" s="57" t="s">
        <v>25</v>
      </c>
      <c r="G1134" s="57" t="s">
        <v>25</v>
      </c>
      <c r="H1134" s="57" t="s">
        <v>37</v>
      </c>
      <c r="I1134" s="82">
        <v>44440</v>
      </c>
      <c r="J1134" s="83">
        <f>EFEITO!$J$1134*EFEITO!$Y$1134</f>
        <v>0</v>
      </c>
      <c r="K1134" s="83">
        <f ca="1">EFEITO!$L$1134*EFEITO!$Z$1134</f>
        <v>-18372.544263482952</v>
      </c>
      <c r="L1134" s="83">
        <f>EFEITO!$N$1134*EFEITO!$AA$1134</f>
        <v>-5197.5188171009486</v>
      </c>
      <c r="M1134" s="83">
        <f>$J$1134-EFEITO!$K$1134*EFEITO!$Y$1134</f>
        <v>0</v>
      </c>
      <c r="N1134" s="83">
        <f ca="1">$K$1134-EFEITO!$M$1134*EFEITO!$Z$1134</f>
        <v>0</v>
      </c>
      <c r="O1134" s="83">
        <f>$L$1134-EFEITO!$O$1134*EFEITO!$AA$1134</f>
        <v>0</v>
      </c>
      <c r="P1134" s="61"/>
      <c r="Q1134" s="61"/>
      <c r="R1134" s="61"/>
      <c r="S1134" s="61"/>
      <c r="T1134" s="61"/>
      <c r="U1134" s="61"/>
      <c r="V1134" s="61"/>
      <c r="W1134" s="61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</row>
    <row r="1135" spans="1:36" ht="11.25" customHeight="1" x14ac:dyDescent="0.2">
      <c r="A1135" s="57" t="s">
        <v>28</v>
      </c>
      <c r="B1135" s="57" t="s">
        <v>35</v>
      </c>
      <c r="C1135" s="57" t="s">
        <v>36</v>
      </c>
      <c r="D1135" s="57" t="s">
        <v>42</v>
      </c>
      <c r="E1135" s="57" t="s">
        <v>25</v>
      </c>
      <c r="F1135" s="57" t="s">
        <v>25</v>
      </c>
      <c r="G1135" s="57" t="s">
        <v>25</v>
      </c>
      <c r="H1135" s="57" t="s">
        <v>37</v>
      </c>
      <c r="I1135" s="82">
        <v>44440</v>
      </c>
      <c r="J1135" s="83">
        <f>EFEITO!$J$1135*EFEITO!$Y$1135</f>
        <v>0</v>
      </c>
      <c r="K1135" s="83">
        <f ca="1">EFEITO!$L$1135*EFEITO!$Z$1135</f>
        <v>264660.9968920399</v>
      </c>
      <c r="L1135" s="83">
        <f>EFEITO!$N$1135*EFEITO!$AA$1135</f>
        <v>74871.530680329364</v>
      </c>
      <c r="M1135" s="83">
        <f>$J$1135-EFEITO!$K$1135*EFEITO!$Y$1135</f>
        <v>0</v>
      </c>
      <c r="N1135" s="83">
        <f ca="1">$K$1135-EFEITO!$M$1135*EFEITO!$Z$1135</f>
        <v>0</v>
      </c>
      <c r="O1135" s="83">
        <f>$L$1135-EFEITO!$O$1135*EFEITO!$AA$1135</f>
        <v>0</v>
      </c>
      <c r="P1135" s="61"/>
      <c r="Q1135" s="61"/>
      <c r="R1135" s="61"/>
      <c r="S1135" s="61"/>
      <c r="T1135" s="61"/>
      <c r="U1135" s="61"/>
      <c r="V1135" s="61"/>
      <c r="W1135" s="61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</row>
    <row r="1136" spans="1:36" ht="11.25" customHeight="1" x14ac:dyDescent="0.2">
      <c r="A1136" s="57" t="s">
        <v>29</v>
      </c>
      <c r="B1136" s="57" t="s">
        <v>35</v>
      </c>
      <c r="C1136" s="57" t="s">
        <v>36</v>
      </c>
      <c r="D1136" s="57" t="s">
        <v>42</v>
      </c>
      <c r="E1136" s="57" t="s">
        <v>25</v>
      </c>
      <c r="F1136" s="57" t="s">
        <v>25</v>
      </c>
      <c r="G1136" s="57" t="s">
        <v>25</v>
      </c>
      <c r="H1136" s="57" t="s">
        <v>37</v>
      </c>
      <c r="I1136" s="82">
        <v>44440</v>
      </c>
      <c r="J1136" s="83">
        <f>EFEITO!$J$1136*EFEITO!$Y$1136</f>
        <v>0</v>
      </c>
      <c r="K1136" s="83">
        <f ca="1">EFEITO!$L$1136*EFEITO!$Z$1136</f>
        <v>-160.59916314233351</v>
      </c>
      <c r="L1136" s="83">
        <f>EFEITO!$N$1136*EFEITO!$AA$1136</f>
        <v>-45.432856792840461</v>
      </c>
      <c r="M1136" s="83">
        <f>$J$1136-EFEITO!$K$1136*EFEITO!$Y$1136</f>
        <v>0</v>
      </c>
      <c r="N1136" s="83">
        <f ca="1">$K$1136-EFEITO!$M$1136*EFEITO!$Z$1136</f>
        <v>0</v>
      </c>
      <c r="O1136" s="83">
        <f>$L$1136-EFEITO!$O$1136*EFEITO!$AA$1136</f>
        <v>0</v>
      </c>
      <c r="P1136" s="61"/>
      <c r="Q1136" s="61"/>
      <c r="R1136" s="61"/>
      <c r="S1136" s="61"/>
      <c r="T1136" s="61"/>
      <c r="U1136" s="61"/>
      <c r="V1136" s="61"/>
      <c r="W1136" s="61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</row>
    <row r="1137" spans="1:36" ht="11.25" customHeight="1" x14ac:dyDescent="0.2">
      <c r="A1137" s="57" t="s">
        <v>30</v>
      </c>
      <c r="B1137" s="57" t="s">
        <v>35</v>
      </c>
      <c r="C1137" s="57" t="s">
        <v>36</v>
      </c>
      <c r="D1137" s="57" t="s">
        <v>42</v>
      </c>
      <c r="E1137" s="57" t="s">
        <v>25</v>
      </c>
      <c r="F1137" s="57" t="s">
        <v>25</v>
      </c>
      <c r="G1137" s="57" t="s">
        <v>25</v>
      </c>
      <c r="H1137" s="57" t="s">
        <v>37</v>
      </c>
      <c r="I1137" s="82">
        <v>44440</v>
      </c>
      <c r="J1137" s="83">
        <f>EFEITO!$J$1137*EFEITO!$Y$1137</f>
        <v>0</v>
      </c>
      <c r="K1137" s="83">
        <f ca="1">EFEITO!$L$1137*EFEITO!$Z$1137</f>
        <v>75513.726509525222</v>
      </c>
      <c r="L1137" s="83">
        <f>EFEITO!$N$1137*EFEITO!$AA$1137</f>
        <v>21362.529263993587</v>
      </c>
      <c r="M1137" s="83">
        <f>$J$1137-EFEITO!$K$1137*EFEITO!$Y$1137</f>
        <v>0</v>
      </c>
      <c r="N1137" s="83">
        <f ca="1">$K$1137-EFEITO!$M$1137*EFEITO!$Z$1137</f>
        <v>0</v>
      </c>
      <c r="O1137" s="83">
        <f>$L$1137-EFEITO!$O$1137*EFEITO!$AA$1137</f>
        <v>0</v>
      </c>
      <c r="P1137" s="61"/>
      <c r="Q1137" s="61"/>
      <c r="R1137" s="61"/>
      <c r="S1137" s="61"/>
      <c r="T1137" s="61"/>
      <c r="U1137" s="61"/>
      <c r="V1137" s="61"/>
      <c r="W1137" s="61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</row>
    <row r="1138" spans="1:36" ht="11.25" customHeight="1" x14ac:dyDescent="0.2">
      <c r="A1138" s="57" t="s">
        <v>21</v>
      </c>
      <c r="B1138" s="57" t="s">
        <v>35</v>
      </c>
      <c r="C1138" s="57" t="s">
        <v>36</v>
      </c>
      <c r="D1138" s="57" t="s">
        <v>42</v>
      </c>
      <c r="E1138" s="57" t="s">
        <v>25</v>
      </c>
      <c r="F1138" s="57" t="s">
        <v>25</v>
      </c>
      <c r="G1138" s="57" t="s">
        <v>25</v>
      </c>
      <c r="H1138" s="57" t="s">
        <v>37</v>
      </c>
      <c r="I1138" s="82">
        <v>44440</v>
      </c>
      <c r="J1138" s="83">
        <f>EFEITO!$J$1138*EFEITO!$Y$1138</f>
        <v>0</v>
      </c>
      <c r="K1138" s="83">
        <f ca="1">EFEITO!$L$1138*EFEITO!$Z$1138</f>
        <v>158675.18516788835</v>
      </c>
      <c r="L1138" s="83">
        <f>EFEITO!$N$1138*EFEITO!$AA$1138</f>
        <v>0</v>
      </c>
      <c r="M1138" s="83">
        <f>$J$1138-EFEITO!$K$1138*EFEITO!$Y$1138</f>
        <v>0</v>
      </c>
      <c r="N1138" s="83">
        <f ca="1">$K$1138-EFEITO!$M$1138*EFEITO!$Z$1138</f>
        <v>0</v>
      </c>
      <c r="O1138" s="83">
        <f>$L$1138-EFEITO!$O$1138*EFEITO!$AA$1138</f>
        <v>0</v>
      </c>
      <c r="P1138" s="61"/>
      <c r="Q1138" s="61"/>
      <c r="R1138" s="61"/>
      <c r="S1138" s="61"/>
      <c r="T1138" s="61"/>
      <c r="U1138" s="61"/>
      <c r="V1138" s="61"/>
      <c r="W1138" s="61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</row>
    <row r="1139" spans="1:36" ht="11.25" customHeight="1" x14ac:dyDescent="0.2">
      <c r="A1139" s="57" t="s">
        <v>59</v>
      </c>
      <c r="B1139" s="57" t="s">
        <v>35</v>
      </c>
      <c r="C1139" s="57" t="s">
        <v>36</v>
      </c>
      <c r="D1139" s="57" t="s">
        <v>42</v>
      </c>
      <c r="E1139" s="57" t="s">
        <v>25</v>
      </c>
      <c r="F1139" s="57" t="s">
        <v>25</v>
      </c>
      <c r="G1139" s="57" t="s">
        <v>25</v>
      </c>
      <c r="H1139" s="57" t="s">
        <v>37</v>
      </c>
      <c r="I1139" s="82">
        <v>44470</v>
      </c>
      <c r="J1139" s="83">
        <f>EFEITO!$J$1139*EFEITO!$Y$1139</f>
        <v>0</v>
      </c>
      <c r="K1139" s="83">
        <f ca="1">EFEITO!$L$1139*EFEITO!$Z$1139</f>
        <v>2542835.6076727179</v>
      </c>
      <c r="L1139" s="83">
        <f>EFEITO!$N$1139*EFEITO!$AA$1139</f>
        <v>719357.95772946393</v>
      </c>
      <c r="M1139" s="83">
        <f>$J$1139-EFEITO!$K$1139*EFEITO!$Y$1139</f>
        <v>0</v>
      </c>
      <c r="N1139" s="83">
        <f ca="1">$K$1139-EFEITO!$M$1139*EFEITO!$Z$1139</f>
        <v>0</v>
      </c>
      <c r="O1139" s="83">
        <f>$L$1139-EFEITO!$O$1139*EFEITO!$AA$1139</f>
        <v>0</v>
      </c>
      <c r="P1139" s="61"/>
      <c r="Q1139" s="61"/>
      <c r="R1139" s="61"/>
      <c r="S1139" s="61"/>
      <c r="T1139" s="61"/>
      <c r="U1139" s="61"/>
      <c r="V1139" s="61"/>
      <c r="W1139" s="61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</row>
    <row r="1140" spans="1:36" ht="11.25" customHeight="1" x14ac:dyDescent="0.2">
      <c r="A1140" s="57" t="s">
        <v>59</v>
      </c>
      <c r="B1140" s="57" t="s">
        <v>35</v>
      </c>
      <c r="C1140" s="57" t="s">
        <v>36</v>
      </c>
      <c r="D1140" s="57" t="s">
        <v>42</v>
      </c>
      <c r="E1140" s="57" t="s">
        <v>25</v>
      </c>
      <c r="F1140" s="57" t="s">
        <v>25</v>
      </c>
      <c r="G1140" s="57" t="s">
        <v>25</v>
      </c>
      <c r="H1140" s="57" t="s">
        <v>37</v>
      </c>
      <c r="I1140" s="82">
        <v>44470</v>
      </c>
      <c r="J1140" s="83">
        <f>EFEITO!$J$1140*EFEITO!$Y$1140</f>
        <v>0</v>
      </c>
      <c r="K1140" s="83">
        <f ca="1">EFEITO!$L$1140*EFEITO!$Z$1140</f>
        <v>-18372.544263482952</v>
      </c>
      <c r="L1140" s="83">
        <f>EFEITO!$N$1140*EFEITO!$AA$1140</f>
        <v>-5197.5188171009486</v>
      </c>
      <c r="M1140" s="83">
        <f>$J$1140-EFEITO!$K$1140*EFEITO!$Y$1140</f>
        <v>0</v>
      </c>
      <c r="N1140" s="83">
        <f ca="1">$K$1140-EFEITO!$M$1140*EFEITO!$Z$1140</f>
        <v>0</v>
      </c>
      <c r="O1140" s="83">
        <f>$L$1140-EFEITO!$O$1140*EFEITO!$AA$1140</f>
        <v>0</v>
      </c>
      <c r="P1140" s="61"/>
      <c r="Q1140" s="61"/>
      <c r="R1140" s="61"/>
      <c r="S1140" s="61"/>
      <c r="T1140" s="61"/>
      <c r="U1140" s="61"/>
      <c r="V1140" s="61"/>
      <c r="W1140" s="61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</row>
    <row r="1141" spans="1:36" ht="11.25" customHeight="1" x14ac:dyDescent="0.2">
      <c r="A1141" s="57" t="s">
        <v>59</v>
      </c>
      <c r="B1141" s="57" t="s">
        <v>35</v>
      </c>
      <c r="C1141" s="57" t="s">
        <v>36</v>
      </c>
      <c r="D1141" s="57" t="s">
        <v>42</v>
      </c>
      <c r="E1141" s="57" t="s">
        <v>25</v>
      </c>
      <c r="F1141" s="57" t="s">
        <v>25</v>
      </c>
      <c r="G1141" s="57" t="s">
        <v>25</v>
      </c>
      <c r="H1141" s="57" t="s">
        <v>37</v>
      </c>
      <c r="I1141" s="82">
        <v>44470</v>
      </c>
      <c r="J1141" s="83">
        <f>EFEITO!$J$1141*EFEITO!$Y$1141</f>
        <v>0</v>
      </c>
      <c r="K1141" s="83">
        <f ca="1">EFEITO!$L$1141*EFEITO!$Z$1141</f>
        <v>264660.9968920399</v>
      </c>
      <c r="L1141" s="83">
        <f>EFEITO!$N$1141*EFEITO!$AA$1141</f>
        <v>74871.530680329364</v>
      </c>
      <c r="M1141" s="83">
        <f>$J$1141-EFEITO!$K$1141*EFEITO!$Y$1141</f>
        <v>0</v>
      </c>
      <c r="N1141" s="83">
        <f ca="1">$K$1141-EFEITO!$M$1141*EFEITO!$Z$1141</f>
        <v>0</v>
      </c>
      <c r="O1141" s="83">
        <f>$L$1141-EFEITO!$O$1141*EFEITO!$AA$1141</f>
        <v>0</v>
      </c>
      <c r="P1141" s="61"/>
      <c r="Q1141" s="61"/>
      <c r="R1141" s="61"/>
      <c r="S1141" s="61"/>
      <c r="T1141" s="61"/>
      <c r="U1141" s="61"/>
      <c r="V1141" s="61"/>
      <c r="W1141" s="61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</row>
    <row r="1142" spans="1:36" ht="11.25" customHeight="1" x14ac:dyDescent="0.2">
      <c r="A1142" s="57" t="s">
        <v>59</v>
      </c>
      <c r="B1142" s="57" t="s">
        <v>35</v>
      </c>
      <c r="C1142" s="57" t="s">
        <v>36</v>
      </c>
      <c r="D1142" s="57" t="s">
        <v>42</v>
      </c>
      <c r="E1142" s="57" t="s">
        <v>25</v>
      </c>
      <c r="F1142" s="57" t="s">
        <v>25</v>
      </c>
      <c r="G1142" s="57" t="s">
        <v>25</v>
      </c>
      <c r="H1142" s="57" t="s">
        <v>37</v>
      </c>
      <c r="I1142" s="82">
        <v>44470</v>
      </c>
      <c r="J1142" s="83">
        <f>EFEITO!$J$1142*EFEITO!$Y$1142</f>
        <v>0</v>
      </c>
      <c r="K1142" s="83">
        <f ca="1">EFEITO!$L$1142*EFEITO!$Z$1142</f>
        <v>-160.59916314233351</v>
      </c>
      <c r="L1142" s="83">
        <f>EFEITO!$N$1142*EFEITO!$AA$1142</f>
        <v>-45.432856792840461</v>
      </c>
      <c r="M1142" s="83">
        <f>$J$1142-EFEITO!$K$1142*EFEITO!$Y$1142</f>
        <v>0</v>
      </c>
      <c r="N1142" s="83">
        <f ca="1">$K$1142-EFEITO!$M$1142*EFEITO!$Z$1142</f>
        <v>0</v>
      </c>
      <c r="O1142" s="83">
        <f>$L$1142-EFEITO!$O$1142*EFEITO!$AA$1142</f>
        <v>0</v>
      </c>
      <c r="P1142" s="61"/>
      <c r="Q1142" s="61"/>
      <c r="R1142" s="61"/>
      <c r="S1142" s="61"/>
      <c r="T1142" s="61"/>
      <c r="U1142" s="61"/>
      <c r="V1142" s="61"/>
      <c r="W1142" s="61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</row>
    <row r="1143" spans="1:36" ht="11.25" customHeight="1" x14ac:dyDescent="0.2">
      <c r="A1143" s="57" t="s">
        <v>59</v>
      </c>
      <c r="B1143" s="57" t="s">
        <v>35</v>
      </c>
      <c r="C1143" s="57" t="s">
        <v>36</v>
      </c>
      <c r="D1143" s="57" t="s">
        <v>42</v>
      </c>
      <c r="E1143" s="57" t="s">
        <v>25</v>
      </c>
      <c r="F1143" s="57" t="s">
        <v>25</v>
      </c>
      <c r="G1143" s="57" t="s">
        <v>25</v>
      </c>
      <c r="H1143" s="57" t="s">
        <v>37</v>
      </c>
      <c r="I1143" s="82">
        <v>44470</v>
      </c>
      <c r="J1143" s="83">
        <f>EFEITO!$J$1143*EFEITO!$Y$1143</f>
        <v>0</v>
      </c>
      <c r="K1143" s="83">
        <f ca="1">EFEITO!$L$1143*EFEITO!$Z$1143</f>
        <v>75513.726509525222</v>
      </c>
      <c r="L1143" s="83">
        <f>EFEITO!$N$1143*EFEITO!$AA$1143</f>
        <v>21362.529263993587</v>
      </c>
      <c r="M1143" s="83">
        <f>$J$1143-EFEITO!$K$1143*EFEITO!$Y$1143</f>
        <v>0</v>
      </c>
      <c r="N1143" s="83">
        <f ca="1">$K$1143-EFEITO!$M$1143*EFEITO!$Z$1143</f>
        <v>0</v>
      </c>
      <c r="O1143" s="83">
        <f>$L$1143-EFEITO!$O$1143*EFEITO!$AA$1143</f>
        <v>0</v>
      </c>
      <c r="P1143" s="61"/>
      <c r="Q1143" s="61"/>
      <c r="R1143" s="61"/>
      <c r="S1143" s="61"/>
      <c r="T1143" s="61"/>
      <c r="U1143" s="61"/>
      <c r="V1143" s="61"/>
      <c r="W1143" s="61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</row>
    <row r="1144" spans="1:36" ht="11.25" customHeight="1" x14ac:dyDescent="0.2">
      <c r="A1144" s="57" t="s">
        <v>59</v>
      </c>
      <c r="B1144" s="57" t="s">
        <v>35</v>
      </c>
      <c r="C1144" s="57" t="s">
        <v>36</v>
      </c>
      <c r="D1144" s="57" t="s">
        <v>42</v>
      </c>
      <c r="E1144" s="57" t="s">
        <v>25</v>
      </c>
      <c r="F1144" s="57" t="s">
        <v>25</v>
      </c>
      <c r="G1144" s="57" t="s">
        <v>25</v>
      </c>
      <c r="H1144" s="57" t="s">
        <v>37</v>
      </c>
      <c r="I1144" s="82">
        <v>44470</v>
      </c>
      <c r="J1144" s="83">
        <f>EFEITO!$J$1144*EFEITO!$Y$1144</f>
        <v>0</v>
      </c>
      <c r="K1144" s="83">
        <f ca="1">EFEITO!$L$1144*EFEITO!$Z$1144</f>
        <v>158675.18516788835</v>
      </c>
      <c r="L1144" s="83">
        <f>EFEITO!$N$1144*EFEITO!$AA$1144</f>
        <v>0</v>
      </c>
      <c r="M1144" s="83">
        <f>$J$1144-EFEITO!$K$1144*EFEITO!$Y$1144</f>
        <v>0</v>
      </c>
      <c r="N1144" s="83">
        <f ca="1">$K$1144-EFEITO!$M$1144*EFEITO!$Z$1144</f>
        <v>0</v>
      </c>
      <c r="O1144" s="83">
        <f>$L$1144-EFEITO!$O$1144*EFEITO!$AA$1144</f>
        <v>0</v>
      </c>
      <c r="P1144" s="61"/>
      <c r="Q1144" s="61"/>
      <c r="R1144" s="61"/>
      <c r="S1144" s="61"/>
      <c r="T1144" s="61"/>
      <c r="U1144" s="61"/>
      <c r="V1144" s="61"/>
      <c r="W1144" s="61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</row>
    <row r="1145" spans="1:36" ht="11.25" customHeight="1" x14ac:dyDescent="0.2">
      <c r="A1145" s="57" t="s">
        <v>21</v>
      </c>
      <c r="B1145" s="57" t="s">
        <v>35</v>
      </c>
      <c r="C1145" s="57" t="s">
        <v>36</v>
      </c>
      <c r="D1145" s="57" t="s">
        <v>48</v>
      </c>
      <c r="E1145" s="57" t="s">
        <v>25</v>
      </c>
      <c r="F1145" s="57" t="s">
        <v>25</v>
      </c>
      <c r="G1145" s="57" t="s">
        <v>25</v>
      </c>
      <c r="H1145" s="57" t="s">
        <v>38</v>
      </c>
      <c r="I1145" s="82">
        <v>44136</v>
      </c>
      <c r="J1145" s="83">
        <f>EFEITO!$J$1145*EFEITO!$Y$1145</f>
        <v>0</v>
      </c>
      <c r="K1145" s="83">
        <f ca="1">EFEITO!$L$1145*EFEITO!$Z$1145</f>
        <v>2316996.3063011193</v>
      </c>
      <c r="L1145" s="83">
        <f>EFEITO!$N$1145*EFEITO!$AA$1145</f>
        <v>3890009.0008363598</v>
      </c>
      <c r="M1145" s="83">
        <f>$J$1145-EFEITO!$K$1145*EFEITO!$Y$1145</f>
        <v>0</v>
      </c>
      <c r="N1145" s="83">
        <f ca="1">$K$1145-EFEITO!$M$1145*EFEITO!$Z$1145</f>
        <v>0</v>
      </c>
      <c r="O1145" s="83">
        <f>$L$1145-EFEITO!$O$1145*EFEITO!$AA$1145</f>
        <v>0</v>
      </c>
      <c r="P1145" s="61"/>
      <c r="Q1145" s="61"/>
      <c r="R1145" s="61"/>
      <c r="S1145" s="61"/>
      <c r="T1145" s="61"/>
      <c r="U1145" s="61"/>
      <c r="V1145" s="61"/>
      <c r="W1145" s="61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</row>
    <row r="1146" spans="1:36" ht="11.25" customHeight="1" x14ac:dyDescent="0.2">
      <c r="A1146" s="57" t="s">
        <v>27</v>
      </c>
      <c r="B1146" s="57" t="s">
        <v>35</v>
      </c>
      <c r="C1146" s="57" t="s">
        <v>36</v>
      </c>
      <c r="D1146" s="57" t="s">
        <v>48</v>
      </c>
      <c r="E1146" s="57" t="s">
        <v>25</v>
      </c>
      <c r="F1146" s="57" t="s">
        <v>25</v>
      </c>
      <c r="G1146" s="57" t="s">
        <v>25</v>
      </c>
      <c r="H1146" s="57" t="s">
        <v>38</v>
      </c>
      <c r="I1146" s="82">
        <v>44136</v>
      </c>
      <c r="J1146" s="83">
        <f>EFEITO!$J$1146*EFEITO!$Y$1146</f>
        <v>0</v>
      </c>
      <c r="K1146" s="83">
        <f ca="1">EFEITO!$L$1146*EFEITO!$Z$1146</f>
        <v>22478.336962288646</v>
      </c>
      <c r="L1146" s="83">
        <f>EFEITO!$N$1146*EFEITO!$AA$1146</f>
        <v>37738.917783053017</v>
      </c>
      <c r="M1146" s="83">
        <f>$J$1146-EFEITO!$K$1146*EFEITO!$Y$1146</f>
        <v>0</v>
      </c>
      <c r="N1146" s="83">
        <f ca="1">$K$1146-EFEITO!$M$1146*EFEITO!$Z$1146</f>
        <v>0</v>
      </c>
      <c r="O1146" s="83">
        <f>$L$1146-EFEITO!$O$1146*EFEITO!$AA$1146</f>
        <v>0</v>
      </c>
      <c r="P1146" s="61"/>
      <c r="Q1146" s="61"/>
      <c r="R1146" s="61"/>
      <c r="S1146" s="61"/>
      <c r="T1146" s="61"/>
      <c r="U1146" s="61"/>
      <c r="V1146" s="61"/>
      <c r="W1146" s="61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</row>
    <row r="1147" spans="1:36" ht="11.25" customHeight="1" x14ac:dyDescent="0.2">
      <c r="A1147" s="57" t="s">
        <v>28</v>
      </c>
      <c r="B1147" s="57" t="s">
        <v>35</v>
      </c>
      <c r="C1147" s="57" t="s">
        <v>36</v>
      </c>
      <c r="D1147" s="57" t="s">
        <v>48</v>
      </c>
      <c r="E1147" s="57" t="s">
        <v>25</v>
      </c>
      <c r="F1147" s="57" t="s">
        <v>25</v>
      </c>
      <c r="G1147" s="57" t="s">
        <v>25</v>
      </c>
      <c r="H1147" s="57" t="s">
        <v>38</v>
      </c>
      <c r="I1147" s="82">
        <v>44136</v>
      </c>
      <c r="J1147" s="83">
        <f>EFEITO!$J$1147*EFEITO!$Y$1147</f>
        <v>0</v>
      </c>
      <c r="K1147" s="83">
        <f ca="1">EFEITO!$L$1147*EFEITO!$Z$1147</f>
        <v>462293.03831714898</v>
      </c>
      <c r="L1147" s="83">
        <f>EFEITO!$N$1147*EFEITO!$AA$1147</f>
        <v>776144.56060508953</v>
      </c>
      <c r="M1147" s="83">
        <f>$J$1147-EFEITO!$K$1147*EFEITO!$Y$1147</f>
        <v>0</v>
      </c>
      <c r="N1147" s="83">
        <f ca="1">$K$1147-EFEITO!$M$1147*EFEITO!$Z$1147</f>
        <v>0</v>
      </c>
      <c r="O1147" s="83">
        <f>$L$1147-EFEITO!$O$1147*EFEITO!$AA$1147</f>
        <v>0</v>
      </c>
      <c r="P1147" s="61"/>
      <c r="Q1147" s="61"/>
      <c r="R1147" s="61"/>
      <c r="S1147" s="61"/>
      <c r="T1147" s="61"/>
      <c r="U1147" s="61"/>
      <c r="V1147" s="61"/>
      <c r="W1147" s="61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</row>
    <row r="1148" spans="1:36" ht="11.25" customHeight="1" x14ac:dyDescent="0.2">
      <c r="A1148" s="57" t="s">
        <v>30</v>
      </c>
      <c r="B1148" s="57" t="s">
        <v>35</v>
      </c>
      <c r="C1148" s="57" t="s">
        <v>36</v>
      </c>
      <c r="D1148" s="57" t="s">
        <v>48</v>
      </c>
      <c r="E1148" s="57" t="s">
        <v>25</v>
      </c>
      <c r="F1148" s="57" t="s">
        <v>25</v>
      </c>
      <c r="G1148" s="57" t="s">
        <v>25</v>
      </c>
      <c r="H1148" s="57" t="s">
        <v>38</v>
      </c>
      <c r="I1148" s="82">
        <v>44136</v>
      </c>
      <c r="J1148" s="83">
        <f>EFEITO!$J$1148*EFEITO!$Y$1148</f>
        <v>0</v>
      </c>
      <c r="K1148" s="83">
        <f ca="1">EFEITO!$L$1148*EFEITO!$Z$1148</f>
        <v>7937.4858007577823</v>
      </c>
      <c r="L1148" s="83">
        <f>EFEITO!$N$1148*EFEITO!$AA$1148</f>
        <v>13326.258278870893</v>
      </c>
      <c r="M1148" s="83">
        <f>$J$1148-EFEITO!$K$1148*EFEITO!$Y$1148</f>
        <v>0</v>
      </c>
      <c r="N1148" s="83">
        <f ca="1">$K$1148-EFEITO!$M$1148*EFEITO!$Z$1148</f>
        <v>0</v>
      </c>
      <c r="O1148" s="83">
        <f>$L$1148-EFEITO!$O$1148*EFEITO!$AA$1148</f>
        <v>0</v>
      </c>
      <c r="P1148" s="61"/>
      <c r="Q1148" s="61"/>
      <c r="R1148" s="61"/>
      <c r="S1148" s="61"/>
      <c r="T1148" s="61"/>
      <c r="U1148" s="61"/>
      <c r="V1148" s="61"/>
      <c r="W1148" s="61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</row>
    <row r="1149" spans="1:36" ht="11.25" customHeight="1" x14ac:dyDescent="0.2">
      <c r="A1149" s="57" t="s">
        <v>21</v>
      </c>
      <c r="B1149" s="57" t="s">
        <v>35</v>
      </c>
      <c r="C1149" s="57" t="s">
        <v>36</v>
      </c>
      <c r="D1149" s="57" t="s">
        <v>48</v>
      </c>
      <c r="E1149" s="57" t="s">
        <v>25</v>
      </c>
      <c r="F1149" s="57" t="s">
        <v>25</v>
      </c>
      <c r="G1149" s="57" t="s">
        <v>25</v>
      </c>
      <c r="H1149" s="57" t="s">
        <v>38</v>
      </c>
      <c r="I1149" s="82">
        <v>44166</v>
      </c>
      <c r="J1149" s="83">
        <f>EFEITO!$J$1149*EFEITO!$Y$1149</f>
        <v>0</v>
      </c>
      <c r="K1149" s="83">
        <f ca="1">EFEITO!$L$1149*EFEITO!$Z$1149</f>
        <v>2079899.1583643511</v>
      </c>
      <c r="L1149" s="83">
        <f>EFEITO!$N$1149*EFEITO!$AA$1149</f>
        <v>3491946.1998563074</v>
      </c>
      <c r="M1149" s="83">
        <f>$J$1149-EFEITO!$K$1149*EFEITO!$Y$1149</f>
        <v>0</v>
      </c>
      <c r="N1149" s="83">
        <f ca="1">$K$1149-EFEITO!$M$1149*EFEITO!$Z$1149</f>
        <v>0</v>
      </c>
      <c r="O1149" s="83">
        <f>$L$1149-EFEITO!$O$1149*EFEITO!$AA$1149</f>
        <v>0</v>
      </c>
      <c r="P1149" s="61"/>
      <c r="Q1149" s="61"/>
      <c r="R1149" s="61"/>
      <c r="S1149" s="61"/>
      <c r="T1149" s="61"/>
      <c r="U1149" s="61"/>
      <c r="V1149" s="61"/>
      <c r="W1149" s="61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</row>
    <row r="1150" spans="1:36" ht="11.25" customHeight="1" x14ac:dyDescent="0.2">
      <c r="A1150" s="57" t="s">
        <v>27</v>
      </c>
      <c r="B1150" s="57" t="s">
        <v>35</v>
      </c>
      <c r="C1150" s="57" t="s">
        <v>36</v>
      </c>
      <c r="D1150" s="57" t="s">
        <v>48</v>
      </c>
      <c r="E1150" s="57" t="s">
        <v>25</v>
      </c>
      <c r="F1150" s="57" t="s">
        <v>25</v>
      </c>
      <c r="G1150" s="57" t="s">
        <v>25</v>
      </c>
      <c r="H1150" s="57" t="s">
        <v>38</v>
      </c>
      <c r="I1150" s="82">
        <v>44166</v>
      </c>
      <c r="J1150" s="83">
        <f>EFEITO!$J$1150*EFEITO!$Y$1150</f>
        <v>0</v>
      </c>
      <c r="K1150" s="83">
        <f ca="1">EFEITO!$L$1150*EFEITO!$Z$1150</f>
        <v>1461.6850696510412</v>
      </c>
      <c r="L1150" s="83">
        <f>EFEITO!$N$1150*EFEITO!$AA$1150</f>
        <v>2454.02552514545</v>
      </c>
      <c r="M1150" s="83">
        <f>$J$1150-EFEITO!$K$1150*EFEITO!$Y$1150</f>
        <v>0</v>
      </c>
      <c r="N1150" s="83">
        <f ca="1">$K$1150-EFEITO!$M$1150*EFEITO!$Z$1150</f>
        <v>0</v>
      </c>
      <c r="O1150" s="83">
        <f>$L$1150-EFEITO!$O$1150*EFEITO!$AA$1150</f>
        <v>0</v>
      </c>
      <c r="P1150" s="61"/>
      <c r="Q1150" s="61"/>
      <c r="R1150" s="61"/>
      <c r="S1150" s="61"/>
      <c r="T1150" s="61"/>
      <c r="U1150" s="61"/>
      <c r="V1150" s="61"/>
      <c r="W1150" s="61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</row>
    <row r="1151" spans="1:36" ht="11.25" customHeight="1" x14ac:dyDescent="0.2">
      <c r="A1151" s="57" t="s">
        <v>28</v>
      </c>
      <c r="B1151" s="57" t="s">
        <v>35</v>
      </c>
      <c r="C1151" s="57" t="s">
        <v>36</v>
      </c>
      <c r="D1151" s="57" t="s">
        <v>48</v>
      </c>
      <c r="E1151" s="57" t="s">
        <v>25</v>
      </c>
      <c r="F1151" s="57" t="s">
        <v>25</v>
      </c>
      <c r="G1151" s="57" t="s">
        <v>25</v>
      </c>
      <c r="H1151" s="57" t="s">
        <v>38</v>
      </c>
      <c r="I1151" s="82">
        <v>44166</v>
      </c>
      <c r="J1151" s="83">
        <f>EFEITO!$J$1151*EFEITO!$Y$1151</f>
        <v>0</v>
      </c>
      <c r="K1151" s="83">
        <f ca="1">EFEITO!$L$1151*EFEITO!$Z$1151</f>
        <v>625224.07686323056</v>
      </c>
      <c r="L1151" s="83">
        <f>EFEITO!$N$1151*EFEITO!$AA$1151</f>
        <v>1049689.7556216859</v>
      </c>
      <c r="M1151" s="83">
        <f>$J$1151-EFEITO!$K$1151*EFEITO!$Y$1151</f>
        <v>0</v>
      </c>
      <c r="N1151" s="83">
        <f ca="1">$K$1151-EFEITO!$M$1151*EFEITO!$Z$1151</f>
        <v>0</v>
      </c>
      <c r="O1151" s="83">
        <f>$L$1151-EFEITO!$O$1151*EFEITO!$AA$1151</f>
        <v>0</v>
      </c>
      <c r="P1151" s="61"/>
      <c r="Q1151" s="61"/>
      <c r="R1151" s="61"/>
      <c r="S1151" s="61"/>
      <c r="T1151" s="61"/>
      <c r="U1151" s="61"/>
      <c r="V1151" s="61"/>
      <c r="W1151" s="61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/>
      <c r="AJ1151" s="6"/>
    </row>
    <row r="1152" spans="1:36" ht="11.25" customHeight="1" x14ac:dyDescent="0.2">
      <c r="A1152" s="57" t="s">
        <v>30</v>
      </c>
      <c r="B1152" s="57" t="s">
        <v>35</v>
      </c>
      <c r="C1152" s="57" t="s">
        <v>36</v>
      </c>
      <c r="D1152" s="57" t="s">
        <v>48</v>
      </c>
      <c r="E1152" s="57" t="s">
        <v>25</v>
      </c>
      <c r="F1152" s="57" t="s">
        <v>25</v>
      </c>
      <c r="G1152" s="57" t="s">
        <v>25</v>
      </c>
      <c r="H1152" s="57" t="s">
        <v>38</v>
      </c>
      <c r="I1152" s="82">
        <v>44166</v>
      </c>
      <c r="J1152" s="83">
        <f>EFEITO!$J$1152*EFEITO!$Y$1152</f>
        <v>0</v>
      </c>
      <c r="K1152" s="83">
        <f ca="1">EFEITO!$L$1152*EFEITO!$Z$1152</f>
        <v>7657.9221011323407</v>
      </c>
      <c r="L1152" s="83">
        <f>EFEITO!$N$1152*EFEITO!$AA$1152</f>
        <v>12856.898312740355</v>
      </c>
      <c r="M1152" s="83">
        <f>$J$1152-EFEITO!$K$1152*EFEITO!$Y$1152</f>
        <v>0</v>
      </c>
      <c r="N1152" s="83">
        <f ca="1">$K$1152-EFEITO!$M$1152*EFEITO!$Z$1152</f>
        <v>0</v>
      </c>
      <c r="O1152" s="83">
        <f>$L$1152-EFEITO!$O$1152*EFEITO!$AA$1152</f>
        <v>0</v>
      </c>
      <c r="P1152" s="61"/>
      <c r="Q1152" s="61"/>
      <c r="R1152" s="61"/>
      <c r="S1152" s="61"/>
      <c r="T1152" s="61"/>
      <c r="U1152" s="61"/>
      <c r="V1152" s="61"/>
      <c r="W1152" s="61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</row>
    <row r="1153" spans="1:36" ht="11.25" customHeight="1" x14ac:dyDescent="0.2">
      <c r="A1153" s="57" t="s">
        <v>21</v>
      </c>
      <c r="B1153" s="57" t="s">
        <v>35</v>
      </c>
      <c r="C1153" s="57" t="s">
        <v>36</v>
      </c>
      <c r="D1153" s="57" t="s">
        <v>48</v>
      </c>
      <c r="E1153" s="57" t="s">
        <v>25</v>
      </c>
      <c r="F1153" s="57" t="s">
        <v>25</v>
      </c>
      <c r="G1153" s="57" t="s">
        <v>25</v>
      </c>
      <c r="H1153" s="57" t="s">
        <v>38</v>
      </c>
      <c r="I1153" s="82">
        <v>44197</v>
      </c>
      <c r="J1153" s="83">
        <f>EFEITO!$J$1153*EFEITO!$Y$1153</f>
        <v>0</v>
      </c>
      <c r="K1153" s="83">
        <f ca="1">EFEITO!$L$1153*EFEITO!$Z$1153</f>
        <v>1604706.2521930567</v>
      </c>
      <c r="L1153" s="83">
        <f>EFEITO!$N$1153*EFEITO!$AA$1153</f>
        <v>2694144.0293854801</v>
      </c>
      <c r="M1153" s="83">
        <f>$J$1153-EFEITO!$K$1153*EFEITO!$Y$1153</f>
        <v>0</v>
      </c>
      <c r="N1153" s="83">
        <f ca="1">$K$1153-EFEITO!$M$1153*EFEITO!$Z$1153</f>
        <v>0</v>
      </c>
      <c r="O1153" s="83">
        <f>$L$1153-EFEITO!$O$1153*EFEITO!$AA$1153</f>
        <v>0</v>
      </c>
      <c r="P1153" s="61"/>
      <c r="Q1153" s="61"/>
      <c r="R1153" s="61"/>
      <c r="S1153" s="61"/>
      <c r="T1153" s="61"/>
      <c r="U1153" s="61"/>
      <c r="V1153" s="61"/>
      <c r="W1153" s="61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</row>
    <row r="1154" spans="1:36" ht="11.25" customHeight="1" x14ac:dyDescent="0.2">
      <c r="A1154" s="57" t="s">
        <v>28</v>
      </c>
      <c r="B1154" s="57" t="s">
        <v>35</v>
      </c>
      <c r="C1154" s="57" t="s">
        <v>36</v>
      </c>
      <c r="D1154" s="57" t="s">
        <v>48</v>
      </c>
      <c r="E1154" s="57" t="s">
        <v>25</v>
      </c>
      <c r="F1154" s="57" t="s">
        <v>25</v>
      </c>
      <c r="G1154" s="57" t="s">
        <v>25</v>
      </c>
      <c r="H1154" s="57" t="s">
        <v>38</v>
      </c>
      <c r="I1154" s="82">
        <v>44197</v>
      </c>
      <c r="J1154" s="83">
        <f>EFEITO!$J$1154*EFEITO!$Y$1154</f>
        <v>0</v>
      </c>
      <c r="K1154" s="83">
        <f ca="1">EFEITO!$L$1154*EFEITO!$Z$1154</f>
        <v>351680.51778578135</v>
      </c>
      <c r="L1154" s="83">
        <f>EFEITO!$N$1154*EFEITO!$AA$1154</f>
        <v>590437.0135960367</v>
      </c>
      <c r="M1154" s="83">
        <f>$J$1154-EFEITO!$K$1154*EFEITO!$Y$1154</f>
        <v>0</v>
      </c>
      <c r="N1154" s="83">
        <f ca="1">$K$1154-EFEITO!$M$1154*EFEITO!$Z$1154</f>
        <v>0</v>
      </c>
      <c r="O1154" s="83">
        <f>$L$1154-EFEITO!$O$1154*EFEITO!$AA$1154</f>
        <v>0</v>
      </c>
      <c r="P1154" s="61"/>
      <c r="Q1154" s="61"/>
      <c r="R1154" s="61"/>
      <c r="S1154" s="61"/>
      <c r="T1154" s="61"/>
      <c r="U1154" s="61"/>
      <c r="V1154" s="61"/>
      <c r="W1154" s="61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</row>
    <row r="1155" spans="1:36" ht="11.25" customHeight="1" x14ac:dyDescent="0.2">
      <c r="A1155" s="57" t="s">
        <v>30</v>
      </c>
      <c r="B1155" s="57" t="s">
        <v>35</v>
      </c>
      <c r="C1155" s="57" t="s">
        <v>36</v>
      </c>
      <c r="D1155" s="57" t="s">
        <v>48</v>
      </c>
      <c r="E1155" s="57" t="s">
        <v>25</v>
      </c>
      <c r="F1155" s="57" t="s">
        <v>25</v>
      </c>
      <c r="G1155" s="57" t="s">
        <v>25</v>
      </c>
      <c r="H1155" s="57" t="s">
        <v>38</v>
      </c>
      <c r="I1155" s="82">
        <v>44197</v>
      </c>
      <c r="J1155" s="83">
        <f>EFEITO!$J$1155*EFEITO!$Y$1155</f>
        <v>0</v>
      </c>
      <c r="K1155" s="83">
        <f ca="1">EFEITO!$L$1155*EFEITO!$Z$1155</f>
        <v>5132.9175952929127</v>
      </c>
      <c r="L1155" s="83">
        <f>EFEITO!$N$1155*EFEITO!$AA$1155</f>
        <v>8617.6639953804952</v>
      </c>
      <c r="M1155" s="83">
        <f>$J$1155-EFEITO!$K$1155*EFEITO!$Y$1155</f>
        <v>0</v>
      </c>
      <c r="N1155" s="83">
        <f ca="1">$K$1155-EFEITO!$M$1155*EFEITO!$Z$1155</f>
        <v>0</v>
      </c>
      <c r="O1155" s="83">
        <f>$L$1155-EFEITO!$O$1155*EFEITO!$AA$1155</f>
        <v>0</v>
      </c>
      <c r="P1155" s="61"/>
      <c r="Q1155" s="61"/>
      <c r="R1155" s="61"/>
      <c r="S1155" s="61"/>
      <c r="T1155" s="61"/>
      <c r="U1155" s="61"/>
      <c r="V1155" s="61"/>
      <c r="W1155" s="61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</row>
    <row r="1156" spans="1:36" ht="11.25" customHeight="1" x14ac:dyDescent="0.2">
      <c r="A1156" s="57" t="s">
        <v>21</v>
      </c>
      <c r="B1156" s="57" t="s">
        <v>35</v>
      </c>
      <c r="C1156" s="57" t="s">
        <v>36</v>
      </c>
      <c r="D1156" s="57" t="s">
        <v>48</v>
      </c>
      <c r="E1156" s="57" t="s">
        <v>25</v>
      </c>
      <c r="F1156" s="57" t="s">
        <v>25</v>
      </c>
      <c r="G1156" s="57" t="s">
        <v>25</v>
      </c>
      <c r="H1156" s="57" t="s">
        <v>38</v>
      </c>
      <c r="I1156" s="82">
        <v>44228</v>
      </c>
      <c r="J1156" s="83">
        <f>EFEITO!$J$1156*EFEITO!$Y$1156</f>
        <v>0</v>
      </c>
      <c r="K1156" s="83">
        <f ca="1">EFEITO!$L$1156*EFEITO!$Z$1156</f>
        <v>1589016.6453110036</v>
      </c>
      <c r="L1156" s="83">
        <f>EFEITO!$N$1156*EFEITO!$AA$1156</f>
        <v>2667802.7219674271</v>
      </c>
      <c r="M1156" s="83">
        <f>$J$1156-EFEITO!$K$1156*EFEITO!$Y$1156</f>
        <v>0</v>
      </c>
      <c r="N1156" s="83">
        <f ca="1">$K$1156-EFEITO!$M$1156*EFEITO!$Z$1156</f>
        <v>0</v>
      </c>
      <c r="O1156" s="83">
        <f>$L$1156-EFEITO!$O$1156*EFEITO!$AA$1156</f>
        <v>0</v>
      </c>
      <c r="P1156" s="61"/>
      <c r="Q1156" s="61"/>
      <c r="R1156" s="61"/>
      <c r="S1156" s="61"/>
      <c r="T1156" s="61"/>
      <c r="U1156" s="61"/>
      <c r="V1156" s="61"/>
      <c r="W1156" s="61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</row>
    <row r="1157" spans="1:36" ht="11.25" customHeight="1" x14ac:dyDescent="0.2">
      <c r="A1157" s="57" t="s">
        <v>28</v>
      </c>
      <c r="B1157" s="57" t="s">
        <v>35</v>
      </c>
      <c r="C1157" s="57" t="s">
        <v>36</v>
      </c>
      <c r="D1157" s="57" t="s">
        <v>48</v>
      </c>
      <c r="E1157" s="57" t="s">
        <v>25</v>
      </c>
      <c r="F1157" s="57" t="s">
        <v>25</v>
      </c>
      <c r="G1157" s="57" t="s">
        <v>25</v>
      </c>
      <c r="H1157" s="57" t="s">
        <v>38</v>
      </c>
      <c r="I1157" s="82">
        <v>44228</v>
      </c>
      <c r="J1157" s="83">
        <f>EFEITO!$J$1157*EFEITO!$Y$1157</f>
        <v>0</v>
      </c>
      <c r="K1157" s="83">
        <f ca="1">EFEITO!$L$1157*EFEITO!$Z$1157</f>
        <v>359090.89372974087</v>
      </c>
      <c r="L1157" s="83">
        <f>EFEITO!$N$1157*EFEITO!$AA$1157</f>
        <v>602878.30624859291</v>
      </c>
      <c r="M1157" s="83">
        <f>$J$1157-EFEITO!$K$1157*EFEITO!$Y$1157</f>
        <v>0</v>
      </c>
      <c r="N1157" s="83">
        <f ca="1">$K$1157-EFEITO!$M$1157*EFEITO!$Z$1157</f>
        <v>0</v>
      </c>
      <c r="O1157" s="83">
        <f>$L$1157-EFEITO!$O$1157*EFEITO!$AA$1157</f>
        <v>0</v>
      </c>
      <c r="P1157" s="61"/>
      <c r="Q1157" s="61"/>
      <c r="R1157" s="61"/>
      <c r="S1157" s="61"/>
      <c r="T1157" s="61"/>
      <c r="U1157" s="61"/>
      <c r="V1157" s="61"/>
      <c r="W1157" s="61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</row>
    <row r="1158" spans="1:36" ht="11.25" customHeight="1" x14ac:dyDescent="0.2">
      <c r="A1158" s="57" t="s">
        <v>30</v>
      </c>
      <c r="B1158" s="57" t="s">
        <v>35</v>
      </c>
      <c r="C1158" s="57" t="s">
        <v>36</v>
      </c>
      <c r="D1158" s="57" t="s">
        <v>48</v>
      </c>
      <c r="E1158" s="57" t="s">
        <v>25</v>
      </c>
      <c r="F1158" s="57" t="s">
        <v>25</v>
      </c>
      <c r="G1158" s="57" t="s">
        <v>25</v>
      </c>
      <c r="H1158" s="57" t="s">
        <v>38</v>
      </c>
      <c r="I1158" s="82">
        <v>44228</v>
      </c>
      <c r="J1158" s="83">
        <f>EFEITO!$J$1158*EFEITO!$Y$1158</f>
        <v>0</v>
      </c>
      <c r="K1158" s="83">
        <f ca="1">EFEITO!$L$1158*EFEITO!$Z$1158</f>
        <v>5092.3058703925317</v>
      </c>
      <c r="L1158" s="83">
        <f>EFEITO!$N$1158*EFEITO!$AA$1158</f>
        <v>8549.4809020486919</v>
      </c>
      <c r="M1158" s="83">
        <f>$J$1158-EFEITO!$K$1158*EFEITO!$Y$1158</f>
        <v>0</v>
      </c>
      <c r="N1158" s="83">
        <f ca="1">$K$1158-EFEITO!$M$1158*EFEITO!$Z$1158</f>
        <v>0</v>
      </c>
      <c r="O1158" s="83">
        <f>$L$1158-EFEITO!$O$1158*EFEITO!$AA$1158</f>
        <v>0</v>
      </c>
      <c r="P1158" s="61"/>
      <c r="Q1158" s="61"/>
      <c r="R1158" s="61"/>
      <c r="S1158" s="61"/>
      <c r="T1158" s="61"/>
      <c r="U1158" s="61"/>
      <c r="V1158" s="61"/>
      <c r="W1158" s="61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</row>
    <row r="1159" spans="1:36" ht="11.25" customHeight="1" x14ac:dyDescent="0.2">
      <c r="A1159" s="57" t="s">
        <v>21</v>
      </c>
      <c r="B1159" s="57" t="s">
        <v>35</v>
      </c>
      <c r="C1159" s="57" t="s">
        <v>36</v>
      </c>
      <c r="D1159" s="57" t="s">
        <v>48</v>
      </c>
      <c r="E1159" s="57" t="s">
        <v>25</v>
      </c>
      <c r="F1159" s="57" t="s">
        <v>25</v>
      </c>
      <c r="G1159" s="57" t="s">
        <v>25</v>
      </c>
      <c r="H1159" s="57" t="s">
        <v>38</v>
      </c>
      <c r="I1159" s="82">
        <v>44256</v>
      </c>
      <c r="J1159" s="83">
        <f>EFEITO!$J$1159*EFEITO!$Y$1159</f>
        <v>0</v>
      </c>
      <c r="K1159" s="83">
        <f ca="1">EFEITO!$L$1159*EFEITO!$Z$1159</f>
        <v>1762063.3736249064</v>
      </c>
      <c r="L1159" s="83">
        <f>EFEITO!$N$1159*EFEITO!$AA$1159</f>
        <v>2958331.1655716365</v>
      </c>
      <c r="M1159" s="83">
        <f>$J$1159-EFEITO!$K$1159*EFEITO!$Y$1159</f>
        <v>0</v>
      </c>
      <c r="N1159" s="83">
        <f ca="1">$K$1159-EFEITO!$M$1159*EFEITO!$Z$1159</f>
        <v>0</v>
      </c>
      <c r="O1159" s="83">
        <f>$L$1159-EFEITO!$O$1159*EFEITO!$AA$1159</f>
        <v>0</v>
      </c>
      <c r="P1159" s="61"/>
      <c r="Q1159" s="61"/>
      <c r="R1159" s="61"/>
      <c r="S1159" s="61"/>
      <c r="T1159" s="61"/>
      <c r="U1159" s="61"/>
      <c r="V1159" s="61"/>
      <c r="W1159" s="61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</row>
    <row r="1160" spans="1:36" ht="11.25" customHeight="1" x14ac:dyDescent="0.2">
      <c r="A1160" s="57" t="s">
        <v>27</v>
      </c>
      <c r="B1160" s="57" t="s">
        <v>35</v>
      </c>
      <c r="C1160" s="57" t="s">
        <v>36</v>
      </c>
      <c r="D1160" s="57" t="s">
        <v>48</v>
      </c>
      <c r="E1160" s="57" t="s">
        <v>25</v>
      </c>
      <c r="F1160" s="57" t="s">
        <v>25</v>
      </c>
      <c r="G1160" s="57" t="s">
        <v>25</v>
      </c>
      <c r="H1160" s="57" t="s">
        <v>38</v>
      </c>
      <c r="I1160" s="82">
        <v>44256</v>
      </c>
      <c r="J1160" s="83">
        <f>EFEITO!$J$1160*EFEITO!$Y$1160</f>
        <v>0</v>
      </c>
      <c r="K1160" s="83">
        <f ca="1">EFEITO!$L$1160*EFEITO!$Z$1160</f>
        <v>-225.47090421871033</v>
      </c>
      <c r="L1160" s="83">
        <f>EFEITO!$N$1160*EFEITO!$AA$1160</f>
        <v>-378.54348082137562</v>
      </c>
      <c r="M1160" s="83">
        <f>$J$1160-EFEITO!$K$1160*EFEITO!$Y$1160</f>
        <v>0</v>
      </c>
      <c r="N1160" s="83">
        <f ca="1">$K$1160-EFEITO!$M$1160*EFEITO!$Z$1160</f>
        <v>0</v>
      </c>
      <c r="O1160" s="83">
        <f>$L$1160-EFEITO!$O$1160*EFEITO!$AA$1160</f>
        <v>0</v>
      </c>
      <c r="P1160" s="61"/>
      <c r="Q1160" s="61"/>
      <c r="R1160" s="61"/>
      <c r="S1160" s="61"/>
      <c r="T1160" s="61"/>
      <c r="U1160" s="61"/>
      <c r="V1160" s="61"/>
      <c r="W1160" s="61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</row>
    <row r="1161" spans="1:36" ht="11.25" customHeight="1" x14ac:dyDescent="0.2">
      <c r="A1161" s="57" t="s">
        <v>28</v>
      </c>
      <c r="B1161" s="57" t="s">
        <v>35</v>
      </c>
      <c r="C1161" s="57" t="s">
        <v>36</v>
      </c>
      <c r="D1161" s="57" t="s">
        <v>48</v>
      </c>
      <c r="E1161" s="57" t="s">
        <v>25</v>
      </c>
      <c r="F1161" s="57" t="s">
        <v>25</v>
      </c>
      <c r="G1161" s="57" t="s">
        <v>25</v>
      </c>
      <c r="H1161" s="57" t="s">
        <v>38</v>
      </c>
      <c r="I1161" s="82">
        <v>44256</v>
      </c>
      <c r="J1161" s="83">
        <f>EFEITO!$J$1161*EFEITO!$Y$1161</f>
        <v>0</v>
      </c>
      <c r="K1161" s="83">
        <f ca="1">EFEITO!$L$1161*EFEITO!$Z$1161</f>
        <v>364371.59756045963</v>
      </c>
      <c r="L1161" s="83">
        <f>EFEITO!$N$1161*EFEITO!$AA$1161</f>
        <v>611744.0888035252</v>
      </c>
      <c r="M1161" s="83">
        <f>$J$1161-EFEITO!$K$1161*EFEITO!$Y$1161</f>
        <v>0</v>
      </c>
      <c r="N1161" s="83">
        <f ca="1">$K$1161-EFEITO!$M$1161*EFEITO!$Z$1161</f>
        <v>0</v>
      </c>
      <c r="O1161" s="83">
        <f>$L$1161-EFEITO!$O$1161*EFEITO!$AA$1161</f>
        <v>0</v>
      </c>
      <c r="P1161" s="61"/>
      <c r="Q1161" s="61"/>
      <c r="R1161" s="61"/>
      <c r="S1161" s="61"/>
      <c r="T1161" s="61"/>
      <c r="U1161" s="61"/>
      <c r="V1161" s="61"/>
      <c r="W1161" s="61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</row>
    <row r="1162" spans="1:36" ht="11.25" customHeight="1" x14ac:dyDescent="0.2">
      <c r="A1162" s="57" t="s">
        <v>29</v>
      </c>
      <c r="B1162" s="57" t="s">
        <v>35</v>
      </c>
      <c r="C1162" s="57" t="s">
        <v>36</v>
      </c>
      <c r="D1162" s="57" t="s">
        <v>48</v>
      </c>
      <c r="E1162" s="57" t="s">
        <v>25</v>
      </c>
      <c r="F1162" s="57" t="s">
        <v>25</v>
      </c>
      <c r="G1162" s="57" t="s">
        <v>25</v>
      </c>
      <c r="H1162" s="57" t="s">
        <v>38</v>
      </c>
      <c r="I1162" s="82">
        <v>44256</v>
      </c>
      <c r="J1162" s="83">
        <f>EFEITO!$J$1162*EFEITO!$Y$1162</f>
        <v>0</v>
      </c>
      <c r="K1162" s="83">
        <f ca="1">EFEITO!$L$1162*EFEITO!$Z$1162</f>
        <v>-387.74929043890319</v>
      </c>
      <c r="L1162" s="83">
        <f>EFEITO!$N$1162*EFEITO!$AA$1162</f>
        <v>-650.99293674886803</v>
      </c>
      <c r="M1162" s="83">
        <f>$J$1162-EFEITO!$K$1162*EFEITO!$Y$1162</f>
        <v>0</v>
      </c>
      <c r="N1162" s="83">
        <f ca="1">$K$1162-EFEITO!$M$1162*EFEITO!$Z$1162</f>
        <v>0</v>
      </c>
      <c r="O1162" s="83">
        <f>$L$1162-EFEITO!$O$1162*EFEITO!$AA$1162</f>
        <v>0</v>
      </c>
      <c r="P1162" s="61"/>
      <c r="Q1162" s="61"/>
      <c r="R1162" s="61"/>
      <c r="S1162" s="61"/>
      <c r="T1162" s="61"/>
      <c r="U1162" s="61"/>
      <c r="V1162" s="61"/>
      <c r="W1162" s="61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</row>
    <row r="1163" spans="1:36" ht="11.25" customHeight="1" x14ac:dyDescent="0.2">
      <c r="A1163" s="57" t="s">
        <v>30</v>
      </c>
      <c r="B1163" s="57" t="s">
        <v>35</v>
      </c>
      <c r="C1163" s="57" t="s">
        <v>36</v>
      </c>
      <c r="D1163" s="57" t="s">
        <v>48</v>
      </c>
      <c r="E1163" s="57" t="s">
        <v>25</v>
      </c>
      <c r="F1163" s="57" t="s">
        <v>25</v>
      </c>
      <c r="G1163" s="57" t="s">
        <v>25</v>
      </c>
      <c r="H1163" s="57" t="s">
        <v>38</v>
      </c>
      <c r="I1163" s="82">
        <v>44256</v>
      </c>
      <c r="J1163" s="83">
        <f>EFEITO!$J$1163*EFEITO!$Y$1163</f>
        <v>0</v>
      </c>
      <c r="K1163" s="83">
        <f ca="1">EFEITO!$L$1163*EFEITO!$Z$1163</f>
        <v>5706.2001185754625</v>
      </c>
      <c r="L1163" s="83">
        <f>EFEITO!$N$1163*EFEITO!$AA$1163</f>
        <v>9580.1489892178033</v>
      </c>
      <c r="M1163" s="83">
        <f>$J$1163-EFEITO!$K$1163*EFEITO!$Y$1163</f>
        <v>0</v>
      </c>
      <c r="N1163" s="83">
        <f ca="1">$K$1163-EFEITO!$M$1163*EFEITO!$Z$1163</f>
        <v>0</v>
      </c>
      <c r="O1163" s="83">
        <f>$L$1163-EFEITO!$O$1163*EFEITO!$AA$1163</f>
        <v>0</v>
      </c>
      <c r="P1163" s="61"/>
      <c r="Q1163" s="61"/>
      <c r="R1163" s="61"/>
      <c r="S1163" s="61"/>
      <c r="T1163" s="61"/>
      <c r="U1163" s="61"/>
      <c r="V1163" s="61"/>
      <c r="W1163" s="61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</row>
    <row r="1164" spans="1:36" ht="11.25" customHeight="1" x14ac:dyDescent="0.2">
      <c r="A1164" s="57" t="s">
        <v>21</v>
      </c>
      <c r="B1164" s="57" t="s">
        <v>35</v>
      </c>
      <c r="C1164" s="57" t="s">
        <v>36</v>
      </c>
      <c r="D1164" s="57" t="s">
        <v>48</v>
      </c>
      <c r="E1164" s="57" t="s">
        <v>25</v>
      </c>
      <c r="F1164" s="57" t="s">
        <v>25</v>
      </c>
      <c r="G1164" s="57" t="s">
        <v>25</v>
      </c>
      <c r="H1164" s="57" t="s">
        <v>38</v>
      </c>
      <c r="I1164" s="82">
        <v>44287</v>
      </c>
      <c r="J1164" s="83">
        <f>EFEITO!$J$1164*EFEITO!$Y$1164</f>
        <v>0</v>
      </c>
      <c r="K1164" s="83">
        <f ca="1">EFEITO!$L$1164*EFEITO!$Z$1164</f>
        <v>1824269.5828025027</v>
      </c>
      <c r="L1164" s="83">
        <f>EFEITO!$N$1164*EFEITO!$AA$1164</f>
        <v>3062769.2749249758</v>
      </c>
      <c r="M1164" s="83">
        <f>$J$1164-EFEITO!$K$1164*EFEITO!$Y$1164</f>
        <v>0</v>
      </c>
      <c r="N1164" s="83">
        <f ca="1">$K$1164-EFEITO!$M$1164*EFEITO!$Z$1164</f>
        <v>0</v>
      </c>
      <c r="O1164" s="83">
        <f>$L$1164-EFEITO!$O$1164*EFEITO!$AA$1164</f>
        <v>0</v>
      </c>
      <c r="P1164" s="61"/>
      <c r="Q1164" s="61"/>
      <c r="R1164" s="61"/>
      <c r="S1164" s="61"/>
      <c r="T1164" s="61"/>
      <c r="U1164" s="61"/>
      <c r="V1164" s="61"/>
      <c r="W1164" s="61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</row>
    <row r="1165" spans="1:36" ht="11.25" customHeight="1" x14ac:dyDescent="0.2">
      <c r="A1165" s="57" t="s">
        <v>27</v>
      </c>
      <c r="B1165" s="57" t="s">
        <v>35</v>
      </c>
      <c r="C1165" s="57" t="s">
        <v>36</v>
      </c>
      <c r="D1165" s="57" t="s">
        <v>48</v>
      </c>
      <c r="E1165" s="57" t="s">
        <v>25</v>
      </c>
      <c r="F1165" s="57" t="s">
        <v>25</v>
      </c>
      <c r="G1165" s="57" t="s">
        <v>25</v>
      </c>
      <c r="H1165" s="57" t="s">
        <v>38</v>
      </c>
      <c r="I1165" s="82">
        <v>44287</v>
      </c>
      <c r="J1165" s="83">
        <f>EFEITO!$J$1165*EFEITO!$Y$1165</f>
        <v>0</v>
      </c>
      <c r="K1165" s="83">
        <f ca="1">EFEITO!$L$1165*EFEITO!$Z$1165</f>
        <v>-164.63757355880418</v>
      </c>
      <c r="L1165" s="83">
        <f>EFEITO!$N$1165*EFEITO!$AA$1165</f>
        <v>-276.41029952353063</v>
      </c>
      <c r="M1165" s="83">
        <f>$J$1165-EFEITO!$K$1165*EFEITO!$Y$1165</f>
        <v>0</v>
      </c>
      <c r="N1165" s="83">
        <f ca="1">$K$1165-EFEITO!$M$1165*EFEITO!$Z$1165</f>
        <v>0</v>
      </c>
      <c r="O1165" s="83">
        <f>$L$1165-EFEITO!$O$1165*EFEITO!$AA$1165</f>
        <v>0</v>
      </c>
      <c r="P1165" s="61"/>
      <c r="Q1165" s="61"/>
      <c r="R1165" s="61"/>
      <c r="S1165" s="61"/>
      <c r="T1165" s="61"/>
      <c r="U1165" s="61"/>
      <c r="V1165" s="61"/>
      <c r="W1165" s="61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</row>
    <row r="1166" spans="1:36" ht="11.25" customHeight="1" x14ac:dyDescent="0.2">
      <c r="A1166" s="57" t="s">
        <v>28</v>
      </c>
      <c r="B1166" s="57" t="s">
        <v>35</v>
      </c>
      <c r="C1166" s="57" t="s">
        <v>36</v>
      </c>
      <c r="D1166" s="57" t="s">
        <v>48</v>
      </c>
      <c r="E1166" s="57" t="s">
        <v>25</v>
      </c>
      <c r="F1166" s="57" t="s">
        <v>25</v>
      </c>
      <c r="G1166" s="57" t="s">
        <v>25</v>
      </c>
      <c r="H1166" s="57" t="s">
        <v>38</v>
      </c>
      <c r="I1166" s="82">
        <v>44287</v>
      </c>
      <c r="J1166" s="83">
        <f>EFEITO!$J$1166*EFEITO!$Y$1166</f>
        <v>0</v>
      </c>
      <c r="K1166" s="83">
        <f ca="1">EFEITO!$L$1166*EFEITO!$Z$1166</f>
        <v>370214.46203129319</v>
      </c>
      <c r="L1166" s="83">
        <f>EFEITO!$N$1166*EFEITO!$AA$1166</f>
        <v>621553.68380391342</v>
      </c>
      <c r="M1166" s="83">
        <f>$J$1166-EFEITO!$K$1166*EFEITO!$Y$1166</f>
        <v>0</v>
      </c>
      <c r="N1166" s="83">
        <f ca="1">$K$1166-EFEITO!$M$1166*EFEITO!$Z$1166</f>
        <v>0</v>
      </c>
      <c r="O1166" s="83">
        <f>$L$1166-EFEITO!$O$1166*EFEITO!$AA$1166</f>
        <v>0</v>
      </c>
      <c r="P1166" s="61"/>
      <c r="Q1166" s="61"/>
      <c r="R1166" s="61"/>
      <c r="S1166" s="61"/>
      <c r="T1166" s="61"/>
      <c r="U1166" s="61"/>
      <c r="V1166" s="61"/>
      <c r="W1166" s="61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</row>
    <row r="1167" spans="1:36" ht="11.25" customHeight="1" x14ac:dyDescent="0.2">
      <c r="A1167" s="57" t="s">
        <v>29</v>
      </c>
      <c r="B1167" s="57" t="s">
        <v>35</v>
      </c>
      <c r="C1167" s="57" t="s">
        <v>36</v>
      </c>
      <c r="D1167" s="57" t="s">
        <v>48</v>
      </c>
      <c r="E1167" s="57" t="s">
        <v>25</v>
      </c>
      <c r="F1167" s="57" t="s">
        <v>25</v>
      </c>
      <c r="G1167" s="57" t="s">
        <v>25</v>
      </c>
      <c r="H1167" s="57" t="s">
        <v>38</v>
      </c>
      <c r="I1167" s="82">
        <v>44287</v>
      </c>
      <c r="J1167" s="83">
        <f>EFEITO!$J$1167*EFEITO!$Y$1167</f>
        <v>0</v>
      </c>
      <c r="K1167" s="83">
        <f ca="1">EFEITO!$L$1167*EFEITO!$Z$1167</f>
        <v>-903.90577745079383</v>
      </c>
      <c r="L1167" s="83">
        <f>EFEITO!$N$1167*EFEITO!$AA$1167</f>
        <v>-1517.5689320821068</v>
      </c>
      <c r="M1167" s="83">
        <f>$J$1167-EFEITO!$K$1167*EFEITO!$Y$1167</f>
        <v>0</v>
      </c>
      <c r="N1167" s="83">
        <f ca="1">$K$1167-EFEITO!$M$1167*EFEITO!$Z$1167</f>
        <v>0</v>
      </c>
      <c r="O1167" s="83">
        <f>$L$1167-EFEITO!$O$1167*EFEITO!$AA$1167</f>
        <v>0</v>
      </c>
      <c r="P1167" s="61"/>
      <c r="Q1167" s="61"/>
      <c r="R1167" s="61"/>
      <c r="S1167" s="61"/>
      <c r="T1167" s="61"/>
      <c r="U1167" s="61"/>
      <c r="V1167" s="61"/>
      <c r="W1167" s="61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</row>
    <row r="1168" spans="1:36" ht="11.25" customHeight="1" x14ac:dyDescent="0.2">
      <c r="A1168" s="57" t="s">
        <v>30</v>
      </c>
      <c r="B1168" s="57" t="s">
        <v>35</v>
      </c>
      <c r="C1168" s="57" t="s">
        <v>36</v>
      </c>
      <c r="D1168" s="57" t="s">
        <v>48</v>
      </c>
      <c r="E1168" s="57" t="s">
        <v>25</v>
      </c>
      <c r="F1168" s="57" t="s">
        <v>25</v>
      </c>
      <c r="G1168" s="57" t="s">
        <v>25</v>
      </c>
      <c r="H1168" s="57" t="s">
        <v>38</v>
      </c>
      <c r="I1168" s="82">
        <v>44287</v>
      </c>
      <c r="J1168" s="83">
        <f>EFEITO!$J$1168*EFEITO!$Y$1168</f>
        <v>0</v>
      </c>
      <c r="K1168" s="83">
        <f ca="1">EFEITO!$L$1168*EFEITO!$Z$1168</f>
        <v>7245.0643168753595</v>
      </c>
      <c r="L1168" s="83">
        <f>EFEITO!$N$1168*EFEITO!$AA$1168</f>
        <v>12163.750683433649</v>
      </c>
      <c r="M1168" s="83">
        <f>$J$1168-EFEITO!$K$1168*EFEITO!$Y$1168</f>
        <v>0</v>
      </c>
      <c r="N1168" s="83">
        <f ca="1">$K$1168-EFEITO!$M$1168*EFEITO!$Z$1168</f>
        <v>0</v>
      </c>
      <c r="O1168" s="83">
        <f>$L$1168-EFEITO!$O$1168*EFEITO!$AA$1168</f>
        <v>0</v>
      </c>
      <c r="P1168" s="61"/>
      <c r="Q1168" s="61"/>
      <c r="R1168" s="61"/>
      <c r="S1168" s="61"/>
      <c r="T1168" s="61"/>
      <c r="U1168" s="61"/>
      <c r="V1168" s="61"/>
      <c r="W1168" s="61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</row>
    <row r="1169" spans="1:36" ht="11.25" customHeight="1" x14ac:dyDescent="0.2">
      <c r="A1169" s="57" t="s">
        <v>21</v>
      </c>
      <c r="B1169" s="57" t="s">
        <v>35</v>
      </c>
      <c r="C1169" s="57" t="s">
        <v>36</v>
      </c>
      <c r="D1169" s="57" t="s">
        <v>48</v>
      </c>
      <c r="E1169" s="57" t="s">
        <v>25</v>
      </c>
      <c r="F1169" s="57" t="s">
        <v>25</v>
      </c>
      <c r="G1169" s="57" t="s">
        <v>25</v>
      </c>
      <c r="H1169" s="57" t="s">
        <v>38</v>
      </c>
      <c r="I1169" s="82">
        <v>44317</v>
      </c>
      <c r="J1169" s="83">
        <f>EFEITO!$J$1169*EFEITO!$Y$1169</f>
        <v>0</v>
      </c>
      <c r="K1169" s="83">
        <f ca="1">EFEITO!$L$1169*EFEITO!$Z$1169</f>
        <v>2049131.4796610889</v>
      </c>
      <c r="L1169" s="83">
        <f>EFEITO!$N$1169*EFEITO!$AA$1169</f>
        <v>3440290.2922637742</v>
      </c>
      <c r="M1169" s="83">
        <f>$J$1169-EFEITO!$K$1169*EFEITO!$Y$1169</f>
        <v>0</v>
      </c>
      <c r="N1169" s="83">
        <f ca="1">$K$1169-EFEITO!$M$1169*EFEITO!$Z$1169</f>
        <v>0</v>
      </c>
      <c r="O1169" s="83">
        <f>$L$1169-EFEITO!$O$1169*EFEITO!$AA$1169</f>
        <v>0</v>
      </c>
      <c r="P1169" s="61"/>
      <c r="Q1169" s="61"/>
      <c r="R1169" s="61"/>
      <c r="S1169" s="61"/>
      <c r="T1169" s="61"/>
      <c r="U1169" s="61"/>
      <c r="V1169" s="61"/>
      <c r="W1169" s="61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</row>
    <row r="1170" spans="1:36" ht="11.25" customHeight="1" x14ac:dyDescent="0.2">
      <c r="A1170" s="57" t="s">
        <v>27</v>
      </c>
      <c r="B1170" s="57" t="s">
        <v>35</v>
      </c>
      <c r="C1170" s="57" t="s">
        <v>36</v>
      </c>
      <c r="D1170" s="57" t="s">
        <v>48</v>
      </c>
      <c r="E1170" s="57" t="s">
        <v>25</v>
      </c>
      <c r="F1170" s="57" t="s">
        <v>25</v>
      </c>
      <c r="G1170" s="57" t="s">
        <v>25</v>
      </c>
      <c r="H1170" s="57" t="s">
        <v>38</v>
      </c>
      <c r="I1170" s="82">
        <v>44317</v>
      </c>
      <c r="J1170" s="83">
        <f>EFEITO!$J$1170*EFEITO!$Y$1170</f>
        <v>0</v>
      </c>
      <c r="K1170" s="83">
        <f ca="1">EFEITO!$L$1170*EFEITO!$Z$1170</f>
        <v>27234.627150310393</v>
      </c>
      <c r="L1170" s="83">
        <f>EFEITO!$N$1170*EFEITO!$AA$1170</f>
        <v>45724.261390065963</v>
      </c>
      <c r="M1170" s="83">
        <f>$J$1170-EFEITO!$K$1170*EFEITO!$Y$1170</f>
        <v>0</v>
      </c>
      <c r="N1170" s="83">
        <f ca="1">$K$1170-EFEITO!$M$1170*EFEITO!$Z$1170</f>
        <v>0</v>
      </c>
      <c r="O1170" s="83">
        <f>$L$1170-EFEITO!$O$1170*EFEITO!$AA$1170</f>
        <v>0</v>
      </c>
      <c r="P1170" s="61"/>
      <c r="Q1170" s="61"/>
      <c r="R1170" s="61"/>
      <c r="S1170" s="61"/>
      <c r="T1170" s="61"/>
      <c r="U1170" s="61"/>
      <c r="V1170" s="61"/>
      <c r="W1170" s="61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</row>
    <row r="1171" spans="1:36" ht="11.25" customHeight="1" x14ac:dyDescent="0.2">
      <c r="A1171" s="57" t="s">
        <v>28</v>
      </c>
      <c r="B1171" s="57" t="s">
        <v>35</v>
      </c>
      <c r="C1171" s="57" t="s">
        <v>36</v>
      </c>
      <c r="D1171" s="57" t="s">
        <v>48</v>
      </c>
      <c r="E1171" s="57" t="s">
        <v>25</v>
      </c>
      <c r="F1171" s="57" t="s">
        <v>25</v>
      </c>
      <c r="G1171" s="57" t="s">
        <v>25</v>
      </c>
      <c r="H1171" s="57" t="s">
        <v>38</v>
      </c>
      <c r="I1171" s="82">
        <v>44317</v>
      </c>
      <c r="J1171" s="83">
        <f>EFEITO!$J$1171*EFEITO!$Y$1171</f>
        <v>0</v>
      </c>
      <c r="K1171" s="83">
        <f ca="1">EFEITO!$L$1171*EFEITO!$Z$1171</f>
        <v>471417.02683584695</v>
      </c>
      <c r="L1171" s="83">
        <f>EFEITO!$N$1171*EFEITO!$AA$1171</f>
        <v>791462.84029536799</v>
      </c>
      <c r="M1171" s="83">
        <f>$J$1171-EFEITO!$K$1171*EFEITO!$Y$1171</f>
        <v>0</v>
      </c>
      <c r="N1171" s="83">
        <f ca="1">$K$1171-EFEITO!$M$1171*EFEITO!$Z$1171</f>
        <v>0</v>
      </c>
      <c r="O1171" s="83">
        <f>$L$1171-EFEITO!$O$1171*EFEITO!$AA$1171</f>
        <v>0</v>
      </c>
      <c r="P1171" s="61"/>
      <c r="Q1171" s="61"/>
      <c r="R1171" s="61"/>
      <c r="S1171" s="61"/>
      <c r="T1171" s="61"/>
      <c r="U1171" s="61"/>
      <c r="V1171" s="61"/>
      <c r="W1171" s="61"/>
      <c r="X1171" s="6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</row>
    <row r="1172" spans="1:36" ht="11.25" customHeight="1" x14ac:dyDescent="0.2">
      <c r="A1172" s="57" t="s">
        <v>29</v>
      </c>
      <c r="B1172" s="57" t="s">
        <v>35</v>
      </c>
      <c r="C1172" s="57" t="s">
        <v>36</v>
      </c>
      <c r="D1172" s="57" t="s">
        <v>48</v>
      </c>
      <c r="E1172" s="57" t="s">
        <v>25</v>
      </c>
      <c r="F1172" s="57" t="s">
        <v>25</v>
      </c>
      <c r="G1172" s="57" t="s">
        <v>25</v>
      </c>
      <c r="H1172" s="57" t="s">
        <v>38</v>
      </c>
      <c r="I1172" s="82">
        <v>44317</v>
      </c>
      <c r="J1172" s="83">
        <f>EFEITO!$J$1172*EFEITO!$Y$1172</f>
        <v>0</v>
      </c>
      <c r="K1172" s="83">
        <f ca="1">EFEITO!$L$1172*EFEITO!$Z$1172</f>
        <v>-6053.3376841139843</v>
      </c>
      <c r="L1172" s="83">
        <f>EFEITO!$N$1172*EFEITO!$AA$1172</f>
        <v>-10162.958832634868</v>
      </c>
      <c r="M1172" s="83">
        <f>$J$1172-EFEITO!$K$1172*EFEITO!$Y$1172</f>
        <v>0</v>
      </c>
      <c r="N1172" s="83">
        <f ca="1">$K$1172-EFEITO!$M$1172*EFEITO!$Z$1172</f>
        <v>0</v>
      </c>
      <c r="O1172" s="83">
        <f>$L$1172-EFEITO!$O$1172*EFEITO!$AA$1172</f>
        <v>0</v>
      </c>
      <c r="P1172" s="61"/>
      <c r="Q1172" s="61"/>
      <c r="R1172" s="61"/>
      <c r="S1172" s="61"/>
      <c r="T1172" s="61"/>
      <c r="U1172" s="61"/>
      <c r="V1172" s="61"/>
      <c r="W1172" s="61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</row>
    <row r="1173" spans="1:36" ht="11.25" customHeight="1" x14ac:dyDescent="0.2">
      <c r="A1173" s="57" t="s">
        <v>30</v>
      </c>
      <c r="B1173" s="57" t="s">
        <v>35</v>
      </c>
      <c r="C1173" s="57" t="s">
        <v>36</v>
      </c>
      <c r="D1173" s="57" t="s">
        <v>48</v>
      </c>
      <c r="E1173" s="57" t="s">
        <v>25</v>
      </c>
      <c r="F1173" s="57" t="s">
        <v>25</v>
      </c>
      <c r="G1173" s="57" t="s">
        <v>25</v>
      </c>
      <c r="H1173" s="57" t="s">
        <v>38</v>
      </c>
      <c r="I1173" s="82">
        <v>44317</v>
      </c>
      <c r="J1173" s="83">
        <f>EFEITO!$J$1173*EFEITO!$Y$1173</f>
        <v>0</v>
      </c>
      <c r="K1173" s="83">
        <f ca="1">EFEITO!$L$1173*EFEITO!$Z$1173</f>
        <v>8751.9109727226751</v>
      </c>
      <c r="L1173" s="83">
        <f>EFEITO!$N$1173*EFEITO!$AA$1173</f>
        <v>14693.598071703262</v>
      </c>
      <c r="M1173" s="83">
        <f>$J$1173-EFEITO!$K$1173*EFEITO!$Y$1173</f>
        <v>0</v>
      </c>
      <c r="N1173" s="83">
        <f ca="1">$K$1173-EFEITO!$M$1173*EFEITO!$Z$1173</f>
        <v>0</v>
      </c>
      <c r="O1173" s="83">
        <f>$L$1173-EFEITO!$O$1173*EFEITO!$AA$1173</f>
        <v>0</v>
      </c>
      <c r="P1173" s="61"/>
      <c r="Q1173" s="61"/>
      <c r="R1173" s="61"/>
      <c r="S1173" s="61"/>
      <c r="T1173" s="61"/>
      <c r="U1173" s="61"/>
      <c r="V1173" s="61"/>
      <c r="W1173" s="61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</row>
    <row r="1174" spans="1:36" ht="11.25" customHeight="1" x14ac:dyDescent="0.2">
      <c r="A1174" s="57" t="s">
        <v>21</v>
      </c>
      <c r="B1174" s="57" t="s">
        <v>35</v>
      </c>
      <c r="C1174" s="57" t="s">
        <v>36</v>
      </c>
      <c r="D1174" s="57" t="s">
        <v>48</v>
      </c>
      <c r="E1174" s="57" t="s">
        <v>25</v>
      </c>
      <c r="F1174" s="57" t="s">
        <v>25</v>
      </c>
      <c r="G1174" s="57" t="s">
        <v>25</v>
      </c>
      <c r="H1174" s="57" t="s">
        <v>38</v>
      </c>
      <c r="I1174" s="82">
        <v>44348</v>
      </c>
      <c r="J1174" s="83">
        <f>EFEITO!$J$1174*EFEITO!$Y$1174</f>
        <v>0</v>
      </c>
      <c r="K1174" s="83">
        <f ca="1">EFEITO!$L$1174*EFEITO!$Z$1174</f>
        <v>2367794.1595627167</v>
      </c>
      <c r="L1174" s="83">
        <f>EFEITO!$N$1174*EFEITO!$AA$1174</f>
        <v>3975293.6022288571</v>
      </c>
      <c r="M1174" s="83">
        <f>$J$1174-EFEITO!$K$1174*EFEITO!$Y$1174</f>
        <v>0</v>
      </c>
      <c r="N1174" s="83">
        <f ca="1">$K$1174-EFEITO!$M$1174*EFEITO!$Z$1174</f>
        <v>0</v>
      </c>
      <c r="O1174" s="83">
        <f>$L$1174-EFEITO!$O$1174*EFEITO!$AA$1174</f>
        <v>0</v>
      </c>
      <c r="P1174" s="61"/>
      <c r="Q1174" s="61"/>
      <c r="R1174" s="61"/>
      <c r="S1174" s="61"/>
      <c r="T1174" s="61"/>
      <c r="U1174" s="61"/>
      <c r="V1174" s="61"/>
      <c r="W1174" s="61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</row>
    <row r="1175" spans="1:36" ht="11.25" customHeight="1" x14ac:dyDescent="0.2">
      <c r="A1175" s="57" t="s">
        <v>27</v>
      </c>
      <c r="B1175" s="57" t="s">
        <v>35</v>
      </c>
      <c r="C1175" s="57" t="s">
        <v>36</v>
      </c>
      <c r="D1175" s="57" t="s">
        <v>48</v>
      </c>
      <c r="E1175" s="57" t="s">
        <v>25</v>
      </c>
      <c r="F1175" s="57" t="s">
        <v>25</v>
      </c>
      <c r="G1175" s="57" t="s">
        <v>25</v>
      </c>
      <c r="H1175" s="57" t="s">
        <v>38</v>
      </c>
      <c r="I1175" s="82">
        <v>44348</v>
      </c>
      <c r="J1175" s="83">
        <f>EFEITO!$J$1175*EFEITO!$Y$1175</f>
        <v>0</v>
      </c>
      <c r="K1175" s="83">
        <f ca="1">EFEITO!$L$1175*EFEITO!$Z$1175</f>
        <v>-275.51937847353616</v>
      </c>
      <c r="L1175" s="83">
        <f>EFEITO!$N$1175*EFEITO!$AA$1175</f>
        <v>-462.56994853733119</v>
      </c>
      <c r="M1175" s="83">
        <f>$J$1175-EFEITO!$K$1175*EFEITO!$Y$1175</f>
        <v>0</v>
      </c>
      <c r="N1175" s="83">
        <f ca="1">$K$1175-EFEITO!$M$1175*EFEITO!$Z$1175</f>
        <v>0</v>
      </c>
      <c r="O1175" s="83">
        <f>$L$1175-EFEITO!$O$1175*EFEITO!$AA$1175</f>
        <v>0</v>
      </c>
      <c r="P1175" s="61"/>
      <c r="Q1175" s="61"/>
      <c r="R1175" s="61"/>
      <c r="S1175" s="61"/>
      <c r="T1175" s="61"/>
      <c r="U1175" s="61"/>
      <c r="V1175" s="61"/>
      <c r="W1175" s="61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</row>
    <row r="1176" spans="1:36" ht="11.25" customHeight="1" x14ac:dyDescent="0.2">
      <c r="A1176" s="57" t="s">
        <v>28</v>
      </c>
      <c r="B1176" s="57" t="s">
        <v>35</v>
      </c>
      <c r="C1176" s="57" t="s">
        <v>36</v>
      </c>
      <c r="D1176" s="57" t="s">
        <v>48</v>
      </c>
      <c r="E1176" s="57" t="s">
        <v>25</v>
      </c>
      <c r="F1176" s="57" t="s">
        <v>25</v>
      </c>
      <c r="G1176" s="57" t="s">
        <v>25</v>
      </c>
      <c r="H1176" s="57" t="s">
        <v>38</v>
      </c>
      <c r="I1176" s="82">
        <v>44348</v>
      </c>
      <c r="J1176" s="83">
        <f>EFEITO!$J$1176*EFEITO!$Y$1176</f>
        <v>0</v>
      </c>
      <c r="K1176" s="83">
        <f ca="1">EFEITO!$L$1176*EFEITO!$Z$1176</f>
        <v>575667.66168188653</v>
      </c>
      <c r="L1176" s="83">
        <f>EFEITO!$N$1176*EFEITO!$AA$1176</f>
        <v>966489.40671290399</v>
      </c>
      <c r="M1176" s="83">
        <f>$J$1176-EFEITO!$K$1176*EFEITO!$Y$1176</f>
        <v>0</v>
      </c>
      <c r="N1176" s="83">
        <f ca="1">$K$1176-EFEITO!$M$1176*EFEITO!$Z$1176</f>
        <v>0</v>
      </c>
      <c r="O1176" s="83">
        <f>$L$1176-EFEITO!$O$1176*EFEITO!$AA$1176</f>
        <v>0</v>
      </c>
      <c r="P1176" s="61"/>
      <c r="Q1176" s="61"/>
      <c r="R1176" s="61"/>
      <c r="S1176" s="61"/>
      <c r="T1176" s="61"/>
      <c r="U1176" s="61"/>
      <c r="V1176" s="61"/>
      <c r="W1176" s="61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</row>
    <row r="1177" spans="1:36" ht="11.25" customHeight="1" x14ac:dyDescent="0.2">
      <c r="A1177" s="57" t="s">
        <v>29</v>
      </c>
      <c r="B1177" s="57" t="s">
        <v>35</v>
      </c>
      <c r="C1177" s="57" t="s">
        <v>36</v>
      </c>
      <c r="D1177" s="57" t="s">
        <v>48</v>
      </c>
      <c r="E1177" s="57" t="s">
        <v>25</v>
      </c>
      <c r="F1177" s="57" t="s">
        <v>25</v>
      </c>
      <c r="G1177" s="57" t="s">
        <v>25</v>
      </c>
      <c r="H1177" s="57" t="s">
        <v>38</v>
      </c>
      <c r="I1177" s="82">
        <v>44348</v>
      </c>
      <c r="J1177" s="83">
        <f>EFEITO!$J$1177*EFEITO!$Y$1177</f>
        <v>0</v>
      </c>
      <c r="K1177" s="83">
        <f ca="1">EFEITO!$L$1177*EFEITO!$Z$1177</f>
        <v>1365.9694690559536</v>
      </c>
      <c r="L1177" s="83">
        <f>EFEITO!$N$1177*EFEITO!$AA$1177</f>
        <v>2293.3284421061812</v>
      </c>
      <c r="M1177" s="83">
        <f>$J$1177-EFEITO!$K$1177*EFEITO!$Y$1177</f>
        <v>0</v>
      </c>
      <c r="N1177" s="83">
        <f ca="1">$K$1177-EFEITO!$M$1177*EFEITO!$Z$1177</f>
        <v>0</v>
      </c>
      <c r="O1177" s="83">
        <f>$L$1177-EFEITO!$O$1177*EFEITO!$AA$1177</f>
        <v>0</v>
      </c>
      <c r="P1177" s="61"/>
      <c r="Q1177" s="61"/>
      <c r="R1177" s="61"/>
      <c r="S1177" s="61"/>
      <c r="T1177" s="61"/>
      <c r="U1177" s="61"/>
      <c r="V1177" s="61"/>
      <c r="W1177" s="61"/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</row>
    <row r="1178" spans="1:36" ht="11.25" customHeight="1" x14ac:dyDescent="0.2">
      <c r="A1178" s="57" t="s">
        <v>30</v>
      </c>
      <c r="B1178" s="57" t="s">
        <v>35</v>
      </c>
      <c r="C1178" s="57" t="s">
        <v>36</v>
      </c>
      <c r="D1178" s="57" t="s">
        <v>48</v>
      </c>
      <c r="E1178" s="57" t="s">
        <v>25</v>
      </c>
      <c r="F1178" s="57" t="s">
        <v>25</v>
      </c>
      <c r="G1178" s="57" t="s">
        <v>25</v>
      </c>
      <c r="H1178" s="57" t="s">
        <v>38</v>
      </c>
      <c r="I1178" s="82">
        <v>44348</v>
      </c>
      <c r="J1178" s="83">
        <f>EFEITO!$J$1178*EFEITO!$Y$1178</f>
        <v>0</v>
      </c>
      <c r="K1178" s="83">
        <f ca="1">EFEITO!$L$1178*EFEITO!$Z$1178</f>
        <v>8242.8320477266188</v>
      </c>
      <c r="L1178" s="83">
        <f>EFEITO!$N$1178*EFEITO!$AA$1178</f>
        <v>13838.904607158138</v>
      </c>
      <c r="M1178" s="83">
        <f>$J$1178-EFEITO!$K$1178*EFEITO!$Y$1178</f>
        <v>0</v>
      </c>
      <c r="N1178" s="83">
        <f ca="1">$K$1178-EFEITO!$M$1178*EFEITO!$Z$1178</f>
        <v>0</v>
      </c>
      <c r="O1178" s="83">
        <f>$L$1178-EFEITO!$O$1178*EFEITO!$AA$1178</f>
        <v>0</v>
      </c>
      <c r="P1178" s="61"/>
      <c r="Q1178" s="61"/>
      <c r="R1178" s="61"/>
      <c r="S1178" s="61"/>
      <c r="T1178" s="61"/>
      <c r="U1178" s="61"/>
      <c r="V1178" s="61"/>
      <c r="W1178" s="61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</row>
    <row r="1179" spans="1:36" ht="11.25" customHeight="1" x14ac:dyDescent="0.2">
      <c r="A1179" s="57" t="s">
        <v>21</v>
      </c>
      <c r="B1179" s="57" t="s">
        <v>35</v>
      </c>
      <c r="C1179" s="57" t="s">
        <v>36</v>
      </c>
      <c r="D1179" s="57" t="s">
        <v>48</v>
      </c>
      <c r="E1179" s="57" t="s">
        <v>25</v>
      </c>
      <c r="F1179" s="57" t="s">
        <v>25</v>
      </c>
      <c r="G1179" s="57" t="s">
        <v>25</v>
      </c>
      <c r="H1179" s="57" t="s">
        <v>38</v>
      </c>
      <c r="I1179" s="82">
        <v>44378</v>
      </c>
      <c r="J1179" s="83">
        <f>EFEITO!$J$1179*EFEITO!$Y$1179</f>
        <v>0</v>
      </c>
      <c r="K1179" s="83">
        <f ca="1">EFEITO!$L$1179*EFEITO!$Z$1179</f>
        <v>2625553.0702110431</v>
      </c>
      <c r="L1179" s="83">
        <f>EFEITO!$N$1179*EFEITO!$AA$1179</f>
        <v>4408045.4714230122</v>
      </c>
      <c r="M1179" s="83">
        <f>$J$1179-EFEITO!$K$1179*EFEITO!$Y$1179</f>
        <v>0</v>
      </c>
      <c r="N1179" s="83">
        <f ca="1">$K$1179-EFEITO!$M$1179*EFEITO!$Z$1179</f>
        <v>0</v>
      </c>
      <c r="O1179" s="83">
        <f>$L$1179-EFEITO!$O$1179*EFEITO!$AA$1179</f>
        <v>0</v>
      </c>
      <c r="P1179" s="61"/>
      <c r="Q1179" s="61"/>
      <c r="R1179" s="61"/>
      <c r="S1179" s="61"/>
      <c r="T1179" s="61"/>
      <c r="U1179" s="61"/>
      <c r="V1179" s="61"/>
      <c r="W1179" s="61"/>
      <c r="X1179" s="6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</row>
    <row r="1180" spans="1:36" ht="11.25" customHeight="1" x14ac:dyDescent="0.2">
      <c r="A1180" s="57" t="s">
        <v>28</v>
      </c>
      <c r="B1180" s="57" t="s">
        <v>35</v>
      </c>
      <c r="C1180" s="57" t="s">
        <v>36</v>
      </c>
      <c r="D1180" s="57" t="s">
        <v>48</v>
      </c>
      <c r="E1180" s="57" t="s">
        <v>25</v>
      </c>
      <c r="F1180" s="57" t="s">
        <v>25</v>
      </c>
      <c r="G1180" s="57" t="s">
        <v>25</v>
      </c>
      <c r="H1180" s="57" t="s">
        <v>38</v>
      </c>
      <c r="I1180" s="82">
        <v>44378</v>
      </c>
      <c r="J1180" s="83">
        <f>EFEITO!$J$1180*EFEITO!$Y$1180</f>
        <v>0</v>
      </c>
      <c r="K1180" s="83">
        <f ca="1">EFEITO!$L$1180*EFEITO!$Z$1180</f>
        <v>627989.04442408297</v>
      </c>
      <c r="L1180" s="83">
        <f>EFEITO!$N$1180*EFEITO!$AA$1180</f>
        <v>1054331.8643162427</v>
      </c>
      <c r="M1180" s="83">
        <f>$J$1180-EFEITO!$K$1180*EFEITO!$Y$1180</f>
        <v>0</v>
      </c>
      <c r="N1180" s="83">
        <f ca="1">$K$1180-EFEITO!$M$1180*EFEITO!$Z$1180</f>
        <v>0</v>
      </c>
      <c r="O1180" s="83">
        <f>$L$1180-EFEITO!$O$1180*EFEITO!$AA$1180</f>
        <v>0</v>
      </c>
      <c r="P1180" s="61"/>
      <c r="Q1180" s="61"/>
      <c r="R1180" s="61"/>
      <c r="S1180" s="61"/>
      <c r="T1180" s="61"/>
      <c r="U1180" s="61"/>
      <c r="V1180" s="61"/>
      <c r="W1180" s="61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</row>
    <row r="1181" spans="1:36" ht="11.25" customHeight="1" x14ac:dyDescent="0.2">
      <c r="A1181" s="57" t="s">
        <v>30</v>
      </c>
      <c r="B1181" s="57" t="s">
        <v>35</v>
      </c>
      <c r="C1181" s="57" t="s">
        <v>36</v>
      </c>
      <c r="D1181" s="57" t="s">
        <v>48</v>
      </c>
      <c r="E1181" s="57" t="s">
        <v>25</v>
      </c>
      <c r="F1181" s="57" t="s">
        <v>25</v>
      </c>
      <c r="G1181" s="57" t="s">
        <v>25</v>
      </c>
      <c r="H1181" s="57" t="s">
        <v>38</v>
      </c>
      <c r="I1181" s="82">
        <v>44378</v>
      </c>
      <c r="J1181" s="83">
        <f>EFEITO!$J$1181*EFEITO!$Y$1181</f>
        <v>0</v>
      </c>
      <c r="K1181" s="83">
        <f ca="1">EFEITO!$L$1181*EFEITO!$Z$1181</f>
        <v>8874.7572277117924</v>
      </c>
      <c r="L1181" s="83">
        <f>EFEITO!$N$1181*EFEITO!$AA$1181</f>
        <v>14899.84485609697</v>
      </c>
      <c r="M1181" s="83">
        <f>$J$1181-EFEITO!$K$1181*EFEITO!$Y$1181</f>
        <v>0</v>
      </c>
      <c r="N1181" s="83">
        <f ca="1">$K$1181-EFEITO!$M$1181*EFEITO!$Z$1181</f>
        <v>0</v>
      </c>
      <c r="O1181" s="83">
        <f>$L$1181-EFEITO!$O$1181*EFEITO!$AA$1181</f>
        <v>0</v>
      </c>
      <c r="P1181" s="61"/>
      <c r="Q1181" s="61"/>
      <c r="R1181" s="61"/>
      <c r="S1181" s="61"/>
      <c r="T1181" s="61"/>
      <c r="U1181" s="61"/>
      <c r="V1181" s="61"/>
      <c r="W1181" s="61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</row>
    <row r="1182" spans="1:36" ht="11.25" customHeight="1" x14ac:dyDescent="0.2">
      <c r="A1182" s="57" t="s">
        <v>21</v>
      </c>
      <c r="B1182" s="57" t="s">
        <v>35</v>
      </c>
      <c r="C1182" s="57" t="s">
        <v>36</v>
      </c>
      <c r="D1182" s="57" t="s">
        <v>48</v>
      </c>
      <c r="E1182" s="57" t="s">
        <v>25</v>
      </c>
      <c r="F1182" s="57" t="s">
        <v>25</v>
      </c>
      <c r="G1182" s="57" t="s">
        <v>25</v>
      </c>
      <c r="H1182" s="57" t="s">
        <v>38</v>
      </c>
      <c r="I1182" s="82">
        <v>44409</v>
      </c>
      <c r="J1182" s="83">
        <f>EFEITO!$J$1182*EFEITO!$Y$1182</f>
        <v>0</v>
      </c>
      <c r="K1182" s="83">
        <f ca="1">EFEITO!$L$1182*EFEITO!$Z$1182</f>
        <v>2693786.4974986473</v>
      </c>
      <c r="L1182" s="83">
        <f>EFEITO!$N$1182*EFEITO!$AA$1182</f>
        <v>4522602.6874120301</v>
      </c>
      <c r="M1182" s="83">
        <f>$J$1182-EFEITO!$K$1182*EFEITO!$Y$1182</f>
        <v>0</v>
      </c>
      <c r="N1182" s="83">
        <f ca="1">$K$1182-EFEITO!$M$1182*EFEITO!$Z$1182</f>
        <v>0</v>
      </c>
      <c r="O1182" s="83">
        <f>$L$1182-EFEITO!$O$1182*EFEITO!$AA$1182</f>
        <v>0</v>
      </c>
      <c r="P1182" s="61"/>
      <c r="Q1182" s="61"/>
      <c r="R1182" s="61"/>
      <c r="S1182" s="61"/>
      <c r="T1182" s="61"/>
      <c r="U1182" s="61"/>
      <c r="V1182" s="61"/>
      <c r="W1182" s="61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</row>
    <row r="1183" spans="1:36" ht="11.25" customHeight="1" x14ac:dyDescent="0.2">
      <c r="A1183" s="57" t="s">
        <v>27</v>
      </c>
      <c r="B1183" s="57" t="s">
        <v>35</v>
      </c>
      <c r="C1183" s="57" t="s">
        <v>36</v>
      </c>
      <c r="D1183" s="57" t="s">
        <v>48</v>
      </c>
      <c r="E1183" s="57" t="s">
        <v>25</v>
      </c>
      <c r="F1183" s="57" t="s">
        <v>25</v>
      </c>
      <c r="G1183" s="57" t="s">
        <v>25</v>
      </c>
      <c r="H1183" s="57" t="s">
        <v>38</v>
      </c>
      <c r="I1183" s="82">
        <v>44409</v>
      </c>
      <c r="J1183" s="83">
        <f>EFEITO!$J$1183*EFEITO!$Y$1183</f>
        <v>0</v>
      </c>
      <c r="K1183" s="83">
        <f ca="1">EFEITO!$L$1183*EFEITO!$Z$1183</f>
        <v>-3848823.7228234643</v>
      </c>
      <c r="L1183" s="83">
        <f>EFEITO!$N$1183*EFEITO!$AA$1183</f>
        <v>-6461796.630274822</v>
      </c>
      <c r="M1183" s="83">
        <f>$J$1183-EFEITO!$K$1183*EFEITO!$Y$1183</f>
        <v>0</v>
      </c>
      <c r="N1183" s="83">
        <f ca="1">$K$1183-EFEITO!$M$1183*EFEITO!$Z$1183</f>
        <v>0</v>
      </c>
      <c r="O1183" s="83">
        <f>$L$1183-EFEITO!$O$1183*EFEITO!$AA$1183</f>
        <v>0</v>
      </c>
      <c r="P1183" s="61"/>
      <c r="Q1183" s="61"/>
      <c r="R1183" s="61"/>
      <c r="S1183" s="61"/>
      <c r="T1183" s="61"/>
      <c r="U1183" s="61"/>
      <c r="V1183" s="61"/>
      <c r="W1183" s="61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</row>
    <row r="1184" spans="1:36" ht="11.25" customHeight="1" x14ac:dyDescent="0.2">
      <c r="A1184" s="57" t="s">
        <v>28</v>
      </c>
      <c r="B1184" s="57" t="s">
        <v>35</v>
      </c>
      <c r="C1184" s="57" t="s">
        <v>36</v>
      </c>
      <c r="D1184" s="57" t="s">
        <v>48</v>
      </c>
      <c r="E1184" s="57" t="s">
        <v>25</v>
      </c>
      <c r="F1184" s="57" t="s">
        <v>25</v>
      </c>
      <c r="G1184" s="57" t="s">
        <v>25</v>
      </c>
      <c r="H1184" s="57" t="s">
        <v>38</v>
      </c>
      <c r="I1184" s="82">
        <v>44409</v>
      </c>
      <c r="J1184" s="83">
        <f>EFEITO!$J$1184*EFEITO!$Y$1184</f>
        <v>0</v>
      </c>
      <c r="K1184" s="83">
        <f ca="1">EFEITO!$L$1184*EFEITO!$Z$1184</f>
        <v>574774.37224745948</v>
      </c>
      <c r="L1184" s="83">
        <f>EFEITO!$N$1184*EFEITO!$AA$1184</f>
        <v>964989.66157700412</v>
      </c>
      <c r="M1184" s="83">
        <f>$J$1184-EFEITO!$K$1184*EFEITO!$Y$1184</f>
        <v>0</v>
      </c>
      <c r="N1184" s="83">
        <f ca="1">$K$1184-EFEITO!$M$1184*EFEITO!$Z$1184</f>
        <v>0</v>
      </c>
      <c r="O1184" s="83">
        <f>$L$1184-EFEITO!$O$1184*EFEITO!$AA$1184</f>
        <v>0</v>
      </c>
      <c r="P1184" s="61"/>
      <c r="Q1184" s="61"/>
      <c r="R1184" s="61"/>
      <c r="S1184" s="61"/>
      <c r="T1184" s="61"/>
      <c r="U1184" s="61"/>
      <c r="V1184" s="61"/>
      <c r="W1184" s="61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</row>
    <row r="1185" spans="1:36" ht="11.25" customHeight="1" x14ac:dyDescent="0.2">
      <c r="A1185" s="57" t="s">
        <v>29</v>
      </c>
      <c r="B1185" s="57" t="s">
        <v>35</v>
      </c>
      <c r="C1185" s="57" t="s">
        <v>36</v>
      </c>
      <c r="D1185" s="57" t="s">
        <v>48</v>
      </c>
      <c r="E1185" s="57" t="s">
        <v>25</v>
      </c>
      <c r="F1185" s="57" t="s">
        <v>25</v>
      </c>
      <c r="G1185" s="57" t="s">
        <v>25</v>
      </c>
      <c r="H1185" s="57" t="s">
        <v>38</v>
      </c>
      <c r="I1185" s="82">
        <v>44409</v>
      </c>
      <c r="J1185" s="83">
        <f>EFEITO!$J$1185*EFEITO!$Y$1185</f>
        <v>0</v>
      </c>
      <c r="K1185" s="83">
        <f ca="1">EFEITO!$L$1185*EFEITO!$Z$1185</f>
        <v>-1383.3263473328795</v>
      </c>
      <c r="L1185" s="83">
        <f>EFEITO!$N$1185*EFEITO!$AA$1185</f>
        <v>-2322.4689342770348</v>
      </c>
      <c r="M1185" s="83">
        <f>$J$1185-EFEITO!$K$1185*EFEITO!$Y$1185</f>
        <v>0</v>
      </c>
      <c r="N1185" s="83">
        <f ca="1">$K$1185-EFEITO!$M$1185*EFEITO!$Z$1185</f>
        <v>0</v>
      </c>
      <c r="O1185" s="83">
        <f>$L$1185-EFEITO!$O$1185*EFEITO!$AA$1185</f>
        <v>0</v>
      </c>
      <c r="P1185" s="61"/>
      <c r="Q1185" s="61"/>
      <c r="R1185" s="61"/>
      <c r="S1185" s="61"/>
      <c r="T1185" s="61"/>
      <c r="U1185" s="61"/>
      <c r="V1185" s="61"/>
      <c r="W1185" s="61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</row>
    <row r="1186" spans="1:36" ht="11.25" customHeight="1" x14ac:dyDescent="0.2">
      <c r="A1186" s="57" t="s">
        <v>30</v>
      </c>
      <c r="B1186" s="57" t="s">
        <v>35</v>
      </c>
      <c r="C1186" s="57" t="s">
        <v>36</v>
      </c>
      <c r="D1186" s="57" t="s">
        <v>48</v>
      </c>
      <c r="E1186" s="57" t="s">
        <v>25</v>
      </c>
      <c r="F1186" s="57" t="s">
        <v>25</v>
      </c>
      <c r="G1186" s="57" t="s">
        <v>25</v>
      </c>
      <c r="H1186" s="57" t="s">
        <v>38</v>
      </c>
      <c r="I1186" s="82">
        <v>44409</v>
      </c>
      <c r="J1186" s="83">
        <f>EFEITO!$J$1186*EFEITO!$Y$1186</f>
        <v>0</v>
      </c>
      <c r="K1186" s="83">
        <f ca="1">EFEITO!$L$1186*EFEITO!$Z$1186</f>
        <v>914.01658033055674</v>
      </c>
      <c r="L1186" s="83">
        <f>EFEITO!$N$1186*EFEITO!$AA$1186</f>
        <v>1534.5439760651282</v>
      </c>
      <c r="M1186" s="83">
        <f>$J$1186-EFEITO!$K$1186*EFEITO!$Y$1186</f>
        <v>0</v>
      </c>
      <c r="N1186" s="83">
        <f ca="1">$K$1186-EFEITO!$M$1186*EFEITO!$Z$1186</f>
        <v>0</v>
      </c>
      <c r="O1186" s="83">
        <f>$L$1186-EFEITO!$O$1186*EFEITO!$AA$1186</f>
        <v>0</v>
      </c>
      <c r="P1186" s="61"/>
      <c r="Q1186" s="61"/>
      <c r="R1186" s="61"/>
      <c r="S1186" s="61"/>
      <c r="T1186" s="61"/>
      <c r="U1186" s="61"/>
      <c r="V1186" s="61"/>
      <c r="W1186" s="61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</row>
    <row r="1187" spans="1:36" ht="11.25" customHeight="1" x14ac:dyDescent="0.2">
      <c r="A1187" s="57" t="s">
        <v>21</v>
      </c>
      <c r="B1187" s="57" t="s">
        <v>35</v>
      </c>
      <c r="C1187" s="57" t="s">
        <v>36</v>
      </c>
      <c r="D1187" s="57" t="s">
        <v>48</v>
      </c>
      <c r="E1187" s="57" t="s">
        <v>25</v>
      </c>
      <c r="F1187" s="57" t="s">
        <v>25</v>
      </c>
      <c r="G1187" s="57" t="s">
        <v>25</v>
      </c>
      <c r="H1187" s="57" t="s">
        <v>38</v>
      </c>
      <c r="I1187" s="82">
        <v>44440</v>
      </c>
      <c r="J1187" s="83">
        <f>EFEITO!$J$1187*EFEITO!$Y$1187</f>
        <v>0</v>
      </c>
      <c r="K1187" s="83">
        <f ca="1">EFEITO!$L$1187*EFEITO!$Z$1187</f>
        <v>2659810.9980683993</v>
      </c>
      <c r="L1187" s="83">
        <f>EFEITO!$N$1187*EFEITO!$AA$1187</f>
        <v>4465561.1641984843</v>
      </c>
      <c r="M1187" s="83">
        <f>$J$1187-EFEITO!$K$1187*EFEITO!$Y$1187</f>
        <v>0</v>
      </c>
      <c r="N1187" s="83">
        <f ca="1">$K$1187-EFEITO!$M$1187*EFEITO!$Z$1187</f>
        <v>0</v>
      </c>
      <c r="O1187" s="83">
        <f>$L$1187-EFEITO!$O$1187*EFEITO!$AA$1187</f>
        <v>0</v>
      </c>
      <c r="P1187" s="61"/>
      <c r="Q1187" s="61"/>
      <c r="R1187" s="61"/>
      <c r="S1187" s="61"/>
      <c r="T1187" s="61"/>
      <c r="U1187" s="61"/>
      <c r="V1187" s="61"/>
      <c r="W1187" s="61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</row>
    <row r="1188" spans="1:36" ht="11.25" customHeight="1" x14ac:dyDescent="0.2">
      <c r="A1188" s="57" t="s">
        <v>27</v>
      </c>
      <c r="B1188" s="57" t="s">
        <v>35</v>
      </c>
      <c r="C1188" s="57" t="s">
        <v>36</v>
      </c>
      <c r="D1188" s="57" t="s">
        <v>48</v>
      </c>
      <c r="E1188" s="57" t="s">
        <v>25</v>
      </c>
      <c r="F1188" s="57" t="s">
        <v>25</v>
      </c>
      <c r="G1188" s="57" t="s">
        <v>25</v>
      </c>
      <c r="H1188" s="57" t="s">
        <v>38</v>
      </c>
      <c r="I1188" s="82">
        <v>44440</v>
      </c>
      <c r="J1188" s="83">
        <f>EFEITO!$J$1188*EFEITO!$Y$1188</f>
        <v>0</v>
      </c>
      <c r="K1188" s="83">
        <f ca="1">EFEITO!$L$1188*EFEITO!$Z$1188</f>
        <v>-621.81437710541184</v>
      </c>
      <c r="L1188" s="83">
        <f>EFEITO!$N$1188*EFEITO!$AA$1188</f>
        <v>-1043.9652049558117</v>
      </c>
      <c r="M1188" s="83">
        <f>$J$1188-EFEITO!$K$1188*EFEITO!$Y$1188</f>
        <v>0</v>
      </c>
      <c r="N1188" s="83">
        <f ca="1">$K$1188-EFEITO!$M$1188*EFEITO!$Z$1188</f>
        <v>0</v>
      </c>
      <c r="O1188" s="83">
        <f>$L$1188-EFEITO!$O$1188*EFEITO!$AA$1188</f>
        <v>0</v>
      </c>
      <c r="P1188" s="61"/>
      <c r="Q1188" s="61"/>
      <c r="R1188" s="61"/>
      <c r="S1188" s="61"/>
      <c r="T1188" s="61"/>
      <c r="U1188" s="61"/>
      <c r="V1188" s="61"/>
      <c r="W1188" s="61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</row>
    <row r="1189" spans="1:36" ht="11.25" customHeight="1" x14ac:dyDescent="0.2">
      <c r="A1189" s="57" t="s">
        <v>28</v>
      </c>
      <c r="B1189" s="57" t="s">
        <v>35</v>
      </c>
      <c r="C1189" s="57" t="s">
        <v>36</v>
      </c>
      <c r="D1189" s="57" t="s">
        <v>48</v>
      </c>
      <c r="E1189" s="57" t="s">
        <v>25</v>
      </c>
      <c r="F1189" s="57" t="s">
        <v>25</v>
      </c>
      <c r="G1189" s="57" t="s">
        <v>25</v>
      </c>
      <c r="H1189" s="57" t="s">
        <v>38</v>
      </c>
      <c r="I1189" s="82">
        <v>44440</v>
      </c>
      <c r="J1189" s="83">
        <f>EFEITO!$J$1189*EFEITO!$Y$1189</f>
        <v>0</v>
      </c>
      <c r="K1189" s="83">
        <f ca="1">EFEITO!$L$1189*EFEITO!$Z$1189</f>
        <v>592356.04737507901</v>
      </c>
      <c r="L1189" s="83">
        <f>EFEITO!$N$1189*EFEITO!$AA$1189</f>
        <v>994507.56555907987</v>
      </c>
      <c r="M1189" s="83">
        <f>$J$1189-EFEITO!$K$1189*EFEITO!$Y$1189</f>
        <v>0</v>
      </c>
      <c r="N1189" s="83">
        <f ca="1">$K$1189-EFEITO!$M$1189*EFEITO!$Z$1189</f>
        <v>0</v>
      </c>
      <c r="O1189" s="83">
        <f>$L$1189-EFEITO!$O$1189*EFEITO!$AA$1189</f>
        <v>0</v>
      </c>
      <c r="P1189" s="61"/>
      <c r="Q1189" s="61"/>
      <c r="R1189" s="61"/>
      <c r="S1189" s="61"/>
      <c r="T1189" s="61"/>
      <c r="U1189" s="61"/>
      <c r="V1189" s="61"/>
      <c r="W1189" s="61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</row>
    <row r="1190" spans="1:36" ht="11.25" customHeight="1" x14ac:dyDescent="0.2">
      <c r="A1190" s="57" t="s">
        <v>30</v>
      </c>
      <c r="B1190" s="57" t="s">
        <v>35</v>
      </c>
      <c r="C1190" s="57" t="s">
        <v>36</v>
      </c>
      <c r="D1190" s="57" t="s">
        <v>48</v>
      </c>
      <c r="E1190" s="57" t="s">
        <v>25</v>
      </c>
      <c r="F1190" s="57" t="s">
        <v>25</v>
      </c>
      <c r="G1190" s="57" t="s">
        <v>25</v>
      </c>
      <c r="H1190" s="57" t="s">
        <v>38</v>
      </c>
      <c r="I1190" s="82">
        <v>44440</v>
      </c>
      <c r="J1190" s="83">
        <f>EFEITO!$J$1190*EFEITO!$Y$1190</f>
        <v>0</v>
      </c>
      <c r="K1190" s="83">
        <f ca="1">EFEITO!$L$1190*EFEITO!$Z$1190</f>
        <v>954.45979184960777</v>
      </c>
      <c r="L1190" s="83">
        <f>EFEITO!$N$1190*EFEITO!$AA$1190</f>
        <v>1602.4441519972133</v>
      </c>
      <c r="M1190" s="83">
        <f>$J$1190-EFEITO!$K$1190*EFEITO!$Y$1190</f>
        <v>0</v>
      </c>
      <c r="N1190" s="83">
        <f ca="1">$K$1190-EFEITO!$M$1190*EFEITO!$Z$1190</f>
        <v>0</v>
      </c>
      <c r="O1190" s="83">
        <f>$L$1190-EFEITO!$O$1190*EFEITO!$AA$1190</f>
        <v>0</v>
      </c>
      <c r="P1190" s="61"/>
      <c r="Q1190" s="61"/>
      <c r="R1190" s="61"/>
      <c r="S1190" s="61"/>
      <c r="T1190" s="61"/>
      <c r="U1190" s="61"/>
      <c r="V1190" s="61"/>
      <c r="W1190" s="61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</row>
    <row r="1191" spans="1:36" ht="11.25" customHeight="1" x14ac:dyDescent="0.2">
      <c r="A1191" s="57" t="s">
        <v>59</v>
      </c>
      <c r="B1191" s="57" t="s">
        <v>35</v>
      </c>
      <c r="C1191" s="57" t="s">
        <v>36</v>
      </c>
      <c r="D1191" s="57" t="s">
        <v>48</v>
      </c>
      <c r="E1191" s="57" t="s">
        <v>25</v>
      </c>
      <c r="F1191" s="57" t="s">
        <v>25</v>
      </c>
      <c r="G1191" s="57" t="s">
        <v>25</v>
      </c>
      <c r="H1191" s="57" t="s">
        <v>38</v>
      </c>
      <c r="I1191" s="82">
        <v>44470</v>
      </c>
      <c r="J1191" s="83">
        <f>EFEITO!$J$1191*EFEITO!$Y$1191</f>
        <v>0</v>
      </c>
      <c r="K1191" s="83">
        <f ca="1">EFEITO!$L$1191*EFEITO!$Z$1191</f>
        <v>2659810.9980683993</v>
      </c>
      <c r="L1191" s="83">
        <f>EFEITO!$N$1191*EFEITO!$AA$1191</f>
        <v>4465561.1641984843</v>
      </c>
      <c r="M1191" s="83">
        <f>$J$1191-EFEITO!$K$1191*EFEITO!$Y$1191</f>
        <v>0</v>
      </c>
      <c r="N1191" s="83">
        <f ca="1">$K$1191-EFEITO!$M$1191*EFEITO!$Z$1191</f>
        <v>0</v>
      </c>
      <c r="O1191" s="83">
        <f>$L$1191-EFEITO!$O$1191*EFEITO!$AA$1191</f>
        <v>0</v>
      </c>
      <c r="P1191" s="61"/>
      <c r="Q1191" s="61"/>
      <c r="R1191" s="61"/>
      <c r="S1191" s="61"/>
      <c r="T1191" s="61"/>
      <c r="U1191" s="61"/>
      <c r="V1191" s="61"/>
      <c r="W1191" s="61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</row>
    <row r="1192" spans="1:36" ht="11.25" customHeight="1" x14ac:dyDescent="0.2">
      <c r="A1192" s="57" t="s">
        <v>59</v>
      </c>
      <c r="B1192" s="57" t="s">
        <v>35</v>
      </c>
      <c r="C1192" s="57" t="s">
        <v>36</v>
      </c>
      <c r="D1192" s="57" t="s">
        <v>48</v>
      </c>
      <c r="E1192" s="57" t="s">
        <v>25</v>
      </c>
      <c r="F1192" s="57" t="s">
        <v>25</v>
      </c>
      <c r="G1192" s="57" t="s">
        <v>25</v>
      </c>
      <c r="H1192" s="57" t="s">
        <v>38</v>
      </c>
      <c r="I1192" s="82">
        <v>44470</v>
      </c>
      <c r="J1192" s="83">
        <f>EFEITO!$J$1192*EFEITO!$Y$1192</f>
        <v>0</v>
      </c>
      <c r="K1192" s="83">
        <f ca="1">EFEITO!$L$1192*EFEITO!$Z$1192</f>
        <v>-621.81437710541184</v>
      </c>
      <c r="L1192" s="83">
        <f>EFEITO!$N$1192*EFEITO!$AA$1192</f>
        <v>-1043.9652049558117</v>
      </c>
      <c r="M1192" s="83">
        <f>$J$1192-EFEITO!$K$1192*EFEITO!$Y$1192</f>
        <v>0</v>
      </c>
      <c r="N1192" s="83">
        <f ca="1">$K$1192-EFEITO!$M$1192*EFEITO!$Z$1192</f>
        <v>0</v>
      </c>
      <c r="O1192" s="83">
        <f>$L$1192-EFEITO!$O$1192*EFEITO!$AA$1192</f>
        <v>0</v>
      </c>
      <c r="P1192" s="61"/>
      <c r="Q1192" s="61"/>
      <c r="R1192" s="61"/>
      <c r="S1192" s="61"/>
      <c r="T1192" s="61"/>
      <c r="U1192" s="61"/>
      <c r="V1192" s="61"/>
      <c r="W1192" s="61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</row>
    <row r="1193" spans="1:36" ht="11.25" customHeight="1" x14ac:dyDescent="0.2">
      <c r="A1193" s="57" t="s">
        <v>59</v>
      </c>
      <c r="B1193" s="57" t="s">
        <v>35</v>
      </c>
      <c r="C1193" s="57" t="s">
        <v>36</v>
      </c>
      <c r="D1193" s="57" t="s">
        <v>48</v>
      </c>
      <c r="E1193" s="57" t="s">
        <v>25</v>
      </c>
      <c r="F1193" s="57" t="s">
        <v>25</v>
      </c>
      <c r="G1193" s="57" t="s">
        <v>25</v>
      </c>
      <c r="H1193" s="57" t="s">
        <v>38</v>
      </c>
      <c r="I1193" s="82">
        <v>44470</v>
      </c>
      <c r="J1193" s="83">
        <f>EFEITO!$J$1193*EFEITO!$Y$1193</f>
        <v>0</v>
      </c>
      <c r="K1193" s="83">
        <f ca="1">EFEITO!$L$1193*EFEITO!$Z$1193</f>
        <v>592356.04737507901</v>
      </c>
      <c r="L1193" s="83">
        <f>EFEITO!$N$1193*EFEITO!$AA$1193</f>
        <v>994507.56555907987</v>
      </c>
      <c r="M1193" s="83">
        <f>$J$1193-EFEITO!$K$1193*EFEITO!$Y$1193</f>
        <v>0</v>
      </c>
      <c r="N1193" s="83">
        <f ca="1">$K$1193-EFEITO!$M$1193*EFEITO!$Z$1193</f>
        <v>0</v>
      </c>
      <c r="O1193" s="83">
        <f>$L$1193-EFEITO!$O$1193*EFEITO!$AA$1193</f>
        <v>0</v>
      </c>
      <c r="P1193" s="61"/>
      <c r="Q1193" s="61"/>
      <c r="R1193" s="61"/>
      <c r="S1193" s="61"/>
      <c r="T1193" s="61"/>
      <c r="U1193" s="61"/>
      <c r="V1193" s="61"/>
      <c r="W1193" s="61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</row>
    <row r="1194" spans="1:36" ht="11.25" customHeight="1" x14ac:dyDescent="0.2">
      <c r="A1194" s="57" t="s">
        <v>59</v>
      </c>
      <c r="B1194" s="57" t="s">
        <v>35</v>
      </c>
      <c r="C1194" s="57" t="s">
        <v>36</v>
      </c>
      <c r="D1194" s="57" t="s">
        <v>48</v>
      </c>
      <c r="E1194" s="57" t="s">
        <v>25</v>
      </c>
      <c r="F1194" s="57" t="s">
        <v>25</v>
      </c>
      <c r="G1194" s="57" t="s">
        <v>25</v>
      </c>
      <c r="H1194" s="57" t="s">
        <v>38</v>
      </c>
      <c r="I1194" s="82">
        <v>44470</v>
      </c>
      <c r="J1194" s="83">
        <f>EFEITO!$J$1194*EFEITO!$Y$1194</f>
        <v>0</v>
      </c>
      <c r="K1194" s="83">
        <f ca="1">EFEITO!$L$1194*EFEITO!$Z$1194</f>
        <v>954.45979184960777</v>
      </c>
      <c r="L1194" s="83">
        <f>EFEITO!$N$1194*EFEITO!$AA$1194</f>
        <v>1602.4441519972133</v>
      </c>
      <c r="M1194" s="83">
        <f>$J$1194-EFEITO!$K$1194*EFEITO!$Y$1194</f>
        <v>0</v>
      </c>
      <c r="N1194" s="83">
        <f ca="1">$K$1194-EFEITO!$M$1194*EFEITO!$Z$1194</f>
        <v>0</v>
      </c>
      <c r="O1194" s="83">
        <f>$L$1194-EFEITO!$O$1194*EFEITO!$AA$1194</f>
        <v>0</v>
      </c>
      <c r="P1194" s="61"/>
      <c r="Q1194" s="61"/>
      <c r="R1194" s="61"/>
      <c r="S1194" s="61"/>
      <c r="T1194" s="61"/>
      <c r="U1194" s="61"/>
      <c r="V1194" s="61"/>
      <c r="W1194" s="61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</row>
    <row r="1195" spans="1:36" ht="11.25" customHeight="1" x14ac:dyDescent="0.2">
      <c r="A1195" s="57" t="s">
        <v>21</v>
      </c>
      <c r="B1195" s="57" t="s">
        <v>35</v>
      </c>
      <c r="C1195" s="57" t="s">
        <v>36</v>
      </c>
      <c r="D1195" s="57" t="s">
        <v>48</v>
      </c>
      <c r="E1195" s="57" t="s">
        <v>25</v>
      </c>
      <c r="F1195" s="57" t="s">
        <v>25</v>
      </c>
      <c r="G1195" s="57" t="s">
        <v>25</v>
      </c>
      <c r="H1195" s="57" t="s">
        <v>25</v>
      </c>
      <c r="I1195" s="82">
        <v>44136</v>
      </c>
      <c r="J1195" s="83">
        <f ca="1">EFEITO!$J$1195*EFEITO!$Y$1195</f>
        <v>3466709.7880137088</v>
      </c>
      <c r="K1195" s="83">
        <f>EFEITO!$L$1195*EFEITO!$Z$1195</f>
        <v>0</v>
      </c>
      <c r="L1195" s="83">
        <f>EFEITO!$N$1195*EFEITO!$AA$1195</f>
        <v>0</v>
      </c>
      <c r="M1195" s="83">
        <f ca="1">$J$1195-EFEITO!$K$1195*EFEITO!$Y$1195</f>
        <v>0</v>
      </c>
      <c r="N1195" s="83">
        <f>$K$1195-EFEITO!$M$1195*EFEITO!$Z$1195</f>
        <v>0</v>
      </c>
      <c r="O1195" s="83">
        <f>$L$1195-EFEITO!$O$1195*EFEITO!$AA$1195</f>
        <v>0</v>
      </c>
      <c r="P1195" s="61"/>
      <c r="Q1195" s="61"/>
      <c r="R1195" s="61"/>
      <c r="S1195" s="61"/>
      <c r="T1195" s="61"/>
      <c r="U1195" s="61"/>
      <c r="V1195" s="61"/>
      <c r="W1195" s="61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</row>
    <row r="1196" spans="1:36" ht="11.25" customHeight="1" x14ac:dyDescent="0.2">
      <c r="A1196" s="57" t="s">
        <v>27</v>
      </c>
      <c r="B1196" s="57" t="s">
        <v>35</v>
      </c>
      <c r="C1196" s="57" t="s">
        <v>36</v>
      </c>
      <c r="D1196" s="57" t="s">
        <v>48</v>
      </c>
      <c r="E1196" s="57" t="s">
        <v>25</v>
      </c>
      <c r="F1196" s="57" t="s">
        <v>25</v>
      </c>
      <c r="G1196" s="57" t="s">
        <v>25</v>
      </c>
      <c r="H1196" s="57" t="s">
        <v>25</v>
      </c>
      <c r="I1196" s="82">
        <v>44136</v>
      </c>
      <c r="J1196" s="83">
        <f ca="1">EFEITO!$J$1196*EFEITO!$Y$1196</f>
        <v>3384.648038403363</v>
      </c>
      <c r="K1196" s="83">
        <f>EFEITO!$L$1196*EFEITO!$Z$1196</f>
        <v>0</v>
      </c>
      <c r="L1196" s="83">
        <f>EFEITO!$N$1196*EFEITO!$AA$1196</f>
        <v>0</v>
      </c>
      <c r="M1196" s="83">
        <f ca="1">$J$1196-EFEITO!$K$1196*EFEITO!$Y$1196</f>
        <v>0</v>
      </c>
      <c r="N1196" s="83">
        <f>$K$1196-EFEITO!$M$1196*EFEITO!$Z$1196</f>
        <v>0</v>
      </c>
      <c r="O1196" s="83">
        <f>$L$1196-EFEITO!$O$1196*EFEITO!$AA$1196</f>
        <v>0</v>
      </c>
      <c r="P1196" s="61"/>
      <c r="Q1196" s="61"/>
      <c r="R1196" s="61"/>
      <c r="S1196" s="61"/>
      <c r="T1196" s="61"/>
      <c r="U1196" s="61"/>
      <c r="V1196" s="61"/>
      <c r="W1196" s="61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</row>
    <row r="1197" spans="1:36" ht="11.25" customHeight="1" x14ac:dyDescent="0.2">
      <c r="A1197" s="57" t="s">
        <v>28</v>
      </c>
      <c r="B1197" s="57" t="s">
        <v>35</v>
      </c>
      <c r="C1197" s="57" t="s">
        <v>36</v>
      </c>
      <c r="D1197" s="57" t="s">
        <v>48</v>
      </c>
      <c r="E1197" s="57" t="s">
        <v>25</v>
      </c>
      <c r="F1197" s="57" t="s">
        <v>25</v>
      </c>
      <c r="G1197" s="57" t="s">
        <v>25</v>
      </c>
      <c r="H1197" s="57" t="s">
        <v>25</v>
      </c>
      <c r="I1197" s="82">
        <v>44136</v>
      </c>
      <c r="J1197" s="83">
        <f ca="1">EFEITO!$J$1197*EFEITO!$Y$1197</f>
        <v>1060991.3681138391</v>
      </c>
      <c r="K1197" s="83">
        <f>EFEITO!$L$1197*EFEITO!$Z$1197</f>
        <v>0</v>
      </c>
      <c r="L1197" s="83">
        <f>EFEITO!$N$1197*EFEITO!$AA$1197</f>
        <v>0</v>
      </c>
      <c r="M1197" s="83">
        <f ca="1">$J$1197-EFEITO!$K$1197*EFEITO!$Y$1197</f>
        <v>0</v>
      </c>
      <c r="N1197" s="83">
        <f>$K$1197-EFEITO!$M$1197*EFEITO!$Z$1197</f>
        <v>0</v>
      </c>
      <c r="O1197" s="83">
        <f>$L$1197-EFEITO!$O$1197*EFEITO!$AA$1197</f>
        <v>0</v>
      </c>
      <c r="P1197" s="61"/>
      <c r="Q1197" s="61"/>
      <c r="R1197" s="61"/>
      <c r="S1197" s="61"/>
      <c r="T1197" s="61"/>
      <c r="U1197" s="61"/>
      <c r="V1197" s="61"/>
      <c r="W1197" s="61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</row>
    <row r="1198" spans="1:36" ht="11.25" customHeight="1" x14ac:dyDescent="0.2">
      <c r="A1198" s="57" t="s">
        <v>30</v>
      </c>
      <c r="B1198" s="57" t="s">
        <v>35</v>
      </c>
      <c r="C1198" s="57" t="s">
        <v>36</v>
      </c>
      <c r="D1198" s="57" t="s">
        <v>48</v>
      </c>
      <c r="E1198" s="57" t="s">
        <v>25</v>
      </c>
      <c r="F1198" s="57" t="s">
        <v>25</v>
      </c>
      <c r="G1198" s="57" t="s">
        <v>25</v>
      </c>
      <c r="H1198" s="57" t="s">
        <v>25</v>
      </c>
      <c r="I1198" s="82">
        <v>44136</v>
      </c>
      <c r="J1198" s="83">
        <f ca="1">EFEITO!$J$1198*EFEITO!$Y$1198</f>
        <v>17561.853029451413</v>
      </c>
      <c r="K1198" s="83">
        <f>EFEITO!$L$1198*EFEITO!$Z$1198</f>
        <v>0</v>
      </c>
      <c r="L1198" s="83">
        <f>EFEITO!$N$1198*EFEITO!$AA$1198</f>
        <v>0</v>
      </c>
      <c r="M1198" s="83">
        <f ca="1">$J$1198-EFEITO!$K$1198*EFEITO!$Y$1198</f>
        <v>0</v>
      </c>
      <c r="N1198" s="83">
        <f>$K$1198-EFEITO!$M$1198*EFEITO!$Z$1198</f>
        <v>0</v>
      </c>
      <c r="O1198" s="83">
        <f>$L$1198-EFEITO!$O$1198*EFEITO!$AA$1198</f>
        <v>0</v>
      </c>
      <c r="P1198" s="61"/>
      <c r="Q1198" s="61"/>
      <c r="R1198" s="61"/>
      <c r="S1198" s="61"/>
      <c r="T1198" s="61"/>
      <c r="U1198" s="61"/>
      <c r="V1198" s="61"/>
      <c r="W1198" s="61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</row>
    <row r="1199" spans="1:36" ht="11.25" customHeight="1" x14ac:dyDescent="0.2">
      <c r="A1199" s="57" t="s">
        <v>21</v>
      </c>
      <c r="B1199" s="57" t="s">
        <v>35</v>
      </c>
      <c r="C1199" s="57" t="s">
        <v>36</v>
      </c>
      <c r="D1199" s="57" t="s">
        <v>48</v>
      </c>
      <c r="E1199" s="57" t="s">
        <v>25</v>
      </c>
      <c r="F1199" s="57" t="s">
        <v>25</v>
      </c>
      <c r="G1199" s="57" t="s">
        <v>25</v>
      </c>
      <c r="H1199" s="57" t="s">
        <v>25</v>
      </c>
      <c r="I1199" s="82">
        <v>44166</v>
      </c>
      <c r="J1199" s="83">
        <f ca="1">EFEITO!$J$1199*EFEITO!$Y$1199</f>
        <v>3460706.8273418234</v>
      </c>
      <c r="K1199" s="83">
        <f>EFEITO!$L$1199*EFEITO!$Z$1199</f>
        <v>0</v>
      </c>
      <c r="L1199" s="83">
        <f>EFEITO!$N$1199*EFEITO!$AA$1199</f>
        <v>0</v>
      </c>
      <c r="M1199" s="83">
        <f ca="1">$J$1199-EFEITO!$K$1199*EFEITO!$Y$1199</f>
        <v>0</v>
      </c>
      <c r="N1199" s="83">
        <f>$K$1199-EFEITO!$M$1199*EFEITO!$Z$1199</f>
        <v>0</v>
      </c>
      <c r="O1199" s="83">
        <f>$L$1199-EFEITO!$O$1199*EFEITO!$AA$1199</f>
        <v>0</v>
      </c>
      <c r="P1199" s="61"/>
      <c r="Q1199" s="61"/>
      <c r="R1199" s="61"/>
      <c r="S1199" s="61"/>
      <c r="T1199" s="61"/>
      <c r="U1199" s="61"/>
      <c r="V1199" s="61"/>
      <c r="W1199" s="61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</row>
    <row r="1200" spans="1:36" ht="11.25" customHeight="1" x14ac:dyDescent="0.2">
      <c r="A1200" s="57" t="s">
        <v>27</v>
      </c>
      <c r="B1200" s="57" t="s">
        <v>35</v>
      </c>
      <c r="C1200" s="57" t="s">
        <v>36</v>
      </c>
      <c r="D1200" s="57" t="s">
        <v>48</v>
      </c>
      <c r="E1200" s="57" t="s">
        <v>25</v>
      </c>
      <c r="F1200" s="57" t="s">
        <v>25</v>
      </c>
      <c r="G1200" s="57" t="s">
        <v>25</v>
      </c>
      <c r="H1200" s="57" t="s">
        <v>25</v>
      </c>
      <c r="I1200" s="82">
        <v>44166</v>
      </c>
      <c r="J1200" s="83">
        <f ca="1">EFEITO!$J$1200*EFEITO!$Y$1200</f>
        <v>104317.40699494138</v>
      </c>
      <c r="K1200" s="83">
        <f>EFEITO!$L$1200*EFEITO!$Z$1200</f>
        <v>0</v>
      </c>
      <c r="L1200" s="83">
        <f>EFEITO!$N$1200*EFEITO!$AA$1200</f>
        <v>0</v>
      </c>
      <c r="M1200" s="83">
        <f ca="1">$J$1200-EFEITO!$K$1200*EFEITO!$Y$1200</f>
        <v>0</v>
      </c>
      <c r="N1200" s="83">
        <f>$K$1200-EFEITO!$M$1200*EFEITO!$Z$1200</f>
        <v>0</v>
      </c>
      <c r="O1200" s="83">
        <f>$L$1200-EFEITO!$O$1200*EFEITO!$AA$1200</f>
        <v>0</v>
      </c>
      <c r="P1200" s="61"/>
      <c r="Q1200" s="61"/>
      <c r="R1200" s="61"/>
      <c r="S1200" s="61"/>
      <c r="T1200" s="61"/>
      <c r="U1200" s="61"/>
      <c r="V1200" s="61"/>
      <c r="W1200" s="61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</row>
    <row r="1201" spans="1:36" ht="11.25" customHeight="1" x14ac:dyDescent="0.2">
      <c r="A1201" s="57" t="s">
        <v>28</v>
      </c>
      <c r="B1201" s="57" t="s">
        <v>35</v>
      </c>
      <c r="C1201" s="57" t="s">
        <v>36</v>
      </c>
      <c r="D1201" s="57" t="s">
        <v>48</v>
      </c>
      <c r="E1201" s="57" t="s">
        <v>25</v>
      </c>
      <c r="F1201" s="57" t="s">
        <v>25</v>
      </c>
      <c r="G1201" s="57" t="s">
        <v>25</v>
      </c>
      <c r="H1201" s="57" t="s">
        <v>25</v>
      </c>
      <c r="I1201" s="82">
        <v>44166</v>
      </c>
      <c r="J1201" s="83">
        <f ca="1">EFEITO!$J$1201*EFEITO!$Y$1201</f>
        <v>1065397.7966921378</v>
      </c>
      <c r="K1201" s="83">
        <f>EFEITO!$L$1201*EFEITO!$Z$1201</f>
        <v>0</v>
      </c>
      <c r="L1201" s="83">
        <f>EFEITO!$N$1201*EFEITO!$AA$1201</f>
        <v>0</v>
      </c>
      <c r="M1201" s="83">
        <f ca="1">$J$1201-EFEITO!$K$1201*EFEITO!$Y$1201</f>
        <v>0</v>
      </c>
      <c r="N1201" s="83">
        <f>$K$1201-EFEITO!$M$1201*EFEITO!$Z$1201</f>
        <v>0</v>
      </c>
      <c r="O1201" s="83">
        <f>$L$1201-EFEITO!$O$1201*EFEITO!$AA$1201</f>
        <v>0</v>
      </c>
      <c r="P1201" s="61"/>
      <c r="Q1201" s="61"/>
      <c r="R1201" s="61"/>
      <c r="S1201" s="61"/>
      <c r="T1201" s="61"/>
      <c r="U1201" s="61"/>
      <c r="V1201" s="61"/>
      <c r="W1201" s="61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</row>
    <row r="1202" spans="1:36" ht="11.25" customHeight="1" x14ac:dyDescent="0.2">
      <c r="A1202" s="57" t="s">
        <v>29</v>
      </c>
      <c r="B1202" s="57" t="s">
        <v>35</v>
      </c>
      <c r="C1202" s="57" t="s">
        <v>36</v>
      </c>
      <c r="D1202" s="57" t="s">
        <v>48</v>
      </c>
      <c r="E1202" s="57" t="s">
        <v>25</v>
      </c>
      <c r="F1202" s="57" t="s">
        <v>25</v>
      </c>
      <c r="G1202" s="57" t="s">
        <v>25</v>
      </c>
      <c r="H1202" s="57" t="s">
        <v>25</v>
      </c>
      <c r="I1202" s="82">
        <v>44166</v>
      </c>
      <c r="J1202" s="83">
        <f ca="1">EFEITO!$J$1202*EFEITO!$Y$1202</f>
        <v>87362.236161052846</v>
      </c>
      <c r="K1202" s="83">
        <f>EFEITO!$L$1202*EFEITO!$Z$1202</f>
        <v>0</v>
      </c>
      <c r="L1202" s="83">
        <f>EFEITO!$N$1202*EFEITO!$AA$1202</f>
        <v>0</v>
      </c>
      <c r="M1202" s="83">
        <f ca="1">$J$1202-EFEITO!$K$1202*EFEITO!$Y$1202</f>
        <v>0</v>
      </c>
      <c r="N1202" s="83">
        <f>$K$1202-EFEITO!$M$1202*EFEITO!$Z$1202</f>
        <v>0</v>
      </c>
      <c r="O1202" s="83">
        <f>$L$1202-EFEITO!$O$1202*EFEITO!$AA$1202</f>
        <v>0</v>
      </c>
      <c r="P1202" s="61"/>
      <c r="Q1202" s="61"/>
      <c r="R1202" s="61"/>
      <c r="S1202" s="61"/>
      <c r="T1202" s="61"/>
      <c r="U1202" s="61"/>
      <c r="V1202" s="61"/>
      <c r="W1202" s="61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</row>
    <row r="1203" spans="1:36" ht="11.25" customHeight="1" x14ac:dyDescent="0.2">
      <c r="A1203" s="57" t="s">
        <v>30</v>
      </c>
      <c r="B1203" s="57" t="s">
        <v>35</v>
      </c>
      <c r="C1203" s="57" t="s">
        <v>36</v>
      </c>
      <c r="D1203" s="57" t="s">
        <v>48</v>
      </c>
      <c r="E1203" s="57" t="s">
        <v>25</v>
      </c>
      <c r="F1203" s="57" t="s">
        <v>25</v>
      </c>
      <c r="G1203" s="57" t="s">
        <v>25</v>
      </c>
      <c r="H1203" s="57" t="s">
        <v>25</v>
      </c>
      <c r="I1203" s="82">
        <v>44166</v>
      </c>
      <c r="J1203" s="83">
        <f ca="1">EFEITO!$J$1203*EFEITO!$Y$1203</f>
        <v>17561.853029451413</v>
      </c>
      <c r="K1203" s="83">
        <f>EFEITO!$L$1203*EFEITO!$Z$1203</f>
        <v>0</v>
      </c>
      <c r="L1203" s="83">
        <f>EFEITO!$N$1203*EFEITO!$AA$1203</f>
        <v>0</v>
      </c>
      <c r="M1203" s="83">
        <f ca="1">$J$1203-EFEITO!$K$1203*EFEITO!$Y$1203</f>
        <v>0</v>
      </c>
      <c r="N1203" s="83">
        <f>$K$1203-EFEITO!$M$1203*EFEITO!$Z$1203</f>
        <v>0</v>
      </c>
      <c r="O1203" s="83">
        <f>$L$1203-EFEITO!$O$1203*EFEITO!$AA$1203</f>
        <v>0</v>
      </c>
      <c r="P1203" s="61"/>
      <c r="Q1203" s="61"/>
      <c r="R1203" s="61"/>
      <c r="S1203" s="61"/>
      <c r="T1203" s="61"/>
      <c r="U1203" s="61"/>
      <c r="V1203" s="61"/>
      <c r="W1203" s="61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</row>
    <row r="1204" spans="1:36" ht="11.25" customHeight="1" x14ac:dyDescent="0.2">
      <c r="A1204" s="57" t="s">
        <v>21</v>
      </c>
      <c r="B1204" s="57" t="s">
        <v>35</v>
      </c>
      <c r="C1204" s="57" t="s">
        <v>36</v>
      </c>
      <c r="D1204" s="57" t="s">
        <v>48</v>
      </c>
      <c r="E1204" s="57" t="s">
        <v>25</v>
      </c>
      <c r="F1204" s="57" t="s">
        <v>25</v>
      </c>
      <c r="G1204" s="57" t="s">
        <v>25</v>
      </c>
      <c r="H1204" s="57" t="s">
        <v>25</v>
      </c>
      <c r="I1204" s="82">
        <v>44197</v>
      </c>
      <c r="J1204" s="83">
        <f ca="1">EFEITO!$J$1204*EFEITO!$Y$1204</f>
        <v>3417313.0850381427</v>
      </c>
      <c r="K1204" s="83">
        <f>EFEITO!$L$1204*EFEITO!$Z$1204</f>
        <v>0</v>
      </c>
      <c r="L1204" s="83">
        <f>EFEITO!$N$1204*EFEITO!$AA$1204</f>
        <v>0</v>
      </c>
      <c r="M1204" s="83">
        <f ca="1">$J$1204-EFEITO!$K$1204*EFEITO!$Y$1204</f>
        <v>0</v>
      </c>
      <c r="N1204" s="83">
        <f>$K$1204-EFEITO!$M$1204*EFEITO!$Z$1204</f>
        <v>0</v>
      </c>
      <c r="O1204" s="83">
        <f>$L$1204-EFEITO!$O$1204*EFEITO!$AA$1204</f>
        <v>0</v>
      </c>
      <c r="P1204" s="61"/>
      <c r="Q1204" s="61"/>
      <c r="R1204" s="61"/>
      <c r="S1204" s="61"/>
      <c r="T1204" s="61"/>
      <c r="U1204" s="61"/>
      <c r="V1204" s="61"/>
      <c r="W1204" s="61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</row>
    <row r="1205" spans="1:36" ht="11.25" customHeight="1" x14ac:dyDescent="0.2">
      <c r="A1205" s="57" t="s">
        <v>27</v>
      </c>
      <c r="B1205" s="57" t="s">
        <v>35</v>
      </c>
      <c r="C1205" s="57" t="s">
        <v>36</v>
      </c>
      <c r="D1205" s="57" t="s">
        <v>48</v>
      </c>
      <c r="E1205" s="57" t="s">
        <v>25</v>
      </c>
      <c r="F1205" s="57" t="s">
        <v>25</v>
      </c>
      <c r="G1205" s="57" t="s">
        <v>25</v>
      </c>
      <c r="H1205" s="57" t="s">
        <v>25</v>
      </c>
      <c r="I1205" s="82">
        <v>44197</v>
      </c>
      <c r="J1205" s="83">
        <f ca="1">EFEITO!$J$1205*EFEITO!$Y$1205</f>
        <v>-119548.32316775652</v>
      </c>
      <c r="K1205" s="83">
        <f>EFEITO!$L$1205*EFEITO!$Z$1205</f>
        <v>0</v>
      </c>
      <c r="L1205" s="83">
        <f>EFEITO!$N$1205*EFEITO!$AA$1205</f>
        <v>0</v>
      </c>
      <c r="M1205" s="83">
        <f ca="1">$J$1205-EFEITO!$K$1205*EFEITO!$Y$1205</f>
        <v>0</v>
      </c>
      <c r="N1205" s="83">
        <f>$K$1205-EFEITO!$M$1205*EFEITO!$Z$1205</f>
        <v>0</v>
      </c>
      <c r="O1205" s="83">
        <f>$L$1205-EFEITO!$O$1205*EFEITO!$AA$1205</f>
        <v>0</v>
      </c>
      <c r="P1205" s="61"/>
      <c r="Q1205" s="61"/>
      <c r="R1205" s="61"/>
      <c r="S1205" s="61"/>
      <c r="T1205" s="61"/>
      <c r="U1205" s="61"/>
      <c r="V1205" s="61"/>
      <c r="W1205" s="61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</row>
    <row r="1206" spans="1:36" ht="11.25" customHeight="1" x14ac:dyDescent="0.2">
      <c r="A1206" s="57" t="s">
        <v>28</v>
      </c>
      <c r="B1206" s="57" t="s">
        <v>35</v>
      </c>
      <c r="C1206" s="57" t="s">
        <v>36</v>
      </c>
      <c r="D1206" s="57" t="s">
        <v>48</v>
      </c>
      <c r="E1206" s="57" t="s">
        <v>25</v>
      </c>
      <c r="F1206" s="57" t="s">
        <v>25</v>
      </c>
      <c r="G1206" s="57" t="s">
        <v>25</v>
      </c>
      <c r="H1206" s="57" t="s">
        <v>25</v>
      </c>
      <c r="I1206" s="82">
        <v>44197</v>
      </c>
      <c r="J1206" s="83">
        <f ca="1">EFEITO!$J$1206*EFEITO!$Y$1206</f>
        <v>1048666.1403513514</v>
      </c>
      <c r="K1206" s="83">
        <f>EFEITO!$L$1206*EFEITO!$Z$1206</f>
        <v>0</v>
      </c>
      <c r="L1206" s="83">
        <f>EFEITO!$N$1206*EFEITO!$AA$1206</f>
        <v>0</v>
      </c>
      <c r="M1206" s="83">
        <f ca="1">$J$1206-EFEITO!$K$1206*EFEITO!$Y$1206</f>
        <v>0</v>
      </c>
      <c r="N1206" s="83">
        <f>$K$1206-EFEITO!$M$1206*EFEITO!$Z$1206</f>
        <v>0</v>
      </c>
      <c r="O1206" s="83">
        <f>$L$1206-EFEITO!$O$1206*EFEITO!$AA$1206</f>
        <v>0</v>
      </c>
      <c r="P1206" s="61"/>
      <c r="Q1206" s="61"/>
      <c r="R1206" s="61"/>
      <c r="S1206" s="61"/>
      <c r="T1206" s="61"/>
      <c r="U1206" s="61"/>
      <c r="V1206" s="61"/>
      <c r="W1206" s="61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</row>
    <row r="1207" spans="1:36" ht="11.25" customHeight="1" x14ac:dyDescent="0.2">
      <c r="A1207" s="57" t="s">
        <v>29</v>
      </c>
      <c r="B1207" s="57" t="s">
        <v>35</v>
      </c>
      <c r="C1207" s="57" t="s">
        <v>36</v>
      </c>
      <c r="D1207" s="57" t="s">
        <v>48</v>
      </c>
      <c r="E1207" s="57" t="s">
        <v>25</v>
      </c>
      <c r="F1207" s="57" t="s">
        <v>25</v>
      </c>
      <c r="G1207" s="57" t="s">
        <v>25</v>
      </c>
      <c r="H1207" s="57" t="s">
        <v>25</v>
      </c>
      <c r="I1207" s="82">
        <v>44197</v>
      </c>
      <c r="J1207" s="83">
        <f ca="1">EFEITO!$J$1207*EFEITO!$Y$1207</f>
        <v>-93939.948386629185</v>
      </c>
      <c r="K1207" s="83">
        <f>EFEITO!$L$1207*EFEITO!$Z$1207</f>
        <v>0</v>
      </c>
      <c r="L1207" s="83">
        <f>EFEITO!$N$1207*EFEITO!$AA$1207</f>
        <v>0</v>
      </c>
      <c r="M1207" s="83">
        <f ca="1">$J$1207-EFEITO!$K$1207*EFEITO!$Y$1207</f>
        <v>0</v>
      </c>
      <c r="N1207" s="83">
        <f>$K$1207-EFEITO!$M$1207*EFEITO!$Z$1207</f>
        <v>0</v>
      </c>
      <c r="O1207" s="83">
        <f>$L$1207-EFEITO!$O$1207*EFEITO!$AA$1207</f>
        <v>0</v>
      </c>
      <c r="P1207" s="61"/>
      <c r="Q1207" s="61"/>
      <c r="R1207" s="61"/>
      <c r="S1207" s="61"/>
      <c r="T1207" s="61"/>
      <c r="U1207" s="61"/>
      <c r="V1207" s="61"/>
      <c r="W1207" s="61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</row>
    <row r="1208" spans="1:36" ht="11.25" customHeight="1" x14ac:dyDescent="0.2">
      <c r="A1208" s="57" t="s">
        <v>30</v>
      </c>
      <c r="B1208" s="57" t="s">
        <v>35</v>
      </c>
      <c r="C1208" s="57" t="s">
        <v>36</v>
      </c>
      <c r="D1208" s="57" t="s">
        <v>48</v>
      </c>
      <c r="E1208" s="57" t="s">
        <v>25</v>
      </c>
      <c r="F1208" s="57" t="s">
        <v>25</v>
      </c>
      <c r="G1208" s="57" t="s">
        <v>25</v>
      </c>
      <c r="H1208" s="57" t="s">
        <v>25</v>
      </c>
      <c r="I1208" s="82">
        <v>44197</v>
      </c>
      <c r="J1208" s="83">
        <f ca="1">EFEITO!$J$1208*EFEITO!$Y$1208</f>
        <v>17561.853029451413</v>
      </c>
      <c r="K1208" s="83">
        <f>EFEITO!$L$1208*EFEITO!$Z$1208</f>
        <v>0</v>
      </c>
      <c r="L1208" s="83">
        <f>EFEITO!$N$1208*EFEITO!$AA$1208</f>
        <v>0</v>
      </c>
      <c r="M1208" s="83">
        <f ca="1">$J$1208-EFEITO!$K$1208*EFEITO!$Y$1208</f>
        <v>0</v>
      </c>
      <c r="N1208" s="83">
        <f>$K$1208-EFEITO!$M$1208*EFEITO!$Z$1208</f>
        <v>0</v>
      </c>
      <c r="O1208" s="83">
        <f>$L$1208-EFEITO!$O$1208*EFEITO!$AA$1208</f>
        <v>0</v>
      </c>
      <c r="P1208" s="61"/>
      <c r="Q1208" s="61"/>
      <c r="R1208" s="61"/>
      <c r="S1208" s="61"/>
      <c r="T1208" s="61"/>
      <c r="U1208" s="61"/>
      <c r="V1208" s="61"/>
      <c r="W1208" s="61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</row>
    <row r="1209" spans="1:36" ht="11.25" customHeight="1" x14ac:dyDescent="0.2">
      <c r="A1209" s="57" t="s">
        <v>21</v>
      </c>
      <c r="B1209" s="57" t="s">
        <v>35</v>
      </c>
      <c r="C1209" s="57" t="s">
        <v>36</v>
      </c>
      <c r="D1209" s="57" t="s">
        <v>48</v>
      </c>
      <c r="E1209" s="57" t="s">
        <v>25</v>
      </c>
      <c r="F1209" s="57" t="s">
        <v>25</v>
      </c>
      <c r="G1209" s="57" t="s">
        <v>25</v>
      </c>
      <c r="H1209" s="57" t="s">
        <v>25</v>
      </c>
      <c r="I1209" s="82">
        <v>44228</v>
      </c>
      <c r="J1209" s="83">
        <f ca="1">EFEITO!$J$1209*EFEITO!$Y$1209</f>
        <v>3340711.4751878628</v>
      </c>
      <c r="K1209" s="83">
        <f>EFEITO!$L$1209*EFEITO!$Z$1209</f>
        <v>0</v>
      </c>
      <c r="L1209" s="83">
        <f>EFEITO!$N$1209*EFEITO!$AA$1209</f>
        <v>0</v>
      </c>
      <c r="M1209" s="83">
        <f ca="1">$J$1209-EFEITO!$K$1209*EFEITO!$Y$1209</f>
        <v>0</v>
      </c>
      <c r="N1209" s="83">
        <f>$K$1209-EFEITO!$M$1209*EFEITO!$Z$1209</f>
        <v>0</v>
      </c>
      <c r="O1209" s="83">
        <f>$L$1209-EFEITO!$O$1209*EFEITO!$AA$1209</f>
        <v>0</v>
      </c>
      <c r="P1209" s="61"/>
      <c r="Q1209" s="61"/>
      <c r="R1209" s="61"/>
      <c r="S1209" s="61"/>
      <c r="T1209" s="61"/>
      <c r="U1209" s="61"/>
      <c r="V1209" s="61"/>
      <c r="W1209" s="61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</row>
    <row r="1210" spans="1:36" ht="11.25" customHeight="1" x14ac:dyDescent="0.2">
      <c r="A1210" s="57" t="s">
        <v>27</v>
      </c>
      <c r="B1210" s="57" t="s">
        <v>35</v>
      </c>
      <c r="C1210" s="57" t="s">
        <v>36</v>
      </c>
      <c r="D1210" s="57" t="s">
        <v>48</v>
      </c>
      <c r="E1210" s="57" t="s">
        <v>25</v>
      </c>
      <c r="F1210" s="57" t="s">
        <v>25</v>
      </c>
      <c r="G1210" s="57" t="s">
        <v>25</v>
      </c>
      <c r="H1210" s="57" t="s">
        <v>25</v>
      </c>
      <c r="I1210" s="82">
        <v>44228</v>
      </c>
      <c r="J1210" s="83">
        <f ca="1">EFEITO!$J$1210*EFEITO!$Y$1210</f>
        <v>-129223.30765489067</v>
      </c>
      <c r="K1210" s="83">
        <f>EFEITO!$L$1210*EFEITO!$Z$1210</f>
        <v>0</v>
      </c>
      <c r="L1210" s="83">
        <f>EFEITO!$N$1210*EFEITO!$AA$1210</f>
        <v>0</v>
      </c>
      <c r="M1210" s="83">
        <f ca="1">$J$1210-EFEITO!$K$1210*EFEITO!$Y$1210</f>
        <v>0</v>
      </c>
      <c r="N1210" s="83">
        <f>$K$1210-EFEITO!$M$1210*EFEITO!$Z$1210</f>
        <v>0</v>
      </c>
      <c r="O1210" s="83">
        <f>$L$1210-EFEITO!$O$1210*EFEITO!$AA$1210</f>
        <v>0</v>
      </c>
      <c r="P1210" s="61"/>
      <c r="Q1210" s="61"/>
      <c r="R1210" s="61"/>
      <c r="S1210" s="61"/>
      <c r="T1210" s="61"/>
      <c r="U1210" s="61"/>
      <c r="V1210" s="61"/>
      <c r="W1210" s="61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</row>
    <row r="1211" spans="1:36" ht="11.25" customHeight="1" x14ac:dyDescent="0.2">
      <c r="A1211" s="57" t="s">
        <v>28</v>
      </c>
      <c r="B1211" s="57" t="s">
        <v>35</v>
      </c>
      <c r="C1211" s="57" t="s">
        <v>36</v>
      </c>
      <c r="D1211" s="57" t="s">
        <v>48</v>
      </c>
      <c r="E1211" s="57" t="s">
        <v>25</v>
      </c>
      <c r="F1211" s="57" t="s">
        <v>25</v>
      </c>
      <c r="G1211" s="57" t="s">
        <v>25</v>
      </c>
      <c r="H1211" s="57" t="s">
        <v>25</v>
      </c>
      <c r="I1211" s="82">
        <v>44228</v>
      </c>
      <c r="J1211" s="83">
        <f ca="1">EFEITO!$J$1211*EFEITO!$Y$1211</f>
        <v>1026761.7200273448</v>
      </c>
      <c r="K1211" s="83">
        <f>EFEITO!$L$1211*EFEITO!$Z$1211</f>
        <v>0</v>
      </c>
      <c r="L1211" s="83">
        <f>EFEITO!$N$1211*EFEITO!$AA$1211</f>
        <v>0</v>
      </c>
      <c r="M1211" s="83">
        <f ca="1">$J$1211-EFEITO!$K$1211*EFEITO!$Y$1211</f>
        <v>0</v>
      </c>
      <c r="N1211" s="83">
        <f>$K$1211-EFEITO!$M$1211*EFEITO!$Z$1211</f>
        <v>0</v>
      </c>
      <c r="O1211" s="83">
        <f>$L$1211-EFEITO!$O$1211*EFEITO!$AA$1211</f>
        <v>0</v>
      </c>
      <c r="P1211" s="61"/>
      <c r="Q1211" s="61"/>
      <c r="R1211" s="61"/>
      <c r="S1211" s="61"/>
      <c r="T1211" s="61"/>
      <c r="U1211" s="61"/>
      <c r="V1211" s="61"/>
      <c r="W1211" s="61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</row>
    <row r="1212" spans="1:36" ht="11.25" customHeight="1" x14ac:dyDescent="0.2">
      <c r="A1212" s="57" t="s">
        <v>29</v>
      </c>
      <c r="B1212" s="57" t="s">
        <v>35</v>
      </c>
      <c r="C1212" s="57" t="s">
        <v>36</v>
      </c>
      <c r="D1212" s="57" t="s">
        <v>48</v>
      </c>
      <c r="E1212" s="57" t="s">
        <v>25</v>
      </c>
      <c r="F1212" s="57" t="s">
        <v>25</v>
      </c>
      <c r="G1212" s="57" t="s">
        <v>25</v>
      </c>
      <c r="H1212" s="57" t="s">
        <v>25</v>
      </c>
      <c r="I1212" s="82">
        <v>44228</v>
      </c>
      <c r="J1212" s="83">
        <f ca="1">EFEITO!$J$1212*EFEITO!$Y$1212</f>
        <v>-50769.720576050444</v>
      </c>
      <c r="K1212" s="83">
        <f>EFEITO!$L$1212*EFEITO!$Z$1212</f>
        <v>0</v>
      </c>
      <c r="L1212" s="83">
        <f>EFEITO!$N$1212*EFEITO!$AA$1212</f>
        <v>0</v>
      </c>
      <c r="M1212" s="83">
        <f ca="1">$J$1212-EFEITO!$K$1212*EFEITO!$Y$1212</f>
        <v>0</v>
      </c>
      <c r="N1212" s="83">
        <f>$K$1212-EFEITO!$M$1212*EFEITO!$Z$1212</f>
        <v>0</v>
      </c>
      <c r="O1212" s="83">
        <f>$L$1212-EFEITO!$O$1212*EFEITO!$AA$1212</f>
        <v>0</v>
      </c>
      <c r="P1212" s="61"/>
      <c r="Q1212" s="61"/>
      <c r="R1212" s="61"/>
      <c r="S1212" s="61"/>
      <c r="T1212" s="61"/>
      <c r="U1212" s="61"/>
      <c r="V1212" s="61"/>
      <c r="W1212" s="61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</row>
    <row r="1213" spans="1:36" ht="11.25" customHeight="1" x14ac:dyDescent="0.2">
      <c r="A1213" s="57" t="s">
        <v>30</v>
      </c>
      <c r="B1213" s="57" t="s">
        <v>35</v>
      </c>
      <c r="C1213" s="57" t="s">
        <v>36</v>
      </c>
      <c r="D1213" s="57" t="s">
        <v>48</v>
      </c>
      <c r="E1213" s="57" t="s">
        <v>25</v>
      </c>
      <c r="F1213" s="57" t="s">
        <v>25</v>
      </c>
      <c r="G1213" s="57" t="s">
        <v>25</v>
      </c>
      <c r="H1213" s="57" t="s">
        <v>25</v>
      </c>
      <c r="I1213" s="82">
        <v>44228</v>
      </c>
      <c r="J1213" s="83">
        <f ca="1">EFEITO!$J$1213*EFEITO!$Y$1213</f>
        <v>17561.853029451413</v>
      </c>
      <c r="K1213" s="83">
        <f>EFEITO!$L$1213*EFEITO!$Z$1213</f>
        <v>0</v>
      </c>
      <c r="L1213" s="83">
        <f>EFEITO!$N$1213*EFEITO!$AA$1213</f>
        <v>0</v>
      </c>
      <c r="M1213" s="83">
        <f ca="1">$J$1213-EFEITO!$K$1213*EFEITO!$Y$1213</f>
        <v>0</v>
      </c>
      <c r="N1213" s="83">
        <f>$K$1213-EFEITO!$M$1213*EFEITO!$Z$1213</f>
        <v>0</v>
      </c>
      <c r="O1213" s="83">
        <f>$L$1213-EFEITO!$O$1213*EFEITO!$AA$1213</f>
        <v>0</v>
      </c>
      <c r="P1213" s="61"/>
      <c r="Q1213" s="61"/>
      <c r="R1213" s="61"/>
      <c r="S1213" s="61"/>
      <c r="T1213" s="61"/>
      <c r="U1213" s="61"/>
      <c r="V1213" s="61"/>
      <c r="W1213" s="61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</row>
    <row r="1214" spans="1:36" ht="11.25" customHeight="1" x14ac:dyDescent="0.2">
      <c r="A1214" s="57" t="s">
        <v>21</v>
      </c>
      <c r="B1214" s="57" t="s">
        <v>35</v>
      </c>
      <c r="C1214" s="57" t="s">
        <v>36</v>
      </c>
      <c r="D1214" s="57" t="s">
        <v>48</v>
      </c>
      <c r="E1214" s="57" t="s">
        <v>25</v>
      </c>
      <c r="F1214" s="57" t="s">
        <v>25</v>
      </c>
      <c r="G1214" s="57" t="s">
        <v>25</v>
      </c>
      <c r="H1214" s="57" t="s">
        <v>25</v>
      </c>
      <c r="I1214" s="82">
        <v>44256</v>
      </c>
      <c r="J1214" s="83">
        <f ca="1">EFEITO!$J$1214*EFEITO!$Y$1214</f>
        <v>3032900.0875443872</v>
      </c>
      <c r="K1214" s="83">
        <f>EFEITO!$L$1214*EFEITO!$Z$1214</f>
        <v>0</v>
      </c>
      <c r="L1214" s="83">
        <f>EFEITO!$N$1214*EFEITO!$AA$1214</f>
        <v>0</v>
      </c>
      <c r="M1214" s="83">
        <f ca="1">$J$1214-EFEITO!$K$1214*EFEITO!$Y$1214</f>
        <v>0</v>
      </c>
      <c r="N1214" s="83">
        <f>$K$1214-EFEITO!$M$1214*EFEITO!$Z$1214</f>
        <v>0</v>
      </c>
      <c r="O1214" s="83">
        <f>$L$1214-EFEITO!$O$1214*EFEITO!$AA$1214</f>
        <v>0</v>
      </c>
      <c r="P1214" s="61"/>
      <c r="Q1214" s="61"/>
      <c r="R1214" s="61"/>
      <c r="S1214" s="61"/>
      <c r="T1214" s="61"/>
      <c r="U1214" s="61"/>
      <c r="V1214" s="61"/>
      <c r="W1214" s="61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</row>
    <row r="1215" spans="1:36" ht="11.25" customHeight="1" x14ac:dyDescent="0.2">
      <c r="A1215" s="57" t="s">
        <v>27</v>
      </c>
      <c r="B1215" s="57" t="s">
        <v>35</v>
      </c>
      <c r="C1215" s="57" t="s">
        <v>36</v>
      </c>
      <c r="D1215" s="57" t="s">
        <v>48</v>
      </c>
      <c r="E1215" s="57" t="s">
        <v>25</v>
      </c>
      <c r="F1215" s="57" t="s">
        <v>25</v>
      </c>
      <c r="G1215" s="57" t="s">
        <v>25</v>
      </c>
      <c r="H1215" s="57" t="s">
        <v>25</v>
      </c>
      <c r="I1215" s="82">
        <v>44256</v>
      </c>
      <c r="J1215" s="83">
        <f ca="1">EFEITO!$J$1215*EFEITO!$Y$1215</f>
        <v>-23596.744343208353</v>
      </c>
      <c r="K1215" s="83">
        <f>EFEITO!$L$1215*EFEITO!$Z$1215</f>
        <v>0</v>
      </c>
      <c r="L1215" s="83">
        <f>EFEITO!$N$1215*EFEITO!$AA$1215</f>
        <v>0</v>
      </c>
      <c r="M1215" s="83">
        <f ca="1">$J$1215-EFEITO!$K$1215*EFEITO!$Y$1215</f>
        <v>0</v>
      </c>
      <c r="N1215" s="83">
        <f>$K$1215-EFEITO!$M$1215*EFEITO!$Z$1215</f>
        <v>0</v>
      </c>
      <c r="O1215" s="83">
        <f>$L$1215-EFEITO!$O$1215*EFEITO!$AA$1215</f>
        <v>0</v>
      </c>
      <c r="P1215" s="61"/>
      <c r="Q1215" s="61"/>
      <c r="R1215" s="61"/>
      <c r="S1215" s="61"/>
      <c r="T1215" s="61"/>
      <c r="U1215" s="61"/>
      <c r="V1215" s="61"/>
      <c r="W1215" s="61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</row>
    <row r="1216" spans="1:36" ht="11.25" customHeight="1" x14ac:dyDescent="0.2">
      <c r="A1216" s="57" t="s">
        <v>28</v>
      </c>
      <c r="B1216" s="57" t="s">
        <v>35</v>
      </c>
      <c r="C1216" s="57" t="s">
        <v>36</v>
      </c>
      <c r="D1216" s="57" t="s">
        <v>48</v>
      </c>
      <c r="E1216" s="57" t="s">
        <v>25</v>
      </c>
      <c r="F1216" s="57" t="s">
        <v>25</v>
      </c>
      <c r="G1216" s="57" t="s">
        <v>25</v>
      </c>
      <c r="H1216" s="57" t="s">
        <v>25</v>
      </c>
      <c r="I1216" s="82">
        <v>44256</v>
      </c>
      <c r="J1216" s="83">
        <f ca="1">EFEITO!$J$1216*EFEITO!$Y$1216</f>
        <v>826173.42778913793</v>
      </c>
      <c r="K1216" s="83">
        <f>EFEITO!$L$1216*EFEITO!$Z$1216</f>
        <v>0</v>
      </c>
      <c r="L1216" s="83">
        <f>EFEITO!$N$1216*EFEITO!$AA$1216</f>
        <v>0</v>
      </c>
      <c r="M1216" s="83">
        <f ca="1">$J$1216-EFEITO!$K$1216*EFEITO!$Y$1216</f>
        <v>0</v>
      </c>
      <c r="N1216" s="83">
        <f>$K$1216-EFEITO!$M$1216*EFEITO!$Z$1216</f>
        <v>0</v>
      </c>
      <c r="O1216" s="83">
        <f>$L$1216-EFEITO!$O$1216*EFEITO!$AA$1216</f>
        <v>0</v>
      </c>
      <c r="P1216" s="61"/>
      <c r="Q1216" s="61"/>
      <c r="R1216" s="61"/>
      <c r="S1216" s="61"/>
      <c r="T1216" s="61"/>
      <c r="U1216" s="61"/>
      <c r="V1216" s="61"/>
      <c r="W1216" s="61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</row>
    <row r="1217" spans="1:36" ht="11.25" customHeight="1" x14ac:dyDescent="0.2">
      <c r="A1217" s="57" t="s">
        <v>29</v>
      </c>
      <c r="B1217" s="57" t="s">
        <v>35</v>
      </c>
      <c r="C1217" s="57" t="s">
        <v>36</v>
      </c>
      <c r="D1217" s="57" t="s">
        <v>48</v>
      </c>
      <c r="E1217" s="57" t="s">
        <v>25</v>
      </c>
      <c r="F1217" s="57" t="s">
        <v>25</v>
      </c>
      <c r="G1217" s="57" t="s">
        <v>25</v>
      </c>
      <c r="H1217" s="57" t="s">
        <v>25</v>
      </c>
      <c r="I1217" s="82">
        <v>44256</v>
      </c>
      <c r="J1217" s="83">
        <f ca="1">EFEITO!$J$1217*EFEITO!$Y$1217</f>
        <v>-545918.18408096512</v>
      </c>
      <c r="K1217" s="83">
        <f>EFEITO!$L$1217*EFEITO!$Z$1217</f>
        <v>0</v>
      </c>
      <c r="L1217" s="83">
        <f>EFEITO!$N$1217*EFEITO!$AA$1217</f>
        <v>0</v>
      </c>
      <c r="M1217" s="83">
        <f ca="1">$J$1217-EFEITO!$K$1217*EFEITO!$Y$1217</f>
        <v>0</v>
      </c>
      <c r="N1217" s="83">
        <f>$K$1217-EFEITO!$M$1217*EFEITO!$Z$1217</f>
        <v>0</v>
      </c>
      <c r="O1217" s="83">
        <f>$L$1217-EFEITO!$O$1217*EFEITO!$AA$1217</f>
        <v>0</v>
      </c>
      <c r="P1217" s="61"/>
      <c r="Q1217" s="61"/>
      <c r="R1217" s="61"/>
      <c r="S1217" s="61"/>
      <c r="T1217" s="61"/>
      <c r="U1217" s="61"/>
      <c r="V1217" s="61"/>
      <c r="W1217" s="61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</row>
    <row r="1218" spans="1:36" ht="11.25" customHeight="1" x14ac:dyDescent="0.2">
      <c r="A1218" s="57" t="s">
        <v>30</v>
      </c>
      <c r="B1218" s="57" t="s">
        <v>35</v>
      </c>
      <c r="C1218" s="57" t="s">
        <v>36</v>
      </c>
      <c r="D1218" s="57" t="s">
        <v>48</v>
      </c>
      <c r="E1218" s="57" t="s">
        <v>25</v>
      </c>
      <c r="F1218" s="57" t="s">
        <v>25</v>
      </c>
      <c r="G1218" s="57" t="s">
        <v>25</v>
      </c>
      <c r="H1218" s="57" t="s">
        <v>25</v>
      </c>
      <c r="I1218" s="82">
        <v>44256</v>
      </c>
      <c r="J1218" s="83">
        <f ca="1">EFEITO!$J$1218*EFEITO!$Y$1218</f>
        <v>17561.853029451413</v>
      </c>
      <c r="K1218" s="83">
        <f>EFEITO!$L$1218*EFEITO!$Z$1218</f>
        <v>0</v>
      </c>
      <c r="L1218" s="83">
        <f>EFEITO!$N$1218*EFEITO!$AA$1218</f>
        <v>0</v>
      </c>
      <c r="M1218" s="83">
        <f ca="1">$J$1218-EFEITO!$K$1218*EFEITO!$Y$1218</f>
        <v>0</v>
      </c>
      <c r="N1218" s="83">
        <f>$K$1218-EFEITO!$M$1218*EFEITO!$Z$1218</f>
        <v>0</v>
      </c>
      <c r="O1218" s="83">
        <f>$L$1218-EFEITO!$O$1218*EFEITO!$AA$1218</f>
        <v>0</v>
      </c>
      <c r="P1218" s="61"/>
      <c r="Q1218" s="61"/>
      <c r="R1218" s="61"/>
      <c r="S1218" s="61"/>
      <c r="T1218" s="61"/>
      <c r="U1218" s="61"/>
      <c r="V1218" s="61"/>
      <c r="W1218" s="61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</row>
    <row r="1219" spans="1:36" ht="11.25" customHeight="1" x14ac:dyDescent="0.2">
      <c r="A1219" s="57" t="s">
        <v>21</v>
      </c>
      <c r="B1219" s="57" t="s">
        <v>35</v>
      </c>
      <c r="C1219" s="57" t="s">
        <v>36</v>
      </c>
      <c r="D1219" s="57" t="s">
        <v>48</v>
      </c>
      <c r="E1219" s="57" t="s">
        <v>25</v>
      </c>
      <c r="F1219" s="57" t="s">
        <v>25</v>
      </c>
      <c r="G1219" s="57" t="s">
        <v>25</v>
      </c>
      <c r="H1219" s="57" t="s">
        <v>25</v>
      </c>
      <c r="I1219" s="82">
        <v>44287</v>
      </c>
      <c r="J1219" s="83">
        <f ca="1">EFEITO!$J$1219*EFEITO!$Y$1219</f>
        <v>3013869.4249888361</v>
      </c>
      <c r="K1219" s="83">
        <f>EFEITO!$L$1219*EFEITO!$Z$1219</f>
        <v>0</v>
      </c>
      <c r="L1219" s="83">
        <f>EFEITO!$N$1219*EFEITO!$AA$1219</f>
        <v>0</v>
      </c>
      <c r="M1219" s="83">
        <f ca="1">$J$1219-EFEITO!$K$1219*EFEITO!$Y$1219</f>
        <v>0</v>
      </c>
      <c r="N1219" s="83">
        <f>$K$1219-EFEITO!$M$1219*EFEITO!$Z$1219</f>
        <v>0</v>
      </c>
      <c r="O1219" s="83">
        <f>$L$1219-EFEITO!$O$1219*EFEITO!$AA$1219</f>
        <v>0</v>
      </c>
      <c r="P1219" s="61"/>
      <c r="Q1219" s="61"/>
      <c r="R1219" s="61"/>
      <c r="S1219" s="61"/>
      <c r="T1219" s="61"/>
      <c r="U1219" s="61"/>
      <c r="V1219" s="61"/>
      <c r="W1219" s="61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</row>
    <row r="1220" spans="1:36" ht="11.25" customHeight="1" x14ac:dyDescent="0.2">
      <c r="A1220" s="57" t="s">
        <v>27</v>
      </c>
      <c r="B1220" s="57" t="s">
        <v>35</v>
      </c>
      <c r="C1220" s="57" t="s">
        <v>36</v>
      </c>
      <c r="D1220" s="57" t="s">
        <v>48</v>
      </c>
      <c r="E1220" s="57" t="s">
        <v>25</v>
      </c>
      <c r="F1220" s="57" t="s">
        <v>25</v>
      </c>
      <c r="G1220" s="57" t="s">
        <v>25</v>
      </c>
      <c r="H1220" s="57" t="s">
        <v>25</v>
      </c>
      <c r="I1220" s="82">
        <v>44287</v>
      </c>
      <c r="J1220" s="83">
        <f ca="1">EFEITO!$J$1220*EFEITO!$Y$1220</f>
        <v>-49396.702975566062</v>
      </c>
      <c r="K1220" s="83">
        <f>EFEITO!$L$1220*EFEITO!$Z$1220</f>
        <v>0</v>
      </c>
      <c r="L1220" s="83">
        <f>EFEITO!$N$1220*EFEITO!$AA$1220</f>
        <v>0</v>
      </c>
      <c r="M1220" s="83">
        <f ca="1">$J$1220-EFEITO!$K$1220*EFEITO!$Y$1220</f>
        <v>0</v>
      </c>
      <c r="N1220" s="83">
        <f>$K$1220-EFEITO!$M$1220*EFEITO!$Z$1220</f>
        <v>0</v>
      </c>
      <c r="O1220" s="83">
        <f>$L$1220-EFEITO!$O$1220*EFEITO!$AA$1220</f>
        <v>0</v>
      </c>
      <c r="P1220" s="61"/>
      <c r="Q1220" s="61"/>
      <c r="R1220" s="61"/>
      <c r="S1220" s="61"/>
      <c r="T1220" s="61"/>
      <c r="U1220" s="61"/>
      <c r="V1220" s="61"/>
      <c r="W1220" s="61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</row>
    <row r="1221" spans="1:36" ht="11.25" customHeight="1" x14ac:dyDescent="0.2">
      <c r="A1221" s="57" t="s">
        <v>28</v>
      </c>
      <c r="B1221" s="57" t="s">
        <v>35</v>
      </c>
      <c r="C1221" s="57" t="s">
        <v>36</v>
      </c>
      <c r="D1221" s="57" t="s">
        <v>48</v>
      </c>
      <c r="E1221" s="57" t="s">
        <v>25</v>
      </c>
      <c r="F1221" s="57" t="s">
        <v>25</v>
      </c>
      <c r="G1221" s="57" t="s">
        <v>25</v>
      </c>
      <c r="H1221" s="57" t="s">
        <v>25</v>
      </c>
      <c r="I1221" s="82">
        <v>44287</v>
      </c>
      <c r="J1221" s="83">
        <f ca="1">EFEITO!$J$1221*EFEITO!$Y$1221</f>
        <v>821862.79113645433</v>
      </c>
      <c r="K1221" s="83">
        <f>EFEITO!$L$1221*EFEITO!$Z$1221</f>
        <v>0</v>
      </c>
      <c r="L1221" s="83">
        <f>EFEITO!$N$1221*EFEITO!$AA$1221</f>
        <v>0</v>
      </c>
      <c r="M1221" s="83">
        <f ca="1">$J$1221-EFEITO!$K$1221*EFEITO!$Y$1221</f>
        <v>0</v>
      </c>
      <c r="N1221" s="83">
        <f>$K$1221-EFEITO!$M$1221*EFEITO!$Z$1221</f>
        <v>0</v>
      </c>
      <c r="O1221" s="83">
        <f>$L$1221-EFEITO!$O$1221*EFEITO!$AA$1221</f>
        <v>0</v>
      </c>
      <c r="P1221" s="61"/>
      <c r="Q1221" s="61"/>
      <c r="R1221" s="61"/>
      <c r="S1221" s="61"/>
      <c r="T1221" s="61"/>
      <c r="U1221" s="61"/>
      <c r="V1221" s="61"/>
      <c r="W1221" s="61"/>
      <c r="X1221" s="6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</row>
    <row r="1222" spans="1:36" ht="11.25" customHeight="1" x14ac:dyDescent="0.2">
      <c r="A1222" s="57" t="s">
        <v>30</v>
      </c>
      <c r="B1222" s="57" t="s">
        <v>35</v>
      </c>
      <c r="C1222" s="57" t="s">
        <v>36</v>
      </c>
      <c r="D1222" s="57" t="s">
        <v>48</v>
      </c>
      <c r="E1222" s="57" t="s">
        <v>25</v>
      </c>
      <c r="F1222" s="57" t="s">
        <v>25</v>
      </c>
      <c r="G1222" s="57" t="s">
        <v>25</v>
      </c>
      <c r="H1222" s="57" t="s">
        <v>25</v>
      </c>
      <c r="I1222" s="82">
        <v>44287</v>
      </c>
      <c r="J1222" s="83">
        <f ca="1">EFEITO!$J$1222*EFEITO!$Y$1222</f>
        <v>17561.853029451413</v>
      </c>
      <c r="K1222" s="83">
        <f>EFEITO!$L$1222*EFEITO!$Z$1222</f>
        <v>0</v>
      </c>
      <c r="L1222" s="83">
        <f>EFEITO!$N$1222*EFEITO!$AA$1222</f>
        <v>0</v>
      </c>
      <c r="M1222" s="83">
        <f ca="1">$J$1222-EFEITO!$K$1222*EFEITO!$Y$1222</f>
        <v>0</v>
      </c>
      <c r="N1222" s="83">
        <f>$K$1222-EFEITO!$M$1222*EFEITO!$Z$1222</f>
        <v>0</v>
      </c>
      <c r="O1222" s="83">
        <f>$L$1222-EFEITO!$O$1222*EFEITO!$AA$1222</f>
        <v>0</v>
      </c>
      <c r="P1222" s="61"/>
      <c r="Q1222" s="61"/>
      <c r="R1222" s="61"/>
      <c r="S1222" s="61"/>
      <c r="T1222" s="61"/>
      <c r="U1222" s="61"/>
      <c r="V1222" s="61"/>
      <c r="W1222" s="61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</row>
    <row r="1223" spans="1:36" ht="11.25" customHeight="1" x14ac:dyDescent="0.2">
      <c r="A1223" s="57" t="s">
        <v>21</v>
      </c>
      <c r="B1223" s="57" t="s">
        <v>35</v>
      </c>
      <c r="C1223" s="57" t="s">
        <v>36</v>
      </c>
      <c r="D1223" s="57" t="s">
        <v>48</v>
      </c>
      <c r="E1223" s="57" t="s">
        <v>25</v>
      </c>
      <c r="F1223" s="57" t="s">
        <v>25</v>
      </c>
      <c r="G1223" s="57" t="s">
        <v>25</v>
      </c>
      <c r="H1223" s="57" t="s">
        <v>25</v>
      </c>
      <c r="I1223" s="82">
        <v>44317</v>
      </c>
      <c r="J1223" s="83">
        <f ca="1">EFEITO!$J$1223*EFEITO!$Y$1223</f>
        <v>3205293.6230098563</v>
      </c>
      <c r="K1223" s="83">
        <f>EFEITO!$L$1223*EFEITO!$Z$1223</f>
        <v>0</v>
      </c>
      <c r="L1223" s="83">
        <f>EFEITO!$N$1223*EFEITO!$AA$1223</f>
        <v>0</v>
      </c>
      <c r="M1223" s="83">
        <f ca="1">$J$1223-EFEITO!$K$1223*EFEITO!$Y$1223</f>
        <v>0</v>
      </c>
      <c r="N1223" s="83">
        <f>$K$1223-EFEITO!$M$1223*EFEITO!$Z$1223</f>
        <v>0</v>
      </c>
      <c r="O1223" s="83">
        <f>$L$1223-EFEITO!$O$1223*EFEITO!$AA$1223</f>
        <v>0</v>
      </c>
      <c r="P1223" s="61"/>
      <c r="Q1223" s="61"/>
      <c r="R1223" s="61"/>
      <c r="S1223" s="61"/>
      <c r="T1223" s="61"/>
      <c r="U1223" s="61"/>
      <c r="V1223" s="61"/>
      <c r="W1223" s="61"/>
      <c r="X1223" s="6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</row>
    <row r="1224" spans="1:36" ht="11.25" customHeight="1" x14ac:dyDescent="0.2">
      <c r="A1224" s="57" t="s">
        <v>27</v>
      </c>
      <c r="B1224" s="57" t="s">
        <v>35</v>
      </c>
      <c r="C1224" s="57" t="s">
        <v>36</v>
      </c>
      <c r="D1224" s="57" t="s">
        <v>48</v>
      </c>
      <c r="E1224" s="57" t="s">
        <v>25</v>
      </c>
      <c r="F1224" s="57" t="s">
        <v>25</v>
      </c>
      <c r="G1224" s="57" t="s">
        <v>25</v>
      </c>
      <c r="H1224" s="57" t="s">
        <v>25</v>
      </c>
      <c r="I1224" s="82">
        <v>44317</v>
      </c>
      <c r="J1224" s="83">
        <f ca="1">EFEITO!$J$1224*EFEITO!$Y$1224</f>
        <v>27875.450354020151</v>
      </c>
      <c r="K1224" s="83">
        <f>EFEITO!$L$1224*EFEITO!$Z$1224</f>
        <v>0</v>
      </c>
      <c r="L1224" s="83">
        <f>EFEITO!$N$1224*EFEITO!$AA$1224</f>
        <v>0</v>
      </c>
      <c r="M1224" s="83">
        <f ca="1">$J$1224-EFEITO!$K$1224*EFEITO!$Y$1224</f>
        <v>0</v>
      </c>
      <c r="N1224" s="83">
        <f>$K$1224-EFEITO!$M$1224*EFEITO!$Z$1224</f>
        <v>0</v>
      </c>
      <c r="O1224" s="83">
        <f>$L$1224-EFEITO!$O$1224*EFEITO!$AA$1224</f>
        <v>0</v>
      </c>
      <c r="P1224" s="61"/>
      <c r="Q1224" s="61"/>
      <c r="R1224" s="61"/>
      <c r="S1224" s="61"/>
      <c r="T1224" s="61"/>
      <c r="U1224" s="61"/>
      <c r="V1224" s="61"/>
      <c r="W1224" s="61"/>
      <c r="X1224" s="6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</row>
    <row r="1225" spans="1:36" ht="11.25" customHeight="1" x14ac:dyDescent="0.2">
      <c r="A1225" s="57" t="s">
        <v>28</v>
      </c>
      <c r="B1225" s="57" t="s">
        <v>35</v>
      </c>
      <c r="C1225" s="57" t="s">
        <v>36</v>
      </c>
      <c r="D1225" s="57" t="s">
        <v>48</v>
      </c>
      <c r="E1225" s="57" t="s">
        <v>25</v>
      </c>
      <c r="F1225" s="57" t="s">
        <v>25</v>
      </c>
      <c r="G1225" s="57" t="s">
        <v>25</v>
      </c>
      <c r="H1225" s="57" t="s">
        <v>25</v>
      </c>
      <c r="I1225" s="82">
        <v>44317</v>
      </c>
      <c r="J1225" s="83">
        <f ca="1">EFEITO!$J$1225*EFEITO!$Y$1225</f>
        <v>892142.13389613177</v>
      </c>
      <c r="K1225" s="83">
        <f>EFEITO!$L$1225*EFEITO!$Z$1225</f>
        <v>0</v>
      </c>
      <c r="L1225" s="83">
        <f>EFEITO!$N$1225*EFEITO!$AA$1225</f>
        <v>0</v>
      </c>
      <c r="M1225" s="83">
        <f ca="1">$J$1225-EFEITO!$K$1225*EFEITO!$Y$1225</f>
        <v>0</v>
      </c>
      <c r="N1225" s="83">
        <f>$K$1225-EFEITO!$M$1225*EFEITO!$Z$1225</f>
        <v>0</v>
      </c>
      <c r="O1225" s="83">
        <f>$L$1225-EFEITO!$O$1225*EFEITO!$AA$1225</f>
        <v>0</v>
      </c>
      <c r="P1225" s="61"/>
      <c r="Q1225" s="61"/>
      <c r="R1225" s="61"/>
      <c r="S1225" s="61"/>
      <c r="T1225" s="61"/>
      <c r="U1225" s="61"/>
      <c r="V1225" s="61"/>
      <c r="W1225" s="61"/>
      <c r="X1225" s="6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</row>
    <row r="1226" spans="1:36" ht="11.25" customHeight="1" x14ac:dyDescent="0.2">
      <c r="A1226" s="57" t="s">
        <v>29</v>
      </c>
      <c r="B1226" s="57" t="s">
        <v>35</v>
      </c>
      <c r="C1226" s="57" t="s">
        <v>36</v>
      </c>
      <c r="D1226" s="57" t="s">
        <v>48</v>
      </c>
      <c r="E1226" s="57" t="s">
        <v>25</v>
      </c>
      <c r="F1226" s="57" t="s">
        <v>25</v>
      </c>
      <c r="G1226" s="57" t="s">
        <v>25</v>
      </c>
      <c r="H1226" s="57" t="s">
        <v>25</v>
      </c>
      <c r="I1226" s="82">
        <v>44317</v>
      </c>
      <c r="J1226" s="83">
        <f ca="1">EFEITO!$J$1226*EFEITO!$Y$1226</f>
        <v>-31643.266094884271</v>
      </c>
      <c r="K1226" s="83">
        <f>EFEITO!$L$1226*EFEITO!$Z$1226</f>
        <v>0</v>
      </c>
      <c r="L1226" s="83">
        <f>EFEITO!$N$1226*EFEITO!$AA$1226</f>
        <v>0</v>
      </c>
      <c r="M1226" s="83">
        <f ca="1">$J$1226-EFEITO!$K$1226*EFEITO!$Y$1226</f>
        <v>0</v>
      </c>
      <c r="N1226" s="83">
        <f>$K$1226-EFEITO!$M$1226*EFEITO!$Z$1226</f>
        <v>0</v>
      </c>
      <c r="O1226" s="83">
        <f>$L$1226-EFEITO!$O$1226*EFEITO!$AA$1226</f>
        <v>0</v>
      </c>
      <c r="P1226" s="61"/>
      <c r="Q1226" s="61"/>
      <c r="R1226" s="61"/>
      <c r="S1226" s="61"/>
      <c r="T1226" s="61"/>
      <c r="U1226" s="61"/>
      <c r="V1226" s="61"/>
      <c r="W1226" s="61"/>
      <c r="X1226" s="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</row>
    <row r="1227" spans="1:36" ht="11.25" customHeight="1" x14ac:dyDescent="0.2">
      <c r="A1227" s="57" t="s">
        <v>30</v>
      </c>
      <c r="B1227" s="57" t="s">
        <v>35</v>
      </c>
      <c r="C1227" s="57" t="s">
        <v>36</v>
      </c>
      <c r="D1227" s="57" t="s">
        <v>48</v>
      </c>
      <c r="E1227" s="57" t="s">
        <v>25</v>
      </c>
      <c r="F1227" s="57" t="s">
        <v>25</v>
      </c>
      <c r="G1227" s="57" t="s">
        <v>25</v>
      </c>
      <c r="H1227" s="57" t="s">
        <v>25</v>
      </c>
      <c r="I1227" s="82">
        <v>44317</v>
      </c>
      <c r="J1227" s="83">
        <f ca="1">EFEITO!$J$1227*EFEITO!$Y$1227</f>
        <v>22032.14289149359</v>
      </c>
      <c r="K1227" s="83">
        <f>EFEITO!$L$1227*EFEITO!$Z$1227</f>
        <v>0</v>
      </c>
      <c r="L1227" s="83">
        <f>EFEITO!$N$1227*EFEITO!$AA$1227</f>
        <v>0</v>
      </c>
      <c r="M1227" s="83">
        <f ca="1">$J$1227-EFEITO!$K$1227*EFEITO!$Y$1227</f>
        <v>0</v>
      </c>
      <c r="N1227" s="83">
        <f>$K$1227-EFEITO!$M$1227*EFEITO!$Z$1227</f>
        <v>0</v>
      </c>
      <c r="O1227" s="83">
        <f>$L$1227-EFEITO!$O$1227*EFEITO!$AA$1227</f>
        <v>0</v>
      </c>
      <c r="P1227" s="61"/>
      <c r="Q1227" s="61"/>
      <c r="R1227" s="61"/>
      <c r="S1227" s="61"/>
      <c r="T1227" s="61"/>
      <c r="U1227" s="61"/>
      <c r="V1227" s="61"/>
      <c r="W1227" s="61"/>
      <c r="X1227" s="6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</row>
    <row r="1228" spans="1:36" ht="11.25" customHeight="1" x14ac:dyDescent="0.2">
      <c r="A1228" s="57" t="s">
        <v>21</v>
      </c>
      <c r="B1228" s="57" t="s">
        <v>35</v>
      </c>
      <c r="C1228" s="57" t="s">
        <v>36</v>
      </c>
      <c r="D1228" s="57" t="s">
        <v>48</v>
      </c>
      <c r="E1228" s="57" t="s">
        <v>25</v>
      </c>
      <c r="F1228" s="57" t="s">
        <v>25</v>
      </c>
      <c r="G1228" s="57" t="s">
        <v>25</v>
      </c>
      <c r="H1228" s="57" t="s">
        <v>25</v>
      </c>
      <c r="I1228" s="82">
        <v>44348</v>
      </c>
      <c r="J1228" s="83">
        <f ca="1">EFEITO!$J$1228*EFEITO!$Y$1228</f>
        <v>3347768.147041515</v>
      </c>
      <c r="K1228" s="83">
        <f>EFEITO!$L$1228*EFEITO!$Z$1228</f>
        <v>0</v>
      </c>
      <c r="L1228" s="83">
        <f>EFEITO!$N$1228*EFEITO!$AA$1228</f>
        <v>0</v>
      </c>
      <c r="M1228" s="83">
        <f ca="1">$J$1228-EFEITO!$K$1228*EFEITO!$Y$1228</f>
        <v>0</v>
      </c>
      <c r="N1228" s="83">
        <f>$K$1228-EFEITO!$M$1228*EFEITO!$Z$1228</f>
        <v>0</v>
      </c>
      <c r="O1228" s="83">
        <f>$L$1228-EFEITO!$O$1228*EFEITO!$AA$1228</f>
        <v>0</v>
      </c>
      <c r="P1228" s="61"/>
      <c r="Q1228" s="61"/>
      <c r="R1228" s="61"/>
      <c r="S1228" s="61"/>
      <c r="T1228" s="61"/>
      <c r="U1228" s="61"/>
      <c r="V1228" s="61"/>
      <c r="W1228" s="61"/>
      <c r="X1228" s="6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</row>
    <row r="1229" spans="1:36" ht="11.25" customHeight="1" x14ac:dyDescent="0.2">
      <c r="A1229" s="57" t="s">
        <v>27</v>
      </c>
      <c r="B1229" s="57" t="s">
        <v>35</v>
      </c>
      <c r="C1229" s="57" t="s">
        <v>36</v>
      </c>
      <c r="D1229" s="57" t="s">
        <v>48</v>
      </c>
      <c r="E1229" s="57" t="s">
        <v>25</v>
      </c>
      <c r="F1229" s="57" t="s">
        <v>25</v>
      </c>
      <c r="G1229" s="57" t="s">
        <v>25</v>
      </c>
      <c r="H1229" s="57" t="s">
        <v>25</v>
      </c>
      <c r="I1229" s="82">
        <v>44348</v>
      </c>
      <c r="J1229" s="83">
        <f ca="1">EFEITO!$J$1229*EFEITO!$Y$1229</f>
        <v>-17753.436880681791</v>
      </c>
      <c r="K1229" s="83">
        <f>EFEITO!$L$1229*EFEITO!$Z$1229</f>
        <v>0</v>
      </c>
      <c r="L1229" s="83">
        <f>EFEITO!$N$1229*EFEITO!$AA$1229</f>
        <v>0</v>
      </c>
      <c r="M1229" s="83">
        <f ca="1">$J$1229-EFEITO!$K$1229*EFEITO!$Y$1229</f>
        <v>0</v>
      </c>
      <c r="N1229" s="83">
        <f>$K$1229-EFEITO!$M$1229*EFEITO!$Z$1229</f>
        <v>0</v>
      </c>
      <c r="O1229" s="83">
        <f>$L$1229-EFEITO!$O$1229*EFEITO!$AA$1229</f>
        <v>0</v>
      </c>
      <c r="P1229" s="61"/>
      <c r="Q1229" s="61"/>
      <c r="R1229" s="61"/>
      <c r="S1229" s="61"/>
      <c r="T1229" s="61"/>
      <c r="U1229" s="61"/>
      <c r="V1229" s="61"/>
      <c r="W1229" s="61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</row>
    <row r="1230" spans="1:36" ht="11.25" customHeight="1" x14ac:dyDescent="0.2">
      <c r="A1230" s="57" t="s">
        <v>28</v>
      </c>
      <c r="B1230" s="57" t="s">
        <v>35</v>
      </c>
      <c r="C1230" s="57" t="s">
        <v>36</v>
      </c>
      <c r="D1230" s="57" t="s">
        <v>48</v>
      </c>
      <c r="E1230" s="57" t="s">
        <v>25</v>
      </c>
      <c r="F1230" s="57" t="s">
        <v>25</v>
      </c>
      <c r="G1230" s="57" t="s">
        <v>25</v>
      </c>
      <c r="H1230" s="57" t="s">
        <v>25</v>
      </c>
      <c r="I1230" s="82">
        <v>44348</v>
      </c>
      <c r="J1230" s="83">
        <f ca="1">EFEITO!$J$1230*EFEITO!$Y$1230</f>
        <v>922156.93725555774</v>
      </c>
      <c r="K1230" s="83">
        <f>EFEITO!$L$1230*EFEITO!$Z$1230</f>
        <v>0</v>
      </c>
      <c r="L1230" s="83">
        <f>EFEITO!$N$1230*EFEITO!$AA$1230</f>
        <v>0</v>
      </c>
      <c r="M1230" s="83">
        <f ca="1">$J$1230-EFEITO!$K$1230*EFEITO!$Y$1230</f>
        <v>0</v>
      </c>
      <c r="N1230" s="83">
        <f>$K$1230-EFEITO!$M$1230*EFEITO!$Z$1230</f>
        <v>0</v>
      </c>
      <c r="O1230" s="83">
        <f>$L$1230-EFEITO!$O$1230*EFEITO!$AA$1230</f>
        <v>0</v>
      </c>
      <c r="P1230" s="61"/>
      <c r="Q1230" s="61"/>
      <c r="R1230" s="61"/>
      <c r="S1230" s="61"/>
      <c r="T1230" s="61"/>
      <c r="U1230" s="61"/>
      <c r="V1230" s="61"/>
      <c r="W1230" s="61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</row>
    <row r="1231" spans="1:36" ht="11.25" customHeight="1" x14ac:dyDescent="0.2">
      <c r="A1231" s="57" t="s">
        <v>29</v>
      </c>
      <c r="B1231" s="57" t="s">
        <v>35</v>
      </c>
      <c r="C1231" s="57" t="s">
        <v>36</v>
      </c>
      <c r="D1231" s="57" t="s">
        <v>48</v>
      </c>
      <c r="E1231" s="57" t="s">
        <v>25</v>
      </c>
      <c r="F1231" s="57" t="s">
        <v>25</v>
      </c>
      <c r="G1231" s="57" t="s">
        <v>25</v>
      </c>
      <c r="H1231" s="57" t="s">
        <v>25</v>
      </c>
      <c r="I1231" s="82">
        <v>44348</v>
      </c>
      <c r="J1231" s="83">
        <f ca="1">EFEITO!$J$1231*EFEITO!$Y$1231</f>
        <v>1341.0869586126532</v>
      </c>
      <c r="K1231" s="83">
        <f>EFEITO!$L$1231*EFEITO!$Z$1231</f>
        <v>0</v>
      </c>
      <c r="L1231" s="83">
        <f>EFEITO!$N$1231*EFEITO!$AA$1231</f>
        <v>0</v>
      </c>
      <c r="M1231" s="83">
        <f ca="1">$J$1231-EFEITO!$K$1231*EFEITO!$Y$1231</f>
        <v>0</v>
      </c>
      <c r="N1231" s="83">
        <f>$K$1231-EFEITO!$M$1231*EFEITO!$Z$1231</f>
        <v>0</v>
      </c>
      <c r="O1231" s="83">
        <f>$L$1231-EFEITO!$O$1231*EFEITO!$AA$1231</f>
        <v>0</v>
      </c>
      <c r="P1231" s="61"/>
      <c r="Q1231" s="61"/>
      <c r="R1231" s="61"/>
      <c r="S1231" s="61"/>
      <c r="T1231" s="61"/>
      <c r="U1231" s="61"/>
      <c r="V1231" s="61"/>
      <c r="W1231" s="61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</row>
    <row r="1232" spans="1:36" ht="11.25" customHeight="1" x14ac:dyDescent="0.2">
      <c r="A1232" s="57" t="s">
        <v>30</v>
      </c>
      <c r="B1232" s="57" t="s">
        <v>35</v>
      </c>
      <c r="C1232" s="57" t="s">
        <v>36</v>
      </c>
      <c r="D1232" s="57" t="s">
        <v>48</v>
      </c>
      <c r="E1232" s="57" t="s">
        <v>25</v>
      </c>
      <c r="F1232" s="57" t="s">
        <v>25</v>
      </c>
      <c r="G1232" s="57" t="s">
        <v>25</v>
      </c>
      <c r="H1232" s="57" t="s">
        <v>25</v>
      </c>
      <c r="I1232" s="82">
        <v>44348</v>
      </c>
      <c r="J1232" s="83">
        <f ca="1">EFEITO!$J$1232*EFEITO!$Y$1232</f>
        <v>22032.14289149359</v>
      </c>
      <c r="K1232" s="83">
        <f>EFEITO!$L$1232*EFEITO!$Z$1232</f>
        <v>0</v>
      </c>
      <c r="L1232" s="83">
        <f>EFEITO!$N$1232*EFEITO!$AA$1232</f>
        <v>0</v>
      </c>
      <c r="M1232" s="83">
        <f ca="1">$J$1232-EFEITO!$K$1232*EFEITO!$Y$1232</f>
        <v>0</v>
      </c>
      <c r="N1232" s="83">
        <f>$K$1232-EFEITO!$M$1232*EFEITO!$Z$1232</f>
        <v>0</v>
      </c>
      <c r="O1232" s="83">
        <f>$L$1232-EFEITO!$O$1232*EFEITO!$AA$1232</f>
        <v>0</v>
      </c>
      <c r="P1232" s="61"/>
      <c r="Q1232" s="61"/>
      <c r="R1232" s="61"/>
      <c r="S1232" s="61"/>
      <c r="T1232" s="61"/>
      <c r="U1232" s="61"/>
      <c r="V1232" s="61"/>
      <c r="W1232" s="61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</row>
    <row r="1233" spans="1:36" ht="11.25" customHeight="1" x14ac:dyDescent="0.2">
      <c r="A1233" s="57" t="s">
        <v>21</v>
      </c>
      <c r="B1233" s="57" t="s">
        <v>35</v>
      </c>
      <c r="C1233" s="57" t="s">
        <v>36</v>
      </c>
      <c r="D1233" s="57" t="s">
        <v>48</v>
      </c>
      <c r="E1233" s="57" t="s">
        <v>25</v>
      </c>
      <c r="F1233" s="57" t="s">
        <v>25</v>
      </c>
      <c r="G1233" s="57" t="s">
        <v>25</v>
      </c>
      <c r="H1233" s="57" t="s">
        <v>25</v>
      </c>
      <c r="I1233" s="82">
        <v>44378</v>
      </c>
      <c r="J1233" s="83">
        <f ca="1">EFEITO!$J$1233*EFEITO!$Y$1233</f>
        <v>3368746.5787512418</v>
      </c>
      <c r="K1233" s="83">
        <f>EFEITO!$L$1233*EFEITO!$Z$1233</f>
        <v>0</v>
      </c>
      <c r="L1233" s="83">
        <f>EFEITO!$N$1233*EFEITO!$AA$1233</f>
        <v>0</v>
      </c>
      <c r="M1233" s="83">
        <f ca="1">$J$1233-EFEITO!$K$1233*EFEITO!$Y$1233</f>
        <v>0</v>
      </c>
      <c r="N1233" s="83">
        <f>$K$1233-EFEITO!$M$1233*EFEITO!$Z$1233</f>
        <v>0</v>
      </c>
      <c r="O1233" s="83">
        <f>$L$1233-EFEITO!$O$1233*EFEITO!$AA$1233</f>
        <v>0</v>
      </c>
      <c r="P1233" s="61"/>
      <c r="Q1233" s="61"/>
      <c r="R1233" s="61"/>
      <c r="S1233" s="61"/>
      <c r="T1233" s="61"/>
      <c r="U1233" s="61"/>
      <c r="V1233" s="61"/>
      <c r="W1233" s="61"/>
      <c r="X1233" s="6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</row>
    <row r="1234" spans="1:36" ht="11.25" customHeight="1" x14ac:dyDescent="0.2">
      <c r="A1234" s="57" t="s">
        <v>27</v>
      </c>
      <c r="B1234" s="57" t="s">
        <v>35</v>
      </c>
      <c r="C1234" s="57" t="s">
        <v>36</v>
      </c>
      <c r="D1234" s="57" t="s">
        <v>48</v>
      </c>
      <c r="E1234" s="57" t="s">
        <v>25</v>
      </c>
      <c r="F1234" s="57" t="s">
        <v>25</v>
      </c>
      <c r="G1234" s="57" t="s">
        <v>25</v>
      </c>
      <c r="H1234" s="57" t="s">
        <v>25</v>
      </c>
      <c r="I1234" s="82">
        <v>44378</v>
      </c>
      <c r="J1234" s="83">
        <f ca="1">EFEITO!$J$1234*EFEITO!$Y$1234</f>
        <v>-3863.6076664793104</v>
      </c>
      <c r="K1234" s="83">
        <f>EFEITO!$L$1234*EFEITO!$Z$1234</f>
        <v>0</v>
      </c>
      <c r="L1234" s="83">
        <f>EFEITO!$N$1234*EFEITO!$AA$1234</f>
        <v>0</v>
      </c>
      <c r="M1234" s="83">
        <f ca="1">$J$1234-EFEITO!$K$1234*EFEITO!$Y$1234</f>
        <v>0</v>
      </c>
      <c r="N1234" s="83">
        <f>$K$1234-EFEITO!$M$1234*EFEITO!$Z$1234</f>
        <v>0</v>
      </c>
      <c r="O1234" s="83">
        <f>$L$1234-EFEITO!$O$1234*EFEITO!$AA$1234</f>
        <v>0</v>
      </c>
      <c r="P1234" s="61"/>
      <c r="Q1234" s="61"/>
      <c r="R1234" s="61"/>
      <c r="S1234" s="61"/>
      <c r="T1234" s="61"/>
      <c r="U1234" s="61"/>
      <c r="V1234" s="61"/>
      <c r="W1234" s="61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</row>
    <row r="1235" spans="1:36" ht="11.25" customHeight="1" x14ac:dyDescent="0.2">
      <c r="A1235" s="57" t="s">
        <v>28</v>
      </c>
      <c r="B1235" s="57" t="s">
        <v>35</v>
      </c>
      <c r="C1235" s="57" t="s">
        <v>36</v>
      </c>
      <c r="D1235" s="57" t="s">
        <v>48</v>
      </c>
      <c r="E1235" s="57" t="s">
        <v>25</v>
      </c>
      <c r="F1235" s="57" t="s">
        <v>25</v>
      </c>
      <c r="G1235" s="57" t="s">
        <v>25</v>
      </c>
      <c r="H1235" s="57" t="s">
        <v>25</v>
      </c>
      <c r="I1235" s="82">
        <v>44378</v>
      </c>
      <c r="J1235" s="83">
        <f ca="1">EFEITO!$J$1235*EFEITO!$Y$1235</f>
        <v>933173.00870130456</v>
      </c>
      <c r="K1235" s="83">
        <f>EFEITO!$L$1235*EFEITO!$Z$1235</f>
        <v>0</v>
      </c>
      <c r="L1235" s="83">
        <f>EFEITO!$N$1235*EFEITO!$AA$1235</f>
        <v>0</v>
      </c>
      <c r="M1235" s="83">
        <f ca="1">$J$1235-EFEITO!$K$1235*EFEITO!$Y$1235</f>
        <v>0</v>
      </c>
      <c r="N1235" s="83">
        <f>$K$1235-EFEITO!$M$1235*EFEITO!$Z$1235</f>
        <v>0</v>
      </c>
      <c r="O1235" s="83">
        <f>$L$1235-EFEITO!$O$1235*EFEITO!$AA$1235</f>
        <v>0</v>
      </c>
      <c r="P1235" s="61"/>
      <c r="Q1235" s="61"/>
      <c r="R1235" s="61"/>
      <c r="S1235" s="61"/>
      <c r="T1235" s="61"/>
      <c r="U1235" s="61"/>
      <c r="V1235" s="61"/>
      <c r="W1235" s="61"/>
      <c r="X1235" s="6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</row>
    <row r="1236" spans="1:36" ht="11.25" customHeight="1" x14ac:dyDescent="0.2">
      <c r="A1236" s="57" t="s">
        <v>30</v>
      </c>
      <c r="B1236" s="57" t="s">
        <v>35</v>
      </c>
      <c r="C1236" s="57" t="s">
        <v>36</v>
      </c>
      <c r="D1236" s="57" t="s">
        <v>48</v>
      </c>
      <c r="E1236" s="57" t="s">
        <v>25</v>
      </c>
      <c r="F1236" s="57" t="s">
        <v>25</v>
      </c>
      <c r="G1236" s="57" t="s">
        <v>25</v>
      </c>
      <c r="H1236" s="57" t="s">
        <v>25</v>
      </c>
      <c r="I1236" s="82">
        <v>44378</v>
      </c>
      <c r="J1236" s="83">
        <f ca="1">EFEITO!$J$1236*EFEITO!$Y$1236</f>
        <v>22032.14289149359</v>
      </c>
      <c r="K1236" s="83">
        <f>EFEITO!$L$1236*EFEITO!$Z$1236</f>
        <v>0</v>
      </c>
      <c r="L1236" s="83">
        <f>EFEITO!$N$1236*EFEITO!$AA$1236</f>
        <v>0</v>
      </c>
      <c r="M1236" s="83">
        <f ca="1">$J$1236-EFEITO!$K$1236*EFEITO!$Y$1236</f>
        <v>0</v>
      </c>
      <c r="N1236" s="83">
        <f>$K$1236-EFEITO!$M$1236*EFEITO!$Z$1236</f>
        <v>0</v>
      </c>
      <c r="O1236" s="83">
        <f>$L$1236-EFEITO!$O$1236*EFEITO!$AA$1236</f>
        <v>0</v>
      </c>
      <c r="P1236" s="61"/>
      <c r="Q1236" s="61"/>
      <c r="R1236" s="61"/>
      <c r="S1236" s="61"/>
      <c r="T1236" s="61"/>
      <c r="U1236" s="61"/>
      <c r="V1236" s="61"/>
      <c r="W1236" s="61"/>
      <c r="X1236" s="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</row>
    <row r="1237" spans="1:36" ht="11.25" customHeight="1" x14ac:dyDescent="0.2">
      <c r="A1237" s="57" t="s">
        <v>21</v>
      </c>
      <c r="B1237" s="57" t="s">
        <v>35</v>
      </c>
      <c r="C1237" s="57" t="s">
        <v>36</v>
      </c>
      <c r="D1237" s="57" t="s">
        <v>48</v>
      </c>
      <c r="E1237" s="57" t="s">
        <v>25</v>
      </c>
      <c r="F1237" s="57" t="s">
        <v>25</v>
      </c>
      <c r="G1237" s="57" t="s">
        <v>25</v>
      </c>
      <c r="H1237" s="57" t="s">
        <v>25</v>
      </c>
      <c r="I1237" s="82">
        <v>44409</v>
      </c>
      <c r="J1237" s="83">
        <f ca="1">EFEITO!$J$1237*EFEITO!$Y$1237</f>
        <v>3193670.8693685466</v>
      </c>
      <c r="K1237" s="83">
        <f>EFEITO!$L$1237*EFEITO!$Z$1237</f>
        <v>0</v>
      </c>
      <c r="L1237" s="83">
        <f>EFEITO!$N$1237*EFEITO!$AA$1237</f>
        <v>0</v>
      </c>
      <c r="M1237" s="83">
        <f ca="1">$J$1237-EFEITO!$K$1237*EFEITO!$Y$1237</f>
        <v>0</v>
      </c>
      <c r="N1237" s="83">
        <f>$K$1237-EFEITO!$M$1237*EFEITO!$Z$1237</f>
        <v>0</v>
      </c>
      <c r="O1237" s="83">
        <f>$L$1237-EFEITO!$O$1237*EFEITO!$AA$1237</f>
        <v>0</v>
      </c>
      <c r="P1237" s="61"/>
      <c r="Q1237" s="61"/>
      <c r="R1237" s="61"/>
      <c r="S1237" s="61"/>
      <c r="T1237" s="61"/>
      <c r="U1237" s="61"/>
      <c r="V1237" s="61"/>
      <c r="W1237" s="61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</row>
    <row r="1238" spans="1:36" ht="11.25" customHeight="1" x14ac:dyDescent="0.2">
      <c r="A1238" s="57" t="s">
        <v>27</v>
      </c>
      <c r="B1238" s="57" t="s">
        <v>35</v>
      </c>
      <c r="C1238" s="57" t="s">
        <v>36</v>
      </c>
      <c r="D1238" s="57" t="s">
        <v>48</v>
      </c>
      <c r="E1238" s="57" t="s">
        <v>25</v>
      </c>
      <c r="F1238" s="57" t="s">
        <v>25</v>
      </c>
      <c r="G1238" s="57" t="s">
        <v>25</v>
      </c>
      <c r="H1238" s="57" t="s">
        <v>25</v>
      </c>
      <c r="I1238" s="82">
        <v>44409</v>
      </c>
      <c r="J1238" s="83">
        <f ca="1">EFEITO!$J$1238*EFEITO!$Y$1238</f>
        <v>-1468043.1906946511</v>
      </c>
      <c r="K1238" s="83">
        <f>EFEITO!$L$1238*EFEITO!$Z$1238</f>
        <v>0</v>
      </c>
      <c r="L1238" s="83">
        <f>EFEITO!$N$1238*EFEITO!$AA$1238</f>
        <v>0</v>
      </c>
      <c r="M1238" s="83">
        <f ca="1">$J$1238-EFEITO!$K$1238*EFEITO!$Y$1238</f>
        <v>0</v>
      </c>
      <c r="N1238" s="83">
        <f>$K$1238-EFEITO!$M$1238*EFEITO!$Z$1238</f>
        <v>0</v>
      </c>
      <c r="O1238" s="83">
        <f>$L$1238-EFEITO!$O$1238*EFEITO!$AA$1238</f>
        <v>0</v>
      </c>
      <c r="P1238" s="61"/>
      <c r="Q1238" s="61"/>
      <c r="R1238" s="61"/>
      <c r="S1238" s="61"/>
      <c r="T1238" s="61"/>
      <c r="U1238" s="61"/>
      <c r="V1238" s="61"/>
      <c r="W1238" s="61"/>
      <c r="X1238" s="6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</row>
    <row r="1239" spans="1:36" ht="11.25" customHeight="1" x14ac:dyDescent="0.2">
      <c r="A1239" s="57" t="s">
        <v>28</v>
      </c>
      <c r="B1239" s="57" t="s">
        <v>35</v>
      </c>
      <c r="C1239" s="57" t="s">
        <v>36</v>
      </c>
      <c r="D1239" s="57" t="s">
        <v>48</v>
      </c>
      <c r="E1239" s="57" t="s">
        <v>25</v>
      </c>
      <c r="F1239" s="57" t="s">
        <v>25</v>
      </c>
      <c r="G1239" s="57" t="s">
        <v>25</v>
      </c>
      <c r="H1239" s="57" t="s">
        <v>25</v>
      </c>
      <c r="I1239" s="82">
        <v>44409</v>
      </c>
      <c r="J1239" s="83">
        <f ca="1">EFEITO!$J$1239*EFEITO!$Y$1239</f>
        <v>803119.5043577489</v>
      </c>
      <c r="K1239" s="83">
        <f>EFEITO!$L$1239*EFEITO!$Z$1239</f>
        <v>0</v>
      </c>
      <c r="L1239" s="83">
        <f>EFEITO!$N$1239*EFEITO!$AA$1239</f>
        <v>0</v>
      </c>
      <c r="M1239" s="83">
        <f ca="1">$J$1239-EFEITO!$K$1239*EFEITO!$Y$1239</f>
        <v>0</v>
      </c>
      <c r="N1239" s="83">
        <f>$K$1239-EFEITO!$M$1239*EFEITO!$Z$1239</f>
        <v>0</v>
      </c>
      <c r="O1239" s="83">
        <f>$L$1239-EFEITO!$O$1239*EFEITO!$AA$1239</f>
        <v>0</v>
      </c>
      <c r="P1239" s="61"/>
      <c r="Q1239" s="61"/>
      <c r="R1239" s="61"/>
      <c r="S1239" s="61"/>
      <c r="T1239" s="61"/>
      <c r="U1239" s="61"/>
      <c r="V1239" s="61"/>
      <c r="W1239" s="61"/>
      <c r="X1239" s="6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</row>
    <row r="1240" spans="1:36" ht="11.25" customHeight="1" x14ac:dyDescent="0.2">
      <c r="A1240" s="57" t="s">
        <v>29</v>
      </c>
      <c r="B1240" s="57" t="s">
        <v>35</v>
      </c>
      <c r="C1240" s="57" t="s">
        <v>36</v>
      </c>
      <c r="D1240" s="57" t="s">
        <v>48</v>
      </c>
      <c r="E1240" s="57" t="s">
        <v>25</v>
      </c>
      <c r="F1240" s="57" t="s">
        <v>25</v>
      </c>
      <c r="G1240" s="57" t="s">
        <v>25</v>
      </c>
      <c r="H1240" s="57" t="s">
        <v>25</v>
      </c>
      <c r="I1240" s="82">
        <v>44409</v>
      </c>
      <c r="J1240" s="83">
        <f ca="1">EFEITO!$J$1240*EFEITO!$Y$1240</f>
        <v>-7407.9089142413231</v>
      </c>
      <c r="K1240" s="83">
        <f>EFEITO!$L$1240*EFEITO!$Z$1240</f>
        <v>0</v>
      </c>
      <c r="L1240" s="83">
        <f>EFEITO!$N$1240*EFEITO!$AA$1240</f>
        <v>0</v>
      </c>
      <c r="M1240" s="83">
        <f ca="1">$J$1240-EFEITO!$K$1240*EFEITO!$Y$1240</f>
        <v>0</v>
      </c>
      <c r="N1240" s="83">
        <f>$K$1240-EFEITO!$M$1240*EFEITO!$Z$1240</f>
        <v>0</v>
      </c>
      <c r="O1240" s="83">
        <f>$L$1240-EFEITO!$O$1240*EFEITO!$AA$1240</f>
        <v>0</v>
      </c>
      <c r="P1240" s="61"/>
      <c r="Q1240" s="61"/>
      <c r="R1240" s="61"/>
      <c r="S1240" s="61"/>
      <c r="T1240" s="61"/>
      <c r="U1240" s="61"/>
      <c r="V1240" s="61"/>
      <c r="W1240" s="61"/>
      <c r="X1240" s="6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</row>
    <row r="1241" spans="1:36" ht="11.25" customHeight="1" x14ac:dyDescent="0.2">
      <c r="A1241" s="57" t="s">
        <v>30</v>
      </c>
      <c r="B1241" s="57" t="s">
        <v>35</v>
      </c>
      <c r="C1241" s="57" t="s">
        <v>36</v>
      </c>
      <c r="D1241" s="57" t="s">
        <v>48</v>
      </c>
      <c r="E1241" s="57" t="s">
        <v>25</v>
      </c>
      <c r="F1241" s="57" t="s">
        <v>25</v>
      </c>
      <c r="G1241" s="57" t="s">
        <v>25</v>
      </c>
      <c r="H1241" s="57" t="s">
        <v>25</v>
      </c>
      <c r="I1241" s="82">
        <v>44409</v>
      </c>
      <c r="J1241" s="83">
        <f ca="1">EFEITO!$J$1241*EFEITO!$Y$1241</f>
        <v>4470.2898620421774</v>
      </c>
      <c r="K1241" s="83">
        <f>EFEITO!$L$1241*EFEITO!$Z$1241</f>
        <v>0</v>
      </c>
      <c r="L1241" s="83">
        <f>EFEITO!$N$1241*EFEITO!$AA$1241</f>
        <v>0</v>
      </c>
      <c r="M1241" s="83">
        <f ca="1">$J$1241-EFEITO!$K$1241*EFEITO!$Y$1241</f>
        <v>0</v>
      </c>
      <c r="N1241" s="83">
        <f>$K$1241-EFEITO!$M$1241*EFEITO!$Z$1241</f>
        <v>0</v>
      </c>
      <c r="O1241" s="83">
        <f>$L$1241-EFEITO!$O$1241*EFEITO!$AA$1241</f>
        <v>0</v>
      </c>
      <c r="P1241" s="61"/>
      <c r="Q1241" s="61"/>
      <c r="R1241" s="61"/>
      <c r="S1241" s="61"/>
      <c r="T1241" s="61"/>
      <c r="U1241" s="61"/>
      <c r="V1241" s="61"/>
      <c r="W1241" s="61"/>
      <c r="X1241" s="6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</row>
    <row r="1242" spans="1:36" ht="11.25" customHeight="1" x14ac:dyDescent="0.2">
      <c r="A1242" s="57" t="s">
        <v>21</v>
      </c>
      <c r="B1242" s="57" t="s">
        <v>35</v>
      </c>
      <c r="C1242" s="57" t="s">
        <v>36</v>
      </c>
      <c r="D1242" s="57" t="s">
        <v>48</v>
      </c>
      <c r="E1242" s="57" t="s">
        <v>25</v>
      </c>
      <c r="F1242" s="57" t="s">
        <v>25</v>
      </c>
      <c r="G1242" s="57" t="s">
        <v>25</v>
      </c>
      <c r="H1242" s="57" t="s">
        <v>25</v>
      </c>
      <c r="I1242" s="82">
        <v>44440</v>
      </c>
      <c r="J1242" s="83">
        <f ca="1">EFEITO!$J$1242*EFEITO!$Y$1242</f>
        <v>3207337.1840896471</v>
      </c>
      <c r="K1242" s="83">
        <f>EFEITO!$L$1242*EFEITO!$Z$1242</f>
        <v>0</v>
      </c>
      <c r="L1242" s="83">
        <f>EFEITO!$N$1242*EFEITO!$AA$1242</f>
        <v>0</v>
      </c>
      <c r="M1242" s="83">
        <f ca="1">$J$1242-EFEITO!$K$1242*EFEITO!$Y$1242</f>
        <v>0</v>
      </c>
      <c r="N1242" s="83">
        <f>$K$1242-EFEITO!$M$1242*EFEITO!$Z$1242</f>
        <v>0</v>
      </c>
      <c r="O1242" s="83">
        <f>$L$1242-EFEITO!$O$1242*EFEITO!$AA$1242</f>
        <v>0</v>
      </c>
      <c r="P1242" s="61"/>
      <c r="Q1242" s="61"/>
      <c r="R1242" s="61"/>
      <c r="S1242" s="61"/>
      <c r="T1242" s="61"/>
      <c r="U1242" s="61"/>
      <c r="V1242" s="61"/>
      <c r="W1242" s="61"/>
      <c r="X1242" s="6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</row>
    <row r="1243" spans="1:36" ht="11.25" customHeight="1" x14ac:dyDescent="0.2">
      <c r="A1243" s="57" t="s">
        <v>28</v>
      </c>
      <c r="B1243" s="57" t="s">
        <v>35</v>
      </c>
      <c r="C1243" s="57" t="s">
        <v>36</v>
      </c>
      <c r="D1243" s="57" t="s">
        <v>48</v>
      </c>
      <c r="E1243" s="57" t="s">
        <v>25</v>
      </c>
      <c r="F1243" s="57" t="s">
        <v>25</v>
      </c>
      <c r="G1243" s="57" t="s">
        <v>25</v>
      </c>
      <c r="H1243" s="57" t="s">
        <v>25</v>
      </c>
      <c r="I1243" s="82">
        <v>44440</v>
      </c>
      <c r="J1243" s="83">
        <f ca="1">EFEITO!$J$1243*EFEITO!$Y$1243</f>
        <v>817520.22384189907</v>
      </c>
      <c r="K1243" s="83">
        <f>EFEITO!$L$1243*EFEITO!$Z$1243</f>
        <v>0</v>
      </c>
      <c r="L1243" s="83">
        <f>EFEITO!$N$1243*EFEITO!$AA$1243</f>
        <v>0</v>
      </c>
      <c r="M1243" s="83">
        <f ca="1">$J$1243-EFEITO!$K$1243*EFEITO!$Y$1243</f>
        <v>0</v>
      </c>
      <c r="N1243" s="83">
        <f>$K$1243-EFEITO!$M$1243*EFEITO!$Z$1243</f>
        <v>0</v>
      </c>
      <c r="O1243" s="83">
        <f>$L$1243-EFEITO!$O$1243*EFEITO!$AA$1243</f>
        <v>0</v>
      </c>
      <c r="P1243" s="61"/>
      <c r="Q1243" s="61"/>
      <c r="R1243" s="61"/>
      <c r="S1243" s="61"/>
      <c r="T1243" s="61"/>
      <c r="U1243" s="61"/>
      <c r="V1243" s="61"/>
      <c r="W1243" s="61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</row>
    <row r="1244" spans="1:36" ht="11.25" customHeight="1" x14ac:dyDescent="0.2">
      <c r="A1244" s="57" t="s">
        <v>30</v>
      </c>
      <c r="B1244" s="57" t="s">
        <v>35</v>
      </c>
      <c r="C1244" s="57" t="s">
        <v>36</v>
      </c>
      <c r="D1244" s="57" t="s">
        <v>48</v>
      </c>
      <c r="E1244" s="57" t="s">
        <v>25</v>
      </c>
      <c r="F1244" s="57" t="s">
        <v>25</v>
      </c>
      <c r="G1244" s="57" t="s">
        <v>25</v>
      </c>
      <c r="H1244" s="57" t="s">
        <v>25</v>
      </c>
      <c r="I1244" s="82">
        <v>44440</v>
      </c>
      <c r="J1244" s="83">
        <f ca="1">EFEITO!$J$1244*EFEITO!$Y$1244</f>
        <v>3991.33023396623</v>
      </c>
      <c r="K1244" s="83">
        <f>EFEITO!$L$1244*EFEITO!$Z$1244</f>
        <v>0</v>
      </c>
      <c r="L1244" s="83">
        <f>EFEITO!$N$1244*EFEITO!$AA$1244</f>
        <v>0</v>
      </c>
      <c r="M1244" s="83">
        <f ca="1">$J$1244-EFEITO!$K$1244*EFEITO!$Y$1244</f>
        <v>0</v>
      </c>
      <c r="N1244" s="83">
        <f>$K$1244-EFEITO!$M$1244*EFEITO!$Z$1244</f>
        <v>0</v>
      </c>
      <c r="O1244" s="83">
        <f>$L$1244-EFEITO!$O$1244*EFEITO!$AA$1244</f>
        <v>0</v>
      </c>
      <c r="P1244" s="61"/>
      <c r="Q1244" s="61"/>
      <c r="R1244" s="61"/>
      <c r="S1244" s="61"/>
      <c r="T1244" s="61"/>
      <c r="U1244" s="61"/>
      <c r="V1244" s="61"/>
      <c r="W1244" s="61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</row>
    <row r="1245" spans="1:36" ht="11.25" customHeight="1" x14ac:dyDescent="0.2">
      <c r="A1245" s="57" t="s">
        <v>59</v>
      </c>
      <c r="B1245" s="57" t="s">
        <v>35</v>
      </c>
      <c r="C1245" s="57" t="s">
        <v>36</v>
      </c>
      <c r="D1245" s="57" t="s">
        <v>48</v>
      </c>
      <c r="E1245" s="57" t="s">
        <v>25</v>
      </c>
      <c r="F1245" s="57" t="s">
        <v>25</v>
      </c>
      <c r="G1245" s="57" t="s">
        <v>25</v>
      </c>
      <c r="H1245" s="57" t="s">
        <v>25</v>
      </c>
      <c r="I1245" s="82">
        <v>44470</v>
      </c>
      <c r="J1245" s="83">
        <f ca="1">EFEITO!$J$1245*EFEITO!$Y$1245</f>
        <v>3207337.1840896471</v>
      </c>
      <c r="K1245" s="83">
        <f>EFEITO!$L$1245*EFEITO!$Z$1245</f>
        <v>0</v>
      </c>
      <c r="L1245" s="83">
        <f>EFEITO!$N$1245*EFEITO!$AA$1245</f>
        <v>0</v>
      </c>
      <c r="M1245" s="83">
        <f ca="1">$J$1245-EFEITO!$K$1245*EFEITO!$Y$1245</f>
        <v>0</v>
      </c>
      <c r="N1245" s="83">
        <f>$K$1245-EFEITO!$M$1245*EFEITO!$Z$1245</f>
        <v>0</v>
      </c>
      <c r="O1245" s="83">
        <f>$L$1245-EFEITO!$O$1245*EFEITO!$AA$1245</f>
        <v>0</v>
      </c>
      <c r="P1245" s="61"/>
      <c r="Q1245" s="61"/>
      <c r="R1245" s="61"/>
      <c r="S1245" s="61"/>
      <c r="T1245" s="61"/>
      <c r="U1245" s="61"/>
      <c r="V1245" s="61"/>
      <c r="W1245" s="61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</row>
    <row r="1246" spans="1:36" ht="11.25" customHeight="1" x14ac:dyDescent="0.2">
      <c r="A1246" s="57" t="s">
        <v>59</v>
      </c>
      <c r="B1246" s="57" t="s">
        <v>35</v>
      </c>
      <c r="C1246" s="57" t="s">
        <v>36</v>
      </c>
      <c r="D1246" s="57" t="s">
        <v>48</v>
      </c>
      <c r="E1246" s="57" t="s">
        <v>25</v>
      </c>
      <c r="F1246" s="57" t="s">
        <v>25</v>
      </c>
      <c r="G1246" s="57" t="s">
        <v>25</v>
      </c>
      <c r="H1246" s="57" t="s">
        <v>25</v>
      </c>
      <c r="I1246" s="82">
        <v>44470</v>
      </c>
      <c r="J1246" s="83">
        <f ca="1">EFEITO!$J$1246*EFEITO!$Y$1246</f>
        <v>817520.22384189907</v>
      </c>
      <c r="K1246" s="83">
        <f>EFEITO!$L$1246*EFEITO!$Z$1246</f>
        <v>0</v>
      </c>
      <c r="L1246" s="83">
        <f>EFEITO!$N$1246*EFEITO!$AA$1246</f>
        <v>0</v>
      </c>
      <c r="M1246" s="83">
        <f ca="1">$J$1246-EFEITO!$K$1246*EFEITO!$Y$1246</f>
        <v>0</v>
      </c>
      <c r="N1246" s="83">
        <f>$K$1246-EFEITO!$M$1246*EFEITO!$Z$1246</f>
        <v>0</v>
      </c>
      <c r="O1246" s="83">
        <f>$L$1246-EFEITO!$O$1246*EFEITO!$AA$1246</f>
        <v>0</v>
      </c>
      <c r="P1246" s="61"/>
      <c r="Q1246" s="61"/>
      <c r="R1246" s="61"/>
      <c r="S1246" s="61"/>
      <c r="T1246" s="61"/>
      <c r="U1246" s="61"/>
      <c r="V1246" s="61"/>
      <c r="W1246" s="61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</row>
    <row r="1247" spans="1:36" ht="11.25" customHeight="1" x14ac:dyDescent="0.2">
      <c r="A1247" s="57" t="s">
        <v>59</v>
      </c>
      <c r="B1247" s="57" t="s">
        <v>35</v>
      </c>
      <c r="C1247" s="57" t="s">
        <v>36</v>
      </c>
      <c r="D1247" s="57" t="s">
        <v>48</v>
      </c>
      <c r="E1247" s="57" t="s">
        <v>25</v>
      </c>
      <c r="F1247" s="57" t="s">
        <v>25</v>
      </c>
      <c r="G1247" s="57" t="s">
        <v>25</v>
      </c>
      <c r="H1247" s="57" t="s">
        <v>25</v>
      </c>
      <c r="I1247" s="82">
        <v>44470</v>
      </c>
      <c r="J1247" s="83">
        <f ca="1">EFEITO!$J$1247*EFEITO!$Y$1247</f>
        <v>3991.33023396623</v>
      </c>
      <c r="K1247" s="83">
        <f>EFEITO!$L$1247*EFEITO!$Z$1247</f>
        <v>0</v>
      </c>
      <c r="L1247" s="83">
        <f>EFEITO!$N$1247*EFEITO!$AA$1247</f>
        <v>0</v>
      </c>
      <c r="M1247" s="83">
        <f ca="1">$J$1247-EFEITO!$K$1247*EFEITO!$Y$1247</f>
        <v>0</v>
      </c>
      <c r="N1247" s="83">
        <f>$K$1247-EFEITO!$M$1247*EFEITO!$Z$1247</f>
        <v>0</v>
      </c>
      <c r="O1247" s="83">
        <f>$L$1247-EFEITO!$O$1247*EFEITO!$AA$1247</f>
        <v>0</v>
      </c>
      <c r="P1247" s="61"/>
      <c r="Q1247" s="61"/>
      <c r="R1247" s="61"/>
      <c r="S1247" s="61"/>
      <c r="T1247" s="61"/>
      <c r="U1247" s="61"/>
      <c r="V1247" s="61"/>
      <c r="W1247" s="61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</row>
    <row r="1248" spans="1:36" ht="11.25" customHeight="1" x14ac:dyDescent="0.2">
      <c r="A1248" s="57" t="s">
        <v>21</v>
      </c>
      <c r="B1248" s="57" t="s">
        <v>35</v>
      </c>
      <c r="C1248" s="57" t="s">
        <v>36</v>
      </c>
      <c r="D1248" s="57" t="s">
        <v>48</v>
      </c>
      <c r="E1248" s="57" t="s">
        <v>25</v>
      </c>
      <c r="F1248" s="57" t="s">
        <v>25</v>
      </c>
      <c r="G1248" s="57" t="s">
        <v>25</v>
      </c>
      <c r="H1248" s="57" t="s">
        <v>37</v>
      </c>
      <c r="I1248" s="82">
        <v>44136</v>
      </c>
      <c r="J1248" s="83">
        <f>EFEITO!$J$1248*EFEITO!$Y$1248</f>
        <v>0</v>
      </c>
      <c r="K1248" s="83">
        <f ca="1">EFEITO!$L$1248*EFEITO!$Z$1248</f>
        <v>1463662.2290800733</v>
      </c>
      <c r="L1248" s="83">
        <f>EFEITO!$N$1248*EFEITO!$AA$1248</f>
        <v>414064.15292431763</v>
      </c>
      <c r="M1248" s="83">
        <f>$J$1248-EFEITO!$K$1248*EFEITO!$Y$1248</f>
        <v>0</v>
      </c>
      <c r="N1248" s="83">
        <f ca="1">$K$1248-EFEITO!$M$1248*EFEITO!$Z$1248</f>
        <v>0</v>
      </c>
      <c r="O1248" s="83">
        <f>$L$1248-EFEITO!$O$1248*EFEITO!$AA$1248</f>
        <v>0</v>
      </c>
      <c r="P1248" s="61"/>
      <c r="Q1248" s="61"/>
      <c r="R1248" s="61"/>
      <c r="S1248" s="61"/>
      <c r="T1248" s="61"/>
      <c r="U1248" s="61"/>
      <c r="V1248" s="61"/>
      <c r="W1248" s="61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</row>
    <row r="1249" spans="1:36" ht="11.25" customHeight="1" x14ac:dyDescent="0.2">
      <c r="A1249" s="57" t="s">
        <v>27</v>
      </c>
      <c r="B1249" s="57" t="s">
        <v>35</v>
      </c>
      <c r="C1249" s="57" t="s">
        <v>36</v>
      </c>
      <c r="D1249" s="57" t="s">
        <v>48</v>
      </c>
      <c r="E1249" s="57" t="s">
        <v>25</v>
      </c>
      <c r="F1249" s="57" t="s">
        <v>25</v>
      </c>
      <c r="G1249" s="57" t="s">
        <v>25</v>
      </c>
      <c r="H1249" s="57" t="s">
        <v>37</v>
      </c>
      <c r="I1249" s="82">
        <v>44136</v>
      </c>
      <c r="J1249" s="83">
        <f>EFEITO!$J$1249*EFEITO!$Y$1249</f>
        <v>0</v>
      </c>
      <c r="K1249" s="83">
        <f ca="1">EFEITO!$L$1249*EFEITO!$Z$1249</f>
        <v>11657.89325250199</v>
      </c>
      <c r="L1249" s="83">
        <f>EFEITO!$N$1249*EFEITO!$AA$1249</f>
        <v>3297.9710745922889</v>
      </c>
      <c r="M1249" s="83">
        <f>$J$1249-EFEITO!$K$1249*EFEITO!$Y$1249</f>
        <v>0</v>
      </c>
      <c r="N1249" s="83">
        <f ca="1">$K$1249-EFEITO!$M$1249*EFEITO!$Z$1249</f>
        <v>0</v>
      </c>
      <c r="O1249" s="83">
        <f>$L$1249-EFEITO!$O$1249*EFEITO!$AA$1249</f>
        <v>0</v>
      </c>
      <c r="P1249" s="61"/>
      <c r="Q1249" s="61"/>
      <c r="R1249" s="61"/>
      <c r="S1249" s="61"/>
      <c r="T1249" s="61"/>
      <c r="U1249" s="61"/>
      <c r="V1249" s="61"/>
      <c r="W1249" s="61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</row>
    <row r="1250" spans="1:36" ht="11.25" customHeight="1" x14ac:dyDescent="0.2">
      <c r="A1250" s="57" t="s">
        <v>28</v>
      </c>
      <c r="B1250" s="57" t="s">
        <v>35</v>
      </c>
      <c r="C1250" s="57" t="s">
        <v>36</v>
      </c>
      <c r="D1250" s="57" t="s">
        <v>48</v>
      </c>
      <c r="E1250" s="57" t="s">
        <v>25</v>
      </c>
      <c r="F1250" s="57" t="s">
        <v>25</v>
      </c>
      <c r="G1250" s="57" t="s">
        <v>25</v>
      </c>
      <c r="H1250" s="57" t="s">
        <v>37</v>
      </c>
      <c r="I1250" s="82">
        <v>44136</v>
      </c>
      <c r="J1250" s="83">
        <f>EFEITO!$J$1250*EFEITO!$Y$1250</f>
        <v>0</v>
      </c>
      <c r="K1250" s="83">
        <f ca="1">EFEITO!$L$1250*EFEITO!$Z$1250</f>
        <v>400291.80814063485</v>
      </c>
      <c r="L1250" s="83">
        <f>EFEITO!$N$1250*EFEITO!$AA$1250</f>
        <v>113240.94122758691</v>
      </c>
      <c r="M1250" s="83">
        <f>$J$1250-EFEITO!$K$1250*EFEITO!$Y$1250</f>
        <v>0</v>
      </c>
      <c r="N1250" s="83">
        <f ca="1">$K$1250-EFEITO!$M$1250*EFEITO!$Z$1250</f>
        <v>0</v>
      </c>
      <c r="O1250" s="83">
        <f>$L$1250-EFEITO!$O$1250*EFEITO!$AA$1250</f>
        <v>0</v>
      </c>
      <c r="P1250" s="61"/>
      <c r="Q1250" s="61"/>
      <c r="R1250" s="61"/>
      <c r="S1250" s="61"/>
      <c r="T1250" s="61"/>
      <c r="U1250" s="61"/>
      <c r="V1250" s="61"/>
      <c r="W1250" s="61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</row>
    <row r="1251" spans="1:36" ht="11.25" customHeight="1" x14ac:dyDescent="0.2">
      <c r="A1251" s="57" t="s">
        <v>30</v>
      </c>
      <c r="B1251" s="57" t="s">
        <v>35</v>
      </c>
      <c r="C1251" s="57" t="s">
        <v>36</v>
      </c>
      <c r="D1251" s="57" t="s">
        <v>48</v>
      </c>
      <c r="E1251" s="57" t="s">
        <v>25</v>
      </c>
      <c r="F1251" s="57" t="s">
        <v>25</v>
      </c>
      <c r="G1251" s="57" t="s">
        <v>25</v>
      </c>
      <c r="H1251" s="57" t="s">
        <v>37</v>
      </c>
      <c r="I1251" s="82">
        <v>44136</v>
      </c>
      <c r="J1251" s="83">
        <f>EFEITO!$J$1251*EFEITO!$Y$1251</f>
        <v>0</v>
      </c>
      <c r="K1251" s="83">
        <f ca="1">EFEITO!$L$1251*EFEITO!$Z$1251</f>
        <v>5160.0511117631759</v>
      </c>
      <c r="L1251" s="83">
        <f>EFEITO!$N$1251*EFEITO!$AA$1251</f>
        <v>1459.757688753964</v>
      </c>
      <c r="M1251" s="83">
        <f>$J$1251-EFEITO!$K$1251*EFEITO!$Y$1251</f>
        <v>0</v>
      </c>
      <c r="N1251" s="83">
        <f ca="1">$K$1251-EFEITO!$M$1251*EFEITO!$Z$1251</f>
        <v>0</v>
      </c>
      <c r="O1251" s="83">
        <f>$L$1251-EFEITO!$O$1251*EFEITO!$AA$1251</f>
        <v>0</v>
      </c>
      <c r="P1251" s="61"/>
      <c r="Q1251" s="61"/>
      <c r="R1251" s="61"/>
      <c r="S1251" s="61"/>
      <c r="T1251" s="61"/>
      <c r="U1251" s="61"/>
      <c r="V1251" s="61"/>
      <c r="W1251" s="61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</row>
    <row r="1252" spans="1:36" ht="11.25" customHeight="1" x14ac:dyDescent="0.2">
      <c r="A1252" s="57" t="s">
        <v>21</v>
      </c>
      <c r="B1252" s="57" t="s">
        <v>35</v>
      </c>
      <c r="C1252" s="57" t="s">
        <v>36</v>
      </c>
      <c r="D1252" s="57" t="s">
        <v>48</v>
      </c>
      <c r="E1252" s="57" t="s">
        <v>25</v>
      </c>
      <c r="F1252" s="57" t="s">
        <v>25</v>
      </c>
      <c r="G1252" s="57" t="s">
        <v>25</v>
      </c>
      <c r="H1252" s="57" t="s">
        <v>37</v>
      </c>
      <c r="I1252" s="82">
        <v>44166</v>
      </c>
      <c r="J1252" s="83">
        <f>EFEITO!$J$1252*EFEITO!$Y$1252</f>
        <v>0</v>
      </c>
      <c r="K1252" s="83">
        <f ca="1">EFEITO!$L$1252*EFEITO!$Z$1252</f>
        <v>1503722.0843342971</v>
      </c>
      <c r="L1252" s="83">
        <f>EFEITO!$N$1252*EFEITO!$AA$1252</f>
        <v>425396.92472272384</v>
      </c>
      <c r="M1252" s="83">
        <f>$J$1252-EFEITO!$K$1252*EFEITO!$Y$1252</f>
        <v>0</v>
      </c>
      <c r="N1252" s="83">
        <f ca="1">$K$1252-EFEITO!$M$1252*EFEITO!$Z$1252</f>
        <v>0</v>
      </c>
      <c r="O1252" s="83">
        <f>$L$1252-EFEITO!$O$1252*EFEITO!$AA$1252</f>
        <v>0</v>
      </c>
      <c r="P1252" s="61"/>
      <c r="Q1252" s="61"/>
      <c r="R1252" s="61"/>
      <c r="S1252" s="61"/>
      <c r="T1252" s="61"/>
      <c r="U1252" s="61"/>
      <c r="V1252" s="61"/>
      <c r="W1252" s="61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</row>
    <row r="1253" spans="1:36" ht="11.25" customHeight="1" x14ac:dyDescent="0.2">
      <c r="A1253" s="57" t="s">
        <v>27</v>
      </c>
      <c r="B1253" s="57" t="s">
        <v>35</v>
      </c>
      <c r="C1253" s="57" t="s">
        <v>36</v>
      </c>
      <c r="D1253" s="57" t="s">
        <v>48</v>
      </c>
      <c r="E1253" s="57" t="s">
        <v>25</v>
      </c>
      <c r="F1253" s="57" t="s">
        <v>25</v>
      </c>
      <c r="G1253" s="57" t="s">
        <v>25</v>
      </c>
      <c r="H1253" s="57" t="s">
        <v>37</v>
      </c>
      <c r="I1253" s="82">
        <v>44166</v>
      </c>
      <c r="J1253" s="83">
        <f>EFEITO!$J$1253*EFEITO!$Y$1253</f>
        <v>0</v>
      </c>
      <c r="K1253" s="83">
        <f ca="1">EFEITO!$L$1253*EFEITO!$Z$1253</f>
        <v>758.02805003181413</v>
      </c>
      <c r="L1253" s="83">
        <f>EFEITO!$N$1253*EFEITO!$AA$1253</f>
        <v>214.44308406220696</v>
      </c>
      <c r="M1253" s="83">
        <f>$J$1253-EFEITO!$K$1253*EFEITO!$Y$1253</f>
        <v>0</v>
      </c>
      <c r="N1253" s="83">
        <f ca="1">$K$1253-EFEITO!$M$1253*EFEITO!$Z$1253</f>
        <v>0</v>
      </c>
      <c r="O1253" s="83">
        <f>$L$1253-EFEITO!$O$1253*EFEITO!$AA$1253</f>
        <v>0</v>
      </c>
      <c r="P1253" s="61"/>
      <c r="Q1253" s="61"/>
      <c r="R1253" s="61"/>
      <c r="S1253" s="61"/>
      <c r="T1253" s="61"/>
      <c r="U1253" s="61"/>
      <c r="V1253" s="61"/>
      <c r="W1253" s="61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</row>
    <row r="1254" spans="1:36" ht="11.25" customHeight="1" x14ac:dyDescent="0.2">
      <c r="A1254" s="57" t="s">
        <v>28</v>
      </c>
      <c r="B1254" s="57" t="s">
        <v>35</v>
      </c>
      <c r="C1254" s="57" t="s">
        <v>36</v>
      </c>
      <c r="D1254" s="57" t="s">
        <v>48</v>
      </c>
      <c r="E1254" s="57" t="s">
        <v>25</v>
      </c>
      <c r="F1254" s="57" t="s">
        <v>25</v>
      </c>
      <c r="G1254" s="57" t="s">
        <v>25</v>
      </c>
      <c r="H1254" s="57" t="s">
        <v>37</v>
      </c>
      <c r="I1254" s="82">
        <v>44166</v>
      </c>
      <c r="J1254" s="83">
        <f>EFEITO!$J$1254*EFEITO!$Y$1254</f>
        <v>0</v>
      </c>
      <c r="K1254" s="83">
        <f ca="1">EFEITO!$L$1254*EFEITO!$Z$1254</f>
        <v>541339.62916202063</v>
      </c>
      <c r="L1254" s="83">
        <f>EFEITO!$N$1254*EFEITO!$AA$1254</f>
        <v>153142.80203446696</v>
      </c>
      <c r="M1254" s="83">
        <f>$J$1254-EFEITO!$K$1254*EFEITO!$Y$1254</f>
        <v>0</v>
      </c>
      <c r="N1254" s="83">
        <f ca="1">$K$1254-EFEITO!$M$1254*EFEITO!$Z$1254</f>
        <v>0</v>
      </c>
      <c r="O1254" s="83">
        <f>$L$1254-EFEITO!$O$1254*EFEITO!$AA$1254</f>
        <v>0</v>
      </c>
      <c r="P1254" s="61"/>
      <c r="Q1254" s="61"/>
      <c r="R1254" s="61"/>
      <c r="S1254" s="61"/>
      <c r="T1254" s="61"/>
      <c r="U1254" s="61"/>
      <c r="V1254" s="61"/>
      <c r="W1254" s="61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</row>
    <row r="1255" spans="1:36" ht="11.25" customHeight="1" x14ac:dyDescent="0.2">
      <c r="A1255" s="57" t="s">
        <v>29</v>
      </c>
      <c r="B1255" s="57" t="s">
        <v>35</v>
      </c>
      <c r="C1255" s="57" t="s">
        <v>36</v>
      </c>
      <c r="D1255" s="57" t="s">
        <v>48</v>
      </c>
      <c r="E1255" s="57" t="s">
        <v>25</v>
      </c>
      <c r="F1255" s="57" t="s">
        <v>25</v>
      </c>
      <c r="G1255" s="57" t="s">
        <v>25</v>
      </c>
      <c r="H1255" s="57" t="s">
        <v>37</v>
      </c>
      <c r="I1255" s="82">
        <v>44166</v>
      </c>
      <c r="J1255" s="83">
        <f>EFEITO!$J$1255*EFEITO!$Y$1255</f>
        <v>0</v>
      </c>
      <c r="K1255" s="83">
        <f ca="1">EFEITO!$L$1255*EFEITO!$Z$1255</f>
        <v>4612.4079654478182</v>
      </c>
      <c r="L1255" s="83">
        <f>EFEITO!$N$1255*EFEITO!$AA$1255</f>
        <v>1304.8316470903781</v>
      </c>
      <c r="M1255" s="83">
        <f>$J$1255-EFEITO!$K$1255*EFEITO!$Y$1255</f>
        <v>0</v>
      </c>
      <c r="N1255" s="83">
        <f ca="1">$K$1255-EFEITO!$M$1255*EFEITO!$Z$1255</f>
        <v>0</v>
      </c>
      <c r="O1255" s="83">
        <f>$L$1255-EFEITO!$O$1255*EFEITO!$AA$1255</f>
        <v>0</v>
      </c>
      <c r="P1255" s="61"/>
      <c r="Q1255" s="61"/>
      <c r="R1255" s="61"/>
      <c r="S1255" s="61"/>
      <c r="T1255" s="61"/>
      <c r="U1255" s="61"/>
      <c r="V1255" s="61"/>
      <c r="W1255" s="61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</row>
    <row r="1256" spans="1:36" ht="11.25" customHeight="1" x14ac:dyDescent="0.2">
      <c r="A1256" s="57" t="s">
        <v>30</v>
      </c>
      <c r="B1256" s="57" t="s">
        <v>35</v>
      </c>
      <c r="C1256" s="57" t="s">
        <v>36</v>
      </c>
      <c r="D1256" s="57" t="s">
        <v>48</v>
      </c>
      <c r="E1256" s="57" t="s">
        <v>25</v>
      </c>
      <c r="F1256" s="57" t="s">
        <v>25</v>
      </c>
      <c r="G1256" s="57" t="s">
        <v>25</v>
      </c>
      <c r="H1256" s="57" t="s">
        <v>37</v>
      </c>
      <c r="I1256" s="82">
        <v>44166</v>
      </c>
      <c r="J1256" s="83">
        <f>EFEITO!$J$1256*EFEITO!$Y$1256</f>
        <v>0</v>
      </c>
      <c r="K1256" s="83">
        <f ca="1">EFEITO!$L$1256*EFEITO!$Z$1256</f>
        <v>5749.4500404955397</v>
      </c>
      <c r="L1256" s="83">
        <f>EFEITO!$N$1256*EFEITO!$AA$1256</f>
        <v>1626.4962731836886</v>
      </c>
      <c r="M1256" s="83">
        <f>$J$1256-EFEITO!$K$1256*EFEITO!$Y$1256</f>
        <v>0</v>
      </c>
      <c r="N1256" s="83">
        <f ca="1">$K$1256-EFEITO!$M$1256*EFEITO!$Z$1256</f>
        <v>0</v>
      </c>
      <c r="O1256" s="83">
        <f>$L$1256-EFEITO!$O$1256*EFEITO!$AA$1256</f>
        <v>0</v>
      </c>
      <c r="P1256" s="61"/>
      <c r="Q1256" s="61"/>
      <c r="R1256" s="61"/>
      <c r="S1256" s="61"/>
      <c r="T1256" s="61"/>
      <c r="U1256" s="61"/>
      <c r="V1256" s="61"/>
      <c r="W1256" s="61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</row>
    <row r="1257" spans="1:36" ht="11.25" customHeight="1" x14ac:dyDescent="0.2">
      <c r="A1257" s="57" t="s">
        <v>21</v>
      </c>
      <c r="B1257" s="57" t="s">
        <v>35</v>
      </c>
      <c r="C1257" s="57" t="s">
        <v>36</v>
      </c>
      <c r="D1257" s="57" t="s">
        <v>48</v>
      </c>
      <c r="E1257" s="57" t="s">
        <v>25</v>
      </c>
      <c r="F1257" s="57" t="s">
        <v>25</v>
      </c>
      <c r="G1257" s="57" t="s">
        <v>25</v>
      </c>
      <c r="H1257" s="57" t="s">
        <v>37</v>
      </c>
      <c r="I1257" s="82">
        <v>44197</v>
      </c>
      <c r="J1257" s="83">
        <f>EFEITO!$J$1257*EFEITO!$Y$1257</f>
        <v>0</v>
      </c>
      <c r="K1257" s="83">
        <f ca="1">EFEITO!$L$1257*EFEITO!$Z$1257</f>
        <v>1191738.9380307372</v>
      </c>
      <c r="L1257" s="83">
        <f>EFEITO!$N$1257*EFEITO!$AA$1257</f>
        <v>337138.14845981606</v>
      </c>
      <c r="M1257" s="83">
        <f>$J$1257-EFEITO!$K$1257*EFEITO!$Y$1257</f>
        <v>0</v>
      </c>
      <c r="N1257" s="83">
        <f ca="1">$K$1257-EFEITO!$M$1257*EFEITO!$Z$1257</f>
        <v>0</v>
      </c>
      <c r="O1257" s="83">
        <f>$L$1257-EFEITO!$O$1257*EFEITO!$AA$1257</f>
        <v>0</v>
      </c>
      <c r="P1257" s="61"/>
      <c r="Q1257" s="61"/>
      <c r="R1257" s="61"/>
      <c r="S1257" s="61"/>
      <c r="T1257" s="61"/>
      <c r="U1257" s="61"/>
      <c r="V1257" s="61"/>
      <c r="W1257" s="61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</row>
    <row r="1258" spans="1:36" ht="11.25" customHeight="1" x14ac:dyDescent="0.2">
      <c r="A1258" s="57" t="s">
        <v>28</v>
      </c>
      <c r="B1258" s="57" t="s">
        <v>35</v>
      </c>
      <c r="C1258" s="57" t="s">
        <v>36</v>
      </c>
      <c r="D1258" s="57" t="s">
        <v>48</v>
      </c>
      <c r="E1258" s="57" t="s">
        <v>25</v>
      </c>
      <c r="F1258" s="57" t="s">
        <v>25</v>
      </c>
      <c r="G1258" s="57" t="s">
        <v>25</v>
      </c>
      <c r="H1258" s="57" t="s">
        <v>37</v>
      </c>
      <c r="I1258" s="82">
        <v>44197</v>
      </c>
      <c r="J1258" s="83">
        <f>EFEITO!$J$1258*EFEITO!$Y$1258</f>
        <v>0</v>
      </c>
      <c r="K1258" s="83">
        <f ca="1">EFEITO!$L$1258*EFEITO!$Z$1258</f>
        <v>354360.44748192746</v>
      </c>
      <c r="L1258" s="83">
        <f>EFEITO!$N$1258*EFEITO!$AA$1258</f>
        <v>100247.14418483454</v>
      </c>
      <c r="M1258" s="83">
        <f>$J$1258-EFEITO!$K$1258*EFEITO!$Y$1258</f>
        <v>0</v>
      </c>
      <c r="N1258" s="83">
        <f ca="1">$K$1258-EFEITO!$M$1258*EFEITO!$Z$1258</f>
        <v>0</v>
      </c>
      <c r="O1258" s="83">
        <f>$L$1258-EFEITO!$O$1258*EFEITO!$AA$1258</f>
        <v>0</v>
      </c>
      <c r="P1258" s="61"/>
      <c r="Q1258" s="61"/>
      <c r="R1258" s="61"/>
      <c r="S1258" s="61"/>
      <c r="T1258" s="61"/>
      <c r="U1258" s="61"/>
      <c r="V1258" s="61"/>
      <c r="W1258" s="61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</row>
    <row r="1259" spans="1:36" ht="11.25" customHeight="1" x14ac:dyDescent="0.2">
      <c r="A1259" s="57" t="s">
        <v>29</v>
      </c>
      <c r="B1259" s="57" t="s">
        <v>35</v>
      </c>
      <c r="C1259" s="57" t="s">
        <v>36</v>
      </c>
      <c r="D1259" s="57" t="s">
        <v>48</v>
      </c>
      <c r="E1259" s="57" t="s">
        <v>25</v>
      </c>
      <c r="F1259" s="57" t="s">
        <v>25</v>
      </c>
      <c r="G1259" s="57" t="s">
        <v>25</v>
      </c>
      <c r="H1259" s="57" t="s">
        <v>37</v>
      </c>
      <c r="I1259" s="82">
        <v>44197</v>
      </c>
      <c r="J1259" s="83">
        <f>EFEITO!$J$1259*EFEITO!$Y$1259</f>
        <v>0</v>
      </c>
      <c r="K1259" s="83">
        <f ca="1">EFEITO!$L$1259*EFEITO!$Z$1259</f>
        <v>-4612.4079654478182</v>
      </c>
      <c r="L1259" s="83">
        <f>EFEITO!$N$1259*EFEITO!$AA$1259</f>
        <v>-1304.8316470903781</v>
      </c>
      <c r="M1259" s="83">
        <f>$J$1259-EFEITO!$K$1259*EFEITO!$Y$1259</f>
        <v>0</v>
      </c>
      <c r="N1259" s="83">
        <f ca="1">$K$1259-EFEITO!$M$1259*EFEITO!$Z$1259</f>
        <v>0</v>
      </c>
      <c r="O1259" s="83">
        <f>$L$1259-EFEITO!$O$1259*EFEITO!$AA$1259</f>
        <v>0</v>
      </c>
      <c r="P1259" s="61"/>
      <c r="Q1259" s="61"/>
      <c r="R1259" s="61"/>
      <c r="S1259" s="61"/>
      <c r="T1259" s="61"/>
      <c r="U1259" s="61"/>
      <c r="V1259" s="61"/>
      <c r="W1259" s="61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</row>
    <row r="1260" spans="1:36" ht="11.25" customHeight="1" x14ac:dyDescent="0.2">
      <c r="A1260" s="57" t="s">
        <v>30</v>
      </c>
      <c r="B1260" s="57" t="s">
        <v>35</v>
      </c>
      <c r="C1260" s="57" t="s">
        <v>36</v>
      </c>
      <c r="D1260" s="57" t="s">
        <v>48</v>
      </c>
      <c r="E1260" s="57" t="s">
        <v>25</v>
      </c>
      <c r="F1260" s="57" t="s">
        <v>25</v>
      </c>
      <c r="G1260" s="57" t="s">
        <v>25</v>
      </c>
      <c r="H1260" s="57" t="s">
        <v>37</v>
      </c>
      <c r="I1260" s="82">
        <v>44197</v>
      </c>
      <c r="J1260" s="83">
        <f>EFEITO!$J$1260*EFEITO!$Y$1260</f>
        <v>0</v>
      </c>
      <c r="K1260" s="83">
        <f ca="1">EFEITO!$L$1260*EFEITO!$Z$1260</f>
        <v>4602.7720156592786</v>
      </c>
      <c r="L1260" s="83">
        <f>EFEITO!$N$1260*EFEITO!$AA$1260</f>
        <v>1302.1056756828077</v>
      </c>
      <c r="M1260" s="83">
        <f>$J$1260-EFEITO!$K$1260*EFEITO!$Y$1260</f>
        <v>0</v>
      </c>
      <c r="N1260" s="83">
        <f ca="1">$K$1260-EFEITO!$M$1260*EFEITO!$Z$1260</f>
        <v>0</v>
      </c>
      <c r="O1260" s="83">
        <f>$L$1260-EFEITO!$O$1260*EFEITO!$AA$1260</f>
        <v>0</v>
      </c>
      <c r="P1260" s="61"/>
      <c r="Q1260" s="61"/>
      <c r="R1260" s="61"/>
      <c r="S1260" s="61"/>
      <c r="T1260" s="61"/>
      <c r="U1260" s="61"/>
      <c r="V1260" s="61"/>
      <c r="W1260" s="61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</row>
    <row r="1261" spans="1:36" ht="11.25" customHeight="1" x14ac:dyDescent="0.2">
      <c r="A1261" s="57" t="s">
        <v>21</v>
      </c>
      <c r="B1261" s="57" t="s">
        <v>35</v>
      </c>
      <c r="C1261" s="57" t="s">
        <v>36</v>
      </c>
      <c r="D1261" s="57" t="s">
        <v>48</v>
      </c>
      <c r="E1261" s="57" t="s">
        <v>25</v>
      </c>
      <c r="F1261" s="57" t="s">
        <v>25</v>
      </c>
      <c r="G1261" s="57" t="s">
        <v>25</v>
      </c>
      <c r="H1261" s="57" t="s">
        <v>37</v>
      </c>
      <c r="I1261" s="82">
        <v>44228</v>
      </c>
      <c r="J1261" s="83">
        <f>EFEITO!$J$1261*EFEITO!$Y$1261</f>
        <v>0</v>
      </c>
      <c r="K1261" s="83">
        <f ca="1">EFEITO!$L$1261*EFEITO!$Z$1261</f>
        <v>1180407.0610794141</v>
      </c>
      <c r="L1261" s="83">
        <f>EFEITO!$N$1261*EFEITO!$AA$1261</f>
        <v>333932.40608451323</v>
      </c>
      <c r="M1261" s="83">
        <f>$J$1261-EFEITO!$K$1261*EFEITO!$Y$1261</f>
        <v>0</v>
      </c>
      <c r="N1261" s="83">
        <f ca="1">$K$1261-EFEITO!$M$1261*EFEITO!$Z$1261</f>
        <v>0</v>
      </c>
      <c r="O1261" s="83">
        <f>$L$1261-EFEITO!$O$1261*EFEITO!$AA$1261</f>
        <v>0</v>
      </c>
      <c r="P1261" s="61"/>
      <c r="Q1261" s="61"/>
      <c r="R1261" s="61"/>
      <c r="S1261" s="61"/>
      <c r="T1261" s="61"/>
      <c r="U1261" s="61"/>
      <c r="V1261" s="61"/>
      <c r="W1261" s="61"/>
      <c r="X1261" s="6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</row>
    <row r="1262" spans="1:36" ht="11.25" customHeight="1" x14ac:dyDescent="0.2">
      <c r="A1262" s="57" t="s">
        <v>28</v>
      </c>
      <c r="B1262" s="57" t="s">
        <v>35</v>
      </c>
      <c r="C1262" s="57" t="s">
        <v>36</v>
      </c>
      <c r="D1262" s="57" t="s">
        <v>48</v>
      </c>
      <c r="E1262" s="57" t="s">
        <v>25</v>
      </c>
      <c r="F1262" s="57" t="s">
        <v>25</v>
      </c>
      <c r="G1262" s="57" t="s">
        <v>25</v>
      </c>
      <c r="H1262" s="57" t="s">
        <v>37</v>
      </c>
      <c r="I1262" s="82">
        <v>44228</v>
      </c>
      <c r="J1262" s="83">
        <f>EFEITO!$J$1262*EFEITO!$Y$1262</f>
        <v>0</v>
      </c>
      <c r="K1262" s="83">
        <f ca="1">EFEITO!$L$1262*EFEITO!$Z$1262</f>
        <v>319230.98653617344</v>
      </c>
      <c r="L1262" s="83">
        <f>EFEITO!$N$1262*EFEITO!$AA$1262</f>
        <v>90309.16108996862</v>
      </c>
      <c r="M1262" s="83">
        <f>$J$1262-EFEITO!$K$1262*EFEITO!$Y$1262</f>
        <v>0</v>
      </c>
      <c r="N1262" s="83">
        <f ca="1">$K$1262-EFEITO!$M$1262*EFEITO!$Z$1262</f>
        <v>0</v>
      </c>
      <c r="O1262" s="83">
        <f>$L$1262-EFEITO!$O$1262*EFEITO!$AA$1262</f>
        <v>0</v>
      </c>
      <c r="P1262" s="61"/>
      <c r="Q1262" s="61"/>
      <c r="R1262" s="61"/>
      <c r="S1262" s="61"/>
      <c r="T1262" s="61"/>
      <c r="U1262" s="61"/>
      <c r="V1262" s="61"/>
      <c r="W1262" s="61"/>
      <c r="X1262" s="6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</row>
    <row r="1263" spans="1:36" ht="11.25" customHeight="1" x14ac:dyDescent="0.2">
      <c r="A1263" s="57" t="s">
        <v>30</v>
      </c>
      <c r="B1263" s="57" t="s">
        <v>35</v>
      </c>
      <c r="C1263" s="57" t="s">
        <v>36</v>
      </c>
      <c r="D1263" s="57" t="s">
        <v>48</v>
      </c>
      <c r="E1263" s="57" t="s">
        <v>25</v>
      </c>
      <c r="F1263" s="57" t="s">
        <v>25</v>
      </c>
      <c r="G1263" s="57" t="s">
        <v>25</v>
      </c>
      <c r="H1263" s="57" t="s">
        <v>37</v>
      </c>
      <c r="I1263" s="82">
        <v>44228</v>
      </c>
      <c r="J1263" s="83">
        <f>EFEITO!$J$1263*EFEITO!$Y$1263</f>
        <v>0</v>
      </c>
      <c r="K1263" s="83">
        <f ca="1">EFEITO!$L$1263*EFEITO!$Z$1263</f>
        <v>4418.0829780455942</v>
      </c>
      <c r="L1263" s="83">
        <f>EFEITO!$N$1263*EFEITO!$AA$1263</f>
        <v>1249.8578903710411</v>
      </c>
      <c r="M1263" s="83">
        <f>$J$1263-EFEITO!$K$1263*EFEITO!$Y$1263</f>
        <v>0</v>
      </c>
      <c r="N1263" s="83">
        <f ca="1">$K$1263-EFEITO!$M$1263*EFEITO!$Z$1263</f>
        <v>0</v>
      </c>
      <c r="O1263" s="83">
        <f>$L$1263-EFEITO!$O$1263*EFEITO!$AA$1263</f>
        <v>0</v>
      </c>
      <c r="P1263" s="61"/>
      <c r="Q1263" s="61"/>
      <c r="R1263" s="61"/>
      <c r="S1263" s="61"/>
      <c r="T1263" s="61"/>
      <c r="U1263" s="61"/>
      <c r="V1263" s="61"/>
      <c r="W1263" s="61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</row>
    <row r="1264" spans="1:36" ht="11.25" customHeight="1" x14ac:dyDescent="0.2">
      <c r="A1264" s="57" t="s">
        <v>21</v>
      </c>
      <c r="B1264" s="57" t="s">
        <v>35</v>
      </c>
      <c r="C1264" s="57" t="s">
        <v>36</v>
      </c>
      <c r="D1264" s="57" t="s">
        <v>48</v>
      </c>
      <c r="E1264" s="57" t="s">
        <v>25</v>
      </c>
      <c r="F1264" s="57" t="s">
        <v>25</v>
      </c>
      <c r="G1264" s="57" t="s">
        <v>25</v>
      </c>
      <c r="H1264" s="57" t="s">
        <v>37</v>
      </c>
      <c r="I1264" s="82">
        <v>44256</v>
      </c>
      <c r="J1264" s="83">
        <f>EFEITO!$J$1264*EFEITO!$Y$1264</f>
        <v>0</v>
      </c>
      <c r="K1264" s="83">
        <f ca="1">EFEITO!$L$1264*EFEITO!$Z$1264</f>
        <v>1363472.4411537286</v>
      </c>
      <c r="L1264" s="83">
        <f>EFEITO!$N$1264*EFEITO!$AA$1264</f>
        <v>385720.86521410412</v>
      </c>
      <c r="M1264" s="83">
        <f>$J$1264-EFEITO!$K$1264*EFEITO!$Y$1264</f>
        <v>0</v>
      </c>
      <c r="N1264" s="83">
        <f ca="1">$K$1264-EFEITO!$M$1264*EFEITO!$Z$1264</f>
        <v>0</v>
      </c>
      <c r="O1264" s="83">
        <f>$L$1264-EFEITO!$O$1264*EFEITO!$AA$1264</f>
        <v>0</v>
      </c>
      <c r="P1264" s="61"/>
      <c r="Q1264" s="61"/>
      <c r="R1264" s="61"/>
      <c r="S1264" s="61"/>
      <c r="T1264" s="61"/>
      <c r="U1264" s="61"/>
      <c r="V1264" s="61"/>
      <c r="W1264" s="61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</row>
    <row r="1265" spans="1:36" ht="11.25" customHeight="1" x14ac:dyDescent="0.2">
      <c r="A1265" s="57" t="s">
        <v>27</v>
      </c>
      <c r="B1265" s="57" t="s">
        <v>35</v>
      </c>
      <c r="C1265" s="57" t="s">
        <v>36</v>
      </c>
      <c r="D1265" s="57" t="s">
        <v>48</v>
      </c>
      <c r="E1265" s="57" t="s">
        <v>25</v>
      </c>
      <c r="F1265" s="57" t="s">
        <v>25</v>
      </c>
      <c r="G1265" s="57" t="s">
        <v>25</v>
      </c>
      <c r="H1265" s="57" t="s">
        <v>37</v>
      </c>
      <c r="I1265" s="82">
        <v>44256</v>
      </c>
      <c r="J1265" s="83">
        <f>EFEITO!$J$1265*EFEITO!$Y$1265</f>
        <v>0</v>
      </c>
      <c r="K1265" s="83">
        <f ca="1">EFEITO!$L$1265*EFEITO!$Z$1265</f>
        <v>-170.23511293087353</v>
      </c>
      <c r="L1265" s="83">
        <f>EFEITO!$N$1265*EFEITO!$AA$1265</f>
        <v>-48.158828200410888</v>
      </c>
      <c r="M1265" s="83">
        <f>$J$1265-EFEITO!$K$1265*EFEITO!$Y$1265</f>
        <v>0</v>
      </c>
      <c r="N1265" s="83">
        <f ca="1">$K$1265-EFEITO!$M$1265*EFEITO!$Z$1265</f>
        <v>0</v>
      </c>
      <c r="O1265" s="83">
        <f>$L$1265-EFEITO!$O$1265*EFEITO!$AA$1265</f>
        <v>0</v>
      </c>
      <c r="P1265" s="61"/>
      <c r="Q1265" s="61"/>
      <c r="R1265" s="61"/>
      <c r="S1265" s="61"/>
      <c r="T1265" s="61"/>
      <c r="U1265" s="61"/>
      <c r="V1265" s="61"/>
      <c r="W1265" s="61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</row>
    <row r="1266" spans="1:36" ht="11.25" customHeight="1" x14ac:dyDescent="0.2">
      <c r="A1266" s="57" t="s">
        <v>28</v>
      </c>
      <c r="B1266" s="57" t="s">
        <v>35</v>
      </c>
      <c r="C1266" s="57" t="s">
        <v>36</v>
      </c>
      <c r="D1266" s="57" t="s">
        <v>48</v>
      </c>
      <c r="E1266" s="57" t="s">
        <v>25</v>
      </c>
      <c r="F1266" s="57" t="s">
        <v>25</v>
      </c>
      <c r="G1266" s="57" t="s">
        <v>25</v>
      </c>
      <c r="H1266" s="57" t="s">
        <v>37</v>
      </c>
      <c r="I1266" s="82">
        <v>44256</v>
      </c>
      <c r="J1266" s="83">
        <f>EFEITO!$J$1266*EFEITO!$Y$1266</f>
        <v>0</v>
      </c>
      <c r="K1266" s="83">
        <f ca="1">EFEITO!$L$1266*EFEITO!$Z$1266</f>
        <v>342742.70402021107</v>
      </c>
      <c r="L1266" s="83">
        <f>EFEITO!$N$1266*EFEITO!$AA$1266</f>
        <v>96960.531324440468</v>
      </c>
      <c r="M1266" s="83">
        <f>$J$1266-EFEITO!$K$1266*EFEITO!$Y$1266</f>
        <v>0</v>
      </c>
      <c r="N1266" s="83">
        <f ca="1">$K$1266-EFEITO!$M$1266*EFEITO!$Z$1266</f>
        <v>0</v>
      </c>
      <c r="O1266" s="83">
        <f>$L$1266-EFEITO!$O$1266*EFEITO!$AA$1266</f>
        <v>0</v>
      </c>
      <c r="P1266" s="61"/>
      <c r="Q1266" s="61"/>
      <c r="R1266" s="61"/>
      <c r="S1266" s="61"/>
      <c r="T1266" s="61"/>
      <c r="U1266" s="61"/>
      <c r="V1266" s="61"/>
      <c r="W1266" s="61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</row>
    <row r="1267" spans="1:36" ht="11.25" customHeight="1" x14ac:dyDescent="0.2">
      <c r="A1267" s="57" t="s">
        <v>29</v>
      </c>
      <c r="B1267" s="57" t="s">
        <v>35</v>
      </c>
      <c r="C1267" s="57" t="s">
        <v>36</v>
      </c>
      <c r="D1267" s="57" t="s">
        <v>48</v>
      </c>
      <c r="E1267" s="57" t="s">
        <v>25</v>
      </c>
      <c r="F1267" s="57" t="s">
        <v>25</v>
      </c>
      <c r="G1267" s="57" t="s">
        <v>25</v>
      </c>
      <c r="H1267" s="57" t="s">
        <v>37</v>
      </c>
      <c r="I1267" s="82">
        <v>44256</v>
      </c>
      <c r="J1267" s="83">
        <f>EFEITO!$J$1267*EFEITO!$Y$1267</f>
        <v>0</v>
      </c>
      <c r="K1267" s="83">
        <f ca="1">EFEITO!$L$1267*EFEITO!$Z$1267</f>
        <v>-1186.8278156218446</v>
      </c>
      <c r="L1267" s="83">
        <f>EFEITO!$N$1267*EFEITO!$AA$1267</f>
        <v>-335.74881169909099</v>
      </c>
      <c r="M1267" s="83">
        <f>$J$1267-EFEITO!$K$1267*EFEITO!$Y$1267</f>
        <v>0</v>
      </c>
      <c r="N1267" s="83">
        <f ca="1">$K$1267-EFEITO!$M$1267*EFEITO!$Z$1267</f>
        <v>0</v>
      </c>
      <c r="O1267" s="83">
        <f>$L$1267-EFEITO!$O$1267*EFEITO!$AA$1267</f>
        <v>0</v>
      </c>
      <c r="P1267" s="61"/>
      <c r="Q1267" s="61"/>
      <c r="R1267" s="61"/>
      <c r="S1267" s="61"/>
      <c r="T1267" s="61"/>
      <c r="U1267" s="61"/>
      <c r="V1267" s="61"/>
      <c r="W1267" s="61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</row>
    <row r="1268" spans="1:36" ht="11.25" customHeight="1" x14ac:dyDescent="0.2">
      <c r="A1268" s="57" t="s">
        <v>30</v>
      </c>
      <c r="B1268" s="57" t="s">
        <v>35</v>
      </c>
      <c r="C1268" s="57" t="s">
        <v>36</v>
      </c>
      <c r="D1268" s="57" t="s">
        <v>48</v>
      </c>
      <c r="E1268" s="57" t="s">
        <v>25</v>
      </c>
      <c r="F1268" s="57" t="s">
        <v>25</v>
      </c>
      <c r="G1268" s="57" t="s">
        <v>25</v>
      </c>
      <c r="H1268" s="57" t="s">
        <v>37</v>
      </c>
      <c r="I1268" s="82">
        <v>44256</v>
      </c>
      <c r="J1268" s="83">
        <f>EFEITO!$J$1268*EFEITO!$Y$1268</f>
        <v>0</v>
      </c>
      <c r="K1268" s="83">
        <f ca="1">EFEITO!$L$1268*EFEITO!$Z$1268</f>
        <v>4906.3044339982889</v>
      </c>
      <c r="L1268" s="83">
        <f>EFEITO!$N$1268*EFEITO!$AA$1268</f>
        <v>1387.9737750212762</v>
      </c>
      <c r="M1268" s="83">
        <f>$J$1268-EFEITO!$K$1268*EFEITO!$Y$1268</f>
        <v>0</v>
      </c>
      <c r="N1268" s="83">
        <f ca="1">$K$1268-EFEITO!$M$1268*EFEITO!$Z$1268</f>
        <v>0</v>
      </c>
      <c r="O1268" s="83">
        <f>$L$1268-EFEITO!$O$1268*EFEITO!$AA$1268</f>
        <v>0</v>
      </c>
      <c r="P1268" s="61"/>
      <c r="Q1268" s="61"/>
      <c r="R1268" s="61"/>
      <c r="S1268" s="61"/>
      <c r="T1268" s="61"/>
      <c r="U1268" s="61"/>
      <c r="V1268" s="61"/>
      <c r="W1268" s="61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</row>
    <row r="1269" spans="1:36" ht="11.25" customHeight="1" x14ac:dyDescent="0.2">
      <c r="A1269" s="57" t="s">
        <v>21</v>
      </c>
      <c r="B1269" s="57" t="s">
        <v>35</v>
      </c>
      <c r="C1269" s="57" t="s">
        <v>36</v>
      </c>
      <c r="D1269" s="57" t="s">
        <v>48</v>
      </c>
      <c r="E1269" s="57" t="s">
        <v>25</v>
      </c>
      <c r="F1269" s="57" t="s">
        <v>25</v>
      </c>
      <c r="G1269" s="57" t="s">
        <v>25</v>
      </c>
      <c r="H1269" s="57" t="s">
        <v>37</v>
      </c>
      <c r="I1269" s="82">
        <v>44287</v>
      </c>
      <c r="J1269" s="83">
        <f>EFEITO!$J$1269*EFEITO!$Y$1269</f>
        <v>0</v>
      </c>
      <c r="K1269" s="83">
        <f ca="1">EFEITO!$L$1269*EFEITO!$Z$1269</f>
        <v>1265243.5690093518</v>
      </c>
      <c r="L1269" s="83">
        <f>EFEITO!$N$1269*EFEITO!$AA$1269</f>
        <v>357932.31268533121</v>
      </c>
      <c r="M1269" s="83">
        <f>$J$1269-EFEITO!$K$1269*EFEITO!$Y$1269</f>
        <v>0</v>
      </c>
      <c r="N1269" s="83">
        <f ca="1">$K$1269-EFEITO!$M$1269*EFEITO!$Z$1269</f>
        <v>0</v>
      </c>
      <c r="O1269" s="83">
        <f>$L$1269-EFEITO!$O$1269*EFEITO!$AA$1269</f>
        <v>0</v>
      </c>
      <c r="P1269" s="61"/>
      <c r="Q1269" s="61"/>
      <c r="R1269" s="61"/>
      <c r="S1269" s="61"/>
      <c r="T1269" s="61"/>
      <c r="U1269" s="61"/>
      <c r="V1269" s="61"/>
      <c r="W1269" s="61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</row>
    <row r="1270" spans="1:36" ht="11.25" customHeight="1" x14ac:dyDescent="0.2">
      <c r="A1270" s="57" t="s">
        <v>27</v>
      </c>
      <c r="B1270" s="57" t="s">
        <v>35</v>
      </c>
      <c r="C1270" s="57" t="s">
        <v>36</v>
      </c>
      <c r="D1270" s="57" t="s">
        <v>48</v>
      </c>
      <c r="E1270" s="57" t="s">
        <v>25</v>
      </c>
      <c r="F1270" s="57" t="s">
        <v>25</v>
      </c>
      <c r="G1270" s="57" t="s">
        <v>25</v>
      </c>
      <c r="H1270" s="57" t="s">
        <v>37</v>
      </c>
      <c r="I1270" s="82">
        <v>44287</v>
      </c>
      <c r="J1270" s="83">
        <f>EFEITO!$J$1270*EFEITO!$Y$1270</f>
        <v>0</v>
      </c>
      <c r="K1270" s="83">
        <f ca="1">EFEITO!$L$1270*EFEITO!$Z$1270</f>
        <v>-181.47705435083688</v>
      </c>
      <c r="L1270" s="83">
        <f>EFEITO!$N$1270*EFEITO!$AA$1270</f>
        <v>-51.339128175909721</v>
      </c>
      <c r="M1270" s="83">
        <f>$J$1270-EFEITO!$K$1270*EFEITO!$Y$1270</f>
        <v>0</v>
      </c>
      <c r="N1270" s="83">
        <f ca="1">$K$1270-EFEITO!$M$1270*EFEITO!$Z$1270</f>
        <v>0</v>
      </c>
      <c r="O1270" s="83">
        <f>$L$1270-EFEITO!$O$1270*EFEITO!$AA$1270</f>
        <v>0</v>
      </c>
      <c r="P1270" s="61"/>
      <c r="Q1270" s="61"/>
      <c r="R1270" s="61"/>
      <c r="S1270" s="61"/>
      <c r="T1270" s="61"/>
      <c r="U1270" s="61"/>
      <c r="V1270" s="61"/>
      <c r="W1270" s="61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</row>
    <row r="1271" spans="1:36" ht="11.25" customHeight="1" x14ac:dyDescent="0.2">
      <c r="A1271" s="57" t="s">
        <v>28</v>
      </c>
      <c r="B1271" s="57" t="s">
        <v>35</v>
      </c>
      <c r="C1271" s="57" t="s">
        <v>36</v>
      </c>
      <c r="D1271" s="57" t="s">
        <v>48</v>
      </c>
      <c r="E1271" s="57" t="s">
        <v>25</v>
      </c>
      <c r="F1271" s="57" t="s">
        <v>25</v>
      </c>
      <c r="G1271" s="57" t="s">
        <v>25</v>
      </c>
      <c r="H1271" s="57" t="s">
        <v>37</v>
      </c>
      <c r="I1271" s="82">
        <v>44287</v>
      </c>
      <c r="J1271" s="83">
        <f>EFEITO!$J$1271*EFEITO!$Y$1271</f>
        <v>0</v>
      </c>
      <c r="K1271" s="83">
        <f ca="1">EFEITO!$L$1271*EFEITO!$Z$1271</f>
        <v>334439.72728575242</v>
      </c>
      <c r="L1271" s="83">
        <f>EFEITO!$N$1271*EFEITO!$AA$1271</f>
        <v>94611.652628250624</v>
      </c>
      <c r="M1271" s="83">
        <f>$J$1271-EFEITO!$K$1271*EFEITO!$Y$1271</f>
        <v>0</v>
      </c>
      <c r="N1271" s="83">
        <f ca="1">$K$1271-EFEITO!$M$1271*EFEITO!$Z$1271</f>
        <v>0</v>
      </c>
      <c r="O1271" s="83">
        <f>$L$1271-EFEITO!$O$1271*EFEITO!$AA$1271</f>
        <v>0</v>
      </c>
      <c r="P1271" s="61"/>
      <c r="Q1271" s="61"/>
      <c r="R1271" s="61"/>
      <c r="S1271" s="61"/>
      <c r="T1271" s="61"/>
      <c r="U1271" s="61"/>
      <c r="V1271" s="61"/>
      <c r="W1271" s="61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</row>
    <row r="1272" spans="1:36" ht="11.25" customHeight="1" x14ac:dyDescent="0.2">
      <c r="A1272" s="57" t="s">
        <v>29</v>
      </c>
      <c r="B1272" s="57" t="s">
        <v>35</v>
      </c>
      <c r="C1272" s="57" t="s">
        <v>36</v>
      </c>
      <c r="D1272" s="57" t="s">
        <v>48</v>
      </c>
      <c r="E1272" s="57" t="s">
        <v>25</v>
      </c>
      <c r="F1272" s="57" t="s">
        <v>25</v>
      </c>
      <c r="G1272" s="57" t="s">
        <v>25</v>
      </c>
      <c r="H1272" s="57" t="s">
        <v>37</v>
      </c>
      <c r="I1272" s="82">
        <v>44287</v>
      </c>
      <c r="J1272" s="83">
        <f>EFEITO!$J$1272*EFEITO!$Y$1272</f>
        <v>0</v>
      </c>
      <c r="K1272" s="83">
        <f ca="1">EFEITO!$L$1272*EFEITO!$Z$1272</f>
        <v>-1027.8346441109345</v>
      </c>
      <c r="L1272" s="83">
        <f>EFEITO!$N$1272*EFEITO!$AA$1272</f>
        <v>-290.77028347417894</v>
      </c>
      <c r="M1272" s="83">
        <f>$J$1272-EFEITO!$K$1272*EFEITO!$Y$1272</f>
        <v>0</v>
      </c>
      <c r="N1272" s="83">
        <f ca="1">$K$1272-EFEITO!$M$1272*EFEITO!$Z$1272</f>
        <v>0</v>
      </c>
      <c r="O1272" s="83">
        <f>$L$1272-EFEITO!$O$1272*EFEITO!$AA$1272</f>
        <v>0</v>
      </c>
      <c r="P1272" s="61"/>
      <c r="Q1272" s="61"/>
      <c r="R1272" s="61"/>
      <c r="S1272" s="61"/>
      <c r="T1272" s="61"/>
      <c r="U1272" s="61"/>
      <c r="V1272" s="61"/>
      <c r="W1272" s="61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</row>
    <row r="1273" spans="1:36" ht="11.25" customHeight="1" x14ac:dyDescent="0.2">
      <c r="A1273" s="57" t="s">
        <v>30</v>
      </c>
      <c r="B1273" s="57" t="s">
        <v>35</v>
      </c>
      <c r="C1273" s="57" t="s">
        <v>36</v>
      </c>
      <c r="D1273" s="57" t="s">
        <v>48</v>
      </c>
      <c r="E1273" s="57" t="s">
        <v>25</v>
      </c>
      <c r="F1273" s="57" t="s">
        <v>25</v>
      </c>
      <c r="G1273" s="57" t="s">
        <v>25</v>
      </c>
      <c r="H1273" s="57" t="s">
        <v>37</v>
      </c>
      <c r="I1273" s="82">
        <v>44287</v>
      </c>
      <c r="J1273" s="83">
        <f>EFEITO!$J$1273*EFEITO!$Y$1273</f>
        <v>0</v>
      </c>
      <c r="K1273" s="83">
        <f ca="1">EFEITO!$L$1273*EFEITO!$Z$1273</f>
        <v>5429.8577058422952</v>
      </c>
      <c r="L1273" s="83">
        <f>EFEITO!$N$1273*EFEITO!$AA$1273</f>
        <v>1536.0848881659358</v>
      </c>
      <c r="M1273" s="83">
        <f>$J$1273-EFEITO!$K$1273*EFEITO!$Y$1273</f>
        <v>0</v>
      </c>
      <c r="N1273" s="83">
        <f ca="1">$K$1273-EFEITO!$M$1273*EFEITO!$Z$1273</f>
        <v>0</v>
      </c>
      <c r="O1273" s="83">
        <f>$L$1273-EFEITO!$O$1273*EFEITO!$AA$1273</f>
        <v>0</v>
      </c>
      <c r="P1273" s="61"/>
      <c r="Q1273" s="61"/>
      <c r="R1273" s="61"/>
      <c r="S1273" s="61"/>
      <c r="T1273" s="61"/>
      <c r="U1273" s="61"/>
      <c r="V1273" s="61"/>
      <c r="W1273" s="61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</row>
    <row r="1274" spans="1:36" ht="11.25" customHeight="1" x14ac:dyDescent="0.2">
      <c r="A1274" s="57" t="s">
        <v>21</v>
      </c>
      <c r="B1274" s="57" t="s">
        <v>35</v>
      </c>
      <c r="C1274" s="57" t="s">
        <v>36</v>
      </c>
      <c r="D1274" s="57" t="s">
        <v>48</v>
      </c>
      <c r="E1274" s="57" t="s">
        <v>25</v>
      </c>
      <c r="F1274" s="57" t="s">
        <v>25</v>
      </c>
      <c r="G1274" s="57" t="s">
        <v>25</v>
      </c>
      <c r="H1274" s="57" t="s">
        <v>37</v>
      </c>
      <c r="I1274" s="82">
        <v>44317</v>
      </c>
      <c r="J1274" s="83">
        <f>EFEITO!$J$1274*EFEITO!$Y$1274</f>
        <v>0</v>
      </c>
      <c r="K1274" s="83">
        <f ca="1">EFEITO!$L$1274*EFEITO!$Z$1274</f>
        <v>1356004.5800676101</v>
      </c>
      <c r="L1274" s="83">
        <f>EFEITO!$N$1274*EFEITO!$AA$1274</f>
        <v>383608.23737323709</v>
      </c>
      <c r="M1274" s="83">
        <f>$J$1274-EFEITO!$K$1274*EFEITO!$Y$1274</f>
        <v>0</v>
      </c>
      <c r="N1274" s="83">
        <f ca="1">$K$1274-EFEITO!$M$1274*EFEITO!$Z$1274</f>
        <v>0</v>
      </c>
      <c r="O1274" s="83">
        <f>$L$1274-EFEITO!$O$1274*EFEITO!$AA$1274</f>
        <v>0</v>
      </c>
      <c r="P1274" s="61"/>
      <c r="Q1274" s="61"/>
      <c r="R1274" s="61"/>
      <c r="S1274" s="61"/>
      <c r="T1274" s="61"/>
      <c r="U1274" s="61"/>
      <c r="V1274" s="61"/>
      <c r="W1274" s="61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</row>
    <row r="1275" spans="1:36" ht="11.25" customHeight="1" x14ac:dyDescent="0.2">
      <c r="A1275" s="57" t="s">
        <v>27</v>
      </c>
      <c r="B1275" s="57" t="s">
        <v>35</v>
      </c>
      <c r="C1275" s="57" t="s">
        <v>36</v>
      </c>
      <c r="D1275" s="57" t="s">
        <v>48</v>
      </c>
      <c r="E1275" s="57" t="s">
        <v>25</v>
      </c>
      <c r="F1275" s="57" t="s">
        <v>25</v>
      </c>
      <c r="G1275" s="57" t="s">
        <v>25</v>
      </c>
      <c r="H1275" s="57" t="s">
        <v>37</v>
      </c>
      <c r="I1275" s="82">
        <v>44317</v>
      </c>
      <c r="J1275" s="83">
        <f>EFEITO!$J$1275*EFEITO!$Y$1275</f>
        <v>0</v>
      </c>
      <c r="K1275" s="83">
        <f ca="1">EFEITO!$L$1275*EFEITO!$Z$1275</f>
        <v>22936.772479988071</v>
      </c>
      <c r="L1275" s="83">
        <f>EFEITO!$N$1275*EFEITO!$AA$1275</f>
        <v>6488.7206071534747</v>
      </c>
      <c r="M1275" s="83">
        <f>$J$1275-EFEITO!$K$1275*EFEITO!$Y$1275</f>
        <v>0</v>
      </c>
      <c r="N1275" s="83">
        <f ca="1">$K$1275-EFEITO!$M$1275*EFEITO!$Z$1275</f>
        <v>0</v>
      </c>
      <c r="O1275" s="83">
        <f>$L$1275-EFEITO!$O$1275*EFEITO!$AA$1275</f>
        <v>0</v>
      </c>
      <c r="P1275" s="61"/>
      <c r="Q1275" s="61"/>
      <c r="R1275" s="61"/>
      <c r="S1275" s="61"/>
      <c r="T1275" s="61"/>
      <c r="U1275" s="61"/>
      <c r="V1275" s="61"/>
      <c r="W1275" s="61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</row>
    <row r="1276" spans="1:36" ht="11.25" customHeight="1" x14ac:dyDescent="0.2">
      <c r="A1276" s="57" t="s">
        <v>28</v>
      </c>
      <c r="B1276" s="57" t="s">
        <v>35</v>
      </c>
      <c r="C1276" s="57" t="s">
        <v>36</v>
      </c>
      <c r="D1276" s="57" t="s">
        <v>48</v>
      </c>
      <c r="E1276" s="57" t="s">
        <v>25</v>
      </c>
      <c r="F1276" s="57" t="s">
        <v>25</v>
      </c>
      <c r="G1276" s="57" t="s">
        <v>25</v>
      </c>
      <c r="H1276" s="57" t="s">
        <v>37</v>
      </c>
      <c r="I1276" s="82">
        <v>44317</v>
      </c>
      <c r="J1276" s="83">
        <f>EFEITO!$J$1276*EFEITO!$Y$1276</f>
        <v>0</v>
      </c>
      <c r="K1276" s="83">
        <f ca="1">EFEITO!$L$1276*EFEITO!$Z$1276</f>
        <v>408013.41590451822</v>
      </c>
      <c r="L1276" s="83">
        <f>EFEITO!$N$1276*EFEITO!$AA$1276</f>
        <v>115425.35298218668</v>
      </c>
      <c r="M1276" s="83">
        <f>$J$1276-EFEITO!$K$1276*EFEITO!$Y$1276</f>
        <v>0</v>
      </c>
      <c r="N1276" s="83">
        <f ca="1">$K$1276-EFEITO!$M$1276*EFEITO!$Z$1276</f>
        <v>0</v>
      </c>
      <c r="O1276" s="83">
        <f>$L$1276-EFEITO!$O$1276*EFEITO!$AA$1276</f>
        <v>0</v>
      </c>
      <c r="P1276" s="61"/>
      <c r="Q1276" s="61"/>
      <c r="R1276" s="61"/>
      <c r="S1276" s="61"/>
      <c r="T1276" s="61"/>
      <c r="U1276" s="61"/>
      <c r="V1276" s="61"/>
      <c r="W1276" s="61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</row>
    <row r="1277" spans="1:36" ht="11.25" customHeight="1" x14ac:dyDescent="0.2">
      <c r="A1277" s="57" t="s">
        <v>29</v>
      </c>
      <c r="B1277" s="57" t="s">
        <v>35</v>
      </c>
      <c r="C1277" s="57" t="s">
        <v>36</v>
      </c>
      <c r="D1277" s="57" t="s">
        <v>48</v>
      </c>
      <c r="E1277" s="57" t="s">
        <v>25</v>
      </c>
      <c r="F1277" s="57" t="s">
        <v>25</v>
      </c>
      <c r="G1277" s="57" t="s">
        <v>25</v>
      </c>
      <c r="H1277" s="57" t="s">
        <v>37</v>
      </c>
      <c r="I1277" s="82">
        <v>44317</v>
      </c>
      <c r="J1277" s="83">
        <f>EFEITO!$J$1277*EFEITO!$Y$1277</f>
        <v>0</v>
      </c>
      <c r="K1277" s="83">
        <f ca="1">EFEITO!$L$1277*EFEITO!$Z$1277</f>
        <v>-6404.6946261162602</v>
      </c>
      <c r="L1277" s="83">
        <f>EFEITO!$N$1277*EFEITO!$AA$1277</f>
        <v>-1811.8623288984775</v>
      </c>
      <c r="M1277" s="83">
        <f>$J$1277-EFEITO!$K$1277*EFEITO!$Y$1277</f>
        <v>0</v>
      </c>
      <c r="N1277" s="83">
        <f ca="1">$K$1277-EFEITO!$M$1277*EFEITO!$Z$1277</f>
        <v>0</v>
      </c>
      <c r="O1277" s="83">
        <f>$L$1277-EFEITO!$O$1277*EFEITO!$AA$1277</f>
        <v>0</v>
      </c>
      <c r="P1277" s="61"/>
      <c r="Q1277" s="61"/>
      <c r="R1277" s="61"/>
      <c r="S1277" s="61"/>
      <c r="T1277" s="61"/>
      <c r="U1277" s="61"/>
      <c r="V1277" s="61"/>
      <c r="W1277" s="61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</row>
    <row r="1278" spans="1:36" ht="11.25" customHeight="1" x14ac:dyDescent="0.2">
      <c r="A1278" s="57" t="s">
        <v>30</v>
      </c>
      <c r="B1278" s="57" t="s">
        <v>35</v>
      </c>
      <c r="C1278" s="57" t="s">
        <v>36</v>
      </c>
      <c r="D1278" s="57" t="s">
        <v>48</v>
      </c>
      <c r="E1278" s="57" t="s">
        <v>25</v>
      </c>
      <c r="F1278" s="57" t="s">
        <v>25</v>
      </c>
      <c r="G1278" s="57" t="s">
        <v>25</v>
      </c>
      <c r="H1278" s="57" t="s">
        <v>37</v>
      </c>
      <c r="I1278" s="82">
        <v>44317</v>
      </c>
      <c r="J1278" s="83">
        <f>EFEITO!$J$1278*EFEITO!$Y$1278</f>
        <v>0</v>
      </c>
      <c r="K1278" s="83">
        <f ca="1">EFEITO!$L$1278*EFEITO!$Z$1278</f>
        <v>6642.3813875669139</v>
      </c>
      <c r="L1278" s="83">
        <f>EFEITO!$N$1278*EFEITO!$AA$1278</f>
        <v>1879.1029569518814</v>
      </c>
      <c r="M1278" s="83">
        <f>$J$1278-EFEITO!$K$1278*EFEITO!$Y$1278</f>
        <v>0</v>
      </c>
      <c r="N1278" s="83">
        <f ca="1">$K$1278-EFEITO!$M$1278*EFEITO!$Z$1278</f>
        <v>0</v>
      </c>
      <c r="O1278" s="83">
        <f>$L$1278-EFEITO!$O$1278*EFEITO!$AA$1278</f>
        <v>0</v>
      </c>
      <c r="P1278" s="61"/>
      <c r="Q1278" s="61"/>
      <c r="R1278" s="61"/>
      <c r="S1278" s="61"/>
      <c r="T1278" s="61"/>
      <c r="U1278" s="61"/>
      <c r="V1278" s="61"/>
      <c r="W1278" s="61"/>
      <c r="X1278" s="6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</row>
    <row r="1279" spans="1:36" ht="11.25" customHeight="1" x14ac:dyDescent="0.2">
      <c r="A1279" s="57" t="s">
        <v>21</v>
      </c>
      <c r="B1279" s="57" t="s">
        <v>35</v>
      </c>
      <c r="C1279" s="57" t="s">
        <v>36</v>
      </c>
      <c r="D1279" s="57" t="s">
        <v>48</v>
      </c>
      <c r="E1279" s="57" t="s">
        <v>25</v>
      </c>
      <c r="F1279" s="57" t="s">
        <v>25</v>
      </c>
      <c r="G1279" s="57" t="s">
        <v>25</v>
      </c>
      <c r="H1279" s="57" t="s">
        <v>37</v>
      </c>
      <c r="I1279" s="82">
        <v>44348</v>
      </c>
      <c r="J1279" s="83">
        <f>EFEITO!$J$1279*EFEITO!$Y$1279</f>
        <v>0</v>
      </c>
      <c r="K1279" s="83">
        <f ca="1">EFEITO!$L$1279*EFEITO!$Z$1279</f>
        <v>1538051.7614476024</v>
      </c>
      <c r="L1279" s="83">
        <f>EFEITO!$N$1279*EFEITO!$AA$1279</f>
        <v>435108.65219076141</v>
      </c>
      <c r="M1279" s="83">
        <f>$J$1279-EFEITO!$K$1279*EFEITO!$Y$1279</f>
        <v>0</v>
      </c>
      <c r="N1279" s="83">
        <f ca="1">$K$1279-EFEITO!$M$1279*EFEITO!$Z$1279</f>
        <v>0</v>
      </c>
      <c r="O1279" s="83">
        <f>$L$1279-EFEITO!$O$1279*EFEITO!$AA$1279</f>
        <v>0</v>
      </c>
      <c r="P1279" s="61"/>
      <c r="Q1279" s="61"/>
      <c r="R1279" s="61"/>
      <c r="S1279" s="61"/>
      <c r="T1279" s="61"/>
      <c r="U1279" s="61"/>
      <c r="V1279" s="61"/>
      <c r="W1279" s="61"/>
      <c r="X1279" s="6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</row>
    <row r="1280" spans="1:36" ht="11.25" customHeight="1" x14ac:dyDescent="0.2">
      <c r="A1280" s="57" t="s">
        <v>27</v>
      </c>
      <c r="B1280" s="57" t="s">
        <v>35</v>
      </c>
      <c r="C1280" s="57" t="s">
        <v>36</v>
      </c>
      <c r="D1280" s="57" t="s">
        <v>48</v>
      </c>
      <c r="E1280" s="57" t="s">
        <v>25</v>
      </c>
      <c r="F1280" s="57" t="s">
        <v>25</v>
      </c>
      <c r="G1280" s="57" t="s">
        <v>25</v>
      </c>
      <c r="H1280" s="57" t="s">
        <v>37</v>
      </c>
      <c r="I1280" s="82">
        <v>44348</v>
      </c>
      <c r="J1280" s="83">
        <f>EFEITO!$J$1280*EFEITO!$Y$1280</f>
        <v>0</v>
      </c>
      <c r="K1280" s="83">
        <f ca="1">EFEITO!$L$1280*EFEITO!$Z$1280</f>
        <v>-134.90329703956016</v>
      </c>
      <c r="L1280" s="83">
        <f>EFEITO!$N$1280*EFEITO!$AA$1280</f>
        <v>-38.163599705985987</v>
      </c>
      <c r="M1280" s="83">
        <f>$J$1280-EFEITO!$K$1280*EFEITO!$Y$1280</f>
        <v>0</v>
      </c>
      <c r="N1280" s="83">
        <f ca="1">$K$1280-EFEITO!$M$1280*EFEITO!$Z$1280</f>
        <v>0</v>
      </c>
      <c r="O1280" s="83">
        <f>$L$1280-EFEITO!$O$1280*EFEITO!$AA$1280</f>
        <v>0</v>
      </c>
      <c r="P1280" s="61"/>
      <c r="Q1280" s="61"/>
      <c r="R1280" s="61"/>
      <c r="S1280" s="61"/>
      <c r="T1280" s="61"/>
      <c r="U1280" s="61"/>
      <c r="V1280" s="61"/>
      <c r="W1280" s="61"/>
      <c r="X1280" s="6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</row>
    <row r="1281" spans="1:36" ht="11.25" customHeight="1" x14ac:dyDescent="0.2">
      <c r="A1281" s="57" t="s">
        <v>28</v>
      </c>
      <c r="B1281" s="57" t="s">
        <v>35</v>
      </c>
      <c r="C1281" s="57" t="s">
        <v>36</v>
      </c>
      <c r="D1281" s="57" t="s">
        <v>48</v>
      </c>
      <c r="E1281" s="57" t="s">
        <v>25</v>
      </c>
      <c r="F1281" s="57" t="s">
        <v>25</v>
      </c>
      <c r="G1281" s="57" t="s">
        <v>25</v>
      </c>
      <c r="H1281" s="57" t="s">
        <v>37</v>
      </c>
      <c r="I1281" s="82">
        <v>44348</v>
      </c>
      <c r="J1281" s="83">
        <f>EFEITO!$J$1281*EFEITO!$Y$1281</f>
        <v>0</v>
      </c>
      <c r="K1281" s="83">
        <f ca="1">EFEITO!$L$1281*EFEITO!$Z$1281</f>
        <v>485152.40594504389</v>
      </c>
      <c r="L1281" s="83">
        <f>EFEITO!$N$1281*EFEITO!$AA$1281</f>
        <v>137247.66275692382</v>
      </c>
      <c r="M1281" s="83">
        <f>$J$1281-EFEITO!$K$1281*EFEITO!$Y$1281</f>
        <v>0</v>
      </c>
      <c r="N1281" s="83">
        <f ca="1">$K$1281-EFEITO!$M$1281*EFEITO!$Z$1281</f>
        <v>0</v>
      </c>
      <c r="O1281" s="83">
        <f>$L$1281-EFEITO!$O$1281*EFEITO!$AA$1281</f>
        <v>0</v>
      </c>
      <c r="P1281" s="61"/>
      <c r="Q1281" s="61"/>
      <c r="R1281" s="61"/>
      <c r="S1281" s="61"/>
      <c r="T1281" s="61"/>
      <c r="U1281" s="61"/>
      <c r="V1281" s="61"/>
      <c r="W1281" s="61"/>
      <c r="X1281" s="6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</row>
    <row r="1282" spans="1:36" ht="11.25" customHeight="1" x14ac:dyDescent="0.2">
      <c r="A1282" s="57" t="s">
        <v>29</v>
      </c>
      <c r="B1282" s="57" t="s">
        <v>35</v>
      </c>
      <c r="C1282" s="57" t="s">
        <v>36</v>
      </c>
      <c r="D1282" s="57" t="s">
        <v>48</v>
      </c>
      <c r="E1282" s="57" t="s">
        <v>25</v>
      </c>
      <c r="F1282" s="57" t="s">
        <v>25</v>
      </c>
      <c r="G1282" s="57" t="s">
        <v>25</v>
      </c>
      <c r="H1282" s="57" t="s">
        <v>37</v>
      </c>
      <c r="I1282" s="82">
        <v>44348</v>
      </c>
      <c r="J1282" s="83">
        <f>EFEITO!$J$1282*EFEITO!$Y$1282</f>
        <v>0</v>
      </c>
      <c r="K1282" s="83">
        <f ca="1">EFEITO!$L$1282*EFEITO!$Z$1282</f>
        <v>607.0648366780207</v>
      </c>
      <c r="L1282" s="83">
        <f>EFEITO!$N$1282*EFEITO!$AA$1282</f>
        <v>171.73619867693694</v>
      </c>
      <c r="M1282" s="83">
        <f>$J$1282-EFEITO!$K$1282*EFEITO!$Y$1282</f>
        <v>0</v>
      </c>
      <c r="N1282" s="83">
        <f ca="1">$K$1282-EFEITO!$M$1282*EFEITO!$Z$1282</f>
        <v>0</v>
      </c>
      <c r="O1282" s="83">
        <f>$L$1282-EFEITO!$O$1282*EFEITO!$AA$1282</f>
        <v>0</v>
      </c>
      <c r="P1282" s="61"/>
      <c r="Q1282" s="61"/>
      <c r="R1282" s="61"/>
      <c r="S1282" s="61"/>
      <c r="T1282" s="61"/>
      <c r="U1282" s="61"/>
      <c r="V1282" s="61"/>
      <c r="W1282" s="61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</row>
    <row r="1283" spans="1:36" ht="11.25" customHeight="1" x14ac:dyDescent="0.2">
      <c r="A1283" s="57" t="s">
        <v>30</v>
      </c>
      <c r="B1283" s="57" t="s">
        <v>35</v>
      </c>
      <c r="C1283" s="57" t="s">
        <v>36</v>
      </c>
      <c r="D1283" s="57" t="s">
        <v>48</v>
      </c>
      <c r="E1283" s="57" t="s">
        <v>25</v>
      </c>
      <c r="F1283" s="57" t="s">
        <v>25</v>
      </c>
      <c r="G1283" s="57" t="s">
        <v>25</v>
      </c>
      <c r="H1283" s="57" t="s">
        <v>37</v>
      </c>
      <c r="I1283" s="82">
        <v>44348</v>
      </c>
      <c r="J1283" s="83">
        <f>EFEITO!$J$1283*EFEITO!$Y$1283</f>
        <v>0</v>
      </c>
      <c r="K1283" s="83">
        <f ca="1">EFEITO!$L$1283*EFEITO!$Z$1283</f>
        <v>6483.3882160560033</v>
      </c>
      <c r="L1283" s="83">
        <f>EFEITO!$N$1283*EFEITO!$AA$1283</f>
        <v>1834.1244287269694</v>
      </c>
      <c r="M1283" s="83">
        <f>$J$1283-EFEITO!$K$1283*EFEITO!$Y$1283</f>
        <v>0</v>
      </c>
      <c r="N1283" s="83">
        <f ca="1">$K$1283-EFEITO!$M$1283*EFEITO!$Z$1283</f>
        <v>0</v>
      </c>
      <c r="O1283" s="83">
        <f>$L$1283-EFEITO!$O$1283*EFEITO!$AA$1283</f>
        <v>0</v>
      </c>
      <c r="P1283" s="61"/>
      <c r="Q1283" s="61"/>
      <c r="R1283" s="61"/>
      <c r="S1283" s="61"/>
      <c r="T1283" s="61"/>
      <c r="U1283" s="61"/>
      <c r="V1283" s="61"/>
      <c r="W1283" s="61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</row>
    <row r="1284" spans="1:36" ht="11.25" customHeight="1" x14ac:dyDescent="0.2">
      <c r="A1284" s="57" t="s">
        <v>21</v>
      </c>
      <c r="B1284" s="57" t="s">
        <v>35</v>
      </c>
      <c r="C1284" s="57" t="s">
        <v>36</v>
      </c>
      <c r="D1284" s="57" t="s">
        <v>48</v>
      </c>
      <c r="E1284" s="57" t="s">
        <v>25</v>
      </c>
      <c r="F1284" s="57" t="s">
        <v>25</v>
      </c>
      <c r="G1284" s="57" t="s">
        <v>25</v>
      </c>
      <c r="H1284" s="57" t="s">
        <v>37</v>
      </c>
      <c r="I1284" s="82">
        <v>44378</v>
      </c>
      <c r="J1284" s="83">
        <f>EFEITO!$J$1284*EFEITO!$Y$1284</f>
        <v>0</v>
      </c>
      <c r="K1284" s="83">
        <f ca="1">EFEITO!$L$1284*EFEITO!$Z$1284</f>
        <v>1658904.2377038395</v>
      </c>
      <c r="L1284" s="83">
        <f>EFEITO!$N$1284*EFEITO!$AA$1284</f>
        <v>469297.33125594171</v>
      </c>
      <c r="M1284" s="83">
        <f>$J$1284-EFEITO!$K$1284*EFEITO!$Y$1284</f>
        <v>0</v>
      </c>
      <c r="N1284" s="83">
        <f ca="1">$K$1284-EFEITO!$M$1284*EFEITO!$Z$1284</f>
        <v>0</v>
      </c>
      <c r="O1284" s="83">
        <f>$L$1284-EFEITO!$O$1284*EFEITO!$AA$1284</f>
        <v>0</v>
      </c>
      <c r="P1284" s="61"/>
      <c r="Q1284" s="61"/>
      <c r="R1284" s="61"/>
      <c r="S1284" s="61"/>
      <c r="T1284" s="61"/>
      <c r="U1284" s="61"/>
      <c r="V1284" s="61"/>
      <c r="W1284" s="61"/>
      <c r="X1284" s="6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</row>
    <row r="1285" spans="1:36" ht="11.25" customHeight="1" x14ac:dyDescent="0.2">
      <c r="A1285" s="57" t="s">
        <v>28</v>
      </c>
      <c r="B1285" s="57" t="s">
        <v>35</v>
      </c>
      <c r="C1285" s="57" t="s">
        <v>36</v>
      </c>
      <c r="D1285" s="57" t="s">
        <v>48</v>
      </c>
      <c r="E1285" s="57" t="s">
        <v>25</v>
      </c>
      <c r="F1285" s="57" t="s">
        <v>25</v>
      </c>
      <c r="G1285" s="57" t="s">
        <v>25</v>
      </c>
      <c r="H1285" s="57" t="s">
        <v>37</v>
      </c>
      <c r="I1285" s="82">
        <v>44378</v>
      </c>
      <c r="J1285" s="83">
        <f>EFEITO!$J$1285*EFEITO!$Y$1285</f>
        <v>0</v>
      </c>
      <c r="K1285" s="83">
        <f ca="1">EFEITO!$L$1285*EFEITO!$Z$1285</f>
        <v>515362.7145237482</v>
      </c>
      <c r="L1285" s="83">
        <f>EFEITO!$N$1285*EFEITO!$AA$1285</f>
        <v>145794.03744822502</v>
      </c>
      <c r="M1285" s="83">
        <f>$J$1285-EFEITO!$K$1285*EFEITO!$Y$1285</f>
        <v>0</v>
      </c>
      <c r="N1285" s="83">
        <f ca="1">$K$1285-EFEITO!$M$1285*EFEITO!$Z$1285</f>
        <v>0</v>
      </c>
      <c r="O1285" s="83">
        <f>$L$1285-EFEITO!$O$1285*EFEITO!$AA$1285</f>
        <v>0</v>
      </c>
      <c r="P1285" s="61"/>
      <c r="Q1285" s="61"/>
      <c r="R1285" s="61"/>
      <c r="S1285" s="61"/>
      <c r="T1285" s="61"/>
      <c r="U1285" s="61"/>
      <c r="V1285" s="61"/>
      <c r="W1285" s="61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</row>
    <row r="1286" spans="1:36" ht="11.25" customHeight="1" x14ac:dyDescent="0.2">
      <c r="A1286" s="57" t="s">
        <v>30</v>
      </c>
      <c r="B1286" s="57" t="s">
        <v>35</v>
      </c>
      <c r="C1286" s="57" t="s">
        <v>36</v>
      </c>
      <c r="D1286" s="57" t="s">
        <v>48</v>
      </c>
      <c r="E1286" s="57" t="s">
        <v>25</v>
      </c>
      <c r="F1286" s="57" t="s">
        <v>25</v>
      </c>
      <c r="G1286" s="57" t="s">
        <v>25</v>
      </c>
      <c r="H1286" s="57" t="s">
        <v>37</v>
      </c>
      <c r="I1286" s="82">
        <v>44378</v>
      </c>
      <c r="J1286" s="83">
        <f>EFEITO!$J$1286*EFEITO!$Y$1286</f>
        <v>0</v>
      </c>
      <c r="K1286" s="83">
        <f ca="1">EFEITO!$L$1286*EFEITO!$Z$1286</f>
        <v>6878.462157386145</v>
      </c>
      <c r="L1286" s="83">
        <f>EFEITO!$N$1286*EFEITO!$AA$1286</f>
        <v>1945.8892564373571</v>
      </c>
      <c r="M1286" s="83">
        <f>$J$1286-EFEITO!$K$1286*EFEITO!$Y$1286</f>
        <v>0</v>
      </c>
      <c r="N1286" s="83">
        <f ca="1">$K$1286-EFEITO!$M$1286*EFEITO!$Z$1286</f>
        <v>0</v>
      </c>
      <c r="O1286" s="83">
        <f>$L$1286-EFEITO!$O$1286*EFEITO!$AA$1286</f>
        <v>0</v>
      </c>
      <c r="P1286" s="61"/>
      <c r="Q1286" s="61"/>
      <c r="R1286" s="61"/>
      <c r="S1286" s="61"/>
      <c r="T1286" s="61"/>
      <c r="U1286" s="61"/>
      <c r="V1286" s="61"/>
      <c r="W1286" s="61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</row>
    <row r="1287" spans="1:36" ht="11.25" customHeight="1" x14ac:dyDescent="0.2">
      <c r="A1287" s="57" t="s">
        <v>21</v>
      </c>
      <c r="B1287" s="57" t="s">
        <v>35</v>
      </c>
      <c r="C1287" s="57" t="s">
        <v>36</v>
      </c>
      <c r="D1287" s="57" t="s">
        <v>48</v>
      </c>
      <c r="E1287" s="57" t="s">
        <v>25</v>
      </c>
      <c r="F1287" s="57" t="s">
        <v>25</v>
      </c>
      <c r="G1287" s="57" t="s">
        <v>25</v>
      </c>
      <c r="H1287" s="57" t="s">
        <v>37</v>
      </c>
      <c r="I1287" s="82">
        <v>44409</v>
      </c>
      <c r="J1287" s="83">
        <f>EFEITO!$J$1287*EFEITO!$Y$1287</f>
        <v>0</v>
      </c>
      <c r="K1287" s="83">
        <f ca="1">EFEITO!$L$1287*EFEITO!$Z$1287</f>
        <v>1572930.6876988544</v>
      </c>
      <c r="L1287" s="83">
        <f>EFEITO!$N$1287*EFEITO!$AA$1287</f>
        <v>444975.76002903044</v>
      </c>
      <c r="M1287" s="83">
        <f>$J$1287-EFEITO!$K$1287*EFEITO!$Y$1287</f>
        <v>0</v>
      </c>
      <c r="N1287" s="83">
        <f ca="1">$K$1287-EFEITO!$M$1287*EFEITO!$Z$1287</f>
        <v>0</v>
      </c>
      <c r="O1287" s="83">
        <f>$L$1287-EFEITO!$O$1287*EFEITO!$AA$1287</f>
        <v>0</v>
      </c>
      <c r="P1287" s="61"/>
      <c r="Q1287" s="61"/>
      <c r="R1287" s="61"/>
      <c r="S1287" s="61"/>
      <c r="T1287" s="61"/>
      <c r="U1287" s="61"/>
      <c r="V1287" s="61"/>
      <c r="W1287" s="61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</row>
    <row r="1288" spans="1:36" ht="11.25" customHeight="1" x14ac:dyDescent="0.2">
      <c r="A1288" s="57" t="s">
        <v>27</v>
      </c>
      <c r="B1288" s="57" t="s">
        <v>35</v>
      </c>
      <c r="C1288" s="57" t="s">
        <v>36</v>
      </c>
      <c r="D1288" s="57" t="s">
        <v>48</v>
      </c>
      <c r="E1288" s="57" t="s">
        <v>25</v>
      </c>
      <c r="F1288" s="57" t="s">
        <v>25</v>
      </c>
      <c r="G1288" s="57" t="s">
        <v>25</v>
      </c>
      <c r="H1288" s="57" t="s">
        <v>37</v>
      </c>
      <c r="I1288" s="82">
        <v>44409</v>
      </c>
      <c r="J1288" s="83">
        <f>EFEITO!$J$1288*EFEITO!$Y$1288</f>
        <v>0</v>
      </c>
      <c r="K1288" s="83">
        <f ca="1">EFEITO!$L$1288*EFEITO!$Z$1288</f>
        <v>-3441969.2944246489</v>
      </c>
      <c r="L1288" s="83">
        <f>EFEITO!$N$1288*EFEITO!$AA$1288</f>
        <v>-973719.2584269963</v>
      </c>
      <c r="M1288" s="83">
        <f>$J$1288-EFEITO!$K$1288*EFEITO!$Y$1288</f>
        <v>0</v>
      </c>
      <c r="N1288" s="83">
        <f ca="1">$K$1288-EFEITO!$M$1288*EFEITO!$Z$1288</f>
        <v>0</v>
      </c>
      <c r="O1288" s="83">
        <f>$L$1288-EFEITO!$O$1288*EFEITO!$AA$1288</f>
        <v>0</v>
      </c>
      <c r="P1288" s="61"/>
      <c r="Q1288" s="61"/>
      <c r="R1288" s="61"/>
      <c r="S1288" s="61"/>
      <c r="T1288" s="61"/>
      <c r="U1288" s="61"/>
      <c r="V1288" s="61"/>
      <c r="W1288" s="61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</row>
    <row r="1289" spans="1:36" ht="11.25" customHeight="1" x14ac:dyDescent="0.2">
      <c r="A1289" s="57" t="s">
        <v>28</v>
      </c>
      <c r="B1289" s="57" t="s">
        <v>35</v>
      </c>
      <c r="C1289" s="57" t="s">
        <v>36</v>
      </c>
      <c r="D1289" s="57" t="s">
        <v>48</v>
      </c>
      <c r="E1289" s="57" t="s">
        <v>25</v>
      </c>
      <c r="F1289" s="57" t="s">
        <v>25</v>
      </c>
      <c r="G1289" s="57" t="s">
        <v>25</v>
      </c>
      <c r="H1289" s="57" t="s">
        <v>37</v>
      </c>
      <c r="I1289" s="82">
        <v>44409</v>
      </c>
      <c r="J1289" s="83">
        <f>EFEITO!$J$1289*EFEITO!$Y$1289</f>
        <v>0</v>
      </c>
      <c r="K1289" s="83">
        <f ca="1">EFEITO!$L$1289*EFEITO!$Z$1289</f>
        <v>478034.65103457565</v>
      </c>
      <c r="L1289" s="83">
        <f>EFEITO!$N$1289*EFEITO!$AA$1289</f>
        <v>135234.07854386512</v>
      </c>
      <c r="M1289" s="83">
        <f>$J$1289-EFEITO!$K$1289*EFEITO!$Y$1289</f>
        <v>0</v>
      </c>
      <c r="N1289" s="83">
        <f ca="1">$K$1289-EFEITO!$M$1289*EFEITO!$Z$1289</f>
        <v>0</v>
      </c>
      <c r="O1289" s="83">
        <f>$L$1289-EFEITO!$O$1289*EFEITO!$AA$1289</f>
        <v>0</v>
      </c>
      <c r="P1289" s="61"/>
      <c r="Q1289" s="61"/>
      <c r="R1289" s="61"/>
      <c r="S1289" s="61"/>
      <c r="T1289" s="61"/>
      <c r="U1289" s="61"/>
      <c r="V1289" s="61"/>
      <c r="W1289" s="61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</row>
    <row r="1290" spans="1:36" ht="11.25" customHeight="1" x14ac:dyDescent="0.2">
      <c r="A1290" s="57" t="s">
        <v>30</v>
      </c>
      <c r="B1290" s="57" t="s">
        <v>35</v>
      </c>
      <c r="C1290" s="57" t="s">
        <v>36</v>
      </c>
      <c r="D1290" s="57" t="s">
        <v>48</v>
      </c>
      <c r="E1290" s="57" t="s">
        <v>25</v>
      </c>
      <c r="F1290" s="57" t="s">
        <v>25</v>
      </c>
      <c r="G1290" s="57" t="s">
        <v>25</v>
      </c>
      <c r="H1290" s="57" t="s">
        <v>37</v>
      </c>
      <c r="I1290" s="82">
        <v>44409</v>
      </c>
      <c r="J1290" s="83">
        <f>EFEITO!$J$1290*EFEITO!$Y$1290</f>
        <v>0</v>
      </c>
      <c r="K1290" s="83">
        <f ca="1">EFEITO!$L$1290*EFEITO!$Z$1290</f>
        <v>1156.3139746248012</v>
      </c>
      <c r="L1290" s="83">
        <f>EFEITO!$N$1290*EFEITO!$AA$1290</f>
        <v>327.11656890845131</v>
      </c>
      <c r="M1290" s="83">
        <f>$J$1290-EFEITO!$K$1290*EFEITO!$Y$1290</f>
        <v>0</v>
      </c>
      <c r="N1290" s="83">
        <f ca="1">$K$1290-EFEITO!$M$1290*EFEITO!$Z$1290</f>
        <v>0</v>
      </c>
      <c r="O1290" s="83">
        <f>$L$1290-EFEITO!$O$1290*EFEITO!$AA$1290</f>
        <v>0</v>
      </c>
      <c r="P1290" s="61"/>
      <c r="Q1290" s="61"/>
      <c r="R1290" s="61"/>
      <c r="S1290" s="61"/>
      <c r="T1290" s="61"/>
      <c r="U1290" s="61"/>
      <c r="V1290" s="61"/>
      <c r="W1290" s="61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</row>
    <row r="1291" spans="1:36" ht="11.25" customHeight="1" x14ac:dyDescent="0.2">
      <c r="A1291" s="57" t="s">
        <v>21</v>
      </c>
      <c r="B1291" s="57" t="s">
        <v>35</v>
      </c>
      <c r="C1291" s="57" t="s">
        <v>36</v>
      </c>
      <c r="D1291" s="57" t="s">
        <v>48</v>
      </c>
      <c r="E1291" s="57" t="s">
        <v>25</v>
      </c>
      <c r="F1291" s="57" t="s">
        <v>25</v>
      </c>
      <c r="G1291" s="57" t="s">
        <v>25</v>
      </c>
      <c r="H1291" s="57" t="s">
        <v>37</v>
      </c>
      <c r="I1291" s="82">
        <v>44440</v>
      </c>
      <c r="J1291" s="83">
        <f>EFEITO!$J$1291*EFEITO!$Y$1291</f>
        <v>0</v>
      </c>
      <c r="K1291" s="83">
        <f ca="1">EFEITO!$L$1291*EFEITO!$Z$1291</f>
        <v>1497232.2721517154</v>
      </c>
      <c r="L1291" s="83">
        <f>EFEITO!$N$1291*EFEITO!$AA$1291</f>
        <v>423560.98297972512</v>
      </c>
      <c r="M1291" s="83">
        <f>$J$1291-EFEITO!$K$1291*EFEITO!$Y$1291</f>
        <v>0</v>
      </c>
      <c r="N1291" s="83">
        <f ca="1">$K$1291-EFEITO!$M$1291*EFEITO!$Z$1291</f>
        <v>0</v>
      </c>
      <c r="O1291" s="83">
        <f>$L$1291-EFEITO!$O$1291*EFEITO!$AA$1291</f>
        <v>0</v>
      </c>
      <c r="P1291" s="61"/>
      <c r="Q1291" s="61"/>
      <c r="R1291" s="61"/>
      <c r="S1291" s="61"/>
      <c r="T1291" s="61"/>
      <c r="U1291" s="61"/>
      <c r="V1291" s="61"/>
      <c r="W1291" s="61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</row>
    <row r="1292" spans="1:36" ht="11.25" customHeight="1" x14ac:dyDescent="0.2">
      <c r="A1292" s="57" t="s">
        <v>27</v>
      </c>
      <c r="B1292" s="57" t="s">
        <v>35</v>
      </c>
      <c r="C1292" s="57" t="s">
        <v>36</v>
      </c>
      <c r="D1292" s="57" t="s">
        <v>48</v>
      </c>
      <c r="E1292" s="57" t="s">
        <v>25</v>
      </c>
      <c r="F1292" s="57" t="s">
        <v>25</v>
      </c>
      <c r="G1292" s="57" t="s">
        <v>25</v>
      </c>
      <c r="H1292" s="57" t="s">
        <v>37</v>
      </c>
      <c r="I1292" s="82">
        <v>44440</v>
      </c>
      <c r="J1292" s="83">
        <f>EFEITO!$J$1292*EFEITO!$Y$1292</f>
        <v>0</v>
      </c>
      <c r="K1292" s="83">
        <f ca="1">EFEITO!$L$1292*EFEITO!$Z$1292</f>
        <v>-1185.2218239904212</v>
      </c>
      <c r="L1292" s="83">
        <f>EFEITO!$N$1292*EFEITO!$AA$1292</f>
        <v>-335.29448313116256</v>
      </c>
      <c r="M1292" s="83">
        <f>$J$1292-EFEITO!$K$1292*EFEITO!$Y$1292</f>
        <v>0</v>
      </c>
      <c r="N1292" s="83">
        <f ca="1">$K$1292-EFEITO!$M$1292*EFEITO!$Z$1292</f>
        <v>0</v>
      </c>
      <c r="O1292" s="83">
        <f>$L$1292-EFEITO!$O$1292*EFEITO!$AA$1292</f>
        <v>0</v>
      </c>
      <c r="P1292" s="61"/>
      <c r="Q1292" s="61"/>
      <c r="R1292" s="61"/>
      <c r="S1292" s="61"/>
      <c r="T1292" s="61"/>
      <c r="U1292" s="61"/>
      <c r="V1292" s="61"/>
      <c r="W1292" s="61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</row>
    <row r="1293" spans="1:36" ht="11.25" customHeight="1" x14ac:dyDescent="0.2">
      <c r="A1293" s="57" t="s">
        <v>28</v>
      </c>
      <c r="B1293" s="57" t="s">
        <v>35</v>
      </c>
      <c r="C1293" s="57" t="s">
        <v>36</v>
      </c>
      <c r="D1293" s="57" t="s">
        <v>48</v>
      </c>
      <c r="E1293" s="57" t="s">
        <v>25</v>
      </c>
      <c r="F1293" s="57" t="s">
        <v>25</v>
      </c>
      <c r="G1293" s="57" t="s">
        <v>25</v>
      </c>
      <c r="H1293" s="57" t="s">
        <v>37</v>
      </c>
      <c r="I1293" s="82">
        <v>44440</v>
      </c>
      <c r="J1293" s="83">
        <f>EFEITO!$J$1293*EFEITO!$Y$1293</f>
        <v>0</v>
      </c>
      <c r="K1293" s="83">
        <f ca="1">EFEITO!$L$1293*EFEITO!$Z$1293</f>
        <v>496323.68373322464</v>
      </c>
      <c r="L1293" s="83">
        <f>EFEITO!$N$1293*EFEITO!$AA$1293</f>
        <v>140407.9722754338</v>
      </c>
      <c r="M1293" s="83">
        <f>$J$1293-EFEITO!$K$1293*EFEITO!$Y$1293</f>
        <v>0</v>
      </c>
      <c r="N1293" s="83">
        <f ca="1">$K$1293-EFEITO!$M$1293*EFEITO!$Z$1293</f>
        <v>0</v>
      </c>
      <c r="O1293" s="83">
        <f>$L$1293-EFEITO!$O$1293*EFEITO!$AA$1293</f>
        <v>0</v>
      </c>
      <c r="P1293" s="61"/>
      <c r="Q1293" s="61"/>
      <c r="R1293" s="61"/>
      <c r="S1293" s="61"/>
      <c r="T1293" s="61"/>
      <c r="U1293" s="61"/>
      <c r="V1293" s="61"/>
      <c r="W1293" s="61"/>
      <c r="X1293" s="6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</row>
    <row r="1294" spans="1:36" ht="11.25" customHeight="1" x14ac:dyDescent="0.2">
      <c r="A1294" s="57" t="s">
        <v>30</v>
      </c>
      <c r="B1294" s="57" t="s">
        <v>35</v>
      </c>
      <c r="C1294" s="57" t="s">
        <v>36</v>
      </c>
      <c r="D1294" s="57" t="s">
        <v>48</v>
      </c>
      <c r="E1294" s="57" t="s">
        <v>25</v>
      </c>
      <c r="F1294" s="57" t="s">
        <v>25</v>
      </c>
      <c r="G1294" s="57" t="s">
        <v>25</v>
      </c>
      <c r="H1294" s="57" t="s">
        <v>37</v>
      </c>
      <c r="I1294" s="82">
        <v>44440</v>
      </c>
      <c r="J1294" s="83">
        <f>EFEITO!$J$1294*EFEITO!$Y$1294</f>
        <v>0</v>
      </c>
      <c r="K1294" s="83">
        <f ca="1">EFEITO!$L$1294*EFEITO!$Z$1294</f>
        <v>1079.2263763164813</v>
      </c>
      <c r="L1294" s="83">
        <f>EFEITO!$N$1294*EFEITO!$AA$1294</f>
        <v>305.3087976478879</v>
      </c>
      <c r="M1294" s="83">
        <f>$J$1294-EFEITO!$K$1294*EFEITO!$Y$1294</f>
        <v>0</v>
      </c>
      <c r="N1294" s="83">
        <f ca="1">$K$1294-EFEITO!$M$1294*EFEITO!$Z$1294</f>
        <v>0</v>
      </c>
      <c r="O1294" s="83">
        <f>$L$1294-EFEITO!$O$1294*EFEITO!$AA$1294</f>
        <v>0</v>
      </c>
      <c r="P1294" s="61"/>
      <c r="Q1294" s="61"/>
      <c r="R1294" s="61"/>
      <c r="S1294" s="61"/>
      <c r="T1294" s="61"/>
      <c r="U1294" s="61"/>
      <c r="V1294" s="61"/>
      <c r="W1294" s="61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</row>
    <row r="1295" spans="1:36" ht="11.25" customHeight="1" x14ac:dyDescent="0.2">
      <c r="A1295" s="57" t="s">
        <v>59</v>
      </c>
      <c r="B1295" s="57" t="s">
        <v>35</v>
      </c>
      <c r="C1295" s="57" t="s">
        <v>36</v>
      </c>
      <c r="D1295" s="57" t="s">
        <v>48</v>
      </c>
      <c r="E1295" s="57" t="s">
        <v>25</v>
      </c>
      <c r="F1295" s="57" t="s">
        <v>25</v>
      </c>
      <c r="G1295" s="57" t="s">
        <v>25</v>
      </c>
      <c r="H1295" s="57" t="s">
        <v>37</v>
      </c>
      <c r="I1295" s="82">
        <v>44470</v>
      </c>
      <c r="J1295" s="83">
        <f>EFEITO!$J$1295*EFEITO!$Y$1295</f>
        <v>0</v>
      </c>
      <c r="K1295" s="83">
        <f ca="1">EFEITO!$L$1295*EFEITO!$Z$1295</f>
        <v>1497232.2721517154</v>
      </c>
      <c r="L1295" s="83">
        <f>EFEITO!$N$1295*EFEITO!$AA$1295</f>
        <v>423560.98297972512</v>
      </c>
      <c r="M1295" s="83">
        <f>$J$1295-EFEITO!$K$1295*EFEITO!$Y$1295</f>
        <v>0</v>
      </c>
      <c r="N1295" s="83">
        <f ca="1">$K$1295-EFEITO!$M$1295*EFEITO!$Z$1295</f>
        <v>0</v>
      </c>
      <c r="O1295" s="83">
        <f>$L$1295-EFEITO!$O$1295*EFEITO!$AA$1295</f>
        <v>0</v>
      </c>
      <c r="P1295" s="61"/>
      <c r="Q1295" s="61"/>
      <c r="R1295" s="61"/>
      <c r="S1295" s="61"/>
      <c r="T1295" s="61"/>
      <c r="U1295" s="61"/>
      <c r="V1295" s="61"/>
      <c r="W1295" s="61"/>
      <c r="X1295" s="6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</row>
    <row r="1296" spans="1:36" ht="11.25" customHeight="1" x14ac:dyDescent="0.2">
      <c r="A1296" s="57" t="s">
        <v>59</v>
      </c>
      <c r="B1296" s="57" t="s">
        <v>35</v>
      </c>
      <c r="C1296" s="57" t="s">
        <v>36</v>
      </c>
      <c r="D1296" s="57" t="s">
        <v>48</v>
      </c>
      <c r="E1296" s="57" t="s">
        <v>25</v>
      </c>
      <c r="F1296" s="57" t="s">
        <v>25</v>
      </c>
      <c r="G1296" s="57" t="s">
        <v>25</v>
      </c>
      <c r="H1296" s="57" t="s">
        <v>37</v>
      </c>
      <c r="I1296" s="82">
        <v>44470</v>
      </c>
      <c r="J1296" s="83">
        <f>EFEITO!$J$1296*EFEITO!$Y$1296</f>
        <v>0</v>
      </c>
      <c r="K1296" s="83">
        <f ca="1">EFEITO!$L$1296*EFEITO!$Z$1296</f>
        <v>-1185.2218239904212</v>
      </c>
      <c r="L1296" s="83">
        <f>EFEITO!$N$1296*EFEITO!$AA$1296</f>
        <v>-335.29448313116256</v>
      </c>
      <c r="M1296" s="83">
        <f>$J$1296-EFEITO!$K$1296*EFEITO!$Y$1296</f>
        <v>0</v>
      </c>
      <c r="N1296" s="83">
        <f ca="1">$K$1296-EFEITO!$M$1296*EFEITO!$Z$1296</f>
        <v>0</v>
      </c>
      <c r="O1296" s="83">
        <f>$L$1296-EFEITO!$O$1296*EFEITO!$AA$1296</f>
        <v>0</v>
      </c>
      <c r="P1296" s="61"/>
      <c r="Q1296" s="61"/>
      <c r="R1296" s="61"/>
      <c r="S1296" s="61"/>
      <c r="T1296" s="61"/>
      <c r="U1296" s="61"/>
      <c r="V1296" s="61"/>
      <c r="W1296" s="61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</row>
    <row r="1297" spans="1:36" ht="11.25" customHeight="1" x14ac:dyDescent="0.2">
      <c r="A1297" s="57" t="s">
        <v>59</v>
      </c>
      <c r="B1297" s="57" t="s">
        <v>35</v>
      </c>
      <c r="C1297" s="57" t="s">
        <v>36</v>
      </c>
      <c r="D1297" s="57" t="s">
        <v>48</v>
      </c>
      <c r="E1297" s="57" t="s">
        <v>25</v>
      </c>
      <c r="F1297" s="57" t="s">
        <v>25</v>
      </c>
      <c r="G1297" s="57" t="s">
        <v>25</v>
      </c>
      <c r="H1297" s="57" t="s">
        <v>37</v>
      </c>
      <c r="I1297" s="82">
        <v>44470</v>
      </c>
      <c r="J1297" s="83">
        <f>EFEITO!$J$1297*EFEITO!$Y$1297</f>
        <v>0</v>
      </c>
      <c r="K1297" s="83">
        <f ca="1">EFEITO!$L$1297*EFEITO!$Z$1297</f>
        <v>496323.68373322464</v>
      </c>
      <c r="L1297" s="83">
        <f>EFEITO!$N$1297*EFEITO!$AA$1297</f>
        <v>140407.9722754338</v>
      </c>
      <c r="M1297" s="83">
        <f>$J$1297-EFEITO!$K$1297*EFEITO!$Y$1297</f>
        <v>0</v>
      </c>
      <c r="N1297" s="83">
        <f ca="1">$K$1297-EFEITO!$M$1297*EFEITO!$Z$1297</f>
        <v>0</v>
      </c>
      <c r="O1297" s="83">
        <f>$L$1297-EFEITO!$O$1297*EFEITO!$AA$1297</f>
        <v>0</v>
      </c>
      <c r="P1297" s="61"/>
      <c r="Q1297" s="61"/>
      <c r="R1297" s="61"/>
      <c r="S1297" s="61"/>
      <c r="T1297" s="61"/>
      <c r="U1297" s="61"/>
      <c r="V1297" s="61"/>
      <c r="W1297" s="61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</row>
    <row r="1298" spans="1:36" ht="11.25" customHeight="1" x14ac:dyDescent="0.2">
      <c r="A1298" s="57" t="s">
        <v>59</v>
      </c>
      <c r="B1298" s="57" t="s">
        <v>35</v>
      </c>
      <c r="C1298" s="57" t="s">
        <v>36</v>
      </c>
      <c r="D1298" s="57" t="s">
        <v>48</v>
      </c>
      <c r="E1298" s="57" t="s">
        <v>25</v>
      </c>
      <c r="F1298" s="57" t="s">
        <v>25</v>
      </c>
      <c r="G1298" s="57" t="s">
        <v>25</v>
      </c>
      <c r="H1298" s="57" t="s">
        <v>37</v>
      </c>
      <c r="I1298" s="82">
        <v>44470</v>
      </c>
      <c r="J1298" s="83">
        <f>EFEITO!$J$1298*EFEITO!$Y$1298</f>
        <v>0</v>
      </c>
      <c r="K1298" s="83">
        <f ca="1">EFEITO!$L$1298*EFEITO!$Z$1298</f>
        <v>1079.2263763164813</v>
      </c>
      <c r="L1298" s="83">
        <f>EFEITO!$N$1298*EFEITO!$AA$1298</f>
        <v>305.3087976478879</v>
      </c>
      <c r="M1298" s="83">
        <f>$J$1298-EFEITO!$K$1298*EFEITO!$Y$1298</f>
        <v>0</v>
      </c>
      <c r="N1298" s="83">
        <f ca="1">$K$1298-EFEITO!$M$1298*EFEITO!$Z$1298</f>
        <v>0</v>
      </c>
      <c r="O1298" s="83">
        <f>$L$1298-EFEITO!$O$1298*EFEITO!$AA$1298</f>
        <v>0</v>
      </c>
      <c r="P1298" s="61"/>
      <c r="Q1298" s="61"/>
      <c r="R1298" s="61"/>
      <c r="S1298" s="61"/>
      <c r="T1298" s="61"/>
      <c r="U1298" s="61"/>
      <c r="V1298" s="61"/>
      <c r="W1298" s="61"/>
      <c r="X1298" s="6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</row>
    <row r="1299" spans="1:36" ht="11.25" customHeight="1" x14ac:dyDescent="0.2">
      <c r="A1299" s="57" t="s">
        <v>21</v>
      </c>
      <c r="B1299" s="57" t="s">
        <v>35</v>
      </c>
      <c r="C1299" s="57" t="s">
        <v>36</v>
      </c>
      <c r="D1299" s="57" t="s">
        <v>24</v>
      </c>
      <c r="E1299" s="57" t="s">
        <v>24</v>
      </c>
      <c r="F1299" s="57" t="s">
        <v>25</v>
      </c>
      <c r="G1299" s="57" t="s">
        <v>25</v>
      </c>
      <c r="H1299" s="57" t="s">
        <v>38</v>
      </c>
      <c r="I1299" s="82">
        <v>44136</v>
      </c>
      <c r="J1299" s="83">
        <f>EFEITO!$J$1299*EFEITO!$Y$1299</f>
        <v>0</v>
      </c>
      <c r="K1299" s="83">
        <f ca="1">EFEITO!$L$1299*EFEITO!$Z$1299</f>
        <v>69579.006637519633</v>
      </c>
      <c r="L1299" s="83">
        <f>EFEITO!$N$1299*EFEITO!$AA$1299</f>
        <v>116816.31142575873</v>
      </c>
      <c r="M1299" s="83">
        <f>$J$1299-EFEITO!$K$1299*EFEITO!$Y$1299</f>
        <v>0</v>
      </c>
      <c r="N1299" s="83">
        <f ca="1">$K$1299-EFEITO!$M$1299*EFEITO!$Z$1299</f>
        <v>0</v>
      </c>
      <c r="O1299" s="83">
        <f>$L$1299-EFEITO!$O$1299*EFEITO!$AA$1299</f>
        <v>0</v>
      </c>
      <c r="P1299" s="61"/>
      <c r="Q1299" s="61"/>
      <c r="R1299" s="61"/>
      <c r="S1299" s="61"/>
      <c r="T1299" s="61"/>
      <c r="U1299" s="61"/>
      <c r="V1299" s="61"/>
      <c r="W1299" s="61"/>
      <c r="X1299" s="6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</row>
    <row r="1300" spans="1:36" ht="11.25" customHeight="1" x14ac:dyDescent="0.2">
      <c r="A1300" s="57" t="s">
        <v>21</v>
      </c>
      <c r="B1300" s="57" t="s">
        <v>35</v>
      </c>
      <c r="C1300" s="57" t="s">
        <v>36</v>
      </c>
      <c r="D1300" s="57" t="s">
        <v>24</v>
      </c>
      <c r="E1300" s="57" t="s">
        <v>24</v>
      </c>
      <c r="F1300" s="57" t="s">
        <v>25</v>
      </c>
      <c r="G1300" s="57" t="s">
        <v>25</v>
      </c>
      <c r="H1300" s="57" t="s">
        <v>38</v>
      </c>
      <c r="I1300" s="82">
        <v>44166</v>
      </c>
      <c r="J1300" s="83">
        <f>EFEITO!$J$1300*EFEITO!$Y$1300</f>
        <v>0</v>
      </c>
      <c r="K1300" s="83">
        <f ca="1">EFEITO!$L$1300*EFEITO!$Z$1300</f>
        <v>69803.97200159436</v>
      </c>
      <c r="L1300" s="83">
        <f>EFEITO!$N$1300*EFEITO!$AA$1300</f>
        <v>117194.00615438094</v>
      </c>
      <c r="M1300" s="83">
        <f>$J$1300-EFEITO!$K$1300*EFEITO!$Y$1300</f>
        <v>0</v>
      </c>
      <c r="N1300" s="83">
        <f ca="1">$K$1300-EFEITO!$M$1300*EFEITO!$Z$1300</f>
        <v>0</v>
      </c>
      <c r="O1300" s="83">
        <f>$L$1300-EFEITO!$O$1300*EFEITO!$AA$1300</f>
        <v>0</v>
      </c>
      <c r="P1300" s="61"/>
      <c r="Q1300" s="61"/>
      <c r="R1300" s="61"/>
      <c r="S1300" s="61"/>
      <c r="T1300" s="61"/>
      <c r="U1300" s="61"/>
      <c r="V1300" s="61"/>
      <c r="W1300" s="61"/>
      <c r="X1300" s="6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</row>
    <row r="1301" spans="1:36" ht="11.25" customHeight="1" x14ac:dyDescent="0.2">
      <c r="A1301" s="57" t="s">
        <v>21</v>
      </c>
      <c r="B1301" s="57" t="s">
        <v>35</v>
      </c>
      <c r="C1301" s="57" t="s">
        <v>36</v>
      </c>
      <c r="D1301" s="57" t="s">
        <v>24</v>
      </c>
      <c r="E1301" s="57" t="s">
        <v>24</v>
      </c>
      <c r="F1301" s="57" t="s">
        <v>25</v>
      </c>
      <c r="G1301" s="57" t="s">
        <v>25</v>
      </c>
      <c r="H1301" s="57" t="s">
        <v>38</v>
      </c>
      <c r="I1301" s="82">
        <v>44197</v>
      </c>
      <c r="J1301" s="83">
        <f>EFEITO!$J$1301*EFEITO!$Y$1301</f>
        <v>0</v>
      </c>
      <c r="K1301" s="83">
        <f ca="1">EFEITO!$L$1301*EFEITO!$Z$1301</f>
        <v>60281.449336052436</v>
      </c>
      <c r="L1301" s="83">
        <f>EFEITO!$N$1301*EFEITO!$AA$1301</f>
        <v>101206.62681377176</v>
      </c>
      <c r="M1301" s="83">
        <f>$J$1301-EFEITO!$K$1301*EFEITO!$Y$1301</f>
        <v>0</v>
      </c>
      <c r="N1301" s="83">
        <f ca="1">$K$1301-EFEITO!$M$1301*EFEITO!$Z$1301</f>
        <v>0</v>
      </c>
      <c r="O1301" s="83">
        <f>$L$1301-EFEITO!$O$1301*EFEITO!$AA$1301</f>
        <v>0</v>
      </c>
      <c r="P1301" s="61"/>
      <c r="Q1301" s="61"/>
      <c r="R1301" s="61"/>
      <c r="S1301" s="61"/>
      <c r="T1301" s="61"/>
      <c r="U1301" s="61"/>
      <c r="V1301" s="61"/>
      <c r="W1301" s="61"/>
      <c r="X1301" s="6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</row>
    <row r="1302" spans="1:36" ht="11.25" customHeight="1" x14ac:dyDescent="0.2">
      <c r="A1302" s="57" t="s">
        <v>21</v>
      </c>
      <c r="B1302" s="57" t="s">
        <v>35</v>
      </c>
      <c r="C1302" s="57" t="s">
        <v>36</v>
      </c>
      <c r="D1302" s="57" t="s">
        <v>24</v>
      </c>
      <c r="E1302" s="57" t="s">
        <v>24</v>
      </c>
      <c r="F1302" s="57" t="s">
        <v>25</v>
      </c>
      <c r="G1302" s="57" t="s">
        <v>25</v>
      </c>
      <c r="H1302" s="57" t="s">
        <v>38</v>
      </c>
      <c r="I1302" s="82">
        <v>44228</v>
      </c>
      <c r="J1302" s="83">
        <f>EFEITO!$J$1302*EFEITO!$Y$1302</f>
        <v>0</v>
      </c>
      <c r="K1302" s="83">
        <f ca="1">EFEITO!$L$1302*EFEITO!$Z$1302</f>
        <v>55241.551127253333</v>
      </c>
      <c r="L1302" s="83">
        <f>EFEITO!$N$1302*EFEITO!$AA$1302</f>
        <v>92745.133223035053</v>
      </c>
      <c r="M1302" s="83">
        <f>$J$1302-EFEITO!$K$1302*EFEITO!$Y$1302</f>
        <v>0</v>
      </c>
      <c r="N1302" s="83">
        <f ca="1">$K$1302-EFEITO!$M$1302*EFEITO!$Z$1302</f>
        <v>0</v>
      </c>
      <c r="O1302" s="83">
        <f>$L$1302-EFEITO!$O$1302*EFEITO!$AA$1302</f>
        <v>0</v>
      </c>
      <c r="P1302" s="61"/>
      <c r="Q1302" s="61"/>
      <c r="R1302" s="61"/>
      <c r="S1302" s="61"/>
      <c r="T1302" s="61"/>
      <c r="U1302" s="61"/>
      <c r="V1302" s="61"/>
      <c r="W1302" s="61"/>
      <c r="X1302" s="6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</row>
    <row r="1303" spans="1:36" ht="11.25" customHeight="1" x14ac:dyDescent="0.2">
      <c r="A1303" s="57" t="s">
        <v>21</v>
      </c>
      <c r="B1303" s="57" t="s">
        <v>35</v>
      </c>
      <c r="C1303" s="57" t="s">
        <v>36</v>
      </c>
      <c r="D1303" s="57" t="s">
        <v>24</v>
      </c>
      <c r="E1303" s="57" t="s">
        <v>24</v>
      </c>
      <c r="F1303" s="57" t="s">
        <v>25</v>
      </c>
      <c r="G1303" s="57" t="s">
        <v>25</v>
      </c>
      <c r="H1303" s="57" t="s">
        <v>38</v>
      </c>
      <c r="I1303" s="82">
        <v>44256</v>
      </c>
      <c r="J1303" s="83">
        <f>EFEITO!$J$1303*EFEITO!$Y$1303</f>
        <v>0</v>
      </c>
      <c r="K1303" s="83">
        <f ca="1">EFEITO!$L$1303*EFEITO!$Z$1303</f>
        <v>67872.303111415677</v>
      </c>
      <c r="L1303" s="83">
        <f>EFEITO!$N$1303*EFEITO!$AA$1303</f>
        <v>113950.92400142473</v>
      </c>
      <c r="M1303" s="83">
        <f>$J$1303-EFEITO!$K$1303*EFEITO!$Y$1303</f>
        <v>0</v>
      </c>
      <c r="N1303" s="83">
        <f ca="1">$K$1303-EFEITO!$M$1303*EFEITO!$Z$1303</f>
        <v>0</v>
      </c>
      <c r="O1303" s="83">
        <f>$L$1303-EFEITO!$O$1303*EFEITO!$AA$1303</f>
        <v>0</v>
      </c>
      <c r="P1303" s="61"/>
      <c r="Q1303" s="61"/>
      <c r="R1303" s="61"/>
      <c r="S1303" s="61"/>
      <c r="T1303" s="61"/>
      <c r="U1303" s="61"/>
      <c r="V1303" s="61"/>
      <c r="W1303" s="61"/>
      <c r="X1303" s="6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</row>
    <row r="1304" spans="1:36" ht="11.25" customHeight="1" x14ac:dyDescent="0.2">
      <c r="A1304" s="57" t="s">
        <v>21</v>
      </c>
      <c r="B1304" s="57" t="s">
        <v>35</v>
      </c>
      <c r="C1304" s="57" t="s">
        <v>36</v>
      </c>
      <c r="D1304" s="57" t="s">
        <v>24</v>
      </c>
      <c r="E1304" s="57" t="s">
        <v>24</v>
      </c>
      <c r="F1304" s="57" t="s">
        <v>25</v>
      </c>
      <c r="G1304" s="57" t="s">
        <v>25</v>
      </c>
      <c r="H1304" s="57" t="s">
        <v>38</v>
      </c>
      <c r="I1304" s="82">
        <v>44287</v>
      </c>
      <c r="J1304" s="83">
        <f>EFEITO!$J$1304*EFEITO!$Y$1304</f>
        <v>0</v>
      </c>
      <c r="K1304" s="83">
        <f ca="1">EFEITO!$L$1304*EFEITO!$Z$1304</f>
        <v>65733.531275583184</v>
      </c>
      <c r="L1304" s="83">
        <f>EFEITO!$N$1304*EFEITO!$AA$1304</f>
        <v>110360.13636421628</v>
      </c>
      <c r="M1304" s="83">
        <f>$J$1304-EFEITO!$K$1304*EFEITO!$Y$1304</f>
        <v>0</v>
      </c>
      <c r="N1304" s="83">
        <f ca="1">$K$1304-EFEITO!$M$1304*EFEITO!$Z$1304</f>
        <v>0</v>
      </c>
      <c r="O1304" s="83">
        <f>$L$1304-EFEITO!$O$1304*EFEITO!$AA$1304</f>
        <v>0</v>
      </c>
      <c r="P1304" s="61"/>
      <c r="Q1304" s="61"/>
      <c r="R1304" s="61"/>
      <c r="S1304" s="61"/>
      <c r="T1304" s="61"/>
      <c r="U1304" s="61"/>
      <c r="V1304" s="61"/>
      <c r="W1304" s="61"/>
      <c r="X1304" s="6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</row>
    <row r="1305" spans="1:36" ht="11.25" customHeight="1" x14ac:dyDescent="0.2">
      <c r="A1305" s="57" t="s">
        <v>28</v>
      </c>
      <c r="B1305" s="57" t="s">
        <v>35</v>
      </c>
      <c r="C1305" s="57" t="s">
        <v>36</v>
      </c>
      <c r="D1305" s="57" t="s">
        <v>24</v>
      </c>
      <c r="E1305" s="57" t="s">
        <v>24</v>
      </c>
      <c r="F1305" s="57" t="s">
        <v>25</v>
      </c>
      <c r="G1305" s="57" t="s">
        <v>25</v>
      </c>
      <c r="H1305" s="57" t="s">
        <v>38</v>
      </c>
      <c r="I1305" s="82">
        <v>44287</v>
      </c>
      <c r="J1305" s="83">
        <f>EFEITO!$J$1305*EFEITO!$Y$1305</f>
        <v>0</v>
      </c>
      <c r="K1305" s="83">
        <f ca="1">EFEITO!$L$1305*EFEITO!$Z$1305</f>
        <v>1388.7187755354198</v>
      </c>
      <c r="L1305" s="83">
        <f>EFEITO!$N$1305*EFEITO!$AA$1305</f>
        <v>2331.5222910679795</v>
      </c>
      <c r="M1305" s="83">
        <f>$J$1305-EFEITO!$K$1305*EFEITO!$Y$1305</f>
        <v>0</v>
      </c>
      <c r="N1305" s="83">
        <f ca="1">$K$1305-EFEITO!$M$1305*EFEITO!$Z$1305</f>
        <v>0</v>
      </c>
      <c r="O1305" s="83">
        <f>$L$1305-EFEITO!$O$1305*EFEITO!$AA$1305</f>
        <v>0</v>
      </c>
      <c r="P1305" s="61"/>
      <c r="Q1305" s="61"/>
      <c r="R1305" s="61"/>
      <c r="S1305" s="61"/>
      <c r="T1305" s="61"/>
      <c r="U1305" s="61"/>
      <c r="V1305" s="61"/>
      <c r="W1305" s="61"/>
      <c r="X1305" s="6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</row>
    <row r="1306" spans="1:36" ht="11.25" customHeight="1" x14ac:dyDescent="0.2">
      <c r="A1306" s="57" t="s">
        <v>21</v>
      </c>
      <c r="B1306" s="57" t="s">
        <v>35</v>
      </c>
      <c r="C1306" s="57" t="s">
        <v>36</v>
      </c>
      <c r="D1306" s="57" t="s">
        <v>24</v>
      </c>
      <c r="E1306" s="57" t="s">
        <v>24</v>
      </c>
      <c r="F1306" s="57" t="s">
        <v>25</v>
      </c>
      <c r="G1306" s="57" t="s">
        <v>25</v>
      </c>
      <c r="H1306" s="57" t="s">
        <v>38</v>
      </c>
      <c r="I1306" s="82">
        <v>44317</v>
      </c>
      <c r="J1306" s="83">
        <f>EFEITO!$J$1306*EFEITO!$Y$1306</f>
        <v>0</v>
      </c>
      <c r="K1306" s="83">
        <f ca="1">EFEITO!$L$1306*EFEITO!$Z$1306</f>
        <v>66554.528469419922</v>
      </c>
      <c r="L1306" s="83">
        <f>EFEITO!$N$1306*EFEITO!$AA$1306</f>
        <v>111738.50993563762</v>
      </c>
      <c r="M1306" s="83">
        <f>$J$1306-EFEITO!$K$1306*EFEITO!$Y$1306</f>
        <v>0</v>
      </c>
      <c r="N1306" s="83">
        <f ca="1">$K$1306-EFEITO!$M$1306*EFEITO!$Z$1306</f>
        <v>0</v>
      </c>
      <c r="O1306" s="83">
        <f>$L$1306-EFEITO!$O$1306*EFEITO!$AA$1306</f>
        <v>0</v>
      </c>
      <c r="P1306" s="61"/>
      <c r="Q1306" s="61"/>
      <c r="R1306" s="61"/>
      <c r="S1306" s="61"/>
      <c r="T1306" s="61"/>
      <c r="U1306" s="61"/>
      <c r="V1306" s="61"/>
      <c r="W1306" s="61"/>
      <c r="X1306" s="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</row>
    <row r="1307" spans="1:36" ht="11.25" customHeight="1" x14ac:dyDescent="0.2">
      <c r="A1307" s="57" t="s">
        <v>28</v>
      </c>
      <c r="B1307" s="57" t="s">
        <v>35</v>
      </c>
      <c r="C1307" s="57" t="s">
        <v>36</v>
      </c>
      <c r="D1307" s="57" t="s">
        <v>24</v>
      </c>
      <c r="E1307" s="57" t="s">
        <v>24</v>
      </c>
      <c r="F1307" s="57" t="s">
        <v>25</v>
      </c>
      <c r="G1307" s="57" t="s">
        <v>25</v>
      </c>
      <c r="H1307" s="57" t="s">
        <v>38</v>
      </c>
      <c r="I1307" s="82">
        <v>44317</v>
      </c>
      <c r="J1307" s="83">
        <f>EFEITO!$J$1307*EFEITO!$Y$1307</f>
        <v>0</v>
      </c>
      <c r="K1307" s="83">
        <f ca="1">EFEITO!$L$1307*EFEITO!$Z$1307</f>
        <v>928.5087311248833</v>
      </c>
      <c r="L1307" s="83">
        <f>EFEITO!$N$1307*EFEITO!$AA$1307</f>
        <v>1558.8748724407919</v>
      </c>
      <c r="M1307" s="83">
        <f>$J$1307-EFEITO!$K$1307*EFEITO!$Y$1307</f>
        <v>0</v>
      </c>
      <c r="N1307" s="83">
        <f ca="1">$K$1307-EFEITO!$M$1307*EFEITO!$Z$1307</f>
        <v>0</v>
      </c>
      <c r="O1307" s="83">
        <f>$L$1307-EFEITO!$O$1307*EFEITO!$AA$1307</f>
        <v>0</v>
      </c>
      <c r="P1307" s="61"/>
      <c r="Q1307" s="61"/>
      <c r="R1307" s="61"/>
      <c r="S1307" s="61"/>
      <c r="T1307" s="61"/>
      <c r="U1307" s="61"/>
      <c r="V1307" s="61"/>
      <c r="W1307" s="61"/>
      <c r="X1307" s="6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</row>
    <row r="1308" spans="1:36" ht="11.25" customHeight="1" x14ac:dyDescent="0.2">
      <c r="A1308" s="57" t="s">
        <v>21</v>
      </c>
      <c r="B1308" s="57" t="s">
        <v>35</v>
      </c>
      <c r="C1308" s="57" t="s">
        <v>36</v>
      </c>
      <c r="D1308" s="57" t="s">
        <v>24</v>
      </c>
      <c r="E1308" s="57" t="s">
        <v>24</v>
      </c>
      <c r="F1308" s="57" t="s">
        <v>25</v>
      </c>
      <c r="G1308" s="57" t="s">
        <v>25</v>
      </c>
      <c r="H1308" s="57" t="s">
        <v>38</v>
      </c>
      <c r="I1308" s="82">
        <v>44348</v>
      </c>
      <c r="J1308" s="83">
        <f>EFEITO!$J$1308*EFEITO!$Y$1308</f>
        <v>0</v>
      </c>
      <c r="K1308" s="83">
        <f ca="1">EFEITO!$L$1308*EFEITO!$Z$1308</f>
        <v>61836.659332341274</v>
      </c>
      <c r="L1308" s="83">
        <f>EFEITO!$N$1308*EFEITO!$AA$1308</f>
        <v>103817.67149576014</v>
      </c>
      <c r="M1308" s="83">
        <f>$J$1308-EFEITO!$K$1308*EFEITO!$Y$1308</f>
        <v>0</v>
      </c>
      <c r="N1308" s="83">
        <f ca="1">$K$1308-EFEITO!$M$1308*EFEITO!$Z$1308</f>
        <v>0</v>
      </c>
      <c r="O1308" s="83">
        <f>$L$1308-EFEITO!$O$1308*EFEITO!$AA$1308</f>
        <v>0</v>
      </c>
      <c r="P1308" s="61"/>
      <c r="Q1308" s="61"/>
      <c r="R1308" s="61"/>
      <c r="S1308" s="61"/>
      <c r="T1308" s="61"/>
      <c r="U1308" s="61"/>
      <c r="V1308" s="61"/>
      <c r="W1308" s="61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</row>
    <row r="1309" spans="1:36" ht="11.25" customHeight="1" x14ac:dyDescent="0.2">
      <c r="A1309" s="57" t="s">
        <v>28</v>
      </c>
      <c r="B1309" s="57" t="s">
        <v>35</v>
      </c>
      <c r="C1309" s="57" t="s">
        <v>36</v>
      </c>
      <c r="D1309" s="57" t="s">
        <v>24</v>
      </c>
      <c r="E1309" s="57" t="s">
        <v>24</v>
      </c>
      <c r="F1309" s="57" t="s">
        <v>25</v>
      </c>
      <c r="G1309" s="57" t="s">
        <v>25</v>
      </c>
      <c r="H1309" s="57" t="s">
        <v>38</v>
      </c>
      <c r="I1309" s="82">
        <v>44348</v>
      </c>
      <c r="J1309" s="83">
        <f>EFEITO!$J$1309*EFEITO!$Y$1309</f>
        <v>0</v>
      </c>
      <c r="K1309" s="83">
        <f ca="1">EFEITO!$L$1309*EFEITO!$Z$1309</f>
        <v>990.6901688354244</v>
      </c>
      <c r="L1309" s="83">
        <f>EFEITO!$N$1309*EFEITO!$AA$1309</f>
        <v>1663.2713929363731</v>
      </c>
      <c r="M1309" s="83">
        <f>$J$1309-EFEITO!$K$1309*EFEITO!$Y$1309</f>
        <v>0</v>
      </c>
      <c r="N1309" s="83">
        <f ca="1">$K$1309-EFEITO!$M$1309*EFEITO!$Z$1309</f>
        <v>0</v>
      </c>
      <c r="O1309" s="83">
        <f>$L$1309-EFEITO!$O$1309*EFEITO!$AA$1309</f>
        <v>0</v>
      </c>
      <c r="P1309" s="61"/>
      <c r="Q1309" s="61"/>
      <c r="R1309" s="61"/>
      <c r="S1309" s="61"/>
      <c r="T1309" s="61"/>
      <c r="U1309" s="61"/>
      <c r="V1309" s="61"/>
      <c r="W1309" s="61"/>
      <c r="X1309" s="6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</row>
    <row r="1310" spans="1:36" ht="11.25" customHeight="1" x14ac:dyDescent="0.2">
      <c r="A1310" s="57" t="s">
        <v>21</v>
      </c>
      <c r="B1310" s="57" t="s">
        <v>35</v>
      </c>
      <c r="C1310" s="57" t="s">
        <v>36</v>
      </c>
      <c r="D1310" s="57" t="s">
        <v>24</v>
      </c>
      <c r="E1310" s="57" t="s">
        <v>24</v>
      </c>
      <c r="F1310" s="57" t="s">
        <v>25</v>
      </c>
      <c r="G1310" s="57" t="s">
        <v>25</v>
      </c>
      <c r="H1310" s="57" t="s">
        <v>38</v>
      </c>
      <c r="I1310" s="82">
        <v>44378</v>
      </c>
      <c r="J1310" s="83">
        <f>EFEITO!$J$1310*EFEITO!$Y$1310</f>
        <v>0</v>
      </c>
      <c r="K1310" s="83">
        <f ca="1">EFEITO!$L$1310*EFEITO!$Z$1310</f>
        <v>63845.67586455014</v>
      </c>
      <c r="L1310" s="83">
        <f>EFEITO!$N$1310*EFEITO!$AA$1310</f>
        <v>107190.61273518647</v>
      </c>
      <c r="M1310" s="83">
        <f>$J$1310-EFEITO!$K$1310*EFEITO!$Y$1310</f>
        <v>0</v>
      </c>
      <c r="N1310" s="83">
        <f ca="1">$K$1310-EFEITO!$M$1310*EFEITO!$Z$1310</f>
        <v>0</v>
      </c>
      <c r="O1310" s="83">
        <f>$L$1310-EFEITO!$O$1310*EFEITO!$AA$1310</f>
        <v>0</v>
      </c>
      <c r="P1310" s="61"/>
      <c r="Q1310" s="61"/>
      <c r="R1310" s="61"/>
      <c r="S1310" s="61"/>
      <c r="T1310" s="61"/>
      <c r="U1310" s="61"/>
      <c r="V1310" s="61"/>
      <c r="W1310" s="61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</row>
    <row r="1311" spans="1:36" ht="11.25" customHeight="1" x14ac:dyDescent="0.2">
      <c r="A1311" s="57" t="s">
        <v>28</v>
      </c>
      <c r="B1311" s="57" t="s">
        <v>35</v>
      </c>
      <c r="C1311" s="57" t="s">
        <v>36</v>
      </c>
      <c r="D1311" s="57" t="s">
        <v>24</v>
      </c>
      <c r="E1311" s="57" t="s">
        <v>24</v>
      </c>
      <c r="F1311" s="57" t="s">
        <v>25</v>
      </c>
      <c r="G1311" s="57" t="s">
        <v>25</v>
      </c>
      <c r="H1311" s="57" t="s">
        <v>38</v>
      </c>
      <c r="I1311" s="82">
        <v>44378</v>
      </c>
      <c r="J1311" s="83">
        <f>EFEITO!$J$1311*EFEITO!$Y$1311</f>
        <v>0</v>
      </c>
      <c r="K1311" s="83">
        <f ca="1">EFEITO!$L$1311*EFEITO!$Z$1311</f>
        <v>1181.4473165002826</v>
      </c>
      <c r="L1311" s="83">
        <f>EFEITO!$N$1311*EFEITO!$AA$1311</f>
        <v>1983.5338894160423</v>
      </c>
      <c r="M1311" s="83">
        <f>$J$1311-EFEITO!$K$1311*EFEITO!$Y$1311</f>
        <v>0</v>
      </c>
      <c r="N1311" s="83">
        <f ca="1">$K$1311-EFEITO!$M$1311*EFEITO!$Z$1311</f>
        <v>0</v>
      </c>
      <c r="O1311" s="83">
        <f>$L$1311-EFEITO!$O$1311*EFEITO!$AA$1311</f>
        <v>0</v>
      </c>
      <c r="P1311" s="61"/>
      <c r="Q1311" s="61"/>
      <c r="R1311" s="61"/>
      <c r="S1311" s="61"/>
      <c r="T1311" s="61"/>
      <c r="U1311" s="61"/>
      <c r="V1311" s="61"/>
      <c r="W1311" s="61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</row>
    <row r="1312" spans="1:36" ht="11.25" customHeight="1" x14ac:dyDescent="0.2">
      <c r="A1312" s="57" t="s">
        <v>21</v>
      </c>
      <c r="B1312" s="57" t="s">
        <v>35</v>
      </c>
      <c r="C1312" s="57" t="s">
        <v>36</v>
      </c>
      <c r="D1312" s="57" t="s">
        <v>24</v>
      </c>
      <c r="E1312" s="57" t="s">
        <v>24</v>
      </c>
      <c r="F1312" s="57" t="s">
        <v>25</v>
      </c>
      <c r="G1312" s="57" t="s">
        <v>25</v>
      </c>
      <c r="H1312" s="57" t="s">
        <v>38</v>
      </c>
      <c r="I1312" s="82">
        <v>44409</v>
      </c>
      <c r="J1312" s="83">
        <f>EFEITO!$J$1312*EFEITO!$Y$1312</f>
        <v>0</v>
      </c>
      <c r="K1312" s="83">
        <f ca="1">EFEITO!$L$1312*EFEITO!$Z$1312</f>
        <v>68657.069928266603</v>
      </c>
      <c r="L1312" s="83">
        <f>EFEITO!$N$1312*EFEITO!$AA$1312</f>
        <v>115268.47033190689</v>
      </c>
      <c r="M1312" s="83">
        <f>$J$1312-EFEITO!$K$1312*EFEITO!$Y$1312</f>
        <v>0</v>
      </c>
      <c r="N1312" s="83">
        <f ca="1">$K$1312-EFEITO!$M$1312*EFEITO!$Z$1312</f>
        <v>0</v>
      </c>
      <c r="O1312" s="83">
        <f>$L$1312-EFEITO!$O$1312*EFEITO!$AA$1312</f>
        <v>0</v>
      </c>
      <c r="P1312" s="61"/>
      <c r="Q1312" s="61"/>
      <c r="R1312" s="61"/>
      <c r="S1312" s="61"/>
      <c r="T1312" s="61"/>
      <c r="U1312" s="61"/>
      <c r="V1312" s="61"/>
      <c r="W1312" s="61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</row>
    <row r="1313" spans="1:36" ht="11.25" customHeight="1" x14ac:dyDescent="0.2">
      <c r="A1313" s="57" t="s">
        <v>28</v>
      </c>
      <c r="B1313" s="57" t="s">
        <v>35</v>
      </c>
      <c r="C1313" s="57" t="s">
        <v>36</v>
      </c>
      <c r="D1313" s="57" t="s">
        <v>24</v>
      </c>
      <c r="E1313" s="57" t="s">
        <v>24</v>
      </c>
      <c r="F1313" s="57" t="s">
        <v>25</v>
      </c>
      <c r="G1313" s="57" t="s">
        <v>25</v>
      </c>
      <c r="H1313" s="57" t="s">
        <v>38</v>
      </c>
      <c r="I1313" s="82">
        <v>44409</v>
      </c>
      <c r="J1313" s="83">
        <f>EFEITO!$J$1313*EFEITO!$Y$1313</f>
        <v>0</v>
      </c>
      <c r="K1313" s="83">
        <f ca="1">EFEITO!$L$1313*EFEITO!$Z$1313</f>
        <v>1347.2644837283924</v>
      </c>
      <c r="L1313" s="83">
        <f>EFEITO!$N$1313*EFEITO!$AA$1313</f>
        <v>2261.924610737592</v>
      </c>
      <c r="M1313" s="83">
        <f>$J$1313-EFEITO!$K$1313*EFEITO!$Y$1313</f>
        <v>0</v>
      </c>
      <c r="N1313" s="83">
        <f ca="1">$K$1313-EFEITO!$M$1313*EFEITO!$Z$1313</f>
        <v>0</v>
      </c>
      <c r="O1313" s="83">
        <f>$L$1313-EFEITO!$O$1313*EFEITO!$AA$1313</f>
        <v>0</v>
      </c>
      <c r="P1313" s="61"/>
      <c r="Q1313" s="61"/>
      <c r="R1313" s="61"/>
      <c r="S1313" s="61"/>
      <c r="T1313" s="61"/>
      <c r="U1313" s="61"/>
      <c r="V1313" s="61"/>
      <c r="W1313" s="61"/>
      <c r="X1313" s="6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</row>
    <row r="1314" spans="1:36" ht="11.25" customHeight="1" x14ac:dyDescent="0.2">
      <c r="A1314" s="57" t="s">
        <v>21</v>
      </c>
      <c r="B1314" s="57" t="s">
        <v>35</v>
      </c>
      <c r="C1314" s="57" t="s">
        <v>36</v>
      </c>
      <c r="D1314" s="57" t="s">
        <v>24</v>
      </c>
      <c r="E1314" s="57" t="s">
        <v>24</v>
      </c>
      <c r="F1314" s="57" t="s">
        <v>25</v>
      </c>
      <c r="G1314" s="57" t="s">
        <v>25</v>
      </c>
      <c r="H1314" s="57" t="s">
        <v>38</v>
      </c>
      <c r="I1314" s="82">
        <v>44440</v>
      </c>
      <c r="J1314" s="83">
        <f>EFEITO!$J$1314*EFEITO!$Y$1314</f>
        <v>0</v>
      </c>
      <c r="K1314" s="83">
        <f ca="1">EFEITO!$L$1314*EFEITO!$Z$1314</f>
        <v>64231.571507794426</v>
      </c>
      <c r="L1314" s="83">
        <f>EFEITO!$N$1314*EFEITO!$AA$1314</f>
        <v>107838.49358053846</v>
      </c>
      <c r="M1314" s="83">
        <f>$J$1314-EFEITO!$K$1314*EFEITO!$Y$1314</f>
        <v>0</v>
      </c>
      <c r="N1314" s="83">
        <f ca="1">$K$1314-EFEITO!$M$1314*EFEITO!$Z$1314</f>
        <v>0</v>
      </c>
      <c r="O1314" s="83">
        <f>$L$1314-EFEITO!$O$1314*EFEITO!$AA$1314</f>
        <v>0</v>
      </c>
      <c r="P1314" s="61"/>
      <c r="Q1314" s="61"/>
      <c r="R1314" s="61"/>
      <c r="S1314" s="61"/>
      <c r="T1314" s="61"/>
      <c r="U1314" s="61"/>
      <c r="V1314" s="61"/>
      <c r="W1314" s="61"/>
      <c r="X1314" s="6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</row>
    <row r="1315" spans="1:36" ht="11.25" customHeight="1" x14ac:dyDescent="0.2">
      <c r="A1315" s="57" t="s">
        <v>28</v>
      </c>
      <c r="B1315" s="57" t="s">
        <v>35</v>
      </c>
      <c r="C1315" s="57" t="s">
        <v>36</v>
      </c>
      <c r="D1315" s="57" t="s">
        <v>24</v>
      </c>
      <c r="E1315" s="57" t="s">
        <v>24</v>
      </c>
      <c r="F1315" s="57" t="s">
        <v>25</v>
      </c>
      <c r="G1315" s="57" t="s">
        <v>25</v>
      </c>
      <c r="H1315" s="57" t="s">
        <v>38</v>
      </c>
      <c r="I1315" s="82">
        <v>44440</v>
      </c>
      <c r="J1315" s="83">
        <f>EFEITO!$J$1315*EFEITO!$Y$1315</f>
        <v>0</v>
      </c>
      <c r="K1315" s="83">
        <f ca="1">EFEITO!$L$1315*EFEITO!$Z$1315</f>
        <v>1295.3623622789435</v>
      </c>
      <c r="L1315" s="83">
        <f>EFEITO!$N$1315*EFEITO!$AA$1315</f>
        <v>2174.7860516247492</v>
      </c>
      <c r="M1315" s="83">
        <f>$J$1315-EFEITO!$K$1315*EFEITO!$Y$1315</f>
        <v>0</v>
      </c>
      <c r="N1315" s="83">
        <f ca="1">$K$1315-EFEITO!$M$1315*EFEITO!$Z$1315</f>
        <v>0</v>
      </c>
      <c r="O1315" s="83">
        <f>$L$1315-EFEITO!$O$1315*EFEITO!$AA$1315</f>
        <v>0</v>
      </c>
      <c r="P1315" s="61"/>
      <c r="Q1315" s="61"/>
      <c r="R1315" s="61"/>
      <c r="S1315" s="61"/>
      <c r="T1315" s="61"/>
      <c r="U1315" s="61"/>
      <c r="V1315" s="61"/>
      <c r="W1315" s="61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</row>
    <row r="1316" spans="1:36" ht="11.25" customHeight="1" x14ac:dyDescent="0.2">
      <c r="A1316" s="57" t="s">
        <v>59</v>
      </c>
      <c r="B1316" s="57" t="s">
        <v>35</v>
      </c>
      <c r="C1316" s="57" t="s">
        <v>36</v>
      </c>
      <c r="D1316" s="57" t="s">
        <v>24</v>
      </c>
      <c r="E1316" s="57" t="s">
        <v>24</v>
      </c>
      <c r="F1316" s="57" t="s">
        <v>25</v>
      </c>
      <c r="G1316" s="57" t="s">
        <v>25</v>
      </c>
      <c r="H1316" s="57" t="s">
        <v>38</v>
      </c>
      <c r="I1316" s="82">
        <v>44470</v>
      </c>
      <c r="J1316" s="83">
        <f>EFEITO!$J$1316*EFEITO!$Y$1316</f>
        <v>0</v>
      </c>
      <c r="K1316" s="83">
        <f ca="1">EFEITO!$L$1316*EFEITO!$Z$1316</f>
        <v>64231.571507794426</v>
      </c>
      <c r="L1316" s="83">
        <f>EFEITO!$N$1316*EFEITO!$AA$1316</f>
        <v>107838.49358053846</v>
      </c>
      <c r="M1316" s="83">
        <f>$J$1316-EFEITO!$K$1316*EFEITO!$Y$1316</f>
        <v>0</v>
      </c>
      <c r="N1316" s="83">
        <f ca="1">$K$1316-EFEITO!$M$1316*EFEITO!$Z$1316</f>
        <v>0</v>
      </c>
      <c r="O1316" s="83">
        <f>$L$1316-EFEITO!$O$1316*EFEITO!$AA$1316</f>
        <v>0</v>
      </c>
      <c r="P1316" s="61"/>
      <c r="Q1316" s="61"/>
      <c r="R1316" s="61"/>
      <c r="S1316" s="61"/>
      <c r="T1316" s="61"/>
      <c r="U1316" s="61"/>
      <c r="V1316" s="61"/>
      <c r="W1316" s="61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</row>
    <row r="1317" spans="1:36" ht="11.25" customHeight="1" x14ac:dyDescent="0.2">
      <c r="A1317" s="57" t="s">
        <v>59</v>
      </c>
      <c r="B1317" s="57" t="s">
        <v>35</v>
      </c>
      <c r="C1317" s="57" t="s">
        <v>36</v>
      </c>
      <c r="D1317" s="57" t="s">
        <v>24</v>
      </c>
      <c r="E1317" s="57" t="s">
        <v>24</v>
      </c>
      <c r="F1317" s="57" t="s">
        <v>25</v>
      </c>
      <c r="G1317" s="57" t="s">
        <v>25</v>
      </c>
      <c r="H1317" s="57" t="s">
        <v>38</v>
      </c>
      <c r="I1317" s="82">
        <v>44470</v>
      </c>
      <c r="J1317" s="83">
        <f>EFEITO!$J$1317*EFEITO!$Y$1317</f>
        <v>0</v>
      </c>
      <c r="K1317" s="83">
        <f ca="1">EFEITO!$L$1317*EFEITO!$Z$1317</f>
        <v>1295.3623622789435</v>
      </c>
      <c r="L1317" s="83">
        <f>EFEITO!$N$1317*EFEITO!$AA$1317</f>
        <v>2174.7860516247492</v>
      </c>
      <c r="M1317" s="83">
        <f>$J$1317-EFEITO!$K$1317*EFEITO!$Y$1317</f>
        <v>0</v>
      </c>
      <c r="N1317" s="83">
        <f ca="1">$K$1317-EFEITO!$M$1317*EFEITO!$Z$1317</f>
        <v>0</v>
      </c>
      <c r="O1317" s="83">
        <f>$L$1317-EFEITO!$O$1317*EFEITO!$AA$1317</f>
        <v>0</v>
      </c>
      <c r="P1317" s="61"/>
      <c r="Q1317" s="61"/>
      <c r="R1317" s="61"/>
      <c r="S1317" s="61"/>
      <c r="T1317" s="61"/>
      <c r="U1317" s="61"/>
      <c r="V1317" s="61"/>
      <c r="W1317" s="61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</row>
    <row r="1318" spans="1:36" ht="11.25" customHeight="1" x14ac:dyDescent="0.2">
      <c r="A1318" s="57" t="s">
        <v>21</v>
      </c>
      <c r="B1318" s="57" t="s">
        <v>35</v>
      </c>
      <c r="C1318" s="57" t="s">
        <v>36</v>
      </c>
      <c r="D1318" s="57" t="s">
        <v>24</v>
      </c>
      <c r="E1318" s="57" t="s">
        <v>24</v>
      </c>
      <c r="F1318" s="57" t="s">
        <v>25</v>
      </c>
      <c r="G1318" s="57" t="s">
        <v>25</v>
      </c>
      <c r="H1318" s="57" t="s">
        <v>25</v>
      </c>
      <c r="I1318" s="82">
        <v>44136</v>
      </c>
      <c r="J1318" s="83">
        <f ca="1">EFEITO!$J$1318*EFEITO!$Y$1318</f>
        <v>94674.35314967898</v>
      </c>
      <c r="K1318" s="83">
        <f>EFEITO!$L$1318*EFEITO!$Z$1318</f>
        <v>0</v>
      </c>
      <c r="L1318" s="83">
        <f>EFEITO!$N$1318*EFEITO!$AA$1318</f>
        <v>0</v>
      </c>
      <c r="M1318" s="83">
        <f ca="1">$J$1318-EFEITO!$K$1318*EFEITO!$Y$1318</f>
        <v>0</v>
      </c>
      <c r="N1318" s="83">
        <f>$K$1318-EFEITO!$M$1318*EFEITO!$Z$1318</f>
        <v>0</v>
      </c>
      <c r="O1318" s="83">
        <f>$L$1318-EFEITO!$O$1318*EFEITO!$AA$1318</f>
        <v>0</v>
      </c>
      <c r="P1318" s="61"/>
      <c r="Q1318" s="61"/>
      <c r="R1318" s="61"/>
      <c r="S1318" s="61"/>
      <c r="T1318" s="61"/>
      <c r="U1318" s="61"/>
      <c r="V1318" s="61"/>
      <c r="W1318" s="61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</row>
    <row r="1319" spans="1:36" ht="11.25" customHeight="1" x14ac:dyDescent="0.2">
      <c r="A1319" s="57" t="s">
        <v>21</v>
      </c>
      <c r="B1319" s="57" t="s">
        <v>35</v>
      </c>
      <c r="C1319" s="57" t="s">
        <v>36</v>
      </c>
      <c r="D1319" s="57" t="s">
        <v>24</v>
      </c>
      <c r="E1319" s="57" t="s">
        <v>24</v>
      </c>
      <c r="F1319" s="57" t="s">
        <v>25</v>
      </c>
      <c r="G1319" s="57" t="s">
        <v>25</v>
      </c>
      <c r="H1319" s="57" t="s">
        <v>25</v>
      </c>
      <c r="I1319" s="82">
        <v>44166</v>
      </c>
      <c r="J1319" s="83">
        <f ca="1">EFEITO!$J$1319*EFEITO!$Y$1319</f>
        <v>94610.491865935517</v>
      </c>
      <c r="K1319" s="83">
        <f>EFEITO!$L$1319*EFEITO!$Z$1319</f>
        <v>0</v>
      </c>
      <c r="L1319" s="83">
        <f>EFEITO!$N$1319*EFEITO!$AA$1319</f>
        <v>0</v>
      </c>
      <c r="M1319" s="83">
        <f ca="1">$J$1319-EFEITO!$K$1319*EFEITO!$Y$1319</f>
        <v>0</v>
      </c>
      <c r="N1319" s="83">
        <f>$K$1319-EFEITO!$M$1319*EFEITO!$Z$1319</f>
        <v>0</v>
      </c>
      <c r="O1319" s="83">
        <f>$L$1319-EFEITO!$O$1319*EFEITO!$AA$1319</f>
        <v>0</v>
      </c>
      <c r="P1319" s="61"/>
      <c r="Q1319" s="61"/>
      <c r="R1319" s="61"/>
      <c r="S1319" s="61"/>
      <c r="T1319" s="61"/>
      <c r="U1319" s="61"/>
      <c r="V1319" s="61"/>
      <c r="W1319" s="61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</row>
    <row r="1320" spans="1:36" ht="11.25" customHeight="1" x14ac:dyDescent="0.2">
      <c r="A1320" s="57" t="s">
        <v>21</v>
      </c>
      <c r="B1320" s="57" t="s">
        <v>35</v>
      </c>
      <c r="C1320" s="57" t="s">
        <v>36</v>
      </c>
      <c r="D1320" s="57" t="s">
        <v>24</v>
      </c>
      <c r="E1320" s="57" t="s">
        <v>24</v>
      </c>
      <c r="F1320" s="57" t="s">
        <v>25</v>
      </c>
      <c r="G1320" s="57" t="s">
        <v>25</v>
      </c>
      <c r="H1320" s="57" t="s">
        <v>25</v>
      </c>
      <c r="I1320" s="82">
        <v>44197</v>
      </c>
      <c r="J1320" s="83">
        <f ca="1">EFEITO!$J$1320*EFEITO!$Y$1320</f>
        <v>94546.630582192054</v>
      </c>
      <c r="K1320" s="83">
        <f>EFEITO!$L$1320*EFEITO!$Z$1320</f>
        <v>0</v>
      </c>
      <c r="L1320" s="83">
        <f>EFEITO!$N$1320*EFEITO!$AA$1320</f>
        <v>0</v>
      </c>
      <c r="M1320" s="83">
        <f ca="1">$J$1320-EFEITO!$K$1320*EFEITO!$Y$1320</f>
        <v>0</v>
      </c>
      <c r="N1320" s="83">
        <f>$K$1320-EFEITO!$M$1320*EFEITO!$Z$1320</f>
        <v>0</v>
      </c>
      <c r="O1320" s="83">
        <f>$L$1320-EFEITO!$O$1320*EFEITO!$AA$1320</f>
        <v>0</v>
      </c>
      <c r="P1320" s="61"/>
      <c r="Q1320" s="61"/>
      <c r="R1320" s="61"/>
      <c r="S1320" s="61"/>
      <c r="T1320" s="61"/>
      <c r="U1320" s="61"/>
      <c r="V1320" s="61"/>
      <c r="W1320" s="61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</row>
    <row r="1321" spans="1:36" ht="11.25" customHeight="1" x14ac:dyDescent="0.2">
      <c r="A1321" s="57" t="s">
        <v>21</v>
      </c>
      <c r="B1321" s="57" t="s">
        <v>35</v>
      </c>
      <c r="C1321" s="57" t="s">
        <v>36</v>
      </c>
      <c r="D1321" s="57" t="s">
        <v>24</v>
      </c>
      <c r="E1321" s="57" t="s">
        <v>24</v>
      </c>
      <c r="F1321" s="57" t="s">
        <v>25</v>
      </c>
      <c r="G1321" s="57" t="s">
        <v>25</v>
      </c>
      <c r="H1321" s="57" t="s">
        <v>25</v>
      </c>
      <c r="I1321" s="82">
        <v>44228</v>
      </c>
      <c r="J1321" s="83">
        <f ca="1">EFEITO!$J$1321*EFEITO!$Y$1321</f>
        <v>94642.422507807249</v>
      </c>
      <c r="K1321" s="83">
        <f>EFEITO!$L$1321*EFEITO!$Z$1321</f>
        <v>0</v>
      </c>
      <c r="L1321" s="83">
        <f>EFEITO!$N$1321*EFEITO!$AA$1321</f>
        <v>0</v>
      </c>
      <c r="M1321" s="83">
        <f ca="1">$J$1321-EFEITO!$K$1321*EFEITO!$Y$1321</f>
        <v>0</v>
      </c>
      <c r="N1321" s="83">
        <f>$K$1321-EFEITO!$M$1321*EFEITO!$Z$1321</f>
        <v>0</v>
      </c>
      <c r="O1321" s="83">
        <f>$L$1321-EFEITO!$O$1321*EFEITO!$AA$1321</f>
        <v>0</v>
      </c>
      <c r="P1321" s="61"/>
      <c r="Q1321" s="61"/>
      <c r="R1321" s="61"/>
      <c r="S1321" s="61"/>
      <c r="T1321" s="61"/>
      <c r="U1321" s="61"/>
      <c r="V1321" s="61"/>
      <c r="W1321" s="61"/>
      <c r="X1321" s="6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</row>
    <row r="1322" spans="1:36" ht="11.25" customHeight="1" x14ac:dyDescent="0.2">
      <c r="A1322" s="57" t="s">
        <v>21</v>
      </c>
      <c r="B1322" s="57" t="s">
        <v>35</v>
      </c>
      <c r="C1322" s="57" t="s">
        <v>36</v>
      </c>
      <c r="D1322" s="57" t="s">
        <v>24</v>
      </c>
      <c r="E1322" s="57" t="s">
        <v>24</v>
      </c>
      <c r="F1322" s="57" t="s">
        <v>25</v>
      </c>
      <c r="G1322" s="57" t="s">
        <v>25</v>
      </c>
      <c r="H1322" s="57" t="s">
        <v>25</v>
      </c>
      <c r="I1322" s="82">
        <v>44256</v>
      </c>
      <c r="J1322" s="83">
        <f ca="1">EFEITO!$J$1322*EFEITO!$Y$1322</f>
        <v>94610.491865935517</v>
      </c>
      <c r="K1322" s="83">
        <f>EFEITO!$L$1322*EFEITO!$Z$1322</f>
        <v>0</v>
      </c>
      <c r="L1322" s="83">
        <f>EFEITO!$N$1322*EFEITO!$AA$1322</f>
        <v>0</v>
      </c>
      <c r="M1322" s="83">
        <f ca="1">$J$1322-EFEITO!$K$1322*EFEITO!$Y$1322</f>
        <v>0</v>
      </c>
      <c r="N1322" s="83">
        <f>$K$1322-EFEITO!$M$1322*EFEITO!$Z$1322</f>
        <v>0</v>
      </c>
      <c r="O1322" s="83">
        <f>$L$1322-EFEITO!$O$1322*EFEITO!$AA$1322</f>
        <v>0</v>
      </c>
      <c r="P1322" s="61"/>
      <c r="Q1322" s="61"/>
      <c r="R1322" s="61"/>
      <c r="S1322" s="61"/>
      <c r="T1322" s="61"/>
      <c r="U1322" s="61"/>
      <c r="V1322" s="61"/>
      <c r="W1322" s="61"/>
      <c r="X1322" s="6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</row>
    <row r="1323" spans="1:36" ht="11.25" customHeight="1" x14ac:dyDescent="0.2">
      <c r="A1323" s="57" t="s">
        <v>21</v>
      </c>
      <c r="B1323" s="57" t="s">
        <v>35</v>
      </c>
      <c r="C1323" s="57" t="s">
        <v>36</v>
      </c>
      <c r="D1323" s="57" t="s">
        <v>24</v>
      </c>
      <c r="E1323" s="57" t="s">
        <v>24</v>
      </c>
      <c r="F1323" s="57" t="s">
        <v>25</v>
      </c>
      <c r="G1323" s="57" t="s">
        <v>25</v>
      </c>
      <c r="H1323" s="57" t="s">
        <v>25</v>
      </c>
      <c r="I1323" s="82">
        <v>44287</v>
      </c>
      <c r="J1323" s="83">
        <f ca="1">EFEITO!$J$1323*EFEITO!$Y$1323</f>
        <v>92279.555009299234</v>
      </c>
      <c r="K1323" s="83">
        <f>EFEITO!$L$1323*EFEITO!$Z$1323</f>
        <v>0</v>
      </c>
      <c r="L1323" s="83">
        <f>EFEITO!$N$1323*EFEITO!$AA$1323</f>
        <v>0</v>
      </c>
      <c r="M1323" s="83">
        <f ca="1">$J$1323-EFEITO!$K$1323*EFEITO!$Y$1323</f>
        <v>0</v>
      </c>
      <c r="N1323" s="83">
        <f>$K$1323-EFEITO!$M$1323*EFEITO!$Z$1323</f>
        <v>0</v>
      </c>
      <c r="O1323" s="83">
        <f>$L$1323-EFEITO!$O$1323*EFEITO!$AA$1323</f>
        <v>0</v>
      </c>
      <c r="P1323" s="61"/>
      <c r="Q1323" s="61"/>
      <c r="R1323" s="61"/>
      <c r="S1323" s="61"/>
      <c r="T1323" s="61"/>
      <c r="U1323" s="61"/>
      <c r="V1323" s="61"/>
      <c r="W1323" s="61"/>
      <c r="X1323" s="6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</row>
    <row r="1324" spans="1:36" ht="11.25" customHeight="1" x14ac:dyDescent="0.2">
      <c r="A1324" s="57" t="s">
        <v>28</v>
      </c>
      <c r="B1324" s="57" t="s">
        <v>35</v>
      </c>
      <c r="C1324" s="57" t="s">
        <v>36</v>
      </c>
      <c r="D1324" s="57" t="s">
        <v>24</v>
      </c>
      <c r="E1324" s="57" t="s">
        <v>24</v>
      </c>
      <c r="F1324" s="57" t="s">
        <v>25</v>
      </c>
      <c r="G1324" s="57" t="s">
        <v>25</v>
      </c>
      <c r="H1324" s="57" t="s">
        <v>25</v>
      </c>
      <c r="I1324" s="82">
        <v>44287</v>
      </c>
      <c r="J1324" s="83">
        <f ca="1">EFEITO!$J$1324*EFEITO!$Y$1324</f>
        <v>1820.0465866886009</v>
      </c>
      <c r="K1324" s="83">
        <f>EFEITO!$L$1324*EFEITO!$Z$1324</f>
        <v>0</v>
      </c>
      <c r="L1324" s="83">
        <f>EFEITO!$N$1324*EFEITO!$AA$1324</f>
        <v>0</v>
      </c>
      <c r="M1324" s="83">
        <f ca="1">$J$1324-EFEITO!$K$1324*EFEITO!$Y$1324</f>
        <v>0</v>
      </c>
      <c r="N1324" s="83">
        <f>$K$1324-EFEITO!$M$1324*EFEITO!$Z$1324</f>
        <v>0</v>
      </c>
      <c r="O1324" s="83">
        <f>$L$1324-EFEITO!$O$1324*EFEITO!$AA$1324</f>
        <v>0</v>
      </c>
      <c r="P1324" s="61"/>
      <c r="Q1324" s="61"/>
      <c r="R1324" s="61"/>
      <c r="S1324" s="61"/>
      <c r="T1324" s="61"/>
      <c r="U1324" s="61"/>
      <c r="V1324" s="61"/>
      <c r="W1324" s="61"/>
      <c r="X1324" s="6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</row>
    <row r="1325" spans="1:36" ht="11.25" customHeight="1" x14ac:dyDescent="0.2">
      <c r="A1325" s="57" t="s">
        <v>21</v>
      </c>
      <c r="B1325" s="57" t="s">
        <v>35</v>
      </c>
      <c r="C1325" s="57" t="s">
        <v>36</v>
      </c>
      <c r="D1325" s="57" t="s">
        <v>24</v>
      </c>
      <c r="E1325" s="57" t="s">
        <v>24</v>
      </c>
      <c r="F1325" s="57" t="s">
        <v>25</v>
      </c>
      <c r="G1325" s="57" t="s">
        <v>25</v>
      </c>
      <c r="H1325" s="57" t="s">
        <v>25</v>
      </c>
      <c r="I1325" s="82">
        <v>44317</v>
      </c>
      <c r="J1325" s="83">
        <f ca="1">EFEITO!$J$1325*EFEITO!$Y$1325</f>
        <v>90267.924571380252</v>
      </c>
      <c r="K1325" s="83">
        <f>EFEITO!$L$1325*EFEITO!$Z$1325</f>
        <v>0</v>
      </c>
      <c r="L1325" s="83">
        <f>EFEITO!$N$1325*EFEITO!$AA$1325</f>
        <v>0</v>
      </c>
      <c r="M1325" s="83">
        <f ca="1">$J$1325-EFEITO!$K$1325*EFEITO!$Y$1325</f>
        <v>0</v>
      </c>
      <c r="N1325" s="83">
        <f>$K$1325-EFEITO!$M$1325*EFEITO!$Z$1325</f>
        <v>0</v>
      </c>
      <c r="O1325" s="83">
        <f>$L$1325-EFEITO!$O$1325*EFEITO!$AA$1325</f>
        <v>0</v>
      </c>
      <c r="P1325" s="61"/>
      <c r="Q1325" s="61"/>
      <c r="R1325" s="61"/>
      <c r="S1325" s="61"/>
      <c r="T1325" s="61"/>
      <c r="U1325" s="61"/>
      <c r="V1325" s="61"/>
      <c r="W1325" s="61"/>
      <c r="X1325" s="6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</row>
    <row r="1326" spans="1:36" ht="11.25" customHeight="1" x14ac:dyDescent="0.2">
      <c r="A1326" s="57" t="s">
        <v>28</v>
      </c>
      <c r="B1326" s="57" t="s">
        <v>35</v>
      </c>
      <c r="C1326" s="57" t="s">
        <v>36</v>
      </c>
      <c r="D1326" s="57" t="s">
        <v>24</v>
      </c>
      <c r="E1326" s="57" t="s">
        <v>24</v>
      </c>
      <c r="F1326" s="57" t="s">
        <v>25</v>
      </c>
      <c r="G1326" s="57" t="s">
        <v>25</v>
      </c>
      <c r="H1326" s="57" t="s">
        <v>25</v>
      </c>
      <c r="I1326" s="82">
        <v>44317</v>
      </c>
      <c r="J1326" s="83">
        <f ca="1">EFEITO!$J$1326*EFEITO!$Y$1326</f>
        <v>1820.0465866886009</v>
      </c>
      <c r="K1326" s="83">
        <f>EFEITO!$L$1326*EFEITO!$Z$1326</f>
        <v>0</v>
      </c>
      <c r="L1326" s="83">
        <f>EFEITO!$N$1326*EFEITO!$AA$1326</f>
        <v>0</v>
      </c>
      <c r="M1326" s="83">
        <f ca="1">$J$1326-EFEITO!$K$1326*EFEITO!$Y$1326</f>
        <v>0</v>
      </c>
      <c r="N1326" s="83">
        <f>$K$1326-EFEITO!$M$1326*EFEITO!$Z$1326</f>
        <v>0</v>
      </c>
      <c r="O1326" s="83">
        <f>$L$1326-EFEITO!$O$1326*EFEITO!$AA$1326</f>
        <v>0</v>
      </c>
      <c r="P1326" s="61"/>
      <c r="Q1326" s="61"/>
      <c r="R1326" s="61"/>
      <c r="S1326" s="61"/>
      <c r="T1326" s="61"/>
      <c r="U1326" s="61"/>
      <c r="V1326" s="61"/>
      <c r="W1326" s="61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</row>
    <row r="1327" spans="1:36" ht="11.25" customHeight="1" x14ac:dyDescent="0.2">
      <c r="A1327" s="57" t="s">
        <v>21</v>
      </c>
      <c r="B1327" s="57" t="s">
        <v>35</v>
      </c>
      <c r="C1327" s="57" t="s">
        <v>36</v>
      </c>
      <c r="D1327" s="57" t="s">
        <v>24</v>
      </c>
      <c r="E1327" s="57" t="s">
        <v>24</v>
      </c>
      <c r="F1327" s="57" t="s">
        <v>25</v>
      </c>
      <c r="G1327" s="57" t="s">
        <v>25</v>
      </c>
      <c r="H1327" s="57" t="s">
        <v>25</v>
      </c>
      <c r="I1327" s="82">
        <v>44348</v>
      </c>
      <c r="J1327" s="83">
        <f ca="1">EFEITO!$J$1327*EFEITO!$Y$1327</f>
        <v>86404.316904900945</v>
      </c>
      <c r="K1327" s="83">
        <f>EFEITO!$L$1327*EFEITO!$Z$1327</f>
        <v>0</v>
      </c>
      <c r="L1327" s="83">
        <f>EFEITO!$N$1327*EFEITO!$AA$1327</f>
        <v>0</v>
      </c>
      <c r="M1327" s="83">
        <f ca="1">$J$1327-EFEITO!$K$1327*EFEITO!$Y$1327</f>
        <v>0</v>
      </c>
      <c r="N1327" s="83">
        <f>$K$1327-EFEITO!$M$1327*EFEITO!$Z$1327</f>
        <v>0</v>
      </c>
      <c r="O1327" s="83">
        <f>$L$1327-EFEITO!$O$1327*EFEITO!$AA$1327</f>
        <v>0</v>
      </c>
      <c r="P1327" s="61"/>
      <c r="Q1327" s="61"/>
      <c r="R1327" s="61"/>
      <c r="S1327" s="61"/>
      <c r="T1327" s="61"/>
      <c r="U1327" s="61"/>
      <c r="V1327" s="61"/>
      <c r="W1327" s="61"/>
      <c r="X1327" s="6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</row>
    <row r="1328" spans="1:36" ht="11.25" customHeight="1" x14ac:dyDescent="0.2">
      <c r="A1328" s="57" t="s">
        <v>28</v>
      </c>
      <c r="B1328" s="57" t="s">
        <v>35</v>
      </c>
      <c r="C1328" s="57" t="s">
        <v>36</v>
      </c>
      <c r="D1328" s="57" t="s">
        <v>24</v>
      </c>
      <c r="E1328" s="57" t="s">
        <v>24</v>
      </c>
      <c r="F1328" s="57" t="s">
        <v>25</v>
      </c>
      <c r="G1328" s="57" t="s">
        <v>25</v>
      </c>
      <c r="H1328" s="57" t="s">
        <v>25</v>
      </c>
      <c r="I1328" s="82">
        <v>44348</v>
      </c>
      <c r="J1328" s="83">
        <f ca="1">EFEITO!$J$1328*EFEITO!$Y$1328</f>
        <v>2043.5610797907098</v>
      </c>
      <c r="K1328" s="83">
        <f>EFEITO!$L$1328*EFEITO!$Z$1328</f>
        <v>0</v>
      </c>
      <c r="L1328" s="83">
        <f>EFEITO!$N$1328*EFEITO!$AA$1328</f>
        <v>0</v>
      </c>
      <c r="M1328" s="83">
        <f ca="1">$J$1328-EFEITO!$K$1328*EFEITO!$Y$1328</f>
        <v>0</v>
      </c>
      <c r="N1328" s="83">
        <f>$K$1328-EFEITO!$M$1328*EFEITO!$Z$1328</f>
        <v>0</v>
      </c>
      <c r="O1328" s="83">
        <f>$L$1328-EFEITO!$O$1328*EFEITO!$AA$1328</f>
        <v>0</v>
      </c>
      <c r="P1328" s="61"/>
      <c r="Q1328" s="61"/>
      <c r="R1328" s="61"/>
      <c r="S1328" s="61"/>
      <c r="T1328" s="61"/>
      <c r="U1328" s="61"/>
      <c r="V1328" s="61"/>
      <c r="W1328" s="61"/>
      <c r="X1328" s="6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</row>
    <row r="1329" spans="1:36" ht="11.25" customHeight="1" x14ac:dyDescent="0.2">
      <c r="A1329" s="57" t="s">
        <v>21</v>
      </c>
      <c r="B1329" s="57" t="s">
        <v>35</v>
      </c>
      <c r="C1329" s="57" t="s">
        <v>36</v>
      </c>
      <c r="D1329" s="57" t="s">
        <v>24</v>
      </c>
      <c r="E1329" s="57" t="s">
        <v>24</v>
      </c>
      <c r="F1329" s="57" t="s">
        <v>25</v>
      </c>
      <c r="G1329" s="57" t="s">
        <v>25</v>
      </c>
      <c r="H1329" s="57" t="s">
        <v>25</v>
      </c>
      <c r="I1329" s="82">
        <v>44378</v>
      </c>
      <c r="J1329" s="83">
        <f ca="1">EFEITO!$J$1329*EFEITO!$Y$1329</f>
        <v>87074.860384207277</v>
      </c>
      <c r="K1329" s="83">
        <f>EFEITO!$L$1329*EFEITO!$Z$1329</f>
        <v>0</v>
      </c>
      <c r="L1329" s="83">
        <f>EFEITO!$N$1329*EFEITO!$AA$1329</f>
        <v>0</v>
      </c>
      <c r="M1329" s="83">
        <f ca="1">$J$1329-EFEITO!$K$1329*EFEITO!$Y$1329</f>
        <v>0</v>
      </c>
      <c r="N1329" s="83">
        <f>$K$1329-EFEITO!$M$1329*EFEITO!$Z$1329</f>
        <v>0</v>
      </c>
      <c r="O1329" s="83">
        <f>$L$1329-EFEITO!$O$1329*EFEITO!$AA$1329</f>
        <v>0</v>
      </c>
      <c r="P1329" s="61"/>
      <c r="Q1329" s="61"/>
      <c r="R1329" s="61"/>
      <c r="S1329" s="61"/>
      <c r="T1329" s="61"/>
      <c r="U1329" s="61"/>
      <c r="V1329" s="61"/>
      <c r="W1329" s="61"/>
      <c r="X1329" s="6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</row>
    <row r="1330" spans="1:36" ht="11.25" customHeight="1" x14ac:dyDescent="0.2">
      <c r="A1330" s="57" t="s">
        <v>28</v>
      </c>
      <c r="B1330" s="57" t="s">
        <v>35</v>
      </c>
      <c r="C1330" s="57" t="s">
        <v>36</v>
      </c>
      <c r="D1330" s="57" t="s">
        <v>24</v>
      </c>
      <c r="E1330" s="57" t="s">
        <v>24</v>
      </c>
      <c r="F1330" s="57" t="s">
        <v>25</v>
      </c>
      <c r="G1330" s="57" t="s">
        <v>25</v>
      </c>
      <c r="H1330" s="57" t="s">
        <v>25</v>
      </c>
      <c r="I1330" s="82">
        <v>44378</v>
      </c>
      <c r="J1330" s="83">
        <f ca="1">EFEITO!$J$1330*EFEITO!$Y$1330</f>
        <v>2075.4917216624394</v>
      </c>
      <c r="K1330" s="83">
        <f>EFEITO!$L$1330*EFEITO!$Z$1330</f>
        <v>0</v>
      </c>
      <c r="L1330" s="83">
        <f>EFEITO!$N$1330*EFEITO!$AA$1330</f>
        <v>0</v>
      </c>
      <c r="M1330" s="83">
        <f ca="1">$J$1330-EFEITO!$K$1330*EFEITO!$Y$1330</f>
        <v>0</v>
      </c>
      <c r="N1330" s="83">
        <f>$K$1330-EFEITO!$M$1330*EFEITO!$Z$1330</f>
        <v>0</v>
      </c>
      <c r="O1330" s="83">
        <f>$L$1330-EFEITO!$O$1330*EFEITO!$AA$1330</f>
        <v>0</v>
      </c>
      <c r="P1330" s="61"/>
      <c r="Q1330" s="61"/>
      <c r="R1330" s="61"/>
      <c r="S1330" s="61"/>
      <c r="T1330" s="61"/>
      <c r="U1330" s="61"/>
      <c r="V1330" s="61"/>
      <c r="W1330" s="61"/>
      <c r="X1330" s="6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</row>
    <row r="1331" spans="1:36" ht="11.25" customHeight="1" x14ac:dyDescent="0.2">
      <c r="A1331" s="57" t="s">
        <v>21</v>
      </c>
      <c r="B1331" s="57" t="s">
        <v>35</v>
      </c>
      <c r="C1331" s="57" t="s">
        <v>36</v>
      </c>
      <c r="D1331" s="57" t="s">
        <v>24</v>
      </c>
      <c r="E1331" s="57" t="s">
        <v>24</v>
      </c>
      <c r="F1331" s="57" t="s">
        <v>25</v>
      </c>
      <c r="G1331" s="57" t="s">
        <v>25</v>
      </c>
      <c r="H1331" s="57" t="s">
        <v>25</v>
      </c>
      <c r="I1331" s="82">
        <v>44409</v>
      </c>
      <c r="J1331" s="83">
        <f ca="1">EFEITO!$J$1331*EFEITO!$Y$1331</f>
        <v>86468.178188644408</v>
      </c>
      <c r="K1331" s="83">
        <f>EFEITO!$L$1331*EFEITO!$Z$1331</f>
        <v>0</v>
      </c>
      <c r="L1331" s="83">
        <f>EFEITO!$N$1331*EFEITO!$AA$1331</f>
        <v>0</v>
      </c>
      <c r="M1331" s="83">
        <f ca="1">$J$1331-EFEITO!$K$1331*EFEITO!$Y$1331</f>
        <v>0</v>
      </c>
      <c r="N1331" s="83">
        <f>$K$1331-EFEITO!$M$1331*EFEITO!$Z$1331</f>
        <v>0</v>
      </c>
      <c r="O1331" s="83">
        <f>$L$1331-EFEITO!$O$1331*EFEITO!$AA$1331</f>
        <v>0</v>
      </c>
      <c r="P1331" s="61"/>
      <c r="Q1331" s="61"/>
      <c r="R1331" s="61"/>
      <c r="S1331" s="61"/>
      <c r="T1331" s="61"/>
      <c r="U1331" s="61"/>
      <c r="V1331" s="61"/>
      <c r="W1331" s="61"/>
      <c r="X1331" s="6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</row>
    <row r="1332" spans="1:36" ht="11.25" customHeight="1" x14ac:dyDescent="0.2">
      <c r="A1332" s="57" t="s">
        <v>28</v>
      </c>
      <c r="B1332" s="57" t="s">
        <v>35</v>
      </c>
      <c r="C1332" s="57" t="s">
        <v>36</v>
      </c>
      <c r="D1332" s="57" t="s">
        <v>24</v>
      </c>
      <c r="E1332" s="57" t="s">
        <v>24</v>
      </c>
      <c r="F1332" s="57" t="s">
        <v>25</v>
      </c>
      <c r="G1332" s="57" t="s">
        <v>25</v>
      </c>
      <c r="H1332" s="57" t="s">
        <v>25</v>
      </c>
      <c r="I1332" s="82">
        <v>44409</v>
      </c>
      <c r="J1332" s="83">
        <f ca="1">EFEITO!$J$1332*EFEITO!$Y$1332</f>
        <v>2330.9368566362782</v>
      </c>
      <c r="K1332" s="83">
        <f>EFEITO!$L$1332*EFEITO!$Z$1332</f>
        <v>0</v>
      </c>
      <c r="L1332" s="83">
        <f>EFEITO!$N$1332*EFEITO!$AA$1332</f>
        <v>0</v>
      </c>
      <c r="M1332" s="83">
        <f ca="1">$J$1332-EFEITO!$K$1332*EFEITO!$Y$1332</f>
        <v>0</v>
      </c>
      <c r="N1332" s="83">
        <f>$K$1332-EFEITO!$M$1332*EFEITO!$Z$1332</f>
        <v>0</v>
      </c>
      <c r="O1332" s="83">
        <f>$L$1332-EFEITO!$O$1332*EFEITO!$AA$1332</f>
        <v>0</v>
      </c>
      <c r="P1332" s="61"/>
      <c r="Q1332" s="61"/>
      <c r="R1332" s="61"/>
      <c r="S1332" s="61"/>
      <c r="T1332" s="61"/>
      <c r="U1332" s="61"/>
      <c r="V1332" s="61"/>
      <c r="W1332" s="61"/>
      <c r="X1332" s="6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</row>
    <row r="1333" spans="1:36" ht="11.25" customHeight="1" x14ac:dyDescent="0.2">
      <c r="A1333" s="57" t="s">
        <v>21</v>
      </c>
      <c r="B1333" s="57" t="s">
        <v>35</v>
      </c>
      <c r="C1333" s="57" t="s">
        <v>36</v>
      </c>
      <c r="D1333" s="57" t="s">
        <v>24</v>
      </c>
      <c r="E1333" s="57" t="s">
        <v>24</v>
      </c>
      <c r="F1333" s="57" t="s">
        <v>25</v>
      </c>
      <c r="G1333" s="57" t="s">
        <v>25</v>
      </c>
      <c r="H1333" s="57" t="s">
        <v>25</v>
      </c>
      <c r="I1333" s="82">
        <v>44440</v>
      </c>
      <c r="J1333" s="83">
        <f ca="1">EFEITO!$J$1333*EFEITO!$Y$1333</f>
        <v>86532.039472387871</v>
      </c>
      <c r="K1333" s="83">
        <f>EFEITO!$L$1333*EFEITO!$Z$1333</f>
        <v>0</v>
      </c>
      <c r="L1333" s="83">
        <f>EFEITO!$N$1333*EFEITO!$AA$1333</f>
        <v>0</v>
      </c>
      <c r="M1333" s="83">
        <f ca="1">$J$1333-EFEITO!$K$1333*EFEITO!$Y$1333</f>
        <v>0</v>
      </c>
      <c r="N1333" s="83">
        <f>$K$1333-EFEITO!$M$1333*EFEITO!$Z$1333</f>
        <v>0</v>
      </c>
      <c r="O1333" s="83">
        <f>$L$1333-EFEITO!$O$1333*EFEITO!$AA$1333</f>
        <v>0</v>
      </c>
      <c r="P1333" s="61"/>
      <c r="Q1333" s="61"/>
      <c r="R1333" s="61"/>
      <c r="S1333" s="61"/>
      <c r="T1333" s="61"/>
      <c r="U1333" s="61"/>
      <c r="V1333" s="61"/>
      <c r="W1333" s="61"/>
      <c r="X1333" s="6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</row>
    <row r="1334" spans="1:36" ht="11.25" customHeight="1" x14ac:dyDescent="0.2">
      <c r="A1334" s="57" t="s">
        <v>28</v>
      </c>
      <c r="B1334" s="57" t="s">
        <v>35</v>
      </c>
      <c r="C1334" s="57" t="s">
        <v>36</v>
      </c>
      <c r="D1334" s="57" t="s">
        <v>24</v>
      </c>
      <c r="E1334" s="57" t="s">
        <v>24</v>
      </c>
      <c r="F1334" s="57" t="s">
        <v>25</v>
      </c>
      <c r="G1334" s="57" t="s">
        <v>25</v>
      </c>
      <c r="H1334" s="57" t="s">
        <v>25</v>
      </c>
      <c r="I1334" s="82">
        <v>44440</v>
      </c>
      <c r="J1334" s="83">
        <f ca="1">EFEITO!$J$1334*EFEITO!$Y$1334</f>
        <v>2330.9368566362782</v>
      </c>
      <c r="K1334" s="83">
        <f>EFEITO!$L$1334*EFEITO!$Z$1334</f>
        <v>0</v>
      </c>
      <c r="L1334" s="83">
        <f>EFEITO!$N$1334*EFEITO!$AA$1334</f>
        <v>0</v>
      </c>
      <c r="M1334" s="83">
        <f ca="1">$J$1334-EFEITO!$K$1334*EFEITO!$Y$1334</f>
        <v>0</v>
      </c>
      <c r="N1334" s="83">
        <f>$K$1334-EFEITO!$M$1334*EFEITO!$Z$1334</f>
        <v>0</v>
      </c>
      <c r="O1334" s="83">
        <f>$L$1334-EFEITO!$O$1334*EFEITO!$AA$1334</f>
        <v>0</v>
      </c>
      <c r="P1334" s="61"/>
      <c r="Q1334" s="61"/>
      <c r="R1334" s="61"/>
      <c r="S1334" s="61"/>
      <c r="T1334" s="61"/>
      <c r="U1334" s="61"/>
      <c r="V1334" s="61"/>
      <c r="W1334" s="61"/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</row>
    <row r="1335" spans="1:36" ht="11.25" customHeight="1" x14ac:dyDescent="0.2">
      <c r="A1335" s="57" t="s">
        <v>59</v>
      </c>
      <c r="B1335" s="57" t="s">
        <v>35</v>
      </c>
      <c r="C1335" s="57" t="s">
        <v>36</v>
      </c>
      <c r="D1335" s="57" t="s">
        <v>24</v>
      </c>
      <c r="E1335" s="57" t="s">
        <v>24</v>
      </c>
      <c r="F1335" s="57" t="s">
        <v>25</v>
      </c>
      <c r="G1335" s="57" t="s">
        <v>25</v>
      </c>
      <c r="H1335" s="57" t="s">
        <v>25</v>
      </c>
      <c r="I1335" s="82">
        <v>44470</v>
      </c>
      <c r="J1335" s="83">
        <f ca="1">EFEITO!$J$1335*EFEITO!$Y$1335</f>
        <v>86532.039472387871</v>
      </c>
      <c r="K1335" s="83">
        <f>EFEITO!$L$1335*EFEITO!$Z$1335</f>
        <v>0</v>
      </c>
      <c r="L1335" s="83">
        <f>EFEITO!$N$1335*EFEITO!$AA$1335</f>
        <v>0</v>
      </c>
      <c r="M1335" s="83">
        <f ca="1">$J$1335-EFEITO!$K$1335*EFEITO!$Y$1335</f>
        <v>0</v>
      </c>
      <c r="N1335" s="83">
        <f>$K$1335-EFEITO!$M$1335*EFEITO!$Z$1335</f>
        <v>0</v>
      </c>
      <c r="O1335" s="83">
        <f>$L$1335-EFEITO!$O$1335*EFEITO!$AA$1335</f>
        <v>0</v>
      </c>
      <c r="P1335" s="61"/>
      <c r="Q1335" s="61"/>
      <c r="R1335" s="61"/>
      <c r="S1335" s="61"/>
      <c r="T1335" s="61"/>
      <c r="U1335" s="61"/>
      <c r="V1335" s="61"/>
      <c r="W1335" s="61"/>
      <c r="X1335" s="6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</row>
    <row r="1336" spans="1:36" ht="11.25" customHeight="1" x14ac:dyDescent="0.2">
      <c r="A1336" s="57" t="s">
        <v>59</v>
      </c>
      <c r="B1336" s="57" t="s">
        <v>35</v>
      </c>
      <c r="C1336" s="57" t="s">
        <v>36</v>
      </c>
      <c r="D1336" s="57" t="s">
        <v>24</v>
      </c>
      <c r="E1336" s="57" t="s">
        <v>24</v>
      </c>
      <c r="F1336" s="57" t="s">
        <v>25</v>
      </c>
      <c r="G1336" s="57" t="s">
        <v>25</v>
      </c>
      <c r="H1336" s="57" t="s">
        <v>25</v>
      </c>
      <c r="I1336" s="82">
        <v>44470</v>
      </c>
      <c r="J1336" s="83">
        <f ca="1">EFEITO!$J$1336*EFEITO!$Y$1336</f>
        <v>2330.9368566362782</v>
      </c>
      <c r="K1336" s="83">
        <f>EFEITO!$L$1336*EFEITO!$Z$1336</f>
        <v>0</v>
      </c>
      <c r="L1336" s="83">
        <f>EFEITO!$N$1336*EFEITO!$AA$1336</f>
        <v>0</v>
      </c>
      <c r="M1336" s="83">
        <f ca="1">$J$1336-EFEITO!$K$1336*EFEITO!$Y$1336</f>
        <v>0</v>
      </c>
      <c r="N1336" s="83">
        <f>$K$1336-EFEITO!$M$1336*EFEITO!$Z$1336</f>
        <v>0</v>
      </c>
      <c r="O1336" s="83">
        <f>$L$1336-EFEITO!$O$1336*EFEITO!$AA$1336</f>
        <v>0</v>
      </c>
      <c r="P1336" s="61"/>
      <c r="Q1336" s="61"/>
      <c r="R1336" s="61"/>
      <c r="S1336" s="61"/>
      <c r="T1336" s="61"/>
      <c r="U1336" s="61"/>
      <c r="V1336" s="61"/>
      <c r="W1336" s="61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</row>
    <row r="1337" spans="1:36" ht="11.25" customHeight="1" x14ac:dyDescent="0.2">
      <c r="A1337" s="57" t="s">
        <v>21</v>
      </c>
      <c r="B1337" s="57" t="s">
        <v>35</v>
      </c>
      <c r="C1337" s="57" t="s">
        <v>36</v>
      </c>
      <c r="D1337" s="57" t="s">
        <v>24</v>
      </c>
      <c r="E1337" s="57" t="s">
        <v>24</v>
      </c>
      <c r="F1337" s="57" t="s">
        <v>25</v>
      </c>
      <c r="G1337" s="57" t="s">
        <v>25</v>
      </c>
      <c r="H1337" s="57" t="s">
        <v>37</v>
      </c>
      <c r="I1337" s="82">
        <v>44136</v>
      </c>
      <c r="J1337" s="83">
        <f>EFEITO!$J$1337*EFEITO!$Y$1337</f>
        <v>0</v>
      </c>
      <c r="K1337" s="83">
        <f ca="1">EFEITO!$L$1337*EFEITO!$Z$1337</f>
        <v>55835.511049695095</v>
      </c>
      <c r="L1337" s="83">
        <f>EFEITO!$N$1337*EFEITO!$AA$1337</f>
        <v>15795.641321166844</v>
      </c>
      <c r="M1337" s="83">
        <f>$J$1337-EFEITO!$K$1337*EFEITO!$Y$1337</f>
        <v>0</v>
      </c>
      <c r="N1337" s="83">
        <f ca="1">$K$1337-EFEITO!$M$1337*EFEITO!$Z$1337</f>
        <v>0</v>
      </c>
      <c r="O1337" s="83">
        <f>$L$1337-EFEITO!$O$1337*EFEITO!$AA$1337</f>
        <v>0</v>
      </c>
      <c r="P1337" s="61"/>
      <c r="Q1337" s="61"/>
      <c r="R1337" s="61"/>
      <c r="S1337" s="61"/>
      <c r="T1337" s="61"/>
      <c r="U1337" s="61"/>
      <c r="V1337" s="61"/>
      <c r="W1337" s="61"/>
      <c r="X1337" s="6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</row>
    <row r="1338" spans="1:36" ht="11.25" customHeight="1" x14ac:dyDescent="0.2">
      <c r="A1338" s="57" t="s">
        <v>21</v>
      </c>
      <c r="B1338" s="57" t="s">
        <v>35</v>
      </c>
      <c r="C1338" s="57" t="s">
        <v>36</v>
      </c>
      <c r="D1338" s="57" t="s">
        <v>24</v>
      </c>
      <c r="E1338" s="57" t="s">
        <v>24</v>
      </c>
      <c r="F1338" s="57" t="s">
        <v>25</v>
      </c>
      <c r="G1338" s="57" t="s">
        <v>25</v>
      </c>
      <c r="H1338" s="57" t="s">
        <v>37</v>
      </c>
      <c r="I1338" s="82">
        <v>44166</v>
      </c>
      <c r="J1338" s="83">
        <f>EFEITO!$J$1338*EFEITO!$Y$1338</f>
        <v>0</v>
      </c>
      <c r="K1338" s="83">
        <f ca="1">EFEITO!$L$1338*EFEITO!$Z$1338</f>
        <v>60550.702479554006</v>
      </c>
      <c r="L1338" s="83">
        <f>EFEITO!$N$1338*EFEITO!$AA$1338</f>
        <v>17129.549996604641</v>
      </c>
      <c r="M1338" s="83">
        <f>$J$1338-EFEITO!$K$1338*EFEITO!$Y$1338</f>
        <v>0</v>
      </c>
      <c r="N1338" s="83">
        <f ca="1">$K$1338-EFEITO!$M$1338*EFEITO!$Z$1338</f>
        <v>0</v>
      </c>
      <c r="O1338" s="83">
        <f>$L$1338-EFEITO!$O$1338*EFEITO!$AA$1338</f>
        <v>0</v>
      </c>
      <c r="P1338" s="61"/>
      <c r="Q1338" s="61"/>
      <c r="R1338" s="61"/>
      <c r="S1338" s="61"/>
      <c r="T1338" s="61"/>
      <c r="U1338" s="61"/>
      <c r="V1338" s="61"/>
      <c r="W1338" s="61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</row>
    <row r="1339" spans="1:36" ht="11.25" customHeight="1" x14ac:dyDescent="0.2">
      <c r="A1339" s="57" t="s">
        <v>21</v>
      </c>
      <c r="B1339" s="57" t="s">
        <v>35</v>
      </c>
      <c r="C1339" s="57" t="s">
        <v>36</v>
      </c>
      <c r="D1339" s="57" t="s">
        <v>24</v>
      </c>
      <c r="E1339" s="57" t="s">
        <v>24</v>
      </c>
      <c r="F1339" s="57" t="s">
        <v>25</v>
      </c>
      <c r="G1339" s="57" t="s">
        <v>25</v>
      </c>
      <c r="H1339" s="57" t="s">
        <v>37</v>
      </c>
      <c r="I1339" s="82">
        <v>44197</v>
      </c>
      <c r="J1339" s="83">
        <f>EFEITO!$J$1339*EFEITO!$Y$1339</f>
        <v>0</v>
      </c>
      <c r="K1339" s="83">
        <f ca="1">EFEITO!$L$1339*EFEITO!$Z$1339</f>
        <v>48555.550984453119</v>
      </c>
      <c r="L1339" s="83">
        <f>EFEITO!$N$1339*EFEITO!$AA$1339</f>
        <v>13736.169922747385</v>
      </c>
      <c r="M1339" s="83">
        <f>$J$1339-EFEITO!$K$1339*EFEITO!$Y$1339</f>
        <v>0</v>
      </c>
      <c r="N1339" s="83">
        <f ca="1">$K$1339-EFEITO!$M$1339*EFEITO!$Z$1339</f>
        <v>0</v>
      </c>
      <c r="O1339" s="83">
        <f>$L$1339-EFEITO!$O$1339*EFEITO!$AA$1339</f>
        <v>0</v>
      </c>
      <c r="P1339" s="61"/>
      <c r="Q1339" s="61"/>
      <c r="R1339" s="61"/>
      <c r="S1339" s="61"/>
      <c r="T1339" s="61"/>
      <c r="U1339" s="61"/>
      <c r="V1339" s="61"/>
      <c r="W1339" s="61"/>
      <c r="X1339" s="6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</row>
    <row r="1340" spans="1:36" ht="11.25" customHeight="1" x14ac:dyDescent="0.2">
      <c r="A1340" s="57" t="s">
        <v>21</v>
      </c>
      <c r="B1340" s="57" t="s">
        <v>35</v>
      </c>
      <c r="C1340" s="57" t="s">
        <v>36</v>
      </c>
      <c r="D1340" s="57" t="s">
        <v>24</v>
      </c>
      <c r="E1340" s="57" t="s">
        <v>24</v>
      </c>
      <c r="F1340" s="57" t="s">
        <v>25</v>
      </c>
      <c r="G1340" s="57" t="s">
        <v>25</v>
      </c>
      <c r="H1340" s="57" t="s">
        <v>37</v>
      </c>
      <c r="I1340" s="82">
        <v>44228</v>
      </c>
      <c r="J1340" s="83">
        <f>EFEITO!$J$1340*EFEITO!$Y$1340</f>
        <v>0</v>
      </c>
      <c r="K1340" s="83">
        <f ca="1">EFEITO!$L$1340*EFEITO!$Z$1340</f>
        <v>42142.826400179736</v>
      </c>
      <c r="L1340" s="83">
        <f>EFEITO!$N$1340*EFEITO!$AA$1340</f>
        <v>11922.035951009264</v>
      </c>
      <c r="M1340" s="83">
        <f>$J$1340-EFEITO!$K$1340*EFEITO!$Y$1340</f>
        <v>0</v>
      </c>
      <c r="N1340" s="83">
        <f ca="1">$K$1340-EFEITO!$M$1340*EFEITO!$Z$1340</f>
        <v>0</v>
      </c>
      <c r="O1340" s="83">
        <f>$L$1340-EFEITO!$O$1340*EFEITO!$AA$1340</f>
        <v>0</v>
      </c>
      <c r="P1340" s="61"/>
      <c r="Q1340" s="61"/>
      <c r="R1340" s="61"/>
      <c r="S1340" s="61"/>
      <c r="T1340" s="61"/>
      <c r="U1340" s="61"/>
      <c r="V1340" s="61"/>
      <c r="W1340" s="61"/>
      <c r="X1340" s="6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</row>
    <row r="1341" spans="1:36" ht="11.25" customHeight="1" x14ac:dyDescent="0.2">
      <c r="A1341" s="57" t="s">
        <v>21</v>
      </c>
      <c r="B1341" s="57" t="s">
        <v>35</v>
      </c>
      <c r="C1341" s="57" t="s">
        <v>36</v>
      </c>
      <c r="D1341" s="57" t="s">
        <v>24</v>
      </c>
      <c r="E1341" s="57" t="s">
        <v>24</v>
      </c>
      <c r="F1341" s="57" t="s">
        <v>25</v>
      </c>
      <c r="G1341" s="57" t="s">
        <v>25</v>
      </c>
      <c r="H1341" s="57" t="s">
        <v>37</v>
      </c>
      <c r="I1341" s="82">
        <v>44256</v>
      </c>
      <c r="J1341" s="83">
        <f>EFEITO!$J$1341*EFEITO!$Y$1341</f>
        <v>0</v>
      </c>
      <c r="K1341" s="83">
        <f ca="1">EFEITO!$L$1341*EFEITO!$Z$1341</f>
        <v>59844.066161727729</v>
      </c>
      <c r="L1341" s="83">
        <f>EFEITO!$N$1341*EFEITO!$AA$1341</f>
        <v>16929.645426716139</v>
      </c>
      <c r="M1341" s="83">
        <f>$J$1341-EFEITO!$K$1341*EFEITO!$Y$1341</f>
        <v>0</v>
      </c>
      <c r="N1341" s="83">
        <f ca="1">$K$1341-EFEITO!$M$1341*EFEITO!$Z$1341</f>
        <v>0</v>
      </c>
      <c r="O1341" s="83">
        <f>$L$1341-EFEITO!$O$1341*EFEITO!$AA$1341</f>
        <v>0</v>
      </c>
      <c r="P1341" s="61"/>
      <c r="Q1341" s="61"/>
      <c r="R1341" s="61"/>
      <c r="S1341" s="61"/>
      <c r="T1341" s="61"/>
      <c r="U1341" s="61"/>
      <c r="V1341" s="61"/>
      <c r="W1341" s="61"/>
      <c r="X1341" s="6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</row>
    <row r="1342" spans="1:36" ht="11.25" customHeight="1" x14ac:dyDescent="0.2">
      <c r="A1342" s="57" t="s">
        <v>21</v>
      </c>
      <c r="B1342" s="57" t="s">
        <v>35</v>
      </c>
      <c r="C1342" s="57" t="s">
        <v>36</v>
      </c>
      <c r="D1342" s="57" t="s">
        <v>24</v>
      </c>
      <c r="E1342" s="57" t="s">
        <v>24</v>
      </c>
      <c r="F1342" s="57" t="s">
        <v>25</v>
      </c>
      <c r="G1342" s="57" t="s">
        <v>25</v>
      </c>
      <c r="H1342" s="57" t="s">
        <v>37</v>
      </c>
      <c r="I1342" s="82">
        <v>44287</v>
      </c>
      <c r="J1342" s="83">
        <f>EFEITO!$J$1342*EFEITO!$Y$1342</f>
        <v>0</v>
      </c>
      <c r="K1342" s="83">
        <f ca="1">EFEITO!$L$1342*EFEITO!$Z$1342</f>
        <v>48907.26315173482</v>
      </c>
      <c r="L1342" s="83">
        <f>EFEITO!$N$1342*EFEITO!$AA$1342</f>
        <v>13835.667879123705</v>
      </c>
      <c r="M1342" s="83">
        <f>$J$1342-EFEITO!$K$1342*EFEITO!$Y$1342</f>
        <v>0</v>
      </c>
      <c r="N1342" s="83">
        <f ca="1">$K$1342-EFEITO!$M$1342*EFEITO!$Z$1342</f>
        <v>0</v>
      </c>
      <c r="O1342" s="83">
        <f>$L$1342-EFEITO!$O$1342*EFEITO!$AA$1342</f>
        <v>0</v>
      </c>
      <c r="P1342" s="61"/>
      <c r="Q1342" s="61"/>
      <c r="R1342" s="61"/>
      <c r="S1342" s="61"/>
      <c r="T1342" s="61"/>
      <c r="U1342" s="61"/>
      <c r="V1342" s="61"/>
      <c r="W1342" s="61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</row>
    <row r="1343" spans="1:36" ht="11.25" customHeight="1" x14ac:dyDescent="0.2">
      <c r="A1343" s="57" t="s">
        <v>28</v>
      </c>
      <c r="B1343" s="57" t="s">
        <v>35</v>
      </c>
      <c r="C1343" s="57" t="s">
        <v>36</v>
      </c>
      <c r="D1343" s="57" t="s">
        <v>24</v>
      </c>
      <c r="E1343" s="57" t="s">
        <v>24</v>
      </c>
      <c r="F1343" s="57" t="s">
        <v>25</v>
      </c>
      <c r="G1343" s="57" t="s">
        <v>25</v>
      </c>
      <c r="H1343" s="57" t="s">
        <v>37</v>
      </c>
      <c r="I1343" s="82">
        <v>44287</v>
      </c>
      <c r="J1343" s="83">
        <f>EFEITO!$J$1343*EFEITO!$Y$1343</f>
        <v>0</v>
      </c>
      <c r="K1343" s="83">
        <f ca="1">EFEITO!$L$1343*EFEITO!$Z$1343</f>
        <v>2113.484986953109</v>
      </c>
      <c r="L1343" s="83">
        <f>EFEITO!$N$1343*EFEITO!$AA$1343</f>
        <v>597.89639539378049</v>
      </c>
      <c r="M1343" s="83">
        <f>$J$1343-EFEITO!$K$1343*EFEITO!$Y$1343</f>
        <v>0</v>
      </c>
      <c r="N1343" s="83">
        <f ca="1">$K$1343-EFEITO!$M$1343*EFEITO!$Z$1343</f>
        <v>0</v>
      </c>
      <c r="O1343" s="83">
        <f>$L$1343-EFEITO!$O$1343*EFEITO!$AA$1343</f>
        <v>0</v>
      </c>
      <c r="P1343" s="61"/>
      <c r="Q1343" s="61"/>
      <c r="R1343" s="61"/>
      <c r="S1343" s="61"/>
      <c r="T1343" s="61"/>
      <c r="U1343" s="61"/>
      <c r="V1343" s="61"/>
      <c r="W1343" s="61"/>
      <c r="X1343" s="6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</row>
    <row r="1344" spans="1:36" ht="11.25" customHeight="1" x14ac:dyDescent="0.2">
      <c r="A1344" s="57" t="s">
        <v>21</v>
      </c>
      <c r="B1344" s="57" t="s">
        <v>35</v>
      </c>
      <c r="C1344" s="57" t="s">
        <v>36</v>
      </c>
      <c r="D1344" s="57" t="s">
        <v>24</v>
      </c>
      <c r="E1344" s="57" t="s">
        <v>24</v>
      </c>
      <c r="F1344" s="57" t="s">
        <v>25</v>
      </c>
      <c r="G1344" s="57" t="s">
        <v>25</v>
      </c>
      <c r="H1344" s="57" t="s">
        <v>37</v>
      </c>
      <c r="I1344" s="82">
        <v>44317</v>
      </c>
      <c r="J1344" s="83">
        <f>EFEITO!$J$1344*EFEITO!$Y$1344</f>
        <v>0</v>
      </c>
      <c r="K1344" s="83">
        <f ca="1">EFEITO!$L$1344*EFEITO!$Z$1344</f>
        <v>50839.271084337095</v>
      </c>
      <c r="L1344" s="83">
        <f>EFEITO!$N$1344*EFEITO!$AA$1344</f>
        <v>14382.225146341576</v>
      </c>
      <c r="M1344" s="83">
        <f>$J$1344-EFEITO!$K$1344*EFEITO!$Y$1344</f>
        <v>0</v>
      </c>
      <c r="N1344" s="83">
        <f ca="1">$K$1344-EFEITO!$M$1344*EFEITO!$Z$1344</f>
        <v>0</v>
      </c>
      <c r="O1344" s="83">
        <f>$L$1344-EFEITO!$O$1344*EFEITO!$AA$1344</f>
        <v>0</v>
      </c>
      <c r="P1344" s="61"/>
      <c r="Q1344" s="61"/>
      <c r="R1344" s="61"/>
      <c r="S1344" s="61"/>
      <c r="T1344" s="61"/>
      <c r="U1344" s="61"/>
      <c r="V1344" s="61"/>
      <c r="W1344" s="61"/>
      <c r="X1344" s="6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</row>
    <row r="1345" spans="1:36" ht="11.25" customHeight="1" x14ac:dyDescent="0.2">
      <c r="A1345" s="57" t="s">
        <v>28</v>
      </c>
      <c r="B1345" s="57" t="s">
        <v>35</v>
      </c>
      <c r="C1345" s="57" t="s">
        <v>36</v>
      </c>
      <c r="D1345" s="57" t="s">
        <v>24</v>
      </c>
      <c r="E1345" s="57" t="s">
        <v>24</v>
      </c>
      <c r="F1345" s="57" t="s">
        <v>25</v>
      </c>
      <c r="G1345" s="57" t="s">
        <v>25</v>
      </c>
      <c r="H1345" s="57" t="s">
        <v>37</v>
      </c>
      <c r="I1345" s="82">
        <v>44317</v>
      </c>
      <c r="J1345" s="83">
        <f>EFEITO!$J$1345*EFEITO!$Y$1345</f>
        <v>0</v>
      </c>
      <c r="K1345" s="83">
        <f ca="1">EFEITO!$L$1345*EFEITO!$Z$1345</f>
        <v>1461.4523845952349</v>
      </c>
      <c r="L1345" s="83">
        <f>EFEITO!$N$1345*EFEITO!$AA$1345</f>
        <v>413.43899681484822</v>
      </c>
      <c r="M1345" s="83">
        <f>$J$1345-EFEITO!$K$1345*EFEITO!$Y$1345</f>
        <v>0</v>
      </c>
      <c r="N1345" s="83">
        <f ca="1">$K$1345-EFEITO!$M$1345*EFEITO!$Z$1345</f>
        <v>0</v>
      </c>
      <c r="O1345" s="83">
        <f>$L$1345-EFEITO!$O$1345*EFEITO!$AA$1345</f>
        <v>0</v>
      </c>
      <c r="P1345" s="61"/>
      <c r="Q1345" s="61"/>
      <c r="R1345" s="61"/>
      <c r="S1345" s="61"/>
      <c r="T1345" s="61"/>
      <c r="U1345" s="61"/>
      <c r="V1345" s="61"/>
      <c r="W1345" s="61"/>
      <c r="X1345" s="6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</row>
    <row r="1346" spans="1:36" ht="11.25" customHeight="1" x14ac:dyDescent="0.2">
      <c r="A1346" s="57" t="s">
        <v>21</v>
      </c>
      <c r="B1346" s="57" t="s">
        <v>35</v>
      </c>
      <c r="C1346" s="57" t="s">
        <v>36</v>
      </c>
      <c r="D1346" s="57" t="s">
        <v>24</v>
      </c>
      <c r="E1346" s="57" t="s">
        <v>24</v>
      </c>
      <c r="F1346" s="57" t="s">
        <v>25</v>
      </c>
      <c r="G1346" s="57" t="s">
        <v>25</v>
      </c>
      <c r="H1346" s="57" t="s">
        <v>37</v>
      </c>
      <c r="I1346" s="82">
        <v>44348</v>
      </c>
      <c r="J1346" s="83">
        <f>EFEITO!$J$1346*EFEITO!$Y$1346</f>
        <v>0</v>
      </c>
      <c r="K1346" s="83">
        <f ca="1">EFEITO!$L$1346*EFEITO!$Z$1346</f>
        <v>50296.44591291601</v>
      </c>
      <c r="L1346" s="83">
        <f>EFEITO!$N$1346*EFEITO!$AA$1346</f>
        <v>14228.662090381777</v>
      </c>
      <c r="M1346" s="83">
        <f>$J$1346-EFEITO!$K$1346*EFEITO!$Y$1346</f>
        <v>0</v>
      </c>
      <c r="N1346" s="83">
        <f ca="1">$K$1346-EFEITO!$M$1346*EFEITO!$Z$1346</f>
        <v>0</v>
      </c>
      <c r="O1346" s="83">
        <f>$L$1346-EFEITO!$O$1346*EFEITO!$AA$1346</f>
        <v>0</v>
      </c>
      <c r="P1346" s="61"/>
      <c r="Q1346" s="61"/>
      <c r="R1346" s="61"/>
      <c r="S1346" s="61"/>
      <c r="T1346" s="61"/>
      <c r="U1346" s="61"/>
      <c r="V1346" s="61"/>
      <c r="W1346" s="61"/>
      <c r="X1346" s="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</row>
    <row r="1347" spans="1:36" ht="11.25" customHeight="1" x14ac:dyDescent="0.2">
      <c r="A1347" s="57" t="s">
        <v>28</v>
      </c>
      <c r="B1347" s="57" t="s">
        <v>35</v>
      </c>
      <c r="C1347" s="57" t="s">
        <v>36</v>
      </c>
      <c r="D1347" s="57" t="s">
        <v>24</v>
      </c>
      <c r="E1347" s="57" t="s">
        <v>24</v>
      </c>
      <c r="F1347" s="57" t="s">
        <v>25</v>
      </c>
      <c r="G1347" s="57" t="s">
        <v>25</v>
      </c>
      <c r="H1347" s="57" t="s">
        <v>37</v>
      </c>
      <c r="I1347" s="82">
        <v>44348</v>
      </c>
      <c r="J1347" s="83">
        <f>EFEITO!$J$1347*EFEITO!$Y$1347</f>
        <v>0</v>
      </c>
      <c r="K1347" s="83">
        <f ca="1">EFEITO!$L$1347*EFEITO!$Z$1347</f>
        <v>1638.1114640518019</v>
      </c>
      <c r="L1347" s="83">
        <f>EFEITO!$N$1347*EFEITO!$AA$1347</f>
        <v>463.4151392869727</v>
      </c>
      <c r="M1347" s="83">
        <f>$J$1347-EFEITO!$K$1347*EFEITO!$Y$1347</f>
        <v>0</v>
      </c>
      <c r="N1347" s="83">
        <f ca="1">$K$1347-EFEITO!$M$1347*EFEITO!$Z$1347</f>
        <v>0</v>
      </c>
      <c r="O1347" s="83">
        <f>$L$1347-EFEITO!$O$1347*EFEITO!$AA$1347</f>
        <v>0</v>
      </c>
      <c r="P1347" s="61"/>
      <c r="Q1347" s="61"/>
      <c r="R1347" s="61"/>
      <c r="S1347" s="61"/>
      <c r="T1347" s="61"/>
      <c r="U1347" s="61"/>
      <c r="V1347" s="61"/>
      <c r="W1347" s="61"/>
      <c r="X1347" s="6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</row>
    <row r="1348" spans="1:36" ht="11.25" customHeight="1" x14ac:dyDescent="0.2">
      <c r="A1348" s="57" t="s">
        <v>21</v>
      </c>
      <c r="B1348" s="57" t="s">
        <v>35</v>
      </c>
      <c r="C1348" s="57" t="s">
        <v>36</v>
      </c>
      <c r="D1348" s="57" t="s">
        <v>24</v>
      </c>
      <c r="E1348" s="57" t="s">
        <v>24</v>
      </c>
      <c r="F1348" s="57" t="s">
        <v>25</v>
      </c>
      <c r="G1348" s="57" t="s">
        <v>25</v>
      </c>
      <c r="H1348" s="57" t="s">
        <v>37</v>
      </c>
      <c r="I1348" s="82">
        <v>44378</v>
      </c>
      <c r="J1348" s="83">
        <f>EFEITO!$J$1348*EFEITO!$Y$1348</f>
        <v>0</v>
      </c>
      <c r="K1348" s="83">
        <f ca="1">EFEITO!$L$1348*EFEITO!$Z$1348</f>
        <v>54796.434464164187</v>
      </c>
      <c r="L1348" s="83">
        <f>EFEITO!$N$1348*EFEITO!$AA$1348</f>
        <v>15501.690737717163</v>
      </c>
      <c r="M1348" s="83">
        <f>$J$1348-EFEITO!$K$1348*EFEITO!$Y$1348</f>
        <v>0</v>
      </c>
      <c r="N1348" s="83">
        <f ca="1">$K$1348-EFEITO!$M$1348*EFEITO!$Z$1348</f>
        <v>0</v>
      </c>
      <c r="O1348" s="83">
        <f>$L$1348-EFEITO!$O$1348*EFEITO!$AA$1348</f>
        <v>0</v>
      </c>
      <c r="P1348" s="61"/>
      <c r="Q1348" s="61"/>
      <c r="R1348" s="61"/>
      <c r="S1348" s="61"/>
      <c r="T1348" s="61"/>
      <c r="U1348" s="61"/>
      <c r="V1348" s="61"/>
      <c r="W1348" s="61"/>
      <c r="X1348" s="6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</row>
    <row r="1349" spans="1:36" ht="11.25" customHeight="1" x14ac:dyDescent="0.2">
      <c r="A1349" s="57" t="s">
        <v>28</v>
      </c>
      <c r="B1349" s="57" t="s">
        <v>35</v>
      </c>
      <c r="C1349" s="57" t="s">
        <v>36</v>
      </c>
      <c r="D1349" s="57" t="s">
        <v>24</v>
      </c>
      <c r="E1349" s="57" t="s">
        <v>24</v>
      </c>
      <c r="F1349" s="57" t="s">
        <v>25</v>
      </c>
      <c r="G1349" s="57" t="s">
        <v>25</v>
      </c>
      <c r="H1349" s="57" t="s">
        <v>37</v>
      </c>
      <c r="I1349" s="82">
        <v>44378</v>
      </c>
      <c r="J1349" s="83">
        <f>EFEITO!$J$1349*EFEITO!$Y$1349</f>
        <v>0</v>
      </c>
      <c r="K1349" s="83">
        <f ca="1">EFEITO!$L$1349*EFEITO!$Z$1349</f>
        <v>2311.0219576181794</v>
      </c>
      <c r="L1349" s="83">
        <f>EFEITO!$N$1349*EFEITO!$AA$1349</f>
        <v>653.7788092489742</v>
      </c>
      <c r="M1349" s="83">
        <f>$J$1349-EFEITO!$K$1349*EFEITO!$Y$1349</f>
        <v>0</v>
      </c>
      <c r="N1349" s="83">
        <f ca="1">$K$1349-EFEITO!$M$1349*EFEITO!$Z$1349</f>
        <v>0</v>
      </c>
      <c r="O1349" s="83">
        <f>$L$1349-EFEITO!$O$1349*EFEITO!$AA$1349</f>
        <v>0</v>
      </c>
      <c r="P1349" s="61"/>
      <c r="Q1349" s="61"/>
      <c r="R1349" s="61"/>
      <c r="S1349" s="61"/>
      <c r="T1349" s="61"/>
      <c r="U1349" s="61"/>
      <c r="V1349" s="61"/>
      <c r="W1349" s="61"/>
      <c r="X1349" s="6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</row>
    <row r="1350" spans="1:36" ht="11.25" customHeight="1" x14ac:dyDescent="0.2">
      <c r="A1350" s="57" t="s">
        <v>21</v>
      </c>
      <c r="B1350" s="57" t="s">
        <v>35</v>
      </c>
      <c r="C1350" s="57" t="s">
        <v>36</v>
      </c>
      <c r="D1350" s="57" t="s">
        <v>24</v>
      </c>
      <c r="E1350" s="57" t="s">
        <v>24</v>
      </c>
      <c r="F1350" s="57" t="s">
        <v>25</v>
      </c>
      <c r="G1350" s="57" t="s">
        <v>25</v>
      </c>
      <c r="H1350" s="57" t="s">
        <v>37</v>
      </c>
      <c r="I1350" s="82">
        <v>44409</v>
      </c>
      <c r="J1350" s="83">
        <f>EFEITO!$J$1350*EFEITO!$Y$1350</f>
        <v>0</v>
      </c>
      <c r="K1350" s="83">
        <f ca="1">EFEITO!$L$1350*EFEITO!$Z$1350</f>
        <v>57714.521258460387</v>
      </c>
      <c r="L1350" s="83">
        <f>EFEITO!$N$1350*EFEITO!$AA$1350</f>
        <v>16327.205745643076</v>
      </c>
      <c r="M1350" s="83">
        <f>$J$1350-EFEITO!$K$1350*EFEITO!$Y$1350</f>
        <v>0</v>
      </c>
      <c r="N1350" s="83">
        <f ca="1">$K$1350-EFEITO!$M$1350*EFEITO!$Z$1350</f>
        <v>0</v>
      </c>
      <c r="O1350" s="83">
        <f>$L$1350-EFEITO!$O$1350*EFEITO!$AA$1350</f>
        <v>0</v>
      </c>
      <c r="P1350" s="61"/>
      <c r="Q1350" s="61"/>
      <c r="R1350" s="61"/>
      <c r="S1350" s="61"/>
      <c r="T1350" s="61"/>
      <c r="U1350" s="61"/>
      <c r="V1350" s="61"/>
      <c r="W1350" s="61"/>
      <c r="X1350" s="6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</row>
    <row r="1351" spans="1:36" ht="11.25" customHeight="1" x14ac:dyDescent="0.2">
      <c r="A1351" s="57" t="s">
        <v>28</v>
      </c>
      <c r="B1351" s="57" t="s">
        <v>35</v>
      </c>
      <c r="C1351" s="57" t="s">
        <v>36</v>
      </c>
      <c r="D1351" s="57" t="s">
        <v>24</v>
      </c>
      <c r="E1351" s="57" t="s">
        <v>24</v>
      </c>
      <c r="F1351" s="57" t="s">
        <v>25</v>
      </c>
      <c r="G1351" s="57" t="s">
        <v>25</v>
      </c>
      <c r="H1351" s="57" t="s">
        <v>37</v>
      </c>
      <c r="I1351" s="82">
        <v>44409</v>
      </c>
      <c r="J1351" s="83">
        <f>EFEITO!$J$1351*EFEITO!$Y$1351</f>
        <v>0</v>
      </c>
      <c r="K1351" s="83">
        <f ca="1">EFEITO!$L$1351*EFEITO!$Z$1351</f>
        <v>2152.0287861072693</v>
      </c>
      <c r="L1351" s="83">
        <f>EFEITO!$N$1351*EFEITO!$AA$1351</f>
        <v>608.8002810240622</v>
      </c>
      <c r="M1351" s="83">
        <f>$J$1351-EFEITO!$K$1351*EFEITO!$Y$1351</f>
        <v>0</v>
      </c>
      <c r="N1351" s="83">
        <f ca="1">$K$1351-EFEITO!$M$1351*EFEITO!$Z$1351</f>
        <v>0</v>
      </c>
      <c r="O1351" s="83">
        <f>$L$1351-EFEITO!$O$1351*EFEITO!$AA$1351</f>
        <v>0</v>
      </c>
      <c r="P1351" s="61"/>
      <c r="Q1351" s="61"/>
      <c r="R1351" s="61"/>
      <c r="S1351" s="61"/>
      <c r="T1351" s="61"/>
      <c r="U1351" s="61"/>
      <c r="V1351" s="61"/>
      <c r="W1351" s="61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</row>
    <row r="1352" spans="1:36" ht="11.25" customHeight="1" x14ac:dyDescent="0.2">
      <c r="A1352" s="57" t="s">
        <v>21</v>
      </c>
      <c r="B1352" s="57" t="s">
        <v>35</v>
      </c>
      <c r="C1352" s="57" t="s">
        <v>36</v>
      </c>
      <c r="D1352" s="57" t="s">
        <v>24</v>
      </c>
      <c r="E1352" s="57" t="s">
        <v>24</v>
      </c>
      <c r="F1352" s="57" t="s">
        <v>25</v>
      </c>
      <c r="G1352" s="57" t="s">
        <v>25</v>
      </c>
      <c r="H1352" s="57" t="s">
        <v>37</v>
      </c>
      <c r="I1352" s="82">
        <v>44440</v>
      </c>
      <c r="J1352" s="83">
        <f>EFEITO!$J$1352*EFEITO!$Y$1352</f>
        <v>0</v>
      </c>
      <c r="K1352" s="83">
        <f ca="1">EFEITO!$L$1352*EFEITO!$Z$1352</f>
        <v>55056.605108454765</v>
      </c>
      <c r="L1352" s="83">
        <f>EFEITO!$N$1352*EFEITO!$AA$1352</f>
        <v>15575.291965721564</v>
      </c>
      <c r="M1352" s="83">
        <f>$J$1352-EFEITO!$K$1352*EFEITO!$Y$1352</f>
        <v>0</v>
      </c>
      <c r="N1352" s="83">
        <f ca="1">$K$1352-EFEITO!$M$1352*EFEITO!$Z$1352</f>
        <v>0</v>
      </c>
      <c r="O1352" s="83">
        <f>$L$1352-EFEITO!$O$1352*EFEITO!$AA$1352</f>
        <v>0</v>
      </c>
      <c r="P1352" s="61"/>
      <c r="Q1352" s="61"/>
      <c r="R1352" s="61"/>
      <c r="S1352" s="61"/>
      <c r="T1352" s="61"/>
      <c r="U1352" s="61"/>
      <c r="V1352" s="61"/>
      <c r="W1352" s="61"/>
      <c r="X1352" s="6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</row>
    <row r="1353" spans="1:36" ht="11.25" customHeight="1" x14ac:dyDescent="0.2">
      <c r="A1353" s="57" t="s">
        <v>28</v>
      </c>
      <c r="B1353" s="57" t="s">
        <v>35</v>
      </c>
      <c r="C1353" s="57" t="s">
        <v>36</v>
      </c>
      <c r="D1353" s="57" t="s">
        <v>24</v>
      </c>
      <c r="E1353" s="57" t="s">
        <v>24</v>
      </c>
      <c r="F1353" s="57" t="s">
        <v>25</v>
      </c>
      <c r="G1353" s="57" t="s">
        <v>25</v>
      </c>
      <c r="H1353" s="57" t="s">
        <v>37</v>
      </c>
      <c r="I1353" s="82">
        <v>44440</v>
      </c>
      <c r="J1353" s="83">
        <f>EFEITO!$J$1353*EFEITO!$Y$1353</f>
        <v>0</v>
      </c>
      <c r="K1353" s="83">
        <f ca="1">EFEITO!$L$1353*EFEITO!$Z$1353</f>
        <v>2290.1440664096758</v>
      </c>
      <c r="L1353" s="83">
        <f>EFEITO!$N$1353*EFEITO!$AA$1353</f>
        <v>647.87253786590497</v>
      </c>
      <c r="M1353" s="83">
        <f>$J$1353-EFEITO!$K$1353*EFEITO!$Y$1353</f>
        <v>0</v>
      </c>
      <c r="N1353" s="83">
        <f ca="1">$K$1353-EFEITO!$M$1353*EFEITO!$Z$1353</f>
        <v>0</v>
      </c>
      <c r="O1353" s="83">
        <f>$L$1353-EFEITO!$O$1353*EFEITO!$AA$1353</f>
        <v>0</v>
      </c>
      <c r="P1353" s="61"/>
      <c r="Q1353" s="61"/>
      <c r="R1353" s="61"/>
      <c r="S1353" s="61"/>
      <c r="T1353" s="61"/>
      <c r="U1353" s="61"/>
      <c r="V1353" s="61"/>
      <c r="W1353" s="61"/>
      <c r="X1353" s="6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</row>
    <row r="1354" spans="1:36" ht="11.25" customHeight="1" x14ac:dyDescent="0.2">
      <c r="A1354" s="57" t="s">
        <v>59</v>
      </c>
      <c r="B1354" s="57" t="s">
        <v>35</v>
      </c>
      <c r="C1354" s="57" t="s">
        <v>36</v>
      </c>
      <c r="D1354" s="57" t="s">
        <v>24</v>
      </c>
      <c r="E1354" s="57" t="s">
        <v>24</v>
      </c>
      <c r="F1354" s="57" t="s">
        <v>25</v>
      </c>
      <c r="G1354" s="57" t="s">
        <v>25</v>
      </c>
      <c r="H1354" s="57" t="s">
        <v>37</v>
      </c>
      <c r="I1354" s="82">
        <v>44470</v>
      </c>
      <c r="J1354" s="83">
        <f>EFEITO!$J$1354*EFEITO!$Y$1354</f>
        <v>0</v>
      </c>
      <c r="K1354" s="83">
        <f ca="1">EFEITO!$L$1354*EFEITO!$Z$1354</f>
        <v>55056.605108454765</v>
      </c>
      <c r="L1354" s="83">
        <f>EFEITO!$N$1354*EFEITO!$AA$1354</f>
        <v>15575.291965721564</v>
      </c>
      <c r="M1354" s="83">
        <f>$J$1354-EFEITO!$K$1354*EFEITO!$Y$1354</f>
        <v>0</v>
      </c>
      <c r="N1354" s="83">
        <f ca="1">$K$1354-EFEITO!$M$1354*EFEITO!$Z$1354</f>
        <v>0</v>
      </c>
      <c r="O1354" s="83">
        <f>$L$1354-EFEITO!$O$1354*EFEITO!$AA$1354</f>
        <v>0</v>
      </c>
      <c r="P1354" s="61"/>
      <c r="Q1354" s="61"/>
      <c r="R1354" s="61"/>
      <c r="S1354" s="61"/>
      <c r="T1354" s="61"/>
      <c r="U1354" s="61"/>
      <c r="V1354" s="61"/>
      <c r="W1354" s="61"/>
      <c r="X1354" s="6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</row>
    <row r="1355" spans="1:36" ht="11.25" customHeight="1" x14ac:dyDescent="0.2">
      <c r="A1355" s="57" t="s">
        <v>59</v>
      </c>
      <c r="B1355" s="57" t="s">
        <v>35</v>
      </c>
      <c r="C1355" s="57" t="s">
        <v>36</v>
      </c>
      <c r="D1355" s="57" t="s">
        <v>24</v>
      </c>
      <c r="E1355" s="57" t="s">
        <v>24</v>
      </c>
      <c r="F1355" s="57" t="s">
        <v>25</v>
      </c>
      <c r="G1355" s="57" t="s">
        <v>25</v>
      </c>
      <c r="H1355" s="57" t="s">
        <v>37</v>
      </c>
      <c r="I1355" s="82">
        <v>44470</v>
      </c>
      <c r="J1355" s="83">
        <f>EFEITO!$J$1355*EFEITO!$Y$1355</f>
        <v>0</v>
      </c>
      <c r="K1355" s="83">
        <f ca="1">EFEITO!$L$1355*EFEITO!$Z$1355</f>
        <v>2290.1440664096758</v>
      </c>
      <c r="L1355" s="83">
        <f>EFEITO!$N$1355*EFEITO!$AA$1355</f>
        <v>647.87253786590497</v>
      </c>
      <c r="M1355" s="83">
        <f>$J$1355-EFEITO!$K$1355*EFEITO!$Y$1355</f>
        <v>0</v>
      </c>
      <c r="N1355" s="83">
        <f ca="1">$K$1355-EFEITO!$M$1355*EFEITO!$Z$1355</f>
        <v>0</v>
      </c>
      <c r="O1355" s="83">
        <f>$L$1355-EFEITO!$O$1355*EFEITO!$AA$1355</f>
        <v>0</v>
      </c>
      <c r="P1355" s="61"/>
      <c r="Q1355" s="61"/>
      <c r="R1355" s="61"/>
      <c r="S1355" s="61"/>
      <c r="T1355" s="61"/>
      <c r="U1355" s="61"/>
      <c r="V1355" s="61"/>
      <c r="W1355" s="61"/>
      <c r="X1355" s="6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</row>
    <row r="1356" spans="1:36" ht="11.25" customHeight="1" x14ac:dyDescent="0.2">
      <c r="A1356" s="57" t="s">
        <v>28</v>
      </c>
      <c r="B1356" s="57" t="s">
        <v>35</v>
      </c>
      <c r="C1356" s="57" t="s">
        <v>36</v>
      </c>
      <c r="D1356" s="57" t="s">
        <v>47</v>
      </c>
      <c r="E1356" s="57" t="s">
        <v>58</v>
      </c>
      <c r="F1356" s="57" t="s">
        <v>56</v>
      </c>
      <c r="G1356" s="57" t="s">
        <v>25</v>
      </c>
      <c r="H1356" s="57" t="s">
        <v>38</v>
      </c>
      <c r="I1356" s="82">
        <v>44378</v>
      </c>
      <c r="J1356" s="83">
        <f>EFEITO!$J$1356*EFEITO!$Y$1317</f>
        <v>0</v>
      </c>
      <c r="K1356" s="83">
        <f ca="1">EFEITO!$L$1356*EFEITO!$Z$1317</f>
        <v>731.34807496950884</v>
      </c>
      <c r="L1356" s="83">
        <f>EFEITO!$N$1356*EFEITO!$AA$1317</f>
        <v>1227.861514771876</v>
      </c>
      <c r="M1356" s="83">
        <f>$J$1356-EFEITO!$K$1356*EFEITO!$Y$1356</f>
        <v>0</v>
      </c>
      <c r="N1356" s="83">
        <f ca="1">$K$1356-EFEITO!$M$1356*EFEITO!$Z$1356</f>
        <v>29.253922998780467</v>
      </c>
      <c r="O1356" s="83">
        <f>$L$1356-EFEITO!$O$1356*EFEITO!$AA$1356</f>
        <v>49.114460590875296</v>
      </c>
      <c r="P1356" s="61"/>
      <c r="Q1356" s="61"/>
      <c r="R1356" s="61"/>
      <c r="S1356" s="61"/>
      <c r="T1356" s="61"/>
      <c r="U1356" s="61"/>
      <c r="V1356" s="61"/>
      <c r="W1356" s="61"/>
      <c r="X1356" s="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</row>
    <row r="1357" spans="1:36" ht="11.25" customHeight="1" x14ac:dyDescent="0.2">
      <c r="A1357" s="57" t="s">
        <v>28</v>
      </c>
      <c r="B1357" s="57" t="s">
        <v>35</v>
      </c>
      <c r="C1357" s="57" t="s">
        <v>36</v>
      </c>
      <c r="D1357" s="57" t="s">
        <v>47</v>
      </c>
      <c r="E1357" s="57" t="s">
        <v>58</v>
      </c>
      <c r="F1357" s="57" t="s">
        <v>56</v>
      </c>
      <c r="G1357" s="57" t="s">
        <v>25</v>
      </c>
      <c r="H1357" s="57" t="s">
        <v>38</v>
      </c>
      <c r="I1357" s="82">
        <v>44409</v>
      </c>
      <c r="J1357" s="83">
        <f>EFEITO!$J$1357*EFEITO!$Y$1317</f>
        <v>0</v>
      </c>
      <c r="K1357" s="83">
        <f ca="1">EFEITO!$L$1357*EFEITO!$Z$1317</f>
        <v>2043.0562352374022</v>
      </c>
      <c r="L1357" s="83">
        <f>EFEITO!$N$1357*EFEITO!$AA$1317</f>
        <v>3430.0905541691764</v>
      </c>
      <c r="M1357" s="83">
        <f>$J$1357-EFEITO!$K$1357*EFEITO!$Y$1357</f>
        <v>0</v>
      </c>
      <c r="N1357" s="83">
        <f ca="1">$K$1357-EFEITO!$M$1357*EFEITO!$Z$1357</f>
        <v>81.722249409496271</v>
      </c>
      <c r="O1357" s="83">
        <f>$L$1357-EFEITO!$O$1357*EFEITO!$AA$1357</f>
        <v>137.20362216676722</v>
      </c>
      <c r="P1357" s="61"/>
      <c r="Q1357" s="61"/>
      <c r="R1357" s="61"/>
      <c r="S1357" s="61"/>
      <c r="T1357" s="61"/>
      <c r="U1357" s="61"/>
      <c r="V1357" s="61"/>
      <c r="W1357" s="61"/>
      <c r="X1357" s="6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</row>
    <row r="1358" spans="1:36" ht="11.25" customHeight="1" x14ac:dyDescent="0.2">
      <c r="A1358" s="57" t="s">
        <v>29</v>
      </c>
      <c r="B1358" s="57" t="s">
        <v>35</v>
      </c>
      <c r="C1358" s="57" t="s">
        <v>36</v>
      </c>
      <c r="D1358" s="57" t="s">
        <v>47</v>
      </c>
      <c r="E1358" s="57" t="s">
        <v>58</v>
      </c>
      <c r="F1358" s="57" t="s">
        <v>56</v>
      </c>
      <c r="G1358" s="57" t="s">
        <v>25</v>
      </c>
      <c r="H1358" s="57" t="s">
        <v>38</v>
      </c>
      <c r="I1358" s="82">
        <v>44409</v>
      </c>
      <c r="J1358" s="83">
        <f>EFEITO!$J$1358*EFEITO!$Y$1317</f>
        <v>0</v>
      </c>
      <c r="K1358" s="83">
        <f ca="1">EFEITO!$L$1358*EFEITO!$Z$1317</f>
        <v>2487.2575084216473</v>
      </c>
      <c r="L1358" s="83">
        <f>EFEITO!$N$1358*EFEITO!$AA$1317</f>
        <v>4175.8608198232469</v>
      </c>
      <c r="M1358" s="83">
        <f>$J$1358-EFEITO!$K$1358*EFEITO!$Y$1358</f>
        <v>0</v>
      </c>
      <c r="N1358" s="83">
        <f ca="1">$K$1358-EFEITO!$M$1358*EFEITO!$Z$1358</f>
        <v>99.490300336865857</v>
      </c>
      <c r="O1358" s="83">
        <f>$L$1358-EFEITO!$O$1358*EFEITO!$AA$1358</f>
        <v>167.0344327929306</v>
      </c>
      <c r="P1358" s="61"/>
      <c r="Q1358" s="61"/>
      <c r="R1358" s="61"/>
      <c r="S1358" s="61"/>
      <c r="T1358" s="61"/>
      <c r="U1358" s="61"/>
      <c r="V1358" s="61"/>
      <c r="W1358" s="61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</row>
    <row r="1359" spans="1:36" ht="11.25" customHeight="1" x14ac:dyDescent="0.2">
      <c r="A1359" s="57" t="s">
        <v>28</v>
      </c>
      <c r="B1359" s="57" t="s">
        <v>35</v>
      </c>
      <c r="C1359" s="57" t="s">
        <v>36</v>
      </c>
      <c r="D1359" s="57" t="s">
        <v>47</v>
      </c>
      <c r="E1359" s="57" t="s">
        <v>58</v>
      </c>
      <c r="F1359" s="57" t="s">
        <v>56</v>
      </c>
      <c r="G1359" s="57" t="s">
        <v>25</v>
      </c>
      <c r="H1359" s="57" t="s">
        <v>38</v>
      </c>
      <c r="I1359" s="82">
        <v>44440</v>
      </c>
      <c r="J1359" s="83">
        <f>EFEITO!$J$1359*EFEITO!$Y$1317</f>
        <v>0</v>
      </c>
      <c r="K1359" s="83">
        <f ca="1">EFEITO!$L$1359*EFEITO!$Z$1317</f>
        <v>2315.2053460843508</v>
      </c>
      <c r="L1359" s="83">
        <f>EFEITO!$N$1359*EFEITO!$AA$1317</f>
        <v>3887.0021547121673</v>
      </c>
      <c r="M1359" s="83">
        <f>$J$1359-EFEITO!$K$1359*EFEITO!$Y$1359</f>
        <v>0</v>
      </c>
      <c r="N1359" s="83">
        <f ca="1">$K$1359-EFEITO!$M$1359*EFEITO!$Z$1359</f>
        <v>92.608213843374415</v>
      </c>
      <c r="O1359" s="83">
        <f>$L$1359-EFEITO!$O$1359*EFEITO!$AA$1359</f>
        <v>155.48008618848735</v>
      </c>
      <c r="P1359" s="61"/>
      <c r="Q1359" s="61"/>
      <c r="R1359" s="61"/>
      <c r="S1359" s="61"/>
      <c r="T1359" s="61"/>
      <c r="U1359" s="61"/>
      <c r="V1359" s="61"/>
      <c r="W1359" s="61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</row>
    <row r="1360" spans="1:36" ht="11.25" customHeight="1" x14ac:dyDescent="0.2">
      <c r="A1360" s="57" t="s">
        <v>59</v>
      </c>
      <c r="B1360" s="57" t="s">
        <v>35</v>
      </c>
      <c r="C1360" s="57" t="s">
        <v>36</v>
      </c>
      <c r="D1360" s="57" t="s">
        <v>47</v>
      </c>
      <c r="E1360" s="57" t="s">
        <v>58</v>
      </c>
      <c r="F1360" s="57" t="s">
        <v>56</v>
      </c>
      <c r="G1360" s="57" t="s">
        <v>25</v>
      </c>
      <c r="H1360" s="57" t="s">
        <v>38</v>
      </c>
      <c r="I1360" s="82">
        <v>44470</v>
      </c>
      <c r="J1360" s="83">
        <f>EFEITO!$J$1360*EFEITO!$Y$1317</f>
        <v>0</v>
      </c>
      <c r="K1360" s="83">
        <f ca="1">EFEITO!$L$1360*EFEITO!$Z$1317</f>
        <v>2315.2053460843508</v>
      </c>
      <c r="L1360" s="83">
        <f>EFEITO!$N$1360*EFEITO!$AA$1317</f>
        <v>3887.0021547121673</v>
      </c>
      <c r="M1360" s="83">
        <f>$J$1360-EFEITO!$K$1360*EFEITO!$Y$1360</f>
        <v>0</v>
      </c>
      <c r="N1360" s="83">
        <f ca="1">$K$1360-EFEITO!$M$1360*EFEITO!$Z$1360</f>
        <v>92.608213843374415</v>
      </c>
      <c r="O1360" s="83">
        <f>$L$1360-EFEITO!$O$1360*EFEITO!$AA$1360</f>
        <v>155.48008618848735</v>
      </c>
      <c r="P1360" s="61"/>
      <c r="Q1360" s="61"/>
      <c r="R1360" s="61"/>
      <c r="S1360" s="61"/>
      <c r="T1360" s="61"/>
      <c r="U1360" s="61"/>
      <c r="V1360" s="61"/>
      <c r="W1360" s="61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</row>
    <row r="1361" spans="1:36" ht="11.25" customHeight="1" x14ac:dyDescent="0.2">
      <c r="A1361" s="57" t="s">
        <v>28</v>
      </c>
      <c r="B1361" s="57" t="s">
        <v>35</v>
      </c>
      <c r="C1361" s="57" t="s">
        <v>36</v>
      </c>
      <c r="D1361" s="57" t="s">
        <v>47</v>
      </c>
      <c r="E1361" s="57" t="s">
        <v>58</v>
      </c>
      <c r="F1361" s="57" t="s">
        <v>56</v>
      </c>
      <c r="G1361" s="57" t="s">
        <v>25</v>
      </c>
      <c r="H1361" s="57" t="s">
        <v>37</v>
      </c>
      <c r="I1361" s="82">
        <v>44378</v>
      </c>
      <c r="J1361" s="83">
        <f>EFEITO!$J$1361*EFEITO!$Y$1355</f>
        <v>0</v>
      </c>
      <c r="K1361" s="83">
        <f ca="1">EFEITO!$L$1361*EFEITO!$Z$1355</f>
        <v>6025.6806011003528</v>
      </c>
      <c r="L1361" s="83">
        <f>EFEITO!$N$1361*EFEITO!$AA$1355</f>
        <v>1704.6407868673739</v>
      </c>
      <c r="M1361" s="83">
        <f>$J$1361-EFEITO!$K$1361*EFEITO!$Y$1361</f>
        <v>0</v>
      </c>
      <c r="N1361" s="83">
        <f ca="1">$K$1361-EFEITO!$M$1361*EFEITO!$Z$1361</f>
        <v>241.02722404401447</v>
      </c>
      <c r="O1361" s="83">
        <f>$L$1361-EFEITO!$O$1361*EFEITO!$AA$1361</f>
        <v>68.185631474695128</v>
      </c>
      <c r="P1361" s="61"/>
      <c r="Q1361" s="61"/>
      <c r="R1361" s="61"/>
      <c r="S1361" s="61"/>
      <c r="T1361" s="61"/>
      <c r="U1361" s="61"/>
      <c r="V1361" s="61"/>
      <c r="W1361" s="61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</row>
    <row r="1362" spans="1:36" ht="11.25" customHeight="1" x14ac:dyDescent="0.2">
      <c r="A1362" s="57" t="s">
        <v>28</v>
      </c>
      <c r="B1362" s="57" t="s">
        <v>35</v>
      </c>
      <c r="C1362" s="57" t="s">
        <v>36</v>
      </c>
      <c r="D1362" s="57" t="s">
        <v>47</v>
      </c>
      <c r="E1362" s="57" t="s">
        <v>58</v>
      </c>
      <c r="F1362" s="57" t="s">
        <v>56</v>
      </c>
      <c r="G1362" s="57" t="s">
        <v>25</v>
      </c>
      <c r="H1362" s="57" t="s">
        <v>37</v>
      </c>
      <c r="I1362" s="82">
        <v>44409</v>
      </c>
      <c r="J1362" s="83">
        <f>EFEITO!$J$1362*EFEITO!$Y$1355</f>
        <v>0</v>
      </c>
      <c r="K1362" s="83">
        <f ca="1">EFEITO!$L$1362*EFEITO!$Z$1355</f>
        <v>449.67765679853386</v>
      </c>
      <c r="L1362" s="83">
        <f>EFEITO!$N$1362*EFEITO!$AA$1355</f>
        <v>127.2119990199533</v>
      </c>
      <c r="M1362" s="83">
        <f>$J$1362-EFEITO!$K$1362*EFEITO!$Y$1362</f>
        <v>0</v>
      </c>
      <c r="N1362" s="83">
        <f ca="1">$K$1362-EFEITO!$M$1362*EFEITO!$Z$1362</f>
        <v>17.987106271941343</v>
      </c>
      <c r="O1362" s="83">
        <f>$L$1362-EFEITO!$O$1362*EFEITO!$AA$1362</f>
        <v>5.0884799607981392</v>
      </c>
      <c r="P1362" s="61"/>
      <c r="Q1362" s="61"/>
      <c r="R1362" s="61"/>
      <c r="S1362" s="61"/>
      <c r="T1362" s="61"/>
      <c r="U1362" s="61"/>
      <c r="V1362" s="61"/>
      <c r="W1362" s="61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</row>
    <row r="1363" spans="1:36" ht="11.25" customHeight="1" x14ac:dyDescent="0.2">
      <c r="A1363" s="57" t="s">
        <v>28</v>
      </c>
      <c r="B1363" s="57" t="s">
        <v>35</v>
      </c>
      <c r="C1363" s="57" t="s">
        <v>36</v>
      </c>
      <c r="D1363" s="57" t="s">
        <v>47</v>
      </c>
      <c r="E1363" s="57" t="s">
        <v>58</v>
      </c>
      <c r="F1363" s="57" t="s">
        <v>56</v>
      </c>
      <c r="G1363" s="57" t="s">
        <v>25</v>
      </c>
      <c r="H1363" s="57" t="s">
        <v>37</v>
      </c>
      <c r="I1363" s="82">
        <v>44440</v>
      </c>
      <c r="J1363" s="83">
        <f>EFEITO!$J$1363*EFEITO!$Y$1355</f>
        <v>0</v>
      </c>
      <c r="K1363" s="83">
        <f ca="1">EFEITO!$L$1363*EFEITO!$Z$1355</f>
        <v>502.67538063550387</v>
      </c>
      <c r="L1363" s="83">
        <f>EFEITO!$N$1363*EFEITO!$AA$1355</f>
        <v>142.20484176159064</v>
      </c>
      <c r="M1363" s="83">
        <f>$J$1363-EFEITO!$K$1363*EFEITO!$Y$1363</f>
        <v>0</v>
      </c>
      <c r="N1363" s="83">
        <f ca="1">$K$1363-EFEITO!$M$1363*EFEITO!$Z$1363</f>
        <v>20.107015225420128</v>
      </c>
      <c r="O1363" s="83">
        <f>$L$1363-EFEITO!$O$1363*EFEITO!$AA$1363</f>
        <v>5.6881936704636473</v>
      </c>
      <c r="P1363" s="61"/>
      <c r="Q1363" s="61"/>
      <c r="R1363" s="61"/>
      <c r="S1363" s="61"/>
      <c r="T1363" s="61"/>
      <c r="U1363" s="61"/>
      <c r="V1363" s="61"/>
      <c r="W1363" s="61"/>
      <c r="X1363" s="6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</row>
    <row r="1364" spans="1:36" ht="11.25" customHeight="1" x14ac:dyDescent="0.2">
      <c r="A1364" s="57" t="s">
        <v>59</v>
      </c>
      <c r="B1364" s="57" t="s">
        <v>35</v>
      </c>
      <c r="C1364" s="57" t="s">
        <v>36</v>
      </c>
      <c r="D1364" s="57" t="s">
        <v>47</v>
      </c>
      <c r="E1364" s="57" t="s">
        <v>58</v>
      </c>
      <c r="F1364" s="57" t="s">
        <v>56</v>
      </c>
      <c r="G1364" s="57" t="s">
        <v>25</v>
      </c>
      <c r="H1364" s="57" t="s">
        <v>37</v>
      </c>
      <c r="I1364" s="82">
        <v>44470</v>
      </c>
      <c r="J1364" s="83">
        <f>EFEITO!$J$1364*EFEITO!$Y$1355</f>
        <v>0</v>
      </c>
      <c r="K1364" s="83">
        <f ca="1">EFEITO!$L$1364*EFEITO!$Z$1355</f>
        <v>502.67538063550387</v>
      </c>
      <c r="L1364" s="83">
        <f>EFEITO!$N$1364*EFEITO!$AA$1355</f>
        <v>142.20484176159064</v>
      </c>
      <c r="M1364" s="83">
        <f>$J$1364-EFEITO!$K$1364*EFEITO!$Y$1364</f>
        <v>0</v>
      </c>
      <c r="N1364" s="83">
        <f ca="1">$K$1364-EFEITO!$M$1364*EFEITO!$Z$1364</f>
        <v>20.107015225420128</v>
      </c>
      <c r="O1364" s="83">
        <f>$L$1364-EFEITO!$O$1364*EFEITO!$AA$1364</f>
        <v>5.6881936704636473</v>
      </c>
      <c r="P1364" s="61"/>
      <c r="Q1364" s="61"/>
      <c r="R1364" s="61"/>
      <c r="S1364" s="61"/>
      <c r="T1364" s="61"/>
      <c r="U1364" s="61"/>
      <c r="V1364" s="61"/>
      <c r="W1364" s="61"/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</row>
    <row r="1365" spans="1:36" ht="11.25" customHeight="1" x14ac:dyDescent="0.2">
      <c r="A1365" s="57" t="s">
        <v>28</v>
      </c>
      <c r="B1365" s="57" t="s">
        <v>35</v>
      </c>
      <c r="C1365" s="57" t="s">
        <v>36</v>
      </c>
      <c r="D1365" s="57" t="s">
        <v>47</v>
      </c>
      <c r="E1365" s="57" t="s">
        <v>58</v>
      </c>
      <c r="F1365" s="57" t="s">
        <v>57</v>
      </c>
      <c r="G1365" s="57" t="s">
        <v>25</v>
      </c>
      <c r="H1365" s="57" t="s">
        <v>38</v>
      </c>
      <c r="I1365" s="82">
        <v>44378</v>
      </c>
      <c r="J1365" s="83">
        <f>EFEITO!$J$1365*EFEITO!$Y$1317</f>
        <v>0</v>
      </c>
      <c r="K1365" s="83">
        <f ca="1">EFEITO!$L$1365*EFEITO!$Z$1317</f>
        <v>627.54383207061085</v>
      </c>
      <c r="L1365" s="83">
        <f>EFEITO!$N$1365*EFEITO!$AA$1317</f>
        <v>1053.5843965461904</v>
      </c>
      <c r="M1365" s="83">
        <f>$J$1365-EFEITO!$K$1365*EFEITO!$Y$1365</f>
        <v>0</v>
      </c>
      <c r="N1365" s="83">
        <f ca="1">$K$1365-EFEITO!$M$1365*EFEITO!$Z$1365</f>
        <v>37.652629924236635</v>
      </c>
      <c r="O1365" s="83">
        <f>$L$1365-EFEITO!$O$1365*EFEITO!$AA$1365</f>
        <v>63.215063792771389</v>
      </c>
      <c r="P1365" s="61"/>
      <c r="Q1365" s="61"/>
      <c r="R1365" s="61"/>
      <c r="S1365" s="61"/>
      <c r="T1365" s="61"/>
      <c r="U1365" s="61"/>
      <c r="V1365" s="61"/>
      <c r="W1365" s="61"/>
      <c r="X1365" s="6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</row>
    <row r="1366" spans="1:36" ht="11.25" customHeight="1" x14ac:dyDescent="0.2">
      <c r="A1366" s="57" t="s">
        <v>28</v>
      </c>
      <c r="B1366" s="57" t="s">
        <v>35</v>
      </c>
      <c r="C1366" s="57" t="s">
        <v>36</v>
      </c>
      <c r="D1366" s="57" t="s">
        <v>47</v>
      </c>
      <c r="E1366" s="57" t="s">
        <v>58</v>
      </c>
      <c r="F1366" s="57" t="s">
        <v>57</v>
      </c>
      <c r="G1366" s="57" t="s">
        <v>25</v>
      </c>
      <c r="H1366" s="57" t="s">
        <v>38</v>
      </c>
      <c r="I1366" s="82">
        <v>44409</v>
      </c>
      <c r="J1366" s="83">
        <f>EFEITO!$J$1366*EFEITO!$Y$1317</f>
        <v>0</v>
      </c>
      <c r="K1366" s="83">
        <f ca="1">EFEITO!$L$1366*EFEITO!$Z$1317</f>
        <v>1207.9039173689953</v>
      </c>
      <c r="L1366" s="83">
        <f>EFEITO!$N$1366*EFEITO!$AA$1317</f>
        <v>2027.9519211716147</v>
      </c>
      <c r="M1366" s="83">
        <f>$J$1366-EFEITO!$K$1366*EFEITO!$Y$1366</f>
        <v>0</v>
      </c>
      <c r="N1366" s="83">
        <f ca="1">$K$1366-EFEITO!$M$1366*EFEITO!$Z$1366</f>
        <v>72.474235042139753</v>
      </c>
      <c r="O1366" s="83">
        <f>$L$1366-EFEITO!$O$1366*EFEITO!$AA$1366</f>
        <v>121.67711527029701</v>
      </c>
      <c r="P1366" s="61"/>
      <c r="Q1366" s="61"/>
      <c r="R1366" s="61"/>
      <c r="S1366" s="61"/>
      <c r="T1366" s="61"/>
      <c r="U1366" s="61"/>
      <c r="V1366" s="61"/>
      <c r="W1366" s="61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</row>
    <row r="1367" spans="1:36" ht="11.25" customHeight="1" x14ac:dyDescent="0.2">
      <c r="A1367" s="57" t="s">
        <v>29</v>
      </c>
      <c r="B1367" s="57" t="s">
        <v>35</v>
      </c>
      <c r="C1367" s="57" t="s">
        <v>36</v>
      </c>
      <c r="D1367" s="57" t="s">
        <v>47</v>
      </c>
      <c r="E1367" s="57" t="s">
        <v>58</v>
      </c>
      <c r="F1367" s="57" t="s">
        <v>57</v>
      </c>
      <c r="G1367" s="57" t="s">
        <v>25</v>
      </c>
      <c r="H1367" s="57" t="s">
        <v>38</v>
      </c>
      <c r="I1367" s="82">
        <v>44409</v>
      </c>
      <c r="J1367" s="83">
        <f>EFEITO!$J$1367*EFEITO!$Y$1317</f>
        <v>0</v>
      </c>
      <c r="K1367" s="83">
        <f ca="1">EFEITO!$L$1367*EFEITO!$Z$1317</f>
        <v>616.59046228420107</v>
      </c>
      <c r="L1367" s="83">
        <f>EFEITO!$N$1367*EFEITO!$AA$1317</f>
        <v>1035.194765564584</v>
      </c>
      <c r="M1367" s="83">
        <f>$J$1367-EFEITO!$K$1367*EFEITO!$Y$1367</f>
        <v>0</v>
      </c>
      <c r="N1367" s="83">
        <f ca="1">$K$1367-EFEITO!$M$1367*EFEITO!$Z$1367</f>
        <v>36.995427737052069</v>
      </c>
      <c r="O1367" s="83">
        <f>$L$1367-EFEITO!$O$1367*EFEITO!$AA$1367</f>
        <v>62.111685933875265</v>
      </c>
      <c r="P1367" s="61"/>
      <c r="Q1367" s="61"/>
      <c r="R1367" s="61"/>
      <c r="S1367" s="61"/>
      <c r="T1367" s="61"/>
      <c r="U1367" s="61"/>
      <c r="V1367" s="61"/>
      <c r="W1367" s="61"/>
      <c r="X1367" s="6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</row>
    <row r="1368" spans="1:36" ht="11.25" customHeight="1" x14ac:dyDescent="0.2">
      <c r="A1368" s="57" t="s">
        <v>28</v>
      </c>
      <c r="B1368" s="57" t="s">
        <v>35</v>
      </c>
      <c r="C1368" s="57" t="s">
        <v>36</v>
      </c>
      <c r="D1368" s="57" t="s">
        <v>47</v>
      </c>
      <c r="E1368" s="57" t="s">
        <v>58</v>
      </c>
      <c r="F1368" s="57" t="s">
        <v>57</v>
      </c>
      <c r="G1368" s="57" t="s">
        <v>25</v>
      </c>
      <c r="H1368" s="57" t="s">
        <v>38</v>
      </c>
      <c r="I1368" s="82">
        <v>44440</v>
      </c>
      <c r="J1368" s="83">
        <f>EFEITO!$J$1368*EFEITO!$Y$1317</f>
        <v>0</v>
      </c>
      <c r="K1368" s="83">
        <f ca="1">EFEITO!$L$1368*EFEITO!$Z$1317</f>
        <v>1897.6291871501471</v>
      </c>
      <c r="L1368" s="83">
        <f>EFEITO!$N$1368*EFEITO!$AA$1317</f>
        <v>3185.9328382133863</v>
      </c>
      <c r="M1368" s="83">
        <f>$J$1368-EFEITO!$K$1368*EFEITO!$Y$1368</f>
        <v>0</v>
      </c>
      <c r="N1368" s="83">
        <f ca="1">$K$1368-EFEITO!$M$1368*EFEITO!$Z$1368</f>
        <v>113.85775122900895</v>
      </c>
      <c r="O1368" s="83">
        <f>$L$1368-EFEITO!$O$1368*EFEITO!$AA$1368</f>
        <v>191.15597029280343</v>
      </c>
      <c r="P1368" s="61"/>
      <c r="Q1368" s="61"/>
      <c r="R1368" s="61"/>
      <c r="S1368" s="61"/>
      <c r="T1368" s="61"/>
      <c r="U1368" s="61"/>
      <c r="V1368" s="61"/>
      <c r="W1368" s="61"/>
      <c r="X1368" s="6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</row>
    <row r="1369" spans="1:36" ht="11.25" customHeight="1" x14ac:dyDescent="0.2">
      <c r="A1369" s="57" t="s">
        <v>59</v>
      </c>
      <c r="B1369" s="57" t="s">
        <v>35</v>
      </c>
      <c r="C1369" s="57" t="s">
        <v>36</v>
      </c>
      <c r="D1369" s="57" t="s">
        <v>47</v>
      </c>
      <c r="E1369" s="57" t="s">
        <v>58</v>
      </c>
      <c r="F1369" s="57" t="s">
        <v>57</v>
      </c>
      <c r="G1369" s="57" t="s">
        <v>25</v>
      </c>
      <c r="H1369" s="57" t="s">
        <v>38</v>
      </c>
      <c r="I1369" s="82">
        <v>44470</v>
      </c>
      <c r="J1369" s="83">
        <f>EFEITO!$J$1369*EFEITO!$Y$1317</f>
        <v>0</v>
      </c>
      <c r="K1369" s="83">
        <f ca="1">EFEITO!$L$1369*EFEITO!$Z$1317</f>
        <v>1897.6291871501471</v>
      </c>
      <c r="L1369" s="83">
        <f>EFEITO!$N$1369*EFEITO!$AA$1317</f>
        <v>3185.9328382133863</v>
      </c>
      <c r="M1369" s="83">
        <f>$J$1369-EFEITO!$K$1369*EFEITO!$Y$1369</f>
        <v>0</v>
      </c>
      <c r="N1369" s="83">
        <f ca="1">$K$1369-EFEITO!$M$1369*EFEITO!$Z$1369</f>
        <v>113.85775122900895</v>
      </c>
      <c r="O1369" s="83">
        <f>$L$1369-EFEITO!$O$1369*EFEITO!$AA$1369</f>
        <v>191.15597029280343</v>
      </c>
      <c r="P1369" s="61"/>
      <c r="Q1369" s="61"/>
      <c r="R1369" s="61"/>
      <c r="S1369" s="61"/>
      <c r="T1369" s="61"/>
      <c r="U1369" s="61"/>
      <c r="V1369" s="61"/>
      <c r="W1369" s="61"/>
      <c r="X1369" s="6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</row>
    <row r="1370" spans="1:36" ht="11.25" customHeight="1" x14ac:dyDescent="0.2">
      <c r="A1370" s="57" t="s">
        <v>28</v>
      </c>
      <c r="B1370" s="57" t="s">
        <v>35</v>
      </c>
      <c r="C1370" s="57" t="s">
        <v>36</v>
      </c>
      <c r="D1370" s="57" t="s">
        <v>47</v>
      </c>
      <c r="E1370" s="57" t="s">
        <v>58</v>
      </c>
      <c r="F1370" s="57" t="s">
        <v>25</v>
      </c>
      <c r="G1370" s="57" t="s">
        <v>25</v>
      </c>
      <c r="H1370" s="57" t="s">
        <v>25</v>
      </c>
      <c r="I1370" s="82">
        <v>44378</v>
      </c>
      <c r="J1370" s="83">
        <f ca="1">EFEITO!$J$1370*EFEITO!$Y$1336</f>
        <v>1373.0176004843831</v>
      </c>
      <c r="K1370" s="83">
        <f>EFEITO!$L$1370*EFEITO!$Z$1336</f>
        <v>0</v>
      </c>
      <c r="L1370" s="83">
        <f>EFEITO!$N$1370*EFEITO!$AA$1336</f>
        <v>0</v>
      </c>
      <c r="M1370" s="83">
        <f ca="1">$J$1370-EFEITO!$K$1370*EFEITO!$Y$1370</f>
        <v>54.920704019375307</v>
      </c>
      <c r="N1370" s="83">
        <f>$K$1370-EFEITO!$M$1370*EFEITO!$Z$1370</f>
        <v>0</v>
      </c>
      <c r="O1370" s="83">
        <f>$L$1370-EFEITO!$O$1370*EFEITO!$AA$1370</f>
        <v>0</v>
      </c>
      <c r="P1370" s="61"/>
      <c r="Q1370" s="61"/>
      <c r="R1370" s="61"/>
      <c r="S1370" s="61"/>
      <c r="T1370" s="61"/>
      <c r="U1370" s="61"/>
      <c r="V1370" s="61"/>
      <c r="W1370" s="61"/>
      <c r="X1370" s="6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</row>
    <row r="1371" spans="1:36" ht="11.25" customHeight="1" x14ac:dyDescent="0.2">
      <c r="A1371" s="57" t="s">
        <v>28</v>
      </c>
      <c r="B1371" s="57" t="s">
        <v>35</v>
      </c>
      <c r="C1371" s="57" t="s">
        <v>36</v>
      </c>
      <c r="D1371" s="57" t="s">
        <v>47</v>
      </c>
      <c r="E1371" s="57" t="s">
        <v>58</v>
      </c>
      <c r="F1371" s="57" t="s">
        <v>25</v>
      </c>
      <c r="G1371" s="57" t="s">
        <v>25</v>
      </c>
      <c r="H1371" s="57" t="s">
        <v>25</v>
      </c>
      <c r="I1371" s="82">
        <v>44409</v>
      </c>
      <c r="J1371" s="83">
        <f ca="1">EFEITO!$J$1371*EFEITO!$Y$1336</f>
        <v>2809.8964847122261</v>
      </c>
      <c r="K1371" s="83">
        <f>EFEITO!$L$1371*EFEITO!$Z$1336</f>
        <v>0</v>
      </c>
      <c r="L1371" s="83">
        <f>EFEITO!$N$1371*EFEITO!$AA$1336</f>
        <v>0</v>
      </c>
      <c r="M1371" s="83">
        <f ca="1">$J$1371-EFEITO!$K$1371*EFEITO!$Y$1371</f>
        <v>112.39585938848904</v>
      </c>
      <c r="N1371" s="83">
        <f>$K$1371-EFEITO!$M$1371*EFEITO!$Z$1371</f>
        <v>0</v>
      </c>
      <c r="O1371" s="83">
        <f>$L$1371-EFEITO!$O$1371*EFEITO!$AA$1371</f>
        <v>0</v>
      </c>
      <c r="P1371" s="61"/>
      <c r="Q1371" s="61"/>
      <c r="R1371" s="61"/>
      <c r="S1371" s="61"/>
      <c r="T1371" s="61"/>
      <c r="U1371" s="61"/>
      <c r="V1371" s="61"/>
      <c r="W1371" s="61"/>
      <c r="X1371" s="6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</row>
    <row r="1372" spans="1:36" ht="11.25" customHeight="1" x14ac:dyDescent="0.2">
      <c r="A1372" s="57" t="s">
        <v>28</v>
      </c>
      <c r="B1372" s="57" t="s">
        <v>35</v>
      </c>
      <c r="C1372" s="57" t="s">
        <v>36</v>
      </c>
      <c r="D1372" s="57" t="s">
        <v>47</v>
      </c>
      <c r="E1372" s="57" t="s">
        <v>58</v>
      </c>
      <c r="F1372" s="57" t="s">
        <v>25</v>
      </c>
      <c r="G1372" s="57" t="s">
        <v>25</v>
      </c>
      <c r="H1372" s="57" t="s">
        <v>25</v>
      </c>
      <c r="I1372" s="82">
        <v>44440</v>
      </c>
      <c r="J1372" s="83">
        <f ca="1">EFEITO!$J$1372*EFEITO!$Y$1336</f>
        <v>1596.532093586492</v>
      </c>
      <c r="K1372" s="83">
        <f>EFEITO!$L$1372*EFEITO!$Z$1336</f>
        <v>0</v>
      </c>
      <c r="L1372" s="83">
        <f>EFEITO!$N$1372*EFEITO!$AA$1336</f>
        <v>0</v>
      </c>
      <c r="M1372" s="83">
        <f ca="1">$J$1372-EFEITO!$K$1372*EFEITO!$Y$1372</f>
        <v>63.86128374345958</v>
      </c>
      <c r="N1372" s="83">
        <f>$K$1372-EFEITO!$M$1372*EFEITO!$Z$1372</f>
        <v>0</v>
      </c>
      <c r="O1372" s="83">
        <f>$L$1372-EFEITO!$O$1372*EFEITO!$AA$1372</f>
        <v>0</v>
      </c>
      <c r="P1372" s="61"/>
      <c r="Q1372" s="61"/>
      <c r="R1372" s="61"/>
      <c r="S1372" s="61"/>
      <c r="T1372" s="61"/>
      <c r="U1372" s="61"/>
      <c r="V1372" s="61"/>
      <c r="W1372" s="61"/>
      <c r="X1372" s="6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</row>
    <row r="1373" spans="1:36" ht="11.25" customHeight="1" x14ac:dyDescent="0.2">
      <c r="A1373" s="57" t="s">
        <v>59</v>
      </c>
      <c r="B1373" s="57" t="s">
        <v>35</v>
      </c>
      <c r="C1373" s="57" t="s">
        <v>36</v>
      </c>
      <c r="D1373" s="57" t="s">
        <v>47</v>
      </c>
      <c r="E1373" s="57" t="s">
        <v>58</v>
      </c>
      <c r="F1373" s="57" t="s">
        <v>25</v>
      </c>
      <c r="G1373" s="57" t="s">
        <v>25</v>
      </c>
      <c r="H1373" s="57" t="s">
        <v>25</v>
      </c>
      <c r="I1373" s="82">
        <v>44470</v>
      </c>
      <c r="J1373" s="83">
        <f ca="1">EFEITO!$J$1373*EFEITO!$Y$1336</f>
        <v>1596.532093586492</v>
      </c>
      <c r="K1373" s="83">
        <f>EFEITO!$L$1373*EFEITO!$Z$1336</f>
        <v>0</v>
      </c>
      <c r="L1373" s="83">
        <f>EFEITO!$N$1373*EFEITO!$AA$1336</f>
        <v>0</v>
      </c>
      <c r="M1373" s="83">
        <f ca="1">$J$1373-EFEITO!$K$1373*EFEITO!$Y$1373</f>
        <v>63.86128374345958</v>
      </c>
      <c r="N1373" s="83">
        <f>$K$1373-EFEITO!$M$1373*EFEITO!$Z$1373</f>
        <v>0</v>
      </c>
      <c r="O1373" s="83">
        <f>$L$1373-EFEITO!$O$1373*EFEITO!$AA$1373</f>
        <v>0</v>
      </c>
      <c r="P1373" s="61"/>
      <c r="Q1373" s="61"/>
      <c r="R1373" s="61"/>
      <c r="S1373" s="61"/>
      <c r="T1373" s="61"/>
      <c r="U1373" s="61"/>
      <c r="V1373" s="61"/>
      <c r="W1373" s="61"/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</row>
    <row r="1374" spans="1:36" ht="11.25" customHeight="1" x14ac:dyDescent="0.2">
      <c r="A1374" s="57" t="s">
        <v>29</v>
      </c>
      <c r="B1374" s="57" t="s">
        <v>35</v>
      </c>
      <c r="C1374" s="57" t="s">
        <v>36</v>
      </c>
      <c r="D1374" s="57" t="s">
        <v>47</v>
      </c>
      <c r="E1374" s="57" t="s">
        <v>58</v>
      </c>
      <c r="F1374" s="57" t="s">
        <v>25</v>
      </c>
      <c r="G1374" s="57" t="s">
        <v>25</v>
      </c>
      <c r="H1374" s="57" t="s">
        <v>37</v>
      </c>
      <c r="I1374" s="82">
        <v>44409</v>
      </c>
      <c r="J1374" s="83">
        <f>EFEITO!$J$1374*EFEITO!$Y$1355</f>
        <v>0</v>
      </c>
      <c r="K1374" s="83">
        <f ca="1">EFEITO!$L$1374*EFEITO!$Z$1355</f>
        <v>-13878.979678760461</v>
      </c>
      <c r="L1374" s="83">
        <f>EFEITO!$N$1374*EFEITO!$AA$1355</f>
        <v>-3926.3074840372724</v>
      </c>
      <c r="M1374" s="83">
        <f>$J$1374-EFEITO!$K$1374*EFEITO!$Y$1374</f>
        <v>0</v>
      </c>
      <c r="N1374" s="83">
        <f ca="1">$K$1374-EFEITO!$M$1374*EFEITO!$Z$1374</f>
        <v>-555.1591871504188</v>
      </c>
      <c r="O1374" s="83">
        <f>$L$1374-EFEITO!$O$1374*EFEITO!$AA$1374</f>
        <v>-157.05229936149135</v>
      </c>
      <c r="P1374" s="61"/>
      <c r="Q1374" s="61"/>
      <c r="R1374" s="61"/>
      <c r="S1374" s="61"/>
      <c r="T1374" s="61"/>
      <c r="U1374" s="61"/>
      <c r="V1374" s="61"/>
      <c r="W1374" s="61"/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</row>
    <row r="1375" spans="1:36" ht="11.25" customHeight="1" x14ac:dyDescent="0.2">
      <c r="A1375" s="57" t="s">
        <v>21</v>
      </c>
      <c r="B1375" s="57" t="s">
        <v>35</v>
      </c>
      <c r="C1375" s="57" t="s">
        <v>36</v>
      </c>
      <c r="D1375" s="57" t="s">
        <v>47</v>
      </c>
      <c r="E1375" s="57" t="s">
        <v>25</v>
      </c>
      <c r="F1375" s="57" t="s">
        <v>25</v>
      </c>
      <c r="G1375" s="57" t="s">
        <v>25</v>
      </c>
      <c r="H1375" s="57" t="s">
        <v>38</v>
      </c>
      <c r="I1375" s="82">
        <v>44136</v>
      </c>
      <c r="J1375" s="83">
        <f>EFEITO!$J$1375*EFEITO!$Y$1317</f>
        <v>0</v>
      </c>
      <c r="K1375" s="83">
        <f ca="1">EFEITO!$L$1375*EFEITO!$Z$1317</f>
        <v>101629.57771284238</v>
      </c>
      <c r="L1375" s="83">
        <f>EFEITO!$N$1375*EFEITO!$AA$1317</f>
        <v>170626.06918233747</v>
      </c>
      <c r="M1375" s="83">
        <f>$J$1375-EFEITO!$K$1375*EFEITO!$Y$1375</f>
        <v>0</v>
      </c>
      <c r="N1375" s="83">
        <f ca="1">$K$1375-EFEITO!$M$1375*EFEITO!$Z$1375</f>
        <v>4065.1831085136946</v>
      </c>
      <c r="O1375" s="83">
        <f>$L$1375-EFEITO!$O$1375*EFEITO!$AA$1375</f>
        <v>6825.0427672935184</v>
      </c>
      <c r="P1375" s="61"/>
      <c r="Q1375" s="61"/>
      <c r="R1375" s="61"/>
      <c r="S1375" s="61"/>
      <c r="T1375" s="61"/>
      <c r="U1375" s="61"/>
      <c r="V1375" s="61"/>
      <c r="W1375" s="61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</row>
    <row r="1376" spans="1:36" ht="11.25" customHeight="1" x14ac:dyDescent="0.2">
      <c r="A1376" s="57" t="s">
        <v>28</v>
      </c>
      <c r="B1376" s="57" t="s">
        <v>35</v>
      </c>
      <c r="C1376" s="57" t="s">
        <v>36</v>
      </c>
      <c r="D1376" s="57" t="s">
        <v>47</v>
      </c>
      <c r="E1376" s="57" t="s">
        <v>25</v>
      </c>
      <c r="F1376" s="57" t="s">
        <v>25</v>
      </c>
      <c r="G1376" s="57" t="s">
        <v>25</v>
      </c>
      <c r="H1376" s="57" t="s">
        <v>38</v>
      </c>
      <c r="I1376" s="82">
        <v>44136</v>
      </c>
      <c r="J1376" s="83">
        <f>EFEITO!$J$1376*EFEITO!$Y$1317</f>
        <v>0</v>
      </c>
      <c r="K1376" s="83">
        <f ca="1">EFEITO!$L$1376*EFEITO!$Z$1317</f>
        <v>15478.628128628861</v>
      </c>
      <c r="L1376" s="83">
        <f>EFEITO!$N$1376*EFEITO!$AA$1317</f>
        <v>25987.094833607352</v>
      </c>
      <c r="M1376" s="83">
        <f>$J$1376-EFEITO!$K$1376*EFEITO!$Y$1376</f>
        <v>0</v>
      </c>
      <c r="N1376" s="83">
        <f ca="1">$K$1376-EFEITO!$M$1376*EFEITO!$Z$1376</f>
        <v>619.14512514515445</v>
      </c>
      <c r="O1376" s="83">
        <f>$L$1376-EFEITO!$O$1376*EFEITO!$AA$1376</f>
        <v>1039.4837933442977</v>
      </c>
      <c r="P1376" s="61"/>
      <c r="Q1376" s="61"/>
      <c r="R1376" s="61"/>
      <c r="S1376" s="61"/>
      <c r="T1376" s="61"/>
      <c r="U1376" s="61"/>
      <c r="V1376" s="61"/>
      <c r="W1376" s="61"/>
      <c r="X1376" s="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</row>
    <row r="1377" spans="1:36" ht="11.25" customHeight="1" x14ac:dyDescent="0.2">
      <c r="A1377" s="57" t="s">
        <v>21</v>
      </c>
      <c r="B1377" s="57" t="s">
        <v>35</v>
      </c>
      <c r="C1377" s="57" t="s">
        <v>36</v>
      </c>
      <c r="D1377" s="57" t="s">
        <v>47</v>
      </c>
      <c r="E1377" s="57" t="s">
        <v>25</v>
      </c>
      <c r="F1377" s="57" t="s">
        <v>25</v>
      </c>
      <c r="G1377" s="57" t="s">
        <v>25</v>
      </c>
      <c r="H1377" s="57" t="s">
        <v>38</v>
      </c>
      <c r="I1377" s="82">
        <v>44166</v>
      </c>
      <c r="J1377" s="83">
        <f>EFEITO!$J$1377*EFEITO!$Y$1317</f>
        <v>0</v>
      </c>
      <c r="K1377" s="83">
        <f ca="1">EFEITO!$L$1377*EFEITO!$Z$1317</f>
        <v>101004.39306811038</v>
      </c>
      <c r="L1377" s="83">
        <f>EFEITO!$N$1377*EFEITO!$AA$1317</f>
        <v>169576.44562938731</v>
      </c>
      <c r="M1377" s="83">
        <f>$J$1377-EFEITO!$K$1377*EFEITO!$Y$1377</f>
        <v>0</v>
      </c>
      <c r="N1377" s="83">
        <f ca="1">$K$1377-EFEITO!$M$1377*EFEITO!$Z$1377</f>
        <v>4040.1757227244234</v>
      </c>
      <c r="O1377" s="83">
        <f>$L$1377-EFEITO!$O$1377*EFEITO!$AA$1377</f>
        <v>6783.0578251755214</v>
      </c>
      <c r="P1377" s="61"/>
      <c r="Q1377" s="61"/>
      <c r="R1377" s="61"/>
      <c r="S1377" s="61"/>
      <c r="T1377" s="61"/>
      <c r="U1377" s="61"/>
      <c r="V1377" s="61"/>
      <c r="W1377" s="61"/>
      <c r="X1377" s="6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</row>
    <row r="1378" spans="1:36" ht="11.25" customHeight="1" x14ac:dyDescent="0.2">
      <c r="A1378" s="57" t="s">
        <v>28</v>
      </c>
      <c r="B1378" s="57" t="s">
        <v>35</v>
      </c>
      <c r="C1378" s="57" t="s">
        <v>36</v>
      </c>
      <c r="D1378" s="57" t="s">
        <v>47</v>
      </c>
      <c r="E1378" s="57" t="s">
        <v>25</v>
      </c>
      <c r="F1378" s="57" t="s">
        <v>25</v>
      </c>
      <c r="G1378" s="57" t="s">
        <v>25</v>
      </c>
      <c r="H1378" s="57" t="s">
        <v>38</v>
      </c>
      <c r="I1378" s="82">
        <v>44166</v>
      </c>
      <c r="J1378" s="83">
        <f>EFEITO!$J$1378*EFEITO!$Y$1317</f>
        <v>0</v>
      </c>
      <c r="K1378" s="83">
        <f ca="1">EFEITO!$L$1378*EFEITO!$Z$1317</f>
        <v>16690.239340387103</v>
      </c>
      <c r="L1378" s="83">
        <f>EFEITO!$N$1378*EFEITO!$AA$1317</f>
        <v>28021.270937572739</v>
      </c>
      <c r="M1378" s="83">
        <f>$J$1378-EFEITO!$K$1378*EFEITO!$Y$1378</f>
        <v>0</v>
      </c>
      <c r="N1378" s="83">
        <f ca="1">$K$1378-EFEITO!$M$1378*EFEITO!$Z$1378</f>
        <v>667.60957361548571</v>
      </c>
      <c r="O1378" s="83">
        <f>$L$1378-EFEITO!$O$1378*EFEITO!$AA$1378</f>
        <v>1120.8508375029123</v>
      </c>
      <c r="P1378" s="61"/>
      <c r="Q1378" s="61"/>
      <c r="R1378" s="61"/>
      <c r="S1378" s="61"/>
      <c r="T1378" s="61"/>
      <c r="U1378" s="61"/>
      <c r="V1378" s="61"/>
      <c r="W1378" s="61"/>
      <c r="X1378" s="6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</row>
    <row r="1379" spans="1:36" ht="11.25" customHeight="1" x14ac:dyDescent="0.2">
      <c r="A1379" s="57" t="s">
        <v>21</v>
      </c>
      <c r="B1379" s="57" t="s">
        <v>35</v>
      </c>
      <c r="C1379" s="57" t="s">
        <v>36</v>
      </c>
      <c r="D1379" s="57" t="s">
        <v>47</v>
      </c>
      <c r="E1379" s="57" t="s">
        <v>25</v>
      </c>
      <c r="F1379" s="57" t="s">
        <v>25</v>
      </c>
      <c r="G1379" s="57" t="s">
        <v>25</v>
      </c>
      <c r="H1379" s="57" t="s">
        <v>38</v>
      </c>
      <c r="I1379" s="82">
        <v>44197</v>
      </c>
      <c r="J1379" s="83">
        <f>EFEITO!$J$1379*EFEITO!$Y$1317</f>
        <v>0</v>
      </c>
      <c r="K1379" s="83">
        <f ca="1">EFEITO!$L$1379*EFEITO!$Z$1317</f>
        <v>89719.388947244472</v>
      </c>
      <c r="L1379" s="83">
        <f>EFEITO!$N$1379*EFEITO!$AA$1317</f>
        <v>150630.03320513779</v>
      </c>
      <c r="M1379" s="83">
        <f>$J$1379-EFEITO!$K$1379*EFEITO!$Y$1379</f>
        <v>0</v>
      </c>
      <c r="N1379" s="83">
        <f ca="1">$K$1379-EFEITO!$M$1379*EFEITO!$Z$1379</f>
        <v>3588.7755578897923</v>
      </c>
      <c r="O1379" s="83">
        <f>$L$1379-EFEITO!$O$1379*EFEITO!$AA$1379</f>
        <v>6025.2013282055268</v>
      </c>
      <c r="P1379" s="61"/>
      <c r="Q1379" s="61"/>
      <c r="R1379" s="61"/>
      <c r="S1379" s="61"/>
      <c r="T1379" s="61"/>
      <c r="U1379" s="61"/>
      <c r="V1379" s="61"/>
      <c r="W1379" s="61"/>
      <c r="X1379" s="6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</row>
    <row r="1380" spans="1:36" ht="11.25" customHeight="1" x14ac:dyDescent="0.2">
      <c r="A1380" s="57" t="s">
        <v>28</v>
      </c>
      <c r="B1380" s="57" t="s">
        <v>35</v>
      </c>
      <c r="C1380" s="57" t="s">
        <v>36</v>
      </c>
      <c r="D1380" s="57" t="s">
        <v>47</v>
      </c>
      <c r="E1380" s="57" t="s">
        <v>25</v>
      </c>
      <c r="F1380" s="57" t="s">
        <v>25</v>
      </c>
      <c r="G1380" s="57" t="s">
        <v>25</v>
      </c>
      <c r="H1380" s="57" t="s">
        <v>38</v>
      </c>
      <c r="I1380" s="82">
        <v>44197</v>
      </c>
      <c r="J1380" s="83">
        <f>EFEITO!$J$1380*EFEITO!$Y$1317</f>
        <v>0</v>
      </c>
      <c r="K1380" s="83">
        <f ca="1">EFEITO!$L$1380*EFEITO!$Z$1317</f>
        <v>17599.537546040436</v>
      </c>
      <c r="L1380" s="83">
        <f>EFEITO!$N$1380*EFEITO!$AA$1317</f>
        <v>29547.893226445791</v>
      </c>
      <c r="M1380" s="83">
        <f>$J$1380-EFEITO!$K$1380*EFEITO!$Y$1380</f>
        <v>0</v>
      </c>
      <c r="N1380" s="83">
        <f ca="1">$K$1380-EFEITO!$M$1380*EFEITO!$Z$1380</f>
        <v>703.98150184161568</v>
      </c>
      <c r="O1380" s="83">
        <f>$L$1380-EFEITO!$O$1380*EFEITO!$AA$1380</f>
        <v>1181.9157290578332</v>
      </c>
      <c r="P1380" s="61"/>
      <c r="Q1380" s="61"/>
      <c r="R1380" s="61"/>
      <c r="S1380" s="61"/>
      <c r="T1380" s="61"/>
      <c r="U1380" s="61"/>
      <c r="V1380" s="61"/>
      <c r="W1380" s="61"/>
      <c r="X1380" s="6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</row>
    <row r="1381" spans="1:36" ht="11.25" customHeight="1" x14ac:dyDescent="0.2">
      <c r="A1381" s="57" t="s">
        <v>21</v>
      </c>
      <c r="B1381" s="57" t="s">
        <v>35</v>
      </c>
      <c r="C1381" s="57" t="s">
        <v>36</v>
      </c>
      <c r="D1381" s="57" t="s">
        <v>47</v>
      </c>
      <c r="E1381" s="57" t="s">
        <v>25</v>
      </c>
      <c r="F1381" s="57" t="s">
        <v>25</v>
      </c>
      <c r="G1381" s="57" t="s">
        <v>25</v>
      </c>
      <c r="H1381" s="57" t="s">
        <v>38</v>
      </c>
      <c r="I1381" s="82">
        <v>44228</v>
      </c>
      <c r="J1381" s="83">
        <f>EFEITO!$J$1381*EFEITO!$Y$1317</f>
        <v>0</v>
      </c>
      <c r="K1381" s="83">
        <f ca="1">EFEITO!$L$1381*EFEITO!$Z$1317</f>
        <v>86028.103329224396</v>
      </c>
      <c r="L1381" s="83">
        <f>EFEITO!$N$1381*EFEITO!$AA$1317</f>
        <v>144432.72756433641</v>
      </c>
      <c r="M1381" s="83">
        <f>$J$1381-EFEITO!$K$1381*EFEITO!$Y$1381</f>
        <v>0</v>
      </c>
      <c r="N1381" s="83">
        <f ca="1">$K$1381-EFEITO!$M$1381*EFEITO!$Z$1381</f>
        <v>3441.1241331689816</v>
      </c>
      <c r="O1381" s="83">
        <f>$L$1381-EFEITO!$O$1381*EFEITO!$AA$1381</f>
        <v>5777.3091025734902</v>
      </c>
      <c r="P1381" s="61"/>
      <c r="Q1381" s="61"/>
      <c r="R1381" s="61"/>
      <c r="S1381" s="61"/>
      <c r="T1381" s="61"/>
      <c r="U1381" s="61"/>
      <c r="V1381" s="61"/>
      <c r="W1381" s="61"/>
      <c r="X1381" s="6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</row>
    <row r="1382" spans="1:36" ht="11.25" customHeight="1" x14ac:dyDescent="0.2">
      <c r="A1382" s="57" t="s">
        <v>28</v>
      </c>
      <c r="B1382" s="57" t="s">
        <v>35</v>
      </c>
      <c r="C1382" s="57" t="s">
        <v>36</v>
      </c>
      <c r="D1382" s="57" t="s">
        <v>47</v>
      </c>
      <c r="E1382" s="57" t="s">
        <v>25</v>
      </c>
      <c r="F1382" s="57" t="s">
        <v>25</v>
      </c>
      <c r="G1382" s="57" t="s">
        <v>25</v>
      </c>
      <c r="H1382" s="57" t="s">
        <v>38</v>
      </c>
      <c r="I1382" s="82">
        <v>44228</v>
      </c>
      <c r="J1382" s="83">
        <f>EFEITO!$J$1382*EFEITO!$Y$1317</f>
        <v>0</v>
      </c>
      <c r="K1382" s="83">
        <f ca="1">EFEITO!$L$1382*EFEITO!$Z$1317</f>
        <v>15472.393133519674</v>
      </c>
      <c r="L1382" s="83">
        <f>EFEITO!$N$1382*EFEITO!$AA$1317</f>
        <v>25976.62688981782</v>
      </c>
      <c r="M1382" s="83">
        <f>$J$1382-EFEITO!$K$1382*EFEITO!$Y$1382</f>
        <v>0</v>
      </c>
      <c r="N1382" s="83">
        <f ca="1">$K$1382-EFEITO!$M$1382*EFEITO!$Z$1382</f>
        <v>618.89572534078798</v>
      </c>
      <c r="O1382" s="83">
        <f>$L$1382-EFEITO!$O$1382*EFEITO!$AA$1382</f>
        <v>1039.0650755927163</v>
      </c>
      <c r="P1382" s="61"/>
      <c r="Q1382" s="61"/>
      <c r="R1382" s="61"/>
      <c r="S1382" s="61"/>
      <c r="T1382" s="61"/>
      <c r="U1382" s="61"/>
      <c r="V1382" s="61"/>
      <c r="W1382" s="61"/>
      <c r="X1382" s="6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</row>
    <row r="1383" spans="1:36" ht="11.25" customHeight="1" x14ac:dyDescent="0.2">
      <c r="A1383" s="57" t="s">
        <v>21</v>
      </c>
      <c r="B1383" s="57" t="s">
        <v>35</v>
      </c>
      <c r="C1383" s="57" t="s">
        <v>36</v>
      </c>
      <c r="D1383" s="57" t="s">
        <v>47</v>
      </c>
      <c r="E1383" s="57" t="s">
        <v>25</v>
      </c>
      <c r="F1383" s="57" t="s">
        <v>25</v>
      </c>
      <c r="G1383" s="57" t="s">
        <v>25</v>
      </c>
      <c r="H1383" s="57" t="s">
        <v>38</v>
      </c>
      <c r="I1383" s="82">
        <v>44256</v>
      </c>
      <c r="J1383" s="83">
        <f>EFEITO!$J$1383*EFEITO!$Y$1317</f>
        <v>0</v>
      </c>
      <c r="K1383" s="83">
        <f ca="1">EFEITO!$L$1383*EFEITO!$Z$1317</f>
        <v>111335.611450652</v>
      </c>
      <c r="L1383" s="83">
        <f>EFEITO!$N$1383*EFEITO!$AA$1317</f>
        <v>186921.5455712385</v>
      </c>
      <c r="M1383" s="83">
        <f>$J$1383-EFEITO!$K$1383*EFEITO!$Y$1383</f>
        <v>0</v>
      </c>
      <c r="N1383" s="83">
        <f ca="1">$K$1383-EFEITO!$M$1383*EFEITO!$Z$1383</f>
        <v>4453.4244580260856</v>
      </c>
      <c r="O1383" s="83">
        <f>$L$1383-EFEITO!$O$1383*EFEITO!$AA$1383</f>
        <v>7476.8618228495761</v>
      </c>
      <c r="P1383" s="61"/>
      <c r="Q1383" s="61"/>
      <c r="R1383" s="61"/>
      <c r="S1383" s="61"/>
      <c r="T1383" s="61"/>
      <c r="U1383" s="61"/>
      <c r="V1383" s="61"/>
      <c r="W1383" s="61"/>
      <c r="X1383" s="6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</row>
    <row r="1384" spans="1:36" ht="11.25" customHeight="1" x14ac:dyDescent="0.2">
      <c r="A1384" s="57" t="s">
        <v>28</v>
      </c>
      <c r="B1384" s="57" t="s">
        <v>35</v>
      </c>
      <c r="C1384" s="57" t="s">
        <v>36</v>
      </c>
      <c r="D1384" s="57" t="s">
        <v>47</v>
      </c>
      <c r="E1384" s="57" t="s">
        <v>25</v>
      </c>
      <c r="F1384" s="57" t="s">
        <v>25</v>
      </c>
      <c r="G1384" s="57" t="s">
        <v>25</v>
      </c>
      <c r="H1384" s="57" t="s">
        <v>38</v>
      </c>
      <c r="I1384" s="82">
        <v>44256</v>
      </c>
      <c r="J1384" s="83">
        <f>EFEITO!$J$1384*EFEITO!$Y$1317</f>
        <v>0</v>
      </c>
      <c r="K1384" s="83">
        <f ca="1">EFEITO!$L$1384*EFEITO!$Z$1317</f>
        <v>14746.606000134037</v>
      </c>
      <c r="L1384" s="83">
        <f>EFEITO!$N$1384*EFEITO!$AA$1317</f>
        <v>24758.101649236607</v>
      </c>
      <c r="M1384" s="83">
        <f>$J$1384-EFEITO!$K$1384*EFEITO!$Y$1384</f>
        <v>0</v>
      </c>
      <c r="N1384" s="83">
        <f ca="1">$K$1384-EFEITO!$M$1384*EFEITO!$Z$1384</f>
        <v>589.86424000536317</v>
      </c>
      <c r="O1384" s="83">
        <f>$L$1384-EFEITO!$O$1384*EFEITO!$AA$1384</f>
        <v>990.32406596946748</v>
      </c>
      <c r="P1384" s="61"/>
      <c r="Q1384" s="61"/>
      <c r="R1384" s="61"/>
      <c r="S1384" s="61"/>
      <c r="T1384" s="61"/>
      <c r="U1384" s="61"/>
      <c r="V1384" s="61"/>
      <c r="W1384" s="61"/>
      <c r="X1384" s="6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</row>
    <row r="1385" spans="1:36" ht="11.25" customHeight="1" x14ac:dyDescent="0.2">
      <c r="A1385" s="57" t="s">
        <v>21</v>
      </c>
      <c r="B1385" s="57" t="s">
        <v>35</v>
      </c>
      <c r="C1385" s="57" t="s">
        <v>36</v>
      </c>
      <c r="D1385" s="57" t="s">
        <v>47</v>
      </c>
      <c r="E1385" s="57" t="s">
        <v>25</v>
      </c>
      <c r="F1385" s="57" t="s">
        <v>25</v>
      </c>
      <c r="G1385" s="57" t="s">
        <v>25</v>
      </c>
      <c r="H1385" s="57" t="s">
        <v>38</v>
      </c>
      <c r="I1385" s="82">
        <v>44287</v>
      </c>
      <c r="J1385" s="83">
        <f>EFEITO!$J$1385*EFEITO!$Y$1317</f>
        <v>0</v>
      </c>
      <c r="K1385" s="83">
        <f ca="1">EFEITO!$L$1385*EFEITO!$Z$1317</f>
        <v>105800.28390074453</v>
      </c>
      <c r="L1385" s="83">
        <f>EFEITO!$N$1385*EFEITO!$AA$1317</f>
        <v>177628.27482533376</v>
      </c>
      <c r="M1385" s="83">
        <f>$J$1385-EFEITO!$K$1385*EFEITO!$Y$1385</f>
        <v>0</v>
      </c>
      <c r="N1385" s="83">
        <f ca="1">$K$1385-EFEITO!$M$1385*EFEITO!$Z$1385</f>
        <v>4232.0113560297905</v>
      </c>
      <c r="O1385" s="83">
        <f>$L$1385-EFEITO!$O$1385*EFEITO!$AA$1385</f>
        <v>7105.1309930133575</v>
      </c>
      <c r="P1385" s="61"/>
      <c r="Q1385" s="61"/>
      <c r="R1385" s="61"/>
      <c r="S1385" s="61"/>
      <c r="T1385" s="61"/>
      <c r="U1385" s="61"/>
      <c r="V1385" s="61"/>
      <c r="W1385" s="61"/>
      <c r="X1385" s="6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</row>
    <row r="1386" spans="1:36" ht="11.25" customHeight="1" x14ac:dyDescent="0.2">
      <c r="A1386" s="57" t="s">
        <v>28</v>
      </c>
      <c r="B1386" s="57" t="s">
        <v>35</v>
      </c>
      <c r="C1386" s="57" t="s">
        <v>36</v>
      </c>
      <c r="D1386" s="57" t="s">
        <v>47</v>
      </c>
      <c r="E1386" s="57" t="s">
        <v>25</v>
      </c>
      <c r="F1386" s="57" t="s">
        <v>25</v>
      </c>
      <c r="G1386" s="57" t="s">
        <v>25</v>
      </c>
      <c r="H1386" s="57" t="s">
        <v>38</v>
      </c>
      <c r="I1386" s="82">
        <v>44287</v>
      </c>
      <c r="J1386" s="83">
        <f>EFEITO!$J$1386*EFEITO!$Y$1317</f>
        <v>0</v>
      </c>
      <c r="K1386" s="83">
        <f ca="1">EFEITO!$L$1386*EFEITO!$Z$1317</f>
        <v>17445.010775361396</v>
      </c>
      <c r="L1386" s="83">
        <f>EFEITO!$N$1386*EFEITO!$AA$1317</f>
        <v>29288.457970905281</v>
      </c>
      <c r="M1386" s="83">
        <f>$J$1386-EFEITO!$K$1386*EFEITO!$Y$1386</f>
        <v>0</v>
      </c>
      <c r="N1386" s="83">
        <f ca="1">$K$1386-EFEITO!$M$1386*EFEITO!$Z$1386</f>
        <v>697.80043101445699</v>
      </c>
      <c r="O1386" s="83">
        <f>$L$1386-EFEITO!$O$1386*EFEITO!$AA$1386</f>
        <v>1171.5383188362139</v>
      </c>
      <c r="P1386" s="61"/>
      <c r="Q1386" s="61"/>
      <c r="R1386" s="61"/>
      <c r="S1386" s="61"/>
      <c r="T1386" s="61"/>
      <c r="U1386" s="61"/>
      <c r="V1386" s="61"/>
      <c r="W1386" s="61"/>
      <c r="X1386" s="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</row>
    <row r="1387" spans="1:36" ht="11.25" customHeight="1" x14ac:dyDescent="0.2">
      <c r="A1387" s="57" t="s">
        <v>21</v>
      </c>
      <c r="B1387" s="57" t="s">
        <v>35</v>
      </c>
      <c r="C1387" s="57" t="s">
        <v>36</v>
      </c>
      <c r="D1387" s="57" t="s">
        <v>47</v>
      </c>
      <c r="E1387" s="57" t="s">
        <v>25</v>
      </c>
      <c r="F1387" s="57" t="s">
        <v>25</v>
      </c>
      <c r="G1387" s="57" t="s">
        <v>25</v>
      </c>
      <c r="H1387" s="57" t="s">
        <v>38</v>
      </c>
      <c r="I1387" s="82">
        <v>44317</v>
      </c>
      <c r="J1387" s="83">
        <f>EFEITO!$J$1387*EFEITO!$Y$1317</f>
        <v>0</v>
      </c>
      <c r="K1387" s="83">
        <f ca="1">EFEITO!$L$1387*EFEITO!$Z$1317</f>
        <v>126617.92149003212</v>
      </c>
      <c r="L1387" s="83">
        <f>EFEITO!$N$1387*EFEITO!$AA$1317</f>
        <v>212579.04163417552</v>
      </c>
      <c r="M1387" s="83">
        <f>$J$1387-EFEITO!$K$1387*EFEITO!$Y$1387</f>
        <v>0</v>
      </c>
      <c r="N1387" s="83">
        <f ca="1">$K$1387-EFEITO!$M$1387*EFEITO!$Z$1387</f>
        <v>5064.7168596012925</v>
      </c>
      <c r="O1387" s="83">
        <f>$L$1387-EFEITO!$O$1387*EFEITO!$AA$1387</f>
        <v>8503.1616653670499</v>
      </c>
      <c r="P1387" s="61"/>
      <c r="Q1387" s="61"/>
      <c r="R1387" s="61"/>
      <c r="S1387" s="61"/>
      <c r="T1387" s="61"/>
      <c r="U1387" s="61"/>
      <c r="V1387" s="61"/>
      <c r="W1387" s="61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</row>
    <row r="1388" spans="1:36" ht="11.25" customHeight="1" x14ac:dyDescent="0.2">
      <c r="A1388" s="57" t="s">
        <v>28</v>
      </c>
      <c r="B1388" s="57" t="s">
        <v>35</v>
      </c>
      <c r="C1388" s="57" t="s">
        <v>36</v>
      </c>
      <c r="D1388" s="57" t="s">
        <v>47</v>
      </c>
      <c r="E1388" s="57" t="s">
        <v>25</v>
      </c>
      <c r="F1388" s="57" t="s">
        <v>25</v>
      </c>
      <c r="G1388" s="57" t="s">
        <v>25</v>
      </c>
      <c r="H1388" s="57" t="s">
        <v>38</v>
      </c>
      <c r="I1388" s="82">
        <v>44317</v>
      </c>
      <c r="J1388" s="83">
        <f>EFEITO!$J$1388*EFEITO!$Y$1317</f>
        <v>0</v>
      </c>
      <c r="K1388" s="83">
        <f ca="1">EFEITO!$L$1388*EFEITO!$Z$1317</f>
        <v>17724.574474986839</v>
      </c>
      <c r="L1388" s="83">
        <f>EFEITO!$N$1388*EFEITO!$AA$1317</f>
        <v>29757.817937035823</v>
      </c>
      <c r="M1388" s="83">
        <f>$J$1388-EFEITO!$K$1388*EFEITO!$Y$1388</f>
        <v>0</v>
      </c>
      <c r="N1388" s="83">
        <f ca="1">$K$1388-EFEITO!$M$1388*EFEITO!$Z$1388</f>
        <v>708.98297899947647</v>
      </c>
      <c r="O1388" s="83">
        <f>$L$1388-EFEITO!$O$1388*EFEITO!$AA$1388</f>
        <v>1190.3127174814363</v>
      </c>
      <c r="P1388" s="61"/>
      <c r="Q1388" s="61"/>
      <c r="R1388" s="61"/>
      <c r="S1388" s="61"/>
      <c r="T1388" s="61"/>
      <c r="U1388" s="61"/>
      <c r="V1388" s="61"/>
      <c r="W1388" s="61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</row>
    <row r="1389" spans="1:36" ht="11.25" customHeight="1" x14ac:dyDescent="0.2">
      <c r="A1389" s="57" t="s">
        <v>21</v>
      </c>
      <c r="B1389" s="57" t="s">
        <v>35</v>
      </c>
      <c r="C1389" s="57" t="s">
        <v>36</v>
      </c>
      <c r="D1389" s="57" t="s">
        <v>47</v>
      </c>
      <c r="E1389" s="57" t="s">
        <v>25</v>
      </c>
      <c r="F1389" s="57" t="s">
        <v>25</v>
      </c>
      <c r="G1389" s="57" t="s">
        <v>25</v>
      </c>
      <c r="H1389" s="57" t="s">
        <v>38</v>
      </c>
      <c r="I1389" s="82">
        <v>44348</v>
      </c>
      <c r="J1389" s="83">
        <f>EFEITO!$J$1389*EFEITO!$Y$1317</f>
        <v>0</v>
      </c>
      <c r="K1389" s="83">
        <f ca="1">EFEITO!$L$1389*EFEITO!$Z$1317</f>
        <v>116378.20587355236</v>
      </c>
      <c r="L1389" s="83">
        <f>EFEITO!$N$1389*EFEITO!$AA$1317</f>
        <v>195387.56584037066</v>
      </c>
      <c r="M1389" s="83">
        <f>$J$1389-EFEITO!$K$1389*EFEITO!$Y$1389</f>
        <v>0</v>
      </c>
      <c r="N1389" s="83">
        <f ca="1">$K$1389-EFEITO!$M$1389*EFEITO!$Z$1389</f>
        <v>4655.128234942109</v>
      </c>
      <c r="O1389" s="83">
        <f>$L$1389-EFEITO!$O$1389*EFEITO!$AA$1389</f>
        <v>7815.5026336148439</v>
      </c>
      <c r="P1389" s="61"/>
      <c r="Q1389" s="61"/>
      <c r="R1389" s="61"/>
      <c r="S1389" s="61"/>
      <c r="T1389" s="61"/>
      <c r="U1389" s="61"/>
      <c r="V1389" s="61"/>
      <c r="W1389" s="61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</row>
    <row r="1390" spans="1:36" ht="11.25" customHeight="1" x14ac:dyDescent="0.2">
      <c r="A1390" s="57" t="s">
        <v>28</v>
      </c>
      <c r="B1390" s="57" t="s">
        <v>35</v>
      </c>
      <c r="C1390" s="57" t="s">
        <v>36</v>
      </c>
      <c r="D1390" s="57" t="s">
        <v>47</v>
      </c>
      <c r="E1390" s="57" t="s">
        <v>25</v>
      </c>
      <c r="F1390" s="57" t="s">
        <v>25</v>
      </c>
      <c r="G1390" s="57" t="s">
        <v>25</v>
      </c>
      <c r="H1390" s="57" t="s">
        <v>38</v>
      </c>
      <c r="I1390" s="82">
        <v>44348</v>
      </c>
      <c r="J1390" s="83">
        <f>EFEITO!$J$1390*EFEITO!$Y$1317</f>
        <v>0</v>
      </c>
      <c r="K1390" s="83">
        <f ca="1">EFEITO!$L$1390*EFEITO!$Z$1317</f>
        <v>14817.550133673705</v>
      </c>
      <c r="L1390" s="83">
        <f>EFEITO!$N$1390*EFEITO!$AA$1317</f>
        <v>24877.209874517474</v>
      </c>
      <c r="M1390" s="83">
        <f>$J$1390-EFEITO!$K$1390*EFEITO!$Y$1390</f>
        <v>0</v>
      </c>
      <c r="N1390" s="83">
        <f ca="1">$K$1390-EFEITO!$M$1390*EFEITO!$Z$1390</f>
        <v>592.70200534694959</v>
      </c>
      <c r="O1390" s="83">
        <f>$L$1390-EFEITO!$O$1390*EFEITO!$AA$1390</f>
        <v>995.08839498070301</v>
      </c>
      <c r="P1390" s="61"/>
      <c r="Q1390" s="61"/>
      <c r="R1390" s="61"/>
      <c r="S1390" s="61"/>
      <c r="T1390" s="61"/>
      <c r="U1390" s="61"/>
      <c r="V1390" s="61"/>
      <c r="W1390" s="61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</row>
    <row r="1391" spans="1:36" ht="11.25" customHeight="1" x14ac:dyDescent="0.2">
      <c r="A1391" s="57" t="s">
        <v>21</v>
      </c>
      <c r="B1391" s="57" t="s">
        <v>35</v>
      </c>
      <c r="C1391" s="57" t="s">
        <v>36</v>
      </c>
      <c r="D1391" s="57" t="s">
        <v>47</v>
      </c>
      <c r="E1391" s="57" t="s">
        <v>25</v>
      </c>
      <c r="F1391" s="57" t="s">
        <v>25</v>
      </c>
      <c r="G1391" s="57" t="s">
        <v>25</v>
      </c>
      <c r="H1391" s="57" t="s">
        <v>38</v>
      </c>
      <c r="I1391" s="82">
        <v>44378</v>
      </c>
      <c r="J1391" s="83">
        <f>EFEITO!$J$1391*EFEITO!$Y$1317</f>
        <v>0</v>
      </c>
      <c r="K1391" s="83">
        <f ca="1">EFEITO!$L$1391*EFEITO!$Z$1317</f>
        <v>123150.25312903615</v>
      </c>
      <c r="L1391" s="83">
        <f>EFEITO!$N$1391*EFEITO!$AA$1317</f>
        <v>206757.16738279862</v>
      </c>
      <c r="M1391" s="83">
        <f>$J$1391-EFEITO!$K$1391*EFEITO!$Y$1391</f>
        <v>0</v>
      </c>
      <c r="N1391" s="83">
        <f ca="1">$K$1391-EFEITO!$M$1391*EFEITO!$Z$1391</f>
        <v>4926.0101251614542</v>
      </c>
      <c r="O1391" s="83">
        <f>$L$1391-EFEITO!$O$1391*EFEITO!$AA$1391</f>
        <v>8270.2866953119519</v>
      </c>
      <c r="P1391" s="61"/>
      <c r="Q1391" s="61"/>
      <c r="R1391" s="61"/>
      <c r="S1391" s="61"/>
      <c r="T1391" s="61"/>
      <c r="U1391" s="61"/>
      <c r="V1391" s="61"/>
      <c r="W1391" s="61"/>
      <c r="X1391" s="6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</row>
    <row r="1392" spans="1:36" ht="11.25" customHeight="1" x14ac:dyDescent="0.2">
      <c r="A1392" s="57" t="s">
        <v>28</v>
      </c>
      <c r="B1392" s="57" t="s">
        <v>35</v>
      </c>
      <c r="C1392" s="57" t="s">
        <v>36</v>
      </c>
      <c r="D1392" s="57" t="s">
        <v>47</v>
      </c>
      <c r="E1392" s="57" t="s">
        <v>25</v>
      </c>
      <c r="F1392" s="57" t="s">
        <v>25</v>
      </c>
      <c r="G1392" s="57" t="s">
        <v>25</v>
      </c>
      <c r="H1392" s="57" t="s">
        <v>38</v>
      </c>
      <c r="I1392" s="82">
        <v>44378</v>
      </c>
      <c r="J1392" s="83">
        <f>EFEITO!$J$1392*EFEITO!$Y$1317</f>
        <v>0</v>
      </c>
      <c r="K1392" s="83">
        <f ca="1">EFEITO!$L$1392*EFEITO!$Z$1317</f>
        <v>13805.458765409448</v>
      </c>
      <c r="L1392" s="83">
        <f>EFEITO!$N$1392*EFEITO!$AA$1317</f>
        <v>23178.007971817038</v>
      </c>
      <c r="M1392" s="83">
        <f>$J$1392-EFEITO!$K$1392*EFEITO!$Y$1392</f>
        <v>0</v>
      </c>
      <c r="N1392" s="83">
        <f ca="1">$K$1392-EFEITO!$M$1392*EFEITO!$Z$1392</f>
        <v>552.2183506163783</v>
      </c>
      <c r="O1392" s="83">
        <f>$L$1392-EFEITO!$O$1392*EFEITO!$AA$1392</f>
        <v>927.12031887268313</v>
      </c>
      <c r="P1392" s="61"/>
      <c r="Q1392" s="61"/>
      <c r="R1392" s="61"/>
      <c r="S1392" s="61"/>
      <c r="T1392" s="61"/>
      <c r="U1392" s="61"/>
      <c r="V1392" s="61"/>
      <c r="W1392" s="61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</row>
    <row r="1393" spans="1:36" ht="11.25" customHeight="1" x14ac:dyDescent="0.2">
      <c r="A1393" s="57" t="s">
        <v>30</v>
      </c>
      <c r="B1393" s="57" t="s">
        <v>35</v>
      </c>
      <c r="C1393" s="57" t="s">
        <v>36</v>
      </c>
      <c r="D1393" s="57" t="s">
        <v>47</v>
      </c>
      <c r="E1393" s="57" t="s">
        <v>25</v>
      </c>
      <c r="F1393" s="57" t="s">
        <v>25</v>
      </c>
      <c r="G1393" s="57" t="s">
        <v>25</v>
      </c>
      <c r="H1393" s="57" t="s">
        <v>38</v>
      </c>
      <c r="I1393" s="82">
        <v>44378</v>
      </c>
      <c r="J1393" s="83">
        <f>EFEITO!$J$1393*EFEITO!$Y$1317</f>
        <v>0</v>
      </c>
      <c r="K1393" s="83">
        <f ca="1">EFEITO!$L$1393*EFEITO!$Z$1317</f>
        <v>1316.4265349451159</v>
      </c>
      <c r="L1393" s="83">
        <f>EFEITO!$N$1393*EFEITO!$AA$1317</f>
        <v>2210.150726589377</v>
      </c>
      <c r="M1393" s="83">
        <f>$J$1393-EFEITO!$K$1393*EFEITO!$Y$1393</f>
        <v>0</v>
      </c>
      <c r="N1393" s="83">
        <f ca="1">$K$1393-EFEITO!$M$1393*EFEITO!$Z$1393</f>
        <v>52.657061397804682</v>
      </c>
      <c r="O1393" s="83">
        <f>$L$1393-EFEITO!$O$1393*EFEITO!$AA$1393</f>
        <v>88.406029063575261</v>
      </c>
      <c r="P1393" s="61"/>
      <c r="Q1393" s="61"/>
      <c r="R1393" s="61"/>
      <c r="S1393" s="61"/>
      <c r="T1393" s="61"/>
      <c r="U1393" s="61"/>
      <c r="V1393" s="61"/>
      <c r="W1393" s="61"/>
      <c r="X1393" s="6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</row>
    <row r="1394" spans="1:36" ht="11.25" customHeight="1" x14ac:dyDescent="0.2">
      <c r="A1394" s="57" t="s">
        <v>21</v>
      </c>
      <c r="B1394" s="57" t="s">
        <v>35</v>
      </c>
      <c r="C1394" s="57" t="s">
        <v>36</v>
      </c>
      <c r="D1394" s="57" t="s">
        <v>47</v>
      </c>
      <c r="E1394" s="57" t="s">
        <v>25</v>
      </c>
      <c r="F1394" s="57" t="s">
        <v>25</v>
      </c>
      <c r="G1394" s="57" t="s">
        <v>25</v>
      </c>
      <c r="H1394" s="57" t="s">
        <v>38</v>
      </c>
      <c r="I1394" s="82">
        <v>44409</v>
      </c>
      <c r="J1394" s="83">
        <f>EFEITO!$J$1394*EFEITO!$Y$1317</f>
        <v>0</v>
      </c>
      <c r="K1394" s="83">
        <f ca="1">EFEITO!$L$1394*EFEITO!$Z$1317</f>
        <v>122182.14375329886</v>
      </c>
      <c r="L1394" s="83">
        <f>EFEITO!$N$1394*EFEITO!$AA$1317</f>
        <v>205131.80692142434</v>
      </c>
      <c r="M1394" s="83">
        <f>$J$1394-EFEITO!$K$1394*EFEITO!$Y$1394</f>
        <v>0</v>
      </c>
      <c r="N1394" s="83">
        <f ca="1">$K$1394-EFEITO!$M$1394*EFEITO!$Z$1394</f>
        <v>4887.2857501319668</v>
      </c>
      <c r="O1394" s="83">
        <f>$L$1394-EFEITO!$O$1394*EFEITO!$AA$1394</f>
        <v>8205.2722768569947</v>
      </c>
      <c r="P1394" s="61"/>
      <c r="Q1394" s="61"/>
      <c r="R1394" s="61"/>
      <c r="S1394" s="61"/>
      <c r="T1394" s="61"/>
      <c r="U1394" s="61"/>
      <c r="V1394" s="61"/>
      <c r="W1394" s="61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</row>
    <row r="1395" spans="1:36" ht="11.25" customHeight="1" x14ac:dyDescent="0.2">
      <c r="A1395" s="57" t="s">
        <v>28</v>
      </c>
      <c r="B1395" s="57" t="s">
        <v>35</v>
      </c>
      <c r="C1395" s="57" t="s">
        <v>36</v>
      </c>
      <c r="D1395" s="57" t="s">
        <v>47</v>
      </c>
      <c r="E1395" s="57" t="s">
        <v>25</v>
      </c>
      <c r="F1395" s="57" t="s">
        <v>25</v>
      </c>
      <c r="G1395" s="57" t="s">
        <v>25</v>
      </c>
      <c r="H1395" s="57" t="s">
        <v>38</v>
      </c>
      <c r="I1395" s="82">
        <v>44409</v>
      </c>
      <c r="J1395" s="83">
        <f>EFEITO!$J$1395*EFEITO!$Y$1317</f>
        <v>0</v>
      </c>
      <c r="K1395" s="83">
        <f ca="1">EFEITO!$L$1395*EFEITO!$Z$1317</f>
        <v>15184.909304971754</v>
      </c>
      <c r="L1395" s="83">
        <f>EFEITO!$N$1395*EFEITO!$AA$1317</f>
        <v>25493.969805900582</v>
      </c>
      <c r="M1395" s="83">
        <f>$J$1395-EFEITO!$K$1395*EFEITO!$Y$1395</f>
        <v>0</v>
      </c>
      <c r="N1395" s="83">
        <f ca="1">$K$1395-EFEITO!$M$1395*EFEITO!$Z$1395</f>
        <v>607.39637219887118</v>
      </c>
      <c r="O1395" s="83">
        <f>$L$1395-EFEITO!$O$1395*EFEITO!$AA$1395</f>
        <v>1019.7587922360253</v>
      </c>
      <c r="P1395" s="61"/>
      <c r="Q1395" s="61"/>
      <c r="R1395" s="61"/>
      <c r="S1395" s="61"/>
      <c r="T1395" s="61"/>
      <c r="U1395" s="61"/>
      <c r="V1395" s="61"/>
      <c r="W1395" s="61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</row>
    <row r="1396" spans="1:36" ht="11.25" customHeight="1" x14ac:dyDescent="0.2">
      <c r="A1396" s="57" t="s">
        <v>30</v>
      </c>
      <c r="B1396" s="57" t="s">
        <v>35</v>
      </c>
      <c r="C1396" s="57" t="s">
        <v>36</v>
      </c>
      <c r="D1396" s="57" t="s">
        <v>47</v>
      </c>
      <c r="E1396" s="57" t="s">
        <v>25</v>
      </c>
      <c r="F1396" s="57" t="s">
        <v>25</v>
      </c>
      <c r="G1396" s="57" t="s">
        <v>25</v>
      </c>
      <c r="H1396" s="57" t="s">
        <v>38</v>
      </c>
      <c r="I1396" s="82">
        <v>44409</v>
      </c>
      <c r="J1396" s="83">
        <f>EFEITO!$J$1396*EFEITO!$Y$1317</f>
        <v>0</v>
      </c>
      <c r="K1396" s="83">
        <f ca="1">EFEITO!$L$1396*EFEITO!$Z$1317</f>
        <v>1850.4454403779207</v>
      </c>
      <c r="L1396" s="83">
        <f>EFEITO!$N$1396*EFEITO!$AA$1317</f>
        <v>3106.7159662926201</v>
      </c>
      <c r="M1396" s="83">
        <f>$J$1396-EFEITO!$K$1396*EFEITO!$Y$1396</f>
        <v>0</v>
      </c>
      <c r="N1396" s="83">
        <f ca="1">$K$1396-EFEITO!$M$1396*EFEITO!$Z$1396</f>
        <v>74.017817615116883</v>
      </c>
      <c r="O1396" s="83">
        <f>$L$1396-EFEITO!$O$1396*EFEITO!$AA$1396</f>
        <v>124.26863865170526</v>
      </c>
      <c r="P1396" s="61"/>
      <c r="Q1396" s="61"/>
      <c r="R1396" s="61"/>
      <c r="S1396" s="61"/>
      <c r="T1396" s="61"/>
      <c r="U1396" s="61"/>
      <c r="V1396" s="61"/>
      <c r="W1396" s="61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</row>
    <row r="1397" spans="1:36" ht="11.25" customHeight="1" x14ac:dyDescent="0.2">
      <c r="A1397" s="57" t="s">
        <v>21</v>
      </c>
      <c r="B1397" s="57" t="s">
        <v>35</v>
      </c>
      <c r="C1397" s="57" t="s">
        <v>36</v>
      </c>
      <c r="D1397" s="57" t="s">
        <v>47</v>
      </c>
      <c r="E1397" s="57" t="s">
        <v>25</v>
      </c>
      <c r="F1397" s="57" t="s">
        <v>25</v>
      </c>
      <c r="G1397" s="57" t="s">
        <v>25</v>
      </c>
      <c r="H1397" s="57" t="s">
        <v>38</v>
      </c>
      <c r="I1397" s="82">
        <v>44440</v>
      </c>
      <c r="J1397" s="83">
        <f>EFEITO!$J$1397*EFEITO!$Y$1317</f>
        <v>0</v>
      </c>
      <c r="K1397" s="83">
        <f ca="1">EFEITO!$L$1397*EFEITO!$Z$1317</f>
        <v>120374.16368501596</v>
      </c>
      <c r="L1397" s="83">
        <f>EFEITO!$N$1397*EFEITO!$AA$1317</f>
        <v>202096.38613986043</v>
      </c>
      <c r="M1397" s="83">
        <f>$J$1397-EFEITO!$K$1397*EFEITO!$Y$1397</f>
        <v>0</v>
      </c>
      <c r="N1397" s="83">
        <f ca="1">$K$1397-EFEITO!$M$1397*EFEITO!$Z$1397</f>
        <v>4814.966547400647</v>
      </c>
      <c r="O1397" s="83">
        <f>$L$1397-EFEITO!$O$1397*EFEITO!$AA$1397</f>
        <v>8083.8554455944395</v>
      </c>
      <c r="P1397" s="61"/>
      <c r="Q1397" s="61"/>
      <c r="R1397" s="61"/>
      <c r="S1397" s="61"/>
      <c r="T1397" s="61"/>
      <c r="U1397" s="61"/>
      <c r="V1397" s="61"/>
      <c r="W1397" s="61"/>
      <c r="X1397" s="6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</row>
    <row r="1398" spans="1:36" ht="11.25" customHeight="1" x14ac:dyDescent="0.2">
      <c r="A1398" s="57" t="s">
        <v>28</v>
      </c>
      <c r="B1398" s="57" t="s">
        <v>35</v>
      </c>
      <c r="C1398" s="57" t="s">
        <v>36</v>
      </c>
      <c r="D1398" s="57" t="s">
        <v>47</v>
      </c>
      <c r="E1398" s="57" t="s">
        <v>25</v>
      </c>
      <c r="F1398" s="57" t="s">
        <v>25</v>
      </c>
      <c r="G1398" s="57" t="s">
        <v>25</v>
      </c>
      <c r="H1398" s="57" t="s">
        <v>38</v>
      </c>
      <c r="I1398" s="82">
        <v>44440</v>
      </c>
      <c r="J1398" s="83">
        <f>EFEITO!$J$1398*EFEITO!$Y$1317</f>
        <v>0</v>
      </c>
      <c r="K1398" s="83">
        <f ca="1">EFEITO!$L$1398*EFEITO!$Z$1317</f>
        <v>21991.838830390723</v>
      </c>
      <c r="L1398" s="83">
        <f>EFEITO!$N$1398*EFEITO!$AA$1317</f>
        <v>36922.135250069972</v>
      </c>
      <c r="M1398" s="83">
        <f>$J$1398-EFEITO!$K$1398*EFEITO!$Y$1398</f>
        <v>0</v>
      </c>
      <c r="N1398" s="83">
        <f ca="1">$K$1398-EFEITO!$M$1398*EFEITO!$Z$1398</f>
        <v>879.67355321563082</v>
      </c>
      <c r="O1398" s="83">
        <f>$L$1398-EFEITO!$O$1398*EFEITO!$AA$1398</f>
        <v>1476.8854100028038</v>
      </c>
      <c r="P1398" s="61"/>
      <c r="Q1398" s="61"/>
      <c r="R1398" s="61"/>
      <c r="S1398" s="61"/>
      <c r="T1398" s="61"/>
      <c r="U1398" s="61"/>
      <c r="V1398" s="61"/>
      <c r="W1398" s="61"/>
      <c r="X1398" s="6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</row>
    <row r="1399" spans="1:36" ht="11.25" customHeight="1" x14ac:dyDescent="0.2">
      <c r="A1399" s="57" t="s">
        <v>30</v>
      </c>
      <c r="B1399" s="57" t="s">
        <v>35</v>
      </c>
      <c r="C1399" s="57" t="s">
        <v>36</v>
      </c>
      <c r="D1399" s="57" t="s">
        <v>47</v>
      </c>
      <c r="E1399" s="57" t="s">
        <v>25</v>
      </c>
      <c r="F1399" s="57" t="s">
        <v>25</v>
      </c>
      <c r="G1399" s="57" t="s">
        <v>25</v>
      </c>
      <c r="H1399" s="57" t="s">
        <v>38</v>
      </c>
      <c r="I1399" s="82">
        <v>44440</v>
      </c>
      <c r="J1399" s="83">
        <f>EFEITO!$J$1399*EFEITO!$Y$1317</f>
        <v>0</v>
      </c>
      <c r="K1399" s="83">
        <f ca="1">EFEITO!$L$1399*EFEITO!$Z$1317</f>
        <v>2736.6573127891293</v>
      </c>
      <c r="L1399" s="83">
        <f>EFEITO!$N$1399*EFEITO!$AA$1317</f>
        <v>4594.5785714044387</v>
      </c>
      <c r="M1399" s="83">
        <f>$J$1399-EFEITO!$K$1399*EFEITO!$Y$1399</f>
        <v>0</v>
      </c>
      <c r="N1399" s="83">
        <f ca="1">$K$1399-EFEITO!$M$1399*EFEITO!$Z$1399</f>
        <v>109.46629251156537</v>
      </c>
      <c r="O1399" s="83">
        <f>$L$1399-EFEITO!$O$1399*EFEITO!$AA$1399</f>
        <v>183.78314285617762</v>
      </c>
      <c r="P1399" s="61"/>
      <c r="Q1399" s="61"/>
      <c r="R1399" s="61"/>
      <c r="S1399" s="61"/>
      <c r="T1399" s="61"/>
      <c r="U1399" s="61"/>
      <c r="V1399" s="61"/>
      <c r="W1399" s="61"/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</row>
    <row r="1400" spans="1:36" ht="11.25" customHeight="1" x14ac:dyDescent="0.2">
      <c r="A1400" s="57" t="s">
        <v>59</v>
      </c>
      <c r="B1400" s="57" t="s">
        <v>35</v>
      </c>
      <c r="C1400" s="57" t="s">
        <v>36</v>
      </c>
      <c r="D1400" s="57" t="s">
        <v>47</v>
      </c>
      <c r="E1400" s="57" t="s">
        <v>25</v>
      </c>
      <c r="F1400" s="57" t="s">
        <v>25</v>
      </c>
      <c r="G1400" s="57" t="s">
        <v>25</v>
      </c>
      <c r="H1400" s="57" t="s">
        <v>38</v>
      </c>
      <c r="I1400" s="82">
        <v>44470</v>
      </c>
      <c r="J1400" s="83">
        <f>EFEITO!$J$1400*EFEITO!$Y$1317</f>
        <v>0</v>
      </c>
      <c r="K1400" s="83">
        <f ca="1">EFEITO!$L$1400*EFEITO!$Z$1317</f>
        <v>120374.16368501596</v>
      </c>
      <c r="L1400" s="83">
        <f>EFEITO!$N$1400*EFEITO!$AA$1317</f>
        <v>202096.38613986043</v>
      </c>
      <c r="M1400" s="83">
        <f>$J$1400-EFEITO!$K$1400*EFEITO!$Y$1400</f>
        <v>0</v>
      </c>
      <c r="N1400" s="83">
        <f ca="1">$K$1400-EFEITO!$M$1400*EFEITO!$Z$1400</f>
        <v>4814.966547400647</v>
      </c>
      <c r="O1400" s="83">
        <f>$L$1400-EFEITO!$O$1400*EFEITO!$AA$1400</f>
        <v>8083.8554455944395</v>
      </c>
      <c r="P1400" s="61"/>
      <c r="Q1400" s="61"/>
      <c r="R1400" s="61"/>
      <c r="S1400" s="61"/>
      <c r="T1400" s="61"/>
      <c r="U1400" s="61"/>
      <c r="V1400" s="61"/>
      <c r="W1400" s="61"/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</row>
    <row r="1401" spans="1:36" ht="11.25" customHeight="1" x14ac:dyDescent="0.2">
      <c r="A1401" s="57" t="s">
        <v>59</v>
      </c>
      <c r="B1401" s="57" t="s">
        <v>35</v>
      </c>
      <c r="C1401" s="57" t="s">
        <v>36</v>
      </c>
      <c r="D1401" s="57" t="s">
        <v>47</v>
      </c>
      <c r="E1401" s="57" t="s">
        <v>25</v>
      </c>
      <c r="F1401" s="57" t="s">
        <v>25</v>
      </c>
      <c r="G1401" s="57" t="s">
        <v>25</v>
      </c>
      <c r="H1401" s="57" t="s">
        <v>38</v>
      </c>
      <c r="I1401" s="82">
        <v>44470</v>
      </c>
      <c r="J1401" s="83">
        <f>EFEITO!$J$1401*EFEITO!$Y$1317</f>
        <v>0</v>
      </c>
      <c r="K1401" s="83">
        <f ca="1">EFEITO!$L$1401*EFEITO!$Z$1317</f>
        <v>21991.838830390723</v>
      </c>
      <c r="L1401" s="83">
        <f>EFEITO!$N$1401*EFEITO!$AA$1317</f>
        <v>36922.135250069972</v>
      </c>
      <c r="M1401" s="83">
        <f>$J$1401-EFEITO!$K$1401*EFEITO!$Y$1401</f>
        <v>0</v>
      </c>
      <c r="N1401" s="83">
        <f ca="1">$K$1401-EFEITO!$M$1401*EFEITO!$Z$1401</f>
        <v>879.67355321563082</v>
      </c>
      <c r="O1401" s="83">
        <f>$L$1401-EFEITO!$O$1401*EFEITO!$AA$1401</f>
        <v>1476.8854100028038</v>
      </c>
      <c r="P1401" s="61"/>
      <c r="Q1401" s="61"/>
      <c r="R1401" s="61"/>
      <c r="S1401" s="61"/>
      <c r="T1401" s="61"/>
      <c r="U1401" s="61"/>
      <c r="V1401" s="61"/>
      <c r="W1401" s="61"/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</row>
    <row r="1402" spans="1:36" ht="11.25" customHeight="1" x14ac:dyDescent="0.2">
      <c r="A1402" s="57" t="s">
        <v>59</v>
      </c>
      <c r="B1402" s="57" t="s">
        <v>35</v>
      </c>
      <c r="C1402" s="57" t="s">
        <v>36</v>
      </c>
      <c r="D1402" s="57" t="s">
        <v>47</v>
      </c>
      <c r="E1402" s="57" t="s">
        <v>25</v>
      </c>
      <c r="F1402" s="57" t="s">
        <v>25</v>
      </c>
      <c r="G1402" s="57" t="s">
        <v>25</v>
      </c>
      <c r="H1402" s="57" t="s">
        <v>38</v>
      </c>
      <c r="I1402" s="82">
        <v>44470</v>
      </c>
      <c r="J1402" s="83">
        <f>EFEITO!$J$1402*EFEITO!$Y$1317</f>
        <v>0</v>
      </c>
      <c r="K1402" s="83">
        <f ca="1">EFEITO!$L$1402*EFEITO!$Z$1317</f>
        <v>2736.6573127891293</v>
      </c>
      <c r="L1402" s="83">
        <f>EFEITO!$N$1402*EFEITO!$AA$1317</f>
        <v>4594.5785714044387</v>
      </c>
      <c r="M1402" s="83">
        <f>$J$1402-EFEITO!$K$1402*EFEITO!$Y$1402</f>
        <v>0</v>
      </c>
      <c r="N1402" s="83">
        <f ca="1">$K$1402-EFEITO!$M$1402*EFEITO!$Z$1402</f>
        <v>109.46629251156537</v>
      </c>
      <c r="O1402" s="83">
        <f>$L$1402-EFEITO!$O$1402*EFEITO!$AA$1402</f>
        <v>183.78314285617762</v>
      </c>
      <c r="P1402" s="61"/>
      <c r="Q1402" s="61"/>
      <c r="R1402" s="61"/>
      <c r="S1402" s="61"/>
      <c r="T1402" s="61"/>
      <c r="U1402" s="61"/>
      <c r="V1402" s="61"/>
      <c r="W1402" s="61"/>
      <c r="X1402" s="6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</row>
    <row r="1403" spans="1:36" ht="11.25" customHeight="1" x14ac:dyDescent="0.2">
      <c r="A1403" s="57" t="s">
        <v>21</v>
      </c>
      <c r="B1403" s="57" t="s">
        <v>35</v>
      </c>
      <c r="C1403" s="57" t="s">
        <v>36</v>
      </c>
      <c r="D1403" s="57" t="s">
        <v>47</v>
      </c>
      <c r="E1403" s="57" t="s">
        <v>25</v>
      </c>
      <c r="F1403" s="57" t="s">
        <v>25</v>
      </c>
      <c r="G1403" s="57" t="s">
        <v>25</v>
      </c>
      <c r="H1403" s="57" t="s">
        <v>25</v>
      </c>
      <c r="I1403" s="82">
        <v>44136</v>
      </c>
      <c r="J1403" s="83">
        <f ca="1">EFEITO!$J$1403*EFEITO!$Y$1336</f>
        <v>76186.511505947405</v>
      </c>
      <c r="K1403" s="83">
        <f>EFEITO!$L$1403*EFEITO!$Z$1336</f>
        <v>0</v>
      </c>
      <c r="L1403" s="83">
        <f>EFEITO!$N$1403*EFEITO!$AA$1336</f>
        <v>0</v>
      </c>
      <c r="M1403" s="83">
        <f ca="1">$J$1403-EFEITO!$K$1403*EFEITO!$Y$1403</f>
        <v>3047.4604602378968</v>
      </c>
      <c r="N1403" s="83">
        <f>$K$1403-EFEITO!$M$1403*EFEITO!$Z$1403</f>
        <v>0</v>
      </c>
      <c r="O1403" s="83">
        <f>$L$1403-EFEITO!$O$1403*EFEITO!$AA$1403</f>
        <v>0</v>
      </c>
      <c r="P1403" s="61"/>
      <c r="Q1403" s="61"/>
      <c r="R1403" s="61"/>
      <c r="S1403" s="61"/>
      <c r="T1403" s="61"/>
      <c r="U1403" s="61"/>
      <c r="V1403" s="61"/>
      <c r="W1403" s="61"/>
      <c r="X1403" s="6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</row>
    <row r="1404" spans="1:36" ht="11.25" customHeight="1" x14ac:dyDescent="0.2">
      <c r="A1404" s="57" t="s">
        <v>28</v>
      </c>
      <c r="B1404" s="57" t="s">
        <v>35</v>
      </c>
      <c r="C1404" s="57" t="s">
        <v>36</v>
      </c>
      <c r="D1404" s="57" t="s">
        <v>47</v>
      </c>
      <c r="E1404" s="57" t="s">
        <v>25</v>
      </c>
      <c r="F1404" s="57" t="s">
        <v>25</v>
      </c>
      <c r="G1404" s="57" t="s">
        <v>25</v>
      </c>
      <c r="H1404" s="57" t="s">
        <v>25</v>
      </c>
      <c r="I1404" s="82">
        <v>44136</v>
      </c>
      <c r="J1404" s="83">
        <f ca="1">EFEITO!$J$1404*EFEITO!$Y$1336</f>
        <v>23437.091133849703</v>
      </c>
      <c r="K1404" s="83">
        <f>EFEITO!$L$1404*EFEITO!$Z$1336</f>
        <v>0</v>
      </c>
      <c r="L1404" s="83">
        <f>EFEITO!$N$1404*EFEITO!$AA$1336</f>
        <v>0</v>
      </c>
      <c r="M1404" s="83">
        <f ca="1">$J$1404-EFEITO!$K$1404*EFEITO!$Y$1404</f>
        <v>937.4836453539865</v>
      </c>
      <c r="N1404" s="83">
        <f>$K$1404-EFEITO!$M$1404*EFEITO!$Z$1404</f>
        <v>0</v>
      </c>
      <c r="O1404" s="83">
        <f>$L$1404-EFEITO!$O$1404*EFEITO!$AA$1404</f>
        <v>0</v>
      </c>
      <c r="P1404" s="61"/>
      <c r="Q1404" s="61"/>
      <c r="R1404" s="61"/>
      <c r="S1404" s="61"/>
      <c r="T1404" s="61"/>
      <c r="U1404" s="61"/>
      <c r="V1404" s="61"/>
      <c r="W1404" s="61"/>
      <c r="X1404" s="6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</row>
    <row r="1405" spans="1:36" ht="11.25" customHeight="1" x14ac:dyDescent="0.2">
      <c r="A1405" s="57" t="s">
        <v>21</v>
      </c>
      <c r="B1405" s="57" t="s">
        <v>35</v>
      </c>
      <c r="C1405" s="57" t="s">
        <v>36</v>
      </c>
      <c r="D1405" s="57" t="s">
        <v>47</v>
      </c>
      <c r="E1405" s="57" t="s">
        <v>25</v>
      </c>
      <c r="F1405" s="57" t="s">
        <v>25</v>
      </c>
      <c r="G1405" s="57" t="s">
        <v>25</v>
      </c>
      <c r="H1405" s="57" t="s">
        <v>25</v>
      </c>
      <c r="I1405" s="82">
        <v>44166</v>
      </c>
      <c r="J1405" s="83">
        <f ca="1">EFEITO!$J$1405*EFEITO!$Y$1336</f>
        <v>64404.104655279087</v>
      </c>
      <c r="K1405" s="83">
        <f>EFEITO!$L$1405*EFEITO!$Z$1336</f>
        <v>0</v>
      </c>
      <c r="L1405" s="83">
        <f>EFEITO!$N$1405*EFEITO!$AA$1336</f>
        <v>0</v>
      </c>
      <c r="M1405" s="83">
        <f ca="1">$J$1405-EFEITO!$K$1405*EFEITO!$Y$1405</f>
        <v>2576.1641862111646</v>
      </c>
      <c r="N1405" s="83">
        <f>$K$1405-EFEITO!$M$1405*EFEITO!$Z$1405</f>
        <v>0</v>
      </c>
      <c r="O1405" s="83">
        <f>$L$1405-EFEITO!$O$1405*EFEITO!$AA$1405</f>
        <v>0</v>
      </c>
      <c r="P1405" s="61"/>
      <c r="Q1405" s="61"/>
      <c r="R1405" s="61"/>
      <c r="S1405" s="61"/>
      <c r="T1405" s="61"/>
      <c r="U1405" s="61"/>
      <c r="V1405" s="61"/>
      <c r="W1405" s="61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</row>
    <row r="1406" spans="1:36" ht="11.25" customHeight="1" x14ac:dyDescent="0.2">
      <c r="A1406" s="57" t="s">
        <v>28</v>
      </c>
      <c r="B1406" s="57" t="s">
        <v>35</v>
      </c>
      <c r="C1406" s="57" t="s">
        <v>36</v>
      </c>
      <c r="D1406" s="57" t="s">
        <v>47</v>
      </c>
      <c r="E1406" s="57" t="s">
        <v>25</v>
      </c>
      <c r="F1406" s="57" t="s">
        <v>25</v>
      </c>
      <c r="G1406" s="57" t="s">
        <v>25</v>
      </c>
      <c r="H1406" s="57" t="s">
        <v>25</v>
      </c>
      <c r="I1406" s="82">
        <v>44166</v>
      </c>
      <c r="J1406" s="83">
        <f ca="1">EFEITO!$J$1406*EFEITO!$Y$1336</f>
        <v>23373.229850106243</v>
      </c>
      <c r="K1406" s="83">
        <f>EFEITO!$L$1406*EFEITO!$Z$1336</f>
        <v>0</v>
      </c>
      <c r="L1406" s="83">
        <f>EFEITO!$N$1406*EFEITO!$AA$1336</f>
        <v>0</v>
      </c>
      <c r="M1406" s="83">
        <f ca="1">$J$1406-EFEITO!$K$1406*EFEITO!$Y$1406</f>
        <v>934.92919400424944</v>
      </c>
      <c r="N1406" s="83">
        <f>$K$1406-EFEITO!$M$1406*EFEITO!$Z$1406</f>
        <v>0</v>
      </c>
      <c r="O1406" s="83">
        <f>$L$1406-EFEITO!$O$1406*EFEITO!$AA$1406</f>
        <v>0</v>
      </c>
      <c r="P1406" s="61"/>
      <c r="Q1406" s="61"/>
      <c r="R1406" s="61"/>
      <c r="S1406" s="61"/>
      <c r="T1406" s="61"/>
      <c r="U1406" s="61"/>
      <c r="V1406" s="61"/>
      <c r="W1406" s="61"/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</row>
    <row r="1407" spans="1:36" ht="11.25" customHeight="1" x14ac:dyDescent="0.2">
      <c r="A1407" s="57" t="s">
        <v>21</v>
      </c>
      <c r="B1407" s="57" t="s">
        <v>35</v>
      </c>
      <c r="C1407" s="57" t="s">
        <v>36</v>
      </c>
      <c r="D1407" s="57" t="s">
        <v>47</v>
      </c>
      <c r="E1407" s="57" t="s">
        <v>25</v>
      </c>
      <c r="F1407" s="57" t="s">
        <v>25</v>
      </c>
      <c r="G1407" s="57" t="s">
        <v>25</v>
      </c>
      <c r="H1407" s="57" t="s">
        <v>25</v>
      </c>
      <c r="I1407" s="82">
        <v>44197</v>
      </c>
      <c r="J1407" s="83">
        <f ca="1">EFEITO!$J$1407*EFEITO!$Y$1336</f>
        <v>73472.406946850359</v>
      </c>
      <c r="K1407" s="83">
        <f>EFEITO!$L$1407*EFEITO!$Z$1336</f>
        <v>0</v>
      </c>
      <c r="L1407" s="83">
        <f>EFEITO!$N$1407*EFEITO!$AA$1336</f>
        <v>0</v>
      </c>
      <c r="M1407" s="83">
        <f ca="1">$J$1407-EFEITO!$K$1407*EFEITO!$Y$1407</f>
        <v>2938.8962778740097</v>
      </c>
      <c r="N1407" s="83">
        <f>$K$1407-EFEITO!$M$1407*EFEITO!$Z$1407</f>
        <v>0</v>
      </c>
      <c r="O1407" s="83">
        <f>$L$1407-EFEITO!$O$1407*EFEITO!$AA$1407</f>
        <v>0</v>
      </c>
      <c r="P1407" s="61"/>
      <c r="Q1407" s="61"/>
      <c r="R1407" s="61"/>
      <c r="S1407" s="61"/>
      <c r="T1407" s="61"/>
      <c r="U1407" s="61"/>
      <c r="V1407" s="61"/>
      <c r="W1407" s="61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</row>
    <row r="1408" spans="1:36" ht="11.25" customHeight="1" x14ac:dyDescent="0.2">
      <c r="A1408" s="57" t="s">
        <v>28</v>
      </c>
      <c r="B1408" s="57" t="s">
        <v>35</v>
      </c>
      <c r="C1408" s="57" t="s">
        <v>36</v>
      </c>
      <c r="D1408" s="57" t="s">
        <v>47</v>
      </c>
      <c r="E1408" s="57" t="s">
        <v>25</v>
      </c>
      <c r="F1408" s="57" t="s">
        <v>25</v>
      </c>
      <c r="G1408" s="57" t="s">
        <v>25</v>
      </c>
      <c r="H1408" s="57" t="s">
        <v>25</v>
      </c>
      <c r="I1408" s="82">
        <v>44197</v>
      </c>
      <c r="J1408" s="83">
        <f ca="1">EFEITO!$J$1408*EFEITO!$Y$1336</f>
        <v>24522.732957488515</v>
      </c>
      <c r="K1408" s="83">
        <f>EFEITO!$L$1408*EFEITO!$Z$1336</f>
        <v>0</v>
      </c>
      <c r="L1408" s="83">
        <f>EFEITO!$N$1408*EFEITO!$AA$1336</f>
        <v>0</v>
      </c>
      <c r="M1408" s="83">
        <f ca="1">$J$1408-EFEITO!$K$1408*EFEITO!$Y$1408</f>
        <v>980.90931829953843</v>
      </c>
      <c r="N1408" s="83">
        <f>$K$1408-EFEITO!$M$1408*EFEITO!$Z$1408</f>
        <v>0</v>
      </c>
      <c r="O1408" s="83">
        <f>$L$1408-EFEITO!$O$1408*EFEITO!$AA$1408</f>
        <v>0</v>
      </c>
      <c r="P1408" s="61"/>
      <c r="Q1408" s="61"/>
      <c r="R1408" s="61"/>
      <c r="S1408" s="61"/>
      <c r="T1408" s="61"/>
      <c r="U1408" s="61"/>
      <c r="V1408" s="61"/>
      <c r="W1408" s="61"/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</row>
    <row r="1409" spans="1:36" ht="11.25" customHeight="1" x14ac:dyDescent="0.2">
      <c r="A1409" s="57" t="s">
        <v>21</v>
      </c>
      <c r="B1409" s="57" t="s">
        <v>35</v>
      </c>
      <c r="C1409" s="57" t="s">
        <v>36</v>
      </c>
      <c r="D1409" s="57" t="s">
        <v>47</v>
      </c>
      <c r="E1409" s="57" t="s">
        <v>25</v>
      </c>
      <c r="F1409" s="57" t="s">
        <v>25</v>
      </c>
      <c r="G1409" s="57" t="s">
        <v>25</v>
      </c>
      <c r="H1409" s="57" t="s">
        <v>25</v>
      </c>
      <c r="I1409" s="82">
        <v>44228</v>
      </c>
      <c r="J1409" s="83">
        <f ca="1">EFEITO!$J$1409*EFEITO!$Y$1336</f>
        <v>55910.553917398953</v>
      </c>
      <c r="K1409" s="83">
        <f>EFEITO!$L$1409*EFEITO!$Z$1336</f>
        <v>0</v>
      </c>
      <c r="L1409" s="83">
        <f>EFEITO!$N$1409*EFEITO!$AA$1336</f>
        <v>0</v>
      </c>
      <c r="M1409" s="83">
        <f ca="1">$J$1409-EFEITO!$K$1409*EFEITO!$Y$1409</f>
        <v>2236.4221566959604</v>
      </c>
      <c r="N1409" s="83">
        <f>$K$1409-EFEITO!$M$1409*EFEITO!$Z$1409</f>
        <v>0</v>
      </c>
      <c r="O1409" s="83">
        <f>$L$1409-EFEITO!$O$1409*EFEITO!$AA$1409</f>
        <v>0</v>
      </c>
      <c r="P1409" s="61"/>
      <c r="Q1409" s="61"/>
      <c r="R1409" s="61"/>
      <c r="S1409" s="61"/>
      <c r="T1409" s="61"/>
      <c r="U1409" s="61"/>
      <c r="V1409" s="61"/>
      <c r="W1409" s="61"/>
      <c r="X1409" s="6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</row>
    <row r="1410" spans="1:36" ht="11.25" customHeight="1" x14ac:dyDescent="0.2">
      <c r="A1410" s="57" t="s">
        <v>28</v>
      </c>
      <c r="B1410" s="57" t="s">
        <v>35</v>
      </c>
      <c r="C1410" s="57" t="s">
        <v>36</v>
      </c>
      <c r="D1410" s="57" t="s">
        <v>47</v>
      </c>
      <c r="E1410" s="57" t="s">
        <v>25</v>
      </c>
      <c r="F1410" s="57" t="s">
        <v>25</v>
      </c>
      <c r="G1410" s="57" t="s">
        <v>25</v>
      </c>
      <c r="H1410" s="57" t="s">
        <v>25</v>
      </c>
      <c r="I1410" s="82">
        <v>44228</v>
      </c>
      <c r="J1410" s="83">
        <f ca="1">EFEITO!$J$1410*EFEITO!$Y$1336</f>
        <v>35219.497984518013</v>
      </c>
      <c r="K1410" s="83">
        <f>EFEITO!$L$1410*EFEITO!$Z$1336</f>
        <v>0</v>
      </c>
      <c r="L1410" s="83">
        <f>EFEITO!$N$1410*EFEITO!$AA$1336</f>
        <v>0</v>
      </c>
      <c r="M1410" s="83">
        <f ca="1">$J$1410-EFEITO!$K$1410*EFEITO!$Y$1410</f>
        <v>1408.7799193807223</v>
      </c>
      <c r="N1410" s="83">
        <f>$K$1410-EFEITO!$M$1410*EFEITO!$Z$1410</f>
        <v>0</v>
      </c>
      <c r="O1410" s="83">
        <f>$L$1410-EFEITO!$O$1410*EFEITO!$AA$1410</f>
        <v>0</v>
      </c>
      <c r="P1410" s="61"/>
      <c r="Q1410" s="61"/>
      <c r="R1410" s="61"/>
      <c r="S1410" s="61"/>
      <c r="T1410" s="61"/>
      <c r="U1410" s="61"/>
      <c r="V1410" s="61"/>
      <c r="W1410" s="61"/>
      <c r="X1410" s="6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</row>
    <row r="1411" spans="1:36" ht="11.25" customHeight="1" x14ac:dyDescent="0.2">
      <c r="A1411" s="57" t="s">
        <v>21</v>
      </c>
      <c r="B1411" s="57" t="s">
        <v>35</v>
      </c>
      <c r="C1411" s="57" t="s">
        <v>36</v>
      </c>
      <c r="D1411" s="57" t="s">
        <v>47</v>
      </c>
      <c r="E1411" s="57" t="s">
        <v>25</v>
      </c>
      <c r="F1411" s="57" t="s">
        <v>25</v>
      </c>
      <c r="G1411" s="57" t="s">
        <v>25</v>
      </c>
      <c r="H1411" s="57" t="s">
        <v>25</v>
      </c>
      <c r="I1411" s="82">
        <v>44256</v>
      </c>
      <c r="J1411" s="83">
        <f ca="1">EFEITO!$J$1411*EFEITO!$Y$1336</f>
        <v>98601.82209990175</v>
      </c>
      <c r="K1411" s="83">
        <f>EFEITO!$L$1411*EFEITO!$Z$1336</f>
        <v>0</v>
      </c>
      <c r="L1411" s="83">
        <f>EFEITO!$N$1411*EFEITO!$AA$1336</f>
        <v>0</v>
      </c>
      <c r="M1411" s="83">
        <f ca="1">$J$1411-EFEITO!$K$1411*EFEITO!$Y$1411</f>
        <v>3944.0728839960793</v>
      </c>
      <c r="N1411" s="83">
        <f>$K$1411-EFEITO!$M$1411*EFEITO!$Z$1411</f>
        <v>0</v>
      </c>
      <c r="O1411" s="83">
        <f>$L$1411-EFEITO!$O$1411*EFEITO!$AA$1411</f>
        <v>0</v>
      </c>
      <c r="P1411" s="61"/>
      <c r="Q1411" s="61"/>
      <c r="R1411" s="61"/>
      <c r="S1411" s="61"/>
      <c r="T1411" s="61"/>
      <c r="U1411" s="61"/>
      <c r="V1411" s="61"/>
      <c r="W1411" s="61"/>
      <c r="X1411" s="6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</row>
    <row r="1412" spans="1:36" ht="11.25" customHeight="1" x14ac:dyDescent="0.2">
      <c r="A1412" s="57" t="s">
        <v>28</v>
      </c>
      <c r="B1412" s="57" t="s">
        <v>35</v>
      </c>
      <c r="C1412" s="57" t="s">
        <v>36</v>
      </c>
      <c r="D1412" s="57" t="s">
        <v>47</v>
      </c>
      <c r="E1412" s="57" t="s">
        <v>25</v>
      </c>
      <c r="F1412" s="57" t="s">
        <v>25</v>
      </c>
      <c r="G1412" s="57" t="s">
        <v>25</v>
      </c>
      <c r="H1412" s="57" t="s">
        <v>25</v>
      </c>
      <c r="I1412" s="82">
        <v>44256</v>
      </c>
      <c r="J1412" s="83">
        <f ca="1">EFEITO!$J$1412*EFEITO!$Y$1336</f>
        <v>19637.344751113851</v>
      </c>
      <c r="K1412" s="83">
        <f>EFEITO!$L$1412*EFEITO!$Z$1336</f>
        <v>0</v>
      </c>
      <c r="L1412" s="83">
        <f>EFEITO!$N$1412*EFEITO!$AA$1336</f>
        <v>0</v>
      </c>
      <c r="M1412" s="83">
        <f ca="1">$J$1412-EFEITO!$K$1412*EFEITO!$Y$1412</f>
        <v>785.49379004455477</v>
      </c>
      <c r="N1412" s="83">
        <f>$K$1412-EFEITO!$M$1412*EFEITO!$Z$1412</f>
        <v>0</v>
      </c>
      <c r="O1412" s="83">
        <f>$L$1412-EFEITO!$O$1412*EFEITO!$AA$1412</f>
        <v>0</v>
      </c>
      <c r="P1412" s="61"/>
      <c r="Q1412" s="61"/>
      <c r="R1412" s="61"/>
      <c r="S1412" s="61"/>
      <c r="T1412" s="61"/>
      <c r="U1412" s="61"/>
      <c r="V1412" s="61"/>
      <c r="W1412" s="61"/>
      <c r="X1412" s="6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</row>
    <row r="1413" spans="1:36" ht="11.25" customHeight="1" x14ac:dyDescent="0.2">
      <c r="A1413" s="57" t="s">
        <v>21</v>
      </c>
      <c r="B1413" s="57" t="s">
        <v>35</v>
      </c>
      <c r="C1413" s="57" t="s">
        <v>36</v>
      </c>
      <c r="D1413" s="57" t="s">
        <v>47</v>
      </c>
      <c r="E1413" s="57" t="s">
        <v>25</v>
      </c>
      <c r="F1413" s="57" t="s">
        <v>25</v>
      </c>
      <c r="G1413" s="57" t="s">
        <v>25</v>
      </c>
      <c r="H1413" s="57" t="s">
        <v>25</v>
      </c>
      <c r="I1413" s="82">
        <v>44287</v>
      </c>
      <c r="J1413" s="83">
        <f ca="1">EFEITO!$J$1413*EFEITO!$Y$1336</f>
        <v>64244.451445920437</v>
      </c>
      <c r="K1413" s="83">
        <f>EFEITO!$L$1413*EFEITO!$Z$1336</f>
        <v>0</v>
      </c>
      <c r="L1413" s="83">
        <f>EFEITO!$N$1413*EFEITO!$AA$1336</f>
        <v>0</v>
      </c>
      <c r="M1413" s="83">
        <f ca="1">$J$1413-EFEITO!$K$1413*EFEITO!$Y$1413</f>
        <v>2569.7780578368183</v>
      </c>
      <c r="N1413" s="83">
        <f>$K$1413-EFEITO!$M$1413*EFEITO!$Z$1413</f>
        <v>0</v>
      </c>
      <c r="O1413" s="83">
        <f>$L$1413-EFEITO!$O$1413*EFEITO!$AA$1413</f>
        <v>0</v>
      </c>
      <c r="P1413" s="61"/>
      <c r="Q1413" s="61"/>
      <c r="R1413" s="61"/>
      <c r="S1413" s="61"/>
      <c r="T1413" s="61"/>
      <c r="U1413" s="61"/>
      <c r="V1413" s="61"/>
      <c r="W1413" s="61"/>
      <c r="X1413" s="6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</row>
    <row r="1414" spans="1:36" ht="11.25" customHeight="1" x14ac:dyDescent="0.2">
      <c r="A1414" s="57" t="s">
        <v>28</v>
      </c>
      <c r="B1414" s="57" t="s">
        <v>35</v>
      </c>
      <c r="C1414" s="57" t="s">
        <v>36</v>
      </c>
      <c r="D1414" s="57" t="s">
        <v>47</v>
      </c>
      <c r="E1414" s="57" t="s">
        <v>25</v>
      </c>
      <c r="F1414" s="57" t="s">
        <v>25</v>
      </c>
      <c r="G1414" s="57" t="s">
        <v>25</v>
      </c>
      <c r="H1414" s="57" t="s">
        <v>25</v>
      </c>
      <c r="I1414" s="82">
        <v>44287</v>
      </c>
      <c r="J1414" s="83">
        <f ca="1">EFEITO!$J$1414*EFEITO!$Y$1336</f>
        <v>23021.992789517215</v>
      </c>
      <c r="K1414" s="83">
        <f>EFEITO!$L$1414*EFEITO!$Z$1336</f>
        <v>0</v>
      </c>
      <c r="L1414" s="83">
        <f>EFEITO!$N$1414*EFEITO!$AA$1336</f>
        <v>0</v>
      </c>
      <c r="M1414" s="83">
        <f ca="1">$J$1414-EFEITO!$K$1414*EFEITO!$Y$1414</f>
        <v>920.87971158068831</v>
      </c>
      <c r="N1414" s="83">
        <f>$K$1414-EFEITO!$M$1414*EFEITO!$Z$1414</f>
        <v>0</v>
      </c>
      <c r="O1414" s="83">
        <f>$L$1414-EFEITO!$O$1414*EFEITO!$AA$1414</f>
        <v>0</v>
      </c>
      <c r="P1414" s="61"/>
      <c r="Q1414" s="61"/>
      <c r="R1414" s="61"/>
      <c r="S1414" s="61"/>
      <c r="T1414" s="61"/>
      <c r="U1414" s="61"/>
      <c r="V1414" s="61"/>
      <c r="W1414" s="61"/>
      <c r="X1414" s="6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</row>
    <row r="1415" spans="1:36" ht="11.25" customHeight="1" x14ac:dyDescent="0.2">
      <c r="A1415" s="57" t="s">
        <v>21</v>
      </c>
      <c r="B1415" s="57" t="s">
        <v>35</v>
      </c>
      <c r="C1415" s="57" t="s">
        <v>36</v>
      </c>
      <c r="D1415" s="57" t="s">
        <v>47</v>
      </c>
      <c r="E1415" s="57" t="s">
        <v>25</v>
      </c>
      <c r="F1415" s="57" t="s">
        <v>25</v>
      </c>
      <c r="G1415" s="57" t="s">
        <v>25</v>
      </c>
      <c r="H1415" s="57" t="s">
        <v>25</v>
      </c>
      <c r="I1415" s="82">
        <v>44317</v>
      </c>
      <c r="J1415" s="83">
        <f ca="1">EFEITO!$J$1415*EFEITO!$Y$1336</f>
        <v>88288.224775333001</v>
      </c>
      <c r="K1415" s="83">
        <f>EFEITO!$L$1415*EFEITO!$Z$1336</f>
        <v>0</v>
      </c>
      <c r="L1415" s="83">
        <f>EFEITO!$N$1415*EFEITO!$AA$1336</f>
        <v>0</v>
      </c>
      <c r="M1415" s="83">
        <f ca="1">$J$1415-EFEITO!$K$1415*EFEITO!$Y$1415</f>
        <v>3531.5289910133142</v>
      </c>
      <c r="N1415" s="83">
        <f>$K$1415-EFEITO!$M$1415*EFEITO!$Z$1415</f>
        <v>0</v>
      </c>
      <c r="O1415" s="83">
        <f>$L$1415-EFEITO!$O$1415*EFEITO!$AA$1415</f>
        <v>0</v>
      </c>
      <c r="P1415" s="61"/>
      <c r="Q1415" s="61"/>
      <c r="R1415" s="61"/>
      <c r="S1415" s="61"/>
      <c r="T1415" s="61"/>
      <c r="U1415" s="61"/>
      <c r="V1415" s="61"/>
      <c r="W1415" s="61"/>
      <c r="X1415" s="6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</row>
    <row r="1416" spans="1:36" ht="11.25" customHeight="1" x14ac:dyDescent="0.2">
      <c r="A1416" s="57" t="s">
        <v>28</v>
      </c>
      <c r="B1416" s="57" t="s">
        <v>35</v>
      </c>
      <c r="C1416" s="57" t="s">
        <v>36</v>
      </c>
      <c r="D1416" s="57" t="s">
        <v>47</v>
      </c>
      <c r="E1416" s="57" t="s">
        <v>25</v>
      </c>
      <c r="F1416" s="57" t="s">
        <v>25</v>
      </c>
      <c r="G1416" s="57" t="s">
        <v>25</v>
      </c>
      <c r="H1416" s="57" t="s">
        <v>25</v>
      </c>
      <c r="I1416" s="82">
        <v>44317</v>
      </c>
      <c r="J1416" s="83">
        <f ca="1">EFEITO!$J$1416*EFEITO!$Y$1336</f>
        <v>17434.130461964494</v>
      </c>
      <c r="K1416" s="83">
        <f>EFEITO!$L$1416*EFEITO!$Z$1336</f>
        <v>0</v>
      </c>
      <c r="L1416" s="83">
        <f>EFEITO!$N$1416*EFEITO!$AA$1336</f>
        <v>0</v>
      </c>
      <c r="M1416" s="83">
        <f ca="1">$J$1416-EFEITO!$K$1416*EFEITO!$Y$1416</f>
        <v>697.36521847858239</v>
      </c>
      <c r="N1416" s="83">
        <f>$K$1416-EFEITO!$M$1416*EFEITO!$Z$1416</f>
        <v>0</v>
      </c>
      <c r="O1416" s="83">
        <f>$L$1416-EFEITO!$O$1416*EFEITO!$AA$1416</f>
        <v>0</v>
      </c>
      <c r="P1416" s="61"/>
      <c r="Q1416" s="61"/>
      <c r="R1416" s="61"/>
      <c r="S1416" s="61"/>
      <c r="T1416" s="61"/>
      <c r="U1416" s="61"/>
      <c r="V1416" s="61"/>
      <c r="W1416" s="61"/>
      <c r="X1416" s="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</row>
    <row r="1417" spans="1:36" ht="11.25" customHeight="1" x14ac:dyDescent="0.2">
      <c r="A1417" s="57" t="s">
        <v>21</v>
      </c>
      <c r="B1417" s="57" t="s">
        <v>35</v>
      </c>
      <c r="C1417" s="57" t="s">
        <v>36</v>
      </c>
      <c r="D1417" s="57" t="s">
        <v>47</v>
      </c>
      <c r="E1417" s="57" t="s">
        <v>25</v>
      </c>
      <c r="F1417" s="57" t="s">
        <v>25</v>
      </c>
      <c r="G1417" s="57" t="s">
        <v>25</v>
      </c>
      <c r="H1417" s="57" t="s">
        <v>25</v>
      </c>
      <c r="I1417" s="82">
        <v>44348</v>
      </c>
      <c r="J1417" s="83">
        <f ca="1">EFEITO!$J$1417*EFEITO!$Y$1336</f>
        <v>76793.193701510259</v>
      </c>
      <c r="K1417" s="83">
        <f>EFEITO!$L$1417*EFEITO!$Z$1336</f>
        <v>0</v>
      </c>
      <c r="L1417" s="83">
        <f>EFEITO!$N$1417*EFEITO!$AA$1336</f>
        <v>0</v>
      </c>
      <c r="M1417" s="83">
        <f ca="1">$J$1417-EFEITO!$K$1417*EFEITO!$Y$1417</f>
        <v>3071.7277480604098</v>
      </c>
      <c r="N1417" s="83">
        <f>$K$1417-EFEITO!$M$1417*EFEITO!$Z$1417</f>
        <v>0</v>
      </c>
      <c r="O1417" s="83">
        <f>$L$1417-EFEITO!$O$1417*EFEITO!$AA$1417</f>
        <v>0</v>
      </c>
      <c r="P1417" s="61"/>
      <c r="Q1417" s="61"/>
      <c r="R1417" s="61"/>
      <c r="S1417" s="61"/>
      <c r="T1417" s="61"/>
      <c r="U1417" s="61"/>
      <c r="V1417" s="61"/>
      <c r="W1417" s="61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</row>
    <row r="1418" spans="1:36" ht="11.25" customHeight="1" x14ac:dyDescent="0.2">
      <c r="A1418" s="57" t="s">
        <v>28</v>
      </c>
      <c r="B1418" s="57" t="s">
        <v>35</v>
      </c>
      <c r="C1418" s="57" t="s">
        <v>36</v>
      </c>
      <c r="D1418" s="57" t="s">
        <v>47</v>
      </c>
      <c r="E1418" s="57" t="s">
        <v>25</v>
      </c>
      <c r="F1418" s="57" t="s">
        <v>25</v>
      </c>
      <c r="G1418" s="57" t="s">
        <v>25</v>
      </c>
      <c r="H1418" s="57" t="s">
        <v>25</v>
      </c>
      <c r="I1418" s="82">
        <v>44348</v>
      </c>
      <c r="J1418" s="83">
        <f ca="1">EFEITO!$J$1418*EFEITO!$Y$1336</f>
        <v>38125.186394845427</v>
      </c>
      <c r="K1418" s="83">
        <f>EFEITO!$L$1418*EFEITO!$Z$1336</f>
        <v>0</v>
      </c>
      <c r="L1418" s="83">
        <f>EFEITO!$N$1418*EFEITO!$AA$1336</f>
        <v>0</v>
      </c>
      <c r="M1418" s="83">
        <f ca="1">$J$1418-EFEITO!$K$1418*EFEITO!$Y$1418</f>
        <v>1525.0074557938133</v>
      </c>
      <c r="N1418" s="83">
        <f>$K$1418-EFEITO!$M$1418*EFEITO!$Z$1418</f>
        <v>0</v>
      </c>
      <c r="O1418" s="83">
        <f>$L$1418-EFEITO!$O$1418*EFEITO!$AA$1418</f>
        <v>0</v>
      </c>
      <c r="P1418" s="61"/>
      <c r="Q1418" s="61"/>
      <c r="R1418" s="61"/>
      <c r="S1418" s="61"/>
      <c r="T1418" s="61"/>
      <c r="U1418" s="61"/>
      <c r="V1418" s="61"/>
      <c r="W1418" s="61"/>
      <c r="X1418" s="6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</row>
    <row r="1419" spans="1:36" ht="11.25" customHeight="1" x14ac:dyDescent="0.2">
      <c r="A1419" s="57" t="s">
        <v>21</v>
      </c>
      <c r="B1419" s="57" t="s">
        <v>35</v>
      </c>
      <c r="C1419" s="57" t="s">
        <v>36</v>
      </c>
      <c r="D1419" s="57" t="s">
        <v>47</v>
      </c>
      <c r="E1419" s="57" t="s">
        <v>25</v>
      </c>
      <c r="F1419" s="57" t="s">
        <v>25</v>
      </c>
      <c r="G1419" s="57" t="s">
        <v>25</v>
      </c>
      <c r="H1419" s="57" t="s">
        <v>25</v>
      </c>
      <c r="I1419" s="82">
        <v>44378</v>
      </c>
      <c r="J1419" s="83">
        <f ca="1">EFEITO!$J$1419*EFEITO!$Y$1336</f>
        <v>70949.886238983701</v>
      </c>
      <c r="K1419" s="83">
        <f>EFEITO!$L$1419*EFEITO!$Z$1336</f>
        <v>0</v>
      </c>
      <c r="L1419" s="83">
        <f>EFEITO!$N$1419*EFEITO!$AA$1336</f>
        <v>0</v>
      </c>
      <c r="M1419" s="83">
        <f ca="1">$J$1419-EFEITO!$K$1419*EFEITO!$Y$1419</f>
        <v>2837.9954495593411</v>
      </c>
      <c r="N1419" s="83">
        <f>$K$1419-EFEITO!$M$1419*EFEITO!$Z$1419</f>
        <v>0</v>
      </c>
      <c r="O1419" s="83">
        <f>$L$1419-EFEITO!$O$1419*EFEITO!$AA$1419</f>
        <v>0</v>
      </c>
      <c r="P1419" s="61"/>
      <c r="Q1419" s="61"/>
      <c r="R1419" s="61"/>
      <c r="S1419" s="61"/>
      <c r="T1419" s="61"/>
      <c r="U1419" s="61"/>
      <c r="V1419" s="61"/>
      <c r="W1419" s="61"/>
      <c r="X1419" s="6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</row>
    <row r="1420" spans="1:36" ht="11.25" customHeight="1" x14ac:dyDescent="0.2">
      <c r="A1420" s="57" t="s">
        <v>28</v>
      </c>
      <c r="B1420" s="57" t="s">
        <v>35</v>
      </c>
      <c r="C1420" s="57" t="s">
        <v>36</v>
      </c>
      <c r="D1420" s="57" t="s">
        <v>47</v>
      </c>
      <c r="E1420" s="57" t="s">
        <v>25</v>
      </c>
      <c r="F1420" s="57" t="s">
        <v>25</v>
      </c>
      <c r="G1420" s="57" t="s">
        <v>25</v>
      </c>
      <c r="H1420" s="57" t="s">
        <v>25</v>
      </c>
      <c r="I1420" s="82">
        <v>44378</v>
      </c>
      <c r="J1420" s="83">
        <f ca="1">EFEITO!$J$1420*EFEITO!$Y$1336</f>
        <v>23532.883059464893</v>
      </c>
      <c r="K1420" s="83">
        <f>EFEITO!$L$1420*EFEITO!$Z$1336</f>
        <v>0</v>
      </c>
      <c r="L1420" s="83">
        <f>EFEITO!$N$1420*EFEITO!$AA$1336</f>
        <v>0</v>
      </c>
      <c r="M1420" s="83">
        <f ca="1">$J$1420-EFEITO!$K$1420*EFEITO!$Y$1420</f>
        <v>941.31532237859574</v>
      </c>
      <c r="N1420" s="83">
        <f>$K$1420-EFEITO!$M$1420*EFEITO!$Z$1420</f>
        <v>0</v>
      </c>
      <c r="O1420" s="83">
        <f>$L$1420-EFEITO!$O$1420*EFEITO!$AA$1420</f>
        <v>0</v>
      </c>
      <c r="P1420" s="61"/>
      <c r="Q1420" s="61"/>
      <c r="R1420" s="61"/>
      <c r="S1420" s="61"/>
      <c r="T1420" s="61"/>
      <c r="U1420" s="61"/>
      <c r="V1420" s="61"/>
      <c r="W1420" s="61"/>
      <c r="X1420" s="6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</row>
    <row r="1421" spans="1:36" ht="11.25" customHeight="1" x14ac:dyDescent="0.2">
      <c r="A1421" s="57" t="s">
        <v>29</v>
      </c>
      <c r="B1421" s="57" t="s">
        <v>35</v>
      </c>
      <c r="C1421" s="57" t="s">
        <v>36</v>
      </c>
      <c r="D1421" s="57" t="s">
        <v>47</v>
      </c>
      <c r="E1421" s="57" t="s">
        <v>25</v>
      </c>
      <c r="F1421" s="57" t="s">
        <v>25</v>
      </c>
      <c r="G1421" s="57" t="s">
        <v>25</v>
      </c>
      <c r="H1421" s="57" t="s">
        <v>25</v>
      </c>
      <c r="I1421" s="82">
        <v>44378</v>
      </c>
      <c r="J1421" s="83">
        <f ca="1">EFEITO!$J$1421*EFEITO!$Y$1336</f>
        <v>-11271.516580720634</v>
      </c>
      <c r="K1421" s="83">
        <f>EFEITO!$L$1421*EFEITO!$Z$1336</f>
        <v>0</v>
      </c>
      <c r="L1421" s="83">
        <f>EFEITO!$N$1421*EFEITO!$AA$1336</f>
        <v>0</v>
      </c>
      <c r="M1421" s="83">
        <f ca="1">$J$1421-EFEITO!$K$1421*EFEITO!$Y$1421</f>
        <v>-450.86066322882652</v>
      </c>
      <c r="N1421" s="83">
        <f>$K$1421-EFEITO!$M$1421*EFEITO!$Z$1421</f>
        <v>0</v>
      </c>
      <c r="O1421" s="83">
        <f>$L$1421-EFEITO!$O$1421*EFEITO!$AA$1421</f>
        <v>0</v>
      </c>
      <c r="P1421" s="61"/>
      <c r="Q1421" s="61"/>
      <c r="R1421" s="61"/>
      <c r="S1421" s="61"/>
      <c r="T1421" s="61"/>
      <c r="U1421" s="61"/>
      <c r="V1421" s="61"/>
      <c r="W1421" s="61"/>
      <c r="X1421" s="6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</row>
    <row r="1422" spans="1:36" ht="11.25" customHeight="1" x14ac:dyDescent="0.2">
      <c r="A1422" s="57" t="s">
        <v>30</v>
      </c>
      <c r="B1422" s="57" t="s">
        <v>35</v>
      </c>
      <c r="C1422" s="57" t="s">
        <v>36</v>
      </c>
      <c r="D1422" s="57" t="s">
        <v>47</v>
      </c>
      <c r="E1422" s="57" t="s">
        <v>25</v>
      </c>
      <c r="F1422" s="57" t="s">
        <v>25</v>
      </c>
      <c r="G1422" s="57" t="s">
        <v>25</v>
      </c>
      <c r="H1422" s="57" t="s">
        <v>25</v>
      </c>
      <c r="I1422" s="82">
        <v>44378</v>
      </c>
      <c r="J1422" s="83">
        <f ca="1">EFEITO!$J$1422*EFEITO!$Y$1336</f>
        <v>1117.5724655105444</v>
      </c>
      <c r="K1422" s="83">
        <f>EFEITO!$L$1422*EFEITO!$Z$1336</f>
        <v>0</v>
      </c>
      <c r="L1422" s="83">
        <f>EFEITO!$N$1422*EFEITO!$AA$1336</f>
        <v>0</v>
      </c>
      <c r="M1422" s="83">
        <f ca="1">$J$1422-EFEITO!$K$1422*EFEITO!$Y$1422</f>
        <v>44.70289862042182</v>
      </c>
      <c r="N1422" s="83">
        <f>$K$1422-EFEITO!$M$1422*EFEITO!$Z$1422</f>
        <v>0</v>
      </c>
      <c r="O1422" s="83">
        <f>$L$1422-EFEITO!$O$1422*EFEITO!$AA$1422</f>
        <v>0</v>
      </c>
      <c r="P1422" s="61"/>
      <c r="Q1422" s="61"/>
      <c r="R1422" s="61"/>
      <c r="S1422" s="61"/>
      <c r="T1422" s="61"/>
      <c r="U1422" s="61"/>
      <c r="V1422" s="61"/>
      <c r="W1422" s="61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</row>
    <row r="1423" spans="1:36" ht="11.25" customHeight="1" x14ac:dyDescent="0.2">
      <c r="A1423" s="57" t="s">
        <v>21</v>
      </c>
      <c r="B1423" s="57" t="s">
        <v>35</v>
      </c>
      <c r="C1423" s="57" t="s">
        <v>36</v>
      </c>
      <c r="D1423" s="57" t="s">
        <v>47</v>
      </c>
      <c r="E1423" s="57" t="s">
        <v>25</v>
      </c>
      <c r="F1423" s="57" t="s">
        <v>25</v>
      </c>
      <c r="G1423" s="57" t="s">
        <v>25</v>
      </c>
      <c r="H1423" s="57" t="s">
        <v>25</v>
      </c>
      <c r="I1423" s="82">
        <v>44409</v>
      </c>
      <c r="J1423" s="83">
        <f ca="1">EFEITO!$J$1423*EFEITO!$Y$1336</f>
        <v>71620.429718290034</v>
      </c>
      <c r="K1423" s="83">
        <f>EFEITO!$L$1423*EFEITO!$Z$1336</f>
        <v>0</v>
      </c>
      <c r="L1423" s="83">
        <f>EFEITO!$N$1423*EFEITO!$AA$1336</f>
        <v>0</v>
      </c>
      <c r="M1423" s="83">
        <f ca="1">$J$1423-EFEITO!$K$1423*EFEITO!$Y$1423</f>
        <v>2864.8171887315984</v>
      </c>
      <c r="N1423" s="83">
        <f>$K$1423-EFEITO!$M$1423*EFEITO!$Z$1423</f>
        <v>0</v>
      </c>
      <c r="O1423" s="83">
        <f>$L$1423-EFEITO!$O$1423*EFEITO!$AA$1423</f>
        <v>0</v>
      </c>
      <c r="P1423" s="61"/>
      <c r="Q1423" s="61"/>
      <c r="R1423" s="61"/>
      <c r="S1423" s="61"/>
      <c r="T1423" s="61"/>
      <c r="U1423" s="61"/>
      <c r="V1423" s="61"/>
      <c r="W1423" s="61"/>
      <c r="X1423" s="6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</row>
    <row r="1424" spans="1:36" ht="11.25" customHeight="1" x14ac:dyDescent="0.2">
      <c r="A1424" s="57" t="s">
        <v>28</v>
      </c>
      <c r="B1424" s="57" t="s">
        <v>35</v>
      </c>
      <c r="C1424" s="57" t="s">
        <v>36</v>
      </c>
      <c r="D1424" s="57" t="s">
        <v>47</v>
      </c>
      <c r="E1424" s="57" t="s">
        <v>25</v>
      </c>
      <c r="F1424" s="57" t="s">
        <v>25</v>
      </c>
      <c r="G1424" s="57" t="s">
        <v>25</v>
      </c>
      <c r="H1424" s="57" t="s">
        <v>25</v>
      </c>
      <c r="I1424" s="82">
        <v>44409</v>
      </c>
      <c r="J1424" s="83">
        <f ca="1">EFEITO!$J$1424*EFEITO!$Y$1336</f>
        <v>24299.218464386409</v>
      </c>
      <c r="K1424" s="83">
        <f>EFEITO!$L$1424*EFEITO!$Z$1336</f>
        <v>0</v>
      </c>
      <c r="L1424" s="83">
        <f>EFEITO!$N$1424*EFEITO!$AA$1336</f>
        <v>0</v>
      </c>
      <c r="M1424" s="83">
        <f ca="1">$J$1424-EFEITO!$K$1424*EFEITO!$Y$1424</f>
        <v>971.9687385754587</v>
      </c>
      <c r="N1424" s="83">
        <f>$K$1424-EFEITO!$M$1424*EFEITO!$Z$1424</f>
        <v>0</v>
      </c>
      <c r="O1424" s="83">
        <f>$L$1424-EFEITO!$O$1424*EFEITO!$AA$1424</f>
        <v>0</v>
      </c>
      <c r="P1424" s="61"/>
      <c r="Q1424" s="61"/>
      <c r="R1424" s="61"/>
      <c r="S1424" s="61"/>
      <c r="T1424" s="61"/>
      <c r="U1424" s="61"/>
      <c r="V1424" s="61"/>
      <c r="W1424" s="61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</row>
    <row r="1425" spans="1:36" ht="11.25" customHeight="1" x14ac:dyDescent="0.2">
      <c r="A1425" s="57" t="s">
        <v>30</v>
      </c>
      <c r="B1425" s="57" t="s">
        <v>35</v>
      </c>
      <c r="C1425" s="57" t="s">
        <v>36</v>
      </c>
      <c r="D1425" s="57" t="s">
        <v>47</v>
      </c>
      <c r="E1425" s="57" t="s">
        <v>25</v>
      </c>
      <c r="F1425" s="57" t="s">
        <v>25</v>
      </c>
      <c r="G1425" s="57" t="s">
        <v>25</v>
      </c>
      <c r="H1425" s="57" t="s">
        <v>25</v>
      </c>
      <c r="I1425" s="82">
        <v>44409</v>
      </c>
      <c r="J1425" s="83">
        <f ca="1">EFEITO!$J$1425*EFEITO!$Y$1336</f>
        <v>1085.6418236388145</v>
      </c>
      <c r="K1425" s="83">
        <f>EFEITO!$L$1425*EFEITO!$Z$1336</f>
        <v>0</v>
      </c>
      <c r="L1425" s="83">
        <f>EFEITO!$N$1425*EFEITO!$AA$1336</f>
        <v>0</v>
      </c>
      <c r="M1425" s="83">
        <f ca="1">$J$1425-EFEITO!$K$1425*EFEITO!$Y$1425</f>
        <v>43.425672945552378</v>
      </c>
      <c r="N1425" s="83">
        <f>$K$1425-EFEITO!$M$1425*EFEITO!$Z$1425</f>
        <v>0</v>
      </c>
      <c r="O1425" s="83">
        <f>$L$1425-EFEITO!$O$1425*EFEITO!$AA$1425</f>
        <v>0</v>
      </c>
      <c r="P1425" s="61"/>
      <c r="Q1425" s="61"/>
      <c r="R1425" s="61"/>
      <c r="S1425" s="61"/>
      <c r="T1425" s="61"/>
      <c r="U1425" s="61"/>
      <c r="V1425" s="61"/>
      <c r="W1425" s="61"/>
      <c r="X1425" s="6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</row>
    <row r="1426" spans="1:36" ht="11.25" customHeight="1" x14ac:dyDescent="0.2">
      <c r="A1426" s="57" t="s">
        <v>21</v>
      </c>
      <c r="B1426" s="57" t="s">
        <v>35</v>
      </c>
      <c r="C1426" s="57" t="s">
        <v>36</v>
      </c>
      <c r="D1426" s="57" t="s">
        <v>47</v>
      </c>
      <c r="E1426" s="57" t="s">
        <v>25</v>
      </c>
      <c r="F1426" s="57" t="s">
        <v>25</v>
      </c>
      <c r="G1426" s="57" t="s">
        <v>25</v>
      </c>
      <c r="H1426" s="57" t="s">
        <v>25</v>
      </c>
      <c r="I1426" s="82">
        <v>44440</v>
      </c>
      <c r="J1426" s="83">
        <f ca="1">EFEITO!$J$1426*EFEITO!$Y$1336</f>
        <v>80273.633665528818</v>
      </c>
      <c r="K1426" s="83">
        <f>EFEITO!$L$1426*EFEITO!$Z$1336</f>
        <v>0</v>
      </c>
      <c r="L1426" s="83">
        <f>EFEITO!$N$1426*EFEITO!$AA$1336</f>
        <v>0</v>
      </c>
      <c r="M1426" s="83">
        <f ca="1">$J$1426-EFEITO!$K$1426*EFEITO!$Y$1426</f>
        <v>3210.9453466211562</v>
      </c>
      <c r="N1426" s="83">
        <f>$K$1426-EFEITO!$M$1426*EFEITO!$Z$1426</f>
        <v>0</v>
      </c>
      <c r="O1426" s="83">
        <f>$L$1426-EFEITO!$O$1426*EFEITO!$AA$1426</f>
        <v>0</v>
      </c>
      <c r="P1426" s="61"/>
      <c r="Q1426" s="61"/>
      <c r="R1426" s="61"/>
      <c r="S1426" s="61"/>
      <c r="T1426" s="61"/>
      <c r="U1426" s="61"/>
      <c r="V1426" s="61"/>
      <c r="W1426" s="61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</row>
    <row r="1427" spans="1:36" ht="11.25" customHeight="1" x14ac:dyDescent="0.2">
      <c r="A1427" s="57" t="s">
        <v>28</v>
      </c>
      <c r="B1427" s="57" t="s">
        <v>35</v>
      </c>
      <c r="C1427" s="57" t="s">
        <v>36</v>
      </c>
      <c r="D1427" s="57" t="s">
        <v>47</v>
      </c>
      <c r="E1427" s="57" t="s">
        <v>25</v>
      </c>
      <c r="F1427" s="57" t="s">
        <v>25</v>
      </c>
      <c r="G1427" s="57" t="s">
        <v>25</v>
      </c>
      <c r="H1427" s="57" t="s">
        <v>25</v>
      </c>
      <c r="I1427" s="82">
        <v>44440</v>
      </c>
      <c r="J1427" s="83">
        <f ca="1">EFEITO!$J$1427*EFEITO!$Y$1336</f>
        <v>23947.981403797381</v>
      </c>
      <c r="K1427" s="83">
        <f>EFEITO!$L$1427*EFEITO!$Z$1336</f>
        <v>0</v>
      </c>
      <c r="L1427" s="83">
        <f>EFEITO!$N$1427*EFEITO!$AA$1336</f>
        <v>0</v>
      </c>
      <c r="M1427" s="83">
        <f ca="1">$J$1427-EFEITO!$K$1427*EFEITO!$Y$1427</f>
        <v>957.91925615189757</v>
      </c>
      <c r="N1427" s="83">
        <f>$K$1427-EFEITO!$M$1427*EFEITO!$Z$1427</f>
        <v>0</v>
      </c>
      <c r="O1427" s="83">
        <f>$L$1427-EFEITO!$O$1427*EFEITO!$AA$1427</f>
        <v>0</v>
      </c>
      <c r="P1427" s="61"/>
      <c r="Q1427" s="61"/>
      <c r="R1427" s="61"/>
      <c r="S1427" s="61"/>
      <c r="T1427" s="61"/>
      <c r="U1427" s="61"/>
      <c r="V1427" s="61"/>
      <c r="W1427" s="61"/>
      <c r="X1427" s="6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</row>
    <row r="1428" spans="1:36" ht="11.25" customHeight="1" x14ac:dyDescent="0.2">
      <c r="A1428" s="57" t="s">
        <v>30</v>
      </c>
      <c r="B1428" s="57" t="s">
        <v>35</v>
      </c>
      <c r="C1428" s="57" t="s">
        <v>36</v>
      </c>
      <c r="D1428" s="57" t="s">
        <v>47</v>
      </c>
      <c r="E1428" s="57" t="s">
        <v>25</v>
      </c>
      <c r="F1428" s="57" t="s">
        <v>25</v>
      </c>
      <c r="G1428" s="57" t="s">
        <v>25</v>
      </c>
      <c r="H1428" s="57" t="s">
        <v>25</v>
      </c>
      <c r="I1428" s="82">
        <v>44440</v>
      </c>
      <c r="J1428" s="83">
        <f ca="1">EFEITO!$J$1428*EFEITO!$Y$1336</f>
        <v>3129.2029034295242</v>
      </c>
      <c r="K1428" s="83">
        <f>EFEITO!$L$1428*EFEITO!$Z$1336</f>
        <v>0</v>
      </c>
      <c r="L1428" s="83">
        <f>EFEITO!$N$1428*EFEITO!$AA$1336</f>
        <v>0</v>
      </c>
      <c r="M1428" s="83">
        <f ca="1">$J$1428-EFEITO!$K$1428*EFEITO!$Y$1428</f>
        <v>125.16811613718073</v>
      </c>
      <c r="N1428" s="83">
        <f>$K$1428-EFEITO!$M$1428*EFEITO!$Z$1428</f>
        <v>0</v>
      </c>
      <c r="O1428" s="83">
        <f>$L$1428-EFEITO!$O$1428*EFEITO!$AA$1428</f>
        <v>0</v>
      </c>
      <c r="P1428" s="61"/>
      <c r="Q1428" s="61"/>
      <c r="R1428" s="61"/>
      <c r="S1428" s="61"/>
      <c r="T1428" s="61"/>
      <c r="U1428" s="61"/>
      <c r="V1428" s="61"/>
      <c r="W1428" s="61"/>
      <c r="X1428" s="6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</row>
    <row r="1429" spans="1:36" ht="11.25" customHeight="1" x14ac:dyDescent="0.2">
      <c r="A1429" s="57" t="s">
        <v>59</v>
      </c>
      <c r="B1429" s="57" t="s">
        <v>35</v>
      </c>
      <c r="C1429" s="57" t="s">
        <v>36</v>
      </c>
      <c r="D1429" s="57" t="s">
        <v>47</v>
      </c>
      <c r="E1429" s="57" t="s">
        <v>25</v>
      </c>
      <c r="F1429" s="57" t="s">
        <v>25</v>
      </c>
      <c r="G1429" s="57" t="s">
        <v>25</v>
      </c>
      <c r="H1429" s="57" t="s">
        <v>25</v>
      </c>
      <c r="I1429" s="82">
        <v>44470</v>
      </c>
      <c r="J1429" s="83">
        <f ca="1">EFEITO!$J$1429*EFEITO!$Y$1336</f>
        <v>80273.633665528818</v>
      </c>
      <c r="K1429" s="83">
        <f>EFEITO!$L$1429*EFEITO!$Z$1336</f>
        <v>0</v>
      </c>
      <c r="L1429" s="83">
        <f>EFEITO!$N$1429*EFEITO!$AA$1336</f>
        <v>0</v>
      </c>
      <c r="M1429" s="83">
        <f ca="1">$J$1429-EFEITO!$K$1429*EFEITO!$Y$1429</f>
        <v>3210.9453466211562</v>
      </c>
      <c r="N1429" s="83">
        <f>$K$1429-EFEITO!$M$1429*EFEITO!$Z$1429</f>
        <v>0</v>
      </c>
      <c r="O1429" s="83">
        <f>$L$1429-EFEITO!$O$1429*EFEITO!$AA$1429</f>
        <v>0</v>
      </c>
      <c r="P1429" s="61"/>
      <c r="Q1429" s="61"/>
      <c r="R1429" s="61"/>
      <c r="S1429" s="61"/>
      <c r="T1429" s="61"/>
      <c r="U1429" s="61"/>
      <c r="V1429" s="61"/>
      <c r="W1429" s="61"/>
      <c r="X1429" s="6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</row>
    <row r="1430" spans="1:36" ht="11.25" customHeight="1" x14ac:dyDescent="0.2">
      <c r="A1430" s="57" t="s">
        <v>59</v>
      </c>
      <c r="B1430" s="57" t="s">
        <v>35</v>
      </c>
      <c r="C1430" s="57" t="s">
        <v>36</v>
      </c>
      <c r="D1430" s="57" t="s">
        <v>47</v>
      </c>
      <c r="E1430" s="57" t="s">
        <v>25</v>
      </c>
      <c r="F1430" s="57" t="s">
        <v>25</v>
      </c>
      <c r="G1430" s="57" t="s">
        <v>25</v>
      </c>
      <c r="H1430" s="57" t="s">
        <v>25</v>
      </c>
      <c r="I1430" s="82">
        <v>44470</v>
      </c>
      <c r="J1430" s="83">
        <f ca="1">EFEITO!$J$1430*EFEITO!$Y$1336</f>
        <v>23947.981403797381</v>
      </c>
      <c r="K1430" s="83">
        <f>EFEITO!$L$1430*EFEITO!$Z$1336</f>
        <v>0</v>
      </c>
      <c r="L1430" s="83">
        <f>EFEITO!$N$1430*EFEITO!$AA$1336</f>
        <v>0</v>
      </c>
      <c r="M1430" s="83">
        <f ca="1">$J$1430-EFEITO!$K$1430*EFEITO!$Y$1430</f>
        <v>957.91925615189757</v>
      </c>
      <c r="N1430" s="83">
        <f>$K$1430-EFEITO!$M$1430*EFEITO!$Z$1430</f>
        <v>0</v>
      </c>
      <c r="O1430" s="83">
        <f>$L$1430-EFEITO!$O$1430*EFEITO!$AA$1430</f>
        <v>0</v>
      </c>
      <c r="P1430" s="61"/>
      <c r="Q1430" s="61"/>
      <c r="R1430" s="61"/>
      <c r="S1430" s="61"/>
      <c r="T1430" s="61"/>
      <c r="U1430" s="61"/>
      <c r="V1430" s="61"/>
      <c r="W1430" s="61"/>
      <c r="X1430" s="6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</row>
    <row r="1431" spans="1:36" ht="11.25" customHeight="1" x14ac:dyDescent="0.2">
      <c r="A1431" s="57" t="s">
        <v>59</v>
      </c>
      <c r="B1431" s="57" t="s">
        <v>35</v>
      </c>
      <c r="C1431" s="57" t="s">
        <v>36</v>
      </c>
      <c r="D1431" s="57" t="s">
        <v>47</v>
      </c>
      <c r="E1431" s="57" t="s">
        <v>25</v>
      </c>
      <c r="F1431" s="57" t="s">
        <v>25</v>
      </c>
      <c r="G1431" s="57" t="s">
        <v>25</v>
      </c>
      <c r="H1431" s="57" t="s">
        <v>25</v>
      </c>
      <c r="I1431" s="82">
        <v>44470</v>
      </c>
      <c r="J1431" s="83">
        <f ca="1">EFEITO!$J$1431*EFEITO!$Y$1336</f>
        <v>3129.2029034295242</v>
      </c>
      <c r="K1431" s="83">
        <f>EFEITO!$L$1431*EFEITO!$Z$1336</f>
        <v>0</v>
      </c>
      <c r="L1431" s="83">
        <f>EFEITO!$N$1431*EFEITO!$AA$1336</f>
        <v>0</v>
      </c>
      <c r="M1431" s="83">
        <f ca="1">$J$1431-EFEITO!$K$1431*EFEITO!$Y$1431</f>
        <v>125.16811613718073</v>
      </c>
      <c r="N1431" s="83">
        <f>$K$1431-EFEITO!$M$1431*EFEITO!$Z$1431</f>
        <v>0</v>
      </c>
      <c r="O1431" s="83">
        <f>$L$1431-EFEITO!$O$1431*EFEITO!$AA$1431</f>
        <v>0</v>
      </c>
      <c r="P1431" s="61"/>
      <c r="Q1431" s="61"/>
      <c r="R1431" s="61"/>
      <c r="S1431" s="61"/>
      <c r="T1431" s="61"/>
      <c r="U1431" s="61"/>
      <c r="V1431" s="61"/>
      <c r="W1431" s="61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</row>
    <row r="1432" spans="1:36" ht="11.25" customHeight="1" x14ac:dyDescent="0.2">
      <c r="A1432" s="57" t="s">
        <v>21</v>
      </c>
      <c r="B1432" s="57" t="s">
        <v>35</v>
      </c>
      <c r="C1432" s="57" t="s">
        <v>36</v>
      </c>
      <c r="D1432" s="57" t="s">
        <v>47</v>
      </c>
      <c r="E1432" s="57" t="s">
        <v>25</v>
      </c>
      <c r="F1432" s="57" t="s">
        <v>25</v>
      </c>
      <c r="G1432" s="57" t="s">
        <v>25</v>
      </c>
      <c r="H1432" s="57" t="s">
        <v>37</v>
      </c>
      <c r="I1432" s="82">
        <v>44136</v>
      </c>
      <c r="J1432" s="83">
        <f>EFEITO!$J$1432*EFEITO!$Y$1355</f>
        <v>0</v>
      </c>
      <c r="K1432" s="83">
        <f ca="1">EFEITO!$L$1432*EFEITO!$Z$1355</f>
        <v>77681.815211946712</v>
      </c>
      <c r="L1432" s="83">
        <f>EFEITO!$N$1432*EFEITO!$AA$1355</f>
        <v>21975.872830696928</v>
      </c>
      <c r="M1432" s="83">
        <f>$J$1432-EFEITO!$K$1432*EFEITO!$Y$1432</f>
        <v>0</v>
      </c>
      <c r="N1432" s="83">
        <f ca="1">$K$1432-EFEITO!$M$1432*EFEITO!$Z$1432</f>
        <v>3107.2726084778697</v>
      </c>
      <c r="O1432" s="83">
        <f>$L$1432-EFEITO!$O$1432*EFEITO!$AA$1432</f>
        <v>879.03491322787886</v>
      </c>
      <c r="P1432" s="61"/>
      <c r="Q1432" s="61"/>
      <c r="R1432" s="61"/>
      <c r="S1432" s="61"/>
      <c r="T1432" s="61"/>
      <c r="U1432" s="61"/>
      <c r="V1432" s="61"/>
      <c r="W1432" s="61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</row>
    <row r="1433" spans="1:36" ht="11.25" customHeight="1" x14ac:dyDescent="0.2">
      <c r="A1433" s="57" t="s">
        <v>28</v>
      </c>
      <c r="B1433" s="57" t="s">
        <v>35</v>
      </c>
      <c r="C1433" s="57" t="s">
        <v>36</v>
      </c>
      <c r="D1433" s="57" t="s">
        <v>47</v>
      </c>
      <c r="E1433" s="57" t="s">
        <v>25</v>
      </c>
      <c r="F1433" s="57" t="s">
        <v>25</v>
      </c>
      <c r="G1433" s="57" t="s">
        <v>25</v>
      </c>
      <c r="H1433" s="57" t="s">
        <v>37</v>
      </c>
      <c r="I1433" s="82">
        <v>44136</v>
      </c>
      <c r="J1433" s="83">
        <f>EFEITO!$J$1433*EFEITO!$Y$1355</f>
        <v>0</v>
      </c>
      <c r="K1433" s="83">
        <f ca="1">EFEITO!$L$1433*EFEITO!$Z$1355</f>
        <v>13673.412749938274</v>
      </c>
      <c r="L1433" s="83">
        <f>EFEITO!$N$1433*EFEITO!$AA$1355</f>
        <v>3868.1534273424363</v>
      </c>
      <c r="M1433" s="83">
        <f>$J$1433-EFEITO!$K$1433*EFEITO!$Y$1433</f>
        <v>0</v>
      </c>
      <c r="N1433" s="83">
        <f ca="1">$K$1433-EFEITO!$M$1433*EFEITO!$Z$1433</f>
        <v>546.93650999753118</v>
      </c>
      <c r="O1433" s="83">
        <f>$L$1433-EFEITO!$O$1433*EFEITO!$AA$1433</f>
        <v>154.72613709369762</v>
      </c>
      <c r="P1433" s="61"/>
      <c r="Q1433" s="61"/>
      <c r="R1433" s="61"/>
      <c r="S1433" s="61"/>
      <c r="T1433" s="61"/>
      <c r="U1433" s="61"/>
      <c r="V1433" s="61"/>
      <c r="W1433" s="61"/>
      <c r="X1433" s="6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</row>
    <row r="1434" spans="1:36" ht="11.25" customHeight="1" x14ac:dyDescent="0.2">
      <c r="A1434" s="57" t="s">
        <v>21</v>
      </c>
      <c r="B1434" s="57" t="s">
        <v>35</v>
      </c>
      <c r="C1434" s="57" t="s">
        <v>36</v>
      </c>
      <c r="D1434" s="57" t="s">
        <v>47</v>
      </c>
      <c r="E1434" s="57" t="s">
        <v>25</v>
      </c>
      <c r="F1434" s="57" t="s">
        <v>25</v>
      </c>
      <c r="G1434" s="57" t="s">
        <v>25</v>
      </c>
      <c r="H1434" s="57" t="s">
        <v>37</v>
      </c>
      <c r="I1434" s="82">
        <v>44166</v>
      </c>
      <c r="J1434" s="83">
        <f>EFEITO!$J$1434*EFEITO!$Y$1355</f>
        <v>0</v>
      </c>
      <c r="K1434" s="83">
        <f ca="1">EFEITO!$L$1434*EFEITO!$Z$1355</f>
        <v>78330.635831041742</v>
      </c>
      <c r="L1434" s="83">
        <f>EFEITO!$N$1434*EFEITO!$AA$1355</f>
        <v>22159.421572140007</v>
      </c>
      <c r="M1434" s="83">
        <f>$J$1434-EFEITO!$K$1434*EFEITO!$Y$1434</f>
        <v>0</v>
      </c>
      <c r="N1434" s="83">
        <f ca="1">$K$1434-EFEITO!$M$1434*EFEITO!$Z$1434</f>
        <v>3133.2254332416633</v>
      </c>
      <c r="O1434" s="83">
        <f>$L$1434-EFEITO!$O$1434*EFEITO!$AA$1434</f>
        <v>886.37686288560144</v>
      </c>
      <c r="P1434" s="61"/>
      <c r="Q1434" s="61"/>
      <c r="R1434" s="61"/>
      <c r="S1434" s="61"/>
      <c r="T1434" s="61"/>
      <c r="U1434" s="61"/>
      <c r="V1434" s="61"/>
      <c r="W1434" s="61"/>
      <c r="X1434" s="6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</row>
    <row r="1435" spans="1:36" ht="11.25" customHeight="1" x14ac:dyDescent="0.2">
      <c r="A1435" s="57" t="s">
        <v>28</v>
      </c>
      <c r="B1435" s="57" t="s">
        <v>35</v>
      </c>
      <c r="C1435" s="57" t="s">
        <v>36</v>
      </c>
      <c r="D1435" s="57" t="s">
        <v>47</v>
      </c>
      <c r="E1435" s="57" t="s">
        <v>25</v>
      </c>
      <c r="F1435" s="57" t="s">
        <v>25</v>
      </c>
      <c r="G1435" s="57" t="s">
        <v>25</v>
      </c>
      <c r="H1435" s="57" t="s">
        <v>37</v>
      </c>
      <c r="I1435" s="82">
        <v>44166</v>
      </c>
      <c r="J1435" s="83">
        <f>EFEITO!$J$1435*EFEITO!$Y$1355</f>
        <v>0</v>
      </c>
      <c r="K1435" s="83">
        <f ca="1">EFEITO!$L$1435*EFEITO!$Z$1355</f>
        <v>13829.193938186339</v>
      </c>
      <c r="L1435" s="83">
        <f>EFEITO!$N$1435*EFEITO!$AA$1355</f>
        <v>3912.2232984314924</v>
      </c>
      <c r="M1435" s="83">
        <f>$J$1435-EFEITO!$K$1435*EFEITO!$Y$1435</f>
        <v>0</v>
      </c>
      <c r="N1435" s="83">
        <f ca="1">$K$1435-EFEITO!$M$1435*EFEITO!$Z$1435</f>
        <v>553.16775752745343</v>
      </c>
      <c r="O1435" s="83">
        <f>$L$1435-EFEITO!$O$1435*EFEITO!$AA$1435</f>
        <v>156.48893193726008</v>
      </c>
      <c r="P1435" s="61"/>
      <c r="Q1435" s="61"/>
      <c r="R1435" s="61"/>
      <c r="S1435" s="61"/>
      <c r="T1435" s="61"/>
      <c r="U1435" s="61"/>
      <c r="V1435" s="61"/>
      <c r="W1435" s="61"/>
      <c r="X1435" s="6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</row>
    <row r="1436" spans="1:36" ht="11.25" customHeight="1" x14ac:dyDescent="0.2">
      <c r="A1436" s="57" t="s">
        <v>21</v>
      </c>
      <c r="B1436" s="57" t="s">
        <v>35</v>
      </c>
      <c r="C1436" s="57" t="s">
        <v>36</v>
      </c>
      <c r="D1436" s="57" t="s">
        <v>47</v>
      </c>
      <c r="E1436" s="57" t="s">
        <v>25</v>
      </c>
      <c r="F1436" s="57" t="s">
        <v>25</v>
      </c>
      <c r="G1436" s="57" t="s">
        <v>25</v>
      </c>
      <c r="H1436" s="57" t="s">
        <v>37</v>
      </c>
      <c r="I1436" s="82">
        <v>44197</v>
      </c>
      <c r="J1436" s="83">
        <f>EFEITO!$J$1436*EFEITO!$Y$1355</f>
        <v>0</v>
      </c>
      <c r="K1436" s="83">
        <f ca="1">EFEITO!$L$1436*EFEITO!$Z$1355</f>
        <v>72817.266560365431</v>
      </c>
      <c r="L1436" s="83">
        <f>EFEITO!$N$1436*EFEITO!$AA$1355</f>
        <v>20599.711598441794</v>
      </c>
      <c r="M1436" s="83">
        <f>$J$1436-EFEITO!$K$1436*EFEITO!$Y$1436</f>
        <v>0</v>
      </c>
      <c r="N1436" s="83">
        <f ca="1">$K$1436-EFEITO!$M$1436*EFEITO!$Z$1436</f>
        <v>2912.6906624146068</v>
      </c>
      <c r="O1436" s="83">
        <f>$L$1436-EFEITO!$O$1436*EFEITO!$AA$1436</f>
        <v>823.98846393767235</v>
      </c>
      <c r="P1436" s="61"/>
      <c r="Q1436" s="61"/>
      <c r="R1436" s="61"/>
      <c r="S1436" s="61"/>
      <c r="T1436" s="61"/>
      <c r="U1436" s="61"/>
      <c r="V1436" s="61"/>
      <c r="W1436" s="61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</row>
    <row r="1437" spans="1:36" ht="11.25" customHeight="1" x14ac:dyDescent="0.2">
      <c r="A1437" s="57" t="s">
        <v>28</v>
      </c>
      <c r="B1437" s="57" t="s">
        <v>35</v>
      </c>
      <c r="C1437" s="57" t="s">
        <v>36</v>
      </c>
      <c r="D1437" s="57" t="s">
        <v>47</v>
      </c>
      <c r="E1437" s="57" t="s">
        <v>25</v>
      </c>
      <c r="F1437" s="57" t="s">
        <v>25</v>
      </c>
      <c r="G1437" s="57" t="s">
        <v>25</v>
      </c>
      <c r="H1437" s="57" t="s">
        <v>37</v>
      </c>
      <c r="I1437" s="82">
        <v>44197</v>
      </c>
      <c r="J1437" s="83">
        <f>EFEITO!$J$1437*EFEITO!$Y$1355</f>
        <v>0</v>
      </c>
      <c r="K1437" s="83">
        <f ca="1">EFEITO!$L$1437*EFEITO!$Z$1355</f>
        <v>15502.637218129454</v>
      </c>
      <c r="L1437" s="83">
        <f>EFEITO!$N$1437*EFEITO!$AA$1355</f>
        <v>4385.6336662128897</v>
      </c>
      <c r="M1437" s="83">
        <f>$J$1437-EFEITO!$K$1437*EFEITO!$Y$1437</f>
        <v>0</v>
      </c>
      <c r="N1437" s="83">
        <f ca="1">$K$1437-EFEITO!$M$1437*EFEITO!$Z$1437</f>
        <v>620.10548872517757</v>
      </c>
      <c r="O1437" s="83">
        <f>$L$1437-EFEITO!$O$1437*EFEITO!$AA$1437</f>
        <v>175.4253466485161</v>
      </c>
      <c r="P1437" s="61"/>
      <c r="Q1437" s="61"/>
      <c r="R1437" s="61"/>
      <c r="S1437" s="61"/>
      <c r="T1437" s="61"/>
      <c r="U1437" s="61"/>
      <c r="V1437" s="61"/>
      <c r="W1437" s="61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</row>
    <row r="1438" spans="1:36" ht="11.25" customHeight="1" x14ac:dyDescent="0.2">
      <c r="A1438" s="57" t="s">
        <v>21</v>
      </c>
      <c r="B1438" s="57" t="s">
        <v>35</v>
      </c>
      <c r="C1438" s="57" t="s">
        <v>36</v>
      </c>
      <c r="D1438" s="57" t="s">
        <v>47</v>
      </c>
      <c r="E1438" s="57" t="s">
        <v>25</v>
      </c>
      <c r="F1438" s="57" t="s">
        <v>25</v>
      </c>
      <c r="G1438" s="57" t="s">
        <v>25</v>
      </c>
      <c r="H1438" s="57" t="s">
        <v>37</v>
      </c>
      <c r="I1438" s="82">
        <v>44228</v>
      </c>
      <c r="J1438" s="83">
        <f>EFEITO!$J$1438*EFEITO!$Y$1355</f>
        <v>0</v>
      </c>
      <c r="K1438" s="83">
        <f ca="1">EFEITO!$L$1438*EFEITO!$Z$1355</f>
        <v>65177.564369684638</v>
      </c>
      <c r="L1438" s="83">
        <f>EFEITO!$N$1438*EFEITO!$AA$1355</f>
        <v>18438.470600806373</v>
      </c>
      <c r="M1438" s="83">
        <f>$J$1438-EFEITO!$K$1438*EFEITO!$Y$1438</f>
        <v>0</v>
      </c>
      <c r="N1438" s="83">
        <f ca="1">$K$1438-EFEITO!$M$1438*EFEITO!$Z$1438</f>
        <v>2607.1025747873864</v>
      </c>
      <c r="O1438" s="83">
        <f>$L$1438-EFEITO!$O$1438*EFEITO!$AA$1438</f>
        <v>737.53882403225725</v>
      </c>
      <c r="P1438" s="61"/>
      <c r="Q1438" s="61"/>
      <c r="R1438" s="61"/>
      <c r="S1438" s="61"/>
      <c r="T1438" s="61"/>
      <c r="U1438" s="61"/>
      <c r="V1438" s="61"/>
      <c r="W1438" s="61"/>
      <c r="X1438" s="6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</row>
    <row r="1439" spans="1:36" ht="11.25" customHeight="1" x14ac:dyDescent="0.2">
      <c r="A1439" s="57" t="s">
        <v>28</v>
      </c>
      <c r="B1439" s="57" t="s">
        <v>35</v>
      </c>
      <c r="C1439" s="57" t="s">
        <v>36</v>
      </c>
      <c r="D1439" s="57" t="s">
        <v>47</v>
      </c>
      <c r="E1439" s="57" t="s">
        <v>25</v>
      </c>
      <c r="F1439" s="57" t="s">
        <v>25</v>
      </c>
      <c r="G1439" s="57" t="s">
        <v>25</v>
      </c>
      <c r="H1439" s="57" t="s">
        <v>37</v>
      </c>
      <c r="I1439" s="82">
        <v>44228</v>
      </c>
      <c r="J1439" s="83">
        <f>EFEITO!$J$1439*EFEITO!$Y$1355</f>
        <v>0</v>
      </c>
      <c r="K1439" s="83">
        <f ca="1">EFEITO!$L$1439*EFEITO!$Z$1355</f>
        <v>15504.243209760876</v>
      </c>
      <c r="L1439" s="83">
        <f>EFEITO!$N$1439*EFEITO!$AA$1355</f>
        <v>4386.087994780818</v>
      </c>
      <c r="M1439" s="83">
        <f>$J$1439-EFEITO!$K$1439*EFEITO!$Y$1439</f>
        <v>0</v>
      </c>
      <c r="N1439" s="83">
        <f ca="1">$K$1439-EFEITO!$M$1439*EFEITO!$Z$1439</f>
        <v>620.1697283904341</v>
      </c>
      <c r="O1439" s="83">
        <f>$L$1439-EFEITO!$O$1439*EFEITO!$AA$1439</f>
        <v>175.44351979123348</v>
      </c>
      <c r="P1439" s="61"/>
      <c r="Q1439" s="61"/>
      <c r="R1439" s="61"/>
      <c r="S1439" s="61"/>
      <c r="T1439" s="61"/>
      <c r="U1439" s="61"/>
      <c r="V1439" s="61"/>
      <c r="W1439" s="61"/>
      <c r="X1439" s="6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</row>
    <row r="1440" spans="1:36" ht="11.25" customHeight="1" x14ac:dyDescent="0.2">
      <c r="A1440" s="57" t="s">
        <v>21</v>
      </c>
      <c r="B1440" s="57" t="s">
        <v>35</v>
      </c>
      <c r="C1440" s="57" t="s">
        <v>36</v>
      </c>
      <c r="D1440" s="57" t="s">
        <v>47</v>
      </c>
      <c r="E1440" s="57" t="s">
        <v>25</v>
      </c>
      <c r="F1440" s="57" t="s">
        <v>25</v>
      </c>
      <c r="G1440" s="57" t="s">
        <v>25</v>
      </c>
      <c r="H1440" s="57" t="s">
        <v>37</v>
      </c>
      <c r="I1440" s="82">
        <v>44256</v>
      </c>
      <c r="J1440" s="83">
        <f>EFEITO!$J$1440*EFEITO!$Y$1355</f>
        <v>0</v>
      </c>
      <c r="K1440" s="83">
        <f ca="1">EFEITO!$L$1440*EFEITO!$Z$1355</f>
        <v>93764.215409019991</v>
      </c>
      <c r="L1440" s="83">
        <f>EFEITO!$N$1440*EFEITO!$AA$1355</f>
        <v>26525.519109931975</v>
      </c>
      <c r="M1440" s="83">
        <f>$J$1440-EFEITO!$K$1440*EFEITO!$Y$1440</f>
        <v>0</v>
      </c>
      <c r="N1440" s="83">
        <f ca="1">$K$1440-EFEITO!$M$1440*EFEITO!$Z$1440</f>
        <v>3750.5686163607897</v>
      </c>
      <c r="O1440" s="83">
        <f>$L$1440-EFEITO!$O$1440*EFEITO!$AA$1440</f>
        <v>1061.0207643972826</v>
      </c>
      <c r="P1440" s="61"/>
      <c r="Q1440" s="61"/>
      <c r="R1440" s="61"/>
      <c r="S1440" s="61"/>
      <c r="T1440" s="61"/>
      <c r="U1440" s="61"/>
      <c r="V1440" s="61"/>
      <c r="W1440" s="61"/>
      <c r="X1440" s="6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</row>
    <row r="1441" spans="1:36" ht="11.25" customHeight="1" x14ac:dyDescent="0.2">
      <c r="A1441" s="57" t="s">
        <v>28</v>
      </c>
      <c r="B1441" s="57" t="s">
        <v>35</v>
      </c>
      <c r="C1441" s="57" t="s">
        <v>36</v>
      </c>
      <c r="D1441" s="57" t="s">
        <v>47</v>
      </c>
      <c r="E1441" s="57" t="s">
        <v>25</v>
      </c>
      <c r="F1441" s="57" t="s">
        <v>25</v>
      </c>
      <c r="G1441" s="57" t="s">
        <v>25</v>
      </c>
      <c r="H1441" s="57" t="s">
        <v>37</v>
      </c>
      <c r="I1441" s="82">
        <v>44256</v>
      </c>
      <c r="J1441" s="83">
        <f>EFEITO!$J$1441*EFEITO!$Y$1355</f>
        <v>0</v>
      </c>
      <c r="K1441" s="83">
        <f ca="1">EFEITO!$L$1441*EFEITO!$Z$1355</f>
        <v>15064.201502750884</v>
      </c>
      <c r="L1441" s="83">
        <f>EFEITO!$N$1441*EFEITO!$AA$1355</f>
        <v>4261.6019671684353</v>
      </c>
      <c r="M1441" s="83">
        <f>$J$1441-EFEITO!$K$1441*EFEITO!$Y$1441</f>
        <v>0</v>
      </c>
      <c r="N1441" s="83">
        <f ca="1">$K$1441-EFEITO!$M$1441*EFEITO!$Z$1441</f>
        <v>602.56806011003573</v>
      </c>
      <c r="O1441" s="83">
        <f>$L$1441-EFEITO!$O$1441*EFEITO!$AA$1441</f>
        <v>170.46407868673759</v>
      </c>
      <c r="P1441" s="61"/>
      <c r="Q1441" s="61"/>
      <c r="R1441" s="61"/>
      <c r="S1441" s="61"/>
      <c r="T1441" s="61"/>
      <c r="U1441" s="61"/>
      <c r="V1441" s="61"/>
      <c r="W1441" s="61"/>
      <c r="X1441" s="6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</row>
    <row r="1442" spans="1:36" ht="11.25" customHeight="1" x14ac:dyDescent="0.2">
      <c r="A1442" s="57" t="s">
        <v>21</v>
      </c>
      <c r="B1442" s="57" t="s">
        <v>35</v>
      </c>
      <c r="C1442" s="57" t="s">
        <v>36</v>
      </c>
      <c r="D1442" s="57" t="s">
        <v>47</v>
      </c>
      <c r="E1442" s="57" t="s">
        <v>25</v>
      </c>
      <c r="F1442" s="57" t="s">
        <v>25</v>
      </c>
      <c r="G1442" s="57" t="s">
        <v>25</v>
      </c>
      <c r="H1442" s="57" t="s">
        <v>37</v>
      </c>
      <c r="I1442" s="82">
        <v>44287</v>
      </c>
      <c r="J1442" s="83">
        <f>EFEITO!$J$1442*EFEITO!$Y$1355</f>
        <v>0</v>
      </c>
      <c r="K1442" s="83">
        <f ca="1">EFEITO!$L$1442*EFEITO!$Z$1355</f>
        <v>76305.480383816917</v>
      </c>
      <c r="L1442" s="83">
        <f>EFEITO!$N$1442*EFEITO!$AA$1355</f>
        <v>21586.513247982286</v>
      </c>
      <c r="M1442" s="83">
        <f>$J$1442-EFEITO!$K$1442*EFEITO!$Y$1442</f>
        <v>0</v>
      </c>
      <c r="N1442" s="83">
        <f ca="1">$K$1442-EFEITO!$M$1442*EFEITO!$Z$1442</f>
        <v>3052.2192153526848</v>
      </c>
      <c r="O1442" s="83">
        <f>$L$1442-EFEITO!$O$1442*EFEITO!$AA$1442</f>
        <v>863.46052991929173</v>
      </c>
      <c r="P1442" s="61"/>
      <c r="Q1442" s="61"/>
      <c r="R1442" s="61"/>
      <c r="S1442" s="61"/>
      <c r="T1442" s="61"/>
      <c r="U1442" s="61"/>
      <c r="V1442" s="61"/>
      <c r="W1442" s="61"/>
      <c r="X1442" s="6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</row>
    <row r="1443" spans="1:36" ht="11.25" customHeight="1" x14ac:dyDescent="0.2">
      <c r="A1443" s="57" t="s">
        <v>28</v>
      </c>
      <c r="B1443" s="57" t="s">
        <v>35</v>
      </c>
      <c r="C1443" s="57" t="s">
        <v>36</v>
      </c>
      <c r="D1443" s="57" t="s">
        <v>47</v>
      </c>
      <c r="E1443" s="57" t="s">
        <v>25</v>
      </c>
      <c r="F1443" s="57" t="s">
        <v>25</v>
      </c>
      <c r="G1443" s="57" t="s">
        <v>25</v>
      </c>
      <c r="H1443" s="57" t="s">
        <v>37</v>
      </c>
      <c r="I1443" s="82">
        <v>44287</v>
      </c>
      <c r="J1443" s="83">
        <f>EFEITO!$J$1443*EFEITO!$Y$1355</f>
        <v>0</v>
      </c>
      <c r="K1443" s="83">
        <f ca="1">EFEITO!$L$1443*EFEITO!$Z$1355</f>
        <v>15263.344465047376</v>
      </c>
      <c r="L1443" s="83">
        <f>EFEITO!$N$1443*EFEITO!$AA$1355</f>
        <v>4317.9387095915572</v>
      </c>
      <c r="M1443" s="83">
        <f>$J$1443-EFEITO!$K$1443*EFEITO!$Y$1443</f>
        <v>0</v>
      </c>
      <c r="N1443" s="83">
        <f ca="1">$K$1443-EFEITO!$M$1443*EFEITO!$Z$1443</f>
        <v>610.53377860189539</v>
      </c>
      <c r="O1443" s="83">
        <f>$L$1443-EFEITO!$O$1443*EFEITO!$AA$1443</f>
        <v>172.71754838366269</v>
      </c>
      <c r="P1443" s="61"/>
      <c r="Q1443" s="61"/>
      <c r="R1443" s="61"/>
      <c r="S1443" s="61"/>
      <c r="T1443" s="61"/>
      <c r="U1443" s="61"/>
      <c r="V1443" s="61"/>
      <c r="W1443" s="61"/>
      <c r="X1443" s="6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</row>
    <row r="1444" spans="1:36" ht="11.25" customHeight="1" x14ac:dyDescent="0.2">
      <c r="A1444" s="57" t="s">
        <v>21</v>
      </c>
      <c r="B1444" s="57" t="s">
        <v>35</v>
      </c>
      <c r="C1444" s="57" t="s">
        <v>36</v>
      </c>
      <c r="D1444" s="57" t="s">
        <v>47</v>
      </c>
      <c r="E1444" s="57" t="s">
        <v>25</v>
      </c>
      <c r="F1444" s="57" t="s">
        <v>25</v>
      </c>
      <c r="G1444" s="57" t="s">
        <v>25</v>
      </c>
      <c r="H1444" s="57" t="s">
        <v>37</v>
      </c>
      <c r="I1444" s="82">
        <v>44317</v>
      </c>
      <c r="J1444" s="83">
        <f>EFEITO!$J$1444*EFEITO!$Y$1355</f>
        <v>0</v>
      </c>
      <c r="K1444" s="83">
        <f ca="1">EFEITO!$L$1444*EFEITO!$Z$1355</f>
        <v>75802.80500318142</v>
      </c>
      <c r="L1444" s="83">
        <f>EFEITO!$N$1444*EFEITO!$AA$1355</f>
        <v>21444.308406220698</v>
      </c>
      <c r="M1444" s="83">
        <f>$J$1444-EFEITO!$K$1444*EFEITO!$Y$1444</f>
        <v>0</v>
      </c>
      <c r="N1444" s="83">
        <f ca="1">$K$1444-EFEITO!$M$1444*EFEITO!$Z$1444</f>
        <v>3032.1122001272597</v>
      </c>
      <c r="O1444" s="83">
        <f>$L$1444-EFEITO!$O$1444*EFEITO!$AA$1444</f>
        <v>857.77233624882865</v>
      </c>
      <c r="P1444" s="61"/>
      <c r="Q1444" s="61"/>
      <c r="R1444" s="61"/>
      <c r="S1444" s="61"/>
      <c r="T1444" s="61"/>
      <c r="U1444" s="61"/>
      <c r="V1444" s="61"/>
      <c r="W1444" s="61"/>
      <c r="X1444" s="6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</row>
    <row r="1445" spans="1:36" ht="11.25" customHeight="1" x14ac:dyDescent="0.2">
      <c r="A1445" s="57" t="s">
        <v>28</v>
      </c>
      <c r="B1445" s="57" t="s">
        <v>35</v>
      </c>
      <c r="C1445" s="57" t="s">
        <v>36</v>
      </c>
      <c r="D1445" s="57" t="s">
        <v>47</v>
      </c>
      <c r="E1445" s="57" t="s">
        <v>25</v>
      </c>
      <c r="F1445" s="57" t="s">
        <v>25</v>
      </c>
      <c r="G1445" s="57" t="s">
        <v>25</v>
      </c>
      <c r="H1445" s="57" t="s">
        <v>37</v>
      </c>
      <c r="I1445" s="82">
        <v>44317</v>
      </c>
      <c r="J1445" s="83">
        <f>EFEITO!$J$1445*EFEITO!$Y$1355</f>
        <v>0</v>
      </c>
      <c r="K1445" s="83">
        <f ca="1">EFEITO!$L$1445*EFEITO!$Z$1355</f>
        <v>15014.415762176761</v>
      </c>
      <c r="L1445" s="83">
        <f>EFEITO!$N$1445*EFEITO!$AA$1355</f>
        <v>4247.5177815626548</v>
      </c>
      <c r="M1445" s="83">
        <f>$J$1445-EFEITO!$K$1445*EFEITO!$Y$1445</f>
        <v>0</v>
      </c>
      <c r="N1445" s="83">
        <f ca="1">$K$1445-EFEITO!$M$1445*EFEITO!$Z$1445</f>
        <v>600.57663048707218</v>
      </c>
      <c r="O1445" s="83">
        <f>$L$1445-EFEITO!$O$1445*EFEITO!$AA$1445</f>
        <v>169.90071126250677</v>
      </c>
      <c r="P1445" s="61"/>
      <c r="Q1445" s="61"/>
      <c r="R1445" s="61"/>
      <c r="S1445" s="61"/>
      <c r="T1445" s="61"/>
      <c r="U1445" s="61"/>
      <c r="V1445" s="61"/>
      <c r="W1445" s="61"/>
      <c r="X1445" s="6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</row>
    <row r="1446" spans="1:36" ht="11.25" customHeight="1" x14ac:dyDescent="0.2">
      <c r="A1446" s="57" t="s">
        <v>21</v>
      </c>
      <c r="B1446" s="57" t="s">
        <v>35</v>
      </c>
      <c r="C1446" s="57" t="s">
        <v>36</v>
      </c>
      <c r="D1446" s="57" t="s">
        <v>47</v>
      </c>
      <c r="E1446" s="57" t="s">
        <v>25</v>
      </c>
      <c r="F1446" s="57" t="s">
        <v>25</v>
      </c>
      <c r="G1446" s="57" t="s">
        <v>25</v>
      </c>
      <c r="H1446" s="57" t="s">
        <v>37</v>
      </c>
      <c r="I1446" s="82">
        <v>44348</v>
      </c>
      <c r="J1446" s="83">
        <f>EFEITO!$J$1446*EFEITO!$Y$1355</f>
        <v>0</v>
      </c>
      <c r="K1446" s="83">
        <f ca="1">EFEITO!$L$1446*EFEITO!$Z$1355</f>
        <v>95853.61052150176</v>
      </c>
      <c r="L1446" s="83">
        <f>EFEITO!$N$1446*EFEITO!$AA$1355</f>
        <v>27116.600576806828</v>
      </c>
      <c r="M1446" s="83">
        <f>$J$1446-EFEITO!$K$1446*EFEITO!$Y$1446</f>
        <v>0</v>
      </c>
      <c r="N1446" s="83">
        <f ca="1">$K$1446-EFEITO!$M$1446*EFEITO!$Z$1446</f>
        <v>3834.1444208600733</v>
      </c>
      <c r="O1446" s="83">
        <f>$L$1446-EFEITO!$O$1446*EFEITO!$AA$1446</f>
        <v>1084.6640230722733</v>
      </c>
      <c r="P1446" s="61"/>
      <c r="Q1446" s="61"/>
      <c r="R1446" s="61"/>
      <c r="S1446" s="61"/>
      <c r="T1446" s="61"/>
      <c r="U1446" s="61"/>
      <c r="V1446" s="61"/>
      <c r="W1446" s="61"/>
      <c r="X1446" s="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</row>
    <row r="1447" spans="1:36" ht="11.25" customHeight="1" x14ac:dyDescent="0.2">
      <c r="A1447" s="57" t="s">
        <v>28</v>
      </c>
      <c r="B1447" s="57" t="s">
        <v>35</v>
      </c>
      <c r="C1447" s="57" t="s">
        <v>36</v>
      </c>
      <c r="D1447" s="57" t="s">
        <v>47</v>
      </c>
      <c r="E1447" s="57" t="s">
        <v>25</v>
      </c>
      <c r="F1447" s="57" t="s">
        <v>25</v>
      </c>
      <c r="G1447" s="57" t="s">
        <v>25</v>
      </c>
      <c r="H1447" s="57" t="s">
        <v>37</v>
      </c>
      <c r="I1447" s="82">
        <v>44348</v>
      </c>
      <c r="J1447" s="83">
        <f>EFEITO!$J$1447*EFEITO!$Y$1355</f>
        <v>0</v>
      </c>
      <c r="K1447" s="83">
        <f ca="1">EFEITO!$L$1447*EFEITO!$Z$1355</f>
        <v>14423.410841812973</v>
      </c>
      <c r="L1447" s="83">
        <f>EFEITO!$N$1447*EFEITO!$AA$1355</f>
        <v>4080.3248685650015</v>
      </c>
      <c r="M1447" s="83">
        <f>$J$1447-EFEITO!$K$1447*EFEITO!$Y$1447</f>
        <v>0</v>
      </c>
      <c r="N1447" s="83">
        <f ca="1">$K$1447-EFEITO!$M$1447*EFEITO!$Z$1447</f>
        <v>576.93643367251934</v>
      </c>
      <c r="O1447" s="83">
        <f>$L$1447-EFEITO!$O$1447*EFEITO!$AA$1447</f>
        <v>163.21299474260013</v>
      </c>
      <c r="P1447" s="61"/>
      <c r="Q1447" s="61"/>
      <c r="R1447" s="61"/>
      <c r="S1447" s="61"/>
      <c r="T1447" s="61"/>
      <c r="U1447" s="61"/>
      <c r="V1447" s="61"/>
      <c r="W1447" s="61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</row>
    <row r="1448" spans="1:36" ht="11.25" customHeight="1" x14ac:dyDescent="0.2">
      <c r="A1448" s="57" t="s">
        <v>21</v>
      </c>
      <c r="B1448" s="57" t="s">
        <v>35</v>
      </c>
      <c r="C1448" s="57" t="s">
        <v>36</v>
      </c>
      <c r="D1448" s="57" t="s">
        <v>47</v>
      </c>
      <c r="E1448" s="57" t="s">
        <v>25</v>
      </c>
      <c r="F1448" s="57" t="s">
        <v>25</v>
      </c>
      <c r="G1448" s="57" t="s">
        <v>25</v>
      </c>
      <c r="H1448" s="57" t="s">
        <v>37</v>
      </c>
      <c r="I1448" s="82">
        <v>44378</v>
      </c>
      <c r="J1448" s="83">
        <f>EFEITO!$J$1448*EFEITO!$Y$1355</f>
        <v>0</v>
      </c>
      <c r="K1448" s="83">
        <f ca="1">EFEITO!$L$1448*EFEITO!$Z$1355</f>
        <v>67960.747866941267</v>
      </c>
      <c r="L1448" s="83">
        <f>EFEITO!$N$1448*EFEITO!$AA$1355</f>
        <v>19225.822009026298</v>
      </c>
      <c r="M1448" s="83">
        <f>$J$1448-EFEITO!$K$1448*EFEITO!$Y$1448</f>
        <v>0</v>
      </c>
      <c r="N1448" s="83">
        <f ca="1">$K$1448-EFEITO!$M$1448*EFEITO!$Z$1448</f>
        <v>2718.4299146776466</v>
      </c>
      <c r="O1448" s="83">
        <f>$L$1448-EFEITO!$O$1448*EFEITO!$AA$1448</f>
        <v>769.03288036105369</v>
      </c>
      <c r="P1448" s="61"/>
      <c r="Q1448" s="61"/>
      <c r="R1448" s="61"/>
      <c r="S1448" s="61"/>
      <c r="T1448" s="61"/>
      <c r="U1448" s="61"/>
      <c r="V1448" s="61"/>
      <c r="W1448" s="61"/>
      <c r="X1448" s="6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</row>
    <row r="1449" spans="1:36" ht="11.25" customHeight="1" x14ac:dyDescent="0.2">
      <c r="A1449" s="57" t="s">
        <v>28</v>
      </c>
      <c r="B1449" s="57" t="s">
        <v>35</v>
      </c>
      <c r="C1449" s="57" t="s">
        <v>36</v>
      </c>
      <c r="D1449" s="57" t="s">
        <v>47</v>
      </c>
      <c r="E1449" s="57" t="s">
        <v>25</v>
      </c>
      <c r="F1449" s="57" t="s">
        <v>25</v>
      </c>
      <c r="G1449" s="57" t="s">
        <v>25</v>
      </c>
      <c r="H1449" s="57" t="s">
        <v>37</v>
      </c>
      <c r="I1449" s="82">
        <v>44378</v>
      </c>
      <c r="J1449" s="83">
        <f>EFEITO!$J$1449*EFEITO!$Y$1355</f>
        <v>0</v>
      </c>
      <c r="K1449" s="83">
        <f ca="1">EFEITO!$L$1449*EFEITO!$Z$1355</f>
        <v>11299.757118694584</v>
      </c>
      <c r="L1449" s="83">
        <f>EFEITO!$N$1449*EFEITO!$AA$1355</f>
        <v>3196.6558039442543</v>
      </c>
      <c r="M1449" s="83">
        <f>$J$1449-EFEITO!$K$1449*EFEITO!$Y$1449</f>
        <v>0</v>
      </c>
      <c r="N1449" s="83">
        <f ca="1">$K$1449-EFEITO!$M$1449*EFEITO!$Z$1449</f>
        <v>451.99028474778243</v>
      </c>
      <c r="O1449" s="83">
        <f>$L$1449-EFEITO!$O$1449*EFEITO!$AA$1449</f>
        <v>127.86623215777036</v>
      </c>
      <c r="P1449" s="61"/>
      <c r="Q1449" s="61"/>
      <c r="R1449" s="61"/>
      <c r="S1449" s="61"/>
      <c r="T1449" s="61"/>
      <c r="U1449" s="61"/>
      <c r="V1449" s="61"/>
      <c r="W1449" s="61"/>
      <c r="X1449" s="6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</row>
    <row r="1450" spans="1:36" ht="11.25" customHeight="1" x14ac:dyDescent="0.2">
      <c r="A1450" s="57" t="s">
        <v>30</v>
      </c>
      <c r="B1450" s="57" t="s">
        <v>35</v>
      </c>
      <c r="C1450" s="57" t="s">
        <v>36</v>
      </c>
      <c r="D1450" s="57" t="s">
        <v>47</v>
      </c>
      <c r="E1450" s="57" t="s">
        <v>25</v>
      </c>
      <c r="F1450" s="57" t="s">
        <v>25</v>
      </c>
      <c r="G1450" s="57" t="s">
        <v>25</v>
      </c>
      <c r="H1450" s="57" t="s">
        <v>37</v>
      </c>
      <c r="I1450" s="82">
        <v>44378</v>
      </c>
      <c r="J1450" s="83">
        <f>EFEITO!$J$1450*EFEITO!$Y$1355</f>
        <v>0</v>
      </c>
      <c r="K1450" s="83">
        <f ca="1">EFEITO!$L$1450*EFEITO!$Z$1355</f>
        <v>3203.9533046895535</v>
      </c>
      <c r="L1450" s="83">
        <f>EFEITO!$N$1450*EFEITO!$AA$1355</f>
        <v>906.38549301716716</v>
      </c>
      <c r="M1450" s="83">
        <f>$J$1450-EFEITO!$K$1450*EFEITO!$Y$1450</f>
        <v>0</v>
      </c>
      <c r="N1450" s="83">
        <f ca="1">$K$1450-EFEITO!$M$1450*EFEITO!$Z$1450</f>
        <v>128.15813218758194</v>
      </c>
      <c r="O1450" s="83">
        <f>$L$1450-EFEITO!$O$1450*EFEITO!$AA$1450</f>
        <v>36.255419720686746</v>
      </c>
      <c r="P1450" s="61"/>
      <c r="Q1450" s="61"/>
      <c r="R1450" s="61"/>
      <c r="S1450" s="61"/>
      <c r="T1450" s="61"/>
      <c r="U1450" s="61"/>
      <c r="V1450" s="61"/>
      <c r="W1450" s="61"/>
      <c r="X1450" s="6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</row>
    <row r="1451" spans="1:36" ht="11.25" customHeight="1" x14ac:dyDescent="0.2">
      <c r="A1451" s="57" t="s">
        <v>21</v>
      </c>
      <c r="B1451" s="57" t="s">
        <v>35</v>
      </c>
      <c r="C1451" s="57" t="s">
        <v>36</v>
      </c>
      <c r="D1451" s="57" t="s">
        <v>47</v>
      </c>
      <c r="E1451" s="57" t="s">
        <v>25</v>
      </c>
      <c r="F1451" s="57" t="s">
        <v>25</v>
      </c>
      <c r="G1451" s="57" t="s">
        <v>25</v>
      </c>
      <c r="H1451" s="57" t="s">
        <v>37</v>
      </c>
      <c r="I1451" s="82">
        <v>44409</v>
      </c>
      <c r="J1451" s="83">
        <f>EFEITO!$J$1451*EFEITO!$Y$1355</f>
        <v>0</v>
      </c>
      <c r="K1451" s="83">
        <f ca="1">EFEITO!$L$1451*EFEITO!$Z$1355</f>
        <v>73188.250627224232</v>
      </c>
      <c r="L1451" s="83">
        <f>EFEITO!$N$1451*EFEITO!$AA$1355</f>
        <v>20704.661497633257</v>
      </c>
      <c r="M1451" s="83">
        <f>$J$1451-EFEITO!$K$1451*EFEITO!$Y$1451</f>
        <v>0</v>
      </c>
      <c r="N1451" s="83">
        <f ca="1">$K$1451-EFEITO!$M$1451*EFEITO!$Z$1451</f>
        <v>2927.5300250889704</v>
      </c>
      <c r="O1451" s="83">
        <f>$L$1451-EFEITO!$O$1451*EFEITO!$AA$1451</f>
        <v>828.18645990533332</v>
      </c>
      <c r="P1451" s="61"/>
      <c r="Q1451" s="61"/>
      <c r="R1451" s="61"/>
      <c r="S1451" s="61"/>
      <c r="T1451" s="61"/>
      <c r="U1451" s="61"/>
      <c r="V1451" s="61"/>
      <c r="W1451" s="61"/>
      <c r="X1451" s="6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</row>
    <row r="1452" spans="1:36" ht="11.25" customHeight="1" x14ac:dyDescent="0.2">
      <c r="A1452" s="57" t="s">
        <v>28</v>
      </c>
      <c r="B1452" s="57" t="s">
        <v>35</v>
      </c>
      <c r="C1452" s="57" t="s">
        <v>36</v>
      </c>
      <c r="D1452" s="57" t="s">
        <v>47</v>
      </c>
      <c r="E1452" s="57" t="s">
        <v>25</v>
      </c>
      <c r="F1452" s="57" t="s">
        <v>25</v>
      </c>
      <c r="G1452" s="57" t="s">
        <v>25</v>
      </c>
      <c r="H1452" s="57" t="s">
        <v>37</v>
      </c>
      <c r="I1452" s="82">
        <v>44409</v>
      </c>
      <c r="J1452" s="83">
        <f>EFEITO!$J$1452*EFEITO!$Y$1355</f>
        <v>0</v>
      </c>
      <c r="K1452" s="83">
        <f ca="1">EFEITO!$L$1452*EFEITO!$Z$1355</f>
        <v>13316.882607762294</v>
      </c>
      <c r="L1452" s="83">
        <f>EFEITO!$N$1452*EFEITO!$AA$1355</f>
        <v>3767.292485262331</v>
      </c>
      <c r="M1452" s="83">
        <f>$J$1452-EFEITO!$K$1452*EFEITO!$Y$1452</f>
        <v>0</v>
      </c>
      <c r="N1452" s="83">
        <f ca="1">$K$1452-EFEITO!$M$1452*EFEITO!$Z$1452</f>
        <v>532.67530431049272</v>
      </c>
      <c r="O1452" s="83">
        <f>$L$1452-EFEITO!$O$1452*EFEITO!$AA$1452</f>
        <v>150.69169941049358</v>
      </c>
      <c r="P1452" s="61"/>
      <c r="Q1452" s="61"/>
      <c r="R1452" s="61"/>
      <c r="S1452" s="61"/>
      <c r="T1452" s="61"/>
      <c r="U1452" s="61"/>
      <c r="V1452" s="61"/>
      <c r="W1452" s="61"/>
      <c r="X1452" s="6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</row>
    <row r="1453" spans="1:36" ht="11.25" customHeight="1" x14ac:dyDescent="0.2">
      <c r="A1453" s="57" t="s">
        <v>30</v>
      </c>
      <c r="B1453" s="57" t="s">
        <v>35</v>
      </c>
      <c r="C1453" s="57" t="s">
        <v>36</v>
      </c>
      <c r="D1453" s="57" t="s">
        <v>47</v>
      </c>
      <c r="E1453" s="57" t="s">
        <v>25</v>
      </c>
      <c r="F1453" s="57" t="s">
        <v>25</v>
      </c>
      <c r="G1453" s="57" t="s">
        <v>25</v>
      </c>
      <c r="H1453" s="57" t="s">
        <v>37</v>
      </c>
      <c r="I1453" s="82">
        <v>44409</v>
      </c>
      <c r="J1453" s="83">
        <f>EFEITO!$J$1453*EFEITO!$Y$1355</f>
        <v>0</v>
      </c>
      <c r="K1453" s="83">
        <f ca="1">EFEITO!$L$1453*EFEITO!$Z$1355</f>
        <v>2094.2130873760289</v>
      </c>
      <c r="L1453" s="83">
        <f>EFEITO!$N$1453*EFEITO!$AA$1355</f>
        <v>592.44445257863958</v>
      </c>
      <c r="M1453" s="83">
        <f>$J$1453-EFEITO!$K$1453*EFEITO!$Y$1453</f>
        <v>0</v>
      </c>
      <c r="N1453" s="83">
        <f ca="1">$K$1453-EFEITO!$M$1453*EFEITO!$Z$1453</f>
        <v>83.768523495041109</v>
      </c>
      <c r="O1453" s="83">
        <f>$L$1453-EFEITO!$O$1453*EFEITO!$AA$1453</f>
        <v>23.697778103145652</v>
      </c>
      <c r="P1453" s="61"/>
      <c r="Q1453" s="61"/>
      <c r="R1453" s="61"/>
      <c r="S1453" s="61"/>
      <c r="T1453" s="61"/>
      <c r="U1453" s="61"/>
      <c r="V1453" s="61"/>
      <c r="W1453" s="61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</row>
    <row r="1454" spans="1:36" ht="11.25" customHeight="1" x14ac:dyDescent="0.2">
      <c r="A1454" s="57" t="s">
        <v>21</v>
      </c>
      <c r="B1454" s="57" t="s">
        <v>35</v>
      </c>
      <c r="C1454" s="57" t="s">
        <v>36</v>
      </c>
      <c r="D1454" s="57" t="s">
        <v>47</v>
      </c>
      <c r="E1454" s="57" t="s">
        <v>25</v>
      </c>
      <c r="F1454" s="57" t="s">
        <v>25</v>
      </c>
      <c r="G1454" s="57" t="s">
        <v>25</v>
      </c>
      <c r="H1454" s="57" t="s">
        <v>37</v>
      </c>
      <c r="I1454" s="82">
        <v>44440</v>
      </c>
      <c r="J1454" s="83">
        <f>EFEITO!$J$1454*EFEITO!$Y$1355</f>
        <v>0</v>
      </c>
      <c r="K1454" s="83">
        <f ca="1">EFEITO!$L$1454*EFEITO!$Z$1355</f>
        <v>70395.431180179046</v>
      </c>
      <c r="L1454" s="83">
        <f>EFEITO!$N$1454*EFEITO!$AA$1355</f>
        <v>19914.584118005758</v>
      </c>
      <c r="M1454" s="83">
        <f>$J$1454-EFEITO!$K$1454*EFEITO!$Y$1454</f>
        <v>0</v>
      </c>
      <c r="N1454" s="83">
        <f ca="1">$K$1454-EFEITO!$M$1454*EFEITO!$Z$1454</f>
        <v>2815.8172472071601</v>
      </c>
      <c r="O1454" s="83">
        <f>$L$1454-EFEITO!$O$1454*EFEITO!$AA$1454</f>
        <v>796.58336472023075</v>
      </c>
      <c r="P1454" s="61"/>
      <c r="Q1454" s="61"/>
      <c r="R1454" s="61"/>
      <c r="S1454" s="61"/>
      <c r="T1454" s="61"/>
      <c r="U1454" s="61"/>
      <c r="V1454" s="61"/>
      <c r="W1454" s="61"/>
      <c r="X1454" s="6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</row>
    <row r="1455" spans="1:36" ht="11.25" customHeight="1" x14ac:dyDescent="0.2">
      <c r="A1455" s="57" t="s">
        <v>28</v>
      </c>
      <c r="B1455" s="57" t="s">
        <v>35</v>
      </c>
      <c r="C1455" s="57" t="s">
        <v>36</v>
      </c>
      <c r="D1455" s="57" t="s">
        <v>47</v>
      </c>
      <c r="E1455" s="57" t="s">
        <v>25</v>
      </c>
      <c r="F1455" s="57" t="s">
        <v>25</v>
      </c>
      <c r="G1455" s="57" t="s">
        <v>25</v>
      </c>
      <c r="H1455" s="57" t="s">
        <v>37</v>
      </c>
      <c r="I1455" s="82">
        <v>44440</v>
      </c>
      <c r="J1455" s="83">
        <f>EFEITO!$J$1455*EFEITO!$Y$1355</f>
        <v>0</v>
      </c>
      <c r="K1455" s="83">
        <f ca="1">EFEITO!$L$1455*EFEITO!$Z$1355</f>
        <v>21380.56658913886</v>
      </c>
      <c r="L1455" s="83">
        <f>EFEITO!$N$1455*EFEITO!$AA$1355</f>
        <v>6048.4762248308507</v>
      </c>
      <c r="M1455" s="83">
        <f>$J$1455-EFEITO!$K$1455*EFEITO!$Y$1455</f>
        <v>0</v>
      </c>
      <c r="N1455" s="83">
        <f ca="1">$K$1455-EFEITO!$M$1455*EFEITO!$Z$1455</f>
        <v>855.22266356555338</v>
      </c>
      <c r="O1455" s="83">
        <f>$L$1455-EFEITO!$O$1455*EFEITO!$AA$1455</f>
        <v>241.93904899323479</v>
      </c>
      <c r="P1455" s="61"/>
      <c r="Q1455" s="61"/>
      <c r="R1455" s="61"/>
      <c r="S1455" s="61"/>
      <c r="T1455" s="61"/>
      <c r="U1455" s="61"/>
      <c r="V1455" s="61"/>
      <c r="W1455" s="61"/>
      <c r="X1455" s="6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</row>
    <row r="1456" spans="1:36" ht="11.25" customHeight="1" x14ac:dyDescent="0.2">
      <c r="A1456" s="57" t="s">
        <v>30</v>
      </c>
      <c r="B1456" s="57" t="s">
        <v>35</v>
      </c>
      <c r="C1456" s="57" t="s">
        <v>36</v>
      </c>
      <c r="D1456" s="57" t="s">
        <v>47</v>
      </c>
      <c r="E1456" s="57" t="s">
        <v>25</v>
      </c>
      <c r="F1456" s="57" t="s">
        <v>25</v>
      </c>
      <c r="G1456" s="57" t="s">
        <v>25</v>
      </c>
      <c r="H1456" s="57" t="s">
        <v>37</v>
      </c>
      <c r="I1456" s="82">
        <v>44440</v>
      </c>
      <c r="J1456" s="83">
        <f>EFEITO!$J$1456*EFEITO!$Y$1355</f>
        <v>0</v>
      </c>
      <c r="K1456" s="83">
        <f ca="1">EFEITO!$L$1456*EFEITO!$Z$1355</f>
        <v>5723.7541743927668</v>
      </c>
      <c r="L1456" s="83">
        <f>EFEITO!$N$1456*EFEITO!$AA$1355</f>
        <v>1619.2270160968339</v>
      </c>
      <c r="M1456" s="83">
        <f>$J$1456-EFEITO!$K$1456*EFEITO!$Y$1456</f>
        <v>0</v>
      </c>
      <c r="N1456" s="83">
        <f ca="1">$K$1456-EFEITO!$M$1456*EFEITO!$Z$1456</f>
        <v>228.950166975711</v>
      </c>
      <c r="O1456" s="83">
        <f>$L$1456-EFEITO!$O$1456*EFEITO!$AA$1456</f>
        <v>64.769080643873394</v>
      </c>
      <c r="P1456" s="61"/>
      <c r="Q1456" s="61"/>
      <c r="R1456" s="61"/>
      <c r="S1456" s="61"/>
      <c r="T1456" s="61"/>
      <c r="U1456" s="61"/>
      <c r="V1456" s="61"/>
      <c r="W1456" s="61"/>
      <c r="X1456" s="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</row>
    <row r="1457" spans="1:36" ht="11.25" customHeight="1" x14ac:dyDescent="0.2">
      <c r="A1457" s="57" t="s">
        <v>59</v>
      </c>
      <c r="B1457" s="57" t="s">
        <v>35</v>
      </c>
      <c r="C1457" s="57" t="s">
        <v>36</v>
      </c>
      <c r="D1457" s="57" t="s">
        <v>47</v>
      </c>
      <c r="E1457" s="57" t="s">
        <v>25</v>
      </c>
      <c r="F1457" s="57" t="s">
        <v>25</v>
      </c>
      <c r="G1457" s="57" t="s">
        <v>25</v>
      </c>
      <c r="H1457" s="57" t="s">
        <v>37</v>
      </c>
      <c r="I1457" s="82">
        <v>44470</v>
      </c>
      <c r="J1457" s="83">
        <f>EFEITO!$J$1457*EFEITO!$Y$1355</f>
        <v>0</v>
      </c>
      <c r="K1457" s="83">
        <f ca="1">EFEITO!$L$1457*EFEITO!$Z$1355</f>
        <v>70395.431180179046</v>
      </c>
      <c r="L1457" s="83">
        <f>EFEITO!$N$1457*EFEITO!$AA$1355</f>
        <v>19914.584118005758</v>
      </c>
      <c r="M1457" s="83">
        <f>$J$1457-EFEITO!$K$1457*EFEITO!$Y$1457</f>
        <v>0</v>
      </c>
      <c r="N1457" s="83">
        <f ca="1">$K$1457-EFEITO!$M$1457*EFEITO!$Z$1457</f>
        <v>2815.8172472071601</v>
      </c>
      <c r="O1457" s="83">
        <f>$L$1457-EFEITO!$O$1457*EFEITO!$AA$1457</f>
        <v>796.58336472023075</v>
      </c>
      <c r="P1457" s="61"/>
      <c r="Q1457" s="61"/>
      <c r="R1457" s="61"/>
      <c r="S1457" s="61"/>
      <c r="T1457" s="61"/>
      <c r="U1457" s="61"/>
      <c r="V1457" s="61"/>
      <c r="W1457" s="61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</row>
    <row r="1458" spans="1:36" ht="11.25" customHeight="1" x14ac:dyDescent="0.2">
      <c r="A1458" s="57" t="s">
        <v>59</v>
      </c>
      <c r="B1458" s="57" t="s">
        <v>35</v>
      </c>
      <c r="C1458" s="57" t="s">
        <v>36</v>
      </c>
      <c r="D1458" s="57" t="s">
        <v>47</v>
      </c>
      <c r="E1458" s="57" t="s">
        <v>25</v>
      </c>
      <c r="F1458" s="57" t="s">
        <v>25</v>
      </c>
      <c r="G1458" s="57" t="s">
        <v>25</v>
      </c>
      <c r="H1458" s="57" t="s">
        <v>37</v>
      </c>
      <c r="I1458" s="82">
        <v>44470</v>
      </c>
      <c r="J1458" s="83">
        <f>EFEITO!$J$1458*EFEITO!$Y$1355</f>
        <v>0</v>
      </c>
      <c r="K1458" s="83">
        <f ca="1">EFEITO!$L$1458*EFEITO!$Z$1355</f>
        <v>21380.56658913886</v>
      </c>
      <c r="L1458" s="83">
        <f>EFEITO!$N$1458*EFEITO!$AA$1355</f>
        <v>6048.4762248308507</v>
      </c>
      <c r="M1458" s="83">
        <f>$J$1458-EFEITO!$K$1458*EFEITO!$Y$1458</f>
        <v>0</v>
      </c>
      <c r="N1458" s="83">
        <f ca="1">$K$1458-EFEITO!$M$1458*EFEITO!$Z$1458</f>
        <v>855.22266356555338</v>
      </c>
      <c r="O1458" s="83">
        <f>$L$1458-EFEITO!$O$1458*EFEITO!$AA$1458</f>
        <v>241.93904899323479</v>
      </c>
      <c r="P1458" s="61"/>
      <c r="Q1458" s="61"/>
      <c r="R1458" s="61"/>
      <c r="S1458" s="61"/>
      <c r="T1458" s="61"/>
      <c r="U1458" s="61"/>
      <c r="V1458" s="61"/>
      <c r="W1458" s="61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</row>
    <row r="1459" spans="1:36" ht="11.25" customHeight="1" x14ac:dyDescent="0.2">
      <c r="A1459" s="57" t="s">
        <v>59</v>
      </c>
      <c r="B1459" s="57" t="s">
        <v>35</v>
      </c>
      <c r="C1459" s="57" t="s">
        <v>36</v>
      </c>
      <c r="D1459" s="57" t="s">
        <v>47</v>
      </c>
      <c r="E1459" s="57" t="s">
        <v>25</v>
      </c>
      <c r="F1459" s="57" t="s">
        <v>25</v>
      </c>
      <c r="G1459" s="57" t="s">
        <v>25</v>
      </c>
      <c r="H1459" s="57" t="s">
        <v>37</v>
      </c>
      <c r="I1459" s="82">
        <v>44470</v>
      </c>
      <c r="J1459" s="83">
        <f>EFEITO!$J$1459*EFEITO!$Y$1355</f>
        <v>0</v>
      </c>
      <c r="K1459" s="83">
        <f ca="1">EFEITO!$L$1459*EFEITO!$Z$1355</f>
        <v>5723.7541743927668</v>
      </c>
      <c r="L1459" s="83">
        <f>EFEITO!$N$1459*EFEITO!$AA$1355</f>
        <v>1619.2270160968339</v>
      </c>
      <c r="M1459" s="83">
        <f>$J$1459-EFEITO!$K$1459*EFEITO!$Y$1459</f>
        <v>0</v>
      </c>
      <c r="N1459" s="83">
        <f ca="1">$K$1459-EFEITO!$M$1459*EFEITO!$Z$1459</f>
        <v>228.950166975711</v>
      </c>
      <c r="O1459" s="83">
        <f>$L$1459-EFEITO!$O$1459*EFEITO!$AA$1459</f>
        <v>64.769080643873394</v>
      </c>
      <c r="P1459" s="61"/>
      <c r="Q1459" s="61"/>
      <c r="R1459" s="61"/>
      <c r="S1459" s="61"/>
      <c r="T1459" s="61"/>
      <c r="U1459" s="61"/>
      <c r="V1459" s="61"/>
      <c r="W1459" s="61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</row>
    <row r="1460" spans="1:36" ht="11.25" customHeight="1" x14ac:dyDescent="0.2">
      <c r="A1460" s="57" t="s">
        <v>21</v>
      </c>
      <c r="B1460" s="57" t="s">
        <v>35</v>
      </c>
      <c r="C1460" s="57" t="s">
        <v>36</v>
      </c>
      <c r="D1460" s="57" t="s">
        <v>52</v>
      </c>
      <c r="E1460" s="57" t="s">
        <v>53</v>
      </c>
      <c r="F1460" s="57" t="s">
        <v>25</v>
      </c>
      <c r="G1460" s="57" t="s">
        <v>25</v>
      </c>
      <c r="H1460" s="57" t="s">
        <v>38</v>
      </c>
      <c r="I1460" s="82">
        <v>44136</v>
      </c>
      <c r="J1460" s="83">
        <f>EFEITO!$J$1460*EFEITO!$Y$1317</f>
        <v>0</v>
      </c>
      <c r="K1460" s="83">
        <f ca="1">EFEITO!$L$1460*EFEITO!$Z$1317</f>
        <v>219691.90631940056</v>
      </c>
      <c r="L1460" s="83">
        <f>EFEITO!$N$1460*EFEITO!$AA$1317</f>
        <v>368841.11151548004</v>
      </c>
      <c r="M1460" s="83">
        <f>$J$1460-EFEITO!$K$1460*EFEITO!$Y$1460</f>
        <v>0</v>
      </c>
      <c r="N1460" s="83">
        <f ca="1">$K$1460-EFEITO!$M$1460*EFEITO!$Z$1460</f>
        <v>13181.514379164058</v>
      </c>
      <c r="O1460" s="83">
        <f>$L$1460-EFEITO!$O$1460*EFEITO!$AA$1460</f>
        <v>22130.46669092885</v>
      </c>
      <c r="P1460" s="61"/>
      <c r="Q1460" s="61"/>
      <c r="R1460" s="61"/>
      <c r="S1460" s="61"/>
      <c r="T1460" s="61"/>
      <c r="U1460" s="61"/>
      <c r="V1460" s="61"/>
      <c r="W1460" s="61"/>
      <c r="X1460" s="6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</row>
    <row r="1461" spans="1:36" ht="11.25" customHeight="1" x14ac:dyDescent="0.2">
      <c r="A1461" s="57" t="s">
        <v>28</v>
      </c>
      <c r="B1461" s="57" t="s">
        <v>35</v>
      </c>
      <c r="C1461" s="57" t="s">
        <v>36</v>
      </c>
      <c r="D1461" s="57" t="s">
        <v>52</v>
      </c>
      <c r="E1461" s="57" t="s">
        <v>53</v>
      </c>
      <c r="F1461" s="57" t="s">
        <v>25</v>
      </c>
      <c r="G1461" s="57" t="s">
        <v>25</v>
      </c>
      <c r="H1461" s="57" t="s">
        <v>38</v>
      </c>
      <c r="I1461" s="82">
        <v>44136</v>
      </c>
      <c r="J1461" s="83">
        <f>EFEITO!$J$1461*EFEITO!$Y$1317</f>
        <v>0</v>
      </c>
      <c r="K1461" s="83">
        <f ca="1">EFEITO!$L$1461*EFEITO!$Z$1317</f>
        <v>88758.525646904338</v>
      </c>
      <c r="L1461" s="83">
        <f>EFEITO!$N$1461*EFEITO!$AA$1317</f>
        <v>149016.83819195133</v>
      </c>
      <c r="M1461" s="83">
        <f>$J$1461-EFEITO!$K$1461*EFEITO!$Y$1461</f>
        <v>0</v>
      </c>
      <c r="N1461" s="83">
        <f ca="1">$K$1461-EFEITO!$M$1461*EFEITO!$Z$1461</f>
        <v>5325.5115388142585</v>
      </c>
      <c r="O1461" s="83">
        <f>$L$1461-EFEITO!$O$1461*EFEITO!$AA$1461</f>
        <v>8941.010291517101</v>
      </c>
      <c r="P1461" s="61"/>
      <c r="Q1461" s="61"/>
      <c r="R1461" s="61"/>
      <c r="S1461" s="61"/>
      <c r="T1461" s="61"/>
      <c r="U1461" s="61"/>
      <c r="V1461" s="61"/>
      <c r="W1461" s="61"/>
      <c r="X1461" s="6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</row>
    <row r="1462" spans="1:36" ht="11.25" customHeight="1" x14ac:dyDescent="0.2">
      <c r="A1462" s="57" t="s">
        <v>21</v>
      </c>
      <c r="B1462" s="57" t="s">
        <v>35</v>
      </c>
      <c r="C1462" s="57" t="s">
        <v>36</v>
      </c>
      <c r="D1462" s="57" t="s">
        <v>52</v>
      </c>
      <c r="E1462" s="57" t="s">
        <v>53</v>
      </c>
      <c r="F1462" s="57" t="s">
        <v>25</v>
      </c>
      <c r="G1462" s="57" t="s">
        <v>25</v>
      </c>
      <c r="H1462" s="57" t="s">
        <v>38</v>
      </c>
      <c r="I1462" s="82">
        <v>44166</v>
      </c>
      <c r="J1462" s="83">
        <f>EFEITO!$J$1462*EFEITO!$Y$1317</f>
        <v>0</v>
      </c>
      <c r="K1462" s="83">
        <f ca="1">EFEITO!$L$1462*EFEITO!$Z$1317</f>
        <v>221691.99164239899</v>
      </c>
      <c r="L1462" s="83">
        <f>EFEITO!$N$1462*EFEITO!$AA$1317</f>
        <v>372199.0581327214</v>
      </c>
      <c r="M1462" s="83">
        <f>$J$1462-EFEITO!$K$1462*EFEITO!$Y$1462</f>
        <v>0</v>
      </c>
      <c r="N1462" s="83">
        <f ca="1">$K$1462-EFEITO!$M$1462*EFEITO!$Z$1462</f>
        <v>13301.519498543988</v>
      </c>
      <c r="O1462" s="83">
        <f>$L$1462-EFEITO!$O$1462*EFEITO!$AA$1462</f>
        <v>22331.94348796329</v>
      </c>
      <c r="P1462" s="61"/>
      <c r="Q1462" s="61"/>
      <c r="R1462" s="61"/>
      <c r="S1462" s="61"/>
      <c r="T1462" s="61"/>
      <c r="U1462" s="61"/>
      <c r="V1462" s="61"/>
      <c r="W1462" s="61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</row>
    <row r="1463" spans="1:36" ht="11.25" customHeight="1" x14ac:dyDescent="0.2">
      <c r="A1463" s="57" t="s">
        <v>28</v>
      </c>
      <c r="B1463" s="57" t="s">
        <v>35</v>
      </c>
      <c r="C1463" s="57" t="s">
        <v>36</v>
      </c>
      <c r="D1463" s="57" t="s">
        <v>52</v>
      </c>
      <c r="E1463" s="57" t="s">
        <v>53</v>
      </c>
      <c r="F1463" s="57" t="s">
        <v>25</v>
      </c>
      <c r="G1463" s="57" t="s">
        <v>25</v>
      </c>
      <c r="H1463" s="57" t="s">
        <v>38</v>
      </c>
      <c r="I1463" s="82">
        <v>44166</v>
      </c>
      <c r="J1463" s="83">
        <f>EFEITO!$J$1463*EFEITO!$Y$1317</f>
        <v>0</v>
      </c>
      <c r="K1463" s="83">
        <f ca="1">EFEITO!$L$1463*EFEITO!$Z$1317</f>
        <v>96695.337394136805</v>
      </c>
      <c r="L1463" s="83">
        <f>EFEITO!$N$1463*EFEITO!$AA$1317</f>
        <v>162341.96480122334</v>
      </c>
      <c r="M1463" s="83">
        <f>$J$1463-EFEITO!$K$1463*EFEITO!$Y$1463</f>
        <v>0</v>
      </c>
      <c r="N1463" s="83">
        <f ca="1">$K$1463-EFEITO!$M$1463*EFEITO!$Z$1463</f>
        <v>5801.720243648233</v>
      </c>
      <c r="O1463" s="83">
        <f>$L$1463-EFEITO!$O$1463*EFEITO!$AA$1463</f>
        <v>9740.5178880734311</v>
      </c>
      <c r="P1463" s="61"/>
      <c r="Q1463" s="61"/>
      <c r="R1463" s="61"/>
      <c r="S1463" s="61"/>
      <c r="T1463" s="61"/>
      <c r="U1463" s="61"/>
      <c r="V1463" s="61"/>
      <c r="W1463" s="61"/>
      <c r="X1463" s="6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</row>
    <row r="1464" spans="1:36" ht="11.25" customHeight="1" x14ac:dyDescent="0.2">
      <c r="A1464" s="57" t="s">
        <v>21</v>
      </c>
      <c r="B1464" s="57" t="s">
        <v>35</v>
      </c>
      <c r="C1464" s="57" t="s">
        <v>36</v>
      </c>
      <c r="D1464" s="57" t="s">
        <v>52</v>
      </c>
      <c r="E1464" s="57" t="s">
        <v>53</v>
      </c>
      <c r="F1464" s="57" t="s">
        <v>25</v>
      </c>
      <c r="G1464" s="57" t="s">
        <v>25</v>
      </c>
      <c r="H1464" s="57" t="s">
        <v>38</v>
      </c>
      <c r="I1464" s="82">
        <v>44197</v>
      </c>
      <c r="J1464" s="83">
        <f>EFEITO!$J$1464*EFEITO!$Y$1317</f>
        <v>0</v>
      </c>
      <c r="K1464" s="83">
        <f ca="1">EFEITO!$L$1464*EFEITO!$Z$1317</f>
        <v>226900.74025929009</v>
      </c>
      <c r="L1464" s="83">
        <f>EFEITO!$N$1464*EFEITO!$AA$1317</f>
        <v>380944.03495797451</v>
      </c>
      <c r="M1464" s="83">
        <f>$J$1464-EFEITO!$K$1464*EFEITO!$Y$1464</f>
        <v>0</v>
      </c>
      <c r="N1464" s="83">
        <f ca="1">$K$1464-EFEITO!$M$1464*EFEITO!$Z$1464</f>
        <v>13614.044415557437</v>
      </c>
      <c r="O1464" s="83">
        <f>$L$1464-EFEITO!$O$1464*EFEITO!$AA$1464</f>
        <v>22856.6420974785</v>
      </c>
      <c r="P1464" s="61"/>
      <c r="Q1464" s="61"/>
      <c r="R1464" s="61"/>
      <c r="S1464" s="61"/>
      <c r="T1464" s="61"/>
      <c r="U1464" s="61"/>
      <c r="V1464" s="61"/>
      <c r="W1464" s="61"/>
      <c r="X1464" s="6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</row>
    <row r="1465" spans="1:36" ht="11.25" customHeight="1" x14ac:dyDescent="0.2">
      <c r="A1465" s="57" t="s">
        <v>28</v>
      </c>
      <c r="B1465" s="57" t="s">
        <v>35</v>
      </c>
      <c r="C1465" s="57" t="s">
        <v>36</v>
      </c>
      <c r="D1465" s="57" t="s">
        <v>52</v>
      </c>
      <c r="E1465" s="57" t="s">
        <v>53</v>
      </c>
      <c r="F1465" s="57" t="s">
        <v>25</v>
      </c>
      <c r="G1465" s="57" t="s">
        <v>25</v>
      </c>
      <c r="H1465" s="57" t="s">
        <v>38</v>
      </c>
      <c r="I1465" s="82">
        <v>44197</v>
      </c>
      <c r="J1465" s="83">
        <f>EFEITO!$J$1465*EFEITO!$Y$1317</f>
        <v>0</v>
      </c>
      <c r="K1465" s="83">
        <f ca="1">EFEITO!$L$1465*EFEITO!$Z$1317</f>
        <v>90522.692236041607</v>
      </c>
      <c r="L1465" s="83">
        <f>EFEITO!$N$1465*EFEITO!$AA$1317</f>
        <v>151978.7004495888</v>
      </c>
      <c r="M1465" s="83">
        <f>$J$1465-EFEITO!$K$1465*EFEITO!$Y$1465</f>
        <v>0</v>
      </c>
      <c r="N1465" s="83">
        <f ca="1">$K$1465-EFEITO!$M$1465*EFEITO!$Z$1465</f>
        <v>5431.3615341624973</v>
      </c>
      <c r="O1465" s="83">
        <f>$L$1465-EFEITO!$O$1465*EFEITO!$AA$1465</f>
        <v>9118.7220269753307</v>
      </c>
      <c r="P1465" s="61"/>
      <c r="Q1465" s="61"/>
      <c r="R1465" s="61"/>
      <c r="S1465" s="61"/>
      <c r="T1465" s="61"/>
      <c r="U1465" s="61"/>
      <c r="V1465" s="61"/>
      <c r="W1465" s="61"/>
      <c r="X1465" s="6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</row>
    <row r="1466" spans="1:36" ht="11.25" customHeight="1" x14ac:dyDescent="0.2">
      <c r="A1466" s="57" t="s">
        <v>21</v>
      </c>
      <c r="B1466" s="57" t="s">
        <v>35</v>
      </c>
      <c r="C1466" s="57" t="s">
        <v>36</v>
      </c>
      <c r="D1466" s="57" t="s">
        <v>52</v>
      </c>
      <c r="E1466" s="57" t="s">
        <v>53</v>
      </c>
      <c r="F1466" s="57" t="s">
        <v>25</v>
      </c>
      <c r="G1466" s="57" t="s">
        <v>25</v>
      </c>
      <c r="H1466" s="57" t="s">
        <v>38</v>
      </c>
      <c r="I1466" s="82">
        <v>44228</v>
      </c>
      <c r="J1466" s="83">
        <f>EFEITO!$J$1466*EFEITO!$Y$1317</f>
        <v>0</v>
      </c>
      <c r="K1466" s="83">
        <f ca="1">EFEITO!$L$1466*EFEITO!$Z$1317</f>
        <v>202550.72517057607</v>
      </c>
      <c r="L1466" s="83">
        <f>EFEITO!$N$1466*EFEITO!$AA$1317</f>
        <v>340062.75361626461</v>
      </c>
      <c r="M1466" s="83">
        <f>$J$1466-EFEITO!$K$1466*EFEITO!$Y$1466</f>
        <v>0</v>
      </c>
      <c r="N1466" s="83">
        <f ca="1">$K$1466-EFEITO!$M$1466*EFEITO!$Z$1466</f>
        <v>12153.043510234595</v>
      </c>
      <c r="O1466" s="83">
        <f>$L$1466-EFEITO!$O$1466*EFEITO!$AA$1466</f>
        <v>20403.765216975939</v>
      </c>
      <c r="P1466" s="61"/>
      <c r="Q1466" s="61"/>
      <c r="R1466" s="61"/>
      <c r="S1466" s="61"/>
      <c r="T1466" s="61"/>
      <c r="U1466" s="61"/>
      <c r="V1466" s="61"/>
      <c r="W1466" s="61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</row>
    <row r="1467" spans="1:36" ht="11.25" customHeight="1" x14ac:dyDescent="0.2">
      <c r="A1467" s="57" t="s">
        <v>28</v>
      </c>
      <c r="B1467" s="57" t="s">
        <v>35</v>
      </c>
      <c r="C1467" s="57" t="s">
        <v>36</v>
      </c>
      <c r="D1467" s="57" t="s">
        <v>52</v>
      </c>
      <c r="E1467" s="57" t="s">
        <v>53</v>
      </c>
      <c r="F1467" s="57" t="s">
        <v>25</v>
      </c>
      <c r="G1467" s="57" t="s">
        <v>25</v>
      </c>
      <c r="H1467" s="57" t="s">
        <v>38</v>
      </c>
      <c r="I1467" s="82">
        <v>44228</v>
      </c>
      <c r="J1467" s="83">
        <f>EFEITO!$J$1467*EFEITO!$Y$1317</f>
        <v>0</v>
      </c>
      <c r="K1467" s="83">
        <f ca="1">EFEITO!$L$1467*EFEITO!$Z$1317</f>
        <v>80179.509403425604</v>
      </c>
      <c r="L1467" s="83">
        <f>EFEITO!$N$1467*EFEITO!$AA$1317</f>
        <v>134613.51337235773</v>
      </c>
      <c r="M1467" s="83">
        <f>$J$1467-EFEITO!$K$1467*EFEITO!$Y$1467</f>
        <v>0</v>
      </c>
      <c r="N1467" s="83">
        <f ca="1">$K$1467-EFEITO!$M$1467*EFEITO!$Z$1467</f>
        <v>4810.7705642055371</v>
      </c>
      <c r="O1467" s="83">
        <f>$L$1467-EFEITO!$O$1467*EFEITO!$AA$1467</f>
        <v>8076.8108023414825</v>
      </c>
      <c r="P1467" s="61"/>
      <c r="Q1467" s="61"/>
      <c r="R1467" s="61"/>
      <c r="S1467" s="61"/>
      <c r="T1467" s="61"/>
      <c r="U1467" s="61"/>
      <c r="V1467" s="61"/>
      <c r="W1467" s="61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</row>
    <row r="1468" spans="1:36" ht="11.25" customHeight="1" x14ac:dyDescent="0.2">
      <c r="A1468" s="57" t="s">
        <v>21</v>
      </c>
      <c r="B1468" s="57" t="s">
        <v>35</v>
      </c>
      <c r="C1468" s="57" t="s">
        <v>36</v>
      </c>
      <c r="D1468" s="57" t="s">
        <v>52</v>
      </c>
      <c r="E1468" s="57" t="s">
        <v>53</v>
      </c>
      <c r="F1468" s="57" t="s">
        <v>25</v>
      </c>
      <c r="G1468" s="57" t="s">
        <v>25</v>
      </c>
      <c r="H1468" s="57" t="s">
        <v>38</v>
      </c>
      <c r="I1468" s="82">
        <v>44256</v>
      </c>
      <c r="J1468" s="83">
        <f>EFEITO!$J$1468*EFEITO!$Y$1317</f>
        <v>0</v>
      </c>
      <c r="K1468" s="83">
        <f ca="1">EFEITO!$L$1468*EFEITO!$Z$1317</f>
        <v>221314.52166822116</v>
      </c>
      <c r="L1468" s="83">
        <f>EFEITO!$N$1468*EFEITO!$AA$1317</f>
        <v>371565.32315735531</v>
      </c>
      <c r="M1468" s="83">
        <f>$J$1468-EFEITO!$K$1468*EFEITO!$Y$1468</f>
        <v>0</v>
      </c>
      <c r="N1468" s="83">
        <f ca="1">$K$1468-EFEITO!$M$1468*EFEITO!$Z$1468</f>
        <v>13278.871300093277</v>
      </c>
      <c r="O1468" s="83">
        <f>$L$1468-EFEITO!$O$1468*EFEITO!$AA$1468</f>
        <v>22293.919389441377</v>
      </c>
      <c r="P1468" s="61"/>
      <c r="Q1468" s="61"/>
      <c r="R1468" s="61"/>
      <c r="S1468" s="61"/>
      <c r="T1468" s="61"/>
      <c r="U1468" s="61"/>
      <c r="V1468" s="61"/>
      <c r="W1468" s="61"/>
      <c r="X1468" s="6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</row>
    <row r="1469" spans="1:36" ht="11.25" customHeight="1" x14ac:dyDescent="0.2">
      <c r="A1469" s="57" t="s">
        <v>28</v>
      </c>
      <c r="B1469" s="57" t="s">
        <v>35</v>
      </c>
      <c r="C1469" s="57" t="s">
        <v>36</v>
      </c>
      <c r="D1469" s="57" t="s">
        <v>52</v>
      </c>
      <c r="E1469" s="57" t="s">
        <v>53</v>
      </c>
      <c r="F1469" s="57" t="s">
        <v>25</v>
      </c>
      <c r="G1469" s="57" t="s">
        <v>25</v>
      </c>
      <c r="H1469" s="57" t="s">
        <v>38</v>
      </c>
      <c r="I1469" s="82">
        <v>44256</v>
      </c>
      <c r="J1469" s="83">
        <f>EFEITO!$J$1469*EFEITO!$Y$1317</f>
        <v>0</v>
      </c>
      <c r="K1469" s="83">
        <f ca="1">EFEITO!$L$1469*EFEITO!$Z$1317</f>
        <v>88214.058911829125</v>
      </c>
      <c r="L1469" s="83">
        <f>EFEITO!$N$1469*EFEITO!$AA$1317</f>
        <v>148102.73207346562</v>
      </c>
      <c r="M1469" s="83">
        <f>$J$1469-EFEITO!$K$1469*EFEITO!$Y$1469</f>
        <v>0</v>
      </c>
      <c r="N1469" s="83">
        <f ca="1">$K$1469-EFEITO!$M$1469*EFEITO!$Z$1469</f>
        <v>5292.8435347097693</v>
      </c>
      <c r="O1469" s="83">
        <f>$L$1469-EFEITO!$O$1469*EFEITO!$AA$1469</f>
        <v>8886.1639244079415</v>
      </c>
      <c r="P1469" s="61"/>
      <c r="Q1469" s="61"/>
      <c r="R1469" s="61"/>
      <c r="S1469" s="61"/>
      <c r="T1469" s="61"/>
      <c r="U1469" s="61"/>
      <c r="V1469" s="61"/>
      <c r="W1469" s="61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</row>
    <row r="1470" spans="1:36" ht="11.25" customHeight="1" x14ac:dyDescent="0.2">
      <c r="A1470" s="57" t="s">
        <v>21</v>
      </c>
      <c r="B1470" s="57" t="s">
        <v>35</v>
      </c>
      <c r="C1470" s="57" t="s">
        <v>36</v>
      </c>
      <c r="D1470" s="57" t="s">
        <v>52</v>
      </c>
      <c r="E1470" s="57" t="s">
        <v>53</v>
      </c>
      <c r="F1470" s="57" t="s">
        <v>25</v>
      </c>
      <c r="G1470" s="57" t="s">
        <v>25</v>
      </c>
      <c r="H1470" s="57" t="s">
        <v>38</v>
      </c>
      <c r="I1470" s="82">
        <v>44287</v>
      </c>
      <c r="J1470" s="83">
        <f>EFEITO!$J$1470*EFEITO!$Y$1317</f>
        <v>0</v>
      </c>
      <c r="K1470" s="83">
        <f ca="1">EFEITO!$L$1470*EFEITO!$Z$1317</f>
        <v>203750.20341887858</v>
      </c>
      <c r="L1470" s="83">
        <f>EFEITO!$N$1470*EFEITO!$AA$1317</f>
        <v>342076.55966745032</v>
      </c>
      <c r="M1470" s="83">
        <f>$J$1470-EFEITO!$K$1470*EFEITO!$Y$1470</f>
        <v>0</v>
      </c>
      <c r="N1470" s="83">
        <f ca="1">$K$1470-EFEITO!$M$1470*EFEITO!$Z$1470</f>
        <v>12225.012205132749</v>
      </c>
      <c r="O1470" s="83">
        <f>$L$1470-EFEITO!$O$1470*EFEITO!$AA$1470</f>
        <v>20524.593580047018</v>
      </c>
      <c r="P1470" s="61"/>
      <c r="Q1470" s="61"/>
      <c r="R1470" s="61"/>
      <c r="S1470" s="61"/>
      <c r="T1470" s="61"/>
      <c r="U1470" s="61"/>
      <c r="V1470" s="61"/>
      <c r="W1470" s="61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</row>
    <row r="1471" spans="1:36" ht="11.25" customHeight="1" x14ac:dyDescent="0.2">
      <c r="A1471" s="57" t="s">
        <v>28</v>
      </c>
      <c r="B1471" s="57" t="s">
        <v>35</v>
      </c>
      <c r="C1471" s="57" t="s">
        <v>36</v>
      </c>
      <c r="D1471" s="57" t="s">
        <v>52</v>
      </c>
      <c r="E1471" s="57" t="s">
        <v>53</v>
      </c>
      <c r="F1471" s="57" t="s">
        <v>25</v>
      </c>
      <c r="G1471" s="57" t="s">
        <v>25</v>
      </c>
      <c r="H1471" s="57" t="s">
        <v>38</v>
      </c>
      <c r="I1471" s="82">
        <v>44287</v>
      </c>
      <c r="J1471" s="83">
        <f>EFEITO!$J$1471*EFEITO!$Y$1317</f>
        <v>0</v>
      </c>
      <c r="K1471" s="83">
        <f ca="1">EFEITO!$L$1471*EFEITO!$Z$1317</f>
        <v>88844.130444619659</v>
      </c>
      <c r="L1471" s="83">
        <f>EFEITO!$N$1471*EFEITO!$AA$1317</f>
        <v>149160.56023100755</v>
      </c>
      <c r="M1471" s="83">
        <f>$J$1471-EFEITO!$K$1471*EFEITO!$Y$1471</f>
        <v>0</v>
      </c>
      <c r="N1471" s="83">
        <f ca="1">$K$1471-EFEITO!$M$1471*EFEITO!$Z$1471</f>
        <v>5330.6478266771883</v>
      </c>
      <c r="O1471" s="83">
        <f>$L$1471-EFEITO!$O$1471*EFEITO!$AA$1471</f>
        <v>8949.6336138604674</v>
      </c>
      <c r="P1471" s="61"/>
      <c r="Q1471" s="61"/>
      <c r="R1471" s="61"/>
      <c r="S1471" s="61"/>
      <c r="T1471" s="61"/>
      <c r="U1471" s="61"/>
      <c r="V1471" s="61"/>
      <c r="W1471" s="61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</row>
    <row r="1472" spans="1:36" ht="11.25" customHeight="1" x14ac:dyDescent="0.2">
      <c r="A1472" s="57" t="s">
        <v>21</v>
      </c>
      <c r="B1472" s="57" t="s">
        <v>35</v>
      </c>
      <c r="C1472" s="57" t="s">
        <v>36</v>
      </c>
      <c r="D1472" s="57" t="s">
        <v>52</v>
      </c>
      <c r="E1472" s="57" t="s">
        <v>53</v>
      </c>
      <c r="F1472" s="57" t="s">
        <v>25</v>
      </c>
      <c r="G1472" s="57" t="s">
        <v>25</v>
      </c>
      <c r="H1472" s="57" t="s">
        <v>38</v>
      </c>
      <c r="I1472" s="82">
        <v>44317</v>
      </c>
      <c r="J1472" s="83">
        <f>EFEITO!$J$1472*EFEITO!$Y$1317</f>
        <v>0</v>
      </c>
      <c r="K1472" s="83">
        <f ca="1">EFEITO!$L$1472*EFEITO!$Z$1317</f>
        <v>222978.59130884879</v>
      </c>
      <c r="L1472" s="83">
        <f>EFEITO!$N$1472*EFEITO!$AA$1317</f>
        <v>374359.13247956085</v>
      </c>
      <c r="M1472" s="83">
        <f>$J$1472-EFEITO!$K$1472*EFEITO!$Y$1472</f>
        <v>0</v>
      </c>
      <c r="N1472" s="83">
        <f ca="1">$K$1472-EFEITO!$M$1472*EFEITO!$Z$1472</f>
        <v>13378.715478530939</v>
      </c>
      <c r="O1472" s="83">
        <f>$L$1472-EFEITO!$O$1472*EFEITO!$AA$1472</f>
        <v>22461.547948773659</v>
      </c>
      <c r="P1472" s="61"/>
      <c r="Q1472" s="61"/>
      <c r="R1472" s="61"/>
      <c r="S1472" s="61"/>
      <c r="T1472" s="61"/>
      <c r="U1472" s="61"/>
      <c r="V1472" s="61"/>
      <c r="W1472" s="61"/>
      <c r="X1472" s="6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</row>
    <row r="1473" spans="1:36" ht="11.25" customHeight="1" x14ac:dyDescent="0.2">
      <c r="A1473" s="57" t="s">
        <v>28</v>
      </c>
      <c r="B1473" s="57" t="s">
        <v>35</v>
      </c>
      <c r="C1473" s="57" t="s">
        <v>36</v>
      </c>
      <c r="D1473" s="57" t="s">
        <v>52</v>
      </c>
      <c r="E1473" s="57" t="s">
        <v>53</v>
      </c>
      <c r="F1473" s="57" t="s">
        <v>25</v>
      </c>
      <c r="G1473" s="57" t="s">
        <v>25</v>
      </c>
      <c r="H1473" s="57" t="s">
        <v>38</v>
      </c>
      <c r="I1473" s="82">
        <v>44317</v>
      </c>
      <c r="J1473" s="83">
        <f>EFEITO!$J$1473*EFEITO!$Y$1317</f>
        <v>0</v>
      </c>
      <c r="K1473" s="83">
        <f ca="1">EFEITO!$L$1473*EFEITO!$Z$1317</f>
        <v>96808.915413152819</v>
      </c>
      <c r="L1473" s="83">
        <f>EFEITO!$N$1473*EFEITO!$AA$1317</f>
        <v>162532.65112863263</v>
      </c>
      <c r="M1473" s="83">
        <f>$J$1473-EFEITO!$K$1473*EFEITO!$Y$1473</f>
        <v>0</v>
      </c>
      <c r="N1473" s="83">
        <f ca="1">$K$1473-EFEITO!$M$1473*EFEITO!$Z$1473</f>
        <v>5808.5349247891863</v>
      </c>
      <c r="O1473" s="83">
        <f>$L$1473-EFEITO!$O$1473*EFEITO!$AA$1473</f>
        <v>9751.9590677179804</v>
      </c>
      <c r="P1473" s="61"/>
      <c r="Q1473" s="61"/>
      <c r="R1473" s="61"/>
      <c r="S1473" s="61"/>
      <c r="T1473" s="61"/>
      <c r="U1473" s="61"/>
      <c r="V1473" s="61"/>
      <c r="W1473" s="61"/>
      <c r="X1473" s="6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</row>
    <row r="1474" spans="1:36" ht="11.25" customHeight="1" x14ac:dyDescent="0.2">
      <c r="A1474" s="57" t="s">
        <v>29</v>
      </c>
      <c r="B1474" s="57" t="s">
        <v>35</v>
      </c>
      <c r="C1474" s="57" t="s">
        <v>36</v>
      </c>
      <c r="D1474" s="57" t="s">
        <v>52</v>
      </c>
      <c r="E1474" s="57" t="s">
        <v>53</v>
      </c>
      <c r="F1474" s="57" t="s">
        <v>25</v>
      </c>
      <c r="G1474" s="57" t="s">
        <v>25</v>
      </c>
      <c r="H1474" s="57" t="s">
        <v>38</v>
      </c>
      <c r="I1474" s="82">
        <v>44317</v>
      </c>
      <c r="J1474" s="83">
        <f>EFEITO!$J$1474*EFEITO!$Y$1317</f>
        <v>0</v>
      </c>
      <c r="K1474" s="83">
        <f ca="1">EFEITO!$L$1474*EFEITO!$Z$1317</f>
        <v>22296.679537215572</v>
      </c>
      <c r="L1474" s="83">
        <f>EFEITO!$N$1474*EFEITO!$AA$1317</f>
        <v>37433.932826158067</v>
      </c>
      <c r="M1474" s="83">
        <f>$J$1474-EFEITO!$K$1474*EFEITO!$Y$1474</f>
        <v>0</v>
      </c>
      <c r="N1474" s="83">
        <f ca="1">$K$1474-EFEITO!$M$1474*EFEITO!$Z$1474</f>
        <v>1337.8007722329385</v>
      </c>
      <c r="O1474" s="83">
        <f>$L$1474-EFEITO!$O$1474*EFEITO!$AA$1474</f>
        <v>2246.035969569486</v>
      </c>
      <c r="P1474" s="61"/>
      <c r="Q1474" s="61"/>
      <c r="R1474" s="61"/>
      <c r="S1474" s="61"/>
      <c r="T1474" s="61"/>
      <c r="U1474" s="61"/>
      <c r="V1474" s="61"/>
      <c r="W1474" s="61"/>
      <c r="X1474" s="6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</row>
    <row r="1475" spans="1:36" ht="11.25" customHeight="1" x14ac:dyDescent="0.2">
      <c r="A1475" s="57" t="s">
        <v>21</v>
      </c>
      <c r="B1475" s="57" t="s">
        <v>35</v>
      </c>
      <c r="C1475" s="57" t="s">
        <v>36</v>
      </c>
      <c r="D1475" s="57" t="s">
        <v>52</v>
      </c>
      <c r="E1475" s="57" t="s">
        <v>53</v>
      </c>
      <c r="F1475" s="57" t="s">
        <v>25</v>
      </c>
      <c r="G1475" s="57" t="s">
        <v>25</v>
      </c>
      <c r="H1475" s="57" t="s">
        <v>38</v>
      </c>
      <c r="I1475" s="82">
        <v>44348</v>
      </c>
      <c r="J1475" s="83">
        <f>EFEITO!$J$1475*EFEITO!$Y$1317</f>
        <v>0</v>
      </c>
      <c r="K1475" s="83">
        <f ca="1">EFEITO!$L$1475*EFEITO!$Z$1317</f>
        <v>212142.00129570035</v>
      </c>
      <c r="L1475" s="83">
        <f>EFEITO!$N$1475*EFEITO!$AA$1317</f>
        <v>356165.56325595832</v>
      </c>
      <c r="M1475" s="83">
        <f>$J$1475-EFEITO!$K$1475*EFEITO!$Y$1475</f>
        <v>0</v>
      </c>
      <c r="N1475" s="83">
        <f ca="1">$K$1475-EFEITO!$M$1475*EFEITO!$Z$1475</f>
        <v>12728.520077742025</v>
      </c>
      <c r="O1475" s="83">
        <f>$L$1475-EFEITO!$O$1475*EFEITO!$AA$1475</f>
        <v>21369.93379535753</v>
      </c>
      <c r="P1475" s="61"/>
      <c r="Q1475" s="61"/>
      <c r="R1475" s="61"/>
      <c r="S1475" s="61"/>
      <c r="T1475" s="61"/>
      <c r="U1475" s="61"/>
      <c r="V1475" s="61"/>
      <c r="W1475" s="61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</row>
    <row r="1476" spans="1:36" ht="11.25" customHeight="1" x14ac:dyDescent="0.2">
      <c r="A1476" s="57" t="s">
        <v>28</v>
      </c>
      <c r="B1476" s="57" t="s">
        <v>35</v>
      </c>
      <c r="C1476" s="57" t="s">
        <v>36</v>
      </c>
      <c r="D1476" s="57" t="s">
        <v>52</v>
      </c>
      <c r="E1476" s="57" t="s">
        <v>53</v>
      </c>
      <c r="F1476" s="57" t="s">
        <v>25</v>
      </c>
      <c r="G1476" s="57" t="s">
        <v>25</v>
      </c>
      <c r="H1476" s="57" t="s">
        <v>38</v>
      </c>
      <c r="I1476" s="82">
        <v>44348</v>
      </c>
      <c r="J1476" s="83">
        <f>EFEITO!$J$1476*EFEITO!$Y$1317</f>
        <v>0</v>
      </c>
      <c r="K1476" s="83">
        <f ca="1">EFEITO!$L$1476*EFEITO!$Z$1317</f>
        <v>98871.350687243088</v>
      </c>
      <c r="L1476" s="83">
        <f>EFEITO!$N$1476*EFEITO!$AA$1317</f>
        <v>165995.27718376924</v>
      </c>
      <c r="M1476" s="83">
        <f>$J$1476-EFEITO!$K$1476*EFEITO!$Y$1476</f>
        <v>0</v>
      </c>
      <c r="N1476" s="83">
        <f ca="1">$K$1476-EFEITO!$M$1476*EFEITO!$Z$1476</f>
        <v>5932.2810412346007</v>
      </c>
      <c r="O1476" s="83">
        <f>$L$1476-EFEITO!$O$1476*EFEITO!$AA$1476</f>
        <v>9959.7166310261819</v>
      </c>
      <c r="P1476" s="61"/>
      <c r="Q1476" s="61"/>
      <c r="R1476" s="61"/>
      <c r="S1476" s="61"/>
      <c r="T1476" s="61"/>
      <c r="U1476" s="61"/>
      <c r="V1476" s="61"/>
      <c r="W1476" s="61"/>
      <c r="X1476" s="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</row>
    <row r="1477" spans="1:36" ht="11.25" customHeight="1" x14ac:dyDescent="0.2">
      <c r="A1477" s="57" t="s">
        <v>21</v>
      </c>
      <c r="B1477" s="57" t="s">
        <v>35</v>
      </c>
      <c r="C1477" s="57" t="s">
        <v>36</v>
      </c>
      <c r="D1477" s="57" t="s">
        <v>52</v>
      </c>
      <c r="E1477" s="57" t="s">
        <v>53</v>
      </c>
      <c r="F1477" s="57" t="s">
        <v>25</v>
      </c>
      <c r="G1477" s="57" t="s">
        <v>25</v>
      </c>
      <c r="H1477" s="57" t="s">
        <v>38</v>
      </c>
      <c r="I1477" s="82">
        <v>44378</v>
      </c>
      <c r="J1477" s="83">
        <f>EFEITO!$J$1477*EFEITO!$Y$1317</f>
        <v>0</v>
      </c>
      <c r="K1477" s="83">
        <f ca="1">EFEITO!$L$1477*EFEITO!$Z$1317</f>
        <v>231804.47965597507</v>
      </c>
      <c r="L1477" s="83">
        <f>EFEITO!$N$1477*EFEITO!$AA$1317</f>
        <v>389176.93128973991</v>
      </c>
      <c r="M1477" s="83">
        <f>$J$1477-EFEITO!$K$1477*EFEITO!$Y$1477</f>
        <v>0</v>
      </c>
      <c r="N1477" s="83">
        <f ca="1">$K$1477-EFEITO!$M$1477*EFEITO!$Z$1477</f>
        <v>13908.268779358536</v>
      </c>
      <c r="O1477" s="83">
        <f>$L$1477-EFEITO!$O$1477*EFEITO!$AA$1477</f>
        <v>23350.615877384436</v>
      </c>
      <c r="P1477" s="61"/>
      <c r="Q1477" s="61"/>
      <c r="R1477" s="61"/>
      <c r="S1477" s="61"/>
      <c r="T1477" s="61"/>
      <c r="U1477" s="61"/>
      <c r="V1477" s="61"/>
      <c r="W1477" s="61"/>
      <c r="X1477" s="6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</row>
    <row r="1478" spans="1:36" ht="11.25" customHeight="1" x14ac:dyDescent="0.2">
      <c r="A1478" s="57" t="s">
        <v>28</v>
      </c>
      <c r="B1478" s="57" t="s">
        <v>35</v>
      </c>
      <c r="C1478" s="57" t="s">
        <v>36</v>
      </c>
      <c r="D1478" s="57" t="s">
        <v>52</v>
      </c>
      <c r="E1478" s="57" t="s">
        <v>53</v>
      </c>
      <c r="F1478" s="57" t="s">
        <v>25</v>
      </c>
      <c r="G1478" s="57" t="s">
        <v>25</v>
      </c>
      <c r="H1478" s="57" t="s">
        <v>38</v>
      </c>
      <c r="I1478" s="82">
        <v>44378</v>
      </c>
      <c r="J1478" s="83">
        <f>EFEITO!$J$1478*EFEITO!$Y$1317</f>
        <v>0</v>
      </c>
      <c r="K1478" s="83">
        <f ca="1">EFEITO!$L$1478*EFEITO!$Z$1317</f>
        <v>100641.75227148955</v>
      </c>
      <c r="L1478" s="83">
        <f>EFEITO!$N$1478*EFEITO!$AA$1317</f>
        <v>168967.60738519626</v>
      </c>
      <c r="M1478" s="83">
        <f>$J$1478-EFEITO!$K$1478*EFEITO!$Y$1478</f>
        <v>0</v>
      </c>
      <c r="N1478" s="83">
        <f ca="1">$K$1478-EFEITO!$M$1478*EFEITO!$Z$1478</f>
        <v>6038.5051362893864</v>
      </c>
      <c r="O1478" s="83">
        <f>$L$1478-EFEITO!$O$1478*EFEITO!$AA$1478</f>
        <v>10138.056443111767</v>
      </c>
      <c r="P1478" s="61"/>
      <c r="Q1478" s="61"/>
      <c r="R1478" s="61"/>
      <c r="S1478" s="61"/>
      <c r="T1478" s="61"/>
      <c r="U1478" s="61"/>
      <c r="V1478" s="61"/>
      <c r="W1478" s="61"/>
      <c r="X1478" s="6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</row>
    <row r="1479" spans="1:36" ht="11.25" customHeight="1" x14ac:dyDescent="0.2">
      <c r="A1479" s="57" t="s">
        <v>21</v>
      </c>
      <c r="B1479" s="57" t="s">
        <v>35</v>
      </c>
      <c r="C1479" s="57" t="s">
        <v>36</v>
      </c>
      <c r="D1479" s="57" t="s">
        <v>52</v>
      </c>
      <c r="E1479" s="57" t="s">
        <v>53</v>
      </c>
      <c r="F1479" s="57" t="s">
        <v>25</v>
      </c>
      <c r="G1479" s="57" t="s">
        <v>25</v>
      </c>
      <c r="H1479" s="57" t="s">
        <v>38</v>
      </c>
      <c r="I1479" s="82">
        <v>44409</v>
      </c>
      <c r="J1479" s="83">
        <f>EFEITO!$J$1479*EFEITO!$Y$1317</f>
        <v>0</v>
      </c>
      <c r="K1479" s="83">
        <f ca="1">EFEITO!$L$1479*EFEITO!$Z$1317</f>
        <v>228992.83388849438</v>
      </c>
      <c r="L1479" s="83">
        <f>EFEITO!$N$1479*EFEITO!$AA$1317</f>
        <v>384456.45447546139</v>
      </c>
      <c r="M1479" s="83">
        <f>$J$1479-EFEITO!$K$1479*EFEITO!$Y$1479</f>
        <v>0</v>
      </c>
      <c r="N1479" s="83">
        <f ca="1">$K$1479-EFEITO!$M$1479*EFEITO!$Z$1479</f>
        <v>13739.57003330969</v>
      </c>
      <c r="O1479" s="83">
        <f>$L$1479-EFEITO!$O$1479*EFEITO!$AA$1479</f>
        <v>23067.387268527702</v>
      </c>
      <c r="P1479" s="61"/>
      <c r="Q1479" s="61"/>
      <c r="R1479" s="61"/>
      <c r="S1479" s="61"/>
      <c r="T1479" s="61"/>
      <c r="U1479" s="61"/>
      <c r="V1479" s="61"/>
      <c r="W1479" s="61"/>
      <c r="X1479" s="6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</row>
    <row r="1480" spans="1:36" ht="11.25" customHeight="1" x14ac:dyDescent="0.2">
      <c r="A1480" s="57" t="s">
        <v>28</v>
      </c>
      <c r="B1480" s="57" t="s">
        <v>35</v>
      </c>
      <c r="C1480" s="57" t="s">
        <v>36</v>
      </c>
      <c r="D1480" s="57" t="s">
        <v>52</v>
      </c>
      <c r="E1480" s="57" t="s">
        <v>53</v>
      </c>
      <c r="F1480" s="57" t="s">
        <v>25</v>
      </c>
      <c r="G1480" s="57" t="s">
        <v>25</v>
      </c>
      <c r="H1480" s="57" t="s">
        <v>38</v>
      </c>
      <c r="I1480" s="82">
        <v>44409</v>
      </c>
      <c r="J1480" s="83">
        <f>EFEITO!$J$1480*EFEITO!$Y$1317</f>
        <v>0</v>
      </c>
      <c r="K1480" s="83">
        <f ca="1">EFEITO!$L$1480*EFEITO!$Z$1317</f>
        <v>106911.79816399312</v>
      </c>
      <c r="L1480" s="83">
        <f>EFEITO!$N$1480*EFEITO!$AA$1317</f>
        <v>179494.39799386726</v>
      </c>
      <c r="M1480" s="83">
        <f>$J$1480-EFEITO!$K$1480*EFEITO!$Y$1480</f>
        <v>0</v>
      </c>
      <c r="N1480" s="83">
        <f ca="1">$K$1480-EFEITO!$M$1480*EFEITO!$Z$1480</f>
        <v>6414.7078898395994</v>
      </c>
      <c r="O1480" s="83">
        <f>$L$1480-EFEITO!$O$1480*EFEITO!$AA$1480</f>
        <v>10769.663879632048</v>
      </c>
      <c r="P1480" s="61"/>
      <c r="Q1480" s="61"/>
      <c r="R1480" s="61"/>
      <c r="S1480" s="61"/>
      <c r="T1480" s="61"/>
      <c r="U1480" s="61"/>
      <c r="V1480" s="61"/>
      <c r="W1480" s="61"/>
      <c r="X1480" s="6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</row>
    <row r="1481" spans="1:36" ht="11.25" customHeight="1" x14ac:dyDescent="0.2">
      <c r="A1481" s="57" t="s">
        <v>21</v>
      </c>
      <c r="B1481" s="57" t="s">
        <v>35</v>
      </c>
      <c r="C1481" s="57" t="s">
        <v>36</v>
      </c>
      <c r="D1481" s="57" t="s">
        <v>52</v>
      </c>
      <c r="E1481" s="57" t="s">
        <v>53</v>
      </c>
      <c r="F1481" s="57" t="s">
        <v>25</v>
      </c>
      <c r="G1481" s="57" t="s">
        <v>25</v>
      </c>
      <c r="H1481" s="57" t="s">
        <v>38</v>
      </c>
      <c r="I1481" s="82">
        <v>44440</v>
      </c>
      <c r="J1481" s="83">
        <f>EFEITO!$J$1481*EFEITO!$Y$1317</f>
        <v>0</v>
      </c>
      <c r="K1481" s="83">
        <f ca="1">EFEITO!$L$1481*EFEITO!$Z$1317</f>
        <v>187713.4589712868</v>
      </c>
      <c r="L1481" s="83">
        <f>EFEITO!$N$1481*EFEITO!$AA$1317</f>
        <v>315152.44240598025</v>
      </c>
      <c r="M1481" s="83">
        <f>$J$1481-EFEITO!$K$1481*EFEITO!$Y$1481</f>
        <v>0</v>
      </c>
      <c r="N1481" s="83">
        <f ca="1">$K$1481-EFEITO!$M$1481*EFEITO!$Z$1481</f>
        <v>11262.807538277208</v>
      </c>
      <c r="O1481" s="83">
        <f>$L$1481-EFEITO!$O$1481*EFEITO!$AA$1481</f>
        <v>18909.146544358868</v>
      </c>
      <c r="P1481" s="61"/>
      <c r="Q1481" s="61"/>
      <c r="R1481" s="61"/>
      <c r="S1481" s="61"/>
      <c r="T1481" s="61"/>
      <c r="U1481" s="61"/>
      <c r="V1481" s="61"/>
      <c r="W1481" s="61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</row>
    <row r="1482" spans="1:36" ht="11.25" customHeight="1" x14ac:dyDescent="0.2">
      <c r="A1482" s="57" t="s">
        <v>28</v>
      </c>
      <c r="B1482" s="57" t="s">
        <v>35</v>
      </c>
      <c r="C1482" s="57" t="s">
        <v>36</v>
      </c>
      <c r="D1482" s="57" t="s">
        <v>52</v>
      </c>
      <c r="E1482" s="57" t="s">
        <v>53</v>
      </c>
      <c r="F1482" s="57" t="s">
        <v>25</v>
      </c>
      <c r="G1482" s="57" t="s">
        <v>25</v>
      </c>
      <c r="H1482" s="57" t="s">
        <v>38</v>
      </c>
      <c r="I1482" s="82">
        <v>44440</v>
      </c>
      <c r="J1482" s="83">
        <f>EFEITO!$J$1482*EFEITO!$Y$1317</f>
        <v>0</v>
      </c>
      <c r="K1482" s="83">
        <f ca="1">EFEITO!$L$1482*EFEITO!$Z$1317</f>
        <v>99003.128151442666</v>
      </c>
      <c r="L1482" s="83">
        <f>EFEITO!$N$1482*EFEITO!$AA$1317</f>
        <v>166216.51859034796</v>
      </c>
      <c r="M1482" s="83">
        <f>$J$1482-EFEITO!$K$1482*EFEITO!$Y$1482</f>
        <v>0</v>
      </c>
      <c r="N1482" s="83">
        <f ca="1">$K$1482-EFEITO!$M$1482*EFEITO!$Z$1482</f>
        <v>5940.1876890865678</v>
      </c>
      <c r="O1482" s="83">
        <f>$L$1482-EFEITO!$O$1482*EFEITO!$AA$1482</f>
        <v>9972.9911154208821</v>
      </c>
      <c r="P1482" s="61"/>
      <c r="Q1482" s="61"/>
      <c r="R1482" s="61"/>
      <c r="S1482" s="61"/>
      <c r="T1482" s="61"/>
      <c r="U1482" s="61"/>
      <c r="V1482" s="61"/>
      <c r="W1482" s="61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</row>
    <row r="1483" spans="1:36" ht="11.25" customHeight="1" x14ac:dyDescent="0.2">
      <c r="A1483" s="57" t="s">
        <v>59</v>
      </c>
      <c r="B1483" s="57" t="s">
        <v>35</v>
      </c>
      <c r="C1483" s="57" t="s">
        <v>36</v>
      </c>
      <c r="D1483" s="57" t="s">
        <v>52</v>
      </c>
      <c r="E1483" s="57" t="s">
        <v>53</v>
      </c>
      <c r="F1483" s="57" t="s">
        <v>25</v>
      </c>
      <c r="G1483" s="57" t="s">
        <v>25</v>
      </c>
      <c r="H1483" s="57" t="s">
        <v>38</v>
      </c>
      <c r="I1483" s="82">
        <v>44470</v>
      </c>
      <c r="J1483" s="83">
        <f>EFEITO!$J$1483*EFEITO!$Y$1317</f>
        <v>0</v>
      </c>
      <c r="K1483" s="83">
        <f ca="1">EFEITO!$L$1483*EFEITO!$Z$1317</f>
        <v>187713.4589712868</v>
      </c>
      <c r="L1483" s="83">
        <f>EFEITO!$N$1483*EFEITO!$AA$1317</f>
        <v>315152.44240598025</v>
      </c>
      <c r="M1483" s="83">
        <f>$J$1483-EFEITO!$K$1483*EFEITO!$Y$1483</f>
        <v>0</v>
      </c>
      <c r="N1483" s="83">
        <f ca="1">$K$1483-EFEITO!$M$1483*EFEITO!$Z$1483</f>
        <v>11262.807538277208</v>
      </c>
      <c r="O1483" s="83">
        <f>$L$1483-EFEITO!$O$1483*EFEITO!$AA$1483</f>
        <v>18909.146544358868</v>
      </c>
      <c r="P1483" s="61"/>
      <c r="Q1483" s="61"/>
      <c r="R1483" s="61"/>
      <c r="S1483" s="61"/>
      <c r="T1483" s="61"/>
      <c r="U1483" s="61"/>
      <c r="V1483" s="61"/>
      <c r="W1483" s="61"/>
      <c r="X1483" s="6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</row>
    <row r="1484" spans="1:36" ht="11.25" customHeight="1" x14ac:dyDescent="0.2">
      <c r="A1484" s="57" t="s">
        <v>59</v>
      </c>
      <c r="B1484" s="57" t="s">
        <v>35</v>
      </c>
      <c r="C1484" s="57" t="s">
        <v>36</v>
      </c>
      <c r="D1484" s="57" t="s">
        <v>52</v>
      </c>
      <c r="E1484" s="57" t="s">
        <v>53</v>
      </c>
      <c r="F1484" s="57" t="s">
        <v>25</v>
      </c>
      <c r="G1484" s="57" t="s">
        <v>25</v>
      </c>
      <c r="H1484" s="57" t="s">
        <v>38</v>
      </c>
      <c r="I1484" s="82">
        <v>44470</v>
      </c>
      <c r="J1484" s="83">
        <f>EFEITO!$J$1484*EFEITO!$Y$1317</f>
        <v>0</v>
      </c>
      <c r="K1484" s="83">
        <f ca="1">EFEITO!$L$1484*EFEITO!$Z$1317</f>
        <v>99003.128151442666</v>
      </c>
      <c r="L1484" s="83">
        <f>EFEITO!$N$1484*EFEITO!$AA$1317</f>
        <v>166216.51859034796</v>
      </c>
      <c r="M1484" s="83">
        <f>$J$1484-EFEITO!$K$1484*EFEITO!$Y$1484</f>
        <v>0</v>
      </c>
      <c r="N1484" s="83">
        <f ca="1">$K$1484-EFEITO!$M$1484*EFEITO!$Z$1484</f>
        <v>5940.1876890865678</v>
      </c>
      <c r="O1484" s="83">
        <f>$L$1484-EFEITO!$O$1484*EFEITO!$AA$1484</f>
        <v>9972.9911154208821</v>
      </c>
      <c r="P1484" s="61"/>
      <c r="Q1484" s="61"/>
      <c r="R1484" s="61"/>
      <c r="S1484" s="61"/>
      <c r="T1484" s="61"/>
      <c r="U1484" s="61"/>
      <c r="V1484" s="61"/>
      <c r="W1484" s="61"/>
      <c r="X1484" s="6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</row>
    <row r="1485" spans="1:36" ht="11.25" customHeight="1" x14ac:dyDescent="0.2">
      <c r="A1485" s="57" t="s">
        <v>21</v>
      </c>
      <c r="B1485" s="57" t="s">
        <v>35</v>
      </c>
      <c r="C1485" s="57" t="s">
        <v>36</v>
      </c>
      <c r="D1485" s="57" t="s">
        <v>52</v>
      </c>
      <c r="E1485" s="57" t="s">
        <v>53</v>
      </c>
      <c r="F1485" s="57" t="s">
        <v>25</v>
      </c>
      <c r="G1485" s="57" t="s">
        <v>25</v>
      </c>
      <c r="H1485" s="57" t="s">
        <v>25</v>
      </c>
      <c r="I1485" s="82">
        <v>44136</v>
      </c>
      <c r="J1485" s="83">
        <f ca="1">EFEITO!$J$1485*EFEITO!$Y$1336</f>
        <v>123699.3066110814</v>
      </c>
      <c r="K1485" s="83">
        <f>EFEITO!$L$1485*EFEITO!$Z$1336</f>
        <v>0</v>
      </c>
      <c r="L1485" s="83">
        <f>EFEITO!$N$1485*EFEITO!$AA$1336</f>
        <v>0</v>
      </c>
      <c r="M1485" s="83">
        <f ca="1">$J$1485-EFEITO!$K$1485*EFEITO!$Y$1485</f>
        <v>7421.9583966648934</v>
      </c>
      <c r="N1485" s="83">
        <f>$K$1485-EFEITO!$M$1485*EFEITO!$Z$1485</f>
        <v>0</v>
      </c>
      <c r="O1485" s="83">
        <f>$L$1485-EFEITO!$O$1485*EFEITO!$AA$1485</f>
        <v>0</v>
      </c>
      <c r="P1485" s="61"/>
      <c r="Q1485" s="61"/>
      <c r="R1485" s="61"/>
      <c r="S1485" s="61"/>
      <c r="T1485" s="61"/>
      <c r="U1485" s="61"/>
      <c r="V1485" s="61"/>
      <c r="W1485" s="61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</row>
    <row r="1486" spans="1:36" ht="11.25" customHeight="1" x14ac:dyDescent="0.2">
      <c r="A1486" s="57" t="s">
        <v>28</v>
      </c>
      <c r="B1486" s="57" t="s">
        <v>35</v>
      </c>
      <c r="C1486" s="57" t="s">
        <v>36</v>
      </c>
      <c r="D1486" s="57" t="s">
        <v>52</v>
      </c>
      <c r="E1486" s="57" t="s">
        <v>53</v>
      </c>
      <c r="F1486" s="57" t="s">
        <v>25</v>
      </c>
      <c r="G1486" s="57" t="s">
        <v>25</v>
      </c>
      <c r="H1486" s="57" t="s">
        <v>25</v>
      </c>
      <c r="I1486" s="82">
        <v>44136</v>
      </c>
      <c r="J1486" s="83">
        <f ca="1">EFEITO!$J$1486*EFEITO!$Y$1336</f>
        <v>49045.46591497703</v>
      </c>
      <c r="K1486" s="83">
        <f>EFEITO!$L$1486*EFEITO!$Z$1336</f>
        <v>0</v>
      </c>
      <c r="L1486" s="83">
        <f>EFEITO!$N$1486*EFEITO!$AA$1336</f>
        <v>0</v>
      </c>
      <c r="M1486" s="83">
        <f ca="1">$J$1486-EFEITO!$K$1486*EFEITO!$Y$1486</f>
        <v>2942.7279548986262</v>
      </c>
      <c r="N1486" s="83">
        <f>$K$1486-EFEITO!$M$1486*EFEITO!$Z$1486</f>
        <v>0</v>
      </c>
      <c r="O1486" s="83">
        <f>$L$1486-EFEITO!$O$1486*EFEITO!$AA$1486</f>
        <v>0</v>
      </c>
      <c r="P1486" s="61"/>
      <c r="Q1486" s="61"/>
      <c r="R1486" s="61"/>
      <c r="S1486" s="61"/>
      <c r="T1486" s="61"/>
      <c r="U1486" s="61"/>
      <c r="V1486" s="61"/>
      <c r="W1486" s="61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</row>
    <row r="1487" spans="1:36" ht="11.25" customHeight="1" x14ac:dyDescent="0.2">
      <c r="A1487" s="57" t="s">
        <v>21</v>
      </c>
      <c r="B1487" s="57" t="s">
        <v>35</v>
      </c>
      <c r="C1487" s="57" t="s">
        <v>36</v>
      </c>
      <c r="D1487" s="57" t="s">
        <v>52</v>
      </c>
      <c r="E1487" s="57" t="s">
        <v>53</v>
      </c>
      <c r="F1487" s="57" t="s">
        <v>25</v>
      </c>
      <c r="G1487" s="57" t="s">
        <v>25</v>
      </c>
      <c r="H1487" s="57" t="s">
        <v>25</v>
      </c>
      <c r="I1487" s="82">
        <v>44166</v>
      </c>
      <c r="J1487" s="83">
        <f ca="1">EFEITO!$J$1487*EFEITO!$Y$1336</f>
        <v>122517.87286182739</v>
      </c>
      <c r="K1487" s="83">
        <f>EFEITO!$L$1487*EFEITO!$Z$1336</f>
        <v>0</v>
      </c>
      <c r="L1487" s="83">
        <f>EFEITO!$N$1487*EFEITO!$AA$1336</f>
        <v>0</v>
      </c>
      <c r="M1487" s="83">
        <f ca="1">$J$1487-EFEITO!$K$1487*EFEITO!$Y$1487</f>
        <v>7351.0723717096407</v>
      </c>
      <c r="N1487" s="83">
        <f>$K$1487-EFEITO!$M$1487*EFEITO!$Z$1487</f>
        <v>0</v>
      </c>
      <c r="O1487" s="83">
        <f>$L$1487-EFEITO!$O$1487*EFEITO!$AA$1487</f>
        <v>0</v>
      </c>
      <c r="P1487" s="61"/>
      <c r="Q1487" s="61"/>
      <c r="R1487" s="61"/>
      <c r="S1487" s="61"/>
      <c r="T1487" s="61"/>
      <c r="U1487" s="61"/>
      <c r="V1487" s="61"/>
      <c r="W1487" s="61"/>
      <c r="X1487" s="6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</row>
    <row r="1488" spans="1:36" ht="11.25" customHeight="1" x14ac:dyDescent="0.2">
      <c r="A1488" s="57" t="s">
        <v>28</v>
      </c>
      <c r="B1488" s="57" t="s">
        <v>35</v>
      </c>
      <c r="C1488" s="57" t="s">
        <v>36</v>
      </c>
      <c r="D1488" s="57" t="s">
        <v>52</v>
      </c>
      <c r="E1488" s="57" t="s">
        <v>53</v>
      </c>
      <c r="F1488" s="57" t="s">
        <v>25</v>
      </c>
      <c r="G1488" s="57" t="s">
        <v>25</v>
      </c>
      <c r="H1488" s="57" t="s">
        <v>25</v>
      </c>
      <c r="I1488" s="82">
        <v>44166</v>
      </c>
      <c r="J1488" s="83">
        <f ca="1">EFEITO!$J$1488*EFEITO!$Y$1336</f>
        <v>48598.436928772819</v>
      </c>
      <c r="K1488" s="83">
        <f>EFEITO!$L$1488*EFEITO!$Z$1336</f>
        <v>0</v>
      </c>
      <c r="L1488" s="83">
        <f>EFEITO!$N$1488*EFEITO!$AA$1336</f>
        <v>0</v>
      </c>
      <c r="M1488" s="83">
        <f ca="1">$J$1488-EFEITO!$K$1488*EFEITO!$Y$1488</f>
        <v>2915.9062157263761</v>
      </c>
      <c r="N1488" s="83">
        <f>$K$1488-EFEITO!$M$1488*EFEITO!$Z$1488</f>
        <v>0</v>
      </c>
      <c r="O1488" s="83">
        <f>$L$1488-EFEITO!$O$1488*EFEITO!$AA$1488</f>
        <v>0</v>
      </c>
      <c r="P1488" s="61"/>
      <c r="Q1488" s="61"/>
      <c r="R1488" s="61"/>
      <c r="S1488" s="61"/>
      <c r="T1488" s="61"/>
      <c r="U1488" s="61"/>
      <c r="V1488" s="61"/>
      <c r="W1488" s="61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</row>
    <row r="1489" spans="1:36" ht="11.25" customHeight="1" x14ac:dyDescent="0.2">
      <c r="A1489" s="57" t="s">
        <v>21</v>
      </c>
      <c r="B1489" s="57" t="s">
        <v>35</v>
      </c>
      <c r="C1489" s="57" t="s">
        <v>36</v>
      </c>
      <c r="D1489" s="57" t="s">
        <v>52</v>
      </c>
      <c r="E1489" s="57" t="s">
        <v>53</v>
      </c>
      <c r="F1489" s="57" t="s">
        <v>25</v>
      </c>
      <c r="G1489" s="57" t="s">
        <v>25</v>
      </c>
      <c r="H1489" s="57" t="s">
        <v>25</v>
      </c>
      <c r="I1489" s="82">
        <v>44197</v>
      </c>
      <c r="J1489" s="83">
        <f ca="1">EFEITO!$J$1489*EFEITO!$Y$1336</f>
        <v>125263.90806279617</v>
      </c>
      <c r="K1489" s="83">
        <f>EFEITO!$L$1489*EFEITO!$Z$1336</f>
        <v>0</v>
      </c>
      <c r="L1489" s="83">
        <f>EFEITO!$N$1489*EFEITO!$AA$1336</f>
        <v>0</v>
      </c>
      <c r="M1489" s="83">
        <f ca="1">$J$1489-EFEITO!$K$1489*EFEITO!$Y$1489</f>
        <v>7515.8344837677869</v>
      </c>
      <c r="N1489" s="83">
        <f>$K$1489-EFEITO!$M$1489*EFEITO!$Z$1489</f>
        <v>0</v>
      </c>
      <c r="O1489" s="83">
        <f>$L$1489-EFEITO!$O$1489*EFEITO!$AA$1489</f>
        <v>0</v>
      </c>
      <c r="P1489" s="61"/>
      <c r="Q1489" s="61"/>
      <c r="R1489" s="61"/>
      <c r="S1489" s="61"/>
      <c r="T1489" s="61"/>
      <c r="U1489" s="61"/>
      <c r="V1489" s="61"/>
      <c r="W1489" s="61"/>
      <c r="X1489" s="6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</row>
    <row r="1490" spans="1:36" ht="11.25" customHeight="1" x14ac:dyDescent="0.2">
      <c r="A1490" s="57" t="s">
        <v>28</v>
      </c>
      <c r="B1490" s="57" t="s">
        <v>35</v>
      </c>
      <c r="C1490" s="57" t="s">
        <v>36</v>
      </c>
      <c r="D1490" s="57" t="s">
        <v>52</v>
      </c>
      <c r="E1490" s="57" t="s">
        <v>53</v>
      </c>
      <c r="F1490" s="57" t="s">
        <v>25</v>
      </c>
      <c r="G1490" s="57" t="s">
        <v>25</v>
      </c>
      <c r="H1490" s="57" t="s">
        <v>25</v>
      </c>
      <c r="I1490" s="82">
        <v>44197</v>
      </c>
      <c r="J1490" s="83">
        <f ca="1">EFEITO!$J$1490*EFEITO!$Y$1336</f>
        <v>49811.80131989855</v>
      </c>
      <c r="K1490" s="83">
        <f>EFEITO!$L$1490*EFEITO!$Z$1336</f>
        <v>0</v>
      </c>
      <c r="L1490" s="83">
        <f>EFEITO!$N$1490*EFEITO!$AA$1336</f>
        <v>0</v>
      </c>
      <c r="M1490" s="83">
        <f ca="1">$J$1490-EFEITO!$K$1490*EFEITO!$Y$1490</f>
        <v>2988.7080791939152</v>
      </c>
      <c r="N1490" s="83">
        <f>$K$1490-EFEITO!$M$1490*EFEITO!$Z$1490</f>
        <v>0</v>
      </c>
      <c r="O1490" s="83">
        <f>$L$1490-EFEITO!$O$1490*EFEITO!$AA$1490</f>
        <v>0</v>
      </c>
      <c r="P1490" s="61"/>
      <c r="Q1490" s="61"/>
      <c r="R1490" s="61"/>
      <c r="S1490" s="61"/>
      <c r="T1490" s="61"/>
      <c r="U1490" s="61"/>
      <c r="V1490" s="61"/>
      <c r="W1490" s="61"/>
      <c r="X1490" s="6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</row>
    <row r="1491" spans="1:36" ht="11.25" customHeight="1" x14ac:dyDescent="0.2">
      <c r="A1491" s="57" t="s">
        <v>21</v>
      </c>
      <c r="B1491" s="57" t="s">
        <v>35</v>
      </c>
      <c r="C1491" s="57" t="s">
        <v>36</v>
      </c>
      <c r="D1491" s="57" t="s">
        <v>52</v>
      </c>
      <c r="E1491" s="57" t="s">
        <v>53</v>
      </c>
      <c r="F1491" s="57" t="s">
        <v>25</v>
      </c>
      <c r="G1491" s="57" t="s">
        <v>25</v>
      </c>
      <c r="H1491" s="57" t="s">
        <v>25</v>
      </c>
      <c r="I1491" s="82">
        <v>44228</v>
      </c>
      <c r="J1491" s="83">
        <f ca="1">EFEITO!$J$1491*EFEITO!$Y$1336</f>
        <v>123475.79211797929</v>
      </c>
      <c r="K1491" s="83">
        <f>EFEITO!$L$1491*EFEITO!$Z$1336</f>
        <v>0</v>
      </c>
      <c r="L1491" s="83">
        <f>EFEITO!$N$1491*EFEITO!$AA$1336</f>
        <v>0</v>
      </c>
      <c r="M1491" s="83">
        <f ca="1">$J$1491-EFEITO!$K$1491*EFEITO!$Y$1491</f>
        <v>7408.547527078772</v>
      </c>
      <c r="N1491" s="83">
        <f>$K$1491-EFEITO!$M$1491*EFEITO!$Z$1491</f>
        <v>0</v>
      </c>
      <c r="O1491" s="83">
        <f>$L$1491-EFEITO!$O$1491*EFEITO!$AA$1491</f>
        <v>0</v>
      </c>
      <c r="P1491" s="61"/>
      <c r="Q1491" s="61"/>
      <c r="R1491" s="61"/>
      <c r="S1491" s="61"/>
      <c r="T1491" s="61"/>
      <c r="U1491" s="61"/>
      <c r="V1491" s="61"/>
      <c r="W1491" s="61"/>
      <c r="X1491" s="6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</row>
    <row r="1492" spans="1:36" ht="11.25" customHeight="1" x14ac:dyDescent="0.2">
      <c r="A1492" s="57" t="s">
        <v>28</v>
      </c>
      <c r="B1492" s="57" t="s">
        <v>35</v>
      </c>
      <c r="C1492" s="57" t="s">
        <v>36</v>
      </c>
      <c r="D1492" s="57" t="s">
        <v>52</v>
      </c>
      <c r="E1492" s="57" t="s">
        <v>53</v>
      </c>
      <c r="F1492" s="57" t="s">
        <v>25</v>
      </c>
      <c r="G1492" s="57" t="s">
        <v>25</v>
      </c>
      <c r="H1492" s="57" t="s">
        <v>25</v>
      </c>
      <c r="I1492" s="82">
        <v>44228</v>
      </c>
      <c r="J1492" s="83">
        <f ca="1">EFEITO!$J$1492*EFEITO!$Y$1336</f>
        <v>49620.217468668168</v>
      </c>
      <c r="K1492" s="83">
        <f>EFEITO!$L$1492*EFEITO!$Z$1336</f>
        <v>0</v>
      </c>
      <c r="L1492" s="83">
        <f>EFEITO!$N$1492*EFEITO!$AA$1336</f>
        <v>0</v>
      </c>
      <c r="M1492" s="83">
        <f ca="1">$J$1492-EFEITO!$K$1492*EFEITO!$Y$1492</f>
        <v>2977.2130481200948</v>
      </c>
      <c r="N1492" s="83">
        <f>$K$1492-EFEITO!$M$1492*EFEITO!$Z$1492</f>
        <v>0</v>
      </c>
      <c r="O1492" s="83">
        <f>$L$1492-EFEITO!$O$1492*EFEITO!$AA$1492</f>
        <v>0</v>
      </c>
      <c r="P1492" s="61"/>
      <c r="Q1492" s="61"/>
      <c r="R1492" s="61"/>
      <c r="S1492" s="61"/>
      <c r="T1492" s="61"/>
      <c r="U1492" s="61"/>
      <c r="V1492" s="61"/>
      <c r="W1492" s="61"/>
      <c r="X1492" s="6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</row>
    <row r="1493" spans="1:36" ht="11.25" customHeight="1" x14ac:dyDescent="0.2">
      <c r="A1493" s="57" t="s">
        <v>21</v>
      </c>
      <c r="B1493" s="57" t="s">
        <v>35</v>
      </c>
      <c r="C1493" s="57" t="s">
        <v>36</v>
      </c>
      <c r="D1493" s="57" t="s">
        <v>52</v>
      </c>
      <c r="E1493" s="57" t="s">
        <v>53</v>
      </c>
      <c r="F1493" s="57" t="s">
        <v>25</v>
      </c>
      <c r="G1493" s="57" t="s">
        <v>25</v>
      </c>
      <c r="H1493" s="57" t="s">
        <v>25</v>
      </c>
      <c r="I1493" s="82">
        <v>44256</v>
      </c>
      <c r="J1493" s="83">
        <f ca="1">EFEITO!$J$1493*EFEITO!$Y$1336</f>
        <v>129606.47535735142</v>
      </c>
      <c r="K1493" s="83">
        <f>EFEITO!$L$1493*EFEITO!$Z$1336</f>
        <v>0</v>
      </c>
      <c r="L1493" s="83">
        <f>EFEITO!$N$1493*EFEITO!$AA$1336</f>
        <v>0</v>
      </c>
      <c r="M1493" s="83">
        <f ca="1">$J$1493-EFEITO!$K$1493*EFEITO!$Y$1493</f>
        <v>7776.3885214410984</v>
      </c>
      <c r="N1493" s="83">
        <f>$K$1493-EFEITO!$M$1493*EFEITO!$Z$1493</f>
        <v>0</v>
      </c>
      <c r="O1493" s="83">
        <f>$L$1493-EFEITO!$O$1493*EFEITO!$AA$1493</f>
        <v>0</v>
      </c>
      <c r="P1493" s="61"/>
      <c r="Q1493" s="61"/>
      <c r="R1493" s="61"/>
      <c r="S1493" s="61"/>
      <c r="T1493" s="61"/>
      <c r="U1493" s="61"/>
      <c r="V1493" s="61"/>
      <c r="W1493" s="61"/>
      <c r="X1493" s="6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</row>
    <row r="1494" spans="1:36" ht="11.25" customHeight="1" x14ac:dyDescent="0.2">
      <c r="A1494" s="57" t="s">
        <v>28</v>
      </c>
      <c r="B1494" s="57" t="s">
        <v>35</v>
      </c>
      <c r="C1494" s="57" t="s">
        <v>36</v>
      </c>
      <c r="D1494" s="57" t="s">
        <v>52</v>
      </c>
      <c r="E1494" s="57" t="s">
        <v>53</v>
      </c>
      <c r="F1494" s="57" t="s">
        <v>25</v>
      </c>
      <c r="G1494" s="57" t="s">
        <v>25</v>
      </c>
      <c r="H1494" s="57" t="s">
        <v>25</v>
      </c>
      <c r="I1494" s="82">
        <v>44256</v>
      </c>
      <c r="J1494" s="83">
        <f ca="1">EFEITO!$J$1494*EFEITO!$Y$1336</f>
        <v>48406.853077542437</v>
      </c>
      <c r="K1494" s="83">
        <f>EFEITO!$L$1494*EFEITO!$Z$1336</f>
        <v>0</v>
      </c>
      <c r="L1494" s="83">
        <f>EFEITO!$N$1494*EFEITO!$AA$1336</f>
        <v>0</v>
      </c>
      <c r="M1494" s="83">
        <f ca="1">$J$1494-EFEITO!$K$1494*EFEITO!$Y$1494</f>
        <v>2904.4111846525484</v>
      </c>
      <c r="N1494" s="83">
        <f>$K$1494-EFEITO!$M$1494*EFEITO!$Z$1494</f>
        <v>0</v>
      </c>
      <c r="O1494" s="83">
        <f>$L$1494-EFEITO!$O$1494*EFEITO!$AA$1494</f>
        <v>0</v>
      </c>
      <c r="P1494" s="61"/>
      <c r="Q1494" s="61"/>
      <c r="R1494" s="61"/>
      <c r="S1494" s="61"/>
      <c r="T1494" s="61"/>
      <c r="U1494" s="61"/>
      <c r="V1494" s="61"/>
      <c r="W1494" s="61"/>
      <c r="X1494" s="6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</row>
    <row r="1495" spans="1:36" ht="11.25" customHeight="1" x14ac:dyDescent="0.2">
      <c r="A1495" s="57" t="s">
        <v>21</v>
      </c>
      <c r="B1495" s="57" t="s">
        <v>35</v>
      </c>
      <c r="C1495" s="57" t="s">
        <v>36</v>
      </c>
      <c r="D1495" s="57" t="s">
        <v>52</v>
      </c>
      <c r="E1495" s="57" t="s">
        <v>53</v>
      </c>
      <c r="F1495" s="57" t="s">
        <v>25</v>
      </c>
      <c r="G1495" s="57" t="s">
        <v>25</v>
      </c>
      <c r="H1495" s="57" t="s">
        <v>25</v>
      </c>
      <c r="I1495" s="82">
        <v>44287</v>
      </c>
      <c r="J1495" s="83">
        <f ca="1">EFEITO!$J$1495*EFEITO!$Y$1336</f>
        <v>125647.07576525692</v>
      </c>
      <c r="K1495" s="83">
        <f>EFEITO!$L$1495*EFEITO!$Z$1336</f>
        <v>0</v>
      </c>
      <c r="L1495" s="83">
        <f>EFEITO!$N$1495*EFEITO!$AA$1336</f>
        <v>0</v>
      </c>
      <c r="M1495" s="83">
        <f ca="1">$J$1495-EFEITO!$K$1495*EFEITO!$Y$1495</f>
        <v>7538.8245459154277</v>
      </c>
      <c r="N1495" s="83">
        <f>$K$1495-EFEITO!$M$1495*EFEITO!$Z$1495</f>
        <v>0</v>
      </c>
      <c r="O1495" s="83">
        <f>$L$1495-EFEITO!$O$1495*EFEITO!$AA$1495</f>
        <v>0</v>
      </c>
      <c r="P1495" s="61"/>
      <c r="Q1495" s="61"/>
      <c r="R1495" s="61"/>
      <c r="S1495" s="61"/>
      <c r="T1495" s="61"/>
      <c r="U1495" s="61"/>
      <c r="V1495" s="61"/>
      <c r="W1495" s="61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</row>
    <row r="1496" spans="1:36" ht="11.25" customHeight="1" x14ac:dyDescent="0.2">
      <c r="A1496" s="57" t="s">
        <v>27</v>
      </c>
      <c r="B1496" s="57" t="s">
        <v>35</v>
      </c>
      <c r="C1496" s="57" t="s">
        <v>36</v>
      </c>
      <c r="D1496" s="57" t="s">
        <v>52</v>
      </c>
      <c r="E1496" s="57" t="s">
        <v>53</v>
      </c>
      <c r="F1496" s="57" t="s">
        <v>25</v>
      </c>
      <c r="G1496" s="57" t="s">
        <v>25</v>
      </c>
      <c r="H1496" s="57" t="s">
        <v>25</v>
      </c>
      <c r="I1496" s="82">
        <v>44287</v>
      </c>
      <c r="J1496" s="83">
        <f ca="1">EFEITO!$J$1496*EFEITO!$Y$1336</f>
        <v>-3033.4109778143347</v>
      </c>
      <c r="K1496" s="83">
        <f>EFEITO!$L$1496*EFEITO!$Z$1336</f>
        <v>0</v>
      </c>
      <c r="L1496" s="83">
        <f>EFEITO!$N$1496*EFEITO!$AA$1336</f>
        <v>0</v>
      </c>
      <c r="M1496" s="83">
        <f ca="1">$J$1496-EFEITO!$K$1496*EFEITO!$Y$1496</f>
        <v>-182.00465866886043</v>
      </c>
      <c r="N1496" s="83">
        <f>$K$1496-EFEITO!$M$1496*EFEITO!$Z$1496</f>
        <v>0</v>
      </c>
      <c r="O1496" s="83">
        <f>$L$1496-EFEITO!$O$1496*EFEITO!$AA$1496</f>
        <v>0</v>
      </c>
      <c r="P1496" s="61"/>
      <c r="Q1496" s="61"/>
      <c r="R1496" s="61"/>
      <c r="S1496" s="61"/>
      <c r="T1496" s="61"/>
      <c r="U1496" s="61"/>
      <c r="V1496" s="61"/>
      <c r="W1496" s="61"/>
      <c r="X1496" s="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</row>
    <row r="1497" spans="1:36" ht="11.25" customHeight="1" x14ac:dyDescent="0.2">
      <c r="A1497" s="57" t="s">
        <v>28</v>
      </c>
      <c r="B1497" s="57" t="s">
        <v>35</v>
      </c>
      <c r="C1497" s="57" t="s">
        <v>36</v>
      </c>
      <c r="D1497" s="57" t="s">
        <v>52</v>
      </c>
      <c r="E1497" s="57" t="s">
        <v>53</v>
      </c>
      <c r="F1497" s="57" t="s">
        <v>25</v>
      </c>
      <c r="G1497" s="57" t="s">
        <v>25</v>
      </c>
      <c r="H1497" s="57" t="s">
        <v>25</v>
      </c>
      <c r="I1497" s="82">
        <v>44287</v>
      </c>
      <c r="J1497" s="83">
        <f ca="1">EFEITO!$J$1497*EFEITO!$Y$1336</f>
        <v>49907.593245513737</v>
      </c>
      <c r="K1497" s="83">
        <f>EFEITO!$L$1497*EFEITO!$Z$1336</f>
        <v>0</v>
      </c>
      <c r="L1497" s="83">
        <f>EFEITO!$N$1497*EFEITO!$AA$1336</f>
        <v>0</v>
      </c>
      <c r="M1497" s="83">
        <f ca="1">$J$1497-EFEITO!$K$1497*EFEITO!$Y$1497</f>
        <v>2994.4555947308254</v>
      </c>
      <c r="N1497" s="83">
        <f>$K$1497-EFEITO!$M$1497*EFEITO!$Z$1497</f>
        <v>0</v>
      </c>
      <c r="O1497" s="83">
        <f>$L$1497-EFEITO!$O$1497*EFEITO!$AA$1497</f>
        <v>0</v>
      </c>
      <c r="P1497" s="61"/>
      <c r="Q1497" s="61"/>
      <c r="R1497" s="61"/>
      <c r="S1497" s="61"/>
      <c r="T1497" s="61"/>
      <c r="U1497" s="61"/>
      <c r="V1497" s="61"/>
      <c r="W1497" s="61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</row>
    <row r="1498" spans="1:36" ht="11.25" customHeight="1" x14ac:dyDescent="0.2">
      <c r="A1498" s="57" t="s">
        <v>21</v>
      </c>
      <c r="B1498" s="57" t="s">
        <v>35</v>
      </c>
      <c r="C1498" s="57" t="s">
        <v>36</v>
      </c>
      <c r="D1498" s="57" t="s">
        <v>52</v>
      </c>
      <c r="E1498" s="57" t="s">
        <v>53</v>
      </c>
      <c r="F1498" s="57" t="s">
        <v>25</v>
      </c>
      <c r="G1498" s="57" t="s">
        <v>25</v>
      </c>
      <c r="H1498" s="57" t="s">
        <v>25</v>
      </c>
      <c r="I1498" s="82">
        <v>44317</v>
      </c>
      <c r="J1498" s="83">
        <f ca="1">EFEITO!$J$1498*EFEITO!$Y$1336</f>
        <v>120218.86664706285</v>
      </c>
      <c r="K1498" s="83">
        <f>EFEITO!$L$1498*EFEITO!$Z$1336</f>
        <v>0</v>
      </c>
      <c r="L1498" s="83">
        <f>EFEITO!$N$1498*EFEITO!$AA$1336</f>
        <v>0</v>
      </c>
      <c r="M1498" s="83">
        <f ca="1">$J$1498-EFEITO!$K$1498*EFEITO!$Y$1498</f>
        <v>7213.131998823781</v>
      </c>
      <c r="N1498" s="83">
        <f>$K$1498-EFEITO!$M$1498*EFEITO!$Z$1498</f>
        <v>0</v>
      </c>
      <c r="O1498" s="83">
        <f>$L$1498-EFEITO!$O$1498*EFEITO!$AA$1498</f>
        <v>0</v>
      </c>
      <c r="P1498" s="61"/>
      <c r="Q1498" s="61"/>
      <c r="R1498" s="61"/>
      <c r="S1498" s="61"/>
      <c r="T1498" s="61"/>
      <c r="U1498" s="61"/>
      <c r="V1498" s="61"/>
      <c r="W1498" s="61"/>
      <c r="X1498" s="6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</row>
    <row r="1499" spans="1:36" ht="11.25" customHeight="1" x14ac:dyDescent="0.2">
      <c r="A1499" s="57" t="s">
        <v>28</v>
      </c>
      <c r="B1499" s="57" t="s">
        <v>35</v>
      </c>
      <c r="C1499" s="57" t="s">
        <v>36</v>
      </c>
      <c r="D1499" s="57" t="s">
        <v>52</v>
      </c>
      <c r="E1499" s="57" t="s">
        <v>53</v>
      </c>
      <c r="F1499" s="57" t="s">
        <v>25</v>
      </c>
      <c r="G1499" s="57" t="s">
        <v>25</v>
      </c>
      <c r="H1499" s="57" t="s">
        <v>25</v>
      </c>
      <c r="I1499" s="82">
        <v>44317</v>
      </c>
      <c r="J1499" s="83">
        <f ca="1">EFEITO!$J$1499*EFEITO!$Y$1336</f>
        <v>56102.137768629327</v>
      </c>
      <c r="K1499" s="83">
        <f>EFEITO!$L$1499*EFEITO!$Z$1336</f>
        <v>0</v>
      </c>
      <c r="L1499" s="83">
        <f>EFEITO!$N$1499*EFEITO!$AA$1336</f>
        <v>0</v>
      </c>
      <c r="M1499" s="83">
        <f ca="1">$J$1499-EFEITO!$K$1499*EFEITO!$Y$1499</f>
        <v>3366.1282661177611</v>
      </c>
      <c r="N1499" s="83">
        <f>$K$1499-EFEITO!$M$1499*EFEITO!$Z$1499</f>
        <v>0</v>
      </c>
      <c r="O1499" s="83">
        <f>$L$1499-EFEITO!$O$1499*EFEITO!$AA$1499</f>
        <v>0</v>
      </c>
      <c r="P1499" s="61"/>
      <c r="Q1499" s="61"/>
      <c r="R1499" s="61"/>
      <c r="S1499" s="61"/>
      <c r="T1499" s="61"/>
      <c r="U1499" s="61"/>
      <c r="V1499" s="61"/>
      <c r="W1499" s="61"/>
      <c r="X1499" s="6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</row>
    <row r="1500" spans="1:36" ht="11.25" customHeight="1" x14ac:dyDescent="0.2">
      <c r="A1500" s="57" t="s">
        <v>29</v>
      </c>
      <c r="B1500" s="57" t="s">
        <v>35</v>
      </c>
      <c r="C1500" s="57" t="s">
        <v>36</v>
      </c>
      <c r="D1500" s="57" t="s">
        <v>52</v>
      </c>
      <c r="E1500" s="57" t="s">
        <v>53</v>
      </c>
      <c r="F1500" s="57" t="s">
        <v>25</v>
      </c>
      <c r="G1500" s="57" t="s">
        <v>25</v>
      </c>
      <c r="H1500" s="57" t="s">
        <v>25</v>
      </c>
      <c r="I1500" s="82">
        <v>44317</v>
      </c>
      <c r="J1500" s="83">
        <f ca="1">EFEITO!$J$1500*EFEITO!$Y$1336</f>
        <v>57475.155369113709</v>
      </c>
      <c r="K1500" s="83">
        <f>EFEITO!$L$1500*EFEITO!$Z$1336</f>
        <v>0</v>
      </c>
      <c r="L1500" s="83">
        <f>EFEITO!$N$1500*EFEITO!$AA$1336</f>
        <v>0</v>
      </c>
      <c r="M1500" s="83">
        <f ca="1">$J$1500-EFEITO!$K$1500*EFEITO!$Y$1500</f>
        <v>3448.5093221468269</v>
      </c>
      <c r="N1500" s="83">
        <f>$K$1500-EFEITO!$M$1500*EFEITO!$Z$1500</f>
        <v>0</v>
      </c>
      <c r="O1500" s="83">
        <f>$L$1500-EFEITO!$O$1500*EFEITO!$AA$1500</f>
        <v>0</v>
      </c>
      <c r="P1500" s="61"/>
      <c r="Q1500" s="61"/>
      <c r="R1500" s="61"/>
      <c r="S1500" s="61"/>
      <c r="T1500" s="61"/>
      <c r="U1500" s="61"/>
      <c r="V1500" s="61"/>
      <c r="W1500" s="61"/>
      <c r="X1500" s="6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</row>
    <row r="1501" spans="1:36" ht="11.25" customHeight="1" x14ac:dyDescent="0.2">
      <c r="A1501" s="57" t="s">
        <v>21</v>
      </c>
      <c r="B1501" s="57" t="s">
        <v>35</v>
      </c>
      <c r="C1501" s="57" t="s">
        <v>36</v>
      </c>
      <c r="D1501" s="57" t="s">
        <v>52</v>
      </c>
      <c r="E1501" s="57" t="s">
        <v>53</v>
      </c>
      <c r="F1501" s="57" t="s">
        <v>25</v>
      </c>
      <c r="G1501" s="57" t="s">
        <v>25</v>
      </c>
      <c r="H1501" s="57" t="s">
        <v>25</v>
      </c>
      <c r="I1501" s="82">
        <v>44348</v>
      </c>
      <c r="J1501" s="83">
        <f ca="1">EFEITO!$J$1501*EFEITO!$Y$1336</f>
        <v>125072.32421156578</v>
      </c>
      <c r="K1501" s="83">
        <f>EFEITO!$L$1501*EFEITO!$Z$1336</f>
        <v>0</v>
      </c>
      <c r="L1501" s="83">
        <f>EFEITO!$N$1501*EFEITO!$AA$1336</f>
        <v>0</v>
      </c>
      <c r="M1501" s="83">
        <f ca="1">$J$1501-EFEITO!$K$1501*EFEITO!$Y$1501</f>
        <v>7504.3394526939519</v>
      </c>
      <c r="N1501" s="83">
        <f>$K$1501-EFEITO!$M$1501*EFEITO!$Z$1501</f>
        <v>0</v>
      </c>
      <c r="O1501" s="83">
        <f>$L$1501-EFEITO!$O$1501*EFEITO!$AA$1501</f>
        <v>0</v>
      </c>
      <c r="P1501" s="61"/>
      <c r="Q1501" s="61"/>
      <c r="R1501" s="61"/>
      <c r="S1501" s="61"/>
      <c r="T1501" s="61"/>
      <c r="U1501" s="61"/>
      <c r="V1501" s="61"/>
      <c r="W1501" s="61"/>
      <c r="X1501" s="6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</row>
    <row r="1502" spans="1:36" ht="11.25" customHeight="1" x14ac:dyDescent="0.2">
      <c r="A1502" s="57" t="s">
        <v>28</v>
      </c>
      <c r="B1502" s="57" t="s">
        <v>35</v>
      </c>
      <c r="C1502" s="57" t="s">
        <v>36</v>
      </c>
      <c r="D1502" s="57" t="s">
        <v>52</v>
      </c>
      <c r="E1502" s="57" t="s">
        <v>53</v>
      </c>
      <c r="F1502" s="57" t="s">
        <v>25</v>
      </c>
      <c r="G1502" s="57" t="s">
        <v>25</v>
      </c>
      <c r="H1502" s="57" t="s">
        <v>25</v>
      </c>
      <c r="I1502" s="82">
        <v>44348</v>
      </c>
      <c r="J1502" s="83">
        <f ca="1">EFEITO!$J$1502*EFEITO!$Y$1336</f>
        <v>62871.433845436055</v>
      </c>
      <c r="K1502" s="83">
        <f>EFEITO!$L$1502*EFEITO!$Z$1336</f>
        <v>0</v>
      </c>
      <c r="L1502" s="83">
        <f>EFEITO!$N$1502*EFEITO!$AA$1336</f>
        <v>0</v>
      </c>
      <c r="M1502" s="83">
        <f ca="1">$J$1502-EFEITO!$K$1502*EFEITO!$Y$1502</f>
        <v>3772.2860307261653</v>
      </c>
      <c r="N1502" s="83">
        <f>$K$1502-EFEITO!$M$1502*EFEITO!$Z$1502</f>
        <v>0</v>
      </c>
      <c r="O1502" s="83">
        <f>$L$1502-EFEITO!$O$1502*EFEITO!$AA$1502</f>
        <v>0</v>
      </c>
      <c r="P1502" s="61"/>
      <c r="Q1502" s="61"/>
      <c r="R1502" s="61"/>
      <c r="S1502" s="61"/>
      <c r="T1502" s="61"/>
      <c r="U1502" s="61"/>
      <c r="V1502" s="61"/>
      <c r="W1502" s="61"/>
      <c r="X1502" s="6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</row>
    <row r="1503" spans="1:36" ht="11.25" customHeight="1" x14ac:dyDescent="0.2">
      <c r="A1503" s="57" t="s">
        <v>21</v>
      </c>
      <c r="B1503" s="57" t="s">
        <v>35</v>
      </c>
      <c r="C1503" s="57" t="s">
        <v>36</v>
      </c>
      <c r="D1503" s="57" t="s">
        <v>52</v>
      </c>
      <c r="E1503" s="57" t="s">
        <v>53</v>
      </c>
      <c r="F1503" s="57" t="s">
        <v>25</v>
      </c>
      <c r="G1503" s="57" t="s">
        <v>25</v>
      </c>
      <c r="H1503" s="57" t="s">
        <v>25</v>
      </c>
      <c r="I1503" s="82">
        <v>44378</v>
      </c>
      <c r="J1503" s="83">
        <f ca="1">EFEITO!$J$1503*EFEITO!$Y$1336</f>
        <v>124880.7403603354</v>
      </c>
      <c r="K1503" s="83">
        <f>EFEITO!$L$1503*EFEITO!$Z$1336</f>
        <v>0</v>
      </c>
      <c r="L1503" s="83">
        <f>EFEITO!$N$1503*EFEITO!$AA$1336</f>
        <v>0</v>
      </c>
      <c r="M1503" s="83">
        <f ca="1">$J$1503-EFEITO!$K$1503*EFEITO!$Y$1503</f>
        <v>7492.8444216201315</v>
      </c>
      <c r="N1503" s="83">
        <f>$K$1503-EFEITO!$M$1503*EFEITO!$Z$1503</f>
        <v>0</v>
      </c>
      <c r="O1503" s="83">
        <f>$L$1503-EFEITO!$O$1503*EFEITO!$AA$1503</f>
        <v>0</v>
      </c>
      <c r="P1503" s="61"/>
      <c r="Q1503" s="61"/>
      <c r="R1503" s="61"/>
      <c r="S1503" s="61"/>
      <c r="T1503" s="61"/>
      <c r="U1503" s="61"/>
      <c r="V1503" s="61"/>
      <c r="W1503" s="61"/>
      <c r="X1503" s="6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</row>
    <row r="1504" spans="1:36" ht="11.25" customHeight="1" x14ac:dyDescent="0.2">
      <c r="A1504" s="57" t="s">
        <v>28</v>
      </c>
      <c r="B1504" s="57" t="s">
        <v>35</v>
      </c>
      <c r="C1504" s="57" t="s">
        <v>36</v>
      </c>
      <c r="D1504" s="57" t="s">
        <v>52</v>
      </c>
      <c r="E1504" s="57" t="s">
        <v>53</v>
      </c>
      <c r="F1504" s="57" t="s">
        <v>25</v>
      </c>
      <c r="G1504" s="57" t="s">
        <v>25</v>
      </c>
      <c r="H1504" s="57" t="s">
        <v>25</v>
      </c>
      <c r="I1504" s="82">
        <v>44378</v>
      </c>
      <c r="J1504" s="83">
        <f ca="1">EFEITO!$J$1504*EFEITO!$Y$1336</f>
        <v>57794.461787831009</v>
      </c>
      <c r="K1504" s="83">
        <f>EFEITO!$L$1504*EFEITO!$Z$1336</f>
        <v>0</v>
      </c>
      <c r="L1504" s="83">
        <f>EFEITO!$N$1504*EFEITO!$AA$1336</f>
        <v>0</v>
      </c>
      <c r="M1504" s="83">
        <f ca="1">$J$1504-EFEITO!$K$1504*EFEITO!$Y$1504</f>
        <v>3467.6677072698658</v>
      </c>
      <c r="N1504" s="83">
        <f>$K$1504-EFEITO!$M$1504*EFEITO!$Z$1504</f>
        <v>0</v>
      </c>
      <c r="O1504" s="83">
        <f>$L$1504-EFEITO!$O$1504*EFEITO!$AA$1504</f>
        <v>0</v>
      </c>
      <c r="P1504" s="61"/>
      <c r="Q1504" s="61"/>
      <c r="R1504" s="61"/>
      <c r="S1504" s="61"/>
      <c r="T1504" s="61"/>
      <c r="U1504" s="61"/>
      <c r="V1504" s="61"/>
      <c r="W1504" s="61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</row>
    <row r="1505" spans="1:36" ht="11.25" customHeight="1" x14ac:dyDescent="0.2">
      <c r="A1505" s="57" t="s">
        <v>21</v>
      </c>
      <c r="B1505" s="57" t="s">
        <v>35</v>
      </c>
      <c r="C1505" s="57" t="s">
        <v>36</v>
      </c>
      <c r="D1505" s="57" t="s">
        <v>52</v>
      </c>
      <c r="E1505" s="57" t="s">
        <v>53</v>
      </c>
      <c r="F1505" s="57" t="s">
        <v>25</v>
      </c>
      <c r="G1505" s="57" t="s">
        <v>25</v>
      </c>
      <c r="H1505" s="57" t="s">
        <v>25</v>
      </c>
      <c r="I1505" s="82">
        <v>44409</v>
      </c>
      <c r="J1505" s="83">
        <f ca="1">EFEITO!$J$1505*EFEITO!$Y$1336</f>
        <v>124625.29522536157</v>
      </c>
      <c r="K1505" s="83">
        <f>EFEITO!$L$1505*EFEITO!$Z$1336</f>
        <v>0</v>
      </c>
      <c r="L1505" s="83">
        <f>EFEITO!$N$1505*EFEITO!$AA$1336</f>
        <v>0</v>
      </c>
      <c r="M1505" s="83">
        <f ca="1">$J$1505-EFEITO!$K$1505*EFEITO!$Y$1505</f>
        <v>7477.5177135217091</v>
      </c>
      <c r="N1505" s="83">
        <f>$K$1505-EFEITO!$M$1505*EFEITO!$Z$1505</f>
        <v>0</v>
      </c>
      <c r="O1505" s="83">
        <f>$L$1505-EFEITO!$O$1505*EFEITO!$AA$1505</f>
        <v>0</v>
      </c>
      <c r="P1505" s="61"/>
      <c r="Q1505" s="61"/>
      <c r="R1505" s="61"/>
      <c r="S1505" s="61"/>
      <c r="T1505" s="61"/>
      <c r="U1505" s="61"/>
      <c r="V1505" s="61"/>
      <c r="W1505" s="61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</row>
    <row r="1506" spans="1:36" ht="11.25" customHeight="1" x14ac:dyDescent="0.2">
      <c r="A1506" s="57" t="s">
        <v>28</v>
      </c>
      <c r="B1506" s="57" t="s">
        <v>35</v>
      </c>
      <c r="C1506" s="57" t="s">
        <v>36</v>
      </c>
      <c r="D1506" s="57" t="s">
        <v>52</v>
      </c>
      <c r="E1506" s="57" t="s">
        <v>53</v>
      </c>
      <c r="F1506" s="57" t="s">
        <v>25</v>
      </c>
      <c r="G1506" s="57" t="s">
        <v>25</v>
      </c>
      <c r="H1506" s="57" t="s">
        <v>25</v>
      </c>
      <c r="I1506" s="82">
        <v>44409</v>
      </c>
      <c r="J1506" s="83">
        <f ca="1">EFEITO!$J$1506*EFEITO!$Y$1336</f>
        <v>63031.087054794705</v>
      </c>
      <c r="K1506" s="83">
        <f>EFEITO!$L$1506*EFEITO!$Z$1336</f>
        <v>0</v>
      </c>
      <c r="L1506" s="83">
        <f>EFEITO!$N$1506*EFEITO!$AA$1336</f>
        <v>0</v>
      </c>
      <c r="M1506" s="83">
        <f ca="1">$J$1506-EFEITO!$K$1506*EFEITO!$Y$1506</f>
        <v>3781.8652232876921</v>
      </c>
      <c r="N1506" s="83">
        <f>$K$1506-EFEITO!$M$1506*EFEITO!$Z$1506</f>
        <v>0</v>
      </c>
      <c r="O1506" s="83">
        <f>$L$1506-EFEITO!$O$1506*EFEITO!$AA$1506</f>
        <v>0</v>
      </c>
      <c r="P1506" s="61"/>
      <c r="Q1506" s="61"/>
      <c r="R1506" s="61"/>
      <c r="S1506" s="61"/>
      <c r="T1506" s="61"/>
      <c r="U1506" s="61"/>
      <c r="V1506" s="61"/>
      <c r="W1506" s="61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</row>
    <row r="1507" spans="1:36" ht="11.25" customHeight="1" x14ac:dyDescent="0.2">
      <c r="A1507" s="57" t="s">
        <v>21</v>
      </c>
      <c r="B1507" s="57" t="s">
        <v>35</v>
      </c>
      <c r="C1507" s="57" t="s">
        <v>36</v>
      </c>
      <c r="D1507" s="57" t="s">
        <v>52</v>
      </c>
      <c r="E1507" s="57" t="s">
        <v>53</v>
      </c>
      <c r="F1507" s="57" t="s">
        <v>25</v>
      </c>
      <c r="G1507" s="57" t="s">
        <v>25</v>
      </c>
      <c r="H1507" s="57" t="s">
        <v>25</v>
      </c>
      <c r="I1507" s="82">
        <v>44440</v>
      </c>
      <c r="J1507" s="83">
        <f ca="1">EFEITO!$J$1507*EFEITO!$Y$1336</f>
        <v>114183.97533330591</v>
      </c>
      <c r="K1507" s="83">
        <f>EFEITO!$L$1507*EFEITO!$Z$1336</f>
        <v>0</v>
      </c>
      <c r="L1507" s="83">
        <f>EFEITO!$N$1507*EFEITO!$AA$1336</f>
        <v>0</v>
      </c>
      <c r="M1507" s="83">
        <f ca="1">$J$1507-EFEITO!$K$1507*EFEITO!$Y$1507</f>
        <v>6851.0385199983575</v>
      </c>
      <c r="N1507" s="83">
        <f>$K$1507-EFEITO!$M$1507*EFEITO!$Z$1507</f>
        <v>0</v>
      </c>
      <c r="O1507" s="83">
        <f>$L$1507-EFEITO!$O$1507*EFEITO!$AA$1507</f>
        <v>0</v>
      </c>
      <c r="P1507" s="61"/>
      <c r="Q1507" s="61"/>
      <c r="R1507" s="61"/>
      <c r="S1507" s="61"/>
      <c r="T1507" s="61"/>
      <c r="U1507" s="61"/>
      <c r="V1507" s="61"/>
      <c r="W1507" s="61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</row>
    <row r="1508" spans="1:36" ht="11.25" customHeight="1" x14ac:dyDescent="0.2">
      <c r="A1508" s="57" t="s">
        <v>28</v>
      </c>
      <c r="B1508" s="57" t="s">
        <v>35</v>
      </c>
      <c r="C1508" s="57" t="s">
        <v>36</v>
      </c>
      <c r="D1508" s="57" t="s">
        <v>52</v>
      </c>
      <c r="E1508" s="57" t="s">
        <v>53</v>
      </c>
      <c r="F1508" s="57" t="s">
        <v>25</v>
      </c>
      <c r="G1508" s="57" t="s">
        <v>25</v>
      </c>
      <c r="H1508" s="57" t="s">
        <v>25</v>
      </c>
      <c r="I1508" s="82">
        <v>44440</v>
      </c>
      <c r="J1508" s="83">
        <f ca="1">EFEITO!$J$1508*EFEITO!$Y$1336</f>
        <v>59997.676076980366</v>
      </c>
      <c r="K1508" s="83">
        <f>EFEITO!$L$1508*EFEITO!$Z$1336</f>
        <v>0</v>
      </c>
      <c r="L1508" s="83">
        <f>EFEITO!$N$1508*EFEITO!$AA$1336</f>
        <v>0</v>
      </c>
      <c r="M1508" s="83">
        <f ca="1">$J$1508-EFEITO!$K$1508*EFEITO!$Y$1508</f>
        <v>3599.8605646188225</v>
      </c>
      <c r="N1508" s="83">
        <f>$K$1508-EFEITO!$M$1508*EFEITO!$Z$1508</f>
        <v>0</v>
      </c>
      <c r="O1508" s="83">
        <f>$L$1508-EFEITO!$O$1508*EFEITO!$AA$1508</f>
        <v>0</v>
      </c>
      <c r="P1508" s="61"/>
      <c r="Q1508" s="61"/>
      <c r="R1508" s="61"/>
      <c r="S1508" s="61"/>
      <c r="T1508" s="61"/>
      <c r="U1508" s="61"/>
      <c r="V1508" s="61"/>
      <c r="W1508" s="61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</row>
    <row r="1509" spans="1:36" ht="11.25" customHeight="1" x14ac:dyDescent="0.2">
      <c r="A1509" s="57" t="s">
        <v>59</v>
      </c>
      <c r="B1509" s="57" t="s">
        <v>35</v>
      </c>
      <c r="C1509" s="57" t="s">
        <v>36</v>
      </c>
      <c r="D1509" s="57" t="s">
        <v>52</v>
      </c>
      <c r="E1509" s="57" t="s">
        <v>53</v>
      </c>
      <c r="F1509" s="57" t="s">
        <v>25</v>
      </c>
      <c r="G1509" s="57" t="s">
        <v>25</v>
      </c>
      <c r="H1509" s="57" t="s">
        <v>25</v>
      </c>
      <c r="I1509" s="82">
        <v>44470</v>
      </c>
      <c r="J1509" s="83">
        <f ca="1">EFEITO!$J$1509*EFEITO!$Y$1336</f>
        <v>114183.97533330591</v>
      </c>
      <c r="K1509" s="83">
        <f>EFEITO!$L$1509*EFEITO!$Z$1336</f>
        <v>0</v>
      </c>
      <c r="L1509" s="83">
        <f>EFEITO!$N$1509*EFEITO!$AA$1336</f>
        <v>0</v>
      </c>
      <c r="M1509" s="83">
        <f ca="1">$J$1509-EFEITO!$K$1509*EFEITO!$Y$1509</f>
        <v>6851.0385199983575</v>
      </c>
      <c r="N1509" s="83">
        <f>$K$1509-EFEITO!$M$1509*EFEITO!$Z$1509</f>
        <v>0</v>
      </c>
      <c r="O1509" s="83">
        <f>$L$1509-EFEITO!$O$1509*EFEITO!$AA$1509</f>
        <v>0</v>
      </c>
      <c r="P1509" s="61"/>
      <c r="Q1509" s="61"/>
      <c r="R1509" s="61"/>
      <c r="S1509" s="61"/>
      <c r="T1509" s="61"/>
      <c r="U1509" s="61"/>
      <c r="V1509" s="61"/>
      <c r="W1509" s="61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</row>
    <row r="1510" spans="1:36" ht="11.25" customHeight="1" x14ac:dyDescent="0.2">
      <c r="A1510" s="57" t="s">
        <v>59</v>
      </c>
      <c r="B1510" s="57" t="s">
        <v>35</v>
      </c>
      <c r="C1510" s="57" t="s">
        <v>36</v>
      </c>
      <c r="D1510" s="57" t="s">
        <v>52</v>
      </c>
      <c r="E1510" s="57" t="s">
        <v>53</v>
      </c>
      <c r="F1510" s="57" t="s">
        <v>25</v>
      </c>
      <c r="G1510" s="57" t="s">
        <v>25</v>
      </c>
      <c r="H1510" s="57" t="s">
        <v>25</v>
      </c>
      <c r="I1510" s="82">
        <v>44470</v>
      </c>
      <c r="J1510" s="83">
        <f ca="1">EFEITO!$J$1510*EFEITO!$Y$1336</f>
        <v>59997.676076980366</v>
      </c>
      <c r="K1510" s="83">
        <f>EFEITO!$L$1510*EFEITO!$Z$1336</f>
        <v>0</v>
      </c>
      <c r="L1510" s="83">
        <f>EFEITO!$N$1510*EFEITO!$AA$1336</f>
        <v>0</v>
      </c>
      <c r="M1510" s="83">
        <f ca="1">$J$1510-EFEITO!$K$1510*EFEITO!$Y$1510</f>
        <v>3599.8605646188225</v>
      </c>
      <c r="N1510" s="83">
        <f>$K$1510-EFEITO!$M$1510*EFEITO!$Z$1510</f>
        <v>0</v>
      </c>
      <c r="O1510" s="83">
        <f>$L$1510-EFEITO!$O$1510*EFEITO!$AA$1510</f>
        <v>0</v>
      </c>
      <c r="P1510" s="61"/>
      <c r="Q1510" s="61"/>
      <c r="R1510" s="61"/>
      <c r="S1510" s="61"/>
      <c r="T1510" s="61"/>
      <c r="U1510" s="61"/>
      <c r="V1510" s="61"/>
      <c r="W1510" s="61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</row>
    <row r="1511" spans="1:36" ht="11.25" customHeight="1" x14ac:dyDescent="0.2">
      <c r="A1511" s="57" t="s">
        <v>21</v>
      </c>
      <c r="B1511" s="57" t="s">
        <v>35</v>
      </c>
      <c r="C1511" s="57" t="s">
        <v>36</v>
      </c>
      <c r="D1511" s="57" t="s">
        <v>52</v>
      </c>
      <c r="E1511" s="57" t="s">
        <v>53</v>
      </c>
      <c r="F1511" s="57" t="s">
        <v>25</v>
      </c>
      <c r="G1511" s="57" t="s">
        <v>25</v>
      </c>
      <c r="H1511" s="57" t="s">
        <v>37</v>
      </c>
      <c r="I1511" s="82">
        <v>44136</v>
      </c>
      <c r="J1511" s="83">
        <f>EFEITO!$J$1511*EFEITO!$Y$1355</f>
        <v>0</v>
      </c>
      <c r="K1511" s="83">
        <f ca="1">EFEITO!$L$1511*EFEITO!$Z$1355</f>
        <v>194941.68818869011</v>
      </c>
      <c r="L1511" s="83">
        <f>EFEITO!$N$1511*EFEITO!$AA$1355</f>
        <v>55148.218889421463</v>
      </c>
      <c r="M1511" s="83">
        <f>$J$1511-EFEITO!$K$1511*EFEITO!$Y$1511</f>
        <v>0</v>
      </c>
      <c r="N1511" s="83">
        <f ca="1">$K$1511-EFEITO!$M$1511*EFEITO!$Z$1511</f>
        <v>11696.501291321445</v>
      </c>
      <c r="O1511" s="83">
        <f>$L$1511-EFEITO!$O$1511*EFEITO!$AA$1511</f>
        <v>3308.8931333652945</v>
      </c>
      <c r="P1511" s="61"/>
      <c r="Q1511" s="61"/>
      <c r="R1511" s="61"/>
      <c r="S1511" s="61"/>
      <c r="T1511" s="61"/>
      <c r="U1511" s="61"/>
      <c r="V1511" s="61"/>
      <c r="W1511" s="61"/>
      <c r="X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</row>
    <row r="1512" spans="1:36" ht="11.25" customHeight="1" x14ac:dyDescent="0.2">
      <c r="A1512" s="57" t="s">
        <v>28</v>
      </c>
      <c r="B1512" s="57" t="s">
        <v>35</v>
      </c>
      <c r="C1512" s="57" t="s">
        <v>36</v>
      </c>
      <c r="D1512" s="57" t="s">
        <v>52</v>
      </c>
      <c r="E1512" s="57" t="s">
        <v>53</v>
      </c>
      <c r="F1512" s="57" t="s">
        <v>25</v>
      </c>
      <c r="G1512" s="57" t="s">
        <v>25</v>
      </c>
      <c r="H1512" s="57" t="s">
        <v>37</v>
      </c>
      <c r="I1512" s="82">
        <v>44136</v>
      </c>
      <c r="J1512" s="83">
        <f>EFEITO!$J$1512*EFEITO!$Y$1355</f>
        <v>0</v>
      </c>
      <c r="K1512" s="83">
        <f ca="1">EFEITO!$L$1512*EFEITO!$Z$1355</f>
        <v>133478.78246248764</v>
      </c>
      <c r="L1512" s="83">
        <f>EFEITO!$N$1512*EFEITO!$AA$1355</f>
        <v>37760.610266233489</v>
      </c>
      <c r="M1512" s="83">
        <f>$J$1512-EFEITO!$K$1512*EFEITO!$Y$1512</f>
        <v>0</v>
      </c>
      <c r="N1512" s="83">
        <f ca="1">$K$1512-EFEITO!$M$1512*EFEITO!$Z$1512</f>
        <v>8008.7269477492664</v>
      </c>
      <c r="O1512" s="83">
        <f>$L$1512-EFEITO!$O$1512*EFEITO!$AA$1512</f>
        <v>2265.6366159740137</v>
      </c>
      <c r="P1512" s="61"/>
      <c r="Q1512" s="61"/>
      <c r="R1512" s="61"/>
      <c r="S1512" s="61"/>
      <c r="T1512" s="61"/>
      <c r="U1512" s="61"/>
      <c r="V1512" s="61"/>
      <c r="W1512" s="61"/>
      <c r="X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</row>
    <row r="1513" spans="1:36" ht="11.25" customHeight="1" x14ac:dyDescent="0.2">
      <c r="A1513" s="57" t="s">
        <v>21</v>
      </c>
      <c r="B1513" s="57" t="s">
        <v>35</v>
      </c>
      <c r="C1513" s="57" t="s">
        <v>36</v>
      </c>
      <c r="D1513" s="57" t="s">
        <v>52</v>
      </c>
      <c r="E1513" s="57" t="s">
        <v>53</v>
      </c>
      <c r="F1513" s="57" t="s">
        <v>25</v>
      </c>
      <c r="G1513" s="57" t="s">
        <v>25</v>
      </c>
      <c r="H1513" s="57" t="s">
        <v>37</v>
      </c>
      <c r="I1513" s="82">
        <v>44166</v>
      </c>
      <c r="J1513" s="83">
        <f>EFEITO!$J$1513*EFEITO!$Y$1355</f>
        <v>0</v>
      </c>
      <c r="K1513" s="83">
        <f ca="1">EFEITO!$L$1513*EFEITO!$Z$1355</f>
        <v>212066.37695455711</v>
      </c>
      <c r="L1513" s="83">
        <f>EFEITO!$N$1513*EFEITO!$AA$1355</f>
        <v>59992.724409242037</v>
      </c>
      <c r="M1513" s="83">
        <f>$J$1513-EFEITO!$K$1513*EFEITO!$Y$1513</f>
        <v>0</v>
      </c>
      <c r="N1513" s="83">
        <f ca="1">$K$1513-EFEITO!$M$1513*EFEITO!$Z$1513</f>
        <v>12723.982617273432</v>
      </c>
      <c r="O1513" s="83">
        <f>$L$1513-EFEITO!$O$1513*EFEITO!$AA$1513</f>
        <v>3599.5634645545288</v>
      </c>
      <c r="P1513" s="61"/>
      <c r="Q1513" s="61"/>
      <c r="R1513" s="61"/>
      <c r="S1513" s="61"/>
      <c r="T1513" s="61"/>
      <c r="U1513" s="61"/>
      <c r="V1513" s="61"/>
      <c r="W1513" s="61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</row>
    <row r="1514" spans="1:36" ht="11.25" customHeight="1" x14ac:dyDescent="0.2">
      <c r="A1514" s="57" t="s">
        <v>28</v>
      </c>
      <c r="B1514" s="57" t="s">
        <v>35</v>
      </c>
      <c r="C1514" s="57" t="s">
        <v>36</v>
      </c>
      <c r="D1514" s="57" t="s">
        <v>52</v>
      </c>
      <c r="E1514" s="57" t="s">
        <v>53</v>
      </c>
      <c r="F1514" s="57" t="s">
        <v>25</v>
      </c>
      <c r="G1514" s="57" t="s">
        <v>25</v>
      </c>
      <c r="H1514" s="57" t="s">
        <v>37</v>
      </c>
      <c r="I1514" s="82">
        <v>44166</v>
      </c>
      <c r="J1514" s="83">
        <f>EFEITO!$J$1514*EFEITO!$Y$1355</f>
        <v>0</v>
      </c>
      <c r="K1514" s="83">
        <f ca="1">EFEITO!$L$1514*EFEITO!$Z$1355</f>
        <v>141266.23588325942</v>
      </c>
      <c r="L1514" s="83">
        <f>EFEITO!$N$1514*EFEITO!$AA$1355</f>
        <v>39963.649492118326</v>
      </c>
      <c r="M1514" s="83">
        <f>$J$1514-EFEITO!$K$1514*EFEITO!$Y$1514</f>
        <v>0</v>
      </c>
      <c r="N1514" s="83">
        <f ca="1">$K$1514-EFEITO!$M$1514*EFEITO!$Z$1514</f>
        <v>8475.9741529955936</v>
      </c>
      <c r="O1514" s="83">
        <f>$L$1514-EFEITO!$O$1514*EFEITO!$AA$1514</f>
        <v>2397.8189695270994</v>
      </c>
      <c r="P1514" s="61"/>
      <c r="Q1514" s="61"/>
      <c r="R1514" s="61"/>
      <c r="S1514" s="61"/>
      <c r="T1514" s="61"/>
      <c r="U1514" s="61"/>
      <c r="V1514" s="61"/>
      <c r="W1514" s="61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</row>
    <row r="1515" spans="1:36" ht="11.25" customHeight="1" x14ac:dyDescent="0.2">
      <c r="A1515" s="57" t="s">
        <v>21</v>
      </c>
      <c r="B1515" s="57" t="s">
        <v>35</v>
      </c>
      <c r="C1515" s="57" t="s">
        <v>36</v>
      </c>
      <c r="D1515" s="57" t="s">
        <v>52</v>
      </c>
      <c r="E1515" s="57" t="s">
        <v>53</v>
      </c>
      <c r="F1515" s="57" t="s">
        <v>25</v>
      </c>
      <c r="G1515" s="57" t="s">
        <v>25</v>
      </c>
      <c r="H1515" s="57" t="s">
        <v>37</v>
      </c>
      <c r="I1515" s="82">
        <v>44197</v>
      </c>
      <c r="J1515" s="83">
        <f>EFEITO!$J$1515*EFEITO!$Y$1355</f>
        <v>0</v>
      </c>
      <c r="K1515" s="83">
        <f ca="1">EFEITO!$L$1515*EFEITO!$Z$1355</f>
        <v>196271.44925950863</v>
      </c>
      <c r="L1515" s="83">
        <f>EFEITO!$N$1515*EFEITO!$AA$1355</f>
        <v>55524.40294366618</v>
      </c>
      <c r="M1515" s="83">
        <f>$J$1515-EFEITO!$K$1515*EFEITO!$Y$1515</f>
        <v>0</v>
      </c>
      <c r="N1515" s="83">
        <f ca="1">$K$1515-EFEITO!$M$1515*EFEITO!$Z$1515</f>
        <v>11776.28695557054</v>
      </c>
      <c r="O1515" s="83">
        <f>$L$1515-EFEITO!$O$1515*EFEITO!$AA$1515</f>
        <v>3331.4641766199711</v>
      </c>
      <c r="P1515" s="61"/>
      <c r="Q1515" s="61"/>
      <c r="R1515" s="61"/>
      <c r="S1515" s="61"/>
      <c r="T1515" s="61"/>
      <c r="U1515" s="61"/>
      <c r="V1515" s="61"/>
      <c r="W1515" s="61"/>
      <c r="X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</row>
    <row r="1516" spans="1:36" ht="11.25" customHeight="1" x14ac:dyDescent="0.2">
      <c r="A1516" s="57" t="s">
        <v>28</v>
      </c>
      <c r="B1516" s="57" t="s">
        <v>35</v>
      </c>
      <c r="C1516" s="57" t="s">
        <v>36</v>
      </c>
      <c r="D1516" s="57" t="s">
        <v>52</v>
      </c>
      <c r="E1516" s="57" t="s">
        <v>53</v>
      </c>
      <c r="F1516" s="57" t="s">
        <v>25</v>
      </c>
      <c r="G1516" s="57" t="s">
        <v>25</v>
      </c>
      <c r="H1516" s="57" t="s">
        <v>37</v>
      </c>
      <c r="I1516" s="82">
        <v>44197</v>
      </c>
      <c r="J1516" s="83">
        <f>EFEITO!$J$1516*EFEITO!$Y$1355</f>
        <v>0</v>
      </c>
      <c r="K1516" s="83">
        <f ca="1">EFEITO!$L$1516*EFEITO!$Z$1355</f>
        <v>141227.69208410525</v>
      </c>
      <c r="L1516" s="83">
        <f>EFEITO!$N$1516*EFEITO!$AA$1355</f>
        <v>39952.745606488046</v>
      </c>
      <c r="M1516" s="83">
        <f>$J$1516-EFEITO!$K$1516*EFEITO!$Y$1516</f>
        <v>0</v>
      </c>
      <c r="N1516" s="83">
        <f ca="1">$K$1516-EFEITO!$M$1516*EFEITO!$Z$1516</f>
        <v>8473.6615250463365</v>
      </c>
      <c r="O1516" s="83">
        <f>$L$1516-EFEITO!$O$1516*EFEITO!$AA$1516</f>
        <v>2397.1647363892916</v>
      </c>
      <c r="P1516" s="61"/>
      <c r="Q1516" s="61"/>
      <c r="R1516" s="61"/>
      <c r="S1516" s="61"/>
      <c r="T1516" s="61"/>
      <c r="U1516" s="61"/>
      <c r="V1516" s="61"/>
      <c r="W1516" s="61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</row>
    <row r="1517" spans="1:36" ht="11.25" customHeight="1" x14ac:dyDescent="0.2">
      <c r="A1517" s="57" t="s">
        <v>21</v>
      </c>
      <c r="B1517" s="57" t="s">
        <v>35</v>
      </c>
      <c r="C1517" s="57" t="s">
        <v>36</v>
      </c>
      <c r="D1517" s="57" t="s">
        <v>52</v>
      </c>
      <c r="E1517" s="57" t="s">
        <v>53</v>
      </c>
      <c r="F1517" s="57" t="s">
        <v>25</v>
      </c>
      <c r="G1517" s="57" t="s">
        <v>25</v>
      </c>
      <c r="H1517" s="57" t="s">
        <v>37</v>
      </c>
      <c r="I1517" s="82">
        <v>44228</v>
      </c>
      <c r="J1517" s="83">
        <f>EFEITO!$J$1517*EFEITO!$Y$1355</f>
        <v>0</v>
      </c>
      <c r="K1517" s="83">
        <f ca="1">EFEITO!$L$1517*EFEITO!$Z$1355</f>
        <v>182251.14231718291</v>
      </c>
      <c r="L1517" s="83">
        <f>EFEITO!$N$1517*EFEITO!$AA$1355</f>
        <v>51558.114545651209</v>
      </c>
      <c r="M1517" s="83">
        <f>$J$1517-EFEITO!$K$1517*EFEITO!$Y$1517</f>
        <v>0</v>
      </c>
      <c r="N1517" s="83">
        <f ca="1">$K$1517-EFEITO!$M$1517*EFEITO!$Z$1517</f>
        <v>10935.068539030995</v>
      </c>
      <c r="O1517" s="83">
        <f>$L$1517-EFEITO!$O$1517*EFEITO!$AA$1517</f>
        <v>3093.4868727390785</v>
      </c>
      <c r="P1517" s="61"/>
      <c r="Q1517" s="61"/>
      <c r="R1517" s="61"/>
      <c r="S1517" s="61"/>
      <c r="T1517" s="61"/>
      <c r="U1517" s="61"/>
      <c r="V1517" s="61"/>
      <c r="W1517" s="61"/>
      <c r="X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</row>
    <row r="1518" spans="1:36" ht="11.25" customHeight="1" x14ac:dyDescent="0.2">
      <c r="A1518" s="57" t="s">
        <v>28</v>
      </c>
      <c r="B1518" s="57" t="s">
        <v>35</v>
      </c>
      <c r="C1518" s="57" t="s">
        <v>36</v>
      </c>
      <c r="D1518" s="57" t="s">
        <v>52</v>
      </c>
      <c r="E1518" s="57" t="s">
        <v>53</v>
      </c>
      <c r="F1518" s="57" t="s">
        <v>25</v>
      </c>
      <c r="G1518" s="57" t="s">
        <v>25</v>
      </c>
      <c r="H1518" s="57" t="s">
        <v>37</v>
      </c>
      <c r="I1518" s="82">
        <v>44228</v>
      </c>
      <c r="J1518" s="83">
        <f>EFEITO!$J$1518*EFEITO!$Y$1355</f>
        <v>0</v>
      </c>
      <c r="K1518" s="83">
        <f ca="1">EFEITO!$L$1518*EFEITO!$Z$1355</f>
        <v>126963.27441380317</v>
      </c>
      <c r="L1518" s="83">
        <f>EFEITO!$N$1518*EFEITO!$AA$1355</f>
        <v>35917.39926614795</v>
      </c>
      <c r="M1518" s="83">
        <f>$J$1518-EFEITO!$K$1518*EFEITO!$Y$1518</f>
        <v>0</v>
      </c>
      <c r="N1518" s="83">
        <f ca="1">$K$1518-EFEITO!$M$1518*EFEITO!$Z$1518</f>
        <v>7617.7964648282068</v>
      </c>
      <c r="O1518" s="83">
        <f>$L$1518-EFEITO!$O$1518*EFEITO!$AA$1518</f>
        <v>2155.0439559688748</v>
      </c>
      <c r="P1518" s="61"/>
      <c r="Q1518" s="61"/>
      <c r="R1518" s="61"/>
      <c r="S1518" s="61"/>
      <c r="T1518" s="61"/>
      <c r="U1518" s="61"/>
      <c r="V1518" s="61"/>
      <c r="W1518" s="61"/>
      <c r="X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</row>
    <row r="1519" spans="1:36" ht="11.25" customHeight="1" x14ac:dyDescent="0.2">
      <c r="A1519" s="57" t="s">
        <v>21</v>
      </c>
      <c r="B1519" s="57" t="s">
        <v>35</v>
      </c>
      <c r="C1519" s="57" t="s">
        <v>36</v>
      </c>
      <c r="D1519" s="57" t="s">
        <v>52</v>
      </c>
      <c r="E1519" s="57" t="s">
        <v>53</v>
      </c>
      <c r="F1519" s="57" t="s">
        <v>25</v>
      </c>
      <c r="G1519" s="57" t="s">
        <v>25</v>
      </c>
      <c r="H1519" s="57" t="s">
        <v>37</v>
      </c>
      <c r="I1519" s="82">
        <v>44256</v>
      </c>
      <c r="J1519" s="83">
        <f>EFEITO!$J$1519*EFEITO!$Y$1355</f>
        <v>0</v>
      </c>
      <c r="K1519" s="83">
        <f ca="1">EFEITO!$L$1519*EFEITO!$Z$1355</f>
        <v>216873.10990740717</v>
      </c>
      <c r="L1519" s="83">
        <f>EFEITO!$N$1519*EFEITO!$AA$1355</f>
        <v>61352.529813051755</v>
      </c>
      <c r="M1519" s="83">
        <f>$J$1519-EFEITO!$K$1519*EFEITO!$Y$1519</f>
        <v>0</v>
      </c>
      <c r="N1519" s="83">
        <f ca="1">$K$1519-EFEITO!$M$1519*EFEITO!$Z$1519</f>
        <v>13012.386594444455</v>
      </c>
      <c r="O1519" s="83">
        <f>$L$1519-EFEITO!$O$1519*EFEITO!$AA$1519</f>
        <v>3681.1517887831142</v>
      </c>
      <c r="P1519" s="61"/>
      <c r="Q1519" s="61"/>
      <c r="R1519" s="61"/>
      <c r="S1519" s="61"/>
      <c r="T1519" s="61"/>
      <c r="U1519" s="61"/>
      <c r="V1519" s="61"/>
      <c r="W1519" s="61"/>
      <c r="X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</row>
    <row r="1520" spans="1:36" ht="11.25" customHeight="1" x14ac:dyDescent="0.2">
      <c r="A1520" s="57" t="s">
        <v>28</v>
      </c>
      <c r="B1520" s="57" t="s">
        <v>35</v>
      </c>
      <c r="C1520" s="57" t="s">
        <v>36</v>
      </c>
      <c r="D1520" s="57" t="s">
        <v>52</v>
      </c>
      <c r="E1520" s="57" t="s">
        <v>53</v>
      </c>
      <c r="F1520" s="57" t="s">
        <v>25</v>
      </c>
      <c r="G1520" s="57" t="s">
        <v>25</v>
      </c>
      <c r="H1520" s="57" t="s">
        <v>37</v>
      </c>
      <c r="I1520" s="82">
        <v>44256</v>
      </c>
      <c r="J1520" s="83">
        <f>EFEITO!$J$1520*EFEITO!$Y$1355</f>
        <v>0</v>
      </c>
      <c r="K1520" s="83">
        <f ca="1">EFEITO!$L$1520*EFEITO!$Z$1355</f>
        <v>131938.63648795267</v>
      </c>
      <c r="L1520" s="83">
        <f>EFEITO!$N$1520*EFEITO!$AA$1355</f>
        <v>37324.909169590152</v>
      </c>
      <c r="M1520" s="83">
        <f>$J$1520-EFEITO!$K$1520*EFEITO!$Y$1520</f>
        <v>0</v>
      </c>
      <c r="N1520" s="83">
        <f ca="1">$K$1520-EFEITO!$M$1520*EFEITO!$Z$1520</f>
        <v>7916.3181892771827</v>
      </c>
      <c r="O1520" s="83">
        <f>$L$1520-EFEITO!$O$1520*EFEITO!$AA$1520</f>
        <v>2239.4945501754119</v>
      </c>
      <c r="P1520" s="61"/>
      <c r="Q1520" s="61"/>
      <c r="R1520" s="61"/>
      <c r="S1520" s="61"/>
      <c r="T1520" s="61"/>
      <c r="U1520" s="61"/>
      <c r="V1520" s="61"/>
      <c r="W1520" s="61"/>
      <c r="X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</row>
    <row r="1521" spans="1:36" ht="11.25" customHeight="1" x14ac:dyDescent="0.2">
      <c r="A1521" s="57" t="s">
        <v>21</v>
      </c>
      <c r="B1521" s="57" t="s">
        <v>35</v>
      </c>
      <c r="C1521" s="57" t="s">
        <v>36</v>
      </c>
      <c r="D1521" s="57" t="s">
        <v>52</v>
      </c>
      <c r="E1521" s="57" t="s">
        <v>53</v>
      </c>
      <c r="F1521" s="57" t="s">
        <v>25</v>
      </c>
      <c r="G1521" s="57" t="s">
        <v>25</v>
      </c>
      <c r="H1521" s="57" t="s">
        <v>37</v>
      </c>
      <c r="I1521" s="82">
        <v>44287</v>
      </c>
      <c r="J1521" s="83">
        <f>EFEITO!$J$1521*EFEITO!$Y$1355</f>
        <v>0</v>
      </c>
      <c r="K1521" s="83">
        <f ca="1">EFEITO!$L$1521*EFEITO!$Z$1355</f>
        <v>178257.04112983309</v>
      </c>
      <c r="L1521" s="83">
        <f>EFEITO!$N$1521*EFEITO!$AA$1355</f>
        <v>50428.19939721327</v>
      </c>
      <c r="M1521" s="83">
        <f>$J$1521-EFEITO!$K$1521*EFEITO!$Y$1521</f>
        <v>0</v>
      </c>
      <c r="N1521" s="83">
        <f ca="1">$K$1521-EFEITO!$M$1521*EFEITO!$Z$1521</f>
        <v>10695.42246779002</v>
      </c>
      <c r="O1521" s="83">
        <f>$L$1521-EFEITO!$O$1521*EFEITO!$AA$1521</f>
        <v>3025.6919638328036</v>
      </c>
      <c r="P1521" s="61"/>
      <c r="Q1521" s="61"/>
      <c r="R1521" s="61"/>
      <c r="S1521" s="61"/>
      <c r="T1521" s="61"/>
      <c r="U1521" s="61"/>
      <c r="V1521" s="61"/>
      <c r="W1521" s="61"/>
      <c r="X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</row>
    <row r="1522" spans="1:36" ht="11.25" customHeight="1" x14ac:dyDescent="0.2">
      <c r="A1522" s="57" t="s">
        <v>28</v>
      </c>
      <c r="B1522" s="57" t="s">
        <v>35</v>
      </c>
      <c r="C1522" s="57" t="s">
        <v>36</v>
      </c>
      <c r="D1522" s="57" t="s">
        <v>52</v>
      </c>
      <c r="E1522" s="57" t="s">
        <v>53</v>
      </c>
      <c r="F1522" s="57" t="s">
        <v>25</v>
      </c>
      <c r="G1522" s="57" t="s">
        <v>25</v>
      </c>
      <c r="H1522" s="57" t="s">
        <v>37</v>
      </c>
      <c r="I1522" s="82">
        <v>44287</v>
      </c>
      <c r="J1522" s="83">
        <f>EFEITO!$J$1522*EFEITO!$Y$1355</f>
        <v>0</v>
      </c>
      <c r="K1522" s="83">
        <f ca="1">EFEITO!$L$1522*EFEITO!$Z$1355</f>
        <v>135285.52304783891</v>
      </c>
      <c r="L1522" s="83">
        <f>EFEITO!$N$1522*EFEITO!$AA$1355</f>
        <v>38271.729905152948</v>
      </c>
      <c r="M1522" s="83">
        <f>$J$1522-EFEITO!$K$1522*EFEITO!$Y$1522</f>
        <v>0</v>
      </c>
      <c r="N1522" s="83">
        <f ca="1">$K$1522-EFEITO!$M$1522*EFEITO!$Z$1522</f>
        <v>8117.1313828703569</v>
      </c>
      <c r="O1522" s="83">
        <f>$L$1522-EFEITO!$O$1522*EFEITO!$AA$1522</f>
        <v>2296.303794309184</v>
      </c>
      <c r="P1522" s="61"/>
      <c r="Q1522" s="61"/>
      <c r="R1522" s="61"/>
      <c r="S1522" s="61"/>
      <c r="T1522" s="61"/>
      <c r="U1522" s="61"/>
      <c r="V1522" s="61"/>
      <c r="W1522" s="61"/>
      <c r="X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</row>
    <row r="1523" spans="1:36" ht="11.25" customHeight="1" x14ac:dyDescent="0.2">
      <c r="A1523" s="57" t="s">
        <v>21</v>
      </c>
      <c r="B1523" s="57" t="s">
        <v>35</v>
      </c>
      <c r="C1523" s="57" t="s">
        <v>36</v>
      </c>
      <c r="D1523" s="57" t="s">
        <v>52</v>
      </c>
      <c r="E1523" s="57" t="s">
        <v>53</v>
      </c>
      <c r="F1523" s="57" t="s">
        <v>25</v>
      </c>
      <c r="G1523" s="57" t="s">
        <v>25</v>
      </c>
      <c r="H1523" s="57" t="s">
        <v>37</v>
      </c>
      <c r="I1523" s="82">
        <v>44317</v>
      </c>
      <c r="J1523" s="83">
        <f>EFEITO!$J$1523*EFEITO!$Y$1355</f>
        <v>0</v>
      </c>
      <c r="K1523" s="83">
        <f ca="1">EFEITO!$L$1523*EFEITO!$Z$1355</f>
        <v>196775.73063177554</v>
      </c>
      <c r="L1523" s="83">
        <f>EFEITO!$N$1523*EFEITO!$AA$1355</f>
        <v>55667.0621139957</v>
      </c>
      <c r="M1523" s="83">
        <f>$J$1523-EFEITO!$K$1523*EFEITO!$Y$1523</f>
        <v>0</v>
      </c>
      <c r="N1523" s="83">
        <f ca="1">$K$1523-EFEITO!$M$1523*EFEITO!$Z$1523</f>
        <v>11806.54383790656</v>
      </c>
      <c r="O1523" s="83">
        <f>$L$1523-EFEITO!$O$1523*EFEITO!$AA$1523</f>
        <v>3340.0237268397468</v>
      </c>
      <c r="P1523" s="61"/>
      <c r="Q1523" s="61"/>
      <c r="R1523" s="61"/>
      <c r="S1523" s="61"/>
      <c r="T1523" s="61"/>
      <c r="U1523" s="61"/>
      <c r="V1523" s="61"/>
      <c r="W1523" s="61"/>
      <c r="X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</row>
    <row r="1524" spans="1:36" ht="11.25" customHeight="1" x14ac:dyDescent="0.2">
      <c r="A1524" s="57" t="s">
        <v>28</v>
      </c>
      <c r="B1524" s="57" t="s">
        <v>35</v>
      </c>
      <c r="C1524" s="57" t="s">
        <v>36</v>
      </c>
      <c r="D1524" s="57" t="s">
        <v>52</v>
      </c>
      <c r="E1524" s="57" t="s">
        <v>53</v>
      </c>
      <c r="F1524" s="57" t="s">
        <v>25</v>
      </c>
      <c r="G1524" s="57" t="s">
        <v>25</v>
      </c>
      <c r="H1524" s="57" t="s">
        <v>37</v>
      </c>
      <c r="I1524" s="82">
        <v>44317</v>
      </c>
      <c r="J1524" s="83">
        <f>EFEITO!$J$1524*EFEITO!$Y$1355</f>
        <v>0</v>
      </c>
      <c r="K1524" s="83">
        <f ca="1">EFEITO!$L$1524*EFEITO!$Z$1355</f>
        <v>143991.60368178482</v>
      </c>
      <c r="L1524" s="83">
        <f>EFEITO!$N$1524*EFEITO!$AA$1355</f>
        <v>40734.645071892832</v>
      </c>
      <c r="M1524" s="83">
        <f>$J$1524-EFEITO!$K$1524*EFEITO!$Y$1524</f>
        <v>0</v>
      </c>
      <c r="N1524" s="83">
        <f ca="1">$K$1524-EFEITO!$M$1524*EFEITO!$Z$1524</f>
        <v>8639.4962209071091</v>
      </c>
      <c r="O1524" s="83">
        <f>$L$1524-EFEITO!$O$1524*EFEITO!$AA$1524</f>
        <v>2444.0787043135788</v>
      </c>
      <c r="P1524" s="61"/>
      <c r="Q1524" s="61"/>
      <c r="R1524" s="61"/>
      <c r="S1524" s="61"/>
      <c r="T1524" s="61"/>
      <c r="U1524" s="61"/>
      <c r="V1524" s="61"/>
      <c r="W1524" s="61"/>
      <c r="X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</row>
    <row r="1525" spans="1:36" ht="11.25" customHeight="1" x14ac:dyDescent="0.2">
      <c r="A1525" s="57" t="s">
        <v>29</v>
      </c>
      <c r="B1525" s="57" t="s">
        <v>35</v>
      </c>
      <c r="C1525" s="57" t="s">
        <v>36</v>
      </c>
      <c r="D1525" s="57" t="s">
        <v>52</v>
      </c>
      <c r="E1525" s="57" t="s">
        <v>53</v>
      </c>
      <c r="F1525" s="57" t="s">
        <v>25</v>
      </c>
      <c r="G1525" s="57" t="s">
        <v>25</v>
      </c>
      <c r="H1525" s="57" t="s">
        <v>37</v>
      </c>
      <c r="I1525" s="82">
        <v>44317</v>
      </c>
      <c r="J1525" s="83">
        <f>EFEITO!$J$1525*EFEITO!$Y$1355</f>
        <v>0</v>
      </c>
      <c r="K1525" s="83">
        <f ca="1">EFEITO!$L$1525*EFEITO!$Z$1355</f>
        <v>23463.537735094924</v>
      </c>
      <c r="L1525" s="83">
        <f>EFEITO!$N$1525*EFEITO!$AA$1355</f>
        <v>6637.7403774339909</v>
      </c>
      <c r="M1525" s="83">
        <f>$J$1525-EFEITO!$K$1525*EFEITO!$Y$1525</f>
        <v>0</v>
      </c>
      <c r="N1525" s="83">
        <f ca="1">$K$1525-EFEITO!$M$1525*EFEITO!$Z$1525</f>
        <v>1407.812264105698</v>
      </c>
      <c r="O1525" s="83">
        <f>$L$1525-EFEITO!$O$1525*EFEITO!$AA$1525</f>
        <v>398.26442264604066</v>
      </c>
      <c r="P1525" s="61"/>
      <c r="Q1525" s="61"/>
      <c r="R1525" s="61"/>
      <c r="S1525" s="61"/>
      <c r="T1525" s="61"/>
      <c r="U1525" s="61"/>
      <c r="V1525" s="61"/>
      <c r="W1525" s="61"/>
      <c r="X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</row>
    <row r="1526" spans="1:36" ht="11.25" customHeight="1" x14ac:dyDescent="0.2">
      <c r="A1526" s="57" t="s">
        <v>21</v>
      </c>
      <c r="B1526" s="57" t="s">
        <v>35</v>
      </c>
      <c r="C1526" s="57" t="s">
        <v>36</v>
      </c>
      <c r="D1526" s="57" t="s">
        <v>52</v>
      </c>
      <c r="E1526" s="57" t="s">
        <v>53</v>
      </c>
      <c r="F1526" s="57" t="s">
        <v>25</v>
      </c>
      <c r="G1526" s="57" t="s">
        <v>25</v>
      </c>
      <c r="H1526" s="57" t="s">
        <v>37</v>
      </c>
      <c r="I1526" s="82">
        <v>44348</v>
      </c>
      <c r="J1526" s="83">
        <f>EFEITO!$J$1526*EFEITO!$Y$1355</f>
        <v>0</v>
      </c>
      <c r="K1526" s="83">
        <f ca="1">EFEITO!$L$1526*EFEITO!$Z$1355</f>
        <v>197053.5671840118</v>
      </c>
      <c r="L1526" s="83">
        <f>EFEITO!$N$1526*EFEITO!$AA$1355</f>
        <v>55745.660956247317</v>
      </c>
      <c r="M1526" s="83">
        <f>$J$1526-EFEITO!$K$1526*EFEITO!$Y$1526</f>
        <v>0</v>
      </c>
      <c r="N1526" s="83">
        <f ca="1">$K$1526-EFEITO!$M$1526*EFEITO!$Z$1526</f>
        <v>11823.214031040756</v>
      </c>
      <c r="O1526" s="83">
        <f>$L$1526-EFEITO!$O$1526*EFEITO!$AA$1526</f>
        <v>3344.7396573748483</v>
      </c>
      <c r="P1526" s="61"/>
      <c r="Q1526" s="61"/>
      <c r="R1526" s="61"/>
      <c r="S1526" s="61"/>
      <c r="T1526" s="61"/>
      <c r="U1526" s="61"/>
      <c r="V1526" s="61"/>
      <c r="W1526" s="61"/>
      <c r="X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</row>
    <row r="1527" spans="1:36" ht="11.25" customHeight="1" x14ac:dyDescent="0.2">
      <c r="A1527" s="57" t="s">
        <v>28</v>
      </c>
      <c r="B1527" s="57" t="s">
        <v>35</v>
      </c>
      <c r="C1527" s="57" t="s">
        <v>36</v>
      </c>
      <c r="D1527" s="57" t="s">
        <v>52</v>
      </c>
      <c r="E1527" s="57" t="s">
        <v>53</v>
      </c>
      <c r="F1527" s="57" t="s">
        <v>25</v>
      </c>
      <c r="G1527" s="57" t="s">
        <v>25</v>
      </c>
      <c r="H1527" s="57" t="s">
        <v>37</v>
      </c>
      <c r="I1527" s="82">
        <v>44348</v>
      </c>
      <c r="J1527" s="83">
        <f>EFEITO!$J$1527*EFEITO!$Y$1355</f>
        <v>0</v>
      </c>
      <c r="K1527" s="83">
        <f ca="1">EFEITO!$L$1527*EFEITO!$Z$1355</f>
        <v>149082.59715339675</v>
      </c>
      <c r="L1527" s="83">
        <f>EFEITO!$N$1527*EFEITO!$AA$1355</f>
        <v>42174.866632225865</v>
      </c>
      <c r="M1527" s="83">
        <f>$J$1527-EFEITO!$K$1527*EFEITO!$Y$1527</f>
        <v>0</v>
      </c>
      <c r="N1527" s="83">
        <f ca="1">$K$1527-EFEITO!$M$1527*EFEITO!$Z$1527</f>
        <v>8944.9558292038273</v>
      </c>
      <c r="O1527" s="83">
        <f>$L$1527-EFEITO!$O$1527*EFEITO!$AA$1527</f>
        <v>2530.4919979335536</v>
      </c>
      <c r="P1527" s="61"/>
      <c r="Q1527" s="61"/>
      <c r="R1527" s="61"/>
      <c r="S1527" s="61"/>
      <c r="T1527" s="61"/>
      <c r="U1527" s="61"/>
      <c r="V1527" s="61"/>
      <c r="W1527" s="61"/>
      <c r="X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</row>
    <row r="1528" spans="1:36" ht="11.25" customHeight="1" x14ac:dyDescent="0.2">
      <c r="A1528" s="57" t="s">
        <v>21</v>
      </c>
      <c r="B1528" s="57" t="s">
        <v>35</v>
      </c>
      <c r="C1528" s="57" t="s">
        <v>36</v>
      </c>
      <c r="D1528" s="57" t="s">
        <v>52</v>
      </c>
      <c r="E1528" s="57" t="s">
        <v>53</v>
      </c>
      <c r="F1528" s="57" t="s">
        <v>25</v>
      </c>
      <c r="G1528" s="57" t="s">
        <v>25</v>
      </c>
      <c r="H1528" s="57" t="s">
        <v>37</v>
      </c>
      <c r="I1528" s="82">
        <v>44378</v>
      </c>
      <c r="J1528" s="83">
        <f>EFEITO!$J$1528*EFEITO!$Y$1355</f>
        <v>0</v>
      </c>
      <c r="K1528" s="83">
        <f ca="1">EFEITO!$L$1528*EFEITO!$Z$1355</f>
        <v>220531.55884378953</v>
      </c>
      <c r="L1528" s="83">
        <f>EFEITO!$N$1528*EFEITO!$AA$1355</f>
        <v>62387.490290792666</v>
      </c>
      <c r="M1528" s="83">
        <f>$J$1528-EFEITO!$K$1528*EFEITO!$Y$1528</f>
        <v>0</v>
      </c>
      <c r="N1528" s="83">
        <f ca="1">$K$1528-EFEITO!$M$1528*EFEITO!$Z$1528</f>
        <v>13231.893530627392</v>
      </c>
      <c r="O1528" s="83">
        <f>$L$1528-EFEITO!$O$1528*EFEITO!$AA$1528</f>
        <v>3743.2494174475651</v>
      </c>
      <c r="P1528" s="61"/>
      <c r="Q1528" s="61"/>
      <c r="R1528" s="61"/>
      <c r="S1528" s="61"/>
      <c r="T1528" s="61"/>
      <c r="U1528" s="61"/>
      <c r="V1528" s="61"/>
      <c r="W1528" s="61"/>
      <c r="X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</row>
    <row r="1529" spans="1:36" ht="11.25" customHeight="1" x14ac:dyDescent="0.2">
      <c r="A1529" s="57" t="s">
        <v>28</v>
      </c>
      <c r="B1529" s="57" t="s">
        <v>35</v>
      </c>
      <c r="C1529" s="57" t="s">
        <v>36</v>
      </c>
      <c r="D1529" s="57" t="s">
        <v>52</v>
      </c>
      <c r="E1529" s="57" t="s">
        <v>53</v>
      </c>
      <c r="F1529" s="57" t="s">
        <v>25</v>
      </c>
      <c r="G1529" s="57" t="s">
        <v>25</v>
      </c>
      <c r="H1529" s="57" t="s">
        <v>37</v>
      </c>
      <c r="I1529" s="82">
        <v>44378</v>
      </c>
      <c r="J1529" s="83">
        <f>EFEITO!$J$1529*EFEITO!$Y$1355</f>
        <v>0</v>
      </c>
      <c r="K1529" s="83">
        <f ca="1">EFEITO!$L$1529*EFEITO!$Z$1355</f>
        <v>90035.102840855005</v>
      </c>
      <c r="L1529" s="83">
        <f>EFEITO!$N$1529*EFEITO!$AA$1355</f>
        <v>25470.568175202217</v>
      </c>
      <c r="M1529" s="83">
        <f>$J$1529-EFEITO!$K$1529*EFEITO!$Y$1529</f>
        <v>0</v>
      </c>
      <c r="N1529" s="83">
        <f ca="1">$K$1529-EFEITO!$M$1529*EFEITO!$Z$1529</f>
        <v>5402.1061704513122</v>
      </c>
      <c r="O1529" s="83">
        <f>$L$1529-EFEITO!$O$1529*EFEITO!$AA$1529</f>
        <v>1528.2340905121346</v>
      </c>
      <c r="P1529" s="61"/>
      <c r="Q1529" s="61"/>
      <c r="R1529" s="61"/>
      <c r="S1529" s="61"/>
      <c r="T1529" s="61"/>
      <c r="U1529" s="61"/>
      <c r="V1529" s="61"/>
      <c r="W1529" s="61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</row>
    <row r="1530" spans="1:36" ht="11.25" customHeight="1" x14ac:dyDescent="0.2">
      <c r="A1530" s="57" t="s">
        <v>21</v>
      </c>
      <c r="B1530" s="57" t="s">
        <v>35</v>
      </c>
      <c r="C1530" s="57" t="s">
        <v>36</v>
      </c>
      <c r="D1530" s="57" t="s">
        <v>52</v>
      </c>
      <c r="E1530" s="57" t="s">
        <v>53</v>
      </c>
      <c r="F1530" s="57" t="s">
        <v>25</v>
      </c>
      <c r="G1530" s="57" t="s">
        <v>25</v>
      </c>
      <c r="H1530" s="57" t="s">
        <v>37</v>
      </c>
      <c r="I1530" s="82">
        <v>44409</v>
      </c>
      <c r="J1530" s="83">
        <f>EFEITO!$J$1530*EFEITO!$Y$1355</f>
        <v>0</v>
      </c>
      <c r="K1530" s="83">
        <f ca="1">EFEITO!$L$1530*EFEITO!$Z$1355</f>
        <v>217761.22327958426</v>
      </c>
      <c r="L1530" s="83">
        <f>EFEITO!$N$1530*EFEITO!$AA$1355</f>
        <v>61603.77351111616</v>
      </c>
      <c r="M1530" s="83">
        <f>$J$1530-EFEITO!$K$1530*EFEITO!$Y$1530</f>
        <v>0</v>
      </c>
      <c r="N1530" s="83">
        <f ca="1">$K$1530-EFEITO!$M$1530*EFEITO!$Z$1530</f>
        <v>13065.673396775092</v>
      </c>
      <c r="O1530" s="83">
        <f>$L$1530-EFEITO!$O$1530*EFEITO!$AA$1530</f>
        <v>3696.2264106669754</v>
      </c>
      <c r="P1530" s="61"/>
      <c r="Q1530" s="61"/>
      <c r="R1530" s="61"/>
      <c r="S1530" s="61"/>
      <c r="T1530" s="61"/>
      <c r="U1530" s="61"/>
      <c r="V1530" s="61"/>
      <c r="W1530" s="61"/>
      <c r="X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</row>
    <row r="1531" spans="1:36" ht="11.25" customHeight="1" x14ac:dyDescent="0.2">
      <c r="A1531" s="57" t="s">
        <v>28</v>
      </c>
      <c r="B1531" s="57" t="s">
        <v>35</v>
      </c>
      <c r="C1531" s="57" t="s">
        <v>36</v>
      </c>
      <c r="D1531" s="57" t="s">
        <v>52</v>
      </c>
      <c r="E1531" s="57" t="s">
        <v>53</v>
      </c>
      <c r="F1531" s="57" t="s">
        <v>25</v>
      </c>
      <c r="G1531" s="57" t="s">
        <v>25</v>
      </c>
      <c r="H1531" s="57" t="s">
        <v>37</v>
      </c>
      <c r="I1531" s="82">
        <v>44409</v>
      </c>
      <c r="J1531" s="83">
        <f>EFEITO!$J$1531*EFEITO!$Y$1355</f>
        <v>0</v>
      </c>
      <c r="K1531" s="83">
        <f ca="1">EFEITO!$L$1531*EFEITO!$Z$1355</f>
        <v>87504.060029731831</v>
      </c>
      <c r="L1531" s="83">
        <f>EFEITO!$N$1531*EFEITO!$AA$1355</f>
        <v>24754.546352147052</v>
      </c>
      <c r="M1531" s="83">
        <f>$J$1531-EFEITO!$K$1531*EFEITO!$Y$1531</f>
        <v>0</v>
      </c>
      <c r="N1531" s="83">
        <f ca="1">$K$1531-EFEITO!$M$1531*EFEITO!$Z$1531</f>
        <v>5250.2436017839209</v>
      </c>
      <c r="O1531" s="83">
        <f>$L$1531-EFEITO!$O$1531*EFEITO!$AA$1531</f>
        <v>1485.2727811288278</v>
      </c>
      <c r="P1531" s="61"/>
      <c r="Q1531" s="61"/>
      <c r="R1531" s="61"/>
      <c r="S1531" s="61"/>
      <c r="T1531" s="61"/>
      <c r="U1531" s="61"/>
      <c r="V1531" s="61"/>
      <c r="W1531" s="61"/>
      <c r="X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</row>
    <row r="1532" spans="1:36" ht="11.25" customHeight="1" x14ac:dyDescent="0.2">
      <c r="A1532" s="57" t="s">
        <v>21</v>
      </c>
      <c r="B1532" s="57" t="s">
        <v>35</v>
      </c>
      <c r="C1532" s="57" t="s">
        <v>36</v>
      </c>
      <c r="D1532" s="57" t="s">
        <v>52</v>
      </c>
      <c r="E1532" s="57" t="s">
        <v>53</v>
      </c>
      <c r="F1532" s="57" t="s">
        <v>25</v>
      </c>
      <c r="G1532" s="57" t="s">
        <v>25</v>
      </c>
      <c r="H1532" s="57" t="s">
        <v>37</v>
      </c>
      <c r="I1532" s="82">
        <v>44440</v>
      </c>
      <c r="J1532" s="83">
        <f>EFEITO!$J$1532*EFEITO!$Y$1355</f>
        <v>0</v>
      </c>
      <c r="K1532" s="83">
        <f ca="1">EFEITO!$L$1532*EFEITO!$Z$1355</f>
        <v>170975.47507295967</v>
      </c>
      <c r="L1532" s="83">
        <f>EFEITO!$N$1532*EFEITO!$AA$1355</f>
        <v>48368.273670225884</v>
      </c>
      <c r="M1532" s="83">
        <f>$J$1532-EFEITO!$K$1532*EFEITO!$Y$1532</f>
        <v>0</v>
      </c>
      <c r="N1532" s="83">
        <f ca="1">$K$1532-EFEITO!$M$1532*EFEITO!$Z$1532</f>
        <v>10258.528504377609</v>
      </c>
      <c r="O1532" s="83">
        <f>$L$1532-EFEITO!$O$1532*EFEITO!$AA$1532</f>
        <v>2902.0964202135583</v>
      </c>
      <c r="P1532" s="61"/>
      <c r="Q1532" s="61"/>
      <c r="R1532" s="61"/>
      <c r="S1532" s="61"/>
      <c r="T1532" s="61"/>
      <c r="U1532" s="61"/>
      <c r="V1532" s="61"/>
      <c r="W1532" s="61"/>
      <c r="X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</row>
    <row r="1533" spans="1:36" ht="11.25" customHeight="1" x14ac:dyDescent="0.2">
      <c r="A1533" s="57" t="s">
        <v>28</v>
      </c>
      <c r="B1533" s="57" t="s">
        <v>35</v>
      </c>
      <c r="C1533" s="57" t="s">
        <v>36</v>
      </c>
      <c r="D1533" s="57" t="s">
        <v>52</v>
      </c>
      <c r="E1533" s="57" t="s">
        <v>53</v>
      </c>
      <c r="F1533" s="57" t="s">
        <v>25</v>
      </c>
      <c r="G1533" s="57" t="s">
        <v>25</v>
      </c>
      <c r="H1533" s="57" t="s">
        <v>37</v>
      </c>
      <c r="I1533" s="82">
        <v>44440</v>
      </c>
      <c r="J1533" s="83">
        <f>EFEITO!$J$1533*EFEITO!$Y$1355</f>
        <v>0</v>
      </c>
      <c r="K1533" s="83">
        <f ca="1">EFEITO!$L$1533*EFEITO!$Z$1355</f>
        <v>86013.699795770983</v>
      </c>
      <c r="L1533" s="83">
        <f>EFEITO!$N$1533*EFEITO!$AA$1355</f>
        <v>24332.929441109492</v>
      </c>
      <c r="M1533" s="83">
        <f>$J$1533-EFEITO!$K$1533*EFEITO!$Y$1533</f>
        <v>0</v>
      </c>
      <c r="N1533" s="83">
        <f ca="1">$K$1533-EFEITO!$M$1533*EFEITO!$Z$1533</f>
        <v>5160.8219877462689</v>
      </c>
      <c r="O1533" s="83">
        <f>$L$1533-EFEITO!$O$1533*EFEITO!$AA$1533</f>
        <v>1459.9757664665703</v>
      </c>
      <c r="P1533" s="61"/>
      <c r="Q1533" s="61"/>
      <c r="R1533" s="61"/>
      <c r="S1533" s="61"/>
      <c r="T1533" s="61"/>
      <c r="U1533" s="61"/>
      <c r="V1533" s="61"/>
      <c r="W1533" s="61"/>
      <c r="X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</row>
    <row r="1534" spans="1:36" ht="11.25" customHeight="1" x14ac:dyDescent="0.2">
      <c r="A1534" s="57" t="s">
        <v>59</v>
      </c>
      <c r="B1534" s="57" t="s">
        <v>35</v>
      </c>
      <c r="C1534" s="57" t="s">
        <v>36</v>
      </c>
      <c r="D1534" s="57" t="s">
        <v>52</v>
      </c>
      <c r="E1534" s="57" t="s">
        <v>53</v>
      </c>
      <c r="F1534" s="57" t="s">
        <v>25</v>
      </c>
      <c r="G1534" s="57" t="s">
        <v>25</v>
      </c>
      <c r="H1534" s="57" t="s">
        <v>37</v>
      </c>
      <c r="I1534" s="82">
        <v>44470</v>
      </c>
      <c r="J1534" s="83">
        <f>EFEITO!$J$1534*EFEITO!$Y$1355</f>
        <v>0</v>
      </c>
      <c r="K1534" s="83">
        <f ca="1">EFEITO!$L$1534*EFEITO!$Z$1355</f>
        <v>170975.47507295967</v>
      </c>
      <c r="L1534" s="83">
        <f>EFEITO!$N$1534*EFEITO!$AA$1355</f>
        <v>48368.273670225884</v>
      </c>
      <c r="M1534" s="83">
        <f>$J$1534-EFEITO!$K$1534*EFEITO!$Y$1534</f>
        <v>0</v>
      </c>
      <c r="N1534" s="83">
        <f ca="1">$K$1534-EFEITO!$M$1534*EFEITO!$Z$1534</f>
        <v>10258.528504377609</v>
      </c>
      <c r="O1534" s="83">
        <f>$L$1534-EFEITO!$O$1534*EFEITO!$AA$1534</f>
        <v>2902.0964202135583</v>
      </c>
      <c r="P1534" s="61"/>
      <c r="Q1534" s="61"/>
      <c r="R1534" s="61"/>
      <c r="S1534" s="61"/>
      <c r="T1534" s="61"/>
      <c r="U1534" s="61"/>
      <c r="V1534" s="61"/>
      <c r="W1534" s="61"/>
      <c r="X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</row>
    <row r="1535" spans="1:36" ht="11.25" customHeight="1" x14ac:dyDescent="0.2">
      <c r="A1535" s="57" t="s">
        <v>59</v>
      </c>
      <c r="B1535" s="57" t="s">
        <v>35</v>
      </c>
      <c r="C1535" s="57" t="s">
        <v>36</v>
      </c>
      <c r="D1535" s="57" t="s">
        <v>52</v>
      </c>
      <c r="E1535" s="57" t="s">
        <v>53</v>
      </c>
      <c r="F1535" s="57" t="s">
        <v>25</v>
      </c>
      <c r="G1535" s="57" t="s">
        <v>25</v>
      </c>
      <c r="H1535" s="57" t="s">
        <v>37</v>
      </c>
      <c r="I1535" s="82">
        <v>44470</v>
      </c>
      <c r="J1535" s="83">
        <f>EFEITO!$J$1535*EFEITO!$Y$1355</f>
        <v>0</v>
      </c>
      <c r="K1535" s="83">
        <f ca="1">EFEITO!$L$1535*EFEITO!$Z$1355</f>
        <v>86013.699795770983</v>
      </c>
      <c r="L1535" s="83">
        <f>EFEITO!$N$1535*EFEITO!$AA$1355</f>
        <v>24332.929441109492</v>
      </c>
      <c r="M1535" s="83">
        <f>$J$1535-EFEITO!$K$1535*EFEITO!$Y$1535</f>
        <v>0</v>
      </c>
      <c r="N1535" s="83">
        <f ca="1">$K$1535-EFEITO!$M$1535*EFEITO!$Z$1535</f>
        <v>5160.8219877462689</v>
      </c>
      <c r="O1535" s="83">
        <f>$L$1535-EFEITO!$O$1535*EFEITO!$AA$1535</f>
        <v>1459.9757664665703</v>
      </c>
      <c r="P1535" s="61"/>
      <c r="Q1535" s="61"/>
      <c r="R1535" s="61"/>
      <c r="S1535" s="61"/>
      <c r="T1535" s="61"/>
      <c r="U1535" s="61"/>
      <c r="V1535" s="61"/>
      <c r="W1535" s="61"/>
      <c r="X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</row>
    <row r="1536" spans="1:36" ht="11.25" customHeight="1" x14ac:dyDescent="0.2">
      <c r="A1536" s="57" t="s">
        <v>21</v>
      </c>
      <c r="B1536" s="57" t="s">
        <v>22</v>
      </c>
      <c r="C1536" s="57" t="s">
        <v>39</v>
      </c>
      <c r="D1536" s="57" t="s">
        <v>24</v>
      </c>
      <c r="E1536" s="57" t="s">
        <v>24</v>
      </c>
      <c r="F1536" s="57" t="s">
        <v>25</v>
      </c>
      <c r="G1536" s="57" t="s">
        <v>25</v>
      </c>
      <c r="H1536" s="57" t="s">
        <v>38</v>
      </c>
      <c r="I1536" s="82">
        <v>44136</v>
      </c>
      <c r="J1536" s="83">
        <f>EFEITO!$J$1536*EFEITO!$Y$1536</f>
        <v>0</v>
      </c>
      <c r="K1536" s="83">
        <f ca="1">EFEITO!$L$1536*EFEITO!$Z$1536</f>
        <v>14411.970854868612</v>
      </c>
      <c r="L1536" s="83">
        <f>EFEITO!$N$1536*EFEITO!$AA$1536</f>
        <v>10144.569201653263</v>
      </c>
      <c r="M1536" s="83">
        <f>$J$1536-EFEITO!$K$1536*EFEITO!$Y$1536</f>
        <v>0</v>
      </c>
      <c r="N1536" s="83">
        <f ca="1">$K$1536-EFEITO!$M$1536*EFEITO!$Z$1536</f>
        <v>0</v>
      </c>
      <c r="O1536" s="83">
        <f>$L$1536-EFEITO!$O$1536*EFEITO!$AA$1536</f>
        <v>0</v>
      </c>
      <c r="P1536" s="61"/>
      <c r="Q1536" s="61"/>
      <c r="R1536" s="61"/>
      <c r="S1536" s="61"/>
      <c r="T1536" s="61"/>
      <c r="U1536" s="61"/>
      <c r="V1536" s="61"/>
      <c r="W1536" s="61"/>
      <c r="X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</row>
    <row r="1537" spans="1:36" ht="11.25" customHeight="1" x14ac:dyDescent="0.2">
      <c r="A1537" s="57" t="s">
        <v>27</v>
      </c>
      <c r="B1537" s="57" t="s">
        <v>22</v>
      </c>
      <c r="C1537" s="57" t="s">
        <v>39</v>
      </c>
      <c r="D1537" s="57" t="s">
        <v>24</v>
      </c>
      <c r="E1537" s="57" t="s">
        <v>24</v>
      </c>
      <c r="F1537" s="57" t="s">
        <v>25</v>
      </c>
      <c r="G1537" s="57" t="s">
        <v>25</v>
      </c>
      <c r="H1537" s="57" t="s">
        <v>38</v>
      </c>
      <c r="I1537" s="82">
        <v>44136</v>
      </c>
      <c r="J1537" s="83">
        <f>EFEITO!$J$1537*EFEITO!$Y$1537</f>
        <v>0</v>
      </c>
      <c r="K1537" s="83">
        <f ca="1">EFEITO!$L$1537*EFEITO!$Z$1537</f>
        <v>-2699.3556700587783</v>
      </c>
      <c r="L1537" s="83">
        <f>EFEITO!$N$1537*EFEITO!$AA$1537</f>
        <v>-1900.0732564995208</v>
      </c>
      <c r="M1537" s="83">
        <f>$J$1537-EFEITO!$K$1537*EFEITO!$Y$1537</f>
        <v>0</v>
      </c>
      <c r="N1537" s="83">
        <f ca="1">$K$1537-EFEITO!$M$1537*EFEITO!$Z$1537</f>
        <v>0</v>
      </c>
      <c r="O1537" s="83">
        <f>$L$1537-EFEITO!$O$1537*EFEITO!$AA$1537</f>
        <v>0</v>
      </c>
      <c r="P1537" s="61"/>
      <c r="Q1537" s="61"/>
      <c r="R1537" s="61"/>
      <c r="S1537" s="61"/>
      <c r="T1537" s="61"/>
      <c r="U1537" s="61"/>
      <c r="V1537" s="61"/>
      <c r="W1537" s="61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</row>
    <row r="1538" spans="1:36" ht="11.25" customHeight="1" x14ac:dyDescent="0.2">
      <c r="A1538" s="57" t="s">
        <v>28</v>
      </c>
      <c r="B1538" s="57" t="s">
        <v>22</v>
      </c>
      <c r="C1538" s="57" t="s">
        <v>39</v>
      </c>
      <c r="D1538" s="57" t="s">
        <v>24</v>
      </c>
      <c r="E1538" s="57" t="s">
        <v>24</v>
      </c>
      <c r="F1538" s="57" t="s">
        <v>25</v>
      </c>
      <c r="G1538" s="57" t="s">
        <v>25</v>
      </c>
      <c r="H1538" s="57" t="s">
        <v>38</v>
      </c>
      <c r="I1538" s="82">
        <v>44136</v>
      </c>
      <c r="J1538" s="83">
        <f>EFEITO!$J$1538*EFEITO!$Y$1538</f>
        <v>0</v>
      </c>
      <c r="K1538" s="83">
        <f ca="1">EFEITO!$L$1538*EFEITO!$Z$1538</f>
        <v>1011.655482659015</v>
      </c>
      <c r="L1538" s="83">
        <f>EFEITO!$N$1538*EFEITO!$AA$1538</f>
        <v>712.10309508774469</v>
      </c>
      <c r="M1538" s="83">
        <f>$J$1538-EFEITO!$K$1538*EFEITO!$Y$1538</f>
        <v>0</v>
      </c>
      <c r="N1538" s="83">
        <f ca="1">$K$1538-EFEITO!$M$1538*EFEITO!$Z$1538</f>
        <v>0</v>
      </c>
      <c r="O1538" s="83">
        <f>$L$1538-EFEITO!$O$1538*EFEITO!$AA$1538</f>
        <v>0</v>
      </c>
      <c r="P1538" s="61"/>
      <c r="Q1538" s="61"/>
      <c r="R1538" s="61"/>
      <c r="S1538" s="61"/>
      <c r="T1538" s="61"/>
      <c r="U1538" s="61"/>
      <c r="V1538" s="61"/>
      <c r="W1538" s="61"/>
      <c r="X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</row>
    <row r="1539" spans="1:36" ht="11.25" customHeight="1" x14ac:dyDescent="0.2">
      <c r="A1539" s="57" t="s">
        <v>30</v>
      </c>
      <c r="B1539" s="57" t="s">
        <v>22</v>
      </c>
      <c r="C1539" s="57" t="s">
        <v>39</v>
      </c>
      <c r="D1539" s="57" t="s">
        <v>24</v>
      </c>
      <c r="E1539" s="57" t="s">
        <v>24</v>
      </c>
      <c r="F1539" s="57" t="s">
        <v>25</v>
      </c>
      <c r="G1539" s="57" t="s">
        <v>25</v>
      </c>
      <c r="H1539" s="57" t="s">
        <v>38</v>
      </c>
      <c r="I1539" s="82">
        <v>44136</v>
      </c>
      <c r="J1539" s="83">
        <f>EFEITO!$J$1539*EFEITO!$Y$1539</f>
        <v>0</v>
      </c>
      <c r="K1539" s="83">
        <f ca="1">EFEITO!$L$1539*EFEITO!$Z$1539</f>
        <v>371.3824656245252</v>
      </c>
      <c r="L1539" s="83">
        <f>EFEITO!$N$1539*EFEITO!$AA$1539</f>
        <v>261.41567733852844</v>
      </c>
      <c r="M1539" s="83">
        <f>$J$1539-EFEITO!$K$1539*EFEITO!$Y$1539</f>
        <v>0</v>
      </c>
      <c r="N1539" s="83">
        <f ca="1">$K$1539-EFEITO!$M$1539*EFEITO!$Z$1539</f>
        <v>0</v>
      </c>
      <c r="O1539" s="83">
        <f>$L$1539-EFEITO!$O$1539*EFEITO!$AA$1539</f>
        <v>0</v>
      </c>
      <c r="P1539" s="61"/>
      <c r="Q1539" s="61"/>
      <c r="R1539" s="61"/>
      <c r="S1539" s="61"/>
      <c r="T1539" s="61"/>
      <c r="U1539" s="61"/>
      <c r="V1539" s="61"/>
      <c r="W1539" s="61"/>
      <c r="X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</row>
    <row r="1540" spans="1:36" ht="11.25" customHeight="1" x14ac:dyDescent="0.2">
      <c r="A1540" s="57" t="s">
        <v>21</v>
      </c>
      <c r="B1540" s="57" t="s">
        <v>22</v>
      </c>
      <c r="C1540" s="57" t="s">
        <v>39</v>
      </c>
      <c r="D1540" s="57" t="s">
        <v>24</v>
      </c>
      <c r="E1540" s="57" t="s">
        <v>24</v>
      </c>
      <c r="F1540" s="57" t="s">
        <v>25</v>
      </c>
      <c r="G1540" s="57" t="s">
        <v>25</v>
      </c>
      <c r="H1540" s="57" t="s">
        <v>38</v>
      </c>
      <c r="I1540" s="82">
        <v>44166</v>
      </c>
      <c r="J1540" s="83">
        <f>EFEITO!$J$1540*EFEITO!$Y$1540</f>
        <v>0</v>
      </c>
      <c r="K1540" s="83">
        <f ca="1">EFEITO!$L$1540*EFEITO!$Z$1540</f>
        <v>14687.292271484199</v>
      </c>
      <c r="L1540" s="83">
        <f>EFEITO!$N$1540*EFEITO!$AA$1540</f>
        <v>10338.367620459423</v>
      </c>
      <c r="M1540" s="83">
        <f>$J$1540-EFEITO!$K$1540*EFEITO!$Y$1540</f>
        <v>0</v>
      </c>
      <c r="N1540" s="83">
        <f ca="1">$K$1540-EFEITO!$M$1540*EFEITO!$Z$1540</f>
        <v>0</v>
      </c>
      <c r="O1540" s="83">
        <f>$L$1540-EFEITO!$O$1540*EFEITO!$AA$1540</f>
        <v>0</v>
      </c>
      <c r="P1540" s="61"/>
      <c r="Q1540" s="61"/>
      <c r="R1540" s="61"/>
      <c r="S1540" s="61"/>
      <c r="T1540" s="61"/>
      <c r="U1540" s="61"/>
      <c r="V1540" s="61"/>
      <c r="W1540" s="61"/>
      <c r="X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</row>
    <row r="1541" spans="1:36" ht="11.25" customHeight="1" x14ac:dyDescent="0.2">
      <c r="A1541" s="57" t="s">
        <v>27</v>
      </c>
      <c r="B1541" s="57" t="s">
        <v>22</v>
      </c>
      <c r="C1541" s="57" t="s">
        <v>39</v>
      </c>
      <c r="D1541" s="57" t="s">
        <v>24</v>
      </c>
      <c r="E1541" s="57" t="s">
        <v>24</v>
      </c>
      <c r="F1541" s="57" t="s">
        <v>25</v>
      </c>
      <c r="G1541" s="57" t="s">
        <v>25</v>
      </c>
      <c r="H1541" s="57" t="s">
        <v>38</v>
      </c>
      <c r="I1541" s="82">
        <v>44166</v>
      </c>
      <c r="J1541" s="83">
        <f>EFEITO!$J$1541*EFEITO!$Y$1541</f>
        <v>0</v>
      </c>
      <c r="K1541" s="83">
        <f ca="1">EFEITO!$L$1541*EFEITO!$Z$1541</f>
        <v>147.90989972924811</v>
      </c>
      <c r="L1541" s="83">
        <f>EFEITO!$N$1541*EFEITO!$AA$1541</f>
        <v>104.11360309586415</v>
      </c>
      <c r="M1541" s="83">
        <f>$J$1541-EFEITO!$K$1541*EFEITO!$Y$1541</f>
        <v>0</v>
      </c>
      <c r="N1541" s="83">
        <f ca="1">$K$1541-EFEITO!$M$1541*EFEITO!$Z$1541</f>
        <v>0</v>
      </c>
      <c r="O1541" s="83">
        <f>$L$1541-EFEITO!$O$1541*EFEITO!$AA$1541</f>
        <v>0</v>
      </c>
      <c r="P1541" s="61"/>
      <c r="Q1541" s="61"/>
      <c r="R1541" s="61"/>
      <c r="S1541" s="61"/>
      <c r="T1541" s="61"/>
      <c r="U1541" s="61"/>
      <c r="V1541" s="61"/>
      <c r="W1541" s="61"/>
      <c r="X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</row>
    <row r="1542" spans="1:36" ht="11.25" customHeight="1" x14ac:dyDescent="0.2">
      <c r="A1542" s="57" t="s">
        <v>28</v>
      </c>
      <c r="B1542" s="57" t="s">
        <v>22</v>
      </c>
      <c r="C1542" s="57" t="s">
        <v>39</v>
      </c>
      <c r="D1542" s="57" t="s">
        <v>24</v>
      </c>
      <c r="E1542" s="57" t="s">
        <v>24</v>
      </c>
      <c r="F1542" s="57" t="s">
        <v>25</v>
      </c>
      <c r="G1542" s="57" t="s">
        <v>25</v>
      </c>
      <c r="H1542" s="57" t="s">
        <v>38</v>
      </c>
      <c r="I1542" s="82">
        <v>44166</v>
      </c>
      <c r="J1542" s="83">
        <f>EFEITO!$J$1542*EFEITO!$Y$1542</f>
        <v>0</v>
      </c>
      <c r="K1542" s="83">
        <f ca="1">EFEITO!$L$1542*EFEITO!$Z$1542</f>
        <v>600.88396765007053</v>
      </c>
      <c r="L1542" s="83">
        <f>EFEITO!$N$1542*EFEITO!$AA$1542</f>
        <v>422.96151257694811</v>
      </c>
      <c r="M1542" s="83">
        <f>$J$1542-EFEITO!$K$1542*EFEITO!$Y$1542</f>
        <v>0</v>
      </c>
      <c r="N1542" s="83">
        <f ca="1">$K$1542-EFEITO!$M$1542*EFEITO!$Z$1542</f>
        <v>0</v>
      </c>
      <c r="O1542" s="83">
        <f>$L$1542-EFEITO!$O$1542*EFEITO!$AA$1542</f>
        <v>0</v>
      </c>
      <c r="P1542" s="61"/>
      <c r="Q1542" s="61"/>
      <c r="R1542" s="61"/>
      <c r="S1542" s="61"/>
      <c r="T1542" s="61"/>
      <c r="U1542" s="61"/>
      <c r="V1542" s="61"/>
      <c r="W1542" s="61"/>
      <c r="X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</row>
    <row r="1543" spans="1:36" ht="11.25" customHeight="1" x14ac:dyDescent="0.2">
      <c r="A1543" s="57" t="s">
        <v>30</v>
      </c>
      <c r="B1543" s="57" t="s">
        <v>22</v>
      </c>
      <c r="C1543" s="57" t="s">
        <v>39</v>
      </c>
      <c r="D1543" s="57" t="s">
        <v>24</v>
      </c>
      <c r="E1543" s="57" t="s">
        <v>24</v>
      </c>
      <c r="F1543" s="57" t="s">
        <v>25</v>
      </c>
      <c r="G1543" s="57" t="s">
        <v>25</v>
      </c>
      <c r="H1543" s="57" t="s">
        <v>38</v>
      </c>
      <c r="I1543" s="82">
        <v>44166</v>
      </c>
      <c r="J1543" s="83">
        <f>EFEITO!$J$1543*EFEITO!$Y$1543</f>
        <v>0</v>
      </c>
      <c r="K1543" s="83">
        <f ca="1">EFEITO!$L$1543*EFEITO!$Z$1543</f>
        <v>411.97730223499809</v>
      </c>
      <c r="L1543" s="83">
        <f>EFEITO!$N$1543*EFEITO!$AA$1543</f>
        <v>289.99033470994766</v>
      </c>
      <c r="M1543" s="83">
        <f>$J$1543-EFEITO!$K$1543*EFEITO!$Y$1543</f>
        <v>0</v>
      </c>
      <c r="N1543" s="83">
        <f ca="1">$K$1543-EFEITO!$M$1543*EFEITO!$Z$1543</f>
        <v>0</v>
      </c>
      <c r="O1543" s="83">
        <f>$L$1543-EFEITO!$O$1543*EFEITO!$AA$1543</f>
        <v>0</v>
      </c>
      <c r="P1543" s="61"/>
      <c r="Q1543" s="61"/>
      <c r="R1543" s="61"/>
      <c r="S1543" s="61"/>
      <c r="T1543" s="61"/>
      <c r="U1543" s="61"/>
      <c r="V1543" s="61"/>
      <c r="W1543" s="61"/>
      <c r="X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</row>
    <row r="1544" spans="1:36" ht="11.25" customHeight="1" x14ac:dyDescent="0.2">
      <c r="A1544" s="57" t="s">
        <v>21</v>
      </c>
      <c r="B1544" s="57" t="s">
        <v>22</v>
      </c>
      <c r="C1544" s="57" t="s">
        <v>39</v>
      </c>
      <c r="D1544" s="57" t="s">
        <v>24</v>
      </c>
      <c r="E1544" s="57" t="s">
        <v>24</v>
      </c>
      <c r="F1544" s="57" t="s">
        <v>25</v>
      </c>
      <c r="G1544" s="57" t="s">
        <v>25</v>
      </c>
      <c r="H1544" s="57" t="s">
        <v>38</v>
      </c>
      <c r="I1544" s="82">
        <v>44197</v>
      </c>
      <c r="J1544" s="83">
        <f>EFEITO!$J$1544*EFEITO!$Y$1544</f>
        <v>0</v>
      </c>
      <c r="K1544" s="83">
        <f ca="1">EFEITO!$L$1544*EFEITO!$Z$1544</f>
        <v>13217.839572000146</v>
      </c>
      <c r="L1544" s="83">
        <f>EFEITO!$N$1544*EFEITO!$AA$1544</f>
        <v>9304.0216070939914</v>
      </c>
      <c r="M1544" s="83">
        <f>$J$1544-EFEITO!$K$1544*EFEITO!$Y$1544</f>
        <v>0</v>
      </c>
      <c r="N1544" s="83">
        <f ca="1">$K$1544-EFEITO!$M$1544*EFEITO!$Z$1544</f>
        <v>0</v>
      </c>
      <c r="O1544" s="83">
        <f>$L$1544-EFEITO!$O$1544*EFEITO!$AA$1544</f>
        <v>0</v>
      </c>
      <c r="P1544" s="61"/>
      <c r="Q1544" s="61"/>
      <c r="R1544" s="61"/>
      <c r="S1544" s="61"/>
      <c r="T1544" s="61"/>
      <c r="U1544" s="61"/>
      <c r="V1544" s="61"/>
      <c r="W1544" s="61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</row>
    <row r="1545" spans="1:36" ht="11.25" customHeight="1" x14ac:dyDescent="0.2">
      <c r="A1545" s="57" t="s">
        <v>27</v>
      </c>
      <c r="B1545" s="57" t="s">
        <v>22</v>
      </c>
      <c r="C1545" s="57" t="s">
        <v>39</v>
      </c>
      <c r="D1545" s="57" t="s">
        <v>24</v>
      </c>
      <c r="E1545" s="57" t="s">
        <v>24</v>
      </c>
      <c r="F1545" s="57" t="s">
        <v>25</v>
      </c>
      <c r="G1545" s="57" t="s">
        <v>25</v>
      </c>
      <c r="H1545" s="57" t="s">
        <v>38</v>
      </c>
      <c r="I1545" s="82">
        <v>44197</v>
      </c>
      <c r="J1545" s="83">
        <f>EFEITO!$J$1545*EFEITO!$Y$1545</f>
        <v>0</v>
      </c>
      <c r="K1545" s="83">
        <f ca="1">EFEITO!$L$1545*EFEITO!$Z$1545</f>
        <v>-50.643063494253433</v>
      </c>
      <c r="L1545" s="83">
        <f>EFEITO!$N$1545*EFEITO!$AA$1545</f>
        <v>-35.647592364344789</v>
      </c>
      <c r="M1545" s="83">
        <f>$J$1545-EFEITO!$K$1545*EFEITO!$Y$1545</f>
        <v>0</v>
      </c>
      <c r="N1545" s="83">
        <f ca="1">$K$1545-EFEITO!$M$1545*EFEITO!$Z$1545</f>
        <v>0</v>
      </c>
      <c r="O1545" s="83">
        <f>$L$1545-EFEITO!$O$1545*EFEITO!$AA$1545</f>
        <v>0</v>
      </c>
      <c r="P1545" s="61"/>
      <c r="Q1545" s="61"/>
      <c r="R1545" s="61"/>
      <c r="S1545" s="61"/>
      <c r="T1545" s="61"/>
      <c r="U1545" s="61"/>
      <c r="V1545" s="61"/>
      <c r="W1545" s="61"/>
      <c r="X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</row>
    <row r="1546" spans="1:36" ht="11.25" customHeight="1" x14ac:dyDescent="0.2">
      <c r="A1546" s="57" t="s">
        <v>28</v>
      </c>
      <c r="B1546" s="57" t="s">
        <v>22</v>
      </c>
      <c r="C1546" s="57" t="s">
        <v>39</v>
      </c>
      <c r="D1546" s="57" t="s">
        <v>24</v>
      </c>
      <c r="E1546" s="57" t="s">
        <v>24</v>
      </c>
      <c r="F1546" s="57" t="s">
        <v>25</v>
      </c>
      <c r="G1546" s="57" t="s">
        <v>25</v>
      </c>
      <c r="H1546" s="57" t="s">
        <v>38</v>
      </c>
      <c r="I1546" s="82">
        <v>44197</v>
      </c>
      <c r="J1546" s="83">
        <f>EFEITO!$J$1546*EFEITO!$Y$1546</f>
        <v>0</v>
      </c>
      <c r="K1546" s="83">
        <f ca="1">EFEITO!$L$1546*EFEITO!$Z$1546</f>
        <v>622.18620864368506</v>
      </c>
      <c r="L1546" s="83">
        <f>EFEITO!$N$1546*EFEITO!$AA$1546</f>
        <v>437.9561347619503</v>
      </c>
      <c r="M1546" s="83">
        <f>$J$1546-EFEITO!$K$1546*EFEITO!$Y$1546</f>
        <v>0</v>
      </c>
      <c r="N1546" s="83">
        <f ca="1">$K$1546-EFEITO!$M$1546*EFEITO!$Z$1546</f>
        <v>0</v>
      </c>
      <c r="O1546" s="83">
        <f>$L$1546-EFEITO!$O$1546*EFEITO!$AA$1546</f>
        <v>0</v>
      </c>
      <c r="P1546" s="61"/>
      <c r="Q1546" s="61"/>
      <c r="R1546" s="61"/>
      <c r="S1546" s="61"/>
      <c r="T1546" s="61"/>
      <c r="U1546" s="61"/>
      <c r="V1546" s="61"/>
      <c r="W1546" s="61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</row>
    <row r="1547" spans="1:36" ht="11.25" customHeight="1" x14ac:dyDescent="0.2">
      <c r="A1547" s="57" t="s">
        <v>30</v>
      </c>
      <c r="B1547" s="57" t="s">
        <v>22</v>
      </c>
      <c r="C1547" s="57" t="s">
        <v>39</v>
      </c>
      <c r="D1547" s="57" t="s">
        <v>24</v>
      </c>
      <c r="E1547" s="57" t="s">
        <v>24</v>
      </c>
      <c r="F1547" s="57" t="s">
        <v>25</v>
      </c>
      <c r="G1547" s="57" t="s">
        <v>25</v>
      </c>
      <c r="H1547" s="57" t="s">
        <v>38</v>
      </c>
      <c r="I1547" s="82">
        <v>44197</v>
      </c>
      <c r="J1547" s="83">
        <f>EFEITO!$J$1547*EFEITO!$Y$1547</f>
        <v>0</v>
      </c>
      <c r="K1547" s="83">
        <f ca="1">EFEITO!$L$1547*EFEITO!$Z$1547</f>
        <v>399.51750089911042</v>
      </c>
      <c r="L1547" s="83">
        <f>EFEITO!$N$1547*EFEITO!$AA$1547</f>
        <v>281.21989531871998</v>
      </c>
      <c r="M1547" s="83">
        <f>$J$1547-EFEITO!$K$1547*EFEITO!$Y$1547</f>
        <v>0</v>
      </c>
      <c r="N1547" s="83">
        <f ca="1">$K$1547-EFEITO!$M$1547*EFEITO!$Z$1547</f>
        <v>0</v>
      </c>
      <c r="O1547" s="83">
        <f>$L$1547-EFEITO!$O$1547*EFEITO!$AA$1547</f>
        <v>0</v>
      </c>
      <c r="P1547" s="61"/>
      <c r="Q1547" s="61"/>
      <c r="R1547" s="61"/>
      <c r="S1547" s="61"/>
      <c r="T1547" s="61"/>
      <c r="U1547" s="61"/>
      <c r="V1547" s="61"/>
      <c r="W1547" s="61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</row>
    <row r="1548" spans="1:36" ht="11.25" customHeight="1" x14ac:dyDescent="0.2">
      <c r="A1548" s="57" t="s">
        <v>21</v>
      </c>
      <c r="B1548" s="57" t="s">
        <v>22</v>
      </c>
      <c r="C1548" s="57" t="s">
        <v>39</v>
      </c>
      <c r="D1548" s="57" t="s">
        <v>24</v>
      </c>
      <c r="E1548" s="57" t="s">
        <v>24</v>
      </c>
      <c r="F1548" s="57" t="s">
        <v>25</v>
      </c>
      <c r="G1548" s="57" t="s">
        <v>25</v>
      </c>
      <c r="H1548" s="57" t="s">
        <v>38</v>
      </c>
      <c r="I1548" s="82">
        <v>44228</v>
      </c>
      <c r="J1548" s="83">
        <f>EFEITO!$J$1548*EFEITO!$Y$1548</f>
        <v>0</v>
      </c>
      <c r="K1548" s="83">
        <f ca="1">EFEITO!$L$1548*EFEITO!$Z$1548</f>
        <v>11751.200376043551</v>
      </c>
      <c r="L1548" s="83">
        <f>EFEITO!$N$1548*EFEITO!$AA$1548</f>
        <v>8271.6560155265761</v>
      </c>
      <c r="M1548" s="83">
        <f>$J$1548-EFEITO!$K$1548*EFEITO!$Y$1548</f>
        <v>0</v>
      </c>
      <c r="N1548" s="83">
        <f ca="1">$K$1548-EFEITO!$M$1548*EFEITO!$Z$1548</f>
        <v>0</v>
      </c>
      <c r="O1548" s="83">
        <f>$L$1548-EFEITO!$O$1548*EFEITO!$AA$1548</f>
        <v>0</v>
      </c>
      <c r="P1548" s="61"/>
      <c r="Q1548" s="61"/>
      <c r="R1548" s="61"/>
      <c r="S1548" s="61"/>
      <c r="T1548" s="61"/>
      <c r="U1548" s="61"/>
      <c r="V1548" s="61"/>
      <c r="W1548" s="61"/>
      <c r="X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</row>
    <row r="1549" spans="1:36" ht="11.25" customHeight="1" x14ac:dyDescent="0.2">
      <c r="A1549" s="57" t="s">
        <v>27</v>
      </c>
      <c r="B1549" s="57" t="s">
        <v>22</v>
      </c>
      <c r="C1549" s="57" t="s">
        <v>39</v>
      </c>
      <c r="D1549" s="57" t="s">
        <v>24</v>
      </c>
      <c r="E1549" s="57" t="s">
        <v>24</v>
      </c>
      <c r="F1549" s="57" t="s">
        <v>25</v>
      </c>
      <c r="G1549" s="57" t="s">
        <v>25</v>
      </c>
      <c r="H1549" s="57" t="s">
        <v>38</v>
      </c>
      <c r="I1549" s="82">
        <v>44228</v>
      </c>
      <c r="J1549" s="83">
        <f>EFEITO!$J$1549*EFEITO!$Y$1549</f>
        <v>0</v>
      </c>
      <c r="K1549" s="83">
        <f ca="1">EFEITO!$L$1549*EFEITO!$Z$1549</f>
        <v>52.250779795658303</v>
      </c>
      <c r="L1549" s="83">
        <f>EFEITO!$N$1549*EFEITO!$AA$1549</f>
        <v>36.779261963212882</v>
      </c>
      <c r="M1549" s="83">
        <f>$J$1549-EFEITO!$K$1549*EFEITO!$Y$1549</f>
        <v>0</v>
      </c>
      <c r="N1549" s="83">
        <f ca="1">$K$1549-EFEITO!$M$1549*EFEITO!$Z$1549</f>
        <v>0</v>
      </c>
      <c r="O1549" s="83">
        <f>$L$1549-EFEITO!$O$1549*EFEITO!$AA$1549</f>
        <v>0</v>
      </c>
      <c r="P1549" s="61"/>
      <c r="Q1549" s="61"/>
      <c r="R1549" s="61"/>
      <c r="S1549" s="61"/>
      <c r="T1549" s="61"/>
      <c r="U1549" s="61"/>
      <c r="V1549" s="61"/>
      <c r="W1549" s="61"/>
      <c r="X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</row>
    <row r="1550" spans="1:36" ht="11.25" customHeight="1" x14ac:dyDescent="0.2">
      <c r="A1550" s="57" t="s">
        <v>28</v>
      </c>
      <c r="B1550" s="57" t="s">
        <v>22</v>
      </c>
      <c r="C1550" s="57" t="s">
        <v>39</v>
      </c>
      <c r="D1550" s="57" t="s">
        <v>24</v>
      </c>
      <c r="E1550" s="57" t="s">
        <v>24</v>
      </c>
      <c r="F1550" s="57" t="s">
        <v>25</v>
      </c>
      <c r="G1550" s="57" t="s">
        <v>25</v>
      </c>
      <c r="H1550" s="57" t="s">
        <v>38</v>
      </c>
      <c r="I1550" s="82">
        <v>44228</v>
      </c>
      <c r="J1550" s="83">
        <f>EFEITO!$J$1550*EFEITO!$Y$1550</f>
        <v>0</v>
      </c>
      <c r="K1550" s="83">
        <f ca="1">EFEITO!$L$1550*EFEITO!$Z$1550</f>
        <v>485.53032302427096</v>
      </c>
      <c r="L1550" s="83">
        <f>EFEITO!$N$1550*EFEITO!$AA$1550</f>
        <v>341.76421885816274</v>
      </c>
      <c r="M1550" s="83">
        <f>$J$1550-EFEITO!$K$1550*EFEITO!$Y$1550</f>
        <v>0</v>
      </c>
      <c r="N1550" s="83">
        <f ca="1">$K$1550-EFEITO!$M$1550*EFEITO!$Z$1550</f>
        <v>0</v>
      </c>
      <c r="O1550" s="83">
        <f>$L$1550-EFEITO!$O$1550*EFEITO!$AA$1550</f>
        <v>0</v>
      </c>
      <c r="P1550" s="61"/>
      <c r="Q1550" s="61"/>
      <c r="R1550" s="61"/>
      <c r="S1550" s="61"/>
      <c r="T1550" s="61"/>
      <c r="U1550" s="61"/>
      <c r="V1550" s="61"/>
      <c r="W1550" s="61"/>
      <c r="X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</row>
    <row r="1551" spans="1:36" ht="11.25" customHeight="1" x14ac:dyDescent="0.2">
      <c r="A1551" s="57" t="s">
        <v>30</v>
      </c>
      <c r="B1551" s="57" t="s">
        <v>22</v>
      </c>
      <c r="C1551" s="57" t="s">
        <v>39</v>
      </c>
      <c r="D1551" s="57" t="s">
        <v>24</v>
      </c>
      <c r="E1551" s="57" t="s">
        <v>24</v>
      </c>
      <c r="F1551" s="57" t="s">
        <v>25</v>
      </c>
      <c r="G1551" s="57" t="s">
        <v>25</v>
      </c>
      <c r="H1551" s="57" t="s">
        <v>38</v>
      </c>
      <c r="I1551" s="82">
        <v>44228</v>
      </c>
      <c r="J1551" s="83">
        <f>EFEITO!$J$1551*EFEITO!$Y$1551</f>
        <v>0</v>
      </c>
      <c r="K1551" s="83">
        <f ca="1">EFEITO!$L$1551*EFEITO!$Z$1551</f>
        <v>353.29565723372036</v>
      </c>
      <c r="L1551" s="83">
        <f>EFEITO!$N$1551*EFEITO!$AA$1551</f>
        <v>248.68439435126245</v>
      </c>
      <c r="M1551" s="83">
        <f>$J$1551-EFEITO!$K$1551*EFEITO!$Y$1551</f>
        <v>0</v>
      </c>
      <c r="N1551" s="83">
        <f ca="1">$K$1551-EFEITO!$M$1551*EFEITO!$Z$1551</f>
        <v>0</v>
      </c>
      <c r="O1551" s="83">
        <f>$L$1551-EFEITO!$O$1551*EFEITO!$AA$1551</f>
        <v>0</v>
      </c>
      <c r="P1551" s="61"/>
      <c r="Q1551" s="61"/>
      <c r="R1551" s="61"/>
      <c r="S1551" s="61"/>
      <c r="T1551" s="61"/>
      <c r="U1551" s="61"/>
      <c r="V1551" s="61"/>
      <c r="W1551" s="61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</row>
    <row r="1552" spans="1:36" ht="11.25" customHeight="1" x14ac:dyDescent="0.2">
      <c r="A1552" s="57" t="s">
        <v>21</v>
      </c>
      <c r="B1552" s="57" t="s">
        <v>22</v>
      </c>
      <c r="C1552" s="57" t="s">
        <v>39</v>
      </c>
      <c r="D1552" s="57" t="s">
        <v>24</v>
      </c>
      <c r="E1552" s="57" t="s">
        <v>24</v>
      </c>
      <c r="F1552" s="57" t="s">
        <v>25</v>
      </c>
      <c r="G1552" s="57" t="s">
        <v>25</v>
      </c>
      <c r="H1552" s="57" t="s">
        <v>38</v>
      </c>
      <c r="I1552" s="82">
        <v>44256</v>
      </c>
      <c r="J1552" s="83">
        <f>EFEITO!$J$1552*EFEITO!$Y$1552</f>
        <v>0</v>
      </c>
      <c r="K1552" s="83">
        <f ca="1">EFEITO!$L$1552*EFEITO!$Z$1552</f>
        <v>12872.58249627345</v>
      </c>
      <c r="L1552" s="83">
        <f>EFEITO!$N$1552*EFEITO!$AA$1552</f>
        <v>9060.9955607370684</v>
      </c>
      <c r="M1552" s="83">
        <f>$J$1552-EFEITO!$K$1552*EFEITO!$Y$1552</f>
        <v>0</v>
      </c>
      <c r="N1552" s="83">
        <f ca="1">$K$1552-EFEITO!$M$1552*EFEITO!$Z$1552</f>
        <v>0</v>
      </c>
      <c r="O1552" s="83">
        <f>$L$1552-EFEITO!$O$1552*EFEITO!$AA$1552</f>
        <v>0</v>
      </c>
      <c r="P1552" s="61"/>
      <c r="Q1552" s="61"/>
      <c r="R1552" s="61"/>
      <c r="S1552" s="61"/>
      <c r="T1552" s="61"/>
      <c r="U1552" s="61"/>
      <c r="V1552" s="61"/>
      <c r="W1552" s="61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</row>
    <row r="1553" spans="1:36" ht="11.25" customHeight="1" x14ac:dyDescent="0.2">
      <c r="A1553" s="57" t="s">
        <v>28</v>
      </c>
      <c r="B1553" s="57" t="s">
        <v>22</v>
      </c>
      <c r="C1553" s="57" t="s">
        <v>39</v>
      </c>
      <c r="D1553" s="57" t="s">
        <v>24</v>
      </c>
      <c r="E1553" s="57" t="s">
        <v>24</v>
      </c>
      <c r="F1553" s="57" t="s">
        <v>25</v>
      </c>
      <c r="G1553" s="57" t="s">
        <v>25</v>
      </c>
      <c r="H1553" s="57" t="s">
        <v>38</v>
      </c>
      <c r="I1553" s="82">
        <v>44256</v>
      </c>
      <c r="J1553" s="83">
        <f>EFEITO!$J$1553*EFEITO!$Y$1553</f>
        <v>0</v>
      </c>
      <c r="K1553" s="83">
        <f ca="1">EFEITO!$L$1553*EFEITO!$Z$1553</f>
        <v>1078.7776382426684</v>
      </c>
      <c r="L1553" s="83">
        <f>EFEITO!$N$1553*EFEITO!$AA$1553</f>
        <v>759.35030084048742</v>
      </c>
      <c r="M1553" s="83">
        <f>$J$1553-EFEITO!$K$1553*EFEITO!$Y$1553</f>
        <v>0</v>
      </c>
      <c r="N1553" s="83">
        <f ca="1">$K$1553-EFEITO!$M$1553*EFEITO!$Z$1553</f>
        <v>0</v>
      </c>
      <c r="O1553" s="83">
        <f>$L$1553-EFEITO!$O$1553*EFEITO!$AA$1553</f>
        <v>0</v>
      </c>
      <c r="P1553" s="61"/>
      <c r="Q1553" s="61"/>
      <c r="R1553" s="61"/>
      <c r="S1553" s="61"/>
      <c r="T1553" s="61"/>
      <c r="U1553" s="61"/>
      <c r="V1553" s="61"/>
      <c r="W1553" s="61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</row>
    <row r="1554" spans="1:36" ht="11.25" customHeight="1" x14ac:dyDescent="0.2">
      <c r="A1554" s="57" t="s">
        <v>30</v>
      </c>
      <c r="B1554" s="57" t="s">
        <v>22</v>
      </c>
      <c r="C1554" s="57" t="s">
        <v>39</v>
      </c>
      <c r="D1554" s="57" t="s">
        <v>24</v>
      </c>
      <c r="E1554" s="57" t="s">
        <v>24</v>
      </c>
      <c r="F1554" s="57" t="s">
        <v>25</v>
      </c>
      <c r="G1554" s="57" t="s">
        <v>25</v>
      </c>
      <c r="H1554" s="57" t="s">
        <v>38</v>
      </c>
      <c r="I1554" s="82">
        <v>44256</v>
      </c>
      <c r="J1554" s="83">
        <f>EFEITO!$J$1554*EFEITO!$Y$1554</f>
        <v>0</v>
      </c>
      <c r="K1554" s="83">
        <f ca="1">EFEITO!$L$1554*EFEITO!$Z$1554</f>
        <v>350.48215370626184</v>
      </c>
      <c r="L1554" s="83">
        <f>EFEITO!$N$1554*EFEITO!$AA$1554</f>
        <v>246.70397255324329</v>
      </c>
      <c r="M1554" s="83">
        <f>$J$1554-EFEITO!$K$1554*EFEITO!$Y$1554</f>
        <v>0</v>
      </c>
      <c r="N1554" s="83">
        <f ca="1">$K$1554-EFEITO!$M$1554*EFEITO!$Z$1554</f>
        <v>0</v>
      </c>
      <c r="O1554" s="83">
        <f>$L$1554-EFEITO!$O$1554*EFEITO!$AA$1554</f>
        <v>0</v>
      </c>
      <c r="P1554" s="61"/>
      <c r="Q1554" s="61"/>
      <c r="R1554" s="61"/>
      <c r="S1554" s="61"/>
      <c r="T1554" s="61"/>
      <c r="U1554" s="61"/>
      <c r="V1554" s="61"/>
      <c r="W1554" s="61"/>
      <c r="X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</row>
    <row r="1555" spans="1:36" ht="11.25" customHeight="1" x14ac:dyDescent="0.2">
      <c r="A1555" s="57" t="s">
        <v>21</v>
      </c>
      <c r="B1555" s="57" t="s">
        <v>22</v>
      </c>
      <c r="C1555" s="57" t="s">
        <v>39</v>
      </c>
      <c r="D1555" s="57" t="s">
        <v>24</v>
      </c>
      <c r="E1555" s="57" t="s">
        <v>24</v>
      </c>
      <c r="F1555" s="57" t="s">
        <v>25</v>
      </c>
      <c r="G1555" s="57" t="s">
        <v>25</v>
      </c>
      <c r="H1555" s="57" t="s">
        <v>38</v>
      </c>
      <c r="I1555" s="82">
        <v>44287</v>
      </c>
      <c r="J1555" s="83">
        <f>EFEITO!$J$1555*EFEITO!$Y$1555</f>
        <v>0</v>
      </c>
      <c r="K1555" s="83">
        <f ca="1">EFEITO!$L$1555*EFEITO!$Z$1555</f>
        <v>13881.022546329656</v>
      </c>
      <c r="L1555" s="83">
        <f>EFEITO!$N$1555*EFEITO!$AA$1555</f>
        <v>9770.8353166270772</v>
      </c>
      <c r="M1555" s="83">
        <f>$J$1555-EFEITO!$K$1555*EFEITO!$Y$1555</f>
        <v>0</v>
      </c>
      <c r="N1555" s="83">
        <f ca="1">$K$1555-EFEITO!$M$1555*EFEITO!$Z$1555</f>
        <v>0</v>
      </c>
      <c r="O1555" s="83">
        <f>$L$1555-EFEITO!$O$1555*EFEITO!$AA$1555</f>
        <v>0</v>
      </c>
      <c r="P1555" s="61"/>
      <c r="Q1555" s="61"/>
      <c r="R1555" s="61"/>
      <c r="S1555" s="61"/>
      <c r="T1555" s="61"/>
      <c r="U1555" s="61"/>
      <c r="V1555" s="61"/>
      <c r="W1555" s="61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</row>
    <row r="1556" spans="1:36" ht="11.25" customHeight="1" x14ac:dyDescent="0.2">
      <c r="A1556" s="57" t="s">
        <v>28</v>
      </c>
      <c r="B1556" s="57" t="s">
        <v>22</v>
      </c>
      <c r="C1556" s="57" t="s">
        <v>39</v>
      </c>
      <c r="D1556" s="57" t="s">
        <v>24</v>
      </c>
      <c r="E1556" s="57" t="s">
        <v>24</v>
      </c>
      <c r="F1556" s="57" t="s">
        <v>25</v>
      </c>
      <c r="G1556" s="57" t="s">
        <v>25</v>
      </c>
      <c r="H1556" s="57" t="s">
        <v>38</v>
      </c>
      <c r="I1556" s="82">
        <v>44287</v>
      </c>
      <c r="J1556" s="83">
        <f>EFEITO!$J$1556*EFEITO!$Y$1556</f>
        <v>0</v>
      </c>
      <c r="K1556" s="83">
        <f ca="1">EFEITO!$L$1556*EFEITO!$Z$1556</f>
        <v>1343.6488988991207</v>
      </c>
      <c r="L1556" s="83">
        <f>EFEITO!$N$1556*EFEITO!$AA$1556</f>
        <v>945.79286725400505</v>
      </c>
      <c r="M1556" s="83">
        <f>$J$1556-EFEITO!$K$1556*EFEITO!$Y$1556</f>
        <v>0</v>
      </c>
      <c r="N1556" s="83">
        <f ca="1">$K$1556-EFEITO!$M$1556*EFEITO!$Z$1556</f>
        <v>0</v>
      </c>
      <c r="O1556" s="83">
        <f>$L$1556-EFEITO!$O$1556*EFEITO!$AA$1556</f>
        <v>0</v>
      </c>
      <c r="P1556" s="61"/>
      <c r="Q1556" s="61"/>
      <c r="R1556" s="61"/>
      <c r="S1556" s="61"/>
      <c r="T1556" s="61"/>
      <c r="U1556" s="61"/>
      <c r="V1556" s="61"/>
      <c r="W1556" s="61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</row>
    <row r="1557" spans="1:36" ht="11.25" customHeight="1" x14ac:dyDescent="0.2">
      <c r="A1557" s="57" t="s">
        <v>30</v>
      </c>
      <c r="B1557" s="57" t="s">
        <v>22</v>
      </c>
      <c r="C1557" s="57" t="s">
        <v>39</v>
      </c>
      <c r="D1557" s="57" t="s">
        <v>24</v>
      </c>
      <c r="E1557" s="57" t="s">
        <v>24</v>
      </c>
      <c r="F1557" s="57" t="s">
        <v>25</v>
      </c>
      <c r="G1557" s="57" t="s">
        <v>25</v>
      </c>
      <c r="H1557" s="57" t="s">
        <v>38</v>
      </c>
      <c r="I1557" s="82">
        <v>44287</v>
      </c>
      <c r="J1557" s="83">
        <f>EFEITO!$J$1557*EFEITO!$Y$1557</f>
        <v>0</v>
      </c>
      <c r="K1557" s="83">
        <f ca="1">EFEITO!$L$1557*EFEITO!$Z$1557</f>
        <v>1239.5492683831553</v>
      </c>
      <c r="L1557" s="83">
        <f>EFEITO!$N$1557*EFEITO!$AA$1557</f>
        <v>872.51726072729628</v>
      </c>
      <c r="M1557" s="83">
        <f>$J$1557-EFEITO!$K$1557*EFEITO!$Y$1557</f>
        <v>0</v>
      </c>
      <c r="N1557" s="83">
        <f ca="1">$K$1557-EFEITO!$M$1557*EFEITO!$Z$1557</f>
        <v>0</v>
      </c>
      <c r="O1557" s="83">
        <f>$L$1557-EFEITO!$O$1557*EFEITO!$AA$1557</f>
        <v>0</v>
      </c>
      <c r="P1557" s="61"/>
      <c r="Q1557" s="61"/>
      <c r="R1557" s="61"/>
      <c r="S1557" s="61"/>
      <c r="T1557" s="61"/>
      <c r="U1557" s="61"/>
      <c r="V1557" s="61"/>
      <c r="W1557" s="61"/>
      <c r="X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</row>
    <row r="1558" spans="1:36" ht="11.25" customHeight="1" x14ac:dyDescent="0.2">
      <c r="A1558" s="57" t="s">
        <v>21</v>
      </c>
      <c r="B1558" s="57" t="s">
        <v>22</v>
      </c>
      <c r="C1558" s="57" t="s">
        <v>39</v>
      </c>
      <c r="D1558" s="57" t="s">
        <v>24</v>
      </c>
      <c r="E1558" s="57" t="s">
        <v>24</v>
      </c>
      <c r="F1558" s="57" t="s">
        <v>25</v>
      </c>
      <c r="G1558" s="57" t="s">
        <v>25</v>
      </c>
      <c r="H1558" s="57" t="s">
        <v>38</v>
      </c>
      <c r="I1558" s="82">
        <v>44317</v>
      </c>
      <c r="J1558" s="83">
        <f>EFEITO!$J$1558*EFEITO!$Y$1558</f>
        <v>0</v>
      </c>
      <c r="K1558" s="83">
        <f ca="1">EFEITO!$L$1558*EFEITO!$Z$1558</f>
        <v>13318.321840837951</v>
      </c>
      <c r="L1558" s="83">
        <f>EFEITO!$N$1558*EFEITO!$AA$1558</f>
        <v>9374.7509570232469</v>
      </c>
      <c r="M1558" s="83">
        <f>$J$1558-EFEITO!$K$1558*EFEITO!$Y$1558</f>
        <v>0</v>
      </c>
      <c r="N1558" s="83">
        <f ca="1">$K$1558-EFEITO!$M$1558*EFEITO!$Z$1558</f>
        <v>0</v>
      </c>
      <c r="O1558" s="83">
        <f>$L$1558-EFEITO!$O$1558*EFEITO!$AA$1558</f>
        <v>0</v>
      </c>
      <c r="P1558" s="61"/>
      <c r="Q1558" s="61"/>
      <c r="R1558" s="61"/>
      <c r="S1558" s="61"/>
      <c r="T1558" s="61"/>
      <c r="U1558" s="61"/>
      <c r="V1558" s="61"/>
      <c r="W1558" s="61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</row>
    <row r="1559" spans="1:36" ht="11.25" customHeight="1" x14ac:dyDescent="0.2">
      <c r="A1559" s="57" t="s">
        <v>28</v>
      </c>
      <c r="B1559" s="57" t="s">
        <v>22</v>
      </c>
      <c r="C1559" s="57" t="s">
        <v>39</v>
      </c>
      <c r="D1559" s="57" t="s">
        <v>24</v>
      </c>
      <c r="E1559" s="57" t="s">
        <v>24</v>
      </c>
      <c r="F1559" s="57" t="s">
        <v>25</v>
      </c>
      <c r="G1559" s="57" t="s">
        <v>25</v>
      </c>
      <c r="H1559" s="57" t="s">
        <v>38</v>
      </c>
      <c r="I1559" s="82">
        <v>44317</v>
      </c>
      <c r="J1559" s="83">
        <f>EFEITO!$J$1559*EFEITO!$Y$1559</f>
        <v>0</v>
      </c>
      <c r="K1559" s="83">
        <f ca="1">EFEITO!$L$1559*EFEITO!$Z$1559</f>
        <v>1279.3402468429258</v>
      </c>
      <c r="L1559" s="83">
        <f>EFEITO!$N$1559*EFEITO!$AA$1559</f>
        <v>900.52608329928137</v>
      </c>
      <c r="M1559" s="83">
        <f>$J$1559-EFEITO!$K$1559*EFEITO!$Y$1559</f>
        <v>0</v>
      </c>
      <c r="N1559" s="83">
        <f ca="1">$K$1559-EFEITO!$M$1559*EFEITO!$Z$1559</f>
        <v>0</v>
      </c>
      <c r="O1559" s="83">
        <f>$L$1559-EFEITO!$O$1559*EFEITO!$AA$1559</f>
        <v>0</v>
      </c>
      <c r="P1559" s="61"/>
      <c r="Q1559" s="61"/>
      <c r="R1559" s="61"/>
      <c r="S1559" s="61"/>
      <c r="T1559" s="61"/>
      <c r="U1559" s="61"/>
      <c r="V1559" s="61"/>
      <c r="W1559" s="61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</row>
    <row r="1560" spans="1:36" ht="11.25" customHeight="1" x14ac:dyDescent="0.2">
      <c r="A1560" s="57" t="s">
        <v>30</v>
      </c>
      <c r="B1560" s="57" t="s">
        <v>22</v>
      </c>
      <c r="C1560" s="57" t="s">
        <v>39</v>
      </c>
      <c r="D1560" s="57" t="s">
        <v>24</v>
      </c>
      <c r="E1560" s="57" t="s">
        <v>24</v>
      </c>
      <c r="F1560" s="57" t="s">
        <v>25</v>
      </c>
      <c r="G1560" s="57" t="s">
        <v>25</v>
      </c>
      <c r="H1560" s="57" t="s">
        <v>38</v>
      </c>
      <c r="I1560" s="82">
        <v>44317</v>
      </c>
      <c r="J1560" s="83">
        <f>EFEITO!$J$1560*EFEITO!$Y$1560</f>
        <v>0</v>
      </c>
      <c r="K1560" s="83">
        <f ca="1">EFEITO!$L$1560*EFEITO!$Z$1560</f>
        <v>1149.1152264291313</v>
      </c>
      <c r="L1560" s="83">
        <f>EFEITO!$N$1560*EFEITO!$AA$1560</f>
        <v>808.86084579096632</v>
      </c>
      <c r="M1560" s="83">
        <f>$J$1560-EFEITO!$K$1560*EFEITO!$Y$1560</f>
        <v>0</v>
      </c>
      <c r="N1560" s="83">
        <f ca="1">$K$1560-EFEITO!$M$1560*EFEITO!$Z$1560</f>
        <v>0</v>
      </c>
      <c r="O1560" s="83">
        <f>$L$1560-EFEITO!$O$1560*EFEITO!$AA$1560</f>
        <v>0</v>
      </c>
      <c r="P1560" s="61"/>
      <c r="Q1560" s="61"/>
      <c r="R1560" s="61"/>
      <c r="S1560" s="61"/>
      <c r="T1560" s="61"/>
      <c r="U1560" s="61"/>
      <c r="V1560" s="61"/>
      <c r="W1560" s="61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</row>
    <row r="1561" spans="1:36" ht="11.25" customHeight="1" x14ac:dyDescent="0.2">
      <c r="A1561" s="57" t="s">
        <v>21</v>
      </c>
      <c r="B1561" s="57" t="s">
        <v>22</v>
      </c>
      <c r="C1561" s="57" t="s">
        <v>39</v>
      </c>
      <c r="D1561" s="57" t="s">
        <v>24</v>
      </c>
      <c r="E1561" s="57" t="s">
        <v>24</v>
      </c>
      <c r="F1561" s="57" t="s">
        <v>25</v>
      </c>
      <c r="G1561" s="57" t="s">
        <v>25</v>
      </c>
      <c r="H1561" s="57" t="s">
        <v>38</v>
      </c>
      <c r="I1561" s="82">
        <v>44348</v>
      </c>
      <c r="J1561" s="83">
        <f>EFEITO!$J$1561*EFEITO!$Y$1561</f>
        <v>0</v>
      </c>
      <c r="K1561" s="83">
        <f ca="1">EFEITO!$L$1561*EFEITO!$Z$1561</f>
        <v>14845.652327172576</v>
      </c>
      <c r="L1561" s="83">
        <f>EFEITO!$N$1561*EFEITO!$AA$1561</f>
        <v>10449.837075947929</v>
      </c>
      <c r="M1561" s="83">
        <f>$J$1561-EFEITO!$K$1561*EFEITO!$Y$1561</f>
        <v>0</v>
      </c>
      <c r="N1561" s="83">
        <f ca="1">$K$1561-EFEITO!$M$1561*EFEITO!$Z$1561</f>
        <v>0</v>
      </c>
      <c r="O1561" s="83">
        <f>$L$1561-EFEITO!$O$1561*EFEITO!$AA$1561</f>
        <v>0</v>
      </c>
      <c r="P1561" s="61"/>
      <c r="Q1561" s="61"/>
      <c r="R1561" s="61"/>
      <c r="S1561" s="61"/>
      <c r="T1561" s="61"/>
      <c r="U1561" s="61"/>
      <c r="V1561" s="61"/>
      <c r="W1561" s="61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</row>
    <row r="1562" spans="1:36" ht="11.25" customHeight="1" x14ac:dyDescent="0.2">
      <c r="A1562" s="57" t="s">
        <v>28</v>
      </c>
      <c r="B1562" s="57" t="s">
        <v>22</v>
      </c>
      <c r="C1562" s="57" t="s">
        <v>39</v>
      </c>
      <c r="D1562" s="57" t="s">
        <v>24</v>
      </c>
      <c r="E1562" s="57" t="s">
        <v>24</v>
      </c>
      <c r="F1562" s="57" t="s">
        <v>25</v>
      </c>
      <c r="G1562" s="57" t="s">
        <v>25</v>
      </c>
      <c r="H1562" s="57" t="s">
        <v>38</v>
      </c>
      <c r="I1562" s="82">
        <v>44348</v>
      </c>
      <c r="J1562" s="83">
        <f>EFEITO!$J$1562*EFEITO!$Y$1562</f>
        <v>0</v>
      </c>
      <c r="K1562" s="83">
        <f ca="1">EFEITO!$L$1562*EFEITO!$Z$1562</f>
        <v>1446.1408131136814</v>
      </c>
      <c r="L1562" s="83">
        <f>EFEITO!$N$1562*EFEITO!$AA$1562</f>
        <v>1017.9368041818456</v>
      </c>
      <c r="M1562" s="83">
        <f>$J$1562-EFEITO!$K$1562*EFEITO!$Y$1562</f>
        <v>0</v>
      </c>
      <c r="N1562" s="83">
        <f ca="1">$K$1562-EFEITO!$M$1562*EFEITO!$Z$1562</f>
        <v>0</v>
      </c>
      <c r="O1562" s="83">
        <f>$L$1562-EFEITO!$O$1562*EFEITO!$AA$1562</f>
        <v>0</v>
      </c>
      <c r="P1562" s="61"/>
      <c r="Q1562" s="61"/>
      <c r="R1562" s="61"/>
      <c r="S1562" s="61"/>
      <c r="T1562" s="61"/>
      <c r="U1562" s="61"/>
      <c r="V1562" s="61"/>
      <c r="W1562" s="61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</row>
    <row r="1563" spans="1:36" ht="11.25" customHeight="1" x14ac:dyDescent="0.2">
      <c r="A1563" s="57" t="s">
        <v>30</v>
      </c>
      <c r="B1563" s="57" t="s">
        <v>22</v>
      </c>
      <c r="C1563" s="57" t="s">
        <v>39</v>
      </c>
      <c r="D1563" s="57" t="s">
        <v>24</v>
      </c>
      <c r="E1563" s="57" t="s">
        <v>24</v>
      </c>
      <c r="F1563" s="57" t="s">
        <v>25</v>
      </c>
      <c r="G1563" s="57" t="s">
        <v>25</v>
      </c>
      <c r="H1563" s="57" t="s">
        <v>38</v>
      </c>
      <c r="I1563" s="82">
        <v>44348</v>
      </c>
      <c r="J1563" s="83">
        <f>EFEITO!$J$1563*EFEITO!$Y$1563</f>
        <v>0</v>
      </c>
      <c r="K1563" s="83">
        <f ca="1">EFEITO!$L$1563*EFEITO!$Z$1563</f>
        <v>1419.613494140501</v>
      </c>
      <c r="L1563" s="83">
        <f>EFEITO!$N$1563*EFEITO!$AA$1563</f>
        <v>999.26425580052216</v>
      </c>
      <c r="M1563" s="83">
        <f>$J$1563-EFEITO!$K$1563*EFEITO!$Y$1563</f>
        <v>0</v>
      </c>
      <c r="N1563" s="83">
        <f ca="1">$K$1563-EFEITO!$M$1563*EFEITO!$Z$1563</f>
        <v>0</v>
      </c>
      <c r="O1563" s="83">
        <f>$L$1563-EFEITO!$O$1563*EFEITO!$AA$1563</f>
        <v>0</v>
      </c>
      <c r="P1563" s="61"/>
      <c r="Q1563" s="61"/>
      <c r="R1563" s="61"/>
      <c r="S1563" s="61"/>
      <c r="T1563" s="61"/>
      <c r="U1563" s="61"/>
      <c r="V1563" s="61"/>
      <c r="W1563" s="61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</row>
    <row r="1564" spans="1:36" ht="11.25" customHeight="1" x14ac:dyDescent="0.2">
      <c r="A1564" s="57" t="s">
        <v>21</v>
      </c>
      <c r="B1564" s="57" t="s">
        <v>22</v>
      </c>
      <c r="C1564" s="57" t="s">
        <v>39</v>
      </c>
      <c r="D1564" s="57" t="s">
        <v>24</v>
      </c>
      <c r="E1564" s="57" t="s">
        <v>24</v>
      </c>
      <c r="F1564" s="57" t="s">
        <v>25</v>
      </c>
      <c r="G1564" s="57" t="s">
        <v>25</v>
      </c>
      <c r="H1564" s="57" t="s">
        <v>38</v>
      </c>
      <c r="I1564" s="82">
        <v>44378</v>
      </c>
      <c r="J1564" s="83">
        <f>EFEITO!$J$1564*EFEITO!$Y$1564</f>
        <v>0</v>
      </c>
      <c r="K1564" s="83">
        <f ca="1">EFEITO!$L$1564*EFEITO!$Z$1564</f>
        <v>13642.276675571031</v>
      </c>
      <c r="L1564" s="83">
        <f>EFEITO!$N$1564*EFEITO!$AA$1564</f>
        <v>9602.7823811951657</v>
      </c>
      <c r="M1564" s="83">
        <f>$J$1564-EFEITO!$K$1564*EFEITO!$Y$1564</f>
        <v>0</v>
      </c>
      <c r="N1564" s="83">
        <f ca="1">$K$1564-EFEITO!$M$1564*EFEITO!$Z$1564</f>
        <v>0</v>
      </c>
      <c r="O1564" s="83">
        <f>$L$1564-EFEITO!$O$1564*EFEITO!$AA$1564</f>
        <v>0</v>
      </c>
      <c r="P1564" s="61"/>
      <c r="Q1564" s="61"/>
      <c r="R1564" s="61"/>
      <c r="S1564" s="61"/>
      <c r="T1564" s="61"/>
      <c r="U1564" s="61"/>
      <c r="V1564" s="61"/>
      <c r="W1564" s="61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</row>
    <row r="1565" spans="1:36" ht="11.25" customHeight="1" x14ac:dyDescent="0.2">
      <c r="A1565" s="57" t="s">
        <v>27</v>
      </c>
      <c r="B1565" s="57" t="s">
        <v>22</v>
      </c>
      <c r="C1565" s="57" t="s">
        <v>39</v>
      </c>
      <c r="D1565" s="57" t="s">
        <v>24</v>
      </c>
      <c r="E1565" s="57" t="s">
        <v>24</v>
      </c>
      <c r="F1565" s="57" t="s">
        <v>25</v>
      </c>
      <c r="G1565" s="57" t="s">
        <v>25</v>
      </c>
      <c r="H1565" s="57" t="s">
        <v>38</v>
      </c>
      <c r="I1565" s="82">
        <v>44378</v>
      </c>
      <c r="J1565" s="83">
        <f>EFEITO!$J$1565*EFEITO!$Y$1565</f>
        <v>0</v>
      </c>
      <c r="K1565" s="83">
        <f ca="1">EFEITO!$L$1565*EFEITO!$Z$1565</f>
        <v>321.14133120562298</v>
      </c>
      <c r="L1565" s="83">
        <f>EFEITO!$N$1565*EFEITO!$AA$1565</f>
        <v>226.0510023739007</v>
      </c>
      <c r="M1565" s="83">
        <f>$J$1565-EFEITO!$K$1565*EFEITO!$Y$1565</f>
        <v>0</v>
      </c>
      <c r="N1565" s="83">
        <f ca="1">$K$1565-EFEITO!$M$1565*EFEITO!$Z$1565</f>
        <v>0</v>
      </c>
      <c r="O1565" s="83">
        <f>$L$1565-EFEITO!$O$1565*EFEITO!$AA$1565</f>
        <v>0</v>
      </c>
      <c r="P1565" s="61"/>
      <c r="Q1565" s="61"/>
      <c r="R1565" s="61"/>
      <c r="S1565" s="61"/>
      <c r="T1565" s="61"/>
      <c r="U1565" s="61"/>
      <c r="V1565" s="61"/>
      <c r="W1565" s="61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</row>
    <row r="1566" spans="1:36" ht="11.25" customHeight="1" x14ac:dyDescent="0.2">
      <c r="A1566" s="57" t="s">
        <v>28</v>
      </c>
      <c r="B1566" s="57" t="s">
        <v>22</v>
      </c>
      <c r="C1566" s="57" t="s">
        <v>39</v>
      </c>
      <c r="D1566" s="57" t="s">
        <v>24</v>
      </c>
      <c r="E1566" s="57" t="s">
        <v>24</v>
      </c>
      <c r="F1566" s="57" t="s">
        <v>25</v>
      </c>
      <c r="G1566" s="57" t="s">
        <v>25</v>
      </c>
      <c r="H1566" s="57" t="s">
        <v>38</v>
      </c>
      <c r="I1566" s="82">
        <v>44378</v>
      </c>
      <c r="J1566" s="83">
        <f>EFEITO!$J$1566*EFEITO!$Y$1566</f>
        <v>0</v>
      </c>
      <c r="K1566" s="83">
        <f ca="1">EFEITO!$L$1566*EFEITO!$Z$1566</f>
        <v>1447.7485294150861</v>
      </c>
      <c r="L1566" s="83">
        <f>EFEITO!$N$1566*EFEITO!$AA$1566</f>
        <v>1019.0684737807137</v>
      </c>
      <c r="M1566" s="83">
        <f>$J$1566-EFEITO!$K$1566*EFEITO!$Y$1566</f>
        <v>0</v>
      </c>
      <c r="N1566" s="83">
        <f ca="1">$K$1566-EFEITO!$M$1566*EFEITO!$Z$1566</f>
        <v>0</v>
      </c>
      <c r="O1566" s="83">
        <f>$L$1566-EFEITO!$O$1566*EFEITO!$AA$1566</f>
        <v>0</v>
      </c>
      <c r="P1566" s="61"/>
      <c r="Q1566" s="61"/>
      <c r="R1566" s="61"/>
      <c r="S1566" s="61"/>
      <c r="T1566" s="61"/>
      <c r="U1566" s="61"/>
      <c r="V1566" s="61"/>
      <c r="W1566" s="61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</row>
    <row r="1567" spans="1:36" ht="11.25" customHeight="1" x14ac:dyDescent="0.2">
      <c r="A1567" s="57" t="s">
        <v>30</v>
      </c>
      <c r="B1567" s="57" t="s">
        <v>22</v>
      </c>
      <c r="C1567" s="57" t="s">
        <v>39</v>
      </c>
      <c r="D1567" s="57" t="s">
        <v>24</v>
      </c>
      <c r="E1567" s="57" t="s">
        <v>24</v>
      </c>
      <c r="F1567" s="57" t="s">
        <v>25</v>
      </c>
      <c r="G1567" s="57" t="s">
        <v>25</v>
      </c>
      <c r="H1567" s="57" t="s">
        <v>38</v>
      </c>
      <c r="I1567" s="82">
        <v>44378</v>
      </c>
      <c r="J1567" s="83">
        <f>EFEITO!$J$1567*EFEITO!$Y$1567</f>
        <v>0</v>
      </c>
      <c r="K1567" s="83">
        <f ca="1">EFEITO!$L$1567*EFEITO!$Z$1567</f>
        <v>1370.5781469476524</v>
      </c>
      <c r="L1567" s="83">
        <f>EFEITO!$N$1567*EFEITO!$AA$1567</f>
        <v>964.74833303504556</v>
      </c>
      <c r="M1567" s="83">
        <f>$J$1567-EFEITO!$K$1567*EFEITO!$Y$1567</f>
        <v>0</v>
      </c>
      <c r="N1567" s="83">
        <f ca="1">$K$1567-EFEITO!$M$1567*EFEITO!$Z$1567</f>
        <v>0</v>
      </c>
      <c r="O1567" s="83">
        <f>$L$1567-EFEITO!$O$1567*EFEITO!$AA$1567</f>
        <v>0</v>
      </c>
      <c r="P1567" s="61"/>
      <c r="Q1567" s="61"/>
      <c r="R1567" s="61"/>
      <c r="S1567" s="61"/>
      <c r="T1567" s="61"/>
      <c r="U1567" s="61"/>
      <c r="V1567" s="61"/>
      <c r="W1567" s="61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</row>
    <row r="1568" spans="1:36" ht="11.25" customHeight="1" x14ac:dyDescent="0.2">
      <c r="A1568" s="57" t="s">
        <v>21</v>
      </c>
      <c r="B1568" s="57" t="s">
        <v>22</v>
      </c>
      <c r="C1568" s="57" t="s">
        <v>39</v>
      </c>
      <c r="D1568" s="57" t="s">
        <v>24</v>
      </c>
      <c r="E1568" s="57" t="s">
        <v>24</v>
      </c>
      <c r="F1568" s="57" t="s">
        <v>25</v>
      </c>
      <c r="G1568" s="57" t="s">
        <v>25</v>
      </c>
      <c r="H1568" s="57" t="s">
        <v>38</v>
      </c>
      <c r="I1568" s="82">
        <v>44409</v>
      </c>
      <c r="J1568" s="83">
        <f>EFEITO!$J$1568*EFEITO!$Y$1568</f>
        <v>0</v>
      </c>
      <c r="K1568" s="83">
        <f ca="1">EFEITO!$L$1568*EFEITO!$Z$1568</f>
        <v>15250.796835126606</v>
      </c>
      <c r="L1568" s="83">
        <f>EFEITO!$N$1568*EFEITO!$AA$1568</f>
        <v>10735.017814862689</v>
      </c>
      <c r="M1568" s="83">
        <f>$J$1568-EFEITO!$K$1568*EFEITO!$Y$1568</f>
        <v>0</v>
      </c>
      <c r="N1568" s="83">
        <f ca="1">$K$1568-EFEITO!$M$1568*EFEITO!$Z$1568</f>
        <v>0</v>
      </c>
      <c r="O1568" s="83">
        <f>$L$1568-EFEITO!$O$1568*EFEITO!$AA$1568</f>
        <v>0</v>
      </c>
      <c r="P1568" s="61"/>
      <c r="Q1568" s="61"/>
      <c r="R1568" s="61"/>
      <c r="S1568" s="61"/>
      <c r="T1568" s="61"/>
      <c r="U1568" s="61"/>
      <c r="V1568" s="61"/>
      <c r="W1568" s="61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</row>
    <row r="1569" spans="1:36" ht="11.25" customHeight="1" x14ac:dyDescent="0.2">
      <c r="A1569" s="57" t="s">
        <v>28</v>
      </c>
      <c r="B1569" s="57" t="s">
        <v>22</v>
      </c>
      <c r="C1569" s="57" t="s">
        <v>39</v>
      </c>
      <c r="D1569" s="57" t="s">
        <v>24</v>
      </c>
      <c r="E1569" s="57" t="s">
        <v>24</v>
      </c>
      <c r="F1569" s="57" t="s">
        <v>25</v>
      </c>
      <c r="G1569" s="57" t="s">
        <v>25</v>
      </c>
      <c r="H1569" s="57" t="s">
        <v>38</v>
      </c>
      <c r="I1569" s="82">
        <v>44409</v>
      </c>
      <c r="J1569" s="83">
        <f>EFEITO!$J$1569*EFEITO!$Y$1569</f>
        <v>0</v>
      </c>
      <c r="K1569" s="83">
        <f ca="1">EFEITO!$L$1569*EFEITO!$Z$1569</f>
        <v>1438.5041606820082</v>
      </c>
      <c r="L1569" s="83">
        <f>EFEITO!$N$1569*EFEITO!$AA$1569</f>
        <v>1012.5613735872223</v>
      </c>
      <c r="M1569" s="83">
        <f>$J$1569-EFEITO!$K$1569*EFEITO!$Y$1569</f>
        <v>0</v>
      </c>
      <c r="N1569" s="83">
        <f ca="1">$K$1569-EFEITO!$M$1569*EFEITO!$Z$1569</f>
        <v>0</v>
      </c>
      <c r="O1569" s="83">
        <f>$L$1569-EFEITO!$O$1569*EFEITO!$AA$1569</f>
        <v>0</v>
      </c>
      <c r="P1569" s="61"/>
      <c r="Q1569" s="61"/>
      <c r="R1569" s="61"/>
      <c r="S1569" s="61"/>
      <c r="T1569" s="61"/>
      <c r="U1569" s="61"/>
      <c r="V1569" s="61"/>
      <c r="W1569" s="61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</row>
    <row r="1570" spans="1:36" ht="11.25" customHeight="1" x14ac:dyDescent="0.2">
      <c r="A1570" s="57" t="s">
        <v>30</v>
      </c>
      <c r="B1570" s="57" t="s">
        <v>22</v>
      </c>
      <c r="C1570" s="57" t="s">
        <v>39</v>
      </c>
      <c r="D1570" s="57" t="s">
        <v>24</v>
      </c>
      <c r="E1570" s="57" t="s">
        <v>24</v>
      </c>
      <c r="F1570" s="57" t="s">
        <v>25</v>
      </c>
      <c r="G1570" s="57" t="s">
        <v>25</v>
      </c>
      <c r="H1570" s="57" t="s">
        <v>38</v>
      </c>
      <c r="I1570" s="82">
        <v>44409</v>
      </c>
      <c r="J1570" s="83">
        <f>EFEITO!$J$1570*EFEITO!$Y$1570</f>
        <v>0</v>
      </c>
      <c r="K1570" s="83">
        <f ca="1">EFEITO!$L$1570*EFEITO!$Z$1570</f>
        <v>1444.5330968122764</v>
      </c>
      <c r="L1570" s="83">
        <f>EFEITO!$N$1570*EFEITO!$AA$1570</f>
        <v>1016.8051345829775</v>
      </c>
      <c r="M1570" s="83">
        <f>$J$1570-EFEITO!$K$1570*EFEITO!$Y$1570</f>
        <v>0</v>
      </c>
      <c r="N1570" s="83">
        <f ca="1">$K$1570-EFEITO!$M$1570*EFEITO!$Z$1570</f>
        <v>0</v>
      </c>
      <c r="O1570" s="83">
        <f>$L$1570-EFEITO!$O$1570*EFEITO!$AA$1570</f>
        <v>0</v>
      </c>
      <c r="P1570" s="61"/>
      <c r="Q1570" s="61"/>
      <c r="R1570" s="61"/>
      <c r="S1570" s="61"/>
      <c r="T1570" s="61"/>
      <c r="U1570" s="61"/>
      <c r="V1570" s="61"/>
      <c r="W1570" s="61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</row>
    <row r="1571" spans="1:36" ht="11.25" customHeight="1" x14ac:dyDescent="0.2">
      <c r="A1571" s="57" t="s">
        <v>30</v>
      </c>
      <c r="B1571" s="57" t="s">
        <v>22</v>
      </c>
      <c r="C1571" s="57" t="s">
        <v>39</v>
      </c>
      <c r="D1571" s="57" t="s">
        <v>24</v>
      </c>
      <c r="E1571" s="57" t="s">
        <v>24</v>
      </c>
      <c r="F1571" s="57" t="s">
        <v>25</v>
      </c>
      <c r="G1571" s="57" t="s">
        <v>25</v>
      </c>
      <c r="H1571" s="57" t="s">
        <v>38</v>
      </c>
      <c r="I1571" s="82">
        <v>44409</v>
      </c>
      <c r="J1571" s="83">
        <f>EFEITO!$J$1571*EFEITO!$Y$1571</f>
        <v>0</v>
      </c>
      <c r="K1571" s="83">
        <f ca="1">EFEITO!$L$1571*EFEITO!$Z$1571</f>
        <v>-452.5721388454711</v>
      </c>
      <c r="L1571" s="83">
        <f>EFEITO!$N$1571*EFEITO!$AA$1571</f>
        <v>-318.56499208136688</v>
      </c>
      <c r="M1571" s="83">
        <f>$J$1571-EFEITO!$K$1571*EFEITO!$Y$1571</f>
        <v>0</v>
      </c>
      <c r="N1571" s="83">
        <f ca="1">$K$1571-EFEITO!$M$1571*EFEITO!$Z$1571</f>
        <v>0</v>
      </c>
      <c r="O1571" s="83">
        <f>$L$1571-EFEITO!$O$1571*EFEITO!$AA$1571</f>
        <v>0</v>
      </c>
      <c r="P1571" s="61"/>
      <c r="Q1571" s="61"/>
      <c r="R1571" s="61"/>
      <c r="S1571" s="61"/>
      <c r="T1571" s="61"/>
      <c r="U1571" s="61"/>
      <c r="V1571" s="61"/>
      <c r="W1571" s="61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</row>
    <row r="1572" spans="1:36" ht="11.25" customHeight="1" x14ac:dyDescent="0.2">
      <c r="A1572" s="57" t="s">
        <v>21</v>
      </c>
      <c r="B1572" s="57" t="s">
        <v>22</v>
      </c>
      <c r="C1572" s="57" t="s">
        <v>39</v>
      </c>
      <c r="D1572" s="57" t="s">
        <v>24</v>
      </c>
      <c r="E1572" s="57" t="s">
        <v>24</v>
      </c>
      <c r="F1572" s="57" t="s">
        <v>25</v>
      </c>
      <c r="G1572" s="57" t="s">
        <v>25</v>
      </c>
      <c r="H1572" s="57" t="s">
        <v>38</v>
      </c>
      <c r="I1572" s="82">
        <v>44440</v>
      </c>
      <c r="J1572" s="83">
        <f>EFEITO!$J$1572*EFEITO!$Y$1572</f>
        <v>0</v>
      </c>
      <c r="K1572" s="83">
        <f ca="1">EFEITO!$L$1572*EFEITO!$Z$1572</f>
        <v>15094.04449573963</v>
      </c>
      <c r="L1572" s="83">
        <f>EFEITO!$N$1572*EFEITO!$AA$1572</f>
        <v>10624.680028973049</v>
      </c>
      <c r="M1572" s="83">
        <f>$J$1572-EFEITO!$K$1572*EFEITO!$Y$1572</f>
        <v>0</v>
      </c>
      <c r="N1572" s="83">
        <f ca="1">$K$1572-EFEITO!$M$1572*EFEITO!$Z$1572</f>
        <v>0</v>
      </c>
      <c r="O1572" s="83">
        <f>$L$1572-EFEITO!$O$1572*EFEITO!$AA$1572</f>
        <v>0</v>
      </c>
      <c r="P1572" s="61"/>
      <c r="Q1572" s="61"/>
      <c r="R1572" s="61"/>
      <c r="S1572" s="61"/>
      <c r="T1572" s="61"/>
      <c r="U1572" s="61"/>
      <c r="V1572" s="61"/>
      <c r="W1572" s="61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</row>
    <row r="1573" spans="1:36" ht="11.25" customHeight="1" x14ac:dyDescent="0.2">
      <c r="A1573" s="57" t="s">
        <v>27</v>
      </c>
      <c r="B1573" s="57" t="s">
        <v>22</v>
      </c>
      <c r="C1573" s="57" t="s">
        <v>39</v>
      </c>
      <c r="D1573" s="57" t="s">
        <v>24</v>
      </c>
      <c r="E1573" s="57" t="s">
        <v>24</v>
      </c>
      <c r="F1573" s="57" t="s">
        <v>25</v>
      </c>
      <c r="G1573" s="57" t="s">
        <v>25</v>
      </c>
      <c r="H1573" s="57" t="s">
        <v>38</v>
      </c>
      <c r="I1573" s="82">
        <v>44440</v>
      </c>
      <c r="J1573" s="83">
        <f>EFEITO!$J$1573*EFEITO!$Y$1573</f>
        <v>0</v>
      </c>
      <c r="K1573" s="83">
        <f ca="1">EFEITO!$L$1573*EFEITO!$Z$1573</f>
        <v>147.10604157854567</v>
      </c>
      <c r="L1573" s="83">
        <f>EFEITO!$N$1573*EFEITO!$AA$1573</f>
        <v>103.54776829643009</v>
      </c>
      <c r="M1573" s="83">
        <f>$J$1573-EFEITO!$K$1573*EFEITO!$Y$1573</f>
        <v>0</v>
      </c>
      <c r="N1573" s="83">
        <f ca="1">$K$1573-EFEITO!$M$1573*EFEITO!$Z$1573</f>
        <v>0</v>
      </c>
      <c r="O1573" s="83">
        <f>$L$1573-EFEITO!$O$1573*EFEITO!$AA$1573</f>
        <v>0</v>
      </c>
      <c r="P1573" s="61"/>
      <c r="Q1573" s="61"/>
      <c r="R1573" s="61"/>
      <c r="S1573" s="61"/>
      <c r="T1573" s="61"/>
      <c r="U1573" s="61"/>
      <c r="V1573" s="61"/>
      <c r="W1573" s="61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</row>
    <row r="1574" spans="1:36" ht="11.25" customHeight="1" x14ac:dyDescent="0.2">
      <c r="A1574" s="57" t="s">
        <v>28</v>
      </c>
      <c r="B1574" s="57" t="s">
        <v>22</v>
      </c>
      <c r="C1574" s="57" t="s">
        <v>39</v>
      </c>
      <c r="D1574" s="57" t="s">
        <v>24</v>
      </c>
      <c r="E1574" s="57" t="s">
        <v>24</v>
      </c>
      <c r="F1574" s="57" t="s">
        <v>25</v>
      </c>
      <c r="G1574" s="57" t="s">
        <v>25</v>
      </c>
      <c r="H1574" s="57" t="s">
        <v>38</v>
      </c>
      <c r="I1574" s="82">
        <v>44440</v>
      </c>
      <c r="J1574" s="83">
        <f>EFEITO!$J$1574*EFEITO!$Y$1574</f>
        <v>0</v>
      </c>
      <c r="K1574" s="83">
        <f ca="1">EFEITO!$L$1574*EFEITO!$Z$1574</f>
        <v>1513.2629686973346</v>
      </c>
      <c r="L1574" s="83">
        <f>EFEITO!$N$1574*EFEITO!$AA$1574</f>
        <v>1065.1840099345884</v>
      </c>
      <c r="M1574" s="83">
        <f>$J$1574-EFEITO!$K$1574*EFEITO!$Y$1574</f>
        <v>0</v>
      </c>
      <c r="N1574" s="83">
        <f ca="1">$K$1574-EFEITO!$M$1574*EFEITO!$Z$1574</f>
        <v>0</v>
      </c>
      <c r="O1574" s="83">
        <f>$L$1574-EFEITO!$O$1574*EFEITO!$AA$1574</f>
        <v>0</v>
      </c>
      <c r="P1574" s="61"/>
      <c r="Q1574" s="61"/>
      <c r="R1574" s="61"/>
      <c r="S1574" s="61"/>
      <c r="T1574" s="61"/>
      <c r="U1574" s="61"/>
      <c r="V1574" s="61"/>
      <c r="W1574" s="61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</row>
    <row r="1575" spans="1:36" ht="11.25" customHeight="1" x14ac:dyDescent="0.2">
      <c r="A1575" s="57" t="s">
        <v>30</v>
      </c>
      <c r="B1575" s="57" t="s">
        <v>22</v>
      </c>
      <c r="C1575" s="57" t="s">
        <v>39</v>
      </c>
      <c r="D1575" s="57" t="s">
        <v>24</v>
      </c>
      <c r="E1575" s="57" t="s">
        <v>24</v>
      </c>
      <c r="F1575" s="57" t="s">
        <v>25</v>
      </c>
      <c r="G1575" s="57" t="s">
        <v>25</v>
      </c>
      <c r="H1575" s="57" t="s">
        <v>38</v>
      </c>
      <c r="I1575" s="82">
        <v>44440</v>
      </c>
      <c r="J1575" s="83">
        <f>EFEITO!$J$1575*EFEITO!$Y$1575</f>
        <v>0</v>
      </c>
      <c r="K1575" s="83">
        <f ca="1">EFEITO!$L$1575*EFEITO!$Z$1575</f>
        <v>875.80345519030334</v>
      </c>
      <c r="L1575" s="83">
        <f>EFEITO!$N$1575*EFEITO!$AA$1575</f>
        <v>616.4770139833912</v>
      </c>
      <c r="M1575" s="83">
        <f>$J$1575-EFEITO!$K$1575*EFEITO!$Y$1575</f>
        <v>0</v>
      </c>
      <c r="N1575" s="83">
        <f ca="1">$K$1575-EFEITO!$M$1575*EFEITO!$Z$1575</f>
        <v>0</v>
      </c>
      <c r="O1575" s="83">
        <f>$L$1575-EFEITO!$O$1575*EFEITO!$AA$1575</f>
        <v>0</v>
      </c>
      <c r="P1575" s="61"/>
      <c r="Q1575" s="61"/>
      <c r="R1575" s="61"/>
      <c r="S1575" s="61"/>
      <c r="T1575" s="61"/>
      <c r="U1575" s="61"/>
      <c r="V1575" s="61"/>
      <c r="W1575" s="61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</row>
    <row r="1576" spans="1:36" ht="11.25" customHeight="1" x14ac:dyDescent="0.2">
      <c r="A1576" s="57" t="s">
        <v>59</v>
      </c>
      <c r="B1576" s="57" t="s">
        <v>22</v>
      </c>
      <c r="C1576" s="57" t="s">
        <v>39</v>
      </c>
      <c r="D1576" s="57" t="s">
        <v>24</v>
      </c>
      <c r="E1576" s="57" t="s">
        <v>24</v>
      </c>
      <c r="F1576" s="57" t="s">
        <v>25</v>
      </c>
      <c r="G1576" s="57" t="s">
        <v>25</v>
      </c>
      <c r="H1576" s="57" t="s">
        <v>38</v>
      </c>
      <c r="I1576" s="82">
        <v>44470</v>
      </c>
      <c r="J1576" s="83">
        <f>EFEITO!$J$1576*EFEITO!$Y$1576</f>
        <v>0</v>
      </c>
      <c r="K1576" s="83">
        <f ca="1">EFEITO!$L$1576*EFEITO!$Z$1576</f>
        <v>15094.04449573963</v>
      </c>
      <c r="L1576" s="83">
        <f>EFEITO!$N$1576*EFEITO!$AA$1576</f>
        <v>10624.680028973049</v>
      </c>
      <c r="M1576" s="83">
        <f>$J$1576-EFEITO!$K$1576*EFEITO!$Y$1576</f>
        <v>0</v>
      </c>
      <c r="N1576" s="83">
        <f ca="1">$K$1576-EFEITO!$M$1576*EFEITO!$Z$1576</f>
        <v>0</v>
      </c>
      <c r="O1576" s="83">
        <f>$L$1576-EFEITO!$O$1576*EFEITO!$AA$1576</f>
        <v>0</v>
      </c>
      <c r="P1576" s="61"/>
      <c r="Q1576" s="61"/>
      <c r="R1576" s="61"/>
      <c r="S1576" s="61"/>
      <c r="T1576" s="61"/>
      <c r="U1576" s="61"/>
      <c r="V1576" s="61"/>
      <c r="W1576" s="61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</row>
    <row r="1577" spans="1:36" ht="11.25" customHeight="1" x14ac:dyDescent="0.2">
      <c r="A1577" s="57" t="s">
        <v>59</v>
      </c>
      <c r="B1577" s="57" t="s">
        <v>22</v>
      </c>
      <c r="C1577" s="57" t="s">
        <v>39</v>
      </c>
      <c r="D1577" s="57" t="s">
        <v>24</v>
      </c>
      <c r="E1577" s="57" t="s">
        <v>24</v>
      </c>
      <c r="F1577" s="57" t="s">
        <v>25</v>
      </c>
      <c r="G1577" s="57" t="s">
        <v>25</v>
      </c>
      <c r="H1577" s="57" t="s">
        <v>38</v>
      </c>
      <c r="I1577" s="82">
        <v>44470</v>
      </c>
      <c r="J1577" s="83">
        <f>EFEITO!$J$1577*EFEITO!$Y$1577</f>
        <v>0</v>
      </c>
      <c r="K1577" s="83">
        <f ca="1">EFEITO!$L$1577*EFEITO!$Z$1577</f>
        <v>147.10604157854567</v>
      </c>
      <c r="L1577" s="83">
        <f>EFEITO!$N$1577*EFEITO!$AA$1577</f>
        <v>103.54776829643009</v>
      </c>
      <c r="M1577" s="83">
        <f>$J$1577-EFEITO!$K$1577*EFEITO!$Y$1577</f>
        <v>0</v>
      </c>
      <c r="N1577" s="83">
        <f ca="1">$K$1577-EFEITO!$M$1577*EFEITO!$Z$1577</f>
        <v>0</v>
      </c>
      <c r="O1577" s="83">
        <f>$L$1577-EFEITO!$O$1577*EFEITO!$AA$1577</f>
        <v>0</v>
      </c>
      <c r="P1577" s="61"/>
      <c r="Q1577" s="61"/>
      <c r="R1577" s="61"/>
      <c r="S1577" s="61"/>
      <c r="T1577" s="61"/>
      <c r="U1577" s="61"/>
      <c r="V1577" s="61"/>
      <c r="W1577" s="61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</row>
    <row r="1578" spans="1:36" ht="11.25" customHeight="1" x14ac:dyDescent="0.2">
      <c r="A1578" s="57" t="s">
        <v>59</v>
      </c>
      <c r="B1578" s="57" t="s">
        <v>22</v>
      </c>
      <c r="C1578" s="57" t="s">
        <v>39</v>
      </c>
      <c r="D1578" s="57" t="s">
        <v>24</v>
      </c>
      <c r="E1578" s="57" t="s">
        <v>24</v>
      </c>
      <c r="F1578" s="57" t="s">
        <v>25</v>
      </c>
      <c r="G1578" s="57" t="s">
        <v>25</v>
      </c>
      <c r="H1578" s="57" t="s">
        <v>38</v>
      </c>
      <c r="I1578" s="82">
        <v>44470</v>
      </c>
      <c r="J1578" s="83">
        <f>EFEITO!$J$1578*EFEITO!$Y$1578</f>
        <v>0</v>
      </c>
      <c r="K1578" s="83">
        <f ca="1">EFEITO!$L$1578*EFEITO!$Z$1578</f>
        <v>1513.2629686973346</v>
      </c>
      <c r="L1578" s="83">
        <f>EFEITO!$N$1578*EFEITO!$AA$1578</f>
        <v>1065.1840099345884</v>
      </c>
      <c r="M1578" s="83">
        <f>$J$1578-EFEITO!$K$1578*EFEITO!$Y$1578</f>
        <v>0</v>
      </c>
      <c r="N1578" s="83">
        <f ca="1">$K$1578-EFEITO!$M$1578*EFEITO!$Z$1578</f>
        <v>0</v>
      </c>
      <c r="O1578" s="83">
        <f>$L$1578-EFEITO!$O$1578*EFEITO!$AA$1578</f>
        <v>0</v>
      </c>
      <c r="P1578" s="61"/>
      <c r="Q1578" s="61"/>
      <c r="R1578" s="61"/>
      <c r="S1578" s="61"/>
      <c r="T1578" s="61"/>
      <c r="U1578" s="61"/>
      <c r="V1578" s="61"/>
      <c r="W1578" s="61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</row>
    <row r="1579" spans="1:36" ht="11.25" customHeight="1" x14ac:dyDescent="0.2">
      <c r="A1579" s="57" t="s">
        <v>59</v>
      </c>
      <c r="B1579" s="57" t="s">
        <v>22</v>
      </c>
      <c r="C1579" s="57" t="s">
        <v>39</v>
      </c>
      <c r="D1579" s="57" t="s">
        <v>24</v>
      </c>
      <c r="E1579" s="57" t="s">
        <v>24</v>
      </c>
      <c r="F1579" s="57" t="s">
        <v>25</v>
      </c>
      <c r="G1579" s="57" t="s">
        <v>25</v>
      </c>
      <c r="H1579" s="57" t="s">
        <v>38</v>
      </c>
      <c r="I1579" s="82">
        <v>44470</v>
      </c>
      <c r="J1579" s="83">
        <f>EFEITO!$J$1579*EFEITO!$Y$1579</f>
        <v>0</v>
      </c>
      <c r="K1579" s="83">
        <f ca="1">EFEITO!$L$1579*EFEITO!$Z$1579</f>
        <v>875.80345519030334</v>
      </c>
      <c r="L1579" s="83">
        <f>EFEITO!$N$1579*EFEITO!$AA$1579</f>
        <v>616.4770139833912</v>
      </c>
      <c r="M1579" s="83">
        <f>$J$1579-EFEITO!$K$1579*EFEITO!$Y$1579</f>
        <v>0</v>
      </c>
      <c r="N1579" s="83">
        <f ca="1">$K$1579-EFEITO!$M$1579*EFEITO!$Z$1579</f>
        <v>0</v>
      </c>
      <c r="O1579" s="83">
        <f>$L$1579-EFEITO!$O$1579*EFEITO!$AA$1579</f>
        <v>0</v>
      </c>
      <c r="P1579" s="61"/>
      <c r="Q1579" s="61"/>
      <c r="R1579" s="61"/>
      <c r="S1579" s="61"/>
      <c r="T1579" s="61"/>
      <c r="U1579" s="61"/>
      <c r="V1579" s="61"/>
      <c r="W1579" s="61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</row>
    <row r="1580" spans="1:36" ht="11.25" customHeight="1" x14ac:dyDescent="0.2">
      <c r="A1580" s="57" t="s">
        <v>21</v>
      </c>
      <c r="B1580" s="57" t="s">
        <v>22</v>
      </c>
      <c r="C1580" s="57" t="s">
        <v>39</v>
      </c>
      <c r="D1580" s="57" t="s">
        <v>24</v>
      </c>
      <c r="E1580" s="57" t="s">
        <v>24</v>
      </c>
      <c r="F1580" s="57" t="s">
        <v>25</v>
      </c>
      <c r="G1580" s="57" t="s">
        <v>25</v>
      </c>
      <c r="H1580" s="57" t="s">
        <v>40</v>
      </c>
      <c r="I1580" s="82">
        <v>44136</v>
      </c>
      <c r="J1580" s="83">
        <f>EFEITO!$J$1580*EFEITO!$Y$1580</f>
        <v>0</v>
      </c>
      <c r="K1580" s="83">
        <f ca="1">EFEITO!$L$1580*EFEITO!$Z$1580</f>
        <v>1573.407486943803</v>
      </c>
      <c r="L1580" s="83">
        <f>EFEITO!$N$1580*EFEITO!$AA$1580</f>
        <v>598.93613520093584</v>
      </c>
      <c r="M1580" s="83">
        <f>$J$1580-EFEITO!$K$1580*EFEITO!$Y$1580</f>
        <v>0</v>
      </c>
      <c r="N1580" s="83">
        <f ca="1">$K$1580-EFEITO!$M$1580*EFEITO!$Z$1580</f>
        <v>0</v>
      </c>
      <c r="O1580" s="83">
        <f>$L$1580-EFEITO!$O$1580*EFEITO!$AA$1580</f>
        <v>0</v>
      </c>
      <c r="P1580" s="61"/>
      <c r="Q1580" s="61"/>
      <c r="R1580" s="61"/>
      <c r="S1580" s="61"/>
      <c r="T1580" s="61"/>
      <c r="U1580" s="61"/>
      <c r="V1580" s="61"/>
      <c r="W1580" s="61"/>
      <c r="X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</row>
    <row r="1581" spans="1:36" ht="11.25" customHeight="1" x14ac:dyDescent="0.2">
      <c r="A1581" s="57" t="s">
        <v>27</v>
      </c>
      <c r="B1581" s="57" t="s">
        <v>22</v>
      </c>
      <c r="C1581" s="57" t="s">
        <v>39</v>
      </c>
      <c r="D1581" s="57" t="s">
        <v>24</v>
      </c>
      <c r="E1581" s="57" t="s">
        <v>24</v>
      </c>
      <c r="F1581" s="57" t="s">
        <v>25</v>
      </c>
      <c r="G1581" s="57" t="s">
        <v>25</v>
      </c>
      <c r="H1581" s="57" t="s">
        <v>40</v>
      </c>
      <c r="I1581" s="82">
        <v>44136</v>
      </c>
      <c r="J1581" s="83">
        <f>EFEITO!$J$1581*EFEITO!$Y$1581</f>
        <v>0</v>
      </c>
      <c r="K1581" s="83">
        <f ca="1">EFEITO!$L$1581*EFEITO!$Z$1581</f>
        <v>20.810302141911425</v>
      </c>
      <c r="L1581" s="83">
        <f>EFEITO!$N$1581*EFEITO!$AA$1581</f>
        <v>7.9216871920766199</v>
      </c>
      <c r="M1581" s="83">
        <f>$J$1581-EFEITO!$K$1581*EFEITO!$Y$1581</f>
        <v>0</v>
      </c>
      <c r="N1581" s="83">
        <f ca="1">$K$1581-EFEITO!$M$1581*EFEITO!$Z$1581</f>
        <v>0</v>
      </c>
      <c r="O1581" s="83">
        <f>$L$1581-EFEITO!$O$1581*EFEITO!$AA$1581</f>
        <v>0</v>
      </c>
      <c r="P1581" s="61"/>
      <c r="Q1581" s="61"/>
      <c r="R1581" s="61"/>
      <c r="S1581" s="61"/>
      <c r="T1581" s="61"/>
      <c r="U1581" s="61"/>
      <c r="V1581" s="61"/>
      <c r="W1581" s="61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</row>
    <row r="1582" spans="1:36" ht="11.25" customHeight="1" x14ac:dyDescent="0.2">
      <c r="A1582" s="57" t="s">
        <v>28</v>
      </c>
      <c r="B1582" s="57" t="s">
        <v>22</v>
      </c>
      <c r="C1582" s="57" t="s">
        <v>39</v>
      </c>
      <c r="D1582" s="57" t="s">
        <v>24</v>
      </c>
      <c r="E1582" s="57" t="s">
        <v>24</v>
      </c>
      <c r="F1582" s="57" t="s">
        <v>25</v>
      </c>
      <c r="G1582" s="57" t="s">
        <v>25</v>
      </c>
      <c r="H1582" s="57" t="s">
        <v>40</v>
      </c>
      <c r="I1582" s="82">
        <v>44136</v>
      </c>
      <c r="J1582" s="83">
        <f>EFEITO!$J$1582*EFEITO!$Y$1582</f>
        <v>0</v>
      </c>
      <c r="K1582" s="83">
        <f ca="1">EFEITO!$L$1582*EFEITO!$Z$1582</f>
        <v>95.132809791595079</v>
      </c>
      <c r="L1582" s="83">
        <f>EFEITO!$N$1582*EFEITO!$AA$1582</f>
        <v>36.213427163778832</v>
      </c>
      <c r="M1582" s="83">
        <f>$J$1582-EFEITO!$K$1582*EFEITO!$Y$1582</f>
        <v>0</v>
      </c>
      <c r="N1582" s="83">
        <f ca="1">$K$1582-EFEITO!$M$1582*EFEITO!$Z$1582</f>
        <v>0</v>
      </c>
      <c r="O1582" s="83">
        <f>$L$1582-EFEITO!$O$1582*EFEITO!$AA$1582</f>
        <v>0</v>
      </c>
      <c r="P1582" s="61"/>
      <c r="Q1582" s="61"/>
      <c r="R1582" s="61"/>
      <c r="S1582" s="61"/>
      <c r="T1582" s="61"/>
      <c r="U1582" s="61"/>
      <c r="V1582" s="61"/>
      <c r="W1582" s="61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</row>
    <row r="1583" spans="1:36" ht="11.25" customHeight="1" x14ac:dyDescent="0.2">
      <c r="A1583" s="57" t="s">
        <v>30</v>
      </c>
      <c r="B1583" s="57" t="s">
        <v>22</v>
      </c>
      <c r="C1583" s="57" t="s">
        <v>39</v>
      </c>
      <c r="D1583" s="57" t="s">
        <v>24</v>
      </c>
      <c r="E1583" s="57" t="s">
        <v>24</v>
      </c>
      <c r="F1583" s="57" t="s">
        <v>25</v>
      </c>
      <c r="G1583" s="57" t="s">
        <v>25</v>
      </c>
      <c r="H1583" s="57" t="s">
        <v>40</v>
      </c>
      <c r="I1583" s="82">
        <v>44136</v>
      </c>
      <c r="J1583" s="83">
        <f>EFEITO!$J$1583*EFEITO!$Y$1583</f>
        <v>0</v>
      </c>
      <c r="K1583" s="83">
        <f ca="1">EFEITO!$L$1583*EFEITO!$Z$1583</f>
        <v>46.079954742803864</v>
      </c>
      <c r="L1583" s="83">
        <f>EFEITO!$N$1583*EFEITO!$AA$1583</f>
        <v>17.540878782455373</v>
      </c>
      <c r="M1583" s="83">
        <f>$J$1583-EFEITO!$K$1583*EFEITO!$Y$1583</f>
        <v>0</v>
      </c>
      <c r="N1583" s="83">
        <f ca="1">$K$1583-EFEITO!$M$1583*EFEITO!$Z$1583</f>
        <v>0</v>
      </c>
      <c r="O1583" s="83">
        <f>$L$1583-EFEITO!$O$1583*EFEITO!$AA$1583</f>
        <v>0</v>
      </c>
      <c r="P1583" s="61"/>
      <c r="Q1583" s="61"/>
      <c r="R1583" s="61"/>
      <c r="S1583" s="61"/>
      <c r="T1583" s="61"/>
      <c r="U1583" s="61"/>
      <c r="V1583" s="61"/>
      <c r="W1583" s="61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</row>
    <row r="1584" spans="1:36" ht="11.25" customHeight="1" x14ac:dyDescent="0.2">
      <c r="A1584" s="57" t="s">
        <v>21</v>
      </c>
      <c r="B1584" s="57" t="s">
        <v>22</v>
      </c>
      <c r="C1584" s="57" t="s">
        <v>39</v>
      </c>
      <c r="D1584" s="57" t="s">
        <v>24</v>
      </c>
      <c r="E1584" s="57" t="s">
        <v>24</v>
      </c>
      <c r="F1584" s="57" t="s">
        <v>25</v>
      </c>
      <c r="G1584" s="57" t="s">
        <v>25</v>
      </c>
      <c r="H1584" s="57" t="s">
        <v>40</v>
      </c>
      <c r="I1584" s="82">
        <v>44166</v>
      </c>
      <c r="J1584" s="83">
        <f>EFEITO!$J$1584*EFEITO!$Y$1584</f>
        <v>0</v>
      </c>
      <c r="K1584" s="83">
        <f ca="1">EFEITO!$L$1584*EFEITO!$Z$1584</f>
        <v>1625.4332422985815</v>
      </c>
      <c r="L1584" s="83">
        <f>EFEITO!$N$1584*EFEITO!$AA$1584</f>
        <v>618.74035318112738</v>
      </c>
      <c r="M1584" s="83">
        <f>$J$1584-EFEITO!$K$1584*EFEITO!$Y$1584</f>
        <v>0</v>
      </c>
      <c r="N1584" s="83">
        <f ca="1">$K$1584-EFEITO!$M$1584*EFEITO!$Z$1584</f>
        <v>0</v>
      </c>
      <c r="O1584" s="83">
        <f>$L$1584-EFEITO!$O$1584*EFEITO!$AA$1584</f>
        <v>0</v>
      </c>
      <c r="P1584" s="61"/>
      <c r="Q1584" s="61"/>
      <c r="R1584" s="61"/>
      <c r="S1584" s="61"/>
      <c r="T1584" s="61"/>
      <c r="U1584" s="61"/>
      <c r="V1584" s="61"/>
      <c r="W1584" s="61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</row>
    <row r="1585" spans="1:36" ht="11.25" customHeight="1" x14ac:dyDescent="0.2">
      <c r="A1585" s="57" t="s">
        <v>28</v>
      </c>
      <c r="B1585" s="57" t="s">
        <v>22</v>
      </c>
      <c r="C1585" s="57" t="s">
        <v>39</v>
      </c>
      <c r="D1585" s="57" t="s">
        <v>24</v>
      </c>
      <c r="E1585" s="57" t="s">
        <v>24</v>
      </c>
      <c r="F1585" s="57" t="s">
        <v>25</v>
      </c>
      <c r="G1585" s="57" t="s">
        <v>25</v>
      </c>
      <c r="H1585" s="57" t="s">
        <v>40</v>
      </c>
      <c r="I1585" s="82">
        <v>44166</v>
      </c>
      <c r="J1585" s="83">
        <f>EFEITO!$J$1585*EFEITO!$Y$1585</f>
        <v>0</v>
      </c>
      <c r="K1585" s="83">
        <f ca="1">EFEITO!$L$1585*EFEITO!$Z$1585</f>
        <v>56.485105813759574</v>
      </c>
      <c r="L1585" s="83">
        <f>EFEITO!$N$1585*EFEITO!$AA$1585</f>
        <v>21.501722378493682</v>
      </c>
      <c r="M1585" s="83">
        <f>$J$1585-EFEITO!$K$1585*EFEITO!$Y$1585</f>
        <v>0</v>
      </c>
      <c r="N1585" s="83">
        <f ca="1">$K$1585-EFEITO!$M$1585*EFEITO!$Z$1585</f>
        <v>0</v>
      </c>
      <c r="O1585" s="83">
        <f>$L$1585-EFEITO!$O$1585*EFEITO!$AA$1585</f>
        <v>0</v>
      </c>
      <c r="P1585" s="61"/>
      <c r="Q1585" s="61"/>
      <c r="R1585" s="61"/>
      <c r="S1585" s="61"/>
      <c r="T1585" s="61"/>
      <c r="U1585" s="61"/>
      <c r="V1585" s="61"/>
      <c r="W1585" s="61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</row>
    <row r="1586" spans="1:36" ht="11.25" customHeight="1" x14ac:dyDescent="0.2">
      <c r="A1586" s="57" t="s">
        <v>30</v>
      </c>
      <c r="B1586" s="57" t="s">
        <v>22</v>
      </c>
      <c r="C1586" s="57" t="s">
        <v>39</v>
      </c>
      <c r="D1586" s="57" t="s">
        <v>24</v>
      </c>
      <c r="E1586" s="57" t="s">
        <v>24</v>
      </c>
      <c r="F1586" s="57" t="s">
        <v>25</v>
      </c>
      <c r="G1586" s="57" t="s">
        <v>25</v>
      </c>
      <c r="H1586" s="57" t="s">
        <v>40</v>
      </c>
      <c r="I1586" s="82">
        <v>44166</v>
      </c>
      <c r="J1586" s="83">
        <f>EFEITO!$J$1586*EFEITO!$Y$1586</f>
        <v>0</v>
      </c>
      <c r="K1586" s="83">
        <f ca="1">EFEITO!$L$1586*EFEITO!$Z$1586</f>
        <v>51.282530278281726</v>
      </c>
      <c r="L1586" s="83">
        <f>EFEITO!$N$1586*EFEITO!$AA$1586</f>
        <v>19.521300580474527</v>
      </c>
      <c r="M1586" s="83">
        <f>$J$1586-EFEITO!$K$1586*EFEITO!$Y$1586</f>
        <v>0</v>
      </c>
      <c r="N1586" s="83">
        <f ca="1">$K$1586-EFEITO!$M$1586*EFEITO!$Z$1586</f>
        <v>0</v>
      </c>
      <c r="O1586" s="83">
        <f>$L$1586-EFEITO!$O$1586*EFEITO!$AA$1586</f>
        <v>0</v>
      </c>
      <c r="P1586" s="61"/>
      <c r="Q1586" s="61"/>
      <c r="R1586" s="61"/>
      <c r="S1586" s="61"/>
      <c r="T1586" s="61"/>
      <c r="U1586" s="61"/>
      <c r="V1586" s="61"/>
      <c r="W1586" s="61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</row>
    <row r="1587" spans="1:36" ht="11.25" customHeight="1" x14ac:dyDescent="0.2">
      <c r="A1587" s="57" t="s">
        <v>21</v>
      </c>
      <c r="B1587" s="57" t="s">
        <v>22</v>
      </c>
      <c r="C1587" s="57" t="s">
        <v>39</v>
      </c>
      <c r="D1587" s="57" t="s">
        <v>24</v>
      </c>
      <c r="E1587" s="57" t="s">
        <v>24</v>
      </c>
      <c r="F1587" s="57" t="s">
        <v>25</v>
      </c>
      <c r="G1587" s="57" t="s">
        <v>25</v>
      </c>
      <c r="H1587" s="57" t="s">
        <v>40</v>
      </c>
      <c r="I1587" s="82">
        <v>44197</v>
      </c>
      <c r="J1587" s="83">
        <f>EFEITO!$J$1587*EFEITO!$Y$1587</f>
        <v>0</v>
      </c>
      <c r="K1587" s="83">
        <f ca="1">EFEITO!$L$1587*EFEITO!$Z$1587</f>
        <v>1589.7584386267333</v>
      </c>
      <c r="L1587" s="83">
        <f>EFEITO!$N$1587*EFEITO!$AA$1587</f>
        <v>605.16031799471034</v>
      </c>
      <c r="M1587" s="83">
        <f>$J$1587-EFEITO!$K$1587*EFEITO!$Y$1587</f>
        <v>0</v>
      </c>
      <c r="N1587" s="83">
        <f ca="1">$K$1587-EFEITO!$M$1587*EFEITO!$Z$1587</f>
        <v>0</v>
      </c>
      <c r="O1587" s="83">
        <f>$L$1587-EFEITO!$O$1587*EFEITO!$AA$1587</f>
        <v>0</v>
      </c>
      <c r="P1587" s="61"/>
      <c r="Q1587" s="61"/>
      <c r="R1587" s="61"/>
      <c r="S1587" s="61"/>
      <c r="T1587" s="61"/>
      <c r="U1587" s="61"/>
      <c r="V1587" s="61"/>
      <c r="W1587" s="61"/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/>
      <c r="AJ1587" s="6"/>
    </row>
    <row r="1588" spans="1:36" ht="11.25" customHeight="1" x14ac:dyDescent="0.2">
      <c r="A1588" s="57" t="s">
        <v>27</v>
      </c>
      <c r="B1588" s="57" t="s">
        <v>22</v>
      </c>
      <c r="C1588" s="57" t="s">
        <v>39</v>
      </c>
      <c r="D1588" s="57" t="s">
        <v>24</v>
      </c>
      <c r="E1588" s="57" t="s">
        <v>24</v>
      </c>
      <c r="F1588" s="57" t="s">
        <v>25</v>
      </c>
      <c r="G1588" s="57" t="s">
        <v>25</v>
      </c>
      <c r="H1588" s="57" t="s">
        <v>40</v>
      </c>
      <c r="I1588" s="82">
        <v>44197</v>
      </c>
      <c r="J1588" s="83">
        <f>EFEITO!$J$1588*EFEITO!$Y$1588</f>
        <v>0</v>
      </c>
      <c r="K1588" s="83">
        <f ca="1">EFEITO!$L$1588*EFEITO!$Z$1588</f>
        <v>-5.2025755354778562</v>
      </c>
      <c r="L1588" s="83">
        <f>EFEITO!$N$1588*EFEITO!$AA$1588</f>
        <v>-1.980421798019155</v>
      </c>
      <c r="M1588" s="83">
        <f>$J$1588-EFEITO!$K$1588*EFEITO!$Y$1588</f>
        <v>0</v>
      </c>
      <c r="N1588" s="83">
        <f ca="1">$K$1588-EFEITO!$M$1588*EFEITO!$Z$1588</f>
        <v>0</v>
      </c>
      <c r="O1588" s="83">
        <f>$L$1588-EFEITO!$O$1588*EFEITO!$AA$1588</f>
        <v>0</v>
      </c>
      <c r="P1588" s="61"/>
      <c r="Q1588" s="61"/>
      <c r="R1588" s="61"/>
      <c r="S1588" s="61"/>
      <c r="T1588" s="61"/>
      <c r="U1588" s="61"/>
      <c r="V1588" s="61"/>
      <c r="W1588" s="61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</row>
    <row r="1589" spans="1:36" ht="11.25" customHeight="1" x14ac:dyDescent="0.2">
      <c r="A1589" s="57" t="s">
        <v>28</v>
      </c>
      <c r="B1589" s="57" t="s">
        <v>22</v>
      </c>
      <c r="C1589" s="57" t="s">
        <v>39</v>
      </c>
      <c r="D1589" s="57" t="s">
        <v>24</v>
      </c>
      <c r="E1589" s="57" t="s">
        <v>24</v>
      </c>
      <c r="F1589" s="57" t="s">
        <v>25</v>
      </c>
      <c r="G1589" s="57" t="s">
        <v>25</v>
      </c>
      <c r="H1589" s="57" t="s">
        <v>40</v>
      </c>
      <c r="I1589" s="82">
        <v>44197</v>
      </c>
      <c r="J1589" s="83">
        <f>EFEITO!$J$1589*EFEITO!$Y$1589</f>
        <v>0</v>
      </c>
      <c r="K1589" s="83">
        <f ca="1">EFEITO!$L$1589*EFEITO!$Z$1589</f>
        <v>71.349607343696306</v>
      </c>
      <c r="L1589" s="83">
        <f>EFEITO!$N$1589*EFEITO!$AA$1589</f>
        <v>27.160070372834127</v>
      </c>
      <c r="M1589" s="83">
        <f>$J$1589-EFEITO!$K$1589*EFEITO!$Y$1589</f>
        <v>0</v>
      </c>
      <c r="N1589" s="83">
        <f ca="1">$K$1589-EFEITO!$M$1589*EFEITO!$Z$1589</f>
        <v>0</v>
      </c>
      <c r="O1589" s="83">
        <f>$L$1589-EFEITO!$O$1589*EFEITO!$AA$1589</f>
        <v>0</v>
      </c>
      <c r="P1589" s="61"/>
      <c r="Q1589" s="61"/>
      <c r="R1589" s="61"/>
      <c r="S1589" s="61"/>
      <c r="T1589" s="61"/>
      <c r="U1589" s="61"/>
      <c r="V1589" s="61"/>
      <c r="W1589" s="61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</row>
    <row r="1590" spans="1:36" ht="11.25" customHeight="1" x14ac:dyDescent="0.2">
      <c r="A1590" s="57" t="s">
        <v>30</v>
      </c>
      <c r="B1590" s="57" t="s">
        <v>22</v>
      </c>
      <c r="C1590" s="57" t="s">
        <v>39</v>
      </c>
      <c r="D1590" s="57" t="s">
        <v>24</v>
      </c>
      <c r="E1590" s="57" t="s">
        <v>24</v>
      </c>
      <c r="F1590" s="57" t="s">
        <v>25</v>
      </c>
      <c r="G1590" s="57" t="s">
        <v>25</v>
      </c>
      <c r="H1590" s="57" t="s">
        <v>40</v>
      </c>
      <c r="I1590" s="82">
        <v>44197</v>
      </c>
      <c r="J1590" s="83">
        <f>EFEITO!$J$1590*EFEITO!$Y$1590</f>
        <v>0</v>
      </c>
      <c r="K1590" s="83">
        <f ca="1">EFEITO!$L$1590*EFEITO!$Z$1590</f>
        <v>56.485105813759574</v>
      </c>
      <c r="L1590" s="83">
        <f>EFEITO!$N$1590*EFEITO!$AA$1590</f>
        <v>21.501722378493682</v>
      </c>
      <c r="M1590" s="83">
        <f>$J$1590-EFEITO!$K$1590*EFEITO!$Y$1590</f>
        <v>0</v>
      </c>
      <c r="N1590" s="83">
        <f ca="1">$K$1590-EFEITO!$M$1590*EFEITO!$Z$1590</f>
        <v>0</v>
      </c>
      <c r="O1590" s="83">
        <f>$L$1590-EFEITO!$O$1590*EFEITO!$AA$1590</f>
        <v>0</v>
      </c>
      <c r="P1590" s="61"/>
      <c r="Q1590" s="61"/>
      <c r="R1590" s="61"/>
      <c r="S1590" s="61"/>
      <c r="T1590" s="61"/>
      <c r="U1590" s="61"/>
      <c r="V1590" s="61"/>
      <c r="W1590" s="61"/>
      <c r="X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</row>
    <row r="1591" spans="1:36" ht="11.25" customHeight="1" x14ac:dyDescent="0.2">
      <c r="A1591" s="57" t="s">
        <v>21</v>
      </c>
      <c r="B1591" s="57" t="s">
        <v>22</v>
      </c>
      <c r="C1591" s="57" t="s">
        <v>39</v>
      </c>
      <c r="D1591" s="57" t="s">
        <v>24</v>
      </c>
      <c r="E1591" s="57" t="s">
        <v>24</v>
      </c>
      <c r="F1591" s="57" t="s">
        <v>25</v>
      </c>
      <c r="G1591" s="57" t="s">
        <v>25</v>
      </c>
      <c r="H1591" s="57" t="s">
        <v>40</v>
      </c>
      <c r="I1591" s="82">
        <v>44228</v>
      </c>
      <c r="J1591" s="83">
        <f>EFEITO!$J$1591*EFEITO!$Y$1591</f>
        <v>0</v>
      </c>
      <c r="K1591" s="83">
        <f ca="1">EFEITO!$L$1591*EFEITO!$Z$1591</f>
        <v>1571.9210367908095</v>
      </c>
      <c r="L1591" s="83">
        <f>EFEITO!$N$1591*EFEITO!$AA$1591</f>
        <v>598.37030040150182</v>
      </c>
      <c r="M1591" s="83">
        <f>$J$1591-EFEITO!$K$1591*EFEITO!$Y$1591</f>
        <v>0</v>
      </c>
      <c r="N1591" s="83">
        <f ca="1">$K$1591-EFEITO!$M$1591*EFEITO!$Z$1591</f>
        <v>0</v>
      </c>
      <c r="O1591" s="83">
        <f>$L$1591-EFEITO!$O$1591*EFEITO!$AA$1591</f>
        <v>0</v>
      </c>
      <c r="P1591" s="61"/>
      <c r="Q1591" s="61"/>
      <c r="R1591" s="61"/>
      <c r="S1591" s="61"/>
      <c r="T1591" s="61"/>
      <c r="U1591" s="61"/>
      <c r="V1591" s="61"/>
      <c r="W1591" s="61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</row>
    <row r="1592" spans="1:36" ht="11.25" customHeight="1" x14ac:dyDescent="0.2">
      <c r="A1592" s="57" t="s">
        <v>28</v>
      </c>
      <c r="B1592" s="57" t="s">
        <v>22</v>
      </c>
      <c r="C1592" s="57" t="s">
        <v>39</v>
      </c>
      <c r="D1592" s="57" t="s">
        <v>24</v>
      </c>
      <c r="E1592" s="57" t="s">
        <v>24</v>
      </c>
      <c r="F1592" s="57" t="s">
        <v>25</v>
      </c>
      <c r="G1592" s="57" t="s">
        <v>25</v>
      </c>
      <c r="H1592" s="57" t="s">
        <v>40</v>
      </c>
      <c r="I1592" s="82">
        <v>44228</v>
      </c>
      <c r="J1592" s="83">
        <f>EFEITO!$J$1592*EFEITO!$Y$1592</f>
        <v>0</v>
      </c>
      <c r="K1592" s="83">
        <f ca="1">EFEITO!$L$1592*EFEITO!$Z$1592</f>
        <v>49.052855048791216</v>
      </c>
      <c r="L1592" s="83">
        <f>EFEITO!$N$1592*EFEITO!$AA$1592</f>
        <v>18.672548381323463</v>
      </c>
      <c r="M1592" s="83">
        <f>$J$1592-EFEITO!$K$1592*EFEITO!$Y$1592</f>
        <v>0</v>
      </c>
      <c r="N1592" s="83">
        <f ca="1">$K$1592-EFEITO!$M$1592*EFEITO!$Z$1592</f>
        <v>0</v>
      </c>
      <c r="O1592" s="83">
        <f>$L$1592-EFEITO!$O$1592*EFEITO!$AA$1592</f>
        <v>0</v>
      </c>
      <c r="P1592" s="61"/>
      <c r="Q1592" s="61"/>
      <c r="R1592" s="61"/>
      <c r="S1592" s="61"/>
      <c r="T1592" s="61"/>
      <c r="U1592" s="61"/>
      <c r="V1592" s="61"/>
      <c r="W1592" s="61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</row>
    <row r="1593" spans="1:36" ht="11.25" customHeight="1" x14ac:dyDescent="0.2">
      <c r="A1593" s="57" t="s">
        <v>30</v>
      </c>
      <c r="B1593" s="57" t="s">
        <v>22</v>
      </c>
      <c r="C1593" s="57" t="s">
        <v>39</v>
      </c>
      <c r="D1593" s="57" t="s">
        <v>24</v>
      </c>
      <c r="E1593" s="57" t="s">
        <v>24</v>
      </c>
      <c r="F1593" s="57" t="s">
        <v>25</v>
      </c>
      <c r="G1593" s="57" t="s">
        <v>25</v>
      </c>
      <c r="H1593" s="57" t="s">
        <v>40</v>
      </c>
      <c r="I1593" s="82">
        <v>44228</v>
      </c>
      <c r="J1593" s="83">
        <f>EFEITO!$J$1593*EFEITO!$Y$1593</f>
        <v>0</v>
      </c>
      <c r="K1593" s="83">
        <f ca="1">EFEITO!$L$1593*EFEITO!$Z$1593</f>
        <v>43.850279513313353</v>
      </c>
      <c r="L1593" s="83">
        <f>EFEITO!$N$1593*EFEITO!$AA$1593</f>
        <v>16.692126583304304</v>
      </c>
      <c r="M1593" s="83">
        <f>$J$1593-EFEITO!$K$1593*EFEITO!$Y$1593</f>
        <v>0</v>
      </c>
      <c r="N1593" s="83">
        <f ca="1">$K$1593-EFEITO!$M$1593*EFEITO!$Z$1593</f>
        <v>0</v>
      </c>
      <c r="O1593" s="83">
        <f>$L$1593-EFEITO!$O$1593*EFEITO!$AA$1593</f>
        <v>0</v>
      </c>
      <c r="P1593" s="61"/>
      <c r="Q1593" s="61"/>
      <c r="R1593" s="61"/>
      <c r="S1593" s="61"/>
      <c r="T1593" s="61"/>
      <c r="U1593" s="61"/>
      <c r="V1593" s="61"/>
      <c r="W1593" s="61"/>
      <c r="X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</row>
    <row r="1594" spans="1:36" ht="11.25" customHeight="1" x14ac:dyDescent="0.2">
      <c r="A1594" s="57" t="s">
        <v>21</v>
      </c>
      <c r="B1594" s="57" t="s">
        <v>22</v>
      </c>
      <c r="C1594" s="57" t="s">
        <v>39</v>
      </c>
      <c r="D1594" s="57" t="s">
        <v>24</v>
      </c>
      <c r="E1594" s="57" t="s">
        <v>24</v>
      </c>
      <c r="F1594" s="57" t="s">
        <v>25</v>
      </c>
      <c r="G1594" s="57" t="s">
        <v>25</v>
      </c>
      <c r="H1594" s="57" t="s">
        <v>40</v>
      </c>
      <c r="I1594" s="82">
        <v>44256</v>
      </c>
      <c r="J1594" s="83">
        <f>EFEITO!$J$1594*EFEITO!$Y$1594</f>
        <v>0</v>
      </c>
      <c r="K1594" s="83">
        <f ca="1">EFEITO!$L$1594*EFEITO!$Z$1594</f>
        <v>1639.5545187520213</v>
      </c>
      <c r="L1594" s="83">
        <f>EFEITO!$N$1594*EFEITO!$AA$1594</f>
        <v>624.11578377575086</v>
      </c>
      <c r="M1594" s="83">
        <f>$J$1594-EFEITO!$K$1594*EFEITO!$Y$1594</f>
        <v>0</v>
      </c>
      <c r="N1594" s="83">
        <f ca="1">$K$1594-EFEITO!$M$1594*EFEITO!$Z$1594</f>
        <v>0</v>
      </c>
      <c r="O1594" s="83">
        <f>$L$1594-EFEITO!$O$1594*EFEITO!$AA$1594</f>
        <v>0</v>
      </c>
      <c r="P1594" s="61"/>
      <c r="Q1594" s="61"/>
      <c r="R1594" s="61"/>
      <c r="S1594" s="61"/>
      <c r="T1594" s="61"/>
      <c r="U1594" s="61"/>
      <c r="V1594" s="61"/>
      <c r="W1594" s="61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</row>
    <row r="1595" spans="1:36" ht="11.25" customHeight="1" x14ac:dyDescent="0.2">
      <c r="A1595" s="57" t="s">
        <v>28</v>
      </c>
      <c r="B1595" s="57" t="s">
        <v>22</v>
      </c>
      <c r="C1595" s="57" t="s">
        <v>39</v>
      </c>
      <c r="D1595" s="57" t="s">
        <v>24</v>
      </c>
      <c r="E1595" s="57" t="s">
        <v>24</v>
      </c>
      <c r="F1595" s="57" t="s">
        <v>25</v>
      </c>
      <c r="G1595" s="57" t="s">
        <v>25</v>
      </c>
      <c r="H1595" s="57" t="s">
        <v>40</v>
      </c>
      <c r="I1595" s="82">
        <v>44256</v>
      </c>
      <c r="J1595" s="83">
        <f>EFEITO!$J$1595*EFEITO!$Y$1595</f>
        <v>0</v>
      </c>
      <c r="K1595" s="83">
        <f ca="1">EFEITO!$L$1595*EFEITO!$Z$1595</f>
        <v>92.903134562104569</v>
      </c>
      <c r="L1595" s="83">
        <f>EFEITO!$N$1595*EFEITO!$AA$1595</f>
        <v>35.364674964627767</v>
      </c>
      <c r="M1595" s="83">
        <f>$J$1595-EFEITO!$K$1595*EFEITO!$Y$1595</f>
        <v>0</v>
      </c>
      <c r="N1595" s="83">
        <f ca="1">$K$1595-EFEITO!$M$1595*EFEITO!$Z$1595</f>
        <v>0</v>
      </c>
      <c r="O1595" s="83">
        <f>$L$1595-EFEITO!$O$1595*EFEITO!$AA$1595</f>
        <v>0</v>
      </c>
      <c r="P1595" s="61"/>
      <c r="Q1595" s="61"/>
      <c r="R1595" s="61"/>
      <c r="S1595" s="61"/>
      <c r="T1595" s="61"/>
      <c r="U1595" s="61"/>
      <c r="V1595" s="61"/>
      <c r="W1595" s="61"/>
      <c r="X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</row>
    <row r="1596" spans="1:36" ht="11.25" customHeight="1" x14ac:dyDescent="0.2">
      <c r="A1596" s="57" t="s">
        <v>30</v>
      </c>
      <c r="B1596" s="57" t="s">
        <v>22</v>
      </c>
      <c r="C1596" s="57" t="s">
        <v>39</v>
      </c>
      <c r="D1596" s="57" t="s">
        <v>24</v>
      </c>
      <c r="E1596" s="57" t="s">
        <v>24</v>
      </c>
      <c r="F1596" s="57" t="s">
        <v>25</v>
      </c>
      <c r="G1596" s="57" t="s">
        <v>25</v>
      </c>
      <c r="H1596" s="57" t="s">
        <v>40</v>
      </c>
      <c r="I1596" s="82">
        <v>44256</v>
      </c>
      <c r="J1596" s="83">
        <f>EFEITO!$J$1596*EFEITO!$Y$1596</f>
        <v>0</v>
      </c>
      <c r="K1596" s="83">
        <f ca="1">EFEITO!$L$1596*EFEITO!$Z$1596</f>
        <v>49.79608012528805</v>
      </c>
      <c r="L1596" s="83">
        <f>EFEITO!$N$1596*EFEITO!$AA$1596</f>
        <v>18.955465781040484</v>
      </c>
      <c r="M1596" s="83">
        <f>$J$1596-EFEITO!$K$1596*EFEITO!$Y$1596</f>
        <v>0</v>
      </c>
      <c r="N1596" s="83">
        <f ca="1">$K$1596-EFEITO!$M$1596*EFEITO!$Z$1596</f>
        <v>0</v>
      </c>
      <c r="O1596" s="83">
        <f>$L$1596-EFEITO!$O$1596*EFEITO!$AA$1596</f>
        <v>0</v>
      </c>
      <c r="P1596" s="61"/>
      <c r="Q1596" s="61"/>
      <c r="R1596" s="61"/>
      <c r="S1596" s="61"/>
      <c r="T1596" s="61"/>
      <c r="U1596" s="61"/>
      <c r="V1596" s="61"/>
      <c r="W1596" s="61"/>
      <c r="X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</row>
    <row r="1597" spans="1:36" ht="11.25" customHeight="1" x14ac:dyDescent="0.2">
      <c r="A1597" s="57" t="s">
        <v>21</v>
      </c>
      <c r="B1597" s="57" t="s">
        <v>22</v>
      </c>
      <c r="C1597" s="57" t="s">
        <v>39</v>
      </c>
      <c r="D1597" s="57" t="s">
        <v>24</v>
      </c>
      <c r="E1597" s="57" t="s">
        <v>24</v>
      </c>
      <c r="F1597" s="57" t="s">
        <v>25</v>
      </c>
      <c r="G1597" s="57" t="s">
        <v>25</v>
      </c>
      <c r="H1597" s="57" t="s">
        <v>40</v>
      </c>
      <c r="I1597" s="82">
        <v>44287</v>
      </c>
      <c r="J1597" s="83">
        <f>EFEITO!$J$1597*EFEITO!$Y$1597</f>
        <v>0</v>
      </c>
      <c r="K1597" s="83">
        <f ca="1">EFEITO!$L$1597*EFEITO!$Z$1597</f>
        <v>2152.3798215348384</v>
      </c>
      <c r="L1597" s="83">
        <f>EFEITO!$N$1597*EFEITO!$AA$1597</f>
        <v>819.32878958049605</v>
      </c>
      <c r="M1597" s="83">
        <f>$J$1597-EFEITO!$K$1597*EFEITO!$Y$1597</f>
        <v>0</v>
      </c>
      <c r="N1597" s="83">
        <f ca="1">$K$1597-EFEITO!$M$1597*EFEITO!$Z$1597</f>
        <v>0</v>
      </c>
      <c r="O1597" s="83">
        <f>$L$1597-EFEITO!$O$1597*EFEITO!$AA$1597</f>
        <v>0</v>
      </c>
      <c r="P1597" s="61"/>
      <c r="Q1597" s="61"/>
      <c r="R1597" s="61"/>
      <c r="S1597" s="61"/>
      <c r="T1597" s="61"/>
      <c r="U1597" s="61"/>
      <c r="V1597" s="61"/>
      <c r="W1597" s="61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</row>
    <row r="1598" spans="1:36" ht="11.25" customHeight="1" x14ac:dyDescent="0.2">
      <c r="A1598" s="57" t="s">
        <v>28</v>
      </c>
      <c r="B1598" s="57" t="s">
        <v>22</v>
      </c>
      <c r="C1598" s="57" t="s">
        <v>39</v>
      </c>
      <c r="D1598" s="57" t="s">
        <v>24</v>
      </c>
      <c r="E1598" s="57" t="s">
        <v>24</v>
      </c>
      <c r="F1598" s="57" t="s">
        <v>25</v>
      </c>
      <c r="G1598" s="57" t="s">
        <v>25</v>
      </c>
      <c r="H1598" s="57" t="s">
        <v>40</v>
      </c>
      <c r="I1598" s="82">
        <v>44287</v>
      </c>
      <c r="J1598" s="83">
        <f>EFEITO!$J$1598*EFEITO!$Y$1598</f>
        <v>0</v>
      </c>
      <c r="K1598" s="83">
        <f ca="1">EFEITO!$L$1598*EFEITO!$Z$1598</f>
        <v>101.07861040356978</v>
      </c>
      <c r="L1598" s="83">
        <f>EFEITO!$N$1598*EFEITO!$AA$1598</f>
        <v>38.476766361515011</v>
      </c>
      <c r="M1598" s="83">
        <f>$J$1598-EFEITO!$K$1598*EFEITO!$Y$1598</f>
        <v>0</v>
      </c>
      <c r="N1598" s="83">
        <f ca="1">$K$1598-EFEITO!$M$1598*EFEITO!$Z$1598</f>
        <v>0</v>
      </c>
      <c r="O1598" s="83">
        <f>$L$1598-EFEITO!$O$1598*EFEITO!$AA$1598</f>
        <v>0</v>
      </c>
      <c r="P1598" s="61"/>
      <c r="Q1598" s="61"/>
      <c r="R1598" s="61"/>
      <c r="S1598" s="61"/>
      <c r="T1598" s="61"/>
      <c r="U1598" s="61"/>
      <c r="V1598" s="61"/>
      <c r="W1598" s="61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</row>
    <row r="1599" spans="1:36" ht="11.25" customHeight="1" x14ac:dyDescent="0.2">
      <c r="A1599" s="57" t="s">
        <v>30</v>
      </c>
      <c r="B1599" s="57" t="s">
        <v>22</v>
      </c>
      <c r="C1599" s="57" t="s">
        <v>39</v>
      </c>
      <c r="D1599" s="57" t="s">
        <v>24</v>
      </c>
      <c r="E1599" s="57" t="s">
        <v>24</v>
      </c>
      <c r="F1599" s="57" t="s">
        <v>25</v>
      </c>
      <c r="G1599" s="57" t="s">
        <v>25</v>
      </c>
      <c r="H1599" s="57" t="s">
        <v>40</v>
      </c>
      <c r="I1599" s="82">
        <v>44287</v>
      </c>
      <c r="J1599" s="83">
        <f>EFEITO!$J$1599*EFEITO!$Y$1599</f>
        <v>0</v>
      </c>
      <c r="K1599" s="83">
        <f ca="1">EFEITO!$L$1599*EFEITO!$Z$1599</f>
        <v>88.443784103123548</v>
      </c>
      <c r="L1599" s="83">
        <f>EFEITO!$N$1599*EFEITO!$AA$1599</f>
        <v>33.66717056632563</v>
      </c>
      <c r="M1599" s="83">
        <f>$J$1599-EFEITO!$K$1599*EFEITO!$Y$1599</f>
        <v>0</v>
      </c>
      <c r="N1599" s="83">
        <f ca="1">$K$1599-EFEITO!$M$1599*EFEITO!$Z$1599</f>
        <v>0</v>
      </c>
      <c r="O1599" s="83">
        <f>$L$1599-EFEITO!$O$1599*EFEITO!$AA$1599</f>
        <v>0</v>
      </c>
      <c r="P1599" s="61"/>
      <c r="Q1599" s="61"/>
      <c r="R1599" s="61"/>
      <c r="S1599" s="61"/>
      <c r="T1599" s="61"/>
      <c r="U1599" s="61"/>
      <c r="V1599" s="61"/>
      <c r="W1599" s="61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</row>
    <row r="1600" spans="1:36" ht="11.25" customHeight="1" x14ac:dyDescent="0.2">
      <c r="A1600" s="57" t="s">
        <v>21</v>
      </c>
      <c r="B1600" s="57" t="s">
        <v>22</v>
      </c>
      <c r="C1600" s="57" t="s">
        <v>39</v>
      </c>
      <c r="D1600" s="57" t="s">
        <v>24</v>
      </c>
      <c r="E1600" s="57" t="s">
        <v>24</v>
      </c>
      <c r="F1600" s="57" t="s">
        <v>25</v>
      </c>
      <c r="G1600" s="57" t="s">
        <v>25</v>
      </c>
      <c r="H1600" s="57" t="s">
        <v>40</v>
      </c>
      <c r="I1600" s="82">
        <v>44317</v>
      </c>
      <c r="J1600" s="83">
        <f>EFEITO!$J$1600*EFEITO!$Y$1600</f>
        <v>0</v>
      </c>
      <c r="K1600" s="83">
        <f ca="1">EFEITO!$L$1600*EFEITO!$Z$1600</f>
        <v>1517.6656062065401</v>
      </c>
      <c r="L1600" s="83">
        <f>EFEITO!$N$1600*EFEITO!$AA$1600</f>
        <v>577.71733022215915</v>
      </c>
      <c r="M1600" s="83">
        <f>$J$1600-EFEITO!$K$1600*EFEITO!$Y$1600</f>
        <v>0</v>
      </c>
      <c r="N1600" s="83">
        <f ca="1">$K$1600-EFEITO!$M$1600*EFEITO!$Z$1600</f>
        <v>0</v>
      </c>
      <c r="O1600" s="83">
        <f>$L$1600-EFEITO!$O$1600*EFEITO!$AA$1600</f>
        <v>0</v>
      </c>
      <c r="P1600" s="61"/>
      <c r="Q1600" s="61"/>
      <c r="R1600" s="61"/>
      <c r="S1600" s="61"/>
      <c r="T1600" s="61"/>
      <c r="U1600" s="61"/>
      <c r="V1600" s="61"/>
      <c r="W1600" s="61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</row>
    <row r="1601" spans="1:36" ht="11.25" customHeight="1" x14ac:dyDescent="0.2">
      <c r="A1601" s="57" t="s">
        <v>28</v>
      </c>
      <c r="B1601" s="57" t="s">
        <v>22</v>
      </c>
      <c r="C1601" s="57" t="s">
        <v>39</v>
      </c>
      <c r="D1601" s="57" t="s">
        <v>24</v>
      </c>
      <c r="E1601" s="57" t="s">
        <v>24</v>
      </c>
      <c r="F1601" s="57" t="s">
        <v>25</v>
      </c>
      <c r="G1601" s="57" t="s">
        <v>25</v>
      </c>
      <c r="H1601" s="57" t="s">
        <v>40</v>
      </c>
      <c r="I1601" s="82">
        <v>44317</v>
      </c>
      <c r="J1601" s="83">
        <f>EFEITO!$J$1601*EFEITO!$Y$1601</f>
        <v>0</v>
      </c>
      <c r="K1601" s="83">
        <f ca="1">EFEITO!$L$1601*EFEITO!$Z$1601</f>
        <v>89.187009179620389</v>
      </c>
      <c r="L1601" s="83">
        <f>EFEITO!$N$1601*EFEITO!$AA$1601</f>
        <v>33.950087966042652</v>
      </c>
      <c r="M1601" s="83">
        <f>$J$1601-EFEITO!$K$1601*EFEITO!$Y$1601</f>
        <v>0</v>
      </c>
      <c r="N1601" s="83">
        <f ca="1">$K$1601-EFEITO!$M$1601*EFEITO!$Z$1601</f>
        <v>0</v>
      </c>
      <c r="O1601" s="83">
        <f>$L$1601-EFEITO!$O$1601*EFEITO!$AA$1601</f>
        <v>0</v>
      </c>
      <c r="P1601" s="61"/>
      <c r="Q1601" s="61"/>
      <c r="R1601" s="61"/>
      <c r="S1601" s="61"/>
      <c r="T1601" s="61"/>
      <c r="U1601" s="61"/>
      <c r="V1601" s="61"/>
      <c r="W1601" s="61"/>
      <c r="X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</row>
    <row r="1602" spans="1:36" ht="11.25" customHeight="1" x14ac:dyDescent="0.2">
      <c r="A1602" s="57" t="s">
        <v>30</v>
      </c>
      <c r="B1602" s="57" t="s">
        <v>22</v>
      </c>
      <c r="C1602" s="57" t="s">
        <v>39</v>
      </c>
      <c r="D1602" s="57" t="s">
        <v>24</v>
      </c>
      <c r="E1602" s="57" t="s">
        <v>24</v>
      </c>
      <c r="F1602" s="57" t="s">
        <v>25</v>
      </c>
      <c r="G1602" s="57" t="s">
        <v>25</v>
      </c>
      <c r="H1602" s="57" t="s">
        <v>40</v>
      </c>
      <c r="I1602" s="82">
        <v>44317</v>
      </c>
      <c r="J1602" s="83">
        <f>EFEITO!$J$1602*EFEITO!$Y$1602</f>
        <v>0</v>
      </c>
      <c r="K1602" s="83">
        <f ca="1">EFEITO!$L$1602*EFEITO!$Z$1602</f>
        <v>132.29406361643689</v>
      </c>
      <c r="L1602" s="83">
        <f>EFEITO!$N$1602*EFEITO!$AA$1602</f>
        <v>50.359297149629938</v>
      </c>
      <c r="M1602" s="83">
        <f>$J$1602-EFEITO!$K$1602*EFEITO!$Y$1602</f>
        <v>0</v>
      </c>
      <c r="N1602" s="83">
        <f ca="1">$K$1602-EFEITO!$M$1602*EFEITO!$Z$1602</f>
        <v>0</v>
      </c>
      <c r="O1602" s="83">
        <f>$L$1602-EFEITO!$O$1602*EFEITO!$AA$1602</f>
        <v>0</v>
      </c>
      <c r="P1602" s="61"/>
      <c r="Q1602" s="61"/>
      <c r="R1602" s="61"/>
      <c r="S1602" s="61"/>
      <c r="T1602" s="61"/>
      <c r="U1602" s="61"/>
      <c r="V1602" s="61"/>
      <c r="W1602" s="61"/>
      <c r="X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</row>
    <row r="1603" spans="1:36" ht="11.25" customHeight="1" x14ac:dyDescent="0.2">
      <c r="A1603" s="57" t="s">
        <v>21</v>
      </c>
      <c r="B1603" s="57" t="s">
        <v>22</v>
      </c>
      <c r="C1603" s="57" t="s">
        <v>39</v>
      </c>
      <c r="D1603" s="57" t="s">
        <v>24</v>
      </c>
      <c r="E1603" s="57" t="s">
        <v>24</v>
      </c>
      <c r="F1603" s="57" t="s">
        <v>25</v>
      </c>
      <c r="G1603" s="57" t="s">
        <v>25</v>
      </c>
      <c r="H1603" s="57" t="s">
        <v>40</v>
      </c>
      <c r="I1603" s="82">
        <v>44348</v>
      </c>
      <c r="J1603" s="83">
        <f>EFEITO!$J$1603*EFEITO!$Y$1603</f>
        <v>0</v>
      </c>
      <c r="K1603" s="83">
        <f ca="1">EFEITO!$L$1603*EFEITO!$Z$1603</f>
        <v>1910.8316716733668</v>
      </c>
      <c r="L1603" s="83">
        <f>EFEITO!$N$1603*EFEITO!$AA$1603</f>
        <v>727.380634672464</v>
      </c>
      <c r="M1603" s="83">
        <f>$J$1603-EFEITO!$K$1603*EFEITO!$Y$1603</f>
        <v>0</v>
      </c>
      <c r="N1603" s="83">
        <f ca="1">$K$1603-EFEITO!$M$1603*EFEITO!$Z$1603</f>
        <v>0</v>
      </c>
      <c r="O1603" s="83">
        <f>$L$1603-EFEITO!$O$1603*EFEITO!$AA$1603</f>
        <v>0</v>
      </c>
      <c r="P1603" s="61"/>
      <c r="Q1603" s="61"/>
      <c r="R1603" s="61"/>
      <c r="S1603" s="61"/>
      <c r="T1603" s="61"/>
      <c r="U1603" s="61"/>
      <c r="V1603" s="61"/>
      <c r="W1603" s="61"/>
      <c r="X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</row>
    <row r="1604" spans="1:36" ht="11.25" customHeight="1" x14ac:dyDescent="0.2">
      <c r="A1604" s="57" t="s">
        <v>28</v>
      </c>
      <c r="B1604" s="57" t="s">
        <v>22</v>
      </c>
      <c r="C1604" s="57" t="s">
        <v>39</v>
      </c>
      <c r="D1604" s="57" t="s">
        <v>24</v>
      </c>
      <c r="E1604" s="57" t="s">
        <v>24</v>
      </c>
      <c r="F1604" s="57" t="s">
        <v>25</v>
      </c>
      <c r="G1604" s="57" t="s">
        <v>25</v>
      </c>
      <c r="H1604" s="57" t="s">
        <v>40</v>
      </c>
      <c r="I1604" s="82">
        <v>44348</v>
      </c>
      <c r="J1604" s="83">
        <f>EFEITO!$J$1604*EFEITO!$Y$1604</f>
        <v>0</v>
      </c>
      <c r="K1604" s="83">
        <f ca="1">EFEITO!$L$1604*EFEITO!$Z$1604</f>
        <v>127.83471315745588</v>
      </c>
      <c r="L1604" s="83">
        <f>EFEITO!$N$1604*EFEITO!$AA$1604</f>
        <v>48.661792751327802</v>
      </c>
      <c r="M1604" s="83">
        <f>$J$1604-EFEITO!$K$1604*EFEITO!$Y$1604</f>
        <v>0</v>
      </c>
      <c r="N1604" s="83">
        <f ca="1">$K$1604-EFEITO!$M$1604*EFEITO!$Z$1604</f>
        <v>0</v>
      </c>
      <c r="O1604" s="83">
        <f>$L$1604-EFEITO!$O$1604*EFEITO!$AA$1604</f>
        <v>0</v>
      </c>
      <c r="P1604" s="61"/>
      <c r="Q1604" s="61"/>
      <c r="R1604" s="61"/>
      <c r="S1604" s="61"/>
      <c r="T1604" s="61"/>
      <c r="U1604" s="61"/>
      <c r="V1604" s="61"/>
      <c r="W1604" s="61"/>
      <c r="X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</row>
    <row r="1605" spans="1:36" ht="11.25" customHeight="1" x14ac:dyDescent="0.2">
      <c r="A1605" s="57" t="s">
        <v>30</v>
      </c>
      <c r="B1605" s="57" t="s">
        <v>22</v>
      </c>
      <c r="C1605" s="57" t="s">
        <v>39</v>
      </c>
      <c r="D1605" s="57" t="s">
        <v>24</v>
      </c>
      <c r="E1605" s="57" t="s">
        <v>24</v>
      </c>
      <c r="F1605" s="57" t="s">
        <v>25</v>
      </c>
      <c r="G1605" s="57" t="s">
        <v>25</v>
      </c>
      <c r="H1605" s="57" t="s">
        <v>40</v>
      </c>
      <c r="I1605" s="82">
        <v>44348</v>
      </c>
      <c r="J1605" s="83">
        <f>EFEITO!$J$1605*EFEITO!$Y$1605</f>
        <v>0</v>
      </c>
      <c r="K1605" s="83">
        <f ca="1">EFEITO!$L$1605*EFEITO!$Z$1605</f>
        <v>119.65923731599069</v>
      </c>
      <c r="L1605" s="83">
        <f>EFEITO!$N$1605*EFEITO!$AA$1605</f>
        <v>45.549701354440565</v>
      </c>
      <c r="M1605" s="83">
        <f>$J$1605-EFEITO!$K$1605*EFEITO!$Y$1605</f>
        <v>0</v>
      </c>
      <c r="N1605" s="83">
        <f ca="1">$K$1605-EFEITO!$M$1605*EFEITO!$Z$1605</f>
        <v>0</v>
      </c>
      <c r="O1605" s="83">
        <f>$L$1605-EFEITO!$O$1605*EFEITO!$AA$1605</f>
        <v>0</v>
      </c>
      <c r="P1605" s="61"/>
      <c r="Q1605" s="61"/>
      <c r="R1605" s="61"/>
      <c r="S1605" s="61"/>
      <c r="T1605" s="61"/>
      <c r="U1605" s="61"/>
      <c r="V1605" s="61"/>
      <c r="W1605" s="61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</row>
    <row r="1606" spans="1:36" ht="11.25" customHeight="1" x14ac:dyDescent="0.2">
      <c r="A1606" s="57" t="s">
        <v>21</v>
      </c>
      <c r="B1606" s="57" t="s">
        <v>22</v>
      </c>
      <c r="C1606" s="57" t="s">
        <v>39</v>
      </c>
      <c r="D1606" s="57" t="s">
        <v>24</v>
      </c>
      <c r="E1606" s="57" t="s">
        <v>24</v>
      </c>
      <c r="F1606" s="57" t="s">
        <v>25</v>
      </c>
      <c r="G1606" s="57" t="s">
        <v>25</v>
      </c>
      <c r="H1606" s="57" t="s">
        <v>40</v>
      </c>
      <c r="I1606" s="82">
        <v>44378</v>
      </c>
      <c r="J1606" s="83">
        <f>EFEITO!$J$1606*EFEITO!$Y$1606</f>
        <v>0</v>
      </c>
      <c r="K1606" s="83">
        <f ca="1">EFEITO!$L$1606*EFEITO!$Z$1606</f>
        <v>1762.1866563739995</v>
      </c>
      <c r="L1606" s="83">
        <f>EFEITO!$N$1606*EFEITO!$AA$1606</f>
        <v>670.79715472905946</v>
      </c>
      <c r="M1606" s="83">
        <f>$J$1606-EFEITO!$K$1606*EFEITO!$Y$1606</f>
        <v>0</v>
      </c>
      <c r="N1606" s="83">
        <f ca="1">$K$1606-EFEITO!$M$1606*EFEITO!$Z$1606</f>
        <v>0</v>
      </c>
      <c r="O1606" s="83">
        <f>$L$1606-EFEITO!$O$1606*EFEITO!$AA$1606</f>
        <v>0</v>
      </c>
      <c r="P1606" s="61"/>
      <c r="Q1606" s="61"/>
      <c r="R1606" s="61"/>
      <c r="S1606" s="61"/>
      <c r="T1606" s="61"/>
      <c r="U1606" s="61"/>
      <c r="V1606" s="61"/>
      <c r="W1606" s="61"/>
      <c r="X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</row>
    <row r="1607" spans="1:36" ht="11.25" customHeight="1" x14ac:dyDescent="0.2">
      <c r="A1607" s="57" t="s">
        <v>27</v>
      </c>
      <c r="B1607" s="57" t="s">
        <v>22</v>
      </c>
      <c r="C1607" s="57" t="s">
        <v>39</v>
      </c>
      <c r="D1607" s="57" t="s">
        <v>24</v>
      </c>
      <c r="E1607" s="57" t="s">
        <v>24</v>
      </c>
      <c r="F1607" s="57" t="s">
        <v>25</v>
      </c>
      <c r="G1607" s="57" t="s">
        <v>25</v>
      </c>
      <c r="H1607" s="57" t="s">
        <v>40</v>
      </c>
      <c r="I1607" s="82">
        <v>44378</v>
      </c>
      <c r="J1607" s="83">
        <f>EFEITO!$J$1607*EFEITO!$Y$1607</f>
        <v>0</v>
      </c>
      <c r="K1607" s="83">
        <f ca="1">EFEITO!$L$1607*EFEITO!$Z$1607</f>
        <v>20.067077065414587</v>
      </c>
      <c r="L1607" s="83">
        <f>EFEITO!$N$1607*EFEITO!$AA$1607</f>
        <v>7.6387697923595974</v>
      </c>
      <c r="M1607" s="83">
        <f>$J$1607-EFEITO!$K$1607*EFEITO!$Y$1607</f>
        <v>0</v>
      </c>
      <c r="N1607" s="83">
        <f ca="1">$K$1607-EFEITO!$M$1607*EFEITO!$Z$1607</f>
        <v>0</v>
      </c>
      <c r="O1607" s="83">
        <f>$L$1607-EFEITO!$O$1607*EFEITO!$AA$1607</f>
        <v>0</v>
      </c>
      <c r="P1607" s="61"/>
      <c r="Q1607" s="61"/>
      <c r="R1607" s="61"/>
      <c r="S1607" s="61"/>
      <c r="T1607" s="61"/>
      <c r="U1607" s="61"/>
      <c r="V1607" s="61"/>
      <c r="W1607" s="61"/>
      <c r="X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</row>
    <row r="1608" spans="1:36" ht="11.25" customHeight="1" x14ac:dyDescent="0.2">
      <c r="A1608" s="57" t="s">
        <v>28</v>
      </c>
      <c r="B1608" s="57" t="s">
        <v>22</v>
      </c>
      <c r="C1608" s="57" t="s">
        <v>39</v>
      </c>
      <c r="D1608" s="57" t="s">
        <v>24</v>
      </c>
      <c r="E1608" s="57" t="s">
        <v>24</v>
      </c>
      <c r="F1608" s="57" t="s">
        <v>25</v>
      </c>
      <c r="G1608" s="57" t="s">
        <v>25</v>
      </c>
      <c r="H1608" s="57" t="s">
        <v>40</v>
      </c>
      <c r="I1608" s="82">
        <v>44378</v>
      </c>
      <c r="J1608" s="83">
        <f>EFEITO!$J$1608*EFEITO!$Y$1608</f>
        <v>0</v>
      </c>
      <c r="K1608" s="83">
        <f ca="1">EFEITO!$L$1608*EFEITO!$Z$1608</f>
        <v>123.37536269847487</v>
      </c>
      <c r="L1608" s="83">
        <f>EFEITO!$N$1608*EFEITO!$AA$1608</f>
        <v>46.96428835302568</v>
      </c>
      <c r="M1608" s="83">
        <f>$J$1608-EFEITO!$K$1608*EFEITO!$Y$1608</f>
        <v>0</v>
      </c>
      <c r="N1608" s="83">
        <f ca="1">$K$1608-EFEITO!$M$1608*EFEITO!$Z$1608</f>
        <v>0</v>
      </c>
      <c r="O1608" s="83">
        <f>$L$1608-EFEITO!$O$1608*EFEITO!$AA$1608</f>
        <v>0</v>
      </c>
      <c r="P1608" s="61"/>
      <c r="Q1608" s="61"/>
      <c r="R1608" s="61"/>
      <c r="S1608" s="61"/>
      <c r="T1608" s="61"/>
      <c r="U1608" s="61"/>
      <c r="V1608" s="61"/>
      <c r="W1608" s="61"/>
      <c r="X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</row>
    <row r="1609" spans="1:36" ht="11.25" customHeight="1" x14ac:dyDescent="0.2">
      <c r="A1609" s="57" t="s">
        <v>30</v>
      </c>
      <c r="B1609" s="57" t="s">
        <v>22</v>
      </c>
      <c r="C1609" s="57" t="s">
        <v>39</v>
      </c>
      <c r="D1609" s="57" t="s">
        <v>24</v>
      </c>
      <c r="E1609" s="57" t="s">
        <v>24</v>
      </c>
      <c r="F1609" s="57" t="s">
        <v>25</v>
      </c>
      <c r="G1609" s="57" t="s">
        <v>25</v>
      </c>
      <c r="H1609" s="57" t="s">
        <v>40</v>
      </c>
      <c r="I1609" s="82">
        <v>44378</v>
      </c>
      <c r="J1609" s="83">
        <f>EFEITO!$J$1609*EFEITO!$Y$1609</f>
        <v>0</v>
      </c>
      <c r="K1609" s="83">
        <f ca="1">EFEITO!$L$1609*EFEITO!$Z$1609</f>
        <v>96.619259944588748</v>
      </c>
      <c r="L1609" s="83">
        <f>EFEITO!$N$1609*EFEITO!$AA$1609</f>
        <v>36.779261963212882</v>
      </c>
      <c r="M1609" s="83">
        <f>$J$1609-EFEITO!$K$1609*EFEITO!$Y$1609</f>
        <v>0</v>
      </c>
      <c r="N1609" s="83">
        <f ca="1">$K$1609-EFEITO!$M$1609*EFEITO!$Z$1609</f>
        <v>0</v>
      </c>
      <c r="O1609" s="83">
        <f>$L$1609-EFEITO!$O$1609*EFEITO!$AA$1609</f>
        <v>0</v>
      </c>
      <c r="P1609" s="61"/>
      <c r="Q1609" s="61"/>
      <c r="R1609" s="61"/>
      <c r="S1609" s="61"/>
      <c r="T1609" s="61"/>
      <c r="U1609" s="61"/>
      <c r="V1609" s="61"/>
      <c r="W1609" s="61"/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</row>
    <row r="1610" spans="1:36" ht="11.25" customHeight="1" x14ac:dyDescent="0.2">
      <c r="A1610" s="57" t="s">
        <v>21</v>
      </c>
      <c r="B1610" s="57" t="s">
        <v>22</v>
      </c>
      <c r="C1610" s="57" t="s">
        <v>39</v>
      </c>
      <c r="D1610" s="57" t="s">
        <v>24</v>
      </c>
      <c r="E1610" s="57" t="s">
        <v>24</v>
      </c>
      <c r="F1610" s="57" t="s">
        <v>25</v>
      </c>
      <c r="G1610" s="57" t="s">
        <v>25</v>
      </c>
      <c r="H1610" s="57" t="s">
        <v>40</v>
      </c>
      <c r="I1610" s="82">
        <v>44409</v>
      </c>
      <c r="J1610" s="83">
        <f>EFEITO!$J$1610*EFEITO!$Y$1610</f>
        <v>0</v>
      </c>
      <c r="K1610" s="83">
        <f ca="1">EFEITO!$L$1610*EFEITO!$Z$1610</f>
        <v>1829.0769132587147</v>
      </c>
      <c r="L1610" s="83">
        <f>EFEITO!$N$1610*EFEITO!$AA$1610</f>
        <v>696.25972070359148</v>
      </c>
      <c r="M1610" s="83">
        <f>$J$1610-EFEITO!$K$1610*EFEITO!$Y$1610</f>
        <v>0</v>
      </c>
      <c r="N1610" s="83">
        <f ca="1">$K$1610-EFEITO!$M$1610*EFEITO!$Z$1610</f>
        <v>0</v>
      </c>
      <c r="O1610" s="83">
        <f>$L$1610-EFEITO!$O$1610*EFEITO!$AA$1610</f>
        <v>0</v>
      </c>
      <c r="P1610" s="61"/>
      <c r="Q1610" s="61"/>
      <c r="R1610" s="61"/>
      <c r="S1610" s="61"/>
      <c r="T1610" s="61"/>
      <c r="U1610" s="61"/>
      <c r="V1610" s="61"/>
      <c r="W1610" s="61"/>
      <c r="X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</row>
    <row r="1611" spans="1:36" ht="11.25" customHeight="1" x14ac:dyDescent="0.2">
      <c r="A1611" s="57" t="s">
        <v>28</v>
      </c>
      <c r="B1611" s="57" t="s">
        <v>22</v>
      </c>
      <c r="C1611" s="57" t="s">
        <v>39</v>
      </c>
      <c r="D1611" s="57" t="s">
        <v>24</v>
      </c>
      <c r="E1611" s="57" t="s">
        <v>24</v>
      </c>
      <c r="F1611" s="57" t="s">
        <v>25</v>
      </c>
      <c r="G1611" s="57" t="s">
        <v>25</v>
      </c>
      <c r="H1611" s="57" t="s">
        <v>40</v>
      </c>
      <c r="I1611" s="82">
        <v>44409</v>
      </c>
      <c r="J1611" s="83">
        <f>EFEITO!$J$1611*EFEITO!$Y$1611</f>
        <v>0</v>
      </c>
      <c r="K1611" s="83">
        <f ca="1">EFEITO!$L$1611*EFEITO!$Z$1611</f>
        <v>139.72631438140527</v>
      </c>
      <c r="L1611" s="83">
        <f>EFEITO!$N$1611*EFEITO!$AA$1611</f>
        <v>53.188471146800161</v>
      </c>
      <c r="M1611" s="83">
        <f>$J$1611-EFEITO!$K$1611*EFEITO!$Y$1611</f>
        <v>0</v>
      </c>
      <c r="N1611" s="83">
        <f ca="1">$K$1611-EFEITO!$M$1611*EFEITO!$Z$1611</f>
        <v>0</v>
      </c>
      <c r="O1611" s="83">
        <f>$L$1611-EFEITO!$O$1611*EFEITO!$AA$1611</f>
        <v>0</v>
      </c>
      <c r="P1611" s="61"/>
      <c r="Q1611" s="61"/>
      <c r="R1611" s="61"/>
      <c r="S1611" s="61"/>
      <c r="T1611" s="61"/>
      <c r="U1611" s="61"/>
      <c r="V1611" s="61"/>
      <c r="W1611" s="61"/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</row>
    <row r="1612" spans="1:36" ht="11.25" customHeight="1" x14ac:dyDescent="0.2">
      <c r="A1612" s="57" t="s">
        <v>30</v>
      </c>
      <c r="B1612" s="57" t="s">
        <v>22</v>
      </c>
      <c r="C1612" s="57" t="s">
        <v>39</v>
      </c>
      <c r="D1612" s="57" t="s">
        <v>24</v>
      </c>
      <c r="E1612" s="57" t="s">
        <v>24</v>
      </c>
      <c r="F1612" s="57" t="s">
        <v>25</v>
      </c>
      <c r="G1612" s="57" t="s">
        <v>25</v>
      </c>
      <c r="H1612" s="57" t="s">
        <v>40</v>
      </c>
      <c r="I1612" s="82">
        <v>44409</v>
      </c>
      <c r="J1612" s="83">
        <f>EFEITO!$J$1612*EFEITO!$Y$1612</f>
        <v>0</v>
      </c>
      <c r="K1612" s="83">
        <f ca="1">EFEITO!$L$1612*EFEITO!$Z$1612</f>
        <v>119.65923731599069</v>
      </c>
      <c r="L1612" s="83">
        <f>EFEITO!$N$1612*EFEITO!$AA$1612</f>
        <v>45.549701354440565</v>
      </c>
      <c r="M1612" s="83">
        <f>$J$1612-EFEITO!$K$1612*EFEITO!$Y$1612</f>
        <v>0</v>
      </c>
      <c r="N1612" s="83">
        <f ca="1">$K$1612-EFEITO!$M$1612*EFEITO!$Z$1612</f>
        <v>0</v>
      </c>
      <c r="O1612" s="83">
        <f>$L$1612-EFEITO!$O$1612*EFEITO!$AA$1612</f>
        <v>0</v>
      </c>
      <c r="P1612" s="61"/>
      <c r="Q1612" s="61"/>
      <c r="R1612" s="61"/>
      <c r="S1612" s="61"/>
      <c r="T1612" s="61"/>
      <c r="U1612" s="61"/>
      <c r="V1612" s="61"/>
      <c r="W1612" s="61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</row>
    <row r="1613" spans="1:36" ht="11.25" customHeight="1" x14ac:dyDescent="0.2">
      <c r="A1613" s="57" t="s">
        <v>21</v>
      </c>
      <c r="B1613" s="57" t="s">
        <v>22</v>
      </c>
      <c r="C1613" s="57" t="s">
        <v>39</v>
      </c>
      <c r="D1613" s="57" t="s">
        <v>24</v>
      </c>
      <c r="E1613" s="57" t="s">
        <v>24</v>
      </c>
      <c r="F1613" s="57" t="s">
        <v>25</v>
      </c>
      <c r="G1613" s="57" t="s">
        <v>25</v>
      </c>
      <c r="H1613" s="57" t="s">
        <v>40</v>
      </c>
      <c r="I1613" s="82">
        <v>44440</v>
      </c>
      <c r="J1613" s="83">
        <f>EFEITO!$J$1613*EFEITO!$Y$1613</f>
        <v>0</v>
      </c>
      <c r="K1613" s="83">
        <f ca="1">EFEITO!$L$1613*EFEITO!$Z$1613</f>
        <v>1819.4149872642558</v>
      </c>
      <c r="L1613" s="83">
        <f>EFEITO!$N$1613*EFEITO!$AA$1613</f>
        <v>692.58179450727016</v>
      </c>
      <c r="M1613" s="83">
        <f>$J$1613-EFEITO!$K$1613*EFEITO!$Y$1613</f>
        <v>0</v>
      </c>
      <c r="N1613" s="83">
        <f ca="1">$K$1613-EFEITO!$M$1613*EFEITO!$Z$1613</f>
        <v>0</v>
      </c>
      <c r="O1613" s="83">
        <f>$L$1613-EFEITO!$O$1613*EFEITO!$AA$1613</f>
        <v>0</v>
      </c>
      <c r="P1613" s="61"/>
      <c r="Q1613" s="61"/>
      <c r="R1613" s="61"/>
      <c r="S1613" s="61"/>
      <c r="T1613" s="61"/>
      <c r="U1613" s="61"/>
      <c r="V1613" s="61"/>
      <c r="W1613" s="61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</row>
    <row r="1614" spans="1:36" ht="11.25" customHeight="1" x14ac:dyDescent="0.2">
      <c r="A1614" s="57" t="s">
        <v>27</v>
      </c>
      <c r="B1614" s="57" t="s">
        <v>22</v>
      </c>
      <c r="C1614" s="57" t="s">
        <v>39</v>
      </c>
      <c r="D1614" s="57" t="s">
        <v>24</v>
      </c>
      <c r="E1614" s="57" t="s">
        <v>24</v>
      </c>
      <c r="F1614" s="57" t="s">
        <v>25</v>
      </c>
      <c r="G1614" s="57" t="s">
        <v>25</v>
      </c>
      <c r="H1614" s="57" t="s">
        <v>40</v>
      </c>
      <c r="I1614" s="82">
        <v>44440</v>
      </c>
      <c r="J1614" s="83">
        <f>EFEITO!$J$1614*EFEITO!$Y$1614</f>
        <v>0</v>
      </c>
      <c r="K1614" s="83">
        <f ca="1">EFEITO!$L$1614*EFEITO!$Z$1614</f>
        <v>23.039977371401932</v>
      </c>
      <c r="L1614" s="83">
        <f>EFEITO!$N$1614*EFEITO!$AA$1614</f>
        <v>8.7704393912276863</v>
      </c>
      <c r="M1614" s="83">
        <f>$J$1614-EFEITO!$K$1614*EFEITO!$Y$1614</f>
        <v>0</v>
      </c>
      <c r="N1614" s="83">
        <f ca="1">$K$1614-EFEITO!$M$1614*EFEITO!$Z$1614</f>
        <v>0</v>
      </c>
      <c r="O1614" s="83">
        <f>$L$1614-EFEITO!$O$1614*EFEITO!$AA$1614</f>
        <v>0</v>
      </c>
      <c r="P1614" s="61"/>
      <c r="Q1614" s="61"/>
      <c r="R1614" s="61"/>
      <c r="S1614" s="61"/>
      <c r="T1614" s="61"/>
      <c r="U1614" s="61"/>
      <c r="V1614" s="61"/>
      <c r="W1614" s="61"/>
      <c r="X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</row>
    <row r="1615" spans="1:36" ht="11.25" customHeight="1" x14ac:dyDescent="0.2">
      <c r="A1615" s="57" t="s">
        <v>28</v>
      </c>
      <c r="B1615" s="57" t="s">
        <v>22</v>
      </c>
      <c r="C1615" s="57" t="s">
        <v>39</v>
      </c>
      <c r="D1615" s="57" t="s">
        <v>24</v>
      </c>
      <c r="E1615" s="57" t="s">
        <v>24</v>
      </c>
      <c r="F1615" s="57" t="s">
        <v>25</v>
      </c>
      <c r="G1615" s="57" t="s">
        <v>25</v>
      </c>
      <c r="H1615" s="57" t="s">
        <v>40</v>
      </c>
      <c r="I1615" s="82">
        <v>44440</v>
      </c>
      <c r="J1615" s="83">
        <f>EFEITO!$J$1615*EFEITO!$Y$1615</f>
        <v>0</v>
      </c>
      <c r="K1615" s="83">
        <f ca="1">EFEITO!$L$1615*EFEITO!$Z$1615</f>
        <v>134.5237388459274</v>
      </c>
      <c r="L1615" s="83">
        <f>EFEITO!$N$1615*EFEITO!$AA$1615</f>
        <v>51.208049348781003</v>
      </c>
      <c r="M1615" s="83">
        <f>$J$1615-EFEITO!$K$1615*EFEITO!$Y$1615</f>
        <v>0</v>
      </c>
      <c r="N1615" s="83">
        <f ca="1">$K$1615-EFEITO!$M$1615*EFEITO!$Z$1615</f>
        <v>0</v>
      </c>
      <c r="O1615" s="83">
        <f>$L$1615-EFEITO!$O$1615*EFEITO!$AA$1615</f>
        <v>0</v>
      </c>
      <c r="P1615" s="61"/>
      <c r="Q1615" s="61"/>
      <c r="R1615" s="61"/>
      <c r="S1615" s="61"/>
      <c r="T1615" s="61"/>
      <c r="U1615" s="61"/>
      <c r="V1615" s="61"/>
      <c r="W1615" s="61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</row>
    <row r="1616" spans="1:36" ht="11.25" customHeight="1" x14ac:dyDescent="0.2">
      <c r="A1616" s="57" t="s">
        <v>30</v>
      </c>
      <c r="B1616" s="57" t="s">
        <v>22</v>
      </c>
      <c r="C1616" s="57" t="s">
        <v>39</v>
      </c>
      <c r="D1616" s="57" t="s">
        <v>24</v>
      </c>
      <c r="E1616" s="57" t="s">
        <v>24</v>
      </c>
      <c r="F1616" s="57" t="s">
        <v>25</v>
      </c>
      <c r="G1616" s="57" t="s">
        <v>25</v>
      </c>
      <c r="H1616" s="57" t="s">
        <v>40</v>
      </c>
      <c r="I1616" s="82">
        <v>44440</v>
      </c>
      <c r="J1616" s="83">
        <f>EFEITO!$J$1616*EFEITO!$Y$1616</f>
        <v>0</v>
      </c>
      <c r="K1616" s="83">
        <f ca="1">EFEITO!$L$1616*EFEITO!$Z$1616</f>
        <v>104.79473578605395</v>
      </c>
      <c r="L1616" s="83">
        <f>EFEITO!$N$1616*EFEITO!$AA$1616</f>
        <v>39.891353360100119</v>
      </c>
      <c r="M1616" s="83">
        <f>$J$1616-EFEITO!$K$1616*EFEITO!$Y$1616</f>
        <v>0</v>
      </c>
      <c r="N1616" s="83">
        <f ca="1">$K$1616-EFEITO!$M$1616*EFEITO!$Z$1616</f>
        <v>0</v>
      </c>
      <c r="O1616" s="83">
        <f>$L$1616-EFEITO!$O$1616*EFEITO!$AA$1616</f>
        <v>0</v>
      </c>
      <c r="P1616" s="61"/>
      <c r="Q1616" s="61"/>
      <c r="R1616" s="61"/>
      <c r="S1616" s="61"/>
      <c r="T1616" s="61"/>
      <c r="U1616" s="61"/>
      <c r="V1616" s="61"/>
      <c r="W1616" s="61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</row>
    <row r="1617" spans="1:36" ht="11.25" customHeight="1" x14ac:dyDescent="0.2">
      <c r="A1617" s="57" t="s">
        <v>59</v>
      </c>
      <c r="B1617" s="57" t="s">
        <v>22</v>
      </c>
      <c r="C1617" s="57" t="s">
        <v>39</v>
      </c>
      <c r="D1617" s="57" t="s">
        <v>24</v>
      </c>
      <c r="E1617" s="57" t="s">
        <v>24</v>
      </c>
      <c r="F1617" s="57" t="s">
        <v>25</v>
      </c>
      <c r="G1617" s="57" t="s">
        <v>25</v>
      </c>
      <c r="H1617" s="57" t="s">
        <v>40</v>
      </c>
      <c r="I1617" s="82">
        <v>44470</v>
      </c>
      <c r="J1617" s="83">
        <f>EFEITO!$J$1617*EFEITO!$Y$1617</f>
        <v>0</v>
      </c>
      <c r="K1617" s="83">
        <f ca="1">EFEITO!$L$1617*EFEITO!$Z$1617</f>
        <v>1819.4149872642558</v>
      </c>
      <c r="L1617" s="83">
        <f>EFEITO!$N$1617*EFEITO!$AA$1617</f>
        <v>692.58179450727016</v>
      </c>
      <c r="M1617" s="83">
        <f>$J$1617-EFEITO!$K$1617*EFEITO!$Y$1617</f>
        <v>0</v>
      </c>
      <c r="N1617" s="83">
        <f ca="1">$K$1617-EFEITO!$M$1617*EFEITO!$Z$1617</f>
        <v>0</v>
      </c>
      <c r="O1617" s="83">
        <f>$L$1617-EFEITO!$O$1617*EFEITO!$AA$1617</f>
        <v>0</v>
      </c>
      <c r="P1617" s="61"/>
      <c r="Q1617" s="61"/>
      <c r="R1617" s="61"/>
      <c r="S1617" s="61"/>
      <c r="T1617" s="61"/>
      <c r="U1617" s="61"/>
      <c r="V1617" s="61"/>
      <c r="W1617" s="61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</row>
    <row r="1618" spans="1:36" ht="11.25" customHeight="1" x14ac:dyDescent="0.2">
      <c r="A1618" s="57" t="s">
        <v>59</v>
      </c>
      <c r="B1618" s="57" t="s">
        <v>22</v>
      </c>
      <c r="C1618" s="57" t="s">
        <v>39</v>
      </c>
      <c r="D1618" s="57" t="s">
        <v>24</v>
      </c>
      <c r="E1618" s="57" t="s">
        <v>24</v>
      </c>
      <c r="F1618" s="57" t="s">
        <v>25</v>
      </c>
      <c r="G1618" s="57" t="s">
        <v>25</v>
      </c>
      <c r="H1618" s="57" t="s">
        <v>40</v>
      </c>
      <c r="I1618" s="82">
        <v>44470</v>
      </c>
      <c r="J1618" s="83">
        <f>EFEITO!$J$1618*EFEITO!$Y$1618</f>
        <v>0</v>
      </c>
      <c r="K1618" s="83">
        <f ca="1">EFEITO!$L$1618*EFEITO!$Z$1618</f>
        <v>23.039977371401932</v>
      </c>
      <c r="L1618" s="83">
        <f>EFEITO!$N$1618*EFEITO!$AA$1618</f>
        <v>8.7704393912276863</v>
      </c>
      <c r="M1618" s="83">
        <f>$J$1618-EFEITO!$K$1618*EFEITO!$Y$1618</f>
        <v>0</v>
      </c>
      <c r="N1618" s="83">
        <f ca="1">$K$1618-EFEITO!$M$1618*EFEITO!$Z$1618</f>
        <v>0</v>
      </c>
      <c r="O1618" s="83">
        <f>$L$1618-EFEITO!$O$1618*EFEITO!$AA$1618</f>
        <v>0</v>
      </c>
      <c r="P1618" s="61"/>
      <c r="Q1618" s="61"/>
      <c r="R1618" s="61"/>
      <c r="S1618" s="61"/>
      <c r="T1618" s="61"/>
      <c r="U1618" s="61"/>
      <c r="V1618" s="61"/>
      <c r="W1618" s="61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</row>
    <row r="1619" spans="1:36" ht="11.25" customHeight="1" x14ac:dyDescent="0.2">
      <c r="A1619" s="57" t="s">
        <v>59</v>
      </c>
      <c r="B1619" s="57" t="s">
        <v>22</v>
      </c>
      <c r="C1619" s="57" t="s">
        <v>39</v>
      </c>
      <c r="D1619" s="57" t="s">
        <v>24</v>
      </c>
      <c r="E1619" s="57" t="s">
        <v>24</v>
      </c>
      <c r="F1619" s="57" t="s">
        <v>25</v>
      </c>
      <c r="G1619" s="57" t="s">
        <v>25</v>
      </c>
      <c r="H1619" s="57" t="s">
        <v>40</v>
      </c>
      <c r="I1619" s="82">
        <v>44470</v>
      </c>
      <c r="J1619" s="83">
        <f>EFEITO!$J$1619*EFEITO!$Y$1619</f>
        <v>0</v>
      </c>
      <c r="K1619" s="83">
        <f ca="1">EFEITO!$L$1619*EFEITO!$Z$1619</f>
        <v>134.5237388459274</v>
      </c>
      <c r="L1619" s="83">
        <f>EFEITO!$N$1619*EFEITO!$AA$1619</f>
        <v>51.208049348781003</v>
      </c>
      <c r="M1619" s="83">
        <f>$J$1619-EFEITO!$K$1619*EFEITO!$Y$1619</f>
        <v>0</v>
      </c>
      <c r="N1619" s="83">
        <f ca="1">$K$1619-EFEITO!$M$1619*EFEITO!$Z$1619</f>
        <v>0</v>
      </c>
      <c r="O1619" s="83">
        <f>$L$1619-EFEITO!$O$1619*EFEITO!$AA$1619</f>
        <v>0</v>
      </c>
      <c r="P1619" s="61"/>
      <c r="Q1619" s="61"/>
      <c r="R1619" s="61"/>
      <c r="S1619" s="61"/>
      <c r="T1619" s="61"/>
      <c r="U1619" s="61"/>
      <c r="V1619" s="61"/>
      <c r="W1619" s="61"/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</row>
    <row r="1620" spans="1:36" ht="11.25" customHeight="1" x14ac:dyDescent="0.2">
      <c r="A1620" s="57" t="s">
        <v>59</v>
      </c>
      <c r="B1620" s="57" t="s">
        <v>22</v>
      </c>
      <c r="C1620" s="57" t="s">
        <v>39</v>
      </c>
      <c r="D1620" s="57" t="s">
        <v>24</v>
      </c>
      <c r="E1620" s="57" t="s">
        <v>24</v>
      </c>
      <c r="F1620" s="57" t="s">
        <v>25</v>
      </c>
      <c r="G1620" s="57" t="s">
        <v>25</v>
      </c>
      <c r="H1620" s="57" t="s">
        <v>40</v>
      </c>
      <c r="I1620" s="82">
        <v>44470</v>
      </c>
      <c r="J1620" s="83">
        <f>EFEITO!$J$1620*EFEITO!$Y$1620</f>
        <v>0</v>
      </c>
      <c r="K1620" s="83">
        <f ca="1">EFEITO!$L$1620*EFEITO!$Z$1620</f>
        <v>104.79473578605395</v>
      </c>
      <c r="L1620" s="83">
        <f>EFEITO!$N$1620*EFEITO!$AA$1620</f>
        <v>39.891353360100119</v>
      </c>
      <c r="M1620" s="83">
        <f>$J$1620-EFEITO!$K$1620*EFEITO!$Y$1620</f>
        <v>0</v>
      </c>
      <c r="N1620" s="83">
        <f ca="1">$K$1620-EFEITO!$M$1620*EFEITO!$Z$1620</f>
        <v>0</v>
      </c>
      <c r="O1620" s="83">
        <f>$L$1620-EFEITO!$O$1620*EFEITO!$AA$1620</f>
        <v>0</v>
      </c>
      <c r="P1620" s="61"/>
      <c r="Q1620" s="61"/>
      <c r="R1620" s="61"/>
      <c r="S1620" s="61"/>
      <c r="T1620" s="61"/>
      <c r="U1620" s="61"/>
      <c r="V1620" s="61"/>
      <c r="W1620" s="61"/>
      <c r="X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</row>
    <row r="1621" spans="1:36" ht="11.25" customHeight="1" x14ac:dyDescent="0.2">
      <c r="A1621" s="57" t="s">
        <v>21</v>
      </c>
      <c r="B1621" s="57" t="s">
        <v>22</v>
      </c>
      <c r="C1621" s="57" t="s">
        <v>39</v>
      </c>
      <c r="D1621" s="57" t="s">
        <v>24</v>
      </c>
      <c r="E1621" s="57" t="s">
        <v>24</v>
      </c>
      <c r="F1621" s="57" t="s">
        <v>25</v>
      </c>
      <c r="G1621" s="57" t="s">
        <v>25</v>
      </c>
      <c r="H1621" s="57" t="s">
        <v>37</v>
      </c>
      <c r="I1621" s="82">
        <v>44136</v>
      </c>
      <c r="J1621" s="83">
        <f>EFEITO!$J$1621*EFEITO!$Y$1621</f>
        <v>0</v>
      </c>
      <c r="K1621" s="83">
        <f ca="1">EFEITO!$L$1621*EFEITO!$Z$1621</f>
        <v>10991.623602103688</v>
      </c>
      <c r="L1621" s="83">
        <f>EFEITO!$N$1621*EFEITO!$AA$1621</f>
        <v>4604.6200359543809</v>
      </c>
      <c r="M1621" s="83">
        <f>$J$1621-EFEITO!$K$1621*EFEITO!$Y$1621</f>
        <v>0</v>
      </c>
      <c r="N1621" s="83">
        <f ca="1">$K$1621-EFEITO!$M$1621*EFEITO!$Z$1621</f>
        <v>0</v>
      </c>
      <c r="O1621" s="83">
        <f>$L$1621-EFEITO!$O$1621*EFEITO!$AA$1621</f>
        <v>0</v>
      </c>
      <c r="P1621" s="61"/>
      <c r="Q1621" s="61"/>
      <c r="R1621" s="61"/>
      <c r="S1621" s="61"/>
      <c r="T1621" s="61"/>
      <c r="U1621" s="61"/>
      <c r="V1621" s="61"/>
      <c r="W1621" s="61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</row>
    <row r="1622" spans="1:36" ht="11.25" customHeight="1" x14ac:dyDescent="0.2">
      <c r="A1622" s="57" t="s">
        <v>27</v>
      </c>
      <c r="B1622" s="57" t="s">
        <v>22</v>
      </c>
      <c r="C1622" s="57" t="s">
        <v>39</v>
      </c>
      <c r="D1622" s="57" t="s">
        <v>24</v>
      </c>
      <c r="E1622" s="57" t="s">
        <v>24</v>
      </c>
      <c r="F1622" s="57" t="s">
        <v>25</v>
      </c>
      <c r="G1622" s="57" t="s">
        <v>25</v>
      </c>
      <c r="H1622" s="57" t="s">
        <v>37</v>
      </c>
      <c r="I1622" s="82">
        <v>44136</v>
      </c>
      <c r="J1622" s="83">
        <f>EFEITO!$J$1622*EFEITO!$Y$1622</f>
        <v>0</v>
      </c>
      <c r="K1622" s="83">
        <f ca="1">EFEITO!$L$1622*EFEITO!$Z$1622</f>
        <v>-13079.327147643855</v>
      </c>
      <c r="L1622" s="83">
        <f>EFEITO!$N$1622*EFEITO!$AA$1622</f>
        <v>-5479.2025292165599</v>
      </c>
      <c r="M1622" s="83">
        <f>$J$1622-EFEITO!$K$1622*EFEITO!$Y$1622</f>
        <v>0</v>
      </c>
      <c r="N1622" s="83">
        <f ca="1">$K$1622-EFEITO!$M$1622*EFEITO!$Z$1622</f>
        <v>0</v>
      </c>
      <c r="O1622" s="83">
        <f>$L$1622-EFEITO!$O$1622*EFEITO!$AA$1622</f>
        <v>0</v>
      </c>
      <c r="P1622" s="61"/>
      <c r="Q1622" s="61"/>
      <c r="R1622" s="61"/>
      <c r="S1622" s="61"/>
      <c r="T1622" s="61"/>
      <c r="U1622" s="61"/>
      <c r="V1622" s="61"/>
      <c r="W1622" s="61"/>
      <c r="X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</row>
    <row r="1623" spans="1:36" ht="11.25" customHeight="1" x14ac:dyDescent="0.2">
      <c r="A1623" s="57" t="s">
        <v>28</v>
      </c>
      <c r="B1623" s="57" t="s">
        <v>22</v>
      </c>
      <c r="C1623" s="57" t="s">
        <v>39</v>
      </c>
      <c r="D1623" s="57" t="s">
        <v>24</v>
      </c>
      <c r="E1623" s="57" t="s">
        <v>24</v>
      </c>
      <c r="F1623" s="57" t="s">
        <v>25</v>
      </c>
      <c r="G1623" s="57" t="s">
        <v>25</v>
      </c>
      <c r="H1623" s="57" t="s">
        <v>37</v>
      </c>
      <c r="I1623" s="82">
        <v>44136</v>
      </c>
      <c r="J1623" s="83">
        <f>EFEITO!$J$1623*EFEITO!$Y$1623</f>
        <v>0</v>
      </c>
      <c r="K1623" s="83">
        <f ca="1">EFEITO!$L$1623*EFEITO!$Z$1623</f>
        <v>203.89000860340337</v>
      </c>
      <c r="L1623" s="83">
        <f>EFEITO!$N$1623*EFEITO!$AA$1623</f>
        <v>85.413770770540069</v>
      </c>
      <c r="M1623" s="83">
        <f>$J$1623-EFEITO!$K$1623*EFEITO!$Y$1623</f>
        <v>0</v>
      </c>
      <c r="N1623" s="83">
        <f ca="1">$K$1623-EFEITO!$M$1623*EFEITO!$Z$1623</f>
        <v>0</v>
      </c>
      <c r="O1623" s="83">
        <f>$L$1623-EFEITO!$O$1623*EFEITO!$AA$1623</f>
        <v>0</v>
      </c>
      <c r="P1623" s="61"/>
      <c r="Q1623" s="61"/>
      <c r="R1623" s="61"/>
      <c r="S1623" s="61"/>
      <c r="T1623" s="61"/>
      <c r="U1623" s="61"/>
      <c r="V1623" s="61"/>
      <c r="W1623" s="61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</row>
    <row r="1624" spans="1:36" ht="11.25" customHeight="1" x14ac:dyDescent="0.2">
      <c r="A1624" s="57" t="s">
        <v>30</v>
      </c>
      <c r="B1624" s="57" t="s">
        <v>22</v>
      </c>
      <c r="C1624" s="57" t="s">
        <v>39</v>
      </c>
      <c r="D1624" s="57" t="s">
        <v>24</v>
      </c>
      <c r="E1624" s="57" t="s">
        <v>24</v>
      </c>
      <c r="F1624" s="57" t="s">
        <v>25</v>
      </c>
      <c r="G1624" s="57" t="s">
        <v>25</v>
      </c>
      <c r="H1624" s="57" t="s">
        <v>37</v>
      </c>
      <c r="I1624" s="82">
        <v>44136</v>
      </c>
      <c r="J1624" s="83">
        <f>EFEITO!$J$1624*EFEITO!$Y$1624</f>
        <v>0</v>
      </c>
      <c r="K1624" s="83">
        <f ca="1">EFEITO!$L$1624*EFEITO!$Z$1624</f>
        <v>86.761705788682292</v>
      </c>
      <c r="L1624" s="83">
        <f>EFEITO!$N$1624*EFEITO!$AA$1624</f>
        <v>36.346285434272367</v>
      </c>
      <c r="M1624" s="83">
        <f>$J$1624-EFEITO!$K$1624*EFEITO!$Y$1624</f>
        <v>0</v>
      </c>
      <c r="N1624" s="83">
        <f ca="1">$K$1624-EFEITO!$M$1624*EFEITO!$Z$1624</f>
        <v>0</v>
      </c>
      <c r="O1624" s="83">
        <f>$L$1624-EFEITO!$O$1624*EFEITO!$AA$1624</f>
        <v>0</v>
      </c>
      <c r="P1624" s="61"/>
      <c r="Q1624" s="61"/>
      <c r="R1624" s="61"/>
      <c r="S1624" s="61"/>
      <c r="T1624" s="61"/>
      <c r="U1624" s="61"/>
      <c r="V1624" s="61"/>
      <c r="W1624" s="61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</row>
    <row r="1625" spans="1:36" ht="11.25" customHeight="1" x14ac:dyDescent="0.2">
      <c r="A1625" s="57" t="s">
        <v>21</v>
      </c>
      <c r="B1625" s="57" t="s">
        <v>22</v>
      </c>
      <c r="C1625" s="57" t="s">
        <v>39</v>
      </c>
      <c r="D1625" s="57" t="s">
        <v>24</v>
      </c>
      <c r="E1625" s="57" t="s">
        <v>24</v>
      </c>
      <c r="F1625" s="57" t="s">
        <v>25</v>
      </c>
      <c r="G1625" s="57" t="s">
        <v>25</v>
      </c>
      <c r="H1625" s="57" t="s">
        <v>37</v>
      </c>
      <c r="I1625" s="82">
        <v>44166</v>
      </c>
      <c r="J1625" s="83">
        <f>EFEITO!$J$1625*EFEITO!$Y$1625</f>
        <v>0</v>
      </c>
      <c r="K1625" s="83">
        <f ca="1">EFEITO!$L$1625*EFEITO!$Z$1625</f>
        <v>3572.4132358489933</v>
      </c>
      <c r="L1625" s="83">
        <f>EFEITO!$N$1625*EFEITO!$AA$1625</f>
        <v>1496.5583027561647</v>
      </c>
      <c r="M1625" s="83">
        <f>$J$1625-EFEITO!$K$1625*EFEITO!$Y$1625</f>
        <v>0</v>
      </c>
      <c r="N1625" s="83">
        <f ca="1">$K$1625-EFEITO!$M$1625*EFEITO!$Z$1625</f>
        <v>0</v>
      </c>
      <c r="O1625" s="83">
        <f>$L$1625-EFEITO!$O$1625*EFEITO!$AA$1625</f>
        <v>0</v>
      </c>
      <c r="P1625" s="61"/>
      <c r="Q1625" s="61"/>
      <c r="R1625" s="61"/>
      <c r="S1625" s="61"/>
      <c r="T1625" s="61"/>
      <c r="U1625" s="61"/>
      <c r="V1625" s="61"/>
      <c r="W1625" s="61"/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</row>
    <row r="1626" spans="1:36" ht="11.25" customHeight="1" x14ac:dyDescent="0.2">
      <c r="A1626" s="57" t="s">
        <v>27</v>
      </c>
      <c r="B1626" s="57" t="s">
        <v>22</v>
      </c>
      <c r="C1626" s="57" t="s">
        <v>39</v>
      </c>
      <c r="D1626" s="57" t="s">
        <v>24</v>
      </c>
      <c r="E1626" s="57" t="s">
        <v>24</v>
      </c>
      <c r="F1626" s="57" t="s">
        <v>25</v>
      </c>
      <c r="G1626" s="57" t="s">
        <v>25</v>
      </c>
      <c r="H1626" s="57" t="s">
        <v>37</v>
      </c>
      <c r="I1626" s="82">
        <v>44166</v>
      </c>
      <c r="J1626" s="83">
        <f>EFEITO!$J$1626*EFEITO!$Y$1626</f>
        <v>0</v>
      </c>
      <c r="K1626" s="83">
        <f ca="1">EFEITO!$L$1626*EFEITO!$Z$1626</f>
        <v>-7387.7592479062969</v>
      </c>
      <c r="L1626" s="83">
        <f>EFEITO!$N$1626*EFEITO!$AA$1626</f>
        <v>-3094.8862047282923</v>
      </c>
      <c r="M1626" s="83">
        <f>$J$1626-EFEITO!$K$1626*EFEITO!$Y$1626</f>
        <v>0</v>
      </c>
      <c r="N1626" s="83">
        <f ca="1">$K$1626-EFEITO!$M$1626*EFEITO!$Z$1626</f>
        <v>0</v>
      </c>
      <c r="O1626" s="83">
        <f>$L$1626-EFEITO!$O$1626*EFEITO!$AA$1626</f>
        <v>0</v>
      </c>
      <c r="P1626" s="61"/>
      <c r="Q1626" s="61"/>
      <c r="R1626" s="61"/>
      <c r="S1626" s="61"/>
      <c r="T1626" s="61"/>
      <c r="U1626" s="61"/>
      <c r="V1626" s="61"/>
      <c r="W1626" s="61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</row>
    <row r="1627" spans="1:36" ht="11.25" customHeight="1" x14ac:dyDescent="0.2">
      <c r="A1627" s="57" t="s">
        <v>28</v>
      </c>
      <c r="B1627" s="57" t="s">
        <v>22</v>
      </c>
      <c r="C1627" s="57" t="s">
        <v>39</v>
      </c>
      <c r="D1627" s="57" t="s">
        <v>24</v>
      </c>
      <c r="E1627" s="57" t="s">
        <v>24</v>
      </c>
      <c r="F1627" s="57" t="s">
        <v>25</v>
      </c>
      <c r="G1627" s="57" t="s">
        <v>25</v>
      </c>
      <c r="H1627" s="57" t="s">
        <v>37</v>
      </c>
      <c r="I1627" s="82">
        <v>44166</v>
      </c>
      <c r="J1627" s="83">
        <f>EFEITO!$J$1627*EFEITO!$Y$1627</f>
        <v>0</v>
      </c>
      <c r="K1627" s="83">
        <f ca="1">EFEITO!$L$1627*EFEITO!$Z$1627</f>
        <v>136.64968661717461</v>
      </c>
      <c r="L1627" s="83">
        <f>EFEITO!$N$1627*EFEITO!$AA$1627</f>
        <v>57.245399558978981</v>
      </c>
      <c r="M1627" s="83">
        <f>$J$1627-EFEITO!$K$1627*EFEITO!$Y$1627</f>
        <v>0</v>
      </c>
      <c r="N1627" s="83">
        <f ca="1">$K$1627-EFEITO!$M$1627*EFEITO!$Z$1627</f>
        <v>0</v>
      </c>
      <c r="O1627" s="83">
        <f>$L$1627-EFEITO!$O$1627*EFEITO!$AA$1627</f>
        <v>0</v>
      </c>
      <c r="P1627" s="61"/>
      <c r="Q1627" s="61"/>
      <c r="R1627" s="61"/>
      <c r="S1627" s="61"/>
      <c r="T1627" s="61"/>
      <c r="U1627" s="61"/>
      <c r="V1627" s="61"/>
      <c r="W1627" s="61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</row>
    <row r="1628" spans="1:36" ht="11.25" customHeight="1" x14ac:dyDescent="0.2">
      <c r="A1628" s="57" t="s">
        <v>30</v>
      </c>
      <c r="B1628" s="57" t="s">
        <v>22</v>
      </c>
      <c r="C1628" s="57" t="s">
        <v>39</v>
      </c>
      <c r="D1628" s="57" t="s">
        <v>24</v>
      </c>
      <c r="E1628" s="57" t="s">
        <v>24</v>
      </c>
      <c r="F1628" s="57" t="s">
        <v>25</v>
      </c>
      <c r="G1628" s="57" t="s">
        <v>25</v>
      </c>
      <c r="H1628" s="57" t="s">
        <v>37</v>
      </c>
      <c r="I1628" s="82">
        <v>44166</v>
      </c>
      <c r="J1628" s="83">
        <f>EFEITO!$J$1628*EFEITO!$Y$1628</f>
        <v>0</v>
      </c>
      <c r="K1628" s="83">
        <f ca="1">EFEITO!$L$1628*EFEITO!$Z$1628</f>
        <v>93.268833722833449</v>
      </c>
      <c r="L1628" s="83">
        <f>EFEITO!$N$1628*EFEITO!$AA$1628</f>
        <v>39.072256841842794</v>
      </c>
      <c r="M1628" s="83">
        <f>$J$1628-EFEITO!$K$1628*EFEITO!$Y$1628</f>
        <v>0</v>
      </c>
      <c r="N1628" s="83">
        <f ca="1">$K$1628-EFEITO!$M$1628*EFEITO!$Z$1628</f>
        <v>0</v>
      </c>
      <c r="O1628" s="83">
        <f>$L$1628-EFEITO!$O$1628*EFEITO!$AA$1628</f>
        <v>0</v>
      </c>
      <c r="P1628" s="61"/>
      <c r="Q1628" s="61"/>
      <c r="R1628" s="61"/>
      <c r="S1628" s="61"/>
      <c r="T1628" s="61"/>
      <c r="U1628" s="61"/>
      <c r="V1628" s="61"/>
      <c r="W1628" s="61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</row>
    <row r="1629" spans="1:36" ht="11.25" customHeight="1" x14ac:dyDescent="0.2">
      <c r="A1629" s="57" t="s">
        <v>21</v>
      </c>
      <c r="B1629" s="57" t="s">
        <v>22</v>
      </c>
      <c r="C1629" s="57" t="s">
        <v>39</v>
      </c>
      <c r="D1629" s="57" t="s">
        <v>24</v>
      </c>
      <c r="E1629" s="57" t="s">
        <v>24</v>
      </c>
      <c r="F1629" s="57" t="s">
        <v>25</v>
      </c>
      <c r="G1629" s="57" t="s">
        <v>25</v>
      </c>
      <c r="H1629" s="57" t="s">
        <v>37</v>
      </c>
      <c r="I1629" s="82">
        <v>44197</v>
      </c>
      <c r="J1629" s="83">
        <f>EFEITO!$J$1629*EFEITO!$Y$1629</f>
        <v>0</v>
      </c>
      <c r="K1629" s="83">
        <f ca="1">EFEITO!$L$1629*EFEITO!$Z$1629</f>
        <v>3728.5843062686213</v>
      </c>
      <c r="L1629" s="83">
        <f>EFEITO!$N$1629*EFEITO!$AA$1629</f>
        <v>1561.9816165378552</v>
      </c>
      <c r="M1629" s="83">
        <f>$J$1629-EFEITO!$K$1629*EFEITO!$Y$1629</f>
        <v>0</v>
      </c>
      <c r="N1629" s="83">
        <f ca="1">$K$1629-EFEITO!$M$1629*EFEITO!$Z$1629</f>
        <v>0</v>
      </c>
      <c r="O1629" s="83">
        <f>$L$1629-EFEITO!$O$1629*EFEITO!$AA$1629</f>
        <v>0</v>
      </c>
      <c r="P1629" s="61"/>
      <c r="Q1629" s="61"/>
      <c r="R1629" s="61"/>
      <c r="S1629" s="61"/>
      <c r="T1629" s="61"/>
      <c r="U1629" s="61"/>
      <c r="V1629" s="61"/>
      <c r="W1629" s="61"/>
      <c r="X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</row>
    <row r="1630" spans="1:36" ht="11.25" customHeight="1" x14ac:dyDescent="0.2">
      <c r="A1630" s="57" t="s">
        <v>27</v>
      </c>
      <c r="B1630" s="57" t="s">
        <v>22</v>
      </c>
      <c r="C1630" s="57" t="s">
        <v>39</v>
      </c>
      <c r="D1630" s="57" t="s">
        <v>24</v>
      </c>
      <c r="E1630" s="57" t="s">
        <v>24</v>
      </c>
      <c r="F1630" s="57" t="s">
        <v>25</v>
      </c>
      <c r="G1630" s="57" t="s">
        <v>25</v>
      </c>
      <c r="H1630" s="57" t="s">
        <v>37</v>
      </c>
      <c r="I1630" s="82">
        <v>44197</v>
      </c>
      <c r="J1630" s="83">
        <f>EFEITO!$J$1630*EFEITO!$Y$1630</f>
        <v>0</v>
      </c>
      <c r="K1630" s="83">
        <f ca="1">EFEITO!$L$1630*EFEITO!$Z$1630</f>
        <v>-246.18634017538599</v>
      </c>
      <c r="L1630" s="83">
        <f>EFEITO!$N$1630*EFEITO!$AA$1630</f>
        <v>-103.13258491974784</v>
      </c>
      <c r="M1630" s="83">
        <f>$J$1630-EFEITO!$K$1630*EFEITO!$Y$1630</f>
        <v>0</v>
      </c>
      <c r="N1630" s="83">
        <f ca="1">$K$1630-EFEITO!$M$1630*EFEITO!$Z$1630</f>
        <v>0</v>
      </c>
      <c r="O1630" s="83">
        <f>$L$1630-EFEITO!$O$1630*EFEITO!$AA$1630</f>
        <v>0</v>
      </c>
      <c r="P1630" s="61"/>
      <c r="Q1630" s="61"/>
      <c r="R1630" s="61"/>
      <c r="S1630" s="61"/>
      <c r="T1630" s="61"/>
      <c r="U1630" s="61"/>
      <c r="V1630" s="61"/>
      <c r="W1630" s="61"/>
      <c r="X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</row>
    <row r="1631" spans="1:36" ht="11.25" customHeight="1" x14ac:dyDescent="0.2">
      <c r="A1631" s="57" t="s">
        <v>28</v>
      </c>
      <c r="B1631" s="57" t="s">
        <v>22</v>
      </c>
      <c r="C1631" s="57" t="s">
        <v>39</v>
      </c>
      <c r="D1631" s="57" t="s">
        <v>24</v>
      </c>
      <c r="E1631" s="57" t="s">
        <v>24</v>
      </c>
      <c r="F1631" s="57" t="s">
        <v>25</v>
      </c>
      <c r="G1631" s="57" t="s">
        <v>25</v>
      </c>
      <c r="H1631" s="57" t="s">
        <v>37</v>
      </c>
      <c r="I1631" s="82">
        <v>44197</v>
      </c>
      <c r="J1631" s="83">
        <f>EFEITO!$J$1631*EFEITO!$Y$1631</f>
        <v>0</v>
      </c>
      <c r="K1631" s="83">
        <f ca="1">EFEITO!$L$1631*EFEITO!$Z$1631</f>
        <v>152.91750645255252</v>
      </c>
      <c r="L1631" s="83">
        <f>EFEITO!$N$1631*EFEITO!$AA$1631</f>
        <v>64.060328077905041</v>
      </c>
      <c r="M1631" s="83">
        <f>$J$1631-EFEITO!$K$1631*EFEITO!$Y$1631</f>
        <v>0</v>
      </c>
      <c r="N1631" s="83">
        <f ca="1">$K$1631-EFEITO!$M$1631*EFEITO!$Z$1631</f>
        <v>0</v>
      </c>
      <c r="O1631" s="83">
        <f>$L$1631-EFEITO!$O$1631*EFEITO!$AA$1631</f>
        <v>0</v>
      </c>
      <c r="P1631" s="61"/>
      <c r="Q1631" s="61"/>
      <c r="R1631" s="61"/>
      <c r="S1631" s="61"/>
      <c r="T1631" s="61"/>
      <c r="U1631" s="61"/>
      <c r="V1631" s="61"/>
      <c r="W1631" s="61"/>
      <c r="X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</row>
    <row r="1632" spans="1:36" ht="11.25" customHeight="1" x14ac:dyDescent="0.2">
      <c r="A1632" s="57" t="s">
        <v>30</v>
      </c>
      <c r="B1632" s="57" t="s">
        <v>22</v>
      </c>
      <c r="C1632" s="57" t="s">
        <v>39</v>
      </c>
      <c r="D1632" s="57" t="s">
        <v>24</v>
      </c>
      <c r="E1632" s="57" t="s">
        <v>24</v>
      </c>
      <c r="F1632" s="57" t="s">
        <v>25</v>
      </c>
      <c r="G1632" s="57" t="s">
        <v>25</v>
      </c>
      <c r="H1632" s="57" t="s">
        <v>37</v>
      </c>
      <c r="I1632" s="82">
        <v>44197</v>
      </c>
      <c r="J1632" s="83">
        <f>EFEITO!$J$1632*EFEITO!$Y$1632</f>
        <v>0</v>
      </c>
      <c r="K1632" s="83">
        <f ca="1">EFEITO!$L$1632*EFEITO!$Z$1632</f>
        <v>105.19856826877728</v>
      </c>
      <c r="L1632" s="83">
        <f>EFEITO!$N$1632*EFEITO!$AA$1632</f>
        <v>44.069871089055248</v>
      </c>
      <c r="M1632" s="83">
        <f>$J$1632-EFEITO!$K$1632*EFEITO!$Y$1632</f>
        <v>0</v>
      </c>
      <c r="N1632" s="83">
        <f ca="1">$K$1632-EFEITO!$M$1632*EFEITO!$Z$1632</f>
        <v>0</v>
      </c>
      <c r="O1632" s="83">
        <f>$L$1632-EFEITO!$O$1632*EFEITO!$AA$1632</f>
        <v>0</v>
      </c>
      <c r="P1632" s="61"/>
      <c r="Q1632" s="61"/>
      <c r="R1632" s="61"/>
      <c r="S1632" s="61"/>
      <c r="T1632" s="61"/>
      <c r="U1632" s="61"/>
      <c r="V1632" s="61"/>
      <c r="W1632" s="61"/>
      <c r="X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</row>
    <row r="1633" spans="1:36" ht="11.25" customHeight="1" x14ac:dyDescent="0.2">
      <c r="A1633" s="57" t="s">
        <v>21</v>
      </c>
      <c r="B1633" s="57" t="s">
        <v>22</v>
      </c>
      <c r="C1633" s="57" t="s">
        <v>39</v>
      </c>
      <c r="D1633" s="57" t="s">
        <v>24</v>
      </c>
      <c r="E1633" s="57" t="s">
        <v>24</v>
      </c>
      <c r="F1633" s="57" t="s">
        <v>25</v>
      </c>
      <c r="G1633" s="57" t="s">
        <v>25</v>
      </c>
      <c r="H1633" s="57" t="s">
        <v>37</v>
      </c>
      <c r="I1633" s="82">
        <v>44228</v>
      </c>
      <c r="J1633" s="83">
        <f>EFEITO!$J$1633*EFEITO!$Y$1633</f>
        <v>0</v>
      </c>
      <c r="K1633" s="83">
        <f ca="1">EFEITO!$L$1633*EFEITO!$Z$1633</f>
        <v>3523.6097763428593</v>
      </c>
      <c r="L1633" s="83">
        <f>EFEITO!$N$1633*EFEITO!$AA$1633</f>
        <v>1476.1135171993865</v>
      </c>
      <c r="M1633" s="83">
        <f>$J$1633-EFEITO!$K$1633*EFEITO!$Y$1633</f>
        <v>0</v>
      </c>
      <c r="N1633" s="83">
        <f ca="1">$K$1633-EFEITO!$M$1633*EFEITO!$Z$1633</f>
        <v>0</v>
      </c>
      <c r="O1633" s="83">
        <f>$L$1633-EFEITO!$O$1633*EFEITO!$AA$1633</f>
        <v>0</v>
      </c>
      <c r="P1633" s="61"/>
      <c r="Q1633" s="61"/>
      <c r="R1633" s="61"/>
      <c r="S1633" s="61"/>
      <c r="T1633" s="61"/>
      <c r="U1633" s="61"/>
      <c r="V1633" s="61"/>
      <c r="W1633" s="61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</row>
    <row r="1634" spans="1:36" ht="11.25" customHeight="1" x14ac:dyDescent="0.2">
      <c r="A1634" s="57" t="s">
        <v>27</v>
      </c>
      <c r="B1634" s="57" t="s">
        <v>22</v>
      </c>
      <c r="C1634" s="57" t="s">
        <v>39</v>
      </c>
      <c r="D1634" s="57" t="s">
        <v>24</v>
      </c>
      <c r="E1634" s="57" t="s">
        <v>24</v>
      </c>
      <c r="F1634" s="57" t="s">
        <v>25</v>
      </c>
      <c r="G1634" s="57" t="s">
        <v>25</v>
      </c>
      <c r="H1634" s="57" t="s">
        <v>37</v>
      </c>
      <c r="I1634" s="82">
        <v>44228</v>
      </c>
      <c r="J1634" s="83">
        <f>EFEITO!$J$1634*EFEITO!$Y$1634</f>
        <v>0</v>
      </c>
      <c r="K1634" s="83">
        <f ca="1">EFEITO!$L$1634*EFEITO!$Z$1634</f>
        <v>-357.89203637831446</v>
      </c>
      <c r="L1634" s="83">
        <f>EFEITO!$N$1634*EFEITO!$AA$1634</f>
        <v>-149.92842741637352</v>
      </c>
      <c r="M1634" s="83">
        <f>$J$1634-EFEITO!$K$1634*EFEITO!$Y$1634</f>
        <v>0</v>
      </c>
      <c r="N1634" s="83">
        <f ca="1">$K$1634-EFEITO!$M$1634*EFEITO!$Z$1634</f>
        <v>0</v>
      </c>
      <c r="O1634" s="83">
        <f>$L$1634-EFEITO!$O$1634*EFEITO!$AA$1634</f>
        <v>0</v>
      </c>
      <c r="P1634" s="61"/>
      <c r="Q1634" s="61"/>
      <c r="R1634" s="61"/>
      <c r="S1634" s="61"/>
      <c r="T1634" s="61"/>
      <c r="U1634" s="61"/>
      <c r="V1634" s="61"/>
      <c r="W1634" s="61"/>
      <c r="X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</row>
    <row r="1635" spans="1:36" ht="11.25" customHeight="1" x14ac:dyDescent="0.2">
      <c r="A1635" s="57" t="s">
        <v>28</v>
      </c>
      <c r="B1635" s="57" t="s">
        <v>22</v>
      </c>
      <c r="C1635" s="57" t="s">
        <v>39</v>
      </c>
      <c r="D1635" s="57" t="s">
        <v>24</v>
      </c>
      <c r="E1635" s="57" t="s">
        <v>24</v>
      </c>
      <c r="F1635" s="57" t="s">
        <v>25</v>
      </c>
      <c r="G1635" s="57" t="s">
        <v>25</v>
      </c>
      <c r="H1635" s="57" t="s">
        <v>37</v>
      </c>
      <c r="I1635" s="82">
        <v>44228</v>
      </c>
      <c r="J1635" s="83">
        <f>EFEITO!$J$1635*EFEITO!$Y$1635</f>
        <v>0</v>
      </c>
      <c r="K1635" s="83">
        <f ca="1">EFEITO!$L$1635*EFEITO!$Z$1635</f>
        <v>106.28308959113581</v>
      </c>
      <c r="L1635" s="83">
        <f>EFEITO!$N$1635*EFEITO!$AA$1635</f>
        <v>44.524199656983654</v>
      </c>
      <c r="M1635" s="83">
        <f>$J$1635-EFEITO!$K$1635*EFEITO!$Y$1635</f>
        <v>0</v>
      </c>
      <c r="N1635" s="83">
        <f ca="1">$K$1635-EFEITO!$M$1635*EFEITO!$Z$1635</f>
        <v>0</v>
      </c>
      <c r="O1635" s="83">
        <f>$L$1635-EFEITO!$O$1635*EFEITO!$AA$1635</f>
        <v>0</v>
      </c>
      <c r="P1635" s="61"/>
      <c r="Q1635" s="61"/>
      <c r="R1635" s="61"/>
      <c r="S1635" s="61"/>
      <c r="T1635" s="61"/>
      <c r="U1635" s="61"/>
      <c r="V1635" s="61"/>
      <c r="W1635" s="61"/>
      <c r="X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</row>
    <row r="1636" spans="1:36" ht="11.25" customHeight="1" x14ac:dyDescent="0.2">
      <c r="A1636" s="57" t="s">
        <v>30</v>
      </c>
      <c r="B1636" s="57" t="s">
        <v>22</v>
      </c>
      <c r="C1636" s="57" t="s">
        <v>39</v>
      </c>
      <c r="D1636" s="57" t="s">
        <v>24</v>
      </c>
      <c r="E1636" s="57" t="s">
        <v>24</v>
      </c>
      <c r="F1636" s="57" t="s">
        <v>25</v>
      </c>
      <c r="G1636" s="57" t="s">
        <v>25</v>
      </c>
      <c r="H1636" s="57" t="s">
        <v>37</v>
      </c>
      <c r="I1636" s="82">
        <v>44228</v>
      </c>
      <c r="J1636" s="83">
        <f>EFEITO!$J$1636*EFEITO!$Y$1636</f>
        <v>0</v>
      </c>
      <c r="K1636" s="83">
        <f ca="1">EFEITO!$L$1636*EFEITO!$Z$1636</f>
        <v>82.423620499248173</v>
      </c>
      <c r="L1636" s="83">
        <f>EFEITO!$N$1636*EFEITO!$AA$1636</f>
        <v>34.528971162558747</v>
      </c>
      <c r="M1636" s="83">
        <f>$J$1636-EFEITO!$K$1636*EFEITO!$Y$1636</f>
        <v>0</v>
      </c>
      <c r="N1636" s="83">
        <f ca="1">$K$1636-EFEITO!$M$1636*EFEITO!$Z$1636</f>
        <v>0</v>
      </c>
      <c r="O1636" s="83">
        <f>$L$1636-EFEITO!$O$1636*EFEITO!$AA$1636</f>
        <v>0</v>
      </c>
      <c r="P1636" s="61"/>
      <c r="Q1636" s="61"/>
      <c r="R1636" s="61"/>
      <c r="S1636" s="61"/>
      <c r="T1636" s="61"/>
      <c r="U1636" s="61"/>
      <c r="V1636" s="61"/>
      <c r="W1636" s="61"/>
      <c r="X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</row>
    <row r="1637" spans="1:36" ht="11.25" customHeight="1" x14ac:dyDescent="0.2">
      <c r="A1637" s="57" t="s">
        <v>21</v>
      </c>
      <c r="B1637" s="57" t="s">
        <v>22</v>
      </c>
      <c r="C1637" s="57" t="s">
        <v>39</v>
      </c>
      <c r="D1637" s="57" t="s">
        <v>24</v>
      </c>
      <c r="E1637" s="57" t="s">
        <v>24</v>
      </c>
      <c r="F1637" s="57" t="s">
        <v>25</v>
      </c>
      <c r="G1637" s="57" t="s">
        <v>25</v>
      </c>
      <c r="H1637" s="57" t="s">
        <v>37</v>
      </c>
      <c r="I1637" s="82">
        <v>44256</v>
      </c>
      <c r="J1637" s="83">
        <f>EFEITO!$J$1637*EFEITO!$Y$1637</f>
        <v>0</v>
      </c>
      <c r="K1637" s="83">
        <f ca="1">EFEITO!$L$1637*EFEITO!$Z$1637</f>
        <v>3505.1729138627643</v>
      </c>
      <c r="L1637" s="83">
        <f>EFEITO!$N$1637*EFEITO!$AA$1637</f>
        <v>1468.3899315446038</v>
      </c>
      <c r="M1637" s="83">
        <f>$J$1637-EFEITO!$K$1637*EFEITO!$Y$1637</f>
        <v>0</v>
      </c>
      <c r="N1637" s="83">
        <f ca="1">$K$1637-EFEITO!$M$1637*EFEITO!$Z$1637</f>
        <v>0</v>
      </c>
      <c r="O1637" s="83">
        <f>$L$1637-EFEITO!$O$1637*EFEITO!$AA$1637</f>
        <v>0</v>
      </c>
      <c r="P1637" s="61"/>
      <c r="Q1637" s="61"/>
      <c r="R1637" s="61"/>
      <c r="S1637" s="61"/>
      <c r="T1637" s="61"/>
      <c r="U1637" s="61"/>
      <c r="V1637" s="61"/>
      <c r="W1637" s="61"/>
      <c r="X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</row>
    <row r="1638" spans="1:36" ht="11.25" customHeight="1" x14ac:dyDescent="0.2">
      <c r="A1638" s="57" t="s">
        <v>28</v>
      </c>
      <c r="B1638" s="57" t="s">
        <v>22</v>
      </c>
      <c r="C1638" s="57" t="s">
        <v>39</v>
      </c>
      <c r="D1638" s="57" t="s">
        <v>24</v>
      </c>
      <c r="E1638" s="57" t="s">
        <v>24</v>
      </c>
      <c r="F1638" s="57" t="s">
        <v>25</v>
      </c>
      <c r="G1638" s="57" t="s">
        <v>25</v>
      </c>
      <c r="H1638" s="57" t="s">
        <v>37</v>
      </c>
      <c r="I1638" s="82">
        <v>44256</v>
      </c>
      <c r="J1638" s="83">
        <f>EFEITO!$J$1638*EFEITO!$Y$1638</f>
        <v>0</v>
      </c>
      <c r="K1638" s="83">
        <f ca="1">EFEITO!$L$1638*EFEITO!$Z$1638</f>
        <v>200.63644463632778</v>
      </c>
      <c r="L1638" s="83">
        <f>EFEITO!$N$1638*EFEITO!$AA$1638</f>
        <v>84.050785066754855</v>
      </c>
      <c r="M1638" s="83">
        <f>$J$1638-EFEITO!$K$1638*EFEITO!$Y$1638</f>
        <v>0</v>
      </c>
      <c r="N1638" s="83">
        <f ca="1">$K$1638-EFEITO!$M$1638*EFEITO!$Z$1638</f>
        <v>0</v>
      </c>
      <c r="O1638" s="83">
        <f>$L$1638-EFEITO!$O$1638*EFEITO!$AA$1638</f>
        <v>0</v>
      </c>
      <c r="P1638" s="61"/>
      <c r="Q1638" s="61"/>
      <c r="R1638" s="61"/>
      <c r="S1638" s="61"/>
      <c r="T1638" s="61"/>
      <c r="U1638" s="61"/>
      <c r="V1638" s="61"/>
      <c r="W1638" s="61"/>
      <c r="X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</row>
    <row r="1639" spans="1:36" ht="11.25" customHeight="1" x14ac:dyDescent="0.2">
      <c r="A1639" s="57" t="s">
        <v>30</v>
      </c>
      <c r="B1639" s="57" t="s">
        <v>22</v>
      </c>
      <c r="C1639" s="57" t="s">
        <v>39</v>
      </c>
      <c r="D1639" s="57" t="s">
        <v>24</v>
      </c>
      <c r="E1639" s="57" t="s">
        <v>24</v>
      </c>
      <c r="F1639" s="57" t="s">
        <v>25</v>
      </c>
      <c r="G1639" s="57" t="s">
        <v>25</v>
      </c>
      <c r="H1639" s="57" t="s">
        <v>37</v>
      </c>
      <c r="I1639" s="82">
        <v>44256</v>
      </c>
      <c r="J1639" s="83">
        <f>EFEITO!$J$1639*EFEITO!$Y$1639</f>
        <v>0</v>
      </c>
      <c r="K1639" s="83">
        <f ca="1">EFEITO!$L$1639*EFEITO!$Z$1639</f>
        <v>100.86048297934316</v>
      </c>
      <c r="L1639" s="83">
        <f>EFEITO!$N$1639*EFEITO!$AA$1639</f>
        <v>42.252556817341627</v>
      </c>
      <c r="M1639" s="83">
        <f>$J$1639-EFEITO!$K$1639*EFEITO!$Y$1639</f>
        <v>0</v>
      </c>
      <c r="N1639" s="83">
        <f ca="1">$K$1639-EFEITO!$M$1639*EFEITO!$Z$1639</f>
        <v>0</v>
      </c>
      <c r="O1639" s="83">
        <f>$L$1639-EFEITO!$O$1639*EFEITO!$AA$1639</f>
        <v>0</v>
      </c>
      <c r="P1639" s="61"/>
      <c r="Q1639" s="61"/>
      <c r="R1639" s="61"/>
      <c r="S1639" s="61"/>
      <c r="T1639" s="61"/>
      <c r="U1639" s="61"/>
      <c r="V1639" s="61"/>
      <c r="W1639" s="61"/>
      <c r="X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</row>
    <row r="1640" spans="1:36" ht="11.25" customHeight="1" x14ac:dyDescent="0.2">
      <c r="A1640" s="57" t="s">
        <v>21</v>
      </c>
      <c r="B1640" s="57" t="s">
        <v>22</v>
      </c>
      <c r="C1640" s="57" t="s">
        <v>39</v>
      </c>
      <c r="D1640" s="57" t="s">
        <v>24</v>
      </c>
      <c r="E1640" s="57" t="s">
        <v>24</v>
      </c>
      <c r="F1640" s="57" t="s">
        <v>25</v>
      </c>
      <c r="G1640" s="57" t="s">
        <v>25</v>
      </c>
      <c r="H1640" s="57" t="s">
        <v>37</v>
      </c>
      <c r="I1640" s="82">
        <v>44287</v>
      </c>
      <c r="J1640" s="83">
        <f>EFEITO!$J$1640*EFEITO!$Y$1640</f>
        <v>0</v>
      </c>
      <c r="K1640" s="83">
        <f ca="1">EFEITO!$L$1640*EFEITO!$Z$1640</f>
        <v>3854.3887796622103</v>
      </c>
      <c r="L1640" s="83">
        <f>EFEITO!$N$1640*EFEITO!$AA$1640</f>
        <v>1614.6837304175499</v>
      </c>
      <c r="M1640" s="83">
        <f>$J$1640-EFEITO!$K$1640*EFEITO!$Y$1640</f>
        <v>0</v>
      </c>
      <c r="N1640" s="83">
        <f ca="1">$K$1640-EFEITO!$M$1640*EFEITO!$Z$1640</f>
        <v>0</v>
      </c>
      <c r="O1640" s="83">
        <f>$L$1640-EFEITO!$O$1640*EFEITO!$AA$1640</f>
        <v>0</v>
      </c>
      <c r="P1640" s="61"/>
      <c r="Q1640" s="61"/>
      <c r="R1640" s="61"/>
      <c r="S1640" s="61"/>
      <c r="T1640" s="61"/>
      <c r="U1640" s="61"/>
      <c r="V1640" s="61"/>
      <c r="W1640" s="61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</row>
    <row r="1641" spans="1:36" ht="11.25" customHeight="1" x14ac:dyDescent="0.2">
      <c r="A1641" s="57" t="s">
        <v>28</v>
      </c>
      <c r="B1641" s="57" t="s">
        <v>22</v>
      </c>
      <c r="C1641" s="57" t="s">
        <v>39</v>
      </c>
      <c r="D1641" s="57" t="s">
        <v>24</v>
      </c>
      <c r="E1641" s="57" t="s">
        <v>24</v>
      </c>
      <c r="F1641" s="57" t="s">
        <v>25</v>
      </c>
      <c r="G1641" s="57" t="s">
        <v>25</v>
      </c>
      <c r="H1641" s="57" t="s">
        <v>37</v>
      </c>
      <c r="I1641" s="82">
        <v>44287</v>
      </c>
      <c r="J1641" s="83">
        <f>EFEITO!$J$1641*EFEITO!$Y$1641</f>
        <v>0</v>
      </c>
      <c r="K1641" s="83">
        <f ca="1">EFEITO!$L$1641*EFEITO!$Z$1641</f>
        <v>208.22809389283748</v>
      </c>
      <c r="L1641" s="83">
        <f>EFEITO!$N$1641*EFEITO!$AA$1641</f>
        <v>87.231085042253682</v>
      </c>
      <c r="M1641" s="83">
        <f>$J$1641-EFEITO!$K$1641*EFEITO!$Y$1641</f>
        <v>0</v>
      </c>
      <c r="N1641" s="83">
        <f ca="1">$K$1641-EFEITO!$M$1641*EFEITO!$Z$1641</f>
        <v>0</v>
      </c>
      <c r="O1641" s="83">
        <f>$L$1641-EFEITO!$O$1641*EFEITO!$AA$1641</f>
        <v>0</v>
      </c>
      <c r="P1641" s="61"/>
      <c r="Q1641" s="61"/>
      <c r="R1641" s="61"/>
      <c r="S1641" s="61"/>
      <c r="T1641" s="61"/>
      <c r="U1641" s="61"/>
      <c r="V1641" s="61"/>
      <c r="W1641" s="61"/>
      <c r="X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</row>
    <row r="1642" spans="1:36" ht="11.25" customHeight="1" x14ac:dyDescent="0.2">
      <c r="A1642" s="57" t="s">
        <v>30</v>
      </c>
      <c r="B1642" s="57" t="s">
        <v>22</v>
      </c>
      <c r="C1642" s="57" t="s">
        <v>39</v>
      </c>
      <c r="D1642" s="57" t="s">
        <v>24</v>
      </c>
      <c r="E1642" s="57" t="s">
        <v>24</v>
      </c>
      <c r="F1642" s="57" t="s">
        <v>25</v>
      </c>
      <c r="G1642" s="57" t="s">
        <v>25</v>
      </c>
      <c r="H1642" s="57" t="s">
        <v>37</v>
      </c>
      <c r="I1642" s="82">
        <v>44287</v>
      </c>
      <c r="J1642" s="83">
        <f>EFEITO!$J$1642*EFEITO!$Y$1642</f>
        <v>0</v>
      </c>
      <c r="K1642" s="83">
        <f ca="1">EFEITO!$L$1642*EFEITO!$Z$1642</f>
        <v>177.86149686679869</v>
      </c>
      <c r="L1642" s="83">
        <f>EFEITO!$N$1642*EFEITO!$AA$1642</f>
        <v>74.509885140258362</v>
      </c>
      <c r="M1642" s="83">
        <f>$J$1642-EFEITO!$K$1642*EFEITO!$Y$1642</f>
        <v>0</v>
      </c>
      <c r="N1642" s="83">
        <f ca="1">$K$1642-EFEITO!$M$1642*EFEITO!$Z$1642</f>
        <v>0</v>
      </c>
      <c r="O1642" s="83">
        <f>$L$1642-EFEITO!$O$1642*EFEITO!$AA$1642</f>
        <v>0</v>
      </c>
      <c r="P1642" s="61"/>
      <c r="Q1642" s="61"/>
      <c r="R1642" s="61"/>
      <c r="S1642" s="61"/>
      <c r="T1642" s="61"/>
      <c r="U1642" s="61"/>
      <c r="V1642" s="61"/>
      <c r="W1642" s="61"/>
      <c r="X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</row>
    <row r="1643" spans="1:36" ht="11.25" customHeight="1" x14ac:dyDescent="0.2">
      <c r="A1643" s="57" t="s">
        <v>21</v>
      </c>
      <c r="B1643" s="57" t="s">
        <v>22</v>
      </c>
      <c r="C1643" s="57" t="s">
        <v>39</v>
      </c>
      <c r="D1643" s="57" t="s">
        <v>24</v>
      </c>
      <c r="E1643" s="57" t="s">
        <v>24</v>
      </c>
      <c r="F1643" s="57" t="s">
        <v>25</v>
      </c>
      <c r="G1643" s="57" t="s">
        <v>25</v>
      </c>
      <c r="H1643" s="57" t="s">
        <v>37</v>
      </c>
      <c r="I1643" s="82">
        <v>44317</v>
      </c>
      <c r="J1643" s="83">
        <f>EFEITO!$J$1643*EFEITO!$Y$1643</f>
        <v>0</v>
      </c>
      <c r="K1643" s="83">
        <f ca="1">EFEITO!$L$1643*EFEITO!$Z$1643</f>
        <v>3512.764563119274</v>
      </c>
      <c r="L1643" s="83">
        <f>EFEITO!$N$1643*EFEITO!$AA$1643</f>
        <v>1471.5702315201024</v>
      </c>
      <c r="M1643" s="83">
        <f>$J$1643-EFEITO!$K$1643*EFEITO!$Y$1643</f>
        <v>0</v>
      </c>
      <c r="N1643" s="83">
        <f ca="1">$K$1643-EFEITO!$M$1643*EFEITO!$Z$1643</f>
        <v>0</v>
      </c>
      <c r="O1643" s="83">
        <f>$L$1643-EFEITO!$O$1643*EFEITO!$AA$1643</f>
        <v>0</v>
      </c>
      <c r="P1643" s="61"/>
      <c r="Q1643" s="61"/>
      <c r="R1643" s="61"/>
      <c r="S1643" s="61"/>
      <c r="T1643" s="61"/>
      <c r="U1643" s="61"/>
      <c r="V1643" s="61"/>
      <c r="W1643" s="61"/>
      <c r="X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</row>
    <row r="1644" spans="1:36" ht="11.25" customHeight="1" x14ac:dyDescent="0.2">
      <c r="A1644" s="57" t="s">
        <v>28</v>
      </c>
      <c r="B1644" s="57" t="s">
        <v>22</v>
      </c>
      <c r="C1644" s="57" t="s">
        <v>39</v>
      </c>
      <c r="D1644" s="57" t="s">
        <v>24</v>
      </c>
      <c r="E1644" s="57" t="s">
        <v>24</v>
      </c>
      <c r="F1644" s="57" t="s">
        <v>25</v>
      </c>
      <c r="G1644" s="57" t="s">
        <v>25</v>
      </c>
      <c r="H1644" s="57" t="s">
        <v>37</v>
      </c>
      <c r="I1644" s="82">
        <v>44317</v>
      </c>
      <c r="J1644" s="83">
        <f>EFEITO!$J$1644*EFEITO!$Y$1644</f>
        <v>0</v>
      </c>
      <c r="K1644" s="83">
        <f ca="1">EFEITO!$L$1644*EFEITO!$Z$1644</f>
        <v>177.86149686679869</v>
      </c>
      <c r="L1644" s="83">
        <f>EFEITO!$N$1644*EFEITO!$AA$1644</f>
        <v>74.509885140258362</v>
      </c>
      <c r="M1644" s="83">
        <f>$J$1644-EFEITO!$K$1644*EFEITO!$Y$1644</f>
        <v>0</v>
      </c>
      <c r="N1644" s="83">
        <f ca="1">$K$1644-EFEITO!$M$1644*EFEITO!$Z$1644</f>
        <v>0</v>
      </c>
      <c r="O1644" s="83">
        <f>$L$1644-EFEITO!$O$1644*EFEITO!$AA$1644</f>
        <v>0</v>
      </c>
      <c r="P1644" s="61"/>
      <c r="Q1644" s="61"/>
      <c r="R1644" s="61"/>
      <c r="S1644" s="61"/>
      <c r="T1644" s="61"/>
      <c r="U1644" s="61"/>
      <c r="V1644" s="61"/>
      <c r="W1644" s="61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</row>
    <row r="1645" spans="1:36" ht="11.25" customHeight="1" x14ac:dyDescent="0.2">
      <c r="A1645" s="57" t="s">
        <v>30</v>
      </c>
      <c r="B1645" s="57" t="s">
        <v>22</v>
      </c>
      <c r="C1645" s="57" t="s">
        <v>39</v>
      </c>
      <c r="D1645" s="57" t="s">
        <v>24</v>
      </c>
      <c r="E1645" s="57" t="s">
        <v>24</v>
      </c>
      <c r="F1645" s="57" t="s">
        <v>25</v>
      </c>
      <c r="G1645" s="57" t="s">
        <v>25</v>
      </c>
      <c r="H1645" s="57" t="s">
        <v>37</v>
      </c>
      <c r="I1645" s="82">
        <v>44317</v>
      </c>
      <c r="J1645" s="83">
        <f>EFEITO!$J$1645*EFEITO!$Y$1645</f>
        <v>0</v>
      </c>
      <c r="K1645" s="83">
        <f ca="1">EFEITO!$L$1645*EFEITO!$Z$1645</f>
        <v>274.38389455670773</v>
      </c>
      <c r="L1645" s="83">
        <f>EFEITO!$N$1645*EFEITO!$AA$1645</f>
        <v>114.94512768588636</v>
      </c>
      <c r="M1645" s="83">
        <f>$J$1645-EFEITO!$K$1645*EFEITO!$Y$1645</f>
        <v>0</v>
      </c>
      <c r="N1645" s="83">
        <f ca="1">$K$1645-EFEITO!$M$1645*EFEITO!$Z$1645</f>
        <v>0</v>
      </c>
      <c r="O1645" s="83">
        <f>$L$1645-EFEITO!$O$1645*EFEITO!$AA$1645</f>
        <v>0</v>
      </c>
      <c r="P1645" s="61"/>
      <c r="Q1645" s="61"/>
      <c r="R1645" s="61"/>
      <c r="S1645" s="61"/>
      <c r="T1645" s="61"/>
      <c r="U1645" s="61"/>
      <c r="V1645" s="61"/>
      <c r="W1645" s="61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</row>
    <row r="1646" spans="1:36" ht="11.25" customHeight="1" x14ac:dyDescent="0.2">
      <c r="A1646" s="57" t="s">
        <v>21</v>
      </c>
      <c r="B1646" s="57" t="s">
        <v>22</v>
      </c>
      <c r="C1646" s="57" t="s">
        <v>39</v>
      </c>
      <c r="D1646" s="57" t="s">
        <v>24</v>
      </c>
      <c r="E1646" s="57" t="s">
        <v>24</v>
      </c>
      <c r="F1646" s="57" t="s">
        <v>25</v>
      </c>
      <c r="G1646" s="57" t="s">
        <v>25</v>
      </c>
      <c r="H1646" s="57" t="s">
        <v>37</v>
      </c>
      <c r="I1646" s="82">
        <v>44348</v>
      </c>
      <c r="J1646" s="83">
        <f>EFEITO!$J$1646*EFEITO!$Y$1646</f>
        <v>0</v>
      </c>
      <c r="K1646" s="83">
        <f ca="1">EFEITO!$L$1646*EFEITO!$Z$1646</f>
        <v>4089.7299066140113</v>
      </c>
      <c r="L1646" s="83">
        <f>EFEITO!$N$1646*EFEITO!$AA$1646</f>
        <v>1713.2730296580137</v>
      </c>
      <c r="M1646" s="83">
        <f>$J$1646-EFEITO!$K$1646*EFEITO!$Y$1646</f>
        <v>0</v>
      </c>
      <c r="N1646" s="83">
        <f ca="1">$K$1646-EFEITO!$M$1646*EFEITO!$Z$1646</f>
        <v>0</v>
      </c>
      <c r="O1646" s="83">
        <f>$L$1646-EFEITO!$O$1646*EFEITO!$AA$1646</f>
        <v>0</v>
      </c>
      <c r="P1646" s="61"/>
      <c r="Q1646" s="61"/>
      <c r="R1646" s="61"/>
      <c r="S1646" s="61"/>
      <c r="T1646" s="61"/>
      <c r="U1646" s="61"/>
      <c r="V1646" s="61"/>
      <c r="W1646" s="61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</row>
    <row r="1647" spans="1:36" ht="11.25" customHeight="1" x14ac:dyDescent="0.2">
      <c r="A1647" s="57" t="s">
        <v>28</v>
      </c>
      <c r="B1647" s="57" t="s">
        <v>22</v>
      </c>
      <c r="C1647" s="57" t="s">
        <v>39</v>
      </c>
      <c r="D1647" s="57" t="s">
        <v>24</v>
      </c>
      <c r="E1647" s="57" t="s">
        <v>24</v>
      </c>
      <c r="F1647" s="57" t="s">
        <v>25</v>
      </c>
      <c r="G1647" s="57" t="s">
        <v>25</v>
      </c>
      <c r="H1647" s="57" t="s">
        <v>37</v>
      </c>
      <c r="I1647" s="82">
        <v>44348</v>
      </c>
      <c r="J1647" s="83">
        <f>EFEITO!$J$1647*EFEITO!$Y$1647</f>
        <v>0</v>
      </c>
      <c r="K1647" s="83">
        <f ca="1">EFEITO!$L$1647*EFEITO!$Z$1647</f>
        <v>263.53868133312244</v>
      </c>
      <c r="L1647" s="83">
        <f>EFEITO!$N$1647*EFEITO!$AA$1647</f>
        <v>110.40184200660231</v>
      </c>
      <c r="M1647" s="83">
        <f>$J$1647-EFEITO!$K$1647*EFEITO!$Y$1647</f>
        <v>0</v>
      </c>
      <c r="N1647" s="83">
        <f ca="1">$K$1647-EFEITO!$M$1647*EFEITO!$Z$1647</f>
        <v>0</v>
      </c>
      <c r="O1647" s="83">
        <f>$L$1647-EFEITO!$O$1647*EFEITO!$AA$1647</f>
        <v>0</v>
      </c>
      <c r="P1647" s="61"/>
      <c r="Q1647" s="61"/>
      <c r="R1647" s="61"/>
      <c r="S1647" s="61"/>
      <c r="T1647" s="61"/>
      <c r="U1647" s="61"/>
      <c r="V1647" s="61"/>
      <c r="W1647" s="61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</row>
    <row r="1648" spans="1:36" ht="11.25" customHeight="1" x14ac:dyDescent="0.2">
      <c r="A1648" s="57" t="s">
        <v>30</v>
      </c>
      <c r="B1648" s="57" t="s">
        <v>22</v>
      </c>
      <c r="C1648" s="57" t="s">
        <v>39</v>
      </c>
      <c r="D1648" s="57" t="s">
        <v>24</v>
      </c>
      <c r="E1648" s="57" t="s">
        <v>24</v>
      </c>
      <c r="F1648" s="57" t="s">
        <v>25</v>
      </c>
      <c r="G1648" s="57" t="s">
        <v>25</v>
      </c>
      <c r="H1648" s="57" t="s">
        <v>37</v>
      </c>
      <c r="I1648" s="82">
        <v>44348</v>
      </c>
      <c r="J1648" s="83">
        <f>EFEITO!$J$1648*EFEITO!$Y$1648</f>
        <v>0</v>
      </c>
      <c r="K1648" s="83">
        <f ca="1">EFEITO!$L$1648*EFEITO!$Z$1648</f>
        <v>223.41139240585687</v>
      </c>
      <c r="L1648" s="83">
        <f>EFEITO!$N$1648*EFEITO!$AA$1648</f>
        <v>93.591684993251349</v>
      </c>
      <c r="M1648" s="83">
        <f>$J$1648-EFEITO!$K$1648*EFEITO!$Y$1648</f>
        <v>0</v>
      </c>
      <c r="N1648" s="83">
        <f ca="1">$K$1648-EFEITO!$M$1648*EFEITO!$Z$1648</f>
        <v>0</v>
      </c>
      <c r="O1648" s="83">
        <f>$L$1648-EFEITO!$O$1648*EFEITO!$AA$1648</f>
        <v>0</v>
      </c>
      <c r="P1648" s="61"/>
      <c r="Q1648" s="61"/>
      <c r="R1648" s="61"/>
      <c r="S1648" s="61"/>
      <c r="T1648" s="61"/>
      <c r="U1648" s="61"/>
      <c r="V1648" s="61"/>
      <c r="W1648" s="61"/>
      <c r="X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</row>
    <row r="1649" spans="1:36" ht="11.25" customHeight="1" x14ac:dyDescent="0.2">
      <c r="A1649" s="57" t="s">
        <v>21</v>
      </c>
      <c r="B1649" s="57" t="s">
        <v>22</v>
      </c>
      <c r="C1649" s="57" t="s">
        <v>39</v>
      </c>
      <c r="D1649" s="57" t="s">
        <v>24</v>
      </c>
      <c r="E1649" s="57" t="s">
        <v>24</v>
      </c>
      <c r="F1649" s="57" t="s">
        <v>25</v>
      </c>
      <c r="G1649" s="57" t="s">
        <v>25</v>
      </c>
      <c r="H1649" s="57" t="s">
        <v>37</v>
      </c>
      <c r="I1649" s="82">
        <v>44378</v>
      </c>
      <c r="J1649" s="83">
        <f>EFEITO!$J$1649*EFEITO!$Y$1649</f>
        <v>0</v>
      </c>
      <c r="K1649" s="83">
        <f ca="1">EFEITO!$L$1649*EFEITO!$Z$1649</f>
        <v>3665.6820695718266</v>
      </c>
      <c r="L1649" s="83">
        <f>EFEITO!$N$1649*EFEITO!$AA$1649</f>
        <v>1535.6305595980075</v>
      </c>
      <c r="M1649" s="83">
        <f>$J$1649-EFEITO!$K$1649*EFEITO!$Y$1649</f>
        <v>0</v>
      </c>
      <c r="N1649" s="83">
        <f ca="1">$K$1649-EFEITO!$M$1649*EFEITO!$Z$1649</f>
        <v>0</v>
      </c>
      <c r="O1649" s="83">
        <f>$L$1649-EFEITO!$O$1649*EFEITO!$AA$1649</f>
        <v>0</v>
      </c>
      <c r="P1649" s="61"/>
      <c r="Q1649" s="61"/>
      <c r="R1649" s="61"/>
      <c r="S1649" s="61"/>
      <c r="T1649" s="61"/>
      <c r="U1649" s="61"/>
      <c r="V1649" s="61"/>
      <c r="W1649" s="61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</row>
    <row r="1650" spans="1:36" ht="11.25" customHeight="1" x14ac:dyDescent="0.2">
      <c r="A1650" s="57" t="s">
        <v>27</v>
      </c>
      <c r="B1650" s="57" t="s">
        <v>22</v>
      </c>
      <c r="C1650" s="57" t="s">
        <v>39</v>
      </c>
      <c r="D1650" s="57" t="s">
        <v>24</v>
      </c>
      <c r="E1650" s="57" t="s">
        <v>24</v>
      </c>
      <c r="F1650" s="57" t="s">
        <v>25</v>
      </c>
      <c r="G1650" s="57" t="s">
        <v>25</v>
      </c>
      <c r="H1650" s="57" t="s">
        <v>37</v>
      </c>
      <c r="I1650" s="82">
        <v>44378</v>
      </c>
      <c r="J1650" s="83">
        <f>EFEITO!$J$1650*EFEITO!$Y$1650</f>
        <v>0</v>
      </c>
      <c r="K1650" s="83">
        <f ca="1">EFEITO!$L$1650*EFEITO!$Z$1650</f>
        <v>33.620160993114382</v>
      </c>
      <c r="L1650" s="83">
        <f>EFEITO!$N$1650*EFEITO!$AA$1650</f>
        <v>14.084185605780542</v>
      </c>
      <c r="M1650" s="83">
        <f>$J$1650-EFEITO!$K$1650*EFEITO!$Y$1650</f>
        <v>0</v>
      </c>
      <c r="N1650" s="83">
        <f ca="1">$K$1650-EFEITO!$M$1650*EFEITO!$Z$1650</f>
        <v>0</v>
      </c>
      <c r="O1650" s="83">
        <f>$L$1650-EFEITO!$O$1650*EFEITO!$AA$1650</f>
        <v>0</v>
      </c>
      <c r="P1650" s="61"/>
      <c r="Q1650" s="61"/>
      <c r="R1650" s="61"/>
      <c r="S1650" s="61"/>
      <c r="T1650" s="61"/>
      <c r="U1650" s="61"/>
      <c r="V1650" s="61"/>
      <c r="W1650" s="61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</row>
    <row r="1651" spans="1:36" ht="11.25" customHeight="1" x14ac:dyDescent="0.2">
      <c r="A1651" s="57" t="s">
        <v>28</v>
      </c>
      <c r="B1651" s="57" t="s">
        <v>22</v>
      </c>
      <c r="C1651" s="57" t="s">
        <v>39</v>
      </c>
      <c r="D1651" s="57" t="s">
        <v>24</v>
      </c>
      <c r="E1651" s="57" t="s">
        <v>24</v>
      </c>
      <c r="F1651" s="57" t="s">
        <v>25</v>
      </c>
      <c r="G1651" s="57" t="s">
        <v>25</v>
      </c>
      <c r="H1651" s="57" t="s">
        <v>37</v>
      </c>
      <c r="I1651" s="82">
        <v>44378</v>
      </c>
      <c r="J1651" s="83">
        <f>EFEITO!$J$1651*EFEITO!$Y$1651</f>
        <v>0</v>
      </c>
      <c r="K1651" s="83">
        <f ca="1">EFEITO!$L$1651*EFEITO!$Z$1651</f>
        <v>264.62320265548095</v>
      </c>
      <c r="L1651" s="83">
        <f>EFEITO!$N$1651*EFEITO!$AA$1651</f>
        <v>110.85617057453072</v>
      </c>
      <c r="M1651" s="83">
        <f>$J$1651-EFEITO!$K$1651*EFEITO!$Y$1651</f>
        <v>0</v>
      </c>
      <c r="N1651" s="83">
        <f ca="1">$K$1651-EFEITO!$M$1651*EFEITO!$Z$1651</f>
        <v>0</v>
      </c>
      <c r="O1651" s="83">
        <f>$L$1651-EFEITO!$O$1651*EFEITO!$AA$1651</f>
        <v>0</v>
      </c>
      <c r="P1651" s="61"/>
      <c r="Q1651" s="61"/>
      <c r="R1651" s="61"/>
      <c r="S1651" s="61"/>
      <c r="T1651" s="61"/>
      <c r="U1651" s="61"/>
      <c r="V1651" s="61"/>
      <c r="W1651" s="61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</row>
    <row r="1652" spans="1:36" ht="11.25" customHeight="1" x14ac:dyDescent="0.2">
      <c r="A1652" s="57" t="s">
        <v>30</v>
      </c>
      <c r="B1652" s="57" t="s">
        <v>22</v>
      </c>
      <c r="C1652" s="57" t="s">
        <v>39</v>
      </c>
      <c r="D1652" s="57" t="s">
        <v>24</v>
      </c>
      <c r="E1652" s="57" t="s">
        <v>24</v>
      </c>
      <c r="F1652" s="57" t="s">
        <v>25</v>
      </c>
      <c r="G1652" s="57" t="s">
        <v>25</v>
      </c>
      <c r="H1652" s="57" t="s">
        <v>37</v>
      </c>
      <c r="I1652" s="82">
        <v>44378</v>
      </c>
      <c r="J1652" s="83">
        <f>EFEITO!$J$1652*EFEITO!$Y$1652</f>
        <v>0</v>
      </c>
      <c r="K1652" s="83">
        <f ca="1">EFEITO!$L$1652*EFEITO!$Z$1652</f>
        <v>194.1293167021766</v>
      </c>
      <c r="L1652" s="83">
        <f>EFEITO!$N$1652*EFEITO!$AA$1652</f>
        <v>81.324813659184414</v>
      </c>
      <c r="M1652" s="83">
        <f>$J$1652-EFEITO!$K$1652*EFEITO!$Y$1652</f>
        <v>0</v>
      </c>
      <c r="N1652" s="83">
        <f ca="1">$K$1652-EFEITO!$M$1652*EFEITO!$Z$1652</f>
        <v>0</v>
      </c>
      <c r="O1652" s="83">
        <f>$L$1652-EFEITO!$O$1652*EFEITO!$AA$1652</f>
        <v>0</v>
      </c>
      <c r="P1652" s="61"/>
      <c r="Q1652" s="61"/>
      <c r="R1652" s="61"/>
      <c r="S1652" s="61"/>
      <c r="T1652" s="61"/>
      <c r="U1652" s="61"/>
      <c r="V1652" s="61"/>
      <c r="W1652" s="61"/>
      <c r="X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</row>
    <row r="1653" spans="1:36" ht="11.25" customHeight="1" x14ac:dyDescent="0.2">
      <c r="A1653" s="57" t="s">
        <v>21</v>
      </c>
      <c r="B1653" s="57" t="s">
        <v>22</v>
      </c>
      <c r="C1653" s="57" t="s">
        <v>39</v>
      </c>
      <c r="D1653" s="57" t="s">
        <v>24</v>
      </c>
      <c r="E1653" s="57" t="s">
        <v>24</v>
      </c>
      <c r="F1653" s="57" t="s">
        <v>25</v>
      </c>
      <c r="G1653" s="57" t="s">
        <v>25</v>
      </c>
      <c r="H1653" s="57" t="s">
        <v>37</v>
      </c>
      <c r="I1653" s="82">
        <v>44409</v>
      </c>
      <c r="J1653" s="83">
        <f>EFEITO!$J$1653*EFEITO!$Y$1653</f>
        <v>0</v>
      </c>
      <c r="K1653" s="83">
        <f ca="1">EFEITO!$L$1653*EFEITO!$Z$1653</f>
        <v>3909.6993671024952</v>
      </c>
      <c r="L1653" s="83">
        <f>EFEITO!$N$1653*EFEITO!$AA$1653</f>
        <v>1637.8544873818985</v>
      </c>
      <c r="M1653" s="83">
        <f>$J$1653-EFEITO!$K$1653*EFEITO!$Y$1653</f>
        <v>0</v>
      </c>
      <c r="N1653" s="83">
        <f ca="1">$K$1653-EFEITO!$M$1653*EFEITO!$Z$1653</f>
        <v>0</v>
      </c>
      <c r="O1653" s="83">
        <f>$L$1653-EFEITO!$O$1653*EFEITO!$AA$1653</f>
        <v>0</v>
      </c>
      <c r="P1653" s="61"/>
      <c r="Q1653" s="61"/>
      <c r="R1653" s="61"/>
      <c r="S1653" s="61"/>
      <c r="T1653" s="61"/>
      <c r="U1653" s="61"/>
      <c r="V1653" s="61"/>
      <c r="W1653" s="61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</row>
    <row r="1654" spans="1:36" ht="11.25" customHeight="1" x14ac:dyDescent="0.2">
      <c r="A1654" s="57" t="s">
        <v>28</v>
      </c>
      <c r="B1654" s="57" t="s">
        <v>22</v>
      </c>
      <c r="C1654" s="57" t="s">
        <v>39</v>
      </c>
      <c r="D1654" s="57" t="s">
        <v>24</v>
      </c>
      <c r="E1654" s="57" t="s">
        <v>24</v>
      </c>
      <c r="F1654" s="57" t="s">
        <v>25</v>
      </c>
      <c r="G1654" s="57" t="s">
        <v>25</v>
      </c>
      <c r="H1654" s="57" t="s">
        <v>37</v>
      </c>
      <c r="I1654" s="82">
        <v>44409</v>
      </c>
      <c r="J1654" s="83">
        <f>EFEITO!$J$1654*EFEITO!$Y$1654</f>
        <v>0</v>
      </c>
      <c r="K1654" s="83">
        <f ca="1">EFEITO!$L$1654*EFEITO!$Z$1654</f>
        <v>1313.3553213761782</v>
      </c>
      <c r="L1654" s="83">
        <f>EFEITO!$N$1654*EFEITO!$AA$1654</f>
        <v>550.19189576129804</v>
      </c>
      <c r="M1654" s="83">
        <f>$J$1654-EFEITO!$K$1654*EFEITO!$Y$1654</f>
        <v>0</v>
      </c>
      <c r="N1654" s="83">
        <f ca="1">$K$1654-EFEITO!$M$1654*EFEITO!$Z$1654</f>
        <v>0</v>
      </c>
      <c r="O1654" s="83">
        <f>$L$1654-EFEITO!$O$1654*EFEITO!$AA$1654</f>
        <v>0</v>
      </c>
      <c r="P1654" s="61"/>
      <c r="Q1654" s="61"/>
      <c r="R1654" s="61"/>
      <c r="S1654" s="61"/>
      <c r="T1654" s="61"/>
      <c r="U1654" s="61"/>
      <c r="V1654" s="61"/>
      <c r="W1654" s="61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</row>
    <row r="1655" spans="1:36" ht="11.25" customHeight="1" x14ac:dyDescent="0.2">
      <c r="A1655" s="57" t="s">
        <v>30</v>
      </c>
      <c r="B1655" s="57" t="s">
        <v>22</v>
      </c>
      <c r="C1655" s="57" t="s">
        <v>39</v>
      </c>
      <c r="D1655" s="57" t="s">
        <v>24</v>
      </c>
      <c r="E1655" s="57" t="s">
        <v>24</v>
      </c>
      <c r="F1655" s="57" t="s">
        <v>25</v>
      </c>
      <c r="G1655" s="57" t="s">
        <v>25</v>
      </c>
      <c r="H1655" s="57" t="s">
        <v>37</v>
      </c>
      <c r="I1655" s="82">
        <v>44409</v>
      </c>
      <c r="J1655" s="83">
        <f>EFEITO!$J$1655*EFEITO!$Y$1655</f>
        <v>0</v>
      </c>
      <c r="K1655" s="83">
        <f ca="1">EFEITO!$L$1655*EFEITO!$Z$1655</f>
        <v>215.8197431493472</v>
      </c>
      <c r="L1655" s="83">
        <f>EFEITO!$N$1655*EFEITO!$AA$1655</f>
        <v>90.411385017752522</v>
      </c>
      <c r="M1655" s="83">
        <f>$J$1655-EFEITO!$K$1655*EFEITO!$Y$1655</f>
        <v>0</v>
      </c>
      <c r="N1655" s="83">
        <f ca="1">$K$1655-EFEITO!$M$1655*EFEITO!$Z$1655</f>
        <v>0</v>
      </c>
      <c r="O1655" s="83">
        <f>$L$1655-EFEITO!$O$1655*EFEITO!$AA$1655</f>
        <v>0</v>
      </c>
      <c r="P1655" s="61"/>
      <c r="Q1655" s="61"/>
      <c r="R1655" s="61"/>
      <c r="S1655" s="61"/>
      <c r="T1655" s="61"/>
      <c r="U1655" s="61"/>
      <c r="V1655" s="61"/>
      <c r="W1655" s="61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</row>
    <row r="1656" spans="1:36" ht="11.25" customHeight="1" x14ac:dyDescent="0.2">
      <c r="A1656" s="57" t="s">
        <v>21</v>
      </c>
      <c r="B1656" s="57" t="s">
        <v>22</v>
      </c>
      <c r="C1656" s="57" t="s">
        <v>39</v>
      </c>
      <c r="D1656" s="57" t="s">
        <v>24</v>
      </c>
      <c r="E1656" s="57" t="s">
        <v>24</v>
      </c>
      <c r="F1656" s="57" t="s">
        <v>25</v>
      </c>
      <c r="G1656" s="57" t="s">
        <v>25</v>
      </c>
      <c r="H1656" s="57" t="s">
        <v>37</v>
      </c>
      <c r="I1656" s="82">
        <v>44440</v>
      </c>
      <c r="J1656" s="83">
        <f>EFEITO!$J$1656*EFEITO!$Y$1656</f>
        <v>0</v>
      </c>
      <c r="K1656" s="83">
        <f ca="1">EFEITO!$L$1656*EFEITO!$Z$1656</f>
        <v>3732.9223915580556</v>
      </c>
      <c r="L1656" s="83">
        <f>EFEITO!$N$1656*EFEITO!$AA$1656</f>
        <v>1563.7989308095687</v>
      </c>
      <c r="M1656" s="83">
        <f>$J$1656-EFEITO!$K$1656*EFEITO!$Y$1656</f>
        <v>0</v>
      </c>
      <c r="N1656" s="83">
        <f ca="1">$K$1656-EFEITO!$M$1656*EFEITO!$Z$1656</f>
        <v>0</v>
      </c>
      <c r="O1656" s="83">
        <f>$L$1656-EFEITO!$O$1656*EFEITO!$AA$1656</f>
        <v>0</v>
      </c>
      <c r="P1656" s="61"/>
      <c r="Q1656" s="61"/>
      <c r="R1656" s="61"/>
      <c r="S1656" s="61"/>
      <c r="T1656" s="61"/>
      <c r="U1656" s="61"/>
      <c r="V1656" s="61"/>
      <c r="W1656" s="61"/>
      <c r="X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</row>
    <row r="1657" spans="1:36" ht="11.25" customHeight="1" x14ac:dyDescent="0.2">
      <c r="A1657" s="57" t="s">
        <v>27</v>
      </c>
      <c r="B1657" s="57" t="s">
        <v>22</v>
      </c>
      <c r="C1657" s="57" t="s">
        <v>39</v>
      </c>
      <c r="D1657" s="57" t="s">
        <v>24</v>
      </c>
      <c r="E1657" s="57" t="s">
        <v>24</v>
      </c>
      <c r="F1657" s="57" t="s">
        <v>25</v>
      </c>
      <c r="G1657" s="57" t="s">
        <v>25</v>
      </c>
      <c r="H1657" s="57" t="s">
        <v>37</v>
      </c>
      <c r="I1657" s="82">
        <v>44440</v>
      </c>
      <c r="J1657" s="83">
        <f>EFEITO!$J$1657*EFEITO!$Y$1657</f>
        <v>0</v>
      </c>
      <c r="K1657" s="83">
        <f ca="1">EFEITO!$L$1657*EFEITO!$Z$1657</f>
        <v>59.648672729719074</v>
      </c>
      <c r="L1657" s="83">
        <f>EFEITO!$N$1657*EFEITO!$AA$1657</f>
        <v>24.988071236062254</v>
      </c>
      <c r="M1657" s="83">
        <f>$J$1657-EFEITO!$K$1657*EFEITO!$Y$1657</f>
        <v>0</v>
      </c>
      <c r="N1657" s="83">
        <f ca="1">$K$1657-EFEITO!$M$1657*EFEITO!$Z$1657</f>
        <v>0</v>
      </c>
      <c r="O1657" s="83">
        <f>$L$1657-EFEITO!$O$1657*EFEITO!$AA$1657</f>
        <v>0</v>
      </c>
      <c r="P1657" s="61"/>
      <c r="Q1657" s="61"/>
      <c r="R1657" s="61"/>
      <c r="S1657" s="61"/>
      <c r="T1657" s="61"/>
      <c r="U1657" s="61"/>
      <c r="V1657" s="61"/>
      <c r="W1657" s="61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</row>
    <row r="1658" spans="1:36" ht="11.25" customHeight="1" x14ac:dyDescent="0.2">
      <c r="A1658" s="57" t="s">
        <v>28</v>
      </c>
      <c r="B1658" s="57" t="s">
        <v>22</v>
      </c>
      <c r="C1658" s="57" t="s">
        <v>39</v>
      </c>
      <c r="D1658" s="57" t="s">
        <v>24</v>
      </c>
      <c r="E1658" s="57" t="s">
        <v>24</v>
      </c>
      <c r="F1658" s="57" t="s">
        <v>25</v>
      </c>
      <c r="G1658" s="57" t="s">
        <v>25</v>
      </c>
      <c r="H1658" s="57" t="s">
        <v>37</v>
      </c>
      <c r="I1658" s="82">
        <v>44440</v>
      </c>
      <c r="J1658" s="83">
        <f>EFEITO!$J$1658*EFEITO!$Y$1658</f>
        <v>0</v>
      </c>
      <c r="K1658" s="83">
        <f ca="1">EFEITO!$L$1658*EFEITO!$Z$1658</f>
        <v>291.73623571444421</v>
      </c>
      <c r="L1658" s="83">
        <f>EFEITO!$N$1658*EFEITO!$AA$1658</f>
        <v>122.21438477274084</v>
      </c>
      <c r="M1658" s="83">
        <f>$J$1658-EFEITO!$K$1658*EFEITO!$Y$1658</f>
        <v>0</v>
      </c>
      <c r="N1658" s="83">
        <f ca="1">$K$1658-EFEITO!$M$1658*EFEITO!$Z$1658</f>
        <v>0</v>
      </c>
      <c r="O1658" s="83">
        <f>$L$1658-EFEITO!$O$1658*EFEITO!$AA$1658</f>
        <v>0</v>
      </c>
      <c r="P1658" s="61"/>
      <c r="Q1658" s="61"/>
      <c r="R1658" s="61"/>
      <c r="S1658" s="61"/>
      <c r="T1658" s="61"/>
      <c r="U1658" s="61"/>
      <c r="V1658" s="61"/>
      <c r="W1658" s="61"/>
      <c r="X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</row>
    <row r="1659" spans="1:36" ht="11.25" customHeight="1" x14ac:dyDescent="0.2">
      <c r="A1659" s="57" t="s">
        <v>29</v>
      </c>
      <c r="B1659" s="57" t="s">
        <v>22</v>
      </c>
      <c r="C1659" s="57" t="s">
        <v>39</v>
      </c>
      <c r="D1659" s="57" t="s">
        <v>24</v>
      </c>
      <c r="E1659" s="57" t="s">
        <v>24</v>
      </c>
      <c r="F1659" s="57" t="s">
        <v>25</v>
      </c>
      <c r="G1659" s="57" t="s">
        <v>25</v>
      </c>
      <c r="H1659" s="57" t="s">
        <v>37</v>
      </c>
      <c r="I1659" s="82">
        <v>44440</v>
      </c>
      <c r="J1659" s="83">
        <f>EFEITO!$J$1659*EFEITO!$Y$1659</f>
        <v>0</v>
      </c>
      <c r="K1659" s="83">
        <f ca="1">EFEITO!$L$1659*EFEITO!$Z$1659</f>
        <v>-1028.126213595885</v>
      </c>
      <c r="L1659" s="83">
        <f>EFEITO!$N$1659*EFEITO!$AA$1659</f>
        <v>-430.70348239612753</v>
      </c>
      <c r="M1659" s="83">
        <f>$J$1659-EFEITO!$K$1659*EFEITO!$Y$1659</f>
        <v>0</v>
      </c>
      <c r="N1659" s="83">
        <f ca="1">$K$1659-EFEITO!$M$1659*EFEITO!$Z$1659</f>
        <v>0</v>
      </c>
      <c r="O1659" s="83">
        <f>$L$1659-EFEITO!$O$1659*EFEITO!$AA$1659</f>
        <v>0</v>
      </c>
      <c r="P1659" s="61"/>
      <c r="Q1659" s="61"/>
      <c r="R1659" s="61"/>
      <c r="S1659" s="61"/>
      <c r="T1659" s="61"/>
      <c r="U1659" s="61"/>
      <c r="V1659" s="61"/>
      <c r="W1659" s="61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</row>
    <row r="1660" spans="1:36" ht="11.25" customHeight="1" x14ac:dyDescent="0.2">
      <c r="A1660" s="57" t="s">
        <v>30</v>
      </c>
      <c r="B1660" s="57" t="s">
        <v>22</v>
      </c>
      <c r="C1660" s="57" t="s">
        <v>39</v>
      </c>
      <c r="D1660" s="57" t="s">
        <v>24</v>
      </c>
      <c r="E1660" s="57" t="s">
        <v>24</v>
      </c>
      <c r="F1660" s="57" t="s">
        <v>25</v>
      </c>
      <c r="G1660" s="57" t="s">
        <v>25</v>
      </c>
      <c r="H1660" s="57" t="s">
        <v>37</v>
      </c>
      <c r="I1660" s="82">
        <v>44440</v>
      </c>
      <c r="J1660" s="83">
        <f>EFEITO!$J$1660*EFEITO!$Y$1660</f>
        <v>0</v>
      </c>
      <c r="K1660" s="83">
        <f ca="1">EFEITO!$L$1660*EFEITO!$Z$1660</f>
        <v>196.29835934689365</v>
      </c>
      <c r="L1660" s="83">
        <f>EFEITO!$N$1660*EFEITO!$AA$1660</f>
        <v>82.233470795041228</v>
      </c>
      <c r="M1660" s="83">
        <f>$J$1660-EFEITO!$K$1660*EFEITO!$Y$1660</f>
        <v>0</v>
      </c>
      <c r="N1660" s="83">
        <f ca="1">$K$1660-EFEITO!$M$1660*EFEITO!$Z$1660</f>
        <v>0</v>
      </c>
      <c r="O1660" s="83">
        <f>$L$1660-EFEITO!$O$1660*EFEITO!$AA$1660</f>
        <v>0</v>
      </c>
      <c r="P1660" s="61"/>
      <c r="Q1660" s="61"/>
      <c r="R1660" s="61"/>
      <c r="S1660" s="61"/>
      <c r="T1660" s="61"/>
      <c r="U1660" s="61"/>
      <c r="V1660" s="61"/>
      <c r="W1660" s="61"/>
      <c r="X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</row>
    <row r="1661" spans="1:36" ht="11.25" customHeight="1" x14ac:dyDescent="0.2">
      <c r="A1661" s="57" t="s">
        <v>59</v>
      </c>
      <c r="B1661" s="57" t="s">
        <v>22</v>
      </c>
      <c r="C1661" s="57" t="s">
        <v>39</v>
      </c>
      <c r="D1661" s="57" t="s">
        <v>24</v>
      </c>
      <c r="E1661" s="57" t="s">
        <v>24</v>
      </c>
      <c r="F1661" s="57" t="s">
        <v>25</v>
      </c>
      <c r="G1661" s="57" t="s">
        <v>25</v>
      </c>
      <c r="H1661" s="57" t="s">
        <v>37</v>
      </c>
      <c r="I1661" s="82">
        <v>44470</v>
      </c>
      <c r="J1661" s="83">
        <f>EFEITO!$J$1661*EFEITO!$Y$1661</f>
        <v>0</v>
      </c>
      <c r="K1661" s="83">
        <f ca="1">EFEITO!$L$1661*EFEITO!$Z$1661</f>
        <v>3732.9223915580556</v>
      </c>
      <c r="L1661" s="83">
        <f>EFEITO!$N$1661*EFEITO!$AA$1661</f>
        <v>1563.7989308095687</v>
      </c>
      <c r="M1661" s="83">
        <f>$J$1661-EFEITO!$K$1661*EFEITO!$Y$1661</f>
        <v>0</v>
      </c>
      <c r="N1661" s="83">
        <f ca="1">$K$1661-EFEITO!$M$1661*EFEITO!$Z$1661</f>
        <v>0</v>
      </c>
      <c r="O1661" s="83">
        <f>$L$1661-EFEITO!$O$1661*EFEITO!$AA$1661</f>
        <v>0</v>
      </c>
      <c r="P1661" s="61"/>
      <c r="Q1661" s="61"/>
      <c r="R1661" s="61"/>
      <c r="S1661" s="61"/>
      <c r="T1661" s="61"/>
      <c r="U1661" s="61"/>
      <c r="V1661" s="61"/>
      <c r="W1661" s="61"/>
      <c r="X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</row>
    <row r="1662" spans="1:36" ht="11.25" customHeight="1" x14ac:dyDescent="0.2">
      <c r="A1662" s="57" t="s">
        <v>59</v>
      </c>
      <c r="B1662" s="57" t="s">
        <v>22</v>
      </c>
      <c r="C1662" s="57" t="s">
        <v>39</v>
      </c>
      <c r="D1662" s="57" t="s">
        <v>24</v>
      </c>
      <c r="E1662" s="57" t="s">
        <v>24</v>
      </c>
      <c r="F1662" s="57" t="s">
        <v>25</v>
      </c>
      <c r="G1662" s="57" t="s">
        <v>25</v>
      </c>
      <c r="H1662" s="57" t="s">
        <v>37</v>
      </c>
      <c r="I1662" s="82">
        <v>44470</v>
      </c>
      <c r="J1662" s="83">
        <f>EFEITO!$J$1662*EFEITO!$Y$1662</f>
        <v>0</v>
      </c>
      <c r="K1662" s="83">
        <f ca="1">EFEITO!$L$1662*EFEITO!$Z$1662</f>
        <v>59.648672729719074</v>
      </c>
      <c r="L1662" s="83">
        <f>EFEITO!$N$1662*EFEITO!$AA$1662</f>
        <v>24.988071236062254</v>
      </c>
      <c r="M1662" s="83">
        <f>$J$1662-EFEITO!$K$1662*EFEITO!$Y$1662</f>
        <v>0</v>
      </c>
      <c r="N1662" s="83">
        <f ca="1">$K$1662-EFEITO!$M$1662*EFEITO!$Z$1662</f>
        <v>0</v>
      </c>
      <c r="O1662" s="83">
        <f>$L$1662-EFEITO!$O$1662*EFEITO!$AA$1662</f>
        <v>0</v>
      </c>
      <c r="P1662" s="61"/>
      <c r="Q1662" s="61"/>
      <c r="R1662" s="61"/>
      <c r="S1662" s="61"/>
      <c r="T1662" s="61"/>
      <c r="U1662" s="61"/>
      <c r="V1662" s="61"/>
      <c r="W1662" s="61"/>
      <c r="X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</row>
    <row r="1663" spans="1:36" ht="11.25" customHeight="1" x14ac:dyDescent="0.2">
      <c r="A1663" s="57" t="s">
        <v>59</v>
      </c>
      <c r="B1663" s="57" t="s">
        <v>22</v>
      </c>
      <c r="C1663" s="57" t="s">
        <v>39</v>
      </c>
      <c r="D1663" s="57" t="s">
        <v>24</v>
      </c>
      <c r="E1663" s="57" t="s">
        <v>24</v>
      </c>
      <c r="F1663" s="57" t="s">
        <v>25</v>
      </c>
      <c r="G1663" s="57" t="s">
        <v>25</v>
      </c>
      <c r="H1663" s="57" t="s">
        <v>37</v>
      </c>
      <c r="I1663" s="82">
        <v>44470</v>
      </c>
      <c r="J1663" s="83">
        <f>EFEITO!$J$1663*EFEITO!$Y$1663</f>
        <v>0</v>
      </c>
      <c r="K1663" s="83">
        <f ca="1">EFEITO!$L$1663*EFEITO!$Z$1663</f>
        <v>291.73623571444421</v>
      </c>
      <c r="L1663" s="83">
        <f>EFEITO!$N$1663*EFEITO!$AA$1663</f>
        <v>122.21438477274084</v>
      </c>
      <c r="M1663" s="83">
        <f>$J$1663-EFEITO!$K$1663*EFEITO!$Y$1663</f>
        <v>0</v>
      </c>
      <c r="N1663" s="83">
        <f ca="1">$K$1663-EFEITO!$M$1663*EFEITO!$Z$1663</f>
        <v>0</v>
      </c>
      <c r="O1663" s="83">
        <f>$L$1663-EFEITO!$O$1663*EFEITO!$AA$1663</f>
        <v>0</v>
      </c>
      <c r="P1663" s="61"/>
      <c r="Q1663" s="61"/>
      <c r="R1663" s="61"/>
      <c r="S1663" s="61"/>
      <c r="T1663" s="61"/>
      <c r="U1663" s="61"/>
      <c r="V1663" s="61"/>
      <c r="W1663" s="61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</row>
    <row r="1664" spans="1:36" ht="11.25" customHeight="1" x14ac:dyDescent="0.2">
      <c r="A1664" s="57" t="s">
        <v>59</v>
      </c>
      <c r="B1664" s="57" t="s">
        <v>22</v>
      </c>
      <c r="C1664" s="57" t="s">
        <v>39</v>
      </c>
      <c r="D1664" s="57" t="s">
        <v>24</v>
      </c>
      <c r="E1664" s="57" t="s">
        <v>24</v>
      </c>
      <c r="F1664" s="57" t="s">
        <v>25</v>
      </c>
      <c r="G1664" s="57" t="s">
        <v>25</v>
      </c>
      <c r="H1664" s="57" t="s">
        <v>37</v>
      </c>
      <c r="I1664" s="82">
        <v>44470</v>
      </c>
      <c r="J1664" s="83">
        <f>EFEITO!$J$1664*EFEITO!$Y$1664</f>
        <v>0</v>
      </c>
      <c r="K1664" s="83">
        <f ca="1">EFEITO!$L$1664*EFEITO!$Z$1664</f>
        <v>-1028.126213595885</v>
      </c>
      <c r="L1664" s="83">
        <f>EFEITO!$N$1664*EFEITO!$AA$1664</f>
        <v>-430.70348239612753</v>
      </c>
      <c r="M1664" s="83">
        <f>$J$1664-EFEITO!$K$1664*EFEITO!$Y$1664</f>
        <v>0</v>
      </c>
      <c r="N1664" s="83">
        <f ca="1">$K$1664-EFEITO!$M$1664*EFEITO!$Z$1664</f>
        <v>0</v>
      </c>
      <c r="O1664" s="83">
        <f>$L$1664-EFEITO!$O$1664*EFEITO!$AA$1664</f>
        <v>0</v>
      </c>
      <c r="P1664" s="61"/>
      <c r="Q1664" s="61"/>
      <c r="R1664" s="61"/>
      <c r="S1664" s="61"/>
      <c r="T1664" s="61"/>
      <c r="U1664" s="61"/>
      <c r="V1664" s="61"/>
      <c r="W1664" s="61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</row>
    <row r="1665" spans="1:36" ht="11.25" customHeight="1" x14ac:dyDescent="0.2">
      <c r="A1665" s="57" t="s">
        <v>59</v>
      </c>
      <c r="B1665" s="57" t="s">
        <v>22</v>
      </c>
      <c r="C1665" s="57" t="s">
        <v>39</v>
      </c>
      <c r="D1665" s="57" t="s">
        <v>24</v>
      </c>
      <c r="E1665" s="57" t="s">
        <v>24</v>
      </c>
      <c r="F1665" s="57" t="s">
        <v>25</v>
      </c>
      <c r="G1665" s="57" t="s">
        <v>25</v>
      </c>
      <c r="H1665" s="57" t="s">
        <v>37</v>
      </c>
      <c r="I1665" s="82">
        <v>44470</v>
      </c>
      <c r="J1665" s="83">
        <f>EFEITO!$J$1665*EFEITO!$Y$1665</f>
        <v>0</v>
      </c>
      <c r="K1665" s="83">
        <f ca="1">EFEITO!$L$1665*EFEITO!$Z$1665</f>
        <v>196.29835934689365</v>
      </c>
      <c r="L1665" s="83">
        <f>EFEITO!$N$1665*EFEITO!$AA$1665</f>
        <v>82.233470795041228</v>
      </c>
      <c r="M1665" s="83">
        <f>$J$1665-EFEITO!$K$1665*EFEITO!$Y$1665</f>
        <v>0</v>
      </c>
      <c r="N1665" s="83">
        <f ca="1">$K$1665-EFEITO!$M$1665*EFEITO!$Z$1665</f>
        <v>0</v>
      </c>
      <c r="O1665" s="83">
        <f>$L$1665-EFEITO!$O$1665*EFEITO!$AA$1665</f>
        <v>0</v>
      </c>
      <c r="P1665" s="61"/>
      <c r="Q1665" s="61"/>
      <c r="R1665" s="61"/>
      <c r="S1665" s="61"/>
      <c r="T1665" s="61"/>
      <c r="U1665" s="61"/>
      <c r="V1665" s="61"/>
      <c r="W1665" s="61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</row>
    <row r="1666" spans="1:36" ht="11.25" customHeight="1" x14ac:dyDescent="0.2">
      <c r="A1666" s="57" t="s">
        <v>21</v>
      </c>
      <c r="B1666" s="57" t="s">
        <v>22</v>
      </c>
      <c r="C1666" s="57" t="s">
        <v>23</v>
      </c>
      <c r="D1666" s="57" t="s">
        <v>24</v>
      </c>
      <c r="E1666" s="57" t="s">
        <v>24</v>
      </c>
      <c r="F1666" s="57" t="s">
        <v>25</v>
      </c>
      <c r="G1666" s="57" t="s">
        <v>25</v>
      </c>
      <c r="H1666" s="57" t="s">
        <v>25</v>
      </c>
      <c r="I1666" s="82">
        <v>44136</v>
      </c>
      <c r="J1666" s="83">
        <f>EFEITO!$J$1666*EFEITO!$Y$1666</f>
        <v>0</v>
      </c>
      <c r="K1666" s="83">
        <f ca="1">EFEITO!$L$1666*EFEITO!$Z$1666</f>
        <v>64154221.057244644</v>
      </c>
      <c r="L1666" s="83">
        <f>EFEITO!$N$1666*EFEITO!$AA$1666</f>
        <v>37642634.270631664</v>
      </c>
      <c r="M1666" s="83">
        <f>$J$1666-EFEITO!$K$1666*EFEITO!$Y$1666</f>
        <v>0</v>
      </c>
      <c r="N1666" s="83">
        <f ca="1">$K$1666-EFEITO!$M$1666*EFEITO!$Z$1666</f>
        <v>0</v>
      </c>
      <c r="O1666" s="83">
        <f>$L$1666-EFEITO!$O$1666*EFEITO!$AA$1666</f>
        <v>0</v>
      </c>
      <c r="P1666" s="61"/>
      <c r="Q1666" s="61"/>
      <c r="R1666" s="61"/>
      <c r="S1666" s="61"/>
      <c r="T1666" s="61"/>
      <c r="U1666" s="61"/>
      <c r="V1666" s="61"/>
      <c r="W1666" s="61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</row>
    <row r="1667" spans="1:36" ht="11.25" customHeight="1" x14ac:dyDescent="0.2">
      <c r="A1667" s="57" t="s">
        <v>27</v>
      </c>
      <c r="B1667" s="57" t="s">
        <v>22</v>
      </c>
      <c r="C1667" s="57" t="s">
        <v>23</v>
      </c>
      <c r="D1667" s="57" t="s">
        <v>24</v>
      </c>
      <c r="E1667" s="57" t="s">
        <v>24</v>
      </c>
      <c r="F1667" s="57" t="s">
        <v>25</v>
      </c>
      <c r="G1667" s="57" t="s">
        <v>25</v>
      </c>
      <c r="H1667" s="57" t="s">
        <v>25</v>
      </c>
      <c r="I1667" s="82">
        <v>44136</v>
      </c>
      <c r="J1667" s="83">
        <f>EFEITO!$J$1667*EFEITO!$Y$1667</f>
        <v>0</v>
      </c>
      <c r="K1667" s="83">
        <f ca="1">EFEITO!$L$1667*EFEITO!$Z$1667</f>
        <v>-1764036.399470516</v>
      </c>
      <c r="L1667" s="83">
        <f>EFEITO!$N$1667*EFEITO!$AA$1667</f>
        <v>-1035052.346222072</v>
      </c>
      <c r="M1667" s="83">
        <f>$J$1667-EFEITO!$K$1667*EFEITO!$Y$1667</f>
        <v>0</v>
      </c>
      <c r="N1667" s="83">
        <f ca="1">$K$1667-EFEITO!$M$1667*EFEITO!$Z$1667</f>
        <v>0</v>
      </c>
      <c r="O1667" s="83">
        <f>$L$1667-EFEITO!$O$1667*EFEITO!$AA$1667</f>
        <v>0</v>
      </c>
      <c r="P1667" s="61"/>
      <c r="Q1667" s="61"/>
      <c r="R1667" s="61"/>
      <c r="S1667" s="61"/>
      <c r="T1667" s="61"/>
      <c r="U1667" s="61"/>
      <c r="V1667" s="61"/>
      <c r="W1667" s="61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</row>
    <row r="1668" spans="1:36" ht="11.25" customHeight="1" x14ac:dyDescent="0.2">
      <c r="A1668" s="57" t="s">
        <v>28</v>
      </c>
      <c r="B1668" s="57" t="s">
        <v>22</v>
      </c>
      <c r="C1668" s="57" t="s">
        <v>23</v>
      </c>
      <c r="D1668" s="57" t="s">
        <v>24</v>
      </c>
      <c r="E1668" s="57" t="s">
        <v>24</v>
      </c>
      <c r="F1668" s="57" t="s">
        <v>25</v>
      </c>
      <c r="G1668" s="57" t="s">
        <v>25</v>
      </c>
      <c r="H1668" s="57" t="s">
        <v>25</v>
      </c>
      <c r="I1668" s="82">
        <v>44136</v>
      </c>
      <c r="J1668" s="83">
        <f>EFEITO!$J$1668*EFEITO!$Y$1668</f>
        <v>0</v>
      </c>
      <c r="K1668" s="83">
        <f ca="1">EFEITO!$L$1668*EFEITO!$Z$1668</f>
        <v>17963005.99181712</v>
      </c>
      <c r="L1668" s="83">
        <f>EFEITO!$N$1668*EFEITO!$AA$1668</f>
        <v>10539834.383583084</v>
      </c>
      <c r="M1668" s="83">
        <f>$J$1668-EFEITO!$K$1668*EFEITO!$Y$1668</f>
        <v>0</v>
      </c>
      <c r="N1668" s="83">
        <f ca="1">$K$1668-EFEITO!$M$1668*EFEITO!$Z$1668</f>
        <v>0</v>
      </c>
      <c r="O1668" s="83">
        <f>$L$1668-EFEITO!$O$1668*EFEITO!$AA$1668</f>
        <v>0</v>
      </c>
      <c r="P1668" s="61"/>
      <c r="Q1668" s="61"/>
      <c r="R1668" s="61"/>
      <c r="S1668" s="61"/>
      <c r="T1668" s="61"/>
      <c r="U1668" s="61"/>
      <c r="V1668" s="61"/>
      <c r="W1668" s="61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</row>
    <row r="1669" spans="1:36" ht="11.25" customHeight="1" x14ac:dyDescent="0.2">
      <c r="A1669" s="57" t="s">
        <v>29</v>
      </c>
      <c r="B1669" s="57" t="s">
        <v>22</v>
      </c>
      <c r="C1669" s="57" t="s">
        <v>23</v>
      </c>
      <c r="D1669" s="57" t="s">
        <v>24</v>
      </c>
      <c r="E1669" s="57" t="s">
        <v>24</v>
      </c>
      <c r="F1669" s="57" t="s">
        <v>25</v>
      </c>
      <c r="G1669" s="57" t="s">
        <v>25</v>
      </c>
      <c r="H1669" s="57" t="s">
        <v>25</v>
      </c>
      <c r="I1669" s="82">
        <v>44136</v>
      </c>
      <c r="J1669" s="83">
        <f>EFEITO!$J$1669*EFEITO!$Y$1669</f>
        <v>0</v>
      </c>
      <c r="K1669" s="83">
        <f ca="1">EFEITO!$L$1669*EFEITO!$Z$1669</f>
        <v>-96768.083573143726</v>
      </c>
      <c r="L1669" s="83">
        <f>EFEITO!$N$1669*EFEITO!$AA$1669</f>
        <v>-56778.89184818379</v>
      </c>
      <c r="M1669" s="83">
        <f>$J$1669-EFEITO!$K$1669*EFEITO!$Y$1669</f>
        <v>0</v>
      </c>
      <c r="N1669" s="83">
        <f ca="1">$K$1669-EFEITO!$M$1669*EFEITO!$Z$1669</f>
        <v>0</v>
      </c>
      <c r="O1669" s="83">
        <f>$L$1669-EFEITO!$O$1669*EFEITO!$AA$1669</f>
        <v>0</v>
      </c>
      <c r="P1669" s="61"/>
      <c r="Q1669" s="61"/>
      <c r="R1669" s="61"/>
      <c r="S1669" s="61"/>
      <c r="T1669" s="61"/>
      <c r="U1669" s="61"/>
      <c r="V1669" s="61"/>
      <c r="W1669" s="61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</row>
    <row r="1670" spans="1:36" ht="11.25" customHeight="1" x14ac:dyDescent="0.2">
      <c r="A1670" s="57" t="s">
        <v>30</v>
      </c>
      <c r="B1670" s="57" t="s">
        <v>22</v>
      </c>
      <c r="C1670" s="57" t="s">
        <v>23</v>
      </c>
      <c r="D1670" s="57" t="s">
        <v>24</v>
      </c>
      <c r="E1670" s="57" t="s">
        <v>24</v>
      </c>
      <c r="F1670" s="57" t="s">
        <v>25</v>
      </c>
      <c r="G1670" s="57" t="s">
        <v>25</v>
      </c>
      <c r="H1670" s="57" t="s">
        <v>25</v>
      </c>
      <c r="I1670" s="82">
        <v>44136</v>
      </c>
      <c r="J1670" s="83">
        <f>EFEITO!$J$1670*EFEITO!$Y$1670</f>
        <v>0</v>
      </c>
      <c r="K1670" s="83">
        <f ca="1">EFEITO!$L$1670*EFEITO!$Z$1670</f>
        <v>546437.1532115076</v>
      </c>
      <c r="L1670" s="83">
        <f>EFEITO!$N$1670*EFEITO!$AA$1670</f>
        <v>320623.23524857289</v>
      </c>
      <c r="M1670" s="83">
        <f>$J$1670-EFEITO!$K$1670*EFEITO!$Y$1670</f>
        <v>0</v>
      </c>
      <c r="N1670" s="83">
        <f ca="1">$K$1670-EFEITO!$M$1670*EFEITO!$Z$1670</f>
        <v>0</v>
      </c>
      <c r="O1670" s="83">
        <f>$L$1670-EFEITO!$O$1670*EFEITO!$AA$1670</f>
        <v>0</v>
      </c>
      <c r="P1670" s="61"/>
      <c r="Q1670" s="61"/>
      <c r="R1670" s="61"/>
      <c r="S1670" s="61"/>
      <c r="T1670" s="61"/>
      <c r="U1670" s="61"/>
      <c r="V1670" s="61"/>
      <c r="W1670" s="61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</row>
    <row r="1671" spans="1:36" ht="11.25" customHeight="1" x14ac:dyDescent="0.2">
      <c r="A1671" s="57" t="s">
        <v>30</v>
      </c>
      <c r="B1671" s="57" t="s">
        <v>22</v>
      </c>
      <c r="C1671" s="57" t="s">
        <v>23</v>
      </c>
      <c r="D1671" s="57" t="s">
        <v>24</v>
      </c>
      <c r="E1671" s="57" t="s">
        <v>24</v>
      </c>
      <c r="F1671" s="57" t="s">
        <v>25</v>
      </c>
      <c r="G1671" s="57" t="s">
        <v>25</v>
      </c>
      <c r="H1671" s="57" t="s">
        <v>25</v>
      </c>
      <c r="I1671" s="82">
        <v>44136</v>
      </c>
      <c r="J1671" s="83">
        <f>EFEITO!$J$1671*EFEITO!$Y$1671</f>
        <v>0</v>
      </c>
      <c r="K1671" s="83">
        <f ca="1">EFEITO!$L$1671*EFEITO!$Z$1671</f>
        <v>583.51086014426744</v>
      </c>
      <c r="L1671" s="83">
        <f>EFEITO!$N$1671*EFEITO!$AA$1671</f>
        <v>342.37631662230223</v>
      </c>
      <c r="M1671" s="83">
        <f>$J$1671-EFEITO!$K$1671*EFEITO!$Y$1671</f>
        <v>0</v>
      </c>
      <c r="N1671" s="83">
        <f ca="1">$K$1671-EFEITO!$M$1671*EFEITO!$Z$1671</f>
        <v>0</v>
      </c>
      <c r="O1671" s="83">
        <f>$L$1671-EFEITO!$O$1671*EFEITO!$AA$1671</f>
        <v>0</v>
      </c>
      <c r="P1671" s="61"/>
      <c r="Q1671" s="61"/>
      <c r="R1671" s="61"/>
      <c r="S1671" s="61"/>
      <c r="T1671" s="61"/>
      <c r="U1671" s="61"/>
      <c r="V1671" s="61"/>
      <c r="W1671" s="61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</row>
    <row r="1672" spans="1:36" ht="11.25" customHeight="1" x14ac:dyDescent="0.2">
      <c r="A1672" s="57" t="s">
        <v>21</v>
      </c>
      <c r="B1672" s="57" t="s">
        <v>22</v>
      </c>
      <c r="C1672" s="57" t="s">
        <v>23</v>
      </c>
      <c r="D1672" s="57" t="s">
        <v>24</v>
      </c>
      <c r="E1672" s="57" t="s">
        <v>24</v>
      </c>
      <c r="F1672" s="57" t="s">
        <v>25</v>
      </c>
      <c r="G1672" s="57" t="s">
        <v>25</v>
      </c>
      <c r="H1672" s="57" t="s">
        <v>25</v>
      </c>
      <c r="I1672" s="82">
        <v>44166</v>
      </c>
      <c r="J1672" s="83">
        <f>EFEITO!$J$1672*EFEITO!$Y$1672</f>
        <v>0</v>
      </c>
      <c r="K1672" s="83">
        <f ca="1">EFEITO!$L$1672*EFEITO!$Z$1672</f>
        <v>57606502.350450002</v>
      </c>
      <c r="L1672" s="83">
        <f>EFEITO!$N$1672*EFEITO!$AA$1672</f>
        <v>33800745.51374197</v>
      </c>
      <c r="M1672" s="83">
        <f>$J$1672-EFEITO!$K$1672*EFEITO!$Y$1672</f>
        <v>0</v>
      </c>
      <c r="N1672" s="83">
        <f ca="1">$K$1672-EFEITO!$M$1672*EFEITO!$Z$1672</f>
        <v>0</v>
      </c>
      <c r="O1672" s="83">
        <f>$L$1672-EFEITO!$O$1672*EFEITO!$AA$1672</f>
        <v>0</v>
      </c>
      <c r="P1672" s="61"/>
      <c r="Q1672" s="61"/>
      <c r="R1672" s="61"/>
      <c r="S1672" s="61"/>
      <c r="T1672" s="61"/>
      <c r="U1672" s="61"/>
      <c r="V1672" s="61"/>
      <c r="W1672" s="61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</row>
    <row r="1673" spans="1:36" ht="11.25" customHeight="1" x14ac:dyDescent="0.2">
      <c r="A1673" s="57" t="s">
        <v>27</v>
      </c>
      <c r="B1673" s="57" t="s">
        <v>22</v>
      </c>
      <c r="C1673" s="57" t="s">
        <v>23</v>
      </c>
      <c r="D1673" s="57" t="s">
        <v>24</v>
      </c>
      <c r="E1673" s="57" t="s">
        <v>24</v>
      </c>
      <c r="F1673" s="57" t="s">
        <v>25</v>
      </c>
      <c r="G1673" s="57" t="s">
        <v>25</v>
      </c>
      <c r="H1673" s="57" t="s">
        <v>25</v>
      </c>
      <c r="I1673" s="82">
        <v>44166</v>
      </c>
      <c r="J1673" s="83">
        <f>EFEITO!$J$1673*EFEITO!$Y$1673</f>
        <v>0</v>
      </c>
      <c r="K1673" s="83">
        <f ca="1">EFEITO!$L$1673*EFEITO!$Z$1673</f>
        <v>-1579607.4591171055</v>
      </c>
      <c r="L1673" s="83">
        <f>EFEITO!$N$1673*EFEITO!$AA$1673</f>
        <v>-926838.24843965331</v>
      </c>
      <c r="M1673" s="83">
        <f>$J$1673-EFEITO!$K$1673*EFEITO!$Y$1673</f>
        <v>0</v>
      </c>
      <c r="N1673" s="83">
        <f ca="1">$K$1673-EFEITO!$M$1673*EFEITO!$Z$1673</f>
        <v>0</v>
      </c>
      <c r="O1673" s="83">
        <f>$L$1673-EFEITO!$O$1673*EFEITO!$AA$1673</f>
        <v>0</v>
      </c>
      <c r="P1673" s="61"/>
      <c r="Q1673" s="61"/>
      <c r="R1673" s="61"/>
      <c r="S1673" s="61"/>
      <c r="T1673" s="61"/>
      <c r="U1673" s="61"/>
      <c r="V1673" s="61"/>
      <c r="W1673" s="61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</row>
    <row r="1674" spans="1:36" ht="11.25" customHeight="1" x14ac:dyDescent="0.2">
      <c r="A1674" s="57" t="s">
        <v>28</v>
      </c>
      <c r="B1674" s="57" t="s">
        <v>22</v>
      </c>
      <c r="C1674" s="57" t="s">
        <v>23</v>
      </c>
      <c r="D1674" s="57" t="s">
        <v>24</v>
      </c>
      <c r="E1674" s="57" t="s">
        <v>24</v>
      </c>
      <c r="F1674" s="57" t="s">
        <v>25</v>
      </c>
      <c r="G1674" s="57" t="s">
        <v>25</v>
      </c>
      <c r="H1674" s="57" t="s">
        <v>25</v>
      </c>
      <c r="I1674" s="82">
        <v>44166</v>
      </c>
      <c r="J1674" s="83">
        <f>EFEITO!$J$1674*EFEITO!$Y$1674</f>
        <v>0</v>
      </c>
      <c r="K1674" s="83">
        <f ca="1">EFEITO!$L$1674*EFEITO!$Z$1674</f>
        <v>16811032.469570272</v>
      </c>
      <c r="L1674" s="83">
        <f>EFEITO!$N$1674*EFEITO!$AA$1674</f>
        <v>9863911.3145663701</v>
      </c>
      <c r="M1674" s="83">
        <f>$J$1674-EFEITO!$K$1674*EFEITO!$Y$1674</f>
        <v>0</v>
      </c>
      <c r="N1674" s="83">
        <f ca="1">$K$1674-EFEITO!$M$1674*EFEITO!$Z$1674</f>
        <v>0</v>
      </c>
      <c r="O1674" s="83">
        <f>$L$1674-EFEITO!$O$1674*EFEITO!$AA$1674</f>
        <v>0</v>
      </c>
      <c r="P1674" s="61"/>
      <c r="Q1674" s="61"/>
      <c r="R1674" s="61"/>
      <c r="S1674" s="61"/>
      <c r="T1674" s="61"/>
      <c r="U1674" s="61"/>
      <c r="V1674" s="61"/>
      <c r="W1674" s="61"/>
      <c r="X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</row>
    <row r="1675" spans="1:36" ht="11.25" customHeight="1" x14ac:dyDescent="0.2">
      <c r="A1675" s="57" t="s">
        <v>29</v>
      </c>
      <c r="B1675" s="57" t="s">
        <v>22</v>
      </c>
      <c r="C1675" s="57" t="s">
        <v>23</v>
      </c>
      <c r="D1675" s="57" t="s">
        <v>24</v>
      </c>
      <c r="E1675" s="57" t="s">
        <v>24</v>
      </c>
      <c r="F1675" s="57" t="s">
        <v>25</v>
      </c>
      <c r="G1675" s="57" t="s">
        <v>25</v>
      </c>
      <c r="H1675" s="57" t="s">
        <v>25</v>
      </c>
      <c r="I1675" s="82">
        <v>44166</v>
      </c>
      <c r="J1675" s="83">
        <f>EFEITO!$J$1675*EFEITO!$Y$1675</f>
        <v>0</v>
      </c>
      <c r="K1675" s="83">
        <f ca="1">EFEITO!$L$1675*EFEITO!$Z$1675</f>
        <v>-276881.98137658142</v>
      </c>
      <c r="L1675" s="83">
        <f>EFEITO!$N$1675*EFEITO!$AA$1675</f>
        <v>-162461.1286572472</v>
      </c>
      <c r="M1675" s="83">
        <f>$J$1675-EFEITO!$K$1675*EFEITO!$Y$1675</f>
        <v>0</v>
      </c>
      <c r="N1675" s="83">
        <f ca="1">$K$1675-EFEITO!$M$1675*EFEITO!$Z$1675</f>
        <v>0</v>
      </c>
      <c r="O1675" s="83">
        <f>$L$1675-EFEITO!$O$1675*EFEITO!$AA$1675</f>
        <v>0</v>
      </c>
      <c r="P1675" s="61"/>
      <c r="Q1675" s="61"/>
      <c r="R1675" s="61"/>
      <c r="S1675" s="61"/>
      <c r="T1675" s="61"/>
      <c r="U1675" s="61"/>
      <c r="V1675" s="61"/>
      <c r="W1675" s="61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</row>
    <row r="1676" spans="1:36" ht="11.25" customHeight="1" x14ac:dyDescent="0.2">
      <c r="A1676" s="57" t="s">
        <v>30</v>
      </c>
      <c r="B1676" s="57" t="s">
        <v>22</v>
      </c>
      <c r="C1676" s="57" t="s">
        <v>23</v>
      </c>
      <c r="D1676" s="57" t="s">
        <v>24</v>
      </c>
      <c r="E1676" s="57" t="s">
        <v>24</v>
      </c>
      <c r="F1676" s="57" t="s">
        <v>25</v>
      </c>
      <c r="G1676" s="57" t="s">
        <v>25</v>
      </c>
      <c r="H1676" s="57" t="s">
        <v>25</v>
      </c>
      <c r="I1676" s="82">
        <v>44166</v>
      </c>
      <c r="J1676" s="83">
        <f>EFEITO!$J$1676*EFEITO!$Y$1676</f>
        <v>0</v>
      </c>
      <c r="K1676" s="83">
        <f ca="1">EFEITO!$L$1676*EFEITO!$Z$1676</f>
        <v>554846.39565952425</v>
      </c>
      <c r="L1676" s="83">
        <f>EFEITO!$N$1676*EFEITO!$AA$1676</f>
        <v>325557.3772698954</v>
      </c>
      <c r="M1676" s="83">
        <f>$J$1676-EFEITO!$K$1676*EFEITO!$Y$1676</f>
        <v>0</v>
      </c>
      <c r="N1676" s="83">
        <f ca="1">$K$1676-EFEITO!$M$1676*EFEITO!$Z$1676</f>
        <v>0</v>
      </c>
      <c r="O1676" s="83">
        <f>$L$1676-EFEITO!$O$1676*EFEITO!$AA$1676</f>
        <v>0</v>
      </c>
      <c r="P1676" s="61"/>
      <c r="Q1676" s="61"/>
      <c r="R1676" s="61"/>
      <c r="S1676" s="61"/>
      <c r="T1676" s="61"/>
      <c r="U1676" s="61"/>
      <c r="V1676" s="61"/>
      <c r="W1676" s="61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</row>
    <row r="1677" spans="1:36" ht="11.25" customHeight="1" x14ac:dyDescent="0.2">
      <c r="A1677" s="57" t="s">
        <v>30</v>
      </c>
      <c r="B1677" s="57" t="s">
        <v>22</v>
      </c>
      <c r="C1677" s="57" t="s">
        <v>23</v>
      </c>
      <c r="D1677" s="57" t="s">
        <v>24</v>
      </c>
      <c r="E1677" s="57" t="s">
        <v>24</v>
      </c>
      <c r="F1677" s="57" t="s">
        <v>25</v>
      </c>
      <c r="G1677" s="57" t="s">
        <v>25</v>
      </c>
      <c r="H1677" s="57" t="s">
        <v>25</v>
      </c>
      <c r="I1677" s="82">
        <v>44166</v>
      </c>
      <c r="J1677" s="83">
        <f>EFEITO!$J$1677*EFEITO!$Y$1677</f>
        <v>0</v>
      </c>
      <c r="K1677" s="83">
        <f ca="1">EFEITO!$L$1677*EFEITO!$Z$1677</f>
        <v>-6092.9272019751679</v>
      </c>
      <c r="L1677" s="83">
        <f>EFEITO!$N$1677*EFEITO!$AA$1677</f>
        <v>-3575.0388130639526</v>
      </c>
      <c r="M1677" s="83">
        <f>$J$1677-EFEITO!$K$1677*EFEITO!$Y$1677</f>
        <v>0</v>
      </c>
      <c r="N1677" s="83">
        <f ca="1">$K$1677-EFEITO!$M$1677*EFEITO!$Z$1677</f>
        <v>0</v>
      </c>
      <c r="O1677" s="83">
        <f>$L$1677-EFEITO!$O$1677*EFEITO!$AA$1677</f>
        <v>0</v>
      </c>
      <c r="P1677" s="61"/>
      <c r="Q1677" s="61"/>
      <c r="R1677" s="61"/>
      <c r="S1677" s="61"/>
      <c r="T1677" s="61"/>
      <c r="U1677" s="61"/>
      <c r="V1677" s="61"/>
      <c r="W1677" s="61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</row>
    <row r="1678" spans="1:36" ht="11.25" customHeight="1" x14ac:dyDescent="0.2">
      <c r="A1678" s="57" t="s">
        <v>21</v>
      </c>
      <c r="B1678" s="57" t="s">
        <v>22</v>
      </c>
      <c r="C1678" s="57" t="s">
        <v>23</v>
      </c>
      <c r="D1678" s="57" t="s">
        <v>24</v>
      </c>
      <c r="E1678" s="57" t="s">
        <v>24</v>
      </c>
      <c r="F1678" s="57" t="s">
        <v>25</v>
      </c>
      <c r="G1678" s="57" t="s">
        <v>25</v>
      </c>
      <c r="H1678" s="57" t="s">
        <v>25</v>
      </c>
      <c r="I1678" s="82">
        <v>44197</v>
      </c>
      <c r="J1678" s="83">
        <f>EFEITO!$J$1678*EFEITO!$Y$1678</f>
        <v>0</v>
      </c>
      <c r="K1678" s="83">
        <f ca="1">EFEITO!$L$1678*EFEITO!$Z$1678</f>
        <v>53155477.457110777</v>
      </c>
      <c r="L1678" s="83">
        <f>EFEITO!$N$1678*EFEITO!$AA$1678</f>
        <v>31189096.592933737</v>
      </c>
      <c r="M1678" s="83">
        <f>$J$1678-EFEITO!$K$1678*EFEITO!$Y$1678</f>
        <v>0</v>
      </c>
      <c r="N1678" s="83">
        <f ca="1">$K$1678-EFEITO!$M$1678*EFEITO!$Z$1678</f>
        <v>0</v>
      </c>
      <c r="O1678" s="83">
        <f>$L$1678-EFEITO!$O$1678*EFEITO!$AA$1678</f>
        <v>0</v>
      </c>
      <c r="P1678" s="61"/>
      <c r="Q1678" s="61"/>
      <c r="R1678" s="61"/>
      <c r="S1678" s="61"/>
      <c r="T1678" s="61"/>
      <c r="U1678" s="61"/>
      <c r="V1678" s="61"/>
      <c r="W1678" s="61"/>
      <c r="X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</row>
    <row r="1679" spans="1:36" ht="11.25" customHeight="1" x14ac:dyDescent="0.2">
      <c r="A1679" s="57" t="s">
        <v>27</v>
      </c>
      <c r="B1679" s="57" t="s">
        <v>22</v>
      </c>
      <c r="C1679" s="57" t="s">
        <v>23</v>
      </c>
      <c r="D1679" s="57" t="s">
        <v>24</v>
      </c>
      <c r="E1679" s="57" t="s">
        <v>24</v>
      </c>
      <c r="F1679" s="57" t="s">
        <v>25</v>
      </c>
      <c r="G1679" s="57" t="s">
        <v>25</v>
      </c>
      <c r="H1679" s="57" t="s">
        <v>25</v>
      </c>
      <c r="I1679" s="82">
        <v>44197</v>
      </c>
      <c r="J1679" s="83">
        <f>EFEITO!$J$1679*EFEITO!$Y$1679</f>
        <v>0</v>
      </c>
      <c r="K1679" s="83">
        <f ca="1">EFEITO!$L$1679*EFEITO!$Z$1679</f>
        <v>-1142366.3603680641</v>
      </c>
      <c r="L1679" s="83">
        <f>EFEITO!$N$1679*EFEITO!$AA$1679</f>
        <v>-670286.04506065731</v>
      </c>
      <c r="M1679" s="83">
        <f>$J$1679-EFEITO!$K$1679*EFEITO!$Y$1679</f>
        <v>0</v>
      </c>
      <c r="N1679" s="83">
        <f ca="1">$K$1679-EFEITO!$M$1679*EFEITO!$Z$1679</f>
        <v>0</v>
      </c>
      <c r="O1679" s="83">
        <f>$L$1679-EFEITO!$O$1679*EFEITO!$AA$1679</f>
        <v>0</v>
      </c>
      <c r="P1679" s="61"/>
      <c r="Q1679" s="61"/>
      <c r="R1679" s="61"/>
      <c r="S1679" s="61"/>
      <c r="T1679" s="61"/>
      <c r="U1679" s="61"/>
      <c r="V1679" s="61"/>
      <c r="W1679" s="61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</row>
    <row r="1680" spans="1:36" ht="11.25" customHeight="1" x14ac:dyDescent="0.2">
      <c r="A1680" s="57" t="s">
        <v>28</v>
      </c>
      <c r="B1680" s="57" t="s">
        <v>22</v>
      </c>
      <c r="C1680" s="57" t="s">
        <v>23</v>
      </c>
      <c r="D1680" s="57" t="s">
        <v>24</v>
      </c>
      <c r="E1680" s="57" t="s">
        <v>24</v>
      </c>
      <c r="F1680" s="57" t="s">
        <v>25</v>
      </c>
      <c r="G1680" s="57" t="s">
        <v>25</v>
      </c>
      <c r="H1680" s="57" t="s">
        <v>25</v>
      </c>
      <c r="I1680" s="82">
        <v>44197</v>
      </c>
      <c r="J1680" s="83">
        <f>EFEITO!$J$1680*EFEITO!$Y$1680</f>
        <v>0</v>
      </c>
      <c r="K1680" s="83">
        <f ca="1">EFEITO!$L$1680*EFEITO!$Z$1680</f>
        <v>15185217.737695649</v>
      </c>
      <c r="L1680" s="83">
        <f>EFEITO!$N$1680*EFEITO!$AA$1680</f>
        <v>8909960.8443525247</v>
      </c>
      <c r="M1680" s="83">
        <f>$J$1680-EFEITO!$K$1680*EFEITO!$Y$1680</f>
        <v>0</v>
      </c>
      <c r="N1680" s="83">
        <f ca="1">$K$1680-EFEITO!$M$1680*EFEITO!$Z$1680</f>
        <v>0</v>
      </c>
      <c r="O1680" s="83">
        <f>$L$1680-EFEITO!$O$1680*EFEITO!$AA$1680</f>
        <v>0</v>
      </c>
      <c r="P1680" s="61"/>
      <c r="Q1680" s="61"/>
      <c r="R1680" s="61"/>
      <c r="S1680" s="61"/>
      <c r="T1680" s="61"/>
      <c r="U1680" s="61"/>
      <c r="V1680" s="61"/>
      <c r="W1680" s="61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</row>
    <row r="1681" spans="1:36" ht="11.25" customHeight="1" x14ac:dyDescent="0.2">
      <c r="A1681" s="57" t="s">
        <v>29</v>
      </c>
      <c r="B1681" s="57" t="s">
        <v>22</v>
      </c>
      <c r="C1681" s="57" t="s">
        <v>23</v>
      </c>
      <c r="D1681" s="57" t="s">
        <v>24</v>
      </c>
      <c r="E1681" s="57" t="s">
        <v>24</v>
      </c>
      <c r="F1681" s="57" t="s">
        <v>25</v>
      </c>
      <c r="G1681" s="57" t="s">
        <v>25</v>
      </c>
      <c r="H1681" s="57" t="s">
        <v>25</v>
      </c>
      <c r="I1681" s="82">
        <v>44197</v>
      </c>
      <c r="J1681" s="83">
        <f>EFEITO!$J$1681*EFEITO!$Y$1681</f>
        <v>0</v>
      </c>
      <c r="K1681" s="83">
        <f ca="1">EFEITO!$L$1681*EFEITO!$Z$1681</f>
        <v>-195836.78027716879</v>
      </c>
      <c r="L1681" s="83">
        <f>EFEITO!$N$1681*EFEITO!$AA$1681</f>
        <v>-114907.67365305031</v>
      </c>
      <c r="M1681" s="83">
        <f>$J$1681-EFEITO!$K$1681*EFEITO!$Y$1681</f>
        <v>0</v>
      </c>
      <c r="N1681" s="83">
        <f ca="1">$K$1681-EFEITO!$M$1681*EFEITO!$Z$1681</f>
        <v>0</v>
      </c>
      <c r="O1681" s="83">
        <f>$L$1681-EFEITO!$O$1681*EFEITO!$AA$1681</f>
        <v>0</v>
      </c>
      <c r="P1681" s="61"/>
      <c r="Q1681" s="61"/>
      <c r="R1681" s="61"/>
      <c r="S1681" s="61"/>
      <c r="T1681" s="61"/>
      <c r="U1681" s="61"/>
      <c r="V1681" s="61"/>
      <c r="W1681" s="61"/>
      <c r="X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</row>
    <row r="1682" spans="1:36" ht="11.25" customHeight="1" x14ac:dyDescent="0.2">
      <c r="A1682" s="57" t="s">
        <v>30</v>
      </c>
      <c r="B1682" s="57" t="s">
        <v>22</v>
      </c>
      <c r="C1682" s="57" t="s">
        <v>23</v>
      </c>
      <c r="D1682" s="57" t="s">
        <v>24</v>
      </c>
      <c r="E1682" s="57" t="s">
        <v>24</v>
      </c>
      <c r="F1682" s="57" t="s">
        <v>25</v>
      </c>
      <c r="G1682" s="57" t="s">
        <v>25</v>
      </c>
      <c r="H1682" s="57" t="s">
        <v>25</v>
      </c>
      <c r="I1682" s="82">
        <v>44197</v>
      </c>
      <c r="J1682" s="83">
        <f>EFEITO!$J$1682*EFEITO!$Y$1682</f>
        <v>0</v>
      </c>
      <c r="K1682" s="83">
        <f ca="1">EFEITO!$L$1682*EFEITO!$Z$1682</f>
        <v>564668.32195210888</v>
      </c>
      <c r="L1682" s="83">
        <f>EFEITO!$N$1682*EFEITO!$AA$1682</f>
        <v>331320.41473137372</v>
      </c>
      <c r="M1682" s="83">
        <f>$J$1682-EFEITO!$K$1682*EFEITO!$Y$1682</f>
        <v>0</v>
      </c>
      <c r="N1682" s="83">
        <f ca="1">$K$1682-EFEITO!$M$1682*EFEITO!$Z$1682</f>
        <v>0</v>
      </c>
      <c r="O1682" s="83">
        <f>$L$1682-EFEITO!$O$1682*EFEITO!$AA$1682</f>
        <v>0</v>
      </c>
      <c r="P1682" s="61"/>
      <c r="Q1682" s="61"/>
      <c r="R1682" s="61"/>
      <c r="S1682" s="61"/>
      <c r="T1682" s="61"/>
      <c r="U1682" s="61"/>
      <c r="V1682" s="61"/>
      <c r="W1682" s="61"/>
      <c r="X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</row>
    <row r="1683" spans="1:36" ht="11.25" customHeight="1" x14ac:dyDescent="0.2">
      <c r="A1683" s="57" t="s">
        <v>30</v>
      </c>
      <c r="B1683" s="57" t="s">
        <v>22</v>
      </c>
      <c r="C1683" s="57" t="s">
        <v>23</v>
      </c>
      <c r="D1683" s="57" t="s">
        <v>24</v>
      </c>
      <c r="E1683" s="57" t="s">
        <v>24</v>
      </c>
      <c r="F1683" s="57" t="s">
        <v>25</v>
      </c>
      <c r="G1683" s="57" t="s">
        <v>25</v>
      </c>
      <c r="H1683" s="57" t="s">
        <v>25</v>
      </c>
      <c r="I1683" s="82">
        <v>44197</v>
      </c>
      <c r="J1683" s="83">
        <f>EFEITO!$J$1683*EFEITO!$Y$1683</f>
        <v>0</v>
      </c>
      <c r="K1683" s="83">
        <f ca="1">EFEITO!$L$1683*EFEITO!$Z$1683</f>
        <v>1856.3952278027259</v>
      </c>
      <c r="L1683" s="83">
        <f>EFEITO!$N$1683*EFEITO!$AA$1683</f>
        <v>1089.2440975874458</v>
      </c>
      <c r="M1683" s="83">
        <f>$J$1683-EFEITO!$K$1683*EFEITO!$Y$1683</f>
        <v>0</v>
      </c>
      <c r="N1683" s="83">
        <f ca="1">$K$1683-EFEITO!$M$1683*EFEITO!$Z$1683</f>
        <v>0</v>
      </c>
      <c r="O1683" s="83">
        <f>$L$1683-EFEITO!$O$1683*EFEITO!$AA$1683</f>
        <v>0</v>
      </c>
      <c r="P1683" s="61"/>
      <c r="Q1683" s="61"/>
      <c r="R1683" s="61"/>
      <c r="S1683" s="61"/>
      <c r="T1683" s="61"/>
      <c r="U1683" s="61"/>
      <c r="V1683" s="61"/>
      <c r="W1683" s="61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</row>
    <row r="1684" spans="1:36" ht="11.25" customHeight="1" x14ac:dyDescent="0.2">
      <c r="A1684" s="57" t="s">
        <v>21</v>
      </c>
      <c r="B1684" s="57" t="s">
        <v>22</v>
      </c>
      <c r="C1684" s="57" t="s">
        <v>23</v>
      </c>
      <c r="D1684" s="57" t="s">
        <v>24</v>
      </c>
      <c r="E1684" s="57" t="s">
        <v>24</v>
      </c>
      <c r="F1684" s="57" t="s">
        <v>25</v>
      </c>
      <c r="G1684" s="57" t="s">
        <v>25</v>
      </c>
      <c r="H1684" s="57" t="s">
        <v>25</v>
      </c>
      <c r="I1684" s="82">
        <v>44228</v>
      </c>
      <c r="J1684" s="83">
        <f>EFEITO!$J$1684*EFEITO!$Y$1684</f>
        <v>0</v>
      </c>
      <c r="K1684" s="83">
        <f ca="1">EFEITO!$L$1684*EFEITO!$Z$1684</f>
        <v>47393928.199994884</v>
      </c>
      <c r="L1684" s="83">
        <f>EFEITO!$N$1684*EFEITO!$AA$1684</f>
        <v>27808494.53832658</v>
      </c>
      <c r="M1684" s="83">
        <f>$J$1684-EFEITO!$K$1684*EFEITO!$Y$1684</f>
        <v>0</v>
      </c>
      <c r="N1684" s="83">
        <f ca="1">$K$1684-EFEITO!$M$1684*EFEITO!$Z$1684</f>
        <v>0</v>
      </c>
      <c r="O1684" s="83">
        <f>$L$1684-EFEITO!$O$1684*EFEITO!$AA$1684</f>
        <v>0</v>
      </c>
      <c r="P1684" s="61"/>
      <c r="Q1684" s="61"/>
      <c r="R1684" s="61"/>
      <c r="S1684" s="61"/>
      <c r="T1684" s="61"/>
      <c r="U1684" s="61"/>
      <c r="V1684" s="61"/>
      <c r="W1684" s="61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</row>
    <row r="1685" spans="1:36" ht="11.25" customHeight="1" x14ac:dyDescent="0.2">
      <c r="A1685" s="57" t="s">
        <v>27</v>
      </c>
      <c r="B1685" s="57" t="s">
        <v>22</v>
      </c>
      <c r="C1685" s="57" t="s">
        <v>23</v>
      </c>
      <c r="D1685" s="57" t="s">
        <v>24</v>
      </c>
      <c r="E1685" s="57" t="s">
        <v>24</v>
      </c>
      <c r="F1685" s="57" t="s">
        <v>25</v>
      </c>
      <c r="G1685" s="57" t="s">
        <v>25</v>
      </c>
      <c r="H1685" s="57" t="s">
        <v>25</v>
      </c>
      <c r="I1685" s="82">
        <v>44228</v>
      </c>
      <c r="J1685" s="83">
        <f>EFEITO!$J$1685*EFEITO!$Y$1685</f>
        <v>0</v>
      </c>
      <c r="K1685" s="83">
        <f ca="1">EFEITO!$L$1685*EFEITO!$Z$1685</f>
        <v>-1454704.2242960678</v>
      </c>
      <c r="L1685" s="83">
        <f>EFEITO!$N$1685*EFEITO!$AA$1685</f>
        <v>-853550.99297766527</v>
      </c>
      <c r="M1685" s="83">
        <f>$J$1685-EFEITO!$K$1685*EFEITO!$Y$1685</f>
        <v>0</v>
      </c>
      <c r="N1685" s="83">
        <f ca="1">$K$1685-EFEITO!$M$1685*EFEITO!$Z$1685</f>
        <v>0</v>
      </c>
      <c r="O1685" s="83">
        <f>$L$1685-EFEITO!$O$1685*EFEITO!$AA$1685</f>
        <v>0</v>
      </c>
      <c r="P1685" s="61"/>
      <c r="Q1685" s="61"/>
      <c r="R1685" s="61"/>
      <c r="S1685" s="61"/>
      <c r="T1685" s="61"/>
      <c r="U1685" s="61"/>
      <c r="V1685" s="61"/>
      <c r="W1685" s="61"/>
      <c r="X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</row>
    <row r="1686" spans="1:36" ht="11.25" customHeight="1" x14ac:dyDescent="0.2">
      <c r="A1686" s="57" t="s">
        <v>28</v>
      </c>
      <c r="B1686" s="57" t="s">
        <v>22</v>
      </c>
      <c r="C1686" s="57" t="s">
        <v>23</v>
      </c>
      <c r="D1686" s="57" t="s">
        <v>24</v>
      </c>
      <c r="E1686" s="57" t="s">
        <v>24</v>
      </c>
      <c r="F1686" s="57" t="s">
        <v>25</v>
      </c>
      <c r="G1686" s="57" t="s">
        <v>25</v>
      </c>
      <c r="H1686" s="57" t="s">
        <v>25</v>
      </c>
      <c r="I1686" s="82">
        <v>44228</v>
      </c>
      <c r="J1686" s="83">
        <f>EFEITO!$J$1686*EFEITO!$Y$1686</f>
        <v>0</v>
      </c>
      <c r="K1686" s="83">
        <f ca="1">EFEITO!$L$1686*EFEITO!$Z$1686</f>
        <v>14564052.698877541</v>
      </c>
      <c r="L1686" s="83">
        <f>EFEITO!$N$1686*EFEITO!$AA$1686</f>
        <v>8545490.8532498535</v>
      </c>
      <c r="M1686" s="83">
        <f>$J$1686-EFEITO!$K$1686*EFEITO!$Y$1686</f>
        <v>0</v>
      </c>
      <c r="N1686" s="83">
        <f ca="1">$K$1686-EFEITO!$M$1686*EFEITO!$Z$1686</f>
        <v>0</v>
      </c>
      <c r="O1686" s="83">
        <f>$L$1686-EFEITO!$O$1686*EFEITO!$AA$1686</f>
        <v>0</v>
      </c>
      <c r="P1686" s="61"/>
      <c r="Q1686" s="61"/>
      <c r="R1686" s="61"/>
      <c r="S1686" s="61"/>
      <c r="T1686" s="61"/>
      <c r="U1686" s="61"/>
      <c r="V1686" s="61"/>
      <c r="W1686" s="61"/>
      <c r="X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</row>
    <row r="1687" spans="1:36" ht="11.25" customHeight="1" x14ac:dyDescent="0.2">
      <c r="A1687" s="57" t="s">
        <v>29</v>
      </c>
      <c r="B1687" s="57" t="s">
        <v>22</v>
      </c>
      <c r="C1687" s="57" t="s">
        <v>23</v>
      </c>
      <c r="D1687" s="57" t="s">
        <v>24</v>
      </c>
      <c r="E1687" s="57" t="s">
        <v>24</v>
      </c>
      <c r="F1687" s="57" t="s">
        <v>25</v>
      </c>
      <c r="G1687" s="57" t="s">
        <v>25</v>
      </c>
      <c r="H1687" s="57" t="s">
        <v>25</v>
      </c>
      <c r="I1687" s="82">
        <v>44228</v>
      </c>
      <c r="J1687" s="83">
        <f>EFEITO!$J$1687*EFEITO!$Y$1687</f>
        <v>0</v>
      </c>
      <c r="K1687" s="83">
        <f ca="1">EFEITO!$L$1687*EFEITO!$Z$1687</f>
        <v>-163439.26454306504</v>
      </c>
      <c r="L1687" s="83">
        <f>EFEITO!$N$1687*EFEITO!$AA$1687</f>
        <v>-95898.358038919163</v>
      </c>
      <c r="M1687" s="83">
        <f>$J$1687-EFEITO!$K$1687*EFEITO!$Y$1687</f>
        <v>0</v>
      </c>
      <c r="N1687" s="83">
        <f ca="1">$K$1687-EFEITO!$M$1687*EFEITO!$Z$1687</f>
        <v>0</v>
      </c>
      <c r="O1687" s="83">
        <f>$L$1687-EFEITO!$O$1687*EFEITO!$AA$1687</f>
        <v>0</v>
      </c>
      <c r="P1687" s="61"/>
      <c r="Q1687" s="61"/>
      <c r="R1687" s="61"/>
      <c r="S1687" s="61"/>
      <c r="T1687" s="61"/>
      <c r="U1687" s="61"/>
      <c r="V1687" s="61"/>
      <c r="W1687" s="61"/>
      <c r="X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</row>
    <row r="1688" spans="1:36" ht="11.25" customHeight="1" x14ac:dyDescent="0.2">
      <c r="A1688" s="57" t="s">
        <v>30</v>
      </c>
      <c r="B1688" s="57" t="s">
        <v>22</v>
      </c>
      <c r="C1688" s="57" t="s">
        <v>23</v>
      </c>
      <c r="D1688" s="57" t="s">
        <v>24</v>
      </c>
      <c r="E1688" s="57" t="s">
        <v>24</v>
      </c>
      <c r="F1688" s="57" t="s">
        <v>25</v>
      </c>
      <c r="G1688" s="57" t="s">
        <v>25</v>
      </c>
      <c r="H1688" s="57" t="s">
        <v>25</v>
      </c>
      <c r="I1688" s="82">
        <v>44228</v>
      </c>
      <c r="J1688" s="83">
        <f>EFEITO!$J$1688*EFEITO!$Y$1688</f>
        <v>0</v>
      </c>
      <c r="K1688" s="83">
        <f ca="1">EFEITO!$L$1688*EFEITO!$Z$1688</f>
        <v>516176.6446987135</v>
      </c>
      <c r="L1688" s="83">
        <f>EFEITO!$N$1688*EFEITO!$AA$1688</f>
        <v>302867.81345373823</v>
      </c>
      <c r="M1688" s="83">
        <f>$J$1688-EFEITO!$K$1688*EFEITO!$Y$1688</f>
        <v>0</v>
      </c>
      <c r="N1688" s="83">
        <f ca="1">$K$1688-EFEITO!$M$1688*EFEITO!$Z$1688</f>
        <v>0</v>
      </c>
      <c r="O1688" s="83">
        <f>$L$1688-EFEITO!$O$1688*EFEITO!$AA$1688</f>
        <v>0</v>
      </c>
      <c r="P1688" s="61"/>
      <c r="Q1688" s="61"/>
      <c r="R1688" s="61"/>
      <c r="S1688" s="61"/>
      <c r="T1688" s="61"/>
      <c r="U1688" s="61"/>
      <c r="V1688" s="61"/>
      <c r="W1688" s="61"/>
      <c r="X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</row>
    <row r="1689" spans="1:36" ht="11.25" customHeight="1" x14ac:dyDescent="0.2">
      <c r="A1689" s="57" t="s">
        <v>30</v>
      </c>
      <c r="B1689" s="57" t="s">
        <v>22</v>
      </c>
      <c r="C1689" s="57" t="s">
        <v>23</v>
      </c>
      <c r="D1689" s="57" t="s">
        <v>24</v>
      </c>
      <c r="E1689" s="57" t="s">
        <v>24</v>
      </c>
      <c r="F1689" s="57" t="s">
        <v>25</v>
      </c>
      <c r="G1689" s="57" t="s">
        <v>25</v>
      </c>
      <c r="H1689" s="57" t="s">
        <v>25</v>
      </c>
      <c r="I1689" s="82">
        <v>44228</v>
      </c>
      <c r="J1689" s="83">
        <f>EFEITO!$J$1689*EFEITO!$Y$1689</f>
        <v>0</v>
      </c>
      <c r="K1689" s="83">
        <f ca="1">EFEITO!$L$1689*EFEITO!$Z$1689</f>
        <v>-5681.6330887484801</v>
      </c>
      <c r="L1689" s="83">
        <f>EFEITO!$N$1689*EFEITO!$AA$1689</f>
        <v>-3333.7110621114275</v>
      </c>
      <c r="M1689" s="83">
        <f>$J$1689-EFEITO!$K$1689*EFEITO!$Y$1689</f>
        <v>0</v>
      </c>
      <c r="N1689" s="83">
        <f ca="1">$K$1689-EFEITO!$M$1689*EFEITO!$Z$1689</f>
        <v>0</v>
      </c>
      <c r="O1689" s="83">
        <f>$L$1689-EFEITO!$O$1689*EFEITO!$AA$1689</f>
        <v>0</v>
      </c>
      <c r="P1689" s="61"/>
      <c r="Q1689" s="61"/>
      <c r="R1689" s="61"/>
      <c r="S1689" s="61"/>
      <c r="T1689" s="61"/>
      <c r="U1689" s="61"/>
      <c r="V1689" s="61"/>
      <c r="W1689" s="61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</row>
    <row r="1690" spans="1:36" ht="11.25" customHeight="1" x14ac:dyDescent="0.2">
      <c r="A1690" s="57" t="s">
        <v>21</v>
      </c>
      <c r="B1690" s="57" t="s">
        <v>22</v>
      </c>
      <c r="C1690" s="57" t="s">
        <v>23</v>
      </c>
      <c r="D1690" s="57" t="s">
        <v>24</v>
      </c>
      <c r="E1690" s="57" t="s">
        <v>24</v>
      </c>
      <c r="F1690" s="57" t="s">
        <v>25</v>
      </c>
      <c r="G1690" s="57" t="s">
        <v>25</v>
      </c>
      <c r="H1690" s="57" t="s">
        <v>25</v>
      </c>
      <c r="I1690" s="82">
        <v>44256</v>
      </c>
      <c r="J1690" s="83">
        <f>EFEITO!$J$1690*EFEITO!$Y$1690</f>
        <v>0</v>
      </c>
      <c r="K1690" s="83">
        <f ca="1">EFEITO!$L$1690*EFEITO!$Z$1690</f>
        <v>50355585.69004228</v>
      </c>
      <c r="L1690" s="83">
        <f>EFEITO!$N$1690*EFEITO!$AA$1690</f>
        <v>29546253.767501127</v>
      </c>
      <c r="M1690" s="83">
        <f>$J$1690-EFEITO!$K$1690*EFEITO!$Y$1690</f>
        <v>0</v>
      </c>
      <c r="N1690" s="83">
        <f ca="1">$K$1690-EFEITO!$M$1690*EFEITO!$Z$1690</f>
        <v>0</v>
      </c>
      <c r="O1690" s="83">
        <f>$L$1690-EFEITO!$O$1690*EFEITO!$AA$1690</f>
        <v>0</v>
      </c>
      <c r="P1690" s="61"/>
      <c r="Q1690" s="61"/>
      <c r="R1690" s="61"/>
      <c r="S1690" s="61"/>
      <c r="T1690" s="61"/>
      <c r="U1690" s="61"/>
      <c r="V1690" s="61"/>
      <c r="W1690" s="61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</row>
    <row r="1691" spans="1:36" ht="11.25" customHeight="1" x14ac:dyDescent="0.2">
      <c r="A1691" s="57" t="s">
        <v>27</v>
      </c>
      <c r="B1691" s="57" t="s">
        <v>22</v>
      </c>
      <c r="C1691" s="57" t="s">
        <v>23</v>
      </c>
      <c r="D1691" s="57" t="s">
        <v>24</v>
      </c>
      <c r="E1691" s="57" t="s">
        <v>24</v>
      </c>
      <c r="F1691" s="57" t="s">
        <v>25</v>
      </c>
      <c r="G1691" s="57" t="s">
        <v>25</v>
      </c>
      <c r="H1691" s="57" t="s">
        <v>25</v>
      </c>
      <c r="I1691" s="82">
        <v>44256</v>
      </c>
      <c r="J1691" s="83">
        <f>EFEITO!$J$1691*EFEITO!$Y$1691</f>
        <v>0</v>
      </c>
      <c r="K1691" s="83">
        <f ca="1">EFEITO!$L$1691*EFEITO!$Z$1691</f>
        <v>-2073752.0101667778</v>
      </c>
      <c r="L1691" s="83">
        <f>EFEITO!$N$1691*EFEITO!$AA$1691</f>
        <v>-1216778.6811259261</v>
      </c>
      <c r="M1691" s="83">
        <f>$J$1691-EFEITO!$K$1691*EFEITO!$Y$1691</f>
        <v>0</v>
      </c>
      <c r="N1691" s="83">
        <f ca="1">$K$1691-EFEITO!$M$1691*EFEITO!$Z$1691</f>
        <v>0</v>
      </c>
      <c r="O1691" s="83">
        <f>$L$1691-EFEITO!$O$1691*EFEITO!$AA$1691</f>
        <v>0</v>
      </c>
      <c r="P1691" s="61"/>
      <c r="Q1691" s="61"/>
      <c r="R1691" s="61"/>
      <c r="S1691" s="61"/>
      <c r="T1691" s="61"/>
      <c r="U1691" s="61"/>
      <c r="V1691" s="61"/>
      <c r="W1691" s="61"/>
      <c r="X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</row>
    <row r="1692" spans="1:36" ht="11.25" customHeight="1" x14ac:dyDescent="0.2">
      <c r="A1692" s="57" t="s">
        <v>28</v>
      </c>
      <c r="B1692" s="57" t="s">
        <v>22</v>
      </c>
      <c r="C1692" s="57" t="s">
        <v>23</v>
      </c>
      <c r="D1692" s="57" t="s">
        <v>24</v>
      </c>
      <c r="E1692" s="57" t="s">
        <v>24</v>
      </c>
      <c r="F1692" s="57" t="s">
        <v>25</v>
      </c>
      <c r="G1692" s="57" t="s">
        <v>25</v>
      </c>
      <c r="H1692" s="57" t="s">
        <v>25</v>
      </c>
      <c r="I1692" s="82">
        <v>44256</v>
      </c>
      <c r="J1692" s="83">
        <f>EFEITO!$J$1692*EFEITO!$Y$1692</f>
        <v>0</v>
      </c>
      <c r="K1692" s="83">
        <f ca="1">EFEITO!$L$1692*EFEITO!$Z$1692</f>
        <v>14580675.667113841</v>
      </c>
      <c r="L1692" s="83">
        <f>EFEITO!$N$1692*EFEITO!$AA$1692</f>
        <v>8555244.4174502976</v>
      </c>
      <c r="M1692" s="83">
        <f>$J$1692-EFEITO!$K$1692*EFEITO!$Y$1692</f>
        <v>0</v>
      </c>
      <c r="N1692" s="83">
        <f ca="1">$K$1692-EFEITO!$M$1692*EFEITO!$Z$1692</f>
        <v>0</v>
      </c>
      <c r="O1692" s="83">
        <f>$L$1692-EFEITO!$O$1692*EFEITO!$AA$1692</f>
        <v>0</v>
      </c>
      <c r="P1692" s="61"/>
      <c r="Q1692" s="61"/>
      <c r="R1692" s="61"/>
      <c r="S1692" s="61"/>
      <c r="T1692" s="61"/>
      <c r="U1692" s="61"/>
      <c r="V1692" s="61"/>
      <c r="W1692" s="61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</row>
    <row r="1693" spans="1:36" ht="11.25" customHeight="1" x14ac:dyDescent="0.2">
      <c r="A1693" s="57" t="s">
        <v>29</v>
      </c>
      <c r="B1693" s="57" t="s">
        <v>22</v>
      </c>
      <c r="C1693" s="57" t="s">
        <v>23</v>
      </c>
      <c r="D1693" s="57" t="s">
        <v>24</v>
      </c>
      <c r="E1693" s="57" t="s">
        <v>24</v>
      </c>
      <c r="F1693" s="57" t="s">
        <v>25</v>
      </c>
      <c r="G1693" s="57" t="s">
        <v>25</v>
      </c>
      <c r="H1693" s="57" t="s">
        <v>25</v>
      </c>
      <c r="I1693" s="82">
        <v>44256</v>
      </c>
      <c r="J1693" s="83">
        <f>EFEITO!$J$1693*EFEITO!$Y$1693</f>
        <v>0</v>
      </c>
      <c r="K1693" s="83">
        <f ca="1">EFEITO!$L$1693*EFEITO!$Z$1693</f>
        <v>-274518.05326521577</v>
      </c>
      <c r="L1693" s="83">
        <f>EFEITO!$N$1693*EFEITO!$AA$1693</f>
        <v>-161074.08849259769</v>
      </c>
      <c r="M1693" s="83">
        <f>$J$1693-EFEITO!$K$1693*EFEITO!$Y$1693</f>
        <v>0</v>
      </c>
      <c r="N1693" s="83">
        <f ca="1">$K$1693-EFEITO!$M$1693*EFEITO!$Z$1693</f>
        <v>0</v>
      </c>
      <c r="O1693" s="83">
        <f>$L$1693-EFEITO!$O$1693*EFEITO!$AA$1693</f>
        <v>0</v>
      </c>
      <c r="P1693" s="61"/>
      <c r="Q1693" s="61"/>
      <c r="R1693" s="61"/>
      <c r="S1693" s="61"/>
      <c r="T1693" s="61"/>
      <c r="U1693" s="61"/>
      <c r="V1693" s="61"/>
      <c r="W1693" s="61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</row>
    <row r="1694" spans="1:36" ht="11.25" customHeight="1" x14ac:dyDescent="0.2">
      <c r="A1694" s="57" t="s">
        <v>30</v>
      </c>
      <c r="B1694" s="57" t="s">
        <v>22</v>
      </c>
      <c r="C1694" s="57" t="s">
        <v>23</v>
      </c>
      <c r="D1694" s="57" t="s">
        <v>24</v>
      </c>
      <c r="E1694" s="57" t="s">
        <v>24</v>
      </c>
      <c r="F1694" s="57" t="s">
        <v>25</v>
      </c>
      <c r="G1694" s="57" t="s">
        <v>25</v>
      </c>
      <c r="H1694" s="57" t="s">
        <v>25</v>
      </c>
      <c r="I1694" s="82">
        <v>44256</v>
      </c>
      <c r="J1694" s="83">
        <f>EFEITO!$J$1694*EFEITO!$Y$1694</f>
        <v>0</v>
      </c>
      <c r="K1694" s="83">
        <f ca="1">EFEITO!$L$1694*EFEITO!$Z$1694</f>
        <v>621713.5998090253</v>
      </c>
      <c r="L1694" s="83">
        <f>EFEITO!$N$1694*EFEITO!$AA$1694</f>
        <v>364791.86050449603</v>
      </c>
      <c r="M1694" s="83">
        <f>$J$1694-EFEITO!$K$1694*EFEITO!$Y$1694</f>
        <v>0</v>
      </c>
      <c r="N1694" s="83">
        <f ca="1">$K$1694-EFEITO!$M$1694*EFEITO!$Z$1694</f>
        <v>0</v>
      </c>
      <c r="O1694" s="83">
        <f>$L$1694-EFEITO!$O$1694*EFEITO!$AA$1694</f>
        <v>0</v>
      </c>
      <c r="P1694" s="61"/>
      <c r="Q1694" s="61"/>
      <c r="R1694" s="61"/>
      <c r="S1694" s="61"/>
      <c r="T1694" s="61"/>
      <c r="U1694" s="61"/>
      <c r="V1694" s="61"/>
      <c r="W1694" s="61"/>
      <c r="X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</row>
    <row r="1695" spans="1:36" ht="11.25" customHeight="1" x14ac:dyDescent="0.2">
      <c r="A1695" s="57" t="s">
        <v>30</v>
      </c>
      <c r="B1695" s="57" t="s">
        <v>22</v>
      </c>
      <c r="C1695" s="57" t="s">
        <v>23</v>
      </c>
      <c r="D1695" s="57" t="s">
        <v>24</v>
      </c>
      <c r="E1695" s="57" t="s">
        <v>24</v>
      </c>
      <c r="F1695" s="57" t="s">
        <v>25</v>
      </c>
      <c r="G1695" s="57" t="s">
        <v>25</v>
      </c>
      <c r="H1695" s="57" t="s">
        <v>25</v>
      </c>
      <c r="I1695" s="82">
        <v>44256</v>
      </c>
      <c r="J1695" s="83">
        <f>EFEITO!$J$1695*EFEITO!$Y$1695</f>
        <v>0</v>
      </c>
      <c r="K1695" s="83">
        <f ca="1">EFEITO!$L$1695*EFEITO!$Z$1695</f>
        <v>-7176.3731480242895</v>
      </c>
      <c r="L1695" s="83">
        <f>EFEITO!$N$1695*EFEITO!$AA$1695</f>
        <v>-4210.7531717923421</v>
      </c>
      <c r="M1695" s="83">
        <f>$J$1695-EFEITO!$K$1695*EFEITO!$Y$1695</f>
        <v>0</v>
      </c>
      <c r="N1695" s="83">
        <f ca="1">$K$1695-EFEITO!$M$1695*EFEITO!$Z$1695</f>
        <v>0</v>
      </c>
      <c r="O1695" s="83">
        <f>$L$1695-EFEITO!$O$1695*EFEITO!$AA$1695</f>
        <v>0</v>
      </c>
      <c r="P1695" s="61"/>
      <c r="Q1695" s="61"/>
      <c r="R1695" s="61"/>
      <c r="S1695" s="61"/>
      <c r="T1695" s="61"/>
      <c r="U1695" s="61"/>
      <c r="V1695" s="61"/>
      <c r="W1695" s="61"/>
      <c r="X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</row>
    <row r="1696" spans="1:36" ht="11.25" customHeight="1" x14ac:dyDescent="0.2">
      <c r="A1696" s="57" t="s">
        <v>21</v>
      </c>
      <c r="B1696" s="57" t="s">
        <v>22</v>
      </c>
      <c r="C1696" s="57" t="s">
        <v>23</v>
      </c>
      <c r="D1696" s="57" t="s">
        <v>24</v>
      </c>
      <c r="E1696" s="57" t="s">
        <v>24</v>
      </c>
      <c r="F1696" s="57" t="s">
        <v>25</v>
      </c>
      <c r="G1696" s="57" t="s">
        <v>25</v>
      </c>
      <c r="H1696" s="57" t="s">
        <v>25</v>
      </c>
      <c r="I1696" s="82">
        <v>44287</v>
      </c>
      <c r="J1696" s="83">
        <f>EFEITO!$J$1696*EFEITO!$Y$1696</f>
        <v>0</v>
      </c>
      <c r="K1696" s="83">
        <f ca="1">EFEITO!$L$1696*EFEITO!$Z$1696</f>
        <v>56414005.214613765</v>
      </c>
      <c r="L1696" s="83">
        <f>EFEITO!$N$1696*EFEITO!$AA$1696</f>
        <v>33101045.122819833</v>
      </c>
      <c r="M1696" s="83">
        <f>$J$1696-EFEITO!$K$1696*EFEITO!$Y$1696</f>
        <v>0</v>
      </c>
      <c r="N1696" s="83">
        <f ca="1">$K$1696-EFEITO!$M$1696*EFEITO!$Z$1696</f>
        <v>0</v>
      </c>
      <c r="O1696" s="83">
        <f>$L$1696-EFEITO!$O$1696*EFEITO!$AA$1696</f>
        <v>0</v>
      </c>
      <c r="P1696" s="61"/>
      <c r="Q1696" s="61"/>
      <c r="R1696" s="61"/>
      <c r="S1696" s="61"/>
      <c r="T1696" s="61"/>
      <c r="U1696" s="61"/>
      <c r="V1696" s="61"/>
      <c r="W1696" s="61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</row>
    <row r="1697" spans="1:36" ht="11.25" customHeight="1" x14ac:dyDescent="0.2">
      <c r="A1697" s="57" t="s">
        <v>27</v>
      </c>
      <c r="B1697" s="57" t="s">
        <v>22</v>
      </c>
      <c r="C1697" s="57" t="s">
        <v>23</v>
      </c>
      <c r="D1697" s="57" t="s">
        <v>24</v>
      </c>
      <c r="E1697" s="57" t="s">
        <v>24</v>
      </c>
      <c r="F1697" s="57" t="s">
        <v>25</v>
      </c>
      <c r="G1697" s="57" t="s">
        <v>25</v>
      </c>
      <c r="H1697" s="57" t="s">
        <v>25</v>
      </c>
      <c r="I1697" s="82">
        <v>44287</v>
      </c>
      <c r="J1697" s="83">
        <f>EFEITO!$J$1697*EFEITO!$Y$1697</f>
        <v>0</v>
      </c>
      <c r="K1697" s="83">
        <f ca="1">EFEITO!$L$1697*EFEITO!$Z$1697</f>
        <v>-1894747.8973412707</v>
      </c>
      <c r="L1697" s="83">
        <f>EFEITO!$N$1697*EFEITO!$AA$1697</f>
        <v>-1111747.6131621052</v>
      </c>
      <c r="M1697" s="83">
        <f>$J$1697-EFEITO!$K$1697*EFEITO!$Y$1697</f>
        <v>0</v>
      </c>
      <c r="N1697" s="83">
        <f ca="1">$K$1697-EFEITO!$M$1697*EFEITO!$Z$1697</f>
        <v>0</v>
      </c>
      <c r="O1697" s="83">
        <f>$L$1697-EFEITO!$O$1697*EFEITO!$AA$1697</f>
        <v>0</v>
      </c>
      <c r="P1697" s="61"/>
      <c r="Q1697" s="61"/>
      <c r="R1697" s="61"/>
      <c r="S1697" s="61"/>
      <c r="T1697" s="61"/>
      <c r="U1697" s="61"/>
      <c r="V1697" s="61"/>
      <c r="W1697" s="61"/>
      <c r="X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</row>
    <row r="1698" spans="1:36" ht="11.25" customHeight="1" x14ac:dyDescent="0.2">
      <c r="A1698" s="57" t="s">
        <v>28</v>
      </c>
      <c r="B1698" s="57" t="s">
        <v>22</v>
      </c>
      <c r="C1698" s="57" t="s">
        <v>23</v>
      </c>
      <c r="D1698" s="57" t="s">
        <v>24</v>
      </c>
      <c r="E1698" s="57" t="s">
        <v>24</v>
      </c>
      <c r="F1698" s="57" t="s">
        <v>25</v>
      </c>
      <c r="G1698" s="57" t="s">
        <v>25</v>
      </c>
      <c r="H1698" s="57" t="s">
        <v>25</v>
      </c>
      <c r="I1698" s="82">
        <v>44287</v>
      </c>
      <c r="J1698" s="83">
        <f>EFEITO!$J$1698*EFEITO!$Y$1698</f>
        <v>0</v>
      </c>
      <c r="K1698" s="83">
        <f ca="1">EFEITO!$L$1698*EFEITO!$Z$1698</f>
        <v>15739410.722756576</v>
      </c>
      <c r="L1698" s="83">
        <f>EFEITO!$N$1698*EFEITO!$AA$1698</f>
        <v>9235134.8314762041</v>
      </c>
      <c r="M1698" s="83">
        <f>$J$1698-EFEITO!$K$1698*EFEITO!$Y$1698</f>
        <v>0</v>
      </c>
      <c r="N1698" s="83">
        <f ca="1">$K$1698-EFEITO!$M$1698*EFEITO!$Z$1698</f>
        <v>0</v>
      </c>
      <c r="O1698" s="83">
        <f>$L$1698-EFEITO!$O$1698*EFEITO!$AA$1698</f>
        <v>0</v>
      </c>
      <c r="P1698" s="61"/>
      <c r="Q1698" s="61"/>
      <c r="R1698" s="61"/>
      <c r="S1698" s="61"/>
      <c r="T1698" s="61"/>
      <c r="U1698" s="61"/>
      <c r="V1698" s="61"/>
      <c r="W1698" s="61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</row>
    <row r="1699" spans="1:36" ht="11.25" customHeight="1" x14ac:dyDescent="0.2">
      <c r="A1699" s="57" t="s">
        <v>29</v>
      </c>
      <c r="B1699" s="57" t="s">
        <v>22</v>
      </c>
      <c r="C1699" s="57" t="s">
        <v>23</v>
      </c>
      <c r="D1699" s="57" t="s">
        <v>24</v>
      </c>
      <c r="E1699" s="57" t="s">
        <v>24</v>
      </c>
      <c r="F1699" s="57" t="s">
        <v>25</v>
      </c>
      <c r="G1699" s="57" t="s">
        <v>25</v>
      </c>
      <c r="H1699" s="57" t="s">
        <v>25</v>
      </c>
      <c r="I1699" s="82">
        <v>44287</v>
      </c>
      <c r="J1699" s="83">
        <f>EFEITO!$J$1699*EFEITO!$Y$1699</f>
        <v>0</v>
      </c>
      <c r="K1699" s="83">
        <f ca="1">EFEITO!$L$1699*EFEITO!$Z$1699</f>
        <v>-144612.9349859104</v>
      </c>
      <c r="L1699" s="83">
        <f>EFEITO!$N$1699*EFEITO!$AA$1699</f>
        <v>-84851.96660123016</v>
      </c>
      <c r="M1699" s="83">
        <f>$J$1699-EFEITO!$K$1699*EFEITO!$Y$1699</f>
        <v>0</v>
      </c>
      <c r="N1699" s="83">
        <f ca="1">$K$1699-EFEITO!$M$1699*EFEITO!$Z$1699</f>
        <v>0</v>
      </c>
      <c r="O1699" s="83">
        <f>$L$1699-EFEITO!$O$1699*EFEITO!$AA$1699</f>
        <v>0</v>
      </c>
      <c r="P1699" s="61"/>
      <c r="Q1699" s="61"/>
      <c r="R1699" s="61"/>
      <c r="S1699" s="61"/>
      <c r="T1699" s="61"/>
      <c r="U1699" s="61"/>
      <c r="V1699" s="61"/>
      <c r="W1699" s="61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</row>
    <row r="1700" spans="1:36" ht="11.25" customHeight="1" x14ac:dyDescent="0.2">
      <c r="A1700" s="57" t="s">
        <v>30</v>
      </c>
      <c r="B1700" s="57" t="s">
        <v>22</v>
      </c>
      <c r="C1700" s="57" t="s">
        <v>23</v>
      </c>
      <c r="D1700" s="57" t="s">
        <v>24</v>
      </c>
      <c r="E1700" s="57" t="s">
        <v>24</v>
      </c>
      <c r="F1700" s="57" t="s">
        <v>25</v>
      </c>
      <c r="G1700" s="57" t="s">
        <v>25</v>
      </c>
      <c r="H1700" s="57" t="s">
        <v>25</v>
      </c>
      <c r="I1700" s="82">
        <v>44287</v>
      </c>
      <c r="J1700" s="83">
        <f>EFEITO!$J$1700*EFEITO!$Y$1700</f>
        <v>0</v>
      </c>
      <c r="K1700" s="83">
        <f ca="1">EFEITO!$L$1700*EFEITO!$Z$1700</f>
        <v>793411.6704064759</v>
      </c>
      <c r="L1700" s="83">
        <f>EFEITO!$N$1700*EFEITO!$AA$1700</f>
        <v>465536.09167060844</v>
      </c>
      <c r="M1700" s="83">
        <f>$J$1700-EFEITO!$K$1700*EFEITO!$Y$1700</f>
        <v>0</v>
      </c>
      <c r="N1700" s="83">
        <f ca="1">$K$1700-EFEITO!$M$1700*EFEITO!$Z$1700</f>
        <v>0</v>
      </c>
      <c r="O1700" s="83">
        <f>$L$1700-EFEITO!$O$1700*EFEITO!$AA$1700</f>
        <v>0</v>
      </c>
      <c r="P1700" s="61"/>
      <c r="Q1700" s="61"/>
      <c r="R1700" s="61"/>
      <c r="S1700" s="61"/>
      <c r="T1700" s="61"/>
      <c r="U1700" s="61"/>
      <c r="V1700" s="61"/>
      <c r="W1700" s="61"/>
      <c r="X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</row>
    <row r="1701" spans="1:36" ht="11.25" customHeight="1" x14ac:dyDescent="0.2">
      <c r="A1701" s="57" t="s">
        <v>30</v>
      </c>
      <c r="B1701" s="57" t="s">
        <v>22</v>
      </c>
      <c r="C1701" s="57" t="s">
        <v>23</v>
      </c>
      <c r="D1701" s="57" t="s">
        <v>24</v>
      </c>
      <c r="E1701" s="57" t="s">
        <v>24</v>
      </c>
      <c r="F1701" s="57" t="s">
        <v>25</v>
      </c>
      <c r="G1701" s="57" t="s">
        <v>25</v>
      </c>
      <c r="H1701" s="57" t="s">
        <v>25</v>
      </c>
      <c r="I1701" s="82">
        <v>44287</v>
      </c>
      <c r="J1701" s="83">
        <f>EFEITO!$J$1701*EFEITO!$Y$1701</f>
        <v>0</v>
      </c>
      <c r="K1701" s="83">
        <f ca="1">EFEITO!$L$1701*EFEITO!$Z$1701</f>
        <v>-719.76469814670497</v>
      </c>
      <c r="L1701" s="83">
        <f>EFEITO!$N$1701*EFEITO!$AA$1701</f>
        <v>-422.32356416691971</v>
      </c>
      <c r="M1701" s="83">
        <f>$J$1701-EFEITO!$K$1701*EFEITO!$Y$1701</f>
        <v>0</v>
      </c>
      <c r="N1701" s="83">
        <f ca="1">$K$1701-EFEITO!$M$1701*EFEITO!$Z$1701</f>
        <v>0</v>
      </c>
      <c r="O1701" s="83">
        <f>$L$1701-EFEITO!$O$1701*EFEITO!$AA$1701</f>
        <v>0</v>
      </c>
      <c r="P1701" s="61"/>
      <c r="Q1701" s="61"/>
      <c r="R1701" s="61"/>
      <c r="S1701" s="61"/>
      <c r="T1701" s="61"/>
      <c r="U1701" s="61"/>
      <c r="V1701" s="61"/>
      <c r="W1701" s="61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</row>
    <row r="1702" spans="1:36" ht="11.25" customHeight="1" x14ac:dyDescent="0.2">
      <c r="A1702" s="57" t="s">
        <v>21</v>
      </c>
      <c r="B1702" s="57" t="s">
        <v>22</v>
      </c>
      <c r="C1702" s="57" t="s">
        <v>23</v>
      </c>
      <c r="D1702" s="57" t="s">
        <v>24</v>
      </c>
      <c r="E1702" s="57" t="s">
        <v>24</v>
      </c>
      <c r="F1702" s="57" t="s">
        <v>25</v>
      </c>
      <c r="G1702" s="57" t="s">
        <v>25</v>
      </c>
      <c r="H1702" s="57" t="s">
        <v>25</v>
      </c>
      <c r="I1702" s="82">
        <v>44317</v>
      </c>
      <c r="J1702" s="83">
        <f>EFEITO!$J$1702*EFEITO!$Y$1702</f>
        <v>0</v>
      </c>
      <c r="K1702" s="83">
        <f ca="1">EFEITO!$L$1702*EFEITO!$Z$1702</f>
        <v>56293744.740681686</v>
      </c>
      <c r="L1702" s="83">
        <f>EFEITO!$N$1702*EFEITO!$AA$1702</f>
        <v>33030482.017807636</v>
      </c>
      <c r="M1702" s="83">
        <f>$J$1702-EFEITO!$K$1702*EFEITO!$Y$1702</f>
        <v>0</v>
      </c>
      <c r="N1702" s="83">
        <f ca="1">$K$1702-EFEITO!$M$1702*EFEITO!$Z$1702</f>
        <v>0</v>
      </c>
      <c r="O1702" s="83">
        <f>$L$1702-EFEITO!$O$1702*EFEITO!$AA$1702</f>
        <v>0</v>
      </c>
      <c r="P1702" s="61"/>
      <c r="Q1702" s="61"/>
      <c r="R1702" s="61"/>
      <c r="S1702" s="61"/>
      <c r="T1702" s="61"/>
      <c r="U1702" s="61"/>
      <c r="V1702" s="61"/>
      <c r="W1702" s="61"/>
      <c r="X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</row>
    <row r="1703" spans="1:36" ht="11.25" customHeight="1" x14ac:dyDescent="0.2">
      <c r="A1703" s="57" t="s">
        <v>27</v>
      </c>
      <c r="B1703" s="57" t="s">
        <v>22</v>
      </c>
      <c r="C1703" s="57" t="s">
        <v>23</v>
      </c>
      <c r="D1703" s="57" t="s">
        <v>24</v>
      </c>
      <c r="E1703" s="57" t="s">
        <v>24</v>
      </c>
      <c r="F1703" s="57" t="s">
        <v>25</v>
      </c>
      <c r="G1703" s="57" t="s">
        <v>25</v>
      </c>
      <c r="H1703" s="57" t="s">
        <v>25</v>
      </c>
      <c r="I1703" s="82">
        <v>44317</v>
      </c>
      <c r="J1703" s="83">
        <f>EFEITO!$J$1703*EFEITO!$Y$1703</f>
        <v>0</v>
      </c>
      <c r="K1703" s="83">
        <f ca="1">EFEITO!$L$1703*EFEITO!$Z$1703</f>
        <v>-1726204.432331475</v>
      </c>
      <c r="L1703" s="83">
        <f>EFEITO!$N$1703*EFEITO!$AA$1703</f>
        <v>-1012854.353957732</v>
      </c>
      <c r="M1703" s="83">
        <f>$J$1703-EFEITO!$K$1703*EFEITO!$Y$1703</f>
        <v>0</v>
      </c>
      <c r="N1703" s="83">
        <f ca="1">$K$1703-EFEITO!$M$1703*EFEITO!$Z$1703</f>
        <v>0</v>
      </c>
      <c r="O1703" s="83">
        <f>$L$1703-EFEITO!$O$1703*EFEITO!$AA$1703</f>
        <v>0</v>
      </c>
      <c r="P1703" s="61"/>
      <c r="Q1703" s="61"/>
      <c r="R1703" s="61"/>
      <c r="S1703" s="61"/>
      <c r="T1703" s="61"/>
      <c r="U1703" s="61"/>
      <c r="V1703" s="61"/>
      <c r="W1703" s="61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</row>
    <row r="1704" spans="1:36" ht="11.25" customHeight="1" x14ac:dyDescent="0.2">
      <c r="A1704" s="57" t="s">
        <v>28</v>
      </c>
      <c r="B1704" s="57" t="s">
        <v>22</v>
      </c>
      <c r="C1704" s="57" t="s">
        <v>23</v>
      </c>
      <c r="D1704" s="57" t="s">
        <v>24</v>
      </c>
      <c r="E1704" s="57" t="s">
        <v>24</v>
      </c>
      <c r="F1704" s="57" t="s">
        <v>25</v>
      </c>
      <c r="G1704" s="57" t="s">
        <v>25</v>
      </c>
      <c r="H1704" s="57" t="s">
        <v>25</v>
      </c>
      <c r="I1704" s="82">
        <v>44317</v>
      </c>
      <c r="J1704" s="83">
        <f>EFEITO!$J$1704*EFEITO!$Y$1704</f>
        <v>0</v>
      </c>
      <c r="K1704" s="83">
        <f ca="1">EFEITO!$L$1704*EFEITO!$Z$1704</f>
        <v>15744719.050720388</v>
      </c>
      <c r="L1704" s="83">
        <f>EFEITO!$N$1704*EFEITO!$AA$1704</f>
        <v>9238249.5049121417</v>
      </c>
      <c r="M1704" s="83">
        <f>$J$1704-EFEITO!$K$1704*EFEITO!$Y$1704</f>
        <v>0</v>
      </c>
      <c r="N1704" s="83">
        <f ca="1">$K$1704-EFEITO!$M$1704*EFEITO!$Z$1704</f>
        <v>0</v>
      </c>
      <c r="O1704" s="83">
        <f>$L$1704-EFEITO!$O$1704*EFEITO!$AA$1704</f>
        <v>0</v>
      </c>
      <c r="P1704" s="61"/>
      <c r="Q1704" s="61"/>
      <c r="R1704" s="61"/>
      <c r="S1704" s="61"/>
      <c r="T1704" s="61"/>
      <c r="U1704" s="61"/>
      <c r="V1704" s="61"/>
      <c r="W1704" s="61"/>
      <c r="X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</row>
    <row r="1705" spans="1:36" ht="11.25" customHeight="1" x14ac:dyDescent="0.2">
      <c r="A1705" s="57" t="s">
        <v>29</v>
      </c>
      <c r="B1705" s="57" t="s">
        <v>22</v>
      </c>
      <c r="C1705" s="57" t="s">
        <v>23</v>
      </c>
      <c r="D1705" s="57" t="s">
        <v>24</v>
      </c>
      <c r="E1705" s="57" t="s">
        <v>24</v>
      </c>
      <c r="F1705" s="57" t="s">
        <v>25</v>
      </c>
      <c r="G1705" s="57" t="s">
        <v>25</v>
      </c>
      <c r="H1705" s="57" t="s">
        <v>25</v>
      </c>
      <c r="I1705" s="82">
        <v>44317</v>
      </c>
      <c r="J1705" s="83">
        <f>EFEITO!$J$1705*EFEITO!$Y$1705</f>
        <v>0</v>
      </c>
      <c r="K1705" s="83">
        <f ca="1">EFEITO!$L$1705*EFEITO!$Z$1705</f>
        <v>-252814.1844750059</v>
      </c>
      <c r="L1705" s="83">
        <f>EFEITO!$N$1705*EFEITO!$AA$1705</f>
        <v>-148339.2944032322</v>
      </c>
      <c r="M1705" s="83">
        <f>$J$1705-EFEITO!$K$1705*EFEITO!$Y$1705</f>
        <v>0</v>
      </c>
      <c r="N1705" s="83">
        <f ca="1">$K$1705-EFEITO!$M$1705*EFEITO!$Z$1705</f>
        <v>0</v>
      </c>
      <c r="O1705" s="83">
        <f>$L$1705-EFEITO!$O$1705*EFEITO!$AA$1705</f>
        <v>0</v>
      </c>
      <c r="P1705" s="61"/>
      <c r="Q1705" s="61"/>
      <c r="R1705" s="61"/>
      <c r="S1705" s="61"/>
      <c r="T1705" s="61"/>
      <c r="U1705" s="61"/>
      <c r="V1705" s="61"/>
      <c r="W1705" s="61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</row>
    <row r="1706" spans="1:36" ht="11.25" customHeight="1" x14ac:dyDescent="0.2">
      <c r="A1706" s="57" t="s">
        <v>30</v>
      </c>
      <c r="B1706" s="57" t="s">
        <v>22</v>
      </c>
      <c r="C1706" s="57" t="s">
        <v>23</v>
      </c>
      <c r="D1706" s="57" t="s">
        <v>24</v>
      </c>
      <c r="E1706" s="57" t="s">
        <v>24</v>
      </c>
      <c r="F1706" s="57" t="s">
        <v>25</v>
      </c>
      <c r="G1706" s="57" t="s">
        <v>25</v>
      </c>
      <c r="H1706" s="57" t="s">
        <v>25</v>
      </c>
      <c r="I1706" s="82">
        <v>44317</v>
      </c>
      <c r="J1706" s="83">
        <f>EFEITO!$J$1706*EFEITO!$Y$1706</f>
        <v>0</v>
      </c>
      <c r="K1706" s="83">
        <f ca="1">EFEITO!$L$1706*EFEITO!$Z$1706</f>
        <v>803504.07829569001</v>
      </c>
      <c r="L1706" s="83">
        <f>EFEITO!$N$1706*EFEITO!$AA$1706</f>
        <v>471457.83482052118</v>
      </c>
      <c r="M1706" s="83">
        <f>$J$1706-EFEITO!$K$1706*EFEITO!$Y$1706</f>
        <v>0</v>
      </c>
      <c r="N1706" s="83">
        <f ca="1">$K$1706-EFEITO!$M$1706*EFEITO!$Z$1706</f>
        <v>0</v>
      </c>
      <c r="O1706" s="83">
        <f>$L$1706-EFEITO!$O$1706*EFEITO!$AA$1706</f>
        <v>0</v>
      </c>
      <c r="P1706" s="61"/>
      <c r="Q1706" s="61"/>
      <c r="R1706" s="61"/>
      <c r="S1706" s="61"/>
      <c r="T1706" s="61"/>
      <c r="U1706" s="61"/>
      <c r="V1706" s="61"/>
      <c r="W1706" s="61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</row>
    <row r="1707" spans="1:36" ht="11.25" customHeight="1" x14ac:dyDescent="0.2">
      <c r="A1707" s="57" t="s">
        <v>30</v>
      </c>
      <c r="B1707" s="57" t="s">
        <v>22</v>
      </c>
      <c r="C1707" s="57" t="s">
        <v>23</v>
      </c>
      <c r="D1707" s="57" t="s">
        <v>24</v>
      </c>
      <c r="E1707" s="57" t="s">
        <v>24</v>
      </c>
      <c r="F1707" s="57" t="s">
        <v>25</v>
      </c>
      <c r="G1707" s="57" t="s">
        <v>25</v>
      </c>
      <c r="H1707" s="57" t="s">
        <v>25</v>
      </c>
      <c r="I1707" s="82">
        <v>44317</v>
      </c>
      <c r="J1707" s="83">
        <f>EFEITO!$J$1707*EFEITO!$Y$1707</f>
        <v>0</v>
      </c>
      <c r="K1707" s="83">
        <f ca="1">EFEITO!$L$1707*EFEITO!$Z$1707</f>
        <v>-10049.353702484606</v>
      </c>
      <c r="L1707" s="83">
        <f>EFEITO!$N$1707*EFEITO!$AA$1707</f>
        <v>-5896.4810084952051</v>
      </c>
      <c r="M1707" s="83">
        <f>$J$1707-EFEITO!$K$1707*EFEITO!$Y$1707</f>
        <v>0</v>
      </c>
      <c r="N1707" s="83">
        <f ca="1">$K$1707-EFEITO!$M$1707*EFEITO!$Z$1707</f>
        <v>0</v>
      </c>
      <c r="O1707" s="83">
        <f>$L$1707-EFEITO!$O$1707*EFEITO!$AA$1707</f>
        <v>0</v>
      </c>
      <c r="P1707" s="61"/>
      <c r="Q1707" s="61"/>
      <c r="R1707" s="61"/>
      <c r="S1707" s="61"/>
      <c r="T1707" s="61"/>
      <c r="U1707" s="61"/>
      <c r="V1707" s="61"/>
      <c r="W1707" s="61"/>
      <c r="X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</row>
    <row r="1708" spans="1:36" ht="11.25" customHeight="1" x14ac:dyDescent="0.2">
      <c r="A1708" s="57" t="s">
        <v>21</v>
      </c>
      <c r="B1708" s="57" t="s">
        <v>22</v>
      </c>
      <c r="C1708" s="57" t="s">
        <v>23</v>
      </c>
      <c r="D1708" s="57" t="s">
        <v>24</v>
      </c>
      <c r="E1708" s="57" t="s">
        <v>24</v>
      </c>
      <c r="F1708" s="57" t="s">
        <v>25</v>
      </c>
      <c r="G1708" s="57" t="s">
        <v>25</v>
      </c>
      <c r="H1708" s="57" t="s">
        <v>25</v>
      </c>
      <c r="I1708" s="82">
        <v>44348</v>
      </c>
      <c r="J1708" s="83">
        <f>EFEITO!$J$1708*EFEITO!$Y$1708</f>
        <v>0</v>
      </c>
      <c r="K1708" s="83">
        <f ca="1">EFEITO!$L$1708*EFEITO!$Z$1708</f>
        <v>60050751.339538381</v>
      </c>
      <c r="L1708" s="83">
        <f>EFEITO!$N$1708*EFEITO!$AA$1708</f>
        <v>35234914.135016575</v>
      </c>
      <c r="M1708" s="83">
        <f>$J$1708-EFEITO!$K$1708*EFEITO!$Y$1708</f>
        <v>0</v>
      </c>
      <c r="N1708" s="83">
        <f ca="1">$K$1708-EFEITO!$M$1708*EFEITO!$Z$1708</f>
        <v>0</v>
      </c>
      <c r="O1708" s="83">
        <f>$L$1708-EFEITO!$O$1708*EFEITO!$AA$1708</f>
        <v>0</v>
      </c>
      <c r="P1708" s="61"/>
      <c r="Q1708" s="61"/>
      <c r="R1708" s="61"/>
      <c r="S1708" s="61"/>
      <c r="T1708" s="61"/>
      <c r="U1708" s="61"/>
      <c r="V1708" s="61"/>
      <c r="W1708" s="61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</row>
    <row r="1709" spans="1:36" ht="11.25" customHeight="1" x14ac:dyDescent="0.2">
      <c r="A1709" s="57" t="s">
        <v>27</v>
      </c>
      <c r="B1709" s="57" t="s">
        <v>22</v>
      </c>
      <c r="C1709" s="57" t="s">
        <v>23</v>
      </c>
      <c r="D1709" s="57" t="s">
        <v>24</v>
      </c>
      <c r="E1709" s="57" t="s">
        <v>24</v>
      </c>
      <c r="F1709" s="57" t="s">
        <v>25</v>
      </c>
      <c r="G1709" s="57" t="s">
        <v>25</v>
      </c>
      <c r="H1709" s="57" t="s">
        <v>25</v>
      </c>
      <c r="I1709" s="82">
        <v>44348</v>
      </c>
      <c r="J1709" s="83">
        <f>EFEITO!$J$1709*EFEITO!$Y$1709</f>
        <v>0</v>
      </c>
      <c r="K1709" s="83">
        <f ca="1">EFEITO!$L$1709*EFEITO!$Z$1709</f>
        <v>-2008018.9039477136</v>
      </c>
      <c r="L1709" s="83">
        <f>EFEITO!$N$1709*EFEITO!$AA$1709</f>
        <v>-1178209.6324164271</v>
      </c>
      <c r="M1709" s="83">
        <f>$J$1709-EFEITO!$K$1709*EFEITO!$Y$1709</f>
        <v>0</v>
      </c>
      <c r="N1709" s="83">
        <f ca="1">$K$1709-EFEITO!$M$1709*EFEITO!$Z$1709</f>
        <v>0</v>
      </c>
      <c r="O1709" s="83">
        <f>$L$1709-EFEITO!$O$1709*EFEITO!$AA$1709</f>
        <v>0</v>
      </c>
      <c r="P1709" s="61"/>
      <c r="Q1709" s="61"/>
      <c r="R1709" s="61"/>
      <c r="S1709" s="61"/>
      <c r="T1709" s="61"/>
      <c r="U1709" s="61"/>
      <c r="V1709" s="61"/>
      <c r="W1709" s="61"/>
      <c r="X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</row>
    <row r="1710" spans="1:36" ht="11.25" customHeight="1" x14ac:dyDescent="0.2">
      <c r="A1710" s="57" t="s">
        <v>28</v>
      </c>
      <c r="B1710" s="57" t="s">
        <v>22</v>
      </c>
      <c r="C1710" s="57" t="s">
        <v>23</v>
      </c>
      <c r="D1710" s="57" t="s">
        <v>24</v>
      </c>
      <c r="E1710" s="57" t="s">
        <v>24</v>
      </c>
      <c r="F1710" s="57" t="s">
        <v>25</v>
      </c>
      <c r="G1710" s="57" t="s">
        <v>25</v>
      </c>
      <c r="H1710" s="57" t="s">
        <v>25</v>
      </c>
      <c r="I1710" s="82">
        <v>44348</v>
      </c>
      <c r="J1710" s="83">
        <f>EFEITO!$J$1710*EFEITO!$Y$1710</f>
        <v>0</v>
      </c>
      <c r="K1710" s="83">
        <f ca="1">EFEITO!$L$1710*EFEITO!$Z$1710</f>
        <v>16733581.026763154</v>
      </c>
      <c r="L1710" s="83">
        <f>EFEITO!$N$1710*EFEITO!$AA$1710</f>
        <v>9818466.5053663701</v>
      </c>
      <c r="M1710" s="83">
        <f>$J$1710-EFEITO!$K$1710*EFEITO!$Y$1710</f>
        <v>0</v>
      </c>
      <c r="N1710" s="83">
        <f ca="1">$K$1710-EFEITO!$M$1710*EFEITO!$Z$1710</f>
        <v>0</v>
      </c>
      <c r="O1710" s="83">
        <f>$L$1710-EFEITO!$O$1710*EFEITO!$AA$1710</f>
        <v>0</v>
      </c>
      <c r="P1710" s="61"/>
      <c r="Q1710" s="61"/>
      <c r="R1710" s="61"/>
      <c r="S1710" s="61"/>
      <c r="T1710" s="61"/>
      <c r="U1710" s="61"/>
      <c r="V1710" s="61"/>
      <c r="W1710" s="61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</row>
    <row r="1711" spans="1:36" ht="11.25" customHeight="1" x14ac:dyDescent="0.2">
      <c r="A1711" s="57" t="s">
        <v>29</v>
      </c>
      <c r="B1711" s="57" t="s">
        <v>22</v>
      </c>
      <c r="C1711" s="57" t="s">
        <v>23</v>
      </c>
      <c r="D1711" s="57" t="s">
        <v>24</v>
      </c>
      <c r="E1711" s="57" t="s">
        <v>24</v>
      </c>
      <c r="F1711" s="57" t="s">
        <v>25</v>
      </c>
      <c r="G1711" s="57" t="s">
        <v>25</v>
      </c>
      <c r="H1711" s="57" t="s">
        <v>25</v>
      </c>
      <c r="I1711" s="82">
        <v>44348</v>
      </c>
      <c r="J1711" s="83">
        <f>EFEITO!$J$1711*EFEITO!$Y$1711</f>
        <v>0</v>
      </c>
      <c r="K1711" s="83">
        <f ca="1">EFEITO!$L$1711*EFEITO!$Z$1711</f>
        <v>-314291.51096583053</v>
      </c>
      <c r="L1711" s="83">
        <f>EFEITO!$N$1711*EFEITO!$AA$1711</f>
        <v>-184411.25473403258</v>
      </c>
      <c r="M1711" s="83">
        <f>$J$1711-EFEITO!$K$1711*EFEITO!$Y$1711</f>
        <v>0</v>
      </c>
      <c r="N1711" s="83">
        <f ca="1">$K$1711-EFEITO!$M$1711*EFEITO!$Z$1711</f>
        <v>0</v>
      </c>
      <c r="O1711" s="83">
        <f>$L$1711-EFEITO!$O$1711*EFEITO!$AA$1711</f>
        <v>0</v>
      </c>
      <c r="P1711" s="61"/>
      <c r="Q1711" s="61"/>
      <c r="R1711" s="61"/>
      <c r="S1711" s="61"/>
      <c r="T1711" s="61"/>
      <c r="U1711" s="61"/>
      <c r="V1711" s="61"/>
      <c r="W1711" s="61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</row>
    <row r="1712" spans="1:36" ht="11.25" customHeight="1" x14ac:dyDescent="0.2">
      <c r="A1712" s="57" t="s">
        <v>30</v>
      </c>
      <c r="B1712" s="57" t="s">
        <v>22</v>
      </c>
      <c r="C1712" s="57" t="s">
        <v>23</v>
      </c>
      <c r="D1712" s="57" t="s">
        <v>24</v>
      </c>
      <c r="E1712" s="57" t="s">
        <v>24</v>
      </c>
      <c r="F1712" s="57" t="s">
        <v>25</v>
      </c>
      <c r="G1712" s="57" t="s">
        <v>25</v>
      </c>
      <c r="H1712" s="57" t="s">
        <v>25</v>
      </c>
      <c r="I1712" s="82">
        <v>44348</v>
      </c>
      <c r="J1712" s="83">
        <f>EFEITO!$J$1712*EFEITO!$Y$1712</f>
        <v>0</v>
      </c>
      <c r="K1712" s="83">
        <f ca="1">EFEITO!$L$1712*EFEITO!$Z$1712</f>
        <v>924262.96775414015</v>
      </c>
      <c r="L1712" s="83">
        <f>EFEITO!$N$1712*EFEITO!$AA$1712</f>
        <v>542313.38626983226</v>
      </c>
      <c r="M1712" s="83">
        <f>$J$1712-EFEITO!$K$1712*EFEITO!$Y$1712</f>
        <v>0</v>
      </c>
      <c r="N1712" s="83">
        <f ca="1">$K$1712-EFEITO!$M$1712*EFEITO!$Z$1712</f>
        <v>0</v>
      </c>
      <c r="O1712" s="83">
        <f>$L$1712-EFEITO!$O$1712*EFEITO!$AA$1712</f>
        <v>0</v>
      </c>
      <c r="P1712" s="61"/>
      <c r="Q1712" s="61"/>
      <c r="R1712" s="61"/>
      <c r="S1712" s="61"/>
      <c r="T1712" s="61"/>
      <c r="U1712" s="61"/>
      <c r="V1712" s="61"/>
      <c r="W1712" s="61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</row>
    <row r="1713" spans="1:36" ht="11.25" customHeight="1" x14ac:dyDescent="0.2">
      <c r="A1713" s="57" t="s">
        <v>30</v>
      </c>
      <c r="B1713" s="57" t="s">
        <v>22</v>
      </c>
      <c r="C1713" s="57" t="s">
        <v>23</v>
      </c>
      <c r="D1713" s="57" t="s">
        <v>24</v>
      </c>
      <c r="E1713" s="57" t="s">
        <v>24</v>
      </c>
      <c r="F1713" s="57" t="s">
        <v>25</v>
      </c>
      <c r="G1713" s="57" t="s">
        <v>25</v>
      </c>
      <c r="H1713" s="57" t="s">
        <v>25</v>
      </c>
      <c r="I1713" s="82">
        <v>44348</v>
      </c>
      <c r="J1713" s="83">
        <f>EFEITO!$J$1713*EFEITO!$Y$1713</f>
        <v>0</v>
      </c>
      <c r="K1713" s="83">
        <f ca="1">EFEITO!$L$1713*EFEITO!$Z$1713</f>
        <v>-3003.6626741801269</v>
      </c>
      <c r="L1713" s="83">
        <f>EFEITO!$N$1713*EFEITO!$AA$1713</f>
        <v>-1762.4058659463994</v>
      </c>
      <c r="M1713" s="83">
        <f>$J$1713-EFEITO!$K$1713*EFEITO!$Y$1713</f>
        <v>0</v>
      </c>
      <c r="N1713" s="83">
        <f ca="1">$K$1713-EFEITO!$M$1713*EFEITO!$Z$1713</f>
        <v>0</v>
      </c>
      <c r="O1713" s="83">
        <f>$L$1713-EFEITO!$O$1713*EFEITO!$AA$1713</f>
        <v>0</v>
      </c>
      <c r="P1713" s="61"/>
      <c r="Q1713" s="61"/>
      <c r="R1713" s="61"/>
      <c r="S1713" s="61"/>
      <c r="T1713" s="61"/>
      <c r="U1713" s="61"/>
      <c r="V1713" s="61"/>
      <c r="W1713" s="61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</row>
    <row r="1714" spans="1:36" ht="11.25" customHeight="1" x14ac:dyDescent="0.2">
      <c r="A1714" s="57" t="s">
        <v>21</v>
      </c>
      <c r="B1714" s="57" t="s">
        <v>22</v>
      </c>
      <c r="C1714" s="57" t="s">
        <v>23</v>
      </c>
      <c r="D1714" s="57" t="s">
        <v>24</v>
      </c>
      <c r="E1714" s="57" t="s">
        <v>24</v>
      </c>
      <c r="F1714" s="57" t="s">
        <v>25</v>
      </c>
      <c r="G1714" s="57" t="s">
        <v>25</v>
      </c>
      <c r="H1714" s="57" t="s">
        <v>25</v>
      </c>
      <c r="I1714" s="82">
        <v>44378</v>
      </c>
      <c r="J1714" s="83">
        <f>EFEITO!$J$1714*EFEITO!$Y$1714</f>
        <v>0</v>
      </c>
      <c r="K1714" s="83">
        <f ca="1">EFEITO!$L$1714*EFEITO!$Z$1714</f>
        <v>56553771.767733477</v>
      </c>
      <c r="L1714" s="83">
        <f>EFEITO!$N$1714*EFEITO!$AA$1714</f>
        <v>33183053.463902451</v>
      </c>
      <c r="M1714" s="83">
        <f>$J$1714-EFEITO!$K$1714*EFEITO!$Y$1714</f>
        <v>0</v>
      </c>
      <c r="N1714" s="83">
        <f ca="1">$K$1714-EFEITO!$M$1714*EFEITO!$Z$1714</f>
        <v>0</v>
      </c>
      <c r="O1714" s="83">
        <f>$L$1714-EFEITO!$O$1714*EFEITO!$AA$1714</f>
        <v>0</v>
      </c>
      <c r="P1714" s="61"/>
      <c r="Q1714" s="61"/>
      <c r="R1714" s="61"/>
      <c r="S1714" s="61"/>
      <c r="T1714" s="61"/>
      <c r="U1714" s="61"/>
      <c r="V1714" s="61"/>
      <c r="W1714" s="61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</row>
    <row r="1715" spans="1:36" ht="11.25" customHeight="1" x14ac:dyDescent="0.2">
      <c r="A1715" s="57" t="s">
        <v>27</v>
      </c>
      <c r="B1715" s="57" t="s">
        <v>22</v>
      </c>
      <c r="C1715" s="57" t="s">
        <v>23</v>
      </c>
      <c r="D1715" s="57" t="s">
        <v>24</v>
      </c>
      <c r="E1715" s="57" t="s">
        <v>24</v>
      </c>
      <c r="F1715" s="57" t="s">
        <v>25</v>
      </c>
      <c r="G1715" s="57" t="s">
        <v>25</v>
      </c>
      <c r="H1715" s="57" t="s">
        <v>25</v>
      </c>
      <c r="I1715" s="82">
        <v>44378</v>
      </c>
      <c r="J1715" s="83">
        <f>EFEITO!$J$1715*EFEITO!$Y$1715</f>
        <v>0</v>
      </c>
      <c r="K1715" s="83">
        <f ca="1">EFEITO!$L$1715*EFEITO!$Z$1715</f>
        <v>-1471655.9239110404</v>
      </c>
      <c r="L1715" s="83">
        <f>EFEITO!$N$1715*EFEITO!$AA$1715</f>
        <v>-863497.44105787249</v>
      </c>
      <c r="M1715" s="83">
        <f>$J$1715-EFEITO!$K$1715*EFEITO!$Y$1715</f>
        <v>0</v>
      </c>
      <c r="N1715" s="83">
        <f ca="1">$K$1715-EFEITO!$M$1715*EFEITO!$Z$1715</f>
        <v>0</v>
      </c>
      <c r="O1715" s="83">
        <f>$L$1715-EFEITO!$O$1715*EFEITO!$AA$1715</f>
        <v>0</v>
      </c>
      <c r="P1715" s="61"/>
      <c r="Q1715" s="61"/>
      <c r="R1715" s="61"/>
      <c r="S1715" s="61"/>
      <c r="T1715" s="61"/>
      <c r="U1715" s="61"/>
      <c r="V1715" s="61"/>
      <c r="W1715" s="61"/>
      <c r="X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</row>
    <row r="1716" spans="1:36" ht="11.25" customHeight="1" x14ac:dyDescent="0.2">
      <c r="A1716" s="57" t="s">
        <v>28</v>
      </c>
      <c r="B1716" s="57" t="s">
        <v>22</v>
      </c>
      <c r="C1716" s="57" t="s">
        <v>23</v>
      </c>
      <c r="D1716" s="57" t="s">
        <v>24</v>
      </c>
      <c r="E1716" s="57" t="s">
        <v>24</v>
      </c>
      <c r="F1716" s="57" t="s">
        <v>25</v>
      </c>
      <c r="G1716" s="57" t="s">
        <v>25</v>
      </c>
      <c r="H1716" s="57" t="s">
        <v>25</v>
      </c>
      <c r="I1716" s="82">
        <v>44378</v>
      </c>
      <c r="J1716" s="83">
        <f>EFEITO!$J$1716*EFEITO!$Y$1716</f>
        <v>0</v>
      </c>
      <c r="K1716" s="83">
        <f ca="1">EFEITO!$L$1716*EFEITO!$Z$1716</f>
        <v>15338630.441929204</v>
      </c>
      <c r="L1716" s="83">
        <f>EFEITO!$N$1716*EFEITO!$AA$1716</f>
        <v>8999976.0954578165</v>
      </c>
      <c r="M1716" s="83">
        <f>$J$1716-EFEITO!$K$1716*EFEITO!$Y$1716</f>
        <v>0</v>
      </c>
      <c r="N1716" s="83">
        <f ca="1">$K$1716-EFEITO!$M$1716*EFEITO!$Z$1716</f>
        <v>0</v>
      </c>
      <c r="O1716" s="83">
        <f>$L$1716-EFEITO!$O$1716*EFEITO!$AA$1716</f>
        <v>0</v>
      </c>
      <c r="P1716" s="61"/>
      <c r="Q1716" s="61"/>
      <c r="R1716" s="61"/>
      <c r="S1716" s="61"/>
      <c r="T1716" s="61"/>
      <c r="U1716" s="61"/>
      <c r="V1716" s="61"/>
      <c r="W1716" s="61"/>
      <c r="X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</row>
    <row r="1717" spans="1:36" ht="11.25" customHeight="1" x14ac:dyDescent="0.2">
      <c r="A1717" s="57" t="s">
        <v>29</v>
      </c>
      <c r="B1717" s="57" t="s">
        <v>22</v>
      </c>
      <c r="C1717" s="57" t="s">
        <v>23</v>
      </c>
      <c r="D1717" s="57" t="s">
        <v>24</v>
      </c>
      <c r="E1717" s="57" t="s">
        <v>24</v>
      </c>
      <c r="F1717" s="57" t="s">
        <v>25</v>
      </c>
      <c r="G1717" s="57" t="s">
        <v>25</v>
      </c>
      <c r="H1717" s="57" t="s">
        <v>25</v>
      </c>
      <c r="I1717" s="82">
        <v>44378</v>
      </c>
      <c r="J1717" s="83">
        <f>EFEITO!$J$1717*EFEITO!$Y$1717</f>
        <v>0</v>
      </c>
      <c r="K1717" s="83">
        <f ca="1">EFEITO!$L$1717*EFEITO!$Z$1717</f>
        <v>-247620.83651575315</v>
      </c>
      <c r="L1717" s="83">
        <f>EFEITO!$N$1717*EFEITO!$AA$1717</f>
        <v>-145292.08574496096</v>
      </c>
      <c r="M1717" s="83">
        <f>$J$1717-EFEITO!$K$1717*EFEITO!$Y$1717</f>
        <v>0</v>
      </c>
      <c r="N1717" s="83">
        <f ca="1">$K$1717-EFEITO!$M$1717*EFEITO!$Z$1717</f>
        <v>0</v>
      </c>
      <c r="O1717" s="83">
        <f>$L$1717-EFEITO!$O$1717*EFEITO!$AA$1717</f>
        <v>0</v>
      </c>
      <c r="P1717" s="61"/>
      <c r="Q1717" s="61"/>
      <c r="R1717" s="61"/>
      <c r="S1717" s="61"/>
      <c r="T1717" s="61"/>
      <c r="U1717" s="61"/>
      <c r="V1717" s="61"/>
      <c r="W1717" s="61"/>
      <c r="X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</row>
    <row r="1718" spans="1:36" ht="11.25" customHeight="1" x14ac:dyDescent="0.2">
      <c r="A1718" s="57" t="s">
        <v>30</v>
      </c>
      <c r="B1718" s="57" t="s">
        <v>22</v>
      </c>
      <c r="C1718" s="57" t="s">
        <v>23</v>
      </c>
      <c r="D1718" s="57" t="s">
        <v>24</v>
      </c>
      <c r="E1718" s="57" t="s">
        <v>24</v>
      </c>
      <c r="F1718" s="57" t="s">
        <v>25</v>
      </c>
      <c r="G1718" s="57" t="s">
        <v>25</v>
      </c>
      <c r="H1718" s="57" t="s">
        <v>25</v>
      </c>
      <c r="I1718" s="82">
        <v>44378</v>
      </c>
      <c r="J1718" s="83">
        <f>EFEITO!$J$1718*EFEITO!$Y$1718</f>
        <v>0</v>
      </c>
      <c r="K1718" s="83">
        <f ca="1">EFEITO!$L$1718*EFEITO!$Z$1718</f>
        <v>909182.35244244291</v>
      </c>
      <c r="L1718" s="83">
        <f>EFEITO!$N$1718*EFEITO!$AA$1718</f>
        <v>533464.80113546096</v>
      </c>
      <c r="M1718" s="83">
        <f>$J$1718-EFEITO!$K$1718*EFEITO!$Y$1718</f>
        <v>0</v>
      </c>
      <c r="N1718" s="83">
        <f ca="1">$K$1718-EFEITO!$M$1718*EFEITO!$Z$1718</f>
        <v>0</v>
      </c>
      <c r="O1718" s="83">
        <f>$L$1718-EFEITO!$O$1718*EFEITO!$AA$1718</f>
        <v>0</v>
      </c>
      <c r="P1718" s="61"/>
      <c r="Q1718" s="61"/>
      <c r="R1718" s="61"/>
      <c r="S1718" s="61"/>
      <c r="T1718" s="61"/>
      <c r="U1718" s="61"/>
      <c r="V1718" s="61"/>
      <c r="W1718" s="61"/>
      <c r="X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</row>
    <row r="1719" spans="1:36" ht="11.25" customHeight="1" x14ac:dyDescent="0.2">
      <c r="A1719" s="57" t="s">
        <v>30</v>
      </c>
      <c r="B1719" s="57" t="s">
        <v>22</v>
      </c>
      <c r="C1719" s="57" t="s">
        <v>23</v>
      </c>
      <c r="D1719" s="57" t="s">
        <v>24</v>
      </c>
      <c r="E1719" s="57" t="s">
        <v>24</v>
      </c>
      <c r="F1719" s="57" t="s">
        <v>25</v>
      </c>
      <c r="G1719" s="57" t="s">
        <v>25</v>
      </c>
      <c r="H1719" s="57" t="s">
        <v>25</v>
      </c>
      <c r="I1719" s="82">
        <v>44378</v>
      </c>
      <c r="J1719" s="83">
        <f>EFEITO!$J$1719*EFEITO!$Y$1719</f>
        <v>0</v>
      </c>
      <c r="K1719" s="83">
        <f ca="1">EFEITO!$L$1719*EFEITO!$Z$1719</f>
        <v>-218.31005271022508</v>
      </c>
      <c r="L1719" s="83">
        <f>EFEITO!$N$1719*EFEITO!$AA$1719</f>
        <v>-128.0939170696287</v>
      </c>
      <c r="M1719" s="83">
        <f>$J$1719-EFEITO!$K$1719*EFEITO!$Y$1719</f>
        <v>0</v>
      </c>
      <c r="N1719" s="83">
        <f ca="1">$K$1719-EFEITO!$M$1719*EFEITO!$Z$1719</f>
        <v>0</v>
      </c>
      <c r="O1719" s="83">
        <f>$L$1719-EFEITO!$O$1719*EFEITO!$AA$1719</f>
        <v>0</v>
      </c>
      <c r="P1719" s="61"/>
      <c r="Q1719" s="61"/>
      <c r="R1719" s="61"/>
      <c r="S1719" s="61"/>
      <c r="T1719" s="61"/>
      <c r="U1719" s="61"/>
      <c r="V1719" s="61"/>
      <c r="W1719" s="61"/>
      <c r="X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</row>
    <row r="1720" spans="1:36" ht="11.25" customHeight="1" x14ac:dyDescent="0.2">
      <c r="A1720" s="57" t="s">
        <v>21</v>
      </c>
      <c r="B1720" s="57" t="s">
        <v>22</v>
      </c>
      <c r="C1720" s="57" t="s">
        <v>23</v>
      </c>
      <c r="D1720" s="57" t="s">
        <v>24</v>
      </c>
      <c r="E1720" s="57" t="s">
        <v>24</v>
      </c>
      <c r="F1720" s="57" t="s">
        <v>25</v>
      </c>
      <c r="G1720" s="57" t="s">
        <v>25</v>
      </c>
      <c r="H1720" s="57" t="s">
        <v>25</v>
      </c>
      <c r="I1720" s="82">
        <v>44409</v>
      </c>
      <c r="J1720" s="83">
        <f>EFEITO!$J$1720*EFEITO!$Y$1720</f>
        <v>0</v>
      </c>
      <c r="K1720" s="83">
        <f ca="1">EFEITO!$L$1720*EFEITO!$Z$1720</f>
        <v>62187021.574475147</v>
      </c>
      <c r="L1720" s="83">
        <f>EFEITO!$N$1720*EFEITO!$AA$1720</f>
        <v>36488375.52589228</v>
      </c>
      <c r="M1720" s="83">
        <f>$J$1720-EFEITO!$K$1720*EFEITO!$Y$1720</f>
        <v>0</v>
      </c>
      <c r="N1720" s="83">
        <f ca="1">$K$1720-EFEITO!$M$1720*EFEITO!$Z$1720</f>
        <v>0</v>
      </c>
      <c r="O1720" s="83">
        <f>$L$1720-EFEITO!$O$1720*EFEITO!$AA$1720</f>
        <v>0</v>
      </c>
      <c r="P1720" s="61"/>
      <c r="Q1720" s="61"/>
      <c r="R1720" s="61"/>
      <c r="S1720" s="61"/>
      <c r="T1720" s="61"/>
      <c r="U1720" s="61"/>
      <c r="V1720" s="61"/>
      <c r="W1720" s="61"/>
      <c r="X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</row>
    <row r="1721" spans="1:36" ht="11.25" customHeight="1" x14ac:dyDescent="0.2">
      <c r="A1721" s="57" t="s">
        <v>27</v>
      </c>
      <c r="B1721" s="57" t="s">
        <v>22</v>
      </c>
      <c r="C1721" s="57" t="s">
        <v>23</v>
      </c>
      <c r="D1721" s="57" t="s">
        <v>24</v>
      </c>
      <c r="E1721" s="57" t="s">
        <v>24</v>
      </c>
      <c r="F1721" s="57" t="s">
        <v>25</v>
      </c>
      <c r="G1721" s="57" t="s">
        <v>25</v>
      </c>
      <c r="H1721" s="57" t="s">
        <v>25</v>
      </c>
      <c r="I1721" s="82">
        <v>44409</v>
      </c>
      <c r="J1721" s="83">
        <f>EFEITO!$J$1721*EFEITO!$Y$1721</f>
        <v>0</v>
      </c>
      <c r="K1721" s="83">
        <f ca="1">EFEITO!$L$1721*EFEITO!$Z$1721</f>
        <v>-1632079.8758235162</v>
      </c>
      <c r="L1721" s="83">
        <f>EFEITO!$N$1721*EFEITO!$AA$1721</f>
        <v>-957626.55759257928</v>
      </c>
      <c r="M1721" s="83">
        <f>$J$1721-EFEITO!$K$1721*EFEITO!$Y$1721</f>
        <v>0</v>
      </c>
      <c r="N1721" s="83">
        <f ca="1">$K$1721-EFEITO!$M$1721*EFEITO!$Z$1721</f>
        <v>0</v>
      </c>
      <c r="O1721" s="83">
        <f>$L$1721-EFEITO!$O$1721*EFEITO!$AA$1721</f>
        <v>0</v>
      </c>
      <c r="P1721" s="61"/>
      <c r="Q1721" s="61"/>
      <c r="R1721" s="61"/>
      <c r="S1721" s="61"/>
      <c r="T1721" s="61"/>
      <c r="U1721" s="61"/>
      <c r="V1721" s="61"/>
      <c r="W1721" s="61"/>
      <c r="X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</row>
    <row r="1722" spans="1:36" ht="11.25" customHeight="1" x14ac:dyDescent="0.2">
      <c r="A1722" s="57" t="s">
        <v>28</v>
      </c>
      <c r="B1722" s="57" t="s">
        <v>22</v>
      </c>
      <c r="C1722" s="57" t="s">
        <v>23</v>
      </c>
      <c r="D1722" s="57" t="s">
        <v>24</v>
      </c>
      <c r="E1722" s="57" t="s">
        <v>24</v>
      </c>
      <c r="F1722" s="57" t="s">
        <v>25</v>
      </c>
      <c r="G1722" s="57" t="s">
        <v>25</v>
      </c>
      <c r="H1722" s="57" t="s">
        <v>25</v>
      </c>
      <c r="I1722" s="82">
        <v>44409</v>
      </c>
      <c r="J1722" s="83">
        <f>EFEITO!$J$1722*EFEITO!$Y$1722</f>
        <v>0</v>
      </c>
      <c r="K1722" s="83">
        <f ca="1">EFEITO!$L$1722*EFEITO!$Z$1722</f>
        <v>16536376.642907523</v>
      </c>
      <c r="L1722" s="83">
        <f>EFEITO!$N$1722*EFEITO!$AA$1722</f>
        <v>9702756.3872212376</v>
      </c>
      <c r="M1722" s="83">
        <f>$J$1722-EFEITO!$K$1722*EFEITO!$Y$1722</f>
        <v>0</v>
      </c>
      <c r="N1722" s="83">
        <f ca="1">$K$1722-EFEITO!$M$1722*EFEITO!$Z$1722</f>
        <v>0</v>
      </c>
      <c r="O1722" s="83">
        <f>$L$1722-EFEITO!$O$1722*EFEITO!$AA$1722</f>
        <v>0</v>
      </c>
      <c r="P1722" s="61"/>
      <c r="Q1722" s="61"/>
      <c r="R1722" s="61"/>
      <c r="S1722" s="61"/>
      <c r="T1722" s="61"/>
      <c r="U1722" s="61"/>
      <c r="V1722" s="61"/>
      <c r="W1722" s="61"/>
      <c r="X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</row>
    <row r="1723" spans="1:36" ht="11.25" customHeight="1" x14ac:dyDescent="0.2">
      <c r="A1723" s="57" t="s">
        <v>29</v>
      </c>
      <c r="B1723" s="57" t="s">
        <v>22</v>
      </c>
      <c r="C1723" s="57" t="s">
        <v>23</v>
      </c>
      <c r="D1723" s="57" t="s">
        <v>24</v>
      </c>
      <c r="E1723" s="57" t="s">
        <v>24</v>
      </c>
      <c r="F1723" s="57" t="s">
        <v>25</v>
      </c>
      <c r="G1723" s="57" t="s">
        <v>25</v>
      </c>
      <c r="H1723" s="57" t="s">
        <v>25</v>
      </c>
      <c r="I1723" s="82">
        <v>44409</v>
      </c>
      <c r="J1723" s="83">
        <f>EFEITO!$J$1723*EFEITO!$Y$1723</f>
        <v>0</v>
      </c>
      <c r="K1723" s="83">
        <f ca="1">EFEITO!$L$1723*EFEITO!$Z$1723</f>
        <v>-146346.75241149534</v>
      </c>
      <c r="L1723" s="83">
        <f>EFEITO!$N$1723*EFEITO!$AA$1723</f>
        <v>-85869.287896193826</v>
      </c>
      <c r="M1723" s="83">
        <f>$J$1723-EFEITO!$K$1723*EFEITO!$Y$1723</f>
        <v>0</v>
      </c>
      <c r="N1723" s="83">
        <f ca="1">$K$1723-EFEITO!$M$1723*EFEITO!$Z$1723</f>
        <v>0</v>
      </c>
      <c r="O1723" s="83">
        <f>$L$1723-EFEITO!$O$1723*EFEITO!$AA$1723</f>
        <v>0</v>
      </c>
      <c r="P1723" s="61"/>
      <c r="Q1723" s="61"/>
      <c r="R1723" s="61"/>
      <c r="S1723" s="61"/>
      <c r="T1723" s="61"/>
      <c r="U1723" s="61"/>
      <c r="V1723" s="61"/>
      <c r="W1723" s="61"/>
      <c r="X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</row>
    <row r="1724" spans="1:36" ht="11.25" customHeight="1" x14ac:dyDescent="0.2">
      <c r="A1724" s="57" t="s">
        <v>30</v>
      </c>
      <c r="B1724" s="57" t="s">
        <v>22</v>
      </c>
      <c r="C1724" s="57" t="s">
        <v>23</v>
      </c>
      <c r="D1724" s="57" t="s">
        <v>24</v>
      </c>
      <c r="E1724" s="57" t="s">
        <v>24</v>
      </c>
      <c r="F1724" s="57" t="s">
        <v>25</v>
      </c>
      <c r="G1724" s="57" t="s">
        <v>25</v>
      </c>
      <c r="H1724" s="57" t="s">
        <v>25</v>
      </c>
      <c r="I1724" s="82">
        <v>44409</v>
      </c>
      <c r="J1724" s="83">
        <f>EFEITO!$J$1724*EFEITO!$Y$1724</f>
        <v>0</v>
      </c>
      <c r="K1724" s="83">
        <f ca="1">EFEITO!$L$1724*EFEITO!$Z$1724</f>
        <v>1041152.0456053838</v>
      </c>
      <c r="L1724" s="83">
        <f>EFEITO!$N$1724*EFEITO!$AA$1724</f>
        <v>610898.31700821081</v>
      </c>
      <c r="M1724" s="83">
        <f>$J$1724-EFEITO!$K$1724*EFEITO!$Y$1724</f>
        <v>0</v>
      </c>
      <c r="N1724" s="83">
        <f ca="1">$K$1724-EFEITO!$M$1724*EFEITO!$Z$1724</f>
        <v>0</v>
      </c>
      <c r="O1724" s="83">
        <f>$L$1724-EFEITO!$O$1724*EFEITO!$AA$1724</f>
        <v>0</v>
      </c>
      <c r="P1724" s="61"/>
      <c r="Q1724" s="61"/>
      <c r="R1724" s="61"/>
      <c r="S1724" s="61"/>
      <c r="T1724" s="61"/>
      <c r="U1724" s="61"/>
      <c r="V1724" s="61"/>
      <c r="W1724" s="61"/>
      <c r="X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</row>
    <row r="1725" spans="1:36" ht="11.25" customHeight="1" x14ac:dyDescent="0.2">
      <c r="A1725" s="57" t="s">
        <v>30</v>
      </c>
      <c r="B1725" s="57" t="s">
        <v>22</v>
      </c>
      <c r="C1725" s="57" t="s">
        <v>23</v>
      </c>
      <c r="D1725" s="57" t="s">
        <v>24</v>
      </c>
      <c r="E1725" s="57" t="s">
        <v>24</v>
      </c>
      <c r="F1725" s="57" t="s">
        <v>25</v>
      </c>
      <c r="G1725" s="57" t="s">
        <v>25</v>
      </c>
      <c r="H1725" s="57" t="s">
        <v>25</v>
      </c>
      <c r="I1725" s="82">
        <v>44409</v>
      </c>
      <c r="J1725" s="83">
        <f>EFEITO!$J$1725*EFEITO!$Y$1725</f>
        <v>0</v>
      </c>
      <c r="K1725" s="83">
        <f ca="1">EFEITO!$L$1725*EFEITO!$Z$1725</f>
        <v>91.68009174141703</v>
      </c>
      <c r="L1725" s="83">
        <f>EFEITO!$N$1725*EFEITO!$AA$1725</f>
        <v>53.793501135969358</v>
      </c>
      <c r="M1725" s="83">
        <f>$J$1725-EFEITO!$K$1725*EFEITO!$Y$1725</f>
        <v>0</v>
      </c>
      <c r="N1725" s="83">
        <f ca="1">$K$1725-EFEITO!$M$1725*EFEITO!$Z$1725</f>
        <v>0</v>
      </c>
      <c r="O1725" s="83">
        <f>$L$1725-EFEITO!$O$1725*EFEITO!$AA$1725</f>
        <v>0</v>
      </c>
      <c r="P1725" s="61"/>
      <c r="Q1725" s="61"/>
      <c r="R1725" s="61"/>
      <c r="S1725" s="61"/>
      <c r="T1725" s="61"/>
      <c r="U1725" s="61"/>
      <c r="V1725" s="61"/>
      <c r="W1725" s="61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</row>
    <row r="1726" spans="1:36" ht="11.25" customHeight="1" x14ac:dyDescent="0.2">
      <c r="A1726" s="57" t="s">
        <v>21</v>
      </c>
      <c r="B1726" s="57" t="s">
        <v>22</v>
      </c>
      <c r="C1726" s="57" t="s">
        <v>23</v>
      </c>
      <c r="D1726" s="57" t="s">
        <v>24</v>
      </c>
      <c r="E1726" s="57" t="s">
        <v>24</v>
      </c>
      <c r="F1726" s="57" t="s">
        <v>25</v>
      </c>
      <c r="G1726" s="57" t="s">
        <v>25</v>
      </c>
      <c r="H1726" s="57" t="s">
        <v>25</v>
      </c>
      <c r="I1726" s="82">
        <v>44440</v>
      </c>
      <c r="J1726" s="83">
        <f>EFEITO!$J$1726*EFEITO!$Y$1726</f>
        <v>0</v>
      </c>
      <c r="K1726" s="83">
        <f ca="1">EFEITO!$L$1726*EFEITO!$Z$1726</f>
        <v>69973513.576562315</v>
      </c>
      <c r="L1726" s="83">
        <f>EFEITO!$N$1726*EFEITO!$AA$1726</f>
        <v>41057117.314904571</v>
      </c>
      <c r="M1726" s="83">
        <f>$J$1726-EFEITO!$K$1726*EFEITO!$Y$1726</f>
        <v>0</v>
      </c>
      <c r="N1726" s="83">
        <f ca="1">$K$1726-EFEITO!$M$1726*EFEITO!$Z$1726</f>
        <v>0</v>
      </c>
      <c r="O1726" s="83">
        <f>$L$1726-EFEITO!$O$1726*EFEITO!$AA$1726</f>
        <v>0</v>
      </c>
      <c r="P1726" s="61"/>
      <c r="Q1726" s="61"/>
      <c r="R1726" s="61"/>
      <c r="S1726" s="61"/>
      <c r="T1726" s="61"/>
      <c r="U1726" s="61"/>
      <c r="V1726" s="61"/>
      <c r="W1726" s="61"/>
      <c r="X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</row>
    <row r="1727" spans="1:36" ht="11.25" customHeight="1" x14ac:dyDescent="0.2">
      <c r="A1727" s="57" t="s">
        <v>27</v>
      </c>
      <c r="B1727" s="57" t="s">
        <v>22</v>
      </c>
      <c r="C1727" s="57" t="s">
        <v>23</v>
      </c>
      <c r="D1727" s="57" t="s">
        <v>24</v>
      </c>
      <c r="E1727" s="57" t="s">
        <v>24</v>
      </c>
      <c r="F1727" s="57" t="s">
        <v>25</v>
      </c>
      <c r="G1727" s="57" t="s">
        <v>25</v>
      </c>
      <c r="H1727" s="57" t="s">
        <v>25</v>
      </c>
      <c r="I1727" s="82">
        <v>44440</v>
      </c>
      <c r="J1727" s="83">
        <f>EFEITO!$J$1727*EFEITO!$Y$1727</f>
        <v>0</v>
      </c>
      <c r="K1727" s="83">
        <f ca="1">EFEITO!$L$1727*EFEITO!$Z$1727</f>
        <v>-2099266.4277424612</v>
      </c>
      <c r="L1727" s="83">
        <f>EFEITO!$N$1727*EFEITO!$AA$1727</f>
        <v>-1231749.323331567</v>
      </c>
      <c r="M1727" s="83">
        <f>$J$1727-EFEITO!$K$1727*EFEITO!$Y$1727</f>
        <v>0</v>
      </c>
      <c r="N1727" s="83">
        <f ca="1">$K$1727-EFEITO!$M$1727*EFEITO!$Z$1727</f>
        <v>0</v>
      </c>
      <c r="O1727" s="83">
        <f>$L$1727-EFEITO!$O$1727*EFEITO!$AA$1727</f>
        <v>0</v>
      </c>
      <c r="P1727" s="61"/>
      <c r="Q1727" s="61"/>
      <c r="R1727" s="61"/>
      <c r="S1727" s="61"/>
      <c r="T1727" s="61"/>
      <c r="U1727" s="61"/>
      <c r="V1727" s="61"/>
      <c r="W1727" s="61"/>
      <c r="X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</row>
    <row r="1728" spans="1:36" ht="11.25" customHeight="1" x14ac:dyDescent="0.2">
      <c r="A1728" s="57" t="s">
        <v>28</v>
      </c>
      <c r="B1728" s="57" t="s">
        <v>22</v>
      </c>
      <c r="C1728" s="57" t="s">
        <v>23</v>
      </c>
      <c r="D1728" s="57" t="s">
        <v>24</v>
      </c>
      <c r="E1728" s="57" t="s">
        <v>24</v>
      </c>
      <c r="F1728" s="57" t="s">
        <v>25</v>
      </c>
      <c r="G1728" s="57" t="s">
        <v>25</v>
      </c>
      <c r="H1728" s="57" t="s">
        <v>25</v>
      </c>
      <c r="I1728" s="82">
        <v>44440</v>
      </c>
      <c r="J1728" s="83">
        <f>EFEITO!$J$1728*EFEITO!$Y$1728</f>
        <v>0</v>
      </c>
      <c r="K1728" s="83">
        <f ca="1">EFEITO!$L$1728*EFEITO!$Z$1728</f>
        <v>17937067.110612269</v>
      </c>
      <c r="L1728" s="83">
        <f>EFEITO!$N$1728*EFEITO!$AA$1728</f>
        <v>10524614.686383232</v>
      </c>
      <c r="M1728" s="83">
        <f>$J$1728-EFEITO!$K$1728*EFEITO!$Y$1728</f>
        <v>0</v>
      </c>
      <c r="N1728" s="83">
        <f ca="1">$K$1728-EFEITO!$M$1728*EFEITO!$Z$1728</f>
        <v>0</v>
      </c>
      <c r="O1728" s="83">
        <f>$L$1728-EFEITO!$O$1728*EFEITO!$AA$1728</f>
        <v>0</v>
      </c>
      <c r="P1728" s="61"/>
      <c r="Q1728" s="61"/>
      <c r="R1728" s="61"/>
      <c r="S1728" s="61"/>
      <c r="T1728" s="61"/>
      <c r="U1728" s="61"/>
      <c r="V1728" s="61"/>
      <c r="W1728" s="61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</row>
    <row r="1729" spans="1:36" ht="11.25" customHeight="1" x14ac:dyDescent="0.2">
      <c r="A1729" s="57" t="s">
        <v>29</v>
      </c>
      <c r="B1729" s="57" t="s">
        <v>22</v>
      </c>
      <c r="C1729" s="57" t="s">
        <v>23</v>
      </c>
      <c r="D1729" s="57" t="s">
        <v>24</v>
      </c>
      <c r="E1729" s="57" t="s">
        <v>24</v>
      </c>
      <c r="F1729" s="57" t="s">
        <v>25</v>
      </c>
      <c r="G1729" s="57" t="s">
        <v>25</v>
      </c>
      <c r="H1729" s="57" t="s">
        <v>25</v>
      </c>
      <c r="I1729" s="82">
        <v>44440</v>
      </c>
      <c r="J1729" s="83">
        <f>EFEITO!$J$1729*EFEITO!$Y$1729</f>
        <v>0</v>
      </c>
      <c r="K1729" s="83">
        <f ca="1">EFEITO!$L$1729*EFEITO!$Z$1729</f>
        <v>-425094.24637306924</v>
      </c>
      <c r="L1729" s="83">
        <f>EFEITO!$N$1729*EFEITO!$AA$1729</f>
        <v>-249425.01028097572</v>
      </c>
      <c r="M1729" s="83">
        <f>$J$1729-EFEITO!$K$1729*EFEITO!$Y$1729</f>
        <v>0</v>
      </c>
      <c r="N1729" s="83">
        <f ca="1">$K$1729-EFEITO!$M$1729*EFEITO!$Z$1729</f>
        <v>0</v>
      </c>
      <c r="O1729" s="83">
        <f>$L$1729-EFEITO!$O$1729*EFEITO!$AA$1729</f>
        <v>0</v>
      </c>
      <c r="P1729" s="61"/>
      <c r="Q1729" s="61"/>
      <c r="R1729" s="61"/>
      <c r="S1729" s="61"/>
      <c r="T1729" s="61"/>
      <c r="U1729" s="61"/>
      <c r="V1729" s="61"/>
      <c r="W1729" s="61"/>
      <c r="X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</row>
    <row r="1730" spans="1:36" ht="11.25" customHeight="1" x14ac:dyDescent="0.2">
      <c r="A1730" s="57" t="s">
        <v>30</v>
      </c>
      <c r="B1730" s="57" t="s">
        <v>22</v>
      </c>
      <c r="C1730" s="57" t="s">
        <v>23</v>
      </c>
      <c r="D1730" s="57" t="s">
        <v>24</v>
      </c>
      <c r="E1730" s="57" t="s">
        <v>24</v>
      </c>
      <c r="F1730" s="57" t="s">
        <v>25</v>
      </c>
      <c r="G1730" s="57" t="s">
        <v>25</v>
      </c>
      <c r="H1730" s="57" t="s">
        <v>25</v>
      </c>
      <c r="I1730" s="82">
        <v>44440</v>
      </c>
      <c r="J1730" s="83">
        <f>EFEITO!$J$1730*EFEITO!$Y$1730</f>
        <v>0</v>
      </c>
      <c r="K1730" s="83">
        <f ca="1">EFEITO!$L$1730*EFEITO!$Z$1730</f>
        <v>1223060.5432156713</v>
      </c>
      <c r="L1730" s="83">
        <f>EFEITO!$N$1730*EFEITO!$AA$1730</f>
        <v>717633.53931188607</v>
      </c>
      <c r="M1730" s="83">
        <f>$J$1730-EFEITO!$K$1730*EFEITO!$Y$1730</f>
        <v>0</v>
      </c>
      <c r="N1730" s="83">
        <f ca="1">$K$1730-EFEITO!$M$1730*EFEITO!$Z$1730</f>
        <v>0</v>
      </c>
      <c r="O1730" s="83">
        <f>$L$1730-EFEITO!$O$1730*EFEITO!$AA$1730</f>
        <v>0</v>
      </c>
      <c r="P1730" s="61"/>
      <c r="Q1730" s="61"/>
      <c r="R1730" s="61"/>
      <c r="S1730" s="61"/>
      <c r="T1730" s="61"/>
      <c r="U1730" s="61"/>
      <c r="V1730" s="61"/>
      <c r="W1730" s="61"/>
      <c r="X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</row>
    <row r="1731" spans="1:36" ht="11.25" customHeight="1" x14ac:dyDescent="0.2">
      <c r="A1731" s="57" t="s">
        <v>30</v>
      </c>
      <c r="B1731" s="57" t="s">
        <v>22</v>
      </c>
      <c r="C1731" s="57" t="s">
        <v>23</v>
      </c>
      <c r="D1731" s="57" t="s">
        <v>24</v>
      </c>
      <c r="E1731" s="57" t="s">
        <v>24</v>
      </c>
      <c r="F1731" s="57" t="s">
        <v>25</v>
      </c>
      <c r="G1731" s="57" t="s">
        <v>25</v>
      </c>
      <c r="H1731" s="57" t="s">
        <v>25</v>
      </c>
      <c r="I1731" s="82">
        <v>44440</v>
      </c>
      <c r="J1731" s="83">
        <f>EFEITO!$J$1731*EFEITO!$Y$1731</f>
        <v>0</v>
      </c>
      <c r="K1731" s="83">
        <f ca="1">EFEITO!$L$1731*EFEITO!$Z$1731</f>
        <v>-3086.7319285756653</v>
      </c>
      <c r="L1731" s="83">
        <f>EFEITO!$N$1731*EFEITO!$AA$1731</f>
        <v>-1811.14693879888</v>
      </c>
      <c r="M1731" s="83">
        <f>$J$1731-EFEITO!$K$1731*EFEITO!$Y$1731</f>
        <v>0</v>
      </c>
      <c r="N1731" s="83">
        <f ca="1">$K$1731-EFEITO!$M$1731*EFEITO!$Z$1731</f>
        <v>0</v>
      </c>
      <c r="O1731" s="83">
        <f>$L$1731-EFEITO!$O$1731*EFEITO!$AA$1731</f>
        <v>0</v>
      </c>
      <c r="P1731" s="61"/>
      <c r="Q1731" s="61"/>
      <c r="R1731" s="61"/>
      <c r="S1731" s="61"/>
      <c r="T1731" s="61"/>
      <c r="U1731" s="61"/>
      <c r="V1731" s="61"/>
      <c r="W1731" s="61"/>
      <c r="X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</row>
    <row r="1732" spans="1:36" ht="11.25" customHeight="1" x14ac:dyDescent="0.2">
      <c r="A1732" s="57" t="s">
        <v>59</v>
      </c>
      <c r="B1732" s="57" t="s">
        <v>22</v>
      </c>
      <c r="C1732" s="57" t="s">
        <v>23</v>
      </c>
      <c r="D1732" s="57" t="s">
        <v>24</v>
      </c>
      <c r="E1732" s="57" t="s">
        <v>24</v>
      </c>
      <c r="F1732" s="57" t="s">
        <v>25</v>
      </c>
      <c r="G1732" s="57" t="s">
        <v>25</v>
      </c>
      <c r="H1732" s="57" t="s">
        <v>25</v>
      </c>
      <c r="I1732" s="82">
        <v>44470</v>
      </c>
      <c r="J1732" s="83">
        <f>EFEITO!$J$1732*EFEITO!$Y$1732</f>
        <v>0</v>
      </c>
      <c r="K1732" s="83">
        <f ca="1">EFEITO!$L$1732*EFEITO!$Z$1732</f>
        <v>69973513.576562315</v>
      </c>
      <c r="L1732" s="83">
        <f>EFEITO!$N$1732*EFEITO!$AA$1732</f>
        <v>41057117.314904571</v>
      </c>
      <c r="M1732" s="83">
        <f>$J$1732-EFEITO!$K$1732*EFEITO!$Y$1732</f>
        <v>0</v>
      </c>
      <c r="N1732" s="83">
        <f ca="1">$K$1732-EFEITO!$M$1732*EFEITO!$Z$1732</f>
        <v>0</v>
      </c>
      <c r="O1732" s="83">
        <f>$L$1732-EFEITO!$O$1732*EFEITO!$AA$1732</f>
        <v>0</v>
      </c>
      <c r="P1732" s="61"/>
      <c r="Q1732" s="61"/>
      <c r="R1732" s="61"/>
      <c r="S1732" s="61"/>
      <c r="T1732" s="61"/>
      <c r="U1732" s="61"/>
      <c r="V1732" s="61"/>
      <c r="W1732" s="61"/>
      <c r="X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</row>
    <row r="1733" spans="1:36" ht="11.25" customHeight="1" x14ac:dyDescent="0.2">
      <c r="A1733" s="57" t="s">
        <v>59</v>
      </c>
      <c r="B1733" s="57" t="s">
        <v>22</v>
      </c>
      <c r="C1733" s="57" t="s">
        <v>23</v>
      </c>
      <c r="D1733" s="57" t="s">
        <v>24</v>
      </c>
      <c r="E1733" s="57" t="s">
        <v>24</v>
      </c>
      <c r="F1733" s="57" t="s">
        <v>25</v>
      </c>
      <c r="G1733" s="57" t="s">
        <v>25</v>
      </c>
      <c r="H1733" s="57" t="s">
        <v>25</v>
      </c>
      <c r="I1733" s="82">
        <v>44470</v>
      </c>
      <c r="J1733" s="83">
        <f>EFEITO!$J$1733*EFEITO!$Y$1733</f>
        <v>0</v>
      </c>
      <c r="K1733" s="83">
        <f ca="1">EFEITO!$L$1733*EFEITO!$Z$1733</f>
        <v>-2099266.4277424612</v>
      </c>
      <c r="L1733" s="83">
        <f>EFEITO!$N$1733*EFEITO!$AA$1733</f>
        <v>-1231749.323331567</v>
      </c>
      <c r="M1733" s="83">
        <f>$J$1733-EFEITO!$K$1733*EFEITO!$Y$1733</f>
        <v>0</v>
      </c>
      <c r="N1733" s="83">
        <f ca="1">$K$1733-EFEITO!$M$1733*EFEITO!$Z$1733</f>
        <v>0</v>
      </c>
      <c r="O1733" s="83">
        <f>$L$1733-EFEITO!$O$1733*EFEITO!$AA$1733</f>
        <v>0</v>
      </c>
      <c r="P1733" s="61"/>
      <c r="Q1733" s="61"/>
      <c r="R1733" s="61"/>
      <c r="S1733" s="61"/>
      <c r="T1733" s="61"/>
      <c r="U1733" s="61"/>
      <c r="V1733" s="61"/>
      <c r="W1733" s="61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</row>
    <row r="1734" spans="1:36" ht="11.25" customHeight="1" x14ac:dyDescent="0.2">
      <c r="A1734" s="57" t="s">
        <v>59</v>
      </c>
      <c r="B1734" s="57" t="s">
        <v>22</v>
      </c>
      <c r="C1734" s="57" t="s">
        <v>23</v>
      </c>
      <c r="D1734" s="57" t="s">
        <v>24</v>
      </c>
      <c r="E1734" s="57" t="s">
        <v>24</v>
      </c>
      <c r="F1734" s="57" t="s">
        <v>25</v>
      </c>
      <c r="G1734" s="57" t="s">
        <v>25</v>
      </c>
      <c r="H1734" s="57" t="s">
        <v>25</v>
      </c>
      <c r="I1734" s="82">
        <v>44470</v>
      </c>
      <c r="J1734" s="83">
        <f>EFEITO!$J$1734*EFEITO!$Y$1734</f>
        <v>0</v>
      </c>
      <c r="K1734" s="83">
        <f ca="1">EFEITO!$L$1734*EFEITO!$Z$1734</f>
        <v>17937067.110612269</v>
      </c>
      <c r="L1734" s="83">
        <f>EFEITO!$N$1734*EFEITO!$AA$1734</f>
        <v>10524614.686383232</v>
      </c>
      <c r="M1734" s="83">
        <f>$J$1734-EFEITO!$K$1734*EFEITO!$Y$1734</f>
        <v>0</v>
      </c>
      <c r="N1734" s="83">
        <f ca="1">$K$1734-EFEITO!$M$1734*EFEITO!$Z$1734</f>
        <v>0</v>
      </c>
      <c r="O1734" s="83">
        <f>$L$1734-EFEITO!$O$1734*EFEITO!$AA$1734</f>
        <v>0</v>
      </c>
      <c r="P1734" s="61"/>
      <c r="Q1734" s="61"/>
      <c r="R1734" s="61"/>
      <c r="S1734" s="61"/>
      <c r="T1734" s="61"/>
      <c r="U1734" s="61"/>
      <c r="V1734" s="61"/>
      <c r="W1734" s="61"/>
      <c r="X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</row>
    <row r="1735" spans="1:36" ht="11.25" customHeight="1" x14ac:dyDescent="0.2">
      <c r="A1735" s="57" t="s">
        <v>59</v>
      </c>
      <c r="B1735" s="57" t="s">
        <v>22</v>
      </c>
      <c r="C1735" s="57" t="s">
        <v>23</v>
      </c>
      <c r="D1735" s="57" t="s">
        <v>24</v>
      </c>
      <c r="E1735" s="57" t="s">
        <v>24</v>
      </c>
      <c r="F1735" s="57" t="s">
        <v>25</v>
      </c>
      <c r="G1735" s="57" t="s">
        <v>25</v>
      </c>
      <c r="H1735" s="57" t="s">
        <v>25</v>
      </c>
      <c r="I1735" s="82">
        <v>44470</v>
      </c>
      <c r="J1735" s="83">
        <f>EFEITO!$J$1735*EFEITO!$Y$1735</f>
        <v>0</v>
      </c>
      <c r="K1735" s="83">
        <f ca="1">EFEITO!$L$1735*EFEITO!$Z$1735</f>
        <v>-425094.24637306924</v>
      </c>
      <c r="L1735" s="83">
        <f>EFEITO!$N$1735*EFEITO!$AA$1735</f>
        <v>-249425.01028097572</v>
      </c>
      <c r="M1735" s="83">
        <f>$J$1735-EFEITO!$K$1735*EFEITO!$Y$1735</f>
        <v>0</v>
      </c>
      <c r="N1735" s="83">
        <f ca="1">$K$1735-EFEITO!$M$1735*EFEITO!$Z$1735</f>
        <v>0</v>
      </c>
      <c r="O1735" s="83">
        <f>$L$1735-EFEITO!$O$1735*EFEITO!$AA$1735</f>
        <v>0</v>
      </c>
      <c r="P1735" s="61"/>
      <c r="Q1735" s="61"/>
      <c r="R1735" s="61"/>
      <c r="S1735" s="61"/>
      <c r="T1735" s="61"/>
      <c r="U1735" s="61"/>
      <c r="V1735" s="61"/>
      <c r="W1735" s="61"/>
      <c r="X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</row>
    <row r="1736" spans="1:36" ht="11.25" customHeight="1" x14ac:dyDescent="0.2">
      <c r="A1736" s="57" t="s">
        <v>59</v>
      </c>
      <c r="B1736" s="57" t="s">
        <v>22</v>
      </c>
      <c r="C1736" s="57" t="s">
        <v>23</v>
      </c>
      <c r="D1736" s="57" t="s">
        <v>24</v>
      </c>
      <c r="E1736" s="57" t="s">
        <v>24</v>
      </c>
      <c r="F1736" s="57" t="s">
        <v>25</v>
      </c>
      <c r="G1736" s="57" t="s">
        <v>25</v>
      </c>
      <c r="H1736" s="57" t="s">
        <v>25</v>
      </c>
      <c r="I1736" s="82">
        <v>44470</v>
      </c>
      <c r="J1736" s="83">
        <f>EFEITO!$J$1736*EFEITO!$Y$1736</f>
        <v>0</v>
      </c>
      <c r="K1736" s="83">
        <f ca="1">EFEITO!$L$1736*EFEITO!$Z$1736</f>
        <v>1223060.5432156713</v>
      </c>
      <c r="L1736" s="83">
        <f>EFEITO!$N$1736*EFEITO!$AA$1736</f>
        <v>717633.53931188607</v>
      </c>
      <c r="M1736" s="83">
        <f>$J$1736-EFEITO!$K$1736*EFEITO!$Y$1736</f>
        <v>0</v>
      </c>
      <c r="N1736" s="83">
        <f ca="1">$K$1736-EFEITO!$M$1736*EFEITO!$Z$1736</f>
        <v>0</v>
      </c>
      <c r="O1736" s="83">
        <f>$L$1736-EFEITO!$O$1736*EFEITO!$AA$1736</f>
        <v>0</v>
      </c>
      <c r="P1736" s="61"/>
      <c r="Q1736" s="61"/>
      <c r="R1736" s="61"/>
      <c r="S1736" s="61"/>
      <c r="T1736" s="61"/>
      <c r="U1736" s="61"/>
      <c r="V1736" s="61"/>
      <c r="W1736" s="61"/>
      <c r="X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</row>
    <row r="1737" spans="1:36" ht="11.25" customHeight="1" x14ac:dyDescent="0.2">
      <c r="A1737" s="57" t="s">
        <v>59</v>
      </c>
      <c r="B1737" s="57" t="s">
        <v>22</v>
      </c>
      <c r="C1737" s="57" t="s">
        <v>23</v>
      </c>
      <c r="D1737" s="57" t="s">
        <v>24</v>
      </c>
      <c r="E1737" s="57" t="s">
        <v>24</v>
      </c>
      <c r="F1737" s="57" t="s">
        <v>25</v>
      </c>
      <c r="G1737" s="57" t="s">
        <v>25</v>
      </c>
      <c r="H1737" s="57" t="s">
        <v>25</v>
      </c>
      <c r="I1737" s="82">
        <v>44470</v>
      </c>
      <c r="J1737" s="83">
        <f>EFEITO!$J$1737*EFEITO!$Y$1737</f>
        <v>0</v>
      </c>
      <c r="K1737" s="83">
        <f ca="1">EFEITO!$L$1737*EFEITO!$Z$1737</f>
        <v>-3086.7319285756653</v>
      </c>
      <c r="L1737" s="83">
        <f>EFEITO!$N$1737*EFEITO!$AA$1737</f>
        <v>-1811.14693879888</v>
      </c>
      <c r="M1737" s="83">
        <f>$J$1737-EFEITO!$K$1737*EFEITO!$Y$1737</f>
        <v>0</v>
      </c>
      <c r="N1737" s="83">
        <f ca="1">$K$1737-EFEITO!$M$1737*EFEITO!$Z$1737</f>
        <v>0</v>
      </c>
      <c r="O1737" s="83">
        <f>$L$1737-EFEITO!$O$1737*EFEITO!$AA$1737</f>
        <v>0</v>
      </c>
      <c r="P1737" s="61"/>
      <c r="Q1737" s="61"/>
      <c r="R1737" s="61"/>
      <c r="S1737" s="61"/>
      <c r="T1737" s="61"/>
      <c r="U1737" s="61"/>
      <c r="V1737" s="61"/>
      <c r="W1737" s="61"/>
      <c r="X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</row>
    <row r="1738" spans="1:36" ht="11.25" customHeight="1" x14ac:dyDescent="0.2">
      <c r="A1738" s="57" t="s">
        <v>21</v>
      </c>
      <c r="B1738" s="57" t="s">
        <v>22</v>
      </c>
      <c r="C1738" s="57" t="s">
        <v>23</v>
      </c>
      <c r="D1738" s="57" t="s">
        <v>24</v>
      </c>
      <c r="E1738" s="57" t="s">
        <v>31</v>
      </c>
      <c r="F1738" s="57" t="s">
        <v>25</v>
      </c>
      <c r="G1738" s="57" t="s">
        <v>25</v>
      </c>
      <c r="H1738" s="57" t="s">
        <v>25</v>
      </c>
      <c r="I1738" s="82">
        <v>44136</v>
      </c>
      <c r="J1738" s="83">
        <f>EFEITO!$J$1738*EFEITO!$Y$1666</f>
        <v>0</v>
      </c>
      <c r="K1738" s="83">
        <f ca="1">EFEITO!$L$1738*EFEITO!$Z$1915</f>
        <v>1047393.3230343339</v>
      </c>
      <c r="L1738" s="83">
        <f>EFEITO!$N$1738*EFEITO!$AA$1915</f>
        <v>676653.2935045081</v>
      </c>
      <c r="M1738" s="83">
        <f>$J$1738-EFEITO!$K$1738*EFEITO!$Y$1738</f>
        <v>0</v>
      </c>
      <c r="N1738" s="83">
        <f ca="1">$K$1738-EFEITO!$M$1738*EFEITO!$Z$1738</f>
        <v>680805.65997231705</v>
      </c>
      <c r="O1738" s="83">
        <f>$L$1738-EFEITO!$O$1738*EFEITO!$AA$1738</f>
        <v>439824.64077793027</v>
      </c>
      <c r="P1738" s="61"/>
      <c r="Q1738" s="61"/>
      <c r="R1738" s="61"/>
      <c r="S1738" s="61"/>
      <c r="T1738" s="61"/>
      <c r="U1738" s="61"/>
      <c r="V1738" s="61"/>
      <c r="W1738" s="61"/>
      <c r="X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</row>
    <row r="1739" spans="1:36" ht="11.25" customHeight="1" x14ac:dyDescent="0.2">
      <c r="A1739" s="57" t="s">
        <v>27</v>
      </c>
      <c r="B1739" s="57" t="s">
        <v>22</v>
      </c>
      <c r="C1739" s="57" t="s">
        <v>23</v>
      </c>
      <c r="D1739" s="57" t="s">
        <v>24</v>
      </c>
      <c r="E1739" s="57" t="s">
        <v>31</v>
      </c>
      <c r="F1739" s="57" t="s">
        <v>25</v>
      </c>
      <c r="G1739" s="57" t="s">
        <v>25</v>
      </c>
      <c r="H1739" s="57" t="s">
        <v>25</v>
      </c>
      <c r="I1739" s="82">
        <v>44136</v>
      </c>
      <c r="J1739" s="83">
        <f>EFEITO!$J$1739*EFEITO!$Y$1666</f>
        <v>0</v>
      </c>
      <c r="K1739" s="83">
        <f ca="1">EFEITO!$L$1739*EFEITO!$Z$1915</f>
        <v>-2014.9716854436163</v>
      </c>
      <c r="L1739" s="83">
        <f>EFEITO!$N$1739*EFEITO!$AA$1915</f>
        <v>-1301.7432871577116</v>
      </c>
      <c r="M1739" s="83">
        <f>$J$1739-EFEITO!$K$1739*EFEITO!$Y$1739</f>
        <v>0</v>
      </c>
      <c r="N1739" s="83">
        <f ca="1">$K$1739-EFEITO!$M$1739*EFEITO!$Z$1739</f>
        <v>-1309.7315955383506</v>
      </c>
      <c r="O1739" s="83">
        <f>$L$1739-EFEITO!$O$1739*EFEITO!$AA$1739</f>
        <v>-846.13313665251258</v>
      </c>
      <c r="P1739" s="61"/>
      <c r="Q1739" s="61"/>
      <c r="R1739" s="61"/>
      <c r="S1739" s="61"/>
      <c r="T1739" s="61"/>
      <c r="U1739" s="61"/>
      <c r="V1739" s="61"/>
      <c r="W1739" s="61"/>
      <c r="X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</row>
    <row r="1740" spans="1:36" ht="11.25" customHeight="1" x14ac:dyDescent="0.2">
      <c r="A1740" s="57" t="s">
        <v>28</v>
      </c>
      <c r="B1740" s="57" t="s">
        <v>22</v>
      </c>
      <c r="C1740" s="57" t="s">
        <v>23</v>
      </c>
      <c r="D1740" s="57" t="s">
        <v>24</v>
      </c>
      <c r="E1740" s="57" t="s">
        <v>31</v>
      </c>
      <c r="F1740" s="57" t="s">
        <v>25</v>
      </c>
      <c r="G1740" s="57" t="s">
        <v>25</v>
      </c>
      <c r="H1740" s="57" t="s">
        <v>25</v>
      </c>
      <c r="I1740" s="82">
        <v>44136</v>
      </c>
      <c r="J1740" s="83">
        <f>EFEITO!$J$1740*EFEITO!$Y$1666</f>
        <v>0</v>
      </c>
      <c r="K1740" s="83">
        <f ca="1">EFEITO!$L$1740*EFEITO!$Z$1915</f>
        <v>1653755.8080840167</v>
      </c>
      <c r="L1740" s="83">
        <f>EFEITO!$N$1740*EFEITO!$AA$1915</f>
        <v>1068384.9988182303</v>
      </c>
      <c r="M1740" s="83">
        <f>$J$1740-EFEITO!$K$1740*EFEITO!$Y$1740</f>
        <v>0</v>
      </c>
      <c r="N1740" s="83">
        <f ca="1">$K$1740-EFEITO!$M$1740*EFEITO!$Z$1740</f>
        <v>1074941.2752546109</v>
      </c>
      <c r="O1740" s="83">
        <f>$L$1740-EFEITO!$O$1740*EFEITO!$AA$1740</f>
        <v>694450.2492318498</v>
      </c>
      <c r="P1740" s="61"/>
      <c r="Q1740" s="61"/>
      <c r="R1740" s="61"/>
      <c r="S1740" s="61"/>
      <c r="T1740" s="61"/>
      <c r="U1740" s="61"/>
      <c r="V1740" s="61"/>
      <c r="W1740" s="61"/>
      <c r="X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</row>
    <row r="1741" spans="1:36" ht="11.25" customHeight="1" x14ac:dyDescent="0.2">
      <c r="A1741" s="57" t="s">
        <v>29</v>
      </c>
      <c r="B1741" s="57" t="s">
        <v>22</v>
      </c>
      <c r="C1741" s="57" t="s">
        <v>23</v>
      </c>
      <c r="D1741" s="57" t="s">
        <v>24</v>
      </c>
      <c r="E1741" s="57" t="s">
        <v>31</v>
      </c>
      <c r="F1741" s="57" t="s">
        <v>25</v>
      </c>
      <c r="G1741" s="57" t="s">
        <v>25</v>
      </c>
      <c r="H1741" s="57" t="s">
        <v>25</v>
      </c>
      <c r="I1741" s="82">
        <v>44136</v>
      </c>
      <c r="J1741" s="83">
        <f>EFEITO!$J$1741*EFEITO!$Y$1666</f>
        <v>0</v>
      </c>
      <c r="K1741" s="83">
        <f ca="1">EFEITO!$L$1741*EFEITO!$Z$1915</f>
        <v>-1007.4858427218081</v>
      </c>
      <c r="L1741" s="83">
        <f>EFEITO!$N$1741*EFEITO!$AA$1915</f>
        <v>-650.87164357885581</v>
      </c>
      <c r="M1741" s="83">
        <f>$J$1741-EFEITO!$K$1741*EFEITO!$Y$1741</f>
        <v>0</v>
      </c>
      <c r="N1741" s="83">
        <f ca="1">$K$1741-EFEITO!$M$1741*EFEITO!$Z$1741</f>
        <v>-654.86579776917529</v>
      </c>
      <c r="O1741" s="83">
        <f>$L$1741-EFEITO!$O$1741*EFEITO!$AA$1741</f>
        <v>-423.06656832625629</v>
      </c>
      <c r="P1741" s="61"/>
      <c r="Q1741" s="61"/>
      <c r="R1741" s="61"/>
      <c r="S1741" s="61"/>
      <c r="T1741" s="61"/>
      <c r="U1741" s="61"/>
      <c r="V1741" s="61"/>
      <c r="W1741" s="61"/>
      <c r="X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</row>
    <row r="1742" spans="1:36" ht="11.25" customHeight="1" x14ac:dyDescent="0.2">
      <c r="A1742" s="57" t="s">
        <v>21</v>
      </c>
      <c r="B1742" s="57" t="s">
        <v>22</v>
      </c>
      <c r="C1742" s="57" t="s">
        <v>23</v>
      </c>
      <c r="D1742" s="57" t="s">
        <v>24</v>
      </c>
      <c r="E1742" s="57" t="s">
        <v>31</v>
      </c>
      <c r="F1742" s="57" t="s">
        <v>25</v>
      </c>
      <c r="G1742" s="57" t="s">
        <v>25</v>
      </c>
      <c r="H1742" s="57" t="s">
        <v>25</v>
      </c>
      <c r="I1742" s="82">
        <v>44166</v>
      </c>
      <c r="J1742" s="83">
        <f>EFEITO!$J$1742*EFEITO!$Y$1666</f>
        <v>0</v>
      </c>
      <c r="K1742" s="83">
        <f ca="1">EFEITO!$L$1742*EFEITO!$Z$1915</f>
        <v>1178871.6056271226</v>
      </c>
      <c r="L1742" s="83">
        <f>EFEITO!$N$1742*EFEITO!$AA$1915</f>
        <v>761592.93459653994</v>
      </c>
      <c r="M1742" s="83">
        <f>$J$1742-EFEITO!$K$1742*EFEITO!$Y$1742</f>
        <v>0</v>
      </c>
      <c r="N1742" s="83">
        <f ca="1">$K$1742-EFEITO!$M$1742*EFEITO!$Z$1742</f>
        <v>766266.54365762975</v>
      </c>
      <c r="O1742" s="83">
        <f>$L$1742-EFEITO!$O$1742*EFEITO!$AA$1742</f>
        <v>495035.40748775098</v>
      </c>
      <c r="P1742" s="61"/>
      <c r="Q1742" s="61"/>
      <c r="R1742" s="61"/>
      <c r="S1742" s="61"/>
      <c r="T1742" s="61"/>
      <c r="U1742" s="61"/>
      <c r="V1742" s="61"/>
      <c r="W1742" s="61"/>
      <c r="X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</row>
    <row r="1743" spans="1:36" ht="11.25" customHeight="1" x14ac:dyDescent="0.2">
      <c r="A1743" s="57" t="s">
        <v>27</v>
      </c>
      <c r="B1743" s="57" t="s">
        <v>22</v>
      </c>
      <c r="C1743" s="57" t="s">
        <v>23</v>
      </c>
      <c r="D1743" s="57" t="s">
        <v>24</v>
      </c>
      <c r="E1743" s="57" t="s">
        <v>31</v>
      </c>
      <c r="F1743" s="57" t="s">
        <v>25</v>
      </c>
      <c r="G1743" s="57" t="s">
        <v>25</v>
      </c>
      <c r="H1743" s="57" t="s">
        <v>25</v>
      </c>
      <c r="I1743" s="82">
        <v>44166</v>
      </c>
      <c r="J1743" s="83">
        <f>EFEITO!$J$1743*EFEITO!$Y$1666</f>
        <v>0</v>
      </c>
      <c r="K1743" s="83">
        <f ca="1">EFEITO!$L$1743*EFEITO!$Z$1915</f>
        <v>-1968.9677656846297</v>
      </c>
      <c r="L1743" s="83">
        <f>EFEITO!$N$1743*EFEITO!$AA$1915</f>
        <v>-1272.023120784248</v>
      </c>
      <c r="M1743" s="83">
        <f>$J$1743-EFEITO!$K$1743*EFEITO!$Y$1743</f>
        <v>0</v>
      </c>
      <c r="N1743" s="83">
        <f ca="1">$K$1743-EFEITO!$M$1743*EFEITO!$Z$1743</f>
        <v>-1279.8290476950094</v>
      </c>
      <c r="O1743" s="83">
        <f>$L$1743-EFEITO!$O$1743*EFEITO!$AA$1743</f>
        <v>-826.81502850976131</v>
      </c>
      <c r="P1743" s="61"/>
      <c r="Q1743" s="61"/>
      <c r="R1743" s="61"/>
      <c r="S1743" s="61"/>
      <c r="T1743" s="61"/>
      <c r="U1743" s="61"/>
      <c r="V1743" s="61"/>
      <c r="W1743" s="61"/>
      <c r="X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</row>
    <row r="1744" spans="1:36" ht="11.25" customHeight="1" x14ac:dyDescent="0.2">
      <c r="A1744" s="57" t="s">
        <v>28</v>
      </c>
      <c r="B1744" s="57" t="s">
        <v>22</v>
      </c>
      <c r="C1744" s="57" t="s">
        <v>23</v>
      </c>
      <c r="D1744" s="57" t="s">
        <v>24</v>
      </c>
      <c r="E1744" s="57" t="s">
        <v>31</v>
      </c>
      <c r="F1744" s="57" t="s">
        <v>25</v>
      </c>
      <c r="G1744" s="57" t="s">
        <v>25</v>
      </c>
      <c r="H1744" s="57" t="s">
        <v>25</v>
      </c>
      <c r="I1744" s="82">
        <v>44166</v>
      </c>
      <c r="J1744" s="83">
        <f>EFEITO!$J$1744*EFEITO!$Y$1666</f>
        <v>0</v>
      </c>
      <c r="K1744" s="83">
        <f ca="1">EFEITO!$L$1744*EFEITO!$Z$1915</f>
        <v>1774720.3548550867</v>
      </c>
      <c r="L1744" s="83">
        <f>EFEITO!$N$1744*EFEITO!$AA$1915</f>
        <v>1146532.3930872709</v>
      </c>
      <c r="M1744" s="83">
        <f>$J$1744-EFEITO!$K$1744*EFEITO!$Y$1744</f>
        <v>0</v>
      </c>
      <c r="N1744" s="83">
        <f ca="1">$K$1744-EFEITO!$M$1744*EFEITO!$Z$1744</f>
        <v>1153568.2306558064</v>
      </c>
      <c r="O1744" s="83">
        <f>$L$1744-EFEITO!$O$1744*EFEITO!$AA$1744</f>
        <v>745246.05550672614</v>
      </c>
      <c r="P1744" s="61"/>
      <c r="Q1744" s="61"/>
      <c r="R1744" s="61"/>
      <c r="S1744" s="61"/>
      <c r="T1744" s="61"/>
      <c r="U1744" s="61"/>
      <c r="V1744" s="61"/>
      <c r="W1744" s="61"/>
      <c r="X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</row>
    <row r="1745" spans="1:36" ht="11.25" customHeight="1" x14ac:dyDescent="0.2">
      <c r="A1745" s="57" t="s">
        <v>29</v>
      </c>
      <c r="B1745" s="57" t="s">
        <v>22</v>
      </c>
      <c r="C1745" s="57" t="s">
        <v>23</v>
      </c>
      <c r="D1745" s="57" t="s">
        <v>24</v>
      </c>
      <c r="E1745" s="57" t="s">
        <v>31</v>
      </c>
      <c r="F1745" s="57" t="s">
        <v>25</v>
      </c>
      <c r="G1745" s="57" t="s">
        <v>25</v>
      </c>
      <c r="H1745" s="57" t="s">
        <v>25</v>
      </c>
      <c r="I1745" s="82">
        <v>44166</v>
      </c>
      <c r="J1745" s="83">
        <f>EFEITO!$J$1745*EFEITO!$Y$1666</f>
        <v>0</v>
      </c>
      <c r="K1745" s="83">
        <f ca="1">EFEITO!$L$1745*EFEITO!$Z$1915</f>
        <v>-995.52482358447162</v>
      </c>
      <c r="L1745" s="83">
        <f>EFEITO!$N$1745*EFEITO!$AA$1915</f>
        <v>-643.14440032175526</v>
      </c>
      <c r="M1745" s="83">
        <f>$J$1745-EFEITO!$K$1745*EFEITO!$Y$1745</f>
        <v>0</v>
      </c>
      <c r="N1745" s="83">
        <f ca="1">$K$1745-EFEITO!$M$1745*EFEITO!$Z$1745</f>
        <v>-647.09113532990659</v>
      </c>
      <c r="O1745" s="83">
        <f>$L$1745-EFEITO!$O$1745*EFEITO!$AA$1745</f>
        <v>-418.04386020914092</v>
      </c>
      <c r="P1745" s="61"/>
      <c r="Q1745" s="61"/>
      <c r="R1745" s="61"/>
      <c r="S1745" s="61"/>
      <c r="T1745" s="61"/>
      <c r="U1745" s="61"/>
      <c r="V1745" s="61"/>
      <c r="W1745" s="61"/>
      <c r="X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</row>
    <row r="1746" spans="1:36" ht="11.25" customHeight="1" x14ac:dyDescent="0.2">
      <c r="A1746" s="57" t="s">
        <v>21</v>
      </c>
      <c r="B1746" s="57" t="s">
        <v>22</v>
      </c>
      <c r="C1746" s="57" t="s">
        <v>23</v>
      </c>
      <c r="D1746" s="57" t="s">
        <v>24</v>
      </c>
      <c r="E1746" s="57" t="s">
        <v>31</v>
      </c>
      <c r="F1746" s="57" t="s">
        <v>25</v>
      </c>
      <c r="G1746" s="57" t="s">
        <v>25</v>
      </c>
      <c r="H1746" s="57" t="s">
        <v>25</v>
      </c>
      <c r="I1746" s="82">
        <v>44197</v>
      </c>
      <c r="J1746" s="83">
        <f>EFEITO!$J$1746*EFEITO!$Y$1666</f>
        <v>0</v>
      </c>
      <c r="K1746" s="83">
        <f ca="1">EFEITO!$L$1746*EFEITO!$Z$1915</f>
        <v>1206318.9242729268</v>
      </c>
      <c r="L1746" s="83">
        <f>EFEITO!$N$1746*EFEITO!$AA$1915</f>
        <v>779324.87745993957</v>
      </c>
      <c r="M1746" s="83">
        <f>$J$1746-EFEITO!$K$1746*EFEITO!$Y$1746</f>
        <v>0</v>
      </c>
      <c r="N1746" s="83">
        <f ca="1">$K$1746-EFEITO!$M$1746*EFEITO!$Z$1746</f>
        <v>784107.30077740247</v>
      </c>
      <c r="O1746" s="83">
        <f>$L$1746-EFEITO!$O$1746*EFEITO!$AA$1746</f>
        <v>506561.17034896073</v>
      </c>
      <c r="P1746" s="61"/>
      <c r="Q1746" s="61"/>
      <c r="R1746" s="61"/>
      <c r="S1746" s="61"/>
      <c r="T1746" s="61"/>
      <c r="U1746" s="61"/>
      <c r="V1746" s="61"/>
      <c r="W1746" s="61"/>
      <c r="X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</row>
    <row r="1747" spans="1:36" ht="11.25" customHeight="1" x14ac:dyDescent="0.2">
      <c r="A1747" s="57" t="s">
        <v>27</v>
      </c>
      <c r="B1747" s="57" t="s">
        <v>22</v>
      </c>
      <c r="C1747" s="57" t="s">
        <v>23</v>
      </c>
      <c r="D1747" s="57" t="s">
        <v>24</v>
      </c>
      <c r="E1747" s="57" t="s">
        <v>31</v>
      </c>
      <c r="F1747" s="57" t="s">
        <v>25</v>
      </c>
      <c r="G1747" s="57" t="s">
        <v>25</v>
      </c>
      <c r="H1747" s="57" t="s">
        <v>25</v>
      </c>
      <c r="I1747" s="82">
        <v>44197</v>
      </c>
      <c r="J1747" s="83">
        <f>EFEITO!$J$1747*EFEITO!$Y$1666</f>
        <v>0</v>
      </c>
      <c r="K1747" s="83">
        <f ca="1">EFEITO!$L$1747*EFEITO!$Z$1915</f>
        <v>-1904.5622780220481</v>
      </c>
      <c r="L1747" s="83">
        <f>EFEITO!$N$1747*EFEITO!$AA$1915</f>
        <v>-1230.4148878613985</v>
      </c>
      <c r="M1747" s="83">
        <f>$J$1747-EFEITO!$K$1747*EFEITO!$Y$1747</f>
        <v>0</v>
      </c>
      <c r="N1747" s="83">
        <f ca="1">$K$1747-EFEITO!$M$1747*EFEITO!$Z$1747</f>
        <v>-1237.9654807143313</v>
      </c>
      <c r="O1747" s="83">
        <f>$L$1747-EFEITO!$O$1747*EFEITO!$AA$1747</f>
        <v>-799.76967710990903</v>
      </c>
      <c r="P1747" s="61"/>
      <c r="Q1747" s="61"/>
      <c r="R1747" s="61"/>
      <c r="S1747" s="61"/>
      <c r="T1747" s="61"/>
      <c r="U1747" s="61"/>
      <c r="V1747" s="61"/>
      <c r="W1747" s="61"/>
      <c r="X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</row>
    <row r="1748" spans="1:36" ht="11.25" customHeight="1" x14ac:dyDescent="0.2">
      <c r="A1748" s="57" t="s">
        <v>28</v>
      </c>
      <c r="B1748" s="57" t="s">
        <v>22</v>
      </c>
      <c r="C1748" s="57" t="s">
        <v>23</v>
      </c>
      <c r="D1748" s="57" t="s">
        <v>24</v>
      </c>
      <c r="E1748" s="57" t="s">
        <v>31</v>
      </c>
      <c r="F1748" s="57" t="s">
        <v>25</v>
      </c>
      <c r="G1748" s="57" t="s">
        <v>25</v>
      </c>
      <c r="H1748" s="57" t="s">
        <v>25</v>
      </c>
      <c r="I1748" s="82">
        <v>44197</v>
      </c>
      <c r="J1748" s="83">
        <f>EFEITO!$J$1748*EFEITO!$Y$1666</f>
        <v>0</v>
      </c>
      <c r="K1748" s="83">
        <f ca="1">EFEITO!$L$1748*EFEITO!$Z$1915</f>
        <v>1805301.460514873</v>
      </c>
      <c r="L1748" s="83">
        <f>EFEITO!$N$1748*EFEITO!$AA$1915</f>
        <v>1166288.873684031</v>
      </c>
      <c r="M1748" s="83">
        <f>$J$1748-EFEITO!$K$1748*EFEITO!$Y$1748</f>
        <v>0</v>
      </c>
      <c r="N1748" s="83">
        <f ca="1">$K$1748-EFEITO!$M$1748*EFEITO!$Z$1748</f>
        <v>1173445.9493346675</v>
      </c>
      <c r="O1748" s="83">
        <f>$L$1748-EFEITO!$O$1748*EFEITO!$AA$1748</f>
        <v>758087.76789462019</v>
      </c>
      <c r="P1748" s="61"/>
      <c r="Q1748" s="61"/>
      <c r="R1748" s="61"/>
      <c r="S1748" s="61"/>
      <c r="T1748" s="61"/>
      <c r="U1748" s="61"/>
      <c r="V1748" s="61"/>
      <c r="W1748" s="61"/>
      <c r="X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</row>
    <row r="1749" spans="1:36" ht="11.25" customHeight="1" x14ac:dyDescent="0.2">
      <c r="A1749" s="57" t="s">
        <v>29</v>
      </c>
      <c r="B1749" s="57" t="s">
        <v>22</v>
      </c>
      <c r="C1749" s="57" t="s">
        <v>23</v>
      </c>
      <c r="D1749" s="57" t="s">
        <v>24</v>
      </c>
      <c r="E1749" s="57" t="s">
        <v>31</v>
      </c>
      <c r="F1749" s="57" t="s">
        <v>25</v>
      </c>
      <c r="G1749" s="57" t="s">
        <v>25</v>
      </c>
      <c r="H1749" s="57" t="s">
        <v>25</v>
      </c>
      <c r="I1749" s="82">
        <v>44197</v>
      </c>
      <c r="J1749" s="83">
        <f>EFEITO!$J$1749*EFEITO!$Y$1666</f>
        <v>0</v>
      </c>
      <c r="K1749" s="83">
        <f ca="1">EFEITO!$L$1749*EFEITO!$Z$1915</f>
        <v>-193.21646298774402</v>
      </c>
      <c r="L1749" s="83">
        <f>EFEITO!$N$1749*EFEITO!$AA$1915</f>
        <v>-124.82469876854768</v>
      </c>
      <c r="M1749" s="83">
        <f>$J$1749-EFEITO!$K$1749*EFEITO!$Y$1749</f>
        <v>0</v>
      </c>
      <c r="N1749" s="83">
        <f ca="1">$K$1749-EFEITO!$M$1749*EFEITO!$Z$1749</f>
        <v>-125.59070094203362</v>
      </c>
      <c r="O1749" s="83">
        <f>$L$1749-EFEITO!$O$1749*EFEITO!$AA$1749</f>
        <v>-81.136054199555986</v>
      </c>
      <c r="P1749" s="61"/>
      <c r="Q1749" s="61"/>
      <c r="R1749" s="61"/>
      <c r="S1749" s="61"/>
      <c r="T1749" s="61"/>
      <c r="U1749" s="61"/>
      <c r="V1749" s="61"/>
      <c r="W1749" s="61"/>
      <c r="X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</row>
    <row r="1750" spans="1:36" ht="11.25" customHeight="1" x14ac:dyDescent="0.2">
      <c r="A1750" s="57" t="s">
        <v>30</v>
      </c>
      <c r="B1750" s="57" t="s">
        <v>22</v>
      </c>
      <c r="C1750" s="57" t="s">
        <v>23</v>
      </c>
      <c r="D1750" s="57" t="s">
        <v>24</v>
      </c>
      <c r="E1750" s="57" t="s">
        <v>31</v>
      </c>
      <c r="F1750" s="57" t="s">
        <v>25</v>
      </c>
      <c r="G1750" s="57" t="s">
        <v>25</v>
      </c>
      <c r="H1750" s="57" t="s">
        <v>25</v>
      </c>
      <c r="I1750" s="82">
        <v>44197</v>
      </c>
      <c r="J1750" s="83">
        <f>EFEITO!$J$1750*EFEITO!$Y$1666</f>
        <v>0</v>
      </c>
      <c r="K1750" s="83">
        <f ca="1">EFEITO!$L$1750*EFEITO!$Z$1915</f>
        <v>159.63360156368373</v>
      </c>
      <c r="L1750" s="83">
        <f>EFEITO!$N$1750*EFEITO!$AA$1915</f>
        <v>103.12897731591916</v>
      </c>
      <c r="M1750" s="83">
        <f>$J$1750-EFEITO!$K$1750*EFEITO!$Y$1750</f>
        <v>0</v>
      </c>
      <c r="N1750" s="83">
        <f ca="1">$K$1750-EFEITO!$M$1750*EFEITO!$Z$1750</f>
        <v>103.76184101639441</v>
      </c>
      <c r="O1750" s="83">
        <f>$L$1750-EFEITO!$O$1750*EFEITO!$AA$1750</f>
        <v>67.033835255347455</v>
      </c>
      <c r="P1750" s="61"/>
      <c r="Q1750" s="61"/>
      <c r="R1750" s="61"/>
      <c r="S1750" s="61"/>
      <c r="T1750" s="61"/>
      <c r="U1750" s="61"/>
      <c r="V1750" s="61"/>
      <c r="W1750" s="61"/>
      <c r="X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</row>
    <row r="1751" spans="1:36" ht="11.25" customHeight="1" x14ac:dyDescent="0.2">
      <c r="A1751" s="57" t="s">
        <v>30</v>
      </c>
      <c r="B1751" s="57" t="s">
        <v>22</v>
      </c>
      <c r="C1751" s="57" t="s">
        <v>23</v>
      </c>
      <c r="D1751" s="57" t="s">
        <v>24</v>
      </c>
      <c r="E1751" s="57" t="s">
        <v>31</v>
      </c>
      <c r="F1751" s="57" t="s">
        <v>25</v>
      </c>
      <c r="G1751" s="57" t="s">
        <v>25</v>
      </c>
      <c r="H1751" s="57" t="s">
        <v>25</v>
      </c>
      <c r="I1751" s="82">
        <v>44197</v>
      </c>
      <c r="J1751" s="83">
        <f>EFEITO!$J$1751*EFEITO!$Y$1666</f>
        <v>0</v>
      </c>
      <c r="K1751" s="83">
        <f ca="1">EFEITO!$L$1751*EFEITO!$Z$1915</f>
        <v>2530.6756259418571</v>
      </c>
      <c r="L1751" s="83">
        <f>EFEITO!$N$1751*EFEITO!$AA$1915</f>
        <v>1634.9063522042402</v>
      </c>
      <c r="M1751" s="83">
        <f>$J$1751-EFEITO!$K$1751*EFEITO!$Y$1751</f>
        <v>0</v>
      </c>
      <c r="N1751" s="83">
        <f ca="1">$K$1751-EFEITO!$M$1751*EFEITO!$Z$1751</f>
        <v>1644.9391568622073</v>
      </c>
      <c r="O1751" s="83">
        <f>$L$1751-EFEITO!$O$1751*EFEITO!$AA$1751</f>
        <v>1062.6891289327561</v>
      </c>
      <c r="P1751" s="61"/>
      <c r="Q1751" s="61"/>
      <c r="R1751" s="61"/>
      <c r="S1751" s="61"/>
      <c r="T1751" s="61"/>
      <c r="U1751" s="61"/>
      <c r="V1751" s="61"/>
      <c r="W1751" s="61"/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</row>
    <row r="1752" spans="1:36" ht="11.25" customHeight="1" x14ac:dyDescent="0.2">
      <c r="A1752" s="57" t="s">
        <v>21</v>
      </c>
      <c r="B1752" s="57" t="s">
        <v>22</v>
      </c>
      <c r="C1752" s="57" t="s">
        <v>23</v>
      </c>
      <c r="D1752" s="57" t="s">
        <v>24</v>
      </c>
      <c r="E1752" s="57" t="s">
        <v>31</v>
      </c>
      <c r="F1752" s="57" t="s">
        <v>25</v>
      </c>
      <c r="G1752" s="57" t="s">
        <v>25</v>
      </c>
      <c r="H1752" s="57" t="s">
        <v>25</v>
      </c>
      <c r="I1752" s="82">
        <v>44228</v>
      </c>
      <c r="J1752" s="83">
        <f>EFEITO!$J$1752*EFEITO!$Y$1666</f>
        <v>0</v>
      </c>
      <c r="K1752" s="83">
        <f ca="1">EFEITO!$L$1752*EFEITO!$Z$1915</f>
        <v>1206488.2186976399</v>
      </c>
      <c r="L1752" s="83">
        <f>EFEITO!$N$1752*EFEITO!$AA$1915</f>
        <v>779434.24767219403</v>
      </c>
      <c r="M1752" s="83">
        <f>$J$1752-EFEITO!$K$1752*EFEITO!$Y$1752</f>
        <v>0</v>
      </c>
      <c r="N1752" s="83">
        <f ca="1">$K$1752-EFEITO!$M$1752*EFEITO!$Z$1752</f>
        <v>784217.34215346596</v>
      </c>
      <c r="O1752" s="83">
        <f>$L$1752-EFEITO!$O$1752*EFEITO!$AA$1752</f>
        <v>506632.26098692615</v>
      </c>
      <c r="P1752" s="61"/>
      <c r="Q1752" s="61"/>
      <c r="R1752" s="61"/>
      <c r="S1752" s="61"/>
      <c r="T1752" s="61"/>
      <c r="U1752" s="61"/>
      <c r="V1752" s="61"/>
      <c r="W1752" s="61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</row>
    <row r="1753" spans="1:36" ht="11.25" customHeight="1" x14ac:dyDescent="0.2">
      <c r="A1753" s="57" t="s">
        <v>27</v>
      </c>
      <c r="B1753" s="57" t="s">
        <v>22</v>
      </c>
      <c r="C1753" s="57" t="s">
        <v>23</v>
      </c>
      <c r="D1753" s="57" t="s">
        <v>24</v>
      </c>
      <c r="E1753" s="57" t="s">
        <v>31</v>
      </c>
      <c r="F1753" s="57" t="s">
        <v>25</v>
      </c>
      <c r="G1753" s="57" t="s">
        <v>25</v>
      </c>
      <c r="H1753" s="57" t="s">
        <v>25</v>
      </c>
      <c r="I1753" s="82">
        <v>44228</v>
      </c>
      <c r="J1753" s="83">
        <f>EFEITO!$J$1753*EFEITO!$Y$1666</f>
        <v>0</v>
      </c>
      <c r="K1753" s="83">
        <f ca="1">EFEITO!$L$1753*EFEITO!$Z$1915</f>
        <v>-966.08231493872017</v>
      </c>
      <c r="L1753" s="83">
        <f>EFEITO!$N$1753*EFEITO!$AA$1915</f>
        <v>-624.12349384273841</v>
      </c>
      <c r="M1753" s="83">
        <f>$J$1753-EFEITO!$K$1753*EFEITO!$Y$1753</f>
        <v>0</v>
      </c>
      <c r="N1753" s="83">
        <f ca="1">$K$1753-EFEITO!$M$1753*EFEITO!$Z$1753</f>
        <v>-627.95350471016809</v>
      </c>
      <c r="O1753" s="83">
        <f>$L$1753-EFEITO!$O$1753*EFEITO!$AA$1753</f>
        <v>-405.68027099777999</v>
      </c>
      <c r="P1753" s="61"/>
      <c r="Q1753" s="61"/>
      <c r="R1753" s="61"/>
      <c r="S1753" s="61"/>
      <c r="T1753" s="61"/>
      <c r="U1753" s="61"/>
      <c r="V1753" s="61"/>
      <c r="W1753" s="61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</row>
    <row r="1754" spans="1:36" ht="11.25" customHeight="1" x14ac:dyDescent="0.2">
      <c r="A1754" s="57" t="s">
        <v>28</v>
      </c>
      <c r="B1754" s="57" t="s">
        <v>22</v>
      </c>
      <c r="C1754" s="57" t="s">
        <v>23</v>
      </c>
      <c r="D1754" s="57" t="s">
        <v>24</v>
      </c>
      <c r="E1754" s="57" t="s">
        <v>31</v>
      </c>
      <c r="F1754" s="57" t="s">
        <v>25</v>
      </c>
      <c r="G1754" s="57" t="s">
        <v>25</v>
      </c>
      <c r="H1754" s="57" t="s">
        <v>25</v>
      </c>
      <c r="I1754" s="82">
        <v>44228</v>
      </c>
      <c r="J1754" s="83">
        <f>EFEITO!$J$1754*EFEITO!$Y$1666</f>
        <v>0</v>
      </c>
      <c r="K1754" s="83">
        <f ca="1">EFEITO!$L$1754*EFEITO!$Z$1915</f>
        <v>1801546.1605449468</v>
      </c>
      <c r="L1754" s="83">
        <f>EFEITO!$N$1754*EFEITO!$AA$1915</f>
        <v>1163862.8165029651</v>
      </c>
      <c r="M1754" s="83">
        <f>$J$1754-EFEITO!$K$1754*EFEITO!$Y$1754</f>
        <v>0</v>
      </c>
      <c r="N1754" s="83">
        <f ca="1">$K$1754-EFEITO!$M$1754*EFEITO!$Z$1754</f>
        <v>1171005.0043542155</v>
      </c>
      <c r="O1754" s="83">
        <f>$L$1754-EFEITO!$O$1754*EFEITO!$AA$1754</f>
        <v>756510.83072692738</v>
      </c>
      <c r="P1754" s="61"/>
      <c r="Q1754" s="61"/>
      <c r="R1754" s="61"/>
      <c r="S1754" s="61"/>
      <c r="T1754" s="61"/>
      <c r="U1754" s="61"/>
      <c r="V1754" s="61"/>
      <c r="W1754" s="61"/>
      <c r="X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</row>
    <row r="1755" spans="1:36" ht="11.25" customHeight="1" x14ac:dyDescent="0.2">
      <c r="A1755" s="57" t="s">
        <v>29</v>
      </c>
      <c r="B1755" s="57" t="s">
        <v>22</v>
      </c>
      <c r="C1755" s="57" t="s">
        <v>23</v>
      </c>
      <c r="D1755" s="57" t="s">
        <v>24</v>
      </c>
      <c r="E1755" s="57" t="s">
        <v>31</v>
      </c>
      <c r="F1755" s="57" t="s">
        <v>25</v>
      </c>
      <c r="G1755" s="57" t="s">
        <v>25</v>
      </c>
      <c r="H1755" s="57" t="s">
        <v>25</v>
      </c>
      <c r="I1755" s="82">
        <v>44228</v>
      </c>
      <c r="J1755" s="83">
        <f>EFEITO!$J$1755*EFEITO!$Y$1666</f>
        <v>0</v>
      </c>
      <c r="K1755" s="83">
        <f ca="1">EFEITO!$L$1755*EFEITO!$Z$1915</f>
        <v>-3726.31750047792</v>
      </c>
      <c r="L1755" s="83">
        <f>EFEITO!$N$1755*EFEITO!$AA$1915</f>
        <v>-2407.3334762505624</v>
      </c>
      <c r="M1755" s="83">
        <f>$J$1755-EFEITO!$K$1755*EFEITO!$Y$1755</f>
        <v>0</v>
      </c>
      <c r="N1755" s="83">
        <f ca="1">$K$1755-EFEITO!$M$1755*EFEITO!$Z$1755</f>
        <v>-2422.1063753106482</v>
      </c>
      <c r="O1755" s="83">
        <f>$L$1755-EFEITO!$O$1755*EFEITO!$AA$1755</f>
        <v>-1564.7667595628657</v>
      </c>
      <c r="P1755" s="61"/>
      <c r="Q1755" s="61"/>
      <c r="R1755" s="61"/>
      <c r="S1755" s="61"/>
      <c r="T1755" s="61"/>
      <c r="U1755" s="61"/>
      <c r="V1755" s="61"/>
      <c r="W1755" s="61"/>
      <c r="X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</row>
    <row r="1756" spans="1:36" ht="11.25" customHeight="1" x14ac:dyDescent="0.2">
      <c r="A1756" s="57" t="s">
        <v>30</v>
      </c>
      <c r="B1756" s="57" t="s">
        <v>22</v>
      </c>
      <c r="C1756" s="57" t="s">
        <v>23</v>
      </c>
      <c r="D1756" s="57" t="s">
        <v>24</v>
      </c>
      <c r="E1756" s="57" t="s">
        <v>31</v>
      </c>
      <c r="F1756" s="57" t="s">
        <v>25</v>
      </c>
      <c r="G1756" s="57" t="s">
        <v>25</v>
      </c>
      <c r="H1756" s="57" t="s">
        <v>25</v>
      </c>
      <c r="I1756" s="82">
        <v>44228</v>
      </c>
      <c r="J1756" s="83">
        <f>EFEITO!$J$1756*EFEITO!$Y$1666</f>
        <v>0</v>
      </c>
      <c r="K1756" s="83">
        <f ca="1">EFEITO!$L$1756*EFEITO!$Z$1915</f>
        <v>414.49531702846991</v>
      </c>
      <c r="L1756" s="83">
        <f>EFEITO!$N$1756*EFEITO!$AA$1915</f>
        <v>267.77869902490824</v>
      </c>
      <c r="M1756" s="83">
        <f>$J$1756-EFEITO!$K$1756*EFEITO!$Y$1756</f>
        <v>0</v>
      </c>
      <c r="N1756" s="83">
        <f ca="1">$K$1756-EFEITO!$M$1756*EFEITO!$Z$1756</f>
        <v>269.42195606850544</v>
      </c>
      <c r="O1756" s="83">
        <f>$L$1756-EFEITO!$O$1756*EFEITO!$AA$1756</f>
        <v>174.05615436619036</v>
      </c>
      <c r="P1756" s="61"/>
      <c r="Q1756" s="61"/>
      <c r="R1756" s="61"/>
      <c r="S1756" s="61"/>
      <c r="T1756" s="61"/>
      <c r="U1756" s="61"/>
      <c r="V1756" s="61"/>
      <c r="W1756" s="61"/>
      <c r="X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</row>
    <row r="1757" spans="1:36" ht="11.25" customHeight="1" x14ac:dyDescent="0.2">
      <c r="A1757" s="57" t="s">
        <v>21</v>
      </c>
      <c r="B1757" s="57" t="s">
        <v>22</v>
      </c>
      <c r="C1757" s="57" t="s">
        <v>23</v>
      </c>
      <c r="D1757" s="57" t="s">
        <v>24</v>
      </c>
      <c r="E1757" s="57" t="s">
        <v>31</v>
      </c>
      <c r="F1757" s="57" t="s">
        <v>25</v>
      </c>
      <c r="G1757" s="57" t="s">
        <v>25</v>
      </c>
      <c r="H1757" s="57" t="s">
        <v>25</v>
      </c>
      <c r="I1757" s="82">
        <v>44256</v>
      </c>
      <c r="J1757" s="83">
        <f>EFEITO!$J$1757*EFEITO!$Y$1666</f>
        <v>0</v>
      </c>
      <c r="K1757" s="83">
        <f ca="1">EFEITO!$L$1757*EFEITO!$Z$1915</f>
        <v>1229667.7537074031</v>
      </c>
      <c r="L1757" s="83">
        <f>EFEITO!$N$1757*EFEITO!$AA$1915</f>
        <v>794409.0507011275</v>
      </c>
      <c r="M1757" s="83">
        <f>$J$1757-EFEITO!$K$1757*EFEITO!$Y$1757</f>
        <v>0</v>
      </c>
      <c r="N1757" s="83">
        <f ca="1">$K$1757-EFEITO!$M$1757*EFEITO!$Z$1757</f>
        <v>799284.03990981216</v>
      </c>
      <c r="O1757" s="83">
        <f>$L$1757-EFEITO!$O$1757*EFEITO!$AA$1757</f>
        <v>516365.88295573287</v>
      </c>
      <c r="P1757" s="61"/>
      <c r="Q1757" s="61"/>
      <c r="R1757" s="61"/>
      <c r="S1757" s="61"/>
      <c r="T1757" s="61"/>
      <c r="U1757" s="61"/>
      <c r="V1757" s="61"/>
      <c r="W1757" s="61"/>
      <c r="X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</row>
    <row r="1758" spans="1:36" ht="11.25" customHeight="1" x14ac:dyDescent="0.2">
      <c r="A1758" s="57" t="s">
        <v>27</v>
      </c>
      <c r="B1758" s="57" t="s">
        <v>22</v>
      </c>
      <c r="C1758" s="57" t="s">
        <v>23</v>
      </c>
      <c r="D1758" s="57" t="s">
        <v>24</v>
      </c>
      <c r="E1758" s="57" t="s">
        <v>31</v>
      </c>
      <c r="F1758" s="57" t="s">
        <v>25</v>
      </c>
      <c r="G1758" s="57" t="s">
        <v>25</v>
      </c>
      <c r="H1758" s="57" t="s">
        <v>25</v>
      </c>
      <c r="I1758" s="82">
        <v>44256</v>
      </c>
      <c r="J1758" s="83">
        <f>EFEITO!$J$1758*EFEITO!$Y$1666</f>
        <v>0</v>
      </c>
      <c r="K1758" s="83">
        <f ca="1">EFEITO!$L$1758*EFEITO!$Z$1915</f>
        <v>657.85605255350936</v>
      </c>
      <c r="L1758" s="83">
        <f>EFEITO!$N$1758*EFEITO!$AA$1915</f>
        <v>424.99837914053137</v>
      </c>
      <c r="M1758" s="83">
        <f>$J$1758-EFEITO!$K$1758*EFEITO!$Y$1758</f>
        <v>0</v>
      </c>
      <c r="N1758" s="83">
        <f ca="1">$K$1758-EFEITO!$M$1758*EFEITO!$Z$1758</f>
        <v>427.60643415978109</v>
      </c>
      <c r="O1758" s="83">
        <f>$L$1758-EFEITO!$O$1758*EFEITO!$AA$1758</f>
        <v>276.24894644134542</v>
      </c>
      <c r="P1758" s="61"/>
      <c r="Q1758" s="61"/>
      <c r="R1758" s="61"/>
      <c r="S1758" s="61"/>
      <c r="T1758" s="61"/>
      <c r="U1758" s="61"/>
      <c r="V1758" s="61"/>
      <c r="W1758" s="61"/>
      <c r="X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</row>
    <row r="1759" spans="1:36" ht="11.25" customHeight="1" x14ac:dyDescent="0.2">
      <c r="A1759" s="57" t="s">
        <v>28</v>
      </c>
      <c r="B1759" s="57" t="s">
        <v>22</v>
      </c>
      <c r="C1759" s="57" t="s">
        <v>23</v>
      </c>
      <c r="D1759" s="57" t="s">
        <v>24</v>
      </c>
      <c r="E1759" s="57" t="s">
        <v>31</v>
      </c>
      <c r="F1759" s="57" t="s">
        <v>25</v>
      </c>
      <c r="G1759" s="57" t="s">
        <v>25</v>
      </c>
      <c r="H1759" s="57" t="s">
        <v>25</v>
      </c>
      <c r="I1759" s="82">
        <v>44256</v>
      </c>
      <c r="J1759" s="83">
        <f>EFEITO!$J$1759*EFEITO!$Y$1666</f>
        <v>0</v>
      </c>
      <c r="K1759" s="83">
        <f ca="1">EFEITO!$L$1759*EFEITO!$Z$1915</f>
        <v>1837258.5434146507</v>
      </c>
      <c r="L1759" s="83">
        <f>EFEITO!$N$1759*EFEITO!$AA$1915</f>
        <v>1186934.2844570212</v>
      </c>
      <c r="M1759" s="83">
        <f>$J$1759-EFEITO!$K$1759*EFEITO!$Y$1759</f>
        <v>0</v>
      </c>
      <c r="N1759" s="83">
        <f ca="1">$K$1759-EFEITO!$M$1759*EFEITO!$Z$1759</f>
        <v>1194218.053219523</v>
      </c>
      <c r="O1759" s="83">
        <f>$L$1759-EFEITO!$O$1759*EFEITO!$AA$1759</f>
        <v>771507.28489706386</v>
      </c>
      <c r="P1759" s="61"/>
      <c r="Q1759" s="61"/>
      <c r="R1759" s="61"/>
      <c r="S1759" s="61"/>
      <c r="T1759" s="61"/>
      <c r="U1759" s="61"/>
      <c r="V1759" s="61"/>
      <c r="W1759" s="61"/>
      <c r="X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</row>
    <row r="1760" spans="1:36" ht="11.25" customHeight="1" x14ac:dyDescent="0.2">
      <c r="A1760" s="57" t="s">
        <v>29</v>
      </c>
      <c r="B1760" s="57" t="s">
        <v>22</v>
      </c>
      <c r="C1760" s="57" t="s">
        <v>23</v>
      </c>
      <c r="D1760" s="57" t="s">
        <v>24</v>
      </c>
      <c r="E1760" s="57" t="s">
        <v>31</v>
      </c>
      <c r="F1760" s="57" t="s">
        <v>25</v>
      </c>
      <c r="G1760" s="57" t="s">
        <v>25</v>
      </c>
      <c r="H1760" s="57" t="s">
        <v>25</v>
      </c>
      <c r="I1760" s="82">
        <v>44256</v>
      </c>
      <c r="J1760" s="83">
        <f>EFEITO!$J$1760*EFEITO!$Y$1666</f>
        <v>0</v>
      </c>
      <c r="K1760" s="83">
        <f ca="1">EFEITO!$L$1760*EFEITO!$Z$1915</f>
        <v>-1324.9128890588161</v>
      </c>
      <c r="L1760" s="83">
        <f>EFEITO!$N$1760*EFEITO!$AA$1915</f>
        <v>-855.94079155575548</v>
      </c>
      <c r="M1760" s="83">
        <f>$J$1760-EFEITO!$K$1760*EFEITO!$Y$1760</f>
        <v>0</v>
      </c>
      <c r="N1760" s="83">
        <f ca="1">$K$1760-EFEITO!$M$1760*EFEITO!$Z$1760</f>
        <v>-861.19337788823054</v>
      </c>
      <c r="O1760" s="83">
        <f>$L$1760-EFEITO!$O$1760*EFEITO!$AA$1760</f>
        <v>-556.36151451124101</v>
      </c>
      <c r="P1760" s="61"/>
      <c r="Q1760" s="61"/>
      <c r="R1760" s="61"/>
      <c r="S1760" s="61"/>
      <c r="T1760" s="61"/>
      <c r="U1760" s="61"/>
      <c r="V1760" s="61"/>
      <c r="W1760" s="61"/>
      <c r="X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</row>
    <row r="1761" spans="1:36" ht="11.25" customHeight="1" x14ac:dyDescent="0.2">
      <c r="A1761" s="57" t="s">
        <v>30</v>
      </c>
      <c r="B1761" s="57" t="s">
        <v>22</v>
      </c>
      <c r="C1761" s="57" t="s">
        <v>23</v>
      </c>
      <c r="D1761" s="57" t="s">
        <v>24</v>
      </c>
      <c r="E1761" s="57" t="s">
        <v>31</v>
      </c>
      <c r="F1761" s="57" t="s">
        <v>25</v>
      </c>
      <c r="G1761" s="57" t="s">
        <v>25</v>
      </c>
      <c r="H1761" s="57" t="s">
        <v>25</v>
      </c>
      <c r="I1761" s="82">
        <v>44256</v>
      </c>
      <c r="J1761" s="83">
        <f>EFEITO!$J$1761*EFEITO!$Y$1666</f>
        <v>0</v>
      </c>
      <c r="K1761" s="83">
        <f ca="1">EFEITO!$L$1761*EFEITO!$Z$1915</f>
        <v>1147.3377587891277</v>
      </c>
      <c r="L1761" s="83">
        <f>EFEITO!$N$1761*EFEITO!$AA$1915</f>
        <v>741.22094935418556</v>
      </c>
      <c r="M1761" s="83">
        <f>$J$1761-EFEITO!$K$1761*EFEITO!$Y$1761</f>
        <v>0</v>
      </c>
      <c r="N1761" s="83">
        <f ca="1">$K$1761-EFEITO!$M$1761*EFEITO!$Z$1761</f>
        <v>745.76954321293306</v>
      </c>
      <c r="O1761" s="83">
        <f>$L$1761-EFEITO!$O$1761*EFEITO!$AA$1761</f>
        <v>481.7936170802206</v>
      </c>
      <c r="P1761" s="61"/>
      <c r="Q1761" s="61"/>
      <c r="R1761" s="61"/>
      <c r="S1761" s="61"/>
      <c r="T1761" s="61"/>
      <c r="U1761" s="61"/>
      <c r="V1761" s="61"/>
      <c r="W1761" s="61"/>
      <c r="X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</row>
    <row r="1762" spans="1:36" ht="11.25" customHeight="1" x14ac:dyDescent="0.2">
      <c r="A1762" s="57" t="s">
        <v>21</v>
      </c>
      <c r="B1762" s="57" t="s">
        <v>22</v>
      </c>
      <c r="C1762" s="57" t="s">
        <v>23</v>
      </c>
      <c r="D1762" s="57" t="s">
        <v>24</v>
      </c>
      <c r="E1762" s="57" t="s">
        <v>31</v>
      </c>
      <c r="F1762" s="57" t="s">
        <v>25</v>
      </c>
      <c r="G1762" s="57" t="s">
        <v>25</v>
      </c>
      <c r="H1762" s="57" t="s">
        <v>25</v>
      </c>
      <c r="I1762" s="82">
        <v>44287</v>
      </c>
      <c r="J1762" s="83">
        <f>EFEITO!$J$1762*EFEITO!$Y$1666</f>
        <v>0</v>
      </c>
      <c r="K1762" s="83">
        <f ca="1">EFEITO!$L$1762*EFEITO!$Z$1915</f>
        <v>933643.57099906588</v>
      </c>
      <c r="L1762" s="83">
        <f>EFEITO!$N$1762*EFEITO!$AA$1915</f>
        <v>603166.91292781802</v>
      </c>
      <c r="M1762" s="83">
        <f>$J$1762-EFEITO!$K$1762*EFEITO!$Y$1762</f>
        <v>0</v>
      </c>
      <c r="N1762" s="83">
        <f ca="1">$K$1762-EFEITO!$M$1762*EFEITO!$Z$1762</f>
        <v>606868.32114939287</v>
      </c>
      <c r="O1762" s="83">
        <f>$L$1762-EFEITO!$O$1762*EFEITO!$AA$1762</f>
        <v>392058.49340308178</v>
      </c>
      <c r="P1762" s="61"/>
      <c r="Q1762" s="61"/>
      <c r="R1762" s="61"/>
      <c r="S1762" s="61"/>
      <c r="T1762" s="61"/>
      <c r="U1762" s="61"/>
      <c r="V1762" s="61"/>
      <c r="W1762" s="61"/>
      <c r="X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</row>
    <row r="1763" spans="1:36" ht="11.25" customHeight="1" x14ac:dyDescent="0.2">
      <c r="A1763" s="57" t="s">
        <v>27</v>
      </c>
      <c r="B1763" s="57" t="s">
        <v>22</v>
      </c>
      <c r="C1763" s="57" t="s">
        <v>23</v>
      </c>
      <c r="D1763" s="57" t="s">
        <v>24</v>
      </c>
      <c r="E1763" s="57" t="s">
        <v>31</v>
      </c>
      <c r="F1763" s="57" t="s">
        <v>25</v>
      </c>
      <c r="G1763" s="57" t="s">
        <v>25</v>
      </c>
      <c r="H1763" s="57" t="s">
        <v>25</v>
      </c>
      <c r="I1763" s="82">
        <v>44287</v>
      </c>
      <c r="J1763" s="83">
        <f>EFEITO!$J$1763*EFEITO!$Y$1666</f>
        <v>0</v>
      </c>
      <c r="K1763" s="83">
        <f ca="1">EFEITO!$L$1763*EFEITO!$Z$1915</f>
        <v>-2498.0128429129763</v>
      </c>
      <c r="L1763" s="83">
        <f>EFEITO!$N$1763*EFEITO!$AA$1915</f>
        <v>-1613.8050340790808</v>
      </c>
      <c r="M1763" s="83">
        <f>$J$1763-EFEITO!$K$1763*EFEITO!$Y$1763</f>
        <v>0</v>
      </c>
      <c r="N1763" s="83">
        <f ca="1">$K$1763-EFEITO!$M$1763*EFEITO!$Z$1763</f>
        <v>-1623.7083478934346</v>
      </c>
      <c r="O1763" s="83">
        <f>$L$1763-EFEITO!$O$1763*EFEITO!$AA$1763</f>
        <v>-1048.9732721514024</v>
      </c>
      <c r="P1763" s="61"/>
      <c r="Q1763" s="61"/>
      <c r="R1763" s="61"/>
      <c r="S1763" s="61"/>
      <c r="T1763" s="61"/>
      <c r="U1763" s="61"/>
      <c r="V1763" s="61"/>
      <c r="W1763" s="61"/>
      <c r="X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</row>
    <row r="1764" spans="1:36" ht="11.25" customHeight="1" x14ac:dyDescent="0.2">
      <c r="A1764" s="57" t="s">
        <v>28</v>
      </c>
      <c r="B1764" s="57" t="s">
        <v>22</v>
      </c>
      <c r="C1764" s="57" t="s">
        <v>23</v>
      </c>
      <c r="D1764" s="57" t="s">
        <v>24</v>
      </c>
      <c r="E1764" s="57" t="s">
        <v>31</v>
      </c>
      <c r="F1764" s="57" t="s">
        <v>25</v>
      </c>
      <c r="G1764" s="57" t="s">
        <v>25</v>
      </c>
      <c r="H1764" s="57" t="s">
        <v>25</v>
      </c>
      <c r="I1764" s="82">
        <v>44287</v>
      </c>
      <c r="J1764" s="83">
        <f>EFEITO!$J$1764*EFEITO!$Y$1666</f>
        <v>0</v>
      </c>
      <c r="K1764" s="83">
        <f ca="1">EFEITO!$L$1764*EFEITO!$Z$1915</f>
        <v>1720967.5348518963</v>
      </c>
      <c r="L1764" s="83">
        <f>EFEITO!$N$1764*EFEITO!$AA$1915</f>
        <v>1111806.1618898609</v>
      </c>
      <c r="M1764" s="83">
        <f>$J$1764-EFEITO!$K$1764*EFEITO!$Y$1764</f>
        <v>0</v>
      </c>
      <c r="N1764" s="83">
        <f ca="1">$K$1764-EFEITO!$M$1764*EFEITO!$Z$1764</f>
        <v>1118628.8976537327</v>
      </c>
      <c r="O1764" s="83">
        <f>$L$1764-EFEITO!$O$1764*EFEITO!$AA$1764</f>
        <v>722674.00522840954</v>
      </c>
      <c r="P1764" s="61"/>
      <c r="Q1764" s="61"/>
      <c r="R1764" s="61"/>
      <c r="S1764" s="61"/>
      <c r="T1764" s="61"/>
      <c r="U1764" s="61"/>
      <c r="V1764" s="61"/>
      <c r="W1764" s="61"/>
      <c r="X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</row>
    <row r="1765" spans="1:36" ht="11.25" customHeight="1" x14ac:dyDescent="0.2">
      <c r="A1765" s="57" t="s">
        <v>29</v>
      </c>
      <c r="B1765" s="57" t="s">
        <v>22</v>
      </c>
      <c r="C1765" s="57" t="s">
        <v>23</v>
      </c>
      <c r="D1765" s="57" t="s">
        <v>24</v>
      </c>
      <c r="E1765" s="57" t="s">
        <v>31</v>
      </c>
      <c r="F1765" s="57" t="s">
        <v>25</v>
      </c>
      <c r="G1765" s="57" t="s">
        <v>25</v>
      </c>
      <c r="H1765" s="57" t="s">
        <v>25</v>
      </c>
      <c r="I1765" s="82">
        <v>44287</v>
      </c>
      <c r="J1765" s="83">
        <f>EFEITO!$J$1765*EFEITO!$Y$1666</f>
        <v>0</v>
      </c>
      <c r="K1765" s="83">
        <f ca="1">EFEITO!$L$1765*EFEITO!$Z$1915</f>
        <v>-745.26350009558416</v>
      </c>
      <c r="L1765" s="83">
        <f>EFEITO!$N$1765*EFEITO!$AA$1915</f>
        <v>-481.46669525011254</v>
      </c>
      <c r="M1765" s="83">
        <f>$J$1765-EFEITO!$K$1765*EFEITO!$Y$1765</f>
        <v>0</v>
      </c>
      <c r="N1765" s="83">
        <f ca="1">$K$1765-EFEITO!$M$1765*EFEITO!$Z$1765</f>
        <v>-484.42127506212972</v>
      </c>
      <c r="O1765" s="83">
        <f>$L$1765-EFEITO!$O$1765*EFEITO!$AA$1765</f>
        <v>-312.95335191257317</v>
      </c>
      <c r="P1765" s="61"/>
      <c r="Q1765" s="61"/>
      <c r="R1765" s="61"/>
      <c r="S1765" s="61"/>
      <c r="T1765" s="61"/>
      <c r="U1765" s="61"/>
      <c r="V1765" s="61"/>
      <c r="W1765" s="61"/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</row>
    <row r="1766" spans="1:36" ht="11.25" customHeight="1" x14ac:dyDescent="0.2">
      <c r="A1766" s="57" t="s">
        <v>30</v>
      </c>
      <c r="B1766" s="57" t="s">
        <v>22</v>
      </c>
      <c r="C1766" s="57" t="s">
        <v>23</v>
      </c>
      <c r="D1766" s="57" t="s">
        <v>24</v>
      </c>
      <c r="E1766" s="57" t="s">
        <v>31</v>
      </c>
      <c r="F1766" s="57" t="s">
        <v>25</v>
      </c>
      <c r="G1766" s="57" t="s">
        <v>25</v>
      </c>
      <c r="H1766" s="57" t="s">
        <v>25</v>
      </c>
      <c r="I1766" s="82">
        <v>44287</v>
      </c>
      <c r="J1766" s="83">
        <f>EFEITO!$J$1766*EFEITO!$Y$1666</f>
        <v>0</v>
      </c>
      <c r="K1766" s="83">
        <f ca="1">EFEITO!$L$1766*EFEITO!$Z$1915</f>
        <v>1448.2033940129004</v>
      </c>
      <c r="L1766" s="83">
        <f>EFEITO!$N$1766*EFEITO!$AA$1915</f>
        <v>935.59083743663837</v>
      </c>
      <c r="M1766" s="83">
        <f>$J$1766-EFEITO!$K$1766*EFEITO!$Y$1766</f>
        <v>0</v>
      </c>
      <c r="N1766" s="83">
        <f ca="1">$K$1766-EFEITO!$M$1766*EFEITO!$Z$1766</f>
        <v>941.33220610838521</v>
      </c>
      <c r="O1766" s="83">
        <f>$L$1766-EFEITO!$O$1766*EFEITO!$AA$1766</f>
        <v>608.13404433381493</v>
      </c>
      <c r="P1766" s="61"/>
      <c r="Q1766" s="61"/>
      <c r="R1766" s="61"/>
      <c r="S1766" s="61"/>
      <c r="T1766" s="61"/>
      <c r="U1766" s="61"/>
      <c r="V1766" s="61"/>
      <c r="W1766" s="61"/>
      <c r="X1766" s="6"/>
      <c r="Y1766" s="6"/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</row>
    <row r="1767" spans="1:36" ht="11.25" customHeight="1" x14ac:dyDescent="0.2">
      <c r="A1767" s="57" t="s">
        <v>21</v>
      </c>
      <c r="B1767" s="57" t="s">
        <v>22</v>
      </c>
      <c r="C1767" s="57" t="s">
        <v>23</v>
      </c>
      <c r="D1767" s="57" t="s">
        <v>24</v>
      </c>
      <c r="E1767" s="57" t="s">
        <v>31</v>
      </c>
      <c r="F1767" s="57" t="s">
        <v>25</v>
      </c>
      <c r="G1767" s="57" t="s">
        <v>25</v>
      </c>
      <c r="H1767" s="57" t="s">
        <v>25</v>
      </c>
      <c r="I1767" s="82">
        <v>44317</v>
      </c>
      <c r="J1767" s="83">
        <f>EFEITO!$J$1767*EFEITO!$Y$1666</f>
        <v>0</v>
      </c>
      <c r="K1767" s="83">
        <f ca="1">EFEITO!$L$1767*EFEITO!$Z$1915</f>
        <v>934246.68238710612</v>
      </c>
      <c r="L1767" s="83">
        <f>EFEITO!$N$1767*EFEITO!$AA$1915</f>
        <v>603556.54430897406</v>
      </c>
      <c r="M1767" s="83">
        <f>$J$1767-EFEITO!$K$1767*EFEITO!$Y$1767</f>
        <v>0</v>
      </c>
      <c r="N1767" s="83">
        <f ca="1">$K$1767-EFEITO!$M$1767*EFEITO!$Z$1767</f>
        <v>607260.34355161898</v>
      </c>
      <c r="O1767" s="83">
        <f>$L$1767-EFEITO!$O$1767*EFEITO!$AA$1767</f>
        <v>392311.75380083313</v>
      </c>
      <c r="P1767" s="61"/>
      <c r="Q1767" s="61"/>
      <c r="R1767" s="61"/>
      <c r="S1767" s="61"/>
      <c r="T1767" s="61"/>
      <c r="U1767" s="61"/>
      <c r="V1767" s="61"/>
      <c r="W1767" s="61"/>
      <c r="X1767" s="6"/>
      <c r="Y1767" s="6"/>
      <c r="Z1767" s="6"/>
      <c r="AA1767" s="6"/>
      <c r="AB1767" s="6"/>
      <c r="AC1767" s="6"/>
      <c r="AD1767" s="6"/>
      <c r="AE1767" s="6"/>
      <c r="AF1767" s="6"/>
      <c r="AG1767" s="6"/>
      <c r="AH1767" s="6"/>
      <c r="AI1767" s="6"/>
      <c r="AJ1767" s="6"/>
    </row>
    <row r="1768" spans="1:36" ht="11.25" customHeight="1" x14ac:dyDescent="0.2">
      <c r="A1768" s="57" t="s">
        <v>27</v>
      </c>
      <c r="B1768" s="57" t="s">
        <v>22</v>
      </c>
      <c r="C1768" s="57" t="s">
        <v>23</v>
      </c>
      <c r="D1768" s="57" t="s">
        <v>24</v>
      </c>
      <c r="E1768" s="57" t="s">
        <v>31</v>
      </c>
      <c r="F1768" s="57" t="s">
        <v>25</v>
      </c>
      <c r="G1768" s="57" t="s">
        <v>25</v>
      </c>
      <c r="H1768" s="57" t="s">
        <v>25</v>
      </c>
      <c r="I1768" s="82">
        <v>44317</v>
      </c>
      <c r="J1768" s="83">
        <f>EFEITO!$J$1768*EFEITO!$Y$1666</f>
        <v>0</v>
      </c>
      <c r="K1768" s="83">
        <f ca="1">EFEITO!$L$1768*EFEITO!$Z$1915</f>
        <v>-910.87761122793609</v>
      </c>
      <c r="L1768" s="83">
        <f>EFEITO!$N$1768*EFEITO!$AA$1915</f>
        <v>-588.45929419458196</v>
      </c>
      <c r="M1768" s="83">
        <f>$J$1768-EFEITO!$K$1768*EFEITO!$Y$1768</f>
        <v>0</v>
      </c>
      <c r="N1768" s="83">
        <f ca="1">$K$1768-EFEITO!$M$1768*EFEITO!$Z$1768</f>
        <v>-592.07044729815857</v>
      </c>
      <c r="O1768" s="83">
        <f>$L$1768-EFEITO!$O$1768*EFEITO!$AA$1768</f>
        <v>-382.49854122647832</v>
      </c>
      <c r="P1768" s="61"/>
      <c r="Q1768" s="61"/>
      <c r="R1768" s="61"/>
      <c r="S1768" s="61"/>
      <c r="T1768" s="61"/>
      <c r="U1768" s="61"/>
      <c r="V1768" s="61"/>
      <c r="W1768" s="61"/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</row>
    <row r="1769" spans="1:36" ht="11.25" customHeight="1" x14ac:dyDescent="0.2">
      <c r="A1769" s="57" t="s">
        <v>28</v>
      </c>
      <c r="B1769" s="57" t="s">
        <v>22</v>
      </c>
      <c r="C1769" s="57" t="s">
        <v>23</v>
      </c>
      <c r="D1769" s="57" t="s">
        <v>24</v>
      </c>
      <c r="E1769" s="57" t="s">
        <v>31</v>
      </c>
      <c r="F1769" s="57" t="s">
        <v>25</v>
      </c>
      <c r="G1769" s="57" t="s">
        <v>25</v>
      </c>
      <c r="H1769" s="57" t="s">
        <v>25</v>
      </c>
      <c r="I1769" s="82">
        <v>44317</v>
      </c>
      <c r="J1769" s="83">
        <f>EFEITO!$J$1769*EFEITO!$Y$1666</f>
        <v>0</v>
      </c>
      <c r="K1769" s="83">
        <f ca="1">EFEITO!$L$1769*EFEITO!$Z$1915</f>
        <v>1718459.8611858338</v>
      </c>
      <c r="L1769" s="83">
        <f>EFEITO!$N$1769*EFEITO!$AA$1915</f>
        <v>1110186.1156208434</v>
      </c>
      <c r="M1769" s="83">
        <f>$J$1769-EFEITO!$K$1769*EFEITO!$Y$1769</f>
        <v>0</v>
      </c>
      <c r="N1769" s="83">
        <f ca="1">$K$1769-EFEITO!$M$1769*EFEITO!$Z$1769</f>
        <v>1116998.9097707919</v>
      </c>
      <c r="O1769" s="83">
        <f>$L$1769-EFEITO!$O$1769*EFEITO!$AA$1769</f>
        <v>721620.97515354818</v>
      </c>
      <c r="P1769" s="61"/>
      <c r="Q1769" s="61"/>
      <c r="R1769" s="61"/>
      <c r="S1769" s="61"/>
      <c r="T1769" s="61"/>
      <c r="U1769" s="61"/>
      <c r="V1769" s="61"/>
      <c r="W1769" s="61"/>
      <c r="X1769" s="6"/>
      <c r="Y1769" s="6"/>
      <c r="Z1769" s="6"/>
      <c r="AA1769" s="6"/>
      <c r="AB1769" s="6"/>
      <c r="AC1769" s="6"/>
      <c r="AD1769" s="6"/>
      <c r="AE1769" s="6"/>
      <c r="AF1769" s="6"/>
      <c r="AG1769" s="6"/>
      <c r="AH1769" s="6"/>
      <c r="AI1769" s="6"/>
      <c r="AJ1769" s="6"/>
    </row>
    <row r="1770" spans="1:36" ht="11.25" customHeight="1" x14ac:dyDescent="0.2">
      <c r="A1770" s="57" t="s">
        <v>29</v>
      </c>
      <c r="B1770" s="57" t="s">
        <v>22</v>
      </c>
      <c r="C1770" s="57" t="s">
        <v>23</v>
      </c>
      <c r="D1770" s="57" t="s">
        <v>24</v>
      </c>
      <c r="E1770" s="57" t="s">
        <v>31</v>
      </c>
      <c r="F1770" s="57" t="s">
        <v>25</v>
      </c>
      <c r="G1770" s="57" t="s">
        <v>25</v>
      </c>
      <c r="H1770" s="57" t="s">
        <v>25</v>
      </c>
      <c r="I1770" s="82">
        <v>44317</v>
      </c>
      <c r="J1770" s="83">
        <f>EFEITO!$J$1770*EFEITO!$Y$1666</f>
        <v>0</v>
      </c>
      <c r="K1770" s="83">
        <f ca="1">EFEITO!$L$1770*EFEITO!$Z$1915</f>
        <v>-1186.9011297818561</v>
      </c>
      <c r="L1770" s="83">
        <f>EFEITO!$N$1770*EFEITO!$AA$1915</f>
        <v>-766.78029243536434</v>
      </c>
      <c r="M1770" s="83">
        <f>$J$1770-EFEITO!$K$1770*EFEITO!$Y$1770</f>
        <v>0</v>
      </c>
      <c r="N1770" s="83">
        <f ca="1">$K$1770-EFEITO!$M$1770*EFEITO!$Z$1770</f>
        <v>-771.4857343582064</v>
      </c>
      <c r="O1770" s="83">
        <f>$L$1770-EFEITO!$O$1770*EFEITO!$AA$1770</f>
        <v>-498.40719008298686</v>
      </c>
      <c r="P1770" s="61"/>
      <c r="Q1770" s="61"/>
      <c r="R1770" s="61"/>
      <c r="S1770" s="61"/>
      <c r="T1770" s="61"/>
      <c r="U1770" s="61"/>
      <c r="V1770" s="61"/>
      <c r="W1770" s="61"/>
      <c r="X1770" s="6"/>
      <c r="Y1770" s="6"/>
      <c r="Z1770" s="6"/>
      <c r="AA1770" s="6"/>
      <c r="AB1770" s="6"/>
      <c r="AC1770" s="6"/>
      <c r="AD1770" s="6"/>
      <c r="AE1770" s="6"/>
      <c r="AF1770" s="6"/>
      <c r="AG1770" s="6"/>
      <c r="AH1770" s="6"/>
      <c r="AI1770" s="6"/>
      <c r="AJ1770" s="6"/>
    </row>
    <row r="1771" spans="1:36" ht="11.25" customHeight="1" x14ac:dyDescent="0.2">
      <c r="A1771" s="57" t="s">
        <v>30</v>
      </c>
      <c r="B1771" s="57" t="s">
        <v>22</v>
      </c>
      <c r="C1771" s="57" t="s">
        <v>23</v>
      </c>
      <c r="D1771" s="57" t="s">
        <v>24</v>
      </c>
      <c r="E1771" s="57" t="s">
        <v>31</v>
      </c>
      <c r="F1771" s="57" t="s">
        <v>25</v>
      </c>
      <c r="G1771" s="57" t="s">
        <v>25</v>
      </c>
      <c r="H1771" s="57" t="s">
        <v>25</v>
      </c>
      <c r="I1771" s="82">
        <v>44317</v>
      </c>
      <c r="J1771" s="83">
        <f>EFEITO!$J$1771*EFEITO!$Y$1666</f>
        <v>0</v>
      </c>
      <c r="K1771" s="83">
        <f ca="1">EFEITO!$L$1771*EFEITO!$Z$1915</f>
        <v>1358.4957504828762</v>
      </c>
      <c r="L1771" s="83">
        <f>EFEITO!$N$1771*EFEITO!$AA$1915</f>
        <v>877.6365130083841</v>
      </c>
      <c r="M1771" s="83">
        <f>$J$1771-EFEITO!$K$1771*EFEITO!$Y$1771</f>
        <v>0</v>
      </c>
      <c r="N1771" s="83">
        <f ca="1">$K$1771-EFEITO!$M$1771*EFEITO!$Z$1771</f>
        <v>883.02223781386965</v>
      </c>
      <c r="O1771" s="83">
        <f>$L$1771-EFEITO!$O$1771*EFEITO!$AA$1771</f>
        <v>570.46373345544976</v>
      </c>
      <c r="P1771" s="61"/>
      <c r="Q1771" s="61"/>
      <c r="R1771" s="61"/>
      <c r="S1771" s="61"/>
      <c r="T1771" s="61"/>
      <c r="U1771" s="61"/>
      <c r="V1771" s="61"/>
      <c r="W1771" s="61"/>
      <c r="X1771" s="6"/>
      <c r="Y1771" s="6"/>
      <c r="Z1771" s="6"/>
      <c r="AA1771" s="6"/>
      <c r="AB1771" s="6"/>
      <c r="AC1771" s="6"/>
      <c r="AD1771" s="6"/>
      <c r="AE1771" s="6"/>
      <c r="AF1771" s="6"/>
      <c r="AG1771" s="6"/>
      <c r="AH1771" s="6"/>
      <c r="AI1771" s="6"/>
      <c r="AJ1771" s="6"/>
    </row>
    <row r="1772" spans="1:36" ht="11.25" customHeight="1" x14ac:dyDescent="0.2">
      <c r="A1772" s="57" t="s">
        <v>30</v>
      </c>
      <c r="B1772" s="57" t="s">
        <v>22</v>
      </c>
      <c r="C1772" s="57" t="s">
        <v>23</v>
      </c>
      <c r="D1772" s="57" t="s">
        <v>24</v>
      </c>
      <c r="E1772" s="57" t="s">
        <v>31</v>
      </c>
      <c r="F1772" s="57" t="s">
        <v>25</v>
      </c>
      <c r="G1772" s="57" t="s">
        <v>25</v>
      </c>
      <c r="H1772" s="57" t="s">
        <v>25</v>
      </c>
      <c r="I1772" s="82">
        <v>44317</v>
      </c>
      <c r="J1772" s="83">
        <f>EFEITO!$J$1772*EFEITO!$Y$1666</f>
        <v>0</v>
      </c>
      <c r="K1772" s="83">
        <f ca="1">EFEITO!$L$1772*EFEITO!$Z$1915</f>
        <v>100.74858427218081</v>
      </c>
      <c r="L1772" s="83">
        <f>EFEITO!$N$1772*EFEITO!$AA$1915</f>
        <v>65.087164357885584</v>
      </c>
      <c r="M1772" s="83">
        <f>$J$1772-EFEITO!$K$1772*EFEITO!$Y$1772</f>
        <v>0</v>
      </c>
      <c r="N1772" s="83">
        <f ca="1">$K$1772-EFEITO!$M$1772*EFEITO!$Z$1772</f>
        <v>65.486579776917523</v>
      </c>
      <c r="O1772" s="83">
        <f>$L$1772-EFEITO!$O$1772*EFEITO!$AA$1772</f>
        <v>42.306656832625634</v>
      </c>
      <c r="P1772" s="61"/>
      <c r="Q1772" s="61"/>
      <c r="R1772" s="61"/>
      <c r="S1772" s="61"/>
      <c r="T1772" s="61"/>
      <c r="U1772" s="61"/>
      <c r="V1772" s="61"/>
      <c r="W1772" s="61"/>
      <c r="X1772" s="6"/>
      <c r="Y1772" s="6"/>
      <c r="Z1772" s="6"/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</row>
    <row r="1773" spans="1:36" ht="11.25" customHeight="1" x14ac:dyDescent="0.2">
      <c r="A1773" s="57" t="s">
        <v>21</v>
      </c>
      <c r="B1773" s="57" t="s">
        <v>22</v>
      </c>
      <c r="C1773" s="57" t="s">
        <v>23</v>
      </c>
      <c r="D1773" s="57" t="s">
        <v>24</v>
      </c>
      <c r="E1773" s="57" t="s">
        <v>31</v>
      </c>
      <c r="F1773" s="57" t="s">
        <v>25</v>
      </c>
      <c r="G1773" s="57" t="s">
        <v>25</v>
      </c>
      <c r="H1773" s="57" t="s">
        <v>25</v>
      </c>
      <c r="I1773" s="82">
        <v>44348</v>
      </c>
      <c r="J1773" s="83">
        <f>EFEITO!$J$1773*EFEITO!$Y$1666</f>
        <v>0</v>
      </c>
      <c r="K1773" s="83">
        <f ca="1">EFEITO!$L$1773*EFEITO!$Z$1915</f>
        <v>950354.49485151772</v>
      </c>
      <c r="L1773" s="83">
        <f>EFEITO!$N$1773*EFEITO!$AA$1915</f>
        <v>613962.76336297859</v>
      </c>
      <c r="M1773" s="83">
        <f>$J$1773-EFEITO!$K$1773*EFEITO!$Y$1773</f>
        <v>0</v>
      </c>
      <c r="N1773" s="83">
        <f ca="1">$K$1773-EFEITO!$M$1773*EFEITO!$Z$1773</f>
        <v>617730.42165348656</v>
      </c>
      <c r="O1773" s="83">
        <f>$L$1773-EFEITO!$O$1773*EFEITO!$AA$1773</f>
        <v>399075.79618593608</v>
      </c>
      <c r="P1773" s="61"/>
      <c r="Q1773" s="61"/>
      <c r="R1773" s="61"/>
      <c r="S1773" s="61"/>
      <c r="T1773" s="61"/>
      <c r="U1773" s="61"/>
      <c r="V1773" s="61"/>
      <c r="W1773" s="61"/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</row>
    <row r="1774" spans="1:36" ht="11.25" customHeight="1" x14ac:dyDescent="0.2">
      <c r="A1774" s="57" t="s">
        <v>27</v>
      </c>
      <c r="B1774" s="57" t="s">
        <v>22</v>
      </c>
      <c r="C1774" s="57" t="s">
        <v>23</v>
      </c>
      <c r="D1774" s="57" t="s">
        <v>24</v>
      </c>
      <c r="E1774" s="57" t="s">
        <v>31</v>
      </c>
      <c r="F1774" s="57" t="s">
        <v>25</v>
      </c>
      <c r="G1774" s="57" t="s">
        <v>25</v>
      </c>
      <c r="H1774" s="57" t="s">
        <v>25</v>
      </c>
      <c r="I1774" s="82">
        <v>44348</v>
      </c>
      <c r="J1774" s="83">
        <f>EFEITO!$J$1774*EFEITO!$Y$1666</f>
        <v>0</v>
      </c>
      <c r="K1774" s="83">
        <f ca="1">EFEITO!$L$1774*EFEITO!$Z$1915</f>
        <v>-2429.0069632744962</v>
      </c>
      <c r="L1774" s="83">
        <f>EFEITO!$N$1774*EFEITO!$AA$1915</f>
        <v>-1569.2247845188854</v>
      </c>
      <c r="M1774" s="83">
        <f>$J$1774-EFEITO!$K$1774*EFEITO!$Y$1774</f>
        <v>0</v>
      </c>
      <c r="N1774" s="83">
        <f ca="1">$K$1774-EFEITO!$M$1774*EFEITO!$Z$1774</f>
        <v>-1578.8545261284225</v>
      </c>
      <c r="O1774" s="83">
        <f>$L$1774-EFEITO!$O$1774*EFEITO!$AA$1774</f>
        <v>-1019.9961099372756</v>
      </c>
      <c r="P1774" s="61"/>
      <c r="Q1774" s="61"/>
      <c r="R1774" s="61"/>
      <c r="S1774" s="61"/>
      <c r="T1774" s="61"/>
      <c r="U1774" s="61"/>
      <c r="V1774" s="61"/>
      <c r="W1774" s="61"/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</row>
    <row r="1775" spans="1:36" ht="11.25" customHeight="1" x14ac:dyDescent="0.2">
      <c r="A1775" s="57" t="s">
        <v>28</v>
      </c>
      <c r="B1775" s="57" t="s">
        <v>22</v>
      </c>
      <c r="C1775" s="57" t="s">
        <v>23</v>
      </c>
      <c r="D1775" s="57" t="s">
        <v>24</v>
      </c>
      <c r="E1775" s="57" t="s">
        <v>31</v>
      </c>
      <c r="F1775" s="57" t="s">
        <v>25</v>
      </c>
      <c r="G1775" s="57" t="s">
        <v>25</v>
      </c>
      <c r="H1775" s="57" t="s">
        <v>25</v>
      </c>
      <c r="I1775" s="82">
        <v>44348</v>
      </c>
      <c r="J1775" s="83">
        <f>EFEITO!$J$1775*EFEITO!$Y$1666</f>
        <v>0</v>
      </c>
      <c r="K1775" s="83">
        <f ca="1">EFEITO!$L$1775*EFEITO!$Z$1915</f>
        <v>1733137.8718241362</v>
      </c>
      <c r="L1775" s="83">
        <f>EFEITO!$N$1775*EFEITO!$AA$1915</f>
        <v>1119668.6319039606</v>
      </c>
      <c r="M1775" s="83">
        <f>$J$1775-EFEITO!$K$1775*EFEITO!$Y$1775</f>
        <v>0</v>
      </c>
      <c r="N1775" s="83">
        <f ca="1">$K$1775-EFEITO!$M$1775*EFEITO!$Z$1775</f>
        <v>1126539.6166856885</v>
      </c>
      <c r="O1775" s="83">
        <f>$L$1775-EFEITO!$O$1775*EFEITO!$AA$1775</f>
        <v>727784.6107375744</v>
      </c>
      <c r="P1775" s="61"/>
      <c r="Q1775" s="61"/>
      <c r="R1775" s="61"/>
      <c r="S1775" s="61"/>
      <c r="T1775" s="61"/>
      <c r="U1775" s="61"/>
      <c r="V1775" s="61"/>
      <c r="W1775" s="61"/>
      <c r="X1775" s="6"/>
      <c r="Y1775" s="6"/>
      <c r="Z1775" s="6"/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</row>
    <row r="1776" spans="1:36" ht="11.25" customHeight="1" x14ac:dyDescent="0.2">
      <c r="A1776" s="57" t="s">
        <v>29</v>
      </c>
      <c r="B1776" s="57" t="s">
        <v>22</v>
      </c>
      <c r="C1776" s="57" t="s">
        <v>23</v>
      </c>
      <c r="D1776" s="57" t="s">
        <v>24</v>
      </c>
      <c r="E1776" s="57" t="s">
        <v>31</v>
      </c>
      <c r="F1776" s="57" t="s">
        <v>25</v>
      </c>
      <c r="G1776" s="57" t="s">
        <v>25</v>
      </c>
      <c r="H1776" s="57" t="s">
        <v>25</v>
      </c>
      <c r="I1776" s="82">
        <v>44348</v>
      </c>
      <c r="J1776" s="83">
        <f>EFEITO!$J$1776*EFEITO!$Y$1666</f>
        <v>0</v>
      </c>
      <c r="K1776" s="83">
        <f ca="1">EFEITO!$L$1776*EFEITO!$Z$1915</f>
        <v>-2608.4222503345441</v>
      </c>
      <c r="L1776" s="83">
        <f>EFEITO!$N$1776*EFEITO!$AA$1915</f>
        <v>-1685.1334333753937</v>
      </c>
      <c r="M1776" s="83">
        <f>$J$1776-EFEITO!$K$1776*EFEITO!$Y$1776</f>
        <v>0</v>
      </c>
      <c r="N1776" s="83">
        <f ca="1">$K$1776-EFEITO!$M$1776*EFEITO!$Z$1776</f>
        <v>-1695.4744627174537</v>
      </c>
      <c r="O1776" s="83">
        <f>$L$1776-EFEITO!$O$1776*EFEITO!$AA$1776</f>
        <v>-1095.3367316940059</v>
      </c>
      <c r="P1776" s="61"/>
      <c r="Q1776" s="61"/>
      <c r="R1776" s="61"/>
      <c r="S1776" s="61"/>
      <c r="T1776" s="61"/>
      <c r="U1776" s="61"/>
      <c r="V1776" s="61"/>
      <c r="W1776" s="61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</row>
    <row r="1777" spans="1:36" ht="11.25" customHeight="1" x14ac:dyDescent="0.2">
      <c r="A1777" s="57" t="s">
        <v>30</v>
      </c>
      <c r="B1777" s="57" t="s">
        <v>22</v>
      </c>
      <c r="C1777" s="57" t="s">
        <v>23</v>
      </c>
      <c r="D1777" s="57" t="s">
        <v>24</v>
      </c>
      <c r="E1777" s="57" t="s">
        <v>31</v>
      </c>
      <c r="F1777" s="57" t="s">
        <v>25</v>
      </c>
      <c r="G1777" s="57" t="s">
        <v>25</v>
      </c>
      <c r="H1777" s="57" t="s">
        <v>25</v>
      </c>
      <c r="I1777" s="82">
        <v>44348</v>
      </c>
      <c r="J1777" s="83">
        <f>EFEITO!$J$1777*EFEITO!$Y$1666</f>
        <v>0</v>
      </c>
      <c r="K1777" s="83">
        <f ca="1">EFEITO!$L$1777*EFEITO!$Z$1915</f>
        <v>1684.6635415740918</v>
      </c>
      <c r="L1777" s="83">
        <f>EFEITO!$N$1777*EFEITO!$AA$1915</f>
        <v>1088.352492596242</v>
      </c>
      <c r="M1777" s="83">
        <f>$J$1777-EFEITO!$K$1777*EFEITO!$Y$1777</f>
        <v>0</v>
      </c>
      <c r="N1777" s="83">
        <f ca="1">$K$1777-EFEITO!$M$1777*EFEITO!$Z$1777</f>
        <v>1095.0313020231597</v>
      </c>
      <c r="O1777" s="83">
        <f>$L$1777-EFEITO!$O$1777*EFEITO!$AA$1777</f>
        <v>707.42912018755737</v>
      </c>
      <c r="P1777" s="61"/>
      <c r="Q1777" s="61"/>
      <c r="R1777" s="61"/>
      <c r="S1777" s="61"/>
      <c r="T1777" s="61"/>
      <c r="U1777" s="61"/>
      <c r="V1777" s="61"/>
      <c r="W1777" s="61"/>
      <c r="X1777" s="6"/>
      <c r="Y1777" s="6"/>
      <c r="Z1777" s="6"/>
      <c r="AA1777" s="6"/>
      <c r="AB1777" s="6"/>
      <c r="AC1777" s="6"/>
      <c r="AD1777" s="6"/>
      <c r="AE1777" s="6"/>
      <c r="AF1777" s="6"/>
      <c r="AG1777" s="6"/>
      <c r="AH1777" s="6"/>
      <c r="AI1777" s="6"/>
      <c r="AJ1777" s="6"/>
    </row>
    <row r="1778" spans="1:36" ht="11.25" customHeight="1" x14ac:dyDescent="0.2">
      <c r="A1778" s="57" t="s">
        <v>21</v>
      </c>
      <c r="B1778" s="57" t="s">
        <v>22</v>
      </c>
      <c r="C1778" s="57" t="s">
        <v>23</v>
      </c>
      <c r="D1778" s="57" t="s">
        <v>24</v>
      </c>
      <c r="E1778" s="57" t="s">
        <v>31</v>
      </c>
      <c r="F1778" s="57" t="s">
        <v>25</v>
      </c>
      <c r="G1778" s="57" t="s">
        <v>25</v>
      </c>
      <c r="H1778" s="57" t="s">
        <v>25</v>
      </c>
      <c r="I1778" s="82">
        <v>44378</v>
      </c>
      <c r="J1778" s="83">
        <f>EFEITO!$J$1778*EFEITO!$Y$1666</f>
        <v>0</v>
      </c>
      <c r="K1778" s="83">
        <f ca="1">EFEITO!$L$1778*EFEITO!$Z$1915</f>
        <v>936775.51785625773</v>
      </c>
      <c r="L1778" s="83">
        <f>EFEITO!$N$1778*EFEITO!$AA$1915</f>
        <v>605190.26185452333</v>
      </c>
      <c r="M1778" s="83">
        <f>$J$1778-EFEITO!$K$1778*EFEITO!$Y$1778</f>
        <v>0</v>
      </c>
      <c r="N1778" s="83">
        <f ca="1">$K$1778-EFEITO!$M$1778*EFEITO!$Z$1778</f>
        <v>608904.08660656761</v>
      </c>
      <c r="O1778" s="83">
        <f>$L$1778-EFEITO!$O$1778*EFEITO!$AA$1778</f>
        <v>393373.67020544014</v>
      </c>
      <c r="P1778" s="61"/>
      <c r="Q1778" s="61"/>
      <c r="R1778" s="61"/>
      <c r="S1778" s="61"/>
      <c r="T1778" s="61"/>
      <c r="U1778" s="61"/>
      <c r="V1778" s="61"/>
      <c r="W1778" s="61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</row>
    <row r="1779" spans="1:36" ht="11.25" customHeight="1" x14ac:dyDescent="0.2">
      <c r="A1779" s="57" t="s">
        <v>27</v>
      </c>
      <c r="B1779" s="57" t="s">
        <v>22</v>
      </c>
      <c r="C1779" s="57" t="s">
        <v>23</v>
      </c>
      <c r="D1779" s="57" t="s">
        <v>24</v>
      </c>
      <c r="E1779" s="57" t="s">
        <v>31</v>
      </c>
      <c r="F1779" s="57" t="s">
        <v>25</v>
      </c>
      <c r="G1779" s="57" t="s">
        <v>25</v>
      </c>
      <c r="H1779" s="57" t="s">
        <v>25</v>
      </c>
      <c r="I1779" s="82">
        <v>44378</v>
      </c>
      <c r="J1779" s="83">
        <f>EFEITO!$J$1779*EFEITO!$Y$1666</f>
        <v>0</v>
      </c>
      <c r="K1779" s="83">
        <f ca="1">EFEITO!$L$1779*EFEITO!$Z$1915</f>
        <v>-1559.5328798296482</v>
      </c>
      <c r="L1779" s="83">
        <f>EFEITO!$N$1779*EFEITO!$AA$1915</f>
        <v>-1007.5136400604207</v>
      </c>
      <c r="M1779" s="83">
        <f>$J$1779-EFEITO!$K$1779*EFEITO!$Y$1779</f>
        <v>0</v>
      </c>
      <c r="N1779" s="83">
        <f ca="1">$K$1779-EFEITO!$M$1779*EFEITO!$Z$1779</f>
        <v>-1013.6963718892714</v>
      </c>
      <c r="O1779" s="83">
        <f>$L$1779-EFEITO!$O$1779*EFEITO!$AA$1779</f>
        <v>-654.88386603927347</v>
      </c>
      <c r="P1779" s="61"/>
      <c r="Q1779" s="61"/>
      <c r="R1779" s="61"/>
      <c r="S1779" s="61"/>
      <c r="T1779" s="61"/>
      <c r="U1779" s="61"/>
      <c r="V1779" s="61"/>
      <c r="W1779" s="61"/>
      <c r="X1779" s="6"/>
      <c r="Y1779" s="6"/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</row>
    <row r="1780" spans="1:36" ht="11.25" customHeight="1" x14ac:dyDescent="0.2">
      <c r="A1780" s="57" t="s">
        <v>28</v>
      </c>
      <c r="B1780" s="57" t="s">
        <v>22</v>
      </c>
      <c r="C1780" s="57" t="s">
        <v>23</v>
      </c>
      <c r="D1780" s="57" t="s">
        <v>24</v>
      </c>
      <c r="E1780" s="57" t="s">
        <v>31</v>
      </c>
      <c r="F1780" s="57" t="s">
        <v>25</v>
      </c>
      <c r="G1780" s="57" t="s">
        <v>25</v>
      </c>
      <c r="H1780" s="57" t="s">
        <v>25</v>
      </c>
      <c r="I1780" s="82">
        <v>44378</v>
      </c>
      <c r="J1780" s="83">
        <f>EFEITO!$J$1780*EFEITO!$Y$1666</f>
        <v>0</v>
      </c>
      <c r="K1780" s="83">
        <f ca="1">EFEITO!$L$1780*EFEITO!$Z$1915</f>
        <v>1731997.8946925085</v>
      </c>
      <c r="L1780" s="83">
        <f>EFEITO!$N$1780*EFEITO!$AA$1915</f>
        <v>1118932.1661812263</v>
      </c>
      <c r="M1780" s="83">
        <f>$J$1780-EFEITO!$K$1780*EFEITO!$Y$1780</f>
        <v>0</v>
      </c>
      <c r="N1780" s="83">
        <f ca="1">$K$1780-EFEITO!$M$1780*EFEITO!$Z$1780</f>
        <v>1125798.6315501307</v>
      </c>
      <c r="O1780" s="83">
        <f>$L$1780-EFEITO!$O$1780*EFEITO!$AA$1780</f>
        <v>727305.90801779716</v>
      </c>
      <c r="P1780" s="61"/>
      <c r="Q1780" s="61"/>
      <c r="R1780" s="61"/>
      <c r="S1780" s="61"/>
      <c r="T1780" s="61"/>
      <c r="U1780" s="61"/>
      <c r="V1780" s="61"/>
      <c r="W1780" s="61"/>
      <c r="X1780" s="6"/>
      <c r="Y1780" s="6"/>
      <c r="Z1780" s="6"/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</row>
    <row r="1781" spans="1:36" ht="11.25" customHeight="1" x14ac:dyDescent="0.2">
      <c r="A1781" s="57" t="s">
        <v>29</v>
      </c>
      <c r="B1781" s="57" t="s">
        <v>22</v>
      </c>
      <c r="C1781" s="57" t="s">
        <v>23</v>
      </c>
      <c r="D1781" s="57" t="s">
        <v>24</v>
      </c>
      <c r="E1781" s="57" t="s">
        <v>31</v>
      </c>
      <c r="F1781" s="57" t="s">
        <v>25</v>
      </c>
      <c r="G1781" s="57" t="s">
        <v>25</v>
      </c>
      <c r="H1781" s="57" t="s">
        <v>25</v>
      </c>
      <c r="I1781" s="82">
        <v>44378</v>
      </c>
      <c r="J1781" s="83">
        <f>EFEITO!$J$1781*EFEITO!$Y$1666</f>
        <v>0</v>
      </c>
      <c r="K1781" s="83">
        <f ca="1">EFEITO!$L$1781*EFEITO!$Z$1915</f>
        <v>-2194.3869725036639</v>
      </c>
      <c r="L1781" s="83">
        <f>EFEITO!$N$1781*EFEITO!$AA$1915</f>
        <v>-1417.6519360142199</v>
      </c>
      <c r="M1781" s="83">
        <f>$J$1781-EFEITO!$K$1781*EFEITO!$Y$1781</f>
        <v>0</v>
      </c>
      <c r="N1781" s="83">
        <f ca="1">$K$1781-EFEITO!$M$1781*EFEITO!$Z$1781</f>
        <v>-1426.3515321273817</v>
      </c>
      <c r="O1781" s="83">
        <f>$L$1781-EFEITO!$O$1781*EFEITO!$AA$1781</f>
        <v>-921.47375840924292</v>
      </c>
      <c r="P1781" s="61"/>
      <c r="Q1781" s="61"/>
      <c r="R1781" s="61"/>
      <c r="S1781" s="61"/>
      <c r="T1781" s="61"/>
      <c r="U1781" s="61"/>
      <c r="V1781" s="61"/>
      <c r="W1781" s="61"/>
      <c r="X1781" s="6"/>
      <c r="Y1781" s="6"/>
      <c r="Z1781" s="6"/>
      <c r="AA1781" s="6"/>
      <c r="AB1781" s="6"/>
      <c r="AC1781" s="6"/>
      <c r="AD1781" s="6"/>
      <c r="AE1781" s="6"/>
      <c r="AF1781" s="6"/>
      <c r="AG1781" s="6"/>
      <c r="AH1781" s="6"/>
      <c r="AI1781" s="6"/>
      <c r="AJ1781" s="6"/>
    </row>
    <row r="1782" spans="1:36" ht="11.25" customHeight="1" x14ac:dyDescent="0.2">
      <c r="A1782" s="57" t="s">
        <v>30</v>
      </c>
      <c r="B1782" s="57" t="s">
        <v>22</v>
      </c>
      <c r="C1782" s="57" t="s">
        <v>23</v>
      </c>
      <c r="D1782" s="57" t="s">
        <v>24</v>
      </c>
      <c r="E1782" s="57" t="s">
        <v>31</v>
      </c>
      <c r="F1782" s="57" t="s">
        <v>25</v>
      </c>
      <c r="G1782" s="57" t="s">
        <v>25</v>
      </c>
      <c r="H1782" s="57" t="s">
        <v>25</v>
      </c>
      <c r="I1782" s="82">
        <v>44378</v>
      </c>
      <c r="J1782" s="83">
        <f>EFEITO!$J$1782*EFEITO!$Y$1666</f>
        <v>0</v>
      </c>
      <c r="K1782" s="83">
        <f ca="1">EFEITO!$L$1782*EFEITO!$Z$1915</f>
        <v>2098.2387802073822</v>
      </c>
      <c r="L1782" s="83">
        <f>EFEITO!$N$1782*EFEITO!$AA$1915</f>
        <v>1355.536788293681</v>
      </c>
      <c r="M1782" s="83">
        <f>$J$1782-EFEITO!$K$1782*EFEITO!$Y$1782</f>
        <v>0</v>
      </c>
      <c r="N1782" s="83">
        <f ca="1">$K$1782-EFEITO!$M$1782*EFEITO!$Z$1782</f>
        <v>1363.8552071347985</v>
      </c>
      <c r="O1782" s="83">
        <f>$L$1782-EFEITO!$O$1782*EFEITO!$AA$1782</f>
        <v>881.09891239089268</v>
      </c>
      <c r="P1782" s="61"/>
      <c r="Q1782" s="61"/>
      <c r="R1782" s="61"/>
      <c r="S1782" s="61"/>
      <c r="T1782" s="61"/>
      <c r="U1782" s="61"/>
      <c r="V1782" s="61"/>
      <c r="W1782" s="61"/>
      <c r="X1782" s="6"/>
      <c r="Y1782" s="6"/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</row>
    <row r="1783" spans="1:36" ht="11.25" customHeight="1" x14ac:dyDescent="0.2">
      <c r="A1783" s="57" t="s">
        <v>21</v>
      </c>
      <c r="B1783" s="57" t="s">
        <v>22</v>
      </c>
      <c r="C1783" s="57" t="s">
        <v>23</v>
      </c>
      <c r="D1783" s="57" t="s">
        <v>24</v>
      </c>
      <c r="E1783" s="57" t="s">
        <v>31</v>
      </c>
      <c r="F1783" s="57" t="s">
        <v>25</v>
      </c>
      <c r="G1783" s="57" t="s">
        <v>25</v>
      </c>
      <c r="H1783" s="57" t="s">
        <v>25</v>
      </c>
      <c r="I1783" s="82">
        <v>44409</v>
      </c>
      <c r="J1783" s="83">
        <f>EFEITO!$J$1783*EFEITO!$Y$1666</f>
        <v>0</v>
      </c>
      <c r="K1783" s="83">
        <f ca="1">EFEITO!$L$1783*EFEITO!$Z$1915</f>
        <v>948859.82749854831</v>
      </c>
      <c r="L1783" s="83">
        <f>EFEITO!$N$1783*EFEITO!$AA$1915</f>
        <v>612997.15515750484</v>
      </c>
      <c r="M1783" s="83">
        <f>$J$1783-EFEITO!$K$1783*EFEITO!$Y$1783</f>
        <v>0</v>
      </c>
      <c r="N1783" s="83">
        <f ca="1">$K$1783-EFEITO!$M$1783*EFEITO!$Z$1783</f>
        <v>616758.88787405647</v>
      </c>
      <c r="O1783" s="83">
        <f>$L$1783-EFEITO!$O$1783*EFEITO!$AA$1783</f>
        <v>398448.15085237817</v>
      </c>
      <c r="P1783" s="61"/>
      <c r="Q1783" s="61"/>
      <c r="R1783" s="61"/>
      <c r="S1783" s="61"/>
      <c r="T1783" s="61"/>
      <c r="U1783" s="61"/>
      <c r="V1783" s="61"/>
      <c r="W1783" s="61"/>
      <c r="X1783" s="6"/>
      <c r="Y1783" s="6"/>
      <c r="Z1783" s="6"/>
      <c r="AA1783" s="6"/>
      <c r="AB1783" s="6"/>
      <c r="AC1783" s="6"/>
      <c r="AD1783" s="6"/>
      <c r="AE1783" s="6"/>
      <c r="AF1783" s="6"/>
      <c r="AG1783" s="6"/>
      <c r="AH1783" s="6"/>
      <c r="AI1783" s="6"/>
      <c r="AJ1783" s="6"/>
    </row>
    <row r="1784" spans="1:36" ht="11.25" customHeight="1" x14ac:dyDescent="0.2">
      <c r="A1784" s="57" t="s">
        <v>27</v>
      </c>
      <c r="B1784" s="57" t="s">
        <v>22</v>
      </c>
      <c r="C1784" s="57" t="s">
        <v>23</v>
      </c>
      <c r="D1784" s="57" t="s">
        <v>24</v>
      </c>
      <c r="E1784" s="57" t="s">
        <v>31</v>
      </c>
      <c r="F1784" s="57" t="s">
        <v>25</v>
      </c>
      <c r="G1784" s="57" t="s">
        <v>25</v>
      </c>
      <c r="H1784" s="57" t="s">
        <v>25</v>
      </c>
      <c r="I1784" s="82">
        <v>44409</v>
      </c>
      <c r="J1784" s="83">
        <f>EFEITO!$J$1784*EFEITO!$Y$1666</f>
        <v>0</v>
      </c>
      <c r="K1784" s="83">
        <f ca="1">EFEITO!$L$1784*EFEITO!$Z$1915</f>
        <v>-3305.3816346831923</v>
      </c>
      <c r="L1784" s="83">
        <f>EFEITO!$N$1784*EFEITO!$AA$1915</f>
        <v>-2135.3939539333692</v>
      </c>
      <c r="M1784" s="83">
        <f>$J$1784-EFEITO!$K$1784*EFEITO!$Y$1784</f>
        <v>0</v>
      </c>
      <c r="N1784" s="83">
        <f ca="1">$K$1784-EFEITO!$M$1784*EFEITO!$Z$1784</f>
        <v>-2148.4980625440749</v>
      </c>
      <c r="O1784" s="83">
        <f>$L$1784-EFEITO!$O$1784*EFEITO!$AA$1784</f>
        <v>-1388.0060700566901</v>
      </c>
      <c r="P1784" s="61"/>
      <c r="Q1784" s="61"/>
      <c r="R1784" s="61"/>
      <c r="S1784" s="61"/>
      <c r="T1784" s="61"/>
      <c r="U1784" s="61"/>
      <c r="V1784" s="61"/>
      <c r="W1784" s="61"/>
      <c r="X1784" s="6"/>
      <c r="Y1784" s="6"/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</row>
    <row r="1785" spans="1:36" ht="11.25" customHeight="1" x14ac:dyDescent="0.2">
      <c r="A1785" s="57" t="s">
        <v>28</v>
      </c>
      <c r="B1785" s="57" t="s">
        <v>22</v>
      </c>
      <c r="C1785" s="57" t="s">
        <v>23</v>
      </c>
      <c r="D1785" s="57" t="s">
        <v>24</v>
      </c>
      <c r="E1785" s="57" t="s">
        <v>31</v>
      </c>
      <c r="F1785" s="57" t="s">
        <v>25</v>
      </c>
      <c r="G1785" s="57" t="s">
        <v>25</v>
      </c>
      <c r="H1785" s="57" t="s">
        <v>25</v>
      </c>
      <c r="I1785" s="82">
        <v>44409</v>
      </c>
      <c r="J1785" s="83">
        <f>EFEITO!$J$1785*EFEITO!$Y$1666</f>
        <v>0</v>
      </c>
      <c r="K1785" s="83">
        <f ca="1">EFEITO!$L$1785*EFEITO!$Z$1915</f>
        <v>1729705.0593317205</v>
      </c>
      <c r="L1785" s="83">
        <f>EFEITO!$N$1785*EFEITO!$AA$1915</f>
        <v>1117450.9130891729</v>
      </c>
      <c r="M1785" s="83">
        <f>$J$1785-EFEITO!$K$1785*EFEITO!$Y$1785</f>
        <v>0</v>
      </c>
      <c r="N1785" s="83">
        <f ca="1">$K$1785-EFEITO!$M$1785*EFEITO!$Z$1785</f>
        <v>1124308.2885656185</v>
      </c>
      <c r="O1785" s="83">
        <f>$L$1785-EFEITO!$O$1785*EFEITO!$AA$1785</f>
        <v>726343.09350796253</v>
      </c>
      <c r="P1785" s="61"/>
      <c r="Q1785" s="61"/>
      <c r="R1785" s="61"/>
      <c r="S1785" s="61"/>
      <c r="T1785" s="61"/>
      <c r="U1785" s="61"/>
      <c r="V1785" s="61"/>
      <c r="W1785" s="61"/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</row>
    <row r="1786" spans="1:36" ht="11.25" customHeight="1" x14ac:dyDescent="0.2">
      <c r="A1786" s="57" t="s">
        <v>29</v>
      </c>
      <c r="B1786" s="57" t="s">
        <v>22</v>
      </c>
      <c r="C1786" s="57" t="s">
        <v>23</v>
      </c>
      <c r="D1786" s="57" t="s">
        <v>24</v>
      </c>
      <c r="E1786" s="57" t="s">
        <v>31</v>
      </c>
      <c r="F1786" s="57" t="s">
        <v>25</v>
      </c>
      <c r="G1786" s="57" t="s">
        <v>25</v>
      </c>
      <c r="H1786" s="57" t="s">
        <v>25</v>
      </c>
      <c r="I1786" s="82">
        <v>44409</v>
      </c>
      <c r="J1786" s="83">
        <f>EFEITO!$J$1786*EFEITO!$Y$1666</f>
        <v>0</v>
      </c>
      <c r="K1786" s="83">
        <f ca="1">EFEITO!$L$1786*EFEITO!$Z$1915</f>
        <v>-496.84233339705611</v>
      </c>
      <c r="L1786" s="83">
        <f>EFEITO!$N$1786*EFEITO!$AA$1915</f>
        <v>-320.97779683340838</v>
      </c>
      <c r="M1786" s="83">
        <f>$J$1786-EFEITO!$K$1786*EFEITO!$Y$1786</f>
        <v>0</v>
      </c>
      <c r="N1786" s="83">
        <f ca="1">$K$1786-EFEITO!$M$1786*EFEITO!$Z$1786</f>
        <v>-322.94751670808648</v>
      </c>
      <c r="O1786" s="83">
        <f>$L$1786-EFEITO!$O$1786*EFEITO!$AA$1786</f>
        <v>-208.63556794171546</v>
      </c>
      <c r="P1786" s="61"/>
      <c r="Q1786" s="61"/>
      <c r="R1786" s="61"/>
      <c r="S1786" s="61"/>
      <c r="T1786" s="61"/>
      <c r="U1786" s="61"/>
      <c r="V1786" s="61"/>
      <c r="W1786" s="61"/>
      <c r="X1786" s="6"/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</row>
    <row r="1787" spans="1:36" ht="11.25" customHeight="1" x14ac:dyDescent="0.2">
      <c r="A1787" s="57" t="s">
        <v>30</v>
      </c>
      <c r="B1787" s="57" t="s">
        <v>22</v>
      </c>
      <c r="C1787" s="57" t="s">
        <v>23</v>
      </c>
      <c r="D1787" s="57" t="s">
        <v>24</v>
      </c>
      <c r="E1787" s="57" t="s">
        <v>31</v>
      </c>
      <c r="F1787" s="57" t="s">
        <v>25</v>
      </c>
      <c r="G1787" s="57" t="s">
        <v>25</v>
      </c>
      <c r="H1787" s="57" t="s">
        <v>25</v>
      </c>
      <c r="I1787" s="82">
        <v>44409</v>
      </c>
      <c r="J1787" s="83">
        <f>EFEITO!$J$1787*EFEITO!$Y$1666</f>
        <v>0</v>
      </c>
      <c r="K1787" s="83">
        <f ca="1">EFEITO!$L$1787*EFEITO!$Z$1915</f>
        <v>2624.5236222501899</v>
      </c>
      <c r="L1787" s="83">
        <f>EFEITO!$N$1787*EFEITO!$AA$1915</f>
        <v>1695.535491606106</v>
      </c>
      <c r="M1787" s="83">
        <f>$J$1787-EFEITO!$K$1787*EFEITO!$Y$1787</f>
        <v>0</v>
      </c>
      <c r="N1787" s="83">
        <f ca="1">$K$1787-EFEITO!$M$1787*EFEITO!$Z$1787</f>
        <v>1705.9403544626236</v>
      </c>
      <c r="O1787" s="83">
        <f>$L$1787-EFEITO!$O$1787*EFEITO!$AA$1787</f>
        <v>1102.0980695439689</v>
      </c>
      <c r="P1787" s="61"/>
      <c r="Q1787" s="61"/>
      <c r="R1787" s="61"/>
      <c r="S1787" s="61"/>
      <c r="T1787" s="61"/>
      <c r="U1787" s="61"/>
      <c r="V1787" s="61"/>
      <c r="W1787" s="61"/>
      <c r="X1787" s="6"/>
      <c r="Y1787" s="6"/>
      <c r="Z1787" s="6"/>
      <c r="AA1787" s="6"/>
      <c r="AB1787" s="6"/>
      <c r="AC1787" s="6"/>
      <c r="AD1787" s="6"/>
      <c r="AE1787" s="6"/>
      <c r="AF1787" s="6"/>
      <c r="AG1787" s="6"/>
      <c r="AH1787" s="6"/>
      <c r="AI1787" s="6"/>
      <c r="AJ1787" s="6"/>
    </row>
    <row r="1788" spans="1:36" ht="11.25" customHeight="1" x14ac:dyDescent="0.2">
      <c r="A1788" s="57" t="s">
        <v>21</v>
      </c>
      <c r="B1788" s="57" t="s">
        <v>22</v>
      </c>
      <c r="C1788" s="57" t="s">
        <v>23</v>
      </c>
      <c r="D1788" s="57" t="s">
        <v>24</v>
      </c>
      <c r="E1788" s="57" t="s">
        <v>31</v>
      </c>
      <c r="F1788" s="57" t="s">
        <v>25</v>
      </c>
      <c r="G1788" s="57" t="s">
        <v>25</v>
      </c>
      <c r="H1788" s="57" t="s">
        <v>25</v>
      </c>
      <c r="I1788" s="82">
        <v>44440</v>
      </c>
      <c r="J1788" s="83">
        <f>EFEITO!$J$1788*EFEITO!$Y$1666</f>
        <v>0</v>
      </c>
      <c r="K1788" s="83">
        <f ca="1">EFEITO!$L$1788*EFEITO!$Z$1915</f>
        <v>949913.77730022662</v>
      </c>
      <c r="L1788" s="83">
        <f>EFEITO!$N$1788*EFEITO!$AA$1915</f>
        <v>613678.04416912084</v>
      </c>
      <c r="M1788" s="83">
        <f>$J$1788-EFEITO!$K$1788*EFEITO!$Y$1788</f>
        <v>0</v>
      </c>
      <c r="N1788" s="83">
        <f ca="1">$K$1788-EFEITO!$M$1788*EFEITO!$Z$1788</f>
        <v>617443.95524514734</v>
      </c>
      <c r="O1788" s="83">
        <f>$L$1788-EFEITO!$O$1788*EFEITO!$AA$1788</f>
        <v>398890.72870992857</v>
      </c>
      <c r="P1788" s="61"/>
      <c r="Q1788" s="61"/>
      <c r="R1788" s="61"/>
      <c r="S1788" s="61"/>
      <c r="T1788" s="61"/>
      <c r="U1788" s="61"/>
      <c r="V1788" s="61"/>
      <c r="W1788" s="61"/>
      <c r="X1788" s="6"/>
      <c r="Y1788" s="6"/>
      <c r="Z1788" s="6"/>
      <c r="AA1788" s="6"/>
      <c r="AB1788" s="6"/>
      <c r="AC1788" s="6"/>
      <c r="AD1788" s="6"/>
      <c r="AE1788" s="6"/>
      <c r="AF1788" s="6"/>
      <c r="AG1788" s="6"/>
      <c r="AH1788" s="6"/>
      <c r="AI1788" s="6"/>
      <c r="AJ1788" s="6"/>
    </row>
    <row r="1789" spans="1:36" ht="11.25" customHeight="1" x14ac:dyDescent="0.2">
      <c r="A1789" s="57" t="s">
        <v>27</v>
      </c>
      <c r="B1789" s="57" t="s">
        <v>22</v>
      </c>
      <c r="C1789" s="57" t="s">
        <v>23</v>
      </c>
      <c r="D1789" s="57" t="s">
        <v>24</v>
      </c>
      <c r="E1789" s="57" t="s">
        <v>31</v>
      </c>
      <c r="F1789" s="57" t="s">
        <v>25</v>
      </c>
      <c r="G1789" s="57" t="s">
        <v>25</v>
      </c>
      <c r="H1789" s="57" t="s">
        <v>25</v>
      </c>
      <c r="I1789" s="82">
        <v>44440</v>
      </c>
      <c r="J1789" s="83">
        <f>EFEITO!$J$1789*EFEITO!$Y$1666</f>
        <v>0</v>
      </c>
      <c r="K1789" s="83">
        <f ca="1">EFEITO!$L$1789*EFEITO!$Z$1915</f>
        <v>-5313.4527321629612</v>
      </c>
      <c r="L1789" s="83">
        <f>EFEITO!$N$1789*EFEITO!$AA$1915</f>
        <v>-3432.6792161350618</v>
      </c>
      <c r="M1789" s="83">
        <f>$J$1789-EFEITO!$K$1789*EFEITO!$Y$1789</f>
        <v>0</v>
      </c>
      <c r="N1789" s="83">
        <f ca="1">$K$1789-EFEITO!$M$1789*EFEITO!$Z$1789</f>
        <v>-3453.744275905925</v>
      </c>
      <c r="O1789" s="83">
        <f>$L$1789-EFEITO!$O$1789*EFEITO!$AA$1789</f>
        <v>-2231.2414904877905</v>
      </c>
      <c r="P1789" s="61"/>
      <c r="Q1789" s="61"/>
      <c r="R1789" s="61"/>
      <c r="S1789" s="61"/>
      <c r="T1789" s="61"/>
      <c r="U1789" s="61"/>
      <c r="V1789" s="61"/>
      <c r="W1789" s="61"/>
      <c r="X1789" s="6"/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</row>
    <row r="1790" spans="1:36" ht="11.25" customHeight="1" x14ac:dyDescent="0.2">
      <c r="A1790" s="57" t="s">
        <v>28</v>
      </c>
      <c r="B1790" s="57" t="s">
        <v>22</v>
      </c>
      <c r="C1790" s="57" t="s">
        <v>23</v>
      </c>
      <c r="D1790" s="57" t="s">
        <v>24</v>
      </c>
      <c r="E1790" s="57" t="s">
        <v>31</v>
      </c>
      <c r="F1790" s="57" t="s">
        <v>25</v>
      </c>
      <c r="G1790" s="57" t="s">
        <v>25</v>
      </c>
      <c r="H1790" s="57" t="s">
        <v>25</v>
      </c>
      <c r="I1790" s="82">
        <v>44440</v>
      </c>
      <c r="J1790" s="83">
        <f>EFEITO!$J$1790*EFEITO!$Y$1666</f>
        <v>0</v>
      </c>
      <c r="K1790" s="83">
        <f ca="1">EFEITO!$L$1790*EFEITO!$Z$1915</f>
        <v>1736209.5535464438</v>
      </c>
      <c r="L1790" s="83">
        <f>EFEITO!$N$1790*EFEITO!$AA$1915</f>
        <v>1121653.0474127168</v>
      </c>
      <c r="M1790" s="83">
        <f>$J$1790-EFEITO!$K$1790*EFEITO!$Y$1790</f>
        <v>0</v>
      </c>
      <c r="N1790" s="83">
        <f ca="1">$K$1790-EFEITO!$M$1790*EFEITO!$Z$1790</f>
        <v>1128536.2098051887</v>
      </c>
      <c r="O1790" s="83">
        <f>$L$1790-EFEITO!$O$1790*EFEITO!$AA$1790</f>
        <v>729074.48081826582</v>
      </c>
      <c r="P1790" s="61"/>
      <c r="Q1790" s="61"/>
      <c r="R1790" s="61"/>
      <c r="S1790" s="61"/>
      <c r="T1790" s="61"/>
      <c r="U1790" s="61"/>
      <c r="V1790" s="61"/>
      <c r="W1790" s="61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</row>
    <row r="1791" spans="1:36" ht="11.25" customHeight="1" x14ac:dyDescent="0.2">
      <c r="A1791" s="57" t="s">
        <v>29</v>
      </c>
      <c r="B1791" s="57" t="s">
        <v>22</v>
      </c>
      <c r="C1791" s="57" t="s">
        <v>23</v>
      </c>
      <c r="D1791" s="57" t="s">
        <v>24</v>
      </c>
      <c r="E1791" s="57" t="s">
        <v>31</v>
      </c>
      <c r="F1791" s="57" t="s">
        <v>25</v>
      </c>
      <c r="G1791" s="57" t="s">
        <v>25</v>
      </c>
      <c r="H1791" s="57" t="s">
        <v>25</v>
      </c>
      <c r="I1791" s="82">
        <v>44440</v>
      </c>
      <c r="J1791" s="83">
        <f>EFEITO!$J$1791*EFEITO!$Y$1666</f>
        <v>0</v>
      </c>
      <c r="K1791" s="83">
        <f ca="1">EFEITO!$L$1791*EFEITO!$Z$1915</f>
        <v>-655.55585656556013</v>
      </c>
      <c r="L1791" s="83">
        <f>EFEITO!$N$1791*EFEITO!$AA$1915</f>
        <v>-423.51237082185821</v>
      </c>
      <c r="M1791" s="83">
        <f>$J$1791-EFEITO!$K$1791*EFEITO!$Y$1791</f>
        <v>0</v>
      </c>
      <c r="N1791" s="83">
        <f ca="1">$K$1791-EFEITO!$M$1791*EFEITO!$Z$1791</f>
        <v>-426.11130676761411</v>
      </c>
      <c r="O1791" s="83">
        <f>$L$1791-EFEITO!$O$1791*EFEITO!$AA$1791</f>
        <v>-275.28304103420783</v>
      </c>
      <c r="P1791" s="61"/>
      <c r="Q1791" s="61"/>
      <c r="R1791" s="61"/>
      <c r="S1791" s="61"/>
      <c r="T1791" s="61"/>
      <c r="U1791" s="61"/>
      <c r="V1791" s="61"/>
      <c r="W1791" s="61"/>
      <c r="X1791" s="6"/>
      <c r="Y1791" s="6"/>
      <c r="Z1791" s="6"/>
      <c r="AA1791" s="6"/>
      <c r="AB1791" s="6"/>
      <c r="AC1791" s="6"/>
      <c r="AD1791" s="6"/>
      <c r="AE1791" s="6"/>
      <c r="AF1791" s="6"/>
      <c r="AG1791" s="6"/>
      <c r="AH1791" s="6"/>
      <c r="AI1791" s="6"/>
      <c r="AJ1791" s="6"/>
    </row>
    <row r="1792" spans="1:36" ht="11.25" customHeight="1" x14ac:dyDescent="0.2">
      <c r="A1792" s="57" t="s">
        <v>30</v>
      </c>
      <c r="B1792" s="57" t="s">
        <v>22</v>
      </c>
      <c r="C1792" s="57" t="s">
        <v>23</v>
      </c>
      <c r="D1792" s="57" t="s">
        <v>24</v>
      </c>
      <c r="E1792" s="57" t="s">
        <v>31</v>
      </c>
      <c r="F1792" s="57" t="s">
        <v>25</v>
      </c>
      <c r="G1792" s="57" t="s">
        <v>25</v>
      </c>
      <c r="H1792" s="57" t="s">
        <v>25</v>
      </c>
      <c r="I1792" s="82">
        <v>44440</v>
      </c>
      <c r="J1792" s="83">
        <f>EFEITO!$J$1792*EFEITO!$Y$1666</f>
        <v>0</v>
      </c>
      <c r="K1792" s="83">
        <f ca="1">EFEITO!$L$1792*EFEITO!$Z$1915</f>
        <v>2674.6678947874852</v>
      </c>
      <c r="L1792" s="83">
        <f>EFEITO!$N$1792*EFEITO!$AA$1915</f>
        <v>1727.9304729531816</v>
      </c>
      <c r="M1792" s="83">
        <f>$J$1792-EFEITO!$K$1792*EFEITO!$Y$1792</f>
        <v>0</v>
      </c>
      <c r="N1792" s="83">
        <f ca="1">$K$1792-EFEITO!$M$1792*EFEITO!$Z$1792</f>
        <v>1738.5341316118656</v>
      </c>
      <c r="O1792" s="83">
        <f>$L$1792-EFEITO!$O$1792*EFEITO!$AA$1792</f>
        <v>1123.154807419568</v>
      </c>
      <c r="P1792" s="61"/>
      <c r="Q1792" s="61"/>
      <c r="R1792" s="61"/>
      <c r="S1792" s="61"/>
      <c r="T1792" s="61"/>
      <c r="U1792" s="61"/>
      <c r="V1792" s="61"/>
      <c r="W1792" s="61"/>
      <c r="X1792" s="6"/>
      <c r="Y1792" s="6"/>
      <c r="Z1792" s="6"/>
      <c r="AA1792" s="6"/>
      <c r="AB1792" s="6"/>
      <c r="AC1792" s="6"/>
      <c r="AD1792" s="6"/>
      <c r="AE1792" s="6"/>
      <c r="AF1792" s="6"/>
      <c r="AG1792" s="6"/>
      <c r="AH1792" s="6"/>
      <c r="AI1792" s="6"/>
      <c r="AJ1792" s="6"/>
    </row>
    <row r="1793" spans="1:36" ht="11.25" customHeight="1" x14ac:dyDescent="0.2">
      <c r="A1793" s="57" t="s">
        <v>59</v>
      </c>
      <c r="B1793" s="57" t="s">
        <v>22</v>
      </c>
      <c r="C1793" s="57" t="s">
        <v>23</v>
      </c>
      <c r="D1793" s="57" t="s">
        <v>24</v>
      </c>
      <c r="E1793" s="57" t="s">
        <v>31</v>
      </c>
      <c r="F1793" s="57" t="s">
        <v>25</v>
      </c>
      <c r="G1793" s="57" t="s">
        <v>25</v>
      </c>
      <c r="H1793" s="57" t="s">
        <v>25</v>
      </c>
      <c r="I1793" s="82">
        <v>44470</v>
      </c>
      <c r="J1793" s="83">
        <f>EFEITO!$J$1793*EFEITO!$Y$1666</f>
        <v>0</v>
      </c>
      <c r="K1793" s="83">
        <f ca="1">EFEITO!$L$1793*EFEITO!$Z$1915</f>
        <v>949913.77730022662</v>
      </c>
      <c r="L1793" s="83">
        <f>EFEITO!$N$1793*EFEITO!$AA$1915</f>
        <v>613678.04416912084</v>
      </c>
      <c r="M1793" s="83">
        <f>$J$1793-EFEITO!$K$1793*EFEITO!$Y$1793</f>
        <v>0</v>
      </c>
      <c r="N1793" s="83">
        <f ca="1">$K$1793-EFEITO!$M$1793*EFEITO!$Z$1793</f>
        <v>617443.95524514734</v>
      </c>
      <c r="O1793" s="83">
        <f>$L$1793-EFEITO!$O$1793*EFEITO!$AA$1793</f>
        <v>398890.72870992857</v>
      </c>
      <c r="P1793" s="61"/>
      <c r="Q1793" s="61"/>
      <c r="R1793" s="61"/>
      <c r="S1793" s="61"/>
      <c r="T1793" s="61"/>
      <c r="U1793" s="61"/>
      <c r="V1793" s="61"/>
      <c r="W1793" s="61"/>
      <c r="X1793" s="6"/>
      <c r="Y1793" s="6"/>
      <c r="Z1793" s="6"/>
      <c r="AA1793" s="6"/>
      <c r="AB1793" s="6"/>
      <c r="AC1793" s="6"/>
      <c r="AD1793" s="6"/>
      <c r="AE1793" s="6"/>
      <c r="AF1793" s="6"/>
      <c r="AG1793" s="6"/>
      <c r="AH1793" s="6"/>
      <c r="AI1793" s="6"/>
      <c r="AJ1793" s="6"/>
    </row>
    <row r="1794" spans="1:36" ht="11.25" customHeight="1" x14ac:dyDescent="0.2">
      <c r="A1794" s="57" t="s">
        <v>59</v>
      </c>
      <c r="B1794" s="57" t="s">
        <v>22</v>
      </c>
      <c r="C1794" s="57" t="s">
        <v>23</v>
      </c>
      <c r="D1794" s="57" t="s">
        <v>24</v>
      </c>
      <c r="E1794" s="57" t="s">
        <v>31</v>
      </c>
      <c r="F1794" s="57" t="s">
        <v>25</v>
      </c>
      <c r="G1794" s="57" t="s">
        <v>25</v>
      </c>
      <c r="H1794" s="57" t="s">
        <v>25</v>
      </c>
      <c r="I1794" s="82">
        <v>44470</v>
      </c>
      <c r="J1794" s="83">
        <f>EFEITO!$J$1794*EFEITO!$Y$1666</f>
        <v>0</v>
      </c>
      <c r="K1794" s="83">
        <f ca="1">EFEITO!$L$1794*EFEITO!$Z$1915</f>
        <v>-5313.4527321629612</v>
      </c>
      <c r="L1794" s="83">
        <f>EFEITO!$N$1794*EFEITO!$AA$1915</f>
        <v>-3432.6792161350618</v>
      </c>
      <c r="M1794" s="83">
        <f>$J$1794-EFEITO!$K$1794*EFEITO!$Y$1794</f>
        <v>0</v>
      </c>
      <c r="N1794" s="83">
        <f ca="1">$K$1794-EFEITO!$M$1794*EFEITO!$Z$1794</f>
        <v>-3453.744275905925</v>
      </c>
      <c r="O1794" s="83">
        <f>$L$1794-EFEITO!$O$1794*EFEITO!$AA$1794</f>
        <v>-2231.2414904877905</v>
      </c>
      <c r="P1794" s="61"/>
      <c r="Q1794" s="61"/>
      <c r="R1794" s="61"/>
      <c r="S1794" s="61"/>
      <c r="T1794" s="61"/>
      <c r="U1794" s="61"/>
      <c r="V1794" s="61"/>
      <c r="W1794" s="61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</row>
    <row r="1795" spans="1:36" ht="11.25" customHeight="1" x14ac:dyDescent="0.2">
      <c r="A1795" s="57" t="s">
        <v>59</v>
      </c>
      <c r="B1795" s="57" t="s">
        <v>22</v>
      </c>
      <c r="C1795" s="57" t="s">
        <v>23</v>
      </c>
      <c r="D1795" s="57" t="s">
        <v>24</v>
      </c>
      <c r="E1795" s="57" t="s">
        <v>31</v>
      </c>
      <c r="F1795" s="57" t="s">
        <v>25</v>
      </c>
      <c r="G1795" s="57" t="s">
        <v>25</v>
      </c>
      <c r="H1795" s="57" t="s">
        <v>25</v>
      </c>
      <c r="I1795" s="82">
        <v>44470</v>
      </c>
      <c r="J1795" s="83">
        <f>EFEITO!$J$1795*EFEITO!$Y$1666</f>
        <v>0</v>
      </c>
      <c r="K1795" s="83">
        <f ca="1">EFEITO!$L$1795*EFEITO!$Z$1915</f>
        <v>1736209.5535464438</v>
      </c>
      <c r="L1795" s="83">
        <f>EFEITO!$N$1795*EFEITO!$AA$1915</f>
        <v>1121653.0474127168</v>
      </c>
      <c r="M1795" s="83">
        <f>$J$1795-EFEITO!$K$1795*EFEITO!$Y$1795</f>
        <v>0</v>
      </c>
      <c r="N1795" s="83">
        <f ca="1">$K$1795-EFEITO!$M$1795*EFEITO!$Z$1795</f>
        <v>1128536.2098051887</v>
      </c>
      <c r="O1795" s="83">
        <f>$L$1795-EFEITO!$O$1795*EFEITO!$AA$1795</f>
        <v>729074.48081826582</v>
      </c>
      <c r="P1795" s="61"/>
      <c r="Q1795" s="61"/>
      <c r="R1795" s="61"/>
      <c r="S1795" s="61"/>
      <c r="T1795" s="61"/>
      <c r="U1795" s="61"/>
      <c r="V1795" s="61"/>
      <c r="W1795" s="61"/>
      <c r="X1795" s="6"/>
      <c r="Y1795" s="6"/>
      <c r="Z1795" s="6"/>
      <c r="AA1795" s="6"/>
      <c r="AB1795" s="6"/>
      <c r="AC1795" s="6"/>
      <c r="AD1795" s="6"/>
      <c r="AE1795" s="6"/>
      <c r="AF1795" s="6"/>
      <c r="AG1795" s="6"/>
      <c r="AH1795" s="6"/>
      <c r="AI1795" s="6"/>
      <c r="AJ1795" s="6"/>
    </row>
    <row r="1796" spans="1:36" ht="11.25" customHeight="1" x14ac:dyDescent="0.2">
      <c r="A1796" s="57" t="s">
        <v>59</v>
      </c>
      <c r="B1796" s="57" t="s">
        <v>22</v>
      </c>
      <c r="C1796" s="57" t="s">
        <v>23</v>
      </c>
      <c r="D1796" s="57" t="s">
        <v>24</v>
      </c>
      <c r="E1796" s="57" t="s">
        <v>31</v>
      </c>
      <c r="F1796" s="57" t="s">
        <v>25</v>
      </c>
      <c r="G1796" s="57" t="s">
        <v>25</v>
      </c>
      <c r="H1796" s="57" t="s">
        <v>25</v>
      </c>
      <c r="I1796" s="82">
        <v>44470</v>
      </c>
      <c r="J1796" s="83">
        <f>EFEITO!$J$1796*EFEITO!$Y$1666</f>
        <v>0</v>
      </c>
      <c r="K1796" s="83">
        <f ca="1">EFEITO!$L$1796*EFEITO!$Z$1915</f>
        <v>-655.55585656556013</v>
      </c>
      <c r="L1796" s="83">
        <f>EFEITO!$N$1796*EFEITO!$AA$1915</f>
        <v>-423.51237082185821</v>
      </c>
      <c r="M1796" s="83">
        <f>$J$1796-EFEITO!$K$1796*EFEITO!$Y$1796</f>
        <v>0</v>
      </c>
      <c r="N1796" s="83">
        <f ca="1">$K$1796-EFEITO!$M$1796*EFEITO!$Z$1796</f>
        <v>-426.11130676761411</v>
      </c>
      <c r="O1796" s="83">
        <f>$L$1796-EFEITO!$O$1796*EFEITO!$AA$1796</f>
        <v>-275.28304103420783</v>
      </c>
      <c r="P1796" s="61"/>
      <c r="Q1796" s="61"/>
      <c r="R1796" s="61"/>
      <c r="S1796" s="61"/>
      <c r="T1796" s="61"/>
      <c r="U1796" s="61"/>
      <c r="V1796" s="61"/>
      <c r="W1796" s="61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</row>
    <row r="1797" spans="1:36" ht="11.25" customHeight="1" x14ac:dyDescent="0.2">
      <c r="A1797" s="57" t="s">
        <v>59</v>
      </c>
      <c r="B1797" s="57" t="s">
        <v>22</v>
      </c>
      <c r="C1797" s="57" t="s">
        <v>23</v>
      </c>
      <c r="D1797" s="57" t="s">
        <v>24</v>
      </c>
      <c r="E1797" s="57" t="s">
        <v>31</v>
      </c>
      <c r="F1797" s="57" t="s">
        <v>25</v>
      </c>
      <c r="G1797" s="57" t="s">
        <v>25</v>
      </c>
      <c r="H1797" s="57" t="s">
        <v>25</v>
      </c>
      <c r="I1797" s="82">
        <v>44470</v>
      </c>
      <c r="J1797" s="83">
        <f>EFEITO!$J$1797*EFEITO!$Y$1666</f>
        <v>0</v>
      </c>
      <c r="K1797" s="83">
        <f ca="1">EFEITO!$L$1797*EFEITO!$Z$1915</f>
        <v>2674.6678947874852</v>
      </c>
      <c r="L1797" s="83">
        <f>EFEITO!$N$1797*EFEITO!$AA$1915</f>
        <v>1727.9304729531816</v>
      </c>
      <c r="M1797" s="83">
        <f>$J$1797-EFEITO!$K$1797*EFEITO!$Y$1797</f>
        <v>0</v>
      </c>
      <c r="N1797" s="83">
        <f ca="1">$K$1797-EFEITO!$M$1797*EFEITO!$Z$1797</f>
        <v>1738.5341316118656</v>
      </c>
      <c r="O1797" s="83">
        <f>$L$1797-EFEITO!$O$1797*EFEITO!$AA$1797</f>
        <v>1123.154807419568</v>
      </c>
      <c r="P1797" s="61"/>
      <c r="Q1797" s="61"/>
      <c r="R1797" s="61"/>
      <c r="S1797" s="61"/>
      <c r="T1797" s="61"/>
      <c r="U1797" s="61"/>
      <c r="V1797" s="61"/>
      <c r="W1797" s="61"/>
      <c r="X1797" s="6"/>
      <c r="Y1797" s="6"/>
      <c r="Z1797" s="6"/>
      <c r="AA1797" s="6"/>
      <c r="AB1797" s="6"/>
      <c r="AC1797" s="6"/>
      <c r="AD1797" s="6"/>
      <c r="AE1797" s="6"/>
      <c r="AF1797" s="6"/>
      <c r="AG1797" s="6"/>
      <c r="AH1797" s="6"/>
      <c r="AI1797" s="6"/>
      <c r="AJ1797" s="6"/>
    </row>
    <row r="1798" spans="1:36" ht="11.25" customHeight="1" x14ac:dyDescent="0.2">
      <c r="A1798" s="57" t="s">
        <v>21</v>
      </c>
      <c r="B1798" s="57" t="s">
        <v>22</v>
      </c>
      <c r="C1798" s="57" t="s">
        <v>23</v>
      </c>
      <c r="D1798" s="57" t="s">
        <v>24</v>
      </c>
      <c r="E1798" s="57" t="s">
        <v>32</v>
      </c>
      <c r="F1798" s="57" t="s">
        <v>25</v>
      </c>
      <c r="G1798" s="57" t="s">
        <v>25</v>
      </c>
      <c r="H1798" s="57" t="s">
        <v>25</v>
      </c>
      <c r="I1798" s="82">
        <v>44136</v>
      </c>
      <c r="J1798" s="83">
        <f>EFEITO!$J$1798*EFEITO!$Y$1666</f>
        <v>0</v>
      </c>
      <c r="K1798" s="83">
        <f ca="1">EFEITO!$L$1798*EFEITO!$Z$1915</f>
        <v>1513298.9404718666</v>
      </c>
      <c r="L1798" s="83">
        <f>EFEITO!$N$1798*EFEITO!$AA$1915</f>
        <v>977644.8728550896</v>
      </c>
      <c r="M1798" s="83">
        <f>$J$1798-EFEITO!$K$1798*EFEITO!$Y$1798</f>
        <v>0</v>
      </c>
      <c r="N1798" s="83">
        <f ca="1">$K$1798-EFEITO!$M$1798*EFEITO!$Z$1798</f>
        <v>605319.57618874661</v>
      </c>
      <c r="O1798" s="83">
        <f>$L$1798-EFEITO!$O$1798*EFEITO!$AA$1798</f>
        <v>391057.9491420358</v>
      </c>
      <c r="P1798" s="61"/>
      <c r="Q1798" s="61"/>
      <c r="R1798" s="61"/>
      <c r="S1798" s="61"/>
      <c r="T1798" s="61"/>
      <c r="U1798" s="61"/>
      <c r="V1798" s="61"/>
      <c r="W1798" s="61"/>
      <c r="X1798" s="6"/>
      <c r="Y1798" s="6"/>
      <c r="Z1798" s="6"/>
      <c r="AA1798" s="6"/>
      <c r="AB1798" s="6"/>
      <c r="AC1798" s="6"/>
      <c r="AD1798" s="6"/>
      <c r="AE1798" s="6"/>
      <c r="AF1798" s="6"/>
      <c r="AG1798" s="6"/>
      <c r="AH1798" s="6"/>
      <c r="AI1798" s="6"/>
      <c r="AJ1798" s="6"/>
    </row>
    <row r="1799" spans="1:36" ht="11.25" customHeight="1" x14ac:dyDescent="0.2">
      <c r="A1799" s="57" t="s">
        <v>27</v>
      </c>
      <c r="B1799" s="57" t="s">
        <v>22</v>
      </c>
      <c r="C1799" s="57" t="s">
        <v>23</v>
      </c>
      <c r="D1799" s="57" t="s">
        <v>24</v>
      </c>
      <c r="E1799" s="57" t="s">
        <v>32</v>
      </c>
      <c r="F1799" s="57" t="s">
        <v>25</v>
      </c>
      <c r="G1799" s="57" t="s">
        <v>25</v>
      </c>
      <c r="H1799" s="57" t="s">
        <v>25</v>
      </c>
      <c r="I1799" s="82">
        <v>44136</v>
      </c>
      <c r="J1799" s="83">
        <f>EFEITO!$J$1799*EFEITO!$Y$1666</f>
        <v>0</v>
      </c>
      <c r="K1799" s="83">
        <f ca="1">EFEITO!$L$1799*EFEITO!$Z$1915</f>
        <v>-1991.5096863665328</v>
      </c>
      <c r="L1799" s="83">
        <f>EFEITO!$N$1799*EFEITO!$AA$1915</f>
        <v>-1286.5860023072451</v>
      </c>
      <c r="M1799" s="83">
        <f>$J$1799-EFEITO!$K$1799*EFEITO!$Y$1799</f>
        <v>0</v>
      </c>
      <c r="N1799" s="83">
        <f ca="1">$K$1799-EFEITO!$M$1799*EFEITO!$Z$1799</f>
        <v>-796.60387454661304</v>
      </c>
      <c r="O1799" s="83">
        <f>$L$1799-EFEITO!$O$1799*EFEITO!$AA$1799</f>
        <v>-514.63440092289807</v>
      </c>
      <c r="P1799" s="61"/>
      <c r="Q1799" s="61"/>
      <c r="R1799" s="61"/>
      <c r="S1799" s="61"/>
      <c r="T1799" s="61"/>
      <c r="U1799" s="61"/>
      <c r="V1799" s="61"/>
      <c r="W1799" s="61"/>
      <c r="X1799" s="6"/>
      <c r="Y1799" s="6"/>
      <c r="Z1799" s="6"/>
      <c r="AA1799" s="6"/>
      <c r="AB1799" s="6"/>
      <c r="AC1799" s="6"/>
      <c r="AD1799" s="6"/>
      <c r="AE1799" s="6"/>
      <c r="AF1799" s="6"/>
      <c r="AG1799" s="6"/>
      <c r="AH1799" s="6"/>
      <c r="AI1799" s="6"/>
      <c r="AJ1799" s="6"/>
    </row>
    <row r="1800" spans="1:36" ht="11.25" customHeight="1" x14ac:dyDescent="0.2">
      <c r="A1800" s="57" t="s">
        <v>28</v>
      </c>
      <c r="B1800" s="57" t="s">
        <v>22</v>
      </c>
      <c r="C1800" s="57" t="s">
        <v>23</v>
      </c>
      <c r="D1800" s="57" t="s">
        <v>24</v>
      </c>
      <c r="E1800" s="57" t="s">
        <v>32</v>
      </c>
      <c r="F1800" s="57" t="s">
        <v>25</v>
      </c>
      <c r="G1800" s="57" t="s">
        <v>25</v>
      </c>
      <c r="H1800" s="57" t="s">
        <v>25</v>
      </c>
      <c r="I1800" s="82">
        <v>44136</v>
      </c>
      <c r="J1800" s="83">
        <f>EFEITO!$J$1800*EFEITO!$Y$1666</f>
        <v>0</v>
      </c>
      <c r="K1800" s="83">
        <f ca="1">EFEITO!$L$1800*EFEITO!$Z$1915</f>
        <v>2606632.2378167221</v>
      </c>
      <c r="L1800" s="83">
        <f>EFEITO!$N$1800*EFEITO!$AA$1915</f>
        <v>1683977.0217018025</v>
      </c>
      <c r="M1800" s="83">
        <f>$J$1800-EFEITO!$K$1800*EFEITO!$Y$1800</f>
        <v>0</v>
      </c>
      <c r="N1800" s="83">
        <f ca="1">$K$1800-EFEITO!$M$1800*EFEITO!$Z$1800</f>
        <v>1042652.8951266888</v>
      </c>
      <c r="O1800" s="83">
        <f>$L$1800-EFEITO!$O$1800*EFEITO!$AA$1800</f>
        <v>673590.80868072098</v>
      </c>
      <c r="P1800" s="61"/>
      <c r="Q1800" s="61"/>
      <c r="R1800" s="61"/>
      <c r="S1800" s="61"/>
      <c r="T1800" s="61"/>
      <c r="U1800" s="61"/>
      <c r="V1800" s="61"/>
      <c r="W1800" s="61"/>
      <c r="X1800" s="6"/>
      <c r="Y1800" s="6"/>
      <c r="Z1800" s="6"/>
      <c r="AA1800" s="6"/>
      <c r="AB1800" s="6"/>
      <c r="AC1800" s="6"/>
      <c r="AD1800" s="6"/>
      <c r="AE1800" s="6"/>
      <c r="AF1800" s="6"/>
      <c r="AG1800" s="6"/>
      <c r="AH1800" s="6"/>
      <c r="AI1800" s="6"/>
      <c r="AJ1800" s="6"/>
    </row>
    <row r="1801" spans="1:36" ht="11.25" customHeight="1" x14ac:dyDescent="0.2">
      <c r="A1801" s="57" t="s">
        <v>29</v>
      </c>
      <c r="B1801" s="57" t="s">
        <v>22</v>
      </c>
      <c r="C1801" s="57" t="s">
        <v>23</v>
      </c>
      <c r="D1801" s="57" t="s">
        <v>24</v>
      </c>
      <c r="E1801" s="57" t="s">
        <v>32</v>
      </c>
      <c r="F1801" s="57" t="s">
        <v>25</v>
      </c>
      <c r="G1801" s="57" t="s">
        <v>25</v>
      </c>
      <c r="H1801" s="57" t="s">
        <v>25</v>
      </c>
      <c r="I1801" s="82">
        <v>44136</v>
      </c>
      <c r="J1801" s="83">
        <f>EFEITO!$J$1801*EFEITO!$Y$1666</f>
        <v>0</v>
      </c>
      <c r="K1801" s="83">
        <f ca="1">EFEITO!$L$1801*EFEITO!$Z$1915</f>
        <v>-2184.2661101566873</v>
      </c>
      <c r="L1801" s="83">
        <f>EFEITO!$N$1801*EFEITO!$AA$1915</f>
        <v>-1411.1134994120582</v>
      </c>
      <c r="M1801" s="83">
        <f>$J$1801-EFEITO!$K$1801*EFEITO!$Y$1801</f>
        <v>0</v>
      </c>
      <c r="N1801" s="83">
        <f ca="1">$K$1801-EFEITO!$M$1801*EFEITO!$Z$1801</f>
        <v>-873.70644406267479</v>
      </c>
      <c r="O1801" s="83">
        <f>$L$1801-EFEITO!$O$1801*EFEITO!$AA$1801</f>
        <v>-564.44539976482326</v>
      </c>
      <c r="P1801" s="61"/>
      <c r="Q1801" s="61"/>
      <c r="R1801" s="61"/>
      <c r="S1801" s="61"/>
      <c r="T1801" s="61"/>
      <c r="U1801" s="61"/>
      <c r="V1801" s="61"/>
      <c r="W1801" s="61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</row>
    <row r="1802" spans="1:36" ht="11.25" customHeight="1" x14ac:dyDescent="0.2">
      <c r="A1802" s="57" t="s">
        <v>21</v>
      </c>
      <c r="B1802" s="57" t="s">
        <v>22</v>
      </c>
      <c r="C1802" s="57" t="s">
        <v>23</v>
      </c>
      <c r="D1802" s="57" t="s">
        <v>24</v>
      </c>
      <c r="E1802" s="57" t="s">
        <v>32</v>
      </c>
      <c r="F1802" s="57" t="s">
        <v>25</v>
      </c>
      <c r="G1802" s="57" t="s">
        <v>25</v>
      </c>
      <c r="H1802" s="57" t="s">
        <v>25</v>
      </c>
      <c r="I1802" s="82">
        <v>44166</v>
      </c>
      <c r="J1802" s="83">
        <f>EFEITO!$J$1802*EFEITO!$Y$1666</f>
        <v>0</v>
      </c>
      <c r="K1802" s="83">
        <f ca="1">EFEITO!$L$1802*EFEITO!$Z$1915</f>
        <v>1723466.9278124019</v>
      </c>
      <c r="L1802" s="83">
        <f>EFEITO!$N$1802*EFEITO!$AA$1915</f>
        <v>1113420.8585289312</v>
      </c>
      <c r="M1802" s="83">
        <f>$J$1802-EFEITO!$K$1802*EFEITO!$Y$1802</f>
        <v>0</v>
      </c>
      <c r="N1802" s="83">
        <f ca="1">$K$1802-EFEITO!$M$1802*EFEITO!$Z$1802</f>
        <v>689386.77112496062</v>
      </c>
      <c r="O1802" s="83">
        <f>$L$1802-EFEITO!$O$1802*EFEITO!$AA$1802</f>
        <v>445368.34341157239</v>
      </c>
      <c r="P1802" s="61"/>
      <c r="Q1802" s="61"/>
      <c r="R1802" s="61"/>
      <c r="S1802" s="61"/>
      <c r="T1802" s="61"/>
      <c r="U1802" s="61"/>
      <c r="V1802" s="61"/>
      <c r="W1802" s="61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</row>
    <row r="1803" spans="1:36" ht="11.25" customHeight="1" x14ac:dyDescent="0.2">
      <c r="A1803" s="57" t="s">
        <v>27</v>
      </c>
      <c r="B1803" s="57" t="s">
        <v>22</v>
      </c>
      <c r="C1803" s="57" t="s">
        <v>23</v>
      </c>
      <c r="D1803" s="57" t="s">
        <v>24</v>
      </c>
      <c r="E1803" s="57" t="s">
        <v>32</v>
      </c>
      <c r="F1803" s="57" t="s">
        <v>25</v>
      </c>
      <c r="G1803" s="57" t="s">
        <v>25</v>
      </c>
      <c r="H1803" s="57" t="s">
        <v>25</v>
      </c>
      <c r="I1803" s="82">
        <v>44166</v>
      </c>
      <c r="J1803" s="83">
        <f>EFEITO!$J$1803*EFEITO!$Y$1666</f>
        <v>0</v>
      </c>
      <c r="K1803" s="83">
        <f ca="1">EFEITO!$L$1803*EFEITO!$Z$1915</f>
        <v>-3124.5862300303747</v>
      </c>
      <c r="L1803" s="83">
        <f>EFEITO!$N$1803*EFEITO!$AA$1915</f>
        <v>-2018.5937000856568</v>
      </c>
      <c r="M1803" s="83">
        <f>$J$1803-EFEITO!$K$1803*EFEITO!$Y$1803</f>
        <v>0</v>
      </c>
      <c r="N1803" s="83">
        <f ca="1">$K$1803-EFEITO!$M$1803*EFEITO!$Z$1803</f>
        <v>-1249.8344920121499</v>
      </c>
      <c r="O1803" s="83">
        <f>$L$1803-EFEITO!$O$1803*EFEITO!$AA$1803</f>
        <v>-807.43748003426276</v>
      </c>
      <c r="P1803" s="61"/>
      <c r="Q1803" s="61"/>
      <c r="R1803" s="61"/>
      <c r="S1803" s="61"/>
      <c r="T1803" s="61"/>
      <c r="U1803" s="61"/>
      <c r="V1803" s="61"/>
      <c r="W1803" s="61"/>
      <c r="X1803" s="6"/>
      <c r="Y1803" s="6"/>
      <c r="Z1803" s="6"/>
      <c r="AA1803" s="6"/>
      <c r="AB1803" s="6"/>
      <c r="AC1803" s="6"/>
      <c r="AD1803" s="6"/>
      <c r="AE1803" s="6"/>
      <c r="AF1803" s="6"/>
      <c r="AG1803" s="6"/>
      <c r="AH1803" s="6"/>
      <c r="AI1803" s="6"/>
      <c r="AJ1803" s="6"/>
    </row>
    <row r="1804" spans="1:36" ht="11.25" customHeight="1" x14ac:dyDescent="0.2">
      <c r="A1804" s="57" t="s">
        <v>28</v>
      </c>
      <c r="B1804" s="57" t="s">
        <v>22</v>
      </c>
      <c r="C1804" s="57" t="s">
        <v>23</v>
      </c>
      <c r="D1804" s="57" t="s">
        <v>24</v>
      </c>
      <c r="E1804" s="57" t="s">
        <v>32</v>
      </c>
      <c r="F1804" s="57" t="s">
        <v>25</v>
      </c>
      <c r="G1804" s="57" t="s">
        <v>25</v>
      </c>
      <c r="H1804" s="57" t="s">
        <v>25</v>
      </c>
      <c r="I1804" s="82">
        <v>44166</v>
      </c>
      <c r="J1804" s="83">
        <f>EFEITO!$J$1804*EFEITO!$Y$1666</f>
        <v>0</v>
      </c>
      <c r="K1804" s="83">
        <f ca="1">EFEITO!$L$1804*EFEITO!$Z$1915</f>
        <v>2815609.1836746978</v>
      </c>
      <c r="L1804" s="83">
        <f>EFEITO!$N$1804*EFEITO!$AA$1915</f>
        <v>1818983.552268235</v>
      </c>
      <c r="M1804" s="83">
        <f>$J$1804-EFEITO!$K$1804*EFEITO!$Y$1804</f>
        <v>0</v>
      </c>
      <c r="N1804" s="83">
        <f ca="1">$K$1804-EFEITO!$M$1804*EFEITO!$Z$1804</f>
        <v>1126243.6734698792</v>
      </c>
      <c r="O1804" s="83">
        <f>$L$1804-EFEITO!$O$1804*EFEITO!$AA$1804</f>
        <v>727593.42090729391</v>
      </c>
      <c r="P1804" s="61"/>
      <c r="Q1804" s="61"/>
      <c r="R1804" s="61"/>
      <c r="S1804" s="61"/>
      <c r="T1804" s="61"/>
      <c r="U1804" s="61"/>
      <c r="V1804" s="61"/>
      <c r="W1804" s="61"/>
      <c r="X1804" s="6"/>
      <c r="Y1804" s="6"/>
      <c r="Z1804" s="6"/>
      <c r="AA1804" s="6"/>
      <c r="AB1804" s="6"/>
      <c r="AC1804" s="6"/>
      <c r="AD1804" s="6"/>
      <c r="AE1804" s="6"/>
      <c r="AF1804" s="6"/>
      <c r="AG1804" s="6"/>
      <c r="AH1804" s="6"/>
      <c r="AI1804" s="6"/>
      <c r="AJ1804" s="6"/>
    </row>
    <row r="1805" spans="1:36" ht="11.25" customHeight="1" x14ac:dyDescent="0.2">
      <c r="A1805" s="57" t="s">
        <v>29</v>
      </c>
      <c r="B1805" s="57" t="s">
        <v>22</v>
      </c>
      <c r="C1805" s="57" t="s">
        <v>23</v>
      </c>
      <c r="D1805" s="57" t="s">
        <v>24</v>
      </c>
      <c r="E1805" s="57" t="s">
        <v>32</v>
      </c>
      <c r="F1805" s="57" t="s">
        <v>25</v>
      </c>
      <c r="G1805" s="57" t="s">
        <v>25</v>
      </c>
      <c r="H1805" s="57" t="s">
        <v>25</v>
      </c>
      <c r="I1805" s="82">
        <v>44166</v>
      </c>
      <c r="J1805" s="83">
        <f>EFEITO!$J$1805*EFEITO!$Y$1666</f>
        <v>0</v>
      </c>
      <c r="K1805" s="83">
        <f ca="1">EFEITO!$L$1805*EFEITO!$Z$1915</f>
        <v>-3024.7577241533736</v>
      </c>
      <c r="L1805" s="83">
        <f>EFEITO!$N$1805*EFEITO!$AA$1915</f>
        <v>-1954.1009390552406</v>
      </c>
      <c r="M1805" s="83">
        <f>$J$1805-EFEITO!$K$1805*EFEITO!$Y$1805</f>
        <v>0</v>
      </c>
      <c r="N1805" s="83">
        <f ca="1">$K$1805-EFEITO!$M$1805*EFEITO!$Z$1805</f>
        <v>-1209.9030896613492</v>
      </c>
      <c r="O1805" s="83">
        <f>$L$1805-EFEITO!$O$1805*EFEITO!$AA$1805</f>
        <v>-781.64037562209614</v>
      </c>
      <c r="P1805" s="61"/>
      <c r="Q1805" s="61"/>
      <c r="R1805" s="61"/>
      <c r="S1805" s="61"/>
      <c r="T1805" s="61"/>
      <c r="U1805" s="61"/>
      <c r="V1805" s="61"/>
      <c r="W1805" s="61"/>
      <c r="X1805" s="6"/>
      <c r="Y1805" s="6"/>
      <c r="Z1805" s="6"/>
      <c r="AA1805" s="6"/>
      <c r="AB1805" s="6"/>
      <c r="AC1805" s="6"/>
      <c r="AD1805" s="6"/>
      <c r="AE1805" s="6"/>
      <c r="AF1805" s="6"/>
      <c r="AG1805" s="6"/>
      <c r="AH1805" s="6"/>
      <c r="AI1805" s="6"/>
      <c r="AJ1805" s="6"/>
    </row>
    <row r="1806" spans="1:36" ht="11.25" customHeight="1" x14ac:dyDescent="0.2">
      <c r="A1806" s="57" t="s">
        <v>21</v>
      </c>
      <c r="B1806" s="57" t="s">
        <v>22</v>
      </c>
      <c r="C1806" s="57" t="s">
        <v>23</v>
      </c>
      <c r="D1806" s="57" t="s">
        <v>24</v>
      </c>
      <c r="E1806" s="57" t="s">
        <v>32</v>
      </c>
      <c r="F1806" s="57" t="s">
        <v>25</v>
      </c>
      <c r="G1806" s="57" t="s">
        <v>25</v>
      </c>
      <c r="H1806" s="57" t="s">
        <v>25</v>
      </c>
      <c r="I1806" s="82">
        <v>44197</v>
      </c>
      <c r="J1806" s="83">
        <f>EFEITO!$J$1806*EFEITO!$Y$1666</f>
        <v>0</v>
      </c>
      <c r="K1806" s="83">
        <f ca="1">EFEITO!$L$1806*EFEITO!$Z$1915</f>
        <v>1782664.771758266</v>
      </c>
      <c r="L1806" s="83">
        <f>EFEITO!$N$1806*EFEITO!$AA$1915</f>
        <v>1151664.7686183043</v>
      </c>
      <c r="M1806" s="83">
        <f>$J$1806-EFEITO!$K$1806*EFEITO!$Y$1806</f>
        <v>0</v>
      </c>
      <c r="N1806" s="83">
        <f ca="1">$K$1806-EFEITO!$M$1806*EFEITO!$Z$1806</f>
        <v>713065.90870330646</v>
      </c>
      <c r="O1806" s="83">
        <f>$L$1806-EFEITO!$O$1806*EFEITO!$AA$1806</f>
        <v>460665.90744732169</v>
      </c>
      <c r="P1806" s="61"/>
      <c r="Q1806" s="61"/>
      <c r="R1806" s="61"/>
      <c r="S1806" s="61"/>
      <c r="T1806" s="61"/>
      <c r="U1806" s="61"/>
      <c r="V1806" s="61"/>
      <c r="W1806" s="61"/>
      <c r="X1806" s="6"/>
      <c r="Y1806" s="6"/>
      <c r="Z1806" s="6"/>
      <c r="AA1806" s="6"/>
      <c r="AB1806" s="6"/>
      <c r="AC1806" s="6"/>
      <c r="AD1806" s="6"/>
      <c r="AE1806" s="6"/>
      <c r="AF1806" s="6"/>
      <c r="AG1806" s="6"/>
      <c r="AH1806" s="6"/>
      <c r="AI1806" s="6"/>
      <c r="AJ1806" s="6"/>
    </row>
    <row r="1807" spans="1:36" ht="11.25" customHeight="1" x14ac:dyDescent="0.2">
      <c r="A1807" s="57" t="s">
        <v>27</v>
      </c>
      <c r="B1807" s="57" t="s">
        <v>22</v>
      </c>
      <c r="C1807" s="57" t="s">
        <v>23</v>
      </c>
      <c r="D1807" s="57" t="s">
        <v>24</v>
      </c>
      <c r="E1807" s="57" t="s">
        <v>32</v>
      </c>
      <c r="F1807" s="57" t="s">
        <v>25</v>
      </c>
      <c r="G1807" s="57" t="s">
        <v>25</v>
      </c>
      <c r="H1807" s="57" t="s">
        <v>25</v>
      </c>
      <c r="I1807" s="82">
        <v>44197</v>
      </c>
      <c r="J1807" s="83">
        <f>EFEITO!$J$1807*EFEITO!$Y$1666</f>
        <v>0</v>
      </c>
      <c r="K1807" s="83">
        <f ca="1">EFEITO!$L$1807*EFEITO!$Z$1915</f>
        <v>-3921.8341594536141</v>
      </c>
      <c r="L1807" s="83">
        <f>EFEITO!$N$1807*EFEITO!$AA$1915</f>
        <v>-2533.6441833377835</v>
      </c>
      <c r="M1807" s="83">
        <f>$J$1807-EFEITO!$K$1807*EFEITO!$Y$1807</f>
        <v>0</v>
      </c>
      <c r="N1807" s="83">
        <f ca="1">$K$1807-EFEITO!$M$1807*EFEITO!$Z$1807</f>
        <v>-1568.7336637814456</v>
      </c>
      <c r="O1807" s="83">
        <f>$L$1807-EFEITO!$O$1807*EFEITO!$AA$1807</f>
        <v>-1013.4576733351134</v>
      </c>
      <c r="P1807" s="61"/>
      <c r="Q1807" s="61"/>
      <c r="R1807" s="61"/>
      <c r="S1807" s="61"/>
      <c r="T1807" s="61"/>
      <c r="U1807" s="61"/>
      <c r="V1807" s="61"/>
      <c r="W1807" s="61"/>
      <c r="X1807" s="6"/>
      <c r="Y1807" s="6"/>
      <c r="Z1807" s="6"/>
      <c r="AA1807" s="6"/>
      <c r="AB1807" s="6"/>
      <c r="AC1807" s="6"/>
      <c r="AD1807" s="6"/>
      <c r="AE1807" s="6"/>
      <c r="AF1807" s="6"/>
      <c r="AG1807" s="6"/>
      <c r="AH1807" s="6"/>
      <c r="AI1807" s="6"/>
      <c r="AJ1807" s="6"/>
    </row>
    <row r="1808" spans="1:36" ht="11.25" customHeight="1" x14ac:dyDescent="0.2">
      <c r="A1808" s="57" t="s">
        <v>28</v>
      </c>
      <c r="B1808" s="57" t="s">
        <v>22</v>
      </c>
      <c r="C1808" s="57" t="s">
        <v>23</v>
      </c>
      <c r="D1808" s="57" t="s">
        <v>24</v>
      </c>
      <c r="E1808" s="57" t="s">
        <v>32</v>
      </c>
      <c r="F1808" s="57" t="s">
        <v>25</v>
      </c>
      <c r="G1808" s="57" t="s">
        <v>25</v>
      </c>
      <c r="H1808" s="57" t="s">
        <v>25</v>
      </c>
      <c r="I1808" s="82">
        <v>44197</v>
      </c>
      <c r="J1808" s="83">
        <f>EFEITO!$J$1808*EFEITO!$Y$1666</f>
        <v>0</v>
      </c>
      <c r="K1808" s="83">
        <f ca="1">EFEITO!$L$1808*EFEITO!$Z$1915</f>
        <v>2785960.5774684255</v>
      </c>
      <c r="L1808" s="83">
        <f>EFEITO!$N$1808*EFEITO!$AA$1915</f>
        <v>1799829.4994438651</v>
      </c>
      <c r="M1808" s="83">
        <f>$J$1808-EFEITO!$K$1808*EFEITO!$Y$1808</f>
        <v>0</v>
      </c>
      <c r="N1808" s="83">
        <f ca="1">$K$1808-EFEITO!$M$1808*EFEITO!$Z$1808</f>
        <v>1114384.23098737</v>
      </c>
      <c r="O1808" s="83">
        <f>$L$1808-EFEITO!$O$1808*EFEITO!$AA$1808</f>
        <v>719931.7997775462</v>
      </c>
      <c r="P1808" s="61"/>
      <c r="Q1808" s="61"/>
      <c r="R1808" s="61"/>
      <c r="S1808" s="61"/>
      <c r="T1808" s="61"/>
      <c r="U1808" s="61"/>
      <c r="V1808" s="61"/>
      <c r="W1808" s="61"/>
      <c r="X1808" s="6"/>
      <c r="Y1808" s="6"/>
      <c r="Z1808" s="6"/>
      <c r="AA1808" s="6"/>
      <c r="AB1808" s="6"/>
      <c r="AC1808" s="6"/>
      <c r="AD1808" s="6"/>
      <c r="AE1808" s="6"/>
      <c r="AF1808" s="6"/>
      <c r="AG1808" s="6"/>
      <c r="AH1808" s="6"/>
      <c r="AI1808" s="6"/>
      <c r="AJ1808" s="6"/>
    </row>
    <row r="1809" spans="1:36" ht="11.25" customHeight="1" x14ac:dyDescent="0.2">
      <c r="A1809" s="57" t="s">
        <v>29</v>
      </c>
      <c r="B1809" s="57" t="s">
        <v>22</v>
      </c>
      <c r="C1809" s="57" t="s">
        <v>23</v>
      </c>
      <c r="D1809" s="57" t="s">
        <v>24</v>
      </c>
      <c r="E1809" s="57" t="s">
        <v>32</v>
      </c>
      <c r="F1809" s="57" t="s">
        <v>25</v>
      </c>
      <c r="G1809" s="57" t="s">
        <v>25</v>
      </c>
      <c r="H1809" s="57" t="s">
        <v>25</v>
      </c>
      <c r="I1809" s="82">
        <v>44197</v>
      </c>
      <c r="J1809" s="83">
        <f>EFEITO!$J$1809*EFEITO!$Y$1666</f>
        <v>0</v>
      </c>
      <c r="K1809" s="83">
        <f ca="1">EFEITO!$L$1809*EFEITO!$Z$1915</f>
        <v>-2023.2523910002337</v>
      </c>
      <c r="L1809" s="83">
        <f>EFEITO!$N$1809*EFEITO!$AA$1915</f>
        <v>-1307.0929171049349</v>
      </c>
      <c r="M1809" s="83">
        <f>$J$1809-EFEITO!$K$1809*EFEITO!$Y$1809</f>
        <v>0</v>
      </c>
      <c r="N1809" s="83">
        <f ca="1">$K$1809-EFEITO!$M$1809*EFEITO!$Z$1809</f>
        <v>-809.30095640009358</v>
      </c>
      <c r="O1809" s="83">
        <f>$L$1809-EFEITO!$O$1809*EFEITO!$AA$1809</f>
        <v>-522.83716684197395</v>
      </c>
      <c r="P1809" s="61"/>
      <c r="Q1809" s="61"/>
      <c r="R1809" s="61"/>
      <c r="S1809" s="61"/>
      <c r="T1809" s="61"/>
      <c r="U1809" s="61"/>
      <c r="V1809" s="61"/>
      <c r="W1809" s="61"/>
      <c r="X1809" s="6"/>
      <c r="Y1809" s="6"/>
      <c r="Z1809" s="6"/>
      <c r="AA1809" s="6"/>
      <c r="AB1809" s="6"/>
      <c r="AC1809" s="6"/>
      <c r="AD1809" s="6"/>
      <c r="AE1809" s="6"/>
      <c r="AF1809" s="6"/>
      <c r="AG1809" s="6"/>
      <c r="AH1809" s="6"/>
      <c r="AI1809" s="6"/>
      <c r="AJ1809" s="6"/>
    </row>
    <row r="1810" spans="1:36" ht="11.25" customHeight="1" x14ac:dyDescent="0.2">
      <c r="A1810" s="57" t="s">
        <v>30</v>
      </c>
      <c r="B1810" s="57" t="s">
        <v>22</v>
      </c>
      <c r="C1810" s="57" t="s">
        <v>23</v>
      </c>
      <c r="D1810" s="57" t="s">
        <v>24</v>
      </c>
      <c r="E1810" s="57" t="s">
        <v>32</v>
      </c>
      <c r="F1810" s="57" t="s">
        <v>25</v>
      </c>
      <c r="G1810" s="57" t="s">
        <v>25</v>
      </c>
      <c r="H1810" s="57" t="s">
        <v>25</v>
      </c>
      <c r="I1810" s="82">
        <v>44197</v>
      </c>
      <c r="J1810" s="83">
        <f>EFEITO!$J$1810*EFEITO!$Y$1666</f>
        <v>0</v>
      </c>
      <c r="K1810" s="83">
        <f ca="1">EFEITO!$L$1810*EFEITO!$Z$1915</f>
        <v>9.2007839517973338</v>
      </c>
      <c r="L1810" s="83">
        <f>EFEITO!$N$1810*EFEITO!$AA$1915</f>
        <v>5.9440332746927469</v>
      </c>
      <c r="M1810" s="83">
        <f>$J$1810-EFEITO!$K$1810*EFEITO!$Y$1810</f>
        <v>0</v>
      </c>
      <c r="N1810" s="83">
        <f ca="1">$K$1810-EFEITO!$M$1810*EFEITO!$Z$1810</f>
        <v>3.6803135807189324</v>
      </c>
      <c r="O1810" s="83">
        <f>$L$1810-EFEITO!$O$1810*EFEITO!$AA$1810</f>
        <v>2.3776133098770984</v>
      </c>
      <c r="P1810" s="61"/>
      <c r="Q1810" s="61"/>
      <c r="R1810" s="61"/>
      <c r="S1810" s="61"/>
      <c r="T1810" s="61"/>
      <c r="U1810" s="61"/>
      <c r="V1810" s="61"/>
      <c r="W1810" s="61"/>
      <c r="X1810" s="6"/>
      <c r="Y1810" s="6"/>
      <c r="Z1810" s="6"/>
      <c r="AA1810" s="6"/>
      <c r="AB1810" s="6"/>
      <c r="AC1810" s="6"/>
      <c r="AD1810" s="6"/>
      <c r="AE1810" s="6"/>
      <c r="AF1810" s="6"/>
      <c r="AG1810" s="6"/>
      <c r="AH1810" s="6"/>
      <c r="AI1810" s="6"/>
      <c r="AJ1810" s="6"/>
    </row>
    <row r="1811" spans="1:36" ht="11.25" customHeight="1" x14ac:dyDescent="0.2">
      <c r="A1811" s="57" t="s">
        <v>30</v>
      </c>
      <c r="B1811" s="57" t="s">
        <v>22</v>
      </c>
      <c r="C1811" s="57" t="s">
        <v>23</v>
      </c>
      <c r="D1811" s="57" t="s">
        <v>24</v>
      </c>
      <c r="E1811" s="57" t="s">
        <v>32</v>
      </c>
      <c r="F1811" s="57" t="s">
        <v>25</v>
      </c>
      <c r="G1811" s="57" t="s">
        <v>25</v>
      </c>
      <c r="H1811" s="57" t="s">
        <v>25</v>
      </c>
      <c r="I1811" s="82">
        <v>44197</v>
      </c>
      <c r="J1811" s="83">
        <f>EFEITO!$J$1811*EFEITO!$Y$1666</f>
        <v>0</v>
      </c>
      <c r="K1811" s="83">
        <f ca="1">EFEITO!$L$1811*EFEITO!$Z$1915</f>
        <v>150.43281761188643</v>
      </c>
      <c r="L1811" s="83">
        <f>EFEITO!$N$1811*EFEITO!$AA$1915</f>
        <v>97.184944041226416</v>
      </c>
      <c r="M1811" s="83">
        <f>$J$1811-EFEITO!$K$1811*EFEITO!$Y$1811</f>
        <v>0</v>
      </c>
      <c r="N1811" s="83">
        <f ca="1">$K$1811-EFEITO!$M$1811*EFEITO!$Z$1811</f>
        <v>60.17312704475458</v>
      </c>
      <c r="O1811" s="83">
        <f>$L$1811-EFEITO!$O$1811*EFEITO!$AA$1811</f>
        <v>38.873977616490563</v>
      </c>
      <c r="P1811" s="61"/>
      <c r="Q1811" s="61"/>
      <c r="R1811" s="61"/>
      <c r="S1811" s="61"/>
      <c r="T1811" s="61"/>
      <c r="U1811" s="61"/>
      <c r="V1811" s="61"/>
      <c r="W1811" s="61"/>
      <c r="X1811" s="6"/>
      <c r="Y1811" s="6"/>
      <c r="Z1811" s="6"/>
      <c r="AA1811" s="6"/>
      <c r="AB1811" s="6"/>
      <c r="AC1811" s="6"/>
      <c r="AD1811" s="6"/>
      <c r="AE1811" s="6"/>
      <c r="AF1811" s="6"/>
      <c r="AG1811" s="6"/>
      <c r="AH1811" s="6"/>
      <c r="AI1811" s="6"/>
      <c r="AJ1811" s="6"/>
    </row>
    <row r="1812" spans="1:36" ht="11.25" customHeight="1" x14ac:dyDescent="0.2">
      <c r="A1812" s="57" t="s">
        <v>21</v>
      </c>
      <c r="B1812" s="57" t="s">
        <v>22</v>
      </c>
      <c r="C1812" s="57" t="s">
        <v>23</v>
      </c>
      <c r="D1812" s="57" t="s">
        <v>24</v>
      </c>
      <c r="E1812" s="57" t="s">
        <v>32</v>
      </c>
      <c r="F1812" s="57" t="s">
        <v>25</v>
      </c>
      <c r="G1812" s="57" t="s">
        <v>25</v>
      </c>
      <c r="H1812" s="57" t="s">
        <v>25</v>
      </c>
      <c r="I1812" s="82">
        <v>44228</v>
      </c>
      <c r="J1812" s="83">
        <f>EFEITO!$J$1812*EFEITO!$Y$1666</f>
        <v>0</v>
      </c>
      <c r="K1812" s="83">
        <f ca="1">EFEITO!$L$1812*EFEITO!$Z$1915</f>
        <v>1669861.7803916379</v>
      </c>
      <c r="L1812" s="83">
        <f>EFEITO!$N$1812*EFEITO!$AA$1915</f>
        <v>1078790.0290655799</v>
      </c>
      <c r="M1812" s="83">
        <f>$J$1812-EFEITO!$K$1812*EFEITO!$Y$1812</f>
        <v>0</v>
      </c>
      <c r="N1812" s="83">
        <f ca="1">$K$1812-EFEITO!$M$1812*EFEITO!$Z$1812</f>
        <v>667944.71215665515</v>
      </c>
      <c r="O1812" s="83">
        <f>$L$1812-EFEITO!$O$1812*EFEITO!$AA$1812</f>
        <v>431516.01162623183</v>
      </c>
      <c r="P1812" s="61"/>
      <c r="Q1812" s="61"/>
      <c r="R1812" s="61"/>
      <c r="S1812" s="61"/>
      <c r="T1812" s="61"/>
      <c r="U1812" s="61"/>
      <c r="V1812" s="61"/>
      <c r="W1812" s="61"/>
      <c r="X1812" s="6"/>
      <c r="Y1812" s="6"/>
      <c r="Z1812" s="6"/>
      <c r="AA1812" s="6"/>
      <c r="AB1812" s="6"/>
      <c r="AC1812" s="6"/>
      <c r="AD1812" s="6"/>
      <c r="AE1812" s="6"/>
      <c r="AF1812" s="6"/>
      <c r="AG1812" s="6"/>
      <c r="AH1812" s="6"/>
      <c r="AI1812" s="6"/>
      <c r="AJ1812" s="6"/>
    </row>
    <row r="1813" spans="1:36" ht="11.25" customHeight="1" x14ac:dyDescent="0.2">
      <c r="A1813" s="57" t="s">
        <v>27</v>
      </c>
      <c r="B1813" s="57" t="s">
        <v>22</v>
      </c>
      <c r="C1813" s="57" t="s">
        <v>23</v>
      </c>
      <c r="D1813" s="57" t="s">
        <v>24</v>
      </c>
      <c r="E1813" s="57" t="s">
        <v>32</v>
      </c>
      <c r="F1813" s="57" t="s">
        <v>25</v>
      </c>
      <c r="G1813" s="57" t="s">
        <v>25</v>
      </c>
      <c r="H1813" s="57" t="s">
        <v>25</v>
      </c>
      <c r="I1813" s="82">
        <v>44228</v>
      </c>
      <c r="J1813" s="83">
        <f>EFEITO!$J$1813*EFEITO!$Y$1666</f>
        <v>0</v>
      </c>
      <c r="K1813" s="83">
        <f ca="1">EFEITO!$L$1813*EFEITO!$Z$1915</f>
        <v>-2704.1104034332366</v>
      </c>
      <c r="L1813" s="83">
        <f>EFEITO!$N$1813*EFEITO!$AA$1915</f>
        <v>-1746.9513794321983</v>
      </c>
      <c r="M1813" s="83">
        <f>$J$1813-EFEITO!$K$1813*EFEITO!$Y$1813</f>
        <v>0</v>
      </c>
      <c r="N1813" s="83">
        <f ca="1">$K$1813-EFEITO!$M$1813*EFEITO!$Z$1813</f>
        <v>-1081.6441613732945</v>
      </c>
      <c r="O1813" s="83">
        <f>$L$1813-EFEITO!$O$1813*EFEITO!$AA$1813</f>
        <v>-698.78055177287933</v>
      </c>
      <c r="P1813" s="61"/>
      <c r="Q1813" s="61"/>
      <c r="R1813" s="61"/>
      <c r="S1813" s="61"/>
      <c r="T1813" s="61"/>
      <c r="U1813" s="61"/>
      <c r="V1813" s="61"/>
      <c r="W1813" s="61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</row>
    <row r="1814" spans="1:36" ht="11.25" customHeight="1" x14ac:dyDescent="0.2">
      <c r="A1814" s="57" t="s">
        <v>28</v>
      </c>
      <c r="B1814" s="57" t="s">
        <v>22</v>
      </c>
      <c r="C1814" s="57" t="s">
        <v>23</v>
      </c>
      <c r="D1814" s="57" t="s">
        <v>24</v>
      </c>
      <c r="E1814" s="57" t="s">
        <v>32</v>
      </c>
      <c r="F1814" s="57" t="s">
        <v>25</v>
      </c>
      <c r="G1814" s="57" t="s">
        <v>25</v>
      </c>
      <c r="H1814" s="57" t="s">
        <v>25</v>
      </c>
      <c r="I1814" s="82">
        <v>44228</v>
      </c>
      <c r="J1814" s="83">
        <f>EFEITO!$J$1814*EFEITO!$Y$1666</f>
        <v>0</v>
      </c>
      <c r="K1814" s="83">
        <f ca="1">EFEITO!$L$1814*EFEITO!$Z$1915</f>
        <v>2707148.0422549224</v>
      </c>
      <c r="L1814" s="83">
        <f>EFEITO!$N$1814*EFEITO!$AA$1915</f>
        <v>1748913.8020178382</v>
      </c>
      <c r="M1814" s="83">
        <f>$J$1814-EFEITO!$K$1814*EFEITO!$Y$1814</f>
        <v>0</v>
      </c>
      <c r="N1814" s="83">
        <f ca="1">$K$1814-EFEITO!$M$1814*EFEITO!$Z$1814</f>
        <v>1082859.2169019689</v>
      </c>
      <c r="O1814" s="83">
        <f>$L$1814-EFEITO!$O$1814*EFEITO!$AA$1814</f>
        <v>699565.52080713538</v>
      </c>
      <c r="P1814" s="61"/>
      <c r="Q1814" s="61"/>
      <c r="R1814" s="61"/>
      <c r="S1814" s="61"/>
      <c r="T1814" s="61"/>
      <c r="U1814" s="61"/>
      <c r="V1814" s="61"/>
      <c r="W1814" s="61"/>
      <c r="X1814" s="6"/>
      <c r="Y1814" s="6"/>
      <c r="Z1814" s="6"/>
      <c r="AA1814" s="6"/>
      <c r="AB1814" s="6"/>
      <c r="AC1814" s="6"/>
      <c r="AD1814" s="6"/>
      <c r="AE1814" s="6"/>
      <c r="AF1814" s="6"/>
      <c r="AG1814" s="6"/>
      <c r="AH1814" s="6"/>
      <c r="AI1814" s="6"/>
      <c r="AJ1814" s="6"/>
    </row>
    <row r="1815" spans="1:36" ht="11.25" customHeight="1" x14ac:dyDescent="0.2">
      <c r="A1815" s="57" t="s">
        <v>29</v>
      </c>
      <c r="B1815" s="57" t="s">
        <v>22</v>
      </c>
      <c r="C1815" s="57" t="s">
        <v>23</v>
      </c>
      <c r="D1815" s="57" t="s">
        <v>24</v>
      </c>
      <c r="E1815" s="57" t="s">
        <v>32</v>
      </c>
      <c r="F1815" s="57" t="s">
        <v>25</v>
      </c>
      <c r="G1815" s="57" t="s">
        <v>25</v>
      </c>
      <c r="H1815" s="57" t="s">
        <v>25</v>
      </c>
      <c r="I1815" s="82">
        <v>44228</v>
      </c>
      <c r="J1815" s="83">
        <f>EFEITO!$J$1815*EFEITO!$Y$1666</f>
        <v>0</v>
      </c>
      <c r="K1815" s="83">
        <f ca="1">EFEITO!$L$1815*EFEITO!$Z$1915</f>
        <v>-7145.788856163399</v>
      </c>
      <c r="L1815" s="83">
        <f>EFEITO!$N$1815*EFEITO!$AA$1915</f>
        <v>-4616.4334427901222</v>
      </c>
      <c r="M1815" s="83">
        <f>$J$1815-EFEITO!$K$1815*EFEITO!$Y$1815</f>
        <v>0</v>
      </c>
      <c r="N1815" s="83">
        <f ca="1">$K$1815-EFEITO!$M$1815*EFEITO!$Z$1815</f>
        <v>-2858.3155424653596</v>
      </c>
      <c r="O1815" s="83">
        <f>$L$1815-EFEITO!$O$1815*EFEITO!$AA$1815</f>
        <v>-1846.573377116049</v>
      </c>
      <c r="P1815" s="61"/>
      <c r="Q1815" s="61"/>
      <c r="R1815" s="61"/>
      <c r="S1815" s="61"/>
      <c r="T1815" s="61"/>
      <c r="U1815" s="61"/>
      <c r="V1815" s="61"/>
      <c r="W1815" s="61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</row>
    <row r="1816" spans="1:36" ht="11.25" customHeight="1" x14ac:dyDescent="0.2">
      <c r="A1816" s="57" t="s">
        <v>30</v>
      </c>
      <c r="B1816" s="57" t="s">
        <v>22</v>
      </c>
      <c r="C1816" s="57" t="s">
        <v>23</v>
      </c>
      <c r="D1816" s="57" t="s">
        <v>24</v>
      </c>
      <c r="E1816" s="57" t="s">
        <v>32</v>
      </c>
      <c r="F1816" s="57" t="s">
        <v>25</v>
      </c>
      <c r="G1816" s="57" t="s">
        <v>25</v>
      </c>
      <c r="H1816" s="57" t="s">
        <v>25</v>
      </c>
      <c r="I1816" s="82">
        <v>44228</v>
      </c>
      <c r="J1816" s="83">
        <f>EFEITO!$J$1816*EFEITO!$Y$1666</f>
        <v>0</v>
      </c>
      <c r="K1816" s="83">
        <f ca="1">EFEITO!$L$1816*EFEITO!$Z$1915</f>
        <v>50.604311734885336</v>
      </c>
      <c r="L1816" s="83">
        <f>EFEITO!$N$1816*EFEITO!$AA$1915</f>
        <v>32.692183010810112</v>
      </c>
      <c r="M1816" s="83">
        <f>$J$1816-EFEITO!$K$1816*EFEITO!$Y$1816</f>
        <v>0</v>
      </c>
      <c r="N1816" s="83">
        <f ca="1">$K$1816-EFEITO!$M$1816*EFEITO!$Z$1816</f>
        <v>20.241724693954129</v>
      </c>
      <c r="O1816" s="83">
        <f>$L$1816-EFEITO!$O$1816*EFEITO!$AA$1816</f>
        <v>13.076873204324045</v>
      </c>
      <c r="P1816" s="61"/>
      <c r="Q1816" s="61"/>
      <c r="R1816" s="61"/>
      <c r="S1816" s="61"/>
      <c r="T1816" s="61"/>
      <c r="U1816" s="61"/>
      <c r="V1816" s="61"/>
      <c r="W1816" s="61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</row>
    <row r="1817" spans="1:36" ht="11.25" customHeight="1" x14ac:dyDescent="0.2">
      <c r="A1817" s="57" t="s">
        <v>21</v>
      </c>
      <c r="B1817" s="57" t="s">
        <v>22</v>
      </c>
      <c r="C1817" s="57" t="s">
        <v>23</v>
      </c>
      <c r="D1817" s="57" t="s">
        <v>24</v>
      </c>
      <c r="E1817" s="57" t="s">
        <v>32</v>
      </c>
      <c r="F1817" s="57" t="s">
        <v>25</v>
      </c>
      <c r="G1817" s="57" t="s">
        <v>25</v>
      </c>
      <c r="H1817" s="57" t="s">
        <v>25</v>
      </c>
      <c r="I1817" s="82">
        <v>44256</v>
      </c>
      <c r="J1817" s="83">
        <f>EFEITO!$J$1817*EFEITO!$Y$1666</f>
        <v>0</v>
      </c>
      <c r="K1817" s="83">
        <f ca="1">EFEITO!$L$1817*EFEITO!$Z$1915</f>
        <v>1679726.4009055574</v>
      </c>
      <c r="L1817" s="83">
        <f>EFEITO!$N$1817*EFEITO!$AA$1915</f>
        <v>1085162.9243410418</v>
      </c>
      <c r="M1817" s="83">
        <f>$J$1817-EFEITO!$K$1817*EFEITO!$Y$1817</f>
        <v>0</v>
      </c>
      <c r="N1817" s="83">
        <f ca="1">$K$1817-EFEITO!$M$1817*EFEITO!$Z$1817</f>
        <v>671890.56036222295</v>
      </c>
      <c r="O1817" s="83">
        <f>$L$1817-EFEITO!$O$1817*EFEITO!$AA$1817</f>
        <v>434065.16973641666</v>
      </c>
      <c r="P1817" s="61"/>
      <c r="Q1817" s="61"/>
      <c r="R1817" s="61"/>
      <c r="S1817" s="61"/>
      <c r="T1817" s="61"/>
      <c r="U1817" s="61"/>
      <c r="V1817" s="61"/>
      <c r="W1817" s="61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</row>
    <row r="1818" spans="1:36" ht="11.25" customHeight="1" x14ac:dyDescent="0.2">
      <c r="A1818" s="57" t="s">
        <v>27</v>
      </c>
      <c r="B1818" s="57" t="s">
        <v>22</v>
      </c>
      <c r="C1818" s="57" t="s">
        <v>23</v>
      </c>
      <c r="D1818" s="57" t="s">
        <v>24</v>
      </c>
      <c r="E1818" s="57" t="s">
        <v>32</v>
      </c>
      <c r="F1818" s="57" t="s">
        <v>25</v>
      </c>
      <c r="G1818" s="57" t="s">
        <v>25</v>
      </c>
      <c r="H1818" s="57" t="s">
        <v>25</v>
      </c>
      <c r="I1818" s="82">
        <v>44256</v>
      </c>
      <c r="J1818" s="83">
        <f>EFEITO!$J$1818*EFEITO!$Y$1666</f>
        <v>0</v>
      </c>
      <c r="K1818" s="83">
        <f ca="1">EFEITO!$L$1818*EFEITO!$Z$1915</f>
        <v>-13173.682462183422</v>
      </c>
      <c r="L1818" s="83">
        <f>EFEITO!$N$1818*EFEITO!$AA$1915</f>
        <v>-8510.6668427050754</v>
      </c>
      <c r="M1818" s="83">
        <f>$J$1818-EFEITO!$K$1818*EFEITO!$Y$1818</f>
        <v>0</v>
      </c>
      <c r="N1818" s="83">
        <f ca="1">$K$1818-EFEITO!$M$1818*EFEITO!$Z$1818</f>
        <v>-5269.4729848733677</v>
      </c>
      <c r="O1818" s="83">
        <f>$L$1818-EFEITO!$O$1818*EFEITO!$AA$1818</f>
        <v>-3404.26673708203</v>
      </c>
      <c r="P1818" s="61"/>
      <c r="Q1818" s="61"/>
      <c r="R1818" s="61"/>
      <c r="S1818" s="61"/>
      <c r="T1818" s="61"/>
      <c r="U1818" s="61"/>
      <c r="V1818" s="61"/>
      <c r="W1818" s="61"/>
      <c r="X1818" s="6"/>
      <c r="Y1818" s="6"/>
      <c r="Z1818" s="6"/>
      <c r="AA1818" s="6"/>
      <c r="AB1818" s="6"/>
      <c r="AC1818" s="6"/>
      <c r="AD1818" s="6"/>
      <c r="AE1818" s="6"/>
      <c r="AF1818" s="6"/>
      <c r="AG1818" s="6"/>
      <c r="AH1818" s="6"/>
      <c r="AI1818" s="6"/>
      <c r="AJ1818" s="6"/>
    </row>
    <row r="1819" spans="1:36" ht="11.25" customHeight="1" x14ac:dyDescent="0.2">
      <c r="A1819" s="57" t="s">
        <v>28</v>
      </c>
      <c r="B1819" s="57" t="s">
        <v>22</v>
      </c>
      <c r="C1819" s="57" t="s">
        <v>23</v>
      </c>
      <c r="D1819" s="57" t="s">
        <v>24</v>
      </c>
      <c r="E1819" s="57" t="s">
        <v>32</v>
      </c>
      <c r="F1819" s="57" t="s">
        <v>25</v>
      </c>
      <c r="G1819" s="57" t="s">
        <v>25</v>
      </c>
      <c r="H1819" s="57" t="s">
        <v>25</v>
      </c>
      <c r="I1819" s="82">
        <v>44256</v>
      </c>
      <c r="J1819" s="83">
        <f>EFEITO!$J$1819*EFEITO!$Y$1666</f>
        <v>0</v>
      </c>
      <c r="K1819" s="83">
        <f ca="1">EFEITO!$L$1819*EFEITO!$Z$1915</f>
        <v>2766268.5996155911</v>
      </c>
      <c r="L1819" s="83">
        <f>EFEITO!$N$1819*EFEITO!$AA$1915</f>
        <v>1787107.7822277038</v>
      </c>
      <c r="M1819" s="83">
        <f>$J$1819-EFEITO!$K$1819*EFEITO!$Y$1819</f>
        <v>0</v>
      </c>
      <c r="N1819" s="83">
        <f ca="1">$K$1819-EFEITO!$M$1819*EFEITO!$Z$1819</f>
        <v>1106507.4398462363</v>
      </c>
      <c r="O1819" s="83">
        <f>$L$1819-EFEITO!$O$1819*EFEITO!$AA$1819</f>
        <v>714843.11289108149</v>
      </c>
      <c r="P1819" s="61"/>
      <c r="Q1819" s="61"/>
      <c r="R1819" s="61"/>
      <c r="S1819" s="61"/>
      <c r="T1819" s="61"/>
      <c r="U1819" s="61"/>
      <c r="V1819" s="61"/>
      <c r="W1819" s="61"/>
      <c r="X1819" s="6"/>
      <c r="Y1819" s="6"/>
      <c r="Z1819" s="6"/>
      <c r="AA1819" s="6"/>
      <c r="AB1819" s="6"/>
      <c r="AC1819" s="6"/>
      <c r="AD1819" s="6"/>
      <c r="AE1819" s="6"/>
      <c r="AF1819" s="6"/>
      <c r="AG1819" s="6"/>
      <c r="AH1819" s="6"/>
      <c r="AI1819" s="6"/>
      <c r="AJ1819" s="6"/>
    </row>
    <row r="1820" spans="1:36" ht="11.25" customHeight="1" x14ac:dyDescent="0.2">
      <c r="A1820" s="57" t="s">
        <v>29</v>
      </c>
      <c r="B1820" s="57" t="s">
        <v>22</v>
      </c>
      <c r="C1820" s="57" t="s">
        <v>23</v>
      </c>
      <c r="D1820" s="57" t="s">
        <v>24</v>
      </c>
      <c r="E1820" s="57" t="s">
        <v>32</v>
      </c>
      <c r="F1820" s="57" t="s">
        <v>25</v>
      </c>
      <c r="G1820" s="57" t="s">
        <v>25</v>
      </c>
      <c r="H1820" s="57" t="s">
        <v>25</v>
      </c>
      <c r="I1820" s="82">
        <v>44256</v>
      </c>
      <c r="J1820" s="83">
        <f>EFEITO!$J$1820*EFEITO!$Y$1666</f>
        <v>0</v>
      </c>
      <c r="K1820" s="83">
        <f ca="1">EFEITO!$L$1820*EFEITO!$Z$1915</f>
        <v>-4708.9612265298756</v>
      </c>
      <c r="L1820" s="83">
        <f>EFEITO!$N$1820*EFEITO!$AA$1915</f>
        <v>-3042.1562299877482</v>
      </c>
      <c r="M1820" s="83">
        <f>$J$1820-EFEITO!$K$1820*EFEITO!$Y$1820</f>
        <v>0</v>
      </c>
      <c r="N1820" s="83">
        <f ca="1">$K$1820-EFEITO!$M$1820*EFEITO!$Z$1820</f>
        <v>-1883.5844906119501</v>
      </c>
      <c r="O1820" s="83">
        <f>$L$1820-EFEITO!$O$1820*EFEITO!$AA$1820</f>
        <v>-1216.8624919950994</v>
      </c>
      <c r="P1820" s="61"/>
      <c r="Q1820" s="61"/>
      <c r="R1820" s="61"/>
      <c r="S1820" s="61"/>
      <c r="T1820" s="61"/>
      <c r="U1820" s="61"/>
      <c r="V1820" s="61"/>
      <c r="W1820" s="61"/>
      <c r="X1820" s="6"/>
      <c r="Y1820" s="6"/>
      <c r="Z1820" s="6"/>
      <c r="AA1820" s="6"/>
      <c r="AB1820" s="6"/>
      <c r="AC1820" s="6"/>
      <c r="AD1820" s="6"/>
      <c r="AE1820" s="6"/>
      <c r="AF1820" s="6"/>
      <c r="AG1820" s="6"/>
      <c r="AH1820" s="6"/>
      <c r="AI1820" s="6"/>
      <c r="AJ1820" s="6"/>
    </row>
    <row r="1821" spans="1:36" ht="11.25" customHeight="1" x14ac:dyDescent="0.2">
      <c r="A1821" s="57" t="s">
        <v>30</v>
      </c>
      <c r="B1821" s="57" t="s">
        <v>22</v>
      </c>
      <c r="C1821" s="57" t="s">
        <v>23</v>
      </c>
      <c r="D1821" s="57" t="s">
        <v>24</v>
      </c>
      <c r="E1821" s="57" t="s">
        <v>32</v>
      </c>
      <c r="F1821" s="57" t="s">
        <v>25</v>
      </c>
      <c r="G1821" s="57" t="s">
        <v>25</v>
      </c>
      <c r="H1821" s="57" t="s">
        <v>25</v>
      </c>
      <c r="I1821" s="82">
        <v>44256</v>
      </c>
      <c r="J1821" s="83">
        <f>EFEITO!$J$1821*EFEITO!$Y$1666</f>
        <v>0</v>
      </c>
      <c r="K1821" s="83">
        <f ca="1">EFEITO!$L$1821*EFEITO!$Z$1915</f>
        <v>142.61215125285869</v>
      </c>
      <c r="L1821" s="83">
        <f>EFEITO!$N$1821*EFEITO!$AA$1915</f>
        <v>92.132515757737579</v>
      </c>
      <c r="M1821" s="83">
        <f>$J$1821-EFEITO!$K$1821*EFEITO!$Y$1821</f>
        <v>0</v>
      </c>
      <c r="N1821" s="83">
        <f ca="1">$K$1821-EFEITO!$M$1821*EFEITO!$Z$1821</f>
        <v>57.044860501143489</v>
      </c>
      <c r="O1821" s="83">
        <f>$L$1821-EFEITO!$O$1821*EFEITO!$AA$1821</f>
        <v>36.853006303095029</v>
      </c>
      <c r="P1821" s="61"/>
      <c r="Q1821" s="61"/>
      <c r="R1821" s="61"/>
      <c r="S1821" s="61"/>
      <c r="T1821" s="61"/>
      <c r="U1821" s="61"/>
      <c r="V1821" s="61"/>
      <c r="W1821" s="61"/>
      <c r="X1821" s="6"/>
      <c r="Y1821" s="6"/>
      <c r="Z1821" s="6"/>
      <c r="AA1821" s="6"/>
      <c r="AB1821" s="6"/>
      <c r="AC1821" s="6"/>
      <c r="AD1821" s="6"/>
      <c r="AE1821" s="6"/>
      <c r="AF1821" s="6"/>
      <c r="AG1821" s="6"/>
      <c r="AH1821" s="6"/>
      <c r="AI1821" s="6"/>
      <c r="AJ1821" s="6"/>
    </row>
    <row r="1822" spans="1:36" ht="11.25" customHeight="1" x14ac:dyDescent="0.2">
      <c r="A1822" s="57" t="s">
        <v>21</v>
      </c>
      <c r="B1822" s="57" t="s">
        <v>22</v>
      </c>
      <c r="C1822" s="57" t="s">
        <v>23</v>
      </c>
      <c r="D1822" s="57" t="s">
        <v>24</v>
      </c>
      <c r="E1822" s="57" t="s">
        <v>32</v>
      </c>
      <c r="F1822" s="57" t="s">
        <v>25</v>
      </c>
      <c r="G1822" s="57" t="s">
        <v>25</v>
      </c>
      <c r="H1822" s="57" t="s">
        <v>25</v>
      </c>
      <c r="I1822" s="82">
        <v>44287</v>
      </c>
      <c r="J1822" s="83">
        <f>EFEITO!$J$1822*EFEITO!$Y$1666</f>
        <v>0</v>
      </c>
      <c r="K1822" s="83">
        <f ca="1">EFEITO!$L$1822*EFEITO!$Z$1915</f>
        <v>1617080.1031345599</v>
      </c>
      <c r="L1822" s="83">
        <f>EFEITO!$N$1822*EFEITO!$AA$1915</f>
        <v>1044691.1905803139</v>
      </c>
      <c r="M1822" s="83">
        <f>$J$1822-EFEITO!$K$1822*EFEITO!$Y$1822</f>
        <v>0</v>
      </c>
      <c r="N1822" s="83">
        <f ca="1">$K$1822-EFEITO!$M$1822*EFEITO!$Z$1822</f>
        <v>646832.04125382402</v>
      </c>
      <c r="O1822" s="83">
        <f>$L$1822-EFEITO!$O$1822*EFEITO!$AA$1822</f>
        <v>417876.47623212554</v>
      </c>
      <c r="P1822" s="61"/>
      <c r="Q1822" s="61"/>
      <c r="R1822" s="61"/>
      <c r="S1822" s="61"/>
      <c r="T1822" s="61"/>
      <c r="U1822" s="61"/>
      <c r="V1822" s="61"/>
      <c r="W1822" s="61"/>
      <c r="X1822" s="6"/>
      <c r="Y1822" s="6"/>
      <c r="Z1822" s="6"/>
      <c r="AA1822" s="6"/>
      <c r="AB1822" s="6"/>
      <c r="AC1822" s="6"/>
      <c r="AD1822" s="6"/>
      <c r="AE1822" s="6"/>
      <c r="AF1822" s="6"/>
      <c r="AG1822" s="6"/>
      <c r="AH1822" s="6"/>
      <c r="AI1822" s="6"/>
      <c r="AJ1822" s="6"/>
    </row>
    <row r="1823" spans="1:36" ht="11.25" customHeight="1" x14ac:dyDescent="0.2">
      <c r="A1823" s="57" t="s">
        <v>27</v>
      </c>
      <c r="B1823" s="57" t="s">
        <v>22</v>
      </c>
      <c r="C1823" s="57" t="s">
        <v>23</v>
      </c>
      <c r="D1823" s="57" t="s">
        <v>24</v>
      </c>
      <c r="E1823" s="57" t="s">
        <v>32</v>
      </c>
      <c r="F1823" s="57" t="s">
        <v>25</v>
      </c>
      <c r="G1823" s="57" t="s">
        <v>25</v>
      </c>
      <c r="H1823" s="57" t="s">
        <v>25</v>
      </c>
      <c r="I1823" s="82">
        <v>44287</v>
      </c>
      <c r="J1823" s="83">
        <f>EFEITO!$J$1823*EFEITO!$Y$1666</f>
        <v>0</v>
      </c>
      <c r="K1823" s="83">
        <f ca="1">EFEITO!$L$1823*EFEITO!$Z$1915</f>
        <v>-2822.8005164114224</v>
      </c>
      <c r="L1823" s="83">
        <f>EFEITO!$N$1823*EFEITO!$AA$1915</f>
        <v>-1823.6294086757348</v>
      </c>
      <c r="M1823" s="83">
        <f>$J$1823-EFEITO!$K$1823*EFEITO!$Y$1823</f>
        <v>0</v>
      </c>
      <c r="N1823" s="83">
        <f ca="1">$K$1823-EFEITO!$M$1823*EFEITO!$Z$1823</f>
        <v>-1129.1202065645691</v>
      </c>
      <c r="O1823" s="83">
        <f>$L$1823-EFEITO!$O$1823*EFEITO!$AA$1823</f>
        <v>-729.45176347029383</v>
      </c>
      <c r="P1823" s="61"/>
      <c r="Q1823" s="61"/>
      <c r="R1823" s="61"/>
      <c r="S1823" s="61"/>
      <c r="T1823" s="61"/>
      <c r="U1823" s="61"/>
      <c r="V1823" s="61"/>
      <c r="W1823" s="61"/>
      <c r="X1823" s="6"/>
      <c r="Y1823" s="6"/>
      <c r="Z1823" s="6"/>
      <c r="AA1823" s="6"/>
      <c r="AB1823" s="6"/>
      <c r="AC1823" s="6"/>
      <c r="AD1823" s="6"/>
      <c r="AE1823" s="6"/>
      <c r="AF1823" s="6"/>
      <c r="AG1823" s="6"/>
      <c r="AH1823" s="6"/>
      <c r="AI1823" s="6"/>
      <c r="AJ1823" s="6"/>
    </row>
    <row r="1824" spans="1:36" ht="11.25" customHeight="1" x14ac:dyDescent="0.2">
      <c r="A1824" s="57" t="s">
        <v>28</v>
      </c>
      <c r="B1824" s="57" t="s">
        <v>22</v>
      </c>
      <c r="C1824" s="57" t="s">
        <v>23</v>
      </c>
      <c r="D1824" s="57" t="s">
        <v>24</v>
      </c>
      <c r="E1824" s="57" t="s">
        <v>32</v>
      </c>
      <c r="F1824" s="57" t="s">
        <v>25</v>
      </c>
      <c r="G1824" s="57" t="s">
        <v>25</v>
      </c>
      <c r="H1824" s="57" t="s">
        <v>25</v>
      </c>
      <c r="I1824" s="82">
        <v>44287</v>
      </c>
      <c r="J1824" s="83">
        <f>EFEITO!$J$1824*EFEITO!$Y$1666</f>
        <v>0</v>
      </c>
      <c r="K1824" s="83">
        <f ca="1">EFEITO!$L$1824*EFEITO!$Z$1915</f>
        <v>2832285.1445481325</v>
      </c>
      <c r="L1824" s="83">
        <f>EFEITO!$N$1824*EFEITO!$AA$1915</f>
        <v>1829756.8153769518</v>
      </c>
      <c r="M1824" s="83">
        <f>$J$1824-EFEITO!$K$1824*EFEITO!$Y$1824</f>
        <v>0</v>
      </c>
      <c r="N1824" s="83">
        <f ca="1">$K$1824-EFEITO!$M$1824*EFEITO!$Z$1824</f>
        <v>1132914.0578192531</v>
      </c>
      <c r="O1824" s="83">
        <f>$L$1824-EFEITO!$O$1824*EFEITO!$AA$1824</f>
        <v>731902.72615078068</v>
      </c>
      <c r="P1824" s="61"/>
      <c r="Q1824" s="61"/>
      <c r="R1824" s="61"/>
      <c r="S1824" s="61"/>
      <c r="T1824" s="61"/>
      <c r="U1824" s="61"/>
      <c r="V1824" s="61"/>
      <c r="W1824" s="61"/>
      <c r="X1824" s="6"/>
      <c r="Y1824" s="6"/>
      <c r="Z1824" s="6"/>
      <c r="AA1824" s="6"/>
      <c r="AB1824" s="6"/>
      <c r="AC1824" s="6"/>
      <c r="AD1824" s="6"/>
      <c r="AE1824" s="6"/>
      <c r="AF1824" s="6"/>
      <c r="AG1824" s="6"/>
      <c r="AH1824" s="6"/>
      <c r="AI1824" s="6"/>
      <c r="AJ1824" s="6"/>
    </row>
    <row r="1825" spans="1:36" ht="11.25" customHeight="1" x14ac:dyDescent="0.2">
      <c r="A1825" s="57" t="s">
        <v>29</v>
      </c>
      <c r="B1825" s="57" t="s">
        <v>22</v>
      </c>
      <c r="C1825" s="57" t="s">
        <v>23</v>
      </c>
      <c r="D1825" s="57" t="s">
        <v>24</v>
      </c>
      <c r="E1825" s="57" t="s">
        <v>32</v>
      </c>
      <c r="F1825" s="57" t="s">
        <v>25</v>
      </c>
      <c r="G1825" s="57" t="s">
        <v>25</v>
      </c>
      <c r="H1825" s="57" t="s">
        <v>25</v>
      </c>
      <c r="I1825" s="82">
        <v>44287</v>
      </c>
      <c r="J1825" s="83">
        <f>EFEITO!$J$1825*EFEITO!$Y$1666</f>
        <v>0</v>
      </c>
      <c r="K1825" s="83">
        <f ca="1">EFEITO!$L$1825*EFEITO!$Z$1915</f>
        <v>-8244.8224992055912</v>
      </c>
      <c r="L1825" s="83">
        <f>EFEITO!$N$1825*EFEITO!$AA$1915</f>
        <v>-5326.4482174521709</v>
      </c>
      <c r="M1825" s="83">
        <f>$J$1825-EFEITO!$K$1825*EFEITO!$Y$1825</f>
        <v>0</v>
      </c>
      <c r="N1825" s="83">
        <f ca="1">$K$1825-EFEITO!$M$1825*EFEITO!$Z$1825</f>
        <v>-3297.9289996822363</v>
      </c>
      <c r="O1825" s="83">
        <f>$L$1825-EFEITO!$O$1825*EFEITO!$AA$1825</f>
        <v>-2130.5792869808683</v>
      </c>
      <c r="P1825" s="61"/>
      <c r="Q1825" s="61"/>
      <c r="R1825" s="61"/>
      <c r="S1825" s="61"/>
      <c r="T1825" s="61"/>
      <c r="U1825" s="61"/>
      <c r="V1825" s="61"/>
      <c r="W1825" s="61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</row>
    <row r="1826" spans="1:36" ht="11.25" customHeight="1" x14ac:dyDescent="0.2">
      <c r="A1826" s="57" t="s">
        <v>30</v>
      </c>
      <c r="B1826" s="57" t="s">
        <v>22</v>
      </c>
      <c r="C1826" s="57" t="s">
        <v>23</v>
      </c>
      <c r="D1826" s="57" t="s">
        <v>24</v>
      </c>
      <c r="E1826" s="57" t="s">
        <v>32</v>
      </c>
      <c r="F1826" s="57" t="s">
        <v>25</v>
      </c>
      <c r="G1826" s="57" t="s">
        <v>25</v>
      </c>
      <c r="H1826" s="57" t="s">
        <v>25</v>
      </c>
      <c r="I1826" s="82">
        <v>44287</v>
      </c>
      <c r="J1826" s="83">
        <f>EFEITO!$J$1826*EFEITO!$Y$1666</f>
        <v>0</v>
      </c>
      <c r="K1826" s="83">
        <f ca="1">EFEITO!$L$1826*EFEITO!$Z$1915</f>
        <v>142.61215125285869</v>
      </c>
      <c r="L1826" s="83">
        <f>EFEITO!$N$1826*EFEITO!$AA$1915</f>
        <v>92.132515757737579</v>
      </c>
      <c r="M1826" s="83">
        <f>$J$1826-EFEITO!$K$1826*EFEITO!$Y$1826</f>
        <v>0</v>
      </c>
      <c r="N1826" s="83">
        <f ca="1">$K$1826-EFEITO!$M$1826*EFEITO!$Z$1826</f>
        <v>57.044860501143489</v>
      </c>
      <c r="O1826" s="83">
        <f>$L$1826-EFEITO!$O$1826*EFEITO!$AA$1826</f>
        <v>36.853006303095029</v>
      </c>
      <c r="P1826" s="61"/>
      <c r="Q1826" s="61"/>
      <c r="R1826" s="61"/>
      <c r="S1826" s="61"/>
      <c r="T1826" s="61"/>
      <c r="U1826" s="61"/>
      <c r="V1826" s="61"/>
      <c r="W1826" s="61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</row>
    <row r="1827" spans="1:36" ht="11.25" customHeight="1" x14ac:dyDescent="0.2">
      <c r="A1827" s="57" t="s">
        <v>21</v>
      </c>
      <c r="B1827" s="57" t="s">
        <v>22</v>
      </c>
      <c r="C1827" s="57" t="s">
        <v>23</v>
      </c>
      <c r="D1827" s="57" t="s">
        <v>24</v>
      </c>
      <c r="E1827" s="57" t="s">
        <v>32</v>
      </c>
      <c r="F1827" s="57" t="s">
        <v>25</v>
      </c>
      <c r="G1827" s="57" t="s">
        <v>25</v>
      </c>
      <c r="H1827" s="57" t="s">
        <v>25</v>
      </c>
      <c r="I1827" s="82">
        <v>44317</v>
      </c>
      <c r="J1827" s="83">
        <f>EFEITO!$J$1827*EFEITO!$Y$1666</f>
        <v>0</v>
      </c>
      <c r="K1827" s="83">
        <f ca="1">EFEITO!$L$1827*EFEITO!$Z$1915</f>
        <v>1620608.1437408763</v>
      </c>
      <c r="L1827" s="83">
        <f>EFEITO!$N$1827*EFEITO!$AA$1915</f>
        <v>1046970.4301394948</v>
      </c>
      <c r="M1827" s="83">
        <f>$J$1827-EFEITO!$K$1827*EFEITO!$Y$1827</f>
        <v>0</v>
      </c>
      <c r="N1827" s="83">
        <f ca="1">$K$1827-EFEITO!$M$1827*EFEITO!$Z$1827</f>
        <v>648243.25749635044</v>
      </c>
      <c r="O1827" s="83">
        <f>$L$1827-EFEITO!$O$1827*EFEITO!$AA$1827</f>
        <v>418788.17205579788</v>
      </c>
      <c r="P1827" s="61"/>
      <c r="Q1827" s="61"/>
      <c r="R1827" s="61"/>
      <c r="S1827" s="61"/>
      <c r="T1827" s="61"/>
      <c r="U1827" s="61"/>
      <c r="V1827" s="61"/>
      <c r="W1827" s="61"/>
      <c r="X1827" s="6"/>
      <c r="Y1827" s="6"/>
      <c r="Z1827" s="6"/>
      <c r="AA1827" s="6"/>
      <c r="AB1827" s="6"/>
      <c r="AC1827" s="6"/>
      <c r="AD1827" s="6"/>
      <c r="AE1827" s="6"/>
      <c r="AF1827" s="6"/>
      <c r="AG1827" s="6"/>
      <c r="AH1827" s="6"/>
      <c r="AI1827" s="6"/>
      <c r="AJ1827" s="6"/>
    </row>
    <row r="1828" spans="1:36" ht="11.25" customHeight="1" x14ac:dyDescent="0.2">
      <c r="A1828" s="57" t="s">
        <v>27</v>
      </c>
      <c r="B1828" s="57" t="s">
        <v>22</v>
      </c>
      <c r="C1828" s="57" t="s">
        <v>23</v>
      </c>
      <c r="D1828" s="57" t="s">
        <v>24</v>
      </c>
      <c r="E1828" s="57" t="s">
        <v>32</v>
      </c>
      <c r="F1828" s="57" t="s">
        <v>25</v>
      </c>
      <c r="G1828" s="57" t="s">
        <v>25</v>
      </c>
      <c r="H1828" s="57" t="s">
        <v>25</v>
      </c>
      <c r="I1828" s="82">
        <v>44317</v>
      </c>
      <c r="J1828" s="83">
        <f>EFEITO!$J$1828*EFEITO!$Y$1666</f>
        <v>0</v>
      </c>
      <c r="K1828" s="83">
        <f ca="1">EFEITO!$L$1828*EFEITO!$Z$1915</f>
        <v>-2537.1161747081146</v>
      </c>
      <c r="L1828" s="83">
        <f>EFEITO!$N$1828*EFEITO!$AA$1915</f>
        <v>-1639.0671754965249</v>
      </c>
      <c r="M1828" s="83">
        <f>$J$1828-EFEITO!$K$1828*EFEITO!$Y$1828</f>
        <v>0</v>
      </c>
      <c r="N1828" s="83">
        <f ca="1">$K$1828-EFEITO!$M$1828*EFEITO!$Z$1828</f>
        <v>-1014.8464698832456</v>
      </c>
      <c r="O1828" s="83">
        <f>$L$1828-EFEITO!$O$1828*EFEITO!$AA$1828</f>
        <v>-655.62687019860994</v>
      </c>
      <c r="P1828" s="61"/>
      <c r="Q1828" s="61"/>
      <c r="R1828" s="61"/>
      <c r="S1828" s="61"/>
      <c r="T1828" s="61"/>
      <c r="U1828" s="61"/>
      <c r="V1828" s="61"/>
      <c r="W1828" s="61"/>
      <c r="X1828" s="6"/>
      <c r="Y1828" s="6"/>
      <c r="Z1828" s="6"/>
      <c r="AA1828" s="6"/>
      <c r="AB1828" s="6"/>
      <c r="AC1828" s="6"/>
      <c r="AD1828" s="6"/>
      <c r="AE1828" s="6"/>
      <c r="AF1828" s="6"/>
      <c r="AG1828" s="6"/>
      <c r="AH1828" s="6"/>
      <c r="AI1828" s="6"/>
      <c r="AJ1828" s="6"/>
    </row>
    <row r="1829" spans="1:36" ht="11.25" customHeight="1" x14ac:dyDescent="0.2">
      <c r="A1829" s="57" t="s">
        <v>28</v>
      </c>
      <c r="B1829" s="57" t="s">
        <v>22</v>
      </c>
      <c r="C1829" s="57" t="s">
        <v>23</v>
      </c>
      <c r="D1829" s="57" t="s">
        <v>24</v>
      </c>
      <c r="E1829" s="57" t="s">
        <v>32</v>
      </c>
      <c r="F1829" s="57" t="s">
        <v>25</v>
      </c>
      <c r="G1829" s="57" t="s">
        <v>25</v>
      </c>
      <c r="H1829" s="57" t="s">
        <v>25</v>
      </c>
      <c r="I1829" s="82">
        <v>44317</v>
      </c>
      <c r="J1829" s="83">
        <f>EFEITO!$J$1829*EFEITO!$Y$1666</f>
        <v>0</v>
      </c>
      <c r="K1829" s="83">
        <f ca="1">EFEITO!$L$1829*EFEITO!$Z$1915</f>
        <v>2831715.6160215163</v>
      </c>
      <c r="L1829" s="83">
        <f>EFEITO!$N$1829*EFEITO!$AA$1915</f>
        <v>1829388.8797172483</v>
      </c>
      <c r="M1829" s="83">
        <f>$J$1829-EFEITO!$K$1829*EFEITO!$Y$1829</f>
        <v>0</v>
      </c>
      <c r="N1829" s="83">
        <f ca="1">$K$1829-EFEITO!$M$1829*EFEITO!$Z$1829</f>
        <v>1132686.2464086064</v>
      </c>
      <c r="O1829" s="83">
        <f>$L$1829-EFEITO!$O$1829*EFEITO!$AA$1829</f>
        <v>731755.55188689916</v>
      </c>
      <c r="P1829" s="61"/>
      <c r="Q1829" s="61"/>
      <c r="R1829" s="61"/>
      <c r="S1829" s="61"/>
      <c r="T1829" s="61"/>
      <c r="U1829" s="61"/>
      <c r="V1829" s="61"/>
      <c r="W1829" s="61"/>
      <c r="X1829" s="6"/>
      <c r="Y1829" s="6"/>
      <c r="Z1829" s="6"/>
      <c r="AA1829" s="6"/>
      <c r="AB1829" s="6"/>
      <c r="AC1829" s="6"/>
      <c r="AD1829" s="6"/>
      <c r="AE1829" s="6"/>
      <c r="AF1829" s="6"/>
      <c r="AG1829" s="6"/>
      <c r="AH1829" s="6"/>
      <c r="AI1829" s="6"/>
      <c r="AJ1829" s="6"/>
    </row>
    <row r="1830" spans="1:36" ht="11.25" customHeight="1" x14ac:dyDescent="0.2">
      <c r="A1830" s="57" t="s">
        <v>29</v>
      </c>
      <c r="B1830" s="57" t="s">
        <v>22</v>
      </c>
      <c r="C1830" s="57" t="s">
        <v>23</v>
      </c>
      <c r="D1830" s="57" t="s">
        <v>24</v>
      </c>
      <c r="E1830" s="57" t="s">
        <v>32</v>
      </c>
      <c r="F1830" s="57" t="s">
        <v>25</v>
      </c>
      <c r="G1830" s="57" t="s">
        <v>25</v>
      </c>
      <c r="H1830" s="57" t="s">
        <v>25</v>
      </c>
      <c r="I1830" s="82">
        <v>44317</v>
      </c>
      <c r="J1830" s="83">
        <f>EFEITO!$J$1830*EFEITO!$Y$1666</f>
        <v>0</v>
      </c>
      <c r="K1830" s="83">
        <f ca="1">EFEITO!$L$1830*EFEITO!$Z$1915</f>
        <v>-6450.2095894075219</v>
      </c>
      <c r="L1830" s="83">
        <f>EFEITO!$N$1830*EFEITO!$AA$1915</f>
        <v>-4167.0645272233505</v>
      </c>
      <c r="M1830" s="83">
        <f>$J$1830-EFEITO!$K$1830*EFEITO!$Y$1830</f>
        <v>0</v>
      </c>
      <c r="N1830" s="83">
        <f ca="1">$K$1830-EFEITO!$M$1830*EFEITO!$Z$1830</f>
        <v>-2580.0838357630087</v>
      </c>
      <c r="O1830" s="83">
        <f>$L$1830-EFEITO!$O$1830*EFEITO!$AA$1830</f>
        <v>-1666.8258108893401</v>
      </c>
      <c r="P1830" s="61"/>
      <c r="Q1830" s="61"/>
      <c r="R1830" s="61"/>
      <c r="S1830" s="61"/>
      <c r="T1830" s="61"/>
      <c r="U1830" s="61"/>
      <c r="V1830" s="61"/>
      <c r="W1830" s="61"/>
      <c r="X1830" s="6"/>
      <c r="Y1830" s="6"/>
      <c r="Z1830" s="6"/>
      <c r="AA1830" s="6"/>
      <c r="AB1830" s="6"/>
      <c r="AC1830" s="6"/>
      <c r="AD1830" s="6"/>
      <c r="AE1830" s="6"/>
      <c r="AF1830" s="6"/>
      <c r="AG1830" s="6"/>
      <c r="AH1830" s="6"/>
      <c r="AI1830" s="6"/>
      <c r="AJ1830" s="6"/>
    </row>
    <row r="1831" spans="1:36" ht="11.25" customHeight="1" x14ac:dyDescent="0.2">
      <c r="A1831" s="57" t="s">
        <v>30</v>
      </c>
      <c r="B1831" s="57" t="s">
        <v>22</v>
      </c>
      <c r="C1831" s="57" t="s">
        <v>23</v>
      </c>
      <c r="D1831" s="57" t="s">
        <v>24</v>
      </c>
      <c r="E1831" s="57" t="s">
        <v>32</v>
      </c>
      <c r="F1831" s="57" t="s">
        <v>25</v>
      </c>
      <c r="G1831" s="57" t="s">
        <v>25</v>
      </c>
      <c r="H1831" s="57" t="s">
        <v>25</v>
      </c>
      <c r="I1831" s="82">
        <v>44317</v>
      </c>
      <c r="J1831" s="83">
        <f>EFEITO!$J$1831*EFEITO!$Y$1666</f>
        <v>0</v>
      </c>
      <c r="K1831" s="83">
        <f ca="1">EFEITO!$L$1831*EFEITO!$Z$1915</f>
        <v>142.61215125285869</v>
      </c>
      <c r="L1831" s="83">
        <f>EFEITO!$N$1831*EFEITO!$AA$1915</f>
        <v>92.132515757737579</v>
      </c>
      <c r="M1831" s="83">
        <f>$J$1831-EFEITO!$K$1831*EFEITO!$Y$1831</f>
        <v>0</v>
      </c>
      <c r="N1831" s="83">
        <f ca="1">$K$1831-EFEITO!$M$1831*EFEITO!$Z$1831</f>
        <v>57.044860501143489</v>
      </c>
      <c r="O1831" s="83">
        <f>$L$1831-EFEITO!$O$1831*EFEITO!$AA$1831</f>
        <v>36.853006303095029</v>
      </c>
      <c r="P1831" s="61"/>
      <c r="Q1831" s="61"/>
      <c r="R1831" s="61"/>
      <c r="S1831" s="61"/>
      <c r="T1831" s="61"/>
      <c r="U1831" s="61"/>
      <c r="V1831" s="61"/>
      <c r="W1831" s="61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</row>
    <row r="1832" spans="1:36" ht="11.25" customHeight="1" x14ac:dyDescent="0.2">
      <c r="A1832" s="57" t="s">
        <v>30</v>
      </c>
      <c r="B1832" s="57" t="s">
        <v>22</v>
      </c>
      <c r="C1832" s="57" t="s">
        <v>23</v>
      </c>
      <c r="D1832" s="57" t="s">
        <v>24</v>
      </c>
      <c r="E1832" s="57" t="s">
        <v>32</v>
      </c>
      <c r="F1832" s="57" t="s">
        <v>25</v>
      </c>
      <c r="G1832" s="57" t="s">
        <v>25</v>
      </c>
      <c r="H1832" s="57" t="s">
        <v>25</v>
      </c>
      <c r="I1832" s="82">
        <v>44317</v>
      </c>
      <c r="J1832" s="83">
        <f>EFEITO!$J$1832*EFEITO!$Y$1666</f>
        <v>0</v>
      </c>
      <c r="K1832" s="83">
        <f ca="1">EFEITO!$L$1832*EFEITO!$Z$1915</f>
        <v>-23.001959879493338</v>
      </c>
      <c r="L1832" s="83">
        <f>EFEITO!$N$1832*EFEITO!$AA$1915</f>
        <v>-14.860083186731869</v>
      </c>
      <c r="M1832" s="83">
        <f>$J$1832-EFEITO!$K$1832*EFEITO!$Y$1832</f>
        <v>0</v>
      </c>
      <c r="N1832" s="83">
        <f ca="1">$K$1832-EFEITO!$M$1832*EFEITO!$Z$1832</f>
        <v>-9.2007839517973355</v>
      </c>
      <c r="O1832" s="83">
        <f>$L$1832-EFEITO!$O$1832*EFEITO!$AA$1832</f>
        <v>-5.9440332746927478</v>
      </c>
      <c r="P1832" s="61"/>
      <c r="Q1832" s="61"/>
      <c r="R1832" s="61"/>
      <c r="S1832" s="61"/>
      <c r="T1832" s="61"/>
      <c r="U1832" s="61"/>
      <c r="V1832" s="61"/>
      <c r="W1832" s="61"/>
      <c r="X1832" s="6"/>
      <c r="Y1832" s="6"/>
      <c r="Z1832" s="6"/>
      <c r="AA1832" s="6"/>
      <c r="AB1832" s="6"/>
      <c r="AC1832" s="6"/>
      <c r="AD1832" s="6"/>
      <c r="AE1832" s="6"/>
      <c r="AF1832" s="6"/>
      <c r="AG1832" s="6"/>
      <c r="AH1832" s="6"/>
      <c r="AI1832" s="6"/>
      <c r="AJ1832" s="6"/>
    </row>
    <row r="1833" spans="1:36" ht="11.25" customHeight="1" x14ac:dyDescent="0.2">
      <c r="A1833" s="57" t="s">
        <v>21</v>
      </c>
      <c r="B1833" s="57" t="s">
        <v>22</v>
      </c>
      <c r="C1833" s="57" t="s">
        <v>23</v>
      </c>
      <c r="D1833" s="57" t="s">
        <v>24</v>
      </c>
      <c r="E1833" s="57" t="s">
        <v>32</v>
      </c>
      <c r="F1833" s="57" t="s">
        <v>25</v>
      </c>
      <c r="G1833" s="57" t="s">
        <v>25</v>
      </c>
      <c r="H1833" s="57" t="s">
        <v>25</v>
      </c>
      <c r="I1833" s="82">
        <v>44348</v>
      </c>
      <c r="J1833" s="83">
        <f>EFEITO!$J$1833*EFEITO!$Y$1666</f>
        <v>0</v>
      </c>
      <c r="K1833" s="83">
        <f ca="1">EFEITO!$L$1833*EFEITO!$Z$1915</f>
        <v>1676950.9844264979</v>
      </c>
      <c r="L1833" s="83">
        <f>EFEITO!$N$1833*EFEITO!$AA$1915</f>
        <v>1083369.9067037308</v>
      </c>
      <c r="M1833" s="83">
        <f>$J$1833-EFEITO!$K$1833*EFEITO!$Y$1833</f>
        <v>0</v>
      </c>
      <c r="N1833" s="83">
        <f ca="1">$K$1833-EFEITO!$M$1833*EFEITO!$Z$1833</f>
        <v>670780.39377059916</v>
      </c>
      <c r="O1833" s="83">
        <f>$L$1833-EFEITO!$O$1833*EFEITO!$AA$1833</f>
        <v>433347.96268149232</v>
      </c>
      <c r="P1833" s="61"/>
      <c r="Q1833" s="61"/>
      <c r="R1833" s="61"/>
      <c r="S1833" s="61"/>
      <c r="T1833" s="61"/>
      <c r="U1833" s="61"/>
      <c r="V1833" s="61"/>
      <c r="W1833" s="61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</row>
    <row r="1834" spans="1:36" ht="11.25" customHeight="1" x14ac:dyDescent="0.2">
      <c r="A1834" s="57" t="s">
        <v>27</v>
      </c>
      <c r="B1834" s="57" t="s">
        <v>22</v>
      </c>
      <c r="C1834" s="57" t="s">
        <v>23</v>
      </c>
      <c r="D1834" s="57" t="s">
        <v>24</v>
      </c>
      <c r="E1834" s="57" t="s">
        <v>32</v>
      </c>
      <c r="F1834" s="57" t="s">
        <v>25</v>
      </c>
      <c r="G1834" s="57" t="s">
        <v>25</v>
      </c>
      <c r="H1834" s="57" t="s">
        <v>25</v>
      </c>
      <c r="I1834" s="82">
        <v>44348</v>
      </c>
      <c r="J1834" s="83">
        <f>EFEITO!$J$1834*EFEITO!$Y$1666</f>
        <v>0</v>
      </c>
      <c r="K1834" s="83">
        <f ca="1">EFEITO!$L$1834*EFEITO!$Z$1915</f>
        <v>-3378.987906297571</v>
      </c>
      <c r="L1834" s="83">
        <f>EFEITO!$N$1834*EFEITO!$AA$1915</f>
        <v>-2182.9462201309111</v>
      </c>
      <c r="M1834" s="83">
        <f>$J$1834-EFEITO!$K$1834*EFEITO!$Y$1834</f>
        <v>0</v>
      </c>
      <c r="N1834" s="83">
        <f ca="1">$K$1834-EFEITO!$M$1834*EFEITO!$Z$1834</f>
        <v>-1351.5951625190285</v>
      </c>
      <c r="O1834" s="83">
        <f>$L$1834-EFEITO!$O$1834*EFEITO!$AA$1834</f>
        <v>-873.1784880523644</v>
      </c>
      <c r="P1834" s="61"/>
      <c r="Q1834" s="61"/>
      <c r="R1834" s="61"/>
      <c r="S1834" s="61"/>
      <c r="T1834" s="61"/>
      <c r="U1834" s="61"/>
      <c r="V1834" s="61"/>
      <c r="W1834" s="61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</row>
    <row r="1835" spans="1:36" ht="11.25" customHeight="1" x14ac:dyDescent="0.2">
      <c r="A1835" s="57" t="s">
        <v>28</v>
      </c>
      <c r="B1835" s="57" t="s">
        <v>22</v>
      </c>
      <c r="C1835" s="57" t="s">
        <v>23</v>
      </c>
      <c r="D1835" s="57" t="s">
        <v>24</v>
      </c>
      <c r="E1835" s="57" t="s">
        <v>32</v>
      </c>
      <c r="F1835" s="57" t="s">
        <v>25</v>
      </c>
      <c r="G1835" s="57" t="s">
        <v>25</v>
      </c>
      <c r="H1835" s="57" t="s">
        <v>25</v>
      </c>
      <c r="I1835" s="82">
        <v>44348</v>
      </c>
      <c r="J1835" s="83">
        <f>EFEITO!$J$1835*EFEITO!$Y$1666</f>
        <v>0</v>
      </c>
      <c r="K1835" s="83">
        <f ca="1">EFEITO!$L$1835*EFEITO!$Z$1915</f>
        <v>2889599.5880190637</v>
      </c>
      <c r="L1835" s="83">
        <f>EFEITO!$N$1835*EFEITO!$AA$1915</f>
        <v>1866783.9818549955</v>
      </c>
      <c r="M1835" s="83">
        <f>$J$1835-EFEITO!$K$1835*EFEITO!$Y$1835</f>
        <v>0</v>
      </c>
      <c r="N1835" s="83">
        <f ca="1">$K$1835-EFEITO!$M$1835*EFEITO!$Z$1835</f>
        <v>1155839.8352076253</v>
      </c>
      <c r="O1835" s="83">
        <f>$L$1835-EFEITO!$O$1835*EFEITO!$AA$1835</f>
        <v>746713.59274199815</v>
      </c>
      <c r="P1835" s="61"/>
      <c r="Q1835" s="61"/>
      <c r="R1835" s="61"/>
      <c r="S1835" s="61"/>
      <c r="T1835" s="61"/>
      <c r="U1835" s="61"/>
      <c r="V1835" s="61"/>
      <c r="W1835" s="61"/>
      <c r="X1835" s="6"/>
      <c r="Y1835" s="6"/>
      <c r="Z1835" s="6"/>
      <c r="AA1835" s="6"/>
      <c r="AB1835" s="6"/>
      <c r="AC1835" s="6"/>
      <c r="AD1835" s="6"/>
      <c r="AE1835" s="6"/>
      <c r="AF1835" s="6"/>
      <c r="AG1835" s="6"/>
      <c r="AH1835" s="6"/>
      <c r="AI1835" s="6"/>
      <c r="AJ1835" s="6"/>
    </row>
    <row r="1836" spans="1:36" ht="11.25" customHeight="1" x14ac:dyDescent="0.2">
      <c r="A1836" s="57" t="s">
        <v>29</v>
      </c>
      <c r="B1836" s="57" t="s">
        <v>22</v>
      </c>
      <c r="C1836" s="57" t="s">
        <v>23</v>
      </c>
      <c r="D1836" s="57" t="s">
        <v>24</v>
      </c>
      <c r="E1836" s="57" t="s">
        <v>32</v>
      </c>
      <c r="F1836" s="57" t="s">
        <v>25</v>
      </c>
      <c r="G1836" s="57" t="s">
        <v>25</v>
      </c>
      <c r="H1836" s="57" t="s">
        <v>25</v>
      </c>
      <c r="I1836" s="82">
        <v>44348</v>
      </c>
      <c r="J1836" s="83">
        <f>EFEITO!$J$1836*EFEITO!$Y$1666</f>
        <v>0</v>
      </c>
      <c r="K1836" s="83">
        <f ca="1">EFEITO!$L$1836*EFEITO!$Z$1915</f>
        <v>-5009.8268617536487</v>
      </c>
      <c r="L1836" s="83">
        <f>EFEITO!$N$1836*EFEITO!$AA$1915</f>
        <v>-3236.5261180702009</v>
      </c>
      <c r="M1836" s="83">
        <f>$J$1836-EFEITO!$K$1836*EFEITO!$Y$1836</f>
        <v>0</v>
      </c>
      <c r="N1836" s="83">
        <f ca="1">$K$1836-EFEITO!$M$1836*EFEITO!$Z$1836</f>
        <v>-2003.9307447014594</v>
      </c>
      <c r="O1836" s="83">
        <f>$L$1836-EFEITO!$O$1836*EFEITO!$AA$1836</f>
        <v>-1294.6104472280804</v>
      </c>
      <c r="P1836" s="61"/>
      <c r="Q1836" s="61"/>
      <c r="R1836" s="61"/>
      <c r="S1836" s="61"/>
      <c r="T1836" s="61"/>
      <c r="U1836" s="61"/>
      <c r="V1836" s="61"/>
      <c r="W1836" s="61"/>
      <c r="X1836" s="6"/>
      <c r="Y1836" s="6"/>
      <c r="Z1836" s="6"/>
      <c r="AA1836" s="6"/>
      <c r="AB1836" s="6"/>
      <c r="AC1836" s="6"/>
      <c r="AD1836" s="6"/>
      <c r="AE1836" s="6"/>
      <c r="AF1836" s="6"/>
      <c r="AG1836" s="6"/>
      <c r="AH1836" s="6"/>
      <c r="AI1836" s="6"/>
      <c r="AJ1836" s="6"/>
    </row>
    <row r="1837" spans="1:36" ht="11.25" customHeight="1" x14ac:dyDescent="0.2">
      <c r="A1837" s="57" t="s">
        <v>30</v>
      </c>
      <c r="B1837" s="57" t="s">
        <v>22</v>
      </c>
      <c r="C1837" s="57" t="s">
        <v>23</v>
      </c>
      <c r="D1837" s="57" t="s">
        <v>24</v>
      </c>
      <c r="E1837" s="57" t="s">
        <v>32</v>
      </c>
      <c r="F1837" s="57" t="s">
        <v>25</v>
      </c>
      <c r="G1837" s="57" t="s">
        <v>25</v>
      </c>
      <c r="H1837" s="57" t="s">
        <v>25</v>
      </c>
      <c r="I1837" s="82">
        <v>44348</v>
      </c>
      <c r="J1837" s="83">
        <f>EFEITO!$J$1837*EFEITO!$Y$1666</f>
        <v>0</v>
      </c>
      <c r="K1837" s="83">
        <f ca="1">EFEITO!$L$1837*EFEITO!$Z$1915</f>
        <v>184.0156790359467</v>
      </c>
      <c r="L1837" s="83">
        <f>EFEITO!$N$1837*EFEITO!$AA$1915</f>
        <v>118.88066549385495</v>
      </c>
      <c r="M1837" s="83">
        <f>$J$1837-EFEITO!$K$1837*EFEITO!$Y$1837</f>
        <v>0</v>
      </c>
      <c r="N1837" s="83">
        <f ca="1">$K$1837-EFEITO!$M$1837*EFEITO!$Z$1837</f>
        <v>73.606271614378684</v>
      </c>
      <c r="O1837" s="83">
        <f>$L$1837-EFEITO!$O$1837*EFEITO!$AA$1837</f>
        <v>47.552266197541982</v>
      </c>
      <c r="P1837" s="61"/>
      <c r="Q1837" s="61"/>
      <c r="R1837" s="61"/>
      <c r="S1837" s="61"/>
      <c r="T1837" s="61"/>
      <c r="U1837" s="61"/>
      <c r="V1837" s="61"/>
      <c r="W1837" s="61"/>
      <c r="X1837" s="6"/>
      <c r="Y1837" s="6"/>
      <c r="Z1837" s="6"/>
      <c r="AA1837" s="6"/>
      <c r="AB1837" s="6"/>
      <c r="AC1837" s="6"/>
      <c r="AD1837" s="6"/>
      <c r="AE1837" s="6"/>
      <c r="AF1837" s="6"/>
      <c r="AG1837" s="6"/>
      <c r="AH1837" s="6"/>
      <c r="AI1837" s="6"/>
      <c r="AJ1837" s="6"/>
    </row>
    <row r="1838" spans="1:36" ht="11.25" customHeight="1" x14ac:dyDescent="0.2">
      <c r="A1838" s="57" t="s">
        <v>21</v>
      </c>
      <c r="B1838" s="57" t="s">
        <v>22</v>
      </c>
      <c r="C1838" s="57" t="s">
        <v>23</v>
      </c>
      <c r="D1838" s="57" t="s">
        <v>24</v>
      </c>
      <c r="E1838" s="57" t="s">
        <v>32</v>
      </c>
      <c r="F1838" s="57" t="s">
        <v>25</v>
      </c>
      <c r="G1838" s="57" t="s">
        <v>25</v>
      </c>
      <c r="H1838" s="57" t="s">
        <v>25</v>
      </c>
      <c r="I1838" s="82">
        <v>44378</v>
      </c>
      <c r="J1838" s="83">
        <f>EFEITO!$J$1838*EFEITO!$Y$1666</f>
        <v>0</v>
      </c>
      <c r="K1838" s="83">
        <f ca="1">EFEITO!$L$1838*EFEITO!$Z$1915</f>
        <v>1636458.7942938353</v>
      </c>
      <c r="L1838" s="83">
        <f>EFEITO!$N$1838*EFEITO!$AA$1915</f>
        <v>1057210.5134634718</v>
      </c>
      <c r="M1838" s="83">
        <f>$J$1838-EFEITO!$K$1838*EFEITO!$Y$1838</f>
        <v>0</v>
      </c>
      <c r="N1838" s="83">
        <f ca="1">$K$1838-EFEITO!$M$1838*EFEITO!$Z$1838</f>
        <v>654583.51771753409</v>
      </c>
      <c r="O1838" s="83">
        <f>$L$1838-EFEITO!$O$1838*EFEITO!$AA$1838</f>
        <v>422884.20538538869</v>
      </c>
      <c r="P1838" s="61"/>
      <c r="Q1838" s="61"/>
      <c r="R1838" s="61"/>
      <c r="S1838" s="61"/>
      <c r="T1838" s="61"/>
      <c r="U1838" s="61"/>
      <c r="V1838" s="61"/>
      <c r="W1838" s="61"/>
      <c r="X1838" s="6"/>
      <c r="Y1838" s="6"/>
      <c r="Z1838" s="6"/>
      <c r="AA1838" s="6"/>
      <c r="AB1838" s="6"/>
      <c r="AC1838" s="6"/>
      <c r="AD1838" s="6"/>
      <c r="AE1838" s="6"/>
      <c r="AF1838" s="6"/>
      <c r="AG1838" s="6"/>
      <c r="AH1838" s="6"/>
      <c r="AI1838" s="6"/>
      <c r="AJ1838" s="6"/>
    </row>
    <row r="1839" spans="1:36" ht="11.25" customHeight="1" x14ac:dyDescent="0.2">
      <c r="A1839" s="57" t="s">
        <v>27</v>
      </c>
      <c r="B1839" s="57" t="s">
        <v>22</v>
      </c>
      <c r="C1839" s="57" t="s">
        <v>23</v>
      </c>
      <c r="D1839" s="57" t="s">
        <v>24</v>
      </c>
      <c r="E1839" s="57" t="s">
        <v>32</v>
      </c>
      <c r="F1839" s="57" t="s">
        <v>25</v>
      </c>
      <c r="G1839" s="57" t="s">
        <v>25</v>
      </c>
      <c r="H1839" s="57" t="s">
        <v>25</v>
      </c>
      <c r="I1839" s="82">
        <v>44378</v>
      </c>
      <c r="J1839" s="83">
        <f>EFEITO!$J$1839*EFEITO!$Y$1666</f>
        <v>0</v>
      </c>
      <c r="K1839" s="83">
        <f ca="1">EFEITO!$L$1839*EFEITO!$Z$1915</f>
        <v>-6510.0146850942037</v>
      </c>
      <c r="L1839" s="83">
        <f>EFEITO!$N$1839*EFEITO!$AA$1915</f>
        <v>-4205.7007435088535</v>
      </c>
      <c r="M1839" s="83">
        <f>$J$1839-EFEITO!$K$1839*EFEITO!$Y$1839</f>
        <v>0</v>
      </c>
      <c r="N1839" s="83">
        <f ca="1">$K$1839-EFEITO!$M$1839*EFEITO!$Z$1839</f>
        <v>-2604.0058740376812</v>
      </c>
      <c r="O1839" s="83">
        <f>$L$1839-EFEITO!$O$1839*EFEITO!$AA$1839</f>
        <v>-1682.2802974035417</v>
      </c>
      <c r="P1839" s="61"/>
      <c r="Q1839" s="61"/>
      <c r="R1839" s="61"/>
      <c r="S1839" s="61"/>
      <c r="T1839" s="61"/>
      <c r="U1839" s="61"/>
      <c r="V1839" s="61"/>
      <c r="W1839" s="61"/>
      <c r="X1839" s="6"/>
      <c r="Y1839" s="6"/>
      <c r="Z1839" s="6"/>
      <c r="AA1839" s="6"/>
      <c r="AB1839" s="6"/>
      <c r="AC1839" s="6"/>
      <c r="AD1839" s="6"/>
      <c r="AE1839" s="6"/>
      <c r="AF1839" s="6"/>
      <c r="AG1839" s="6"/>
      <c r="AH1839" s="6"/>
      <c r="AI1839" s="6"/>
      <c r="AJ1839" s="6"/>
    </row>
    <row r="1840" spans="1:36" ht="11.25" customHeight="1" x14ac:dyDescent="0.2">
      <c r="A1840" s="57" t="s">
        <v>28</v>
      </c>
      <c r="B1840" s="57" t="s">
        <v>22</v>
      </c>
      <c r="C1840" s="57" t="s">
        <v>23</v>
      </c>
      <c r="D1840" s="57" t="s">
        <v>24</v>
      </c>
      <c r="E1840" s="57" t="s">
        <v>32</v>
      </c>
      <c r="F1840" s="57" t="s">
        <v>25</v>
      </c>
      <c r="G1840" s="57" t="s">
        <v>25</v>
      </c>
      <c r="H1840" s="57" t="s">
        <v>25</v>
      </c>
      <c r="I1840" s="82">
        <v>44378</v>
      </c>
      <c r="J1840" s="83">
        <f>EFEITO!$J$1840*EFEITO!$Y$1666</f>
        <v>0</v>
      </c>
      <c r="K1840" s="83">
        <f ca="1">EFEITO!$L$1840*EFEITO!$Z$1915</f>
        <v>2807696.0494369543</v>
      </c>
      <c r="L1840" s="83">
        <f>EFEITO!$N$1840*EFEITO!$AA$1915</f>
        <v>1813871.3864503356</v>
      </c>
      <c r="M1840" s="83">
        <f>$J$1840-EFEITO!$K$1840*EFEITO!$Y$1840</f>
        <v>0</v>
      </c>
      <c r="N1840" s="83">
        <f ca="1">$K$1840-EFEITO!$M$1840*EFEITO!$Z$1840</f>
        <v>1123078.4197747817</v>
      </c>
      <c r="O1840" s="83">
        <f>$L$1840-EFEITO!$O$1840*EFEITO!$AA$1840</f>
        <v>725548.55458013434</v>
      </c>
      <c r="P1840" s="61"/>
      <c r="Q1840" s="61"/>
      <c r="R1840" s="61"/>
      <c r="S1840" s="61"/>
      <c r="T1840" s="61"/>
      <c r="U1840" s="61"/>
      <c r="V1840" s="61"/>
      <c r="W1840" s="61"/>
      <c r="X1840" s="6"/>
      <c r="Y1840" s="6"/>
      <c r="Z1840" s="6"/>
      <c r="AA1840" s="6"/>
      <c r="AB1840" s="6"/>
      <c r="AC1840" s="6"/>
      <c r="AD1840" s="6"/>
      <c r="AE1840" s="6"/>
      <c r="AF1840" s="6"/>
      <c r="AG1840" s="6"/>
      <c r="AH1840" s="6"/>
      <c r="AI1840" s="6"/>
      <c r="AJ1840" s="6"/>
    </row>
    <row r="1841" spans="1:36" ht="11.25" customHeight="1" x14ac:dyDescent="0.2">
      <c r="A1841" s="57" t="s">
        <v>29</v>
      </c>
      <c r="B1841" s="57" t="s">
        <v>22</v>
      </c>
      <c r="C1841" s="57" t="s">
        <v>23</v>
      </c>
      <c r="D1841" s="57" t="s">
        <v>24</v>
      </c>
      <c r="E1841" s="57" t="s">
        <v>32</v>
      </c>
      <c r="F1841" s="57" t="s">
        <v>25</v>
      </c>
      <c r="G1841" s="57" t="s">
        <v>25</v>
      </c>
      <c r="H1841" s="57" t="s">
        <v>25</v>
      </c>
      <c r="I1841" s="82">
        <v>44378</v>
      </c>
      <c r="J1841" s="83">
        <f>EFEITO!$J$1841*EFEITO!$Y$1666</f>
        <v>0</v>
      </c>
      <c r="K1841" s="83">
        <f ca="1">EFEITO!$L$1841*EFEITO!$Z$1915</f>
        <v>-5560.0337420711294</v>
      </c>
      <c r="L1841" s="83">
        <f>EFEITO!$N$1841*EFEITO!$AA$1915</f>
        <v>-3591.9793078968273</v>
      </c>
      <c r="M1841" s="83">
        <f>$J$1841-EFEITO!$K$1841*EFEITO!$Y$1841</f>
        <v>0</v>
      </c>
      <c r="N1841" s="83">
        <f ca="1">$K$1841-EFEITO!$M$1841*EFEITO!$Z$1841</f>
        <v>-2224.0134968284515</v>
      </c>
      <c r="O1841" s="83">
        <f>$L$1841-EFEITO!$O$1841*EFEITO!$AA$1841</f>
        <v>-1436.7917231587312</v>
      </c>
      <c r="P1841" s="61"/>
      <c r="Q1841" s="61"/>
      <c r="R1841" s="61"/>
      <c r="S1841" s="61"/>
      <c r="T1841" s="61"/>
      <c r="U1841" s="61"/>
      <c r="V1841" s="61"/>
      <c r="W1841" s="61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</row>
    <row r="1842" spans="1:36" ht="11.25" customHeight="1" x14ac:dyDescent="0.2">
      <c r="A1842" s="57" t="s">
        <v>30</v>
      </c>
      <c r="B1842" s="57" t="s">
        <v>22</v>
      </c>
      <c r="C1842" s="57" t="s">
        <v>23</v>
      </c>
      <c r="D1842" s="57" t="s">
        <v>24</v>
      </c>
      <c r="E1842" s="57" t="s">
        <v>32</v>
      </c>
      <c r="F1842" s="57" t="s">
        <v>25</v>
      </c>
      <c r="G1842" s="57" t="s">
        <v>25</v>
      </c>
      <c r="H1842" s="57" t="s">
        <v>25</v>
      </c>
      <c r="I1842" s="82">
        <v>44378</v>
      </c>
      <c r="J1842" s="83">
        <f>EFEITO!$J$1842*EFEITO!$Y$1666</f>
        <v>0</v>
      </c>
      <c r="K1842" s="83">
        <f ca="1">EFEITO!$L$1842*EFEITO!$Z$1915</f>
        <v>216.21842286723734</v>
      </c>
      <c r="L1842" s="83">
        <f>EFEITO!$N$1842*EFEITO!$AA$1915</f>
        <v>139.68478195527953</v>
      </c>
      <c r="M1842" s="83">
        <f>$J$1842-EFEITO!$K$1842*EFEITO!$Y$1842</f>
        <v>0</v>
      </c>
      <c r="N1842" s="83">
        <f ca="1">$K$1842-EFEITO!$M$1842*EFEITO!$Z$1842</f>
        <v>86.487369146894935</v>
      </c>
      <c r="O1842" s="83">
        <f>$L$1842-EFEITO!$O$1842*EFEITO!$AA$1842</f>
        <v>55.873912782111802</v>
      </c>
      <c r="P1842" s="61"/>
      <c r="Q1842" s="61"/>
      <c r="R1842" s="61"/>
      <c r="S1842" s="61"/>
      <c r="T1842" s="61"/>
      <c r="U1842" s="61"/>
      <c r="V1842" s="61"/>
      <c r="W1842" s="61"/>
      <c r="X1842" s="6"/>
      <c r="Y1842" s="6"/>
      <c r="Z1842" s="6"/>
      <c r="AA1842" s="6"/>
      <c r="AB1842" s="6"/>
      <c r="AC1842" s="6"/>
      <c r="AD1842" s="6"/>
      <c r="AE1842" s="6"/>
      <c r="AF1842" s="6"/>
      <c r="AG1842" s="6"/>
      <c r="AH1842" s="6"/>
      <c r="AI1842" s="6"/>
      <c r="AJ1842" s="6"/>
    </row>
    <row r="1843" spans="1:36" ht="11.25" customHeight="1" x14ac:dyDescent="0.2">
      <c r="A1843" s="57" t="s">
        <v>21</v>
      </c>
      <c r="B1843" s="57" t="s">
        <v>22</v>
      </c>
      <c r="C1843" s="57" t="s">
        <v>23</v>
      </c>
      <c r="D1843" s="57" t="s">
        <v>24</v>
      </c>
      <c r="E1843" s="57" t="s">
        <v>32</v>
      </c>
      <c r="F1843" s="57" t="s">
        <v>25</v>
      </c>
      <c r="G1843" s="57" t="s">
        <v>25</v>
      </c>
      <c r="H1843" s="57" t="s">
        <v>25</v>
      </c>
      <c r="I1843" s="82">
        <v>44409</v>
      </c>
      <c r="J1843" s="83">
        <f>EFEITO!$J$1843*EFEITO!$Y$1666</f>
        <v>0</v>
      </c>
      <c r="K1843" s="83">
        <f ca="1">EFEITO!$L$1843*EFEITO!$Z$1915</f>
        <v>1684887.5806633183</v>
      </c>
      <c r="L1843" s="83">
        <f>EFEITO!$N$1843*EFEITO!$AA$1915</f>
        <v>1088497.2298064807</v>
      </c>
      <c r="M1843" s="83">
        <f>$J$1843-EFEITO!$K$1843*EFEITO!$Y$1843</f>
        <v>0</v>
      </c>
      <c r="N1843" s="83">
        <f ca="1">$K$1843-EFEITO!$M$1843*EFEITO!$Z$1843</f>
        <v>673955.03226532729</v>
      </c>
      <c r="O1843" s="83">
        <f>$L$1843-EFEITO!$O$1843*EFEITO!$AA$1843</f>
        <v>435398.89192259219</v>
      </c>
      <c r="P1843" s="61"/>
      <c r="Q1843" s="61"/>
      <c r="R1843" s="61"/>
      <c r="S1843" s="61"/>
      <c r="T1843" s="61"/>
      <c r="U1843" s="61"/>
      <c r="V1843" s="61"/>
      <c r="W1843" s="61"/>
      <c r="X1843" s="6"/>
      <c r="Y1843" s="6"/>
      <c r="Z1843" s="6"/>
      <c r="AA1843" s="6"/>
      <c r="AB1843" s="6"/>
      <c r="AC1843" s="6"/>
      <c r="AD1843" s="6"/>
      <c r="AE1843" s="6"/>
      <c r="AF1843" s="6"/>
      <c r="AG1843" s="6"/>
      <c r="AH1843" s="6"/>
      <c r="AI1843" s="6"/>
      <c r="AJ1843" s="6"/>
    </row>
    <row r="1844" spans="1:36" ht="11.25" customHeight="1" x14ac:dyDescent="0.2">
      <c r="A1844" s="57" t="s">
        <v>27</v>
      </c>
      <c r="B1844" s="57" t="s">
        <v>22</v>
      </c>
      <c r="C1844" s="57" t="s">
        <v>23</v>
      </c>
      <c r="D1844" s="57" t="s">
        <v>24</v>
      </c>
      <c r="E1844" s="57" t="s">
        <v>32</v>
      </c>
      <c r="F1844" s="57" t="s">
        <v>25</v>
      </c>
      <c r="G1844" s="57" t="s">
        <v>25</v>
      </c>
      <c r="H1844" s="57" t="s">
        <v>25</v>
      </c>
      <c r="I1844" s="82">
        <v>44409</v>
      </c>
      <c r="J1844" s="83">
        <f>EFEITO!$J$1844*EFEITO!$Y$1666</f>
        <v>0</v>
      </c>
      <c r="K1844" s="83">
        <f ca="1">EFEITO!$L$1844*EFEITO!$Z$1915</f>
        <v>-6215.5895986366886</v>
      </c>
      <c r="L1844" s="83">
        <f>EFEITO!$N$1844*EFEITO!$AA$1915</f>
        <v>-4015.4916787186849</v>
      </c>
      <c r="M1844" s="83">
        <f>$J$1844-EFEITO!$K$1844*EFEITO!$Y$1844</f>
        <v>0</v>
      </c>
      <c r="N1844" s="83">
        <f ca="1">$K$1844-EFEITO!$M$1844*EFEITO!$Z$1844</f>
        <v>-2486.235839454675</v>
      </c>
      <c r="O1844" s="83">
        <f>$L$1844-EFEITO!$O$1844*EFEITO!$AA$1844</f>
        <v>-1606.1966714874738</v>
      </c>
      <c r="P1844" s="61"/>
      <c r="Q1844" s="61"/>
      <c r="R1844" s="61"/>
      <c r="S1844" s="61"/>
      <c r="T1844" s="61"/>
      <c r="U1844" s="61"/>
      <c r="V1844" s="61"/>
      <c r="W1844" s="61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</row>
    <row r="1845" spans="1:36" ht="11.25" customHeight="1" x14ac:dyDescent="0.2">
      <c r="A1845" s="57" t="s">
        <v>28</v>
      </c>
      <c r="B1845" s="57" t="s">
        <v>22</v>
      </c>
      <c r="C1845" s="57" t="s">
        <v>23</v>
      </c>
      <c r="D1845" s="57" t="s">
        <v>24</v>
      </c>
      <c r="E1845" s="57" t="s">
        <v>32</v>
      </c>
      <c r="F1845" s="57" t="s">
        <v>25</v>
      </c>
      <c r="G1845" s="57" t="s">
        <v>25</v>
      </c>
      <c r="H1845" s="57" t="s">
        <v>25</v>
      </c>
      <c r="I1845" s="82">
        <v>44409</v>
      </c>
      <c r="J1845" s="83">
        <f>EFEITO!$J$1845*EFEITO!$Y$1666</f>
        <v>0</v>
      </c>
      <c r="K1845" s="83">
        <f ca="1">EFEITO!$L$1845*EFEITO!$Z$1915</f>
        <v>2869204.2102331142</v>
      </c>
      <c r="L1845" s="83">
        <f>EFEITO!$N$1845*EFEITO!$AA$1915</f>
        <v>1853607.8432949837</v>
      </c>
      <c r="M1845" s="83">
        <f>$J$1845-EFEITO!$K$1845*EFEITO!$Y$1845</f>
        <v>0</v>
      </c>
      <c r="N1845" s="83">
        <f ca="1">$K$1845-EFEITO!$M$1845*EFEITO!$Z$1845</f>
        <v>1147681.6840932455</v>
      </c>
      <c r="O1845" s="83">
        <f>$L$1845-EFEITO!$O$1845*EFEITO!$AA$1845</f>
        <v>741443.13731799345</v>
      </c>
      <c r="P1845" s="61"/>
      <c r="Q1845" s="61"/>
      <c r="R1845" s="61"/>
      <c r="S1845" s="61"/>
      <c r="T1845" s="61"/>
      <c r="U1845" s="61"/>
      <c r="V1845" s="61"/>
      <c r="W1845" s="61"/>
      <c r="X1845" s="6"/>
      <c r="Y1845" s="6"/>
      <c r="Z1845" s="6"/>
      <c r="AA1845" s="6"/>
      <c r="AB1845" s="6"/>
      <c r="AC1845" s="6"/>
      <c r="AD1845" s="6"/>
      <c r="AE1845" s="6"/>
      <c r="AF1845" s="6"/>
      <c r="AG1845" s="6"/>
      <c r="AH1845" s="6"/>
      <c r="AI1845" s="6"/>
      <c r="AJ1845" s="6"/>
    </row>
    <row r="1846" spans="1:36" ht="11.25" customHeight="1" x14ac:dyDescent="0.2">
      <c r="A1846" s="57" t="s">
        <v>29</v>
      </c>
      <c r="B1846" s="57" t="s">
        <v>22</v>
      </c>
      <c r="C1846" s="57" t="s">
        <v>23</v>
      </c>
      <c r="D1846" s="57" t="s">
        <v>24</v>
      </c>
      <c r="E1846" s="57" t="s">
        <v>32</v>
      </c>
      <c r="F1846" s="57" t="s">
        <v>25</v>
      </c>
      <c r="G1846" s="57" t="s">
        <v>25</v>
      </c>
      <c r="H1846" s="57" t="s">
        <v>25</v>
      </c>
      <c r="I1846" s="82">
        <v>44409</v>
      </c>
      <c r="J1846" s="83">
        <f>EFEITO!$J$1846*EFEITO!$Y$1666</f>
        <v>0</v>
      </c>
      <c r="K1846" s="83">
        <f ca="1">EFEITO!$L$1846*EFEITO!$Z$1915</f>
        <v>-5684.2443254203927</v>
      </c>
      <c r="L1846" s="83">
        <f>EFEITO!$N$1846*EFEITO!$AA$1915</f>
        <v>-3672.2237571051792</v>
      </c>
      <c r="M1846" s="83">
        <f>$J$1846-EFEITO!$K$1846*EFEITO!$Y$1846</f>
        <v>0</v>
      </c>
      <c r="N1846" s="83">
        <f ca="1">$K$1846-EFEITO!$M$1846*EFEITO!$Z$1846</f>
        <v>-2273.6977301681568</v>
      </c>
      <c r="O1846" s="83">
        <f>$L$1846-EFEITO!$O$1846*EFEITO!$AA$1846</f>
        <v>-1468.8895028420716</v>
      </c>
      <c r="P1846" s="61"/>
      <c r="Q1846" s="61"/>
      <c r="R1846" s="61"/>
      <c r="S1846" s="61"/>
      <c r="T1846" s="61"/>
      <c r="U1846" s="61"/>
      <c r="V1846" s="61"/>
      <c r="W1846" s="61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</row>
    <row r="1847" spans="1:36" ht="11.25" customHeight="1" x14ac:dyDescent="0.2">
      <c r="A1847" s="57" t="s">
        <v>30</v>
      </c>
      <c r="B1847" s="57" t="s">
        <v>22</v>
      </c>
      <c r="C1847" s="57" t="s">
        <v>23</v>
      </c>
      <c r="D1847" s="57" t="s">
        <v>24</v>
      </c>
      <c r="E1847" s="57" t="s">
        <v>32</v>
      </c>
      <c r="F1847" s="57" t="s">
        <v>25</v>
      </c>
      <c r="G1847" s="57" t="s">
        <v>25</v>
      </c>
      <c r="H1847" s="57" t="s">
        <v>25</v>
      </c>
      <c r="I1847" s="82">
        <v>44409</v>
      </c>
      <c r="J1847" s="83">
        <f>EFEITO!$J$1847*EFEITO!$Y$1666</f>
        <v>0</v>
      </c>
      <c r="K1847" s="83">
        <f ca="1">EFEITO!$L$1847*EFEITO!$Z$1915</f>
        <v>271.42312657802137</v>
      </c>
      <c r="L1847" s="83">
        <f>EFEITO!$N$1847*EFEITO!$AA$1915</f>
        <v>175.34898160343602</v>
      </c>
      <c r="M1847" s="83">
        <f>$J$1847-EFEITO!$K$1847*EFEITO!$Y$1847</f>
        <v>0</v>
      </c>
      <c r="N1847" s="83">
        <f ca="1">$K$1847-EFEITO!$M$1847*EFEITO!$Z$1847</f>
        <v>108.56925063120855</v>
      </c>
      <c r="O1847" s="83">
        <f>$L$1847-EFEITO!$O$1847*EFEITO!$AA$1847</f>
        <v>70.139592641374392</v>
      </c>
      <c r="P1847" s="61"/>
      <c r="Q1847" s="61"/>
      <c r="R1847" s="61"/>
      <c r="S1847" s="61"/>
      <c r="T1847" s="61"/>
      <c r="U1847" s="61"/>
      <c r="V1847" s="61"/>
      <c r="W1847" s="61"/>
      <c r="X1847" s="6"/>
      <c r="Y1847" s="6"/>
      <c r="Z1847" s="6"/>
      <c r="AA1847" s="6"/>
      <c r="AB1847" s="6"/>
      <c r="AC1847" s="6"/>
      <c r="AD1847" s="6"/>
      <c r="AE1847" s="6"/>
      <c r="AF1847" s="6"/>
      <c r="AG1847" s="6"/>
      <c r="AH1847" s="6"/>
      <c r="AI1847" s="6"/>
      <c r="AJ1847" s="6"/>
    </row>
    <row r="1848" spans="1:36" ht="11.25" customHeight="1" x14ac:dyDescent="0.2">
      <c r="A1848" s="57" t="s">
        <v>21</v>
      </c>
      <c r="B1848" s="57" t="s">
        <v>22</v>
      </c>
      <c r="C1848" s="57" t="s">
        <v>23</v>
      </c>
      <c r="D1848" s="57" t="s">
        <v>24</v>
      </c>
      <c r="E1848" s="57" t="s">
        <v>32</v>
      </c>
      <c r="F1848" s="57" t="s">
        <v>25</v>
      </c>
      <c r="G1848" s="57" t="s">
        <v>25</v>
      </c>
      <c r="H1848" s="57" t="s">
        <v>25</v>
      </c>
      <c r="I1848" s="82">
        <v>44440</v>
      </c>
      <c r="J1848" s="83">
        <f>EFEITO!$J$1848*EFEITO!$Y$1666</f>
        <v>0</v>
      </c>
      <c r="K1848" s="83">
        <f ca="1">EFEITO!$L$1848*EFEITO!$Z$1915</f>
        <v>1694605.9087124041</v>
      </c>
      <c r="L1848" s="83">
        <f>EFEITO!$N$1848*EFEITO!$AA$1915</f>
        <v>1094775.6149528751</v>
      </c>
      <c r="M1848" s="83">
        <f>$J$1848-EFEITO!$K$1848*EFEITO!$Y$1848</f>
        <v>0</v>
      </c>
      <c r="N1848" s="83">
        <f ca="1">$K$1848-EFEITO!$M$1848*EFEITO!$Z$1848</f>
        <v>677842.36348496156</v>
      </c>
      <c r="O1848" s="83">
        <f>$L$1848-EFEITO!$O$1848*EFEITO!$AA$1848</f>
        <v>437910.24598115007</v>
      </c>
      <c r="P1848" s="61"/>
      <c r="Q1848" s="61"/>
      <c r="R1848" s="61"/>
      <c r="S1848" s="61"/>
      <c r="T1848" s="61"/>
      <c r="U1848" s="61"/>
      <c r="V1848" s="61"/>
      <c r="W1848" s="61"/>
      <c r="X1848" s="6"/>
      <c r="Y1848" s="6"/>
      <c r="Z1848" s="6"/>
      <c r="AA1848" s="6"/>
      <c r="AB1848" s="6"/>
      <c r="AC1848" s="6"/>
      <c r="AD1848" s="6"/>
      <c r="AE1848" s="6"/>
      <c r="AF1848" s="6"/>
      <c r="AG1848" s="6"/>
      <c r="AH1848" s="6"/>
      <c r="AI1848" s="6"/>
      <c r="AJ1848" s="6"/>
    </row>
    <row r="1849" spans="1:36" ht="11.25" customHeight="1" x14ac:dyDescent="0.2">
      <c r="A1849" s="57" t="s">
        <v>27</v>
      </c>
      <c r="B1849" s="57" t="s">
        <v>22</v>
      </c>
      <c r="C1849" s="57" t="s">
        <v>23</v>
      </c>
      <c r="D1849" s="57" t="s">
        <v>24</v>
      </c>
      <c r="E1849" s="57" t="s">
        <v>32</v>
      </c>
      <c r="F1849" s="57" t="s">
        <v>25</v>
      </c>
      <c r="G1849" s="57" t="s">
        <v>25</v>
      </c>
      <c r="H1849" s="57" t="s">
        <v>25</v>
      </c>
      <c r="I1849" s="82">
        <v>44440</v>
      </c>
      <c r="J1849" s="83">
        <f>EFEITO!$J$1849*EFEITO!$Y$1666</f>
        <v>0</v>
      </c>
      <c r="K1849" s="83">
        <f ca="1">EFEITO!$L$1849*EFEITO!$Z$1915</f>
        <v>-3735.9783236273079</v>
      </c>
      <c r="L1849" s="83">
        <f>EFEITO!$N$1849*EFEITO!$AA$1915</f>
        <v>-2413.57471118899</v>
      </c>
      <c r="M1849" s="83">
        <f>$J$1849-EFEITO!$K$1849*EFEITO!$Y$1849</f>
        <v>0</v>
      </c>
      <c r="N1849" s="83">
        <f ca="1">$K$1849-EFEITO!$M$1849*EFEITO!$Z$1849</f>
        <v>-1494.391329450923</v>
      </c>
      <c r="O1849" s="83">
        <f>$L$1849-EFEITO!$O$1849*EFEITO!$AA$1849</f>
        <v>-965.42988447559605</v>
      </c>
      <c r="P1849" s="61"/>
      <c r="Q1849" s="61"/>
      <c r="R1849" s="61"/>
      <c r="S1849" s="61"/>
      <c r="T1849" s="61"/>
      <c r="U1849" s="61"/>
      <c r="V1849" s="61"/>
      <c r="W1849" s="61"/>
      <c r="X1849" s="6"/>
      <c r="Y1849" s="6"/>
      <c r="Z1849" s="6"/>
      <c r="AA1849" s="6"/>
      <c r="AB1849" s="6"/>
      <c r="AC1849" s="6"/>
      <c r="AD1849" s="6"/>
      <c r="AE1849" s="6"/>
      <c r="AF1849" s="6"/>
      <c r="AG1849" s="6"/>
      <c r="AH1849" s="6"/>
      <c r="AI1849" s="6"/>
      <c r="AJ1849" s="6"/>
    </row>
    <row r="1850" spans="1:36" ht="11.25" customHeight="1" x14ac:dyDescent="0.2">
      <c r="A1850" s="57" t="s">
        <v>28</v>
      </c>
      <c r="B1850" s="57" t="s">
        <v>22</v>
      </c>
      <c r="C1850" s="57" t="s">
        <v>23</v>
      </c>
      <c r="D1850" s="57" t="s">
        <v>24</v>
      </c>
      <c r="E1850" s="57" t="s">
        <v>32</v>
      </c>
      <c r="F1850" s="57" t="s">
        <v>25</v>
      </c>
      <c r="G1850" s="57" t="s">
        <v>25</v>
      </c>
      <c r="H1850" s="57" t="s">
        <v>25</v>
      </c>
      <c r="I1850" s="82">
        <v>44440</v>
      </c>
      <c r="J1850" s="83">
        <f>EFEITO!$J$1850*EFEITO!$Y$1666</f>
        <v>0</v>
      </c>
      <c r="K1850" s="83">
        <f ca="1">EFEITO!$L$1850*EFEITO!$Z$1915</f>
        <v>2918969.8705107938</v>
      </c>
      <c r="L1850" s="83">
        <f>EFEITO!$N$1850*EFEITO!$AA$1915</f>
        <v>1885758.2276728058</v>
      </c>
      <c r="M1850" s="83">
        <f>$J$1850-EFEITO!$K$1850*EFEITO!$Y$1850</f>
        <v>0</v>
      </c>
      <c r="N1850" s="83">
        <f ca="1">$K$1850-EFEITO!$M$1850*EFEITO!$Z$1850</f>
        <v>1167587.9482043176</v>
      </c>
      <c r="O1850" s="83">
        <f>$L$1850-EFEITO!$O$1850*EFEITO!$AA$1850</f>
        <v>754303.29106912226</v>
      </c>
      <c r="P1850" s="61"/>
      <c r="Q1850" s="61"/>
      <c r="R1850" s="61"/>
      <c r="S1850" s="61"/>
      <c r="T1850" s="61"/>
      <c r="U1850" s="61"/>
      <c r="V1850" s="61"/>
      <c r="W1850" s="61"/>
      <c r="X1850" s="6"/>
      <c r="Y1850" s="6"/>
      <c r="Z1850" s="6"/>
      <c r="AA1850" s="6"/>
      <c r="AB1850" s="6"/>
      <c r="AC1850" s="6"/>
      <c r="AD1850" s="6"/>
      <c r="AE1850" s="6"/>
      <c r="AF1850" s="6"/>
      <c r="AG1850" s="6"/>
      <c r="AH1850" s="6"/>
      <c r="AI1850" s="6"/>
      <c r="AJ1850" s="6"/>
    </row>
    <row r="1851" spans="1:36" ht="11.25" customHeight="1" x14ac:dyDescent="0.2">
      <c r="A1851" s="57" t="s">
        <v>29</v>
      </c>
      <c r="B1851" s="57" t="s">
        <v>22</v>
      </c>
      <c r="C1851" s="57" t="s">
        <v>23</v>
      </c>
      <c r="D1851" s="57" t="s">
        <v>24</v>
      </c>
      <c r="E1851" s="57" t="s">
        <v>32</v>
      </c>
      <c r="F1851" s="57" t="s">
        <v>25</v>
      </c>
      <c r="G1851" s="57" t="s">
        <v>25</v>
      </c>
      <c r="H1851" s="57" t="s">
        <v>25</v>
      </c>
      <c r="I1851" s="82">
        <v>44440</v>
      </c>
      <c r="J1851" s="83">
        <f>EFEITO!$J$1851*EFEITO!$Y$1666</f>
        <v>0</v>
      </c>
      <c r="K1851" s="83">
        <f ca="1">EFEITO!$L$1851*EFEITO!$Z$1915</f>
        <v>-3815.1050656127645</v>
      </c>
      <c r="L1851" s="83">
        <f>EFEITO!$N$1851*EFEITO!$AA$1915</f>
        <v>-2464.6933973513474</v>
      </c>
      <c r="M1851" s="83">
        <f>$J$1851-EFEITO!$K$1851*EFEITO!$Y$1851</f>
        <v>0</v>
      </c>
      <c r="N1851" s="83">
        <f ca="1">$K$1851-EFEITO!$M$1851*EFEITO!$Z$1851</f>
        <v>-1526.0420262451057</v>
      </c>
      <c r="O1851" s="83">
        <f>$L$1851-EFEITO!$O$1851*EFEITO!$AA$1851</f>
        <v>-985.8773589405389</v>
      </c>
      <c r="P1851" s="61"/>
      <c r="Q1851" s="61"/>
      <c r="R1851" s="61"/>
      <c r="S1851" s="61"/>
      <c r="T1851" s="61"/>
      <c r="U1851" s="61"/>
      <c r="V1851" s="61"/>
      <c r="W1851" s="61"/>
      <c r="X1851" s="6"/>
      <c r="Y1851" s="6"/>
      <c r="Z1851" s="6"/>
      <c r="AA1851" s="6"/>
      <c r="AB1851" s="6"/>
      <c r="AC1851" s="6"/>
      <c r="AD1851" s="6"/>
      <c r="AE1851" s="6"/>
      <c r="AF1851" s="6"/>
      <c r="AG1851" s="6"/>
      <c r="AH1851" s="6"/>
      <c r="AI1851" s="6"/>
      <c r="AJ1851" s="6"/>
    </row>
    <row r="1852" spans="1:36" ht="11.25" customHeight="1" x14ac:dyDescent="0.2">
      <c r="A1852" s="57" t="s">
        <v>30</v>
      </c>
      <c r="B1852" s="57" t="s">
        <v>22</v>
      </c>
      <c r="C1852" s="57" t="s">
        <v>23</v>
      </c>
      <c r="D1852" s="57" t="s">
        <v>24</v>
      </c>
      <c r="E1852" s="57" t="s">
        <v>32</v>
      </c>
      <c r="F1852" s="57" t="s">
        <v>25</v>
      </c>
      <c r="G1852" s="57" t="s">
        <v>25</v>
      </c>
      <c r="H1852" s="57" t="s">
        <v>25</v>
      </c>
      <c r="I1852" s="82">
        <v>44440</v>
      </c>
      <c r="J1852" s="83">
        <f>EFEITO!$J$1852*EFEITO!$Y$1666</f>
        <v>0</v>
      </c>
      <c r="K1852" s="83">
        <f ca="1">EFEITO!$L$1852*EFEITO!$Z$1915</f>
        <v>294.88512565510456</v>
      </c>
      <c r="L1852" s="83">
        <f>EFEITO!$N$1852*EFEITO!$AA$1915</f>
        <v>190.50626645390255</v>
      </c>
      <c r="M1852" s="83">
        <f>$J$1852-EFEITO!$K$1852*EFEITO!$Y$1852</f>
        <v>0</v>
      </c>
      <c r="N1852" s="83">
        <f ca="1">$K$1852-EFEITO!$M$1852*EFEITO!$Z$1852</f>
        <v>117.95405026204182</v>
      </c>
      <c r="O1852" s="83">
        <f>$L$1852-EFEITO!$O$1852*EFEITO!$AA$1852</f>
        <v>76.202506581561025</v>
      </c>
      <c r="P1852" s="61"/>
      <c r="Q1852" s="61"/>
      <c r="R1852" s="61"/>
      <c r="S1852" s="61"/>
      <c r="T1852" s="61"/>
      <c r="U1852" s="61"/>
      <c r="V1852" s="61"/>
      <c r="W1852" s="61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</row>
    <row r="1853" spans="1:36" ht="11.25" customHeight="1" x14ac:dyDescent="0.2">
      <c r="A1853" s="57" t="s">
        <v>59</v>
      </c>
      <c r="B1853" s="57" t="s">
        <v>22</v>
      </c>
      <c r="C1853" s="57" t="s">
        <v>23</v>
      </c>
      <c r="D1853" s="57" t="s">
        <v>24</v>
      </c>
      <c r="E1853" s="57" t="s">
        <v>32</v>
      </c>
      <c r="F1853" s="57" t="s">
        <v>25</v>
      </c>
      <c r="G1853" s="57" t="s">
        <v>25</v>
      </c>
      <c r="H1853" s="57" t="s">
        <v>25</v>
      </c>
      <c r="I1853" s="82">
        <v>44470</v>
      </c>
      <c r="J1853" s="83">
        <f>EFEITO!$J$1853*EFEITO!$Y$1666</f>
        <v>0</v>
      </c>
      <c r="K1853" s="83">
        <f ca="1">EFEITO!$L$1853*EFEITO!$Z$1915</f>
        <v>1694605.9087124041</v>
      </c>
      <c r="L1853" s="83">
        <f>EFEITO!$N$1853*EFEITO!$AA$1915</f>
        <v>1094775.6149528751</v>
      </c>
      <c r="M1853" s="83">
        <f>$J$1853-EFEITO!$K$1853*EFEITO!$Y$1853</f>
        <v>0</v>
      </c>
      <c r="N1853" s="83">
        <f ca="1">$K$1853-EFEITO!$M$1853*EFEITO!$Z$1853</f>
        <v>677842.36348496156</v>
      </c>
      <c r="O1853" s="83">
        <f>$L$1853-EFEITO!$O$1853*EFEITO!$AA$1853</f>
        <v>437910.24598115007</v>
      </c>
      <c r="P1853" s="61"/>
      <c r="Q1853" s="61"/>
      <c r="R1853" s="61"/>
      <c r="S1853" s="61"/>
      <c r="T1853" s="61"/>
      <c r="U1853" s="61"/>
      <c r="V1853" s="61"/>
      <c r="W1853" s="61"/>
      <c r="X1853" s="6"/>
      <c r="Y1853" s="6"/>
      <c r="Z1853" s="6"/>
      <c r="AA1853" s="6"/>
      <c r="AB1853" s="6"/>
      <c r="AC1853" s="6"/>
      <c r="AD1853" s="6"/>
      <c r="AE1853" s="6"/>
      <c r="AF1853" s="6"/>
      <c r="AG1853" s="6"/>
      <c r="AH1853" s="6"/>
      <c r="AI1853" s="6"/>
      <c r="AJ1853" s="6"/>
    </row>
    <row r="1854" spans="1:36" ht="11.25" customHeight="1" x14ac:dyDescent="0.2">
      <c r="A1854" s="57" t="s">
        <v>59</v>
      </c>
      <c r="B1854" s="57" t="s">
        <v>22</v>
      </c>
      <c r="C1854" s="57" t="s">
        <v>23</v>
      </c>
      <c r="D1854" s="57" t="s">
        <v>24</v>
      </c>
      <c r="E1854" s="57" t="s">
        <v>32</v>
      </c>
      <c r="F1854" s="57" t="s">
        <v>25</v>
      </c>
      <c r="G1854" s="57" t="s">
        <v>25</v>
      </c>
      <c r="H1854" s="57" t="s">
        <v>25</v>
      </c>
      <c r="I1854" s="82">
        <v>44470</v>
      </c>
      <c r="J1854" s="83">
        <f>EFEITO!$J$1854*EFEITO!$Y$1666</f>
        <v>0</v>
      </c>
      <c r="K1854" s="83">
        <f ca="1">EFEITO!$L$1854*EFEITO!$Z$1915</f>
        <v>-3735.9783236273079</v>
      </c>
      <c r="L1854" s="83">
        <f>EFEITO!$N$1854*EFEITO!$AA$1915</f>
        <v>-2413.57471118899</v>
      </c>
      <c r="M1854" s="83">
        <f>$J$1854-EFEITO!$K$1854*EFEITO!$Y$1854</f>
        <v>0</v>
      </c>
      <c r="N1854" s="83">
        <f ca="1">$K$1854-EFEITO!$M$1854*EFEITO!$Z$1854</f>
        <v>-1494.391329450923</v>
      </c>
      <c r="O1854" s="83">
        <f>$L$1854-EFEITO!$O$1854*EFEITO!$AA$1854</f>
        <v>-965.42988447559605</v>
      </c>
      <c r="P1854" s="61"/>
      <c r="Q1854" s="61"/>
      <c r="R1854" s="61"/>
      <c r="S1854" s="61"/>
      <c r="T1854" s="61"/>
      <c r="U1854" s="61"/>
      <c r="V1854" s="61"/>
      <c r="W1854" s="61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</row>
    <row r="1855" spans="1:36" ht="11.25" customHeight="1" x14ac:dyDescent="0.2">
      <c r="A1855" s="57" t="s">
        <v>59</v>
      </c>
      <c r="B1855" s="57" t="s">
        <v>22</v>
      </c>
      <c r="C1855" s="57" t="s">
        <v>23</v>
      </c>
      <c r="D1855" s="57" t="s">
        <v>24</v>
      </c>
      <c r="E1855" s="57" t="s">
        <v>32</v>
      </c>
      <c r="F1855" s="57" t="s">
        <v>25</v>
      </c>
      <c r="G1855" s="57" t="s">
        <v>25</v>
      </c>
      <c r="H1855" s="57" t="s">
        <v>25</v>
      </c>
      <c r="I1855" s="82">
        <v>44470</v>
      </c>
      <c r="J1855" s="83">
        <f>EFEITO!$J$1855*EFEITO!$Y$1666</f>
        <v>0</v>
      </c>
      <c r="K1855" s="83">
        <f ca="1">EFEITO!$L$1855*EFEITO!$Z$1915</f>
        <v>2918969.8705107938</v>
      </c>
      <c r="L1855" s="83">
        <f>EFEITO!$N$1855*EFEITO!$AA$1915</f>
        <v>1885758.2276728058</v>
      </c>
      <c r="M1855" s="83">
        <f>$J$1855-EFEITO!$K$1855*EFEITO!$Y$1855</f>
        <v>0</v>
      </c>
      <c r="N1855" s="83">
        <f ca="1">$K$1855-EFEITO!$M$1855*EFEITO!$Z$1855</f>
        <v>1167587.9482043176</v>
      </c>
      <c r="O1855" s="83">
        <f>$L$1855-EFEITO!$O$1855*EFEITO!$AA$1855</f>
        <v>754303.29106912226</v>
      </c>
      <c r="P1855" s="61"/>
      <c r="Q1855" s="61"/>
      <c r="R1855" s="61"/>
      <c r="S1855" s="61"/>
      <c r="T1855" s="61"/>
      <c r="U1855" s="61"/>
      <c r="V1855" s="61"/>
      <c r="W1855" s="61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/>
      <c r="AJ1855" s="6"/>
    </row>
    <row r="1856" spans="1:36" ht="11.25" customHeight="1" x14ac:dyDescent="0.2">
      <c r="A1856" s="57" t="s">
        <v>59</v>
      </c>
      <c r="B1856" s="57" t="s">
        <v>22</v>
      </c>
      <c r="C1856" s="57" t="s">
        <v>23</v>
      </c>
      <c r="D1856" s="57" t="s">
        <v>24</v>
      </c>
      <c r="E1856" s="57" t="s">
        <v>32</v>
      </c>
      <c r="F1856" s="57" t="s">
        <v>25</v>
      </c>
      <c r="G1856" s="57" t="s">
        <v>25</v>
      </c>
      <c r="H1856" s="57" t="s">
        <v>25</v>
      </c>
      <c r="I1856" s="82">
        <v>44470</v>
      </c>
      <c r="J1856" s="83">
        <f>EFEITO!$J$1856*EFEITO!$Y$1666</f>
        <v>0</v>
      </c>
      <c r="K1856" s="83">
        <f ca="1">EFEITO!$L$1856*EFEITO!$Z$1915</f>
        <v>-3815.1050656127645</v>
      </c>
      <c r="L1856" s="83">
        <f>EFEITO!$N$1856*EFEITO!$AA$1915</f>
        <v>-2464.6933973513474</v>
      </c>
      <c r="M1856" s="83">
        <f>$J$1856-EFEITO!$K$1856*EFEITO!$Y$1856</f>
        <v>0</v>
      </c>
      <c r="N1856" s="83">
        <f ca="1">$K$1856-EFEITO!$M$1856*EFEITO!$Z$1856</f>
        <v>-1526.0420262451057</v>
      </c>
      <c r="O1856" s="83">
        <f>$L$1856-EFEITO!$O$1856*EFEITO!$AA$1856</f>
        <v>-985.8773589405389</v>
      </c>
      <c r="P1856" s="61"/>
      <c r="Q1856" s="61"/>
      <c r="R1856" s="61"/>
      <c r="S1856" s="61"/>
      <c r="T1856" s="61"/>
      <c r="U1856" s="61"/>
      <c r="V1856" s="61"/>
      <c r="W1856" s="61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/>
      <c r="AJ1856" s="6"/>
    </row>
    <row r="1857" spans="1:36" ht="11.25" customHeight="1" x14ac:dyDescent="0.2">
      <c r="A1857" s="57" t="s">
        <v>59</v>
      </c>
      <c r="B1857" s="57" t="s">
        <v>22</v>
      </c>
      <c r="C1857" s="57" t="s">
        <v>23</v>
      </c>
      <c r="D1857" s="57" t="s">
        <v>24</v>
      </c>
      <c r="E1857" s="57" t="s">
        <v>32</v>
      </c>
      <c r="F1857" s="57" t="s">
        <v>25</v>
      </c>
      <c r="G1857" s="57" t="s">
        <v>25</v>
      </c>
      <c r="H1857" s="57" t="s">
        <v>25</v>
      </c>
      <c r="I1857" s="82">
        <v>44470</v>
      </c>
      <c r="J1857" s="83">
        <f>EFEITO!$J$1857*EFEITO!$Y$1666</f>
        <v>0</v>
      </c>
      <c r="K1857" s="83">
        <f ca="1">EFEITO!$L$1857*EFEITO!$Z$1915</f>
        <v>294.88512565510456</v>
      </c>
      <c r="L1857" s="83">
        <f>EFEITO!$N$1857*EFEITO!$AA$1915</f>
        <v>190.50626645390255</v>
      </c>
      <c r="M1857" s="83">
        <f>$J$1857-EFEITO!$K$1857*EFEITO!$Y$1857</f>
        <v>0</v>
      </c>
      <c r="N1857" s="83">
        <f ca="1">$K$1857-EFEITO!$M$1857*EFEITO!$Z$1857</f>
        <v>117.95405026204182</v>
      </c>
      <c r="O1857" s="83">
        <f>$L$1857-EFEITO!$O$1857*EFEITO!$AA$1857</f>
        <v>76.202506581561025</v>
      </c>
      <c r="P1857" s="61"/>
      <c r="Q1857" s="61"/>
      <c r="R1857" s="61"/>
      <c r="S1857" s="61"/>
      <c r="T1857" s="61"/>
      <c r="U1857" s="61"/>
      <c r="V1857" s="61"/>
      <c r="W1857" s="61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/>
      <c r="AJ1857" s="6"/>
    </row>
    <row r="1858" spans="1:36" ht="11.25" customHeight="1" x14ac:dyDescent="0.2">
      <c r="A1858" s="57" t="s">
        <v>21</v>
      </c>
      <c r="B1858" s="57" t="s">
        <v>22</v>
      </c>
      <c r="C1858" s="57" t="s">
        <v>23</v>
      </c>
      <c r="D1858" s="57" t="s">
        <v>24</v>
      </c>
      <c r="E1858" s="57" t="s">
        <v>33</v>
      </c>
      <c r="F1858" s="57" t="s">
        <v>25</v>
      </c>
      <c r="G1858" s="57" t="s">
        <v>25</v>
      </c>
      <c r="H1858" s="57" t="s">
        <v>25</v>
      </c>
      <c r="I1858" s="82">
        <v>44136</v>
      </c>
      <c r="J1858" s="83">
        <f>EFEITO!$J$1858*EFEITO!$Y$1666</f>
        <v>0</v>
      </c>
      <c r="K1858" s="83">
        <f ca="1">EFEITO!$L$1858*EFEITO!$Z$1915</f>
        <v>1456219.5770309039</v>
      </c>
      <c r="L1858" s="83">
        <f>EFEITO!$N$1858*EFEITO!$AA$1915</f>
        <v>940769.57642721443</v>
      </c>
      <c r="M1858" s="83">
        <f>$J$1858-EFEITO!$K$1858*EFEITO!$Y$1858</f>
        <v>0</v>
      </c>
      <c r="N1858" s="83">
        <f ca="1">$K$1858-EFEITO!$M$1858*EFEITO!$Z$1858</f>
        <v>145621.95770309027</v>
      </c>
      <c r="O1858" s="83">
        <f>$L$1858-EFEITO!$O$1858*EFEITO!$AA$1858</f>
        <v>94076.957642721361</v>
      </c>
      <c r="P1858" s="61"/>
      <c r="Q1858" s="61"/>
      <c r="R1858" s="61"/>
      <c r="S1858" s="61"/>
      <c r="T1858" s="61"/>
      <c r="U1858" s="61"/>
      <c r="V1858" s="61"/>
      <c r="W1858" s="61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</row>
    <row r="1859" spans="1:36" ht="11.25" customHeight="1" x14ac:dyDescent="0.2">
      <c r="A1859" s="57" t="s">
        <v>27</v>
      </c>
      <c r="B1859" s="57" t="s">
        <v>22</v>
      </c>
      <c r="C1859" s="57" t="s">
        <v>23</v>
      </c>
      <c r="D1859" s="57" t="s">
        <v>24</v>
      </c>
      <c r="E1859" s="57" t="s">
        <v>33</v>
      </c>
      <c r="F1859" s="57" t="s">
        <v>25</v>
      </c>
      <c r="G1859" s="57" t="s">
        <v>25</v>
      </c>
      <c r="H1859" s="57" t="s">
        <v>25</v>
      </c>
      <c r="I1859" s="82">
        <v>44136</v>
      </c>
      <c r="J1859" s="83">
        <f>EFEITO!$J$1859*EFEITO!$Y$1666</f>
        <v>0</v>
      </c>
      <c r="K1859" s="83">
        <f ca="1">EFEITO!$L$1859*EFEITO!$Z$1915</f>
        <v>-3572.2043692853149</v>
      </c>
      <c r="L1859" s="83">
        <f>EFEITO!$N$1859*EFEITO!$AA$1915</f>
        <v>-2307.770918899459</v>
      </c>
      <c r="M1859" s="83">
        <f>$J$1859-EFEITO!$K$1859*EFEITO!$Y$1859</f>
        <v>0</v>
      </c>
      <c r="N1859" s="83">
        <f ca="1">$K$1859-EFEITO!$M$1859*EFEITO!$Z$1859</f>
        <v>-357.2204369285314</v>
      </c>
      <c r="O1859" s="83">
        <f>$L$1859-EFEITO!$O$1859*EFEITO!$AA$1859</f>
        <v>-230.77709188994595</v>
      </c>
      <c r="P1859" s="61"/>
      <c r="Q1859" s="61"/>
      <c r="R1859" s="61"/>
      <c r="S1859" s="61"/>
      <c r="T1859" s="61"/>
      <c r="U1859" s="61"/>
      <c r="V1859" s="61"/>
      <c r="W1859" s="61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</row>
    <row r="1860" spans="1:36" ht="11.25" customHeight="1" x14ac:dyDescent="0.2">
      <c r="A1860" s="57" t="s">
        <v>28</v>
      </c>
      <c r="B1860" s="57" t="s">
        <v>22</v>
      </c>
      <c r="C1860" s="57" t="s">
        <v>23</v>
      </c>
      <c r="D1860" s="57" t="s">
        <v>24</v>
      </c>
      <c r="E1860" s="57" t="s">
        <v>33</v>
      </c>
      <c r="F1860" s="57" t="s">
        <v>25</v>
      </c>
      <c r="G1860" s="57" t="s">
        <v>25</v>
      </c>
      <c r="H1860" s="57" t="s">
        <v>25</v>
      </c>
      <c r="I1860" s="82">
        <v>44136</v>
      </c>
      <c r="J1860" s="83">
        <f>EFEITO!$J$1860*EFEITO!$Y$1666</f>
        <v>0</v>
      </c>
      <c r="K1860" s="83">
        <f ca="1">EFEITO!$L$1860*EFEITO!$Z$1915</f>
        <v>2236529.3232380813</v>
      </c>
      <c r="L1860" s="83">
        <f>EFEITO!$N$1860*EFEITO!$AA$1915</f>
        <v>1444877.3916222954</v>
      </c>
      <c r="M1860" s="83">
        <f>$J$1860-EFEITO!$K$1860*EFEITO!$Y$1860</f>
        <v>0</v>
      </c>
      <c r="N1860" s="83">
        <f ca="1">$K$1860-EFEITO!$M$1860*EFEITO!$Z$1860</f>
        <v>223652.93232380808</v>
      </c>
      <c r="O1860" s="83">
        <f>$L$1860-EFEITO!$O$1860*EFEITO!$AA$1860</f>
        <v>144487.73916222947</v>
      </c>
      <c r="P1860" s="61"/>
      <c r="Q1860" s="61"/>
      <c r="R1860" s="61"/>
      <c r="S1860" s="61"/>
      <c r="T1860" s="61"/>
      <c r="U1860" s="61"/>
      <c r="V1860" s="61"/>
      <c r="W1860" s="61"/>
      <c r="X1860" s="6"/>
      <c r="Y1860" s="6"/>
      <c r="Z1860" s="6"/>
      <c r="AA1860" s="6"/>
      <c r="AB1860" s="6"/>
      <c r="AC1860" s="6"/>
      <c r="AD1860" s="6"/>
      <c r="AE1860" s="6"/>
      <c r="AF1860" s="6"/>
      <c r="AG1860" s="6"/>
      <c r="AH1860" s="6"/>
      <c r="AI1860" s="6"/>
      <c r="AJ1860" s="6"/>
    </row>
    <row r="1861" spans="1:36" ht="11.25" customHeight="1" x14ac:dyDescent="0.2">
      <c r="A1861" s="57" t="s">
        <v>29</v>
      </c>
      <c r="B1861" s="57" t="s">
        <v>22</v>
      </c>
      <c r="C1861" s="57" t="s">
        <v>23</v>
      </c>
      <c r="D1861" s="57" t="s">
        <v>24</v>
      </c>
      <c r="E1861" s="57" t="s">
        <v>33</v>
      </c>
      <c r="F1861" s="57" t="s">
        <v>25</v>
      </c>
      <c r="G1861" s="57" t="s">
        <v>25</v>
      </c>
      <c r="H1861" s="57" t="s">
        <v>25</v>
      </c>
      <c r="I1861" s="82">
        <v>44136</v>
      </c>
      <c r="J1861" s="83">
        <f>EFEITO!$J$1861*EFEITO!$Y$1666</f>
        <v>0</v>
      </c>
      <c r="K1861" s="83">
        <f ca="1">EFEITO!$L$1861*EFEITO!$Z$1915</f>
        <v>-3559.323271752799</v>
      </c>
      <c r="L1861" s="83">
        <f>EFEITO!$N$1861*EFEITO!$AA$1915</f>
        <v>-2299.4492723148892</v>
      </c>
      <c r="M1861" s="83">
        <f>$J$1861-EFEITO!$K$1861*EFEITO!$Y$1861</f>
        <v>0</v>
      </c>
      <c r="N1861" s="83">
        <f ca="1">$K$1861-EFEITO!$M$1861*EFEITO!$Z$1861</f>
        <v>-355.93232717528008</v>
      </c>
      <c r="O1861" s="83">
        <f>$L$1861-EFEITO!$O$1861*EFEITO!$AA$1861</f>
        <v>-229.94492723148869</v>
      </c>
      <c r="P1861" s="61"/>
      <c r="Q1861" s="61"/>
      <c r="R1861" s="61"/>
      <c r="S1861" s="61"/>
      <c r="T1861" s="61"/>
      <c r="U1861" s="61"/>
      <c r="V1861" s="61"/>
      <c r="W1861" s="61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</row>
    <row r="1862" spans="1:36" ht="11.25" customHeight="1" x14ac:dyDescent="0.2">
      <c r="A1862" s="57" t="s">
        <v>21</v>
      </c>
      <c r="B1862" s="57" t="s">
        <v>22</v>
      </c>
      <c r="C1862" s="57" t="s">
        <v>23</v>
      </c>
      <c r="D1862" s="57" t="s">
        <v>24</v>
      </c>
      <c r="E1862" s="57" t="s">
        <v>33</v>
      </c>
      <c r="F1862" s="57" t="s">
        <v>25</v>
      </c>
      <c r="G1862" s="57" t="s">
        <v>25</v>
      </c>
      <c r="H1862" s="57" t="s">
        <v>25</v>
      </c>
      <c r="I1862" s="82">
        <v>44166</v>
      </c>
      <c r="J1862" s="83">
        <f>EFEITO!$J$1862*EFEITO!$Y$1666</f>
        <v>0</v>
      </c>
      <c r="K1862" s="83">
        <f ca="1">EFEITO!$L$1862*EFEITO!$Z$1915</f>
        <v>1635310.5364566508</v>
      </c>
      <c r="L1862" s="83">
        <f>EFEITO!$N$1862*EFEITO!$AA$1915</f>
        <v>1056468.69811079</v>
      </c>
      <c r="M1862" s="83">
        <f>$J$1862-EFEITO!$K$1862*EFEITO!$Y$1862</f>
        <v>0</v>
      </c>
      <c r="N1862" s="83">
        <f ca="1">$K$1862-EFEITO!$M$1862*EFEITO!$Z$1862</f>
        <v>163531.05364566506</v>
      </c>
      <c r="O1862" s="83">
        <f>$L$1862-EFEITO!$O$1862*EFEITO!$AA$1862</f>
        <v>105646.86981107888</v>
      </c>
      <c r="P1862" s="61"/>
      <c r="Q1862" s="61"/>
      <c r="R1862" s="61"/>
      <c r="S1862" s="61"/>
      <c r="T1862" s="61"/>
      <c r="U1862" s="61"/>
      <c r="V1862" s="61"/>
      <c r="W1862" s="61"/>
      <c r="X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</row>
    <row r="1863" spans="1:36" ht="11.25" customHeight="1" x14ac:dyDescent="0.2">
      <c r="A1863" s="57" t="s">
        <v>27</v>
      </c>
      <c r="B1863" s="57" t="s">
        <v>22</v>
      </c>
      <c r="C1863" s="57" t="s">
        <v>23</v>
      </c>
      <c r="D1863" s="57" t="s">
        <v>24</v>
      </c>
      <c r="E1863" s="57" t="s">
        <v>33</v>
      </c>
      <c r="F1863" s="57" t="s">
        <v>25</v>
      </c>
      <c r="G1863" s="57" t="s">
        <v>25</v>
      </c>
      <c r="H1863" s="57" t="s">
        <v>25</v>
      </c>
      <c r="I1863" s="82">
        <v>44166</v>
      </c>
      <c r="J1863" s="83">
        <f>EFEITO!$J$1863*EFEITO!$Y$1666</f>
        <v>0</v>
      </c>
      <c r="K1863" s="83">
        <f ca="1">EFEITO!$L$1863*EFEITO!$Z$1915</f>
        <v>-4604.9923678745654</v>
      </c>
      <c r="L1863" s="83">
        <f>EFEITO!$N$1863*EFEITO!$AA$1915</f>
        <v>-2974.9886539837198</v>
      </c>
      <c r="M1863" s="83">
        <f>$J$1863-EFEITO!$K$1863*EFEITO!$Y$1863</f>
        <v>0</v>
      </c>
      <c r="N1863" s="83">
        <f ca="1">$K$1863-EFEITO!$M$1863*EFEITO!$Z$1863</f>
        <v>-460.49923678745654</v>
      </c>
      <c r="O1863" s="83">
        <f>$L$1863-EFEITO!$O$1863*EFEITO!$AA$1863</f>
        <v>-297.49886539837189</v>
      </c>
      <c r="P1863" s="61"/>
      <c r="Q1863" s="61"/>
      <c r="R1863" s="61"/>
      <c r="S1863" s="61"/>
      <c r="T1863" s="61"/>
      <c r="U1863" s="61"/>
      <c r="V1863" s="61"/>
      <c r="W1863" s="61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</row>
    <row r="1864" spans="1:36" ht="11.25" customHeight="1" x14ac:dyDescent="0.2">
      <c r="A1864" s="57" t="s">
        <v>28</v>
      </c>
      <c r="B1864" s="57" t="s">
        <v>22</v>
      </c>
      <c r="C1864" s="57" t="s">
        <v>23</v>
      </c>
      <c r="D1864" s="57" t="s">
        <v>24</v>
      </c>
      <c r="E1864" s="57" t="s">
        <v>33</v>
      </c>
      <c r="F1864" s="57" t="s">
        <v>25</v>
      </c>
      <c r="G1864" s="57" t="s">
        <v>25</v>
      </c>
      <c r="H1864" s="57" t="s">
        <v>25</v>
      </c>
      <c r="I1864" s="82">
        <v>44166</v>
      </c>
      <c r="J1864" s="83">
        <f>EFEITO!$J$1864*EFEITO!$Y$1666</f>
        <v>0</v>
      </c>
      <c r="K1864" s="83">
        <f ca="1">EFEITO!$L$1864*EFEITO!$Z$1915</f>
        <v>2341320.7319786823</v>
      </c>
      <c r="L1864" s="83">
        <f>EFEITO!$N$1864*EFEITO!$AA$1915</f>
        <v>1512576.364201081</v>
      </c>
      <c r="M1864" s="83">
        <f>$J$1864-EFEITO!$K$1864*EFEITO!$Y$1864</f>
        <v>0</v>
      </c>
      <c r="N1864" s="83">
        <f ca="1">$K$1864-EFEITO!$M$1864*EFEITO!$Z$1864</f>
        <v>234132.07319786819</v>
      </c>
      <c r="O1864" s="83">
        <f>$L$1864-EFEITO!$O$1864*EFEITO!$AA$1864</f>
        <v>151257.63642010791</v>
      </c>
      <c r="P1864" s="61"/>
      <c r="Q1864" s="61"/>
      <c r="R1864" s="61"/>
      <c r="S1864" s="61"/>
      <c r="T1864" s="61"/>
      <c r="U1864" s="61"/>
      <c r="V1864" s="61"/>
      <c r="W1864" s="61"/>
      <c r="X1864" s="6"/>
      <c r="Y1864" s="6"/>
      <c r="Z1864" s="6"/>
      <c r="AA1864" s="6"/>
      <c r="AB1864" s="6"/>
      <c r="AC1864" s="6"/>
      <c r="AD1864" s="6"/>
      <c r="AE1864" s="6"/>
      <c r="AF1864" s="6"/>
      <c r="AG1864" s="6"/>
      <c r="AH1864" s="6"/>
      <c r="AI1864" s="6"/>
      <c r="AJ1864" s="6"/>
    </row>
    <row r="1865" spans="1:36" ht="11.25" customHeight="1" x14ac:dyDescent="0.2">
      <c r="A1865" s="57" t="s">
        <v>29</v>
      </c>
      <c r="B1865" s="57" t="s">
        <v>22</v>
      </c>
      <c r="C1865" s="57" t="s">
        <v>23</v>
      </c>
      <c r="D1865" s="57" t="s">
        <v>24</v>
      </c>
      <c r="E1865" s="57" t="s">
        <v>33</v>
      </c>
      <c r="F1865" s="57" t="s">
        <v>25</v>
      </c>
      <c r="G1865" s="57" t="s">
        <v>25</v>
      </c>
      <c r="H1865" s="57" t="s">
        <v>25</v>
      </c>
      <c r="I1865" s="82">
        <v>44166</v>
      </c>
      <c r="J1865" s="83">
        <f>EFEITO!$J$1865*EFEITO!$Y$1666</f>
        <v>0</v>
      </c>
      <c r="K1865" s="83">
        <f ca="1">EFEITO!$L$1865*EFEITO!$Z$1915</f>
        <v>-4626.6142101612895</v>
      </c>
      <c r="L1865" s="83">
        <f>EFEITO!$N$1865*EFEITO!$AA$1915</f>
        <v>-2988.9571321792478</v>
      </c>
      <c r="M1865" s="83">
        <f>$J$1865-EFEITO!$K$1865*EFEITO!$Y$1865</f>
        <v>0</v>
      </c>
      <c r="N1865" s="83">
        <f ca="1">$K$1865-EFEITO!$M$1865*EFEITO!$Z$1865</f>
        <v>-462.66142101612877</v>
      </c>
      <c r="O1865" s="83">
        <f>$L$1865-EFEITO!$O$1865*EFEITO!$AA$1865</f>
        <v>-298.89571321792437</v>
      </c>
      <c r="P1865" s="61"/>
      <c r="Q1865" s="61"/>
      <c r="R1865" s="61"/>
      <c r="S1865" s="61"/>
      <c r="T1865" s="61"/>
      <c r="U1865" s="61"/>
      <c r="V1865" s="61"/>
      <c r="W1865" s="61"/>
      <c r="X1865" s="6"/>
      <c r="Y1865" s="6"/>
      <c r="Z1865" s="6"/>
      <c r="AA1865" s="6"/>
      <c r="AB1865" s="6"/>
      <c r="AC1865" s="6"/>
      <c r="AD1865" s="6"/>
      <c r="AE1865" s="6"/>
      <c r="AF1865" s="6"/>
      <c r="AG1865" s="6"/>
      <c r="AH1865" s="6"/>
      <c r="AI1865" s="6"/>
      <c r="AJ1865" s="6"/>
    </row>
    <row r="1866" spans="1:36" ht="11.25" customHeight="1" x14ac:dyDescent="0.2">
      <c r="A1866" s="57" t="s">
        <v>21</v>
      </c>
      <c r="B1866" s="57" t="s">
        <v>22</v>
      </c>
      <c r="C1866" s="57" t="s">
        <v>23</v>
      </c>
      <c r="D1866" s="57" t="s">
        <v>24</v>
      </c>
      <c r="E1866" s="57" t="s">
        <v>33</v>
      </c>
      <c r="F1866" s="57" t="s">
        <v>25</v>
      </c>
      <c r="G1866" s="57" t="s">
        <v>25</v>
      </c>
      <c r="H1866" s="57" t="s">
        <v>25</v>
      </c>
      <c r="I1866" s="82">
        <v>44197</v>
      </c>
      <c r="J1866" s="83">
        <f>EFEITO!$J$1866*EFEITO!$Y$1666</f>
        <v>0</v>
      </c>
      <c r="K1866" s="83">
        <f ca="1">EFEITO!$L$1866*EFEITO!$Z$1915</f>
        <v>1737539.5268666761</v>
      </c>
      <c r="L1866" s="83">
        <f>EFEITO!$N$1866*EFEITO!$AA$1915</f>
        <v>1122512.2574225739</v>
      </c>
      <c r="M1866" s="83">
        <f>$J$1866-EFEITO!$K$1866*EFEITO!$Y$1866</f>
        <v>0</v>
      </c>
      <c r="N1866" s="83">
        <f ca="1">$K$1866-EFEITO!$M$1866*EFEITO!$Z$1866</f>
        <v>173753.95268666768</v>
      </c>
      <c r="O1866" s="83">
        <f>$L$1866-EFEITO!$O$1866*EFEITO!$AA$1866</f>
        <v>112251.22574225743</v>
      </c>
      <c r="P1866" s="61"/>
      <c r="Q1866" s="61"/>
      <c r="R1866" s="61"/>
      <c r="S1866" s="61"/>
      <c r="T1866" s="61"/>
      <c r="U1866" s="61"/>
      <c r="V1866" s="61"/>
      <c r="W1866" s="61"/>
      <c r="X1866" s="6"/>
      <c r="Y1866" s="6"/>
      <c r="Z1866" s="6"/>
      <c r="AA1866" s="6"/>
      <c r="AB1866" s="6"/>
      <c r="AC1866" s="6"/>
      <c r="AD1866" s="6"/>
      <c r="AE1866" s="6"/>
      <c r="AF1866" s="6"/>
      <c r="AG1866" s="6"/>
      <c r="AH1866" s="6"/>
      <c r="AI1866" s="6"/>
      <c r="AJ1866" s="6"/>
    </row>
    <row r="1867" spans="1:36" ht="11.25" customHeight="1" x14ac:dyDescent="0.2">
      <c r="A1867" s="57" t="s">
        <v>27</v>
      </c>
      <c r="B1867" s="57" t="s">
        <v>22</v>
      </c>
      <c r="C1867" s="57" t="s">
        <v>23</v>
      </c>
      <c r="D1867" s="57" t="s">
        <v>24</v>
      </c>
      <c r="E1867" s="57" t="s">
        <v>33</v>
      </c>
      <c r="F1867" s="57" t="s">
        <v>25</v>
      </c>
      <c r="G1867" s="57" t="s">
        <v>25</v>
      </c>
      <c r="H1867" s="57" t="s">
        <v>25</v>
      </c>
      <c r="I1867" s="82">
        <v>44197</v>
      </c>
      <c r="J1867" s="83">
        <f>EFEITO!$J$1867*EFEITO!$Y$1666</f>
        <v>0</v>
      </c>
      <c r="K1867" s="83">
        <f ca="1">EFEITO!$L$1867*EFEITO!$Z$1915</f>
        <v>-6629.1648372699792</v>
      </c>
      <c r="L1867" s="83">
        <f>EFEITO!$N$1867*EFEITO!$AA$1915</f>
        <v>-4282.6759744161245</v>
      </c>
      <c r="M1867" s="83">
        <f>$J$1867-EFEITO!$K$1867*EFEITO!$Y$1867</f>
        <v>0</v>
      </c>
      <c r="N1867" s="83">
        <f ca="1">$K$1867-EFEITO!$M$1867*EFEITO!$Z$1867</f>
        <v>-662.91648372699819</v>
      </c>
      <c r="O1867" s="83">
        <f>$L$1867-EFEITO!$O$1867*EFEITO!$AA$1867</f>
        <v>-428.26759744161245</v>
      </c>
      <c r="P1867" s="61"/>
      <c r="Q1867" s="61"/>
      <c r="R1867" s="61"/>
      <c r="S1867" s="61"/>
      <c r="T1867" s="61"/>
      <c r="U1867" s="61"/>
      <c r="V1867" s="61"/>
      <c r="W1867" s="61"/>
      <c r="X1867" s="6"/>
      <c r="Y1867" s="6"/>
      <c r="Z1867" s="6"/>
      <c r="AA1867" s="6"/>
      <c r="AB1867" s="6"/>
      <c r="AC1867" s="6"/>
      <c r="AD1867" s="6"/>
      <c r="AE1867" s="6"/>
      <c r="AF1867" s="6"/>
      <c r="AG1867" s="6"/>
      <c r="AH1867" s="6"/>
      <c r="AI1867" s="6"/>
      <c r="AJ1867" s="6"/>
    </row>
    <row r="1868" spans="1:36" ht="11.25" customHeight="1" x14ac:dyDescent="0.2">
      <c r="A1868" s="57" t="s">
        <v>28</v>
      </c>
      <c r="B1868" s="57" t="s">
        <v>22</v>
      </c>
      <c r="C1868" s="57" t="s">
        <v>23</v>
      </c>
      <c r="D1868" s="57" t="s">
        <v>24</v>
      </c>
      <c r="E1868" s="57" t="s">
        <v>33</v>
      </c>
      <c r="F1868" s="57" t="s">
        <v>25</v>
      </c>
      <c r="G1868" s="57" t="s">
        <v>25</v>
      </c>
      <c r="H1868" s="57" t="s">
        <v>25</v>
      </c>
      <c r="I1868" s="82">
        <v>44197</v>
      </c>
      <c r="J1868" s="83">
        <f>EFEITO!$J$1868*EFEITO!$Y$1666</f>
        <v>0</v>
      </c>
      <c r="K1868" s="83">
        <f ca="1">EFEITO!$L$1868*EFEITO!$Z$1915</f>
        <v>2212761.398094601</v>
      </c>
      <c r="L1868" s="83">
        <f>EFEITO!$N$1868*EFEITO!$AA$1915</f>
        <v>1429522.4676654453</v>
      </c>
      <c r="M1868" s="83">
        <f>$J$1868-EFEITO!$K$1868*EFEITO!$Y$1868</f>
        <v>0</v>
      </c>
      <c r="N1868" s="83">
        <f ca="1">$K$1868-EFEITO!$M$1868*EFEITO!$Z$1868</f>
        <v>221276.13980946015</v>
      </c>
      <c r="O1868" s="83">
        <f>$L$1868-EFEITO!$O$1868*EFEITO!$AA$1868</f>
        <v>142952.24676654441</v>
      </c>
      <c r="P1868" s="61"/>
      <c r="Q1868" s="61"/>
      <c r="R1868" s="61"/>
      <c r="S1868" s="61"/>
      <c r="T1868" s="61"/>
      <c r="U1868" s="61"/>
      <c r="V1868" s="61"/>
      <c r="W1868" s="61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</row>
    <row r="1869" spans="1:36" ht="11.25" customHeight="1" x14ac:dyDescent="0.2">
      <c r="A1869" s="57" t="s">
        <v>29</v>
      </c>
      <c r="B1869" s="57" t="s">
        <v>22</v>
      </c>
      <c r="C1869" s="57" t="s">
        <v>23</v>
      </c>
      <c r="D1869" s="57" t="s">
        <v>24</v>
      </c>
      <c r="E1869" s="57" t="s">
        <v>33</v>
      </c>
      <c r="F1869" s="57" t="s">
        <v>25</v>
      </c>
      <c r="G1869" s="57" t="s">
        <v>25</v>
      </c>
      <c r="H1869" s="57" t="s">
        <v>25</v>
      </c>
      <c r="I1869" s="82">
        <v>44197</v>
      </c>
      <c r="J1869" s="83">
        <f>EFEITO!$J$1869*EFEITO!$Y$1666</f>
        <v>0</v>
      </c>
      <c r="K1869" s="83">
        <f ca="1">EFEITO!$L$1869*EFEITO!$Z$1915</f>
        <v>-3065.7012127388716</v>
      </c>
      <c r="L1869" s="83">
        <f>EFEITO!$N$1869*EFEITO!$AA$1915</f>
        <v>-1980.5518871276231</v>
      </c>
      <c r="M1869" s="83">
        <f>$J$1869-EFEITO!$K$1869*EFEITO!$Y$1869</f>
        <v>0</v>
      </c>
      <c r="N1869" s="83">
        <f ca="1">$K$1869-EFEITO!$M$1869*EFEITO!$Z$1869</f>
        <v>-306.57012127388725</v>
      </c>
      <c r="O1869" s="83">
        <f>$L$1869-EFEITO!$O$1869*EFEITO!$AA$1869</f>
        <v>-198.05518871276217</v>
      </c>
      <c r="P1869" s="61"/>
      <c r="Q1869" s="61"/>
      <c r="R1869" s="61"/>
      <c r="S1869" s="61"/>
      <c r="T1869" s="61"/>
      <c r="U1869" s="61"/>
      <c r="V1869" s="61"/>
      <c r="W1869" s="61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</row>
    <row r="1870" spans="1:36" ht="11.25" customHeight="1" x14ac:dyDescent="0.2">
      <c r="A1870" s="57" t="s">
        <v>21</v>
      </c>
      <c r="B1870" s="57" t="s">
        <v>22</v>
      </c>
      <c r="C1870" s="57" t="s">
        <v>23</v>
      </c>
      <c r="D1870" s="57" t="s">
        <v>24</v>
      </c>
      <c r="E1870" s="57" t="s">
        <v>33</v>
      </c>
      <c r="F1870" s="57" t="s">
        <v>25</v>
      </c>
      <c r="G1870" s="57" t="s">
        <v>25</v>
      </c>
      <c r="H1870" s="57" t="s">
        <v>25</v>
      </c>
      <c r="I1870" s="82">
        <v>44228</v>
      </c>
      <c r="J1870" s="83">
        <f>EFEITO!$J$1870*EFEITO!$Y$1666</f>
        <v>0</v>
      </c>
      <c r="K1870" s="83">
        <f ca="1">EFEITO!$L$1870*EFEITO!$Z$1915</f>
        <v>1447828.4620668646</v>
      </c>
      <c r="L1870" s="83">
        <f>EFEITO!$N$1870*EFEITO!$AA$1915</f>
        <v>935348.61808069458</v>
      </c>
      <c r="M1870" s="83">
        <f>$J$1870-EFEITO!$K$1870*EFEITO!$Y$1870</f>
        <v>0</v>
      </c>
      <c r="N1870" s="83">
        <f ca="1">$K$1870-EFEITO!$M$1870*EFEITO!$Z$1870</f>
        <v>144782.84620668646</v>
      </c>
      <c r="O1870" s="83">
        <f>$L$1870-EFEITO!$O$1870*EFEITO!$AA$1870</f>
        <v>93534.861808069283</v>
      </c>
      <c r="P1870" s="61"/>
      <c r="Q1870" s="61"/>
      <c r="R1870" s="61"/>
      <c r="S1870" s="61"/>
      <c r="T1870" s="61"/>
      <c r="U1870" s="61"/>
      <c r="V1870" s="61"/>
      <c r="W1870" s="61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</row>
    <row r="1871" spans="1:36" ht="11.25" customHeight="1" x14ac:dyDescent="0.2">
      <c r="A1871" s="57" t="s">
        <v>27</v>
      </c>
      <c r="B1871" s="57" t="s">
        <v>22</v>
      </c>
      <c r="C1871" s="57" t="s">
        <v>23</v>
      </c>
      <c r="D1871" s="57" t="s">
        <v>24</v>
      </c>
      <c r="E1871" s="57" t="s">
        <v>33</v>
      </c>
      <c r="F1871" s="57" t="s">
        <v>25</v>
      </c>
      <c r="G1871" s="57" t="s">
        <v>25</v>
      </c>
      <c r="H1871" s="57" t="s">
        <v>25</v>
      </c>
      <c r="I1871" s="82">
        <v>44228</v>
      </c>
      <c r="J1871" s="83">
        <f>EFEITO!$J$1871*EFEITO!$Y$1666</f>
        <v>0</v>
      </c>
      <c r="K1871" s="83">
        <f ca="1">EFEITO!$L$1871*EFEITO!$Z$1915</f>
        <v>-5150.5988562161474</v>
      </c>
      <c r="L1871" s="83">
        <f>EFEITO!$N$1871*EFEITO!$AA$1915</f>
        <v>-3327.4698271729999</v>
      </c>
      <c r="M1871" s="83">
        <f>$J$1871-EFEITO!$K$1871*EFEITO!$Y$1871</f>
        <v>0</v>
      </c>
      <c r="N1871" s="83">
        <f ca="1">$K$1871-EFEITO!$M$1871*EFEITO!$Z$1871</f>
        <v>-515.05988562161474</v>
      </c>
      <c r="O1871" s="83">
        <f>$L$1871-EFEITO!$O$1871*EFEITO!$AA$1871</f>
        <v>-332.74698271729994</v>
      </c>
      <c r="P1871" s="61"/>
      <c r="Q1871" s="61"/>
      <c r="R1871" s="61"/>
      <c r="S1871" s="61"/>
      <c r="T1871" s="61"/>
      <c r="U1871" s="61"/>
      <c r="V1871" s="61"/>
      <c r="W1871" s="61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</row>
    <row r="1872" spans="1:36" ht="11.25" customHeight="1" x14ac:dyDescent="0.2">
      <c r="A1872" s="57" t="s">
        <v>28</v>
      </c>
      <c r="B1872" s="57" t="s">
        <v>22</v>
      </c>
      <c r="C1872" s="57" t="s">
        <v>23</v>
      </c>
      <c r="D1872" s="57" t="s">
        <v>24</v>
      </c>
      <c r="E1872" s="57" t="s">
        <v>33</v>
      </c>
      <c r="F1872" s="57" t="s">
        <v>25</v>
      </c>
      <c r="G1872" s="57" t="s">
        <v>25</v>
      </c>
      <c r="H1872" s="57" t="s">
        <v>25</v>
      </c>
      <c r="I1872" s="82">
        <v>44228</v>
      </c>
      <c r="J1872" s="83">
        <f>EFEITO!$J$1872*EFEITO!$Y$1666</f>
        <v>0</v>
      </c>
      <c r="K1872" s="83">
        <f ca="1">EFEITO!$L$1872*EFEITO!$Z$1915</f>
        <v>2060282.3261318351</v>
      </c>
      <c r="L1872" s="83">
        <f>EFEITO!$N$1872*EFEITO!$AA$1915</f>
        <v>1331015.5706239273</v>
      </c>
      <c r="M1872" s="83">
        <f>$J$1872-EFEITO!$K$1872*EFEITO!$Y$1872</f>
        <v>0</v>
      </c>
      <c r="N1872" s="83">
        <f ca="1">$K$1872-EFEITO!$M$1872*EFEITO!$Z$1872</f>
        <v>206028.23261318356</v>
      </c>
      <c r="O1872" s="83">
        <f>$L$1872-EFEITO!$O$1872*EFEITO!$AA$1872</f>
        <v>133101.55706239259</v>
      </c>
      <c r="P1872" s="61"/>
      <c r="Q1872" s="61"/>
      <c r="R1872" s="61"/>
      <c r="S1872" s="61"/>
      <c r="T1872" s="61"/>
      <c r="U1872" s="61"/>
      <c r="V1872" s="61"/>
      <c r="W1872" s="61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</row>
    <row r="1873" spans="1:36" ht="11.25" customHeight="1" x14ac:dyDescent="0.2">
      <c r="A1873" s="57" t="s">
        <v>29</v>
      </c>
      <c r="B1873" s="57" t="s">
        <v>22</v>
      </c>
      <c r="C1873" s="57" t="s">
        <v>23</v>
      </c>
      <c r="D1873" s="57" t="s">
        <v>24</v>
      </c>
      <c r="E1873" s="57" t="s">
        <v>33</v>
      </c>
      <c r="F1873" s="57" t="s">
        <v>25</v>
      </c>
      <c r="G1873" s="57" t="s">
        <v>25</v>
      </c>
      <c r="H1873" s="57" t="s">
        <v>25</v>
      </c>
      <c r="I1873" s="82">
        <v>44228</v>
      </c>
      <c r="J1873" s="83">
        <f>EFEITO!$J$1873*EFEITO!$Y$1666</f>
        <v>0</v>
      </c>
      <c r="K1873" s="83">
        <f ca="1">EFEITO!$L$1873*EFEITO!$Z$1915</f>
        <v>-6544.5176249134447</v>
      </c>
      <c r="L1873" s="83">
        <f>EFEITO!$N$1873*EFEITO!$AA$1915</f>
        <v>-4227.9908682889509</v>
      </c>
      <c r="M1873" s="83">
        <f>$J$1873-EFEITO!$K$1873*EFEITO!$Y$1873</f>
        <v>0</v>
      </c>
      <c r="N1873" s="83">
        <f ca="1">$K$1873-EFEITO!$M$1873*EFEITO!$Z$1873</f>
        <v>-654.45176249134511</v>
      </c>
      <c r="O1873" s="83">
        <f>$L$1873-EFEITO!$O$1873*EFEITO!$AA$1873</f>
        <v>-422.79908682889436</v>
      </c>
      <c r="P1873" s="61"/>
      <c r="Q1873" s="61"/>
      <c r="R1873" s="61"/>
      <c r="S1873" s="61"/>
      <c r="T1873" s="61"/>
      <c r="U1873" s="61"/>
      <c r="V1873" s="61"/>
      <c r="W1873" s="61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</row>
    <row r="1874" spans="1:36" ht="11.25" customHeight="1" x14ac:dyDescent="0.2">
      <c r="A1874" s="57" t="s">
        <v>21</v>
      </c>
      <c r="B1874" s="57" t="s">
        <v>22</v>
      </c>
      <c r="C1874" s="57" t="s">
        <v>23</v>
      </c>
      <c r="D1874" s="57" t="s">
        <v>24</v>
      </c>
      <c r="E1874" s="57" t="s">
        <v>33</v>
      </c>
      <c r="F1874" s="57" t="s">
        <v>25</v>
      </c>
      <c r="G1874" s="57" t="s">
        <v>25</v>
      </c>
      <c r="H1874" s="57" t="s">
        <v>25</v>
      </c>
      <c r="I1874" s="82">
        <v>44256</v>
      </c>
      <c r="J1874" s="83">
        <f>EFEITO!$J$1874*EFEITO!$Y$1666</f>
        <v>0</v>
      </c>
      <c r="K1874" s="83">
        <f ca="1">EFEITO!$L$1874*EFEITO!$Z$1915</f>
        <v>1541662.6571992699</v>
      </c>
      <c r="L1874" s="83">
        <f>EFEITO!$N$1874*EFEITO!$AA$1915</f>
        <v>995968.84143264871</v>
      </c>
      <c r="M1874" s="83">
        <f>$J$1874-EFEITO!$K$1874*EFEITO!$Y$1874</f>
        <v>0</v>
      </c>
      <c r="N1874" s="83">
        <f ca="1">$K$1874-EFEITO!$M$1874*EFEITO!$Z$1874</f>
        <v>154166.26571992692</v>
      </c>
      <c r="O1874" s="83">
        <f>$L$1874-EFEITO!$O$1874*EFEITO!$AA$1874</f>
        <v>99596.884143264848</v>
      </c>
      <c r="P1874" s="61"/>
      <c r="Q1874" s="61"/>
      <c r="R1874" s="61"/>
      <c r="S1874" s="61"/>
      <c r="T1874" s="61"/>
      <c r="U1874" s="61"/>
      <c r="V1874" s="61"/>
      <c r="W1874" s="61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</row>
    <row r="1875" spans="1:36" ht="11.25" customHeight="1" x14ac:dyDescent="0.2">
      <c r="A1875" s="57" t="s">
        <v>27</v>
      </c>
      <c r="B1875" s="57" t="s">
        <v>22</v>
      </c>
      <c r="C1875" s="57" t="s">
        <v>23</v>
      </c>
      <c r="D1875" s="57" t="s">
        <v>24</v>
      </c>
      <c r="E1875" s="57" t="s">
        <v>33</v>
      </c>
      <c r="F1875" s="57" t="s">
        <v>25</v>
      </c>
      <c r="G1875" s="57" t="s">
        <v>25</v>
      </c>
      <c r="H1875" s="57" t="s">
        <v>25</v>
      </c>
      <c r="I1875" s="82">
        <v>44256</v>
      </c>
      <c r="J1875" s="83">
        <f>EFEITO!$J$1875*EFEITO!$Y$1666</f>
        <v>0</v>
      </c>
      <c r="K1875" s="83">
        <f ca="1">EFEITO!$L$1875*EFEITO!$Z$1915</f>
        <v>-21223.908380808502</v>
      </c>
      <c r="L1875" s="83">
        <f>EFEITO!$N$1875*EFEITO!$AA$1915</f>
        <v>-13711.398756397493</v>
      </c>
      <c r="M1875" s="83">
        <f>$J$1875-EFEITO!$K$1875*EFEITO!$Y$1875</f>
        <v>0</v>
      </c>
      <c r="N1875" s="83">
        <f ca="1">$K$1875-EFEITO!$M$1875*EFEITO!$Z$1875</f>
        <v>-2122.3908380808534</v>
      </c>
      <c r="O1875" s="83">
        <f>$L$1875-EFEITO!$O$1875*EFEITO!$AA$1875</f>
        <v>-1371.1398756397484</v>
      </c>
      <c r="P1875" s="61"/>
      <c r="Q1875" s="61"/>
      <c r="R1875" s="61"/>
      <c r="S1875" s="61"/>
      <c r="T1875" s="61"/>
      <c r="U1875" s="61"/>
      <c r="V1875" s="61"/>
      <c r="W1875" s="61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</row>
    <row r="1876" spans="1:36" ht="11.25" customHeight="1" x14ac:dyDescent="0.2">
      <c r="A1876" s="57" t="s">
        <v>28</v>
      </c>
      <c r="B1876" s="57" t="s">
        <v>22</v>
      </c>
      <c r="C1876" s="57" t="s">
        <v>23</v>
      </c>
      <c r="D1876" s="57" t="s">
        <v>24</v>
      </c>
      <c r="E1876" s="57" t="s">
        <v>33</v>
      </c>
      <c r="F1876" s="57" t="s">
        <v>25</v>
      </c>
      <c r="G1876" s="57" t="s">
        <v>25</v>
      </c>
      <c r="H1876" s="57" t="s">
        <v>25</v>
      </c>
      <c r="I1876" s="82">
        <v>44256</v>
      </c>
      <c r="J1876" s="83">
        <f>EFEITO!$J$1876*EFEITO!$Y$1666</f>
        <v>0</v>
      </c>
      <c r="K1876" s="83">
        <f ca="1">EFEITO!$L$1876*EFEITO!$Z$1915</f>
        <v>2109327.1049868907</v>
      </c>
      <c r="L1876" s="83">
        <f>EFEITO!$N$1876*EFEITO!$AA$1915</f>
        <v>1362700.239994677</v>
      </c>
      <c r="M1876" s="83">
        <f>$J$1876-EFEITO!$K$1876*EFEITO!$Y$1876</f>
        <v>0</v>
      </c>
      <c r="N1876" s="83">
        <f ca="1">$K$1876-EFEITO!$M$1876*EFEITO!$Z$1876</f>
        <v>210932.71049868921</v>
      </c>
      <c r="O1876" s="83">
        <f>$L$1876-EFEITO!$O$1876*EFEITO!$AA$1876</f>
        <v>136270.02399946772</v>
      </c>
      <c r="P1876" s="61"/>
      <c r="Q1876" s="61"/>
      <c r="R1876" s="61"/>
      <c r="S1876" s="61"/>
      <c r="T1876" s="61"/>
      <c r="U1876" s="61"/>
      <c r="V1876" s="61"/>
      <c r="W1876" s="61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</row>
    <row r="1877" spans="1:36" ht="11.25" customHeight="1" x14ac:dyDescent="0.2">
      <c r="A1877" s="57" t="s">
        <v>29</v>
      </c>
      <c r="B1877" s="57" t="s">
        <v>22</v>
      </c>
      <c r="C1877" s="57" t="s">
        <v>23</v>
      </c>
      <c r="D1877" s="57" t="s">
        <v>24</v>
      </c>
      <c r="E1877" s="57" t="s">
        <v>33</v>
      </c>
      <c r="F1877" s="57" t="s">
        <v>25</v>
      </c>
      <c r="G1877" s="57" t="s">
        <v>25</v>
      </c>
      <c r="H1877" s="57" t="s">
        <v>25</v>
      </c>
      <c r="I1877" s="82">
        <v>44256</v>
      </c>
      <c r="J1877" s="83">
        <f>EFEITO!$J$1877*EFEITO!$Y$1666</f>
        <v>0</v>
      </c>
      <c r="K1877" s="83">
        <f ca="1">EFEITO!$L$1877*EFEITO!$Z$1915</f>
        <v>-6222.4901866005375</v>
      </c>
      <c r="L1877" s="83">
        <f>EFEITO!$N$1877*EFEITO!$AA$1915</f>
        <v>-4019.9497036747048</v>
      </c>
      <c r="M1877" s="83">
        <f>$J$1877-EFEITO!$K$1877*EFEITO!$Y$1877</f>
        <v>0</v>
      </c>
      <c r="N1877" s="83">
        <f ca="1">$K$1877-EFEITO!$M$1877*EFEITO!$Z$1877</f>
        <v>-622.24901866005439</v>
      </c>
      <c r="O1877" s="83">
        <f>$L$1877-EFEITO!$O$1877*EFEITO!$AA$1877</f>
        <v>-401.99497036747016</v>
      </c>
      <c r="P1877" s="61"/>
      <c r="Q1877" s="61"/>
      <c r="R1877" s="61"/>
      <c r="S1877" s="61"/>
      <c r="T1877" s="61"/>
      <c r="U1877" s="61"/>
      <c r="V1877" s="61"/>
      <c r="W1877" s="61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</row>
    <row r="1878" spans="1:36" ht="11.25" customHeight="1" x14ac:dyDescent="0.2">
      <c r="A1878" s="57" t="s">
        <v>30</v>
      </c>
      <c r="B1878" s="57" t="s">
        <v>22</v>
      </c>
      <c r="C1878" s="57" t="s">
        <v>23</v>
      </c>
      <c r="D1878" s="57" t="s">
        <v>24</v>
      </c>
      <c r="E1878" s="57" t="s">
        <v>33</v>
      </c>
      <c r="F1878" s="57" t="s">
        <v>25</v>
      </c>
      <c r="G1878" s="57" t="s">
        <v>25</v>
      </c>
      <c r="H1878" s="57" t="s">
        <v>25</v>
      </c>
      <c r="I1878" s="82">
        <v>44256</v>
      </c>
      <c r="J1878" s="83">
        <f>EFEITO!$J$1878*EFEITO!$Y$1666</f>
        <v>0</v>
      </c>
      <c r="K1878" s="83">
        <f ca="1">EFEITO!$L$1878*EFEITO!$Z$1915</f>
        <v>55.204703710784003</v>
      </c>
      <c r="L1878" s="83">
        <f>EFEITO!$N$1878*EFEITO!$AA$1915</f>
        <v>35.664199648156483</v>
      </c>
      <c r="M1878" s="83">
        <f>$J$1878-EFEITO!$K$1878*EFEITO!$Y$1878</f>
        <v>0</v>
      </c>
      <c r="N1878" s="83">
        <f ca="1">$K$1878-EFEITO!$M$1878*EFEITO!$Z$1878</f>
        <v>5.5204703710784031</v>
      </c>
      <c r="O1878" s="83">
        <f>$L$1878-EFEITO!$O$1878*EFEITO!$AA$1878</f>
        <v>3.5664199648156512</v>
      </c>
      <c r="P1878" s="61"/>
      <c r="Q1878" s="61"/>
      <c r="R1878" s="61"/>
      <c r="S1878" s="61"/>
      <c r="T1878" s="61"/>
      <c r="U1878" s="61"/>
      <c r="V1878" s="61"/>
      <c r="W1878" s="61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</row>
    <row r="1879" spans="1:36" ht="11.25" customHeight="1" x14ac:dyDescent="0.2">
      <c r="A1879" s="57" t="s">
        <v>21</v>
      </c>
      <c r="B1879" s="57" t="s">
        <v>22</v>
      </c>
      <c r="C1879" s="57" t="s">
        <v>23</v>
      </c>
      <c r="D1879" s="57" t="s">
        <v>24</v>
      </c>
      <c r="E1879" s="57" t="s">
        <v>33</v>
      </c>
      <c r="F1879" s="57" t="s">
        <v>25</v>
      </c>
      <c r="G1879" s="57" t="s">
        <v>25</v>
      </c>
      <c r="H1879" s="57" t="s">
        <v>25</v>
      </c>
      <c r="I1879" s="82">
        <v>44287</v>
      </c>
      <c r="J1879" s="83">
        <f>EFEITO!$J$1879*EFEITO!$Y$1666</f>
        <v>0</v>
      </c>
      <c r="K1879" s="83">
        <f ca="1">EFEITO!$L$1879*EFEITO!$Z$1915</f>
        <v>1598737.4202482565</v>
      </c>
      <c r="L1879" s="83">
        <f>EFEITO!$N$1879*EFEITO!$AA$1915</f>
        <v>1032841.1658438863</v>
      </c>
      <c r="M1879" s="83">
        <f>$J$1879-EFEITO!$K$1879*EFEITO!$Y$1879</f>
        <v>0</v>
      </c>
      <c r="N1879" s="83">
        <f ca="1">$K$1879-EFEITO!$M$1879*EFEITO!$Z$1879</f>
        <v>159873.74202482565</v>
      </c>
      <c r="O1879" s="83">
        <f>$L$1879-EFEITO!$O$1879*EFEITO!$AA$1879</f>
        <v>103284.11658438854</v>
      </c>
      <c r="P1879" s="61"/>
      <c r="Q1879" s="61"/>
      <c r="R1879" s="61"/>
      <c r="S1879" s="61"/>
      <c r="T1879" s="61"/>
      <c r="U1879" s="61"/>
      <c r="V1879" s="61"/>
      <c r="W1879" s="61"/>
      <c r="X1879" s="6"/>
      <c r="Y1879" s="6"/>
      <c r="Z1879" s="6"/>
      <c r="AA1879" s="6"/>
      <c r="AB1879" s="6"/>
      <c r="AC1879" s="6"/>
      <c r="AD1879" s="6"/>
      <c r="AE1879" s="6"/>
      <c r="AF1879" s="6"/>
      <c r="AG1879" s="6"/>
      <c r="AH1879" s="6"/>
      <c r="AI1879" s="6"/>
      <c r="AJ1879" s="6"/>
    </row>
    <row r="1880" spans="1:36" ht="11.25" customHeight="1" x14ac:dyDescent="0.2">
      <c r="A1880" s="57" t="s">
        <v>27</v>
      </c>
      <c r="B1880" s="57" t="s">
        <v>22</v>
      </c>
      <c r="C1880" s="57" t="s">
        <v>23</v>
      </c>
      <c r="D1880" s="57" t="s">
        <v>24</v>
      </c>
      <c r="E1880" s="57" t="s">
        <v>33</v>
      </c>
      <c r="F1880" s="57" t="s">
        <v>25</v>
      </c>
      <c r="G1880" s="57" t="s">
        <v>25</v>
      </c>
      <c r="H1880" s="57" t="s">
        <v>25</v>
      </c>
      <c r="I1880" s="82">
        <v>44287</v>
      </c>
      <c r="J1880" s="83">
        <f>EFEITO!$J$1880*EFEITO!$Y$1666</f>
        <v>0</v>
      </c>
      <c r="K1880" s="83">
        <f ca="1">EFEITO!$L$1880*EFEITO!$Z$1915</f>
        <v>-5586.2559763337522</v>
      </c>
      <c r="L1880" s="83">
        <f>EFEITO!$N$1880*EFEITO!$AA$1915</f>
        <v>-3608.9198027297016</v>
      </c>
      <c r="M1880" s="83">
        <f>$J$1880-EFEITO!$K$1880*EFEITO!$Y$1880</f>
        <v>0</v>
      </c>
      <c r="N1880" s="83">
        <f ca="1">$K$1880-EFEITO!$M$1880*EFEITO!$Z$1880</f>
        <v>-558.62559763337595</v>
      </c>
      <c r="O1880" s="83">
        <f>$L$1880-EFEITO!$O$1880*EFEITO!$AA$1880</f>
        <v>-360.8919802729697</v>
      </c>
      <c r="P1880" s="61"/>
      <c r="Q1880" s="61"/>
      <c r="R1880" s="61"/>
      <c r="S1880" s="61"/>
      <c r="T1880" s="61"/>
      <c r="U1880" s="61"/>
      <c r="V1880" s="61"/>
      <c r="W1880" s="61"/>
      <c r="X1880" s="6"/>
      <c r="Y1880" s="6"/>
      <c r="Z1880" s="6"/>
      <c r="AA1880" s="6"/>
      <c r="AB1880" s="6"/>
      <c r="AC1880" s="6"/>
      <c r="AD1880" s="6"/>
      <c r="AE1880" s="6"/>
      <c r="AF1880" s="6"/>
      <c r="AG1880" s="6"/>
      <c r="AH1880" s="6"/>
      <c r="AI1880" s="6"/>
      <c r="AJ1880" s="6"/>
    </row>
    <row r="1881" spans="1:36" ht="11.25" customHeight="1" x14ac:dyDescent="0.2">
      <c r="A1881" s="57" t="s">
        <v>28</v>
      </c>
      <c r="B1881" s="57" t="s">
        <v>22</v>
      </c>
      <c r="C1881" s="57" t="s">
        <v>23</v>
      </c>
      <c r="D1881" s="57" t="s">
        <v>24</v>
      </c>
      <c r="E1881" s="57" t="s">
        <v>33</v>
      </c>
      <c r="F1881" s="57" t="s">
        <v>25</v>
      </c>
      <c r="G1881" s="57" t="s">
        <v>25</v>
      </c>
      <c r="H1881" s="57" t="s">
        <v>25</v>
      </c>
      <c r="I1881" s="82">
        <v>44287</v>
      </c>
      <c r="J1881" s="83">
        <f>EFEITO!$J$1881*EFEITO!$Y$1666</f>
        <v>0</v>
      </c>
      <c r="K1881" s="83">
        <f ca="1">EFEITO!$L$1881*EFEITO!$Z$1915</f>
        <v>2361137.8404932604</v>
      </c>
      <c r="L1881" s="83">
        <f>EFEITO!$N$1881*EFEITO!$AA$1915</f>
        <v>1525378.9202697778</v>
      </c>
      <c r="M1881" s="83">
        <f>$J$1881-EFEITO!$K$1881*EFEITO!$Y$1881</f>
        <v>0</v>
      </c>
      <c r="N1881" s="83">
        <f ca="1">$K$1881-EFEITO!$M$1881*EFEITO!$Z$1881</f>
        <v>236113.78404932609</v>
      </c>
      <c r="O1881" s="83">
        <f>$L$1881-EFEITO!$O$1881*EFEITO!$AA$1881</f>
        <v>152537.89202697761</v>
      </c>
      <c r="P1881" s="61"/>
      <c r="Q1881" s="61"/>
      <c r="R1881" s="61"/>
      <c r="S1881" s="61"/>
      <c r="T1881" s="61"/>
      <c r="U1881" s="61"/>
      <c r="V1881" s="61"/>
      <c r="W1881" s="61"/>
      <c r="X1881" s="6"/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</row>
    <row r="1882" spans="1:36" ht="11.25" customHeight="1" x14ac:dyDescent="0.2">
      <c r="A1882" s="57" t="s">
        <v>29</v>
      </c>
      <c r="B1882" s="57" t="s">
        <v>22</v>
      </c>
      <c r="C1882" s="57" t="s">
        <v>23</v>
      </c>
      <c r="D1882" s="57" t="s">
        <v>24</v>
      </c>
      <c r="E1882" s="57" t="s">
        <v>33</v>
      </c>
      <c r="F1882" s="57" t="s">
        <v>25</v>
      </c>
      <c r="G1882" s="57" t="s">
        <v>25</v>
      </c>
      <c r="H1882" s="57" t="s">
        <v>25</v>
      </c>
      <c r="I1882" s="82">
        <v>44287</v>
      </c>
      <c r="J1882" s="83">
        <f>EFEITO!$J$1882*EFEITO!$Y$1666</f>
        <v>0</v>
      </c>
      <c r="K1882" s="83">
        <f ca="1">EFEITO!$L$1882*EFEITO!$Z$1915</f>
        <v>-9129.0178369733148</v>
      </c>
      <c r="L1882" s="83">
        <f>EFEITO!$N$1882*EFEITO!$AA$1915</f>
        <v>-5897.6698151501441</v>
      </c>
      <c r="M1882" s="83">
        <f>$J$1882-EFEITO!$K$1882*EFEITO!$Y$1882</f>
        <v>0</v>
      </c>
      <c r="N1882" s="83">
        <f ca="1">$K$1882-EFEITO!$M$1882*EFEITO!$Z$1882</f>
        <v>-912.90178369733076</v>
      </c>
      <c r="O1882" s="83">
        <f>$L$1882-EFEITO!$O$1882*EFEITO!$AA$1882</f>
        <v>-589.76698151501387</v>
      </c>
      <c r="P1882" s="61"/>
      <c r="Q1882" s="61"/>
      <c r="R1882" s="61"/>
      <c r="S1882" s="61"/>
      <c r="T1882" s="61"/>
      <c r="U1882" s="61"/>
      <c r="V1882" s="61"/>
      <c r="W1882" s="61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</row>
    <row r="1883" spans="1:36" ht="11.25" customHeight="1" x14ac:dyDescent="0.2">
      <c r="A1883" s="57" t="s">
        <v>30</v>
      </c>
      <c r="B1883" s="57" t="s">
        <v>22</v>
      </c>
      <c r="C1883" s="57" t="s">
        <v>23</v>
      </c>
      <c r="D1883" s="57" t="s">
        <v>24</v>
      </c>
      <c r="E1883" s="57" t="s">
        <v>33</v>
      </c>
      <c r="F1883" s="57" t="s">
        <v>25</v>
      </c>
      <c r="G1883" s="57" t="s">
        <v>25</v>
      </c>
      <c r="H1883" s="57" t="s">
        <v>25</v>
      </c>
      <c r="I1883" s="82">
        <v>44287</v>
      </c>
      <c r="J1883" s="83">
        <f>EFEITO!$J$1883*EFEITO!$Y$1666</f>
        <v>0</v>
      </c>
      <c r="K1883" s="83">
        <f ca="1">EFEITO!$L$1883*EFEITO!$Z$1915</f>
        <v>92.927917913153081</v>
      </c>
      <c r="L1883" s="83">
        <f>EFEITO!$N$1883*EFEITO!$AA$1915</f>
        <v>60.034736074396747</v>
      </c>
      <c r="M1883" s="83">
        <f>$J$1883-EFEITO!$K$1883*EFEITO!$Y$1883</f>
        <v>0</v>
      </c>
      <c r="N1883" s="83">
        <f ca="1">$K$1883-EFEITO!$M$1883*EFEITO!$Z$1883</f>
        <v>9.2927917913153095</v>
      </c>
      <c r="O1883" s="83">
        <f>$L$1883-EFEITO!$O$1883*EFEITO!$AA$1883</f>
        <v>6.0034736074396662</v>
      </c>
      <c r="P1883" s="61"/>
      <c r="Q1883" s="61"/>
      <c r="R1883" s="61"/>
      <c r="S1883" s="61"/>
      <c r="T1883" s="61"/>
      <c r="U1883" s="61"/>
      <c r="V1883" s="61"/>
      <c r="W1883" s="61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</row>
    <row r="1884" spans="1:36" ht="11.25" customHeight="1" x14ac:dyDescent="0.2">
      <c r="A1884" s="57" t="s">
        <v>21</v>
      </c>
      <c r="B1884" s="57" t="s">
        <v>22</v>
      </c>
      <c r="C1884" s="57" t="s">
        <v>23</v>
      </c>
      <c r="D1884" s="57" t="s">
        <v>24</v>
      </c>
      <c r="E1884" s="57" t="s">
        <v>33</v>
      </c>
      <c r="F1884" s="57" t="s">
        <v>25</v>
      </c>
      <c r="G1884" s="57" t="s">
        <v>25</v>
      </c>
      <c r="H1884" s="57" t="s">
        <v>25</v>
      </c>
      <c r="I1884" s="82">
        <v>44317</v>
      </c>
      <c r="J1884" s="83">
        <f>EFEITO!$J$1884*EFEITO!$Y$1666</f>
        <v>0</v>
      </c>
      <c r="K1884" s="83">
        <f ca="1">EFEITO!$L$1884*EFEITO!$Z$1915</f>
        <v>1575918.5559694041</v>
      </c>
      <c r="L1884" s="83">
        <f>EFEITO!$N$1884*EFEITO!$AA$1915</f>
        <v>1018099.3689193209</v>
      </c>
      <c r="M1884" s="83">
        <f>$J$1884-EFEITO!$K$1884*EFEITO!$Y$1884</f>
        <v>0</v>
      </c>
      <c r="N1884" s="83">
        <f ca="1">$K$1884-EFEITO!$M$1884*EFEITO!$Z$1884</f>
        <v>157591.8555969405</v>
      </c>
      <c r="O1884" s="83">
        <f>$L$1884-EFEITO!$O$1884*EFEITO!$AA$1884</f>
        <v>101809.93689193192</v>
      </c>
      <c r="P1884" s="61"/>
      <c r="Q1884" s="61"/>
      <c r="R1884" s="61"/>
      <c r="S1884" s="61"/>
      <c r="T1884" s="61"/>
      <c r="U1884" s="61"/>
      <c r="V1884" s="61"/>
      <c r="W1884" s="61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</row>
    <row r="1885" spans="1:36" ht="11.25" customHeight="1" x14ac:dyDescent="0.2">
      <c r="A1885" s="57" t="s">
        <v>27</v>
      </c>
      <c r="B1885" s="57" t="s">
        <v>22</v>
      </c>
      <c r="C1885" s="57" t="s">
        <v>23</v>
      </c>
      <c r="D1885" s="57" t="s">
        <v>24</v>
      </c>
      <c r="E1885" s="57" t="s">
        <v>33</v>
      </c>
      <c r="F1885" s="57" t="s">
        <v>25</v>
      </c>
      <c r="G1885" s="57" t="s">
        <v>25</v>
      </c>
      <c r="H1885" s="57" t="s">
        <v>25</v>
      </c>
      <c r="I1885" s="82">
        <v>44317</v>
      </c>
      <c r="J1885" s="83">
        <f>EFEITO!$J$1885*EFEITO!$Y$1666</f>
        <v>0</v>
      </c>
      <c r="K1885" s="83">
        <f ca="1">EFEITO!$L$1885*EFEITO!$Z$1915</f>
        <v>-3269.498577271183</v>
      </c>
      <c r="L1885" s="83">
        <f>EFEITO!$N$1885*EFEITO!$AA$1915</f>
        <v>-2112.2122241620677</v>
      </c>
      <c r="M1885" s="83">
        <f>$J$1885-EFEITO!$K$1885*EFEITO!$Y$1885</f>
        <v>0</v>
      </c>
      <c r="N1885" s="83">
        <f ca="1">$K$1885-EFEITO!$M$1885*EFEITO!$Z$1885</f>
        <v>-326.94985772711834</v>
      </c>
      <c r="O1885" s="83">
        <f>$L$1885-EFEITO!$O$1885*EFEITO!$AA$1885</f>
        <v>-211.22122241620673</v>
      </c>
      <c r="P1885" s="61"/>
      <c r="Q1885" s="61"/>
      <c r="R1885" s="61"/>
      <c r="S1885" s="61"/>
      <c r="T1885" s="61"/>
      <c r="U1885" s="61"/>
      <c r="V1885" s="61"/>
      <c r="W1885" s="61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</row>
    <row r="1886" spans="1:36" ht="11.25" customHeight="1" x14ac:dyDescent="0.2">
      <c r="A1886" s="57" t="s">
        <v>28</v>
      </c>
      <c r="B1886" s="57" t="s">
        <v>22</v>
      </c>
      <c r="C1886" s="57" t="s">
        <v>23</v>
      </c>
      <c r="D1886" s="57" t="s">
        <v>24</v>
      </c>
      <c r="E1886" s="57" t="s">
        <v>33</v>
      </c>
      <c r="F1886" s="57" t="s">
        <v>25</v>
      </c>
      <c r="G1886" s="57" t="s">
        <v>25</v>
      </c>
      <c r="H1886" s="57" t="s">
        <v>25</v>
      </c>
      <c r="I1886" s="82">
        <v>44317</v>
      </c>
      <c r="J1886" s="83">
        <f>EFEITO!$J$1886*EFEITO!$Y$1666</f>
        <v>0</v>
      </c>
      <c r="K1886" s="83">
        <f ca="1">EFEITO!$L$1886*EFEITO!$Z$1915</f>
        <v>2342003.8901871028</v>
      </c>
      <c r="L1886" s="83">
        <f>EFEITO!$N$1886*EFEITO!$AA$1915</f>
        <v>1513017.7086717268</v>
      </c>
      <c r="M1886" s="83">
        <f>$J$1886-EFEITO!$K$1886*EFEITO!$Y$1886</f>
        <v>0</v>
      </c>
      <c r="N1886" s="83">
        <f ca="1">$K$1886-EFEITO!$M$1886*EFEITO!$Z$1886</f>
        <v>234200.38901871024</v>
      </c>
      <c r="O1886" s="83">
        <f>$L$1886-EFEITO!$O$1886*EFEITO!$AA$1886</f>
        <v>151301.7708671724</v>
      </c>
      <c r="P1886" s="61"/>
      <c r="Q1886" s="61"/>
      <c r="R1886" s="61"/>
      <c r="S1886" s="61"/>
      <c r="T1886" s="61"/>
      <c r="U1886" s="61"/>
      <c r="V1886" s="61"/>
      <c r="W1886" s="61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</row>
    <row r="1887" spans="1:36" ht="11.25" customHeight="1" x14ac:dyDescent="0.2">
      <c r="A1887" s="57" t="s">
        <v>29</v>
      </c>
      <c r="B1887" s="57" t="s">
        <v>22</v>
      </c>
      <c r="C1887" s="57" t="s">
        <v>23</v>
      </c>
      <c r="D1887" s="57" t="s">
        <v>24</v>
      </c>
      <c r="E1887" s="57" t="s">
        <v>33</v>
      </c>
      <c r="F1887" s="57" t="s">
        <v>25</v>
      </c>
      <c r="G1887" s="57" t="s">
        <v>25</v>
      </c>
      <c r="H1887" s="57" t="s">
        <v>25</v>
      </c>
      <c r="I1887" s="82">
        <v>44317</v>
      </c>
      <c r="J1887" s="83">
        <f>EFEITO!$J$1887*EFEITO!$Y$1666</f>
        <v>0</v>
      </c>
      <c r="K1887" s="83">
        <f ca="1">EFEITO!$L$1887*EFEITO!$Z$1915</f>
        <v>-8509.8050770173559</v>
      </c>
      <c r="L1887" s="83">
        <f>EFEITO!$N$1887*EFEITO!$AA$1915</f>
        <v>-5497.6363757633217</v>
      </c>
      <c r="M1887" s="83">
        <f>$J$1887-EFEITO!$K$1887*EFEITO!$Y$1887</f>
        <v>0</v>
      </c>
      <c r="N1887" s="83">
        <f ca="1">$K$1887-EFEITO!$M$1887*EFEITO!$Z$1887</f>
        <v>-850.98050770173631</v>
      </c>
      <c r="O1887" s="83">
        <f>$L$1887-EFEITO!$O$1887*EFEITO!$AA$1887</f>
        <v>-549.76363757633135</v>
      </c>
      <c r="P1887" s="61"/>
      <c r="Q1887" s="61"/>
      <c r="R1887" s="61"/>
      <c r="S1887" s="61"/>
      <c r="T1887" s="61"/>
      <c r="U1887" s="61"/>
      <c r="V1887" s="61"/>
      <c r="W1887" s="61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</row>
    <row r="1888" spans="1:36" ht="11.25" customHeight="1" x14ac:dyDescent="0.2">
      <c r="A1888" s="57" t="s">
        <v>30</v>
      </c>
      <c r="B1888" s="57" t="s">
        <v>22</v>
      </c>
      <c r="C1888" s="57" t="s">
        <v>23</v>
      </c>
      <c r="D1888" s="57" t="s">
        <v>24</v>
      </c>
      <c r="E1888" s="57" t="s">
        <v>33</v>
      </c>
      <c r="F1888" s="57" t="s">
        <v>25</v>
      </c>
      <c r="G1888" s="57" t="s">
        <v>25</v>
      </c>
      <c r="H1888" s="57" t="s">
        <v>25</v>
      </c>
      <c r="I1888" s="82">
        <v>44317</v>
      </c>
      <c r="J1888" s="83">
        <f>EFEITO!$J$1888*EFEITO!$Y$1666</f>
        <v>0</v>
      </c>
      <c r="K1888" s="83">
        <f ca="1">EFEITO!$L$1888*EFEITO!$Z$1915</f>
        <v>165.61411113235201</v>
      </c>
      <c r="L1888" s="83">
        <f>EFEITO!$N$1888*EFEITO!$AA$1915</f>
        <v>106.99259894446944</v>
      </c>
      <c r="M1888" s="83">
        <f>$J$1888-EFEITO!$K$1888*EFEITO!$Y$1888</f>
        <v>0</v>
      </c>
      <c r="N1888" s="83">
        <f ca="1">$K$1888-EFEITO!$M$1888*EFEITO!$Z$1888</f>
        <v>16.561411113235209</v>
      </c>
      <c r="O1888" s="83">
        <f>$L$1888-EFEITO!$O$1888*EFEITO!$AA$1888</f>
        <v>10.699259894446925</v>
      </c>
      <c r="P1888" s="61"/>
      <c r="Q1888" s="61"/>
      <c r="R1888" s="61"/>
      <c r="S1888" s="61"/>
      <c r="T1888" s="61"/>
      <c r="U1888" s="61"/>
      <c r="V1888" s="61"/>
      <c r="W1888" s="61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</row>
    <row r="1889" spans="1:36" ht="11.25" customHeight="1" x14ac:dyDescent="0.2">
      <c r="A1889" s="57" t="s">
        <v>30</v>
      </c>
      <c r="B1889" s="57" t="s">
        <v>22</v>
      </c>
      <c r="C1889" s="57" t="s">
        <v>23</v>
      </c>
      <c r="D1889" s="57" t="s">
        <v>24</v>
      </c>
      <c r="E1889" s="57" t="s">
        <v>33</v>
      </c>
      <c r="F1889" s="57" t="s">
        <v>25</v>
      </c>
      <c r="G1889" s="57" t="s">
        <v>25</v>
      </c>
      <c r="H1889" s="57" t="s">
        <v>25</v>
      </c>
      <c r="I1889" s="82">
        <v>44317</v>
      </c>
      <c r="J1889" s="83">
        <f>EFEITO!$J$1889*EFEITO!$Y$1666</f>
        <v>0</v>
      </c>
      <c r="K1889" s="83">
        <f ca="1">EFEITO!$L$1889*EFEITO!$Z$1915</f>
        <v>-37.723214202369071</v>
      </c>
      <c r="L1889" s="83">
        <f>EFEITO!$N$1889*EFEITO!$AA$1915</f>
        <v>-24.370536426240264</v>
      </c>
      <c r="M1889" s="83">
        <f>$J$1889-EFEITO!$K$1889*EFEITO!$Y$1889</f>
        <v>0</v>
      </c>
      <c r="N1889" s="83">
        <f ca="1">$K$1889-EFEITO!$M$1889*EFEITO!$Z$1889</f>
        <v>-3.7723214202369064</v>
      </c>
      <c r="O1889" s="83">
        <f>$L$1889-EFEITO!$O$1889*EFEITO!$AA$1889</f>
        <v>-2.4370536426240257</v>
      </c>
      <c r="P1889" s="61"/>
      <c r="Q1889" s="61"/>
      <c r="R1889" s="61"/>
      <c r="S1889" s="61"/>
      <c r="T1889" s="61"/>
      <c r="U1889" s="61"/>
      <c r="V1889" s="61"/>
      <c r="W1889" s="61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  <c r="AH1889" s="6"/>
      <c r="AI1889" s="6"/>
      <c r="AJ1889" s="6"/>
    </row>
    <row r="1890" spans="1:36" ht="11.25" customHeight="1" x14ac:dyDescent="0.2">
      <c r="A1890" s="57" t="s">
        <v>21</v>
      </c>
      <c r="B1890" s="57" t="s">
        <v>22</v>
      </c>
      <c r="C1890" s="57" t="s">
        <v>23</v>
      </c>
      <c r="D1890" s="57" t="s">
        <v>24</v>
      </c>
      <c r="E1890" s="57" t="s">
        <v>33</v>
      </c>
      <c r="F1890" s="57" t="s">
        <v>25</v>
      </c>
      <c r="G1890" s="57" t="s">
        <v>25</v>
      </c>
      <c r="H1890" s="57" t="s">
        <v>25</v>
      </c>
      <c r="I1890" s="82">
        <v>44348</v>
      </c>
      <c r="J1890" s="83">
        <f>EFEITO!$J$1890*EFEITO!$Y$1666</f>
        <v>0</v>
      </c>
      <c r="K1890" s="83">
        <f ca="1">EFEITO!$L$1890*EFEITO!$Z$1915</f>
        <v>1737332.9692669581</v>
      </c>
      <c r="L1890" s="83">
        <f>EFEITO!$N$1890*EFEITO!$AA$1915</f>
        <v>1122378.8138755569</v>
      </c>
      <c r="M1890" s="83">
        <f>$J$1890-EFEITO!$K$1890*EFEITO!$Y$1890</f>
        <v>0</v>
      </c>
      <c r="N1890" s="83">
        <f ca="1">$K$1890-EFEITO!$M$1890*EFEITO!$Z$1890</f>
        <v>173733.29692669585</v>
      </c>
      <c r="O1890" s="83">
        <f>$L$1890-EFEITO!$O$1890*EFEITO!$AA$1890</f>
        <v>112237.88138755562</v>
      </c>
      <c r="P1890" s="61"/>
      <c r="Q1890" s="61"/>
      <c r="R1890" s="61"/>
      <c r="S1890" s="61"/>
      <c r="T1890" s="61"/>
      <c r="U1890" s="61"/>
      <c r="V1890" s="61"/>
      <c r="W1890" s="61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  <c r="AH1890" s="6"/>
      <c r="AI1890" s="6"/>
      <c r="AJ1890" s="6"/>
    </row>
    <row r="1891" spans="1:36" ht="11.25" customHeight="1" x14ac:dyDescent="0.2">
      <c r="A1891" s="57" t="s">
        <v>27</v>
      </c>
      <c r="B1891" s="57" t="s">
        <v>22</v>
      </c>
      <c r="C1891" s="57" t="s">
        <v>23</v>
      </c>
      <c r="D1891" s="57" t="s">
        <v>24</v>
      </c>
      <c r="E1891" s="57" t="s">
        <v>33</v>
      </c>
      <c r="F1891" s="57" t="s">
        <v>25</v>
      </c>
      <c r="G1891" s="57" t="s">
        <v>25</v>
      </c>
      <c r="H1891" s="57" t="s">
        <v>25</v>
      </c>
      <c r="I1891" s="82">
        <v>44348</v>
      </c>
      <c r="J1891" s="83">
        <f>EFEITO!$J$1891*EFEITO!$Y$1666</f>
        <v>0</v>
      </c>
      <c r="K1891" s="83">
        <f ca="1">EFEITO!$L$1891*EFEITO!$Z$1915</f>
        <v>-4643.1756212745249</v>
      </c>
      <c r="L1891" s="83">
        <f>EFEITO!$N$1891*EFEITO!$AA$1915</f>
        <v>-2999.6563920736949</v>
      </c>
      <c r="M1891" s="83">
        <f>$J$1891-EFEITO!$K$1891*EFEITO!$Y$1891</f>
        <v>0</v>
      </c>
      <c r="N1891" s="83">
        <f ca="1">$K$1891-EFEITO!$M$1891*EFEITO!$Z$1891</f>
        <v>-464.31756212745313</v>
      </c>
      <c r="O1891" s="83">
        <f>$L$1891-EFEITO!$O$1891*EFEITO!$AA$1891</f>
        <v>-299.96563920736935</v>
      </c>
      <c r="P1891" s="61"/>
      <c r="Q1891" s="61"/>
      <c r="R1891" s="61"/>
      <c r="S1891" s="61"/>
      <c r="T1891" s="61"/>
      <c r="U1891" s="61"/>
      <c r="V1891" s="61"/>
      <c r="W1891" s="61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</row>
    <row r="1892" spans="1:36" ht="11.25" customHeight="1" x14ac:dyDescent="0.2">
      <c r="A1892" s="57" t="s">
        <v>28</v>
      </c>
      <c r="B1892" s="57" t="s">
        <v>22</v>
      </c>
      <c r="C1892" s="57" t="s">
        <v>23</v>
      </c>
      <c r="D1892" s="57" t="s">
        <v>24</v>
      </c>
      <c r="E1892" s="57" t="s">
        <v>33</v>
      </c>
      <c r="F1892" s="57" t="s">
        <v>25</v>
      </c>
      <c r="G1892" s="57" t="s">
        <v>25</v>
      </c>
      <c r="H1892" s="57" t="s">
        <v>25</v>
      </c>
      <c r="I1892" s="82">
        <v>44348</v>
      </c>
      <c r="J1892" s="83">
        <f>EFEITO!$J$1892*EFEITO!$Y$1666</f>
        <v>0</v>
      </c>
      <c r="K1892" s="83">
        <f ca="1">EFEITO!$L$1892*EFEITO!$Z$1915</f>
        <v>2477680.030457899</v>
      </c>
      <c r="L1892" s="83">
        <f>EFEITO!$N$1892*EFEITO!$AA$1915</f>
        <v>1600669.3149453371</v>
      </c>
      <c r="M1892" s="83">
        <f>$J$1892-EFEITO!$K$1892*EFEITO!$Y$1892</f>
        <v>0</v>
      </c>
      <c r="N1892" s="83">
        <f ca="1">$K$1892-EFEITO!$M$1892*EFEITO!$Z$1892</f>
        <v>247768.0030457899</v>
      </c>
      <c r="O1892" s="83">
        <f>$L$1892-EFEITO!$O$1892*EFEITO!$AA$1892</f>
        <v>160066.93149453355</v>
      </c>
      <c r="P1892" s="61"/>
      <c r="Q1892" s="61"/>
      <c r="R1892" s="61"/>
      <c r="S1892" s="61"/>
      <c r="T1892" s="61"/>
      <c r="U1892" s="61"/>
      <c r="V1892" s="61"/>
      <c r="W1892" s="61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</row>
    <row r="1893" spans="1:36" ht="11.25" customHeight="1" x14ac:dyDescent="0.2">
      <c r="A1893" s="57" t="s">
        <v>29</v>
      </c>
      <c r="B1893" s="57" t="s">
        <v>22</v>
      </c>
      <c r="C1893" s="57" t="s">
        <v>23</v>
      </c>
      <c r="D1893" s="57" t="s">
        <v>24</v>
      </c>
      <c r="E1893" s="57" t="s">
        <v>33</v>
      </c>
      <c r="F1893" s="57" t="s">
        <v>25</v>
      </c>
      <c r="G1893" s="57" t="s">
        <v>25</v>
      </c>
      <c r="H1893" s="57" t="s">
        <v>25</v>
      </c>
      <c r="I1893" s="82">
        <v>44348</v>
      </c>
      <c r="J1893" s="83">
        <f>EFEITO!$J$1893*EFEITO!$Y$1666</f>
        <v>0</v>
      </c>
      <c r="K1893" s="83">
        <f ca="1">EFEITO!$L$1893*EFEITO!$Z$1915</f>
        <v>-6288.7358310534783</v>
      </c>
      <c r="L1893" s="83">
        <f>EFEITO!$N$1893*EFEITO!$AA$1915</f>
        <v>-4062.7467432524927</v>
      </c>
      <c r="M1893" s="83">
        <f>$J$1893-EFEITO!$K$1893*EFEITO!$Y$1893</f>
        <v>0</v>
      </c>
      <c r="N1893" s="83">
        <f ca="1">$K$1893-EFEITO!$M$1893*EFEITO!$Z$1893</f>
        <v>-628.87358310534819</v>
      </c>
      <c r="O1893" s="83">
        <f>$L$1893-EFEITO!$O$1893*EFEITO!$AA$1893</f>
        <v>-406.27467432524918</v>
      </c>
      <c r="P1893" s="61"/>
      <c r="Q1893" s="61"/>
      <c r="R1893" s="61"/>
      <c r="S1893" s="61"/>
      <c r="T1893" s="61"/>
      <c r="U1893" s="61"/>
      <c r="V1893" s="61"/>
      <c r="W1893" s="61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  <c r="AH1893" s="6"/>
      <c r="AI1893" s="6"/>
      <c r="AJ1893" s="6"/>
    </row>
    <row r="1894" spans="1:36" ht="11.25" customHeight="1" x14ac:dyDescent="0.2">
      <c r="A1894" s="57" t="s">
        <v>30</v>
      </c>
      <c r="B1894" s="57" t="s">
        <v>22</v>
      </c>
      <c r="C1894" s="57" t="s">
        <v>23</v>
      </c>
      <c r="D1894" s="57" t="s">
        <v>24</v>
      </c>
      <c r="E1894" s="57" t="s">
        <v>33</v>
      </c>
      <c r="F1894" s="57" t="s">
        <v>25</v>
      </c>
      <c r="G1894" s="57" t="s">
        <v>25</v>
      </c>
      <c r="H1894" s="57" t="s">
        <v>25</v>
      </c>
      <c r="I1894" s="82">
        <v>44348</v>
      </c>
      <c r="J1894" s="83">
        <f>EFEITO!$J$1894*EFEITO!$Y$1666</f>
        <v>0</v>
      </c>
      <c r="K1894" s="83">
        <f ca="1">EFEITO!$L$1894*EFEITO!$Z$1915</f>
        <v>220.81881484313601</v>
      </c>
      <c r="L1894" s="83">
        <f>EFEITO!$N$1894*EFEITO!$AA$1915</f>
        <v>142.65679859262593</v>
      </c>
      <c r="M1894" s="83">
        <f>$J$1894-EFEITO!$K$1894*EFEITO!$Y$1894</f>
        <v>0</v>
      </c>
      <c r="N1894" s="83">
        <f ca="1">$K$1894-EFEITO!$M$1894*EFEITO!$Z$1894</f>
        <v>22.081881484313612</v>
      </c>
      <c r="O1894" s="83">
        <f>$L$1894-EFEITO!$O$1894*EFEITO!$AA$1894</f>
        <v>14.265679859262605</v>
      </c>
      <c r="P1894" s="61"/>
      <c r="Q1894" s="61"/>
      <c r="R1894" s="61"/>
      <c r="S1894" s="61"/>
      <c r="T1894" s="61"/>
      <c r="U1894" s="61"/>
      <c r="V1894" s="61"/>
      <c r="W1894" s="61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</row>
    <row r="1895" spans="1:36" ht="11.25" customHeight="1" x14ac:dyDescent="0.2">
      <c r="A1895" s="57" t="s">
        <v>21</v>
      </c>
      <c r="B1895" s="57" t="s">
        <v>22</v>
      </c>
      <c r="C1895" s="57" t="s">
        <v>23</v>
      </c>
      <c r="D1895" s="57" t="s">
        <v>24</v>
      </c>
      <c r="E1895" s="57" t="s">
        <v>33</v>
      </c>
      <c r="F1895" s="57" t="s">
        <v>25</v>
      </c>
      <c r="G1895" s="57" t="s">
        <v>25</v>
      </c>
      <c r="H1895" s="57" t="s">
        <v>25</v>
      </c>
      <c r="I1895" s="82">
        <v>44378</v>
      </c>
      <c r="J1895" s="83">
        <f>EFEITO!$J$1895*EFEITO!$Y$1666</f>
        <v>0</v>
      </c>
      <c r="K1895" s="83">
        <f ca="1">EFEITO!$L$1895*EFEITO!$Z$1915</f>
        <v>1619874.8412599182</v>
      </c>
      <c r="L1895" s="83">
        <f>EFEITO!$N$1895*EFEITO!$AA$1915</f>
        <v>1046496.6906875018</v>
      </c>
      <c r="M1895" s="83">
        <f>$J$1895-EFEITO!$K$1895*EFEITO!$Y$1895</f>
        <v>0</v>
      </c>
      <c r="N1895" s="83">
        <f ca="1">$K$1895-EFEITO!$M$1895*EFEITO!$Z$1895</f>
        <v>161987.48412599182</v>
      </c>
      <c r="O1895" s="83">
        <f>$L$1895-EFEITO!$O$1895*EFEITO!$AA$1895</f>
        <v>104649.66906875011</v>
      </c>
      <c r="P1895" s="61"/>
      <c r="Q1895" s="61"/>
      <c r="R1895" s="61"/>
      <c r="S1895" s="61"/>
      <c r="T1895" s="61"/>
      <c r="U1895" s="61"/>
      <c r="V1895" s="61"/>
      <c r="W1895" s="61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  <c r="AH1895" s="6"/>
      <c r="AI1895" s="6"/>
      <c r="AJ1895" s="6"/>
    </row>
    <row r="1896" spans="1:36" ht="11.25" customHeight="1" x14ac:dyDescent="0.2">
      <c r="A1896" s="57" t="s">
        <v>27</v>
      </c>
      <c r="B1896" s="57" t="s">
        <v>22</v>
      </c>
      <c r="C1896" s="57" t="s">
        <v>23</v>
      </c>
      <c r="D1896" s="57" t="s">
        <v>24</v>
      </c>
      <c r="E1896" s="57" t="s">
        <v>33</v>
      </c>
      <c r="F1896" s="57" t="s">
        <v>25</v>
      </c>
      <c r="G1896" s="57" t="s">
        <v>25</v>
      </c>
      <c r="H1896" s="57" t="s">
        <v>25</v>
      </c>
      <c r="I1896" s="82">
        <v>44378</v>
      </c>
      <c r="J1896" s="83">
        <f>EFEITO!$J$1896*EFEITO!$Y$1666</f>
        <v>0</v>
      </c>
      <c r="K1896" s="83">
        <f ca="1">EFEITO!$L$1896*EFEITO!$Z$1915</f>
        <v>-10061.057251290385</v>
      </c>
      <c r="L1896" s="83">
        <f>EFEITO!$N$1896*EFEITO!$AA$1915</f>
        <v>-6499.8003858765187</v>
      </c>
      <c r="M1896" s="83">
        <f>$J$1896-EFEITO!$K$1896*EFEITO!$Y$1896</f>
        <v>0</v>
      </c>
      <c r="N1896" s="83">
        <f ca="1">$K$1896-EFEITO!$M$1896*EFEITO!$Z$1896</f>
        <v>-1006.1057251290385</v>
      </c>
      <c r="O1896" s="83">
        <f>$L$1896-EFEITO!$O$1896*EFEITO!$AA$1896</f>
        <v>-649.9800385876506</v>
      </c>
      <c r="P1896" s="61"/>
      <c r="Q1896" s="61"/>
      <c r="R1896" s="61"/>
      <c r="S1896" s="61"/>
      <c r="T1896" s="61"/>
      <c r="U1896" s="61"/>
      <c r="V1896" s="61"/>
      <c r="W1896" s="61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</row>
    <row r="1897" spans="1:36" ht="11.25" customHeight="1" x14ac:dyDescent="0.2">
      <c r="A1897" s="57" t="s">
        <v>28</v>
      </c>
      <c r="B1897" s="57" t="s">
        <v>22</v>
      </c>
      <c r="C1897" s="57" t="s">
        <v>23</v>
      </c>
      <c r="D1897" s="57" t="s">
        <v>24</v>
      </c>
      <c r="E1897" s="57" t="s">
        <v>33</v>
      </c>
      <c r="F1897" s="57" t="s">
        <v>25</v>
      </c>
      <c r="G1897" s="57" t="s">
        <v>25</v>
      </c>
      <c r="H1897" s="57" t="s">
        <v>25</v>
      </c>
      <c r="I1897" s="82">
        <v>44378</v>
      </c>
      <c r="J1897" s="83">
        <f>EFEITO!$J$1897*EFEITO!$Y$1666</f>
        <v>0</v>
      </c>
      <c r="K1897" s="83">
        <f ca="1">EFEITO!$L$1897*EFEITO!$Z$1915</f>
        <v>2223590.2607666687</v>
      </c>
      <c r="L1897" s="83">
        <f>EFEITO!$N$1897*EFEITO!$AA$1915</f>
        <v>1436518.2976280949</v>
      </c>
      <c r="M1897" s="83">
        <f>$J$1897-EFEITO!$K$1897*EFEITO!$Y$1897</f>
        <v>0</v>
      </c>
      <c r="N1897" s="83">
        <f ca="1">$K$1897-EFEITO!$M$1897*EFEITO!$Z$1897</f>
        <v>222359.02607666678</v>
      </c>
      <c r="O1897" s="83">
        <f>$L$1897-EFEITO!$O$1897*EFEITO!$AA$1897</f>
        <v>143651.82976280944</v>
      </c>
      <c r="P1897" s="61"/>
      <c r="Q1897" s="61"/>
      <c r="R1897" s="61"/>
      <c r="S1897" s="61"/>
      <c r="T1897" s="61"/>
      <c r="U1897" s="61"/>
      <c r="V1897" s="61"/>
      <c r="W1897" s="61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</row>
    <row r="1898" spans="1:36" ht="11.25" customHeight="1" x14ac:dyDescent="0.2">
      <c r="A1898" s="57" t="s">
        <v>29</v>
      </c>
      <c r="B1898" s="57" t="s">
        <v>22</v>
      </c>
      <c r="C1898" s="57" t="s">
        <v>23</v>
      </c>
      <c r="D1898" s="57" t="s">
        <v>24</v>
      </c>
      <c r="E1898" s="57" t="s">
        <v>33</v>
      </c>
      <c r="F1898" s="57" t="s">
        <v>25</v>
      </c>
      <c r="G1898" s="57" t="s">
        <v>25</v>
      </c>
      <c r="H1898" s="57" t="s">
        <v>25</v>
      </c>
      <c r="I1898" s="82">
        <v>44378</v>
      </c>
      <c r="J1898" s="83">
        <f>EFEITO!$J$1898*EFEITO!$Y$1666</f>
        <v>0</v>
      </c>
      <c r="K1898" s="83">
        <f ca="1">EFEITO!$L$1898*EFEITO!$Z$1915</f>
        <v>-6853.6639656938341</v>
      </c>
      <c r="L1898" s="83">
        <f>EFEITO!$N$1898*EFEITO!$AA$1915</f>
        <v>-4427.7103863186276</v>
      </c>
      <c r="M1898" s="83">
        <f>$J$1898-EFEITO!$K$1898*EFEITO!$Y$1898</f>
        <v>0</v>
      </c>
      <c r="N1898" s="83">
        <f ca="1">$K$1898-EFEITO!$M$1898*EFEITO!$Z$1898</f>
        <v>-685.36639656938314</v>
      </c>
      <c r="O1898" s="83">
        <f>$L$1898-EFEITO!$O$1898*EFEITO!$AA$1898</f>
        <v>-442.77103863186267</v>
      </c>
      <c r="P1898" s="61"/>
      <c r="Q1898" s="61"/>
      <c r="R1898" s="61"/>
      <c r="S1898" s="61"/>
      <c r="T1898" s="61"/>
      <c r="U1898" s="61"/>
      <c r="V1898" s="61"/>
      <c r="W1898" s="61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  <c r="AH1898" s="6"/>
      <c r="AI1898" s="6"/>
      <c r="AJ1898" s="6"/>
    </row>
    <row r="1899" spans="1:36" ht="11.25" customHeight="1" x14ac:dyDescent="0.2">
      <c r="A1899" s="57" t="s">
        <v>30</v>
      </c>
      <c r="B1899" s="57" t="s">
        <v>22</v>
      </c>
      <c r="C1899" s="57" t="s">
        <v>23</v>
      </c>
      <c r="D1899" s="57" t="s">
        <v>24</v>
      </c>
      <c r="E1899" s="57" t="s">
        <v>33</v>
      </c>
      <c r="F1899" s="57" t="s">
        <v>25</v>
      </c>
      <c r="G1899" s="57" t="s">
        <v>25</v>
      </c>
      <c r="H1899" s="57" t="s">
        <v>25</v>
      </c>
      <c r="I1899" s="82">
        <v>44378</v>
      </c>
      <c r="J1899" s="83">
        <f>EFEITO!$J$1899*EFEITO!$Y$1666</f>
        <v>0</v>
      </c>
      <c r="K1899" s="83">
        <f ca="1">EFEITO!$L$1899*EFEITO!$Z$1915</f>
        <v>206.55759971785017</v>
      </c>
      <c r="L1899" s="83">
        <f>EFEITO!$N$1899*EFEITO!$AA$1915</f>
        <v>133.44354701685216</v>
      </c>
      <c r="M1899" s="83">
        <f>$J$1899-EFEITO!$K$1899*EFEITO!$Y$1899</f>
        <v>0</v>
      </c>
      <c r="N1899" s="83">
        <f ca="1">$K$1899-EFEITO!$M$1899*EFEITO!$Z$1899</f>
        <v>20.655759971785017</v>
      </c>
      <c r="O1899" s="83">
        <f>$L$1899-EFEITO!$O$1899*EFEITO!$AA$1899</f>
        <v>13.344354701685205</v>
      </c>
      <c r="P1899" s="61"/>
      <c r="Q1899" s="61"/>
      <c r="R1899" s="61"/>
      <c r="S1899" s="61"/>
      <c r="T1899" s="61"/>
      <c r="U1899" s="61"/>
      <c r="V1899" s="61"/>
      <c r="W1899" s="61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  <c r="AH1899" s="6"/>
      <c r="AI1899" s="6"/>
      <c r="AJ1899" s="6"/>
    </row>
    <row r="1900" spans="1:36" ht="11.25" customHeight="1" x14ac:dyDescent="0.2">
      <c r="A1900" s="57" t="s">
        <v>21</v>
      </c>
      <c r="B1900" s="57" t="s">
        <v>22</v>
      </c>
      <c r="C1900" s="57" t="s">
        <v>23</v>
      </c>
      <c r="D1900" s="57" t="s">
        <v>24</v>
      </c>
      <c r="E1900" s="57" t="s">
        <v>33</v>
      </c>
      <c r="F1900" s="57" t="s">
        <v>25</v>
      </c>
      <c r="G1900" s="57" t="s">
        <v>25</v>
      </c>
      <c r="H1900" s="57" t="s">
        <v>25</v>
      </c>
      <c r="I1900" s="82">
        <v>44409</v>
      </c>
      <c r="J1900" s="83">
        <f>EFEITO!$J$1900*EFEITO!$Y$1666</f>
        <v>0</v>
      </c>
      <c r="K1900" s="83">
        <f ca="1">EFEITO!$L$1900*EFEITO!$Z$1915</f>
        <v>1771295.3630290299</v>
      </c>
      <c r="L1900" s="83">
        <f>EFEITO!$N$1900*EFEITO!$AA$1915</f>
        <v>1144319.7267007665</v>
      </c>
      <c r="M1900" s="83">
        <f>$J$1900-EFEITO!$K$1900*EFEITO!$Y$1900</f>
        <v>0</v>
      </c>
      <c r="N1900" s="83">
        <f ca="1">$K$1900-EFEITO!$M$1900*EFEITO!$Z$1900</f>
        <v>177129.53630290297</v>
      </c>
      <c r="O1900" s="83">
        <f>$L$1900-EFEITO!$O$1900*EFEITO!$AA$1900</f>
        <v>114431.97267007665</v>
      </c>
      <c r="P1900" s="61"/>
      <c r="Q1900" s="61"/>
      <c r="R1900" s="61"/>
      <c r="S1900" s="61"/>
      <c r="T1900" s="61"/>
      <c r="U1900" s="61"/>
      <c r="V1900" s="61"/>
      <c r="W1900" s="61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</row>
    <row r="1901" spans="1:36" ht="11.25" customHeight="1" x14ac:dyDescent="0.2">
      <c r="A1901" s="57" t="s">
        <v>27</v>
      </c>
      <c r="B1901" s="57" t="s">
        <v>22</v>
      </c>
      <c r="C1901" s="57" t="s">
        <v>23</v>
      </c>
      <c r="D1901" s="57" t="s">
        <v>24</v>
      </c>
      <c r="E1901" s="57" t="s">
        <v>33</v>
      </c>
      <c r="F1901" s="57" t="s">
        <v>25</v>
      </c>
      <c r="G1901" s="57" t="s">
        <v>25</v>
      </c>
      <c r="H1901" s="57" t="s">
        <v>25</v>
      </c>
      <c r="I1901" s="82">
        <v>44409</v>
      </c>
      <c r="J1901" s="83">
        <f>EFEITO!$J$1901*EFEITO!$Y$1666</f>
        <v>0</v>
      </c>
      <c r="K1901" s="83">
        <f ca="1">EFEITO!$L$1901*EFEITO!$Z$1915</f>
        <v>-10263.474498229925</v>
      </c>
      <c r="L1901" s="83">
        <f>EFEITO!$N$1901*EFEITO!$AA$1915</f>
        <v>-6630.5691179197593</v>
      </c>
      <c r="M1901" s="83">
        <f>$J$1901-EFEITO!$K$1901*EFEITO!$Y$1901</f>
        <v>0</v>
      </c>
      <c r="N1901" s="83">
        <f ca="1">$K$1901-EFEITO!$M$1901*EFEITO!$Z$1901</f>
        <v>-1026.3474498229916</v>
      </c>
      <c r="O1901" s="83">
        <f>$L$1901-EFEITO!$O$1901*EFEITO!$AA$1901</f>
        <v>-663.05691179197584</v>
      </c>
      <c r="P1901" s="61"/>
      <c r="Q1901" s="61"/>
      <c r="R1901" s="61"/>
      <c r="S1901" s="61"/>
      <c r="T1901" s="61"/>
      <c r="U1901" s="61"/>
      <c r="V1901" s="61"/>
      <c r="W1901" s="61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</row>
    <row r="1902" spans="1:36" ht="11.25" customHeight="1" x14ac:dyDescent="0.2">
      <c r="A1902" s="57" t="s">
        <v>28</v>
      </c>
      <c r="B1902" s="57" t="s">
        <v>22</v>
      </c>
      <c r="C1902" s="57" t="s">
        <v>23</v>
      </c>
      <c r="D1902" s="57" t="s">
        <v>24</v>
      </c>
      <c r="E1902" s="57" t="s">
        <v>33</v>
      </c>
      <c r="F1902" s="57" t="s">
        <v>25</v>
      </c>
      <c r="G1902" s="57" t="s">
        <v>25</v>
      </c>
      <c r="H1902" s="57" t="s">
        <v>25</v>
      </c>
      <c r="I1902" s="82">
        <v>44409</v>
      </c>
      <c r="J1902" s="83">
        <f>EFEITO!$J$1902*EFEITO!$Y$1666</f>
        <v>0</v>
      </c>
      <c r="K1902" s="83">
        <f ca="1">EFEITO!$L$1902*EFEITO!$Z$1915</f>
        <v>2414241.5451886519</v>
      </c>
      <c r="L1902" s="83">
        <f>EFEITO!$N$1902*EFEITO!$AA$1915</f>
        <v>1559685.7999196583</v>
      </c>
      <c r="M1902" s="83">
        <f>$J$1902-EFEITO!$K$1902*EFEITO!$Y$1902</f>
        <v>0</v>
      </c>
      <c r="N1902" s="83">
        <f ca="1">$K$1902-EFEITO!$M$1902*EFEITO!$Z$1902</f>
        <v>241424.15451886505</v>
      </c>
      <c r="O1902" s="83">
        <f>$L$1902-EFEITO!$O$1902*EFEITO!$AA$1902</f>
        <v>155968.57999196555</v>
      </c>
      <c r="P1902" s="61"/>
      <c r="Q1902" s="61"/>
      <c r="R1902" s="61"/>
      <c r="S1902" s="61"/>
      <c r="T1902" s="61"/>
      <c r="U1902" s="61"/>
      <c r="V1902" s="61"/>
      <c r="W1902" s="61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  <c r="AH1902" s="6"/>
      <c r="AI1902" s="6"/>
      <c r="AJ1902" s="6"/>
    </row>
    <row r="1903" spans="1:36" ht="11.25" customHeight="1" x14ac:dyDescent="0.2">
      <c r="A1903" s="57" t="s">
        <v>29</v>
      </c>
      <c r="B1903" s="57" t="s">
        <v>22</v>
      </c>
      <c r="C1903" s="57" t="s">
        <v>23</v>
      </c>
      <c r="D1903" s="57" t="s">
        <v>24</v>
      </c>
      <c r="E1903" s="57" t="s">
        <v>33</v>
      </c>
      <c r="F1903" s="57" t="s">
        <v>25</v>
      </c>
      <c r="G1903" s="57" t="s">
        <v>25</v>
      </c>
      <c r="H1903" s="57" t="s">
        <v>25</v>
      </c>
      <c r="I1903" s="82">
        <v>44409</v>
      </c>
      <c r="J1903" s="83">
        <f>EFEITO!$J$1903*EFEITO!$Y$1666</f>
        <v>0</v>
      </c>
      <c r="K1903" s="83">
        <f ca="1">EFEITO!$L$1903*EFEITO!$Z$1915</f>
        <v>-6153.0242677644674</v>
      </c>
      <c r="L1903" s="83">
        <f>EFEITO!$N$1903*EFEITO!$AA$1915</f>
        <v>-3975.0722524507746</v>
      </c>
      <c r="M1903" s="83">
        <f>$J$1903-EFEITO!$K$1903*EFEITO!$Y$1903</f>
        <v>0</v>
      </c>
      <c r="N1903" s="83">
        <f ca="1">$K$1903-EFEITO!$M$1903*EFEITO!$Z$1903</f>
        <v>-615.30242677644674</v>
      </c>
      <c r="O1903" s="83">
        <f>$L$1903-EFEITO!$O$1903*EFEITO!$AA$1903</f>
        <v>-397.50722524507728</v>
      </c>
      <c r="P1903" s="61"/>
      <c r="Q1903" s="61"/>
      <c r="R1903" s="61"/>
      <c r="S1903" s="61"/>
      <c r="T1903" s="61"/>
      <c r="U1903" s="61"/>
      <c r="V1903" s="61"/>
      <c r="W1903" s="61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</row>
    <row r="1904" spans="1:36" ht="11.25" customHeight="1" x14ac:dyDescent="0.2">
      <c r="A1904" s="57" t="s">
        <v>30</v>
      </c>
      <c r="B1904" s="57" t="s">
        <v>22</v>
      </c>
      <c r="C1904" s="57" t="s">
        <v>23</v>
      </c>
      <c r="D1904" s="57" t="s">
        <v>24</v>
      </c>
      <c r="E1904" s="57" t="s">
        <v>33</v>
      </c>
      <c r="F1904" s="57" t="s">
        <v>25</v>
      </c>
      <c r="G1904" s="57" t="s">
        <v>25</v>
      </c>
      <c r="H1904" s="57" t="s">
        <v>25</v>
      </c>
      <c r="I1904" s="82">
        <v>44409</v>
      </c>
      <c r="J1904" s="83">
        <f>EFEITO!$J$1904*EFEITO!$Y$1666</f>
        <v>0</v>
      </c>
      <c r="K1904" s="83">
        <f ca="1">EFEITO!$L$1904*EFEITO!$Z$1915</f>
        <v>240.14046114191044</v>
      </c>
      <c r="L1904" s="83">
        <f>EFEITO!$N$1904*EFEITO!$AA$1915</f>
        <v>155.1392684694807</v>
      </c>
      <c r="M1904" s="83">
        <f>$J$1904-EFEITO!$K$1904*EFEITO!$Y$1904</f>
        <v>0</v>
      </c>
      <c r="N1904" s="83">
        <f ca="1">$K$1904-EFEITO!$M$1904*EFEITO!$Z$1904</f>
        <v>24.014046114191046</v>
      </c>
      <c r="O1904" s="83">
        <f>$L$1904-EFEITO!$O$1904*EFEITO!$AA$1904</f>
        <v>15.513926846948067</v>
      </c>
      <c r="P1904" s="61"/>
      <c r="Q1904" s="61"/>
      <c r="R1904" s="61"/>
      <c r="S1904" s="61"/>
      <c r="T1904" s="61"/>
      <c r="U1904" s="61"/>
      <c r="V1904" s="61"/>
      <c r="W1904" s="61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</row>
    <row r="1905" spans="1:36" ht="11.25" customHeight="1" x14ac:dyDescent="0.2">
      <c r="A1905" s="57" t="s">
        <v>21</v>
      </c>
      <c r="B1905" s="57" t="s">
        <v>22</v>
      </c>
      <c r="C1905" s="57" t="s">
        <v>23</v>
      </c>
      <c r="D1905" s="57" t="s">
        <v>24</v>
      </c>
      <c r="E1905" s="57" t="s">
        <v>33</v>
      </c>
      <c r="F1905" s="57" t="s">
        <v>25</v>
      </c>
      <c r="G1905" s="57" t="s">
        <v>25</v>
      </c>
      <c r="H1905" s="57" t="s">
        <v>25</v>
      </c>
      <c r="I1905" s="82">
        <v>44440</v>
      </c>
      <c r="J1905" s="83">
        <f>EFEITO!$J$1905*EFEITO!$Y$1666</f>
        <v>0</v>
      </c>
      <c r="K1905" s="83">
        <f ca="1">EFEITO!$L$1905*EFEITO!$Z$1915</f>
        <v>1796856.0609255184</v>
      </c>
      <c r="L1905" s="83">
        <f>EFEITO!$N$1905*EFEITO!$AA$1915</f>
        <v>1160832.8455411904</v>
      </c>
      <c r="M1905" s="83">
        <f>$J$1905-EFEITO!$K$1905*EFEITO!$Y$1905</f>
        <v>0</v>
      </c>
      <c r="N1905" s="83">
        <f ca="1">$K$1905-EFEITO!$M$1905*EFEITO!$Z$1905</f>
        <v>179685.60609255196</v>
      </c>
      <c r="O1905" s="83">
        <f>$L$1905-EFEITO!$O$1905*EFEITO!$AA$1905</f>
        <v>116083.28455411887</v>
      </c>
      <c r="P1905" s="61"/>
      <c r="Q1905" s="61"/>
      <c r="R1905" s="61"/>
      <c r="S1905" s="61"/>
      <c r="T1905" s="61"/>
      <c r="U1905" s="61"/>
      <c r="V1905" s="61"/>
      <c r="W1905" s="61"/>
      <c r="X1905" s="6"/>
      <c r="Y1905" s="6"/>
      <c r="Z1905" s="6"/>
      <c r="AA1905" s="6"/>
      <c r="AB1905" s="6"/>
      <c r="AC1905" s="6"/>
      <c r="AD1905" s="6"/>
      <c r="AE1905" s="6"/>
      <c r="AF1905" s="6"/>
      <c r="AG1905" s="6"/>
      <c r="AH1905" s="6"/>
      <c r="AI1905" s="6"/>
      <c r="AJ1905" s="6"/>
    </row>
    <row r="1906" spans="1:36" ht="11.25" customHeight="1" x14ac:dyDescent="0.2">
      <c r="A1906" s="57" t="s">
        <v>27</v>
      </c>
      <c r="B1906" s="57" t="s">
        <v>22</v>
      </c>
      <c r="C1906" s="57" t="s">
        <v>23</v>
      </c>
      <c r="D1906" s="57" t="s">
        <v>24</v>
      </c>
      <c r="E1906" s="57" t="s">
        <v>33</v>
      </c>
      <c r="F1906" s="57" t="s">
        <v>25</v>
      </c>
      <c r="G1906" s="57" t="s">
        <v>25</v>
      </c>
      <c r="H1906" s="57" t="s">
        <v>25</v>
      </c>
      <c r="I1906" s="82">
        <v>44440</v>
      </c>
      <c r="J1906" s="83">
        <f>EFEITO!$J$1906*EFEITO!$Y$1666</f>
        <v>0</v>
      </c>
      <c r="K1906" s="83">
        <f ca="1">EFEITO!$L$1906*EFEITO!$Z$1915</f>
        <v>-2967.7128636522302</v>
      </c>
      <c r="L1906" s="83">
        <f>EFEITO!$N$1906*EFEITO!$AA$1915</f>
        <v>-1917.2479327521455</v>
      </c>
      <c r="M1906" s="83">
        <f>$J$1906-EFEITO!$K$1906*EFEITO!$Y$1906</f>
        <v>0</v>
      </c>
      <c r="N1906" s="83">
        <f ca="1">$K$1906-EFEITO!$M$1906*EFEITO!$Z$1906</f>
        <v>-296.7712863652232</v>
      </c>
      <c r="O1906" s="83">
        <f>$L$1906-EFEITO!$O$1906*EFEITO!$AA$1906</f>
        <v>-191.72479327521455</v>
      </c>
      <c r="P1906" s="61"/>
      <c r="Q1906" s="61"/>
      <c r="R1906" s="61"/>
      <c r="S1906" s="61"/>
      <c r="T1906" s="61"/>
      <c r="U1906" s="61"/>
      <c r="V1906" s="61"/>
      <c r="W1906" s="61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</row>
    <row r="1907" spans="1:36" ht="11.25" customHeight="1" x14ac:dyDescent="0.2">
      <c r="A1907" s="57" t="s">
        <v>28</v>
      </c>
      <c r="B1907" s="57" t="s">
        <v>22</v>
      </c>
      <c r="C1907" s="57" t="s">
        <v>23</v>
      </c>
      <c r="D1907" s="57" t="s">
        <v>24</v>
      </c>
      <c r="E1907" s="57" t="s">
        <v>33</v>
      </c>
      <c r="F1907" s="57" t="s">
        <v>25</v>
      </c>
      <c r="G1907" s="57" t="s">
        <v>25</v>
      </c>
      <c r="H1907" s="57" t="s">
        <v>25</v>
      </c>
      <c r="I1907" s="82">
        <v>44440</v>
      </c>
      <c r="J1907" s="83">
        <f>EFEITO!$J$1907*EFEITO!$Y$1666</f>
        <v>0</v>
      </c>
      <c r="K1907" s="83">
        <f ca="1">EFEITO!$L$1907*EFEITO!$Z$1915</f>
        <v>2567922.6995747206</v>
      </c>
      <c r="L1907" s="83">
        <f>EFEITO!$N$1907*EFEITO!$AA$1915</f>
        <v>1658969.2849085149</v>
      </c>
      <c r="M1907" s="83">
        <f>$J$1907-EFEITO!$K$1907*EFEITO!$Y$1907</f>
        <v>0</v>
      </c>
      <c r="N1907" s="83">
        <f ca="1">$K$1907-EFEITO!$M$1907*EFEITO!$Z$1907</f>
        <v>256792.2699574721</v>
      </c>
      <c r="O1907" s="83">
        <f>$L$1907-EFEITO!$O$1907*EFEITO!$AA$1907</f>
        <v>165896.92849085131</v>
      </c>
      <c r="P1907" s="61"/>
      <c r="Q1907" s="61"/>
      <c r="R1907" s="61"/>
      <c r="S1907" s="61"/>
      <c r="T1907" s="61"/>
      <c r="U1907" s="61"/>
      <c r="V1907" s="61"/>
      <c r="W1907" s="61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</row>
    <row r="1908" spans="1:36" ht="11.25" customHeight="1" x14ac:dyDescent="0.2">
      <c r="A1908" s="57" t="s">
        <v>29</v>
      </c>
      <c r="B1908" s="57" t="s">
        <v>22</v>
      </c>
      <c r="C1908" s="57" t="s">
        <v>23</v>
      </c>
      <c r="D1908" s="57" t="s">
        <v>24</v>
      </c>
      <c r="E1908" s="57" t="s">
        <v>33</v>
      </c>
      <c r="F1908" s="57" t="s">
        <v>25</v>
      </c>
      <c r="G1908" s="57" t="s">
        <v>25</v>
      </c>
      <c r="H1908" s="57" t="s">
        <v>25</v>
      </c>
      <c r="I1908" s="82">
        <v>44440</v>
      </c>
      <c r="J1908" s="83">
        <f>EFEITO!$J$1908*EFEITO!$Y$1666</f>
        <v>0</v>
      </c>
      <c r="K1908" s="83">
        <f ca="1">EFEITO!$L$1908*EFEITO!$Z$1915</f>
        <v>-4960.6026676115325</v>
      </c>
      <c r="L1908" s="83">
        <f>EFEITO!$N$1908*EFEITO!$AA$1915</f>
        <v>-3204.7255400505942</v>
      </c>
      <c r="M1908" s="83">
        <f>$J$1908-EFEITO!$K$1908*EFEITO!$Y$1908</f>
        <v>0</v>
      </c>
      <c r="N1908" s="83">
        <f ca="1">$K$1908-EFEITO!$M$1908*EFEITO!$Z$1908</f>
        <v>-496.06026676115289</v>
      </c>
      <c r="O1908" s="83">
        <f>$L$1908-EFEITO!$O$1908*EFEITO!$AA$1908</f>
        <v>-320.47255400505901</v>
      </c>
      <c r="P1908" s="61"/>
      <c r="Q1908" s="61"/>
      <c r="R1908" s="61"/>
      <c r="S1908" s="61"/>
      <c r="T1908" s="61"/>
      <c r="U1908" s="61"/>
      <c r="V1908" s="61"/>
      <c r="W1908" s="61"/>
      <c r="X1908" s="6"/>
      <c r="Y1908" s="6"/>
      <c r="Z1908" s="6"/>
      <c r="AA1908" s="6"/>
      <c r="AB1908" s="6"/>
      <c r="AC1908" s="6"/>
      <c r="AD1908" s="6"/>
      <c r="AE1908" s="6"/>
      <c r="AF1908" s="6"/>
      <c r="AG1908" s="6"/>
      <c r="AH1908" s="6"/>
      <c r="AI1908" s="6"/>
      <c r="AJ1908" s="6"/>
    </row>
    <row r="1909" spans="1:36" ht="11.25" customHeight="1" x14ac:dyDescent="0.2">
      <c r="A1909" s="57" t="s">
        <v>30</v>
      </c>
      <c r="B1909" s="57" t="s">
        <v>22</v>
      </c>
      <c r="C1909" s="57" t="s">
        <v>23</v>
      </c>
      <c r="D1909" s="57" t="s">
        <v>24</v>
      </c>
      <c r="E1909" s="57" t="s">
        <v>33</v>
      </c>
      <c r="F1909" s="57" t="s">
        <v>25</v>
      </c>
      <c r="G1909" s="57" t="s">
        <v>25</v>
      </c>
      <c r="H1909" s="57" t="s">
        <v>25</v>
      </c>
      <c r="I1909" s="82">
        <v>44440</v>
      </c>
      <c r="J1909" s="83">
        <f>EFEITO!$J$1909*EFEITO!$Y$1666</f>
        <v>0</v>
      </c>
      <c r="K1909" s="83">
        <f ca="1">EFEITO!$L$1909*EFEITO!$Z$1915</f>
        <v>331.22822226470402</v>
      </c>
      <c r="L1909" s="83">
        <f>EFEITO!$N$1909*EFEITO!$AA$1915</f>
        <v>213.98519788893887</v>
      </c>
      <c r="M1909" s="83">
        <f>$J$1909-EFEITO!$K$1909*EFEITO!$Y$1909</f>
        <v>0</v>
      </c>
      <c r="N1909" s="83">
        <f ca="1">$K$1909-EFEITO!$M$1909*EFEITO!$Z$1909</f>
        <v>33.122822226470419</v>
      </c>
      <c r="O1909" s="83">
        <f>$L$1909-EFEITO!$O$1909*EFEITO!$AA$1909</f>
        <v>21.39851978889385</v>
      </c>
      <c r="P1909" s="61"/>
      <c r="Q1909" s="61"/>
      <c r="R1909" s="61"/>
      <c r="S1909" s="61"/>
      <c r="T1909" s="61"/>
      <c r="U1909" s="61"/>
      <c r="V1909" s="61"/>
      <c r="W1909" s="61"/>
      <c r="X1909" s="6"/>
      <c r="Y1909" s="6"/>
      <c r="Z1909" s="6"/>
      <c r="AA1909" s="6"/>
      <c r="AB1909" s="6"/>
      <c r="AC1909" s="6"/>
      <c r="AD1909" s="6"/>
      <c r="AE1909" s="6"/>
      <c r="AF1909" s="6"/>
      <c r="AG1909" s="6"/>
      <c r="AH1909" s="6"/>
      <c r="AI1909" s="6"/>
      <c r="AJ1909" s="6"/>
    </row>
    <row r="1910" spans="1:36" ht="11.25" customHeight="1" x14ac:dyDescent="0.2">
      <c r="A1910" s="57" t="s">
        <v>59</v>
      </c>
      <c r="B1910" s="57" t="s">
        <v>22</v>
      </c>
      <c r="C1910" s="57" t="s">
        <v>23</v>
      </c>
      <c r="D1910" s="57" t="s">
        <v>24</v>
      </c>
      <c r="E1910" s="57" t="s">
        <v>33</v>
      </c>
      <c r="F1910" s="57" t="s">
        <v>25</v>
      </c>
      <c r="G1910" s="57" t="s">
        <v>25</v>
      </c>
      <c r="H1910" s="57" t="s">
        <v>25</v>
      </c>
      <c r="I1910" s="82">
        <v>44470</v>
      </c>
      <c r="J1910" s="83">
        <f>EFEITO!$J$1910*EFEITO!$Y$1666</f>
        <v>0</v>
      </c>
      <c r="K1910" s="83">
        <f ca="1">EFEITO!$L$1910*EFEITO!$Z$1915</f>
        <v>1796856.0609255184</v>
      </c>
      <c r="L1910" s="83">
        <f>EFEITO!$N$1910*EFEITO!$AA$1915</f>
        <v>1160832.8455411904</v>
      </c>
      <c r="M1910" s="83">
        <f>$J$1910-EFEITO!$K$1910*EFEITO!$Y$1910</f>
        <v>0</v>
      </c>
      <c r="N1910" s="83">
        <f ca="1">$K$1910-EFEITO!$M$1910*EFEITO!$Z$1910</f>
        <v>179685.60609255196</v>
      </c>
      <c r="O1910" s="83">
        <f>$L$1910-EFEITO!$O$1910*EFEITO!$AA$1910</f>
        <v>116083.28455411887</v>
      </c>
      <c r="P1910" s="61"/>
      <c r="Q1910" s="61"/>
      <c r="R1910" s="61"/>
      <c r="S1910" s="61"/>
      <c r="T1910" s="61"/>
      <c r="U1910" s="61"/>
      <c r="V1910" s="61"/>
      <c r="W1910" s="61"/>
      <c r="X1910" s="6"/>
      <c r="Y1910" s="6"/>
      <c r="Z1910" s="6"/>
      <c r="AA1910" s="6"/>
      <c r="AB1910" s="6"/>
      <c r="AC1910" s="6"/>
      <c r="AD1910" s="6"/>
      <c r="AE1910" s="6"/>
      <c r="AF1910" s="6"/>
      <c r="AG1910" s="6"/>
      <c r="AH1910" s="6"/>
      <c r="AI1910" s="6"/>
      <c r="AJ1910" s="6"/>
    </row>
    <row r="1911" spans="1:36" ht="11.25" customHeight="1" x14ac:dyDescent="0.2">
      <c r="A1911" s="57" t="s">
        <v>59</v>
      </c>
      <c r="B1911" s="57" t="s">
        <v>22</v>
      </c>
      <c r="C1911" s="57" t="s">
        <v>23</v>
      </c>
      <c r="D1911" s="57" t="s">
        <v>24</v>
      </c>
      <c r="E1911" s="57" t="s">
        <v>33</v>
      </c>
      <c r="F1911" s="57" t="s">
        <v>25</v>
      </c>
      <c r="G1911" s="57" t="s">
        <v>25</v>
      </c>
      <c r="H1911" s="57" t="s">
        <v>25</v>
      </c>
      <c r="I1911" s="82">
        <v>44470</v>
      </c>
      <c r="J1911" s="83">
        <f>EFEITO!$J$1911*EFEITO!$Y$1666</f>
        <v>0</v>
      </c>
      <c r="K1911" s="83">
        <f ca="1">EFEITO!$L$1911*EFEITO!$Z$1915</f>
        <v>-2967.7128636522302</v>
      </c>
      <c r="L1911" s="83">
        <f>EFEITO!$N$1911*EFEITO!$AA$1915</f>
        <v>-1917.2479327521455</v>
      </c>
      <c r="M1911" s="83">
        <f>$J$1911-EFEITO!$K$1911*EFEITO!$Y$1911</f>
        <v>0</v>
      </c>
      <c r="N1911" s="83">
        <f ca="1">$K$1911-EFEITO!$M$1911*EFEITO!$Z$1911</f>
        <v>-296.7712863652232</v>
      </c>
      <c r="O1911" s="83">
        <f>$L$1911-EFEITO!$O$1911*EFEITO!$AA$1911</f>
        <v>-191.72479327521455</v>
      </c>
      <c r="P1911" s="61"/>
      <c r="Q1911" s="61"/>
      <c r="R1911" s="61"/>
      <c r="S1911" s="61"/>
      <c r="T1911" s="61"/>
      <c r="U1911" s="61"/>
      <c r="V1911" s="61"/>
      <c r="W1911" s="61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</row>
    <row r="1912" spans="1:36" ht="11.25" customHeight="1" x14ac:dyDescent="0.2">
      <c r="A1912" s="57" t="s">
        <v>59</v>
      </c>
      <c r="B1912" s="57" t="s">
        <v>22</v>
      </c>
      <c r="C1912" s="57" t="s">
        <v>23</v>
      </c>
      <c r="D1912" s="57" t="s">
        <v>24</v>
      </c>
      <c r="E1912" s="57" t="s">
        <v>33</v>
      </c>
      <c r="F1912" s="57" t="s">
        <v>25</v>
      </c>
      <c r="G1912" s="57" t="s">
        <v>25</v>
      </c>
      <c r="H1912" s="57" t="s">
        <v>25</v>
      </c>
      <c r="I1912" s="82">
        <v>44470</v>
      </c>
      <c r="J1912" s="83">
        <f>EFEITO!$J$1912*EFEITO!$Y$1666</f>
        <v>0</v>
      </c>
      <c r="K1912" s="83">
        <f ca="1">EFEITO!$L$1912*EFEITO!$Z$1915</f>
        <v>2567922.6995747206</v>
      </c>
      <c r="L1912" s="83">
        <f>EFEITO!$N$1912*EFEITO!$AA$1915</f>
        <v>1658969.2849085149</v>
      </c>
      <c r="M1912" s="83">
        <f>$J$1912-EFEITO!$K$1912*EFEITO!$Y$1912</f>
        <v>0</v>
      </c>
      <c r="N1912" s="83">
        <f ca="1">$K$1912-EFEITO!$M$1912*EFEITO!$Z$1912</f>
        <v>256792.2699574721</v>
      </c>
      <c r="O1912" s="83">
        <f>$L$1912-EFEITO!$O$1912*EFEITO!$AA$1912</f>
        <v>165896.92849085131</v>
      </c>
      <c r="P1912" s="61"/>
      <c r="Q1912" s="61"/>
      <c r="R1912" s="61"/>
      <c r="S1912" s="61"/>
      <c r="T1912" s="61"/>
      <c r="U1912" s="61"/>
      <c r="V1912" s="61"/>
      <c r="W1912" s="61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</row>
    <row r="1913" spans="1:36" ht="11.25" customHeight="1" x14ac:dyDescent="0.2">
      <c r="A1913" s="57" t="s">
        <v>59</v>
      </c>
      <c r="B1913" s="57" t="s">
        <v>22</v>
      </c>
      <c r="C1913" s="57" t="s">
        <v>23</v>
      </c>
      <c r="D1913" s="57" t="s">
        <v>24</v>
      </c>
      <c r="E1913" s="57" t="s">
        <v>33</v>
      </c>
      <c r="F1913" s="57" t="s">
        <v>25</v>
      </c>
      <c r="G1913" s="57" t="s">
        <v>25</v>
      </c>
      <c r="H1913" s="57" t="s">
        <v>25</v>
      </c>
      <c r="I1913" s="82">
        <v>44470</v>
      </c>
      <c r="J1913" s="83">
        <f>EFEITO!$J$1913*EFEITO!$Y$1666</f>
        <v>0</v>
      </c>
      <c r="K1913" s="83">
        <f ca="1">EFEITO!$L$1913*EFEITO!$Z$1915</f>
        <v>-4960.6026676115325</v>
      </c>
      <c r="L1913" s="83">
        <f>EFEITO!$N$1913*EFEITO!$AA$1915</f>
        <v>-3204.7255400505942</v>
      </c>
      <c r="M1913" s="83">
        <f>$J$1913-EFEITO!$K$1913*EFEITO!$Y$1913</f>
        <v>0</v>
      </c>
      <c r="N1913" s="83">
        <f ca="1">$K$1913-EFEITO!$M$1913*EFEITO!$Z$1913</f>
        <v>-496.06026676115289</v>
      </c>
      <c r="O1913" s="83">
        <f>$L$1913-EFEITO!$O$1913*EFEITO!$AA$1913</f>
        <v>-320.47255400505901</v>
      </c>
      <c r="P1913" s="61"/>
      <c r="Q1913" s="61"/>
      <c r="R1913" s="61"/>
      <c r="S1913" s="61"/>
      <c r="T1913" s="61"/>
      <c r="U1913" s="61"/>
      <c r="V1913" s="61"/>
      <c r="W1913" s="61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</row>
    <row r="1914" spans="1:36" ht="11.25" customHeight="1" x14ac:dyDescent="0.2">
      <c r="A1914" s="57" t="s">
        <v>59</v>
      </c>
      <c r="B1914" s="57" t="s">
        <v>22</v>
      </c>
      <c r="C1914" s="57" t="s">
        <v>23</v>
      </c>
      <c r="D1914" s="57" t="s">
        <v>24</v>
      </c>
      <c r="E1914" s="57" t="s">
        <v>33</v>
      </c>
      <c r="F1914" s="57" t="s">
        <v>25</v>
      </c>
      <c r="G1914" s="57" t="s">
        <v>25</v>
      </c>
      <c r="H1914" s="57" t="s">
        <v>25</v>
      </c>
      <c r="I1914" s="82">
        <v>44470</v>
      </c>
      <c r="J1914" s="83">
        <f>EFEITO!$J$1914*EFEITO!$Y$1666</f>
        <v>0</v>
      </c>
      <c r="K1914" s="83">
        <f ca="1">EFEITO!$L$1914*EFEITO!$Z$1915</f>
        <v>331.22822226470402</v>
      </c>
      <c r="L1914" s="83">
        <f>EFEITO!$N$1914*EFEITO!$AA$1915</f>
        <v>213.98519788893887</v>
      </c>
      <c r="M1914" s="83">
        <f>$J$1914-EFEITO!$K$1914*EFEITO!$Y$1914</f>
        <v>0</v>
      </c>
      <c r="N1914" s="83">
        <f ca="1">$K$1914-EFEITO!$M$1914*EFEITO!$Z$1914</f>
        <v>33.122822226470419</v>
      </c>
      <c r="O1914" s="83">
        <f>$L$1914-EFEITO!$O$1914*EFEITO!$AA$1914</f>
        <v>21.39851978889385</v>
      </c>
      <c r="P1914" s="61"/>
      <c r="Q1914" s="61"/>
      <c r="R1914" s="61"/>
      <c r="S1914" s="61"/>
      <c r="T1914" s="61"/>
      <c r="U1914" s="61"/>
      <c r="V1914" s="61"/>
      <c r="W1914" s="61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</row>
    <row r="1915" spans="1:36" ht="11.25" customHeight="1" x14ac:dyDescent="0.2">
      <c r="A1915" s="57" t="s">
        <v>21</v>
      </c>
      <c r="B1915" s="57" t="s">
        <v>22</v>
      </c>
      <c r="C1915" s="57" t="s">
        <v>23</v>
      </c>
      <c r="D1915" s="57" t="s">
        <v>24</v>
      </c>
      <c r="E1915" s="57" t="s">
        <v>34</v>
      </c>
      <c r="F1915" s="57" t="s">
        <v>25</v>
      </c>
      <c r="G1915" s="57" t="s">
        <v>25</v>
      </c>
      <c r="H1915" s="57" t="s">
        <v>25</v>
      </c>
      <c r="I1915" s="82">
        <v>44136</v>
      </c>
      <c r="J1915" s="83">
        <f>EFEITO!$J$1915*EFEITO!$Y$1666</f>
        <v>0</v>
      </c>
      <c r="K1915" s="83">
        <f ca="1">EFEITO!$L$1915*EFEITO!$Z$1915</f>
        <v>1460030.0817045406</v>
      </c>
      <c r="L1915" s="83">
        <f>EFEITO!$N$1915*EFEITO!$AA$1915</f>
        <v>943231.29780792841</v>
      </c>
      <c r="M1915" s="83">
        <f>$J$1915-EFEITO!$K$1915*EFEITO!$Y$1915</f>
        <v>0</v>
      </c>
      <c r="N1915" s="83">
        <f ca="1">$K$1915-EFEITO!$M$1915*EFEITO!$Z$1915</f>
        <v>0</v>
      </c>
      <c r="O1915" s="83">
        <f>$L$1915-EFEITO!$O$1915*EFEITO!$AA$1915</f>
        <v>0</v>
      </c>
      <c r="P1915" s="61"/>
      <c r="Q1915" s="61"/>
      <c r="R1915" s="61"/>
      <c r="S1915" s="61"/>
      <c r="T1915" s="61"/>
      <c r="U1915" s="61"/>
      <c r="V1915" s="61"/>
      <c r="W1915" s="61"/>
      <c r="X1915" s="6"/>
      <c r="Y1915" s="6"/>
      <c r="Z1915" s="6"/>
      <c r="AA1915" s="6"/>
      <c r="AB1915" s="6"/>
      <c r="AC1915" s="6"/>
      <c r="AD1915" s="6"/>
      <c r="AE1915" s="6"/>
      <c r="AF1915" s="6"/>
      <c r="AG1915" s="6"/>
      <c r="AH1915" s="6"/>
      <c r="AI1915" s="6"/>
      <c r="AJ1915" s="6"/>
    </row>
    <row r="1916" spans="1:36" ht="11.25" customHeight="1" x14ac:dyDescent="0.2">
      <c r="A1916" s="57" t="s">
        <v>27</v>
      </c>
      <c r="B1916" s="57" t="s">
        <v>22</v>
      </c>
      <c r="C1916" s="57" t="s">
        <v>23</v>
      </c>
      <c r="D1916" s="57" t="s">
        <v>24</v>
      </c>
      <c r="E1916" s="57" t="s">
        <v>34</v>
      </c>
      <c r="F1916" s="57" t="s">
        <v>25</v>
      </c>
      <c r="G1916" s="57" t="s">
        <v>25</v>
      </c>
      <c r="H1916" s="57" t="s">
        <v>25</v>
      </c>
      <c r="I1916" s="82">
        <v>44136</v>
      </c>
      <c r="J1916" s="83">
        <f>EFEITO!$J$1916*EFEITO!$Y$1666</f>
        <v>0</v>
      </c>
      <c r="K1916" s="83">
        <f ca="1">EFEITO!$L$1916*EFEITO!$Z$1915</f>
        <v>-26703.435263301402</v>
      </c>
      <c r="L1916" s="83">
        <f>EFEITO!$N$1916*EFEITO!$AA$1915</f>
        <v>-17251.367773140759</v>
      </c>
      <c r="M1916" s="83">
        <f>$J$1916-EFEITO!$K$1916*EFEITO!$Y$1916</f>
        <v>0</v>
      </c>
      <c r="N1916" s="83">
        <f ca="1">$K$1916-EFEITO!$M$1916*EFEITO!$Z$1916</f>
        <v>0</v>
      </c>
      <c r="O1916" s="83">
        <f>$L$1916-EFEITO!$O$1916*EFEITO!$AA$1916</f>
        <v>0</v>
      </c>
      <c r="P1916" s="61"/>
      <c r="Q1916" s="61"/>
      <c r="R1916" s="61"/>
      <c r="S1916" s="61"/>
      <c r="T1916" s="61"/>
      <c r="U1916" s="61"/>
      <c r="V1916" s="61"/>
      <c r="W1916" s="61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</row>
    <row r="1917" spans="1:36" ht="11.25" customHeight="1" x14ac:dyDescent="0.2">
      <c r="A1917" s="57" t="s">
        <v>28</v>
      </c>
      <c r="B1917" s="57" t="s">
        <v>22</v>
      </c>
      <c r="C1917" s="57" t="s">
        <v>23</v>
      </c>
      <c r="D1917" s="57" t="s">
        <v>24</v>
      </c>
      <c r="E1917" s="57" t="s">
        <v>34</v>
      </c>
      <c r="F1917" s="57" t="s">
        <v>25</v>
      </c>
      <c r="G1917" s="57" t="s">
        <v>25</v>
      </c>
      <c r="H1917" s="57" t="s">
        <v>25</v>
      </c>
      <c r="I1917" s="82">
        <v>44136</v>
      </c>
      <c r="J1917" s="83">
        <f>EFEITO!$J$1917*EFEITO!$Y$1666</f>
        <v>0</v>
      </c>
      <c r="K1917" s="83">
        <f ca="1">EFEITO!$L$1917*EFEITO!$Z$1915</f>
        <v>1421542.2823557772</v>
      </c>
      <c r="L1917" s="83">
        <f>EFEITO!$N$1917*EFEITO!$AA$1915</f>
        <v>918366.81221656117</v>
      </c>
      <c r="M1917" s="83">
        <f>$J$1917-EFEITO!$K$1917*EFEITO!$Y$1917</f>
        <v>0</v>
      </c>
      <c r="N1917" s="83">
        <f ca="1">$K$1917-EFEITO!$M$1917*EFEITO!$Z$1917</f>
        <v>0</v>
      </c>
      <c r="O1917" s="83">
        <f>$L$1917-EFEITO!$O$1917*EFEITO!$AA$1917</f>
        <v>0</v>
      </c>
      <c r="P1917" s="61"/>
      <c r="Q1917" s="61"/>
      <c r="R1917" s="61"/>
      <c r="S1917" s="61"/>
      <c r="T1917" s="61"/>
      <c r="U1917" s="61"/>
      <c r="V1917" s="61"/>
      <c r="W1917" s="61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</row>
    <row r="1918" spans="1:36" ht="11.25" customHeight="1" x14ac:dyDescent="0.2">
      <c r="A1918" s="57" t="s">
        <v>29</v>
      </c>
      <c r="B1918" s="57" t="s">
        <v>22</v>
      </c>
      <c r="C1918" s="57" t="s">
        <v>23</v>
      </c>
      <c r="D1918" s="57" t="s">
        <v>24</v>
      </c>
      <c r="E1918" s="57" t="s">
        <v>34</v>
      </c>
      <c r="F1918" s="57" t="s">
        <v>25</v>
      </c>
      <c r="G1918" s="57" t="s">
        <v>25</v>
      </c>
      <c r="H1918" s="57" t="s">
        <v>25</v>
      </c>
      <c r="I1918" s="82">
        <v>44136</v>
      </c>
      <c r="J1918" s="83">
        <f>EFEITO!$J$1918*EFEITO!$Y$1666</f>
        <v>0</v>
      </c>
      <c r="K1918" s="83">
        <f ca="1">EFEITO!$L$1918*EFEITO!$Z$1915</f>
        <v>-12121.112778097808</v>
      </c>
      <c r="L1918" s="83">
        <f>EFEITO!$N$1918*EFEITO!$AA$1915</f>
        <v>-7830.6694360802248</v>
      </c>
      <c r="M1918" s="83">
        <f>$J$1918-EFEITO!$K$1918*EFEITO!$Y$1918</f>
        <v>0</v>
      </c>
      <c r="N1918" s="83">
        <f ca="1">$K$1918-EFEITO!$M$1918*EFEITO!$Z$1918</f>
        <v>0</v>
      </c>
      <c r="O1918" s="83">
        <f>$L$1918-EFEITO!$O$1918*EFEITO!$AA$1918</f>
        <v>0</v>
      </c>
      <c r="P1918" s="61"/>
      <c r="Q1918" s="61"/>
      <c r="R1918" s="61"/>
      <c r="S1918" s="61"/>
      <c r="T1918" s="61"/>
      <c r="U1918" s="61"/>
      <c r="V1918" s="61"/>
      <c r="W1918" s="61"/>
      <c r="X1918" s="6"/>
      <c r="Y1918" s="6"/>
      <c r="Z1918" s="6"/>
      <c r="AA1918" s="6"/>
      <c r="AB1918" s="6"/>
      <c r="AC1918" s="6"/>
      <c r="AD1918" s="6"/>
      <c r="AE1918" s="6"/>
      <c r="AF1918" s="6"/>
      <c r="AG1918" s="6"/>
      <c r="AH1918" s="6"/>
      <c r="AI1918" s="6"/>
      <c r="AJ1918" s="6"/>
    </row>
    <row r="1919" spans="1:36" ht="11.25" customHeight="1" x14ac:dyDescent="0.2">
      <c r="A1919" s="57" t="s">
        <v>21</v>
      </c>
      <c r="B1919" s="57" t="s">
        <v>22</v>
      </c>
      <c r="C1919" s="57" t="s">
        <v>23</v>
      </c>
      <c r="D1919" s="57" t="s">
        <v>24</v>
      </c>
      <c r="E1919" s="57" t="s">
        <v>34</v>
      </c>
      <c r="F1919" s="57" t="s">
        <v>25</v>
      </c>
      <c r="G1919" s="57" t="s">
        <v>25</v>
      </c>
      <c r="H1919" s="57" t="s">
        <v>25</v>
      </c>
      <c r="I1919" s="82">
        <v>44166</v>
      </c>
      <c r="J1919" s="83">
        <f>EFEITO!$J$1919*EFEITO!$Y$1666</f>
        <v>0</v>
      </c>
      <c r="K1919" s="83">
        <f ca="1">EFEITO!$L$1919*EFEITO!$Z$1915</f>
        <v>1520288.3160008495</v>
      </c>
      <c r="L1919" s="83">
        <f>EFEITO!$N$1919*EFEITO!$AA$1915</f>
        <v>982160.25773220998</v>
      </c>
      <c r="M1919" s="83">
        <f>$J$1919-EFEITO!$K$1919*EFEITO!$Y$1919</f>
        <v>0</v>
      </c>
      <c r="N1919" s="83">
        <f ca="1">$K$1919-EFEITO!$M$1919*EFEITO!$Z$1919</f>
        <v>0</v>
      </c>
      <c r="O1919" s="83">
        <f>$L$1919-EFEITO!$O$1919*EFEITO!$AA$1919</f>
        <v>0</v>
      </c>
      <c r="P1919" s="61"/>
      <c r="Q1919" s="61"/>
      <c r="R1919" s="61"/>
      <c r="S1919" s="61"/>
      <c r="T1919" s="61"/>
      <c r="U1919" s="61"/>
      <c r="V1919" s="61"/>
      <c r="W1919" s="61"/>
      <c r="X1919" s="6"/>
      <c r="Y1919" s="6"/>
      <c r="Z1919" s="6"/>
      <c r="AA1919" s="6"/>
      <c r="AB1919" s="6"/>
      <c r="AC1919" s="6"/>
      <c r="AD1919" s="6"/>
      <c r="AE1919" s="6"/>
      <c r="AF1919" s="6"/>
      <c r="AG1919" s="6"/>
      <c r="AH1919" s="6"/>
      <c r="AI1919" s="6"/>
      <c r="AJ1919" s="6"/>
    </row>
    <row r="1920" spans="1:36" ht="11.25" customHeight="1" x14ac:dyDescent="0.2">
      <c r="A1920" s="57" t="s">
        <v>27</v>
      </c>
      <c r="B1920" s="57" t="s">
        <v>22</v>
      </c>
      <c r="C1920" s="57" t="s">
        <v>23</v>
      </c>
      <c r="D1920" s="57" t="s">
        <v>24</v>
      </c>
      <c r="E1920" s="57" t="s">
        <v>34</v>
      </c>
      <c r="F1920" s="57" t="s">
        <v>25</v>
      </c>
      <c r="G1920" s="57" t="s">
        <v>25</v>
      </c>
      <c r="H1920" s="57" t="s">
        <v>25</v>
      </c>
      <c r="I1920" s="82">
        <v>44166</v>
      </c>
      <c r="J1920" s="83">
        <f>EFEITO!$J$1920*EFEITO!$Y$1666</f>
        <v>0</v>
      </c>
      <c r="K1920" s="83">
        <f ca="1">EFEITO!$L$1920*EFEITO!$Z$1915</f>
        <v>-17958.550156315625</v>
      </c>
      <c r="L1920" s="83">
        <f>EFEITO!$N$1920*EFEITO!$AA$1915</f>
        <v>-11601.861347209038</v>
      </c>
      <c r="M1920" s="83">
        <f>$J$1920-EFEITO!$K$1920*EFEITO!$Y$1920</f>
        <v>0</v>
      </c>
      <c r="N1920" s="83">
        <f ca="1">$K$1920-EFEITO!$M$1920*EFEITO!$Z$1920</f>
        <v>0</v>
      </c>
      <c r="O1920" s="83">
        <f>$L$1920-EFEITO!$O$1920*EFEITO!$AA$1920</f>
        <v>0</v>
      </c>
      <c r="P1920" s="61"/>
      <c r="Q1920" s="61"/>
      <c r="R1920" s="61"/>
      <c r="S1920" s="61"/>
      <c r="T1920" s="61"/>
      <c r="U1920" s="61"/>
      <c r="V1920" s="61"/>
      <c r="W1920" s="61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</row>
    <row r="1921" spans="1:36" ht="11.25" customHeight="1" x14ac:dyDescent="0.2">
      <c r="A1921" s="57" t="s">
        <v>28</v>
      </c>
      <c r="B1921" s="57" t="s">
        <v>22</v>
      </c>
      <c r="C1921" s="57" t="s">
        <v>23</v>
      </c>
      <c r="D1921" s="57" t="s">
        <v>24</v>
      </c>
      <c r="E1921" s="57" t="s">
        <v>34</v>
      </c>
      <c r="F1921" s="57" t="s">
        <v>25</v>
      </c>
      <c r="G1921" s="57" t="s">
        <v>25</v>
      </c>
      <c r="H1921" s="57" t="s">
        <v>25</v>
      </c>
      <c r="I1921" s="82">
        <v>44166</v>
      </c>
      <c r="J1921" s="83">
        <f>EFEITO!$J$1921*EFEITO!$Y$1666</f>
        <v>0</v>
      </c>
      <c r="K1921" s="83">
        <f ca="1">EFEITO!$L$1921*EFEITO!$Z$1915</f>
        <v>1343473.1704855792</v>
      </c>
      <c r="L1921" s="83">
        <f>EFEITO!$N$1921*EFEITO!$AA$1915</f>
        <v>867931.39267912949</v>
      </c>
      <c r="M1921" s="83">
        <f>$J$1921-EFEITO!$K$1921*EFEITO!$Y$1921</f>
        <v>0</v>
      </c>
      <c r="N1921" s="83">
        <f ca="1">$K$1921-EFEITO!$M$1921*EFEITO!$Z$1921</f>
        <v>0</v>
      </c>
      <c r="O1921" s="83">
        <f>$L$1921-EFEITO!$O$1921*EFEITO!$AA$1921</f>
        <v>0</v>
      </c>
      <c r="P1921" s="61"/>
      <c r="Q1921" s="61"/>
      <c r="R1921" s="61"/>
      <c r="S1921" s="61"/>
      <c r="T1921" s="61"/>
      <c r="U1921" s="61"/>
      <c r="V1921" s="61"/>
      <c r="W1921" s="61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</row>
    <row r="1922" spans="1:36" ht="11.25" customHeight="1" x14ac:dyDescent="0.2">
      <c r="A1922" s="57" t="s">
        <v>29</v>
      </c>
      <c r="B1922" s="57" t="s">
        <v>22</v>
      </c>
      <c r="C1922" s="57" t="s">
        <v>23</v>
      </c>
      <c r="D1922" s="57" t="s">
        <v>24</v>
      </c>
      <c r="E1922" s="57" t="s">
        <v>34</v>
      </c>
      <c r="F1922" s="57" t="s">
        <v>25</v>
      </c>
      <c r="G1922" s="57" t="s">
        <v>25</v>
      </c>
      <c r="H1922" s="57" t="s">
        <v>25</v>
      </c>
      <c r="I1922" s="82">
        <v>44166</v>
      </c>
      <c r="J1922" s="83">
        <f>EFEITO!$J$1922*EFEITO!$Y$1666</f>
        <v>0</v>
      </c>
      <c r="K1922" s="83">
        <f ca="1">EFEITO!$L$1922*EFEITO!$Z$1915</f>
        <v>-17052.27293706359</v>
      </c>
      <c r="L1922" s="83">
        <f>EFEITO!$N$1922*EFEITO!$AA$1915</f>
        <v>-11016.374069651803</v>
      </c>
      <c r="M1922" s="83">
        <f>$J$1922-EFEITO!$K$1922*EFEITO!$Y$1922</f>
        <v>0</v>
      </c>
      <c r="N1922" s="83">
        <f ca="1">$K$1922-EFEITO!$M$1922*EFEITO!$Z$1922</f>
        <v>0</v>
      </c>
      <c r="O1922" s="83">
        <f>$L$1922-EFEITO!$O$1922*EFEITO!$AA$1922</f>
        <v>0</v>
      </c>
      <c r="P1922" s="61"/>
      <c r="Q1922" s="61"/>
      <c r="R1922" s="61"/>
      <c r="S1922" s="61"/>
      <c r="T1922" s="61"/>
      <c r="U1922" s="61"/>
      <c r="V1922" s="61"/>
      <c r="W1922" s="61"/>
      <c r="X1922" s="6"/>
      <c r="Y1922" s="6"/>
      <c r="Z1922" s="6"/>
      <c r="AA1922" s="6"/>
      <c r="AB1922" s="6"/>
      <c r="AC1922" s="6"/>
      <c r="AD1922" s="6"/>
      <c r="AE1922" s="6"/>
      <c r="AF1922" s="6"/>
      <c r="AG1922" s="6"/>
      <c r="AH1922" s="6"/>
      <c r="AI1922" s="6"/>
      <c r="AJ1922" s="6"/>
    </row>
    <row r="1923" spans="1:36" ht="11.25" customHeight="1" x14ac:dyDescent="0.2">
      <c r="A1923" s="57" t="s">
        <v>21</v>
      </c>
      <c r="B1923" s="57" t="s">
        <v>22</v>
      </c>
      <c r="C1923" s="57" t="s">
        <v>23</v>
      </c>
      <c r="D1923" s="57" t="s">
        <v>24</v>
      </c>
      <c r="E1923" s="57" t="s">
        <v>34</v>
      </c>
      <c r="F1923" s="57" t="s">
        <v>25</v>
      </c>
      <c r="G1923" s="57" t="s">
        <v>25</v>
      </c>
      <c r="H1923" s="57" t="s">
        <v>25</v>
      </c>
      <c r="I1923" s="82">
        <v>44197</v>
      </c>
      <c r="J1923" s="83">
        <f>EFEITO!$J$1923*EFEITO!$Y$1666</f>
        <v>0</v>
      </c>
      <c r="K1923" s="83">
        <f ca="1">EFEITO!$L$1923*EFEITO!$Z$1915</f>
        <v>1673888.9635273397</v>
      </c>
      <c r="L1923" s="83">
        <f>EFEITO!$N$1923*EFEITO!$AA$1915</f>
        <v>1081391.732429913</v>
      </c>
      <c r="M1923" s="83">
        <f>$J$1923-EFEITO!$K$1923*EFEITO!$Y$1923</f>
        <v>0</v>
      </c>
      <c r="N1923" s="83">
        <f ca="1">$K$1923-EFEITO!$M$1923*EFEITO!$Z$1923</f>
        <v>0</v>
      </c>
      <c r="O1923" s="83">
        <f>$L$1923-EFEITO!$O$1923*EFEITO!$AA$1923</f>
        <v>0</v>
      </c>
      <c r="P1923" s="61"/>
      <c r="Q1923" s="61"/>
      <c r="R1923" s="61"/>
      <c r="S1923" s="61"/>
      <c r="T1923" s="61"/>
      <c r="U1923" s="61"/>
      <c r="V1923" s="61"/>
      <c r="W1923" s="61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</row>
    <row r="1924" spans="1:36" ht="11.25" customHeight="1" x14ac:dyDescent="0.2">
      <c r="A1924" s="57" t="s">
        <v>27</v>
      </c>
      <c r="B1924" s="57" t="s">
        <v>22</v>
      </c>
      <c r="C1924" s="57" t="s">
        <v>23</v>
      </c>
      <c r="D1924" s="57" t="s">
        <v>24</v>
      </c>
      <c r="E1924" s="57" t="s">
        <v>34</v>
      </c>
      <c r="F1924" s="57" t="s">
        <v>25</v>
      </c>
      <c r="G1924" s="57" t="s">
        <v>25</v>
      </c>
      <c r="H1924" s="57" t="s">
        <v>25</v>
      </c>
      <c r="I1924" s="82">
        <v>44197</v>
      </c>
      <c r="J1924" s="83">
        <f>EFEITO!$J$1924*EFEITO!$Y$1666</f>
        <v>0</v>
      </c>
      <c r="K1924" s="83">
        <f ca="1">EFEITO!$L$1924*EFEITO!$Z$1915</f>
        <v>-21103.838150237545</v>
      </c>
      <c r="L1924" s="83">
        <f>EFEITO!$N$1924*EFEITO!$AA$1915</f>
        <v>-13633.829122162755</v>
      </c>
      <c r="M1924" s="83">
        <f>$J$1924-EFEITO!$K$1924*EFEITO!$Y$1924</f>
        <v>0</v>
      </c>
      <c r="N1924" s="83">
        <f ca="1">$K$1924-EFEITO!$M$1924*EFEITO!$Z$1924</f>
        <v>0</v>
      </c>
      <c r="O1924" s="83">
        <f>$L$1924-EFEITO!$O$1924*EFEITO!$AA$1924</f>
        <v>0</v>
      </c>
      <c r="P1924" s="61"/>
      <c r="Q1924" s="61"/>
      <c r="R1924" s="61"/>
      <c r="S1924" s="61"/>
      <c r="T1924" s="61"/>
      <c r="U1924" s="61"/>
      <c r="V1924" s="61"/>
      <c r="W1924" s="61"/>
      <c r="X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</row>
    <row r="1925" spans="1:36" ht="11.25" customHeight="1" x14ac:dyDescent="0.2">
      <c r="A1925" s="57" t="s">
        <v>28</v>
      </c>
      <c r="B1925" s="57" t="s">
        <v>22</v>
      </c>
      <c r="C1925" s="57" t="s">
        <v>23</v>
      </c>
      <c r="D1925" s="57" t="s">
        <v>24</v>
      </c>
      <c r="E1925" s="57" t="s">
        <v>34</v>
      </c>
      <c r="F1925" s="57" t="s">
        <v>25</v>
      </c>
      <c r="G1925" s="57" t="s">
        <v>25</v>
      </c>
      <c r="H1925" s="57" t="s">
        <v>25</v>
      </c>
      <c r="I1925" s="82">
        <v>44197</v>
      </c>
      <c r="J1925" s="83">
        <f>EFEITO!$J$1925*EFEITO!$Y$1666</f>
        <v>0</v>
      </c>
      <c r="K1925" s="83">
        <f ca="1">EFEITO!$L$1925*EFEITO!$Z$1915</f>
        <v>1190891.5097817506</v>
      </c>
      <c r="L1925" s="83">
        <f>EFEITO!$N$1925*EFEITO!$AA$1915</f>
        <v>769358.2196665986</v>
      </c>
      <c r="M1925" s="83">
        <f>$J$1925-EFEITO!$K$1925*EFEITO!$Y$1925</f>
        <v>0</v>
      </c>
      <c r="N1925" s="83">
        <f ca="1">$K$1925-EFEITO!$M$1925*EFEITO!$Z$1925</f>
        <v>0</v>
      </c>
      <c r="O1925" s="83">
        <f>$L$1925-EFEITO!$O$1925*EFEITO!$AA$1925</f>
        <v>0</v>
      </c>
      <c r="P1925" s="61"/>
      <c r="Q1925" s="61"/>
      <c r="R1925" s="61"/>
      <c r="S1925" s="61"/>
      <c r="T1925" s="61"/>
      <c r="U1925" s="61"/>
      <c r="V1925" s="61"/>
      <c r="W1925" s="61"/>
      <c r="X1925" s="6"/>
      <c r="Y1925" s="6"/>
      <c r="Z1925" s="6"/>
      <c r="AA1925" s="6"/>
      <c r="AB1925" s="6"/>
      <c r="AC1925" s="6"/>
      <c r="AD1925" s="6"/>
      <c r="AE1925" s="6"/>
      <c r="AF1925" s="6"/>
      <c r="AG1925" s="6"/>
      <c r="AH1925" s="6"/>
      <c r="AI1925" s="6"/>
      <c r="AJ1925" s="6"/>
    </row>
    <row r="1926" spans="1:36" ht="11.25" customHeight="1" x14ac:dyDescent="0.2">
      <c r="A1926" s="57" t="s">
        <v>29</v>
      </c>
      <c r="B1926" s="57" t="s">
        <v>22</v>
      </c>
      <c r="C1926" s="57" t="s">
        <v>23</v>
      </c>
      <c r="D1926" s="57" t="s">
        <v>24</v>
      </c>
      <c r="E1926" s="57" t="s">
        <v>34</v>
      </c>
      <c r="F1926" s="57" t="s">
        <v>25</v>
      </c>
      <c r="G1926" s="57" t="s">
        <v>25</v>
      </c>
      <c r="H1926" s="57" t="s">
        <v>25</v>
      </c>
      <c r="I1926" s="82">
        <v>44197</v>
      </c>
      <c r="J1926" s="83">
        <f>EFEITO!$J$1926*EFEITO!$Y$1666</f>
        <v>0</v>
      </c>
      <c r="K1926" s="83">
        <f ca="1">EFEITO!$L$1926*EFEITO!$Z$1915</f>
        <v>-17066.994191386464</v>
      </c>
      <c r="L1926" s="83">
        <f>EFEITO!$N$1926*EFEITO!$AA$1915</f>
        <v>-11025.884522891311</v>
      </c>
      <c r="M1926" s="83">
        <f>$J$1926-EFEITO!$K$1926*EFEITO!$Y$1926</f>
        <v>0</v>
      </c>
      <c r="N1926" s="83">
        <f ca="1">$K$1926-EFEITO!$M$1926*EFEITO!$Z$1926</f>
        <v>0</v>
      </c>
      <c r="O1926" s="83">
        <f>$L$1926-EFEITO!$O$1926*EFEITO!$AA$1926</f>
        <v>0</v>
      </c>
      <c r="P1926" s="61"/>
      <c r="Q1926" s="61"/>
      <c r="R1926" s="61"/>
      <c r="S1926" s="61"/>
      <c r="T1926" s="61"/>
      <c r="U1926" s="61"/>
      <c r="V1926" s="61"/>
      <c r="W1926" s="61"/>
      <c r="X1926" s="6"/>
      <c r="Y1926" s="6"/>
      <c r="Z1926" s="6"/>
      <c r="AA1926" s="6"/>
      <c r="AB1926" s="6"/>
      <c r="AC1926" s="6"/>
      <c r="AD1926" s="6"/>
      <c r="AE1926" s="6"/>
      <c r="AF1926" s="6"/>
      <c r="AG1926" s="6"/>
      <c r="AH1926" s="6"/>
      <c r="AI1926" s="6"/>
      <c r="AJ1926" s="6"/>
    </row>
    <row r="1927" spans="1:36" ht="11.25" customHeight="1" x14ac:dyDescent="0.2">
      <c r="A1927" s="57" t="s">
        <v>21</v>
      </c>
      <c r="B1927" s="57" t="s">
        <v>22</v>
      </c>
      <c r="C1927" s="57" t="s">
        <v>23</v>
      </c>
      <c r="D1927" s="57" t="s">
        <v>24</v>
      </c>
      <c r="E1927" s="57" t="s">
        <v>34</v>
      </c>
      <c r="F1927" s="57" t="s">
        <v>25</v>
      </c>
      <c r="G1927" s="57" t="s">
        <v>25</v>
      </c>
      <c r="H1927" s="57" t="s">
        <v>25</v>
      </c>
      <c r="I1927" s="82">
        <v>44228</v>
      </c>
      <c r="J1927" s="83">
        <f>EFEITO!$J$1927*EFEITO!$Y$1666</f>
        <v>0</v>
      </c>
      <c r="K1927" s="83">
        <f ca="1">EFEITO!$L$1927*EFEITO!$Z$1915</f>
        <v>1188431.22015304</v>
      </c>
      <c r="L1927" s="83">
        <f>EFEITO!$N$1927*EFEITO!$AA$1915</f>
        <v>767768.78516894579</v>
      </c>
      <c r="M1927" s="83">
        <f>$J$1927-EFEITO!$K$1927*EFEITO!$Y$1927</f>
        <v>0</v>
      </c>
      <c r="N1927" s="83">
        <f ca="1">$K$1927-EFEITO!$M$1927*EFEITO!$Z$1927</f>
        <v>0</v>
      </c>
      <c r="O1927" s="83">
        <f>$L$1927-EFEITO!$O$1927*EFEITO!$AA$1927</f>
        <v>0</v>
      </c>
      <c r="P1927" s="61"/>
      <c r="Q1927" s="61"/>
      <c r="R1927" s="61"/>
      <c r="S1927" s="61"/>
      <c r="T1927" s="61"/>
      <c r="U1927" s="61"/>
      <c r="V1927" s="61"/>
      <c r="W1927" s="61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</row>
    <row r="1928" spans="1:36" ht="11.25" customHeight="1" x14ac:dyDescent="0.2">
      <c r="A1928" s="57" t="s">
        <v>27</v>
      </c>
      <c r="B1928" s="57" t="s">
        <v>22</v>
      </c>
      <c r="C1928" s="57" t="s">
        <v>23</v>
      </c>
      <c r="D1928" s="57" t="s">
        <v>24</v>
      </c>
      <c r="E1928" s="57" t="s">
        <v>34</v>
      </c>
      <c r="F1928" s="57" t="s">
        <v>25</v>
      </c>
      <c r="G1928" s="57" t="s">
        <v>25</v>
      </c>
      <c r="H1928" s="57" t="s">
        <v>25</v>
      </c>
      <c r="I1928" s="82">
        <v>44228</v>
      </c>
      <c r="J1928" s="83">
        <f>EFEITO!$J$1928*EFEITO!$Y$1666</f>
        <v>0</v>
      </c>
      <c r="K1928" s="83">
        <f ca="1">EFEITO!$L$1928*EFEITO!$Z$1915</f>
        <v>-56845.663528587058</v>
      </c>
      <c r="L1928" s="83">
        <f>EFEITO!$N$1928*EFEITO!$AA$1915</f>
        <v>-36724.317982697932</v>
      </c>
      <c r="M1928" s="83">
        <f>$J$1928-EFEITO!$K$1928*EFEITO!$Y$1928</f>
        <v>0</v>
      </c>
      <c r="N1928" s="83">
        <f ca="1">$K$1928-EFEITO!$M$1928*EFEITO!$Z$1928</f>
        <v>0</v>
      </c>
      <c r="O1928" s="83">
        <f>$L$1928-EFEITO!$O$1928*EFEITO!$AA$1928</f>
        <v>0</v>
      </c>
      <c r="P1928" s="61"/>
      <c r="Q1928" s="61"/>
      <c r="R1928" s="61"/>
      <c r="S1928" s="61"/>
      <c r="T1928" s="61"/>
      <c r="U1928" s="61"/>
      <c r="V1928" s="61"/>
      <c r="W1928" s="61"/>
      <c r="X1928" s="6"/>
      <c r="Y1928" s="6"/>
      <c r="Z1928" s="6"/>
      <c r="AA1928" s="6"/>
      <c r="AB1928" s="6"/>
      <c r="AC1928" s="6"/>
      <c r="AD1928" s="6"/>
      <c r="AE1928" s="6"/>
      <c r="AF1928" s="6"/>
      <c r="AG1928" s="6"/>
      <c r="AH1928" s="6"/>
      <c r="AI1928" s="6"/>
      <c r="AJ1928" s="6"/>
    </row>
    <row r="1929" spans="1:36" ht="11.25" customHeight="1" x14ac:dyDescent="0.2">
      <c r="A1929" s="57" t="s">
        <v>28</v>
      </c>
      <c r="B1929" s="57" t="s">
        <v>22</v>
      </c>
      <c r="C1929" s="57" t="s">
        <v>23</v>
      </c>
      <c r="D1929" s="57" t="s">
        <v>24</v>
      </c>
      <c r="E1929" s="57" t="s">
        <v>34</v>
      </c>
      <c r="F1929" s="57" t="s">
        <v>25</v>
      </c>
      <c r="G1929" s="57" t="s">
        <v>25</v>
      </c>
      <c r="H1929" s="57" t="s">
        <v>25</v>
      </c>
      <c r="I1929" s="82">
        <v>44228</v>
      </c>
      <c r="J1929" s="83">
        <f>EFEITO!$J$1929*EFEITO!$Y$1666</f>
        <v>0</v>
      </c>
      <c r="K1929" s="83">
        <f ca="1">EFEITO!$L$1929*EFEITO!$Z$1915</f>
        <v>1088941.7631646628</v>
      </c>
      <c r="L1929" s="83">
        <f>EFEITO!$N$1929*EFEITO!$AA$1915</f>
        <v>703495.06176470197</v>
      </c>
      <c r="M1929" s="83">
        <f>$J$1929-EFEITO!$K$1929*EFEITO!$Y$1929</f>
        <v>0</v>
      </c>
      <c r="N1929" s="83">
        <f ca="1">$K$1929-EFEITO!$M$1929*EFEITO!$Z$1929</f>
        <v>0</v>
      </c>
      <c r="O1929" s="83">
        <f>$L$1929-EFEITO!$O$1929*EFEITO!$AA$1929</f>
        <v>0</v>
      </c>
      <c r="P1929" s="61"/>
      <c r="Q1929" s="61"/>
      <c r="R1929" s="61"/>
      <c r="S1929" s="61"/>
      <c r="T1929" s="61"/>
      <c r="U1929" s="61"/>
      <c r="V1929" s="61"/>
      <c r="W1929" s="61"/>
      <c r="X1929" s="6"/>
      <c r="Y1929" s="6"/>
      <c r="Z1929" s="6"/>
      <c r="AA1929" s="6"/>
      <c r="AB1929" s="6"/>
      <c r="AC1929" s="6"/>
      <c r="AD1929" s="6"/>
      <c r="AE1929" s="6"/>
      <c r="AF1929" s="6"/>
      <c r="AG1929" s="6"/>
      <c r="AH1929" s="6"/>
      <c r="AI1929" s="6"/>
      <c r="AJ1929" s="6"/>
    </row>
    <row r="1930" spans="1:36" ht="11.25" customHeight="1" x14ac:dyDescent="0.2">
      <c r="A1930" s="57" t="s">
        <v>29</v>
      </c>
      <c r="B1930" s="57" t="s">
        <v>22</v>
      </c>
      <c r="C1930" s="57" t="s">
        <v>23</v>
      </c>
      <c r="D1930" s="57" t="s">
        <v>24</v>
      </c>
      <c r="E1930" s="57" t="s">
        <v>34</v>
      </c>
      <c r="F1930" s="57" t="s">
        <v>25</v>
      </c>
      <c r="G1930" s="57" t="s">
        <v>25</v>
      </c>
      <c r="H1930" s="57" t="s">
        <v>25</v>
      </c>
      <c r="I1930" s="82">
        <v>44228</v>
      </c>
      <c r="J1930" s="83">
        <f>EFEITO!$J$1930*EFEITO!$Y$1666</f>
        <v>0</v>
      </c>
      <c r="K1930" s="83">
        <f ca="1">EFEITO!$L$1930*EFEITO!$Z$1915</f>
        <v>-21604.82083641291</v>
      </c>
      <c r="L1930" s="83">
        <f>EFEITO!$N$1930*EFEITO!$AA$1915</f>
        <v>-13957.481733969775</v>
      </c>
      <c r="M1930" s="83">
        <f>$J$1930-EFEITO!$K$1930*EFEITO!$Y$1930</f>
        <v>0</v>
      </c>
      <c r="N1930" s="83">
        <f ca="1">$K$1930-EFEITO!$M$1930*EFEITO!$Z$1930</f>
        <v>0</v>
      </c>
      <c r="O1930" s="83">
        <f>$L$1930-EFEITO!$O$1930*EFEITO!$AA$1930</f>
        <v>0</v>
      </c>
      <c r="P1930" s="61"/>
      <c r="Q1930" s="61"/>
      <c r="R1930" s="61"/>
      <c r="S1930" s="61"/>
      <c r="T1930" s="61"/>
      <c r="U1930" s="61"/>
      <c r="V1930" s="61"/>
      <c r="W1930" s="61"/>
      <c r="X1930" s="6"/>
      <c r="Y1930" s="6"/>
      <c r="Z1930" s="6"/>
      <c r="AA1930" s="6"/>
      <c r="AB1930" s="6"/>
      <c r="AC1930" s="6"/>
      <c r="AD1930" s="6"/>
      <c r="AE1930" s="6"/>
      <c r="AF1930" s="6"/>
      <c r="AG1930" s="6"/>
      <c r="AH1930" s="6"/>
      <c r="AI1930" s="6"/>
      <c r="AJ1930" s="6"/>
    </row>
    <row r="1931" spans="1:36" ht="11.25" customHeight="1" x14ac:dyDescent="0.2">
      <c r="A1931" s="57" t="s">
        <v>21</v>
      </c>
      <c r="B1931" s="57" t="s">
        <v>22</v>
      </c>
      <c r="C1931" s="57" t="s">
        <v>23</v>
      </c>
      <c r="D1931" s="57" t="s">
        <v>24</v>
      </c>
      <c r="E1931" s="57" t="s">
        <v>34</v>
      </c>
      <c r="F1931" s="57" t="s">
        <v>25</v>
      </c>
      <c r="G1931" s="57" t="s">
        <v>25</v>
      </c>
      <c r="H1931" s="57" t="s">
        <v>25</v>
      </c>
      <c r="I1931" s="82">
        <v>44256</v>
      </c>
      <c r="J1931" s="83">
        <f>EFEITO!$J$1931*EFEITO!$Y$1666</f>
        <v>0</v>
      </c>
      <c r="K1931" s="83">
        <f ca="1">EFEITO!$L$1931*EFEITO!$Z$1915</f>
        <v>1413595.5652566098</v>
      </c>
      <c r="L1931" s="83">
        <f>EFEITO!$N$1931*EFEITO!$AA$1915</f>
        <v>913232.95067720907</v>
      </c>
      <c r="M1931" s="83">
        <f>$J$1931-EFEITO!$K$1931*EFEITO!$Y$1931</f>
        <v>0</v>
      </c>
      <c r="N1931" s="83">
        <f ca="1">$K$1931-EFEITO!$M$1931*EFEITO!$Z$1931</f>
        <v>0</v>
      </c>
      <c r="O1931" s="83">
        <f>$L$1931-EFEITO!$O$1931*EFEITO!$AA$1931</f>
        <v>0</v>
      </c>
      <c r="P1931" s="61"/>
      <c r="Q1931" s="61"/>
      <c r="R1931" s="61"/>
      <c r="S1931" s="61"/>
      <c r="T1931" s="61"/>
      <c r="U1931" s="61"/>
      <c r="V1931" s="61"/>
      <c r="W1931" s="61"/>
      <c r="X1931" s="6"/>
      <c r="Y1931" s="6"/>
      <c r="Z1931" s="6"/>
      <c r="AA1931" s="6"/>
      <c r="AB1931" s="6"/>
      <c r="AC1931" s="6"/>
      <c r="AD1931" s="6"/>
      <c r="AE1931" s="6"/>
      <c r="AF1931" s="6"/>
      <c r="AG1931" s="6"/>
      <c r="AH1931" s="6"/>
      <c r="AI1931" s="6"/>
      <c r="AJ1931" s="6"/>
    </row>
    <row r="1932" spans="1:36" ht="11.25" customHeight="1" x14ac:dyDescent="0.2">
      <c r="A1932" s="57" t="s">
        <v>27</v>
      </c>
      <c r="B1932" s="57" t="s">
        <v>22</v>
      </c>
      <c r="C1932" s="57" t="s">
        <v>23</v>
      </c>
      <c r="D1932" s="57" t="s">
        <v>24</v>
      </c>
      <c r="E1932" s="57" t="s">
        <v>34</v>
      </c>
      <c r="F1932" s="57" t="s">
        <v>25</v>
      </c>
      <c r="G1932" s="57" t="s">
        <v>25</v>
      </c>
      <c r="H1932" s="57" t="s">
        <v>25</v>
      </c>
      <c r="I1932" s="82">
        <v>44256</v>
      </c>
      <c r="J1932" s="83">
        <f>EFEITO!$J$1932*EFEITO!$Y$1666</f>
        <v>0</v>
      </c>
      <c r="K1932" s="83">
        <f ca="1">EFEITO!$L$1932*EFEITO!$Z$1915</f>
        <v>-42439.996095257971</v>
      </c>
      <c r="L1932" s="83">
        <f>EFEITO!$N$1932*EFEITO!$AA$1915</f>
        <v>-27417.745084511498</v>
      </c>
      <c r="M1932" s="83">
        <f>$J$1932-EFEITO!$K$1932*EFEITO!$Y$1932</f>
        <v>0</v>
      </c>
      <c r="N1932" s="83">
        <f ca="1">$K$1932-EFEITO!$M$1932*EFEITO!$Z$1932</f>
        <v>0</v>
      </c>
      <c r="O1932" s="83">
        <f>$L$1932-EFEITO!$O$1932*EFEITO!$AA$1932</f>
        <v>0</v>
      </c>
      <c r="P1932" s="61"/>
      <c r="Q1932" s="61"/>
      <c r="R1932" s="61"/>
      <c r="S1932" s="61"/>
      <c r="T1932" s="61"/>
      <c r="U1932" s="61"/>
      <c r="V1932" s="61"/>
      <c r="W1932" s="61"/>
      <c r="X1932" s="6"/>
      <c r="Y1932" s="6"/>
      <c r="Z1932" s="6"/>
      <c r="AA1932" s="6"/>
      <c r="AB1932" s="6"/>
      <c r="AC1932" s="6"/>
      <c r="AD1932" s="6"/>
      <c r="AE1932" s="6"/>
      <c r="AF1932" s="6"/>
      <c r="AG1932" s="6"/>
      <c r="AH1932" s="6"/>
      <c r="AI1932" s="6"/>
      <c r="AJ1932" s="6"/>
    </row>
    <row r="1933" spans="1:36" ht="11.25" customHeight="1" x14ac:dyDescent="0.2">
      <c r="A1933" s="57" t="s">
        <v>28</v>
      </c>
      <c r="B1933" s="57" t="s">
        <v>22</v>
      </c>
      <c r="C1933" s="57" t="s">
        <v>23</v>
      </c>
      <c r="D1933" s="57" t="s">
        <v>24</v>
      </c>
      <c r="E1933" s="57" t="s">
        <v>34</v>
      </c>
      <c r="F1933" s="57" t="s">
        <v>25</v>
      </c>
      <c r="G1933" s="57" t="s">
        <v>25</v>
      </c>
      <c r="H1933" s="57" t="s">
        <v>25</v>
      </c>
      <c r="I1933" s="82">
        <v>44256</v>
      </c>
      <c r="J1933" s="83">
        <f>EFEITO!$J$1933*EFEITO!$Y$1666</f>
        <v>0</v>
      </c>
      <c r="K1933" s="83">
        <f ca="1">EFEITO!$L$1933*EFEITO!$Z$1915</f>
        <v>1159990.2168404418</v>
      </c>
      <c r="L1933" s="83">
        <f>EFEITO!$N$1933*EFEITO!$AA$1915</f>
        <v>749394.88671187928</v>
      </c>
      <c r="M1933" s="83">
        <f>$J$1933-EFEITO!$K$1933*EFEITO!$Y$1933</f>
        <v>0</v>
      </c>
      <c r="N1933" s="83">
        <f ca="1">$K$1933-EFEITO!$M$1933*EFEITO!$Z$1933</f>
        <v>0</v>
      </c>
      <c r="O1933" s="83">
        <f>$L$1933-EFEITO!$O$1933*EFEITO!$AA$1933</f>
        <v>0</v>
      </c>
      <c r="P1933" s="61"/>
      <c r="Q1933" s="61"/>
      <c r="R1933" s="61"/>
      <c r="S1933" s="61"/>
      <c r="T1933" s="61"/>
      <c r="U1933" s="61"/>
      <c r="V1933" s="61"/>
      <c r="W1933" s="61"/>
      <c r="X1933" s="6"/>
      <c r="Y1933" s="6"/>
      <c r="Z1933" s="6"/>
      <c r="AA1933" s="6"/>
      <c r="AB1933" s="6"/>
      <c r="AC1933" s="6"/>
      <c r="AD1933" s="6"/>
      <c r="AE1933" s="6"/>
      <c r="AF1933" s="6"/>
      <c r="AG1933" s="6"/>
      <c r="AH1933" s="6"/>
      <c r="AI1933" s="6"/>
      <c r="AJ1933" s="6"/>
    </row>
    <row r="1934" spans="1:36" ht="11.25" customHeight="1" x14ac:dyDescent="0.2">
      <c r="A1934" s="57" t="s">
        <v>29</v>
      </c>
      <c r="B1934" s="57" t="s">
        <v>22</v>
      </c>
      <c r="C1934" s="57" t="s">
        <v>23</v>
      </c>
      <c r="D1934" s="57" t="s">
        <v>24</v>
      </c>
      <c r="E1934" s="57" t="s">
        <v>34</v>
      </c>
      <c r="F1934" s="57" t="s">
        <v>25</v>
      </c>
      <c r="G1934" s="57" t="s">
        <v>25</v>
      </c>
      <c r="H1934" s="57" t="s">
        <v>25</v>
      </c>
      <c r="I1934" s="82">
        <v>44256</v>
      </c>
      <c r="J1934" s="83">
        <f>EFEITO!$J$1934*EFEITO!$Y$1666</f>
        <v>0</v>
      </c>
      <c r="K1934" s="83">
        <f ca="1">EFEITO!$L$1934*EFEITO!$Z$1915</f>
        <v>-14701.472637379371</v>
      </c>
      <c r="L1934" s="83">
        <f>EFEITO!$N$1934*EFEITO!$AA$1915</f>
        <v>-9497.6735679678059</v>
      </c>
      <c r="M1934" s="83">
        <f>$J$1934-EFEITO!$K$1934*EFEITO!$Y$1934</f>
        <v>0</v>
      </c>
      <c r="N1934" s="83">
        <f ca="1">$K$1934-EFEITO!$M$1934*EFEITO!$Z$1934</f>
        <v>0</v>
      </c>
      <c r="O1934" s="83">
        <f>$L$1934-EFEITO!$O$1934*EFEITO!$AA$1934</f>
        <v>0</v>
      </c>
      <c r="P1934" s="61"/>
      <c r="Q1934" s="61"/>
      <c r="R1934" s="61"/>
      <c r="S1934" s="61"/>
      <c r="T1934" s="61"/>
      <c r="U1934" s="61"/>
      <c r="V1934" s="61"/>
      <c r="W1934" s="61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</row>
    <row r="1935" spans="1:36" ht="11.25" customHeight="1" x14ac:dyDescent="0.2">
      <c r="A1935" s="57" t="s">
        <v>30</v>
      </c>
      <c r="B1935" s="57" t="s">
        <v>22</v>
      </c>
      <c r="C1935" s="57" t="s">
        <v>23</v>
      </c>
      <c r="D1935" s="57" t="s">
        <v>24</v>
      </c>
      <c r="E1935" s="57" t="s">
        <v>34</v>
      </c>
      <c r="F1935" s="57" t="s">
        <v>25</v>
      </c>
      <c r="G1935" s="57" t="s">
        <v>25</v>
      </c>
      <c r="H1935" s="57" t="s">
        <v>25</v>
      </c>
      <c r="I1935" s="82">
        <v>44256</v>
      </c>
      <c r="J1935" s="83">
        <f>EFEITO!$J$1935*EFEITO!$Y$1666</f>
        <v>0</v>
      </c>
      <c r="K1935" s="83">
        <f ca="1">EFEITO!$L$1935*EFEITO!$Z$1915</f>
        <v>45.543880561396804</v>
      </c>
      <c r="L1935" s="83">
        <f>EFEITO!$N$1935*EFEITO!$AA$1915</f>
        <v>29.422964709729101</v>
      </c>
      <c r="M1935" s="83">
        <f>$J$1935-EFEITO!$K$1935*EFEITO!$Y$1935</f>
        <v>0</v>
      </c>
      <c r="N1935" s="83">
        <f ca="1">$K$1935-EFEITO!$M$1935*EFEITO!$Z$1935</f>
        <v>0</v>
      </c>
      <c r="O1935" s="83">
        <f>$L$1935-EFEITO!$O$1935*EFEITO!$AA$1935</f>
        <v>0</v>
      </c>
      <c r="P1935" s="61"/>
      <c r="Q1935" s="61"/>
      <c r="R1935" s="61"/>
      <c r="S1935" s="61"/>
      <c r="T1935" s="61"/>
      <c r="U1935" s="61"/>
      <c r="V1935" s="61"/>
      <c r="W1935" s="61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</row>
    <row r="1936" spans="1:36" ht="11.25" customHeight="1" x14ac:dyDescent="0.2">
      <c r="A1936" s="57" t="s">
        <v>21</v>
      </c>
      <c r="B1936" s="57" t="s">
        <v>22</v>
      </c>
      <c r="C1936" s="57" t="s">
        <v>23</v>
      </c>
      <c r="D1936" s="57" t="s">
        <v>24</v>
      </c>
      <c r="E1936" s="57" t="s">
        <v>34</v>
      </c>
      <c r="F1936" s="57" t="s">
        <v>25</v>
      </c>
      <c r="G1936" s="57" t="s">
        <v>25</v>
      </c>
      <c r="H1936" s="57" t="s">
        <v>25</v>
      </c>
      <c r="I1936" s="82">
        <v>44287</v>
      </c>
      <c r="J1936" s="83">
        <f>EFEITO!$J$1936*EFEITO!$Y$1666</f>
        <v>0</v>
      </c>
      <c r="K1936" s="83">
        <f ca="1">EFEITO!$L$1936*EFEITO!$Z$1915</f>
        <v>1570841.5633848023</v>
      </c>
      <c r="L1936" s="83">
        <f>EFEITO!$N$1936*EFEITO!$AA$1915</f>
        <v>1014819.4513583455</v>
      </c>
      <c r="M1936" s="83">
        <f>$J$1936-EFEITO!$K$1936*EFEITO!$Y$1936</f>
        <v>0</v>
      </c>
      <c r="N1936" s="83">
        <f ca="1">$K$1936-EFEITO!$M$1936*EFEITO!$Z$1936</f>
        <v>0</v>
      </c>
      <c r="O1936" s="83">
        <f>$L$1936-EFEITO!$O$1936*EFEITO!$AA$1936</f>
        <v>0</v>
      </c>
      <c r="P1936" s="61"/>
      <c r="Q1936" s="61"/>
      <c r="R1936" s="61"/>
      <c r="S1936" s="61"/>
      <c r="T1936" s="61"/>
      <c r="U1936" s="61"/>
      <c r="V1936" s="61"/>
      <c r="W1936" s="61"/>
      <c r="X1936" s="6"/>
      <c r="Y1936" s="6"/>
      <c r="Z1936" s="6"/>
      <c r="AA1936" s="6"/>
      <c r="AB1936" s="6"/>
      <c r="AC1936" s="6"/>
      <c r="AD1936" s="6"/>
      <c r="AE1936" s="6"/>
      <c r="AF1936" s="6"/>
      <c r="AG1936" s="6"/>
      <c r="AH1936" s="6"/>
      <c r="AI1936" s="6"/>
      <c r="AJ1936" s="6"/>
    </row>
    <row r="1937" spans="1:36" ht="11.25" customHeight="1" x14ac:dyDescent="0.2">
      <c r="A1937" s="57" t="s">
        <v>27</v>
      </c>
      <c r="B1937" s="57" t="s">
        <v>22</v>
      </c>
      <c r="C1937" s="57" t="s">
        <v>23</v>
      </c>
      <c r="D1937" s="57" t="s">
        <v>24</v>
      </c>
      <c r="E1937" s="57" t="s">
        <v>34</v>
      </c>
      <c r="F1937" s="57" t="s">
        <v>25</v>
      </c>
      <c r="G1937" s="57" t="s">
        <v>25</v>
      </c>
      <c r="H1937" s="57" t="s">
        <v>25</v>
      </c>
      <c r="I1937" s="82">
        <v>44287</v>
      </c>
      <c r="J1937" s="83">
        <f>EFEITO!$J$1937*EFEITO!$Y$1666</f>
        <v>0</v>
      </c>
      <c r="K1937" s="83">
        <f ca="1">EFEITO!$L$1937*EFEITO!$Z$1915</f>
        <v>-21840.820944776511</v>
      </c>
      <c r="L1937" s="83">
        <f>EFEITO!$N$1937*EFEITO!$AA$1915</f>
        <v>-14109.946187465643</v>
      </c>
      <c r="M1937" s="83">
        <f>$J$1937-EFEITO!$K$1937*EFEITO!$Y$1937</f>
        <v>0</v>
      </c>
      <c r="N1937" s="83">
        <f ca="1">$K$1937-EFEITO!$M$1937*EFEITO!$Z$1937</f>
        <v>0</v>
      </c>
      <c r="O1937" s="83">
        <f>$L$1937-EFEITO!$O$1937*EFEITO!$AA$1937</f>
        <v>0</v>
      </c>
      <c r="P1937" s="61"/>
      <c r="Q1937" s="61"/>
      <c r="R1937" s="61"/>
      <c r="S1937" s="61"/>
      <c r="T1937" s="61"/>
      <c r="U1937" s="61"/>
      <c r="V1937" s="61"/>
      <c r="W1937" s="61"/>
      <c r="X1937" s="6"/>
      <c r="Y1937" s="6"/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</row>
    <row r="1938" spans="1:36" ht="11.25" customHeight="1" x14ac:dyDescent="0.2">
      <c r="A1938" s="57" t="s">
        <v>28</v>
      </c>
      <c r="B1938" s="57" t="s">
        <v>22</v>
      </c>
      <c r="C1938" s="57" t="s">
        <v>23</v>
      </c>
      <c r="D1938" s="57" t="s">
        <v>24</v>
      </c>
      <c r="E1938" s="57" t="s">
        <v>34</v>
      </c>
      <c r="F1938" s="57" t="s">
        <v>25</v>
      </c>
      <c r="G1938" s="57" t="s">
        <v>25</v>
      </c>
      <c r="H1938" s="57" t="s">
        <v>25</v>
      </c>
      <c r="I1938" s="82">
        <v>44287</v>
      </c>
      <c r="J1938" s="83">
        <f>EFEITO!$J$1938*EFEITO!$Y$1666</f>
        <v>0</v>
      </c>
      <c r="K1938" s="83">
        <f ca="1">EFEITO!$L$1938*EFEITO!$Z$1915</f>
        <v>1333836.7294136644</v>
      </c>
      <c r="L1938" s="83">
        <f>EFEITO!$N$1938*EFEITO!$AA$1915</f>
        <v>861705.90942888008</v>
      </c>
      <c r="M1938" s="83">
        <f>$J$1938-EFEITO!$K$1938*EFEITO!$Y$1938</f>
        <v>0</v>
      </c>
      <c r="N1938" s="83">
        <f ca="1">$K$1938-EFEITO!$M$1938*EFEITO!$Z$1938</f>
        <v>0</v>
      </c>
      <c r="O1938" s="83">
        <f>$L$1938-EFEITO!$O$1938*EFEITO!$AA$1938</f>
        <v>0</v>
      </c>
      <c r="P1938" s="61"/>
      <c r="Q1938" s="61"/>
      <c r="R1938" s="61"/>
      <c r="S1938" s="61"/>
      <c r="T1938" s="61"/>
      <c r="U1938" s="61"/>
      <c r="V1938" s="61"/>
      <c r="W1938" s="61"/>
      <c r="X1938" s="6"/>
      <c r="Y1938" s="6"/>
      <c r="Z1938" s="6"/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</row>
    <row r="1939" spans="1:36" ht="11.25" customHeight="1" x14ac:dyDescent="0.2">
      <c r="A1939" s="57" t="s">
        <v>29</v>
      </c>
      <c r="B1939" s="57" t="s">
        <v>22</v>
      </c>
      <c r="C1939" s="57" t="s">
        <v>23</v>
      </c>
      <c r="D1939" s="57" t="s">
        <v>24</v>
      </c>
      <c r="E1939" s="57" t="s">
        <v>34</v>
      </c>
      <c r="F1939" s="57" t="s">
        <v>25</v>
      </c>
      <c r="G1939" s="57" t="s">
        <v>25</v>
      </c>
      <c r="H1939" s="57" t="s">
        <v>25</v>
      </c>
      <c r="I1939" s="82">
        <v>44287</v>
      </c>
      <c r="J1939" s="83">
        <f>EFEITO!$J$1939*EFEITO!$Y$1666</f>
        <v>0</v>
      </c>
      <c r="K1939" s="83">
        <f ca="1">EFEITO!$L$1939*EFEITO!$Z$1915</f>
        <v>-21759.854046000695</v>
      </c>
      <c r="L1939" s="83">
        <f>EFEITO!$N$1939*EFEITO!$AA$1915</f>
        <v>-14057.638694648345</v>
      </c>
      <c r="M1939" s="83">
        <f>$J$1939-EFEITO!$K$1939*EFEITO!$Y$1939</f>
        <v>0</v>
      </c>
      <c r="N1939" s="83">
        <f ca="1">$K$1939-EFEITO!$M$1939*EFEITO!$Z$1939</f>
        <v>0</v>
      </c>
      <c r="O1939" s="83">
        <f>$L$1939-EFEITO!$O$1939*EFEITO!$AA$1939</f>
        <v>0</v>
      </c>
      <c r="P1939" s="61"/>
      <c r="Q1939" s="61"/>
      <c r="R1939" s="61"/>
      <c r="S1939" s="61"/>
      <c r="T1939" s="61"/>
      <c r="U1939" s="61"/>
      <c r="V1939" s="61"/>
      <c r="W1939" s="61"/>
      <c r="X1939" s="6"/>
      <c r="Y1939" s="6"/>
      <c r="Z1939" s="6"/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</row>
    <row r="1940" spans="1:36" ht="11.25" customHeight="1" x14ac:dyDescent="0.2">
      <c r="A1940" s="57" t="s">
        <v>30</v>
      </c>
      <c r="B1940" s="57" t="s">
        <v>22</v>
      </c>
      <c r="C1940" s="57" t="s">
        <v>23</v>
      </c>
      <c r="D1940" s="57" t="s">
        <v>24</v>
      </c>
      <c r="E1940" s="57" t="s">
        <v>34</v>
      </c>
      <c r="F1940" s="57" t="s">
        <v>25</v>
      </c>
      <c r="G1940" s="57" t="s">
        <v>25</v>
      </c>
      <c r="H1940" s="57" t="s">
        <v>25</v>
      </c>
      <c r="I1940" s="82">
        <v>44287</v>
      </c>
      <c r="J1940" s="83">
        <f>EFEITO!$J$1940*EFEITO!$Y$1666</f>
        <v>0</v>
      </c>
      <c r="K1940" s="83">
        <f ca="1">EFEITO!$L$1940*EFEITO!$Z$1915</f>
        <v>26.682273460212272</v>
      </c>
      <c r="L1940" s="83">
        <f>EFEITO!$N$1940*EFEITO!$AA$1915</f>
        <v>17.237696496608969</v>
      </c>
      <c r="M1940" s="83">
        <f>$J$1940-EFEITO!$K$1940*EFEITO!$Y$1940</f>
        <v>0</v>
      </c>
      <c r="N1940" s="83">
        <f ca="1">$K$1940-EFEITO!$M$1940*EFEITO!$Z$1940</f>
        <v>0</v>
      </c>
      <c r="O1940" s="83">
        <f>$L$1940-EFEITO!$O$1940*EFEITO!$AA$1940</f>
        <v>0</v>
      </c>
      <c r="P1940" s="61"/>
      <c r="Q1940" s="61"/>
      <c r="R1940" s="61"/>
      <c r="S1940" s="61"/>
      <c r="T1940" s="61"/>
      <c r="U1940" s="61"/>
      <c r="V1940" s="61"/>
      <c r="W1940" s="61"/>
      <c r="X1940" s="6"/>
      <c r="Y1940" s="6"/>
      <c r="Z1940" s="6"/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</row>
    <row r="1941" spans="1:36" ht="11.25" customHeight="1" x14ac:dyDescent="0.2">
      <c r="A1941" s="57" t="s">
        <v>21</v>
      </c>
      <c r="B1941" s="57" t="s">
        <v>22</v>
      </c>
      <c r="C1941" s="57" t="s">
        <v>23</v>
      </c>
      <c r="D1941" s="57" t="s">
        <v>24</v>
      </c>
      <c r="E1941" s="57" t="s">
        <v>34</v>
      </c>
      <c r="F1941" s="57" t="s">
        <v>25</v>
      </c>
      <c r="G1941" s="57" t="s">
        <v>25</v>
      </c>
      <c r="H1941" s="57" t="s">
        <v>25</v>
      </c>
      <c r="I1941" s="82">
        <v>44317</v>
      </c>
      <c r="J1941" s="83">
        <f>EFEITO!$J$1941*EFEITO!$Y$1666</f>
        <v>0</v>
      </c>
      <c r="K1941" s="83">
        <f ca="1">EFEITO!$L$1941*EFEITO!$Z$1915</f>
        <v>1514021.2020120828</v>
      </c>
      <c r="L1941" s="83">
        <f>EFEITO!$N$1941*EFEITO!$AA$1915</f>
        <v>978111.47946715297</v>
      </c>
      <c r="M1941" s="83">
        <f>$J$1941-EFEITO!$K$1941*EFEITO!$Y$1941</f>
        <v>0</v>
      </c>
      <c r="N1941" s="83">
        <f ca="1">$K$1941-EFEITO!$M$1941*EFEITO!$Z$1941</f>
        <v>0</v>
      </c>
      <c r="O1941" s="83">
        <f>$L$1941-EFEITO!$O$1941*EFEITO!$AA$1941</f>
        <v>0</v>
      </c>
      <c r="P1941" s="61"/>
      <c r="Q1941" s="61"/>
      <c r="R1941" s="61"/>
      <c r="S1941" s="61"/>
      <c r="T1941" s="61"/>
      <c r="U1941" s="61"/>
      <c r="V1941" s="61"/>
      <c r="W1941" s="61"/>
      <c r="X1941" s="6"/>
      <c r="Y1941" s="6"/>
      <c r="Z1941" s="6"/>
      <c r="AA1941" s="6"/>
      <c r="AB1941" s="6"/>
      <c r="AC1941" s="6"/>
      <c r="AD1941" s="6"/>
      <c r="AE1941" s="6"/>
      <c r="AF1941" s="6"/>
      <c r="AG1941" s="6"/>
      <c r="AH1941" s="6"/>
      <c r="AI1941" s="6"/>
      <c r="AJ1941" s="6"/>
    </row>
    <row r="1942" spans="1:36" ht="11.25" customHeight="1" x14ac:dyDescent="0.2">
      <c r="A1942" s="57" t="s">
        <v>27</v>
      </c>
      <c r="B1942" s="57" t="s">
        <v>22</v>
      </c>
      <c r="C1942" s="57" t="s">
        <v>23</v>
      </c>
      <c r="D1942" s="57" t="s">
        <v>24</v>
      </c>
      <c r="E1942" s="57" t="s">
        <v>34</v>
      </c>
      <c r="F1942" s="57" t="s">
        <v>25</v>
      </c>
      <c r="G1942" s="57" t="s">
        <v>25</v>
      </c>
      <c r="H1942" s="57" t="s">
        <v>25</v>
      </c>
      <c r="I1942" s="82">
        <v>44317</v>
      </c>
      <c r="J1942" s="83">
        <f>EFEITO!$J$1942*EFEITO!$Y$1666</f>
        <v>0</v>
      </c>
      <c r="K1942" s="83">
        <f ca="1">EFEITO!$L$1942*EFEITO!$Z$1915</f>
        <v>-54671.058241579762</v>
      </c>
      <c r="L1942" s="83">
        <f>EFEITO!$N$1942*EFEITO!$AA$1915</f>
        <v>-35319.445718224306</v>
      </c>
      <c r="M1942" s="83">
        <f>$J$1942-EFEITO!$K$1942*EFEITO!$Y$1942</f>
        <v>0</v>
      </c>
      <c r="N1942" s="83">
        <f ca="1">$K$1942-EFEITO!$M$1942*EFEITO!$Z$1942</f>
        <v>0</v>
      </c>
      <c r="O1942" s="83">
        <f>$L$1942-EFEITO!$O$1942*EFEITO!$AA$1942</f>
        <v>0</v>
      </c>
      <c r="P1942" s="61"/>
      <c r="Q1942" s="61"/>
      <c r="R1942" s="61"/>
      <c r="S1942" s="61"/>
      <c r="T1942" s="61"/>
      <c r="U1942" s="61"/>
      <c r="V1942" s="61"/>
      <c r="W1942" s="61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</row>
    <row r="1943" spans="1:36" ht="11.25" customHeight="1" x14ac:dyDescent="0.2">
      <c r="A1943" s="57" t="s">
        <v>28</v>
      </c>
      <c r="B1943" s="57" t="s">
        <v>22</v>
      </c>
      <c r="C1943" s="57" t="s">
        <v>23</v>
      </c>
      <c r="D1943" s="57" t="s">
        <v>24</v>
      </c>
      <c r="E1943" s="57" t="s">
        <v>34</v>
      </c>
      <c r="F1943" s="57" t="s">
        <v>25</v>
      </c>
      <c r="G1943" s="57" t="s">
        <v>25</v>
      </c>
      <c r="H1943" s="57" t="s">
        <v>25</v>
      </c>
      <c r="I1943" s="82">
        <v>44317</v>
      </c>
      <c r="J1943" s="83">
        <f>EFEITO!$J$1943*EFEITO!$Y$1666</f>
        <v>0</v>
      </c>
      <c r="K1943" s="83">
        <f ca="1">EFEITO!$L$1943*EFEITO!$Z$1915</f>
        <v>1335576.1376197517</v>
      </c>
      <c r="L1943" s="83">
        <f>EFEITO!$N$1943*EFEITO!$AA$1915</f>
        <v>862829.62891946081</v>
      </c>
      <c r="M1943" s="83">
        <f>$J$1943-EFEITO!$K$1943*EFEITO!$Y$1943</f>
        <v>0</v>
      </c>
      <c r="N1943" s="83">
        <f ca="1">$K$1943-EFEITO!$M$1943*EFEITO!$Z$1943</f>
        <v>0</v>
      </c>
      <c r="O1943" s="83">
        <f>$L$1943-EFEITO!$O$1943*EFEITO!$AA$1943</f>
        <v>0</v>
      </c>
      <c r="P1943" s="61"/>
      <c r="Q1943" s="61"/>
      <c r="R1943" s="61"/>
      <c r="S1943" s="61"/>
      <c r="T1943" s="61"/>
      <c r="U1943" s="61"/>
      <c r="V1943" s="61"/>
      <c r="W1943" s="61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</row>
    <row r="1944" spans="1:36" ht="11.25" customHeight="1" x14ac:dyDescent="0.2">
      <c r="A1944" s="57" t="s">
        <v>29</v>
      </c>
      <c r="B1944" s="57" t="s">
        <v>22</v>
      </c>
      <c r="C1944" s="57" t="s">
        <v>23</v>
      </c>
      <c r="D1944" s="57" t="s">
        <v>24</v>
      </c>
      <c r="E1944" s="57" t="s">
        <v>34</v>
      </c>
      <c r="F1944" s="57" t="s">
        <v>25</v>
      </c>
      <c r="G1944" s="57" t="s">
        <v>25</v>
      </c>
      <c r="H1944" s="57" t="s">
        <v>25</v>
      </c>
      <c r="I1944" s="82">
        <v>44317</v>
      </c>
      <c r="J1944" s="83">
        <f>EFEITO!$J$1944*EFEITO!$Y$1666</f>
        <v>0</v>
      </c>
      <c r="K1944" s="83">
        <f ca="1">EFEITO!$L$1944*EFEITO!$Z$1915</f>
        <v>-58100.650459612218</v>
      </c>
      <c r="L1944" s="83">
        <f>EFEITO!$N$1944*EFEITO!$AA$1915</f>
        <v>-37535.084121366024</v>
      </c>
      <c r="M1944" s="83">
        <f>$J$1944-EFEITO!$K$1944*EFEITO!$Y$1944</f>
        <v>0</v>
      </c>
      <c r="N1944" s="83">
        <f ca="1">$K$1944-EFEITO!$M$1944*EFEITO!$Z$1944</f>
        <v>0</v>
      </c>
      <c r="O1944" s="83">
        <f>$L$1944-EFEITO!$O$1944*EFEITO!$AA$1944</f>
        <v>0</v>
      </c>
      <c r="P1944" s="61"/>
      <c r="Q1944" s="61"/>
      <c r="R1944" s="61"/>
      <c r="S1944" s="61"/>
      <c r="T1944" s="61"/>
      <c r="U1944" s="61"/>
      <c r="V1944" s="61"/>
      <c r="W1944" s="61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</row>
    <row r="1945" spans="1:36" ht="11.25" customHeight="1" x14ac:dyDescent="0.2">
      <c r="A1945" s="57" t="s">
        <v>30</v>
      </c>
      <c r="B1945" s="57" t="s">
        <v>22</v>
      </c>
      <c r="C1945" s="57" t="s">
        <v>23</v>
      </c>
      <c r="D1945" s="57" t="s">
        <v>24</v>
      </c>
      <c r="E1945" s="57" t="s">
        <v>34</v>
      </c>
      <c r="F1945" s="57" t="s">
        <v>25</v>
      </c>
      <c r="G1945" s="57" t="s">
        <v>25</v>
      </c>
      <c r="H1945" s="57" t="s">
        <v>25</v>
      </c>
      <c r="I1945" s="82">
        <v>44317</v>
      </c>
      <c r="J1945" s="83">
        <f>EFEITO!$J$1945*EFEITO!$Y$1666</f>
        <v>0</v>
      </c>
      <c r="K1945" s="83">
        <f ca="1">EFEITO!$L$1945*EFEITO!$Z$1915</f>
        <v>318.34712473218775</v>
      </c>
      <c r="L1945" s="83">
        <f>EFEITO!$N$1945*EFEITO!$AA$1915</f>
        <v>205.66355130436904</v>
      </c>
      <c r="M1945" s="83">
        <f>$J$1945-EFEITO!$K$1945*EFEITO!$Y$1945</f>
        <v>0</v>
      </c>
      <c r="N1945" s="83">
        <f ca="1">$K$1945-EFEITO!$M$1945*EFEITO!$Z$1945</f>
        <v>0</v>
      </c>
      <c r="O1945" s="83">
        <f>$L$1945-EFEITO!$O$1945*EFEITO!$AA$1945</f>
        <v>0</v>
      </c>
      <c r="P1945" s="61"/>
      <c r="Q1945" s="61"/>
      <c r="R1945" s="61"/>
      <c r="S1945" s="61"/>
      <c r="T1945" s="61"/>
      <c r="U1945" s="61"/>
      <c r="V1945" s="61"/>
      <c r="W1945" s="61"/>
      <c r="X1945" s="6"/>
      <c r="Y1945" s="6"/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</row>
    <row r="1946" spans="1:36" ht="11.25" customHeight="1" x14ac:dyDescent="0.2">
      <c r="A1946" s="57" t="s">
        <v>21</v>
      </c>
      <c r="B1946" s="57" t="s">
        <v>22</v>
      </c>
      <c r="C1946" s="57" t="s">
        <v>23</v>
      </c>
      <c r="D1946" s="57" t="s">
        <v>24</v>
      </c>
      <c r="E1946" s="57" t="s">
        <v>34</v>
      </c>
      <c r="F1946" s="57" t="s">
        <v>25</v>
      </c>
      <c r="G1946" s="57" t="s">
        <v>25</v>
      </c>
      <c r="H1946" s="57" t="s">
        <v>25</v>
      </c>
      <c r="I1946" s="82">
        <v>44348</v>
      </c>
      <c r="J1946" s="83">
        <f>EFEITO!$J$1946*EFEITO!$Y$1666</f>
        <v>0</v>
      </c>
      <c r="K1946" s="83">
        <f ca="1">EFEITO!$L$1946*EFEITO!$Z$1915</f>
        <v>1899683.1022924101</v>
      </c>
      <c r="L1946" s="83">
        <f>EFEITO!$N$1946*EFEITO!$AA$1915</f>
        <v>1227262.7670158292</v>
      </c>
      <c r="M1946" s="83">
        <f>$J$1946-EFEITO!$K$1946*EFEITO!$Y$1946</f>
        <v>0</v>
      </c>
      <c r="N1946" s="83">
        <f ca="1">$K$1946-EFEITO!$M$1946*EFEITO!$Z$1946</f>
        <v>0</v>
      </c>
      <c r="O1946" s="83">
        <f>$L$1946-EFEITO!$O$1946*EFEITO!$AA$1946</f>
        <v>0</v>
      </c>
      <c r="P1946" s="61"/>
      <c r="Q1946" s="61"/>
      <c r="R1946" s="61"/>
      <c r="S1946" s="61"/>
      <c r="T1946" s="61"/>
      <c r="U1946" s="61"/>
      <c r="V1946" s="61"/>
      <c r="W1946" s="61"/>
      <c r="X1946" s="6"/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</row>
    <row r="1947" spans="1:36" ht="11.25" customHeight="1" x14ac:dyDescent="0.2">
      <c r="A1947" s="57" t="s">
        <v>27</v>
      </c>
      <c r="B1947" s="57" t="s">
        <v>22</v>
      </c>
      <c r="C1947" s="57" t="s">
        <v>23</v>
      </c>
      <c r="D1947" s="57" t="s">
        <v>24</v>
      </c>
      <c r="E1947" s="57" t="s">
        <v>34</v>
      </c>
      <c r="F1947" s="57" t="s">
        <v>25</v>
      </c>
      <c r="G1947" s="57" t="s">
        <v>25</v>
      </c>
      <c r="H1947" s="57" t="s">
        <v>25</v>
      </c>
      <c r="I1947" s="82">
        <v>44348</v>
      </c>
      <c r="J1947" s="83">
        <f>EFEITO!$J$1947*EFEITO!$Y$1666</f>
        <v>0</v>
      </c>
      <c r="K1947" s="83">
        <f ca="1">EFEITO!$L$1947*EFEITO!$Z$1915</f>
        <v>-14393.706414191751</v>
      </c>
      <c r="L1947" s="83">
        <f>EFEITO!$N$1947*EFEITO!$AA$1915</f>
        <v>-9298.8456549293333</v>
      </c>
      <c r="M1947" s="83">
        <f>$J$1947-EFEITO!$K$1947*EFEITO!$Y$1947</f>
        <v>0</v>
      </c>
      <c r="N1947" s="83">
        <f ca="1">$K$1947-EFEITO!$M$1947*EFEITO!$Z$1947</f>
        <v>0</v>
      </c>
      <c r="O1947" s="83">
        <f>$L$1947-EFEITO!$O$1947*EFEITO!$AA$1947</f>
        <v>0</v>
      </c>
      <c r="P1947" s="61"/>
      <c r="Q1947" s="61"/>
      <c r="R1947" s="61"/>
      <c r="S1947" s="61"/>
      <c r="T1947" s="61"/>
      <c r="U1947" s="61"/>
      <c r="V1947" s="61"/>
      <c r="W1947" s="61"/>
      <c r="X1947" s="6"/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</row>
    <row r="1948" spans="1:36" ht="11.25" customHeight="1" x14ac:dyDescent="0.2">
      <c r="A1948" s="57" t="s">
        <v>28</v>
      </c>
      <c r="B1948" s="57" t="s">
        <v>22</v>
      </c>
      <c r="C1948" s="57" t="s">
        <v>23</v>
      </c>
      <c r="D1948" s="57" t="s">
        <v>24</v>
      </c>
      <c r="E1948" s="57" t="s">
        <v>34</v>
      </c>
      <c r="F1948" s="57" t="s">
        <v>25</v>
      </c>
      <c r="G1948" s="57" t="s">
        <v>25</v>
      </c>
      <c r="H1948" s="57" t="s">
        <v>25</v>
      </c>
      <c r="I1948" s="82">
        <v>44348</v>
      </c>
      <c r="J1948" s="83">
        <f>EFEITO!$J$1948*EFEITO!$Y$1666</f>
        <v>0</v>
      </c>
      <c r="K1948" s="83">
        <f ca="1">EFEITO!$L$1948*EFEITO!$Z$1915</f>
        <v>1525938.9774648459</v>
      </c>
      <c r="L1948" s="83">
        <f>EFEITO!$N$1948*EFEITO!$AA$1915</f>
        <v>985810.78576786246</v>
      </c>
      <c r="M1948" s="83">
        <f>$J$1948-EFEITO!$K$1948*EFEITO!$Y$1948</f>
        <v>0</v>
      </c>
      <c r="N1948" s="83">
        <f ca="1">$K$1948-EFEITO!$M$1948*EFEITO!$Z$1948</f>
        <v>0</v>
      </c>
      <c r="O1948" s="83">
        <f>$L$1948-EFEITO!$O$1948*EFEITO!$AA$1948</f>
        <v>0</v>
      </c>
      <c r="P1948" s="61"/>
      <c r="Q1948" s="61"/>
      <c r="R1948" s="61"/>
      <c r="S1948" s="61"/>
      <c r="T1948" s="61"/>
      <c r="U1948" s="61"/>
      <c r="V1948" s="61"/>
      <c r="W1948" s="61"/>
      <c r="X1948" s="6"/>
      <c r="Y1948" s="6"/>
      <c r="Z1948" s="6"/>
      <c r="AA1948" s="6"/>
      <c r="AB1948" s="6"/>
      <c r="AC1948" s="6"/>
      <c r="AD1948" s="6"/>
      <c r="AE1948" s="6"/>
      <c r="AF1948" s="6"/>
      <c r="AG1948" s="6"/>
      <c r="AH1948" s="6"/>
      <c r="AI1948" s="6"/>
      <c r="AJ1948" s="6"/>
    </row>
    <row r="1949" spans="1:36" ht="11.25" customHeight="1" x14ac:dyDescent="0.2">
      <c r="A1949" s="57" t="s">
        <v>29</v>
      </c>
      <c r="B1949" s="57" t="s">
        <v>22</v>
      </c>
      <c r="C1949" s="57" t="s">
        <v>23</v>
      </c>
      <c r="D1949" s="57" t="s">
        <v>24</v>
      </c>
      <c r="E1949" s="57" t="s">
        <v>34</v>
      </c>
      <c r="F1949" s="57" t="s">
        <v>25</v>
      </c>
      <c r="G1949" s="57" t="s">
        <v>25</v>
      </c>
      <c r="H1949" s="57" t="s">
        <v>25</v>
      </c>
      <c r="I1949" s="82">
        <v>44348</v>
      </c>
      <c r="J1949" s="83">
        <f>EFEITO!$J$1949*EFEITO!$Y$1666</f>
        <v>0</v>
      </c>
      <c r="K1949" s="83">
        <f ca="1">EFEITO!$L$1949*EFEITO!$Z$1915</f>
        <v>-67438.066053093746</v>
      </c>
      <c r="L1949" s="83">
        <f>EFEITO!$N$1949*EFEITO!$AA$1915</f>
        <v>-43567.386290187962</v>
      </c>
      <c r="M1949" s="83">
        <f>$J$1949-EFEITO!$K$1949*EFEITO!$Y$1949</f>
        <v>0</v>
      </c>
      <c r="N1949" s="83">
        <f ca="1">$K$1949-EFEITO!$M$1949*EFEITO!$Z$1949</f>
        <v>0</v>
      </c>
      <c r="O1949" s="83">
        <f>$L$1949-EFEITO!$O$1949*EFEITO!$AA$1949</f>
        <v>0</v>
      </c>
      <c r="P1949" s="61"/>
      <c r="Q1949" s="61"/>
      <c r="R1949" s="61"/>
      <c r="S1949" s="61"/>
      <c r="T1949" s="61"/>
      <c r="U1949" s="61"/>
      <c r="V1949" s="61"/>
      <c r="W1949" s="61"/>
      <c r="X1949" s="6"/>
      <c r="Y1949" s="6"/>
      <c r="Z1949" s="6"/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</row>
    <row r="1950" spans="1:36" ht="11.25" customHeight="1" x14ac:dyDescent="0.2">
      <c r="A1950" s="57" t="s">
        <v>30</v>
      </c>
      <c r="B1950" s="57" t="s">
        <v>22</v>
      </c>
      <c r="C1950" s="57" t="s">
        <v>23</v>
      </c>
      <c r="D1950" s="57" t="s">
        <v>24</v>
      </c>
      <c r="E1950" s="57" t="s">
        <v>34</v>
      </c>
      <c r="F1950" s="57" t="s">
        <v>25</v>
      </c>
      <c r="G1950" s="57" t="s">
        <v>25</v>
      </c>
      <c r="H1950" s="57" t="s">
        <v>25</v>
      </c>
      <c r="I1950" s="82">
        <v>44348</v>
      </c>
      <c r="J1950" s="83">
        <f>EFEITO!$J$1950*EFEITO!$Y$1666</f>
        <v>0</v>
      </c>
      <c r="K1950" s="83">
        <f ca="1">EFEITO!$L$1950*EFEITO!$Z$1915</f>
        <v>419.55574820195847</v>
      </c>
      <c r="L1950" s="83">
        <f>EFEITO!$N$1950*EFEITO!$AA$1915</f>
        <v>271.04791732598926</v>
      </c>
      <c r="M1950" s="83">
        <f>$J$1950-EFEITO!$K$1950*EFEITO!$Y$1950</f>
        <v>0</v>
      </c>
      <c r="N1950" s="83">
        <f ca="1">$K$1950-EFEITO!$M$1950*EFEITO!$Z$1950</f>
        <v>0</v>
      </c>
      <c r="O1950" s="83">
        <f>$L$1950-EFEITO!$O$1950*EFEITO!$AA$1950</f>
        <v>0</v>
      </c>
      <c r="P1950" s="61"/>
      <c r="Q1950" s="61"/>
      <c r="R1950" s="61"/>
      <c r="S1950" s="61"/>
      <c r="T1950" s="61"/>
      <c r="U1950" s="61"/>
      <c r="V1950" s="61"/>
      <c r="W1950" s="61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</row>
    <row r="1951" spans="1:36" ht="11.25" customHeight="1" x14ac:dyDescent="0.2">
      <c r="A1951" s="57" t="s">
        <v>21</v>
      </c>
      <c r="B1951" s="57" t="s">
        <v>22</v>
      </c>
      <c r="C1951" s="57" t="s">
        <v>23</v>
      </c>
      <c r="D1951" s="57" t="s">
        <v>24</v>
      </c>
      <c r="E1951" s="57" t="s">
        <v>34</v>
      </c>
      <c r="F1951" s="57" t="s">
        <v>25</v>
      </c>
      <c r="G1951" s="57" t="s">
        <v>25</v>
      </c>
      <c r="H1951" s="57" t="s">
        <v>25</v>
      </c>
      <c r="I1951" s="82">
        <v>44378</v>
      </c>
      <c r="J1951" s="83">
        <f>EFEITO!$J$1951*EFEITO!$Y$1666</f>
        <v>0</v>
      </c>
      <c r="K1951" s="83">
        <f ca="1">EFEITO!$L$1951*EFEITO!$Z$1915</f>
        <v>1608164.5434852683</v>
      </c>
      <c r="L1951" s="83">
        <f>EFEITO!$N$1951*EFEITO!$AA$1915</f>
        <v>1038931.4223371366</v>
      </c>
      <c r="M1951" s="83">
        <f>$J$1951-EFEITO!$K$1951*EFEITO!$Y$1951</f>
        <v>0</v>
      </c>
      <c r="N1951" s="83">
        <f ca="1">$K$1951-EFEITO!$M$1951*EFEITO!$Z$1951</f>
        <v>0</v>
      </c>
      <c r="O1951" s="83">
        <f>$L$1951-EFEITO!$O$1951*EFEITO!$AA$1951</f>
        <v>0</v>
      </c>
      <c r="P1951" s="61"/>
      <c r="Q1951" s="61"/>
      <c r="R1951" s="61"/>
      <c r="S1951" s="61"/>
      <c r="T1951" s="61"/>
      <c r="U1951" s="61"/>
      <c r="V1951" s="61"/>
      <c r="W1951" s="61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</row>
    <row r="1952" spans="1:36" ht="11.25" customHeight="1" x14ac:dyDescent="0.2">
      <c r="A1952" s="57" t="s">
        <v>27</v>
      </c>
      <c r="B1952" s="57" t="s">
        <v>22</v>
      </c>
      <c r="C1952" s="57" t="s">
        <v>23</v>
      </c>
      <c r="D1952" s="57" t="s">
        <v>24</v>
      </c>
      <c r="E1952" s="57" t="s">
        <v>34</v>
      </c>
      <c r="F1952" s="57" t="s">
        <v>25</v>
      </c>
      <c r="G1952" s="57" t="s">
        <v>25</v>
      </c>
      <c r="H1952" s="57" t="s">
        <v>25</v>
      </c>
      <c r="I1952" s="82">
        <v>44378</v>
      </c>
      <c r="J1952" s="83">
        <f>EFEITO!$J$1952*EFEITO!$Y$1666</f>
        <v>0</v>
      </c>
      <c r="K1952" s="83">
        <f ca="1">EFEITO!$L$1952*EFEITO!$Z$1915</f>
        <v>-142470.45918000099</v>
      </c>
      <c r="L1952" s="83">
        <f>EFEITO!$N$1952*EFEITO!$AA$1915</f>
        <v>-92040.977645307314</v>
      </c>
      <c r="M1952" s="83">
        <f>$J$1952-EFEITO!$K$1952*EFEITO!$Y$1952</f>
        <v>0</v>
      </c>
      <c r="N1952" s="83">
        <f ca="1">$K$1952-EFEITO!$M$1952*EFEITO!$Z$1952</f>
        <v>0</v>
      </c>
      <c r="O1952" s="83">
        <f>$L$1952-EFEITO!$O$1952*EFEITO!$AA$1952</f>
        <v>0</v>
      </c>
      <c r="P1952" s="61"/>
      <c r="Q1952" s="61"/>
      <c r="R1952" s="61"/>
      <c r="S1952" s="61"/>
      <c r="T1952" s="61"/>
      <c r="U1952" s="61"/>
      <c r="V1952" s="61"/>
      <c r="W1952" s="61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</row>
    <row r="1953" spans="1:36" ht="11.25" customHeight="1" x14ac:dyDescent="0.2">
      <c r="A1953" s="57" t="s">
        <v>28</v>
      </c>
      <c r="B1953" s="57" t="s">
        <v>22</v>
      </c>
      <c r="C1953" s="57" t="s">
        <v>23</v>
      </c>
      <c r="D1953" s="57" t="s">
        <v>24</v>
      </c>
      <c r="E1953" s="57" t="s">
        <v>34</v>
      </c>
      <c r="F1953" s="57" t="s">
        <v>25</v>
      </c>
      <c r="G1953" s="57" t="s">
        <v>25</v>
      </c>
      <c r="H1953" s="57" t="s">
        <v>25</v>
      </c>
      <c r="I1953" s="82">
        <v>44378</v>
      </c>
      <c r="J1953" s="83">
        <f>EFEITO!$J$1953*EFEITO!$Y$1666</f>
        <v>0</v>
      </c>
      <c r="K1953" s="83">
        <f ca="1">EFEITO!$L$1953*EFEITO!$Z$1915</f>
        <v>1204785.61362736</v>
      </c>
      <c r="L1953" s="83">
        <f>EFEITO!$N$1953*EFEITO!$AA$1915</f>
        <v>778334.30431471218</v>
      </c>
      <c r="M1953" s="83">
        <f>$J$1953-EFEITO!$K$1953*EFEITO!$Y$1953</f>
        <v>0</v>
      </c>
      <c r="N1953" s="83">
        <f ca="1">$K$1953-EFEITO!$M$1953*EFEITO!$Z$1953</f>
        <v>0</v>
      </c>
      <c r="O1953" s="83">
        <f>$L$1953-EFEITO!$O$1953*EFEITO!$AA$1953</f>
        <v>0</v>
      </c>
      <c r="P1953" s="61"/>
      <c r="Q1953" s="61"/>
      <c r="R1953" s="61"/>
      <c r="S1953" s="61"/>
      <c r="T1953" s="61"/>
      <c r="U1953" s="61"/>
      <c r="V1953" s="61"/>
      <c r="W1953" s="61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</row>
    <row r="1954" spans="1:36" ht="11.25" customHeight="1" x14ac:dyDescent="0.2">
      <c r="A1954" s="57" t="s">
        <v>29</v>
      </c>
      <c r="B1954" s="57" t="s">
        <v>22</v>
      </c>
      <c r="C1954" s="57" t="s">
        <v>23</v>
      </c>
      <c r="D1954" s="57" t="s">
        <v>24</v>
      </c>
      <c r="E1954" s="57" t="s">
        <v>34</v>
      </c>
      <c r="F1954" s="57" t="s">
        <v>25</v>
      </c>
      <c r="G1954" s="57" t="s">
        <v>25</v>
      </c>
      <c r="H1954" s="57" t="s">
        <v>25</v>
      </c>
      <c r="I1954" s="82">
        <v>44378</v>
      </c>
      <c r="J1954" s="83">
        <f>EFEITO!$J$1954*EFEITO!$Y$1666</f>
        <v>0</v>
      </c>
      <c r="K1954" s="83">
        <f ca="1">EFEITO!$L$1954*EFEITO!$Z$1915</f>
        <v>-17802.136829135074</v>
      </c>
      <c r="L1954" s="83">
        <f>EFEITO!$N$1954*EFEITO!$AA$1915</f>
        <v>-11500.812781539262</v>
      </c>
      <c r="M1954" s="83">
        <f>$J$1954-EFEITO!$K$1954*EFEITO!$Y$1954</f>
        <v>0</v>
      </c>
      <c r="N1954" s="83">
        <f ca="1">$K$1954-EFEITO!$M$1954*EFEITO!$Z$1954</f>
        <v>0</v>
      </c>
      <c r="O1954" s="83">
        <f>$L$1954-EFEITO!$O$1954*EFEITO!$AA$1954</f>
        <v>0</v>
      </c>
      <c r="P1954" s="61"/>
      <c r="Q1954" s="61"/>
      <c r="R1954" s="61"/>
      <c r="S1954" s="61"/>
      <c r="T1954" s="61"/>
      <c r="U1954" s="61"/>
      <c r="V1954" s="61"/>
      <c r="W1954" s="61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</row>
    <row r="1955" spans="1:36" ht="11.25" customHeight="1" x14ac:dyDescent="0.2">
      <c r="A1955" s="57" t="s">
        <v>30</v>
      </c>
      <c r="B1955" s="57" t="s">
        <v>22</v>
      </c>
      <c r="C1955" s="57" t="s">
        <v>23</v>
      </c>
      <c r="D1955" s="57" t="s">
        <v>24</v>
      </c>
      <c r="E1955" s="57" t="s">
        <v>34</v>
      </c>
      <c r="F1955" s="57" t="s">
        <v>25</v>
      </c>
      <c r="G1955" s="57" t="s">
        <v>25</v>
      </c>
      <c r="H1955" s="57" t="s">
        <v>25</v>
      </c>
      <c r="I1955" s="82">
        <v>44378</v>
      </c>
      <c r="J1955" s="83">
        <f>EFEITO!$J$1955*EFEITO!$Y$1666</f>
        <v>0</v>
      </c>
      <c r="K1955" s="83">
        <f ca="1">EFEITO!$L$1955*EFEITO!$Z$1915</f>
        <v>319.72724232495733</v>
      </c>
      <c r="L1955" s="83">
        <f>EFEITO!$N$1955*EFEITO!$AA$1915</f>
        <v>206.55515629557294</v>
      </c>
      <c r="M1955" s="83">
        <f>$J$1955-EFEITO!$K$1955*EFEITO!$Y$1955</f>
        <v>0</v>
      </c>
      <c r="N1955" s="83">
        <f ca="1">$K$1955-EFEITO!$M$1955*EFEITO!$Z$1955</f>
        <v>0</v>
      </c>
      <c r="O1955" s="83">
        <f>$L$1955-EFEITO!$O$1955*EFEITO!$AA$1955</f>
        <v>0</v>
      </c>
      <c r="P1955" s="61"/>
      <c r="Q1955" s="61"/>
      <c r="R1955" s="61"/>
      <c r="S1955" s="61"/>
      <c r="T1955" s="61"/>
      <c r="U1955" s="61"/>
      <c r="V1955" s="61"/>
      <c r="W1955" s="61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</row>
    <row r="1956" spans="1:36" ht="11.25" customHeight="1" x14ac:dyDescent="0.2">
      <c r="A1956" s="57" t="s">
        <v>21</v>
      </c>
      <c r="B1956" s="57" t="s">
        <v>22</v>
      </c>
      <c r="C1956" s="57" t="s">
        <v>23</v>
      </c>
      <c r="D1956" s="57" t="s">
        <v>24</v>
      </c>
      <c r="E1956" s="57" t="s">
        <v>34</v>
      </c>
      <c r="F1956" s="57" t="s">
        <v>25</v>
      </c>
      <c r="G1956" s="57" t="s">
        <v>25</v>
      </c>
      <c r="H1956" s="57" t="s">
        <v>25</v>
      </c>
      <c r="I1956" s="82">
        <v>44409</v>
      </c>
      <c r="J1956" s="83">
        <f>EFEITO!$J$1956*EFEITO!$Y$1666</f>
        <v>0</v>
      </c>
      <c r="K1956" s="83">
        <f ca="1">EFEITO!$L$1956*EFEITO!$Z$1915</f>
        <v>1997295.5993546208</v>
      </c>
      <c r="L1956" s="83">
        <f>EFEITO!$N$1956*EFEITO!$AA$1915</f>
        <v>1290323.9076320357</v>
      </c>
      <c r="M1956" s="83">
        <f>$J$1956-EFEITO!$K$1956*EFEITO!$Y$1956</f>
        <v>0</v>
      </c>
      <c r="N1956" s="83">
        <f ca="1">$K$1956-EFEITO!$M$1956*EFEITO!$Z$1956</f>
        <v>0</v>
      </c>
      <c r="O1956" s="83">
        <f>$L$1956-EFEITO!$O$1956*EFEITO!$AA$1956</f>
        <v>0</v>
      </c>
      <c r="P1956" s="61"/>
      <c r="Q1956" s="61"/>
      <c r="R1956" s="61"/>
      <c r="S1956" s="61"/>
      <c r="T1956" s="61"/>
      <c r="U1956" s="61"/>
      <c r="V1956" s="61"/>
      <c r="W1956" s="61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</row>
    <row r="1957" spans="1:36" ht="11.25" customHeight="1" x14ac:dyDescent="0.2">
      <c r="A1957" s="57" t="s">
        <v>27</v>
      </c>
      <c r="B1957" s="57" t="s">
        <v>22</v>
      </c>
      <c r="C1957" s="57" t="s">
        <v>23</v>
      </c>
      <c r="D1957" s="57" t="s">
        <v>24</v>
      </c>
      <c r="E1957" s="57" t="s">
        <v>34</v>
      </c>
      <c r="F1957" s="57" t="s">
        <v>25</v>
      </c>
      <c r="G1957" s="57" t="s">
        <v>25</v>
      </c>
      <c r="H1957" s="57" t="s">
        <v>25</v>
      </c>
      <c r="I1957" s="82">
        <v>44409</v>
      </c>
      <c r="J1957" s="83">
        <f>EFEITO!$J$1957*EFEITO!$Y$1666</f>
        <v>0</v>
      </c>
      <c r="K1957" s="83">
        <f ca="1">EFEITO!$L$1957*EFEITO!$Z$1915</f>
        <v>-35141.474225494741</v>
      </c>
      <c r="L1957" s="83">
        <f>EFEITO!$N$1957*EFEITO!$AA$1915</f>
        <v>-22702.64068936148</v>
      </c>
      <c r="M1957" s="83">
        <f>$J$1957-EFEITO!$K$1957*EFEITO!$Y$1957</f>
        <v>0</v>
      </c>
      <c r="N1957" s="83">
        <f ca="1">$K$1957-EFEITO!$M$1957*EFEITO!$Z$1957</f>
        <v>0</v>
      </c>
      <c r="O1957" s="83">
        <f>$L$1957-EFEITO!$O$1957*EFEITO!$AA$1957</f>
        <v>0</v>
      </c>
      <c r="P1957" s="61"/>
      <c r="Q1957" s="61"/>
      <c r="R1957" s="61"/>
      <c r="S1957" s="61"/>
      <c r="T1957" s="61"/>
      <c r="U1957" s="61"/>
      <c r="V1957" s="61"/>
      <c r="W1957" s="61"/>
      <c r="X1957" s="6"/>
      <c r="Y1957" s="6"/>
      <c r="Z1957" s="6"/>
      <c r="AA1957" s="6"/>
      <c r="AB1957" s="6"/>
      <c r="AC1957" s="6"/>
      <c r="AD1957" s="6"/>
      <c r="AE1957" s="6"/>
      <c r="AF1957" s="6"/>
      <c r="AG1957" s="6"/>
      <c r="AH1957" s="6"/>
      <c r="AI1957" s="6"/>
      <c r="AJ1957" s="6"/>
    </row>
    <row r="1958" spans="1:36" ht="11.25" customHeight="1" x14ac:dyDescent="0.2">
      <c r="A1958" s="57" t="s">
        <v>28</v>
      </c>
      <c r="B1958" s="57" t="s">
        <v>22</v>
      </c>
      <c r="C1958" s="57" t="s">
        <v>23</v>
      </c>
      <c r="D1958" s="57" t="s">
        <v>24</v>
      </c>
      <c r="E1958" s="57" t="s">
        <v>34</v>
      </c>
      <c r="F1958" s="57" t="s">
        <v>25</v>
      </c>
      <c r="G1958" s="57" t="s">
        <v>25</v>
      </c>
      <c r="H1958" s="57" t="s">
        <v>25</v>
      </c>
      <c r="I1958" s="82">
        <v>44409</v>
      </c>
      <c r="J1958" s="83">
        <f>EFEITO!$J$1958*EFEITO!$Y$1666</f>
        <v>0</v>
      </c>
      <c r="K1958" s="83">
        <f ca="1">EFEITO!$L$1958*EFEITO!$Z$1915</f>
        <v>1543130.6422787791</v>
      </c>
      <c r="L1958" s="83">
        <f>EFEITO!$N$1958*EFEITO!$AA$1915</f>
        <v>996917.21194162581</v>
      </c>
      <c r="M1958" s="83">
        <f>$J$1958-EFEITO!$K$1958*EFEITO!$Y$1958</f>
        <v>0</v>
      </c>
      <c r="N1958" s="83">
        <f ca="1">$K$1958-EFEITO!$M$1958*EFEITO!$Z$1958</f>
        <v>0</v>
      </c>
      <c r="O1958" s="83">
        <f>$L$1958-EFEITO!$O$1958*EFEITO!$AA$1958</f>
        <v>0</v>
      </c>
      <c r="P1958" s="61"/>
      <c r="Q1958" s="61"/>
      <c r="R1958" s="61"/>
      <c r="S1958" s="61"/>
      <c r="T1958" s="61"/>
      <c r="U1958" s="61"/>
      <c r="V1958" s="61"/>
      <c r="W1958" s="61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</row>
    <row r="1959" spans="1:36" ht="11.25" customHeight="1" x14ac:dyDescent="0.2">
      <c r="A1959" s="57" t="s">
        <v>29</v>
      </c>
      <c r="B1959" s="57" t="s">
        <v>22</v>
      </c>
      <c r="C1959" s="57" t="s">
        <v>23</v>
      </c>
      <c r="D1959" s="57" t="s">
        <v>24</v>
      </c>
      <c r="E1959" s="57" t="s">
        <v>34</v>
      </c>
      <c r="F1959" s="57" t="s">
        <v>25</v>
      </c>
      <c r="G1959" s="57" t="s">
        <v>25</v>
      </c>
      <c r="H1959" s="57" t="s">
        <v>25</v>
      </c>
      <c r="I1959" s="82">
        <v>44409</v>
      </c>
      <c r="J1959" s="83">
        <f>EFEITO!$J$1959*EFEITO!$Y$1666</f>
        <v>0</v>
      </c>
      <c r="K1959" s="83">
        <f ca="1">EFEITO!$L$1959*EFEITO!$Z$1915</f>
        <v>-8545.6881344293652</v>
      </c>
      <c r="L1959" s="83">
        <f>EFEITO!$N$1959*EFEITO!$AA$1915</f>
        <v>-5520.818105534624</v>
      </c>
      <c r="M1959" s="83">
        <f>$J$1959-EFEITO!$K$1959*EFEITO!$Y$1959</f>
        <v>0</v>
      </c>
      <c r="N1959" s="83">
        <f ca="1">$K$1959-EFEITO!$M$1959*EFEITO!$Z$1959</f>
        <v>0</v>
      </c>
      <c r="O1959" s="83">
        <f>$L$1959-EFEITO!$O$1959*EFEITO!$AA$1959</f>
        <v>0</v>
      </c>
      <c r="P1959" s="61"/>
      <c r="Q1959" s="61"/>
      <c r="R1959" s="61"/>
      <c r="S1959" s="61"/>
      <c r="T1959" s="61"/>
      <c r="U1959" s="61"/>
      <c r="V1959" s="61"/>
      <c r="W1959" s="61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</row>
    <row r="1960" spans="1:36" ht="11.25" customHeight="1" x14ac:dyDescent="0.2">
      <c r="A1960" s="57" t="s">
        <v>30</v>
      </c>
      <c r="B1960" s="57" t="s">
        <v>22</v>
      </c>
      <c r="C1960" s="57" t="s">
        <v>23</v>
      </c>
      <c r="D1960" s="57" t="s">
        <v>24</v>
      </c>
      <c r="E1960" s="57" t="s">
        <v>34</v>
      </c>
      <c r="F1960" s="57" t="s">
        <v>25</v>
      </c>
      <c r="G1960" s="57" t="s">
        <v>25</v>
      </c>
      <c r="H1960" s="57" t="s">
        <v>25</v>
      </c>
      <c r="I1960" s="82">
        <v>44409</v>
      </c>
      <c r="J1960" s="83">
        <f>EFEITO!$J$1960*EFEITO!$Y$1666</f>
        <v>0</v>
      </c>
      <c r="K1960" s="83">
        <f ca="1">EFEITO!$L$1960*EFEITO!$Z$1915</f>
        <v>264.06249941658348</v>
      </c>
      <c r="L1960" s="83">
        <f>EFEITO!$N$1960*EFEITO!$AA$1915</f>
        <v>170.59375498368183</v>
      </c>
      <c r="M1960" s="83">
        <f>$J$1960-EFEITO!$K$1960*EFEITO!$Y$1960</f>
        <v>0</v>
      </c>
      <c r="N1960" s="83">
        <f ca="1">$K$1960-EFEITO!$M$1960*EFEITO!$Z$1960</f>
        <v>0</v>
      </c>
      <c r="O1960" s="83">
        <f>$L$1960-EFEITO!$O$1960*EFEITO!$AA$1960</f>
        <v>0</v>
      </c>
      <c r="P1960" s="61"/>
      <c r="Q1960" s="61"/>
      <c r="R1960" s="61"/>
      <c r="S1960" s="61"/>
      <c r="T1960" s="61"/>
      <c r="U1960" s="61"/>
      <c r="V1960" s="61"/>
      <c r="W1960" s="61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</row>
    <row r="1961" spans="1:36" ht="11.25" customHeight="1" x14ac:dyDescent="0.2">
      <c r="A1961" s="57" t="s">
        <v>21</v>
      </c>
      <c r="B1961" s="57" t="s">
        <v>22</v>
      </c>
      <c r="C1961" s="57" t="s">
        <v>23</v>
      </c>
      <c r="D1961" s="57" t="s">
        <v>24</v>
      </c>
      <c r="E1961" s="57" t="s">
        <v>34</v>
      </c>
      <c r="F1961" s="57" t="s">
        <v>25</v>
      </c>
      <c r="G1961" s="57" t="s">
        <v>25</v>
      </c>
      <c r="H1961" s="57" t="s">
        <v>25</v>
      </c>
      <c r="I1961" s="82">
        <v>44440</v>
      </c>
      <c r="J1961" s="83">
        <f>EFEITO!$J$1961*EFEITO!$Y$1666</f>
        <v>0</v>
      </c>
      <c r="K1961" s="83">
        <f ca="1">EFEITO!$L$1961*EFEITO!$Z$1915</f>
        <v>2110211.7603638559</v>
      </c>
      <c r="L1961" s="83">
        <f>EFEITO!$N$1961*EFEITO!$AA$1915</f>
        <v>1363271.7587940386</v>
      </c>
      <c r="M1961" s="83">
        <f>$J$1961-EFEITO!$K$1961*EFEITO!$Y$1961</f>
        <v>0</v>
      </c>
      <c r="N1961" s="83">
        <f ca="1">$K$1961-EFEITO!$M$1961*EFEITO!$Z$1961</f>
        <v>0</v>
      </c>
      <c r="O1961" s="83">
        <f>$L$1961-EFEITO!$O$1961*EFEITO!$AA$1961</f>
        <v>0</v>
      </c>
      <c r="P1961" s="61"/>
      <c r="Q1961" s="61"/>
      <c r="R1961" s="61"/>
      <c r="S1961" s="61"/>
      <c r="T1961" s="61"/>
      <c r="U1961" s="61"/>
      <c r="V1961" s="61"/>
      <c r="W1961" s="61"/>
      <c r="X1961" s="6"/>
      <c r="Y1961" s="6"/>
      <c r="Z1961" s="6"/>
      <c r="AA1961" s="6"/>
      <c r="AB1961" s="6"/>
      <c r="AC1961" s="6"/>
      <c r="AD1961" s="6"/>
      <c r="AE1961" s="6"/>
      <c r="AF1961" s="6"/>
      <c r="AG1961" s="6"/>
      <c r="AH1961" s="6"/>
      <c r="AI1961" s="6"/>
      <c r="AJ1961" s="6"/>
    </row>
    <row r="1962" spans="1:36" ht="11.25" customHeight="1" x14ac:dyDescent="0.2">
      <c r="A1962" s="57" t="s">
        <v>27</v>
      </c>
      <c r="B1962" s="57" t="s">
        <v>22</v>
      </c>
      <c r="C1962" s="57" t="s">
        <v>23</v>
      </c>
      <c r="D1962" s="57" t="s">
        <v>24</v>
      </c>
      <c r="E1962" s="57" t="s">
        <v>34</v>
      </c>
      <c r="F1962" s="57" t="s">
        <v>25</v>
      </c>
      <c r="G1962" s="57" t="s">
        <v>25</v>
      </c>
      <c r="H1962" s="57" t="s">
        <v>25</v>
      </c>
      <c r="I1962" s="82">
        <v>44440</v>
      </c>
      <c r="J1962" s="83">
        <f>EFEITO!$J$1962*EFEITO!$Y$1666</f>
        <v>0</v>
      </c>
      <c r="K1962" s="83">
        <f ca="1">EFEITO!$L$1962*EFEITO!$Z$1915</f>
        <v>-23952.400861714003</v>
      </c>
      <c r="L1962" s="83">
        <f>EFEITO!$N$1962*EFEITO!$AA$1915</f>
        <v>-15474.101824007628</v>
      </c>
      <c r="M1962" s="83">
        <f>$J$1962-EFEITO!$K$1962*EFEITO!$Y$1962</f>
        <v>0</v>
      </c>
      <c r="N1962" s="83">
        <f ca="1">$K$1962-EFEITO!$M$1962*EFEITO!$Z$1962</f>
        <v>0</v>
      </c>
      <c r="O1962" s="83">
        <f>$L$1962-EFEITO!$O$1962*EFEITO!$AA$1962</f>
        <v>0</v>
      </c>
      <c r="P1962" s="61"/>
      <c r="Q1962" s="61"/>
      <c r="R1962" s="61"/>
      <c r="S1962" s="61"/>
      <c r="T1962" s="61"/>
      <c r="U1962" s="61"/>
      <c r="V1962" s="61"/>
      <c r="W1962" s="61"/>
      <c r="X1962" s="6"/>
      <c r="Y1962" s="6"/>
      <c r="Z1962" s="6"/>
      <c r="AA1962" s="6"/>
      <c r="AB1962" s="6"/>
      <c r="AC1962" s="6"/>
      <c r="AD1962" s="6"/>
      <c r="AE1962" s="6"/>
      <c r="AF1962" s="6"/>
      <c r="AG1962" s="6"/>
      <c r="AH1962" s="6"/>
      <c r="AI1962" s="6"/>
      <c r="AJ1962" s="6"/>
    </row>
    <row r="1963" spans="1:36" ht="11.25" customHeight="1" x14ac:dyDescent="0.2">
      <c r="A1963" s="57" t="s">
        <v>28</v>
      </c>
      <c r="B1963" s="57" t="s">
        <v>22</v>
      </c>
      <c r="C1963" s="57" t="s">
        <v>23</v>
      </c>
      <c r="D1963" s="57" t="s">
        <v>24</v>
      </c>
      <c r="E1963" s="57" t="s">
        <v>34</v>
      </c>
      <c r="F1963" s="57" t="s">
        <v>25</v>
      </c>
      <c r="G1963" s="57" t="s">
        <v>25</v>
      </c>
      <c r="H1963" s="57" t="s">
        <v>25</v>
      </c>
      <c r="I1963" s="82">
        <v>44440</v>
      </c>
      <c r="J1963" s="83">
        <f>EFEITO!$J$1963*EFEITO!$Y$1666</f>
        <v>0</v>
      </c>
      <c r="K1963" s="83">
        <f ca="1">EFEITO!$L$1963*EFEITO!$Z$1915</f>
        <v>1691382.414054892</v>
      </c>
      <c r="L1963" s="83">
        <f>EFEITO!$N$1963*EFEITO!$AA$1915</f>
        <v>1092693.1228950864</v>
      </c>
      <c r="M1963" s="83">
        <f>$J$1963-EFEITO!$K$1963*EFEITO!$Y$1963</f>
        <v>0</v>
      </c>
      <c r="N1963" s="83">
        <f ca="1">$K$1963-EFEITO!$M$1963*EFEITO!$Z$1963</f>
        <v>0</v>
      </c>
      <c r="O1963" s="83">
        <f>$L$1963-EFEITO!$O$1963*EFEITO!$AA$1963</f>
        <v>0</v>
      </c>
      <c r="P1963" s="61"/>
      <c r="Q1963" s="61"/>
      <c r="R1963" s="61"/>
      <c r="S1963" s="61"/>
      <c r="T1963" s="61"/>
      <c r="U1963" s="61"/>
      <c r="V1963" s="61"/>
      <c r="W1963" s="61"/>
      <c r="X1963" s="6"/>
      <c r="Y1963" s="6"/>
      <c r="Z1963" s="6"/>
      <c r="AA1963" s="6"/>
      <c r="AB1963" s="6"/>
      <c r="AC1963" s="6"/>
      <c r="AD1963" s="6"/>
      <c r="AE1963" s="6"/>
      <c r="AF1963" s="6"/>
      <c r="AG1963" s="6"/>
      <c r="AH1963" s="6"/>
      <c r="AI1963" s="6"/>
      <c r="AJ1963" s="6"/>
    </row>
    <row r="1964" spans="1:36" ht="11.25" customHeight="1" x14ac:dyDescent="0.2">
      <c r="A1964" s="57" t="s">
        <v>29</v>
      </c>
      <c r="B1964" s="57" t="s">
        <v>22</v>
      </c>
      <c r="C1964" s="57" t="s">
        <v>23</v>
      </c>
      <c r="D1964" s="57" t="s">
        <v>24</v>
      </c>
      <c r="E1964" s="57" t="s">
        <v>34</v>
      </c>
      <c r="F1964" s="57" t="s">
        <v>25</v>
      </c>
      <c r="G1964" s="57" t="s">
        <v>25</v>
      </c>
      <c r="H1964" s="57" t="s">
        <v>25</v>
      </c>
      <c r="I1964" s="82">
        <v>44440</v>
      </c>
      <c r="J1964" s="83">
        <f>EFEITO!$J$1964*EFEITO!$Y$1666</f>
        <v>0</v>
      </c>
      <c r="K1964" s="83">
        <f ca="1">EFEITO!$L$1964*EFEITO!$Z$1915</f>
        <v>-106645.82674608531</v>
      </c>
      <c r="L1964" s="83">
        <f>EFEITO!$N$1964*EFEITO!$AA$1915</f>
        <v>-68896.992485299896</v>
      </c>
      <c r="M1964" s="83">
        <f>$J$1964-EFEITO!$K$1964*EFEITO!$Y$1964</f>
        <v>0</v>
      </c>
      <c r="N1964" s="83">
        <f ca="1">$K$1964-EFEITO!$M$1964*EFEITO!$Z$1964</f>
        <v>0</v>
      </c>
      <c r="O1964" s="83">
        <f>$L$1964-EFEITO!$O$1964*EFEITO!$AA$1964</f>
        <v>0</v>
      </c>
      <c r="P1964" s="61"/>
      <c r="Q1964" s="61"/>
      <c r="R1964" s="61"/>
      <c r="S1964" s="61"/>
      <c r="T1964" s="61"/>
      <c r="U1964" s="61"/>
      <c r="V1964" s="61"/>
      <c r="W1964" s="61"/>
      <c r="X1964" s="6"/>
      <c r="Y1964" s="6"/>
      <c r="Z1964" s="6"/>
      <c r="AA1964" s="6"/>
      <c r="AB1964" s="6"/>
      <c r="AC1964" s="6"/>
      <c r="AD1964" s="6"/>
      <c r="AE1964" s="6"/>
      <c r="AF1964" s="6"/>
      <c r="AG1964" s="6"/>
      <c r="AH1964" s="6"/>
      <c r="AI1964" s="6"/>
      <c r="AJ1964" s="6"/>
    </row>
    <row r="1965" spans="1:36" ht="11.25" customHeight="1" x14ac:dyDescent="0.2">
      <c r="A1965" s="57" t="s">
        <v>30</v>
      </c>
      <c r="B1965" s="57" t="s">
        <v>22</v>
      </c>
      <c r="C1965" s="57" t="s">
        <v>23</v>
      </c>
      <c r="D1965" s="57" t="s">
        <v>24</v>
      </c>
      <c r="E1965" s="57" t="s">
        <v>34</v>
      </c>
      <c r="F1965" s="57" t="s">
        <v>25</v>
      </c>
      <c r="G1965" s="57" t="s">
        <v>25</v>
      </c>
      <c r="H1965" s="57" t="s">
        <v>25</v>
      </c>
      <c r="I1965" s="82">
        <v>44440</v>
      </c>
      <c r="J1965" s="83">
        <f>EFEITO!$J$1965*EFEITO!$Y$1666</f>
        <v>0</v>
      </c>
      <c r="K1965" s="83">
        <f ca="1">EFEITO!$L$1965*EFEITO!$Z$1915</f>
        <v>415.87543462123955</v>
      </c>
      <c r="L1965" s="83">
        <f>EFEITO!$N$1965*EFEITO!$AA$1915</f>
        <v>268.6703040161122</v>
      </c>
      <c r="M1965" s="83">
        <f>$J$1965-EFEITO!$K$1965*EFEITO!$Y$1965</f>
        <v>0</v>
      </c>
      <c r="N1965" s="83">
        <f ca="1">$K$1965-EFEITO!$M$1965*EFEITO!$Z$1965</f>
        <v>0</v>
      </c>
      <c r="O1965" s="83">
        <f>$L$1965-EFEITO!$O$1965*EFEITO!$AA$1965</f>
        <v>0</v>
      </c>
      <c r="P1965" s="61"/>
      <c r="Q1965" s="61"/>
      <c r="R1965" s="61"/>
      <c r="S1965" s="61"/>
      <c r="T1965" s="61"/>
      <c r="U1965" s="61"/>
      <c r="V1965" s="61"/>
      <c r="W1965" s="61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</row>
    <row r="1966" spans="1:36" ht="11.25" customHeight="1" x14ac:dyDescent="0.2">
      <c r="A1966" s="57" t="s">
        <v>59</v>
      </c>
      <c r="B1966" s="57" t="s">
        <v>22</v>
      </c>
      <c r="C1966" s="57" t="s">
        <v>23</v>
      </c>
      <c r="D1966" s="57" t="s">
        <v>24</v>
      </c>
      <c r="E1966" s="57" t="s">
        <v>34</v>
      </c>
      <c r="F1966" s="57" t="s">
        <v>25</v>
      </c>
      <c r="G1966" s="57" t="s">
        <v>25</v>
      </c>
      <c r="H1966" s="57" t="s">
        <v>25</v>
      </c>
      <c r="I1966" s="82">
        <v>44470</v>
      </c>
      <c r="J1966" s="83">
        <f>EFEITO!$J$1966*EFEITO!$Y$1666</f>
        <v>0</v>
      </c>
      <c r="K1966" s="83">
        <f ca="1">EFEITO!$L$1966*EFEITO!$Z$1915</f>
        <v>2110211.7603638559</v>
      </c>
      <c r="L1966" s="83">
        <f>EFEITO!$N$1966*EFEITO!$AA$1915</f>
        <v>1363271.7587940386</v>
      </c>
      <c r="M1966" s="83">
        <f>$J$1966-EFEITO!$K$1966*EFEITO!$Y$1966</f>
        <v>0</v>
      </c>
      <c r="N1966" s="83">
        <f ca="1">$K$1966-EFEITO!$M$1966*EFEITO!$Z$1966</f>
        <v>0</v>
      </c>
      <c r="O1966" s="83">
        <f>$L$1966-EFEITO!$O$1966*EFEITO!$AA$1966</f>
        <v>0</v>
      </c>
      <c r="P1966" s="61"/>
      <c r="Q1966" s="61"/>
      <c r="R1966" s="61"/>
      <c r="S1966" s="61"/>
      <c r="T1966" s="61"/>
      <c r="U1966" s="61"/>
      <c r="V1966" s="61"/>
      <c r="W1966" s="61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</row>
    <row r="1967" spans="1:36" ht="11.25" customHeight="1" x14ac:dyDescent="0.2">
      <c r="A1967" s="57" t="s">
        <v>59</v>
      </c>
      <c r="B1967" s="57" t="s">
        <v>22</v>
      </c>
      <c r="C1967" s="57" t="s">
        <v>23</v>
      </c>
      <c r="D1967" s="57" t="s">
        <v>24</v>
      </c>
      <c r="E1967" s="57" t="s">
        <v>34</v>
      </c>
      <c r="F1967" s="57" t="s">
        <v>25</v>
      </c>
      <c r="G1967" s="57" t="s">
        <v>25</v>
      </c>
      <c r="H1967" s="57" t="s">
        <v>25</v>
      </c>
      <c r="I1967" s="82">
        <v>44470</v>
      </c>
      <c r="J1967" s="83">
        <f>EFEITO!$J$1967*EFEITO!$Y$1666</f>
        <v>0</v>
      </c>
      <c r="K1967" s="83">
        <f ca="1">EFEITO!$L$1967*EFEITO!$Z$1915</f>
        <v>-23952.400861714003</v>
      </c>
      <c r="L1967" s="83">
        <f>EFEITO!$N$1967*EFEITO!$AA$1915</f>
        <v>-15474.101824007628</v>
      </c>
      <c r="M1967" s="83">
        <f>$J$1967-EFEITO!$K$1967*EFEITO!$Y$1967</f>
        <v>0</v>
      </c>
      <c r="N1967" s="83">
        <f ca="1">$K$1967-EFEITO!$M$1967*EFEITO!$Z$1967</f>
        <v>0</v>
      </c>
      <c r="O1967" s="83">
        <f>$L$1967-EFEITO!$O$1967*EFEITO!$AA$1967</f>
        <v>0</v>
      </c>
      <c r="P1967" s="61"/>
      <c r="Q1967" s="61"/>
      <c r="R1967" s="61"/>
      <c r="S1967" s="61"/>
      <c r="T1967" s="61"/>
      <c r="U1967" s="61"/>
      <c r="V1967" s="61"/>
      <c r="W1967" s="61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</row>
    <row r="1968" spans="1:36" ht="11.25" customHeight="1" x14ac:dyDescent="0.2">
      <c r="A1968" s="57" t="s">
        <v>59</v>
      </c>
      <c r="B1968" s="57" t="s">
        <v>22</v>
      </c>
      <c r="C1968" s="57" t="s">
        <v>23</v>
      </c>
      <c r="D1968" s="57" t="s">
        <v>24</v>
      </c>
      <c r="E1968" s="57" t="s">
        <v>34</v>
      </c>
      <c r="F1968" s="57" t="s">
        <v>25</v>
      </c>
      <c r="G1968" s="57" t="s">
        <v>25</v>
      </c>
      <c r="H1968" s="57" t="s">
        <v>25</v>
      </c>
      <c r="I1968" s="82">
        <v>44470</v>
      </c>
      <c r="J1968" s="83">
        <f>EFEITO!$J$1968*EFEITO!$Y$1666</f>
        <v>0</v>
      </c>
      <c r="K1968" s="83">
        <f ca="1">EFEITO!$L$1968*EFEITO!$Z$1915</f>
        <v>1691382.414054892</v>
      </c>
      <c r="L1968" s="83">
        <f>EFEITO!$N$1968*EFEITO!$AA$1915</f>
        <v>1092693.1228950864</v>
      </c>
      <c r="M1968" s="83">
        <f>$J$1968-EFEITO!$K$1968*EFEITO!$Y$1968</f>
        <v>0</v>
      </c>
      <c r="N1968" s="83">
        <f ca="1">$K$1968-EFEITO!$M$1968*EFEITO!$Z$1968</f>
        <v>0</v>
      </c>
      <c r="O1968" s="83">
        <f>$L$1968-EFEITO!$O$1968*EFEITO!$AA$1968</f>
        <v>0</v>
      </c>
      <c r="P1968" s="61"/>
      <c r="Q1968" s="61"/>
      <c r="R1968" s="61"/>
      <c r="S1968" s="61"/>
      <c r="T1968" s="61"/>
      <c r="U1968" s="61"/>
      <c r="V1968" s="61"/>
      <c r="W1968" s="61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</row>
    <row r="1969" spans="1:36" ht="11.25" customHeight="1" x14ac:dyDescent="0.2">
      <c r="A1969" s="57" t="s">
        <v>59</v>
      </c>
      <c r="B1969" s="57" t="s">
        <v>22</v>
      </c>
      <c r="C1969" s="57" t="s">
        <v>23</v>
      </c>
      <c r="D1969" s="57" t="s">
        <v>24</v>
      </c>
      <c r="E1969" s="57" t="s">
        <v>34</v>
      </c>
      <c r="F1969" s="57" t="s">
        <v>25</v>
      </c>
      <c r="G1969" s="57" t="s">
        <v>25</v>
      </c>
      <c r="H1969" s="57" t="s">
        <v>25</v>
      </c>
      <c r="I1969" s="82">
        <v>44470</v>
      </c>
      <c r="J1969" s="83">
        <f>EFEITO!$J$1969*EFEITO!$Y$1666</f>
        <v>0</v>
      </c>
      <c r="K1969" s="83">
        <f ca="1">EFEITO!$L$1969*EFEITO!$Z$1915</f>
        <v>-106645.82674608531</v>
      </c>
      <c r="L1969" s="83">
        <f>EFEITO!$N$1969*EFEITO!$AA$1915</f>
        <v>-68896.992485299896</v>
      </c>
      <c r="M1969" s="83">
        <f>$J$1969-EFEITO!$K$1969*EFEITO!$Y$1969</f>
        <v>0</v>
      </c>
      <c r="N1969" s="83">
        <f ca="1">$K$1969-EFEITO!$M$1969*EFEITO!$Z$1969</f>
        <v>0</v>
      </c>
      <c r="O1969" s="83">
        <f>$L$1969-EFEITO!$O$1969*EFEITO!$AA$1969</f>
        <v>0</v>
      </c>
      <c r="P1969" s="61"/>
      <c r="Q1969" s="61"/>
      <c r="R1969" s="61"/>
      <c r="S1969" s="61"/>
      <c r="T1969" s="61"/>
      <c r="U1969" s="61"/>
      <c r="V1969" s="61"/>
      <c r="W1969" s="61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</row>
    <row r="1970" spans="1:36" ht="11.25" customHeight="1" x14ac:dyDescent="0.2">
      <c r="A1970" s="57" t="s">
        <v>59</v>
      </c>
      <c r="B1970" s="57" t="s">
        <v>22</v>
      </c>
      <c r="C1970" s="57" t="s">
        <v>23</v>
      </c>
      <c r="D1970" s="57" t="s">
        <v>24</v>
      </c>
      <c r="E1970" s="57" t="s">
        <v>34</v>
      </c>
      <c r="F1970" s="57" t="s">
        <v>25</v>
      </c>
      <c r="G1970" s="57" t="s">
        <v>25</v>
      </c>
      <c r="H1970" s="57" t="s">
        <v>25</v>
      </c>
      <c r="I1970" s="82">
        <v>44470</v>
      </c>
      <c r="J1970" s="83">
        <f>EFEITO!$J$1970*EFEITO!$Y$1666</f>
        <v>0</v>
      </c>
      <c r="K1970" s="83">
        <f ca="1">EFEITO!$L$1970*EFEITO!$Z$1915</f>
        <v>415.87543462123955</v>
      </c>
      <c r="L1970" s="83">
        <f>EFEITO!$N$1970*EFEITO!$AA$1915</f>
        <v>268.6703040161122</v>
      </c>
      <c r="M1970" s="83">
        <f>$J$1970-EFEITO!$K$1970*EFEITO!$Y$1970</f>
        <v>0</v>
      </c>
      <c r="N1970" s="83">
        <f ca="1">$K$1970-EFEITO!$M$1970*EFEITO!$Z$1970</f>
        <v>0</v>
      </c>
      <c r="O1970" s="83">
        <f>$L$1970-EFEITO!$O$1970*EFEITO!$AA$1970</f>
        <v>0</v>
      </c>
      <c r="P1970" s="61"/>
      <c r="Q1970" s="61"/>
      <c r="R1970" s="61"/>
      <c r="S1970" s="61"/>
      <c r="T1970" s="61"/>
      <c r="U1970" s="61"/>
      <c r="V1970" s="61"/>
      <c r="W1970" s="61"/>
      <c r="X1970" s="6"/>
      <c r="Y1970" s="6"/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  <c r="AJ1970" s="6"/>
    </row>
    <row r="1971" spans="1:36" ht="11.25" customHeight="1" x14ac:dyDescent="0.2">
      <c r="A1971" s="57" t="s">
        <v>21</v>
      </c>
      <c r="B1971" s="57" t="s">
        <v>46</v>
      </c>
      <c r="C1971" s="57" t="s">
        <v>39</v>
      </c>
      <c r="D1971" s="57" t="s">
        <v>47</v>
      </c>
      <c r="E1971" s="57" t="s">
        <v>25</v>
      </c>
      <c r="F1971" s="57" t="s">
        <v>25</v>
      </c>
      <c r="G1971" s="57" t="s">
        <v>25</v>
      </c>
      <c r="H1971" s="57" t="s">
        <v>38</v>
      </c>
      <c r="I1971" s="82">
        <v>44136</v>
      </c>
      <c r="J1971" s="83">
        <f>EFEITO!$J$1971*EFEITO!$Y$1971/(1-CUSTOS!$M$38)</f>
        <v>0</v>
      </c>
      <c r="K1971" s="83">
        <f ca="1">EFEITO!$L$1971*EFEITO!$Z$1971/(1-CUSTOS!$M$38)</f>
        <v>39.928525234727921</v>
      </c>
      <c r="L1971" s="83">
        <f>EFEITO!$N$1971*EFEITO!$AA$1971/(1-CUSTOS!$M$38)</f>
        <v>27.72590517226817</v>
      </c>
      <c r="M1971" s="83">
        <f>$J$1971-EFEITO!$K$1971*EFEITO!$Y$1971</f>
        <v>0</v>
      </c>
      <c r="N1971" s="83">
        <f ca="1">$K$1971-EFEITO!$M$1971*EFEITO!$Z$1971</f>
        <v>4.7914230281673511</v>
      </c>
      <c r="O1971" s="83">
        <f>$L$1971-EFEITO!$O$1971*EFEITO!$AA$1971</f>
        <v>3.3271086206721812</v>
      </c>
      <c r="P1971" s="61"/>
      <c r="Q1971" s="61"/>
      <c r="R1971" s="61"/>
      <c r="S1971" s="61"/>
      <c r="T1971" s="61"/>
      <c r="U1971" s="61"/>
      <c r="V1971" s="61"/>
      <c r="W1971" s="61"/>
      <c r="X1971" s="6"/>
      <c r="Y1971" s="6"/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  <c r="AJ1971" s="6"/>
    </row>
    <row r="1972" spans="1:36" ht="11.25" customHeight="1" x14ac:dyDescent="0.2">
      <c r="A1972" s="57" t="s">
        <v>21</v>
      </c>
      <c r="B1972" s="57" t="s">
        <v>46</v>
      </c>
      <c r="C1972" s="57" t="s">
        <v>39</v>
      </c>
      <c r="D1972" s="57" t="s">
        <v>47</v>
      </c>
      <c r="E1972" s="57" t="s">
        <v>25</v>
      </c>
      <c r="F1972" s="57" t="s">
        <v>25</v>
      </c>
      <c r="G1972" s="57" t="s">
        <v>25</v>
      </c>
      <c r="H1972" s="57" t="s">
        <v>38</v>
      </c>
      <c r="I1972" s="82">
        <v>44166</v>
      </c>
      <c r="J1972" s="83">
        <f>EFEITO!$J$1972*EFEITO!$Y$1972/(1-CUSTOS!$M$38)</f>
        <v>0</v>
      </c>
      <c r="K1972" s="83">
        <f ca="1">EFEITO!$L$1972*EFEITO!$Z$1972/(1-CUSTOS!$M$38)</f>
        <v>23.223734065096853</v>
      </c>
      <c r="L1972" s="83">
        <f>EFEITO!$N$1972*EFEITO!$AA$1972/(1-CUSTOS!$M$38)</f>
        <v>16.126291783870265</v>
      </c>
      <c r="M1972" s="83">
        <f>$J$1972-EFEITO!$K$1972*EFEITO!$Y$1972</f>
        <v>0</v>
      </c>
      <c r="N1972" s="83">
        <f ca="1">$K$1972-EFEITO!$M$1972*EFEITO!$Z$1972</f>
        <v>2.7868480878116237</v>
      </c>
      <c r="O1972" s="83">
        <f>$L$1972-EFEITO!$O$1972*EFEITO!$AA$1972</f>
        <v>1.9351550140644331</v>
      </c>
      <c r="P1972" s="61"/>
      <c r="Q1972" s="61"/>
      <c r="R1972" s="61"/>
      <c r="S1972" s="61"/>
      <c r="T1972" s="61"/>
      <c r="U1972" s="61"/>
      <c r="V1972" s="61"/>
      <c r="W1972" s="61"/>
      <c r="X1972" s="6"/>
      <c r="Y1972" s="6"/>
      <c r="Z1972" s="6"/>
      <c r="AA1972" s="6"/>
      <c r="AB1972" s="6"/>
      <c r="AC1972" s="6"/>
      <c r="AD1972" s="6"/>
      <c r="AE1972" s="6"/>
      <c r="AF1972" s="6"/>
      <c r="AG1972" s="6"/>
      <c r="AH1972" s="6"/>
      <c r="AI1972" s="6"/>
      <c r="AJ1972" s="6"/>
    </row>
    <row r="1973" spans="1:36" ht="11.25" customHeight="1" x14ac:dyDescent="0.2">
      <c r="A1973" s="57" t="s">
        <v>21</v>
      </c>
      <c r="B1973" s="57" t="s">
        <v>46</v>
      </c>
      <c r="C1973" s="57" t="s">
        <v>39</v>
      </c>
      <c r="D1973" s="57" t="s">
        <v>47</v>
      </c>
      <c r="E1973" s="57" t="s">
        <v>25</v>
      </c>
      <c r="F1973" s="57" t="s">
        <v>25</v>
      </c>
      <c r="G1973" s="57" t="s">
        <v>25</v>
      </c>
      <c r="H1973" s="57" t="s">
        <v>38</v>
      </c>
      <c r="I1973" s="82">
        <v>44197</v>
      </c>
      <c r="J1973" s="83">
        <f>EFEITO!$J$1973*EFEITO!$Y$1973/(1-CUSTOS!$M$38)</f>
        <v>0</v>
      </c>
      <c r="K1973" s="83">
        <f ca="1">EFEITO!$L$1973*EFEITO!$Z$1973/(1-CUSTOS!$M$38)</f>
        <v>28.112941236696187</v>
      </c>
      <c r="L1973" s="83">
        <f>EFEITO!$N$1973*EFEITO!$AA$1973/(1-CUSTOS!$M$38)</f>
        <v>19.521300580474531</v>
      </c>
      <c r="M1973" s="83">
        <f>$J$1973-EFEITO!$K$1973*EFEITO!$Y$1973</f>
        <v>0</v>
      </c>
      <c r="N1973" s="83">
        <f ca="1">$K$1973-EFEITO!$M$1973*EFEITO!$Z$1973</f>
        <v>3.3735529484035425</v>
      </c>
      <c r="O1973" s="83">
        <f>$L$1973-EFEITO!$O$1973*EFEITO!$AA$1973</f>
        <v>2.3425560696569434</v>
      </c>
      <c r="P1973" s="61"/>
      <c r="Q1973" s="61"/>
      <c r="R1973" s="61"/>
      <c r="S1973" s="61"/>
      <c r="T1973" s="61"/>
      <c r="U1973" s="61"/>
      <c r="V1973" s="61"/>
      <c r="W1973" s="61"/>
      <c r="X1973" s="6"/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  <c r="AJ1973" s="6"/>
    </row>
    <row r="1974" spans="1:36" ht="11.25" customHeight="1" x14ac:dyDescent="0.2">
      <c r="A1974" s="57" t="s">
        <v>21</v>
      </c>
      <c r="B1974" s="57" t="s">
        <v>46</v>
      </c>
      <c r="C1974" s="57" t="s">
        <v>39</v>
      </c>
      <c r="D1974" s="57" t="s">
        <v>47</v>
      </c>
      <c r="E1974" s="57" t="s">
        <v>25</v>
      </c>
      <c r="F1974" s="57" t="s">
        <v>25</v>
      </c>
      <c r="G1974" s="57" t="s">
        <v>25</v>
      </c>
      <c r="H1974" s="57" t="s">
        <v>38</v>
      </c>
      <c r="I1974" s="82">
        <v>44228</v>
      </c>
      <c r="J1974" s="83">
        <f>EFEITO!$J$1974*EFEITO!$Y$1974/(1-CUSTOS!$M$38)</f>
        <v>0</v>
      </c>
      <c r="K1974" s="83">
        <f ca="1">EFEITO!$L$1974*EFEITO!$Z$1974/(1-CUSTOS!$M$38)</f>
        <v>16.297357238664457</v>
      </c>
      <c r="L1974" s="83">
        <f>EFEITO!$N$1974*EFEITO!$AA$1974/(1-CUSTOS!$M$38)</f>
        <v>11.316695988680886</v>
      </c>
      <c r="M1974" s="83">
        <f>$J$1974-EFEITO!$K$1974*EFEITO!$Y$1974</f>
        <v>0</v>
      </c>
      <c r="N1974" s="83">
        <f ca="1">$K$1974-EFEITO!$M$1974*EFEITO!$Z$1974</f>
        <v>1.9556828686397356</v>
      </c>
      <c r="O1974" s="83">
        <f>$L$1974-EFEITO!$O$1974*EFEITO!$AA$1974</f>
        <v>1.3580035186417057</v>
      </c>
      <c r="P1974" s="61"/>
      <c r="Q1974" s="61"/>
      <c r="R1974" s="61"/>
      <c r="S1974" s="61"/>
      <c r="T1974" s="61"/>
      <c r="U1974" s="61"/>
      <c r="V1974" s="61"/>
      <c r="W1974" s="61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</row>
    <row r="1975" spans="1:36" ht="11.25" customHeight="1" x14ac:dyDescent="0.2">
      <c r="A1975" s="57" t="s">
        <v>21</v>
      </c>
      <c r="B1975" s="57" t="s">
        <v>46</v>
      </c>
      <c r="C1975" s="57" t="s">
        <v>39</v>
      </c>
      <c r="D1975" s="57" t="s">
        <v>47</v>
      </c>
      <c r="E1975" s="57" t="s">
        <v>25</v>
      </c>
      <c r="F1975" s="57" t="s">
        <v>25</v>
      </c>
      <c r="G1975" s="57" t="s">
        <v>25</v>
      </c>
      <c r="H1975" s="57" t="s">
        <v>38</v>
      </c>
      <c r="I1975" s="82">
        <v>44256</v>
      </c>
      <c r="J1975" s="83">
        <f>EFEITO!$J$1975*EFEITO!$Y$1975/(1-CUSTOS!$M$38)</f>
        <v>0</v>
      </c>
      <c r="K1975" s="83">
        <f ca="1">EFEITO!$L$1975*EFEITO!$Z$1975/(1-CUSTOS!$M$38)</f>
        <v>12.22301792899834</v>
      </c>
      <c r="L1975" s="83">
        <f>EFEITO!$N$1975*EFEITO!$AA$1975/(1-CUSTOS!$M$38)</f>
        <v>8.4875219915106648</v>
      </c>
      <c r="M1975" s="83">
        <f>$J$1975-EFEITO!$K$1975*EFEITO!$Y$1975</f>
        <v>0</v>
      </c>
      <c r="N1975" s="83">
        <f ca="1">$K$1975-EFEITO!$M$1975*EFEITO!$Z$1975</f>
        <v>1.4667621514798004</v>
      </c>
      <c r="O1975" s="83">
        <f>$L$1975-EFEITO!$O$1975*EFEITO!$AA$1975</f>
        <v>1.0185026389812801</v>
      </c>
      <c r="P1975" s="61"/>
      <c r="Q1975" s="61"/>
      <c r="R1975" s="61"/>
      <c r="S1975" s="61"/>
      <c r="T1975" s="61"/>
      <c r="U1975" s="61"/>
      <c r="V1975" s="61"/>
      <c r="W1975" s="61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</row>
    <row r="1976" spans="1:36" ht="11.25" customHeight="1" x14ac:dyDescent="0.2">
      <c r="A1976" s="57" t="s">
        <v>21</v>
      </c>
      <c r="B1976" s="57" t="s">
        <v>46</v>
      </c>
      <c r="C1976" s="57" t="s">
        <v>39</v>
      </c>
      <c r="D1976" s="57" t="s">
        <v>47</v>
      </c>
      <c r="E1976" s="57" t="s">
        <v>25</v>
      </c>
      <c r="F1976" s="57" t="s">
        <v>25</v>
      </c>
      <c r="G1976" s="57" t="s">
        <v>25</v>
      </c>
      <c r="H1976" s="57" t="s">
        <v>38</v>
      </c>
      <c r="I1976" s="82">
        <v>44287</v>
      </c>
      <c r="J1976" s="83">
        <f>EFEITO!$J$1976*EFEITO!$Y$1976/(1-CUSTOS!$M$38)</f>
        <v>0</v>
      </c>
      <c r="K1976" s="83">
        <f ca="1">EFEITO!$L$1976*EFEITO!$Z$1976/(1-CUSTOS!$M$38)</f>
        <v>15.075055445764621</v>
      </c>
      <c r="L1976" s="83">
        <f>EFEITO!$N$1976*EFEITO!$AA$1976/(1-CUSTOS!$M$38)</f>
        <v>10.467943789529819</v>
      </c>
      <c r="M1976" s="83">
        <f>$J$1976-EFEITO!$K$1976*EFEITO!$Y$1976</f>
        <v>0</v>
      </c>
      <c r="N1976" s="83">
        <f ca="1">$K$1976-EFEITO!$M$1976*EFEITO!$Z$1976</f>
        <v>1.809006653491755</v>
      </c>
      <c r="O1976" s="83">
        <f>$L$1976-EFEITO!$O$1976*EFEITO!$AA$1976</f>
        <v>1.2561532547435785</v>
      </c>
      <c r="P1976" s="61"/>
      <c r="Q1976" s="61"/>
      <c r="R1976" s="61"/>
      <c r="S1976" s="61"/>
      <c r="T1976" s="61"/>
      <c r="U1976" s="61"/>
      <c r="V1976" s="61"/>
      <c r="W1976" s="61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</row>
    <row r="1977" spans="1:36" ht="11.25" customHeight="1" x14ac:dyDescent="0.2">
      <c r="A1977" s="57" t="s">
        <v>21</v>
      </c>
      <c r="B1977" s="57" t="s">
        <v>46</v>
      </c>
      <c r="C1977" s="57" t="s">
        <v>39</v>
      </c>
      <c r="D1977" s="57" t="s">
        <v>47</v>
      </c>
      <c r="E1977" s="57" t="s">
        <v>25</v>
      </c>
      <c r="F1977" s="57" t="s">
        <v>25</v>
      </c>
      <c r="G1977" s="57" t="s">
        <v>25</v>
      </c>
      <c r="H1977" s="57" t="s">
        <v>38</v>
      </c>
      <c r="I1977" s="82">
        <v>44317</v>
      </c>
      <c r="J1977" s="83">
        <f>EFEITO!$J$1977*EFEITO!$Y$1977/(1-CUSTOS!$M$38)</f>
        <v>0</v>
      </c>
      <c r="K1977" s="83">
        <f ca="1">EFEITO!$L$1977*EFEITO!$Z$1977/(1-CUSTOS!$M$38)</f>
        <v>12.22301792899834</v>
      </c>
      <c r="L1977" s="83">
        <f>EFEITO!$N$1977*EFEITO!$AA$1977/(1-CUSTOS!$M$38)</f>
        <v>8.4875219915106648</v>
      </c>
      <c r="M1977" s="83">
        <f>$J$1977-EFEITO!$K$1977*EFEITO!$Y$1977</f>
        <v>0</v>
      </c>
      <c r="N1977" s="83">
        <f ca="1">$K$1977-EFEITO!$M$1977*EFEITO!$Z$1977</f>
        <v>1.4667621514798004</v>
      </c>
      <c r="O1977" s="83">
        <f>$L$1977-EFEITO!$O$1977*EFEITO!$AA$1977</f>
        <v>1.0185026389812801</v>
      </c>
      <c r="P1977" s="61"/>
      <c r="Q1977" s="61"/>
      <c r="R1977" s="61"/>
      <c r="S1977" s="61"/>
      <c r="T1977" s="61"/>
      <c r="U1977" s="61"/>
      <c r="V1977" s="61"/>
      <c r="W1977" s="61"/>
      <c r="X1977" s="6"/>
      <c r="Y1977" s="6"/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  <c r="AJ1977" s="6"/>
    </row>
    <row r="1978" spans="1:36" ht="11.25" customHeight="1" x14ac:dyDescent="0.2">
      <c r="A1978" s="57" t="s">
        <v>21</v>
      </c>
      <c r="B1978" s="57" t="s">
        <v>46</v>
      </c>
      <c r="C1978" s="57" t="s">
        <v>39</v>
      </c>
      <c r="D1978" s="57" t="s">
        <v>47</v>
      </c>
      <c r="E1978" s="57" t="s">
        <v>25</v>
      </c>
      <c r="F1978" s="57" t="s">
        <v>25</v>
      </c>
      <c r="G1978" s="57" t="s">
        <v>25</v>
      </c>
      <c r="H1978" s="57" t="s">
        <v>38</v>
      </c>
      <c r="I1978" s="82">
        <v>44348</v>
      </c>
      <c r="J1978" s="83">
        <f>EFEITO!$J$1978*EFEITO!$Y$1978/(1-CUSTOS!$M$38)</f>
        <v>0</v>
      </c>
      <c r="K1978" s="83">
        <f ca="1">EFEITO!$L$1978*EFEITO!$Z$1978/(1-CUSTOS!$M$38)</f>
        <v>26.483205512829741</v>
      </c>
      <c r="L1978" s="83">
        <f>EFEITO!$N$1978*EFEITO!$AA$1978/(1-CUSTOS!$M$38)</f>
        <v>18.389630981606441</v>
      </c>
      <c r="M1978" s="83">
        <f>$J$1978-EFEITO!$K$1978*EFEITO!$Y$1978</f>
        <v>0</v>
      </c>
      <c r="N1978" s="83">
        <f ca="1">$K$1978-EFEITO!$M$1978*EFEITO!$Z$1978</f>
        <v>3.1779846615395684</v>
      </c>
      <c r="O1978" s="83">
        <f>$L$1978-EFEITO!$O$1978*EFEITO!$AA$1978</f>
        <v>2.2067557177927739</v>
      </c>
      <c r="P1978" s="61"/>
      <c r="Q1978" s="61"/>
      <c r="R1978" s="61"/>
      <c r="S1978" s="61"/>
      <c r="T1978" s="61"/>
      <c r="U1978" s="61"/>
      <c r="V1978" s="61"/>
      <c r="W1978" s="61"/>
      <c r="X1978" s="6"/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  <c r="AJ1978" s="6"/>
    </row>
    <row r="1979" spans="1:36" ht="11.25" customHeight="1" x14ac:dyDescent="0.2">
      <c r="A1979" s="57" t="s">
        <v>21</v>
      </c>
      <c r="B1979" s="57" t="s">
        <v>46</v>
      </c>
      <c r="C1979" s="57" t="s">
        <v>39</v>
      </c>
      <c r="D1979" s="57" t="s">
        <v>47</v>
      </c>
      <c r="E1979" s="57" t="s">
        <v>25</v>
      </c>
      <c r="F1979" s="57" t="s">
        <v>25</v>
      </c>
      <c r="G1979" s="57" t="s">
        <v>25</v>
      </c>
      <c r="H1979" s="57" t="s">
        <v>38</v>
      </c>
      <c r="I1979" s="82">
        <v>44378</v>
      </c>
      <c r="J1979" s="83">
        <f>EFEITO!$J$1979*EFEITO!$Y$1979/(1-CUSTOS!$M$38)</f>
        <v>0</v>
      </c>
      <c r="K1979" s="83">
        <f ca="1">EFEITO!$L$1979*EFEITO!$Z$1979/(1-CUSTOS!$M$38)</f>
        <v>12.22301792899834</v>
      </c>
      <c r="L1979" s="83">
        <f>EFEITO!$N$1979*EFEITO!$AA$1979/(1-CUSTOS!$M$38)</f>
        <v>8.4875219915106648</v>
      </c>
      <c r="M1979" s="83">
        <f>$J$1979-EFEITO!$K$1979*EFEITO!$Y$1979</f>
        <v>0</v>
      </c>
      <c r="N1979" s="83">
        <f ca="1">$K$1979-EFEITO!$M$1979*EFEITO!$Z$1979</f>
        <v>1.4667621514798004</v>
      </c>
      <c r="O1979" s="83">
        <f>$L$1979-EFEITO!$O$1979*EFEITO!$AA$1979</f>
        <v>1.0185026389812801</v>
      </c>
      <c r="P1979" s="61"/>
      <c r="Q1979" s="61"/>
      <c r="R1979" s="61"/>
      <c r="S1979" s="61"/>
      <c r="T1979" s="61"/>
      <c r="U1979" s="61"/>
      <c r="V1979" s="61"/>
      <c r="W1979" s="61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</row>
    <row r="1980" spans="1:36" ht="11.25" customHeight="1" x14ac:dyDescent="0.2">
      <c r="A1980" s="57" t="s">
        <v>21</v>
      </c>
      <c r="B1980" s="57" t="s">
        <v>46</v>
      </c>
      <c r="C1980" s="57" t="s">
        <v>39</v>
      </c>
      <c r="D1980" s="57" t="s">
        <v>47</v>
      </c>
      <c r="E1980" s="57" t="s">
        <v>25</v>
      </c>
      <c r="F1980" s="57" t="s">
        <v>25</v>
      </c>
      <c r="G1980" s="57" t="s">
        <v>25</v>
      </c>
      <c r="H1980" s="57" t="s">
        <v>38</v>
      </c>
      <c r="I1980" s="82">
        <v>44409</v>
      </c>
      <c r="J1980" s="83">
        <f>EFEITO!$J$1980*EFEITO!$Y$1980/(1-CUSTOS!$M$38)</f>
        <v>0</v>
      </c>
      <c r="K1980" s="83">
        <f ca="1">EFEITO!$L$1980*EFEITO!$Z$1980/(1-CUSTOS!$M$38)</f>
        <v>12.22301792899834</v>
      </c>
      <c r="L1980" s="83">
        <f>EFEITO!$N$1980*EFEITO!$AA$1980/(1-CUSTOS!$M$38)</f>
        <v>8.4875219915106648</v>
      </c>
      <c r="M1980" s="83">
        <f>$J$1980-EFEITO!$K$1980*EFEITO!$Y$1980</f>
        <v>0</v>
      </c>
      <c r="N1980" s="83">
        <f ca="1">$K$1980-EFEITO!$M$1980*EFEITO!$Z$1980</f>
        <v>1.4667621514798004</v>
      </c>
      <c r="O1980" s="83">
        <f>$L$1980-EFEITO!$O$1980*EFEITO!$AA$1980</f>
        <v>1.0185026389812801</v>
      </c>
      <c r="P1980" s="61"/>
      <c r="Q1980" s="61"/>
      <c r="R1980" s="61"/>
      <c r="S1980" s="61"/>
      <c r="T1980" s="61"/>
      <c r="U1980" s="61"/>
      <c r="V1980" s="61"/>
      <c r="W1980" s="61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</row>
    <row r="1981" spans="1:36" ht="11.25" customHeight="1" x14ac:dyDescent="0.2">
      <c r="A1981" s="57" t="s">
        <v>21</v>
      </c>
      <c r="B1981" s="57" t="s">
        <v>46</v>
      </c>
      <c r="C1981" s="57" t="s">
        <v>39</v>
      </c>
      <c r="D1981" s="57" t="s">
        <v>47</v>
      </c>
      <c r="E1981" s="57" t="s">
        <v>25</v>
      </c>
      <c r="F1981" s="57" t="s">
        <v>25</v>
      </c>
      <c r="G1981" s="57" t="s">
        <v>25</v>
      </c>
      <c r="H1981" s="57" t="s">
        <v>38</v>
      </c>
      <c r="I1981" s="82">
        <v>44440</v>
      </c>
      <c r="J1981" s="83">
        <f>EFEITO!$J$1981*EFEITO!$Y$1981/(1-CUSTOS!$M$38)</f>
        <v>0</v>
      </c>
      <c r="K1981" s="83">
        <f ca="1">EFEITO!$L$1981*EFEITO!$Z$1981/(1-CUSTOS!$M$38)</f>
        <v>12.22301792899834</v>
      </c>
      <c r="L1981" s="83">
        <f>EFEITO!$N$1981*EFEITO!$AA$1981/(1-CUSTOS!$M$38)</f>
        <v>8.4875219915106648</v>
      </c>
      <c r="M1981" s="83">
        <f>$J$1981-EFEITO!$K$1981*EFEITO!$Y$1981</f>
        <v>0</v>
      </c>
      <c r="N1981" s="83">
        <f ca="1">$K$1981-EFEITO!$M$1981*EFEITO!$Z$1981</f>
        <v>1.4667621514798004</v>
      </c>
      <c r="O1981" s="83">
        <f>$L$1981-EFEITO!$O$1981*EFEITO!$AA$1981</f>
        <v>1.0185026389812801</v>
      </c>
      <c r="P1981" s="61"/>
      <c r="Q1981" s="61"/>
      <c r="R1981" s="61"/>
      <c r="S1981" s="61"/>
      <c r="T1981" s="61"/>
      <c r="U1981" s="61"/>
      <c r="V1981" s="61"/>
      <c r="W1981" s="61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</row>
    <row r="1982" spans="1:36" ht="11.25" customHeight="1" x14ac:dyDescent="0.2">
      <c r="A1982" s="57" t="s">
        <v>59</v>
      </c>
      <c r="B1982" s="57" t="s">
        <v>46</v>
      </c>
      <c r="C1982" s="57" t="s">
        <v>39</v>
      </c>
      <c r="D1982" s="57" t="s">
        <v>47</v>
      </c>
      <c r="E1982" s="57" t="s">
        <v>25</v>
      </c>
      <c r="F1982" s="57" t="s">
        <v>25</v>
      </c>
      <c r="G1982" s="57" t="s">
        <v>25</v>
      </c>
      <c r="H1982" s="57" t="s">
        <v>38</v>
      </c>
      <c r="I1982" s="82">
        <v>44470</v>
      </c>
      <c r="J1982" s="83">
        <f>EFEITO!$J$1982*EFEITO!$Y$1982/(1-CUSTOS!$M$38)</f>
        <v>0</v>
      </c>
      <c r="K1982" s="83">
        <f ca="1">EFEITO!$L$1982*EFEITO!$Z$1982/(1-CUSTOS!$M$38)</f>
        <v>12.22301792899834</v>
      </c>
      <c r="L1982" s="83">
        <f>EFEITO!$N$1982*EFEITO!$AA$1982/(1-CUSTOS!$M$38)</f>
        <v>8.4875219915106648</v>
      </c>
      <c r="M1982" s="83">
        <f>$J$1982-EFEITO!$K$1982*EFEITO!$Y$1982</f>
        <v>0</v>
      </c>
      <c r="N1982" s="83">
        <f ca="1">$K$1982-EFEITO!$M$1982*EFEITO!$Z$1982</f>
        <v>1.4667621514798004</v>
      </c>
      <c r="O1982" s="83">
        <f>$L$1982-EFEITO!$O$1982*EFEITO!$AA$1982</f>
        <v>1.0185026389812801</v>
      </c>
      <c r="P1982" s="61"/>
      <c r="Q1982" s="61"/>
      <c r="R1982" s="61"/>
      <c r="S1982" s="61"/>
      <c r="T1982" s="61"/>
      <c r="U1982" s="61"/>
      <c r="V1982" s="61"/>
      <c r="W1982" s="61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</row>
    <row r="1983" spans="1:36" ht="11.25" customHeight="1" x14ac:dyDescent="0.2">
      <c r="A1983" s="57" t="s">
        <v>21</v>
      </c>
      <c r="B1983" s="57" t="s">
        <v>46</v>
      </c>
      <c r="C1983" s="57" t="s">
        <v>39</v>
      </c>
      <c r="D1983" s="57" t="s">
        <v>47</v>
      </c>
      <c r="E1983" s="57" t="s">
        <v>25</v>
      </c>
      <c r="F1983" s="57" t="s">
        <v>25</v>
      </c>
      <c r="G1983" s="57" t="s">
        <v>25</v>
      </c>
      <c r="H1983" s="57" t="s">
        <v>40</v>
      </c>
      <c r="I1983" s="82">
        <v>44166</v>
      </c>
      <c r="J1983" s="83">
        <f>EFEITO!$J$1983*EFEITO!$Y$1983/(1-CUSTOS!$M$38)</f>
        <v>0</v>
      </c>
      <c r="K1983" s="83">
        <f ca="1">EFEITO!$L$1983*EFEITO!$Z$1983/(1-CUSTOS!$M$38)</f>
        <v>2.2792185560241229</v>
      </c>
      <c r="L1983" s="83">
        <f>EFEITO!$N$1983*EFEITO!$AA$1983/(1-CUSTOS!$M$38)</f>
        <v>0.84875219915106648</v>
      </c>
      <c r="M1983" s="83">
        <f>$J$1983-EFEITO!$K$1983*EFEITO!$Y$1983</f>
        <v>0</v>
      </c>
      <c r="N1983" s="83">
        <f ca="1">$K$1983-EFEITO!$M$1983*EFEITO!$Z$1983</f>
        <v>0.27350622672289493</v>
      </c>
      <c r="O1983" s="83">
        <f>$L$1983-EFEITO!$O$1983*EFEITO!$AA$1983</f>
        <v>0.10185026389812801</v>
      </c>
      <c r="P1983" s="61"/>
      <c r="Q1983" s="61"/>
      <c r="R1983" s="61"/>
      <c r="S1983" s="61"/>
      <c r="T1983" s="61"/>
      <c r="U1983" s="61"/>
      <c r="V1983" s="61"/>
      <c r="W1983" s="61"/>
      <c r="X1983" s="6"/>
      <c r="Y1983" s="6"/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  <c r="AJ1983" s="6"/>
    </row>
    <row r="1984" spans="1:36" ht="11.25" customHeight="1" x14ac:dyDescent="0.2">
      <c r="A1984" s="57" t="s">
        <v>21</v>
      </c>
      <c r="B1984" s="57" t="s">
        <v>46</v>
      </c>
      <c r="C1984" s="57" t="s">
        <v>39</v>
      </c>
      <c r="D1984" s="57" t="s">
        <v>47</v>
      </c>
      <c r="E1984" s="57" t="s">
        <v>25</v>
      </c>
      <c r="F1984" s="57" t="s">
        <v>25</v>
      </c>
      <c r="G1984" s="57" t="s">
        <v>25</v>
      </c>
      <c r="H1984" s="57" t="s">
        <v>40</v>
      </c>
      <c r="I1984" s="82">
        <v>44197</v>
      </c>
      <c r="J1984" s="83">
        <f>EFEITO!$J$1984*EFEITO!$Y$1984/(1-CUSTOS!$M$38)</f>
        <v>0</v>
      </c>
      <c r="K1984" s="83">
        <f ca="1">EFEITO!$L$1984*EFEITO!$Z$1984/(1-CUSTOS!$M$38)</f>
        <v>0.75973951867470757</v>
      </c>
      <c r="L1984" s="83">
        <f>EFEITO!$N$1984*EFEITO!$AA$1984/(1-CUSTOS!$M$38)</f>
        <v>0.28291739971702218</v>
      </c>
      <c r="M1984" s="83">
        <f>$J$1984-EFEITO!$K$1984*EFEITO!$Y$1984</f>
        <v>0</v>
      </c>
      <c r="N1984" s="83">
        <f ca="1">$K$1984-EFEITO!$M$1984*EFEITO!$Z$1984</f>
        <v>9.116874224096494E-2</v>
      </c>
      <c r="O1984" s="83">
        <f>$L$1984-EFEITO!$O$1984*EFEITO!$AA$1984</f>
        <v>3.395008796604268E-2</v>
      </c>
      <c r="P1984" s="61"/>
      <c r="Q1984" s="61"/>
      <c r="R1984" s="61"/>
      <c r="S1984" s="61"/>
      <c r="T1984" s="61"/>
      <c r="U1984" s="61"/>
      <c r="V1984" s="61"/>
      <c r="W1984" s="61"/>
      <c r="X1984" s="6"/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  <c r="AJ1984" s="6"/>
    </row>
    <row r="1985" spans="1:36" ht="11.25" customHeight="1" x14ac:dyDescent="0.2">
      <c r="A1985" s="57" t="s">
        <v>21</v>
      </c>
      <c r="B1985" s="57" t="s">
        <v>46</v>
      </c>
      <c r="C1985" s="57" t="s">
        <v>39</v>
      </c>
      <c r="D1985" s="57" t="s">
        <v>47</v>
      </c>
      <c r="E1985" s="57" t="s">
        <v>25</v>
      </c>
      <c r="F1985" s="57" t="s">
        <v>25</v>
      </c>
      <c r="G1985" s="57" t="s">
        <v>25</v>
      </c>
      <c r="H1985" s="57" t="s">
        <v>40</v>
      </c>
      <c r="I1985" s="82">
        <v>44287</v>
      </c>
      <c r="J1985" s="83">
        <f>EFEITO!$J$1985*EFEITO!$Y$1985/(1-CUSTOS!$M$38)</f>
        <v>0</v>
      </c>
      <c r="K1985" s="83">
        <f ca="1">EFEITO!$L$1985*EFEITO!$Z$1985/(1-CUSTOS!$M$38)</f>
        <v>0.75973951867470757</v>
      </c>
      <c r="L1985" s="83">
        <f>EFEITO!$N$1985*EFEITO!$AA$1985/(1-CUSTOS!$M$38)</f>
        <v>0.28291739971702218</v>
      </c>
      <c r="M1985" s="83">
        <f>$J$1985-EFEITO!$K$1985*EFEITO!$Y$1985</f>
        <v>0</v>
      </c>
      <c r="N1985" s="83">
        <f ca="1">$K$1985-EFEITO!$M$1985*EFEITO!$Z$1985</f>
        <v>9.116874224096494E-2</v>
      </c>
      <c r="O1985" s="83">
        <f>$L$1985-EFEITO!$O$1985*EFEITO!$AA$1985</f>
        <v>3.395008796604268E-2</v>
      </c>
      <c r="P1985" s="61"/>
      <c r="Q1985" s="61"/>
      <c r="R1985" s="61"/>
      <c r="S1985" s="61"/>
      <c r="T1985" s="61"/>
      <c r="U1985" s="61"/>
      <c r="V1985" s="61"/>
      <c r="W1985" s="61"/>
      <c r="X1985" s="6"/>
      <c r="Y1985" s="6"/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</row>
    <row r="1986" spans="1:36" ht="11.25" customHeight="1" x14ac:dyDescent="0.2">
      <c r="A1986" s="57" t="s">
        <v>21</v>
      </c>
      <c r="B1986" s="57" t="s">
        <v>46</v>
      </c>
      <c r="C1986" s="57" t="s">
        <v>23</v>
      </c>
      <c r="D1986" s="57" t="s">
        <v>47</v>
      </c>
      <c r="E1986" s="57" t="s">
        <v>58</v>
      </c>
      <c r="F1986" s="57" t="s">
        <v>56</v>
      </c>
      <c r="G1986" s="57" t="s">
        <v>25</v>
      </c>
      <c r="H1986" s="57" t="s">
        <v>25</v>
      </c>
      <c r="I1986" s="82">
        <v>44317</v>
      </c>
      <c r="J1986" s="83">
        <f>EFEITO!$J$1986*EFEITO!$Y$1666</f>
        <v>0</v>
      </c>
      <c r="K1986" s="83">
        <f ca="1">EFEITO!$L$1986*EFEITO!$Z$1666</f>
        <v>5717.0894778197462</v>
      </c>
      <c r="L1986" s="83">
        <f>EFEITO!$N$1986*EFEITO!$AA$1666</f>
        <v>3354.5151785728522</v>
      </c>
      <c r="M1986" s="83">
        <f>$J$1986-EFEITO!$K$1986*EFEITO!$Y$1986</f>
        <v>0</v>
      </c>
      <c r="N1986" s="83">
        <f ca="1">$K$1986-EFEITO!$M$1986*EFEITO!$Z$1986</f>
        <v>686.0507373383698</v>
      </c>
      <c r="O1986" s="83">
        <f>$L$1986-EFEITO!$O$1986*EFEITO!$AA$1986</f>
        <v>402.54182142874197</v>
      </c>
      <c r="P1986" s="61"/>
      <c r="Q1986" s="61"/>
      <c r="R1986" s="61"/>
      <c r="S1986" s="61"/>
      <c r="T1986" s="61"/>
      <c r="U1986" s="61"/>
      <c r="V1986" s="61"/>
      <c r="W1986" s="61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</row>
    <row r="1987" spans="1:36" ht="11.25" customHeight="1" x14ac:dyDescent="0.2">
      <c r="A1987" s="57" t="s">
        <v>27</v>
      </c>
      <c r="B1987" s="57" t="s">
        <v>46</v>
      </c>
      <c r="C1987" s="57" t="s">
        <v>23</v>
      </c>
      <c r="D1987" s="57" t="s">
        <v>47</v>
      </c>
      <c r="E1987" s="57" t="s">
        <v>58</v>
      </c>
      <c r="F1987" s="57" t="s">
        <v>56</v>
      </c>
      <c r="G1987" s="57" t="s">
        <v>25</v>
      </c>
      <c r="H1987" s="57" t="s">
        <v>25</v>
      </c>
      <c r="I1987" s="82">
        <v>44317</v>
      </c>
      <c r="J1987" s="83">
        <f>EFEITO!$J$1987*EFEITO!$Y$1666</f>
        <v>0</v>
      </c>
      <c r="K1987" s="83">
        <f ca="1">EFEITO!$L$1987*EFEITO!$Z$1666</f>
        <v>-2105.6029909893405</v>
      </c>
      <c r="L1987" s="83">
        <f>EFEITO!$N$1987*EFEITO!$AA$1666</f>
        <v>-1235.4673161448875</v>
      </c>
      <c r="M1987" s="83">
        <f>$J$1987-EFEITO!$K$1987*EFEITO!$Y$1987</f>
        <v>0</v>
      </c>
      <c r="N1987" s="83">
        <f ca="1">$K$1987-EFEITO!$M$1987*EFEITO!$Z$1987</f>
        <v>-252.6723589187211</v>
      </c>
      <c r="O1987" s="83">
        <f>$L$1987-EFEITO!$O$1987*EFEITO!$AA$1987</f>
        <v>-148.25607793738641</v>
      </c>
      <c r="P1987" s="61"/>
      <c r="Q1987" s="61"/>
      <c r="R1987" s="61"/>
      <c r="S1987" s="61"/>
      <c r="T1987" s="61"/>
      <c r="U1987" s="61"/>
      <c r="V1987" s="61"/>
      <c r="W1987" s="61"/>
      <c r="X1987" s="6"/>
      <c r="Y1987" s="6"/>
      <c r="Z1987" s="6"/>
      <c r="AA1987" s="6"/>
      <c r="AB1987" s="6"/>
      <c r="AC1987" s="6"/>
      <c r="AD1987" s="6"/>
      <c r="AE1987" s="6"/>
      <c r="AF1987" s="6"/>
      <c r="AG1987" s="6"/>
      <c r="AH1987" s="6"/>
      <c r="AI1987" s="6"/>
      <c r="AJ1987" s="6"/>
    </row>
    <row r="1988" spans="1:36" ht="11.25" customHeight="1" x14ac:dyDescent="0.2">
      <c r="A1988" s="57" t="s">
        <v>28</v>
      </c>
      <c r="B1988" s="57" t="s">
        <v>46</v>
      </c>
      <c r="C1988" s="57" t="s">
        <v>23</v>
      </c>
      <c r="D1988" s="57" t="s">
        <v>47</v>
      </c>
      <c r="E1988" s="57" t="s">
        <v>58</v>
      </c>
      <c r="F1988" s="57" t="s">
        <v>56</v>
      </c>
      <c r="G1988" s="57" t="s">
        <v>25</v>
      </c>
      <c r="H1988" s="57" t="s">
        <v>25</v>
      </c>
      <c r="I1988" s="82">
        <v>44317</v>
      </c>
      <c r="J1988" s="83">
        <f>EFEITO!$J$1988*EFEITO!$Y$1666</f>
        <v>0</v>
      </c>
      <c r="K1988" s="83">
        <f ca="1">EFEITO!$L$1988*EFEITO!$Z$1666</f>
        <v>9551.9512157991285</v>
      </c>
      <c r="L1988" s="83">
        <f>EFEITO!$N$1988*EFEITO!$AA$1666</f>
        <v>5604.6289747077917</v>
      </c>
      <c r="M1988" s="83">
        <f>$J$1988-EFEITO!$K$1988*EFEITO!$Y$1988</f>
        <v>0</v>
      </c>
      <c r="N1988" s="83">
        <f ca="1">$K$1988-EFEITO!$M$1988*EFEITO!$Z$1988</f>
        <v>1146.2341458958945</v>
      </c>
      <c r="O1988" s="83">
        <f>$L$1988-EFEITO!$O$1988*EFEITO!$AA$1988</f>
        <v>672.55547696493522</v>
      </c>
      <c r="P1988" s="61"/>
      <c r="Q1988" s="61"/>
      <c r="R1988" s="61"/>
      <c r="S1988" s="61"/>
      <c r="T1988" s="61"/>
      <c r="U1988" s="61"/>
      <c r="V1988" s="61"/>
      <c r="W1988" s="61"/>
      <c r="X1988" s="6"/>
      <c r="Y1988" s="6"/>
      <c r="Z1988" s="6"/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</row>
    <row r="1989" spans="1:36" ht="11.25" customHeight="1" x14ac:dyDescent="0.2">
      <c r="A1989" s="57" t="s">
        <v>29</v>
      </c>
      <c r="B1989" s="57" t="s">
        <v>46</v>
      </c>
      <c r="C1989" s="57" t="s">
        <v>23</v>
      </c>
      <c r="D1989" s="57" t="s">
        <v>47</v>
      </c>
      <c r="E1989" s="57" t="s">
        <v>58</v>
      </c>
      <c r="F1989" s="57" t="s">
        <v>56</v>
      </c>
      <c r="G1989" s="57" t="s">
        <v>25</v>
      </c>
      <c r="H1989" s="57" t="s">
        <v>25</v>
      </c>
      <c r="I1989" s="82">
        <v>44317</v>
      </c>
      <c r="J1989" s="83">
        <f>EFEITO!$J$1989*EFEITO!$Y$1666</f>
        <v>0</v>
      </c>
      <c r="K1989" s="83">
        <f ca="1">EFEITO!$L$1989*EFEITO!$Z$1666</f>
        <v>-224.38829083672786</v>
      </c>
      <c r="L1989" s="83">
        <f>EFEITO!$N$1989*EFEITO!$AA$1666</f>
        <v>-131.66033703444435</v>
      </c>
      <c r="M1989" s="83">
        <f>$J$1989-EFEITO!$K$1989*EFEITO!$Y$1989</f>
        <v>0</v>
      </c>
      <c r="N1989" s="83">
        <f ca="1">$K$1989-EFEITO!$M$1989*EFEITO!$Z$1989</f>
        <v>-26.926594900407338</v>
      </c>
      <c r="O1989" s="83">
        <f>$L$1989-EFEITO!$O$1989*EFEITO!$AA$1989</f>
        <v>-15.799240444133318</v>
      </c>
      <c r="P1989" s="61"/>
      <c r="Q1989" s="61"/>
      <c r="R1989" s="61"/>
      <c r="S1989" s="61"/>
      <c r="T1989" s="61"/>
      <c r="U1989" s="61"/>
      <c r="V1989" s="61"/>
      <c r="W1989" s="61"/>
      <c r="X1989" s="6"/>
      <c r="Y1989" s="6"/>
      <c r="Z1989" s="6"/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</row>
    <row r="1990" spans="1:36" ht="11.25" customHeight="1" x14ac:dyDescent="0.2">
      <c r="A1990" s="57" t="s">
        <v>21</v>
      </c>
      <c r="B1990" s="57" t="s">
        <v>46</v>
      </c>
      <c r="C1990" s="57" t="s">
        <v>23</v>
      </c>
      <c r="D1990" s="57" t="s">
        <v>47</v>
      </c>
      <c r="E1990" s="57" t="s">
        <v>58</v>
      </c>
      <c r="F1990" s="57" t="s">
        <v>56</v>
      </c>
      <c r="G1990" s="57" t="s">
        <v>25</v>
      </c>
      <c r="H1990" s="57" t="s">
        <v>25</v>
      </c>
      <c r="I1990" s="82">
        <v>44348</v>
      </c>
      <c r="J1990" s="83">
        <f>EFEITO!$J$1990*EFEITO!$Y$1666</f>
        <v>0</v>
      </c>
      <c r="K1990" s="83">
        <f ca="1">EFEITO!$L$1990*EFEITO!$Z$1666</f>
        <v>4866.6426599532315</v>
      </c>
      <c r="L1990" s="83">
        <f>EFEITO!$N$1990*EFEITO!$AA$1666</f>
        <v>2855.5135851623959</v>
      </c>
      <c r="M1990" s="83">
        <f>$J$1990-EFEITO!$K$1990*EFEITO!$Y$1990</f>
        <v>0</v>
      </c>
      <c r="N1990" s="83">
        <f ca="1">$K$1990-EFEITO!$M$1990*EFEITO!$Z$1990</f>
        <v>583.99711919438778</v>
      </c>
      <c r="O1990" s="83">
        <f>$L$1990-EFEITO!$O$1990*EFEITO!$AA$1990</f>
        <v>342.66163021948751</v>
      </c>
      <c r="P1990" s="61"/>
      <c r="Q1990" s="61"/>
      <c r="R1990" s="61"/>
      <c r="S1990" s="61"/>
      <c r="T1990" s="61"/>
      <c r="U1990" s="61"/>
      <c r="V1990" s="61"/>
      <c r="W1990" s="61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</row>
    <row r="1991" spans="1:36" ht="11.25" customHeight="1" x14ac:dyDescent="0.2">
      <c r="A1991" s="57" t="s">
        <v>27</v>
      </c>
      <c r="B1991" s="57" t="s">
        <v>46</v>
      </c>
      <c r="C1991" s="57" t="s">
        <v>23</v>
      </c>
      <c r="D1991" s="57" t="s">
        <v>47</v>
      </c>
      <c r="E1991" s="57" t="s">
        <v>58</v>
      </c>
      <c r="F1991" s="57" t="s">
        <v>56</v>
      </c>
      <c r="G1991" s="57" t="s">
        <v>25</v>
      </c>
      <c r="H1991" s="57" t="s">
        <v>25</v>
      </c>
      <c r="I1991" s="82">
        <v>44348</v>
      </c>
      <c r="J1991" s="83">
        <f>EFEITO!$J$1991*EFEITO!$Y$1666</f>
        <v>0</v>
      </c>
      <c r="K1991" s="83">
        <f ca="1">EFEITO!$L$1991*EFEITO!$Z$1666</f>
        <v>-532.35235591286903</v>
      </c>
      <c r="L1991" s="83">
        <f>EFEITO!$N$1991*EFEITO!$AA$1666</f>
        <v>-312.35894858510386</v>
      </c>
      <c r="M1991" s="83">
        <f>$J$1991-EFEITO!$K$1991*EFEITO!$Y$1991</f>
        <v>0</v>
      </c>
      <c r="N1991" s="83">
        <f ca="1">$K$1991-EFEITO!$M$1991*EFEITO!$Z$1991</f>
        <v>-63.882282709544313</v>
      </c>
      <c r="O1991" s="83">
        <f>$L$1991-EFEITO!$O$1991*EFEITO!$AA$1991</f>
        <v>-37.483073830212447</v>
      </c>
      <c r="P1991" s="61"/>
      <c r="Q1991" s="61"/>
      <c r="R1991" s="61"/>
      <c r="S1991" s="61"/>
      <c r="T1991" s="61"/>
      <c r="U1991" s="61"/>
      <c r="V1991" s="61"/>
      <c r="W1991" s="61"/>
      <c r="X1991" s="6"/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</row>
    <row r="1992" spans="1:36" ht="11.25" customHeight="1" x14ac:dyDescent="0.2">
      <c r="A1992" s="57" t="s">
        <v>28</v>
      </c>
      <c r="B1992" s="57" t="s">
        <v>46</v>
      </c>
      <c r="C1992" s="57" t="s">
        <v>23</v>
      </c>
      <c r="D1992" s="57" t="s">
        <v>47</v>
      </c>
      <c r="E1992" s="57" t="s">
        <v>58</v>
      </c>
      <c r="F1992" s="57" t="s">
        <v>56</v>
      </c>
      <c r="G1992" s="57" t="s">
        <v>25</v>
      </c>
      <c r="H1992" s="57" t="s">
        <v>25</v>
      </c>
      <c r="I1992" s="82">
        <v>44348</v>
      </c>
      <c r="J1992" s="83">
        <f>EFEITO!$J$1992*EFEITO!$Y$1666</f>
        <v>0</v>
      </c>
      <c r="K1992" s="83">
        <f ca="1">EFEITO!$L$1992*EFEITO!$Z$1666</f>
        <v>11679.841079918981</v>
      </c>
      <c r="L1992" s="83">
        <f>EFEITO!$N$1992*EFEITO!$AA$1666</f>
        <v>6853.1731640570033</v>
      </c>
      <c r="M1992" s="83">
        <f>$J$1992-EFEITO!$K$1992*EFEITO!$Y$1992</f>
        <v>0</v>
      </c>
      <c r="N1992" s="83">
        <f ca="1">$K$1992-EFEITO!$M$1992*EFEITO!$Z$1992</f>
        <v>1401.5809295902782</v>
      </c>
      <c r="O1992" s="83">
        <f>$L$1992-EFEITO!$O$1992*EFEITO!$AA$1992</f>
        <v>822.38077968684047</v>
      </c>
      <c r="P1992" s="61"/>
      <c r="Q1992" s="61"/>
      <c r="R1992" s="61"/>
      <c r="S1992" s="61"/>
      <c r="T1992" s="61"/>
      <c r="U1992" s="61"/>
      <c r="V1992" s="61"/>
      <c r="W1992" s="61"/>
      <c r="X1992" s="6"/>
      <c r="Y1992" s="6"/>
      <c r="Z1992" s="6"/>
      <c r="AA1992" s="6"/>
      <c r="AB1992" s="6"/>
      <c r="AC1992" s="6"/>
      <c r="AD1992" s="6"/>
      <c r="AE1992" s="6"/>
      <c r="AF1992" s="6"/>
      <c r="AG1992" s="6"/>
      <c r="AH1992" s="6"/>
      <c r="AI1992" s="6"/>
      <c r="AJ1992" s="6"/>
    </row>
    <row r="1993" spans="1:36" ht="11.25" customHeight="1" x14ac:dyDescent="0.2">
      <c r="A1993" s="57" t="s">
        <v>21</v>
      </c>
      <c r="B1993" s="57" t="s">
        <v>46</v>
      </c>
      <c r="C1993" s="57" t="s">
        <v>23</v>
      </c>
      <c r="D1993" s="57" t="s">
        <v>47</v>
      </c>
      <c r="E1993" s="57" t="s">
        <v>58</v>
      </c>
      <c r="F1993" s="57" t="s">
        <v>56</v>
      </c>
      <c r="G1993" s="57" t="s">
        <v>25</v>
      </c>
      <c r="H1993" s="57" t="s">
        <v>25</v>
      </c>
      <c r="I1993" s="82">
        <v>44378</v>
      </c>
      <c r="J1993" s="83">
        <f>EFEITO!$J$1993*EFEITO!$Y$1666</f>
        <v>0</v>
      </c>
      <c r="K1993" s="83">
        <f ca="1">EFEITO!$L$1993*EFEITO!$Z$1666</f>
        <v>5252.1042611422827</v>
      </c>
      <c r="L1993" s="83">
        <f>EFEITO!$N$1993*EFEITO!$AA$1666</f>
        <v>3081.6840512644544</v>
      </c>
      <c r="M1993" s="83">
        <f>$J$1993-EFEITO!$K$1993*EFEITO!$Y$1993</f>
        <v>0</v>
      </c>
      <c r="N1993" s="83">
        <f ca="1">$K$1993-EFEITO!$M$1993*EFEITO!$Z$1993</f>
        <v>630.25251133707388</v>
      </c>
      <c r="O1993" s="83">
        <f>$L$1993-EFEITO!$O$1993*EFEITO!$AA$1993</f>
        <v>369.80208615173387</v>
      </c>
      <c r="P1993" s="61"/>
      <c r="Q1993" s="61"/>
      <c r="R1993" s="61"/>
      <c r="S1993" s="61"/>
      <c r="T1993" s="61"/>
      <c r="U1993" s="61"/>
      <c r="V1993" s="61"/>
      <c r="W1993" s="61"/>
      <c r="X1993" s="6"/>
      <c r="Y1993" s="6"/>
      <c r="Z1993" s="6"/>
      <c r="AA1993" s="6"/>
      <c r="AB1993" s="6"/>
      <c r="AC1993" s="6"/>
      <c r="AD1993" s="6"/>
      <c r="AE1993" s="6"/>
      <c r="AF1993" s="6"/>
      <c r="AG1993" s="6"/>
      <c r="AH1993" s="6"/>
      <c r="AI1993" s="6"/>
      <c r="AJ1993" s="6"/>
    </row>
    <row r="1994" spans="1:36" ht="11.25" customHeight="1" x14ac:dyDescent="0.2">
      <c r="A1994" s="57" t="s">
        <v>27</v>
      </c>
      <c r="B1994" s="57" t="s">
        <v>46</v>
      </c>
      <c r="C1994" s="57" t="s">
        <v>23</v>
      </c>
      <c r="D1994" s="57" t="s">
        <v>47</v>
      </c>
      <c r="E1994" s="57" t="s">
        <v>58</v>
      </c>
      <c r="F1994" s="57" t="s">
        <v>56</v>
      </c>
      <c r="G1994" s="57" t="s">
        <v>25</v>
      </c>
      <c r="H1994" s="57" t="s">
        <v>25</v>
      </c>
      <c r="I1994" s="82">
        <v>44378</v>
      </c>
      <c r="J1994" s="83">
        <f>EFEITO!$J$1994*EFEITO!$Y$1666</f>
        <v>0</v>
      </c>
      <c r="K1994" s="83">
        <f ca="1">EFEITO!$L$1994*EFEITO!$Z$1666</f>
        <v>-808.91219066874578</v>
      </c>
      <c r="L1994" s="83">
        <f>EFEITO!$N$1994*EFEITO!$AA$1666</f>
        <v>-474.63105698421583</v>
      </c>
      <c r="M1994" s="83">
        <f>$J$1994-EFEITO!$K$1994*EFEITO!$Y$1994</f>
        <v>0</v>
      </c>
      <c r="N1994" s="83">
        <f ca="1">$K$1994-EFEITO!$M$1994*EFEITO!$Z$1994</f>
        <v>-97.069462880249489</v>
      </c>
      <c r="O1994" s="83">
        <f>$L$1994-EFEITO!$O$1994*EFEITO!$AA$1994</f>
        <v>-56.955726838105875</v>
      </c>
      <c r="P1994" s="61"/>
      <c r="Q1994" s="61"/>
      <c r="R1994" s="61"/>
      <c r="S1994" s="61"/>
      <c r="T1994" s="61"/>
      <c r="U1994" s="61"/>
      <c r="V1994" s="61"/>
      <c r="W1994" s="61"/>
      <c r="X1994" s="6"/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</row>
    <row r="1995" spans="1:36" ht="11.25" customHeight="1" x14ac:dyDescent="0.2">
      <c r="A1995" s="57" t="s">
        <v>28</v>
      </c>
      <c r="B1995" s="57" t="s">
        <v>46</v>
      </c>
      <c r="C1995" s="57" t="s">
        <v>23</v>
      </c>
      <c r="D1995" s="57" t="s">
        <v>47</v>
      </c>
      <c r="E1995" s="57" t="s">
        <v>58</v>
      </c>
      <c r="F1995" s="57" t="s">
        <v>56</v>
      </c>
      <c r="G1995" s="57" t="s">
        <v>25</v>
      </c>
      <c r="H1995" s="57" t="s">
        <v>25</v>
      </c>
      <c r="I1995" s="82">
        <v>44378</v>
      </c>
      <c r="J1995" s="83">
        <f>EFEITO!$J$1995*EFEITO!$Y$1666</f>
        <v>0</v>
      </c>
      <c r="K1995" s="83">
        <f ca="1">EFEITO!$L$1995*EFEITO!$Z$1666</f>
        <v>12208.647796924723</v>
      </c>
      <c r="L1995" s="83">
        <f>EFEITO!$N$1995*EFEITO!$AA$1666</f>
        <v>7163.4517009959645</v>
      </c>
      <c r="M1995" s="83">
        <f>$J$1995-EFEITO!$K$1995*EFEITO!$Y$1995</f>
        <v>0</v>
      </c>
      <c r="N1995" s="83">
        <f ca="1">$K$1995-EFEITO!$M$1995*EFEITO!$Z$1995</f>
        <v>1465.0377356309673</v>
      </c>
      <c r="O1995" s="83">
        <f>$L$1995-EFEITO!$O$1995*EFEITO!$AA$1995</f>
        <v>859.61420411951531</v>
      </c>
      <c r="P1995" s="61"/>
      <c r="Q1995" s="61"/>
      <c r="R1995" s="61"/>
      <c r="S1995" s="61"/>
      <c r="T1995" s="61"/>
      <c r="U1995" s="61"/>
      <c r="V1995" s="61"/>
      <c r="W1995" s="61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</row>
    <row r="1996" spans="1:36" ht="11.25" customHeight="1" x14ac:dyDescent="0.2">
      <c r="A1996" s="57" t="s">
        <v>21</v>
      </c>
      <c r="B1996" s="57" t="s">
        <v>46</v>
      </c>
      <c r="C1996" s="57" t="s">
        <v>23</v>
      </c>
      <c r="D1996" s="57" t="s">
        <v>47</v>
      </c>
      <c r="E1996" s="57" t="s">
        <v>58</v>
      </c>
      <c r="F1996" s="57" t="s">
        <v>56</v>
      </c>
      <c r="G1996" s="57" t="s">
        <v>25</v>
      </c>
      <c r="H1996" s="57" t="s">
        <v>25</v>
      </c>
      <c r="I1996" s="82">
        <v>44409</v>
      </c>
      <c r="J1996" s="83">
        <f>EFEITO!$J$1996*EFEITO!$Y$1666</f>
        <v>0</v>
      </c>
      <c r="K1996" s="83">
        <f ca="1">EFEITO!$L$1996*EFEITO!$Z$1666</f>
        <v>13514.962474278946</v>
      </c>
      <c r="L1996" s="83">
        <f>EFEITO!$N$1996*EFEITO!$AA$1666</f>
        <v>7929.9347917675932</v>
      </c>
      <c r="M1996" s="83">
        <f>$J$1996-EFEITO!$K$1996*EFEITO!$Y$1996</f>
        <v>0</v>
      </c>
      <c r="N1996" s="83">
        <f ca="1">$K$1996-EFEITO!$M$1996*EFEITO!$Z$1996</f>
        <v>1621.7954969134753</v>
      </c>
      <c r="O1996" s="83">
        <f>$L$1996-EFEITO!$O$1996*EFEITO!$AA$1996</f>
        <v>951.5921750121106</v>
      </c>
      <c r="P1996" s="61"/>
      <c r="Q1996" s="61"/>
      <c r="R1996" s="61"/>
      <c r="S1996" s="61"/>
      <c r="T1996" s="61"/>
      <c r="U1996" s="61"/>
      <c r="V1996" s="61"/>
      <c r="W1996" s="61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</row>
    <row r="1997" spans="1:36" ht="11.25" customHeight="1" x14ac:dyDescent="0.2">
      <c r="A1997" s="57" t="s">
        <v>28</v>
      </c>
      <c r="B1997" s="57" t="s">
        <v>46</v>
      </c>
      <c r="C1997" s="57" t="s">
        <v>23</v>
      </c>
      <c r="D1997" s="57" t="s">
        <v>47</v>
      </c>
      <c r="E1997" s="57" t="s">
        <v>58</v>
      </c>
      <c r="F1997" s="57" t="s">
        <v>56</v>
      </c>
      <c r="G1997" s="57" t="s">
        <v>25</v>
      </c>
      <c r="H1997" s="57" t="s">
        <v>25</v>
      </c>
      <c r="I1997" s="82">
        <v>44409</v>
      </c>
      <c r="J1997" s="83">
        <f>EFEITO!$J$1997*EFEITO!$Y$1666</f>
        <v>0</v>
      </c>
      <c r="K1997" s="83">
        <f ca="1">EFEITO!$L$1997*EFEITO!$Z$1666</f>
        <v>17882.176568171199</v>
      </c>
      <c r="L1997" s="83">
        <f>EFEITO!$N$1997*EFEITO!$AA$1666</f>
        <v>10492.407536487637</v>
      </c>
      <c r="M1997" s="83">
        <f>$J$1997-EFEITO!$K$1997*EFEITO!$Y$1997</f>
        <v>0</v>
      </c>
      <c r="N1997" s="83">
        <f ca="1">$K$1997-EFEITO!$M$1997*EFEITO!$Z$1997</f>
        <v>2145.8611881805446</v>
      </c>
      <c r="O1997" s="83">
        <f>$L$1997-EFEITO!$O$1997*EFEITO!$AA$1997</f>
        <v>1259.0889043785155</v>
      </c>
      <c r="P1997" s="61"/>
      <c r="Q1997" s="61"/>
      <c r="R1997" s="61"/>
      <c r="S1997" s="61"/>
      <c r="T1997" s="61"/>
      <c r="U1997" s="61"/>
      <c r="V1997" s="61"/>
      <c r="W1997" s="61"/>
      <c r="X1997" s="6"/>
      <c r="Y1997" s="6"/>
      <c r="Z1997" s="6"/>
      <c r="AA1997" s="6"/>
      <c r="AB1997" s="6"/>
      <c r="AC1997" s="6"/>
      <c r="AD1997" s="6"/>
      <c r="AE1997" s="6"/>
      <c r="AF1997" s="6"/>
      <c r="AG1997" s="6"/>
      <c r="AH1997" s="6"/>
      <c r="AI1997" s="6"/>
      <c r="AJ1997" s="6"/>
    </row>
    <row r="1998" spans="1:36" ht="11.25" customHeight="1" x14ac:dyDescent="0.2">
      <c r="A1998" s="57" t="s">
        <v>29</v>
      </c>
      <c r="B1998" s="57" t="s">
        <v>46</v>
      </c>
      <c r="C1998" s="57" t="s">
        <v>23</v>
      </c>
      <c r="D1998" s="57" t="s">
        <v>47</v>
      </c>
      <c r="E1998" s="57" t="s">
        <v>58</v>
      </c>
      <c r="F1998" s="57" t="s">
        <v>56</v>
      </c>
      <c r="G1998" s="57" t="s">
        <v>25</v>
      </c>
      <c r="H1998" s="57" t="s">
        <v>25</v>
      </c>
      <c r="I1998" s="82">
        <v>44409</v>
      </c>
      <c r="J1998" s="83">
        <f>EFEITO!$J$1998*EFEITO!$Y$1666</f>
        <v>0</v>
      </c>
      <c r="K1998" s="83">
        <f ca="1">EFEITO!$L$1998*EFEITO!$Z$1666</f>
        <v>-546.0283916975003</v>
      </c>
      <c r="L1998" s="83">
        <f>EFEITO!$N$1998*EFEITO!$AA$1666</f>
        <v>-320.38339350593907</v>
      </c>
      <c r="M1998" s="83">
        <f>$J$1998-EFEITO!$K$1998*EFEITO!$Y$1998</f>
        <v>0</v>
      </c>
      <c r="N1998" s="83">
        <f ca="1">$K$1998-EFEITO!$M$1998*EFEITO!$Z$1998</f>
        <v>-65.523407003700015</v>
      </c>
      <c r="O1998" s="83">
        <f>$L$1998-EFEITO!$O$1998*EFEITO!$AA$1998</f>
        <v>-38.446007220712659</v>
      </c>
      <c r="P1998" s="61"/>
      <c r="Q1998" s="61"/>
      <c r="R1998" s="61"/>
      <c r="S1998" s="61"/>
      <c r="T1998" s="61"/>
      <c r="U1998" s="61"/>
      <c r="V1998" s="61"/>
      <c r="W1998" s="61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</row>
    <row r="1999" spans="1:36" ht="11.25" customHeight="1" x14ac:dyDescent="0.2">
      <c r="A1999" s="57" t="s">
        <v>21</v>
      </c>
      <c r="B1999" s="57" t="s">
        <v>46</v>
      </c>
      <c r="C1999" s="57" t="s">
        <v>23</v>
      </c>
      <c r="D1999" s="57" t="s">
        <v>47</v>
      </c>
      <c r="E1999" s="57" t="s">
        <v>58</v>
      </c>
      <c r="F1999" s="57" t="s">
        <v>56</v>
      </c>
      <c r="G1999" s="57" t="s">
        <v>25</v>
      </c>
      <c r="H1999" s="57" t="s">
        <v>25</v>
      </c>
      <c r="I1999" s="82">
        <v>44440</v>
      </c>
      <c r="J1999" s="83">
        <f>EFEITO!$J$1999*EFEITO!$Y$1666</f>
        <v>0</v>
      </c>
      <c r="K1999" s="83">
        <f ca="1">EFEITO!$L$1999*EFEITO!$Z$1666</f>
        <v>9373.1497109111715</v>
      </c>
      <c r="L1999" s="83">
        <f>EFEITO!$N$1999*EFEITO!$AA$1666</f>
        <v>5499.7167874094639</v>
      </c>
      <c r="M1999" s="83">
        <f>$J$1999-EFEITO!$K$1999*EFEITO!$Y$1999</f>
        <v>0</v>
      </c>
      <c r="N1999" s="83">
        <f ca="1">$K$1999-EFEITO!$M$1999*EFEITO!$Z$1999</f>
        <v>1124.7779653093403</v>
      </c>
      <c r="O1999" s="83">
        <f>$L$1999-EFEITO!$O$1999*EFEITO!$AA$1999</f>
        <v>659.96601448913498</v>
      </c>
      <c r="P1999" s="61"/>
      <c r="Q1999" s="61"/>
      <c r="R1999" s="61"/>
      <c r="S1999" s="61"/>
      <c r="T1999" s="61"/>
      <c r="U1999" s="61"/>
      <c r="V1999" s="61"/>
      <c r="W1999" s="61"/>
      <c r="X1999" s="6"/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</row>
    <row r="2000" spans="1:36" ht="11.25" customHeight="1" x14ac:dyDescent="0.2">
      <c r="A2000" s="57" t="s">
        <v>27</v>
      </c>
      <c r="B2000" s="57" t="s">
        <v>46</v>
      </c>
      <c r="C2000" s="57" t="s">
        <v>23</v>
      </c>
      <c r="D2000" s="57" t="s">
        <v>47</v>
      </c>
      <c r="E2000" s="57" t="s">
        <v>58</v>
      </c>
      <c r="F2000" s="57" t="s">
        <v>56</v>
      </c>
      <c r="G2000" s="57" t="s">
        <v>25</v>
      </c>
      <c r="H2000" s="57" t="s">
        <v>25</v>
      </c>
      <c r="I2000" s="82">
        <v>44440</v>
      </c>
      <c r="J2000" s="83">
        <f>EFEITO!$J$2000*EFEITO!$Y$1666</f>
        <v>0</v>
      </c>
      <c r="K2000" s="83">
        <f ca="1">EFEITO!$L$2000*EFEITO!$Z$1666</f>
        <v>-998.35061227808274</v>
      </c>
      <c r="L2000" s="83">
        <f>EFEITO!$N$2000*EFEITO!$AA$1666</f>
        <v>-585.7844792209703</v>
      </c>
      <c r="M2000" s="83">
        <f>$J$2000-EFEITO!$K$2000*EFEITO!$Y$2000</f>
        <v>0</v>
      </c>
      <c r="N2000" s="83">
        <f ca="1">$K$2000-EFEITO!$M$2000*EFEITO!$Z$2000</f>
        <v>-119.80207347337</v>
      </c>
      <c r="O2000" s="83">
        <f>$L$2000-EFEITO!$O$2000*EFEITO!$AA$2000</f>
        <v>-70.294137506516449</v>
      </c>
      <c r="P2000" s="61"/>
      <c r="Q2000" s="61"/>
      <c r="R2000" s="61"/>
      <c r="S2000" s="61"/>
      <c r="T2000" s="61"/>
      <c r="U2000" s="61"/>
      <c r="V2000" s="61"/>
      <c r="W2000" s="61"/>
      <c r="X2000" s="6"/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</row>
    <row r="2001" spans="1:36" ht="11.25" customHeight="1" x14ac:dyDescent="0.2">
      <c r="A2001" s="57" t="s">
        <v>28</v>
      </c>
      <c r="B2001" s="57" t="s">
        <v>46</v>
      </c>
      <c r="C2001" s="57" t="s">
        <v>23</v>
      </c>
      <c r="D2001" s="57" t="s">
        <v>47</v>
      </c>
      <c r="E2001" s="57" t="s">
        <v>58</v>
      </c>
      <c r="F2001" s="57" t="s">
        <v>56</v>
      </c>
      <c r="G2001" s="57" t="s">
        <v>25</v>
      </c>
      <c r="H2001" s="57" t="s">
        <v>25</v>
      </c>
      <c r="I2001" s="82">
        <v>44440</v>
      </c>
      <c r="J2001" s="83">
        <f>EFEITO!$J$2001*EFEITO!$Y$1666</f>
        <v>0</v>
      </c>
      <c r="K2001" s="83">
        <f ca="1">EFEITO!$L$2001*EFEITO!$Z$1666</f>
        <v>13540.288466472706</v>
      </c>
      <c r="L2001" s="83">
        <f>EFEITO!$N$2001*EFEITO!$AA$1666</f>
        <v>7944.7948749543257</v>
      </c>
      <c r="M2001" s="83">
        <f>$J$2001-EFEITO!$K$2001*EFEITO!$Y$2001</f>
        <v>0</v>
      </c>
      <c r="N2001" s="83">
        <f ca="1">$K$2001-EFEITO!$M$2001*EFEITO!$Z$2001</f>
        <v>1624.8346159767243</v>
      </c>
      <c r="O2001" s="83">
        <f>$L$2001-EFEITO!$O$2001*EFEITO!$AA$2001</f>
        <v>953.37538499451875</v>
      </c>
      <c r="P2001" s="61"/>
      <c r="Q2001" s="61"/>
      <c r="R2001" s="61"/>
      <c r="S2001" s="61"/>
      <c r="T2001" s="61"/>
      <c r="U2001" s="61"/>
      <c r="V2001" s="61"/>
      <c r="W2001" s="61"/>
      <c r="X2001" s="6"/>
      <c r="Y2001" s="6"/>
      <c r="Z2001" s="6"/>
      <c r="AA2001" s="6"/>
      <c r="AB2001" s="6"/>
      <c r="AC2001" s="6"/>
      <c r="AD2001" s="6"/>
      <c r="AE2001" s="6"/>
      <c r="AF2001" s="6"/>
      <c r="AG2001" s="6"/>
      <c r="AH2001" s="6"/>
      <c r="AI2001" s="6"/>
      <c r="AJ2001" s="6"/>
    </row>
    <row r="2002" spans="1:36" ht="11.25" customHeight="1" x14ac:dyDescent="0.2">
      <c r="A2002" s="57" t="s">
        <v>59</v>
      </c>
      <c r="B2002" s="57" t="s">
        <v>46</v>
      </c>
      <c r="C2002" s="57" t="s">
        <v>23</v>
      </c>
      <c r="D2002" s="57" t="s">
        <v>47</v>
      </c>
      <c r="E2002" s="57" t="s">
        <v>58</v>
      </c>
      <c r="F2002" s="57" t="s">
        <v>56</v>
      </c>
      <c r="G2002" s="57" t="s">
        <v>25</v>
      </c>
      <c r="H2002" s="57" t="s">
        <v>25</v>
      </c>
      <c r="I2002" s="82">
        <v>44470</v>
      </c>
      <c r="J2002" s="83">
        <f>EFEITO!$J$2002*EFEITO!$Y$1666</f>
        <v>0</v>
      </c>
      <c r="K2002" s="83">
        <f ca="1">EFEITO!$L$2002*EFEITO!$Z$1666</f>
        <v>9373.1497109111715</v>
      </c>
      <c r="L2002" s="83">
        <f>EFEITO!$N$2002*EFEITO!$AA$1666</f>
        <v>5499.7167874094639</v>
      </c>
      <c r="M2002" s="83">
        <f>$J$2002-EFEITO!$K$2002*EFEITO!$Y$2002</f>
        <v>0</v>
      </c>
      <c r="N2002" s="83">
        <f ca="1">$K$2002-EFEITO!$M$2002*EFEITO!$Z$2002</f>
        <v>1124.7779653093403</v>
      </c>
      <c r="O2002" s="83">
        <f>$L$2002-EFEITO!$O$2002*EFEITO!$AA$2002</f>
        <v>659.96601448913498</v>
      </c>
      <c r="P2002" s="61"/>
      <c r="Q2002" s="61"/>
      <c r="R2002" s="61"/>
      <c r="S2002" s="61"/>
      <c r="T2002" s="61"/>
      <c r="U2002" s="61"/>
      <c r="V2002" s="61"/>
      <c r="W2002" s="61"/>
      <c r="X2002" s="6"/>
      <c r="Y2002" s="6"/>
      <c r="Z2002" s="6"/>
      <c r="AA2002" s="6"/>
      <c r="AB2002" s="6"/>
      <c r="AC2002" s="6"/>
      <c r="AD2002" s="6"/>
      <c r="AE2002" s="6"/>
      <c r="AF2002" s="6"/>
      <c r="AG2002" s="6"/>
      <c r="AH2002" s="6"/>
      <c r="AI2002" s="6"/>
      <c r="AJ2002" s="6"/>
    </row>
    <row r="2003" spans="1:36" ht="11.25" customHeight="1" x14ac:dyDescent="0.2">
      <c r="A2003" s="57" t="s">
        <v>59</v>
      </c>
      <c r="B2003" s="57" t="s">
        <v>46</v>
      </c>
      <c r="C2003" s="57" t="s">
        <v>23</v>
      </c>
      <c r="D2003" s="57" t="s">
        <v>47</v>
      </c>
      <c r="E2003" s="57" t="s">
        <v>58</v>
      </c>
      <c r="F2003" s="57" t="s">
        <v>56</v>
      </c>
      <c r="G2003" s="57" t="s">
        <v>25</v>
      </c>
      <c r="H2003" s="57" t="s">
        <v>25</v>
      </c>
      <c r="I2003" s="82">
        <v>44470</v>
      </c>
      <c r="J2003" s="83">
        <f>EFEITO!$J$2003*EFEITO!$Y$1666</f>
        <v>0</v>
      </c>
      <c r="K2003" s="83">
        <f ca="1">EFEITO!$L$2003*EFEITO!$Z$1666</f>
        <v>-998.35061227808274</v>
      </c>
      <c r="L2003" s="83">
        <f>EFEITO!$N$2003*EFEITO!$AA$1666</f>
        <v>-585.7844792209703</v>
      </c>
      <c r="M2003" s="83">
        <f>$J$2003-EFEITO!$K$2003*EFEITO!$Y$2003</f>
        <v>0</v>
      </c>
      <c r="N2003" s="83">
        <f ca="1">$K$2003-EFEITO!$M$2003*EFEITO!$Z$2003</f>
        <v>-119.80207347337</v>
      </c>
      <c r="O2003" s="83">
        <f>$L$2003-EFEITO!$O$2003*EFEITO!$AA$2003</f>
        <v>-70.294137506516449</v>
      </c>
      <c r="P2003" s="61"/>
      <c r="Q2003" s="61"/>
      <c r="R2003" s="61"/>
      <c r="S2003" s="61"/>
      <c r="T2003" s="61"/>
      <c r="U2003" s="61"/>
      <c r="V2003" s="61"/>
      <c r="W2003" s="61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</row>
    <row r="2004" spans="1:36" ht="11.25" customHeight="1" x14ac:dyDescent="0.2">
      <c r="A2004" s="57" t="s">
        <v>59</v>
      </c>
      <c r="B2004" s="57" t="s">
        <v>46</v>
      </c>
      <c r="C2004" s="57" t="s">
        <v>23</v>
      </c>
      <c r="D2004" s="57" t="s">
        <v>47</v>
      </c>
      <c r="E2004" s="57" t="s">
        <v>58</v>
      </c>
      <c r="F2004" s="57" t="s">
        <v>56</v>
      </c>
      <c r="G2004" s="57" t="s">
        <v>25</v>
      </c>
      <c r="H2004" s="57" t="s">
        <v>25</v>
      </c>
      <c r="I2004" s="82">
        <v>44470</v>
      </c>
      <c r="J2004" s="83">
        <f>EFEITO!$J$2004*EFEITO!$Y$1666</f>
        <v>0</v>
      </c>
      <c r="K2004" s="83">
        <f ca="1">EFEITO!$L$2004*EFEITO!$Z$1666</f>
        <v>13540.288466472706</v>
      </c>
      <c r="L2004" s="83">
        <f>EFEITO!$N$2004*EFEITO!$AA$1666</f>
        <v>7944.7948749543257</v>
      </c>
      <c r="M2004" s="83">
        <f>$J$2004-EFEITO!$K$2004*EFEITO!$Y$2004</f>
        <v>0</v>
      </c>
      <c r="N2004" s="83">
        <f ca="1">$K$2004-EFEITO!$M$2004*EFEITO!$Z$2004</f>
        <v>1624.8346159767243</v>
      </c>
      <c r="O2004" s="83">
        <f>$L$2004-EFEITO!$O$2004*EFEITO!$AA$2004</f>
        <v>953.37538499451875</v>
      </c>
      <c r="P2004" s="61"/>
      <c r="Q2004" s="61"/>
      <c r="R2004" s="61"/>
      <c r="S2004" s="61"/>
      <c r="T2004" s="61"/>
      <c r="U2004" s="61"/>
      <c r="V2004" s="61"/>
      <c r="W2004" s="61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</row>
    <row r="2005" spans="1:36" ht="11.25" customHeight="1" x14ac:dyDescent="0.2">
      <c r="A2005" s="57" t="s">
        <v>21</v>
      </c>
      <c r="B2005" s="57" t="s">
        <v>46</v>
      </c>
      <c r="C2005" s="57" t="s">
        <v>23</v>
      </c>
      <c r="D2005" s="57" t="s">
        <v>47</v>
      </c>
      <c r="E2005" s="57" t="s">
        <v>58</v>
      </c>
      <c r="F2005" s="57" t="s">
        <v>57</v>
      </c>
      <c r="G2005" s="57" t="s">
        <v>25</v>
      </c>
      <c r="H2005" s="57" t="s">
        <v>25</v>
      </c>
      <c r="I2005" s="82">
        <v>44317</v>
      </c>
      <c r="J2005" s="83">
        <f>EFEITO!$J$2005*EFEITO!$Y$1666</f>
        <v>0</v>
      </c>
      <c r="K2005" s="83">
        <f ca="1">EFEITO!$L$2005*EFEITO!$Z$1666</f>
        <v>1638.5916949363761</v>
      </c>
      <c r="L2005" s="83">
        <f>EFEITO!$N$2005*EFEITO!$AA$1666</f>
        <v>961.4473821815518</v>
      </c>
      <c r="M2005" s="83">
        <f>$J$2005-EFEITO!$K$2005*EFEITO!$Y$2005</f>
        <v>0</v>
      </c>
      <c r="N2005" s="83">
        <f ca="1">$K$2005-EFEITO!$M$2005*EFEITO!$Z$2005</f>
        <v>1162.7446667268525</v>
      </c>
      <c r="O2005" s="83">
        <f>$L$2005-EFEITO!$O$2005*EFEITO!$AA$2005</f>
        <v>682.24306239602913</v>
      </c>
      <c r="P2005" s="61"/>
      <c r="Q2005" s="61"/>
      <c r="R2005" s="61"/>
      <c r="S2005" s="61"/>
      <c r="T2005" s="61"/>
      <c r="U2005" s="61"/>
      <c r="V2005" s="61"/>
      <c r="W2005" s="61"/>
      <c r="X2005" s="6"/>
      <c r="Y2005" s="6"/>
      <c r="Z2005" s="6"/>
      <c r="AA2005" s="6"/>
      <c r="AB2005" s="6"/>
      <c r="AC2005" s="6"/>
      <c r="AD2005" s="6"/>
      <c r="AE2005" s="6"/>
      <c r="AF2005" s="6"/>
      <c r="AG2005" s="6"/>
      <c r="AH2005" s="6"/>
      <c r="AI2005" s="6"/>
      <c r="AJ2005" s="6"/>
    </row>
    <row r="2006" spans="1:36" ht="11.25" customHeight="1" x14ac:dyDescent="0.2">
      <c r="A2006" s="57" t="s">
        <v>27</v>
      </c>
      <c r="B2006" s="57" t="s">
        <v>46</v>
      </c>
      <c r="C2006" s="57" t="s">
        <v>23</v>
      </c>
      <c r="D2006" s="57" t="s">
        <v>47</v>
      </c>
      <c r="E2006" s="57" t="s">
        <v>58</v>
      </c>
      <c r="F2006" s="57" t="s">
        <v>57</v>
      </c>
      <c r="G2006" s="57" t="s">
        <v>25</v>
      </c>
      <c r="H2006" s="57" t="s">
        <v>25</v>
      </c>
      <c r="I2006" s="82">
        <v>44317</v>
      </c>
      <c r="J2006" s="83">
        <f>EFEITO!$J$2006*EFEITO!$Y$1666</f>
        <v>0</v>
      </c>
      <c r="K2006" s="83">
        <f ca="1">EFEITO!$L$2006*EFEITO!$Z$1666</f>
        <v>520.70239950373866</v>
      </c>
      <c r="L2006" s="83">
        <f>EFEITO!$N$2006*EFEITO!$AA$1666</f>
        <v>305.52331031920721</v>
      </c>
      <c r="M2006" s="83">
        <f>$J$2006-EFEITO!$K$2006*EFEITO!$Y$2006</f>
        <v>0</v>
      </c>
      <c r="N2006" s="83">
        <f ca="1">$K$2006-EFEITO!$M$2006*EFEITO!$Z$2006</f>
        <v>369.49042268785297</v>
      </c>
      <c r="O2006" s="83">
        <f>$L$2006-EFEITO!$O$2006*EFEITO!$AA$2006</f>
        <v>216.79934100250944</v>
      </c>
      <c r="P2006" s="61"/>
      <c r="Q2006" s="61"/>
      <c r="R2006" s="61"/>
      <c r="S2006" s="61"/>
      <c r="T2006" s="61"/>
      <c r="U2006" s="61"/>
      <c r="V2006" s="61"/>
      <c r="W2006" s="61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</row>
    <row r="2007" spans="1:36" ht="11.25" customHeight="1" x14ac:dyDescent="0.2">
      <c r="A2007" s="57" t="s">
        <v>28</v>
      </c>
      <c r="B2007" s="57" t="s">
        <v>46</v>
      </c>
      <c r="C2007" s="57" t="s">
        <v>23</v>
      </c>
      <c r="D2007" s="57" t="s">
        <v>47</v>
      </c>
      <c r="E2007" s="57" t="s">
        <v>58</v>
      </c>
      <c r="F2007" s="57" t="s">
        <v>57</v>
      </c>
      <c r="G2007" s="57" t="s">
        <v>25</v>
      </c>
      <c r="H2007" s="57" t="s">
        <v>25</v>
      </c>
      <c r="I2007" s="82">
        <v>44317</v>
      </c>
      <c r="J2007" s="83">
        <f>EFEITO!$J$2007*EFEITO!$Y$1666</f>
        <v>0</v>
      </c>
      <c r="K2007" s="83">
        <f ca="1">EFEITO!$L$2007*EFEITO!$Z$1666</f>
        <v>6594.3818474116479</v>
      </c>
      <c r="L2007" s="83">
        <f>EFEITO!$N$2007*EFEITO!$AA$1666</f>
        <v>3869.2684601612436</v>
      </c>
      <c r="M2007" s="83">
        <f>$J$2007-EFEITO!$K$2007*EFEITO!$Y$2007</f>
        <v>0</v>
      </c>
      <c r="N2007" s="83">
        <f ca="1">$K$2007-EFEITO!$M$2007*EFEITO!$Z$2007</f>
        <v>4679.3733589233052</v>
      </c>
      <c r="O2007" s="83">
        <f>$L$2007-EFEITO!$O$2007*EFEITO!$AA$2007</f>
        <v>2745.6328993304187</v>
      </c>
      <c r="P2007" s="61"/>
      <c r="Q2007" s="61"/>
      <c r="R2007" s="61"/>
      <c r="S2007" s="61"/>
      <c r="T2007" s="61"/>
      <c r="U2007" s="61"/>
      <c r="V2007" s="61"/>
      <c r="W2007" s="61"/>
      <c r="X2007" s="6"/>
      <c r="Y2007" s="6"/>
      <c r="Z2007" s="6"/>
      <c r="AA2007" s="6"/>
      <c r="AB2007" s="6"/>
      <c r="AC2007" s="6"/>
      <c r="AD2007" s="6"/>
      <c r="AE2007" s="6"/>
      <c r="AF2007" s="6"/>
      <c r="AG2007" s="6"/>
      <c r="AH2007" s="6"/>
      <c r="AI2007" s="6"/>
      <c r="AJ2007" s="6"/>
    </row>
    <row r="2008" spans="1:36" ht="11.25" customHeight="1" x14ac:dyDescent="0.2">
      <c r="A2008" s="57" t="s">
        <v>29</v>
      </c>
      <c r="B2008" s="57" t="s">
        <v>46</v>
      </c>
      <c r="C2008" s="57" t="s">
        <v>23</v>
      </c>
      <c r="D2008" s="57" t="s">
        <v>47</v>
      </c>
      <c r="E2008" s="57" t="s">
        <v>58</v>
      </c>
      <c r="F2008" s="57" t="s">
        <v>57</v>
      </c>
      <c r="G2008" s="57" t="s">
        <v>25</v>
      </c>
      <c r="H2008" s="57" t="s">
        <v>25</v>
      </c>
      <c r="I2008" s="82">
        <v>44317</v>
      </c>
      <c r="J2008" s="83">
        <f>EFEITO!$J$2008*EFEITO!$Y$1666</f>
        <v>0</v>
      </c>
      <c r="K2008" s="83">
        <f ca="1">EFEITO!$L$2008*EFEITO!$Z$1666</f>
        <v>223.88177099285264</v>
      </c>
      <c r="L2008" s="83">
        <f>EFEITO!$N$2008*EFEITO!$AA$1666</f>
        <v>131.3631353707097</v>
      </c>
      <c r="M2008" s="83">
        <f>$J$2008-EFEITO!$K$2008*EFEITO!$Y$2008</f>
        <v>0</v>
      </c>
      <c r="N2008" s="83">
        <f ca="1">$K$2008-EFEITO!$M$2008*EFEITO!$Z$2008</f>
        <v>158.86650469652824</v>
      </c>
      <c r="O2008" s="83">
        <f>$L$2008-EFEITO!$O$2008*EFEITO!$AA$2008</f>
        <v>93.215280859055596</v>
      </c>
      <c r="P2008" s="61"/>
      <c r="Q2008" s="61"/>
      <c r="R2008" s="61"/>
      <c r="S2008" s="61"/>
      <c r="T2008" s="61"/>
      <c r="U2008" s="61"/>
      <c r="V2008" s="61"/>
      <c r="W2008" s="61"/>
      <c r="X2008" s="6"/>
      <c r="Y2008" s="6"/>
      <c r="Z2008" s="6"/>
      <c r="AA2008" s="6"/>
      <c r="AB2008" s="6"/>
      <c r="AC2008" s="6"/>
      <c r="AD2008" s="6"/>
      <c r="AE2008" s="6"/>
      <c r="AF2008" s="6"/>
      <c r="AG2008" s="6"/>
      <c r="AH2008" s="6"/>
      <c r="AI2008" s="6"/>
      <c r="AJ2008" s="6"/>
    </row>
    <row r="2009" spans="1:36" ht="11.25" customHeight="1" x14ac:dyDescent="0.2">
      <c r="A2009" s="57" t="s">
        <v>21</v>
      </c>
      <c r="B2009" s="57" t="s">
        <v>46</v>
      </c>
      <c r="C2009" s="57" t="s">
        <v>23</v>
      </c>
      <c r="D2009" s="57" t="s">
        <v>47</v>
      </c>
      <c r="E2009" s="57" t="s">
        <v>58</v>
      </c>
      <c r="F2009" s="57" t="s">
        <v>57</v>
      </c>
      <c r="G2009" s="57" t="s">
        <v>25</v>
      </c>
      <c r="H2009" s="57" t="s">
        <v>25</v>
      </c>
      <c r="I2009" s="82">
        <v>44348</v>
      </c>
      <c r="J2009" s="83">
        <f>EFEITO!$J$2009*EFEITO!$Y$1666</f>
        <v>0</v>
      </c>
      <c r="K2009" s="83">
        <f ca="1">EFEITO!$L$2009*EFEITO!$Z$1666</f>
        <v>3235.142242831108</v>
      </c>
      <c r="L2009" s="83">
        <f>EFEITO!$N$2009*EFEITO!$AA$1666</f>
        <v>1898.2270262731286</v>
      </c>
      <c r="M2009" s="83">
        <f>$J$2009-EFEITO!$K$2009*EFEITO!$Y$2009</f>
        <v>0</v>
      </c>
      <c r="N2009" s="83">
        <f ca="1">$K$2009-EFEITO!$M$2009*EFEITO!$Z$2009</f>
        <v>2295.6569355129541</v>
      </c>
      <c r="O2009" s="83">
        <f>$L$2009-EFEITO!$O$2009*EFEITO!$AA$2009</f>
        <v>1346.9818978434118</v>
      </c>
      <c r="P2009" s="61"/>
      <c r="Q2009" s="61"/>
      <c r="R2009" s="61"/>
      <c r="S2009" s="61"/>
      <c r="T2009" s="61"/>
      <c r="U2009" s="61"/>
      <c r="V2009" s="61"/>
      <c r="W2009" s="61"/>
      <c r="X2009" s="6"/>
      <c r="Y2009" s="6"/>
      <c r="Z2009" s="6"/>
      <c r="AA2009" s="6"/>
      <c r="AB2009" s="6"/>
      <c r="AC2009" s="6"/>
      <c r="AD2009" s="6"/>
      <c r="AE2009" s="6"/>
      <c r="AF2009" s="6"/>
      <c r="AG2009" s="6"/>
      <c r="AH2009" s="6"/>
      <c r="AI2009" s="6"/>
      <c r="AJ2009" s="6"/>
    </row>
    <row r="2010" spans="1:36" ht="11.25" customHeight="1" x14ac:dyDescent="0.2">
      <c r="A2010" s="57" t="s">
        <v>27</v>
      </c>
      <c r="B2010" s="57" t="s">
        <v>46</v>
      </c>
      <c r="C2010" s="57" t="s">
        <v>23</v>
      </c>
      <c r="D2010" s="57" t="s">
        <v>47</v>
      </c>
      <c r="E2010" s="57" t="s">
        <v>58</v>
      </c>
      <c r="F2010" s="57" t="s">
        <v>57</v>
      </c>
      <c r="G2010" s="57" t="s">
        <v>25</v>
      </c>
      <c r="H2010" s="57" t="s">
        <v>25</v>
      </c>
      <c r="I2010" s="82">
        <v>44348</v>
      </c>
      <c r="J2010" s="83">
        <f>EFEITO!$J$2010*EFEITO!$Y$1666</f>
        <v>0</v>
      </c>
      <c r="K2010" s="83">
        <f ca="1">EFEITO!$L$2010*EFEITO!$Z$1666</f>
        <v>1883.7472993719884</v>
      </c>
      <c r="L2010" s="83">
        <f>EFEITO!$N$2010*EFEITO!$AA$1666</f>
        <v>1105.2929874291162</v>
      </c>
      <c r="M2010" s="83">
        <f>$J$2010-EFEITO!$K$2010*EFEITO!$Y$2010</f>
        <v>0</v>
      </c>
      <c r="N2010" s="83">
        <f ca="1">$K$2010-EFEITO!$M$2010*EFEITO!$Z$2010</f>
        <v>1336.7070836343628</v>
      </c>
      <c r="O2010" s="83">
        <f>$L$2010-EFEITO!$O$2010*EFEITO!$AA$2010</f>
        <v>784.31590387970073</v>
      </c>
      <c r="P2010" s="61"/>
      <c r="Q2010" s="61"/>
      <c r="R2010" s="61"/>
      <c r="S2010" s="61"/>
      <c r="T2010" s="61"/>
      <c r="U2010" s="61"/>
      <c r="V2010" s="61"/>
      <c r="W2010" s="61"/>
      <c r="X2010" s="6"/>
      <c r="Y2010" s="6"/>
      <c r="Z2010" s="6"/>
      <c r="AA2010" s="6"/>
      <c r="AB2010" s="6"/>
      <c r="AC2010" s="6"/>
      <c r="AD2010" s="6"/>
      <c r="AE2010" s="6"/>
      <c r="AF2010" s="6"/>
      <c r="AG2010" s="6"/>
      <c r="AH2010" s="6"/>
      <c r="AI2010" s="6"/>
      <c r="AJ2010" s="6"/>
    </row>
    <row r="2011" spans="1:36" ht="11.25" customHeight="1" x14ac:dyDescent="0.2">
      <c r="A2011" s="57" t="s">
        <v>28</v>
      </c>
      <c r="B2011" s="57" t="s">
        <v>46</v>
      </c>
      <c r="C2011" s="57" t="s">
        <v>23</v>
      </c>
      <c r="D2011" s="57" t="s">
        <v>47</v>
      </c>
      <c r="E2011" s="57" t="s">
        <v>58</v>
      </c>
      <c r="F2011" s="57" t="s">
        <v>57</v>
      </c>
      <c r="G2011" s="57" t="s">
        <v>25</v>
      </c>
      <c r="H2011" s="57" t="s">
        <v>25</v>
      </c>
      <c r="I2011" s="82">
        <v>44348</v>
      </c>
      <c r="J2011" s="83">
        <f>EFEITO!$J$2011*EFEITO!$Y$1666</f>
        <v>0</v>
      </c>
      <c r="K2011" s="83">
        <f ca="1">EFEITO!$L$2011*EFEITO!$Z$1666</f>
        <v>9407.0865404508113</v>
      </c>
      <c r="L2011" s="83">
        <f>EFEITO!$N$2011*EFEITO!$AA$1666</f>
        <v>5519.6292988796849</v>
      </c>
      <c r="M2011" s="83">
        <f>$J$2011-EFEITO!$K$2011*EFEITO!$Y$2011</f>
        <v>0</v>
      </c>
      <c r="N2011" s="83">
        <f ca="1">$K$2011-EFEITO!$M$2011*EFEITO!$Z$2011</f>
        <v>1128.8503848540968</v>
      </c>
      <c r="O2011" s="83">
        <f>$L$2011-EFEITO!$O$2011*EFEITO!$AA$2011</f>
        <v>662.35551586556176</v>
      </c>
      <c r="P2011" s="61"/>
      <c r="Q2011" s="61"/>
      <c r="R2011" s="61"/>
      <c r="S2011" s="61"/>
      <c r="T2011" s="61"/>
      <c r="U2011" s="61"/>
      <c r="V2011" s="61"/>
      <c r="W2011" s="61"/>
      <c r="X2011" s="6"/>
      <c r="Y2011" s="6"/>
      <c r="Z2011" s="6"/>
      <c r="AA2011" s="6"/>
      <c r="AB2011" s="6"/>
      <c r="AC2011" s="6"/>
      <c r="AD2011" s="6"/>
      <c r="AE2011" s="6"/>
      <c r="AF2011" s="6"/>
      <c r="AG2011" s="6"/>
      <c r="AH2011" s="6"/>
      <c r="AI2011" s="6"/>
      <c r="AJ2011" s="6"/>
    </row>
    <row r="2012" spans="1:36" ht="11.25" customHeight="1" x14ac:dyDescent="0.2">
      <c r="A2012" s="57" t="s">
        <v>21</v>
      </c>
      <c r="B2012" s="57" t="s">
        <v>46</v>
      </c>
      <c r="C2012" s="57" t="s">
        <v>23</v>
      </c>
      <c r="D2012" s="57" t="s">
        <v>47</v>
      </c>
      <c r="E2012" s="57" t="s">
        <v>58</v>
      </c>
      <c r="F2012" s="57" t="s">
        <v>57</v>
      </c>
      <c r="G2012" s="57" t="s">
        <v>25</v>
      </c>
      <c r="H2012" s="57" t="s">
        <v>25</v>
      </c>
      <c r="I2012" s="82">
        <v>44378</v>
      </c>
      <c r="J2012" s="83">
        <f>EFEITO!$J$2012*EFEITO!$Y$1666</f>
        <v>0</v>
      </c>
      <c r="K2012" s="83">
        <f ca="1">EFEITO!$L$2012*EFEITO!$Z$1666</f>
        <v>4727.3497028875418</v>
      </c>
      <c r="L2012" s="83">
        <f>EFEITO!$N$2012*EFEITO!$AA$1666</f>
        <v>2773.7831276353704</v>
      </c>
      <c r="M2012" s="83">
        <f>$J$2012-EFEITO!$K$2012*EFEITO!$Y$2012</f>
        <v>0</v>
      </c>
      <c r="N2012" s="83">
        <f ca="1">$K$2012-EFEITO!$M$2012*EFEITO!$Z$2012</f>
        <v>3354.5273491689995</v>
      </c>
      <c r="O2012" s="83">
        <f>$L$2012-EFEITO!$O$2012*EFEITO!$AA$2012</f>
        <v>1968.2765073700589</v>
      </c>
      <c r="P2012" s="61"/>
      <c r="Q2012" s="61"/>
      <c r="R2012" s="61"/>
      <c r="S2012" s="61"/>
      <c r="T2012" s="61"/>
      <c r="U2012" s="61"/>
      <c r="V2012" s="61"/>
      <c r="W2012" s="61"/>
      <c r="X2012" s="6"/>
      <c r="Y2012" s="6"/>
      <c r="Z2012" s="6"/>
      <c r="AA2012" s="6"/>
      <c r="AB2012" s="6"/>
      <c r="AC2012" s="6"/>
      <c r="AD2012" s="6"/>
      <c r="AE2012" s="6"/>
      <c r="AF2012" s="6"/>
      <c r="AG2012" s="6"/>
      <c r="AH2012" s="6"/>
      <c r="AI2012" s="6"/>
      <c r="AJ2012" s="6"/>
    </row>
    <row r="2013" spans="1:36" ht="11.25" customHeight="1" x14ac:dyDescent="0.2">
      <c r="A2013" s="57" t="s">
        <v>27</v>
      </c>
      <c r="B2013" s="57" t="s">
        <v>46</v>
      </c>
      <c r="C2013" s="57" t="s">
        <v>23</v>
      </c>
      <c r="D2013" s="57" t="s">
        <v>47</v>
      </c>
      <c r="E2013" s="57" t="s">
        <v>58</v>
      </c>
      <c r="F2013" s="57" t="s">
        <v>57</v>
      </c>
      <c r="G2013" s="57" t="s">
        <v>25</v>
      </c>
      <c r="H2013" s="57" t="s">
        <v>25</v>
      </c>
      <c r="I2013" s="82">
        <v>44378</v>
      </c>
      <c r="J2013" s="83">
        <f>EFEITO!$J$2013*EFEITO!$Y$1666</f>
        <v>0</v>
      </c>
      <c r="K2013" s="83">
        <f ca="1">EFEITO!$L$2013*EFEITO!$Z$1666</f>
        <v>-291.75543007213372</v>
      </c>
      <c r="L2013" s="83">
        <f>EFEITO!$N$2013*EFEITO!$AA$1666</f>
        <v>-171.18815831115111</v>
      </c>
      <c r="M2013" s="83">
        <f>$J$2013-EFEITO!$K$2013*EFEITO!$Y$2013</f>
        <v>0</v>
      </c>
      <c r="N2013" s="83">
        <f ca="1">$K$2013-EFEITO!$M$2013*EFEITO!$Z$2013</f>
        <v>-207.02965317918608</v>
      </c>
      <c r="O2013" s="83">
        <f>$L$2013-EFEITO!$O$2013*EFEITO!$AA$2013</f>
        <v>-121.47511713759283</v>
      </c>
      <c r="P2013" s="61"/>
      <c r="Q2013" s="61"/>
      <c r="R2013" s="61"/>
      <c r="S2013" s="61"/>
      <c r="T2013" s="61"/>
      <c r="U2013" s="61"/>
      <c r="V2013" s="61"/>
      <c r="W2013" s="61"/>
      <c r="X2013" s="6"/>
      <c r="Y2013" s="6"/>
      <c r="Z2013" s="6"/>
      <c r="AA2013" s="6"/>
      <c r="AB2013" s="6"/>
      <c r="AC2013" s="6"/>
      <c r="AD2013" s="6"/>
      <c r="AE2013" s="6"/>
      <c r="AF2013" s="6"/>
      <c r="AG2013" s="6"/>
      <c r="AH2013" s="6"/>
      <c r="AI2013" s="6"/>
      <c r="AJ2013" s="6"/>
    </row>
    <row r="2014" spans="1:36" ht="11.25" customHeight="1" x14ac:dyDescent="0.2">
      <c r="A2014" s="57" t="s">
        <v>28</v>
      </c>
      <c r="B2014" s="57" t="s">
        <v>46</v>
      </c>
      <c r="C2014" s="57" t="s">
        <v>23</v>
      </c>
      <c r="D2014" s="57" t="s">
        <v>47</v>
      </c>
      <c r="E2014" s="57" t="s">
        <v>58</v>
      </c>
      <c r="F2014" s="57" t="s">
        <v>57</v>
      </c>
      <c r="G2014" s="57" t="s">
        <v>25</v>
      </c>
      <c r="H2014" s="57" t="s">
        <v>25</v>
      </c>
      <c r="I2014" s="82">
        <v>44378</v>
      </c>
      <c r="J2014" s="83">
        <f>EFEITO!$J$2014*EFEITO!$Y$1666</f>
        <v>0</v>
      </c>
      <c r="K2014" s="83">
        <f ca="1">EFEITO!$L$2014*EFEITO!$Z$1666</f>
        <v>8829.6539184330468</v>
      </c>
      <c r="L2014" s="83">
        <f>EFEITO!$N$2014*EFEITO!$AA$1666</f>
        <v>5180.8194022221978</v>
      </c>
      <c r="M2014" s="83">
        <f>$J$2014-EFEITO!$K$2014*EFEITO!$Y$2014</f>
        <v>0</v>
      </c>
      <c r="N2014" s="83">
        <f ca="1">$K$2014-EFEITO!$M$2014*EFEITO!$Z$2014</f>
        <v>6265.5224205200902</v>
      </c>
      <c r="O2014" s="83">
        <f>$L$2014-EFEITO!$O$2014*EFEITO!$AA$2014</f>
        <v>3676.3094478168714</v>
      </c>
      <c r="P2014" s="61"/>
      <c r="Q2014" s="61"/>
      <c r="R2014" s="61"/>
      <c r="S2014" s="61"/>
      <c r="T2014" s="61"/>
      <c r="U2014" s="61"/>
      <c r="V2014" s="61"/>
      <c r="W2014" s="61"/>
      <c r="X2014" s="6"/>
      <c r="Y2014" s="6"/>
      <c r="Z2014" s="6"/>
      <c r="AA2014" s="6"/>
      <c r="AB2014" s="6"/>
      <c r="AC2014" s="6"/>
      <c r="AD2014" s="6"/>
      <c r="AE2014" s="6"/>
      <c r="AF2014" s="6"/>
      <c r="AG2014" s="6"/>
      <c r="AH2014" s="6"/>
      <c r="AI2014" s="6"/>
      <c r="AJ2014" s="6"/>
    </row>
    <row r="2015" spans="1:36" ht="11.25" customHeight="1" x14ac:dyDescent="0.2">
      <c r="A2015" s="57" t="s">
        <v>21</v>
      </c>
      <c r="B2015" s="57" t="s">
        <v>46</v>
      </c>
      <c r="C2015" s="57" t="s">
        <v>23</v>
      </c>
      <c r="D2015" s="57" t="s">
        <v>47</v>
      </c>
      <c r="E2015" s="57" t="s">
        <v>58</v>
      </c>
      <c r="F2015" s="57" t="s">
        <v>57</v>
      </c>
      <c r="G2015" s="57" t="s">
        <v>25</v>
      </c>
      <c r="H2015" s="57" t="s">
        <v>25</v>
      </c>
      <c r="I2015" s="82">
        <v>44409</v>
      </c>
      <c r="J2015" s="83">
        <f>EFEITO!$J$2015*EFEITO!$Y$1666</f>
        <v>0</v>
      </c>
      <c r="K2015" s="83">
        <f ca="1">EFEITO!$L$2015*EFEITO!$Z$1666</f>
        <v>8039.4829619876855</v>
      </c>
      <c r="L2015" s="83">
        <f>EFEITO!$N$2015*EFEITO!$AA$1666</f>
        <v>4717.1848067961637</v>
      </c>
      <c r="M2015" s="83">
        <f>$J$2015-EFEITO!$K$2015*EFEITO!$Y$2015</f>
        <v>0</v>
      </c>
      <c r="N2015" s="83">
        <f ca="1">$K$2015-EFEITO!$M$2015*EFEITO!$Z$2015</f>
        <v>5704.817109826462</v>
      </c>
      <c r="O2015" s="83">
        <f>$L$2015-EFEITO!$O$2015*EFEITO!$AA$2015</f>
        <v>3347.3143389025577</v>
      </c>
      <c r="P2015" s="61"/>
      <c r="Q2015" s="61"/>
      <c r="R2015" s="61"/>
      <c r="S2015" s="61"/>
      <c r="T2015" s="61"/>
      <c r="U2015" s="61"/>
      <c r="V2015" s="61"/>
      <c r="W2015" s="61"/>
      <c r="X2015" s="6"/>
      <c r="Y2015" s="6"/>
      <c r="Z2015" s="6"/>
      <c r="AA2015" s="6"/>
      <c r="AB2015" s="6"/>
      <c r="AC2015" s="6"/>
      <c r="AD2015" s="6"/>
      <c r="AE2015" s="6"/>
      <c r="AF2015" s="6"/>
      <c r="AG2015" s="6"/>
      <c r="AH2015" s="6"/>
      <c r="AI2015" s="6"/>
      <c r="AJ2015" s="6"/>
    </row>
    <row r="2016" spans="1:36" ht="11.25" customHeight="1" x14ac:dyDescent="0.2">
      <c r="A2016" s="57" t="s">
        <v>28</v>
      </c>
      <c r="B2016" s="57" t="s">
        <v>46</v>
      </c>
      <c r="C2016" s="57" t="s">
        <v>23</v>
      </c>
      <c r="D2016" s="57" t="s">
        <v>47</v>
      </c>
      <c r="E2016" s="57" t="s">
        <v>58</v>
      </c>
      <c r="F2016" s="57" t="s">
        <v>57</v>
      </c>
      <c r="G2016" s="57" t="s">
        <v>25</v>
      </c>
      <c r="H2016" s="57" t="s">
        <v>25</v>
      </c>
      <c r="I2016" s="82">
        <v>44409</v>
      </c>
      <c r="J2016" s="83">
        <f>EFEITO!$J$2016*EFEITO!$Y$1666</f>
        <v>0</v>
      </c>
      <c r="K2016" s="83">
        <f ca="1">EFEITO!$L$2016*EFEITO!$Z$1666</f>
        <v>8389.4881741054705</v>
      </c>
      <c r="L2016" s="83">
        <f>EFEITO!$N$2016*EFEITO!$AA$1666</f>
        <v>4922.551156436798</v>
      </c>
      <c r="M2016" s="83">
        <f>$J$2016-EFEITO!$K$2016*EFEITO!$Y$2016</f>
        <v>0</v>
      </c>
      <c r="N2016" s="83">
        <f ca="1">$K$2016-EFEITO!$M$2016*EFEITO!$Z$2016</f>
        <v>5953.1808083452415</v>
      </c>
      <c r="O2016" s="83">
        <f>$L$2016-EFEITO!$O$2016*EFEITO!$AA$2016</f>
        <v>3493.0423006075516</v>
      </c>
      <c r="P2016" s="61"/>
      <c r="Q2016" s="61"/>
      <c r="R2016" s="61"/>
      <c r="S2016" s="61"/>
      <c r="T2016" s="61"/>
      <c r="U2016" s="61"/>
      <c r="V2016" s="61"/>
      <c r="W2016" s="61"/>
      <c r="X2016" s="6"/>
      <c r="Y2016" s="6"/>
      <c r="Z2016" s="6"/>
      <c r="AA2016" s="6"/>
      <c r="AB2016" s="6"/>
      <c r="AC2016" s="6"/>
      <c r="AD2016" s="6"/>
      <c r="AE2016" s="6"/>
      <c r="AF2016" s="6"/>
      <c r="AG2016" s="6"/>
      <c r="AH2016" s="6"/>
      <c r="AI2016" s="6"/>
      <c r="AJ2016" s="6"/>
    </row>
    <row r="2017" spans="1:36" ht="11.25" customHeight="1" x14ac:dyDescent="0.2">
      <c r="A2017" s="57" t="s">
        <v>29</v>
      </c>
      <c r="B2017" s="57" t="s">
        <v>46</v>
      </c>
      <c r="C2017" s="57" t="s">
        <v>23</v>
      </c>
      <c r="D2017" s="57" t="s">
        <v>47</v>
      </c>
      <c r="E2017" s="57" t="s">
        <v>58</v>
      </c>
      <c r="F2017" s="57" t="s">
        <v>57</v>
      </c>
      <c r="G2017" s="57" t="s">
        <v>25</v>
      </c>
      <c r="H2017" s="57" t="s">
        <v>25</v>
      </c>
      <c r="I2017" s="82">
        <v>44409</v>
      </c>
      <c r="J2017" s="83">
        <f>EFEITO!$J$2017*EFEITO!$Y$1666</f>
        <v>0</v>
      </c>
      <c r="K2017" s="83">
        <f ca="1">EFEITO!$L$2017*EFEITO!$Z$1666</f>
        <v>92.186611585292255</v>
      </c>
      <c r="L2017" s="83">
        <f>EFEITO!$N$2017*EFEITO!$AA$1666</f>
        <v>54.090702799703998</v>
      </c>
      <c r="M2017" s="83">
        <f>$J$2017-EFEITO!$K$2017*EFEITO!$Y$2017</f>
        <v>0</v>
      </c>
      <c r="N2017" s="83">
        <f ca="1">$K$2017-EFEITO!$M$2017*EFEITO!$Z$2017</f>
        <v>65.415619580923391</v>
      </c>
      <c r="O2017" s="83">
        <f>$L$2017-EFEITO!$O$2017*EFEITO!$AA$2017</f>
        <v>38.382762706669951</v>
      </c>
      <c r="P2017" s="61"/>
      <c r="Q2017" s="61"/>
      <c r="R2017" s="61"/>
      <c r="S2017" s="61"/>
      <c r="T2017" s="61"/>
      <c r="U2017" s="61"/>
      <c r="V2017" s="61"/>
      <c r="W2017" s="61"/>
      <c r="X2017" s="6"/>
      <c r="Y2017" s="6"/>
      <c r="Z2017" s="6"/>
      <c r="AA2017" s="6"/>
      <c r="AB2017" s="6"/>
      <c r="AC2017" s="6"/>
      <c r="AD2017" s="6"/>
      <c r="AE2017" s="6"/>
      <c r="AF2017" s="6"/>
      <c r="AG2017" s="6"/>
      <c r="AH2017" s="6"/>
      <c r="AI2017" s="6"/>
      <c r="AJ2017" s="6"/>
    </row>
    <row r="2018" spans="1:36" ht="11.25" customHeight="1" x14ac:dyDescent="0.2">
      <c r="A2018" s="57" t="s">
        <v>21</v>
      </c>
      <c r="B2018" s="57" t="s">
        <v>46</v>
      </c>
      <c r="C2018" s="57" t="s">
        <v>23</v>
      </c>
      <c r="D2018" s="57" t="s">
        <v>47</v>
      </c>
      <c r="E2018" s="57" t="s">
        <v>58</v>
      </c>
      <c r="F2018" s="57" t="s">
        <v>57</v>
      </c>
      <c r="G2018" s="57" t="s">
        <v>25</v>
      </c>
      <c r="H2018" s="57" t="s">
        <v>25</v>
      </c>
      <c r="I2018" s="82">
        <v>44440</v>
      </c>
      <c r="J2018" s="83">
        <f>EFEITO!$J$2018*EFEITO!$Y$1666</f>
        <v>0</v>
      </c>
      <c r="K2018" s="83">
        <f ca="1">EFEITO!$L$2018*EFEITO!$Z$1666</f>
        <v>3217.4140482954749</v>
      </c>
      <c r="L2018" s="83">
        <f>EFEITO!$N$2018*EFEITO!$AA$1666</f>
        <v>1887.8249680424165</v>
      </c>
      <c r="M2018" s="83">
        <f>$J$2018-EFEITO!$K$2018*EFEITO!$Y$2018</f>
        <v>0</v>
      </c>
      <c r="N2018" s="83">
        <f ca="1">$K$2018-EFEITO!$M$2018*EFEITO!$Z$2018</f>
        <v>2283.0770086704692</v>
      </c>
      <c r="O2018" s="83">
        <f>$L$2018-EFEITO!$O$2018*EFEITO!$AA$2018</f>
        <v>1339.6005973228987</v>
      </c>
      <c r="P2018" s="61"/>
      <c r="Q2018" s="61"/>
      <c r="R2018" s="61"/>
      <c r="S2018" s="61"/>
      <c r="T2018" s="61"/>
      <c r="U2018" s="61"/>
      <c r="V2018" s="61"/>
      <c r="W2018" s="61"/>
      <c r="X2018" s="6"/>
      <c r="Y2018" s="6"/>
      <c r="Z2018" s="6"/>
      <c r="AA2018" s="6"/>
      <c r="AB2018" s="6"/>
      <c r="AC2018" s="6"/>
      <c r="AD2018" s="6"/>
      <c r="AE2018" s="6"/>
      <c r="AF2018" s="6"/>
      <c r="AG2018" s="6"/>
      <c r="AH2018" s="6"/>
      <c r="AI2018" s="6"/>
      <c r="AJ2018" s="6"/>
    </row>
    <row r="2019" spans="1:36" ht="11.25" customHeight="1" x14ac:dyDescent="0.2">
      <c r="A2019" s="57" t="s">
        <v>28</v>
      </c>
      <c r="B2019" s="57" t="s">
        <v>46</v>
      </c>
      <c r="C2019" s="57" t="s">
        <v>23</v>
      </c>
      <c r="D2019" s="57" t="s">
        <v>47</v>
      </c>
      <c r="E2019" s="57" t="s">
        <v>58</v>
      </c>
      <c r="F2019" s="57" t="s">
        <v>57</v>
      </c>
      <c r="G2019" s="57" t="s">
        <v>25</v>
      </c>
      <c r="H2019" s="57" t="s">
        <v>25</v>
      </c>
      <c r="I2019" s="82">
        <v>44440</v>
      </c>
      <c r="J2019" s="83">
        <f>EFEITO!$J$2019*EFEITO!$Y$1666</f>
        <v>0</v>
      </c>
      <c r="K2019" s="83">
        <f ca="1">EFEITO!$L$2019*EFEITO!$Z$1666</f>
        <v>9134.5788644459371</v>
      </c>
      <c r="L2019" s="83">
        <f>EFEITO!$N$2019*EFEITO!$AA$1666</f>
        <v>5359.7348037904494</v>
      </c>
      <c r="M2019" s="83">
        <f>$J$2019-EFEITO!$K$2019*EFEITO!$Y$2019</f>
        <v>0</v>
      </c>
      <c r="N2019" s="83">
        <f ca="1">$K$2019-EFEITO!$M$2019*EFEITO!$Z$2019</f>
        <v>6481.8971622108365</v>
      </c>
      <c r="O2019" s="83">
        <f>$L$2019-EFEITO!$O$2019*EFEITO!$AA$2019</f>
        <v>3803.2678167697022</v>
      </c>
      <c r="P2019" s="61"/>
      <c r="Q2019" s="61"/>
      <c r="R2019" s="61"/>
      <c r="S2019" s="61"/>
      <c r="T2019" s="61"/>
      <c r="U2019" s="61"/>
      <c r="V2019" s="61"/>
      <c r="W2019" s="61"/>
      <c r="X2019" s="6"/>
      <c r="Y2019" s="6"/>
      <c r="Z2019" s="6"/>
      <c r="AA2019" s="6"/>
      <c r="AB2019" s="6"/>
      <c r="AC2019" s="6"/>
      <c r="AD2019" s="6"/>
      <c r="AE2019" s="6"/>
      <c r="AF2019" s="6"/>
      <c r="AG2019" s="6"/>
      <c r="AH2019" s="6"/>
      <c r="AI2019" s="6"/>
      <c r="AJ2019" s="6"/>
    </row>
    <row r="2020" spans="1:36" ht="11.25" customHeight="1" x14ac:dyDescent="0.2">
      <c r="A2020" s="57" t="s">
        <v>59</v>
      </c>
      <c r="B2020" s="57" t="s">
        <v>46</v>
      </c>
      <c r="C2020" s="57" t="s">
        <v>23</v>
      </c>
      <c r="D2020" s="57" t="s">
        <v>47</v>
      </c>
      <c r="E2020" s="57" t="s">
        <v>58</v>
      </c>
      <c r="F2020" s="57" t="s">
        <v>57</v>
      </c>
      <c r="G2020" s="57" t="s">
        <v>25</v>
      </c>
      <c r="H2020" s="57" t="s">
        <v>25</v>
      </c>
      <c r="I2020" s="82">
        <v>44470</v>
      </c>
      <c r="J2020" s="83">
        <f>EFEITO!$J$2020*EFEITO!$Y$1666</f>
        <v>0</v>
      </c>
      <c r="K2020" s="83">
        <f ca="1">EFEITO!$L$2020*EFEITO!$Z$1666</f>
        <v>3217.4140482954749</v>
      </c>
      <c r="L2020" s="83">
        <f>EFEITO!$N$2020*EFEITO!$AA$1666</f>
        <v>1887.8249680424165</v>
      </c>
      <c r="M2020" s="83">
        <f>$J$2020-EFEITO!$K$2020*EFEITO!$Y$2020</f>
        <v>0</v>
      </c>
      <c r="N2020" s="83">
        <f ca="1">$K$2020-EFEITO!$M$2020*EFEITO!$Z$2020</f>
        <v>2283.0770086704692</v>
      </c>
      <c r="O2020" s="83">
        <f>$L$2020-EFEITO!$O$2020*EFEITO!$AA$2020</f>
        <v>1339.6005973228987</v>
      </c>
      <c r="P2020" s="61"/>
      <c r="Q2020" s="61"/>
      <c r="R2020" s="61"/>
      <c r="S2020" s="61"/>
      <c r="T2020" s="61"/>
      <c r="U2020" s="61"/>
      <c r="V2020" s="61"/>
      <c r="W2020" s="61"/>
      <c r="X2020" s="6"/>
      <c r="Y2020" s="6"/>
      <c r="Z2020" s="6"/>
      <c r="AA2020" s="6"/>
      <c r="AB2020" s="6"/>
      <c r="AC2020" s="6"/>
      <c r="AD2020" s="6"/>
      <c r="AE2020" s="6"/>
      <c r="AF2020" s="6"/>
      <c r="AG2020" s="6"/>
      <c r="AH2020" s="6"/>
      <c r="AI2020" s="6"/>
      <c r="AJ2020" s="6"/>
    </row>
    <row r="2021" spans="1:36" ht="11.25" customHeight="1" x14ac:dyDescent="0.2">
      <c r="A2021" s="57" t="s">
        <v>59</v>
      </c>
      <c r="B2021" s="57" t="s">
        <v>46</v>
      </c>
      <c r="C2021" s="57" t="s">
        <v>23</v>
      </c>
      <c r="D2021" s="57" t="s">
        <v>47</v>
      </c>
      <c r="E2021" s="57" t="s">
        <v>58</v>
      </c>
      <c r="F2021" s="57" t="s">
        <v>57</v>
      </c>
      <c r="G2021" s="57" t="s">
        <v>25</v>
      </c>
      <c r="H2021" s="57" t="s">
        <v>25</v>
      </c>
      <c r="I2021" s="82">
        <v>44470</v>
      </c>
      <c r="J2021" s="83">
        <f>EFEITO!$J$2021*EFEITO!$Y$1666</f>
        <v>0</v>
      </c>
      <c r="K2021" s="83">
        <f ca="1">EFEITO!$L$2021*EFEITO!$Z$1666</f>
        <v>9134.5788644459371</v>
      </c>
      <c r="L2021" s="83">
        <f>EFEITO!$N$2021*EFEITO!$AA$1666</f>
        <v>5359.7348037904494</v>
      </c>
      <c r="M2021" s="83">
        <f>$J$2021-EFEITO!$K$2021*EFEITO!$Y$2021</f>
        <v>0</v>
      </c>
      <c r="N2021" s="83">
        <f ca="1">$K$2021-EFEITO!$M$2021*EFEITO!$Z$2021</f>
        <v>6481.8971622108365</v>
      </c>
      <c r="O2021" s="83">
        <f>$L$2021-EFEITO!$O$2021*EFEITO!$AA$2021</f>
        <v>3803.2678167697022</v>
      </c>
      <c r="P2021" s="61"/>
      <c r="Q2021" s="61"/>
      <c r="R2021" s="61"/>
      <c r="S2021" s="61"/>
      <c r="T2021" s="61"/>
      <c r="U2021" s="61"/>
      <c r="V2021" s="61"/>
      <c r="W2021" s="61"/>
      <c r="X2021" s="6"/>
      <c r="Y2021" s="6"/>
      <c r="Z2021" s="6"/>
      <c r="AA2021" s="6"/>
      <c r="AB2021" s="6"/>
      <c r="AC2021" s="6"/>
      <c r="AD2021" s="6"/>
      <c r="AE2021" s="6"/>
      <c r="AF2021" s="6"/>
      <c r="AG2021" s="6"/>
      <c r="AH2021" s="6"/>
      <c r="AI2021" s="6"/>
      <c r="AJ2021" s="6"/>
    </row>
    <row r="2022" spans="1:36" ht="11.25" customHeight="1" x14ac:dyDescent="0.2">
      <c r="A2022" s="57" t="s">
        <v>21</v>
      </c>
      <c r="B2022" s="57" t="s">
        <v>46</v>
      </c>
      <c r="C2022" s="57" t="s">
        <v>23</v>
      </c>
      <c r="D2022" s="57" t="s">
        <v>47</v>
      </c>
      <c r="E2022" s="57" t="s">
        <v>25</v>
      </c>
      <c r="F2022" s="57" t="s">
        <v>25</v>
      </c>
      <c r="G2022" s="57" t="s">
        <v>25</v>
      </c>
      <c r="H2022" s="57" t="s">
        <v>25</v>
      </c>
      <c r="I2022" s="82">
        <v>44136</v>
      </c>
      <c r="J2022" s="83">
        <f>EFEITO!$J$2022*EFEITO!$Y$1666</f>
        <v>0</v>
      </c>
      <c r="K2022" s="83">
        <f ca="1">EFEITO!$L$2022*EFEITO!$Z$1666</f>
        <v>814746.28623050079</v>
      </c>
      <c r="L2022" s="83">
        <f>EFEITO!$N$2022*EFEITO!$AA$1666</f>
        <v>478054.22574711143</v>
      </c>
      <c r="M2022" s="83">
        <f>$J$2022-EFEITO!$K$2022*EFEITO!$Y$2022</f>
        <v>0</v>
      </c>
      <c r="N2022" s="83">
        <f ca="1">$K$2022-EFEITO!$M$2022*EFEITO!$Z$2022</f>
        <v>97769.55434766016</v>
      </c>
      <c r="O2022" s="83">
        <f>$L$2022-EFEITO!$O$2022*EFEITO!$AA$2022</f>
        <v>57366.507089653343</v>
      </c>
      <c r="P2022" s="61"/>
      <c r="Q2022" s="61"/>
      <c r="R2022" s="61"/>
      <c r="S2022" s="61"/>
      <c r="T2022" s="61"/>
      <c r="U2022" s="61"/>
      <c r="V2022" s="61"/>
      <c r="W2022" s="61"/>
      <c r="X2022" s="6"/>
      <c r="Y2022" s="6"/>
      <c r="Z2022" s="6"/>
      <c r="AA2022" s="6"/>
      <c r="AB2022" s="6"/>
      <c r="AC2022" s="6"/>
      <c r="AD2022" s="6"/>
      <c r="AE2022" s="6"/>
      <c r="AF2022" s="6"/>
      <c r="AG2022" s="6"/>
      <c r="AH2022" s="6"/>
      <c r="AI2022" s="6"/>
      <c r="AJ2022" s="6"/>
    </row>
    <row r="2023" spans="1:36" ht="11.25" customHeight="1" x14ac:dyDescent="0.2">
      <c r="A2023" s="57" t="s">
        <v>27</v>
      </c>
      <c r="B2023" s="57" t="s">
        <v>46</v>
      </c>
      <c r="C2023" s="57" t="s">
        <v>23</v>
      </c>
      <c r="D2023" s="57" t="s">
        <v>47</v>
      </c>
      <c r="E2023" s="57" t="s">
        <v>25</v>
      </c>
      <c r="F2023" s="57" t="s">
        <v>25</v>
      </c>
      <c r="G2023" s="57" t="s">
        <v>25</v>
      </c>
      <c r="H2023" s="57" t="s">
        <v>25</v>
      </c>
      <c r="I2023" s="82">
        <v>44136</v>
      </c>
      <c r="J2023" s="83">
        <f>EFEITO!$J$2023*EFEITO!$Y$1666</f>
        <v>0</v>
      </c>
      <c r="K2023" s="83">
        <f ca="1">EFEITO!$L$2023*EFEITO!$Z$1666</f>
        <v>-8787.1062515475278</v>
      </c>
      <c r="L2023" s="83">
        <f>EFEITO!$N$2023*EFEITO!$AA$1666</f>
        <v>-5155.8544624684882</v>
      </c>
      <c r="M2023" s="83">
        <f>$J$2023-EFEITO!$K$2023*EFEITO!$Y$2023</f>
        <v>0</v>
      </c>
      <c r="N2023" s="83">
        <f ca="1">$K$2023-EFEITO!$M$2023*EFEITO!$Z$2023</f>
        <v>-1054.4527501857037</v>
      </c>
      <c r="O2023" s="83">
        <f>$L$2023-EFEITO!$O$2023*EFEITO!$AA$2023</f>
        <v>-618.70253549621793</v>
      </c>
      <c r="P2023" s="61"/>
      <c r="Q2023" s="61"/>
      <c r="R2023" s="61"/>
      <c r="S2023" s="61"/>
      <c r="T2023" s="61"/>
      <c r="U2023" s="61"/>
      <c r="V2023" s="61"/>
      <c r="W2023" s="61"/>
      <c r="X2023" s="6"/>
      <c r="Y2023" s="6"/>
      <c r="Z2023" s="6"/>
      <c r="AA2023" s="6"/>
      <c r="AB2023" s="6"/>
      <c r="AC2023" s="6"/>
      <c r="AD2023" s="6"/>
      <c r="AE2023" s="6"/>
      <c r="AF2023" s="6"/>
      <c r="AG2023" s="6"/>
      <c r="AH2023" s="6"/>
      <c r="AI2023" s="6"/>
      <c r="AJ2023" s="6"/>
    </row>
    <row r="2024" spans="1:36" ht="11.25" customHeight="1" x14ac:dyDescent="0.2">
      <c r="A2024" s="57" t="s">
        <v>28</v>
      </c>
      <c r="B2024" s="57" t="s">
        <v>46</v>
      </c>
      <c r="C2024" s="57" t="s">
        <v>23</v>
      </c>
      <c r="D2024" s="57" t="s">
        <v>47</v>
      </c>
      <c r="E2024" s="57" t="s">
        <v>25</v>
      </c>
      <c r="F2024" s="57" t="s">
        <v>25</v>
      </c>
      <c r="G2024" s="57" t="s">
        <v>25</v>
      </c>
      <c r="H2024" s="57" t="s">
        <v>25</v>
      </c>
      <c r="I2024" s="82">
        <v>44136</v>
      </c>
      <c r="J2024" s="83">
        <f>EFEITO!$J$2024*EFEITO!$Y$1666</f>
        <v>0</v>
      </c>
      <c r="K2024" s="83">
        <f ca="1">EFEITO!$L$2024*EFEITO!$Z$1666</f>
        <v>2120561.5350186639</v>
      </c>
      <c r="L2024" s="83">
        <f>EFEITO!$N$2024*EFEITO!$AA$1666</f>
        <v>1244244.2756782989</v>
      </c>
      <c r="M2024" s="83">
        <f>$J$2024-EFEITO!$K$2024*EFEITO!$Y$2024</f>
        <v>0</v>
      </c>
      <c r="N2024" s="83">
        <f ca="1">$K$2024-EFEITO!$M$2024*EFEITO!$Z$2024</f>
        <v>254467.3842022398</v>
      </c>
      <c r="O2024" s="83">
        <f>$L$2024-EFEITO!$O$2024*EFEITO!$AA$2024</f>
        <v>149309.31308139581</v>
      </c>
      <c r="P2024" s="61"/>
      <c r="Q2024" s="61"/>
      <c r="R2024" s="61"/>
      <c r="S2024" s="61"/>
      <c r="T2024" s="61"/>
      <c r="U2024" s="61"/>
      <c r="V2024" s="61"/>
      <c r="W2024" s="61"/>
      <c r="X2024" s="6"/>
      <c r="Y2024" s="6"/>
      <c r="Z2024" s="6"/>
      <c r="AA2024" s="6"/>
      <c r="AB2024" s="6"/>
      <c r="AC2024" s="6"/>
      <c r="AD2024" s="6"/>
      <c r="AE2024" s="6"/>
      <c r="AF2024" s="6"/>
      <c r="AG2024" s="6"/>
      <c r="AH2024" s="6"/>
      <c r="AI2024" s="6"/>
      <c r="AJ2024" s="6"/>
    </row>
    <row r="2025" spans="1:36" ht="11.25" customHeight="1" x14ac:dyDescent="0.2">
      <c r="A2025" s="57" t="s">
        <v>29</v>
      </c>
      <c r="B2025" s="57" t="s">
        <v>46</v>
      </c>
      <c r="C2025" s="57" t="s">
        <v>23</v>
      </c>
      <c r="D2025" s="57" t="s">
        <v>47</v>
      </c>
      <c r="E2025" s="57" t="s">
        <v>25</v>
      </c>
      <c r="F2025" s="57" t="s">
        <v>25</v>
      </c>
      <c r="G2025" s="57" t="s">
        <v>25</v>
      </c>
      <c r="H2025" s="57" t="s">
        <v>25</v>
      </c>
      <c r="I2025" s="82">
        <v>44136</v>
      </c>
      <c r="J2025" s="83">
        <f>EFEITO!$J$2025*EFEITO!$Y$1666</f>
        <v>0</v>
      </c>
      <c r="K2025" s="83">
        <f ca="1">EFEITO!$L$2025*EFEITO!$Z$1666</f>
        <v>-31218.844057406062</v>
      </c>
      <c r="L2025" s="83">
        <f>EFEITO!$N$2025*EFEITO!$AA$1666</f>
        <v>-18317.727342620638</v>
      </c>
      <c r="M2025" s="83">
        <f>$J$2025-EFEITO!$K$2025*EFEITO!$Y$2025</f>
        <v>0</v>
      </c>
      <c r="N2025" s="83">
        <f ca="1">$K$2025-EFEITO!$M$2025*EFEITO!$Z$2025</f>
        <v>-3746.26128688873</v>
      </c>
      <c r="O2025" s="83">
        <f>$L$2025-EFEITO!$O$2025*EFEITO!$AA$2025</f>
        <v>-2198.1272811144736</v>
      </c>
      <c r="P2025" s="61"/>
      <c r="Q2025" s="61"/>
      <c r="R2025" s="61"/>
      <c r="S2025" s="61"/>
      <c r="T2025" s="61"/>
      <c r="U2025" s="61"/>
      <c r="V2025" s="61"/>
      <c r="W2025" s="61"/>
      <c r="X2025" s="6"/>
      <c r="Y2025" s="6"/>
      <c r="Z2025" s="6"/>
      <c r="AA2025" s="6"/>
      <c r="AB2025" s="6"/>
      <c r="AC2025" s="6"/>
      <c r="AD2025" s="6"/>
      <c r="AE2025" s="6"/>
      <c r="AF2025" s="6"/>
      <c r="AG2025" s="6"/>
      <c r="AH2025" s="6"/>
      <c r="AI2025" s="6"/>
      <c r="AJ2025" s="6"/>
    </row>
    <row r="2026" spans="1:36" ht="11.25" customHeight="1" x14ac:dyDescent="0.2">
      <c r="A2026" s="57" t="s">
        <v>30</v>
      </c>
      <c r="B2026" s="57" t="s">
        <v>46</v>
      </c>
      <c r="C2026" s="57" t="s">
        <v>23</v>
      </c>
      <c r="D2026" s="57" t="s">
        <v>47</v>
      </c>
      <c r="E2026" s="57" t="s">
        <v>25</v>
      </c>
      <c r="F2026" s="57" t="s">
        <v>25</v>
      </c>
      <c r="G2026" s="57" t="s">
        <v>25</v>
      </c>
      <c r="H2026" s="57" t="s">
        <v>25</v>
      </c>
      <c r="I2026" s="82">
        <v>44136</v>
      </c>
      <c r="J2026" s="83">
        <f>EFEITO!$J$2026*EFEITO!$Y$1666</f>
        <v>0</v>
      </c>
      <c r="K2026" s="83">
        <f ca="1">EFEITO!$L$2026*EFEITO!$Z$1666</f>
        <v>3909.3201550290419</v>
      </c>
      <c r="L2026" s="83">
        <f>EFEITO!$N$2026*EFEITO!$AA$1666</f>
        <v>2293.8024407039311</v>
      </c>
      <c r="M2026" s="83">
        <f>$J$2026-EFEITO!$K$2026*EFEITO!$Y$2026</f>
        <v>0</v>
      </c>
      <c r="N2026" s="83">
        <f ca="1">$K$2026-EFEITO!$M$2026*EFEITO!$Z$2026</f>
        <v>469.11841860348477</v>
      </c>
      <c r="O2026" s="83">
        <f>$L$2026-EFEITO!$O$2026*EFEITO!$AA$2026</f>
        <v>275.25629288447158</v>
      </c>
      <c r="P2026" s="61"/>
      <c r="Q2026" s="61"/>
      <c r="R2026" s="61"/>
      <c r="S2026" s="61"/>
      <c r="T2026" s="61"/>
      <c r="U2026" s="61"/>
      <c r="V2026" s="61"/>
      <c r="W2026" s="61"/>
      <c r="X2026" s="6"/>
      <c r="Y2026" s="6"/>
      <c r="Z2026" s="6"/>
      <c r="AA2026" s="6"/>
      <c r="AB2026" s="6"/>
      <c r="AC2026" s="6"/>
      <c r="AD2026" s="6"/>
      <c r="AE2026" s="6"/>
      <c r="AF2026" s="6"/>
      <c r="AG2026" s="6"/>
      <c r="AH2026" s="6"/>
      <c r="AI2026" s="6"/>
      <c r="AJ2026" s="6"/>
    </row>
    <row r="2027" spans="1:36" ht="11.25" customHeight="1" x14ac:dyDescent="0.2">
      <c r="A2027" s="57" t="s">
        <v>30</v>
      </c>
      <c r="B2027" s="57" t="s">
        <v>46</v>
      </c>
      <c r="C2027" s="57" t="s">
        <v>23</v>
      </c>
      <c r="D2027" s="57" t="s">
        <v>47</v>
      </c>
      <c r="E2027" s="57" t="s">
        <v>25</v>
      </c>
      <c r="F2027" s="57" t="s">
        <v>25</v>
      </c>
      <c r="G2027" s="57" t="s">
        <v>25</v>
      </c>
      <c r="H2027" s="57" t="s">
        <v>25</v>
      </c>
      <c r="I2027" s="82">
        <v>44136</v>
      </c>
      <c r="J2027" s="83">
        <f>EFEITO!$J$2027*EFEITO!$Y$1666</f>
        <v>0</v>
      </c>
      <c r="K2027" s="83">
        <f ca="1">EFEITO!$L$2027*EFEITO!$Z$1666</f>
        <v>3466.6218114820895</v>
      </c>
      <c r="L2027" s="83">
        <f>EFEITO!$N$2027*EFEITO!$AA$1666</f>
        <v>2034.0481865998581</v>
      </c>
      <c r="M2027" s="83">
        <f>$J$2027-EFEITO!$K$2027*EFEITO!$Y$2027</f>
        <v>0</v>
      </c>
      <c r="N2027" s="83">
        <f ca="1">$K$2027-EFEITO!$M$2027*EFEITO!$Z$2027</f>
        <v>415.99461737785077</v>
      </c>
      <c r="O2027" s="83">
        <f>$L$2027-EFEITO!$O$2027*EFEITO!$AA$2027</f>
        <v>244.08578239198278</v>
      </c>
      <c r="P2027" s="61"/>
      <c r="Q2027" s="61"/>
      <c r="R2027" s="61"/>
      <c r="S2027" s="61"/>
      <c r="T2027" s="61"/>
      <c r="U2027" s="61"/>
      <c r="V2027" s="61"/>
      <c r="W2027" s="61"/>
      <c r="X2027" s="6"/>
      <c r="Y2027" s="6"/>
      <c r="Z2027" s="6"/>
      <c r="AA2027" s="6"/>
      <c r="AB2027" s="6"/>
      <c r="AC2027" s="6"/>
      <c r="AD2027" s="6"/>
      <c r="AE2027" s="6"/>
      <c r="AF2027" s="6"/>
      <c r="AG2027" s="6"/>
      <c r="AH2027" s="6"/>
      <c r="AI2027" s="6"/>
      <c r="AJ2027" s="6"/>
    </row>
    <row r="2028" spans="1:36" ht="11.25" customHeight="1" x14ac:dyDescent="0.2">
      <c r="A2028" s="57" t="s">
        <v>21</v>
      </c>
      <c r="B2028" s="57" t="s">
        <v>46</v>
      </c>
      <c r="C2028" s="57" t="s">
        <v>23</v>
      </c>
      <c r="D2028" s="57" t="s">
        <v>47</v>
      </c>
      <c r="E2028" s="57" t="s">
        <v>25</v>
      </c>
      <c r="F2028" s="57" t="s">
        <v>25</v>
      </c>
      <c r="G2028" s="57" t="s">
        <v>25</v>
      </c>
      <c r="H2028" s="57" t="s">
        <v>25</v>
      </c>
      <c r="I2028" s="82">
        <v>44166</v>
      </c>
      <c r="J2028" s="83">
        <f>EFEITO!$J$2028*EFEITO!$Y$1666</f>
        <v>0</v>
      </c>
      <c r="K2028" s="83">
        <f ca="1">EFEITO!$L$2028*EFEITO!$Z$1666</f>
        <v>809705.40074425447</v>
      </c>
      <c r="L2028" s="83">
        <f>EFEITO!$N$2028*EFEITO!$AA$1666</f>
        <v>475096.47478962428</v>
      </c>
      <c r="M2028" s="83">
        <f>$J$2028-EFEITO!$K$2028*EFEITO!$Y$2028</f>
        <v>0</v>
      </c>
      <c r="N2028" s="83">
        <f ca="1">$K$2028-EFEITO!$M$2028*EFEITO!$Z$2028</f>
        <v>97164.64808931062</v>
      </c>
      <c r="O2028" s="83">
        <f>$L$2028-EFEITO!$O$2028*EFEITO!$AA$2028</f>
        <v>57011.576974754862</v>
      </c>
      <c r="P2028" s="61"/>
      <c r="Q2028" s="61"/>
      <c r="R2028" s="61"/>
      <c r="S2028" s="61"/>
      <c r="T2028" s="61"/>
      <c r="U2028" s="61"/>
      <c r="V2028" s="61"/>
      <c r="W2028" s="61"/>
      <c r="X2028" s="6"/>
      <c r="Y2028" s="6"/>
      <c r="Z2028" s="6"/>
      <c r="AA2028" s="6"/>
      <c r="AB2028" s="6"/>
      <c r="AC2028" s="6"/>
      <c r="AD2028" s="6"/>
      <c r="AE2028" s="6"/>
      <c r="AF2028" s="6"/>
      <c r="AG2028" s="6"/>
      <c r="AH2028" s="6"/>
      <c r="AI2028" s="6"/>
      <c r="AJ2028" s="6"/>
    </row>
    <row r="2029" spans="1:36" ht="11.25" customHeight="1" x14ac:dyDescent="0.2">
      <c r="A2029" s="57" t="s">
        <v>27</v>
      </c>
      <c r="B2029" s="57" t="s">
        <v>46</v>
      </c>
      <c r="C2029" s="57" t="s">
        <v>23</v>
      </c>
      <c r="D2029" s="57" t="s">
        <v>47</v>
      </c>
      <c r="E2029" s="57" t="s">
        <v>25</v>
      </c>
      <c r="F2029" s="57" t="s">
        <v>25</v>
      </c>
      <c r="G2029" s="57" t="s">
        <v>25</v>
      </c>
      <c r="H2029" s="57" t="s">
        <v>25</v>
      </c>
      <c r="I2029" s="82">
        <v>44166</v>
      </c>
      <c r="J2029" s="83">
        <f>EFEITO!$J$2029*EFEITO!$Y$1666</f>
        <v>0</v>
      </c>
      <c r="K2029" s="83">
        <f ca="1">EFEITO!$L$2029*EFEITO!$Z$1666</f>
        <v>-38914.90656524634</v>
      </c>
      <c r="L2029" s="83">
        <f>EFEITO!$N$2029*EFEITO!$AA$1666</f>
        <v>-22833.409421404718</v>
      </c>
      <c r="M2029" s="83">
        <f>$J$2029-EFEITO!$K$2029*EFEITO!$Y$2029</f>
        <v>0</v>
      </c>
      <c r="N2029" s="83">
        <f ca="1">$K$2029-EFEITO!$M$2029*EFEITO!$Z$2029</f>
        <v>-4669.7887878295587</v>
      </c>
      <c r="O2029" s="83">
        <f>$L$2029-EFEITO!$O$2029*EFEITO!$AA$2029</f>
        <v>-2740.0091305685637</v>
      </c>
      <c r="P2029" s="61"/>
      <c r="Q2029" s="61"/>
      <c r="R2029" s="61"/>
      <c r="S2029" s="61"/>
      <c r="T2029" s="61"/>
      <c r="U2029" s="61"/>
      <c r="V2029" s="61"/>
      <c r="W2029" s="61"/>
      <c r="X2029" s="6"/>
      <c r="Y2029" s="6"/>
      <c r="Z2029" s="6"/>
      <c r="AA2029" s="6"/>
      <c r="AB2029" s="6"/>
      <c r="AC2029" s="6"/>
      <c r="AD2029" s="6"/>
      <c r="AE2029" s="6"/>
      <c r="AF2029" s="6"/>
      <c r="AG2029" s="6"/>
      <c r="AH2029" s="6"/>
      <c r="AI2029" s="6"/>
      <c r="AJ2029" s="6"/>
    </row>
    <row r="2030" spans="1:36" ht="11.25" customHeight="1" x14ac:dyDescent="0.2">
      <c r="A2030" s="57" t="s">
        <v>28</v>
      </c>
      <c r="B2030" s="57" t="s">
        <v>46</v>
      </c>
      <c r="C2030" s="57" t="s">
        <v>23</v>
      </c>
      <c r="D2030" s="57" t="s">
        <v>47</v>
      </c>
      <c r="E2030" s="57" t="s">
        <v>25</v>
      </c>
      <c r="F2030" s="57" t="s">
        <v>25</v>
      </c>
      <c r="G2030" s="57" t="s">
        <v>25</v>
      </c>
      <c r="H2030" s="57" t="s">
        <v>25</v>
      </c>
      <c r="I2030" s="82">
        <v>44166</v>
      </c>
      <c r="J2030" s="83">
        <f>EFEITO!$J$2030*EFEITO!$Y$1666</f>
        <v>0</v>
      </c>
      <c r="K2030" s="83">
        <f ca="1">EFEITO!$L$2030*EFEITO!$Z$1666</f>
        <v>2145923.4901213404</v>
      </c>
      <c r="L2030" s="83">
        <f>EFEITO!$N$2030*EFEITO!$AA$1666</f>
        <v>1259125.4601831557</v>
      </c>
      <c r="M2030" s="83">
        <f>$J$2030-EFEITO!$K$2030*EFEITO!$Y$2030</f>
        <v>0</v>
      </c>
      <c r="N2030" s="83">
        <f ca="1">$K$2030-EFEITO!$M$2030*EFEITO!$Z$2030</f>
        <v>257510.818814561</v>
      </c>
      <c r="O2030" s="83">
        <f>$L$2030-EFEITO!$O$2030*EFEITO!$AA$2030</f>
        <v>151095.05522197857</v>
      </c>
      <c r="P2030" s="61"/>
      <c r="Q2030" s="61"/>
      <c r="R2030" s="61"/>
      <c r="S2030" s="61"/>
      <c r="T2030" s="61"/>
      <c r="U2030" s="61"/>
      <c r="V2030" s="61"/>
      <c r="W2030" s="61"/>
      <c r="X2030" s="6"/>
      <c r="Y2030" s="6"/>
      <c r="Z2030" s="6"/>
      <c r="AA2030" s="6"/>
      <c r="AB2030" s="6"/>
      <c r="AC2030" s="6"/>
      <c r="AD2030" s="6"/>
      <c r="AE2030" s="6"/>
      <c r="AF2030" s="6"/>
      <c r="AG2030" s="6"/>
      <c r="AH2030" s="6"/>
      <c r="AI2030" s="6"/>
      <c r="AJ2030" s="6"/>
    </row>
    <row r="2031" spans="1:36" ht="11.25" customHeight="1" x14ac:dyDescent="0.2">
      <c r="A2031" s="57" t="s">
        <v>29</v>
      </c>
      <c r="B2031" s="57" t="s">
        <v>46</v>
      </c>
      <c r="C2031" s="57" t="s">
        <v>23</v>
      </c>
      <c r="D2031" s="57" t="s">
        <v>47</v>
      </c>
      <c r="E2031" s="57" t="s">
        <v>25</v>
      </c>
      <c r="F2031" s="57" t="s">
        <v>25</v>
      </c>
      <c r="G2031" s="57" t="s">
        <v>25</v>
      </c>
      <c r="H2031" s="57" t="s">
        <v>25</v>
      </c>
      <c r="I2031" s="82">
        <v>44166</v>
      </c>
      <c r="J2031" s="83">
        <f>EFEITO!$J$2031*EFEITO!$Y$1666</f>
        <v>0</v>
      </c>
      <c r="K2031" s="83">
        <f ca="1">EFEITO!$L$2031*EFEITO!$Z$1666</f>
        <v>-5107.7461056378415</v>
      </c>
      <c r="L2031" s="83">
        <f>EFEITO!$N$2031*EFEITO!$AA$1666</f>
        <v>-2996.9815771000831</v>
      </c>
      <c r="M2031" s="83">
        <f>$J$2031-EFEITO!$K$2031*EFEITO!$Y$2031</f>
        <v>0</v>
      </c>
      <c r="N2031" s="83">
        <f ca="1">$K$2031-EFEITO!$M$2031*EFEITO!$Z$2031</f>
        <v>-612.92953267654138</v>
      </c>
      <c r="O2031" s="83">
        <f>$L$2031-EFEITO!$O$2031*EFEITO!$AA$2031</f>
        <v>-359.63778925200995</v>
      </c>
      <c r="P2031" s="61"/>
      <c r="Q2031" s="61"/>
      <c r="R2031" s="61"/>
      <c r="S2031" s="61"/>
      <c r="T2031" s="61"/>
      <c r="U2031" s="61"/>
      <c r="V2031" s="61"/>
      <c r="W2031" s="61"/>
      <c r="X2031" s="6"/>
      <c r="Y2031" s="6"/>
      <c r="Z2031" s="6"/>
      <c r="AA2031" s="6"/>
      <c r="AB2031" s="6"/>
      <c r="AC2031" s="6"/>
      <c r="AD2031" s="6"/>
      <c r="AE2031" s="6"/>
      <c r="AF2031" s="6"/>
      <c r="AG2031" s="6"/>
      <c r="AH2031" s="6"/>
      <c r="AI2031" s="6"/>
      <c r="AJ2031" s="6"/>
    </row>
    <row r="2032" spans="1:36" ht="11.25" customHeight="1" x14ac:dyDescent="0.2">
      <c r="A2032" s="57" t="s">
        <v>30</v>
      </c>
      <c r="B2032" s="57" t="s">
        <v>46</v>
      </c>
      <c r="C2032" s="57" t="s">
        <v>23</v>
      </c>
      <c r="D2032" s="57" t="s">
        <v>47</v>
      </c>
      <c r="E2032" s="57" t="s">
        <v>25</v>
      </c>
      <c r="F2032" s="57" t="s">
        <v>25</v>
      </c>
      <c r="G2032" s="57" t="s">
        <v>25</v>
      </c>
      <c r="H2032" s="57" t="s">
        <v>25</v>
      </c>
      <c r="I2032" s="82">
        <v>44166</v>
      </c>
      <c r="J2032" s="83">
        <f>EFEITO!$J$2032*EFEITO!$Y$1666</f>
        <v>0</v>
      </c>
      <c r="K2032" s="83">
        <f ca="1">EFEITO!$L$2032*EFEITO!$Z$1666</f>
        <v>3698.6078999769452</v>
      </c>
      <c r="L2032" s="83">
        <f>EFEITO!$N$2032*EFEITO!$AA$1666</f>
        <v>2170.1665485903218</v>
      </c>
      <c r="M2032" s="83">
        <f>$J$2032-EFEITO!$K$2032*EFEITO!$Y$2032</f>
        <v>0</v>
      </c>
      <c r="N2032" s="83">
        <f ca="1">$K$2032-EFEITO!$M$2032*EFEITO!$Z$2032</f>
        <v>443.83294799723353</v>
      </c>
      <c r="O2032" s="83">
        <f>$L$2032-EFEITO!$O$2032*EFEITO!$AA$2032</f>
        <v>260.41998583083841</v>
      </c>
      <c r="P2032" s="61"/>
      <c r="Q2032" s="61"/>
      <c r="R2032" s="61"/>
      <c r="S2032" s="61"/>
      <c r="T2032" s="61"/>
      <c r="U2032" s="61"/>
      <c r="V2032" s="61"/>
      <c r="W2032" s="61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</row>
    <row r="2033" spans="1:36" ht="11.25" customHeight="1" x14ac:dyDescent="0.2">
      <c r="A2033" s="57" t="s">
        <v>21</v>
      </c>
      <c r="B2033" s="57" t="s">
        <v>46</v>
      </c>
      <c r="C2033" s="57" t="s">
        <v>23</v>
      </c>
      <c r="D2033" s="57" t="s">
        <v>47</v>
      </c>
      <c r="E2033" s="57" t="s">
        <v>25</v>
      </c>
      <c r="F2033" s="57" t="s">
        <v>25</v>
      </c>
      <c r="G2033" s="57" t="s">
        <v>25</v>
      </c>
      <c r="H2033" s="57" t="s">
        <v>25</v>
      </c>
      <c r="I2033" s="82">
        <v>44197</v>
      </c>
      <c r="J2033" s="83">
        <f>EFEITO!$J$2033*EFEITO!$Y$1666</f>
        <v>0</v>
      </c>
      <c r="K2033" s="83">
        <f ca="1">EFEITO!$L$2033*EFEITO!$Z$1666</f>
        <v>784181.35929153755</v>
      </c>
      <c r="L2033" s="83">
        <f>EFEITO!$N$2033*EFEITO!$AA$1666</f>
        <v>460120.18575237214</v>
      </c>
      <c r="M2033" s="83">
        <f>$J$2033-EFEITO!$K$2033*EFEITO!$Y$2033</f>
        <v>0</v>
      </c>
      <c r="N2033" s="83">
        <f ca="1">$K$2033-EFEITO!$M$2033*EFEITO!$Z$2033</f>
        <v>94101.763114984496</v>
      </c>
      <c r="O2033" s="83">
        <f>$L$2033-EFEITO!$O$2033*EFEITO!$AA$2033</f>
        <v>55214.422290284594</v>
      </c>
      <c r="P2033" s="61"/>
      <c r="Q2033" s="61"/>
      <c r="R2033" s="61"/>
      <c r="S2033" s="61"/>
      <c r="T2033" s="61"/>
      <c r="U2033" s="61"/>
      <c r="V2033" s="61"/>
      <c r="W2033" s="61"/>
      <c r="X2033" s="6"/>
      <c r="Y2033" s="6"/>
      <c r="Z2033" s="6"/>
      <c r="AA2033" s="6"/>
      <c r="AB2033" s="6"/>
      <c r="AC2033" s="6"/>
      <c r="AD2033" s="6"/>
      <c r="AE2033" s="6"/>
      <c r="AF2033" s="6"/>
      <c r="AG2033" s="6"/>
      <c r="AH2033" s="6"/>
      <c r="AI2033" s="6"/>
      <c r="AJ2033" s="6"/>
    </row>
    <row r="2034" spans="1:36" ht="11.25" customHeight="1" x14ac:dyDescent="0.2">
      <c r="A2034" s="57" t="s">
        <v>27</v>
      </c>
      <c r="B2034" s="57" t="s">
        <v>46</v>
      </c>
      <c r="C2034" s="57" t="s">
        <v>23</v>
      </c>
      <c r="D2034" s="57" t="s">
        <v>47</v>
      </c>
      <c r="E2034" s="57" t="s">
        <v>25</v>
      </c>
      <c r="F2034" s="57" t="s">
        <v>25</v>
      </c>
      <c r="G2034" s="57" t="s">
        <v>25</v>
      </c>
      <c r="H2034" s="57" t="s">
        <v>25</v>
      </c>
      <c r="I2034" s="82">
        <v>44197</v>
      </c>
      <c r="J2034" s="83">
        <f>EFEITO!$J$2034*EFEITO!$Y$1666</f>
        <v>0</v>
      </c>
      <c r="K2034" s="83">
        <f ca="1">EFEITO!$L$2034*EFEITO!$Z$1666</f>
        <v>-63581.916442126276</v>
      </c>
      <c r="L2034" s="83">
        <f>EFEITO!$N$2034*EFEITO!$AA$1666</f>
        <v>-37306.833243617824</v>
      </c>
      <c r="M2034" s="83">
        <f>$J$2034-EFEITO!$K$2034*EFEITO!$Y$2034</f>
        <v>0</v>
      </c>
      <c r="N2034" s="83">
        <f ca="1">$K$2034-EFEITO!$M$2034*EFEITO!$Z$2034</f>
        <v>-7629.8299730551589</v>
      </c>
      <c r="O2034" s="83">
        <f>$L$2034-EFEITO!$O$2034*EFEITO!$AA$2034</f>
        <v>-4476.8199892341363</v>
      </c>
      <c r="P2034" s="61"/>
      <c r="Q2034" s="61"/>
      <c r="R2034" s="61"/>
      <c r="S2034" s="61"/>
      <c r="T2034" s="61"/>
      <c r="U2034" s="61"/>
      <c r="V2034" s="61"/>
      <c r="W2034" s="61"/>
      <c r="X2034" s="6"/>
      <c r="Y2034" s="6"/>
      <c r="Z2034" s="6"/>
      <c r="AA2034" s="6"/>
      <c r="AB2034" s="6"/>
      <c r="AC2034" s="6"/>
      <c r="AD2034" s="6"/>
      <c r="AE2034" s="6"/>
      <c r="AF2034" s="6"/>
      <c r="AG2034" s="6"/>
      <c r="AH2034" s="6"/>
      <c r="AI2034" s="6"/>
      <c r="AJ2034" s="6"/>
    </row>
    <row r="2035" spans="1:36" ht="11.25" customHeight="1" x14ac:dyDescent="0.2">
      <c r="A2035" s="57" t="s">
        <v>28</v>
      </c>
      <c r="B2035" s="57" t="s">
        <v>46</v>
      </c>
      <c r="C2035" s="57" t="s">
        <v>23</v>
      </c>
      <c r="D2035" s="57" t="s">
        <v>47</v>
      </c>
      <c r="E2035" s="57" t="s">
        <v>25</v>
      </c>
      <c r="F2035" s="57" t="s">
        <v>25</v>
      </c>
      <c r="G2035" s="57" t="s">
        <v>25</v>
      </c>
      <c r="H2035" s="57" t="s">
        <v>25</v>
      </c>
      <c r="I2035" s="82">
        <v>44197</v>
      </c>
      <c r="J2035" s="83">
        <f>EFEITO!$J$2035*EFEITO!$Y$1666</f>
        <v>0</v>
      </c>
      <c r="K2035" s="83">
        <f ca="1">EFEITO!$L$2035*EFEITO!$Z$1666</f>
        <v>1978642.7790823255</v>
      </c>
      <c r="L2035" s="83">
        <f>EFEITO!$N$2035*EFEITO!$AA$1666</f>
        <v>1160973.1247264731</v>
      </c>
      <c r="M2035" s="83">
        <f>$J$2035-EFEITO!$K$2035*EFEITO!$Y$2035</f>
        <v>0</v>
      </c>
      <c r="N2035" s="83">
        <f ca="1">$K$2035-EFEITO!$M$2035*EFEITO!$Z$2035</f>
        <v>237437.13348987908</v>
      </c>
      <c r="O2035" s="83">
        <f>$L$2035-EFEITO!$O$2035*EFEITO!$AA$2035</f>
        <v>139316.77496717661</v>
      </c>
      <c r="P2035" s="61"/>
      <c r="Q2035" s="61"/>
      <c r="R2035" s="61"/>
      <c r="S2035" s="61"/>
      <c r="T2035" s="61"/>
      <c r="U2035" s="61"/>
      <c r="V2035" s="61"/>
      <c r="W2035" s="61"/>
      <c r="X2035" s="6"/>
      <c r="Y2035" s="6"/>
      <c r="Z2035" s="6"/>
      <c r="AA2035" s="6"/>
      <c r="AB2035" s="6"/>
      <c r="AC2035" s="6"/>
      <c r="AD2035" s="6"/>
      <c r="AE2035" s="6"/>
      <c r="AF2035" s="6"/>
      <c r="AG2035" s="6"/>
      <c r="AH2035" s="6"/>
      <c r="AI2035" s="6"/>
      <c r="AJ2035" s="6"/>
    </row>
    <row r="2036" spans="1:36" ht="11.25" customHeight="1" x14ac:dyDescent="0.2">
      <c r="A2036" s="57" t="s">
        <v>29</v>
      </c>
      <c r="B2036" s="57" t="s">
        <v>46</v>
      </c>
      <c r="C2036" s="57" t="s">
        <v>23</v>
      </c>
      <c r="D2036" s="57" t="s">
        <v>47</v>
      </c>
      <c r="E2036" s="57" t="s">
        <v>25</v>
      </c>
      <c r="F2036" s="57" t="s">
        <v>25</v>
      </c>
      <c r="G2036" s="57" t="s">
        <v>25</v>
      </c>
      <c r="H2036" s="57" t="s">
        <v>25</v>
      </c>
      <c r="I2036" s="82">
        <v>44197</v>
      </c>
      <c r="J2036" s="83">
        <f>EFEITO!$J$2036*EFEITO!$Y$1666</f>
        <v>0</v>
      </c>
      <c r="K2036" s="83">
        <f ca="1">EFEITO!$L$2036*EFEITO!$Z$1666</f>
        <v>-77039.642174047316</v>
      </c>
      <c r="L2036" s="83">
        <f>EFEITO!$N$2036*EFEITO!$AA$1666</f>
        <v>-45203.184247383404</v>
      </c>
      <c r="M2036" s="83">
        <f>$J$2036-EFEITO!$K$2036*EFEITO!$Y$2036</f>
        <v>0</v>
      </c>
      <c r="N2036" s="83">
        <f ca="1">$K$2036-EFEITO!$M$2036*EFEITO!$Z$2036</f>
        <v>-9244.7570608856768</v>
      </c>
      <c r="O2036" s="83">
        <f>$L$2036-EFEITO!$O$2036*EFEITO!$AA$2036</f>
        <v>-5424.3821096860047</v>
      </c>
      <c r="P2036" s="61"/>
      <c r="Q2036" s="61"/>
      <c r="R2036" s="61"/>
      <c r="S2036" s="61"/>
      <c r="T2036" s="61"/>
      <c r="U2036" s="61"/>
      <c r="V2036" s="61"/>
      <c r="W2036" s="61"/>
      <c r="X2036" s="6"/>
      <c r="Y2036" s="6"/>
      <c r="Z2036" s="6"/>
      <c r="AA2036" s="6"/>
      <c r="AB2036" s="6"/>
      <c r="AC2036" s="6"/>
      <c r="AD2036" s="6"/>
      <c r="AE2036" s="6"/>
      <c r="AF2036" s="6"/>
      <c r="AG2036" s="6"/>
      <c r="AH2036" s="6"/>
      <c r="AI2036" s="6"/>
      <c r="AJ2036" s="6"/>
    </row>
    <row r="2037" spans="1:36" ht="11.25" customHeight="1" x14ac:dyDescent="0.2">
      <c r="A2037" s="57" t="s">
        <v>30</v>
      </c>
      <c r="B2037" s="57" t="s">
        <v>46</v>
      </c>
      <c r="C2037" s="57" t="s">
        <v>23</v>
      </c>
      <c r="D2037" s="57" t="s">
        <v>47</v>
      </c>
      <c r="E2037" s="57" t="s">
        <v>25</v>
      </c>
      <c r="F2037" s="57" t="s">
        <v>25</v>
      </c>
      <c r="G2037" s="57" t="s">
        <v>25</v>
      </c>
      <c r="H2037" s="57" t="s">
        <v>25</v>
      </c>
      <c r="I2037" s="82">
        <v>44197</v>
      </c>
      <c r="J2037" s="83">
        <f>EFEITO!$J$2037*EFEITO!$Y$1666</f>
        <v>0</v>
      </c>
      <c r="K2037" s="83">
        <f ca="1">EFEITO!$L$2037*EFEITO!$Z$1666</f>
        <v>3916.4114328432956</v>
      </c>
      <c r="L2037" s="83">
        <f>EFEITO!$N$2037*EFEITO!$AA$1666</f>
        <v>2297.963263996216</v>
      </c>
      <c r="M2037" s="83">
        <f>$J$2037-EFEITO!$K$2037*EFEITO!$Y$2037</f>
        <v>0</v>
      </c>
      <c r="N2037" s="83">
        <f ca="1">$K$2037-EFEITO!$M$2037*EFEITO!$Z$2037</f>
        <v>469.96937194119573</v>
      </c>
      <c r="O2037" s="83">
        <f>$L$2037-EFEITO!$O$2037*EFEITO!$AA$2037</f>
        <v>275.75559167954566</v>
      </c>
      <c r="P2037" s="61"/>
      <c r="Q2037" s="61"/>
      <c r="R2037" s="61"/>
      <c r="S2037" s="61"/>
      <c r="T2037" s="61"/>
      <c r="U2037" s="61"/>
      <c r="V2037" s="61"/>
      <c r="W2037" s="61"/>
      <c r="X2037" s="6"/>
      <c r="Y2037" s="6"/>
      <c r="Z2037" s="6"/>
      <c r="AA2037" s="6"/>
      <c r="AB2037" s="6"/>
      <c r="AC2037" s="6"/>
      <c r="AD2037" s="6"/>
      <c r="AE2037" s="6"/>
      <c r="AF2037" s="6"/>
      <c r="AG2037" s="6"/>
      <c r="AH2037" s="6"/>
      <c r="AI2037" s="6"/>
      <c r="AJ2037" s="6"/>
    </row>
    <row r="2038" spans="1:36" ht="11.25" customHeight="1" x14ac:dyDescent="0.2">
      <c r="A2038" s="57" t="s">
        <v>21</v>
      </c>
      <c r="B2038" s="57" t="s">
        <v>46</v>
      </c>
      <c r="C2038" s="57" t="s">
        <v>23</v>
      </c>
      <c r="D2038" s="57" t="s">
        <v>47</v>
      </c>
      <c r="E2038" s="57" t="s">
        <v>25</v>
      </c>
      <c r="F2038" s="57" t="s">
        <v>25</v>
      </c>
      <c r="G2038" s="57" t="s">
        <v>25</v>
      </c>
      <c r="H2038" s="57" t="s">
        <v>25</v>
      </c>
      <c r="I2038" s="82">
        <v>44228</v>
      </c>
      <c r="J2038" s="83">
        <f>EFEITO!$J$2038*EFEITO!$Y$1666</f>
        <v>0</v>
      </c>
      <c r="K2038" s="83">
        <f ca="1">EFEITO!$L$2038*EFEITO!$Z$1666</f>
        <v>699550.50421733223</v>
      </c>
      <c r="L2038" s="83">
        <f>EFEITO!$N$2038*EFEITO!$AA$1666</f>
        <v>410462.84017059777</v>
      </c>
      <c r="M2038" s="83">
        <f>$J$2038-EFEITO!$K$2038*EFEITO!$Y$2038</f>
        <v>0</v>
      </c>
      <c r="N2038" s="83">
        <f ca="1">$K$2038-EFEITO!$M$2038*EFEITO!$Z$2038</f>
        <v>83946.060506079928</v>
      </c>
      <c r="O2038" s="83">
        <f>$L$2038-EFEITO!$O$2038*EFEITO!$AA$2038</f>
        <v>49255.540820471651</v>
      </c>
      <c r="P2038" s="61"/>
      <c r="Q2038" s="61"/>
      <c r="R2038" s="61"/>
      <c r="S2038" s="61"/>
      <c r="T2038" s="61"/>
      <c r="U2038" s="61"/>
      <c r="V2038" s="61"/>
      <c r="W2038" s="61"/>
      <c r="X2038" s="6"/>
      <c r="Y2038" s="6"/>
      <c r="Z2038" s="6"/>
      <c r="AA2038" s="6"/>
      <c r="AB2038" s="6"/>
      <c r="AC2038" s="6"/>
      <c r="AD2038" s="6"/>
      <c r="AE2038" s="6"/>
      <c r="AF2038" s="6"/>
      <c r="AG2038" s="6"/>
      <c r="AH2038" s="6"/>
      <c r="AI2038" s="6"/>
      <c r="AJ2038" s="6"/>
    </row>
    <row r="2039" spans="1:36" ht="11.25" customHeight="1" x14ac:dyDescent="0.2">
      <c r="A2039" s="57" t="s">
        <v>27</v>
      </c>
      <c r="B2039" s="57" t="s">
        <v>46</v>
      </c>
      <c r="C2039" s="57" t="s">
        <v>23</v>
      </c>
      <c r="D2039" s="57" t="s">
        <v>47</v>
      </c>
      <c r="E2039" s="57" t="s">
        <v>25</v>
      </c>
      <c r="F2039" s="57" t="s">
        <v>25</v>
      </c>
      <c r="G2039" s="57" t="s">
        <v>25</v>
      </c>
      <c r="H2039" s="57" t="s">
        <v>25</v>
      </c>
      <c r="I2039" s="82">
        <v>44228</v>
      </c>
      <c r="J2039" s="83">
        <f>EFEITO!$J$2039*EFEITO!$Y$1666</f>
        <v>0</v>
      </c>
      <c r="K2039" s="83">
        <f ca="1">EFEITO!$L$2039*EFEITO!$Z$1666</f>
        <v>-59723.248271484757</v>
      </c>
      <c r="L2039" s="83">
        <f>EFEITO!$N$2039*EFEITO!$AA$1666</f>
        <v>-35042.750969287357</v>
      </c>
      <c r="M2039" s="83">
        <f>$J$2039-EFEITO!$K$2039*EFEITO!$Y$2039</f>
        <v>0</v>
      </c>
      <c r="N2039" s="83">
        <f ca="1">$K$2039-EFEITO!$M$2039*EFEITO!$Z$2039</f>
        <v>-7166.7897925781726</v>
      </c>
      <c r="O2039" s="83">
        <f>$L$2039-EFEITO!$O$2039*EFEITO!$AA$2039</f>
        <v>-4205.1301163144781</v>
      </c>
      <c r="P2039" s="61"/>
      <c r="Q2039" s="61"/>
      <c r="R2039" s="61"/>
      <c r="S2039" s="61"/>
      <c r="T2039" s="61"/>
      <c r="U2039" s="61"/>
      <c r="V2039" s="61"/>
      <c r="W2039" s="61"/>
      <c r="X2039" s="6"/>
      <c r="Y2039" s="6"/>
      <c r="Z2039" s="6"/>
      <c r="AA2039" s="6"/>
      <c r="AB2039" s="6"/>
      <c r="AC2039" s="6"/>
      <c r="AD2039" s="6"/>
      <c r="AE2039" s="6"/>
      <c r="AF2039" s="6"/>
      <c r="AG2039" s="6"/>
      <c r="AH2039" s="6"/>
      <c r="AI2039" s="6"/>
      <c r="AJ2039" s="6"/>
    </row>
    <row r="2040" spans="1:36" ht="11.25" customHeight="1" x14ac:dyDescent="0.2">
      <c r="A2040" s="57" t="s">
        <v>28</v>
      </c>
      <c r="B2040" s="57" t="s">
        <v>46</v>
      </c>
      <c r="C2040" s="57" t="s">
        <v>23</v>
      </c>
      <c r="D2040" s="57" t="s">
        <v>47</v>
      </c>
      <c r="E2040" s="57" t="s">
        <v>25</v>
      </c>
      <c r="F2040" s="57" t="s">
        <v>25</v>
      </c>
      <c r="G2040" s="57" t="s">
        <v>25</v>
      </c>
      <c r="H2040" s="57" t="s">
        <v>25</v>
      </c>
      <c r="I2040" s="82">
        <v>44228</v>
      </c>
      <c r="J2040" s="83">
        <f>EFEITO!$J$2040*EFEITO!$Y$1666</f>
        <v>0</v>
      </c>
      <c r="K2040" s="83">
        <f ca="1">EFEITO!$L$2040*EFEITO!$Z$1666</f>
        <v>1893155.3989521272</v>
      </c>
      <c r="L2040" s="83">
        <f>EFEITO!$N$2040*EFEITO!$AA$1666</f>
        <v>1110813.2111313236</v>
      </c>
      <c r="M2040" s="83">
        <f>$J$2040-EFEITO!$K$2040*EFEITO!$Y$2040</f>
        <v>0</v>
      </c>
      <c r="N2040" s="83">
        <f ca="1">$K$2040-EFEITO!$M$2040*EFEITO!$Z$2040</f>
        <v>227178.64787425543</v>
      </c>
      <c r="O2040" s="83">
        <f>$L$2040-EFEITO!$O$2040*EFEITO!$AA$2040</f>
        <v>133297.58533575886</v>
      </c>
      <c r="P2040" s="61"/>
      <c r="Q2040" s="61"/>
      <c r="R2040" s="61"/>
      <c r="S2040" s="61"/>
      <c r="T2040" s="61"/>
      <c r="U2040" s="61"/>
      <c r="V2040" s="61"/>
      <c r="W2040" s="61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</row>
    <row r="2041" spans="1:36" ht="11.25" customHeight="1" x14ac:dyDescent="0.2">
      <c r="A2041" s="57" t="s">
        <v>29</v>
      </c>
      <c r="B2041" s="57" t="s">
        <v>46</v>
      </c>
      <c r="C2041" s="57" t="s">
        <v>23</v>
      </c>
      <c r="D2041" s="57" t="s">
        <v>47</v>
      </c>
      <c r="E2041" s="57" t="s">
        <v>25</v>
      </c>
      <c r="F2041" s="57" t="s">
        <v>25</v>
      </c>
      <c r="G2041" s="57" t="s">
        <v>25</v>
      </c>
      <c r="H2041" s="57" t="s">
        <v>25</v>
      </c>
      <c r="I2041" s="82">
        <v>44228</v>
      </c>
      <c r="J2041" s="83">
        <f>EFEITO!$J$2041*EFEITO!$Y$1666</f>
        <v>0</v>
      </c>
      <c r="K2041" s="83">
        <f ca="1">EFEITO!$L$2041*EFEITO!$Z$1666</f>
        <v>-7318.7052241532301</v>
      </c>
      <c r="L2041" s="83">
        <f>EFEITO!$N$2041*EFEITO!$AA$1666</f>
        <v>-4294.2668393017748</v>
      </c>
      <c r="M2041" s="83">
        <f>$J$2041-EFEITO!$K$2041*EFEITO!$Y$2041</f>
        <v>0</v>
      </c>
      <c r="N2041" s="83">
        <f ca="1">$K$2041-EFEITO!$M$2041*EFEITO!$Z$2041</f>
        <v>-878.24462689838765</v>
      </c>
      <c r="O2041" s="83">
        <f>$L$2041-EFEITO!$O$2041*EFEITO!$AA$2041</f>
        <v>-515.31202071621237</v>
      </c>
      <c r="P2041" s="61"/>
      <c r="Q2041" s="61"/>
      <c r="R2041" s="61"/>
      <c r="S2041" s="61"/>
      <c r="T2041" s="61"/>
      <c r="U2041" s="61"/>
      <c r="V2041" s="61"/>
      <c r="W2041" s="61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</row>
    <row r="2042" spans="1:36" ht="11.25" customHeight="1" x14ac:dyDescent="0.2">
      <c r="A2042" s="57" t="s">
        <v>30</v>
      </c>
      <c r="B2042" s="57" t="s">
        <v>46</v>
      </c>
      <c r="C2042" s="57" t="s">
        <v>23</v>
      </c>
      <c r="D2042" s="57" t="s">
        <v>47</v>
      </c>
      <c r="E2042" s="57" t="s">
        <v>25</v>
      </c>
      <c r="F2042" s="57" t="s">
        <v>25</v>
      </c>
      <c r="G2042" s="57" t="s">
        <v>25</v>
      </c>
      <c r="H2042" s="57" t="s">
        <v>25</v>
      </c>
      <c r="I2042" s="82">
        <v>44228</v>
      </c>
      <c r="J2042" s="83">
        <f>EFEITO!$J$2042*EFEITO!$Y$1666</f>
        <v>0</v>
      </c>
      <c r="K2042" s="83">
        <f ca="1">EFEITO!$L$2042*EFEITO!$Z$1666</f>
        <v>3821.6922220386268</v>
      </c>
      <c r="L2042" s="83">
        <f>EFEITO!$N$2042*EFEITO!$AA$1666</f>
        <v>2242.3865528778388</v>
      </c>
      <c r="M2042" s="83">
        <f>$J$2042-EFEITO!$K$2042*EFEITO!$Y$2042</f>
        <v>0</v>
      </c>
      <c r="N2042" s="83">
        <f ca="1">$K$2042-EFEITO!$M$2042*EFEITO!$Z$2042</f>
        <v>458.60306664463542</v>
      </c>
      <c r="O2042" s="83">
        <f>$L$2042-EFEITO!$O$2042*EFEITO!$AA$2042</f>
        <v>269.08638634534054</v>
      </c>
      <c r="P2042" s="61"/>
      <c r="Q2042" s="61"/>
      <c r="R2042" s="61"/>
      <c r="S2042" s="61"/>
      <c r="T2042" s="61"/>
      <c r="U2042" s="61"/>
      <c r="V2042" s="61"/>
      <c r="W2042" s="61"/>
      <c r="X2042" s="6"/>
      <c r="Y2042" s="6"/>
      <c r="Z2042" s="6"/>
      <c r="AA2042" s="6"/>
      <c r="AB2042" s="6"/>
      <c r="AC2042" s="6"/>
      <c r="AD2042" s="6"/>
      <c r="AE2042" s="6"/>
      <c r="AF2042" s="6"/>
      <c r="AG2042" s="6"/>
      <c r="AH2042" s="6"/>
      <c r="AI2042" s="6"/>
      <c r="AJ2042" s="6"/>
    </row>
    <row r="2043" spans="1:36" ht="11.25" customHeight="1" x14ac:dyDescent="0.2">
      <c r="A2043" s="57" t="s">
        <v>21</v>
      </c>
      <c r="B2043" s="57" t="s">
        <v>46</v>
      </c>
      <c r="C2043" s="57" t="s">
        <v>23</v>
      </c>
      <c r="D2043" s="57" t="s">
        <v>47</v>
      </c>
      <c r="E2043" s="57" t="s">
        <v>25</v>
      </c>
      <c r="F2043" s="57" t="s">
        <v>25</v>
      </c>
      <c r="G2043" s="57" t="s">
        <v>25</v>
      </c>
      <c r="H2043" s="57" t="s">
        <v>25</v>
      </c>
      <c r="I2043" s="82">
        <v>44256</v>
      </c>
      <c r="J2043" s="83">
        <f>EFEITO!$J$2043*EFEITO!$Y$1666</f>
        <v>0</v>
      </c>
      <c r="K2043" s="83">
        <f ca="1">EFEITO!$L$2043*EFEITO!$Z$1666</f>
        <v>707820.45370828314</v>
      </c>
      <c r="L2043" s="83">
        <f>EFEITO!$N$2043*EFEITO!$AA$1666</f>
        <v>415315.25173439324</v>
      </c>
      <c r="M2043" s="83">
        <f>$J$2043-EFEITO!$K$2043*EFEITO!$Y$2043</f>
        <v>0</v>
      </c>
      <c r="N2043" s="83">
        <f ca="1">$K$2043-EFEITO!$M$2043*EFEITO!$Z$2043</f>
        <v>84938.454444993986</v>
      </c>
      <c r="O2043" s="83">
        <f>$L$2043-EFEITO!$O$2043*EFEITO!$AA$2043</f>
        <v>49837.830208127154</v>
      </c>
      <c r="P2043" s="61"/>
      <c r="Q2043" s="61"/>
      <c r="R2043" s="61"/>
      <c r="S2043" s="61"/>
      <c r="T2043" s="61"/>
      <c r="U2043" s="61"/>
      <c r="V2043" s="61"/>
      <c r="W2043" s="61"/>
      <c r="X2043" s="6"/>
      <c r="Y2043" s="6"/>
      <c r="Z2043" s="6"/>
      <c r="AA2043" s="6"/>
      <c r="AB2043" s="6"/>
      <c r="AC2043" s="6"/>
      <c r="AD2043" s="6"/>
      <c r="AE2043" s="6"/>
      <c r="AF2043" s="6"/>
      <c r="AG2043" s="6"/>
      <c r="AH2043" s="6"/>
      <c r="AI2043" s="6"/>
      <c r="AJ2043" s="6"/>
    </row>
    <row r="2044" spans="1:36" ht="11.25" customHeight="1" x14ac:dyDescent="0.2">
      <c r="A2044" s="57" t="s">
        <v>27</v>
      </c>
      <c r="B2044" s="57" t="s">
        <v>46</v>
      </c>
      <c r="C2044" s="57" t="s">
        <v>23</v>
      </c>
      <c r="D2044" s="57" t="s">
        <v>47</v>
      </c>
      <c r="E2044" s="57" t="s">
        <v>25</v>
      </c>
      <c r="F2044" s="57" t="s">
        <v>25</v>
      </c>
      <c r="G2044" s="57" t="s">
        <v>25</v>
      </c>
      <c r="H2044" s="57" t="s">
        <v>25</v>
      </c>
      <c r="I2044" s="82">
        <v>44256</v>
      </c>
      <c r="J2044" s="83">
        <f>EFEITO!$J$2044*EFEITO!$Y$1666</f>
        <v>0</v>
      </c>
      <c r="K2044" s="83">
        <f ca="1">EFEITO!$L$2044*EFEITO!$Z$1666</f>
        <v>-33878.579757594911</v>
      </c>
      <c r="L2044" s="83">
        <f>EFEITO!$N$2044*EFEITO!$AA$1666</f>
        <v>-19878.333278891219</v>
      </c>
      <c r="M2044" s="83">
        <f>$J$2044-EFEITO!$K$2044*EFEITO!$Y$2044</f>
        <v>0</v>
      </c>
      <c r="N2044" s="83">
        <f ca="1">$K$2044-EFEITO!$M$2044*EFEITO!$Z$2044</f>
        <v>-4065.429570911394</v>
      </c>
      <c r="O2044" s="83">
        <f>$L$2044-EFEITO!$O$2044*EFEITO!$AA$2044</f>
        <v>-2385.3999934669446</v>
      </c>
      <c r="P2044" s="61"/>
      <c r="Q2044" s="61"/>
      <c r="R2044" s="61"/>
      <c r="S2044" s="61"/>
      <c r="T2044" s="61"/>
      <c r="U2044" s="61"/>
      <c r="V2044" s="61"/>
      <c r="W2044" s="61"/>
      <c r="X2044" s="6"/>
      <c r="Y2044" s="6"/>
      <c r="Z2044" s="6"/>
      <c r="AA2044" s="6"/>
      <c r="AB2044" s="6"/>
      <c r="AC2044" s="6"/>
      <c r="AD2044" s="6"/>
      <c r="AE2044" s="6"/>
      <c r="AF2044" s="6"/>
      <c r="AG2044" s="6"/>
      <c r="AH2044" s="6"/>
      <c r="AI2044" s="6"/>
      <c r="AJ2044" s="6"/>
    </row>
    <row r="2045" spans="1:36" ht="11.25" customHeight="1" x14ac:dyDescent="0.2">
      <c r="A2045" s="57" t="s">
        <v>28</v>
      </c>
      <c r="B2045" s="57" t="s">
        <v>46</v>
      </c>
      <c r="C2045" s="57" t="s">
        <v>23</v>
      </c>
      <c r="D2045" s="57" t="s">
        <v>47</v>
      </c>
      <c r="E2045" s="57" t="s">
        <v>25</v>
      </c>
      <c r="F2045" s="57" t="s">
        <v>25</v>
      </c>
      <c r="G2045" s="57" t="s">
        <v>25</v>
      </c>
      <c r="H2045" s="57" t="s">
        <v>25</v>
      </c>
      <c r="I2045" s="82">
        <v>44256</v>
      </c>
      <c r="J2045" s="83">
        <f>EFEITO!$J$2045*EFEITO!$Y$1666</f>
        <v>0</v>
      </c>
      <c r="K2045" s="83">
        <f ca="1">EFEITO!$L$2045*EFEITO!$Z$1666</f>
        <v>1976956.0680022209</v>
      </c>
      <c r="L2045" s="83">
        <f>EFEITO!$N$2045*EFEITO!$AA$1666</f>
        <v>1159983.4431862368</v>
      </c>
      <c r="M2045" s="83">
        <f>$J$2045-EFEITO!$K$2045*EFEITO!$Y$2045</f>
        <v>0</v>
      </c>
      <c r="N2045" s="83">
        <f ca="1">$K$2045-EFEITO!$M$2045*EFEITO!$Z$2045</f>
        <v>237234.72816026653</v>
      </c>
      <c r="O2045" s="83">
        <f>$L$2045-EFEITO!$O$2045*EFEITO!$AA$2045</f>
        <v>139198.01318234822</v>
      </c>
      <c r="P2045" s="61"/>
      <c r="Q2045" s="61"/>
      <c r="R2045" s="61"/>
      <c r="S2045" s="61"/>
      <c r="T2045" s="61"/>
      <c r="U2045" s="61"/>
      <c r="V2045" s="61"/>
      <c r="W2045" s="61"/>
      <c r="X2045" s="6"/>
      <c r="Y2045" s="6"/>
      <c r="Z2045" s="6"/>
      <c r="AA2045" s="6"/>
      <c r="AB2045" s="6"/>
      <c r="AC2045" s="6"/>
      <c r="AD2045" s="6"/>
      <c r="AE2045" s="6"/>
      <c r="AF2045" s="6"/>
      <c r="AG2045" s="6"/>
      <c r="AH2045" s="6"/>
      <c r="AI2045" s="6"/>
      <c r="AJ2045" s="6"/>
    </row>
    <row r="2046" spans="1:36" ht="11.25" customHeight="1" x14ac:dyDescent="0.2">
      <c r="A2046" s="57" t="s">
        <v>29</v>
      </c>
      <c r="B2046" s="57" t="s">
        <v>46</v>
      </c>
      <c r="C2046" s="57" t="s">
        <v>23</v>
      </c>
      <c r="D2046" s="57" t="s">
        <v>47</v>
      </c>
      <c r="E2046" s="57" t="s">
        <v>25</v>
      </c>
      <c r="F2046" s="57" t="s">
        <v>25</v>
      </c>
      <c r="G2046" s="57" t="s">
        <v>25</v>
      </c>
      <c r="H2046" s="57" t="s">
        <v>25</v>
      </c>
      <c r="I2046" s="82">
        <v>44256</v>
      </c>
      <c r="J2046" s="83">
        <f>EFEITO!$J$2046*EFEITO!$Y$1666</f>
        <v>0</v>
      </c>
      <c r="K2046" s="83">
        <f ca="1">EFEITO!$L$2046*EFEITO!$Z$1666</f>
        <v>-20341.836930029323</v>
      </c>
      <c r="L2046" s="83">
        <f>EFEITO!$N$2046*EFEITO!$AA$1666</f>
        <v>-11935.618815583035</v>
      </c>
      <c r="M2046" s="83">
        <f>$J$2046-EFEITO!$K$2046*EFEITO!$Y$2046</f>
        <v>0</v>
      </c>
      <c r="N2046" s="83">
        <f ca="1">$K$2046-EFEITO!$M$2046*EFEITO!$Z$2046</f>
        <v>-2441.0204316035197</v>
      </c>
      <c r="O2046" s="83">
        <f>$L$2046-EFEITO!$O$2046*EFEITO!$AA$2046</f>
        <v>-1432.2742578699635</v>
      </c>
      <c r="P2046" s="61"/>
      <c r="Q2046" s="61"/>
      <c r="R2046" s="61"/>
      <c r="S2046" s="61"/>
      <c r="T2046" s="61"/>
      <c r="U2046" s="61"/>
      <c r="V2046" s="61"/>
      <c r="W2046" s="61"/>
      <c r="X2046" s="6"/>
      <c r="Y2046" s="6"/>
      <c r="Z2046" s="6"/>
      <c r="AA2046" s="6"/>
      <c r="AB2046" s="6"/>
      <c r="AC2046" s="6"/>
      <c r="AD2046" s="6"/>
      <c r="AE2046" s="6"/>
      <c r="AF2046" s="6"/>
      <c r="AG2046" s="6"/>
      <c r="AH2046" s="6"/>
      <c r="AI2046" s="6"/>
      <c r="AJ2046" s="6"/>
    </row>
    <row r="2047" spans="1:36" ht="11.25" customHeight="1" x14ac:dyDescent="0.2">
      <c r="A2047" s="57" t="s">
        <v>30</v>
      </c>
      <c r="B2047" s="57" t="s">
        <v>46</v>
      </c>
      <c r="C2047" s="57" t="s">
        <v>23</v>
      </c>
      <c r="D2047" s="57" t="s">
        <v>47</v>
      </c>
      <c r="E2047" s="57" t="s">
        <v>25</v>
      </c>
      <c r="F2047" s="57" t="s">
        <v>25</v>
      </c>
      <c r="G2047" s="57" t="s">
        <v>25</v>
      </c>
      <c r="H2047" s="57" t="s">
        <v>25</v>
      </c>
      <c r="I2047" s="82">
        <v>44256</v>
      </c>
      <c r="J2047" s="83">
        <f>EFEITO!$J$2047*EFEITO!$Y$1666</f>
        <v>0</v>
      </c>
      <c r="K2047" s="83">
        <f ca="1">EFEITO!$L$2047*EFEITO!$Z$1666</f>
        <v>4035.4435961539748</v>
      </c>
      <c r="L2047" s="83">
        <f>EFEITO!$N$2047*EFEITO!$AA$1666</f>
        <v>2367.8056549738558</v>
      </c>
      <c r="M2047" s="83">
        <f>$J$2047-EFEITO!$K$2047*EFEITO!$Y$2047</f>
        <v>0</v>
      </c>
      <c r="N2047" s="83">
        <f ca="1">$K$2047-EFEITO!$M$2047*EFEITO!$Z$2047</f>
        <v>484.25323153847694</v>
      </c>
      <c r="O2047" s="83">
        <f>$L$2047-EFEITO!$O$2047*EFEITO!$AA$2047</f>
        <v>284.13667859686257</v>
      </c>
      <c r="P2047" s="61"/>
      <c r="Q2047" s="61"/>
      <c r="R2047" s="61"/>
      <c r="S2047" s="61"/>
      <c r="T2047" s="61"/>
      <c r="U2047" s="61"/>
      <c r="V2047" s="61"/>
      <c r="W2047" s="61"/>
      <c r="X2047" s="6"/>
      <c r="Y2047" s="6"/>
      <c r="Z2047" s="6"/>
      <c r="AA2047" s="6"/>
      <c r="AB2047" s="6"/>
      <c r="AC2047" s="6"/>
      <c r="AD2047" s="6"/>
      <c r="AE2047" s="6"/>
      <c r="AF2047" s="6"/>
      <c r="AG2047" s="6"/>
      <c r="AH2047" s="6"/>
      <c r="AI2047" s="6"/>
      <c r="AJ2047" s="6"/>
    </row>
    <row r="2048" spans="1:36" ht="11.25" customHeight="1" x14ac:dyDescent="0.2">
      <c r="A2048" s="57" t="s">
        <v>30</v>
      </c>
      <c r="B2048" s="57" t="s">
        <v>46</v>
      </c>
      <c r="C2048" s="57" t="s">
        <v>23</v>
      </c>
      <c r="D2048" s="57" t="s">
        <v>47</v>
      </c>
      <c r="E2048" s="57" t="s">
        <v>25</v>
      </c>
      <c r="F2048" s="57" t="s">
        <v>25</v>
      </c>
      <c r="G2048" s="57" t="s">
        <v>25</v>
      </c>
      <c r="H2048" s="57" t="s">
        <v>25</v>
      </c>
      <c r="I2048" s="82">
        <v>44256</v>
      </c>
      <c r="J2048" s="83">
        <f>EFEITO!$J$2048*EFEITO!$Y$1666</f>
        <v>0</v>
      </c>
      <c r="K2048" s="83">
        <f ca="1">EFEITO!$L$2048*EFEITO!$Z$1666</f>
        <v>689.37350751419103</v>
      </c>
      <c r="L2048" s="83">
        <f>EFEITO!$N$2048*EFEITO!$AA$1666</f>
        <v>404.49146434284143</v>
      </c>
      <c r="M2048" s="83">
        <f>$J$2048-EFEITO!$K$2048*EFEITO!$Y$2048</f>
        <v>0</v>
      </c>
      <c r="N2048" s="83">
        <f ca="1">$K$2048-EFEITO!$M$2048*EFEITO!$Z$2048</f>
        <v>82.724820901702969</v>
      </c>
      <c r="O2048" s="83">
        <f>$L$2048-EFEITO!$O$2048*EFEITO!$AA$2048</f>
        <v>48.538975721140957</v>
      </c>
      <c r="P2048" s="61"/>
      <c r="Q2048" s="61"/>
      <c r="R2048" s="61"/>
      <c r="S2048" s="61"/>
      <c r="T2048" s="61"/>
      <c r="U2048" s="61"/>
      <c r="V2048" s="61"/>
      <c r="W2048" s="61"/>
      <c r="X2048" s="6"/>
      <c r="Y2048" s="6"/>
      <c r="Z2048" s="6"/>
      <c r="AA2048" s="6"/>
      <c r="AB2048" s="6"/>
      <c r="AC2048" s="6"/>
      <c r="AD2048" s="6"/>
      <c r="AE2048" s="6"/>
      <c r="AF2048" s="6"/>
      <c r="AG2048" s="6"/>
      <c r="AH2048" s="6"/>
      <c r="AI2048" s="6"/>
      <c r="AJ2048" s="6"/>
    </row>
    <row r="2049" spans="1:36" ht="11.25" customHeight="1" x14ac:dyDescent="0.2">
      <c r="A2049" s="57" t="s">
        <v>21</v>
      </c>
      <c r="B2049" s="57" t="s">
        <v>46</v>
      </c>
      <c r="C2049" s="57" t="s">
        <v>23</v>
      </c>
      <c r="D2049" s="57" t="s">
        <v>47</v>
      </c>
      <c r="E2049" s="57" t="s">
        <v>25</v>
      </c>
      <c r="F2049" s="57" t="s">
        <v>25</v>
      </c>
      <c r="G2049" s="57" t="s">
        <v>25</v>
      </c>
      <c r="H2049" s="57" t="s">
        <v>25</v>
      </c>
      <c r="I2049" s="82">
        <v>44287</v>
      </c>
      <c r="J2049" s="83">
        <f>EFEITO!$J$2049*EFEITO!$Y$1666</f>
        <v>0</v>
      </c>
      <c r="K2049" s="83">
        <f ca="1">EFEITO!$L$2049*EFEITO!$Z$1666</f>
        <v>783255.44101693365</v>
      </c>
      <c r="L2049" s="83">
        <f>EFEITO!$N$2049*EFEITO!$AA$1666</f>
        <v>459576.90111106524</v>
      </c>
      <c r="M2049" s="83">
        <f>$J$2049-EFEITO!$K$2049*EFEITO!$Y$2049</f>
        <v>0</v>
      </c>
      <c r="N2049" s="83">
        <f ca="1">$K$2049-EFEITO!$M$2049*EFEITO!$Z$2049</f>
        <v>93990.652922032052</v>
      </c>
      <c r="O2049" s="83">
        <f>$L$2049-EFEITO!$O$2049*EFEITO!$AA$2049</f>
        <v>55149.228133327793</v>
      </c>
      <c r="P2049" s="61"/>
      <c r="Q2049" s="61"/>
      <c r="R2049" s="61"/>
      <c r="S2049" s="61"/>
      <c r="T2049" s="61"/>
      <c r="U2049" s="61"/>
      <c r="V2049" s="61"/>
      <c r="W2049" s="61"/>
      <c r="X2049" s="6"/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</row>
    <row r="2050" spans="1:36" ht="11.25" customHeight="1" x14ac:dyDescent="0.2">
      <c r="A2050" s="57" t="s">
        <v>27</v>
      </c>
      <c r="B2050" s="57" t="s">
        <v>46</v>
      </c>
      <c r="C2050" s="57" t="s">
        <v>23</v>
      </c>
      <c r="D2050" s="57" t="s">
        <v>47</v>
      </c>
      <c r="E2050" s="57" t="s">
        <v>25</v>
      </c>
      <c r="F2050" s="57" t="s">
        <v>25</v>
      </c>
      <c r="G2050" s="57" t="s">
        <v>25</v>
      </c>
      <c r="H2050" s="57" t="s">
        <v>25</v>
      </c>
      <c r="I2050" s="82">
        <v>44287</v>
      </c>
      <c r="J2050" s="83">
        <f>EFEITO!$J$2050*EFEITO!$Y$1666</f>
        <v>0</v>
      </c>
      <c r="K2050" s="83">
        <f ca="1">EFEITO!$L$2050*EFEITO!$Z$1666</f>
        <v>-18070.601950092783</v>
      </c>
      <c r="L2050" s="83">
        <f>EFEITO!$N$2050*EFEITO!$AA$1666</f>
        <v>-10602.966555396923</v>
      </c>
      <c r="M2050" s="83">
        <f>$J$2050-EFEITO!$K$2050*EFEITO!$Y$2050</f>
        <v>0</v>
      </c>
      <c r="N2050" s="83">
        <f ca="1">$K$2050-EFEITO!$M$2050*EFEITO!$Z$2050</f>
        <v>-2168.472234011133</v>
      </c>
      <c r="O2050" s="83">
        <f>$L$2050-EFEITO!$O$2050*EFEITO!$AA$2050</f>
        <v>-1272.3559866476298</v>
      </c>
      <c r="P2050" s="61"/>
      <c r="Q2050" s="61"/>
      <c r="R2050" s="61"/>
      <c r="S2050" s="61"/>
      <c r="T2050" s="61"/>
      <c r="U2050" s="61"/>
      <c r="V2050" s="61"/>
      <c r="W2050" s="61"/>
      <c r="X2050" s="6"/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</row>
    <row r="2051" spans="1:36" ht="11.25" customHeight="1" x14ac:dyDescent="0.2">
      <c r="A2051" s="57" t="s">
        <v>28</v>
      </c>
      <c r="B2051" s="57" t="s">
        <v>46</v>
      </c>
      <c r="C2051" s="57" t="s">
        <v>23</v>
      </c>
      <c r="D2051" s="57" t="s">
        <v>47</v>
      </c>
      <c r="E2051" s="57" t="s">
        <v>25</v>
      </c>
      <c r="F2051" s="57" t="s">
        <v>25</v>
      </c>
      <c r="G2051" s="57" t="s">
        <v>25</v>
      </c>
      <c r="H2051" s="57" t="s">
        <v>25</v>
      </c>
      <c r="I2051" s="82">
        <v>44287</v>
      </c>
      <c r="J2051" s="83">
        <f>EFEITO!$J$2051*EFEITO!$Y$1666</f>
        <v>0</v>
      </c>
      <c r="K2051" s="83">
        <f ca="1">EFEITO!$L$2051*EFEITO!$Z$1666</f>
        <v>1951270.953239152</v>
      </c>
      <c r="L2051" s="83">
        <f>EFEITO!$N$2051*EFEITO!$AA$1666</f>
        <v>1144912.6440199171</v>
      </c>
      <c r="M2051" s="83">
        <f>$J$2051-EFEITO!$K$2051*EFEITO!$Y$2051</f>
        <v>0</v>
      </c>
      <c r="N2051" s="83">
        <f ca="1">$K$2051-EFEITO!$M$2051*EFEITO!$Z$2051</f>
        <v>234152.51438869839</v>
      </c>
      <c r="O2051" s="83">
        <f>$L$2051-EFEITO!$O$2051*EFEITO!$AA$2051</f>
        <v>137389.51728238992</v>
      </c>
      <c r="P2051" s="61"/>
      <c r="Q2051" s="61"/>
      <c r="R2051" s="61"/>
      <c r="S2051" s="61"/>
      <c r="T2051" s="61"/>
      <c r="U2051" s="61"/>
      <c r="V2051" s="61"/>
      <c r="W2051" s="61"/>
      <c r="X2051" s="6"/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</row>
    <row r="2052" spans="1:36" ht="11.25" customHeight="1" x14ac:dyDescent="0.2">
      <c r="A2052" s="57" t="s">
        <v>29</v>
      </c>
      <c r="B2052" s="57" t="s">
        <v>46</v>
      </c>
      <c r="C2052" s="57" t="s">
        <v>23</v>
      </c>
      <c r="D2052" s="57" t="s">
        <v>47</v>
      </c>
      <c r="E2052" s="57" t="s">
        <v>25</v>
      </c>
      <c r="F2052" s="57" t="s">
        <v>25</v>
      </c>
      <c r="G2052" s="57" t="s">
        <v>25</v>
      </c>
      <c r="H2052" s="57" t="s">
        <v>25</v>
      </c>
      <c r="I2052" s="82">
        <v>44287</v>
      </c>
      <c r="J2052" s="83">
        <f>EFEITO!$J$2052*EFEITO!$Y$1666</f>
        <v>0</v>
      </c>
      <c r="K2052" s="83">
        <f ca="1">EFEITO!$L$2052*EFEITO!$Z$1666</f>
        <v>-19669.178577363018</v>
      </c>
      <c r="L2052" s="83">
        <f>EFEITO!$N$2052*EFEITO!$AA$1666</f>
        <v>-11540.935006143438</v>
      </c>
      <c r="M2052" s="83">
        <f>$J$2052-EFEITO!$K$2052*EFEITO!$Y$2052</f>
        <v>0</v>
      </c>
      <c r="N2052" s="83">
        <f ca="1">$K$2052-EFEITO!$M$2052*EFEITO!$Z$2052</f>
        <v>-2360.3014292835651</v>
      </c>
      <c r="O2052" s="83">
        <f>$L$2052-EFEITO!$O$2052*EFEITO!$AA$2052</f>
        <v>-1384.9122007372116</v>
      </c>
      <c r="P2052" s="61"/>
      <c r="Q2052" s="61"/>
      <c r="R2052" s="61"/>
      <c r="S2052" s="61"/>
      <c r="T2052" s="61"/>
      <c r="U2052" s="61"/>
      <c r="V2052" s="61"/>
      <c r="W2052" s="61"/>
      <c r="X2052" s="6"/>
      <c r="Y2052" s="6"/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</row>
    <row r="2053" spans="1:36" ht="11.25" customHeight="1" x14ac:dyDescent="0.2">
      <c r="A2053" s="57" t="s">
        <v>30</v>
      </c>
      <c r="B2053" s="57" t="s">
        <v>46</v>
      </c>
      <c r="C2053" s="57" t="s">
        <v>23</v>
      </c>
      <c r="D2053" s="57" t="s">
        <v>47</v>
      </c>
      <c r="E2053" s="57" t="s">
        <v>25</v>
      </c>
      <c r="F2053" s="57" t="s">
        <v>25</v>
      </c>
      <c r="G2053" s="57" t="s">
        <v>25</v>
      </c>
      <c r="H2053" s="57" t="s">
        <v>25</v>
      </c>
      <c r="I2053" s="82">
        <v>44287</v>
      </c>
      <c r="J2053" s="83">
        <f>EFEITO!$J$2053*EFEITO!$Y$1666</f>
        <v>0</v>
      </c>
      <c r="K2053" s="83">
        <f ca="1">EFEITO!$L$2053*EFEITO!$Z$1666</f>
        <v>5534.2358141807872</v>
      </c>
      <c r="L2053" s="83">
        <f>EFEITO!$N$2053*EFEITO!$AA$1666</f>
        <v>3247.2253779646476</v>
      </c>
      <c r="M2053" s="83">
        <f>$J$2053-EFEITO!$K$2053*EFEITO!$Y$2053</f>
        <v>0</v>
      </c>
      <c r="N2053" s="83">
        <f ca="1">$K$2053-EFEITO!$M$2053*EFEITO!$Z$2053</f>
        <v>664.10829770169494</v>
      </c>
      <c r="O2053" s="83">
        <f>$L$2053-EFEITO!$O$2053*EFEITO!$AA$2053</f>
        <v>389.66704535575718</v>
      </c>
      <c r="P2053" s="61"/>
      <c r="Q2053" s="61"/>
      <c r="R2053" s="61"/>
      <c r="S2053" s="61"/>
      <c r="T2053" s="61"/>
      <c r="U2053" s="61"/>
      <c r="V2053" s="61"/>
      <c r="W2053" s="61"/>
      <c r="X2053" s="6"/>
      <c r="Y2053" s="6"/>
      <c r="Z2053" s="6"/>
      <c r="AA2053" s="6"/>
      <c r="AB2053" s="6"/>
      <c r="AC2053" s="6"/>
      <c r="AD2053" s="6"/>
      <c r="AE2053" s="6"/>
      <c r="AF2053" s="6"/>
      <c r="AG2053" s="6"/>
      <c r="AH2053" s="6"/>
      <c r="AI2053" s="6"/>
      <c r="AJ2053" s="6"/>
    </row>
    <row r="2054" spans="1:36" ht="11.25" customHeight="1" x14ac:dyDescent="0.2">
      <c r="A2054" s="57" t="s">
        <v>21</v>
      </c>
      <c r="B2054" s="57" t="s">
        <v>46</v>
      </c>
      <c r="C2054" s="57" t="s">
        <v>23</v>
      </c>
      <c r="D2054" s="57" t="s">
        <v>47</v>
      </c>
      <c r="E2054" s="57" t="s">
        <v>25</v>
      </c>
      <c r="F2054" s="57" t="s">
        <v>25</v>
      </c>
      <c r="G2054" s="57" t="s">
        <v>25</v>
      </c>
      <c r="H2054" s="57" t="s">
        <v>25</v>
      </c>
      <c r="I2054" s="82">
        <v>44317</v>
      </c>
      <c r="J2054" s="83">
        <f>EFEITO!$J$2054*EFEITO!$Y$1666</f>
        <v>0</v>
      </c>
      <c r="K2054" s="83">
        <f ca="1">EFEITO!$L$2054*EFEITO!$Z$1666</f>
        <v>745083.59906265233</v>
      </c>
      <c r="L2054" s="83">
        <f>EFEITO!$N$2054*EFEITO!$AA$1666</f>
        <v>437179.48653035931</v>
      </c>
      <c r="M2054" s="83">
        <f>$J$2054-EFEITO!$K$2054*EFEITO!$Y$2054</f>
        <v>0</v>
      </c>
      <c r="N2054" s="83">
        <f ca="1">$K$2054-EFEITO!$M$2054*EFEITO!$Z$2054</f>
        <v>89410.031887518242</v>
      </c>
      <c r="O2054" s="83">
        <f>$L$2054-EFEITO!$O$2054*EFEITO!$AA$2054</f>
        <v>52461.538383643085</v>
      </c>
      <c r="P2054" s="61"/>
      <c r="Q2054" s="61"/>
      <c r="R2054" s="61"/>
      <c r="S2054" s="61"/>
      <c r="T2054" s="61"/>
      <c r="U2054" s="61"/>
      <c r="V2054" s="61"/>
      <c r="W2054" s="61"/>
      <c r="X2054" s="6"/>
      <c r="Y2054" s="6"/>
      <c r="Z2054" s="6"/>
      <c r="AA2054" s="6"/>
      <c r="AB2054" s="6"/>
      <c r="AC2054" s="6"/>
      <c r="AD2054" s="6"/>
      <c r="AE2054" s="6"/>
      <c r="AF2054" s="6"/>
      <c r="AG2054" s="6"/>
      <c r="AH2054" s="6"/>
      <c r="AI2054" s="6"/>
      <c r="AJ2054" s="6"/>
    </row>
    <row r="2055" spans="1:36" ht="11.25" customHeight="1" x14ac:dyDescent="0.2">
      <c r="A2055" s="57" t="s">
        <v>27</v>
      </c>
      <c r="B2055" s="57" t="s">
        <v>46</v>
      </c>
      <c r="C2055" s="57" t="s">
        <v>23</v>
      </c>
      <c r="D2055" s="57" t="s">
        <v>47</v>
      </c>
      <c r="E2055" s="57" t="s">
        <v>25</v>
      </c>
      <c r="F2055" s="57" t="s">
        <v>25</v>
      </c>
      <c r="G2055" s="57" t="s">
        <v>25</v>
      </c>
      <c r="H2055" s="57" t="s">
        <v>25</v>
      </c>
      <c r="I2055" s="82">
        <v>44317</v>
      </c>
      <c r="J2055" s="83">
        <f>EFEITO!$J$2055*EFEITO!$Y$1666</f>
        <v>0</v>
      </c>
      <c r="K2055" s="83">
        <f ca="1">EFEITO!$L$2055*EFEITO!$Z$1666</f>
        <v>-6100.0184797894208</v>
      </c>
      <c r="L2055" s="83">
        <f>EFEITO!$N$2055*EFEITO!$AA$1666</f>
        <v>-3579.1996363562375</v>
      </c>
      <c r="M2055" s="83">
        <f>$J$2055-EFEITO!$K$2055*EFEITO!$Y$2055</f>
        <v>0</v>
      </c>
      <c r="N2055" s="83">
        <f ca="1">$K$2055-EFEITO!$M$2055*EFEITO!$Z$2055</f>
        <v>-732.00221757473082</v>
      </c>
      <c r="O2055" s="83">
        <f>$L$2055-EFEITO!$O$2055*EFEITO!$AA$2055</f>
        <v>-429.50395636274834</v>
      </c>
      <c r="P2055" s="61"/>
      <c r="Q2055" s="61"/>
      <c r="R2055" s="61"/>
      <c r="S2055" s="61"/>
      <c r="T2055" s="61"/>
      <c r="U2055" s="61"/>
      <c r="V2055" s="61"/>
      <c r="W2055" s="61"/>
      <c r="X2055" s="6"/>
      <c r="Y2055" s="6"/>
      <c r="Z2055" s="6"/>
      <c r="AA2055" s="6"/>
      <c r="AB2055" s="6"/>
      <c r="AC2055" s="6"/>
      <c r="AD2055" s="6"/>
      <c r="AE2055" s="6"/>
      <c r="AF2055" s="6"/>
      <c r="AG2055" s="6"/>
      <c r="AH2055" s="6"/>
      <c r="AI2055" s="6"/>
      <c r="AJ2055" s="6"/>
    </row>
    <row r="2056" spans="1:36" ht="11.25" customHeight="1" x14ac:dyDescent="0.2">
      <c r="A2056" s="57" t="s">
        <v>28</v>
      </c>
      <c r="B2056" s="57" t="s">
        <v>46</v>
      </c>
      <c r="C2056" s="57" t="s">
        <v>23</v>
      </c>
      <c r="D2056" s="57" t="s">
        <v>47</v>
      </c>
      <c r="E2056" s="57" t="s">
        <v>25</v>
      </c>
      <c r="F2056" s="57" t="s">
        <v>25</v>
      </c>
      <c r="G2056" s="57" t="s">
        <v>25</v>
      </c>
      <c r="H2056" s="57" t="s">
        <v>25</v>
      </c>
      <c r="I2056" s="82">
        <v>44317</v>
      </c>
      <c r="J2056" s="83">
        <f>EFEITO!$J$2056*EFEITO!$Y$1666</f>
        <v>0</v>
      </c>
      <c r="K2056" s="83">
        <f ca="1">EFEITO!$L$2056*EFEITO!$Z$1666</f>
        <v>1972777.2792902503</v>
      </c>
      <c r="L2056" s="83">
        <f>EFEITO!$N$2056*EFEITO!$AA$1666</f>
        <v>1157531.529460426</v>
      </c>
      <c r="M2056" s="83">
        <f>$J$2056-EFEITO!$K$2056*EFEITO!$Y$2056</f>
        <v>0</v>
      </c>
      <c r="N2056" s="83">
        <f ca="1">$K$2056-EFEITO!$M$2056*EFEITO!$Z$2056</f>
        <v>236733.27351483004</v>
      </c>
      <c r="O2056" s="83">
        <f>$L$2056-EFEITO!$O$2056*EFEITO!$AA$2056</f>
        <v>138903.78353525093</v>
      </c>
      <c r="P2056" s="61"/>
      <c r="Q2056" s="61"/>
      <c r="R2056" s="61"/>
      <c r="S2056" s="61"/>
      <c r="T2056" s="61"/>
      <c r="U2056" s="61"/>
      <c r="V2056" s="61"/>
      <c r="W2056" s="61"/>
      <c r="X2056" s="6"/>
      <c r="Y2056" s="6"/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</row>
    <row r="2057" spans="1:36" ht="11.25" customHeight="1" x14ac:dyDescent="0.2">
      <c r="A2057" s="57" t="s">
        <v>29</v>
      </c>
      <c r="B2057" s="57" t="s">
        <v>46</v>
      </c>
      <c r="C2057" s="57" t="s">
        <v>23</v>
      </c>
      <c r="D2057" s="57" t="s">
        <v>47</v>
      </c>
      <c r="E2057" s="57" t="s">
        <v>25</v>
      </c>
      <c r="F2057" s="57" t="s">
        <v>25</v>
      </c>
      <c r="G2057" s="57" t="s">
        <v>25</v>
      </c>
      <c r="H2057" s="57" t="s">
        <v>25</v>
      </c>
      <c r="I2057" s="82">
        <v>44317</v>
      </c>
      <c r="J2057" s="83">
        <f>EFEITO!$J$2057*EFEITO!$Y$1666</f>
        <v>0</v>
      </c>
      <c r="K2057" s="83">
        <f ca="1">EFEITO!$L$2057*EFEITO!$Z$1666</f>
        <v>-16554.588057374214</v>
      </c>
      <c r="L2057" s="83">
        <f>EFEITO!$N$2057*EFEITO!$AA$1666</f>
        <v>-9713.4419758391523</v>
      </c>
      <c r="M2057" s="83">
        <f>$J$2057-EFEITO!$K$2057*EFEITO!$Y$2057</f>
        <v>0</v>
      </c>
      <c r="N2057" s="83">
        <f ca="1">$K$2057-EFEITO!$M$2057*EFEITO!$Z$2057</f>
        <v>-1986.5505668849073</v>
      </c>
      <c r="O2057" s="83">
        <f>$L$2057-EFEITO!$O$2057*EFEITO!$AA$2057</f>
        <v>-1165.6130371006966</v>
      </c>
      <c r="P2057" s="61"/>
      <c r="Q2057" s="61"/>
      <c r="R2057" s="61"/>
      <c r="S2057" s="61"/>
      <c r="T2057" s="61"/>
      <c r="U2057" s="61"/>
      <c r="V2057" s="61"/>
      <c r="W2057" s="61"/>
      <c r="X2057" s="6"/>
      <c r="Y2057" s="6"/>
      <c r="Z2057" s="6"/>
      <c r="AA2057" s="6"/>
      <c r="AB2057" s="6"/>
      <c r="AC2057" s="6"/>
      <c r="AD2057" s="6"/>
      <c r="AE2057" s="6"/>
      <c r="AF2057" s="6"/>
      <c r="AG2057" s="6"/>
      <c r="AH2057" s="6"/>
      <c r="AI2057" s="6"/>
      <c r="AJ2057" s="6"/>
    </row>
    <row r="2058" spans="1:36" ht="11.25" customHeight="1" x14ac:dyDescent="0.2">
      <c r="A2058" s="57" t="s">
        <v>30</v>
      </c>
      <c r="B2058" s="57" t="s">
        <v>46</v>
      </c>
      <c r="C2058" s="57" t="s">
        <v>23</v>
      </c>
      <c r="D2058" s="57" t="s">
        <v>47</v>
      </c>
      <c r="E2058" s="57" t="s">
        <v>25</v>
      </c>
      <c r="F2058" s="57" t="s">
        <v>25</v>
      </c>
      <c r="G2058" s="57" t="s">
        <v>25</v>
      </c>
      <c r="H2058" s="57" t="s">
        <v>25</v>
      </c>
      <c r="I2058" s="82">
        <v>44317</v>
      </c>
      <c r="J2058" s="83">
        <f>EFEITO!$J$2058*EFEITO!$Y$1666</f>
        <v>0</v>
      </c>
      <c r="K2058" s="83">
        <f ca="1">EFEITO!$L$2058*EFEITO!$Z$1666</f>
        <v>8412.7880869237324</v>
      </c>
      <c r="L2058" s="83">
        <f>EFEITO!$N$2058*EFEITO!$AA$1666</f>
        <v>4936.2224329685923</v>
      </c>
      <c r="M2058" s="83">
        <f>$J$2058-EFEITO!$K$2058*EFEITO!$Y$2058</f>
        <v>0</v>
      </c>
      <c r="N2058" s="83">
        <f ca="1">$K$2058-EFEITO!$M$2058*EFEITO!$Z$2058</f>
        <v>1009.5345704308484</v>
      </c>
      <c r="O2058" s="83">
        <f>$L$2058-EFEITO!$O$2058*EFEITO!$AA$2058</f>
        <v>592.34669195623064</v>
      </c>
      <c r="P2058" s="61"/>
      <c r="Q2058" s="61"/>
      <c r="R2058" s="61"/>
      <c r="S2058" s="61"/>
      <c r="T2058" s="61"/>
      <c r="U2058" s="61"/>
      <c r="V2058" s="61"/>
      <c r="W2058" s="61"/>
      <c r="X2058" s="6"/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</row>
    <row r="2059" spans="1:36" ht="11.25" customHeight="1" x14ac:dyDescent="0.2">
      <c r="A2059" s="57" t="s">
        <v>21</v>
      </c>
      <c r="B2059" s="57" t="s">
        <v>46</v>
      </c>
      <c r="C2059" s="57" t="s">
        <v>23</v>
      </c>
      <c r="D2059" s="57" t="s">
        <v>47</v>
      </c>
      <c r="E2059" s="57" t="s">
        <v>25</v>
      </c>
      <c r="F2059" s="57" t="s">
        <v>25</v>
      </c>
      <c r="G2059" s="57" t="s">
        <v>25</v>
      </c>
      <c r="H2059" s="57" t="s">
        <v>25</v>
      </c>
      <c r="I2059" s="82">
        <v>44348</v>
      </c>
      <c r="J2059" s="83">
        <f>EFEITO!$J$2059*EFEITO!$Y$1666</f>
        <v>0</v>
      </c>
      <c r="K2059" s="83">
        <f ca="1">EFEITO!$L$2059*EFEITO!$Z$1666</f>
        <v>802028.58599048143</v>
      </c>
      <c r="L2059" s="83">
        <f>EFEITO!$N$2059*EFEITO!$AA$1666</f>
        <v>470592.08637406217</v>
      </c>
      <c r="M2059" s="83">
        <f>$J$2059-EFEITO!$K$2059*EFEITO!$Y$2059</f>
        <v>0</v>
      </c>
      <c r="N2059" s="83">
        <f ca="1">$K$2059-EFEITO!$M$2059*EFEITO!$Z$2059</f>
        <v>96243.430318857776</v>
      </c>
      <c r="O2059" s="83">
        <f>$L$2059-EFEITO!$O$2059*EFEITO!$AA$2059</f>
        <v>56471.050364887458</v>
      </c>
      <c r="P2059" s="61"/>
      <c r="Q2059" s="61"/>
      <c r="R2059" s="61"/>
      <c r="S2059" s="61"/>
      <c r="T2059" s="61"/>
      <c r="U2059" s="61"/>
      <c r="V2059" s="61"/>
      <c r="W2059" s="61"/>
      <c r="X2059" s="6"/>
      <c r="Y2059" s="6"/>
      <c r="Z2059" s="6"/>
      <c r="AA2059" s="6"/>
      <c r="AB2059" s="6"/>
      <c r="AC2059" s="6"/>
      <c r="AD2059" s="6"/>
      <c r="AE2059" s="6"/>
      <c r="AF2059" s="6"/>
      <c r="AG2059" s="6"/>
      <c r="AH2059" s="6"/>
      <c r="AI2059" s="6"/>
      <c r="AJ2059" s="6"/>
    </row>
    <row r="2060" spans="1:36" ht="11.25" customHeight="1" x14ac:dyDescent="0.2">
      <c r="A2060" s="57" t="s">
        <v>27</v>
      </c>
      <c r="B2060" s="57" t="s">
        <v>46</v>
      </c>
      <c r="C2060" s="57" t="s">
        <v>23</v>
      </c>
      <c r="D2060" s="57" t="s">
        <v>47</v>
      </c>
      <c r="E2060" s="57" t="s">
        <v>25</v>
      </c>
      <c r="F2060" s="57" t="s">
        <v>25</v>
      </c>
      <c r="G2060" s="57" t="s">
        <v>25</v>
      </c>
      <c r="H2060" s="57" t="s">
        <v>25</v>
      </c>
      <c r="I2060" s="82">
        <v>44348</v>
      </c>
      <c r="J2060" s="83">
        <f>EFEITO!$J$2060*EFEITO!$Y$1666</f>
        <v>0</v>
      </c>
      <c r="K2060" s="83">
        <f ca="1">EFEITO!$L$2060*EFEITO!$Z$1666</f>
        <v>-13659.320629783386</v>
      </c>
      <c r="L2060" s="83">
        <f>EFEITO!$N$2060*EFEITO!$AA$1666</f>
        <v>-8014.637265931965</v>
      </c>
      <c r="M2060" s="83">
        <f>$J$2060-EFEITO!$K$2060*EFEITO!$Y$2060</f>
        <v>0</v>
      </c>
      <c r="N2060" s="83">
        <f ca="1">$K$2060-EFEITO!$M$2060*EFEITO!$Z$2060</f>
        <v>-1639.1184755740069</v>
      </c>
      <c r="O2060" s="83">
        <f>$L$2060-EFEITO!$O$2060*EFEITO!$AA$2060</f>
        <v>-961.75647191183543</v>
      </c>
      <c r="P2060" s="61"/>
      <c r="Q2060" s="61"/>
      <c r="R2060" s="61"/>
      <c r="S2060" s="61"/>
      <c r="T2060" s="61"/>
      <c r="U2060" s="61"/>
      <c r="V2060" s="61"/>
      <c r="W2060" s="61"/>
      <c r="X2060" s="6"/>
      <c r="Y2060" s="6"/>
      <c r="Z2060" s="6"/>
      <c r="AA2060" s="6"/>
      <c r="AB2060" s="6"/>
      <c r="AC2060" s="6"/>
      <c r="AD2060" s="6"/>
      <c r="AE2060" s="6"/>
      <c r="AF2060" s="6"/>
      <c r="AG2060" s="6"/>
      <c r="AH2060" s="6"/>
      <c r="AI2060" s="6"/>
      <c r="AJ2060" s="6"/>
    </row>
    <row r="2061" spans="1:36" ht="11.25" customHeight="1" x14ac:dyDescent="0.2">
      <c r="A2061" s="57" t="s">
        <v>28</v>
      </c>
      <c r="B2061" s="57" t="s">
        <v>46</v>
      </c>
      <c r="C2061" s="57" t="s">
        <v>23</v>
      </c>
      <c r="D2061" s="57" t="s">
        <v>47</v>
      </c>
      <c r="E2061" s="57" t="s">
        <v>25</v>
      </c>
      <c r="F2061" s="57" t="s">
        <v>25</v>
      </c>
      <c r="G2061" s="57" t="s">
        <v>25</v>
      </c>
      <c r="H2061" s="57" t="s">
        <v>25</v>
      </c>
      <c r="I2061" s="82">
        <v>44348</v>
      </c>
      <c r="J2061" s="83">
        <f>EFEITO!$J$2061*EFEITO!$Y$1666</f>
        <v>0</v>
      </c>
      <c r="K2061" s="83">
        <f ca="1">EFEITO!$L$2061*EFEITO!$Z$1666</f>
        <v>2011762.5921137955</v>
      </c>
      <c r="L2061" s="83">
        <f>EFEITO!$N$2061*EFEITO!$AA$1666</f>
        <v>1180406.2499130899</v>
      </c>
      <c r="M2061" s="83">
        <f>$J$2061-EFEITO!$K$2061*EFEITO!$Y$2061</f>
        <v>0</v>
      </c>
      <c r="N2061" s="83">
        <f ca="1">$K$2061-EFEITO!$M$2061*EFEITO!$Z$2061</f>
        <v>241411.51105365553</v>
      </c>
      <c r="O2061" s="83">
        <f>$L$2061-EFEITO!$O$2061*EFEITO!$AA$2061</f>
        <v>141648.7499895707</v>
      </c>
      <c r="P2061" s="61"/>
      <c r="Q2061" s="61"/>
      <c r="R2061" s="61"/>
      <c r="S2061" s="61"/>
      <c r="T2061" s="61"/>
      <c r="U2061" s="61"/>
      <c r="V2061" s="61"/>
      <c r="W2061" s="61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</row>
    <row r="2062" spans="1:36" ht="11.25" customHeight="1" x14ac:dyDescent="0.2">
      <c r="A2062" s="57" t="s">
        <v>29</v>
      </c>
      <c r="B2062" s="57" t="s">
        <v>46</v>
      </c>
      <c r="C2062" s="57" t="s">
        <v>23</v>
      </c>
      <c r="D2062" s="57" t="s">
        <v>47</v>
      </c>
      <c r="E2062" s="57" t="s">
        <v>25</v>
      </c>
      <c r="F2062" s="57" t="s">
        <v>25</v>
      </c>
      <c r="G2062" s="57" t="s">
        <v>25</v>
      </c>
      <c r="H2062" s="57" t="s">
        <v>25</v>
      </c>
      <c r="I2062" s="82">
        <v>44348</v>
      </c>
      <c r="J2062" s="83">
        <f>EFEITO!$J$2062*EFEITO!$Y$1666</f>
        <v>0</v>
      </c>
      <c r="K2062" s="83">
        <f ca="1">EFEITO!$L$2062*EFEITO!$Z$1666</f>
        <v>-76886.673181196995</v>
      </c>
      <c r="L2062" s="83">
        <f>EFEITO!$N$2062*EFEITO!$AA$1666</f>
        <v>-45113.429344935546</v>
      </c>
      <c r="M2062" s="83">
        <f>$J$2062-EFEITO!$K$2062*EFEITO!$Y$2062</f>
        <v>0</v>
      </c>
      <c r="N2062" s="83">
        <f ca="1">$K$2062-EFEITO!$M$2062*EFEITO!$Z$2062</f>
        <v>-9226.4007817436359</v>
      </c>
      <c r="O2062" s="83">
        <f>$L$2062-EFEITO!$O$2062*EFEITO!$AA$2062</f>
        <v>-5413.6115213922603</v>
      </c>
      <c r="P2062" s="61"/>
      <c r="Q2062" s="61"/>
      <c r="R2062" s="61"/>
      <c r="S2062" s="61"/>
      <c r="T2062" s="61"/>
      <c r="U2062" s="61"/>
      <c r="V2062" s="61"/>
      <c r="W2062" s="61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</row>
    <row r="2063" spans="1:36" ht="11.25" customHeight="1" x14ac:dyDescent="0.2">
      <c r="A2063" s="57" t="s">
        <v>30</v>
      </c>
      <c r="B2063" s="57" t="s">
        <v>46</v>
      </c>
      <c r="C2063" s="57" t="s">
        <v>23</v>
      </c>
      <c r="D2063" s="57" t="s">
        <v>47</v>
      </c>
      <c r="E2063" s="57" t="s">
        <v>25</v>
      </c>
      <c r="F2063" s="57" t="s">
        <v>25</v>
      </c>
      <c r="G2063" s="57" t="s">
        <v>25</v>
      </c>
      <c r="H2063" s="57" t="s">
        <v>25</v>
      </c>
      <c r="I2063" s="82">
        <v>44348</v>
      </c>
      <c r="J2063" s="83">
        <f>EFEITO!$J$2063*EFEITO!$Y$1666</f>
        <v>0</v>
      </c>
      <c r="K2063" s="83">
        <f ca="1">EFEITO!$L$2063*EFEITO!$Z$1666</f>
        <v>8119.513097319973</v>
      </c>
      <c r="L2063" s="83">
        <f>EFEITO!$N$2063*EFEITO!$AA$1666</f>
        <v>4764.1426696662375</v>
      </c>
      <c r="M2063" s="83">
        <f>$J$2063-EFEITO!$K$2063*EFEITO!$Y$2063</f>
        <v>0</v>
      </c>
      <c r="N2063" s="83">
        <f ca="1">$K$2063-EFEITO!$M$2063*EFEITO!$Z$2063</f>
        <v>974.34157167839749</v>
      </c>
      <c r="O2063" s="83">
        <f>$L$2063-EFEITO!$O$2063*EFEITO!$AA$2063</f>
        <v>571.69712035994871</v>
      </c>
      <c r="P2063" s="61"/>
      <c r="Q2063" s="61"/>
      <c r="R2063" s="61"/>
      <c r="S2063" s="61"/>
      <c r="T2063" s="61"/>
      <c r="U2063" s="61"/>
      <c r="V2063" s="61"/>
      <c r="W2063" s="61"/>
      <c r="X2063" s="6"/>
      <c r="Y2063" s="6"/>
      <c r="Z2063" s="6"/>
      <c r="AA2063" s="6"/>
      <c r="AB2063" s="6"/>
      <c r="AC2063" s="6"/>
      <c r="AD2063" s="6"/>
      <c r="AE2063" s="6"/>
      <c r="AF2063" s="6"/>
      <c r="AG2063" s="6"/>
      <c r="AH2063" s="6"/>
      <c r="AI2063" s="6"/>
      <c r="AJ2063" s="6"/>
    </row>
    <row r="2064" spans="1:36" ht="11.25" customHeight="1" x14ac:dyDescent="0.2">
      <c r="A2064" s="57" t="s">
        <v>21</v>
      </c>
      <c r="B2064" s="57" t="s">
        <v>46</v>
      </c>
      <c r="C2064" s="57" t="s">
        <v>23</v>
      </c>
      <c r="D2064" s="57" t="s">
        <v>47</v>
      </c>
      <c r="E2064" s="57" t="s">
        <v>25</v>
      </c>
      <c r="F2064" s="57" t="s">
        <v>25</v>
      </c>
      <c r="G2064" s="57" t="s">
        <v>25</v>
      </c>
      <c r="H2064" s="57" t="s">
        <v>25</v>
      </c>
      <c r="I2064" s="82">
        <v>44378</v>
      </c>
      <c r="J2064" s="83">
        <f>EFEITO!$J$2064*EFEITO!$Y$1666</f>
        <v>0</v>
      </c>
      <c r="K2064" s="83">
        <f ca="1">EFEITO!$L$2064*EFEITO!$Z$1666</f>
        <v>734020.19263272954</v>
      </c>
      <c r="L2064" s="83">
        <f>EFEITO!$N$2064*EFEITO!$AA$1666</f>
        <v>430688.0077910673</v>
      </c>
      <c r="M2064" s="83">
        <f>$J$2064-EFEITO!$K$2064*EFEITO!$Y$2064</f>
        <v>0</v>
      </c>
      <c r="N2064" s="83">
        <f ca="1">$K$2064-EFEITO!$M$2064*EFEITO!$Z$2064</f>
        <v>88082.42311592761</v>
      </c>
      <c r="O2064" s="83">
        <f>$L$2064-EFEITO!$O$2064*EFEITO!$AA$2064</f>
        <v>51682.560934928013</v>
      </c>
      <c r="P2064" s="61"/>
      <c r="Q2064" s="61"/>
      <c r="R2064" s="61"/>
      <c r="S2064" s="61"/>
      <c r="T2064" s="61"/>
      <c r="U2064" s="61"/>
      <c r="V2064" s="61"/>
      <c r="W2064" s="61"/>
      <c r="X2064" s="6"/>
      <c r="Y2064" s="6"/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</row>
    <row r="2065" spans="1:36" ht="11.25" customHeight="1" x14ac:dyDescent="0.2">
      <c r="A2065" s="57" t="s">
        <v>27</v>
      </c>
      <c r="B2065" s="57" t="s">
        <v>46</v>
      </c>
      <c r="C2065" s="57" t="s">
        <v>23</v>
      </c>
      <c r="D2065" s="57" t="s">
        <v>47</v>
      </c>
      <c r="E2065" s="57" t="s">
        <v>25</v>
      </c>
      <c r="F2065" s="57" t="s">
        <v>25</v>
      </c>
      <c r="G2065" s="57" t="s">
        <v>25</v>
      </c>
      <c r="H2065" s="57" t="s">
        <v>25</v>
      </c>
      <c r="I2065" s="82">
        <v>44378</v>
      </c>
      <c r="J2065" s="83">
        <f>EFEITO!$J$2065*EFEITO!$Y$1666</f>
        <v>0</v>
      </c>
      <c r="K2065" s="83">
        <f ca="1">EFEITO!$L$2065*EFEITO!$Z$1666</f>
        <v>-4706.0758694447823</v>
      </c>
      <c r="L2065" s="83">
        <f>EFEITO!$N$2065*EFEITO!$AA$1666</f>
        <v>-2761.3006577585156</v>
      </c>
      <c r="M2065" s="83">
        <f>$J$2065-EFEITO!$K$2065*EFEITO!$Y$2065</f>
        <v>0</v>
      </c>
      <c r="N2065" s="83">
        <f ca="1">$K$2065-EFEITO!$M$2065*EFEITO!$Z$2065</f>
        <v>-564.72910433337347</v>
      </c>
      <c r="O2065" s="83">
        <f>$L$2065-EFEITO!$O$2065*EFEITO!$AA$2065</f>
        <v>-331.35607893102133</v>
      </c>
      <c r="P2065" s="61"/>
      <c r="Q2065" s="61"/>
      <c r="R2065" s="61"/>
      <c r="S2065" s="61"/>
      <c r="T2065" s="61"/>
      <c r="U2065" s="61"/>
      <c r="V2065" s="61"/>
      <c r="W2065" s="61"/>
      <c r="X2065" s="6"/>
      <c r="Y2065" s="6"/>
      <c r="Z2065" s="6"/>
      <c r="AA2065" s="6"/>
      <c r="AB2065" s="6"/>
      <c r="AC2065" s="6"/>
      <c r="AD2065" s="6"/>
      <c r="AE2065" s="6"/>
      <c r="AF2065" s="6"/>
      <c r="AG2065" s="6"/>
      <c r="AH2065" s="6"/>
      <c r="AI2065" s="6"/>
      <c r="AJ2065" s="6"/>
    </row>
    <row r="2066" spans="1:36" ht="11.25" customHeight="1" x14ac:dyDescent="0.2">
      <c r="A2066" s="57" t="s">
        <v>28</v>
      </c>
      <c r="B2066" s="57" t="s">
        <v>46</v>
      </c>
      <c r="C2066" s="57" t="s">
        <v>23</v>
      </c>
      <c r="D2066" s="57" t="s">
        <v>47</v>
      </c>
      <c r="E2066" s="57" t="s">
        <v>25</v>
      </c>
      <c r="F2066" s="57" t="s">
        <v>25</v>
      </c>
      <c r="G2066" s="57" t="s">
        <v>25</v>
      </c>
      <c r="H2066" s="57" t="s">
        <v>25</v>
      </c>
      <c r="I2066" s="82">
        <v>44378</v>
      </c>
      <c r="J2066" s="83">
        <f>EFEITO!$J$2066*EFEITO!$Y$1666</f>
        <v>0</v>
      </c>
      <c r="K2066" s="83">
        <f ca="1">EFEITO!$L$2066*EFEITO!$Z$1666</f>
        <v>1912979.066081872</v>
      </c>
      <c r="L2066" s="83">
        <f>EFEITO!$N$2066*EFEITO!$AA$1666</f>
        <v>1122444.7926449059</v>
      </c>
      <c r="M2066" s="83">
        <f>$J$2066-EFEITO!$K$2066*EFEITO!$Y$2066</f>
        <v>0</v>
      </c>
      <c r="N2066" s="83">
        <f ca="1">$K$2066-EFEITO!$M$2066*EFEITO!$Z$2066</f>
        <v>229557.48792982474</v>
      </c>
      <c r="O2066" s="83">
        <f>$L$2066-EFEITO!$O$2066*EFEITO!$AA$2066</f>
        <v>134693.37511738855</v>
      </c>
      <c r="P2066" s="61"/>
      <c r="Q2066" s="61"/>
      <c r="R2066" s="61"/>
      <c r="S2066" s="61"/>
      <c r="T2066" s="61"/>
      <c r="U2066" s="61"/>
      <c r="V2066" s="61"/>
      <c r="W2066" s="61"/>
      <c r="X2066" s="6"/>
      <c r="Y2066" s="6"/>
      <c r="Z2066" s="6"/>
      <c r="AA2066" s="6"/>
      <c r="AB2066" s="6"/>
      <c r="AC2066" s="6"/>
      <c r="AD2066" s="6"/>
      <c r="AE2066" s="6"/>
      <c r="AF2066" s="6"/>
      <c r="AG2066" s="6"/>
      <c r="AH2066" s="6"/>
      <c r="AI2066" s="6"/>
      <c r="AJ2066" s="6"/>
    </row>
    <row r="2067" spans="1:36" ht="11.25" customHeight="1" x14ac:dyDescent="0.2">
      <c r="A2067" s="57" t="s">
        <v>29</v>
      </c>
      <c r="B2067" s="57" t="s">
        <v>46</v>
      </c>
      <c r="C2067" s="57" t="s">
        <v>23</v>
      </c>
      <c r="D2067" s="57" t="s">
        <v>47</v>
      </c>
      <c r="E2067" s="57" t="s">
        <v>25</v>
      </c>
      <c r="F2067" s="57" t="s">
        <v>25</v>
      </c>
      <c r="G2067" s="57" t="s">
        <v>25</v>
      </c>
      <c r="H2067" s="57" t="s">
        <v>25</v>
      </c>
      <c r="I2067" s="82">
        <v>44378</v>
      </c>
      <c r="J2067" s="83">
        <f>EFEITO!$J$2067*EFEITO!$Y$1666</f>
        <v>0</v>
      </c>
      <c r="K2067" s="83">
        <f ca="1">EFEITO!$L$2067*EFEITO!$Z$1666</f>
        <v>-40476.507243913678</v>
      </c>
      <c r="L2067" s="83">
        <f>EFEITO!$N$2067*EFEITO!$AA$1666</f>
        <v>-23749.682150698605</v>
      </c>
      <c r="M2067" s="83">
        <f>$J$2067-EFEITO!$K$2067*EFEITO!$Y$2067</f>
        <v>0</v>
      </c>
      <c r="N2067" s="83">
        <f ca="1">$K$2067-EFEITO!$M$2067*EFEITO!$Z$2067</f>
        <v>-4857.1808692696432</v>
      </c>
      <c r="O2067" s="83">
        <f>$L$2067-EFEITO!$O$2067*EFEITO!$AA$2067</f>
        <v>-2849.9618580838287</v>
      </c>
      <c r="P2067" s="61"/>
      <c r="Q2067" s="61"/>
      <c r="R2067" s="61"/>
      <c r="S2067" s="61"/>
      <c r="T2067" s="61"/>
      <c r="U2067" s="61"/>
      <c r="V2067" s="61"/>
      <c r="W2067" s="61"/>
      <c r="X2067" s="6"/>
      <c r="Y2067" s="6"/>
      <c r="Z2067" s="6"/>
      <c r="AA2067" s="6"/>
      <c r="AB2067" s="6"/>
      <c r="AC2067" s="6"/>
      <c r="AD2067" s="6"/>
      <c r="AE2067" s="6"/>
      <c r="AF2067" s="6"/>
      <c r="AG2067" s="6"/>
      <c r="AH2067" s="6"/>
      <c r="AI2067" s="6"/>
      <c r="AJ2067" s="6"/>
    </row>
    <row r="2068" spans="1:36" ht="11.25" customHeight="1" x14ac:dyDescent="0.2">
      <c r="A2068" s="57" t="s">
        <v>30</v>
      </c>
      <c r="B2068" s="57" t="s">
        <v>46</v>
      </c>
      <c r="C2068" s="57" t="s">
        <v>23</v>
      </c>
      <c r="D2068" s="57" t="s">
        <v>47</v>
      </c>
      <c r="E2068" s="57" t="s">
        <v>25</v>
      </c>
      <c r="F2068" s="57" t="s">
        <v>25</v>
      </c>
      <c r="G2068" s="57" t="s">
        <v>25</v>
      </c>
      <c r="H2068" s="57" t="s">
        <v>25</v>
      </c>
      <c r="I2068" s="82">
        <v>44378</v>
      </c>
      <c r="J2068" s="83">
        <f>EFEITO!$J$2068*EFEITO!$Y$1666</f>
        <v>0</v>
      </c>
      <c r="K2068" s="83">
        <f ca="1">EFEITO!$L$2068*EFEITO!$Z$1666</f>
        <v>8265.3908123560395</v>
      </c>
      <c r="L2068" s="83">
        <f>EFEITO!$N$2068*EFEITO!$AA$1666</f>
        <v>4849.7367488218124</v>
      </c>
      <c r="M2068" s="83">
        <f>$J$2068-EFEITO!$K$2068*EFEITO!$Y$2068</f>
        <v>0</v>
      </c>
      <c r="N2068" s="83">
        <f ca="1">$K$2068-EFEITO!$M$2068*EFEITO!$Z$2068</f>
        <v>991.84689748272467</v>
      </c>
      <c r="O2068" s="83">
        <f>$L$2068-EFEITO!$O$2068*EFEITO!$AA$2068</f>
        <v>581.96840985861672</v>
      </c>
      <c r="P2068" s="61"/>
      <c r="Q2068" s="61"/>
      <c r="R2068" s="61"/>
      <c r="S2068" s="61"/>
      <c r="T2068" s="61"/>
      <c r="U2068" s="61"/>
      <c r="V2068" s="61"/>
      <c r="W2068" s="61"/>
      <c r="X2068" s="6"/>
      <c r="Y2068" s="6"/>
      <c r="Z2068" s="6"/>
      <c r="AA2068" s="6"/>
      <c r="AB2068" s="6"/>
      <c r="AC2068" s="6"/>
      <c r="AD2068" s="6"/>
      <c r="AE2068" s="6"/>
      <c r="AF2068" s="6"/>
      <c r="AG2068" s="6"/>
      <c r="AH2068" s="6"/>
      <c r="AI2068" s="6"/>
      <c r="AJ2068" s="6"/>
    </row>
    <row r="2069" spans="1:36" ht="11.25" customHeight="1" x14ac:dyDescent="0.2">
      <c r="A2069" s="57" t="s">
        <v>21</v>
      </c>
      <c r="B2069" s="57" t="s">
        <v>46</v>
      </c>
      <c r="C2069" s="57" t="s">
        <v>23</v>
      </c>
      <c r="D2069" s="57" t="s">
        <v>47</v>
      </c>
      <c r="E2069" s="57" t="s">
        <v>25</v>
      </c>
      <c r="F2069" s="57" t="s">
        <v>25</v>
      </c>
      <c r="G2069" s="57" t="s">
        <v>25</v>
      </c>
      <c r="H2069" s="57" t="s">
        <v>25</v>
      </c>
      <c r="I2069" s="82">
        <v>44409</v>
      </c>
      <c r="J2069" s="83">
        <f>EFEITO!$J$2069*EFEITO!$Y$1666</f>
        <v>0</v>
      </c>
      <c r="K2069" s="83">
        <f ca="1">EFEITO!$L$2069*EFEITO!$Z$1666</f>
        <v>786932.77508346783</v>
      </c>
      <c r="L2069" s="83">
        <f>EFEITO!$N$2069*EFEITO!$AA$1666</f>
        <v>461734.58518977871</v>
      </c>
      <c r="M2069" s="83">
        <f>$J$2069-EFEITO!$K$2069*EFEITO!$Y$2069</f>
        <v>0</v>
      </c>
      <c r="N2069" s="83">
        <f ca="1">$K$2069-EFEITO!$M$2069*EFEITO!$Z$2069</f>
        <v>94431.933010016102</v>
      </c>
      <c r="O2069" s="83">
        <f>$L$2069-EFEITO!$O$2069*EFEITO!$AA$2069</f>
        <v>55408.150222773373</v>
      </c>
      <c r="P2069" s="61"/>
      <c r="Q2069" s="61"/>
      <c r="R2069" s="61"/>
      <c r="S2069" s="61"/>
      <c r="T2069" s="61"/>
      <c r="U2069" s="61"/>
      <c r="V2069" s="61"/>
      <c r="W2069" s="61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</row>
    <row r="2070" spans="1:36" ht="11.25" customHeight="1" x14ac:dyDescent="0.2">
      <c r="A2070" s="57" t="s">
        <v>27</v>
      </c>
      <c r="B2070" s="57" t="s">
        <v>46</v>
      </c>
      <c r="C2070" s="57" t="s">
        <v>23</v>
      </c>
      <c r="D2070" s="57" t="s">
        <v>47</v>
      </c>
      <c r="E2070" s="57" t="s">
        <v>25</v>
      </c>
      <c r="F2070" s="57" t="s">
        <v>25</v>
      </c>
      <c r="G2070" s="57" t="s">
        <v>25</v>
      </c>
      <c r="H2070" s="57" t="s">
        <v>25</v>
      </c>
      <c r="I2070" s="82">
        <v>44409</v>
      </c>
      <c r="J2070" s="83">
        <f>EFEITO!$J$2070*EFEITO!$Y$1666</f>
        <v>0</v>
      </c>
      <c r="K2070" s="83">
        <f ca="1">EFEITO!$L$2070*EFEITO!$Z$1666</f>
        <v>-27973.064897853572</v>
      </c>
      <c r="L2070" s="83">
        <f>EFEITO!$N$2070*EFEITO!$AA$1666</f>
        <v>-16413.259081409084</v>
      </c>
      <c r="M2070" s="83">
        <f>$J$2070-EFEITO!$K$2070*EFEITO!$Y$2070</f>
        <v>0</v>
      </c>
      <c r="N2070" s="83">
        <f ca="1">$K$2070-EFEITO!$M$2070*EFEITO!$Z$2070</f>
        <v>-3356.7677877424285</v>
      </c>
      <c r="O2070" s="83">
        <f>$L$2070-EFEITO!$O$2070*EFEITO!$AA$2070</f>
        <v>-1969.5910897690901</v>
      </c>
      <c r="P2070" s="61"/>
      <c r="Q2070" s="61"/>
      <c r="R2070" s="61"/>
      <c r="S2070" s="61"/>
      <c r="T2070" s="61"/>
      <c r="U2070" s="61"/>
      <c r="V2070" s="61"/>
      <c r="W2070" s="61"/>
      <c r="X2070" s="6"/>
      <c r="Y2070" s="6"/>
      <c r="Z2070" s="6"/>
      <c r="AA2070" s="6"/>
      <c r="AB2070" s="6"/>
      <c r="AC2070" s="6"/>
      <c r="AD2070" s="6"/>
      <c r="AE2070" s="6"/>
      <c r="AF2070" s="6"/>
      <c r="AG2070" s="6"/>
      <c r="AH2070" s="6"/>
      <c r="AI2070" s="6"/>
      <c r="AJ2070" s="6"/>
    </row>
    <row r="2071" spans="1:36" ht="11.25" customHeight="1" x14ac:dyDescent="0.2">
      <c r="A2071" s="57" t="s">
        <v>28</v>
      </c>
      <c r="B2071" s="57" t="s">
        <v>46</v>
      </c>
      <c r="C2071" s="57" t="s">
        <v>23</v>
      </c>
      <c r="D2071" s="57" t="s">
        <v>47</v>
      </c>
      <c r="E2071" s="57" t="s">
        <v>25</v>
      </c>
      <c r="F2071" s="57" t="s">
        <v>25</v>
      </c>
      <c r="G2071" s="57" t="s">
        <v>25</v>
      </c>
      <c r="H2071" s="57" t="s">
        <v>25</v>
      </c>
      <c r="I2071" s="82">
        <v>44409</v>
      </c>
      <c r="J2071" s="83">
        <f>EFEITO!$J$2071*EFEITO!$Y$1666</f>
        <v>0</v>
      </c>
      <c r="K2071" s="83">
        <f ca="1">EFEITO!$L$2071*EFEITO!$Z$1666</f>
        <v>1993869.7786289027</v>
      </c>
      <c r="L2071" s="83">
        <f>EFEITO!$N$2071*EFEITO!$AA$1666</f>
        <v>1169907.6011416637</v>
      </c>
      <c r="M2071" s="83">
        <f>$J$2071-EFEITO!$K$2071*EFEITO!$Y$2071</f>
        <v>0</v>
      </c>
      <c r="N2071" s="83">
        <f ca="1">$K$2071-EFEITO!$M$2071*EFEITO!$Z$2071</f>
        <v>239264.37343546841</v>
      </c>
      <c r="O2071" s="83">
        <f>$L$2071-EFEITO!$O$2071*EFEITO!$AA$2071</f>
        <v>140388.91213699954</v>
      </c>
      <c r="P2071" s="61"/>
      <c r="Q2071" s="61"/>
      <c r="R2071" s="61"/>
      <c r="S2071" s="61"/>
      <c r="T2071" s="61"/>
      <c r="U2071" s="61"/>
      <c r="V2071" s="61"/>
      <c r="W2071" s="61"/>
      <c r="X2071" s="6"/>
      <c r="Y2071" s="6"/>
      <c r="Z2071" s="6"/>
      <c r="AA2071" s="6"/>
      <c r="AB2071" s="6"/>
      <c r="AC2071" s="6"/>
      <c r="AD2071" s="6"/>
      <c r="AE2071" s="6"/>
      <c r="AF2071" s="6"/>
      <c r="AG2071" s="6"/>
      <c r="AH2071" s="6"/>
      <c r="AI2071" s="6"/>
      <c r="AJ2071" s="6"/>
    </row>
    <row r="2072" spans="1:36" ht="11.25" customHeight="1" x14ac:dyDescent="0.2">
      <c r="A2072" s="57" t="s">
        <v>29</v>
      </c>
      <c r="B2072" s="57" t="s">
        <v>46</v>
      </c>
      <c r="C2072" s="57" t="s">
        <v>23</v>
      </c>
      <c r="D2072" s="57" t="s">
        <v>47</v>
      </c>
      <c r="E2072" s="57" t="s">
        <v>25</v>
      </c>
      <c r="F2072" s="57" t="s">
        <v>25</v>
      </c>
      <c r="G2072" s="57" t="s">
        <v>25</v>
      </c>
      <c r="H2072" s="57" t="s">
        <v>25</v>
      </c>
      <c r="I2072" s="82">
        <v>44409</v>
      </c>
      <c r="J2072" s="83">
        <f>EFEITO!$J$2072*EFEITO!$Y$1666</f>
        <v>0</v>
      </c>
      <c r="K2072" s="83">
        <f ca="1">EFEITO!$L$2072*EFEITO!$Z$1666</f>
        <v>-41991.001577100622</v>
      </c>
      <c r="L2072" s="83">
        <f>EFEITO!$N$2072*EFEITO!$AA$1666</f>
        <v>-24638.31512526517</v>
      </c>
      <c r="M2072" s="83">
        <f>$J$2072-EFEITO!$K$2072*EFEITO!$Y$2072</f>
        <v>0</v>
      </c>
      <c r="N2072" s="83">
        <f ca="1">$K$2072-EFEITO!$M$2072*EFEITO!$Z$2072</f>
        <v>-5038.9201892520723</v>
      </c>
      <c r="O2072" s="83">
        <f>$L$2072-EFEITO!$O$2072*EFEITO!$AA$2072</f>
        <v>-2956.5978150318188</v>
      </c>
      <c r="P2072" s="61"/>
      <c r="Q2072" s="61"/>
      <c r="R2072" s="61"/>
      <c r="S2072" s="61"/>
      <c r="T2072" s="61"/>
      <c r="U2072" s="61"/>
      <c r="V2072" s="61"/>
      <c r="W2072" s="61"/>
      <c r="X2072" s="6"/>
      <c r="Y2072" s="6"/>
      <c r="Z2072" s="6"/>
      <c r="AA2072" s="6"/>
      <c r="AB2072" s="6"/>
      <c r="AC2072" s="6"/>
      <c r="AD2072" s="6"/>
      <c r="AE2072" s="6"/>
      <c r="AF2072" s="6"/>
      <c r="AG2072" s="6"/>
      <c r="AH2072" s="6"/>
      <c r="AI2072" s="6"/>
      <c r="AJ2072" s="6"/>
    </row>
    <row r="2073" spans="1:36" ht="11.25" customHeight="1" x14ac:dyDescent="0.2">
      <c r="A2073" s="57" t="s">
        <v>30</v>
      </c>
      <c r="B2073" s="57" t="s">
        <v>46</v>
      </c>
      <c r="C2073" s="57" t="s">
        <v>23</v>
      </c>
      <c r="D2073" s="57" t="s">
        <v>47</v>
      </c>
      <c r="E2073" s="57" t="s">
        <v>25</v>
      </c>
      <c r="F2073" s="57" t="s">
        <v>25</v>
      </c>
      <c r="G2073" s="57" t="s">
        <v>25</v>
      </c>
      <c r="H2073" s="57" t="s">
        <v>25</v>
      </c>
      <c r="I2073" s="82">
        <v>44409</v>
      </c>
      <c r="J2073" s="83">
        <f>EFEITO!$J$2073*EFEITO!$Y$1666</f>
        <v>0</v>
      </c>
      <c r="K2073" s="83">
        <f ca="1">EFEITO!$L$2073*EFEITO!$Z$1666</f>
        <v>13673.503185411893</v>
      </c>
      <c r="L2073" s="83">
        <f>EFEITO!$N$2073*EFEITO!$AA$1666</f>
        <v>8022.9589125165357</v>
      </c>
      <c r="M2073" s="83">
        <f>$J$2073-EFEITO!$K$2073*EFEITO!$Y$2073</f>
        <v>0</v>
      </c>
      <c r="N2073" s="83">
        <f ca="1">$K$2073-EFEITO!$M$2073*EFEITO!$Z$2073</f>
        <v>1640.820382249427</v>
      </c>
      <c r="O2073" s="83">
        <f>$L$2073-EFEITO!$O$2073*EFEITO!$AA$2073</f>
        <v>962.7550695019836</v>
      </c>
      <c r="P2073" s="61"/>
      <c r="Q2073" s="61"/>
      <c r="R2073" s="61"/>
      <c r="S2073" s="61"/>
      <c r="T2073" s="61"/>
      <c r="U2073" s="61"/>
      <c r="V2073" s="61"/>
      <c r="W2073" s="61"/>
      <c r="X2073" s="6"/>
      <c r="Y2073" s="6"/>
      <c r="Z2073" s="6"/>
      <c r="AA2073" s="6"/>
      <c r="AB2073" s="6"/>
      <c r="AC2073" s="6"/>
      <c r="AD2073" s="6"/>
      <c r="AE2073" s="6"/>
      <c r="AF2073" s="6"/>
      <c r="AG2073" s="6"/>
      <c r="AH2073" s="6"/>
      <c r="AI2073" s="6"/>
      <c r="AJ2073" s="6"/>
    </row>
    <row r="2074" spans="1:36" ht="11.25" customHeight="1" x14ac:dyDescent="0.2">
      <c r="A2074" s="57" t="s">
        <v>21</v>
      </c>
      <c r="B2074" s="57" t="s">
        <v>46</v>
      </c>
      <c r="C2074" s="57" t="s">
        <v>23</v>
      </c>
      <c r="D2074" s="57" t="s">
        <v>47</v>
      </c>
      <c r="E2074" s="57" t="s">
        <v>25</v>
      </c>
      <c r="F2074" s="57" t="s">
        <v>25</v>
      </c>
      <c r="G2074" s="57" t="s">
        <v>25</v>
      </c>
      <c r="H2074" s="57" t="s">
        <v>25</v>
      </c>
      <c r="I2074" s="82">
        <v>44440</v>
      </c>
      <c r="J2074" s="83">
        <f>EFEITO!$J$2074*EFEITO!$Y$1666</f>
        <v>0</v>
      </c>
      <c r="K2074" s="83">
        <f ca="1">EFEITO!$L$2074*EFEITO!$Z$1666</f>
        <v>780599.25095565198</v>
      </c>
      <c r="L2074" s="83">
        <f>EFEITO!$N$2074*EFEITO!$AA$1666</f>
        <v>458018.37558644084</v>
      </c>
      <c r="M2074" s="83">
        <f>$J$2074-EFEITO!$K$2074*EFEITO!$Y$2074</f>
        <v>0</v>
      </c>
      <c r="N2074" s="83">
        <f ca="1">$K$2074-EFEITO!$M$2074*EFEITO!$Z$2074</f>
        <v>93671.910114678205</v>
      </c>
      <c r="O2074" s="83">
        <f>$L$2074-EFEITO!$O$2074*EFEITO!$AA$2074</f>
        <v>54962.205070372846</v>
      </c>
      <c r="P2074" s="61"/>
      <c r="Q2074" s="61"/>
      <c r="R2074" s="61"/>
      <c r="S2074" s="61"/>
      <c r="T2074" s="61"/>
      <c r="U2074" s="61"/>
      <c r="V2074" s="61"/>
      <c r="W2074" s="61"/>
      <c r="X2074" s="6"/>
      <c r="Y2074" s="6"/>
      <c r="Z2074" s="6"/>
      <c r="AA2074" s="6"/>
      <c r="AB2074" s="6"/>
      <c r="AC2074" s="6"/>
      <c r="AD2074" s="6"/>
      <c r="AE2074" s="6"/>
      <c r="AF2074" s="6"/>
      <c r="AG2074" s="6"/>
      <c r="AH2074" s="6"/>
      <c r="AI2074" s="6"/>
      <c r="AJ2074" s="6"/>
    </row>
    <row r="2075" spans="1:36" ht="11.25" customHeight="1" x14ac:dyDescent="0.2">
      <c r="A2075" s="57" t="s">
        <v>27</v>
      </c>
      <c r="B2075" s="57" t="s">
        <v>46</v>
      </c>
      <c r="C2075" s="57" t="s">
        <v>23</v>
      </c>
      <c r="D2075" s="57" t="s">
        <v>47</v>
      </c>
      <c r="E2075" s="57" t="s">
        <v>25</v>
      </c>
      <c r="F2075" s="57" t="s">
        <v>25</v>
      </c>
      <c r="G2075" s="57" t="s">
        <v>25</v>
      </c>
      <c r="H2075" s="57" t="s">
        <v>25</v>
      </c>
      <c r="I2075" s="82">
        <v>44440</v>
      </c>
      <c r="J2075" s="83">
        <f>EFEITO!$J$2075*EFEITO!$Y$1666</f>
        <v>0</v>
      </c>
      <c r="K2075" s="83">
        <f ca="1">EFEITO!$L$2075*EFEITO!$Z$1666</f>
        <v>-2207.4134796082617</v>
      </c>
      <c r="L2075" s="83">
        <f>EFEITO!$N$2075*EFEITO!$AA$1666</f>
        <v>-1295.2048505555495</v>
      </c>
      <c r="M2075" s="83">
        <f>$J$2075-EFEITO!$K$2075*EFEITO!$Y$2075</f>
        <v>0</v>
      </c>
      <c r="N2075" s="83">
        <f ca="1">$K$2075-EFEITO!$M$2075*EFEITO!$Z$2075</f>
        <v>-264.88961755299147</v>
      </c>
      <c r="O2075" s="83">
        <f>$L$2075-EFEITO!$O$2075*EFEITO!$AA$2075</f>
        <v>-155.42458206666583</v>
      </c>
      <c r="P2075" s="61"/>
      <c r="Q2075" s="61"/>
      <c r="R2075" s="61"/>
      <c r="S2075" s="61"/>
      <c r="T2075" s="61"/>
      <c r="U2075" s="61"/>
      <c r="V2075" s="61"/>
      <c r="W2075" s="61"/>
      <c r="X2075" s="6"/>
      <c r="Y2075" s="6"/>
      <c r="Z2075" s="6"/>
      <c r="AA2075" s="6"/>
      <c r="AB2075" s="6"/>
      <c r="AC2075" s="6"/>
      <c r="AD2075" s="6"/>
      <c r="AE2075" s="6"/>
      <c r="AF2075" s="6"/>
      <c r="AG2075" s="6"/>
      <c r="AH2075" s="6"/>
      <c r="AI2075" s="6"/>
      <c r="AJ2075" s="6"/>
    </row>
    <row r="2076" spans="1:36" ht="11.25" customHeight="1" x14ac:dyDescent="0.2">
      <c r="A2076" s="57" t="s">
        <v>28</v>
      </c>
      <c r="B2076" s="57" t="s">
        <v>46</v>
      </c>
      <c r="C2076" s="57" t="s">
        <v>23</v>
      </c>
      <c r="D2076" s="57" t="s">
        <v>47</v>
      </c>
      <c r="E2076" s="57" t="s">
        <v>25</v>
      </c>
      <c r="F2076" s="57" t="s">
        <v>25</v>
      </c>
      <c r="G2076" s="57" t="s">
        <v>25</v>
      </c>
      <c r="H2076" s="57" t="s">
        <v>25</v>
      </c>
      <c r="I2076" s="82">
        <v>44440</v>
      </c>
      <c r="J2076" s="83">
        <f>EFEITO!$J$2076*EFEITO!$Y$1666</f>
        <v>0</v>
      </c>
      <c r="K2076" s="83">
        <f ca="1">EFEITO!$L$2076*EFEITO!$Z$1666</f>
        <v>2019050.9061473159</v>
      </c>
      <c r="L2076" s="83">
        <f>EFEITO!$N$2076*EFEITO!$AA$1666</f>
        <v>1184682.6846525676</v>
      </c>
      <c r="M2076" s="83">
        <f>$J$2076-EFEITO!$K$2076*EFEITO!$Y$2076</f>
        <v>0</v>
      </c>
      <c r="N2076" s="83">
        <f ca="1">$K$2076-EFEITO!$M$2076*EFEITO!$Z$2076</f>
        <v>242286.1087376778</v>
      </c>
      <c r="O2076" s="83">
        <f>$L$2076-EFEITO!$O$2076*EFEITO!$AA$2076</f>
        <v>142161.92215830809</v>
      </c>
      <c r="P2076" s="61"/>
      <c r="Q2076" s="61"/>
      <c r="R2076" s="61"/>
      <c r="S2076" s="61"/>
      <c r="T2076" s="61"/>
      <c r="U2076" s="61"/>
      <c r="V2076" s="61"/>
      <c r="W2076" s="61"/>
      <c r="X2076" s="6"/>
      <c r="Y2076" s="6"/>
      <c r="Z2076" s="6"/>
      <c r="AA2076" s="6"/>
      <c r="AB2076" s="6"/>
      <c r="AC2076" s="6"/>
      <c r="AD2076" s="6"/>
      <c r="AE2076" s="6"/>
      <c r="AF2076" s="6"/>
      <c r="AG2076" s="6"/>
      <c r="AH2076" s="6"/>
      <c r="AI2076" s="6"/>
      <c r="AJ2076" s="6"/>
    </row>
    <row r="2077" spans="1:36" ht="11.25" customHeight="1" x14ac:dyDescent="0.2">
      <c r="A2077" s="57" t="s">
        <v>29</v>
      </c>
      <c r="B2077" s="57" t="s">
        <v>46</v>
      </c>
      <c r="C2077" s="57" t="s">
        <v>23</v>
      </c>
      <c r="D2077" s="57" t="s">
        <v>47</v>
      </c>
      <c r="E2077" s="57" t="s">
        <v>25</v>
      </c>
      <c r="F2077" s="57" t="s">
        <v>25</v>
      </c>
      <c r="G2077" s="57" t="s">
        <v>25</v>
      </c>
      <c r="H2077" s="57" t="s">
        <v>25</v>
      </c>
      <c r="I2077" s="82">
        <v>44440</v>
      </c>
      <c r="J2077" s="83">
        <f>EFEITO!$J$2077*EFEITO!$Y$1666</f>
        <v>0</v>
      </c>
      <c r="K2077" s="83">
        <f ca="1">EFEITO!$L$2077*EFEITO!$Z$1666</f>
        <v>-135605.99912212105</v>
      </c>
      <c r="L2077" s="83">
        <f>EFEITO!$N$2077*EFEITO!$AA$1666</f>
        <v>-79567.126616700843</v>
      </c>
      <c r="M2077" s="83">
        <f>$J$2077-EFEITO!$K$2077*EFEITO!$Y$2077</f>
        <v>0</v>
      </c>
      <c r="N2077" s="83">
        <f ca="1">$K$2077-EFEITO!$M$2077*EFEITO!$Z$2077</f>
        <v>-16272.71989465454</v>
      </c>
      <c r="O2077" s="83">
        <f>$L$2077-EFEITO!$O$2077*EFEITO!$AA$2077</f>
        <v>-9548.0551940040896</v>
      </c>
      <c r="P2077" s="61"/>
      <c r="Q2077" s="61"/>
      <c r="R2077" s="61"/>
      <c r="S2077" s="61"/>
      <c r="T2077" s="61"/>
      <c r="U2077" s="61"/>
      <c r="V2077" s="61"/>
      <c r="W2077" s="61"/>
      <c r="X2077" s="6"/>
      <c r="Y2077" s="6"/>
      <c r="Z2077" s="6"/>
      <c r="AA2077" s="6"/>
      <c r="AB2077" s="6"/>
      <c r="AC2077" s="6"/>
      <c r="AD2077" s="6"/>
      <c r="AE2077" s="6"/>
      <c r="AF2077" s="6"/>
      <c r="AG2077" s="6"/>
      <c r="AH2077" s="6"/>
      <c r="AI2077" s="6"/>
      <c r="AJ2077" s="6"/>
    </row>
    <row r="2078" spans="1:36" ht="11.25" customHeight="1" x14ac:dyDescent="0.2">
      <c r="A2078" s="57" t="s">
        <v>30</v>
      </c>
      <c r="B2078" s="57" t="s">
        <v>46</v>
      </c>
      <c r="C2078" s="57" t="s">
        <v>23</v>
      </c>
      <c r="D2078" s="57" t="s">
        <v>47</v>
      </c>
      <c r="E2078" s="57" t="s">
        <v>25</v>
      </c>
      <c r="F2078" s="57" t="s">
        <v>25</v>
      </c>
      <c r="G2078" s="57" t="s">
        <v>25</v>
      </c>
      <c r="H2078" s="57" t="s">
        <v>25</v>
      </c>
      <c r="I2078" s="82">
        <v>44440</v>
      </c>
      <c r="J2078" s="83">
        <f>EFEITO!$J$2078*EFEITO!$Y$1666</f>
        <v>0</v>
      </c>
      <c r="K2078" s="83">
        <f ca="1">EFEITO!$L$2078*EFEITO!$Z$1666</f>
        <v>13383.267314871386</v>
      </c>
      <c r="L2078" s="83">
        <f>EFEITO!$N$2078*EFEITO!$AA$1666</f>
        <v>7852.6623591965881</v>
      </c>
      <c r="M2078" s="83">
        <f>$J$2078-EFEITO!$K$2078*EFEITO!$Y$2078</f>
        <v>0</v>
      </c>
      <c r="N2078" s="83">
        <f ca="1">$K$2078-EFEITO!$M$2078*EFEITO!$Z$2078</f>
        <v>1605.9920777845673</v>
      </c>
      <c r="O2078" s="83">
        <f>$L$2078-EFEITO!$O$2078*EFEITO!$AA$2078</f>
        <v>942.31948310358985</v>
      </c>
      <c r="P2078" s="61"/>
      <c r="Q2078" s="61"/>
      <c r="R2078" s="61"/>
      <c r="S2078" s="61"/>
      <c r="T2078" s="61"/>
      <c r="U2078" s="61"/>
      <c r="V2078" s="61"/>
      <c r="W2078" s="61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</row>
    <row r="2079" spans="1:36" ht="11.25" customHeight="1" x14ac:dyDescent="0.2">
      <c r="A2079" s="57" t="s">
        <v>59</v>
      </c>
      <c r="B2079" s="57" t="s">
        <v>46</v>
      </c>
      <c r="C2079" s="57" t="s">
        <v>23</v>
      </c>
      <c r="D2079" s="57" t="s">
        <v>47</v>
      </c>
      <c r="E2079" s="57" t="s">
        <v>25</v>
      </c>
      <c r="F2079" s="57" t="s">
        <v>25</v>
      </c>
      <c r="G2079" s="57" t="s">
        <v>25</v>
      </c>
      <c r="H2079" s="57" t="s">
        <v>25</v>
      </c>
      <c r="I2079" s="82">
        <v>44470</v>
      </c>
      <c r="J2079" s="83">
        <f>EFEITO!$J$2079*EFEITO!$Y$1666</f>
        <v>0</v>
      </c>
      <c r="K2079" s="83">
        <f ca="1">EFEITO!$L$2079*EFEITO!$Z$1666</f>
        <v>780599.25095565198</v>
      </c>
      <c r="L2079" s="83">
        <f>EFEITO!$N$2079*EFEITO!$AA$1666</f>
        <v>458018.37558644084</v>
      </c>
      <c r="M2079" s="83">
        <f>$J$2079-EFEITO!$K$2079*EFEITO!$Y$2079</f>
        <v>0</v>
      </c>
      <c r="N2079" s="83">
        <f ca="1">$K$2079-EFEITO!$M$2079*EFEITO!$Z$2079</f>
        <v>93671.910114678205</v>
      </c>
      <c r="O2079" s="83">
        <f>$L$2079-EFEITO!$O$2079*EFEITO!$AA$2079</f>
        <v>54962.205070372846</v>
      </c>
      <c r="P2079" s="61"/>
      <c r="Q2079" s="61"/>
      <c r="R2079" s="61"/>
      <c r="S2079" s="61"/>
      <c r="T2079" s="61"/>
      <c r="U2079" s="61"/>
      <c r="V2079" s="61"/>
      <c r="W2079" s="61"/>
      <c r="X2079" s="6"/>
      <c r="Y2079" s="6"/>
      <c r="Z2079" s="6"/>
      <c r="AA2079" s="6"/>
      <c r="AB2079" s="6"/>
      <c r="AC2079" s="6"/>
      <c r="AD2079" s="6"/>
      <c r="AE2079" s="6"/>
      <c r="AF2079" s="6"/>
      <c r="AG2079" s="6"/>
      <c r="AH2079" s="6"/>
      <c r="AI2079" s="6"/>
      <c r="AJ2079" s="6"/>
    </row>
    <row r="2080" spans="1:36" ht="11.25" customHeight="1" x14ac:dyDescent="0.2">
      <c r="A2080" s="57" t="s">
        <v>59</v>
      </c>
      <c r="B2080" s="57" t="s">
        <v>46</v>
      </c>
      <c r="C2080" s="57" t="s">
        <v>23</v>
      </c>
      <c r="D2080" s="57" t="s">
        <v>47</v>
      </c>
      <c r="E2080" s="57" t="s">
        <v>25</v>
      </c>
      <c r="F2080" s="57" t="s">
        <v>25</v>
      </c>
      <c r="G2080" s="57" t="s">
        <v>25</v>
      </c>
      <c r="H2080" s="57" t="s">
        <v>25</v>
      </c>
      <c r="I2080" s="82">
        <v>44470</v>
      </c>
      <c r="J2080" s="83">
        <f>EFEITO!$J$2080*EFEITO!$Y$1666</f>
        <v>0</v>
      </c>
      <c r="K2080" s="83">
        <f ca="1">EFEITO!$L$2080*EFEITO!$Z$1666</f>
        <v>-2207.4134796082617</v>
      </c>
      <c r="L2080" s="83">
        <f>EFEITO!$N$2080*EFEITO!$AA$1666</f>
        <v>-1295.2048505555495</v>
      </c>
      <c r="M2080" s="83">
        <f>$J$2080-EFEITO!$K$2080*EFEITO!$Y$2080</f>
        <v>0</v>
      </c>
      <c r="N2080" s="83">
        <f ca="1">$K$2080-EFEITO!$M$2080*EFEITO!$Z$2080</f>
        <v>-264.88961755299147</v>
      </c>
      <c r="O2080" s="83">
        <f>$L$2080-EFEITO!$O$2080*EFEITO!$AA$2080</f>
        <v>-155.42458206666583</v>
      </c>
      <c r="P2080" s="61"/>
      <c r="Q2080" s="61"/>
      <c r="R2080" s="61"/>
      <c r="S2080" s="61"/>
      <c r="T2080" s="61"/>
      <c r="U2080" s="61"/>
      <c r="V2080" s="61"/>
      <c r="W2080" s="61"/>
      <c r="X2080" s="6"/>
      <c r="Y2080" s="6"/>
      <c r="Z2080" s="6"/>
      <c r="AA2080" s="6"/>
      <c r="AB2080" s="6"/>
      <c r="AC2080" s="6"/>
      <c r="AD2080" s="6"/>
      <c r="AE2080" s="6"/>
      <c r="AF2080" s="6"/>
      <c r="AG2080" s="6"/>
      <c r="AH2080" s="6"/>
      <c r="AI2080" s="6"/>
      <c r="AJ2080" s="6"/>
    </row>
    <row r="2081" spans="1:36" ht="11.25" customHeight="1" x14ac:dyDescent="0.2">
      <c r="A2081" s="57" t="s">
        <v>59</v>
      </c>
      <c r="B2081" s="57" t="s">
        <v>46</v>
      </c>
      <c r="C2081" s="57" t="s">
        <v>23</v>
      </c>
      <c r="D2081" s="57" t="s">
        <v>47</v>
      </c>
      <c r="E2081" s="57" t="s">
        <v>25</v>
      </c>
      <c r="F2081" s="57" t="s">
        <v>25</v>
      </c>
      <c r="G2081" s="57" t="s">
        <v>25</v>
      </c>
      <c r="H2081" s="57" t="s">
        <v>25</v>
      </c>
      <c r="I2081" s="82">
        <v>44470</v>
      </c>
      <c r="J2081" s="83">
        <f>EFEITO!$J$2081*EFEITO!$Y$1666</f>
        <v>0</v>
      </c>
      <c r="K2081" s="83">
        <f ca="1">EFEITO!$L$2081*EFEITO!$Z$1666</f>
        <v>2019050.9061473159</v>
      </c>
      <c r="L2081" s="83">
        <f>EFEITO!$N$2081*EFEITO!$AA$1666</f>
        <v>1184682.6846525676</v>
      </c>
      <c r="M2081" s="83">
        <f>$J$2081-EFEITO!$K$2081*EFEITO!$Y$2081</f>
        <v>0</v>
      </c>
      <c r="N2081" s="83">
        <f ca="1">$K$2081-EFEITO!$M$2081*EFEITO!$Z$2081</f>
        <v>242286.1087376778</v>
      </c>
      <c r="O2081" s="83">
        <f>$L$2081-EFEITO!$O$2081*EFEITO!$AA$2081</f>
        <v>142161.92215830809</v>
      </c>
      <c r="P2081" s="61"/>
      <c r="Q2081" s="61"/>
      <c r="R2081" s="61"/>
      <c r="S2081" s="61"/>
      <c r="T2081" s="61"/>
      <c r="U2081" s="61"/>
      <c r="V2081" s="61"/>
      <c r="W2081" s="61"/>
      <c r="X2081" s="6"/>
      <c r="Y2081" s="6"/>
      <c r="Z2081" s="6"/>
      <c r="AA2081" s="6"/>
      <c r="AB2081" s="6"/>
      <c r="AC2081" s="6"/>
      <c r="AD2081" s="6"/>
      <c r="AE2081" s="6"/>
      <c r="AF2081" s="6"/>
      <c r="AG2081" s="6"/>
      <c r="AH2081" s="6"/>
      <c r="AI2081" s="6"/>
      <c r="AJ2081" s="6"/>
    </row>
    <row r="2082" spans="1:36" ht="11.25" customHeight="1" x14ac:dyDescent="0.2">
      <c r="A2082" s="57" t="s">
        <v>59</v>
      </c>
      <c r="B2082" s="57" t="s">
        <v>46</v>
      </c>
      <c r="C2082" s="57" t="s">
        <v>23</v>
      </c>
      <c r="D2082" s="57" t="s">
        <v>47</v>
      </c>
      <c r="E2082" s="57" t="s">
        <v>25</v>
      </c>
      <c r="F2082" s="57" t="s">
        <v>25</v>
      </c>
      <c r="G2082" s="57" t="s">
        <v>25</v>
      </c>
      <c r="H2082" s="57" t="s">
        <v>25</v>
      </c>
      <c r="I2082" s="82">
        <v>44470</v>
      </c>
      <c r="J2082" s="83">
        <f>EFEITO!$J$2082*EFEITO!$Y$1666</f>
        <v>0</v>
      </c>
      <c r="K2082" s="83">
        <f ca="1">EFEITO!$L$2082*EFEITO!$Z$1666</f>
        <v>-135605.99912212105</v>
      </c>
      <c r="L2082" s="83">
        <f>EFEITO!$N$2082*EFEITO!$AA$1666</f>
        <v>-79567.126616700843</v>
      </c>
      <c r="M2082" s="83">
        <f>$J$2082-EFEITO!$K$2082*EFEITO!$Y$2082</f>
        <v>0</v>
      </c>
      <c r="N2082" s="83">
        <f ca="1">$K$2082-EFEITO!$M$2082*EFEITO!$Z$2082</f>
        <v>-16272.71989465454</v>
      </c>
      <c r="O2082" s="83">
        <f>$L$2082-EFEITO!$O$2082*EFEITO!$AA$2082</f>
        <v>-9548.0551940040896</v>
      </c>
      <c r="P2082" s="61"/>
      <c r="Q2082" s="61"/>
      <c r="R2082" s="61"/>
      <c r="S2082" s="61"/>
      <c r="T2082" s="61"/>
      <c r="U2082" s="61"/>
      <c r="V2082" s="61"/>
      <c r="W2082" s="61"/>
      <c r="X2082" s="6"/>
      <c r="Y2082" s="6"/>
      <c r="Z2082" s="6"/>
      <c r="AA2082" s="6"/>
      <c r="AB2082" s="6"/>
      <c r="AC2082" s="6"/>
      <c r="AD2082" s="6"/>
      <c r="AE2082" s="6"/>
      <c r="AF2082" s="6"/>
      <c r="AG2082" s="6"/>
      <c r="AH2082" s="6"/>
      <c r="AI2082" s="6"/>
      <c r="AJ2082" s="6"/>
    </row>
    <row r="2083" spans="1:36" ht="11.25" customHeight="1" x14ac:dyDescent="0.2">
      <c r="A2083" s="57" t="s">
        <v>59</v>
      </c>
      <c r="B2083" s="57" t="s">
        <v>46</v>
      </c>
      <c r="C2083" s="57" t="s">
        <v>23</v>
      </c>
      <c r="D2083" s="57" t="s">
        <v>47</v>
      </c>
      <c r="E2083" s="57" t="s">
        <v>25</v>
      </c>
      <c r="F2083" s="57" t="s">
        <v>25</v>
      </c>
      <c r="G2083" s="57" t="s">
        <v>25</v>
      </c>
      <c r="H2083" s="57" t="s">
        <v>25</v>
      </c>
      <c r="I2083" s="82">
        <v>44470</v>
      </c>
      <c r="J2083" s="83">
        <f>EFEITO!$J$2083*EFEITO!$Y$1666</f>
        <v>0</v>
      </c>
      <c r="K2083" s="83">
        <f ca="1">EFEITO!$L$2083*EFEITO!$Z$1666</f>
        <v>13383.267314871386</v>
      </c>
      <c r="L2083" s="83">
        <f>EFEITO!$N$2083*EFEITO!$AA$1666</f>
        <v>7852.6623591965881</v>
      </c>
      <c r="M2083" s="83">
        <f>$J$2083-EFEITO!$K$2083*EFEITO!$Y$2083</f>
        <v>0</v>
      </c>
      <c r="N2083" s="83">
        <f ca="1">$K$2083-EFEITO!$M$2083*EFEITO!$Z$2083</f>
        <v>1605.9920777845673</v>
      </c>
      <c r="O2083" s="83">
        <f>$L$2083-EFEITO!$O$2083*EFEITO!$AA$2083</f>
        <v>942.31948310358985</v>
      </c>
      <c r="P2083" s="61"/>
      <c r="Q2083" s="61"/>
      <c r="R2083" s="61"/>
      <c r="S2083" s="61"/>
      <c r="T2083" s="61"/>
      <c r="U2083" s="61"/>
      <c r="V2083" s="61"/>
      <c r="W2083" s="61"/>
      <c r="X2083" s="6"/>
      <c r="Y2083" s="6"/>
      <c r="Z2083" s="6"/>
      <c r="AA2083" s="6"/>
      <c r="AB2083" s="6"/>
      <c r="AC2083" s="6"/>
      <c r="AD2083" s="6"/>
      <c r="AE2083" s="6"/>
      <c r="AF2083" s="6"/>
      <c r="AG2083" s="6"/>
      <c r="AH2083" s="6"/>
      <c r="AI2083" s="6"/>
      <c r="AJ2083" s="6"/>
    </row>
    <row r="2084" spans="1:36" ht="11.25" customHeight="1" x14ac:dyDescent="0.2">
      <c r="A2084" s="57" t="s">
        <v>21</v>
      </c>
      <c r="B2084" s="57" t="s">
        <v>46</v>
      </c>
      <c r="C2084" s="57" t="s">
        <v>23</v>
      </c>
      <c r="D2084" s="57" t="s">
        <v>47</v>
      </c>
      <c r="E2084" s="57" t="s">
        <v>55</v>
      </c>
      <c r="F2084" s="57" t="s">
        <v>56</v>
      </c>
      <c r="G2084" s="57" t="s">
        <v>25</v>
      </c>
      <c r="H2084" s="57" t="s">
        <v>25</v>
      </c>
      <c r="I2084" s="82">
        <v>44287</v>
      </c>
      <c r="J2084" s="83">
        <f>EFEITO!$J$2084*EFEITO!$Y$1666</f>
        <v>0</v>
      </c>
      <c r="K2084" s="83">
        <f ca="1">EFEITO!$L$2084*EFEITO!$Z$1666</f>
        <v>7488.8958916953079</v>
      </c>
      <c r="L2084" s="83">
        <f>EFEITO!$N$2084*EFEITO!$AA$1666</f>
        <v>4394.1265983166131</v>
      </c>
      <c r="M2084" s="83">
        <f>$J$2084-EFEITO!$K$2084*EFEITO!$Y$2084</f>
        <v>0</v>
      </c>
      <c r="N2084" s="83">
        <f ca="1">$K$2084-EFEITO!$M$2084*EFEITO!$Z$2084</f>
        <v>1198.2233426712492</v>
      </c>
      <c r="O2084" s="83">
        <f>$L$2084-EFEITO!$O$2084*EFEITO!$AA$2084</f>
        <v>703.06025573065835</v>
      </c>
      <c r="P2084" s="61"/>
      <c r="Q2084" s="61"/>
      <c r="R2084" s="61"/>
      <c r="S2084" s="61"/>
      <c r="T2084" s="61"/>
      <c r="U2084" s="61"/>
      <c r="V2084" s="61"/>
      <c r="W2084" s="61"/>
      <c r="X2084" s="6"/>
      <c r="Y2084" s="6"/>
      <c r="Z2084" s="6"/>
      <c r="AA2084" s="6"/>
      <c r="AB2084" s="6"/>
      <c r="AC2084" s="6"/>
      <c r="AD2084" s="6"/>
      <c r="AE2084" s="6"/>
      <c r="AF2084" s="6"/>
      <c r="AG2084" s="6"/>
      <c r="AH2084" s="6"/>
      <c r="AI2084" s="6"/>
      <c r="AJ2084" s="6"/>
    </row>
    <row r="2085" spans="1:36" ht="11.25" customHeight="1" x14ac:dyDescent="0.2">
      <c r="A2085" s="57" t="s">
        <v>27</v>
      </c>
      <c r="B2085" s="57" t="s">
        <v>46</v>
      </c>
      <c r="C2085" s="57" t="s">
        <v>23</v>
      </c>
      <c r="D2085" s="57" t="s">
        <v>47</v>
      </c>
      <c r="E2085" s="57" t="s">
        <v>55</v>
      </c>
      <c r="F2085" s="57" t="s">
        <v>56</v>
      </c>
      <c r="G2085" s="57" t="s">
        <v>25</v>
      </c>
      <c r="H2085" s="57" t="s">
        <v>25</v>
      </c>
      <c r="I2085" s="82">
        <v>44287</v>
      </c>
      <c r="J2085" s="83">
        <f>EFEITO!$J$2085*EFEITO!$Y$1666</f>
        <v>0</v>
      </c>
      <c r="K2085" s="83">
        <f ca="1">EFEITO!$L$2085*EFEITO!$Z$1666</f>
        <v>-159.55375082069816</v>
      </c>
      <c r="L2085" s="83">
        <f>EFEITO!$N$2085*EFEITO!$AA$1666</f>
        <v>-93.618524076410765</v>
      </c>
      <c r="M2085" s="83">
        <f>$J$2085-EFEITO!$K$2085*EFEITO!$Y$2085</f>
        <v>0</v>
      </c>
      <c r="N2085" s="83">
        <f ca="1">$K$2085-EFEITO!$M$2085*EFEITO!$Z$2085</f>
        <v>-25.52860013131172</v>
      </c>
      <c r="O2085" s="83">
        <f>$L$2085-EFEITO!$O$2085*EFEITO!$AA$2085</f>
        <v>-14.978963852225732</v>
      </c>
      <c r="P2085" s="61"/>
      <c r="Q2085" s="61"/>
      <c r="R2085" s="61"/>
      <c r="S2085" s="61"/>
      <c r="T2085" s="61"/>
      <c r="U2085" s="61"/>
      <c r="V2085" s="61"/>
      <c r="W2085" s="61"/>
      <c r="X2085" s="6"/>
      <c r="Y2085" s="6"/>
      <c r="Z2085" s="6"/>
      <c r="AA2085" s="6"/>
      <c r="AB2085" s="6"/>
      <c r="AC2085" s="6"/>
      <c r="AD2085" s="6"/>
      <c r="AE2085" s="6"/>
      <c r="AF2085" s="6"/>
      <c r="AG2085" s="6"/>
      <c r="AH2085" s="6"/>
      <c r="AI2085" s="6"/>
      <c r="AJ2085" s="6"/>
    </row>
    <row r="2086" spans="1:36" ht="11.25" customHeight="1" x14ac:dyDescent="0.2">
      <c r="A2086" s="57" t="s">
        <v>21</v>
      </c>
      <c r="B2086" s="57" t="s">
        <v>46</v>
      </c>
      <c r="C2086" s="57" t="s">
        <v>23</v>
      </c>
      <c r="D2086" s="57" t="s">
        <v>47</v>
      </c>
      <c r="E2086" s="57" t="s">
        <v>55</v>
      </c>
      <c r="F2086" s="57" t="s">
        <v>57</v>
      </c>
      <c r="G2086" s="57" t="s">
        <v>25</v>
      </c>
      <c r="H2086" s="57" t="s">
        <v>25</v>
      </c>
      <c r="I2086" s="82">
        <v>44287</v>
      </c>
      <c r="J2086" s="83">
        <f>EFEITO!$J$2086*EFEITO!$Y$1666</f>
        <v>0</v>
      </c>
      <c r="K2086" s="83">
        <f ca="1">EFEITO!$L$2086*EFEITO!$Z$1666</f>
        <v>3321.2506162898976</v>
      </c>
      <c r="L2086" s="83">
        <f>EFEITO!$N$2086*EFEITO!$AA$1666</f>
        <v>1948.7513091080173</v>
      </c>
      <c r="M2086" s="83">
        <f>$J$2086-EFEITO!$K$2086*EFEITO!$Y$2086</f>
        <v>0</v>
      </c>
      <c r="N2086" s="83">
        <f ca="1">$K$2086-EFEITO!$M$2086*EFEITO!$Z$2086</f>
        <v>2532.1214698594181</v>
      </c>
      <c r="O2086" s="83">
        <f>$L$2086-EFEITO!$O$2086*EFEITO!$AA$2086</f>
        <v>1485.7279980639523</v>
      </c>
      <c r="P2086" s="61"/>
      <c r="Q2086" s="61"/>
      <c r="R2086" s="61"/>
      <c r="S2086" s="61"/>
      <c r="T2086" s="61"/>
      <c r="U2086" s="61"/>
      <c r="V2086" s="61"/>
      <c r="W2086" s="61"/>
      <c r="X2086" s="6"/>
      <c r="Y2086" s="6"/>
      <c r="Z2086" s="6"/>
      <c r="AA2086" s="6"/>
      <c r="AB2086" s="6"/>
      <c r="AC2086" s="6"/>
      <c r="AD2086" s="6"/>
      <c r="AE2086" s="6"/>
      <c r="AF2086" s="6"/>
      <c r="AG2086" s="6"/>
      <c r="AH2086" s="6"/>
      <c r="AI2086" s="6"/>
      <c r="AJ2086" s="6"/>
    </row>
    <row r="2087" spans="1:36" ht="11.25" customHeight="1" x14ac:dyDescent="0.2">
      <c r="A2087" s="57" t="s">
        <v>27</v>
      </c>
      <c r="B2087" s="57" t="s">
        <v>46</v>
      </c>
      <c r="C2087" s="57" t="s">
        <v>23</v>
      </c>
      <c r="D2087" s="57" t="s">
        <v>47</v>
      </c>
      <c r="E2087" s="57" t="s">
        <v>55</v>
      </c>
      <c r="F2087" s="57" t="s">
        <v>57</v>
      </c>
      <c r="G2087" s="57" t="s">
        <v>25</v>
      </c>
      <c r="H2087" s="57" t="s">
        <v>25</v>
      </c>
      <c r="I2087" s="82">
        <v>44287</v>
      </c>
      <c r="J2087" s="83">
        <f>EFEITO!$J$2087*EFEITO!$Y$1666</f>
        <v>0</v>
      </c>
      <c r="K2087" s="83">
        <f ca="1">EFEITO!$L$2087*EFEITO!$Z$1666</f>
        <v>2778.2613436556489</v>
      </c>
      <c r="L2087" s="83">
        <f>EFEITO!$N$2087*EFEITO!$AA$1666</f>
        <v>1630.151125584486</v>
      </c>
      <c r="M2087" s="83">
        <f>$J$2087-EFEITO!$K$2087*EFEITO!$Y$2087</f>
        <v>0</v>
      </c>
      <c r="N2087" s="83">
        <f ca="1">$K$2087-EFEITO!$M$2087*EFEITO!$Z$2087</f>
        <v>2118.1464484030666</v>
      </c>
      <c r="O2087" s="83">
        <f>$L$2087-EFEITO!$O$2087*EFEITO!$AA$2087</f>
        <v>1242.8272181456121</v>
      </c>
      <c r="P2087" s="61"/>
      <c r="Q2087" s="61"/>
      <c r="R2087" s="61"/>
      <c r="S2087" s="61"/>
      <c r="T2087" s="61"/>
      <c r="U2087" s="61"/>
      <c r="V2087" s="61"/>
      <c r="W2087" s="61"/>
      <c r="X2087" s="6"/>
      <c r="Y2087" s="6"/>
      <c r="Z2087" s="6"/>
      <c r="AA2087" s="6"/>
      <c r="AB2087" s="6"/>
      <c r="AC2087" s="6"/>
      <c r="AD2087" s="6"/>
      <c r="AE2087" s="6"/>
      <c r="AF2087" s="6"/>
      <c r="AG2087" s="6"/>
      <c r="AH2087" s="6"/>
      <c r="AI2087" s="6"/>
      <c r="AJ2087" s="6"/>
    </row>
    <row r="2088" spans="1:36" ht="11.25" customHeight="1" x14ac:dyDescent="0.2">
      <c r="A2088" s="57" t="s">
        <v>21</v>
      </c>
      <c r="B2088" s="57" t="s">
        <v>41</v>
      </c>
      <c r="C2088" s="57" t="s">
        <v>39</v>
      </c>
      <c r="D2088" s="57" t="s">
        <v>45</v>
      </c>
      <c r="E2088" s="57" t="s">
        <v>25</v>
      </c>
      <c r="F2088" s="57" t="s">
        <v>25</v>
      </c>
      <c r="G2088" s="57" t="s">
        <v>25</v>
      </c>
      <c r="H2088" s="57" t="s">
        <v>38</v>
      </c>
      <c r="I2088" s="82">
        <v>44136</v>
      </c>
      <c r="J2088" s="83">
        <f>EFEITO!$J$2088*EFEITO!$Y$2088</f>
        <v>0</v>
      </c>
      <c r="K2088" s="83">
        <f ca="1">EFEITO!$L$2088*EFEITO!$Z$2088</f>
        <v>46130.980328888007</v>
      </c>
      <c r="L2088" s="83">
        <f>EFEITO!$N$2088*EFEITO!$AA$2088</f>
        <v>30390.421242803084</v>
      </c>
      <c r="M2088" s="83">
        <f>$J$2088-EFEITO!$K$2088*EFEITO!$Y$2088</f>
        <v>0</v>
      </c>
      <c r="N2088" s="83">
        <f ca="1">$K$2088-EFEITO!$M$2088*EFEITO!$Z$2088</f>
        <v>0</v>
      </c>
      <c r="O2088" s="83">
        <f>$L$2088-EFEITO!$O$2088*EFEITO!$AA$2088</f>
        <v>0</v>
      </c>
      <c r="P2088" s="61"/>
      <c r="Q2088" s="61"/>
      <c r="R2088" s="61"/>
      <c r="S2088" s="61"/>
      <c r="T2088" s="61"/>
      <c r="U2088" s="61"/>
      <c r="V2088" s="61"/>
      <c r="W2088" s="61"/>
      <c r="X2088" s="6"/>
      <c r="Y2088" s="6"/>
      <c r="Z2088" s="6"/>
      <c r="AA2088" s="6"/>
      <c r="AB2088" s="6"/>
      <c r="AC2088" s="6"/>
      <c r="AD2088" s="6"/>
      <c r="AE2088" s="6"/>
      <c r="AF2088" s="6"/>
      <c r="AG2088" s="6"/>
      <c r="AH2088" s="6"/>
      <c r="AI2088" s="6"/>
      <c r="AJ2088" s="6"/>
    </row>
    <row r="2089" spans="1:36" ht="11.25" customHeight="1" x14ac:dyDescent="0.2">
      <c r="A2089" s="57" t="s">
        <v>27</v>
      </c>
      <c r="B2089" s="57" t="s">
        <v>41</v>
      </c>
      <c r="C2089" s="57" t="s">
        <v>39</v>
      </c>
      <c r="D2089" s="57" t="s">
        <v>45</v>
      </c>
      <c r="E2089" s="57" t="s">
        <v>25</v>
      </c>
      <c r="F2089" s="57" t="s">
        <v>25</v>
      </c>
      <c r="G2089" s="57" t="s">
        <v>25</v>
      </c>
      <c r="H2089" s="57" t="s">
        <v>38</v>
      </c>
      <c r="I2089" s="82">
        <v>44136</v>
      </c>
      <c r="J2089" s="83">
        <f>EFEITO!$J$2089*EFEITO!$Y$2089</f>
        <v>0</v>
      </c>
      <c r="K2089" s="83">
        <f ca="1">EFEITO!$L$2089*EFEITO!$Z$2089</f>
        <v>-332.39660740806306</v>
      </c>
      <c r="L2089" s="83">
        <f>EFEITO!$N$2089*EFEITO!$AA$2089</f>
        <v>-218.97806738097515</v>
      </c>
      <c r="M2089" s="83">
        <f>$J$2089-EFEITO!$K$2089*EFEITO!$Y$2089</f>
        <v>0</v>
      </c>
      <c r="N2089" s="83">
        <f ca="1">$K$2089-EFEITO!$M$2089*EFEITO!$Z$2089</f>
        <v>0</v>
      </c>
      <c r="O2089" s="83">
        <f>$L$2089-EFEITO!$O$2089*EFEITO!$AA$2089</f>
        <v>0</v>
      </c>
      <c r="P2089" s="61"/>
      <c r="Q2089" s="61"/>
      <c r="R2089" s="61"/>
      <c r="S2089" s="61"/>
      <c r="T2089" s="61"/>
      <c r="U2089" s="61"/>
      <c r="V2089" s="61"/>
      <c r="W2089" s="61"/>
      <c r="X2089" s="6"/>
      <c r="Y2089" s="6"/>
      <c r="Z2089" s="6"/>
      <c r="AA2089" s="6"/>
      <c r="AB2089" s="6"/>
      <c r="AC2089" s="6"/>
      <c r="AD2089" s="6"/>
      <c r="AE2089" s="6"/>
      <c r="AF2089" s="6"/>
      <c r="AG2089" s="6"/>
      <c r="AH2089" s="6"/>
      <c r="AI2089" s="6"/>
      <c r="AJ2089" s="6"/>
    </row>
    <row r="2090" spans="1:36" ht="11.25" customHeight="1" x14ac:dyDescent="0.2">
      <c r="A2090" s="57" t="s">
        <v>28</v>
      </c>
      <c r="B2090" s="57" t="s">
        <v>41</v>
      </c>
      <c r="C2090" s="57" t="s">
        <v>39</v>
      </c>
      <c r="D2090" s="57" t="s">
        <v>45</v>
      </c>
      <c r="E2090" s="57" t="s">
        <v>25</v>
      </c>
      <c r="F2090" s="57" t="s">
        <v>25</v>
      </c>
      <c r="G2090" s="57" t="s">
        <v>25</v>
      </c>
      <c r="H2090" s="57" t="s">
        <v>38</v>
      </c>
      <c r="I2090" s="82">
        <v>44136</v>
      </c>
      <c r="J2090" s="83">
        <f>EFEITO!$J$2090*EFEITO!$Y$2090</f>
        <v>0</v>
      </c>
      <c r="K2090" s="83">
        <f ca="1">EFEITO!$L$2090*EFEITO!$Z$2090</f>
        <v>24502.869292344243</v>
      </c>
      <c r="L2090" s="83">
        <f>EFEITO!$N$2090*EFEITO!$AA$2090</f>
        <v>16142.135158254414</v>
      </c>
      <c r="M2090" s="83">
        <f>$J$2090-EFEITO!$K$2090*EFEITO!$Y$2090</f>
        <v>0</v>
      </c>
      <c r="N2090" s="83">
        <f ca="1">$K$2090-EFEITO!$M$2090*EFEITO!$Z$2090</f>
        <v>0</v>
      </c>
      <c r="O2090" s="83">
        <f>$L$2090-EFEITO!$O$2090*EFEITO!$AA$2090</f>
        <v>0</v>
      </c>
      <c r="P2090" s="61"/>
      <c r="Q2090" s="61"/>
      <c r="R2090" s="61"/>
      <c r="S2090" s="61"/>
      <c r="T2090" s="61"/>
      <c r="U2090" s="61"/>
      <c r="V2090" s="61"/>
      <c r="W2090" s="61"/>
      <c r="X2090" s="6"/>
      <c r="Y2090" s="6"/>
      <c r="Z2090" s="6"/>
      <c r="AA2090" s="6"/>
      <c r="AB2090" s="6"/>
      <c r="AC2090" s="6"/>
      <c r="AD2090" s="6"/>
      <c r="AE2090" s="6"/>
      <c r="AF2090" s="6"/>
      <c r="AG2090" s="6"/>
      <c r="AH2090" s="6"/>
      <c r="AI2090" s="6"/>
      <c r="AJ2090" s="6"/>
    </row>
    <row r="2091" spans="1:36" ht="11.25" customHeight="1" x14ac:dyDescent="0.2">
      <c r="A2091" s="57" t="s">
        <v>21</v>
      </c>
      <c r="B2091" s="57" t="s">
        <v>41</v>
      </c>
      <c r="C2091" s="57" t="s">
        <v>39</v>
      </c>
      <c r="D2091" s="57" t="s">
        <v>45</v>
      </c>
      <c r="E2091" s="57" t="s">
        <v>25</v>
      </c>
      <c r="F2091" s="57" t="s">
        <v>25</v>
      </c>
      <c r="G2091" s="57" t="s">
        <v>25</v>
      </c>
      <c r="H2091" s="57" t="s">
        <v>38</v>
      </c>
      <c r="I2091" s="82">
        <v>44166</v>
      </c>
      <c r="J2091" s="83">
        <f>EFEITO!$J$2091*EFEITO!$Y$2091</f>
        <v>0</v>
      </c>
      <c r="K2091" s="83">
        <f ca="1">EFEITO!$L$2091*EFEITO!$Z$2091</f>
        <v>44598.262639173052</v>
      </c>
      <c r="L2091" s="83">
        <f>EFEITO!$N$2091*EFEITO!$AA$2091</f>
        <v>29380.689043213031</v>
      </c>
      <c r="M2091" s="83">
        <f>$J$2091-EFEITO!$K$2091*EFEITO!$Y$2091</f>
        <v>0</v>
      </c>
      <c r="N2091" s="83">
        <f ca="1">$K$2091-EFEITO!$M$2091*EFEITO!$Z$2091</f>
        <v>0</v>
      </c>
      <c r="O2091" s="83">
        <f>$L$2091-EFEITO!$O$2091*EFEITO!$AA$2091</f>
        <v>0</v>
      </c>
      <c r="P2091" s="61"/>
      <c r="Q2091" s="61"/>
      <c r="R2091" s="61"/>
      <c r="S2091" s="61"/>
      <c r="T2091" s="61"/>
      <c r="U2091" s="61"/>
      <c r="V2091" s="61"/>
      <c r="W2091" s="61"/>
      <c r="X2091" s="6"/>
      <c r="Y2091" s="6"/>
      <c r="Z2091" s="6"/>
      <c r="AA2091" s="6"/>
      <c r="AB2091" s="6"/>
      <c r="AC2091" s="6"/>
      <c r="AD2091" s="6"/>
      <c r="AE2091" s="6"/>
      <c r="AF2091" s="6"/>
      <c r="AG2091" s="6"/>
      <c r="AH2091" s="6"/>
      <c r="AI2091" s="6"/>
      <c r="AJ2091" s="6"/>
    </row>
    <row r="2092" spans="1:36" ht="11.25" customHeight="1" x14ac:dyDescent="0.2">
      <c r="A2092" s="57" t="s">
        <v>28</v>
      </c>
      <c r="B2092" s="57" t="s">
        <v>41</v>
      </c>
      <c r="C2092" s="57" t="s">
        <v>39</v>
      </c>
      <c r="D2092" s="57" t="s">
        <v>45</v>
      </c>
      <c r="E2092" s="57" t="s">
        <v>25</v>
      </c>
      <c r="F2092" s="57" t="s">
        <v>25</v>
      </c>
      <c r="G2092" s="57" t="s">
        <v>25</v>
      </c>
      <c r="H2092" s="57" t="s">
        <v>38</v>
      </c>
      <c r="I2092" s="82">
        <v>44166</v>
      </c>
      <c r="J2092" s="83">
        <f>EFEITO!$J$2092*EFEITO!$Y$2092</f>
        <v>0</v>
      </c>
      <c r="K2092" s="83">
        <f ca="1">EFEITO!$L$2092*EFEITO!$Z$2092</f>
        <v>24960.666170247339</v>
      </c>
      <c r="L2092" s="83">
        <f>EFEITO!$N$2092*EFEITO!$AA$2092</f>
        <v>16443.725106352762</v>
      </c>
      <c r="M2092" s="83">
        <f>$J$2092-EFEITO!$K$2092*EFEITO!$Y$2092</f>
        <v>0</v>
      </c>
      <c r="N2092" s="83">
        <f ca="1">$K$2092-EFEITO!$M$2092*EFEITO!$Z$2092</f>
        <v>0</v>
      </c>
      <c r="O2092" s="83">
        <f>$L$2092-EFEITO!$O$2092*EFEITO!$AA$2092</f>
        <v>0</v>
      </c>
      <c r="P2092" s="61"/>
      <c r="Q2092" s="61"/>
      <c r="R2092" s="61"/>
      <c r="S2092" s="61"/>
      <c r="T2092" s="61"/>
      <c r="U2092" s="61"/>
      <c r="V2092" s="61"/>
      <c r="W2092" s="61"/>
      <c r="X2092" s="6"/>
      <c r="Y2092" s="6"/>
      <c r="Z2092" s="6"/>
      <c r="AA2092" s="6"/>
      <c r="AB2092" s="6"/>
      <c r="AC2092" s="6"/>
      <c r="AD2092" s="6"/>
      <c r="AE2092" s="6"/>
      <c r="AF2092" s="6"/>
      <c r="AG2092" s="6"/>
      <c r="AH2092" s="6"/>
      <c r="AI2092" s="6"/>
      <c r="AJ2092" s="6"/>
    </row>
    <row r="2093" spans="1:36" ht="11.25" customHeight="1" x14ac:dyDescent="0.2">
      <c r="A2093" s="57" t="s">
        <v>21</v>
      </c>
      <c r="B2093" s="57" t="s">
        <v>41</v>
      </c>
      <c r="C2093" s="57" t="s">
        <v>39</v>
      </c>
      <c r="D2093" s="57" t="s">
        <v>45</v>
      </c>
      <c r="E2093" s="57" t="s">
        <v>25</v>
      </c>
      <c r="F2093" s="57" t="s">
        <v>25</v>
      </c>
      <c r="G2093" s="57" t="s">
        <v>25</v>
      </c>
      <c r="H2093" s="57" t="s">
        <v>38</v>
      </c>
      <c r="I2093" s="82">
        <v>44197</v>
      </c>
      <c r="J2093" s="83">
        <f>EFEITO!$J$2093*EFEITO!$Y$2093</f>
        <v>0</v>
      </c>
      <c r="K2093" s="83">
        <f ca="1">EFEITO!$L$2093*EFEITO!$Z$2093</f>
        <v>39261.02098947356</v>
      </c>
      <c r="L2093" s="83">
        <f>EFEITO!$N$2093*EFEITO!$AA$2093</f>
        <v>25864.591599529882</v>
      </c>
      <c r="M2093" s="83">
        <f>$J$2093-EFEITO!$K$2093*EFEITO!$Y$2093</f>
        <v>0</v>
      </c>
      <c r="N2093" s="83">
        <f ca="1">$K$2093-EFEITO!$M$2093*EFEITO!$Z$2093</f>
        <v>0</v>
      </c>
      <c r="O2093" s="83">
        <f>$L$2093-EFEITO!$O$2093*EFEITO!$AA$2093</f>
        <v>0</v>
      </c>
      <c r="P2093" s="61"/>
      <c r="Q2093" s="61"/>
      <c r="R2093" s="61"/>
      <c r="S2093" s="61"/>
      <c r="T2093" s="61"/>
      <c r="U2093" s="61"/>
      <c r="V2093" s="61"/>
      <c r="W2093" s="61"/>
      <c r="X2093" s="6"/>
      <c r="Y2093" s="6"/>
      <c r="Z2093" s="6"/>
      <c r="AA2093" s="6"/>
      <c r="AB2093" s="6"/>
      <c r="AC2093" s="6"/>
      <c r="AD2093" s="6"/>
      <c r="AE2093" s="6"/>
      <c r="AF2093" s="6"/>
      <c r="AG2093" s="6"/>
      <c r="AH2093" s="6"/>
      <c r="AI2093" s="6"/>
      <c r="AJ2093" s="6"/>
    </row>
    <row r="2094" spans="1:36" ht="11.25" customHeight="1" x14ac:dyDescent="0.2">
      <c r="A2094" s="57" t="s">
        <v>27</v>
      </c>
      <c r="B2094" s="57" t="s">
        <v>41</v>
      </c>
      <c r="C2094" s="57" t="s">
        <v>39</v>
      </c>
      <c r="D2094" s="57" t="s">
        <v>45</v>
      </c>
      <c r="E2094" s="57" t="s">
        <v>25</v>
      </c>
      <c r="F2094" s="57" t="s">
        <v>25</v>
      </c>
      <c r="G2094" s="57" t="s">
        <v>25</v>
      </c>
      <c r="H2094" s="57" t="s">
        <v>38</v>
      </c>
      <c r="I2094" s="82">
        <v>44197</v>
      </c>
      <c r="J2094" s="83">
        <f>EFEITO!$J$2094*EFEITO!$Y$2094</f>
        <v>0</v>
      </c>
      <c r="K2094" s="83">
        <f ca="1">EFEITO!$L$2094*EFEITO!$Z$2094</f>
        <v>494.30038130062093</v>
      </c>
      <c r="L2094" s="83">
        <f>EFEITO!$N$2094*EFEITO!$AA$2094</f>
        <v>325.63792707429246</v>
      </c>
      <c r="M2094" s="83">
        <f>$J$2094-EFEITO!$K$2094*EFEITO!$Y$2094</f>
        <v>0</v>
      </c>
      <c r="N2094" s="83">
        <f ca="1">$K$2094-EFEITO!$M$2094*EFEITO!$Z$2094</f>
        <v>0</v>
      </c>
      <c r="O2094" s="83">
        <f>$L$2094-EFEITO!$O$2094*EFEITO!$AA$2094</f>
        <v>0</v>
      </c>
      <c r="P2094" s="61"/>
      <c r="Q2094" s="61"/>
      <c r="R2094" s="61"/>
      <c r="S2094" s="61"/>
      <c r="T2094" s="61"/>
      <c r="U2094" s="61"/>
      <c r="V2094" s="61"/>
      <c r="W2094" s="61"/>
      <c r="X2094" s="6"/>
      <c r="Y2094" s="6"/>
      <c r="Z2094" s="6"/>
      <c r="AA2094" s="6"/>
      <c r="AB2094" s="6"/>
      <c r="AC2094" s="6"/>
      <c r="AD2094" s="6"/>
      <c r="AE2094" s="6"/>
      <c r="AF2094" s="6"/>
      <c r="AG2094" s="6"/>
      <c r="AH2094" s="6"/>
      <c r="AI2094" s="6"/>
      <c r="AJ2094" s="6"/>
    </row>
    <row r="2095" spans="1:36" ht="11.25" customHeight="1" x14ac:dyDescent="0.2">
      <c r="A2095" s="57" t="s">
        <v>28</v>
      </c>
      <c r="B2095" s="57" t="s">
        <v>41</v>
      </c>
      <c r="C2095" s="57" t="s">
        <v>39</v>
      </c>
      <c r="D2095" s="57" t="s">
        <v>45</v>
      </c>
      <c r="E2095" s="57" t="s">
        <v>25</v>
      </c>
      <c r="F2095" s="57" t="s">
        <v>25</v>
      </c>
      <c r="G2095" s="57" t="s">
        <v>25</v>
      </c>
      <c r="H2095" s="57" t="s">
        <v>38</v>
      </c>
      <c r="I2095" s="82">
        <v>44197</v>
      </c>
      <c r="J2095" s="83">
        <f>EFEITO!$J$2095*EFEITO!$Y$2095</f>
        <v>0</v>
      </c>
      <c r="K2095" s="83">
        <f ca="1">EFEITO!$L$2095*EFEITO!$Z$2095</f>
        <v>21691.240624772425</v>
      </c>
      <c r="L2095" s="83">
        <f>EFEITO!$N$2095*EFEITO!$AA$2095</f>
        <v>14289.874942307071</v>
      </c>
      <c r="M2095" s="83">
        <f>$J$2095-EFEITO!$K$2095*EFEITO!$Y$2095</f>
        <v>0</v>
      </c>
      <c r="N2095" s="83">
        <f ca="1">$K$2095-EFEITO!$M$2095*EFEITO!$Z$2095</f>
        <v>0</v>
      </c>
      <c r="O2095" s="83">
        <f>$L$2095-EFEITO!$O$2095*EFEITO!$AA$2095</f>
        <v>0</v>
      </c>
      <c r="P2095" s="61"/>
      <c r="Q2095" s="61"/>
      <c r="R2095" s="61"/>
      <c r="S2095" s="61"/>
      <c r="T2095" s="61"/>
      <c r="U2095" s="61"/>
      <c r="V2095" s="61"/>
      <c r="W2095" s="61"/>
      <c r="X2095" s="6"/>
      <c r="Y2095" s="6"/>
      <c r="Z2095" s="6"/>
      <c r="AA2095" s="6"/>
      <c r="AB2095" s="6"/>
      <c r="AC2095" s="6"/>
      <c r="AD2095" s="6"/>
      <c r="AE2095" s="6"/>
      <c r="AF2095" s="6"/>
      <c r="AG2095" s="6"/>
      <c r="AH2095" s="6"/>
      <c r="AI2095" s="6"/>
      <c r="AJ2095" s="6"/>
    </row>
    <row r="2096" spans="1:36" ht="11.25" customHeight="1" x14ac:dyDescent="0.2">
      <c r="A2096" s="57" t="s">
        <v>21</v>
      </c>
      <c r="B2096" s="57" t="s">
        <v>41</v>
      </c>
      <c r="C2096" s="57" t="s">
        <v>39</v>
      </c>
      <c r="D2096" s="57" t="s">
        <v>45</v>
      </c>
      <c r="E2096" s="57" t="s">
        <v>25</v>
      </c>
      <c r="F2096" s="57" t="s">
        <v>25</v>
      </c>
      <c r="G2096" s="57" t="s">
        <v>25</v>
      </c>
      <c r="H2096" s="57" t="s">
        <v>38</v>
      </c>
      <c r="I2096" s="82">
        <v>44228</v>
      </c>
      <c r="J2096" s="83">
        <f>EFEITO!$J$2096*EFEITO!$Y$2096</f>
        <v>0</v>
      </c>
      <c r="K2096" s="83">
        <f ca="1">EFEITO!$L$2096*EFEITO!$Z$2096</f>
        <v>35810.366285954449</v>
      </c>
      <c r="L2096" s="83">
        <f>EFEITO!$N$2096*EFEITO!$AA$2096</f>
        <v>23591.350292803607</v>
      </c>
      <c r="M2096" s="83">
        <f>$J$2096-EFEITO!$K$2096*EFEITO!$Y$2096</f>
        <v>0</v>
      </c>
      <c r="N2096" s="83">
        <f ca="1">$K$2096-EFEITO!$M$2096*EFEITO!$Z$2096</f>
        <v>0</v>
      </c>
      <c r="O2096" s="83">
        <f>$L$2096-EFEITO!$O$2096*EFEITO!$AA$2096</f>
        <v>0</v>
      </c>
      <c r="P2096" s="61"/>
      <c r="Q2096" s="61"/>
      <c r="R2096" s="61"/>
      <c r="S2096" s="61"/>
      <c r="T2096" s="61"/>
      <c r="U2096" s="61"/>
      <c r="V2096" s="61"/>
      <c r="W2096" s="61"/>
      <c r="X2096" s="6"/>
      <c r="Y2096" s="6"/>
      <c r="Z2096" s="6"/>
      <c r="AA2096" s="6"/>
      <c r="AB2096" s="6"/>
      <c r="AC2096" s="6"/>
      <c r="AD2096" s="6"/>
      <c r="AE2096" s="6"/>
      <c r="AF2096" s="6"/>
      <c r="AG2096" s="6"/>
      <c r="AH2096" s="6"/>
      <c r="AI2096" s="6"/>
      <c r="AJ2096" s="6"/>
    </row>
    <row r="2097" spans="1:36" ht="11.25" customHeight="1" x14ac:dyDescent="0.2">
      <c r="A2097" s="57" t="s">
        <v>27</v>
      </c>
      <c r="B2097" s="57" t="s">
        <v>41</v>
      </c>
      <c r="C2097" s="57" t="s">
        <v>39</v>
      </c>
      <c r="D2097" s="57" t="s">
        <v>45</v>
      </c>
      <c r="E2097" s="57" t="s">
        <v>25</v>
      </c>
      <c r="F2097" s="57" t="s">
        <v>25</v>
      </c>
      <c r="G2097" s="57" t="s">
        <v>25</v>
      </c>
      <c r="H2097" s="57" t="s">
        <v>38</v>
      </c>
      <c r="I2097" s="82">
        <v>44228</v>
      </c>
      <c r="J2097" s="83">
        <f>EFEITO!$J$2097*EFEITO!$Y$2097</f>
        <v>0</v>
      </c>
      <c r="K2097" s="83">
        <f ca="1">EFEITO!$L$2097*EFEITO!$Z$2097</f>
        <v>1655.1117893419575</v>
      </c>
      <c r="L2097" s="83">
        <f>EFEITO!$N$2097*EFEITO!$AA$2097</f>
        <v>1090.3636585094034</v>
      </c>
      <c r="M2097" s="83">
        <f>$J$2097-EFEITO!$K$2097*EFEITO!$Y$2097</f>
        <v>0</v>
      </c>
      <c r="N2097" s="83">
        <f ca="1">$K$2097-EFEITO!$M$2097*EFEITO!$Z$2097</f>
        <v>0</v>
      </c>
      <c r="O2097" s="83">
        <f>$L$2097-EFEITO!$O$2097*EFEITO!$AA$2097</f>
        <v>0</v>
      </c>
      <c r="P2097" s="61"/>
      <c r="Q2097" s="61"/>
      <c r="R2097" s="61"/>
      <c r="S2097" s="61"/>
      <c r="T2097" s="61"/>
      <c r="U2097" s="61"/>
      <c r="V2097" s="61"/>
      <c r="W2097" s="61"/>
      <c r="X2097" s="6"/>
      <c r="Y2097" s="6"/>
      <c r="Z2097" s="6"/>
      <c r="AA2097" s="6"/>
      <c r="AB2097" s="6"/>
      <c r="AC2097" s="6"/>
      <c r="AD2097" s="6"/>
      <c r="AE2097" s="6"/>
      <c r="AF2097" s="6"/>
      <c r="AG2097" s="6"/>
      <c r="AH2097" s="6"/>
      <c r="AI2097" s="6"/>
      <c r="AJ2097" s="6"/>
    </row>
    <row r="2098" spans="1:36" ht="11.25" customHeight="1" x14ac:dyDescent="0.2">
      <c r="A2098" s="57" t="s">
        <v>28</v>
      </c>
      <c r="B2098" s="57" t="s">
        <v>41</v>
      </c>
      <c r="C2098" s="57" t="s">
        <v>39</v>
      </c>
      <c r="D2098" s="57" t="s">
        <v>45</v>
      </c>
      <c r="E2098" s="57" t="s">
        <v>25</v>
      </c>
      <c r="F2098" s="57" t="s">
        <v>25</v>
      </c>
      <c r="G2098" s="57" t="s">
        <v>25</v>
      </c>
      <c r="H2098" s="57" t="s">
        <v>38</v>
      </c>
      <c r="I2098" s="82">
        <v>44228</v>
      </c>
      <c r="J2098" s="83">
        <f>EFEITO!$J$2098*EFEITO!$Y$2098</f>
        <v>0</v>
      </c>
      <c r="K2098" s="83">
        <f ca="1">EFEITO!$L$2098*EFEITO!$Z$2098</f>
        <v>22499.041682310624</v>
      </c>
      <c r="L2098" s="83">
        <f>EFEITO!$N$2098*EFEITO!$AA$2098</f>
        <v>14822.04257117479</v>
      </c>
      <c r="M2098" s="83">
        <f>$J$2098-EFEITO!$K$2098*EFEITO!$Y$2098</f>
        <v>0</v>
      </c>
      <c r="N2098" s="83">
        <f ca="1">$K$2098-EFEITO!$M$2098*EFEITO!$Z$2098</f>
        <v>0</v>
      </c>
      <c r="O2098" s="83">
        <f>$L$2098-EFEITO!$O$2098*EFEITO!$AA$2098</f>
        <v>0</v>
      </c>
      <c r="P2098" s="61"/>
      <c r="Q2098" s="61"/>
      <c r="R2098" s="61"/>
      <c r="S2098" s="61"/>
      <c r="T2098" s="61"/>
      <c r="U2098" s="61"/>
      <c r="V2098" s="61"/>
      <c r="W2098" s="61"/>
      <c r="X2098" s="6"/>
      <c r="Y2098" s="6"/>
      <c r="Z2098" s="6"/>
      <c r="AA2098" s="6"/>
      <c r="AB2098" s="6"/>
      <c r="AC2098" s="6"/>
      <c r="AD2098" s="6"/>
      <c r="AE2098" s="6"/>
      <c r="AF2098" s="6"/>
      <c r="AG2098" s="6"/>
      <c r="AH2098" s="6"/>
      <c r="AI2098" s="6"/>
      <c r="AJ2098" s="6"/>
    </row>
    <row r="2099" spans="1:36" ht="11.25" customHeight="1" x14ac:dyDescent="0.2">
      <c r="A2099" s="57" t="s">
        <v>21</v>
      </c>
      <c r="B2099" s="57" t="s">
        <v>41</v>
      </c>
      <c r="C2099" s="57" t="s">
        <v>39</v>
      </c>
      <c r="D2099" s="57" t="s">
        <v>45</v>
      </c>
      <c r="E2099" s="57" t="s">
        <v>25</v>
      </c>
      <c r="F2099" s="57" t="s">
        <v>25</v>
      </c>
      <c r="G2099" s="57" t="s">
        <v>25</v>
      </c>
      <c r="H2099" s="57" t="s">
        <v>38</v>
      </c>
      <c r="I2099" s="82">
        <v>44256</v>
      </c>
      <c r="J2099" s="83">
        <f>EFEITO!$J$2099*EFEITO!$Y$2099</f>
        <v>0</v>
      </c>
      <c r="K2099" s="83">
        <f ca="1">EFEITO!$L$2099*EFEITO!$Z$2099</f>
        <v>44680.288158572199</v>
      </c>
      <c r="L2099" s="83">
        <f>EFEITO!$N$2099*EFEITO!$AA$2099</f>
        <v>29434.726266558984</v>
      </c>
      <c r="M2099" s="83">
        <f>$J$2099-EFEITO!$K$2099*EFEITO!$Y$2099</f>
        <v>0</v>
      </c>
      <c r="N2099" s="83">
        <f ca="1">$K$2099-EFEITO!$M$2099*EFEITO!$Z$2099</f>
        <v>0</v>
      </c>
      <c r="O2099" s="83">
        <f>$L$2099-EFEITO!$O$2099*EFEITO!$AA$2099</f>
        <v>0</v>
      </c>
      <c r="P2099" s="61"/>
      <c r="Q2099" s="61"/>
      <c r="R2099" s="61"/>
      <c r="S2099" s="61"/>
      <c r="T2099" s="61"/>
      <c r="U2099" s="61"/>
      <c r="V2099" s="61"/>
      <c r="W2099" s="61"/>
      <c r="X2099" s="6"/>
      <c r="Y2099" s="6"/>
      <c r="Z2099" s="6"/>
      <c r="AA2099" s="6"/>
      <c r="AB2099" s="6"/>
      <c r="AC2099" s="6"/>
      <c r="AD2099" s="6"/>
      <c r="AE2099" s="6"/>
      <c r="AF2099" s="6"/>
      <c r="AG2099" s="6"/>
      <c r="AH2099" s="6"/>
      <c r="AI2099" s="6"/>
      <c r="AJ2099" s="6"/>
    </row>
    <row r="2100" spans="1:36" ht="11.25" customHeight="1" x14ac:dyDescent="0.2">
      <c r="A2100" s="57" t="s">
        <v>27</v>
      </c>
      <c r="B2100" s="57" t="s">
        <v>41</v>
      </c>
      <c r="C2100" s="57" t="s">
        <v>39</v>
      </c>
      <c r="D2100" s="57" t="s">
        <v>45</v>
      </c>
      <c r="E2100" s="57" t="s">
        <v>25</v>
      </c>
      <c r="F2100" s="57" t="s">
        <v>25</v>
      </c>
      <c r="G2100" s="57" t="s">
        <v>25</v>
      </c>
      <c r="H2100" s="57" t="s">
        <v>38</v>
      </c>
      <c r="I2100" s="82">
        <v>44256</v>
      </c>
      <c r="J2100" s="83">
        <f>EFEITO!$J$2100*EFEITO!$Y$2100</f>
        <v>0</v>
      </c>
      <c r="K2100" s="83">
        <f ca="1">EFEITO!$L$2100*EFEITO!$Z$2100</f>
        <v>-176.50517525156835</v>
      </c>
      <c r="L2100" s="83">
        <f>EFEITO!$N$2100*EFEITO!$AA$2100</f>
        <v>-116.27905128369609</v>
      </c>
      <c r="M2100" s="83">
        <f>$J$2100-EFEITO!$K$2100*EFEITO!$Y$2100</f>
        <v>0</v>
      </c>
      <c r="N2100" s="83">
        <f ca="1">$K$2100-EFEITO!$M$2100*EFEITO!$Z$2100</f>
        <v>0</v>
      </c>
      <c r="O2100" s="83">
        <f>$L$2100-EFEITO!$O$2100*EFEITO!$AA$2100</f>
        <v>0</v>
      </c>
      <c r="P2100" s="61"/>
      <c r="Q2100" s="61"/>
      <c r="R2100" s="61"/>
      <c r="S2100" s="61"/>
      <c r="T2100" s="61"/>
      <c r="U2100" s="61"/>
      <c r="V2100" s="61"/>
      <c r="W2100" s="61"/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  <c r="AH2100" s="6"/>
      <c r="AI2100" s="6"/>
      <c r="AJ2100" s="6"/>
    </row>
    <row r="2101" spans="1:36" ht="11.25" customHeight="1" x14ac:dyDescent="0.2">
      <c r="A2101" s="57" t="s">
        <v>28</v>
      </c>
      <c r="B2101" s="57" t="s">
        <v>41</v>
      </c>
      <c r="C2101" s="57" t="s">
        <v>39</v>
      </c>
      <c r="D2101" s="57" t="s">
        <v>45</v>
      </c>
      <c r="E2101" s="57" t="s">
        <v>25</v>
      </c>
      <c r="F2101" s="57" t="s">
        <v>25</v>
      </c>
      <c r="G2101" s="57" t="s">
        <v>25</v>
      </c>
      <c r="H2101" s="57" t="s">
        <v>38</v>
      </c>
      <c r="I2101" s="82">
        <v>44256</v>
      </c>
      <c r="J2101" s="83">
        <f>EFEITO!$J$2101*EFEITO!$Y$2101</f>
        <v>0</v>
      </c>
      <c r="K2101" s="83">
        <f ca="1">EFEITO!$L$2101*EFEITO!$Z$2101</f>
        <v>22213.884902828773</v>
      </c>
      <c r="L2101" s="83">
        <f>EFEITO!$N$2101*EFEITO!$AA$2101</f>
        <v>14634.185417762686</v>
      </c>
      <c r="M2101" s="83">
        <f>$J$2101-EFEITO!$K$2101*EFEITO!$Y$2101</f>
        <v>0</v>
      </c>
      <c r="N2101" s="83">
        <f ca="1">$K$2101-EFEITO!$M$2101*EFEITO!$Z$2101</f>
        <v>0</v>
      </c>
      <c r="O2101" s="83">
        <f>$L$2101-EFEITO!$O$2101*EFEITO!$AA$2101</f>
        <v>0</v>
      </c>
      <c r="P2101" s="61"/>
      <c r="Q2101" s="61"/>
      <c r="R2101" s="61"/>
      <c r="S2101" s="61"/>
      <c r="T2101" s="61"/>
      <c r="U2101" s="61"/>
      <c r="V2101" s="61"/>
      <c r="W2101" s="61"/>
      <c r="X2101" s="6"/>
      <c r="Y2101" s="6"/>
      <c r="Z2101" s="6"/>
      <c r="AA2101" s="6"/>
      <c r="AB2101" s="6"/>
      <c r="AC2101" s="6"/>
      <c r="AD2101" s="6"/>
      <c r="AE2101" s="6"/>
      <c r="AF2101" s="6"/>
      <c r="AG2101" s="6"/>
      <c r="AH2101" s="6"/>
      <c r="AI2101" s="6"/>
      <c r="AJ2101" s="6"/>
    </row>
    <row r="2102" spans="1:36" ht="11.25" customHeight="1" x14ac:dyDescent="0.2">
      <c r="A2102" s="57" t="s">
        <v>29</v>
      </c>
      <c r="B2102" s="57" t="s">
        <v>41</v>
      </c>
      <c r="C2102" s="57" t="s">
        <v>39</v>
      </c>
      <c r="D2102" s="57" t="s">
        <v>45</v>
      </c>
      <c r="E2102" s="57" t="s">
        <v>25</v>
      </c>
      <c r="F2102" s="57" t="s">
        <v>25</v>
      </c>
      <c r="G2102" s="57" t="s">
        <v>25</v>
      </c>
      <c r="H2102" s="57" t="s">
        <v>38</v>
      </c>
      <c r="I2102" s="82">
        <v>44256</v>
      </c>
      <c r="J2102" s="83">
        <f>EFEITO!$J$2102*EFEITO!$Y$2102</f>
        <v>0</v>
      </c>
      <c r="K2102" s="83">
        <f ca="1">EFEITO!$L$2102*EFEITO!$Z$2102</f>
        <v>-1426.6428033715574</v>
      </c>
      <c r="L2102" s="83">
        <f>EFEITO!$N$2102*EFEITO!$AA$2102</f>
        <v>-939.85160185994755</v>
      </c>
      <c r="M2102" s="83">
        <f>$J$2102-EFEITO!$K$2102*EFEITO!$Y$2102</f>
        <v>0</v>
      </c>
      <c r="N2102" s="83">
        <f ca="1">$K$2102-EFEITO!$M$2102*EFEITO!$Z$2102</f>
        <v>0</v>
      </c>
      <c r="O2102" s="83">
        <f>$L$2102-EFEITO!$O$2102*EFEITO!$AA$2102</f>
        <v>0</v>
      </c>
      <c r="P2102" s="61"/>
      <c r="Q2102" s="61"/>
      <c r="R2102" s="61"/>
      <c r="S2102" s="61"/>
      <c r="T2102" s="61"/>
      <c r="U2102" s="61"/>
      <c r="V2102" s="61"/>
      <c r="W2102" s="61"/>
      <c r="X2102" s="6"/>
      <c r="Y2102" s="6"/>
      <c r="Z2102" s="6"/>
      <c r="AA2102" s="6"/>
      <c r="AB2102" s="6"/>
      <c r="AC2102" s="6"/>
      <c r="AD2102" s="6"/>
      <c r="AE2102" s="6"/>
      <c r="AF2102" s="6"/>
      <c r="AG2102" s="6"/>
      <c r="AH2102" s="6"/>
      <c r="AI2102" s="6"/>
      <c r="AJ2102" s="6"/>
    </row>
    <row r="2103" spans="1:36" ht="11.25" customHeight="1" x14ac:dyDescent="0.2">
      <c r="A2103" s="57" t="s">
        <v>21</v>
      </c>
      <c r="B2103" s="57" t="s">
        <v>41</v>
      </c>
      <c r="C2103" s="57" t="s">
        <v>39</v>
      </c>
      <c r="D2103" s="57" t="s">
        <v>45</v>
      </c>
      <c r="E2103" s="57" t="s">
        <v>25</v>
      </c>
      <c r="F2103" s="57" t="s">
        <v>25</v>
      </c>
      <c r="G2103" s="57" t="s">
        <v>25</v>
      </c>
      <c r="H2103" s="57" t="s">
        <v>38</v>
      </c>
      <c r="I2103" s="82">
        <v>44287</v>
      </c>
      <c r="J2103" s="83">
        <f>EFEITO!$J$2103*EFEITO!$Y$2103</f>
        <v>0</v>
      </c>
      <c r="K2103" s="83">
        <f ca="1">EFEITO!$L$2103*EFEITO!$Z$2103</f>
        <v>43163.030776178544</v>
      </c>
      <c r="L2103" s="83">
        <f>EFEITO!$N$2103*EFEITO!$AA$2103</f>
        <v>28435.179093358744</v>
      </c>
      <c r="M2103" s="83">
        <f>$J$2103-EFEITO!$K$2103*EFEITO!$Y$2103</f>
        <v>0</v>
      </c>
      <c r="N2103" s="83">
        <f ca="1">$K$2103-EFEITO!$M$2103*EFEITO!$Z$2103</f>
        <v>0</v>
      </c>
      <c r="O2103" s="83">
        <f>$L$2103-EFEITO!$O$2103*EFEITO!$AA$2103</f>
        <v>0</v>
      </c>
      <c r="P2103" s="61"/>
      <c r="Q2103" s="61"/>
      <c r="R2103" s="61"/>
      <c r="S2103" s="61"/>
      <c r="T2103" s="61"/>
      <c r="U2103" s="61"/>
      <c r="V2103" s="61"/>
      <c r="W2103" s="61"/>
      <c r="X2103" s="6"/>
      <c r="Y2103" s="6"/>
      <c r="Z2103" s="6"/>
      <c r="AA2103" s="6"/>
      <c r="AB2103" s="6"/>
      <c r="AC2103" s="6"/>
      <c r="AD2103" s="6"/>
      <c r="AE2103" s="6"/>
      <c r="AF2103" s="6"/>
      <c r="AG2103" s="6"/>
      <c r="AH2103" s="6"/>
      <c r="AI2103" s="6"/>
      <c r="AJ2103" s="6"/>
    </row>
    <row r="2104" spans="1:36" ht="11.25" customHeight="1" x14ac:dyDescent="0.2">
      <c r="A2104" s="57" t="s">
        <v>28</v>
      </c>
      <c r="B2104" s="57" t="s">
        <v>41</v>
      </c>
      <c r="C2104" s="57" t="s">
        <v>39</v>
      </c>
      <c r="D2104" s="57" t="s">
        <v>45</v>
      </c>
      <c r="E2104" s="57" t="s">
        <v>25</v>
      </c>
      <c r="F2104" s="57" t="s">
        <v>25</v>
      </c>
      <c r="G2104" s="57" t="s">
        <v>25</v>
      </c>
      <c r="H2104" s="57" t="s">
        <v>38</v>
      </c>
      <c r="I2104" s="82">
        <v>44287</v>
      </c>
      <c r="J2104" s="83">
        <f>EFEITO!$J$2104*EFEITO!$Y$2104</f>
        <v>0</v>
      </c>
      <c r="K2104" s="83">
        <f ca="1">EFEITO!$L$2104*EFEITO!$Z$2104</f>
        <v>24516.61178774096</v>
      </c>
      <c r="L2104" s="83">
        <f>EFEITO!$N$2104*EFEITO!$AA$2104</f>
        <v>16151.18851504536</v>
      </c>
      <c r="M2104" s="83">
        <f>$J$2104-EFEITO!$K$2104*EFEITO!$Y$2104</f>
        <v>0</v>
      </c>
      <c r="N2104" s="83">
        <f ca="1">$K$2104-EFEITO!$M$2104*EFEITO!$Z$2104</f>
        <v>0</v>
      </c>
      <c r="O2104" s="83">
        <f>$L$2104-EFEITO!$O$2104*EFEITO!$AA$2104</f>
        <v>0</v>
      </c>
      <c r="P2104" s="61"/>
      <c r="Q2104" s="61"/>
      <c r="R2104" s="61"/>
      <c r="S2104" s="61"/>
      <c r="T2104" s="61"/>
      <c r="U2104" s="61"/>
      <c r="V2104" s="61"/>
      <c r="W2104" s="61"/>
      <c r="X2104" s="6"/>
      <c r="Y2104" s="6"/>
      <c r="Z2104" s="6"/>
      <c r="AA2104" s="6"/>
      <c r="AB2104" s="6"/>
      <c r="AC2104" s="6"/>
      <c r="AD2104" s="6"/>
      <c r="AE2104" s="6"/>
      <c r="AF2104" s="6"/>
      <c r="AG2104" s="6"/>
      <c r="AH2104" s="6"/>
      <c r="AI2104" s="6"/>
      <c r="AJ2104" s="6"/>
    </row>
    <row r="2105" spans="1:36" ht="11.25" customHeight="1" x14ac:dyDescent="0.2">
      <c r="A2105" s="57" t="s">
        <v>21</v>
      </c>
      <c r="B2105" s="57" t="s">
        <v>41</v>
      </c>
      <c r="C2105" s="57" t="s">
        <v>39</v>
      </c>
      <c r="D2105" s="57" t="s">
        <v>45</v>
      </c>
      <c r="E2105" s="57" t="s">
        <v>25</v>
      </c>
      <c r="F2105" s="57" t="s">
        <v>25</v>
      </c>
      <c r="G2105" s="57" t="s">
        <v>25</v>
      </c>
      <c r="H2105" s="57" t="s">
        <v>38</v>
      </c>
      <c r="I2105" s="82">
        <v>44317</v>
      </c>
      <c r="J2105" s="83">
        <f>EFEITO!$J$2105*EFEITO!$Y$2105</f>
        <v>0</v>
      </c>
      <c r="K2105" s="83">
        <f ca="1">EFEITO!$L$2105*EFEITO!$Z$2105</f>
        <v>45901.652436955315</v>
      </c>
      <c r="L2105" s="83">
        <f>EFEITO!$N$2105*EFEITO!$AA$2105</f>
        <v>30239.343351354193</v>
      </c>
      <c r="M2105" s="83">
        <f>$J$2105-EFEITO!$K$2105*EFEITO!$Y$2105</f>
        <v>0</v>
      </c>
      <c r="N2105" s="83">
        <f ca="1">$K$2105-EFEITO!$M$2105*EFEITO!$Z$2105</f>
        <v>0</v>
      </c>
      <c r="O2105" s="83">
        <f>$L$2105-EFEITO!$O$2105*EFEITO!$AA$2105</f>
        <v>0</v>
      </c>
      <c r="P2105" s="61"/>
      <c r="Q2105" s="61"/>
      <c r="R2105" s="61"/>
      <c r="S2105" s="61"/>
      <c r="T2105" s="61"/>
      <c r="U2105" s="61"/>
      <c r="V2105" s="61"/>
      <c r="W2105" s="61"/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  <c r="AH2105" s="6"/>
      <c r="AI2105" s="6"/>
      <c r="AJ2105" s="6"/>
    </row>
    <row r="2106" spans="1:36" ht="11.25" customHeight="1" x14ac:dyDescent="0.2">
      <c r="A2106" s="57" t="s">
        <v>28</v>
      </c>
      <c r="B2106" s="57" t="s">
        <v>41</v>
      </c>
      <c r="C2106" s="57" t="s">
        <v>39</v>
      </c>
      <c r="D2106" s="57" t="s">
        <v>45</v>
      </c>
      <c r="E2106" s="57" t="s">
        <v>25</v>
      </c>
      <c r="F2106" s="57" t="s">
        <v>25</v>
      </c>
      <c r="G2106" s="57" t="s">
        <v>25</v>
      </c>
      <c r="H2106" s="57" t="s">
        <v>38</v>
      </c>
      <c r="I2106" s="82">
        <v>44317</v>
      </c>
      <c r="J2106" s="83">
        <f>EFEITO!$J$2106*EFEITO!$Y$2106</f>
        <v>0</v>
      </c>
      <c r="K2106" s="83">
        <f ca="1">EFEITO!$L$2106*EFEITO!$Z$2106</f>
        <v>24597.778401177813</v>
      </c>
      <c r="L2106" s="83">
        <f>EFEITO!$N$2106*EFEITO!$AA$2106</f>
        <v>16204.659903591877</v>
      </c>
      <c r="M2106" s="83">
        <f>$J$2106-EFEITO!$K$2106*EFEITO!$Y$2106</f>
        <v>0</v>
      </c>
      <c r="N2106" s="83">
        <f ca="1">$K$2106-EFEITO!$M$2106*EFEITO!$Z$2106</f>
        <v>0</v>
      </c>
      <c r="O2106" s="83">
        <f>$L$2106-EFEITO!$O$2106*EFEITO!$AA$2106</f>
        <v>0</v>
      </c>
      <c r="P2106" s="61"/>
      <c r="Q2106" s="61"/>
      <c r="R2106" s="61"/>
      <c r="S2106" s="61"/>
      <c r="T2106" s="61"/>
      <c r="U2106" s="61"/>
      <c r="V2106" s="61"/>
      <c r="W2106" s="61"/>
      <c r="X2106" s="6"/>
      <c r="Y2106" s="6"/>
      <c r="Z2106" s="6"/>
      <c r="AA2106" s="6"/>
      <c r="AB2106" s="6"/>
      <c r="AC2106" s="6"/>
      <c r="AD2106" s="6"/>
      <c r="AE2106" s="6"/>
      <c r="AF2106" s="6"/>
      <c r="AG2106" s="6"/>
      <c r="AH2106" s="6"/>
      <c r="AI2106" s="6"/>
      <c r="AJ2106" s="6"/>
    </row>
    <row r="2107" spans="1:36" ht="11.25" customHeight="1" x14ac:dyDescent="0.2">
      <c r="A2107" s="57" t="s">
        <v>21</v>
      </c>
      <c r="B2107" s="57" t="s">
        <v>41</v>
      </c>
      <c r="C2107" s="57" t="s">
        <v>39</v>
      </c>
      <c r="D2107" s="57" t="s">
        <v>45</v>
      </c>
      <c r="E2107" s="57" t="s">
        <v>25</v>
      </c>
      <c r="F2107" s="57" t="s">
        <v>25</v>
      </c>
      <c r="G2107" s="57" t="s">
        <v>25</v>
      </c>
      <c r="H2107" s="57" t="s">
        <v>38</v>
      </c>
      <c r="I2107" s="82">
        <v>44348</v>
      </c>
      <c r="J2107" s="83">
        <f>EFEITO!$J$2107*EFEITO!$Y$2107</f>
        <v>0</v>
      </c>
      <c r="K2107" s="83">
        <f ca="1">EFEITO!$L$2107*EFEITO!$Z$2107</f>
        <v>46612.397120754205</v>
      </c>
      <c r="L2107" s="83">
        <f>EFEITO!$N$2107*EFEITO!$AA$2107</f>
        <v>30707.571647885867</v>
      </c>
      <c r="M2107" s="83">
        <f>$J$2107-EFEITO!$K$2107*EFEITO!$Y$2107</f>
        <v>0</v>
      </c>
      <c r="N2107" s="83">
        <f ca="1">$K$2107-EFEITO!$M$2107*EFEITO!$Z$2107</f>
        <v>0</v>
      </c>
      <c r="O2107" s="83">
        <f>$L$2107-EFEITO!$O$2107*EFEITO!$AA$2107</f>
        <v>0</v>
      </c>
      <c r="P2107" s="61"/>
      <c r="Q2107" s="61"/>
      <c r="R2107" s="61"/>
      <c r="S2107" s="61"/>
      <c r="T2107" s="61"/>
      <c r="U2107" s="61"/>
      <c r="V2107" s="61"/>
      <c r="W2107" s="61"/>
      <c r="X2107" s="6"/>
      <c r="Y2107" s="6"/>
      <c r="Z2107" s="6"/>
      <c r="AA2107" s="6"/>
      <c r="AB2107" s="6"/>
      <c r="AC2107" s="6"/>
      <c r="AD2107" s="6"/>
      <c r="AE2107" s="6"/>
      <c r="AF2107" s="6"/>
      <c r="AG2107" s="6"/>
      <c r="AH2107" s="6"/>
      <c r="AI2107" s="6"/>
      <c r="AJ2107" s="6"/>
    </row>
    <row r="2108" spans="1:36" ht="11.25" customHeight="1" x14ac:dyDescent="0.2">
      <c r="A2108" s="57" t="s">
        <v>28</v>
      </c>
      <c r="B2108" s="57" t="s">
        <v>41</v>
      </c>
      <c r="C2108" s="57" t="s">
        <v>39</v>
      </c>
      <c r="D2108" s="57" t="s">
        <v>45</v>
      </c>
      <c r="E2108" s="57" t="s">
        <v>25</v>
      </c>
      <c r="F2108" s="57" t="s">
        <v>25</v>
      </c>
      <c r="G2108" s="57" t="s">
        <v>25</v>
      </c>
      <c r="H2108" s="57" t="s">
        <v>38</v>
      </c>
      <c r="I2108" s="82">
        <v>44348</v>
      </c>
      <c r="J2108" s="83">
        <f>EFEITO!$J$2108*EFEITO!$Y$2108</f>
        <v>0</v>
      </c>
      <c r="K2108" s="83">
        <f ca="1">EFEITO!$L$2108*EFEITO!$Z$2108</f>
        <v>26255.8963613878</v>
      </c>
      <c r="L2108" s="83">
        <f>EFEITO!$N$2108*EFEITO!$AA$2108</f>
        <v>17297.0039838993</v>
      </c>
      <c r="M2108" s="83">
        <f>$J$2108-EFEITO!$K$2108*EFEITO!$Y$2108</f>
        <v>0</v>
      </c>
      <c r="N2108" s="83">
        <f ca="1">$K$2108-EFEITO!$M$2108*EFEITO!$Z$2108</f>
        <v>0</v>
      </c>
      <c r="O2108" s="83">
        <f>$L$2108-EFEITO!$O$2108*EFEITO!$AA$2108</f>
        <v>0</v>
      </c>
      <c r="P2108" s="61"/>
      <c r="Q2108" s="61"/>
      <c r="R2108" s="61"/>
      <c r="S2108" s="61"/>
      <c r="T2108" s="61"/>
      <c r="U2108" s="61"/>
      <c r="V2108" s="61"/>
      <c r="W2108" s="61"/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  <c r="AH2108" s="6"/>
      <c r="AI2108" s="6"/>
      <c r="AJ2108" s="6"/>
    </row>
    <row r="2109" spans="1:36" ht="11.25" customHeight="1" x14ac:dyDescent="0.2">
      <c r="A2109" s="57" t="s">
        <v>21</v>
      </c>
      <c r="B2109" s="57" t="s">
        <v>41</v>
      </c>
      <c r="C2109" s="57" t="s">
        <v>39</v>
      </c>
      <c r="D2109" s="57" t="s">
        <v>45</v>
      </c>
      <c r="E2109" s="57" t="s">
        <v>25</v>
      </c>
      <c r="F2109" s="57" t="s">
        <v>25</v>
      </c>
      <c r="G2109" s="57" t="s">
        <v>25</v>
      </c>
      <c r="H2109" s="57" t="s">
        <v>38</v>
      </c>
      <c r="I2109" s="82">
        <v>44378</v>
      </c>
      <c r="J2109" s="83">
        <f>EFEITO!$J$2109*EFEITO!$Y$2109</f>
        <v>0</v>
      </c>
      <c r="K2109" s="83">
        <f ca="1">EFEITO!$L$2109*EFEITO!$Z$2109</f>
        <v>46105.213150019168</v>
      </c>
      <c r="L2109" s="83">
        <f>EFEITO!$N$2109*EFEITO!$AA$2109</f>
        <v>30373.446198820064</v>
      </c>
      <c r="M2109" s="83">
        <f>$J$2109-EFEITO!$K$2109*EFEITO!$Y$2109</f>
        <v>0</v>
      </c>
      <c r="N2109" s="83">
        <f ca="1">$K$2109-EFEITO!$M$2109*EFEITO!$Z$2109</f>
        <v>0</v>
      </c>
      <c r="O2109" s="83">
        <f>$L$2109-EFEITO!$O$2109*EFEITO!$AA$2109</f>
        <v>0</v>
      </c>
      <c r="P2109" s="61"/>
      <c r="Q2109" s="61"/>
      <c r="R2109" s="61"/>
      <c r="S2109" s="61"/>
      <c r="T2109" s="61"/>
      <c r="U2109" s="61"/>
      <c r="V2109" s="61"/>
      <c r="W2109" s="61"/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  <c r="AH2109" s="6"/>
      <c r="AI2109" s="6"/>
      <c r="AJ2109" s="6"/>
    </row>
    <row r="2110" spans="1:36" ht="11.25" customHeight="1" x14ac:dyDescent="0.2">
      <c r="A2110" s="57" t="s">
        <v>28</v>
      </c>
      <c r="B2110" s="57" t="s">
        <v>41</v>
      </c>
      <c r="C2110" s="57" t="s">
        <v>39</v>
      </c>
      <c r="D2110" s="57" t="s">
        <v>45</v>
      </c>
      <c r="E2110" s="57" t="s">
        <v>25</v>
      </c>
      <c r="F2110" s="57" t="s">
        <v>25</v>
      </c>
      <c r="G2110" s="57" t="s">
        <v>25</v>
      </c>
      <c r="H2110" s="57" t="s">
        <v>38</v>
      </c>
      <c r="I2110" s="82">
        <v>44378</v>
      </c>
      <c r="J2110" s="83">
        <f>EFEITO!$J$2110*EFEITO!$Y$2110</f>
        <v>0</v>
      </c>
      <c r="K2110" s="83">
        <f ca="1">EFEITO!$L$2110*EFEITO!$Z$2110</f>
        <v>22630.883747522868</v>
      </c>
      <c r="L2110" s="83">
        <f>EFEITO!$N$2110*EFEITO!$AA$2110</f>
        <v>14908.898212887916</v>
      </c>
      <c r="M2110" s="83">
        <f>$J$2110-EFEITO!$K$2110*EFEITO!$Y$2110</f>
        <v>0</v>
      </c>
      <c r="N2110" s="83">
        <f ca="1">$K$2110-EFEITO!$M$2110*EFEITO!$Z$2110</f>
        <v>0</v>
      </c>
      <c r="O2110" s="83">
        <f>$L$2110-EFEITO!$O$2110*EFEITO!$AA$2110</f>
        <v>0</v>
      </c>
      <c r="P2110" s="61"/>
      <c r="Q2110" s="61"/>
      <c r="R2110" s="61"/>
      <c r="S2110" s="61"/>
      <c r="T2110" s="61"/>
      <c r="U2110" s="61"/>
      <c r="V2110" s="61"/>
      <c r="W2110" s="61"/>
      <c r="X2110" s="6"/>
      <c r="Y2110" s="6"/>
      <c r="Z2110" s="6"/>
      <c r="AA2110" s="6"/>
      <c r="AB2110" s="6"/>
      <c r="AC2110" s="6"/>
      <c r="AD2110" s="6"/>
      <c r="AE2110" s="6"/>
      <c r="AF2110" s="6"/>
      <c r="AG2110" s="6"/>
      <c r="AH2110" s="6"/>
      <c r="AI2110" s="6"/>
      <c r="AJ2110" s="6"/>
    </row>
    <row r="2111" spans="1:36" ht="11.25" customHeight="1" x14ac:dyDescent="0.2">
      <c r="A2111" s="57" t="s">
        <v>21</v>
      </c>
      <c r="B2111" s="57" t="s">
        <v>41</v>
      </c>
      <c r="C2111" s="57" t="s">
        <v>39</v>
      </c>
      <c r="D2111" s="57" t="s">
        <v>45</v>
      </c>
      <c r="E2111" s="57" t="s">
        <v>25</v>
      </c>
      <c r="F2111" s="57" t="s">
        <v>25</v>
      </c>
      <c r="G2111" s="57" t="s">
        <v>25</v>
      </c>
      <c r="H2111" s="57" t="s">
        <v>38</v>
      </c>
      <c r="I2111" s="82">
        <v>44409</v>
      </c>
      <c r="J2111" s="83">
        <f>EFEITO!$J$2111*EFEITO!$Y$2111</f>
        <v>0</v>
      </c>
      <c r="K2111" s="83">
        <f ca="1">EFEITO!$L$2111*EFEITO!$Z$2111</f>
        <v>60108.815959272557</v>
      </c>
      <c r="L2111" s="83">
        <f>EFEITO!$N$2111*EFEITO!$AA$2111</f>
        <v>39598.81676879272</v>
      </c>
      <c r="M2111" s="83">
        <f>$J$2111-EFEITO!$K$2111*EFEITO!$Y$2111</f>
        <v>0</v>
      </c>
      <c r="N2111" s="83">
        <f ca="1">$K$2111-EFEITO!$M$2111*EFEITO!$Z$2111</f>
        <v>0</v>
      </c>
      <c r="O2111" s="83">
        <f>$L$2111-EFEITO!$O$2111*EFEITO!$AA$2111</f>
        <v>0</v>
      </c>
      <c r="P2111" s="61"/>
      <c r="Q2111" s="61"/>
      <c r="R2111" s="61"/>
      <c r="S2111" s="61"/>
      <c r="T2111" s="61"/>
      <c r="U2111" s="61"/>
      <c r="V2111" s="61"/>
      <c r="W2111" s="61"/>
      <c r="X2111" s="6"/>
      <c r="Y2111" s="6"/>
      <c r="Z2111" s="6"/>
      <c r="AA2111" s="6"/>
      <c r="AB2111" s="6"/>
      <c r="AC2111" s="6"/>
      <c r="AD2111" s="6"/>
      <c r="AE2111" s="6"/>
      <c r="AF2111" s="6"/>
      <c r="AG2111" s="6"/>
      <c r="AH2111" s="6"/>
      <c r="AI2111" s="6"/>
      <c r="AJ2111" s="6"/>
    </row>
    <row r="2112" spans="1:36" ht="11.25" customHeight="1" x14ac:dyDescent="0.2">
      <c r="A2112" s="57" t="s">
        <v>28</v>
      </c>
      <c r="B2112" s="57" t="s">
        <v>41</v>
      </c>
      <c r="C2112" s="57" t="s">
        <v>39</v>
      </c>
      <c r="D2112" s="57" t="s">
        <v>45</v>
      </c>
      <c r="E2112" s="57" t="s">
        <v>25</v>
      </c>
      <c r="F2112" s="57" t="s">
        <v>25</v>
      </c>
      <c r="G2112" s="57" t="s">
        <v>25</v>
      </c>
      <c r="H2112" s="57" t="s">
        <v>38</v>
      </c>
      <c r="I2112" s="82">
        <v>44409</v>
      </c>
      <c r="J2112" s="83">
        <f>EFEITO!$J$2112*EFEITO!$Y$2112</f>
        <v>0</v>
      </c>
      <c r="K2112" s="83">
        <f ca="1">EFEITO!$L$2112*EFEITO!$Z$2112</f>
        <v>24389.923158302488</v>
      </c>
      <c r="L2112" s="83">
        <f>EFEITO!$N$2112*EFEITO!$AA$2112</f>
        <v>16067.727882128838</v>
      </c>
      <c r="M2112" s="83">
        <f>$J$2112-EFEITO!$K$2112*EFEITO!$Y$2112</f>
        <v>0</v>
      </c>
      <c r="N2112" s="83">
        <f ca="1">$K$2112-EFEITO!$M$2112*EFEITO!$Z$2112</f>
        <v>0</v>
      </c>
      <c r="O2112" s="83">
        <f>$L$2112-EFEITO!$O$2112*EFEITO!$AA$2112</f>
        <v>0</v>
      </c>
      <c r="P2112" s="61"/>
      <c r="Q2112" s="61"/>
      <c r="R2112" s="61"/>
      <c r="S2112" s="61"/>
      <c r="T2112" s="61"/>
      <c r="U2112" s="61"/>
      <c r="V2112" s="61"/>
      <c r="W2112" s="61"/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  <c r="AH2112" s="6"/>
      <c r="AI2112" s="6"/>
      <c r="AJ2112" s="6"/>
    </row>
    <row r="2113" spans="1:36" ht="11.25" customHeight="1" x14ac:dyDescent="0.2">
      <c r="A2113" s="57" t="s">
        <v>21</v>
      </c>
      <c r="B2113" s="57" t="s">
        <v>41</v>
      </c>
      <c r="C2113" s="57" t="s">
        <v>39</v>
      </c>
      <c r="D2113" s="57" t="s">
        <v>45</v>
      </c>
      <c r="E2113" s="57" t="s">
        <v>25</v>
      </c>
      <c r="F2113" s="57" t="s">
        <v>25</v>
      </c>
      <c r="G2113" s="57" t="s">
        <v>25</v>
      </c>
      <c r="H2113" s="57" t="s">
        <v>38</v>
      </c>
      <c r="I2113" s="82">
        <v>44440</v>
      </c>
      <c r="J2113" s="83">
        <f>EFEITO!$J$2113*EFEITO!$Y$2113</f>
        <v>0</v>
      </c>
      <c r="K2113" s="83">
        <f ca="1">EFEITO!$L$2113*EFEITO!$Z$2113</f>
        <v>48723.587976074668</v>
      </c>
      <c r="L2113" s="83">
        <f>EFEITO!$N$2113*EFEITO!$AA$2113</f>
        <v>32098.393584894748</v>
      </c>
      <c r="M2113" s="83">
        <f>$J$2113-EFEITO!$K$2113*EFEITO!$Y$2113</f>
        <v>0</v>
      </c>
      <c r="N2113" s="83">
        <f ca="1">$K$2113-EFEITO!$M$2113*EFEITO!$Z$2113</f>
        <v>0</v>
      </c>
      <c r="O2113" s="83">
        <f>$L$2113-EFEITO!$O$2113*EFEITO!$AA$2113</f>
        <v>0</v>
      </c>
      <c r="P2113" s="61"/>
      <c r="Q2113" s="61"/>
      <c r="R2113" s="61"/>
      <c r="S2113" s="61"/>
      <c r="T2113" s="61"/>
      <c r="U2113" s="61"/>
      <c r="V2113" s="61"/>
      <c r="W2113" s="61"/>
      <c r="X2113" s="6"/>
      <c r="Y2113" s="6"/>
      <c r="Z2113" s="6"/>
      <c r="AA2113" s="6"/>
      <c r="AB2113" s="6"/>
      <c r="AC2113" s="6"/>
      <c r="AD2113" s="6"/>
      <c r="AE2113" s="6"/>
      <c r="AF2113" s="6"/>
      <c r="AG2113" s="6"/>
      <c r="AH2113" s="6"/>
      <c r="AI2113" s="6"/>
      <c r="AJ2113" s="6"/>
    </row>
    <row r="2114" spans="1:36" ht="11.25" customHeight="1" x14ac:dyDescent="0.2">
      <c r="A2114" s="57" t="s">
        <v>28</v>
      </c>
      <c r="B2114" s="57" t="s">
        <v>41</v>
      </c>
      <c r="C2114" s="57" t="s">
        <v>39</v>
      </c>
      <c r="D2114" s="57" t="s">
        <v>45</v>
      </c>
      <c r="E2114" s="57" t="s">
        <v>25</v>
      </c>
      <c r="F2114" s="57" t="s">
        <v>25</v>
      </c>
      <c r="G2114" s="57" t="s">
        <v>25</v>
      </c>
      <c r="H2114" s="57" t="s">
        <v>38</v>
      </c>
      <c r="I2114" s="82">
        <v>44440</v>
      </c>
      <c r="J2114" s="83">
        <f>EFEITO!$J$2114*EFEITO!$Y$2114</f>
        <v>0</v>
      </c>
      <c r="K2114" s="83">
        <f ca="1">EFEITO!$L$2114*EFEITO!$Z$2114</f>
        <v>26633.385531816341</v>
      </c>
      <c r="L2114" s="83">
        <f>EFEITO!$N$2114*EFEITO!$AA$2114</f>
        <v>17545.688378250561</v>
      </c>
      <c r="M2114" s="83">
        <f>$J$2114-EFEITO!$K$2114*EFEITO!$Y$2114</f>
        <v>0</v>
      </c>
      <c r="N2114" s="83">
        <f ca="1">$K$2114-EFEITO!$M$2114*EFEITO!$Z$2114</f>
        <v>0</v>
      </c>
      <c r="O2114" s="83">
        <f>$L$2114-EFEITO!$O$2114*EFEITO!$AA$2114</f>
        <v>0</v>
      </c>
      <c r="P2114" s="61"/>
      <c r="Q2114" s="61"/>
      <c r="R2114" s="61"/>
      <c r="S2114" s="61"/>
      <c r="T2114" s="61"/>
      <c r="U2114" s="61"/>
      <c r="V2114" s="61"/>
      <c r="W2114" s="61"/>
      <c r="X2114" s="6"/>
      <c r="Y2114" s="6"/>
      <c r="Z2114" s="6"/>
      <c r="AA2114" s="6"/>
      <c r="AB2114" s="6"/>
      <c r="AC2114" s="6"/>
      <c r="AD2114" s="6"/>
      <c r="AE2114" s="6"/>
      <c r="AF2114" s="6"/>
      <c r="AG2114" s="6"/>
      <c r="AH2114" s="6"/>
      <c r="AI2114" s="6"/>
      <c r="AJ2114" s="6"/>
    </row>
    <row r="2115" spans="1:36" ht="11.25" customHeight="1" x14ac:dyDescent="0.2">
      <c r="A2115" s="57" t="s">
        <v>30</v>
      </c>
      <c r="B2115" s="57" t="s">
        <v>41</v>
      </c>
      <c r="C2115" s="57" t="s">
        <v>39</v>
      </c>
      <c r="D2115" s="57" t="s">
        <v>45</v>
      </c>
      <c r="E2115" s="57" t="s">
        <v>25</v>
      </c>
      <c r="F2115" s="57" t="s">
        <v>25</v>
      </c>
      <c r="G2115" s="57" t="s">
        <v>25</v>
      </c>
      <c r="H2115" s="57" t="s">
        <v>38</v>
      </c>
      <c r="I2115" s="82">
        <v>44440</v>
      </c>
      <c r="J2115" s="83">
        <f>EFEITO!$J$2115*EFEITO!$Y$2115</f>
        <v>0</v>
      </c>
      <c r="K2115" s="83">
        <f ca="1">EFEITO!$L$2115*EFEITO!$Z$2115</f>
        <v>3312.3708435896515</v>
      </c>
      <c r="L2115" s="83">
        <f>EFEITO!$N$2115*EFEITO!$AA$2115</f>
        <v>2182.1419040173919</v>
      </c>
      <c r="M2115" s="83">
        <f>$J$2115-EFEITO!$K$2115*EFEITO!$Y$2115</f>
        <v>0</v>
      </c>
      <c r="N2115" s="83">
        <f ca="1">$K$2115-EFEITO!$M$2115*EFEITO!$Z$2115</f>
        <v>0</v>
      </c>
      <c r="O2115" s="83">
        <f>$L$2115-EFEITO!$O$2115*EFEITO!$AA$2115</f>
        <v>0</v>
      </c>
      <c r="P2115" s="61"/>
      <c r="Q2115" s="61"/>
      <c r="R2115" s="61"/>
      <c r="S2115" s="61"/>
      <c r="T2115" s="61"/>
      <c r="U2115" s="61"/>
      <c r="V2115" s="61"/>
      <c r="W2115" s="61"/>
      <c r="X2115" s="6"/>
      <c r="Y2115" s="6"/>
      <c r="Z2115" s="6"/>
      <c r="AA2115" s="6"/>
      <c r="AB2115" s="6"/>
      <c r="AC2115" s="6"/>
      <c r="AD2115" s="6"/>
      <c r="AE2115" s="6"/>
      <c r="AF2115" s="6"/>
      <c r="AG2115" s="6"/>
      <c r="AH2115" s="6"/>
      <c r="AI2115" s="6"/>
      <c r="AJ2115" s="6"/>
    </row>
    <row r="2116" spans="1:36" ht="11.25" customHeight="1" x14ac:dyDescent="0.2">
      <c r="A2116" s="57" t="s">
        <v>59</v>
      </c>
      <c r="B2116" s="57" t="s">
        <v>41</v>
      </c>
      <c r="C2116" s="57" t="s">
        <v>39</v>
      </c>
      <c r="D2116" s="57" t="s">
        <v>45</v>
      </c>
      <c r="E2116" s="57" t="s">
        <v>25</v>
      </c>
      <c r="F2116" s="57" t="s">
        <v>25</v>
      </c>
      <c r="G2116" s="57" t="s">
        <v>25</v>
      </c>
      <c r="H2116" s="57" t="s">
        <v>38</v>
      </c>
      <c r="I2116" s="82">
        <v>44470</v>
      </c>
      <c r="J2116" s="83">
        <f>EFEITO!$J$2116*EFEITO!$Y$2116</f>
        <v>0</v>
      </c>
      <c r="K2116" s="83">
        <f ca="1">EFEITO!$L$2116*EFEITO!$Z$2116</f>
        <v>48723.587976074668</v>
      </c>
      <c r="L2116" s="83">
        <f>EFEITO!$N$2116*EFEITO!$AA$2116</f>
        <v>32098.393584894748</v>
      </c>
      <c r="M2116" s="83">
        <f>$J$2116-EFEITO!$K$2116*EFEITO!$Y$2116</f>
        <v>0</v>
      </c>
      <c r="N2116" s="83">
        <f ca="1">$K$2116-EFEITO!$M$2116*EFEITO!$Z$2116</f>
        <v>0</v>
      </c>
      <c r="O2116" s="83">
        <f>$L$2116-EFEITO!$O$2116*EFEITO!$AA$2116</f>
        <v>0</v>
      </c>
      <c r="P2116" s="61"/>
      <c r="Q2116" s="61"/>
      <c r="R2116" s="61"/>
      <c r="S2116" s="61"/>
      <c r="T2116" s="61"/>
      <c r="U2116" s="61"/>
      <c r="V2116" s="61"/>
      <c r="W2116" s="61"/>
      <c r="X2116" s="6"/>
      <c r="Y2116" s="6"/>
      <c r="Z2116" s="6"/>
      <c r="AA2116" s="6"/>
      <c r="AB2116" s="6"/>
      <c r="AC2116" s="6"/>
      <c r="AD2116" s="6"/>
      <c r="AE2116" s="6"/>
      <c r="AF2116" s="6"/>
      <c r="AG2116" s="6"/>
      <c r="AH2116" s="6"/>
      <c r="AI2116" s="6"/>
      <c r="AJ2116" s="6"/>
    </row>
    <row r="2117" spans="1:36" ht="11.25" customHeight="1" x14ac:dyDescent="0.2">
      <c r="A2117" s="57" t="s">
        <v>59</v>
      </c>
      <c r="B2117" s="57" t="s">
        <v>41</v>
      </c>
      <c r="C2117" s="57" t="s">
        <v>39</v>
      </c>
      <c r="D2117" s="57" t="s">
        <v>45</v>
      </c>
      <c r="E2117" s="57" t="s">
        <v>25</v>
      </c>
      <c r="F2117" s="57" t="s">
        <v>25</v>
      </c>
      <c r="G2117" s="57" t="s">
        <v>25</v>
      </c>
      <c r="H2117" s="57" t="s">
        <v>38</v>
      </c>
      <c r="I2117" s="82">
        <v>44470</v>
      </c>
      <c r="J2117" s="83">
        <f>EFEITO!$J$2117*EFEITO!$Y$2117</f>
        <v>0</v>
      </c>
      <c r="K2117" s="83">
        <f ca="1">EFEITO!$L$2117*EFEITO!$Z$2117</f>
        <v>26633.385531816341</v>
      </c>
      <c r="L2117" s="83">
        <f>EFEITO!$N$2117*EFEITO!$AA$2117</f>
        <v>17545.688378250561</v>
      </c>
      <c r="M2117" s="83">
        <f>$J$2117-EFEITO!$K$2117*EFEITO!$Y$2117</f>
        <v>0</v>
      </c>
      <c r="N2117" s="83">
        <f ca="1">$K$2117-EFEITO!$M$2117*EFEITO!$Z$2117</f>
        <v>0</v>
      </c>
      <c r="O2117" s="83">
        <f>$L$2117-EFEITO!$O$2117*EFEITO!$AA$2117</f>
        <v>0</v>
      </c>
      <c r="P2117" s="61"/>
      <c r="Q2117" s="61"/>
      <c r="R2117" s="61"/>
      <c r="S2117" s="61"/>
      <c r="T2117" s="61"/>
      <c r="U2117" s="61"/>
      <c r="V2117" s="61"/>
      <c r="W2117" s="61"/>
      <c r="X2117" s="6"/>
      <c r="Y2117" s="6"/>
      <c r="Z2117" s="6"/>
      <c r="AA2117" s="6"/>
      <c r="AB2117" s="6"/>
      <c r="AC2117" s="6"/>
      <c r="AD2117" s="6"/>
      <c r="AE2117" s="6"/>
      <c r="AF2117" s="6"/>
      <c r="AG2117" s="6"/>
      <c r="AH2117" s="6"/>
      <c r="AI2117" s="6"/>
      <c r="AJ2117" s="6"/>
    </row>
    <row r="2118" spans="1:36" ht="11.25" customHeight="1" x14ac:dyDescent="0.2">
      <c r="A2118" s="57" t="s">
        <v>59</v>
      </c>
      <c r="B2118" s="57" t="s">
        <v>41</v>
      </c>
      <c r="C2118" s="57" t="s">
        <v>39</v>
      </c>
      <c r="D2118" s="57" t="s">
        <v>45</v>
      </c>
      <c r="E2118" s="57" t="s">
        <v>25</v>
      </c>
      <c r="F2118" s="57" t="s">
        <v>25</v>
      </c>
      <c r="G2118" s="57" t="s">
        <v>25</v>
      </c>
      <c r="H2118" s="57" t="s">
        <v>38</v>
      </c>
      <c r="I2118" s="82">
        <v>44470</v>
      </c>
      <c r="J2118" s="83">
        <f>EFEITO!$J$2118*EFEITO!$Y$2118</f>
        <v>0</v>
      </c>
      <c r="K2118" s="83">
        <f ca="1">EFEITO!$L$2118*EFEITO!$Z$2118</f>
        <v>3312.3708435896515</v>
      </c>
      <c r="L2118" s="83">
        <f>EFEITO!$N$2118*EFEITO!$AA$2118</f>
        <v>2182.1419040173919</v>
      </c>
      <c r="M2118" s="83">
        <f>$J$2118-EFEITO!$K$2118*EFEITO!$Y$2118</f>
        <v>0</v>
      </c>
      <c r="N2118" s="83">
        <f ca="1">$K$2118-EFEITO!$M$2118*EFEITO!$Z$2118</f>
        <v>0</v>
      </c>
      <c r="O2118" s="83">
        <f>$L$2118-EFEITO!$O$2118*EFEITO!$AA$2118</f>
        <v>0</v>
      </c>
      <c r="P2118" s="61"/>
      <c r="Q2118" s="61"/>
      <c r="R2118" s="61"/>
      <c r="S2118" s="61"/>
      <c r="T2118" s="61"/>
      <c r="U2118" s="61"/>
      <c r="V2118" s="61"/>
      <c r="W2118" s="61"/>
      <c r="X2118" s="6"/>
      <c r="Y2118" s="6"/>
      <c r="Z2118" s="6"/>
      <c r="AA2118" s="6"/>
      <c r="AB2118" s="6"/>
      <c r="AC2118" s="6"/>
      <c r="AD2118" s="6"/>
      <c r="AE2118" s="6"/>
      <c r="AF2118" s="6"/>
      <c r="AG2118" s="6"/>
      <c r="AH2118" s="6"/>
      <c r="AI2118" s="6"/>
      <c r="AJ2118" s="6"/>
    </row>
    <row r="2119" spans="1:36" ht="11.25" customHeight="1" x14ac:dyDescent="0.2">
      <c r="A2119" s="57" t="s">
        <v>21</v>
      </c>
      <c r="B2119" s="57" t="s">
        <v>41</v>
      </c>
      <c r="C2119" s="57" t="s">
        <v>39</v>
      </c>
      <c r="D2119" s="57" t="s">
        <v>45</v>
      </c>
      <c r="E2119" s="57" t="s">
        <v>25</v>
      </c>
      <c r="F2119" s="57" t="s">
        <v>25</v>
      </c>
      <c r="G2119" s="57" t="s">
        <v>25</v>
      </c>
      <c r="H2119" s="57" t="s">
        <v>40</v>
      </c>
      <c r="I2119" s="82">
        <v>44136</v>
      </c>
      <c r="J2119" s="83">
        <f>EFEITO!$J$2119*EFEITO!$Y$2119</f>
        <v>0</v>
      </c>
      <c r="K2119" s="83">
        <f ca="1">EFEITO!$L$2119*EFEITO!$Z$2119</f>
        <v>1925.7581193198612</v>
      </c>
      <c r="L2119" s="83">
        <f>EFEITO!$N$2119*EFEITO!$AA$2119</f>
        <v>659.7633761400956</v>
      </c>
      <c r="M2119" s="83">
        <f>$J$2119-EFEITO!$K$2119*EFEITO!$Y$2119</f>
        <v>0</v>
      </c>
      <c r="N2119" s="83">
        <f ca="1">$K$2119-EFEITO!$M$2119*EFEITO!$Z$2119</f>
        <v>0</v>
      </c>
      <c r="O2119" s="83">
        <f>$L$2119-EFEITO!$O$2119*EFEITO!$AA$2119</f>
        <v>0</v>
      </c>
      <c r="P2119" s="61"/>
      <c r="Q2119" s="61"/>
      <c r="R2119" s="61"/>
      <c r="S2119" s="61"/>
      <c r="T2119" s="61"/>
      <c r="U2119" s="61"/>
      <c r="V2119" s="61"/>
      <c r="W2119" s="61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</row>
    <row r="2120" spans="1:36" ht="11.25" customHeight="1" x14ac:dyDescent="0.2">
      <c r="A2120" s="57" t="s">
        <v>28</v>
      </c>
      <c r="B2120" s="57" t="s">
        <v>41</v>
      </c>
      <c r="C2120" s="57" t="s">
        <v>39</v>
      </c>
      <c r="D2120" s="57" t="s">
        <v>45</v>
      </c>
      <c r="E2120" s="57" t="s">
        <v>25</v>
      </c>
      <c r="F2120" s="57" t="s">
        <v>25</v>
      </c>
      <c r="G2120" s="57" t="s">
        <v>25</v>
      </c>
      <c r="H2120" s="57" t="s">
        <v>40</v>
      </c>
      <c r="I2120" s="82">
        <v>44136</v>
      </c>
      <c r="J2120" s="83">
        <f>EFEITO!$J$2120*EFEITO!$Y$2120</f>
        <v>0</v>
      </c>
      <c r="K2120" s="83">
        <f ca="1">EFEITO!$L$2120*EFEITO!$Z$2120</f>
        <v>6550.2201554224448</v>
      </c>
      <c r="L2120" s="83">
        <f>EFEITO!$N$2120*EFEITO!$AA$2120</f>
        <v>2244.1008145554197</v>
      </c>
      <c r="M2120" s="83">
        <f>$J$2120-EFEITO!$K$2120*EFEITO!$Y$2120</f>
        <v>0</v>
      </c>
      <c r="N2120" s="83">
        <f ca="1">$K$2120-EFEITO!$M$2120*EFEITO!$Z$2120</f>
        <v>0</v>
      </c>
      <c r="O2120" s="83">
        <f>$L$2120-EFEITO!$O$2120*EFEITO!$AA$2120</f>
        <v>0</v>
      </c>
      <c r="P2120" s="61"/>
      <c r="Q2120" s="61"/>
      <c r="R2120" s="61"/>
      <c r="S2120" s="61"/>
      <c r="T2120" s="61"/>
      <c r="U2120" s="61"/>
      <c r="V2120" s="61"/>
      <c r="W2120" s="61"/>
      <c r="X2120" s="6"/>
      <c r="Y2120" s="6"/>
      <c r="Z2120" s="6"/>
      <c r="AA2120" s="6"/>
      <c r="AB2120" s="6"/>
      <c r="AC2120" s="6"/>
      <c r="AD2120" s="6"/>
      <c r="AE2120" s="6"/>
      <c r="AF2120" s="6"/>
      <c r="AG2120" s="6"/>
      <c r="AH2120" s="6"/>
      <c r="AI2120" s="6"/>
      <c r="AJ2120" s="6"/>
    </row>
    <row r="2121" spans="1:36" ht="11.25" customHeight="1" x14ac:dyDescent="0.2">
      <c r="A2121" s="57" t="s">
        <v>21</v>
      </c>
      <c r="B2121" s="57" t="s">
        <v>41</v>
      </c>
      <c r="C2121" s="57" t="s">
        <v>39</v>
      </c>
      <c r="D2121" s="57" t="s">
        <v>45</v>
      </c>
      <c r="E2121" s="57" t="s">
        <v>25</v>
      </c>
      <c r="F2121" s="57" t="s">
        <v>25</v>
      </c>
      <c r="G2121" s="57" t="s">
        <v>25</v>
      </c>
      <c r="H2121" s="57" t="s">
        <v>40</v>
      </c>
      <c r="I2121" s="82">
        <v>44166</v>
      </c>
      <c r="J2121" s="83">
        <f>EFEITO!$J$2121*EFEITO!$Y$2121</f>
        <v>0</v>
      </c>
      <c r="K2121" s="83">
        <f ca="1">EFEITO!$L$2121*EFEITO!$Z$2121</f>
        <v>2105.7818200109973</v>
      </c>
      <c r="L2121" s="83">
        <f>EFEITO!$N$2121*EFEITO!$AA$2121</f>
        <v>721.43936927840639</v>
      </c>
      <c r="M2121" s="83">
        <f>$J$2121-EFEITO!$K$2121*EFEITO!$Y$2121</f>
        <v>0</v>
      </c>
      <c r="N2121" s="83">
        <f ca="1">$K$2121-EFEITO!$M$2121*EFEITO!$Z$2121</f>
        <v>0</v>
      </c>
      <c r="O2121" s="83">
        <f>$L$2121-EFEITO!$O$2121*EFEITO!$AA$2121</f>
        <v>0</v>
      </c>
      <c r="P2121" s="61"/>
      <c r="Q2121" s="61"/>
      <c r="R2121" s="61"/>
      <c r="S2121" s="61"/>
      <c r="T2121" s="61"/>
      <c r="U2121" s="61"/>
      <c r="V2121" s="61"/>
      <c r="W2121" s="61"/>
      <c r="X2121" s="6"/>
      <c r="Y2121" s="6"/>
      <c r="Z2121" s="6"/>
      <c r="AA2121" s="6"/>
      <c r="AB2121" s="6"/>
      <c r="AC2121" s="6"/>
      <c r="AD2121" s="6"/>
      <c r="AE2121" s="6"/>
      <c r="AF2121" s="6"/>
      <c r="AG2121" s="6"/>
      <c r="AH2121" s="6"/>
      <c r="AI2121" s="6"/>
      <c r="AJ2121" s="6"/>
    </row>
    <row r="2122" spans="1:36" ht="11.25" customHeight="1" x14ac:dyDescent="0.2">
      <c r="A2122" s="57" t="s">
        <v>28</v>
      </c>
      <c r="B2122" s="57" t="s">
        <v>41</v>
      </c>
      <c r="C2122" s="57" t="s">
        <v>39</v>
      </c>
      <c r="D2122" s="57" t="s">
        <v>45</v>
      </c>
      <c r="E2122" s="57" t="s">
        <v>25</v>
      </c>
      <c r="F2122" s="57" t="s">
        <v>25</v>
      </c>
      <c r="G2122" s="57" t="s">
        <v>25</v>
      </c>
      <c r="H2122" s="57" t="s">
        <v>40</v>
      </c>
      <c r="I2122" s="82">
        <v>44166</v>
      </c>
      <c r="J2122" s="83">
        <f>EFEITO!$J$2122*EFEITO!$Y$2122</f>
        <v>0</v>
      </c>
      <c r="K2122" s="83">
        <f ca="1">EFEITO!$L$2122*EFEITO!$Z$2122</f>
        <v>4299.0980999910798</v>
      </c>
      <c r="L2122" s="83">
        <f>EFEITO!$N$2122*EFEITO!$AA$2122</f>
        <v>1472.8679829268174</v>
      </c>
      <c r="M2122" s="83">
        <f>$J$2122-EFEITO!$K$2122*EFEITO!$Y$2122</f>
        <v>0</v>
      </c>
      <c r="N2122" s="83">
        <f ca="1">$K$2122-EFEITO!$M$2122*EFEITO!$Z$2122</f>
        <v>0</v>
      </c>
      <c r="O2122" s="83">
        <f>$L$2122-EFEITO!$O$2122*EFEITO!$AA$2122</f>
        <v>0</v>
      </c>
      <c r="P2122" s="61"/>
      <c r="Q2122" s="61"/>
      <c r="R2122" s="61"/>
      <c r="S2122" s="61"/>
      <c r="T2122" s="61"/>
      <c r="U2122" s="61"/>
      <c r="V2122" s="61"/>
      <c r="W2122" s="61"/>
      <c r="X2122" s="6"/>
      <c r="Y2122" s="6"/>
      <c r="Z2122" s="6"/>
      <c r="AA2122" s="6"/>
      <c r="AB2122" s="6"/>
      <c r="AC2122" s="6"/>
      <c r="AD2122" s="6"/>
      <c r="AE2122" s="6"/>
      <c r="AF2122" s="6"/>
      <c r="AG2122" s="6"/>
      <c r="AH2122" s="6"/>
      <c r="AI2122" s="6"/>
      <c r="AJ2122" s="6"/>
    </row>
    <row r="2123" spans="1:36" ht="11.25" customHeight="1" x14ac:dyDescent="0.2">
      <c r="A2123" s="57" t="s">
        <v>21</v>
      </c>
      <c r="B2123" s="57" t="s">
        <v>41</v>
      </c>
      <c r="C2123" s="57" t="s">
        <v>39</v>
      </c>
      <c r="D2123" s="57" t="s">
        <v>45</v>
      </c>
      <c r="E2123" s="57" t="s">
        <v>25</v>
      </c>
      <c r="F2123" s="57" t="s">
        <v>25</v>
      </c>
      <c r="G2123" s="57" t="s">
        <v>25</v>
      </c>
      <c r="H2123" s="57" t="s">
        <v>40</v>
      </c>
      <c r="I2123" s="82">
        <v>44197</v>
      </c>
      <c r="J2123" s="83">
        <f>EFEITO!$J$2123*EFEITO!$Y$2123</f>
        <v>0</v>
      </c>
      <c r="K2123" s="83">
        <f ca="1">EFEITO!$L$2123*EFEITO!$Z$2123</f>
        <v>2108.2592103874808</v>
      </c>
      <c r="L2123" s="83">
        <f>EFEITO!$N$2123*EFEITO!$AA$2123</f>
        <v>722.28812147755752</v>
      </c>
      <c r="M2123" s="83">
        <f>$J$2123-EFEITO!$K$2123*EFEITO!$Y$2123</f>
        <v>0</v>
      </c>
      <c r="N2123" s="83">
        <f ca="1">$K$2123-EFEITO!$M$2123*EFEITO!$Z$2123</f>
        <v>0</v>
      </c>
      <c r="O2123" s="83">
        <f>$L$2123-EFEITO!$O$2123*EFEITO!$AA$2123</f>
        <v>0</v>
      </c>
      <c r="P2123" s="61"/>
      <c r="Q2123" s="61"/>
      <c r="R2123" s="61"/>
      <c r="S2123" s="61"/>
      <c r="T2123" s="61"/>
      <c r="U2123" s="61"/>
      <c r="V2123" s="61"/>
      <c r="W2123" s="61"/>
      <c r="X2123" s="6"/>
      <c r="Y2123" s="6"/>
      <c r="Z2123" s="6"/>
      <c r="AA2123" s="6"/>
      <c r="AB2123" s="6"/>
      <c r="AC2123" s="6"/>
      <c r="AD2123" s="6"/>
      <c r="AE2123" s="6"/>
      <c r="AF2123" s="6"/>
      <c r="AG2123" s="6"/>
      <c r="AH2123" s="6"/>
      <c r="AI2123" s="6"/>
      <c r="AJ2123" s="6"/>
    </row>
    <row r="2124" spans="1:36" ht="11.25" customHeight="1" x14ac:dyDescent="0.2">
      <c r="A2124" s="57" t="s">
        <v>27</v>
      </c>
      <c r="B2124" s="57" t="s">
        <v>41</v>
      </c>
      <c r="C2124" s="57" t="s">
        <v>39</v>
      </c>
      <c r="D2124" s="57" t="s">
        <v>45</v>
      </c>
      <c r="E2124" s="57" t="s">
        <v>25</v>
      </c>
      <c r="F2124" s="57" t="s">
        <v>25</v>
      </c>
      <c r="G2124" s="57" t="s">
        <v>25</v>
      </c>
      <c r="H2124" s="57" t="s">
        <v>40</v>
      </c>
      <c r="I2124" s="82">
        <v>44197</v>
      </c>
      <c r="J2124" s="83">
        <f>EFEITO!$J$2124*EFEITO!$Y$2124</f>
        <v>0</v>
      </c>
      <c r="K2124" s="83">
        <f ca="1">EFEITO!$L$2124*EFEITO!$Z$2124</f>
        <v>-0.82579679216117552</v>
      </c>
      <c r="L2124" s="83">
        <f>EFEITO!$N$2124*EFEITO!$AA$2124</f>
        <v>-0.28291739971702212</v>
      </c>
      <c r="M2124" s="83">
        <f>$J$2124-EFEITO!$K$2124*EFEITO!$Y$2124</f>
        <v>0</v>
      </c>
      <c r="N2124" s="83">
        <f ca="1">$K$2124-EFEITO!$M$2124*EFEITO!$Z$2124</f>
        <v>0</v>
      </c>
      <c r="O2124" s="83">
        <f>$L$2124-EFEITO!$O$2124*EFEITO!$AA$2124</f>
        <v>0</v>
      </c>
      <c r="P2124" s="61"/>
      <c r="Q2124" s="61"/>
      <c r="R2124" s="61"/>
      <c r="S2124" s="61"/>
      <c r="T2124" s="61"/>
      <c r="U2124" s="61"/>
      <c r="V2124" s="61"/>
      <c r="W2124" s="61"/>
      <c r="X2124" s="6"/>
      <c r="Y2124" s="6"/>
      <c r="Z2124" s="6"/>
      <c r="AA2124" s="6"/>
      <c r="AB2124" s="6"/>
      <c r="AC2124" s="6"/>
      <c r="AD2124" s="6"/>
      <c r="AE2124" s="6"/>
      <c r="AF2124" s="6"/>
      <c r="AG2124" s="6"/>
      <c r="AH2124" s="6"/>
      <c r="AI2124" s="6"/>
      <c r="AJ2124" s="6"/>
    </row>
    <row r="2125" spans="1:36" ht="11.25" customHeight="1" x14ac:dyDescent="0.2">
      <c r="A2125" s="57" t="s">
        <v>28</v>
      </c>
      <c r="B2125" s="57" t="s">
        <v>41</v>
      </c>
      <c r="C2125" s="57" t="s">
        <v>39</v>
      </c>
      <c r="D2125" s="57" t="s">
        <v>45</v>
      </c>
      <c r="E2125" s="57" t="s">
        <v>25</v>
      </c>
      <c r="F2125" s="57" t="s">
        <v>25</v>
      </c>
      <c r="G2125" s="57" t="s">
        <v>25</v>
      </c>
      <c r="H2125" s="57" t="s">
        <v>40</v>
      </c>
      <c r="I2125" s="82">
        <v>44197</v>
      </c>
      <c r="J2125" s="83">
        <f>EFEITO!$J$2125*EFEITO!$Y$2125</f>
        <v>0</v>
      </c>
      <c r="K2125" s="83">
        <f ca="1">EFEITO!$L$2125*EFEITO!$Z$2125</f>
        <v>2996.8165587529061</v>
      </c>
      <c r="L2125" s="83">
        <f>EFEITO!$N$2125*EFEITO!$AA$2125</f>
        <v>1026.7072435730734</v>
      </c>
      <c r="M2125" s="83">
        <f>$J$2125-EFEITO!$K$2125*EFEITO!$Y$2125</f>
        <v>0</v>
      </c>
      <c r="N2125" s="83">
        <f ca="1">$K$2125-EFEITO!$M$2125*EFEITO!$Z$2125</f>
        <v>0</v>
      </c>
      <c r="O2125" s="83">
        <f>$L$2125-EFEITO!$O$2125*EFEITO!$AA$2125</f>
        <v>0</v>
      </c>
      <c r="P2125" s="61"/>
      <c r="Q2125" s="61"/>
      <c r="R2125" s="61"/>
      <c r="S2125" s="61"/>
      <c r="T2125" s="61"/>
      <c r="U2125" s="61"/>
      <c r="V2125" s="61"/>
      <c r="W2125" s="61"/>
      <c r="X2125" s="6"/>
      <c r="Y2125" s="6"/>
      <c r="Z2125" s="6"/>
      <c r="AA2125" s="6"/>
      <c r="AB2125" s="6"/>
      <c r="AC2125" s="6"/>
      <c r="AD2125" s="6"/>
      <c r="AE2125" s="6"/>
      <c r="AF2125" s="6"/>
      <c r="AG2125" s="6"/>
      <c r="AH2125" s="6"/>
      <c r="AI2125" s="6"/>
      <c r="AJ2125" s="6"/>
    </row>
    <row r="2126" spans="1:36" ht="11.25" customHeight="1" x14ac:dyDescent="0.2">
      <c r="A2126" s="57" t="s">
        <v>21</v>
      </c>
      <c r="B2126" s="57" t="s">
        <v>41</v>
      </c>
      <c r="C2126" s="57" t="s">
        <v>39</v>
      </c>
      <c r="D2126" s="57" t="s">
        <v>45</v>
      </c>
      <c r="E2126" s="57" t="s">
        <v>25</v>
      </c>
      <c r="F2126" s="57" t="s">
        <v>25</v>
      </c>
      <c r="G2126" s="57" t="s">
        <v>25</v>
      </c>
      <c r="H2126" s="57" t="s">
        <v>40</v>
      </c>
      <c r="I2126" s="82">
        <v>44228</v>
      </c>
      <c r="J2126" s="83">
        <f>EFEITO!$J$2126*EFEITO!$Y$2126</f>
        <v>0</v>
      </c>
      <c r="K2126" s="83">
        <f ca="1">EFEITO!$L$2126*EFEITO!$Z$2126</f>
        <v>2035.5890926772975</v>
      </c>
      <c r="L2126" s="83">
        <f>EFEITO!$N$2126*EFEITO!$AA$2126</f>
        <v>697.39139030245951</v>
      </c>
      <c r="M2126" s="83">
        <f>$J$2126-EFEITO!$K$2126*EFEITO!$Y$2126</f>
        <v>0</v>
      </c>
      <c r="N2126" s="83">
        <f ca="1">$K$2126-EFEITO!$M$2126*EFEITO!$Z$2126</f>
        <v>0</v>
      </c>
      <c r="O2126" s="83">
        <f>$L$2126-EFEITO!$O$2126*EFEITO!$AA$2126</f>
        <v>0</v>
      </c>
      <c r="P2126" s="61"/>
      <c r="Q2126" s="61"/>
      <c r="R2126" s="61"/>
      <c r="S2126" s="61"/>
      <c r="T2126" s="61"/>
      <c r="U2126" s="61"/>
      <c r="V2126" s="61"/>
      <c r="W2126" s="61"/>
      <c r="X2126" s="6"/>
      <c r="Y2126" s="6"/>
      <c r="Z2126" s="6"/>
      <c r="AA2126" s="6"/>
      <c r="AB2126" s="6"/>
      <c r="AC2126" s="6"/>
      <c r="AD2126" s="6"/>
      <c r="AE2126" s="6"/>
      <c r="AF2126" s="6"/>
      <c r="AG2126" s="6"/>
      <c r="AH2126" s="6"/>
      <c r="AI2126" s="6"/>
      <c r="AJ2126" s="6"/>
    </row>
    <row r="2127" spans="1:36" ht="11.25" customHeight="1" x14ac:dyDescent="0.2">
      <c r="A2127" s="57" t="s">
        <v>28</v>
      </c>
      <c r="B2127" s="57" t="s">
        <v>41</v>
      </c>
      <c r="C2127" s="57" t="s">
        <v>39</v>
      </c>
      <c r="D2127" s="57" t="s">
        <v>45</v>
      </c>
      <c r="E2127" s="57" t="s">
        <v>25</v>
      </c>
      <c r="F2127" s="57" t="s">
        <v>25</v>
      </c>
      <c r="G2127" s="57" t="s">
        <v>25</v>
      </c>
      <c r="H2127" s="57" t="s">
        <v>40</v>
      </c>
      <c r="I2127" s="82">
        <v>44228</v>
      </c>
      <c r="J2127" s="83">
        <f>EFEITO!$J$2127*EFEITO!$Y$2127</f>
        <v>0</v>
      </c>
      <c r="K2127" s="83">
        <f ca="1">EFEITO!$L$2127*EFEITO!$Z$2127</f>
        <v>4052.1848591348885</v>
      </c>
      <c r="L2127" s="83">
        <f>EFEITO!$N$2127*EFEITO!$AA$2127</f>
        <v>1388.2756804114276</v>
      </c>
      <c r="M2127" s="83">
        <f>$J$2127-EFEITO!$K$2127*EFEITO!$Y$2127</f>
        <v>0</v>
      </c>
      <c r="N2127" s="83">
        <f ca="1">$K$2127-EFEITO!$M$2127*EFEITO!$Z$2127</f>
        <v>0</v>
      </c>
      <c r="O2127" s="83">
        <f>$L$2127-EFEITO!$O$2127*EFEITO!$AA$2127</f>
        <v>0</v>
      </c>
      <c r="P2127" s="61"/>
      <c r="Q2127" s="61"/>
      <c r="R2127" s="61"/>
      <c r="S2127" s="61"/>
      <c r="T2127" s="61"/>
      <c r="U2127" s="61"/>
      <c r="V2127" s="61"/>
      <c r="W2127" s="61"/>
      <c r="X2127" s="6"/>
      <c r="Y2127" s="6"/>
      <c r="Z2127" s="6"/>
      <c r="AA2127" s="6"/>
      <c r="AB2127" s="6"/>
      <c r="AC2127" s="6"/>
      <c r="AD2127" s="6"/>
      <c r="AE2127" s="6"/>
      <c r="AF2127" s="6"/>
      <c r="AG2127" s="6"/>
      <c r="AH2127" s="6"/>
      <c r="AI2127" s="6"/>
      <c r="AJ2127" s="6"/>
    </row>
    <row r="2128" spans="1:36" ht="11.25" customHeight="1" x14ac:dyDescent="0.2">
      <c r="A2128" s="57" t="s">
        <v>21</v>
      </c>
      <c r="B2128" s="57" t="s">
        <v>41</v>
      </c>
      <c r="C2128" s="57" t="s">
        <v>39</v>
      </c>
      <c r="D2128" s="57" t="s">
        <v>45</v>
      </c>
      <c r="E2128" s="57" t="s">
        <v>25</v>
      </c>
      <c r="F2128" s="57" t="s">
        <v>25</v>
      </c>
      <c r="G2128" s="57" t="s">
        <v>25</v>
      </c>
      <c r="H2128" s="57" t="s">
        <v>40</v>
      </c>
      <c r="I2128" s="82">
        <v>44256</v>
      </c>
      <c r="J2128" s="83">
        <f>EFEITO!$J$2128*EFEITO!$Y$2128</f>
        <v>0</v>
      </c>
      <c r="K2128" s="83">
        <f ca="1">EFEITO!$L$2128*EFEITO!$Z$2128</f>
        <v>1862.9975631156117</v>
      </c>
      <c r="L2128" s="83">
        <f>EFEITO!$N$2128*EFEITO!$AA$2128</f>
        <v>638.26165376160191</v>
      </c>
      <c r="M2128" s="83">
        <f>$J$2128-EFEITO!$K$2128*EFEITO!$Y$2128</f>
        <v>0</v>
      </c>
      <c r="N2128" s="83">
        <f ca="1">$K$2128-EFEITO!$M$2128*EFEITO!$Z$2128</f>
        <v>0</v>
      </c>
      <c r="O2128" s="83">
        <f>$L$2128-EFEITO!$O$2128*EFEITO!$AA$2128</f>
        <v>0</v>
      </c>
      <c r="P2128" s="61"/>
      <c r="Q2128" s="61"/>
      <c r="R2128" s="61"/>
      <c r="S2128" s="61"/>
      <c r="T2128" s="61"/>
      <c r="U2128" s="61"/>
      <c r="V2128" s="61"/>
      <c r="W2128" s="61"/>
      <c r="X2128" s="6"/>
      <c r="Y2128" s="6"/>
      <c r="Z2128" s="6"/>
      <c r="AA2128" s="6"/>
      <c r="AB2128" s="6"/>
      <c r="AC2128" s="6"/>
      <c r="AD2128" s="6"/>
      <c r="AE2128" s="6"/>
      <c r="AF2128" s="6"/>
      <c r="AG2128" s="6"/>
      <c r="AH2128" s="6"/>
      <c r="AI2128" s="6"/>
      <c r="AJ2128" s="6"/>
    </row>
    <row r="2129" spans="1:36" ht="11.25" customHeight="1" x14ac:dyDescent="0.2">
      <c r="A2129" s="57" t="s">
        <v>28</v>
      </c>
      <c r="B2129" s="57" t="s">
        <v>41</v>
      </c>
      <c r="C2129" s="57" t="s">
        <v>39</v>
      </c>
      <c r="D2129" s="57" t="s">
        <v>45</v>
      </c>
      <c r="E2129" s="57" t="s">
        <v>25</v>
      </c>
      <c r="F2129" s="57" t="s">
        <v>25</v>
      </c>
      <c r="G2129" s="57" t="s">
        <v>25</v>
      </c>
      <c r="H2129" s="57" t="s">
        <v>40</v>
      </c>
      <c r="I2129" s="82">
        <v>44256</v>
      </c>
      <c r="J2129" s="83">
        <f>EFEITO!$J$2129*EFEITO!$Y$2129</f>
        <v>0</v>
      </c>
      <c r="K2129" s="83">
        <f ca="1">EFEITO!$L$2129*EFEITO!$Z$2129</f>
        <v>4521.2374370824355</v>
      </c>
      <c r="L2129" s="83">
        <f>EFEITO!$N$2129*EFEITO!$AA$2129</f>
        <v>1548.972763450696</v>
      </c>
      <c r="M2129" s="83">
        <f>$J$2129-EFEITO!$K$2129*EFEITO!$Y$2129</f>
        <v>0</v>
      </c>
      <c r="N2129" s="83">
        <f ca="1">$K$2129-EFEITO!$M$2129*EFEITO!$Z$2129</f>
        <v>0</v>
      </c>
      <c r="O2129" s="83">
        <f>$L$2129-EFEITO!$O$2129*EFEITO!$AA$2129</f>
        <v>0</v>
      </c>
      <c r="P2129" s="61"/>
      <c r="Q2129" s="61"/>
      <c r="R2129" s="61"/>
      <c r="S2129" s="61"/>
      <c r="T2129" s="61"/>
      <c r="U2129" s="61"/>
      <c r="V2129" s="61"/>
      <c r="W2129" s="61"/>
      <c r="X2129" s="6"/>
      <c r="Y2129" s="6"/>
      <c r="Z2129" s="6"/>
      <c r="AA2129" s="6"/>
      <c r="AB2129" s="6"/>
      <c r="AC2129" s="6"/>
      <c r="AD2129" s="6"/>
      <c r="AE2129" s="6"/>
      <c r="AF2129" s="6"/>
      <c r="AG2129" s="6"/>
      <c r="AH2129" s="6"/>
      <c r="AI2129" s="6"/>
      <c r="AJ2129" s="6"/>
    </row>
    <row r="2130" spans="1:36" ht="11.25" customHeight="1" x14ac:dyDescent="0.2">
      <c r="A2130" s="57" t="s">
        <v>21</v>
      </c>
      <c r="B2130" s="57" t="s">
        <v>41</v>
      </c>
      <c r="C2130" s="57" t="s">
        <v>39</v>
      </c>
      <c r="D2130" s="57" t="s">
        <v>45</v>
      </c>
      <c r="E2130" s="57" t="s">
        <v>25</v>
      </c>
      <c r="F2130" s="57" t="s">
        <v>25</v>
      </c>
      <c r="G2130" s="57" t="s">
        <v>25</v>
      </c>
      <c r="H2130" s="57" t="s">
        <v>40</v>
      </c>
      <c r="I2130" s="82">
        <v>44287</v>
      </c>
      <c r="J2130" s="83">
        <f>EFEITO!$J$2130*EFEITO!$Y$2130</f>
        <v>0</v>
      </c>
      <c r="K2130" s="83">
        <f ca="1">EFEITO!$L$2130*EFEITO!$Z$2130</f>
        <v>2374.1657774633795</v>
      </c>
      <c r="L2130" s="83">
        <f>EFEITO!$N$2130*EFEITO!$AA$2130</f>
        <v>813.38752418643867</v>
      </c>
      <c r="M2130" s="83">
        <f>$J$2130-EFEITO!$K$2130*EFEITO!$Y$2130</f>
        <v>0</v>
      </c>
      <c r="N2130" s="83">
        <f ca="1">$K$2130-EFEITO!$M$2130*EFEITO!$Z$2130</f>
        <v>0</v>
      </c>
      <c r="O2130" s="83">
        <f>$L$2130-EFEITO!$O$2130*EFEITO!$AA$2130</f>
        <v>0</v>
      </c>
      <c r="P2130" s="61"/>
      <c r="Q2130" s="61"/>
      <c r="R2130" s="61"/>
      <c r="S2130" s="61"/>
      <c r="T2130" s="61"/>
      <c r="U2130" s="61"/>
      <c r="V2130" s="61"/>
      <c r="W2130" s="61"/>
      <c r="X2130" s="6"/>
      <c r="Y2130" s="6"/>
      <c r="Z2130" s="6"/>
      <c r="AA2130" s="6"/>
      <c r="AB2130" s="6"/>
      <c r="AC2130" s="6"/>
      <c r="AD2130" s="6"/>
      <c r="AE2130" s="6"/>
      <c r="AF2130" s="6"/>
      <c r="AG2130" s="6"/>
      <c r="AH2130" s="6"/>
      <c r="AI2130" s="6"/>
      <c r="AJ2130" s="6"/>
    </row>
    <row r="2131" spans="1:36" ht="11.25" customHeight="1" x14ac:dyDescent="0.2">
      <c r="A2131" s="57" t="s">
        <v>28</v>
      </c>
      <c r="B2131" s="57" t="s">
        <v>41</v>
      </c>
      <c r="C2131" s="57" t="s">
        <v>39</v>
      </c>
      <c r="D2131" s="57" t="s">
        <v>45</v>
      </c>
      <c r="E2131" s="57" t="s">
        <v>25</v>
      </c>
      <c r="F2131" s="57" t="s">
        <v>25</v>
      </c>
      <c r="G2131" s="57" t="s">
        <v>25</v>
      </c>
      <c r="H2131" s="57" t="s">
        <v>40</v>
      </c>
      <c r="I2131" s="82">
        <v>44287</v>
      </c>
      <c r="J2131" s="83">
        <f>EFEITO!$J$2131*EFEITO!$Y$2131</f>
        <v>0</v>
      </c>
      <c r="K2131" s="83">
        <f ca="1">EFEITO!$L$2131*EFEITO!$Z$2131</f>
        <v>4365.9876401561351</v>
      </c>
      <c r="L2131" s="83">
        <f>EFEITO!$N$2131*EFEITO!$AA$2131</f>
        <v>1495.7842923038961</v>
      </c>
      <c r="M2131" s="83">
        <f>$J$2131-EFEITO!$K$2131*EFEITO!$Y$2131</f>
        <v>0</v>
      </c>
      <c r="N2131" s="83">
        <f ca="1">$K$2131-EFEITO!$M$2131*EFEITO!$Z$2131</f>
        <v>0</v>
      </c>
      <c r="O2131" s="83">
        <f>$L$2131-EFEITO!$O$2131*EFEITO!$AA$2131</f>
        <v>0</v>
      </c>
      <c r="P2131" s="61"/>
      <c r="Q2131" s="61"/>
      <c r="R2131" s="61"/>
      <c r="S2131" s="61"/>
      <c r="T2131" s="61"/>
      <c r="U2131" s="61"/>
      <c r="V2131" s="61"/>
      <c r="W2131" s="61"/>
      <c r="X2131" s="6"/>
      <c r="Y2131" s="6"/>
      <c r="Z2131" s="6"/>
      <c r="AA2131" s="6"/>
      <c r="AB2131" s="6"/>
      <c r="AC2131" s="6"/>
      <c r="AD2131" s="6"/>
      <c r="AE2131" s="6"/>
      <c r="AF2131" s="6"/>
      <c r="AG2131" s="6"/>
      <c r="AH2131" s="6"/>
      <c r="AI2131" s="6"/>
      <c r="AJ2131" s="6"/>
    </row>
    <row r="2132" spans="1:36" ht="11.25" customHeight="1" x14ac:dyDescent="0.2">
      <c r="A2132" s="57" t="s">
        <v>21</v>
      </c>
      <c r="B2132" s="57" t="s">
        <v>41</v>
      </c>
      <c r="C2132" s="57" t="s">
        <v>39</v>
      </c>
      <c r="D2132" s="57" t="s">
        <v>45</v>
      </c>
      <c r="E2132" s="57" t="s">
        <v>25</v>
      </c>
      <c r="F2132" s="57" t="s">
        <v>25</v>
      </c>
      <c r="G2132" s="57" t="s">
        <v>25</v>
      </c>
      <c r="H2132" s="57" t="s">
        <v>40</v>
      </c>
      <c r="I2132" s="82">
        <v>44317</v>
      </c>
      <c r="J2132" s="83">
        <f>EFEITO!$J$2132*EFEITO!$Y$2132</f>
        <v>0</v>
      </c>
      <c r="K2132" s="83">
        <f ca="1">EFEITO!$L$2132*EFEITO!$Z$2132</f>
        <v>2203.2258414860162</v>
      </c>
      <c r="L2132" s="83">
        <f>EFEITO!$N$2132*EFEITO!$AA$2132</f>
        <v>754.82362244501508</v>
      </c>
      <c r="M2132" s="83">
        <f>$J$2132-EFEITO!$K$2132*EFEITO!$Y$2132</f>
        <v>0</v>
      </c>
      <c r="N2132" s="83">
        <f ca="1">$K$2132-EFEITO!$M$2132*EFEITO!$Z$2132</f>
        <v>0</v>
      </c>
      <c r="O2132" s="83">
        <f>$L$2132-EFEITO!$O$2132*EFEITO!$AA$2132</f>
        <v>0</v>
      </c>
      <c r="P2132" s="61"/>
      <c r="Q2132" s="61"/>
      <c r="R2132" s="61"/>
      <c r="S2132" s="61"/>
      <c r="T2132" s="61"/>
      <c r="U2132" s="61"/>
      <c r="V2132" s="61"/>
      <c r="W2132" s="61"/>
      <c r="X2132" s="6"/>
      <c r="Y2132" s="6"/>
      <c r="Z2132" s="6"/>
      <c r="AA2132" s="6"/>
      <c r="AB2132" s="6"/>
      <c r="AC2132" s="6"/>
      <c r="AD2132" s="6"/>
      <c r="AE2132" s="6"/>
      <c r="AF2132" s="6"/>
      <c r="AG2132" s="6"/>
      <c r="AH2132" s="6"/>
      <c r="AI2132" s="6"/>
      <c r="AJ2132" s="6"/>
    </row>
    <row r="2133" spans="1:36" ht="11.25" customHeight="1" x14ac:dyDescent="0.2">
      <c r="A2133" s="57" t="s">
        <v>28</v>
      </c>
      <c r="B2133" s="57" t="s">
        <v>41</v>
      </c>
      <c r="C2133" s="57" t="s">
        <v>39</v>
      </c>
      <c r="D2133" s="57" t="s">
        <v>45</v>
      </c>
      <c r="E2133" s="57" t="s">
        <v>25</v>
      </c>
      <c r="F2133" s="57" t="s">
        <v>25</v>
      </c>
      <c r="G2133" s="57" t="s">
        <v>25</v>
      </c>
      <c r="H2133" s="57" t="s">
        <v>40</v>
      </c>
      <c r="I2133" s="82">
        <v>44317</v>
      </c>
      <c r="J2133" s="83">
        <f>EFEITO!$J$2133*EFEITO!$Y$2133</f>
        <v>0</v>
      </c>
      <c r="K2133" s="83">
        <f ca="1">EFEITO!$L$2133*EFEITO!$Z$2133</f>
        <v>1851.4364080253556</v>
      </c>
      <c r="L2133" s="83">
        <f>EFEITO!$N$2133*EFEITO!$AA$2133</f>
        <v>634.30081016556358</v>
      </c>
      <c r="M2133" s="83">
        <f>$J$2133-EFEITO!$K$2133*EFEITO!$Y$2133</f>
        <v>0</v>
      </c>
      <c r="N2133" s="83">
        <f ca="1">$K$2133-EFEITO!$M$2133*EFEITO!$Z$2133</f>
        <v>0</v>
      </c>
      <c r="O2133" s="83">
        <f>$L$2133-EFEITO!$O$2133*EFEITO!$AA$2133</f>
        <v>0</v>
      </c>
      <c r="P2133" s="61"/>
      <c r="Q2133" s="61"/>
      <c r="R2133" s="61"/>
      <c r="S2133" s="61"/>
      <c r="T2133" s="61"/>
      <c r="U2133" s="61"/>
      <c r="V2133" s="61"/>
      <c r="W2133" s="61"/>
      <c r="X2133" s="6"/>
      <c r="Y2133" s="6"/>
      <c r="Z2133" s="6"/>
      <c r="AA2133" s="6"/>
      <c r="AB2133" s="6"/>
      <c r="AC2133" s="6"/>
      <c r="AD2133" s="6"/>
      <c r="AE2133" s="6"/>
      <c r="AF2133" s="6"/>
      <c r="AG2133" s="6"/>
      <c r="AH2133" s="6"/>
      <c r="AI2133" s="6"/>
      <c r="AJ2133" s="6"/>
    </row>
    <row r="2134" spans="1:36" ht="11.25" customHeight="1" x14ac:dyDescent="0.2">
      <c r="A2134" s="57" t="s">
        <v>21</v>
      </c>
      <c r="B2134" s="57" t="s">
        <v>41</v>
      </c>
      <c r="C2134" s="57" t="s">
        <v>39</v>
      </c>
      <c r="D2134" s="57" t="s">
        <v>45</v>
      </c>
      <c r="E2134" s="57" t="s">
        <v>25</v>
      </c>
      <c r="F2134" s="57" t="s">
        <v>25</v>
      </c>
      <c r="G2134" s="57" t="s">
        <v>25</v>
      </c>
      <c r="H2134" s="57" t="s">
        <v>40</v>
      </c>
      <c r="I2134" s="82">
        <v>44348</v>
      </c>
      <c r="J2134" s="83">
        <f>EFEITO!$J$2134*EFEITO!$Y$2134</f>
        <v>0</v>
      </c>
      <c r="K2134" s="83">
        <f ca="1">EFEITO!$L$2134*EFEITO!$Z$2134</f>
        <v>2099.1754456737081</v>
      </c>
      <c r="L2134" s="83">
        <f>EFEITO!$N$2134*EFEITO!$AA$2134</f>
        <v>719.17603008067022</v>
      </c>
      <c r="M2134" s="83">
        <f>$J$2134-EFEITO!$K$2134*EFEITO!$Y$2134</f>
        <v>0</v>
      </c>
      <c r="N2134" s="83">
        <f ca="1">$K$2134-EFEITO!$M$2134*EFEITO!$Z$2134</f>
        <v>0</v>
      </c>
      <c r="O2134" s="83">
        <f>$L$2134-EFEITO!$O$2134*EFEITO!$AA$2134</f>
        <v>0</v>
      </c>
      <c r="P2134" s="61"/>
      <c r="Q2134" s="61"/>
      <c r="R2134" s="61"/>
      <c r="S2134" s="61"/>
      <c r="T2134" s="61"/>
      <c r="U2134" s="61"/>
      <c r="V2134" s="61"/>
      <c r="W2134" s="61"/>
      <c r="X2134" s="6"/>
      <c r="Y2134" s="6"/>
      <c r="Z2134" s="6"/>
      <c r="AA2134" s="6"/>
      <c r="AB2134" s="6"/>
      <c r="AC2134" s="6"/>
      <c r="AD2134" s="6"/>
      <c r="AE2134" s="6"/>
      <c r="AF2134" s="6"/>
      <c r="AG2134" s="6"/>
      <c r="AH2134" s="6"/>
      <c r="AI2134" s="6"/>
      <c r="AJ2134" s="6"/>
    </row>
    <row r="2135" spans="1:36" ht="11.25" customHeight="1" x14ac:dyDescent="0.2">
      <c r="A2135" s="57" t="s">
        <v>28</v>
      </c>
      <c r="B2135" s="57" t="s">
        <v>41</v>
      </c>
      <c r="C2135" s="57" t="s">
        <v>39</v>
      </c>
      <c r="D2135" s="57" t="s">
        <v>45</v>
      </c>
      <c r="E2135" s="57" t="s">
        <v>25</v>
      </c>
      <c r="F2135" s="57" t="s">
        <v>25</v>
      </c>
      <c r="G2135" s="57" t="s">
        <v>25</v>
      </c>
      <c r="H2135" s="57" t="s">
        <v>40</v>
      </c>
      <c r="I2135" s="82">
        <v>44348</v>
      </c>
      <c r="J2135" s="83">
        <f>EFEITO!$J$2135*EFEITO!$Y$2135</f>
        <v>0</v>
      </c>
      <c r="K2135" s="83">
        <f ca="1">EFEITO!$L$2135*EFEITO!$Z$2135</f>
        <v>2148.7232532033786</v>
      </c>
      <c r="L2135" s="83">
        <f>EFEITO!$N$2135*EFEITO!$AA$2135</f>
        <v>736.15107406369157</v>
      </c>
      <c r="M2135" s="83">
        <f>$J$2135-EFEITO!$K$2135*EFEITO!$Y$2135</f>
        <v>0</v>
      </c>
      <c r="N2135" s="83">
        <f ca="1">$K$2135-EFEITO!$M$2135*EFEITO!$Z$2135</f>
        <v>0</v>
      </c>
      <c r="O2135" s="83">
        <f>$L$2135-EFEITO!$O$2135*EFEITO!$AA$2135</f>
        <v>0</v>
      </c>
      <c r="P2135" s="61"/>
      <c r="Q2135" s="61"/>
      <c r="R2135" s="61"/>
      <c r="S2135" s="61"/>
      <c r="T2135" s="61"/>
      <c r="U2135" s="61"/>
      <c r="V2135" s="61"/>
      <c r="W2135" s="61"/>
      <c r="X2135" s="6"/>
      <c r="Y2135" s="6"/>
      <c r="Z2135" s="6"/>
      <c r="AA2135" s="6"/>
      <c r="AB2135" s="6"/>
      <c r="AC2135" s="6"/>
      <c r="AD2135" s="6"/>
      <c r="AE2135" s="6"/>
      <c r="AF2135" s="6"/>
      <c r="AG2135" s="6"/>
      <c r="AH2135" s="6"/>
      <c r="AI2135" s="6"/>
      <c r="AJ2135" s="6"/>
    </row>
    <row r="2136" spans="1:36" ht="11.25" customHeight="1" x14ac:dyDescent="0.2">
      <c r="A2136" s="57" t="s">
        <v>21</v>
      </c>
      <c r="B2136" s="57" t="s">
        <v>41</v>
      </c>
      <c r="C2136" s="57" t="s">
        <v>39</v>
      </c>
      <c r="D2136" s="57" t="s">
        <v>45</v>
      </c>
      <c r="E2136" s="57" t="s">
        <v>25</v>
      </c>
      <c r="F2136" s="57" t="s">
        <v>25</v>
      </c>
      <c r="G2136" s="57" t="s">
        <v>25</v>
      </c>
      <c r="H2136" s="57" t="s">
        <v>40</v>
      </c>
      <c r="I2136" s="82">
        <v>44378</v>
      </c>
      <c r="J2136" s="83">
        <f>EFEITO!$J$2136*EFEITO!$Y$2136</f>
        <v>0</v>
      </c>
      <c r="K2136" s="83">
        <f ca="1">EFEITO!$L$2136*EFEITO!$Z$2136</f>
        <v>2219.74177732924</v>
      </c>
      <c r="L2136" s="83">
        <f>EFEITO!$N$2136*EFEITO!$AA$2136</f>
        <v>760.48197043935556</v>
      </c>
      <c r="M2136" s="83">
        <f>$J$2136-EFEITO!$K$2136*EFEITO!$Y$2136</f>
        <v>0</v>
      </c>
      <c r="N2136" s="83">
        <f ca="1">$K$2136-EFEITO!$M$2136*EFEITO!$Z$2136</f>
        <v>0</v>
      </c>
      <c r="O2136" s="83">
        <f>$L$2136-EFEITO!$O$2136*EFEITO!$AA$2136</f>
        <v>0</v>
      </c>
      <c r="P2136" s="61"/>
      <c r="Q2136" s="61"/>
      <c r="R2136" s="61"/>
      <c r="S2136" s="61"/>
      <c r="T2136" s="61"/>
      <c r="U2136" s="61"/>
      <c r="V2136" s="61"/>
      <c r="W2136" s="61"/>
      <c r="X2136" s="6"/>
      <c r="Y2136" s="6"/>
      <c r="Z2136" s="6"/>
      <c r="AA2136" s="6"/>
      <c r="AB2136" s="6"/>
      <c r="AC2136" s="6"/>
      <c r="AD2136" s="6"/>
      <c r="AE2136" s="6"/>
      <c r="AF2136" s="6"/>
      <c r="AG2136" s="6"/>
      <c r="AH2136" s="6"/>
      <c r="AI2136" s="6"/>
      <c r="AJ2136" s="6"/>
    </row>
    <row r="2137" spans="1:36" ht="11.25" customHeight="1" x14ac:dyDescent="0.2">
      <c r="A2137" s="57" t="s">
        <v>28</v>
      </c>
      <c r="B2137" s="57" t="s">
        <v>41</v>
      </c>
      <c r="C2137" s="57" t="s">
        <v>39</v>
      </c>
      <c r="D2137" s="57" t="s">
        <v>45</v>
      </c>
      <c r="E2137" s="57" t="s">
        <v>25</v>
      </c>
      <c r="F2137" s="57" t="s">
        <v>25</v>
      </c>
      <c r="G2137" s="57" t="s">
        <v>25</v>
      </c>
      <c r="H2137" s="57" t="s">
        <v>40</v>
      </c>
      <c r="I2137" s="82">
        <v>44378</v>
      </c>
      <c r="J2137" s="83">
        <f>EFEITO!$J$2137*EFEITO!$Y$2137</f>
        <v>0</v>
      </c>
      <c r="K2137" s="83">
        <f ca="1">EFEITO!$L$2137*EFEITO!$Z$2137</f>
        <v>1698.664001475538</v>
      </c>
      <c r="L2137" s="83">
        <f>EFEITO!$N$2137*EFEITO!$AA$2137</f>
        <v>581.96109121791449</v>
      </c>
      <c r="M2137" s="83">
        <f>$J$2137-EFEITO!$K$2137*EFEITO!$Y$2137</f>
        <v>0</v>
      </c>
      <c r="N2137" s="83">
        <f ca="1">$K$2137-EFEITO!$M$2137*EFEITO!$Z$2137</f>
        <v>0</v>
      </c>
      <c r="O2137" s="83">
        <f>$L$2137-EFEITO!$O$2137*EFEITO!$AA$2137</f>
        <v>0</v>
      </c>
      <c r="P2137" s="61"/>
      <c r="Q2137" s="61"/>
      <c r="R2137" s="61"/>
      <c r="S2137" s="61"/>
      <c r="T2137" s="61"/>
      <c r="U2137" s="61"/>
      <c r="V2137" s="61"/>
      <c r="W2137" s="61"/>
      <c r="X2137" s="6"/>
      <c r="Y2137" s="6"/>
      <c r="Z2137" s="6"/>
      <c r="AA2137" s="6"/>
      <c r="AB2137" s="6"/>
      <c r="AC2137" s="6"/>
      <c r="AD2137" s="6"/>
      <c r="AE2137" s="6"/>
      <c r="AF2137" s="6"/>
      <c r="AG2137" s="6"/>
      <c r="AH2137" s="6"/>
      <c r="AI2137" s="6"/>
      <c r="AJ2137" s="6"/>
    </row>
    <row r="2138" spans="1:36" ht="11.25" customHeight="1" x14ac:dyDescent="0.2">
      <c r="A2138" s="57" t="s">
        <v>21</v>
      </c>
      <c r="B2138" s="57" t="s">
        <v>41</v>
      </c>
      <c r="C2138" s="57" t="s">
        <v>39</v>
      </c>
      <c r="D2138" s="57" t="s">
        <v>45</v>
      </c>
      <c r="E2138" s="57" t="s">
        <v>25</v>
      </c>
      <c r="F2138" s="57" t="s">
        <v>25</v>
      </c>
      <c r="G2138" s="57" t="s">
        <v>25</v>
      </c>
      <c r="H2138" s="57" t="s">
        <v>40</v>
      </c>
      <c r="I2138" s="82">
        <v>44409</v>
      </c>
      <c r="J2138" s="83">
        <f>EFEITO!$J$2138*EFEITO!$Y$2138</f>
        <v>0</v>
      </c>
      <c r="K2138" s="83">
        <f ca="1">EFEITO!$L$2138*EFEITO!$Z$2138</f>
        <v>2678.8847937708538</v>
      </c>
      <c r="L2138" s="83">
        <f>EFEITO!$N$2138*EFEITO!$AA$2138</f>
        <v>917.78404468201984</v>
      </c>
      <c r="M2138" s="83">
        <f>$J$2138-EFEITO!$K$2138*EFEITO!$Y$2138</f>
        <v>0</v>
      </c>
      <c r="N2138" s="83">
        <f ca="1">$K$2138-EFEITO!$M$2138*EFEITO!$Z$2138</f>
        <v>0</v>
      </c>
      <c r="O2138" s="83">
        <f>$L$2138-EFEITO!$O$2138*EFEITO!$AA$2138</f>
        <v>0</v>
      </c>
      <c r="P2138" s="61"/>
      <c r="Q2138" s="61"/>
      <c r="R2138" s="61"/>
      <c r="S2138" s="61"/>
      <c r="T2138" s="61"/>
      <c r="U2138" s="61"/>
      <c r="V2138" s="61"/>
      <c r="W2138" s="61"/>
      <c r="X2138" s="6"/>
      <c r="Y2138" s="6"/>
      <c r="Z2138" s="6"/>
      <c r="AA2138" s="6"/>
      <c r="AB2138" s="6"/>
      <c r="AC2138" s="6"/>
      <c r="AD2138" s="6"/>
      <c r="AE2138" s="6"/>
      <c r="AF2138" s="6"/>
      <c r="AG2138" s="6"/>
      <c r="AH2138" s="6"/>
      <c r="AI2138" s="6"/>
      <c r="AJ2138" s="6"/>
    </row>
    <row r="2139" spans="1:36" ht="11.25" customHeight="1" x14ac:dyDescent="0.2">
      <c r="A2139" s="57" t="s">
        <v>28</v>
      </c>
      <c r="B2139" s="57" t="s">
        <v>41</v>
      </c>
      <c r="C2139" s="57" t="s">
        <v>39</v>
      </c>
      <c r="D2139" s="57" t="s">
        <v>45</v>
      </c>
      <c r="E2139" s="57" t="s">
        <v>25</v>
      </c>
      <c r="F2139" s="57" t="s">
        <v>25</v>
      </c>
      <c r="G2139" s="57" t="s">
        <v>25</v>
      </c>
      <c r="H2139" s="57" t="s">
        <v>40</v>
      </c>
      <c r="I2139" s="82">
        <v>44409</v>
      </c>
      <c r="J2139" s="83">
        <f>EFEITO!$J$2139*EFEITO!$Y$2139</f>
        <v>0</v>
      </c>
      <c r="K2139" s="83">
        <f ca="1">EFEITO!$L$2139*EFEITO!$Z$2139</f>
        <v>1731.695873161985</v>
      </c>
      <c r="L2139" s="83">
        <f>EFEITO!$N$2139*EFEITO!$AA$2139</f>
        <v>593.27778720659546</v>
      </c>
      <c r="M2139" s="83">
        <f>$J$2139-EFEITO!$K$2139*EFEITO!$Y$2139</f>
        <v>0</v>
      </c>
      <c r="N2139" s="83">
        <f ca="1">$K$2139-EFEITO!$M$2139*EFEITO!$Z$2139</f>
        <v>0</v>
      </c>
      <c r="O2139" s="83">
        <f>$L$2139-EFEITO!$O$2139*EFEITO!$AA$2139</f>
        <v>0</v>
      </c>
      <c r="P2139" s="61"/>
      <c r="Q2139" s="61"/>
      <c r="R2139" s="61"/>
      <c r="S2139" s="61"/>
      <c r="T2139" s="61"/>
      <c r="U2139" s="61"/>
      <c r="V2139" s="61"/>
      <c r="W2139" s="61"/>
      <c r="X2139" s="6"/>
      <c r="Y2139" s="6"/>
      <c r="Z2139" s="6"/>
      <c r="AA2139" s="6"/>
      <c r="AB2139" s="6"/>
      <c r="AC2139" s="6"/>
      <c r="AD2139" s="6"/>
      <c r="AE2139" s="6"/>
      <c r="AF2139" s="6"/>
      <c r="AG2139" s="6"/>
      <c r="AH2139" s="6"/>
      <c r="AI2139" s="6"/>
      <c r="AJ2139" s="6"/>
    </row>
    <row r="2140" spans="1:36" ht="11.25" customHeight="1" x14ac:dyDescent="0.2">
      <c r="A2140" s="57" t="s">
        <v>21</v>
      </c>
      <c r="B2140" s="57" t="s">
        <v>41</v>
      </c>
      <c r="C2140" s="57" t="s">
        <v>39</v>
      </c>
      <c r="D2140" s="57" t="s">
        <v>45</v>
      </c>
      <c r="E2140" s="57" t="s">
        <v>25</v>
      </c>
      <c r="F2140" s="57" t="s">
        <v>25</v>
      </c>
      <c r="G2140" s="57" t="s">
        <v>25</v>
      </c>
      <c r="H2140" s="57" t="s">
        <v>40</v>
      </c>
      <c r="I2140" s="82">
        <v>44440</v>
      </c>
      <c r="J2140" s="83">
        <f>EFEITO!$J$2140*EFEITO!$Y$2140</f>
        <v>0</v>
      </c>
      <c r="K2140" s="83">
        <f ca="1">EFEITO!$L$2140*EFEITO!$Z$2140</f>
        <v>2152.8522371641848</v>
      </c>
      <c r="L2140" s="83">
        <f>EFEITO!$N$2140*EFEITO!$AA$2140</f>
        <v>737.56566106227672</v>
      </c>
      <c r="M2140" s="83">
        <f>$J$2140-EFEITO!$K$2140*EFEITO!$Y$2140</f>
        <v>0</v>
      </c>
      <c r="N2140" s="83">
        <f ca="1">$K$2140-EFEITO!$M$2140*EFEITO!$Z$2140</f>
        <v>0</v>
      </c>
      <c r="O2140" s="83">
        <f>$L$2140-EFEITO!$O$2140*EFEITO!$AA$2140</f>
        <v>0</v>
      </c>
      <c r="P2140" s="61"/>
      <c r="Q2140" s="61"/>
      <c r="R2140" s="61"/>
      <c r="S2140" s="61"/>
      <c r="T2140" s="61"/>
      <c r="U2140" s="61"/>
      <c r="V2140" s="61"/>
      <c r="W2140" s="61"/>
      <c r="X2140" s="6"/>
      <c r="Y2140" s="6"/>
      <c r="Z2140" s="6"/>
      <c r="AA2140" s="6"/>
      <c r="AB2140" s="6"/>
      <c r="AC2140" s="6"/>
      <c r="AD2140" s="6"/>
      <c r="AE2140" s="6"/>
      <c r="AF2140" s="6"/>
      <c r="AG2140" s="6"/>
      <c r="AH2140" s="6"/>
      <c r="AI2140" s="6"/>
      <c r="AJ2140" s="6"/>
    </row>
    <row r="2141" spans="1:36" ht="11.25" customHeight="1" x14ac:dyDescent="0.2">
      <c r="A2141" s="57" t="s">
        <v>28</v>
      </c>
      <c r="B2141" s="57" t="s">
        <v>41</v>
      </c>
      <c r="C2141" s="57" t="s">
        <v>39</v>
      </c>
      <c r="D2141" s="57" t="s">
        <v>45</v>
      </c>
      <c r="E2141" s="57" t="s">
        <v>25</v>
      </c>
      <c r="F2141" s="57" t="s">
        <v>25</v>
      </c>
      <c r="G2141" s="57" t="s">
        <v>25</v>
      </c>
      <c r="H2141" s="57" t="s">
        <v>40</v>
      </c>
      <c r="I2141" s="82">
        <v>44440</v>
      </c>
      <c r="J2141" s="83">
        <f>EFEITO!$J$2141*EFEITO!$Y$2141</f>
        <v>0</v>
      </c>
      <c r="K2141" s="83">
        <f ca="1">EFEITO!$L$2141*EFEITO!$Z$2141</f>
        <v>1910.0679802687991</v>
      </c>
      <c r="L2141" s="83">
        <f>EFEITO!$N$2141*EFEITO!$AA$2141</f>
        <v>654.38794554547223</v>
      </c>
      <c r="M2141" s="83">
        <f>$J$2141-EFEITO!$K$2141*EFEITO!$Y$2141</f>
        <v>0</v>
      </c>
      <c r="N2141" s="83">
        <f ca="1">$K$2141-EFEITO!$M$2141*EFEITO!$Z$2141</f>
        <v>0</v>
      </c>
      <c r="O2141" s="83">
        <f>$L$2141-EFEITO!$O$2141*EFEITO!$AA$2141</f>
        <v>0</v>
      </c>
      <c r="P2141" s="61"/>
      <c r="Q2141" s="61"/>
      <c r="R2141" s="61"/>
      <c r="S2141" s="61"/>
      <c r="T2141" s="61"/>
      <c r="U2141" s="61"/>
      <c r="V2141" s="61"/>
      <c r="W2141" s="61"/>
      <c r="X2141" s="6"/>
      <c r="Y2141" s="6"/>
      <c r="Z2141" s="6"/>
      <c r="AA2141" s="6"/>
      <c r="AB2141" s="6"/>
      <c r="AC2141" s="6"/>
      <c r="AD2141" s="6"/>
      <c r="AE2141" s="6"/>
      <c r="AF2141" s="6"/>
      <c r="AG2141" s="6"/>
      <c r="AH2141" s="6"/>
      <c r="AI2141" s="6"/>
      <c r="AJ2141" s="6"/>
    </row>
    <row r="2142" spans="1:36" ht="11.25" customHeight="1" x14ac:dyDescent="0.2">
      <c r="A2142" s="57" t="s">
        <v>30</v>
      </c>
      <c r="B2142" s="57" t="s">
        <v>41</v>
      </c>
      <c r="C2142" s="57" t="s">
        <v>39</v>
      </c>
      <c r="D2142" s="57" t="s">
        <v>45</v>
      </c>
      <c r="E2142" s="57" t="s">
        <v>25</v>
      </c>
      <c r="F2142" s="57" t="s">
        <v>25</v>
      </c>
      <c r="G2142" s="57" t="s">
        <v>25</v>
      </c>
      <c r="H2142" s="57" t="s">
        <v>40</v>
      </c>
      <c r="I2142" s="82">
        <v>44440</v>
      </c>
      <c r="J2142" s="83">
        <f>EFEITO!$J$2142*EFEITO!$Y$2142</f>
        <v>0</v>
      </c>
      <c r="K2142" s="83">
        <f ca="1">EFEITO!$L$2142*EFEITO!$Z$2142</f>
        <v>9.9095615059341071</v>
      </c>
      <c r="L2142" s="83">
        <f>EFEITO!$N$2142*EFEITO!$AA$2142</f>
        <v>3.3950087966042659</v>
      </c>
      <c r="M2142" s="83">
        <f>$J$2142-EFEITO!$K$2142*EFEITO!$Y$2142</f>
        <v>0</v>
      </c>
      <c r="N2142" s="83">
        <f ca="1">$K$2142-EFEITO!$M$2142*EFEITO!$Z$2142</f>
        <v>0</v>
      </c>
      <c r="O2142" s="83">
        <f>$L$2142-EFEITO!$O$2142*EFEITO!$AA$2142</f>
        <v>0</v>
      </c>
      <c r="P2142" s="61"/>
      <c r="Q2142" s="61"/>
      <c r="R2142" s="61"/>
      <c r="S2142" s="61"/>
      <c r="T2142" s="61"/>
      <c r="U2142" s="61"/>
      <c r="V2142" s="61"/>
      <c r="W2142" s="61"/>
      <c r="X2142" s="6"/>
      <c r="Y2142" s="6"/>
      <c r="Z2142" s="6"/>
      <c r="AA2142" s="6"/>
      <c r="AB2142" s="6"/>
      <c r="AC2142" s="6"/>
      <c r="AD2142" s="6"/>
      <c r="AE2142" s="6"/>
      <c r="AF2142" s="6"/>
      <c r="AG2142" s="6"/>
      <c r="AH2142" s="6"/>
      <c r="AI2142" s="6"/>
      <c r="AJ2142" s="6"/>
    </row>
    <row r="2143" spans="1:36" ht="11.25" customHeight="1" x14ac:dyDescent="0.2">
      <c r="A2143" s="57" t="s">
        <v>59</v>
      </c>
      <c r="B2143" s="57" t="s">
        <v>41</v>
      </c>
      <c r="C2143" s="57" t="s">
        <v>39</v>
      </c>
      <c r="D2143" s="57" t="s">
        <v>45</v>
      </c>
      <c r="E2143" s="57" t="s">
        <v>25</v>
      </c>
      <c r="F2143" s="57" t="s">
        <v>25</v>
      </c>
      <c r="G2143" s="57" t="s">
        <v>25</v>
      </c>
      <c r="H2143" s="57" t="s">
        <v>40</v>
      </c>
      <c r="I2143" s="82">
        <v>44470</v>
      </c>
      <c r="J2143" s="83">
        <f>EFEITO!$J$2143*EFEITO!$Y$2143</f>
        <v>0</v>
      </c>
      <c r="K2143" s="83">
        <f ca="1">EFEITO!$L$2143*EFEITO!$Z$2143</f>
        <v>2152.8522371641848</v>
      </c>
      <c r="L2143" s="83">
        <f>EFEITO!$N$2143*EFEITO!$AA$2143</f>
        <v>737.56566106227672</v>
      </c>
      <c r="M2143" s="83">
        <f>$J$2143-EFEITO!$K$2143*EFEITO!$Y$2143</f>
        <v>0</v>
      </c>
      <c r="N2143" s="83">
        <f ca="1">$K$2143-EFEITO!$M$2143*EFEITO!$Z$2143</f>
        <v>0</v>
      </c>
      <c r="O2143" s="83">
        <f>$L$2143-EFEITO!$O$2143*EFEITO!$AA$2143</f>
        <v>0</v>
      </c>
      <c r="P2143" s="61"/>
      <c r="Q2143" s="61"/>
      <c r="R2143" s="61"/>
      <c r="S2143" s="61"/>
      <c r="T2143" s="61"/>
      <c r="U2143" s="61"/>
      <c r="V2143" s="61"/>
      <c r="W2143" s="61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</row>
    <row r="2144" spans="1:36" ht="11.25" customHeight="1" x14ac:dyDescent="0.2">
      <c r="A2144" s="57" t="s">
        <v>59</v>
      </c>
      <c r="B2144" s="57" t="s">
        <v>41</v>
      </c>
      <c r="C2144" s="57" t="s">
        <v>39</v>
      </c>
      <c r="D2144" s="57" t="s">
        <v>45</v>
      </c>
      <c r="E2144" s="57" t="s">
        <v>25</v>
      </c>
      <c r="F2144" s="57" t="s">
        <v>25</v>
      </c>
      <c r="G2144" s="57" t="s">
        <v>25</v>
      </c>
      <c r="H2144" s="57" t="s">
        <v>40</v>
      </c>
      <c r="I2144" s="82">
        <v>44470</v>
      </c>
      <c r="J2144" s="83">
        <f>EFEITO!$J$2144*EFEITO!$Y$2144</f>
        <v>0</v>
      </c>
      <c r="K2144" s="83">
        <f ca="1">EFEITO!$L$2144*EFEITO!$Z$2144</f>
        <v>1910.0679802687991</v>
      </c>
      <c r="L2144" s="83">
        <f>EFEITO!$N$2144*EFEITO!$AA$2144</f>
        <v>654.38794554547223</v>
      </c>
      <c r="M2144" s="83">
        <f>$J$2144-EFEITO!$K$2144*EFEITO!$Y$2144</f>
        <v>0</v>
      </c>
      <c r="N2144" s="83">
        <f ca="1">$K$2144-EFEITO!$M$2144*EFEITO!$Z$2144</f>
        <v>0</v>
      </c>
      <c r="O2144" s="83">
        <f>$L$2144-EFEITO!$O$2144*EFEITO!$AA$2144</f>
        <v>0</v>
      </c>
      <c r="P2144" s="61"/>
      <c r="Q2144" s="61"/>
      <c r="R2144" s="61"/>
      <c r="S2144" s="61"/>
      <c r="T2144" s="61"/>
      <c r="U2144" s="61"/>
      <c r="V2144" s="61"/>
      <c r="W2144" s="61"/>
      <c r="X2144" s="6"/>
      <c r="Y2144" s="6"/>
      <c r="Z2144" s="6"/>
      <c r="AA2144" s="6"/>
      <c r="AB2144" s="6"/>
      <c r="AC2144" s="6"/>
      <c r="AD2144" s="6"/>
      <c r="AE2144" s="6"/>
      <c r="AF2144" s="6"/>
      <c r="AG2144" s="6"/>
      <c r="AH2144" s="6"/>
      <c r="AI2144" s="6"/>
      <c r="AJ2144" s="6"/>
    </row>
    <row r="2145" spans="1:36" ht="11.25" customHeight="1" x14ac:dyDescent="0.2">
      <c r="A2145" s="57" t="s">
        <v>59</v>
      </c>
      <c r="B2145" s="57" t="s">
        <v>41</v>
      </c>
      <c r="C2145" s="57" t="s">
        <v>39</v>
      </c>
      <c r="D2145" s="57" t="s">
        <v>45</v>
      </c>
      <c r="E2145" s="57" t="s">
        <v>25</v>
      </c>
      <c r="F2145" s="57" t="s">
        <v>25</v>
      </c>
      <c r="G2145" s="57" t="s">
        <v>25</v>
      </c>
      <c r="H2145" s="57" t="s">
        <v>40</v>
      </c>
      <c r="I2145" s="82">
        <v>44470</v>
      </c>
      <c r="J2145" s="83">
        <f>EFEITO!$J$2145*EFEITO!$Y$2145</f>
        <v>0</v>
      </c>
      <c r="K2145" s="83">
        <f ca="1">EFEITO!$L$2145*EFEITO!$Z$2145</f>
        <v>9.9095615059341071</v>
      </c>
      <c r="L2145" s="83">
        <f>EFEITO!$N$2145*EFEITO!$AA$2145</f>
        <v>3.3950087966042659</v>
      </c>
      <c r="M2145" s="83">
        <f>$J$2145-EFEITO!$K$2145*EFEITO!$Y$2145</f>
        <v>0</v>
      </c>
      <c r="N2145" s="83">
        <f ca="1">$K$2145-EFEITO!$M$2145*EFEITO!$Z$2145</f>
        <v>0</v>
      </c>
      <c r="O2145" s="83">
        <f>$L$2145-EFEITO!$O$2145*EFEITO!$AA$2145</f>
        <v>0</v>
      </c>
      <c r="P2145" s="61"/>
      <c r="Q2145" s="61"/>
      <c r="R2145" s="61"/>
      <c r="S2145" s="61"/>
      <c r="T2145" s="61"/>
      <c r="U2145" s="61"/>
      <c r="V2145" s="61"/>
      <c r="W2145" s="61"/>
      <c r="X2145" s="6"/>
      <c r="Y2145" s="6"/>
      <c r="Z2145" s="6"/>
      <c r="AA2145" s="6"/>
      <c r="AB2145" s="6"/>
      <c r="AC2145" s="6"/>
      <c r="AD2145" s="6"/>
      <c r="AE2145" s="6"/>
      <c r="AF2145" s="6"/>
      <c r="AG2145" s="6"/>
      <c r="AH2145" s="6"/>
      <c r="AI2145" s="6"/>
      <c r="AJ2145" s="6"/>
    </row>
    <row r="2146" spans="1:36" ht="11.25" customHeight="1" x14ac:dyDescent="0.2">
      <c r="A2146" s="57" t="s">
        <v>21</v>
      </c>
      <c r="B2146" s="57" t="s">
        <v>41</v>
      </c>
      <c r="C2146" s="57" t="s">
        <v>39</v>
      </c>
      <c r="D2146" s="57" t="s">
        <v>45</v>
      </c>
      <c r="E2146" s="57" t="s">
        <v>25</v>
      </c>
      <c r="F2146" s="57" t="s">
        <v>25</v>
      </c>
      <c r="G2146" s="57" t="s">
        <v>25</v>
      </c>
      <c r="H2146" s="57" t="s">
        <v>37</v>
      </c>
      <c r="I2146" s="82">
        <v>44136</v>
      </c>
      <c r="J2146" s="83">
        <f>EFEITO!$J$2146*EFEITO!$Y$2146</f>
        <v>0</v>
      </c>
      <c r="K2146" s="83">
        <f ca="1">EFEITO!$L$2146*EFEITO!$Z$2146</f>
        <v>43620.642769038568</v>
      </c>
      <c r="L2146" s="83">
        <f>EFEITO!$N$2146*EFEITO!$AA$2146</f>
        <v>16215.895246500617</v>
      </c>
      <c r="M2146" s="83">
        <f>$J$2146-EFEITO!$K$2146*EFEITO!$Y$2146</f>
        <v>0</v>
      </c>
      <c r="N2146" s="83">
        <f ca="1">$K$2146-EFEITO!$M$2146*EFEITO!$Z$2146</f>
        <v>0</v>
      </c>
      <c r="O2146" s="83">
        <f>$L$2146-EFEITO!$O$2146*EFEITO!$AA$2146</f>
        <v>0</v>
      </c>
      <c r="P2146" s="61"/>
      <c r="Q2146" s="61"/>
      <c r="R2146" s="61"/>
      <c r="S2146" s="61"/>
      <c r="T2146" s="61"/>
      <c r="U2146" s="61"/>
      <c r="V2146" s="61"/>
      <c r="W2146" s="61"/>
      <c r="X2146" s="6"/>
      <c r="Y2146" s="6"/>
      <c r="Z2146" s="6"/>
      <c r="AA2146" s="6"/>
      <c r="AB2146" s="6"/>
      <c r="AC2146" s="6"/>
      <c r="AD2146" s="6"/>
      <c r="AE2146" s="6"/>
      <c r="AF2146" s="6"/>
      <c r="AG2146" s="6"/>
      <c r="AH2146" s="6"/>
      <c r="AI2146" s="6"/>
      <c r="AJ2146" s="6"/>
    </row>
    <row r="2147" spans="1:36" ht="11.25" customHeight="1" x14ac:dyDescent="0.2">
      <c r="A2147" s="57" t="s">
        <v>27</v>
      </c>
      <c r="B2147" s="57" t="s">
        <v>41</v>
      </c>
      <c r="C2147" s="57" t="s">
        <v>39</v>
      </c>
      <c r="D2147" s="57" t="s">
        <v>45</v>
      </c>
      <c r="E2147" s="57" t="s">
        <v>25</v>
      </c>
      <c r="F2147" s="57" t="s">
        <v>25</v>
      </c>
      <c r="G2147" s="57" t="s">
        <v>25</v>
      </c>
      <c r="H2147" s="57" t="s">
        <v>37</v>
      </c>
      <c r="I2147" s="82">
        <v>44136</v>
      </c>
      <c r="J2147" s="83">
        <f>EFEITO!$J$2147*EFEITO!$Y$2147</f>
        <v>0</v>
      </c>
      <c r="K2147" s="83">
        <f ca="1">EFEITO!$L$2147*EFEITO!$Z$2147</f>
        <v>-2908.6946595963182</v>
      </c>
      <c r="L2147" s="83">
        <f>EFEITO!$N$2147*EFEITO!$AA$2147</f>
        <v>-1081.3019916696028</v>
      </c>
      <c r="M2147" s="83">
        <f>$J$2147-EFEITO!$K$2147*EFEITO!$Y$2147</f>
        <v>0</v>
      </c>
      <c r="N2147" s="83">
        <f ca="1">$K$2147-EFEITO!$M$2147*EFEITO!$Z$2147</f>
        <v>0</v>
      </c>
      <c r="O2147" s="83">
        <f>$L$2147-EFEITO!$O$2147*EFEITO!$AA$2147</f>
        <v>0</v>
      </c>
      <c r="P2147" s="61"/>
      <c r="Q2147" s="61"/>
      <c r="R2147" s="61"/>
      <c r="S2147" s="61"/>
      <c r="T2147" s="61"/>
      <c r="U2147" s="61"/>
      <c r="V2147" s="61"/>
      <c r="W2147" s="61"/>
      <c r="X2147" s="6"/>
      <c r="Y2147" s="6"/>
      <c r="Z2147" s="6"/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</row>
    <row r="2148" spans="1:36" ht="11.25" customHeight="1" x14ac:dyDescent="0.2">
      <c r="A2148" s="57" t="s">
        <v>28</v>
      </c>
      <c r="B2148" s="57" t="s">
        <v>41</v>
      </c>
      <c r="C2148" s="57" t="s">
        <v>39</v>
      </c>
      <c r="D2148" s="57" t="s">
        <v>45</v>
      </c>
      <c r="E2148" s="57" t="s">
        <v>25</v>
      </c>
      <c r="F2148" s="57" t="s">
        <v>25</v>
      </c>
      <c r="G2148" s="57" t="s">
        <v>25</v>
      </c>
      <c r="H2148" s="57" t="s">
        <v>37</v>
      </c>
      <c r="I2148" s="82">
        <v>44136</v>
      </c>
      <c r="J2148" s="83">
        <f>EFEITO!$J$2148*EFEITO!$Y$2148</f>
        <v>0</v>
      </c>
      <c r="K2148" s="83">
        <f ca="1">EFEITO!$L$2148*EFEITO!$Z$2148</f>
        <v>7123.8576347844282</v>
      </c>
      <c r="L2148" s="83">
        <f>EFEITO!$N$2148*EFEITO!$AA$2148</f>
        <v>2648.2812224546701</v>
      </c>
      <c r="M2148" s="83">
        <f>$J$2148-EFEITO!$K$2148*EFEITO!$Y$2148</f>
        <v>0</v>
      </c>
      <c r="N2148" s="83">
        <f ca="1">$K$2148-EFEITO!$M$2148*EFEITO!$Z$2148</f>
        <v>0</v>
      </c>
      <c r="O2148" s="83">
        <f>$L$2148-EFEITO!$O$2148*EFEITO!$AA$2148</f>
        <v>0</v>
      </c>
      <c r="P2148" s="61"/>
      <c r="Q2148" s="61"/>
      <c r="R2148" s="61"/>
      <c r="S2148" s="61"/>
      <c r="T2148" s="61"/>
      <c r="U2148" s="61"/>
      <c r="V2148" s="61"/>
      <c r="W2148" s="61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</row>
    <row r="2149" spans="1:36" ht="11.25" customHeight="1" x14ac:dyDescent="0.2">
      <c r="A2149" s="57" t="s">
        <v>21</v>
      </c>
      <c r="B2149" s="57" t="s">
        <v>41</v>
      </c>
      <c r="C2149" s="57" t="s">
        <v>39</v>
      </c>
      <c r="D2149" s="57" t="s">
        <v>45</v>
      </c>
      <c r="E2149" s="57" t="s">
        <v>25</v>
      </c>
      <c r="F2149" s="57" t="s">
        <v>25</v>
      </c>
      <c r="G2149" s="57" t="s">
        <v>25</v>
      </c>
      <c r="H2149" s="57" t="s">
        <v>37</v>
      </c>
      <c r="I2149" s="82">
        <v>44166</v>
      </c>
      <c r="J2149" s="83">
        <f>EFEITO!$J$2149*EFEITO!$Y$2149</f>
        <v>0</v>
      </c>
      <c r="K2149" s="83">
        <f ca="1">EFEITO!$L$2149*EFEITO!$Z$2149</f>
        <v>13256.559232202213</v>
      </c>
      <c r="L2149" s="83">
        <f>EFEITO!$N$2149*EFEITO!$AA$2149</f>
        <v>4928.1019763194045</v>
      </c>
      <c r="M2149" s="83">
        <f>$J$2149-EFEITO!$K$2149*EFEITO!$Y$2149</f>
        <v>0</v>
      </c>
      <c r="N2149" s="83">
        <f ca="1">$K$2149-EFEITO!$M$2149*EFEITO!$Z$2149</f>
        <v>0</v>
      </c>
      <c r="O2149" s="83">
        <f>$L$2149-EFEITO!$O$2149*EFEITO!$AA$2149</f>
        <v>0</v>
      </c>
      <c r="P2149" s="61"/>
      <c r="Q2149" s="61"/>
      <c r="R2149" s="61"/>
      <c r="S2149" s="61"/>
      <c r="T2149" s="61"/>
      <c r="U2149" s="61"/>
      <c r="V2149" s="61"/>
      <c r="W2149" s="61"/>
      <c r="X2149" s="6"/>
      <c r="Y2149" s="6"/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</row>
    <row r="2150" spans="1:36" ht="11.25" customHeight="1" x14ac:dyDescent="0.2">
      <c r="A2150" s="57" t="s">
        <v>28</v>
      </c>
      <c r="B2150" s="57" t="s">
        <v>41</v>
      </c>
      <c r="C2150" s="57" t="s">
        <v>39</v>
      </c>
      <c r="D2150" s="57" t="s">
        <v>45</v>
      </c>
      <c r="E2150" s="57" t="s">
        <v>25</v>
      </c>
      <c r="F2150" s="57" t="s">
        <v>25</v>
      </c>
      <c r="G2150" s="57" t="s">
        <v>25</v>
      </c>
      <c r="H2150" s="57" t="s">
        <v>37</v>
      </c>
      <c r="I2150" s="82">
        <v>44166</v>
      </c>
      <c r="J2150" s="83">
        <f>EFEITO!$J$2150*EFEITO!$Y$2150</f>
        <v>0</v>
      </c>
      <c r="K2150" s="83">
        <f ca="1">EFEITO!$L$2150*EFEITO!$Z$2150</f>
        <v>7789.9242690197198</v>
      </c>
      <c r="L2150" s="83">
        <f>EFEITO!$N$2150*EFEITO!$AA$2150</f>
        <v>2895.8902919756506</v>
      </c>
      <c r="M2150" s="83">
        <f>$J$2150-EFEITO!$K$2150*EFEITO!$Y$2150</f>
        <v>0</v>
      </c>
      <c r="N2150" s="83">
        <f ca="1">$K$2150-EFEITO!$M$2150*EFEITO!$Z$2150</f>
        <v>0</v>
      </c>
      <c r="O2150" s="83">
        <f>$L$2150-EFEITO!$O$2150*EFEITO!$AA$2150</f>
        <v>0</v>
      </c>
      <c r="P2150" s="61"/>
      <c r="Q2150" s="61"/>
      <c r="R2150" s="61"/>
      <c r="S2150" s="61"/>
      <c r="T2150" s="61"/>
      <c r="U2150" s="61"/>
      <c r="V2150" s="61"/>
      <c r="W2150" s="61"/>
      <c r="X2150" s="6"/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</row>
    <row r="2151" spans="1:36" ht="11.25" customHeight="1" x14ac:dyDescent="0.2">
      <c r="A2151" s="57" t="s">
        <v>21</v>
      </c>
      <c r="B2151" s="57" t="s">
        <v>41</v>
      </c>
      <c r="C2151" s="57" t="s">
        <v>39</v>
      </c>
      <c r="D2151" s="57" t="s">
        <v>45</v>
      </c>
      <c r="E2151" s="57" t="s">
        <v>25</v>
      </c>
      <c r="F2151" s="57" t="s">
        <v>25</v>
      </c>
      <c r="G2151" s="57" t="s">
        <v>25</v>
      </c>
      <c r="H2151" s="57" t="s">
        <v>37</v>
      </c>
      <c r="I2151" s="82">
        <v>44197</v>
      </c>
      <c r="J2151" s="83">
        <f>EFEITO!$J$2151*EFEITO!$Y$2151</f>
        <v>0</v>
      </c>
      <c r="K2151" s="83">
        <f ca="1">EFEITO!$L$2151*EFEITO!$Z$2151</f>
        <v>9619.46876709354</v>
      </c>
      <c r="L2151" s="83">
        <f>EFEITO!$N$2151*EFEITO!$AA$2151</f>
        <v>3576.0201581644728</v>
      </c>
      <c r="M2151" s="83">
        <f>$J$2151-EFEITO!$K$2151*EFEITO!$Y$2151</f>
        <v>0</v>
      </c>
      <c r="N2151" s="83">
        <f ca="1">$K$2151-EFEITO!$M$2151*EFEITO!$Z$2151</f>
        <v>0</v>
      </c>
      <c r="O2151" s="83">
        <f>$L$2151-EFEITO!$O$2151*EFEITO!$AA$2151</f>
        <v>0</v>
      </c>
      <c r="P2151" s="61"/>
      <c r="Q2151" s="61"/>
      <c r="R2151" s="61"/>
      <c r="S2151" s="61"/>
      <c r="T2151" s="61"/>
      <c r="U2151" s="61"/>
      <c r="V2151" s="61"/>
      <c r="W2151" s="61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</row>
    <row r="2152" spans="1:36" ht="11.25" customHeight="1" x14ac:dyDescent="0.2">
      <c r="A2152" s="57" t="s">
        <v>27</v>
      </c>
      <c r="B2152" s="57" t="s">
        <v>41</v>
      </c>
      <c r="C2152" s="57" t="s">
        <v>39</v>
      </c>
      <c r="D2152" s="57" t="s">
        <v>45</v>
      </c>
      <c r="E2152" s="57" t="s">
        <v>25</v>
      </c>
      <c r="F2152" s="57" t="s">
        <v>25</v>
      </c>
      <c r="G2152" s="57" t="s">
        <v>25</v>
      </c>
      <c r="H2152" s="57" t="s">
        <v>37</v>
      </c>
      <c r="I2152" s="82">
        <v>44197</v>
      </c>
      <c r="J2152" s="83">
        <f>EFEITO!$J$2152*EFEITO!$Y$2152</f>
        <v>0</v>
      </c>
      <c r="K2152" s="83">
        <f ca="1">EFEITO!$L$2152*EFEITO!$Z$2152</f>
        <v>-2280.5143843725759</v>
      </c>
      <c r="L2152" s="83">
        <f>EFEITO!$N$2152*EFEITO!$AA$2152</f>
        <v>-847.777107754403</v>
      </c>
      <c r="M2152" s="83">
        <f>$J$2152-EFEITO!$K$2152*EFEITO!$Y$2152</f>
        <v>0</v>
      </c>
      <c r="N2152" s="83">
        <f ca="1">$K$2152-EFEITO!$M$2152*EFEITO!$Z$2152</f>
        <v>0</v>
      </c>
      <c r="O2152" s="83">
        <f>$L$2152-EFEITO!$O$2152*EFEITO!$AA$2152</f>
        <v>0</v>
      </c>
      <c r="P2152" s="61"/>
      <c r="Q2152" s="61"/>
      <c r="R2152" s="61"/>
      <c r="S2152" s="61"/>
      <c r="T2152" s="61"/>
      <c r="U2152" s="61"/>
      <c r="V2152" s="61"/>
      <c r="W2152" s="61"/>
      <c r="X2152" s="6"/>
      <c r="Y2152" s="6"/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</row>
    <row r="2153" spans="1:36" ht="11.25" customHeight="1" x14ac:dyDescent="0.2">
      <c r="A2153" s="57" t="s">
        <v>28</v>
      </c>
      <c r="B2153" s="57" t="s">
        <v>41</v>
      </c>
      <c r="C2153" s="57" t="s">
        <v>39</v>
      </c>
      <c r="D2153" s="57" t="s">
        <v>45</v>
      </c>
      <c r="E2153" s="57" t="s">
        <v>25</v>
      </c>
      <c r="F2153" s="57" t="s">
        <v>25</v>
      </c>
      <c r="G2153" s="57" t="s">
        <v>25</v>
      </c>
      <c r="H2153" s="57" t="s">
        <v>37</v>
      </c>
      <c r="I2153" s="82">
        <v>44197</v>
      </c>
      <c r="J2153" s="83">
        <f>EFEITO!$J$2153*EFEITO!$Y$2153</f>
        <v>0</v>
      </c>
      <c r="K2153" s="83">
        <f ca="1">EFEITO!$L$2153*EFEITO!$Z$2153</f>
        <v>7602.936755188528</v>
      </c>
      <c r="L2153" s="83">
        <f>EFEITO!$N$2153*EFEITO!$AA$2153</f>
        <v>2826.3780210826048</v>
      </c>
      <c r="M2153" s="83">
        <f>$J$2153-EFEITO!$K$2153*EFEITO!$Y$2153</f>
        <v>0</v>
      </c>
      <c r="N2153" s="83">
        <f ca="1">$K$2153-EFEITO!$M$2153*EFEITO!$Z$2153</f>
        <v>0</v>
      </c>
      <c r="O2153" s="83">
        <f>$L$2153-EFEITO!$O$2153*EFEITO!$AA$2153</f>
        <v>0</v>
      </c>
      <c r="P2153" s="61"/>
      <c r="Q2153" s="61"/>
      <c r="R2153" s="61"/>
      <c r="S2153" s="61"/>
      <c r="T2153" s="61"/>
      <c r="U2153" s="61"/>
      <c r="V2153" s="61"/>
      <c r="W2153" s="61"/>
      <c r="X2153" s="6"/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</row>
    <row r="2154" spans="1:36" ht="11.25" customHeight="1" x14ac:dyDescent="0.2">
      <c r="A2154" s="57" t="s">
        <v>21</v>
      </c>
      <c r="B2154" s="57" t="s">
        <v>41</v>
      </c>
      <c r="C2154" s="57" t="s">
        <v>39</v>
      </c>
      <c r="D2154" s="57" t="s">
        <v>45</v>
      </c>
      <c r="E2154" s="57" t="s">
        <v>25</v>
      </c>
      <c r="F2154" s="57" t="s">
        <v>25</v>
      </c>
      <c r="G2154" s="57" t="s">
        <v>25</v>
      </c>
      <c r="H2154" s="57" t="s">
        <v>37</v>
      </c>
      <c r="I2154" s="82">
        <v>44228</v>
      </c>
      <c r="J2154" s="83">
        <f>EFEITO!$J$2154*EFEITO!$Y$2154</f>
        <v>0</v>
      </c>
      <c r="K2154" s="83">
        <f ca="1">EFEITO!$L$2154*EFEITO!$Z$2154</f>
        <v>6206.03003421433</v>
      </c>
      <c r="L2154" s="83">
        <f>EFEITO!$N$2154*EFEITO!$AA$2154</f>
        <v>2307.0804679404387</v>
      </c>
      <c r="M2154" s="83">
        <f>$J$2154-EFEITO!$K$2154*EFEITO!$Y$2154</f>
        <v>0</v>
      </c>
      <c r="N2154" s="83">
        <f ca="1">$K$2154-EFEITO!$M$2154*EFEITO!$Z$2154</f>
        <v>0</v>
      </c>
      <c r="O2154" s="83">
        <f>$L$2154-EFEITO!$O$2154*EFEITO!$AA$2154</f>
        <v>0</v>
      </c>
      <c r="P2154" s="61"/>
      <c r="Q2154" s="61"/>
      <c r="R2154" s="61"/>
      <c r="S2154" s="61"/>
      <c r="T2154" s="61"/>
      <c r="U2154" s="61"/>
      <c r="V2154" s="61"/>
      <c r="W2154" s="61"/>
      <c r="X2154" s="6"/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</row>
    <row r="2155" spans="1:36" ht="11.25" customHeight="1" x14ac:dyDescent="0.2">
      <c r="A2155" s="57" t="s">
        <v>27</v>
      </c>
      <c r="B2155" s="57" t="s">
        <v>41</v>
      </c>
      <c r="C2155" s="57" t="s">
        <v>39</v>
      </c>
      <c r="D2155" s="57" t="s">
        <v>45</v>
      </c>
      <c r="E2155" s="57" t="s">
        <v>25</v>
      </c>
      <c r="F2155" s="57" t="s">
        <v>25</v>
      </c>
      <c r="G2155" s="57" t="s">
        <v>25</v>
      </c>
      <c r="H2155" s="57" t="s">
        <v>37</v>
      </c>
      <c r="I2155" s="82">
        <v>44228</v>
      </c>
      <c r="J2155" s="83">
        <f>EFEITO!$J$2155*EFEITO!$Y$2155</f>
        <v>0</v>
      </c>
      <c r="K2155" s="83">
        <f ca="1">EFEITO!$L$2155*EFEITO!$Z$2155</f>
        <v>-4618.4693775691121</v>
      </c>
      <c r="L2155" s="83">
        <f>EFEITO!$N$2155*EFEITO!$AA$2155</f>
        <v>-1716.9076582014409</v>
      </c>
      <c r="M2155" s="83">
        <f>$J$2155-EFEITO!$K$2155*EFEITO!$Y$2155</f>
        <v>0</v>
      </c>
      <c r="N2155" s="83">
        <f ca="1">$K$2155-EFEITO!$M$2155*EFEITO!$Z$2155</f>
        <v>0</v>
      </c>
      <c r="O2155" s="83">
        <f>$L$2155-EFEITO!$O$2155*EFEITO!$AA$2155</f>
        <v>0</v>
      </c>
      <c r="P2155" s="61"/>
      <c r="Q2155" s="61"/>
      <c r="R2155" s="61"/>
      <c r="S2155" s="61"/>
      <c r="T2155" s="61"/>
      <c r="U2155" s="61"/>
      <c r="V2155" s="61"/>
      <c r="W2155" s="61"/>
      <c r="X2155" s="6"/>
      <c r="Y2155" s="6"/>
      <c r="Z2155" s="6"/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</row>
    <row r="2156" spans="1:36" ht="11.25" customHeight="1" x14ac:dyDescent="0.2">
      <c r="A2156" s="57" t="s">
        <v>28</v>
      </c>
      <c r="B2156" s="57" t="s">
        <v>41</v>
      </c>
      <c r="C2156" s="57" t="s">
        <v>39</v>
      </c>
      <c r="D2156" s="57" t="s">
        <v>45</v>
      </c>
      <c r="E2156" s="57" t="s">
        <v>25</v>
      </c>
      <c r="F2156" s="57" t="s">
        <v>25</v>
      </c>
      <c r="G2156" s="57" t="s">
        <v>25</v>
      </c>
      <c r="H2156" s="57" t="s">
        <v>37</v>
      </c>
      <c r="I2156" s="82">
        <v>44228</v>
      </c>
      <c r="J2156" s="83">
        <f>EFEITO!$J$2156*EFEITO!$Y$2156</f>
        <v>0</v>
      </c>
      <c r="K2156" s="83">
        <f ca="1">EFEITO!$L$2156*EFEITO!$Z$2156</f>
        <v>8137.0122031900373</v>
      </c>
      <c r="L2156" s="83">
        <f>EFEITO!$N$2156*EFEITO!$AA$2156</f>
        <v>3024.9196052673178</v>
      </c>
      <c r="M2156" s="83">
        <f>$J$2156-EFEITO!$K$2156*EFEITO!$Y$2156</f>
        <v>0</v>
      </c>
      <c r="N2156" s="83">
        <f ca="1">$K$2156-EFEITO!$M$2156*EFEITO!$Z$2156</f>
        <v>0</v>
      </c>
      <c r="O2156" s="83">
        <f>$L$2156-EFEITO!$O$2156*EFEITO!$AA$2156</f>
        <v>0</v>
      </c>
      <c r="P2156" s="61"/>
      <c r="Q2156" s="61"/>
      <c r="R2156" s="61"/>
      <c r="S2156" s="61"/>
      <c r="T2156" s="61"/>
      <c r="U2156" s="61"/>
      <c r="V2156" s="61"/>
      <c r="W2156" s="61"/>
      <c r="X2156" s="6"/>
      <c r="Y2156" s="6"/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</row>
    <row r="2157" spans="1:36" ht="11.25" customHeight="1" x14ac:dyDescent="0.2">
      <c r="A2157" s="57" t="s">
        <v>21</v>
      </c>
      <c r="B2157" s="57" t="s">
        <v>41</v>
      </c>
      <c r="C2157" s="57" t="s">
        <v>39</v>
      </c>
      <c r="D2157" s="57" t="s">
        <v>45</v>
      </c>
      <c r="E2157" s="57" t="s">
        <v>25</v>
      </c>
      <c r="F2157" s="57" t="s">
        <v>25</v>
      </c>
      <c r="G2157" s="57" t="s">
        <v>25</v>
      </c>
      <c r="H2157" s="57" t="s">
        <v>37</v>
      </c>
      <c r="I2157" s="82">
        <v>44256</v>
      </c>
      <c r="J2157" s="83">
        <f>EFEITO!$J$2157*EFEITO!$Y$2157</f>
        <v>0</v>
      </c>
      <c r="K2157" s="83">
        <f ca="1">EFEITO!$L$2157*EFEITO!$Z$2157</f>
        <v>3902.2949781895145</v>
      </c>
      <c r="L2157" s="83">
        <f>EFEITO!$N$2157*EFEITO!$AA$2157</f>
        <v>1450.6711173953959</v>
      </c>
      <c r="M2157" s="83">
        <f>$J$2157-EFEITO!$K$2157*EFEITO!$Y$2157</f>
        <v>0</v>
      </c>
      <c r="N2157" s="83">
        <f ca="1">$K$2157-EFEITO!$M$2157*EFEITO!$Z$2157</f>
        <v>0</v>
      </c>
      <c r="O2157" s="83">
        <f>$L$2157-EFEITO!$O$2157*EFEITO!$AA$2157</f>
        <v>0</v>
      </c>
      <c r="P2157" s="61"/>
      <c r="Q2157" s="61"/>
      <c r="R2157" s="61"/>
      <c r="S2157" s="61"/>
      <c r="T2157" s="61"/>
      <c r="U2157" s="61"/>
      <c r="V2157" s="61"/>
      <c r="W2157" s="61"/>
      <c r="X2157" s="6"/>
      <c r="Y2157" s="6"/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</row>
    <row r="2158" spans="1:36" ht="11.25" customHeight="1" x14ac:dyDescent="0.2">
      <c r="A2158" s="57" t="s">
        <v>27</v>
      </c>
      <c r="B2158" s="57" t="s">
        <v>41</v>
      </c>
      <c r="C2158" s="57" t="s">
        <v>39</v>
      </c>
      <c r="D2158" s="57" t="s">
        <v>45</v>
      </c>
      <c r="E2158" s="57" t="s">
        <v>25</v>
      </c>
      <c r="F2158" s="57" t="s">
        <v>25</v>
      </c>
      <c r="G2158" s="57" t="s">
        <v>25</v>
      </c>
      <c r="H2158" s="57" t="s">
        <v>37</v>
      </c>
      <c r="I2158" s="82">
        <v>44256</v>
      </c>
      <c r="J2158" s="83">
        <f>EFEITO!$J$2158*EFEITO!$Y$2158</f>
        <v>0</v>
      </c>
      <c r="K2158" s="83">
        <f ca="1">EFEITO!$L$2158*EFEITO!$Z$2158</f>
        <v>-5937.1590992936617</v>
      </c>
      <c r="L2158" s="83">
        <f>EFEITO!$N$2158*EFEITO!$AA$2158</f>
        <v>-2207.1281829961895</v>
      </c>
      <c r="M2158" s="83">
        <f>$J$2158-EFEITO!$K$2158*EFEITO!$Y$2158</f>
        <v>0</v>
      </c>
      <c r="N2158" s="83">
        <f ca="1">$K$2158-EFEITO!$M$2158*EFEITO!$Z$2158</f>
        <v>0</v>
      </c>
      <c r="O2158" s="83">
        <f>$L$2158-EFEITO!$O$2158*EFEITO!$AA$2158</f>
        <v>0</v>
      </c>
      <c r="P2158" s="61"/>
      <c r="Q2158" s="61"/>
      <c r="R2158" s="61"/>
      <c r="S2158" s="61"/>
      <c r="T2158" s="61"/>
      <c r="U2158" s="61"/>
      <c r="V2158" s="61"/>
      <c r="W2158" s="61"/>
      <c r="X2158" s="6"/>
      <c r="Y2158" s="6"/>
      <c r="Z2158" s="6"/>
      <c r="AA2158" s="6"/>
      <c r="AB2158" s="6"/>
      <c r="AC2158" s="6"/>
      <c r="AD2158" s="6"/>
      <c r="AE2158" s="6"/>
      <c r="AF2158" s="6"/>
      <c r="AG2158" s="6"/>
      <c r="AH2158" s="6"/>
      <c r="AI2158" s="6"/>
      <c r="AJ2158" s="6"/>
    </row>
    <row r="2159" spans="1:36" ht="11.25" customHeight="1" x14ac:dyDescent="0.2">
      <c r="A2159" s="57" t="s">
        <v>28</v>
      </c>
      <c r="B2159" s="57" t="s">
        <v>41</v>
      </c>
      <c r="C2159" s="57" t="s">
        <v>39</v>
      </c>
      <c r="D2159" s="57" t="s">
        <v>45</v>
      </c>
      <c r="E2159" s="57" t="s">
        <v>25</v>
      </c>
      <c r="F2159" s="57" t="s">
        <v>25</v>
      </c>
      <c r="G2159" s="57" t="s">
        <v>25</v>
      </c>
      <c r="H2159" s="57" t="s">
        <v>37</v>
      </c>
      <c r="I2159" s="82">
        <v>44256</v>
      </c>
      <c r="J2159" s="83">
        <f>EFEITO!$J$2159*EFEITO!$Y$2159</f>
        <v>0</v>
      </c>
      <c r="K2159" s="83">
        <f ca="1">EFEITO!$L$2159*EFEITO!$Z$2159</f>
        <v>6727.8840760830808</v>
      </c>
      <c r="L2159" s="83">
        <f>EFEITO!$N$2159*EFEITO!$AA$2159</f>
        <v>2501.0787664458671</v>
      </c>
      <c r="M2159" s="83">
        <f>$J$2159-EFEITO!$K$2159*EFEITO!$Y$2159</f>
        <v>0</v>
      </c>
      <c r="N2159" s="83">
        <f ca="1">$K$2159-EFEITO!$M$2159*EFEITO!$Z$2159</f>
        <v>0</v>
      </c>
      <c r="O2159" s="83">
        <f>$L$2159-EFEITO!$O$2159*EFEITO!$AA$2159</f>
        <v>0</v>
      </c>
      <c r="P2159" s="61"/>
      <c r="Q2159" s="61"/>
      <c r="R2159" s="61"/>
      <c r="S2159" s="61"/>
      <c r="T2159" s="61"/>
      <c r="U2159" s="61"/>
      <c r="V2159" s="61"/>
      <c r="W2159" s="61"/>
      <c r="X2159" s="6"/>
      <c r="Y2159" s="6"/>
      <c r="Z2159" s="6"/>
      <c r="AA2159" s="6"/>
      <c r="AB2159" s="6"/>
      <c r="AC2159" s="6"/>
      <c r="AD2159" s="6"/>
      <c r="AE2159" s="6"/>
      <c r="AF2159" s="6"/>
      <c r="AG2159" s="6"/>
      <c r="AH2159" s="6"/>
      <c r="AI2159" s="6"/>
      <c r="AJ2159" s="6"/>
    </row>
    <row r="2160" spans="1:36" ht="11.25" customHeight="1" x14ac:dyDescent="0.2">
      <c r="A2160" s="57" t="s">
        <v>29</v>
      </c>
      <c r="B2160" s="57" t="s">
        <v>41</v>
      </c>
      <c r="C2160" s="57" t="s">
        <v>39</v>
      </c>
      <c r="D2160" s="57" t="s">
        <v>45</v>
      </c>
      <c r="E2160" s="57" t="s">
        <v>25</v>
      </c>
      <c r="F2160" s="57" t="s">
        <v>25</v>
      </c>
      <c r="G2160" s="57" t="s">
        <v>25</v>
      </c>
      <c r="H2160" s="57" t="s">
        <v>37</v>
      </c>
      <c r="I2160" s="82">
        <v>44256</v>
      </c>
      <c r="J2160" s="83">
        <f>EFEITO!$J$2160*EFEITO!$Y$2160</f>
        <v>0</v>
      </c>
      <c r="K2160" s="83">
        <f ca="1">EFEITO!$L$2160*EFEITO!$Z$2160</f>
        <v>-1234.3620194085217</v>
      </c>
      <c r="L2160" s="83">
        <f>EFEITO!$N$2160*EFEITO!$AA$2160</f>
        <v>-458.87185360768865</v>
      </c>
      <c r="M2160" s="83">
        <f>$J$2160-EFEITO!$K$2160*EFEITO!$Y$2160</f>
        <v>0</v>
      </c>
      <c r="N2160" s="83">
        <f ca="1">$K$2160-EFEITO!$M$2160*EFEITO!$Z$2160</f>
        <v>0</v>
      </c>
      <c r="O2160" s="83">
        <f>$L$2160-EFEITO!$O$2160*EFEITO!$AA$2160</f>
        <v>0</v>
      </c>
      <c r="P2160" s="61"/>
      <c r="Q2160" s="61"/>
      <c r="R2160" s="61"/>
      <c r="S2160" s="61"/>
      <c r="T2160" s="61"/>
      <c r="U2160" s="61"/>
      <c r="V2160" s="61"/>
      <c r="W2160" s="61"/>
      <c r="X2160" s="6"/>
      <c r="Y2160" s="6"/>
      <c r="Z2160" s="6"/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</row>
    <row r="2161" spans="1:36" ht="11.25" customHeight="1" x14ac:dyDescent="0.2">
      <c r="A2161" s="57" t="s">
        <v>21</v>
      </c>
      <c r="B2161" s="57" t="s">
        <v>41</v>
      </c>
      <c r="C2161" s="57" t="s">
        <v>39</v>
      </c>
      <c r="D2161" s="57" t="s">
        <v>45</v>
      </c>
      <c r="E2161" s="57" t="s">
        <v>25</v>
      </c>
      <c r="F2161" s="57" t="s">
        <v>25</v>
      </c>
      <c r="G2161" s="57" t="s">
        <v>25</v>
      </c>
      <c r="H2161" s="57" t="s">
        <v>37</v>
      </c>
      <c r="I2161" s="82">
        <v>44287</v>
      </c>
      <c r="J2161" s="83">
        <f>EFEITO!$J$2161*EFEITO!$Y$2161</f>
        <v>0</v>
      </c>
      <c r="K2161" s="83">
        <f ca="1">EFEITO!$L$2161*EFEITO!$Z$2161</f>
        <v>4249.3829123598316</v>
      </c>
      <c r="L2161" s="83">
        <f>EFEITO!$N$2161*EFEITO!$AA$2161</f>
        <v>1579.7004306870626</v>
      </c>
      <c r="M2161" s="83">
        <f>$J$2161-EFEITO!$K$2161*EFEITO!$Y$2161</f>
        <v>0</v>
      </c>
      <c r="N2161" s="83">
        <f ca="1">$K$2161-EFEITO!$M$2161*EFEITO!$Z$2161</f>
        <v>0</v>
      </c>
      <c r="O2161" s="83">
        <f>$L$2161-EFEITO!$O$2161*EFEITO!$AA$2161</f>
        <v>0</v>
      </c>
      <c r="P2161" s="61"/>
      <c r="Q2161" s="61"/>
      <c r="R2161" s="61"/>
      <c r="S2161" s="61"/>
      <c r="T2161" s="61"/>
      <c r="U2161" s="61"/>
      <c r="V2161" s="61"/>
      <c r="W2161" s="61"/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</row>
    <row r="2162" spans="1:36" ht="11.25" customHeight="1" x14ac:dyDescent="0.2">
      <c r="A2162" s="57" t="s">
        <v>28</v>
      </c>
      <c r="B2162" s="57" t="s">
        <v>41</v>
      </c>
      <c r="C2162" s="57" t="s">
        <v>39</v>
      </c>
      <c r="D2162" s="57" t="s">
        <v>45</v>
      </c>
      <c r="E2162" s="57" t="s">
        <v>25</v>
      </c>
      <c r="F2162" s="57" t="s">
        <v>25</v>
      </c>
      <c r="G2162" s="57" t="s">
        <v>25</v>
      </c>
      <c r="H2162" s="57" t="s">
        <v>37</v>
      </c>
      <c r="I2162" s="82">
        <v>44287</v>
      </c>
      <c r="J2162" s="83">
        <f>EFEITO!$J$2162*EFEITO!$Y$2162</f>
        <v>0</v>
      </c>
      <c r="K2162" s="83">
        <f ca="1">EFEITO!$L$2162*EFEITO!$Z$2162</f>
        <v>6498.121640787238</v>
      </c>
      <c r="L2162" s="83">
        <f>EFEITO!$N$2162*EFEITO!$AA$2162</f>
        <v>2415.6649956753272</v>
      </c>
      <c r="M2162" s="83">
        <f>$J$2162-EFEITO!$K$2162*EFEITO!$Y$2162</f>
        <v>0</v>
      </c>
      <c r="N2162" s="83">
        <f ca="1">$K$2162-EFEITO!$M$2162*EFEITO!$Z$2162</f>
        <v>0</v>
      </c>
      <c r="O2162" s="83">
        <f>$L$2162-EFEITO!$O$2162*EFEITO!$AA$2162</f>
        <v>0</v>
      </c>
      <c r="P2162" s="61"/>
      <c r="Q2162" s="61"/>
      <c r="R2162" s="61"/>
      <c r="S2162" s="61"/>
      <c r="T2162" s="61"/>
      <c r="U2162" s="61"/>
      <c r="V2162" s="61"/>
      <c r="W2162" s="61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</row>
    <row r="2163" spans="1:36" ht="11.25" customHeight="1" x14ac:dyDescent="0.2">
      <c r="A2163" s="57" t="s">
        <v>21</v>
      </c>
      <c r="B2163" s="57" t="s">
        <v>41</v>
      </c>
      <c r="C2163" s="57" t="s">
        <v>39</v>
      </c>
      <c r="D2163" s="57" t="s">
        <v>45</v>
      </c>
      <c r="E2163" s="57" t="s">
        <v>25</v>
      </c>
      <c r="F2163" s="57" t="s">
        <v>25</v>
      </c>
      <c r="G2163" s="57" t="s">
        <v>25</v>
      </c>
      <c r="H2163" s="57" t="s">
        <v>37</v>
      </c>
      <c r="I2163" s="82">
        <v>44317</v>
      </c>
      <c r="J2163" s="83">
        <f>EFEITO!$J$2163*EFEITO!$Y$2163</f>
        <v>0</v>
      </c>
      <c r="K2163" s="83">
        <f ca="1">EFEITO!$L$2163*EFEITO!$Z$2163</f>
        <v>4227.3843813208678</v>
      </c>
      <c r="L2163" s="83">
        <f>EFEITO!$N$2163*EFEITO!$AA$2163</f>
        <v>1571.5225164643516</v>
      </c>
      <c r="M2163" s="83">
        <f>$J$2163-EFEITO!$K$2163*EFEITO!$Y$2163</f>
        <v>0</v>
      </c>
      <c r="N2163" s="83">
        <f ca="1">$K$2163-EFEITO!$M$2163*EFEITO!$Z$2163</f>
        <v>0</v>
      </c>
      <c r="O2163" s="83">
        <f>$L$2163-EFEITO!$O$2163*EFEITO!$AA$2163</f>
        <v>0</v>
      </c>
      <c r="P2163" s="61"/>
      <c r="Q2163" s="61"/>
      <c r="R2163" s="61"/>
      <c r="S2163" s="61"/>
      <c r="T2163" s="61"/>
      <c r="U2163" s="61"/>
      <c r="V2163" s="61"/>
      <c r="W2163" s="61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</row>
    <row r="2164" spans="1:36" ht="11.25" customHeight="1" x14ac:dyDescent="0.2">
      <c r="A2164" s="57" t="s">
        <v>28</v>
      </c>
      <c r="B2164" s="57" t="s">
        <v>41</v>
      </c>
      <c r="C2164" s="57" t="s">
        <v>39</v>
      </c>
      <c r="D2164" s="57" t="s">
        <v>45</v>
      </c>
      <c r="E2164" s="57" t="s">
        <v>25</v>
      </c>
      <c r="F2164" s="57" t="s">
        <v>25</v>
      </c>
      <c r="G2164" s="57" t="s">
        <v>25</v>
      </c>
      <c r="H2164" s="57" t="s">
        <v>37</v>
      </c>
      <c r="I2164" s="82">
        <v>44317</v>
      </c>
      <c r="J2164" s="83">
        <f>EFEITO!$J$2164*EFEITO!$Y$2164</f>
        <v>0</v>
      </c>
      <c r="K2164" s="83">
        <f ca="1">EFEITO!$L$2164*EFEITO!$Z$2164</f>
        <v>8498.7658247196632</v>
      </c>
      <c r="L2164" s="83">
        <f>EFEITO!$N$2164*EFEITO!$AA$2164</f>
        <v>3159.4008613741253</v>
      </c>
      <c r="M2164" s="83">
        <f>$J$2164-EFEITO!$K$2164*EFEITO!$Y$2164</f>
        <v>0</v>
      </c>
      <c r="N2164" s="83">
        <f ca="1">$K$2164-EFEITO!$M$2164*EFEITO!$Z$2164</f>
        <v>0</v>
      </c>
      <c r="O2164" s="83">
        <f>$L$2164-EFEITO!$O$2164*EFEITO!$AA$2164</f>
        <v>0</v>
      </c>
      <c r="P2164" s="61"/>
      <c r="Q2164" s="61"/>
      <c r="R2164" s="61"/>
      <c r="S2164" s="61"/>
      <c r="T2164" s="61"/>
      <c r="U2164" s="61"/>
      <c r="V2164" s="61"/>
      <c r="W2164" s="61"/>
      <c r="X2164" s="6"/>
      <c r="Y2164" s="6"/>
      <c r="Z2164" s="6"/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</row>
    <row r="2165" spans="1:36" ht="11.25" customHeight="1" x14ac:dyDescent="0.2">
      <c r="A2165" s="57" t="s">
        <v>21</v>
      </c>
      <c r="B2165" s="57" t="s">
        <v>41</v>
      </c>
      <c r="C2165" s="57" t="s">
        <v>39</v>
      </c>
      <c r="D2165" s="57" t="s">
        <v>45</v>
      </c>
      <c r="E2165" s="57" t="s">
        <v>25</v>
      </c>
      <c r="F2165" s="57" t="s">
        <v>25</v>
      </c>
      <c r="G2165" s="57" t="s">
        <v>25</v>
      </c>
      <c r="H2165" s="57" t="s">
        <v>37</v>
      </c>
      <c r="I2165" s="82">
        <v>44348</v>
      </c>
      <c r="J2165" s="83">
        <f>EFEITO!$J$2165*EFEITO!$Y$2165</f>
        <v>0</v>
      </c>
      <c r="K2165" s="83">
        <f ca="1">EFEITO!$L$2165*EFEITO!$Z$2165</f>
        <v>5216.0961374609606</v>
      </c>
      <c r="L2165" s="83">
        <f>EFEITO!$N$2165*EFEITO!$AA$2165</f>
        <v>1939.0743279184308</v>
      </c>
      <c r="M2165" s="83">
        <f>$J$2165-EFEITO!$K$2165*EFEITO!$Y$2165</f>
        <v>0</v>
      </c>
      <c r="N2165" s="83">
        <f ca="1">$K$2165-EFEITO!$M$2165*EFEITO!$Z$2165</f>
        <v>0</v>
      </c>
      <c r="O2165" s="83">
        <f>$L$2165-EFEITO!$O$2165*EFEITO!$AA$2165</f>
        <v>0</v>
      </c>
      <c r="P2165" s="61"/>
      <c r="Q2165" s="61"/>
      <c r="R2165" s="61"/>
      <c r="S2165" s="61"/>
      <c r="T2165" s="61"/>
      <c r="U2165" s="61"/>
      <c r="V2165" s="61"/>
      <c r="W2165" s="61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</row>
    <row r="2166" spans="1:36" ht="11.25" customHeight="1" x14ac:dyDescent="0.2">
      <c r="A2166" s="57" t="s">
        <v>28</v>
      </c>
      <c r="B2166" s="57" t="s">
        <v>41</v>
      </c>
      <c r="C2166" s="57" t="s">
        <v>39</v>
      </c>
      <c r="D2166" s="57" t="s">
        <v>45</v>
      </c>
      <c r="E2166" s="57" t="s">
        <v>25</v>
      </c>
      <c r="F2166" s="57" t="s">
        <v>25</v>
      </c>
      <c r="G2166" s="57" t="s">
        <v>25</v>
      </c>
      <c r="H2166" s="57" t="s">
        <v>37</v>
      </c>
      <c r="I2166" s="82">
        <v>44348</v>
      </c>
      <c r="J2166" s="83">
        <f>EFEITO!$J$2166*EFEITO!$Y$2166</f>
        <v>0</v>
      </c>
      <c r="K2166" s="83">
        <f ca="1">EFEITO!$L$2166*EFEITO!$Z$2166</f>
        <v>8463.3237469346659</v>
      </c>
      <c r="L2166" s="83">
        <f>EFEITO!$N$2166*EFEITO!$AA$2166</f>
        <v>3146.2253329042019</v>
      </c>
      <c r="M2166" s="83">
        <f>$J$2166-EFEITO!$K$2166*EFEITO!$Y$2166</f>
        <v>0</v>
      </c>
      <c r="N2166" s="83">
        <f ca="1">$K$2166-EFEITO!$M$2166*EFEITO!$Z$2166</f>
        <v>0</v>
      </c>
      <c r="O2166" s="83">
        <f>$L$2166-EFEITO!$O$2166*EFEITO!$AA$2166</f>
        <v>0</v>
      </c>
      <c r="P2166" s="61"/>
      <c r="Q2166" s="61"/>
      <c r="R2166" s="61"/>
      <c r="S2166" s="61"/>
      <c r="T2166" s="61"/>
      <c r="U2166" s="61"/>
      <c r="V2166" s="61"/>
      <c r="W2166" s="61"/>
      <c r="X2166" s="6"/>
      <c r="Y2166" s="6"/>
      <c r="Z2166" s="6"/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</row>
    <row r="2167" spans="1:36" ht="11.25" customHeight="1" x14ac:dyDescent="0.2">
      <c r="A2167" s="57" t="s">
        <v>21</v>
      </c>
      <c r="B2167" s="57" t="s">
        <v>41</v>
      </c>
      <c r="C2167" s="57" t="s">
        <v>39</v>
      </c>
      <c r="D2167" s="57" t="s">
        <v>45</v>
      </c>
      <c r="E2167" s="57" t="s">
        <v>25</v>
      </c>
      <c r="F2167" s="57" t="s">
        <v>25</v>
      </c>
      <c r="G2167" s="57" t="s">
        <v>25</v>
      </c>
      <c r="H2167" s="57" t="s">
        <v>37</v>
      </c>
      <c r="I2167" s="82">
        <v>44378</v>
      </c>
      <c r="J2167" s="83">
        <f>EFEITO!$J$2167*EFEITO!$Y$2167</f>
        <v>0</v>
      </c>
      <c r="K2167" s="83">
        <f ca="1">EFEITO!$L$2167*EFEITO!$Z$2167</f>
        <v>6100.9259414726139</v>
      </c>
      <c r="L2167" s="83">
        <f>EFEITO!$N$2167*EFEITO!$AA$2167</f>
        <v>2268.0082110985959</v>
      </c>
      <c r="M2167" s="83">
        <f>$J$2167-EFEITO!$K$2167*EFEITO!$Y$2167</f>
        <v>0</v>
      </c>
      <c r="N2167" s="83">
        <f ca="1">$K$2167-EFEITO!$M$2167*EFEITO!$Z$2167</f>
        <v>0</v>
      </c>
      <c r="O2167" s="83">
        <f>$L$2167-EFEITO!$O$2167*EFEITO!$AA$2167</f>
        <v>0</v>
      </c>
      <c r="P2167" s="61"/>
      <c r="Q2167" s="61"/>
      <c r="R2167" s="61"/>
      <c r="S2167" s="61"/>
      <c r="T2167" s="61"/>
      <c r="U2167" s="61"/>
      <c r="V2167" s="61"/>
      <c r="W2167" s="61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</row>
    <row r="2168" spans="1:36" ht="11.25" customHeight="1" x14ac:dyDescent="0.2">
      <c r="A2168" s="57" t="s">
        <v>28</v>
      </c>
      <c r="B2168" s="57" t="s">
        <v>41</v>
      </c>
      <c r="C2168" s="57" t="s">
        <v>39</v>
      </c>
      <c r="D2168" s="57" t="s">
        <v>45</v>
      </c>
      <c r="E2168" s="57" t="s">
        <v>25</v>
      </c>
      <c r="F2168" s="57" t="s">
        <v>25</v>
      </c>
      <c r="G2168" s="57" t="s">
        <v>25</v>
      </c>
      <c r="H2168" s="57" t="s">
        <v>37</v>
      </c>
      <c r="I2168" s="82">
        <v>44378</v>
      </c>
      <c r="J2168" s="83">
        <f>EFEITO!$J$2168*EFEITO!$Y$2168</f>
        <v>0</v>
      </c>
      <c r="K2168" s="83">
        <f ca="1">EFEITO!$L$2168*EFEITO!$Z$2168</f>
        <v>5920.0491307078019</v>
      </c>
      <c r="L2168" s="83">
        <f>EFEITO!$N$2168*EFEITO!$AA$2168</f>
        <v>2200.7675830451922</v>
      </c>
      <c r="M2168" s="83">
        <f>$J$2168-EFEITO!$K$2168*EFEITO!$Y$2168</f>
        <v>0</v>
      </c>
      <c r="N2168" s="83">
        <f ca="1">$K$2168-EFEITO!$M$2168*EFEITO!$Z$2168</f>
        <v>0</v>
      </c>
      <c r="O2168" s="83">
        <f>$L$2168-EFEITO!$O$2168*EFEITO!$AA$2168</f>
        <v>0</v>
      </c>
      <c r="P2168" s="61"/>
      <c r="Q2168" s="61"/>
      <c r="R2168" s="61"/>
      <c r="S2168" s="61"/>
      <c r="T2168" s="61"/>
      <c r="U2168" s="61"/>
      <c r="V2168" s="61"/>
      <c r="W2168" s="61"/>
      <c r="X2168" s="6"/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</row>
    <row r="2169" spans="1:36" ht="11.25" customHeight="1" x14ac:dyDescent="0.2">
      <c r="A2169" s="57" t="s">
        <v>21</v>
      </c>
      <c r="B2169" s="57" t="s">
        <v>41</v>
      </c>
      <c r="C2169" s="57" t="s">
        <v>39</v>
      </c>
      <c r="D2169" s="57" t="s">
        <v>45</v>
      </c>
      <c r="E2169" s="57" t="s">
        <v>25</v>
      </c>
      <c r="F2169" s="57" t="s">
        <v>25</v>
      </c>
      <c r="G2169" s="57" t="s">
        <v>25</v>
      </c>
      <c r="H2169" s="57" t="s">
        <v>37</v>
      </c>
      <c r="I2169" s="82">
        <v>44409</v>
      </c>
      <c r="J2169" s="83">
        <f>EFEITO!$J$2169*EFEITO!$Y$2169</f>
        <v>0</v>
      </c>
      <c r="K2169" s="83">
        <f ca="1">EFEITO!$L$2169*EFEITO!$Z$2169</f>
        <v>17644.044033862207</v>
      </c>
      <c r="L2169" s="83">
        <f>EFEITO!$N$2169*EFEITO!$AA$2169</f>
        <v>6559.1415351823771</v>
      </c>
      <c r="M2169" s="83">
        <f>$J$2169-EFEITO!$K$2169*EFEITO!$Y$2169</f>
        <v>0</v>
      </c>
      <c r="N2169" s="83">
        <f ca="1">$K$2169-EFEITO!$M$2169*EFEITO!$Z$2169</f>
        <v>0</v>
      </c>
      <c r="O2169" s="83">
        <f>$L$2169-EFEITO!$O$2169*EFEITO!$AA$2169</f>
        <v>0</v>
      </c>
      <c r="P2169" s="61"/>
      <c r="Q2169" s="61"/>
      <c r="R2169" s="61"/>
      <c r="S2169" s="61"/>
      <c r="T2169" s="61"/>
      <c r="U2169" s="61"/>
      <c r="V2169" s="61"/>
      <c r="W2169" s="61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/>
      <c r="AJ2169" s="6"/>
    </row>
    <row r="2170" spans="1:36" ht="11.25" customHeight="1" x14ac:dyDescent="0.2">
      <c r="A2170" s="57" t="s">
        <v>28</v>
      </c>
      <c r="B2170" s="57" t="s">
        <v>41</v>
      </c>
      <c r="C2170" s="57" t="s">
        <v>39</v>
      </c>
      <c r="D2170" s="57" t="s">
        <v>45</v>
      </c>
      <c r="E2170" s="57" t="s">
        <v>25</v>
      </c>
      <c r="F2170" s="57" t="s">
        <v>25</v>
      </c>
      <c r="G2170" s="57" t="s">
        <v>25</v>
      </c>
      <c r="H2170" s="57" t="s">
        <v>37</v>
      </c>
      <c r="I2170" s="82">
        <v>44409</v>
      </c>
      <c r="J2170" s="83">
        <f>EFEITO!$J$2170*EFEITO!$Y$2170</f>
        <v>0</v>
      </c>
      <c r="K2170" s="83">
        <f ca="1">EFEITO!$L$2170*EFEITO!$Z$2170</f>
        <v>6283.0248928507026</v>
      </c>
      <c r="L2170" s="83">
        <f>EFEITO!$N$2170*EFEITO!$AA$2170</f>
        <v>2335.7031677199279</v>
      </c>
      <c r="M2170" s="83">
        <f>$J$2170-EFEITO!$K$2170*EFEITO!$Y$2170</f>
        <v>0</v>
      </c>
      <c r="N2170" s="83">
        <f ca="1">$K$2170-EFEITO!$M$2170*EFEITO!$Z$2170</f>
        <v>0</v>
      </c>
      <c r="O2170" s="83">
        <f>$L$2170-EFEITO!$O$2170*EFEITO!$AA$2170</f>
        <v>0</v>
      </c>
      <c r="P2170" s="61"/>
      <c r="Q2170" s="61"/>
      <c r="R2170" s="61"/>
      <c r="S2170" s="61"/>
      <c r="T2170" s="61"/>
      <c r="U2170" s="61"/>
      <c r="V2170" s="61"/>
      <c r="W2170" s="61"/>
      <c r="X2170" s="6"/>
      <c r="Y2170" s="6"/>
      <c r="Z2170" s="6"/>
      <c r="AA2170" s="6"/>
      <c r="AB2170" s="6"/>
      <c r="AC2170" s="6"/>
      <c r="AD2170" s="6"/>
      <c r="AE2170" s="6"/>
      <c r="AF2170" s="6"/>
      <c r="AG2170" s="6"/>
      <c r="AH2170" s="6"/>
      <c r="AI2170" s="6"/>
      <c r="AJ2170" s="6"/>
    </row>
    <row r="2171" spans="1:36" ht="11.25" customHeight="1" x14ac:dyDescent="0.2">
      <c r="A2171" s="57" t="s">
        <v>21</v>
      </c>
      <c r="B2171" s="57" t="s">
        <v>41</v>
      </c>
      <c r="C2171" s="57" t="s">
        <v>39</v>
      </c>
      <c r="D2171" s="57" t="s">
        <v>45</v>
      </c>
      <c r="E2171" s="57" t="s">
        <v>25</v>
      </c>
      <c r="F2171" s="57" t="s">
        <v>25</v>
      </c>
      <c r="G2171" s="57" t="s">
        <v>25</v>
      </c>
      <c r="H2171" s="57" t="s">
        <v>37</v>
      </c>
      <c r="I2171" s="82">
        <v>44440</v>
      </c>
      <c r="J2171" s="83">
        <f>EFEITO!$J$2171*EFEITO!$Y$2171</f>
        <v>0</v>
      </c>
      <c r="K2171" s="83">
        <f ca="1">EFEITO!$L$2171*EFEITO!$Z$2171</f>
        <v>4531.6973940265334</v>
      </c>
      <c r="L2171" s="83">
        <f>EFEITO!$N$2171*EFEITO!$AA$2171</f>
        <v>1684.6503298785244</v>
      </c>
      <c r="M2171" s="83">
        <f>$J$2171-EFEITO!$K$2171*EFEITO!$Y$2171</f>
        <v>0</v>
      </c>
      <c r="N2171" s="83">
        <f ca="1">$K$2171-EFEITO!$M$2171*EFEITO!$Z$2171</f>
        <v>0</v>
      </c>
      <c r="O2171" s="83">
        <f>$L$2171-EFEITO!$O$2171*EFEITO!$AA$2171</f>
        <v>0</v>
      </c>
      <c r="P2171" s="61"/>
      <c r="Q2171" s="61"/>
      <c r="R2171" s="61"/>
      <c r="S2171" s="61"/>
      <c r="T2171" s="61"/>
      <c r="U2171" s="61"/>
      <c r="V2171" s="61"/>
      <c r="W2171" s="61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/>
      <c r="AJ2171" s="6"/>
    </row>
    <row r="2172" spans="1:36" ht="11.25" customHeight="1" x14ac:dyDescent="0.2">
      <c r="A2172" s="57" t="s">
        <v>27</v>
      </c>
      <c r="B2172" s="57" t="s">
        <v>41</v>
      </c>
      <c r="C2172" s="57" t="s">
        <v>39</v>
      </c>
      <c r="D2172" s="57" t="s">
        <v>45</v>
      </c>
      <c r="E2172" s="57" t="s">
        <v>25</v>
      </c>
      <c r="F2172" s="57" t="s">
        <v>25</v>
      </c>
      <c r="G2172" s="57" t="s">
        <v>25</v>
      </c>
      <c r="H2172" s="57" t="s">
        <v>37</v>
      </c>
      <c r="I2172" s="82">
        <v>44440</v>
      </c>
      <c r="J2172" s="83">
        <f>EFEITO!$J$2172*EFEITO!$Y$2172</f>
        <v>0</v>
      </c>
      <c r="K2172" s="83">
        <f ca="1">EFEITO!$L$2172*EFEITO!$Z$2172</f>
        <v>-371.53074643583227</v>
      </c>
      <c r="L2172" s="83">
        <f>EFEITO!$N$2172*EFEITO!$AA$2172</f>
        <v>-138.11588465023499</v>
      </c>
      <c r="M2172" s="83">
        <f>$J$2172-EFEITO!$K$2172*EFEITO!$Y$2172</f>
        <v>0</v>
      </c>
      <c r="N2172" s="83">
        <f ca="1">$K$2172-EFEITO!$M$2172*EFEITO!$Z$2172</f>
        <v>0</v>
      </c>
      <c r="O2172" s="83">
        <f>$L$2172-EFEITO!$O$2172*EFEITO!$AA$2172</f>
        <v>0</v>
      </c>
      <c r="P2172" s="61"/>
      <c r="Q2172" s="61"/>
      <c r="R2172" s="61"/>
      <c r="S2172" s="61"/>
      <c r="T2172" s="61"/>
      <c r="U2172" s="61"/>
      <c r="V2172" s="61"/>
      <c r="W2172" s="61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/>
      <c r="AJ2172" s="6"/>
    </row>
    <row r="2173" spans="1:36" ht="11.25" customHeight="1" x14ac:dyDescent="0.2">
      <c r="A2173" s="57" t="s">
        <v>28</v>
      </c>
      <c r="B2173" s="57" t="s">
        <v>41</v>
      </c>
      <c r="C2173" s="57" t="s">
        <v>39</v>
      </c>
      <c r="D2173" s="57" t="s">
        <v>45</v>
      </c>
      <c r="E2173" s="57" t="s">
        <v>25</v>
      </c>
      <c r="F2173" s="57" t="s">
        <v>25</v>
      </c>
      <c r="G2173" s="57" t="s">
        <v>25</v>
      </c>
      <c r="H2173" s="57" t="s">
        <v>37</v>
      </c>
      <c r="I2173" s="82">
        <v>44440</v>
      </c>
      <c r="J2173" s="83">
        <f>EFEITO!$J$2173*EFEITO!$Y$2173</f>
        <v>0</v>
      </c>
      <c r="K2173" s="83">
        <f ca="1">EFEITO!$L$2173*EFEITO!$Z$2173</f>
        <v>13414.215371314787</v>
      </c>
      <c r="L2173" s="83">
        <f>EFEITO!$N$2173*EFEITO!$AA$2173</f>
        <v>4986.7103615821688</v>
      </c>
      <c r="M2173" s="83">
        <f>$J$2173-EFEITO!$K$2173*EFEITO!$Y$2173</f>
        <v>0</v>
      </c>
      <c r="N2173" s="83">
        <f ca="1">$K$2173-EFEITO!$M$2173*EFEITO!$Z$2173</f>
        <v>0</v>
      </c>
      <c r="O2173" s="83">
        <f>$L$2173-EFEITO!$O$2173*EFEITO!$AA$2173</f>
        <v>0</v>
      </c>
      <c r="P2173" s="61"/>
      <c r="Q2173" s="61"/>
      <c r="R2173" s="61"/>
      <c r="S2173" s="61"/>
      <c r="T2173" s="61"/>
      <c r="U2173" s="61"/>
      <c r="V2173" s="61"/>
      <c r="W2173" s="61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</row>
    <row r="2174" spans="1:36" ht="11.25" customHeight="1" x14ac:dyDescent="0.2">
      <c r="A2174" s="57" t="s">
        <v>30</v>
      </c>
      <c r="B2174" s="57" t="s">
        <v>41</v>
      </c>
      <c r="C2174" s="57" t="s">
        <v>39</v>
      </c>
      <c r="D2174" s="57" t="s">
        <v>45</v>
      </c>
      <c r="E2174" s="57" t="s">
        <v>25</v>
      </c>
      <c r="F2174" s="57" t="s">
        <v>25</v>
      </c>
      <c r="G2174" s="57" t="s">
        <v>25</v>
      </c>
      <c r="H2174" s="57" t="s">
        <v>37</v>
      </c>
      <c r="I2174" s="82">
        <v>44440</v>
      </c>
      <c r="J2174" s="83">
        <f>EFEITO!$J$2174*EFEITO!$Y$2174</f>
        <v>0</v>
      </c>
      <c r="K2174" s="83">
        <f ca="1">EFEITO!$L$2174*EFEITO!$Z$2174</f>
        <v>723.50724305925223</v>
      </c>
      <c r="L2174" s="83">
        <f>EFEITO!$N$2174*EFEITO!$AA$2174</f>
        <v>268.96251221361553</v>
      </c>
      <c r="M2174" s="83">
        <f>$J$2174-EFEITO!$K$2174*EFEITO!$Y$2174</f>
        <v>0</v>
      </c>
      <c r="N2174" s="83">
        <f ca="1">$K$2174-EFEITO!$M$2174*EFEITO!$Z$2174</f>
        <v>0</v>
      </c>
      <c r="O2174" s="83">
        <f>$L$2174-EFEITO!$O$2174*EFEITO!$AA$2174</f>
        <v>0</v>
      </c>
      <c r="P2174" s="61"/>
      <c r="Q2174" s="61"/>
      <c r="R2174" s="61"/>
      <c r="S2174" s="61"/>
      <c r="T2174" s="61"/>
      <c r="U2174" s="61"/>
      <c r="V2174" s="61"/>
      <c r="W2174" s="61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</row>
    <row r="2175" spans="1:36" ht="11.25" customHeight="1" x14ac:dyDescent="0.2">
      <c r="A2175" s="57" t="s">
        <v>59</v>
      </c>
      <c r="B2175" s="57" t="s">
        <v>41</v>
      </c>
      <c r="C2175" s="57" t="s">
        <v>39</v>
      </c>
      <c r="D2175" s="57" t="s">
        <v>45</v>
      </c>
      <c r="E2175" s="57" t="s">
        <v>25</v>
      </c>
      <c r="F2175" s="57" t="s">
        <v>25</v>
      </c>
      <c r="G2175" s="57" t="s">
        <v>25</v>
      </c>
      <c r="H2175" s="57" t="s">
        <v>37</v>
      </c>
      <c r="I2175" s="82">
        <v>44470</v>
      </c>
      <c r="J2175" s="83">
        <f>EFEITO!$J$2175*EFEITO!$Y$2175</f>
        <v>0</v>
      </c>
      <c r="K2175" s="83">
        <f ca="1">EFEITO!$L$2175*EFEITO!$Z$2175</f>
        <v>4531.6973940265334</v>
      </c>
      <c r="L2175" s="83">
        <f>EFEITO!$N$2175*EFEITO!$AA$2175</f>
        <v>1684.6503298785244</v>
      </c>
      <c r="M2175" s="83">
        <f>$J$2175-EFEITO!$K$2175*EFEITO!$Y$2175</f>
        <v>0</v>
      </c>
      <c r="N2175" s="83">
        <f ca="1">$K$2175-EFEITO!$M$2175*EFEITO!$Z$2175</f>
        <v>0</v>
      </c>
      <c r="O2175" s="83">
        <f>$L$2175-EFEITO!$O$2175*EFEITO!$AA$2175</f>
        <v>0</v>
      </c>
      <c r="P2175" s="61"/>
      <c r="Q2175" s="61"/>
      <c r="R2175" s="61"/>
      <c r="S2175" s="61"/>
      <c r="T2175" s="61"/>
      <c r="U2175" s="61"/>
      <c r="V2175" s="61"/>
      <c r="W2175" s="61"/>
      <c r="X2175" s="6"/>
      <c r="Y2175" s="6"/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</row>
    <row r="2176" spans="1:36" ht="11.25" customHeight="1" x14ac:dyDescent="0.2">
      <c r="A2176" s="57" t="s">
        <v>59</v>
      </c>
      <c r="B2176" s="57" t="s">
        <v>41</v>
      </c>
      <c r="C2176" s="57" t="s">
        <v>39</v>
      </c>
      <c r="D2176" s="57" t="s">
        <v>45</v>
      </c>
      <c r="E2176" s="57" t="s">
        <v>25</v>
      </c>
      <c r="F2176" s="57" t="s">
        <v>25</v>
      </c>
      <c r="G2176" s="57" t="s">
        <v>25</v>
      </c>
      <c r="H2176" s="57" t="s">
        <v>37</v>
      </c>
      <c r="I2176" s="82">
        <v>44470</v>
      </c>
      <c r="J2176" s="83">
        <f>EFEITO!$J$2176*EFEITO!$Y$2176</f>
        <v>0</v>
      </c>
      <c r="K2176" s="83">
        <f ca="1">EFEITO!$L$2176*EFEITO!$Z$2176</f>
        <v>-371.53074643583227</v>
      </c>
      <c r="L2176" s="83">
        <f>EFEITO!$N$2176*EFEITO!$AA$2176</f>
        <v>-138.11588465023499</v>
      </c>
      <c r="M2176" s="83">
        <f>$J$2176-EFEITO!$K$2176*EFEITO!$Y$2176</f>
        <v>0</v>
      </c>
      <c r="N2176" s="83">
        <f ca="1">$K$2176-EFEITO!$M$2176*EFEITO!$Z$2176</f>
        <v>0</v>
      </c>
      <c r="O2176" s="83">
        <f>$L$2176-EFEITO!$O$2176*EFEITO!$AA$2176</f>
        <v>0</v>
      </c>
      <c r="P2176" s="61"/>
      <c r="Q2176" s="61"/>
      <c r="R2176" s="61"/>
      <c r="S2176" s="61"/>
      <c r="T2176" s="61"/>
      <c r="U2176" s="61"/>
      <c r="V2176" s="61"/>
      <c r="W2176" s="61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</row>
    <row r="2177" spans="1:36" ht="11.25" customHeight="1" x14ac:dyDescent="0.2">
      <c r="A2177" s="57" t="s">
        <v>59</v>
      </c>
      <c r="B2177" s="57" t="s">
        <v>41</v>
      </c>
      <c r="C2177" s="57" t="s">
        <v>39</v>
      </c>
      <c r="D2177" s="57" t="s">
        <v>45</v>
      </c>
      <c r="E2177" s="57" t="s">
        <v>25</v>
      </c>
      <c r="F2177" s="57" t="s">
        <v>25</v>
      </c>
      <c r="G2177" s="57" t="s">
        <v>25</v>
      </c>
      <c r="H2177" s="57" t="s">
        <v>37</v>
      </c>
      <c r="I2177" s="82">
        <v>44470</v>
      </c>
      <c r="J2177" s="83">
        <f>EFEITO!$J$2177*EFEITO!$Y$2177</f>
        <v>0</v>
      </c>
      <c r="K2177" s="83">
        <f ca="1">EFEITO!$L$2177*EFEITO!$Z$2177</f>
        <v>13414.215371314787</v>
      </c>
      <c r="L2177" s="83">
        <f>EFEITO!$N$2177*EFEITO!$AA$2177</f>
        <v>4986.7103615821688</v>
      </c>
      <c r="M2177" s="83">
        <f>$J$2177-EFEITO!$K$2177*EFEITO!$Y$2177</f>
        <v>0</v>
      </c>
      <c r="N2177" s="83">
        <f ca="1">$K$2177-EFEITO!$M$2177*EFEITO!$Z$2177</f>
        <v>0</v>
      </c>
      <c r="O2177" s="83">
        <f>$L$2177-EFEITO!$O$2177*EFEITO!$AA$2177</f>
        <v>0</v>
      </c>
      <c r="P2177" s="61"/>
      <c r="Q2177" s="61"/>
      <c r="R2177" s="61"/>
      <c r="S2177" s="61"/>
      <c r="T2177" s="61"/>
      <c r="U2177" s="61"/>
      <c r="V2177" s="61"/>
      <c r="W2177" s="61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</row>
    <row r="2178" spans="1:36" ht="11.25" customHeight="1" x14ac:dyDescent="0.2">
      <c r="A2178" s="57" t="s">
        <v>59</v>
      </c>
      <c r="B2178" s="57" t="s">
        <v>41</v>
      </c>
      <c r="C2178" s="57" t="s">
        <v>39</v>
      </c>
      <c r="D2178" s="57" t="s">
        <v>45</v>
      </c>
      <c r="E2178" s="57" t="s">
        <v>25</v>
      </c>
      <c r="F2178" s="57" t="s">
        <v>25</v>
      </c>
      <c r="G2178" s="57" t="s">
        <v>25</v>
      </c>
      <c r="H2178" s="57" t="s">
        <v>37</v>
      </c>
      <c r="I2178" s="82">
        <v>44470</v>
      </c>
      <c r="J2178" s="83">
        <f>EFEITO!$J$2178*EFEITO!$Y$2178</f>
        <v>0</v>
      </c>
      <c r="K2178" s="83">
        <f ca="1">EFEITO!$L$2178*EFEITO!$Z$2178</f>
        <v>723.50724305925223</v>
      </c>
      <c r="L2178" s="83">
        <f>EFEITO!$N$2178*EFEITO!$AA$2178</f>
        <v>268.96251221361553</v>
      </c>
      <c r="M2178" s="83">
        <f>$J$2178-EFEITO!$K$2178*EFEITO!$Y$2178</f>
        <v>0</v>
      </c>
      <c r="N2178" s="83">
        <f ca="1">$K$2178-EFEITO!$M$2178*EFEITO!$Z$2178</f>
        <v>0</v>
      </c>
      <c r="O2178" s="83">
        <f>$L$2178-EFEITO!$O$2178*EFEITO!$AA$2178</f>
        <v>0</v>
      </c>
      <c r="P2178" s="61"/>
      <c r="Q2178" s="61"/>
      <c r="R2178" s="61"/>
      <c r="S2178" s="61"/>
      <c r="T2178" s="61"/>
      <c r="U2178" s="61"/>
      <c r="V2178" s="61"/>
      <c r="W2178" s="61"/>
      <c r="X2178" s="6"/>
      <c r="Y2178" s="6"/>
      <c r="Z2178" s="6"/>
      <c r="AA2178" s="6"/>
      <c r="AB2178" s="6"/>
      <c r="AC2178" s="6"/>
      <c r="AD2178" s="6"/>
      <c r="AE2178" s="6"/>
      <c r="AF2178" s="6"/>
      <c r="AG2178" s="6"/>
      <c r="AH2178" s="6"/>
      <c r="AI2178" s="6"/>
      <c r="AJ2178" s="6"/>
    </row>
    <row r="2179" spans="1:36" ht="11.25" customHeight="1" x14ac:dyDescent="0.2">
      <c r="A2179" s="57" t="s">
        <v>21</v>
      </c>
      <c r="B2179" s="57" t="s">
        <v>41</v>
      </c>
      <c r="C2179" s="57" t="s">
        <v>39</v>
      </c>
      <c r="D2179" s="57" t="s">
        <v>42</v>
      </c>
      <c r="E2179" s="57" t="s">
        <v>25</v>
      </c>
      <c r="F2179" s="57" t="s">
        <v>25</v>
      </c>
      <c r="G2179" s="57" t="s">
        <v>25</v>
      </c>
      <c r="H2179" s="57" t="s">
        <v>38</v>
      </c>
      <c r="I2179" s="82">
        <v>44136</v>
      </c>
      <c r="J2179" s="83">
        <f>EFEITO!$J$2179*EFEITO!$Y$2179</f>
        <v>0</v>
      </c>
      <c r="K2179" s="83">
        <f ca="1">EFEITO!$L$2179*EFEITO!$Z$2179</f>
        <v>3041.3860124856624</v>
      </c>
      <c r="L2179" s="83">
        <f>EFEITO!$N$2179*EFEITO!$AA$2179</f>
        <v>2003.6210247959507</v>
      </c>
      <c r="M2179" s="83">
        <f>$J$2179-EFEITO!$K$2179*EFEITO!$Y$2179</f>
        <v>0</v>
      </c>
      <c r="N2179" s="83">
        <f ca="1">$K$2179-EFEITO!$M$2179*EFEITO!$Z$2179</f>
        <v>0</v>
      </c>
      <c r="O2179" s="83">
        <f>$L$2179-EFEITO!$O$2179*EFEITO!$AA$2179</f>
        <v>0</v>
      </c>
      <c r="P2179" s="61"/>
      <c r="Q2179" s="61"/>
      <c r="R2179" s="61"/>
      <c r="S2179" s="61"/>
      <c r="T2179" s="61"/>
      <c r="U2179" s="61"/>
      <c r="V2179" s="61"/>
      <c r="W2179" s="61"/>
      <c r="X2179" s="6"/>
      <c r="Y2179" s="6"/>
      <c r="Z2179" s="6"/>
      <c r="AA2179" s="6"/>
      <c r="AB2179" s="6"/>
      <c r="AC2179" s="6"/>
      <c r="AD2179" s="6"/>
      <c r="AE2179" s="6"/>
      <c r="AF2179" s="6"/>
      <c r="AG2179" s="6"/>
      <c r="AH2179" s="6"/>
      <c r="AI2179" s="6"/>
      <c r="AJ2179" s="6"/>
    </row>
    <row r="2180" spans="1:36" ht="11.25" customHeight="1" x14ac:dyDescent="0.2">
      <c r="A2180" s="57" t="s">
        <v>21</v>
      </c>
      <c r="B2180" s="57" t="s">
        <v>41</v>
      </c>
      <c r="C2180" s="57" t="s">
        <v>39</v>
      </c>
      <c r="D2180" s="57" t="s">
        <v>42</v>
      </c>
      <c r="E2180" s="57" t="s">
        <v>25</v>
      </c>
      <c r="F2180" s="57" t="s">
        <v>25</v>
      </c>
      <c r="G2180" s="57" t="s">
        <v>25</v>
      </c>
      <c r="H2180" s="57" t="s">
        <v>38</v>
      </c>
      <c r="I2180" s="82">
        <v>44166</v>
      </c>
      <c r="J2180" s="83">
        <f>EFEITO!$J$2180*EFEITO!$Y$2180</f>
        <v>0</v>
      </c>
      <c r="K2180" s="83">
        <f ca="1">EFEITO!$L$2180*EFEITO!$Z$2180</f>
        <v>3162.9212061503677</v>
      </c>
      <c r="L2180" s="83">
        <f>EFEITO!$N$2180*EFEITO!$AA$2180</f>
        <v>2083.6866489158679</v>
      </c>
      <c r="M2180" s="83">
        <f>$J$2180-EFEITO!$K$2180*EFEITO!$Y$2180</f>
        <v>0</v>
      </c>
      <c r="N2180" s="83">
        <f ca="1">$K$2180-EFEITO!$M$2180*EFEITO!$Z$2180</f>
        <v>0</v>
      </c>
      <c r="O2180" s="83">
        <f>$L$2180-EFEITO!$O$2180*EFEITO!$AA$2180</f>
        <v>0</v>
      </c>
      <c r="P2180" s="61"/>
      <c r="Q2180" s="61"/>
      <c r="R2180" s="61"/>
      <c r="S2180" s="61"/>
      <c r="T2180" s="61"/>
      <c r="U2180" s="61"/>
      <c r="V2180" s="61"/>
      <c r="W2180" s="61"/>
      <c r="X2180" s="6"/>
      <c r="Y2180" s="6"/>
      <c r="Z2180" s="6"/>
      <c r="AA2180" s="6"/>
      <c r="AB2180" s="6"/>
      <c r="AC2180" s="6"/>
      <c r="AD2180" s="6"/>
      <c r="AE2180" s="6"/>
      <c r="AF2180" s="6"/>
      <c r="AG2180" s="6"/>
      <c r="AH2180" s="6"/>
      <c r="AI2180" s="6"/>
      <c r="AJ2180" s="6"/>
    </row>
    <row r="2181" spans="1:36" ht="11.25" customHeight="1" x14ac:dyDescent="0.2">
      <c r="A2181" s="57" t="s">
        <v>21</v>
      </c>
      <c r="B2181" s="57" t="s">
        <v>41</v>
      </c>
      <c r="C2181" s="57" t="s">
        <v>39</v>
      </c>
      <c r="D2181" s="57" t="s">
        <v>42</v>
      </c>
      <c r="E2181" s="57" t="s">
        <v>25</v>
      </c>
      <c r="F2181" s="57" t="s">
        <v>25</v>
      </c>
      <c r="G2181" s="57" t="s">
        <v>25</v>
      </c>
      <c r="H2181" s="57" t="s">
        <v>38</v>
      </c>
      <c r="I2181" s="82">
        <v>44197</v>
      </c>
      <c r="J2181" s="83">
        <f>EFEITO!$J$2181*EFEITO!$Y$2181</f>
        <v>0</v>
      </c>
      <c r="K2181" s="83">
        <f ca="1">EFEITO!$L$2181*EFEITO!$Z$2181</f>
        <v>4261.0324789441884</v>
      </c>
      <c r="L2181" s="83">
        <f>EFEITO!$N$2181*EFEITO!$AA$2181</f>
        <v>2807.1064399922939</v>
      </c>
      <c r="M2181" s="83">
        <f>$J$2181-EFEITO!$K$2181*EFEITO!$Y$2181</f>
        <v>0</v>
      </c>
      <c r="N2181" s="83">
        <f ca="1">$K$2181-EFEITO!$M$2181*EFEITO!$Z$2181</f>
        <v>0</v>
      </c>
      <c r="O2181" s="83">
        <f>$L$2181-EFEITO!$O$2181*EFEITO!$AA$2181</f>
        <v>0</v>
      </c>
      <c r="P2181" s="61"/>
      <c r="Q2181" s="61"/>
      <c r="R2181" s="61"/>
      <c r="S2181" s="61"/>
      <c r="T2181" s="61"/>
      <c r="U2181" s="61"/>
      <c r="V2181" s="61"/>
      <c r="W2181" s="61"/>
      <c r="X2181" s="6"/>
      <c r="Y2181" s="6"/>
      <c r="Z2181" s="6"/>
      <c r="AA2181" s="6"/>
      <c r="AB2181" s="6"/>
      <c r="AC2181" s="6"/>
      <c r="AD2181" s="6"/>
      <c r="AE2181" s="6"/>
      <c r="AF2181" s="6"/>
      <c r="AG2181" s="6"/>
      <c r="AH2181" s="6"/>
      <c r="AI2181" s="6"/>
      <c r="AJ2181" s="6"/>
    </row>
    <row r="2182" spans="1:36" ht="11.25" customHeight="1" x14ac:dyDescent="0.2">
      <c r="A2182" s="57" t="s">
        <v>21</v>
      </c>
      <c r="B2182" s="57" t="s">
        <v>41</v>
      </c>
      <c r="C2182" s="57" t="s">
        <v>39</v>
      </c>
      <c r="D2182" s="57" t="s">
        <v>42</v>
      </c>
      <c r="E2182" s="57" t="s">
        <v>25</v>
      </c>
      <c r="F2182" s="57" t="s">
        <v>25</v>
      </c>
      <c r="G2182" s="57" t="s">
        <v>25</v>
      </c>
      <c r="H2182" s="57" t="s">
        <v>38</v>
      </c>
      <c r="I2182" s="82">
        <v>44228</v>
      </c>
      <c r="J2182" s="83">
        <f>EFEITO!$J$2182*EFEITO!$Y$2182</f>
        <v>0</v>
      </c>
      <c r="K2182" s="83">
        <f ca="1">EFEITO!$L$2182*EFEITO!$Z$2182</f>
        <v>2987.2749368610939</v>
      </c>
      <c r="L2182" s="83">
        <f>EFEITO!$N$2182*EFEITO!$AA$2182</f>
        <v>1967.9734324316062</v>
      </c>
      <c r="M2182" s="83">
        <f>$J$2182-EFEITO!$K$2182*EFEITO!$Y$2182</f>
        <v>0</v>
      </c>
      <c r="N2182" s="83">
        <f ca="1">$K$2182-EFEITO!$M$2182*EFEITO!$Z$2182</f>
        <v>0</v>
      </c>
      <c r="O2182" s="83">
        <f>$L$2182-EFEITO!$O$2182*EFEITO!$AA$2182</f>
        <v>0</v>
      </c>
      <c r="P2182" s="61"/>
      <c r="Q2182" s="61"/>
      <c r="R2182" s="61"/>
      <c r="S2182" s="61"/>
      <c r="T2182" s="61"/>
      <c r="U2182" s="61"/>
      <c r="V2182" s="61"/>
      <c r="W2182" s="61"/>
      <c r="X2182" s="6"/>
      <c r="Y2182" s="6"/>
      <c r="Z2182" s="6"/>
      <c r="AA2182" s="6"/>
      <c r="AB2182" s="6"/>
      <c r="AC2182" s="6"/>
      <c r="AD2182" s="6"/>
      <c r="AE2182" s="6"/>
      <c r="AF2182" s="6"/>
      <c r="AG2182" s="6"/>
      <c r="AH2182" s="6"/>
      <c r="AI2182" s="6"/>
      <c r="AJ2182" s="6"/>
    </row>
    <row r="2183" spans="1:36" ht="11.25" customHeight="1" x14ac:dyDescent="0.2">
      <c r="A2183" s="57" t="s">
        <v>21</v>
      </c>
      <c r="B2183" s="57" t="s">
        <v>41</v>
      </c>
      <c r="C2183" s="57" t="s">
        <v>39</v>
      </c>
      <c r="D2183" s="57" t="s">
        <v>42</v>
      </c>
      <c r="E2183" s="57" t="s">
        <v>25</v>
      </c>
      <c r="F2183" s="57" t="s">
        <v>25</v>
      </c>
      <c r="G2183" s="57" t="s">
        <v>25</v>
      </c>
      <c r="H2183" s="57" t="s">
        <v>38</v>
      </c>
      <c r="I2183" s="82">
        <v>44256</v>
      </c>
      <c r="J2183" s="83">
        <f>EFEITO!$J$2183*EFEITO!$Y$2183</f>
        <v>0</v>
      </c>
      <c r="K2183" s="83">
        <f ca="1">EFEITO!$L$2183*EFEITO!$Z$2183</f>
        <v>3695.4429027731044</v>
      </c>
      <c r="L2183" s="83">
        <f>EFEITO!$N$2183*EFEITO!$AA$2183</f>
        <v>2434.5042245649756</v>
      </c>
      <c r="M2183" s="83">
        <f>$J$2183-EFEITO!$K$2183*EFEITO!$Y$2183</f>
        <v>0</v>
      </c>
      <c r="N2183" s="83">
        <f ca="1">$K$2183-EFEITO!$M$2183*EFEITO!$Z$2183</f>
        <v>0</v>
      </c>
      <c r="O2183" s="83">
        <f>$L$2183-EFEITO!$O$2183*EFEITO!$AA$2183</f>
        <v>0</v>
      </c>
      <c r="P2183" s="61"/>
      <c r="Q2183" s="61"/>
      <c r="R2183" s="61"/>
      <c r="S2183" s="61"/>
      <c r="T2183" s="61"/>
      <c r="U2183" s="61"/>
      <c r="V2183" s="61"/>
      <c r="W2183" s="61"/>
      <c r="X2183" s="6"/>
      <c r="Y2183" s="6"/>
      <c r="Z2183" s="6"/>
      <c r="AA2183" s="6"/>
      <c r="AB2183" s="6"/>
      <c r="AC2183" s="6"/>
      <c r="AD2183" s="6"/>
      <c r="AE2183" s="6"/>
      <c r="AF2183" s="6"/>
      <c r="AG2183" s="6"/>
      <c r="AH2183" s="6"/>
      <c r="AI2183" s="6"/>
      <c r="AJ2183" s="6"/>
    </row>
    <row r="2184" spans="1:36" ht="11.25" customHeight="1" x14ac:dyDescent="0.2">
      <c r="A2184" s="57" t="s">
        <v>21</v>
      </c>
      <c r="B2184" s="57" t="s">
        <v>41</v>
      </c>
      <c r="C2184" s="57" t="s">
        <v>39</v>
      </c>
      <c r="D2184" s="57" t="s">
        <v>42</v>
      </c>
      <c r="E2184" s="57" t="s">
        <v>25</v>
      </c>
      <c r="F2184" s="57" t="s">
        <v>25</v>
      </c>
      <c r="G2184" s="57" t="s">
        <v>25</v>
      </c>
      <c r="H2184" s="57" t="s">
        <v>38</v>
      </c>
      <c r="I2184" s="82">
        <v>44287</v>
      </c>
      <c r="J2184" s="83">
        <f>EFEITO!$J$2184*EFEITO!$Y$2184</f>
        <v>0</v>
      </c>
      <c r="K2184" s="83">
        <f ca="1">EFEITO!$L$2184*EFEITO!$Z$2184</f>
        <v>4017.9620916147778</v>
      </c>
      <c r="L2184" s="83">
        <f>EFEITO!$N$2184*EFEITO!$AA$2184</f>
        <v>2646.9751917524591</v>
      </c>
      <c r="M2184" s="83">
        <f>$J$2184-EFEITO!$K$2184*EFEITO!$Y$2184</f>
        <v>0</v>
      </c>
      <c r="N2184" s="83">
        <f ca="1">$K$2184-EFEITO!$M$2184*EFEITO!$Z$2184</f>
        <v>0</v>
      </c>
      <c r="O2184" s="83">
        <f>$L$2184-EFEITO!$O$2184*EFEITO!$AA$2184</f>
        <v>0</v>
      </c>
      <c r="P2184" s="61"/>
      <c r="Q2184" s="61"/>
      <c r="R2184" s="61"/>
      <c r="S2184" s="61"/>
      <c r="T2184" s="61"/>
      <c r="U2184" s="61"/>
      <c r="V2184" s="61"/>
      <c r="W2184" s="61"/>
      <c r="X2184" s="6"/>
      <c r="Y2184" s="6"/>
      <c r="Z2184" s="6"/>
      <c r="AA2184" s="6"/>
      <c r="AB2184" s="6"/>
      <c r="AC2184" s="6"/>
      <c r="AD2184" s="6"/>
      <c r="AE2184" s="6"/>
      <c r="AF2184" s="6"/>
      <c r="AG2184" s="6"/>
      <c r="AH2184" s="6"/>
      <c r="AI2184" s="6"/>
      <c r="AJ2184" s="6"/>
    </row>
    <row r="2185" spans="1:36" ht="11.25" customHeight="1" x14ac:dyDescent="0.2">
      <c r="A2185" s="57" t="s">
        <v>21</v>
      </c>
      <c r="B2185" s="57" t="s">
        <v>41</v>
      </c>
      <c r="C2185" s="57" t="s">
        <v>39</v>
      </c>
      <c r="D2185" s="57" t="s">
        <v>42</v>
      </c>
      <c r="E2185" s="57" t="s">
        <v>25</v>
      </c>
      <c r="F2185" s="57" t="s">
        <v>25</v>
      </c>
      <c r="G2185" s="57" t="s">
        <v>25</v>
      </c>
      <c r="H2185" s="57" t="s">
        <v>38</v>
      </c>
      <c r="I2185" s="82">
        <v>44317</v>
      </c>
      <c r="J2185" s="83">
        <f>EFEITO!$J$2185*EFEITO!$Y$2185</f>
        <v>0</v>
      </c>
      <c r="K2185" s="83">
        <f ca="1">EFEITO!$L$2185*EFEITO!$Z$2185</f>
        <v>4057.4717658803356</v>
      </c>
      <c r="L2185" s="83">
        <f>EFEITO!$N$2185*EFEITO!$AA$2185</f>
        <v>2673.0035925264251</v>
      </c>
      <c r="M2185" s="83">
        <f>$J$2185-EFEITO!$K$2185*EFEITO!$Y$2185</f>
        <v>0</v>
      </c>
      <c r="N2185" s="83">
        <f ca="1">$K$2185-EFEITO!$M$2185*EFEITO!$Z$2185</f>
        <v>0</v>
      </c>
      <c r="O2185" s="83">
        <f>$L$2185-EFEITO!$O$2185*EFEITO!$AA$2185</f>
        <v>0</v>
      </c>
      <c r="P2185" s="61"/>
      <c r="Q2185" s="61"/>
      <c r="R2185" s="61"/>
      <c r="S2185" s="61"/>
      <c r="T2185" s="61"/>
      <c r="U2185" s="61"/>
      <c r="V2185" s="61"/>
      <c r="W2185" s="61"/>
      <c r="X2185" s="6"/>
      <c r="Y2185" s="6"/>
      <c r="Z2185" s="6"/>
      <c r="AA2185" s="6"/>
      <c r="AB2185" s="6"/>
      <c r="AC2185" s="6"/>
      <c r="AD2185" s="6"/>
      <c r="AE2185" s="6"/>
      <c r="AF2185" s="6"/>
      <c r="AG2185" s="6"/>
      <c r="AH2185" s="6"/>
      <c r="AI2185" s="6"/>
      <c r="AJ2185" s="6"/>
    </row>
    <row r="2186" spans="1:36" ht="11.25" customHeight="1" x14ac:dyDescent="0.2">
      <c r="A2186" s="57" t="s">
        <v>21</v>
      </c>
      <c r="B2186" s="57" t="s">
        <v>41</v>
      </c>
      <c r="C2186" s="57" t="s">
        <v>39</v>
      </c>
      <c r="D2186" s="57" t="s">
        <v>42</v>
      </c>
      <c r="E2186" s="57" t="s">
        <v>25</v>
      </c>
      <c r="F2186" s="57" t="s">
        <v>25</v>
      </c>
      <c r="G2186" s="57" t="s">
        <v>25</v>
      </c>
      <c r="H2186" s="57" t="s">
        <v>38</v>
      </c>
      <c r="I2186" s="82">
        <v>44348</v>
      </c>
      <c r="J2186" s="83">
        <f>EFEITO!$J$2186*EFEITO!$Y$2186</f>
        <v>0</v>
      </c>
      <c r="K2186" s="83">
        <f ca="1">EFEITO!$L$2186*EFEITO!$Z$2186</f>
        <v>5446.3227069109253</v>
      </c>
      <c r="L2186" s="83">
        <f>EFEITO!$N$2186*EFEITO!$AA$2186</f>
        <v>3587.9584632112746</v>
      </c>
      <c r="M2186" s="83">
        <f>$J$2186-EFEITO!$K$2186*EFEITO!$Y$2186</f>
        <v>0</v>
      </c>
      <c r="N2186" s="83">
        <f ca="1">$K$2186-EFEITO!$M$2186*EFEITO!$Z$2186</f>
        <v>0</v>
      </c>
      <c r="O2186" s="83">
        <f>$L$2186-EFEITO!$O$2186*EFEITO!$AA$2186</f>
        <v>0</v>
      </c>
      <c r="P2186" s="61"/>
      <c r="Q2186" s="61"/>
      <c r="R2186" s="61"/>
      <c r="S2186" s="61"/>
      <c r="T2186" s="61"/>
      <c r="U2186" s="61"/>
      <c r="V2186" s="61"/>
      <c r="W2186" s="61"/>
      <c r="X2186" s="6"/>
      <c r="Y2186" s="6"/>
      <c r="Z2186" s="6"/>
      <c r="AA2186" s="6"/>
      <c r="AB2186" s="6"/>
      <c r="AC2186" s="6"/>
      <c r="AD2186" s="6"/>
      <c r="AE2186" s="6"/>
      <c r="AF2186" s="6"/>
      <c r="AG2186" s="6"/>
      <c r="AH2186" s="6"/>
      <c r="AI2186" s="6"/>
      <c r="AJ2186" s="6"/>
    </row>
    <row r="2187" spans="1:36" ht="11.25" customHeight="1" x14ac:dyDescent="0.2">
      <c r="A2187" s="57" t="s">
        <v>21</v>
      </c>
      <c r="B2187" s="57" t="s">
        <v>41</v>
      </c>
      <c r="C2187" s="57" t="s">
        <v>39</v>
      </c>
      <c r="D2187" s="57" t="s">
        <v>42</v>
      </c>
      <c r="E2187" s="57" t="s">
        <v>25</v>
      </c>
      <c r="F2187" s="57" t="s">
        <v>25</v>
      </c>
      <c r="G2187" s="57" t="s">
        <v>25</v>
      </c>
      <c r="H2187" s="57" t="s">
        <v>38</v>
      </c>
      <c r="I2187" s="82">
        <v>44378</v>
      </c>
      <c r="J2187" s="83">
        <f>EFEITO!$J$2187*EFEITO!$Y$2187</f>
        <v>0</v>
      </c>
      <c r="K2187" s="83">
        <f ca="1">EFEITO!$L$2187*EFEITO!$Z$2187</f>
        <v>3147.0314458479152</v>
      </c>
      <c r="L2187" s="83">
        <f>EFEITO!$N$2187*EFEITO!$AA$2187</f>
        <v>2073.2187051263381</v>
      </c>
      <c r="M2187" s="83">
        <f>$J$2187-EFEITO!$K$2187*EFEITO!$Y$2187</f>
        <v>0</v>
      </c>
      <c r="N2187" s="83">
        <f ca="1">$K$2187-EFEITO!$M$2187*EFEITO!$Z$2187</f>
        <v>0</v>
      </c>
      <c r="O2187" s="83">
        <f>$L$2187-EFEITO!$O$2187*EFEITO!$AA$2187</f>
        <v>0</v>
      </c>
      <c r="P2187" s="61"/>
      <c r="Q2187" s="61"/>
      <c r="R2187" s="61"/>
      <c r="S2187" s="61"/>
      <c r="T2187" s="61"/>
      <c r="U2187" s="61"/>
      <c r="V2187" s="61"/>
      <c r="W2187" s="61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</row>
    <row r="2188" spans="1:36" ht="11.25" customHeight="1" x14ac:dyDescent="0.2">
      <c r="A2188" s="57" t="s">
        <v>21</v>
      </c>
      <c r="B2188" s="57" t="s">
        <v>41</v>
      </c>
      <c r="C2188" s="57" t="s">
        <v>39</v>
      </c>
      <c r="D2188" s="57" t="s">
        <v>42</v>
      </c>
      <c r="E2188" s="57" t="s">
        <v>25</v>
      </c>
      <c r="F2188" s="57" t="s">
        <v>25</v>
      </c>
      <c r="G2188" s="57" t="s">
        <v>25</v>
      </c>
      <c r="H2188" s="57" t="s">
        <v>38</v>
      </c>
      <c r="I2188" s="82">
        <v>44409</v>
      </c>
      <c r="J2188" s="83">
        <f>EFEITO!$J$2188*EFEITO!$Y$2188</f>
        <v>0</v>
      </c>
      <c r="K2188" s="83">
        <f ca="1">EFEITO!$L$2188*EFEITO!$Z$2188</f>
        <v>3714.3388339435878</v>
      </c>
      <c r="L2188" s="83">
        <f>EFEITO!$N$2188*EFEITO!$AA$2188</f>
        <v>2446.9525901525244</v>
      </c>
      <c r="M2188" s="83">
        <f>$J$2188-EFEITO!$K$2188*EFEITO!$Y$2188</f>
        <v>0</v>
      </c>
      <c r="N2188" s="83">
        <f ca="1">$K$2188-EFEITO!$M$2188*EFEITO!$Z$2188</f>
        <v>0</v>
      </c>
      <c r="O2188" s="83">
        <f>$L$2188-EFEITO!$O$2188*EFEITO!$AA$2188</f>
        <v>0</v>
      </c>
      <c r="P2188" s="61"/>
      <c r="Q2188" s="61"/>
      <c r="R2188" s="61"/>
      <c r="S2188" s="61"/>
      <c r="T2188" s="61"/>
      <c r="U2188" s="61"/>
      <c r="V2188" s="61"/>
      <c r="W2188" s="61"/>
      <c r="X2188" s="6"/>
      <c r="Y2188" s="6"/>
      <c r="Z2188" s="6"/>
      <c r="AA2188" s="6"/>
      <c r="AB2188" s="6"/>
      <c r="AC2188" s="6"/>
      <c r="AD2188" s="6"/>
      <c r="AE2188" s="6"/>
      <c r="AF2188" s="6"/>
      <c r="AG2188" s="6"/>
      <c r="AH2188" s="6"/>
      <c r="AI2188" s="6"/>
      <c r="AJ2188" s="6"/>
    </row>
    <row r="2189" spans="1:36" ht="11.25" customHeight="1" x14ac:dyDescent="0.2">
      <c r="A2189" s="57" t="s">
        <v>21</v>
      </c>
      <c r="B2189" s="57" t="s">
        <v>41</v>
      </c>
      <c r="C2189" s="57" t="s">
        <v>39</v>
      </c>
      <c r="D2189" s="57" t="s">
        <v>42</v>
      </c>
      <c r="E2189" s="57" t="s">
        <v>25</v>
      </c>
      <c r="F2189" s="57" t="s">
        <v>25</v>
      </c>
      <c r="G2189" s="57" t="s">
        <v>25</v>
      </c>
      <c r="H2189" s="57" t="s">
        <v>38</v>
      </c>
      <c r="I2189" s="82">
        <v>44440</v>
      </c>
      <c r="J2189" s="83">
        <f>EFEITO!$J$2189*EFEITO!$Y$2189</f>
        <v>0</v>
      </c>
      <c r="K2189" s="83">
        <f ca="1">EFEITO!$L$2189*EFEITO!$Z$2189</f>
        <v>4282.9345809827046</v>
      </c>
      <c r="L2189" s="83">
        <f>EFEITO!$N$2189*EFEITO!$AA$2189</f>
        <v>2821.5352273778622</v>
      </c>
      <c r="M2189" s="83">
        <f>$J$2189-EFEITO!$K$2189*EFEITO!$Y$2189</f>
        <v>0</v>
      </c>
      <c r="N2189" s="83">
        <f ca="1">$K$2189-EFEITO!$M$2189*EFEITO!$Z$2189</f>
        <v>0</v>
      </c>
      <c r="O2189" s="83">
        <f>$L$2189-EFEITO!$O$2189*EFEITO!$AA$2189</f>
        <v>0</v>
      </c>
      <c r="P2189" s="61"/>
      <c r="Q2189" s="61"/>
      <c r="R2189" s="61"/>
      <c r="S2189" s="61"/>
      <c r="T2189" s="61"/>
      <c r="U2189" s="61"/>
      <c r="V2189" s="61"/>
      <c r="W2189" s="61"/>
      <c r="X2189" s="6"/>
      <c r="Y2189" s="6"/>
      <c r="Z2189" s="6"/>
      <c r="AA2189" s="6"/>
      <c r="AB2189" s="6"/>
      <c r="AC2189" s="6"/>
      <c r="AD2189" s="6"/>
      <c r="AE2189" s="6"/>
      <c r="AF2189" s="6"/>
      <c r="AG2189" s="6"/>
      <c r="AH2189" s="6"/>
      <c r="AI2189" s="6"/>
      <c r="AJ2189" s="6"/>
    </row>
    <row r="2190" spans="1:36" ht="11.25" customHeight="1" x14ac:dyDescent="0.2">
      <c r="A2190" s="57" t="s">
        <v>59</v>
      </c>
      <c r="B2190" s="57" t="s">
        <v>41</v>
      </c>
      <c r="C2190" s="57" t="s">
        <v>39</v>
      </c>
      <c r="D2190" s="57" t="s">
        <v>42</v>
      </c>
      <c r="E2190" s="57" t="s">
        <v>25</v>
      </c>
      <c r="F2190" s="57" t="s">
        <v>25</v>
      </c>
      <c r="G2190" s="57" t="s">
        <v>25</v>
      </c>
      <c r="H2190" s="57" t="s">
        <v>38</v>
      </c>
      <c r="I2190" s="82">
        <v>44470</v>
      </c>
      <c r="J2190" s="83">
        <f>EFEITO!$J$2190*EFEITO!$Y$2190</f>
        <v>0</v>
      </c>
      <c r="K2190" s="83">
        <f ca="1">EFEITO!$L$2190*EFEITO!$Z$2190</f>
        <v>4282.9345809827046</v>
      </c>
      <c r="L2190" s="83">
        <f>EFEITO!$N$2190*EFEITO!$AA$2190</f>
        <v>2821.5352273778622</v>
      </c>
      <c r="M2190" s="83">
        <f>$J$2190-EFEITO!$K$2190*EFEITO!$Y$2190</f>
        <v>0</v>
      </c>
      <c r="N2190" s="83">
        <f ca="1">$K$2190-EFEITO!$M$2190*EFEITO!$Z$2190</f>
        <v>0</v>
      </c>
      <c r="O2190" s="83">
        <f>$L$2190-EFEITO!$O$2190*EFEITO!$AA$2190</f>
        <v>0</v>
      </c>
      <c r="P2190" s="61"/>
      <c r="Q2190" s="61"/>
      <c r="R2190" s="61"/>
      <c r="S2190" s="61"/>
      <c r="T2190" s="61"/>
      <c r="U2190" s="61"/>
      <c r="V2190" s="61"/>
      <c r="W2190" s="61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/>
      <c r="AJ2190" s="6"/>
    </row>
    <row r="2191" spans="1:36" ht="11.25" customHeight="1" x14ac:dyDescent="0.2">
      <c r="A2191" s="57" t="s">
        <v>21</v>
      </c>
      <c r="B2191" s="57" t="s">
        <v>41</v>
      </c>
      <c r="C2191" s="57" t="s">
        <v>39</v>
      </c>
      <c r="D2191" s="57" t="s">
        <v>42</v>
      </c>
      <c r="E2191" s="57" t="s">
        <v>25</v>
      </c>
      <c r="F2191" s="57" t="s">
        <v>25</v>
      </c>
      <c r="G2191" s="57" t="s">
        <v>25</v>
      </c>
      <c r="H2191" s="57" t="s">
        <v>40</v>
      </c>
      <c r="I2191" s="82">
        <v>44136</v>
      </c>
      <c r="J2191" s="83">
        <f>EFEITO!$J$2191*EFEITO!$Y$2191</f>
        <v>0</v>
      </c>
      <c r="K2191" s="83">
        <f ca="1">EFEITO!$L$2191*EFEITO!$Z$2191</f>
        <v>19.819123011868214</v>
      </c>
      <c r="L2191" s="83">
        <f>EFEITO!$N$2191*EFEITO!$AA$2191</f>
        <v>6.7900175932085318</v>
      </c>
      <c r="M2191" s="83">
        <f>$J$2191-EFEITO!$K$2191*EFEITO!$Y$2191</f>
        <v>0</v>
      </c>
      <c r="N2191" s="83">
        <f ca="1">$K$2191-EFEITO!$M$2191*EFEITO!$Z$2191</f>
        <v>0</v>
      </c>
      <c r="O2191" s="83">
        <f>$L$2191-EFEITO!$O$2191*EFEITO!$AA$2191</f>
        <v>0</v>
      </c>
      <c r="P2191" s="61"/>
      <c r="Q2191" s="61"/>
      <c r="R2191" s="61"/>
      <c r="S2191" s="61"/>
      <c r="T2191" s="61"/>
      <c r="U2191" s="61"/>
      <c r="V2191" s="61"/>
      <c r="W2191" s="61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/>
      <c r="AJ2191" s="6"/>
    </row>
    <row r="2192" spans="1:36" ht="11.25" customHeight="1" x14ac:dyDescent="0.2">
      <c r="A2192" s="57" t="s">
        <v>21</v>
      </c>
      <c r="B2192" s="57" t="s">
        <v>41</v>
      </c>
      <c r="C2192" s="57" t="s">
        <v>39</v>
      </c>
      <c r="D2192" s="57" t="s">
        <v>42</v>
      </c>
      <c r="E2192" s="57" t="s">
        <v>25</v>
      </c>
      <c r="F2192" s="57" t="s">
        <v>25</v>
      </c>
      <c r="G2192" s="57" t="s">
        <v>25</v>
      </c>
      <c r="H2192" s="57" t="s">
        <v>40</v>
      </c>
      <c r="I2192" s="82">
        <v>44166</v>
      </c>
      <c r="J2192" s="83">
        <f>EFEITO!$J$2192*EFEITO!$Y$2192</f>
        <v>0</v>
      </c>
      <c r="K2192" s="83">
        <f ca="1">EFEITO!$L$2192*EFEITO!$Z$2192</f>
        <v>1503.7759585255005</v>
      </c>
      <c r="L2192" s="83">
        <f>EFEITO!$N$2192*EFEITO!$AA$2192</f>
        <v>515.19258488469734</v>
      </c>
      <c r="M2192" s="83">
        <f>$J$2192-EFEITO!$K$2192*EFEITO!$Y$2192</f>
        <v>0</v>
      </c>
      <c r="N2192" s="83">
        <f ca="1">$K$2192-EFEITO!$M$2192*EFEITO!$Z$2192</f>
        <v>0</v>
      </c>
      <c r="O2192" s="83">
        <f>$L$2192-EFEITO!$O$2192*EFEITO!$AA$2192</f>
        <v>0</v>
      </c>
      <c r="P2192" s="61"/>
      <c r="Q2192" s="61"/>
      <c r="R2192" s="61"/>
      <c r="S2192" s="61"/>
      <c r="T2192" s="61"/>
      <c r="U2192" s="61"/>
      <c r="V2192" s="61"/>
      <c r="W2192" s="61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/>
      <c r="AJ2192" s="6"/>
    </row>
    <row r="2193" spans="1:36" ht="11.25" customHeight="1" x14ac:dyDescent="0.2">
      <c r="A2193" s="57" t="s">
        <v>21</v>
      </c>
      <c r="B2193" s="57" t="s">
        <v>41</v>
      </c>
      <c r="C2193" s="57" t="s">
        <v>39</v>
      </c>
      <c r="D2193" s="57" t="s">
        <v>42</v>
      </c>
      <c r="E2193" s="57" t="s">
        <v>25</v>
      </c>
      <c r="F2193" s="57" t="s">
        <v>25</v>
      </c>
      <c r="G2193" s="57" t="s">
        <v>25</v>
      </c>
      <c r="H2193" s="57" t="s">
        <v>40</v>
      </c>
      <c r="I2193" s="82">
        <v>44197</v>
      </c>
      <c r="J2193" s="83">
        <f>EFEITO!$J$2193*EFEITO!$Y$2193</f>
        <v>0</v>
      </c>
      <c r="K2193" s="83">
        <f ca="1">EFEITO!$L$2193*EFEITO!$Z$2193</f>
        <v>123.86951882417632</v>
      </c>
      <c r="L2193" s="83">
        <f>EFEITO!$N$2193*EFEITO!$AA$2193</f>
        <v>42.43760995755332</v>
      </c>
      <c r="M2193" s="83">
        <f>$J$2193-EFEITO!$K$2193*EFEITO!$Y$2193</f>
        <v>0</v>
      </c>
      <c r="N2193" s="83">
        <f ca="1">$K$2193-EFEITO!$M$2193*EFEITO!$Z$2193</f>
        <v>0</v>
      </c>
      <c r="O2193" s="83">
        <f>$L$2193-EFEITO!$O$2193*EFEITO!$AA$2193</f>
        <v>0</v>
      </c>
      <c r="P2193" s="61"/>
      <c r="Q2193" s="61"/>
      <c r="R2193" s="61"/>
      <c r="S2193" s="61"/>
      <c r="T2193" s="61"/>
      <c r="U2193" s="61"/>
      <c r="V2193" s="61"/>
      <c r="W2193" s="61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/>
      <c r="AJ2193" s="6"/>
    </row>
    <row r="2194" spans="1:36" ht="11.25" customHeight="1" x14ac:dyDescent="0.2">
      <c r="A2194" s="57" t="s">
        <v>21</v>
      </c>
      <c r="B2194" s="57" t="s">
        <v>41</v>
      </c>
      <c r="C2194" s="57" t="s">
        <v>39</v>
      </c>
      <c r="D2194" s="57" t="s">
        <v>42</v>
      </c>
      <c r="E2194" s="57" t="s">
        <v>25</v>
      </c>
      <c r="F2194" s="57" t="s">
        <v>25</v>
      </c>
      <c r="G2194" s="57" t="s">
        <v>25</v>
      </c>
      <c r="H2194" s="57" t="s">
        <v>40</v>
      </c>
      <c r="I2194" s="82">
        <v>44228</v>
      </c>
      <c r="J2194" s="83">
        <f>EFEITO!$J$2194*EFEITO!$Y$2194</f>
        <v>0</v>
      </c>
      <c r="K2194" s="83">
        <f ca="1">EFEITO!$L$2194*EFEITO!$Z$2194</f>
        <v>98.269818267179886</v>
      </c>
      <c r="L2194" s="83">
        <f>EFEITO!$N$2194*EFEITO!$AA$2194</f>
        <v>33.66717056632563</v>
      </c>
      <c r="M2194" s="83">
        <f>$J$2194-EFEITO!$K$2194*EFEITO!$Y$2194</f>
        <v>0</v>
      </c>
      <c r="N2194" s="83">
        <f ca="1">$K$2194-EFEITO!$M$2194*EFEITO!$Z$2194</f>
        <v>0</v>
      </c>
      <c r="O2194" s="83">
        <f>$L$2194-EFEITO!$O$2194*EFEITO!$AA$2194</f>
        <v>0</v>
      </c>
      <c r="P2194" s="61"/>
      <c r="Q2194" s="61"/>
      <c r="R2194" s="61"/>
      <c r="S2194" s="61"/>
      <c r="T2194" s="61"/>
      <c r="U2194" s="61"/>
      <c r="V2194" s="61"/>
      <c r="W2194" s="61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/>
      <c r="AJ2194" s="6"/>
    </row>
    <row r="2195" spans="1:36" ht="11.25" customHeight="1" x14ac:dyDescent="0.2">
      <c r="A2195" s="57" t="s">
        <v>21</v>
      </c>
      <c r="B2195" s="57" t="s">
        <v>41</v>
      </c>
      <c r="C2195" s="57" t="s">
        <v>39</v>
      </c>
      <c r="D2195" s="57" t="s">
        <v>42</v>
      </c>
      <c r="E2195" s="57" t="s">
        <v>25</v>
      </c>
      <c r="F2195" s="57" t="s">
        <v>25</v>
      </c>
      <c r="G2195" s="57" t="s">
        <v>25</v>
      </c>
      <c r="H2195" s="57" t="s">
        <v>40</v>
      </c>
      <c r="I2195" s="82">
        <v>44256</v>
      </c>
      <c r="J2195" s="83">
        <f>EFEITO!$J$2195*EFEITO!$Y$2195</f>
        <v>0</v>
      </c>
      <c r="K2195" s="83">
        <f ca="1">EFEITO!$L$2195*EFEITO!$Z$2195</f>
        <v>121.3921284476928</v>
      </c>
      <c r="L2195" s="83">
        <f>EFEITO!$N$2195*EFEITO!$AA$2195</f>
        <v>41.588857758402249</v>
      </c>
      <c r="M2195" s="83">
        <f>$J$2195-EFEITO!$K$2195*EFEITO!$Y$2195</f>
        <v>0</v>
      </c>
      <c r="N2195" s="83">
        <f ca="1">$K$2195-EFEITO!$M$2195*EFEITO!$Z$2195</f>
        <v>0</v>
      </c>
      <c r="O2195" s="83">
        <f>$L$2195-EFEITO!$O$2195*EFEITO!$AA$2195</f>
        <v>0</v>
      </c>
      <c r="P2195" s="61"/>
      <c r="Q2195" s="61"/>
      <c r="R2195" s="61"/>
      <c r="S2195" s="61"/>
      <c r="T2195" s="61"/>
      <c r="U2195" s="61"/>
      <c r="V2195" s="61"/>
      <c r="W2195" s="61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/>
      <c r="AJ2195" s="6"/>
    </row>
    <row r="2196" spans="1:36" ht="11.25" customHeight="1" x14ac:dyDescent="0.2">
      <c r="A2196" s="57" t="s">
        <v>21</v>
      </c>
      <c r="B2196" s="57" t="s">
        <v>41</v>
      </c>
      <c r="C2196" s="57" t="s">
        <v>39</v>
      </c>
      <c r="D2196" s="57" t="s">
        <v>42</v>
      </c>
      <c r="E2196" s="57" t="s">
        <v>25</v>
      </c>
      <c r="F2196" s="57" t="s">
        <v>25</v>
      </c>
      <c r="G2196" s="57" t="s">
        <v>25</v>
      </c>
      <c r="H2196" s="57" t="s">
        <v>40</v>
      </c>
      <c r="I2196" s="82">
        <v>44287</v>
      </c>
      <c r="J2196" s="83">
        <f>EFEITO!$J$2196*EFEITO!$Y$2196</f>
        <v>0</v>
      </c>
      <c r="K2196" s="83">
        <f ca="1">EFEITO!$L$2196*EFEITO!$Z$2196</f>
        <v>118.91473807120927</v>
      </c>
      <c r="L2196" s="83">
        <f>EFEITO!$N$2196*EFEITO!$AA$2196</f>
        <v>40.740105559251184</v>
      </c>
      <c r="M2196" s="83">
        <f>$J$2196-EFEITO!$K$2196*EFEITO!$Y$2196</f>
        <v>0</v>
      </c>
      <c r="N2196" s="83">
        <f ca="1">$K$2196-EFEITO!$M$2196*EFEITO!$Z$2196</f>
        <v>0</v>
      </c>
      <c r="O2196" s="83">
        <f>$L$2196-EFEITO!$O$2196*EFEITO!$AA$2196</f>
        <v>0</v>
      </c>
      <c r="P2196" s="61"/>
      <c r="Q2196" s="61"/>
      <c r="R2196" s="61"/>
      <c r="S2196" s="61"/>
      <c r="T2196" s="61"/>
      <c r="U2196" s="61"/>
      <c r="V2196" s="61"/>
      <c r="W2196" s="61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/>
      <c r="AJ2196" s="6"/>
    </row>
    <row r="2197" spans="1:36" ht="11.25" customHeight="1" x14ac:dyDescent="0.2">
      <c r="A2197" s="57" t="s">
        <v>21</v>
      </c>
      <c r="B2197" s="57" t="s">
        <v>41</v>
      </c>
      <c r="C2197" s="57" t="s">
        <v>39</v>
      </c>
      <c r="D2197" s="57" t="s">
        <v>42</v>
      </c>
      <c r="E2197" s="57" t="s">
        <v>25</v>
      </c>
      <c r="F2197" s="57" t="s">
        <v>25</v>
      </c>
      <c r="G2197" s="57" t="s">
        <v>25</v>
      </c>
      <c r="H2197" s="57" t="s">
        <v>40</v>
      </c>
      <c r="I2197" s="82">
        <v>44317</v>
      </c>
      <c r="J2197" s="83">
        <f>EFEITO!$J$2197*EFEITO!$Y$2197</f>
        <v>0</v>
      </c>
      <c r="K2197" s="83">
        <f ca="1">EFEITO!$L$2197*EFEITO!$Z$2197</f>
        <v>123.04372203201514</v>
      </c>
      <c r="L2197" s="83">
        <f>EFEITO!$N$2197*EFEITO!$AA$2197</f>
        <v>42.154692557836299</v>
      </c>
      <c r="M2197" s="83">
        <f>$J$2197-EFEITO!$K$2197*EFEITO!$Y$2197</f>
        <v>0</v>
      </c>
      <c r="N2197" s="83">
        <f ca="1">$K$2197-EFEITO!$M$2197*EFEITO!$Z$2197</f>
        <v>0</v>
      </c>
      <c r="O2197" s="83">
        <f>$L$2197-EFEITO!$O$2197*EFEITO!$AA$2197</f>
        <v>0</v>
      </c>
      <c r="P2197" s="61"/>
      <c r="Q2197" s="61"/>
      <c r="R2197" s="61"/>
      <c r="S2197" s="61"/>
      <c r="T2197" s="61"/>
      <c r="U2197" s="61"/>
      <c r="V2197" s="61"/>
      <c r="W2197" s="61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/>
      <c r="AJ2197" s="6"/>
    </row>
    <row r="2198" spans="1:36" ht="11.25" customHeight="1" x14ac:dyDescent="0.2">
      <c r="A2198" s="57" t="s">
        <v>21</v>
      </c>
      <c r="B2198" s="57" t="s">
        <v>41</v>
      </c>
      <c r="C2198" s="57" t="s">
        <v>39</v>
      </c>
      <c r="D2198" s="57" t="s">
        <v>42</v>
      </c>
      <c r="E2198" s="57" t="s">
        <v>25</v>
      </c>
      <c r="F2198" s="57" t="s">
        <v>25</v>
      </c>
      <c r="G2198" s="57" t="s">
        <v>25</v>
      </c>
      <c r="H2198" s="57" t="s">
        <v>40</v>
      </c>
      <c r="I2198" s="82">
        <v>44348</v>
      </c>
      <c r="J2198" s="83">
        <f>EFEITO!$J$2198*EFEITO!$Y$2198</f>
        <v>0</v>
      </c>
      <c r="K2198" s="83">
        <f ca="1">EFEITO!$L$2198*EFEITO!$Z$2198</f>
        <v>138.7338610830775</v>
      </c>
      <c r="L2198" s="83">
        <f>EFEITO!$N$2198*EFEITO!$AA$2198</f>
        <v>47.530123152459723</v>
      </c>
      <c r="M2198" s="83">
        <f>$J$2198-EFEITO!$K$2198*EFEITO!$Y$2198</f>
        <v>0</v>
      </c>
      <c r="N2198" s="83">
        <f ca="1">$K$2198-EFEITO!$M$2198*EFEITO!$Z$2198</f>
        <v>0</v>
      </c>
      <c r="O2198" s="83">
        <f>$L$2198-EFEITO!$O$2198*EFEITO!$AA$2198</f>
        <v>0</v>
      </c>
      <c r="P2198" s="61"/>
      <c r="Q2198" s="61"/>
      <c r="R2198" s="61"/>
      <c r="S2198" s="61"/>
      <c r="T2198" s="61"/>
      <c r="U2198" s="61"/>
      <c r="V2198" s="61"/>
      <c r="W2198" s="61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/>
      <c r="AJ2198" s="6"/>
    </row>
    <row r="2199" spans="1:36" ht="11.25" customHeight="1" x14ac:dyDescent="0.2">
      <c r="A2199" s="57" t="s">
        <v>21</v>
      </c>
      <c r="B2199" s="57" t="s">
        <v>41</v>
      </c>
      <c r="C2199" s="57" t="s">
        <v>39</v>
      </c>
      <c r="D2199" s="57" t="s">
        <v>42</v>
      </c>
      <c r="E2199" s="57" t="s">
        <v>25</v>
      </c>
      <c r="F2199" s="57" t="s">
        <v>25</v>
      </c>
      <c r="G2199" s="57" t="s">
        <v>25</v>
      </c>
      <c r="H2199" s="57" t="s">
        <v>40</v>
      </c>
      <c r="I2199" s="82">
        <v>44378</v>
      </c>
      <c r="J2199" s="83">
        <f>EFEITO!$J$2199*EFEITO!$Y$2199</f>
        <v>0</v>
      </c>
      <c r="K2199" s="83">
        <f ca="1">EFEITO!$L$2199*EFEITO!$Z$2199</f>
        <v>74.321711294505789</v>
      </c>
      <c r="L2199" s="83">
        <f>EFEITO!$N$2199*EFEITO!$AA$2199</f>
        <v>25.462565974531991</v>
      </c>
      <c r="M2199" s="83">
        <f>$J$2199-EFEITO!$K$2199*EFEITO!$Y$2199</f>
        <v>0</v>
      </c>
      <c r="N2199" s="83">
        <f ca="1">$K$2199-EFEITO!$M$2199*EFEITO!$Z$2199</f>
        <v>0</v>
      </c>
      <c r="O2199" s="83">
        <f>$L$2199-EFEITO!$O$2199*EFEITO!$AA$2199</f>
        <v>0</v>
      </c>
      <c r="P2199" s="61"/>
      <c r="Q2199" s="61"/>
      <c r="R2199" s="61"/>
      <c r="S2199" s="61"/>
      <c r="T2199" s="61"/>
      <c r="U2199" s="61"/>
      <c r="V2199" s="61"/>
      <c r="W2199" s="61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</row>
    <row r="2200" spans="1:36" ht="11.25" customHeight="1" x14ac:dyDescent="0.2">
      <c r="A2200" s="57" t="s">
        <v>21</v>
      </c>
      <c r="B2200" s="57" t="s">
        <v>41</v>
      </c>
      <c r="C2200" s="57" t="s">
        <v>39</v>
      </c>
      <c r="D2200" s="57" t="s">
        <v>42</v>
      </c>
      <c r="E2200" s="57" t="s">
        <v>25</v>
      </c>
      <c r="F2200" s="57" t="s">
        <v>25</v>
      </c>
      <c r="G2200" s="57" t="s">
        <v>25</v>
      </c>
      <c r="H2200" s="57" t="s">
        <v>40</v>
      </c>
      <c r="I2200" s="82">
        <v>44409</v>
      </c>
      <c r="J2200" s="83">
        <f>EFEITO!$J$2200*EFEITO!$Y$2200</f>
        <v>0</v>
      </c>
      <c r="K2200" s="83">
        <f ca="1">EFEITO!$L$2200*EFEITO!$Z$2200</f>
        <v>96.618224682857544</v>
      </c>
      <c r="L2200" s="83">
        <f>EFEITO!$N$2200*EFEITO!$AA$2200</f>
        <v>33.101335766891594</v>
      </c>
      <c r="M2200" s="83">
        <f>$J$2200-EFEITO!$K$2200*EFEITO!$Y$2200</f>
        <v>0</v>
      </c>
      <c r="N2200" s="83">
        <f ca="1">$K$2200-EFEITO!$M$2200*EFEITO!$Z$2200</f>
        <v>0</v>
      </c>
      <c r="O2200" s="83">
        <f>$L$2200-EFEITO!$O$2200*EFEITO!$AA$2200</f>
        <v>0</v>
      </c>
      <c r="P2200" s="61"/>
      <c r="Q2200" s="61"/>
      <c r="R2200" s="61"/>
      <c r="S2200" s="61"/>
      <c r="T2200" s="61"/>
      <c r="U2200" s="61"/>
      <c r="V2200" s="61"/>
      <c r="W2200" s="61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</row>
    <row r="2201" spans="1:36" ht="11.25" customHeight="1" x14ac:dyDescent="0.2">
      <c r="A2201" s="57" t="s">
        <v>21</v>
      </c>
      <c r="B2201" s="57" t="s">
        <v>41</v>
      </c>
      <c r="C2201" s="57" t="s">
        <v>39</v>
      </c>
      <c r="D2201" s="57" t="s">
        <v>42</v>
      </c>
      <c r="E2201" s="57" t="s">
        <v>25</v>
      </c>
      <c r="F2201" s="57" t="s">
        <v>25</v>
      </c>
      <c r="G2201" s="57" t="s">
        <v>25</v>
      </c>
      <c r="H2201" s="57" t="s">
        <v>40</v>
      </c>
      <c r="I2201" s="82">
        <v>44440</v>
      </c>
      <c r="J2201" s="83">
        <f>EFEITO!$J$2201*EFEITO!$Y$2201</f>
        <v>0</v>
      </c>
      <c r="K2201" s="83">
        <f ca="1">EFEITO!$L$2201*EFEITO!$Z$2201</f>
        <v>167.63674880871864</v>
      </c>
      <c r="L2201" s="83">
        <f>EFEITO!$N$2201*EFEITO!$AA$2201</f>
        <v>57.432232142555499</v>
      </c>
      <c r="M2201" s="83">
        <f>$J$2201-EFEITO!$K$2201*EFEITO!$Y$2201</f>
        <v>0</v>
      </c>
      <c r="N2201" s="83">
        <f ca="1">$K$2201-EFEITO!$M$2201*EFEITO!$Z$2201</f>
        <v>0</v>
      </c>
      <c r="O2201" s="83">
        <f>$L$2201-EFEITO!$O$2201*EFEITO!$AA$2201</f>
        <v>0</v>
      </c>
      <c r="P2201" s="61"/>
      <c r="Q2201" s="61"/>
      <c r="R2201" s="61"/>
      <c r="S2201" s="61"/>
      <c r="T2201" s="61"/>
      <c r="U2201" s="61"/>
      <c r="V2201" s="61"/>
      <c r="W2201" s="61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</row>
    <row r="2202" spans="1:36" ht="11.25" customHeight="1" x14ac:dyDescent="0.2">
      <c r="A2202" s="57" t="s">
        <v>59</v>
      </c>
      <c r="B2202" s="57" t="s">
        <v>41</v>
      </c>
      <c r="C2202" s="57" t="s">
        <v>39</v>
      </c>
      <c r="D2202" s="57" t="s">
        <v>42</v>
      </c>
      <c r="E2202" s="57" t="s">
        <v>25</v>
      </c>
      <c r="F2202" s="57" t="s">
        <v>25</v>
      </c>
      <c r="G2202" s="57" t="s">
        <v>25</v>
      </c>
      <c r="H2202" s="57" t="s">
        <v>40</v>
      </c>
      <c r="I2202" s="82">
        <v>44470</v>
      </c>
      <c r="J2202" s="83">
        <f>EFEITO!$J$2202*EFEITO!$Y$2202</f>
        <v>0</v>
      </c>
      <c r="K2202" s="83">
        <f ca="1">EFEITO!$L$2202*EFEITO!$Z$2202</f>
        <v>167.63674880871864</v>
      </c>
      <c r="L2202" s="83">
        <f>EFEITO!$N$2202*EFEITO!$AA$2202</f>
        <v>57.432232142555499</v>
      </c>
      <c r="M2202" s="83">
        <f>$J$2202-EFEITO!$K$2202*EFEITO!$Y$2202</f>
        <v>0</v>
      </c>
      <c r="N2202" s="83">
        <f ca="1">$K$2202-EFEITO!$M$2202*EFEITO!$Z$2202</f>
        <v>0</v>
      </c>
      <c r="O2202" s="83">
        <f>$L$2202-EFEITO!$O$2202*EFEITO!$AA$2202</f>
        <v>0</v>
      </c>
      <c r="P2202" s="61"/>
      <c r="Q2202" s="61"/>
      <c r="R2202" s="61"/>
      <c r="S2202" s="61"/>
      <c r="T2202" s="61"/>
      <c r="U2202" s="61"/>
      <c r="V2202" s="61"/>
      <c r="W2202" s="61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/>
      <c r="AJ2202" s="6"/>
    </row>
    <row r="2203" spans="1:36" ht="11.25" customHeight="1" x14ac:dyDescent="0.2">
      <c r="A2203" s="57" t="s">
        <v>21</v>
      </c>
      <c r="B2203" s="57" t="s">
        <v>41</v>
      </c>
      <c r="C2203" s="57" t="s">
        <v>39</v>
      </c>
      <c r="D2203" s="57" t="s">
        <v>42</v>
      </c>
      <c r="E2203" s="57" t="s">
        <v>25</v>
      </c>
      <c r="F2203" s="57" t="s">
        <v>25</v>
      </c>
      <c r="G2203" s="57" t="s">
        <v>25</v>
      </c>
      <c r="H2203" s="57" t="s">
        <v>37</v>
      </c>
      <c r="I2203" s="82">
        <v>44136</v>
      </c>
      <c r="J2203" s="83">
        <f>EFEITO!$J$2203*EFEITO!$Y$2203</f>
        <v>0</v>
      </c>
      <c r="K2203" s="83">
        <f ca="1">EFEITO!$L$2203*EFEITO!$Z$2203</f>
        <v>97.771249062061131</v>
      </c>
      <c r="L2203" s="83">
        <f>EFEITO!$N$2203*EFEITO!$AA$2203</f>
        <v>36.346285434272367</v>
      </c>
      <c r="M2203" s="83">
        <f>$J$2203-EFEITO!$K$2203*EFEITO!$Y$2203</f>
        <v>0</v>
      </c>
      <c r="N2203" s="83">
        <f ca="1">$K$2203-EFEITO!$M$2203*EFEITO!$Z$2203</f>
        <v>0</v>
      </c>
      <c r="O2203" s="83">
        <f>$L$2203-EFEITO!$O$2203*EFEITO!$AA$2203</f>
        <v>0</v>
      </c>
      <c r="P2203" s="61"/>
      <c r="Q2203" s="61"/>
      <c r="R2203" s="61"/>
      <c r="S2203" s="61"/>
      <c r="T2203" s="61"/>
      <c r="U2203" s="61"/>
      <c r="V2203" s="61"/>
      <c r="W2203" s="61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</row>
    <row r="2204" spans="1:36" ht="11.25" customHeight="1" x14ac:dyDescent="0.2">
      <c r="A2204" s="57" t="s">
        <v>21</v>
      </c>
      <c r="B2204" s="57" t="s">
        <v>41</v>
      </c>
      <c r="C2204" s="57" t="s">
        <v>39</v>
      </c>
      <c r="D2204" s="57" t="s">
        <v>42</v>
      </c>
      <c r="E2204" s="57" t="s">
        <v>25</v>
      </c>
      <c r="F2204" s="57" t="s">
        <v>25</v>
      </c>
      <c r="G2204" s="57" t="s">
        <v>25</v>
      </c>
      <c r="H2204" s="57" t="s">
        <v>37</v>
      </c>
      <c r="I2204" s="82">
        <v>44166</v>
      </c>
      <c r="J2204" s="83">
        <f>EFEITO!$J$2204*EFEITO!$Y$2204</f>
        <v>0</v>
      </c>
      <c r="K2204" s="83">
        <f ca="1">EFEITO!$L$2204*EFEITO!$Z$2204</f>
        <v>3021.1315960176889</v>
      </c>
      <c r="L2204" s="83">
        <f>EFEITO!$N$2204*EFEITO!$AA$2204</f>
        <v>1123.1002199190161</v>
      </c>
      <c r="M2204" s="83">
        <f>$J$2204-EFEITO!$K$2204*EFEITO!$Y$2204</f>
        <v>0</v>
      </c>
      <c r="N2204" s="83">
        <f ca="1">$K$2204-EFEITO!$M$2204*EFEITO!$Z$2204</f>
        <v>0</v>
      </c>
      <c r="O2204" s="83">
        <f>$L$2204-EFEITO!$O$2204*EFEITO!$AA$2204</f>
        <v>0</v>
      </c>
      <c r="P2204" s="61"/>
      <c r="Q2204" s="61"/>
      <c r="R2204" s="61"/>
      <c r="S2204" s="61"/>
      <c r="T2204" s="61"/>
      <c r="U2204" s="61"/>
      <c r="V2204" s="61"/>
      <c r="W2204" s="61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</row>
    <row r="2205" spans="1:36" ht="11.25" customHeight="1" x14ac:dyDescent="0.2">
      <c r="A2205" s="57" t="s">
        <v>21</v>
      </c>
      <c r="B2205" s="57" t="s">
        <v>41</v>
      </c>
      <c r="C2205" s="57" t="s">
        <v>39</v>
      </c>
      <c r="D2205" s="57" t="s">
        <v>42</v>
      </c>
      <c r="E2205" s="57" t="s">
        <v>25</v>
      </c>
      <c r="F2205" s="57" t="s">
        <v>25</v>
      </c>
      <c r="G2205" s="57" t="s">
        <v>25</v>
      </c>
      <c r="H2205" s="57" t="s">
        <v>37</v>
      </c>
      <c r="I2205" s="82">
        <v>44197</v>
      </c>
      <c r="J2205" s="83">
        <f>EFEITO!$J$2205*EFEITO!$Y$2205</f>
        <v>0</v>
      </c>
      <c r="K2205" s="83">
        <f ca="1">EFEITO!$L$2205*EFEITO!$Z$2205</f>
        <v>278.6480598268742</v>
      </c>
      <c r="L2205" s="83">
        <f>EFEITO!$N$2205*EFEITO!$AA$2205</f>
        <v>103.58691348767626</v>
      </c>
      <c r="M2205" s="83">
        <f>$J$2205-EFEITO!$K$2205*EFEITO!$Y$2205</f>
        <v>0</v>
      </c>
      <c r="N2205" s="83">
        <f ca="1">$K$2205-EFEITO!$M$2205*EFEITO!$Z$2205</f>
        <v>0</v>
      </c>
      <c r="O2205" s="83">
        <f>$L$2205-EFEITO!$O$2205*EFEITO!$AA$2205</f>
        <v>0</v>
      </c>
      <c r="P2205" s="61"/>
      <c r="Q2205" s="61"/>
      <c r="R2205" s="61"/>
      <c r="S2205" s="61"/>
      <c r="T2205" s="61"/>
      <c r="U2205" s="61"/>
      <c r="V2205" s="61"/>
      <c r="W2205" s="61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/>
      <c r="AJ2205" s="6"/>
    </row>
    <row r="2206" spans="1:36" ht="11.25" customHeight="1" x14ac:dyDescent="0.2">
      <c r="A2206" s="57" t="s">
        <v>21</v>
      </c>
      <c r="B2206" s="57" t="s">
        <v>41</v>
      </c>
      <c r="C2206" s="57" t="s">
        <v>39</v>
      </c>
      <c r="D2206" s="57" t="s">
        <v>42</v>
      </c>
      <c r="E2206" s="57" t="s">
        <v>25</v>
      </c>
      <c r="F2206" s="57" t="s">
        <v>25</v>
      </c>
      <c r="G2206" s="57" t="s">
        <v>25</v>
      </c>
      <c r="H2206" s="57" t="s">
        <v>37</v>
      </c>
      <c r="I2206" s="82">
        <v>44228</v>
      </c>
      <c r="J2206" s="83">
        <f>EFEITO!$J$2206*EFEITO!$Y$2206</f>
        <v>0</v>
      </c>
      <c r="K2206" s="83">
        <f ca="1">EFEITO!$L$2206*EFEITO!$Z$2206</f>
        <v>237.09527897549825</v>
      </c>
      <c r="L2206" s="83">
        <f>EFEITO!$N$2206*EFEITO!$AA$2206</f>
        <v>88.139742178110495</v>
      </c>
      <c r="M2206" s="83">
        <f>$J$2206-EFEITO!$K$2206*EFEITO!$Y$2206</f>
        <v>0</v>
      </c>
      <c r="N2206" s="83">
        <f ca="1">$K$2206-EFEITO!$M$2206*EFEITO!$Z$2206</f>
        <v>0</v>
      </c>
      <c r="O2206" s="83">
        <f>$L$2206-EFEITO!$O$2206*EFEITO!$AA$2206</f>
        <v>0</v>
      </c>
      <c r="P2206" s="61"/>
      <c r="Q2206" s="61"/>
      <c r="R2206" s="61"/>
      <c r="S2206" s="61"/>
      <c r="T2206" s="61"/>
      <c r="U2206" s="61"/>
      <c r="V2206" s="61"/>
      <c r="W2206" s="61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/>
      <c r="AJ2206" s="6"/>
    </row>
    <row r="2207" spans="1:36" ht="11.25" customHeight="1" x14ac:dyDescent="0.2">
      <c r="A2207" s="57" t="s">
        <v>21</v>
      </c>
      <c r="B2207" s="57" t="s">
        <v>41</v>
      </c>
      <c r="C2207" s="57" t="s">
        <v>39</v>
      </c>
      <c r="D2207" s="57" t="s">
        <v>42</v>
      </c>
      <c r="E2207" s="57" t="s">
        <v>25</v>
      </c>
      <c r="F2207" s="57" t="s">
        <v>25</v>
      </c>
      <c r="G2207" s="57" t="s">
        <v>25</v>
      </c>
      <c r="H2207" s="57" t="s">
        <v>37</v>
      </c>
      <c r="I2207" s="82">
        <v>44256</v>
      </c>
      <c r="J2207" s="83">
        <f>EFEITO!$J$2207*EFEITO!$Y$2207</f>
        <v>0</v>
      </c>
      <c r="K2207" s="83">
        <f ca="1">EFEITO!$L$2207*EFEITO!$Z$2207</f>
        <v>284.75876289325305</v>
      </c>
      <c r="L2207" s="83">
        <f>EFEITO!$N$2207*EFEITO!$AA$2207</f>
        <v>105.85855632731828</v>
      </c>
      <c r="M2207" s="83">
        <f>$J$2207-EFEITO!$K$2207*EFEITO!$Y$2207</f>
        <v>0</v>
      </c>
      <c r="N2207" s="83">
        <f ca="1">$K$2207-EFEITO!$M$2207*EFEITO!$Z$2207</f>
        <v>0</v>
      </c>
      <c r="O2207" s="83">
        <f>$L$2207-EFEITO!$O$2207*EFEITO!$AA$2207</f>
        <v>0</v>
      </c>
      <c r="P2207" s="61"/>
      <c r="Q2207" s="61"/>
      <c r="R2207" s="61"/>
      <c r="S2207" s="61"/>
      <c r="T2207" s="61"/>
      <c r="U2207" s="61"/>
      <c r="V2207" s="61"/>
      <c r="W2207" s="61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/>
      <c r="AJ2207" s="6"/>
    </row>
    <row r="2208" spans="1:36" ht="11.25" customHeight="1" x14ac:dyDescent="0.2">
      <c r="A2208" s="57" t="s">
        <v>21</v>
      </c>
      <c r="B2208" s="57" t="s">
        <v>41</v>
      </c>
      <c r="C2208" s="57" t="s">
        <v>39</v>
      </c>
      <c r="D2208" s="57" t="s">
        <v>42</v>
      </c>
      <c r="E2208" s="57" t="s">
        <v>25</v>
      </c>
      <c r="F2208" s="57" t="s">
        <v>25</v>
      </c>
      <c r="G2208" s="57" t="s">
        <v>25</v>
      </c>
      <c r="H2208" s="57" t="s">
        <v>37</v>
      </c>
      <c r="I2208" s="82">
        <v>44287</v>
      </c>
      <c r="J2208" s="83">
        <f>EFEITO!$J$2208*EFEITO!$Y$2208</f>
        <v>0</v>
      </c>
      <c r="K2208" s="83">
        <f ca="1">EFEITO!$L$2208*EFEITO!$Z$2208</f>
        <v>263.98237246756503</v>
      </c>
      <c r="L2208" s="83">
        <f>EFEITO!$N$2208*EFEITO!$AA$2208</f>
        <v>98.134970672535388</v>
      </c>
      <c r="M2208" s="83">
        <f>$J$2208-EFEITO!$K$2208*EFEITO!$Y$2208</f>
        <v>0</v>
      </c>
      <c r="N2208" s="83">
        <f ca="1">$K$2208-EFEITO!$M$2208*EFEITO!$Z$2208</f>
        <v>0</v>
      </c>
      <c r="O2208" s="83">
        <f>$L$2208-EFEITO!$O$2208*EFEITO!$AA$2208</f>
        <v>0</v>
      </c>
      <c r="P2208" s="61"/>
      <c r="Q2208" s="61"/>
      <c r="R2208" s="61"/>
      <c r="S2208" s="61"/>
      <c r="T2208" s="61"/>
      <c r="U2208" s="61"/>
      <c r="V2208" s="61"/>
      <c r="W2208" s="61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/>
      <c r="AJ2208" s="6"/>
    </row>
    <row r="2209" spans="1:36" ht="11.25" customHeight="1" x14ac:dyDescent="0.2">
      <c r="A2209" s="57" t="s">
        <v>21</v>
      </c>
      <c r="B2209" s="57" t="s">
        <v>41</v>
      </c>
      <c r="C2209" s="57" t="s">
        <v>39</v>
      </c>
      <c r="D2209" s="57" t="s">
        <v>42</v>
      </c>
      <c r="E2209" s="57" t="s">
        <v>25</v>
      </c>
      <c r="F2209" s="57" t="s">
        <v>25</v>
      </c>
      <c r="G2209" s="57" t="s">
        <v>25</v>
      </c>
      <c r="H2209" s="57" t="s">
        <v>37</v>
      </c>
      <c r="I2209" s="82">
        <v>44317</v>
      </c>
      <c r="J2209" s="83">
        <f>EFEITO!$J$2209*EFEITO!$Y$2209</f>
        <v>0</v>
      </c>
      <c r="K2209" s="83">
        <f ca="1">EFEITO!$L$2209*EFEITO!$Z$2209</f>
        <v>284.75876289325305</v>
      </c>
      <c r="L2209" s="83">
        <f>EFEITO!$N$2209*EFEITO!$AA$2209</f>
        <v>105.85855632731828</v>
      </c>
      <c r="M2209" s="83">
        <f>$J$2209-EFEITO!$K$2209*EFEITO!$Y$2209</f>
        <v>0</v>
      </c>
      <c r="N2209" s="83">
        <f ca="1">$K$2209-EFEITO!$M$2209*EFEITO!$Z$2209</f>
        <v>0</v>
      </c>
      <c r="O2209" s="83">
        <f>$L$2209-EFEITO!$O$2209*EFEITO!$AA$2209</f>
        <v>0</v>
      </c>
      <c r="P2209" s="61"/>
      <c r="Q2209" s="61"/>
      <c r="R2209" s="61"/>
      <c r="S2209" s="61"/>
      <c r="T2209" s="61"/>
      <c r="U2209" s="61"/>
      <c r="V2209" s="61"/>
      <c r="W2209" s="61"/>
      <c r="X2209" s="6"/>
      <c r="Y2209" s="6"/>
      <c r="Z2209" s="6"/>
      <c r="AA2209" s="6"/>
      <c r="AB2209" s="6"/>
      <c r="AC2209" s="6"/>
      <c r="AD2209" s="6"/>
      <c r="AE2209" s="6"/>
      <c r="AF2209" s="6"/>
      <c r="AG2209" s="6"/>
      <c r="AH2209" s="6"/>
      <c r="AI2209" s="6"/>
      <c r="AJ2209" s="6"/>
    </row>
    <row r="2210" spans="1:36" ht="11.25" customHeight="1" x14ac:dyDescent="0.2">
      <c r="A2210" s="57" t="s">
        <v>21</v>
      </c>
      <c r="B2210" s="57" t="s">
        <v>41</v>
      </c>
      <c r="C2210" s="57" t="s">
        <v>39</v>
      </c>
      <c r="D2210" s="57" t="s">
        <v>42</v>
      </c>
      <c r="E2210" s="57" t="s">
        <v>25</v>
      </c>
      <c r="F2210" s="57" t="s">
        <v>25</v>
      </c>
      <c r="G2210" s="57" t="s">
        <v>25</v>
      </c>
      <c r="H2210" s="57" t="s">
        <v>37</v>
      </c>
      <c r="I2210" s="82">
        <v>44348</v>
      </c>
      <c r="J2210" s="83">
        <f>EFEITO!$J$2210*EFEITO!$Y$2210</f>
        <v>0</v>
      </c>
      <c r="K2210" s="83">
        <f ca="1">EFEITO!$L$2210*EFEITO!$Z$2210</f>
        <v>316.53441883842288</v>
      </c>
      <c r="L2210" s="83">
        <f>EFEITO!$N$2210*EFEITO!$AA$2210</f>
        <v>117.67109909345679</v>
      </c>
      <c r="M2210" s="83">
        <f>$J$2210-EFEITO!$K$2210*EFEITO!$Y$2210</f>
        <v>0</v>
      </c>
      <c r="N2210" s="83">
        <f ca="1">$K$2210-EFEITO!$M$2210*EFEITO!$Z$2210</f>
        <v>0</v>
      </c>
      <c r="O2210" s="83">
        <f>$L$2210-EFEITO!$O$2210*EFEITO!$AA$2210</f>
        <v>0</v>
      </c>
      <c r="P2210" s="61"/>
      <c r="Q2210" s="61"/>
      <c r="R2210" s="61"/>
      <c r="S2210" s="61"/>
      <c r="T2210" s="61"/>
      <c r="U2210" s="61"/>
      <c r="V2210" s="61"/>
      <c r="W2210" s="61"/>
      <c r="X2210" s="6"/>
      <c r="Y2210" s="6"/>
      <c r="Z2210" s="6"/>
      <c r="AA2210" s="6"/>
      <c r="AB2210" s="6"/>
      <c r="AC2210" s="6"/>
      <c r="AD2210" s="6"/>
      <c r="AE2210" s="6"/>
      <c r="AF2210" s="6"/>
      <c r="AG2210" s="6"/>
      <c r="AH2210" s="6"/>
      <c r="AI2210" s="6"/>
      <c r="AJ2210" s="6"/>
    </row>
    <row r="2211" spans="1:36" ht="11.25" customHeight="1" x14ac:dyDescent="0.2">
      <c r="A2211" s="57" t="s">
        <v>21</v>
      </c>
      <c r="B2211" s="57" t="s">
        <v>41</v>
      </c>
      <c r="C2211" s="57" t="s">
        <v>39</v>
      </c>
      <c r="D2211" s="57" t="s">
        <v>42</v>
      </c>
      <c r="E2211" s="57" t="s">
        <v>25</v>
      </c>
      <c r="F2211" s="57" t="s">
        <v>25</v>
      </c>
      <c r="G2211" s="57" t="s">
        <v>25</v>
      </c>
      <c r="H2211" s="57" t="s">
        <v>37</v>
      </c>
      <c r="I2211" s="82">
        <v>44378</v>
      </c>
      <c r="J2211" s="83">
        <f>EFEITO!$J$2211*EFEITO!$Y$2211</f>
        <v>0</v>
      </c>
      <c r="K2211" s="83">
        <f ca="1">EFEITO!$L$2211*EFEITO!$Z$2211</f>
        <v>168.65540463205545</v>
      </c>
      <c r="L2211" s="83">
        <f>EFEITO!$N$2211*EFEITO!$AA$2211</f>
        <v>62.697342374119842</v>
      </c>
      <c r="M2211" s="83">
        <f>$J$2211-EFEITO!$K$2211*EFEITO!$Y$2211</f>
        <v>0</v>
      </c>
      <c r="N2211" s="83">
        <f ca="1">$K$2211-EFEITO!$M$2211*EFEITO!$Z$2211</f>
        <v>0</v>
      </c>
      <c r="O2211" s="83">
        <f>$L$2211-EFEITO!$O$2211*EFEITO!$AA$2211</f>
        <v>0</v>
      </c>
      <c r="P2211" s="61"/>
      <c r="Q2211" s="61"/>
      <c r="R2211" s="61"/>
      <c r="S2211" s="61"/>
      <c r="T2211" s="61"/>
      <c r="U2211" s="61"/>
      <c r="V2211" s="61"/>
      <c r="W2211" s="61"/>
      <c r="X2211" s="6"/>
      <c r="Y2211" s="6"/>
      <c r="Z2211" s="6"/>
      <c r="AA2211" s="6"/>
      <c r="AB2211" s="6"/>
      <c r="AC2211" s="6"/>
      <c r="AD2211" s="6"/>
      <c r="AE2211" s="6"/>
      <c r="AF2211" s="6"/>
      <c r="AG2211" s="6"/>
      <c r="AH2211" s="6"/>
      <c r="AI2211" s="6"/>
      <c r="AJ2211" s="6"/>
    </row>
    <row r="2212" spans="1:36" ht="11.25" customHeight="1" x14ac:dyDescent="0.2">
      <c r="A2212" s="57" t="s">
        <v>21</v>
      </c>
      <c r="B2212" s="57" t="s">
        <v>41</v>
      </c>
      <c r="C2212" s="57" t="s">
        <v>39</v>
      </c>
      <c r="D2212" s="57" t="s">
        <v>42</v>
      </c>
      <c r="E2212" s="57" t="s">
        <v>25</v>
      </c>
      <c r="F2212" s="57" t="s">
        <v>25</v>
      </c>
      <c r="G2212" s="57" t="s">
        <v>25</v>
      </c>
      <c r="H2212" s="57" t="s">
        <v>37</v>
      </c>
      <c r="I2212" s="82">
        <v>44409</v>
      </c>
      <c r="J2212" s="83">
        <f>EFEITO!$J$2212*EFEITO!$Y$2212</f>
        <v>0</v>
      </c>
      <c r="K2212" s="83">
        <f ca="1">EFEITO!$L$2212*EFEITO!$Z$2212</f>
        <v>240.76170081532553</v>
      </c>
      <c r="L2212" s="83">
        <f>EFEITO!$N$2212*EFEITO!$AA$2212</f>
        <v>89.502727881895709</v>
      </c>
      <c r="M2212" s="83">
        <f>$J$2212-EFEITO!$K$2212*EFEITO!$Y$2212</f>
        <v>0</v>
      </c>
      <c r="N2212" s="83">
        <f ca="1">$K$2212-EFEITO!$M$2212*EFEITO!$Z$2212</f>
        <v>0</v>
      </c>
      <c r="O2212" s="83">
        <f>$L$2212-EFEITO!$O$2212*EFEITO!$AA$2212</f>
        <v>0</v>
      </c>
      <c r="P2212" s="61"/>
      <c r="Q2212" s="61"/>
      <c r="R2212" s="61"/>
      <c r="S2212" s="61"/>
      <c r="T2212" s="61"/>
      <c r="U2212" s="61"/>
      <c r="V2212" s="61"/>
      <c r="W2212" s="61"/>
      <c r="X2212" s="6"/>
      <c r="Y2212" s="6"/>
      <c r="Z2212" s="6"/>
      <c r="AA2212" s="6"/>
      <c r="AB2212" s="6"/>
      <c r="AC2212" s="6"/>
      <c r="AD2212" s="6"/>
      <c r="AE2212" s="6"/>
      <c r="AF2212" s="6"/>
      <c r="AG2212" s="6"/>
      <c r="AH2212" s="6"/>
      <c r="AI2212" s="6"/>
      <c r="AJ2212" s="6"/>
    </row>
    <row r="2213" spans="1:36" ht="11.25" customHeight="1" x14ac:dyDescent="0.2">
      <c r="A2213" s="57" t="s">
        <v>21</v>
      </c>
      <c r="B2213" s="57" t="s">
        <v>41</v>
      </c>
      <c r="C2213" s="57" t="s">
        <v>39</v>
      </c>
      <c r="D2213" s="57" t="s">
        <v>42</v>
      </c>
      <c r="E2213" s="57" t="s">
        <v>25</v>
      </c>
      <c r="F2213" s="57" t="s">
        <v>25</v>
      </c>
      <c r="G2213" s="57" t="s">
        <v>25</v>
      </c>
      <c r="H2213" s="57" t="s">
        <v>37</v>
      </c>
      <c r="I2213" s="82">
        <v>44440</v>
      </c>
      <c r="J2213" s="83">
        <f>EFEITO!$J$2213*EFEITO!$Y$2213</f>
        <v>0</v>
      </c>
      <c r="K2213" s="83">
        <f ca="1">EFEITO!$L$2213*EFEITO!$Z$2213</f>
        <v>366.64218398272919</v>
      </c>
      <c r="L2213" s="83">
        <f>EFEITO!$N$2213*EFEITO!$AA$2213</f>
        <v>136.29857037852136</v>
      </c>
      <c r="M2213" s="83">
        <f>$J$2213-EFEITO!$K$2213*EFEITO!$Y$2213</f>
        <v>0</v>
      </c>
      <c r="N2213" s="83">
        <f ca="1">$K$2213-EFEITO!$M$2213*EFEITO!$Z$2213</f>
        <v>0</v>
      </c>
      <c r="O2213" s="83">
        <f>$L$2213-EFEITO!$O$2213*EFEITO!$AA$2213</f>
        <v>0</v>
      </c>
      <c r="P2213" s="61"/>
      <c r="Q2213" s="61"/>
      <c r="R2213" s="61"/>
      <c r="S2213" s="61"/>
      <c r="T2213" s="61"/>
      <c r="U2213" s="61"/>
      <c r="V2213" s="61"/>
      <c r="W2213" s="61"/>
      <c r="X2213" s="6"/>
      <c r="Y2213" s="6"/>
      <c r="Z2213" s="6"/>
      <c r="AA2213" s="6"/>
      <c r="AB2213" s="6"/>
      <c r="AC2213" s="6"/>
      <c r="AD2213" s="6"/>
      <c r="AE2213" s="6"/>
      <c r="AF2213" s="6"/>
      <c r="AG2213" s="6"/>
      <c r="AH2213" s="6"/>
      <c r="AI2213" s="6"/>
      <c r="AJ2213" s="6"/>
    </row>
    <row r="2214" spans="1:36" ht="11.25" customHeight="1" x14ac:dyDescent="0.2">
      <c r="A2214" s="57" t="s">
        <v>59</v>
      </c>
      <c r="B2214" s="57" t="s">
        <v>41</v>
      </c>
      <c r="C2214" s="57" t="s">
        <v>39</v>
      </c>
      <c r="D2214" s="57" t="s">
        <v>42</v>
      </c>
      <c r="E2214" s="57" t="s">
        <v>25</v>
      </c>
      <c r="F2214" s="57" t="s">
        <v>25</v>
      </c>
      <c r="G2214" s="57" t="s">
        <v>25</v>
      </c>
      <c r="H2214" s="57" t="s">
        <v>37</v>
      </c>
      <c r="I2214" s="82">
        <v>44470</v>
      </c>
      <c r="J2214" s="83">
        <f>EFEITO!$J$2214*EFEITO!$Y$2214</f>
        <v>0</v>
      </c>
      <c r="K2214" s="83">
        <f ca="1">EFEITO!$L$2214*EFEITO!$Z$2214</f>
        <v>366.64218398272919</v>
      </c>
      <c r="L2214" s="83">
        <f>EFEITO!$N$2214*EFEITO!$AA$2214</f>
        <v>136.29857037852136</v>
      </c>
      <c r="M2214" s="83">
        <f>$J$2214-EFEITO!$K$2214*EFEITO!$Y$2214</f>
        <v>0</v>
      </c>
      <c r="N2214" s="83">
        <f ca="1">$K$2214-EFEITO!$M$2214*EFEITO!$Z$2214</f>
        <v>0</v>
      </c>
      <c r="O2214" s="83">
        <f>$L$2214-EFEITO!$O$2214*EFEITO!$AA$2214</f>
        <v>0</v>
      </c>
      <c r="P2214" s="61"/>
      <c r="Q2214" s="61"/>
      <c r="R2214" s="61"/>
      <c r="S2214" s="61"/>
      <c r="T2214" s="61"/>
      <c r="U2214" s="61"/>
      <c r="V2214" s="61"/>
      <c r="W2214" s="61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</row>
    <row r="2215" spans="1:36" ht="11.25" customHeight="1" x14ac:dyDescent="0.2">
      <c r="A2215" s="57" t="s">
        <v>21</v>
      </c>
      <c r="B2215" s="57" t="s">
        <v>41</v>
      </c>
      <c r="C2215" s="57" t="s">
        <v>39</v>
      </c>
      <c r="D2215" s="57" t="s">
        <v>48</v>
      </c>
      <c r="E2215" s="57" t="s">
        <v>25</v>
      </c>
      <c r="F2215" s="57" t="s">
        <v>25</v>
      </c>
      <c r="G2215" s="57" t="s">
        <v>25</v>
      </c>
      <c r="H2215" s="57" t="s">
        <v>38</v>
      </c>
      <c r="I2215" s="82">
        <v>44136</v>
      </c>
      <c r="J2215" s="83">
        <f>EFEITO!$J$2215*EFEITO!$Y$2215</f>
        <v>0</v>
      </c>
      <c r="K2215" s="83">
        <f ca="1">EFEITO!$L$2215*EFEITO!$Z$2215</f>
        <v>20099.687876640277</v>
      </c>
      <c r="L2215" s="83">
        <f>EFEITO!$N$2215*EFEITO!$AA$2215</f>
        <v>13241.383058955786</v>
      </c>
      <c r="M2215" s="83">
        <f>$J$2215-EFEITO!$K$2215*EFEITO!$Y$2215</f>
        <v>0</v>
      </c>
      <c r="N2215" s="83">
        <f ca="1">$K$2215-EFEITO!$M$2215*EFEITO!$Z$2215</f>
        <v>0</v>
      </c>
      <c r="O2215" s="83">
        <f>$L$2215-EFEITO!$O$2215*EFEITO!$AA$2215</f>
        <v>0</v>
      </c>
      <c r="P2215" s="61"/>
      <c r="Q2215" s="61"/>
      <c r="R2215" s="61"/>
      <c r="S2215" s="61"/>
      <c r="T2215" s="61"/>
      <c r="U2215" s="61"/>
      <c r="V2215" s="61"/>
      <c r="W2215" s="61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</row>
    <row r="2216" spans="1:36" ht="11.25" customHeight="1" x14ac:dyDescent="0.2">
      <c r="A2216" s="57" t="s">
        <v>27</v>
      </c>
      <c r="B2216" s="57" t="s">
        <v>41</v>
      </c>
      <c r="C2216" s="57" t="s">
        <v>39</v>
      </c>
      <c r="D2216" s="57" t="s">
        <v>48</v>
      </c>
      <c r="E2216" s="57" t="s">
        <v>25</v>
      </c>
      <c r="F2216" s="57" t="s">
        <v>25</v>
      </c>
      <c r="G2216" s="57" t="s">
        <v>25</v>
      </c>
      <c r="H2216" s="57" t="s">
        <v>38</v>
      </c>
      <c r="I2216" s="82">
        <v>44136</v>
      </c>
      <c r="J2216" s="83">
        <f>EFEITO!$J$2216*EFEITO!$Y$2216</f>
        <v>0</v>
      </c>
      <c r="K2216" s="83">
        <f ca="1">EFEITO!$L$2216*EFEITO!$Z$2216</f>
        <v>-85.890596229473658</v>
      </c>
      <c r="L2216" s="83">
        <f>EFEITO!$N$2216*EFEITO!$AA$2216</f>
        <v>-56.583479943404427</v>
      </c>
      <c r="M2216" s="83">
        <f>$J$2216-EFEITO!$K$2216*EFEITO!$Y$2216</f>
        <v>0</v>
      </c>
      <c r="N2216" s="83">
        <f ca="1">$K$2216-EFEITO!$M$2216*EFEITO!$Z$2216</f>
        <v>0</v>
      </c>
      <c r="O2216" s="83">
        <f>$L$2216-EFEITO!$O$2216*EFEITO!$AA$2216</f>
        <v>0</v>
      </c>
      <c r="P2216" s="61"/>
      <c r="Q2216" s="61"/>
      <c r="R2216" s="61"/>
      <c r="S2216" s="61"/>
      <c r="T2216" s="61"/>
      <c r="U2216" s="61"/>
      <c r="V2216" s="61"/>
      <c r="W2216" s="61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</row>
    <row r="2217" spans="1:36" ht="11.25" customHeight="1" x14ac:dyDescent="0.2">
      <c r="A2217" s="57" t="s">
        <v>21</v>
      </c>
      <c r="B2217" s="57" t="s">
        <v>41</v>
      </c>
      <c r="C2217" s="57" t="s">
        <v>39</v>
      </c>
      <c r="D2217" s="57" t="s">
        <v>48</v>
      </c>
      <c r="E2217" s="57" t="s">
        <v>25</v>
      </c>
      <c r="F2217" s="57" t="s">
        <v>25</v>
      </c>
      <c r="G2217" s="57" t="s">
        <v>25</v>
      </c>
      <c r="H2217" s="57" t="s">
        <v>38</v>
      </c>
      <c r="I2217" s="82">
        <v>44166</v>
      </c>
      <c r="J2217" s="83">
        <f>EFEITO!$J$2217*EFEITO!$Y$2217</f>
        <v>0</v>
      </c>
      <c r="K2217" s="83">
        <f ca="1">EFEITO!$L$2217*EFEITO!$Z$2217</f>
        <v>20517.116174315521</v>
      </c>
      <c r="L2217" s="83">
        <f>EFEITO!$N$2217*EFEITO!$AA$2217</f>
        <v>13516.378771480731</v>
      </c>
      <c r="M2217" s="83">
        <f>$J$2217-EFEITO!$K$2217*EFEITO!$Y$2217</f>
        <v>0</v>
      </c>
      <c r="N2217" s="83">
        <f ca="1">$K$2217-EFEITO!$M$2217*EFEITO!$Z$2217</f>
        <v>0</v>
      </c>
      <c r="O2217" s="83">
        <f>$L$2217-EFEITO!$O$2217*EFEITO!$AA$2217</f>
        <v>0</v>
      </c>
      <c r="P2217" s="61"/>
      <c r="Q2217" s="61"/>
      <c r="R2217" s="61"/>
      <c r="S2217" s="61"/>
      <c r="T2217" s="61"/>
      <c r="U2217" s="61"/>
      <c r="V2217" s="61"/>
      <c r="W2217" s="61"/>
      <c r="X2217" s="6"/>
      <c r="Y2217" s="6"/>
      <c r="Z2217" s="6"/>
      <c r="AA2217" s="6"/>
      <c r="AB2217" s="6"/>
      <c r="AC2217" s="6"/>
      <c r="AD2217" s="6"/>
      <c r="AE2217" s="6"/>
      <c r="AF2217" s="6"/>
      <c r="AG2217" s="6"/>
      <c r="AH2217" s="6"/>
      <c r="AI2217" s="6"/>
      <c r="AJ2217" s="6"/>
    </row>
    <row r="2218" spans="1:36" ht="11.25" customHeight="1" x14ac:dyDescent="0.2">
      <c r="A2218" s="57" t="s">
        <v>21</v>
      </c>
      <c r="B2218" s="57" t="s">
        <v>41</v>
      </c>
      <c r="C2218" s="57" t="s">
        <v>39</v>
      </c>
      <c r="D2218" s="57" t="s">
        <v>48</v>
      </c>
      <c r="E2218" s="57" t="s">
        <v>25</v>
      </c>
      <c r="F2218" s="57" t="s">
        <v>25</v>
      </c>
      <c r="G2218" s="57" t="s">
        <v>25</v>
      </c>
      <c r="H2218" s="57" t="s">
        <v>38</v>
      </c>
      <c r="I2218" s="82">
        <v>44197</v>
      </c>
      <c r="J2218" s="83">
        <f>EFEITO!$J$2218*EFEITO!$Y$2218</f>
        <v>0</v>
      </c>
      <c r="K2218" s="83">
        <f ca="1">EFEITO!$L$2218*EFEITO!$Z$2218</f>
        <v>15435.828501379858</v>
      </c>
      <c r="L2218" s="83">
        <f>EFEITO!$N$2218*EFEITO!$AA$2218</f>
        <v>10168.900098028926</v>
      </c>
      <c r="M2218" s="83">
        <f>$J$2218-EFEITO!$K$2218*EFEITO!$Y$2218</f>
        <v>0</v>
      </c>
      <c r="N2218" s="83">
        <f ca="1">$K$2218-EFEITO!$M$2218*EFEITO!$Z$2218</f>
        <v>0</v>
      </c>
      <c r="O2218" s="83">
        <f>$L$2218-EFEITO!$O$2218*EFEITO!$AA$2218</f>
        <v>0</v>
      </c>
      <c r="P2218" s="61"/>
      <c r="Q2218" s="61"/>
      <c r="R2218" s="61"/>
      <c r="S2218" s="61"/>
      <c r="T2218" s="61"/>
      <c r="U2218" s="61"/>
      <c r="V2218" s="61"/>
      <c r="W2218" s="61"/>
      <c r="X2218" s="6"/>
      <c r="Y2218" s="6"/>
      <c r="Z2218" s="6"/>
      <c r="AA2218" s="6"/>
      <c r="AB2218" s="6"/>
      <c r="AC2218" s="6"/>
      <c r="AD2218" s="6"/>
      <c r="AE2218" s="6"/>
      <c r="AF2218" s="6"/>
      <c r="AG2218" s="6"/>
      <c r="AH2218" s="6"/>
      <c r="AI2218" s="6"/>
      <c r="AJ2218" s="6"/>
    </row>
    <row r="2219" spans="1:36" ht="11.25" customHeight="1" x14ac:dyDescent="0.2">
      <c r="A2219" s="57" t="s">
        <v>27</v>
      </c>
      <c r="B2219" s="57" t="s">
        <v>41</v>
      </c>
      <c r="C2219" s="57" t="s">
        <v>39</v>
      </c>
      <c r="D2219" s="57" t="s">
        <v>48</v>
      </c>
      <c r="E2219" s="57" t="s">
        <v>25</v>
      </c>
      <c r="F2219" s="57" t="s">
        <v>25</v>
      </c>
      <c r="G2219" s="57" t="s">
        <v>25</v>
      </c>
      <c r="H2219" s="57" t="s">
        <v>38</v>
      </c>
      <c r="I2219" s="82">
        <v>44197</v>
      </c>
      <c r="J2219" s="83">
        <f>EFEITO!$J$2219*EFEITO!$Y$2219</f>
        <v>0</v>
      </c>
      <c r="K2219" s="83">
        <f ca="1">EFEITO!$L$2219*EFEITO!$Z$2219</f>
        <v>-3827.7144209664939</v>
      </c>
      <c r="L2219" s="83">
        <f>EFEITO!$N$2219*EFEITO!$AA$2219</f>
        <v>-2521.6427836778184</v>
      </c>
      <c r="M2219" s="83">
        <f>$J$2219-EFEITO!$K$2219*EFEITO!$Y$2219</f>
        <v>0</v>
      </c>
      <c r="N2219" s="83">
        <f ca="1">$K$2219-EFEITO!$M$2219*EFEITO!$Z$2219</f>
        <v>0</v>
      </c>
      <c r="O2219" s="83">
        <f>$L$2219-EFEITO!$O$2219*EFEITO!$AA$2219</f>
        <v>0</v>
      </c>
      <c r="P2219" s="61"/>
      <c r="Q2219" s="61"/>
      <c r="R2219" s="61"/>
      <c r="S2219" s="61"/>
      <c r="T2219" s="61"/>
      <c r="U2219" s="61"/>
      <c r="V2219" s="61"/>
      <c r="W2219" s="61"/>
      <c r="X2219" s="6"/>
      <c r="Y2219" s="6"/>
      <c r="Z2219" s="6"/>
      <c r="AA2219" s="6"/>
      <c r="AB2219" s="6"/>
      <c r="AC2219" s="6"/>
      <c r="AD2219" s="6"/>
      <c r="AE2219" s="6"/>
      <c r="AF2219" s="6"/>
      <c r="AG2219" s="6"/>
      <c r="AH2219" s="6"/>
      <c r="AI2219" s="6"/>
      <c r="AJ2219" s="6"/>
    </row>
    <row r="2220" spans="1:36" ht="11.25" customHeight="1" x14ac:dyDescent="0.2">
      <c r="A2220" s="57" t="s">
        <v>21</v>
      </c>
      <c r="B2220" s="57" t="s">
        <v>41</v>
      </c>
      <c r="C2220" s="57" t="s">
        <v>39</v>
      </c>
      <c r="D2220" s="57" t="s">
        <v>48</v>
      </c>
      <c r="E2220" s="57" t="s">
        <v>25</v>
      </c>
      <c r="F2220" s="57" t="s">
        <v>25</v>
      </c>
      <c r="G2220" s="57" t="s">
        <v>25</v>
      </c>
      <c r="H2220" s="57" t="s">
        <v>38</v>
      </c>
      <c r="I2220" s="82">
        <v>44228</v>
      </c>
      <c r="J2220" s="83">
        <f>EFEITO!$J$2220*EFEITO!$Y$2220</f>
        <v>0</v>
      </c>
      <c r="K2220" s="83">
        <f ca="1">EFEITO!$L$2220*EFEITO!$Z$2220</f>
        <v>11429.891093237205</v>
      </c>
      <c r="L2220" s="83">
        <f>EFEITO!$N$2220*EFEITO!$AA$2220</f>
        <v>7529.8465934685437</v>
      </c>
      <c r="M2220" s="83">
        <f>$J$2220-EFEITO!$K$2220*EFEITO!$Y$2220</f>
        <v>0</v>
      </c>
      <c r="N2220" s="83">
        <f ca="1">$K$2220-EFEITO!$M$2220*EFEITO!$Z$2220</f>
        <v>0</v>
      </c>
      <c r="O2220" s="83">
        <f>$L$2220-EFEITO!$O$2220*EFEITO!$AA$2220</f>
        <v>0</v>
      </c>
      <c r="P2220" s="61"/>
      <c r="Q2220" s="61"/>
      <c r="R2220" s="61"/>
      <c r="S2220" s="61"/>
      <c r="T2220" s="61"/>
      <c r="U2220" s="61"/>
      <c r="V2220" s="61"/>
      <c r="W2220" s="61"/>
      <c r="X2220" s="6"/>
      <c r="Y2220" s="6"/>
      <c r="Z2220" s="6"/>
      <c r="AA2220" s="6"/>
      <c r="AB2220" s="6"/>
      <c r="AC2220" s="6"/>
      <c r="AD2220" s="6"/>
      <c r="AE2220" s="6"/>
      <c r="AF2220" s="6"/>
      <c r="AG2220" s="6"/>
      <c r="AH2220" s="6"/>
      <c r="AI2220" s="6"/>
      <c r="AJ2220" s="6"/>
    </row>
    <row r="2221" spans="1:36" ht="11.25" customHeight="1" x14ac:dyDescent="0.2">
      <c r="A2221" s="57" t="s">
        <v>28</v>
      </c>
      <c r="B2221" s="57" t="s">
        <v>41</v>
      </c>
      <c r="C2221" s="57" t="s">
        <v>39</v>
      </c>
      <c r="D2221" s="57" t="s">
        <v>48</v>
      </c>
      <c r="E2221" s="57" t="s">
        <v>25</v>
      </c>
      <c r="F2221" s="57" t="s">
        <v>25</v>
      </c>
      <c r="G2221" s="57" t="s">
        <v>25</v>
      </c>
      <c r="H2221" s="57" t="s">
        <v>38</v>
      </c>
      <c r="I2221" s="82">
        <v>44228</v>
      </c>
      <c r="J2221" s="83">
        <f>EFEITO!$J$2221*EFEITO!$Y$2221</f>
        <v>0</v>
      </c>
      <c r="K2221" s="83">
        <f ca="1">EFEITO!$L$2221*EFEITO!$Z$2221</f>
        <v>140.43112483518945</v>
      </c>
      <c r="L2221" s="83">
        <f>EFEITO!$N$2221*EFEITO!$AA$2221</f>
        <v>92.513989707466237</v>
      </c>
      <c r="M2221" s="83">
        <f>$J$2221-EFEITO!$K$2221*EFEITO!$Y$2221</f>
        <v>0</v>
      </c>
      <c r="N2221" s="83">
        <f ca="1">$K$2221-EFEITO!$M$2221*EFEITO!$Z$2221</f>
        <v>0</v>
      </c>
      <c r="O2221" s="83">
        <f>$L$2221-EFEITO!$O$2221*EFEITO!$AA$2221</f>
        <v>0</v>
      </c>
      <c r="P2221" s="61"/>
      <c r="Q2221" s="61"/>
      <c r="R2221" s="61"/>
      <c r="S2221" s="61"/>
      <c r="T2221" s="61"/>
      <c r="U2221" s="61"/>
      <c r="V2221" s="61"/>
      <c r="W2221" s="61"/>
      <c r="X2221" s="6"/>
      <c r="Y2221" s="6"/>
      <c r="Z2221" s="6"/>
      <c r="AA2221" s="6"/>
      <c r="AB2221" s="6"/>
      <c r="AC2221" s="6"/>
      <c r="AD2221" s="6"/>
      <c r="AE2221" s="6"/>
      <c r="AF2221" s="6"/>
      <c r="AG2221" s="6"/>
      <c r="AH2221" s="6"/>
      <c r="AI2221" s="6"/>
      <c r="AJ2221" s="6"/>
    </row>
    <row r="2222" spans="1:36" ht="11.25" customHeight="1" x14ac:dyDescent="0.2">
      <c r="A2222" s="57" t="s">
        <v>21</v>
      </c>
      <c r="B2222" s="57" t="s">
        <v>41</v>
      </c>
      <c r="C2222" s="57" t="s">
        <v>39</v>
      </c>
      <c r="D2222" s="57" t="s">
        <v>48</v>
      </c>
      <c r="E2222" s="57" t="s">
        <v>25</v>
      </c>
      <c r="F2222" s="57" t="s">
        <v>25</v>
      </c>
      <c r="G2222" s="57" t="s">
        <v>25</v>
      </c>
      <c r="H2222" s="57" t="s">
        <v>38</v>
      </c>
      <c r="I2222" s="82">
        <v>44256</v>
      </c>
      <c r="J2222" s="83">
        <f>EFEITO!$J$2222*EFEITO!$Y$2222</f>
        <v>0</v>
      </c>
      <c r="K2222" s="83">
        <f ca="1">EFEITO!$L$2222*EFEITO!$Z$2222</f>
        <v>14637.475409426903</v>
      </c>
      <c r="L2222" s="83">
        <f>EFEITO!$N$2222*EFEITO!$AA$2222</f>
        <v>9642.9566519549826</v>
      </c>
      <c r="M2222" s="83">
        <f>$J$2222-EFEITO!$K$2222*EFEITO!$Y$2222</f>
        <v>0</v>
      </c>
      <c r="N2222" s="83">
        <f ca="1">$K$2222-EFEITO!$M$2222*EFEITO!$Z$2222</f>
        <v>0</v>
      </c>
      <c r="O2222" s="83">
        <f>$L$2222-EFEITO!$O$2222*EFEITO!$AA$2222</f>
        <v>0</v>
      </c>
      <c r="P2222" s="61"/>
      <c r="Q2222" s="61"/>
      <c r="R2222" s="61"/>
      <c r="S2222" s="61"/>
      <c r="T2222" s="61"/>
      <c r="U2222" s="61"/>
      <c r="V2222" s="61"/>
      <c r="W2222" s="61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</row>
    <row r="2223" spans="1:36" ht="11.25" customHeight="1" x14ac:dyDescent="0.2">
      <c r="A2223" s="57" t="s">
        <v>28</v>
      </c>
      <c r="B2223" s="57" t="s">
        <v>41</v>
      </c>
      <c r="C2223" s="57" t="s">
        <v>39</v>
      </c>
      <c r="D2223" s="57" t="s">
        <v>48</v>
      </c>
      <c r="E2223" s="57" t="s">
        <v>25</v>
      </c>
      <c r="F2223" s="57" t="s">
        <v>25</v>
      </c>
      <c r="G2223" s="57" t="s">
        <v>25</v>
      </c>
      <c r="H2223" s="57" t="s">
        <v>38</v>
      </c>
      <c r="I2223" s="82">
        <v>44256</v>
      </c>
      <c r="J2223" s="83">
        <f>EFEITO!$J$2223*EFEITO!$Y$2223</f>
        <v>0</v>
      </c>
      <c r="K2223" s="83">
        <f ca="1">EFEITO!$L$2223*EFEITO!$Z$2223</f>
        <v>1576.0924408108417</v>
      </c>
      <c r="L2223" s="83">
        <f>EFEITO!$N$2223*EFEITO!$AA$2223</f>
        <v>1038.3068569614711</v>
      </c>
      <c r="M2223" s="83">
        <f>$J$2223-EFEITO!$K$2223*EFEITO!$Y$2223</f>
        <v>0</v>
      </c>
      <c r="N2223" s="83">
        <f ca="1">$K$2223-EFEITO!$M$2223*EFEITO!$Z$2223</f>
        <v>0</v>
      </c>
      <c r="O2223" s="83">
        <f>$L$2223-EFEITO!$O$2223*EFEITO!$AA$2223</f>
        <v>0</v>
      </c>
      <c r="P2223" s="61"/>
      <c r="Q2223" s="61"/>
      <c r="R2223" s="61"/>
      <c r="S2223" s="61"/>
      <c r="T2223" s="61"/>
      <c r="U2223" s="61"/>
      <c r="V2223" s="61"/>
      <c r="W2223" s="61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</row>
    <row r="2224" spans="1:36" ht="11.25" customHeight="1" x14ac:dyDescent="0.2">
      <c r="A2224" s="57" t="s">
        <v>21</v>
      </c>
      <c r="B2224" s="57" t="s">
        <v>41</v>
      </c>
      <c r="C2224" s="57" t="s">
        <v>39</v>
      </c>
      <c r="D2224" s="57" t="s">
        <v>48</v>
      </c>
      <c r="E2224" s="57" t="s">
        <v>25</v>
      </c>
      <c r="F2224" s="57" t="s">
        <v>25</v>
      </c>
      <c r="G2224" s="57" t="s">
        <v>25</v>
      </c>
      <c r="H2224" s="57" t="s">
        <v>38</v>
      </c>
      <c r="I2224" s="82">
        <v>44287</v>
      </c>
      <c r="J2224" s="83">
        <f>EFEITO!$J$2224*EFEITO!$Y$2224</f>
        <v>0</v>
      </c>
      <c r="K2224" s="83">
        <f ca="1">EFEITO!$L$2224*EFEITO!$Z$2224</f>
        <v>13375.313097834785</v>
      </c>
      <c r="L2224" s="83">
        <f>EFEITO!$N$2224*EFEITO!$AA$2224</f>
        <v>8811.4624141866534</v>
      </c>
      <c r="M2224" s="83">
        <f>$J$2224-EFEITO!$K$2224*EFEITO!$Y$2224</f>
        <v>0</v>
      </c>
      <c r="N2224" s="83">
        <f ca="1">$K$2224-EFEITO!$M$2224*EFEITO!$Z$2224</f>
        <v>0</v>
      </c>
      <c r="O2224" s="83">
        <f>$L$2224-EFEITO!$O$2224*EFEITO!$AA$2224</f>
        <v>0</v>
      </c>
      <c r="P2224" s="61"/>
      <c r="Q2224" s="61"/>
      <c r="R2224" s="61"/>
      <c r="S2224" s="61"/>
      <c r="T2224" s="61"/>
      <c r="U2224" s="61"/>
      <c r="V2224" s="61"/>
      <c r="W2224" s="61"/>
      <c r="X2224" s="6"/>
      <c r="Y2224" s="6"/>
      <c r="Z2224" s="6"/>
      <c r="AA2224" s="6"/>
      <c r="AB2224" s="6"/>
      <c r="AC2224" s="6"/>
      <c r="AD2224" s="6"/>
      <c r="AE2224" s="6"/>
      <c r="AF2224" s="6"/>
      <c r="AG2224" s="6"/>
      <c r="AH2224" s="6"/>
      <c r="AI2224" s="6"/>
      <c r="AJ2224" s="6"/>
    </row>
    <row r="2225" spans="1:36" ht="11.25" customHeight="1" x14ac:dyDescent="0.2">
      <c r="A2225" s="57" t="s">
        <v>28</v>
      </c>
      <c r="B2225" s="57" t="s">
        <v>41</v>
      </c>
      <c r="C2225" s="57" t="s">
        <v>39</v>
      </c>
      <c r="D2225" s="57" t="s">
        <v>48</v>
      </c>
      <c r="E2225" s="57" t="s">
        <v>25</v>
      </c>
      <c r="F2225" s="57" t="s">
        <v>25</v>
      </c>
      <c r="G2225" s="57" t="s">
        <v>25</v>
      </c>
      <c r="H2225" s="57" t="s">
        <v>38</v>
      </c>
      <c r="I2225" s="82">
        <v>44287</v>
      </c>
      <c r="J2225" s="83">
        <f>EFEITO!$J$2225*EFEITO!$Y$2225</f>
        <v>0</v>
      </c>
      <c r="K2225" s="83">
        <f ca="1">EFEITO!$L$2225*EFEITO!$Z$2225</f>
        <v>2489.9683846924413</v>
      </c>
      <c r="L2225" s="83">
        <f>EFEITO!$N$2225*EFEITO!$AA$2225</f>
        <v>1640.3550835592944</v>
      </c>
      <c r="M2225" s="83">
        <f>$J$2225-EFEITO!$K$2225*EFEITO!$Y$2225</f>
        <v>0</v>
      </c>
      <c r="N2225" s="83">
        <f ca="1">$K$2225-EFEITO!$M$2225*EFEITO!$Z$2225</f>
        <v>0</v>
      </c>
      <c r="O2225" s="83">
        <f>$L$2225-EFEITO!$O$2225*EFEITO!$AA$2225</f>
        <v>0</v>
      </c>
      <c r="P2225" s="61"/>
      <c r="Q2225" s="61"/>
      <c r="R2225" s="61"/>
      <c r="S2225" s="61"/>
      <c r="T2225" s="61"/>
      <c r="U2225" s="61"/>
      <c r="V2225" s="61"/>
      <c r="W2225" s="61"/>
      <c r="X2225" s="6"/>
      <c r="Y2225" s="6"/>
      <c r="Z2225" s="6"/>
      <c r="AA2225" s="6"/>
      <c r="AB2225" s="6"/>
      <c r="AC2225" s="6"/>
      <c r="AD2225" s="6"/>
      <c r="AE2225" s="6"/>
      <c r="AF2225" s="6"/>
      <c r="AG2225" s="6"/>
      <c r="AH2225" s="6"/>
      <c r="AI2225" s="6"/>
      <c r="AJ2225" s="6"/>
    </row>
    <row r="2226" spans="1:36" ht="11.25" customHeight="1" x14ac:dyDescent="0.2">
      <c r="A2226" s="57" t="s">
        <v>21</v>
      </c>
      <c r="B2226" s="57" t="s">
        <v>41</v>
      </c>
      <c r="C2226" s="57" t="s">
        <v>39</v>
      </c>
      <c r="D2226" s="57" t="s">
        <v>48</v>
      </c>
      <c r="E2226" s="57" t="s">
        <v>25</v>
      </c>
      <c r="F2226" s="57" t="s">
        <v>25</v>
      </c>
      <c r="G2226" s="57" t="s">
        <v>25</v>
      </c>
      <c r="H2226" s="57" t="s">
        <v>38</v>
      </c>
      <c r="I2226" s="82">
        <v>44317</v>
      </c>
      <c r="J2226" s="83">
        <f>EFEITO!$J$2226*EFEITO!$Y$2226</f>
        <v>0</v>
      </c>
      <c r="K2226" s="83">
        <f ca="1">EFEITO!$L$2226*EFEITO!$Z$2226</f>
        <v>7235.4238263708603</v>
      </c>
      <c r="L2226" s="83">
        <f>EFEITO!$N$2226*EFEITO!$AA$2226</f>
        <v>4766.5923504323882</v>
      </c>
      <c r="M2226" s="83">
        <f>$J$2226-EFEITO!$K$2226*EFEITO!$Y$2226</f>
        <v>0</v>
      </c>
      <c r="N2226" s="83">
        <f ca="1">$K$2226-EFEITO!$M$2226*EFEITO!$Z$2226</f>
        <v>0</v>
      </c>
      <c r="O2226" s="83">
        <f>$L$2226-EFEITO!$O$2226*EFEITO!$AA$2226</f>
        <v>0</v>
      </c>
      <c r="P2226" s="61"/>
      <c r="Q2226" s="61"/>
      <c r="R2226" s="61"/>
      <c r="S2226" s="61"/>
      <c r="T2226" s="61"/>
      <c r="U2226" s="61"/>
      <c r="V2226" s="61"/>
      <c r="W2226" s="61"/>
      <c r="X2226" s="6"/>
      <c r="Y2226" s="6"/>
      <c r="Z2226" s="6"/>
      <c r="AA2226" s="6"/>
      <c r="AB2226" s="6"/>
      <c r="AC2226" s="6"/>
      <c r="AD2226" s="6"/>
      <c r="AE2226" s="6"/>
      <c r="AF2226" s="6"/>
      <c r="AG2226" s="6"/>
      <c r="AH2226" s="6"/>
      <c r="AI2226" s="6"/>
      <c r="AJ2226" s="6"/>
    </row>
    <row r="2227" spans="1:36" ht="11.25" customHeight="1" x14ac:dyDescent="0.2">
      <c r="A2227" s="57" t="s">
        <v>28</v>
      </c>
      <c r="B2227" s="57" t="s">
        <v>41</v>
      </c>
      <c r="C2227" s="57" t="s">
        <v>39</v>
      </c>
      <c r="D2227" s="57" t="s">
        <v>48</v>
      </c>
      <c r="E2227" s="57" t="s">
        <v>25</v>
      </c>
      <c r="F2227" s="57" t="s">
        <v>25</v>
      </c>
      <c r="G2227" s="57" t="s">
        <v>25</v>
      </c>
      <c r="H2227" s="57" t="s">
        <v>38</v>
      </c>
      <c r="I2227" s="82">
        <v>44317</v>
      </c>
      <c r="J2227" s="83">
        <f>EFEITO!$J$2227*EFEITO!$Y$2227</f>
        <v>0</v>
      </c>
      <c r="K2227" s="83">
        <f ca="1">EFEITO!$L$2227*EFEITO!$Z$2227</f>
        <v>5734.0562042796619</v>
      </c>
      <c r="L2227" s="83">
        <f>EFEITO!$N$2227*EFEITO!$AA$2227</f>
        <v>3777.5131210216796</v>
      </c>
      <c r="M2227" s="83">
        <f>$J$2227-EFEITO!$K$2227*EFEITO!$Y$2227</f>
        <v>0</v>
      </c>
      <c r="N2227" s="83">
        <f ca="1">$K$2227-EFEITO!$M$2227*EFEITO!$Z$2227</f>
        <v>0</v>
      </c>
      <c r="O2227" s="83">
        <f>$L$2227-EFEITO!$O$2227*EFEITO!$AA$2227</f>
        <v>0</v>
      </c>
      <c r="P2227" s="61"/>
      <c r="Q2227" s="61"/>
      <c r="R2227" s="61"/>
      <c r="S2227" s="61"/>
      <c r="T2227" s="61"/>
      <c r="U2227" s="61"/>
      <c r="V2227" s="61"/>
      <c r="W2227" s="61"/>
      <c r="X2227" s="6"/>
      <c r="Y2227" s="6"/>
      <c r="Z2227" s="6"/>
      <c r="AA2227" s="6"/>
      <c r="AB2227" s="6"/>
      <c r="AC2227" s="6"/>
      <c r="AD2227" s="6"/>
      <c r="AE2227" s="6"/>
      <c r="AF2227" s="6"/>
      <c r="AG2227" s="6"/>
      <c r="AH2227" s="6"/>
      <c r="AI2227" s="6"/>
      <c r="AJ2227" s="6"/>
    </row>
    <row r="2228" spans="1:36" ht="11.25" customHeight="1" x14ac:dyDescent="0.2">
      <c r="A2228" s="57" t="s">
        <v>21</v>
      </c>
      <c r="B2228" s="57" t="s">
        <v>41</v>
      </c>
      <c r="C2228" s="57" t="s">
        <v>39</v>
      </c>
      <c r="D2228" s="57" t="s">
        <v>48</v>
      </c>
      <c r="E2228" s="57" t="s">
        <v>25</v>
      </c>
      <c r="F2228" s="57" t="s">
        <v>25</v>
      </c>
      <c r="G2228" s="57" t="s">
        <v>25</v>
      </c>
      <c r="H2228" s="57" t="s">
        <v>38</v>
      </c>
      <c r="I2228" s="82">
        <v>44348</v>
      </c>
      <c r="J2228" s="83">
        <f>EFEITO!$J$2228*EFEITO!$Y$2228</f>
        <v>0</v>
      </c>
      <c r="K2228" s="83">
        <f ca="1">EFEITO!$L$2228*EFEITO!$Z$2228</f>
        <v>7788.9887190698191</v>
      </c>
      <c r="L2228" s="83">
        <f>EFEITO!$N$2228*EFEITO!$AA$2228</f>
        <v>5131.2728786676307</v>
      </c>
      <c r="M2228" s="83">
        <f>$J$2228-EFEITO!$K$2228*EFEITO!$Y$2228</f>
        <v>0</v>
      </c>
      <c r="N2228" s="83">
        <f ca="1">$K$2228-EFEITO!$M$2228*EFEITO!$Z$2228</f>
        <v>0</v>
      </c>
      <c r="O2228" s="83">
        <f>$L$2228-EFEITO!$O$2228*EFEITO!$AA$2228</f>
        <v>0</v>
      </c>
      <c r="P2228" s="61"/>
      <c r="Q2228" s="61"/>
      <c r="R2228" s="61"/>
      <c r="S2228" s="61"/>
      <c r="T2228" s="61"/>
      <c r="U2228" s="61"/>
      <c r="V2228" s="61"/>
      <c r="W2228" s="61"/>
      <c r="X2228" s="6"/>
      <c r="Y2228" s="6"/>
      <c r="Z2228" s="6"/>
      <c r="AA2228" s="6"/>
      <c r="AB2228" s="6"/>
      <c r="AC2228" s="6"/>
      <c r="AD2228" s="6"/>
      <c r="AE2228" s="6"/>
      <c r="AF2228" s="6"/>
      <c r="AG2228" s="6"/>
      <c r="AH2228" s="6"/>
      <c r="AI2228" s="6"/>
      <c r="AJ2228" s="6"/>
    </row>
    <row r="2229" spans="1:36" ht="11.25" customHeight="1" x14ac:dyDescent="0.2">
      <c r="A2229" s="57" t="s">
        <v>28</v>
      </c>
      <c r="B2229" s="57" t="s">
        <v>41</v>
      </c>
      <c r="C2229" s="57" t="s">
        <v>39</v>
      </c>
      <c r="D2229" s="57" t="s">
        <v>48</v>
      </c>
      <c r="E2229" s="57" t="s">
        <v>25</v>
      </c>
      <c r="F2229" s="57" t="s">
        <v>25</v>
      </c>
      <c r="G2229" s="57" t="s">
        <v>25</v>
      </c>
      <c r="H2229" s="57" t="s">
        <v>38</v>
      </c>
      <c r="I2229" s="82">
        <v>44348</v>
      </c>
      <c r="J2229" s="83">
        <f>EFEITO!$J$2229*EFEITO!$Y$2229</f>
        <v>0</v>
      </c>
      <c r="K2229" s="83">
        <f ca="1">EFEITO!$L$2229*EFEITO!$Z$2229</f>
        <v>6070.7473414991982</v>
      </c>
      <c r="L2229" s="83">
        <f>EFEITO!$N$2229*EFEITO!$AA$2229</f>
        <v>3999.3203623998247</v>
      </c>
      <c r="M2229" s="83">
        <f>$J$2229-EFEITO!$K$2229*EFEITO!$Y$2229</f>
        <v>0</v>
      </c>
      <c r="N2229" s="83">
        <f ca="1">$K$2229-EFEITO!$M$2229*EFEITO!$Z$2229</f>
        <v>0</v>
      </c>
      <c r="O2229" s="83">
        <f>$L$2229-EFEITO!$O$2229*EFEITO!$AA$2229</f>
        <v>0</v>
      </c>
      <c r="P2229" s="61"/>
      <c r="Q2229" s="61"/>
      <c r="R2229" s="61"/>
      <c r="S2229" s="61"/>
      <c r="T2229" s="61"/>
      <c r="U2229" s="61"/>
      <c r="V2229" s="61"/>
      <c r="W2229" s="61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</row>
    <row r="2230" spans="1:36" ht="11.25" customHeight="1" x14ac:dyDescent="0.2">
      <c r="A2230" s="57" t="s">
        <v>21</v>
      </c>
      <c r="B2230" s="57" t="s">
        <v>41</v>
      </c>
      <c r="C2230" s="57" t="s">
        <v>39</v>
      </c>
      <c r="D2230" s="57" t="s">
        <v>48</v>
      </c>
      <c r="E2230" s="57" t="s">
        <v>25</v>
      </c>
      <c r="F2230" s="57" t="s">
        <v>25</v>
      </c>
      <c r="G2230" s="57" t="s">
        <v>25</v>
      </c>
      <c r="H2230" s="57" t="s">
        <v>38</v>
      </c>
      <c r="I2230" s="82">
        <v>44378</v>
      </c>
      <c r="J2230" s="83">
        <f>EFEITO!$J$2230*EFEITO!$Y$2230</f>
        <v>0</v>
      </c>
      <c r="K2230" s="83">
        <f ca="1">EFEITO!$L$2230*EFEITO!$Z$2230</f>
        <v>7692.7912512928087</v>
      </c>
      <c r="L2230" s="83">
        <f>EFEITO!$N$2230*EFEITO!$AA$2230</f>
        <v>5067.8993811310174</v>
      </c>
      <c r="M2230" s="83">
        <f>$J$2230-EFEITO!$K$2230*EFEITO!$Y$2230</f>
        <v>0</v>
      </c>
      <c r="N2230" s="83">
        <f ca="1">$K$2230-EFEITO!$M$2230*EFEITO!$Z$2230</f>
        <v>0</v>
      </c>
      <c r="O2230" s="83">
        <f>$L$2230-EFEITO!$O$2230*EFEITO!$AA$2230</f>
        <v>0</v>
      </c>
      <c r="P2230" s="61"/>
      <c r="Q2230" s="61"/>
      <c r="R2230" s="61"/>
      <c r="S2230" s="61"/>
      <c r="T2230" s="61"/>
      <c r="U2230" s="61"/>
      <c r="V2230" s="61"/>
      <c r="W2230" s="61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</row>
    <row r="2231" spans="1:36" ht="11.25" customHeight="1" x14ac:dyDescent="0.2">
      <c r="A2231" s="57" t="s">
        <v>28</v>
      </c>
      <c r="B2231" s="57" t="s">
        <v>41</v>
      </c>
      <c r="C2231" s="57" t="s">
        <v>39</v>
      </c>
      <c r="D2231" s="57" t="s">
        <v>48</v>
      </c>
      <c r="E2231" s="57" t="s">
        <v>25</v>
      </c>
      <c r="F2231" s="57" t="s">
        <v>25</v>
      </c>
      <c r="G2231" s="57" t="s">
        <v>25</v>
      </c>
      <c r="H2231" s="57" t="s">
        <v>38</v>
      </c>
      <c r="I2231" s="82">
        <v>44378</v>
      </c>
      <c r="J2231" s="83">
        <f>EFEITO!$J$2231*EFEITO!$Y$2231</f>
        <v>0</v>
      </c>
      <c r="K2231" s="83">
        <f ca="1">EFEITO!$L$2231*EFEITO!$Z$2231</f>
        <v>5565.7106356698932</v>
      </c>
      <c r="L2231" s="83">
        <f>EFEITO!$N$2231*EFEITO!$AA$2231</f>
        <v>3666.6095003326072</v>
      </c>
      <c r="M2231" s="83">
        <f>$J$2231-EFEITO!$K$2231*EFEITO!$Y$2231</f>
        <v>0</v>
      </c>
      <c r="N2231" s="83">
        <f ca="1">$K$2231-EFEITO!$M$2231*EFEITO!$Z$2231</f>
        <v>0</v>
      </c>
      <c r="O2231" s="83">
        <f>$L$2231-EFEITO!$O$2231*EFEITO!$AA$2231</f>
        <v>0</v>
      </c>
      <c r="P2231" s="61"/>
      <c r="Q2231" s="61"/>
      <c r="R2231" s="61"/>
      <c r="S2231" s="61"/>
      <c r="T2231" s="61"/>
      <c r="U2231" s="61"/>
      <c r="V2231" s="61"/>
      <c r="W2231" s="61"/>
      <c r="X2231" s="6"/>
      <c r="Y2231" s="6"/>
      <c r="Z2231" s="6"/>
      <c r="AA2231" s="6"/>
      <c r="AB2231" s="6"/>
      <c r="AC2231" s="6"/>
      <c r="AD2231" s="6"/>
      <c r="AE2231" s="6"/>
      <c r="AF2231" s="6"/>
      <c r="AG2231" s="6"/>
      <c r="AH2231" s="6"/>
      <c r="AI2231" s="6"/>
      <c r="AJ2231" s="6"/>
    </row>
    <row r="2232" spans="1:36" ht="11.25" customHeight="1" x14ac:dyDescent="0.2">
      <c r="A2232" s="57" t="s">
        <v>21</v>
      </c>
      <c r="B2232" s="57" t="s">
        <v>41</v>
      </c>
      <c r="C2232" s="57" t="s">
        <v>39</v>
      </c>
      <c r="D2232" s="57" t="s">
        <v>48</v>
      </c>
      <c r="E2232" s="57" t="s">
        <v>25</v>
      </c>
      <c r="F2232" s="57" t="s">
        <v>25</v>
      </c>
      <c r="G2232" s="57" t="s">
        <v>25</v>
      </c>
      <c r="H2232" s="57" t="s">
        <v>38</v>
      </c>
      <c r="I2232" s="82">
        <v>44409</v>
      </c>
      <c r="J2232" s="83">
        <f>EFEITO!$J$2232*EFEITO!$Y$2232</f>
        <v>0</v>
      </c>
      <c r="K2232" s="83">
        <f ca="1">EFEITO!$L$2232*EFEITO!$Z$2232</f>
        <v>9353.4859293896825</v>
      </c>
      <c r="L2232" s="83">
        <f>EFEITO!$N$2232*EFEITO!$AA$2232</f>
        <v>6161.9409658367422</v>
      </c>
      <c r="M2232" s="83">
        <f>$J$2232-EFEITO!$K$2232*EFEITO!$Y$2232</f>
        <v>0</v>
      </c>
      <c r="N2232" s="83">
        <f ca="1">$K$2232-EFEITO!$M$2232*EFEITO!$Z$2232</f>
        <v>0</v>
      </c>
      <c r="O2232" s="83">
        <f>$L$2232-EFEITO!$O$2232*EFEITO!$AA$2232</f>
        <v>0</v>
      </c>
      <c r="P2232" s="61"/>
      <c r="Q2232" s="61"/>
      <c r="R2232" s="61"/>
      <c r="S2232" s="61"/>
      <c r="T2232" s="61"/>
      <c r="U2232" s="61"/>
      <c r="V2232" s="61"/>
      <c r="W2232" s="61"/>
      <c r="X2232" s="6"/>
      <c r="Y2232" s="6"/>
      <c r="Z2232" s="6"/>
      <c r="AA2232" s="6"/>
      <c r="AB2232" s="6"/>
      <c r="AC2232" s="6"/>
      <c r="AD2232" s="6"/>
      <c r="AE2232" s="6"/>
      <c r="AF2232" s="6"/>
      <c r="AG2232" s="6"/>
      <c r="AH2232" s="6"/>
      <c r="AI2232" s="6"/>
      <c r="AJ2232" s="6"/>
    </row>
    <row r="2233" spans="1:36" ht="11.25" customHeight="1" x14ac:dyDescent="0.2">
      <c r="A2233" s="57" t="s">
        <v>28</v>
      </c>
      <c r="B2233" s="57" t="s">
        <v>41</v>
      </c>
      <c r="C2233" s="57" t="s">
        <v>39</v>
      </c>
      <c r="D2233" s="57" t="s">
        <v>48</v>
      </c>
      <c r="E2233" s="57" t="s">
        <v>25</v>
      </c>
      <c r="F2233" s="57" t="s">
        <v>25</v>
      </c>
      <c r="G2233" s="57" t="s">
        <v>25</v>
      </c>
      <c r="H2233" s="57" t="s">
        <v>38</v>
      </c>
      <c r="I2233" s="82">
        <v>44409</v>
      </c>
      <c r="J2233" s="83">
        <f>EFEITO!$J$2233*EFEITO!$Y$2233</f>
        <v>0</v>
      </c>
      <c r="K2233" s="83">
        <f ca="1">EFEITO!$L$2233*EFEITO!$Z$2233</f>
        <v>7169.2880672741658</v>
      </c>
      <c r="L2233" s="83">
        <f>EFEITO!$N$2233*EFEITO!$AA$2233</f>
        <v>4723.0230708759673</v>
      </c>
      <c r="M2233" s="83">
        <f>$J$2233-EFEITO!$K$2233*EFEITO!$Y$2233</f>
        <v>0</v>
      </c>
      <c r="N2233" s="83">
        <f ca="1">$K$2233-EFEITO!$M$2233*EFEITO!$Z$2233</f>
        <v>0</v>
      </c>
      <c r="O2233" s="83">
        <f>$L$2233-EFEITO!$O$2233*EFEITO!$AA$2233</f>
        <v>0</v>
      </c>
      <c r="P2233" s="61"/>
      <c r="Q2233" s="61"/>
      <c r="R2233" s="61"/>
      <c r="S2233" s="61"/>
      <c r="T2233" s="61"/>
      <c r="U2233" s="61"/>
      <c r="V2233" s="61"/>
      <c r="W2233" s="61"/>
      <c r="X2233" s="6"/>
      <c r="Y2233" s="6"/>
      <c r="Z2233" s="6"/>
      <c r="AA2233" s="6"/>
      <c r="AB2233" s="6"/>
      <c r="AC2233" s="6"/>
      <c r="AD2233" s="6"/>
      <c r="AE2233" s="6"/>
      <c r="AF2233" s="6"/>
      <c r="AG2233" s="6"/>
      <c r="AH2233" s="6"/>
      <c r="AI2233" s="6"/>
      <c r="AJ2233" s="6"/>
    </row>
    <row r="2234" spans="1:36" ht="11.25" customHeight="1" x14ac:dyDescent="0.2">
      <c r="A2234" s="57" t="s">
        <v>21</v>
      </c>
      <c r="B2234" s="57" t="s">
        <v>41</v>
      </c>
      <c r="C2234" s="57" t="s">
        <v>39</v>
      </c>
      <c r="D2234" s="57" t="s">
        <v>48</v>
      </c>
      <c r="E2234" s="57" t="s">
        <v>25</v>
      </c>
      <c r="F2234" s="57" t="s">
        <v>25</v>
      </c>
      <c r="G2234" s="57" t="s">
        <v>25</v>
      </c>
      <c r="H2234" s="57" t="s">
        <v>38</v>
      </c>
      <c r="I2234" s="82">
        <v>44440</v>
      </c>
      <c r="J2234" s="83">
        <f>EFEITO!$J$2234*EFEITO!$Y$2234</f>
        <v>0</v>
      </c>
      <c r="K2234" s="83">
        <f ca="1">EFEITO!$L$2234*EFEITO!$Z$2234</f>
        <v>8341.2652528253329</v>
      </c>
      <c r="L2234" s="83">
        <f>EFEITO!$N$2234*EFEITO!$AA$2234</f>
        <v>5495.1046547037204</v>
      </c>
      <c r="M2234" s="83">
        <f>$J$2234-EFEITO!$K$2234*EFEITO!$Y$2234</f>
        <v>0</v>
      </c>
      <c r="N2234" s="83">
        <f ca="1">$K$2234-EFEITO!$M$2234*EFEITO!$Z$2234</f>
        <v>0</v>
      </c>
      <c r="O2234" s="83">
        <f>$L$2234-EFEITO!$O$2234*EFEITO!$AA$2234</f>
        <v>0</v>
      </c>
      <c r="P2234" s="61"/>
      <c r="Q2234" s="61"/>
      <c r="R2234" s="61"/>
      <c r="S2234" s="61"/>
      <c r="T2234" s="61"/>
      <c r="U2234" s="61"/>
      <c r="V2234" s="61"/>
      <c r="W2234" s="61"/>
      <c r="X2234" s="6"/>
      <c r="Y2234" s="6"/>
      <c r="Z2234" s="6"/>
      <c r="AA2234" s="6"/>
      <c r="AB2234" s="6"/>
      <c r="AC2234" s="6"/>
      <c r="AD2234" s="6"/>
      <c r="AE2234" s="6"/>
      <c r="AF2234" s="6"/>
      <c r="AG2234" s="6"/>
      <c r="AH2234" s="6"/>
      <c r="AI2234" s="6"/>
      <c r="AJ2234" s="6"/>
    </row>
    <row r="2235" spans="1:36" ht="11.25" customHeight="1" x14ac:dyDescent="0.2">
      <c r="A2235" s="57" t="s">
        <v>28</v>
      </c>
      <c r="B2235" s="57" t="s">
        <v>41</v>
      </c>
      <c r="C2235" s="57" t="s">
        <v>39</v>
      </c>
      <c r="D2235" s="57" t="s">
        <v>48</v>
      </c>
      <c r="E2235" s="57" t="s">
        <v>25</v>
      </c>
      <c r="F2235" s="57" t="s">
        <v>25</v>
      </c>
      <c r="G2235" s="57" t="s">
        <v>25</v>
      </c>
      <c r="H2235" s="57" t="s">
        <v>38</v>
      </c>
      <c r="I2235" s="82">
        <v>44440</v>
      </c>
      <c r="J2235" s="83">
        <f>EFEITO!$J$2235*EFEITO!$Y$2235</f>
        <v>0</v>
      </c>
      <c r="K2235" s="83">
        <f ca="1">EFEITO!$L$2235*EFEITO!$Z$2235</f>
        <v>6804.2530332989027</v>
      </c>
      <c r="L2235" s="83">
        <f>EFEITO!$N$2235*EFEITO!$AA$2235</f>
        <v>4482.5432811164983</v>
      </c>
      <c r="M2235" s="83">
        <f>$J$2235-EFEITO!$K$2235*EFEITO!$Y$2235</f>
        <v>0</v>
      </c>
      <c r="N2235" s="83">
        <f ca="1">$K$2235-EFEITO!$M$2235*EFEITO!$Z$2235</f>
        <v>0</v>
      </c>
      <c r="O2235" s="83">
        <f>$L$2235-EFEITO!$O$2235*EFEITO!$AA$2235</f>
        <v>0</v>
      </c>
      <c r="P2235" s="61"/>
      <c r="Q2235" s="61"/>
      <c r="R2235" s="61"/>
      <c r="S2235" s="61"/>
      <c r="T2235" s="61"/>
      <c r="U2235" s="61"/>
      <c r="V2235" s="61"/>
      <c r="W2235" s="61"/>
      <c r="X2235" s="6"/>
      <c r="Y2235" s="6"/>
      <c r="Z2235" s="6"/>
      <c r="AA2235" s="6"/>
      <c r="AB2235" s="6"/>
      <c r="AC2235" s="6"/>
      <c r="AD2235" s="6"/>
      <c r="AE2235" s="6"/>
      <c r="AF2235" s="6"/>
      <c r="AG2235" s="6"/>
      <c r="AH2235" s="6"/>
      <c r="AI2235" s="6"/>
      <c r="AJ2235" s="6"/>
    </row>
    <row r="2236" spans="1:36" ht="11.25" customHeight="1" x14ac:dyDescent="0.2">
      <c r="A2236" s="57" t="s">
        <v>59</v>
      </c>
      <c r="B2236" s="57" t="s">
        <v>41</v>
      </c>
      <c r="C2236" s="57" t="s">
        <v>39</v>
      </c>
      <c r="D2236" s="57" t="s">
        <v>48</v>
      </c>
      <c r="E2236" s="57" t="s">
        <v>25</v>
      </c>
      <c r="F2236" s="57" t="s">
        <v>25</v>
      </c>
      <c r="G2236" s="57" t="s">
        <v>25</v>
      </c>
      <c r="H2236" s="57" t="s">
        <v>38</v>
      </c>
      <c r="I2236" s="82">
        <v>44470</v>
      </c>
      <c r="J2236" s="83">
        <f>EFEITO!$J$2236*EFEITO!$Y$2236</f>
        <v>0</v>
      </c>
      <c r="K2236" s="83">
        <f ca="1">EFEITO!$L$2236*EFEITO!$Z$2236</f>
        <v>8341.2652528253329</v>
      </c>
      <c r="L2236" s="83">
        <f>EFEITO!$N$2236*EFEITO!$AA$2236</f>
        <v>5495.1046547037204</v>
      </c>
      <c r="M2236" s="83">
        <f>$J$2236-EFEITO!$K$2236*EFEITO!$Y$2236</f>
        <v>0</v>
      </c>
      <c r="N2236" s="83">
        <f ca="1">$K$2236-EFEITO!$M$2236*EFEITO!$Z$2236</f>
        <v>0</v>
      </c>
      <c r="O2236" s="83">
        <f>$L$2236-EFEITO!$O$2236*EFEITO!$AA$2236</f>
        <v>0</v>
      </c>
      <c r="P2236" s="61"/>
      <c r="Q2236" s="61"/>
      <c r="R2236" s="61"/>
      <c r="S2236" s="61"/>
      <c r="T2236" s="61"/>
      <c r="U2236" s="61"/>
      <c r="V2236" s="61"/>
      <c r="W2236" s="61"/>
      <c r="X2236" s="6"/>
      <c r="Y2236" s="6"/>
      <c r="Z2236" s="6"/>
      <c r="AA2236" s="6"/>
      <c r="AB2236" s="6"/>
      <c r="AC2236" s="6"/>
      <c r="AD2236" s="6"/>
      <c r="AE2236" s="6"/>
      <c r="AF2236" s="6"/>
      <c r="AG2236" s="6"/>
      <c r="AH2236" s="6"/>
      <c r="AI2236" s="6"/>
      <c r="AJ2236" s="6"/>
    </row>
    <row r="2237" spans="1:36" ht="11.25" customHeight="1" x14ac:dyDescent="0.2">
      <c r="A2237" s="57" t="s">
        <v>59</v>
      </c>
      <c r="B2237" s="57" t="s">
        <v>41</v>
      </c>
      <c r="C2237" s="57" t="s">
        <v>39</v>
      </c>
      <c r="D2237" s="57" t="s">
        <v>48</v>
      </c>
      <c r="E2237" s="57" t="s">
        <v>25</v>
      </c>
      <c r="F2237" s="57" t="s">
        <v>25</v>
      </c>
      <c r="G2237" s="57" t="s">
        <v>25</v>
      </c>
      <c r="H2237" s="57" t="s">
        <v>38</v>
      </c>
      <c r="I2237" s="82">
        <v>44470</v>
      </c>
      <c r="J2237" s="83">
        <f>EFEITO!$J$2237*EFEITO!$Y$2237</f>
        <v>0</v>
      </c>
      <c r="K2237" s="83">
        <f ca="1">EFEITO!$L$2237*EFEITO!$Z$2237</f>
        <v>6804.2530332989027</v>
      </c>
      <c r="L2237" s="83">
        <f>EFEITO!$N$2237*EFEITO!$AA$2237</f>
        <v>4482.5432811164983</v>
      </c>
      <c r="M2237" s="83">
        <f>$J$2237-EFEITO!$K$2237*EFEITO!$Y$2237</f>
        <v>0</v>
      </c>
      <c r="N2237" s="83">
        <f ca="1">$K$2237-EFEITO!$M$2237*EFEITO!$Z$2237</f>
        <v>0</v>
      </c>
      <c r="O2237" s="83">
        <f>$L$2237-EFEITO!$O$2237*EFEITO!$AA$2237</f>
        <v>0</v>
      </c>
      <c r="P2237" s="61"/>
      <c r="Q2237" s="61"/>
      <c r="R2237" s="61"/>
      <c r="S2237" s="61"/>
      <c r="T2237" s="61"/>
      <c r="U2237" s="61"/>
      <c r="V2237" s="61"/>
      <c r="W2237" s="61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</row>
    <row r="2238" spans="1:36" ht="11.25" customHeight="1" x14ac:dyDescent="0.2">
      <c r="A2238" s="57" t="s">
        <v>21</v>
      </c>
      <c r="B2238" s="57" t="s">
        <v>41</v>
      </c>
      <c r="C2238" s="57" t="s">
        <v>39</v>
      </c>
      <c r="D2238" s="57" t="s">
        <v>48</v>
      </c>
      <c r="E2238" s="57" t="s">
        <v>25</v>
      </c>
      <c r="F2238" s="57" t="s">
        <v>25</v>
      </c>
      <c r="G2238" s="57" t="s">
        <v>25</v>
      </c>
      <c r="H2238" s="57" t="s">
        <v>40</v>
      </c>
      <c r="I2238" s="82">
        <v>44136</v>
      </c>
      <c r="J2238" s="83">
        <f>EFEITO!$J$2238*EFEITO!$Y$2238</f>
        <v>0</v>
      </c>
      <c r="K2238" s="83">
        <f ca="1">EFEITO!$L$2238*EFEITO!$Z$2238</f>
        <v>1078.4906105624952</v>
      </c>
      <c r="L2238" s="83">
        <f>EFEITO!$N$2238*EFEITO!$AA$2238</f>
        <v>369.49012403043093</v>
      </c>
      <c r="M2238" s="83">
        <f>$J$2238-EFEITO!$K$2238*EFEITO!$Y$2238</f>
        <v>0</v>
      </c>
      <c r="N2238" s="83">
        <f ca="1">$K$2238-EFEITO!$M$2238*EFEITO!$Z$2238</f>
        <v>0</v>
      </c>
      <c r="O2238" s="83">
        <f>$L$2238-EFEITO!$O$2238*EFEITO!$AA$2238</f>
        <v>0</v>
      </c>
      <c r="P2238" s="61"/>
      <c r="Q2238" s="61"/>
      <c r="R2238" s="61"/>
      <c r="S2238" s="61"/>
      <c r="T2238" s="61"/>
      <c r="U2238" s="61"/>
      <c r="V2238" s="61"/>
      <c r="W2238" s="61"/>
      <c r="X2238" s="6"/>
      <c r="Y2238" s="6"/>
      <c r="Z2238" s="6"/>
      <c r="AA2238" s="6"/>
      <c r="AB2238" s="6"/>
      <c r="AC2238" s="6"/>
      <c r="AD2238" s="6"/>
      <c r="AE2238" s="6"/>
      <c r="AF2238" s="6"/>
      <c r="AG2238" s="6"/>
      <c r="AH2238" s="6"/>
      <c r="AI2238" s="6"/>
      <c r="AJ2238" s="6"/>
    </row>
    <row r="2239" spans="1:36" ht="11.25" customHeight="1" x14ac:dyDescent="0.2">
      <c r="A2239" s="57" t="s">
        <v>21</v>
      </c>
      <c r="B2239" s="57" t="s">
        <v>41</v>
      </c>
      <c r="C2239" s="57" t="s">
        <v>39</v>
      </c>
      <c r="D2239" s="57" t="s">
        <v>48</v>
      </c>
      <c r="E2239" s="57" t="s">
        <v>25</v>
      </c>
      <c r="F2239" s="57" t="s">
        <v>25</v>
      </c>
      <c r="G2239" s="57" t="s">
        <v>25</v>
      </c>
      <c r="H2239" s="57" t="s">
        <v>40</v>
      </c>
      <c r="I2239" s="82">
        <v>44166</v>
      </c>
      <c r="J2239" s="83">
        <f>EFEITO!$J$2239*EFEITO!$Y$2239</f>
        <v>0</v>
      </c>
      <c r="K2239" s="83">
        <f ca="1">EFEITO!$L$2239*EFEITO!$Z$2239</f>
        <v>1268.4238727595657</v>
      </c>
      <c r="L2239" s="83">
        <f>EFEITO!$N$2239*EFEITO!$AA$2239</f>
        <v>434.56112596534604</v>
      </c>
      <c r="M2239" s="83">
        <f>$J$2239-EFEITO!$K$2239*EFEITO!$Y$2239</f>
        <v>0</v>
      </c>
      <c r="N2239" s="83">
        <f ca="1">$K$2239-EFEITO!$M$2239*EFEITO!$Z$2239</f>
        <v>0</v>
      </c>
      <c r="O2239" s="83">
        <f>$L$2239-EFEITO!$O$2239*EFEITO!$AA$2239</f>
        <v>0</v>
      </c>
      <c r="P2239" s="61"/>
      <c r="Q2239" s="61"/>
      <c r="R2239" s="61"/>
      <c r="S2239" s="61"/>
      <c r="T2239" s="61"/>
      <c r="U2239" s="61"/>
      <c r="V2239" s="61"/>
      <c r="W2239" s="61"/>
      <c r="X2239" s="6"/>
      <c r="Y2239" s="6"/>
      <c r="Z2239" s="6"/>
      <c r="AA2239" s="6"/>
      <c r="AB2239" s="6"/>
      <c r="AC2239" s="6"/>
      <c r="AD2239" s="6"/>
      <c r="AE2239" s="6"/>
      <c r="AF2239" s="6"/>
      <c r="AG2239" s="6"/>
      <c r="AH2239" s="6"/>
      <c r="AI2239" s="6"/>
      <c r="AJ2239" s="6"/>
    </row>
    <row r="2240" spans="1:36" ht="11.25" customHeight="1" x14ac:dyDescent="0.2">
      <c r="A2240" s="57" t="s">
        <v>21</v>
      </c>
      <c r="B2240" s="57" t="s">
        <v>41</v>
      </c>
      <c r="C2240" s="57" t="s">
        <v>39</v>
      </c>
      <c r="D2240" s="57" t="s">
        <v>48</v>
      </c>
      <c r="E2240" s="57" t="s">
        <v>25</v>
      </c>
      <c r="F2240" s="57" t="s">
        <v>25</v>
      </c>
      <c r="G2240" s="57" t="s">
        <v>25</v>
      </c>
      <c r="H2240" s="57" t="s">
        <v>40</v>
      </c>
      <c r="I2240" s="82">
        <v>44197</v>
      </c>
      <c r="J2240" s="83">
        <f>EFEITO!$J$2240*EFEITO!$Y$2240</f>
        <v>0</v>
      </c>
      <c r="K2240" s="83">
        <f ca="1">EFEITO!$L$2240*EFEITO!$Z$2240</f>
        <v>964.5306532442529</v>
      </c>
      <c r="L2240" s="83">
        <f>EFEITO!$N$2240*EFEITO!$AA$2240</f>
        <v>330.44752286948182</v>
      </c>
      <c r="M2240" s="83">
        <f>$J$2240-EFEITO!$K$2240*EFEITO!$Y$2240</f>
        <v>0</v>
      </c>
      <c r="N2240" s="83">
        <f ca="1">$K$2240-EFEITO!$M$2240*EFEITO!$Z$2240</f>
        <v>0</v>
      </c>
      <c r="O2240" s="83">
        <f>$L$2240-EFEITO!$O$2240*EFEITO!$AA$2240</f>
        <v>0</v>
      </c>
      <c r="P2240" s="61"/>
      <c r="Q2240" s="61"/>
      <c r="R2240" s="61"/>
      <c r="S2240" s="61"/>
      <c r="T2240" s="61"/>
      <c r="U2240" s="61"/>
      <c r="V2240" s="61"/>
      <c r="W2240" s="61"/>
      <c r="X2240" s="6"/>
      <c r="Y2240" s="6"/>
      <c r="Z2240" s="6"/>
      <c r="AA2240" s="6"/>
      <c r="AB2240" s="6"/>
      <c r="AC2240" s="6"/>
      <c r="AD2240" s="6"/>
      <c r="AE2240" s="6"/>
      <c r="AF2240" s="6"/>
      <c r="AG2240" s="6"/>
      <c r="AH2240" s="6"/>
      <c r="AI2240" s="6"/>
      <c r="AJ2240" s="6"/>
    </row>
    <row r="2241" spans="1:36" ht="11.25" customHeight="1" x14ac:dyDescent="0.2">
      <c r="A2241" s="57" t="s">
        <v>27</v>
      </c>
      <c r="B2241" s="57" t="s">
        <v>41</v>
      </c>
      <c r="C2241" s="57" t="s">
        <v>39</v>
      </c>
      <c r="D2241" s="57" t="s">
        <v>48</v>
      </c>
      <c r="E2241" s="57" t="s">
        <v>25</v>
      </c>
      <c r="F2241" s="57" t="s">
        <v>25</v>
      </c>
      <c r="G2241" s="57" t="s">
        <v>25</v>
      </c>
      <c r="H2241" s="57" t="s">
        <v>40</v>
      </c>
      <c r="I2241" s="82">
        <v>44197</v>
      </c>
      <c r="J2241" s="83">
        <f>EFEITO!$J$2241*EFEITO!$Y$2241</f>
        <v>0</v>
      </c>
      <c r="K2241" s="83">
        <f ca="1">EFEITO!$L$2241*EFEITO!$Z$2241</f>
        <v>-14.038545466739984</v>
      </c>
      <c r="L2241" s="83">
        <f>EFEITO!$N$2241*EFEITO!$AA$2241</f>
        <v>-4.8095957951893764</v>
      </c>
      <c r="M2241" s="83">
        <f>$J$2241-EFEITO!$K$2241*EFEITO!$Y$2241</f>
        <v>0</v>
      </c>
      <c r="N2241" s="83">
        <f ca="1">$K$2241-EFEITO!$M$2241*EFEITO!$Z$2241</f>
        <v>0</v>
      </c>
      <c r="O2241" s="83">
        <f>$L$2241-EFEITO!$O$2241*EFEITO!$AA$2241</f>
        <v>0</v>
      </c>
      <c r="P2241" s="61"/>
      <c r="Q2241" s="61"/>
      <c r="R2241" s="61"/>
      <c r="S2241" s="61"/>
      <c r="T2241" s="61"/>
      <c r="U2241" s="61"/>
      <c r="V2241" s="61"/>
      <c r="W2241" s="61"/>
      <c r="X2241" s="6"/>
      <c r="Y2241" s="6"/>
      <c r="Z2241" s="6"/>
      <c r="AA2241" s="6"/>
      <c r="AB2241" s="6"/>
      <c r="AC2241" s="6"/>
      <c r="AD2241" s="6"/>
      <c r="AE2241" s="6"/>
      <c r="AF2241" s="6"/>
      <c r="AG2241" s="6"/>
      <c r="AH2241" s="6"/>
      <c r="AI2241" s="6"/>
      <c r="AJ2241" s="6"/>
    </row>
    <row r="2242" spans="1:36" ht="11.25" customHeight="1" x14ac:dyDescent="0.2">
      <c r="A2242" s="57" t="s">
        <v>21</v>
      </c>
      <c r="B2242" s="57" t="s">
        <v>41</v>
      </c>
      <c r="C2242" s="57" t="s">
        <v>39</v>
      </c>
      <c r="D2242" s="57" t="s">
        <v>48</v>
      </c>
      <c r="E2242" s="57" t="s">
        <v>25</v>
      </c>
      <c r="F2242" s="57" t="s">
        <v>25</v>
      </c>
      <c r="G2242" s="57" t="s">
        <v>25</v>
      </c>
      <c r="H2242" s="57" t="s">
        <v>40</v>
      </c>
      <c r="I2242" s="82">
        <v>44228</v>
      </c>
      <c r="J2242" s="83">
        <f>EFEITO!$J$2242*EFEITO!$Y$2242</f>
        <v>0</v>
      </c>
      <c r="K2242" s="83">
        <f ca="1">EFEITO!$L$2242*EFEITO!$Z$2242</f>
        <v>803.50027877282378</v>
      </c>
      <c r="L2242" s="83">
        <f>EFEITO!$N$2242*EFEITO!$AA$2242</f>
        <v>275.27862992466254</v>
      </c>
      <c r="M2242" s="83">
        <f>$J$2242-EFEITO!$K$2242*EFEITO!$Y$2242</f>
        <v>0</v>
      </c>
      <c r="N2242" s="83">
        <f ca="1">$K$2242-EFEITO!$M$2242*EFEITO!$Z$2242</f>
        <v>0</v>
      </c>
      <c r="O2242" s="83">
        <f>$L$2242-EFEITO!$O$2242*EFEITO!$AA$2242</f>
        <v>0</v>
      </c>
      <c r="P2242" s="61"/>
      <c r="Q2242" s="61"/>
      <c r="R2242" s="61"/>
      <c r="S2242" s="61"/>
      <c r="T2242" s="61"/>
      <c r="U2242" s="61"/>
      <c r="V2242" s="61"/>
      <c r="W2242" s="61"/>
      <c r="X2242" s="6"/>
      <c r="Y2242" s="6"/>
      <c r="Z2242" s="6"/>
      <c r="AA2242" s="6"/>
      <c r="AB2242" s="6"/>
      <c r="AC2242" s="6"/>
      <c r="AD2242" s="6"/>
      <c r="AE2242" s="6"/>
      <c r="AF2242" s="6"/>
      <c r="AG2242" s="6"/>
      <c r="AH2242" s="6"/>
      <c r="AI2242" s="6"/>
      <c r="AJ2242" s="6"/>
    </row>
    <row r="2243" spans="1:36" ht="11.25" customHeight="1" x14ac:dyDescent="0.2">
      <c r="A2243" s="57" t="s">
        <v>28</v>
      </c>
      <c r="B2243" s="57" t="s">
        <v>41</v>
      </c>
      <c r="C2243" s="57" t="s">
        <v>39</v>
      </c>
      <c r="D2243" s="57" t="s">
        <v>48</v>
      </c>
      <c r="E2243" s="57" t="s">
        <v>25</v>
      </c>
      <c r="F2243" s="57" t="s">
        <v>25</v>
      </c>
      <c r="G2243" s="57" t="s">
        <v>25</v>
      </c>
      <c r="H2243" s="57" t="s">
        <v>40</v>
      </c>
      <c r="I2243" s="82">
        <v>44228</v>
      </c>
      <c r="J2243" s="83">
        <f>EFEITO!$J$2243*EFEITO!$Y$2243</f>
        <v>0</v>
      </c>
      <c r="K2243" s="83">
        <f ca="1">EFEITO!$L$2243*EFEITO!$Z$2243</f>
        <v>4.1289839608058774</v>
      </c>
      <c r="L2243" s="83">
        <f>EFEITO!$N$2243*EFEITO!$AA$2243</f>
        <v>1.4145869985851107</v>
      </c>
      <c r="M2243" s="83">
        <f>$J$2243-EFEITO!$K$2243*EFEITO!$Y$2243</f>
        <v>0</v>
      </c>
      <c r="N2243" s="83">
        <f ca="1">$K$2243-EFEITO!$M$2243*EFEITO!$Z$2243</f>
        <v>0</v>
      </c>
      <c r="O2243" s="83">
        <f>$L$2243-EFEITO!$O$2243*EFEITO!$AA$2243</f>
        <v>0</v>
      </c>
      <c r="P2243" s="61"/>
      <c r="Q2243" s="61"/>
      <c r="R2243" s="61"/>
      <c r="S2243" s="61"/>
      <c r="T2243" s="61"/>
      <c r="U2243" s="61"/>
      <c r="V2243" s="61"/>
      <c r="W2243" s="61"/>
      <c r="X2243" s="6"/>
      <c r="Y2243" s="6"/>
      <c r="Z2243" s="6"/>
      <c r="AA2243" s="6"/>
      <c r="AB2243" s="6"/>
      <c r="AC2243" s="6"/>
      <c r="AD2243" s="6"/>
      <c r="AE2243" s="6"/>
      <c r="AF2243" s="6"/>
      <c r="AG2243" s="6"/>
      <c r="AH2243" s="6"/>
      <c r="AI2243" s="6"/>
      <c r="AJ2243" s="6"/>
    </row>
    <row r="2244" spans="1:36" ht="11.25" customHeight="1" x14ac:dyDescent="0.2">
      <c r="A2244" s="57" t="s">
        <v>21</v>
      </c>
      <c r="B2244" s="57" t="s">
        <v>41</v>
      </c>
      <c r="C2244" s="57" t="s">
        <v>39</v>
      </c>
      <c r="D2244" s="57" t="s">
        <v>48</v>
      </c>
      <c r="E2244" s="57" t="s">
        <v>25</v>
      </c>
      <c r="F2244" s="57" t="s">
        <v>25</v>
      </c>
      <c r="G2244" s="57" t="s">
        <v>25</v>
      </c>
      <c r="H2244" s="57" t="s">
        <v>40</v>
      </c>
      <c r="I2244" s="82">
        <v>44256</v>
      </c>
      <c r="J2244" s="83">
        <f>EFEITO!$J$2244*EFEITO!$Y$2244</f>
        <v>0</v>
      </c>
      <c r="K2244" s="83">
        <f ca="1">EFEITO!$L$2244*EFEITO!$Z$2244</f>
        <v>1036.3749741622753</v>
      </c>
      <c r="L2244" s="83">
        <f>EFEITO!$N$2244*EFEITO!$AA$2244</f>
        <v>355.06133664486276</v>
      </c>
      <c r="M2244" s="83">
        <f>$J$2244-EFEITO!$K$2244*EFEITO!$Y$2244</f>
        <v>0</v>
      </c>
      <c r="N2244" s="83">
        <f ca="1">$K$2244-EFEITO!$M$2244*EFEITO!$Z$2244</f>
        <v>0</v>
      </c>
      <c r="O2244" s="83">
        <f>$L$2244-EFEITO!$O$2244*EFEITO!$AA$2244</f>
        <v>0</v>
      </c>
      <c r="P2244" s="61"/>
      <c r="Q2244" s="61"/>
      <c r="R2244" s="61"/>
      <c r="S2244" s="61"/>
      <c r="T2244" s="61"/>
      <c r="U2244" s="61"/>
      <c r="V2244" s="61"/>
      <c r="W2244" s="61"/>
      <c r="X2244" s="6"/>
      <c r="Y2244" s="6"/>
      <c r="Z2244" s="6"/>
      <c r="AA2244" s="6"/>
      <c r="AB2244" s="6"/>
      <c r="AC2244" s="6"/>
      <c r="AD2244" s="6"/>
      <c r="AE2244" s="6"/>
      <c r="AF2244" s="6"/>
      <c r="AG2244" s="6"/>
      <c r="AH2244" s="6"/>
      <c r="AI2244" s="6"/>
      <c r="AJ2244" s="6"/>
    </row>
    <row r="2245" spans="1:36" ht="11.25" customHeight="1" x14ac:dyDescent="0.2">
      <c r="A2245" s="57" t="s">
        <v>28</v>
      </c>
      <c r="B2245" s="57" t="s">
        <v>41</v>
      </c>
      <c r="C2245" s="57" t="s">
        <v>39</v>
      </c>
      <c r="D2245" s="57" t="s">
        <v>48</v>
      </c>
      <c r="E2245" s="57" t="s">
        <v>25</v>
      </c>
      <c r="F2245" s="57" t="s">
        <v>25</v>
      </c>
      <c r="G2245" s="57" t="s">
        <v>25</v>
      </c>
      <c r="H2245" s="57" t="s">
        <v>40</v>
      </c>
      <c r="I2245" s="82">
        <v>44256</v>
      </c>
      <c r="J2245" s="83">
        <f>EFEITO!$J$2245*EFEITO!$Y$2245</f>
        <v>0</v>
      </c>
      <c r="K2245" s="83">
        <f ca="1">EFEITO!$L$2245*EFEITO!$Z$2245</f>
        <v>63.586352996410511</v>
      </c>
      <c r="L2245" s="83">
        <f>EFEITO!$N$2245*EFEITO!$AA$2245</f>
        <v>21.784639778210703</v>
      </c>
      <c r="M2245" s="83">
        <f>$J$2245-EFEITO!$K$2245*EFEITO!$Y$2245</f>
        <v>0</v>
      </c>
      <c r="N2245" s="83">
        <f ca="1">$K$2245-EFEITO!$M$2245*EFEITO!$Z$2245</f>
        <v>0</v>
      </c>
      <c r="O2245" s="83">
        <f>$L$2245-EFEITO!$O$2245*EFEITO!$AA$2245</f>
        <v>0</v>
      </c>
      <c r="P2245" s="61"/>
      <c r="Q2245" s="61"/>
      <c r="R2245" s="61"/>
      <c r="S2245" s="61"/>
      <c r="T2245" s="61"/>
      <c r="U2245" s="61"/>
      <c r="V2245" s="61"/>
      <c r="W2245" s="61"/>
      <c r="X2245" s="6"/>
      <c r="Y2245" s="6"/>
      <c r="Z2245" s="6"/>
      <c r="AA2245" s="6"/>
      <c r="AB2245" s="6"/>
      <c r="AC2245" s="6"/>
      <c r="AD2245" s="6"/>
      <c r="AE2245" s="6"/>
      <c r="AF2245" s="6"/>
      <c r="AG2245" s="6"/>
      <c r="AH2245" s="6"/>
      <c r="AI2245" s="6"/>
      <c r="AJ2245" s="6"/>
    </row>
    <row r="2246" spans="1:36" ht="11.25" customHeight="1" x14ac:dyDescent="0.2">
      <c r="A2246" s="57" t="s">
        <v>21</v>
      </c>
      <c r="B2246" s="57" t="s">
        <v>41</v>
      </c>
      <c r="C2246" s="57" t="s">
        <v>39</v>
      </c>
      <c r="D2246" s="57" t="s">
        <v>48</v>
      </c>
      <c r="E2246" s="57" t="s">
        <v>25</v>
      </c>
      <c r="F2246" s="57" t="s">
        <v>25</v>
      </c>
      <c r="G2246" s="57" t="s">
        <v>25</v>
      </c>
      <c r="H2246" s="57" t="s">
        <v>40</v>
      </c>
      <c r="I2246" s="82">
        <v>44287</v>
      </c>
      <c r="J2246" s="83">
        <f>EFEITO!$J$2246*EFEITO!$Y$2246</f>
        <v>0</v>
      </c>
      <c r="K2246" s="83">
        <f ca="1">EFEITO!$L$2246*EFEITO!$Z$2246</f>
        <v>526.85835339882999</v>
      </c>
      <c r="L2246" s="83">
        <f>EFEITO!$N$2246*EFEITO!$AA$2246</f>
        <v>180.50130101946013</v>
      </c>
      <c r="M2246" s="83">
        <f>$J$2246-EFEITO!$K$2246*EFEITO!$Y$2246</f>
        <v>0</v>
      </c>
      <c r="N2246" s="83">
        <f ca="1">$K$2246-EFEITO!$M$2246*EFEITO!$Z$2246</f>
        <v>0</v>
      </c>
      <c r="O2246" s="83">
        <f>$L$2246-EFEITO!$O$2246*EFEITO!$AA$2246</f>
        <v>0</v>
      </c>
      <c r="P2246" s="61"/>
      <c r="Q2246" s="61"/>
      <c r="R2246" s="61"/>
      <c r="S2246" s="61"/>
      <c r="T2246" s="61"/>
      <c r="U2246" s="61"/>
      <c r="V2246" s="61"/>
      <c r="W2246" s="61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</row>
    <row r="2247" spans="1:36" ht="11.25" customHeight="1" x14ac:dyDescent="0.2">
      <c r="A2247" s="57" t="s">
        <v>28</v>
      </c>
      <c r="B2247" s="57" t="s">
        <v>41</v>
      </c>
      <c r="C2247" s="57" t="s">
        <v>39</v>
      </c>
      <c r="D2247" s="57" t="s">
        <v>48</v>
      </c>
      <c r="E2247" s="57" t="s">
        <v>25</v>
      </c>
      <c r="F2247" s="57" t="s">
        <v>25</v>
      </c>
      <c r="G2247" s="57" t="s">
        <v>25</v>
      </c>
      <c r="H2247" s="57" t="s">
        <v>40</v>
      </c>
      <c r="I2247" s="82">
        <v>44287</v>
      </c>
      <c r="J2247" s="83">
        <f>EFEITO!$J$2247*EFEITO!$Y$2247</f>
        <v>0</v>
      </c>
      <c r="K2247" s="83">
        <f ca="1">EFEITO!$L$2247*EFEITO!$Z$2247</f>
        <v>75.973304878828145</v>
      </c>
      <c r="L2247" s="83">
        <f>EFEITO!$N$2247*EFEITO!$AA$2247</f>
        <v>26.028400773966037</v>
      </c>
      <c r="M2247" s="83">
        <f>$J$2247-EFEITO!$K$2247*EFEITO!$Y$2247</f>
        <v>0</v>
      </c>
      <c r="N2247" s="83">
        <f ca="1">$K$2247-EFEITO!$M$2247*EFEITO!$Z$2247</f>
        <v>0</v>
      </c>
      <c r="O2247" s="83">
        <f>$L$2247-EFEITO!$O$2247*EFEITO!$AA$2247</f>
        <v>0</v>
      </c>
      <c r="P2247" s="61"/>
      <c r="Q2247" s="61"/>
      <c r="R2247" s="61"/>
      <c r="S2247" s="61"/>
      <c r="T2247" s="61"/>
      <c r="U2247" s="61"/>
      <c r="V2247" s="61"/>
      <c r="W2247" s="61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</row>
    <row r="2248" spans="1:36" ht="11.25" customHeight="1" x14ac:dyDescent="0.2">
      <c r="A2248" s="57" t="s">
        <v>21</v>
      </c>
      <c r="B2248" s="57" t="s">
        <v>41</v>
      </c>
      <c r="C2248" s="57" t="s">
        <v>39</v>
      </c>
      <c r="D2248" s="57" t="s">
        <v>48</v>
      </c>
      <c r="E2248" s="57" t="s">
        <v>25</v>
      </c>
      <c r="F2248" s="57" t="s">
        <v>25</v>
      </c>
      <c r="G2248" s="57" t="s">
        <v>25</v>
      </c>
      <c r="H2248" s="57" t="s">
        <v>40</v>
      </c>
      <c r="I2248" s="82">
        <v>44317</v>
      </c>
      <c r="J2248" s="83">
        <f>EFEITO!$J$2248*EFEITO!$Y$2248</f>
        <v>0</v>
      </c>
      <c r="K2248" s="83">
        <f ca="1">EFEITO!$L$2248*EFEITO!$Z$2248</f>
        <v>116.43734769472573</v>
      </c>
      <c r="L2248" s="83">
        <f>EFEITO!$N$2248*EFEITO!$AA$2248</f>
        <v>39.891353360100119</v>
      </c>
      <c r="M2248" s="83">
        <f>$J$2248-EFEITO!$K$2248*EFEITO!$Y$2248</f>
        <v>0</v>
      </c>
      <c r="N2248" s="83">
        <f ca="1">$K$2248-EFEITO!$M$2248*EFEITO!$Z$2248</f>
        <v>0</v>
      </c>
      <c r="O2248" s="83">
        <f>$L$2248-EFEITO!$O$2248*EFEITO!$AA$2248</f>
        <v>0</v>
      </c>
      <c r="P2248" s="61"/>
      <c r="Q2248" s="61"/>
      <c r="R2248" s="61"/>
      <c r="S2248" s="61"/>
      <c r="T2248" s="61"/>
      <c r="U2248" s="61"/>
      <c r="V2248" s="61"/>
      <c r="W2248" s="61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</row>
    <row r="2249" spans="1:36" ht="11.25" customHeight="1" x14ac:dyDescent="0.2">
      <c r="A2249" s="57" t="s">
        <v>28</v>
      </c>
      <c r="B2249" s="57" t="s">
        <v>41</v>
      </c>
      <c r="C2249" s="57" t="s">
        <v>39</v>
      </c>
      <c r="D2249" s="57" t="s">
        <v>48</v>
      </c>
      <c r="E2249" s="57" t="s">
        <v>25</v>
      </c>
      <c r="F2249" s="57" t="s">
        <v>25</v>
      </c>
      <c r="G2249" s="57" t="s">
        <v>25</v>
      </c>
      <c r="H2249" s="57" t="s">
        <v>40</v>
      </c>
      <c r="I2249" s="82">
        <v>44317</v>
      </c>
      <c r="J2249" s="83">
        <f>EFEITO!$J$2249*EFEITO!$Y$2249</f>
        <v>0</v>
      </c>
      <c r="K2249" s="83">
        <f ca="1">EFEITO!$L$2249*EFEITO!$Z$2249</f>
        <v>141.21125145956103</v>
      </c>
      <c r="L2249" s="83">
        <f>EFEITO!$N$2249*EFEITO!$AA$2249</f>
        <v>48.378875351610787</v>
      </c>
      <c r="M2249" s="83">
        <f>$J$2249-EFEITO!$K$2249*EFEITO!$Y$2249</f>
        <v>0</v>
      </c>
      <c r="N2249" s="83">
        <f ca="1">$K$2249-EFEITO!$M$2249*EFEITO!$Z$2249</f>
        <v>0</v>
      </c>
      <c r="O2249" s="83">
        <f>$L$2249-EFEITO!$O$2249*EFEITO!$AA$2249</f>
        <v>0</v>
      </c>
      <c r="P2249" s="61"/>
      <c r="Q2249" s="61"/>
      <c r="R2249" s="61"/>
      <c r="S2249" s="61"/>
      <c r="T2249" s="61"/>
      <c r="U2249" s="61"/>
      <c r="V2249" s="61"/>
      <c r="W2249" s="61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</row>
    <row r="2250" spans="1:36" ht="11.25" customHeight="1" x14ac:dyDescent="0.2">
      <c r="A2250" s="57" t="s">
        <v>21</v>
      </c>
      <c r="B2250" s="57" t="s">
        <v>41</v>
      </c>
      <c r="C2250" s="57" t="s">
        <v>39</v>
      </c>
      <c r="D2250" s="57" t="s">
        <v>48</v>
      </c>
      <c r="E2250" s="57" t="s">
        <v>25</v>
      </c>
      <c r="F2250" s="57" t="s">
        <v>25</v>
      </c>
      <c r="G2250" s="57" t="s">
        <v>25</v>
      </c>
      <c r="H2250" s="57" t="s">
        <v>40</v>
      </c>
      <c r="I2250" s="82">
        <v>44348</v>
      </c>
      <c r="J2250" s="83">
        <f>EFEITO!$J$2250*EFEITO!$Y$2250</f>
        <v>0</v>
      </c>
      <c r="K2250" s="83">
        <f ca="1">EFEITO!$L$2250*EFEITO!$Z$2250</f>
        <v>119.74053486337044</v>
      </c>
      <c r="L2250" s="83">
        <f>EFEITO!$N$2250*EFEITO!$AA$2250</f>
        <v>41.023022958968205</v>
      </c>
      <c r="M2250" s="83">
        <f>$J$2250-EFEITO!$K$2250*EFEITO!$Y$2250</f>
        <v>0</v>
      </c>
      <c r="N2250" s="83">
        <f ca="1">$K$2250-EFEITO!$M$2250*EFEITO!$Z$2250</f>
        <v>0</v>
      </c>
      <c r="O2250" s="83">
        <f>$L$2250-EFEITO!$O$2250*EFEITO!$AA$2250</f>
        <v>0</v>
      </c>
      <c r="P2250" s="61"/>
      <c r="Q2250" s="61"/>
      <c r="R2250" s="61"/>
      <c r="S2250" s="61"/>
      <c r="T2250" s="61"/>
      <c r="U2250" s="61"/>
      <c r="V2250" s="61"/>
      <c r="W2250" s="61"/>
      <c r="X2250" s="6"/>
      <c r="Y2250" s="6"/>
      <c r="Z2250" s="6"/>
      <c r="AA2250" s="6"/>
      <c r="AB2250" s="6"/>
      <c r="AC2250" s="6"/>
      <c r="AD2250" s="6"/>
      <c r="AE2250" s="6"/>
      <c r="AF2250" s="6"/>
      <c r="AG2250" s="6"/>
      <c r="AH2250" s="6"/>
      <c r="AI2250" s="6"/>
      <c r="AJ2250" s="6"/>
    </row>
    <row r="2251" spans="1:36" ht="11.25" customHeight="1" x14ac:dyDescent="0.2">
      <c r="A2251" s="57" t="s">
        <v>28</v>
      </c>
      <c r="B2251" s="57" t="s">
        <v>41</v>
      </c>
      <c r="C2251" s="57" t="s">
        <v>39</v>
      </c>
      <c r="D2251" s="57" t="s">
        <v>48</v>
      </c>
      <c r="E2251" s="57" t="s">
        <v>25</v>
      </c>
      <c r="F2251" s="57" t="s">
        <v>25</v>
      </c>
      <c r="G2251" s="57" t="s">
        <v>25</v>
      </c>
      <c r="H2251" s="57" t="s">
        <v>40</v>
      </c>
      <c r="I2251" s="82">
        <v>44348</v>
      </c>
      <c r="J2251" s="83">
        <f>EFEITO!$J$2251*EFEITO!$Y$2251</f>
        <v>0</v>
      </c>
      <c r="K2251" s="83">
        <f ca="1">EFEITO!$L$2251*EFEITO!$Z$2251</f>
        <v>137.08226749875513</v>
      </c>
      <c r="L2251" s="83">
        <f>EFEITO!$N$2251*EFEITO!$AA$2251</f>
        <v>46.96428835302568</v>
      </c>
      <c r="M2251" s="83">
        <f>$J$2251-EFEITO!$K$2251*EFEITO!$Y$2251</f>
        <v>0</v>
      </c>
      <c r="N2251" s="83">
        <f ca="1">$K$2251-EFEITO!$M$2251*EFEITO!$Z$2251</f>
        <v>0</v>
      </c>
      <c r="O2251" s="83">
        <f>$L$2251-EFEITO!$O$2251*EFEITO!$AA$2251</f>
        <v>0</v>
      </c>
      <c r="P2251" s="61"/>
      <c r="Q2251" s="61"/>
      <c r="R2251" s="61"/>
      <c r="S2251" s="61"/>
      <c r="T2251" s="61"/>
      <c r="U2251" s="61"/>
      <c r="V2251" s="61"/>
      <c r="W2251" s="61"/>
      <c r="X2251" s="6"/>
      <c r="Y2251" s="6"/>
      <c r="Z2251" s="6"/>
      <c r="AA2251" s="6"/>
      <c r="AB2251" s="6"/>
      <c r="AC2251" s="6"/>
      <c r="AD2251" s="6"/>
      <c r="AE2251" s="6"/>
      <c r="AF2251" s="6"/>
      <c r="AG2251" s="6"/>
      <c r="AH2251" s="6"/>
      <c r="AI2251" s="6"/>
      <c r="AJ2251" s="6"/>
    </row>
    <row r="2252" spans="1:36" ht="11.25" customHeight="1" x14ac:dyDescent="0.2">
      <c r="A2252" s="57" t="s">
        <v>21</v>
      </c>
      <c r="B2252" s="57" t="s">
        <v>41</v>
      </c>
      <c r="C2252" s="57" t="s">
        <v>39</v>
      </c>
      <c r="D2252" s="57" t="s">
        <v>48</v>
      </c>
      <c r="E2252" s="57" t="s">
        <v>25</v>
      </c>
      <c r="F2252" s="57" t="s">
        <v>25</v>
      </c>
      <c r="G2252" s="57" t="s">
        <v>25</v>
      </c>
      <c r="H2252" s="57" t="s">
        <v>40</v>
      </c>
      <c r="I2252" s="82">
        <v>44378</v>
      </c>
      <c r="J2252" s="83">
        <f>EFEITO!$J$2252*EFEITO!$Y$2252</f>
        <v>0</v>
      </c>
      <c r="K2252" s="83">
        <f ca="1">EFEITO!$L$2252*EFEITO!$Z$2252</f>
        <v>132.12748674578808</v>
      </c>
      <c r="L2252" s="83">
        <f>EFEITO!$N$2252*EFEITO!$AA$2252</f>
        <v>45.266783954723543</v>
      </c>
      <c r="M2252" s="83">
        <f>$J$2252-EFEITO!$K$2252*EFEITO!$Y$2252</f>
        <v>0</v>
      </c>
      <c r="N2252" s="83">
        <f ca="1">$K$2252-EFEITO!$M$2252*EFEITO!$Z$2252</f>
        <v>0</v>
      </c>
      <c r="O2252" s="83">
        <f>$L$2252-EFEITO!$O$2252*EFEITO!$AA$2252</f>
        <v>0</v>
      </c>
      <c r="P2252" s="61"/>
      <c r="Q2252" s="61"/>
      <c r="R2252" s="61"/>
      <c r="S2252" s="61"/>
      <c r="T2252" s="61"/>
      <c r="U2252" s="61"/>
      <c r="V2252" s="61"/>
      <c r="W2252" s="61"/>
      <c r="X2252" s="6"/>
      <c r="Y2252" s="6"/>
      <c r="Z2252" s="6"/>
      <c r="AA2252" s="6"/>
      <c r="AB2252" s="6"/>
      <c r="AC2252" s="6"/>
      <c r="AD2252" s="6"/>
      <c r="AE2252" s="6"/>
      <c r="AF2252" s="6"/>
      <c r="AG2252" s="6"/>
      <c r="AH2252" s="6"/>
      <c r="AI2252" s="6"/>
      <c r="AJ2252" s="6"/>
    </row>
    <row r="2253" spans="1:36" ht="11.25" customHeight="1" x14ac:dyDescent="0.2">
      <c r="A2253" s="57" t="s">
        <v>28</v>
      </c>
      <c r="B2253" s="57" t="s">
        <v>41</v>
      </c>
      <c r="C2253" s="57" t="s">
        <v>39</v>
      </c>
      <c r="D2253" s="57" t="s">
        <v>48</v>
      </c>
      <c r="E2253" s="57" t="s">
        <v>25</v>
      </c>
      <c r="F2253" s="57" t="s">
        <v>25</v>
      </c>
      <c r="G2253" s="57" t="s">
        <v>25</v>
      </c>
      <c r="H2253" s="57" t="s">
        <v>40</v>
      </c>
      <c r="I2253" s="82">
        <v>44378</v>
      </c>
      <c r="J2253" s="83">
        <f>EFEITO!$J$2253*EFEITO!$Y$2253</f>
        <v>0</v>
      </c>
      <c r="K2253" s="83">
        <f ca="1">EFEITO!$L$2253*EFEITO!$Z$2253</f>
        <v>156.90139051062334</v>
      </c>
      <c r="L2253" s="83">
        <f>EFEITO!$N$2253*EFEITO!$AA$2253</f>
        <v>53.754305946234204</v>
      </c>
      <c r="M2253" s="83">
        <f>$J$2253-EFEITO!$K$2253*EFEITO!$Y$2253</f>
        <v>0</v>
      </c>
      <c r="N2253" s="83">
        <f ca="1">$K$2253-EFEITO!$M$2253*EFEITO!$Z$2253</f>
        <v>0</v>
      </c>
      <c r="O2253" s="83">
        <f>$L$2253-EFEITO!$O$2253*EFEITO!$AA$2253</f>
        <v>0</v>
      </c>
      <c r="P2253" s="61"/>
      <c r="Q2253" s="61"/>
      <c r="R2253" s="61"/>
      <c r="S2253" s="61"/>
      <c r="T2253" s="61"/>
      <c r="U2253" s="61"/>
      <c r="V2253" s="61"/>
      <c r="W2253" s="61"/>
      <c r="X2253" s="6"/>
      <c r="Y2253" s="6"/>
      <c r="Z2253" s="6"/>
      <c r="AA2253" s="6"/>
      <c r="AB2253" s="6"/>
      <c r="AC2253" s="6"/>
      <c r="AD2253" s="6"/>
      <c r="AE2253" s="6"/>
      <c r="AF2253" s="6"/>
      <c r="AG2253" s="6"/>
      <c r="AH2253" s="6"/>
      <c r="AI2253" s="6"/>
      <c r="AJ2253" s="6"/>
    </row>
    <row r="2254" spans="1:36" ht="11.25" customHeight="1" x14ac:dyDescent="0.2">
      <c r="A2254" s="57" t="s">
        <v>21</v>
      </c>
      <c r="B2254" s="57" t="s">
        <v>41</v>
      </c>
      <c r="C2254" s="57" t="s">
        <v>39</v>
      </c>
      <c r="D2254" s="57" t="s">
        <v>48</v>
      </c>
      <c r="E2254" s="57" t="s">
        <v>25</v>
      </c>
      <c r="F2254" s="57" t="s">
        <v>25</v>
      </c>
      <c r="G2254" s="57" t="s">
        <v>25</v>
      </c>
      <c r="H2254" s="57" t="s">
        <v>40</v>
      </c>
      <c r="I2254" s="82">
        <v>44409</v>
      </c>
      <c r="J2254" s="83">
        <f>EFEITO!$J$2254*EFEITO!$Y$2254</f>
        <v>0</v>
      </c>
      <c r="K2254" s="83">
        <f ca="1">EFEITO!$L$2254*EFEITO!$Z$2254</f>
        <v>131.30168995362692</v>
      </c>
      <c r="L2254" s="83">
        <f>EFEITO!$N$2254*EFEITO!$AA$2254</f>
        <v>44.983866555006522</v>
      </c>
      <c r="M2254" s="83">
        <f>$J$2254-EFEITO!$K$2254*EFEITO!$Y$2254</f>
        <v>0</v>
      </c>
      <c r="N2254" s="83">
        <f ca="1">$K$2254-EFEITO!$M$2254*EFEITO!$Z$2254</f>
        <v>0</v>
      </c>
      <c r="O2254" s="83">
        <f>$L$2254-EFEITO!$O$2254*EFEITO!$AA$2254</f>
        <v>0</v>
      </c>
      <c r="P2254" s="61"/>
      <c r="Q2254" s="61"/>
      <c r="R2254" s="61"/>
      <c r="S2254" s="61"/>
      <c r="T2254" s="61"/>
      <c r="U2254" s="61"/>
      <c r="V2254" s="61"/>
      <c r="W2254" s="61"/>
      <c r="X2254" s="6"/>
      <c r="Y2254" s="6"/>
      <c r="Z2254" s="6"/>
      <c r="AA2254" s="6"/>
      <c r="AB2254" s="6"/>
      <c r="AC2254" s="6"/>
      <c r="AD2254" s="6"/>
      <c r="AE2254" s="6"/>
      <c r="AF2254" s="6"/>
      <c r="AG2254" s="6"/>
      <c r="AH2254" s="6"/>
      <c r="AI2254" s="6"/>
      <c r="AJ2254" s="6"/>
    </row>
    <row r="2255" spans="1:36" ht="11.25" customHeight="1" x14ac:dyDescent="0.2">
      <c r="A2255" s="57" t="s">
        <v>28</v>
      </c>
      <c r="B2255" s="57" t="s">
        <v>41</v>
      </c>
      <c r="C2255" s="57" t="s">
        <v>39</v>
      </c>
      <c r="D2255" s="57" t="s">
        <v>48</v>
      </c>
      <c r="E2255" s="57" t="s">
        <v>25</v>
      </c>
      <c r="F2255" s="57" t="s">
        <v>25</v>
      </c>
      <c r="G2255" s="57" t="s">
        <v>25</v>
      </c>
      <c r="H2255" s="57" t="s">
        <v>40</v>
      </c>
      <c r="I2255" s="82">
        <v>44409</v>
      </c>
      <c r="J2255" s="83">
        <f>EFEITO!$J$2255*EFEITO!$Y$2255</f>
        <v>0</v>
      </c>
      <c r="K2255" s="83">
        <f ca="1">EFEITO!$L$2255*EFEITO!$Z$2255</f>
        <v>150.29501617333395</v>
      </c>
      <c r="L2255" s="83">
        <f>EFEITO!$N$2255*EFEITO!$AA$2255</f>
        <v>51.490966748498025</v>
      </c>
      <c r="M2255" s="83">
        <f>$J$2255-EFEITO!$K$2255*EFEITO!$Y$2255</f>
        <v>0</v>
      </c>
      <c r="N2255" s="83">
        <f ca="1">$K$2255-EFEITO!$M$2255*EFEITO!$Z$2255</f>
        <v>0</v>
      </c>
      <c r="O2255" s="83">
        <f>$L$2255-EFEITO!$O$2255*EFEITO!$AA$2255</f>
        <v>0</v>
      </c>
      <c r="P2255" s="61"/>
      <c r="Q2255" s="61"/>
      <c r="R2255" s="61"/>
      <c r="S2255" s="61"/>
      <c r="T2255" s="61"/>
      <c r="U2255" s="61"/>
      <c r="V2255" s="61"/>
      <c r="W2255" s="61"/>
      <c r="X2255" s="6"/>
      <c r="Y2255" s="6"/>
      <c r="Z2255" s="6"/>
      <c r="AA2255" s="6"/>
      <c r="AB2255" s="6"/>
      <c r="AC2255" s="6"/>
      <c r="AD2255" s="6"/>
      <c r="AE2255" s="6"/>
      <c r="AF2255" s="6"/>
      <c r="AG2255" s="6"/>
      <c r="AH2255" s="6"/>
      <c r="AI2255" s="6"/>
      <c r="AJ2255" s="6"/>
    </row>
    <row r="2256" spans="1:36" ht="11.25" customHeight="1" x14ac:dyDescent="0.2">
      <c r="A2256" s="57" t="s">
        <v>21</v>
      </c>
      <c r="B2256" s="57" t="s">
        <v>41</v>
      </c>
      <c r="C2256" s="57" t="s">
        <v>39</v>
      </c>
      <c r="D2256" s="57" t="s">
        <v>48</v>
      </c>
      <c r="E2256" s="57" t="s">
        <v>25</v>
      </c>
      <c r="F2256" s="57" t="s">
        <v>25</v>
      </c>
      <c r="G2256" s="57" t="s">
        <v>25</v>
      </c>
      <c r="H2256" s="57" t="s">
        <v>40</v>
      </c>
      <c r="I2256" s="82">
        <v>44440</v>
      </c>
      <c r="J2256" s="83">
        <f>EFEITO!$J$2256*EFEITO!$Y$2256</f>
        <v>0</v>
      </c>
      <c r="K2256" s="83">
        <f ca="1">EFEITO!$L$2256*EFEITO!$Z$2256</f>
        <v>132.12748674578808</v>
      </c>
      <c r="L2256" s="83">
        <f>EFEITO!$N$2256*EFEITO!$AA$2256</f>
        <v>45.266783954723543</v>
      </c>
      <c r="M2256" s="83">
        <f>$J$2256-EFEITO!$K$2256*EFEITO!$Y$2256</f>
        <v>0</v>
      </c>
      <c r="N2256" s="83">
        <f ca="1">$K$2256-EFEITO!$M$2256*EFEITO!$Z$2256</f>
        <v>0</v>
      </c>
      <c r="O2256" s="83">
        <f>$L$2256-EFEITO!$O$2256*EFEITO!$AA$2256</f>
        <v>0</v>
      </c>
      <c r="P2256" s="61"/>
      <c r="Q2256" s="61"/>
      <c r="R2256" s="61"/>
      <c r="S2256" s="61"/>
      <c r="T2256" s="61"/>
      <c r="U2256" s="61"/>
      <c r="V2256" s="61"/>
      <c r="W2256" s="61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</row>
    <row r="2257" spans="1:36" ht="11.25" customHeight="1" x14ac:dyDescent="0.2">
      <c r="A2257" s="57" t="s">
        <v>28</v>
      </c>
      <c r="B2257" s="57" t="s">
        <v>41</v>
      </c>
      <c r="C2257" s="57" t="s">
        <v>39</v>
      </c>
      <c r="D2257" s="57" t="s">
        <v>48</v>
      </c>
      <c r="E2257" s="57" t="s">
        <v>25</v>
      </c>
      <c r="F2257" s="57" t="s">
        <v>25</v>
      </c>
      <c r="G2257" s="57" t="s">
        <v>25</v>
      </c>
      <c r="H2257" s="57" t="s">
        <v>40</v>
      </c>
      <c r="I2257" s="82">
        <v>44440</v>
      </c>
      <c r="J2257" s="83">
        <f>EFEITO!$J$2257*EFEITO!$Y$2257</f>
        <v>0</v>
      </c>
      <c r="K2257" s="83">
        <f ca="1">EFEITO!$L$2257*EFEITO!$Z$2257</f>
        <v>136.25647070659397</v>
      </c>
      <c r="L2257" s="83">
        <f>EFEITO!$N$2257*EFEITO!$AA$2257</f>
        <v>46.681370953308658</v>
      </c>
      <c r="M2257" s="83">
        <f>$J$2257-EFEITO!$K$2257*EFEITO!$Y$2257</f>
        <v>0</v>
      </c>
      <c r="N2257" s="83">
        <f ca="1">$K$2257-EFEITO!$M$2257*EFEITO!$Z$2257</f>
        <v>0</v>
      </c>
      <c r="O2257" s="83">
        <f>$L$2257-EFEITO!$O$2257*EFEITO!$AA$2257</f>
        <v>0</v>
      </c>
      <c r="P2257" s="61"/>
      <c r="Q2257" s="61"/>
      <c r="R2257" s="61"/>
      <c r="S2257" s="61"/>
      <c r="T2257" s="61"/>
      <c r="U2257" s="61"/>
      <c r="V2257" s="61"/>
      <c r="W2257" s="61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</row>
    <row r="2258" spans="1:36" ht="11.25" customHeight="1" x14ac:dyDescent="0.2">
      <c r="A2258" s="57" t="s">
        <v>59</v>
      </c>
      <c r="B2258" s="57" t="s">
        <v>41</v>
      </c>
      <c r="C2258" s="57" t="s">
        <v>39</v>
      </c>
      <c r="D2258" s="57" t="s">
        <v>48</v>
      </c>
      <c r="E2258" s="57" t="s">
        <v>25</v>
      </c>
      <c r="F2258" s="57" t="s">
        <v>25</v>
      </c>
      <c r="G2258" s="57" t="s">
        <v>25</v>
      </c>
      <c r="H2258" s="57" t="s">
        <v>40</v>
      </c>
      <c r="I2258" s="82">
        <v>44470</v>
      </c>
      <c r="J2258" s="83">
        <f>EFEITO!$J$2258*EFEITO!$Y$2258</f>
        <v>0</v>
      </c>
      <c r="K2258" s="83">
        <f ca="1">EFEITO!$L$2258*EFEITO!$Z$2258</f>
        <v>132.12748674578808</v>
      </c>
      <c r="L2258" s="83">
        <f>EFEITO!$N$2258*EFEITO!$AA$2258</f>
        <v>45.266783954723543</v>
      </c>
      <c r="M2258" s="83">
        <f>$J$2258-EFEITO!$K$2258*EFEITO!$Y$2258</f>
        <v>0</v>
      </c>
      <c r="N2258" s="83">
        <f ca="1">$K$2258-EFEITO!$M$2258*EFEITO!$Z$2258</f>
        <v>0</v>
      </c>
      <c r="O2258" s="83">
        <f>$L$2258-EFEITO!$O$2258*EFEITO!$AA$2258</f>
        <v>0</v>
      </c>
      <c r="P2258" s="61"/>
      <c r="Q2258" s="61"/>
      <c r="R2258" s="61"/>
      <c r="S2258" s="61"/>
      <c r="T2258" s="61"/>
      <c r="U2258" s="61"/>
      <c r="V2258" s="61"/>
      <c r="W2258" s="61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</row>
    <row r="2259" spans="1:36" ht="11.25" customHeight="1" x14ac:dyDescent="0.2">
      <c r="A2259" s="57" t="s">
        <v>59</v>
      </c>
      <c r="B2259" s="57" t="s">
        <v>41</v>
      </c>
      <c r="C2259" s="57" t="s">
        <v>39</v>
      </c>
      <c r="D2259" s="57" t="s">
        <v>48</v>
      </c>
      <c r="E2259" s="57" t="s">
        <v>25</v>
      </c>
      <c r="F2259" s="57" t="s">
        <v>25</v>
      </c>
      <c r="G2259" s="57" t="s">
        <v>25</v>
      </c>
      <c r="H2259" s="57" t="s">
        <v>40</v>
      </c>
      <c r="I2259" s="82">
        <v>44470</v>
      </c>
      <c r="J2259" s="83">
        <f>EFEITO!$J$2259*EFEITO!$Y$2259</f>
        <v>0</v>
      </c>
      <c r="K2259" s="83">
        <f ca="1">EFEITO!$L$2259*EFEITO!$Z$2259</f>
        <v>136.25647070659397</v>
      </c>
      <c r="L2259" s="83">
        <f>EFEITO!$N$2259*EFEITO!$AA$2259</f>
        <v>46.681370953308658</v>
      </c>
      <c r="M2259" s="83">
        <f>$J$2259-EFEITO!$K$2259*EFEITO!$Y$2259</f>
        <v>0</v>
      </c>
      <c r="N2259" s="83">
        <f ca="1">$K$2259-EFEITO!$M$2259*EFEITO!$Z$2259</f>
        <v>0</v>
      </c>
      <c r="O2259" s="83">
        <f>$L$2259-EFEITO!$O$2259*EFEITO!$AA$2259</f>
        <v>0</v>
      </c>
      <c r="P2259" s="61"/>
      <c r="Q2259" s="61"/>
      <c r="R2259" s="61"/>
      <c r="S2259" s="61"/>
      <c r="T2259" s="61"/>
      <c r="U2259" s="61"/>
      <c r="V2259" s="61"/>
      <c r="W2259" s="61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</row>
    <row r="2260" spans="1:36" ht="11.25" customHeight="1" x14ac:dyDescent="0.2">
      <c r="A2260" s="57" t="s">
        <v>21</v>
      </c>
      <c r="B2260" s="57" t="s">
        <v>41</v>
      </c>
      <c r="C2260" s="57" t="s">
        <v>39</v>
      </c>
      <c r="D2260" s="57" t="s">
        <v>48</v>
      </c>
      <c r="E2260" s="57" t="s">
        <v>25</v>
      </c>
      <c r="F2260" s="57" t="s">
        <v>25</v>
      </c>
      <c r="G2260" s="57" t="s">
        <v>25</v>
      </c>
      <c r="H2260" s="57" t="s">
        <v>37</v>
      </c>
      <c r="I2260" s="82">
        <v>44136</v>
      </c>
      <c r="J2260" s="83">
        <f>EFEITO!$J$2260*EFEITO!$Y$2260</f>
        <v>0</v>
      </c>
      <c r="K2260" s="83">
        <f ca="1">EFEITO!$L$2260*EFEITO!$Z$2260</f>
        <v>65382.078529026825</v>
      </c>
      <c r="L2260" s="83">
        <f>EFEITO!$N$2260*EFEITO!$AA$2260</f>
        <v>24305.669727033786</v>
      </c>
      <c r="M2260" s="83">
        <f>$J$2260-EFEITO!$K$2260*EFEITO!$Y$2260</f>
        <v>0</v>
      </c>
      <c r="N2260" s="83">
        <f ca="1">$K$2260-EFEITO!$M$2260*EFEITO!$Z$2260</f>
        <v>0</v>
      </c>
      <c r="O2260" s="83">
        <f>$L$2260-EFEITO!$O$2260*EFEITO!$AA$2260</f>
        <v>0</v>
      </c>
      <c r="P2260" s="61"/>
      <c r="Q2260" s="61"/>
      <c r="R2260" s="61"/>
      <c r="S2260" s="61"/>
      <c r="T2260" s="61"/>
      <c r="U2260" s="61"/>
      <c r="V2260" s="61"/>
      <c r="W2260" s="61"/>
      <c r="X2260" s="6"/>
      <c r="Y2260" s="6"/>
      <c r="Z2260" s="6"/>
      <c r="AA2260" s="6"/>
      <c r="AB2260" s="6"/>
      <c r="AC2260" s="6"/>
      <c r="AD2260" s="6"/>
      <c r="AE2260" s="6"/>
      <c r="AF2260" s="6"/>
      <c r="AG2260" s="6"/>
      <c r="AH2260" s="6"/>
      <c r="AI2260" s="6"/>
      <c r="AJ2260" s="6"/>
    </row>
    <row r="2261" spans="1:36" ht="11.25" customHeight="1" x14ac:dyDescent="0.2">
      <c r="A2261" s="57" t="s">
        <v>27</v>
      </c>
      <c r="B2261" s="57" t="s">
        <v>41</v>
      </c>
      <c r="C2261" s="57" t="s">
        <v>39</v>
      </c>
      <c r="D2261" s="57" t="s">
        <v>48</v>
      </c>
      <c r="E2261" s="57" t="s">
        <v>25</v>
      </c>
      <c r="F2261" s="57" t="s">
        <v>25</v>
      </c>
      <c r="G2261" s="57" t="s">
        <v>25</v>
      </c>
      <c r="H2261" s="57" t="s">
        <v>37</v>
      </c>
      <c r="I2261" s="82">
        <v>44136</v>
      </c>
      <c r="J2261" s="83">
        <f>EFEITO!$J$2261*EFEITO!$Y$2261</f>
        <v>0</v>
      </c>
      <c r="K2261" s="83">
        <f ca="1">EFEITO!$L$2261*EFEITO!$Z$2261</f>
        <v>-50446.298094183716</v>
      </c>
      <c r="L2261" s="83">
        <f>EFEITO!$N$2261*EFEITO!$AA$2261</f>
        <v>-18753.320298380757</v>
      </c>
      <c r="M2261" s="83">
        <f>$J$2261-EFEITO!$K$2261*EFEITO!$Y$2261</f>
        <v>0</v>
      </c>
      <c r="N2261" s="83">
        <f ca="1">$K$2261-EFEITO!$M$2261*EFEITO!$Z$2261</f>
        <v>0</v>
      </c>
      <c r="O2261" s="83">
        <f>$L$2261-EFEITO!$O$2261*EFEITO!$AA$2261</f>
        <v>0</v>
      </c>
      <c r="P2261" s="61"/>
      <c r="Q2261" s="61"/>
      <c r="R2261" s="61"/>
      <c r="S2261" s="61"/>
      <c r="T2261" s="61"/>
      <c r="U2261" s="61"/>
      <c r="V2261" s="61"/>
      <c r="W2261" s="61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</row>
    <row r="2262" spans="1:36" ht="11.25" customHeight="1" x14ac:dyDescent="0.2">
      <c r="A2262" s="57" t="s">
        <v>21</v>
      </c>
      <c r="B2262" s="57" t="s">
        <v>41</v>
      </c>
      <c r="C2262" s="57" t="s">
        <v>39</v>
      </c>
      <c r="D2262" s="57" t="s">
        <v>48</v>
      </c>
      <c r="E2262" s="57" t="s">
        <v>25</v>
      </c>
      <c r="F2262" s="57" t="s">
        <v>25</v>
      </c>
      <c r="G2262" s="57" t="s">
        <v>25</v>
      </c>
      <c r="H2262" s="57" t="s">
        <v>37</v>
      </c>
      <c r="I2262" s="82">
        <v>44166</v>
      </c>
      <c r="J2262" s="83">
        <f>EFEITO!$J$2262*EFEITO!$Y$2262</f>
        <v>0</v>
      </c>
      <c r="K2262" s="83">
        <f ca="1">EFEITO!$L$2262*EFEITO!$Z$2262</f>
        <v>2364.8420866886036</v>
      </c>
      <c r="L2262" s="83">
        <f>EFEITO!$N$2262*EFEITO!$AA$2262</f>
        <v>879.12577894146295</v>
      </c>
      <c r="M2262" s="83">
        <f>$J$2262-EFEITO!$K$2262*EFEITO!$Y$2262</f>
        <v>0</v>
      </c>
      <c r="N2262" s="83">
        <f ca="1">$K$2262-EFEITO!$M$2262*EFEITO!$Z$2262</f>
        <v>0</v>
      </c>
      <c r="O2262" s="83">
        <f>$L$2262-EFEITO!$O$2262*EFEITO!$AA$2262</f>
        <v>0</v>
      </c>
      <c r="P2262" s="61"/>
      <c r="Q2262" s="61"/>
      <c r="R2262" s="61"/>
      <c r="S2262" s="61"/>
      <c r="T2262" s="61"/>
      <c r="U2262" s="61"/>
      <c r="V2262" s="61"/>
      <c r="W2262" s="61"/>
      <c r="X2262" s="6"/>
      <c r="Y2262" s="6"/>
      <c r="Z2262" s="6"/>
      <c r="AA2262" s="6"/>
      <c r="AB2262" s="6"/>
      <c r="AC2262" s="6"/>
      <c r="AD2262" s="6"/>
      <c r="AE2262" s="6"/>
      <c r="AF2262" s="6"/>
      <c r="AG2262" s="6"/>
      <c r="AH2262" s="6"/>
      <c r="AI2262" s="6"/>
      <c r="AJ2262" s="6"/>
    </row>
    <row r="2263" spans="1:36" ht="11.25" customHeight="1" x14ac:dyDescent="0.2">
      <c r="A2263" s="57" t="s">
        <v>27</v>
      </c>
      <c r="B2263" s="57" t="s">
        <v>41</v>
      </c>
      <c r="C2263" s="57" t="s">
        <v>39</v>
      </c>
      <c r="D2263" s="57" t="s">
        <v>48</v>
      </c>
      <c r="E2263" s="57" t="s">
        <v>25</v>
      </c>
      <c r="F2263" s="57" t="s">
        <v>25</v>
      </c>
      <c r="G2263" s="57" t="s">
        <v>25</v>
      </c>
      <c r="H2263" s="57" t="s">
        <v>37</v>
      </c>
      <c r="I2263" s="82">
        <v>44166</v>
      </c>
      <c r="J2263" s="83">
        <f>EFEITO!$J$2263*EFEITO!$Y$2263</f>
        <v>0</v>
      </c>
      <c r="K2263" s="83">
        <f ca="1">EFEITO!$L$2263*EFEITO!$Z$2263</f>
        <v>-62398.833292020689</v>
      </c>
      <c r="L2263" s="83">
        <f>EFEITO!$N$2263*EFEITO!$AA$2263</f>
        <v>-23196.653692720556</v>
      </c>
      <c r="M2263" s="83">
        <f>$J$2263-EFEITO!$K$2263*EFEITO!$Y$2263</f>
        <v>0</v>
      </c>
      <c r="N2263" s="83">
        <f ca="1">$K$2263-EFEITO!$M$2263*EFEITO!$Z$2263</f>
        <v>0</v>
      </c>
      <c r="O2263" s="83">
        <f>$L$2263-EFEITO!$O$2263*EFEITO!$AA$2263</f>
        <v>0</v>
      </c>
      <c r="P2263" s="61"/>
      <c r="Q2263" s="61"/>
      <c r="R2263" s="61"/>
      <c r="S2263" s="61"/>
      <c r="T2263" s="61"/>
      <c r="U2263" s="61"/>
      <c r="V2263" s="61"/>
      <c r="W2263" s="61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</row>
    <row r="2264" spans="1:36" ht="11.25" customHeight="1" x14ac:dyDescent="0.2">
      <c r="A2264" s="57" t="s">
        <v>21</v>
      </c>
      <c r="B2264" s="57" t="s">
        <v>41</v>
      </c>
      <c r="C2264" s="57" t="s">
        <v>39</v>
      </c>
      <c r="D2264" s="57" t="s">
        <v>48</v>
      </c>
      <c r="E2264" s="57" t="s">
        <v>25</v>
      </c>
      <c r="F2264" s="57" t="s">
        <v>25</v>
      </c>
      <c r="G2264" s="57" t="s">
        <v>25</v>
      </c>
      <c r="H2264" s="57" t="s">
        <v>37</v>
      </c>
      <c r="I2264" s="82">
        <v>44197</v>
      </c>
      <c r="J2264" s="83">
        <f>EFEITO!$J$2264*EFEITO!$Y$2264</f>
        <v>0</v>
      </c>
      <c r="K2264" s="83">
        <f ca="1">EFEITO!$L$2264*EFEITO!$Z$2264</f>
        <v>2223.0737755486148</v>
      </c>
      <c r="L2264" s="83">
        <f>EFEITO!$N$2264*EFEITO!$AA$2264</f>
        <v>826.42366506176791</v>
      </c>
      <c r="M2264" s="83">
        <f>$J$2264-EFEITO!$K$2264*EFEITO!$Y$2264</f>
        <v>0</v>
      </c>
      <c r="N2264" s="83">
        <f ca="1">$K$2264-EFEITO!$M$2264*EFEITO!$Z$2264</f>
        <v>0</v>
      </c>
      <c r="O2264" s="83">
        <f>$L$2264-EFEITO!$O$2264*EFEITO!$AA$2264</f>
        <v>0</v>
      </c>
      <c r="P2264" s="61"/>
      <c r="Q2264" s="61"/>
      <c r="R2264" s="61"/>
      <c r="S2264" s="61"/>
      <c r="T2264" s="61"/>
      <c r="U2264" s="61"/>
      <c r="V2264" s="61"/>
      <c r="W2264" s="61"/>
      <c r="X2264" s="6"/>
      <c r="Y2264" s="6"/>
      <c r="Z2264" s="6"/>
      <c r="AA2264" s="6"/>
      <c r="AB2264" s="6"/>
      <c r="AC2264" s="6"/>
      <c r="AD2264" s="6"/>
      <c r="AE2264" s="6"/>
      <c r="AF2264" s="6"/>
      <c r="AG2264" s="6"/>
      <c r="AH2264" s="6"/>
      <c r="AI2264" s="6"/>
      <c r="AJ2264" s="6"/>
    </row>
    <row r="2265" spans="1:36" ht="11.25" customHeight="1" x14ac:dyDescent="0.2">
      <c r="A2265" s="57" t="s">
        <v>27</v>
      </c>
      <c r="B2265" s="57" t="s">
        <v>41</v>
      </c>
      <c r="C2265" s="57" t="s">
        <v>39</v>
      </c>
      <c r="D2265" s="57" t="s">
        <v>48</v>
      </c>
      <c r="E2265" s="57" t="s">
        <v>25</v>
      </c>
      <c r="F2265" s="57" t="s">
        <v>25</v>
      </c>
      <c r="G2265" s="57" t="s">
        <v>25</v>
      </c>
      <c r="H2265" s="57" t="s">
        <v>37</v>
      </c>
      <c r="I2265" s="82">
        <v>44197</v>
      </c>
      <c r="J2265" s="83">
        <f>EFEITO!$J$2265*EFEITO!$Y$2265</f>
        <v>0</v>
      </c>
      <c r="K2265" s="83">
        <f ca="1">EFEITO!$L$2265*EFEITO!$Z$2265</f>
        <v>-29.331374718618338</v>
      </c>
      <c r="L2265" s="83">
        <f>EFEITO!$N$2265*EFEITO!$AA$2265</f>
        <v>-10.90388563028171</v>
      </c>
      <c r="M2265" s="83">
        <f>$J$2265-EFEITO!$K$2265*EFEITO!$Y$2265</f>
        <v>0</v>
      </c>
      <c r="N2265" s="83">
        <f ca="1">$K$2265-EFEITO!$M$2265*EFEITO!$Z$2265</f>
        <v>0</v>
      </c>
      <c r="O2265" s="83">
        <f>$L$2265-EFEITO!$O$2265*EFEITO!$AA$2265</f>
        <v>0</v>
      </c>
      <c r="P2265" s="61"/>
      <c r="Q2265" s="61"/>
      <c r="R2265" s="61"/>
      <c r="S2265" s="61"/>
      <c r="T2265" s="61"/>
      <c r="U2265" s="61"/>
      <c r="V2265" s="61"/>
      <c r="W2265" s="61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</row>
    <row r="2266" spans="1:36" ht="11.25" customHeight="1" x14ac:dyDescent="0.2">
      <c r="A2266" s="57" t="s">
        <v>21</v>
      </c>
      <c r="B2266" s="57" t="s">
        <v>41</v>
      </c>
      <c r="C2266" s="57" t="s">
        <v>39</v>
      </c>
      <c r="D2266" s="57" t="s">
        <v>48</v>
      </c>
      <c r="E2266" s="57" t="s">
        <v>25</v>
      </c>
      <c r="F2266" s="57" t="s">
        <v>25</v>
      </c>
      <c r="G2266" s="57" t="s">
        <v>25</v>
      </c>
      <c r="H2266" s="57" t="s">
        <v>37</v>
      </c>
      <c r="I2266" s="82">
        <v>44228</v>
      </c>
      <c r="J2266" s="83">
        <f>EFEITO!$J$2266*EFEITO!$Y$2266</f>
        <v>0</v>
      </c>
      <c r="K2266" s="83">
        <f ca="1">EFEITO!$L$2266*EFEITO!$Z$2266</f>
        <v>3656.6447149210862</v>
      </c>
      <c r="L2266" s="83">
        <f>EFEITO!$N$2266*EFEITO!$AA$2266</f>
        <v>1359.3510752417865</v>
      </c>
      <c r="M2266" s="83">
        <f>$J$2266-EFEITO!$K$2266*EFEITO!$Y$2266</f>
        <v>0</v>
      </c>
      <c r="N2266" s="83">
        <f ca="1">$K$2266-EFEITO!$M$2266*EFEITO!$Z$2266</f>
        <v>0</v>
      </c>
      <c r="O2266" s="83">
        <f>$L$2266-EFEITO!$O$2266*EFEITO!$AA$2266</f>
        <v>0</v>
      </c>
      <c r="P2266" s="61"/>
      <c r="Q2266" s="61"/>
      <c r="R2266" s="61"/>
      <c r="S2266" s="61"/>
      <c r="T2266" s="61"/>
      <c r="U2266" s="61"/>
      <c r="V2266" s="61"/>
      <c r="W2266" s="61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</row>
    <row r="2267" spans="1:36" ht="11.25" customHeight="1" x14ac:dyDescent="0.2">
      <c r="A2267" s="57" t="s">
        <v>28</v>
      </c>
      <c r="B2267" s="57" t="s">
        <v>41</v>
      </c>
      <c r="C2267" s="57" t="s">
        <v>39</v>
      </c>
      <c r="D2267" s="57" t="s">
        <v>48</v>
      </c>
      <c r="E2267" s="57" t="s">
        <v>25</v>
      </c>
      <c r="F2267" s="57" t="s">
        <v>25</v>
      </c>
      <c r="G2267" s="57" t="s">
        <v>25</v>
      </c>
      <c r="H2267" s="57" t="s">
        <v>37</v>
      </c>
      <c r="I2267" s="82">
        <v>44228</v>
      </c>
      <c r="J2267" s="83">
        <f>EFEITO!$J$2267*EFEITO!$Y$2267</f>
        <v>0</v>
      </c>
      <c r="K2267" s="83">
        <f ca="1">EFEITO!$L$2267*EFEITO!$Z$2267</f>
        <v>3154.3449228647469</v>
      </c>
      <c r="L2267" s="83">
        <f>EFEITO!$N$2267*EFEITO!$AA$2267</f>
        <v>1172.6220338232122</v>
      </c>
      <c r="M2267" s="83">
        <f>$J$2267-EFEITO!$K$2267*EFEITO!$Y$2267</f>
        <v>0</v>
      </c>
      <c r="N2267" s="83">
        <f ca="1">$K$2267-EFEITO!$M$2267*EFEITO!$Z$2267</f>
        <v>0</v>
      </c>
      <c r="O2267" s="83">
        <f>$L$2267-EFEITO!$O$2267*EFEITO!$AA$2267</f>
        <v>0</v>
      </c>
      <c r="P2267" s="61"/>
      <c r="Q2267" s="61"/>
      <c r="R2267" s="61"/>
      <c r="S2267" s="61"/>
      <c r="T2267" s="61"/>
      <c r="U2267" s="61"/>
      <c r="V2267" s="61"/>
      <c r="W2267" s="61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</row>
    <row r="2268" spans="1:36" ht="11.25" customHeight="1" x14ac:dyDescent="0.2">
      <c r="A2268" s="57" t="s">
        <v>21</v>
      </c>
      <c r="B2268" s="57" t="s">
        <v>41</v>
      </c>
      <c r="C2268" s="57" t="s">
        <v>39</v>
      </c>
      <c r="D2268" s="57" t="s">
        <v>48</v>
      </c>
      <c r="E2268" s="57" t="s">
        <v>25</v>
      </c>
      <c r="F2268" s="57" t="s">
        <v>25</v>
      </c>
      <c r="G2268" s="57" t="s">
        <v>25</v>
      </c>
      <c r="H2268" s="57" t="s">
        <v>37</v>
      </c>
      <c r="I2268" s="82">
        <v>44256</v>
      </c>
      <c r="J2268" s="83">
        <f>EFEITO!$J$2268*EFEITO!$Y$2268</f>
        <v>0</v>
      </c>
      <c r="K2268" s="83">
        <f ca="1">EFEITO!$L$2268*EFEITO!$Z$2268</f>
        <v>2449.1697890046312</v>
      </c>
      <c r="L2268" s="83">
        <f>EFEITO!$N$2268*EFEITO!$AA$2268</f>
        <v>910.47445012852279</v>
      </c>
      <c r="M2268" s="83">
        <f>$J$2268-EFEITO!$K$2268*EFEITO!$Y$2268</f>
        <v>0</v>
      </c>
      <c r="N2268" s="83">
        <f ca="1">$K$2268-EFEITO!$M$2268*EFEITO!$Z$2268</f>
        <v>0</v>
      </c>
      <c r="O2268" s="83">
        <f>$L$2268-EFEITO!$O$2268*EFEITO!$AA$2268</f>
        <v>0</v>
      </c>
      <c r="P2268" s="61"/>
      <c r="Q2268" s="61"/>
      <c r="R2268" s="61"/>
      <c r="S2268" s="61"/>
      <c r="T2268" s="61"/>
      <c r="U2268" s="61"/>
      <c r="V2268" s="61"/>
      <c r="W2268" s="61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</row>
    <row r="2269" spans="1:36" ht="11.25" customHeight="1" x14ac:dyDescent="0.2">
      <c r="A2269" s="57" t="s">
        <v>28</v>
      </c>
      <c r="B2269" s="57" t="s">
        <v>41</v>
      </c>
      <c r="C2269" s="57" t="s">
        <v>39</v>
      </c>
      <c r="D2269" s="57" t="s">
        <v>48</v>
      </c>
      <c r="E2269" s="57" t="s">
        <v>25</v>
      </c>
      <c r="F2269" s="57" t="s">
        <v>25</v>
      </c>
      <c r="G2269" s="57" t="s">
        <v>25</v>
      </c>
      <c r="H2269" s="57" t="s">
        <v>37</v>
      </c>
      <c r="I2269" s="82">
        <v>44256</v>
      </c>
      <c r="J2269" s="83">
        <f>EFEITO!$J$2269*EFEITO!$Y$2269</f>
        <v>0</v>
      </c>
      <c r="K2269" s="83">
        <f ca="1">EFEITO!$L$2269*EFEITO!$Z$2269</f>
        <v>1653.5562497621088</v>
      </c>
      <c r="L2269" s="83">
        <f>EFEITO!$N$2269*EFEITO!$AA$2269</f>
        <v>614.70655240713143</v>
      </c>
      <c r="M2269" s="83">
        <f>$J$2269-EFEITO!$K$2269*EFEITO!$Y$2269</f>
        <v>0</v>
      </c>
      <c r="N2269" s="83">
        <f ca="1">$K$2269-EFEITO!$M$2269*EFEITO!$Z$2269</f>
        <v>0</v>
      </c>
      <c r="O2269" s="83">
        <f>$L$2269-EFEITO!$O$2269*EFEITO!$AA$2269</f>
        <v>0</v>
      </c>
      <c r="P2269" s="61"/>
      <c r="Q2269" s="61"/>
      <c r="R2269" s="61"/>
      <c r="S2269" s="61"/>
      <c r="T2269" s="61"/>
      <c r="U2269" s="61"/>
      <c r="V2269" s="61"/>
      <c r="W2269" s="61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</row>
    <row r="2270" spans="1:36" ht="11.25" customHeight="1" x14ac:dyDescent="0.2">
      <c r="A2270" s="57" t="s">
        <v>21</v>
      </c>
      <c r="B2270" s="57" t="s">
        <v>41</v>
      </c>
      <c r="C2270" s="57" t="s">
        <v>39</v>
      </c>
      <c r="D2270" s="57" t="s">
        <v>48</v>
      </c>
      <c r="E2270" s="57" t="s">
        <v>25</v>
      </c>
      <c r="F2270" s="57" t="s">
        <v>25</v>
      </c>
      <c r="G2270" s="57" t="s">
        <v>25</v>
      </c>
      <c r="H2270" s="57" t="s">
        <v>37</v>
      </c>
      <c r="I2270" s="82">
        <v>44287</v>
      </c>
      <c r="J2270" s="83">
        <f>EFEITO!$J$2270*EFEITO!$Y$2270</f>
        <v>0</v>
      </c>
      <c r="K2270" s="83">
        <f ca="1">EFEITO!$L$2270*EFEITO!$Z$2270</f>
        <v>1000.9331622728507</v>
      </c>
      <c r="L2270" s="83">
        <f>EFEITO!$N$2270*EFEITO!$AA$2270</f>
        <v>372.09509713336337</v>
      </c>
      <c r="M2270" s="83">
        <f>$J$2270-EFEITO!$K$2270*EFEITO!$Y$2270</f>
        <v>0</v>
      </c>
      <c r="N2270" s="83">
        <f ca="1">$K$2270-EFEITO!$M$2270*EFEITO!$Z$2270</f>
        <v>0</v>
      </c>
      <c r="O2270" s="83">
        <f>$L$2270-EFEITO!$O$2270*EFEITO!$AA$2270</f>
        <v>0</v>
      </c>
      <c r="P2270" s="61"/>
      <c r="Q2270" s="61"/>
      <c r="R2270" s="61"/>
      <c r="S2270" s="61"/>
      <c r="T2270" s="61"/>
      <c r="U2270" s="61"/>
      <c r="V2270" s="61"/>
      <c r="W2270" s="61"/>
      <c r="X2270" s="6"/>
      <c r="Y2270" s="6"/>
      <c r="Z2270" s="6"/>
      <c r="AA2270" s="6"/>
      <c r="AB2270" s="6"/>
      <c r="AC2270" s="6"/>
      <c r="AD2270" s="6"/>
      <c r="AE2270" s="6"/>
      <c r="AF2270" s="6"/>
      <c r="AG2270" s="6"/>
      <c r="AH2270" s="6"/>
      <c r="AI2270" s="6"/>
      <c r="AJ2270" s="6"/>
    </row>
    <row r="2271" spans="1:36" ht="11.25" customHeight="1" x14ac:dyDescent="0.2">
      <c r="A2271" s="57" t="s">
        <v>28</v>
      </c>
      <c r="B2271" s="57" t="s">
        <v>41</v>
      </c>
      <c r="C2271" s="57" t="s">
        <v>39</v>
      </c>
      <c r="D2271" s="57" t="s">
        <v>48</v>
      </c>
      <c r="E2271" s="57" t="s">
        <v>25</v>
      </c>
      <c r="F2271" s="57" t="s">
        <v>25</v>
      </c>
      <c r="G2271" s="57" t="s">
        <v>25</v>
      </c>
      <c r="H2271" s="57" t="s">
        <v>37</v>
      </c>
      <c r="I2271" s="82">
        <v>44287</v>
      </c>
      <c r="J2271" s="83">
        <f>EFEITO!$J$2271*EFEITO!$Y$2271</f>
        <v>0</v>
      </c>
      <c r="K2271" s="83">
        <f ca="1">EFEITO!$L$2271*EFEITO!$Z$2271</f>
        <v>3569.8727313785066</v>
      </c>
      <c r="L2271" s="83">
        <f>EFEITO!$N$2271*EFEITO!$AA$2271</f>
        <v>1327.0937469188698</v>
      </c>
      <c r="M2271" s="83">
        <f>$J$2271-EFEITO!$K$2271*EFEITO!$Y$2271</f>
        <v>0</v>
      </c>
      <c r="N2271" s="83">
        <f ca="1">$K$2271-EFEITO!$M$2271*EFEITO!$Z$2271</f>
        <v>0</v>
      </c>
      <c r="O2271" s="83">
        <f>$L$2271-EFEITO!$O$2271*EFEITO!$AA$2271</f>
        <v>0</v>
      </c>
      <c r="P2271" s="61"/>
      <c r="Q2271" s="61"/>
      <c r="R2271" s="61"/>
      <c r="S2271" s="61"/>
      <c r="T2271" s="61"/>
      <c r="U2271" s="61"/>
      <c r="V2271" s="61"/>
      <c r="W2271" s="61"/>
      <c r="X2271" s="6"/>
      <c r="Y2271" s="6"/>
      <c r="Z2271" s="6"/>
      <c r="AA2271" s="6"/>
      <c r="AB2271" s="6"/>
      <c r="AC2271" s="6"/>
      <c r="AD2271" s="6"/>
      <c r="AE2271" s="6"/>
      <c r="AF2271" s="6"/>
      <c r="AG2271" s="6"/>
      <c r="AH2271" s="6"/>
      <c r="AI2271" s="6"/>
      <c r="AJ2271" s="6"/>
    </row>
    <row r="2272" spans="1:36" ht="11.25" customHeight="1" x14ac:dyDescent="0.2">
      <c r="A2272" s="57" t="s">
        <v>21</v>
      </c>
      <c r="B2272" s="57" t="s">
        <v>41</v>
      </c>
      <c r="C2272" s="57" t="s">
        <v>39</v>
      </c>
      <c r="D2272" s="57" t="s">
        <v>48</v>
      </c>
      <c r="E2272" s="57" t="s">
        <v>25</v>
      </c>
      <c r="F2272" s="57" t="s">
        <v>25</v>
      </c>
      <c r="G2272" s="57" t="s">
        <v>25</v>
      </c>
      <c r="H2272" s="57" t="s">
        <v>37</v>
      </c>
      <c r="I2272" s="82">
        <v>44317</v>
      </c>
      <c r="J2272" s="83">
        <f>EFEITO!$J$2272*EFEITO!$Y$2272</f>
        <v>0</v>
      </c>
      <c r="K2272" s="83">
        <f ca="1">EFEITO!$L$2272*EFEITO!$Z$2272</f>
        <v>289.64732534635607</v>
      </c>
      <c r="L2272" s="83">
        <f>EFEITO!$N$2272*EFEITO!$AA$2272</f>
        <v>107.67587059903188</v>
      </c>
      <c r="M2272" s="83">
        <f>$J$2272-EFEITO!$K$2272*EFEITO!$Y$2272</f>
        <v>0</v>
      </c>
      <c r="N2272" s="83">
        <f ca="1">$K$2272-EFEITO!$M$2272*EFEITO!$Z$2272</f>
        <v>0</v>
      </c>
      <c r="O2272" s="83">
        <f>$L$2272-EFEITO!$O$2272*EFEITO!$AA$2272</f>
        <v>0</v>
      </c>
      <c r="P2272" s="61"/>
      <c r="Q2272" s="61"/>
      <c r="R2272" s="61"/>
      <c r="S2272" s="61"/>
      <c r="T2272" s="61"/>
      <c r="U2272" s="61"/>
      <c r="V2272" s="61"/>
      <c r="W2272" s="61"/>
      <c r="X2272" s="6"/>
      <c r="Y2272" s="6"/>
      <c r="Z2272" s="6"/>
      <c r="AA2272" s="6"/>
      <c r="AB2272" s="6"/>
      <c r="AC2272" s="6"/>
      <c r="AD2272" s="6"/>
      <c r="AE2272" s="6"/>
      <c r="AF2272" s="6"/>
      <c r="AG2272" s="6"/>
      <c r="AH2272" s="6"/>
      <c r="AI2272" s="6"/>
      <c r="AJ2272" s="6"/>
    </row>
    <row r="2273" spans="1:36" ht="11.25" customHeight="1" x14ac:dyDescent="0.2">
      <c r="A2273" s="57" t="s">
        <v>28</v>
      </c>
      <c r="B2273" s="57" t="s">
        <v>41</v>
      </c>
      <c r="C2273" s="57" t="s">
        <v>39</v>
      </c>
      <c r="D2273" s="57" t="s">
        <v>48</v>
      </c>
      <c r="E2273" s="57" t="s">
        <v>25</v>
      </c>
      <c r="F2273" s="57" t="s">
        <v>25</v>
      </c>
      <c r="G2273" s="57" t="s">
        <v>25</v>
      </c>
      <c r="H2273" s="57" t="s">
        <v>37</v>
      </c>
      <c r="I2273" s="82">
        <v>44317</v>
      </c>
      <c r="J2273" s="83">
        <f>EFEITO!$J$2273*EFEITO!$Y$2273</f>
        <v>0</v>
      </c>
      <c r="K2273" s="83">
        <f ca="1">EFEITO!$L$2273*EFEITO!$Z$2273</f>
        <v>284.75876289325305</v>
      </c>
      <c r="L2273" s="83">
        <f>EFEITO!$N$2273*EFEITO!$AA$2273</f>
        <v>105.85855632731828</v>
      </c>
      <c r="M2273" s="83">
        <f>$J$2273-EFEITO!$K$2273*EFEITO!$Y$2273</f>
        <v>0</v>
      </c>
      <c r="N2273" s="83">
        <f ca="1">$K$2273-EFEITO!$M$2273*EFEITO!$Z$2273</f>
        <v>0</v>
      </c>
      <c r="O2273" s="83">
        <f>$L$2273-EFEITO!$O$2273*EFEITO!$AA$2273</f>
        <v>0</v>
      </c>
      <c r="P2273" s="61"/>
      <c r="Q2273" s="61"/>
      <c r="R2273" s="61"/>
      <c r="S2273" s="61"/>
      <c r="T2273" s="61"/>
      <c r="U2273" s="61"/>
      <c r="V2273" s="61"/>
      <c r="W2273" s="61"/>
      <c r="X2273" s="6"/>
      <c r="Y2273" s="6"/>
      <c r="Z2273" s="6"/>
      <c r="AA2273" s="6"/>
      <c r="AB2273" s="6"/>
      <c r="AC2273" s="6"/>
      <c r="AD2273" s="6"/>
      <c r="AE2273" s="6"/>
      <c r="AF2273" s="6"/>
      <c r="AG2273" s="6"/>
      <c r="AH2273" s="6"/>
      <c r="AI2273" s="6"/>
      <c r="AJ2273" s="6"/>
    </row>
    <row r="2274" spans="1:36" ht="11.25" customHeight="1" x14ac:dyDescent="0.2">
      <c r="A2274" s="57" t="s">
        <v>21</v>
      </c>
      <c r="B2274" s="57" t="s">
        <v>41</v>
      </c>
      <c r="C2274" s="57" t="s">
        <v>39</v>
      </c>
      <c r="D2274" s="57" t="s">
        <v>48</v>
      </c>
      <c r="E2274" s="57" t="s">
        <v>25</v>
      </c>
      <c r="F2274" s="57" t="s">
        <v>25</v>
      </c>
      <c r="G2274" s="57" t="s">
        <v>25</v>
      </c>
      <c r="H2274" s="57" t="s">
        <v>37</v>
      </c>
      <c r="I2274" s="82">
        <v>44348</v>
      </c>
      <c r="J2274" s="83">
        <f>EFEITO!$J$2274*EFEITO!$Y$2274</f>
        <v>0</v>
      </c>
      <c r="K2274" s="83">
        <f ca="1">EFEITO!$L$2274*EFEITO!$Z$2274</f>
        <v>252.98310694808313</v>
      </c>
      <c r="L2274" s="83">
        <f>EFEITO!$N$2274*EFEITO!$AA$2274</f>
        <v>94.046013561179748</v>
      </c>
      <c r="M2274" s="83">
        <f>$J$2274-EFEITO!$K$2274*EFEITO!$Y$2274</f>
        <v>0</v>
      </c>
      <c r="N2274" s="83">
        <f ca="1">$K$2274-EFEITO!$M$2274*EFEITO!$Z$2274</f>
        <v>0</v>
      </c>
      <c r="O2274" s="83">
        <f>$L$2274-EFEITO!$O$2274*EFEITO!$AA$2274</f>
        <v>0</v>
      </c>
      <c r="P2274" s="61"/>
      <c r="Q2274" s="61"/>
      <c r="R2274" s="61"/>
      <c r="S2274" s="61"/>
      <c r="T2274" s="61"/>
      <c r="U2274" s="61"/>
      <c r="V2274" s="61"/>
      <c r="W2274" s="61"/>
      <c r="X2274" s="6"/>
      <c r="Y2274" s="6"/>
      <c r="Z2274" s="6"/>
      <c r="AA2274" s="6"/>
      <c r="AB2274" s="6"/>
      <c r="AC2274" s="6"/>
      <c r="AD2274" s="6"/>
      <c r="AE2274" s="6"/>
      <c r="AF2274" s="6"/>
      <c r="AG2274" s="6"/>
      <c r="AH2274" s="6"/>
      <c r="AI2274" s="6"/>
      <c r="AJ2274" s="6"/>
    </row>
    <row r="2275" spans="1:36" ht="11.25" customHeight="1" x14ac:dyDescent="0.2">
      <c r="A2275" s="57" t="s">
        <v>28</v>
      </c>
      <c r="B2275" s="57" t="s">
        <v>41</v>
      </c>
      <c r="C2275" s="57" t="s">
        <v>39</v>
      </c>
      <c r="D2275" s="57" t="s">
        <v>48</v>
      </c>
      <c r="E2275" s="57" t="s">
        <v>25</v>
      </c>
      <c r="F2275" s="57" t="s">
        <v>25</v>
      </c>
      <c r="G2275" s="57" t="s">
        <v>25</v>
      </c>
      <c r="H2275" s="57" t="s">
        <v>37</v>
      </c>
      <c r="I2275" s="82">
        <v>44348</v>
      </c>
      <c r="J2275" s="83">
        <f>EFEITO!$J$2275*EFEITO!$Y$2275</f>
        <v>0</v>
      </c>
      <c r="K2275" s="83">
        <f ca="1">EFEITO!$L$2275*EFEITO!$Z$2275</f>
        <v>3699.4196363857382</v>
      </c>
      <c r="L2275" s="83">
        <f>EFEITO!$N$2275*EFEITO!$AA$2275</f>
        <v>1375.2525751192807</v>
      </c>
      <c r="M2275" s="83">
        <f>$J$2275-EFEITO!$K$2275*EFEITO!$Y$2275</f>
        <v>0</v>
      </c>
      <c r="N2275" s="83">
        <f ca="1">$K$2275-EFEITO!$M$2275*EFEITO!$Z$2275</f>
        <v>0</v>
      </c>
      <c r="O2275" s="83">
        <f>$L$2275-EFEITO!$O$2275*EFEITO!$AA$2275</f>
        <v>0</v>
      </c>
      <c r="P2275" s="61"/>
      <c r="Q2275" s="61"/>
      <c r="R2275" s="61"/>
      <c r="S2275" s="61"/>
      <c r="T2275" s="61"/>
      <c r="U2275" s="61"/>
      <c r="V2275" s="61"/>
      <c r="W2275" s="61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</row>
    <row r="2276" spans="1:36" ht="11.25" customHeight="1" x14ac:dyDescent="0.2">
      <c r="A2276" s="57" t="s">
        <v>21</v>
      </c>
      <c r="B2276" s="57" t="s">
        <v>41</v>
      </c>
      <c r="C2276" s="57" t="s">
        <v>39</v>
      </c>
      <c r="D2276" s="57" t="s">
        <v>48</v>
      </c>
      <c r="E2276" s="57" t="s">
        <v>25</v>
      </c>
      <c r="F2276" s="57" t="s">
        <v>25</v>
      </c>
      <c r="G2276" s="57" t="s">
        <v>25</v>
      </c>
      <c r="H2276" s="57" t="s">
        <v>37</v>
      </c>
      <c r="I2276" s="82">
        <v>44378</v>
      </c>
      <c r="J2276" s="83">
        <f>EFEITO!$J$2276*EFEITO!$Y$2276</f>
        <v>0</v>
      </c>
      <c r="K2276" s="83">
        <f ca="1">EFEITO!$L$2276*EFEITO!$Z$2276</f>
        <v>283.53662227997728</v>
      </c>
      <c r="L2276" s="83">
        <f>EFEITO!$N$2276*EFEITO!$AA$2276</f>
        <v>105.40422775938987</v>
      </c>
      <c r="M2276" s="83">
        <f>$J$2276-EFEITO!$K$2276*EFEITO!$Y$2276</f>
        <v>0</v>
      </c>
      <c r="N2276" s="83">
        <f ca="1">$K$2276-EFEITO!$M$2276*EFEITO!$Z$2276</f>
        <v>0</v>
      </c>
      <c r="O2276" s="83">
        <f>$L$2276-EFEITO!$O$2276*EFEITO!$AA$2276</f>
        <v>0</v>
      </c>
      <c r="P2276" s="61"/>
      <c r="Q2276" s="61"/>
      <c r="R2276" s="61"/>
      <c r="S2276" s="61"/>
      <c r="T2276" s="61"/>
      <c r="U2276" s="61"/>
      <c r="V2276" s="61"/>
      <c r="W2276" s="61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/>
      <c r="AJ2276" s="6"/>
    </row>
    <row r="2277" spans="1:36" ht="11.25" customHeight="1" x14ac:dyDescent="0.2">
      <c r="A2277" s="57" t="s">
        <v>28</v>
      </c>
      <c r="B2277" s="57" t="s">
        <v>41</v>
      </c>
      <c r="C2277" s="57" t="s">
        <v>39</v>
      </c>
      <c r="D2277" s="57" t="s">
        <v>48</v>
      </c>
      <c r="E2277" s="57" t="s">
        <v>25</v>
      </c>
      <c r="F2277" s="57" t="s">
        <v>25</v>
      </c>
      <c r="G2277" s="57" t="s">
        <v>25</v>
      </c>
      <c r="H2277" s="57" t="s">
        <v>37</v>
      </c>
      <c r="I2277" s="82">
        <v>44378</v>
      </c>
      <c r="J2277" s="83">
        <f>EFEITO!$J$2277*EFEITO!$Y$2277</f>
        <v>0</v>
      </c>
      <c r="K2277" s="83">
        <f ca="1">EFEITO!$L$2277*EFEITO!$Z$2277</f>
        <v>221.20745100291327</v>
      </c>
      <c r="L2277" s="83">
        <f>EFEITO!$N$2277*EFEITO!$AA$2277</f>
        <v>82.233470795041228</v>
      </c>
      <c r="M2277" s="83">
        <f>$J$2277-EFEITO!$K$2277*EFEITO!$Y$2277</f>
        <v>0</v>
      </c>
      <c r="N2277" s="83">
        <f ca="1">$K$2277-EFEITO!$M$2277*EFEITO!$Z$2277</f>
        <v>0</v>
      </c>
      <c r="O2277" s="83">
        <f>$L$2277-EFEITO!$O$2277*EFEITO!$AA$2277</f>
        <v>0</v>
      </c>
      <c r="P2277" s="61"/>
      <c r="Q2277" s="61"/>
      <c r="R2277" s="61"/>
      <c r="S2277" s="61"/>
      <c r="T2277" s="61"/>
      <c r="U2277" s="61"/>
      <c r="V2277" s="61"/>
      <c r="W2277" s="61"/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/>
      <c r="AJ2277" s="6"/>
    </row>
    <row r="2278" spans="1:36" ht="11.25" customHeight="1" x14ac:dyDescent="0.2">
      <c r="A2278" s="57" t="s">
        <v>21</v>
      </c>
      <c r="B2278" s="57" t="s">
        <v>41</v>
      </c>
      <c r="C2278" s="57" t="s">
        <v>39</v>
      </c>
      <c r="D2278" s="57" t="s">
        <v>48</v>
      </c>
      <c r="E2278" s="57" t="s">
        <v>25</v>
      </c>
      <c r="F2278" s="57" t="s">
        <v>25</v>
      </c>
      <c r="G2278" s="57" t="s">
        <v>25</v>
      </c>
      <c r="H2278" s="57" t="s">
        <v>37</v>
      </c>
      <c r="I2278" s="82">
        <v>44409</v>
      </c>
      <c r="J2278" s="83">
        <f>EFEITO!$J$2278*EFEITO!$Y$2278</f>
        <v>0</v>
      </c>
      <c r="K2278" s="83">
        <f ca="1">EFEITO!$L$2278*EFEITO!$Z$2278</f>
        <v>310.42371577204409</v>
      </c>
      <c r="L2278" s="83">
        <f>EFEITO!$N$2278*EFEITO!$AA$2278</f>
        <v>115.39945625381476</v>
      </c>
      <c r="M2278" s="83">
        <f>$J$2278-EFEITO!$K$2278*EFEITO!$Y$2278</f>
        <v>0</v>
      </c>
      <c r="N2278" s="83">
        <f ca="1">$K$2278-EFEITO!$M$2278*EFEITO!$Z$2278</f>
        <v>0</v>
      </c>
      <c r="O2278" s="83">
        <f>$L$2278-EFEITO!$O$2278*EFEITO!$AA$2278</f>
        <v>0</v>
      </c>
      <c r="P2278" s="61"/>
      <c r="Q2278" s="61"/>
      <c r="R2278" s="61"/>
      <c r="S2278" s="61"/>
      <c r="T2278" s="61"/>
      <c r="U2278" s="61"/>
      <c r="V2278" s="61"/>
      <c r="W2278" s="61"/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/>
      <c r="AJ2278" s="6"/>
    </row>
    <row r="2279" spans="1:36" ht="11.25" customHeight="1" x14ac:dyDescent="0.2">
      <c r="A2279" s="57" t="s">
        <v>28</v>
      </c>
      <c r="B2279" s="57" t="s">
        <v>41</v>
      </c>
      <c r="C2279" s="57" t="s">
        <v>39</v>
      </c>
      <c r="D2279" s="57" t="s">
        <v>48</v>
      </c>
      <c r="E2279" s="57" t="s">
        <v>25</v>
      </c>
      <c r="F2279" s="57" t="s">
        <v>25</v>
      </c>
      <c r="G2279" s="57" t="s">
        <v>25</v>
      </c>
      <c r="H2279" s="57" t="s">
        <v>37</v>
      </c>
      <c r="I2279" s="82">
        <v>44409</v>
      </c>
      <c r="J2279" s="83">
        <f>EFEITO!$J$2279*EFEITO!$Y$2279</f>
        <v>0</v>
      </c>
      <c r="K2279" s="83">
        <f ca="1">EFEITO!$L$2279*EFEITO!$Z$2279</f>
        <v>298.2023096392864</v>
      </c>
      <c r="L2279" s="83">
        <f>EFEITO!$N$2279*EFEITO!$AA$2279</f>
        <v>110.85617057453072</v>
      </c>
      <c r="M2279" s="83">
        <f>$J$2279-EFEITO!$K$2279*EFEITO!$Y$2279</f>
        <v>0</v>
      </c>
      <c r="N2279" s="83">
        <f ca="1">$K$2279-EFEITO!$M$2279*EFEITO!$Z$2279</f>
        <v>0</v>
      </c>
      <c r="O2279" s="83">
        <f>$L$2279-EFEITO!$O$2279*EFEITO!$AA$2279</f>
        <v>0</v>
      </c>
      <c r="P2279" s="61"/>
      <c r="Q2279" s="61"/>
      <c r="R2279" s="61"/>
      <c r="S2279" s="61"/>
      <c r="T2279" s="61"/>
      <c r="U2279" s="61"/>
      <c r="V2279" s="61"/>
      <c r="W2279" s="61"/>
      <c r="X2279" s="6"/>
      <c r="Y2279" s="6"/>
      <c r="Z2279" s="6"/>
      <c r="AA2279" s="6"/>
      <c r="AB2279" s="6"/>
      <c r="AC2279" s="6"/>
      <c r="AD2279" s="6"/>
      <c r="AE2279" s="6"/>
      <c r="AF2279" s="6"/>
      <c r="AG2279" s="6"/>
      <c r="AH2279" s="6"/>
      <c r="AI2279" s="6"/>
      <c r="AJ2279" s="6"/>
    </row>
    <row r="2280" spans="1:36" ht="11.25" customHeight="1" x14ac:dyDescent="0.2">
      <c r="A2280" s="57" t="s">
        <v>21</v>
      </c>
      <c r="B2280" s="57" t="s">
        <v>41</v>
      </c>
      <c r="C2280" s="57" t="s">
        <v>39</v>
      </c>
      <c r="D2280" s="57" t="s">
        <v>48</v>
      </c>
      <c r="E2280" s="57" t="s">
        <v>25</v>
      </c>
      <c r="F2280" s="57" t="s">
        <v>25</v>
      </c>
      <c r="G2280" s="57" t="s">
        <v>25</v>
      </c>
      <c r="H2280" s="57" t="s">
        <v>37</v>
      </c>
      <c r="I2280" s="82">
        <v>44440</v>
      </c>
      <c r="J2280" s="83">
        <f>EFEITO!$J$2280*EFEITO!$Y$2280</f>
        <v>0</v>
      </c>
      <c r="K2280" s="83">
        <f ca="1">EFEITO!$L$2280*EFEITO!$Z$2280</f>
        <v>281.09234105342574</v>
      </c>
      <c r="L2280" s="83">
        <f>EFEITO!$N$2280*EFEITO!$AA$2280</f>
        <v>104.49557062353306</v>
      </c>
      <c r="M2280" s="83">
        <f>$J$2280-EFEITO!$K$2280*EFEITO!$Y$2280</f>
        <v>0</v>
      </c>
      <c r="N2280" s="83">
        <f ca="1">$K$2280-EFEITO!$M$2280*EFEITO!$Z$2280</f>
        <v>0</v>
      </c>
      <c r="O2280" s="83">
        <f>$L$2280-EFEITO!$O$2280*EFEITO!$AA$2280</f>
        <v>0</v>
      </c>
      <c r="P2280" s="61"/>
      <c r="Q2280" s="61"/>
      <c r="R2280" s="61"/>
      <c r="S2280" s="61"/>
      <c r="T2280" s="61"/>
      <c r="U2280" s="61"/>
      <c r="V2280" s="61"/>
      <c r="W2280" s="61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/>
      <c r="AJ2280" s="6"/>
    </row>
    <row r="2281" spans="1:36" ht="11.25" customHeight="1" x14ac:dyDescent="0.2">
      <c r="A2281" s="57" t="s">
        <v>28</v>
      </c>
      <c r="B2281" s="57" t="s">
        <v>41</v>
      </c>
      <c r="C2281" s="57" t="s">
        <v>39</v>
      </c>
      <c r="D2281" s="57" t="s">
        <v>48</v>
      </c>
      <c r="E2281" s="57" t="s">
        <v>25</v>
      </c>
      <c r="F2281" s="57" t="s">
        <v>25</v>
      </c>
      <c r="G2281" s="57" t="s">
        <v>25</v>
      </c>
      <c r="H2281" s="57" t="s">
        <v>37</v>
      </c>
      <c r="I2281" s="82">
        <v>44440</v>
      </c>
      <c r="J2281" s="83">
        <f>EFEITO!$J$2281*EFEITO!$Y$2281</f>
        <v>0</v>
      </c>
      <c r="K2281" s="83">
        <f ca="1">EFEITO!$L$2281*EFEITO!$Z$2281</f>
        <v>1759.8824831171003</v>
      </c>
      <c r="L2281" s="83">
        <f>EFEITO!$N$2281*EFEITO!$AA$2281</f>
        <v>654.23313781690263</v>
      </c>
      <c r="M2281" s="83">
        <f>$J$2281-EFEITO!$K$2281*EFEITO!$Y$2281</f>
        <v>0</v>
      </c>
      <c r="N2281" s="83">
        <f ca="1">$K$2281-EFEITO!$M$2281*EFEITO!$Z$2281</f>
        <v>0</v>
      </c>
      <c r="O2281" s="83">
        <f>$L$2281-EFEITO!$O$2281*EFEITO!$AA$2281</f>
        <v>0</v>
      </c>
      <c r="P2281" s="61"/>
      <c r="Q2281" s="61"/>
      <c r="R2281" s="61"/>
      <c r="S2281" s="61"/>
      <c r="T2281" s="61"/>
      <c r="U2281" s="61"/>
      <c r="V2281" s="61"/>
      <c r="W2281" s="61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/>
      <c r="AJ2281" s="6"/>
    </row>
    <row r="2282" spans="1:36" ht="11.25" customHeight="1" x14ac:dyDescent="0.2">
      <c r="A2282" s="57" t="s">
        <v>59</v>
      </c>
      <c r="B2282" s="57" t="s">
        <v>41</v>
      </c>
      <c r="C2282" s="57" t="s">
        <v>39</v>
      </c>
      <c r="D2282" s="57" t="s">
        <v>48</v>
      </c>
      <c r="E2282" s="57" t="s">
        <v>25</v>
      </c>
      <c r="F2282" s="57" t="s">
        <v>25</v>
      </c>
      <c r="G2282" s="57" t="s">
        <v>25</v>
      </c>
      <c r="H2282" s="57" t="s">
        <v>37</v>
      </c>
      <c r="I2282" s="82">
        <v>44470</v>
      </c>
      <c r="J2282" s="83">
        <f>EFEITO!$J$2282*EFEITO!$Y$2282</f>
        <v>0</v>
      </c>
      <c r="K2282" s="83">
        <f ca="1">EFEITO!$L$2282*EFEITO!$Z$2282</f>
        <v>281.09234105342574</v>
      </c>
      <c r="L2282" s="83">
        <f>EFEITO!$N$2282*EFEITO!$AA$2282</f>
        <v>104.49557062353306</v>
      </c>
      <c r="M2282" s="83">
        <f>$J$2282-EFEITO!$K$2282*EFEITO!$Y$2282</f>
        <v>0</v>
      </c>
      <c r="N2282" s="83">
        <f ca="1">$K$2282-EFEITO!$M$2282*EFEITO!$Z$2282</f>
        <v>0</v>
      </c>
      <c r="O2282" s="83">
        <f>$L$2282-EFEITO!$O$2282*EFEITO!$AA$2282</f>
        <v>0</v>
      </c>
      <c r="P2282" s="61"/>
      <c r="Q2282" s="61"/>
      <c r="R2282" s="61"/>
      <c r="S2282" s="61"/>
      <c r="T2282" s="61"/>
      <c r="U2282" s="61"/>
      <c r="V2282" s="61"/>
      <c r="W2282" s="61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/>
      <c r="AJ2282" s="6"/>
    </row>
    <row r="2283" spans="1:36" ht="11.25" customHeight="1" x14ac:dyDescent="0.2">
      <c r="A2283" s="57" t="s">
        <v>59</v>
      </c>
      <c r="B2283" s="57" t="s">
        <v>41</v>
      </c>
      <c r="C2283" s="57" t="s">
        <v>39</v>
      </c>
      <c r="D2283" s="57" t="s">
        <v>48</v>
      </c>
      <c r="E2283" s="57" t="s">
        <v>25</v>
      </c>
      <c r="F2283" s="57" t="s">
        <v>25</v>
      </c>
      <c r="G2283" s="57" t="s">
        <v>25</v>
      </c>
      <c r="H2283" s="57" t="s">
        <v>37</v>
      </c>
      <c r="I2283" s="82">
        <v>44470</v>
      </c>
      <c r="J2283" s="83">
        <f>EFEITO!$J$2283*EFEITO!$Y$2283</f>
        <v>0</v>
      </c>
      <c r="K2283" s="83">
        <f ca="1">EFEITO!$L$2283*EFEITO!$Z$2283</f>
        <v>1759.8824831171003</v>
      </c>
      <c r="L2283" s="83">
        <f>EFEITO!$N$2283*EFEITO!$AA$2283</f>
        <v>654.23313781690263</v>
      </c>
      <c r="M2283" s="83">
        <f>$J$2283-EFEITO!$K$2283*EFEITO!$Y$2283</f>
        <v>0</v>
      </c>
      <c r="N2283" s="83">
        <f ca="1">$K$2283-EFEITO!$M$2283*EFEITO!$Z$2283</f>
        <v>0</v>
      </c>
      <c r="O2283" s="83">
        <f>$L$2283-EFEITO!$O$2283*EFEITO!$AA$2283</f>
        <v>0</v>
      </c>
      <c r="P2283" s="61"/>
      <c r="Q2283" s="61"/>
      <c r="R2283" s="61"/>
      <c r="S2283" s="61"/>
      <c r="T2283" s="61"/>
      <c r="U2283" s="61"/>
      <c r="V2283" s="61"/>
      <c r="W2283" s="61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/>
      <c r="AJ2283" s="6"/>
    </row>
    <row r="2284" spans="1:36" ht="11.25" customHeight="1" x14ac:dyDescent="0.2">
      <c r="A2284" s="57" t="s">
        <v>21</v>
      </c>
      <c r="B2284" s="57" t="s">
        <v>41</v>
      </c>
      <c r="C2284" s="57" t="s">
        <v>23</v>
      </c>
      <c r="D2284" s="57" t="s">
        <v>45</v>
      </c>
      <c r="E2284" s="57" t="s">
        <v>25</v>
      </c>
      <c r="F2284" s="57" t="s">
        <v>25</v>
      </c>
      <c r="G2284" s="57" t="s">
        <v>25</v>
      </c>
      <c r="H2284" s="57" t="s">
        <v>25</v>
      </c>
      <c r="I2284" s="82">
        <v>44136</v>
      </c>
      <c r="J2284" s="83">
        <f>EFEITO!$J$2284*EFEITO!$Y$2284</f>
        <v>0</v>
      </c>
      <c r="K2284" s="83">
        <f ca="1">EFEITO!$L$2284*EFEITO!$Z$2284</f>
        <v>20963823.037514355</v>
      </c>
      <c r="L2284" s="83">
        <f>EFEITO!$N$2284*EFEITO!$AA$2284</f>
        <v>12300570.570582621</v>
      </c>
      <c r="M2284" s="83">
        <f>$J$2284-EFEITO!$K$2284*EFEITO!$Y$2284</f>
        <v>0</v>
      </c>
      <c r="N2284" s="83">
        <f ca="1">$K$2284-EFEITO!$M$2284*EFEITO!$Z$2284</f>
        <v>0</v>
      </c>
      <c r="O2284" s="83">
        <f>$L$2284-EFEITO!$O$2284*EFEITO!$AA$2284</f>
        <v>0</v>
      </c>
      <c r="P2284" s="61"/>
      <c r="Q2284" s="61"/>
      <c r="R2284" s="61"/>
      <c r="S2284" s="61"/>
      <c r="T2284" s="61"/>
      <c r="U2284" s="61"/>
      <c r="V2284" s="61"/>
      <c r="W2284" s="61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</row>
    <row r="2285" spans="1:36" ht="11.25" customHeight="1" x14ac:dyDescent="0.2">
      <c r="A2285" s="57" t="s">
        <v>27</v>
      </c>
      <c r="B2285" s="57" t="s">
        <v>41</v>
      </c>
      <c r="C2285" s="57" t="s">
        <v>23</v>
      </c>
      <c r="D2285" s="57" t="s">
        <v>45</v>
      </c>
      <c r="E2285" s="57" t="s">
        <v>25</v>
      </c>
      <c r="F2285" s="57" t="s">
        <v>25</v>
      </c>
      <c r="G2285" s="57" t="s">
        <v>25</v>
      </c>
      <c r="H2285" s="57" t="s">
        <v>25</v>
      </c>
      <c r="I2285" s="82">
        <v>44136</v>
      </c>
      <c r="J2285" s="83">
        <f>EFEITO!$J$2285*EFEITO!$Y$2285</f>
        <v>0</v>
      </c>
      <c r="K2285" s="83">
        <f ca="1">EFEITO!$L$2285*EFEITO!$Z$2285</f>
        <v>-902832.11315977911</v>
      </c>
      <c r="L2285" s="83">
        <f>EFEITO!$N$2285*EFEITO!$AA$2285</f>
        <v>-529738.78387721977</v>
      </c>
      <c r="M2285" s="83">
        <f>$J$2285-EFEITO!$K$2285*EFEITO!$Y$2285</f>
        <v>0</v>
      </c>
      <c r="N2285" s="83">
        <f ca="1">$K$2285-EFEITO!$M$2285*EFEITO!$Z$2285</f>
        <v>0</v>
      </c>
      <c r="O2285" s="83">
        <f>$L$2285-EFEITO!$O$2285*EFEITO!$AA$2285</f>
        <v>0</v>
      </c>
      <c r="P2285" s="61"/>
      <c r="Q2285" s="61"/>
      <c r="R2285" s="61"/>
      <c r="S2285" s="61"/>
      <c r="T2285" s="61"/>
      <c r="U2285" s="61"/>
      <c r="V2285" s="61"/>
      <c r="W2285" s="61"/>
      <c r="X2285" s="6"/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/>
      <c r="AJ2285" s="6"/>
    </row>
    <row r="2286" spans="1:36" ht="11.25" customHeight="1" x14ac:dyDescent="0.2">
      <c r="A2286" s="57" t="s">
        <v>28</v>
      </c>
      <c r="B2286" s="57" t="s">
        <v>41</v>
      </c>
      <c r="C2286" s="57" t="s">
        <v>23</v>
      </c>
      <c r="D2286" s="57" t="s">
        <v>45</v>
      </c>
      <c r="E2286" s="57" t="s">
        <v>25</v>
      </c>
      <c r="F2286" s="57" t="s">
        <v>25</v>
      </c>
      <c r="G2286" s="57" t="s">
        <v>25</v>
      </c>
      <c r="H2286" s="57" t="s">
        <v>25</v>
      </c>
      <c r="I2286" s="82">
        <v>44136</v>
      </c>
      <c r="J2286" s="83">
        <f>EFEITO!$J$2286*EFEITO!$Y$2286</f>
        <v>0</v>
      </c>
      <c r="K2286" s="83">
        <f ca="1">EFEITO!$L$2286*EFEITO!$Z$2286</f>
        <v>6408655.2032182282</v>
      </c>
      <c r="L2286" s="83">
        <f>EFEITO!$N$2286*EFEITO!$AA$2286</f>
        <v>3760292.9317163364</v>
      </c>
      <c r="M2286" s="83">
        <f>$J$2286-EFEITO!$K$2286*EFEITO!$Y$2286</f>
        <v>0</v>
      </c>
      <c r="N2286" s="83">
        <f ca="1">$K$2286-EFEITO!$M$2286*EFEITO!$Z$2286</f>
        <v>0</v>
      </c>
      <c r="O2286" s="83">
        <f>$L$2286-EFEITO!$O$2286*EFEITO!$AA$2286</f>
        <v>0</v>
      </c>
      <c r="P2286" s="61"/>
      <c r="Q2286" s="61"/>
      <c r="R2286" s="61"/>
      <c r="S2286" s="61"/>
      <c r="T2286" s="61"/>
      <c r="U2286" s="61"/>
      <c r="V2286" s="61"/>
      <c r="W2286" s="61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</row>
    <row r="2287" spans="1:36" ht="11.25" customHeight="1" x14ac:dyDescent="0.2">
      <c r="A2287" s="57" t="s">
        <v>29</v>
      </c>
      <c r="B2287" s="57" t="s">
        <v>41</v>
      </c>
      <c r="C2287" s="57" t="s">
        <v>23</v>
      </c>
      <c r="D2287" s="57" t="s">
        <v>45</v>
      </c>
      <c r="E2287" s="57" t="s">
        <v>25</v>
      </c>
      <c r="F2287" s="57" t="s">
        <v>25</v>
      </c>
      <c r="G2287" s="57" t="s">
        <v>25</v>
      </c>
      <c r="H2287" s="57" t="s">
        <v>25</v>
      </c>
      <c r="I2287" s="82">
        <v>44136</v>
      </c>
      <c r="J2287" s="83">
        <f>EFEITO!$J$2287*EFEITO!$Y$2287</f>
        <v>0</v>
      </c>
      <c r="K2287" s="83">
        <f ca="1">EFEITO!$L$2287*EFEITO!$Z$2287</f>
        <v>-14557.886832818049</v>
      </c>
      <c r="L2287" s="83">
        <f>EFEITO!$N$2287*EFEITO!$AA$2287</f>
        <v>-8541.8730173972126</v>
      </c>
      <c r="M2287" s="83">
        <f>$J$2287-EFEITO!$K$2287*EFEITO!$Y$2287</f>
        <v>0</v>
      </c>
      <c r="N2287" s="83">
        <f ca="1">$K$2287-EFEITO!$M$2287*EFEITO!$Z$2287</f>
        <v>0</v>
      </c>
      <c r="O2287" s="83">
        <f>$L$2287-EFEITO!$O$2287*EFEITO!$AA$2287</f>
        <v>0</v>
      </c>
      <c r="P2287" s="61"/>
      <c r="Q2287" s="61"/>
      <c r="R2287" s="61"/>
      <c r="S2287" s="61"/>
      <c r="T2287" s="61"/>
      <c r="U2287" s="61"/>
      <c r="V2287" s="61"/>
      <c r="W2287" s="61"/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/>
      <c r="AJ2287" s="6"/>
    </row>
    <row r="2288" spans="1:36" ht="11.25" customHeight="1" x14ac:dyDescent="0.2">
      <c r="A2288" s="57" t="s">
        <v>30</v>
      </c>
      <c r="B2288" s="57" t="s">
        <v>41</v>
      </c>
      <c r="C2288" s="57" t="s">
        <v>23</v>
      </c>
      <c r="D2288" s="57" t="s">
        <v>45</v>
      </c>
      <c r="E2288" s="57" t="s">
        <v>25</v>
      </c>
      <c r="F2288" s="57" t="s">
        <v>25</v>
      </c>
      <c r="G2288" s="57" t="s">
        <v>25</v>
      </c>
      <c r="H2288" s="57" t="s">
        <v>25</v>
      </c>
      <c r="I2288" s="82">
        <v>44136</v>
      </c>
      <c r="J2288" s="83">
        <f>EFEITO!$J$2288*EFEITO!$Y$2288</f>
        <v>0</v>
      </c>
      <c r="K2288" s="83">
        <f ca="1">EFEITO!$L$2288*EFEITO!$Z$2288</f>
        <v>346025.99222430162</v>
      </c>
      <c r="L2288" s="83">
        <f>EFEITO!$N$2288*EFEITO!$AA$2288</f>
        <v>203031.53337033509</v>
      </c>
      <c r="M2288" s="83">
        <f>$J$2288-EFEITO!$K$2288*EFEITO!$Y$2288</f>
        <v>0</v>
      </c>
      <c r="N2288" s="83">
        <f ca="1">$K$2288-EFEITO!$M$2288*EFEITO!$Z$2288</f>
        <v>0</v>
      </c>
      <c r="O2288" s="83">
        <f>$L$2288-EFEITO!$O$2288*EFEITO!$AA$2288</f>
        <v>0</v>
      </c>
      <c r="P2288" s="61"/>
      <c r="Q2288" s="61"/>
      <c r="R2288" s="61"/>
      <c r="S2288" s="61"/>
      <c r="T2288" s="61"/>
      <c r="U2288" s="61"/>
      <c r="V2288" s="61"/>
      <c r="W2288" s="61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</row>
    <row r="2289" spans="1:36" ht="11.25" customHeight="1" x14ac:dyDescent="0.2">
      <c r="A2289" s="57" t="s">
        <v>30</v>
      </c>
      <c r="B2289" s="57" t="s">
        <v>41</v>
      </c>
      <c r="C2289" s="57" t="s">
        <v>23</v>
      </c>
      <c r="D2289" s="57" t="s">
        <v>45</v>
      </c>
      <c r="E2289" s="57" t="s">
        <v>25</v>
      </c>
      <c r="F2289" s="57" t="s">
        <v>25</v>
      </c>
      <c r="G2289" s="57" t="s">
        <v>25</v>
      </c>
      <c r="H2289" s="57" t="s">
        <v>25</v>
      </c>
      <c r="I2289" s="82">
        <v>44136</v>
      </c>
      <c r="J2289" s="83">
        <f>EFEITO!$J$2289*EFEITO!$Y$2289</f>
        <v>0</v>
      </c>
      <c r="K2289" s="83">
        <f ca="1">EFEITO!$L$2289*EFEITO!$Z$2289</f>
        <v>-2569.5751679790533</v>
      </c>
      <c r="L2289" s="83">
        <f>EFEITO!$N$2289*EFEITO!$AA$2289</f>
        <v>-1507.7040401258155</v>
      </c>
      <c r="M2289" s="83">
        <f>$J$2289-EFEITO!$K$2289*EFEITO!$Y$2289</f>
        <v>0</v>
      </c>
      <c r="N2289" s="83">
        <f ca="1">$K$2289-EFEITO!$M$2289*EFEITO!$Z$2289</f>
        <v>0</v>
      </c>
      <c r="O2289" s="83">
        <f>$L$2289-EFEITO!$O$2289*EFEITO!$AA$2289</f>
        <v>0</v>
      </c>
      <c r="P2289" s="61"/>
      <c r="Q2289" s="61"/>
      <c r="R2289" s="61"/>
      <c r="S2289" s="61"/>
      <c r="T2289" s="61"/>
      <c r="U2289" s="61"/>
      <c r="V2289" s="61"/>
      <c r="W2289" s="61"/>
      <c r="X2289" s="6"/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/>
      <c r="AJ2289" s="6"/>
    </row>
    <row r="2290" spans="1:36" ht="11.25" customHeight="1" x14ac:dyDescent="0.2">
      <c r="A2290" s="57" t="s">
        <v>21</v>
      </c>
      <c r="B2290" s="57" t="s">
        <v>41</v>
      </c>
      <c r="C2290" s="57" t="s">
        <v>23</v>
      </c>
      <c r="D2290" s="57" t="s">
        <v>45</v>
      </c>
      <c r="E2290" s="57" t="s">
        <v>25</v>
      </c>
      <c r="F2290" s="57" t="s">
        <v>25</v>
      </c>
      <c r="G2290" s="57" t="s">
        <v>25</v>
      </c>
      <c r="H2290" s="57" t="s">
        <v>25</v>
      </c>
      <c r="I2290" s="82">
        <v>44166</v>
      </c>
      <c r="J2290" s="83">
        <f>EFEITO!$J$2290*EFEITO!$Y$2290</f>
        <v>0</v>
      </c>
      <c r="K2290" s="83">
        <f ca="1">EFEITO!$L$2290*EFEITO!$Z$2290</f>
        <v>19670203.267007176</v>
      </c>
      <c r="L2290" s="83">
        <f>EFEITO!$N$2290*EFEITO!$AA$2290</f>
        <v>11541536.245109173</v>
      </c>
      <c r="M2290" s="83">
        <f>$J$2290-EFEITO!$K$2290*EFEITO!$Y$2290</f>
        <v>0</v>
      </c>
      <c r="N2290" s="83">
        <f ca="1">$K$2290-EFEITO!$M$2290*EFEITO!$Z$2290</f>
        <v>0</v>
      </c>
      <c r="O2290" s="83">
        <f>$L$2290-EFEITO!$O$2290*EFEITO!$AA$2290</f>
        <v>0</v>
      </c>
      <c r="P2290" s="61"/>
      <c r="Q2290" s="61"/>
      <c r="R2290" s="61"/>
      <c r="S2290" s="61"/>
      <c r="T2290" s="61"/>
      <c r="U2290" s="61"/>
      <c r="V2290" s="61"/>
      <c r="W2290" s="61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</row>
    <row r="2291" spans="1:36" ht="11.25" customHeight="1" x14ac:dyDescent="0.2">
      <c r="A2291" s="57" t="s">
        <v>27</v>
      </c>
      <c r="B2291" s="57" t="s">
        <v>41</v>
      </c>
      <c r="C2291" s="57" t="s">
        <v>23</v>
      </c>
      <c r="D2291" s="57" t="s">
        <v>45</v>
      </c>
      <c r="E2291" s="57" t="s">
        <v>25</v>
      </c>
      <c r="F2291" s="57" t="s">
        <v>25</v>
      </c>
      <c r="G2291" s="57" t="s">
        <v>25</v>
      </c>
      <c r="H2291" s="57" t="s">
        <v>25</v>
      </c>
      <c r="I2291" s="82">
        <v>44166</v>
      </c>
      <c r="J2291" s="83">
        <f>EFEITO!$J$2291*EFEITO!$Y$2291</f>
        <v>0</v>
      </c>
      <c r="K2291" s="83">
        <f ca="1">EFEITO!$L$2291*EFEITO!$Z$2291</f>
        <v>-912874.88210429333</v>
      </c>
      <c r="L2291" s="83">
        <f>EFEITO!$N$2291*EFEITO!$AA$2291</f>
        <v>-535631.40126408648</v>
      </c>
      <c r="M2291" s="83">
        <f>$J$2291-EFEITO!$K$2291*EFEITO!$Y$2291</f>
        <v>0</v>
      </c>
      <c r="N2291" s="83">
        <f ca="1">$K$2291-EFEITO!$M$2291*EFEITO!$Z$2291</f>
        <v>0</v>
      </c>
      <c r="O2291" s="83">
        <f>$L$2291-EFEITO!$O$2291*EFEITO!$AA$2291</f>
        <v>0</v>
      </c>
      <c r="P2291" s="61"/>
      <c r="Q2291" s="61"/>
      <c r="R2291" s="61"/>
      <c r="S2291" s="61"/>
      <c r="T2291" s="61"/>
      <c r="U2291" s="61"/>
      <c r="V2291" s="61"/>
      <c r="W2291" s="61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/>
      <c r="AJ2291" s="6"/>
    </row>
    <row r="2292" spans="1:36" ht="11.25" customHeight="1" x14ac:dyDescent="0.2">
      <c r="A2292" s="57" t="s">
        <v>28</v>
      </c>
      <c r="B2292" s="57" t="s">
        <v>41</v>
      </c>
      <c r="C2292" s="57" t="s">
        <v>23</v>
      </c>
      <c r="D2292" s="57" t="s">
        <v>45</v>
      </c>
      <c r="E2292" s="57" t="s">
        <v>25</v>
      </c>
      <c r="F2292" s="57" t="s">
        <v>25</v>
      </c>
      <c r="G2292" s="57" t="s">
        <v>25</v>
      </c>
      <c r="H2292" s="57" t="s">
        <v>25</v>
      </c>
      <c r="I2292" s="82">
        <v>44166</v>
      </c>
      <c r="J2292" s="83">
        <f>EFEITO!$J$2292*EFEITO!$Y$2292</f>
        <v>0</v>
      </c>
      <c r="K2292" s="83">
        <f ca="1">EFEITO!$L$2292*EFEITO!$Z$2292</f>
        <v>6223514.6024841731</v>
      </c>
      <c r="L2292" s="83">
        <f>EFEITO!$N$2292*EFEITO!$AA$2292</f>
        <v>3651661.2655963707</v>
      </c>
      <c r="M2292" s="83">
        <f>$J$2292-EFEITO!$K$2292*EFEITO!$Y$2292</f>
        <v>0</v>
      </c>
      <c r="N2292" s="83">
        <f ca="1">$K$2292-EFEITO!$M$2292*EFEITO!$Z$2292</f>
        <v>0</v>
      </c>
      <c r="O2292" s="83">
        <f>$L$2292-EFEITO!$O$2292*EFEITO!$AA$2292</f>
        <v>0</v>
      </c>
      <c r="P2292" s="61"/>
      <c r="Q2292" s="61"/>
      <c r="R2292" s="61"/>
      <c r="S2292" s="61"/>
      <c r="T2292" s="61"/>
      <c r="U2292" s="61"/>
      <c r="V2292" s="61"/>
      <c r="W2292" s="61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/>
      <c r="AJ2292" s="6"/>
    </row>
    <row r="2293" spans="1:36" ht="11.25" customHeight="1" x14ac:dyDescent="0.2">
      <c r="A2293" s="57" t="s">
        <v>29</v>
      </c>
      <c r="B2293" s="57" t="s">
        <v>41</v>
      </c>
      <c r="C2293" s="57" t="s">
        <v>23</v>
      </c>
      <c r="D2293" s="57" t="s">
        <v>45</v>
      </c>
      <c r="E2293" s="57" t="s">
        <v>25</v>
      </c>
      <c r="F2293" s="57" t="s">
        <v>25</v>
      </c>
      <c r="G2293" s="57" t="s">
        <v>25</v>
      </c>
      <c r="H2293" s="57" t="s">
        <v>25</v>
      </c>
      <c r="I2293" s="82">
        <v>44166</v>
      </c>
      <c r="J2293" s="83">
        <f>EFEITO!$J$2293*EFEITO!$Y$2293</f>
        <v>0</v>
      </c>
      <c r="K2293" s="83">
        <f ca="1">EFEITO!$L$2293*EFEITO!$Z$2293</f>
        <v>-62320.175511033071</v>
      </c>
      <c r="L2293" s="83">
        <f>EFEITO!$N$2293*EFEITO!$AA$2293</f>
        <v>-36566.503899254843</v>
      </c>
      <c r="M2293" s="83">
        <f>$J$2293-EFEITO!$K$2293*EFEITO!$Y$2293</f>
        <v>0</v>
      </c>
      <c r="N2293" s="83">
        <f ca="1">$K$2293-EFEITO!$M$2293*EFEITO!$Z$2293</f>
        <v>0</v>
      </c>
      <c r="O2293" s="83">
        <f>$L$2293-EFEITO!$O$2293*EFEITO!$AA$2293</f>
        <v>0</v>
      </c>
      <c r="P2293" s="61"/>
      <c r="Q2293" s="61"/>
      <c r="R2293" s="61"/>
      <c r="S2293" s="61"/>
      <c r="T2293" s="61"/>
      <c r="U2293" s="61"/>
      <c r="V2293" s="61"/>
      <c r="W2293" s="61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/>
      <c r="AJ2293" s="6"/>
    </row>
    <row r="2294" spans="1:36" ht="11.25" customHeight="1" x14ac:dyDescent="0.2">
      <c r="A2294" s="57" t="s">
        <v>30</v>
      </c>
      <c r="B2294" s="57" t="s">
        <v>41</v>
      </c>
      <c r="C2294" s="57" t="s">
        <v>23</v>
      </c>
      <c r="D2294" s="57" t="s">
        <v>45</v>
      </c>
      <c r="E2294" s="57" t="s">
        <v>25</v>
      </c>
      <c r="F2294" s="57" t="s">
        <v>25</v>
      </c>
      <c r="G2294" s="57" t="s">
        <v>25</v>
      </c>
      <c r="H2294" s="57" t="s">
        <v>25</v>
      </c>
      <c r="I2294" s="82">
        <v>44166</v>
      </c>
      <c r="J2294" s="83">
        <f>EFEITO!$J$2294*EFEITO!$Y$2294</f>
        <v>0</v>
      </c>
      <c r="K2294" s="83">
        <f ca="1">EFEITO!$L$2294*EFEITO!$Z$2294</f>
        <v>383413.23494042025</v>
      </c>
      <c r="L2294" s="83">
        <f>EFEITO!$N$2294*EFEITO!$AA$2294</f>
        <v>224968.58257391615</v>
      </c>
      <c r="M2294" s="83">
        <f>$J$2294-EFEITO!$K$2294*EFEITO!$Y$2294</f>
        <v>0</v>
      </c>
      <c r="N2294" s="83">
        <f ca="1">$K$2294-EFEITO!$M$2294*EFEITO!$Z$2294</f>
        <v>0</v>
      </c>
      <c r="O2294" s="83">
        <f>$L$2294-EFEITO!$O$2294*EFEITO!$AA$2294</f>
        <v>0</v>
      </c>
      <c r="P2294" s="61"/>
      <c r="Q2294" s="61"/>
      <c r="R2294" s="61"/>
      <c r="S2294" s="61"/>
      <c r="T2294" s="61"/>
      <c r="U2294" s="61"/>
      <c r="V2294" s="61"/>
      <c r="W2294" s="61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</row>
    <row r="2295" spans="1:36" ht="11.25" customHeight="1" x14ac:dyDescent="0.2">
      <c r="A2295" s="57" t="s">
        <v>30</v>
      </c>
      <c r="B2295" s="57" t="s">
        <v>41</v>
      </c>
      <c r="C2295" s="57" t="s">
        <v>23</v>
      </c>
      <c r="D2295" s="57" t="s">
        <v>45</v>
      </c>
      <c r="E2295" s="57" t="s">
        <v>25</v>
      </c>
      <c r="F2295" s="57" t="s">
        <v>25</v>
      </c>
      <c r="G2295" s="57" t="s">
        <v>25</v>
      </c>
      <c r="H2295" s="57" t="s">
        <v>25</v>
      </c>
      <c r="I2295" s="82">
        <v>44166</v>
      </c>
      <c r="J2295" s="83">
        <f>EFEITO!$J$2295*EFEITO!$Y$2295</f>
        <v>0</v>
      </c>
      <c r="K2295" s="83">
        <f ca="1">EFEITO!$L$2295*EFEITO!$Z$2295</f>
        <v>1012.5331679065893</v>
      </c>
      <c r="L2295" s="83">
        <f>EFEITO!$N$2295*EFEITO!$AA$2295</f>
        <v>594.10612580554005</v>
      </c>
      <c r="M2295" s="83">
        <f>$J$2295-EFEITO!$K$2295*EFEITO!$Y$2295</f>
        <v>0</v>
      </c>
      <c r="N2295" s="83">
        <f ca="1">$K$2295-EFEITO!$M$2295*EFEITO!$Z$2295</f>
        <v>0</v>
      </c>
      <c r="O2295" s="83">
        <f>$L$2295-EFEITO!$O$2295*EFEITO!$AA$2295</f>
        <v>0</v>
      </c>
      <c r="P2295" s="61"/>
      <c r="Q2295" s="61"/>
      <c r="R2295" s="61"/>
      <c r="S2295" s="61"/>
      <c r="T2295" s="61"/>
      <c r="U2295" s="61"/>
      <c r="V2295" s="61"/>
      <c r="W2295" s="61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/>
      <c r="AJ2295" s="6"/>
    </row>
    <row r="2296" spans="1:36" ht="11.25" customHeight="1" x14ac:dyDescent="0.2">
      <c r="A2296" s="57" t="s">
        <v>21</v>
      </c>
      <c r="B2296" s="57" t="s">
        <v>41</v>
      </c>
      <c r="C2296" s="57" t="s">
        <v>23</v>
      </c>
      <c r="D2296" s="57" t="s">
        <v>45</v>
      </c>
      <c r="E2296" s="57" t="s">
        <v>25</v>
      </c>
      <c r="F2296" s="57" t="s">
        <v>25</v>
      </c>
      <c r="G2296" s="57" t="s">
        <v>25</v>
      </c>
      <c r="H2296" s="57" t="s">
        <v>25</v>
      </c>
      <c r="I2296" s="82">
        <v>44197</v>
      </c>
      <c r="J2296" s="83">
        <f>EFEITO!$J$2296*EFEITO!$Y$2296</f>
        <v>0</v>
      </c>
      <c r="K2296" s="83">
        <f ca="1">EFEITO!$L$2296*EFEITO!$Z$2296</f>
        <v>17087816.692616988</v>
      </c>
      <c r="L2296" s="83">
        <f>EFEITO!$N$2296*EFEITO!$AA$2296</f>
        <v>10026315.083302518</v>
      </c>
      <c r="M2296" s="83">
        <f>$J$2296-EFEITO!$K$2296*EFEITO!$Y$2296</f>
        <v>0</v>
      </c>
      <c r="N2296" s="83">
        <f ca="1">$K$2296-EFEITO!$M$2296*EFEITO!$Z$2296</f>
        <v>0</v>
      </c>
      <c r="O2296" s="83">
        <f>$L$2296-EFEITO!$O$2296*EFEITO!$AA$2296</f>
        <v>0</v>
      </c>
      <c r="P2296" s="61"/>
      <c r="Q2296" s="61"/>
      <c r="R2296" s="61"/>
      <c r="S2296" s="61"/>
      <c r="T2296" s="61"/>
      <c r="U2296" s="61"/>
      <c r="V2296" s="61"/>
      <c r="W2296" s="61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/>
      <c r="AJ2296" s="6"/>
    </row>
    <row r="2297" spans="1:36" ht="11.25" customHeight="1" x14ac:dyDescent="0.2">
      <c r="A2297" s="57" t="s">
        <v>27</v>
      </c>
      <c r="B2297" s="57" t="s">
        <v>41</v>
      </c>
      <c r="C2297" s="57" t="s">
        <v>23</v>
      </c>
      <c r="D2297" s="57" t="s">
        <v>45</v>
      </c>
      <c r="E2297" s="57" t="s">
        <v>25</v>
      </c>
      <c r="F2297" s="57" t="s">
        <v>25</v>
      </c>
      <c r="G2297" s="57" t="s">
        <v>25</v>
      </c>
      <c r="H2297" s="57" t="s">
        <v>25</v>
      </c>
      <c r="I2297" s="82">
        <v>44197</v>
      </c>
      <c r="J2297" s="83">
        <f>EFEITO!$J$2297*EFEITO!$Y$2297</f>
        <v>0</v>
      </c>
      <c r="K2297" s="83">
        <f ca="1">EFEITO!$L$2297*EFEITO!$Z$2297</f>
        <v>-529289.4304169555</v>
      </c>
      <c r="L2297" s="83">
        <f>EFEITO!$N$2297*EFEITO!$AA$2297</f>
        <v>-310561.7701245005</v>
      </c>
      <c r="M2297" s="83">
        <f>$J$2297-EFEITO!$K$2297*EFEITO!$Y$2297</f>
        <v>0</v>
      </c>
      <c r="N2297" s="83">
        <f ca="1">$K$2297-EFEITO!$M$2297*EFEITO!$Z$2297</f>
        <v>0</v>
      </c>
      <c r="O2297" s="83">
        <f>$L$2297-EFEITO!$O$2297*EFEITO!$AA$2297</f>
        <v>0</v>
      </c>
      <c r="P2297" s="61"/>
      <c r="Q2297" s="61"/>
      <c r="R2297" s="61"/>
      <c r="S2297" s="61"/>
      <c r="T2297" s="61"/>
      <c r="U2297" s="61"/>
      <c r="V2297" s="61"/>
      <c r="W2297" s="61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/>
      <c r="AJ2297" s="6"/>
    </row>
    <row r="2298" spans="1:36" ht="11.25" customHeight="1" x14ac:dyDescent="0.2">
      <c r="A2298" s="57" t="s">
        <v>28</v>
      </c>
      <c r="B2298" s="57" t="s">
        <v>41</v>
      </c>
      <c r="C2298" s="57" t="s">
        <v>23</v>
      </c>
      <c r="D2298" s="57" t="s">
        <v>45</v>
      </c>
      <c r="E2298" s="57" t="s">
        <v>25</v>
      </c>
      <c r="F2298" s="57" t="s">
        <v>25</v>
      </c>
      <c r="G2298" s="57" t="s">
        <v>25</v>
      </c>
      <c r="H2298" s="57" t="s">
        <v>25</v>
      </c>
      <c r="I2298" s="82">
        <v>44197</v>
      </c>
      <c r="J2298" s="83">
        <f>EFEITO!$J$2298*EFEITO!$Y$2298</f>
        <v>0</v>
      </c>
      <c r="K2298" s="83">
        <f ca="1">EFEITO!$L$2298*EFEITO!$Z$2298</f>
        <v>5587495.3627245799</v>
      </c>
      <c r="L2298" s="83">
        <f>EFEITO!$N$2298*EFEITO!$AA$2298</f>
        <v>3278475.5385030173</v>
      </c>
      <c r="M2298" s="83">
        <f>$J$2298-EFEITO!$K$2298*EFEITO!$Y$2298</f>
        <v>0</v>
      </c>
      <c r="N2298" s="83">
        <f ca="1">$K$2298-EFEITO!$M$2298*EFEITO!$Z$2298</f>
        <v>0</v>
      </c>
      <c r="O2298" s="83">
        <f>$L$2298-EFEITO!$O$2298*EFEITO!$AA$2298</f>
        <v>0</v>
      </c>
      <c r="P2298" s="61"/>
      <c r="Q2298" s="61"/>
      <c r="R2298" s="61"/>
      <c r="S2298" s="61"/>
      <c r="T2298" s="61"/>
      <c r="U2298" s="61"/>
      <c r="V2298" s="61"/>
      <c r="W2298" s="61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/>
      <c r="AJ2298" s="6"/>
    </row>
    <row r="2299" spans="1:36" ht="11.25" customHeight="1" x14ac:dyDescent="0.2">
      <c r="A2299" s="57" t="s">
        <v>29</v>
      </c>
      <c r="B2299" s="57" t="s">
        <v>41</v>
      </c>
      <c r="C2299" s="57" t="s">
        <v>23</v>
      </c>
      <c r="D2299" s="57" t="s">
        <v>45</v>
      </c>
      <c r="E2299" s="57" t="s">
        <v>25</v>
      </c>
      <c r="F2299" s="57" t="s">
        <v>25</v>
      </c>
      <c r="G2299" s="57" t="s">
        <v>25</v>
      </c>
      <c r="H2299" s="57" t="s">
        <v>25</v>
      </c>
      <c r="I2299" s="82">
        <v>44197</v>
      </c>
      <c r="J2299" s="83">
        <f>EFEITO!$J$2299*EFEITO!$Y$2299</f>
        <v>0</v>
      </c>
      <c r="K2299" s="83">
        <f ca="1">EFEITO!$L$2299*EFEITO!$Z$2299</f>
        <v>-35739.533663992508</v>
      </c>
      <c r="L2299" s="83">
        <f>EFEITO!$N$2299*EFEITO!$AA$2299</f>
        <v>-20970.252191452277</v>
      </c>
      <c r="M2299" s="83">
        <f>$J$2299-EFEITO!$K$2299*EFEITO!$Y$2299</f>
        <v>0</v>
      </c>
      <c r="N2299" s="83">
        <f ca="1">$K$2299-EFEITO!$M$2299*EFEITO!$Z$2299</f>
        <v>0</v>
      </c>
      <c r="O2299" s="83">
        <f>$L$2299-EFEITO!$O$2299*EFEITO!$AA$2299</f>
        <v>0</v>
      </c>
      <c r="P2299" s="61"/>
      <c r="Q2299" s="61"/>
      <c r="R2299" s="61"/>
      <c r="S2299" s="61"/>
      <c r="T2299" s="61"/>
      <c r="U2299" s="61"/>
      <c r="V2299" s="61"/>
      <c r="W2299" s="61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/>
      <c r="AJ2299" s="6"/>
    </row>
    <row r="2300" spans="1:36" ht="11.25" customHeight="1" x14ac:dyDescent="0.2">
      <c r="A2300" s="57" t="s">
        <v>30</v>
      </c>
      <c r="B2300" s="57" t="s">
        <v>41</v>
      </c>
      <c r="C2300" s="57" t="s">
        <v>23</v>
      </c>
      <c r="D2300" s="57" t="s">
        <v>45</v>
      </c>
      <c r="E2300" s="57" t="s">
        <v>25</v>
      </c>
      <c r="F2300" s="57" t="s">
        <v>25</v>
      </c>
      <c r="G2300" s="57" t="s">
        <v>25</v>
      </c>
      <c r="H2300" s="57" t="s">
        <v>25</v>
      </c>
      <c r="I2300" s="82">
        <v>44197</v>
      </c>
      <c r="J2300" s="83">
        <f>EFEITO!$J$2300*EFEITO!$Y$2300</f>
        <v>0</v>
      </c>
      <c r="K2300" s="83">
        <f ca="1">EFEITO!$L$2300*EFEITO!$Z$2300</f>
        <v>351875.28338137281</v>
      </c>
      <c r="L2300" s="83">
        <f>EFEITO!$N$2300*EFEITO!$AA$2300</f>
        <v>206463.61818314268</v>
      </c>
      <c r="M2300" s="83">
        <f>$J$2300-EFEITO!$K$2300*EFEITO!$Y$2300</f>
        <v>0</v>
      </c>
      <c r="N2300" s="83">
        <f ca="1">$K$2300-EFEITO!$M$2300*EFEITO!$Z$2300</f>
        <v>0</v>
      </c>
      <c r="O2300" s="83">
        <f>$L$2300-EFEITO!$O$2300*EFEITO!$AA$2300</f>
        <v>0</v>
      </c>
      <c r="P2300" s="61"/>
      <c r="Q2300" s="61"/>
      <c r="R2300" s="61"/>
      <c r="S2300" s="61"/>
      <c r="T2300" s="61"/>
      <c r="U2300" s="61"/>
      <c r="V2300" s="61"/>
      <c r="W2300" s="61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/>
      <c r="AJ2300" s="6"/>
    </row>
    <row r="2301" spans="1:36" ht="11.25" customHeight="1" x14ac:dyDescent="0.2">
      <c r="A2301" s="57" t="s">
        <v>30</v>
      </c>
      <c r="B2301" s="57" t="s">
        <v>41</v>
      </c>
      <c r="C2301" s="57" t="s">
        <v>23</v>
      </c>
      <c r="D2301" s="57" t="s">
        <v>45</v>
      </c>
      <c r="E2301" s="57" t="s">
        <v>25</v>
      </c>
      <c r="F2301" s="57" t="s">
        <v>25</v>
      </c>
      <c r="G2301" s="57" t="s">
        <v>25</v>
      </c>
      <c r="H2301" s="57" t="s">
        <v>25</v>
      </c>
      <c r="I2301" s="82">
        <v>44197</v>
      </c>
      <c r="J2301" s="83">
        <f>EFEITO!$J$2301*EFEITO!$Y$2301</f>
        <v>0</v>
      </c>
      <c r="K2301" s="83">
        <f ca="1">EFEITO!$L$2301*EFEITO!$Z$2301</f>
        <v>-859.56417505626905</v>
      </c>
      <c r="L2301" s="83">
        <f>EFEITO!$N$2301*EFEITO!$AA$2301</f>
        <v>-504.3512233576796</v>
      </c>
      <c r="M2301" s="83">
        <f>$J$2301-EFEITO!$K$2301*EFEITO!$Y$2301</f>
        <v>0</v>
      </c>
      <c r="N2301" s="83">
        <f ca="1">$K$2301-EFEITO!$M$2301*EFEITO!$Z$2301</f>
        <v>0</v>
      </c>
      <c r="O2301" s="83">
        <f>$L$2301-EFEITO!$O$2301*EFEITO!$AA$2301</f>
        <v>0</v>
      </c>
      <c r="P2301" s="61"/>
      <c r="Q2301" s="61"/>
      <c r="R2301" s="61"/>
      <c r="S2301" s="61"/>
      <c r="T2301" s="61"/>
      <c r="U2301" s="61"/>
      <c r="V2301" s="61"/>
      <c r="W2301" s="61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</row>
    <row r="2302" spans="1:36" ht="11.25" customHeight="1" x14ac:dyDescent="0.2">
      <c r="A2302" s="57" t="s">
        <v>21</v>
      </c>
      <c r="B2302" s="57" t="s">
        <v>41</v>
      </c>
      <c r="C2302" s="57" t="s">
        <v>23</v>
      </c>
      <c r="D2302" s="57" t="s">
        <v>45</v>
      </c>
      <c r="E2302" s="57" t="s">
        <v>25</v>
      </c>
      <c r="F2302" s="57" t="s">
        <v>25</v>
      </c>
      <c r="G2302" s="57" t="s">
        <v>25</v>
      </c>
      <c r="H2302" s="57" t="s">
        <v>25</v>
      </c>
      <c r="I2302" s="82">
        <v>44228</v>
      </c>
      <c r="J2302" s="83">
        <f>EFEITO!$J$2302*EFEITO!$Y$2302</f>
        <v>0</v>
      </c>
      <c r="K2302" s="83">
        <f ca="1">EFEITO!$L$2302*EFEITO!$Z$2302</f>
        <v>13841345.120437922</v>
      </c>
      <c r="L2302" s="83">
        <f>EFEITO!$N$2302*EFEITO!$AA$2302</f>
        <v>8121440.5474166358</v>
      </c>
      <c r="M2302" s="83">
        <f>$J$2302-EFEITO!$K$2302*EFEITO!$Y$2302</f>
        <v>0</v>
      </c>
      <c r="N2302" s="83">
        <f ca="1">$K$2302-EFEITO!$M$2302*EFEITO!$Z$2302</f>
        <v>0</v>
      </c>
      <c r="O2302" s="83">
        <f>$L$2302-EFEITO!$O$2302*EFEITO!$AA$2302</f>
        <v>0</v>
      </c>
      <c r="P2302" s="61"/>
      <c r="Q2302" s="61"/>
      <c r="R2302" s="61"/>
      <c r="S2302" s="61"/>
      <c r="T2302" s="61"/>
      <c r="U2302" s="61"/>
      <c r="V2302" s="61"/>
      <c r="W2302" s="61"/>
      <c r="X2302" s="6"/>
      <c r="Y2302" s="6"/>
      <c r="Z2302" s="6"/>
      <c r="AA2302" s="6"/>
      <c r="AB2302" s="6"/>
      <c r="AC2302" s="6"/>
      <c r="AD2302" s="6"/>
      <c r="AE2302" s="6"/>
      <c r="AF2302" s="6"/>
      <c r="AG2302" s="6"/>
      <c r="AH2302" s="6"/>
      <c r="AI2302" s="6"/>
      <c r="AJ2302" s="6"/>
    </row>
    <row r="2303" spans="1:36" ht="11.25" customHeight="1" x14ac:dyDescent="0.2">
      <c r="A2303" s="57" t="s">
        <v>27</v>
      </c>
      <c r="B2303" s="57" t="s">
        <v>41</v>
      </c>
      <c r="C2303" s="57" t="s">
        <v>23</v>
      </c>
      <c r="D2303" s="57" t="s">
        <v>45</v>
      </c>
      <c r="E2303" s="57" t="s">
        <v>25</v>
      </c>
      <c r="F2303" s="57" t="s">
        <v>25</v>
      </c>
      <c r="G2303" s="57" t="s">
        <v>25</v>
      </c>
      <c r="H2303" s="57" t="s">
        <v>25</v>
      </c>
      <c r="I2303" s="82">
        <v>44228</v>
      </c>
      <c r="J2303" s="83">
        <f>EFEITO!$J$2303*EFEITO!$Y$2303</f>
        <v>0</v>
      </c>
      <c r="K2303" s="83">
        <f ca="1">EFEITO!$L$2303*EFEITO!$Z$2303</f>
        <v>-750913.13594581233</v>
      </c>
      <c r="L2303" s="83">
        <f>EFEITO!$N$2303*EFEITO!$AA$2303</f>
        <v>-440599.98047828116</v>
      </c>
      <c r="M2303" s="83">
        <f>$J$2303-EFEITO!$K$2303*EFEITO!$Y$2303</f>
        <v>0</v>
      </c>
      <c r="N2303" s="83">
        <f ca="1">$K$2303-EFEITO!$M$2303*EFEITO!$Z$2303</f>
        <v>0</v>
      </c>
      <c r="O2303" s="83">
        <f>$L$2303-EFEITO!$O$2303*EFEITO!$AA$2303</f>
        <v>0</v>
      </c>
      <c r="P2303" s="61"/>
      <c r="Q2303" s="61"/>
      <c r="R2303" s="61"/>
      <c r="S2303" s="61"/>
      <c r="T2303" s="61"/>
      <c r="U2303" s="61"/>
      <c r="V2303" s="61"/>
      <c r="W2303" s="61"/>
      <c r="X2303" s="6"/>
      <c r="Y2303" s="6"/>
      <c r="Z2303" s="6"/>
      <c r="AA2303" s="6"/>
      <c r="AB2303" s="6"/>
      <c r="AC2303" s="6"/>
      <c r="AD2303" s="6"/>
      <c r="AE2303" s="6"/>
      <c r="AF2303" s="6"/>
      <c r="AG2303" s="6"/>
      <c r="AH2303" s="6"/>
      <c r="AI2303" s="6"/>
      <c r="AJ2303" s="6"/>
    </row>
    <row r="2304" spans="1:36" ht="11.25" customHeight="1" x14ac:dyDescent="0.2">
      <c r="A2304" s="57" t="s">
        <v>28</v>
      </c>
      <c r="B2304" s="57" t="s">
        <v>41</v>
      </c>
      <c r="C2304" s="57" t="s">
        <v>23</v>
      </c>
      <c r="D2304" s="57" t="s">
        <v>45</v>
      </c>
      <c r="E2304" s="57" t="s">
        <v>25</v>
      </c>
      <c r="F2304" s="57" t="s">
        <v>25</v>
      </c>
      <c r="G2304" s="57" t="s">
        <v>25</v>
      </c>
      <c r="H2304" s="57" t="s">
        <v>25</v>
      </c>
      <c r="I2304" s="82">
        <v>44228</v>
      </c>
      <c r="J2304" s="83">
        <f>EFEITO!$J$2304*EFEITO!$Y$2304</f>
        <v>0</v>
      </c>
      <c r="K2304" s="83">
        <f ca="1">EFEITO!$L$2304*EFEITO!$Z$2304</f>
        <v>5089768.1968191778</v>
      </c>
      <c r="L2304" s="83">
        <f>EFEITO!$N$2304*EFEITO!$AA$2304</f>
        <v>2986432.9984491495</v>
      </c>
      <c r="M2304" s="83">
        <f>$J$2304-EFEITO!$K$2304*EFEITO!$Y$2304</f>
        <v>0</v>
      </c>
      <c r="N2304" s="83">
        <f ca="1">$K$2304-EFEITO!$M$2304*EFEITO!$Z$2304</f>
        <v>0</v>
      </c>
      <c r="O2304" s="83">
        <f>$L$2304-EFEITO!$O$2304*EFEITO!$AA$2304</f>
        <v>0</v>
      </c>
      <c r="P2304" s="61"/>
      <c r="Q2304" s="61"/>
      <c r="R2304" s="61"/>
      <c r="S2304" s="61"/>
      <c r="T2304" s="61"/>
      <c r="U2304" s="61"/>
      <c r="V2304" s="61"/>
      <c r="W2304" s="61"/>
      <c r="X2304" s="6"/>
      <c r="Y2304" s="6"/>
      <c r="Z2304" s="6"/>
      <c r="AA2304" s="6"/>
      <c r="AB2304" s="6"/>
      <c r="AC2304" s="6"/>
      <c r="AD2304" s="6"/>
      <c r="AE2304" s="6"/>
      <c r="AF2304" s="6"/>
      <c r="AG2304" s="6"/>
      <c r="AH2304" s="6"/>
      <c r="AI2304" s="6"/>
      <c r="AJ2304" s="6"/>
    </row>
    <row r="2305" spans="1:36" ht="11.25" customHeight="1" x14ac:dyDescent="0.2">
      <c r="A2305" s="57" t="s">
        <v>29</v>
      </c>
      <c r="B2305" s="57" t="s">
        <v>41</v>
      </c>
      <c r="C2305" s="57" t="s">
        <v>23</v>
      </c>
      <c r="D2305" s="57" t="s">
        <v>45</v>
      </c>
      <c r="E2305" s="57" t="s">
        <v>25</v>
      </c>
      <c r="F2305" s="57" t="s">
        <v>25</v>
      </c>
      <c r="G2305" s="57" t="s">
        <v>25</v>
      </c>
      <c r="H2305" s="57" t="s">
        <v>25</v>
      </c>
      <c r="I2305" s="82">
        <v>44228</v>
      </c>
      <c r="J2305" s="83">
        <f>EFEITO!$J$2305*EFEITO!$Y$2305</f>
        <v>0</v>
      </c>
      <c r="K2305" s="83">
        <f ca="1">EFEITO!$L$2305*EFEITO!$Z$2305</f>
        <v>-97360.711790477755</v>
      </c>
      <c r="L2305" s="83">
        <f>EFEITO!$N$2305*EFEITO!$AA$2305</f>
        <v>-57126.617794753322</v>
      </c>
      <c r="M2305" s="83">
        <f>$J$2305-EFEITO!$K$2305*EFEITO!$Y$2305</f>
        <v>0</v>
      </c>
      <c r="N2305" s="83">
        <f ca="1">$K$2305-EFEITO!$M$2305*EFEITO!$Z$2305</f>
        <v>0</v>
      </c>
      <c r="O2305" s="83">
        <f>$L$2305-EFEITO!$O$2305*EFEITO!$AA$2305</f>
        <v>0</v>
      </c>
      <c r="P2305" s="61"/>
      <c r="Q2305" s="61"/>
      <c r="R2305" s="61"/>
      <c r="S2305" s="61"/>
      <c r="T2305" s="61"/>
      <c r="U2305" s="61"/>
      <c r="V2305" s="61"/>
      <c r="W2305" s="61"/>
      <c r="X2305" s="6"/>
      <c r="Y2305" s="6"/>
      <c r="Z2305" s="6"/>
      <c r="AA2305" s="6"/>
      <c r="AB2305" s="6"/>
      <c r="AC2305" s="6"/>
      <c r="AD2305" s="6"/>
      <c r="AE2305" s="6"/>
      <c r="AF2305" s="6"/>
      <c r="AG2305" s="6"/>
      <c r="AH2305" s="6"/>
      <c r="AI2305" s="6"/>
      <c r="AJ2305" s="6"/>
    </row>
    <row r="2306" spans="1:36" ht="11.25" customHeight="1" x14ac:dyDescent="0.2">
      <c r="A2306" s="57" t="s">
        <v>30</v>
      </c>
      <c r="B2306" s="57" t="s">
        <v>41</v>
      </c>
      <c r="C2306" s="57" t="s">
        <v>23</v>
      </c>
      <c r="D2306" s="57" t="s">
        <v>45</v>
      </c>
      <c r="E2306" s="57" t="s">
        <v>25</v>
      </c>
      <c r="F2306" s="57" t="s">
        <v>25</v>
      </c>
      <c r="G2306" s="57" t="s">
        <v>25</v>
      </c>
      <c r="H2306" s="57" t="s">
        <v>25</v>
      </c>
      <c r="I2306" s="82">
        <v>44228</v>
      </c>
      <c r="J2306" s="83">
        <f>EFEITO!$J$2306*EFEITO!$Y$2306</f>
        <v>0</v>
      </c>
      <c r="K2306" s="83">
        <f ca="1">EFEITO!$L$2306*EFEITO!$Z$2306</f>
        <v>316160.06266988633</v>
      </c>
      <c r="L2306" s="83">
        <f>EFEITO!$N$2306*EFEITO!$AA$2306</f>
        <v>185507.63167154969</v>
      </c>
      <c r="M2306" s="83">
        <f>$J$2306-EFEITO!$K$2306*EFEITO!$Y$2306</f>
        <v>0</v>
      </c>
      <c r="N2306" s="83">
        <f ca="1">$K$2306-EFEITO!$M$2306*EFEITO!$Z$2306</f>
        <v>0</v>
      </c>
      <c r="O2306" s="83">
        <f>$L$2306-EFEITO!$O$2306*EFEITO!$AA$2306</f>
        <v>0</v>
      </c>
      <c r="P2306" s="61"/>
      <c r="Q2306" s="61"/>
      <c r="R2306" s="61"/>
      <c r="S2306" s="61"/>
      <c r="T2306" s="61"/>
      <c r="U2306" s="61"/>
      <c r="V2306" s="61"/>
      <c r="W2306" s="61"/>
      <c r="X2306" s="6"/>
      <c r="Y2306" s="6"/>
      <c r="Z2306" s="6"/>
      <c r="AA2306" s="6"/>
      <c r="AB2306" s="6"/>
      <c r="AC2306" s="6"/>
      <c r="AD2306" s="6"/>
      <c r="AE2306" s="6"/>
      <c r="AF2306" s="6"/>
      <c r="AG2306" s="6"/>
      <c r="AH2306" s="6"/>
      <c r="AI2306" s="6"/>
      <c r="AJ2306" s="6"/>
    </row>
    <row r="2307" spans="1:36" ht="11.25" customHeight="1" x14ac:dyDescent="0.2">
      <c r="A2307" s="57" t="s">
        <v>21</v>
      </c>
      <c r="B2307" s="57" t="s">
        <v>41</v>
      </c>
      <c r="C2307" s="57" t="s">
        <v>23</v>
      </c>
      <c r="D2307" s="57" t="s">
        <v>45</v>
      </c>
      <c r="E2307" s="57" t="s">
        <v>25</v>
      </c>
      <c r="F2307" s="57" t="s">
        <v>25</v>
      </c>
      <c r="G2307" s="57" t="s">
        <v>25</v>
      </c>
      <c r="H2307" s="57" t="s">
        <v>25</v>
      </c>
      <c r="I2307" s="82">
        <v>44256</v>
      </c>
      <c r="J2307" s="83">
        <f>EFEITO!$J$2307*EFEITO!$Y$2307</f>
        <v>0</v>
      </c>
      <c r="K2307" s="83">
        <f ca="1">EFEITO!$L$2307*EFEITO!$Z$2307</f>
        <v>17320055.534513935</v>
      </c>
      <c r="L2307" s="83">
        <f>EFEITO!$N$2307*EFEITO!$AA$2307</f>
        <v>10162581.748923184</v>
      </c>
      <c r="M2307" s="83">
        <f>$J$2307-EFEITO!$K$2307*EFEITO!$Y$2307</f>
        <v>0</v>
      </c>
      <c r="N2307" s="83">
        <f ca="1">$K$2307-EFEITO!$M$2307*EFEITO!$Z$2307</f>
        <v>0</v>
      </c>
      <c r="O2307" s="83">
        <f>$L$2307-EFEITO!$O$2307*EFEITO!$AA$2307</f>
        <v>0</v>
      </c>
      <c r="P2307" s="61"/>
      <c r="Q2307" s="61"/>
      <c r="R2307" s="61"/>
      <c r="S2307" s="61"/>
      <c r="T2307" s="61"/>
      <c r="U2307" s="61"/>
      <c r="V2307" s="61"/>
      <c r="W2307" s="61"/>
      <c r="X2307" s="6"/>
      <c r="Y2307" s="6"/>
      <c r="Z2307" s="6"/>
      <c r="AA2307" s="6"/>
      <c r="AB2307" s="6"/>
      <c r="AC2307" s="6"/>
      <c r="AD2307" s="6"/>
      <c r="AE2307" s="6"/>
      <c r="AF2307" s="6"/>
      <c r="AG2307" s="6"/>
      <c r="AH2307" s="6"/>
      <c r="AI2307" s="6"/>
      <c r="AJ2307" s="6"/>
    </row>
    <row r="2308" spans="1:36" ht="11.25" customHeight="1" x14ac:dyDescent="0.2">
      <c r="A2308" s="57" t="s">
        <v>27</v>
      </c>
      <c r="B2308" s="57" t="s">
        <v>41</v>
      </c>
      <c r="C2308" s="57" t="s">
        <v>23</v>
      </c>
      <c r="D2308" s="57" t="s">
        <v>45</v>
      </c>
      <c r="E2308" s="57" t="s">
        <v>25</v>
      </c>
      <c r="F2308" s="57" t="s">
        <v>25</v>
      </c>
      <c r="G2308" s="57" t="s">
        <v>25</v>
      </c>
      <c r="H2308" s="57" t="s">
        <v>25</v>
      </c>
      <c r="I2308" s="82">
        <v>44256</v>
      </c>
      <c r="J2308" s="83">
        <f>EFEITO!$J$2308*EFEITO!$Y$2308</f>
        <v>0</v>
      </c>
      <c r="K2308" s="83">
        <f ca="1">EFEITO!$L$2308*EFEITO!$Z$2308</f>
        <v>-1061632.6689726347</v>
      </c>
      <c r="L2308" s="83">
        <f>EFEITO!$N$2308*EFEITO!$AA$2308</f>
        <v>-622915.36907965713</v>
      </c>
      <c r="M2308" s="83">
        <f>$J$2308-EFEITO!$K$2308*EFEITO!$Y$2308</f>
        <v>0</v>
      </c>
      <c r="N2308" s="83">
        <f ca="1">$K$2308-EFEITO!$M$2308*EFEITO!$Z$2308</f>
        <v>0</v>
      </c>
      <c r="O2308" s="83">
        <f>$L$2308-EFEITO!$O$2308*EFEITO!$AA$2308</f>
        <v>0</v>
      </c>
      <c r="P2308" s="61"/>
      <c r="Q2308" s="61"/>
      <c r="R2308" s="61"/>
      <c r="S2308" s="61"/>
      <c r="T2308" s="61"/>
      <c r="U2308" s="61"/>
      <c r="V2308" s="61"/>
      <c r="W2308" s="61"/>
      <c r="X2308" s="6"/>
      <c r="Y2308" s="6"/>
      <c r="Z2308" s="6"/>
      <c r="AA2308" s="6"/>
      <c r="AB2308" s="6"/>
      <c r="AC2308" s="6"/>
      <c r="AD2308" s="6"/>
      <c r="AE2308" s="6"/>
      <c r="AF2308" s="6"/>
      <c r="AG2308" s="6"/>
      <c r="AH2308" s="6"/>
      <c r="AI2308" s="6"/>
      <c r="AJ2308" s="6"/>
    </row>
    <row r="2309" spans="1:36" ht="11.25" customHeight="1" x14ac:dyDescent="0.2">
      <c r="A2309" s="57" t="s">
        <v>28</v>
      </c>
      <c r="B2309" s="57" t="s">
        <v>41</v>
      </c>
      <c r="C2309" s="57" t="s">
        <v>23</v>
      </c>
      <c r="D2309" s="57" t="s">
        <v>45</v>
      </c>
      <c r="E2309" s="57" t="s">
        <v>25</v>
      </c>
      <c r="F2309" s="57" t="s">
        <v>25</v>
      </c>
      <c r="G2309" s="57" t="s">
        <v>25</v>
      </c>
      <c r="H2309" s="57" t="s">
        <v>25</v>
      </c>
      <c r="I2309" s="82">
        <v>44256</v>
      </c>
      <c r="J2309" s="83">
        <f>EFEITO!$J$2309*EFEITO!$Y$2309</f>
        <v>0</v>
      </c>
      <c r="K2309" s="83">
        <f ca="1">EFEITO!$L$2309*EFEITO!$Z$2309</f>
        <v>5243540.0236220406</v>
      </c>
      <c r="L2309" s="83">
        <f>EFEITO!$N$2309*EFEITO!$AA$2309</f>
        <v>3076658.9655340295</v>
      </c>
      <c r="M2309" s="83">
        <f>$J$2309-EFEITO!$K$2309*EFEITO!$Y$2309</f>
        <v>0</v>
      </c>
      <c r="N2309" s="83">
        <f ca="1">$K$2309-EFEITO!$M$2309*EFEITO!$Z$2309</f>
        <v>0</v>
      </c>
      <c r="O2309" s="83">
        <f>$L$2309-EFEITO!$O$2309*EFEITO!$AA$2309</f>
        <v>0</v>
      </c>
      <c r="P2309" s="61"/>
      <c r="Q2309" s="61"/>
      <c r="R2309" s="61"/>
      <c r="S2309" s="61"/>
      <c r="T2309" s="61"/>
      <c r="U2309" s="61"/>
      <c r="V2309" s="61"/>
      <c r="W2309" s="61"/>
      <c r="X2309" s="6"/>
      <c r="Y2309" s="6"/>
      <c r="Z2309" s="6"/>
      <c r="AA2309" s="6"/>
      <c r="AB2309" s="6"/>
      <c r="AC2309" s="6"/>
      <c r="AD2309" s="6"/>
      <c r="AE2309" s="6"/>
      <c r="AF2309" s="6"/>
      <c r="AG2309" s="6"/>
      <c r="AH2309" s="6"/>
      <c r="AI2309" s="6"/>
      <c r="AJ2309" s="6"/>
    </row>
    <row r="2310" spans="1:36" ht="11.25" customHeight="1" x14ac:dyDescent="0.2">
      <c r="A2310" s="57" t="s">
        <v>29</v>
      </c>
      <c r="B2310" s="57" t="s">
        <v>41</v>
      </c>
      <c r="C2310" s="57" t="s">
        <v>23</v>
      </c>
      <c r="D2310" s="57" t="s">
        <v>45</v>
      </c>
      <c r="E2310" s="57" t="s">
        <v>25</v>
      </c>
      <c r="F2310" s="57" t="s">
        <v>25</v>
      </c>
      <c r="G2310" s="57" t="s">
        <v>25</v>
      </c>
      <c r="H2310" s="57" t="s">
        <v>25</v>
      </c>
      <c r="I2310" s="82">
        <v>44256</v>
      </c>
      <c r="J2310" s="83">
        <f>EFEITO!$J$2310*EFEITO!$Y$2310</f>
        <v>0</v>
      </c>
      <c r="K2310" s="83">
        <f ca="1">EFEITO!$L$2310*EFEITO!$Z$2310</f>
        <v>-353269.73251156136</v>
      </c>
      <c r="L2310" s="83">
        <f>EFEITO!$N$2310*EFEITO!$AA$2310</f>
        <v>-207281.81436340415</v>
      </c>
      <c r="M2310" s="83">
        <f>$J$2310-EFEITO!$K$2310*EFEITO!$Y$2310</f>
        <v>0</v>
      </c>
      <c r="N2310" s="83">
        <f ca="1">$K$2310-EFEITO!$M$2310*EFEITO!$Z$2310</f>
        <v>0</v>
      </c>
      <c r="O2310" s="83">
        <f>$L$2310-EFEITO!$O$2310*EFEITO!$AA$2310</f>
        <v>0</v>
      </c>
      <c r="P2310" s="61"/>
      <c r="Q2310" s="61"/>
      <c r="R2310" s="61"/>
      <c r="S2310" s="61"/>
      <c r="T2310" s="61"/>
      <c r="U2310" s="61"/>
      <c r="V2310" s="61"/>
      <c r="W2310" s="61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</row>
    <row r="2311" spans="1:36" ht="11.25" customHeight="1" x14ac:dyDescent="0.2">
      <c r="A2311" s="57" t="s">
        <v>30</v>
      </c>
      <c r="B2311" s="57" t="s">
        <v>41</v>
      </c>
      <c r="C2311" s="57" t="s">
        <v>23</v>
      </c>
      <c r="D2311" s="57" t="s">
        <v>45</v>
      </c>
      <c r="E2311" s="57" t="s">
        <v>25</v>
      </c>
      <c r="F2311" s="57" t="s">
        <v>25</v>
      </c>
      <c r="G2311" s="57" t="s">
        <v>25</v>
      </c>
      <c r="H2311" s="57" t="s">
        <v>25</v>
      </c>
      <c r="I2311" s="82">
        <v>44256</v>
      </c>
      <c r="J2311" s="83">
        <f>EFEITO!$J$2311*EFEITO!$Y$2311</f>
        <v>0</v>
      </c>
      <c r="K2311" s="83">
        <f ca="1">EFEITO!$L$2311*EFEITO!$Z$2311</f>
        <v>394959.86130140006</v>
      </c>
      <c r="L2311" s="83">
        <f>EFEITO!$N$2311*EFEITO!$AA$2311</f>
        <v>231743.59170041094</v>
      </c>
      <c r="M2311" s="83">
        <f>$J$2311-EFEITO!$K$2311*EFEITO!$Y$2311</f>
        <v>0</v>
      </c>
      <c r="N2311" s="83">
        <f ca="1">$K$2311-EFEITO!$M$2311*EFEITO!$Z$2311</f>
        <v>0</v>
      </c>
      <c r="O2311" s="83">
        <f>$L$2311-EFEITO!$O$2311*EFEITO!$AA$2311</f>
        <v>0</v>
      </c>
      <c r="P2311" s="61"/>
      <c r="Q2311" s="61"/>
      <c r="R2311" s="61"/>
      <c r="S2311" s="61"/>
      <c r="T2311" s="61"/>
      <c r="U2311" s="61"/>
      <c r="V2311" s="61"/>
      <c r="W2311" s="61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</row>
    <row r="2312" spans="1:36" ht="11.25" customHeight="1" x14ac:dyDescent="0.2">
      <c r="A2312" s="57" t="s">
        <v>30</v>
      </c>
      <c r="B2312" s="57" t="s">
        <v>41</v>
      </c>
      <c r="C2312" s="57" t="s">
        <v>23</v>
      </c>
      <c r="D2312" s="57" t="s">
        <v>45</v>
      </c>
      <c r="E2312" s="57" t="s">
        <v>25</v>
      </c>
      <c r="F2312" s="57" t="s">
        <v>25</v>
      </c>
      <c r="G2312" s="57" t="s">
        <v>25</v>
      </c>
      <c r="H2312" s="57" t="s">
        <v>25</v>
      </c>
      <c r="I2312" s="82">
        <v>44256</v>
      </c>
      <c r="J2312" s="83">
        <f>EFEITO!$J$2312*EFEITO!$Y$2312</f>
        <v>0</v>
      </c>
      <c r="K2312" s="83">
        <f ca="1">EFEITO!$L$2312*EFEITO!$Z$2312</f>
        <v>-512.0915621578597</v>
      </c>
      <c r="L2312" s="83">
        <f>EFEITO!$N$2312*EFEITO!$AA$2312</f>
        <v>-300.47088203571832</v>
      </c>
      <c r="M2312" s="83">
        <f>$J$2312-EFEITO!$K$2312*EFEITO!$Y$2312</f>
        <v>0</v>
      </c>
      <c r="N2312" s="83">
        <f ca="1">$K$2312-EFEITO!$M$2312*EFEITO!$Z$2312</f>
        <v>0</v>
      </c>
      <c r="O2312" s="83">
        <f>$L$2312-EFEITO!$O$2312*EFEITO!$AA$2312</f>
        <v>0</v>
      </c>
      <c r="P2312" s="61"/>
      <c r="Q2312" s="61"/>
      <c r="R2312" s="61"/>
      <c r="S2312" s="61"/>
      <c r="T2312" s="61"/>
      <c r="U2312" s="61"/>
      <c r="V2312" s="61"/>
      <c r="W2312" s="61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</row>
    <row r="2313" spans="1:36" ht="11.25" customHeight="1" x14ac:dyDescent="0.2">
      <c r="A2313" s="57" t="s">
        <v>21</v>
      </c>
      <c r="B2313" s="57" t="s">
        <v>41</v>
      </c>
      <c r="C2313" s="57" t="s">
        <v>23</v>
      </c>
      <c r="D2313" s="57" t="s">
        <v>45</v>
      </c>
      <c r="E2313" s="57" t="s">
        <v>25</v>
      </c>
      <c r="F2313" s="57" t="s">
        <v>25</v>
      </c>
      <c r="G2313" s="57" t="s">
        <v>25</v>
      </c>
      <c r="H2313" s="57" t="s">
        <v>25</v>
      </c>
      <c r="I2313" s="82">
        <v>44287</v>
      </c>
      <c r="J2313" s="83">
        <f>EFEITO!$J$2313*EFEITO!$Y$2313</f>
        <v>0</v>
      </c>
      <c r="K2313" s="83">
        <f ca="1">EFEITO!$L$2313*EFEITO!$Z$2313</f>
        <v>19689688.072361369</v>
      </c>
      <c r="L2313" s="83">
        <f>EFEITO!$N$2313*EFEITO!$AA$2313</f>
        <v>11552968.998709718</v>
      </c>
      <c r="M2313" s="83">
        <f>$J$2313-EFEITO!$K$2313*EFEITO!$Y$2313</f>
        <v>0</v>
      </c>
      <c r="N2313" s="83">
        <f ca="1">$K$2313-EFEITO!$M$2313*EFEITO!$Z$2313</f>
        <v>0</v>
      </c>
      <c r="O2313" s="83">
        <f>$L$2313-EFEITO!$O$2313*EFEITO!$AA$2313</f>
        <v>0</v>
      </c>
      <c r="P2313" s="61"/>
      <c r="Q2313" s="61"/>
      <c r="R2313" s="61"/>
      <c r="S2313" s="61"/>
      <c r="T2313" s="61"/>
      <c r="U2313" s="61"/>
      <c r="V2313" s="61"/>
      <c r="W2313" s="61"/>
      <c r="X2313" s="6"/>
      <c r="Y2313" s="6"/>
      <c r="Z2313" s="6"/>
      <c r="AA2313" s="6"/>
      <c r="AB2313" s="6"/>
      <c r="AC2313" s="6"/>
      <c r="AD2313" s="6"/>
      <c r="AE2313" s="6"/>
      <c r="AF2313" s="6"/>
      <c r="AG2313" s="6"/>
      <c r="AH2313" s="6"/>
      <c r="AI2313" s="6"/>
      <c r="AJ2313" s="6"/>
    </row>
    <row r="2314" spans="1:36" ht="11.25" customHeight="1" x14ac:dyDescent="0.2">
      <c r="A2314" s="57" t="s">
        <v>27</v>
      </c>
      <c r="B2314" s="57" t="s">
        <v>41</v>
      </c>
      <c r="C2314" s="57" t="s">
        <v>23</v>
      </c>
      <c r="D2314" s="57" t="s">
        <v>45</v>
      </c>
      <c r="E2314" s="57" t="s">
        <v>25</v>
      </c>
      <c r="F2314" s="57" t="s">
        <v>25</v>
      </c>
      <c r="G2314" s="57" t="s">
        <v>25</v>
      </c>
      <c r="H2314" s="57" t="s">
        <v>25</v>
      </c>
      <c r="I2314" s="82">
        <v>44287</v>
      </c>
      <c r="J2314" s="83">
        <f>EFEITO!$J$2314*EFEITO!$Y$2314</f>
        <v>0</v>
      </c>
      <c r="K2314" s="83">
        <f ca="1">EFEITO!$L$2314*EFEITO!$Z$2314</f>
        <v>-963544.5946863523</v>
      </c>
      <c r="L2314" s="83">
        <f>EFEITO!$N$2314*EFEITO!$AA$2314</f>
        <v>-565361.96969578089</v>
      </c>
      <c r="M2314" s="83">
        <f>$J$2314-EFEITO!$K$2314*EFEITO!$Y$2314</f>
        <v>0</v>
      </c>
      <c r="N2314" s="83">
        <f ca="1">$K$2314-EFEITO!$M$2314*EFEITO!$Z$2314</f>
        <v>0</v>
      </c>
      <c r="O2314" s="83">
        <f>$L$2314-EFEITO!$O$2314*EFEITO!$AA$2314</f>
        <v>0</v>
      </c>
      <c r="P2314" s="61"/>
      <c r="Q2314" s="61"/>
      <c r="R2314" s="61"/>
      <c r="S2314" s="61"/>
      <c r="T2314" s="61"/>
      <c r="U2314" s="61"/>
      <c r="V2314" s="61"/>
      <c r="W2314" s="61"/>
      <c r="X2314" s="6"/>
      <c r="Y2314" s="6"/>
      <c r="Z2314" s="6"/>
      <c r="AA2314" s="6"/>
      <c r="AB2314" s="6"/>
      <c r="AC2314" s="6"/>
      <c r="AD2314" s="6"/>
      <c r="AE2314" s="6"/>
      <c r="AF2314" s="6"/>
      <c r="AG2314" s="6"/>
      <c r="AH2314" s="6"/>
      <c r="AI2314" s="6"/>
      <c r="AJ2314" s="6"/>
    </row>
    <row r="2315" spans="1:36" ht="11.25" customHeight="1" x14ac:dyDescent="0.2">
      <c r="A2315" s="57" t="s">
        <v>28</v>
      </c>
      <c r="B2315" s="57" t="s">
        <v>41</v>
      </c>
      <c r="C2315" s="57" t="s">
        <v>23</v>
      </c>
      <c r="D2315" s="57" t="s">
        <v>45</v>
      </c>
      <c r="E2315" s="57" t="s">
        <v>25</v>
      </c>
      <c r="F2315" s="57" t="s">
        <v>25</v>
      </c>
      <c r="G2315" s="57" t="s">
        <v>25</v>
      </c>
      <c r="H2315" s="57" t="s">
        <v>25</v>
      </c>
      <c r="I2315" s="82">
        <v>44287</v>
      </c>
      <c r="J2315" s="83">
        <f>EFEITO!$J$2315*EFEITO!$Y$2315</f>
        <v>0</v>
      </c>
      <c r="K2315" s="83">
        <f ca="1">EFEITO!$L$2315*EFEITO!$Z$2315</f>
        <v>5746465.0961652901</v>
      </c>
      <c r="L2315" s="83">
        <f>EFEITO!$N$2315*EFEITO!$AA$2315</f>
        <v>3371751.3890611422</v>
      </c>
      <c r="M2315" s="83">
        <f>$J$2315-EFEITO!$K$2315*EFEITO!$Y$2315</f>
        <v>0</v>
      </c>
      <c r="N2315" s="83">
        <f ca="1">$K$2315-EFEITO!$M$2315*EFEITO!$Z$2315</f>
        <v>0</v>
      </c>
      <c r="O2315" s="83">
        <f>$L$2315-EFEITO!$O$2315*EFEITO!$AA$2315</f>
        <v>0</v>
      </c>
      <c r="P2315" s="61"/>
      <c r="Q2315" s="61"/>
      <c r="R2315" s="61"/>
      <c r="S2315" s="61"/>
      <c r="T2315" s="61"/>
      <c r="U2315" s="61"/>
      <c r="V2315" s="61"/>
      <c r="W2315" s="61"/>
      <c r="X2315" s="6"/>
      <c r="Y2315" s="6"/>
      <c r="Z2315" s="6"/>
      <c r="AA2315" s="6"/>
      <c r="AB2315" s="6"/>
      <c r="AC2315" s="6"/>
      <c r="AD2315" s="6"/>
      <c r="AE2315" s="6"/>
      <c r="AF2315" s="6"/>
      <c r="AG2315" s="6"/>
      <c r="AH2315" s="6"/>
      <c r="AI2315" s="6"/>
      <c r="AJ2315" s="6"/>
    </row>
    <row r="2316" spans="1:36" ht="11.25" customHeight="1" x14ac:dyDescent="0.2">
      <c r="A2316" s="57" t="s">
        <v>29</v>
      </c>
      <c r="B2316" s="57" t="s">
        <v>41</v>
      </c>
      <c r="C2316" s="57" t="s">
        <v>23</v>
      </c>
      <c r="D2316" s="57" t="s">
        <v>45</v>
      </c>
      <c r="E2316" s="57" t="s">
        <v>25</v>
      </c>
      <c r="F2316" s="57" t="s">
        <v>25</v>
      </c>
      <c r="G2316" s="57" t="s">
        <v>25</v>
      </c>
      <c r="H2316" s="57" t="s">
        <v>25</v>
      </c>
      <c r="I2316" s="82">
        <v>44287</v>
      </c>
      <c r="J2316" s="83">
        <f>EFEITO!$J$2316*EFEITO!$Y$2316</f>
        <v>0</v>
      </c>
      <c r="K2316" s="83">
        <f ca="1">EFEITO!$L$2316*EFEITO!$Z$2316</f>
        <v>-125431.53501819924</v>
      </c>
      <c r="L2316" s="83">
        <f>EFEITO!$N$2316*EFEITO!$AA$2316</f>
        <v>-73597.236797263176</v>
      </c>
      <c r="M2316" s="83">
        <f>$J$2316-EFEITO!$K$2316*EFEITO!$Y$2316</f>
        <v>0</v>
      </c>
      <c r="N2316" s="83">
        <f ca="1">$K$2316-EFEITO!$M$2316*EFEITO!$Z$2316</f>
        <v>0</v>
      </c>
      <c r="O2316" s="83">
        <f>$L$2316-EFEITO!$O$2316*EFEITO!$AA$2316</f>
        <v>0</v>
      </c>
      <c r="P2316" s="61"/>
      <c r="Q2316" s="61"/>
      <c r="R2316" s="61"/>
      <c r="S2316" s="61"/>
      <c r="T2316" s="61"/>
      <c r="U2316" s="61"/>
      <c r="V2316" s="61"/>
      <c r="W2316" s="61"/>
      <c r="X2316" s="6"/>
      <c r="Y2316" s="6"/>
      <c r="Z2316" s="6"/>
      <c r="AA2316" s="6"/>
      <c r="AB2316" s="6"/>
      <c r="AC2316" s="6"/>
      <c r="AD2316" s="6"/>
      <c r="AE2316" s="6"/>
      <c r="AF2316" s="6"/>
      <c r="AG2316" s="6"/>
      <c r="AH2316" s="6"/>
      <c r="AI2316" s="6"/>
      <c r="AJ2316" s="6"/>
    </row>
    <row r="2317" spans="1:36" ht="11.25" customHeight="1" x14ac:dyDescent="0.2">
      <c r="A2317" s="57" t="s">
        <v>30</v>
      </c>
      <c r="B2317" s="57" t="s">
        <v>41</v>
      </c>
      <c r="C2317" s="57" t="s">
        <v>23</v>
      </c>
      <c r="D2317" s="57" t="s">
        <v>45</v>
      </c>
      <c r="E2317" s="57" t="s">
        <v>25</v>
      </c>
      <c r="F2317" s="57" t="s">
        <v>25</v>
      </c>
      <c r="G2317" s="57" t="s">
        <v>25</v>
      </c>
      <c r="H2317" s="57" t="s">
        <v>25</v>
      </c>
      <c r="I2317" s="82">
        <v>44287</v>
      </c>
      <c r="J2317" s="83">
        <f>EFEITO!$J$2317*EFEITO!$Y$2317</f>
        <v>0</v>
      </c>
      <c r="K2317" s="83">
        <f ca="1">EFEITO!$L$2317*EFEITO!$Z$2317</f>
        <v>440797.88109273312</v>
      </c>
      <c r="L2317" s="83">
        <f>EFEITO!$N$2317*EFEITO!$AA$2317</f>
        <v>258639.1534617407</v>
      </c>
      <c r="M2317" s="83">
        <f>$J$2317-EFEITO!$K$2317*EFEITO!$Y$2317</f>
        <v>0</v>
      </c>
      <c r="N2317" s="83">
        <f ca="1">$K$2317-EFEITO!$M$2317*EFEITO!$Z$2317</f>
        <v>0</v>
      </c>
      <c r="O2317" s="83">
        <f>$L$2317-EFEITO!$O$2317*EFEITO!$AA$2317</f>
        <v>0</v>
      </c>
      <c r="P2317" s="61"/>
      <c r="Q2317" s="61"/>
      <c r="R2317" s="61"/>
      <c r="S2317" s="61"/>
      <c r="T2317" s="61"/>
      <c r="U2317" s="61"/>
      <c r="V2317" s="61"/>
      <c r="W2317" s="61"/>
      <c r="X2317" s="6"/>
      <c r="Y2317" s="6"/>
      <c r="Z2317" s="6"/>
      <c r="AA2317" s="6"/>
      <c r="AB2317" s="6"/>
      <c r="AC2317" s="6"/>
      <c r="AD2317" s="6"/>
      <c r="AE2317" s="6"/>
      <c r="AF2317" s="6"/>
      <c r="AG2317" s="6"/>
      <c r="AH2317" s="6"/>
      <c r="AI2317" s="6"/>
      <c r="AJ2317" s="6"/>
    </row>
    <row r="2318" spans="1:36" ht="11.25" customHeight="1" x14ac:dyDescent="0.2">
      <c r="A2318" s="57" t="s">
        <v>30</v>
      </c>
      <c r="B2318" s="57" t="s">
        <v>41</v>
      </c>
      <c r="C2318" s="57" t="s">
        <v>23</v>
      </c>
      <c r="D2318" s="57" t="s">
        <v>45</v>
      </c>
      <c r="E2318" s="57" t="s">
        <v>25</v>
      </c>
      <c r="F2318" s="57" t="s">
        <v>25</v>
      </c>
      <c r="G2318" s="57" t="s">
        <v>25</v>
      </c>
      <c r="H2318" s="57" t="s">
        <v>25</v>
      </c>
      <c r="I2318" s="82">
        <v>44287</v>
      </c>
      <c r="J2318" s="83">
        <f>EFEITO!$J$2318*EFEITO!$Y$2318</f>
        <v>0</v>
      </c>
      <c r="K2318" s="83">
        <f ca="1">EFEITO!$L$2318*EFEITO!$Z$2318</f>
        <v>-834.23818286250741</v>
      </c>
      <c r="L2318" s="83">
        <f>EFEITO!$N$2318*EFEITO!$AA$2318</f>
        <v>-489.49114017094774</v>
      </c>
      <c r="M2318" s="83">
        <f>$J$2318-EFEITO!$K$2318*EFEITO!$Y$2318</f>
        <v>0</v>
      </c>
      <c r="N2318" s="83">
        <f ca="1">$K$2318-EFEITO!$M$2318*EFEITO!$Z$2318</f>
        <v>0</v>
      </c>
      <c r="O2318" s="83">
        <f>$L$2318-EFEITO!$O$2318*EFEITO!$AA$2318</f>
        <v>0</v>
      </c>
      <c r="P2318" s="61"/>
      <c r="Q2318" s="61"/>
      <c r="R2318" s="61"/>
      <c r="S2318" s="61"/>
      <c r="T2318" s="61"/>
      <c r="U2318" s="61"/>
      <c r="V2318" s="61"/>
      <c r="W2318" s="61"/>
      <c r="X2318" s="6"/>
      <c r="Y2318" s="6"/>
      <c r="Z2318" s="6"/>
      <c r="AA2318" s="6"/>
      <c r="AB2318" s="6"/>
      <c r="AC2318" s="6"/>
      <c r="AD2318" s="6"/>
      <c r="AE2318" s="6"/>
      <c r="AF2318" s="6"/>
      <c r="AG2318" s="6"/>
      <c r="AH2318" s="6"/>
      <c r="AI2318" s="6"/>
      <c r="AJ2318" s="6"/>
    </row>
    <row r="2319" spans="1:36" ht="11.25" customHeight="1" x14ac:dyDescent="0.2">
      <c r="A2319" s="57" t="s">
        <v>21</v>
      </c>
      <c r="B2319" s="57" t="s">
        <v>41</v>
      </c>
      <c r="C2319" s="57" t="s">
        <v>23</v>
      </c>
      <c r="D2319" s="57" t="s">
        <v>45</v>
      </c>
      <c r="E2319" s="57" t="s">
        <v>25</v>
      </c>
      <c r="F2319" s="57" t="s">
        <v>25</v>
      </c>
      <c r="G2319" s="57" t="s">
        <v>25</v>
      </c>
      <c r="H2319" s="57" t="s">
        <v>25</v>
      </c>
      <c r="I2319" s="82">
        <v>44317</v>
      </c>
      <c r="J2319" s="83">
        <f>EFEITO!$J$2319*EFEITO!$Y$2319</f>
        <v>0</v>
      </c>
      <c r="K2319" s="83">
        <f ca="1">EFEITO!$L$2319*EFEITO!$Z$2319</f>
        <v>20254601.043398067</v>
      </c>
      <c r="L2319" s="83">
        <f>EFEITO!$N$2319*EFEITO!$AA$2319</f>
        <v>11884432.961844673</v>
      </c>
      <c r="M2319" s="83">
        <f>$J$2319-EFEITO!$K$2319*EFEITO!$Y$2319</f>
        <v>0</v>
      </c>
      <c r="N2319" s="83">
        <f ca="1">$K$2319-EFEITO!$M$2319*EFEITO!$Z$2319</f>
        <v>0</v>
      </c>
      <c r="O2319" s="83">
        <f>$L$2319-EFEITO!$O$2319*EFEITO!$AA$2319</f>
        <v>0</v>
      </c>
      <c r="P2319" s="61"/>
      <c r="Q2319" s="61"/>
      <c r="R2319" s="61"/>
      <c r="S2319" s="61"/>
      <c r="T2319" s="61"/>
      <c r="U2319" s="61"/>
      <c r="V2319" s="61"/>
      <c r="W2319" s="61"/>
      <c r="X2319" s="6"/>
      <c r="Y2319" s="6"/>
      <c r="Z2319" s="6"/>
      <c r="AA2319" s="6"/>
      <c r="AB2319" s="6"/>
      <c r="AC2319" s="6"/>
      <c r="AD2319" s="6"/>
      <c r="AE2319" s="6"/>
      <c r="AF2319" s="6"/>
      <c r="AG2319" s="6"/>
      <c r="AH2319" s="6"/>
      <c r="AI2319" s="6"/>
      <c r="AJ2319" s="6"/>
    </row>
    <row r="2320" spans="1:36" ht="11.25" customHeight="1" x14ac:dyDescent="0.2">
      <c r="A2320" s="57" t="s">
        <v>27</v>
      </c>
      <c r="B2320" s="57" t="s">
        <v>41</v>
      </c>
      <c r="C2320" s="57" t="s">
        <v>23</v>
      </c>
      <c r="D2320" s="57" t="s">
        <v>45</v>
      </c>
      <c r="E2320" s="57" t="s">
        <v>25</v>
      </c>
      <c r="F2320" s="57" t="s">
        <v>25</v>
      </c>
      <c r="G2320" s="57" t="s">
        <v>25</v>
      </c>
      <c r="H2320" s="57" t="s">
        <v>25</v>
      </c>
      <c r="I2320" s="82">
        <v>44317</v>
      </c>
      <c r="J2320" s="83">
        <f>EFEITO!$J$2320*EFEITO!$Y$2320</f>
        <v>0</v>
      </c>
      <c r="K2320" s="83">
        <f ca="1">EFEITO!$L$2320*EFEITO!$Z$2320</f>
        <v>-971552.16689817584</v>
      </c>
      <c r="L2320" s="83">
        <f>EFEITO!$N$2320*EFEITO!$AA$2320</f>
        <v>-570060.43079776177</v>
      </c>
      <c r="M2320" s="83">
        <f>$J$2320-EFEITO!$K$2320*EFEITO!$Y$2320</f>
        <v>0</v>
      </c>
      <c r="N2320" s="83">
        <f ca="1">$K$2320-EFEITO!$M$2320*EFEITO!$Z$2320</f>
        <v>0</v>
      </c>
      <c r="O2320" s="83">
        <f>$L$2320-EFEITO!$O$2320*EFEITO!$AA$2320</f>
        <v>0</v>
      </c>
      <c r="P2320" s="61"/>
      <c r="Q2320" s="61"/>
      <c r="R2320" s="61"/>
      <c r="S2320" s="61"/>
      <c r="T2320" s="61"/>
      <c r="U2320" s="61"/>
      <c r="V2320" s="61"/>
      <c r="W2320" s="61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</row>
    <row r="2321" spans="1:36" ht="11.25" customHeight="1" x14ac:dyDescent="0.2">
      <c r="A2321" s="57" t="s">
        <v>28</v>
      </c>
      <c r="B2321" s="57" t="s">
        <v>41</v>
      </c>
      <c r="C2321" s="57" t="s">
        <v>23</v>
      </c>
      <c r="D2321" s="57" t="s">
        <v>45</v>
      </c>
      <c r="E2321" s="57" t="s">
        <v>25</v>
      </c>
      <c r="F2321" s="57" t="s">
        <v>25</v>
      </c>
      <c r="G2321" s="57" t="s">
        <v>25</v>
      </c>
      <c r="H2321" s="57" t="s">
        <v>25</v>
      </c>
      <c r="I2321" s="82">
        <v>44317</v>
      </c>
      <c r="J2321" s="83">
        <f>EFEITO!$J$2321*EFEITO!$Y$2321</f>
        <v>0</v>
      </c>
      <c r="K2321" s="83">
        <f ca="1">EFEITO!$L$2321*EFEITO!$Z$2321</f>
        <v>6122766.7924977019</v>
      </c>
      <c r="L2321" s="83">
        <f>EFEITO!$N$2321*EFEITO!$AA$2321</f>
        <v>3592547.260276224</v>
      </c>
      <c r="M2321" s="83">
        <f>$J$2321-EFEITO!$K$2321*EFEITO!$Y$2321</f>
        <v>0</v>
      </c>
      <c r="N2321" s="83">
        <f ca="1">$K$2321-EFEITO!$M$2321*EFEITO!$Z$2321</f>
        <v>0</v>
      </c>
      <c r="O2321" s="83">
        <f>$L$2321-EFEITO!$O$2321*EFEITO!$AA$2321</f>
        <v>0</v>
      </c>
      <c r="P2321" s="61"/>
      <c r="Q2321" s="61"/>
      <c r="R2321" s="61"/>
      <c r="S2321" s="61"/>
      <c r="T2321" s="61"/>
      <c r="U2321" s="61"/>
      <c r="V2321" s="61"/>
      <c r="W2321" s="61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</row>
    <row r="2322" spans="1:36" ht="11.25" customHeight="1" x14ac:dyDescent="0.2">
      <c r="A2322" s="57" t="s">
        <v>29</v>
      </c>
      <c r="B2322" s="57" t="s">
        <v>41</v>
      </c>
      <c r="C2322" s="57" t="s">
        <v>23</v>
      </c>
      <c r="D2322" s="57" t="s">
        <v>45</v>
      </c>
      <c r="E2322" s="57" t="s">
        <v>25</v>
      </c>
      <c r="F2322" s="57" t="s">
        <v>25</v>
      </c>
      <c r="G2322" s="57" t="s">
        <v>25</v>
      </c>
      <c r="H2322" s="57" t="s">
        <v>25</v>
      </c>
      <c r="I2322" s="82">
        <v>44317</v>
      </c>
      <c r="J2322" s="83">
        <f>EFEITO!$J$2322*EFEITO!$Y$2322</f>
        <v>0</v>
      </c>
      <c r="K2322" s="83">
        <f ca="1">EFEITO!$L$2322*EFEITO!$Z$2322</f>
        <v>-73044.213645559488</v>
      </c>
      <c r="L2322" s="83">
        <f>EFEITO!$N$2322*EFEITO!$AA$2322</f>
        <v>-42858.857523844585</v>
      </c>
      <c r="M2322" s="83">
        <f>$J$2322-EFEITO!$K$2322*EFEITO!$Y$2322</f>
        <v>0</v>
      </c>
      <c r="N2322" s="83">
        <f ca="1">$K$2322-EFEITO!$M$2322*EFEITO!$Z$2322</f>
        <v>0</v>
      </c>
      <c r="O2322" s="83">
        <f>$L$2322-EFEITO!$O$2322*EFEITO!$AA$2322</f>
        <v>0</v>
      </c>
      <c r="P2322" s="61"/>
      <c r="Q2322" s="61"/>
      <c r="R2322" s="61"/>
      <c r="S2322" s="61"/>
      <c r="T2322" s="61"/>
      <c r="U2322" s="61"/>
      <c r="V2322" s="61"/>
      <c r="W2322" s="61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</row>
    <row r="2323" spans="1:36" ht="11.25" customHeight="1" x14ac:dyDescent="0.2">
      <c r="A2323" s="57" t="s">
        <v>30</v>
      </c>
      <c r="B2323" s="57" t="s">
        <v>41</v>
      </c>
      <c r="C2323" s="57" t="s">
        <v>23</v>
      </c>
      <c r="D2323" s="57" t="s">
        <v>45</v>
      </c>
      <c r="E2323" s="57" t="s">
        <v>25</v>
      </c>
      <c r="F2323" s="57" t="s">
        <v>25</v>
      </c>
      <c r="G2323" s="57" t="s">
        <v>25</v>
      </c>
      <c r="H2323" s="57" t="s">
        <v>25</v>
      </c>
      <c r="I2323" s="82">
        <v>44317</v>
      </c>
      <c r="J2323" s="83">
        <f>EFEITO!$J$2323*EFEITO!$Y$2323</f>
        <v>0</v>
      </c>
      <c r="K2323" s="83">
        <f ca="1">EFEITO!$L$2323*EFEITO!$Z$2323</f>
        <v>517032.15671501879</v>
      </c>
      <c r="L2323" s="83">
        <f>EFEITO!$N$2323*EFEITO!$AA$2323</f>
        <v>303369.787063786</v>
      </c>
      <c r="M2323" s="83">
        <f>$J$2323-EFEITO!$K$2323*EFEITO!$Y$2323</f>
        <v>0</v>
      </c>
      <c r="N2323" s="83">
        <f ca="1">$K$2323-EFEITO!$M$2323*EFEITO!$Z$2323</f>
        <v>0</v>
      </c>
      <c r="O2323" s="83">
        <f>$L$2323-EFEITO!$O$2323*EFEITO!$AA$2323</f>
        <v>0</v>
      </c>
      <c r="P2323" s="61"/>
      <c r="Q2323" s="61"/>
      <c r="R2323" s="61"/>
      <c r="S2323" s="61"/>
      <c r="T2323" s="61"/>
      <c r="U2323" s="61"/>
      <c r="V2323" s="61"/>
      <c r="W2323" s="61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</row>
    <row r="2324" spans="1:36" ht="11.25" customHeight="1" x14ac:dyDescent="0.2">
      <c r="A2324" s="57" t="s">
        <v>30</v>
      </c>
      <c r="B2324" s="57" t="s">
        <v>41</v>
      </c>
      <c r="C2324" s="57" t="s">
        <v>23</v>
      </c>
      <c r="D2324" s="57" t="s">
        <v>45</v>
      </c>
      <c r="E2324" s="57" t="s">
        <v>25</v>
      </c>
      <c r="F2324" s="57" t="s">
        <v>25</v>
      </c>
      <c r="G2324" s="57" t="s">
        <v>25</v>
      </c>
      <c r="H2324" s="57" t="s">
        <v>25</v>
      </c>
      <c r="I2324" s="82">
        <v>44317</v>
      </c>
      <c r="J2324" s="83">
        <f>EFEITO!$J$2324*EFEITO!$Y$2324</f>
        <v>0</v>
      </c>
      <c r="K2324" s="83">
        <f ca="1">EFEITO!$L$2324*EFEITO!$Z$2324</f>
        <v>-2817.7698914779166</v>
      </c>
      <c r="L2324" s="83">
        <f>EFEITO!$N$2324*EFEITO!$AA$2324</f>
        <v>-1653.3328553557874</v>
      </c>
      <c r="M2324" s="83">
        <f>$J$2324-EFEITO!$K$2324*EFEITO!$Y$2324</f>
        <v>0</v>
      </c>
      <c r="N2324" s="83">
        <f ca="1">$K$2324-EFEITO!$M$2324*EFEITO!$Z$2324</f>
        <v>0</v>
      </c>
      <c r="O2324" s="83">
        <f>$L$2324-EFEITO!$O$2324*EFEITO!$AA$2324</f>
        <v>0</v>
      </c>
      <c r="P2324" s="61"/>
      <c r="Q2324" s="61"/>
      <c r="R2324" s="61"/>
      <c r="S2324" s="61"/>
      <c r="T2324" s="61"/>
      <c r="U2324" s="61"/>
      <c r="V2324" s="61"/>
      <c r="W2324" s="61"/>
      <c r="X2324" s="6"/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</row>
    <row r="2325" spans="1:36" ht="11.25" customHeight="1" x14ac:dyDescent="0.2">
      <c r="A2325" s="57" t="s">
        <v>21</v>
      </c>
      <c r="B2325" s="57" t="s">
        <v>41</v>
      </c>
      <c r="C2325" s="57" t="s">
        <v>23</v>
      </c>
      <c r="D2325" s="57" t="s">
        <v>45</v>
      </c>
      <c r="E2325" s="57" t="s">
        <v>25</v>
      </c>
      <c r="F2325" s="57" t="s">
        <v>25</v>
      </c>
      <c r="G2325" s="57" t="s">
        <v>25</v>
      </c>
      <c r="H2325" s="57" t="s">
        <v>25</v>
      </c>
      <c r="I2325" s="82">
        <v>44348</v>
      </c>
      <c r="J2325" s="83">
        <f>EFEITO!$J$2325*EFEITO!$Y$2325</f>
        <v>0</v>
      </c>
      <c r="K2325" s="83">
        <f ca="1">EFEITO!$L$2325*EFEITO!$Z$2325</f>
        <v>22522093.854728058</v>
      </c>
      <c r="L2325" s="83">
        <f>EFEITO!$N$2325*EFEITO!$AA$2325</f>
        <v>13214889.496139117</v>
      </c>
      <c r="M2325" s="83">
        <f>$J$2325-EFEITO!$K$2325*EFEITO!$Y$2325</f>
        <v>0</v>
      </c>
      <c r="N2325" s="83">
        <f ca="1">$K$2325-EFEITO!$M$2325*EFEITO!$Z$2325</f>
        <v>0</v>
      </c>
      <c r="O2325" s="83">
        <f>$L$2325-EFEITO!$O$2325*EFEITO!$AA$2325</f>
        <v>0</v>
      </c>
      <c r="P2325" s="61"/>
      <c r="Q2325" s="61"/>
      <c r="R2325" s="61"/>
      <c r="S2325" s="61"/>
      <c r="T2325" s="61"/>
      <c r="U2325" s="61"/>
      <c r="V2325" s="61"/>
      <c r="W2325" s="61"/>
      <c r="X2325" s="6"/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</row>
    <row r="2326" spans="1:36" ht="11.25" customHeight="1" x14ac:dyDescent="0.2">
      <c r="A2326" s="57" t="s">
        <v>27</v>
      </c>
      <c r="B2326" s="57" t="s">
        <v>41</v>
      </c>
      <c r="C2326" s="57" t="s">
        <v>23</v>
      </c>
      <c r="D2326" s="57" t="s">
        <v>45</v>
      </c>
      <c r="E2326" s="57" t="s">
        <v>25</v>
      </c>
      <c r="F2326" s="57" t="s">
        <v>25</v>
      </c>
      <c r="G2326" s="57" t="s">
        <v>25</v>
      </c>
      <c r="H2326" s="57" t="s">
        <v>25</v>
      </c>
      <c r="I2326" s="82">
        <v>44348</v>
      </c>
      <c r="J2326" s="83">
        <f>EFEITO!$J$2326*EFEITO!$Y$2326</f>
        <v>0</v>
      </c>
      <c r="K2326" s="83">
        <f ca="1">EFEITO!$L$2326*EFEITO!$Z$2326</f>
        <v>-1188772.1889043811</v>
      </c>
      <c r="L2326" s="83">
        <f>EFEITO!$N$2326*EFEITO!$AA$2326</f>
        <v>-697514.7698870335</v>
      </c>
      <c r="M2326" s="83">
        <f>$J$2326-EFEITO!$K$2326*EFEITO!$Y$2326</f>
        <v>0</v>
      </c>
      <c r="N2326" s="83">
        <f ca="1">$K$2326-EFEITO!$M$2326*EFEITO!$Z$2326</f>
        <v>0</v>
      </c>
      <c r="O2326" s="83">
        <f>$L$2326-EFEITO!$O$2326*EFEITO!$AA$2326</f>
        <v>0</v>
      </c>
      <c r="P2326" s="61"/>
      <c r="Q2326" s="61"/>
      <c r="R2326" s="61"/>
      <c r="S2326" s="61"/>
      <c r="T2326" s="61"/>
      <c r="U2326" s="61"/>
      <c r="V2326" s="61"/>
      <c r="W2326" s="61"/>
      <c r="X2326" s="6"/>
      <c r="Y2326" s="6"/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</row>
    <row r="2327" spans="1:36" ht="11.25" customHeight="1" x14ac:dyDescent="0.2">
      <c r="A2327" s="57" t="s">
        <v>28</v>
      </c>
      <c r="B2327" s="57" t="s">
        <v>41</v>
      </c>
      <c r="C2327" s="57" t="s">
        <v>23</v>
      </c>
      <c r="D2327" s="57" t="s">
        <v>45</v>
      </c>
      <c r="E2327" s="57" t="s">
        <v>25</v>
      </c>
      <c r="F2327" s="57" t="s">
        <v>25</v>
      </c>
      <c r="G2327" s="57" t="s">
        <v>25</v>
      </c>
      <c r="H2327" s="57" t="s">
        <v>25</v>
      </c>
      <c r="I2327" s="82">
        <v>44348</v>
      </c>
      <c r="J2327" s="83">
        <f>EFEITO!$J$2327*EFEITO!$Y$2327</f>
        <v>0</v>
      </c>
      <c r="K2327" s="83">
        <f ca="1">EFEITO!$L$2327*EFEITO!$Z$2327</f>
        <v>6752941.8062986629</v>
      </c>
      <c r="L2327" s="83">
        <f>EFEITO!$N$2327*EFEITO!$AA$2327</f>
        <v>3962303.8745734072</v>
      </c>
      <c r="M2327" s="83">
        <f>$J$2327-EFEITO!$K$2327*EFEITO!$Y$2327</f>
        <v>0</v>
      </c>
      <c r="N2327" s="83">
        <f ca="1">$K$2327-EFEITO!$M$2327*EFEITO!$Z$2327</f>
        <v>0</v>
      </c>
      <c r="O2327" s="83">
        <f>$L$2327-EFEITO!$O$2327*EFEITO!$AA$2327</f>
        <v>0</v>
      </c>
      <c r="P2327" s="61"/>
      <c r="Q2327" s="61"/>
      <c r="R2327" s="61"/>
      <c r="S2327" s="61"/>
      <c r="T2327" s="61"/>
      <c r="U2327" s="61"/>
      <c r="V2327" s="61"/>
      <c r="W2327" s="61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</row>
    <row r="2328" spans="1:36" ht="11.25" customHeight="1" x14ac:dyDescent="0.2">
      <c r="A2328" s="57" t="s">
        <v>29</v>
      </c>
      <c r="B2328" s="57" t="s">
        <v>41</v>
      </c>
      <c r="C2328" s="57" t="s">
        <v>23</v>
      </c>
      <c r="D2328" s="57" t="s">
        <v>45</v>
      </c>
      <c r="E2328" s="57" t="s">
        <v>25</v>
      </c>
      <c r="F2328" s="57" t="s">
        <v>25</v>
      </c>
      <c r="G2328" s="57" t="s">
        <v>25</v>
      </c>
      <c r="H2328" s="57" t="s">
        <v>25</v>
      </c>
      <c r="I2328" s="82">
        <v>44348</v>
      </c>
      <c r="J2328" s="83">
        <f>EFEITO!$J$2328*EFEITO!$Y$2328</f>
        <v>0</v>
      </c>
      <c r="K2328" s="83">
        <f ca="1">EFEITO!$L$2328*EFEITO!$Z$2328</f>
        <v>-298903.94462874491</v>
      </c>
      <c r="L2328" s="83">
        <f>EFEITO!$N$2328*EFEITO!$AA$2328</f>
        <v>-175382.56539143805</v>
      </c>
      <c r="M2328" s="83">
        <f>$J$2328-EFEITO!$K$2328*EFEITO!$Y$2328</f>
        <v>0</v>
      </c>
      <c r="N2328" s="83">
        <f ca="1">$K$2328-EFEITO!$M$2328*EFEITO!$Z$2328</f>
        <v>0</v>
      </c>
      <c r="O2328" s="83">
        <f>$L$2328-EFEITO!$O$2328*EFEITO!$AA$2328</f>
        <v>0</v>
      </c>
      <c r="P2328" s="61"/>
      <c r="Q2328" s="61"/>
      <c r="R2328" s="61"/>
      <c r="S2328" s="61"/>
      <c r="T2328" s="61"/>
      <c r="U2328" s="61"/>
      <c r="V2328" s="61"/>
      <c r="W2328" s="61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</row>
    <row r="2329" spans="1:36" ht="11.25" customHeight="1" x14ac:dyDescent="0.2">
      <c r="A2329" s="57" t="s">
        <v>30</v>
      </c>
      <c r="B2329" s="57" t="s">
        <v>41</v>
      </c>
      <c r="C2329" s="57" t="s">
        <v>23</v>
      </c>
      <c r="D2329" s="57" t="s">
        <v>45</v>
      </c>
      <c r="E2329" s="57" t="s">
        <v>25</v>
      </c>
      <c r="F2329" s="57" t="s">
        <v>25</v>
      </c>
      <c r="G2329" s="57" t="s">
        <v>25</v>
      </c>
      <c r="H2329" s="57" t="s">
        <v>25</v>
      </c>
      <c r="I2329" s="82">
        <v>44348</v>
      </c>
      <c r="J2329" s="83">
        <f>EFEITO!$J$2329*EFEITO!$Y$2329</f>
        <v>0</v>
      </c>
      <c r="K2329" s="83">
        <f ca="1">EFEITO!$L$2329*EFEITO!$Z$2329</f>
        <v>593169.68704712426</v>
      </c>
      <c r="L2329" s="83">
        <f>EFEITO!$N$2329*EFEITO!$AA$2329</f>
        <v>348043.65514805802</v>
      </c>
      <c r="M2329" s="83">
        <f>$J$2329-EFEITO!$K$2329*EFEITO!$Y$2329</f>
        <v>0</v>
      </c>
      <c r="N2329" s="83">
        <f ca="1">$K$2329-EFEITO!$M$2329*EFEITO!$Z$2329</f>
        <v>0</v>
      </c>
      <c r="O2329" s="83">
        <f>$L$2329-EFEITO!$O$2329*EFEITO!$AA$2329</f>
        <v>0</v>
      </c>
      <c r="P2329" s="61"/>
      <c r="Q2329" s="61"/>
      <c r="R2329" s="61"/>
      <c r="S2329" s="61"/>
      <c r="T2329" s="61"/>
      <c r="U2329" s="61"/>
      <c r="V2329" s="61"/>
      <c r="W2329" s="61"/>
      <c r="X2329" s="6"/>
      <c r="Y2329" s="6"/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</row>
    <row r="2330" spans="1:36" ht="11.25" customHeight="1" x14ac:dyDescent="0.2">
      <c r="A2330" s="57" t="s">
        <v>30</v>
      </c>
      <c r="B2330" s="57" t="s">
        <v>41</v>
      </c>
      <c r="C2330" s="57" t="s">
        <v>23</v>
      </c>
      <c r="D2330" s="57" t="s">
        <v>45</v>
      </c>
      <c r="E2330" s="57" t="s">
        <v>25</v>
      </c>
      <c r="F2330" s="57" t="s">
        <v>25</v>
      </c>
      <c r="G2330" s="57" t="s">
        <v>25</v>
      </c>
      <c r="H2330" s="57" t="s">
        <v>25</v>
      </c>
      <c r="I2330" s="82">
        <v>44348</v>
      </c>
      <c r="J2330" s="83">
        <f>EFEITO!$J$2330*EFEITO!$Y$2330</f>
        <v>0</v>
      </c>
      <c r="K2330" s="83">
        <f ca="1">EFEITO!$L$2330*EFEITO!$Z$2330</f>
        <v>-1474.9857853646761</v>
      </c>
      <c r="L2330" s="83">
        <f>EFEITO!$N$2330*EFEITO!$AA$2330</f>
        <v>-865.45124479526396</v>
      </c>
      <c r="M2330" s="83">
        <f>$J$2330-EFEITO!$K$2330*EFEITO!$Y$2330</f>
        <v>0</v>
      </c>
      <c r="N2330" s="83">
        <f ca="1">$K$2330-EFEITO!$M$2330*EFEITO!$Z$2330</f>
        <v>0</v>
      </c>
      <c r="O2330" s="83">
        <f>$L$2330-EFEITO!$O$2330*EFEITO!$AA$2330</f>
        <v>0</v>
      </c>
      <c r="P2330" s="61"/>
      <c r="Q2330" s="61"/>
      <c r="R2330" s="61"/>
      <c r="S2330" s="61"/>
      <c r="T2330" s="61"/>
      <c r="U2330" s="61"/>
      <c r="V2330" s="61"/>
      <c r="W2330" s="61"/>
      <c r="X2330" s="6"/>
      <c r="Y2330" s="6"/>
      <c r="Z2330" s="6"/>
      <c r="AA2330" s="6"/>
      <c r="AB2330" s="6"/>
      <c r="AC2330" s="6"/>
      <c r="AD2330" s="6"/>
      <c r="AE2330" s="6"/>
      <c r="AF2330" s="6"/>
      <c r="AG2330" s="6"/>
      <c r="AH2330" s="6"/>
      <c r="AI2330" s="6"/>
      <c r="AJ2330" s="6"/>
    </row>
    <row r="2331" spans="1:36" ht="11.25" customHeight="1" x14ac:dyDescent="0.2">
      <c r="A2331" s="57" t="s">
        <v>21</v>
      </c>
      <c r="B2331" s="57" t="s">
        <v>41</v>
      </c>
      <c r="C2331" s="57" t="s">
        <v>23</v>
      </c>
      <c r="D2331" s="57" t="s">
        <v>45</v>
      </c>
      <c r="E2331" s="57" t="s">
        <v>25</v>
      </c>
      <c r="F2331" s="57" t="s">
        <v>25</v>
      </c>
      <c r="G2331" s="57" t="s">
        <v>25</v>
      </c>
      <c r="H2331" s="57" t="s">
        <v>25</v>
      </c>
      <c r="I2331" s="82">
        <v>44378</v>
      </c>
      <c r="J2331" s="83">
        <f>EFEITO!$J$2331*EFEITO!$Y$2331</f>
        <v>0</v>
      </c>
      <c r="K2331" s="83">
        <f ca="1">EFEITO!$L$2331*EFEITO!$Z$2331</f>
        <v>23902881.13168757</v>
      </c>
      <c r="L2331" s="83">
        <f>EFEITO!$N$2331*EFEITO!$AA$2331</f>
        <v>14025069.553126322</v>
      </c>
      <c r="M2331" s="83">
        <f>$J$2331-EFEITO!$K$2331*EFEITO!$Y$2331</f>
        <v>0</v>
      </c>
      <c r="N2331" s="83">
        <f ca="1">$K$2331-EFEITO!$M$2331*EFEITO!$Z$2331</f>
        <v>0</v>
      </c>
      <c r="O2331" s="83">
        <f>$L$2331-EFEITO!$O$2331*EFEITO!$AA$2331</f>
        <v>0</v>
      </c>
      <c r="P2331" s="61"/>
      <c r="Q2331" s="61"/>
      <c r="R2331" s="61"/>
      <c r="S2331" s="61"/>
      <c r="T2331" s="61"/>
      <c r="U2331" s="61"/>
      <c r="V2331" s="61"/>
      <c r="W2331" s="61"/>
      <c r="X2331" s="6"/>
      <c r="Y2331" s="6"/>
      <c r="Z2331" s="6"/>
      <c r="AA2331" s="6"/>
      <c r="AB2331" s="6"/>
      <c r="AC2331" s="6"/>
      <c r="AD2331" s="6"/>
      <c r="AE2331" s="6"/>
      <c r="AF2331" s="6"/>
      <c r="AG2331" s="6"/>
      <c r="AH2331" s="6"/>
      <c r="AI2331" s="6"/>
      <c r="AJ2331" s="6"/>
    </row>
    <row r="2332" spans="1:36" ht="11.25" customHeight="1" x14ac:dyDescent="0.2">
      <c r="A2332" s="57" t="s">
        <v>27</v>
      </c>
      <c r="B2332" s="57" t="s">
        <v>41</v>
      </c>
      <c r="C2332" s="57" t="s">
        <v>23</v>
      </c>
      <c r="D2332" s="57" t="s">
        <v>45</v>
      </c>
      <c r="E2332" s="57" t="s">
        <v>25</v>
      </c>
      <c r="F2332" s="57" t="s">
        <v>25</v>
      </c>
      <c r="G2332" s="57" t="s">
        <v>25</v>
      </c>
      <c r="H2332" s="57" t="s">
        <v>25</v>
      </c>
      <c r="I2332" s="82">
        <v>44378</v>
      </c>
      <c r="J2332" s="83">
        <f>EFEITO!$J$2332*EFEITO!$Y$2332</f>
        <v>0</v>
      </c>
      <c r="K2332" s="83">
        <f ca="1">EFEITO!$L$2332*EFEITO!$Z$2332</f>
        <v>-700223.16256999853</v>
      </c>
      <c r="L2332" s="83">
        <f>EFEITO!$N$2332*EFEITO!$AA$2332</f>
        <v>-410857.52398003737</v>
      </c>
      <c r="M2332" s="83">
        <f>$J$2332-EFEITO!$K$2332*EFEITO!$Y$2332</f>
        <v>0</v>
      </c>
      <c r="N2332" s="83">
        <f ca="1">$K$2332-EFEITO!$M$2332*EFEITO!$Z$2332</f>
        <v>0</v>
      </c>
      <c r="O2332" s="83">
        <f>$L$2332-EFEITO!$O$2332*EFEITO!$AA$2332</f>
        <v>0</v>
      </c>
      <c r="P2332" s="61"/>
      <c r="Q2332" s="61"/>
      <c r="R2332" s="61"/>
      <c r="S2332" s="61"/>
      <c r="T2332" s="61"/>
      <c r="U2332" s="61"/>
      <c r="V2332" s="61"/>
      <c r="W2332" s="61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</row>
    <row r="2333" spans="1:36" ht="11.25" customHeight="1" x14ac:dyDescent="0.2">
      <c r="A2333" s="57" t="s">
        <v>28</v>
      </c>
      <c r="B2333" s="57" t="s">
        <v>41</v>
      </c>
      <c r="C2333" s="57" t="s">
        <v>23</v>
      </c>
      <c r="D2333" s="57" t="s">
        <v>45</v>
      </c>
      <c r="E2333" s="57" t="s">
        <v>25</v>
      </c>
      <c r="F2333" s="57" t="s">
        <v>25</v>
      </c>
      <c r="G2333" s="57" t="s">
        <v>25</v>
      </c>
      <c r="H2333" s="57" t="s">
        <v>25</v>
      </c>
      <c r="I2333" s="82">
        <v>44378</v>
      </c>
      <c r="J2333" s="83">
        <f>EFEITO!$J$2333*EFEITO!$Y$2333</f>
        <v>0</v>
      </c>
      <c r="K2333" s="83">
        <f ca="1">EFEITO!$L$2333*EFEITO!$Z$2333</f>
        <v>6251496.7847392168</v>
      </c>
      <c r="L2333" s="83">
        <f>EFEITO!$N$2333*EFEITO!$AA$2333</f>
        <v>3668079.8743077274</v>
      </c>
      <c r="M2333" s="83">
        <f>$J$2333-EFEITO!$K$2333*EFEITO!$Y$2333</f>
        <v>0</v>
      </c>
      <c r="N2333" s="83">
        <f ca="1">$K$2333-EFEITO!$M$2333*EFEITO!$Z$2333</f>
        <v>0</v>
      </c>
      <c r="O2333" s="83">
        <f>$L$2333-EFEITO!$O$2333*EFEITO!$AA$2333</f>
        <v>0</v>
      </c>
      <c r="P2333" s="61"/>
      <c r="Q2333" s="61"/>
      <c r="R2333" s="61"/>
      <c r="S2333" s="61"/>
      <c r="T2333" s="61"/>
      <c r="U2333" s="61"/>
      <c r="V2333" s="61"/>
      <c r="W2333" s="61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</row>
    <row r="2334" spans="1:36" ht="11.25" customHeight="1" x14ac:dyDescent="0.2">
      <c r="A2334" s="57" t="s">
        <v>29</v>
      </c>
      <c r="B2334" s="57" t="s">
        <v>41</v>
      </c>
      <c r="C2334" s="57" t="s">
        <v>23</v>
      </c>
      <c r="D2334" s="57" t="s">
        <v>45</v>
      </c>
      <c r="E2334" s="57" t="s">
        <v>25</v>
      </c>
      <c r="F2334" s="57" t="s">
        <v>25</v>
      </c>
      <c r="G2334" s="57" t="s">
        <v>25</v>
      </c>
      <c r="H2334" s="57" t="s">
        <v>25</v>
      </c>
      <c r="I2334" s="82">
        <v>44378</v>
      </c>
      <c r="J2334" s="83">
        <f>EFEITO!$J$2334*EFEITO!$Y$2334</f>
        <v>0</v>
      </c>
      <c r="K2334" s="83">
        <f ca="1">EFEITO!$L$2334*EFEITO!$Z$2334</f>
        <v>-78430.039145484829</v>
      </c>
      <c r="L2334" s="83">
        <f>EFEITO!$N$2334*EFEITO!$AA$2334</f>
        <v>-46019.002814334985</v>
      </c>
      <c r="M2334" s="83">
        <f>$J$2334-EFEITO!$K$2334*EFEITO!$Y$2334</f>
        <v>0</v>
      </c>
      <c r="N2334" s="83">
        <f ca="1">$K$2334-EFEITO!$M$2334*EFEITO!$Z$2334</f>
        <v>0</v>
      </c>
      <c r="O2334" s="83">
        <f>$L$2334-EFEITO!$O$2334*EFEITO!$AA$2334</f>
        <v>0</v>
      </c>
      <c r="P2334" s="61"/>
      <c r="Q2334" s="61"/>
      <c r="R2334" s="61"/>
      <c r="S2334" s="61"/>
      <c r="T2334" s="61"/>
      <c r="U2334" s="61"/>
      <c r="V2334" s="61"/>
      <c r="W2334" s="61"/>
      <c r="X2334" s="6"/>
      <c r="Y2334" s="6"/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</row>
    <row r="2335" spans="1:36" ht="11.25" customHeight="1" x14ac:dyDescent="0.2">
      <c r="A2335" s="57" t="s">
        <v>30</v>
      </c>
      <c r="B2335" s="57" t="s">
        <v>41</v>
      </c>
      <c r="C2335" s="57" t="s">
        <v>23</v>
      </c>
      <c r="D2335" s="57" t="s">
        <v>45</v>
      </c>
      <c r="E2335" s="57" t="s">
        <v>25</v>
      </c>
      <c r="F2335" s="57" t="s">
        <v>25</v>
      </c>
      <c r="G2335" s="57" t="s">
        <v>25</v>
      </c>
      <c r="H2335" s="57" t="s">
        <v>25</v>
      </c>
      <c r="I2335" s="82">
        <v>44378</v>
      </c>
      <c r="J2335" s="83">
        <f>EFEITO!$J$2335*EFEITO!$Y$2335</f>
        <v>0</v>
      </c>
      <c r="K2335" s="83">
        <f ca="1">EFEITO!$L$2335*EFEITO!$Z$2335</f>
        <v>624832.74900760886</v>
      </c>
      <c r="L2335" s="83">
        <f>EFEITO!$N$2335*EFEITO!$AA$2335</f>
        <v>366622.0283497739</v>
      </c>
      <c r="M2335" s="83">
        <f>$J$2335-EFEITO!$K$2335*EFEITO!$Y$2335</f>
        <v>0</v>
      </c>
      <c r="N2335" s="83">
        <f ca="1">$K$2335-EFEITO!$M$2335*EFEITO!$Z$2335</f>
        <v>0</v>
      </c>
      <c r="O2335" s="83">
        <f>$L$2335-EFEITO!$O$2335*EFEITO!$AA$2335</f>
        <v>0</v>
      </c>
      <c r="P2335" s="61"/>
      <c r="Q2335" s="61"/>
      <c r="R2335" s="61"/>
      <c r="S2335" s="61"/>
      <c r="T2335" s="61"/>
      <c r="U2335" s="61"/>
      <c r="V2335" s="61"/>
      <c r="W2335" s="61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</row>
    <row r="2336" spans="1:36" ht="11.25" customHeight="1" x14ac:dyDescent="0.2">
      <c r="A2336" s="57" t="s">
        <v>30</v>
      </c>
      <c r="B2336" s="57" t="s">
        <v>41</v>
      </c>
      <c r="C2336" s="57" t="s">
        <v>23</v>
      </c>
      <c r="D2336" s="57" t="s">
        <v>45</v>
      </c>
      <c r="E2336" s="57" t="s">
        <v>25</v>
      </c>
      <c r="F2336" s="57" t="s">
        <v>25</v>
      </c>
      <c r="G2336" s="57" t="s">
        <v>25</v>
      </c>
      <c r="H2336" s="57" t="s">
        <v>25</v>
      </c>
      <c r="I2336" s="82">
        <v>44378</v>
      </c>
      <c r="J2336" s="83">
        <f>EFEITO!$J$2336*EFEITO!$Y$2336</f>
        <v>0</v>
      </c>
      <c r="K2336" s="83">
        <f ca="1">EFEITO!$L$2336*EFEITO!$Z$2336</f>
        <v>19993.857797287041</v>
      </c>
      <c r="L2336" s="83">
        <f>EFEITO!$N$2336*EFEITO!$AA$2336</f>
        <v>11731.44127259734</v>
      </c>
      <c r="M2336" s="83">
        <f>$J$2336-EFEITO!$K$2336*EFEITO!$Y$2336</f>
        <v>0</v>
      </c>
      <c r="N2336" s="83">
        <f ca="1">$K$2336-EFEITO!$M$2336*EFEITO!$Z$2336</f>
        <v>0</v>
      </c>
      <c r="O2336" s="83">
        <f>$L$2336-EFEITO!$O$2336*EFEITO!$AA$2336</f>
        <v>0</v>
      </c>
      <c r="P2336" s="61"/>
      <c r="Q2336" s="61"/>
      <c r="R2336" s="61"/>
      <c r="S2336" s="61"/>
      <c r="T2336" s="61"/>
      <c r="U2336" s="61"/>
      <c r="V2336" s="61"/>
      <c r="W2336" s="61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</row>
    <row r="2337" spans="1:36" ht="11.25" customHeight="1" x14ac:dyDescent="0.2">
      <c r="A2337" s="57" t="s">
        <v>21</v>
      </c>
      <c r="B2337" s="57" t="s">
        <v>41</v>
      </c>
      <c r="C2337" s="57" t="s">
        <v>23</v>
      </c>
      <c r="D2337" s="57" t="s">
        <v>45</v>
      </c>
      <c r="E2337" s="57" t="s">
        <v>25</v>
      </c>
      <c r="F2337" s="57" t="s">
        <v>25</v>
      </c>
      <c r="G2337" s="57" t="s">
        <v>25</v>
      </c>
      <c r="H2337" s="57" t="s">
        <v>25</v>
      </c>
      <c r="I2337" s="82">
        <v>44409</v>
      </c>
      <c r="J2337" s="83">
        <f>EFEITO!$J$2337*EFEITO!$Y$2337</f>
        <v>0</v>
      </c>
      <c r="K2337" s="83">
        <f ca="1">EFEITO!$L$2337*EFEITO!$Z$2337</f>
        <v>27214664.892095443</v>
      </c>
      <c r="L2337" s="83">
        <f>EFEITO!$N$2337*EFEITO!$AA$2337</f>
        <v>15968266.16313914</v>
      </c>
      <c r="M2337" s="83">
        <f>$J$2337-EFEITO!$K$2337*EFEITO!$Y$2337</f>
        <v>0</v>
      </c>
      <c r="N2337" s="83">
        <f ca="1">$K$2337-EFEITO!$M$2337*EFEITO!$Z$2337</f>
        <v>0</v>
      </c>
      <c r="O2337" s="83">
        <f>$L$2337-EFEITO!$O$2337*EFEITO!$AA$2337</f>
        <v>0</v>
      </c>
      <c r="P2337" s="61"/>
      <c r="Q2337" s="61"/>
      <c r="R2337" s="61"/>
      <c r="S2337" s="61"/>
      <c r="T2337" s="61"/>
      <c r="U2337" s="61"/>
      <c r="V2337" s="61"/>
      <c r="W2337" s="61"/>
      <c r="X2337" s="6"/>
      <c r="Y2337" s="6"/>
      <c r="Z2337" s="6"/>
      <c r="AA2337" s="6"/>
      <c r="AB2337" s="6"/>
      <c r="AC2337" s="6"/>
      <c r="AD2337" s="6"/>
      <c r="AE2337" s="6"/>
      <c r="AF2337" s="6"/>
      <c r="AG2337" s="6"/>
      <c r="AH2337" s="6"/>
      <c r="AI2337" s="6"/>
      <c r="AJ2337" s="6"/>
    </row>
    <row r="2338" spans="1:36" ht="11.25" customHeight="1" x14ac:dyDescent="0.2">
      <c r="A2338" s="57" t="s">
        <v>27</v>
      </c>
      <c r="B2338" s="57" t="s">
        <v>41</v>
      </c>
      <c r="C2338" s="57" t="s">
        <v>23</v>
      </c>
      <c r="D2338" s="57" t="s">
        <v>45</v>
      </c>
      <c r="E2338" s="57" t="s">
        <v>25</v>
      </c>
      <c r="F2338" s="57" t="s">
        <v>25</v>
      </c>
      <c r="G2338" s="57" t="s">
        <v>25</v>
      </c>
      <c r="H2338" s="57" t="s">
        <v>25</v>
      </c>
      <c r="I2338" s="82">
        <v>44409</v>
      </c>
      <c r="J2338" s="83">
        <f>EFEITO!$J$2338*EFEITO!$Y$2338</f>
        <v>0</v>
      </c>
      <c r="K2338" s="83">
        <f ca="1">EFEITO!$L$2338*EFEITO!$Z$2338</f>
        <v>-727108.72936305194</v>
      </c>
      <c r="L2338" s="83">
        <f>EFEITO!$N$2338*EFEITO!$AA$2338</f>
        <v>-426632.69108940818</v>
      </c>
      <c r="M2338" s="83">
        <f>$J$2338-EFEITO!$K$2338*EFEITO!$Y$2338</f>
        <v>0</v>
      </c>
      <c r="N2338" s="83">
        <f ca="1">$K$2338-EFEITO!$M$2338*EFEITO!$Z$2338</f>
        <v>0</v>
      </c>
      <c r="O2338" s="83">
        <f>$L$2338-EFEITO!$O$2338*EFEITO!$AA$2338</f>
        <v>0</v>
      </c>
      <c r="P2338" s="61"/>
      <c r="Q2338" s="61"/>
      <c r="R2338" s="61"/>
      <c r="S2338" s="61"/>
      <c r="T2338" s="61"/>
      <c r="U2338" s="61"/>
      <c r="V2338" s="61"/>
      <c r="W2338" s="61"/>
      <c r="X2338" s="6"/>
      <c r="Y2338" s="6"/>
      <c r="Z2338" s="6"/>
      <c r="AA2338" s="6"/>
      <c r="AB2338" s="6"/>
      <c r="AC2338" s="6"/>
      <c r="AD2338" s="6"/>
      <c r="AE2338" s="6"/>
      <c r="AF2338" s="6"/>
      <c r="AG2338" s="6"/>
      <c r="AH2338" s="6"/>
      <c r="AI2338" s="6"/>
      <c r="AJ2338" s="6"/>
    </row>
    <row r="2339" spans="1:36" ht="11.25" customHeight="1" x14ac:dyDescent="0.2">
      <c r="A2339" s="57" t="s">
        <v>28</v>
      </c>
      <c r="B2339" s="57" t="s">
        <v>41</v>
      </c>
      <c r="C2339" s="57" t="s">
        <v>23</v>
      </c>
      <c r="D2339" s="57" t="s">
        <v>45</v>
      </c>
      <c r="E2339" s="57" t="s">
        <v>25</v>
      </c>
      <c r="F2339" s="57" t="s">
        <v>25</v>
      </c>
      <c r="G2339" s="57" t="s">
        <v>25</v>
      </c>
      <c r="H2339" s="57" t="s">
        <v>25</v>
      </c>
      <c r="I2339" s="82">
        <v>44409</v>
      </c>
      <c r="J2339" s="83">
        <f>EFEITO!$J$2339*EFEITO!$Y$2339</f>
        <v>0</v>
      </c>
      <c r="K2339" s="83">
        <f ca="1">EFEITO!$L$2339*EFEITO!$Z$2339</f>
        <v>6721745.2491143877</v>
      </c>
      <c r="L2339" s="83">
        <f>EFEITO!$N$2339*EFEITO!$AA$2339</f>
        <v>3943999.2241039909</v>
      </c>
      <c r="M2339" s="83">
        <f>$J$2339-EFEITO!$K$2339*EFEITO!$Y$2339</f>
        <v>0</v>
      </c>
      <c r="N2339" s="83">
        <f ca="1">$K$2339-EFEITO!$M$2339*EFEITO!$Z$2339</f>
        <v>0</v>
      </c>
      <c r="O2339" s="83">
        <f>$L$2339-EFEITO!$O$2339*EFEITO!$AA$2339</f>
        <v>0</v>
      </c>
      <c r="P2339" s="61"/>
      <c r="Q2339" s="61"/>
      <c r="R2339" s="61"/>
      <c r="S2339" s="61"/>
      <c r="T2339" s="61"/>
      <c r="U2339" s="61"/>
      <c r="V2339" s="61"/>
      <c r="W2339" s="61"/>
      <c r="X2339" s="6"/>
      <c r="Y2339" s="6"/>
      <c r="Z2339" s="6"/>
      <c r="AA2339" s="6"/>
      <c r="AB2339" s="6"/>
      <c r="AC2339" s="6"/>
      <c r="AD2339" s="6"/>
      <c r="AE2339" s="6"/>
      <c r="AF2339" s="6"/>
      <c r="AG2339" s="6"/>
      <c r="AH2339" s="6"/>
      <c r="AI2339" s="6"/>
      <c r="AJ2339" s="6"/>
    </row>
    <row r="2340" spans="1:36" ht="11.25" customHeight="1" x14ac:dyDescent="0.2">
      <c r="A2340" s="57" t="s">
        <v>29</v>
      </c>
      <c r="B2340" s="57" t="s">
        <v>41</v>
      </c>
      <c r="C2340" s="57" t="s">
        <v>23</v>
      </c>
      <c r="D2340" s="57" t="s">
        <v>45</v>
      </c>
      <c r="E2340" s="57" t="s">
        <v>25</v>
      </c>
      <c r="F2340" s="57" t="s">
        <v>25</v>
      </c>
      <c r="G2340" s="57" t="s">
        <v>25</v>
      </c>
      <c r="H2340" s="57" t="s">
        <v>25</v>
      </c>
      <c r="I2340" s="82">
        <v>44409</v>
      </c>
      <c r="J2340" s="83">
        <f>EFEITO!$J$2340*EFEITO!$Y$2340</f>
        <v>0</v>
      </c>
      <c r="K2340" s="83">
        <f ca="1">EFEITO!$L$2340*EFEITO!$Z$2340</f>
        <v>-66161.622006982827</v>
      </c>
      <c r="L2340" s="83">
        <f>EFEITO!$N$2340*EFEITO!$AA$2340</f>
        <v>-38820.481317018333</v>
      </c>
      <c r="M2340" s="83">
        <f>$J$2340-EFEITO!$K$2340*EFEITO!$Y$2340</f>
        <v>0</v>
      </c>
      <c r="N2340" s="83">
        <f ca="1">$K$2340-EFEITO!$M$2340*EFEITO!$Z$2340</f>
        <v>0</v>
      </c>
      <c r="O2340" s="83">
        <f>$L$2340-EFEITO!$O$2340*EFEITO!$AA$2340</f>
        <v>0</v>
      </c>
      <c r="P2340" s="61"/>
      <c r="Q2340" s="61"/>
      <c r="R2340" s="61"/>
      <c r="S2340" s="61"/>
      <c r="T2340" s="61"/>
      <c r="U2340" s="61"/>
      <c r="V2340" s="61"/>
      <c r="W2340" s="61"/>
      <c r="X2340" s="6"/>
      <c r="Y2340" s="6"/>
      <c r="Z2340" s="6"/>
      <c r="AA2340" s="6"/>
      <c r="AB2340" s="6"/>
      <c r="AC2340" s="6"/>
      <c r="AD2340" s="6"/>
      <c r="AE2340" s="6"/>
      <c r="AF2340" s="6"/>
      <c r="AG2340" s="6"/>
      <c r="AH2340" s="6"/>
      <c r="AI2340" s="6"/>
      <c r="AJ2340" s="6"/>
    </row>
    <row r="2341" spans="1:36" ht="11.25" customHeight="1" x14ac:dyDescent="0.2">
      <c r="A2341" s="57" t="s">
        <v>30</v>
      </c>
      <c r="B2341" s="57" t="s">
        <v>41</v>
      </c>
      <c r="C2341" s="57" t="s">
        <v>23</v>
      </c>
      <c r="D2341" s="57" t="s">
        <v>45</v>
      </c>
      <c r="E2341" s="57" t="s">
        <v>25</v>
      </c>
      <c r="F2341" s="57" t="s">
        <v>25</v>
      </c>
      <c r="G2341" s="57" t="s">
        <v>25</v>
      </c>
      <c r="H2341" s="57" t="s">
        <v>25</v>
      </c>
      <c r="I2341" s="82">
        <v>44409</v>
      </c>
      <c r="J2341" s="83">
        <f>EFEITO!$J$2341*EFEITO!$Y$2341</f>
        <v>0</v>
      </c>
      <c r="K2341" s="83">
        <f ca="1">EFEITO!$L$2341*EFEITO!$Z$2341</f>
        <v>690753.77408875094</v>
      </c>
      <c r="L2341" s="83">
        <f>EFEITO!$N$2341*EFEITO!$AA$2341</f>
        <v>405301.3388765183</v>
      </c>
      <c r="M2341" s="83">
        <f>$J$2341-EFEITO!$K$2341*EFEITO!$Y$2341</f>
        <v>0</v>
      </c>
      <c r="N2341" s="83">
        <f ca="1">$K$2341-EFEITO!$M$2341*EFEITO!$Z$2341</f>
        <v>0</v>
      </c>
      <c r="O2341" s="83">
        <f>$L$2341-EFEITO!$O$2341*EFEITO!$AA$2341</f>
        <v>0</v>
      </c>
      <c r="P2341" s="61"/>
      <c r="Q2341" s="61"/>
      <c r="R2341" s="61"/>
      <c r="S2341" s="61"/>
      <c r="T2341" s="61"/>
      <c r="U2341" s="61"/>
      <c r="V2341" s="61"/>
      <c r="W2341" s="61"/>
      <c r="X2341" s="6"/>
      <c r="Y2341" s="6"/>
      <c r="Z2341" s="6"/>
      <c r="AA2341" s="6"/>
      <c r="AB2341" s="6"/>
      <c r="AC2341" s="6"/>
      <c r="AD2341" s="6"/>
      <c r="AE2341" s="6"/>
      <c r="AF2341" s="6"/>
      <c r="AG2341" s="6"/>
      <c r="AH2341" s="6"/>
      <c r="AI2341" s="6"/>
      <c r="AJ2341" s="6"/>
    </row>
    <row r="2342" spans="1:36" ht="11.25" customHeight="1" x14ac:dyDescent="0.2">
      <c r="A2342" s="57" t="s">
        <v>30</v>
      </c>
      <c r="B2342" s="57" t="s">
        <v>41</v>
      </c>
      <c r="C2342" s="57" t="s">
        <v>23</v>
      </c>
      <c r="D2342" s="57" t="s">
        <v>45</v>
      </c>
      <c r="E2342" s="57" t="s">
        <v>25</v>
      </c>
      <c r="F2342" s="57" t="s">
        <v>25</v>
      </c>
      <c r="G2342" s="57" t="s">
        <v>25</v>
      </c>
      <c r="H2342" s="57" t="s">
        <v>25</v>
      </c>
      <c r="I2342" s="82">
        <v>44409</v>
      </c>
      <c r="J2342" s="83">
        <f>EFEITO!$J$2342*EFEITO!$Y$2342</f>
        <v>0</v>
      </c>
      <c r="K2342" s="83">
        <f ca="1">EFEITO!$L$2342*EFEITO!$Z$2342</f>
        <v>-3967.0634172308187</v>
      </c>
      <c r="L2342" s="83">
        <f>EFEITO!$N$2342*EFEITO!$AA$2342</f>
        <v>-2327.6834303696796</v>
      </c>
      <c r="M2342" s="83">
        <f>$J$2342-EFEITO!$K$2342*EFEITO!$Y$2342</f>
        <v>0</v>
      </c>
      <c r="N2342" s="83">
        <f ca="1">$K$2342-EFEITO!$M$2342*EFEITO!$Z$2342</f>
        <v>0</v>
      </c>
      <c r="O2342" s="83">
        <f>$L$2342-EFEITO!$O$2342*EFEITO!$AA$2342</f>
        <v>0</v>
      </c>
      <c r="P2342" s="61"/>
      <c r="Q2342" s="61"/>
      <c r="R2342" s="61"/>
      <c r="S2342" s="61"/>
      <c r="T2342" s="61"/>
      <c r="U2342" s="61"/>
      <c r="V2342" s="61"/>
      <c r="W2342" s="61"/>
      <c r="X2342" s="6"/>
      <c r="Y2342" s="6"/>
      <c r="Z2342" s="6"/>
      <c r="AA2342" s="6"/>
      <c r="AB2342" s="6"/>
      <c r="AC2342" s="6"/>
      <c r="AD2342" s="6"/>
      <c r="AE2342" s="6"/>
      <c r="AF2342" s="6"/>
      <c r="AG2342" s="6"/>
      <c r="AH2342" s="6"/>
      <c r="AI2342" s="6"/>
      <c r="AJ2342" s="6"/>
    </row>
    <row r="2343" spans="1:36" ht="11.25" customHeight="1" x14ac:dyDescent="0.2">
      <c r="A2343" s="57" t="s">
        <v>21</v>
      </c>
      <c r="B2343" s="57" t="s">
        <v>41</v>
      </c>
      <c r="C2343" s="57" t="s">
        <v>23</v>
      </c>
      <c r="D2343" s="57" t="s">
        <v>45</v>
      </c>
      <c r="E2343" s="57" t="s">
        <v>25</v>
      </c>
      <c r="F2343" s="57" t="s">
        <v>25</v>
      </c>
      <c r="G2343" s="57" t="s">
        <v>25</v>
      </c>
      <c r="H2343" s="57" t="s">
        <v>25</v>
      </c>
      <c r="I2343" s="82">
        <v>44440</v>
      </c>
      <c r="J2343" s="83">
        <f>EFEITO!$J$2343*EFEITO!$Y$2343</f>
        <v>0</v>
      </c>
      <c r="K2343" s="83">
        <f ca="1">EFEITO!$L$2343*EFEITO!$Z$2343</f>
        <v>25545800.025650173</v>
      </c>
      <c r="L2343" s="83">
        <f>EFEITO!$N$2343*EFEITO!$AA$2343</f>
        <v>14989055.929121161</v>
      </c>
      <c r="M2343" s="83">
        <f>$J$2343-EFEITO!$K$2343*EFEITO!$Y$2343</f>
        <v>0</v>
      </c>
      <c r="N2343" s="83">
        <f ca="1">$K$2343-EFEITO!$M$2343*EFEITO!$Z$2343</f>
        <v>0</v>
      </c>
      <c r="O2343" s="83">
        <f>$L$2343-EFEITO!$O$2343*EFEITO!$AA$2343</f>
        <v>0</v>
      </c>
      <c r="P2343" s="61"/>
      <c r="Q2343" s="61"/>
      <c r="R2343" s="61"/>
      <c r="S2343" s="61"/>
      <c r="T2343" s="61"/>
      <c r="U2343" s="61"/>
      <c r="V2343" s="61"/>
      <c r="W2343" s="61"/>
      <c r="X2343" s="6"/>
      <c r="Y2343" s="6"/>
      <c r="Z2343" s="6"/>
      <c r="AA2343" s="6"/>
      <c r="AB2343" s="6"/>
      <c r="AC2343" s="6"/>
      <c r="AD2343" s="6"/>
      <c r="AE2343" s="6"/>
      <c r="AF2343" s="6"/>
      <c r="AG2343" s="6"/>
      <c r="AH2343" s="6"/>
      <c r="AI2343" s="6"/>
      <c r="AJ2343" s="6"/>
    </row>
    <row r="2344" spans="1:36" ht="11.25" customHeight="1" x14ac:dyDescent="0.2">
      <c r="A2344" s="57" t="s">
        <v>27</v>
      </c>
      <c r="B2344" s="57" t="s">
        <v>41</v>
      </c>
      <c r="C2344" s="57" t="s">
        <v>23</v>
      </c>
      <c r="D2344" s="57" t="s">
        <v>45</v>
      </c>
      <c r="E2344" s="57" t="s">
        <v>25</v>
      </c>
      <c r="F2344" s="57" t="s">
        <v>25</v>
      </c>
      <c r="G2344" s="57" t="s">
        <v>25</v>
      </c>
      <c r="H2344" s="57" t="s">
        <v>25</v>
      </c>
      <c r="I2344" s="82">
        <v>44440</v>
      </c>
      <c r="J2344" s="83">
        <f>EFEITO!$J$2344*EFEITO!$Y$2344</f>
        <v>0</v>
      </c>
      <c r="K2344" s="83">
        <f ca="1">EFEITO!$L$2344*EFEITO!$Z$2344</f>
        <v>-1508243.3717936801</v>
      </c>
      <c r="L2344" s="83">
        <f>EFEITO!$N$2344*EFEITO!$AA$2344</f>
        <v>-884965.20883441658</v>
      </c>
      <c r="M2344" s="83">
        <f>$J$2344-EFEITO!$K$2344*EFEITO!$Y$2344</f>
        <v>0</v>
      </c>
      <c r="N2344" s="83">
        <f ca="1">$K$2344-EFEITO!$M$2344*EFEITO!$Z$2344</f>
        <v>0</v>
      </c>
      <c r="O2344" s="83">
        <f>$L$2344-EFEITO!$O$2344*EFEITO!$AA$2344</f>
        <v>0</v>
      </c>
      <c r="P2344" s="61"/>
      <c r="Q2344" s="61"/>
      <c r="R2344" s="61"/>
      <c r="S2344" s="61"/>
      <c r="T2344" s="61"/>
      <c r="U2344" s="61"/>
      <c r="V2344" s="61"/>
      <c r="W2344" s="61"/>
      <c r="X2344" s="6"/>
      <c r="Y2344" s="6"/>
      <c r="Z2344" s="6"/>
      <c r="AA2344" s="6"/>
      <c r="AB2344" s="6"/>
      <c r="AC2344" s="6"/>
      <c r="AD2344" s="6"/>
      <c r="AE2344" s="6"/>
      <c r="AF2344" s="6"/>
      <c r="AG2344" s="6"/>
      <c r="AH2344" s="6"/>
      <c r="AI2344" s="6"/>
      <c r="AJ2344" s="6"/>
    </row>
    <row r="2345" spans="1:36" ht="11.25" customHeight="1" x14ac:dyDescent="0.2">
      <c r="A2345" s="57" t="s">
        <v>28</v>
      </c>
      <c r="B2345" s="57" t="s">
        <v>41</v>
      </c>
      <c r="C2345" s="57" t="s">
        <v>23</v>
      </c>
      <c r="D2345" s="57" t="s">
        <v>45</v>
      </c>
      <c r="E2345" s="57" t="s">
        <v>25</v>
      </c>
      <c r="F2345" s="57" t="s">
        <v>25</v>
      </c>
      <c r="G2345" s="57" t="s">
        <v>25</v>
      </c>
      <c r="H2345" s="57" t="s">
        <v>25</v>
      </c>
      <c r="I2345" s="82">
        <v>44440</v>
      </c>
      <c r="J2345" s="83">
        <f>EFEITO!$J$2345*EFEITO!$Y$2345</f>
        <v>0</v>
      </c>
      <c r="K2345" s="83">
        <f ca="1">EFEITO!$L$2345*EFEITO!$Z$2345</f>
        <v>7550557.5914093032</v>
      </c>
      <c r="L2345" s="83">
        <f>EFEITO!$N$2345*EFEITO!$AA$2345</f>
        <v>4430306.740053013</v>
      </c>
      <c r="M2345" s="83">
        <f>$J$2345-EFEITO!$K$2345*EFEITO!$Y$2345</f>
        <v>0</v>
      </c>
      <c r="N2345" s="83">
        <f ca="1">$K$2345-EFEITO!$M$2345*EFEITO!$Z$2345</f>
        <v>0</v>
      </c>
      <c r="O2345" s="83">
        <f>$L$2345-EFEITO!$O$2345*EFEITO!$AA$2345</f>
        <v>0</v>
      </c>
      <c r="P2345" s="61"/>
      <c r="Q2345" s="61"/>
      <c r="R2345" s="61"/>
      <c r="S2345" s="61"/>
      <c r="T2345" s="61"/>
      <c r="U2345" s="61"/>
      <c r="V2345" s="61"/>
      <c r="W2345" s="61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</row>
    <row r="2346" spans="1:36" ht="11.25" customHeight="1" x14ac:dyDescent="0.2">
      <c r="A2346" s="57" t="s">
        <v>29</v>
      </c>
      <c r="B2346" s="57" t="s">
        <v>41</v>
      </c>
      <c r="C2346" s="57" t="s">
        <v>23</v>
      </c>
      <c r="D2346" s="57" t="s">
        <v>45</v>
      </c>
      <c r="E2346" s="57" t="s">
        <v>25</v>
      </c>
      <c r="F2346" s="57" t="s">
        <v>25</v>
      </c>
      <c r="G2346" s="57" t="s">
        <v>25</v>
      </c>
      <c r="H2346" s="57" t="s">
        <v>25</v>
      </c>
      <c r="I2346" s="82">
        <v>44440</v>
      </c>
      <c r="J2346" s="83">
        <f>EFEITO!$J$2346*EFEITO!$Y$2346</f>
        <v>0</v>
      </c>
      <c r="K2346" s="83">
        <f ca="1">EFEITO!$L$2346*EFEITO!$Z$2346</f>
        <v>-62085.150303474962</v>
      </c>
      <c r="L2346" s="83">
        <f>EFEITO!$N$2346*EFEITO!$AA$2346</f>
        <v>-36428.602327281973</v>
      </c>
      <c r="M2346" s="83">
        <f>$J$2346-EFEITO!$K$2346*EFEITO!$Y$2346</f>
        <v>0</v>
      </c>
      <c r="N2346" s="83">
        <f ca="1">$K$2346-EFEITO!$M$2346*EFEITO!$Z$2346</f>
        <v>0</v>
      </c>
      <c r="O2346" s="83">
        <f>$L$2346-EFEITO!$O$2346*EFEITO!$AA$2346</f>
        <v>0</v>
      </c>
      <c r="P2346" s="61"/>
      <c r="Q2346" s="61"/>
      <c r="R2346" s="61"/>
      <c r="S2346" s="61"/>
      <c r="T2346" s="61"/>
      <c r="U2346" s="61"/>
      <c r="V2346" s="61"/>
      <c r="W2346" s="61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</row>
    <row r="2347" spans="1:36" ht="11.25" customHeight="1" x14ac:dyDescent="0.2">
      <c r="A2347" s="57" t="s">
        <v>30</v>
      </c>
      <c r="B2347" s="57" t="s">
        <v>41</v>
      </c>
      <c r="C2347" s="57" t="s">
        <v>23</v>
      </c>
      <c r="D2347" s="57" t="s">
        <v>45</v>
      </c>
      <c r="E2347" s="57" t="s">
        <v>25</v>
      </c>
      <c r="F2347" s="57" t="s">
        <v>25</v>
      </c>
      <c r="G2347" s="57" t="s">
        <v>25</v>
      </c>
      <c r="H2347" s="57" t="s">
        <v>25</v>
      </c>
      <c r="I2347" s="82">
        <v>44440</v>
      </c>
      <c r="J2347" s="83">
        <f>EFEITO!$J$2347*EFEITO!$Y$2347</f>
        <v>0</v>
      </c>
      <c r="K2347" s="83">
        <f ca="1">EFEITO!$L$2347*EFEITO!$Z$2347</f>
        <v>760705.17756760831</v>
      </c>
      <c r="L2347" s="83">
        <f>EFEITO!$N$2347*EFEITO!$AA$2347</f>
        <v>446345.48304159922</v>
      </c>
      <c r="M2347" s="83">
        <f>$J$2347-EFEITO!$K$2347*EFEITO!$Y$2347</f>
        <v>0</v>
      </c>
      <c r="N2347" s="83">
        <f ca="1">$K$2347-EFEITO!$M$2347*EFEITO!$Z$2347</f>
        <v>0</v>
      </c>
      <c r="O2347" s="83">
        <f>$L$2347-EFEITO!$O$2347*EFEITO!$AA$2347</f>
        <v>0</v>
      </c>
      <c r="P2347" s="61"/>
      <c r="Q2347" s="61"/>
      <c r="R2347" s="61"/>
      <c r="S2347" s="61"/>
      <c r="T2347" s="61"/>
      <c r="U2347" s="61"/>
      <c r="V2347" s="61"/>
      <c r="W2347" s="61"/>
      <c r="X2347" s="6"/>
      <c r="Y2347" s="6"/>
      <c r="Z2347" s="6"/>
      <c r="AA2347" s="6"/>
      <c r="AB2347" s="6"/>
      <c r="AC2347" s="6"/>
      <c r="AD2347" s="6"/>
      <c r="AE2347" s="6"/>
      <c r="AF2347" s="6"/>
      <c r="AG2347" s="6"/>
      <c r="AH2347" s="6"/>
      <c r="AI2347" s="6"/>
      <c r="AJ2347" s="6"/>
    </row>
    <row r="2348" spans="1:36" ht="11.25" customHeight="1" x14ac:dyDescent="0.2">
      <c r="A2348" s="57" t="s">
        <v>30</v>
      </c>
      <c r="B2348" s="57" t="s">
        <v>41</v>
      </c>
      <c r="C2348" s="57" t="s">
        <v>23</v>
      </c>
      <c r="D2348" s="57" t="s">
        <v>45</v>
      </c>
      <c r="E2348" s="57" t="s">
        <v>25</v>
      </c>
      <c r="F2348" s="57" t="s">
        <v>25</v>
      </c>
      <c r="G2348" s="57" t="s">
        <v>25</v>
      </c>
      <c r="H2348" s="57" t="s">
        <v>25</v>
      </c>
      <c r="I2348" s="82">
        <v>44440</v>
      </c>
      <c r="J2348" s="83">
        <f>EFEITO!$J$2348*EFEITO!$Y$2348</f>
        <v>0</v>
      </c>
      <c r="K2348" s="83">
        <f ca="1">EFEITO!$L$2348*EFEITO!$Z$2348</f>
        <v>-878.30540927965262</v>
      </c>
      <c r="L2348" s="83">
        <f>EFEITO!$N$2348*EFEITO!$AA$2348</f>
        <v>-515.34768491586112</v>
      </c>
      <c r="M2348" s="83">
        <f>$J$2348-EFEITO!$K$2348*EFEITO!$Y$2348</f>
        <v>0</v>
      </c>
      <c r="N2348" s="83">
        <f ca="1">$K$2348-EFEITO!$M$2348*EFEITO!$Z$2348</f>
        <v>0</v>
      </c>
      <c r="O2348" s="83">
        <f>$L$2348-EFEITO!$O$2348*EFEITO!$AA$2348</f>
        <v>0</v>
      </c>
      <c r="P2348" s="61"/>
      <c r="Q2348" s="61"/>
      <c r="R2348" s="61"/>
      <c r="S2348" s="61"/>
      <c r="T2348" s="61"/>
      <c r="U2348" s="61"/>
      <c r="V2348" s="61"/>
      <c r="W2348" s="61"/>
      <c r="X2348" s="6"/>
      <c r="Y2348" s="6"/>
      <c r="Z2348" s="6"/>
      <c r="AA2348" s="6"/>
      <c r="AB2348" s="6"/>
      <c r="AC2348" s="6"/>
      <c r="AD2348" s="6"/>
      <c r="AE2348" s="6"/>
      <c r="AF2348" s="6"/>
      <c r="AG2348" s="6"/>
      <c r="AH2348" s="6"/>
      <c r="AI2348" s="6"/>
      <c r="AJ2348" s="6"/>
    </row>
    <row r="2349" spans="1:36" ht="11.25" customHeight="1" x14ac:dyDescent="0.2">
      <c r="A2349" s="57" t="s">
        <v>59</v>
      </c>
      <c r="B2349" s="57" t="s">
        <v>41</v>
      </c>
      <c r="C2349" s="57" t="s">
        <v>23</v>
      </c>
      <c r="D2349" s="57" t="s">
        <v>45</v>
      </c>
      <c r="E2349" s="57" t="s">
        <v>25</v>
      </c>
      <c r="F2349" s="57" t="s">
        <v>25</v>
      </c>
      <c r="G2349" s="57" t="s">
        <v>25</v>
      </c>
      <c r="H2349" s="57" t="s">
        <v>25</v>
      </c>
      <c r="I2349" s="82">
        <v>44470</v>
      </c>
      <c r="J2349" s="83">
        <f>EFEITO!$J$2349*EFEITO!$Y$2349</f>
        <v>0</v>
      </c>
      <c r="K2349" s="83">
        <f ca="1">EFEITO!$L$2349*EFEITO!$Z$2349</f>
        <v>25545800.025650173</v>
      </c>
      <c r="L2349" s="83">
        <f>EFEITO!$N$2349*EFEITO!$AA$2349</f>
        <v>14989055.929121161</v>
      </c>
      <c r="M2349" s="83">
        <f>$J$2349-EFEITO!$K$2349*EFEITO!$Y$2349</f>
        <v>0</v>
      </c>
      <c r="N2349" s="83">
        <f ca="1">$K$2349-EFEITO!$M$2349*EFEITO!$Z$2349</f>
        <v>0</v>
      </c>
      <c r="O2349" s="83">
        <f>$L$2349-EFEITO!$O$2349*EFEITO!$AA$2349</f>
        <v>0</v>
      </c>
      <c r="P2349" s="61"/>
      <c r="Q2349" s="61"/>
      <c r="R2349" s="61"/>
      <c r="S2349" s="61"/>
      <c r="T2349" s="61"/>
      <c r="U2349" s="61"/>
      <c r="V2349" s="61"/>
      <c r="W2349" s="61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</row>
    <row r="2350" spans="1:36" ht="11.25" customHeight="1" x14ac:dyDescent="0.2">
      <c r="A2350" s="57" t="s">
        <v>59</v>
      </c>
      <c r="B2350" s="57" t="s">
        <v>41</v>
      </c>
      <c r="C2350" s="57" t="s">
        <v>23</v>
      </c>
      <c r="D2350" s="57" t="s">
        <v>45</v>
      </c>
      <c r="E2350" s="57" t="s">
        <v>25</v>
      </c>
      <c r="F2350" s="57" t="s">
        <v>25</v>
      </c>
      <c r="G2350" s="57" t="s">
        <v>25</v>
      </c>
      <c r="H2350" s="57" t="s">
        <v>25</v>
      </c>
      <c r="I2350" s="82">
        <v>44470</v>
      </c>
      <c r="J2350" s="83">
        <f>EFEITO!$J$2350*EFEITO!$Y$2350</f>
        <v>0</v>
      </c>
      <c r="K2350" s="83">
        <f ca="1">EFEITO!$L$2350*EFEITO!$Z$2350</f>
        <v>-1508243.3717936801</v>
      </c>
      <c r="L2350" s="83">
        <f>EFEITO!$N$2350*EFEITO!$AA$2350</f>
        <v>-884965.20883441658</v>
      </c>
      <c r="M2350" s="83">
        <f>$J$2350-EFEITO!$K$2350*EFEITO!$Y$2350</f>
        <v>0</v>
      </c>
      <c r="N2350" s="83">
        <f ca="1">$K$2350-EFEITO!$M$2350*EFEITO!$Z$2350</f>
        <v>0</v>
      </c>
      <c r="O2350" s="83">
        <f>$L$2350-EFEITO!$O$2350*EFEITO!$AA$2350</f>
        <v>0</v>
      </c>
      <c r="P2350" s="61"/>
      <c r="Q2350" s="61"/>
      <c r="R2350" s="61"/>
      <c r="S2350" s="61"/>
      <c r="T2350" s="61"/>
      <c r="U2350" s="61"/>
      <c r="V2350" s="61"/>
      <c r="W2350" s="61"/>
      <c r="X2350" s="6"/>
      <c r="Y2350" s="6"/>
      <c r="Z2350" s="6"/>
      <c r="AA2350" s="6"/>
      <c r="AB2350" s="6"/>
      <c r="AC2350" s="6"/>
      <c r="AD2350" s="6"/>
      <c r="AE2350" s="6"/>
      <c r="AF2350" s="6"/>
      <c r="AG2350" s="6"/>
      <c r="AH2350" s="6"/>
      <c r="AI2350" s="6"/>
      <c r="AJ2350" s="6"/>
    </row>
    <row r="2351" spans="1:36" ht="11.25" customHeight="1" x14ac:dyDescent="0.2">
      <c r="A2351" s="57" t="s">
        <v>59</v>
      </c>
      <c r="B2351" s="57" t="s">
        <v>41</v>
      </c>
      <c r="C2351" s="57" t="s">
        <v>23</v>
      </c>
      <c r="D2351" s="57" t="s">
        <v>45</v>
      </c>
      <c r="E2351" s="57" t="s">
        <v>25</v>
      </c>
      <c r="F2351" s="57" t="s">
        <v>25</v>
      </c>
      <c r="G2351" s="57" t="s">
        <v>25</v>
      </c>
      <c r="H2351" s="57" t="s">
        <v>25</v>
      </c>
      <c r="I2351" s="82">
        <v>44470</v>
      </c>
      <c r="J2351" s="83">
        <f>EFEITO!$J$2351*EFEITO!$Y$2351</f>
        <v>0</v>
      </c>
      <c r="K2351" s="83">
        <f ca="1">EFEITO!$L$2351*EFEITO!$Z$2351</f>
        <v>7550557.5914093032</v>
      </c>
      <c r="L2351" s="83">
        <f>EFEITO!$N$2351*EFEITO!$AA$2351</f>
        <v>4430306.740053013</v>
      </c>
      <c r="M2351" s="83">
        <f>$J$2351-EFEITO!$K$2351*EFEITO!$Y$2351</f>
        <v>0</v>
      </c>
      <c r="N2351" s="83">
        <f ca="1">$K$2351-EFEITO!$M$2351*EFEITO!$Z$2351</f>
        <v>0</v>
      </c>
      <c r="O2351" s="83">
        <f>$L$2351-EFEITO!$O$2351*EFEITO!$AA$2351</f>
        <v>0</v>
      </c>
      <c r="P2351" s="61"/>
      <c r="Q2351" s="61"/>
      <c r="R2351" s="61"/>
      <c r="S2351" s="61"/>
      <c r="T2351" s="61"/>
      <c r="U2351" s="61"/>
      <c r="V2351" s="61"/>
      <c r="W2351" s="61"/>
      <c r="X2351" s="6"/>
      <c r="Y2351" s="6"/>
      <c r="Z2351" s="6"/>
      <c r="AA2351" s="6"/>
      <c r="AB2351" s="6"/>
      <c r="AC2351" s="6"/>
      <c r="AD2351" s="6"/>
      <c r="AE2351" s="6"/>
      <c r="AF2351" s="6"/>
      <c r="AG2351" s="6"/>
      <c r="AH2351" s="6"/>
      <c r="AI2351" s="6"/>
      <c r="AJ2351" s="6"/>
    </row>
    <row r="2352" spans="1:36" ht="11.25" customHeight="1" x14ac:dyDescent="0.2">
      <c r="A2352" s="57" t="s">
        <v>59</v>
      </c>
      <c r="B2352" s="57" t="s">
        <v>41</v>
      </c>
      <c r="C2352" s="57" t="s">
        <v>23</v>
      </c>
      <c r="D2352" s="57" t="s">
        <v>45</v>
      </c>
      <c r="E2352" s="57" t="s">
        <v>25</v>
      </c>
      <c r="F2352" s="57" t="s">
        <v>25</v>
      </c>
      <c r="G2352" s="57" t="s">
        <v>25</v>
      </c>
      <c r="H2352" s="57" t="s">
        <v>25</v>
      </c>
      <c r="I2352" s="82">
        <v>44470</v>
      </c>
      <c r="J2352" s="83">
        <f>EFEITO!$J$2352*EFEITO!$Y$2352</f>
        <v>0</v>
      </c>
      <c r="K2352" s="83">
        <f ca="1">EFEITO!$L$2352*EFEITO!$Z$2352</f>
        <v>-62085.150303474962</v>
      </c>
      <c r="L2352" s="83">
        <f>EFEITO!$N$2352*EFEITO!$AA$2352</f>
        <v>-36428.602327281973</v>
      </c>
      <c r="M2352" s="83">
        <f>$J$2352-EFEITO!$K$2352*EFEITO!$Y$2352</f>
        <v>0</v>
      </c>
      <c r="N2352" s="83">
        <f ca="1">$K$2352-EFEITO!$M$2352*EFEITO!$Z$2352</f>
        <v>0</v>
      </c>
      <c r="O2352" s="83">
        <f>$L$2352-EFEITO!$O$2352*EFEITO!$AA$2352</f>
        <v>0</v>
      </c>
      <c r="P2352" s="61"/>
      <c r="Q2352" s="61"/>
      <c r="R2352" s="61"/>
      <c r="S2352" s="61"/>
      <c r="T2352" s="61"/>
      <c r="U2352" s="61"/>
      <c r="V2352" s="61"/>
      <c r="W2352" s="61"/>
      <c r="X2352" s="6"/>
      <c r="Y2352" s="6"/>
      <c r="Z2352" s="6"/>
      <c r="AA2352" s="6"/>
      <c r="AB2352" s="6"/>
      <c r="AC2352" s="6"/>
      <c r="AD2352" s="6"/>
      <c r="AE2352" s="6"/>
      <c r="AF2352" s="6"/>
      <c r="AG2352" s="6"/>
      <c r="AH2352" s="6"/>
      <c r="AI2352" s="6"/>
      <c r="AJ2352" s="6"/>
    </row>
    <row r="2353" spans="1:36" ht="11.25" customHeight="1" x14ac:dyDescent="0.2">
      <c r="A2353" s="57" t="s">
        <v>59</v>
      </c>
      <c r="B2353" s="57" t="s">
        <v>41</v>
      </c>
      <c r="C2353" s="57" t="s">
        <v>23</v>
      </c>
      <c r="D2353" s="57" t="s">
        <v>45</v>
      </c>
      <c r="E2353" s="57" t="s">
        <v>25</v>
      </c>
      <c r="F2353" s="57" t="s">
        <v>25</v>
      </c>
      <c r="G2353" s="57" t="s">
        <v>25</v>
      </c>
      <c r="H2353" s="57" t="s">
        <v>25</v>
      </c>
      <c r="I2353" s="82">
        <v>44470</v>
      </c>
      <c r="J2353" s="83">
        <f>EFEITO!$J$2353*EFEITO!$Y$2353</f>
        <v>0</v>
      </c>
      <c r="K2353" s="83">
        <f ca="1">EFEITO!$L$2353*EFEITO!$Z$2353</f>
        <v>760705.17756760831</v>
      </c>
      <c r="L2353" s="83">
        <f>EFEITO!$N$2353*EFEITO!$AA$2353</f>
        <v>446345.48304159922</v>
      </c>
      <c r="M2353" s="83">
        <f>$J$2353-EFEITO!$K$2353*EFEITO!$Y$2353</f>
        <v>0</v>
      </c>
      <c r="N2353" s="83">
        <f ca="1">$K$2353-EFEITO!$M$2353*EFEITO!$Z$2353</f>
        <v>0</v>
      </c>
      <c r="O2353" s="83">
        <f>$L$2353-EFEITO!$O$2353*EFEITO!$AA$2353</f>
        <v>0</v>
      </c>
      <c r="P2353" s="61"/>
      <c r="Q2353" s="61"/>
      <c r="R2353" s="61"/>
      <c r="S2353" s="61"/>
      <c r="T2353" s="61"/>
      <c r="U2353" s="61"/>
      <c r="V2353" s="61"/>
      <c r="W2353" s="61"/>
      <c r="X2353" s="6"/>
      <c r="Y2353" s="6"/>
      <c r="Z2353" s="6"/>
      <c r="AA2353" s="6"/>
      <c r="AB2353" s="6"/>
      <c r="AC2353" s="6"/>
      <c r="AD2353" s="6"/>
      <c r="AE2353" s="6"/>
      <c r="AF2353" s="6"/>
      <c r="AG2353" s="6"/>
      <c r="AH2353" s="6"/>
      <c r="AI2353" s="6"/>
      <c r="AJ2353" s="6"/>
    </row>
    <row r="2354" spans="1:36" ht="11.25" customHeight="1" x14ac:dyDescent="0.2">
      <c r="A2354" s="57" t="s">
        <v>59</v>
      </c>
      <c r="B2354" s="57" t="s">
        <v>41</v>
      </c>
      <c r="C2354" s="57" t="s">
        <v>23</v>
      </c>
      <c r="D2354" s="57" t="s">
        <v>45</v>
      </c>
      <c r="E2354" s="57" t="s">
        <v>25</v>
      </c>
      <c r="F2354" s="57" t="s">
        <v>25</v>
      </c>
      <c r="G2354" s="57" t="s">
        <v>25</v>
      </c>
      <c r="H2354" s="57" t="s">
        <v>25</v>
      </c>
      <c r="I2354" s="82">
        <v>44470</v>
      </c>
      <c r="J2354" s="83">
        <f>EFEITO!$J$2354*EFEITO!$Y$2354</f>
        <v>0</v>
      </c>
      <c r="K2354" s="83">
        <f ca="1">EFEITO!$L$2354*EFEITO!$Z$2354</f>
        <v>-878.30540927965262</v>
      </c>
      <c r="L2354" s="83">
        <f>EFEITO!$N$2354*EFEITO!$AA$2354</f>
        <v>-515.34768491586112</v>
      </c>
      <c r="M2354" s="83">
        <f>$J$2354-EFEITO!$K$2354*EFEITO!$Y$2354</f>
        <v>0</v>
      </c>
      <c r="N2354" s="83">
        <f ca="1">$K$2354-EFEITO!$M$2354*EFEITO!$Z$2354</f>
        <v>0</v>
      </c>
      <c r="O2354" s="83">
        <f>$L$2354-EFEITO!$O$2354*EFEITO!$AA$2354</f>
        <v>0</v>
      </c>
      <c r="P2354" s="61"/>
      <c r="Q2354" s="61"/>
      <c r="R2354" s="61"/>
      <c r="S2354" s="61"/>
      <c r="T2354" s="61"/>
      <c r="U2354" s="61"/>
      <c r="V2354" s="61"/>
      <c r="W2354" s="61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</row>
    <row r="2355" spans="1:36" ht="11.25" customHeight="1" x14ac:dyDescent="0.2">
      <c r="A2355" s="57" t="s">
        <v>21</v>
      </c>
      <c r="B2355" s="57" t="s">
        <v>41</v>
      </c>
      <c r="C2355" s="57" t="s">
        <v>23</v>
      </c>
      <c r="D2355" s="57" t="s">
        <v>54</v>
      </c>
      <c r="E2355" s="57" t="s">
        <v>25</v>
      </c>
      <c r="F2355" s="57" t="s">
        <v>25</v>
      </c>
      <c r="G2355" s="57" t="s">
        <v>25</v>
      </c>
      <c r="H2355" s="57" t="s">
        <v>25</v>
      </c>
      <c r="I2355" s="82">
        <v>44136</v>
      </c>
      <c r="J2355" s="83">
        <f>EFEITO!$J$2355*EFEITO!$Y$2355</f>
        <v>0</v>
      </c>
      <c r="K2355" s="83">
        <f ca="1">EFEITO!$L$2355*EFEITO!$Z$2355</f>
        <v>284257.92334309255</v>
      </c>
      <c r="L2355" s="83">
        <f>EFEITO!$N$2355*EFEITO!$AA$2355</f>
        <v>166788.97928455099</v>
      </c>
      <c r="M2355" s="83">
        <f>$J$2355-EFEITO!$K$2355*EFEITO!$Y$2355</f>
        <v>0</v>
      </c>
      <c r="N2355" s="83">
        <f ca="1">$K$2355-EFEITO!$M$2355*EFEITO!$Z$2355</f>
        <v>0</v>
      </c>
      <c r="O2355" s="83">
        <f>$L$2355-EFEITO!$O$2355*EFEITO!$AA$2355</f>
        <v>0</v>
      </c>
      <c r="P2355" s="61"/>
      <c r="Q2355" s="61"/>
      <c r="R2355" s="61"/>
      <c r="S2355" s="61"/>
      <c r="T2355" s="61"/>
      <c r="U2355" s="61"/>
      <c r="V2355" s="61"/>
      <c r="W2355" s="61"/>
      <c r="X2355" s="6"/>
      <c r="Y2355" s="6"/>
      <c r="Z2355" s="6"/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</row>
    <row r="2356" spans="1:36" ht="11.25" customHeight="1" x14ac:dyDescent="0.2">
      <c r="A2356" s="57" t="s">
        <v>28</v>
      </c>
      <c r="B2356" s="57" t="s">
        <v>41</v>
      </c>
      <c r="C2356" s="57" t="s">
        <v>23</v>
      </c>
      <c r="D2356" s="57" t="s">
        <v>54</v>
      </c>
      <c r="E2356" s="57" t="s">
        <v>25</v>
      </c>
      <c r="F2356" s="57" t="s">
        <v>25</v>
      </c>
      <c r="G2356" s="57" t="s">
        <v>25</v>
      </c>
      <c r="H2356" s="57" t="s">
        <v>25</v>
      </c>
      <c r="I2356" s="82">
        <v>44136</v>
      </c>
      <c r="J2356" s="83">
        <f>EFEITO!$J$2356*EFEITO!$Y$2356</f>
        <v>0</v>
      </c>
      <c r="K2356" s="83">
        <f ca="1">EFEITO!$L$2356*EFEITO!$Z$2356</f>
        <v>136299.42478838621</v>
      </c>
      <c r="L2356" s="83">
        <f>EFEITO!$N$2356*EFEITO!$AA$2356</f>
        <v>79973.995694353551</v>
      </c>
      <c r="M2356" s="83">
        <f>$J$2356-EFEITO!$K$2356*EFEITO!$Y$2356</f>
        <v>0</v>
      </c>
      <c r="N2356" s="83">
        <f ca="1">$K$2356-EFEITO!$M$2356*EFEITO!$Z$2356</f>
        <v>0</v>
      </c>
      <c r="O2356" s="83">
        <f>$L$2356-EFEITO!$O$2356*EFEITO!$AA$2356</f>
        <v>0</v>
      </c>
      <c r="P2356" s="61"/>
      <c r="Q2356" s="61"/>
      <c r="R2356" s="61"/>
      <c r="S2356" s="61"/>
      <c r="T2356" s="61"/>
      <c r="U2356" s="61"/>
      <c r="V2356" s="61"/>
      <c r="W2356" s="61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</row>
    <row r="2357" spans="1:36" ht="11.25" customHeight="1" x14ac:dyDescent="0.2">
      <c r="A2357" s="57" t="s">
        <v>21</v>
      </c>
      <c r="B2357" s="57" t="s">
        <v>41</v>
      </c>
      <c r="C2357" s="57" t="s">
        <v>23</v>
      </c>
      <c r="D2357" s="57" t="s">
        <v>54</v>
      </c>
      <c r="E2357" s="57" t="s">
        <v>25</v>
      </c>
      <c r="F2357" s="57" t="s">
        <v>25</v>
      </c>
      <c r="G2357" s="57" t="s">
        <v>25</v>
      </c>
      <c r="H2357" s="57" t="s">
        <v>25</v>
      </c>
      <c r="I2357" s="82">
        <v>44166</v>
      </c>
      <c r="J2357" s="83">
        <f>EFEITO!$J$2357*EFEITO!$Y$2357</f>
        <v>0</v>
      </c>
      <c r="K2357" s="83">
        <f ca="1">EFEITO!$L$2357*EFEITO!$Z$2357</f>
        <v>288560.80941681267</v>
      </c>
      <c r="L2357" s="83">
        <f>EFEITO!$N$2357*EFEITO!$AA$2357</f>
        <v>169313.70741797675</v>
      </c>
      <c r="M2357" s="83">
        <f>$J$2357-EFEITO!$K$2357*EFEITO!$Y$2357</f>
        <v>0</v>
      </c>
      <c r="N2357" s="83">
        <f ca="1">$K$2357-EFEITO!$M$2357*EFEITO!$Z$2357</f>
        <v>0</v>
      </c>
      <c r="O2357" s="83">
        <f>$L$2357-EFEITO!$O$2357*EFEITO!$AA$2357</f>
        <v>0</v>
      </c>
      <c r="P2357" s="61"/>
      <c r="Q2357" s="61"/>
      <c r="R2357" s="61"/>
      <c r="S2357" s="61"/>
      <c r="T2357" s="61"/>
      <c r="U2357" s="61"/>
      <c r="V2357" s="61"/>
      <c r="W2357" s="61"/>
      <c r="X2357" s="6"/>
      <c r="Y2357" s="6"/>
      <c r="Z2357" s="6"/>
      <c r="AA2357" s="6"/>
      <c r="AB2357" s="6"/>
      <c r="AC2357" s="6"/>
      <c r="AD2357" s="6"/>
      <c r="AE2357" s="6"/>
      <c r="AF2357" s="6"/>
      <c r="AG2357" s="6"/>
      <c r="AH2357" s="6"/>
      <c r="AI2357" s="6"/>
      <c r="AJ2357" s="6"/>
    </row>
    <row r="2358" spans="1:36" ht="11.25" customHeight="1" x14ac:dyDescent="0.2">
      <c r="A2358" s="57" t="s">
        <v>28</v>
      </c>
      <c r="B2358" s="57" t="s">
        <v>41</v>
      </c>
      <c r="C2358" s="57" t="s">
        <v>23</v>
      </c>
      <c r="D2358" s="57" t="s">
        <v>54</v>
      </c>
      <c r="E2358" s="57" t="s">
        <v>25</v>
      </c>
      <c r="F2358" s="57" t="s">
        <v>25</v>
      </c>
      <c r="G2358" s="57" t="s">
        <v>25</v>
      </c>
      <c r="H2358" s="57" t="s">
        <v>25</v>
      </c>
      <c r="I2358" s="82">
        <v>44166</v>
      </c>
      <c r="J2358" s="83">
        <f>EFEITO!$J$2358*EFEITO!$Y$2358</f>
        <v>0</v>
      </c>
      <c r="K2358" s="83">
        <f ca="1">EFEITO!$L$2358*EFEITO!$Z$2358</f>
        <v>129084.55613222743</v>
      </c>
      <c r="L2358" s="83">
        <f>EFEITO!$N$2358*EFEITO!$AA$2358</f>
        <v>75740.655196117397</v>
      </c>
      <c r="M2358" s="83">
        <f>$J$2358-EFEITO!$K$2358*EFEITO!$Y$2358</f>
        <v>0</v>
      </c>
      <c r="N2358" s="83">
        <f ca="1">$K$2358-EFEITO!$M$2358*EFEITO!$Z$2358</f>
        <v>0</v>
      </c>
      <c r="O2358" s="83">
        <f>$L$2358-EFEITO!$O$2358*EFEITO!$AA$2358</f>
        <v>0</v>
      </c>
      <c r="P2358" s="61"/>
      <c r="Q2358" s="61"/>
      <c r="R2358" s="61"/>
      <c r="S2358" s="61"/>
      <c r="T2358" s="61"/>
      <c r="U2358" s="61"/>
      <c r="V2358" s="61"/>
      <c r="W2358" s="61"/>
      <c r="X2358" s="6"/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</row>
    <row r="2359" spans="1:36" ht="11.25" customHeight="1" x14ac:dyDescent="0.2">
      <c r="A2359" s="57" t="s">
        <v>21</v>
      </c>
      <c r="B2359" s="57" t="s">
        <v>41</v>
      </c>
      <c r="C2359" s="57" t="s">
        <v>23</v>
      </c>
      <c r="D2359" s="57" t="s">
        <v>54</v>
      </c>
      <c r="E2359" s="57" t="s">
        <v>25</v>
      </c>
      <c r="F2359" s="57" t="s">
        <v>25</v>
      </c>
      <c r="G2359" s="57" t="s">
        <v>25</v>
      </c>
      <c r="H2359" s="57" t="s">
        <v>25</v>
      </c>
      <c r="I2359" s="82">
        <v>44197</v>
      </c>
      <c r="J2359" s="83">
        <f>EFEITO!$J$2359*EFEITO!$Y$2359</f>
        <v>0</v>
      </c>
      <c r="K2359" s="83">
        <f ca="1">EFEITO!$L$2359*EFEITO!$Z$2359</f>
        <v>258641.18875894658</v>
      </c>
      <c r="L2359" s="83">
        <f>EFEITO!$N$2359*EFEITO!$AA$2359</f>
        <v>151758.30234283546</v>
      </c>
      <c r="M2359" s="83">
        <f>$J$2359-EFEITO!$K$2359*EFEITO!$Y$2359</f>
        <v>0</v>
      </c>
      <c r="N2359" s="83">
        <f ca="1">$K$2359-EFEITO!$M$2359*EFEITO!$Z$2359</f>
        <v>0</v>
      </c>
      <c r="O2359" s="83">
        <f>$L$2359-EFEITO!$O$2359*EFEITO!$AA$2359</f>
        <v>0</v>
      </c>
      <c r="P2359" s="61"/>
      <c r="Q2359" s="61"/>
      <c r="R2359" s="61"/>
      <c r="S2359" s="61"/>
      <c r="T2359" s="61"/>
      <c r="U2359" s="61"/>
      <c r="V2359" s="61"/>
      <c r="W2359" s="61"/>
      <c r="X2359" s="6"/>
      <c r="Y2359" s="6"/>
      <c r="Z2359" s="6"/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</row>
    <row r="2360" spans="1:36" ht="11.25" customHeight="1" x14ac:dyDescent="0.2">
      <c r="A2360" s="57" t="s">
        <v>28</v>
      </c>
      <c r="B2360" s="57" t="s">
        <v>41</v>
      </c>
      <c r="C2360" s="57" t="s">
        <v>23</v>
      </c>
      <c r="D2360" s="57" t="s">
        <v>54</v>
      </c>
      <c r="E2360" s="57" t="s">
        <v>25</v>
      </c>
      <c r="F2360" s="57" t="s">
        <v>25</v>
      </c>
      <c r="G2360" s="57" t="s">
        <v>25</v>
      </c>
      <c r="H2360" s="57" t="s">
        <v>25</v>
      </c>
      <c r="I2360" s="82">
        <v>44197</v>
      </c>
      <c r="J2360" s="83">
        <f>EFEITO!$J$2360*EFEITO!$Y$2360</f>
        <v>0</v>
      </c>
      <c r="K2360" s="83">
        <f ca="1">EFEITO!$L$2360*EFEITO!$Z$2360</f>
        <v>108230.62764004024</v>
      </c>
      <c r="L2360" s="83">
        <f>EFEITO!$N$2360*EFEITO!$AA$2360</f>
        <v>63504.565498498639</v>
      </c>
      <c r="M2360" s="83">
        <f>$J$2360-EFEITO!$K$2360*EFEITO!$Y$2360</f>
        <v>0</v>
      </c>
      <c r="N2360" s="83">
        <f ca="1">$K$2360-EFEITO!$M$2360*EFEITO!$Z$2360</f>
        <v>0</v>
      </c>
      <c r="O2360" s="83">
        <f>$L$2360-EFEITO!$O$2360*EFEITO!$AA$2360</f>
        <v>0</v>
      </c>
      <c r="P2360" s="61"/>
      <c r="Q2360" s="61"/>
      <c r="R2360" s="61"/>
      <c r="S2360" s="61"/>
      <c r="T2360" s="61"/>
      <c r="U2360" s="61"/>
      <c r="V2360" s="61"/>
      <c r="W2360" s="61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</row>
    <row r="2361" spans="1:36" ht="11.25" customHeight="1" x14ac:dyDescent="0.2">
      <c r="A2361" s="57" t="s">
        <v>21</v>
      </c>
      <c r="B2361" s="57" t="s">
        <v>41</v>
      </c>
      <c r="C2361" s="57" t="s">
        <v>23</v>
      </c>
      <c r="D2361" s="57" t="s">
        <v>54</v>
      </c>
      <c r="E2361" s="57" t="s">
        <v>25</v>
      </c>
      <c r="F2361" s="57" t="s">
        <v>25</v>
      </c>
      <c r="G2361" s="57" t="s">
        <v>25</v>
      </c>
      <c r="H2361" s="57" t="s">
        <v>25</v>
      </c>
      <c r="I2361" s="82">
        <v>44228</v>
      </c>
      <c r="J2361" s="83">
        <f>EFEITO!$J$2361*EFEITO!$Y$2361</f>
        <v>0</v>
      </c>
      <c r="K2361" s="83">
        <f ca="1">EFEITO!$L$2361*EFEITO!$Z$2361</f>
        <v>238968.46454267643</v>
      </c>
      <c r="L2361" s="83">
        <f>EFEITO!$N$2361*EFEITO!$AA$2361</f>
        <v>140215.28692504589</v>
      </c>
      <c r="M2361" s="83">
        <f>$J$2361-EFEITO!$K$2361*EFEITO!$Y$2361</f>
        <v>0</v>
      </c>
      <c r="N2361" s="83">
        <f ca="1">$K$2361-EFEITO!$M$2361*EFEITO!$Z$2361</f>
        <v>0</v>
      </c>
      <c r="O2361" s="83">
        <f>$L$2361-EFEITO!$O$2361*EFEITO!$AA$2361</f>
        <v>0</v>
      </c>
      <c r="P2361" s="61"/>
      <c r="Q2361" s="61"/>
      <c r="R2361" s="61"/>
      <c r="S2361" s="61"/>
      <c r="T2361" s="61"/>
      <c r="U2361" s="61"/>
      <c r="V2361" s="61"/>
      <c r="W2361" s="61"/>
      <c r="X2361" s="6"/>
      <c r="Y2361" s="6"/>
      <c r="Z2361" s="6"/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</row>
    <row r="2362" spans="1:36" ht="11.25" customHeight="1" x14ac:dyDescent="0.2">
      <c r="A2362" s="57" t="s">
        <v>28</v>
      </c>
      <c r="B2362" s="57" t="s">
        <v>41</v>
      </c>
      <c r="C2362" s="57" t="s">
        <v>23</v>
      </c>
      <c r="D2362" s="57" t="s">
        <v>54</v>
      </c>
      <c r="E2362" s="57" t="s">
        <v>25</v>
      </c>
      <c r="F2362" s="57" t="s">
        <v>25</v>
      </c>
      <c r="G2362" s="57" t="s">
        <v>25</v>
      </c>
      <c r="H2362" s="57" t="s">
        <v>25</v>
      </c>
      <c r="I2362" s="82">
        <v>44228</v>
      </c>
      <c r="J2362" s="83">
        <f>EFEITO!$J$2362*EFEITO!$Y$2362</f>
        <v>0</v>
      </c>
      <c r="K2362" s="83">
        <f ca="1">EFEITO!$L$2362*EFEITO!$Z$2362</f>
        <v>109016.7464377346</v>
      </c>
      <c r="L2362" s="83">
        <f>EFEITO!$N$2362*EFEITO!$AA$2362</f>
        <v>63965.822480614792</v>
      </c>
      <c r="M2362" s="83">
        <f>$J$2362-EFEITO!$K$2362*EFEITO!$Y$2362</f>
        <v>0</v>
      </c>
      <c r="N2362" s="83">
        <f ca="1">$K$2362-EFEITO!$M$2362*EFEITO!$Z$2362</f>
        <v>0</v>
      </c>
      <c r="O2362" s="83">
        <f>$L$2362-EFEITO!$O$2362*EFEITO!$AA$2362</f>
        <v>0</v>
      </c>
      <c r="P2362" s="61"/>
      <c r="Q2362" s="61"/>
      <c r="R2362" s="61"/>
      <c r="S2362" s="61"/>
      <c r="T2362" s="61"/>
      <c r="U2362" s="61"/>
      <c r="V2362" s="61"/>
      <c r="W2362" s="61"/>
      <c r="X2362" s="6"/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</row>
    <row r="2363" spans="1:36" ht="11.25" customHeight="1" x14ac:dyDescent="0.2">
      <c r="A2363" s="57" t="s">
        <v>29</v>
      </c>
      <c r="B2363" s="57" t="s">
        <v>41</v>
      </c>
      <c r="C2363" s="57" t="s">
        <v>23</v>
      </c>
      <c r="D2363" s="57" t="s">
        <v>54</v>
      </c>
      <c r="E2363" s="57" t="s">
        <v>25</v>
      </c>
      <c r="F2363" s="57" t="s">
        <v>25</v>
      </c>
      <c r="G2363" s="57" t="s">
        <v>25</v>
      </c>
      <c r="H2363" s="57" t="s">
        <v>25</v>
      </c>
      <c r="I2363" s="82">
        <v>44228</v>
      </c>
      <c r="J2363" s="83">
        <f>EFEITO!$J$2363*EFEITO!$Y$2363</f>
        <v>0</v>
      </c>
      <c r="K2363" s="83">
        <f ca="1">EFEITO!$L$2363*EFEITO!$Z$2363</f>
        <v>-2919.0738602529632</v>
      </c>
      <c r="L2363" s="83">
        <f>EFEITO!$N$2363*EFEITO!$AA$2363</f>
        <v>-1712.773188102715</v>
      </c>
      <c r="M2363" s="83">
        <f>$J$2363-EFEITO!$K$2363*EFEITO!$Y$2363</f>
        <v>0</v>
      </c>
      <c r="N2363" s="83">
        <f ca="1">$K$2363-EFEITO!$M$2363*EFEITO!$Z$2363</f>
        <v>0</v>
      </c>
      <c r="O2363" s="83">
        <f>$L$2363-EFEITO!$O$2363*EFEITO!$AA$2363</f>
        <v>0</v>
      </c>
      <c r="P2363" s="61"/>
      <c r="Q2363" s="61"/>
      <c r="R2363" s="61"/>
      <c r="S2363" s="61"/>
      <c r="T2363" s="61"/>
      <c r="U2363" s="61"/>
      <c r="V2363" s="61"/>
      <c r="W2363" s="61"/>
      <c r="X2363" s="6"/>
      <c r="Y2363" s="6"/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</row>
    <row r="2364" spans="1:36" ht="11.25" customHeight="1" x14ac:dyDescent="0.2">
      <c r="A2364" s="57" t="s">
        <v>21</v>
      </c>
      <c r="B2364" s="57" t="s">
        <v>41</v>
      </c>
      <c r="C2364" s="57" t="s">
        <v>23</v>
      </c>
      <c r="D2364" s="57" t="s">
        <v>54</v>
      </c>
      <c r="E2364" s="57" t="s">
        <v>25</v>
      </c>
      <c r="F2364" s="57" t="s">
        <v>25</v>
      </c>
      <c r="G2364" s="57" t="s">
        <v>25</v>
      </c>
      <c r="H2364" s="57" t="s">
        <v>25</v>
      </c>
      <c r="I2364" s="82">
        <v>44256</v>
      </c>
      <c r="J2364" s="83">
        <f>EFEITO!$J$2364*EFEITO!$Y$2364</f>
        <v>0</v>
      </c>
      <c r="K2364" s="83">
        <f ca="1">EFEITO!$L$2364*EFEITO!$Z$2364</f>
        <v>251175.59278006951</v>
      </c>
      <c r="L2364" s="83">
        <f>EFEITO!$N$2364*EFEITO!$AA$2364</f>
        <v>147377.84702105063</v>
      </c>
      <c r="M2364" s="83">
        <f>$J$2364-EFEITO!$K$2364*EFEITO!$Y$2364</f>
        <v>0</v>
      </c>
      <c r="N2364" s="83">
        <f ca="1">$K$2364-EFEITO!$M$2364*EFEITO!$Z$2364</f>
        <v>0</v>
      </c>
      <c r="O2364" s="83">
        <f>$L$2364-EFEITO!$O$2364*EFEITO!$AA$2364</f>
        <v>0</v>
      </c>
      <c r="P2364" s="61"/>
      <c r="Q2364" s="61"/>
      <c r="R2364" s="61"/>
      <c r="S2364" s="61"/>
      <c r="T2364" s="61"/>
      <c r="U2364" s="61"/>
      <c r="V2364" s="61"/>
      <c r="W2364" s="61"/>
      <c r="X2364" s="6"/>
      <c r="Y2364" s="6"/>
      <c r="Z2364" s="6"/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</row>
    <row r="2365" spans="1:36" ht="11.25" customHeight="1" x14ac:dyDescent="0.2">
      <c r="A2365" s="57" t="s">
        <v>28</v>
      </c>
      <c r="B2365" s="57" t="s">
        <v>41</v>
      </c>
      <c r="C2365" s="57" t="s">
        <v>23</v>
      </c>
      <c r="D2365" s="57" t="s">
        <v>54</v>
      </c>
      <c r="E2365" s="57" t="s">
        <v>25</v>
      </c>
      <c r="F2365" s="57" t="s">
        <v>25</v>
      </c>
      <c r="G2365" s="57" t="s">
        <v>25</v>
      </c>
      <c r="H2365" s="57" t="s">
        <v>25</v>
      </c>
      <c r="I2365" s="82">
        <v>44256</v>
      </c>
      <c r="J2365" s="83">
        <f>EFEITO!$J$2365*EFEITO!$Y$2365</f>
        <v>0</v>
      </c>
      <c r="K2365" s="83">
        <f ca="1">EFEITO!$L$2365*EFEITO!$Z$2365</f>
        <v>103591.91890983086</v>
      </c>
      <c r="L2365" s="83">
        <f>EFEITO!$N$2365*EFEITO!$AA$2365</f>
        <v>60782.792662016829</v>
      </c>
      <c r="M2365" s="83">
        <f>$J$2365-EFEITO!$K$2365*EFEITO!$Y$2365</f>
        <v>0</v>
      </c>
      <c r="N2365" s="83">
        <f ca="1">$K$2365-EFEITO!$M$2365*EFEITO!$Z$2365</f>
        <v>0</v>
      </c>
      <c r="O2365" s="83">
        <f>$L$2365-EFEITO!$O$2365*EFEITO!$AA$2365</f>
        <v>0</v>
      </c>
      <c r="P2365" s="61"/>
      <c r="Q2365" s="61"/>
      <c r="R2365" s="61"/>
      <c r="S2365" s="61"/>
      <c r="T2365" s="61"/>
      <c r="U2365" s="61"/>
      <c r="V2365" s="61"/>
      <c r="W2365" s="61"/>
      <c r="X2365" s="6"/>
      <c r="Y2365" s="6"/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</row>
    <row r="2366" spans="1:36" ht="11.25" customHeight="1" x14ac:dyDescent="0.2">
      <c r="A2366" s="57" t="s">
        <v>21</v>
      </c>
      <c r="B2366" s="57" t="s">
        <v>41</v>
      </c>
      <c r="C2366" s="57" t="s">
        <v>23</v>
      </c>
      <c r="D2366" s="57" t="s">
        <v>54</v>
      </c>
      <c r="E2366" s="57" t="s">
        <v>25</v>
      </c>
      <c r="F2366" s="57" t="s">
        <v>25</v>
      </c>
      <c r="G2366" s="57" t="s">
        <v>25</v>
      </c>
      <c r="H2366" s="57" t="s">
        <v>25</v>
      </c>
      <c r="I2366" s="82">
        <v>44287</v>
      </c>
      <c r="J2366" s="83">
        <f>EFEITO!$J$2366*EFEITO!$Y$2366</f>
        <v>0</v>
      </c>
      <c r="K2366" s="83">
        <f ca="1">EFEITO!$L$2366*EFEITO!$Z$2366</f>
        <v>259660.81320466739</v>
      </c>
      <c r="L2366" s="83">
        <f>EFEITO!$N$2366*EFEITO!$AA$2366</f>
        <v>152356.56929193327</v>
      </c>
      <c r="M2366" s="83">
        <f>$J$2366-EFEITO!$K$2366*EFEITO!$Y$2366</f>
        <v>0</v>
      </c>
      <c r="N2366" s="83">
        <f ca="1">$K$2366-EFEITO!$M$2366*EFEITO!$Z$2366</f>
        <v>0</v>
      </c>
      <c r="O2366" s="83">
        <f>$L$2366-EFEITO!$O$2366*EFEITO!$AA$2366</f>
        <v>0</v>
      </c>
      <c r="P2366" s="61"/>
      <c r="Q2366" s="61"/>
      <c r="R2366" s="61"/>
      <c r="S2366" s="61"/>
      <c r="T2366" s="61"/>
      <c r="U2366" s="61"/>
      <c r="V2366" s="61"/>
      <c r="W2366" s="61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</row>
    <row r="2367" spans="1:36" ht="11.25" customHeight="1" x14ac:dyDescent="0.2">
      <c r="A2367" s="57" t="s">
        <v>28</v>
      </c>
      <c r="B2367" s="57" t="s">
        <v>41</v>
      </c>
      <c r="C2367" s="57" t="s">
        <v>23</v>
      </c>
      <c r="D2367" s="57" t="s">
        <v>54</v>
      </c>
      <c r="E2367" s="57" t="s">
        <v>25</v>
      </c>
      <c r="F2367" s="57" t="s">
        <v>25</v>
      </c>
      <c r="G2367" s="57" t="s">
        <v>25</v>
      </c>
      <c r="H2367" s="57" t="s">
        <v>25</v>
      </c>
      <c r="I2367" s="82">
        <v>44287</v>
      </c>
      <c r="J2367" s="83">
        <f>EFEITO!$J$2367*EFEITO!$Y$2367</f>
        <v>0</v>
      </c>
      <c r="K2367" s="83">
        <f ca="1">EFEITO!$L$2367*EFEITO!$Z$2367</f>
        <v>112583.15265846011</v>
      </c>
      <c r="L2367" s="83">
        <f>EFEITO!$N$2367*EFEITO!$AA$2367</f>
        <v>66058.419394970377</v>
      </c>
      <c r="M2367" s="83">
        <f>$J$2367-EFEITO!$K$2367*EFEITO!$Y$2367</f>
        <v>0</v>
      </c>
      <c r="N2367" s="83">
        <f ca="1">$K$2367-EFEITO!$M$2367*EFEITO!$Z$2367</f>
        <v>0</v>
      </c>
      <c r="O2367" s="83">
        <f>$L$2367-EFEITO!$O$2367*EFEITO!$AA$2367</f>
        <v>0</v>
      </c>
      <c r="P2367" s="61"/>
      <c r="Q2367" s="61"/>
      <c r="R2367" s="61"/>
      <c r="S2367" s="61"/>
      <c r="T2367" s="61"/>
      <c r="U2367" s="61"/>
      <c r="V2367" s="61"/>
      <c r="W2367" s="61"/>
      <c r="X2367" s="6"/>
      <c r="Y2367" s="6"/>
      <c r="Z2367" s="6"/>
      <c r="AA2367" s="6"/>
      <c r="AB2367" s="6"/>
      <c r="AC2367" s="6"/>
      <c r="AD2367" s="6"/>
      <c r="AE2367" s="6"/>
      <c r="AF2367" s="6"/>
      <c r="AG2367" s="6"/>
      <c r="AH2367" s="6"/>
      <c r="AI2367" s="6"/>
      <c r="AJ2367" s="6"/>
    </row>
    <row r="2368" spans="1:36" ht="11.25" customHeight="1" x14ac:dyDescent="0.2">
      <c r="A2368" s="57" t="s">
        <v>21</v>
      </c>
      <c r="B2368" s="57" t="s">
        <v>41</v>
      </c>
      <c r="C2368" s="57" t="s">
        <v>23</v>
      </c>
      <c r="D2368" s="57" t="s">
        <v>54</v>
      </c>
      <c r="E2368" s="57" t="s">
        <v>25</v>
      </c>
      <c r="F2368" s="57" t="s">
        <v>25</v>
      </c>
      <c r="G2368" s="57" t="s">
        <v>25</v>
      </c>
      <c r="H2368" s="57" t="s">
        <v>25</v>
      </c>
      <c r="I2368" s="82">
        <v>44317</v>
      </c>
      <c r="J2368" s="83">
        <f>EFEITO!$J$2368*EFEITO!$Y$2368</f>
        <v>0</v>
      </c>
      <c r="K2368" s="83">
        <f ca="1">EFEITO!$L$2368*EFEITO!$Z$2368</f>
        <v>257083.64023903021</v>
      </c>
      <c r="L2368" s="83">
        <f>EFEITO!$N$2368*EFEITO!$AA$2368</f>
        <v>150844.40722685144</v>
      </c>
      <c r="M2368" s="83">
        <f>$J$2368-EFEITO!$K$2368*EFEITO!$Y$2368</f>
        <v>0</v>
      </c>
      <c r="N2368" s="83">
        <f ca="1">$K$2368-EFEITO!$M$2368*EFEITO!$Z$2368</f>
        <v>0</v>
      </c>
      <c r="O2368" s="83">
        <f>$L$2368-EFEITO!$O$2368*EFEITO!$AA$2368</f>
        <v>0</v>
      </c>
      <c r="P2368" s="61"/>
      <c r="Q2368" s="61"/>
      <c r="R2368" s="61"/>
      <c r="S2368" s="61"/>
      <c r="T2368" s="61"/>
      <c r="U2368" s="61"/>
      <c r="V2368" s="61"/>
      <c r="W2368" s="61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</row>
    <row r="2369" spans="1:36" ht="11.25" customHeight="1" x14ac:dyDescent="0.2">
      <c r="A2369" s="57" t="s">
        <v>27</v>
      </c>
      <c r="B2369" s="57" t="s">
        <v>41</v>
      </c>
      <c r="C2369" s="57" t="s">
        <v>23</v>
      </c>
      <c r="D2369" s="57" t="s">
        <v>54</v>
      </c>
      <c r="E2369" s="57" t="s">
        <v>25</v>
      </c>
      <c r="F2369" s="57" t="s">
        <v>25</v>
      </c>
      <c r="G2369" s="57" t="s">
        <v>25</v>
      </c>
      <c r="H2369" s="57" t="s">
        <v>25</v>
      </c>
      <c r="I2369" s="82">
        <v>44317</v>
      </c>
      <c r="J2369" s="83">
        <f>EFEITO!$J$2369*EFEITO!$Y$2369</f>
        <v>0</v>
      </c>
      <c r="K2369" s="83">
        <f ca="1">EFEITO!$L$2369*EFEITO!$Z$2369</f>
        <v>928.45087382330064</v>
      </c>
      <c r="L2369" s="83">
        <f>EFEITO!$N$2369*EFEITO!$AA$2369</f>
        <v>544.77064962559029</v>
      </c>
      <c r="M2369" s="83">
        <f>$J$2369-EFEITO!$K$2369*EFEITO!$Y$2369</f>
        <v>0</v>
      </c>
      <c r="N2369" s="83">
        <f ca="1">$K$2369-EFEITO!$M$2369*EFEITO!$Z$2369</f>
        <v>0</v>
      </c>
      <c r="O2369" s="83">
        <f>$L$2369-EFEITO!$O$2369*EFEITO!$AA$2369</f>
        <v>0</v>
      </c>
      <c r="P2369" s="61"/>
      <c r="Q2369" s="61"/>
      <c r="R2369" s="61"/>
      <c r="S2369" s="61"/>
      <c r="T2369" s="61"/>
      <c r="U2369" s="61"/>
      <c r="V2369" s="61"/>
      <c r="W2369" s="61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</row>
    <row r="2370" spans="1:36" ht="11.25" customHeight="1" x14ac:dyDescent="0.2">
      <c r="A2370" s="57" t="s">
        <v>28</v>
      </c>
      <c r="B2370" s="57" t="s">
        <v>41</v>
      </c>
      <c r="C2370" s="57" t="s">
        <v>23</v>
      </c>
      <c r="D2370" s="57" t="s">
        <v>54</v>
      </c>
      <c r="E2370" s="57" t="s">
        <v>25</v>
      </c>
      <c r="F2370" s="57" t="s">
        <v>25</v>
      </c>
      <c r="G2370" s="57" t="s">
        <v>25</v>
      </c>
      <c r="H2370" s="57" t="s">
        <v>25</v>
      </c>
      <c r="I2370" s="82">
        <v>44317</v>
      </c>
      <c r="J2370" s="83">
        <f>EFEITO!$J$2370*EFEITO!$Y$2370</f>
        <v>0</v>
      </c>
      <c r="K2370" s="83">
        <f ca="1">EFEITO!$L$2370*EFEITO!$Z$2370</f>
        <v>112892.12976322399</v>
      </c>
      <c r="L2370" s="83">
        <f>EFEITO!$N$2370*EFEITO!$AA$2370</f>
        <v>66239.712409848493</v>
      </c>
      <c r="M2370" s="83">
        <f>$J$2370-EFEITO!$K$2370*EFEITO!$Y$2370</f>
        <v>0</v>
      </c>
      <c r="N2370" s="83">
        <f ca="1">$K$2370-EFEITO!$M$2370*EFEITO!$Z$2370</f>
        <v>0</v>
      </c>
      <c r="O2370" s="83">
        <f>$L$2370-EFEITO!$O$2370*EFEITO!$AA$2370</f>
        <v>0</v>
      </c>
      <c r="P2370" s="61"/>
      <c r="Q2370" s="61"/>
      <c r="R2370" s="61"/>
      <c r="S2370" s="61"/>
      <c r="T2370" s="61"/>
      <c r="U2370" s="61"/>
      <c r="V2370" s="61"/>
      <c r="W2370" s="61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/>
      <c r="AJ2370" s="6"/>
    </row>
    <row r="2371" spans="1:36" ht="11.25" customHeight="1" x14ac:dyDescent="0.2">
      <c r="A2371" s="57" t="s">
        <v>21</v>
      </c>
      <c r="B2371" s="57" t="s">
        <v>41</v>
      </c>
      <c r="C2371" s="57" t="s">
        <v>23</v>
      </c>
      <c r="D2371" s="57" t="s">
        <v>54</v>
      </c>
      <c r="E2371" s="57" t="s">
        <v>25</v>
      </c>
      <c r="F2371" s="57" t="s">
        <v>25</v>
      </c>
      <c r="G2371" s="57" t="s">
        <v>25</v>
      </c>
      <c r="H2371" s="57" t="s">
        <v>25</v>
      </c>
      <c r="I2371" s="82">
        <v>44348</v>
      </c>
      <c r="J2371" s="83">
        <f>EFEITO!$J$2371*EFEITO!$Y$2371</f>
        <v>0</v>
      </c>
      <c r="K2371" s="83">
        <f ca="1">EFEITO!$L$2371*EFEITO!$Z$2371</f>
        <v>259495.6877355641</v>
      </c>
      <c r="L2371" s="83">
        <f>EFEITO!$N$2371*EFEITO!$AA$2371</f>
        <v>152259.6815495558</v>
      </c>
      <c r="M2371" s="83">
        <f>$J$2371-EFEITO!$K$2371*EFEITO!$Y$2371</f>
        <v>0</v>
      </c>
      <c r="N2371" s="83">
        <f ca="1">$K$2371-EFEITO!$M$2371*EFEITO!$Z$2371</f>
        <v>0</v>
      </c>
      <c r="O2371" s="83">
        <f>$L$2371-EFEITO!$O$2371*EFEITO!$AA$2371</f>
        <v>0</v>
      </c>
      <c r="P2371" s="61"/>
      <c r="Q2371" s="61"/>
      <c r="R2371" s="61"/>
      <c r="S2371" s="61"/>
      <c r="T2371" s="61"/>
      <c r="U2371" s="61"/>
      <c r="V2371" s="61"/>
      <c r="W2371" s="61"/>
      <c r="X2371" s="6"/>
      <c r="Y2371" s="6"/>
      <c r="Z2371" s="6"/>
      <c r="AA2371" s="6"/>
      <c r="AB2371" s="6"/>
      <c r="AC2371" s="6"/>
      <c r="AD2371" s="6"/>
      <c r="AE2371" s="6"/>
      <c r="AF2371" s="6"/>
      <c r="AG2371" s="6"/>
      <c r="AH2371" s="6"/>
      <c r="AI2371" s="6"/>
      <c r="AJ2371" s="6"/>
    </row>
    <row r="2372" spans="1:36" ht="11.25" customHeight="1" x14ac:dyDescent="0.2">
      <c r="A2372" s="57" t="s">
        <v>28</v>
      </c>
      <c r="B2372" s="57" t="s">
        <v>41</v>
      </c>
      <c r="C2372" s="57" t="s">
        <v>23</v>
      </c>
      <c r="D2372" s="57" t="s">
        <v>54</v>
      </c>
      <c r="E2372" s="57" t="s">
        <v>25</v>
      </c>
      <c r="F2372" s="57" t="s">
        <v>25</v>
      </c>
      <c r="G2372" s="57" t="s">
        <v>25</v>
      </c>
      <c r="H2372" s="57" t="s">
        <v>25</v>
      </c>
      <c r="I2372" s="82">
        <v>44348</v>
      </c>
      <c r="J2372" s="83">
        <f>EFEITO!$J$2372*EFEITO!$Y$2372</f>
        <v>0</v>
      </c>
      <c r="K2372" s="83">
        <f ca="1">EFEITO!$L$2372*EFEITO!$Z$2372</f>
        <v>114499.82374768399</v>
      </c>
      <c r="L2372" s="83">
        <f>EFEITO!$N$2372*EFEITO!$AA$2372</f>
        <v>67183.030490542238</v>
      </c>
      <c r="M2372" s="83">
        <f>$J$2372-EFEITO!$K$2372*EFEITO!$Y$2372</f>
        <v>0</v>
      </c>
      <c r="N2372" s="83">
        <f ca="1">$K$2372-EFEITO!$M$2372*EFEITO!$Z$2372</f>
        <v>0</v>
      </c>
      <c r="O2372" s="83">
        <f>$L$2372-EFEITO!$O$2372*EFEITO!$AA$2372</f>
        <v>0</v>
      </c>
      <c r="P2372" s="61"/>
      <c r="Q2372" s="61"/>
      <c r="R2372" s="61"/>
      <c r="S2372" s="61"/>
      <c r="T2372" s="61"/>
      <c r="U2372" s="61"/>
      <c r="V2372" s="61"/>
      <c r="W2372" s="61"/>
      <c r="X2372" s="6"/>
      <c r="Y2372" s="6"/>
      <c r="Z2372" s="6"/>
      <c r="AA2372" s="6"/>
      <c r="AB2372" s="6"/>
      <c r="AC2372" s="6"/>
      <c r="AD2372" s="6"/>
      <c r="AE2372" s="6"/>
      <c r="AF2372" s="6"/>
      <c r="AG2372" s="6"/>
      <c r="AH2372" s="6"/>
      <c r="AI2372" s="6"/>
      <c r="AJ2372" s="6"/>
    </row>
    <row r="2373" spans="1:36" ht="11.25" customHeight="1" x14ac:dyDescent="0.2">
      <c r="A2373" s="57" t="s">
        <v>21</v>
      </c>
      <c r="B2373" s="57" t="s">
        <v>41</v>
      </c>
      <c r="C2373" s="57" t="s">
        <v>23</v>
      </c>
      <c r="D2373" s="57" t="s">
        <v>54</v>
      </c>
      <c r="E2373" s="57" t="s">
        <v>25</v>
      </c>
      <c r="F2373" s="57" t="s">
        <v>25</v>
      </c>
      <c r="G2373" s="57" t="s">
        <v>25</v>
      </c>
      <c r="H2373" s="57" t="s">
        <v>25</v>
      </c>
      <c r="I2373" s="82">
        <v>44378</v>
      </c>
      <c r="J2373" s="83">
        <f>EFEITO!$J$2373*EFEITO!$Y$2373</f>
        <v>0</v>
      </c>
      <c r="K2373" s="83">
        <f ca="1">EFEITO!$L$2373*EFEITO!$Z$2373</f>
        <v>275635.94256064837</v>
      </c>
      <c r="L2373" s="83">
        <f>EFEITO!$N$2373*EFEITO!$AA$2373</f>
        <v>161730.01256446002</v>
      </c>
      <c r="M2373" s="83">
        <f>$J$2373-EFEITO!$K$2373*EFEITO!$Y$2373</f>
        <v>0</v>
      </c>
      <c r="N2373" s="83">
        <f ca="1">$K$2373-EFEITO!$M$2373*EFEITO!$Z$2373</f>
        <v>0</v>
      </c>
      <c r="O2373" s="83">
        <f>$L$2373-EFEITO!$O$2373*EFEITO!$AA$2373</f>
        <v>0</v>
      </c>
      <c r="P2373" s="61"/>
      <c r="Q2373" s="61"/>
      <c r="R2373" s="61"/>
      <c r="S2373" s="61"/>
      <c r="T2373" s="61"/>
      <c r="U2373" s="61"/>
      <c r="V2373" s="61"/>
      <c r="W2373" s="61"/>
      <c r="X2373" s="6"/>
      <c r="Y2373" s="6"/>
      <c r="Z2373" s="6"/>
      <c r="AA2373" s="6"/>
      <c r="AB2373" s="6"/>
      <c r="AC2373" s="6"/>
      <c r="AD2373" s="6"/>
      <c r="AE2373" s="6"/>
      <c r="AF2373" s="6"/>
      <c r="AG2373" s="6"/>
      <c r="AH2373" s="6"/>
      <c r="AI2373" s="6"/>
      <c r="AJ2373" s="6"/>
    </row>
    <row r="2374" spans="1:36" ht="11.25" customHeight="1" x14ac:dyDescent="0.2">
      <c r="A2374" s="57" t="s">
        <v>27</v>
      </c>
      <c r="B2374" s="57" t="s">
        <v>41</v>
      </c>
      <c r="C2374" s="57" t="s">
        <v>23</v>
      </c>
      <c r="D2374" s="57" t="s">
        <v>54</v>
      </c>
      <c r="E2374" s="57" t="s">
        <v>25</v>
      </c>
      <c r="F2374" s="57" t="s">
        <v>25</v>
      </c>
      <c r="G2374" s="57" t="s">
        <v>25</v>
      </c>
      <c r="H2374" s="57" t="s">
        <v>25</v>
      </c>
      <c r="I2374" s="82">
        <v>44378</v>
      </c>
      <c r="J2374" s="83">
        <f>EFEITO!$J$2374*EFEITO!$Y$2374</f>
        <v>0</v>
      </c>
      <c r="K2374" s="83">
        <f ca="1">EFEITO!$L$2374*EFEITO!$Z$2374</f>
        <v>2022.027216749927</v>
      </c>
      <c r="L2374" s="83">
        <f>EFEITO!$N$2374*EFEITO!$AA$2374</f>
        <v>1186.4290416286724</v>
      </c>
      <c r="M2374" s="83">
        <f>$J$2374-EFEITO!$K$2374*EFEITO!$Y$2374</f>
        <v>0</v>
      </c>
      <c r="N2374" s="83">
        <f ca="1">$K$2374-EFEITO!$M$2374*EFEITO!$Z$2374</f>
        <v>0</v>
      </c>
      <c r="O2374" s="83">
        <f>$L$2374-EFEITO!$O$2374*EFEITO!$AA$2374</f>
        <v>0</v>
      </c>
      <c r="P2374" s="61"/>
      <c r="Q2374" s="61"/>
      <c r="R2374" s="61"/>
      <c r="S2374" s="61"/>
      <c r="T2374" s="61"/>
      <c r="U2374" s="61"/>
      <c r="V2374" s="61"/>
      <c r="W2374" s="61"/>
      <c r="X2374" s="6"/>
      <c r="Y2374" s="6"/>
      <c r="Z2374" s="6"/>
      <c r="AA2374" s="6"/>
      <c r="AB2374" s="6"/>
      <c r="AC2374" s="6"/>
      <c r="AD2374" s="6"/>
      <c r="AE2374" s="6"/>
      <c r="AF2374" s="6"/>
      <c r="AG2374" s="6"/>
      <c r="AH2374" s="6"/>
      <c r="AI2374" s="6"/>
      <c r="AJ2374" s="6"/>
    </row>
    <row r="2375" spans="1:36" ht="11.25" customHeight="1" x14ac:dyDescent="0.2">
      <c r="A2375" s="57" t="s">
        <v>28</v>
      </c>
      <c r="B2375" s="57" t="s">
        <v>41</v>
      </c>
      <c r="C2375" s="57" t="s">
        <v>23</v>
      </c>
      <c r="D2375" s="57" t="s">
        <v>54</v>
      </c>
      <c r="E2375" s="57" t="s">
        <v>25</v>
      </c>
      <c r="F2375" s="57" t="s">
        <v>25</v>
      </c>
      <c r="G2375" s="57" t="s">
        <v>25</v>
      </c>
      <c r="H2375" s="57" t="s">
        <v>25</v>
      </c>
      <c r="I2375" s="82">
        <v>44378</v>
      </c>
      <c r="J2375" s="83">
        <f>EFEITO!$J$2375*EFEITO!$Y$2375</f>
        <v>0</v>
      </c>
      <c r="K2375" s="83">
        <f ca="1">EFEITO!$L$2375*EFEITO!$Z$2375</f>
        <v>116195.65218497827</v>
      </c>
      <c r="L2375" s="83">
        <f>EFEITO!$N$2375*EFEITO!$AA$2375</f>
        <v>68178.061660725813</v>
      </c>
      <c r="M2375" s="83">
        <f>$J$2375-EFEITO!$K$2375*EFEITO!$Y$2375</f>
        <v>0</v>
      </c>
      <c r="N2375" s="83">
        <f ca="1">$K$2375-EFEITO!$M$2375*EFEITO!$Z$2375</f>
        <v>0</v>
      </c>
      <c r="O2375" s="83">
        <f>$L$2375-EFEITO!$O$2375*EFEITO!$AA$2375</f>
        <v>0</v>
      </c>
      <c r="P2375" s="61"/>
      <c r="Q2375" s="61"/>
      <c r="R2375" s="61"/>
      <c r="S2375" s="61"/>
      <c r="T2375" s="61"/>
      <c r="U2375" s="61"/>
      <c r="V2375" s="61"/>
      <c r="W2375" s="61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</row>
    <row r="2376" spans="1:36" ht="11.25" customHeight="1" x14ac:dyDescent="0.2">
      <c r="A2376" s="57" t="s">
        <v>21</v>
      </c>
      <c r="B2376" s="57" t="s">
        <v>41</v>
      </c>
      <c r="C2376" s="57" t="s">
        <v>23</v>
      </c>
      <c r="D2376" s="57" t="s">
        <v>54</v>
      </c>
      <c r="E2376" s="57" t="s">
        <v>25</v>
      </c>
      <c r="F2376" s="57" t="s">
        <v>25</v>
      </c>
      <c r="G2376" s="57" t="s">
        <v>25</v>
      </c>
      <c r="H2376" s="57" t="s">
        <v>25</v>
      </c>
      <c r="I2376" s="82">
        <v>44409</v>
      </c>
      <c r="J2376" s="83">
        <f>EFEITO!$J$2376*EFEITO!$Y$2376</f>
        <v>0</v>
      </c>
      <c r="K2376" s="83">
        <f ca="1">EFEITO!$L$2376*EFEITO!$Z$2376</f>
        <v>278059.64001359133</v>
      </c>
      <c r="L2376" s="83">
        <f>EFEITO!$N$2376*EFEITO!$AA$2376</f>
        <v>163152.12252543026</v>
      </c>
      <c r="M2376" s="83">
        <f>$J$2376-EFEITO!$K$2376*EFEITO!$Y$2376</f>
        <v>0</v>
      </c>
      <c r="N2376" s="83">
        <f ca="1">$K$2376-EFEITO!$M$2376*EFEITO!$Z$2376</f>
        <v>0</v>
      </c>
      <c r="O2376" s="83">
        <f>$L$2376-EFEITO!$O$2376*EFEITO!$AA$2376</f>
        <v>0</v>
      </c>
      <c r="P2376" s="61"/>
      <c r="Q2376" s="61"/>
      <c r="R2376" s="61"/>
      <c r="S2376" s="61"/>
      <c r="T2376" s="61"/>
      <c r="U2376" s="61"/>
      <c r="V2376" s="61"/>
      <c r="W2376" s="61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</row>
    <row r="2377" spans="1:36" ht="11.25" customHeight="1" x14ac:dyDescent="0.2">
      <c r="A2377" s="57" t="s">
        <v>28</v>
      </c>
      <c r="B2377" s="57" t="s">
        <v>41</v>
      </c>
      <c r="C2377" s="57" t="s">
        <v>23</v>
      </c>
      <c r="D2377" s="57" t="s">
        <v>54</v>
      </c>
      <c r="E2377" s="57" t="s">
        <v>25</v>
      </c>
      <c r="F2377" s="57" t="s">
        <v>25</v>
      </c>
      <c r="G2377" s="57" t="s">
        <v>25</v>
      </c>
      <c r="H2377" s="57" t="s">
        <v>25</v>
      </c>
      <c r="I2377" s="82">
        <v>44409</v>
      </c>
      <c r="J2377" s="83">
        <f>EFEITO!$J$2377*EFEITO!$Y$2377</f>
        <v>0</v>
      </c>
      <c r="K2377" s="83">
        <f ca="1">EFEITO!$L$2377*EFEITO!$Z$2377</f>
        <v>119568.06130549956</v>
      </c>
      <c r="L2377" s="83">
        <f>EFEITO!$N$2377*EFEITO!$AA$2377</f>
        <v>70156.830337871026</v>
      </c>
      <c r="M2377" s="83">
        <f>$J$2377-EFEITO!$K$2377*EFEITO!$Y$2377</f>
        <v>0</v>
      </c>
      <c r="N2377" s="83">
        <f ca="1">$K$2377-EFEITO!$M$2377*EFEITO!$Z$2377</f>
        <v>0</v>
      </c>
      <c r="O2377" s="83">
        <f>$L$2377-EFEITO!$O$2377*EFEITO!$AA$2377</f>
        <v>0</v>
      </c>
      <c r="P2377" s="61"/>
      <c r="Q2377" s="61"/>
      <c r="R2377" s="61"/>
      <c r="S2377" s="61"/>
      <c r="T2377" s="61"/>
      <c r="U2377" s="61"/>
      <c r="V2377" s="61"/>
      <c r="W2377" s="61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</row>
    <row r="2378" spans="1:36" ht="11.25" customHeight="1" x14ac:dyDescent="0.2">
      <c r="A2378" s="57" t="s">
        <v>21</v>
      </c>
      <c r="B2378" s="57" t="s">
        <v>41</v>
      </c>
      <c r="C2378" s="57" t="s">
        <v>23</v>
      </c>
      <c r="D2378" s="57" t="s">
        <v>54</v>
      </c>
      <c r="E2378" s="57" t="s">
        <v>25</v>
      </c>
      <c r="F2378" s="57" t="s">
        <v>25</v>
      </c>
      <c r="G2378" s="57" t="s">
        <v>25</v>
      </c>
      <c r="H2378" s="57" t="s">
        <v>25</v>
      </c>
      <c r="I2378" s="82">
        <v>44440</v>
      </c>
      <c r="J2378" s="83">
        <f>EFEITO!$J$2378*EFEITO!$Y$2378</f>
        <v>0</v>
      </c>
      <c r="K2378" s="83">
        <f ca="1">EFEITO!$L$2378*EFEITO!$Z$2378</f>
        <v>264264.06554580556</v>
      </c>
      <c r="L2378" s="83">
        <f>EFEITO!$N$2378*EFEITO!$AA$2378</f>
        <v>155057.53801195367</v>
      </c>
      <c r="M2378" s="83">
        <f>$J$2378-EFEITO!$K$2378*EFEITO!$Y$2378</f>
        <v>0</v>
      </c>
      <c r="N2378" s="83">
        <f ca="1">$K$2378-EFEITO!$M$2378*EFEITO!$Z$2378</f>
        <v>0</v>
      </c>
      <c r="O2378" s="83">
        <f>$L$2378-EFEITO!$O$2378*EFEITO!$AA$2378</f>
        <v>0</v>
      </c>
      <c r="P2378" s="61"/>
      <c r="Q2378" s="61"/>
      <c r="R2378" s="61"/>
      <c r="S2378" s="61"/>
      <c r="T2378" s="61"/>
      <c r="U2378" s="61"/>
      <c r="V2378" s="61"/>
      <c r="W2378" s="61"/>
      <c r="X2378" s="6"/>
      <c r="Y2378" s="6"/>
      <c r="Z2378" s="6"/>
      <c r="AA2378" s="6"/>
      <c r="AB2378" s="6"/>
      <c r="AC2378" s="6"/>
      <c r="AD2378" s="6"/>
      <c r="AE2378" s="6"/>
      <c r="AF2378" s="6"/>
      <c r="AG2378" s="6"/>
      <c r="AH2378" s="6"/>
      <c r="AI2378" s="6"/>
      <c r="AJ2378" s="6"/>
    </row>
    <row r="2379" spans="1:36" ht="11.25" customHeight="1" x14ac:dyDescent="0.2">
      <c r="A2379" s="57" t="s">
        <v>28</v>
      </c>
      <c r="B2379" s="57" t="s">
        <v>41</v>
      </c>
      <c r="C2379" s="57" t="s">
        <v>23</v>
      </c>
      <c r="D2379" s="57" t="s">
        <v>54</v>
      </c>
      <c r="E2379" s="57" t="s">
        <v>25</v>
      </c>
      <c r="F2379" s="57" t="s">
        <v>25</v>
      </c>
      <c r="G2379" s="57" t="s">
        <v>25</v>
      </c>
      <c r="H2379" s="57" t="s">
        <v>25</v>
      </c>
      <c r="I2379" s="82">
        <v>44440</v>
      </c>
      <c r="J2379" s="83">
        <f>EFEITO!$J$2379*EFEITO!$Y$2379</f>
        <v>0</v>
      </c>
      <c r="K2379" s="83">
        <f ca="1">EFEITO!$L$2379*EFEITO!$Z$2379</f>
        <v>120049.7616770249</v>
      </c>
      <c r="L2379" s="83">
        <f>EFEITO!$N$2379*EFEITO!$AA$2379</f>
        <v>70439.469120082664</v>
      </c>
      <c r="M2379" s="83">
        <f>$J$2379-EFEITO!$K$2379*EFEITO!$Y$2379</f>
        <v>0</v>
      </c>
      <c r="N2379" s="83">
        <f ca="1">$K$2379-EFEITO!$M$2379*EFEITO!$Z$2379</f>
        <v>0</v>
      </c>
      <c r="O2379" s="83">
        <f>$L$2379-EFEITO!$O$2379*EFEITO!$AA$2379</f>
        <v>0</v>
      </c>
      <c r="P2379" s="61"/>
      <c r="Q2379" s="61"/>
      <c r="R2379" s="61"/>
      <c r="S2379" s="61"/>
      <c r="T2379" s="61"/>
      <c r="U2379" s="61"/>
      <c r="V2379" s="61"/>
      <c r="W2379" s="61"/>
      <c r="X2379" s="6"/>
      <c r="Y2379" s="6"/>
      <c r="Z2379" s="6"/>
      <c r="AA2379" s="6"/>
      <c r="AB2379" s="6"/>
      <c r="AC2379" s="6"/>
      <c r="AD2379" s="6"/>
      <c r="AE2379" s="6"/>
      <c r="AF2379" s="6"/>
      <c r="AG2379" s="6"/>
      <c r="AH2379" s="6"/>
      <c r="AI2379" s="6"/>
      <c r="AJ2379" s="6"/>
    </row>
    <row r="2380" spans="1:36" ht="11.25" customHeight="1" x14ac:dyDescent="0.2">
      <c r="A2380" s="57" t="s">
        <v>59</v>
      </c>
      <c r="B2380" s="57" t="s">
        <v>41</v>
      </c>
      <c r="C2380" s="57" t="s">
        <v>23</v>
      </c>
      <c r="D2380" s="57" t="s">
        <v>54</v>
      </c>
      <c r="E2380" s="57" t="s">
        <v>25</v>
      </c>
      <c r="F2380" s="57" t="s">
        <v>25</v>
      </c>
      <c r="G2380" s="57" t="s">
        <v>25</v>
      </c>
      <c r="H2380" s="57" t="s">
        <v>25</v>
      </c>
      <c r="I2380" s="82">
        <v>44470</v>
      </c>
      <c r="J2380" s="83">
        <f>EFEITO!$J$2380*EFEITO!$Y$2380</f>
        <v>0</v>
      </c>
      <c r="K2380" s="83">
        <f ca="1">EFEITO!$L$2380*EFEITO!$Z$2380</f>
        <v>264264.06554580556</v>
      </c>
      <c r="L2380" s="83">
        <f>EFEITO!$N$2380*EFEITO!$AA$2380</f>
        <v>155057.53801195367</v>
      </c>
      <c r="M2380" s="83">
        <f>$J$2380-EFEITO!$K$2380*EFEITO!$Y$2380</f>
        <v>0</v>
      </c>
      <c r="N2380" s="83">
        <f ca="1">$K$2380-EFEITO!$M$2380*EFEITO!$Z$2380</f>
        <v>0</v>
      </c>
      <c r="O2380" s="83">
        <f>$L$2380-EFEITO!$O$2380*EFEITO!$AA$2380</f>
        <v>0</v>
      </c>
      <c r="P2380" s="61"/>
      <c r="Q2380" s="61"/>
      <c r="R2380" s="61"/>
      <c r="S2380" s="61"/>
      <c r="T2380" s="61"/>
      <c r="U2380" s="61"/>
      <c r="V2380" s="61"/>
      <c r="W2380" s="61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</row>
    <row r="2381" spans="1:36" ht="11.25" customHeight="1" x14ac:dyDescent="0.2">
      <c r="A2381" s="57" t="s">
        <v>59</v>
      </c>
      <c r="B2381" s="57" t="s">
        <v>41</v>
      </c>
      <c r="C2381" s="57" t="s">
        <v>23</v>
      </c>
      <c r="D2381" s="57" t="s">
        <v>54</v>
      </c>
      <c r="E2381" s="57" t="s">
        <v>25</v>
      </c>
      <c r="F2381" s="57" t="s">
        <v>25</v>
      </c>
      <c r="G2381" s="57" t="s">
        <v>25</v>
      </c>
      <c r="H2381" s="57" t="s">
        <v>25</v>
      </c>
      <c r="I2381" s="82">
        <v>44470</v>
      </c>
      <c r="J2381" s="83">
        <f>EFEITO!$J$2381*EFEITO!$Y$2381</f>
        <v>0</v>
      </c>
      <c r="K2381" s="83">
        <f ca="1">EFEITO!$L$2381*EFEITO!$Z$2381</f>
        <v>120049.7616770249</v>
      </c>
      <c r="L2381" s="83">
        <f>EFEITO!$N$2381*EFEITO!$AA$2381</f>
        <v>70439.469120082664</v>
      </c>
      <c r="M2381" s="83">
        <f>$J$2381-EFEITO!$K$2381*EFEITO!$Y$2381</f>
        <v>0</v>
      </c>
      <c r="N2381" s="83">
        <f ca="1">$K$2381-EFEITO!$M$2381*EFEITO!$Z$2381</f>
        <v>0</v>
      </c>
      <c r="O2381" s="83">
        <f>$L$2381-EFEITO!$O$2381*EFEITO!$AA$2381</f>
        <v>0</v>
      </c>
      <c r="P2381" s="61"/>
      <c r="Q2381" s="61"/>
      <c r="R2381" s="61"/>
      <c r="S2381" s="61"/>
      <c r="T2381" s="61"/>
      <c r="U2381" s="61"/>
      <c r="V2381" s="61"/>
      <c r="W2381" s="61"/>
      <c r="X2381" s="6"/>
      <c r="Y2381" s="6"/>
      <c r="Z2381" s="6"/>
      <c r="AA2381" s="6"/>
      <c r="AB2381" s="6"/>
      <c r="AC2381" s="6"/>
      <c r="AD2381" s="6"/>
      <c r="AE2381" s="6"/>
      <c r="AF2381" s="6"/>
      <c r="AG2381" s="6"/>
      <c r="AH2381" s="6"/>
      <c r="AI2381" s="6"/>
      <c r="AJ2381" s="6"/>
    </row>
    <row r="2382" spans="1:36" ht="11.25" customHeight="1" x14ac:dyDescent="0.2">
      <c r="A2382" s="57" t="s">
        <v>21</v>
      </c>
      <c r="B2382" s="57" t="s">
        <v>41</v>
      </c>
      <c r="C2382" s="57" t="s">
        <v>23</v>
      </c>
      <c r="D2382" s="57" t="s">
        <v>42</v>
      </c>
      <c r="E2382" s="57" t="s">
        <v>25</v>
      </c>
      <c r="F2382" s="57" t="s">
        <v>25</v>
      </c>
      <c r="G2382" s="57" t="s">
        <v>25</v>
      </c>
      <c r="H2382" s="57" t="s">
        <v>25</v>
      </c>
      <c r="I2382" s="82">
        <v>44136</v>
      </c>
      <c r="J2382" s="83">
        <f>EFEITO!$J$2382*EFEITO!$Y$2382</f>
        <v>0</v>
      </c>
      <c r="K2382" s="83">
        <f ca="1">EFEITO!$L$2382*EFEITO!$Z$2382</f>
        <v>1094120.8517587921</v>
      </c>
      <c r="L2382" s="83">
        <f>EFEITO!$N$2382*EFEITO!$AA$2382</f>
        <v>641977.88379159675</v>
      </c>
      <c r="M2382" s="83">
        <f>$J$2382-EFEITO!$K$2382*EFEITO!$Y$2382</f>
        <v>0</v>
      </c>
      <c r="N2382" s="83">
        <f ca="1">$K$2382-EFEITO!$M$2382*EFEITO!$Z$2382</f>
        <v>0</v>
      </c>
      <c r="O2382" s="83">
        <f>$L$2382-EFEITO!$O$2382*EFEITO!$AA$2382</f>
        <v>0</v>
      </c>
      <c r="P2382" s="61"/>
      <c r="Q2382" s="61"/>
      <c r="R2382" s="61"/>
      <c r="S2382" s="61"/>
      <c r="T2382" s="61"/>
      <c r="U2382" s="61"/>
      <c r="V2382" s="61"/>
      <c r="W2382" s="61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</row>
    <row r="2383" spans="1:36" ht="11.25" customHeight="1" x14ac:dyDescent="0.2">
      <c r="A2383" s="57" t="s">
        <v>27</v>
      </c>
      <c r="B2383" s="57" t="s">
        <v>41</v>
      </c>
      <c r="C2383" s="57" t="s">
        <v>23</v>
      </c>
      <c r="D2383" s="57" t="s">
        <v>42</v>
      </c>
      <c r="E2383" s="57" t="s">
        <v>25</v>
      </c>
      <c r="F2383" s="57" t="s">
        <v>25</v>
      </c>
      <c r="G2383" s="57" t="s">
        <v>25</v>
      </c>
      <c r="H2383" s="57" t="s">
        <v>25</v>
      </c>
      <c r="I2383" s="82">
        <v>44136</v>
      </c>
      <c r="J2383" s="83">
        <f>EFEITO!$J$2383*EFEITO!$Y$2383</f>
        <v>0</v>
      </c>
      <c r="K2383" s="83">
        <f ca="1">EFEITO!$L$2383*EFEITO!$Z$2383</f>
        <v>-67871.126480061735</v>
      </c>
      <c r="L2383" s="83">
        <f>EFEITO!$N$2383*EFEITO!$AA$2383</f>
        <v>-39823.536932122734</v>
      </c>
      <c r="M2383" s="83">
        <f>$J$2383-EFEITO!$K$2383*EFEITO!$Y$2383</f>
        <v>0</v>
      </c>
      <c r="N2383" s="83">
        <f ca="1">$K$2383-EFEITO!$M$2383*EFEITO!$Z$2383</f>
        <v>0</v>
      </c>
      <c r="O2383" s="83">
        <f>$L$2383-EFEITO!$O$2383*EFEITO!$AA$2383</f>
        <v>0</v>
      </c>
      <c r="P2383" s="61"/>
      <c r="Q2383" s="61"/>
      <c r="R2383" s="61"/>
      <c r="S2383" s="61"/>
      <c r="T2383" s="61"/>
      <c r="U2383" s="61"/>
      <c r="V2383" s="61"/>
      <c r="W2383" s="61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/>
      <c r="AJ2383" s="6"/>
    </row>
    <row r="2384" spans="1:36" ht="11.25" customHeight="1" x14ac:dyDescent="0.2">
      <c r="A2384" s="57" t="s">
        <v>28</v>
      </c>
      <c r="B2384" s="57" t="s">
        <v>41</v>
      </c>
      <c r="C2384" s="57" t="s">
        <v>23</v>
      </c>
      <c r="D2384" s="57" t="s">
        <v>42</v>
      </c>
      <c r="E2384" s="57" t="s">
        <v>25</v>
      </c>
      <c r="F2384" s="57" t="s">
        <v>25</v>
      </c>
      <c r="G2384" s="57" t="s">
        <v>25</v>
      </c>
      <c r="H2384" s="57" t="s">
        <v>25</v>
      </c>
      <c r="I2384" s="82">
        <v>44136</v>
      </c>
      <c r="J2384" s="83">
        <f>EFEITO!$J$2384*EFEITO!$Y$2384</f>
        <v>0</v>
      </c>
      <c r="K2384" s="83">
        <f ca="1">EFEITO!$L$2384*EFEITO!$Z$2384</f>
        <v>535673.60652915889</v>
      </c>
      <c r="L2384" s="83">
        <f>EFEITO!$N$2384*EFEITO!$AA$2384</f>
        <v>314307.6998942119</v>
      </c>
      <c r="M2384" s="83">
        <f>$J$2384-EFEITO!$K$2384*EFEITO!$Y$2384</f>
        <v>0</v>
      </c>
      <c r="N2384" s="83">
        <f ca="1">$K$2384-EFEITO!$M$2384*EFEITO!$Z$2384</f>
        <v>0</v>
      </c>
      <c r="O2384" s="83">
        <f>$L$2384-EFEITO!$O$2384*EFEITO!$AA$2384</f>
        <v>0</v>
      </c>
      <c r="P2384" s="61"/>
      <c r="Q2384" s="61"/>
      <c r="R2384" s="61"/>
      <c r="S2384" s="61"/>
      <c r="T2384" s="61"/>
      <c r="U2384" s="61"/>
      <c r="V2384" s="61"/>
      <c r="W2384" s="61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</row>
    <row r="2385" spans="1:36" ht="11.25" customHeight="1" x14ac:dyDescent="0.2">
      <c r="A2385" s="57" t="s">
        <v>29</v>
      </c>
      <c r="B2385" s="57" t="s">
        <v>41</v>
      </c>
      <c r="C2385" s="57" t="s">
        <v>23</v>
      </c>
      <c r="D2385" s="57" t="s">
        <v>42</v>
      </c>
      <c r="E2385" s="57" t="s">
        <v>25</v>
      </c>
      <c r="F2385" s="57" t="s">
        <v>25</v>
      </c>
      <c r="G2385" s="57" t="s">
        <v>25</v>
      </c>
      <c r="H2385" s="57" t="s">
        <v>25</v>
      </c>
      <c r="I2385" s="82">
        <v>44136</v>
      </c>
      <c r="J2385" s="83">
        <f>EFEITO!$J$2385*EFEITO!$Y$2385</f>
        <v>0</v>
      </c>
      <c r="K2385" s="83">
        <f ca="1">EFEITO!$L$2385*EFEITO!$Z$2385</f>
        <v>-1724.1935485512904</v>
      </c>
      <c r="L2385" s="83">
        <f>EFEITO!$N$2385*EFEITO!$AA$2385</f>
        <v>-1011.6744633527055</v>
      </c>
      <c r="M2385" s="83">
        <f>$J$2385-EFEITO!$K$2385*EFEITO!$Y$2385</f>
        <v>0</v>
      </c>
      <c r="N2385" s="83">
        <f ca="1">$K$2385-EFEITO!$M$2385*EFEITO!$Z$2385</f>
        <v>0</v>
      </c>
      <c r="O2385" s="83">
        <f>$L$2385-EFEITO!$O$2385*EFEITO!$AA$2385</f>
        <v>0</v>
      </c>
      <c r="P2385" s="61"/>
      <c r="Q2385" s="61"/>
      <c r="R2385" s="61"/>
      <c r="S2385" s="61"/>
      <c r="T2385" s="61"/>
      <c r="U2385" s="61"/>
      <c r="V2385" s="61"/>
      <c r="W2385" s="61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/>
      <c r="AJ2385" s="6"/>
    </row>
    <row r="2386" spans="1:36" ht="11.25" customHeight="1" x14ac:dyDescent="0.2">
      <c r="A2386" s="57" t="s">
        <v>30</v>
      </c>
      <c r="B2386" s="57" t="s">
        <v>41</v>
      </c>
      <c r="C2386" s="57" t="s">
        <v>23</v>
      </c>
      <c r="D2386" s="57" t="s">
        <v>42</v>
      </c>
      <c r="E2386" s="57" t="s">
        <v>25</v>
      </c>
      <c r="F2386" s="57" t="s">
        <v>25</v>
      </c>
      <c r="G2386" s="57" t="s">
        <v>25</v>
      </c>
      <c r="H2386" s="57" t="s">
        <v>25</v>
      </c>
      <c r="I2386" s="82">
        <v>44136</v>
      </c>
      <c r="J2386" s="83">
        <f>EFEITO!$J$2386*EFEITO!$Y$2386</f>
        <v>0</v>
      </c>
      <c r="K2386" s="83">
        <f ca="1">EFEITO!$L$2386*EFEITO!$Z$2386</f>
        <v>22032.600168884848</v>
      </c>
      <c r="L2386" s="83">
        <f>EFEITO!$N$2386*EFEITO!$AA$2386</f>
        <v>12927.677969129254</v>
      </c>
      <c r="M2386" s="83">
        <f>$J$2386-EFEITO!$K$2386*EFEITO!$Y$2386</f>
        <v>0</v>
      </c>
      <c r="N2386" s="83">
        <f ca="1">$K$2386-EFEITO!$M$2386*EFEITO!$Z$2386</f>
        <v>0</v>
      </c>
      <c r="O2386" s="83">
        <f>$L$2386-EFEITO!$O$2386*EFEITO!$AA$2386</f>
        <v>0</v>
      </c>
      <c r="P2386" s="61"/>
      <c r="Q2386" s="61"/>
      <c r="R2386" s="61"/>
      <c r="S2386" s="61"/>
      <c r="T2386" s="61"/>
      <c r="U2386" s="61"/>
      <c r="V2386" s="61"/>
      <c r="W2386" s="61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/>
      <c r="AJ2386" s="6"/>
    </row>
    <row r="2387" spans="1:36" ht="11.25" customHeight="1" x14ac:dyDescent="0.2">
      <c r="A2387" s="57" t="s">
        <v>21</v>
      </c>
      <c r="B2387" s="57" t="s">
        <v>41</v>
      </c>
      <c r="C2387" s="57" t="s">
        <v>23</v>
      </c>
      <c r="D2387" s="57" t="s">
        <v>42</v>
      </c>
      <c r="E2387" s="57" t="s">
        <v>25</v>
      </c>
      <c r="F2387" s="57" t="s">
        <v>25</v>
      </c>
      <c r="G2387" s="57" t="s">
        <v>25</v>
      </c>
      <c r="H2387" s="57" t="s">
        <v>25</v>
      </c>
      <c r="I2387" s="82">
        <v>44166</v>
      </c>
      <c r="J2387" s="83">
        <f>EFEITO!$J$2387*EFEITO!$Y$2387</f>
        <v>0</v>
      </c>
      <c r="K2387" s="83">
        <f ca="1">EFEITO!$L$2387*EFEITO!$Z$2387</f>
        <v>1061379.9155705411</v>
      </c>
      <c r="L2387" s="83">
        <f>EFEITO!$N$2387*EFEITO!$AA$2387</f>
        <v>622767.06544945354</v>
      </c>
      <c r="M2387" s="83">
        <f>$J$2387-EFEITO!$K$2387*EFEITO!$Y$2387</f>
        <v>0</v>
      </c>
      <c r="N2387" s="83">
        <f ca="1">$K$2387-EFEITO!$M$2387*EFEITO!$Z$2387</f>
        <v>0</v>
      </c>
      <c r="O2387" s="83">
        <f>$L$2387-EFEITO!$O$2387*EFEITO!$AA$2387</f>
        <v>0</v>
      </c>
      <c r="P2387" s="61"/>
      <c r="Q2387" s="61"/>
      <c r="R2387" s="61"/>
      <c r="S2387" s="61"/>
      <c r="T2387" s="61"/>
      <c r="U2387" s="61"/>
      <c r="V2387" s="61"/>
      <c r="W2387" s="61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</row>
    <row r="2388" spans="1:36" ht="11.25" customHeight="1" x14ac:dyDescent="0.2">
      <c r="A2388" s="57" t="s">
        <v>27</v>
      </c>
      <c r="B2388" s="57" t="s">
        <v>41</v>
      </c>
      <c r="C2388" s="57" t="s">
        <v>23</v>
      </c>
      <c r="D2388" s="57" t="s">
        <v>42</v>
      </c>
      <c r="E2388" s="57" t="s">
        <v>25</v>
      </c>
      <c r="F2388" s="57" t="s">
        <v>25</v>
      </c>
      <c r="G2388" s="57" t="s">
        <v>25</v>
      </c>
      <c r="H2388" s="57" t="s">
        <v>25</v>
      </c>
      <c r="I2388" s="82">
        <v>44166</v>
      </c>
      <c r="J2388" s="83">
        <f>EFEITO!$J$2388*EFEITO!$Y$2388</f>
        <v>0</v>
      </c>
      <c r="K2388" s="83">
        <f ca="1">EFEITO!$L$2388*EFEITO!$Z$2388</f>
        <v>-181819.3501177656</v>
      </c>
      <c r="L2388" s="83">
        <f>EFEITO!$N$2388*EFEITO!$AA$2388</f>
        <v>-106682.91481085797</v>
      </c>
      <c r="M2388" s="83">
        <f>$J$2388-EFEITO!$K$2388*EFEITO!$Y$2388</f>
        <v>0</v>
      </c>
      <c r="N2388" s="83">
        <f ca="1">$K$2388-EFEITO!$M$2388*EFEITO!$Z$2388</f>
        <v>0</v>
      </c>
      <c r="O2388" s="83">
        <f>$L$2388-EFEITO!$O$2388*EFEITO!$AA$2388</f>
        <v>0</v>
      </c>
      <c r="P2388" s="61"/>
      <c r="Q2388" s="61"/>
      <c r="R2388" s="61"/>
      <c r="S2388" s="61"/>
      <c r="T2388" s="61"/>
      <c r="U2388" s="61"/>
      <c r="V2388" s="61"/>
      <c r="W2388" s="61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</row>
    <row r="2389" spans="1:36" ht="11.25" customHeight="1" x14ac:dyDescent="0.2">
      <c r="A2389" s="57" t="s">
        <v>28</v>
      </c>
      <c r="B2389" s="57" t="s">
        <v>41</v>
      </c>
      <c r="C2389" s="57" t="s">
        <v>23</v>
      </c>
      <c r="D2389" s="57" t="s">
        <v>42</v>
      </c>
      <c r="E2389" s="57" t="s">
        <v>25</v>
      </c>
      <c r="F2389" s="57" t="s">
        <v>25</v>
      </c>
      <c r="G2389" s="57" t="s">
        <v>25</v>
      </c>
      <c r="H2389" s="57" t="s">
        <v>25</v>
      </c>
      <c r="I2389" s="82">
        <v>44166</v>
      </c>
      <c r="J2389" s="83">
        <f>EFEITO!$J$2389*EFEITO!$Y$2389</f>
        <v>0</v>
      </c>
      <c r="K2389" s="83">
        <f ca="1">EFEITO!$L$2389*EFEITO!$Z$2389</f>
        <v>516643.65599476645</v>
      </c>
      <c r="L2389" s="83">
        <f>EFEITO!$N$2389*EFEITO!$AA$2389</f>
        <v>303141.83338770154</v>
      </c>
      <c r="M2389" s="83">
        <f>$J$2389-EFEITO!$K$2389*EFEITO!$Y$2389</f>
        <v>0</v>
      </c>
      <c r="N2389" s="83">
        <f ca="1">$K$2389-EFEITO!$M$2389*EFEITO!$Z$2389</f>
        <v>0</v>
      </c>
      <c r="O2389" s="83">
        <f>$L$2389-EFEITO!$O$2389*EFEITO!$AA$2389</f>
        <v>0</v>
      </c>
      <c r="P2389" s="61"/>
      <c r="Q2389" s="61"/>
      <c r="R2389" s="61"/>
      <c r="S2389" s="61"/>
      <c r="T2389" s="61"/>
      <c r="U2389" s="61"/>
      <c r="V2389" s="61"/>
      <c r="W2389" s="61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</row>
    <row r="2390" spans="1:36" ht="11.25" customHeight="1" x14ac:dyDescent="0.2">
      <c r="A2390" s="57" t="s">
        <v>29</v>
      </c>
      <c r="B2390" s="57" t="s">
        <v>41</v>
      </c>
      <c r="C2390" s="57" t="s">
        <v>23</v>
      </c>
      <c r="D2390" s="57" t="s">
        <v>42</v>
      </c>
      <c r="E2390" s="57" t="s">
        <v>25</v>
      </c>
      <c r="F2390" s="57" t="s">
        <v>25</v>
      </c>
      <c r="G2390" s="57" t="s">
        <v>25</v>
      </c>
      <c r="H2390" s="57" t="s">
        <v>25</v>
      </c>
      <c r="I2390" s="82">
        <v>44166</v>
      </c>
      <c r="J2390" s="83">
        <f>EFEITO!$J$2390*EFEITO!$Y$2390</f>
        <v>0</v>
      </c>
      <c r="K2390" s="83">
        <f ca="1">EFEITO!$L$2390*EFEITO!$Z$2390</f>
        <v>-7800.9121155224511</v>
      </c>
      <c r="L2390" s="83">
        <f>EFEITO!$N$2390*EFEITO!$AA$2390</f>
        <v>-4577.2028231771501</v>
      </c>
      <c r="M2390" s="83">
        <f>$J$2390-EFEITO!$K$2390*EFEITO!$Y$2390</f>
        <v>0</v>
      </c>
      <c r="N2390" s="83">
        <f ca="1">$K$2390-EFEITO!$M$2390*EFEITO!$Z$2390</f>
        <v>0</v>
      </c>
      <c r="O2390" s="83">
        <f>$L$2390-EFEITO!$O$2390*EFEITO!$AA$2390</f>
        <v>0</v>
      </c>
      <c r="P2390" s="61"/>
      <c r="Q2390" s="61"/>
      <c r="R2390" s="61"/>
      <c r="S2390" s="61"/>
      <c r="T2390" s="61"/>
      <c r="U2390" s="61"/>
      <c r="V2390" s="61"/>
      <c r="W2390" s="61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</row>
    <row r="2391" spans="1:36" ht="11.25" customHeight="1" x14ac:dyDescent="0.2">
      <c r="A2391" s="57" t="s">
        <v>30</v>
      </c>
      <c r="B2391" s="57" t="s">
        <v>41</v>
      </c>
      <c r="C2391" s="57" t="s">
        <v>23</v>
      </c>
      <c r="D2391" s="57" t="s">
        <v>42</v>
      </c>
      <c r="E2391" s="57" t="s">
        <v>25</v>
      </c>
      <c r="F2391" s="57" t="s">
        <v>25</v>
      </c>
      <c r="G2391" s="57" t="s">
        <v>25</v>
      </c>
      <c r="H2391" s="57" t="s">
        <v>25</v>
      </c>
      <c r="I2391" s="82">
        <v>44166</v>
      </c>
      <c r="J2391" s="83">
        <f>EFEITO!$J$2391*EFEITO!$Y$2391</f>
        <v>0</v>
      </c>
      <c r="K2391" s="83">
        <f ca="1">EFEITO!$L$2391*EFEITO!$Z$2391</f>
        <v>19729.454438784171</v>
      </c>
      <c r="L2391" s="83">
        <f>EFEITO!$N$2391*EFEITO!$AA$2391</f>
        <v>11576.30200412786</v>
      </c>
      <c r="M2391" s="83">
        <f>$J$2391-EFEITO!$K$2391*EFEITO!$Y$2391</f>
        <v>0</v>
      </c>
      <c r="N2391" s="83">
        <f ca="1">$K$2391-EFEITO!$M$2391*EFEITO!$Z$2391</f>
        <v>0</v>
      </c>
      <c r="O2391" s="83">
        <f>$L$2391-EFEITO!$O$2391*EFEITO!$AA$2391</f>
        <v>0</v>
      </c>
      <c r="P2391" s="61"/>
      <c r="Q2391" s="61"/>
      <c r="R2391" s="61"/>
      <c r="S2391" s="61"/>
      <c r="T2391" s="61"/>
      <c r="U2391" s="61"/>
      <c r="V2391" s="61"/>
      <c r="W2391" s="61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</row>
    <row r="2392" spans="1:36" ht="11.25" customHeight="1" x14ac:dyDescent="0.2">
      <c r="A2392" s="57" t="s">
        <v>21</v>
      </c>
      <c r="B2392" s="57" t="s">
        <v>41</v>
      </c>
      <c r="C2392" s="57" t="s">
        <v>23</v>
      </c>
      <c r="D2392" s="57" t="s">
        <v>42</v>
      </c>
      <c r="E2392" s="57" t="s">
        <v>25</v>
      </c>
      <c r="F2392" s="57" t="s">
        <v>25</v>
      </c>
      <c r="G2392" s="57" t="s">
        <v>25</v>
      </c>
      <c r="H2392" s="57" t="s">
        <v>25</v>
      </c>
      <c r="I2392" s="82">
        <v>44197</v>
      </c>
      <c r="J2392" s="83">
        <f>EFEITO!$J$2392*EFEITO!$Y$2392</f>
        <v>0</v>
      </c>
      <c r="K2392" s="83">
        <f ca="1">EFEITO!$L$2392*EFEITO!$Z$2392</f>
        <v>904749.79728869081</v>
      </c>
      <c r="L2392" s="83">
        <f>EFEITO!$N$2392*EFEITO!$AA$2392</f>
        <v>530863.98937611911</v>
      </c>
      <c r="M2392" s="83">
        <f>$J$2392-EFEITO!$K$2392*EFEITO!$Y$2392</f>
        <v>0</v>
      </c>
      <c r="N2392" s="83">
        <f ca="1">$K$2392-EFEITO!$M$2392*EFEITO!$Z$2392</f>
        <v>0</v>
      </c>
      <c r="O2392" s="83">
        <f>$L$2392-EFEITO!$O$2392*EFEITO!$AA$2392</f>
        <v>0</v>
      </c>
      <c r="P2392" s="61"/>
      <c r="Q2392" s="61"/>
      <c r="R2392" s="61"/>
      <c r="S2392" s="61"/>
      <c r="T2392" s="61"/>
      <c r="U2392" s="61"/>
      <c r="V2392" s="61"/>
      <c r="W2392" s="61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</row>
    <row r="2393" spans="1:36" ht="11.25" customHeight="1" x14ac:dyDescent="0.2">
      <c r="A2393" s="57" t="s">
        <v>27</v>
      </c>
      <c r="B2393" s="57" t="s">
        <v>41</v>
      </c>
      <c r="C2393" s="57" t="s">
        <v>23</v>
      </c>
      <c r="D2393" s="57" t="s">
        <v>42</v>
      </c>
      <c r="E2393" s="57" t="s">
        <v>25</v>
      </c>
      <c r="F2393" s="57" t="s">
        <v>25</v>
      </c>
      <c r="G2393" s="57" t="s">
        <v>25</v>
      </c>
      <c r="H2393" s="57" t="s">
        <v>25</v>
      </c>
      <c r="I2393" s="82">
        <v>44197</v>
      </c>
      <c r="J2393" s="83">
        <f>EFEITO!$J$2393*EFEITO!$Y$2393</f>
        <v>0</v>
      </c>
      <c r="K2393" s="83">
        <f ca="1">EFEITO!$L$2393*EFEITO!$Z$2393</f>
        <v>-27215.311211416225</v>
      </c>
      <c r="L2393" s="83">
        <f>EFEITO!$N$2393*EFEITO!$AA$2393</f>
        <v>-15968.645392462064</v>
      </c>
      <c r="M2393" s="83">
        <f>$J$2393-EFEITO!$K$2393*EFEITO!$Y$2393</f>
        <v>0</v>
      </c>
      <c r="N2393" s="83">
        <f ca="1">$K$2393-EFEITO!$M$2393*EFEITO!$Z$2393</f>
        <v>0</v>
      </c>
      <c r="O2393" s="83">
        <f>$L$2393-EFEITO!$O$2393*EFEITO!$AA$2393</f>
        <v>0</v>
      </c>
      <c r="P2393" s="61"/>
      <c r="Q2393" s="61"/>
      <c r="R2393" s="61"/>
      <c r="S2393" s="61"/>
      <c r="T2393" s="61"/>
      <c r="U2393" s="61"/>
      <c r="V2393" s="61"/>
      <c r="W2393" s="61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/>
      <c r="AJ2393" s="6"/>
    </row>
    <row r="2394" spans="1:36" ht="11.25" customHeight="1" x14ac:dyDescent="0.2">
      <c r="A2394" s="57" t="s">
        <v>28</v>
      </c>
      <c r="B2394" s="57" t="s">
        <v>41</v>
      </c>
      <c r="C2394" s="57" t="s">
        <v>23</v>
      </c>
      <c r="D2394" s="57" t="s">
        <v>42</v>
      </c>
      <c r="E2394" s="57" t="s">
        <v>25</v>
      </c>
      <c r="F2394" s="57" t="s">
        <v>25</v>
      </c>
      <c r="G2394" s="57" t="s">
        <v>25</v>
      </c>
      <c r="H2394" s="57" t="s">
        <v>25</v>
      </c>
      <c r="I2394" s="82">
        <v>44197</v>
      </c>
      <c r="J2394" s="83">
        <f>EFEITO!$J$2394*EFEITO!$Y$2394</f>
        <v>0</v>
      </c>
      <c r="K2394" s="83">
        <f ca="1">EFEITO!$L$2394*EFEITO!$Z$2394</f>
        <v>455751.86644346151</v>
      </c>
      <c r="L2394" s="83">
        <f>EFEITO!$N$2394*EFEITO!$AA$2394</f>
        <v>267413.43818017835</v>
      </c>
      <c r="M2394" s="83">
        <f>$J$2394-EFEITO!$K$2394*EFEITO!$Y$2394</f>
        <v>0</v>
      </c>
      <c r="N2394" s="83">
        <f ca="1">$K$2394-EFEITO!$M$2394*EFEITO!$Z$2394</f>
        <v>0</v>
      </c>
      <c r="O2394" s="83">
        <f>$L$2394-EFEITO!$O$2394*EFEITO!$AA$2394</f>
        <v>0</v>
      </c>
      <c r="P2394" s="61"/>
      <c r="Q2394" s="61"/>
      <c r="R2394" s="61"/>
      <c r="S2394" s="61"/>
      <c r="T2394" s="61"/>
      <c r="U2394" s="61"/>
      <c r="V2394" s="61"/>
      <c r="W2394" s="61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/>
      <c r="AJ2394" s="6"/>
    </row>
    <row r="2395" spans="1:36" ht="11.25" customHeight="1" x14ac:dyDescent="0.2">
      <c r="A2395" s="57" t="s">
        <v>29</v>
      </c>
      <c r="B2395" s="57" t="s">
        <v>41</v>
      </c>
      <c r="C2395" s="57" t="s">
        <v>23</v>
      </c>
      <c r="D2395" s="57" t="s">
        <v>42</v>
      </c>
      <c r="E2395" s="57" t="s">
        <v>25</v>
      </c>
      <c r="F2395" s="57" t="s">
        <v>25</v>
      </c>
      <c r="G2395" s="57" t="s">
        <v>25</v>
      </c>
      <c r="H2395" s="57" t="s">
        <v>25</v>
      </c>
      <c r="I2395" s="82">
        <v>44197</v>
      </c>
      <c r="J2395" s="83">
        <f>EFEITO!$J$2395*EFEITO!$Y$2395</f>
        <v>0</v>
      </c>
      <c r="K2395" s="83">
        <f ca="1">EFEITO!$L$2395*EFEITO!$Z$2395</f>
        <v>-17975.376219444239</v>
      </c>
      <c r="L2395" s="83">
        <f>EFEITO!$N$2395*EFEITO!$AA$2395</f>
        <v>-10547.092642614811</v>
      </c>
      <c r="M2395" s="83">
        <f>$J$2395-EFEITO!$K$2395*EFEITO!$Y$2395</f>
        <v>0</v>
      </c>
      <c r="N2395" s="83">
        <f ca="1">$K$2395-EFEITO!$M$2395*EFEITO!$Z$2395</f>
        <v>0</v>
      </c>
      <c r="O2395" s="83">
        <f>$L$2395-EFEITO!$O$2395*EFEITO!$AA$2395</f>
        <v>0</v>
      </c>
      <c r="P2395" s="61"/>
      <c r="Q2395" s="61"/>
      <c r="R2395" s="61"/>
      <c r="S2395" s="61"/>
      <c r="T2395" s="61"/>
      <c r="U2395" s="61"/>
      <c r="V2395" s="61"/>
      <c r="W2395" s="61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/>
      <c r="AJ2395" s="6"/>
    </row>
    <row r="2396" spans="1:36" ht="11.25" customHeight="1" x14ac:dyDescent="0.2">
      <c r="A2396" s="57" t="s">
        <v>30</v>
      </c>
      <c r="B2396" s="57" t="s">
        <v>41</v>
      </c>
      <c r="C2396" s="57" t="s">
        <v>23</v>
      </c>
      <c r="D2396" s="57" t="s">
        <v>42</v>
      </c>
      <c r="E2396" s="57" t="s">
        <v>25</v>
      </c>
      <c r="F2396" s="57" t="s">
        <v>25</v>
      </c>
      <c r="G2396" s="57" t="s">
        <v>25</v>
      </c>
      <c r="H2396" s="57" t="s">
        <v>25</v>
      </c>
      <c r="I2396" s="82">
        <v>44197</v>
      </c>
      <c r="J2396" s="83">
        <f>EFEITO!$J$2396*EFEITO!$Y$2396</f>
        <v>0</v>
      </c>
      <c r="K2396" s="83">
        <f ca="1">EFEITO!$L$2396*EFEITO!$Z$2396</f>
        <v>19424.529492771278</v>
      </c>
      <c r="L2396" s="83">
        <f>EFEITO!$N$2396*EFEITO!$AA$2396</f>
        <v>11397.386602559607</v>
      </c>
      <c r="M2396" s="83">
        <f>$J$2396-EFEITO!$K$2396*EFEITO!$Y$2396</f>
        <v>0</v>
      </c>
      <c r="N2396" s="83">
        <f ca="1">$K$2396-EFEITO!$M$2396*EFEITO!$Z$2396</f>
        <v>0</v>
      </c>
      <c r="O2396" s="83">
        <f>$L$2396-EFEITO!$O$2396*EFEITO!$AA$2396</f>
        <v>0</v>
      </c>
      <c r="P2396" s="61"/>
      <c r="Q2396" s="61"/>
      <c r="R2396" s="61"/>
      <c r="S2396" s="61"/>
      <c r="T2396" s="61"/>
      <c r="U2396" s="61"/>
      <c r="V2396" s="61"/>
      <c r="W2396" s="61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</row>
    <row r="2397" spans="1:36" ht="11.25" customHeight="1" x14ac:dyDescent="0.2">
      <c r="A2397" s="57" t="s">
        <v>21</v>
      </c>
      <c r="B2397" s="57" t="s">
        <v>41</v>
      </c>
      <c r="C2397" s="57" t="s">
        <v>23</v>
      </c>
      <c r="D2397" s="57" t="s">
        <v>42</v>
      </c>
      <c r="E2397" s="57" t="s">
        <v>25</v>
      </c>
      <c r="F2397" s="57" t="s">
        <v>25</v>
      </c>
      <c r="G2397" s="57" t="s">
        <v>25</v>
      </c>
      <c r="H2397" s="57" t="s">
        <v>25</v>
      </c>
      <c r="I2397" s="82">
        <v>44228</v>
      </c>
      <c r="J2397" s="83">
        <f>EFEITO!$J$2397*EFEITO!$Y$2397</f>
        <v>0</v>
      </c>
      <c r="K2397" s="83">
        <f ca="1">EFEITO!$L$2397*EFEITO!$Z$2397</f>
        <v>834290.35440642666</v>
      </c>
      <c r="L2397" s="83">
        <f>EFEITO!$N$2397*EFEITO!$AA$2397</f>
        <v>489521.7519423124</v>
      </c>
      <c r="M2397" s="83">
        <f>$J$2397-EFEITO!$K$2397*EFEITO!$Y$2397</f>
        <v>0</v>
      </c>
      <c r="N2397" s="83">
        <f ca="1">$K$2397-EFEITO!$M$2397*EFEITO!$Z$2397</f>
        <v>0</v>
      </c>
      <c r="O2397" s="83">
        <f>$L$2397-EFEITO!$O$2397*EFEITO!$AA$2397</f>
        <v>0</v>
      </c>
      <c r="P2397" s="61"/>
      <c r="Q2397" s="61"/>
      <c r="R2397" s="61"/>
      <c r="S2397" s="61"/>
      <c r="T2397" s="61"/>
      <c r="U2397" s="61"/>
      <c r="V2397" s="61"/>
      <c r="W2397" s="61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/>
      <c r="AJ2397" s="6"/>
    </row>
    <row r="2398" spans="1:36" ht="11.25" customHeight="1" x14ac:dyDescent="0.2">
      <c r="A2398" s="57" t="s">
        <v>27</v>
      </c>
      <c r="B2398" s="57" t="s">
        <v>41</v>
      </c>
      <c r="C2398" s="57" t="s">
        <v>23</v>
      </c>
      <c r="D2398" s="57" t="s">
        <v>42</v>
      </c>
      <c r="E2398" s="57" t="s">
        <v>25</v>
      </c>
      <c r="F2398" s="57" t="s">
        <v>25</v>
      </c>
      <c r="G2398" s="57" t="s">
        <v>25</v>
      </c>
      <c r="H2398" s="57" t="s">
        <v>25</v>
      </c>
      <c r="I2398" s="82">
        <v>44228</v>
      </c>
      <c r="J2398" s="83">
        <f>EFEITO!$J$2398*EFEITO!$Y$2398</f>
        <v>0</v>
      </c>
      <c r="K2398" s="83">
        <f ca="1">EFEITO!$L$2398*EFEITO!$Z$2398</f>
        <v>-88268.174073073475</v>
      </c>
      <c r="L2398" s="83">
        <f>EFEITO!$N$2398*EFEITO!$AA$2398</f>
        <v>-51791.550729052848</v>
      </c>
      <c r="M2398" s="83">
        <f>$J$2398-EFEITO!$K$2398*EFEITO!$Y$2398</f>
        <v>0</v>
      </c>
      <c r="N2398" s="83">
        <f ca="1">$K$2398-EFEITO!$M$2398*EFEITO!$Z$2398</f>
        <v>0</v>
      </c>
      <c r="O2398" s="83">
        <f>$L$2398-EFEITO!$O$2398*EFEITO!$AA$2398</f>
        <v>0</v>
      </c>
      <c r="P2398" s="61"/>
      <c r="Q2398" s="61"/>
      <c r="R2398" s="61"/>
      <c r="S2398" s="61"/>
      <c r="T2398" s="61"/>
      <c r="U2398" s="61"/>
      <c r="V2398" s="61"/>
      <c r="W2398" s="61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</row>
    <row r="2399" spans="1:36" ht="11.25" customHeight="1" x14ac:dyDescent="0.2">
      <c r="A2399" s="57" t="s">
        <v>28</v>
      </c>
      <c r="B2399" s="57" t="s">
        <v>41</v>
      </c>
      <c r="C2399" s="57" t="s">
        <v>23</v>
      </c>
      <c r="D2399" s="57" t="s">
        <v>42</v>
      </c>
      <c r="E2399" s="57" t="s">
        <v>25</v>
      </c>
      <c r="F2399" s="57" t="s">
        <v>25</v>
      </c>
      <c r="G2399" s="57" t="s">
        <v>25</v>
      </c>
      <c r="H2399" s="57" t="s">
        <v>25</v>
      </c>
      <c r="I2399" s="82">
        <v>44228</v>
      </c>
      <c r="J2399" s="83">
        <f>EFEITO!$J$2399*EFEITO!$Y$2399</f>
        <v>0</v>
      </c>
      <c r="K2399" s="83">
        <f ca="1">EFEITO!$L$2399*EFEITO!$Z$2399</f>
        <v>447372.50866623357</v>
      </c>
      <c r="L2399" s="83">
        <f>EFEITO!$N$2399*EFEITO!$AA$2399</f>
        <v>262496.83105701627</v>
      </c>
      <c r="M2399" s="83">
        <f>$J$2399-EFEITO!$K$2399*EFEITO!$Y$2399</f>
        <v>0</v>
      </c>
      <c r="N2399" s="83">
        <f ca="1">$K$2399-EFEITO!$M$2399*EFEITO!$Z$2399</f>
        <v>0</v>
      </c>
      <c r="O2399" s="83">
        <f>$L$2399-EFEITO!$O$2399*EFEITO!$AA$2399</f>
        <v>0</v>
      </c>
      <c r="P2399" s="61"/>
      <c r="Q2399" s="61"/>
      <c r="R2399" s="61"/>
      <c r="S2399" s="61"/>
      <c r="T2399" s="61"/>
      <c r="U2399" s="61"/>
      <c r="V2399" s="61"/>
      <c r="W2399" s="61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</row>
    <row r="2400" spans="1:36" ht="11.25" customHeight="1" x14ac:dyDescent="0.2">
      <c r="A2400" s="57" t="s">
        <v>29</v>
      </c>
      <c r="B2400" s="57" t="s">
        <v>41</v>
      </c>
      <c r="C2400" s="57" t="s">
        <v>23</v>
      </c>
      <c r="D2400" s="57" t="s">
        <v>42</v>
      </c>
      <c r="E2400" s="57" t="s">
        <v>25</v>
      </c>
      <c r="F2400" s="57" t="s">
        <v>25</v>
      </c>
      <c r="G2400" s="57" t="s">
        <v>25</v>
      </c>
      <c r="H2400" s="57" t="s">
        <v>25</v>
      </c>
      <c r="I2400" s="82">
        <v>44228</v>
      </c>
      <c r="J2400" s="83">
        <f>EFEITO!$J$2400*EFEITO!$Y$2400</f>
        <v>0</v>
      </c>
      <c r="K2400" s="83">
        <f ca="1">EFEITO!$L$2400*EFEITO!$Z$2400</f>
        <v>-52972.858312159529</v>
      </c>
      <c r="L2400" s="83">
        <f>EFEITO!$N$2400*EFEITO!$AA$2400</f>
        <v>-31081.944396695842</v>
      </c>
      <c r="M2400" s="83">
        <f>$J$2400-EFEITO!$K$2400*EFEITO!$Y$2400</f>
        <v>0</v>
      </c>
      <c r="N2400" s="83">
        <f ca="1">$K$2400-EFEITO!$M$2400*EFEITO!$Z$2400</f>
        <v>0</v>
      </c>
      <c r="O2400" s="83">
        <f>$L$2400-EFEITO!$O$2400*EFEITO!$AA$2400</f>
        <v>0</v>
      </c>
      <c r="P2400" s="61"/>
      <c r="Q2400" s="61"/>
      <c r="R2400" s="61"/>
      <c r="S2400" s="61"/>
      <c r="T2400" s="61"/>
      <c r="U2400" s="61"/>
      <c r="V2400" s="61"/>
      <c r="W2400" s="61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</row>
    <row r="2401" spans="1:36" ht="11.25" customHeight="1" x14ac:dyDescent="0.2">
      <c r="A2401" s="57" t="s">
        <v>30</v>
      </c>
      <c r="B2401" s="57" t="s">
        <v>41</v>
      </c>
      <c r="C2401" s="57" t="s">
        <v>23</v>
      </c>
      <c r="D2401" s="57" t="s">
        <v>42</v>
      </c>
      <c r="E2401" s="57" t="s">
        <v>25</v>
      </c>
      <c r="F2401" s="57" t="s">
        <v>25</v>
      </c>
      <c r="G2401" s="57" t="s">
        <v>25</v>
      </c>
      <c r="H2401" s="57" t="s">
        <v>25</v>
      </c>
      <c r="I2401" s="82">
        <v>44228</v>
      </c>
      <c r="J2401" s="83">
        <f>EFEITO!$J$2401*EFEITO!$Y$2401</f>
        <v>0</v>
      </c>
      <c r="K2401" s="83">
        <f ca="1">EFEITO!$L$2401*EFEITO!$Z$2401</f>
        <v>17427.32174837124</v>
      </c>
      <c r="L2401" s="83">
        <f>EFEITO!$N$2401*EFEITO!$AA$2401</f>
        <v>10225.520442453932</v>
      </c>
      <c r="M2401" s="83">
        <f>$J$2401-EFEITO!$K$2401*EFEITO!$Y$2401</f>
        <v>0</v>
      </c>
      <c r="N2401" s="83">
        <f ca="1">$K$2401-EFEITO!$M$2401*EFEITO!$Z$2401</f>
        <v>0</v>
      </c>
      <c r="O2401" s="83">
        <f>$L$2401-EFEITO!$O$2401*EFEITO!$AA$2401</f>
        <v>0</v>
      </c>
      <c r="P2401" s="61"/>
      <c r="Q2401" s="61"/>
      <c r="R2401" s="61"/>
      <c r="S2401" s="61"/>
      <c r="T2401" s="61"/>
      <c r="U2401" s="61"/>
      <c r="V2401" s="61"/>
      <c r="W2401" s="61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/>
      <c r="AJ2401" s="6"/>
    </row>
    <row r="2402" spans="1:36" ht="11.25" customHeight="1" x14ac:dyDescent="0.2">
      <c r="A2402" s="57" t="s">
        <v>21</v>
      </c>
      <c r="B2402" s="57" t="s">
        <v>41</v>
      </c>
      <c r="C2402" s="57" t="s">
        <v>23</v>
      </c>
      <c r="D2402" s="57" t="s">
        <v>42</v>
      </c>
      <c r="E2402" s="57" t="s">
        <v>25</v>
      </c>
      <c r="F2402" s="57" t="s">
        <v>25</v>
      </c>
      <c r="G2402" s="57" t="s">
        <v>25</v>
      </c>
      <c r="H2402" s="57" t="s">
        <v>25</v>
      </c>
      <c r="I2402" s="82">
        <v>44256</v>
      </c>
      <c r="J2402" s="83">
        <f>EFEITO!$J$2402*EFEITO!$Y$2402</f>
        <v>0</v>
      </c>
      <c r="K2402" s="83">
        <f ca="1">EFEITO!$L$2402*EFEITO!$Z$2402</f>
        <v>1147023.3038126531</v>
      </c>
      <c r="L2402" s="83">
        <f>EFEITO!$N$2402*EFEITO!$AA$2402</f>
        <v>673018.51715703355</v>
      </c>
      <c r="M2402" s="83">
        <f>$J$2402-EFEITO!$K$2402*EFEITO!$Y$2402</f>
        <v>0</v>
      </c>
      <c r="N2402" s="83">
        <f ca="1">$K$2402-EFEITO!$M$2402*EFEITO!$Z$2402</f>
        <v>0</v>
      </c>
      <c r="O2402" s="83">
        <f>$L$2402-EFEITO!$O$2402*EFEITO!$AA$2402</f>
        <v>0</v>
      </c>
      <c r="P2402" s="61"/>
      <c r="Q2402" s="61"/>
      <c r="R2402" s="61"/>
      <c r="S2402" s="61"/>
      <c r="T2402" s="61"/>
      <c r="U2402" s="61"/>
      <c r="V2402" s="61"/>
      <c r="W2402" s="61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/>
      <c r="AJ2402" s="6"/>
    </row>
    <row r="2403" spans="1:36" ht="11.25" customHeight="1" x14ac:dyDescent="0.2">
      <c r="A2403" s="57" t="s">
        <v>27</v>
      </c>
      <c r="B2403" s="57" t="s">
        <v>41</v>
      </c>
      <c r="C2403" s="57" t="s">
        <v>23</v>
      </c>
      <c r="D2403" s="57" t="s">
        <v>42</v>
      </c>
      <c r="E2403" s="57" t="s">
        <v>25</v>
      </c>
      <c r="F2403" s="57" t="s">
        <v>25</v>
      </c>
      <c r="G2403" s="57" t="s">
        <v>25</v>
      </c>
      <c r="H2403" s="57" t="s">
        <v>25</v>
      </c>
      <c r="I2403" s="82">
        <v>44256</v>
      </c>
      <c r="J2403" s="83">
        <f>EFEITO!$J$2403*EFEITO!$Y$2403</f>
        <v>0</v>
      </c>
      <c r="K2403" s="83">
        <f ca="1">EFEITO!$L$2403*EFEITO!$Z$2403</f>
        <v>-132896.11795738855</v>
      </c>
      <c r="L2403" s="83">
        <f>EFEITO!$N$2403*EFEITO!$AA$2403</f>
        <v>-77977.097715720534</v>
      </c>
      <c r="M2403" s="83">
        <f>$J$2403-EFEITO!$K$2403*EFEITO!$Y$2403</f>
        <v>0</v>
      </c>
      <c r="N2403" s="83">
        <f ca="1">$K$2403-EFEITO!$M$2403*EFEITO!$Z$2403</f>
        <v>0</v>
      </c>
      <c r="O2403" s="83">
        <f>$L$2403-EFEITO!$O$2403*EFEITO!$AA$2403</f>
        <v>0</v>
      </c>
      <c r="P2403" s="61"/>
      <c r="Q2403" s="61"/>
      <c r="R2403" s="61"/>
      <c r="S2403" s="61"/>
      <c r="T2403" s="61"/>
      <c r="U2403" s="61"/>
      <c r="V2403" s="61"/>
      <c r="W2403" s="61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/>
      <c r="AJ2403" s="6"/>
    </row>
    <row r="2404" spans="1:36" ht="11.25" customHeight="1" x14ac:dyDescent="0.2">
      <c r="A2404" s="57" t="s">
        <v>28</v>
      </c>
      <c r="B2404" s="57" t="s">
        <v>41</v>
      </c>
      <c r="C2404" s="57" t="s">
        <v>23</v>
      </c>
      <c r="D2404" s="57" t="s">
        <v>42</v>
      </c>
      <c r="E2404" s="57" t="s">
        <v>25</v>
      </c>
      <c r="F2404" s="57" t="s">
        <v>25</v>
      </c>
      <c r="G2404" s="57" t="s">
        <v>25</v>
      </c>
      <c r="H2404" s="57" t="s">
        <v>25</v>
      </c>
      <c r="I2404" s="82">
        <v>44256</v>
      </c>
      <c r="J2404" s="83">
        <f>EFEITO!$J$2404*EFEITO!$Y$2404</f>
        <v>0</v>
      </c>
      <c r="K2404" s="83">
        <f ca="1">EFEITO!$L$2404*EFEITO!$Z$2404</f>
        <v>534411.86559806578</v>
      </c>
      <c r="L2404" s="83">
        <f>EFEITO!$N$2404*EFEITO!$AA$2404</f>
        <v>313567.37054984889</v>
      </c>
      <c r="M2404" s="83">
        <f>$J$2404-EFEITO!$K$2404*EFEITO!$Y$2404</f>
        <v>0</v>
      </c>
      <c r="N2404" s="83">
        <f ca="1">$K$2404-EFEITO!$M$2404*EFEITO!$Z$2404</f>
        <v>0</v>
      </c>
      <c r="O2404" s="83">
        <f>$L$2404-EFEITO!$O$2404*EFEITO!$AA$2404</f>
        <v>0</v>
      </c>
      <c r="P2404" s="61"/>
      <c r="Q2404" s="61"/>
      <c r="R2404" s="61"/>
      <c r="S2404" s="61"/>
      <c r="T2404" s="61"/>
      <c r="U2404" s="61"/>
      <c r="V2404" s="61"/>
      <c r="W2404" s="61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</row>
    <row r="2405" spans="1:36" ht="11.25" customHeight="1" x14ac:dyDescent="0.2">
      <c r="A2405" s="57" t="s">
        <v>29</v>
      </c>
      <c r="B2405" s="57" t="s">
        <v>41</v>
      </c>
      <c r="C2405" s="57" t="s">
        <v>23</v>
      </c>
      <c r="D2405" s="57" t="s">
        <v>42</v>
      </c>
      <c r="E2405" s="57" t="s">
        <v>25</v>
      </c>
      <c r="F2405" s="57" t="s">
        <v>25</v>
      </c>
      <c r="G2405" s="57" t="s">
        <v>25</v>
      </c>
      <c r="H2405" s="57" t="s">
        <v>25</v>
      </c>
      <c r="I2405" s="82">
        <v>44256</v>
      </c>
      <c r="J2405" s="83">
        <f>EFEITO!$J$2405*EFEITO!$Y$2405</f>
        <v>0</v>
      </c>
      <c r="K2405" s="83">
        <f ca="1">EFEITO!$L$2405*EFEITO!$Z$2405</f>
        <v>-663.03447563267889</v>
      </c>
      <c r="L2405" s="83">
        <f>EFEITO!$N$2405*EFEITO!$AA$2405</f>
        <v>-389.03697782864026</v>
      </c>
      <c r="M2405" s="83">
        <f>$J$2405-EFEITO!$K$2405*EFEITO!$Y$2405</f>
        <v>0</v>
      </c>
      <c r="N2405" s="83">
        <f ca="1">$K$2405-EFEITO!$M$2405*EFEITO!$Z$2405</f>
        <v>0</v>
      </c>
      <c r="O2405" s="83">
        <f>$L$2405-EFEITO!$O$2405*EFEITO!$AA$2405</f>
        <v>0</v>
      </c>
      <c r="P2405" s="61"/>
      <c r="Q2405" s="61"/>
      <c r="R2405" s="61"/>
      <c r="S2405" s="61"/>
      <c r="T2405" s="61"/>
      <c r="U2405" s="61"/>
      <c r="V2405" s="61"/>
      <c r="W2405" s="61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</row>
    <row r="2406" spans="1:36" ht="11.25" customHeight="1" x14ac:dyDescent="0.2">
      <c r="A2406" s="57" t="s">
        <v>30</v>
      </c>
      <c r="B2406" s="57" t="s">
        <v>41</v>
      </c>
      <c r="C2406" s="57" t="s">
        <v>23</v>
      </c>
      <c r="D2406" s="57" t="s">
        <v>42</v>
      </c>
      <c r="E2406" s="57" t="s">
        <v>25</v>
      </c>
      <c r="F2406" s="57" t="s">
        <v>25</v>
      </c>
      <c r="G2406" s="57" t="s">
        <v>25</v>
      </c>
      <c r="H2406" s="57" t="s">
        <v>25</v>
      </c>
      <c r="I2406" s="82">
        <v>44256</v>
      </c>
      <c r="J2406" s="83">
        <f>EFEITO!$J$2406*EFEITO!$Y$2406</f>
        <v>0</v>
      </c>
      <c r="K2406" s="83">
        <f ca="1">EFEITO!$L$2406*EFEITO!$Z$2406</f>
        <v>21700.323151302699</v>
      </c>
      <c r="L2406" s="83">
        <f>EFEITO!$N$2406*EFEITO!$AA$2406</f>
        <v>12732.713677719334</v>
      </c>
      <c r="M2406" s="83">
        <f>$J$2406-EFEITO!$K$2406*EFEITO!$Y$2406</f>
        <v>0</v>
      </c>
      <c r="N2406" s="83">
        <f ca="1">$K$2406-EFEITO!$M$2406*EFEITO!$Z$2406</f>
        <v>0</v>
      </c>
      <c r="O2406" s="83">
        <f>$L$2406-EFEITO!$O$2406*EFEITO!$AA$2406</f>
        <v>0</v>
      </c>
      <c r="P2406" s="61"/>
      <c r="Q2406" s="61"/>
      <c r="R2406" s="61"/>
      <c r="S2406" s="61"/>
      <c r="T2406" s="61"/>
      <c r="U2406" s="61"/>
      <c r="V2406" s="61"/>
      <c r="W2406" s="61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</row>
    <row r="2407" spans="1:36" ht="11.25" customHeight="1" x14ac:dyDescent="0.2">
      <c r="A2407" s="57" t="s">
        <v>21</v>
      </c>
      <c r="B2407" s="57" t="s">
        <v>41</v>
      </c>
      <c r="C2407" s="57" t="s">
        <v>23</v>
      </c>
      <c r="D2407" s="57" t="s">
        <v>42</v>
      </c>
      <c r="E2407" s="57" t="s">
        <v>25</v>
      </c>
      <c r="F2407" s="57" t="s">
        <v>25</v>
      </c>
      <c r="G2407" s="57" t="s">
        <v>25</v>
      </c>
      <c r="H2407" s="57" t="s">
        <v>25</v>
      </c>
      <c r="I2407" s="82">
        <v>44287</v>
      </c>
      <c r="J2407" s="83">
        <f>EFEITO!$J$2407*EFEITO!$Y$2407</f>
        <v>0</v>
      </c>
      <c r="K2407" s="83">
        <f ca="1">EFEITO!$L$2407*EFEITO!$Z$2407</f>
        <v>1231865.8841815982</v>
      </c>
      <c r="L2407" s="83">
        <f>EFEITO!$N$2407*EFEITO!$AA$2407</f>
        <v>722800.09303424892</v>
      </c>
      <c r="M2407" s="83">
        <f>$J$2407-EFEITO!$K$2407*EFEITO!$Y$2407</f>
        <v>0</v>
      </c>
      <c r="N2407" s="83">
        <f ca="1">$K$2407-EFEITO!$M$2407*EFEITO!$Z$2407</f>
        <v>0</v>
      </c>
      <c r="O2407" s="83">
        <f>$L$2407-EFEITO!$O$2407*EFEITO!$AA$2407</f>
        <v>0</v>
      </c>
      <c r="P2407" s="61"/>
      <c r="Q2407" s="61"/>
      <c r="R2407" s="61"/>
      <c r="S2407" s="61"/>
      <c r="T2407" s="61"/>
      <c r="U2407" s="61"/>
      <c r="V2407" s="61"/>
      <c r="W2407" s="61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/>
      <c r="AJ2407" s="6"/>
    </row>
    <row r="2408" spans="1:36" ht="11.25" customHeight="1" x14ac:dyDescent="0.2">
      <c r="A2408" s="57" t="s">
        <v>27</v>
      </c>
      <c r="B2408" s="57" t="s">
        <v>41</v>
      </c>
      <c r="C2408" s="57" t="s">
        <v>23</v>
      </c>
      <c r="D2408" s="57" t="s">
        <v>42</v>
      </c>
      <c r="E2408" s="57" t="s">
        <v>25</v>
      </c>
      <c r="F2408" s="57" t="s">
        <v>25</v>
      </c>
      <c r="G2408" s="57" t="s">
        <v>25</v>
      </c>
      <c r="H2408" s="57" t="s">
        <v>25</v>
      </c>
      <c r="I2408" s="82">
        <v>44287</v>
      </c>
      <c r="J2408" s="83">
        <f>EFEITO!$J$2408*EFEITO!$Y$2408</f>
        <v>0</v>
      </c>
      <c r="K2408" s="83">
        <f ca="1">EFEITO!$L$2408*EFEITO!$Z$2408</f>
        <v>-327402.77712454094</v>
      </c>
      <c r="L2408" s="83">
        <f>EFEITO!$N$2408*EFEITO!$AA$2408</f>
        <v>-192104.31979980366</v>
      </c>
      <c r="M2408" s="83">
        <f>$J$2408-EFEITO!$K$2408*EFEITO!$Y$2408</f>
        <v>0</v>
      </c>
      <c r="N2408" s="83">
        <f ca="1">$K$2408-EFEITO!$M$2408*EFEITO!$Z$2408</f>
        <v>0</v>
      </c>
      <c r="O2408" s="83">
        <f>$L$2408-EFEITO!$O$2408*EFEITO!$AA$2408</f>
        <v>0</v>
      </c>
      <c r="P2408" s="61"/>
      <c r="Q2408" s="61"/>
      <c r="R2408" s="61"/>
      <c r="S2408" s="61"/>
      <c r="T2408" s="61"/>
      <c r="U2408" s="61"/>
      <c r="V2408" s="61"/>
      <c r="W2408" s="61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/>
      <c r="AJ2408" s="6"/>
    </row>
    <row r="2409" spans="1:36" ht="11.25" customHeight="1" x14ac:dyDescent="0.2">
      <c r="A2409" s="57" t="s">
        <v>28</v>
      </c>
      <c r="B2409" s="57" t="s">
        <v>41</v>
      </c>
      <c r="C2409" s="57" t="s">
        <v>23</v>
      </c>
      <c r="D2409" s="57" t="s">
        <v>42</v>
      </c>
      <c r="E2409" s="57" t="s">
        <v>25</v>
      </c>
      <c r="F2409" s="57" t="s">
        <v>25</v>
      </c>
      <c r="G2409" s="57" t="s">
        <v>25</v>
      </c>
      <c r="H2409" s="57" t="s">
        <v>25</v>
      </c>
      <c r="I2409" s="82">
        <v>44287</v>
      </c>
      <c r="J2409" s="83">
        <f>EFEITO!$J$2409*EFEITO!$Y$2409</f>
        <v>0</v>
      </c>
      <c r="K2409" s="83">
        <f ca="1">EFEITO!$L$2409*EFEITO!$Z$2409</f>
        <v>555956.68715729879</v>
      </c>
      <c r="L2409" s="83">
        <f>EFEITO!$N$2409*EFEITO!$AA$2409</f>
        <v>326208.84331680171</v>
      </c>
      <c r="M2409" s="83">
        <f>$J$2409-EFEITO!$K$2409*EFEITO!$Y$2409</f>
        <v>0</v>
      </c>
      <c r="N2409" s="83">
        <f ca="1">$K$2409-EFEITO!$M$2409*EFEITO!$Z$2409</f>
        <v>0</v>
      </c>
      <c r="O2409" s="83">
        <f>$L$2409-EFEITO!$O$2409*EFEITO!$AA$2409</f>
        <v>0</v>
      </c>
      <c r="P2409" s="61"/>
      <c r="Q2409" s="61"/>
      <c r="R2409" s="61"/>
      <c r="S2409" s="61"/>
      <c r="T2409" s="61"/>
      <c r="U2409" s="61"/>
      <c r="V2409" s="61"/>
      <c r="W2409" s="61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/>
      <c r="AJ2409" s="6"/>
    </row>
    <row r="2410" spans="1:36" ht="11.25" customHeight="1" x14ac:dyDescent="0.2">
      <c r="A2410" s="57" t="s">
        <v>29</v>
      </c>
      <c r="B2410" s="57" t="s">
        <v>41</v>
      </c>
      <c r="C2410" s="57" t="s">
        <v>23</v>
      </c>
      <c r="D2410" s="57" t="s">
        <v>42</v>
      </c>
      <c r="E2410" s="57" t="s">
        <v>25</v>
      </c>
      <c r="F2410" s="57" t="s">
        <v>25</v>
      </c>
      <c r="G2410" s="57" t="s">
        <v>25</v>
      </c>
      <c r="H2410" s="57" t="s">
        <v>25</v>
      </c>
      <c r="I2410" s="82">
        <v>44287</v>
      </c>
      <c r="J2410" s="83">
        <f>EFEITO!$J$2410*EFEITO!$Y$2410</f>
        <v>0</v>
      </c>
      <c r="K2410" s="83">
        <f ca="1">EFEITO!$L$2410*EFEITO!$Z$2410</f>
        <v>-6947.9326984365607</v>
      </c>
      <c r="L2410" s="83">
        <f>EFEITO!$N$2410*EFEITO!$AA$2410</f>
        <v>-4076.7152214480207</v>
      </c>
      <c r="M2410" s="83">
        <f>$J$2410-EFEITO!$K$2410*EFEITO!$Y$2410</f>
        <v>0</v>
      </c>
      <c r="N2410" s="83">
        <f ca="1">$K$2410-EFEITO!$M$2410*EFEITO!$Z$2410</f>
        <v>0</v>
      </c>
      <c r="O2410" s="83">
        <f>$L$2410-EFEITO!$O$2410*EFEITO!$AA$2410</f>
        <v>0</v>
      </c>
      <c r="P2410" s="61"/>
      <c r="Q2410" s="61"/>
      <c r="R2410" s="61"/>
      <c r="S2410" s="61"/>
      <c r="T2410" s="61"/>
      <c r="U2410" s="61"/>
      <c r="V2410" s="61"/>
      <c r="W2410" s="61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</row>
    <row r="2411" spans="1:36" ht="11.25" customHeight="1" x14ac:dyDescent="0.2">
      <c r="A2411" s="57" t="s">
        <v>30</v>
      </c>
      <c r="B2411" s="57" t="s">
        <v>41</v>
      </c>
      <c r="C2411" s="57" t="s">
        <v>23</v>
      </c>
      <c r="D2411" s="57" t="s">
        <v>42</v>
      </c>
      <c r="E2411" s="57" t="s">
        <v>25</v>
      </c>
      <c r="F2411" s="57" t="s">
        <v>25</v>
      </c>
      <c r="G2411" s="57" t="s">
        <v>25</v>
      </c>
      <c r="H2411" s="57" t="s">
        <v>25</v>
      </c>
      <c r="I2411" s="82">
        <v>44287</v>
      </c>
      <c r="J2411" s="83">
        <f>EFEITO!$J$2411*EFEITO!$Y$2411</f>
        <v>0</v>
      </c>
      <c r="K2411" s="83">
        <f ca="1">EFEITO!$L$2411*EFEITO!$Z$2411</f>
        <v>22388.177099285265</v>
      </c>
      <c r="L2411" s="83">
        <f>EFEITO!$N$2411*EFEITO!$AA$2411</f>
        <v>13136.313537070972</v>
      </c>
      <c r="M2411" s="83">
        <f>$J$2411-EFEITO!$K$2411*EFEITO!$Y$2411</f>
        <v>0</v>
      </c>
      <c r="N2411" s="83">
        <f ca="1">$K$2411-EFEITO!$M$2411*EFEITO!$Z$2411</f>
        <v>0</v>
      </c>
      <c r="O2411" s="83">
        <f>$L$2411-EFEITO!$O$2411*EFEITO!$AA$2411</f>
        <v>0</v>
      </c>
      <c r="P2411" s="61"/>
      <c r="Q2411" s="61"/>
      <c r="R2411" s="61"/>
      <c r="S2411" s="61"/>
      <c r="T2411" s="61"/>
      <c r="U2411" s="61"/>
      <c r="V2411" s="61"/>
      <c r="W2411" s="61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</row>
    <row r="2412" spans="1:36" ht="11.25" customHeight="1" x14ac:dyDescent="0.2">
      <c r="A2412" s="57" t="s">
        <v>21</v>
      </c>
      <c r="B2412" s="57" t="s">
        <v>41</v>
      </c>
      <c r="C2412" s="57" t="s">
        <v>23</v>
      </c>
      <c r="D2412" s="57" t="s">
        <v>42</v>
      </c>
      <c r="E2412" s="57" t="s">
        <v>25</v>
      </c>
      <c r="F2412" s="57" t="s">
        <v>25</v>
      </c>
      <c r="G2412" s="57" t="s">
        <v>25</v>
      </c>
      <c r="H2412" s="57" t="s">
        <v>25</v>
      </c>
      <c r="I2412" s="82">
        <v>44317</v>
      </c>
      <c r="J2412" s="83">
        <f>EFEITO!$J$2412*EFEITO!$Y$2412</f>
        <v>0</v>
      </c>
      <c r="K2412" s="83">
        <f ca="1">EFEITO!$L$2412*EFEITO!$Z$2412</f>
        <v>1238816.3494792543</v>
      </c>
      <c r="L2412" s="83">
        <f>EFEITO!$N$2412*EFEITO!$AA$2412</f>
        <v>726878.29426401563</v>
      </c>
      <c r="M2412" s="83">
        <f>$J$2412-EFEITO!$K$2412*EFEITO!$Y$2412</f>
        <v>0</v>
      </c>
      <c r="N2412" s="83">
        <f ca="1">$K$2412-EFEITO!$M$2412*EFEITO!$Z$2412</f>
        <v>0</v>
      </c>
      <c r="O2412" s="83">
        <f>$L$2412-EFEITO!$O$2412*EFEITO!$AA$2412</f>
        <v>0</v>
      </c>
      <c r="P2412" s="61"/>
      <c r="Q2412" s="61"/>
      <c r="R2412" s="61"/>
      <c r="S2412" s="61"/>
      <c r="T2412" s="61"/>
      <c r="U2412" s="61"/>
      <c r="V2412" s="61"/>
      <c r="W2412" s="61"/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/>
      <c r="AJ2412" s="6"/>
    </row>
    <row r="2413" spans="1:36" ht="11.25" customHeight="1" x14ac:dyDescent="0.2">
      <c r="A2413" s="57" t="s">
        <v>27</v>
      </c>
      <c r="B2413" s="57" t="s">
        <v>41</v>
      </c>
      <c r="C2413" s="57" t="s">
        <v>23</v>
      </c>
      <c r="D2413" s="57" t="s">
        <v>42</v>
      </c>
      <c r="E2413" s="57" t="s">
        <v>25</v>
      </c>
      <c r="F2413" s="57" t="s">
        <v>25</v>
      </c>
      <c r="G2413" s="57" t="s">
        <v>25</v>
      </c>
      <c r="H2413" s="57" t="s">
        <v>25</v>
      </c>
      <c r="I2413" s="82">
        <v>44317</v>
      </c>
      <c r="J2413" s="83">
        <f>EFEITO!$J$2413*EFEITO!$Y$2413</f>
        <v>0</v>
      </c>
      <c r="K2413" s="83">
        <f ca="1">EFEITO!$L$2413*EFEITO!$Z$2413</f>
        <v>-50241.1967941404</v>
      </c>
      <c r="L2413" s="83">
        <f>EFEITO!$N$2413*EFEITO!$AA$2413</f>
        <v>-29479.13582417494</v>
      </c>
      <c r="M2413" s="83">
        <f>$J$2413-EFEITO!$K$2413*EFEITO!$Y$2413</f>
        <v>0</v>
      </c>
      <c r="N2413" s="83">
        <f ca="1">$K$2413-EFEITO!$M$2413*EFEITO!$Z$2413</f>
        <v>0</v>
      </c>
      <c r="O2413" s="83">
        <f>$L$2413-EFEITO!$O$2413*EFEITO!$AA$2413</f>
        <v>0</v>
      </c>
      <c r="P2413" s="61"/>
      <c r="Q2413" s="61"/>
      <c r="R2413" s="61"/>
      <c r="S2413" s="61"/>
      <c r="T2413" s="61"/>
      <c r="U2413" s="61"/>
      <c r="V2413" s="61"/>
      <c r="W2413" s="61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</row>
    <row r="2414" spans="1:36" ht="11.25" customHeight="1" x14ac:dyDescent="0.2">
      <c r="A2414" s="57" t="s">
        <v>28</v>
      </c>
      <c r="B2414" s="57" t="s">
        <v>41</v>
      </c>
      <c r="C2414" s="57" t="s">
        <v>23</v>
      </c>
      <c r="D2414" s="57" t="s">
        <v>42</v>
      </c>
      <c r="E2414" s="57" t="s">
        <v>25</v>
      </c>
      <c r="F2414" s="57" t="s">
        <v>25</v>
      </c>
      <c r="G2414" s="57" t="s">
        <v>25</v>
      </c>
      <c r="H2414" s="57" t="s">
        <v>25</v>
      </c>
      <c r="I2414" s="82">
        <v>44317</v>
      </c>
      <c r="J2414" s="83">
        <f>EFEITO!$J$2414*EFEITO!$Y$2414</f>
        <v>0</v>
      </c>
      <c r="K2414" s="83">
        <f ca="1">EFEITO!$L$2414*EFEITO!$Z$2414</f>
        <v>505856.80939959956</v>
      </c>
      <c r="L2414" s="83">
        <f>EFEITO!$N$2414*EFEITO!$AA$2414</f>
        <v>296812.62675680872</v>
      </c>
      <c r="M2414" s="83">
        <f>$J$2414-EFEITO!$K$2414*EFEITO!$Y$2414</f>
        <v>0</v>
      </c>
      <c r="N2414" s="83">
        <f ca="1">$K$2414-EFEITO!$M$2414*EFEITO!$Z$2414</f>
        <v>0</v>
      </c>
      <c r="O2414" s="83">
        <f>$L$2414-EFEITO!$O$2414*EFEITO!$AA$2414</f>
        <v>0</v>
      </c>
      <c r="P2414" s="61"/>
      <c r="Q2414" s="61"/>
      <c r="R2414" s="61"/>
      <c r="S2414" s="61"/>
      <c r="T2414" s="61"/>
      <c r="U2414" s="61"/>
      <c r="V2414" s="61"/>
      <c r="W2414" s="61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</row>
    <row r="2415" spans="1:36" ht="11.25" customHeight="1" x14ac:dyDescent="0.2">
      <c r="A2415" s="57" t="s">
        <v>29</v>
      </c>
      <c r="B2415" s="57" t="s">
        <v>41</v>
      </c>
      <c r="C2415" s="57" t="s">
        <v>23</v>
      </c>
      <c r="D2415" s="57" t="s">
        <v>42</v>
      </c>
      <c r="E2415" s="57" t="s">
        <v>25</v>
      </c>
      <c r="F2415" s="57" t="s">
        <v>25</v>
      </c>
      <c r="G2415" s="57" t="s">
        <v>25</v>
      </c>
      <c r="H2415" s="57" t="s">
        <v>25</v>
      </c>
      <c r="I2415" s="82">
        <v>44317</v>
      </c>
      <c r="J2415" s="83">
        <f>EFEITO!$J$2415*EFEITO!$Y$2415</f>
        <v>0</v>
      </c>
      <c r="K2415" s="83">
        <f ca="1">EFEITO!$L$2415*EFEITO!$Z$2415</f>
        <v>-71.419297986407727</v>
      </c>
      <c r="L2415" s="83">
        <f>EFEITO!$N$2415*EFEITO!$AA$2415</f>
        <v>-41.905434586583866</v>
      </c>
      <c r="M2415" s="83">
        <f>$J$2415-EFEITO!$K$2415*EFEITO!$Y$2415</f>
        <v>0</v>
      </c>
      <c r="N2415" s="83">
        <f ca="1">$K$2415-EFEITO!$M$2415*EFEITO!$Z$2415</f>
        <v>0</v>
      </c>
      <c r="O2415" s="83">
        <f>$L$2415-EFEITO!$O$2415*EFEITO!$AA$2415</f>
        <v>0</v>
      </c>
      <c r="P2415" s="61"/>
      <c r="Q2415" s="61"/>
      <c r="R2415" s="61"/>
      <c r="S2415" s="61"/>
      <c r="T2415" s="61"/>
      <c r="U2415" s="61"/>
      <c r="V2415" s="61"/>
      <c r="W2415" s="61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/>
      <c r="AJ2415" s="6"/>
    </row>
    <row r="2416" spans="1:36" ht="11.25" customHeight="1" x14ac:dyDescent="0.2">
      <c r="A2416" s="57" t="s">
        <v>30</v>
      </c>
      <c r="B2416" s="57" t="s">
        <v>41</v>
      </c>
      <c r="C2416" s="57" t="s">
        <v>23</v>
      </c>
      <c r="D2416" s="57" t="s">
        <v>42</v>
      </c>
      <c r="E2416" s="57" t="s">
        <v>25</v>
      </c>
      <c r="F2416" s="57" t="s">
        <v>25</v>
      </c>
      <c r="G2416" s="57" t="s">
        <v>25</v>
      </c>
      <c r="H2416" s="57" t="s">
        <v>25</v>
      </c>
      <c r="I2416" s="82">
        <v>44317</v>
      </c>
      <c r="J2416" s="83">
        <f>EFEITO!$J$2416*EFEITO!$Y$2416</f>
        <v>0</v>
      </c>
      <c r="K2416" s="83">
        <f ca="1">EFEITO!$L$2416*EFEITO!$Z$2416</f>
        <v>19826.19972896434</v>
      </c>
      <c r="L2416" s="83">
        <f>EFEITO!$N$2416*EFEITO!$AA$2416</f>
        <v>11633.067521901175</v>
      </c>
      <c r="M2416" s="83">
        <f>$J$2416-EFEITO!$K$2416*EFEITO!$Y$2416</f>
        <v>0</v>
      </c>
      <c r="N2416" s="83">
        <f ca="1">$K$2416-EFEITO!$M$2416*EFEITO!$Z$2416</f>
        <v>0</v>
      </c>
      <c r="O2416" s="83">
        <f>$L$2416-EFEITO!$O$2416*EFEITO!$AA$2416</f>
        <v>0</v>
      </c>
      <c r="P2416" s="61"/>
      <c r="Q2416" s="61"/>
      <c r="R2416" s="61"/>
      <c r="S2416" s="61"/>
      <c r="T2416" s="61"/>
      <c r="U2416" s="61"/>
      <c r="V2416" s="61"/>
      <c r="W2416" s="61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</row>
    <row r="2417" spans="1:36" ht="11.25" customHeight="1" x14ac:dyDescent="0.2">
      <c r="A2417" s="57" t="s">
        <v>21</v>
      </c>
      <c r="B2417" s="57" t="s">
        <v>41</v>
      </c>
      <c r="C2417" s="57" t="s">
        <v>23</v>
      </c>
      <c r="D2417" s="57" t="s">
        <v>42</v>
      </c>
      <c r="E2417" s="57" t="s">
        <v>25</v>
      </c>
      <c r="F2417" s="57" t="s">
        <v>25</v>
      </c>
      <c r="G2417" s="57" t="s">
        <v>25</v>
      </c>
      <c r="H2417" s="57" t="s">
        <v>25</v>
      </c>
      <c r="I2417" s="82">
        <v>44348</v>
      </c>
      <c r="J2417" s="83">
        <f>EFEITO!$J$2417*EFEITO!$Y$2417</f>
        <v>0</v>
      </c>
      <c r="K2417" s="83">
        <f ca="1">EFEITO!$L$2417*EFEITO!$Z$2417</f>
        <v>1213985.7336928027</v>
      </c>
      <c r="L2417" s="83">
        <f>EFEITO!$N$2417*EFEITO!$AA$2417</f>
        <v>712308.87430441636</v>
      </c>
      <c r="M2417" s="83">
        <f>$J$2417-EFEITO!$K$2417*EFEITO!$Y$2417</f>
        <v>0</v>
      </c>
      <c r="N2417" s="83">
        <f ca="1">$K$2417-EFEITO!$M$2417*EFEITO!$Z$2417</f>
        <v>0</v>
      </c>
      <c r="O2417" s="83">
        <f>$L$2417-EFEITO!$O$2417*EFEITO!$AA$2417</f>
        <v>0</v>
      </c>
      <c r="P2417" s="61"/>
      <c r="Q2417" s="61"/>
      <c r="R2417" s="61"/>
      <c r="S2417" s="61"/>
      <c r="T2417" s="61"/>
      <c r="U2417" s="61"/>
      <c r="V2417" s="61"/>
      <c r="W2417" s="61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</row>
    <row r="2418" spans="1:36" ht="11.25" customHeight="1" x14ac:dyDescent="0.2">
      <c r="A2418" s="57" t="s">
        <v>28</v>
      </c>
      <c r="B2418" s="57" t="s">
        <v>41</v>
      </c>
      <c r="C2418" s="57" t="s">
        <v>23</v>
      </c>
      <c r="D2418" s="57" t="s">
        <v>42</v>
      </c>
      <c r="E2418" s="57" t="s">
        <v>25</v>
      </c>
      <c r="F2418" s="57" t="s">
        <v>25</v>
      </c>
      <c r="G2418" s="57" t="s">
        <v>25</v>
      </c>
      <c r="H2418" s="57" t="s">
        <v>25</v>
      </c>
      <c r="I2418" s="82">
        <v>44348</v>
      </c>
      <c r="J2418" s="83">
        <f>EFEITO!$J$2418*EFEITO!$Y$2418</f>
        <v>0</v>
      </c>
      <c r="K2418" s="83">
        <f ca="1">EFEITO!$L$2418*EFEITO!$Z$2418</f>
        <v>459088.31265506765</v>
      </c>
      <c r="L2418" s="83">
        <f>EFEITO!$N$2418*EFEITO!$AA$2418</f>
        <v>269371.10553919844</v>
      </c>
      <c r="M2418" s="83">
        <f>$J$2418-EFEITO!$K$2418*EFEITO!$Y$2418</f>
        <v>0</v>
      </c>
      <c r="N2418" s="83">
        <f ca="1">$K$2418-EFEITO!$M$2418*EFEITO!$Z$2418</f>
        <v>0</v>
      </c>
      <c r="O2418" s="83">
        <f>$L$2418-EFEITO!$O$2418*EFEITO!$AA$2418</f>
        <v>0</v>
      </c>
      <c r="P2418" s="61"/>
      <c r="Q2418" s="61"/>
      <c r="R2418" s="61"/>
      <c r="S2418" s="61"/>
      <c r="T2418" s="61"/>
      <c r="U2418" s="61"/>
      <c r="V2418" s="61"/>
      <c r="W2418" s="61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/>
      <c r="AJ2418" s="6"/>
    </row>
    <row r="2419" spans="1:36" ht="11.25" customHeight="1" x14ac:dyDescent="0.2">
      <c r="A2419" s="57" t="s">
        <v>29</v>
      </c>
      <c r="B2419" s="57" t="s">
        <v>41</v>
      </c>
      <c r="C2419" s="57" t="s">
        <v>23</v>
      </c>
      <c r="D2419" s="57" t="s">
        <v>42</v>
      </c>
      <c r="E2419" s="57" t="s">
        <v>25</v>
      </c>
      <c r="F2419" s="57" t="s">
        <v>25</v>
      </c>
      <c r="G2419" s="57" t="s">
        <v>25</v>
      </c>
      <c r="H2419" s="57" t="s">
        <v>25</v>
      </c>
      <c r="I2419" s="82">
        <v>44348</v>
      </c>
      <c r="J2419" s="83">
        <f>EFEITO!$J$2419*EFEITO!$Y$2419</f>
        <v>0</v>
      </c>
      <c r="K2419" s="83">
        <f ca="1">EFEITO!$L$2419*EFEITO!$Z$2419</f>
        <v>-21932.815759641431</v>
      </c>
      <c r="L2419" s="83">
        <f>EFEITO!$N$2419*EFEITO!$AA$2419</f>
        <v>-12869.129241373532</v>
      </c>
      <c r="M2419" s="83">
        <f>$J$2419-EFEITO!$K$2419*EFEITO!$Y$2419</f>
        <v>0</v>
      </c>
      <c r="N2419" s="83">
        <f ca="1">$K$2419-EFEITO!$M$2419*EFEITO!$Z$2419</f>
        <v>0</v>
      </c>
      <c r="O2419" s="83">
        <f>$L$2419-EFEITO!$O$2419*EFEITO!$AA$2419</f>
        <v>0</v>
      </c>
      <c r="P2419" s="61"/>
      <c r="Q2419" s="61"/>
      <c r="R2419" s="61"/>
      <c r="S2419" s="61"/>
      <c r="T2419" s="61"/>
      <c r="U2419" s="61"/>
      <c r="V2419" s="61"/>
      <c r="W2419" s="61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/>
      <c r="AJ2419" s="6"/>
    </row>
    <row r="2420" spans="1:36" ht="11.25" customHeight="1" x14ac:dyDescent="0.2">
      <c r="A2420" s="57" t="s">
        <v>30</v>
      </c>
      <c r="B2420" s="57" t="s">
        <v>41</v>
      </c>
      <c r="C2420" s="57" t="s">
        <v>23</v>
      </c>
      <c r="D2420" s="57" t="s">
        <v>42</v>
      </c>
      <c r="E2420" s="57" t="s">
        <v>25</v>
      </c>
      <c r="F2420" s="57" t="s">
        <v>25</v>
      </c>
      <c r="G2420" s="57" t="s">
        <v>25</v>
      </c>
      <c r="H2420" s="57" t="s">
        <v>25</v>
      </c>
      <c r="I2420" s="82">
        <v>44348</v>
      </c>
      <c r="J2420" s="83">
        <f>EFEITO!$J$2420*EFEITO!$Y$2420</f>
        <v>0</v>
      </c>
      <c r="K2420" s="83">
        <f ca="1">EFEITO!$L$2420*EFEITO!$Z$2420</f>
        <v>30203.271770436219</v>
      </c>
      <c r="L2420" s="83">
        <f>EFEITO!$N$2420*EFEITO!$AA$2420</f>
        <v>17721.838006832691</v>
      </c>
      <c r="M2420" s="83">
        <f>$J$2420-EFEITO!$K$2420*EFEITO!$Y$2420</f>
        <v>0</v>
      </c>
      <c r="N2420" s="83">
        <f ca="1">$K$2420-EFEITO!$M$2420*EFEITO!$Z$2420</f>
        <v>0</v>
      </c>
      <c r="O2420" s="83">
        <f>$L$2420-EFEITO!$O$2420*EFEITO!$AA$2420</f>
        <v>0</v>
      </c>
      <c r="P2420" s="61"/>
      <c r="Q2420" s="61"/>
      <c r="R2420" s="61"/>
      <c r="S2420" s="61"/>
      <c r="T2420" s="61"/>
      <c r="U2420" s="61"/>
      <c r="V2420" s="61"/>
      <c r="W2420" s="61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/>
      <c r="AJ2420" s="6"/>
    </row>
    <row r="2421" spans="1:36" ht="11.25" customHeight="1" x14ac:dyDescent="0.2">
      <c r="A2421" s="57" t="s">
        <v>21</v>
      </c>
      <c r="B2421" s="57" t="s">
        <v>41</v>
      </c>
      <c r="C2421" s="57" t="s">
        <v>23</v>
      </c>
      <c r="D2421" s="57" t="s">
        <v>42</v>
      </c>
      <c r="E2421" s="57" t="s">
        <v>25</v>
      </c>
      <c r="F2421" s="57" t="s">
        <v>25</v>
      </c>
      <c r="G2421" s="57" t="s">
        <v>25</v>
      </c>
      <c r="H2421" s="57" t="s">
        <v>25</v>
      </c>
      <c r="I2421" s="82">
        <v>44378</v>
      </c>
      <c r="J2421" s="83">
        <f>EFEITO!$J$2421*EFEITO!$Y$2421</f>
        <v>0</v>
      </c>
      <c r="K2421" s="83">
        <f ca="1">EFEITO!$L$2421*EFEITO!$Z$2421</f>
        <v>1220146.0280340132</v>
      </c>
      <c r="L2421" s="83">
        <f>EFEITO!$N$2421*EFEITO!$AA$2421</f>
        <v>715923.44093875692</v>
      </c>
      <c r="M2421" s="83">
        <f>$J$2421-EFEITO!$K$2421*EFEITO!$Y$2421</f>
        <v>0</v>
      </c>
      <c r="N2421" s="83">
        <f ca="1">$K$2421-EFEITO!$M$2421*EFEITO!$Z$2421</f>
        <v>0</v>
      </c>
      <c r="O2421" s="83">
        <f>$L$2421-EFEITO!$O$2421*EFEITO!$AA$2421</f>
        <v>0</v>
      </c>
      <c r="P2421" s="61"/>
      <c r="Q2421" s="61"/>
      <c r="R2421" s="61"/>
      <c r="S2421" s="61"/>
      <c r="T2421" s="61"/>
      <c r="U2421" s="61"/>
      <c r="V2421" s="61"/>
      <c r="W2421" s="61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/>
      <c r="AJ2421" s="6"/>
    </row>
    <row r="2422" spans="1:36" ht="11.25" customHeight="1" x14ac:dyDescent="0.2">
      <c r="A2422" s="57" t="s">
        <v>27</v>
      </c>
      <c r="B2422" s="57" t="s">
        <v>41</v>
      </c>
      <c r="C2422" s="57" t="s">
        <v>23</v>
      </c>
      <c r="D2422" s="57" t="s">
        <v>42</v>
      </c>
      <c r="E2422" s="57" t="s">
        <v>25</v>
      </c>
      <c r="F2422" s="57" t="s">
        <v>25</v>
      </c>
      <c r="G2422" s="57" t="s">
        <v>25</v>
      </c>
      <c r="H2422" s="57" t="s">
        <v>25</v>
      </c>
      <c r="I2422" s="82">
        <v>44378</v>
      </c>
      <c r="J2422" s="83">
        <f>EFEITO!$J$2422*EFEITO!$Y$2422</f>
        <v>0</v>
      </c>
      <c r="K2422" s="83">
        <f ca="1">EFEITO!$L$2422*EFEITO!$Z$2422</f>
        <v>-11500.026535343271</v>
      </c>
      <c r="L2422" s="83">
        <f>EFEITO!$N$2422*EFEITO!$AA$2422</f>
        <v>-6747.6665734312064</v>
      </c>
      <c r="M2422" s="83">
        <f>$J$2422-EFEITO!$K$2422*EFEITO!$Y$2422</f>
        <v>0</v>
      </c>
      <c r="N2422" s="83">
        <f ca="1">$K$2422-EFEITO!$M$2422*EFEITO!$Z$2422</f>
        <v>0</v>
      </c>
      <c r="O2422" s="83">
        <f>$L$2422-EFEITO!$O$2422*EFEITO!$AA$2422</f>
        <v>0</v>
      </c>
      <c r="P2422" s="61"/>
      <c r="Q2422" s="61"/>
      <c r="R2422" s="61"/>
      <c r="S2422" s="61"/>
      <c r="T2422" s="61"/>
      <c r="U2422" s="61"/>
      <c r="V2422" s="61"/>
      <c r="W2422" s="61"/>
      <c r="X2422" s="6"/>
      <c r="Y2422" s="6"/>
      <c r="Z2422" s="6"/>
      <c r="AA2422" s="6"/>
      <c r="AB2422" s="6"/>
      <c r="AC2422" s="6"/>
      <c r="AD2422" s="6"/>
      <c r="AE2422" s="6"/>
      <c r="AF2422" s="6"/>
      <c r="AG2422" s="6"/>
      <c r="AH2422" s="6"/>
      <c r="AI2422" s="6"/>
      <c r="AJ2422" s="6"/>
    </row>
    <row r="2423" spans="1:36" ht="11.25" customHeight="1" x14ac:dyDescent="0.2">
      <c r="A2423" s="57" t="s">
        <v>28</v>
      </c>
      <c r="B2423" s="57" t="s">
        <v>41</v>
      </c>
      <c r="C2423" s="57" t="s">
        <v>23</v>
      </c>
      <c r="D2423" s="57" t="s">
        <v>42</v>
      </c>
      <c r="E2423" s="57" t="s">
        <v>25</v>
      </c>
      <c r="F2423" s="57" t="s">
        <v>25</v>
      </c>
      <c r="G2423" s="57" t="s">
        <v>25</v>
      </c>
      <c r="H2423" s="57" t="s">
        <v>25</v>
      </c>
      <c r="I2423" s="82">
        <v>44378</v>
      </c>
      <c r="J2423" s="83">
        <f>EFEITO!$J$2423*EFEITO!$Y$2423</f>
        <v>0</v>
      </c>
      <c r="K2423" s="83">
        <f ca="1">EFEITO!$L$2423*EFEITO!$Z$2423</f>
        <v>581987.75497373461</v>
      </c>
      <c r="L2423" s="83">
        <f>EFEITO!$N$2423*EFEITO!$AA$2423</f>
        <v>341482.63121945213</v>
      </c>
      <c r="M2423" s="83">
        <f>$J$2423-EFEITO!$K$2423*EFEITO!$Y$2423</f>
        <v>0</v>
      </c>
      <c r="N2423" s="83">
        <f ca="1">$K$2423-EFEITO!$M$2423*EFEITO!$Z$2423</f>
        <v>0</v>
      </c>
      <c r="O2423" s="83">
        <f>$L$2423-EFEITO!$O$2423*EFEITO!$AA$2423</f>
        <v>0</v>
      </c>
      <c r="P2423" s="61"/>
      <c r="Q2423" s="61"/>
      <c r="R2423" s="61"/>
      <c r="S2423" s="61"/>
      <c r="T2423" s="61"/>
      <c r="U2423" s="61"/>
      <c r="V2423" s="61"/>
      <c r="W2423" s="61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</row>
    <row r="2424" spans="1:36" ht="11.25" customHeight="1" x14ac:dyDescent="0.2">
      <c r="A2424" s="57" t="s">
        <v>29</v>
      </c>
      <c r="B2424" s="57" t="s">
        <v>41</v>
      </c>
      <c r="C2424" s="57" t="s">
        <v>23</v>
      </c>
      <c r="D2424" s="57" t="s">
        <v>42</v>
      </c>
      <c r="E2424" s="57" t="s">
        <v>25</v>
      </c>
      <c r="F2424" s="57" t="s">
        <v>25</v>
      </c>
      <c r="G2424" s="57" t="s">
        <v>25</v>
      </c>
      <c r="H2424" s="57" t="s">
        <v>25</v>
      </c>
      <c r="I2424" s="82">
        <v>44378</v>
      </c>
      <c r="J2424" s="83">
        <f>EFEITO!$J$2424*EFEITO!$Y$2424</f>
        <v>0</v>
      </c>
      <c r="K2424" s="83">
        <f ca="1">EFEITO!$L$2424*EFEITO!$Z$2424</f>
        <v>-1503.3508966216891</v>
      </c>
      <c r="L2424" s="83">
        <f>EFEITO!$N$2424*EFEITO!$AA$2424</f>
        <v>-882.09453796440368</v>
      </c>
      <c r="M2424" s="83">
        <f>$J$2424-EFEITO!$K$2424*EFEITO!$Y$2424</f>
        <v>0</v>
      </c>
      <c r="N2424" s="83">
        <f ca="1">$K$2424-EFEITO!$M$2424*EFEITO!$Z$2424</f>
        <v>0</v>
      </c>
      <c r="O2424" s="83">
        <f>$L$2424-EFEITO!$O$2424*EFEITO!$AA$2424</f>
        <v>0</v>
      </c>
      <c r="P2424" s="61"/>
      <c r="Q2424" s="61"/>
      <c r="R2424" s="61"/>
      <c r="S2424" s="61"/>
      <c r="T2424" s="61"/>
      <c r="U2424" s="61"/>
      <c r="V2424" s="61"/>
      <c r="W2424" s="61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/>
      <c r="AJ2424" s="6"/>
    </row>
    <row r="2425" spans="1:36" ht="11.25" customHeight="1" x14ac:dyDescent="0.2">
      <c r="A2425" s="57" t="s">
        <v>30</v>
      </c>
      <c r="B2425" s="57" t="s">
        <v>41</v>
      </c>
      <c r="C2425" s="57" t="s">
        <v>23</v>
      </c>
      <c r="D2425" s="57" t="s">
        <v>42</v>
      </c>
      <c r="E2425" s="57" t="s">
        <v>25</v>
      </c>
      <c r="F2425" s="57" t="s">
        <v>25</v>
      </c>
      <c r="G2425" s="57" t="s">
        <v>25</v>
      </c>
      <c r="H2425" s="57" t="s">
        <v>25</v>
      </c>
      <c r="I2425" s="82">
        <v>44378</v>
      </c>
      <c r="J2425" s="83">
        <f>EFEITO!$J$2425*EFEITO!$Y$2425</f>
        <v>0</v>
      </c>
      <c r="K2425" s="83">
        <f ca="1">EFEITO!$L$2425*EFEITO!$Z$2425</f>
        <v>25854.798910767349</v>
      </c>
      <c r="L2425" s="83">
        <f>EFEITO!$N$2425*EFEITO!$AA$2425</f>
        <v>15170.361723670829</v>
      </c>
      <c r="M2425" s="83">
        <f>$J$2425-EFEITO!$K$2425*EFEITO!$Y$2425</f>
        <v>0</v>
      </c>
      <c r="N2425" s="83">
        <f ca="1">$K$2425-EFEITO!$M$2425*EFEITO!$Z$2425</f>
        <v>0</v>
      </c>
      <c r="O2425" s="83">
        <f>$L$2425-EFEITO!$O$2425*EFEITO!$AA$2425</f>
        <v>0</v>
      </c>
      <c r="P2425" s="61"/>
      <c r="Q2425" s="61"/>
      <c r="R2425" s="61"/>
      <c r="S2425" s="61"/>
      <c r="T2425" s="61"/>
      <c r="U2425" s="61"/>
      <c r="V2425" s="61"/>
      <c r="W2425" s="61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/>
      <c r="AJ2425" s="6"/>
    </row>
    <row r="2426" spans="1:36" ht="11.25" customHeight="1" x14ac:dyDescent="0.2">
      <c r="A2426" s="57" t="s">
        <v>30</v>
      </c>
      <c r="B2426" s="57" t="s">
        <v>41</v>
      </c>
      <c r="C2426" s="57" t="s">
        <v>23</v>
      </c>
      <c r="D2426" s="57" t="s">
        <v>42</v>
      </c>
      <c r="E2426" s="57" t="s">
        <v>25</v>
      </c>
      <c r="F2426" s="57" t="s">
        <v>25</v>
      </c>
      <c r="G2426" s="57" t="s">
        <v>25</v>
      </c>
      <c r="H2426" s="57" t="s">
        <v>25</v>
      </c>
      <c r="I2426" s="82">
        <v>44378</v>
      </c>
      <c r="J2426" s="83">
        <f>EFEITO!$J$2426*EFEITO!$Y$2426</f>
        <v>0</v>
      </c>
      <c r="K2426" s="83">
        <f ca="1">EFEITO!$L$2426*EFEITO!$Z$2426</f>
        <v>-1076.3546682348683</v>
      </c>
      <c r="L2426" s="83">
        <f>EFEITO!$N$2426*EFEITO!$AA$2426</f>
        <v>-631.55353543610431</v>
      </c>
      <c r="M2426" s="83">
        <f>$J$2426-EFEITO!$K$2426*EFEITO!$Y$2426</f>
        <v>0</v>
      </c>
      <c r="N2426" s="83">
        <f ca="1">$K$2426-EFEITO!$M$2426*EFEITO!$Z$2426</f>
        <v>0</v>
      </c>
      <c r="O2426" s="83">
        <f>$L$2426-EFEITO!$O$2426*EFEITO!$AA$2426</f>
        <v>0</v>
      </c>
      <c r="P2426" s="61"/>
      <c r="Q2426" s="61"/>
      <c r="R2426" s="61"/>
      <c r="S2426" s="61"/>
      <c r="T2426" s="61"/>
      <c r="U2426" s="61"/>
      <c r="V2426" s="61"/>
      <c r="W2426" s="61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/>
      <c r="AJ2426" s="6"/>
    </row>
    <row r="2427" spans="1:36" ht="11.25" customHeight="1" x14ac:dyDescent="0.2">
      <c r="A2427" s="57" t="s">
        <v>21</v>
      </c>
      <c r="B2427" s="57" t="s">
        <v>41</v>
      </c>
      <c r="C2427" s="57" t="s">
        <v>23</v>
      </c>
      <c r="D2427" s="57" t="s">
        <v>42</v>
      </c>
      <c r="E2427" s="57" t="s">
        <v>25</v>
      </c>
      <c r="F2427" s="57" t="s">
        <v>25</v>
      </c>
      <c r="G2427" s="57" t="s">
        <v>25</v>
      </c>
      <c r="H2427" s="57" t="s">
        <v>25</v>
      </c>
      <c r="I2427" s="82">
        <v>44409</v>
      </c>
      <c r="J2427" s="83">
        <f>EFEITO!$J$2427*EFEITO!$Y$2427</f>
        <v>0</v>
      </c>
      <c r="K2427" s="83">
        <f ca="1">EFEITO!$L$2427*EFEITO!$Z$2427</f>
        <v>1377136.7884447027</v>
      </c>
      <c r="L2427" s="83">
        <f>EFEITO!$N$2427*EFEITO!$AA$2427</f>
        <v>808038.12459667039</v>
      </c>
      <c r="M2427" s="83">
        <f>$J$2427-EFEITO!$K$2427*EFEITO!$Y$2427</f>
        <v>0</v>
      </c>
      <c r="N2427" s="83">
        <f ca="1">$K$2427-EFEITO!$M$2427*EFEITO!$Z$2427</f>
        <v>0</v>
      </c>
      <c r="O2427" s="83">
        <f>$L$2427-EFEITO!$O$2427*EFEITO!$AA$2427</f>
        <v>0</v>
      </c>
      <c r="P2427" s="61"/>
      <c r="Q2427" s="61"/>
      <c r="R2427" s="61"/>
      <c r="S2427" s="61"/>
      <c r="T2427" s="61"/>
      <c r="U2427" s="61"/>
      <c r="V2427" s="61"/>
      <c r="W2427" s="61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/>
      <c r="AJ2427" s="6"/>
    </row>
    <row r="2428" spans="1:36" ht="11.25" customHeight="1" x14ac:dyDescent="0.2">
      <c r="A2428" s="57" t="s">
        <v>27</v>
      </c>
      <c r="B2428" s="57" t="s">
        <v>41</v>
      </c>
      <c r="C2428" s="57" t="s">
        <v>23</v>
      </c>
      <c r="D2428" s="57" t="s">
        <v>42</v>
      </c>
      <c r="E2428" s="57" t="s">
        <v>25</v>
      </c>
      <c r="F2428" s="57" t="s">
        <v>25</v>
      </c>
      <c r="G2428" s="57" t="s">
        <v>25</v>
      </c>
      <c r="H2428" s="57" t="s">
        <v>25</v>
      </c>
      <c r="I2428" s="82">
        <v>44409</v>
      </c>
      <c r="J2428" s="83">
        <f>EFEITO!$J$2428*EFEITO!$Y$2428</f>
        <v>0</v>
      </c>
      <c r="K2428" s="83">
        <f ca="1">EFEITO!$L$2428*EFEITO!$Z$2428</f>
        <v>-35257.326772623288</v>
      </c>
      <c r="L2428" s="83">
        <f>EFEITO!$N$2428*EFEITO!$AA$2428</f>
        <v>-20687.316207576903</v>
      </c>
      <c r="M2428" s="83">
        <f>$J$2428-EFEITO!$K$2428*EFEITO!$Y$2428</f>
        <v>0</v>
      </c>
      <c r="N2428" s="83">
        <f ca="1">$K$2428-EFEITO!$M$2428*EFEITO!$Z$2428</f>
        <v>0</v>
      </c>
      <c r="O2428" s="83">
        <f>$L$2428-EFEITO!$O$2428*EFEITO!$AA$2428</f>
        <v>0</v>
      </c>
      <c r="P2428" s="61"/>
      <c r="Q2428" s="61"/>
      <c r="R2428" s="61"/>
      <c r="S2428" s="61"/>
      <c r="T2428" s="61"/>
      <c r="U2428" s="61"/>
      <c r="V2428" s="61"/>
      <c r="W2428" s="61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/>
      <c r="AJ2428" s="6"/>
    </row>
    <row r="2429" spans="1:36" ht="11.25" customHeight="1" x14ac:dyDescent="0.2">
      <c r="A2429" s="57" t="s">
        <v>28</v>
      </c>
      <c r="B2429" s="57" t="s">
        <v>41</v>
      </c>
      <c r="C2429" s="57" t="s">
        <v>23</v>
      </c>
      <c r="D2429" s="57" t="s">
        <v>42</v>
      </c>
      <c r="E2429" s="57" t="s">
        <v>25</v>
      </c>
      <c r="F2429" s="57" t="s">
        <v>25</v>
      </c>
      <c r="G2429" s="57" t="s">
        <v>25</v>
      </c>
      <c r="H2429" s="57" t="s">
        <v>25</v>
      </c>
      <c r="I2429" s="82">
        <v>44409</v>
      </c>
      <c r="J2429" s="83">
        <f>EFEITO!$J$2429*EFEITO!$Y$2429</f>
        <v>0</v>
      </c>
      <c r="K2429" s="83">
        <f ca="1">EFEITO!$L$2429*EFEITO!$Z$2429</f>
        <v>532736.2979545265</v>
      </c>
      <c r="L2429" s="83">
        <f>EFEITO!$N$2429*EFEITO!$AA$2429</f>
        <v>312584.2274462147</v>
      </c>
      <c r="M2429" s="83">
        <f>$J$2429-EFEITO!$K$2429*EFEITO!$Y$2429</f>
        <v>0</v>
      </c>
      <c r="N2429" s="83">
        <f ca="1">$K$2429-EFEITO!$M$2429*EFEITO!$Z$2429</f>
        <v>0</v>
      </c>
      <c r="O2429" s="83">
        <f>$L$2429-EFEITO!$O$2429*EFEITO!$AA$2429</f>
        <v>0</v>
      </c>
      <c r="P2429" s="61"/>
      <c r="Q2429" s="61"/>
      <c r="R2429" s="61"/>
      <c r="S2429" s="61"/>
      <c r="T2429" s="61"/>
      <c r="U2429" s="61"/>
      <c r="V2429" s="61"/>
      <c r="W2429" s="61"/>
      <c r="X2429" s="6"/>
      <c r="Y2429" s="6"/>
      <c r="Z2429" s="6"/>
      <c r="AA2429" s="6"/>
      <c r="AB2429" s="6"/>
      <c r="AC2429" s="6"/>
      <c r="AD2429" s="6"/>
      <c r="AE2429" s="6"/>
      <c r="AF2429" s="6"/>
      <c r="AG2429" s="6"/>
      <c r="AH2429" s="6"/>
      <c r="AI2429" s="6"/>
      <c r="AJ2429" s="6"/>
    </row>
    <row r="2430" spans="1:36" ht="11.25" customHeight="1" x14ac:dyDescent="0.2">
      <c r="A2430" s="57" t="s">
        <v>29</v>
      </c>
      <c r="B2430" s="57" t="s">
        <v>41</v>
      </c>
      <c r="C2430" s="57" t="s">
        <v>23</v>
      </c>
      <c r="D2430" s="57" t="s">
        <v>42</v>
      </c>
      <c r="E2430" s="57" t="s">
        <v>25</v>
      </c>
      <c r="F2430" s="57" t="s">
        <v>25</v>
      </c>
      <c r="G2430" s="57" t="s">
        <v>25</v>
      </c>
      <c r="H2430" s="57" t="s">
        <v>25</v>
      </c>
      <c r="I2430" s="82">
        <v>44409</v>
      </c>
      <c r="J2430" s="83">
        <f>EFEITO!$J$2430*EFEITO!$Y$2430</f>
        <v>0</v>
      </c>
      <c r="K2430" s="83">
        <f ca="1">EFEITO!$L$2430*EFEITO!$Z$2430</f>
        <v>2026.0793755009288</v>
      </c>
      <c r="L2430" s="83">
        <f>EFEITO!$N$2430*EFEITO!$AA$2430</f>
        <v>1188.8066549385494</v>
      </c>
      <c r="M2430" s="83">
        <f>$J$2430-EFEITO!$K$2430*EFEITO!$Y$2430</f>
        <v>0</v>
      </c>
      <c r="N2430" s="83">
        <f ca="1">$K$2430-EFEITO!$M$2430*EFEITO!$Z$2430</f>
        <v>0</v>
      </c>
      <c r="O2430" s="83">
        <f>$L$2430-EFEITO!$O$2430*EFEITO!$AA$2430</f>
        <v>0</v>
      </c>
      <c r="P2430" s="61"/>
      <c r="Q2430" s="61"/>
      <c r="R2430" s="61"/>
      <c r="S2430" s="61"/>
      <c r="T2430" s="61"/>
      <c r="U2430" s="61"/>
      <c r="V2430" s="61"/>
      <c r="W2430" s="61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</row>
    <row r="2431" spans="1:36" ht="11.25" customHeight="1" x14ac:dyDescent="0.2">
      <c r="A2431" s="57" t="s">
        <v>30</v>
      </c>
      <c r="B2431" s="57" t="s">
        <v>41</v>
      </c>
      <c r="C2431" s="57" t="s">
        <v>23</v>
      </c>
      <c r="D2431" s="57" t="s">
        <v>42</v>
      </c>
      <c r="E2431" s="57" t="s">
        <v>25</v>
      </c>
      <c r="F2431" s="57" t="s">
        <v>25</v>
      </c>
      <c r="G2431" s="57" t="s">
        <v>25</v>
      </c>
      <c r="H2431" s="57" t="s">
        <v>25</v>
      </c>
      <c r="I2431" s="82">
        <v>44409</v>
      </c>
      <c r="J2431" s="83">
        <f>EFEITO!$J$2431*EFEITO!$Y$2431</f>
        <v>0</v>
      </c>
      <c r="K2431" s="83">
        <f ca="1">EFEITO!$L$2431*EFEITO!$Z$2431</f>
        <v>25815.79688278896</v>
      </c>
      <c r="L2431" s="83">
        <f>EFEITO!$N$2431*EFEITO!$AA$2431</f>
        <v>15147.477195563262</v>
      </c>
      <c r="M2431" s="83">
        <f>$J$2431-EFEITO!$K$2431*EFEITO!$Y$2431</f>
        <v>0</v>
      </c>
      <c r="N2431" s="83">
        <f ca="1">$K$2431-EFEITO!$M$2431*EFEITO!$Z$2431</f>
        <v>0</v>
      </c>
      <c r="O2431" s="83">
        <f>$L$2431-EFEITO!$O$2431*EFEITO!$AA$2431</f>
        <v>0</v>
      </c>
      <c r="P2431" s="61"/>
      <c r="Q2431" s="61"/>
      <c r="R2431" s="61"/>
      <c r="S2431" s="61"/>
      <c r="T2431" s="61"/>
      <c r="U2431" s="61"/>
      <c r="V2431" s="61"/>
      <c r="W2431" s="61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/>
      <c r="AJ2431" s="6"/>
    </row>
    <row r="2432" spans="1:36" ht="11.25" customHeight="1" x14ac:dyDescent="0.2">
      <c r="A2432" s="57" t="s">
        <v>21</v>
      </c>
      <c r="B2432" s="57" t="s">
        <v>41</v>
      </c>
      <c r="C2432" s="57" t="s">
        <v>23</v>
      </c>
      <c r="D2432" s="57" t="s">
        <v>42</v>
      </c>
      <c r="E2432" s="57" t="s">
        <v>25</v>
      </c>
      <c r="F2432" s="57" t="s">
        <v>25</v>
      </c>
      <c r="G2432" s="57" t="s">
        <v>25</v>
      </c>
      <c r="H2432" s="57" t="s">
        <v>25</v>
      </c>
      <c r="I2432" s="82">
        <v>44440</v>
      </c>
      <c r="J2432" s="83">
        <f>EFEITO!$J$2432*EFEITO!$Y$2432</f>
        <v>0</v>
      </c>
      <c r="K2432" s="83">
        <f ca="1">EFEITO!$L$2432*EFEITO!$Z$2432</f>
        <v>1177946.8468010798</v>
      </c>
      <c r="L2432" s="83">
        <f>EFEITO!$N$2432*EFEITO!$AA$2432</f>
        <v>691162.97592969681</v>
      </c>
      <c r="M2432" s="83">
        <f>$J$2432-EFEITO!$K$2432*EFEITO!$Y$2432</f>
        <v>0</v>
      </c>
      <c r="N2432" s="83">
        <f ca="1">$K$2432-EFEITO!$M$2432*EFEITO!$Z$2432</f>
        <v>0</v>
      </c>
      <c r="O2432" s="83">
        <f>$L$2432-EFEITO!$O$2432*EFEITO!$AA$2432</f>
        <v>0</v>
      </c>
      <c r="P2432" s="61"/>
      <c r="Q2432" s="61"/>
      <c r="R2432" s="61"/>
      <c r="S2432" s="61"/>
      <c r="T2432" s="61"/>
      <c r="U2432" s="61"/>
      <c r="V2432" s="61"/>
      <c r="W2432" s="61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</row>
    <row r="2433" spans="1:36" ht="11.25" customHeight="1" x14ac:dyDescent="0.2">
      <c r="A2433" s="57" t="s">
        <v>27</v>
      </c>
      <c r="B2433" s="57" t="s">
        <v>41</v>
      </c>
      <c r="C2433" s="57" t="s">
        <v>23</v>
      </c>
      <c r="D2433" s="57" t="s">
        <v>42</v>
      </c>
      <c r="E2433" s="57" t="s">
        <v>25</v>
      </c>
      <c r="F2433" s="57" t="s">
        <v>25</v>
      </c>
      <c r="G2433" s="57" t="s">
        <v>25</v>
      </c>
      <c r="H2433" s="57" t="s">
        <v>25</v>
      </c>
      <c r="I2433" s="82">
        <v>44440</v>
      </c>
      <c r="J2433" s="83">
        <f>EFEITO!$J$2433*EFEITO!$Y$2433</f>
        <v>0</v>
      </c>
      <c r="K2433" s="83">
        <f ca="1">EFEITO!$L$2433*EFEITO!$Z$2433</f>
        <v>-89652.492806384485</v>
      </c>
      <c r="L2433" s="83">
        <f>EFEITO!$N$2433*EFEITO!$AA$2433</f>
        <v>-52603.802876039612</v>
      </c>
      <c r="M2433" s="83">
        <f>$J$2433-EFEITO!$K$2433*EFEITO!$Y$2433</f>
        <v>0</v>
      </c>
      <c r="N2433" s="83">
        <f ca="1">$K$2433-EFEITO!$M$2433*EFEITO!$Z$2433</f>
        <v>0</v>
      </c>
      <c r="O2433" s="83">
        <f>$L$2433-EFEITO!$O$2433*EFEITO!$AA$2433</f>
        <v>0</v>
      </c>
      <c r="P2433" s="61"/>
      <c r="Q2433" s="61"/>
      <c r="R2433" s="61"/>
      <c r="S2433" s="61"/>
      <c r="T2433" s="61"/>
      <c r="U2433" s="61"/>
      <c r="V2433" s="61"/>
      <c r="W2433" s="61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</row>
    <row r="2434" spans="1:36" ht="11.25" customHeight="1" x14ac:dyDescent="0.2">
      <c r="A2434" s="57" t="s">
        <v>28</v>
      </c>
      <c r="B2434" s="57" t="s">
        <v>41</v>
      </c>
      <c r="C2434" s="57" t="s">
        <v>23</v>
      </c>
      <c r="D2434" s="57" t="s">
        <v>42</v>
      </c>
      <c r="E2434" s="57" t="s">
        <v>25</v>
      </c>
      <c r="F2434" s="57" t="s">
        <v>25</v>
      </c>
      <c r="G2434" s="57" t="s">
        <v>25</v>
      </c>
      <c r="H2434" s="57" t="s">
        <v>25</v>
      </c>
      <c r="I2434" s="82">
        <v>44440</v>
      </c>
      <c r="J2434" s="83">
        <f>EFEITO!$J$2434*EFEITO!$Y$2434</f>
        <v>0</v>
      </c>
      <c r="K2434" s="83">
        <f ca="1">EFEITO!$L$2434*EFEITO!$Z$2434</f>
        <v>528525.59849239164</v>
      </c>
      <c r="L2434" s="83">
        <f>EFEITO!$N$2434*EFEITO!$AA$2434</f>
        <v>310113.59001558868</v>
      </c>
      <c r="M2434" s="83">
        <f>$J$2434-EFEITO!$K$2434*EFEITO!$Y$2434</f>
        <v>0</v>
      </c>
      <c r="N2434" s="83">
        <f ca="1">$K$2434-EFEITO!$M$2434*EFEITO!$Z$2434</f>
        <v>0</v>
      </c>
      <c r="O2434" s="83">
        <f>$L$2434-EFEITO!$O$2434*EFEITO!$AA$2434</f>
        <v>0</v>
      </c>
      <c r="P2434" s="61"/>
      <c r="Q2434" s="61"/>
      <c r="R2434" s="61"/>
      <c r="S2434" s="61"/>
      <c r="T2434" s="61"/>
      <c r="U2434" s="61"/>
      <c r="V2434" s="61"/>
      <c r="W2434" s="61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</row>
    <row r="2435" spans="1:36" ht="11.25" customHeight="1" x14ac:dyDescent="0.2">
      <c r="A2435" s="57" t="s">
        <v>29</v>
      </c>
      <c r="B2435" s="57" t="s">
        <v>41</v>
      </c>
      <c r="C2435" s="57" t="s">
        <v>23</v>
      </c>
      <c r="D2435" s="57" t="s">
        <v>42</v>
      </c>
      <c r="E2435" s="57" t="s">
        <v>25</v>
      </c>
      <c r="F2435" s="57" t="s">
        <v>25</v>
      </c>
      <c r="G2435" s="57" t="s">
        <v>25</v>
      </c>
      <c r="H2435" s="57" t="s">
        <v>25</v>
      </c>
      <c r="I2435" s="82">
        <v>44440</v>
      </c>
      <c r="J2435" s="83">
        <f>EFEITO!$J$2435*EFEITO!$Y$2435</f>
        <v>0</v>
      </c>
      <c r="K2435" s="83">
        <f ca="1">EFEITO!$L$2435*EFEITO!$Z$2435</f>
        <v>-766.36452378322622</v>
      </c>
      <c r="L2435" s="83">
        <f>EFEITO!$N$2435*EFEITO!$AA$2435</f>
        <v>-449.6661172305063</v>
      </c>
      <c r="M2435" s="83">
        <f>$J$2435-EFEITO!$K$2435*EFEITO!$Y$2435</f>
        <v>0</v>
      </c>
      <c r="N2435" s="83">
        <f ca="1">$K$2435-EFEITO!$M$2435*EFEITO!$Z$2435</f>
        <v>0</v>
      </c>
      <c r="O2435" s="83">
        <f>$L$2435-EFEITO!$O$2435*EFEITO!$AA$2435</f>
        <v>0</v>
      </c>
      <c r="P2435" s="61"/>
      <c r="Q2435" s="61"/>
      <c r="R2435" s="61"/>
      <c r="S2435" s="61"/>
      <c r="T2435" s="61"/>
      <c r="U2435" s="61"/>
      <c r="V2435" s="61"/>
      <c r="W2435" s="61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</row>
    <row r="2436" spans="1:36" ht="11.25" customHeight="1" x14ac:dyDescent="0.2">
      <c r="A2436" s="57" t="s">
        <v>30</v>
      </c>
      <c r="B2436" s="57" t="s">
        <v>41</v>
      </c>
      <c r="C2436" s="57" t="s">
        <v>23</v>
      </c>
      <c r="D2436" s="57" t="s">
        <v>42</v>
      </c>
      <c r="E2436" s="57" t="s">
        <v>25</v>
      </c>
      <c r="F2436" s="57" t="s">
        <v>25</v>
      </c>
      <c r="G2436" s="57" t="s">
        <v>25</v>
      </c>
      <c r="H2436" s="57" t="s">
        <v>25</v>
      </c>
      <c r="I2436" s="82">
        <v>44440</v>
      </c>
      <c r="J2436" s="83">
        <f>EFEITO!$J$2436*EFEITO!$Y$2436</f>
        <v>0</v>
      </c>
      <c r="K2436" s="83">
        <f ca="1">EFEITO!$L$2436*EFEITO!$Z$2436</f>
        <v>34161.217830477282</v>
      </c>
      <c r="L2436" s="83">
        <f>EFEITO!$N$2436*EFEITO!$AA$2436</f>
        <v>20044.171807255145</v>
      </c>
      <c r="M2436" s="83">
        <f>$J$2436-EFEITO!$K$2436*EFEITO!$Y$2436</f>
        <v>0</v>
      </c>
      <c r="N2436" s="83">
        <f ca="1">$K$2436-EFEITO!$M$2436*EFEITO!$Z$2436</f>
        <v>0</v>
      </c>
      <c r="O2436" s="83">
        <f>$L$2436-EFEITO!$O$2436*EFEITO!$AA$2436</f>
        <v>0</v>
      </c>
      <c r="P2436" s="61"/>
      <c r="Q2436" s="61"/>
      <c r="R2436" s="61"/>
      <c r="S2436" s="61"/>
      <c r="T2436" s="61"/>
      <c r="U2436" s="61"/>
      <c r="V2436" s="61"/>
      <c r="W2436" s="61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</row>
    <row r="2437" spans="1:36" ht="11.25" customHeight="1" x14ac:dyDescent="0.2">
      <c r="A2437" s="57" t="s">
        <v>30</v>
      </c>
      <c r="B2437" s="57" t="s">
        <v>41</v>
      </c>
      <c r="C2437" s="57" t="s">
        <v>23</v>
      </c>
      <c r="D2437" s="57" t="s">
        <v>42</v>
      </c>
      <c r="E2437" s="57" t="s">
        <v>25</v>
      </c>
      <c r="F2437" s="57" t="s">
        <v>25</v>
      </c>
      <c r="G2437" s="57" t="s">
        <v>25</v>
      </c>
      <c r="H2437" s="57" t="s">
        <v>25</v>
      </c>
      <c r="I2437" s="82">
        <v>44440</v>
      </c>
      <c r="J2437" s="83">
        <f>EFEITO!$J$2437*EFEITO!$Y$2437</f>
        <v>0</v>
      </c>
      <c r="K2437" s="83">
        <f ca="1">EFEITO!$L$2437*EFEITO!$Z$2437</f>
        <v>-781.05359925560811</v>
      </c>
      <c r="L2437" s="83">
        <f>EFEITO!$N$2437*EFEITO!$AA$2437</f>
        <v>-458.28496547881082</v>
      </c>
      <c r="M2437" s="83">
        <f>$J$2437-EFEITO!$K$2437*EFEITO!$Y$2437</f>
        <v>0</v>
      </c>
      <c r="N2437" s="83">
        <f ca="1">$K$2437-EFEITO!$M$2437*EFEITO!$Z$2437</f>
        <v>0</v>
      </c>
      <c r="O2437" s="83">
        <f>$L$2437-EFEITO!$O$2437*EFEITO!$AA$2437</f>
        <v>0</v>
      </c>
      <c r="P2437" s="61"/>
      <c r="Q2437" s="61"/>
      <c r="R2437" s="61"/>
      <c r="S2437" s="61"/>
      <c r="T2437" s="61"/>
      <c r="U2437" s="61"/>
      <c r="V2437" s="61"/>
      <c r="W2437" s="61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/>
      <c r="AJ2437" s="6"/>
    </row>
    <row r="2438" spans="1:36" ht="11.25" customHeight="1" x14ac:dyDescent="0.2">
      <c r="A2438" s="57" t="s">
        <v>59</v>
      </c>
      <c r="B2438" s="57" t="s">
        <v>41</v>
      </c>
      <c r="C2438" s="57" t="s">
        <v>23</v>
      </c>
      <c r="D2438" s="57" t="s">
        <v>42</v>
      </c>
      <c r="E2438" s="57" t="s">
        <v>25</v>
      </c>
      <c r="F2438" s="57" t="s">
        <v>25</v>
      </c>
      <c r="G2438" s="57" t="s">
        <v>25</v>
      </c>
      <c r="H2438" s="57" t="s">
        <v>25</v>
      </c>
      <c r="I2438" s="82">
        <v>44470</v>
      </c>
      <c r="J2438" s="83">
        <f>EFEITO!$J$2438*EFEITO!$Y$2438</f>
        <v>0</v>
      </c>
      <c r="K2438" s="83">
        <f ca="1">EFEITO!$L$2438*EFEITO!$Z$2438</f>
        <v>1177946.8468010798</v>
      </c>
      <c r="L2438" s="83">
        <f>EFEITO!$N$2438*EFEITO!$AA$2438</f>
        <v>691162.97592969681</v>
      </c>
      <c r="M2438" s="83">
        <f>$J$2438-EFEITO!$K$2438*EFEITO!$Y$2438</f>
        <v>0</v>
      </c>
      <c r="N2438" s="83">
        <f ca="1">$K$2438-EFEITO!$M$2438*EFEITO!$Z$2438</f>
        <v>0</v>
      </c>
      <c r="O2438" s="83">
        <f>$L$2438-EFEITO!$O$2438*EFEITO!$AA$2438</f>
        <v>0</v>
      </c>
      <c r="P2438" s="61"/>
      <c r="Q2438" s="61"/>
      <c r="R2438" s="61"/>
      <c r="S2438" s="61"/>
      <c r="T2438" s="61"/>
      <c r="U2438" s="61"/>
      <c r="V2438" s="61"/>
      <c r="W2438" s="61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/>
      <c r="AJ2438" s="6"/>
    </row>
    <row r="2439" spans="1:36" ht="11.25" customHeight="1" x14ac:dyDescent="0.2">
      <c r="A2439" s="57" t="s">
        <v>59</v>
      </c>
      <c r="B2439" s="57" t="s">
        <v>41</v>
      </c>
      <c r="C2439" s="57" t="s">
        <v>23</v>
      </c>
      <c r="D2439" s="57" t="s">
        <v>42</v>
      </c>
      <c r="E2439" s="57" t="s">
        <v>25</v>
      </c>
      <c r="F2439" s="57" t="s">
        <v>25</v>
      </c>
      <c r="G2439" s="57" t="s">
        <v>25</v>
      </c>
      <c r="H2439" s="57" t="s">
        <v>25</v>
      </c>
      <c r="I2439" s="82">
        <v>44470</v>
      </c>
      <c r="J2439" s="83">
        <f>EFEITO!$J$2439*EFEITO!$Y$2439</f>
        <v>0</v>
      </c>
      <c r="K2439" s="83">
        <f ca="1">EFEITO!$L$2439*EFEITO!$Z$2439</f>
        <v>-89652.492806384485</v>
      </c>
      <c r="L2439" s="83">
        <f>EFEITO!$N$2439*EFEITO!$AA$2439</f>
        <v>-52603.802876039612</v>
      </c>
      <c r="M2439" s="83">
        <f>$J$2439-EFEITO!$K$2439*EFEITO!$Y$2439</f>
        <v>0</v>
      </c>
      <c r="N2439" s="83">
        <f ca="1">$K$2439-EFEITO!$M$2439*EFEITO!$Z$2439</f>
        <v>0</v>
      </c>
      <c r="O2439" s="83">
        <f>$L$2439-EFEITO!$O$2439*EFEITO!$AA$2439</f>
        <v>0</v>
      </c>
      <c r="P2439" s="61"/>
      <c r="Q2439" s="61"/>
      <c r="R2439" s="61"/>
      <c r="S2439" s="61"/>
      <c r="T2439" s="61"/>
      <c r="U2439" s="61"/>
      <c r="V2439" s="61"/>
      <c r="W2439" s="61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/>
      <c r="AJ2439" s="6"/>
    </row>
    <row r="2440" spans="1:36" ht="11.25" customHeight="1" x14ac:dyDescent="0.2">
      <c r="A2440" s="57" t="s">
        <v>59</v>
      </c>
      <c r="B2440" s="57" t="s">
        <v>41</v>
      </c>
      <c r="C2440" s="57" t="s">
        <v>23</v>
      </c>
      <c r="D2440" s="57" t="s">
        <v>42</v>
      </c>
      <c r="E2440" s="57" t="s">
        <v>25</v>
      </c>
      <c r="F2440" s="57" t="s">
        <v>25</v>
      </c>
      <c r="G2440" s="57" t="s">
        <v>25</v>
      </c>
      <c r="H2440" s="57" t="s">
        <v>25</v>
      </c>
      <c r="I2440" s="82">
        <v>44470</v>
      </c>
      <c r="J2440" s="83">
        <f>EFEITO!$J$2440*EFEITO!$Y$2440</f>
        <v>0</v>
      </c>
      <c r="K2440" s="83">
        <f ca="1">EFEITO!$L$2440*EFEITO!$Z$2440</f>
        <v>528525.59849239164</v>
      </c>
      <c r="L2440" s="83">
        <f>EFEITO!$N$2440*EFEITO!$AA$2440</f>
        <v>310113.59001558868</v>
      </c>
      <c r="M2440" s="83">
        <f>$J$2440-EFEITO!$K$2440*EFEITO!$Y$2440</f>
        <v>0</v>
      </c>
      <c r="N2440" s="83">
        <f ca="1">$K$2440-EFEITO!$M$2440*EFEITO!$Z$2440</f>
        <v>0</v>
      </c>
      <c r="O2440" s="83">
        <f>$L$2440-EFEITO!$O$2440*EFEITO!$AA$2440</f>
        <v>0</v>
      </c>
      <c r="P2440" s="61"/>
      <c r="Q2440" s="61"/>
      <c r="R2440" s="61"/>
      <c r="S2440" s="61"/>
      <c r="T2440" s="61"/>
      <c r="U2440" s="61"/>
      <c r="V2440" s="61"/>
      <c r="W2440" s="61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/>
      <c r="AJ2440" s="6"/>
    </row>
    <row r="2441" spans="1:36" ht="11.25" customHeight="1" x14ac:dyDescent="0.2">
      <c r="A2441" s="57" t="s">
        <v>59</v>
      </c>
      <c r="B2441" s="57" t="s">
        <v>41</v>
      </c>
      <c r="C2441" s="57" t="s">
        <v>23</v>
      </c>
      <c r="D2441" s="57" t="s">
        <v>42</v>
      </c>
      <c r="E2441" s="57" t="s">
        <v>25</v>
      </c>
      <c r="F2441" s="57" t="s">
        <v>25</v>
      </c>
      <c r="G2441" s="57" t="s">
        <v>25</v>
      </c>
      <c r="H2441" s="57" t="s">
        <v>25</v>
      </c>
      <c r="I2441" s="82">
        <v>44470</v>
      </c>
      <c r="J2441" s="83">
        <f>EFEITO!$J$2441*EFEITO!$Y$2441</f>
        <v>0</v>
      </c>
      <c r="K2441" s="83">
        <f ca="1">EFEITO!$L$2441*EFEITO!$Z$2441</f>
        <v>-766.36452378322622</v>
      </c>
      <c r="L2441" s="83">
        <f>EFEITO!$N$2441*EFEITO!$AA$2441</f>
        <v>-449.6661172305063</v>
      </c>
      <c r="M2441" s="83">
        <f>$J$2441-EFEITO!$K$2441*EFEITO!$Y$2441</f>
        <v>0</v>
      </c>
      <c r="N2441" s="83">
        <f ca="1">$K$2441-EFEITO!$M$2441*EFEITO!$Z$2441</f>
        <v>0</v>
      </c>
      <c r="O2441" s="83">
        <f>$L$2441-EFEITO!$O$2441*EFEITO!$AA$2441</f>
        <v>0</v>
      </c>
      <c r="P2441" s="61"/>
      <c r="Q2441" s="61"/>
      <c r="R2441" s="61"/>
      <c r="S2441" s="61"/>
      <c r="T2441" s="61"/>
      <c r="U2441" s="61"/>
      <c r="V2441" s="61"/>
      <c r="W2441" s="61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/>
      <c r="AJ2441" s="6"/>
    </row>
    <row r="2442" spans="1:36" ht="11.25" customHeight="1" x14ac:dyDescent="0.2">
      <c r="A2442" s="57" t="s">
        <v>59</v>
      </c>
      <c r="B2442" s="57" t="s">
        <v>41</v>
      </c>
      <c r="C2442" s="57" t="s">
        <v>23</v>
      </c>
      <c r="D2442" s="57" t="s">
        <v>42</v>
      </c>
      <c r="E2442" s="57" t="s">
        <v>25</v>
      </c>
      <c r="F2442" s="57" t="s">
        <v>25</v>
      </c>
      <c r="G2442" s="57" t="s">
        <v>25</v>
      </c>
      <c r="H2442" s="57" t="s">
        <v>25</v>
      </c>
      <c r="I2442" s="82">
        <v>44470</v>
      </c>
      <c r="J2442" s="83">
        <f>EFEITO!$J$2442*EFEITO!$Y$2442</f>
        <v>0</v>
      </c>
      <c r="K2442" s="83">
        <f ca="1">EFEITO!$L$2442*EFEITO!$Z$2442</f>
        <v>34161.217830477282</v>
      </c>
      <c r="L2442" s="83">
        <f>EFEITO!$N$2442*EFEITO!$AA$2442</f>
        <v>20044.171807255145</v>
      </c>
      <c r="M2442" s="83">
        <f>$J$2442-EFEITO!$K$2442*EFEITO!$Y$2442</f>
        <v>0</v>
      </c>
      <c r="N2442" s="83">
        <f ca="1">$K$2442-EFEITO!$M$2442*EFEITO!$Z$2442</f>
        <v>0</v>
      </c>
      <c r="O2442" s="83">
        <f>$L$2442-EFEITO!$O$2442*EFEITO!$AA$2442</f>
        <v>0</v>
      </c>
      <c r="P2442" s="61"/>
      <c r="Q2442" s="61"/>
      <c r="R2442" s="61"/>
      <c r="S2442" s="61"/>
      <c r="T2442" s="61"/>
      <c r="U2442" s="61"/>
      <c r="V2442" s="61"/>
      <c r="W2442" s="61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</row>
    <row r="2443" spans="1:36" ht="11.25" customHeight="1" x14ac:dyDescent="0.2">
      <c r="A2443" s="57" t="s">
        <v>59</v>
      </c>
      <c r="B2443" s="57" t="s">
        <v>41</v>
      </c>
      <c r="C2443" s="57" t="s">
        <v>23</v>
      </c>
      <c r="D2443" s="57" t="s">
        <v>42</v>
      </c>
      <c r="E2443" s="57" t="s">
        <v>25</v>
      </c>
      <c r="F2443" s="57" t="s">
        <v>25</v>
      </c>
      <c r="G2443" s="57" t="s">
        <v>25</v>
      </c>
      <c r="H2443" s="57" t="s">
        <v>25</v>
      </c>
      <c r="I2443" s="82">
        <v>44470</v>
      </c>
      <c r="J2443" s="83">
        <f>EFEITO!$J$2443*EFEITO!$Y$2443</f>
        <v>0</v>
      </c>
      <c r="K2443" s="83">
        <f ca="1">EFEITO!$L$2443*EFEITO!$Z$2443</f>
        <v>-781.05359925560811</v>
      </c>
      <c r="L2443" s="83">
        <f>EFEITO!$N$2443*EFEITO!$AA$2443</f>
        <v>-458.28496547881082</v>
      </c>
      <c r="M2443" s="83">
        <f>$J$2443-EFEITO!$K$2443*EFEITO!$Y$2443</f>
        <v>0</v>
      </c>
      <c r="N2443" s="83">
        <f ca="1">$K$2443-EFEITO!$M$2443*EFEITO!$Z$2443</f>
        <v>0</v>
      </c>
      <c r="O2443" s="83">
        <f>$L$2443-EFEITO!$O$2443*EFEITO!$AA$2443</f>
        <v>0</v>
      </c>
      <c r="P2443" s="61"/>
      <c r="Q2443" s="61"/>
      <c r="R2443" s="61"/>
      <c r="S2443" s="61"/>
      <c r="T2443" s="61"/>
      <c r="U2443" s="61"/>
      <c r="V2443" s="61"/>
      <c r="W2443" s="61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/>
      <c r="AJ2443" s="6"/>
    </row>
    <row r="2444" spans="1:36" ht="11.25" customHeight="1" x14ac:dyDescent="0.2">
      <c r="A2444" s="57" t="s">
        <v>21</v>
      </c>
      <c r="B2444" s="57" t="s">
        <v>41</v>
      </c>
      <c r="C2444" s="57" t="s">
        <v>23</v>
      </c>
      <c r="D2444" s="57" t="s">
        <v>48</v>
      </c>
      <c r="E2444" s="57" t="s">
        <v>25</v>
      </c>
      <c r="F2444" s="57" t="s">
        <v>25</v>
      </c>
      <c r="G2444" s="57" t="s">
        <v>25</v>
      </c>
      <c r="H2444" s="57" t="s">
        <v>25</v>
      </c>
      <c r="I2444" s="82">
        <v>44136</v>
      </c>
      <c r="J2444" s="83">
        <f>EFEITO!$J$2444*EFEITO!$Y$2444</f>
        <v>0</v>
      </c>
      <c r="K2444" s="83">
        <f ca="1">EFEITO!$L$2444*EFEITO!$Z$2444</f>
        <v>2094465.6326622115</v>
      </c>
      <c r="L2444" s="83">
        <f>EFEITO!$N$2444*EFEITO!$AA$2444</f>
        <v>1228932.4459626903</v>
      </c>
      <c r="M2444" s="83">
        <f>$J$2444-EFEITO!$K$2444*EFEITO!$Y$2444</f>
        <v>0</v>
      </c>
      <c r="N2444" s="83">
        <f ca="1">$K$2444-EFEITO!$M$2444*EFEITO!$Z$2444</f>
        <v>0</v>
      </c>
      <c r="O2444" s="83">
        <f>$L$2444-EFEITO!$O$2444*EFEITO!$AA$2444</f>
        <v>0</v>
      </c>
      <c r="P2444" s="61"/>
      <c r="Q2444" s="61"/>
      <c r="R2444" s="61"/>
      <c r="S2444" s="61"/>
      <c r="T2444" s="61"/>
      <c r="U2444" s="61"/>
      <c r="V2444" s="61"/>
      <c r="W2444" s="61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/>
      <c r="AJ2444" s="6"/>
    </row>
    <row r="2445" spans="1:36" ht="11.25" customHeight="1" x14ac:dyDescent="0.2">
      <c r="A2445" s="57" t="s">
        <v>27</v>
      </c>
      <c r="B2445" s="57" t="s">
        <v>41</v>
      </c>
      <c r="C2445" s="57" t="s">
        <v>23</v>
      </c>
      <c r="D2445" s="57" t="s">
        <v>48</v>
      </c>
      <c r="E2445" s="57" t="s">
        <v>25</v>
      </c>
      <c r="F2445" s="57" t="s">
        <v>25</v>
      </c>
      <c r="G2445" s="57" t="s">
        <v>25</v>
      </c>
      <c r="H2445" s="57" t="s">
        <v>25</v>
      </c>
      <c r="I2445" s="82">
        <v>44136</v>
      </c>
      <c r="J2445" s="83">
        <f>EFEITO!$J$2445*EFEITO!$Y$2445</f>
        <v>0</v>
      </c>
      <c r="K2445" s="83">
        <f ca="1">EFEITO!$L$2445*EFEITO!$Z$2445</f>
        <v>6568.0428155301361</v>
      </c>
      <c r="L2445" s="83">
        <f>EFEITO!$N$2445*EFEITO!$AA$2445</f>
        <v>3853.8139736470425</v>
      </c>
      <c r="M2445" s="83">
        <f>$J$2445-EFEITO!$K$2445*EFEITO!$Y$2445</f>
        <v>0</v>
      </c>
      <c r="N2445" s="83">
        <f ca="1">$K$2445-EFEITO!$M$2445*EFEITO!$Z$2445</f>
        <v>0</v>
      </c>
      <c r="O2445" s="83">
        <f>$L$2445-EFEITO!$O$2445*EFEITO!$AA$2445</f>
        <v>0</v>
      </c>
      <c r="P2445" s="61"/>
      <c r="Q2445" s="61"/>
      <c r="R2445" s="61"/>
      <c r="S2445" s="61"/>
      <c r="T2445" s="61"/>
      <c r="U2445" s="61"/>
      <c r="V2445" s="61"/>
      <c r="W2445" s="61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/>
      <c r="AJ2445" s="6"/>
    </row>
    <row r="2446" spans="1:36" ht="11.25" customHeight="1" x14ac:dyDescent="0.2">
      <c r="A2446" s="57" t="s">
        <v>28</v>
      </c>
      <c r="B2446" s="57" t="s">
        <v>41</v>
      </c>
      <c r="C2446" s="57" t="s">
        <v>23</v>
      </c>
      <c r="D2446" s="57" t="s">
        <v>48</v>
      </c>
      <c r="E2446" s="57" t="s">
        <v>25</v>
      </c>
      <c r="F2446" s="57" t="s">
        <v>25</v>
      </c>
      <c r="G2446" s="57" t="s">
        <v>25</v>
      </c>
      <c r="H2446" s="57" t="s">
        <v>25</v>
      </c>
      <c r="I2446" s="82">
        <v>44136</v>
      </c>
      <c r="J2446" s="83">
        <f>EFEITO!$J$2446*EFEITO!$Y$2446</f>
        <v>0</v>
      </c>
      <c r="K2446" s="83">
        <f ca="1">EFEITO!$L$2446*EFEITO!$Z$2446</f>
        <v>3339966.0180012435</v>
      </c>
      <c r="L2446" s="83">
        <f>EFEITO!$N$2446*EFEITO!$AA$2446</f>
        <v>1959732.6133813481</v>
      </c>
      <c r="M2446" s="83">
        <f>$J$2446-EFEITO!$K$2446*EFEITO!$Y$2446</f>
        <v>0</v>
      </c>
      <c r="N2446" s="83">
        <f ca="1">$K$2446-EFEITO!$M$2446*EFEITO!$Z$2446</f>
        <v>0</v>
      </c>
      <c r="O2446" s="83">
        <f>$L$2446-EFEITO!$O$2446*EFEITO!$AA$2446</f>
        <v>0</v>
      </c>
      <c r="P2446" s="61"/>
      <c r="Q2446" s="61"/>
      <c r="R2446" s="61"/>
      <c r="S2446" s="61"/>
      <c r="T2446" s="61"/>
      <c r="U2446" s="61"/>
      <c r="V2446" s="61"/>
      <c r="W2446" s="61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/>
      <c r="AJ2446" s="6"/>
    </row>
    <row r="2447" spans="1:36" ht="11.25" customHeight="1" x14ac:dyDescent="0.2">
      <c r="A2447" s="57" t="s">
        <v>29</v>
      </c>
      <c r="B2447" s="57" t="s">
        <v>41</v>
      </c>
      <c r="C2447" s="57" t="s">
        <v>23</v>
      </c>
      <c r="D2447" s="57" t="s">
        <v>48</v>
      </c>
      <c r="E2447" s="57" t="s">
        <v>25</v>
      </c>
      <c r="F2447" s="57" t="s">
        <v>25</v>
      </c>
      <c r="G2447" s="57" t="s">
        <v>25</v>
      </c>
      <c r="H2447" s="57" t="s">
        <v>25</v>
      </c>
      <c r="I2447" s="82">
        <v>44136</v>
      </c>
      <c r="J2447" s="83">
        <f>EFEITO!$J$2447*EFEITO!$Y$2447</f>
        <v>0</v>
      </c>
      <c r="K2447" s="83">
        <f ca="1">EFEITO!$L$2447*EFEITO!$Z$2447</f>
        <v>-4029.8718778713474</v>
      </c>
      <c r="L2447" s="83">
        <f>EFEITO!$N$2447*EFEITO!$AA$2447</f>
        <v>-2364.5364366727749</v>
      </c>
      <c r="M2447" s="83">
        <f>$J$2447-EFEITO!$K$2447*EFEITO!$Y$2447</f>
        <v>0</v>
      </c>
      <c r="N2447" s="83">
        <f ca="1">$K$2447-EFEITO!$M$2447*EFEITO!$Z$2447</f>
        <v>0</v>
      </c>
      <c r="O2447" s="83">
        <f>$L$2447-EFEITO!$O$2447*EFEITO!$AA$2447</f>
        <v>0</v>
      </c>
      <c r="P2447" s="61"/>
      <c r="Q2447" s="61"/>
      <c r="R2447" s="61"/>
      <c r="S2447" s="61"/>
      <c r="T2447" s="61"/>
      <c r="U2447" s="61"/>
      <c r="V2447" s="61"/>
      <c r="W2447" s="61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</row>
    <row r="2448" spans="1:36" ht="11.25" customHeight="1" x14ac:dyDescent="0.2">
      <c r="A2448" s="57" t="s">
        <v>30</v>
      </c>
      <c r="B2448" s="57" t="s">
        <v>41</v>
      </c>
      <c r="C2448" s="57" t="s">
        <v>23</v>
      </c>
      <c r="D2448" s="57" t="s">
        <v>48</v>
      </c>
      <c r="E2448" s="57" t="s">
        <v>25</v>
      </c>
      <c r="F2448" s="57" t="s">
        <v>25</v>
      </c>
      <c r="G2448" s="57" t="s">
        <v>25</v>
      </c>
      <c r="H2448" s="57" t="s">
        <v>25</v>
      </c>
      <c r="I2448" s="82">
        <v>44136</v>
      </c>
      <c r="J2448" s="83">
        <f>EFEITO!$J$2448*EFEITO!$Y$2448</f>
        <v>0</v>
      </c>
      <c r="K2448" s="83">
        <f ca="1">EFEITO!$L$2448*EFEITO!$Z$2448</f>
        <v>3894.6310795566606</v>
      </c>
      <c r="L2448" s="83">
        <f>EFEITO!$N$2448*EFEITO!$AA$2448</f>
        <v>2285.1835924556267</v>
      </c>
      <c r="M2448" s="83">
        <f>$J$2448-EFEITO!$K$2448*EFEITO!$Y$2448</f>
        <v>0</v>
      </c>
      <c r="N2448" s="83">
        <f ca="1">$K$2448-EFEITO!$M$2448*EFEITO!$Z$2448</f>
        <v>0</v>
      </c>
      <c r="O2448" s="83">
        <f>$L$2448-EFEITO!$O$2448*EFEITO!$AA$2448</f>
        <v>0</v>
      </c>
      <c r="P2448" s="61"/>
      <c r="Q2448" s="61"/>
      <c r="R2448" s="61"/>
      <c r="S2448" s="61"/>
      <c r="T2448" s="61"/>
      <c r="U2448" s="61"/>
      <c r="V2448" s="61"/>
      <c r="W2448" s="61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/>
      <c r="AJ2448" s="6"/>
    </row>
    <row r="2449" spans="1:36" ht="11.25" customHeight="1" x14ac:dyDescent="0.2">
      <c r="A2449" s="57" t="s">
        <v>21</v>
      </c>
      <c r="B2449" s="57" t="s">
        <v>41</v>
      </c>
      <c r="C2449" s="57" t="s">
        <v>23</v>
      </c>
      <c r="D2449" s="57" t="s">
        <v>48</v>
      </c>
      <c r="E2449" s="57" t="s">
        <v>25</v>
      </c>
      <c r="F2449" s="57" t="s">
        <v>25</v>
      </c>
      <c r="G2449" s="57" t="s">
        <v>25</v>
      </c>
      <c r="H2449" s="57" t="s">
        <v>25</v>
      </c>
      <c r="I2449" s="82">
        <v>44166</v>
      </c>
      <c r="J2449" s="83">
        <f>EFEITO!$J$2449*EFEITO!$Y$2449</f>
        <v>0</v>
      </c>
      <c r="K2449" s="83">
        <f ca="1">EFEITO!$L$2449*EFEITO!$Z$2449</f>
        <v>1955023.7587624234</v>
      </c>
      <c r="L2449" s="83">
        <f>EFEITO!$N$2449*EFEITO!$AA$2449</f>
        <v>1147114.6111465269</v>
      </c>
      <c r="M2449" s="83">
        <f>$J$2449-EFEITO!$K$2449*EFEITO!$Y$2449</f>
        <v>0</v>
      </c>
      <c r="N2449" s="83">
        <f ca="1">$K$2449-EFEITO!$M$2449*EFEITO!$Z$2449</f>
        <v>0</v>
      </c>
      <c r="O2449" s="83">
        <f>$L$2449-EFEITO!$O$2449*EFEITO!$AA$2449</f>
        <v>0</v>
      </c>
      <c r="P2449" s="61"/>
      <c r="Q2449" s="61"/>
      <c r="R2449" s="61"/>
      <c r="S2449" s="61"/>
      <c r="T2449" s="61"/>
      <c r="U2449" s="61"/>
      <c r="V2449" s="61"/>
      <c r="W2449" s="61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</row>
    <row r="2450" spans="1:36" ht="11.25" customHeight="1" x14ac:dyDescent="0.2">
      <c r="A2450" s="57" t="s">
        <v>27</v>
      </c>
      <c r="B2450" s="57" t="s">
        <v>41</v>
      </c>
      <c r="C2450" s="57" t="s">
        <v>23</v>
      </c>
      <c r="D2450" s="57" t="s">
        <v>48</v>
      </c>
      <c r="E2450" s="57" t="s">
        <v>25</v>
      </c>
      <c r="F2450" s="57" t="s">
        <v>25</v>
      </c>
      <c r="G2450" s="57" t="s">
        <v>25</v>
      </c>
      <c r="H2450" s="57" t="s">
        <v>25</v>
      </c>
      <c r="I2450" s="82">
        <v>44166</v>
      </c>
      <c r="J2450" s="83">
        <f>EFEITO!$J$2450*EFEITO!$Y$2450</f>
        <v>0</v>
      </c>
      <c r="K2450" s="83">
        <f ca="1">EFEITO!$L$2450*EFEITO!$Z$2450</f>
        <v>-3641.3711576190444</v>
      </c>
      <c r="L2450" s="83">
        <f>EFEITO!$N$2450*EFEITO!$AA$2450</f>
        <v>-2136.5827605883078</v>
      </c>
      <c r="M2450" s="83">
        <f>$J$2450-EFEITO!$K$2450*EFEITO!$Y$2450</f>
        <v>0</v>
      </c>
      <c r="N2450" s="83">
        <f ca="1">$K$2450-EFEITO!$M$2450*EFEITO!$Z$2450</f>
        <v>0</v>
      </c>
      <c r="O2450" s="83">
        <f>$L$2450-EFEITO!$O$2450*EFEITO!$AA$2450</f>
        <v>0</v>
      </c>
      <c r="P2450" s="61"/>
      <c r="Q2450" s="61"/>
      <c r="R2450" s="61"/>
      <c r="S2450" s="61"/>
      <c r="T2450" s="61"/>
      <c r="U2450" s="61"/>
      <c r="V2450" s="61"/>
      <c r="W2450" s="61"/>
      <c r="X2450" s="6"/>
      <c r="Y2450" s="6"/>
      <c r="Z2450" s="6"/>
      <c r="AA2450" s="6"/>
      <c r="AB2450" s="6"/>
      <c r="AC2450" s="6"/>
      <c r="AD2450" s="6"/>
      <c r="AE2450" s="6"/>
      <c r="AF2450" s="6"/>
      <c r="AG2450" s="6"/>
      <c r="AH2450" s="6"/>
      <c r="AI2450" s="6"/>
      <c r="AJ2450" s="6"/>
    </row>
    <row r="2451" spans="1:36" ht="11.25" customHeight="1" x14ac:dyDescent="0.2">
      <c r="A2451" s="57" t="s">
        <v>28</v>
      </c>
      <c r="B2451" s="57" t="s">
        <v>41</v>
      </c>
      <c r="C2451" s="57" t="s">
        <v>23</v>
      </c>
      <c r="D2451" s="57" t="s">
        <v>48</v>
      </c>
      <c r="E2451" s="57" t="s">
        <v>25</v>
      </c>
      <c r="F2451" s="57" t="s">
        <v>25</v>
      </c>
      <c r="G2451" s="57" t="s">
        <v>25</v>
      </c>
      <c r="H2451" s="57" t="s">
        <v>25</v>
      </c>
      <c r="I2451" s="82">
        <v>44166</v>
      </c>
      <c r="J2451" s="83">
        <f>EFEITO!$J$2451*EFEITO!$Y$2451</f>
        <v>0</v>
      </c>
      <c r="K2451" s="83">
        <f ca="1">EFEITO!$L$2451*EFEITO!$Z$2451</f>
        <v>3151484.4123769868</v>
      </c>
      <c r="L2451" s="83">
        <f>EFEITO!$N$2451*EFEITO!$AA$2451</f>
        <v>1849140.6050873885</v>
      </c>
      <c r="M2451" s="83">
        <f>$J$2451-EFEITO!$K$2451*EFEITO!$Y$2451</f>
        <v>0</v>
      </c>
      <c r="N2451" s="83">
        <f ca="1">$K$2451-EFEITO!$M$2451*EFEITO!$Z$2451</f>
        <v>0</v>
      </c>
      <c r="O2451" s="83">
        <f>$L$2451-EFEITO!$O$2451*EFEITO!$AA$2451</f>
        <v>0</v>
      </c>
      <c r="P2451" s="61"/>
      <c r="Q2451" s="61"/>
      <c r="R2451" s="61"/>
      <c r="S2451" s="61"/>
      <c r="T2451" s="61"/>
      <c r="U2451" s="61"/>
      <c r="V2451" s="61"/>
      <c r="W2451" s="61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</row>
    <row r="2452" spans="1:36" ht="11.25" customHeight="1" x14ac:dyDescent="0.2">
      <c r="A2452" s="57" t="s">
        <v>29</v>
      </c>
      <c r="B2452" s="57" t="s">
        <v>41</v>
      </c>
      <c r="C2452" s="57" t="s">
        <v>23</v>
      </c>
      <c r="D2452" s="57" t="s">
        <v>48</v>
      </c>
      <c r="E2452" s="57" t="s">
        <v>25</v>
      </c>
      <c r="F2452" s="57" t="s">
        <v>25</v>
      </c>
      <c r="G2452" s="57" t="s">
        <v>25</v>
      </c>
      <c r="H2452" s="57" t="s">
        <v>25</v>
      </c>
      <c r="I2452" s="82">
        <v>44166</v>
      </c>
      <c r="J2452" s="83">
        <f>EFEITO!$J$2452*EFEITO!$Y$2452</f>
        <v>0</v>
      </c>
      <c r="K2452" s="83">
        <f ca="1">EFEITO!$L$2452*EFEITO!$Z$2452</f>
        <v>-13202.439730607928</v>
      </c>
      <c r="L2452" s="83">
        <f>EFEITO!$N$2452*EFEITO!$AA$2452</f>
        <v>-7746.5613652433231</v>
      </c>
      <c r="M2452" s="83">
        <f>$J$2452-EFEITO!$K$2452*EFEITO!$Y$2452</f>
        <v>0</v>
      </c>
      <c r="N2452" s="83">
        <f ca="1">$K$2452-EFEITO!$M$2452*EFEITO!$Z$2452</f>
        <v>0</v>
      </c>
      <c r="O2452" s="83">
        <f>$L$2452-EFEITO!$O$2452*EFEITO!$AA$2452</f>
        <v>0</v>
      </c>
      <c r="P2452" s="61"/>
      <c r="Q2452" s="61"/>
      <c r="R2452" s="61"/>
      <c r="S2452" s="61"/>
      <c r="T2452" s="61"/>
      <c r="U2452" s="61"/>
      <c r="V2452" s="61"/>
      <c r="W2452" s="61"/>
      <c r="X2452" s="6"/>
      <c r="Y2452" s="6"/>
      <c r="Z2452" s="6"/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</row>
    <row r="2453" spans="1:36" ht="11.25" customHeight="1" x14ac:dyDescent="0.2">
      <c r="A2453" s="57" t="s">
        <v>30</v>
      </c>
      <c r="B2453" s="57" t="s">
        <v>41</v>
      </c>
      <c r="C2453" s="57" t="s">
        <v>23</v>
      </c>
      <c r="D2453" s="57" t="s">
        <v>48</v>
      </c>
      <c r="E2453" s="57" t="s">
        <v>25</v>
      </c>
      <c r="F2453" s="57" t="s">
        <v>25</v>
      </c>
      <c r="G2453" s="57" t="s">
        <v>25</v>
      </c>
      <c r="H2453" s="57" t="s">
        <v>25</v>
      </c>
      <c r="I2453" s="82">
        <v>44166</v>
      </c>
      <c r="J2453" s="83">
        <f>EFEITO!$J$2453*EFEITO!$Y$2453</f>
        <v>0</v>
      </c>
      <c r="K2453" s="83">
        <f ca="1">EFEITO!$L$2453*EFEITO!$Z$2453</f>
        <v>3228.5574848607298</v>
      </c>
      <c r="L2453" s="83">
        <f>EFEITO!$N$2453*EFEITO!$AA$2453</f>
        <v>1894.3634046445784</v>
      </c>
      <c r="M2453" s="83">
        <f>$J$2453-EFEITO!$K$2453*EFEITO!$Y$2453</f>
        <v>0</v>
      </c>
      <c r="N2453" s="83">
        <f ca="1">$K$2453-EFEITO!$M$2453*EFEITO!$Z$2453</f>
        <v>0</v>
      </c>
      <c r="O2453" s="83">
        <f>$L$2453-EFEITO!$O$2453*EFEITO!$AA$2453</f>
        <v>0</v>
      </c>
      <c r="P2453" s="61"/>
      <c r="Q2453" s="61"/>
      <c r="R2453" s="61"/>
      <c r="S2453" s="61"/>
      <c r="T2453" s="61"/>
      <c r="U2453" s="61"/>
      <c r="V2453" s="61"/>
      <c r="W2453" s="61"/>
      <c r="X2453" s="6"/>
      <c r="Y2453" s="6"/>
      <c r="Z2453" s="6"/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</row>
    <row r="2454" spans="1:36" ht="11.25" customHeight="1" x14ac:dyDescent="0.2">
      <c r="A2454" s="57" t="s">
        <v>21</v>
      </c>
      <c r="B2454" s="57" t="s">
        <v>41</v>
      </c>
      <c r="C2454" s="57" t="s">
        <v>23</v>
      </c>
      <c r="D2454" s="57" t="s">
        <v>48</v>
      </c>
      <c r="E2454" s="57" t="s">
        <v>25</v>
      </c>
      <c r="F2454" s="57" t="s">
        <v>25</v>
      </c>
      <c r="G2454" s="57" t="s">
        <v>25</v>
      </c>
      <c r="H2454" s="57" t="s">
        <v>25</v>
      </c>
      <c r="I2454" s="82">
        <v>44197</v>
      </c>
      <c r="J2454" s="83">
        <f>EFEITO!$J$2454*EFEITO!$Y$2454</f>
        <v>0</v>
      </c>
      <c r="K2454" s="83">
        <f ca="1">EFEITO!$L$2454*EFEITO!$Z$2454</f>
        <v>1591399.2410825207</v>
      </c>
      <c r="L2454" s="83">
        <f>EFEITO!$N$2454*EFEITO!$AA$2454</f>
        <v>933757.1031713956</v>
      </c>
      <c r="M2454" s="83">
        <f>$J$2454-EFEITO!$K$2454*EFEITO!$Y$2454</f>
        <v>0</v>
      </c>
      <c r="N2454" s="83">
        <f ca="1">$K$2454-EFEITO!$M$2454*EFEITO!$Z$2454</f>
        <v>0</v>
      </c>
      <c r="O2454" s="83">
        <f>$L$2454-EFEITO!$O$2454*EFEITO!$AA$2454</f>
        <v>0</v>
      </c>
      <c r="P2454" s="61"/>
      <c r="Q2454" s="61"/>
      <c r="R2454" s="61"/>
      <c r="S2454" s="61"/>
      <c r="T2454" s="61"/>
      <c r="U2454" s="61"/>
      <c r="V2454" s="61"/>
      <c r="W2454" s="61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</row>
    <row r="2455" spans="1:36" ht="11.25" customHeight="1" x14ac:dyDescent="0.2">
      <c r="A2455" s="57" t="s">
        <v>27</v>
      </c>
      <c r="B2455" s="57" t="s">
        <v>41</v>
      </c>
      <c r="C2455" s="57" t="s">
        <v>23</v>
      </c>
      <c r="D2455" s="57" t="s">
        <v>48</v>
      </c>
      <c r="E2455" s="57" t="s">
        <v>25</v>
      </c>
      <c r="F2455" s="57" t="s">
        <v>25</v>
      </c>
      <c r="G2455" s="57" t="s">
        <v>25</v>
      </c>
      <c r="H2455" s="57" t="s">
        <v>25</v>
      </c>
      <c r="I2455" s="82">
        <v>44197</v>
      </c>
      <c r="J2455" s="83">
        <f>EFEITO!$J$2455*EFEITO!$Y$2455</f>
        <v>0</v>
      </c>
      <c r="K2455" s="83">
        <f ca="1">EFEITO!$L$2455*EFEITO!$Z$2455</f>
        <v>-2733.1810775507529</v>
      </c>
      <c r="L2455" s="83">
        <f>EFEITO!$N$2455*EFEITO!$AA$2455</f>
        <v>-1603.7001775121032</v>
      </c>
      <c r="M2455" s="83">
        <f>$J$2455-EFEITO!$K$2455*EFEITO!$Y$2455</f>
        <v>0</v>
      </c>
      <c r="N2455" s="83">
        <f ca="1">$K$2455-EFEITO!$M$2455*EFEITO!$Z$2455</f>
        <v>0</v>
      </c>
      <c r="O2455" s="83">
        <f>$L$2455-EFEITO!$O$2455*EFEITO!$AA$2455</f>
        <v>0</v>
      </c>
      <c r="P2455" s="61"/>
      <c r="Q2455" s="61"/>
      <c r="R2455" s="61"/>
      <c r="S2455" s="61"/>
      <c r="T2455" s="61"/>
      <c r="U2455" s="61"/>
      <c r="V2455" s="61"/>
      <c r="W2455" s="61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</row>
    <row r="2456" spans="1:36" ht="11.25" customHeight="1" x14ac:dyDescent="0.2">
      <c r="A2456" s="57" t="s">
        <v>28</v>
      </c>
      <c r="B2456" s="57" t="s">
        <v>41</v>
      </c>
      <c r="C2456" s="57" t="s">
        <v>23</v>
      </c>
      <c r="D2456" s="57" t="s">
        <v>48</v>
      </c>
      <c r="E2456" s="57" t="s">
        <v>25</v>
      </c>
      <c r="F2456" s="57" t="s">
        <v>25</v>
      </c>
      <c r="G2456" s="57" t="s">
        <v>25</v>
      </c>
      <c r="H2456" s="57" t="s">
        <v>25</v>
      </c>
      <c r="I2456" s="82">
        <v>44197</v>
      </c>
      <c r="J2456" s="83">
        <f>EFEITO!$J$2456*EFEITO!$Y$2456</f>
        <v>0</v>
      </c>
      <c r="K2456" s="83">
        <f ca="1">EFEITO!$L$2456*EFEITO!$Z$2456</f>
        <v>2831935.7319515753</v>
      </c>
      <c r="L2456" s="83">
        <f>EFEITO!$N$2456*EFEITO!$AA$2456</f>
        <v>1661644.694285454</v>
      </c>
      <c r="M2456" s="83">
        <f>$J$2456-EFEITO!$K$2456*EFEITO!$Y$2456</f>
        <v>0</v>
      </c>
      <c r="N2456" s="83">
        <f ca="1">$K$2456-EFEITO!$M$2456*EFEITO!$Z$2456</f>
        <v>0</v>
      </c>
      <c r="O2456" s="83">
        <f>$L$2456-EFEITO!$O$2456*EFEITO!$AA$2456</f>
        <v>0</v>
      </c>
      <c r="P2456" s="61"/>
      <c r="Q2456" s="61"/>
      <c r="R2456" s="61"/>
      <c r="S2456" s="61"/>
      <c r="T2456" s="61"/>
      <c r="U2456" s="61"/>
      <c r="V2456" s="61"/>
      <c r="W2456" s="61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</row>
    <row r="2457" spans="1:36" ht="11.25" customHeight="1" x14ac:dyDescent="0.2">
      <c r="A2457" s="57" t="s">
        <v>29</v>
      </c>
      <c r="B2457" s="57" t="s">
        <v>41</v>
      </c>
      <c r="C2457" s="57" t="s">
        <v>23</v>
      </c>
      <c r="D2457" s="57" t="s">
        <v>48</v>
      </c>
      <c r="E2457" s="57" t="s">
        <v>25</v>
      </c>
      <c r="F2457" s="57" t="s">
        <v>25</v>
      </c>
      <c r="G2457" s="57" t="s">
        <v>25</v>
      </c>
      <c r="H2457" s="57" t="s">
        <v>25</v>
      </c>
      <c r="I2457" s="82">
        <v>44197</v>
      </c>
      <c r="J2457" s="83">
        <f>EFEITO!$J$2457*EFEITO!$Y$2457</f>
        <v>0</v>
      </c>
      <c r="K2457" s="83">
        <f ca="1">EFEITO!$L$2457*EFEITO!$Z$2457</f>
        <v>19086.680756906502</v>
      </c>
      <c r="L2457" s="83">
        <f>EFEITO!$N$2457*EFEITO!$AA$2457</f>
        <v>11199.153092848605</v>
      </c>
      <c r="M2457" s="83">
        <f>$J$2457-EFEITO!$K$2457*EFEITO!$Y$2457</f>
        <v>0</v>
      </c>
      <c r="N2457" s="83">
        <f ca="1">$K$2457-EFEITO!$M$2457*EFEITO!$Z$2457</f>
        <v>0</v>
      </c>
      <c r="O2457" s="83">
        <f>$L$2457-EFEITO!$O$2457*EFEITO!$AA$2457</f>
        <v>0</v>
      </c>
      <c r="P2457" s="61"/>
      <c r="Q2457" s="61"/>
      <c r="R2457" s="61"/>
      <c r="S2457" s="61"/>
      <c r="T2457" s="61"/>
      <c r="U2457" s="61"/>
      <c r="V2457" s="61"/>
      <c r="W2457" s="61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</row>
    <row r="2458" spans="1:36" ht="11.25" customHeight="1" x14ac:dyDescent="0.2">
      <c r="A2458" s="57" t="s">
        <v>30</v>
      </c>
      <c r="B2458" s="57" t="s">
        <v>41</v>
      </c>
      <c r="C2458" s="57" t="s">
        <v>23</v>
      </c>
      <c r="D2458" s="57" t="s">
        <v>48</v>
      </c>
      <c r="E2458" s="57" t="s">
        <v>25</v>
      </c>
      <c r="F2458" s="57" t="s">
        <v>25</v>
      </c>
      <c r="G2458" s="57" t="s">
        <v>25</v>
      </c>
      <c r="H2458" s="57" t="s">
        <v>25</v>
      </c>
      <c r="I2458" s="82">
        <v>44197</v>
      </c>
      <c r="J2458" s="83">
        <f>EFEITO!$J$2458*EFEITO!$Y$2458</f>
        <v>0</v>
      </c>
      <c r="K2458" s="83">
        <f ca="1">EFEITO!$L$2458*EFEITO!$Z$2458</f>
        <v>2911.9825824387099</v>
      </c>
      <c r="L2458" s="83">
        <f>EFEITO!$N$2458*EFEITO!$AA$2458</f>
        <v>1708.6123648104301</v>
      </c>
      <c r="M2458" s="83">
        <f>$J$2458-EFEITO!$K$2458*EFEITO!$Y$2458</f>
        <v>0</v>
      </c>
      <c r="N2458" s="83">
        <f ca="1">$K$2458-EFEITO!$M$2458*EFEITO!$Z$2458</f>
        <v>0</v>
      </c>
      <c r="O2458" s="83">
        <f>$L$2458-EFEITO!$O$2458*EFEITO!$AA$2458</f>
        <v>0</v>
      </c>
      <c r="P2458" s="61"/>
      <c r="Q2458" s="61"/>
      <c r="R2458" s="61"/>
      <c r="S2458" s="61"/>
      <c r="T2458" s="61"/>
      <c r="U2458" s="61"/>
      <c r="V2458" s="61"/>
      <c r="W2458" s="61"/>
      <c r="X2458" s="6"/>
      <c r="Y2458" s="6"/>
      <c r="Z2458" s="6"/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</row>
    <row r="2459" spans="1:36" ht="11.25" customHeight="1" x14ac:dyDescent="0.2">
      <c r="A2459" s="57" t="s">
        <v>21</v>
      </c>
      <c r="B2459" s="57" t="s">
        <v>41</v>
      </c>
      <c r="C2459" s="57" t="s">
        <v>23</v>
      </c>
      <c r="D2459" s="57" t="s">
        <v>48</v>
      </c>
      <c r="E2459" s="57" t="s">
        <v>25</v>
      </c>
      <c r="F2459" s="57" t="s">
        <v>25</v>
      </c>
      <c r="G2459" s="57" t="s">
        <v>25</v>
      </c>
      <c r="H2459" s="57" t="s">
        <v>25</v>
      </c>
      <c r="I2459" s="82">
        <v>44228</v>
      </c>
      <c r="J2459" s="83">
        <f>EFEITO!$J$2459*EFEITO!$Y$2459</f>
        <v>0</v>
      </c>
      <c r="K2459" s="83">
        <f ca="1">EFEITO!$L$2459*EFEITO!$Z$2459</f>
        <v>1484948.5241738581</v>
      </c>
      <c r="L2459" s="83">
        <f>EFEITO!$N$2459*EFEITO!$AA$2459</f>
        <v>871296.9043192605</v>
      </c>
      <c r="M2459" s="83">
        <f>$J$2459-EFEITO!$K$2459*EFEITO!$Y$2459</f>
        <v>0</v>
      </c>
      <c r="N2459" s="83">
        <f ca="1">$K$2459-EFEITO!$M$2459*EFEITO!$Z$2459</f>
        <v>0</v>
      </c>
      <c r="O2459" s="83">
        <f>$L$2459-EFEITO!$O$2459*EFEITO!$AA$2459</f>
        <v>0</v>
      </c>
      <c r="P2459" s="61"/>
      <c r="Q2459" s="61"/>
      <c r="R2459" s="61"/>
      <c r="S2459" s="61"/>
      <c r="T2459" s="61"/>
      <c r="U2459" s="61"/>
      <c r="V2459" s="61"/>
      <c r="W2459" s="61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</row>
    <row r="2460" spans="1:36" ht="11.25" customHeight="1" x14ac:dyDescent="0.2">
      <c r="A2460" s="57" t="s">
        <v>27</v>
      </c>
      <c r="B2460" s="57" t="s">
        <v>41</v>
      </c>
      <c r="C2460" s="57" t="s">
        <v>23</v>
      </c>
      <c r="D2460" s="57" t="s">
        <v>48</v>
      </c>
      <c r="E2460" s="57" t="s">
        <v>25</v>
      </c>
      <c r="F2460" s="57" t="s">
        <v>25</v>
      </c>
      <c r="G2460" s="57" t="s">
        <v>25</v>
      </c>
      <c r="H2460" s="57" t="s">
        <v>25</v>
      </c>
      <c r="I2460" s="82">
        <v>44228</v>
      </c>
      <c r="J2460" s="83">
        <f>EFEITO!$J$2460*EFEITO!$Y$2460</f>
        <v>0</v>
      </c>
      <c r="K2460" s="83">
        <f ca="1">EFEITO!$L$2460*EFEITO!$Z$2460</f>
        <v>-4737.4800997650464</v>
      </c>
      <c r="L2460" s="83">
        <f>EFEITO!$N$2460*EFEITO!$AA$2460</f>
        <v>-2779.727160910063</v>
      </c>
      <c r="M2460" s="83">
        <f>$J$2460-EFEITO!$K$2460*EFEITO!$Y$2460</f>
        <v>0</v>
      </c>
      <c r="N2460" s="83">
        <f ca="1">$K$2460-EFEITO!$M$2460*EFEITO!$Z$2460</f>
        <v>0</v>
      </c>
      <c r="O2460" s="83">
        <f>$L$2460-EFEITO!$O$2460*EFEITO!$AA$2460</f>
        <v>0</v>
      </c>
      <c r="P2460" s="61"/>
      <c r="Q2460" s="61"/>
      <c r="R2460" s="61"/>
      <c r="S2460" s="61"/>
      <c r="T2460" s="61"/>
      <c r="U2460" s="61"/>
      <c r="V2460" s="61"/>
      <c r="W2460" s="61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</row>
    <row r="2461" spans="1:36" ht="11.25" customHeight="1" x14ac:dyDescent="0.2">
      <c r="A2461" s="57" t="s">
        <v>28</v>
      </c>
      <c r="B2461" s="57" t="s">
        <v>41</v>
      </c>
      <c r="C2461" s="57" t="s">
        <v>23</v>
      </c>
      <c r="D2461" s="57" t="s">
        <v>48</v>
      </c>
      <c r="E2461" s="57" t="s">
        <v>25</v>
      </c>
      <c r="F2461" s="57" t="s">
        <v>25</v>
      </c>
      <c r="G2461" s="57" t="s">
        <v>25</v>
      </c>
      <c r="H2461" s="57" t="s">
        <v>25</v>
      </c>
      <c r="I2461" s="82">
        <v>44228</v>
      </c>
      <c r="J2461" s="83">
        <f>EFEITO!$J$2461*EFEITO!$Y$2461</f>
        <v>0</v>
      </c>
      <c r="K2461" s="83">
        <f ca="1">EFEITO!$L$2461*EFEITO!$Z$2461</f>
        <v>2785174.8330047019</v>
      </c>
      <c r="L2461" s="83">
        <f>EFEITO!$N$2461*EFEITO!$AA$2461</f>
        <v>1634207.6310928001</v>
      </c>
      <c r="M2461" s="83">
        <f>$J$2461-EFEITO!$K$2461*EFEITO!$Y$2461</f>
        <v>0</v>
      </c>
      <c r="N2461" s="83">
        <f ca="1">$K$2461-EFEITO!$M$2461*EFEITO!$Z$2461</f>
        <v>0</v>
      </c>
      <c r="O2461" s="83">
        <f>$L$2461-EFEITO!$O$2461*EFEITO!$AA$2461</f>
        <v>0</v>
      </c>
      <c r="P2461" s="61"/>
      <c r="Q2461" s="61"/>
      <c r="R2461" s="61"/>
      <c r="S2461" s="61"/>
      <c r="T2461" s="61"/>
      <c r="U2461" s="61"/>
      <c r="V2461" s="61"/>
      <c r="W2461" s="61"/>
      <c r="X2461" s="6"/>
      <c r="Y2461" s="6"/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</row>
    <row r="2462" spans="1:36" ht="11.25" customHeight="1" x14ac:dyDescent="0.2">
      <c r="A2462" s="57" t="s">
        <v>29</v>
      </c>
      <c r="B2462" s="57" t="s">
        <v>41</v>
      </c>
      <c r="C2462" s="57" t="s">
        <v>23</v>
      </c>
      <c r="D2462" s="57" t="s">
        <v>48</v>
      </c>
      <c r="E2462" s="57" t="s">
        <v>25</v>
      </c>
      <c r="F2462" s="57" t="s">
        <v>25</v>
      </c>
      <c r="G2462" s="57" t="s">
        <v>25</v>
      </c>
      <c r="H2462" s="57" t="s">
        <v>25</v>
      </c>
      <c r="I2462" s="82">
        <v>44228</v>
      </c>
      <c r="J2462" s="83">
        <f>EFEITO!$J$2462*EFEITO!$Y$2462</f>
        <v>0</v>
      </c>
      <c r="K2462" s="83">
        <f ca="1">EFEITO!$L$2462*EFEITO!$Z$2462</f>
        <v>-6232.7266788847319</v>
      </c>
      <c r="L2462" s="83">
        <f>EFEITO!$N$2462*EFEITO!$AA$2462</f>
        <v>-3657.0664722547126</v>
      </c>
      <c r="M2462" s="83">
        <f>$J$2462-EFEITO!$K$2462*EFEITO!$Y$2462</f>
        <v>0</v>
      </c>
      <c r="N2462" s="83">
        <f ca="1">$K$2462-EFEITO!$M$2462*EFEITO!$Z$2462</f>
        <v>0</v>
      </c>
      <c r="O2462" s="83">
        <f>$L$2462-EFEITO!$O$2462*EFEITO!$AA$2462</f>
        <v>0</v>
      </c>
      <c r="P2462" s="61"/>
      <c r="Q2462" s="61"/>
      <c r="R2462" s="61"/>
      <c r="S2462" s="61"/>
      <c r="T2462" s="61"/>
      <c r="U2462" s="61"/>
      <c r="V2462" s="61"/>
      <c r="W2462" s="61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</row>
    <row r="2463" spans="1:36" ht="11.25" customHeight="1" x14ac:dyDescent="0.2">
      <c r="A2463" s="57" t="s">
        <v>30</v>
      </c>
      <c r="B2463" s="57" t="s">
        <v>41</v>
      </c>
      <c r="C2463" s="57" t="s">
        <v>23</v>
      </c>
      <c r="D2463" s="57" t="s">
        <v>48</v>
      </c>
      <c r="E2463" s="57" t="s">
        <v>25</v>
      </c>
      <c r="F2463" s="57" t="s">
        <v>25</v>
      </c>
      <c r="G2463" s="57" t="s">
        <v>25</v>
      </c>
      <c r="H2463" s="57" t="s">
        <v>25</v>
      </c>
      <c r="I2463" s="82">
        <v>44228</v>
      </c>
      <c r="J2463" s="83">
        <f>EFEITO!$J$2463*EFEITO!$Y$2463</f>
        <v>0</v>
      </c>
      <c r="K2463" s="83">
        <f ca="1">EFEITO!$L$2463*EFEITO!$Z$2463</f>
        <v>2503.7275882752724</v>
      </c>
      <c r="L2463" s="83">
        <f>EFEITO!$N$2463*EFEITO!$AA$2463</f>
        <v>1469.0678238403123</v>
      </c>
      <c r="M2463" s="83">
        <f>$J$2463-EFEITO!$K$2463*EFEITO!$Y$2463</f>
        <v>0</v>
      </c>
      <c r="N2463" s="83">
        <f ca="1">$K$2463-EFEITO!$M$2463*EFEITO!$Z$2463</f>
        <v>0</v>
      </c>
      <c r="O2463" s="83">
        <f>$L$2463-EFEITO!$O$2463*EFEITO!$AA$2463</f>
        <v>0</v>
      </c>
      <c r="P2463" s="61"/>
      <c r="Q2463" s="61"/>
      <c r="R2463" s="61"/>
      <c r="S2463" s="61"/>
      <c r="T2463" s="61"/>
      <c r="U2463" s="61"/>
      <c r="V2463" s="61"/>
      <c r="W2463" s="61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</row>
    <row r="2464" spans="1:36" ht="11.25" customHeight="1" x14ac:dyDescent="0.2">
      <c r="A2464" s="57" t="s">
        <v>21</v>
      </c>
      <c r="B2464" s="57" t="s">
        <v>41</v>
      </c>
      <c r="C2464" s="57" t="s">
        <v>23</v>
      </c>
      <c r="D2464" s="57" t="s">
        <v>48</v>
      </c>
      <c r="E2464" s="57" t="s">
        <v>25</v>
      </c>
      <c r="F2464" s="57" t="s">
        <v>25</v>
      </c>
      <c r="G2464" s="57" t="s">
        <v>25</v>
      </c>
      <c r="H2464" s="57" t="s">
        <v>25</v>
      </c>
      <c r="I2464" s="82">
        <v>44256</v>
      </c>
      <c r="J2464" s="83">
        <f>EFEITO!$J$2464*EFEITO!$Y$2464</f>
        <v>0</v>
      </c>
      <c r="K2464" s="83">
        <f ca="1">EFEITO!$L$2464*EFEITO!$Z$2464</f>
        <v>1629380.631575505</v>
      </c>
      <c r="L2464" s="83">
        <f>EFEITO!$N$2464*EFEITO!$AA$2464</f>
        <v>956042.76992653741</v>
      </c>
      <c r="M2464" s="83">
        <f>$J$2464-EFEITO!$K$2464*EFEITO!$Y$2464</f>
        <v>0</v>
      </c>
      <c r="N2464" s="83">
        <f ca="1">$K$2464-EFEITO!$M$2464*EFEITO!$Z$2464</f>
        <v>0</v>
      </c>
      <c r="O2464" s="83">
        <f>$L$2464-EFEITO!$O$2464*EFEITO!$AA$2464</f>
        <v>0</v>
      </c>
      <c r="P2464" s="61"/>
      <c r="Q2464" s="61"/>
      <c r="R2464" s="61"/>
      <c r="S2464" s="61"/>
      <c r="T2464" s="61"/>
      <c r="U2464" s="61"/>
      <c r="V2464" s="61"/>
      <c r="W2464" s="61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</row>
    <row r="2465" spans="1:36" ht="11.25" customHeight="1" x14ac:dyDescent="0.2">
      <c r="A2465" s="57" t="s">
        <v>27</v>
      </c>
      <c r="B2465" s="57" t="s">
        <v>41</v>
      </c>
      <c r="C2465" s="57" t="s">
        <v>23</v>
      </c>
      <c r="D2465" s="57" t="s">
        <v>48</v>
      </c>
      <c r="E2465" s="57" t="s">
        <v>25</v>
      </c>
      <c r="F2465" s="57" t="s">
        <v>25</v>
      </c>
      <c r="G2465" s="57" t="s">
        <v>25</v>
      </c>
      <c r="H2465" s="57" t="s">
        <v>25</v>
      </c>
      <c r="I2465" s="82">
        <v>44256</v>
      </c>
      <c r="J2465" s="83">
        <f>EFEITO!$J$2465*EFEITO!$Y$2465</f>
        <v>0</v>
      </c>
      <c r="K2465" s="83">
        <f ca="1">EFEITO!$L$2465*EFEITO!$Z$2465</f>
        <v>-20940.543385489847</v>
      </c>
      <c r="L2465" s="83">
        <f>EFEITO!$N$2465*EFEITO!$AA$2465</f>
        <v>-12286.911182117377</v>
      </c>
      <c r="M2465" s="83">
        <f>$J$2465-EFEITO!$K$2465*EFEITO!$Y$2465</f>
        <v>0</v>
      </c>
      <c r="N2465" s="83">
        <f ca="1">$K$2465-EFEITO!$M$2465*EFEITO!$Z$2465</f>
        <v>0</v>
      </c>
      <c r="O2465" s="83">
        <f>$L$2465-EFEITO!$O$2465*EFEITO!$AA$2465</f>
        <v>0</v>
      </c>
      <c r="P2465" s="61"/>
      <c r="Q2465" s="61"/>
      <c r="R2465" s="61"/>
      <c r="S2465" s="61"/>
      <c r="T2465" s="61"/>
      <c r="U2465" s="61"/>
      <c r="V2465" s="61"/>
      <c r="W2465" s="61"/>
      <c r="X2465" s="6"/>
      <c r="Y2465" s="6"/>
      <c r="Z2465" s="6"/>
      <c r="AA2465" s="6"/>
      <c r="AB2465" s="6"/>
      <c r="AC2465" s="6"/>
      <c r="AD2465" s="6"/>
      <c r="AE2465" s="6"/>
      <c r="AF2465" s="6"/>
      <c r="AG2465" s="6"/>
      <c r="AH2465" s="6"/>
      <c r="AI2465" s="6"/>
      <c r="AJ2465" s="6"/>
    </row>
    <row r="2466" spans="1:36" ht="11.25" customHeight="1" x14ac:dyDescent="0.2">
      <c r="A2466" s="57" t="s">
        <v>28</v>
      </c>
      <c r="B2466" s="57" t="s">
        <v>41</v>
      </c>
      <c r="C2466" s="57" t="s">
        <v>23</v>
      </c>
      <c r="D2466" s="57" t="s">
        <v>48</v>
      </c>
      <c r="E2466" s="57" t="s">
        <v>25</v>
      </c>
      <c r="F2466" s="57" t="s">
        <v>25</v>
      </c>
      <c r="G2466" s="57" t="s">
        <v>25</v>
      </c>
      <c r="H2466" s="57" t="s">
        <v>25</v>
      </c>
      <c r="I2466" s="82">
        <v>44256</v>
      </c>
      <c r="J2466" s="83">
        <f>EFEITO!$J$2466*EFEITO!$Y$2466</f>
        <v>0</v>
      </c>
      <c r="K2466" s="83">
        <f ca="1">EFEITO!$L$2466*EFEITO!$Z$2466</f>
        <v>2990230.2744403994</v>
      </c>
      <c r="L2466" s="83">
        <f>EFEITO!$N$2466*EFEITO!$AA$2466</f>
        <v>1754524.3750258205</v>
      </c>
      <c r="M2466" s="83">
        <f>$J$2466-EFEITO!$K$2466*EFEITO!$Y$2466</f>
        <v>0</v>
      </c>
      <c r="N2466" s="83">
        <f ca="1">$K$2466-EFEITO!$M$2466*EFEITO!$Z$2466</f>
        <v>0</v>
      </c>
      <c r="O2466" s="83">
        <f>$L$2466-EFEITO!$O$2466*EFEITO!$AA$2466</f>
        <v>0</v>
      </c>
      <c r="P2466" s="61"/>
      <c r="Q2466" s="61"/>
      <c r="R2466" s="61"/>
      <c r="S2466" s="61"/>
      <c r="T2466" s="61"/>
      <c r="U2466" s="61"/>
      <c r="V2466" s="61"/>
      <c r="W2466" s="61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</row>
    <row r="2467" spans="1:36" ht="11.25" customHeight="1" x14ac:dyDescent="0.2">
      <c r="A2467" s="57" t="s">
        <v>29</v>
      </c>
      <c r="B2467" s="57" t="s">
        <v>41</v>
      </c>
      <c r="C2467" s="57" t="s">
        <v>23</v>
      </c>
      <c r="D2467" s="57" t="s">
        <v>48</v>
      </c>
      <c r="E2467" s="57" t="s">
        <v>25</v>
      </c>
      <c r="F2467" s="57" t="s">
        <v>25</v>
      </c>
      <c r="G2467" s="57" t="s">
        <v>25</v>
      </c>
      <c r="H2467" s="57" t="s">
        <v>25</v>
      </c>
      <c r="I2467" s="82">
        <v>44256</v>
      </c>
      <c r="J2467" s="83">
        <f>EFEITO!$J$2467*EFEITO!$Y$2467</f>
        <v>0</v>
      </c>
      <c r="K2467" s="83">
        <f ca="1">EFEITO!$L$2467*EFEITO!$Z$2467</f>
        <v>-38626.696774081334</v>
      </c>
      <c r="L2467" s="83">
        <f>EFEITO!$N$2467*EFEITO!$AA$2467</f>
        <v>-22664.301674739709</v>
      </c>
      <c r="M2467" s="83">
        <f>$J$2467-EFEITO!$K$2467*EFEITO!$Y$2467</f>
        <v>0</v>
      </c>
      <c r="N2467" s="83">
        <f ca="1">$K$2467-EFEITO!$M$2467*EFEITO!$Z$2467</f>
        <v>0</v>
      </c>
      <c r="O2467" s="83">
        <f>$L$2467-EFEITO!$O$2467*EFEITO!$AA$2467</f>
        <v>0</v>
      </c>
      <c r="P2467" s="61"/>
      <c r="Q2467" s="61"/>
      <c r="R2467" s="61"/>
      <c r="S2467" s="61"/>
      <c r="T2467" s="61"/>
      <c r="U2467" s="61"/>
      <c r="V2467" s="61"/>
      <c r="W2467" s="61"/>
      <c r="X2467" s="6"/>
      <c r="Y2467" s="6"/>
      <c r="Z2467" s="6"/>
      <c r="AA2467" s="6"/>
      <c r="AB2467" s="6"/>
      <c r="AC2467" s="6"/>
      <c r="AD2467" s="6"/>
      <c r="AE2467" s="6"/>
      <c r="AF2467" s="6"/>
      <c r="AG2467" s="6"/>
      <c r="AH2467" s="6"/>
      <c r="AI2467" s="6"/>
      <c r="AJ2467" s="6"/>
    </row>
    <row r="2468" spans="1:36" ht="11.25" customHeight="1" x14ac:dyDescent="0.2">
      <c r="A2468" s="57" t="s">
        <v>30</v>
      </c>
      <c r="B2468" s="57" t="s">
        <v>41</v>
      </c>
      <c r="C2468" s="57" t="s">
        <v>23</v>
      </c>
      <c r="D2468" s="57" t="s">
        <v>48</v>
      </c>
      <c r="E2468" s="57" t="s">
        <v>25</v>
      </c>
      <c r="F2468" s="57" t="s">
        <v>25</v>
      </c>
      <c r="G2468" s="57" t="s">
        <v>25</v>
      </c>
      <c r="H2468" s="57" t="s">
        <v>25</v>
      </c>
      <c r="I2468" s="82">
        <v>44256</v>
      </c>
      <c r="J2468" s="83">
        <f>EFEITO!$J$2468*EFEITO!$Y$2468</f>
        <v>0</v>
      </c>
      <c r="K2468" s="83">
        <f ca="1">EFEITO!$L$2468*EFEITO!$Z$2468</f>
        <v>3011.2604718382554</v>
      </c>
      <c r="L2468" s="83">
        <f>EFEITO!$N$2468*EFEITO!$AA$2468</f>
        <v>1766.8638909024191</v>
      </c>
      <c r="M2468" s="83">
        <f>$J$2468-EFEITO!$K$2468*EFEITO!$Y$2468</f>
        <v>0</v>
      </c>
      <c r="N2468" s="83">
        <f ca="1">$K$2468-EFEITO!$M$2468*EFEITO!$Z$2468</f>
        <v>0</v>
      </c>
      <c r="O2468" s="83">
        <f>$L$2468-EFEITO!$O$2468*EFEITO!$AA$2468</f>
        <v>0</v>
      </c>
      <c r="P2468" s="61"/>
      <c r="Q2468" s="61"/>
      <c r="R2468" s="61"/>
      <c r="S2468" s="61"/>
      <c r="T2468" s="61"/>
      <c r="U2468" s="61"/>
      <c r="V2468" s="61"/>
      <c r="W2468" s="61"/>
      <c r="X2468" s="6"/>
      <c r="Y2468" s="6"/>
      <c r="Z2468" s="6"/>
      <c r="AA2468" s="6"/>
      <c r="AB2468" s="6"/>
      <c r="AC2468" s="6"/>
      <c r="AD2468" s="6"/>
      <c r="AE2468" s="6"/>
      <c r="AF2468" s="6"/>
      <c r="AG2468" s="6"/>
      <c r="AH2468" s="6"/>
      <c r="AI2468" s="6"/>
      <c r="AJ2468" s="6"/>
    </row>
    <row r="2469" spans="1:36" ht="11.25" customHeight="1" x14ac:dyDescent="0.2">
      <c r="A2469" s="57" t="s">
        <v>21</v>
      </c>
      <c r="B2469" s="57" t="s">
        <v>41</v>
      </c>
      <c r="C2469" s="57" t="s">
        <v>23</v>
      </c>
      <c r="D2469" s="57" t="s">
        <v>48</v>
      </c>
      <c r="E2469" s="57" t="s">
        <v>25</v>
      </c>
      <c r="F2469" s="57" t="s">
        <v>25</v>
      </c>
      <c r="G2469" s="57" t="s">
        <v>25</v>
      </c>
      <c r="H2469" s="57" t="s">
        <v>25</v>
      </c>
      <c r="I2469" s="82">
        <v>44287</v>
      </c>
      <c r="J2469" s="83">
        <f>EFEITO!$J$2469*EFEITO!$Y$2469</f>
        <v>0</v>
      </c>
      <c r="K2469" s="83">
        <f ca="1">EFEITO!$L$2469*EFEITO!$Z$2469</f>
        <v>1783217.2929183834</v>
      </c>
      <c r="L2469" s="83">
        <f>EFEITO!$N$2469*EFEITO!$AA$2469</f>
        <v>1046306.7788243752</v>
      </c>
      <c r="M2469" s="83">
        <f>$J$2469-EFEITO!$K$2469*EFEITO!$Y$2469</f>
        <v>0</v>
      </c>
      <c r="N2469" s="83">
        <f ca="1">$K$2469-EFEITO!$M$2469*EFEITO!$Z$2469</f>
        <v>0</v>
      </c>
      <c r="O2469" s="83">
        <f>$L$2469-EFEITO!$O$2469*EFEITO!$AA$2469</f>
        <v>0</v>
      </c>
      <c r="P2469" s="61"/>
      <c r="Q2469" s="61"/>
      <c r="R2469" s="61"/>
      <c r="S2469" s="61"/>
      <c r="T2469" s="61"/>
      <c r="U2469" s="61"/>
      <c r="V2469" s="61"/>
      <c r="W2469" s="61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</row>
    <row r="2470" spans="1:36" ht="11.25" customHeight="1" x14ac:dyDescent="0.2">
      <c r="A2470" s="57" t="s">
        <v>27</v>
      </c>
      <c r="B2470" s="57" t="s">
        <v>41</v>
      </c>
      <c r="C2470" s="57" t="s">
        <v>23</v>
      </c>
      <c r="D2470" s="57" t="s">
        <v>48</v>
      </c>
      <c r="E2470" s="57" t="s">
        <v>25</v>
      </c>
      <c r="F2470" s="57" t="s">
        <v>25</v>
      </c>
      <c r="G2470" s="57" t="s">
        <v>25</v>
      </c>
      <c r="H2470" s="57" t="s">
        <v>25</v>
      </c>
      <c r="I2470" s="82">
        <v>44287</v>
      </c>
      <c r="J2470" s="83">
        <f>EFEITO!$J$2470*EFEITO!$Y$2470</f>
        <v>0</v>
      </c>
      <c r="K2470" s="83">
        <f ca="1">EFEITO!$L$2470*EFEITO!$Z$2470</f>
        <v>-4088.628179760874</v>
      </c>
      <c r="L2470" s="83">
        <f>EFEITO!$N$2470*EFEITO!$AA$2470</f>
        <v>-2399.0118296659925</v>
      </c>
      <c r="M2470" s="83">
        <f>$J$2470-EFEITO!$K$2470*EFEITO!$Y$2470</f>
        <v>0</v>
      </c>
      <c r="N2470" s="83">
        <f ca="1">$K$2470-EFEITO!$M$2470*EFEITO!$Z$2470</f>
        <v>0</v>
      </c>
      <c r="O2470" s="83">
        <f>$L$2470-EFEITO!$O$2470*EFEITO!$AA$2470</f>
        <v>0</v>
      </c>
      <c r="P2470" s="61"/>
      <c r="Q2470" s="61"/>
      <c r="R2470" s="61"/>
      <c r="S2470" s="61"/>
      <c r="T2470" s="61"/>
      <c r="U2470" s="61"/>
      <c r="V2470" s="61"/>
      <c r="W2470" s="61"/>
      <c r="X2470" s="6"/>
      <c r="Y2470" s="6"/>
      <c r="Z2470" s="6"/>
      <c r="AA2470" s="6"/>
      <c r="AB2470" s="6"/>
      <c r="AC2470" s="6"/>
      <c r="AD2470" s="6"/>
      <c r="AE2470" s="6"/>
      <c r="AF2470" s="6"/>
      <c r="AG2470" s="6"/>
      <c r="AH2470" s="6"/>
      <c r="AI2470" s="6"/>
      <c r="AJ2470" s="6"/>
    </row>
    <row r="2471" spans="1:36" ht="11.25" customHeight="1" x14ac:dyDescent="0.2">
      <c r="A2471" s="57" t="s">
        <v>28</v>
      </c>
      <c r="B2471" s="57" t="s">
        <v>41</v>
      </c>
      <c r="C2471" s="57" t="s">
        <v>23</v>
      </c>
      <c r="D2471" s="57" t="s">
        <v>48</v>
      </c>
      <c r="E2471" s="57" t="s">
        <v>25</v>
      </c>
      <c r="F2471" s="57" t="s">
        <v>25</v>
      </c>
      <c r="G2471" s="57" t="s">
        <v>25</v>
      </c>
      <c r="H2471" s="57" t="s">
        <v>25</v>
      </c>
      <c r="I2471" s="82">
        <v>44287</v>
      </c>
      <c r="J2471" s="83">
        <f>EFEITO!$J$2471*EFEITO!$Y$2471</f>
        <v>0</v>
      </c>
      <c r="K2471" s="83">
        <f ca="1">EFEITO!$L$2471*EFEITO!$Z$2471</f>
        <v>2889366.9779295246</v>
      </c>
      <c r="L2471" s="83">
        <f>EFEITO!$N$2471*EFEITO!$AA$2471</f>
        <v>1695342.6077263423</v>
      </c>
      <c r="M2471" s="83">
        <f>$J$2471-EFEITO!$K$2471*EFEITO!$Y$2471</f>
        <v>0</v>
      </c>
      <c r="N2471" s="83">
        <f ca="1">$K$2471-EFEITO!$M$2471*EFEITO!$Z$2471</f>
        <v>0</v>
      </c>
      <c r="O2471" s="83">
        <f>$L$2471-EFEITO!$O$2471*EFEITO!$AA$2471</f>
        <v>0</v>
      </c>
      <c r="P2471" s="61"/>
      <c r="Q2471" s="61"/>
      <c r="R2471" s="61"/>
      <c r="S2471" s="61"/>
      <c r="T2471" s="61"/>
      <c r="U2471" s="61"/>
      <c r="V2471" s="61"/>
      <c r="W2471" s="61"/>
      <c r="X2471" s="6"/>
      <c r="Y2471" s="6"/>
      <c r="Z2471" s="6"/>
      <c r="AA2471" s="6"/>
      <c r="AB2471" s="6"/>
      <c r="AC2471" s="6"/>
      <c r="AD2471" s="6"/>
      <c r="AE2471" s="6"/>
      <c r="AF2471" s="6"/>
      <c r="AG2471" s="6"/>
      <c r="AH2471" s="6"/>
      <c r="AI2471" s="6"/>
      <c r="AJ2471" s="6"/>
    </row>
    <row r="2472" spans="1:36" ht="11.25" customHeight="1" x14ac:dyDescent="0.2">
      <c r="A2472" s="57" t="s">
        <v>29</v>
      </c>
      <c r="B2472" s="57" t="s">
        <v>41</v>
      </c>
      <c r="C2472" s="57" t="s">
        <v>23</v>
      </c>
      <c r="D2472" s="57" t="s">
        <v>48</v>
      </c>
      <c r="E2472" s="57" t="s">
        <v>25</v>
      </c>
      <c r="F2472" s="57" t="s">
        <v>25</v>
      </c>
      <c r="G2472" s="57" t="s">
        <v>25</v>
      </c>
      <c r="H2472" s="57" t="s">
        <v>25</v>
      </c>
      <c r="I2472" s="82">
        <v>44287</v>
      </c>
      <c r="J2472" s="83">
        <f>EFEITO!$J$2472*EFEITO!$Y$2472</f>
        <v>0</v>
      </c>
      <c r="K2472" s="83">
        <f ca="1">EFEITO!$L$2472*EFEITO!$Z$2472</f>
        <v>-62063.369950188324</v>
      </c>
      <c r="L2472" s="83">
        <f>EFEITO!$N$2472*EFEITO!$AA$2472</f>
        <v>-36415.82265574138</v>
      </c>
      <c r="M2472" s="83">
        <f>$J$2472-EFEITO!$K$2472*EFEITO!$Y$2472</f>
        <v>0</v>
      </c>
      <c r="N2472" s="83">
        <f ca="1">$K$2472-EFEITO!$M$2472*EFEITO!$Z$2472</f>
        <v>0</v>
      </c>
      <c r="O2472" s="83">
        <f>$L$2472-EFEITO!$O$2472*EFEITO!$AA$2472</f>
        <v>0</v>
      </c>
      <c r="P2472" s="61"/>
      <c r="Q2472" s="61"/>
      <c r="R2472" s="61"/>
      <c r="S2472" s="61"/>
      <c r="T2472" s="61"/>
      <c r="U2472" s="61"/>
      <c r="V2472" s="61"/>
      <c r="W2472" s="61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</row>
    <row r="2473" spans="1:36" ht="11.25" customHeight="1" x14ac:dyDescent="0.2">
      <c r="A2473" s="57" t="s">
        <v>30</v>
      </c>
      <c r="B2473" s="57" t="s">
        <v>41</v>
      </c>
      <c r="C2473" s="57" t="s">
        <v>23</v>
      </c>
      <c r="D2473" s="57" t="s">
        <v>48</v>
      </c>
      <c r="E2473" s="57" t="s">
        <v>25</v>
      </c>
      <c r="F2473" s="57" t="s">
        <v>25</v>
      </c>
      <c r="G2473" s="57" t="s">
        <v>25</v>
      </c>
      <c r="H2473" s="57" t="s">
        <v>25</v>
      </c>
      <c r="I2473" s="82">
        <v>44287</v>
      </c>
      <c r="J2473" s="83">
        <f>EFEITO!$J$2473*EFEITO!$Y$2473</f>
        <v>0</v>
      </c>
      <c r="K2473" s="83">
        <f ca="1">EFEITO!$L$2473*EFEITO!$Z$2473</f>
        <v>2398.3714607492248</v>
      </c>
      <c r="L2473" s="83">
        <f>EFEITO!$N$2473*EFEITO!$AA$2473</f>
        <v>1407.2498777835081</v>
      </c>
      <c r="M2473" s="83">
        <f>$J$2473-EFEITO!$K$2473*EFEITO!$Y$2473</f>
        <v>0</v>
      </c>
      <c r="N2473" s="83">
        <f ca="1">$K$2473-EFEITO!$M$2473*EFEITO!$Z$2473</f>
        <v>0</v>
      </c>
      <c r="O2473" s="83">
        <f>$L$2473-EFEITO!$O$2473*EFEITO!$AA$2473</f>
        <v>0</v>
      </c>
      <c r="P2473" s="61"/>
      <c r="Q2473" s="61"/>
      <c r="R2473" s="61"/>
      <c r="S2473" s="61"/>
      <c r="T2473" s="61"/>
      <c r="U2473" s="61"/>
      <c r="V2473" s="61"/>
      <c r="W2473" s="61"/>
      <c r="X2473" s="6"/>
      <c r="Y2473" s="6"/>
      <c r="Z2473" s="6"/>
      <c r="AA2473" s="6"/>
      <c r="AB2473" s="6"/>
      <c r="AC2473" s="6"/>
      <c r="AD2473" s="6"/>
      <c r="AE2473" s="6"/>
      <c r="AF2473" s="6"/>
      <c r="AG2473" s="6"/>
      <c r="AH2473" s="6"/>
      <c r="AI2473" s="6"/>
      <c r="AJ2473" s="6"/>
    </row>
    <row r="2474" spans="1:36" ht="11.25" customHeight="1" x14ac:dyDescent="0.2">
      <c r="A2474" s="57" t="s">
        <v>21</v>
      </c>
      <c r="B2474" s="57" t="s">
        <v>41</v>
      </c>
      <c r="C2474" s="57" t="s">
        <v>23</v>
      </c>
      <c r="D2474" s="57" t="s">
        <v>48</v>
      </c>
      <c r="E2474" s="57" t="s">
        <v>25</v>
      </c>
      <c r="F2474" s="57" t="s">
        <v>25</v>
      </c>
      <c r="G2474" s="57" t="s">
        <v>25</v>
      </c>
      <c r="H2474" s="57" t="s">
        <v>25</v>
      </c>
      <c r="I2474" s="82">
        <v>44317</v>
      </c>
      <c r="J2474" s="83">
        <f>EFEITO!$J$2474*EFEITO!$Y$2474</f>
        <v>0</v>
      </c>
      <c r="K2474" s="83">
        <f ca="1">EFEITO!$L$2474*EFEITO!$Z$2474</f>
        <v>1921811.2525995246</v>
      </c>
      <c r="L2474" s="83">
        <f>EFEITO!$N$2474*EFEITO!$AA$2474</f>
        <v>1127627.098055447</v>
      </c>
      <c r="M2474" s="83">
        <f>$J$2474-EFEITO!$K$2474*EFEITO!$Y$2474</f>
        <v>0</v>
      </c>
      <c r="N2474" s="83">
        <f ca="1">$K$2474-EFEITO!$M$2474*EFEITO!$Z$2474</f>
        <v>0</v>
      </c>
      <c r="O2474" s="83">
        <f>$L$2474-EFEITO!$O$2474*EFEITO!$AA$2474</f>
        <v>0</v>
      </c>
      <c r="P2474" s="61"/>
      <c r="Q2474" s="61"/>
      <c r="R2474" s="61"/>
      <c r="S2474" s="61"/>
      <c r="T2474" s="61"/>
      <c r="U2474" s="61"/>
      <c r="V2474" s="61"/>
      <c r="W2474" s="61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</row>
    <row r="2475" spans="1:36" ht="11.25" customHeight="1" x14ac:dyDescent="0.2">
      <c r="A2475" s="57" t="s">
        <v>27</v>
      </c>
      <c r="B2475" s="57" t="s">
        <v>41</v>
      </c>
      <c r="C2475" s="57" t="s">
        <v>23</v>
      </c>
      <c r="D2475" s="57" t="s">
        <v>48</v>
      </c>
      <c r="E2475" s="57" t="s">
        <v>25</v>
      </c>
      <c r="F2475" s="57" t="s">
        <v>25</v>
      </c>
      <c r="G2475" s="57" t="s">
        <v>25</v>
      </c>
      <c r="H2475" s="57" t="s">
        <v>25</v>
      </c>
      <c r="I2475" s="82">
        <v>44317</v>
      </c>
      <c r="J2475" s="83">
        <f>EFEITO!$J$2475*EFEITO!$Y$2475</f>
        <v>0</v>
      </c>
      <c r="K2475" s="83">
        <f ca="1">EFEITO!$L$2475*EFEITO!$Z$2475</f>
        <v>-3689.9970626310665</v>
      </c>
      <c r="L2475" s="83">
        <f>EFEITO!$N$2475*EFEITO!$AA$2475</f>
        <v>-2165.1141203068332</v>
      </c>
      <c r="M2475" s="83">
        <f>$J$2475-EFEITO!$K$2475*EFEITO!$Y$2475</f>
        <v>0</v>
      </c>
      <c r="N2475" s="83">
        <f ca="1">$K$2475-EFEITO!$M$2475*EFEITO!$Z$2475</f>
        <v>0</v>
      </c>
      <c r="O2475" s="83">
        <f>$L$2475-EFEITO!$O$2475*EFEITO!$AA$2475</f>
        <v>0</v>
      </c>
      <c r="P2475" s="61"/>
      <c r="Q2475" s="61"/>
      <c r="R2475" s="61"/>
      <c r="S2475" s="61"/>
      <c r="T2475" s="61"/>
      <c r="U2475" s="61"/>
      <c r="V2475" s="61"/>
      <c r="W2475" s="61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</row>
    <row r="2476" spans="1:36" ht="11.25" customHeight="1" x14ac:dyDescent="0.2">
      <c r="A2476" s="57" t="s">
        <v>28</v>
      </c>
      <c r="B2476" s="57" t="s">
        <v>41</v>
      </c>
      <c r="C2476" s="57" t="s">
        <v>23</v>
      </c>
      <c r="D2476" s="57" t="s">
        <v>48</v>
      </c>
      <c r="E2476" s="57" t="s">
        <v>25</v>
      </c>
      <c r="F2476" s="57" t="s">
        <v>25</v>
      </c>
      <c r="G2476" s="57" t="s">
        <v>25</v>
      </c>
      <c r="H2476" s="57" t="s">
        <v>25</v>
      </c>
      <c r="I2476" s="82">
        <v>44317</v>
      </c>
      <c r="J2476" s="83">
        <f>EFEITO!$J$2476*EFEITO!$Y$2476</f>
        <v>0</v>
      </c>
      <c r="K2476" s="83">
        <f ca="1">EFEITO!$L$2476*EFEITO!$Z$2476</f>
        <v>2754599.7756688609</v>
      </c>
      <c r="L2476" s="83">
        <f>EFEITO!$N$2476*EFEITO!$AA$2476</f>
        <v>1616267.6470647859</v>
      </c>
      <c r="M2476" s="83">
        <f>$J$2476-EFEITO!$K$2476*EFEITO!$Y$2476</f>
        <v>0</v>
      </c>
      <c r="N2476" s="83">
        <f ca="1">$K$2476-EFEITO!$M$2476*EFEITO!$Z$2476</f>
        <v>0</v>
      </c>
      <c r="O2476" s="83">
        <f>$L$2476-EFEITO!$O$2476*EFEITO!$AA$2476</f>
        <v>0</v>
      </c>
      <c r="P2476" s="61"/>
      <c r="Q2476" s="61"/>
      <c r="R2476" s="61"/>
      <c r="S2476" s="61"/>
      <c r="T2476" s="61"/>
      <c r="U2476" s="61"/>
      <c r="V2476" s="61"/>
      <c r="W2476" s="61"/>
      <c r="X2476" s="6"/>
      <c r="Y2476" s="6"/>
      <c r="Z2476" s="6"/>
      <c r="AA2476" s="6"/>
      <c r="AB2476" s="6"/>
      <c r="AC2476" s="6"/>
      <c r="AD2476" s="6"/>
      <c r="AE2476" s="6"/>
      <c r="AF2476" s="6"/>
      <c r="AG2476" s="6"/>
      <c r="AH2476" s="6"/>
      <c r="AI2476" s="6"/>
      <c r="AJ2476" s="6"/>
    </row>
    <row r="2477" spans="1:36" ht="11.25" customHeight="1" x14ac:dyDescent="0.2">
      <c r="A2477" s="57" t="s">
        <v>29</v>
      </c>
      <c r="B2477" s="57" t="s">
        <v>41</v>
      </c>
      <c r="C2477" s="57" t="s">
        <v>23</v>
      </c>
      <c r="D2477" s="57" t="s">
        <v>48</v>
      </c>
      <c r="E2477" s="57" t="s">
        <v>25</v>
      </c>
      <c r="F2477" s="57" t="s">
        <v>25</v>
      </c>
      <c r="G2477" s="57" t="s">
        <v>25</v>
      </c>
      <c r="H2477" s="57" t="s">
        <v>25</v>
      </c>
      <c r="I2477" s="82">
        <v>44317</v>
      </c>
      <c r="J2477" s="83">
        <f>EFEITO!$J$2477*EFEITO!$Y$2477</f>
        <v>0</v>
      </c>
      <c r="K2477" s="83">
        <f ca="1">EFEITO!$L$2477*EFEITO!$Z$2477</f>
        <v>-30362.319001413041</v>
      </c>
      <c r="L2477" s="83">
        <f>EFEITO!$N$2477*EFEITO!$AA$2477</f>
        <v>-17815.159329245365</v>
      </c>
      <c r="M2477" s="83">
        <f>$J$2477-EFEITO!$K$2477*EFEITO!$Y$2477</f>
        <v>0</v>
      </c>
      <c r="N2477" s="83">
        <f ca="1">$K$2477-EFEITO!$M$2477*EFEITO!$Z$2477</f>
        <v>0</v>
      </c>
      <c r="O2477" s="83">
        <f>$L$2477-EFEITO!$O$2477*EFEITO!$AA$2477</f>
        <v>0</v>
      </c>
      <c r="P2477" s="61"/>
      <c r="Q2477" s="61"/>
      <c r="R2477" s="61"/>
      <c r="S2477" s="61"/>
      <c r="T2477" s="61"/>
      <c r="U2477" s="61"/>
      <c r="V2477" s="61"/>
      <c r="W2477" s="61"/>
      <c r="X2477" s="6"/>
      <c r="Y2477" s="6"/>
      <c r="Z2477" s="6"/>
      <c r="AA2477" s="6"/>
      <c r="AB2477" s="6"/>
      <c r="AC2477" s="6"/>
      <c r="AD2477" s="6"/>
      <c r="AE2477" s="6"/>
      <c r="AF2477" s="6"/>
      <c r="AG2477" s="6"/>
      <c r="AH2477" s="6"/>
      <c r="AI2477" s="6"/>
      <c r="AJ2477" s="6"/>
    </row>
    <row r="2478" spans="1:36" ht="11.25" customHeight="1" x14ac:dyDescent="0.2">
      <c r="A2478" s="57" t="s">
        <v>30</v>
      </c>
      <c r="B2478" s="57" t="s">
        <v>41</v>
      </c>
      <c r="C2478" s="57" t="s">
        <v>23</v>
      </c>
      <c r="D2478" s="57" t="s">
        <v>48</v>
      </c>
      <c r="E2478" s="57" t="s">
        <v>25</v>
      </c>
      <c r="F2478" s="57" t="s">
        <v>25</v>
      </c>
      <c r="G2478" s="57" t="s">
        <v>25</v>
      </c>
      <c r="H2478" s="57" t="s">
        <v>25</v>
      </c>
      <c r="I2478" s="82">
        <v>44317</v>
      </c>
      <c r="J2478" s="83">
        <f>EFEITO!$J$2478*EFEITO!$Y$2478</f>
        <v>0</v>
      </c>
      <c r="K2478" s="83">
        <f ca="1">EFEITO!$L$2478*EFEITO!$Z$2478</f>
        <v>2860.8240782073112</v>
      </c>
      <c r="L2478" s="83">
        <f>EFEITO!$N$2478*EFEITO!$AA$2478</f>
        <v>1678.5949967732317</v>
      </c>
      <c r="M2478" s="83">
        <f>$J$2478-EFEITO!$K$2478*EFEITO!$Y$2478</f>
        <v>0</v>
      </c>
      <c r="N2478" s="83">
        <f ca="1">$K$2478-EFEITO!$M$2478*EFEITO!$Z$2478</f>
        <v>0</v>
      </c>
      <c r="O2478" s="83">
        <f>$L$2478-EFEITO!$O$2478*EFEITO!$AA$2478</f>
        <v>0</v>
      </c>
      <c r="P2478" s="61"/>
      <c r="Q2478" s="61"/>
      <c r="R2478" s="61"/>
      <c r="S2478" s="61"/>
      <c r="T2478" s="61"/>
      <c r="U2478" s="61"/>
      <c r="V2478" s="61"/>
      <c r="W2478" s="61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</row>
    <row r="2479" spans="1:36" ht="11.25" customHeight="1" x14ac:dyDescent="0.2">
      <c r="A2479" s="57" t="s">
        <v>21</v>
      </c>
      <c r="B2479" s="57" t="s">
        <v>41</v>
      </c>
      <c r="C2479" s="57" t="s">
        <v>23</v>
      </c>
      <c r="D2479" s="57" t="s">
        <v>48</v>
      </c>
      <c r="E2479" s="57" t="s">
        <v>25</v>
      </c>
      <c r="F2479" s="57" t="s">
        <v>25</v>
      </c>
      <c r="G2479" s="57" t="s">
        <v>25</v>
      </c>
      <c r="H2479" s="57" t="s">
        <v>25</v>
      </c>
      <c r="I2479" s="82">
        <v>44348</v>
      </c>
      <c r="J2479" s="83">
        <f>EFEITO!$J$2479*EFEITO!$Y$2479</f>
        <v>0</v>
      </c>
      <c r="K2479" s="83">
        <f ca="1">EFEITO!$L$2479*EFEITO!$Z$2479</f>
        <v>2261562.9835177436</v>
      </c>
      <c r="L2479" s="83">
        <f>EFEITO!$N$2479*EFEITO!$AA$2479</f>
        <v>1326977.1944171009</v>
      </c>
      <c r="M2479" s="83">
        <f>$J$2479-EFEITO!$K$2479*EFEITO!$Y$2479</f>
        <v>0</v>
      </c>
      <c r="N2479" s="83">
        <f ca="1">$K$2479-EFEITO!$M$2479*EFEITO!$Z$2479</f>
        <v>0</v>
      </c>
      <c r="O2479" s="83">
        <f>$L$2479-EFEITO!$O$2479*EFEITO!$AA$2479</f>
        <v>0</v>
      </c>
      <c r="P2479" s="61"/>
      <c r="Q2479" s="61"/>
      <c r="R2479" s="61"/>
      <c r="S2479" s="61"/>
      <c r="T2479" s="61"/>
      <c r="U2479" s="61"/>
      <c r="V2479" s="61"/>
      <c r="W2479" s="61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</row>
    <row r="2480" spans="1:36" ht="11.25" customHeight="1" x14ac:dyDescent="0.2">
      <c r="A2480" s="57" t="s">
        <v>27</v>
      </c>
      <c r="B2480" s="57" t="s">
        <v>41</v>
      </c>
      <c r="C2480" s="57" t="s">
        <v>23</v>
      </c>
      <c r="D2480" s="57" t="s">
        <v>48</v>
      </c>
      <c r="E2480" s="57" t="s">
        <v>25</v>
      </c>
      <c r="F2480" s="57" t="s">
        <v>25</v>
      </c>
      <c r="G2480" s="57" t="s">
        <v>25</v>
      </c>
      <c r="H2480" s="57" t="s">
        <v>25</v>
      </c>
      <c r="I2480" s="82">
        <v>44348</v>
      </c>
      <c r="J2480" s="83">
        <f>EFEITO!$J$2480*EFEITO!$Y$2480</f>
        <v>0</v>
      </c>
      <c r="K2480" s="83">
        <f ca="1">EFEITO!$L$2480*EFEITO!$Z$2480</f>
        <v>5054.5615220309419</v>
      </c>
      <c r="L2480" s="83">
        <f>EFEITO!$N$2480*EFEITO!$AA$2480</f>
        <v>2965.7754024079459</v>
      </c>
      <c r="M2480" s="83">
        <f>$J$2480-EFEITO!$K$2480*EFEITO!$Y$2480</f>
        <v>0</v>
      </c>
      <c r="N2480" s="83">
        <f ca="1">$K$2480-EFEITO!$M$2480*EFEITO!$Z$2480</f>
        <v>0</v>
      </c>
      <c r="O2480" s="83">
        <f>$L$2480-EFEITO!$O$2480*EFEITO!$AA$2480</f>
        <v>0</v>
      </c>
      <c r="P2480" s="61"/>
      <c r="Q2480" s="61"/>
      <c r="R2480" s="61"/>
      <c r="S2480" s="61"/>
      <c r="T2480" s="61"/>
      <c r="U2480" s="61"/>
      <c r="V2480" s="61"/>
      <c r="W2480" s="61"/>
      <c r="X2480" s="6"/>
      <c r="Y2480" s="6"/>
      <c r="Z2480" s="6"/>
      <c r="AA2480" s="6"/>
      <c r="AB2480" s="6"/>
      <c r="AC2480" s="6"/>
      <c r="AD2480" s="6"/>
      <c r="AE2480" s="6"/>
      <c r="AF2480" s="6"/>
      <c r="AG2480" s="6"/>
      <c r="AH2480" s="6"/>
      <c r="AI2480" s="6"/>
      <c r="AJ2480" s="6"/>
    </row>
    <row r="2481" spans="1:36" ht="11.25" customHeight="1" x14ac:dyDescent="0.2">
      <c r="A2481" s="57" t="s">
        <v>28</v>
      </c>
      <c r="B2481" s="57" t="s">
        <v>41</v>
      </c>
      <c r="C2481" s="57" t="s">
        <v>23</v>
      </c>
      <c r="D2481" s="57" t="s">
        <v>48</v>
      </c>
      <c r="E2481" s="57" t="s">
        <v>25</v>
      </c>
      <c r="F2481" s="57" t="s">
        <v>25</v>
      </c>
      <c r="G2481" s="57" t="s">
        <v>25</v>
      </c>
      <c r="H2481" s="57" t="s">
        <v>25</v>
      </c>
      <c r="I2481" s="82">
        <v>44348</v>
      </c>
      <c r="J2481" s="83">
        <f>EFEITO!$J$2481*EFEITO!$Y$2481</f>
        <v>0</v>
      </c>
      <c r="K2481" s="83">
        <f ca="1">EFEITO!$L$2481*EFEITO!$Z$2481</f>
        <v>2968504.6252969033</v>
      </c>
      <c r="L2481" s="83">
        <f>EFEITO!$N$2481*EFEITO!$AA$2481</f>
        <v>1741776.8012649145</v>
      </c>
      <c r="M2481" s="83">
        <f>$J$2481-EFEITO!$K$2481*EFEITO!$Y$2481</f>
        <v>0</v>
      </c>
      <c r="N2481" s="83">
        <f ca="1">$K$2481-EFEITO!$M$2481*EFEITO!$Z$2481</f>
        <v>0</v>
      </c>
      <c r="O2481" s="83">
        <f>$L$2481-EFEITO!$O$2481*EFEITO!$AA$2481</f>
        <v>0</v>
      </c>
      <c r="P2481" s="61"/>
      <c r="Q2481" s="61"/>
      <c r="R2481" s="61"/>
      <c r="S2481" s="61"/>
      <c r="T2481" s="61"/>
      <c r="U2481" s="61"/>
      <c r="V2481" s="61"/>
      <c r="W2481" s="61"/>
      <c r="X2481" s="6"/>
      <c r="Y2481" s="6"/>
      <c r="Z2481" s="6"/>
      <c r="AA2481" s="6"/>
      <c r="AB2481" s="6"/>
      <c r="AC2481" s="6"/>
      <c r="AD2481" s="6"/>
      <c r="AE2481" s="6"/>
      <c r="AF2481" s="6"/>
      <c r="AG2481" s="6"/>
      <c r="AH2481" s="6"/>
      <c r="AI2481" s="6"/>
      <c r="AJ2481" s="6"/>
    </row>
    <row r="2482" spans="1:36" ht="11.25" customHeight="1" x14ac:dyDescent="0.2">
      <c r="A2482" s="57" t="s">
        <v>29</v>
      </c>
      <c r="B2482" s="57" t="s">
        <v>41</v>
      </c>
      <c r="C2482" s="57" t="s">
        <v>23</v>
      </c>
      <c r="D2482" s="57" t="s">
        <v>48</v>
      </c>
      <c r="E2482" s="57" t="s">
        <v>25</v>
      </c>
      <c r="F2482" s="57" t="s">
        <v>25</v>
      </c>
      <c r="G2482" s="57" t="s">
        <v>25</v>
      </c>
      <c r="H2482" s="57" t="s">
        <v>25</v>
      </c>
      <c r="I2482" s="82">
        <v>44348</v>
      </c>
      <c r="J2482" s="83">
        <f>EFEITO!$J$2482*EFEITO!$Y$2482</f>
        <v>0</v>
      </c>
      <c r="K2482" s="83">
        <f ca="1">EFEITO!$L$2482*EFEITO!$Z$2482</f>
        <v>-20889.384881258451</v>
      </c>
      <c r="L2482" s="83">
        <f>EFEITO!$N$2482*EFEITO!$AA$2482</f>
        <v>-12256.893814080178</v>
      </c>
      <c r="M2482" s="83">
        <f>$J$2482-EFEITO!$K$2482*EFEITO!$Y$2482</f>
        <v>0</v>
      </c>
      <c r="N2482" s="83">
        <f ca="1">$K$2482-EFEITO!$M$2482*EFEITO!$Z$2482</f>
        <v>0</v>
      </c>
      <c r="O2482" s="83">
        <f>$L$2482-EFEITO!$O$2482*EFEITO!$AA$2482</f>
        <v>0</v>
      </c>
      <c r="P2482" s="61"/>
      <c r="Q2482" s="61"/>
      <c r="R2482" s="61"/>
      <c r="S2482" s="61"/>
      <c r="T2482" s="61"/>
      <c r="U2482" s="61"/>
      <c r="V2482" s="61"/>
      <c r="W2482" s="61"/>
      <c r="X2482" s="6"/>
      <c r="Y2482" s="6"/>
      <c r="Z2482" s="6"/>
      <c r="AA2482" s="6"/>
      <c r="AB2482" s="6"/>
      <c r="AC2482" s="6"/>
      <c r="AD2482" s="6"/>
      <c r="AE2482" s="6"/>
      <c r="AF2482" s="6"/>
      <c r="AG2482" s="6"/>
      <c r="AH2482" s="6"/>
      <c r="AI2482" s="6"/>
      <c r="AJ2482" s="6"/>
    </row>
    <row r="2483" spans="1:36" ht="11.25" customHeight="1" x14ac:dyDescent="0.2">
      <c r="A2483" s="57" t="s">
        <v>30</v>
      </c>
      <c r="B2483" s="57" t="s">
        <v>41</v>
      </c>
      <c r="C2483" s="57" t="s">
        <v>23</v>
      </c>
      <c r="D2483" s="57" t="s">
        <v>48</v>
      </c>
      <c r="E2483" s="57" t="s">
        <v>25</v>
      </c>
      <c r="F2483" s="57" t="s">
        <v>25</v>
      </c>
      <c r="G2483" s="57" t="s">
        <v>25</v>
      </c>
      <c r="H2483" s="57" t="s">
        <v>25</v>
      </c>
      <c r="I2483" s="82">
        <v>44348</v>
      </c>
      <c r="J2483" s="83">
        <f>EFEITO!$J$2483*EFEITO!$Y$2483</f>
        <v>0</v>
      </c>
      <c r="K2483" s="83">
        <f ca="1">EFEITO!$L$2483*EFEITO!$Z$2483</f>
        <v>3603.3821693284017</v>
      </c>
      <c r="L2483" s="83">
        <f>EFEITO!$N$2483*EFEITO!$AA$2483</f>
        <v>2114.29263580821</v>
      </c>
      <c r="M2483" s="83">
        <f>$J$2483-EFEITO!$K$2483*EFEITO!$Y$2483</f>
        <v>0</v>
      </c>
      <c r="N2483" s="83">
        <f ca="1">$K$2483-EFEITO!$M$2483*EFEITO!$Z$2483</f>
        <v>0</v>
      </c>
      <c r="O2483" s="83">
        <f>$L$2483-EFEITO!$O$2483*EFEITO!$AA$2483</f>
        <v>0</v>
      </c>
      <c r="P2483" s="61"/>
      <c r="Q2483" s="61"/>
      <c r="R2483" s="61"/>
      <c r="S2483" s="61"/>
      <c r="T2483" s="61"/>
      <c r="U2483" s="61"/>
      <c r="V2483" s="61"/>
      <c r="W2483" s="61"/>
      <c r="X2483" s="6"/>
      <c r="Y2483" s="6"/>
      <c r="Z2483" s="6"/>
      <c r="AA2483" s="6"/>
      <c r="AB2483" s="6"/>
      <c r="AC2483" s="6"/>
      <c r="AD2483" s="6"/>
      <c r="AE2483" s="6"/>
      <c r="AF2483" s="6"/>
      <c r="AG2483" s="6"/>
      <c r="AH2483" s="6"/>
      <c r="AI2483" s="6"/>
      <c r="AJ2483" s="6"/>
    </row>
    <row r="2484" spans="1:36" ht="11.25" customHeight="1" x14ac:dyDescent="0.2">
      <c r="A2484" s="57" t="s">
        <v>21</v>
      </c>
      <c r="B2484" s="57" t="s">
        <v>41</v>
      </c>
      <c r="C2484" s="57" t="s">
        <v>23</v>
      </c>
      <c r="D2484" s="57" t="s">
        <v>48</v>
      </c>
      <c r="E2484" s="57" t="s">
        <v>25</v>
      </c>
      <c r="F2484" s="57" t="s">
        <v>25</v>
      </c>
      <c r="G2484" s="57" t="s">
        <v>25</v>
      </c>
      <c r="H2484" s="57" t="s">
        <v>25</v>
      </c>
      <c r="I2484" s="82">
        <v>44378</v>
      </c>
      <c r="J2484" s="83">
        <f>EFEITO!$J$2484*EFEITO!$Y$2484</f>
        <v>0</v>
      </c>
      <c r="K2484" s="83">
        <f ca="1">EFEITO!$L$2484*EFEITO!$Z$2484</f>
        <v>2478317.5137874279</v>
      </c>
      <c r="L2484" s="83">
        <f>EFEITO!$N$2484*EFEITO!$AA$2484</f>
        <v>1454158.4051774004</v>
      </c>
      <c r="M2484" s="83">
        <f>$J$2484-EFEITO!$K$2484*EFEITO!$Y$2484</f>
        <v>0</v>
      </c>
      <c r="N2484" s="83">
        <f ca="1">$K$2484-EFEITO!$M$2484*EFEITO!$Z$2484</f>
        <v>0</v>
      </c>
      <c r="O2484" s="83">
        <f>$L$2484-EFEITO!$O$2484*EFEITO!$AA$2484</f>
        <v>0</v>
      </c>
      <c r="P2484" s="61"/>
      <c r="Q2484" s="61"/>
      <c r="R2484" s="61"/>
      <c r="S2484" s="61"/>
      <c r="T2484" s="61"/>
      <c r="U2484" s="61"/>
      <c r="V2484" s="61"/>
      <c r="W2484" s="61"/>
      <c r="X2484" s="6"/>
      <c r="Y2484" s="6"/>
      <c r="Z2484" s="6"/>
      <c r="AA2484" s="6"/>
      <c r="AB2484" s="6"/>
      <c r="AC2484" s="6"/>
      <c r="AD2484" s="6"/>
      <c r="AE2484" s="6"/>
      <c r="AF2484" s="6"/>
      <c r="AG2484" s="6"/>
      <c r="AH2484" s="6"/>
      <c r="AI2484" s="6"/>
      <c r="AJ2484" s="6"/>
    </row>
    <row r="2485" spans="1:36" ht="11.25" customHeight="1" x14ac:dyDescent="0.2">
      <c r="A2485" s="57" t="s">
        <v>27</v>
      </c>
      <c r="B2485" s="57" t="s">
        <v>41</v>
      </c>
      <c r="C2485" s="57" t="s">
        <v>23</v>
      </c>
      <c r="D2485" s="57" t="s">
        <v>48</v>
      </c>
      <c r="E2485" s="57" t="s">
        <v>25</v>
      </c>
      <c r="F2485" s="57" t="s">
        <v>25</v>
      </c>
      <c r="G2485" s="57" t="s">
        <v>25</v>
      </c>
      <c r="H2485" s="57" t="s">
        <v>25</v>
      </c>
      <c r="I2485" s="82">
        <v>44378</v>
      </c>
      <c r="J2485" s="83">
        <f>EFEITO!$J$2485*EFEITO!$Y$2485</f>
        <v>0</v>
      </c>
      <c r="K2485" s="83">
        <f ca="1">EFEITO!$L$2485*EFEITO!$Z$2485</f>
        <v>21214.570621026352</v>
      </c>
      <c r="L2485" s="83">
        <f>EFEITO!$N$2485*EFEITO!$AA$2485</f>
        <v>12447.697282197816</v>
      </c>
      <c r="M2485" s="83">
        <f>$J$2485-EFEITO!$K$2485*EFEITO!$Y$2485</f>
        <v>0</v>
      </c>
      <c r="N2485" s="83">
        <f ca="1">$K$2485-EFEITO!$M$2485*EFEITO!$Z$2485</f>
        <v>0</v>
      </c>
      <c r="O2485" s="83">
        <f>$L$2485-EFEITO!$O$2485*EFEITO!$AA$2485</f>
        <v>0</v>
      </c>
      <c r="P2485" s="61"/>
      <c r="Q2485" s="61"/>
      <c r="R2485" s="61"/>
      <c r="S2485" s="61"/>
      <c r="T2485" s="61"/>
      <c r="U2485" s="61"/>
      <c r="V2485" s="61"/>
      <c r="W2485" s="61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</row>
    <row r="2486" spans="1:36" ht="11.25" customHeight="1" x14ac:dyDescent="0.2">
      <c r="A2486" s="57" t="s">
        <v>28</v>
      </c>
      <c r="B2486" s="57" t="s">
        <v>41</v>
      </c>
      <c r="C2486" s="57" t="s">
        <v>23</v>
      </c>
      <c r="D2486" s="57" t="s">
        <v>48</v>
      </c>
      <c r="E2486" s="57" t="s">
        <v>25</v>
      </c>
      <c r="F2486" s="57" t="s">
        <v>25</v>
      </c>
      <c r="G2486" s="57" t="s">
        <v>25</v>
      </c>
      <c r="H2486" s="57" t="s">
        <v>25</v>
      </c>
      <c r="I2486" s="82">
        <v>44378</v>
      </c>
      <c r="J2486" s="83">
        <f>EFEITO!$J$2486*EFEITO!$Y$2486</f>
        <v>0</v>
      </c>
      <c r="K2486" s="83">
        <f ca="1">EFEITO!$L$2486*EFEITO!$Z$2486</f>
        <v>2823844.0774456686</v>
      </c>
      <c r="L2486" s="83">
        <f>EFEITO!$N$2486*EFEITO!$AA$2486</f>
        <v>1656896.8977072935</v>
      </c>
      <c r="M2486" s="83">
        <f>$J$2486-EFEITO!$K$2486*EFEITO!$Y$2486</f>
        <v>0</v>
      </c>
      <c r="N2486" s="83">
        <f ca="1">$K$2486-EFEITO!$M$2486*EFEITO!$Z$2486</f>
        <v>0</v>
      </c>
      <c r="O2486" s="83">
        <f>$L$2486-EFEITO!$O$2486*EFEITO!$AA$2486</f>
        <v>0</v>
      </c>
      <c r="P2486" s="61"/>
      <c r="Q2486" s="61"/>
      <c r="R2486" s="61"/>
      <c r="S2486" s="61"/>
      <c r="T2486" s="61"/>
      <c r="U2486" s="61"/>
      <c r="V2486" s="61"/>
      <c r="W2486" s="61"/>
      <c r="X2486" s="6"/>
      <c r="Y2486" s="6"/>
      <c r="Z2486" s="6"/>
      <c r="AA2486" s="6"/>
      <c r="AB2486" s="6"/>
      <c r="AC2486" s="6"/>
      <c r="AD2486" s="6"/>
      <c r="AE2486" s="6"/>
      <c r="AF2486" s="6"/>
      <c r="AG2486" s="6"/>
      <c r="AH2486" s="6"/>
      <c r="AI2486" s="6"/>
      <c r="AJ2486" s="6"/>
    </row>
    <row r="2487" spans="1:36" ht="11.25" customHeight="1" x14ac:dyDescent="0.2">
      <c r="A2487" s="57" t="s">
        <v>29</v>
      </c>
      <c r="B2487" s="57" t="s">
        <v>41</v>
      </c>
      <c r="C2487" s="57" t="s">
        <v>23</v>
      </c>
      <c r="D2487" s="57" t="s">
        <v>48</v>
      </c>
      <c r="E2487" s="57" t="s">
        <v>25</v>
      </c>
      <c r="F2487" s="57" t="s">
        <v>25</v>
      </c>
      <c r="G2487" s="57" t="s">
        <v>25</v>
      </c>
      <c r="H2487" s="57" t="s">
        <v>25</v>
      </c>
      <c r="I2487" s="82">
        <v>44378</v>
      </c>
      <c r="J2487" s="83">
        <f>EFEITO!$J$2487*EFEITO!$Y$2487</f>
        <v>0</v>
      </c>
      <c r="K2487" s="83">
        <f ca="1">EFEITO!$L$2487*EFEITO!$Z$2487</f>
        <v>1206.5302681108033</v>
      </c>
      <c r="L2487" s="83">
        <f>EFEITO!$N$2487*EFEITO!$AA$2487</f>
        <v>707.93436301590623</v>
      </c>
      <c r="M2487" s="83">
        <f>$J$2487-EFEITO!$K$2487*EFEITO!$Y$2487</f>
        <v>0</v>
      </c>
      <c r="N2487" s="83">
        <f ca="1">$K$2487-EFEITO!$M$2487*EFEITO!$Z$2487</f>
        <v>0</v>
      </c>
      <c r="O2487" s="83">
        <f>$L$2487-EFEITO!$O$2487*EFEITO!$AA$2487</f>
        <v>0</v>
      </c>
      <c r="P2487" s="61"/>
      <c r="Q2487" s="61"/>
      <c r="R2487" s="61"/>
      <c r="S2487" s="61"/>
      <c r="T2487" s="61"/>
      <c r="U2487" s="61"/>
      <c r="V2487" s="61"/>
      <c r="W2487" s="61"/>
      <c r="X2487" s="6"/>
      <c r="Y2487" s="6"/>
      <c r="Z2487" s="6"/>
      <c r="AA2487" s="6"/>
      <c r="AB2487" s="6"/>
      <c r="AC2487" s="6"/>
      <c r="AD2487" s="6"/>
      <c r="AE2487" s="6"/>
      <c r="AF2487" s="6"/>
      <c r="AG2487" s="6"/>
      <c r="AH2487" s="6"/>
      <c r="AI2487" s="6"/>
      <c r="AJ2487" s="6"/>
    </row>
    <row r="2488" spans="1:36" ht="11.25" customHeight="1" x14ac:dyDescent="0.2">
      <c r="A2488" s="57" t="s">
        <v>30</v>
      </c>
      <c r="B2488" s="57" t="s">
        <v>41</v>
      </c>
      <c r="C2488" s="57" t="s">
        <v>23</v>
      </c>
      <c r="D2488" s="57" t="s">
        <v>48</v>
      </c>
      <c r="E2488" s="57" t="s">
        <v>25</v>
      </c>
      <c r="F2488" s="57" t="s">
        <v>25</v>
      </c>
      <c r="G2488" s="57" t="s">
        <v>25</v>
      </c>
      <c r="H2488" s="57" t="s">
        <v>25</v>
      </c>
      <c r="I2488" s="82">
        <v>44378</v>
      </c>
      <c r="J2488" s="83">
        <f>EFEITO!$J$2488*EFEITO!$Y$2488</f>
        <v>0</v>
      </c>
      <c r="K2488" s="83">
        <f ca="1">EFEITO!$L$2488*EFEITO!$Z$2488</f>
        <v>3757.8707217103474</v>
      </c>
      <c r="L2488" s="83">
        <f>EFEITO!$N$2488*EFEITO!$AA$2488</f>
        <v>2204.9391432472744</v>
      </c>
      <c r="M2488" s="83">
        <f>$J$2488-EFEITO!$K$2488*EFEITO!$Y$2488</f>
        <v>0</v>
      </c>
      <c r="N2488" s="83">
        <f ca="1">$K$2488-EFEITO!$M$2488*EFEITO!$Z$2488</f>
        <v>0</v>
      </c>
      <c r="O2488" s="83">
        <f>$L$2488-EFEITO!$O$2488*EFEITO!$AA$2488</f>
        <v>0</v>
      </c>
      <c r="P2488" s="61"/>
      <c r="Q2488" s="61"/>
      <c r="R2488" s="61"/>
      <c r="S2488" s="61"/>
      <c r="T2488" s="61"/>
      <c r="U2488" s="61"/>
      <c r="V2488" s="61"/>
      <c r="W2488" s="61"/>
      <c r="X2488" s="6"/>
      <c r="Y2488" s="6"/>
      <c r="Z2488" s="6"/>
      <c r="AA2488" s="6"/>
      <c r="AB2488" s="6"/>
      <c r="AC2488" s="6"/>
      <c r="AD2488" s="6"/>
      <c r="AE2488" s="6"/>
      <c r="AF2488" s="6"/>
      <c r="AG2488" s="6"/>
      <c r="AH2488" s="6"/>
      <c r="AI2488" s="6"/>
      <c r="AJ2488" s="6"/>
    </row>
    <row r="2489" spans="1:36" ht="11.25" customHeight="1" x14ac:dyDescent="0.2">
      <c r="A2489" s="57" t="s">
        <v>21</v>
      </c>
      <c r="B2489" s="57" t="s">
        <v>41</v>
      </c>
      <c r="C2489" s="57" t="s">
        <v>23</v>
      </c>
      <c r="D2489" s="57" t="s">
        <v>48</v>
      </c>
      <c r="E2489" s="57" t="s">
        <v>25</v>
      </c>
      <c r="F2489" s="57" t="s">
        <v>25</v>
      </c>
      <c r="G2489" s="57" t="s">
        <v>25</v>
      </c>
      <c r="H2489" s="57" t="s">
        <v>25</v>
      </c>
      <c r="I2489" s="82">
        <v>44409</v>
      </c>
      <c r="J2489" s="83">
        <f>EFEITO!$J$2489*EFEITO!$Y$2489</f>
        <v>0</v>
      </c>
      <c r="K2489" s="83">
        <f ca="1">EFEITO!$L$2489*EFEITO!$Z$2489</f>
        <v>3221167.3603385901</v>
      </c>
      <c r="L2489" s="83">
        <f>EFEITO!$N$2489*EFEITO!$AA$2489</f>
        <v>1890027.23237069</v>
      </c>
      <c r="M2489" s="83">
        <f>$J$2489-EFEITO!$K$2489*EFEITO!$Y$2489</f>
        <v>0</v>
      </c>
      <c r="N2489" s="83">
        <f ca="1">$K$2489-EFEITO!$M$2489*EFEITO!$Z$2489</f>
        <v>0</v>
      </c>
      <c r="O2489" s="83">
        <f>$L$2489-EFEITO!$O$2489*EFEITO!$AA$2489</f>
        <v>0</v>
      </c>
      <c r="P2489" s="61"/>
      <c r="Q2489" s="61"/>
      <c r="R2489" s="61"/>
      <c r="S2489" s="61"/>
      <c r="T2489" s="61"/>
      <c r="U2489" s="61"/>
      <c r="V2489" s="61"/>
      <c r="W2489" s="61"/>
      <c r="X2489" s="6"/>
      <c r="Y2489" s="6"/>
      <c r="Z2489" s="6"/>
      <c r="AA2489" s="6"/>
      <c r="AB2489" s="6"/>
      <c r="AC2489" s="6"/>
      <c r="AD2489" s="6"/>
      <c r="AE2489" s="6"/>
      <c r="AF2489" s="6"/>
      <c r="AG2489" s="6"/>
      <c r="AH2489" s="6"/>
      <c r="AI2489" s="6"/>
      <c r="AJ2489" s="6"/>
    </row>
    <row r="2490" spans="1:36" ht="11.25" customHeight="1" x14ac:dyDescent="0.2">
      <c r="A2490" s="57" t="s">
        <v>27</v>
      </c>
      <c r="B2490" s="57" t="s">
        <v>41</v>
      </c>
      <c r="C2490" s="57" t="s">
        <v>23</v>
      </c>
      <c r="D2490" s="57" t="s">
        <v>48</v>
      </c>
      <c r="E2490" s="57" t="s">
        <v>25</v>
      </c>
      <c r="F2490" s="57" t="s">
        <v>25</v>
      </c>
      <c r="G2490" s="57" t="s">
        <v>25</v>
      </c>
      <c r="H2490" s="57" t="s">
        <v>25</v>
      </c>
      <c r="I2490" s="82">
        <v>44409</v>
      </c>
      <c r="J2490" s="83">
        <f>EFEITO!$J$2490*EFEITO!$Y$2490</f>
        <v>0</v>
      </c>
      <c r="K2490" s="83">
        <f ca="1">EFEITO!$L$2490*EFEITO!$Z$2490</f>
        <v>13909.034912813877</v>
      </c>
      <c r="L2490" s="83">
        <f>EFEITO!$N$2490*EFEITO!$AA$2490</f>
        <v>8161.1576861531421</v>
      </c>
      <c r="M2490" s="83">
        <f>$J$2490-EFEITO!$K$2490*EFEITO!$Y$2490</f>
        <v>0</v>
      </c>
      <c r="N2490" s="83">
        <f ca="1">$K$2490-EFEITO!$M$2490*EFEITO!$Z$2490</f>
        <v>0</v>
      </c>
      <c r="O2490" s="83">
        <f>$L$2490-EFEITO!$O$2490*EFEITO!$AA$2490</f>
        <v>0</v>
      </c>
      <c r="P2490" s="61"/>
      <c r="Q2490" s="61"/>
      <c r="R2490" s="61"/>
      <c r="S2490" s="61"/>
      <c r="T2490" s="61"/>
      <c r="U2490" s="61"/>
      <c r="V2490" s="61"/>
      <c r="W2490" s="61"/>
      <c r="X2490" s="6"/>
      <c r="Y2490" s="6"/>
      <c r="Z2490" s="6"/>
      <c r="AA2490" s="6"/>
      <c r="AB2490" s="6"/>
      <c r="AC2490" s="6"/>
      <c r="AD2490" s="6"/>
      <c r="AE2490" s="6"/>
      <c r="AF2490" s="6"/>
      <c r="AG2490" s="6"/>
      <c r="AH2490" s="6"/>
      <c r="AI2490" s="6"/>
      <c r="AJ2490" s="6"/>
    </row>
    <row r="2491" spans="1:36" ht="11.25" customHeight="1" x14ac:dyDescent="0.2">
      <c r="A2491" s="57" t="s">
        <v>28</v>
      </c>
      <c r="B2491" s="57" t="s">
        <v>41</v>
      </c>
      <c r="C2491" s="57" t="s">
        <v>23</v>
      </c>
      <c r="D2491" s="57" t="s">
        <v>48</v>
      </c>
      <c r="E2491" s="57" t="s">
        <v>25</v>
      </c>
      <c r="F2491" s="57" t="s">
        <v>25</v>
      </c>
      <c r="G2491" s="57" t="s">
        <v>25</v>
      </c>
      <c r="H2491" s="57" t="s">
        <v>25</v>
      </c>
      <c r="I2491" s="82">
        <v>44409</v>
      </c>
      <c r="J2491" s="83">
        <f>EFEITO!$J$2491*EFEITO!$Y$2491</f>
        <v>0</v>
      </c>
      <c r="K2491" s="83">
        <f ca="1">EFEITO!$L$2491*EFEITO!$Z$2491</f>
        <v>3731653.2545913653</v>
      </c>
      <c r="L2491" s="83">
        <f>EFEITO!$N$2491*EFEITO!$AA$2491</f>
        <v>2189555.9851323697</v>
      </c>
      <c r="M2491" s="83">
        <f>$J$2491-EFEITO!$K$2491*EFEITO!$Y$2491</f>
        <v>0</v>
      </c>
      <c r="N2491" s="83">
        <f ca="1">$K$2491-EFEITO!$M$2491*EFEITO!$Z$2491</f>
        <v>0</v>
      </c>
      <c r="O2491" s="83">
        <f>$L$2491-EFEITO!$O$2491*EFEITO!$AA$2491</f>
        <v>0</v>
      </c>
      <c r="P2491" s="61"/>
      <c r="Q2491" s="61"/>
      <c r="R2491" s="61"/>
      <c r="S2491" s="61"/>
      <c r="T2491" s="61"/>
      <c r="U2491" s="61"/>
      <c r="V2491" s="61"/>
      <c r="W2491" s="61"/>
      <c r="X2491" s="6"/>
      <c r="Y2491" s="6"/>
      <c r="Z2491" s="6"/>
      <c r="AA2491" s="6"/>
      <c r="AB2491" s="6"/>
      <c r="AC2491" s="6"/>
      <c r="AD2491" s="6"/>
      <c r="AE2491" s="6"/>
      <c r="AF2491" s="6"/>
      <c r="AG2491" s="6"/>
      <c r="AH2491" s="6"/>
      <c r="AI2491" s="6"/>
      <c r="AJ2491" s="6"/>
    </row>
    <row r="2492" spans="1:36" ht="11.25" customHeight="1" x14ac:dyDescent="0.2">
      <c r="A2492" s="57" t="s">
        <v>29</v>
      </c>
      <c r="B2492" s="57" t="s">
        <v>41</v>
      </c>
      <c r="C2492" s="57" t="s">
        <v>23</v>
      </c>
      <c r="D2492" s="57" t="s">
        <v>48</v>
      </c>
      <c r="E2492" s="57" t="s">
        <v>25</v>
      </c>
      <c r="F2492" s="57" t="s">
        <v>25</v>
      </c>
      <c r="G2492" s="57" t="s">
        <v>25</v>
      </c>
      <c r="H2492" s="57" t="s">
        <v>25</v>
      </c>
      <c r="I2492" s="82">
        <v>44409</v>
      </c>
      <c r="J2492" s="83">
        <f>EFEITO!$J$2492*EFEITO!$Y$2492</f>
        <v>0</v>
      </c>
      <c r="K2492" s="83">
        <f ca="1">EFEITO!$L$2492*EFEITO!$Z$2492</f>
        <v>-121509.04534722945</v>
      </c>
      <c r="L2492" s="83">
        <f>EFEITO!$N$2492*EFEITO!$AA$2492</f>
        <v>-71295.707113302153</v>
      </c>
      <c r="M2492" s="83">
        <f>$J$2492-EFEITO!$K$2492*EFEITO!$Y$2492</f>
        <v>0</v>
      </c>
      <c r="N2492" s="83">
        <f ca="1">$K$2492-EFEITO!$M$2492*EFEITO!$Z$2492</f>
        <v>0</v>
      </c>
      <c r="O2492" s="83">
        <f>$L$2492-EFEITO!$O$2492*EFEITO!$AA$2492</f>
        <v>0</v>
      </c>
      <c r="P2492" s="61"/>
      <c r="Q2492" s="61"/>
      <c r="R2492" s="61"/>
      <c r="S2492" s="61"/>
      <c r="T2492" s="61"/>
      <c r="U2492" s="61"/>
      <c r="V2492" s="61"/>
      <c r="W2492" s="61"/>
      <c r="X2492" s="6"/>
      <c r="Y2492" s="6"/>
      <c r="Z2492" s="6"/>
      <c r="AA2492" s="6"/>
      <c r="AB2492" s="6"/>
      <c r="AC2492" s="6"/>
      <c r="AD2492" s="6"/>
      <c r="AE2492" s="6"/>
      <c r="AF2492" s="6"/>
      <c r="AG2492" s="6"/>
      <c r="AH2492" s="6"/>
      <c r="AI2492" s="6"/>
      <c r="AJ2492" s="6"/>
    </row>
    <row r="2493" spans="1:36" ht="11.25" customHeight="1" x14ac:dyDescent="0.2">
      <c r="A2493" s="57" t="s">
        <v>30</v>
      </c>
      <c r="B2493" s="57" t="s">
        <v>41</v>
      </c>
      <c r="C2493" s="57" t="s">
        <v>23</v>
      </c>
      <c r="D2493" s="57" t="s">
        <v>48</v>
      </c>
      <c r="E2493" s="57" t="s">
        <v>25</v>
      </c>
      <c r="F2493" s="57" t="s">
        <v>25</v>
      </c>
      <c r="G2493" s="57" t="s">
        <v>25</v>
      </c>
      <c r="H2493" s="57" t="s">
        <v>25</v>
      </c>
      <c r="I2493" s="82">
        <v>44409</v>
      </c>
      <c r="J2493" s="83">
        <f>EFEITO!$J$2493*EFEITO!$Y$2493</f>
        <v>0</v>
      </c>
      <c r="K2493" s="83">
        <f ca="1">EFEITO!$L$2493*EFEITO!$Z$2493</f>
        <v>13838.62865451522</v>
      </c>
      <c r="L2493" s="83">
        <f>EFEITO!$N$2493*EFEITO!$AA$2493</f>
        <v>8119.8466548940278</v>
      </c>
      <c r="M2493" s="83">
        <f>$J$2493-EFEITO!$K$2493*EFEITO!$Y$2493</f>
        <v>0</v>
      </c>
      <c r="N2493" s="83">
        <f ca="1">$K$2493-EFEITO!$M$2493*EFEITO!$Z$2493</f>
        <v>0</v>
      </c>
      <c r="O2493" s="83">
        <f>$L$2493-EFEITO!$O$2493*EFEITO!$AA$2493</f>
        <v>0</v>
      </c>
      <c r="P2493" s="61"/>
      <c r="Q2493" s="61"/>
      <c r="R2493" s="61"/>
      <c r="S2493" s="61"/>
      <c r="T2493" s="61"/>
      <c r="U2493" s="61"/>
      <c r="V2493" s="61"/>
      <c r="W2493" s="61"/>
      <c r="X2493" s="6"/>
      <c r="Y2493" s="6"/>
      <c r="Z2493" s="6"/>
      <c r="AA2493" s="6"/>
      <c r="AB2493" s="6"/>
      <c r="AC2493" s="6"/>
      <c r="AD2493" s="6"/>
      <c r="AE2493" s="6"/>
      <c r="AF2493" s="6"/>
      <c r="AG2493" s="6"/>
      <c r="AH2493" s="6"/>
      <c r="AI2493" s="6"/>
      <c r="AJ2493" s="6"/>
    </row>
    <row r="2494" spans="1:36" ht="11.25" customHeight="1" x14ac:dyDescent="0.2">
      <c r="A2494" s="57" t="s">
        <v>21</v>
      </c>
      <c r="B2494" s="57" t="s">
        <v>41</v>
      </c>
      <c r="C2494" s="57" t="s">
        <v>23</v>
      </c>
      <c r="D2494" s="57" t="s">
        <v>48</v>
      </c>
      <c r="E2494" s="57" t="s">
        <v>25</v>
      </c>
      <c r="F2494" s="57" t="s">
        <v>25</v>
      </c>
      <c r="G2494" s="57" t="s">
        <v>25</v>
      </c>
      <c r="H2494" s="57" t="s">
        <v>25</v>
      </c>
      <c r="I2494" s="82">
        <v>44440</v>
      </c>
      <c r="J2494" s="83">
        <f>EFEITO!$J$2494*EFEITO!$Y$2494</f>
        <v>0</v>
      </c>
      <c r="K2494" s="83">
        <f ca="1">EFEITO!$L$2494*EFEITO!$Z$2494</f>
        <v>3205030.6511524129</v>
      </c>
      <c r="L2494" s="83">
        <f>EFEITO!$N$2494*EFEITO!$AA$2494</f>
        <v>1880558.9817674318</v>
      </c>
      <c r="M2494" s="83">
        <f>$J$2494-EFEITO!$K$2494*EFEITO!$Y$2494</f>
        <v>0</v>
      </c>
      <c r="N2494" s="83">
        <f ca="1">$K$2494-EFEITO!$M$2494*EFEITO!$Z$2494</f>
        <v>0</v>
      </c>
      <c r="O2494" s="83">
        <f>$L$2494-EFEITO!$O$2494*EFEITO!$AA$2494</f>
        <v>0</v>
      </c>
      <c r="P2494" s="61"/>
      <c r="Q2494" s="61"/>
      <c r="R2494" s="61"/>
      <c r="S2494" s="61"/>
      <c r="T2494" s="61"/>
      <c r="U2494" s="61"/>
      <c r="V2494" s="61"/>
      <c r="W2494" s="61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</row>
    <row r="2495" spans="1:36" ht="11.25" customHeight="1" x14ac:dyDescent="0.2">
      <c r="A2495" s="57" t="s">
        <v>27</v>
      </c>
      <c r="B2495" s="57" t="s">
        <v>41</v>
      </c>
      <c r="C2495" s="57" t="s">
        <v>23</v>
      </c>
      <c r="D2495" s="57" t="s">
        <v>48</v>
      </c>
      <c r="E2495" s="57" t="s">
        <v>25</v>
      </c>
      <c r="F2495" s="57" t="s">
        <v>25</v>
      </c>
      <c r="G2495" s="57" t="s">
        <v>25</v>
      </c>
      <c r="H2495" s="57" t="s">
        <v>25</v>
      </c>
      <c r="I2495" s="82">
        <v>44440</v>
      </c>
      <c r="J2495" s="83">
        <f>EFEITO!$J$2495*EFEITO!$Y$2495</f>
        <v>0</v>
      </c>
      <c r="K2495" s="83">
        <f ca="1">EFEITO!$L$2495*EFEITO!$Z$2495</f>
        <v>-22406.918333508649</v>
      </c>
      <c r="L2495" s="83">
        <f>EFEITO!$N$2495*EFEITO!$AA$2495</f>
        <v>-13147.309998629153</v>
      </c>
      <c r="M2495" s="83">
        <f>$J$2495-EFEITO!$K$2495*EFEITO!$Y$2495</f>
        <v>0</v>
      </c>
      <c r="N2495" s="83">
        <f ca="1">$K$2495-EFEITO!$M$2495*EFEITO!$Z$2495</f>
        <v>0</v>
      </c>
      <c r="O2495" s="83">
        <f>$L$2495-EFEITO!$O$2495*EFEITO!$AA$2495</f>
        <v>0</v>
      </c>
      <c r="P2495" s="61"/>
      <c r="Q2495" s="61"/>
      <c r="R2495" s="61"/>
      <c r="S2495" s="61"/>
      <c r="T2495" s="61"/>
      <c r="U2495" s="61"/>
      <c r="V2495" s="61"/>
      <c r="W2495" s="61"/>
      <c r="X2495" s="6"/>
      <c r="Y2495" s="6"/>
      <c r="Z2495" s="6"/>
      <c r="AA2495" s="6"/>
      <c r="AB2495" s="6"/>
      <c r="AC2495" s="6"/>
      <c r="AD2495" s="6"/>
      <c r="AE2495" s="6"/>
      <c r="AF2495" s="6"/>
      <c r="AG2495" s="6"/>
      <c r="AH2495" s="6"/>
      <c r="AI2495" s="6"/>
      <c r="AJ2495" s="6"/>
    </row>
    <row r="2496" spans="1:36" ht="11.25" customHeight="1" x14ac:dyDescent="0.2">
      <c r="A2496" s="57" t="s">
        <v>28</v>
      </c>
      <c r="B2496" s="57" t="s">
        <v>41</v>
      </c>
      <c r="C2496" s="57" t="s">
        <v>23</v>
      </c>
      <c r="D2496" s="57" t="s">
        <v>48</v>
      </c>
      <c r="E2496" s="57" t="s">
        <v>25</v>
      </c>
      <c r="F2496" s="57" t="s">
        <v>25</v>
      </c>
      <c r="G2496" s="57" t="s">
        <v>25</v>
      </c>
      <c r="H2496" s="57" t="s">
        <v>25</v>
      </c>
      <c r="I2496" s="82">
        <v>44440</v>
      </c>
      <c r="J2496" s="83">
        <f>EFEITO!$J$2496*EFEITO!$Y$2496</f>
        <v>0</v>
      </c>
      <c r="K2496" s="83">
        <f ca="1">EFEITO!$L$2496*EFEITO!$Z$2496</f>
        <v>3954511.8554995903</v>
      </c>
      <c r="L2496" s="83">
        <f>EFEITO!$N$2496*EFEITO!$AA$2496</f>
        <v>2320318.7731423355</v>
      </c>
      <c r="M2496" s="83">
        <f>$J$2496-EFEITO!$K$2496*EFEITO!$Y$2496</f>
        <v>0</v>
      </c>
      <c r="N2496" s="83">
        <f ca="1">$K$2496-EFEITO!$M$2496*EFEITO!$Z$2496</f>
        <v>0</v>
      </c>
      <c r="O2496" s="83">
        <f>$L$2496-EFEITO!$O$2496*EFEITO!$AA$2496</f>
        <v>0</v>
      </c>
      <c r="P2496" s="61"/>
      <c r="Q2496" s="61"/>
      <c r="R2496" s="61"/>
      <c r="S2496" s="61"/>
      <c r="T2496" s="61"/>
      <c r="U2496" s="61"/>
      <c r="V2496" s="61"/>
      <c r="W2496" s="61"/>
      <c r="X2496" s="6"/>
      <c r="Y2496" s="6"/>
      <c r="Z2496" s="6"/>
      <c r="AA2496" s="6"/>
      <c r="AB2496" s="6"/>
      <c r="AC2496" s="6"/>
      <c r="AD2496" s="6"/>
      <c r="AE2496" s="6"/>
      <c r="AF2496" s="6"/>
      <c r="AG2496" s="6"/>
      <c r="AH2496" s="6"/>
      <c r="AI2496" s="6"/>
      <c r="AJ2496" s="6"/>
    </row>
    <row r="2497" spans="1:36" ht="11.25" customHeight="1" x14ac:dyDescent="0.2">
      <c r="A2497" s="57" t="s">
        <v>29</v>
      </c>
      <c r="B2497" s="57" t="s">
        <v>41</v>
      </c>
      <c r="C2497" s="57" t="s">
        <v>23</v>
      </c>
      <c r="D2497" s="57" t="s">
        <v>48</v>
      </c>
      <c r="E2497" s="57" t="s">
        <v>25</v>
      </c>
      <c r="F2497" s="57" t="s">
        <v>25</v>
      </c>
      <c r="G2497" s="57" t="s">
        <v>25</v>
      </c>
      <c r="H2497" s="57" t="s">
        <v>25</v>
      </c>
      <c r="I2497" s="82">
        <v>44440</v>
      </c>
      <c r="J2497" s="83">
        <f>EFEITO!$J$2497*EFEITO!$Y$2497</f>
        <v>0</v>
      </c>
      <c r="K2497" s="83">
        <f ca="1">EFEITO!$L$2497*EFEITO!$Z$2497</f>
        <v>-76978.859792782285</v>
      </c>
      <c r="L2497" s="83">
        <f>EFEITO!$N$2497*EFEITO!$AA$2497</f>
        <v>-45167.520047735248</v>
      </c>
      <c r="M2497" s="83">
        <f>$J$2497-EFEITO!$K$2497*EFEITO!$Y$2497</f>
        <v>0</v>
      </c>
      <c r="N2497" s="83">
        <f ca="1">$K$2497-EFEITO!$M$2497*EFEITO!$Z$2497</f>
        <v>0</v>
      </c>
      <c r="O2497" s="83">
        <f>$L$2497-EFEITO!$O$2497*EFEITO!$AA$2497</f>
        <v>0</v>
      </c>
      <c r="P2497" s="61"/>
      <c r="Q2497" s="61"/>
      <c r="R2497" s="61"/>
      <c r="S2497" s="61"/>
      <c r="T2497" s="61"/>
      <c r="U2497" s="61"/>
      <c r="V2497" s="61"/>
      <c r="W2497" s="61"/>
      <c r="X2497" s="6"/>
      <c r="Y2497" s="6"/>
      <c r="Z2497" s="6"/>
      <c r="AA2497" s="6"/>
      <c r="AB2497" s="6"/>
      <c r="AC2497" s="6"/>
      <c r="AD2497" s="6"/>
      <c r="AE2497" s="6"/>
      <c r="AF2497" s="6"/>
      <c r="AG2497" s="6"/>
      <c r="AH2497" s="6"/>
      <c r="AI2497" s="6"/>
      <c r="AJ2497" s="6"/>
    </row>
    <row r="2498" spans="1:36" ht="11.25" customHeight="1" x14ac:dyDescent="0.2">
      <c r="A2498" s="57" t="s">
        <v>30</v>
      </c>
      <c r="B2498" s="57" t="s">
        <v>41</v>
      </c>
      <c r="C2498" s="57" t="s">
        <v>23</v>
      </c>
      <c r="D2498" s="57" t="s">
        <v>48</v>
      </c>
      <c r="E2498" s="57" t="s">
        <v>25</v>
      </c>
      <c r="F2498" s="57" t="s">
        <v>25</v>
      </c>
      <c r="G2498" s="57" t="s">
        <v>25</v>
      </c>
      <c r="H2498" s="57" t="s">
        <v>25</v>
      </c>
      <c r="I2498" s="82">
        <v>44440</v>
      </c>
      <c r="J2498" s="83">
        <f>EFEITO!$J$2498*EFEITO!$Y$2498</f>
        <v>0</v>
      </c>
      <c r="K2498" s="83">
        <f ca="1">EFEITO!$L$2498*EFEITO!$Z$2498</f>
        <v>4182.3343508777925</v>
      </c>
      <c r="L2498" s="83">
        <f>EFEITO!$N$2498*EFEITO!$AA$2498</f>
        <v>2453.9941374569007</v>
      </c>
      <c r="M2498" s="83">
        <f>$J$2498-EFEITO!$K$2498*EFEITO!$Y$2498</f>
        <v>0</v>
      </c>
      <c r="N2498" s="83">
        <f ca="1">$K$2498-EFEITO!$M$2498*EFEITO!$Z$2498</f>
        <v>0</v>
      </c>
      <c r="O2498" s="83">
        <f>$L$2498-EFEITO!$O$2498*EFEITO!$AA$2498</f>
        <v>0</v>
      </c>
      <c r="P2498" s="61"/>
      <c r="Q2498" s="61"/>
      <c r="R2498" s="61"/>
      <c r="S2498" s="61"/>
      <c r="T2498" s="61"/>
      <c r="U2498" s="61"/>
      <c r="V2498" s="61"/>
      <c r="W2498" s="61"/>
      <c r="X2498" s="6"/>
      <c r="Y2498" s="6"/>
      <c r="Z2498" s="6"/>
      <c r="AA2498" s="6"/>
      <c r="AB2498" s="6"/>
      <c r="AC2498" s="6"/>
      <c r="AD2498" s="6"/>
      <c r="AE2498" s="6"/>
      <c r="AF2498" s="6"/>
      <c r="AG2498" s="6"/>
      <c r="AH2498" s="6"/>
      <c r="AI2498" s="6"/>
      <c r="AJ2498" s="6"/>
    </row>
    <row r="2499" spans="1:36" ht="11.25" customHeight="1" x14ac:dyDescent="0.2">
      <c r="A2499" s="57" t="s">
        <v>30</v>
      </c>
      <c r="B2499" s="57" t="s">
        <v>41</v>
      </c>
      <c r="C2499" s="57" t="s">
        <v>23</v>
      </c>
      <c r="D2499" s="57" t="s">
        <v>48</v>
      </c>
      <c r="E2499" s="57" t="s">
        <v>25</v>
      </c>
      <c r="F2499" s="57" t="s">
        <v>25</v>
      </c>
      <c r="G2499" s="57" t="s">
        <v>25</v>
      </c>
      <c r="H2499" s="57" t="s">
        <v>25</v>
      </c>
      <c r="I2499" s="82">
        <v>44440</v>
      </c>
      <c r="J2499" s="83">
        <f>EFEITO!$J$2499*EFEITO!$Y$2499</f>
        <v>0</v>
      </c>
      <c r="K2499" s="83">
        <f ca="1">EFEITO!$L$2499*EFEITO!$Z$2499</f>
        <v>-10090.888329682377</v>
      </c>
      <c r="L2499" s="83">
        <f>EFEITO!$N$2499*EFEITO!$AA$2499</f>
        <v>-5920.8515449214456</v>
      </c>
      <c r="M2499" s="83">
        <f>$J$2499-EFEITO!$K$2499*EFEITO!$Y$2499</f>
        <v>0</v>
      </c>
      <c r="N2499" s="83">
        <f ca="1">$K$2499-EFEITO!$M$2499*EFEITO!$Z$2499</f>
        <v>0</v>
      </c>
      <c r="O2499" s="83">
        <f>$L$2499-EFEITO!$O$2499*EFEITO!$AA$2499</f>
        <v>0</v>
      </c>
      <c r="P2499" s="61"/>
      <c r="Q2499" s="61"/>
      <c r="R2499" s="61"/>
      <c r="S2499" s="61"/>
      <c r="T2499" s="61"/>
      <c r="U2499" s="61"/>
      <c r="V2499" s="61"/>
      <c r="W2499" s="61"/>
      <c r="X2499" s="6"/>
      <c r="Y2499" s="6"/>
      <c r="Z2499" s="6"/>
      <c r="AA2499" s="6"/>
      <c r="AB2499" s="6"/>
      <c r="AC2499" s="6"/>
      <c r="AD2499" s="6"/>
      <c r="AE2499" s="6"/>
      <c r="AF2499" s="6"/>
      <c r="AG2499" s="6"/>
      <c r="AH2499" s="6"/>
      <c r="AI2499" s="6"/>
      <c r="AJ2499" s="6"/>
    </row>
    <row r="2500" spans="1:36" ht="11.25" customHeight="1" x14ac:dyDescent="0.2">
      <c r="A2500" s="57" t="s">
        <v>59</v>
      </c>
      <c r="B2500" s="57" t="s">
        <v>41</v>
      </c>
      <c r="C2500" s="57" t="s">
        <v>23</v>
      </c>
      <c r="D2500" s="57" t="s">
        <v>48</v>
      </c>
      <c r="E2500" s="57" t="s">
        <v>25</v>
      </c>
      <c r="F2500" s="57" t="s">
        <v>25</v>
      </c>
      <c r="G2500" s="57" t="s">
        <v>25</v>
      </c>
      <c r="H2500" s="57" t="s">
        <v>25</v>
      </c>
      <c r="I2500" s="82">
        <v>44470</v>
      </c>
      <c r="J2500" s="83">
        <f>EFEITO!$J$2500*EFEITO!$Y$2500</f>
        <v>0</v>
      </c>
      <c r="K2500" s="83">
        <f ca="1">EFEITO!$L$2500*EFEITO!$Z$2500</f>
        <v>3205030.6511524129</v>
      </c>
      <c r="L2500" s="83">
        <f>EFEITO!$N$2500*EFEITO!$AA$2500</f>
        <v>1880558.9817674318</v>
      </c>
      <c r="M2500" s="83">
        <f>$J$2500-EFEITO!$K$2500*EFEITO!$Y$2500</f>
        <v>0</v>
      </c>
      <c r="N2500" s="83">
        <f ca="1">$K$2500-EFEITO!$M$2500*EFEITO!$Z$2500</f>
        <v>0</v>
      </c>
      <c r="O2500" s="83">
        <f>$L$2500-EFEITO!$O$2500*EFEITO!$AA$2500</f>
        <v>0</v>
      </c>
      <c r="P2500" s="61"/>
      <c r="Q2500" s="61"/>
      <c r="R2500" s="61"/>
      <c r="S2500" s="61"/>
      <c r="T2500" s="61"/>
      <c r="U2500" s="61"/>
      <c r="V2500" s="61"/>
      <c r="W2500" s="61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</row>
    <row r="2501" spans="1:36" ht="11.25" customHeight="1" x14ac:dyDescent="0.2">
      <c r="A2501" s="57" t="s">
        <v>59</v>
      </c>
      <c r="B2501" s="57" t="s">
        <v>41</v>
      </c>
      <c r="C2501" s="57" t="s">
        <v>23</v>
      </c>
      <c r="D2501" s="57" t="s">
        <v>48</v>
      </c>
      <c r="E2501" s="57" t="s">
        <v>25</v>
      </c>
      <c r="F2501" s="57" t="s">
        <v>25</v>
      </c>
      <c r="G2501" s="57" t="s">
        <v>25</v>
      </c>
      <c r="H2501" s="57" t="s">
        <v>25</v>
      </c>
      <c r="I2501" s="82">
        <v>44470</v>
      </c>
      <c r="J2501" s="83">
        <f>EFEITO!$J$2501*EFEITO!$Y$2501</f>
        <v>0</v>
      </c>
      <c r="K2501" s="83">
        <f ca="1">EFEITO!$L$2501*EFEITO!$Z$2501</f>
        <v>-22406.918333508649</v>
      </c>
      <c r="L2501" s="83">
        <f>EFEITO!$N$2501*EFEITO!$AA$2501</f>
        <v>-13147.309998629153</v>
      </c>
      <c r="M2501" s="83">
        <f>$J$2501-EFEITO!$K$2501*EFEITO!$Y$2501</f>
        <v>0</v>
      </c>
      <c r="N2501" s="83">
        <f ca="1">$K$2501-EFEITO!$M$2501*EFEITO!$Z$2501</f>
        <v>0</v>
      </c>
      <c r="O2501" s="83">
        <f>$L$2501-EFEITO!$O$2501*EFEITO!$AA$2501</f>
        <v>0</v>
      </c>
      <c r="P2501" s="61"/>
      <c r="Q2501" s="61"/>
      <c r="R2501" s="61"/>
      <c r="S2501" s="61"/>
      <c r="T2501" s="61"/>
      <c r="U2501" s="61"/>
      <c r="V2501" s="61"/>
      <c r="W2501" s="61"/>
      <c r="X2501" s="6"/>
      <c r="Y2501" s="6"/>
      <c r="Z2501" s="6"/>
      <c r="AA2501" s="6"/>
      <c r="AB2501" s="6"/>
      <c r="AC2501" s="6"/>
      <c r="AD2501" s="6"/>
      <c r="AE2501" s="6"/>
      <c r="AF2501" s="6"/>
      <c r="AG2501" s="6"/>
      <c r="AH2501" s="6"/>
      <c r="AI2501" s="6"/>
      <c r="AJ2501" s="6"/>
    </row>
    <row r="2502" spans="1:36" ht="11.25" customHeight="1" x14ac:dyDescent="0.2">
      <c r="A2502" s="57" t="s">
        <v>59</v>
      </c>
      <c r="B2502" s="57" t="s">
        <v>41</v>
      </c>
      <c r="C2502" s="57" t="s">
        <v>23</v>
      </c>
      <c r="D2502" s="57" t="s">
        <v>48</v>
      </c>
      <c r="E2502" s="57" t="s">
        <v>25</v>
      </c>
      <c r="F2502" s="57" t="s">
        <v>25</v>
      </c>
      <c r="G2502" s="57" t="s">
        <v>25</v>
      </c>
      <c r="H2502" s="57" t="s">
        <v>25</v>
      </c>
      <c r="I2502" s="82">
        <v>44470</v>
      </c>
      <c r="J2502" s="83">
        <f>EFEITO!$J$2502*EFEITO!$Y$2502</f>
        <v>0</v>
      </c>
      <c r="K2502" s="83">
        <f ca="1">EFEITO!$L$2502*EFEITO!$Z$2502</f>
        <v>3954511.8554995903</v>
      </c>
      <c r="L2502" s="83">
        <f>EFEITO!$N$2502*EFEITO!$AA$2502</f>
        <v>2320318.7731423355</v>
      </c>
      <c r="M2502" s="83">
        <f>$J$2502-EFEITO!$K$2502*EFEITO!$Y$2502</f>
        <v>0</v>
      </c>
      <c r="N2502" s="83">
        <f ca="1">$K$2502-EFEITO!$M$2502*EFEITO!$Z$2502</f>
        <v>0</v>
      </c>
      <c r="O2502" s="83">
        <f>$L$2502-EFEITO!$O$2502*EFEITO!$AA$2502</f>
        <v>0</v>
      </c>
      <c r="P2502" s="61"/>
      <c r="Q2502" s="61"/>
      <c r="R2502" s="61"/>
      <c r="S2502" s="61"/>
      <c r="T2502" s="61"/>
      <c r="U2502" s="61"/>
      <c r="V2502" s="61"/>
      <c r="W2502" s="61"/>
      <c r="X2502" s="6"/>
      <c r="Y2502" s="6"/>
      <c r="Z2502" s="6"/>
      <c r="AA2502" s="6"/>
      <c r="AB2502" s="6"/>
      <c r="AC2502" s="6"/>
      <c r="AD2502" s="6"/>
      <c r="AE2502" s="6"/>
      <c r="AF2502" s="6"/>
      <c r="AG2502" s="6"/>
      <c r="AH2502" s="6"/>
      <c r="AI2502" s="6"/>
      <c r="AJ2502" s="6"/>
    </row>
    <row r="2503" spans="1:36" ht="11.25" customHeight="1" x14ac:dyDescent="0.2">
      <c r="A2503" s="57" t="s">
        <v>59</v>
      </c>
      <c r="B2503" s="57" t="s">
        <v>41</v>
      </c>
      <c r="C2503" s="57" t="s">
        <v>23</v>
      </c>
      <c r="D2503" s="57" t="s">
        <v>48</v>
      </c>
      <c r="E2503" s="57" t="s">
        <v>25</v>
      </c>
      <c r="F2503" s="57" t="s">
        <v>25</v>
      </c>
      <c r="G2503" s="57" t="s">
        <v>25</v>
      </c>
      <c r="H2503" s="57" t="s">
        <v>25</v>
      </c>
      <c r="I2503" s="82">
        <v>44470</v>
      </c>
      <c r="J2503" s="83">
        <f>EFEITO!$J$2503*EFEITO!$Y$2503</f>
        <v>0</v>
      </c>
      <c r="K2503" s="83">
        <f ca="1">EFEITO!$L$2503*EFEITO!$Z$2503</f>
        <v>-76978.859792782285</v>
      </c>
      <c r="L2503" s="83">
        <f>EFEITO!$N$2503*EFEITO!$AA$2503</f>
        <v>-45167.520047735248</v>
      </c>
      <c r="M2503" s="83">
        <f>$J$2503-EFEITO!$K$2503*EFEITO!$Y$2503</f>
        <v>0</v>
      </c>
      <c r="N2503" s="83">
        <f ca="1">$K$2503-EFEITO!$M$2503*EFEITO!$Z$2503</f>
        <v>0</v>
      </c>
      <c r="O2503" s="83">
        <f>$L$2503-EFEITO!$O$2503*EFEITO!$AA$2503</f>
        <v>0</v>
      </c>
      <c r="P2503" s="61"/>
      <c r="Q2503" s="61"/>
      <c r="R2503" s="61"/>
      <c r="S2503" s="61"/>
      <c r="T2503" s="61"/>
      <c r="U2503" s="61"/>
      <c r="V2503" s="61"/>
      <c r="W2503" s="61"/>
      <c r="X2503" s="6"/>
      <c r="Y2503" s="6"/>
      <c r="Z2503" s="6"/>
      <c r="AA2503" s="6"/>
      <c r="AB2503" s="6"/>
      <c r="AC2503" s="6"/>
      <c r="AD2503" s="6"/>
      <c r="AE2503" s="6"/>
      <c r="AF2503" s="6"/>
      <c r="AG2503" s="6"/>
      <c r="AH2503" s="6"/>
      <c r="AI2503" s="6"/>
      <c r="AJ2503" s="6"/>
    </row>
    <row r="2504" spans="1:36" ht="11.25" customHeight="1" x14ac:dyDescent="0.2">
      <c r="A2504" s="57" t="s">
        <v>59</v>
      </c>
      <c r="B2504" s="57" t="s">
        <v>41</v>
      </c>
      <c r="C2504" s="57" t="s">
        <v>23</v>
      </c>
      <c r="D2504" s="57" t="s">
        <v>48</v>
      </c>
      <c r="E2504" s="57" t="s">
        <v>25</v>
      </c>
      <c r="F2504" s="57" t="s">
        <v>25</v>
      </c>
      <c r="G2504" s="57" t="s">
        <v>25</v>
      </c>
      <c r="H2504" s="57" t="s">
        <v>25</v>
      </c>
      <c r="I2504" s="82">
        <v>44470</v>
      </c>
      <c r="J2504" s="83">
        <f>EFEITO!$J$2504*EFEITO!$Y$2504</f>
        <v>0</v>
      </c>
      <c r="K2504" s="83">
        <f ca="1">EFEITO!$L$2504*EFEITO!$Z$2504</f>
        <v>4182.3343508777925</v>
      </c>
      <c r="L2504" s="83">
        <f>EFEITO!$N$2504*EFEITO!$AA$2504</f>
        <v>2453.9941374569007</v>
      </c>
      <c r="M2504" s="83">
        <f>$J$2504-EFEITO!$K$2504*EFEITO!$Y$2504</f>
        <v>0</v>
      </c>
      <c r="N2504" s="83">
        <f ca="1">$K$2504-EFEITO!$M$2504*EFEITO!$Z$2504</f>
        <v>0</v>
      </c>
      <c r="O2504" s="83">
        <f>$L$2504-EFEITO!$O$2504*EFEITO!$AA$2504</f>
        <v>0</v>
      </c>
      <c r="P2504" s="61"/>
      <c r="Q2504" s="61"/>
      <c r="R2504" s="61"/>
      <c r="S2504" s="61"/>
      <c r="T2504" s="61"/>
      <c r="U2504" s="61"/>
      <c r="V2504" s="61"/>
      <c r="W2504" s="61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</row>
    <row r="2505" spans="1:36" ht="11.25" customHeight="1" x14ac:dyDescent="0.2">
      <c r="A2505" s="57" t="s">
        <v>59</v>
      </c>
      <c r="B2505" s="57" t="s">
        <v>41</v>
      </c>
      <c r="C2505" s="57" t="s">
        <v>23</v>
      </c>
      <c r="D2505" s="57" t="s">
        <v>48</v>
      </c>
      <c r="E2505" s="57" t="s">
        <v>25</v>
      </c>
      <c r="F2505" s="57" t="s">
        <v>25</v>
      </c>
      <c r="G2505" s="57" t="s">
        <v>25</v>
      </c>
      <c r="H2505" s="57" t="s">
        <v>25</v>
      </c>
      <c r="I2505" s="82">
        <v>44470</v>
      </c>
      <c r="J2505" s="83">
        <f>EFEITO!$J$2505*EFEITO!$Y$2505</f>
        <v>0</v>
      </c>
      <c r="K2505" s="83">
        <f ca="1">EFEITO!$L$2505*EFEITO!$Z$2505</f>
        <v>-10090.888329682377</v>
      </c>
      <c r="L2505" s="83">
        <f>EFEITO!$N$2505*EFEITO!$AA$2505</f>
        <v>-5920.8515449214456</v>
      </c>
      <c r="M2505" s="83">
        <f>$J$2505-EFEITO!$K$2505*EFEITO!$Y$2505</f>
        <v>0</v>
      </c>
      <c r="N2505" s="83">
        <f ca="1">$K$2505-EFEITO!$M$2505*EFEITO!$Z$2505</f>
        <v>0</v>
      </c>
      <c r="O2505" s="83">
        <f>$L$2505-EFEITO!$O$2505*EFEITO!$AA$2505</f>
        <v>0</v>
      </c>
      <c r="P2505" s="61"/>
      <c r="Q2505" s="61"/>
      <c r="R2505" s="61"/>
      <c r="S2505" s="61"/>
      <c r="T2505" s="61"/>
      <c r="U2505" s="61"/>
      <c r="V2505" s="61"/>
      <c r="W2505" s="61"/>
      <c r="X2505" s="6"/>
      <c r="Y2505" s="6"/>
      <c r="Z2505" s="6"/>
      <c r="AA2505" s="6"/>
      <c r="AB2505" s="6"/>
      <c r="AC2505" s="6"/>
      <c r="AD2505" s="6"/>
      <c r="AE2505" s="6"/>
      <c r="AF2505" s="6"/>
      <c r="AG2505" s="6"/>
      <c r="AH2505" s="6"/>
      <c r="AI2505" s="6"/>
      <c r="AJ2505" s="6"/>
    </row>
    <row r="2506" spans="1:36" ht="11.25" customHeight="1" x14ac:dyDescent="0.2">
      <c r="A2506" s="57" t="s">
        <v>21</v>
      </c>
      <c r="B2506" s="57" t="s">
        <v>41</v>
      </c>
      <c r="C2506" s="57" t="s">
        <v>23</v>
      </c>
      <c r="D2506" s="57" t="s">
        <v>52</v>
      </c>
      <c r="E2506" s="57" t="s">
        <v>53</v>
      </c>
      <c r="F2506" s="57" t="s">
        <v>25</v>
      </c>
      <c r="G2506" s="57" t="s">
        <v>25</v>
      </c>
      <c r="H2506" s="57" t="s">
        <v>25</v>
      </c>
      <c r="I2506" s="82">
        <v>44136</v>
      </c>
      <c r="J2506" s="83">
        <f>EFEITO!$J$2506*EFEITO!$Y$2505</f>
        <v>0</v>
      </c>
      <c r="K2506" s="83">
        <f ca="1">EFEITO!$L$2506*EFEITO!$Z$2505</f>
        <v>402915.76848914829</v>
      </c>
      <c r="L2506" s="83">
        <f>EFEITO!$N$2506*EFEITO!$AA$2505</f>
        <v>236411.73823269087</v>
      </c>
      <c r="M2506" s="83">
        <f>$J$2506-EFEITO!$K$2506*EFEITO!$Y$2506</f>
        <v>0</v>
      </c>
      <c r="N2506" s="83">
        <f ca="1">$K$2506-EFEITO!$M$2506*EFEITO!$Z$2506</f>
        <v>24174.946109348908</v>
      </c>
      <c r="O2506" s="83">
        <f>$L$2506-EFEITO!$O$2506*EFEITO!$AA$2506</f>
        <v>14184.704293961491</v>
      </c>
      <c r="P2506" s="61"/>
      <c r="Q2506" s="61"/>
      <c r="R2506" s="61"/>
      <c r="S2506" s="61"/>
      <c r="T2506" s="61"/>
      <c r="U2506" s="61"/>
      <c r="V2506" s="61"/>
      <c r="W2506" s="61"/>
      <c r="X2506" s="6"/>
      <c r="Y2506" s="6"/>
      <c r="Z2506" s="6"/>
      <c r="AA2506" s="6"/>
      <c r="AB2506" s="6"/>
      <c r="AC2506" s="6"/>
      <c r="AD2506" s="6"/>
      <c r="AE2506" s="6"/>
      <c r="AF2506" s="6"/>
      <c r="AG2506" s="6"/>
      <c r="AH2506" s="6"/>
      <c r="AI2506" s="6"/>
      <c r="AJ2506" s="6"/>
    </row>
    <row r="2507" spans="1:36" ht="11.25" customHeight="1" x14ac:dyDescent="0.2">
      <c r="A2507" s="57" t="s">
        <v>27</v>
      </c>
      <c r="B2507" s="57" t="s">
        <v>41</v>
      </c>
      <c r="C2507" s="57" t="s">
        <v>23</v>
      </c>
      <c r="D2507" s="57" t="s">
        <v>52</v>
      </c>
      <c r="E2507" s="57" t="s">
        <v>53</v>
      </c>
      <c r="F2507" s="57" t="s">
        <v>25</v>
      </c>
      <c r="G2507" s="57" t="s">
        <v>25</v>
      </c>
      <c r="H2507" s="57" t="s">
        <v>25</v>
      </c>
      <c r="I2507" s="82">
        <v>44136</v>
      </c>
      <c r="J2507" s="83">
        <f>EFEITO!$J$2507*EFEITO!$Y$2505</f>
        <v>0</v>
      </c>
      <c r="K2507" s="83">
        <f ca="1">EFEITO!$L$2507*EFEITO!$Z$2505</f>
        <v>929.9704333549264</v>
      </c>
      <c r="L2507" s="83">
        <f>EFEITO!$N$2507*EFEITO!$AA$2505</f>
        <v>545.66225461679414</v>
      </c>
      <c r="M2507" s="83">
        <f>$J$2507-EFEITO!$K$2507*EFEITO!$Y$2507</f>
        <v>0</v>
      </c>
      <c r="N2507" s="83">
        <f ca="1">$K$2507-EFEITO!$M$2507*EFEITO!$Z$2507</f>
        <v>55.798226001295689</v>
      </c>
      <c r="O2507" s="83">
        <f>$L$2507-EFEITO!$O$2507*EFEITO!$AA$2507</f>
        <v>32.73973527700764</v>
      </c>
      <c r="P2507" s="61"/>
      <c r="Q2507" s="61"/>
      <c r="R2507" s="61"/>
      <c r="S2507" s="61"/>
      <c r="T2507" s="61"/>
      <c r="U2507" s="61"/>
      <c r="V2507" s="61"/>
      <c r="W2507" s="61"/>
      <c r="X2507" s="6"/>
      <c r="Y2507" s="6"/>
      <c r="Z2507" s="6"/>
      <c r="AA2507" s="6"/>
      <c r="AB2507" s="6"/>
      <c r="AC2507" s="6"/>
      <c r="AD2507" s="6"/>
      <c r="AE2507" s="6"/>
      <c r="AF2507" s="6"/>
      <c r="AG2507" s="6"/>
      <c r="AH2507" s="6"/>
      <c r="AI2507" s="6"/>
      <c r="AJ2507" s="6"/>
    </row>
    <row r="2508" spans="1:36" ht="11.25" customHeight="1" x14ac:dyDescent="0.2">
      <c r="A2508" s="57" t="s">
        <v>28</v>
      </c>
      <c r="B2508" s="57" t="s">
        <v>41</v>
      </c>
      <c r="C2508" s="57" t="s">
        <v>23</v>
      </c>
      <c r="D2508" s="57" t="s">
        <v>52</v>
      </c>
      <c r="E2508" s="57" t="s">
        <v>53</v>
      </c>
      <c r="F2508" s="57" t="s">
        <v>25</v>
      </c>
      <c r="G2508" s="57" t="s">
        <v>25</v>
      </c>
      <c r="H2508" s="57" t="s">
        <v>25</v>
      </c>
      <c r="I2508" s="82">
        <v>44136</v>
      </c>
      <c r="J2508" s="83">
        <f>EFEITO!$J$2508*EFEITO!$Y$2505</f>
        <v>0</v>
      </c>
      <c r="K2508" s="83">
        <f ca="1">EFEITO!$L$2508*EFEITO!$Z$2505</f>
        <v>1040907.9030406356</v>
      </c>
      <c r="L2508" s="83">
        <f>EFEITO!$N$2508*EFEITO!$AA$2505</f>
        <v>610755.0658062906</v>
      </c>
      <c r="M2508" s="83">
        <f>$J$2508-EFEITO!$K$2508*EFEITO!$Y$2508</f>
        <v>0</v>
      </c>
      <c r="N2508" s="83">
        <f ca="1">$K$2508-EFEITO!$M$2508*EFEITO!$Z$2508</f>
        <v>62454.474182438105</v>
      </c>
      <c r="O2508" s="83">
        <f>$L$2508-EFEITO!$O$2508*EFEITO!$AA$2508</f>
        <v>36645.303948377492</v>
      </c>
      <c r="P2508" s="61"/>
      <c r="Q2508" s="61"/>
      <c r="R2508" s="61"/>
      <c r="S2508" s="61"/>
      <c r="T2508" s="61"/>
      <c r="U2508" s="61"/>
      <c r="V2508" s="61"/>
      <c r="W2508" s="61"/>
      <c r="X2508" s="6"/>
      <c r="Y2508" s="6"/>
      <c r="Z2508" s="6"/>
      <c r="AA2508" s="6"/>
      <c r="AB2508" s="6"/>
      <c r="AC2508" s="6"/>
      <c r="AD2508" s="6"/>
      <c r="AE2508" s="6"/>
      <c r="AF2508" s="6"/>
      <c r="AG2508" s="6"/>
      <c r="AH2508" s="6"/>
      <c r="AI2508" s="6"/>
      <c r="AJ2508" s="6"/>
    </row>
    <row r="2509" spans="1:36" ht="11.25" customHeight="1" x14ac:dyDescent="0.2">
      <c r="A2509" s="57" t="s">
        <v>29</v>
      </c>
      <c r="B2509" s="57" t="s">
        <v>41</v>
      </c>
      <c r="C2509" s="57" t="s">
        <v>23</v>
      </c>
      <c r="D2509" s="57" t="s">
        <v>52</v>
      </c>
      <c r="E2509" s="57" t="s">
        <v>53</v>
      </c>
      <c r="F2509" s="57" t="s">
        <v>25</v>
      </c>
      <c r="G2509" s="57" t="s">
        <v>25</v>
      </c>
      <c r="H2509" s="57" t="s">
        <v>25</v>
      </c>
      <c r="I2509" s="82">
        <v>44136</v>
      </c>
      <c r="J2509" s="83">
        <f>EFEITO!$J$2509*EFEITO!$Y$2505</f>
        <v>0</v>
      </c>
      <c r="K2509" s="83">
        <f ca="1">EFEITO!$L$2509*EFEITO!$Z$2505</f>
        <v>-1383.305693623259</v>
      </c>
      <c r="L2509" s="83">
        <f>EFEITO!$N$2509*EFEITO!$AA$2505</f>
        <v>-811.65774365929451</v>
      </c>
      <c r="M2509" s="83">
        <f>$J$2509-EFEITO!$K$2509*EFEITO!$Y$2509</f>
        <v>0</v>
      </c>
      <c r="N2509" s="83">
        <f ca="1">$K$2509-EFEITO!$M$2509*EFEITO!$Z$2509</f>
        <v>-82.998341617395454</v>
      </c>
      <c r="O2509" s="83">
        <f>$L$2509-EFEITO!$O$2509*EFEITO!$AA$2509</f>
        <v>-48.699464619557716</v>
      </c>
      <c r="P2509" s="61"/>
      <c r="Q2509" s="61"/>
      <c r="R2509" s="61"/>
      <c r="S2509" s="61"/>
      <c r="T2509" s="61"/>
      <c r="U2509" s="61"/>
      <c r="V2509" s="61"/>
      <c r="W2509" s="61"/>
      <c r="X2509" s="6"/>
      <c r="Y2509" s="6"/>
      <c r="Z2509" s="6"/>
      <c r="AA2509" s="6"/>
      <c r="AB2509" s="6"/>
      <c r="AC2509" s="6"/>
      <c r="AD2509" s="6"/>
      <c r="AE2509" s="6"/>
      <c r="AF2509" s="6"/>
      <c r="AG2509" s="6"/>
      <c r="AH2509" s="6"/>
      <c r="AI2509" s="6"/>
      <c r="AJ2509" s="6"/>
    </row>
    <row r="2510" spans="1:36" ht="11.25" customHeight="1" x14ac:dyDescent="0.2">
      <c r="A2510" s="57" t="s">
        <v>21</v>
      </c>
      <c r="B2510" s="57" t="s">
        <v>41</v>
      </c>
      <c r="C2510" s="57" t="s">
        <v>23</v>
      </c>
      <c r="D2510" s="57" t="s">
        <v>52</v>
      </c>
      <c r="E2510" s="57" t="s">
        <v>53</v>
      </c>
      <c r="F2510" s="57" t="s">
        <v>25</v>
      </c>
      <c r="G2510" s="57" t="s">
        <v>25</v>
      </c>
      <c r="H2510" s="57" t="s">
        <v>25</v>
      </c>
      <c r="I2510" s="82">
        <v>44166</v>
      </c>
      <c r="J2510" s="83">
        <f>EFEITO!$J$2510*EFEITO!$Y$2505</f>
        <v>0</v>
      </c>
      <c r="K2510" s="83">
        <f ca="1">EFEITO!$L$2510*EFEITO!$Z$2505</f>
        <v>399439.01628078875</v>
      </c>
      <c r="L2510" s="83">
        <f>EFEITO!$N$2510*EFEITO!$AA$2505</f>
        <v>234371.74601281635</v>
      </c>
      <c r="M2510" s="83">
        <f>$J$2510-EFEITO!$K$2510*EFEITO!$Y$2510</f>
        <v>0</v>
      </c>
      <c r="N2510" s="83">
        <f ca="1">$K$2510-EFEITO!$M$2510*EFEITO!$Z$2510</f>
        <v>23966.340976847336</v>
      </c>
      <c r="O2510" s="83">
        <f>$L$2510-EFEITO!$O$2510*EFEITO!$AA$2510</f>
        <v>14062.30476076901</v>
      </c>
      <c r="P2510" s="61"/>
      <c r="Q2510" s="61"/>
      <c r="R2510" s="61"/>
      <c r="S2510" s="61"/>
      <c r="T2510" s="61"/>
      <c r="U2510" s="61"/>
      <c r="V2510" s="61"/>
      <c r="W2510" s="61"/>
      <c r="X2510" s="6"/>
      <c r="Y2510" s="6"/>
      <c r="Z2510" s="6"/>
      <c r="AA2510" s="6"/>
      <c r="AB2510" s="6"/>
      <c r="AC2510" s="6"/>
      <c r="AD2510" s="6"/>
      <c r="AE2510" s="6"/>
      <c r="AF2510" s="6"/>
      <c r="AG2510" s="6"/>
      <c r="AH2510" s="6"/>
      <c r="AI2510" s="6"/>
      <c r="AJ2510" s="6"/>
    </row>
    <row r="2511" spans="1:36" ht="11.25" customHeight="1" x14ac:dyDescent="0.2">
      <c r="A2511" s="57" t="s">
        <v>27</v>
      </c>
      <c r="B2511" s="57" t="s">
        <v>41</v>
      </c>
      <c r="C2511" s="57" t="s">
        <v>23</v>
      </c>
      <c r="D2511" s="57" t="s">
        <v>52</v>
      </c>
      <c r="E2511" s="57" t="s">
        <v>53</v>
      </c>
      <c r="F2511" s="57" t="s">
        <v>25</v>
      </c>
      <c r="G2511" s="57" t="s">
        <v>25</v>
      </c>
      <c r="H2511" s="57" t="s">
        <v>25</v>
      </c>
      <c r="I2511" s="82">
        <v>44166</v>
      </c>
      <c r="J2511" s="83">
        <f>EFEITO!$J$2511*EFEITO!$Y$2505</f>
        <v>0</v>
      </c>
      <c r="K2511" s="83">
        <f ca="1">EFEITO!$L$2511*EFEITO!$Z$2505</f>
        <v>-4181.3213111900423</v>
      </c>
      <c r="L2511" s="83">
        <f>EFEITO!$N$2511*EFEITO!$AA$2505</f>
        <v>-2453.3997341294316</v>
      </c>
      <c r="M2511" s="83">
        <f>$J$2511-EFEITO!$K$2511*EFEITO!$Y$2511</f>
        <v>0</v>
      </c>
      <c r="N2511" s="83">
        <f ca="1">$K$2511-EFEITO!$M$2511*EFEITO!$Z$2511</f>
        <v>-250.87927867140252</v>
      </c>
      <c r="O2511" s="83">
        <f>$L$2511-EFEITO!$O$2511*EFEITO!$AA$2511</f>
        <v>-147.20398404776643</v>
      </c>
      <c r="P2511" s="61"/>
      <c r="Q2511" s="61"/>
      <c r="R2511" s="61"/>
      <c r="S2511" s="61"/>
      <c r="T2511" s="61"/>
      <c r="U2511" s="61"/>
      <c r="V2511" s="61"/>
      <c r="W2511" s="61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</row>
    <row r="2512" spans="1:36" ht="11.25" customHeight="1" x14ac:dyDescent="0.2">
      <c r="A2512" s="57" t="s">
        <v>28</v>
      </c>
      <c r="B2512" s="57" t="s">
        <v>41</v>
      </c>
      <c r="C2512" s="57" t="s">
        <v>23</v>
      </c>
      <c r="D2512" s="57" t="s">
        <v>52</v>
      </c>
      <c r="E2512" s="57" t="s">
        <v>53</v>
      </c>
      <c r="F2512" s="57" t="s">
        <v>25</v>
      </c>
      <c r="G2512" s="57" t="s">
        <v>25</v>
      </c>
      <c r="H2512" s="57" t="s">
        <v>25</v>
      </c>
      <c r="I2512" s="82">
        <v>44166</v>
      </c>
      <c r="J2512" s="83">
        <f>EFEITO!$J$2512*EFEITO!$Y$2505</f>
        <v>0</v>
      </c>
      <c r="K2512" s="83">
        <f ca="1">EFEITO!$L$2512*EFEITO!$Z$2505</f>
        <v>1045013.2463752445</v>
      </c>
      <c r="L2512" s="83">
        <f>EFEITO!$N$2512*EFEITO!$AA$2505</f>
        <v>613163.88529085985</v>
      </c>
      <c r="M2512" s="83">
        <f>$J$2512-EFEITO!$K$2512*EFEITO!$Y$2512</f>
        <v>0</v>
      </c>
      <c r="N2512" s="83">
        <f ca="1">$K$2512-EFEITO!$M$2512*EFEITO!$Z$2512</f>
        <v>62700.794782514684</v>
      </c>
      <c r="O2512" s="83">
        <f>$L$2512-EFEITO!$O$2512*EFEITO!$AA$2512</f>
        <v>36789.833117451635</v>
      </c>
      <c r="P2512" s="61"/>
      <c r="Q2512" s="61"/>
      <c r="R2512" s="61"/>
      <c r="S2512" s="61"/>
      <c r="T2512" s="61"/>
      <c r="U2512" s="61"/>
      <c r="V2512" s="61"/>
      <c r="W2512" s="61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</row>
    <row r="2513" spans="1:36" ht="11.25" customHeight="1" x14ac:dyDescent="0.2">
      <c r="A2513" s="57" t="s">
        <v>29</v>
      </c>
      <c r="B2513" s="57" t="s">
        <v>41</v>
      </c>
      <c r="C2513" s="57" t="s">
        <v>23</v>
      </c>
      <c r="D2513" s="57" t="s">
        <v>52</v>
      </c>
      <c r="E2513" s="57" t="s">
        <v>53</v>
      </c>
      <c r="F2513" s="57" t="s">
        <v>25</v>
      </c>
      <c r="G2513" s="57" t="s">
        <v>25</v>
      </c>
      <c r="H2513" s="57" t="s">
        <v>25</v>
      </c>
      <c r="I2513" s="82">
        <v>44166</v>
      </c>
      <c r="J2513" s="83">
        <f>EFEITO!$J$2513*EFEITO!$Y$2505</f>
        <v>0</v>
      </c>
      <c r="K2513" s="83">
        <f ca="1">EFEITO!$L$2513*EFEITO!$Z$2505</f>
        <v>-18730.59730666221</v>
      </c>
      <c r="L2513" s="83">
        <f>EFEITO!$N$2513*EFEITO!$AA$2505</f>
        <v>-10990.220323243155</v>
      </c>
      <c r="M2513" s="83">
        <f>$J$2513-EFEITO!$K$2513*EFEITO!$Y$2513</f>
        <v>0</v>
      </c>
      <c r="N2513" s="83">
        <f ca="1">$K$2513-EFEITO!$M$2513*EFEITO!$Z$2513</f>
        <v>-1123.8358383997329</v>
      </c>
      <c r="O2513" s="83">
        <f>$L$2513-EFEITO!$O$2513*EFEITO!$AA$2513</f>
        <v>-659.41321939459158</v>
      </c>
      <c r="P2513" s="61"/>
      <c r="Q2513" s="61"/>
      <c r="R2513" s="61"/>
      <c r="S2513" s="61"/>
      <c r="T2513" s="61"/>
      <c r="U2513" s="61"/>
      <c r="V2513" s="61"/>
      <c r="W2513" s="61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</row>
    <row r="2514" spans="1:36" ht="11.25" customHeight="1" x14ac:dyDescent="0.2">
      <c r="A2514" s="57" t="s">
        <v>21</v>
      </c>
      <c r="B2514" s="57" t="s">
        <v>41</v>
      </c>
      <c r="C2514" s="57" t="s">
        <v>23</v>
      </c>
      <c r="D2514" s="57" t="s">
        <v>52</v>
      </c>
      <c r="E2514" s="57" t="s">
        <v>53</v>
      </c>
      <c r="F2514" s="57" t="s">
        <v>25</v>
      </c>
      <c r="G2514" s="57" t="s">
        <v>25</v>
      </c>
      <c r="H2514" s="57" t="s">
        <v>25</v>
      </c>
      <c r="I2514" s="82">
        <v>44197</v>
      </c>
      <c r="J2514" s="83">
        <f>EFEITO!$J$2514*EFEITO!$Y$2505</f>
        <v>0</v>
      </c>
      <c r="K2514" s="83">
        <f ca="1">EFEITO!$L$2514*EFEITO!$Z$2505</f>
        <v>432055.34858744661</v>
      </c>
      <c r="L2514" s="83">
        <f>EFEITO!$N$2514*EFEITO!$AA$2505</f>
        <v>253509.45274568087</v>
      </c>
      <c r="M2514" s="83">
        <f>$J$2514-EFEITO!$K$2514*EFEITO!$Y$2514</f>
        <v>0</v>
      </c>
      <c r="N2514" s="83">
        <f ca="1">$K$2514-EFEITO!$M$2514*EFEITO!$Z$2514</f>
        <v>25923.320915246848</v>
      </c>
      <c r="O2514" s="83">
        <f>$L$2514-EFEITO!$O$2514*EFEITO!$AA$2514</f>
        <v>15210.567164740904</v>
      </c>
      <c r="P2514" s="61"/>
      <c r="Q2514" s="61"/>
      <c r="R2514" s="61"/>
      <c r="S2514" s="61"/>
      <c r="T2514" s="61"/>
      <c r="U2514" s="61"/>
      <c r="V2514" s="61"/>
      <c r="W2514" s="61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</row>
    <row r="2515" spans="1:36" ht="11.25" customHeight="1" x14ac:dyDescent="0.2">
      <c r="A2515" s="57" t="s">
        <v>27</v>
      </c>
      <c r="B2515" s="57" t="s">
        <v>41</v>
      </c>
      <c r="C2515" s="57" t="s">
        <v>23</v>
      </c>
      <c r="D2515" s="57" t="s">
        <v>52</v>
      </c>
      <c r="E2515" s="57" t="s">
        <v>53</v>
      </c>
      <c r="F2515" s="57" t="s">
        <v>25</v>
      </c>
      <c r="G2515" s="57" t="s">
        <v>25</v>
      </c>
      <c r="H2515" s="57" t="s">
        <v>25</v>
      </c>
      <c r="I2515" s="82">
        <v>44197</v>
      </c>
      <c r="J2515" s="83">
        <f>EFEITO!$J$2515*EFEITO!$Y$2505</f>
        <v>0</v>
      </c>
      <c r="K2515" s="83">
        <f ca="1">EFEITO!$L$2515*EFEITO!$Z$2505</f>
        <v>-90.160532209791327</v>
      </c>
      <c r="L2515" s="83">
        <f>EFEITO!$N$2515*EFEITO!$AA$2505</f>
        <v>-52.901896144765445</v>
      </c>
      <c r="M2515" s="83">
        <f>$J$2515-EFEITO!$K$2515*EFEITO!$Y$2515</f>
        <v>0</v>
      </c>
      <c r="N2515" s="83">
        <f ca="1">$K$2515-EFEITO!$M$2515*EFEITO!$Z$2515</f>
        <v>-5.4096319325874873</v>
      </c>
      <c r="O2515" s="83">
        <f>$L$2515-EFEITO!$O$2515*EFEITO!$AA$2515</f>
        <v>-3.1741137686859346</v>
      </c>
      <c r="P2515" s="61"/>
      <c r="Q2515" s="61"/>
      <c r="R2515" s="61"/>
      <c r="S2515" s="61"/>
      <c r="T2515" s="61"/>
      <c r="U2515" s="61"/>
      <c r="V2515" s="61"/>
      <c r="W2515" s="61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</row>
    <row r="2516" spans="1:36" ht="11.25" customHeight="1" x14ac:dyDescent="0.2">
      <c r="A2516" s="57" t="s">
        <v>28</v>
      </c>
      <c r="B2516" s="57" t="s">
        <v>41</v>
      </c>
      <c r="C2516" s="57" t="s">
        <v>23</v>
      </c>
      <c r="D2516" s="57" t="s">
        <v>52</v>
      </c>
      <c r="E2516" s="57" t="s">
        <v>53</v>
      </c>
      <c r="F2516" s="57" t="s">
        <v>25</v>
      </c>
      <c r="G2516" s="57" t="s">
        <v>25</v>
      </c>
      <c r="H2516" s="57" t="s">
        <v>25</v>
      </c>
      <c r="I2516" s="82">
        <v>44197</v>
      </c>
      <c r="J2516" s="83">
        <f>EFEITO!$J$2516*EFEITO!$Y$2505</f>
        <v>0</v>
      </c>
      <c r="K2516" s="83">
        <f ca="1">EFEITO!$L$2516*EFEITO!$Z$2505</f>
        <v>1037501.0505707311</v>
      </c>
      <c r="L2516" s="83">
        <f>EFEITO!$N$2516*EFEITO!$AA$2505</f>
        <v>608756.08741601161</v>
      </c>
      <c r="M2516" s="83">
        <f>$J$2516-EFEITO!$K$2516*EFEITO!$Y$2516</f>
        <v>0</v>
      </c>
      <c r="N2516" s="83">
        <f ca="1">$K$2516-EFEITO!$M$2516*EFEITO!$Z$2516</f>
        <v>62250.063034243882</v>
      </c>
      <c r="O2516" s="83">
        <f>$L$2516-EFEITO!$O$2516*EFEITO!$AA$2516</f>
        <v>36525.365244960762</v>
      </c>
      <c r="P2516" s="61"/>
      <c r="Q2516" s="61"/>
      <c r="R2516" s="61"/>
      <c r="S2516" s="61"/>
      <c r="T2516" s="61"/>
      <c r="U2516" s="61"/>
      <c r="V2516" s="61"/>
      <c r="W2516" s="61"/>
      <c r="X2516" s="6"/>
      <c r="Y2516" s="6"/>
      <c r="Z2516" s="6"/>
      <c r="AA2516" s="6"/>
      <c r="AB2516" s="6"/>
      <c r="AC2516" s="6"/>
      <c r="AD2516" s="6"/>
      <c r="AE2516" s="6"/>
      <c r="AF2516" s="6"/>
      <c r="AG2516" s="6"/>
      <c r="AH2516" s="6"/>
      <c r="AI2516" s="6"/>
      <c r="AJ2516" s="6"/>
    </row>
    <row r="2517" spans="1:36" ht="11.25" customHeight="1" x14ac:dyDescent="0.2">
      <c r="A2517" s="57" t="s">
        <v>21</v>
      </c>
      <c r="B2517" s="57" t="s">
        <v>41</v>
      </c>
      <c r="C2517" s="57" t="s">
        <v>23</v>
      </c>
      <c r="D2517" s="57" t="s">
        <v>52</v>
      </c>
      <c r="E2517" s="57" t="s">
        <v>53</v>
      </c>
      <c r="F2517" s="57" t="s">
        <v>25</v>
      </c>
      <c r="G2517" s="57" t="s">
        <v>25</v>
      </c>
      <c r="H2517" s="57" t="s">
        <v>25</v>
      </c>
      <c r="I2517" s="82">
        <v>44228</v>
      </c>
      <c r="J2517" s="83">
        <f>EFEITO!$J$2517*EFEITO!$Y$2505</f>
        <v>0</v>
      </c>
      <c r="K2517" s="83">
        <f ca="1">EFEITO!$L$2517*EFEITO!$Z$2505</f>
        <v>415784.41164264246</v>
      </c>
      <c r="L2517" s="83">
        <f>EFEITO!$N$2517*EFEITO!$AA$2505</f>
        <v>243962.44370153308</v>
      </c>
      <c r="M2517" s="83">
        <f>$J$2517-EFEITO!$K$2517*EFEITO!$Y$2517</f>
        <v>0</v>
      </c>
      <c r="N2517" s="83">
        <f ca="1">$K$2517-EFEITO!$M$2517*EFEITO!$Z$2517</f>
        <v>24947.064698558534</v>
      </c>
      <c r="O2517" s="83">
        <f>$L$2517-EFEITO!$O$2517*EFEITO!$AA$2517</f>
        <v>14637.746622092003</v>
      </c>
      <c r="P2517" s="61"/>
      <c r="Q2517" s="61"/>
      <c r="R2517" s="61"/>
      <c r="S2517" s="61"/>
      <c r="T2517" s="61"/>
      <c r="U2517" s="61"/>
      <c r="V2517" s="61"/>
      <c r="W2517" s="61"/>
      <c r="X2517" s="6"/>
      <c r="Y2517" s="6"/>
      <c r="Z2517" s="6"/>
      <c r="AA2517" s="6"/>
      <c r="AB2517" s="6"/>
      <c r="AC2517" s="6"/>
      <c r="AD2517" s="6"/>
      <c r="AE2517" s="6"/>
      <c r="AF2517" s="6"/>
      <c r="AG2517" s="6"/>
      <c r="AH2517" s="6"/>
      <c r="AI2517" s="6"/>
      <c r="AJ2517" s="6"/>
    </row>
    <row r="2518" spans="1:36" ht="11.25" customHeight="1" x14ac:dyDescent="0.2">
      <c r="A2518" s="57" t="s">
        <v>27</v>
      </c>
      <c r="B2518" s="57" t="s">
        <v>41</v>
      </c>
      <c r="C2518" s="57" t="s">
        <v>23</v>
      </c>
      <c r="D2518" s="57" t="s">
        <v>52</v>
      </c>
      <c r="E2518" s="57" t="s">
        <v>53</v>
      </c>
      <c r="F2518" s="57" t="s">
        <v>25</v>
      </c>
      <c r="G2518" s="57" t="s">
        <v>25</v>
      </c>
      <c r="H2518" s="57" t="s">
        <v>25</v>
      </c>
      <c r="I2518" s="82">
        <v>44228</v>
      </c>
      <c r="J2518" s="83">
        <f>EFEITO!$J$2518*EFEITO!$Y$2505</f>
        <v>0</v>
      </c>
      <c r="K2518" s="83">
        <f ca="1">EFEITO!$L$2518*EFEITO!$Z$2505</f>
        <v>130.68211971980992</v>
      </c>
      <c r="L2518" s="83">
        <f>EFEITO!$N$2518*EFEITO!$AA$2505</f>
        <v>76.678029243536443</v>
      </c>
      <c r="M2518" s="83">
        <f>$J$2518-EFEITO!$K$2518*EFEITO!$Y$2518</f>
        <v>0</v>
      </c>
      <c r="N2518" s="83">
        <f ca="1">$K$2518-EFEITO!$M$2518*EFEITO!$Z$2518</f>
        <v>7.8409271831886116</v>
      </c>
      <c r="O2518" s="83">
        <f>$L$2518-EFEITO!$O$2518*EFEITO!$AA$2518</f>
        <v>4.6006817546121965</v>
      </c>
      <c r="P2518" s="61"/>
      <c r="Q2518" s="61"/>
      <c r="R2518" s="61"/>
      <c r="S2518" s="61"/>
      <c r="T2518" s="61"/>
      <c r="U2518" s="61"/>
      <c r="V2518" s="61"/>
      <c r="W2518" s="61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</row>
    <row r="2519" spans="1:36" ht="11.25" customHeight="1" x14ac:dyDescent="0.2">
      <c r="A2519" s="57" t="s">
        <v>28</v>
      </c>
      <c r="B2519" s="57" t="s">
        <v>41</v>
      </c>
      <c r="C2519" s="57" t="s">
        <v>23</v>
      </c>
      <c r="D2519" s="57" t="s">
        <v>52</v>
      </c>
      <c r="E2519" s="57" t="s">
        <v>53</v>
      </c>
      <c r="F2519" s="57" t="s">
        <v>25</v>
      </c>
      <c r="G2519" s="57" t="s">
        <v>25</v>
      </c>
      <c r="H2519" s="57" t="s">
        <v>25</v>
      </c>
      <c r="I2519" s="82">
        <v>44228</v>
      </c>
      <c r="J2519" s="83">
        <f>EFEITO!$J$2519*EFEITO!$Y$2505</f>
        <v>0</v>
      </c>
      <c r="K2519" s="83">
        <f ca="1">EFEITO!$L$2519*EFEITO!$Z$2505</f>
        <v>1000080.3775449166</v>
      </c>
      <c r="L2519" s="83">
        <f>EFEITO!$N$2519*EFEITO!$AA$2505</f>
        <v>586799.42290262401</v>
      </c>
      <c r="M2519" s="83">
        <f>$J$2519-EFEITO!$K$2519*EFEITO!$Y$2519</f>
        <v>0</v>
      </c>
      <c r="N2519" s="83">
        <f ca="1">$K$2519-EFEITO!$M$2519*EFEITO!$Z$2519</f>
        <v>60004.822652695002</v>
      </c>
      <c r="O2519" s="83">
        <f>$L$2519-EFEITO!$O$2519*EFEITO!$AA$2519</f>
        <v>35207.965374157531</v>
      </c>
      <c r="P2519" s="61"/>
      <c r="Q2519" s="61"/>
      <c r="R2519" s="61"/>
      <c r="S2519" s="61"/>
      <c r="T2519" s="61"/>
      <c r="U2519" s="61"/>
      <c r="V2519" s="61"/>
      <c r="W2519" s="61"/>
      <c r="X2519" s="6"/>
      <c r="Y2519" s="6"/>
      <c r="Z2519" s="6"/>
      <c r="AA2519" s="6"/>
      <c r="AB2519" s="6"/>
      <c r="AC2519" s="6"/>
      <c r="AD2519" s="6"/>
      <c r="AE2519" s="6"/>
      <c r="AF2519" s="6"/>
      <c r="AG2519" s="6"/>
      <c r="AH2519" s="6"/>
      <c r="AI2519" s="6"/>
      <c r="AJ2519" s="6"/>
    </row>
    <row r="2520" spans="1:36" ht="11.25" customHeight="1" x14ac:dyDescent="0.2">
      <c r="A2520" s="57" t="s">
        <v>29</v>
      </c>
      <c r="B2520" s="57" t="s">
        <v>41</v>
      </c>
      <c r="C2520" s="57" t="s">
        <v>23</v>
      </c>
      <c r="D2520" s="57" t="s">
        <v>52</v>
      </c>
      <c r="E2520" s="57" t="s">
        <v>53</v>
      </c>
      <c r="F2520" s="57" t="s">
        <v>25</v>
      </c>
      <c r="G2520" s="57" t="s">
        <v>25</v>
      </c>
      <c r="H2520" s="57" t="s">
        <v>25</v>
      </c>
      <c r="I2520" s="82">
        <v>44228</v>
      </c>
      <c r="J2520" s="83">
        <f>EFEITO!$J$2520*EFEITO!$Y$2505</f>
        <v>0</v>
      </c>
      <c r="K2520" s="83">
        <f ca="1">EFEITO!$L$2520*EFEITO!$Z$2505</f>
        <v>-10079.74489311712</v>
      </c>
      <c r="L2520" s="83">
        <f>EFEITO!$N$2520*EFEITO!$AA$2505</f>
        <v>-5914.3131083192829</v>
      </c>
      <c r="M2520" s="83">
        <f>$J$2520-EFEITO!$K$2520*EFEITO!$Y$2520</f>
        <v>0</v>
      </c>
      <c r="N2520" s="83">
        <f ca="1">$K$2520-EFEITO!$M$2520*EFEITO!$Z$2520</f>
        <v>-604.7846935870275</v>
      </c>
      <c r="O2520" s="83">
        <f>$L$2520-EFEITO!$O$2520*EFEITO!$AA$2520</f>
        <v>-354.85878649915776</v>
      </c>
      <c r="P2520" s="61"/>
      <c r="Q2520" s="61"/>
      <c r="R2520" s="61"/>
      <c r="S2520" s="61"/>
      <c r="T2520" s="61"/>
      <c r="U2520" s="61"/>
      <c r="V2520" s="61"/>
      <c r="W2520" s="61"/>
      <c r="X2520" s="6"/>
      <c r="Y2520" s="6"/>
      <c r="Z2520" s="6"/>
      <c r="AA2520" s="6"/>
      <c r="AB2520" s="6"/>
      <c r="AC2520" s="6"/>
      <c r="AD2520" s="6"/>
      <c r="AE2520" s="6"/>
      <c r="AF2520" s="6"/>
      <c r="AG2520" s="6"/>
      <c r="AH2520" s="6"/>
      <c r="AI2520" s="6"/>
      <c r="AJ2520" s="6"/>
    </row>
    <row r="2521" spans="1:36" ht="11.25" customHeight="1" x14ac:dyDescent="0.2">
      <c r="A2521" s="57" t="s">
        <v>21</v>
      </c>
      <c r="B2521" s="57" t="s">
        <v>41</v>
      </c>
      <c r="C2521" s="57" t="s">
        <v>23</v>
      </c>
      <c r="D2521" s="57" t="s">
        <v>52</v>
      </c>
      <c r="E2521" s="57" t="s">
        <v>53</v>
      </c>
      <c r="F2521" s="57" t="s">
        <v>25</v>
      </c>
      <c r="G2521" s="57" t="s">
        <v>25</v>
      </c>
      <c r="H2521" s="57" t="s">
        <v>25</v>
      </c>
      <c r="I2521" s="82">
        <v>44256</v>
      </c>
      <c r="J2521" s="83">
        <f>EFEITO!$J$2521*EFEITO!$Y$2505</f>
        <v>0</v>
      </c>
      <c r="K2521" s="83">
        <f ca="1">EFEITO!$L$2521*EFEITO!$Z$2505</f>
        <v>413675.76953258988</v>
      </c>
      <c r="L2521" s="83">
        <f>EFEITO!$N$2521*EFEITO!$AA$2505</f>
        <v>242725.19317540579</v>
      </c>
      <c r="M2521" s="83">
        <f>$J$2521-EFEITO!$K$2521*EFEITO!$Y$2521</f>
        <v>0</v>
      </c>
      <c r="N2521" s="83">
        <f ca="1">$K$2521-EFEITO!$M$2521*EFEITO!$Z$2521</f>
        <v>24820.546171955415</v>
      </c>
      <c r="O2521" s="83">
        <f>$L$2521-EFEITO!$O$2521*EFEITO!$AA$2521</f>
        <v>14563.511590524373</v>
      </c>
      <c r="P2521" s="61"/>
      <c r="Q2521" s="61"/>
      <c r="R2521" s="61"/>
      <c r="S2521" s="61"/>
      <c r="T2521" s="61"/>
      <c r="U2521" s="61"/>
      <c r="V2521" s="61"/>
      <c r="W2521" s="61"/>
      <c r="X2521" s="6"/>
      <c r="Y2521" s="6"/>
      <c r="Z2521" s="6"/>
      <c r="AA2521" s="6"/>
      <c r="AB2521" s="6"/>
      <c r="AC2521" s="6"/>
      <c r="AD2521" s="6"/>
      <c r="AE2521" s="6"/>
      <c r="AF2521" s="6"/>
      <c r="AG2521" s="6"/>
      <c r="AH2521" s="6"/>
      <c r="AI2521" s="6"/>
      <c r="AJ2521" s="6"/>
    </row>
    <row r="2522" spans="1:36" ht="11.25" customHeight="1" x14ac:dyDescent="0.2">
      <c r="A2522" s="57" t="s">
        <v>28</v>
      </c>
      <c r="B2522" s="57" t="s">
        <v>41</v>
      </c>
      <c r="C2522" s="57" t="s">
        <v>23</v>
      </c>
      <c r="D2522" s="57" t="s">
        <v>52</v>
      </c>
      <c r="E2522" s="57" t="s">
        <v>53</v>
      </c>
      <c r="F2522" s="57" t="s">
        <v>25</v>
      </c>
      <c r="G2522" s="57" t="s">
        <v>25</v>
      </c>
      <c r="H2522" s="57" t="s">
        <v>25</v>
      </c>
      <c r="I2522" s="82">
        <v>44256</v>
      </c>
      <c r="J2522" s="83">
        <f>EFEITO!$J$2522*EFEITO!$Y$2505</f>
        <v>0</v>
      </c>
      <c r="K2522" s="83">
        <f ca="1">EFEITO!$L$2522*EFEITO!$Z$2505</f>
        <v>1056522.8967876215</v>
      </c>
      <c r="L2522" s="83">
        <f>EFEITO!$N$2522*EFEITO!$AA$2505</f>
        <v>619917.19869590213</v>
      </c>
      <c r="M2522" s="83">
        <f>$J$2522-EFEITO!$K$2522*EFEITO!$Y$2522</f>
        <v>0</v>
      </c>
      <c r="N2522" s="83">
        <f ca="1">$K$2522-EFEITO!$M$2522*EFEITO!$Z$2522</f>
        <v>63391.373807257274</v>
      </c>
      <c r="O2522" s="83">
        <f>$L$2522-EFEITO!$O$2522*EFEITO!$AA$2522</f>
        <v>37195.031921754126</v>
      </c>
      <c r="P2522" s="61"/>
      <c r="Q2522" s="61"/>
      <c r="R2522" s="61"/>
      <c r="S2522" s="61"/>
      <c r="T2522" s="61"/>
      <c r="U2522" s="61"/>
      <c r="V2522" s="61"/>
      <c r="W2522" s="61"/>
      <c r="X2522" s="6"/>
      <c r="Y2522" s="6"/>
      <c r="Z2522" s="6"/>
      <c r="AA2522" s="6"/>
      <c r="AB2522" s="6"/>
      <c r="AC2522" s="6"/>
      <c r="AD2522" s="6"/>
      <c r="AE2522" s="6"/>
      <c r="AF2522" s="6"/>
      <c r="AG2522" s="6"/>
      <c r="AH2522" s="6"/>
      <c r="AI2522" s="6"/>
      <c r="AJ2522" s="6"/>
    </row>
    <row r="2523" spans="1:36" ht="11.25" customHeight="1" x14ac:dyDescent="0.2">
      <c r="A2523" s="57" t="s">
        <v>29</v>
      </c>
      <c r="B2523" s="57" t="s">
        <v>41</v>
      </c>
      <c r="C2523" s="57" t="s">
        <v>23</v>
      </c>
      <c r="D2523" s="57" t="s">
        <v>52</v>
      </c>
      <c r="E2523" s="57" t="s">
        <v>53</v>
      </c>
      <c r="F2523" s="57" t="s">
        <v>25</v>
      </c>
      <c r="G2523" s="57" t="s">
        <v>25</v>
      </c>
      <c r="H2523" s="57" t="s">
        <v>25</v>
      </c>
      <c r="I2523" s="82">
        <v>44256</v>
      </c>
      <c r="J2523" s="83">
        <f>EFEITO!$J$2523*EFEITO!$Y$2505</f>
        <v>0</v>
      </c>
      <c r="K2523" s="83">
        <f ca="1">EFEITO!$L$2523*EFEITO!$Z$2505</f>
        <v>-18522.417650829491</v>
      </c>
      <c r="L2523" s="83">
        <f>EFEITO!$N$2523*EFEITO!$AA$2505</f>
        <v>-10868.070439448218</v>
      </c>
      <c r="M2523" s="83">
        <f>$J$2523-EFEITO!$K$2523*EFEITO!$Y$2523</f>
        <v>0</v>
      </c>
      <c r="N2523" s="83">
        <f ca="1">$K$2523-EFEITO!$M$2523*EFEITO!$Z$2523</f>
        <v>-1111.3450590497705</v>
      </c>
      <c r="O2523" s="83">
        <f>$L$2523-EFEITO!$O$2523*EFEITO!$AA$2523</f>
        <v>-652.08422636689465</v>
      </c>
      <c r="P2523" s="61"/>
      <c r="Q2523" s="61"/>
      <c r="R2523" s="61"/>
      <c r="S2523" s="61"/>
      <c r="T2523" s="61"/>
      <c r="U2523" s="61"/>
      <c r="V2523" s="61"/>
      <c r="W2523" s="61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</row>
    <row r="2524" spans="1:36" ht="11.25" customHeight="1" x14ac:dyDescent="0.2">
      <c r="A2524" s="57" t="s">
        <v>21</v>
      </c>
      <c r="B2524" s="57" t="s">
        <v>41</v>
      </c>
      <c r="C2524" s="57" t="s">
        <v>23</v>
      </c>
      <c r="D2524" s="57" t="s">
        <v>52</v>
      </c>
      <c r="E2524" s="57" t="s">
        <v>53</v>
      </c>
      <c r="F2524" s="57" t="s">
        <v>25</v>
      </c>
      <c r="G2524" s="57" t="s">
        <v>25</v>
      </c>
      <c r="H2524" s="57" t="s">
        <v>25</v>
      </c>
      <c r="I2524" s="82">
        <v>44287</v>
      </c>
      <c r="J2524" s="83">
        <f>EFEITO!$J$2524*EFEITO!$Y$2505</f>
        <v>0</v>
      </c>
      <c r="K2524" s="83">
        <f ca="1">EFEITO!$L$2524*EFEITO!$Z$2505</f>
        <v>436714.31811141095</v>
      </c>
      <c r="L2524" s="83">
        <f>EFEITO!$N$2524*EFEITO!$AA$2505</f>
        <v>256243.11364871205</v>
      </c>
      <c r="M2524" s="83">
        <f>$J$2524-EFEITO!$K$2524*EFEITO!$Y$2524</f>
        <v>0</v>
      </c>
      <c r="N2524" s="83">
        <f ca="1">$K$2524-EFEITO!$M$2524*EFEITO!$Z$2524</f>
        <v>26202.85908668465</v>
      </c>
      <c r="O2524" s="83">
        <f>$L$2524-EFEITO!$O$2524*EFEITO!$AA$2524</f>
        <v>15374.586818922777</v>
      </c>
      <c r="P2524" s="61"/>
      <c r="Q2524" s="61"/>
      <c r="R2524" s="61"/>
      <c r="S2524" s="61"/>
      <c r="T2524" s="61"/>
      <c r="U2524" s="61"/>
      <c r="V2524" s="61"/>
      <c r="W2524" s="61"/>
      <c r="X2524" s="6"/>
      <c r="Y2524" s="6"/>
      <c r="Z2524" s="6"/>
      <c r="AA2524" s="6"/>
      <c r="AB2524" s="6"/>
      <c r="AC2524" s="6"/>
      <c r="AD2524" s="6"/>
      <c r="AE2524" s="6"/>
      <c r="AF2524" s="6"/>
      <c r="AG2524" s="6"/>
      <c r="AH2524" s="6"/>
      <c r="AI2524" s="6"/>
      <c r="AJ2524" s="6"/>
    </row>
    <row r="2525" spans="1:36" ht="11.25" customHeight="1" x14ac:dyDescent="0.2">
      <c r="A2525" s="57" t="s">
        <v>27</v>
      </c>
      <c r="B2525" s="57" t="s">
        <v>41</v>
      </c>
      <c r="C2525" s="57" t="s">
        <v>23</v>
      </c>
      <c r="D2525" s="57" t="s">
        <v>52</v>
      </c>
      <c r="E2525" s="57" t="s">
        <v>53</v>
      </c>
      <c r="F2525" s="57" t="s">
        <v>25</v>
      </c>
      <c r="G2525" s="57" t="s">
        <v>25</v>
      </c>
      <c r="H2525" s="57" t="s">
        <v>25</v>
      </c>
      <c r="I2525" s="82">
        <v>44287</v>
      </c>
      <c r="J2525" s="83">
        <f>EFEITO!$J$2525*EFEITO!$Y$2505</f>
        <v>0</v>
      </c>
      <c r="K2525" s="83">
        <f ca="1">EFEITO!$L$2525*EFEITO!$Z$2505</f>
        <v>-50.651984387523221</v>
      </c>
      <c r="L2525" s="83">
        <f>EFEITO!$N$2525*EFEITO!$AA$2505</f>
        <v>-29.720166373463737</v>
      </c>
      <c r="M2525" s="83">
        <f>$J$2525-EFEITO!$K$2525*EFEITO!$Y$2525</f>
        <v>0</v>
      </c>
      <c r="N2525" s="83">
        <f ca="1">$K$2525-EFEITO!$M$2525*EFEITO!$Z$2525</f>
        <v>-3.0391190632513911</v>
      </c>
      <c r="O2525" s="83">
        <f>$L$2525-EFEITO!$O$2525*EFEITO!$AA$2525</f>
        <v>-1.7832099824078291</v>
      </c>
      <c r="P2525" s="61"/>
      <c r="Q2525" s="61"/>
      <c r="R2525" s="61"/>
      <c r="S2525" s="61"/>
      <c r="T2525" s="61"/>
      <c r="U2525" s="61"/>
      <c r="V2525" s="61"/>
      <c r="W2525" s="61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</row>
    <row r="2526" spans="1:36" ht="11.25" customHeight="1" x14ac:dyDescent="0.2">
      <c r="A2526" s="57" t="s">
        <v>28</v>
      </c>
      <c r="B2526" s="57" t="s">
        <v>41</v>
      </c>
      <c r="C2526" s="57" t="s">
        <v>23</v>
      </c>
      <c r="D2526" s="57" t="s">
        <v>52</v>
      </c>
      <c r="E2526" s="57" t="s">
        <v>53</v>
      </c>
      <c r="F2526" s="57" t="s">
        <v>25</v>
      </c>
      <c r="G2526" s="57" t="s">
        <v>25</v>
      </c>
      <c r="H2526" s="57" t="s">
        <v>25</v>
      </c>
      <c r="I2526" s="82">
        <v>44287</v>
      </c>
      <c r="J2526" s="83">
        <f>EFEITO!$J$2526*EFEITO!$Y$2505</f>
        <v>0</v>
      </c>
      <c r="K2526" s="83">
        <f ca="1">EFEITO!$L$2526*EFEITO!$Z$2505</f>
        <v>1257389.925634315</v>
      </c>
      <c r="L2526" s="83">
        <f>EFEITO!$N$2526*EFEITO!$AA$2505</f>
        <v>737776.38207150111</v>
      </c>
      <c r="M2526" s="83">
        <f>$J$2526-EFEITO!$K$2526*EFEITO!$Y$2526</f>
        <v>0</v>
      </c>
      <c r="N2526" s="83">
        <f ca="1">$K$2526-EFEITO!$M$2526*EFEITO!$Z$2526</f>
        <v>75443.39553805883</v>
      </c>
      <c r="O2526" s="83">
        <f>$L$2526-EFEITO!$O$2526*EFEITO!$AA$2526</f>
        <v>44266.582924290211</v>
      </c>
      <c r="P2526" s="61"/>
      <c r="Q2526" s="61"/>
      <c r="R2526" s="61"/>
      <c r="S2526" s="61"/>
      <c r="T2526" s="61"/>
      <c r="U2526" s="61"/>
      <c r="V2526" s="61"/>
      <c r="W2526" s="61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</row>
    <row r="2527" spans="1:36" ht="11.25" customHeight="1" x14ac:dyDescent="0.2">
      <c r="A2527" s="57" t="s">
        <v>29</v>
      </c>
      <c r="B2527" s="57" t="s">
        <v>41</v>
      </c>
      <c r="C2527" s="57" t="s">
        <v>23</v>
      </c>
      <c r="D2527" s="57" t="s">
        <v>52</v>
      </c>
      <c r="E2527" s="57" t="s">
        <v>53</v>
      </c>
      <c r="F2527" s="57" t="s">
        <v>25</v>
      </c>
      <c r="G2527" s="57" t="s">
        <v>25</v>
      </c>
      <c r="H2527" s="57" t="s">
        <v>25</v>
      </c>
      <c r="I2527" s="82">
        <v>44287</v>
      </c>
      <c r="J2527" s="83">
        <f>EFEITO!$J$2527*EFEITO!$Y$2505</f>
        <v>0</v>
      </c>
      <c r="K2527" s="83">
        <f ca="1">EFEITO!$L$2527*EFEITO!$Z$2505</f>
        <v>-10491.545526187685</v>
      </c>
      <c r="L2527" s="83">
        <f>EFEITO!$N$2527*EFEITO!$AA$2505</f>
        <v>-6155.9380609355439</v>
      </c>
      <c r="M2527" s="83">
        <f>$J$2527-EFEITO!$K$2527*EFEITO!$Y$2527</f>
        <v>0</v>
      </c>
      <c r="N2527" s="83">
        <f ca="1">$K$2527-EFEITO!$M$2527*EFEITO!$Z$2527</f>
        <v>-629.49273157126117</v>
      </c>
      <c r="O2527" s="83">
        <f>$L$2527-EFEITO!$O$2527*EFEITO!$AA$2527</f>
        <v>-369.35628365613411</v>
      </c>
      <c r="P2527" s="61"/>
      <c r="Q2527" s="61"/>
      <c r="R2527" s="61"/>
      <c r="S2527" s="61"/>
      <c r="T2527" s="61"/>
      <c r="U2527" s="61"/>
      <c r="V2527" s="61"/>
      <c r="W2527" s="61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</row>
    <row r="2528" spans="1:36" ht="11.25" customHeight="1" x14ac:dyDescent="0.2">
      <c r="A2528" s="57" t="s">
        <v>21</v>
      </c>
      <c r="B2528" s="57" t="s">
        <v>41</v>
      </c>
      <c r="C2528" s="57" t="s">
        <v>23</v>
      </c>
      <c r="D2528" s="57" t="s">
        <v>52</v>
      </c>
      <c r="E2528" s="57" t="s">
        <v>53</v>
      </c>
      <c r="F2528" s="57" t="s">
        <v>25</v>
      </c>
      <c r="G2528" s="57" t="s">
        <v>25</v>
      </c>
      <c r="H2528" s="57" t="s">
        <v>25</v>
      </c>
      <c r="I2528" s="82">
        <v>44317</v>
      </c>
      <c r="J2528" s="83">
        <f>EFEITO!$J$2528*EFEITO!$Y$2505</f>
        <v>0</v>
      </c>
      <c r="K2528" s="83">
        <f ca="1">EFEITO!$L$2528*EFEITO!$Z$2505</f>
        <v>448877.8856422308</v>
      </c>
      <c r="L2528" s="83">
        <f>EFEITO!$N$2528*EFEITO!$AA$2505</f>
        <v>263380.11440163566</v>
      </c>
      <c r="M2528" s="83">
        <f>$J$2528-EFEITO!$K$2528*EFEITO!$Y$2528</f>
        <v>0</v>
      </c>
      <c r="N2528" s="83">
        <f ca="1">$K$2528-EFEITO!$M$2528*EFEITO!$Z$2528</f>
        <v>26932.673138533835</v>
      </c>
      <c r="O2528" s="83">
        <f>$L$2528-EFEITO!$O$2528*EFEITO!$AA$2528</f>
        <v>15802.806864098209</v>
      </c>
      <c r="P2528" s="61"/>
      <c r="Q2528" s="61"/>
      <c r="R2528" s="61"/>
      <c r="S2528" s="61"/>
      <c r="T2528" s="61"/>
      <c r="U2528" s="61"/>
      <c r="V2528" s="61"/>
      <c r="W2528" s="61"/>
      <c r="X2528" s="6"/>
      <c r="Y2528" s="6"/>
      <c r="Z2528" s="6"/>
      <c r="AA2528" s="6"/>
      <c r="AB2528" s="6"/>
      <c r="AC2528" s="6"/>
      <c r="AD2528" s="6"/>
      <c r="AE2528" s="6"/>
      <c r="AF2528" s="6"/>
      <c r="AG2528" s="6"/>
      <c r="AH2528" s="6"/>
      <c r="AI2528" s="6"/>
      <c r="AJ2528" s="6"/>
    </row>
    <row r="2529" spans="1:36" ht="11.25" customHeight="1" x14ac:dyDescent="0.2">
      <c r="A2529" s="57" t="s">
        <v>28</v>
      </c>
      <c r="B2529" s="57" t="s">
        <v>41</v>
      </c>
      <c r="C2529" s="57" t="s">
        <v>23</v>
      </c>
      <c r="D2529" s="57" t="s">
        <v>52</v>
      </c>
      <c r="E2529" s="57" t="s">
        <v>53</v>
      </c>
      <c r="F2529" s="57" t="s">
        <v>25</v>
      </c>
      <c r="G2529" s="57" t="s">
        <v>25</v>
      </c>
      <c r="H2529" s="57" t="s">
        <v>25</v>
      </c>
      <c r="I2529" s="82">
        <v>44317</v>
      </c>
      <c r="J2529" s="83">
        <f>EFEITO!$J$2529*EFEITO!$Y$2505</f>
        <v>0</v>
      </c>
      <c r="K2529" s="83">
        <f ca="1">EFEITO!$L$2529*EFEITO!$Z$2505</f>
        <v>1434912.4679164873</v>
      </c>
      <c r="L2529" s="83">
        <f>EFEITO!$N$2529*EFEITO!$AA$2505</f>
        <v>841938.13516889815</v>
      </c>
      <c r="M2529" s="83">
        <f>$J$2529-EFEITO!$K$2529*EFEITO!$Y$2529</f>
        <v>0</v>
      </c>
      <c r="N2529" s="83">
        <f ca="1">$K$2529-EFEITO!$M$2529*EFEITO!$Z$2529</f>
        <v>86094.7480749893</v>
      </c>
      <c r="O2529" s="83">
        <f>$L$2529-EFEITO!$O$2529*EFEITO!$AA$2529</f>
        <v>50516.288110133959</v>
      </c>
      <c r="P2529" s="61"/>
      <c r="Q2529" s="61"/>
      <c r="R2529" s="61"/>
      <c r="S2529" s="61"/>
      <c r="T2529" s="61"/>
      <c r="U2529" s="61"/>
      <c r="V2529" s="61"/>
      <c r="W2529" s="61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</row>
    <row r="2530" spans="1:36" ht="11.25" customHeight="1" x14ac:dyDescent="0.2">
      <c r="A2530" s="57" t="s">
        <v>29</v>
      </c>
      <c r="B2530" s="57" t="s">
        <v>41</v>
      </c>
      <c r="C2530" s="57" t="s">
        <v>23</v>
      </c>
      <c r="D2530" s="57" t="s">
        <v>52</v>
      </c>
      <c r="E2530" s="57" t="s">
        <v>53</v>
      </c>
      <c r="F2530" s="57" t="s">
        <v>25</v>
      </c>
      <c r="G2530" s="57" t="s">
        <v>25</v>
      </c>
      <c r="H2530" s="57" t="s">
        <v>25</v>
      </c>
      <c r="I2530" s="82">
        <v>44317</v>
      </c>
      <c r="J2530" s="83">
        <f>EFEITO!$J$2530*EFEITO!$Y$2505</f>
        <v>0</v>
      </c>
      <c r="K2530" s="83">
        <f ca="1">EFEITO!$L$2530*EFEITO!$Z$2505</f>
        <v>18429.217999556447</v>
      </c>
      <c r="L2530" s="83">
        <f>EFEITO!$N$2530*EFEITO!$AA$2505</f>
        <v>10813.385333321046</v>
      </c>
      <c r="M2530" s="83">
        <f>$J$2530-EFEITO!$K$2530*EFEITO!$Y$2530</f>
        <v>0</v>
      </c>
      <c r="N2530" s="83">
        <f ca="1">$K$2530-EFEITO!$M$2530*EFEITO!$Z$2530</f>
        <v>1105.7530799733868</v>
      </c>
      <c r="O2530" s="83">
        <f>$L$2530-EFEITO!$O$2530*EFEITO!$AA$2530</f>
        <v>648.80311999926562</v>
      </c>
      <c r="P2530" s="61"/>
      <c r="Q2530" s="61"/>
      <c r="R2530" s="61"/>
      <c r="S2530" s="61"/>
      <c r="T2530" s="61"/>
      <c r="U2530" s="61"/>
      <c r="V2530" s="61"/>
      <c r="W2530" s="61"/>
      <c r="X2530" s="6"/>
      <c r="Y2530" s="6"/>
      <c r="Z2530" s="6"/>
      <c r="AA2530" s="6"/>
      <c r="AB2530" s="6"/>
      <c r="AC2530" s="6"/>
      <c r="AD2530" s="6"/>
      <c r="AE2530" s="6"/>
      <c r="AF2530" s="6"/>
      <c r="AG2530" s="6"/>
      <c r="AH2530" s="6"/>
      <c r="AI2530" s="6"/>
      <c r="AJ2530" s="6"/>
    </row>
    <row r="2531" spans="1:36" ht="11.25" customHeight="1" x14ac:dyDescent="0.2">
      <c r="A2531" s="57" t="s">
        <v>21</v>
      </c>
      <c r="B2531" s="57" t="s">
        <v>41</v>
      </c>
      <c r="C2531" s="57" t="s">
        <v>23</v>
      </c>
      <c r="D2531" s="57" t="s">
        <v>52</v>
      </c>
      <c r="E2531" s="57" t="s">
        <v>53</v>
      </c>
      <c r="F2531" s="57" t="s">
        <v>25</v>
      </c>
      <c r="G2531" s="57" t="s">
        <v>25</v>
      </c>
      <c r="H2531" s="57" t="s">
        <v>25</v>
      </c>
      <c r="I2531" s="82">
        <v>44348</v>
      </c>
      <c r="J2531" s="83">
        <f>EFEITO!$J$2531*EFEITO!$Y$2505</f>
        <v>0</v>
      </c>
      <c r="K2531" s="83">
        <f ca="1">EFEITO!$L$2531*EFEITO!$Z$2505</f>
        <v>498278.76601538219</v>
      </c>
      <c r="L2531" s="83">
        <f>EFEITO!$N$2531*EFEITO!$AA$2505</f>
        <v>292366.19266567478</v>
      </c>
      <c r="M2531" s="83">
        <f>$J$2531-EFEITO!$K$2531*EFEITO!$Y$2531</f>
        <v>0</v>
      </c>
      <c r="N2531" s="83">
        <f ca="1">$K$2531-EFEITO!$M$2531*EFEITO!$Z$2531</f>
        <v>29896.725960922951</v>
      </c>
      <c r="O2531" s="83">
        <f>$L$2531-EFEITO!$O$2531*EFEITO!$AA$2531</f>
        <v>17541.971559940488</v>
      </c>
      <c r="P2531" s="61"/>
      <c r="Q2531" s="61"/>
      <c r="R2531" s="61"/>
      <c r="S2531" s="61"/>
      <c r="T2531" s="61"/>
      <c r="U2531" s="61"/>
      <c r="V2531" s="61"/>
      <c r="W2531" s="61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</row>
    <row r="2532" spans="1:36" ht="11.25" customHeight="1" x14ac:dyDescent="0.2">
      <c r="A2532" s="57" t="s">
        <v>28</v>
      </c>
      <c r="B2532" s="57" t="s">
        <v>41</v>
      </c>
      <c r="C2532" s="57" t="s">
        <v>23</v>
      </c>
      <c r="D2532" s="57" t="s">
        <v>52</v>
      </c>
      <c r="E2532" s="57" t="s">
        <v>53</v>
      </c>
      <c r="F2532" s="57" t="s">
        <v>25</v>
      </c>
      <c r="G2532" s="57" t="s">
        <v>25</v>
      </c>
      <c r="H2532" s="57" t="s">
        <v>25</v>
      </c>
      <c r="I2532" s="82">
        <v>44348</v>
      </c>
      <c r="J2532" s="83">
        <f>EFEITO!$J$2532*EFEITO!$Y$2505</f>
        <v>0</v>
      </c>
      <c r="K2532" s="83">
        <f ca="1">EFEITO!$L$2532*EFEITO!$Z$2505</f>
        <v>1549381.9004735386</v>
      </c>
      <c r="L2532" s="83">
        <f>EFEITO!$N$2532*EFEITO!$AA$2505</f>
        <v>909103.33355961624</v>
      </c>
      <c r="M2532" s="83">
        <f>$J$2532-EFEITO!$K$2532*EFEITO!$Y$2532</f>
        <v>0</v>
      </c>
      <c r="N2532" s="83">
        <f ca="1">$K$2532-EFEITO!$M$2532*EFEITO!$Z$2532</f>
        <v>92962.914028412197</v>
      </c>
      <c r="O2532" s="83">
        <f>$L$2532-EFEITO!$O$2532*EFEITO!$AA$2532</f>
        <v>54546.200013577123</v>
      </c>
      <c r="P2532" s="61"/>
      <c r="Q2532" s="61"/>
      <c r="R2532" s="61"/>
      <c r="S2532" s="61"/>
      <c r="T2532" s="61"/>
      <c r="U2532" s="61"/>
      <c r="V2532" s="61"/>
      <c r="W2532" s="61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</row>
    <row r="2533" spans="1:36" ht="11.25" customHeight="1" x14ac:dyDescent="0.2">
      <c r="A2533" s="57" t="s">
        <v>29</v>
      </c>
      <c r="B2533" s="57" t="s">
        <v>41</v>
      </c>
      <c r="C2533" s="57" t="s">
        <v>23</v>
      </c>
      <c r="D2533" s="57" t="s">
        <v>52</v>
      </c>
      <c r="E2533" s="57" t="s">
        <v>53</v>
      </c>
      <c r="F2533" s="57" t="s">
        <v>25</v>
      </c>
      <c r="G2533" s="57" t="s">
        <v>25</v>
      </c>
      <c r="H2533" s="57" t="s">
        <v>25</v>
      </c>
      <c r="I2533" s="82">
        <v>44348</v>
      </c>
      <c r="J2533" s="83">
        <f>EFEITO!$J$2533*EFEITO!$Y$2505</f>
        <v>0</v>
      </c>
      <c r="K2533" s="83">
        <f ca="1">EFEITO!$L$2533*EFEITO!$Z$2505</f>
        <v>14968.674426200861</v>
      </c>
      <c r="L2533" s="83">
        <f>EFEITO!$N$2533*EFEITO!$AA$2505</f>
        <v>8782.9035666860036</v>
      </c>
      <c r="M2533" s="83">
        <f>$J$2533-EFEITO!$K$2533*EFEITO!$Y$2533</f>
        <v>0</v>
      </c>
      <c r="N2533" s="83">
        <f ca="1">$K$2533-EFEITO!$M$2533*EFEITO!$Z$2533</f>
        <v>898.12046557205213</v>
      </c>
      <c r="O2533" s="83">
        <f>$L$2533-EFEITO!$O$2533*EFEITO!$AA$2533</f>
        <v>526.97421400116218</v>
      </c>
      <c r="P2533" s="61"/>
      <c r="Q2533" s="61"/>
      <c r="R2533" s="61"/>
      <c r="S2533" s="61"/>
      <c r="T2533" s="61"/>
      <c r="U2533" s="61"/>
      <c r="V2533" s="61"/>
      <c r="W2533" s="61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</row>
    <row r="2534" spans="1:36" ht="11.25" customHeight="1" x14ac:dyDescent="0.2">
      <c r="A2534" s="57" t="s">
        <v>21</v>
      </c>
      <c r="B2534" s="57" t="s">
        <v>41</v>
      </c>
      <c r="C2534" s="57" t="s">
        <v>23</v>
      </c>
      <c r="D2534" s="57" t="s">
        <v>52</v>
      </c>
      <c r="E2534" s="57" t="s">
        <v>53</v>
      </c>
      <c r="F2534" s="57" t="s">
        <v>25</v>
      </c>
      <c r="G2534" s="57" t="s">
        <v>25</v>
      </c>
      <c r="H2534" s="57" t="s">
        <v>25</v>
      </c>
      <c r="I2534" s="82">
        <v>44378</v>
      </c>
      <c r="J2534" s="83">
        <f>EFEITO!$J$2534*EFEITO!$Y$2505</f>
        <v>0</v>
      </c>
      <c r="K2534" s="83">
        <f ca="1">EFEITO!$L$2534*EFEITO!$Z$2505</f>
        <v>468184.90253122302</v>
      </c>
      <c r="L2534" s="83">
        <f>EFEITO!$N$2534*EFEITO!$AA$2505</f>
        <v>274708.55021820881</v>
      </c>
      <c r="M2534" s="83">
        <f>$J$2534-EFEITO!$K$2534*EFEITO!$Y$2534</f>
        <v>0</v>
      </c>
      <c r="N2534" s="83">
        <f ca="1">$K$2534-EFEITO!$M$2534*EFEITO!$Z$2534</f>
        <v>28091.094151873433</v>
      </c>
      <c r="O2534" s="83">
        <f>$L$2534-EFEITO!$O$2534*EFEITO!$AA$2534</f>
        <v>16482.513013092597</v>
      </c>
      <c r="P2534" s="61"/>
      <c r="Q2534" s="61"/>
      <c r="R2534" s="61"/>
      <c r="S2534" s="61"/>
      <c r="T2534" s="61"/>
      <c r="U2534" s="61"/>
      <c r="V2534" s="61"/>
      <c r="W2534" s="61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</row>
    <row r="2535" spans="1:36" ht="11.25" customHeight="1" x14ac:dyDescent="0.2">
      <c r="A2535" s="57" t="s">
        <v>28</v>
      </c>
      <c r="B2535" s="57" t="s">
        <v>41</v>
      </c>
      <c r="C2535" s="57" t="s">
        <v>23</v>
      </c>
      <c r="D2535" s="57" t="s">
        <v>52</v>
      </c>
      <c r="E2535" s="57" t="s">
        <v>53</v>
      </c>
      <c r="F2535" s="57" t="s">
        <v>25</v>
      </c>
      <c r="G2535" s="57" t="s">
        <v>25</v>
      </c>
      <c r="H2535" s="57" t="s">
        <v>25</v>
      </c>
      <c r="I2535" s="82">
        <v>44378</v>
      </c>
      <c r="J2535" s="83">
        <f>EFEITO!$J$2535*EFEITO!$Y$2505</f>
        <v>0</v>
      </c>
      <c r="K2535" s="83">
        <f ca="1">EFEITO!$L$2535*EFEITO!$Z$2505</f>
        <v>1533100.833131857</v>
      </c>
      <c r="L2535" s="83">
        <f>EFEITO!$N$2535*EFEITO!$AA$2505</f>
        <v>899550.38048219378</v>
      </c>
      <c r="M2535" s="83">
        <f>$J$2535-EFEITO!$K$2535*EFEITO!$Y$2535</f>
        <v>0</v>
      </c>
      <c r="N2535" s="83">
        <f ca="1">$K$2535-EFEITO!$M$2535*EFEITO!$Z$2535</f>
        <v>91986.04998791148</v>
      </c>
      <c r="O2535" s="83">
        <f>$L$2535-EFEITO!$O$2535*EFEITO!$AA$2535</f>
        <v>53973.022828931687</v>
      </c>
      <c r="P2535" s="61"/>
      <c r="Q2535" s="61"/>
      <c r="R2535" s="61"/>
      <c r="S2535" s="61"/>
      <c r="T2535" s="61"/>
      <c r="U2535" s="61"/>
      <c r="V2535" s="61"/>
      <c r="W2535" s="61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</row>
    <row r="2536" spans="1:36" ht="11.25" customHeight="1" x14ac:dyDescent="0.2">
      <c r="A2536" s="57" t="s">
        <v>29</v>
      </c>
      <c r="B2536" s="57" t="s">
        <v>41</v>
      </c>
      <c r="C2536" s="57" t="s">
        <v>23</v>
      </c>
      <c r="D2536" s="57" t="s">
        <v>52</v>
      </c>
      <c r="E2536" s="57" t="s">
        <v>53</v>
      </c>
      <c r="F2536" s="57" t="s">
        <v>25</v>
      </c>
      <c r="G2536" s="57" t="s">
        <v>25</v>
      </c>
      <c r="H2536" s="57" t="s">
        <v>25</v>
      </c>
      <c r="I2536" s="82">
        <v>44378</v>
      </c>
      <c r="J2536" s="83">
        <f>EFEITO!$J$2536*EFEITO!$Y$2505</f>
        <v>0</v>
      </c>
      <c r="K2536" s="83">
        <f ca="1">EFEITO!$L$2536*EFEITO!$Z$2505</f>
        <v>-2761.0396689638906</v>
      </c>
      <c r="L2536" s="83">
        <f>EFEITO!$N$2536*EFEITO!$AA$2505</f>
        <v>-1620.0462690175082</v>
      </c>
      <c r="M2536" s="83">
        <f>$J$2536-EFEITO!$K$2536*EFEITO!$Y$2536</f>
        <v>0</v>
      </c>
      <c r="N2536" s="83">
        <f ca="1">$K$2536-EFEITO!$M$2536*EFEITO!$Z$2536</f>
        <v>-165.66238013783368</v>
      </c>
      <c r="O2536" s="83">
        <f>$L$2536-EFEITO!$O$2536*EFEITO!$AA$2536</f>
        <v>-97.20277614105089</v>
      </c>
      <c r="P2536" s="61"/>
      <c r="Q2536" s="61"/>
      <c r="R2536" s="61"/>
      <c r="S2536" s="61"/>
      <c r="T2536" s="61"/>
      <c r="U2536" s="61"/>
      <c r="V2536" s="61"/>
      <c r="W2536" s="61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</row>
    <row r="2537" spans="1:36" ht="11.25" customHeight="1" x14ac:dyDescent="0.2">
      <c r="A2537" s="57" t="s">
        <v>21</v>
      </c>
      <c r="B2537" s="57" t="s">
        <v>41</v>
      </c>
      <c r="C2537" s="57" t="s">
        <v>23</v>
      </c>
      <c r="D2537" s="57" t="s">
        <v>52</v>
      </c>
      <c r="E2537" s="57" t="s">
        <v>53</v>
      </c>
      <c r="F2537" s="57" t="s">
        <v>25</v>
      </c>
      <c r="G2537" s="57" t="s">
        <v>25</v>
      </c>
      <c r="H2537" s="57" t="s">
        <v>25</v>
      </c>
      <c r="I2537" s="82">
        <v>44409</v>
      </c>
      <c r="J2537" s="83">
        <f>EFEITO!$J$2537*EFEITO!$Y$2505</f>
        <v>0</v>
      </c>
      <c r="K2537" s="83">
        <f ca="1">EFEITO!$L$2537*EFEITO!$Z$2505</f>
        <v>492645.25231180183</v>
      </c>
      <c r="L2537" s="83">
        <f>EFEITO!$N$2537*EFEITO!$AA$2505</f>
        <v>289060.71576161816</v>
      </c>
      <c r="M2537" s="83">
        <f>$J$2537-EFEITO!$K$2537*EFEITO!$Y$2537</f>
        <v>0</v>
      </c>
      <c r="N2537" s="83">
        <f ca="1">$K$2537-EFEITO!$M$2537*EFEITO!$Z$2537</f>
        <v>29558.715138708125</v>
      </c>
      <c r="O2537" s="83">
        <f>$L$2537-EFEITO!$O$2537*EFEITO!$AA$2537</f>
        <v>17343.642945697124</v>
      </c>
      <c r="P2537" s="61"/>
      <c r="Q2537" s="61"/>
      <c r="R2537" s="61"/>
      <c r="S2537" s="61"/>
      <c r="T2537" s="61"/>
      <c r="U2537" s="61"/>
      <c r="V2537" s="61"/>
      <c r="W2537" s="61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</row>
    <row r="2538" spans="1:36" ht="11.25" customHeight="1" x14ac:dyDescent="0.2">
      <c r="A2538" s="57" t="s">
        <v>27</v>
      </c>
      <c r="B2538" s="57" t="s">
        <v>41</v>
      </c>
      <c r="C2538" s="57" t="s">
        <v>23</v>
      </c>
      <c r="D2538" s="57" t="s">
        <v>52</v>
      </c>
      <c r="E2538" s="57" t="s">
        <v>53</v>
      </c>
      <c r="F2538" s="57" t="s">
        <v>25</v>
      </c>
      <c r="G2538" s="57" t="s">
        <v>25</v>
      </c>
      <c r="H2538" s="57" t="s">
        <v>25</v>
      </c>
      <c r="I2538" s="82">
        <v>44409</v>
      </c>
      <c r="J2538" s="83">
        <f>EFEITO!$J$2538*EFEITO!$Y$2505</f>
        <v>0</v>
      </c>
      <c r="K2538" s="83">
        <f ca="1">EFEITO!$L$2538*EFEITO!$Z$2505</f>
        <v>6637.942553984918</v>
      </c>
      <c r="L2538" s="83">
        <f>EFEITO!$N$2538*EFEITO!$AA$2505</f>
        <v>3894.8278032424228</v>
      </c>
      <c r="M2538" s="83">
        <f>$J$2538-EFEITO!$K$2538*EFEITO!$Y$2538</f>
        <v>0</v>
      </c>
      <c r="N2538" s="83">
        <f ca="1">$K$2538-EFEITO!$M$2538*EFEITO!$Z$2538</f>
        <v>398.27655323909494</v>
      </c>
      <c r="O2538" s="83">
        <f>$L$2538-EFEITO!$O$2538*EFEITO!$AA$2538</f>
        <v>233.6896681945459</v>
      </c>
      <c r="P2538" s="61"/>
      <c r="Q2538" s="61"/>
      <c r="R2538" s="61"/>
      <c r="S2538" s="61"/>
      <c r="T2538" s="61"/>
      <c r="U2538" s="61"/>
      <c r="V2538" s="61"/>
      <c r="W2538" s="61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</row>
    <row r="2539" spans="1:36" ht="11.25" customHeight="1" x14ac:dyDescent="0.2">
      <c r="A2539" s="57" t="s">
        <v>28</v>
      </c>
      <c r="B2539" s="57" t="s">
        <v>41</v>
      </c>
      <c r="C2539" s="57" t="s">
        <v>23</v>
      </c>
      <c r="D2539" s="57" t="s">
        <v>52</v>
      </c>
      <c r="E2539" s="57" t="s">
        <v>53</v>
      </c>
      <c r="F2539" s="57" t="s">
        <v>25</v>
      </c>
      <c r="G2539" s="57" t="s">
        <v>25</v>
      </c>
      <c r="H2539" s="57" t="s">
        <v>25</v>
      </c>
      <c r="I2539" s="82">
        <v>44409</v>
      </c>
      <c r="J2539" s="83">
        <f>EFEITO!$J$2539*EFEITO!$Y$2505</f>
        <v>0</v>
      </c>
      <c r="K2539" s="83">
        <f ca="1">EFEITO!$L$2539*EFEITO!$Z$2505</f>
        <v>1546463.8396529735</v>
      </c>
      <c r="L2539" s="83">
        <f>EFEITO!$N$2539*EFEITO!$AA$2505</f>
        <v>907391.15477484104</v>
      </c>
      <c r="M2539" s="83">
        <f>$J$2539-EFEITO!$K$2539*EFEITO!$Y$2539</f>
        <v>0</v>
      </c>
      <c r="N2539" s="83">
        <f ca="1">$K$2539-EFEITO!$M$2539*EFEITO!$Z$2539</f>
        <v>92787.830379178515</v>
      </c>
      <c r="O2539" s="83">
        <f>$L$2539-EFEITO!$O$2539*EFEITO!$AA$2539</f>
        <v>54443.469286490581</v>
      </c>
      <c r="P2539" s="61"/>
      <c r="Q2539" s="61"/>
      <c r="R2539" s="61"/>
      <c r="S2539" s="61"/>
      <c r="T2539" s="61"/>
      <c r="U2539" s="61"/>
      <c r="V2539" s="61"/>
      <c r="W2539" s="61"/>
      <c r="X2539" s="6"/>
      <c r="Y2539" s="6"/>
      <c r="Z2539" s="6"/>
      <c r="AA2539" s="6"/>
      <c r="AB2539" s="6"/>
      <c r="AC2539" s="6"/>
      <c r="AD2539" s="6"/>
      <c r="AE2539" s="6"/>
      <c r="AF2539" s="6"/>
      <c r="AG2539" s="6"/>
      <c r="AH2539" s="6"/>
      <c r="AI2539" s="6"/>
      <c r="AJ2539" s="6"/>
    </row>
    <row r="2540" spans="1:36" ht="11.25" customHeight="1" x14ac:dyDescent="0.2">
      <c r="A2540" s="57" t="s">
        <v>29</v>
      </c>
      <c r="B2540" s="57" t="s">
        <v>41</v>
      </c>
      <c r="C2540" s="57" t="s">
        <v>23</v>
      </c>
      <c r="D2540" s="57" t="s">
        <v>52</v>
      </c>
      <c r="E2540" s="57" t="s">
        <v>53</v>
      </c>
      <c r="F2540" s="57" t="s">
        <v>25</v>
      </c>
      <c r="G2540" s="57" t="s">
        <v>25</v>
      </c>
      <c r="H2540" s="57" t="s">
        <v>25</v>
      </c>
      <c r="I2540" s="82">
        <v>44409</v>
      </c>
      <c r="J2540" s="83">
        <f>EFEITO!$J$2540*EFEITO!$Y$2505</f>
        <v>0</v>
      </c>
      <c r="K2540" s="83">
        <f ca="1">EFEITO!$L$2540*EFEITO!$Z$2505</f>
        <v>11255.377450751535</v>
      </c>
      <c r="L2540" s="83">
        <f>EFEITO!$N$2540*EFEITO!$AA$2505</f>
        <v>6604.1181698473765</v>
      </c>
      <c r="M2540" s="83">
        <f>$J$2540-EFEITO!$K$2540*EFEITO!$Y$2540</f>
        <v>0</v>
      </c>
      <c r="N2540" s="83">
        <f ca="1">$K$2540-EFEITO!$M$2540*EFEITO!$Z$2540</f>
        <v>675.32264704509362</v>
      </c>
      <c r="O2540" s="83">
        <f>$L$2540-EFEITO!$O$2540*EFEITO!$AA$2540</f>
        <v>396.24709019084366</v>
      </c>
      <c r="P2540" s="61"/>
      <c r="Q2540" s="61"/>
      <c r="R2540" s="61"/>
      <c r="S2540" s="61"/>
      <c r="T2540" s="61"/>
      <c r="U2540" s="61"/>
      <c r="V2540" s="61"/>
      <c r="W2540" s="61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</row>
    <row r="2541" spans="1:36" ht="11.25" customHeight="1" x14ac:dyDescent="0.2">
      <c r="A2541" s="57" t="s">
        <v>21</v>
      </c>
      <c r="B2541" s="57" t="s">
        <v>41</v>
      </c>
      <c r="C2541" s="57" t="s">
        <v>23</v>
      </c>
      <c r="D2541" s="57" t="s">
        <v>52</v>
      </c>
      <c r="E2541" s="57" t="s">
        <v>53</v>
      </c>
      <c r="F2541" s="57" t="s">
        <v>25</v>
      </c>
      <c r="G2541" s="57" t="s">
        <v>25</v>
      </c>
      <c r="H2541" s="57" t="s">
        <v>25</v>
      </c>
      <c r="I2541" s="82">
        <v>44440</v>
      </c>
      <c r="J2541" s="83">
        <f>EFEITO!$J$2541*EFEITO!$Y$2505</f>
        <v>0</v>
      </c>
      <c r="K2541" s="83">
        <f ca="1">EFEITO!$L$2541*EFEITO!$Z$2505</f>
        <v>449167.10847308353</v>
      </c>
      <c r="L2541" s="83">
        <f>EFEITO!$N$2541*EFEITO!$AA$2505</f>
        <v>263549.81655162806</v>
      </c>
      <c r="M2541" s="83">
        <f>$J$2541-EFEITO!$K$2541*EFEITO!$Y$2541</f>
        <v>0</v>
      </c>
      <c r="N2541" s="83">
        <f ca="1">$K$2541-EFEITO!$M$2541*EFEITO!$Z$2541</f>
        <v>26950.026508385024</v>
      </c>
      <c r="O2541" s="83">
        <f>$L$2541-EFEITO!$O$2541*EFEITO!$AA$2541</f>
        <v>15812.988993097708</v>
      </c>
      <c r="P2541" s="61"/>
      <c r="Q2541" s="61"/>
      <c r="R2541" s="61"/>
      <c r="S2541" s="61"/>
      <c r="T2541" s="61"/>
      <c r="U2541" s="61"/>
      <c r="V2541" s="61"/>
      <c r="W2541" s="61"/>
      <c r="X2541" s="6"/>
      <c r="Y2541" s="6"/>
      <c r="Z2541" s="6"/>
      <c r="AA2541" s="6"/>
      <c r="AB2541" s="6"/>
      <c r="AC2541" s="6"/>
      <c r="AD2541" s="6"/>
      <c r="AE2541" s="6"/>
      <c r="AF2541" s="6"/>
      <c r="AG2541" s="6"/>
      <c r="AH2541" s="6"/>
      <c r="AI2541" s="6"/>
      <c r="AJ2541" s="6"/>
    </row>
    <row r="2542" spans="1:36" ht="11.25" customHeight="1" x14ac:dyDescent="0.2">
      <c r="A2542" s="57" t="s">
        <v>27</v>
      </c>
      <c r="B2542" s="57" t="s">
        <v>41</v>
      </c>
      <c r="C2542" s="57" t="s">
        <v>23</v>
      </c>
      <c r="D2542" s="57" t="s">
        <v>52</v>
      </c>
      <c r="E2542" s="57" t="s">
        <v>53</v>
      </c>
      <c r="F2542" s="57" t="s">
        <v>25</v>
      </c>
      <c r="G2542" s="57" t="s">
        <v>25</v>
      </c>
      <c r="H2542" s="57" t="s">
        <v>25</v>
      </c>
      <c r="I2542" s="82">
        <v>44440</v>
      </c>
      <c r="J2542" s="83">
        <f>EFEITO!$J$2542*EFEITO!$Y$2505</f>
        <v>0</v>
      </c>
      <c r="K2542" s="83">
        <f ca="1">EFEITO!$L$2542*EFEITO!$Z$2505</f>
        <v>-389235.1740259222</v>
      </c>
      <c r="L2542" s="83">
        <f>EFEITO!$N$2542*EFEITO!$AA$2505</f>
        <v>-228384.61849688209</v>
      </c>
      <c r="M2542" s="83">
        <f>$J$2542-EFEITO!$K$2542*EFEITO!$Y$2542</f>
        <v>0</v>
      </c>
      <c r="N2542" s="83">
        <f ca="1">$K$2542-EFEITO!$M$2542*EFEITO!$Z$2542</f>
        <v>-23354.110441555327</v>
      </c>
      <c r="O2542" s="83">
        <f>$L$2542-EFEITO!$O$2542*EFEITO!$AA$2542</f>
        <v>-13703.077109812963</v>
      </c>
      <c r="P2542" s="61"/>
      <c r="Q2542" s="61"/>
      <c r="R2542" s="61"/>
      <c r="S2542" s="61"/>
      <c r="T2542" s="61"/>
      <c r="U2542" s="61"/>
      <c r="V2542" s="61"/>
      <c r="W2542" s="61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</row>
    <row r="2543" spans="1:36" ht="11.25" customHeight="1" x14ac:dyDescent="0.2">
      <c r="A2543" s="57" t="s">
        <v>28</v>
      </c>
      <c r="B2543" s="57" t="s">
        <v>41</v>
      </c>
      <c r="C2543" s="57" t="s">
        <v>23</v>
      </c>
      <c r="D2543" s="57" t="s">
        <v>52</v>
      </c>
      <c r="E2543" s="57" t="s">
        <v>53</v>
      </c>
      <c r="F2543" s="57" t="s">
        <v>25</v>
      </c>
      <c r="G2543" s="57" t="s">
        <v>25</v>
      </c>
      <c r="H2543" s="57" t="s">
        <v>25</v>
      </c>
      <c r="I2543" s="82">
        <v>44440</v>
      </c>
      <c r="J2543" s="83">
        <f>EFEITO!$J$2543*EFEITO!$Y$2505</f>
        <v>0</v>
      </c>
      <c r="K2543" s="83">
        <f ca="1">EFEITO!$L$2543*EFEITO!$Z$2505</f>
        <v>1636113.2933402946</v>
      </c>
      <c r="L2543" s="83">
        <f>EFEITO!$N$2543*EFEITO!$AA$2505</f>
        <v>959993.17444089823</v>
      </c>
      <c r="M2543" s="83">
        <f>$J$2543-EFEITO!$K$2543*EFEITO!$Y$2543</f>
        <v>0</v>
      </c>
      <c r="N2543" s="83">
        <f ca="1">$K$2543-EFEITO!$M$2543*EFEITO!$Z$2543</f>
        <v>98166.797600417631</v>
      </c>
      <c r="O2543" s="83">
        <f>$L$2543-EFEITO!$O$2543*EFEITO!$AA$2543</f>
        <v>57599.590466454043</v>
      </c>
      <c r="P2543" s="61"/>
      <c r="Q2543" s="61"/>
      <c r="R2543" s="61"/>
      <c r="S2543" s="61"/>
      <c r="T2543" s="61"/>
      <c r="U2543" s="61"/>
      <c r="V2543" s="61"/>
      <c r="W2543" s="61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</row>
    <row r="2544" spans="1:36" ht="11.25" customHeight="1" x14ac:dyDescent="0.2">
      <c r="A2544" s="57" t="s">
        <v>29</v>
      </c>
      <c r="B2544" s="57" t="s">
        <v>41</v>
      </c>
      <c r="C2544" s="57" t="s">
        <v>23</v>
      </c>
      <c r="D2544" s="57" t="s">
        <v>52</v>
      </c>
      <c r="E2544" s="57" t="s">
        <v>53</v>
      </c>
      <c r="F2544" s="57" t="s">
        <v>25</v>
      </c>
      <c r="G2544" s="57" t="s">
        <v>25</v>
      </c>
      <c r="H2544" s="57" t="s">
        <v>25</v>
      </c>
      <c r="I2544" s="82">
        <v>44440</v>
      </c>
      <c r="J2544" s="83">
        <f>EFEITO!$J$2544*EFEITO!$Y$2505</f>
        <v>0</v>
      </c>
      <c r="K2544" s="83">
        <f ca="1">EFEITO!$L$2544*EFEITO!$Z$2505</f>
        <v>15381.99461880305</v>
      </c>
      <c r="L2544" s="83">
        <f>EFEITO!$N$2544*EFEITO!$AA$2505</f>
        <v>9025.4201242934669</v>
      </c>
      <c r="M2544" s="83">
        <f>$J$2544-EFEITO!$K$2544*EFEITO!$Y$2544</f>
        <v>0</v>
      </c>
      <c r="N2544" s="83">
        <f ca="1">$K$2544-EFEITO!$M$2544*EFEITO!$Z$2544</f>
        <v>922.91967712818223</v>
      </c>
      <c r="O2544" s="83">
        <f>$L$2544-EFEITO!$O$2544*EFEITO!$AA$2544</f>
        <v>541.52520745760921</v>
      </c>
      <c r="P2544" s="61"/>
      <c r="Q2544" s="61"/>
      <c r="R2544" s="61"/>
      <c r="S2544" s="61"/>
      <c r="T2544" s="61"/>
      <c r="U2544" s="61"/>
      <c r="V2544" s="61"/>
      <c r="W2544" s="61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</row>
    <row r="2545" spans="1:36" ht="11.25" customHeight="1" x14ac:dyDescent="0.2">
      <c r="A2545" s="57" t="s">
        <v>59</v>
      </c>
      <c r="B2545" s="57" t="s">
        <v>41</v>
      </c>
      <c r="C2545" s="57" t="s">
        <v>23</v>
      </c>
      <c r="D2545" s="57" t="s">
        <v>52</v>
      </c>
      <c r="E2545" s="57" t="s">
        <v>53</v>
      </c>
      <c r="F2545" s="57" t="s">
        <v>25</v>
      </c>
      <c r="G2545" s="57" t="s">
        <v>25</v>
      </c>
      <c r="H2545" s="57" t="s">
        <v>25</v>
      </c>
      <c r="I2545" s="82">
        <v>44470</v>
      </c>
      <c r="J2545" s="83">
        <f>EFEITO!$J$2545*EFEITO!$Y$2505</f>
        <v>0</v>
      </c>
      <c r="K2545" s="83">
        <f ca="1">EFEITO!$L$2545*EFEITO!$Z$2505</f>
        <v>449167.10847308353</v>
      </c>
      <c r="L2545" s="83">
        <f>EFEITO!$N$2545*EFEITO!$AA$2505</f>
        <v>263549.81655162806</v>
      </c>
      <c r="M2545" s="83">
        <f>$J$2545-EFEITO!$K$2545*EFEITO!$Y$2545</f>
        <v>0</v>
      </c>
      <c r="N2545" s="83">
        <f ca="1">$K$2545-EFEITO!$M$2545*EFEITO!$Z$2545</f>
        <v>26950.026508385024</v>
      </c>
      <c r="O2545" s="83">
        <f>$L$2545-EFEITO!$O$2545*EFEITO!$AA$2545</f>
        <v>15812.988993097708</v>
      </c>
      <c r="P2545" s="61"/>
      <c r="Q2545" s="61"/>
      <c r="R2545" s="61"/>
      <c r="S2545" s="61"/>
      <c r="T2545" s="61"/>
      <c r="U2545" s="61"/>
      <c r="V2545" s="61"/>
      <c r="W2545" s="61"/>
      <c r="X2545" s="6"/>
      <c r="Y2545" s="6"/>
      <c r="Z2545" s="6"/>
      <c r="AA2545" s="6"/>
      <c r="AB2545" s="6"/>
      <c r="AC2545" s="6"/>
      <c r="AD2545" s="6"/>
      <c r="AE2545" s="6"/>
      <c r="AF2545" s="6"/>
      <c r="AG2545" s="6"/>
      <c r="AH2545" s="6"/>
      <c r="AI2545" s="6"/>
      <c r="AJ2545" s="6"/>
    </row>
    <row r="2546" spans="1:36" ht="11.25" customHeight="1" x14ac:dyDescent="0.2">
      <c r="A2546" s="57" t="s">
        <v>59</v>
      </c>
      <c r="B2546" s="57" t="s">
        <v>41</v>
      </c>
      <c r="C2546" s="57" t="s">
        <v>23</v>
      </c>
      <c r="D2546" s="57" t="s">
        <v>52</v>
      </c>
      <c r="E2546" s="57" t="s">
        <v>53</v>
      </c>
      <c r="F2546" s="57" t="s">
        <v>25</v>
      </c>
      <c r="G2546" s="57" t="s">
        <v>25</v>
      </c>
      <c r="H2546" s="57" t="s">
        <v>25</v>
      </c>
      <c r="I2546" s="82">
        <v>44470</v>
      </c>
      <c r="J2546" s="83">
        <f>EFEITO!$J$2546*EFEITO!$Y$2505</f>
        <v>0</v>
      </c>
      <c r="K2546" s="83">
        <f ca="1">EFEITO!$L$2546*EFEITO!$Z$2505</f>
        <v>-389235.1740259222</v>
      </c>
      <c r="L2546" s="83">
        <f>EFEITO!$N$2546*EFEITO!$AA$2505</f>
        <v>-228384.61849688209</v>
      </c>
      <c r="M2546" s="83">
        <f>$J$2546-EFEITO!$K$2546*EFEITO!$Y$2546</f>
        <v>0</v>
      </c>
      <c r="N2546" s="83">
        <f ca="1">$K$2546-EFEITO!$M$2546*EFEITO!$Z$2546</f>
        <v>-23354.110441555327</v>
      </c>
      <c r="O2546" s="83">
        <f>$L$2546-EFEITO!$O$2546*EFEITO!$AA$2546</f>
        <v>-13703.077109812963</v>
      </c>
      <c r="P2546" s="61"/>
      <c r="Q2546" s="61"/>
      <c r="R2546" s="61"/>
      <c r="S2546" s="61"/>
      <c r="T2546" s="61"/>
      <c r="U2546" s="61"/>
      <c r="V2546" s="61"/>
      <c r="W2546" s="61"/>
      <c r="X2546" s="6"/>
      <c r="Y2546" s="6"/>
      <c r="Z2546" s="6"/>
      <c r="AA2546" s="6"/>
      <c r="AB2546" s="6"/>
      <c r="AC2546" s="6"/>
      <c r="AD2546" s="6"/>
      <c r="AE2546" s="6"/>
      <c r="AF2546" s="6"/>
      <c r="AG2546" s="6"/>
      <c r="AH2546" s="6"/>
      <c r="AI2546" s="6"/>
      <c r="AJ2546" s="6"/>
    </row>
    <row r="2547" spans="1:36" ht="11.25" customHeight="1" x14ac:dyDescent="0.2">
      <c r="A2547" s="57" t="s">
        <v>59</v>
      </c>
      <c r="B2547" s="57" t="s">
        <v>41</v>
      </c>
      <c r="C2547" s="57" t="s">
        <v>23</v>
      </c>
      <c r="D2547" s="57" t="s">
        <v>52</v>
      </c>
      <c r="E2547" s="57" t="s">
        <v>53</v>
      </c>
      <c r="F2547" s="57" t="s">
        <v>25</v>
      </c>
      <c r="G2547" s="57" t="s">
        <v>25</v>
      </c>
      <c r="H2547" s="57" t="s">
        <v>25</v>
      </c>
      <c r="I2547" s="82">
        <v>44470</v>
      </c>
      <c r="J2547" s="83">
        <f>EFEITO!$J$2547*EFEITO!$Y$2505</f>
        <v>0</v>
      </c>
      <c r="K2547" s="83">
        <f ca="1">EFEITO!$L$2547*EFEITO!$Z$2505</f>
        <v>1636113.2933402946</v>
      </c>
      <c r="L2547" s="83">
        <f>EFEITO!$N$2547*EFEITO!$AA$2505</f>
        <v>959993.17444089823</v>
      </c>
      <c r="M2547" s="83">
        <f>$J$2547-EFEITO!$K$2547*EFEITO!$Y$2547</f>
        <v>0</v>
      </c>
      <c r="N2547" s="83">
        <f ca="1">$K$2547-EFEITO!$M$2547*EFEITO!$Z$2547</f>
        <v>98166.797600417631</v>
      </c>
      <c r="O2547" s="83">
        <f>$L$2547-EFEITO!$O$2547*EFEITO!$AA$2547</f>
        <v>57599.590466454043</v>
      </c>
      <c r="P2547" s="61"/>
      <c r="Q2547" s="61"/>
      <c r="R2547" s="61"/>
      <c r="S2547" s="61"/>
      <c r="T2547" s="61"/>
      <c r="U2547" s="61"/>
      <c r="V2547" s="61"/>
      <c r="W2547" s="61"/>
      <c r="X2547" s="6"/>
      <c r="Y2547" s="6"/>
      <c r="Z2547" s="6"/>
      <c r="AA2547" s="6"/>
      <c r="AB2547" s="6"/>
      <c r="AC2547" s="6"/>
      <c r="AD2547" s="6"/>
      <c r="AE2547" s="6"/>
      <c r="AF2547" s="6"/>
      <c r="AG2547" s="6"/>
      <c r="AH2547" s="6"/>
      <c r="AI2547" s="6"/>
      <c r="AJ2547" s="6"/>
    </row>
    <row r="2548" spans="1:36" ht="11.25" customHeight="1" x14ac:dyDescent="0.2">
      <c r="A2548" s="57" t="s">
        <v>59</v>
      </c>
      <c r="B2548" s="57" t="s">
        <v>41</v>
      </c>
      <c r="C2548" s="57" t="s">
        <v>23</v>
      </c>
      <c r="D2548" s="57" t="s">
        <v>52</v>
      </c>
      <c r="E2548" s="57" t="s">
        <v>53</v>
      </c>
      <c r="F2548" s="57" t="s">
        <v>25</v>
      </c>
      <c r="G2548" s="57" t="s">
        <v>25</v>
      </c>
      <c r="H2548" s="57" t="s">
        <v>25</v>
      </c>
      <c r="I2548" s="82">
        <v>44470</v>
      </c>
      <c r="J2548" s="83">
        <f>EFEITO!$J$2548*EFEITO!$Y$2505</f>
        <v>0</v>
      </c>
      <c r="K2548" s="83">
        <f ca="1">EFEITO!$L$2548*EFEITO!$Z$2505</f>
        <v>15381.99461880305</v>
      </c>
      <c r="L2548" s="83">
        <f>EFEITO!$N$2548*EFEITO!$AA$2505</f>
        <v>9025.4201242934669</v>
      </c>
      <c r="M2548" s="83">
        <f>$J$2548-EFEITO!$K$2548*EFEITO!$Y$2548</f>
        <v>0</v>
      </c>
      <c r="N2548" s="83">
        <f ca="1">$K$2548-EFEITO!$M$2548*EFEITO!$Z$2548</f>
        <v>922.91967712818223</v>
      </c>
      <c r="O2548" s="83">
        <f>$L$2548-EFEITO!$O$2548*EFEITO!$AA$2548</f>
        <v>541.52520745760921</v>
      </c>
      <c r="P2548" s="61"/>
      <c r="Q2548" s="61"/>
      <c r="R2548" s="61"/>
      <c r="S2548" s="61"/>
      <c r="T2548" s="61"/>
      <c r="U2548" s="61"/>
      <c r="V2548" s="61"/>
      <c r="W2548" s="61"/>
      <c r="X2548" s="6"/>
      <c r="Y2548" s="6"/>
      <c r="Z2548" s="6"/>
      <c r="AA2548" s="6"/>
      <c r="AB2548" s="6"/>
      <c r="AC2548" s="6"/>
      <c r="AD2548" s="6"/>
      <c r="AE2548" s="6"/>
      <c r="AF2548" s="6"/>
      <c r="AG2548" s="6"/>
      <c r="AH2548" s="6"/>
      <c r="AI2548" s="6"/>
      <c r="AJ2548" s="6"/>
    </row>
    <row r="2549" spans="1:36" ht="11.25" customHeight="1" x14ac:dyDescent="0.2">
      <c r="A2549" s="57" t="s">
        <v>21</v>
      </c>
      <c r="B2549" s="57" t="s">
        <v>49</v>
      </c>
      <c r="C2549" s="57" t="s">
        <v>23</v>
      </c>
      <c r="D2549" s="57" t="s">
        <v>50</v>
      </c>
      <c r="E2549" s="57" t="s">
        <v>51</v>
      </c>
      <c r="F2549" s="57" t="s">
        <v>25</v>
      </c>
      <c r="G2549" s="57" t="s">
        <v>25</v>
      </c>
      <c r="H2549" s="57" t="s">
        <v>25</v>
      </c>
      <c r="I2549" s="82">
        <v>44136</v>
      </c>
      <c r="J2549" s="83">
        <f>EFEITO!$J$2549*EFEITO!$Y$2549</f>
        <v>0</v>
      </c>
      <c r="K2549" s="83">
        <f ca="1">EFEITO!$L$2549*EFEITO!$Z$2549</f>
        <v>3418680.9745589085</v>
      </c>
      <c r="L2549" s="83">
        <f>EFEITO!$N$2549*EFEITO!$AA$2549</f>
        <v>2005918.7921315341</v>
      </c>
      <c r="M2549" s="83">
        <f>$J$2549-EFEITO!$K$2549*EFEITO!$Y$2549</f>
        <v>0</v>
      </c>
      <c r="N2549" s="83">
        <f ca="1">$K$2549-EFEITO!$M$2549*EFEITO!$Z$2549</f>
        <v>0</v>
      </c>
      <c r="O2549" s="83">
        <f>$L$2549-EFEITO!$O$2549*EFEITO!$AA$2549</f>
        <v>0</v>
      </c>
      <c r="P2549" s="61"/>
      <c r="Q2549" s="61"/>
      <c r="R2549" s="61"/>
      <c r="S2549" s="61"/>
      <c r="T2549" s="61"/>
      <c r="U2549" s="61"/>
      <c r="V2549" s="61"/>
      <c r="W2549" s="61"/>
      <c r="X2549" s="6"/>
      <c r="Y2549" s="6"/>
      <c r="Z2549" s="6"/>
      <c r="AA2549" s="6"/>
      <c r="AB2549" s="6"/>
      <c r="AC2549" s="6"/>
      <c r="AD2549" s="6"/>
      <c r="AE2549" s="6"/>
      <c r="AF2549" s="6"/>
      <c r="AG2549" s="6"/>
      <c r="AH2549" s="6"/>
      <c r="AI2549" s="6"/>
      <c r="AJ2549" s="6"/>
    </row>
    <row r="2550" spans="1:36" ht="11.25" customHeight="1" x14ac:dyDescent="0.2">
      <c r="A2550" s="57" t="s">
        <v>28</v>
      </c>
      <c r="B2550" s="57" t="s">
        <v>49</v>
      </c>
      <c r="C2550" s="57" t="s">
        <v>23</v>
      </c>
      <c r="D2550" s="57" t="s">
        <v>50</v>
      </c>
      <c r="E2550" s="57" t="s">
        <v>51</v>
      </c>
      <c r="F2550" s="57" t="s">
        <v>25</v>
      </c>
      <c r="G2550" s="57" t="s">
        <v>25</v>
      </c>
      <c r="H2550" s="57" t="s">
        <v>25</v>
      </c>
      <c r="I2550" s="82">
        <v>44136</v>
      </c>
      <c r="J2550" s="83">
        <f>EFEITO!$J$2550*EFEITO!$Y$2550</f>
        <v>0</v>
      </c>
      <c r="K2550" s="83">
        <f ca="1">EFEITO!$L$2550*EFEITO!$Z$2550</f>
        <v>1592753.6751450433</v>
      </c>
      <c r="L2550" s="83">
        <f>EFEITO!$N$2550*EFEITO!$AA$2550</f>
        <v>934551.82042022212</v>
      </c>
      <c r="M2550" s="83">
        <f>$J$2550-EFEITO!$K$2550*EFEITO!$Y$2550</f>
        <v>0</v>
      </c>
      <c r="N2550" s="83">
        <f ca="1">$K$2550-EFEITO!$M$2550*EFEITO!$Z$2550</f>
        <v>0</v>
      </c>
      <c r="O2550" s="83">
        <f>$L$2550-EFEITO!$O$2550*EFEITO!$AA$2550</f>
        <v>0</v>
      </c>
      <c r="P2550" s="61"/>
      <c r="Q2550" s="61"/>
      <c r="R2550" s="61"/>
      <c r="S2550" s="61"/>
      <c r="T2550" s="61"/>
      <c r="U2550" s="61"/>
      <c r="V2550" s="61"/>
      <c r="W2550" s="61"/>
      <c r="X2550" s="6"/>
      <c r="Y2550" s="6"/>
      <c r="Z2550" s="6"/>
      <c r="AA2550" s="6"/>
      <c r="AB2550" s="6"/>
      <c r="AC2550" s="6"/>
      <c r="AD2550" s="6"/>
      <c r="AE2550" s="6"/>
      <c r="AF2550" s="6"/>
      <c r="AG2550" s="6"/>
      <c r="AH2550" s="6"/>
      <c r="AI2550" s="6"/>
      <c r="AJ2550" s="6"/>
    </row>
    <row r="2551" spans="1:36" ht="11.25" customHeight="1" x14ac:dyDescent="0.2">
      <c r="A2551" s="57" t="s">
        <v>21</v>
      </c>
      <c r="B2551" s="57" t="s">
        <v>49</v>
      </c>
      <c r="C2551" s="57" t="s">
        <v>23</v>
      </c>
      <c r="D2551" s="57" t="s">
        <v>50</v>
      </c>
      <c r="E2551" s="57" t="s">
        <v>51</v>
      </c>
      <c r="F2551" s="57" t="s">
        <v>25</v>
      </c>
      <c r="G2551" s="57" t="s">
        <v>25</v>
      </c>
      <c r="H2551" s="57" t="s">
        <v>25</v>
      </c>
      <c r="I2551" s="82">
        <v>44166</v>
      </c>
      <c r="J2551" s="83">
        <f>EFEITO!$J$2551*EFEITO!$Y$2551</f>
        <v>0</v>
      </c>
      <c r="K2551" s="83">
        <f ca="1">EFEITO!$L$2551*EFEITO!$Z$2551</f>
        <v>3526636.3593157874</v>
      </c>
      <c r="L2551" s="83">
        <f>EFEITO!$N$2551*EFEITO!$AA$2551</f>
        <v>2069261.8582459593</v>
      </c>
      <c r="M2551" s="83">
        <f>$J$2551-EFEITO!$K$2551*EFEITO!$Y$2551</f>
        <v>0</v>
      </c>
      <c r="N2551" s="83">
        <f ca="1">$K$2551-EFEITO!$M$2551*EFEITO!$Z$2551</f>
        <v>0</v>
      </c>
      <c r="O2551" s="83">
        <f>$L$2551-EFEITO!$O$2551*EFEITO!$AA$2551</f>
        <v>0</v>
      </c>
      <c r="P2551" s="61"/>
      <c r="Q2551" s="61"/>
      <c r="R2551" s="61"/>
      <c r="S2551" s="61"/>
      <c r="T2551" s="61"/>
      <c r="U2551" s="61"/>
      <c r="V2551" s="61"/>
      <c r="W2551" s="61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/>
      <c r="AJ2551" s="6"/>
    </row>
    <row r="2552" spans="1:36" ht="11.25" customHeight="1" x14ac:dyDescent="0.2">
      <c r="A2552" s="57" t="s">
        <v>28</v>
      </c>
      <c r="B2552" s="57" t="s">
        <v>49</v>
      </c>
      <c r="C2552" s="57" t="s">
        <v>23</v>
      </c>
      <c r="D2552" s="57" t="s">
        <v>50</v>
      </c>
      <c r="E2552" s="57" t="s">
        <v>51</v>
      </c>
      <c r="F2552" s="57" t="s">
        <v>25</v>
      </c>
      <c r="G2552" s="57" t="s">
        <v>25</v>
      </c>
      <c r="H2552" s="57" t="s">
        <v>25</v>
      </c>
      <c r="I2552" s="82">
        <v>44166</v>
      </c>
      <c r="J2552" s="83">
        <f>EFEITO!$J$2552*EFEITO!$Y$2552</f>
        <v>0</v>
      </c>
      <c r="K2552" s="83">
        <f ca="1">EFEITO!$L$2552*EFEITO!$Z$2552</f>
        <v>1649374.8692626753</v>
      </c>
      <c r="L2552" s="83">
        <f>EFEITO!$N$2552*EFEITO!$AA$2552</f>
        <v>967774.43410038261</v>
      </c>
      <c r="M2552" s="83">
        <f>$J$2552-EFEITO!$K$2552*EFEITO!$Y$2552</f>
        <v>0</v>
      </c>
      <c r="N2552" s="83">
        <f ca="1">$K$2552-EFEITO!$M$2552*EFEITO!$Z$2552</f>
        <v>0</v>
      </c>
      <c r="O2552" s="83">
        <f>$L$2552-EFEITO!$O$2552*EFEITO!$AA$2552</f>
        <v>0</v>
      </c>
      <c r="P2552" s="61"/>
      <c r="Q2552" s="61"/>
      <c r="R2552" s="61"/>
      <c r="S2552" s="61"/>
      <c r="T2552" s="61"/>
      <c r="U2552" s="61"/>
      <c r="V2552" s="61"/>
      <c r="W2552" s="61"/>
      <c r="X2552" s="6"/>
      <c r="Y2552" s="6"/>
      <c r="Z2552" s="6"/>
      <c r="AA2552" s="6"/>
      <c r="AB2552" s="6"/>
      <c r="AC2552" s="6"/>
      <c r="AD2552" s="6"/>
      <c r="AE2552" s="6"/>
      <c r="AF2552" s="6"/>
      <c r="AG2552" s="6"/>
      <c r="AH2552" s="6"/>
      <c r="AI2552" s="6"/>
      <c r="AJ2552" s="6"/>
    </row>
    <row r="2553" spans="1:36" ht="11.25" customHeight="1" x14ac:dyDescent="0.2">
      <c r="A2553" s="57" t="s">
        <v>21</v>
      </c>
      <c r="B2553" s="57" t="s">
        <v>49</v>
      </c>
      <c r="C2553" s="57" t="s">
        <v>23</v>
      </c>
      <c r="D2553" s="57" t="s">
        <v>50</v>
      </c>
      <c r="E2553" s="57" t="s">
        <v>51</v>
      </c>
      <c r="F2553" s="57" t="s">
        <v>25</v>
      </c>
      <c r="G2553" s="57" t="s">
        <v>25</v>
      </c>
      <c r="H2553" s="57" t="s">
        <v>25</v>
      </c>
      <c r="I2553" s="82">
        <v>44197</v>
      </c>
      <c r="J2553" s="83">
        <f>EFEITO!$J$2553*EFEITO!$Y$2553</f>
        <v>0</v>
      </c>
      <c r="K2553" s="83">
        <f ca="1">EFEITO!$L$2553*EFEITO!$Z$2553</f>
        <v>3537306.4784129332</v>
      </c>
      <c r="L2553" s="83">
        <f>EFEITO!$N$2553*EFEITO!$AA$2553</f>
        <v>2075522.5747534444</v>
      </c>
      <c r="M2553" s="83">
        <f>$J$2553-EFEITO!$K$2553*EFEITO!$Y$2553</f>
        <v>0</v>
      </c>
      <c r="N2553" s="83">
        <f ca="1">$K$2553-EFEITO!$M$2553*EFEITO!$Z$2553</f>
        <v>0</v>
      </c>
      <c r="O2553" s="83">
        <f>$L$2553-EFEITO!$O$2553*EFEITO!$AA$2553</f>
        <v>0</v>
      </c>
      <c r="P2553" s="61"/>
      <c r="Q2553" s="61"/>
      <c r="R2553" s="61"/>
      <c r="S2553" s="61"/>
      <c r="T2553" s="61"/>
      <c r="U2553" s="61"/>
      <c r="V2553" s="61"/>
      <c r="W2553" s="61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</row>
    <row r="2554" spans="1:36" ht="11.25" customHeight="1" x14ac:dyDescent="0.2">
      <c r="A2554" s="57" t="s">
        <v>28</v>
      </c>
      <c r="B2554" s="57" t="s">
        <v>49</v>
      </c>
      <c r="C2554" s="57" t="s">
        <v>23</v>
      </c>
      <c r="D2554" s="57" t="s">
        <v>50</v>
      </c>
      <c r="E2554" s="57" t="s">
        <v>51</v>
      </c>
      <c r="F2554" s="57" t="s">
        <v>25</v>
      </c>
      <c r="G2554" s="57" t="s">
        <v>25</v>
      </c>
      <c r="H2554" s="57" t="s">
        <v>25</v>
      </c>
      <c r="I2554" s="82">
        <v>44197</v>
      </c>
      <c r="J2554" s="83">
        <f>EFEITO!$J$2554*EFEITO!$Y$2554</f>
        <v>0</v>
      </c>
      <c r="K2554" s="83">
        <f ca="1">EFEITO!$L$2554*EFEITO!$Z$2554</f>
        <v>1650288.073889198</v>
      </c>
      <c r="L2554" s="83">
        <f>EFEITO!$N$2554*EFEITO!$AA$2554</f>
        <v>968310.25897992984</v>
      </c>
      <c r="M2554" s="83">
        <f>$J$2554-EFEITO!$K$2554*EFEITO!$Y$2554</f>
        <v>0</v>
      </c>
      <c r="N2554" s="83">
        <f ca="1">$K$2554-EFEITO!$M$2554*EFEITO!$Z$2554</f>
        <v>0</v>
      </c>
      <c r="O2554" s="83">
        <f>$L$2554-EFEITO!$O$2554*EFEITO!$AA$2554</f>
        <v>0</v>
      </c>
      <c r="P2554" s="61"/>
      <c r="Q2554" s="61"/>
      <c r="R2554" s="61"/>
      <c r="S2554" s="61"/>
      <c r="T2554" s="61"/>
      <c r="U2554" s="61"/>
      <c r="V2554" s="61"/>
      <c r="W2554" s="61"/>
      <c r="X2554" s="6"/>
      <c r="Y2554" s="6"/>
      <c r="Z2554" s="6"/>
      <c r="AA2554" s="6"/>
      <c r="AB2554" s="6"/>
      <c r="AC2554" s="6"/>
      <c r="AD2554" s="6"/>
      <c r="AE2554" s="6"/>
      <c r="AF2554" s="6"/>
      <c r="AG2554" s="6"/>
      <c r="AH2554" s="6"/>
      <c r="AI2554" s="6"/>
      <c r="AJ2554" s="6"/>
    </row>
    <row r="2555" spans="1:36" ht="11.25" customHeight="1" x14ac:dyDescent="0.2">
      <c r="A2555" s="57" t="s">
        <v>21</v>
      </c>
      <c r="B2555" s="57" t="s">
        <v>49</v>
      </c>
      <c r="C2555" s="57" t="s">
        <v>23</v>
      </c>
      <c r="D2555" s="57" t="s">
        <v>50</v>
      </c>
      <c r="E2555" s="57" t="s">
        <v>51</v>
      </c>
      <c r="F2555" s="57" t="s">
        <v>25</v>
      </c>
      <c r="G2555" s="57" t="s">
        <v>25</v>
      </c>
      <c r="H2555" s="57" t="s">
        <v>25</v>
      </c>
      <c r="I2555" s="82">
        <v>44228</v>
      </c>
      <c r="J2555" s="83">
        <f>EFEITO!$J$2555*EFEITO!$Y$2555</f>
        <v>0</v>
      </c>
      <c r="K2555" s="83">
        <f ca="1">EFEITO!$L$2555*EFEITO!$Z$2555</f>
        <v>3186565.6981778722</v>
      </c>
      <c r="L2555" s="83">
        <f>EFEITO!$N$2555*EFEITO!$AA$2555</f>
        <v>1869724.6288567348</v>
      </c>
      <c r="M2555" s="83">
        <f>$J$2555-EFEITO!$K$2555*EFEITO!$Y$2555</f>
        <v>0</v>
      </c>
      <c r="N2555" s="83">
        <f ca="1">$K$2555-EFEITO!$M$2555*EFEITO!$Z$2555</f>
        <v>0</v>
      </c>
      <c r="O2555" s="83">
        <f>$L$2555-EFEITO!$O$2555*EFEITO!$AA$2555</f>
        <v>0</v>
      </c>
      <c r="P2555" s="61"/>
      <c r="Q2555" s="61"/>
      <c r="R2555" s="61"/>
      <c r="S2555" s="61"/>
      <c r="T2555" s="61"/>
      <c r="U2555" s="61"/>
      <c r="V2555" s="61"/>
      <c r="W2555" s="61"/>
      <c r="X2555" s="6"/>
      <c r="Y2555" s="6"/>
      <c r="Z2555" s="6"/>
      <c r="AA2555" s="6"/>
      <c r="AB2555" s="6"/>
      <c r="AC2555" s="6"/>
      <c r="AD2555" s="6"/>
      <c r="AE2555" s="6"/>
      <c r="AF2555" s="6"/>
      <c r="AG2555" s="6"/>
      <c r="AH2555" s="6"/>
      <c r="AI2555" s="6"/>
      <c r="AJ2555" s="6"/>
    </row>
    <row r="2556" spans="1:36" ht="11.25" customHeight="1" x14ac:dyDescent="0.2">
      <c r="A2556" s="57" t="s">
        <v>28</v>
      </c>
      <c r="B2556" s="57" t="s">
        <v>49</v>
      </c>
      <c r="C2556" s="57" t="s">
        <v>23</v>
      </c>
      <c r="D2556" s="57" t="s">
        <v>50</v>
      </c>
      <c r="E2556" s="57" t="s">
        <v>51</v>
      </c>
      <c r="F2556" s="57" t="s">
        <v>25</v>
      </c>
      <c r="G2556" s="57" t="s">
        <v>25</v>
      </c>
      <c r="H2556" s="57" t="s">
        <v>25</v>
      </c>
      <c r="I2556" s="82">
        <v>44228</v>
      </c>
      <c r="J2556" s="83">
        <f>EFEITO!$J$2556*EFEITO!$Y$2556</f>
        <v>0</v>
      </c>
      <c r="K2556" s="83">
        <f ca="1">EFEITO!$L$2556*EFEITO!$Z$2556</f>
        <v>1492698.9869129308</v>
      </c>
      <c r="L2556" s="83">
        <f>EFEITO!$N$2556*EFEITO!$AA$2556</f>
        <v>875844.50585672981</v>
      </c>
      <c r="M2556" s="83">
        <f>$J$2556-EFEITO!$K$2556*EFEITO!$Y$2556</f>
        <v>0</v>
      </c>
      <c r="N2556" s="83">
        <f ca="1">$K$2556-EFEITO!$M$2556*EFEITO!$Z$2556</f>
        <v>0</v>
      </c>
      <c r="O2556" s="83">
        <f>$L$2556-EFEITO!$O$2556*EFEITO!$AA$2556</f>
        <v>0</v>
      </c>
      <c r="P2556" s="61"/>
      <c r="Q2556" s="61"/>
      <c r="R2556" s="61"/>
      <c r="S2556" s="61"/>
      <c r="T2556" s="61"/>
      <c r="U2556" s="61"/>
      <c r="V2556" s="61"/>
      <c r="W2556" s="61"/>
      <c r="X2556" s="6"/>
      <c r="Y2556" s="6"/>
      <c r="Z2556" s="6"/>
      <c r="AA2556" s="6"/>
      <c r="AB2556" s="6"/>
      <c r="AC2556" s="6"/>
      <c r="AD2556" s="6"/>
      <c r="AE2556" s="6"/>
      <c r="AF2556" s="6"/>
      <c r="AG2556" s="6"/>
      <c r="AH2556" s="6"/>
      <c r="AI2556" s="6"/>
      <c r="AJ2556" s="6"/>
    </row>
    <row r="2557" spans="1:36" ht="11.25" customHeight="1" x14ac:dyDescent="0.2">
      <c r="A2557" s="57" t="s">
        <v>21</v>
      </c>
      <c r="B2557" s="57" t="s">
        <v>49</v>
      </c>
      <c r="C2557" s="57" t="s">
        <v>23</v>
      </c>
      <c r="D2557" s="57" t="s">
        <v>50</v>
      </c>
      <c r="E2557" s="57" t="s">
        <v>51</v>
      </c>
      <c r="F2557" s="57" t="s">
        <v>25</v>
      </c>
      <c r="G2557" s="57" t="s">
        <v>25</v>
      </c>
      <c r="H2557" s="57" t="s">
        <v>25</v>
      </c>
      <c r="I2557" s="82">
        <v>44256</v>
      </c>
      <c r="J2557" s="83">
        <f>EFEITO!$J$2557*EFEITO!$Y$2557</f>
        <v>0</v>
      </c>
      <c r="K2557" s="83">
        <f ca="1">EFEITO!$L$2557*EFEITO!$Z$2557</f>
        <v>2924390.1659043171</v>
      </c>
      <c r="L2557" s="83">
        <f>EFEITO!$N$2557*EFEITO!$AA$2557</f>
        <v>1715892.5424648579</v>
      </c>
      <c r="M2557" s="83">
        <f>$J$2557-EFEITO!$K$2557*EFEITO!$Y$2557</f>
        <v>0</v>
      </c>
      <c r="N2557" s="83">
        <f ca="1">$K$2557-EFEITO!$M$2557*EFEITO!$Z$2557</f>
        <v>0</v>
      </c>
      <c r="O2557" s="83">
        <f>$L$2557-EFEITO!$O$2557*EFEITO!$AA$2557</f>
        <v>0</v>
      </c>
      <c r="P2557" s="61"/>
      <c r="Q2557" s="61"/>
      <c r="R2557" s="61"/>
      <c r="S2557" s="61"/>
      <c r="T2557" s="61"/>
      <c r="U2557" s="61"/>
      <c r="V2557" s="61"/>
      <c r="W2557" s="61"/>
      <c r="X2557" s="6"/>
      <c r="Y2557" s="6"/>
      <c r="Z2557" s="6"/>
      <c r="AA2557" s="6"/>
      <c r="AB2557" s="6"/>
      <c r="AC2557" s="6"/>
      <c r="AD2557" s="6"/>
      <c r="AE2557" s="6"/>
      <c r="AF2557" s="6"/>
      <c r="AG2557" s="6"/>
      <c r="AH2557" s="6"/>
      <c r="AI2557" s="6"/>
      <c r="AJ2557" s="6"/>
    </row>
    <row r="2558" spans="1:36" ht="11.25" customHeight="1" x14ac:dyDescent="0.2">
      <c r="A2558" s="57" t="s">
        <v>27</v>
      </c>
      <c r="B2558" s="57" t="s">
        <v>49</v>
      </c>
      <c r="C2558" s="57" t="s">
        <v>23</v>
      </c>
      <c r="D2558" s="57" t="s">
        <v>50</v>
      </c>
      <c r="E2558" s="57" t="s">
        <v>51</v>
      </c>
      <c r="F2558" s="57" t="s">
        <v>25</v>
      </c>
      <c r="G2558" s="57" t="s">
        <v>25</v>
      </c>
      <c r="H2558" s="57" t="s">
        <v>25</v>
      </c>
      <c r="I2558" s="82">
        <v>44256</v>
      </c>
      <c r="J2558" s="83">
        <f>EFEITO!$J$2558*EFEITO!$Y$2558</f>
        <v>0</v>
      </c>
      <c r="K2558" s="83">
        <f ca="1">EFEITO!$L$2558*EFEITO!$Z$2558</f>
        <v>-333127.46440001891</v>
      </c>
      <c r="L2558" s="83">
        <f>EFEITO!$N$2558*EFEITO!$AA$2558</f>
        <v>-195463.29300333257</v>
      </c>
      <c r="M2558" s="83">
        <f>$J$2558-EFEITO!$K$2558*EFEITO!$Y$2558</f>
        <v>0</v>
      </c>
      <c r="N2558" s="83">
        <f ca="1">$K$2558-EFEITO!$M$2558*EFEITO!$Z$2558</f>
        <v>0</v>
      </c>
      <c r="O2558" s="83">
        <f>$L$2558-EFEITO!$O$2558*EFEITO!$AA$2558</f>
        <v>0</v>
      </c>
      <c r="P2558" s="61"/>
      <c r="Q2558" s="61"/>
      <c r="R2558" s="61"/>
      <c r="S2558" s="61"/>
      <c r="T2558" s="61"/>
      <c r="U2558" s="61"/>
      <c r="V2558" s="61"/>
      <c r="W2558" s="61"/>
      <c r="X2558" s="6"/>
      <c r="Y2558" s="6"/>
      <c r="Z2558" s="6"/>
      <c r="AA2558" s="6"/>
      <c r="AB2558" s="6"/>
      <c r="AC2558" s="6"/>
      <c r="AD2558" s="6"/>
      <c r="AE2558" s="6"/>
      <c r="AF2558" s="6"/>
      <c r="AG2558" s="6"/>
      <c r="AH2558" s="6"/>
      <c r="AI2558" s="6"/>
      <c r="AJ2558" s="6"/>
    </row>
    <row r="2559" spans="1:36" ht="11.25" customHeight="1" x14ac:dyDescent="0.2">
      <c r="A2559" s="57" t="s">
        <v>28</v>
      </c>
      <c r="B2559" s="57" t="s">
        <v>49</v>
      </c>
      <c r="C2559" s="57" t="s">
        <v>23</v>
      </c>
      <c r="D2559" s="57" t="s">
        <v>50</v>
      </c>
      <c r="E2559" s="57" t="s">
        <v>51</v>
      </c>
      <c r="F2559" s="57" t="s">
        <v>25</v>
      </c>
      <c r="G2559" s="57" t="s">
        <v>25</v>
      </c>
      <c r="H2559" s="57" t="s">
        <v>25</v>
      </c>
      <c r="I2559" s="82">
        <v>44256</v>
      </c>
      <c r="J2559" s="83">
        <f>EFEITO!$J$2559*EFEITO!$Y$2559</f>
        <v>0</v>
      </c>
      <c r="K2559" s="83">
        <f ca="1">EFEITO!$L$2559*EFEITO!$Z$2559</f>
        <v>1659421.7916699094</v>
      </c>
      <c r="L2559" s="83">
        <f>EFEITO!$N$2559*EFEITO!$AA$2559</f>
        <v>973669.48854089191</v>
      </c>
      <c r="M2559" s="83">
        <f>$J$2559-EFEITO!$K$2559*EFEITO!$Y$2559</f>
        <v>0</v>
      </c>
      <c r="N2559" s="83">
        <f ca="1">$K$2559-EFEITO!$M$2559*EFEITO!$Z$2559</f>
        <v>0</v>
      </c>
      <c r="O2559" s="83">
        <f>$L$2559-EFEITO!$O$2559*EFEITO!$AA$2559</f>
        <v>0</v>
      </c>
      <c r="P2559" s="61"/>
      <c r="Q2559" s="61"/>
      <c r="R2559" s="61"/>
      <c r="S2559" s="61"/>
      <c r="T2559" s="61"/>
      <c r="U2559" s="61"/>
      <c r="V2559" s="61"/>
      <c r="W2559" s="61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</row>
    <row r="2560" spans="1:36" ht="11.25" customHeight="1" x14ac:dyDescent="0.2">
      <c r="A2560" s="57" t="s">
        <v>21</v>
      </c>
      <c r="B2560" s="57" t="s">
        <v>49</v>
      </c>
      <c r="C2560" s="57" t="s">
        <v>23</v>
      </c>
      <c r="D2560" s="57" t="s">
        <v>50</v>
      </c>
      <c r="E2560" s="57" t="s">
        <v>51</v>
      </c>
      <c r="F2560" s="57" t="s">
        <v>25</v>
      </c>
      <c r="G2560" s="57" t="s">
        <v>25</v>
      </c>
      <c r="H2560" s="57" t="s">
        <v>25</v>
      </c>
      <c r="I2560" s="82">
        <v>44287</v>
      </c>
      <c r="J2560" s="83">
        <f>EFEITO!$J$2560*EFEITO!$Y$2560</f>
        <v>0</v>
      </c>
      <c r="K2560" s="83">
        <f ca="1">EFEITO!$L$2560*EFEITO!$Z$2560</f>
        <v>2879602.4656612435</v>
      </c>
      <c r="L2560" s="83">
        <f>EFEITO!$N$2560*EFEITO!$AA$2560</f>
        <v>1689613.2580734484</v>
      </c>
      <c r="M2560" s="83">
        <f>$J$2560-EFEITO!$K$2560*EFEITO!$Y$2560</f>
        <v>0</v>
      </c>
      <c r="N2560" s="83">
        <f ca="1">$K$2560-EFEITO!$M$2560*EFEITO!$Z$2560</f>
        <v>0</v>
      </c>
      <c r="O2560" s="83">
        <f>$L$2560-EFEITO!$O$2560*EFEITO!$AA$2560</f>
        <v>0</v>
      </c>
      <c r="P2560" s="61"/>
      <c r="Q2560" s="61"/>
      <c r="R2560" s="61"/>
      <c r="S2560" s="61"/>
      <c r="T2560" s="61"/>
      <c r="U2560" s="61"/>
      <c r="V2560" s="61"/>
      <c r="W2560" s="61"/>
      <c r="X2560" s="6"/>
      <c r="Y2560" s="6"/>
      <c r="Z2560" s="6"/>
      <c r="AA2560" s="6"/>
      <c r="AB2560" s="6"/>
      <c r="AC2560" s="6"/>
      <c r="AD2560" s="6"/>
      <c r="AE2560" s="6"/>
      <c r="AF2560" s="6"/>
      <c r="AG2560" s="6"/>
      <c r="AH2560" s="6"/>
      <c r="AI2560" s="6"/>
      <c r="AJ2560" s="6"/>
    </row>
    <row r="2561" spans="1:36" ht="11.25" customHeight="1" x14ac:dyDescent="0.2">
      <c r="A2561" s="57" t="s">
        <v>27</v>
      </c>
      <c r="B2561" s="57" t="s">
        <v>49</v>
      </c>
      <c r="C2561" s="57" t="s">
        <v>23</v>
      </c>
      <c r="D2561" s="57" t="s">
        <v>50</v>
      </c>
      <c r="E2561" s="57" t="s">
        <v>51</v>
      </c>
      <c r="F2561" s="57" t="s">
        <v>25</v>
      </c>
      <c r="G2561" s="57" t="s">
        <v>25</v>
      </c>
      <c r="H2561" s="57" t="s">
        <v>25</v>
      </c>
      <c r="I2561" s="82">
        <v>44287</v>
      </c>
      <c r="J2561" s="83">
        <f>EFEITO!$J$2561*EFEITO!$Y$2561</f>
        <v>0</v>
      </c>
      <c r="K2561" s="83">
        <f ca="1">EFEITO!$L$2561*EFEITO!$Z$2561</f>
        <v>-177.18064138755625</v>
      </c>
      <c r="L2561" s="83">
        <f>EFEITO!$N$2561*EFEITO!$AA$2561</f>
        <v>-103.96114197437616</v>
      </c>
      <c r="M2561" s="83">
        <f>$J$2561-EFEITO!$K$2561*EFEITO!$Y$2561</f>
        <v>0</v>
      </c>
      <c r="N2561" s="83">
        <f ca="1">$K$2561-EFEITO!$M$2561*EFEITO!$Z$2561</f>
        <v>0</v>
      </c>
      <c r="O2561" s="83">
        <f>$L$2561-EFEITO!$O$2561*EFEITO!$AA$2561</f>
        <v>0</v>
      </c>
      <c r="P2561" s="61"/>
      <c r="Q2561" s="61"/>
      <c r="R2561" s="61"/>
      <c r="S2561" s="61"/>
      <c r="T2561" s="61"/>
      <c r="U2561" s="61"/>
      <c r="V2561" s="61"/>
      <c r="W2561" s="61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</row>
    <row r="2562" spans="1:36" ht="11.25" customHeight="1" x14ac:dyDescent="0.2">
      <c r="A2562" s="57" t="s">
        <v>28</v>
      </c>
      <c r="B2562" s="57" t="s">
        <v>49</v>
      </c>
      <c r="C2562" s="57" t="s">
        <v>23</v>
      </c>
      <c r="D2562" s="57" t="s">
        <v>50</v>
      </c>
      <c r="E2562" s="57" t="s">
        <v>51</v>
      </c>
      <c r="F2562" s="57" t="s">
        <v>25</v>
      </c>
      <c r="G2562" s="57" t="s">
        <v>25</v>
      </c>
      <c r="H2562" s="57" t="s">
        <v>25</v>
      </c>
      <c r="I2562" s="82">
        <v>44287</v>
      </c>
      <c r="J2562" s="83">
        <f>EFEITO!$J$2562*EFEITO!$Y$2562</f>
        <v>0</v>
      </c>
      <c r="K2562" s="83">
        <f ca="1">EFEITO!$L$2562*EFEITO!$Z$2562</f>
        <v>1610377.0200729943</v>
      </c>
      <c r="L2562" s="83">
        <f>EFEITO!$N$2562*EFEITO!$AA$2562</f>
        <v>944892.35790654144</v>
      </c>
      <c r="M2562" s="83">
        <f>$J$2562-EFEITO!$K$2562*EFEITO!$Y$2562</f>
        <v>0</v>
      </c>
      <c r="N2562" s="83">
        <f ca="1">$K$2562-EFEITO!$M$2562*EFEITO!$Z$2562</f>
        <v>0</v>
      </c>
      <c r="O2562" s="83">
        <f>$L$2562-EFEITO!$O$2562*EFEITO!$AA$2562</f>
        <v>0</v>
      </c>
      <c r="P2562" s="61"/>
      <c r="Q2562" s="61"/>
      <c r="R2562" s="61"/>
      <c r="S2562" s="61"/>
      <c r="T2562" s="61"/>
      <c r="U2562" s="61"/>
      <c r="V2562" s="61"/>
      <c r="W2562" s="61"/>
      <c r="X2562" s="6"/>
      <c r="Y2562" s="6"/>
      <c r="Z2562" s="6"/>
      <c r="AA2562" s="6"/>
      <c r="AB2562" s="6"/>
      <c r="AC2562" s="6"/>
      <c r="AD2562" s="6"/>
      <c r="AE2562" s="6"/>
      <c r="AF2562" s="6"/>
      <c r="AG2562" s="6"/>
      <c r="AH2562" s="6"/>
      <c r="AI2562" s="6"/>
      <c r="AJ2562" s="6"/>
    </row>
    <row r="2563" spans="1:36" ht="11.25" customHeight="1" x14ac:dyDescent="0.2">
      <c r="A2563" s="57" t="s">
        <v>21</v>
      </c>
      <c r="B2563" s="57" t="s">
        <v>49</v>
      </c>
      <c r="C2563" s="57" t="s">
        <v>23</v>
      </c>
      <c r="D2563" s="57" t="s">
        <v>50</v>
      </c>
      <c r="E2563" s="57" t="s">
        <v>51</v>
      </c>
      <c r="F2563" s="57" t="s">
        <v>25</v>
      </c>
      <c r="G2563" s="57" t="s">
        <v>25</v>
      </c>
      <c r="H2563" s="57" t="s">
        <v>25</v>
      </c>
      <c r="I2563" s="82">
        <v>44317</v>
      </c>
      <c r="J2563" s="83">
        <f>EFEITO!$J$2563*EFEITO!$Y$2563</f>
        <v>0</v>
      </c>
      <c r="K2563" s="83">
        <f ca="1">EFEITO!$L$2563*EFEITO!$Z$2563</f>
        <v>2975550.5189331458</v>
      </c>
      <c r="L2563" s="83">
        <f>EFEITO!$N$2563*EFEITO!$AA$2563</f>
        <v>1745910.995288129</v>
      </c>
      <c r="M2563" s="83">
        <f>$J$2563-EFEITO!$K$2563*EFEITO!$Y$2563</f>
        <v>0</v>
      </c>
      <c r="N2563" s="83">
        <f ca="1">$K$2563-EFEITO!$M$2563*EFEITO!$Z$2563</f>
        <v>0</v>
      </c>
      <c r="O2563" s="83">
        <f>$L$2563-EFEITO!$O$2563*EFEITO!$AA$2563</f>
        <v>0</v>
      </c>
      <c r="P2563" s="61"/>
      <c r="Q2563" s="61"/>
      <c r="R2563" s="61"/>
      <c r="S2563" s="61"/>
      <c r="T2563" s="61"/>
      <c r="U2563" s="61"/>
      <c r="V2563" s="61"/>
      <c r="W2563" s="61"/>
      <c r="X2563" s="6"/>
      <c r="Y2563" s="6"/>
      <c r="Z2563" s="6"/>
      <c r="AA2563" s="6"/>
      <c r="AB2563" s="6"/>
      <c r="AC2563" s="6"/>
      <c r="AD2563" s="6"/>
      <c r="AE2563" s="6"/>
      <c r="AF2563" s="6"/>
      <c r="AG2563" s="6"/>
      <c r="AH2563" s="6"/>
      <c r="AI2563" s="6"/>
      <c r="AJ2563" s="6"/>
    </row>
    <row r="2564" spans="1:36" ht="11.25" customHeight="1" x14ac:dyDescent="0.2">
      <c r="A2564" s="57" t="s">
        <v>28</v>
      </c>
      <c r="B2564" s="57" t="s">
        <v>49</v>
      </c>
      <c r="C2564" s="57" t="s">
        <v>23</v>
      </c>
      <c r="D2564" s="57" t="s">
        <v>50</v>
      </c>
      <c r="E2564" s="57" t="s">
        <v>51</v>
      </c>
      <c r="F2564" s="57" t="s">
        <v>25</v>
      </c>
      <c r="G2564" s="57" t="s">
        <v>25</v>
      </c>
      <c r="H2564" s="57" t="s">
        <v>25</v>
      </c>
      <c r="I2564" s="82">
        <v>44317</v>
      </c>
      <c r="J2564" s="83">
        <f>EFEITO!$J$2564*EFEITO!$Y$2564</f>
        <v>0</v>
      </c>
      <c r="K2564" s="83">
        <f ca="1">EFEITO!$L$2564*EFEITO!$Z$2564</f>
        <v>1736597.3331180683</v>
      </c>
      <c r="L2564" s="83">
        <f>EFEITO!$N$2564*EFEITO!$AA$2564</f>
        <v>1018952.4119946554</v>
      </c>
      <c r="M2564" s="83">
        <f>$J$2564-EFEITO!$K$2564*EFEITO!$Y$2564</f>
        <v>0</v>
      </c>
      <c r="N2564" s="83">
        <f ca="1">$K$2564-EFEITO!$M$2564*EFEITO!$Z$2564</f>
        <v>0</v>
      </c>
      <c r="O2564" s="83">
        <f>$L$2564-EFEITO!$O$2564*EFEITO!$AA$2564</f>
        <v>0</v>
      </c>
      <c r="P2564" s="61"/>
      <c r="Q2564" s="61"/>
      <c r="R2564" s="61"/>
      <c r="S2564" s="61"/>
      <c r="T2564" s="61"/>
      <c r="U2564" s="61"/>
      <c r="V2564" s="61"/>
      <c r="W2564" s="61"/>
      <c r="X2564" s="6"/>
      <c r="Y2564" s="6"/>
      <c r="Z2564" s="6"/>
      <c r="AA2564" s="6"/>
      <c r="AB2564" s="6"/>
      <c r="AC2564" s="6"/>
      <c r="AD2564" s="6"/>
      <c r="AE2564" s="6"/>
      <c r="AF2564" s="6"/>
      <c r="AG2564" s="6"/>
      <c r="AH2564" s="6"/>
      <c r="AI2564" s="6"/>
      <c r="AJ2564" s="6"/>
    </row>
    <row r="2565" spans="1:36" ht="11.25" customHeight="1" x14ac:dyDescent="0.2">
      <c r="A2565" s="57" t="s">
        <v>29</v>
      </c>
      <c r="B2565" s="57" t="s">
        <v>49</v>
      </c>
      <c r="C2565" s="57" t="s">
        <v>23</v>
      </c>
      <c r="D2565" s="57" t="s">
        <v>50</v>
      </c>
      <c r="E2565" s="57" t="s">
        <v>51</v>
      </c>
      <c r="F2565" s="57" t="s">
        <v>25</v>
      </c>
      <c r="G2565" s="57" t="s">
        <v>25</v>
      </c>
      <c r="H2565" s="57" t="s">
        <v>25</v>
      </c>
      <c r="I2565" s="82">
        <v>44317</v>
      </c>
      <c r="J2565" s="83">
        <f>EFEITO!$J$2565*EFEITO!$Y$2565</f>
        <v>0</v>
      </c>
      <c r="K2565" s="83">
        <f ca="1">EFEITO!$L$2565*EFEITO!$Z$2565</f>
        <v>5278.9244868754777</v>
      </c>
      <c r="L2565" s="83">
        <f>EFEITO!$N$2565*EFEITO!$AA$2565</f>
        <v>3097.4208793592043</v>
      </c>
      <c r="M2565" s="83">
        <f>$J$2565-EFEITO!$K$2565*EFEITO!$Y$2565</f>
        <v>0</v>
      </c>
      <c r="N2565" s="83">
        <f ca="1">$K$2565-EFEITO!$M$2565*EFEITO!$Z$2565</f>
        <v>0</v>
      </c>
      <c r="O2565" s="83">
        <f>$L$2565-EFEITO!$O$2565*EFEITO!$AA$2565</f>
        <v>0</v>
      </c>
      <c r="P2565" s="61"/>
      <c r="Q2565" s="61"/>
      <c r="R2565" s="61"/>
      <c r="S2565" s="61"/>
      <c r="T2565" s="61"/>
      <c r="U2565" s="61"/>
      <c r="V2565" s="61"/>
      <c r="W2565" s="61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</row>
    <row r="2566" spans="1:36" ht="11.25" customHeight="1" x14ac:dyDescent="0.2">
      <c r="A2566" s="57" t="s">
        <v>21</v>
      </c>
      <c r="B2566" s="57" t="s">
        <v>49</v>
      </c>
      <c r="C2566" s="57" t="s">
        <v>23</v>
      </c>
      <c r="D2566" s="57" t="s">
        <v>50</v>
      </c>
      <c r="E2566" s="57" t="s">
        <v>51</v>
      </c>
      <c r="F2566" s="57" t="s">
        <v>25</v>
      </c>
      <c r="G2566" s="57" t="s">
        <v>25</v>
      </c>
      <c r="H2566" s="57" t="s">
        <v>25</v>
      </c>
      <c r="I2566" s="82">
        <v>44348</v>
      </c>
      <c r="J2566" s="83">
        <f>EFEITO!$J$2566*EFEITO!$Y$2566</f>
        <v>0</v>
      </c>
      <c r="K2566" s="83">
        <f ca="1">EFEITO!$L$2566*EFEITO!$Z$2566</f>
        <v>2865761.2031035405</v>
      </c>
      <c r="L2566" s="83">
        <f>EFEITO!$N$2566*EFEITO!$AA$2566</f>
        <v>1681491.8659699031</v>
      </c>
      <c r="M2566" s="83">
        <f>$J$2566-EFEITO!$K$2566*EFEITO!$Y$2566</f>
        <v>0</v>
      </c>
      <c r="N2566" s="83">
        <f ca="1">$K$2566-EFEITO!$M$2566*EFEITO!$Z$2566</f>
        <v>0</v>
      </c>
      <c r="O2566" s="83">
        <f>$L$2566-EFEITO!$O$2566*EFEITO!$AA$2566</f>
        <v>0</v>
      </c>
      <c r="P2566" s="61"/>
      <c r="Q2566" s="61"/>
      <c r="R2566" s="61"/>
      <c r="S2566" s="61"/>
      <c r="T2566" s="61"/>
      <c r="U2566" s="61"/>
      <c r="V2566" s="61"/>
      <c r="W2566" s="61"/>
      <c r="X2566" s="6"/>
      <c r="Y2566" s="6"/>
      <c r="Z2566" s="6"/>
      <c r="AA2566" s="6"/>
      <c r="AB2566" s="6"/>
      <c r="AC2566" s="6"/>
      <c r="AD2566" s="6"/>
      <c r="AE2566" s="6"/>
      <c r="AF2566" s="6"/>
      <c r="AG2566" s="6"/>
      <c r="AH2566" s="6"/>
      <c r="AI2566" s="6"/>
      <c r="AJ2566" s="6"/>
    </row>
    <row r="2567" spans="1:36" ht="11.25" customHeight="1" x14ac:dyDescent="0.2">
      <c r="A2567" s="57" t="s">
        <v>28</v>
      </c>
      <c r="B2567" s="57" t="s">
        <v>49</v>
      </c>
      <c r="C2567" s="57" t="s">
        <v>23</v>
      </c>
      <c r="D2567" s="57" t="s">
        <v>50</v>
      </c>
      <c r="E2567" s="57" t="s">
        <v>51</v>
      </c>
      <c r="F2567" s="57" t="s">
        <v>25</v>
      </c>
      <c r="G2567" s="57" t="s">
        <v>25</v>
      </c>
      <c r="H2567" s="57" t="s">
        <v>25</v>
      </c>
      <c r="I2567" s="82">
        <v>44348</v>
      </c>
      <c r="J2567" s="83">
        <f>EFEITO!$J$2567*EFEITO!$Y$2567</f>
        <v>0</v>
      </c>
      <c r="K2567" s="83">
        <f ca="1">EFEITO!$L$2567*EFEITO!$Z$2567</f>
        <v>1702368.5961924025</v>
      </c>
      <c r="L2567" s="83">
        <f>EFEITO!$N$2567*EFEITO!$AA$2567</f>
        <v>998868.6232056244</v>
      </c>
      <c r="M2567" s="83">
        <f>$J$2567-EFEITO!$K$2567*EFEITO!$Y$2567</f>
        <v>0</v>
      </c>
      <c r="N2567" s="83">
        <f ca="1">$K$2567-EFEITO!$M$2567*EFEITO!$Z$2567</f>
        <v>0</v>
      </c>
      <c r="O2567" s="83">
        <f>$L$2567-EFEITO!$O$2567*EFEITO!$AA$2567</f>
        <v>0</v>
      </c>
      <c r="P2567" s="61"/>
      <c r="Q2567" s="61"/>
      <c r="R2567" s="61"/>
      <c r="S2567" s="61"/>
      <c r="T2567" s="61"/>
      <c r="U2567" s="61"/>
      <c r="V2567" s="61"/>
      <c r="W2567" s="61"/>
      <c r="X2567" s="6"/>
      <c r="Y2567" s="6"/>
      <c r="Z2567" s="6"/>
      <c r="AA2567" s="6"/>
      <c r="AB2567" s="6"/>
      <c r="AC2567" s="6"/>
      <c r="AD2567" s="6"/>
      <c r="AE2567" s="6"/>
      <c r="AF2567" s="6"/>
      <c r="AG2567" s="6"/>
      <c r="AH2567" s="6"/>
      <c r="AI2567" s="6"/>
      <c r="AJ2567" s="6"/>
    </row>
    <row r="2568" spans="1:36" ht="11.25" customHeight="1" x14ac:dyDescent="0.2">
      <c r="A2568" s="57" t="s">
        <v>21</v>
      </c>
      <c r="B2568" s="57" t="s">
        <v>49</v>
      </c>
      <c r="C2568" s="57" t="s">
        <v>23</v>
      </c>
      <c r="D2568" s="57" t="s">
        <v>50</v>
      </c>
      <c r="E2568" s="57" t="s">
        <v>51</v>
      </c>
      <c r="F2568" s="57" t="s">
        <v>25</v>
      </c>
      <c r="G2568" s="57" t="s">
        <v>25</v>
      </c>
      <c r="H2568" s="57" t="s">
        <v>25</v>
      </c>
      <c r="I2568" s="82">
        <v>44378</v>
      </c>
      <c r="J2568" s="83">
        <f>EFEITO!$J$2568*EFEITO!$Y$2568</f>
        <v>0</v>
      </c>
      <c r="K2568" s="83">
        <f ca="1">EFEITO!$L$2568*EFEITO!$Z$2568</f>
        <v>3008653.768765721</v>
      </c>
      <c r="L2568" s="83">
        <f>EFEITO!$N$2568*EFEITO!$AA$2568</f>
        <v>1765334.4019803416</v>
      </c>
      <c r="M2568" s="83">
        <f>$J$2568-EFEITO!$K$2568*EFEITO!$Y$2568</f>
        <v>0</v>
      </c>
      <c r="N2568" s="83">
        <f ca="1">$K$2568-EFEITO!$M$2568*EFEITO!$Z$2568</f>
        <v>0</v>
      </c>
      <c r="O2568" s="83">
        <f>$L$2568-EFEITO!$O$2568*EFEITO!$AA$2568</f>
        <v>0</v>
      </c>
      <c r="P2568" s="61"/>
      <c r="Q2568" s="61"/>
      <c r="R2568" s="61"/>
      <c r="S2568" s="61"/>
      <c r="T2568" s="61"/>
      <c r="U2568" s="61"/>
      <c r="V2568" s="61"/>
      <c r="W2568" s="61"/>
      <c r="X2568" s="6"/>
      <c r="Y2568" s="6"/>
      <c r="Z2568" s="6"/>
      <c r="AA2568" s="6"/>
      <c r="AB2568" s="6"/>
      <c r="AC2568" s="6"/>
      <c r="AD2568" s="6"/>
      <c r="AE2568" s="6"/>
      <c r="AF2568" s="6"/>
      <c r="AG2568" s="6"/>
      <c r="AH2568" s="6"/>
      <c r="AI2568" s="6"/>
      <c r="AJ2568" s="6"/>
    </row>
    <row r="2569" spans="1:36" ht="11.25" customHeight="1" x14ac:dyDescent="0.2">
      <c r="A2569" s="57" t="s">
        <v>28</v>
      </c>
      <c r="B2569" s="57" t="s">
        <v>49</v>
      </c>
      <c r="C2569" s="57" t="s">
        <v>23</v>
      </c>
      <c r="D2569" s="57" t="s">
        <v>50</v>
      </c>
      <c r="E2569" s="57" t="s">
        <v>51</v>
      </c>
      <c r="F2569" s="57" t="s">
        <v>25</v>
      </c>
      <c r="G2569" s="57" t="s">
        <v>25</v>
      </c>
      <c r="H2569" s="57" t="s">
        <v>25</v>
      </c>
      <c r="I2569" s="82">
        <v>44378</v>
      </c>
      <c r="J2569" s="83">
        <f>EFEITO!$J$2569*EFEITO!$Y$2569</f>
        <v>0</v>
      </c>
      <c r="K2569" s="83">
        <f ca="1">EFEITO!$L$2569*EFEITO!$Z$2569</f>
        <v>1764078.162031644</v>
      </c>
      <c r="L2569" s="83">
        <f>EFEITO!$N$2569*EFEITO!$AA$2569</f>
        <v>1035076.8504992472</v>
      </c>
      <c r="M2569" s="83">
        <f>$J$2569-EFEITO!$K$2569*EFEITO!$Y$2569</f>
        <v>0</v>
      </c>
      <c r="N2569" s="83">
        <f ca="1">$K$2569-EFEITO!$M$2569*EFEITO!$Z$2569</f>
        <v>0</v>
      </c>
      <c r="O2569" s="83">
        <f>$L$2569-EFEITO!$O$2569*EFEITO!$AA$2569</f>
        <v>0</v>
      </c>
      <c r="P2569" s="61"/>
      <c r="Q2569" s="61"/>
      <c r="R2569" s="61"/>
      <c r="S2569" s="61"/>
      <c r="T2569" s="61"/>
      <c r="U2569" s="61"/>
      <c r="V2569" s="61"/>
      <c r="W2569" s="61"/>
      <c r="X2569" s="6"/>
      <c r="Y2569" s="6"/>
      <c r="Z2569" s="6"/>
      <c r="AA2569" s="6"/>
      <c r="AB2569" s="6"/>
      <c r="AC2569" s="6"/>
      <c r="AD2569" s="6"/>
      <c r="AE2569" s="6"/>
      <c r="AF2569" s="6"/>
      <c r="AG2569" s="6"/>
      <c r="AH2569" s="6"/>
      <c r="AI2569" s="6"/>
      <c r="AJ2569" s="6"/>
    </row>
    <row r="2570" spans="1:36" ht="11.25" customHeight="1" x14ac:dyDescent="0.2">
      <c r="A2570" s="57" t="s">
        <v>21</v>
      </c>
      <c r="B2570" s="57" t="s">
        <v>49</v>
      </c>
      <c r="C2570" s="57" t="s">
        <v>23</v>
      </c>
      <c r="D2570" s="57" t="s">
        <v>50</v>
      </c>
      <c r="E2570" s="57" t="s">
        <v>51</v>
      </c>
      <c r="F2570" s="57" t="s">
        <v>25</v>
      </c>
      <c r="G2570" s="57" t="s">
        <v>25</v>
      </c>
      <c r="H2570" s="57" t="s">
        <v>25</v>
      </c>
      <c r="I2570" s="82">
        <v>44409</v>
      </c>
      <c r="J2570" s="83">
        <f>EFEITO!$J$2570*EFEITO!$Y$2570</f>
        <v>0</v>
      </c>
      <c r="K2570" s="83">
        <f ca="1">EFEITO!$L$2570*EFEITO!$Z$2570</f>
        <v>2912251.3418678702</v>
      </c>
      <c r="L2570" s="83">
        <f>EFEITO!$N$2570*EFEITO!$AA$2570</f>
        <v>1708770.0600132078</v>
      </c>
      <c r="M2570" s="83">
        <f>$J$2570-EFEITO!$K$2570*EFEITO!$Y$2570</f>
        <v>0</v>
      </c>
      <c r="N2570" s="83">
        <f ca="1">$K$2570-EFEITO!$M$2570*EFEITO!$Z$2570</f>
        <v>0</v>
      </c>
      <c r="O2570" s="83">
        <f>$L$2570-EFEITO!$O$2570*EFEITO!$AA$2570</f>
        <v>0</v>
      </c>
      <c r="P2570" s="61"/>
      <c r="Q2570" s="61"/>
      <c r="R2570" s="61"/>
      <c r="S2570" s="61"/>
      <c r="T2570" s="61"/>
      <c r="U2570" s="61"/>
      <c r="V2570" s="61"/>
      <c r="W2570" s="61"/>
      <c r="X2570" s="6"/>
      <c r="Y2570" s="6"/>
      <c r="Z2570" s="6"/>
      <c r="AA2570" s="6"/>
      <c r="AB2570" s="6"/>
      <c r="AC2570" s="6"/>
      <c r="AD2570" s="6"/>
      <c r="AE2570" s="6"/>
      <c r="AF2570" s="6"/>
      <c r="AG2570" s="6"/>
      <c r="AH2570" s="6"/>
      <c r="AI2570" s="6"/>
      <c r="AJ2570" s="6"/>
    </row>
    <row r="2571" spans="1:36" ht="11.25" customHeight="1" x14ac:dyDescent="0.2">
      <c r="A2571" s="57" t="s">
        <v>28</v>
      </c>
      <c r="B2571" s="57" t="s">
        <v>49</v>
      </c>
      <c r="C2571" s="57" t="s">
        <v>23</v>
      </c>
      <c r="D2571" s="57" t="s">
        <v>50</v>
      </c>
      <c r="E2571" s="57" t="s">
        <v>51</v>
      </c>
      <c r="F2571" s="57" t="s">
        <v>25</v>
      </c>
      <c r="G2571" s="57" t="s">
        <v>25</v>
      </c>
      <c r="H2571" s="57" t="s">
        <v>25</v>
      </c>
      <c r="I2571" s="82">
        <v>44409</v>
      </c>
      <c r="J2571" s="83">
        <f>EFEITO!$J$2571*EFEITO!$Y$2571</f>
        <v>0</v>
      </c>
      <c r="K2571" s="83">
        <f ca="1">EFEITO!$L$2571*EFEITO!$Z$2571</f>
        <v>1762588.2845628695</v>
      </c>
      <c r="L2571" s="83">
        <f>EFEITO!$N$2571*EFEITO!$AA$2571</f>
        <v>1034202.6615255381</v>
      </c>
      <c r="M2571" s="83">
        <f>$J$2571-EFEITO!$K$2571*EFEITO!$Y$2571</f>
        <v>0</v>
      </c>
      <c r="N2571" s="83">
        <f ca="1">$K$2571-EFEITO!$M$2571*EFEITO!$Z$2571</f>
        <v>0</v>
      </c>
      <c r="O2571" s="83">
        <f>$L$2571-EFEITO!$O$2571*EFEITO!$AA$2571</f>
        <v>0</v>
      </c>
      <c r="P2571" s="61"/>
      <c r="Q2571" s="61"/>
      <c r="R2571" s="61"/>
      <c r="S2571" s="61"/>
      <c r="T2571" s="61"/>
      <c r="U2571" s="61"/>
      <c r="V2571" s="61"/>
      <c r="W2571" s="61"/>
      <c r="X2571" s="6"/>
      <c r="Y2571" s="6"/>
      <c r="Z2571" s="6"/>
      <c r="AA2571" s="6"/>
      <c r="AB2571" s="6"/>
      <c r="AC2571" s="6"/>
      <c r="AD2571" s="6"/>
      <c r="AE2571" s="6"/>
      <c r="AF2571" s="6"/>
      <c r="AG2571" s="6"/>
      <c r="AH2571" s="6"/>
      <c r="AI2571" s="6"/>
      <c r="AJ2571" s="6"/>
    </row>
    <row r="2572" spans="1:36" ht="11.25" customHeight="1" x14ac:dyDescent="0.2">
      <c r="A2572" s="57" t="s">
        <v>29</v>
      </c>
      <c r="B2572" s="57" t="s">
        <v>49</v>
      </c>
      <c r="C2572" s="57" t="s">
        <v>23</v>
      </c>
      <c r="D2572" s="57" t="s">
        <v>50</v>
      </c>
      <c r="E2572" s="57" t="s">
        <v>51</v>
      </c>
      <c r="F2572" s="57" t="s">
        <v>25</v>
      </c>
      <c r="G2572" s="57" t="s">
        <v>25</v>
      </c>
      <c r="H2572" s="57" t="s">
        <v>25</v>
      </c>
      <c r="I2572" s="82">
        <v>44409</v>
      </c>
      <c r="J2572" s="83">
        <f>EFEITO!$J$2572*EFEITO!$Y$2572</f>
        <v>0</v>
      </c>
      <c r="K2572" s="83">
        <f ca="1">EFEITO!$L$2572*EFEITO!$Z$2572</f>
        <v>-87.197391123121236</v>
      </c>
      <c r="L2572" s="83">
        <f>EFEITO!$N$2572*EFEITO!$AA$2572</f>
        <v>-51.163266411917824</v>
      </c>
      <c r="M2572" s="83">
        <f>$J$2572-EFEITO!$K$2572*EFEITO!$Y$2572</f>
        <v>0</v>
      </c>
      <c r="N2572" s="83">
        <f ca="1">$K$2572-EFEITO!$M$2572*EFEITO!$Z$2572</f>
        <v>0</v>
      </c>
      <c r="O2572" s="83">
        <f>$L$2572-EFEITO!$O$2572*EFEITO!$AA$2572</f>
        <v>0</v>
      </c>
      <c r="P2572" s="61"/>
      <c r="Q2572" s="61"/>
      <c r="R2572" s="61"/>
      <c r="S2572" s="61"/>
      <c r="T2572" s="61"/>
      <c r="U2572" s="61"/>
      <c r="V2572" s="61"/>
      <c r="W2572" s="61"/>
      <c r="X2572" s="6"/>
      <c r="Y2572" s="6"/>
      <c r="Z2572" s="6"/>
      <c r="AA2572" s="6"/>
      <c r="AB2572" s="6"/>
      <c r="AC2572" s="6"/>
      <c r="AD2572" s="6"/>
      <c r="AE2572" s="6"/>
      <c r="AF2572" s="6"/>
      <c r="AG2572" s="6"/>
      <c r="AH2572" s="6"/>
      <c r="AI2572" s="6"/>
      <c r="AJ2572" s="6"/>
    </row>
    <row r="2573" spans="1:36" ht="11.25" customHeight="1" x14ac:dyDescent="0.2">
      <c r="A2573" s="57" t="s">
        <v>21</v>
      </c>
      <c r="B2573" s="57" t="s">
        <v>49</v>
      </c>
      <c r="C2573" s="57" t="s">
        <v>23</v>
      </c>
      <c r="D2573" s="57" t="s">
        <v>50</v>
      </c>
      <c r="E2573" s="57" t="s">
        <v>51</v>
      </c>
      <c r="F2573" s="57" t="s">
        <v>25</v>
      </c>
      <c r="G2573" s="57" t="s">
        <v>25</v>
      </c>
      <c r="H2573" s="57" t="s">
        <v>25</v>
      </c>
      <c r="I2573" s="82">
        <v>44440</v>
      </c>
      <c r="J2573" s="83">
        <f>EFEITO!$J$2573*EFEITO!$Y$2573</f>
        <v>0</v>
      </c>
      <c r="K2573" s="83">
        <f ca="1">EFEITO!$L$2573*EFEITO!$Z$2573</f>
        <v>2422687.0218324321</v>
      </c>
      <c r="L2573" s="83">
        <f>EFEITO!$N$2573*EFEITO!$AA$2573</f>
        <v>1421517.0882313387</v>
      </c>
      <c r="M2573" s="83">
        <f>$J$2573-EFEITO!$K$2573*EFEITO!$Y$2573</f>
        <v>0</v>
      </c>
      <c r="N2573" s="83">
        <f ca="1">$K$2573-EFEITO!$M$2573*EFEITO!$Z$2573</f>
        <v>0</v>
      </c>
      <c r="O2573" s="83">
        <f>$L$2573-EFEITO!$O$2573*EFEITO!$AA$2573</f>
        <v>0</v>
      </c>
      <c r="P2573" s="61"/>
      <c r="Q2573" s="61"/>
      <c r="R2573" s="61"/>
      <c r="S2573" s="61"/>
      <c r="T2573" s="61"/>
      <c r="U2573" s="61"/>
      <c r="V2573" s="61"/>
      <c r="W2573" s="61"/>
      <c r="X2573" s="6"/>
      <c r="Y2573" s="6"/>
      <c r="Z2573" s="6"/>
      <c r="AA2573" s="6"/>
      <c r="AB2573" s="6"/>
      <c r="AC2573" s="6"/>
      <c r="AD2573" s="6"/>
      <c r="AE2573" s="6"/>
      <c r="AF2573" s="6"/>
      <c r="AG2573" s="6"/>
      <c r="AH2573" s="6"/>
      <c r="AI2573" s="6"/>
      <c r="AJ2573" s="6"/>
    </row>
    <row r="2574" spans="1:36" ht="11.25" customHeight="1" x14ac:dyDescent="0.2">
      <c r="A2574" s="57" t="s">
        <v>27</v>
      </c>
      <c r="B2574" s="57" t="s">
        <v>49</v>
      </c>
      <c r="C2574" s="57" t="s">
        <v>23</v>
      </c>
      <c r="D2574" s="57" t="s">
        <v>50</v>
      </c>
      <c r="E2574" s="57" t="s">
        <v>51</v>
      </c>
      <c r="F2574" s="57" t="s">
        <v>25</v>
      </c>
      <c r="G2574" s="57" t="s">
        <v>25</v>
      </c>
      <c r="H2574" s="57" t="s">
        <v>25</v>
      </c>
      <c r="I2574" s="82">
        <v>44440</v>
      </c>
      <c r="J2574" s="83">
        <f>EFEITO!$J$2574*EFEITO!$Y$2574</f>
        <v>0</v>
      </c>
      <c r="K2574" s="83">
        <f ca="1">EFEITO!$L$2574*EFEITO!$Z$2574</f>
        <v>-3560.8851544272707</v>
      </c>
      <c r="L2574" s="83">
        <f>EFEITO!$N$2574*EFEITO!$AA$2574</f>
        <v>-2089.3574162208743</v>
      </c>
      <c r="M2574" s="83">
        <f>$J$2574-EFEITO!$K$2574*EFEITO!$Y$2574</f>
        <v>0</v>
      </c>
      <c r="N2574" s="83">
        <f ca="1">$K$2574-EFEITO!$M$2574*EFEITO!$Z$2574</f>
        <v>0</v>
      </c>
      <c r="O2574" s="83">
        <f>$L$2574-EFEITO!$O$2574*EFEITO!$AA$2574</f>
        <v>0</v>
      </c>
      <c r="P2574" s="61"/>
      <c r="Q2574" s="61"/>
      <c r="R2574" s="61"/>
      <c r="S2574" s="61"/>
      <c r="T2574" s="61"/>
      <c r="U2574" s="61"/>
      <c r="V2574" s="61"/>
      <c r="W2574" s="61"/>
      <c r="X2574" s="6"/>
      <c r="Y2574" s="6"/>
      <c r="Z2574" s="6"/>
      <c r="AA2574" s="6"/>
      <c r="AB2574" s="6"/>
      <c r="AC2574" s="6"/>
      <c r="AD2574" s="6"/>
      <c r="AE2574" s="6"/>
      <c r="AF2574" s="6"/>
      <c r="AG2574" s="6"/>
      <c r="AH2574" s="6"/>
      <c r="AI2574" s="6"/>
      <c r="AJ2574" s="6"/>
    </row>
    <row r="2575" spans="1:36" ht="11.25" customHeight="1" x14ac:dyDescent="0.2">
      <c r="A2575" s="57" t="s">
        <v>28</v>
      </c>
      <c r="B2575" s="57" t="s">
        <v>49</v>
      </c>
      <c r="C2575" s="57" t="s">
        <v>23</v>
      </c>
      <c r="D2575" s="57" t="s">
        <v>50</v>
      </c>
      <c r="E2575" s="57" t="s">
        <v>51</v>
      </c>
      <c r="F2575" s="57" t="s">
        <v>25</v>
      </c>
      <c r="G2575" s="57" t="s">
        <v>25</v>
      </c>
      <c r="H2575" s="57" t="s">
        <v>25</v>
      </c>
      <c r="I2575" s="82">
        <v>44440</v>
      </c>
      <c r="J2575" s="83">
        <f>EFEITO!$J$2575*EFEITO!$Y$2575</f>
        <v>0</v>
      </c>
      <c r="K2575" s="83">
        <f ca="1">EFEITO!$L$2575*EFEITO!$Z$2575</f>
        <v>1700914.6563065508</v>
      </c>
      <c r="L2575" s="83">
        <f>EFEITO!$N$2575*EFEITO!$AA$2575</f>
        <v>998015.52068995731</v>
      </c>
      <c r="M2575" s="83">
        <f>$J$2575-EFEITO!$K$2575*EFEITO!$Y$2575</f>
        <v>0</v>
      </c>
      <c r="N2575" s="83">
        <f ca="1">$K$2575-EFEITO!$M$2575*EFEITO!$Z$2575</f>
        <v>0</v>
      </c>
      <c r="O2575" s="83">
        <f>$L$2575-EFEITO!$O$2575*EFEITO!$AA$2575</f>
        <v>0</v>
      </c>
      <c r="P2575" s="61"/>
      <c r="Q2575" s="61"/>
      <c r="R2575" s="61"/>
      <c r="S2575" s="61"/>
      <c r="T2575" s="61"/>
      <c r="U2575" s="61"/>
      <c r="V2575" s="61"/>
      <c r="W2575" s="61"/>
      <c r="X2575" s="6"/>
      <c r="Y2575" s="6"/>
      <c r="Z2575" s="6"/>
      <c r="AA2575" s="6"/>
      <c r="AB2575" s="6"/>
      <c r="AC2575" s="6"/>
      <c r="AD2575" s="6"/>
      <c r="AE2575" s="6"/>
      <c r="AF2575" s="6"/>
      <c r="AG2575" s="6"/>
      <c r="AH2575" s="6"/>
      <c r="AI2575" s="6"/>
      <c r="AJ2575" s="6"/>
    </row>
    <row r="2576" spans="1:36" ht="11.25" customHeight="1" x14ac:dyDescent="0.2">
      <c r="A2576" s="57" t="s">
        <v>59</v>
      </c>
      <c r="B2576" s="57" t="s">
        <v>49</v>
      </c>
      <c r="C2576" s="57" t="s">
        <v>23</v>
      </c>
      <c r="D2576" s="57" t="s">
        <v>50</v>
      </c>
      <c r="E2576" s="57" t="s">
        <v>51</v>
      </c>
      <c r="F2576" s="57" t="s">
        <v>25</v>
      </c>
      <c r="G2576" s="57" t="s">
        <v>25</v>
      </c>
      <c r="H2576" s="57" t="s">
        <v>25</v>
      </c>
      <c r="I2576" s="82">
        <v>44470</v>
      </c>
      <c r="J2576" s="83">
        <f>EFEITO!$J$2576*EFEITO!$Y$2576</f>
        <v>0</v>
      </c>
      <c r="K2576" s="83">
        <f ca="1">EFEITO!$L$2576*EFEITO!$Z$2576</f>
        <v>2422687.0218324321</v>
      </c>
      <c r="L2576" s="83">
        <f>EFEITO!$N$2576*EFEITO!$AA$2576</f>
        <v>1421517.0882313387</v>
      </c>
      <c r="M2576" s="83">
        <f>$J$2576-EFEITO!$K$2576*EFEITO!$Y$2576</f>
        <v>0</v>
      </c>
      <c r="N2576" s="83">
        <f ca="1">$K$2576-EFEITO!$M$2576*EFEITO!$Z$2576</f>
        <v>0</v>
      </c>
      <c r="O2576" s="83">
        <f>$L$2576-EFEITO!$O$2576*EFEITO!$AA$2576</f>
        <v>0</v>
      </c>
      <c r="P2576" s="61"/>
      <c r="Q2576" s="61"/>
      <c r="R2576" s="61"/>
      <c r="S2576" s="61"/>
      <c r="T2576" s="61"/>
      <c r="U2576" s="61"/>
      <c r="V2576" s="61"/>
      <c r="W2576" s="61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/>
      <c r="AJ2576" s="6"/>
    </row>
    <row r="2577" spans="1:36" ht="11.25" customHeight="1" x14ac:dyDescent="0.2">
      <c r="A2577" s="57" t="s">
        <v>59</v>
      </c>
      <c r="B2577" s="57" t="s">
        <v>49</v>
      </c>
      <c r="C2577" s="57" t="s">
        <v>23</v>
      </c>
      <c r="D2577" s="57" t="s">
        <v>50</v>
      </c>
      <c r="E2577" s="57" t="s">
        <v>51</v>
      </c>
      <c r="F2577" s="57" t="s">
        <v>25</v>
      </c>
      <c r="G2577" s="57" t="s">
        <v>25</v>
      </c>
      <c r="H2577" s="57" t="s">
        <v>25</v>
      </c>
      <c r="I2577" s="82">
        <v>44470</v>
      </c>
      <c r="J2577" s="83">
        <f>EFEITO!$J$2577*EFEITO!$Y$2577</f>
        <v>0</v>
      </c>
      <c r="K2577" s="83">
        <f ca="1">EFEITO!$L$2577*EFEITO!$Z$2577</f>
        <v>-3560.8851544272707</v>
      </c>
      <c r="L2577" s="83">
        <f>EFEITO!$N$2577*EFEITO!$AA$2577</f>
        <v>-2089.3574162208743</v>
      </c>
      <c r="M2577" s="83">
        <f>$J$2577-EFEITO!$K$2577*EFEITO!$Y$2577</f>
        <v>0</v>
      </c>
      <c r="N2577" s="83">
        <f ca="1">$K$2577-EFEITO!$M$2577*EFEITO!$Z$2577</f>
        <v>0</v>
      </c>
      <c r="O2577" s="83">
        <f>$L$2577-EFEITO!$O$2577*EFEITO!$AA$2577</f>
        <v>0</v>
      </c>
      <c r="P2577" s="61"/>
      <c r="Q2577" s="61"/>
      <c r="R2577" s="61"/>
      <c r="S2577" s="61"/>
      <c r="T2577" s="61"/>
      <c r="U2577" s="61"/>
      <c r="V2577" s="61"/>
      <c r="W2577" s="61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/>
      <c r="AJ2577" s="6"/>
    </row>
    <row r="2578" spans="1:36" ht="11.25" customHeight="1" x14ac:dyDescent="0.2">
      <c r="A2578" s="57" t="s">
        <v>59</v>
      </c>
      <c r="B2578" s="57" t="s">
        <v>49</v>
      </c>
      <c r="C2578" s="57" t="s">
        <v>23</v>
      </c>
      <c r="D2578" s="57" t="s">
        <v>50</v>
      </c>
      <c r="E2578" s="57" t="s">
        <v>51</v>
      </c>
      <c r="F2578" s="57" t="s">
        <v>25</v>
      </c>
      <c r="G2578" s="57" t="s">
        <v>25</v>
      </c>
      <c r="H2578" s="57" t="s">
        <v>25</v>
      </c>
      <c r="I2578" s="82">
        <v>44470</v>
      </c>
      <c r="J2578" s="83">
        <f>EFEITO!$J$2578*EFEITO!$Y$2578</f>
        <v>0</v>
      </c>
      <c r="K2578" s="83">
        <f ca="1">EFEITO!$L$2578*EFEITO!$Z$2578</f>
        <v>1700914.6563065508</v>
      </c>
      <c r="L2578" s="83">
        <f>EFEITO!$N$2578*EFEITO!$AA$2578</f>
        <v>998015.52068995731</v>
      </c>
      <c r="M2578" s="83">
        <f>$J$2578-EFEITO!$K$2578*EFEITO!$Y$2578</f>
        <v>0</v>
      </c>
      <c r="N2578" s="83">
        <f ca="1">$K$2578-EFEITO!$M$2578*EFEITO!$Z$2578</f>
        <v>0</v>
      </c>
      <c r="O2578" s="83">
        <f>$L$2578-EFEITO!$O$2578*EFEITO!$AA$2578</f>
        <v>0</v>
      </c>
      <c r="P2578" s="61"/>
      <c r="Q2578" s="61"/>
      <c r="R2578" s="61"/>
      <c r="S2578" s="61"/>
      <c r="T2578" s="61"/>
      <c r="U2578" s="61"/>
      <c r="V2578" s="61"/>
      <c r="W2578" s="61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/>
      <c r="AJ2578" s="6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horizontalDpi="30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5A92A-8F6A-459E-BDBF-EBF53136D767}">
  <dimension ref="A1:BD113"/>
  <sheetViews>
    <sheetView showGridLines="0" topLeftCell="D45" workbookViewId="0">
      <selection activeCell="L58" sqref="L58:BD113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" style="9" bestFit="1" customWidth="1"/>
    <col min="14" max="14" width="10.85546875" style="9" bestFit="1" customWidth="1"/>
    <col min="15" max="15" width="4.140625" style="9" bestFit="1" customWidth="1"/>
    <col min="16" max="16" width="4.42578125" style="9" bestFit="1" customWidth="1"/>
    <col min="17" max="18" width="10.85546875" style="9" bestFit="1" customWidth="1"/>
    <col min="19" max="19" width="8.7109375" style="9" bestFit="1" customWidth="1"/>
    <col min="20" max="20" width="10.85546875" style="9" bestFit="1" customWidth="1"/>
    <col min="21" max="21" width="8.7109375" style="9" bestFit="1" customWidth="1"/>
    <col min="22" max="23" width="9.85546875" style="9" bestFit="1" customWidth="1"/>
    <col min="24" max="24" width="7.5703125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4" style="9" bestFit="1" customWidth="1"/>
    <col min="34" max="34" width="9.140625" style="9"/>
    <col min="35" max="35" width="13.42578125" style="9" bestFit="1" customWidth="1"/>
    <col min="36" max="36" width="10" style="9" bestFit="1" customWidth="1"/>
    <col min="37" max="37" width="10.85546875" style="9" bestFit="1" customWidth="1"/>
    <col min="38" max="38" width="4.140625" style="9" bestFit="1" customWidth="1"/>
    <col min="39" max="39" width="4.42578125" style="9" bestFit="1" customWidth="1"/>
    <col min="40" max="41" width="10.85546875" style="9" bestFit="1" customWidth="1"/>
    <col min="42" max="42" width="8.7109375" style="9" bestFit="1" customWidth="1"/>
    <col min="43" max="43" width="10.85546875" style="9" bestFit="1" customWidth="1"/>
    <col min="44" max="44" width="8.7109375" style="9" bestFit="1" customWidth="1"/>
    <col min="45" max="46" width="9.85546875" style="9" bestFit="1" customWidth="1"/>
    <col min="47" max="47" width="7.5703125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4" style="9" bestFit="1" customWidth="1"/>
    <col min="57" max="16384" width="9.140625" style="9"/>
  </cols>
  <sheetData>
    <row r="1" spans="1:56" ht="11.25" customHeight="1" x14ac:dyDescent="0.25">
      <c r="A1" s="127" t="s">
        <v>76</v>
      </c>
      <c r="B1" s="127" t="s">
        <v>77</v>
      </c>
      <c r="C1" s="127" t="s">
        <v>78</v>
      </c>
      <c r="D1" s="127" t="s">
        <v>79</v>
      </c>
      <c r="E1" s="127" t="s">
        <v>80</v>
      </c>
      <c r="F1" s="127" t="s">
        <v>15</v>
      </c>
      <c r="G1" s="127" t="s">
        <v>82</v>
      </c>
      <c r="H1" s="127" t="s">
        <v>83</v>
      </c>
      <c r="I1" s="127" t="s">
        <v>746</v>
      </c>
      <c r="J1" s="113"/>
      <c r="L1" s="125" t="s">
        <v>948</v>
      </c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I1" s="125" t="s">
        <v>949</v>
      </c>
      <c r="AJ1" s="125"/>
      <c r="AK1" s="125"/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  <c r="AX1" s="125"/>
      <c r="AY1" s="125"/>
      <c r="AZ1" s="125"/>
      <c r="BA1" s="125"/>
      <c r="BB1" s="125"/>
      <c r="BC1" s="125"/>
      <c r="BD1" s="125"/>
    </row>
    <row r="2" spans="1:56" ht="11.25" customHeight="1" x14ac:dyDescent="0.25">
      <c r="A2" s="127"/>
      <c r="B2" s="127"/>
      <c r="C2" s="127"/>
      <c r="D2" s="127"/>
      <c r="E2" s="127"/>
      <c r="F2" s="127"/>
      <c r="G2" s="127"/>
      <c r="H2" s="127"/>
      <c r="I2" s="127"/>
      <c r="J2" s="113"/>
      <c r="L2" s="125" t="s">
        <v>646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I2" s="125" t="s">
        <v>646</v>
      </c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  <c r="AX2" s="125"/>
      <c r="AY2" s="125"/>
      <c r="AZ2" s="125"/>
      <c r="BA2" s="125"/>
      <c r="BB2" s="125"/>
      <c r="BC2" s="125"/>
      <c r="BD2" s="125"/>
    </row>
    <row r="3" spans="1:56" ht="11.25" customHeight="1" x14ac:dyDescent="0.25">
      <c r="A3" s="127"/>
      <c r="B3" s="127"/>
      <c r="C3" s="127"/>
      <c r="D3" s="127"/>
      <c r="E3" s="127"/>
      <c r="F3" s="127"/>
      <c r="G3" s="127"/>
      <c r="H3" s="127"/>
      <c r="I3" s="127"/>
      <c r="J3" s="113"/>
      <c r="L3" s="125" t="s">
        <v>647</v>
      </c>
      <c r="M3" s="125"/>
      <c r="N3" s="125"/>
      <c r="O3" s="125"/>
      <c r="P3" s="125"/>
      <c r="Q3" s="125"/>
      <c r="R3" s="125"/>
      <c r="S3" s="125"/>
      <c r="T3" s="125" t="s">
        <v>656</v>
      </c>
      <c r="U3" s="125"/>
      <c r="V3" s="125"/>
      <c r="W3" s="125"/>
      <c r="X3" s="125"/>
      <c r="Y3" s="125"/>
      <c r="Z3" s="125"/>
      <c r="AA3" s="87" t="s">
        <v>664</v>
      </c>
      <c r="AB3" s="125" t="s">
        <v>666</v>
      </c>
      <c r="AC3" s="125"/>
      <c r="AD3" s="125" t="s">
        <v>669</v>
      </c>
      <c r="AE3" s="125"/>
      <c r="AF3" s="125"/>
      <c r="AG3" s="125"/>
      <c r="AI3" s="125" t="s">
        <v>647</v>
      </c>
      <c r="AJ3" s="125"/>
      <c r="AK3" s="125"/>
      <c r="AL3" s="125"/>
      <c r="AM3" s="125"/>
      <c r="AN3" s="125"/>
      <c r="AO3" s="125"/>
      <c r="AP3" s="125"/>
      <c r="AQ3" s="125" t="s">
        <v>656</v>
      </c>
      <c r="AR3" s="125"/>
      <c r="AS3" s="125"/>
      <c r="AT3" s="125"/>
      <c r="AU3" s="125"/>
      <c r="AV3" s="125"/>
      <c r="AW3" s="125"/>
      <c r="AX3" s="87" t="s">
        <v>664</v>
      </c>
      <c r="AY3" s="125" t="s">
        <v>666</v>
      </c>
      <c r="AZ3" s="125"/>
      <c r="BA3" s="125" t="s">
        <v>669</v>
      </c>
      <c r="BB3" s="125"/>
      <c r="BC3" s="125"/>
      <c r="BD3" s="125"/>
    </row>
    <row r="4" spans="1:56" ht="11.25" customHeight="1" x14ac:dyDescent="0.25">
      <c r="A4" s="127"/>
      <c r="B4" s="127"/>
      <c r="C4" s="127"/>
      <c r="D4" s="127"/>
      <c r="E4" s="127"/>
      <c r="F4" s="127"/>
      <c r="G4" s="127"/>
      <c r="H4" s="127"/>
      <c r="I4" s="127"/>
      <c r="J4" s="113"/>
      <c r="L4" s="87" t="s">
        <v>731</v>
      </c>
      <c r="M4" s="87" t="s">
        <v>648</v>
      </c>
      <c r="N4" s="87" t="s">
        <v>649</v>
      </c>
      <c r="O4" s="87" t="s">
        <v>650</v>
      </c>
      <c r="P4" s="87" t="s">
        <v>651</v>
      </c>
      <c r="Q4" s="87" t="s">
        <v>652</v>
      </c>
      <c r="R4" s="87" t="s">
        <v>653</v>
      </c>
      <c r="S4" s="87" t="s">
        <v>654</v>
      </c>
      <c r="T4" s="87" t="s">
        <v>657</v>
      </c>
      <c r="U4" s="87" t="s">
        <v>658</v>
      </c>
      <c r="V4" s="87" t="s">
        <v>659</v>
      </c>
      <c r="W4" s="87" t="s">
        <v>660</v>
      </c>
      <c r="X4" s="87" t="s">
        <v>661</v>
      </c>
      <c r="Y4" s="87" t="s">
        <v>662</v>
      </c>
      <c r="Z4" s="87" t="s">
        <v>663</v>
      </c>
      <c r="AA4" s="87" t="s">
        <v>665</v>
      </c>
      <c r="AB4" s="87" t="s">
        <v>667</v>
      </c>
      <c r="AC4" s="87" t="s">
        <v>668</v>
      </c>
      <c r="AD4" s="87" t="s">
        <v>670</v>
      </c>
      <c r="AE4" s="87" t="s">
        <v>671</v>
      </c>
      <c r="AF4" s="87" t="s">
        <v>672</v>
      </c>
      <c r="AG4" s="87" t="s">
        <v>673</v>
      </c>
      <c r="AI4" s="87" t="s">
        <v>731</v>
      </c>
      <c r="AJ4" s="87" t="s">
        <v>648</v>
      </c>
      <c r="AK4" s="87" t="s">
        <v>649</v>
      </c>
      <c r="AL4" s="87" t="s">
        <v>650</v>
      </c>
      <c r="AM4" s="87" t="s">
        <v>651</v>
      </c>
      <c r="AN4" s="87" t="s">
        <v>652</v>
      </c>
      <c r="AO4" s="87" t="s">
        <v>653</v>
      </c>
      <c r="AP4" s="87" t="s">
        <v>654</v>
      </c>
      <c r="AQ4" s="87" t="s">
        <v>657</v>
      </c>
      <c r="AR4" s="87" t="s">
        <v>658</v>
      </c>
      <c r="AS4" s="87" t="s">
        <v>659</v>
      </c>
      <c r="AT4" s="87" t="s">
        <v>660</v>
      </c>
      <c r="AU4" s="87" t="s">
        <v>661</v>
      </c>
      <c r="AV4" s="87" t="s">
        <v>662</v>
      </c>
      <c r="AW4" s="87" t="s">
        <v>663</v>
      </c>
      <c r="AX4" s="87" t="s">
        <v>665</v>
      </c>
      <c r="AY4" s="87" t="s">
        <v>667</v>
      </c>
      <c r="AZ4" s="87" t="s">
        <v>668</v>
      </c>
      <c r="BA4" s="87" t="s">
        <v>670</v>
      </c>
      <c r="BB4" s="87" t="s">
        <v>671</v>
      </c>
      <c r="BC4" s="87" t="s">
        <v>672</v>
      </c>
      <c r="BD4" s="87" t="s">
        <v>673</v>
      </c>
    </row>
    <row r="5" spans="1:56" ht="11.25" customHeight="1" x14ac:dyDescent="0.25">
      <c r="A5" s="124" t="s">
        <v>43</v>
      </c>
      <c r="B5" s="124" t="s">
        <v>44</v>
      </c>
      <c r="C5" s="124" t="s">
        <v>25</v>
      </c>
      <c r="D5" s="124" t="s">
        <v>25</v>
      </c>
      <c r="E5" s="124" t="s">
        <v>25</v>
      </c>
      <c r="F5" s="124" t="s">
        <v>25</v>
      </c>
      <c r="G5" s="28" t="s">
        <v>90</v>
      </c>
      <c r="H5" s="28" t="s">
        <v>89</v>
      </c>
      <c r="I5" s="28">
        <f>'MERCADO TUSD'!$U$2</f>
        <v>2432502</v>
      </c>
      <c r="J5" s="18"/>
      <c r="L5" s="85">
        <f>('TUSD BE'!$L$5+'TUSD BF'!$L$5+'TUSD CVA'!$L$5)*1</f>
        <v>0</v>
      </c>
      <c r="M5" s="85">
        <f>('TUSD BE'!$M$5+'TUSD BF'!$M$5+'TUSD CVA'!$M$5)*1</f>
        <v>0</v>
      </c>
      <c r="N5" s="85">
        <f ca="1">('TUSD BE'!$N$5+'TUSD BF'!$N$5+'TUSD CVA'!$N$5)*1</f>
        <v>0</v>
      </c>
      <c r="O5" s="85">
        <f>('TUSD BE'!$O$5+'TUSD BF'!$O$5+'TUSD CVA'!$O$5)*1</f>
        <v>0</v>
      </c>
      <c r="P5" s="85">
        <f>('TUSD BE'!$P$5+'TUSD BF'!$P$5+'TUSD CVA'!$P$5)*1</f>
        <v>0</v>
      </c>
      <c r="Q5" s="85">
        <f>('TUSD BE'!$Q$5+'TUSD BF'!$Q$5+'TUSD CVA'!$Q$5)*1</f>
        <v>0</v>
      </c>
      <c r="R5" s="85">
        <f>('TUSD BE'!$R$5+'TUSD BF'!$R$5+'TUSD CVA'!$R$5)*1</f>
        <v>0</v>
      </c>
      <c r="S5" s="85">
        <f>('TUSD BE'!$S$5+'TUSD BF'!$S$5+'TUSD CVA'!$S$5)*1</f>
        <v>0</v>
      </c>
      <c r="T5" s="85">
        <f>('TUSD BE'!$U$5+'TUSD BF'!$U$5+'TUSD CVA'!$U$5)*1</f>
        <v>3.8721406749224423</v>
      </c>
      <c r="U5" s="85">
        <f>('TUSD BE'!$V$5+'TUSD BF'!$V$5+'TUSD CVA'!$V$5)*1</f>
        <v>5.8013531605234037E-2</v>
      </c>
      <c r="V5" s="85">
        <f>('TUSD BE'!$W$5+'TUSD BF'!$W$5+'TUSD CVA'!$W$5)*1</f>
        <v>0</v>
      </c>
      <c r="W5" s="85">
        <f>('TUSD BE'!$X$5+'TUSD BF'!$X$5+'TUSD CVA'!$X$5)*1</f>
        <v>0</v>
      </c>
      <c r="X5" s="85">
        <f>('TUSD BE'!$Y$5+'TUSD BF'!$Y$5+'TUSD CVA'!$Y$5)*1</f>
        <v>0</v>
      </c>
      <c r="Y5" s="85">
        <f>('TUSD BE'!$Z$5+'TUSD BF'!$Z$5+'TUSD CVA'!$Z$5)*1</f>
        <v>0</v>
      </c>
      <c r="Z5" s="85">
        <f>('TUSD BE'!$AA$5+'TUSD BF'!$AA$5+'TUSD CVA'!$AA$5)*1</f>
        <v>0</v>
      </c>
      <c r="AA5" s="85">
        <f>('TUSD BE'!$AC$5+'TUSD BF'!$AC$5+'TUSD CVA'!$AC$5)*1</f>
        <v>4.0231985742716416</v>
      </c>
      <c r="AB5" s="85">
        <f ca="1">('TUSD BE'!$AE$5+'TUSD BF'!$AE$5+'TUSD CVA'!$AE$5)*1</f>
        <v>0</v>
      </c>
      <c r="AC5" s="85">
        <f ca="1">('TUSD BE'!$AF$5+'TUSD BF'!$AF$5+'TUSD CVA'!$AF$5)*1</f>
        <v>0</v>
      </c>
      <c r="AD5" s="85">
        <f>('TUSD BE'!$AH$5+'TUSD BF'!$AH$5+'TUSD CVA'!$AH$5)*1</f>
        <v>0</v>
      </c>
      <c r="AE5" s="85">
        <f>('TUSD BE'!$AI$5+'TUSD BF'!$AI$5+'TUSD CVA'!$AI$5)*1</f>
        <v>0</v>
      </c>
      <c r="AF5" s="85">
        <f ca="1">('TUSD BE'!$AJ$5+'TUSD BF'!$AJ$5+'TUSD CVA'!$AJ$5)*1</f>
        <v>0</v>
      </c>
      <c r="AG5" s="85">
        <f ca="1">('TUSD BE'!$AK$5+'TUSD BF'!$AK$5+'TUSD CVA'!$AK$5)*1</f>
        <v>0</v>
      </c>
      <c r="AI5" s="85">
        <v>0</v>
      </c>
      <c r="AJ5" s="85">
        <v>0</v>
      </c>
      <c r="AK5" s="85">
        <v>0</v>
      </c>
      <c r="AL5" s="85">
        <v>0</v>
      </c>
      <c r="AM5" s="85">
        <v>0</v>
      </c>
      <c r="AN5" s="85">
        <v>0</v>
      </c>
      <c r="AO5" s="85">
        <v>0</v>
      </c>
      <c r="AP5" s="85">
        <v>0</v>
      </c>
      <c r="AQ5" s="85">
        <v>3.0449380568140998</v>
      </c>
      <c r="AR5" s="85">
        <v>0.60146715405981099</v>
      </c>
      <c r="AS5" s="85">
        <v>0</v>
      </c>
      <c r="AT5" s="85">
        <v>0</v>
      </c>
      <c r="AU5" s="85">
        <v>0</v>
      </c>
      <c r="AV5" s="85">
        <v>0</v>
      </c>
      <c r="AW5" s="85">
        <v>0</v>
      </c>
      <c r="AX5" s="85">
        <v>3.5916890340433199</v>
      </c>
      <c r="AY5" s="85">
        <v>0</v>
      </c>
      <c r="AZ5" s="85">
        <v>0</v>
      </c>
      <c r="BA5" s="85">
        <v>0</v>
      </c>
      <c r="BB5" s="85">
        <v>0</v>
      </c>
      <c r="BC5" s="85">
        <v>0</v>
      </c>
      <c r="BD5" s="85">
        <v>0</v>
      </c>
    </row>
    <row r="6" spans="1:56" ht="11.25" customHeight="1" x14ac:dyDescent="0.25">
      <c r="A6" s="124"/>
      <c r="B6" s="124"/>
      <c r="C6" s="124"/>
      <c r="D6" s="124"/>
      <c r="E6" s="124"/>
      <c r="F6" s="124"/>
      <c r="G6" s="28" t="s">
        <v>91</v>
      </c>
      <c r="H6" s="28" t="s">
        <v>89</v>
      </c>
      <c r="I6" s="28">
        <f>'MERCADO TUSD'!$U$3</f>
        <v>2719854</v>
      </c>
      <c r="J6" s="18"/>
      <c r="L6" s="85">
        <f>('TUSD BE'!$L$6+'TUSD BF'!$L$6+'TUSD CVA'!$L$6)*1</f>
        <v>0</v>
      </c>
      <c r="M6" s="85">
        <f>('TUSD BE'!$M$6+'TUSD BF'!$M$6+'TUSD CVA'!$M$6)*1</f>
        <v>0</v>
      </c>
      <c r="N6" s="85">
        <f ca="1">('TUSD BE'!$N$6+'TUSD BF'!$N$6+'TUSD CVA'!$N$6)*1</f>
        <v>0</v>
      </c>
      <c r="O6" s="85">
        <f>('TUSD BE'!$O$6+'TUSD BF'!$O$6+'TUSD CVA'!$O$6)*1</f>
        <v>0</v>
      </c>
      <c r="P6" s="85">
        <f>('TUSD BE'!$P$6+'TUSD BF'!$P$6+'TUSD CVA'!$P$6)*1</f>
        <v>0</v>
      </c>
      <c r="Q6" s="85">
        <f>('TUSD BE'!$Q$6+'TUSD BF'!$Q$6+'TUSD CVA'!$Q$6)*1</f>
        <v>0</v>
      </c>
      <c r="R6" s="85">
        <f>('TUSD BE'!$R$6+'TUSD BF'!$R$6+'TUSD CVA'!$R$6)*1</f>
        <v>0</v>
      </c>
      <c r="S6" s="85">
        <f>('TUSD BE'!$S$6+'TUSD BF'!$S$6+'TUSD CVA'!$S$6)*1</f>
        <v>0</v>
      </c>
      <c r="T6" s="85">
        <f>('TUSD BE'!$U$6+'TUSD BF'!$U$6+'TUSD CVA'!$U$6)*1</f>
        <v>3.1621245473896851</v>
      </c>
      <c r="U6" s="85">
        <f>('TUSD BE'!$V$6+'TUSD BF'!$V$6+'TUSD CVA'!$V$6)*1</f>
        <v>4.7337940267118982E-2</v>
      </c>
      <c r="V6" s="85">
        <f>('TUSD BE'!$W$6+'TUSD BF'!$W$6+'TUSD CVA'!$W$6)*1</f>
        <v>0</v>
      </c>
      <c r="W6" s="85">
        <f>('TUSD BE'!$X$6+'TUSD BF'!$X$6+'TUSD CVA'!$X$6)*1</f>
        <v>0</v>
      </c>
      <c r="X6" s="85">
        <f>('TUSD BE'!$Y$6+'TUSD BF'!$Y$6+'TUSD CVA'!$Y$6)*1</f>
        <v>0</v>
      </c>
      <c r="Y6" s="85">
        <f>('TUSD BE'!$Z$6+'TUSD BF'!$Z$6+'TUSD CVA'!$Z$6)*1</f>
        <v>0</v>
      </c>
      <c r="Z6" s="85">
        <f>('TUSD BE'!$AA$6+'TUSD BF'!$AA$6+'TUSD CVA'!$AA$6)*1</f>
        <v>0</v>
      </c>
      <c r="AA6" s="85">
        <f>('TUSD BE'!$AC$6+'TUSD BF'!$AC$6+'TUSD CVA'!$AC$6)*1</f>
        <v>3.270373038241845</v>
      </c>
      <c r="AB6" s="85">
        <f ca="1">('TUSD BE'!$AE$6+'TUSD BF'!$AE$6+'TUSD CVA'!$AE$6)*1</f>
        <v>0</v>
      </c>
      <c r="AC6" s="85">
        <f ca="1">('TUSD BE'!$AF$6+'TUSD BF'!$AF$6+'TUSD CVA'!$AF$6)*1</f>
        <v>0</v>
      </c>
      <c r="AD6" s="85">
        <f>('TUSD BE'!$AH$6+'TUSD BF'!$AH$6+'TUSD CVA'!$AH$6)*1</f>
        <v>0</v>
      </c>
      <c r="AE6" s="85">
        <f>('TUSD BE'!$AI$6+'TUSD BF'!$AI$6+'TUSD CVA'!$AI$6)*1</f>
        <v>0</v>
      </c>
      <c r="AF6" s="85">
        <f ca="1">('TUSD BE'!$AJ$6+'TUSD BF'!$AJ$6+'TUSD CVA'!$AJ$6)*1</f>
        <v>0</v>
      </c>
      <c r="AG6" s="85">
        <f ca="1">('TUSD BE'!$AK$6+'TUSD BF'!$AK$6+'TUSD CVA'!$AK$6)*1</f>
        <v>0</v>
      </c>
      <c r="AI6" s="85">
        <v>0</v>
      </c>
      <c r="AJ6" s="85">
        <v>0</v>
      </c>
      <c r="AK6" s="85">
        <v>0</v>
      </c>
      <c r="AL6" s="85">
        <v>0</v>
      </c>
      <c r="AM6" s="85">
        <v>0</v>
      </c>
      <c r="AN6" s="85">
        <v>0</v>
      </c>
      <c r="AO6" s="85">
        <v>0</v>
      </c>
      <c r="AP6" s="85">
        <v>0</v>
      </c>
      <c r="AQ6" s="85">
        <v>2.48660216223311</v>
      </c>
      <c r="AR6" s="85">
        <v>0.49078577745038698</v>
      </c>
      <c r="AS6" s="85">
        <v>0</v>
      </c>
      <c r="AT6" s="85">
        <v>0</v>
      </c>
      <c r="AU6" s="85">
        <v>0</v>
      </c>
      <c r="AV6" s="85">
        <v>0</v>
      </c>
      <c r="AW6" s="85">
        <v>0</v>
      </c>
      <c r="AX6" s="85">
        <v>2.9196080585733202</v>
      </c>
      <c r="AY6" s="85">
        <v>0</v>
      </c>
      <c r="AZ6" s="85">
        <v>0</v>
      </c>
      <c r="BA6" s="85">
        <v>0</v>
      </c>
      <c r="BB6" s="85">
        <v>0</v>
      </c>
      <c r="BC6" s="85">
        <v>0</v>
      </c>
      <c r="BD6" s="85">
        <v>0</v>
      </c>
    </row>
    <row r="7" spans="1:56" ht="11.25" customHeight="1" x14ac:dyDescent="0.25">
      <c r="A7" s="124"/>
      <c r="B7" s="124"/>
      <c r="C7" s="124"/>
      <c r="D7" s="124"/>
      <c r="E7" s="124"/>
      <c r="F7" s="124"/>
      <c r="G7" s="28" t="s">
        <v>92</v>
      </c>
      <c r="H7" s="28" t="s">
        <v>86</v>
      </c>
      <c r="I7" s="28">
        <f>'MERCADO TUSD'!$U$4</f>
        <v>1155536.6730000002</v>
      </c>
      <c r="J7" s="18"/>
      <c r="L7" s="85">
        <f>('TUSD BE'!$L$7+'TUSD BF'!$L$7+'TUSD CVA'!$L$7)*1</f>
        <v>9.4465554604827879</v>
      </c>
      <c r="M7" s="85">
        <f>('TUSD BE'!$M$7+'TUSD BF'!$M$7+'TUSD CVA'!$M$7)*1</f>
        <v>6.1218822652076843E-2</v>
      </c>
      <c r="N7" s="85">
        <f ca="1">('TUSD BE'!$N$7+'TUSD BF'!$N$7+'TUSD CVA'!$N$7)*1</f>
        <v>0.52534577762681633</v>
      </c>
      <c r="O7" s="85">
        <f>('TUSD BE'!$O$7+'TUSD BF'!$O$7+'TUSD CVA'!$O$7)*1</f>
        <v>0</v>
      </c>
      <c r="P7" s="85">
        <f>('TUSD BE'!$P$7+'TUSD BF'!$P$7+'TUSD CVA'!$P$7)*1</f>
        <v>0</v>
      </c>
      <c r="Q7" s="85">
        <f>('TUSD BE'!$Q$7+'TUSD BF'!$Q$7+'TUSD CVA'!$Q$7)*1</f>
        <v>14.576515266133196</v>
      </c>
      <c r="R7" s="85">
        <f>('TUSD BE'!$R$7+'TUSD BF'!$R$7+'TUSD CVA'!$R$7)*1</f>
        <v>10.616102591746483</v>
      </c>
      <c r="S7" s="85">
        <f>('TUSD BE'!$S$7+'TUSD BF'!$S$7+'TUSD CVA'!$S$7)*1</f>
        <v>0</v>
      </c>
      <c r="T7" s="85">
        <f>('TUSD BE'!$U$7+'TUSD BF'!$U$7+'TUSD CVA'!$U$7)*1</f>
        <v>0</v>
      </c>
      <c r="U7" s="85">
        <f>('TUSD BE'!$V$7+'TUSD BF'!$V$7+'TUSD CVA'!$V$7)*1</f>
        <v>0</v>
      </c>
      <c r="V7" s="85">
        <f>('TUSD BE'!$W$7+'TUSD BF'!$W$7+'TUSD CVA'!$W$7)*1</f>
        <v>0</v>
      </c>
      <c r="W7" s="85">
        <f>('TUSD BE'!$X$7+'TUSD BF'!$X$7+'TUSD CVA'!$X$7)*1</f>
        <v>0</v>
      </c>
      <c r="X7" s="85">
        <f>('TUSD BE'!$Y$7+'TUSD BF'!$Y$7+'TUSD CVA'!$Y$7)*1</f>
        <v>0</v>
      </c>
      <c r="Y7" s="85">
        <f>('TUSD BE'!$Z$7+'TUSD BF'!$Z$7+'TUSD CVA'!$Z$7)*1</f>
        <v>0</v>
      </c>
      <c r="Z7" s="85">
        <f>('TUSD BE'!$AA$7+'TUSD BF'!$AA$7+'TUSD CVA'!$AA$7)*1</f>
        <v>0</v>
      </c>
      <c r="AA7" s="85">
        <f>('TUSD BE'!$AC$7+'TUSD BF'!$AC$7+'TUSD CVA'!$AC$7)*1</f>
        <v>0</v>
      </c>
      <c r="AB7" s="85">
        <f ca="1">('TUSD BE'!$AE$7+'TUSD BF'!$AE$7+'TUSD CVA'!$AE$7)*1</f>
        <v>0</v>
      </c>
      <c r="AC7" s="85">
        <f ca="1">('TUSD BE'!$AF$7+'TUSD BF'!$AF$7+'TUSD CVA'!$AF$7)*1</f>
        <v>0</v>
      </c>
      <c r="AD7" s="85">
        <f>('TUSD BE'!$AH$7+'TUSD BF'!$AH$7+'TUSD CVA'!$AH$7)*1</f>
        <v>4.7729744608412439</v>
      </c>
      <c r="AE7" s="85">
        <f>('TUSD BE'!$AI$7+'TUSD BF'!$AI$7+'TUSD CVA'!$AI$7)*1</f>
        <v>0.34371004582791109</v>
      </c>
      <c r="AF7" s="85">
        <f ca="1">('TUSD BE'!$AJ$7+'TUSD BF'!$AJ$7+'TUSD CVA'!$AJ$7)*1</f>
        <v>22.533054081703483</v>
      </c>
      <c r="AG7" s="85">
        <f ca="1">('TUSD BE'!$AK$7+'TUSD BF'!$AK$7+'TUSD CVA'!$AK$7)*1</f>
        <v>3.4869584017052384</v>
      </c>
      <c r="AI7" s="85">
        <v>0</v>
      </c>
      <c r="AJ7" s="85">
        <v>5.4804926419137E-2</v>
      </c>
      <c r="AK7" s="85">
        <v>0.47143938143258002</v>
      </c>
      <c r="AL7" s="85">
        <v>0</v>
      </c>
      <c r="AM7" s="85">
        <v>0</v>
      </c>
      <c r="AN7" s="85">
        <v>16.2331607041667</v>
      </c>
      <c r="AO7" s="85">
        <v>7.5520246477920896</v>
      </c>
      <c r="AP7" s="85">
        <v>0</v>
      </c>
      <c r="AQ7" s="85">
        <v>0</v>
      </c>
      <c r="AR7" s="85">
        <v>0</v>
      </c>
      <c r="AS7" s="85">
        <v>0</v>
      </c>
      <c r="AT7" s="85">
        <v>0</v>
      </c>
      <c r="AU7" s="85">
        <v>0</v>
      </c>
      <c r="AV7" s="85">
        <v>0</v>
      </c>
      <c r="AW7" s="85">
        <v>0</v>
      </c>
      <c r="AX7" s="85">
        <v>0</v>
      </c>
      <c r="AY7" s="85">
        <v>0</v>
      </c>
      <c r="AZ7" s="85">
        <v>0</v>
      </c>
      <c r="BA7" s="85">
        <v>4.4617706742282301</v>
      </c>
      <c r="BB7" s="85">
        <v>0.35019378106005</v>
      </c>
      <c r="BC7" s="85">
        <v>22.270283121504399</v>
      </c>
      <c r="BD7" s="85">
        <v>1.37999372688495</v>
      </c>
    </row>
    <row r="8" spans="1:56" ht="11.25" customHeight="1" x14ac:dyDescent="0.25">
      <c r="A8" s="124"/>
      <c r="B8" s="124"/>
      <c r="C8" s="124"/>
      <c r="D8" s="124"/>
      <c r="E8" s="86" t="s">
        <v>93</v>
      </c>
      <c r="F8" s="86" t="s">
        <v>25</v>
      </c>
      <c r="G8" s="28" t="s">
        <v>92</v>
      </c>
      <c r="H8" s="28" t="s">
        <v>86</v>
      </c>
      <c r="I8" s="28">
        <f>'MERCADO TUSD'!$U$5</f>
        <v>0</v>
      </c>
      <c r="J8" s="18"/>
      <c r="L8" s="85">
        <f>('TUSD BE'!$L$8+'TUSD BF'!$L$8+'TUSD CVA'!$L$8)*1</f>
        <v>0</v>
      </c>
      <c r="M8" s="85">
        <f>('TUSD BE'!$M$8+'TUSD BF'!$M$8+'TUSD CVA'!$M$8)*1</f>
        <v>6.1218822652076843E-2</v>
      </c>
      <c r="N8" s="85">
        <f ca="1">('TUSD BE'!$N$8+'TUSD BF'!$N$8+'TUSD CVA'!$N$8)*1</f>
        <v>0.51613152671819751</v>
      </c>
      <c r="O8" s="85">
        <f>('TUSD BE'!$O$8+'TUSD BF'!$O$8+'TUSD CVA'!$O$8)*1</f>
        <v>0</v>
      </c>
      <c r="P8" s="85">
        <f>('TUSD BE'!$P$8+'TUSD BF'!$P$8+'TUSD CVA'!$P$8)*1</f>
        <v>0</v>
      </c>
      <c r="Q8" s="85">
        <f>('TUSD BE'!$Q$8+'TUSD BF'!$Q$8+'TUSD CVA'!$Q$8)*1</f>
        <v>0</v>
      </c>
      <c r="R8" s="85">
        <f>('TUSD BE'!$R$8+'TUSD BF'!$R$8+'TUSD CVA'!$R$8)*1</f>
        <v>0</v>
      </c>
      <c r="S8" s="85">
        <f>('TUSD BE'!$S$8+'TUSD BF'!$S$8+'TUSD CVA'!$S$8)*1</f>
        <v>0</v>
      </c>
      <c r="T8" s="85">
        <f>('TUSD BE'!$U$8+'TUSD BF'!$U$8+'TUSD CVA'!$U$8)*1</f>
        <v>0</v>
      </c>
      <c r="U8" s="85">
        <f>('TUSD BE'!$V$8+'TUSD BF'!$V$8+'TUSD CVA'!$V$8)*1</f>
        <v>0</v>
      </c>
      <c r="V8" s="85">
        <f>('TUSD BE'!$W$8+'TUSD BF'!$W$8+'TUSD CVA'!$W$8)*1</f>
        <v>0</v>
      </c>
      <c r="W8" s="85">
        <f>('TUSD BE'!$X$8+'TUSD BF'!$X$8+'TUSD CVA'!$X$8)*1</f>
        <v>0</v>
      </c>
      <c r="X8" s="85">
        <f>('TUSD BE'!$Y$8+'TUSD BF'!$Y$8+'TUSD CVA'!$Y$8)*1</f>
        <v>0</v>
      </c>
      <c r="Y8" s="85">
        <f>('TUSD BE'!$Z$8+'TUSD BF'!$Z$8+'TUSD CVA'!$Z$8)*1</f>
        <v>0</v>
      </c>
      <c r="Z8" s="85">
        <f>('TUSD BE'!$AA$8+'TUSD BF'!$AA$8+'TUSD CVA'!$AA$8)*1</f>
        <v>0</v>
      </c>
      <c r="AA8" s="85">
        <f>('TUSD BE'!$AC$8+'TUSD BF'!$AC$8+'TUSD CVA'!$AC$8)*1</f>
        <v>0</v>
      </c>
      <c r="AB8" s="85">
        <f ca="1">('TUSD BE'!$AE$8+'TUSD BF'!$AE$8+'TUSD CVA'!$AE$8)*1</f>
        <v>0</v>
      </c>
      <c r="AC8" s="85">
        <f ca="1">('TUSD BE'!$AF$8+'TUSD BF'!$AF$8+'TUSD CVA'!$AF$8)*1</f>
        <v>0</v>
      </c>
      <c r="AD8" s="85">
        <f>('TUSD BE'!$AH$8+'TUSD BF'!$AH$8+'TUSD CVA'!$AH$8)*1</f>
        <v>4.7729744608412439</v>
      </c>
      <c r="AE8" s="85">
        <f>('TUSD BE'!$AI$8+'TUSD BF'!$AI$8+'TUSD CVA'!$AI$8)*1</f>
        <v>0.34371004582791109</v>
      </c>
      <c r="AF8" s="85">
        <f ca="1">('TUSD BE'!$AJ$8+'TUSD BF'!$AJ$8+'TUSD CVA'!$AJ$8)*1</f>
        <v>22.533054081703483</v>
      </c>
      <c r="AG8" s="85">
        <f ca="1">('TUSD BE'!$AK$8+'TUSD BF'!$AK$8+'TUSD CVA'!$AK$8)*1</f>
        <v>3.4869584017052384</v>
      </c>
      <c r="AI8" s="85">
        <v>0</v>
      </c>
      <c r="AJ8" s="85">
        <v>5.4804926419137E-2</v>
      </c>
      <c r="AK8" s="85">
        <v>0.463103508164106</v>
      </c>
      <c r="AL8" s="85">
        <v>0</v>
      </c>
      <c r="AM8" s="85">
        <v>0</v>
      </c>
      <c r="AN8" s="85">
        <v>0</v>
      </c>
      <c r="AO8" s="85">
        <v>0</v>
      </c>
      <c r="AP8" s="85">
        <v>0</v>
      </c>
      <c r="AQ8" s="85">
        <v>0</v>
      </c>
      <c r="AR8" s="85">
        <v>0</v>
      </c>
      <c r="AS8" s="85">
        <v>0</v>
      </c>
      <c r="AT8" s="85">
        <v>0</v>
      </c>
      <c r="AU8" s="85">
        <v>0</v>
      </c>
      <c r="AV8" s="85">
        <v>0</v>
      </c>
      <c r="AW8" s="85">
        <v>0</v>
      </c>
      <c r="AX8" s="85">
        <v>0</v>
      </c>
      <c r="AY8" s="85">
        <v>0</v>
      </c>
      <c r="AZ8" s="85">
        <v>0</v>
      </c>
      <c r="BA8" s="85">
        <v>4.4617706742282301</v>
      </c>
      <c r="BB8" s="85">
        <v>0.35019378106005</v>
      </c>
      <c r="BC8" s="85">
        <v>22.270283121504399</v>
      </c>
      <c r="BD8" s="85">
        <v>1.37999372688495</v>
      </c>
    </row>
    <row r="9" spans="1:56" ht="11.25" customHeight="1" x14ac:dyDescent="0.25">
      <c r="A9" s="124"/>
      <c r="B9" s="86" t="s">
        <v>63</v>
      </c>
      <c r="C9" s="86" t="s">
        <v>25</v>
      </c>
      <c r="D9" s="86" t="s">
        <v>25</v>
      </c>
      <c r="E9" s="86" t="s">
        <v>25</v>
      </c>
      <c r="F9" s="86" t="s">
        <v>25</v>
      </c>
      <c r="G9" s="28" t="s">
        <v>9</v>
      </c>
      <c r="H9" s="28" t="s">
        <v>89</v>
      </c>
      <c r="I9" s="28">
        <f>'MERCADO TUSD'!$U$6</f>
        <v>4807736</v>
      </c>
      <c r="J9" s="18"/>
      <c r="L9" s="85">
        <f>('TUSD BE'!$L$9+'TUSD BF'!$L$9+'TUSD CVA'!$L$9)*1</f>
        <v>0</v>
      </c>
      <c r="M9" s="85">
        <f>('TUSD BE'!$M$9+'TUSD BF'!$M$9+'TUSD CVA'!$M$9)*1</f>
        <v>0</v>
      </c>
      <c r="N9" s="85">
        <f ca="1">('TUSD BE'!$N$9+'TUSD BF'!$N$9+'TUSD CVA'!$N$9)*1</f>
        <v>0.11742163021235</v>
      </c>
      <c r="O9" s="85">
        <f>('TUSD BE'!$O$9+'TUSD BF'!$O$9+'TUSD CVA'!$O$9)*1</f>
        <v>0</v>
      </c>
      <c r="P9" s="85">
        <f>('TUSD BE'!$P$9+'TUSD BF'!$P$9+'TUSD CVA'!$P$9)*1</f>
        <v>0</v>
      </c>
      <c r="Q9" s="85">
        <f>('TUSD BE'!$Q$9+'TUSD BF'!$Q$9+'TUSD CVA'!$Q$9)*1</f>
        <v>0</v>
      </c>
      <c r="R9" s="85">
        <f>('TUSD BE'!$R$9+'TUSD BF'!$R$9+'TUSD CVA'!$R$9)*1</f>
        <v>0</v>
      </c>
      <c r="S9" s="85">
        <f>('TUSD BE'!$S$9+'TUSD BF'!$S$9+'TUSD CVA'!$S$9)*1</f>
        <v>0</v>
      </c>
      <c r="T9" s="85">
        <f>('TUSD BE'!$U$9+'TUSD BF'!$U$9+'TUSD CVA'!$U$9)*1</f>
        <v>0</v>
      </c>
      <c r="U9" s="85">
        <f>('TUSD BE'!$V$9+'TUSD BF'!$V$9+'TUSD CVA'!$V$9)*1</f>
        <v>0</v>
      </c>
      <c r="V9" s="85">
        <f>('TUSD BE'!$W$9+'TUSD BF'!$W$9+'TUSD CVA'!$W$9)*1</f>
        <v>0</v>
      </c>
      <c r="W9" s="85">
        <f>('TUSD BE'!$X$9+'TUSD BF'!$X$9+'TUSD CVA'!$X$9)*1</f>
        <v>0</v>
      </c>
      <c r="X9" s="85">
        <f>('TUSD BE'!$Y$9+'TUSD BF'!$Y$9+'TUSD CVA'!$Y$9)*1</f>
        <v>0</v>
      </c>
      <c r="Y9" s="85">
        <f>('TUSD BE'!$Z$9+'TUSD BF'!$Z$9+'TUSD CVA'!$Z$9)*1</f>
        <v>0</v>
      </c>
      <c r="Z9" s="85">
        <f>('TUSD BE'!$AA$9+'TUSD BF'!$AA$9+'TUSD CVA'!$AA$9)*1</f>
        <v>0</v>
      </c>
      <c r="AA9" s="85">
        <f>('TUSD BE'!$AC$9+'TUSD BF'!$AC$9+'TUSD CVA'!$AC$9)*1</f>
        <v>7.6068324008022712</v>
      </c>
      <c r="AB9" s="85">
        <f ca="1">('TUSD BE'!$AE$9+'TUSD BF'!$AE$9+'TUSD CVA'!$AE$9)*1</f>
        <v>0</v>
      </c>
      <c r="AC9" s="85">
        <f ca="1">('TUSD BE'!$AF$9+'TUSD BF'!$AF$9+'TUSD CVA'!$AF$9)*1</f>
        <v>0</v>
      </c>
      <c r="AD9" s="85">
        <f>('TUSD BE'!$AH$9+'TUSD BF'!$AH$9+'TUSD CVA'!$AH$9)*1</f>
        <v>1.4331910937153516</v>
      </c>
      <c r="AE9" s="85">
        <f>('TUSD BE'!$AI$9+'TUSD BF'!$AI$9+'TUSD CVA'!$AI$9)*1</f>
        <v>0</v>
      </c>
      <c r="AF9" s="85">
        <f ca="1">('TUSD BE'!$AJ$9+'TUSD BF'!$AJ$9+'TUSD CVA'!$AJ$9)*1</f>
        <v>0</v>
      </c>
      <c r="AG9" s="85">
        <f ca="1">('TUSD BE'!$AK$9+'TUSD BF'!$AK$9+'TUSD CVA'!$AK$9)*1</f>
        <v>0</v>
      </c>
      <c r="AI9" s="85">
        <v>0</v>
      </c>
      <c r="AJ9" s="85">
        <v>0</v>
      </c>
      <c r="AK9" s="85">
        <v>9.6899291334661797E-2</v>
      </c>
      <c r="AL9" s="85">
        <v>0</v>
      </c>
      <c r="AM9" s="85">
        <v>0</v>
      </c>
      <c r="AN9" s="85">
        <v>0</v>
      </c>
      <c r="AO9" s="85">
        <v>0</v>
      </c>
      <c r="AP9" s="85">
        <v>0</v>
      </c>
      <c r="AQ9" s="85">
        <v>0</v>
      </c>
      <c r="AR9" s="85">
        <v>0</v>
      </c>
      <c r="AS9" s="85">
        <v>0</v>
      </c>
      <c r="AT9" s="85">
        <v>0</v>
      </c>
      <c r="AU9" s="85">
        <v>0</v>
      </c>
      <c r="AV9" s="85">
        <v>0</v>
      </c>
      <c r="AW9" s="85">
        <v>0</v>
      </c>
      <c r="AX9" s="85">
        <v>6.2975442321642801</v>
      </c>
      <c r="AY9" s="85">
        <v>0</v>
      </c>
      <c r="AZ9" s="85">
        <v>0</v>
      </c>
      <c r="BA9" s="85">
        <v>1.18137001549663</v>
      </c>
      <c r="BB9" s="85">
        <v>0</v>
      </c>
      <c r="BC9" s="85">
        <v>0</v>
      </c>
      <c r="BD9" s="85">
        <v>0</v>
      </c>
    </row>
    <row r="10" spans="1:56" ht="11.25" customHeight="1" x14ac:dyDescent="0.25">
      <c r="A10" s="124" t="s">
        <v>35</v>
      </c>
      <c r="B10" s="124" t="s">
        <v>44</v>
      </c>
      <c r="C10" s="124" t="s">
        <v>25</v>
      </c>
      <c r="D10" s="124" t="s">
        <v>25</v>
      </c>
      <c r="E10" s="124" t="s">
        <v>25</v>
      </c>
      <c r="F10" s="124" t="s">
        <v>25</v>
      </c>
      <c r="G10" s="28" t="s">
        <v>90</v>
      </c>
      <c r="H10" s="28" t="s">
        <v>89</v>
      </c>
      <c r="I10" s="28">
        <f>'MERCADO TUSD'!$U$7</f>
        <v>1352837</v>
      </c>
      <c r="J10" s="18"/>
      <c r="L10" s="85">
        <f>('TUSD BE'!$L$10+'TUSD BF'!$L$10+'TUSD CVA'!$L$10)*1</f>
        <v>0</v>
      </c>
      <c r="M10" s="85">
        <f>('TUSD BE'!$M$10+'TUSD BF'!$M$10+'TUSD CVA'!$M$10)*1</f>
        <v>0</v>
      </c>
      <c r="N10" s="85">
        <f ca="1">('TUSD BE'!$N$10+'TUSD BF'!$N$10+'TUSD CVA'!$N$10)*1</f>
        <v>0</v>
      </c>
      <c r="O10" s="85">
        <f>('TUSD BE'!$O$10+'TUSD BF'!$O$10+'TUSD CVA'!$O$10)*1</f>
        <v>0</v>
      </c>
      <c r="P10" s="85">
        <f>('TUSD BE'!$P$10+'TUSD BF'!$P$10+'TUSD CVA'!$P$10)*1</f>
        <v>0</v>
      </c>
      <c r="Q10" s="85">
        <f>('TUSD BE'!$Q$10+'TUSD BF'!$Q$10+'TUSD CVA'!$Q$10)*1</f>
        <v>0</v>
      </c>
      <c r="R10" s="85">
        <f>('TUSD BE'!$R$10+'TUSD BF'!$R$10+'TUSD CVA'!$R$10)*1</f>
        <v>0</v>
      </c>
      <c r="S10" s="85">
        <f>('TUSD BE'!$S$10+'TUSD BF'!$S$10+'TUSD CVA'!$S$10)*1</f>
        <v>0</v>
      </c>
      <c r="T10" s="85">
        <f>('TUSD BE'!$U$10+'TUSD BF'!$U$10+'TUSD CVA'!$U$10)*1</f>
        <v>9.4702041905047629</v>
      </c>
      <c r="U10" s="85">
        <f>('TUSD BE'!$V$10+'TUSD BF'!$V$10+'TUSD CVA'!$V$10)*1</f>
        <v>0.1187166145965968</v>
      </c>
      <c r="V10" s="85">
        <f>('TUSD BE'!$W$10+'TUSD BF'!$W$10+'TUSD CVA'!$W$10)*1</f>
        <v>1.5331610577374014E-2</v>
      </c>
      <c r="W10" s="85">
        <f>('TUSD BE'!$X$10+'TUSD BF'!$X$10+'TUSD CVA'!$X$10)*1</f>
        <v>0</v>
      </c>
      <c r="X10" s="85">
        <f>('TUSD BE'!$Y$10+'TUSD BF'!$Y$10+'TUSD CVA'!$Y$10)*1</f>
        <v>-5.4783078085450868E-4</v>
      </c>
      <c r="Y10" s="85">
        <f>('TUSD BE'!$Z$10+'TUSD BF'!$Z$10+'TUSD CVA'!$Z$10)*1</f>
        <v>0</v>
      </c>
      <c r="Z10" s="85">
        <f>('TUSD BE'!$AA$10+'TUSD BF'!$AA$10+'TUSD CVA'!$AA$10)*1</f>
        <v>0</v>
      </c>
      <c r="AA10" s="85">
        <f>('TUSD BE'!$AC$10+'TUSD BF'!$AC$10+'TUSD CVA'!$AC$10)*1</f>
        <v>49.672647090277074</v>
      </c>
      <c r="AB10" s="85">
        <f ca="1">('TUSD BE'!$AE$10+'TUSD BF'!$AE$10+'TUSD CVA'!$AE$10)*1</f>
        <v>0</v>
      </c>
      <c r="AC10" s="85">
        <f ca="1">('TUSD BE'!$AF$10+'TUSD BF'!$AF$10+'TUSD CVA'!$AF$10)*1</f>
        <v>0</v>
      </c>
      <c r="AD10" s="85">
        <f>('TUSD BE'!$AH$10+'TUSD BF'!$AH$10+'TUSD CVA'!$AH$10)*1</f>
        <v>0</v>
      </c>
      <c r="AE10" s="85">
        <f>('TUSD BE'!$AI$10+'TUSD BF'!$AI$10+'TUSD CVA'!$AI$10)*1</f>
        <v>0</v>
      </c>
      <c r="AF10" s="85">
        <f ca="1">('TUSD BE'!$AJ$10+'TUSD BF'!$AJ$10+'TUSD CVA'!$AJ$10)*1</f>
        <v>0</v>
      </c>
      <c r="AG10" s="85">
        <f ca="1">('TUSD BE'!$AK$10+'TUSD BF'!$AK$10+'TUSD CVA'!$AK$10)*1</f>
        <v>0</v>
      </c>
      <c r="AI10" s="85">
        <v>0</v>
      </c>
      <c r="AJ10" s="85">
        <v>0</v>
      </c>
      <c r="AK10" s="85">
        <v>0</v>
      </c>
      <c r="AL10" s="85">
        <v>0</v>
      </c>
      <c r="AM10" s="85">
        <v>0</v>
      </c>
      <c r="AN10" s="85">
        <v>0</v>
      </c>
      <c r="AO10" s="85">
        <v>0</v>
      </c>
      <c r="AP10" s="85">
        <v>0</v>
      </c>
      <c r="AQ10" s="85">
        <v>7.4470913033256299</v>
      </c>
      <c r="AR10" s="85">
        <v>1.23081878219233</v>
      </c>
      <c r="AS10" s="85">
        <v>-8.3185488131957502E-2</v>
      </c>
      <c r="AT10" s="85">
        <v>0</v>
      </c>
      <c r="AU10" s="85">
        <v>5.0439003284641598E-2</v>
      </c>
      <c r="AV10" s="85">
        <v>0</v>
      </c>
      <c r="AW10" s="85">
        <v>0</v>
      </c>
      <c r="AX10" s="85">
        <v>44.344990323613601</v>
      </c>
      <c r="AY10" s="85">
        <v>0</v>
      </c>
      <c r="AZ10" s="85">
        <v>0</v>
      </c>
      <c r="BA10" s="85">
        <v>0</v>
      </c>
      <c r="BB10" s="85">
        <v>0</v>
      </c>
      <c r="BC10" s="85">
        <v>0</v>
      </c>
      <c r="BD10" s="85">
        <v>0</v>
      </c>
    </row>
    <row r="11" spans="1:56" ht="11.25" customHeight="1" x14ac:dyDescent="0.25">
      <c r="A11" s="124"/>
      <c r="B11" s="124"/>
      <c r="C11" s="124"/>
      <c r="D11" s="124"/>
      <c r="E11" s="124"/>
      <c r="F11" s="124"/>
      <c r="G11" s="28" t="s">
        <v>91</v>
      </c>
      <c r="H11" s="28" t="s">
        <v>89</v>
      </c>
      <c r="I11" s="28">
        <f>'MERCADO TUSD'!$U$8</f>
        <v>1573792</v>
      </c>
      <c r="J11" s="18"/>
      <c r="L11" s="85">
        <f>('TUSD BE'!$L$11+'TUSD BF'!$L$11+'TUSD CVA'!$L$11)*1</f>
        <v>0</v>
      </c>
      <c r="M11" s="85">
        <f>('TUSD BE'!$M$11+'TUSD BF'!$M$11+'TUSD CVA'!$M$11)*1</f>
        <v>0</v>
      </c>
      <c r="N11" s="85">
        <f ca="1">('TUSD BE'!$N$11+'TUSD BF'!$N$11+'TUSD CVA'!$N$11)*1</f>
        <v>0</v>
      </c>
      <c r="O11" s="85">
        <f>('TUSD BE'!$O$11+'TUSD BF'!$O$11+'TUSD CVA'!$O$11)*1</f>
        <v>0</v>
      </c>
      <c r="P11" s="85">
        <f>('TUSD BE'!$P$11+'TUSD BF'!$P$11+'TUSD CVA'!$P$11)*1</f>
        <v>0</v>
      </c>
      <c r="Q11" s="85">
        <f>('TUSD BE'!$Q$11+'TUSD BF'!$Q$11+'TUSD CVA'!$Q$11)*1</f>
        <v>0</v>
      </c>
      <c r="R11" s="85">
        <f>('TUSD BE'!$R$11+'TUSD BF'!$R$11+'TUSD CVA'!$R$11)*1</f>
        <v>0</v>
      </c>
      <c r="S11" s="85">
        <f>('TUSD BE'!$S$11+'TUSD BF'!$S$11+'TUSD CVA'!$S$11)*1</f>
        <v>0</v>
      </c>
      <c r="T11" s="85">
        <f>('TUSD BE'!$U$11+'TUSD BF'!$U$11+'TUSD CVA'!$U$11)*1</f>
        <v>5.6773602785387158</v>
      </c>
      <c r="U11" s="85">
        <f>('TUSD BE'!$V$11+'TUSD BF'!$V$11+'TUSD CVA'!$V$11)*1</f>
        <v>7.3820383096406983E-2</v>
      </c>
      <c r="V11" s="85">
        <f>('TUSD BE'!$W$11+'TUSD BF'!$W$11+'TUSD CVA'!$W$11)*1</f>
        <v>6.9220337535621347E-3</v>
      </c>
      <c r="W11" s="85">
        <f>('TUSD BE'!$X$11+'TUSD BF'!$X$11+'TUSD CVA'!$X$11)*1</f>
        <v>0</v>
      </c>
      <c r="X11" s="85">
        <f>('TUSD BE'!$Y$11+'TUSD BF'!$Y$11+'TUSD CVA'!$Y$11)*1</f>
        <v>-8.6559541257676641E-5</v>
      </c>
      <c r="Y11" s="85">
        <f>('TUSD BE'!$Z$11+'TUSD BF'!$Z$11+'TUSD CVA'!$Z$11)*1</f>
        <v>0</v>
      </c>
      <c r="Z11" s="85">
        <f>('TUSD BE'!$AA$11+'TUSD BF'!$AA$11+'TUSD CVA'!$AA$11)*1</f>
        <v>0</v>
      </c>
      <c r="AA11" s="85">
        <f>('TUSD BE'!$AC$11+'TUSD BF'!$AC$11+'TUSD CVA'!$AC$11)*1</f>
        <v>26.172625735882409</v>
      </c>
      <c r="AB11" s="85">
        <f ca="1">('TUSD BE'!$AE$11+'TUSD BF'!$AE$11+'TUSD CVA'!$AE$11)*1</f>
        <v>0</v>
      </c>
      <c r="AC11" s="85">
        <f ca="1">('TUSD BE'!$AF$11+'TUSD BF'!$AF$11+'TUSD CVA'!$AF$11)*1</f>
        <v>0</v>
      </c>
      <c r="AD11" s="85">
        <f>('TUSD BE'!$AH$11+'TUSD BF'!$AH$11+'TUSD CVA'!$AH$11)*1</f>
        <v>0</v>
      </c>
      <c r="AE11" s="85">
        <f>('TUSD BE'!$AI$11+'TUSD BF'!$AI$11+'TUSD CVA'!$AI$11)*1</f>
        <v>0</v>
      </c>
      <c r="AF11" s="85">
        <f ca="1">('TUSD BE'!$AJ$11+'TUSD BF'!$AJ$11+'TUSD CVA'!$AJ$11)*1</f>
        <v>0</v>
      </c>
      <c r="AG11" s="85">
        <f ca="1">('TUSD BE'!$AK$11+'TUSD BF'!$AK$11+'TUSD CVA'!$AK$11)*1</f>
        <v>0</v>
      </c>
      <c r="AI11" s="85">
        <v>0</v>
      </c>
      <c r="AJ11" s="85">
        <v>0</v>
      </c>
      <c r="AK11" s="85">
        <v>0</v>
      </c>
      <c r="AL11" s="85">
        <v>0</v>
      </c>
      <c r="AM11" s="85">
        <v>0</v>
      </c>
      <c r="AN11" s="85">
        <v>0</v>
      </c>
      <c r="AO11" s="85">
        <v>0</v>
      </c>
      <c r="AP11" s="85">
        <v>0</v>
      </c>
      <c r="AQ11" s="85">
        <v>4.4645098992209302</v>
      </c>
      <c r="AR11" s="85">
        <v>0.76534791977041094</v>
      </c>
      <c r="AS11" s="85">
        <v>-3.7557225560223999E-2</v>
      </c>
      <c r="AT11" s="85">
        <v>0</v>
      </c>
      <c r="AU11" s="85">
        <v>7.9695722445587598E-3</v>
      </c>
      <c r="AV11" s="85">
        <v>0</v>
      </c>
      <c r="AW11" s="85">
        <v>0</v>
      </c>
      <c r="AX11" s="85">
        <v>23.365471803664899</v>
      </c>
      <c r="AY11" s="85">
        <v>0</v>
      </c>
      <c r="AZ11" s="85">
        <v>0</v>
      </c>
      <c r="BA11" s="85">
        <v>0</v>
      </c>
      <c r="BB11" s="85">
        <v>0</v>
      </c>
      <c r="BC11" s="85">
        <v>0</v>
      </c>
      <c r="BD11" s="85">
        <v>0</v>
      </c>
    </row>
    <row r="12" spans="1:56" ht="11.25" customHeight="1" x14ac:dyDescent="0.25">
      <c r="A12" s="124"/>
      <c r="B12" s="124"/>
      <c r="C12" s="124"/>
      <c r="D12" s="124"/>
      <c r="E12" s="124"/>
      <c r="F12" s="124"/>
      <c r="G12" s="28" t="s">
        <v>92</v>
      </c>
      <c r="H12" s="28" t="s">
        <v>86</v>
      </c>
      <c r="I12" s="28">
        <f>'MERCADO TUSD'!$U$9</f>
        <v>571563.16599999997</v>
      </c>
      <c r="J12" s="18"/>
      <c r="L12" s="85">
        <f>('TUSD BE'!$L$12+'TUSD BF'!$L$12+'TUSD CVA'!$L$12)*1</f>
        <v>12.26642276211944</v>
      </c>
      <c r="M12" s="85">
        <f>('TUSD BE'!$M$12+'TUSD BF'!$M$12+'TUSD CVA'!$M$12)*1</f>
        <v>0.79256487502713491</v>
      </c>
      <c r="N12" s="85">
        <f ca="1">('TUSD BE'!$N$12+'TUSD BF'!$N$12+'TUSD CVA'!$N$12)*1</f>
        <v>2.007340281646731</v>
      </c>
      <c r="O12" s="85">
        <f>('TUSD BE'!$O$12+'TUSD BF'!$O$12+'TUSD CVA'!$O$12)*1</f>
        <v>0</v>
      </c>
      <c r="P12" s="85">
        <f>('TUSD BE'!$P$12+'TUSD BF'!$P$12+'TUSD CVA'!$P$12)*1</f>
        <v>0</v>
      </c>
      <c r="Q12" s="85">
        <f>('TUSD BE'!$Q$12+'TUSD BF'!$Q$12+'TUSD CVA'!$Q$12)*1</f>
        <v>18.927713853038629</v>
      </c>
      <c r="R12" s="85">
        <f>('TUSD BE'!$R$12+'TUSD BF'!$R$12+'TUSD CVA'!$R$12)*1</f>
        <v>10.616102591746483</v>
      </c>
      <c r="S12" s="85">
        <f>('TUSD BE'!$S$12+'TUSD BF'!$S$12+'TUSD CVA'!$S$12)*1</f>
        <v>0</v>
      </c>
      <c r="T12" s="85">
        <f>('TUSD BE'!$U$12+'TUSD BF'!$U$12+'TUSD CVA'!$U$12)*1</f>
        <v>0</v>
      </c>
      <c r="U12" s="85">
        <f>('TUSD BE'!$V$12+'TUSD BF'!$V$12+'TUSD CVA'!$V$12)*1</f>
        <v>0</v>
      </c>
      <c r="V12" s="85">
        <f>('TUSD BE'!$W$12+'TUSD BF'!$W$12+'TUSD CVA'!$W$12)*1</f>
        <v>0</v>
      </c>
      <c r="W12" s="85">
        <f>('TUSD BE'!$X$12+'TUSD BF'!$X$12+'TUSD CVA'!$X$12)*1</f>
        <v>0</v>
      </c>
      <c r="X12" s="85">
        <f>('TUSD BE'!$Y$12+'TUSD BF'!$Y$12+'TUSD CVA'!$Y$12)*1</f>
        <v>0</v>
      </c>
      <c r="Y12" s="85">
        <f>('TUSD BE'!$Z$12+'TUSD BF'!$Z$12+'TUSD CVA'!$Z$12)*1</f>
        <v>0</v>
      </c>
      <c r="Z12" s="85">
        <f>('TUSD BE'!$AA$12+'TUSD BF'!$AA$12+'TUSD CVA'!$AA$12)*1</f>
        <v>0</v>
      </c>
      <c r="AA12" s="85">
        <f>('TUSD BE'!$AC$12+'TUSD BF'!$AC$12+'TUSD CVA'!$AC$12)*1</f>
        <v>0</v>
      </c>
      <c r="AB12" s="85">
        <f ca="1">('TUSD BE'!$AE$12+'TUSD BF'!$AE$12+'TUSD CVA'!$AE$12)*1</f>
        <v>0</v>
      </c>
      <c r="AC12" s="85">
        <f ca="1">('TUSD BE'!$AF$12+'TUSD BF'!$AF$12+'TUSD CVA'!$AF$12)*1</f>
        <v>0</v>
      </c>
      <c r="AD12" s="85">
        <f>('TUSD BE'!$AH$12+'TUSD BF'!$AH$12+'TUSD CVA'!$AH$12)*1</f>
        <v>10.405646218291828</v>
      </c>
      <c r="AE12" s="85">
        <f>('TUSD BE'!$AI$12+'TUSD BF'!$AI$12+'TUSD CVA'!$AI$12)*1</f>
        <v>0.74932836282718052</v>
      </c>
      <c r="AF12" s="85">
        <f ca="1">('TUSD BE'!$AJ$12+'TUSD BF'!$AJ$12+'TUSD CVA'!$AJ$12)*1</f>
        <v>97.638796120951042</v>
      </c>
      <c r="AG12" s="85">
        <f ca="1">('TUSD BE'!$AK$12+'TUSD BF'!$AK$12+'TUSD CVA'!$AK$12)*1</f>
        <v>15.109466263731452</v>
      </c>
      <c r="AI12" s="85">
        <v>0</v>
      </c>
      <c r="AJ12" s="85">
        <v>0.69115943444766303</v>
      </c>
      <c r="AK12" s="85">
        <v>1.90275581462761</v>
      </c>
      <c r="AL12" s="85">
        <v>0</v>
      </c>
      <c r="AM12" s="85">
        <v>0</v>
      </c>
      <c r="AN12" s="85">
        <v>19.7911137352169</v>
      </c>
      <c r="AO12" s="85">
        <v>7.5520246477920896</v>
      </c>
      <c r="AP12" s="85">
        <v>0</v>
      </c>
      <c r="AQ12" s="85">
        <v>0</v>
      </c>
      <c r="AR12" s="85">
        <v>0</v>
      </c>
      <c r="AS12" s="85">
        <v>0</v>
      </c>
      <c r="AT12" s="85">
        <v>0</v>
      </c>
      <c r="AU12" s="85">
        <v>0</v>
      </c>
      <c r="AV12" s="85">
        <v>0</v>
      </c>
      <c r="AW12" s="85">
        <v>0</v>
      </c>
      <c r="AX12" s="85">
        <v>0</v>
      </c>
      <c r="AY12" s="85">
        <v>0</v>
      </c>
      <c r="AZ12" s="85">
        <v>0</v>
      </c>
      <c r="BA12" s="85">
        <v>9.7271853273200701</v>
      </c>
      <c r="BB12" s="85">
        <v>0.76346366892450701</v>
      </c>
      <c r="BC12" s="85">
        <v>102.830162713078</v>
      </c>
      <c r="BD12" s="85">
        <v>6.3719432170838299</v>
      </c>
    </row>
    <row r="13" spans="1:56" ht="11.25" customHeight="1" x14ac:dyDescent="0.25">
      <c r="A13" s="124"/>
      <c r="B13" s="124"/>
      <c r="C13" s="124"/>
      <c r="D13" s="124"/>
      <c r="E13" s="86" t="s">
        <v>93</v>
      </c>
      <c r="F13" s="86" t="s">
        <v>25</v>
      </c>
      <c r="G13" s="28" t="s">
        <v>92</v>
      </c>
      <c r="H13" s="28" t="s">
        <v>86</v>
      </c>
      <c r="I13" s="28">
        <f>'MERCADO TUSD'!$U$10</f>
        <v>0</v>
      </c>
      <c r="J13" s="18"/>
      <c r="L13" s="85">
        <f>('TUSD BE'!$L$13+'TUSD BF'!$L$13+'TUSD CVA'!$L$13)*1</f>
        <v>0</v>
      </c>
      <c r="M13" s="85">
        <f>('TUSD BE'!$M$13+'TUSD BF'!$M$13+'TUSD CVA'!$M$13)*1</f>
        <v>0.79256487502713491</v>
      </c>
      <c r="N13" s="85">
        <f ca="1">('TUSD BE'!$N$13+'TUSD BF'!$N$13+'TUSD CVA'!$N$13)*1</f>
        <v>1.9981260307381121</v>
      </c>
      <c r="O13" s="85">
        <f>('TUSD BE'!$O$13+'TUSD BF'!$O$13+'TUSD CVA'!$O$13)*1</f>
        <v>0</v>
      </c>
      <c r="P13" s="85">
        <f>('TUSD BE'!$P$13+'TUSD BF'!$P$13+'TUSD CVA'!$P$13)*1</f>
        <v>0</v>
      </c>
      <c r="Q13" s="85">
        <f>('TUSD BE'!$Q$13+'TUSD BF'!$Q$13+'TUSD CVA'!$Q$13)*1</f>
        <v>0</v>
      </c>
      <c r="R13" s="85">
        <f>('TUSD BE'!$R$13+'TUSD BF'!$R$13+'TUSD CVA'!$R$13)*1</f>
        <v>0</v>
      </c>
      <c r="S13" s="85">
        <f>('TUSD BE'!$S$13+'TUSD BF'!$S$13+'TUSD CVA'!$S$13)*1</f>
        <v>0</v>
      </c>
      <c r="T13" s="85">
        <f>('TUSD BE'!$U$13+'TUSD BF'!$U$13+'TUSD CVA'!$U$13)*1</f>
        <v>0</v>
      </c>
      <c r="U13" s="85">
        <f>('TUSD BE'!$V$13+'TUSD BF'!$V$13+'TUSD CVA'!$V$13)*1</f>
        <v>0</v>
      </c>
      <c r="V13" s="85">
        <f>('TUSD BE'!$W$13+'TUSD BF'!$W$13+'TUSD CVA'!$W$13)*1</f>
        <v>0</v>
      </c>
      <c r="W13" s="85">
        <f>('TUSD BE'!$X$13+'TUSD BF'!$X$13+'TUSD CVA'!$X$13)*1</f>
        <v>0</v>
      </c>
      <c r="X13" s="85">
        <f>('TUSD BE'!$Y$13+'TUSD BF'!$Y$13+'TUSD CVA'!$Y$13)*1</f>
        <v>0</v>
      </c>
      <c r="Y13" s="85">
        <f>('TUSD BE'!$Z$13+'TUSD BF'!$Z$13+'TUSD CVA'!$Z$13)*1</f>
        <v>0</v>
      </c>
      <c r="Z13" s="85">
        <f>('TUSD BE'!$AA$13+'TUSD BF'!$AA$13+'TUSD CVA'!$AA$13)*1</f>
        <v>0</v>
      </c>
      <c r="AA13" s="85">
        <f>('TUSD BE'!$AC$13+'TUSD BF'!$AC$13+'TUSD CVA'!$AC$13)*1</f>
        <v>0</v>
      </c>
      <c r="AB13" s="85">
        <f ca="1">('TUSD BE'!$AE$13+'TUSD BF'!$AE$13+'TUSD CVA'!$AE$13)*1</f>
        <v>0</v>
      </c>
      <c r="AC13" s="85">
        <f ca="1">('TUSD BE'!$AF$13+'TUSD BF'!$AF$13+'TUSD CVA'!$AF$13)*1</f>
        <v>0</v>
      </c>
      <c r="AD13" s="85">
        <f>('TUSD BE'!$AH$13+'TUSD BF'!$AH$13+'TUSD CVA'!$AH$13)*1</f>
        <v>10.405646218291828</v>
      </c>
      <c r="AE13" s="85">
        <f>('TUSD BE'!$AI$13+'TUSD BF'!$AI$13+'TUSD CVA'!$AI$13)*1</f>
        <v>0.74932836282718052</v>
      </c>
      <c r="AF13" s="85">
        <f ca="1">('TUSD BE'!$AJ$13+'TUSD BF'!$AJ$13+'TUSD CVA'!$AJ$13)*1</f>
        <v>97.638796120951042</v>
      </c>
      <c r="AG13" s="85">
        <f ca="1">('TUSD BE'!$AK$13+'TUSD BF'!$AK$13+'TUSD CVA'!$AK$13)*1</f>
        <v>15.109466263731452</v>
      </c>
      <c r="AI13" s="85">
        <v>0</v>
      </c>
      <c r="AJ13" s="85">
        <v>0.69115943444766303</v>
      </c>
      <c r="AK13" s="85">
        <v>1.89441994135914</v>
      </c>
      <c r="AL13" s="85">
        <v>0</v>
      </c>
      <c r="AM13" s="85">
        <v>0</v>
      </c>
      <c r="AN13" s="85">
        <v>0</v>
      </c>
      <c r="AO13" s="85">
        <v>0</v>
      </c>
      <c r="AP13" s="85">
        <v>0</v>
      </c>
      <c r="AQ13" s="85">
        <v>0</v>
      </c>
      <c r="AR13" s="85">
        <v>0</v>
      </c>
      <c r="AS13" s="85">
        <v>0</v>
      </c>
      <c r="AT13" s="85">
        <v>0</v>
      </c>
      <c r="AU13" s="85">
        <v>0</v>
      </c>
      <c r="AV13" s="85">
        <v>0</v>
      </c>
      <c r="AW13" s="85">
        <v>0</v>
      </c>
      <c r="AX13" s="85">
        <v>0</v>
      </c>
      <c r="AY13" s="85">
        <v>0</v>
      </c>
      <c r="AZ13" s="85">
        <v>0</v>
      </c>
      <c r="BA13" s="85">
        <v>9.7271853273200701</v>
      </c>
      <c r="BB13" s="85">
        <v>0.76346366892450701</v>
      </c>
      <c r="BC13" s="85">
        <v>102.830162713078</v>
      </c>
      <c r="BD13" s="85">
        <v>6.3719432170838299</v>
      </c>
    </row>
    <row r="14" spans="1:56" ht="11.25" customHeight="1" x14ac:dyDescent="0.25">
      <c r="A14" s="124"/>
      <c r="B14" s="86" t="s">
        <v>63</v>
      </c>
      <c r="C14" s="86" t="s">
        <v>25</v>
      </c>
      <c r="D14" s="86" t="s">
        <v>25</v>
      </c>
      <c r="E14" s="86" t="s">
        <v>25</v>
      </c>
      <c r="F14" s="86" t="s">
        <v>25</v>
      </c>
      <c r="G14" s="28" t="s">
        <v>9</v>
      </c>
      <c r="H14" s="28" t="s">
        <v>89</v>
      </c>
      <c r="I14" s="28">
        <f>'MERCADO TUSD'!$U$11</f>
        <v>0</v>
      </c>
      <c r="J14" s="18"/>
      <c r="L14" s="85">
        <f>('TUSD BE'!$L$14+'TUSD BF'!$L$14+'TUSD CVA'!$L$14)*1</f>
        <v>0</v>
      </c>
      <c r="M14" s="85">
        <f>('TUSD BE'!$M$14+'TUSD BF'!$M$14+'TUSD CVA'!$M$14)*1</f>
        <v>8.1647783334366106E-2</v>
      </c>
      <c r="N14" s="85">
        <f ca="1">('TUSD BE'!$N$14+'TUSD BF'!$N$14+'TUSD CVA'!$N$14)*1</f>
        <v>0.18271859551791081</v>
      </c>
      <c r="O14" s="85">
        <f>('TUSD BE'!$O$14+'TUSD BF'!$O$14+'TUSD CVA'!$O$14)*1</f>
        <v>0</v>
      </c>
      <c r="P14" s="85">
        <f>('TUSD BE'!$P$14+'TUSD BF'!$P$14+'TUSD CVA'!$P$14)*1</f>
        <v>0</v>
      </c>
      <c r="Q14" s="85">
        <f>('TUSD BE'!$Q$14+'TUSD BF'!$Q$14+'TUSD CVA'!$Q$14)*1</f>
        <v>0</v>
      </c>
      <c r="R14" s="85">
        <f>('TUSD BE'!$R$14+'TUSD BF'!$R$14+'TUSD CVA'!$R$14)*1</f>
        <v>0</v>
      </c>
      <c r="S14" s="85">
        <f>('TUSD BE'!$S$14+'TUSD BF'!$S$14+'TUSD CVA'!$S$14)*1</f>
        <v>0</v>
      </c>
      <c r="T14" s="85">
        <f>('TUSD BE'!$U$14+'TUSD BF'!$U$14+'TUSD CVA'!$U$14)*1</f>
        <v>0</v>
      </c>
      <c r="U14" s="85">
        <f>('TUSD BE'!$V$14+'TUSD BF'!$V$14+'TUSD CVA'!$V$14)*1</f>
        <v>0</v>
      </c>
      <c r="V14" s="85">
        <f>('TUSD BE'!$W$14+'TUSD BF'!$W$14+'TUSD CVA'!$W$14)*1</f>
        <v>0</v>
      </c>
      <c r="W14" s="85">
        <f>('TUSD BE'!$X$14+'TUSD BF'!$X$14+'TUSD CVA'!$X$14)*1</f>
        <v>0</v>
      </c>
      <c r="X14" s="85">
        <f>('TUSD BE'!$Y$14+'TUSD BF'!$Y$14+'TUSD CVA'!$Y$14)*1</f>
        <v>0</v>
      </c>
      <c r="Y14" s="85">
        <f>('TUSD BE'!$Z$14+'TUSD BF'!$Z$14+'TUSD CVA'!$Z$14)*1</f>
        <v>0</v>
      </c>
      <c r="Z14" s="85">
        <f>('TUSD BE'!$AA$14+'TUSD BF'!$AA$14+'TUSD CVA'!$AA$14)*1</f>
        <v>0</v>
      </c>
      <c r="AA14" s="85">
        <f>('TUSD BE'!$AC$14+'TUSD BF'!$AC$14+'TUSD CVA'!$AC$14)*1</f>
        <v>22.400217768837202</v>
      </c>
      <c r="AB14" s="85">
        <f ca="1">('TUSD BE'!$AE$14+'TUSD BF'!$AE$14+'TUSD CVA'!$AE$14)*1</f>
        <v>0</v>
      </c>
      <c r="AC14" s="85">
        <f ca="1">('TUSD BE'!$AF$14+'TUSD BF'!$AF$14+'TUSD CVA'!$AF$14)*1</f>
        <v>0</v>
      </c>
      <c r="AD14" s="85">
        <f>('TUSD BE'!$AH$14+'TUSD BF'!$AH$14+'TUSD CVA'!$AH$14)*1</f>
        <v>0</v>
      </c>
      <c r="AE14" s="85">
        <f>('TUSD BE'!$AI$14+'TUSD BF'!$AI$14+'TUSD CVA'!$AI$14)*1</f>
        <v>0</v>
      </c>
      <c r="AF14" s="85">
        <f ca="1">('TUSD BE'!$AJ$14+'TUSD BF'!$AJ$14+'TUSD CVA'!$AJ$14)*1</f>
        <v>0</v>
      </c>
      <c r="AG14" s="85">
        <f ca="1">('TUSD BE'!$AK$14+'TUSD BF'!$AK$14+'TUSD CVA'!$AK$14)*1</f>
        <v>0</v>
      </c>
      <c r="AI14" s="85">
        <v>0</v>
      </c>
      <c r="AJ14" s="85">
        <v>7.7931362256485795E-2</v>
      </c>
      <c r="AK14" s="85">
        <v>0.16530036691383301</v>
      </c>
      <c r="AL14" s="85">
        <v>0</v>
      </c>
      <c r="AM14" s="85">
        <v>0</v>
      </c>
      <c r="AN14" s="85">
        <v>0</v>
      </c>
      <c r="AO14" s="85">
        <v>0</v>
      </c>
      <c r="AP14" s="85">
        <v>0</v>
      </c>
      <c r="AQ14" s="85">
        <v>0</v>
      </c>
      <c r="AR14" s="85">
        <v>0</v>
      </c>
      <c r="AS14" s="85">
        <v>0</v>
      </c>
      <c r="AT14" s="85">
        <v>0</v>
      </c>
      <c r="AU14" s="85">
        <v>0</v>
      </c>
      <c r="AV14" s="85">
        <v>0</v>
      </c>
      <c r="AW14" s="85">
        <v>0</v>
      </c>
      <c r="AX14" s="85">
        <v>19.997674744424099</v>
      </c>
      <c r="AY14" s="85">
        <v>0</v>
      </c>
      <c r="AZ14" s="85">
        <v>0</v>
      </c>
      <c r="BA14" s="85">
        <v>0</v>
      </c>
      <c r="BB14" s="85">
        <v>0</v>
      </c>
      <c r="BC14" s="85">
        <v>0</v>
      </c>
      <c r="BD14" s="85">
        <v>0</v>
      </c>
    </row>
    <row r="15" spans="1:56" ht="11.25" customHeight="1" x14ac:dyDescent="0.25">
      <c r="A15" s="124"/>
      <c r="B15" s="124" t="s">
        <v>36</v>
      </c>
      <c r="C15" s="124" t="s">
        <v>25</v>
      </c>
      <c r="D15" s="124" t="s">
        <v>25</v>
      </c>
      <c r="E15" s="124" t="s">
        <v>25</v>
      </c>
      <c r="F15" s="124" t="s">
        <v>25</v>
      </c>
      <c r="G15" s="28" t="s">
        <v>9</v>
      </c>
      <c r="H15" s="28" t="s">
        <v>89</v>
      </c>
      <c r="I15" s="28">
        <f>'MERCADO TUSD'!$U$12</f>
        <v>6127957</v>
      </c>
      <c r="J15" s="18"/>
      <c r="L15" s="85">
        <f>('TUSD BE'!$L$15+'TUSD BF'!$L$15+'TUSD CVA'!$L$15)*1</f>
        <v>0</v>
      </c>
      <c r="M15" s="85">
        <f>('TUSD BE'!$M$15+'TUSD BF'!$M$15+'TUSD CVA'!$M$15)*1</f>
        <v>0</v>
      </c>
      <c r="N15" s="85">
        <f ca="1">('TUSD BE'!$N$15+'TUSD BF'!$N$15+'TUSD CVA'!$N$15)*1</f>
        <v>0</v>
      </c>
      <c r="O15" s="85">
        <f>('TUSD BE'!$O$15+'TUSD BF'!$O$15+'TUSD CVA'!$O$15)*1</f>
        <v>0</v>
      </c>
      <c r="P15" s="85">
        <f>('TUSD BE'!$P$15+'TUSD BF'!$P$15+'TUSD CVA'!$P$15)*1</f>
        <v>0</v>
      </c>
      <c r="Q15" s="85">
        <f>('TUSD BE'!$Q$15+'TUSD BF'!$Q$15+'TUSD CVA'!$Q$15)*1</f>
        <v>0</v>
      </c>
      <c r="R15" s="85">
        <f>('TUSD BE'!$R$15+'TUSD BF'!$R$15+'TUSD CVA'!$R$15)*1</f>
        <v>0</v>
      </c>
      <c r="S15" s="85">
        <f>('TUSD BE'!$S$15+'TUSD BF'!$S$15+'TUSD CVA'!$S$15)*1</f>
        <v>0</v>
      </c>
      <c r="T15" s="85">
        <f>('TUSD BE'!$U$15+'TUSD BF'!$U$15+'TUSD CVA'!$U$15)*1</f>
        <v>5.6773602785387158</v>
      </c>
      <c r="U15" s="85">
        <f>('TUSD BE'!$V$15+'TUSD BF'!$V$15+'TUSD CVA'!$V$15)*1</f>
        <v>7.3820383096406983E-2</v>
      </c>
      <c r="V15" s="85">
        <f>('TUSD BE'!$W$15+'TUSD BF'!$W$15+'TUSD CVA'!$W$15)*1</f>
        <v>6.9220337535621347E-3</v>
      </c>
      <c r="W15" s="85">
        <f>('TUSD BE'!$X$15+'TUSD BF'!$X$15+'TUSD CVA'!$X$15)*1</f>
        <v>0</v>
      </c>
      <c r="X15" s="85">
        <f>('TUSD BE'!$Y$15+'TUSD BF'!$Y$15+'TUSD CVA'!$Y$15)*1</f>
        <v>-8.6559541257676641E-5</v>
      </c>
      <c r="Y15" s="85">
        <f>('TUSD BE'!$Z$15+'TUSD BF'!$Z$15+'TUSD CVA'!$Z$15)*1</f>
        <v>0</v>
      </c>
      <c r="Z15" s="85">
        <f>('TUSD BE'!$AA$15+'TUSD BF'!$AA$15+'TUSD CVA'!$AA$15)*1</f>
        <v>0</v>
      </c>
      <c r="AA15" s="85">
        <f>('TUSD BE'!$AC$15+'TUSD BF'!$AC$15+'TUSD CVA'!$AC$15)*1</f>
        <v>26.172625735882409</v>
      </c>
      <c r="AB15" s="85">
        <f ca="1">('TUSD BE'!$AE$15+'TUSD BF'!$AE$15+'TUSD CVA'!$AE$15)*1</f>
        <v>0</v>
      </c>
      <c r="AC15" s="85">
        <f ca="1">('TUSD BE'!$AF$15+'TUSD BF'!$AF$15+'TUSD CVA'!$AF$15)*1</f>
        <v>0</v>
      </c>
      <c r="AD15" s="85">
        <f>('TUSD BE'!$AH$15+'TUSD BF'!$AH$15+'TUSD CVA'!$AH$15)*1</f>
        <v>0</v>
      </c>
      <c r="AE15" s="85">
        <f>('TUSD BE'!$AI$15+'TUSD BF'!$AI$15+'TUSD CVA'!$AI$15)*1</f>
        <v>0</v>
      </c>
      <c r="AF15" s="85">
        <f ca="1">('TUSD BE'!$AJ$15+'TUSD BF'!$AJ$15+'TUSD CVA'!$AJ$15)*1</f>
        <v>0</v>
      </c>
      <c r="AG15" s="85">
        <f ca="1">('TUSD BE'!$AK$15+'TUSD BF'!$AK$15+'TUSD CVA'!$AK$15)*1</f>
        <v>0</v>
      </c>
      <c r="AI15" s="85">
        <v>0</v>
      </c>
      <c r="AJ15" s="85">
        <v>0</v>
      </c>
      <c r="AK15" s="85">
        <v>0</v>
      </c>
      <c r="AL15" s="85">
        <v>0</v>
      </c>
      <c r="AM15" s="85">
        <v>0</v>
      </c>
      <c r="AN15" s="85">
        <v>0</v>
      </c>
      <c r="AO15" s="85">
        <v>0</v>
      </c>
      <c r="AP15" s="85">
        <v>0</v>
      </c>
      <c r="AQ15" s="85">
        <v>4.4645098992209302</v>
      </c>
      <c r="AR15" s="85">
        <v>0.76534791977041094</v>
      </c>
      <c r="AS15" s="85">
        <v>-3.7557225560223999E-2</v>
      </c>
      <c r="AT15" s="85">
        <v>0</v>
      </c>
      <c r="AU15" s="85">
        <v>7.9695722445587598E-3</v>
      </c>
      <c r="AV15" s="85">
        <v>0</v>
      </c>
      <c r="AW15" s="85">
        <v>0</v>
      </c>
      <c r="AX15" s="85">
        <v>23.365471803664899</v>
      </c>
      <c r="AY15" s="85">
        <v>0</v>
      </c>
      <c r="AZ15" s="85">
        <v>0</v>
      </c>
      <c r="BA15" s="85">
        <v>0</v>
      </c>
      <c r="BB15" s="85">
        <v>0</v>
      </c>
      <c r="BC15" s="85">
        <v>0</v>
      </c>
      <c r="BD15" s="85">
        <v>0</v>
      </c>
    </row>
    <row r="16" spans="1:56" ht="11.25" customHeight="1" x14ac:dyDescent="0.25">
      <c r="A16" s="124"/>
      <c r="B16" s="124"/>
      <c r="C16" s="124"/>
      <c r="D16" s="124"/>
      <c r="E16" s="124"/>
      <c r="F16" s="124"/>
      <c r="G16" s="28" t="s">
        <v>87</v>
      </c>
      <c r="H16" s="28" t="s">
        <v>86</v>
      </c>
      <c r="I16" s="28">
        <f>'MERCADO TUSD'!$U$13</f>
        <v>91326.053000000014</v>
      </c>
      <c r="J16" s="18"/>
      <c r="L16" s="85">
        <f>('TUSD BE'!$L$16+'TUSD BF'!$L$16+'TUSD CVA'!$L$16)*1</f>
        <v>12.26642276211944</v>
      </c>
      <c r="M16" s="85">
        <f>('TUSD BE'!$M$16+'TUSD BF'!$M$16+'TUSD CVA'!$M$16)*1</f>
        <v>0.79256487502713491</v>
      </c>
      <c r="N16" s="85">
        <f ca="1">('TUSD BE'!$N$16+'TUSD BF'!$N$16+'TUSD CVA'!$N$16)*1</f>
        <v>13.886862101113334</v>
      </c>
      <c r="O16" s="85">
        <f>('TUSD BE'!$O$16+'TUSD BF'!$O$16+'TUSD CVA'!$O$16)*1</f>
        <v>0</v>
      </c>
      <c r="P16" s="85">
        <f>('TUSD BE'!$P$16+'TUSD BF'!$P$16+'TUSD CVA'!$P$16)*1</f>
        <v>0</v>
      </c>
      <c r="Q16" s="85">
        <f>('TUSD BE'!$Q$16+'TUSD BF'!$Q$16+'TUSD CVA'!$Q$16)*1</f>
        <v>18.927713853038629</v>
      </c>
      <c r="R16" s="85">
        <f>('TUSD BE'!$R$16+'TUSD BF'!$R$16+'TUSD CVA'!$R$16)*1</f>
        <v>10.616102591746483</v>
      </c>
      <c r="S16" s="85">
        <f>('TUSD BE'!$S$16+'TUSD BF'!$S$16+'TUSD CVA'!$S$16)*1</f>
        <v>0</v>
      </c>
      <c r="T16" s="85">
        <f>('TUSD BE'!$U$16+'TUSD BF'!$U$16+'TUSD CVA'!$U$16)*1</f>
        <v>227.75957365316336</v>
      </c>
      <c r="U16" s="85">
        <f>('TUSD BE'!$V$16+'TUSD BF'!$V$16+'TUSD CVA'!$V$16)*1</f>
        <v>2.8552020493167132</v>
      </c>
      <c r="V16" s="85">
        <f>('TUSD BE'!$W$16+'TUSD BF'!$W$16+'TUSD CVA'!$W$16)*1</f>
        <v>0.36849416936226626</v>
      </c>
      <c r="W16" s="85">
        <f>('TUSD BE'!$X$16+'TUSD BF'!$X$16+'TUSD CVA'!$X$16)*1</f>
        <v>0</v>
      </c>
      <c r="X16" s="85">
        <f>('TUSD BE'!$Y$16+'TUSD BF'!$Y$16+'TUSD CVA'!$Y$16)*1</f>
        <v>-1.3178690156481321E-2</v>
      </c>
      <c r="Y16" s="85">
        <f>('TUSD BE'!$Z$16+'TUSD BF'!$Z$16+'TUSD CVA'!$Z$16)*1</f>
        <v>0</v>
      </c>
      <c r="Z16" s="85">
        <f>('TUSD BE'!$AA$16+'TUSD BF'!$AA$16+'TUSD CVA'!$AA$16)*1</f>
        <v>0</v>
      </c>
      <c r="AA16" s="85">
        <f>('TUSD BE'!$AC$16+'TUSD BF'!$AC$16+'TUSD CVA'!$AC$16)*1</f>
        <v>1194.6286370928028</v>
      </c>
      <c r="AB16" s="85">
        <f ca="1">('TUSD BE'!$AE$16+'TUSD BF'!$AE$16+'TUSD CVA'!$AE$16)*1</f>
        <v>0</v>
      </c>
      <c r="AC16" s="85">
        <f ca="1">('TUSD BE'!$AF$16+'TUSD BF'!$AF$16+'TUSD CVA'!$AF$16)*1</f>
        <v>0</v>
      </c>
      <c r="AD16" s="85">
        <f>('TUSD BE'!$AH$16+'TUSD BF'!$AH$16+'TUSD CVA'!$AH$16)*1</f>
        <v>10.405646218291828</v>
      </c>
      <c r="AE16" s="85">
        <f>('TUSD BE'!$AI$16+'TUSD BF'!$AI$16+'TUSD CVA'!$AI$16)*1</f>
        <v>0.74932836282718052</v>
      </c>
      <c r="AF16" s="85">
        <f ca="1">('TUSD BE'!$AJ$16+'TUSD BF'!$AJ$16+'TUSD CVA'!$AJ$16)*1</f>
        <v>97.638796120951042</v>
      </c>
      <c r="AG16" s="85">
        <f ca="1">('TUSD BE'!$AK$16+'TUSD BF'!$AK$16+'TUSD CVA'!$AK$16)*1</f>
        <v>15.109466263731452</v>
      </c>
      <c r="AI16" s="85">
        <v>0</v>
      </c>
      <c r="AJ16" s="85">
        <v>0.69115943444766303</v>
      </c>
      <c r="AK16" s="85">
        <v>12.649824606135599</v>
      </c>
      <c r="AL16" s="85">
        <v>0</v>
      </c>
      <c r="AM16" s="85">
        <v>0</v>
      </c>
      <c r="AN16" s="85">
        <v>19.7911137352169</v>
      </c>
      <c r="AO16" s="85">
        <v>7.5520246477920896</v>
      </c>
      <c r="AP16" s="85">
        <v>0</v>
      </c>
      <c r="AQ16" s="85">
        <v>179.10346029310099</v>
      </c>
      <c r="AR16" s="85">
        <v>29.601891202798701</v>
      </c>
      <c r="AS16" s="85">
        <v>-1.9993572884911199</v>
      </c>
      <c r="AT16" s="85">
        <v>0</v>
      </c>
      <c r="AU16" s="85">
        <v>1.21336737423407</v>
      </c>
      <c r="AV16" s="85">
        <v>0</v>
      </c>
      <c r="AW16" s="85">
        <v>0</v>
      </c>
      <c r="AX16" s="85">
        <v>1066.4983336988601</v>
      </c>
      <c r="AY16" s="85">
        <v>0</v>
      </c>
      <c r="AZ16" s="85">
        <v>0</v>
      </c>
      <c r="BA16" s="85">
        <v>9.7271853273200701</v>
      </c>
      <c r="BB16" s="85">
        <v>0.76346366892450701</v>
      </c>
      <c r="BC16" s="85">
        <v>102.830162713078</v>
      </c>
      <c r="BD16" s="85">
        <v>6.3719432170838299</v>
      </c>
    </row>
    <row r="17" spans="1:56" ht="11.25" customHeight="1" x14ac:dyDescent="0.25">
      <c r="A17" s="124"/>
      <c r="B17" s="124"/>
      <c r="C17" s="124"/>
      <c r="D17" s="124"/>
      <c r="E17" s="124"/>
      <c r="F17" s="124"/>
      <c r="G17" s="28" t="s">
        <v>88</v>
      </c>
      <c r="H17" s="28" t="s">
        <v>86</v>
      </c>
      <c r="I17" s="28">
        <f>'MERCADO TUSD'!$U$14</f>
        <v>1142508.3459999999</v>
      </c>
      <c r="J17" s="18"/>
      <c r="L17" s="85">
        <f>('TUSD BE'!$L$17+'TUSD BF'!$L$17+'TUSD CVA'!$L$17)*1</f>
        <v>12.26642276211944</v>
      </c>
      <c r="M17" s="85">
        <f>('TUSD BE'!$M$17+'TUSD BF'!$M$17+'TUSD CVA'!$M$17)*1</f>
        <v>0.79256487502713491</v>
      </c>
      <c r="N17" s="85">
        <f ca="1">('TUSD BE'!$N$17+'TUSD BF'!$N$17+'TUSD CVA'!$N$17)*1</f>
        <v>2.007340281646731</v>
      </c>
      <c r="O17" s="85">
        <f>('TUSD BE'!$O$17+'TUSD BF'!$O$17+'TUSD CVA'!$O$17)*1</f>
        <v>0</v>
      </c>
      <c r="P17" s="85">
        <f>('TUSD BE'!$P$17+'TUSD BF'!$P$17+'TUSD CVA'!$P$17)*1</f>
        <v>0</v>
      </c>
      <c r="Q17" s="85">
        <f>('TUSD BE'!$Q$17+'TUSD BF'!$Q$17+'TUSD CVA'!$Q$17)*1</f>
        <v>18.927713853038629</v>
      </c>
      <c r="R17" s="85">
        <f>('TUSD BE'!$R$17+'TUSD BF'!$R$17+'TUSD CVA'!$R$17)*1</f>
        <v>10.616102591746483</v>
      </c>
      <c r="S17" s="85">
        <f>('TUSD BE'!$S$17+'TUSD BF'!$S$17+'TUSD CVA'!$S$17)*1</f>
        <v>0</v>
      </c>
      <c r="T17" s="85">
        <f>('TUSD BE'!$U$17+'TUSD BF'!$U$17+'TUSD CVA'!$U$17)*1</f>
        <v>0</v>
      </c>
      <c r="U17" s="85">
        <f>('TUSD BE'!$V$17+'TUSD BF'!$V$17+'TUSD CVA'!$V$17)*1</f>
        <v>0</v>
      </c>
      <c r="V17" s="85">
        <f>('TUSD BE'!$W$17+'TUSD BF'!$W$17+'TUSD CVA'!$W$17)*1</f>
        <v>0</v>
      </c>
      <c r="W17" s="85">
        <f>('TUSD BE'!$X$17+'TUSD BF'!$X$17+'TUSD CVA'!$X$17)*1</f>
        <v>0</v>
      </c>
      <c r="X17" s="85">
        <f>('TUSD BE'!$Y$17+'TUSD BF'!$Y$17+'TUSD CVA'!$Y$17)*1</f>
        <v>0</v>
      </c>
      <c r="Y17" s="85">
        <f>('TUSD BE'!$Z$17+'TUSD BF'!$Z$17+'TUSD CVA'!$Z$17)*1</f>
        <v>0</v>
      </c>
      <c r="Z17" s="85">
        <f>('TUSD BE'!$AA$17+'TUSD BF'!$AA$17+'TUSD CVA'!$AA$17)*1</f>
        <v>0</v>
      </c>
      <c r="AA17" s="85">
        <f>('TUSD BE'!$AC$17+'TUSD BF'!$AC$17+'TUSD CVA'!$AC$17)*1</f>
        <v>0</v>
      </c>
      <c r="AB17" s="85">
        <f ca="1">('TUSD BE'!$AE$17+'TUSD BF'!$AE$17+'TUSD CVA'!$AE$17)*1</f>
        <v>0</v>
      </c>
      <c r="AC17" s="85">
        <f ca="1">('TUSD BE'!$AF$17+'TUSD BF'!$AF$17+'TUSD CVA'!$AF$17)*1</f>
        <v>0</v>
      </c>
      <c r="AD17" s="85">
        <f>('TUSD BE'!$AH$17+'TUSD BF'!$AH$17+'TUSD CVA'!$AH$17)*1</f>
        <v>10.405646218291828</v>
      </c>
      <c r="AE17" s="85">
        <f>('TUSD BE'!$AI$17+'TUSD BF'!$AI$17+'TUSD CVA'!$AI$17)*1</f>
        <v>0.74932836282718052</v>
      </c>
      <c r="AF17" s="85">
        <f ca="1">('TUSD BE'!$AJ$17+'TUSD BF'!$AJ$17+'TUSD CVA'!$AJ$17)*1</f>
        <v>97.638796120951042</v>
      </c>
      <c r="AG17" s="85">
        <f ca="1">('TUSD BE'!$AK$17+'TUSD BF'!$AK$17+'TUSD CVA'!$AK$17)*1</f>
        <v>15.109466263731452</v>
      </c>
      <c r="AI17" s="85">
        <v>0</v>
      </c>
      <c r="AJ17" s="85">
        <v>0.69115943444766303</v>
      </c>
      <c r="AK17" s="85">
        <v>1.90275581462761</v>
      </c>
      <c r="AL17" s="85">
        <v>0</v>
      </c>
      <c r="AM17" s="85">
        <v>0</v>
      </c>
      <c r="AN17" s="85">
        <v>19.7911137352169</v>
      </c>
      <c r="AO17" s="85">
        <v>7.5520246477920896</v>
      </c>
      <c r="AP17" s="85">
        <v>0</v>
      </c>
      <c r="AQ17" s="85">
        <v>0</v>
      </c>
      <c r="AR17" s="85">
        <v>0</v>
      </c>
      <c r="AS17" s="85">
        <v>0</v>
      </c>
      <c r="AT17" s="85">
        <v>0</v>
      </c>
      <c r="AU17" s="85">
        <v>0</v>
      </c>
      <c r="AV17" s="85">
        <v>0</v>
      </c>
      <c r="AW17" s="85">
        <v>0</v>
      </c>
      <c r="AX17" s="85">
        <v>0</v>
      </c>
      <c r="AY17" s="85">
        <v>0</v>
      </c>
      <c r="AZ17" s="85">
        <v>0</v>
      </c>
      <c r="BA17" s="85">
        <v>9.7271853273200701</v>
      </c>
      <c r="BB17" s="85">
        <v>0.76346366892450701</v>
      </c>
      <c r="BC17" s="85">
        <v>102.830162713078</v>
      </c>
      <c r="BD17" s="85">
        <v>6.3719432170838299</v>
      </c>
    </row>
    <row r="18" spans="1:56" ht="11.25" customHeight="1" x14ac:dyDescent="0.25">
      <c r="A18" s="124"/>
      <c r="B18" s="124"/>
      <c r="C18" s="124"/>
      <c r="D18" s="124"/>
      <c r="E18" s="124" t="s">
        <v>93</v>
      </c>
      <c r="F18" s="124" t="s">
        <v>25</v>
      </c>
      <c r="G18" s="28" t="s">
        <v>87</v>
      </c>
      <c r="H18" s="28" t="s">
        <v>86</v>
      </c>
      <c r="I18" s="28">
        <f>'MERCADO TUSD'!$U$15</f>
        <v>0</v>
      </c>
      <c r="J18" s="18"/>
      <c r="L18" s="85">
        <f>('TUSD BE'!$L$18+'TUSD BF'!$L$18+'TUSD CVA'!$L$18)*1</f>
        <v>0</v>
      </c>
      <c r="M18" s="85">
        <f>('TUSD BE'!$M$18+'TUSD BF'!$M$18+'TUSD CVA'!$M$18)*1</f>
        <v>0.79256487502713491</v>
      </c>
      <c r="N18" s="85">
        <f ca="1">('TUSD BE'!$N$18+'TUSD BF'!$N$18+'TUSD CVA'!$N$18)*1</f>
        <v>13.877647850204713</v>
      </c>
      <c r="O18" s="85">
        <f>('TUSD BE'!$O$18+'TUSD BF'!$O$18+'TUSD CVA'!$O$18)*1</f>
        <v>0</v>
      </c>
      <c r="P18" s="85">
        <f>('TUSD BE'!$P$18+'TUSD BF'!$P$18+'TUSD CVA'!$P$18)*1</f>
        <v>0</v>
      </c>
      <c r="Q18" s="85">
        <f>('TUSD BE'!$Q$18+'TUSD BF'!$Q$18+'TUSD CVA'!$Q$18)*1</f>
        <v>0</v>
      </c>
      <c r="R18" s="85">
        <f>('TUSD BE'!$R$18+'TUSD BF'!$R$18+'TUSD CVA'!$R$18)*1</f>
        <v>0</v>
      </c>
      <c r="S18" s="85">
        <f>('TUSD BE'!$S$18+'TUSD BF'!$S$18+'TUSD CVA'!$S$18)*1</f>
        <v>0</v>
      </c>
      <c r="T18" s="85">
        <f>('TUSD BE'!$U$18+'TUSD BF'!$U$18+'TUSD CVA'!$U$18)*1</f>
        <v>227.75957365316336</v>
      </c>
      <c r="U18" s="85">
        <f>('TUSD BE'!$V$18+'TUSD BF'!$V$18+'TUSD CVA'!$V$18)*1</f>
        <v>2.8552020493167132</v>
      </c>
      <c r="V18" s="85">
        <f>('TUSD BE'!$W$18+'TUSD BF'!$W$18+'TUSD CVA'!$W$18)*1</f>
        <v>0.36849416936226626</v>
      </c>
      <c r="W18" s="85">
        <f>('TUSD BE'!$X$18+'TUSD BF'!$X$18+'TUSD CVA'!$X$18)*1</f>
        <v>0</v>
      </c>
      <c r="X18" s="85">
        <f>('TUSD BE'!$Y$18+'TUSD BF'!$Y$18+'TUSD CVA'!$Y$18)*1</f>
        <v>-1.3178690156481321E-2</v>
      </c>
      <c r="Y18" s="85">
        <f>('TUSD BE'!$Z$18+'TUSD BF'!$Z$18+'TUSD CVA'!$Z$18)*1</f>
        <v>0</v>
      </c>
      <c r="Z18" s="85">
        <f>('TUSD BE'!$AA$18+'TUSD BF'!$AA$18+'TUSD CVA'!$AA$18)*1</f>
        <v>0</v>
      </c>
      <c r="AA18" s="85">
        <f>('TUSD BE'!$AC$18+'TUSD BF'!$AC$18+'TUSD CVA'!$AC$18)*1</f>
        <v>1194.6286370928028</v>
      </c>
      <c r="AB18" s="85">
        <f ca="1">('TUSD BE'!$AE$18+'TUSD BF'!$AE$18+'TUSD CVA'!$AE$18)*1</f>
        <v>0</v>
      </c>
      <c r="AC18" s="85">
        <f ca="1">('TUSD BE'!$AF$18+'TUSD BF'!$AF$18+'TUSD CVA'!$AF$18)*1</f>
        <v>0</v>
      </c>
      <c r="AD18" s="85">
        <f>('TUSD BE'!$AH$18+'TUSD BF'!$AH$18+'TUSD CVA'!$AH$18)*1</f>
        <v>10.405646218291828</v>
      </c>
      <c r="AE18" s="85">
        <f>('TUSD BE'!$AI$18+'TUSD BF'!$AI$18+'TUSD CVA'!$AI$18)*1</f>
        <v>0.74932836282718052</v>
      </c>
      <c r="AF18" s="85">
        <f ca="1">('TUSD BE'!$AJ$18+'TUSD BF'!$AJ$18+'TUSD CVA'!$AJ$18)*1</f>
        <v>97.638796120951042</v>
      </c>
      <c r="AG18" s="85">
        <f ca="1">('TUSD BE'!$AK$18+'TUSD BF'!$AK$18+'TUSD CVA'!$AK$18)*1</f>
        <v>15.109466263731452</v>
      </c>
      <c r="AI18" s="85">
        <v>0</v>
      </c>
      <c r="AJ18" s="85">
        <v>0.69115943444766303</v>
      </c>
      <c r="AK18" s="85">
        <v>12.641488732867099</v>
      </c>
      <c r="AL18" s="85">
        <v>0</v>
      </c>
      <c r="AM18" s="85">
        <v>0</v>
      </c>
      <c r="AN18" s="85">
        <v>0</v>
      </c>
      <c r="AO18" s="85">
        <v>0</v>
      </c>
      <c r="AP18" s="85">
        <v>0</v>
      </c>
      <c r="AQ18" s="85">
        <v>179.10346029310099</v>
      </c>
      <c r="AR18" s="85">
        <v>29.601891202798701</v>
      </c>
      <c r="AS18" s="85">
        <v>-1.9993572884911199</v>
      </c>
      <c r="AT18" s="85">
        <v>0</v>
      </c>
      <c r="AU18" s="85">
        <v>1.21336737423407</v>
      </c>
      <c r="AV18" s="85">
        <v>0</v>
      </c>
      <c r="AW18" s="85">
        <v>0</v>
      </c>
      <c r="AX18" s="85">
        <v>1066.4983336988601</v>
      </c>
      <c r="AY18" s="85">
        <v>0</v>
      </c>
      <c r="AZ18" s="85">
        <v>0</v>
      </c>
      <c r="BA18" s="85">
        <v>9.7271853273200701</v>
      </c>
      <c r="BB18" s="85">
        <v>0.76346366892450701</v>
      </c>
      <c r="BC18" s="85">
        <v>102.830162713078</v>
      </c>
      <c r="BD18" s="85">
        <v>6.3719432170838299</v>
      </c>
    </row>
    <row r="19" spans="1:56" ht="11.25" customHeight="1" x14ac:dyDescent="0.25">
      <c r="A19" s="124"/>
      <c r="B19" s="124"/>
      <c r="C19" s="124"/>
      <c r="D19" s="124"/>
      <c r="E19" s="124"/>
      <c r="F19" s="124"/>
      <c r="G19" s="28" t="s">
        <v>88</v>
      </c>
      <c r="H19" s="28" t="s">
        <v>86</v>
      </c>
      <c r="I19" s="28">
        <f>'MERCADO TUSD'!$U$16</f>
        <v>0</v>
      </c>
      <c r="J19" s="18"/>
      <c r="L19" s="85">
        <f>('TUSD BE'!$L$19+'TUSD BF'!$L$19+'TUSD CVA'!$L$19)*1</f>
        <v>0</v>
      </c>
      <c r="M19" s="85">
        <f>('TUSD BE'!$M$19+'TUSD BF'!$M$19+'TUSD CVA'!$M$19)*1</f>
        <v>0.79256487502713491</v>
      </c>
      <c r="N19" s="85">
        <f ca="1">('TUSD BE'!$N$19+'TUSD BF'!$N$19+'TUSD CVA'!$N$19)*1</f>
        <v>1.9981260307381121</v>
      </c>
      <c r="O19" s="85">
        <f>('TUSD BE'!$O$19+'TUSD BF'!$O$19+'TUSD CVA'!$O$19)*1</f>
        <v>0</v>
      </c>
      <c r="P19" s="85">
        <f>('TUSD BE'!$P$19+'TUSD BF'!$P$19+'TUSD CVA'!$P$19)*1</f>
        <v>0</v>
      </c>
      <c r="Q19" s="85">
        <f>('TUSD BE'!$Q$19+'TUSD BF'!$Q$19+'TUSD CVA'!$Q$19)*1</f>
        <v>0</v>
      </c>
      <c r="R19" s="85">
        <f>('TUSD BE'!$R$19+'TUSD BF'!$R$19+'TUSD CVA'!$R$19)*1</f>
        <v>0</v>
      </c>
      <c r="S19" s="85">
        <f>('TUSD BE'!$S$19+'TUSD BF'!$S$19+'TUSD CVA'!$S$19)*1</f>
        <v>0</v>
      </c>
      <c r="T19" s="85">
        <f>('TUSD BE'!$U$19+'TUSD BF'!$U$19+'TUSD CVA'!$U$19)*1</f>
        <v>0</v>
      </c>
      <c r="U19" s="85">
        <f>('TUSD BE'!$V$19+'TUSD BF'!$V$19+'TUSD CVA'!$V$19)*1</f>
        <v>0</v>
      </c>
      <c r="V19" s="85">
        <f>('TUSD BE'!$W$19+'TUSD BF'!$W$19+'TUSD CVA'!$W$19)*1</f>
        <v>0</v>
      </c>
      <c r="W19" s="85">
        <f>('TUSD BE'!$X$19+'TUSD BF'!$X$19+'TUSD CVA'!$X$19)*1</f>
        <v>0</v>
      </c>
      <c r="X19" s="85">
        <f>('TUSD BE'!$Y$19+'TUSD BF'!$Y$19+'TUSD CVA'!$Y$19)*1</f>
        <v>0</v>
      </c>
      <c r="Y19" s="85">
        <f>('TUSD BE'!$Z$19+'TUSD BF'!$Z$19+'TUSD CVA'!$Z$19)*1</f>
        <v>0</v>
      </c>
      <c r="Z19" s="85">
        <f>('TUSD BE'!$AA$19+'TUSD BF'!$AA$19+'TUSD CVA'!$AA$19)*1</f>
        <v>0</v>
      </c>
      <c r="AA19" s="85">
        <f>('TUSD BE'!$AC$19+'TUSD BF'!$AC$19+'TUSD CVA'!$AC$19)*1</f>
        <v>0</v>
      </c>
      <c r="AB19" s="85">
        <f ca="1">('TUSD BE'!$AE$19+'TUSD BF'!$AE$19+'TUSD CVA'!$AE$19)*1</f>
        <v>0</v>
      </c>
      <c r="AC19" s="85">
        <f ca="1">('TUSD BE'!$AF$19+'TUSD BF'!$AF$19+'TUSD CVA'!$AF$19)*1</f>
        <v>0</v>
      </c>
      <c r="AD19" s="85">
        <f>('TUSD BE'!$AH$19+'TUSD BF'!$AH$19+'TUSD CVA'!$AH$19)*1</f>
        <v>10.405646218291828</v>
      </c>
      <c r="AE19" s="85">
        <f>('TUSD BE'!$AI$19+'TUSD BF'!$AI$19+'TUSD CVA'!$AI$19)*1</f>
        <v>0.74932836282718052</v>
      </c>
      <c r="AF19" s="85">
        <f ca="1">('TUSD BE'!$AJ$19+'TUSD BF'!$AJ$19+'TUSD CVA'!$AJ$19)*1</f>
        <v>97.638796120951042</v>
      </c>
      <c r="AG19" s="85">
        <f ca="1">('TUSD BE'!$AK$19+'TUSD BF'!$AK$19+'TUSD CVA'!$AK$19)*1</f>
        <v>15.109466263731452</v>
      </c>
      <c r="AI19" s="85">
        <v>0</v>
      </c>
      <c r="AJ19" s="85">
        <v>0.69115943444766303</v>
      </c>
      <c r="AK19" s="85">
        <v>1.89441994135914</v>
      </c>
      <c r="AL19" s="85">
        <v>0</v>
      </c>
      <c r="AM19" s="85">
        <v>0</v>
      </c>
      <c r="AN19" s="85">
        <v>0</v>
      </c>
      <c r="AO19" s="85">
        <v>0</v>
      </c>
      <c r="AP19" s="85">
        <v>0</v>
      </c>
      <c r="AQ19" s="85">
        <v>0</v>
      </c>
      <c r="AR19" s="85">
        <v>0</v>
      </c>
      <c r="AS19" s="85">
        <v>0</v>
      </c>
      <c r="AT19" s="85">
        <v>0</v>
      </c>
      <c r="AU19" s="85">
        <v>0</v>
      </c>
      <c r="AV19" s="85">
        <v>0</v>
      </c>
      <c r="AW19" s="85">
        <v>0</v>
      </c>
      <c r="AX19" s="85">
        <v>0</v>
      </c>
      <c r="AY19" s="85">
        <v>0</v>
      </c>
      <c r="AZ19" s="85">
        <v>0</v>
      </c>
      <c r="BA19" s="85">
        <v>9.7271853273200701</v>
      </c>
      <c r="BB19" s="85">
        <v>0.76346366892450701</v>
      </c>
      <c r="BC19" s="85">
        <v>102.830162713078</v>
      </c>
      <c r="BD19" s="85">
        <v>6.3719432170838299</v>
      </c>
    </row>
    <row r="20" spans="1:56" ht="11.25" customHeight="1" x14ac:dyDescent="0.25">
      <c r="A20" s="124" t="s">
        <v>95</v>
      </c>
      <c r="B20" s="124" t="s">
        <v>63</v>
      </c>
      <c r="C20" s="124" t="s">
        <v>25</v>
      </c>
      <c r="D20" s="124" t="s">
        <v>25</v>
      </c>
      <c r="E20" s="86" t="s">
        <v>96</v>
      </c>
      <c r="F20" s="86" t="s">
        <v>25</v>
      </c>
      <c r="G20" s="28" t="s">
        <v>9</v>
      </c>
      <c r="H20" s="28" t="s">
        <v>89</v>
      </c>
      <c r="I20" s="28">
        <f>'MERCADO TUSD'!$U$17+0.00000001</f>
        <v>1E-8</v>
      </c>
      <c r="J20" s="18"/>
      <c r="L20" s="85">
        <f>('TUSD BE'!$L$20+'TUSD BF'!$L$20+'TUSD CVA'!$L$20)*1</f>
        <v>0</v>
      </c>
      <c r="M20" s="85">
        <f>('TUSD BE'!$M$20+'TUSD BF'!$M$20+'TUSD CVA'!$M$20)*1</f>
        <v>8.4748332068582555E-3</v>
      </c>
      <c r="N20" s="85">
        <f ca="1">('TUSD BE'!$N$20+'TUSD BF'!$N$20+'TUSD CVA'!$N$20)*1</f>
        <v>1.8981356871754725E-2</v>
      </c>
      <c r="O20" s="85">
        <f>('TUSD BE'!$O$20+'TUSD BF'!$O$20+'TUSD CVA'!$O$20)*1</f>
        <v>0</v>
      </c>
      <c r="P20" s="85">
        <f>('TUSD BE'!$P$20+'TUSD BF'!$P$20+'TUSD CVA'!$P$20)*1</f>
        <v>0</v>
      </c>
      <c r="Q20" s="85">
        <f>('TUSD BE'!$Q$20+'TUSD BF'!$Q$20+'TUSD CVA'!$Q$20)*1</f>
        <v>0</v>
      </c>
      <c r="R20" s="85">
        <f>('TUSD BE'!$R$20+'TUSD BF'!$R$20+'TUSD CVA'!$R$20)*1</f>
        <v>0</v>
      </c>
      <c r="S20" s="85">
        <f>('TUSD BE'!$S$20+'TUSD BF'!$S$20+'TUSD CVA'!$S$20)*1</f>
        <v>0</v>
      </c>
      <c r="T20" s="85">
        <f>('TUSD BE'!$U$20+'TUSD BF'!$U$20+'TUSD CVA'!$U$20)*1</f>
        <v>0</v>
      </c>
      <c r="U20" s="85">
        <f>('TUSD BE'!$V$20+'TUSD BF'!$V$20+'TUSD CVA'!$V$20)*1</f>
        <v>0</v>
      </c>
      <c r="V20" s="85">
        <f>('TUSD BE'!$W$20+'TUSD BF'!$W$20+'TUSD CVA'!$W$20)*1</f>
        <v>0</v>
      </c>
      <c r="W20" s="85">
        <f>('TUSD BE'!$X$20+'TUSD BF'!$X$20+'TUSD CVA'!$X$20)*1</f>
        <v>0</v>
      </c>
      <c r="X20" s="85">
        <f>('TUSD BE'!$Y$20+'TUSD BF'!$Y$20+'TUSD CVA'!$Y$20)*1</f>
        <v>0</v>
      </c>
      <c r="Y20" s="85">
        <f>('TUSD BE'!$Z$20+'TUSD BF'!$Z$20+'TUSD CVA'!$Z$20)*1</f>
        <v>0</v>
      </c>
      <c r="Z20" s="85">
        <f>('TUSD BE'!$AA$20+'TUSD BF'!$AA$20+'TUSD CVA'!$AA$20)*1</f>
        <v>0</v>
      </c>
      <c r="AA20" s="85">
        <f>('TUSD BE'!$AC$20+'TUSD BF'!$AC$20+'TUSD CVA'!$AC$20)*1</f>
        <v>2.3315246185162706</v>
      </c>
      <c r="AB20" s="85">
        <f ca="1">('TUSD BE'!$AE$20+'TUSD BF'!$AE$20+'TUSD CVA'!$AE$20)*1</f>
        <v>0</v>
      </c>
      <c r="AC20" s="85">
        <f ca="1">('TUSD BE'!$AF$20+'TUSD BF'!$AF$20+'TUSD CVA'!$AF$20)*1</f>
        <v>0</v>
      </c>
      <c r="AD20" s="85">
        <f>('TUSD BE'!$AH$20+'TUSD BF'!$AH$20+'TUSD CVA'!$AH$20)*1</f>
        <v>0</v>
      </c>
      <c r="AE20" s="85">
        <f>('TUSD BE'!$AI$20+'TUSD BF'!$AI$20+'TUSD CVA'!$AI$20)*1</f>
        <v>0</v>
      </c>
      <c r="AF20" s="85">
        <f ca="1">('TUSD BE'!$AJ$20+'TUSD BF'!$AJ$20+'TUSD CVA'!$AJ$20)*1</f>
        <v>0</v>
      </c>
      <c r="AG20" s="85">
        <f ca="1">('TUSD BE'!$AK$20+'TUSD BF'!$AK$20+'TUSD CVA'!$AK$20)*1</f>
        <v>0</v>
      </c>
      <c r="AI20" s="85">
        <v>0</v>
      </c>
      <c r="AJ20" s="85">
        <v>8.0890781076352301E-3</v>
      </c>
      <c r="AK20" s="85">
        <v>1.7171898933055801E-2</v>
      </c>
      <c r="AL20" s="85">
        <v>0</v>
      </c>
      <c r="AM20" s="85">
        <v>0</v>
      </c>
      <c r="AN20" s="85">
        <v>0</v>
      </c>
      <c r="AO20" s="85">
        <v>0</v>
      </c>
      <c r="AP20" s="85">
        <v>0</v>
      </c>
      <c r="AQ20" s="85">
        <v>0</v>
      </c>
      <c r="AR20" s="85">
        <v>0</v>
      </c>
      <c r="AS20" s="85">
        <v>0</v>
      </c>
      <c r="AT20" s="85">
        <v>0</v>
      </c>
      <c r="AU20" s="85">
        <v>0</v>
      </c>
      <c r="AV20" s="85">
        <v>0</v>
      </c>
      <c r="AW20" s="85">
        <v>0</v>
      </c>
      <c r="AX20" s="85">
        <v>2.0814561474741402</v>
      </c>
      <c r="AY20" s="85">
        <v>0</v>
      </c>
      <c r="AZ20" s="85">
        <v>0</v>
      </c>
      <c r="BA20" s="85">
        <v>0</v>
      </c>
      <c r="BB20" s="85">
        <v>0</v>
      </c>
      <c r="BC20" s="85">
        <v>0</v>
      </c>
      <c r="BD20" s="85">
        <v>0</v>
      </c>
    </row>
    <row r="21" spans="1:56" ht="11.25" customHeight="1" x14ac:dyDescent="0.25">
      <c r="A21" s="124"/>
      <c r="B21" s="124"/>
      <c r="C21" s="124"/>
      <c r="D21" s="124"/>
      <c r="E21" s="86" t="s">
        <v>97</v>
      </c>
      <c r="F21" s="86" t="s">
        <v>25</v>
      </c>
      <c r="G21" s="28" t="s">
        <v>9</v>
      </c>
      <c r="H21" s="28" t="s">
        <v>89</v>
      </c>
      <c r="I21" s="28">
        <f>'MERCADO TUSD'!$U$18+0.00000001</f>
        <v>1E-8</v>
      </c>
      <c r="J21" s="18"/>
      <c r="L21" s="85">
        <f>('TUSD BE'!$L$21+'TUSD BF'!$L$21+'TUSD CVA'!$L$21)*1</f>
        <v>0</v>
      </c>
      <c r="M21" s="85">
        <f>('TUSD BE'!$M$21+'TUSD BF'!$M$21+'TUSD CVA'!$M$21)*1</f>
        <v>8.4748332068582555E-3</v>
      </c>
      <c r="N21" s="85">
        <f ca="1">('TUSD BE'!$N$21+'TUSD BF'!$N$21+'TUSD CVA'!$N$21)*1</f>
        <v>1.8981356871754725E-2</v>
      </c>
      <c r="O21" s="85">
        <f>('TUSD BE'!$O$21+'TUSD BF'!$O$21+'TUSD CVA'!$O$21)*1</f>
        <v>0</v>
      </c>
      <c r="P21" s="85">
        <f>('TUSD BE'!$P$21+'TUSD BF'!$P$21+'TUSD CVA'!$P$21)*1</f>
        <v>0</v>
      </c>
      <c r="Q21" s="85">
        <f>('TUSD BE'!$Q$21+'TUSD BF'!$Q$21+'TUSD CVA'!$Q$21)*1</f>
        <v>0</v>
      </c>
      <c r="R21" s="85">
        <f>('TUSD BE'!$R$21+'TUSD BF'!$R$21+'TUSD CVA'!$R$21)*1</f>
        <v>0</v>
      </c>
      <c r="S21" s="85">
        <f>('TUSD BE'!$S$21+'TUSD BF'!$S$21+'TUSD CVA'!$S$21)*1</f>
        <v>0</v>
      </c>
      <c r="T21" s="85">
        <f>('TUSD BE'!$U$21+'TUSD BF'!$U$21+'TUSD CVA'!$U$21)*1</f>
        <v>0</v>
      </c>
      <c r="U21" s="85">
        <f>('TUSD BE'!$V$21+'TUSD BF'!$V$21+'TUSD CVA'!$V$21)*1</f>
        <v>0</v>
      </c>
      <c r="V21" s="85">
        <f>('TUSD BE'!$W$21+'TUSD BF'!$W$21+'TUSD CVA'!$W$21)*1</f>
        <v>0</v>
      </c>
      <c r="W21" s="85">
        <f>('TUSD BE'!$X$21+'TUSD BF'!$X$21+'TUSD CVA'!$X$21)*1</f>
        <v>0</v>
      </c>
      <c r="X21" s="85">
        <f>('TUSD BE'!$Y$21+'TUSD BF'!$Y$21+'TUSD CVA'!$Y$21)*1</f>
        <v>0</v>
      </c>
      <c r="Y21" s="85">
        <f>('TUSD BE'!$Z$21+'TUSD BF'!$Z$21+'TUSD CVA'!$Z$21)*1</f>
        <v>0</v>
      </c>
      <c r="Z21" s="85">
        <f>('TUSD BE'!$AA$21+'TUSD BF'!$AA$21+'TUSD CVA'!$AA$21)*1</f>
        <v>0</v>
      </c>
      <c r="AA21" s="85">
        <f>('TUSD BE'!$AC$21+'TUSD BF'!$AC$21+'TUSD CVA'!$AC$21)*1</f>
        <v>19.431678202250517</v>
      </c>
      <c r="AB21" s="85">
        <f ca="1">('TUSD BE'!$AE$21+'TUSD BF'!$AE$21+'TUSD CVA'!$AE$21)*1</f>
        <v>0</v>
      </c>
      <c r="AC21" s="85">
        <f ca="1">('TUSD BE'!$AF$21+'TUSD BF'!$AF$21+'TUSD CVA'!$AF$21)*1</f>
        <v>0</v>
      </c>
      <c r="AD21" s="85">
        <f>('TUSD BE'!$AH$21+'TUSD BF'!$AH$21+'TUSD CVA'!$AH$21)*1</f>
        <v>0</v>
      </c>
      <c r="AE21" s="85">
        <f>('TUSD BE'!$AI$21+'TUSD BF'!$AI$21+'TUSD CVA'!$AI$21)*1</f>
        <v>0</v>
      </c>
      <c r="AF21" s="85">
        <f ca="1">('TUSD BE'!$AJ$21+'TUSD BF'!$AJ$21+'TUSD CVA'!$AJ$21)*1</f>
        <v>0</v>
      </c>
      <c r="AG21" s="85">
        <f ca="1">('TUSD BE'!$AK$21+'TUSD BF'!$AK$21+'TUSD CVA'!$AK$21)*1</f>
        <v>0</v>
      </c>
      <c r="AI21" s="85">
        <v>0</v>
      </c>
      <c r="AJ21" s="85">
        <v>8.0890781076352301E-3</v>
      </c>
      <c r="AK21" s="85">
        <v>1.7171898933055801E-2</v>
      </c>
      <c r="AL21" s="85">
        <v>0</v>
      </c>
      <c r="AM21" s="85">
        <v>0</v>
      </c>
      <c r="AN21" s="85">
        <v>0</v>
      </c>
      <c r="AO21" s="85">
        <v>0</v>
      </c>
      <c r="AP21" s="85">
        <v>0</v>
      </c>
      <c r="AQ21" s="85">
        <v>0</v>
      </c>
      <c r="AR21" s="85">
        <v>0</v>
      </c>
      <c r="AS21" s="85">
        <v>0</v>
      </c>
      <c r="AT21" s="85">
        <v>0</v>
      </c>
      <c r="AU21" s="85">
        <v>0</v>
      </c>
      <c r="AV21" s="85">
        <v>0</v>
      </c>
      <c r="AW21" s="85">
        <v>0</v>
      </c>
      <c r="AX21" s="85">
        <v>17.3475269051856</v>
      </c>
      <c r="AY21" s="85">
        <v>0</v>
      </c>
      <c r="AZ21" s="85">
        <v>0</v>
      </c>
      <c r="BA21" s="85">
        <v>0</v>
      </c>
      <c r="BB21" s="85">
        <v>0</v>
      </c>
      <c r="BC21" s="85">
        <v>0</v>
      </c>
      <c r="BD21" s="85">
        <v>0</v>
      </c>
    </row>
    <row r="22" spans="1:56" ht="11.25" customHeight="1" x14ac:dyDescent="0.25">
      <c r="A22" s="124" t="s">
        <v>22</v>
      </c>
      <c r="B22" s="124" t="s">
        <v>39</v>
      </c>
      <c r="C22" s="124" t="s">
        <v>24</v>
      </c>
      <c r="D22" s="124" t="s">
        <v>24</v>
      </c>
      <c r="E22" s="124" t="s">
        <v>25</v>
      </c>
      <c r="F22" s="124" t="s">
        <v>25</v>
      </c>
      <c r="G22" s="28" t="s">
        <v>87</v>
      </c>
      <c r="H22" s="28" t="s">
        <v>86</v>
      </c>
      <c r="I22" s="28">
        <f>'MERCADO TUSD'!$U$19</f>
        <v>31.722000000000001</v>
      </c>
      <c r="J22" s="18"/>
      <c r="L22" s="85">
        <f>('TUSD BE'!$L$22+'TUSD BF'!$L$22+'TUSD CVA'!$L$22)*1</f>
        <v>14.099336508183265</v>
      </c>
      <c r="M22" s="85">
        <f>('TUSD BE'!$M$22+'TUSD BF'!$M$22+'TUSD CVA'!$M$22)*1</f>
        <v>0.87106496021258417</v>
      </c>
      <c r="N22" s="85">
        <f ca="1">('TUSD BE'!$N$22+'TUSD BF'!$N$22+'TUSD CVA'!$N$22)*1</f>
        <v>10.080771131794078</v>
      </c>
      <c r="O22" s="85">
        <f>('TUSD BE'!$O$22+'TUSD BF'!$O$22+'TUSD CVA'!$O$22)*1</f>
        <v>0</v>
      </c>
      <c r="P22" s="85">
        <f>('TUSD BE'!$P$22+'TUSD BF'!$P$22+'TUSD CVA'!$P$22)*1</f>
        <v>0</v>
      </c>
      <c r="Q22" s="85">
        <f>('TUSD BE'!$Q$22+'TUSD BF'!$Q$22+'TUSD CVA'!$Q$22)*1</f>
        <v>21.755992934527161</v>
      </c>
      <c r="R22" s="85">
        <f>('TUSD BE'!$R$22+'TUSD BF'!$R$22+'TUSD CVA'!$R$22)*1</f>
        <v>10.616102591746483</v>
      </c>
      <c r="S22" s="85">
        <f>('TUSD BE'!$S$22+'TUSD BF'!$S$22+'TUSD CVA'!$S$22)*1</f>
        <v>0</v>
      </c>
      <c r="T22" s="85">
        <f>('TUSD BE'!$U$22+'TUSD BF'!$U$22+'TUSD CVA'!$U$22)*1</f>
        <v>131.20059204910751</v>
      </c>
      <c r="U22" s="85">
        <f>('TUSD BE'!$V$22+'TUSD BF'!$V$22+'TUSD CVA'!$V$22)*1</f>
        <v>1.6201288429950937</v>
      </c>
      <c r="V22" s="85">
        <f>('TUSD BE'!$W$22+'TUSD BF'!$W$22+'TUSD CVA'!$W$22)*1</f>
        <v>0.22092989679349173</v>
      </c>
      <c r="W22" s="85">
        <f>('TUSD BE'!$X$22+'TUSD BF'!$X$22+'TUSD CVA'!$X$22)*1</f>
        <v>0</v>
      </c>
      <c r="X22" s="85">
        <f>('TUSD BE'!$Y$22+'TUSD BF'!$Y$22+'TUSD CVA'!$Y$22)*1</f>
        <v>-5.7106518403420292E-3</v>
      </c>
      <c r="Y22" s="85">
        <f>('TUSD BE'!$Z$22+'TUSD BF'!$Z$22+'TUSD CVA'!$Z$22)*1</f>
        <v>0</v>
      </c>
      <c r="Z22" s="85">
        <f>('TUSD BE'!$AA$22+'TUSD BF'!$AA$22+'TUSD CVA'!$AA$22)*1</f>
        <v>0</v>
      </c>
      <c r="AA22" s="85">
        <f>('TUSD BE'!$AC$22+'TUSD BF'!$AC$22+'TUSD CVA'!$AC$22)*1</f>
        <v>713.16250808258008</v>
      </c>
      <c r="AB22" s="85">
        <f ca="1">('TUSD BE'!$AE$22+'TUSD BF'!$AE$22+'TUSD CVA'!$AE$22)*1</f>
        <v>0</v>
      </c>
      <c r="AC22" s="85">
        <f ca="1">('TUSD BE'!$AF$22+'TUSD BF'!$AF$22+'TUSD CVA'!$AF$22)*1</f>
        <v>0</v>
      </c>
      <c r="AD22" s="85">
        <f>('TUSD BE'!$AH$22+'TUSD BF'!$AH$22+'TUSD CVA'!$AH$22)*1</f>
        <v>46.051020413290445</v>
      </c>
      <c r="AE22" s="85">
        <f>('TUSD BE'!$AI$22+'TUSD BF'!$AI$22+'TUSD CVA'!$AI$22)*1</f>
        <v>3.3162126607910625</v>
      </c>
      <c r="AF22" s="85">
        <f ca="1">('TUSD BE'!$AJ$22+'TUSD BF'!$AJ$22+'TUSD CVA'!$AJ$22)*1</f>
        <v>113.90563608700874</v>
      </c>
      <c r="AG22" s="85">
        <f ca="1">('TUSD BE'!$AK$22+'TUSD BF'!$AK$22+'TUSD CVA'!$AK$22)*1</f>
        <v>17.626736851338872</v>
      </c>
      <c r="AI22" s="85">
        <v>0</v>
      </c>
      <c r="AJ22" s="85">
        <v>0.73362356836047904</v>
      </c>
      <c r="AK22" s="85">
        <v>9.1764538091890007</v>
      </c>
      <c r="AL22" s="85">
        <v>0</v>
      </c>
      <c r="AM22" s="85">
        <v>0</v>
      </c>
      <c r="AN22" s="85">
        <v>22.237206444064</v>
      </c>
      <c r="AO22" s="85">
        <v>7.5520246477920896</v>
      </c>
      <c r="AP22" s="85">
        <v>0</v>
      </c>
      <c r="AQ22" s="85">
        <v>103.172304248701</v>
      </c>
      <c r="AR22" s="85">
        <v>16.7970171345086</v>
      </c>
      <c r="AS22" s="85">
        <v>-1.1987104169493801</v>
      </c>
      <c r="AT22" s="85">
        <v>0</v>
      </c>
      <c r="AU22" s="85">
        <v>0.52578204255549499</v>
      </c>
      <c r="AV22" s="85">
        <v>0</v>
      </c>
      <c r="AW22" s="85">
        <v>0</v>
      </c>
      <c r="AX22" s="85">
        <v>636.672019161957</v>
      </c>
      <c r="AY22" s="85">
        <v>0</v>
      </c>
      <c r="AZ22" s="85">
        <v>0</v>
      </c>
      <c r="BA22" s="85">
        <v>43.048437422833103</v>
      </c>
      <c r="BB22" s="85">
        <v>3.3787695895949499</v>
      </c>
      <c r="BC22" s="85">
        <v>117.25461764856399</v>
      </c>
      <c r="BD22" s="85">
        <v>7.2657646928190998</v>
      </c>
    </row>
    <row r="23" spans="1:56" ht="11.25" customHeight="1" x14ac:dyDescent="0.25">
      <c r="A23" s="124"/>
      <c r="B23" s="124"/>
      <c r="C23" s="124"/>
      <c r="D23" s="124"/>
      <c r="E23" s="124"/>
      <c r="F23" s="124"/>
      <c r="G23" s="28" t="s">
        <v>98</v>
      </c>
      <c r="H23" s="28" t="s">
        <v>86</v>
      </c>
      <c r="I23" s="28">
        <f>'MERCADO TUSD'!$U$20</f>
        <v>31.11</v>
      </c>
      <c r="J23" s="18"/>
      <c r="L23" s="85">
        <f>('TUSD BE'!$L$23+'TUSD BF'!$L$23+'TUSD CVA'!$L$23)*1</f>
        <v>14.099336508183265</v>
      </c>
      <c r="M23" s="85">
        <f>('TUSD BE'!$M$23+'TUSD BF'!$M$23+'TUSD CVA'!$M$23)*1</f>
        <v>0.87106496021258417</v>
      </c>
      <c r="N23" s="85">
        <f ca="1">('TUSD BE'!$N$23+'TUSD BF'!$N$23+'TUSD CVA'!$N$23)*1</f>
        <v>7.2640262288343989</v>
      </c>
      <c r="O23" s="85">
        <f>('TUSD BE'!$O$23+'TUSD BF'!$O$23+'TUSD CVA'!$O$23)*1</f>
        <v>0</v>
      </c>
      <c r="P23" s="85">
        <f>('TUSD BE'!$P$23+'TUSD BF'!$P$23+'TUSD CVA'!$P$23)*1</f>
        <v>0</v>
      </c>
      <c r="Q23" s="85">
        <f>('TUSD BE'!$Q$23+'TUSD BF'!$Q$23+'TUSD CVA'!$Q$23)*1</f>
        <v>21.755992934527161</v>
      </c>
      <c r="R23" s="85">
        <f>('TUSD BE'!$R$23+'TUSD BF'!$R$23+'TUSD CVA'!$R$23)*1</f>
        <v>10.616102591746483</v>
      </c>
      <c r="S23" s="85">
        <f>('TUSD BE'!$S$23+'TUSD BF'!$S$23+'TUSD CVA'!$S$23)*1</f>
        <v>0</v>
      </c>
      <c r="T23" s="85">
        <f>('TUSD BE'!$U$23+'TUSD BF'!$U$23+'TUSD CVA'!$U$23)*1</f>
        <v>78.720310929596934</v>
      </c>
      <c r="U23" s="85">
        <f>('TUSD BE'!$V$23+'TUSD BF'!$V$23+'TUSD CVA'!$V$23)*1</f>
        <v>0.97207546992580274</v>
      </c>
      <c r="V23" s="85">
        <f>('TUSD BE'!$W$23+'TUSD BF'!$W$23+'TUSD CVA'!$W$23)*1</f>
        <v>0.13255000451305374</v>
      </c>
      <c r="W23" s="85">
        <f>('TUSD BE'!$X$23+'TUSD BF'!$X$23+'TUSD CVA'!$X$23)*1</f>
        <v>0</v>
      </c>
      <c r="X23" s="85">
        <f>('TUSD BE'!$Y$23+'TUSD BF'!$Y$23+'TUSD CVA'!$Y$23)*1</f>
        <v>-3.4259355276722581E-3</v>
      </c>
      <c r="Y23" s="85">
        <f>('TUSD BE'!$Z$23+'TUSD BF'!$Z$23+'TUSD CVA'!$Z$23)*1</f>
        <v>0</v>
      </c>
      <c r="Z23" s="85">
        <f>('TUSD BE'!$AA$23+'TUSD BF'!$AA$23+'TUSD CVA'!$AA$23)*1</f>
        <v>0</v>
      </c>
      <c r="AA23" s="85">
        <f>('TUSD BE'!$AC$23+'TUSD BF'!$AC$23+'TUSD CVA'!$AC$23)*1</f>
        <v>427.89743679239541</v>
      </c>
      <c r="AB23" s="85">
        <f ca="1">('TUSD BE'!$AE$23+'TUSD BF'!$AE$23+'TUSD CVA'!$AE$23)*1</f>
        <v>0</v>
      </c>
      <c r="AC23" s="85">
        <f ca="1">('TUSD BE'!$AF$23+'TUSD BF'!$AF$23+'TUSD CVA'!$AF$23)*1</f>
        <v>0</v>
      </c>
      <c r="AD23" s="85">
        <f>('TUSD BE'!$AH$23+'TUSD BF'!$AH$23+'TUSD CVA'!$AH$23)*1</f>
        <v>46.051020413290445</v>
      </c>
      <c r="AE23" s="85">
        <f>('TUSD BE'!$AI$23+'TUSD BF'!$AI$23+'TUSD CVA'!$AI$23)*1</f>
        <v>3.3162126607910625</v>
      </c>
      <c r="AF23" s="85">
        <f ca="1">('TUSD BE'!$AJ$23+'TUSD BF'!$AJ$23+'TUSD CVA'!$AJ$23)*1</f>
        <v>113.90563608700874</v>
      </c>
      <c r="AG23" s="85">
        <f ca="1">('TUSD BE'!$AK$23+'TUSD BF'!$AK$23+'TUSD CVA'!$AK$23)*1</f>
        <v>17.626736851338872</v>
      </c>
      <c r="AI23" s="85">
        <v>0</v>
      </c>
      <c r="AJ23" s="85">
        <v>0.73362356836047904</v>
      </c>
      <c r="AK23" s="85">
        <v>6.6282240319068997</v>
      </c>
      <c r="AL23" s="85">
        <v>0</v>
      </c>
      <c r="AM23" s="85">
        <v>0</v>
      </c>
      <c r="AN23" s="85">
        <v>22.237206444064</v>
      </c>
      <c r="AO23" s="85">
        <v>7.5520246477920896</v>
      </c>
      <c r="AP23" s="85">
        <v>0</v>
      </c>
      <c r="AQ23" s="85">
        <v>61.903347713101901</v>
      </c>
      <c r="AR23" s="85">
        <v>10.0781912469345</v>
      </c>
      <c r="AS23" s="85">
        <v>-0.71918320463890295</v>
      </c>
      <c r="AT23" s="85">
        <v>0</v>
      </c>
      <c r="AU23" s="85">
        <v>0.31542728041621998</v>
      </c>
      <c r="AV23" s="85">
        <v>0</v>
      </c>
      <c r="AW23" s="85">
        <v>0</v>
      </c>
      <c r="AX23" s="85">
        <v>382.00315073951498</v>
      </c>
      <c r="AY23" s="85">
        <v>0</v>
      </c>
      <c r="AZ23" s="85">
        <v>0</v>
      </c>
      <c r="BA23" s="85">
        <v>43.048437422833103</v>
      </c>
      <c r="BB23" s="85">
        <v>3.3787695895949499</v>
      </c>
      <c r="BC23" s="85">
        <v>117.25461764856399</v>
      </c>
      <c r="BD23" s="85">
        <v>7.2657646928190998</v>
      </c>
    </row>
    <row r="24" spans="1:56" ht="11.25" customHeight="1" x14ac:dyDescent="0.25">
      <c r="A24" s="124"/>
      <c r="B24" s="124"/>
      <c r="C24" s="124"/>
      <c r="D24" s="124"/>
      <c r="E24" s="124"/>
      <c r="F24" s="124"/>
      <c r="G24" s="28" t="s">
        <v>88</v>
      </c>
      <c r="H24" s="28" t="s">
        <v>86</v>
      </c>
      <c r="I24" s="28">
        <f>'MERCADO TUSD'!$U$21</f>
        <v>472.03</v>
      </c>
      <c r="J24" s="18"/>
      <c r="L24" s="85">
        <f>('TUSD BE'!$L$24+'TUSD BF'!$L$24+'TUSD CVA'!$L$24)*1</f>
        <v>14.099336508183265</v>
      </c>
      <c r="M24" s="85">
        <f>('TUSD BE'!$M$24+'TUSD BF'!$M$24+'TUSD CVA'!$M$24)*1</f>
        <v>0.87106496021258417</v>
      </c>
      <c r="N24" s="85">
        <f ca="1">('TUSD BE'!$N$24+'TUSD BF'!$N$24+'TUSD CVA'!$N$24)*1</f>
        <v>4.4472831687249013</v>
      </c>
      <c r="O24" s="85">
        <f>('TUSD BE'!$O$24+'TUSD BF'!$O$24+'TUSD CVA'!$O$24)*1</f>
        <v>0</v>
      </c>
      <c r="P24" s="85">
        <f>('TUSD BE'!$P$24+'TUSD BF'!$P$24+'TUSD CVA'!$P$24)*1</f>
        <v>0</v>
      </c>
      <c r="Q24" s="85">
        <f>('TUSD BE'!$Q$24+'TUSD BF'!$Q$24+'TUSD CVA'!$Q$24)*1</f>
        <v>21.755992934527161</v>
      </c>
      <c r="R24" s="85">
        <f>('TUSD BE'!$R$24+'TUSD BF'!$R$24+'TUSD CVA'!$R$24)*1</f>
        <v>10.616102591746483</v>
      </c>
      <c r="S24" s="85">
        <f>('TUSD BE'!$S$24+'TUSD BF'!$S$24+'TUSD CVA'!$S$24)*1</f>
        <v>0</v>
      </c>
      <c r="T24" s="85">
        <f>('TUSD BE'!$U$24+'TUSD BF'!$U$24+'TUSD CVA'!$U$24)*1</f>
        <v>26.240140559755286</v>
      </c>
      <c r="U24" s="85">
        <f>('TUSD BE'!$V$24+'TUSD BF'!$V$24+'TUSD CVA'!$V$24)*1</f>
        <v>0.32402209685651207</v>
      </c>
      <c r="V24" s="85">
        <f>('TUSD BE'!$W$24+'TUSD BF'!$W$24+'TUSD CVA'!$W$24)*1</f>
        <v>4.4189946140219018E-2</v>
      </c>
      <c r="W24" s="85">
        <f>('TUSD BE'!$X$24+'TUSD BF'!$X$24+'TUSD CVA'!$X$24)*1</f>
        <v>0</v>
      </c>
      <c r="X24" s="85">
        <f>('TUSD BE'!$Y$24+'TUSD BF'!$Y$24+'TUSD CVA'!$Y$24)*1</f>
        <v>-1.1423581563348717E-3</v>
      </c>
      <c r="Y24" s="85">
        <f>('TUSD BE'!$Z$24+'TUSD BF'!$Z$24+'TUSD CVA'!$Z$24)*1</f>
        <v>0</v>
      </c>
      <c r="Z24" s="85">
        <f>('TUSD BE'!$AA$24+'TUSD BF'!$AA$24+'TUSD CVA'!$AA$24)*1</f>
        <v>0</v>
      </c>
      <c r="AA24" s="85">
        <f>('TUSD BE'!$AC$24+'TUSD BF'!$AC$24+'TUSD CVA'!$AC$24)*1</f>
        <v>142.63247893079847</v>
      </c>
      <c r="AB24" s="85">
        <f ca="1">('TUSD BE'!$AE$24+'TUSD BF'!$AE$24+'TUSD CVA'!$AE$24)*1</f>
        <v>0</v>
      </c>
      <c r="AC24" s="85">
        <f ca="1">('TUSD BE'!$AF$24+'TUSD BF'!$AF$24+'TUSD CVA'!$AF$24)*1</f>
        <v>0</v>
      </c>
      <c r="AD24" s="85">
        <f>('TUSD BE'!$AH$24+'TUSD BF'!$AH$24+'TUSD CVA'!$AH$24)*1</f>
        <v>46.051020413290445</v>
      </c>
      <c r="AE24" s="85">
        <f>('TUSD BE'!$AI$24+'TUSD BF'!$AI$24+'TUSD CVA'!$AI$24)*1</f>
        <v>3.3162126607910625</v>
      </c>
      <c r="AF24" s="85">
        <f ca="1">('TUSD BE'!$AJ$24+'TUSD BF'!$AJ$24+'TUSD CVA'!$AJ$24)*1</f>
        <v>113.90563608700874</v>
      </c>
      <c r="AG24" s="85">
        <f ca="1">('TUSD BE'!$AK$24+'TUSD BF'!$AK$24+'TUSD CVA'!$AK$24)*1</f>
        <v>17.626736851338872</v>
      </c>
      <c r="AI24" s="85">
        <v>0</v>
      </c>
      <c r="AJ24" s="85">
        <v>0.73362356836047904</v>
      </c>
      <c r="AK24" s="85">
        <v>4.0799959217994601</v>
      </c>
      <c r="AL24" s="85">
        <v>0</v>
      </c>
      <c r="AM24" s="85">
        <v>0</v>
      </c>
      <c r="AN24" s="85">
        <v>22.237206444064</v>
      </c>
      <c r="AO24" s="85">
        <v>7.5520246477920896</v>
      </c>
      <c r="AP24" s="85">
        <v>0</v>
      </c>
      <c r="AQ24" s="85">
        <v>20.6344782677997</v>
      </c>
      <c r="AR24" s="85">
        <v>3.3593653593603299</v>
      </c>
      <c r="AS24" s="85">
        <v>-0.239763606155241</v>
      </c>
      <c r="AT24" s="85">
        <v>0</v>
      </c>
      <c r="AU24" s="85">
        <v>0.105177381069637</v>
      </c>
      <c r="AV24" s="85">
        <v>0</v>
      </c>
      <c r="AW24" s="85">
        <v>0</v>
      </c>
      <c r="AX24" s="85">
        <v>127.334383579838</v>
      </c>
      <c r="AY24" s="85">
        <v>0</v>
      </c>
      <c r="AZ24" s="85">
        <v>0</v>
      </c>
      <c r="BA24" s="85">
        <v>43.048437422833103</v>
      </c>
      <c r="BB24" s="85">
        <v>3.3787695895949499</v>
      </c>
      <c r="BC24" s="85">
        <v>117.25461764856399</v>
      </c>
      <c r="BD24" s="85">
        <v>7.2657646928190998</v>
      </c>
    </row>
    <row r="25" spans="1:56" ht="11.25" customHeight="1" x14ac:dyDescent="0.25">
      <c r="A25" s="124"/>
      <c r="B25" s="124" t="s">
        <v>23</v>
      </c>
      <c r="C25" s="124" t="s">
        <v>24</v>
      </c>
      <c r="D25" s="86" t="s">
        <v>24</v>
      </c>
      <c r="E25" s="86" t="s">
        <v>25</v>
      </c>
      <c r="F25" s="86" t="s">
        <v>25</v>
      </c>
      <c r="G25" s="28" t="s">
        <v>92</v>
      </c>
      <c r="H25" s="28" t="s">
        <v>86</v>
      </c>
      <c r="I25" s="28">
        <f>'MERCADO TUSD'!$U$22</f>
        <v>1747135.3810000001</v>
      </c>
      <c r="J25" s="18"/>
      <c r="L25" s="85">
        <f>('TUSD BE'!$L$25+'TUSD BF'!$L$25+'TUSD CVA'!$L$25)*1</f>
        <v>14.099336508183265</v>
      </c>
      <c r="M25" s="85">
        <f>('TUSD BE'!$M$25+'TUSD BF'!$M$25+'TUSD CVA'!$M$25)*1</f>
        <v>0.87106496021258417</v>
      </c>
      <c r="N25" s="85">
        <f ca="1">('TUSD BE'!$N$25+'TUSD BF'!$N$25+'TUSD CVA'!$N$25)*1</f>
        <v>5.3104788009697641</v>
      </c>
      <c r="O25" s="85">
        <f>('TUSD BE'!$O$25+'TUSD BF'!$O$25+'TUSD CVA'!$O$25)*1</f>
        <v>0</v>
      </c>
      <c r="P25" s="85">
        <f>('TUSD BE'!$P$25+'TUSD BF'!$P$25+'TUSD CVA'!$P$25)*1</f>
        <v>0</v>
      </c>
      <c r="Q25" s="85">
        <f>('TUSD BE'!$Q$25+'TUSD BF'!$Q$25+'TUSD CVA'!$Q$25)*1</f>
        <v>21.755992934527161</v>
      </c>
      <c r="R25" s="85">
        <f>('TUSD BE'!$R$25+'TUSD BF'!$R$25+'TUSD CVA'!$R$25)*1</f>
        <v>10.616102591746483</v>
      </c>
      <c r="S25" s="85">
        <f>('TUSD BE'!$S$25+'TUSD BF'!$S$25+'TUSD CVA'!$S$25)*1</f>
        <v>0</v>
      </c>
      <c r="T25" s="85">
        <f>('TUSD BE'!$U$25+'TUSD BF'!$U$25+'TUSD CVA'!$U$25)*1</f>
        <v>42.322764483604416</v>
      </c>
      <c r="U25" s="85">
        <f>('TUSD BE'!$V$25+'TUSD BF'!$V$25+'TUSD CVA'!$V$25)*1</f>
        <v>0.52261746968550549</v>
      </c>
      <c r="V25" s="85">
        <f>('TUSD BE'!$W$25+'TUSD BF'!$W$25+'TUSD CVA'!$W$25)*1</f>
        <v>7.1263230018764334E-2</v>
      </c>
      <c r="W25" s="85">
        <f>('TUSD BE'!$X$25+'TUSD BF'!$X$25+'TUSD CVA'!$X$25)*1</f>
        <v>0</v>
      </c>
      <c r="X25" s="85">
        <f>('TUSD BE'!$Y$25+'TUSD BF'!$Y$25+'TUSD CVA'!$Y$25)*1</f>
        <v>-1.8416681343903091E-3</v>
      </c>
      <c r="Y25" s="85">
        <f>('TUSD BE'!$Z$25+'TUSD BF'!$Z$25+'TUSD CVA'!$Z$25)*1</f>
        <v>0</v>
      </c>
      <c r="Z25" s="85">
        <f>('TUSD BE'!$AA$25+'TUSD BF'!$AA$25+'TUSD CVA'!$AA$25)*1</f>
        <v>0</v>
      </c>
      <c r="AA25" s="85">
        <f>('TUSD BE'!$AC$25+'TUSD BF'!$AC$25+'TUSD CVA'!$AC$25)*1</f>
        <v>230.05245855198956</v>
      </c>
      <c r="AB25" s="85">
        <f ca="1">('TUSD BE'!$AE$25+'TUSD BF'!$AE$25+'TUSD CVA'!$AE$25)*1</f>
        <v>0</v>
      </c>
      <c r="AC25" s="85">
        <f ca="1">('TUSD BE'!$AF$25+'TUSD BF'!$AF$25+'TUSD CVA'!$AF$25)*1</f>
        <v>0</v>
      </c>
      <c r="AD25" s="85">
        <f>('TUSD BE'!$AH$25+'TUSD BF'!$AH$25+'TUSD CVA'!$AH$25)*1</f>
        <v>46.051020413290445</v>
      </c>
      <c r="AE25" s="85">
        <f>('TUSD BE'!$AI$25+'TUSD BF'!$AI$25+'TUSD CVA'!$AI$25)*1</f>
        <v>3.3162126607910625</v>
      </c>
      <c r="AF25" s="85">
        <f ca="1">('TUSD BE'!$AJ$25+'TUSD BF'!$AJ$25+'TUSD CVA'!$AJ$25)*1</f>
        <v>113.90563608700874</v>
      </c>
      <c r="AG25" s="85">
        <f ca="1">('TUSD BE'!$AK$25+'TUSD BF'!$AK$25+'TUSD CVA'!$AK$25)*1</f>
        <v>17.626736851338872</v>
      </c>
      <c r="AI25" s="85">
        <v>0</v>
      </c>
      <c r="AJ25" s="85">
        <v>0.73362356836047904</v>
      </c>
      <c r="AK25" s="85">
        <v>4.8609046975267098</v>
      </c>
      <c r="AL25" s="85">
        <v>0</v>
      </c>
      <c r="AM25" s="85">
        <v>0</v>
      </c>
      <c r="AN25" s="85">
        <v>22.237206444064</v>
      </c>
      <c r="AO25" s="85">
        <v>7.5520246477920896</v>
      </c>
      <c r="AP25" s="85">
        <v>0</v>
      </c>
      <c r="AQ25" s="85">
        <v>33.281382848594099</v>
      </c>
      <c r="AR25" s="85">
        <v>5.4183435046267796</v>
      </c>
      <c r="AS25" s="85">
        <v>-0.38665647976471301</v>
      </c>
      <c r="AT25" s="85">
        <v>0</v>
      </c>
      <c r="AU25" s="85">
        <v>0.16956313578225701</v>
      </c>
      <c r="AV25" s="85">
        <v>0</v>
      </c>
      <c r="AW25" s="85">
        <v>0</v>
      </c>
      <c r="AX25" s="85">
        <v>205.37810336281399</v>
      </c>
      <c r="AY25" s="85">
        <v>0</v>
      </c>
      <c r="AZ25" s="85">
        <v>0</v>
      </c>
      <c r="BA25" s="85">
        <v>43.048437422833103</v>
      </c>
      <c r="BB25" s="85">
        <v>3.3787695895949499</v>
      </c>
      <c r="BC25" s="85">
        <v>117.25461764856399</v>
      </c>
      <c r="BD25" s="85">
        <v>7.2657646928190998</v>
      </c>
    </row>
    <row r="26" spans="1:56" ht="11.25" customHeight="1" x14ac:dyDescent="0.25">
      <c r="A26" s="124"/>
      <c r="B26" s="124"/>
      <c r="C26" s="124"/>
      <c r="D26" s="86" t="s">
        <v>31</v>
      </c>
      <c r="E26" s="86" t="s">
        <v>25</v>
      </c>
      <c r="F26" s="86" t="s">
        <v>25</v>
      </c>
      <c r="G26" s="28" t="s">
        <v>92</v>
      </c>
      <c r="H26" s="28" t="s">
        <v>86</v>
      </c>
      <c r="I26" s="28">
        <f>'MERCADO TUSD'!$U$23</f>
        <v>72661.888000000006</v>
      </c>
      <c r="J26" s="18"/>
      <c r="L26" s="85">
        <f>('TUSD BE'!$L$26+'TUSD BF'!$L$26+'TUSD CVA'!$L$26)*(1 - 0.65)</f>
        <v>0</v>
      </c>
      <c r="M26" s="85">
        <f>('TUSD BE'!$M$26+'TUSD BF'!$M$26+'TUSD CVA'!$M$26)*(1 - 0.65)</f>
        <v>0.30487273607440446</v>
      </c>
      <c r="N26" s="85">
        <f ca="1">('TUSD BE'!$N$26+'TUSD BF'!$N$26+'TUSD CVA'!$N$26)*(1 - 0.65)</f>
        <v>1.8554425925214009</v>
      </c>
      <c r="O26" s="85">
        <f>('TUSD BE'!$O$26+'TUSD BF'!$O$26+'TUSD CVA'!$O$26)*(1 - 0.65)</f>
        <v>0</v>
      </c>
      <c r="P26" s="85">
        <v>0</v>
      </c>
      <c r="Q26" s="85">
        <f>('TUSD BE'!$Q$26+'TUSD BF'!$Q$26+'TUSD CVA'!$Q$26)*(1 - 0.65)</f>
        <v>0</v>
      </c>
      <c r="R26" s="85">
        <v>0</v>
      </c>
      <c r="S26" s="85">
        <f>('TUSD BE'!$S$26+'TUSD BF'!$S$26+'TUSD CVA'!$S$26)*(1 - 0.65)</f>
        <v>0</v>
      </c>
      <c r="T26" s="85">
        <f>('TUSD BE'!$U$26+'TUSD BF'!$U$26+'TUSD CVA'!$U$26)*(1 - 0.65)</f>
        <v>14.812967569261545</v>
      </c>
      <c r="U26" s="85">
        <f>('TUSD BE'!$V$26+'TUSD BF'!$V$26+'TUSD CVA'!$V$26)*(1 - 0.65)</f>
        <v>0.18291611438992691</v>
      </c>
      <c r="V26" s="85">
        <f>('TUSD BE'!$W$26+'TUSD BF'!$W$26+'TUSD CVA'!$W$26)*(1 - 0.65)</f>
        <v>2.4942130506567517E-2</v>
      </c>
      <c r="W26" s="85">
        <f>('TUSD BE'!$X$26+'TUSD BF'!$X$26+'TUSD CVA'!$X$26)*(1 - 0.65)</f>
        <v>0</v>
      </c>
      <c r="X26" s="85">
        <f>('TUSD BE'!$Y$26+'TUSD BF'!$Y$26+'TUSD CVA'!$Y$26)*(1 - 0.65)</f>
        <v>-6.4458384703660818E-4</v>
      </c>
      <c r="Y26" s="85">
        <f>('TUSD BE'!$Z$26+'TUSD BF'!$Z$26+'TUSD CVA'!$Z$26)*(1 - 0.65)</f>
        <v>0</v>
      </c>
      <c r="Z26" s="85">
        <f>('TUSD BE'!$AA$26+'TUSD BF'!$AA$26+'TUSD CVA'!$AA$26)*(1 - 0.65)</f>
        <v>0</v>
      </c>
      <c r="AA26" s="85">
        <f>('TUSD BE'!$AC$26+'TUSD BF'!$AC$26+'TUSD CVA'!$AC$26)*(1 - 0.65)</f>
        <v>80.51836049319634</v>
      </c>
      <c r="AB26" s="85">
        <f ca="1">('TUSD BE'!$AE$26+'TUSD BF'!$AE$26+'TUSD CVA'!$AE$26)*(1 - 0.65)</f>
        <v>0</v>
      </c>
      <c r="AC26" s="85">
        <f ca="1">('TUSD BE'!$AF$26+'TUSD BF'!$AF$26+'TUSD CVA'!$AF$26)*(1 - 0.65)</f>
        <v>0</v>
      </c>
      <c r="AD26" s="85">
        <f>('TUSD BE'!$AH$26+'TUSD BF'!$AH$26+'TUSD CVA'!$AH$26)*(1 - 0.65)</f>
        <v>16.117857144651655</v>
      </c>
      <c r="AE26" s="85">
        <f>('TUSD BE'!$AI$26+'TUSD BF'!$AI$26+'TUSD CVA'!$AI$26)*(1 - 0.65)</f>
        <v>1.1606744312768718</v>
      </c>
      <c r="AF26" s="85">
        <f ca="1">('TUSD BE'!$AJ$26+'TUSD BF'!$AJ$26+'TUSD CVA'!$AJ$26)*(1 - 0.65)</f>
        <v>39.866972630453056</v>
      </c>
      <c r="AG26" s="85">
        <f ca="1">('TUSD BE'!$AK$26+'TUSD BF'!$AK$26+'TUSD CVA'!$AK$26)*(1 - 0.65)</f>
        <v>6.169357897968605</v>
      </c>
      <c r="AI26" s="85">
        <v>0</v>
      </c>
      <c r="AJ26" s="85">
        <v>0.25676824892616801</v>
      </c>
      <c r="AK26" s="85">
        <v>1.6983990884903799</v>
      </c>
      <c r="AL26" s="85">
        <v>0</v>
      </c>
      <c r="AM26" s="85">
        <v>0</v>
      </c>
      <c r="AN26" s="85">
        <v>0</v>
      </c>
      <c r="AO26" s="85">
        <v>0</v>
      </c>
      <c r="AP26" s="85">
        <v>0</v>
      </c>
      <c r="AQ26" s="85">
        <v>11.648483997007901</v>
      </c>
      <c r="AR26" s="85">
        <v>1.8964202266193699</v>
      </c>
      <c r="AS26" s="85">
        <v>-0.13532976791765</v>
      </c>
      <c r="AT26" s="85">
        <v>0</v>
      </c>
      <c r="AU26" s="85">
        <v>5.9347097523789902E-2</v>
      </c>
      <c r="AV26" s="85">
        <v>0</v>
      </c>
      <c r="AW26" s="85">
        <v>0</v>
      </c>
      <c r="AX26" s="85">
        <v>71.882336176984793</v>
      </c>
      <c r="AY26" s="85">
        <v>0</v>
      </c>
      <c r="AZ26" s="85">
        <v>0</v>
      </c>
      <c r="BA26" s="85">
        <v>15.0669530979916</v>
      </c>
      <c r="BB26" s="85">
        <v>1.18256935635823</v>
      </c>
      <c r="BC26" s="85">
        <v>41.039116176997297</v>
      </c>
      <c r="BD26" s="85">
        <v>2.5430176424866899</v>
      </c>
    </row>
    <row r="27" spans="1:56" ht="11.25" customHeight="1" x14ac:dyDescent="0.25">
      <c r="A27" s="124"/>
      <c r="B27" s="124"/>
      <c r="C27" s="124"/>
      <c r="D27" s="86" t="s">
        <v>32</v>
      </c>
      <c r="E27" s="86" t="s">
        <v>25</v>
      </c>
      <c r="F27" s="86" t="s">
        <v>25</v>
      </c>
      <c r="G27" s="28" t="s">
        <v>92</v>
      </c>
      <c r="H27" s="28" t="s">
        <v>86</v>
      </c>
      <c r="I27" s="28">
        <f>'MERCADO TUSD'!$U$24</f>
        <v>116587.09399999998</v>
      </c>
      <c r="J27" s="18"/>
      <c r="L27" s="85">
        <f>('TUSD BE'!$L$27+'TUSD BF'!$L$27+'TUSD CVA'!$L$27)*(1 - 0.4)</f>
        <v>0</v>
      </c>
      <c r="M27" s="85">
        <f>('TUSD BE'!$M$27+'TUSD BF'!$M$27+'TUSD CVA'!$M$27)*(1 - 0.4)</f>
        <v>0.5226389761275505</v>
      </c>
      <c r="N27" s="85">
        <f ca="1">('TUSD BE'!$N$27+'TUSD BF'!$N$27+'TUSD CVA'!$N$27)*(1 - 0.4)</f>
        <v>3.1807587300366875</v>
      </c>
      <c r="O27" s="85">
        <f>('TUSD BE'!$O$27+'TUSD BF'!$O$27+'TUSD CVA'!$O$27)*(1 - 0.4)</f>
        <v>0</v>
      </c>
      <c r="P27" s="85">
        <v>0</v>
      </c>
      <c r="Q27" s="85">
        <f>('TUSD BE'!$Q$27+'TUSD BF'!$Q$27+'TUSD CVA'!$Q$27)*(1 - 0.4)</f>
        <v>0</v>
      </c>
      <c r="R27" s="85">
        <v>0</v>
      </c>
      <c r="S27" s="85">
        <f>('TUSD BE'!$S$27+'TUSD BF'!$S$27+'TUSD CVA'!$S$27)*(1 - 0.4)</f>
        <v>0</v>
      </c>
      <c r="T27" s="85">
        <f>('TUSD BE'!$U$27+'TUSD BF'!$U$27+'TUSD CVA'!$U$27)*(1 - 0.4)</f>
        <v>25.393658690162649</v>
      </c>
      <c r="U27" s="85">
        <f>('TUSD BE'!$V$27+'TUSD BF'!$V$27+'TUSD CVA'!$V$27)*(1 - 0.4)</f>
        <v>0.31357048181130326</v>
      </c>
      <c r="V27" s="85">
        <f>('TUSD BE'!$W$27+'TUSD BF'!$W$27+'TUSD CVA'!$W$27)*(1 - 0.4)</f>
        <v>4.27579380112586E-2</v>
      </c>
      <c r="W27" s="85">
        <f>('TUSD BE'!$X$27+'TUSD BF'!$X$27+'TUSD CVA'!$X$27)*(1 - 0.4)</f>
        <v>0</v>
      </c>
      <c r="X27" s="85">
        <f>('TUSD BE'!$Y$27+'TUSD BF'!$Y$27+'TUSD CVA'!$Y$27)*(1 - 0.4)</f>
        <v>-1.1050008806341854E-3</v>
      </c>
      <c r="Y27" s="85">
        <f>('TUSD BE'!$Z$27+'TUSD BF'!$Z$27+'TUSD CVA'!$Z$27)*(1 - 0.4)</f>
        <v>0</v>
      </c>
      <c r="Z27" s="85">
        <f>('TUSD BE'!$AA$27+'TUSD BF'!$AA$27+'TUSD CVA'!$AA$27)*(1 - 0.4)</f>
        <v>0</v>
      </c>
      <c r="AA27" s="85">
        <f>('TUSD BE'!$AC$27+'TUSD BF'!$AC$27+'TUSD CVA'!$AC$27)*(1 - 0.4)</f>
        <v>138.03147513119373</v>
      </c>
      <c r="AB27" s="85">
        <f ca="1">('TUSD BE'!$AE$27+'TUSD BF'!$AE$27+'TUSD CVA'!$AE$27)*(1 - 0.4)</f>
        <v>0</v>
      </c>
      <c r="AC27" s="85">
        <f ca="1">('TUSD BE'!$AF$27+'TUSD BF'!$AF$27+'TUSD CVA'!$AF$27)*(1 - 0.4)</f>
        <v>0</v>
      </c>
      <c r="AD27" s="85">
        <f>('TUSD BE'!$AH$27+'TUSD BF'!$AH$27+'TUSD CVA'!$AH$27)*(1 - 0.4)</f>
        <v>27.630612247974266</v>
      </c>
      <c r="AE27" s="85">
        <f>('TUSD BE'!$AI$27+'TUSD BF'!$AI$27+'TUSD CVA'!$AI$27)*(1 - 0.4)</f>
        <v>1.9897275964746375</v>
      </c>
      <c r="AF27" s="85">
        <f ca="1">('TUSD BE'!$AJ$27+'TUSD BF'!$AJ$27+'TUSD CVA'!$AJ$27)*(1 - 0.4)</f>
        <v>68.343381652205238</v>
      </c>
      <c r="AG27" s="85">
        <f ca="1">('TUSD BE'!$AK$27+'TUSD BF'!$AK$27+'TUSD CVA'!$AK$27)*(1 - 0.4)</f>
        <v>10.576042110803323</v>
      </c>
      <c r="AI27" s="85">
        <v>0</v>
      </c>
      <c r="AJ27" s="85">
        <v>0.44017414101628799</v>
      </c>
      <c r="AK27" s="85">
        <v>2.9115412945549402</v>
      </c>
      <c r="AL27" s="85">
        <v>0</v>
      </c>
      <c r="AM27" s="85">
        <v>0</v>
      </c>
      <c r="AN27" s="85">
        <v>0</v>
      </c>
      <c r="AO27" s="85">
        <v>0</v>
      </c>
      <c r="AP27" s="85">
        <v>0</v>
      </c>
      <c r="AQ27" s="85">
        <v>19.968829709156498</v>
      </c>
      <c r="AR27" s="85">
        <v>3.2510061027760702</v>
      </c>
      <c r="AS27" s="85">
        <v>-0.23199388785882799</v>
      </c>
      <c r="AT27" s="85">
        <v>0</v>
      </c>
      <c r="AU27" s="85">
        <v>0.101737881469354</v>
      </c>
      <c r="AV27" s="85">
        <v>0</v>
      </c>
      <c r="AW27" s="85">
        <v>0</v>
      </c>
      <c r="AX27" s="85">
        <v>123.22686201768801</v>
      </c>
      <c r="AY27" s="85">
        <v>0</v>
      </c>
      <c r="AZ27" s="85">
        <v>0</v>
      </c>
      <c r="BA27" s="85">
        <v>25.829062453699901</v>
      </c>
      <c r="BB27" s="85">
        <v>2.0272617537569699</v>
      </c>
      <c r="BC27" s="85">
        <v>70.352770589138302</v>
      </c>
      <c r="BD27" s="85">
        <v>4.3594588156914602</v>
      </c>
    </row>
    <row r="28" spans="1:56" ht="11.25" customHeight="1" x14ac:dyDescent="0.25">
      <c r="A28" s="124"/>
      <c r="B28" s="124"/>
      <c r="C28" s="124"/>
      <c r="D28" s="86" t="s">
        <v>33</v>
      </c>
      <c r="E28" s="86" t="s">
        <v>25</v>
      </c>
      <c r="F28" s="86" t="s">
        <v>25</v>
      </c>
      <c r="G28" s="28" t="s">
        <v>92</v>
      </c>
      <c r="H28" s="28" t="s">
        <v>86</v>
      </c>
      <c r="I28" s="28">
        <f>'MERCADO TUSD'!$U$25</f>
        <v>103208.47500000001</v>
      </c>
      <c r="J28" s="18"/>
      <c r="L28" s="85">
        <f>('TUSD BE'!$L$28+'TUSD BF'!$L$28+'TUSD CVA'!$L$28)*(1 - 0.1)</f>
        <v>0</v>
      </c>
      <c r="M28" s="85">
        <f>('TUSD BE'!$M$28+'TUSD BF'!$M$28+'TUSD CVA'!$M$28)*(1 - 0.1)</f>
        <v>0.78395846419132575</v>
      </c>
      <c r="N28" s="85">
        <f ca="1">('TUSD BE'!$N$28+'TUSD BF'!$N$28+'TUSD CVA'!$N$28)*(1 - 0.1)</f>
        <v>4.7711380950550311</v>
      </c>
      <c r="O28" s="85">
        <f>('TUSD BE'!$O$28+'TUSD BF'!$O$28+'TUSD CVA'!$O$28)*(1 - 0.1)</f>
        <v>0</v>
      </c>
      <c r="P28" s="85">
        <v>0</v>
      </c>
      <c r="Q28" s="85">
        <f>('TUSD BE'!$Q$28+'TUSD BF'!$Q$28+'TUSD CVA'!$Q$28)*(1 - 0.1)</f>
        <v>0</v>
      </c>
      <c r="R28" s="85">
        <v>0</v>
      </c>
      <c r="S28" s="85">
        <f>('TUSD BE'!$S$28+'TUSD BF'!$S$28+'TUSD CVA'!$S$28)*(1 - 0.1)</f>
        <v>0</v>
      </c>
      <c r="T28" s="85">
        <f>('TUSD BE'!$U$28+'TUSD BF'!$U$28+'TUSD CVA'!$U$28)*(1 - 0.1)</f>
        <v>38.090488035243979</v>
      </c>
      <c r="U28" s="85">
        <f>('TUSD BE'!$V$28+'TUSD BF'!$V$28+'TUSD CVA'!$V$28)*(1 - 0.1)</f>
        <v>0.47035572271695497</v>
      </c>
      <c r="V28" s="85">
        <f>('TUSD BE'!$W$28+'TUSD BF'!$W$28+'TUSD CVA'!$W$28)*(1 - 0.1)</f>
        <v>6.4136907016887901E-2</v>
      </c>
      <c r="W28" s="85">
        <f>('TUSD BE'!$X$28+'TUSD BF'!$X$28+'TUSD CVA'!$X$28)*(1 - 0.1)</f>
        <v>0</v>
      </c>
      <c r="X28" s="85">
        <f>('TUSD BE'!$Y$28+'TUSD BF'!$Y$28+'TUSD CVA'!$Y$28)*(1 - 0.1)</f>
        <v>-1.6575013209512782E-3</v>
      </c>
      <c r="Y28" s="85">
        <f>('TUSD BE'!$Z$28+'TUSD BF'!$Z$28+'TUSD CVA'!$Z$28)*(1 - 0.1)</f>
        <v>0</v>
      </c>
      <c r="Z28" s="85">
        <f>('TUSD BE'!$AA$28+'TUSD BF'!$AA$28+'TUSD CVA'!$AA$28)*(1 - 0.1)</f>
        <v>0</v>
      </c>
      <c r="AA28" s="85">
        <f>('TUSD BE'!$AC$28+'TUSD BF'!$AC$28+'TUSD CVA'!$AC$28)*(1 - 0.1)</f>
        <v>207.04721269679061</v>
      </c>
      <c r="AB28" s="85">
        <f ca="1">('TUSD BE'!$AE$28+'TUSD BF'!$AE$28+'TUSD CVA'!$AE$28)*(1 - 0.1)</f>
        <v>0</v>
      </c>
      <c r="AC28" s="85">
        <f ca="1">('TUSD BE'!$AF$28+'TUSD BF'!$AF$28+'TUSD CVA'!$AF$28)*(1 - 0.1)</f>
        <v>0</v>
      </c>
      <c r="AD28" s="85">
        <f>('TUSD BE'!$AH$28+'TUSD BF'!$AH$28+'TUSD CVA'!$AH$28)*(1 - 0.1)</f>
        <v>41.445918371961405</v>
      </c>
      <c r="AE28" s="85">
        <f>('TUSD BE'!$AI$28+'TUSD BF'!$AI$28+'TUSD CVA'!$AI$28)*(1 - 0.1)</f>
        <v>2.9845913947119564</v>
      </c>
      <c r="AF28" s="85">
        <f ca="1">('TUSD BE'!$AJ$28+'TUSD BF'!$AJ$28+'TUSD CVA'!$AJ$28)*(1 - 0.1)</f>
        <v>102.51507247830787</v>
      </c>
      <c r="AG28" s="85">
        <f ca="1">('TUSD BE'!$AK$28+'TUSD BF'!$AK$28+'TUSD CVA'!$AK$28)*(1 - 0.1)</f>
        <v>15.864063166204986</v>
      </c>
      <c r="AI28" s="85">
        <v>0</v>
      </c>
      <c r="AJ28" s="85">
        <v>0.66026121152443196</v>
      </c>
      <c r="AK28" s="85">
        <v>4.3673119418324102</v>
      </c>
      <c r="AL28" s="85">
        <v>0</v>
      </c>
      <c r="AM28" s="85">
        <v>0</v>
      </c>
      <c r="AN28" s="85">
        <v>0</v>
      </c>
      <c r="AO28" s="85">
        <v>0</v>
      </c>
      <c r="AP28" s="85">
        <v>0</v>
      </c>
      <c r="AQ28" s="85">
        <v>29.9532445637347</v>
      </c>
      <c r="AR28" s="85">
        <v>4.8765091541641103</v>
      </c>
      <c r="AS28" s="85">
        <v>-0.34799083178824203</v>
      </c>
      <c r="AT28" s="85">
        <v>0</v>
      </c>
      <c r="AU28" s="85">
        <v>0.15260682220403099</v>
      </c>
      <c r="AV28" s="85">
        <v>0</v>
      </c>
      <c r="AW28" s="85">
        <v>0</v>
      </c>
      <c r="AX28" s="85">
        <v>184.84029302653201</v>
      </c>
      <c r="AY28" s="85">
        <v>0</v>
      </c>
      <c r="AZ28" s="85">
        <v>0</v>
      </c>
      <c r="BA28" s="85">
        <v>38.7435936805498</v>
      </c>
      <c r="BB28" s="85">
        <v>3.04089263063545</v>
      </c>
      <c r="BC28" s="85">
        <v>105.52915588370701</v>
      </c>
      <c r="BD28" s="85">
        <v>6.5391882235371899</v>
      </c>
    </row>
    <row r="29" spans="1:56" ht="11.25" customHeight="1" x14ac:dyDescent="0.25">
      <c r="A29" s="124"/>
      <c r="B29" s="124"/>
      <c r="C29" s="124"/>
      <c r="D29" s="86" t="s">
        <v>34</v>
      </c>
      <c r="E29" s="86" t="s">
        <v>25</v>
      </c>
      <c r="F29" s="86" t="s">
        <v>25</v>
      </c>
      <c r="G29" s="28" t="s">
        <v>92</v>
      </c>
      <c r="H29" s="28" t="s">
        <v>86</v>
      </c>
      <c r="I29" s="28">
        <f>'MERCADO TUSD'!$U$26</f>
        <v>77490.793999999994</v>
      </c>
      <c r="J29" s="18"/>
      <c r="L29" s="85">
        <f>('TUSD BE'!$L$29+'TUSD BF'!$L$29+'TUSD CVA'!$L$29)*1</f>
        <v>0</v>
      </c>
      <c r="M29" s="85">
        <f>('TUSD BE'!$M$29+'TUSD BF'!$M$29+'TUSD CVA'!$M$29)*1</f>
        <v>0.87106496021258417</v>
      </c>
      <c r="N29" s="85">
        <f ca="1">('TUSD BE'!$N$29+'TUSD BF'!$N$29+'TUSD CVA'!$N$29)*1</f>
        <v>5.3012645500611457</v>
      </c>
      <c r="O29" s="85">
        <f>('TUSD BE'!$O$29+'TUSD BF'!$O$29+'TUSD CVA'!$O$29)*1</f>
        <v>0</v>
      </c>
      <c r="P29" s="85">
        <v>0</v>
      </c>
      <c r="Q29" s="85">
        <f>('TUSD BE'!$Q$29+'TUSD BF'!$Q$29+'TUSD CVA'!$Q$29)*1</f>
        <v>0</v>
      </c>
      <c r="R29" s="85">
        <v>0</v>
      </c>
      <c r="S29" s="85">
        <f>('TUSD BE'!$S$29+'TUSD BF'!$S$29+'TUSD CVA'!$S$29)*1</f>
        <v>0</v>
      </c>
      <c r="T29" s="85">
        <f>('TUSD BE'!$U$29+'TUSD BF'!$U$29+'TUSD CVA'!$U$29)*1</f>
        <v>42.322764483604416</v>
      </c>
      <c r="U29" s="85">
        <f>('TUSD BE'!$V$29+'TUSD BF'!$V$29+'TUSD CVA'!$V$29)*1</f>
        <v>0.52261746968550549</v>
      </c>
      <c r="V29" s="85">
        <f>('TUSD BE'!$W$29+'TUSD BF'!$W$29+'TUSD CVA'!$W$29)*1</f>
        <v>7.1263230018764334E-2</v>
      </c>
      <c r="W29" s="85">
        <f>('TUSD BE'!$X$29+'TUSD BF'!$X$29+'TUSD CVA'!$X$29)*1</f>
        <v>0</v>
      </c>
      <c r="X29" s="85">
        <f>('TUSD BE'!$Y$29+'TUSD BF'!$Y$29+'TUSD CVA'!$Y$29)*1</f>
        <v>-1.8416681343903091E-3</v>
      </c>
      <c r="Y29" s="85">
        <f>('TUSD BE'!$Z$29+'TUSD BF'!$Z$29+'TUSD CVA'!$Z$29)*1</f>
        <v>0</v>
      </c>
      <c r="Z29" s="85">
        <f>('TUSD BE'!$AA$29+'TUSD BF'!$AA$29+'TUSD CVA'!$AA$29)*1</f>
        <v>0</v>
      </c>
      <c r="AA29" s="85">
        <f>('TUSD BE'!$AC$29+'TUSD BF'!$AC$29+'TUSD CVA'!$AC$29)*1</f>
        <v>230.05245855198956</v>
      </c>
      <c r="AB29" s="85">
        <f ca="1">('TUSD BE'!$AE$29+'TUSD BF'!$AE$29+'TUSD CVA'!$AE$29)*1</f>
        <v>0</v>
      </c>
      <c r="AC29" s="85">
        <f ca="1">('TUSD BE'!$AF$29+'TUSD BF'!$AF$29+'TUSD CVA'!$AF$29)*1</f>
        <v>0</v>
      </c>
      <c r="AD29" s="85">
        <f>('TUSD BE'!$AH$29+'TUSD BF'!$AH$29+'TUSD CVA'!$AH$29)*1</f>
        <v>46.051020413290445</v>
      </c>
      <c r="AE29" s="85">
        <f>('TUSD BE'!$AI$29+'TUSD BF'!$AI$29+'TUSD CVA'!$AI$29)*1</f>
        <v>3.3162126607910625</v>
      </c>
      <c r="AF29" s="85">
        <f ca="1">('TUSD BE'!$AJ$29+'TUSD BF'!$AJ$29+'TUSD CVA'!$AJ$29)*1</f>
        <v>113.90563608700874</v>
      </c>
      <c r="AG29" s="85">
        <f ca="1">('TUSD BE'!$AK$29+'TUSD BF'!$AK$29+'TUSD CVA'!$AK$29)*1</f>
        <v>17.626736851338872</v>
      </c>
      <c r="AI29" s="85">
        <v>0</v>
      </c>
      <c r="AJ29" s="85">
        <v>0.73362356836047904</v>
      </c>
      <c r="AK29" s="85">
        <v>4.8525688242582303</v>
      </c>
      <c r="AL29" s="85">
        <v>0</v>
      </c>
      <c r="AM29" s="85">
        <v>0</v>
      </c>
      <c r="AN29" s="85">
        <v>0</v>
      </c>
      <c r="AO29" s="85">
        <v>0</v>
      </c>
      <c r="AP29" s="85">
        <v>0</v>
      </c>
      <c r="AQ29" s="85">
        <v>33.281382848594099</v>
      </c>
      <c r="AR29" s="85">
        <v>5.4183435046267796</v>
      </c>
      <c r="AS29" s="85">
        <v>-0.38665647976471301</v>
      </c>
      <c r="AT29" s="85">
        <v>0</v>
      </c>
      <c r="AU29" s="85">
        <v>0.16956313578225701</v>
      </c>
      <c r="AV29" s="85">
        <v>0</v>
      </c>
      <c r="AW29" s="85">
        <v>0</v>
      </c>
      <c r="AX29" s="85">
        <v>205.37810336281399</v>
      </c>
      <c r="AY29" s="85">
        <v>0</v>
      </c>
      <c r="AZ29" s="85">
        <v>0</v>
      </c>
      <c r="BA29" s="85">
        <v>43.048437422833103</v>
      </c>
      <c r="BB29" s="85">
        <v>3.3787695895949499</v>
      </c>
      <c r="BC29" s="85">
        <v>117.25461764856399</v>
      </c>
      <c r="BD29" s="85">
        <v>7.2657646928190998</v>
      </c>
    </row>
    <row r="30" spans="1:56" ht="11.25" customHeight="1" x14ac:dyDescent="0.25">
      <c r="A30" s="124"/>
      <c r="B30" s="124" t="s">
        <v>100</v>
      </c>
      <c r="C30" s="124" t="s">
        <v>24</v>
      </c>
      <c r="D30" s="86" t="s">
        <v>24</v>
      </c>
      <c r="E30" s="86" t="s">
        <v>25</v>
      </c>
      <c r="F30" s="86" t="s">
        <v>25</v>
      </c>
      <c r="G30" s="28" t="s">
        <v>92</v>
      </c>
      <c r="H30" s="28" t="s">
        <v>86</v>
      </c>
      <c r="I30" s="28">
        <f>'MERCADO TUSD'!$U$27</f>
        <v>0</v>
      </c>
      <c r="J30" s="18"/>
      <c r="L30" s="85">
        <f>('TUSD BE'!$L$30+'TUSD BF'!$L$30+'TUSD CVA'!$L$30)*1</f>
        <v>14.099336508183265</v>
      </c>
      <c r="M30" s="85">
        <f>('TUSD BE'!$M$30+'TUSD BF'!$M$30+'TUSD CVA'!$M$30)*1</f>
        <v>0.87106496021258417</v>
      </c>
      <c r="N30" s="85">
        <f ca="1">('TUSD BE'!$N$30+'TUSD BF'!$N$30+'TUSD CVA'!$N$30)*1</f>
        <v>5.3104788009697641</v>
      </c>
      <c r="O30" s="85">
        <f>('TUSD BE'!$O$30+'TUSD BF'!$O$30+'TUSD CVA'!$O$30)*1</f>
        <v>0</v>
      </c>
      <c r="P30" s="85">
        <f>('TUSD BE'!$P$30+'TUSD BF'!$P$30+'TUSD CVA'!$P$30)*1</f>
        <v>0</v>
      </c>
      <c r="Q30" s="85">
        <f>('TUSD BE'!$Q$30+'TUSD BF'!$Q$30+'TUSD CVA'!$Q$30)*1</f>
        <v>21.755992934527161</v>
      </c>
      <c r="R30" s="85">
        <f>('TUSD BE'!$R$30+'TUSD BF'!$R$30+'TUSD CVA'!$R$30)*1</f>
        <v>10.616102591746483</v>
      </c>
      <c r="S30" s="85">
        <f>('TUSD BE'!$S$30+'TUSD BF'!$S$30+'TUSD CVA'!$S$30)*1</f>
        <v>0</v>
      </c>
      <c r="T30" s="85">
        <f>('TUSD BE'!$U$30+'TUSD BF'!$U$30+'TUSD CVA'!$U$30)*1</f>
        <v>42.322764483604416</v>
      </c>
      <c r="U30" s="85">
        <f>('TUSD BE'!$V$30+'TUSD BF'!$V$30+'TUSD CVA'!$V$30)*1</f>
        <v>0.52261746968550549</v>
      </c>
      <c r="V30" s="85">
        <f>('TUSD BE'!$W$30+'TUSD BF'!$W$30+'TUSD CVA'!$W$30)*1</f>
        <v>7.1263230018764334E-2</v>
      </c>
      <c r="W30" s="85">
        <f>('TUSD BE'!$X$30+'TUSD BF'!$X$30+'TUSD CVA'!$X$30)*1</f>
        <v>0</v>
      </c>
      <c r="X30" s="85">
        <f>('TUSD BE'!$Y$30+'TUSD BF'!$Y$30+'TUSD CVA'!$Y$30)*1</f>
        <v>-1.8416681343903091E-3</v>
      </c>
      <c r="Y30" s="85">
        <f>('TUSD BE'!$Z$30+'TUSD BF'!$Z$30+'TUSD CVA'!$Z$30)*1</f>
        <v>0</v>
      </c>
      <c r="Z30" s="85">
        <f>('TUSD BE'!$AA$30+'TUSD BF'!$AA$30+'TUSD CVA'!$AA$30)*1</f>
        <v>0</v>
      </c>
      <c r="AA30" s="85">
        <f>('TUSD BE'!$AC$30+'TUSD BF'!$AC$30+'TUSD CVA'!$AC$30)*1</f>
        <v>230.05245855198956</v>
      </c>
      <c r="AB30" s="85">
        <f ca="1">('TUSD BE'!$AE$30+'TUSD BF'!$AE$30+'TUSD CVA'!$AE$30)*1</f>
        <v>0</v>
      </c>
      <c r="AC30" s="85">
        <f ca="1">('TUSD BE'!$AF$30+'TUSD BF'!$AF$30+'TUSD CVA'!$AF$30)*1</f>
        <v>0</v>
      </c>
      <c r="AD30" s="85">
        <f>('TUSD BE'!$AH$30+'TUSD BF'!$AH$30+'TUSD CVA'!$AH$30)*1</f>
        <v>46.051020413290445</v>
      </c>
      <c r="AE30" s="85">
        <f>('TUSD BE'!$AI$30+'TUSD BF'!$AI$30+'TUSD CVA'!$AI$30)*1</f>
        <v>3.3162126607910625</v>
      </c>
      <c r="AF30" s="85">
        <f ca="1">('TUSD BE'!$AJ$30+'TUSD BF'!$AJ$30+'TUSD CVA'!$AJ$30)*1</f>
        <v>113.90563608700874</v>
      </c>
      <c r="AG30" s="85">
        <f ca="1">('TUSD BE'!$AK$30+'TUSD BF'!$AK$30+'TUSD CVA'!$AK$30)*1</f>
        <v>17.626736851338872</v>
      </c>
      <c r="AI30" s="85">
        <v>0</v>
      </c>
      <c r="AJ30" s="85">
        <v>0.73362356836047904</v>
      </c>
      <c r="AK30" s="85">
        <v>4.8609046975267098</v>
      </c>
      <c r="AL30" s="85">
        <v>0</v>
      </c>
      <c r="AM30" s="85">
        <v>0</v>
      </c>
      <c r="AN30" s="85">
        <v>22.237206444064</v>
      </c>
      <c r="AO30" s="85">
        <v>7.5520246477920896</v>
      </c>
      <c r="AP30" s="85">
        <v>0</v>
      </c>
      <c r="AQ30" s="85">
        <v>33.281382848594099</v>
      </c>
      <c r="AR30" s="85">
        <v>5.4183435046267796</v>
      </c>
      <c r="AS30" s="85">
        <v>-0.38665647976471301</v>
      </c>
      <c r="AT30" s="85">
        <v>0</v>
      </c>
      <c r="AU30" s="85">
        <v>0.16956313578225701</v>
      </c>
      <c r="AV30" s="85">
        <v>0</v>
      </c>
      <c r="AW30" s="85">
        <v>0</v>
      </c>
      <c r="AX30" s="85">
        <v>205.37810336281399</v>
      </c>
      <c r="AY30" s="85">
        <v>0</v>
      </c>
      <c r="AZ30" s="85">
        <v>0</v>
      </c>
      <c r="BA30" s="85">
        <v>43.048437422833103</v>
      </c>
      <c r="BB30" s="85">
        <v>3.3787695895949499</v>
      </c>
      <c r="BC30" s="85">
        <v>117.25461764856399</v>
      </c>
      <c r="BD30" s="85">
        <v>7.2657646928190998</v>
      </c>
    </row>
    <row r="31" spans="1:56" ht="11.25" customHeight="1" x14ac:dyDescent="0.25">
      <c r="A31" s="124"/>
      <c r="B31" s="124"/>
      <c r="C31" s="124"/>
      <c r="D31" s="86" t="s">
        <v>31</v>
      </c>
      <c r="E31" s="86" t="s">
        <v>25</v>
      </c>
      <c r="F31" s="86" t="s">
        <v>25</v>
      </c>
      <c r="G31" s="28" t="s">
        <v>92</v>
      </c>
      <c r="H31" s="28" t="s">
        <v>86</v>
      </c>
      <c r="I31" s="28">
        <f>'MERCADO TUSD'!$U$28</f>
        <v>0</v>
      </c>
      <c r="J31" s="18"/>
      <c r="L31" s="85">
        <f>('TUSD BE'!$L$31+'TUSD BF'!$L$31+'TUSD CVA'!$L$31)*(1 - 0.65)</f>
        <v>0</v>
      </c>
      <c r="M31" s="85">
        <f>('TUSD BE'!$M$31+'TUSD BF'!$M$31+'TUSD CVA'!$M$31)*(1 - 0.65)</f>
        <v>0.30487273607440446</v>
      </c>
      <c r="N31" s="85">
        <f ca="1">('TUSD BE'!$N$31+'TUSD BF'!$N$31+'TUSD CVA'!$N$31)*(1 - 0.65)</f>
        <v>1.8554425925214009</v>
      </c>
      <c r="O31" s="85">
        <f>('TUSD BE'!$O$31+'TUSD BF'!$O$31+'TUSD CVA'!$O$31)*(1 - 0.65)</f>
        <v>0</v>
      </c>
      <c r="P31" s="85">
        <v>0</v>
      </c>
      <c r="Q31" s="85">
        <f>('TUSD BE'!$Q$31+'TUSD BF'!$Q$31+'TUSD CVA'!$Q$31)*(1 - 0.65)</f>
        <v>0</v>
      </c>
      <c r="R31" s="85">
        <v>0</v>
      </c>
      <c r="S31" s="85">
        <f>('TUSD BE'!$S$31+'TUSD BF'!$S$31+'TUSD CVA'!$S$31)*(1 - 0.65)</f>
        <v>0</v>
      </c>
      <c r="T31" s="85">
        <f>('TUSD BE'!$U$31+'TUSD BF'!$U$31+'TUSD CVA'!$U$31)*(1 - 0.65)</f>
        <v>14.812967569261545</v>
      </c>
      <c r="U31" s="85">
        <f>('TUSD BE'!$V$31+'TUSD BF'!$V$31+'TUSD CVA'!$V$31)*(1 - 0.65)</f>
        <v>0.18291611438992691</v>
      </c>
      <c r="V31" s="85">
        <f>('TUSD BE'!$W$31+'TUSD BF'!$W$31+'TUSD CVA'!$W$31)*(1 - 0.65)</f>
        <v>2.4942130506567517E-2</v>
      </c>
      <c r="W31" s="85">
        <f>('TUSD BE'!$X$31+'TUSD BF'!$X$31+'TUSD CVA'!$X$31)*(1 - 0.65)</f>
        <v>0</v>
      </c>
      <c r="X31" s="85">
        <f>('TUSD BE'!$Y$31+'TUSD BF'!$Y$31+'TUSD CVA'!$Y$31)*(1 - 0.65)</f>
        <v>-6.4458384703660818E-4</v>
      </c>
      <c r="Y31" s="85">
        <f>('TUSD BE'!$Z$31+'TUSD BF'!$Z$31+'TUSD CVA'!$Z$31)*(1 - 0.65)</f>
        <v>0</v>
      </c>
      <c r="Z31" s="85">
        <f>('TUSD BE'!$AA$31+'TUSD BF'!$AA$31+'TUSD CVA'!$AA$31)*(1 - 0.65)</f>
        <v>0</v>
      </c>
      <c r="AA31" s="85">
        <f>('TUSD BE'!$AC$31+'TUSD BF'!$AC$31+'TUSD CVA'!$AC$31)*(1 - 0.65)</f>
        <v>80.51836049319634</v>
      </c>
      <c r="AB31" s="85">
        <f ca="1">('TUSD BE'!$AE$31+'TUSD BF'!$AE$31+'TUSD CVA'!$AE$31)*(1 - 0.65)</f>
        <v>0</v>
      </c>
      <c r="AC31" s="85">
        <f ca="1">('TUSD BE'!$AF$31+'TUSD BF'!$AF$31+'TUSD CVA'!$AF$31)*(1 - 0.65)</f>
        <v>0</v>
      </c>
      <c r="AD31" s="85">
        <f>('TUSD BE'!$AH$31+'TUSD BF'!$AH$31+'TUSD CVA'!$AH$31)*(1 - 0.65)</f>
        <v>16.117857144651655</v>
      </c>
      <c r="AE31" s="85">
        <f>('TUSD BE'!$AI$31+'TUSD BF'!$AI$31+'TUSD CVA'!$AI$31)*(1 - 0.65)</f>
        <v>1.1606744312768718</v>
      </c>
      <c r="AF31" s="85">
        <f ca="1">('TUSD BE'!$AJ$31+'TUSD BF'!$AJ$31+'TUSD CVA'!$AJ$31)*(1 - 0.65)</f>
        <v>39.866972630453056</v>
      </c>
      <c r="AG31" s="85">
        <f ca="1">('TUSD BE'!$AK$31+'TUSD BF'!$AK$31+'TUSD CVA'!$AK$31)*(1 - 0.65)</f>
        <v>6.169357897968605</v>
      </c>
      <c r="AI31" s="85">
        <v>0</v>
      </c>
      <c r="AJ31" s="85">
        <v>0.25676824892616801</v>
      </c>
      <c r="AK31" s="85">
        <v>1.6983990884903799</v>
      </c>
      <c r="AL31" s="85">
        <v>0</v>
      </c>
      <c r="AM31" s="85">
        <v>0</v>
      </c>
      <c r="AN31" s="85">
        <v>0</v>
      </c>
      <c r="AO31" s="85">
        <v>0</v>
      </c>
      <c r="AP31" s="85">
        <v>0</v>
      </c>
      <c r="AQ31" s="85">
        <v>11.648483997007901</v>
      </c>
      <c r="AR31" s="85">
        <v>1.8964202266193699</v>
      </c>
      <c r="AS31" s="85">
        <v>-0.13532976791765</v>
      </c>
      <c r="AT31" s="85">
        <v>0</v>
      </c>
      <c r="AU31" s="85">
        <v>5.9347097523789902E-2</v>
      </c>
      <c r="AV31" s="85">
        <v>0</v>
      </c>
      <c r="AW31" s="85">
        <v>0</v>
      </c>
      <c r="AX31" s="85">
        <v>71.882336176984793</v>
      </c>
      <c r="AY31" s="85">
        <v>0</v>
      </c>
      <c r="AZ31" s="85">
        <v>0</v>
      </c>
      <c r="BA31" s="85">
        <v>15.0669530979916</v>
      </c>
      <c r="BB31" s="85">
        <v>1.18256935635823</v>
      </c>
      <c r="BC31" s="85">
        <v>41.039116176997297</v>
      </c>
      <c r="BD31" s="85">
        <v>2.5430176424866899</v>
      </c>
    </row>
    <row r="32" spans="1:56" ht="11.25" customHeight="1" x14ac:dyDescent="0.25">
      <c r="A32" s="124"/>
      <c r="B32" s="124"/>
      <c r="C32" s="124"/>
      <c r="D32" s="86" t="s">
        <v>32</v>
      </c>
      <c r="E32" s="86" t="s">
        <v>25</v>
      </c>
      <c r="F32" s="86" t="s">
        <v>25</v>
      </c>
      <c r="G32" s="28" t="s">
        <v>92</v>
      </c>
      <c r="H32" s="28" t="s">
        <v>86</v>
      </c>
      <c r="I32" s="28">
        <f>'MERCADO TUSD'!$U$29</f>
        <v>0</v>
      </c>
      <c r="J32" s="18"/>
      <c r="L32" s="85">
        <f>('TUSD BE'!$L$32+'TUSD BF'!$L$32+'TUSD CVA'!$L$32)*(1 - 0.4)</f>
        <v>0</v>
      </c>
      <c r="M32" s="85">
        <f>('TUSD BE'!$M$32+'TUSD BF'!$M$32+'TUSD CVA'!$M$32)*(1 - 0.4)</f>
        <v>0.5226389761275505</v>
      </c>
      <c r="N32" s="85">
        <f ca="1">('TUSD BE'!$N$32+'TUSD BF'!$N$32+'TUSD CVA'!$N$32)*(1 - 0.4)</f>
        <v>3.1807587300366875</v>
      </c>
      <c r="O32" s="85">
        <f>('TUSD BE'!$O$32+'TUSD BF'!$O$32+'TUSD CVA'!$O$32)*(1 - 0.4)</f>
        <v>0</v>
      </c>
      <c r="P32" s="85">
        <v>0</v>
      </c>
      <c r="Q32" s="85">
        <f>('TUSD BE'!$Q$32+'TUSD BF'!$Q$32+'TUSD CVA'!$Q$32)*(1 - 0.4)</f>
        <v>0</v>
      </c>
      <c r="R32" s="85">
        <v>0</v>
      </c>
      <c r="S32" s="85">
        <f>('TUSD BE'!$S$32+'TUSD BF'!$S$32+'TUSD CVA'!$S$32)*(1 - 0.4)</f>
        <v>0</v>
      </c>
      <c r="T32" s="85">
        <f>('TUSD BE'!$U$32+'TUSD BF'!$U$32+'TUSD CVA'!$U$32)*(1 - 0.4)</f>
        <v>25.393658690162649</v>
      </c>
      <c r="U32" s="85">
        <f>('TUSD BE'!$V$32+'TUSD BF'!$V$32+'TUSD CVA'!$V$32)*(1 - 0.4)</f>
        <v>0.31357048181130326</v>
      </c>
      <c r="V32" s="85">
        <f>('TUSD BE'!$W$32+'TUSD BF'!$W$32+'TUSD CVA'!$W$32)*(1 - 0.4)</f>
        <v>4.27579380112586E-2</v>
      </c>
      <c r="W32" s="85">
        <f>('TUSD BE'!$X$32+'TUSD BF'!$X$32+'TUSD CVA'!$X$32)*(1 - 0.4)</f>
        <v>0</v>
      </c>
      <c r="X32" s="85">
        <f>('TUSD BE'!$Y$32+'TUSD BF'!$Y$32+'TUSD CVA'!$Y$32)*(1 - 0.4)</f>
        <v>-1.1050008806341854E-3</v>
      </c>
      <c r="Y32" s="85">
        <f>('TUSD BE'!$Z$32+'TUSD BF'!$Z$32+'TUSD CVA'!$Z$32)*(1 - 0.4)</f>
        <v>0</v>
      </c>
      <c r="Z32" s="85">
        <f>('TUSD BE'!$AA$32+'TUSD BF'!$AA$32+'TUSD CVA'!$AA$32)*(1 - 0.4)</f>
        <v>0</v>
      </c>
      <c r="AA32" s="85">
        <f>('TUSD BE'!$AC$32+'TUSD BF'!$AC$32+'TUSD CVA'!$AC$32)*(1 - 0.4)</f>
        <v>138.03147513119373</v>
      </c>
      <c r="AB32" s="85">
        <f ca="1">('TUSD BE'!$AE$32+'TUSD BF'!$AE$32+'TUSD CVA'!$AE$32)*(1 - 0.4)</f>
        <v>0</v>
      </c>
      <c r="AC32" s="85">
        <f ca="1">('TUSD BE'!$AF$32+'TUSD BF'!$AF$32+'TUSD CVA'!$AF$32)*(1 - 0.4)</f>
        <v>0</v>
      </c>
      <c r="AD32" s="85">
        <f>('TUSD BE'!$AH$32+'TUSD BF'!$AH$32+'TUSD CVA'!$AH$32)*(1 - 0.4)</f>
        <v>27.630612247974266</v>
      </c>
      <c r="AE32" s="85">
        <f>('TUSD BE'!$AI$32+'TUSD BF'!$AI$32+'TUSD CVA'!$AI$32)*(1 - 0.4)</f>
        <v>1.9897275964746375</v>
      </c>
      <c r="AF32" s="85">
        <f ca="1">('TUSD BE'!$AJ$32+'TUSD BF'!$AJ$32+'TUSD CVA'!$AJ$32)*(1 - 0.4)</f>
        <v>68.343381652205238</v>
      </c>
      <c r="AG32" s="85">
        <f ca="1">('TUSD BE'!$AK$32+'TUSD BF'!$AK$32+'TUSD CVA'!$AK$32)*(1 - 0.4)</f>
        <v>10.576042110803323</v>
      </c>
      <c r="AI32" s="85">
        <v>0</v>
      </c>
      <c r="AJ32" s="85">
        <v>0.44017414101628799</v>
      </c>
      <c r="AK32" s="85">
        <v>2.9115412945549402</v>
      </c>
      <c r="AL32" s="85">
        <v>0</v>
      </c>
      <c r="AM32" s="85">
        <v>0</v>
      </c>
      <c r="AN32" s="85">
        <v>0</v>
      </c>
      <c r="AO32" s="85">
        <v>0</v>
      </c>
      <c r="AP32" s="85">
        <v>0</v>
      </c>
      <c r="AQ32" s="85">
        <v>19.968829709156498</v>
      </c>
      <c r="AR32" s="85">
        <v>3.2510061027760702</v>
      </c>
      <c r="AS32" s="85">
        <v>-0.23199388785882799</v>
      </c>
      <c r="AT32" s="85">
        <v>0</v>
      </c>
      <c r="AU32" s="85">
        <v>0.101737881469354</v>
      </c>
      <c r="AV32" s="85">
        <v>0</v>
      </c>
      <c r="AW32" s="85">
        <v>0</v>
      </c>
      <c r="AX32" s="85">
        <v>123.22686201768801</v>
      </c>
      <c r="AY32" s="85">
        <v>0</v>
      </c>
      <c r="AZ32" s="85">
        <v>0</v>
      </c>
      <c r="BA32" s="85">
        <v>25.829062453699901</v>
      </c>
      <c r="BB32" s="85">
        <v>2.0272617537569699</v>
      </c>
      <c r="BC32" s="85">
        <v>70.352770589138302</v>
      </c>
      <c r="BD32" s="85">
        <v>4.3594588156914602</v>
      </c>
    </row>
    <row r="33" spans="1:56" ht="11.25" customHeight="1" x14ac:dyDescent="0.25">
      <c r="A33" s="124"/>
      <c r="B33" s="124"/>
      <c r="C33" s="124"/>
      <c r="D33" s="86" t="s">
        <v>33</v>
      </c>
      <c r="E33" s="86" t="s">
        <v>25</v>
      </c>
      <c r="F33" s="86" t="s">
        <v>25</v>
      </c>
      <c r="G33" s="28" t="s">
        <v>92</v>
      </c>
      <c r="H33" s="28" t="s">
        <v>86</v>
      </c>
      <c r="I33" s="28">
        <f>'MERCADO TUSD'!$U$30</f>
        <v>0</v>
      </c>
      <c r="J33" s="18"/>
      <c r="L33" s="85">
        <f>('TUSD BE'!$L$33+'TUSD BF'!$L$33+'TUSD CVA'!$L$33)*(1 - 0.1)</f>
        <v>0</v>
      </c>
      <c r="M33" s="85">
        <f>('TUSD BE'!$M$33+'TUSD BF'!$M$33+'TUSD CVA'!$M$33)*(1 - 0.1)</f>
        <v>0.78395846419132575</v>
      </c>
      <c r="N33" s="85">
        <f ca="1">('TUSD BE'!$N$33+'TUSD BF'!$N$33+'TUSD CVA'!$N$33)*(1 - 0.1)</f>
        <v>4.7711380950550311</v>
      </c>
      <c r="O33" s="85">
        <f>('TUSD BE'!$O$33+'TUSD BF'!$O$33+'TUSD CVA'!$O$33)*(1 - 0.1)</f>
        <v>0</v>
      </c>
      <c r="P33" s="85">
        <v>0</v>
      </c>
      <c r="Q33" s="85">
        <f>('TUSD BE'!$Q$33+'TUSD BF'!$Q$33+'TUSD CVA'!$Q$33)*(1 - 0.1)</f>
        <v>0</v>
      </c>
      <c r="R33" s="85">
        <v>0</v>
      </c>
      <c r="S33" s="85">
        <f>('TUSD BE'!$S$33+'TUSD BF'!$S$33+'TUSD CVA'!$S$33)*(1 - 0.1)</f>
        <v>0</v>
      </c>
      <c r="T33" s="85">
        <f>('TUSD BE'!$U$33+'TUSD BF'!$U$33+'TUSD CVA'!$U$33)*(1 - 0.1)</f>
        <v>38.090488035243979</v>
      </c>
      <c r="U33" s="85">
        <f>('TUSD BE'!$V$33+'TUSD BF'!$V$33+'TUSD CVA'!$V$33)*(1 - 0.1)</f>
        <v>0.47035572271695497</v>
      </c>
      <c r="V33" s="85">
        <f>('TUSD BE'!$W$33+'TUSD BF'!$W$33+'TUSD CVA'!$W$33)*(1 - 0.1)</f>
        <v>6.4136907016887901E-2</v>
      </c>
      <c r="W33" s="85">
        <f>('TUSD BE'!$X$33+'TUSD BF'!$X$33+'TUSD CVA'!$X$33)*(1 - 0.1)</f>
        <v>0</v>
      </c>
      <c r="X33" s="85">
        <f>('TUSD BE'!$Y$33+'TUSD BF'!$Y$33+'TUSD CVA'!$Y$33)*(1 - 0.1)</f>
        <v>-1.6575013209512782E-3</v>
      </c>
      <c r="Y33" s="85">
        <f>('TUSD BE'!$Z$33+'TUSD BF'!$Z$33+'TUSD CVA'!$Z$33)*(1 - 0.1)</f>
        <v>0</v>
      </c>
      <c r="Z33" s="85">
        <f>('TUSD BE'!$AA$33+'TUSD BF'!$AA$33+'TUSD CVA'!$AA$33)*(1 - 0.1)</f>
        <v>0</v>
      </c>
      <c r="AA33" s="85">
        <f>('TUSD BE'!$AC$33+'TUSD BF'!$AC$33+'TUSD CVA'!$AC$33)*(1 - 0.1)</f>
        <v>207.04721269679061</v>
      </c>
      <c r="AB33" s="85">
        <f ca="1">('TUSD BE'!$AE$33+'TUSD BF'!$AE$33+'TUSD CVA'!$AE$33)*(1 - 0.1)</f>
        <v>0</v>
      </c>
      <c r="AC33" s="85">
        <f ca="1">('TUSD BE'!$AF$33+'TUSD BF'!$AF$33+'TUSD CVA'!$AF$33)*(1 - 0.1)</f>
        <v>0</v>
      </c>
      <c r="AD33" s="85">
        <f>('TUSD BE'!$AH$33+'TUSD BF'!$AH$33+'TUSD CVA'!$AH$33)*(1 - 0.1)</f>
        <v>41.445918371961405</v>
      </c>
      <c r="AE33" s="85">
        <f>('TUSD BE'!$AI$33+'TUSD BF'!$AI$33+'TUSD CVA'!$AI$33)*(1 - 0.1)</f>
        <v>2.9845913947119564</v>
      </c>
      <c r="AF33" s="85">
        <f ca="1">('TUSD BE'!$AJ$33+'TUSD BF'!$AJ$33+'TUSD CVA'!$AJ$33)*(1 - 0.1)</f>
        <v>102.51507247830787</v>
      </c>
      <c r="AG33" s="85">
        <f ca="1">('TUSD BE'!$AK$33+'TUSD BF'!$AK$33+'TUSD CVA'!$AK$33)*(1 - 0.1)</f>
        <v>15.864063166204986</v>
      </c>
      <c r="AI33" s="85">
        <v>0</v>
      </c>
      <c r="AJ33" s="85">
        <v>0.66026121152443196</v>
      </c>
      <c r="AK33" s="85">
        <v>4.3673119418324102</v>
      </c>
      <c r="AL33" s="85">
        <v>0</v>
      </c>
      <c r="AM33" s="85">
        <v>0</v>
      </c>
      <c r="AN33" s="85">
        <v>0</v>
      </c>
      <c r="AO33" s="85">
        <v>0</v>
      </c>
      <c r="AP33" s="85">
        <v>0</v>
      </c>
      <c r="AQ33" s="85">
        <v>29.9532445637347</v>
      </c>
      <c r="AR33" s="85">
        <v>4.8765091541641103</v>
      </c>
      <c r="AS33" s="85">
        <v>-0.34799083178824203</v>
      </c>
      <c r="AT33" s="85">
        <v>0</v>
      </c>
      <c r="AU33" s="85">
        <v>0.15260682220403099</v>
      </c>
      <c r="AV33" s="85">
        <v>0</v>
      </c>
      <c r="AW33" s="85">
        <v>0</v>
      </c>
      <c r="AX33" s="85">
        <v>184.84029302653201</v>
      </c>
      <c r="AY33" s="85">
        <v>0</v>
      </c>
      <c r="AZ33" s="85">
        <v>0</v>
      </c>
      <c r="BA33" s="85">
        <v>38.7435936805498</v>
      </c>
      <c r="BB33" s="85">
        <v>3.04089263063545</v>
      </c>
      <c r="BC33" s="85">
        <v>105.52915588370701</v>
      </c>
      <c r="BD33" s="85">
        <v>6.5391882235371899</v>
      </c>
    </row>
    <row r="34" spans="1:56" ht="11.25" customHeight="1" x14ac:dyDescent="0.25">
      <c r="A34" s="124"/>
      <c r="B34" s="124"/>
      <c r="C34" s="124"/>
      <c r="D34" s="86" t="s">
        <v>34</v>
      </c>
      <c r="E34" s="86" t="s">
        <v>25</v>
      </c>
      <c r="F34" s="86" t="s">
        <v>25</v>
      </c>
      <c r="G34" s="28" t="s">
        <v>92</v>
      </c>
      <c r="H34" s="28" t="s">
        <v>86</v>
      </c>
      <c r="I34" s="28">
        <f>'MERCADO TUSD'!$U$31</f>
        <v>0</v>
      </c>
      <c r="J34" s="18"/>
      <c r="L34" s="85">
        <f>('TUSD BE'!$L$34+'TUSD BF'!$L$34+'TUSD CVA'!$L$34)*1</f>
        <v>0</v>
      </c>
      <c r="M34" s="85">
        <f>('TUSD BE'!$M$34+'TUSD BF'!$M$34+'TUSD CVA'!$M$34)*1</f>
        <v>0.87106496021258417</v>
      </c>
      <c r="N34" s="85">
        <f ca="1">('TUSD BE'!$N$34+'TUSD BF'!$N$34+'TUSD CVA'!$N$34)*1</f>
        <v>5.3012645500611457</v>
      </c>
      <c r="O34" s="85">
        <f>('TUSD BE'!$O$34+'TUSD BF'!$O$34+'TUSD CVA'!$O$34)*1</f>
        <v>0</v>
      </c>
      <c r="P34" s="85">
        <v>0</v>
      </c>
      <c r="Q34" s="85">
        <f>('TUSD BE'!$Q$34+'TUSD BF'!$Q$34+'TUSD CVA'!$Q$34)*1</f>
        <v>0</v>
      </c>
      <c r="R34" s="85">
        <v>0</v>
      </c>
      <c r="S34" s="85">
        <f>('TUSD BE'!$S$34+'TUSD BF'!$S$34+'TUSD CVA'!$S$34)*1</f>
        <v>0</v>
      </c>
      <c r="T34" s="85">
        <f>('TUSD BE'!$U$34+'TUSD BF'!$U$34+'TUSD CVA'!$U$34)*1</f>
        <v>42.322764483604416</v>
      </c>
      <c r="U34" s="85">
        <f>('TUSD BE'!$V$34+'TUSD BF'!$V$34+'TUSD CVA'!$V$34)*1</f>
        <v>0.52261746968550549</v>
      </c>
      <c r="V34" s="85">
        <f>('TUSD BE'!$W$34+'TUSD BF'!$W$34+'TUSD CVA'!$W$34)*1</f>
        <v>7.1263230018764334E-2</v>
      </c>
      <c r="W34" s="85">
        <f>('TUSD BE'!$X$34+'TUSD BF'!$X$34+'TUSD CVA'!$X$34)*1</f>
        <v>0</v>
      </c>
      <c r="X34" s="85">
        <f>('TUSD BE'!$Y$34+'TUSD BF'!$Y$34+'TUSD CVA'!$Y$34)*1</f>
        <v>-1.8416681343903091E-3</v>
      </c>
      <c r="Y34" s="85">
        <f>('TUSD BE'!$Z$34+'TUSD BF'!$Z$34+'TUSD CVA'!$Z$34)*1</f>
        <v>0</v>
      </c>
      <c r="Z34" s="85">
        <f>('TUSD BE'!$AA$34+'TUSD BF'!$AA$34+'TUSD CVA'!$AA$34)*1</f>
        <v>0</v>
      </c>
      <c r="AA34" s="85">
        <f>('TUSD BE'!$AC$34+'TUSD BF'!$AC$34+'TUSD CVA'!$AC$34)*1</f>
        <v>230.05245855198956</v>
      </c>
      <c r="AB34" s="85">
        <f ca="1">('TUSD BE'!$AE$34+'TUSD BF'!$AE$34+'TUSD CVA'!$AE$34)*1</f>
        <v>0</v>
      </c>
      <c r="AC34" s="85">
        <f ca="1">('TUSD BE'!$AF$34+'TUSD BF'!$AF$34+'TUSD CVA'!$AF$34)*1</f>
        <v>0</v>
      </c>
      <c r="AD34" s="85">
        <f>('TUSD BE'!$AH$34+'TUSD BF'!$AH$34+'TUSD CVA'!$AH$34)*1</f>
        <v>46.051020413290445</v>
      </c>
      <c r="AE34" s="85">
        <f>('TUSD BE'!$AI$34+'TUSD BF'!$AI$34+'TUSD CVA'!$AI$34)*1</f>
        <v>3.3162126607910625</v>
      </c>
      <c r="AF34" s="85">
        <f ca="1">('TUSD BE'!$AJ$34+'TUSD BF'!$AJ$34+'TUSD CVA'!$AJ$34)*1</f>
        <v>113.90563608700874</v>
      </c>
      <c r="AG34" s="85">
        <f ca="1">('TUSD BE'!$AK$34+'TUSD BF'!$AK$34+'TUSD CVA'!$AK$34)*1</f>
        <v>17.626736851338872</v>
      </c>
      <c r="AI34" s="85">
        <v>0</v>
      </c>
      <c r="AJ34" s="85">
        <v>0.73362356836047904</v>
      </c>
      <c r="AK34" s="85">
        <v>4.8525688242582303</v>
      </c>
      <c r="AL34" s="85">
        <v>0</v>
      </c>
      <c r="AM34" s="85">
        <v>0</v>
      </c>
      <c r="AN34" s="85">
        <v>0</v>
      </c>
      <c r="AO34" s="85">
        <v>0</v>
      </c>
      <c r="AP34" s="85">
        <v>0</v>
      </c>
      <c r="AQ34" s="85">
        <v>33.281382848594099</v>
      </c>
      <c r="AR34" s="85">
        <v>5.4183435046267796</v>
      </c>
      <c r="AS34" s="85">
        <v>-0.38665647976471301</v>
      </c>
      <c r="AT34" s="85">
        <v>0</v>
      </c>
      <c r="AU34" s="85">
        <v>0.16956313578225701</v>
      </c>
      <c r="AV34" s="85">
        <v>0</v>
      </c>
      <c r="AW34" s="85">
        <v>0</v>
      </c>
      <c r="AX34" s="85">
        <v>205.37810336281399</v>
      </c>
      <c r="AY34" s="85">
        <v>0</v>
      </c>
      <c r="AZ34" s="85">
        <v>0</v>
      </c>
      <c r="BA34" s="85">
        <v>43.048437422833103</v>
      </c>
      <c r="BB34" s="85">
        <v>3.3787695895949499</v>
      </c>
      <c r="BC34" s="85">
        <v>117.25461764856399</v>
      </c>
      <c r="BD34" s="85">
        <v>7.2657646928190998</v>
      </c>
    </row>
    <row r="35" spans="1:56" ht="11.25" customHeight="1" x14ac:dyDescent="0.25">
      <c r="A35" s="124" t="s">
        <v>46</v>
      </c>
      <c r="B35" s="124" t="s">
        <v>39</v>
      </c>
      <c r="C35" s="124" t="s">
        <v>47</v>
      </c>
      <c r="D35" s="124" t="s">
        <v>25</v>
      </c>
      <c r="E35" s="124" t="s">
        <v>25</v>
      </c>
      <c r="F35" s="124" t="s">
        <v>25</v>
      </c>
      <c r="G35" s="28" t="s">
        <v>87</v>
      </c>
      <c r="H35" s="28" t="s">
        <v>86</v>
      </c>
      <c r="I35" s="28">
        <f>'MERCADO TUSD'!$U$32</f>
        <v>0</v>
      </c>
      <c r="J35" s="18"/>
      <c r="L35" s="85">
        <f>('TUSD BE'!$L$35+'TUSD BF'!$L$35+'TUSD CVA'!$L$35)*(1 - CUSTOS!$M$38)</f>
        <v>12.407416127201273</v>
      </c>
      <c r="M35" s="85">
        <f>('TUSD BE'!$M$35+'TUSD BF'!$M$35+'TUSD CVA'!$M$35)*(1 - CUSTOS!$M$38)</f>
        <v>0.76653716498707403</v>
      </c>
      <c r="N35" s="85">
        <f ca="1">('TUSD BE'!$N$35+'TUSD BF'!$N$35+'TUSD CVA'!$N$35)*(1 - CUSTOS!$M$38)</f>
        <v>9.0709760197487057</v>
      </c>
      <c r="O35" s="85">
        <f>('TUSD BE'!$O$35+'TUSD BF'!$O$35+'TUSD CVA'!$O$35)*(1 - CUSTOS!$M$38)</f>
        <v>0</v>
      </c>
      <c r="P35" s="85">
        <f>('TUSD BE'!$P$35+'TUSD BF'!$P$35+'TUSD CVA'!$P$35)*(1 - CUSTOS!$M$38)</f>
        <v>0</v>
      </c>
      <c r="Q35" s="85">
        <f>('TUSD BE'!$Q$35+'TUSD BF'!$Q$35+'TUSD CVA'!$Q$35)*(1 - CUSTOS!$M$38)</f>
        <v>19.145273782383903</v>
      </c>
      <c r="R35" s="85">
        <f>('TUSD BE'!$R$35+'TUSD BF'!$R$35+'TUSD CVA'!$R$35)*(1 - CUSTOS!$M$38)</f>
        <v>9.3421702807369051</v>
      </c>
      <c r="S35" s="85">
        <f>('TUSD BE'!$S$35+'TUSD BF'!$S$35+'TUSD CVA'!$S$35)*(1 - CUSTOS!$M$38)</f>
        <v>0</v>
      </c>
      <c r="T35" s="85">
        <f>('TUSD BE'!$U$35+'TUSD BF'!$U$35+'TUSD CVA'!$U$35)*(1 - CUSTOS!$M$38)</f>
        <v>119.18094376971352</v>
      </c>
      <c r="U35" s="85">
        <f>('TUSD BE'!$V$35+'TUSD BF'!$V$35+'TUSD CVA'!$V$35)*(1 - CUSTOS!$M$38)</f>
        <v>1.4717004880346012</v>
      </c>
      <c r="V35" s="85">
        <f>('TUSD BE'!$W$35+'TUSD BF'!$W$35+'TUSD CVA'!$W$35)*(1 - CUSTOS!$M$38)</f>
        <v>0.20068423726831672</v>
      </c>
      <c r="W35" s="85">
        <f>('TUSD BE'!$X$35+'TUSD BF'!$X$35+'TUSD CVA'!$X$35)*(1 - CUSTOS!$M$38)</f>
        <v>0</v>
      </c>
      <c r="X35" s="85">
        <f>('TUSD BE'!$Y$35+'TUSD BF'!$Y$35+'TUSD CVA'!$Y$35)*(1 - CUSTOS!$M$38)</f>
        <v>-5.186738827466595E-3</v>
      </c>
      <c r="Y35" s="85">
        <f>('TUSD BE'!$Z$35+'TUSD BF'!$Z$35+'TUSD CVA'!$Z$35)*(1 - CUSTOS!$M$38)</f>
        <v>0</v>
      </c>
      <c r="Z35" s="85">
        <f>('TUSD BE'!$AA$35+'TUSD BF'!$AA$35+'TUSD CVA'!$AA$35)*(1 - CUSTOS!$M$38)</f>
        <v>0</v>
      </c>
      <c r="AA35" s="85">
        <f>('TUSD BE'!$AC$35+'TUSD BF'!$AC$35+'TUSD CVA'!$AC$35)*(1 - CUSTOS!$M$38)</f>
        <v>647.82762346524555</v>
      </c>
      <c r="AB35" s="85">
        <f ca="1">('TUSD BE'!$AE$35+'TUSD BF'!$AE$35+'TUSD CVA'!$AE$35)*(1 - CUSTOS!$M$38)</f>
        <v>0</v>
      </c>
      <c r="AC35" s="85">
        <f ca="1">('TUSD BE'!$AF$35+'TUSD BF'!$AF$35+'TUSD CVA'!$AF$35)*(1 - CUSTOS!$M$38)</f>
        <v>0</v>
      </c>
      <c r="AD35" s="85">
        <f>('TUSD BE'!$AH$35+'TUSD BF'!$AH$35+'TUSD CVA'!$AH$35)*(1 - CUSTOS!$M$38)</f>
        <v>40.524897963695594</v>
      </c>
      <c r="AE35" s="85">
        <f>('TUSD BE'!$AI$35+'TUSD BF'!$AI$35+'TUSD CVA'!$AI$35)*(1 - CUSTOS!$M$38)</f>
        <v>2.918267141496135</v>
      </c>
      <c r="AF35" s="85">
        <f ca="1">('TUSD BE'!$AJ$35+'TUSD BF'!$AJ$35+'TUSD CVA'!$AJ$35)*(1 - CUSTOS!$M$38)</f>
        <v>100.2369597565677</v>
      </c>
      <c r="AG35" s="85">
        <f ca="1">('TUSD BE'!$AK$35+'TUSD BF'!$AK$35+'TUSD CVA'!$AK$35)*(1 - CUSTOS!$M$38)</f>
        <v>15.511528429178208</v>
      </c>
      <c r="AI35" s="85">
        <v>0</v>
      </c>
      <c r="AJ35" s="85">
        <v>0.60157132605559305</v>
      </c>
      <c r="AK35" s="85">
        <v>7.6932035855340501</v>
      </c>
      <c r="AL35" s="85">
        <v>0</v>
      </c>
      <c r="AM35" s="85">
        <v>0</v>
      </c>
      <c r="AN35" s="85">
        <v>18.2345092841325</v>
      </c>
      <c r="AO35" s="85">
        <v>6.1926602111895104</v>
      </c>
      <c r="AP35" s="85">
        <v>0</v>
      </c>
      <c r="AQ35" s="85">
        <v>87.330377160328396</v>
      </c>
      <c r="AR35" s="85">
        <v>14.2178270022925</v>
      </c>
      <c r="AS35" s="85">
        <v>-1.0146219002378001</v>
      </c>
      <c r="AT35" s="85">
        <v>0</v>
      </c>
      <c r="AU35" s="85">
        <v>0.44498526078664602</v>
      </c>
      <c r="AV35" s="85">
        <v>0</v>
      </c>
      <c r="AW35" s="85">
        <v>0</v>
      </c>
      <c r="AX35" s="85">
        <v>538.91206018855496</v>
      </c>
      <c r="AY35" s="85">
        <v>0</v>
      </c>
      <c r="AZ35" s="85">
        <v>0</v>
      </c>
      <c r="BA35" s="85">
        <v>35.299718686723203</v>
      </c>
      <c r="BB35" s="85">
        <v>2.7705910634678599</v>
      </c>
      <c r="BC35" s="85">
        <v>96.148786471822305</v>
      </c>
      <c r="BD35" s="85">
        <v>5.9579270481116602</v>
      </c>
    </row>
    <row r="36" spans="1:56" ht="11.25" customHeight="1" x14ac:dyDescent="0.25">
      <c r="A36" s="124"/>
      <c r="B36" s="124"/>
      <c r="C36" s="124"/>
      <c r="D36" s="124"/>
      <c r="E36" s="124"/>
      <c r="F36" s="124"/>
      <c r="G36" s="28" t="s">
        <v>98</v>
      </c>
      <c r="H36" s="28" t="s">
        <v>86</v>
      </c>
      <c r="I36" s="28">
        <f>'MERCADO TUSD'!$U$33</f>
        <v>5.0000000000000001E-3</v>
      </c>
      <c r="J36" s="18"/>
      <c r="L36" s="85">
        <f>('TUSD BE'!$L$36+'TUSD BF'!$L$36+'TUSD CVA'!$L$36)*(1 - CUSTOS!$M$38)</f>
        <v>12.407416127201273</v>
      </c>
      <c r="M36" s="85">
        <f>('TUSD BE'!$M$36+'TUSD BF'!$M$36+'TUSD CVA'!$M$36)*(1 - CUSTOS!$M$38)</f>
        <v>0.76653716498707403</v>
      </c>
      <c r="N36" s="85">
        <f ca="1">('TUSD BE'!$N$36+'TUSD BF'!$N$36+'TUSD CVA'!$N$36)*(1 - CUSTOS!$M$38)</f>
        <v>6.5122821843194858</v>
      </c>
      <c r="O36" s="85">
        <f>('TUSD BE'!$O$36+'TUSD BF'!$O$36+'TUSD CVA'!$O$36)*(1 - CUSTOS!$M$38)</f>
        <v>0</v>
      </c>
      <c r="P36" s="85">
        <f>('TUSD BE'!$P$36+'TUSD BF'!$P$36+'TUSD CVA'!$P$36)*(1 - CUSTOS!$M$38)</f>
        <v>0</v>
      </c>
      <c r="Q36" s="85">
        <f>('TUSD BE'!$Q$36+'TUSD BF'!$Q$36+'TUSD CVA'!$Q$36)*(1 - CUSTOS!$M$38)</f>
        <v>19.145273782383903</v>
      </c>
      <c r="R36" s="85">
        <f>('TUSD BE'!$R$36+'TUSD BF'!$R$36+'TUSD CVA'!$R$36)*(1 - CUSTOS!$M$38)</f>
        <v>9.3421702807369051</v>
      </c>
      <c r="S36" s="85">
        <f>('TUSD BE'!$S$36+'TUSD BF'!$S$36+'TUSD CVA'!$S$36)*(1 - CUSTOS!$M$38)</f>
        <v>0</v>
      </c>
      <c r="T36" s="85">
        <f>('TUSD BE'!$U$36+'TUSD BF'!$U$36+'TUSD CVA'!$U$36)*(1 - CUSTOS!$M$38)</f>
        <v>71.508527277944651</v>
      </c>
      <c r="U36" s="85">
        <f>('TUSD BE'!$V$36+'TUSD BF'!$V$36+'TUSD CVA'!$V$36)*(1 - CUSTOS!$M$38)</f>
        <v>0.88302029282076078</v>
      </c>
      <c r="V36" s="85">
        <f>('TUSD BE'!$W$36+'TUSD BF'!$W$36+'TUSD CVA'!$W$36)*(1 - CUSTOS!$M$38)</f>
        <v>0.12041403312872821</v>
      </c>
      <c r="W36" s="85">
        <f>('TUSD BE'!$X$36+'TUSD BF'!$X$36+'TUSD CVA'!$X$36)*(1 - CUSTOS!$M$38)</f>
        <v>0</v>
      </c>
      <c r="X36" s="85">
        <f>('TUSD BE'!$Y$36+'TUSD BF'!$Y$36+'TUSD CVA'!$Y$36)*(1 - CUSTOS!$M$38)</f>
        <v>-3.112043296479947E-3</v>
      </c>
      <c r="Y36" s="85">
        <f>('TUSD BE'!$Z$36+'TUSD BF'!$Z$36+'TUSD CVA'!$Z$36)*(1 - CUSTOS!$M$38)</f>
        <v>0</v>
      </c>
      <c r="Z36" s="85">
        <f>('TUSD BE'!$AA$36+'TUSD BF'!$AA$36+'TUSD CVA'!$AA$36)*(1 - CUSTOS!$M$38)</f>
        <v>0</v>
      </c>
      <c r="AA36" s="85">
        <f>('TUSD BE'!$AC$36+'TUSD BF'!$AC$36+'TUSD CVA'!$AC$36)*(1 - CUSTOS!$M$38)</f>
        <v>388.69659404257868</v>
      </c>
      <c r="AB36" s="85">
        <f ca="1">('TUSD BE'!$AE$36+'TUSD BF'!$AE$36+'TUSD CVA'!$AE$36)*(1 - CUSTOS!$M$38)</f>
        <v>0</v>
      </c>
      <c r="AC36" s="85">
        <f ca="1">('TUSD BE'!$AF$36+'TUSD BF'!$AF$36+'TUSD CVA'!$AF$36)*(1 - CUSTOS!$M$38)</f>
        <v>0</v>
      </c>
      <c r="AD36" s="85">
        <f>('TUSD BE'!$AH$36+'TUSD BF'!$AH$36+'TUSD CVA'!$AH$36)*(1 - CUSTOS!$M$38)</f>
        <v>40.524897963695594</v>
      </c>
      <c r="AE36" s="85">
        <f>('TUSD BE'!$AI$36+'TUSD BF'!$AI$36+'TUSD CVA'!$AI$36)*(1 - CUSTOS!$M$38)</f>
        <v>2.918267141496135</v>
      </c>
      <c r="AF36" s="85">
        <f ca="1">('TUSD BE'!$AJ$36+'TUSD BF'!$AJ$36+'TUSD CVA'!$AJ$36)*(1 - CUSTOS!$M$38)</f>
        <v>100.2369597565677</v>
      </c>
      <c r="AG36" s="85">
        <f ca="1">('TUSD BE'!$AK$36+'TUSD BF'!$AK$36+'TUSD CVA'!$AK$36)*(1 - CUSTOS!$M$38)</f>
        <v>15.511528429178208</v>
      </c>
      <c r="AI36" s="85">
        <v>0</v>
      </c>
      <c r="AJ36" s="85">
        <v>0.60157132605559305</v>
      </c>
      <c r="AK36" s="85">
        <v>5.5362511301963897</v>
      </c>
      <c r="AL36" s="85">
        <v>0</v>
      </c>
      <c r="AM36" s="85">
        <v>0</v>
      </c>
      <c r="AN36" s="85">
        <v>18.2345092841325</v>
      </c>
      <c r="AO36" s="85">
        <v>6.1926602111895104</v>
      </c>
      <c r="AP36" s="85">
        <v>0</v>
      </c>
      <c r="AQ36" s="85">
        <v>52.398197730579597</v>
      </c>
      <c r="AR36" s="85">
        <v>8.5306962013755108</v>
      </c>
      <c r="AS36" s="85">
        <v>-0.60879078881028104</v>
      </c>
      <c r="AT36" s="85">
        <v>0</v>
      </c>
      <c r="AU36" s="85">
        <v>0.26699115647198801</v>
      </c>
      <c r="AV36" s="85">
        <v>0</v>
      </c>
      <c r="AW36" s="85">
        <v>0</v>
      </c>
      <c r="AX36" s="85">
        <v>323.347252720227</v>
      </c>
      <c r="AY36" s="85">
        <v>0</v>
      </c>
      <c r="AZ36" s="85">
        <v>0</v>
      </c>
      <c r="BA36" s="85">
        <v>35.299718686723203</v>
      </c>
      <c r="BB36" s="85">
        <v>2.7705910634678599</v>
      </c>
      <c r="BC36" s="85">
        <v>96.148786471822305</v>
      </c>
      <c r="BD36" s="85">
        <v>5.9579270481116602</v>
      </c>
    </row>
    <row r="37" spans="1:56" ht="11.25" customHeight="1" x14ac:dyDescent="0.25">
      <c r="A37" s="124"/>
      <c r="B37" s="124"/>
      <c r="C37" s="124"/>
      <c r="D37" s="124"/>
      <c r="E37" s="124"/>
      <c r="F37" s="124"/>
      <c r="G37" s="28" t="s">
        <v>88</v>
      </c>
      <c r="H37" s="28" t="s">
        <v>86</v>
      </c>
      <c r="I37" s="28">
        <f>'MERCADO TUSD'!$U$34</f>
        <v>0.54600000000000004</v>
      </c>
      <c r="J37" s="18"/>
      <c r="L37" s="85">
        <f>('TUSD BE'!$L$37+'TUSD BF'!$L$37+'TUSD CVA'!$L$37)*(1 - CUSTOS!$M$38)</f>
        <v>12.407416127201273</v>
      </c>
      <c r="M37" s="85">
        <f>('TUSD BE'!$M$37+'TUSD BF'!$M$37+'TUSD CVA'!$M$37)*(1 - CUSTOS!$M$38)</f>
        <v>0.76653716498707403</v>
      </c>
      <c r="N37" s="85">
        <f ca="1">('TUSD BE'!$N$37+'TUSD BF'!$N$37+'TUSD CVA'!$N$37)*(1 - CUSTOS!$M$38)</f>
        <v>3.9535891597443444</v>
      </c>
      <c r="O37" s="85">
        <f>('TUSD BE'!$O$37+'TUSD BF'!$O$37+'TUSD CVA'!$O$37)*(1 - CUSTOS!$M$38)</f>
        <v>0</v>
      </c>
      <c r="P37" s="85">
        <f>('TUSD BE'!$P$37+'TUSD BF'!$P$37+'TUSD CVA'!$P$37)*(1 - CUSTOS!$M$38)</f>
        <v>0</v>
      </c>
      <c r="Q37" s="85">
        <f>('TUSD BE'!$Q$37+'TUSD BF'!$Q$37+'TUSD CVA'!$Q$37)*(1 - CUSTOS!$M$38)</f>
        <v>19.145273782383903</v>
      </c>
      <c r="R37" s="85">
        <f>('TUSD BE'!$R$37+'TUSD BF'!$R$37+'TUSD CVA'!$R$37)*(1 - CUSTOS!$M$38)</f>
        <v>9.3421702807369051</v>
      </c>
      <c r="S37" s="85">
        <f>('TUSD BE'!$S$37+'TUSD BF'!$S$37+'TUSD CVA'!$S$37)*(1 - CUSTOS!$M$38)</f>
        <v>0</v>
      </c>
      <c r="T37" s="85">
        <f>('TUSD BE'!$U$37+'TUSD BF'!$U$37+'TUSD CVA'!$U$37)*(1 - CUSTOS!$M$38)</f>
        <v>23.836208245884436</v>
      </c>
      <c r="U37" s="85">
        <f>('TUSD BE'!$V$37+'TUSD BF'!$V$37+'TUSD CVA'!$V$37)*(1 - CUSTOS!$M$38)</f>
        <v>0.2943400976069202</v>
      </c>
      <c r="V37" s="85">
        <f>('TUSD BE'!$W$37+'TUSD BF'!$W$37+'TUSD CVA'!$W$37)*(1 - CUSTOS!$M$38)</f>
        <v>4.0143828989139721E-2</v>
      </c>
      <c r="W37" s="85">
        <f>('TUSD BE'!$X$37+'TUSD BF'!$X$37+'TUSD CVA'!$X$37)*(1 - CUSTOS!$M$38)</f>
        <v>0</v>
      </c>
      <c r="X37" s="85">
        <f>('TUSD BE'!$Y$37+'TUSD BF'!$Y$37+'TUSD CVA'!$Y$37)*(1 - CUSTOS!$M$38)</f>
        <v>-1.0373477654933177E-3</v>
      </c>
      <c r="Y37" s="85">
        <f>('TUSD BE'!$Z$37+'TUSD BF'!$Z$37+'TUSD CVA'!$Z$37)*(1 - CUSTOS!$M$38)</f>
        <v>0</v>
      </c>
      <c r="Z37" s="85">
        <f>('TUSD BE'!$AA$37+'TUSD BF'!$AA$37+'TUSD CVA'!$AA$37)*(1 - CUSTOS!$M$38)</f>
        <v>0</v>
      </c>
      <c r="AA37" s="85">
        <f>('TUSD BE'!$AC$37+'TUSD BF'!$AC$37+'TUSD CVA'!$AC$37)*(1 - CUSTOS!$M$38)</f>
        <v>129.56556461991192</v>
      </c>
      <c r="AB37" s="85">
        <f ca="1">('TUSD BE'!$AE$37+'TUSD BF'!$AE$37+'TUSD CVA'!$AE$37)*(1 - CUSTOS!$M$38)</f>
        <v>0</v>
      </c>
      <c r="AC37" s="85">
        <f ca="1">('TUSD BE'!$AF$37+'TUSD BF'!$AF$37+'TUSD CVA'!$AF$37)*(1 - CUSTOS!$M$38)</f>
        <v>0</v>
      </c>
      <c r="AD37" s="85">
        <f>('TUSD BE'!$AH$37+'TUSD BF'!$AH$37+'TUSD CVA'!$AH$37)*(1 - CUSTOS!$M$38)</f>
        <v>40.524897963695594</v>
      </c>
      <c r="AE37" s="85">
        <f>('TUSD BE'!$AI$37+'TUSD BF'!$AI$37+'TUSD CVA'!$AI$37)*(1 - CUSTOS!$M$38)</f>
        <v>2.918267141496135</v>
      </c>
      <c r="AF37" s="85">
        <f ca="1">('TUSD BE'!$AJ$37+'TUSD BF'!$AJ$37+'TUSD CVA'!$AJ$37)*(1 - CUSTOS!$M$38)</f>
        <v>100.2369597565677</v>
      </c>
      <c r="AG37" s="85">
        <f ca="1">('TUSD BE'!$AK$37+'TUSD BF'!$AK$37+'TUSD CVA'!$AK$37)*(1 - CUSTOS!$M$38)</f>
        <v>15.511528429178208</v>
      </c>
      <c r="AI37" s="85">
        <v>0</v>
      </c>
      <c r="AJ37" s="85">
        <v>0.60157132605559305</v>
      </c>
      <c r="AK37" s="85">
        <v>3.3792993584003299</v>
      </c>
      <c r="AL37" s="85">
        <v>0</v>
      </c>
      <c r="AM37" s="85">
        <v>0</v>
      </c>
      <c r="AN37" s="85">
        <v>18.2345092841325</v>
      </c>
      <c r="AO37" s="85">
        <v>6.1926602111895104</v>
      </c>
      <c r="AP37" s="85">
        <v>0</v>
      </c>
      <c r="AQ37" s="85">
        <v>17.4660897148744</v>
      </c>
      <c r="AR37" s="85">
        <v>2.8435654004585</v>
      </c>
      <c r="AS37" s="85">
        <v>-0.202959677382758</v>
      </c>
      <c r="AT37" s="85">
        <v>0</v>
      </c>
      <c r="AU37" s="85">
        <v>8.8997052157329198E-2</v>
      </c>
      <c r="AV37" s="85">
        <v>0</v>
      </c>
      <c r="AW37" s="85">
        <v>0</v>
      </c>
      <c r="AX37" s="85">
        <v>107.782445251898</v>
      </c>
      <c r="AY37" s="85">
        <v>0</v>
      </c>
      <c r="AZ37" s="85">
        <v>0</v>
      </c>
      <c r="BA37" s="85">
        <v>35.299718686723203</v>
      </c>
      <c r="BB37" s="85">
        <v>2.7705910634678599</v>
      </c>
      <c r="BC37" s="85">
        <v>96.148786471822305</v>
      </c>
      <c r="BD37" s="85">
        <v>5.9579270481116602</v>
      </c>
    </row>
    <row r="38" spans="1:56" ht="11.25" customHeight="1" x14ac:dyDescent="0.25">
      <c r="A38" s="124"/>
      <c r="B38" s="86" t="s">
        <v>23</v>
      </c>
      <c r="C38" s="86" t="s">
        <v>47</v>
      </c>
      <c r="D38" s="86" t="s">
        <v>25</v>
      </c>
      <c r="E38" s="86" t="s">
        <v>25</v>
      </c>
      <c r="F38" s="86" t="s">
        <v>25</v>
      </c>
      <c r="G38" s="28" t="s">
        <v>92</v>
      </c>
      <c r="H38" s="28" t="s">
        <v>86</v>
      </c>
      <c r="I38" s="28">
        <f>'MERCADO TUSD'!$U$35</f>
        <v>64418.971000000005</v>
      </c>
      <c r="J38" s="18"/>
      <c r="L38" s="85">
        <f>('TUSD BE'!$L$38+'TUSD BF'!$L$38+'TUSD CVA'!$L$38)*(1 - CUSTOS!$M$38)</f>
        <v>12.407416127201273</v>
      </c>
      <c r="M38" s="85">
        <f>('TUSD BE'!$M$38+'TUSD BF'!$M$38+'TUSD CVA'!$M$38)*(1 - CUSTOS!$M$38)</f>
        <v>0.76653716498707403</v>
      </c>
      <c r="N38" s="85">
        <f ca="1">('TUSD BE'!$N$38+'TUSD BF'!$N$38+'TUSD CVA'!$N$38)*(1 - CUSTOS!$M$38)</f>
        <v>4.6732213448533928</v>
      </c>
      <c r="O38" s="85">
        <f>('TUSD BE'!$O$38+'TUSD BF'!$O$38+'TUSD CVA'!$O$38)*(1 - CUSTOS!$M$38)</f>
        <v>0</v>
      </c>
      <c r="P38" s="85">
        <f>('TUSD BE'!$P$38+'TUSD BF'!$P$38+'TUSD CVA'!$P$38)*(1 - CUSTOS!$M$38)</f>
        <v>0</v>
      </c>
      <c r="Q38" s="85">
        <f>('TUSD BE'!$Q$38+'TUSD BF'!$Q$38+'TUSD CVA'!$Q$38)*(1 - CUSTOS!$M$38)</f>
        <v>19.145273782383903</v>
      </c>
      <c r="R38" s="85">
        <f>('TUSD BE'!$R$38+'TUSD BF'!$R$38+'TUSD CVA'!$R$38)*(1 - CUSTOS!$M$38)</f>
        <v>9.3421702807369051</v>
      </c>
      <c r="S38" s="85">
        <f>('TUSD BE'!$S$38+'TUSD BF'!$S$38+'TUSD CVA'!$S$38)*(1 - CUSTOS!$M$38)</f>
        <v>0</v>
      </c>
      <c r="T38" s="85">
        <f>('TUSD BE'!$U$38+'TUSD BF'!$U$38+'TUSD CVA'!$U$38)*(1 - CUSTOS!$M$38)</f>
        <v>37.244032745571886</v>
      </c>
      <c r="U38" s="85">
        <f>('TUSD BE'!$V$38+'TUSD BF'!$V$38+'TUSD CVA'!$V$38)*(1 - CUSTOS!$M$38)</f>
        <v>0.45990337332324482</v>
      </c>
      <c r="V38" s="85">
        <f>('TUSD BE'!$W$38+'TUSD BF'!$W$38+'TUSD CVA'!$W$38)*(1 - CUSTOS!$M$38)</f>
        <v>6.2711642416512614E-2</v>
      </c>
      <c r="W38" s="85">
        <f>('TUSD BE'!$X$38+'TUSD BF'!$X$38+'TUSD CVA'!$X$38)*(1 - CUSTOS!$M$38)</f>
        <v>0</v>
      </c>
      <c r="X38" s="85">
        <f>('TUSD BE'!$Y$38+'TUSD BF'!$Y$38+'TUSD CVA'!$Y$38)*(1 - CUSTOS!$M$38)</f>
        <v>-1.6206679582634719E-3</v>
      </c>
      <c r="Y38" s="85">
        <f>('TUSD BE'!$Z$38+'TUSD BF'!$Z$38+'TUSD CVA'!$Z$38)*(1 - CUSTOS!$M$38)</f>
        <v>0</v>
      </c>
      <c r="Z38" s="85">
        <f>('TUSD BE'!$AA$38+'TUSD BF'!$AA$38+'TUSD CVA'!$AA$38)*(1 - CUSTOS!$M$38)</f>
        <v>0</v>
      </c>
      <c r="AA38" s="85">
        <f>('TUSD BE'!$AC$38+'TUSD BF'!$AC$38+'TUSD CVA'!$AC$38)*(1 - CUSTOS!$M$38)</f>
        <v>202.44616352575082</v>
      </c>
      <c r="AB38" s="85">
        <f ca="1">('TUSD BE'!$AE$38+'TUSD BF'!$AE$38+'TUSD CVA'!$AE$38)*(1 - CUSTOS!$M$38)</f>
        <v>0</v>
      </c>
      <c r="AC38" s="85">
        <f ca="1">('TUSD BE'!$AF$38+'TUSD BF'!$AF$38+'TUSD CVA'!$AF$38)*(1 - CUSTOS!$M$38)</f>
        <v>0</v>
      </c>
      <c r="AD38" s="85">
        <f>('TUSD BE'!$AH$38+'TUSD BF'!$AH$38+'TUSD CVA'!$AH$38)*(1 - CUSTOS!$M$38)</f>
        <v>40.524897963695594</v>
      </c>
      <c r="AE38" s="85">
        <f>('TUSD BE'!$AI$38+'TUSD BF'!$AI$38+'TUSD CVA'!$AI$38)*(1 - CUSTOS!$M$38)</f>
        <v>2.918267141496135</v>
      </c>
      <c r="AF38" s="85">
        <f ca="1">('TUSD BE'!$AJ$38+'TUSD BF'!$AJ$38+'TUSD CVA'!$AJ$38)*(1 - CUSTOS!$M$38)</f>
        <v>100.2369597565677</v>
      </c>
      <c r="AG38" s="85">
        <f ca="1">('TUSD BE'!$AK$38+'TUSD BF'!$AK$38+'TUSD CVA'!$AK$38)*(1 - CUSTOS!$M$38)</f>
        <v>15.511528429178208</v>
      </c>
      <c r="AI38" s="85">
        <v>0</v>
      </c>
      <c r="AJ38" s="85">
        <v>0.60157132605559305</v>
      </c>
      <c r="AK38" s="85">
        <v>3.9859418519719001</v>
      </c>
      <c r="AL38" s="85">
        <v>0</v>
      </c>
      <c r="AM38" s="85">
        <v>0</v>
      </c>
      <c r="AN38" s="85">
        <v>18.2345092841325</v>
      </c>
      <c r="AO38" s="85">
        <v>6.1926602111895104</v>
      </c>
      <c r="AP38" s="85">
        <v>0</v>
      </c>
      <c r="AQ38" s="85">
        <v>27.2907339358472</v>
      </c>
      <c r="AR38" s="85">
        <v>4.4430416737939602</v>
      </c>
      <c r="AS38" s="85">
        <v>-0.31705831340706497</v>
      </c>
      <c r="AT38" s="85">
        <v>0</v>
      </c>
      <c r="AU38" s="85">
        <v>0.13904177134145099</v>
      </c>
      <c r="AV38" s="85">
        <v>0</v>
      </c>
      <c r="AW38" s="85">
        <v>0</v>
      </c>
      <c r="AX38" s="85">
        <v>168.41004475750699</v>
      </c>
      <c r="AY38" s="85">
        <v>0</v>
      </c>
      <c r="AZ38" s="85">
        <v>0</v>
      </c>
      <c r="BA38" s="85">
        <v>35.299718686723203</v>
      </c>
      <c r="BB38" s="85">
        <v>2.7705910634678599</v>
      </c>
      <c r="BC38" s="85">
        <v>96.148786471822305</v>
      </c>
      <c r="BD38" s="85">
        <v>5.9579270481116602</v>
      </c>
    </row>
    <row r="39" spans="1:56" ht="11.25" customHeight="1" x14ac:dyDescent="0.25">
      <c r="A39" s="124"/>
      <c r="B39" s="124" t="s">
        <v>39</v>
      </c>
      <c r="C39" s="124" t="s">
        <v>47</v>
      </c>
      <c r="D39" s="124" t="s">
        <v>101</v>
      </c>
      <c r="E39" s="124" t="s">
        <v>25</v>
      </c>
      <c r="F39" s="124" t="s">
        <v>25</v>
      </c>
      <c r="G39" s="28" t="s">
        <v>87</v>
      </c>
      <c r="H39" s="28" t="s">
        <v>86</v>
      </c>
      <c r="I39" s="28">
        <f>'MERCADO TUSD'!$U$36</f>
        <v>0</v>
      </c>
      <c r="J39" s="18"/>
      <c r="L39" s="85">
        <f>('TUSD BE'!$L$39+'TUSD BF'!$L$39+'TUSD CVA'!$L$39)*(1 - CUSTOS!$M$39)</f>
        <v>12.407416127201273</v>
      </c>
      <c r="M39" s="85">
        <f>('TUSD BE'!$M$39+'TUSD BF'!$M$39+'TUSD CVA'!$M$39)*(1 - CUSTOS!$M$39)</f>
        <v>0.76653716498707403</v>
      </c>
      <c r="N39" s="85">
        <f ca="1">('TUSD BE'!$N$39+'TUSD BF'!$N$39+'TUSD CVA'!$N$39)*(1 - CUSTOS!$M$39)</f>
        <v>9.0709760197487057</v>
      </c>
      <c r="O39" s="85">
        <f>('TUSD BE'!$O$39+'TUSD BF'!$O$39+'TUSD CVA'!$O$39)*(1 - CUSTOS!$M$39)</f>
        <v>0</v>
      </c>
      <c r="P39" s="85">
        <f>('TUSD BE'!$P$39+'TUSD BF'!$P$39+'TUSD CVA'!$P$39)*(1 - CUSTOS!$M$39)</f>
        <v>0</v>
      </c>
      <c r="Q39" s="85">
        <f>('TUSD BE'!$Q$39+'TUSD BF'!$Q$39+'TUSD CVA'!$Q$39)*(1 - CUSTOS!$M$39)</f>
        <v>19.145273782383903</v>
      </c>
      <c r="R39" s="85">
        <f>('TUSD BE'!$R$39+'TUSD BF'!$R$39+'TUSD CVA'!$R$39)*(1 - CUSTOS!$M$39)</f>
        <v>9.3421702807369051</v>
      </c>
      <c r="S39" s="85">
        <f>('TUSD BE'!$S$39+'TUSD BF'!$S$39+'TUSD CVA'!$S$39)*(1 - CUSTOS!$M$39)</f>
        <v>0</v>
      </c>
      <c r="T39" s="85">
        <f>('TUSD BE'!$U$39+'TUSD BF'!$U$39+'TUSD CVA'!$U$39)*(1 - CUSTOS!$M$39)</f>
        <v>119.18094376971352</v>
      </c>
      <c r="U39" s="85">
        <f>('TUSD BE'!$V$39+'TUSD BF'!$V$39+'TUSD CVA'!$V$39)*(1 - CUSTOS!$M$39)</f>
        <v>1.4717004880346012</v>
      </c>
      <c r="V39" s="85">
        <f>('TUSD BE'!$W$39+'TUSD BF'!$W$39+'TUSD CVA'!$W$39)*(1 - CUSTOS!$M$39)</f>
        <v>0.20068423726831672</v>
      </c>
      <c r="W39" s="85">
        <f>('TUSD BE'!$X$39+'TUSD BF'!$X$39+'TUSD CVA'!$X$39)*(1 - CUSTOS!$M$39)</f>
        <v>0</v>
      </c>
      <c r="X39" s="85">
        <f>('TUSD BE'!$Y$39+'TUSD BF'!$Y$39+'TUSD CVA'!$Y$39)*(1 - CUSTOS!$M$39)</f>
        <v>-5.186738827466595E-3</v>
      </c>
      <c r="Y39" s="85">
        <f>('TUSD BE'!$Z$39+'TUSD BF'!$Z$39+'TUSD CVA'!$Z$39)*(1 - CUSTOS!$M$39)</f>
        <v>0</v>
      </c>
      <c r="Z39" s="85">
        <f>('TUSD BE'!$AA$39+'TUSD BF'!$AA$39+'TUSD CVA'!$AA$39)*(1 - CUSTOS!$M$39)</f>
        <v>0</v>
      </c>
      <c r="AA39" s="85">
        <f>('TUSD BE'!$AC$39+'TUSD BF'!$AC$39+'TUSD CVA'!$AC$39)*(1 - CUSTOS!$M$39)</f>
        <v>647.82762346524555</v>
      </c>
      <c r="AB39" s="85">
        <f ca="1">('TUSD BE'!$AE$39+'TUSD BF'!$AE$39+'TUSD CVA'!$AE$39)*(1 - CUSTOS!$M$39)</f>
        <v>0</v>
      </c>
      <c r="AC39" s="85">
        <f ca="1">('TUSD BE'!$AF$39+'TUSD BF'!$AF$39+'TUSD CVA'!$AF$39)*(1 - CUSTOS!$M$39)</f>
        <v>0</v>
      </c>
      <c r="AD39" s="85">
        <f>('TUSD BE'!$AH$39+'TUSD BF'!$AH$39+'TUSD CVA'!$AH$39)*(1 - CUSTOS!$M$39)</f>
        <v>40.524897963695594</v>
      </c>
      <c r="AE39" s="85">
        <f>('TUSD BE'!$AI$39+'TUSD BF'!$AI$39+'TUSD CVA'!$AI$39)*(1 - CUSTOS!$M$39)</f>
        <v>2.918267141496135</v>
      </c>
      <c r="AF39" s="85">
        <f ca="1">('TUSD BE'!$AJ$39+'TUSD BF'!$AJ$39+'TUSD CVA'!$AJ$39)*(1 - CUSTOS!$M$39)</f>
        <v>100.2369597565677</v>
      </c>
      <c r="AG39" s="85">
        <f ca="1">('TUSD BE'!$AK$39+'TUSD BF'!$AK$39+'TUSD CVA'!$AK$39)*(1 - CUSTOS!$M$39)</f>
        <v>15.511528429178208</v>
      </c>
      <c r="AI39" s="85">
        <v>0</v>
      </c>
      <c r="AJ39" s="85">
        <v>0.60157132605559305</v>
      </c>
      <c r="AK39" s="85">
        <v>7.6932035855340501</v>
      </c>
      <c r="AL39" s="85">
        <v>0</v>
      </c>
      <c r="AM39" s="85">
        <v>0</v>
      </c>
      <c r="AN39" s="85">
        <v>18.2345092841325</v>
      </c>
      <c r="AO39" s="85">
        <v>6.1926602111895104</v>
      </c>
      <c r="AP39" s="85">
        <v>0</v>
      </c>
      <c r="AQ39" s="85">
        <v>87.330377160328396</v>
      </c>
      <c r="AR39" s="85">
        <v>14.2178270022925</v>
      </c>
      <c r="AS39" s="85">
        <v>-1.0146219002378001</v>
      </c>
      <c r="AT39" s="85">
        <v>0</v>
      </c>
      <c r="AU39" s="85">
        <v>0.44498526078664602</v>
      </c>
      <c r="AV39" s="85">
        <v>0</v>
      </c>
      <c r="AW39" s="85">
        <v>0</v>
      </c>
      <c r="AX39" s="85">
        <v>538.91206018855496</v>
      </c>
      <c r="AY39" s="85">
        <v>0</v>
      </c>
      <c r="AZ39" s="85">
        <v>0</v>
      </c>
      <c r="BA39" s="85">
        <v>35.299718686723203</v>
      </c>
      <c r="BB39" s="85">
        <v>2.7705910634678599</v>
      </c>
      <c r="BC39" s="85">
        <v>96.148786471822305</v>
      </c>
      <c r="BD39" s="85">
        <v>5.9579270481116602</v>
      </c>
    </row>
    <row r="40" spans="1:56" ht="11.25" customHeight="1" x14ac:dyDescent="0.25">
      <c r="A40" s="124"/>
      <c r="B40" s="124"/>
      <c r="C40" s="124"/>
      <c r="D40" s="124"/>
      <c r="E40" s="124"/>
      <c r="F40" s="124"/>
      <c r="G40" s="28" t="s">
        <v>98</v>
      </c>
      <c r="H40" s="28" t="s">
        <v>86</v>
      </c>
      <c r="I40" s="28">
        <f>'MERCADO TUSD'!$U$37</f>
        <v>0</v>
      </c>
      <c r="J40" s="18"/>
      <c r="L40" s="85">
        <f>('TUSD BE'!$L$40+'TUSD BF'!$L$40+'TUSD CVA'!$L$40)*(1 - CUSTOS!$M$39)</f>
        <v>12.407416127201273</v>
      </c>
      <c r="M40" s="85">
        <f>('TUSD BE'!$M$40+'TUSD BF'!$M$40+'TUSD CVA'!$M$40)*(1 - CUSTOS!$M$39)</f>
        <v>0.76653716498707403</v>
      </c>
      <c r="N40" s="85">
        <f ca="1">('TUSD BE'!$N$40+'TUSD BF'!$N$40+'TUSD CVA'!$N$40)*(1 - CUSTOS!$M$39)</f>
        <v>6.5122821843194858</v>
      </c>
      <c r="O40" s="85">
        <f>('TUSD BE'!$O$40+'TUSD BF'!$O$40+'TUSD CVA'!$O$40)*(1 - CUSTOS!$M$39)</f>
        <v>0</v>
      </c>
      <c r="P40" s="85">
        <f>('TUSD BE'!$P$40+'TUSD BF'!$P$40+'TUSD CVA'!$P$40)*(1 - CUSTOS!$M$39)</f>
        <v>0</v>
      </c>
      <c r="Q40" s="85">
        <f>('TUSD BE'!$Q$40+'TUSD BF'!$Q$40+'TUSD CVA'!$Q$40)*(1 - CUSTOS!$M$39)</f>
        <v>19.145273782383903</v>
      </c>
      <c r="R40" s="85">
        <f>('TUSD BE'!$R$40+'TUSD BF'!$R$40+'TUSD CVA'!$R$40)*(1 - CUSTOS!$M$39)</f>
        <v>9.3421702807369051</v>
      </c>
      <c r="S40" s="85">
        <f>('TUSD BE'!$S$40+'TUSD BF'!$S$40+'TUSD CVA'!$S$40)*(1 - CUSTOS!$M$39)</f>
        <v>0</v>
      </c>
      <c r="T40" s="85">
        <f>('TUSD BE'!$U$40+'TUSD BF'!$U$40+'TUSD CVA'!$U$40)*(1 - CUSTOS!$M$39)</f>
        <v>71.508527277944651</v>
      </c>
      <c r="U40" s="85">
        <f>('TUSD BE'!$V$40+'TUSD BF'!$V$40+'TUSD CVA'!$V$40)*(1 - CUSTOS!$M$39)</f>
        <v>0.88302029282076078</v>
      </c>
      <c r="V40" s="85">
        <f>('TUSD BE'!$W$40+'TUSD BF'!$W$40+'TUSD CVA'!$W$40)*(1 - CUSTOS!$M$39)</f>
        <v>0.12041403312872821</v>
      </c>
      <c r="W40" s="85">
        <f>('TUSD BE'!$X$40+'TUSD BF'!$X$40+'TUSD CVA'!$X$40)*(1 - CUSTOS!$M$39)</f>
        <v>0</v>
      </c>
      <c r="X40" s="85">
        <f>('TUSD BE'!$Y$40+'TUSD BF'!$Y$40+'TUSD CVA'!$Y$40)*(1 - CUSTOS!$M$39)</f>
        <v>-3.112043296479947E-3</v>
      </c>
      <c r="Y40" s="85">
        <f>('TUSD BE'!$Z$40+'TUSD BF'!$Z$40+'TUSD CVA'!$Z$40)*(1 - CUSTOS!$M$39)</f>
        <v>0</v>
      </c>
      <c r="Z40" s="85">
        <f>('TUSD BE'!$AA$40+'TUSD BF'!$AA$40+'TUSD CVA'!$AA$40)*(1 - CUSTOS!$M$39)</f>
        <v>0</v>
      </c>
      <c r="AA40" s="85">
        <f>('TUSD BE'!$AC$40+'TUSD BF'!$AC$40+'TUSD CVA'!$AC$40)*(1 - CUSTOS!$M$39)</f>
        <v>388.69659404257868</v>
      </c>
      <c r="AB40" s="85">
        <f ca="1">('TUSD BE'!$AE$40+'TUSD BF'!$AE$40+'TUSD CVA'!$AE$40)*(1 - CUSTOS!$M$39)</f>
        <v>0</v>
      </c>
      <c r="AC40" s="85">
        <f ca="1">('TUSD BE'!$AF$40+'TUSD BF'!$AF$40+'TUSD CVA'!$AF$40)*(1 - CUSTOS!$M$39)</f>
        <v>0</v>
      </c>
      <c r="AD40" s="85">
        <f>('TUSD BE'!$AH$40+'TUSD BF'!$AH$40+'TUSD CVA'!$AH$40)*(1 - CUSTOS!$M$39)</f>
        <v>40.524897963695594</v>
      </c>
      <c r="AE40" s="85">
        <f>('TUSD BE'!$AI$40+'TUSD BF'!$AI$40+'TUSD CVA'!$AI$40)*(1 - CUSTOS!$M$39)</f>
        <v>2.918267141496135</v>
      </c>
      <c r="AF40" s="85">
        <f ca="1">('TUSD BE'!$AJ$40+'TUSD BF'!$AJ$40+'TUSD CVA'!$AJ$40)*(1 - CUSTOS!$M$39)</f>
        <v>100.2369597565677</v>
      </c>
      <c r="AG40" s="85">
        <f ca="1">('TUSD BE'!$AK$40+'TUSD BF'!$AK$40+'TUSD CVA'!$AK$40)*(1 - CUSTOS!$M$39)</f>
        <v>15.511528429178208</v>
      </c>
      <c r="AI40" s="85">
        <v>0</v>
      </c>
      <c r="AJ40" s="85">
        <v>0.60157132605559305</v>
      </c>
      <c r="AK40" s="85">
        <v>5.5362511301963897</v>
      </c>
      <c r="AL40" s="85">
        <v>0</v>
      </c>
      <c r="AM40" s="85">
        <v>0</v>
      </c>
      <c r="AN40" s="85">
        <v>18.2345092841325</v>
      </c>
      <c r="AO40" s="85">
        <v>6.1926602111895104</v>
      </c>
      <c r="AP40" s="85">
        <v>0</v>
      </c>
      <c r="AQ40" s="85">
        <v>52.398197730579597</v>
      </c>
      <c r="AR40" s="85">
        <v>8.5306962013755108</v>
      </c>
      <c r="AS40" s="85">
        <v>-0.60879078881028104</v>
      </c>
      <c r="AT40" s="85">
        <v>0</v>
      </c>
      <c r="AU40" s="85">
        <v>0.26699115647198801</v>
      </c>
      <c r="AV40" s="85">
        <v>0</v>
      </c>
      <c r="AW40" s="85">
        <v>0</v>
      </c>
      <c r="AX40" s="85">
        <v>323.347252720227</v>
      </c>
      <c r="AY40" s="85">
        <v>0</v>
      </c>
      <c r="AZ40" s="85">
        <v>0</v>
      </c>
      <c r="BA40" s="85">
        <v>35.299718686723203</v>
      </c>
      <c r="BB40" s="85">
        <v>2.7705910634678599</v>
      </c>
      <c r="BC40" s="85">
        <v>96.148786471822305</v>
      </c>
      <c r="BD40" s="85">
        <v>5.9579270481116602</v>
      </c>
    </row>
    <row r="41" spans="1:56" ht="11.25" customHeight="1" x14ac:dyDescent="0.25">
      <c r="A41" s="124"/>
      <c r="B41" s="124"/>
      <c r="C41" s="124"/>
      <c r="D41" s="124"/>
      <c r="E41" s="124"/>
      <c r="F41" s="124"/>
      <c r="G41" s="28" t="s">
        <v>88</v>
      </c>
      <c r="H41" s="28" t="s">
        <v>86</v>
      </c>
      <c r="I41" s="28">
        <f>'MERCADO TUSD'!$U$38</f>
        <v>0</v>
      </c>
      <c r="J41" s="18"/>
      <c r="L41" s="85">
        <f>('TUSD BE'!$L$41+'TUSD BF'!$L$41+'TUSD CVA'!$L$41)*(1 - CUSTOS!$M$39)</f>
        <v>12.407416127201273</v>
      </c>
      <c r="M41" s="85">
        <f>('TUSD BE'!$M$41+'TUSD BF'!$M$41+'TUSD CVA'!$M$41)*(1 - CUSTOS!$M$39)</f>
        <v>0.76653716498707403</v>
      </c>
      <c r="N41" s="85">
        <f ca="1">('TUSD BE'!$N$41+'TUSD BF'!$N$41+'TUSD CVA'!$N$41)*(1 - CUSTOS!$M$39)</f>
        <v>3.9535891597443444</v>
      </c>
      <c r="O41" s="85">
        <f>('TUSD BE'!$O$41+'TUSD BF'!$O$41+'TUSD CVA'!$O$41)*(1 - CUSTOS!$M$39)</f>
        <v>0</v>
      </c>
      <c r="P41" s="85">
        <f>('TUSD BE'!$P$41+'TUSD BF'!$P$41+'TUSD CVA'!$P$41)*(1 - CUSTOS!$M$39)</f>
        <v>0</v>
      </c>
      <c r="Q41" s="85">
        <f>('TUSD BE'!$Q$41+'TUSD BF'!$Q$41+'TUSD CVA'!$Q$41)*(1 - CUSTOS!$M$39)</f>
        <v>19.145273782383903</v>
      </c>
      <c r="R41" s="85">
        <f>('TUSD BE'!$R$41+'TUSD BF'!$R$41+'TUSD CVA'!$R$41)*(1 - CUSTOS!$M$39)</f>
        <v>9.3421702807369051</v>
      </c>
      <c r="S41" s="85">
        <f>('TUSD BE'!$S$41+'TUSD BF'!$S$41+'TUSD CVA'!$S$41)*(1 - CUSTOS!$M$39)</f>
        <v>0</v>
      </c>
      <c r="T41" s="85">
        <f>('TUSD BE'!$U$41+'TUSD BF'!$U$41+'TUSD CVA'!$U$41)*(1 - CUSTOS!$M$39)</f>
        <v>23.836208245884436</v>
      </c>
      <c r="U41" s="85">
        <f>('TUSD BE'!$V$41+'TUSD BF'!$V$41+'TUSD CVA'!$V$41)*(1 - CUSTOS!$M$39)</f>
        <v>0.2943400976069202</v>
      </c>
      <c r="V41" s="85">
        <f>('TUSD BE'!$W$41+'TUSD BF'!$W$41+'TUSD CVA'!$W$41)*(1 - CUSTOS!$M$39)</f>
        <v>4.0143828989139721E-2</v>
      </c>
      <c r="W41" s="85">
        <f>('TUSD BE'!$X$41+'TUSD BF'!$X$41+'TUSD CVA'!$X$41)*(1 - CUSTOS!$M$39)</f>
        <v>0</v>
      </c>
      <c r="X41" s="85">
        <f>('TUSD BE'!$Y$41+'TUSD BF'!$Y$41+'TUSD CVA'!$Y$41)*(1 - CUSTOS!$M$39)</f>
        <v>-1.0373477654933177E-3</v>
      </c>
      <c r="Y41" s="85">
        <f>('TUSD BE'!$Z$41+'TUSD BF'!$Z$41+'TUSD CVA'!$Z$41)*(1 - CUSTOS!$M$39)</f>
        <v>0</v>
      </c>
      <c r="Z41" s="85">
        <f>('TUSD BE'!$AA$41+'TUSD BF'!$AA$41+'TUSD CVA'!$AA$41)*(1 - CUSTOS!$M$39)</f>
        <v>0</v>
      </c>
      <c r="AA41" s="85">
        <f>('TUSD BE'!$AC$41+'TUSD BF'!$AC$41+'TUSD CVA'!$AC$41)*(1 - CUSTOS!$M$39)</f>
        <v>129.56556461991192</v>
      </c>
      <c r="AB41" s="85">
        <f ca="1">('TUSD BE'!$AE$41+'TUSD BF'!$AE$41+'TUSD CVA'!$AE$41)*(1 - CUSTOS!$M$39)</f>
        <v>0</v>
      </c>
      <c r="AC41" s="85">
        <f ca="1">('TUSD BE'!$AF$41+'TUSD BF'!$AF$41+'TUSD CVA'!$AF$41)*(1 - CUSTOS!$M$39)</f>
        <v>0</v>
      </c>
      <c r="AD41" s="85">
        <f>('TUSD BE'!$AH$41+'TUSD BF'!$AH$41+'TUSD CVA'!$AH$41)*(1 - CUSTOS!$M$39)</f>
        <v>40.524897963695594</v>
      </c>
      <c r="AE41" s="85">
        <f>('TUSD BE'!$AI$41+'TUSD BF'!$AI$41+'TUSD CVA'!$AI$41)*(1 - CUSTOS!$M$39)</f>
        <v>2.918267141496135</v>
      </c>
      <c r="AF41" s="85">
        <f ca="1">('TUSD BE'!$AJ$41+'TUSD BF'!$AJ$41+'TUSD CVA'!$AJ$41)*(1 - CUSTOS!$M$39)</f>
        <v>100.2369597565677</v>
      </c>
      <c r="AG41" s="85">
        <f ca="1">('TUSD BE'!$AK$41+'TUSD BF'!$AK$41+'TUSD CVA'!$AK$41)*(1 - CUSTOS!$M$39)</f>
        <v>15.511528429178208</v>
      </c>
      <c r="AI41" s="85">
        <v>0</v>
      </c>
      <c r="AJ41" s="85">
        <v>0.60157132605559305</v>
      </c>
      <c r="AK41" s="85">
        <v>3.3792993584003299</v>
      </c>
      <c r="AL41" s="85">
        <v>0</v>
      </c>
      <c r="AM41" s="85">
        <v>0</v>
      </c>
      <c r="AN41" s="85">
        <v>18.2345092841325</v>
      </c>
      <c r="AO41" s="85">
        <v>6.1926602111895104</v>
      </c>
      <c r="AP41" s="85">
        <v>0</v>
      </c>
      <c r="AQ41" s="85">
        <v>17.4660897148744</v>
      </c>
      <c r="AR41" s="85">
        <v>2.8435654004585</v>
      </c>
      <c r="AS41" s="85">
        <v>-0.202959677382758</v>
      </c>
      <c r="AT41" s="85">
        <v>0</v>
      </c>
      <c r="AU41" s="85">
        <v>8.8997052157329198E-2</v>
      </c>
      <c r="AV41" s="85">
        <v>0</v>
      </c>
      <c r="AW41" s="85">
        <v>0</v>
      </c>
      <c r="AX41" s="85">
        <v>107.782445251898</v>
      </c>
      <c r="AY41" s="85">
        <v>0</v>
      </c>
      <c r="AZ41" s="85">
        <v>0</v>
      </c>
      <c r="BA41" s="85">
        <v>35.299718686723203</v>
      </c>
      <c r="BB41" s="85">
        <v>2.7705910634678599</v>
      </c>
      <c r="BC41" s="85">
        <v>96.148786471822305</v>
      </c>
      <c r="BD41" s="85">
        <v>5.9579270481116602</v>
      </c>
    </row>
    <row r="42" spans="1:56" ht="11.25" customHeight="1" x14ac:dyDescent="0.25">
      <c r="A42" s="124"/>
      <c r="B42" s="86" t="s">
        <v>23</v>
      </c>
      <c r="C42" s="86" t="s">
        <v>47</v>
      </c>
      <c r="D42" s="86" t="s">
        <v>101</v>
      </c>
      <c r="E42" s="86" t="s">
        <v>25</v>
      </c>
      <c r="F42" s="86" t="s">
        <v>25</v>
      </c>
      <c r="G42" s="28" t="s">
        <v>92</v>
      </c>
      <c r="H42" s="28" t="s">
        <v>86</v>
      </c>
      <c r="I42" s="28">
        <f>'MERCADO TUSD'!$U$39</f>
        <v>0</v>
      </c>
      <c r="J42" s="18"/>
      <c r="L42" s="85">
        <f>('TUSD BE'!$L$42+'TUSD BF'!$L$42+'TUSD CVA'!$L$42)*(1 - CUSTOS!$M$39)</f>
        <v>12.407416127201273</v>
      </c>
      <c r="M42" s="85">
        <f>('TUSD BE'!$M$42+'TUSD BF'!$M$42+'TUSD CVA'!$M$42)*(1 - CUSTOS!$M$39)</f>
        <v>0.76653716498707403</v>
      </c>
      <c r="N42" s="85">
        <f ca="1">('TUSD BE'!$N$42+'TUSD BF'!$N$42+'TUSD CVA'!$N$42)*(1 - CUSTOS!$M$39)</f>
        <v>4.6732213448533928</v>
      </c>
      <c r="O42" s="85">
        <f>('TUSD BE'!$O$42+'TUSD BF'!$O$42+'TUSD CVA'!$O$42)*(1 - CUSTOS!$M$39)</f>
        <v>0</v>
      </c>
      <c r="P42" s="85">
        <f>('TUSD BE'!$P$42+'TUSD BF'!$P$42+'TUSD CVA'!$P$42)*(1 - CUSTOS!$M$39)</f>
        <v>0</v>
      </c>
      <c r="Q42" s="85">
        <f>('TUSD BE'!$Q$42+'TUSD BF'!$Q$42+'TUSD CVA'!$Q$42)*(1 - CUSTOS!$M$39)</f>
        <v>19.145273782383903</v>
      </c>
      <c r="R42" s="85">
        <f>('TUSD BE'!$R$42+'TUSD BF'!$R$42+'TUSD CVA'!$R$42)*(1 - CUSTOS!$M$39)</f>
        <v>9.3421702807369051</v>
      </c>
      <c r="S42" s="85">
        <f>('TUSD BE'!$S$42+'TUSD BF'!$S$42+'TUSD CVA'!$S$42)*(1 - CUSTOS!$M$39)</f>
        <v>0</v>
      </c>
      <c r="T42" s="85">
        <f>('TUSD BE'!$U$42+'TUSD BF'!$U$42+'TUSD CVA'!$U$42)*(1 - CUSTOS!$M$39)</f>
        <v>37.244032745571886</v>
      </c>
      <c r="U42" s="85">
        <f>('TUSD BE'!$V$42+'TUSD BF'!$V$42+'TUSD CVA'!$V$42)*(1 - CUSTOS!$M$39)</f>
        <v>0.45990337332324482</v>
      </c>
      <c r="V42" s="85">
        <f>('TUSD BE'!$W$42+'TUSD BF'!$W$42+'TUSD CVA'!$W$42)*(1 - CUSTOS!$M$39)</f>
        <v>6.2711642416512614E-2</v>
      </c>
      <c r="W42" s="85">
        <f>('TUSD BE'!$X$42+'TUSD BF'!$X$42+'TUSD CVA'!$X$42)*(1 - CUSTOS!$M$39)</f>
        <v>0</v>
      </c>
      <c r="X42" s="85">
        <f>('TUSD BE'!$Y$42+'TUSD BF'!$Y$42+'TUSD CVA'!$Y$42)*(1 - CUSTOS!$M$39)</f>
        <v>-1.6206679582634719E-3</v>
      </c>
      <c r="Y42" s="85">
        <f>('TUSD BE'!$Z$42+'TUSD BF'!$Z$42+'TUSD CVA'!$Z$42)*(1 - CUSTOS!$M$39)</f>
        <v>0</v>
      </c>
      <c r="Z42" s="85">
        <f>('TUSD BE'!$AA$42+'TUSD BF'!$AA$42+'TUSD CVA'!$AA$42)*(1 - CUSTOS!$M$39)</f>
        <v>0</v>
      </c>
      <c r="AA42" s="85">
        <f>('TUSD BE'!$AC$42+'TUSD BF'!$AC$42+'TUSD CVA'!$AC$42)*(1 - CUSTOS!$M$39)</f>
        <v>202.44616352575082</v>
      </c>
      <c r="AB42" s="85">
        <f ca="1">('TUSD BE'!$AE$42+'TUSD BF'!$AE$42+'TUSD CVA'!$AE$42)*(1 - CUSTOS!$M$39)</f>
        <v>0</v>
      </c>
      <c r="AC42" s="85">
        <f ca="1">('TUSD BE'!$AF$42+'TUSD BF'!$AF$42+'TUSD CVA'!$AF$42)*(1 - CUSTOS!$M$39)</f>
        <v>0</v>
      </c>
      <c r="AD42" s="85">
        <f>('TUSD BE'!$AH$42+'TUSD BF'!$AH$42+'TUSD CVA'!$AH$42)*(1 - CUSTOS!$M$39)</f>
        <v>40.524897963695594</v>
      </c>
      <c r="AE42" s="85">
        <f>('TUSD BE'!$AI$42+'TUSD BF'!$AI$42+'TUSD CVA'!$AI$42)*(1 - CUSTOS!$M$39)</f>
        <v>2.918267141496135</v>
      </c>
      <c r="AF42" s="85">
        <f ca="1">('TUSD BE'!$AJ$42+'TUSD BF'!$AJ$42+'TUSD CVA'!$AJ$42)*(1 - CUSTOS!$M$39)</f>
        <v>100.2369597565677</v>
      </c>
      <c r="AG42" s="85">
        <f ca="1">('TUSD BE'!$AK$42+'TUSD BF'!$AK$42+'TUSD CVA'!$AK$42)*(1 - CUSTOS!$M$39)</f>
        <v>15.511528429178208</v>
      </c>
      <c r="AI42" s="85">
        <v>0</v>
      </c>
      <c r="AJ42" s="85">
        <v>0.60157132605559305</v>
      </c>
      <c r="AK42" s="85">
        <v>3.9859418519719001</v>
      </c>
      <c r="AL42" s="85">
        <v>0</v>
      </c>
      <c r="AM42" s="85">
        <v>0</v>
      </c>
      <c r="AN42" s="85">
        <v>18.2345092841325</v>
      </c>
      <c r="AO42" s="85">
        <v>6.1926602111895104</v>
      </c>
      <c r="AP42" s="85">
        <v>0</v>
      </c>
      <c r="AQ42" s="85">
        <v>27.2907339358472</v>
      </c>
      <c r="AR42" s="85">
        <v>4.4430416737939602</v>
      </c>
      <c r="AS42" s="85">
        <v>-0.31705831340706497</v>
      </c>
      <c r="AT42" s="85">
        <v>0</v>
      </c>
      <c r="AU42" s="85">
        <v>0.13904177134145099</v>
      </c>
      <c r="AV42" s="85">
        <v>0</v>
      </c>
      <c r="AW42" s="85">
        <v>0</v>
      </c>
      <c r="AX42" s="85">
        <v>168.41004475750699</v>
      </c>
      <c r="AY42" s="85">
        <v>0</v>
      </c>
      <c r="AZ42" s="85">
        <v>0</v>
      </c>
      <c r="BA42" s="85">
        <v>35.299718686723203</v>
      </c>
      <c r="BB42" s="85">
        <v>2.7705910634678599</v>
      </c>
      <c r="BC42" s="85">
        <v>96.148786471822305</v>
      </c>
      <c r="BD42" s="85">
        <v>5.9579270481116602</v>
      </c>
    </row>
    <row r="43" spans="1:56" ht="11.25" customHeight="1" x14ac:dyDescent="0.25">
      <c r="A43" s="124"/>
      <c r="B43" s="124" t="s">
        <v>39</v>
      </c>
      <c r="C43" s="124" t="s">
        <v>47</v>
      </c>
      <c r="D43" s="124" t="s">
        <v>55</v>
      </c>
      <c r="E43" s="124" t="s">
        <v>25</v>
      </c>
      <c r="F43" s="124" t="s">
        <v>25</v>
      </c>
      <c r="G43" s="28" t="s">
        <v>87</v>
      </c>
      <c r="H43" s="28" t="s">
        <v>86</v>
      </c>
      <c r="I43" s="28">
        <f>'MERCADO TUSD'!$U$40</f>
        <v>0</v>
      </c>
      <c r="J43" s="18"/>
      <c r="L43" s="85">
        <f>('TUSD BE'!$L$43+'TUSD BF'!$L$43+'TUSD CVA'!$L$43)*(1 - CUSTOS!$M$40)</f>
        <v>11.843442666873942</v>
      </c>
      <c r="M43" s="85">
        <f>('TUSD BE'!$M$43+'TUSD BF'!$M$43+'TUSD CVA'!$M$43)*(1 - CUSTOS!$M$40)</f>
        <v>0.73169456657857068</v>
      </c>
      <c r="N43" s="85">
        <f ca="1">('TUSD BE'!$N$43+'TUSD BF'!$N$43+'TUSD CVA'!$N$43)*(1 - CUSTOS!$M$40)</f>
        <v>8.6586589279419464</v>
      </c>
      <c r="O43" s="85">
        <f>('TUSD BE'!$O$43+'TUSD BF'!$O$43+'TUSD CVA'!$O$43)*(1 - CUSTOS!$M$40)</f>
        <v>0</v>
      </c>
      <c r="P43" s="85">
        <f>('TUSD BE'!$P$43+'TUSD BF'!$P$43+'TUSD CVA'!$P$43)*(1 - CUSTOS!$M$40)</f>
        <v>0</v>
      </c>
      <c r="Q43" s="85">
        <f>('TUSD BE'!$Q$43+'TUSD BF'!$Q$43+'TUSD CVA'!$Q$43)*(1 - CUSTOS!$M$40)</f>
        <v>18.275034065002814</v>
      </c>
      <c r="R43" s="85">
        <f>('TUSD BE'!$R$43+'TUSD BF'!$R$43+'TUSD CVA'!$R$43)*(1 - CUSTOS!$M$40)</f>
        <v>8.9175261770670442</v>
      </c>
      <c r="S43" s="85">
        <f>('TUSD BE'!$S$43+'TUSD BF'!$S$43+'TUSD CVA'!$S$43)*(1 - CUSTOS!$M$40)</f>
        <v>0</v>
      </c>
      <c r="T43" s="85">
        <f>('TUSD BE'!$U$43+'TUSD BF'!$U$43+'TUSD CVA'!$U$43)*(1 - CUSTOS!$M$40)</f>
        <v>113.76362814381746</v>
      </c>
      <c r="U43" s="85">
        <f>('TUSD BE'!$V$43+'TUSD BF'!$V$43+'TUSD CVA'!$V$43)*(1 - CUSTOS!$M$40)</f>
        <v>1.4048050113057555</v>
      </c>
      <c r="V43" s="85">
        <f>('TUSD BE'!$W$43+'TUSD BF'!$W$43+'TUSD CVA'!$W$43)*(1 - CUSTOS!$M$40)</f>
        <v>0.19156222648339322</v>
      </c>
      <c r="W43" s="85">
        <f>('TUSD BE'!$X$43+'TUSD BF'!$X$43+'TUSD CVA'!$X$43)*(1 - CUSTOS!$M$40)</f>
        <v>0</v>
      </c>
      <c r="X43" s="85">
        <f>('TUSD BE'!$Y$43+'TUSD BF'!$Y$43+'TUSD CVA'!$Y$43)*(1 - CUSTOS!$M$40)</f>
        <v>-4.9509779716726586E-3</v>
      </c>
      <c r="Y43" s="85">
        <f>('TUSD BE'!$Z$43+'TUSD BF'!$Z$43+'TUSD CVA'!$Z$43)*(1 - CUSTOS!$M$40)</f>
        <v>0</v>
      </c>
      <c r="Z43" s="85">
        <f>('TUSD BE'!$AA$43+'TUSD BF'!$AA$43+'TUSD CVA'!$AA$43)*(1 - CUSTOS!$M$40)</f>
        <v>0</v>
      </c>
      <c r="AA43" s="85">
        <f>('TUSD BE'!$AC$43+'TUSD BF'!$AC$43+'TUSD CVA'!$AC$43)*(1 - CUSTOS!$M$40)</f>
        <v>618.38091330773432</v>
      </c>
      <c r="AB43" s="85">
        <f ca="1">('TUSD BE'!$AE$43+'TUSD BF'!$AE$43+'TUSD CVA'!$AE$43)*(1 - CUSTOS!$M$40)</f>
        <v>0</v>
      </c>
      <c r="AC43" s="85">
        <f ca="1">('TUSD BE'!$AF$43+'TUSD BF'!$AF$43+'TUSD CVA'!$AF$43)*(1 - CUSTOS!$M$40)</f>
        <v>0</v>
      </c>
      <c r="AD43" s="85">
        <f>('TUSD BE'!$AH$43+'TUSD BF'!$AH$43+'TUSD CVA'!$AH$43)*(1 - CUSTOS!$M$40)</f>
        <v>38.682857147163972</v>
      </c>
      <c r="AE43" s="85">
        <f>('TUSD BE'!$AI$43+'TUSD BF'!$AI$43+'TUSD CVA'!$AI$43)*(1 - CUSTOS!$M$40)</f>
        <v>2.7856186350644925</v>
      </c>
      <c r="AF43" s="85">
        <f ca="1">('TUSD BE'!$AJ$43+'TUSD BF'!$AJ$43+'TUSD CVA'!$AJ$43)*(1 - CUSTOS!$M$40)</f>
        <v>95.680734313087342</v>
      </c>
      <c r="AG43" s="85">
        <f ca="1">('TUSD BE'!$AK$43+'TUSD BF'!$AK$43+'TUSD CVA'!$AK$43)*(1 - CUSTOS!$M$40)</f>
        <v>14.806458955124652</v>
      </c>
      <c r="AI43" s="85">
        <v>0</v>
      </c>
      <c r="AJ43" s="85">
        <v>0.55755391195396398</v>
      </c>
      <c r="AK43" s="85">
        <v>7.1302862500071704</v>
      </c>
      <c r="AL43" s="85">
        <v>0</v>
      </c>
      <c r="AM43" s="85">
        <v>0</v>
      </c>
      <c r="AN43" s="85">
        <v>16.900276897488599</v>
      </c>
      <c r="AO43" s="85">
        <v>5.7395387323219902</v>
      </c>
      <c r="AP43" s="85">
        <v>0</v>
      </c>
      <c r="AQ43" s="85">
        <v>80.940349563231194</v>
      </c>
      <c r="AR43" s="85">
        <v>13.177498197246701</v>
      </c>
      <c r="AS43" s="85">
        <v>-0.94038127339113597</v>
      </c>
      <c r="AT43" s="85">
        <v>0</v>
      </c>
      <c r="AU43" s="85">
        <v>0.41242536365591598</v>
      </c>
      <c r="AV43" s="85">
        <v>0</v>
      </c>
      <c r="AW43" s="85">
        <v>0</v>
      </c>
      <c r="AX43" s="85">
        <v>499.47947041866098</v>
      </c>
      <c r="AY43" s="85">
        <v>0</v>
      </c>
      <c r="AZ43" s="85">
        <v>0</v>
      </c>
      <c r="BA43" s="85">
        <v>32.716812441353198</v>
      </c>
      <c r="BB43" s="85">
        <v>2.56786488809216</v>
      </c>
      <c r="BC43" s="85">
        <v>89.113509412908499</v>
      </c>
      <c r="BD43" s="85">
        <v>5.5219811665425196</v>
      </c>
    </row>
    <row r="44" spans="1:56" ht="11.25" customHeight="1" x14ac:dyDescent="0.25">
      <c r="A44" s="124"/>
      <c r="B44" s="124"/>
      <c r="C44" s="124"/>
      <c r="D44" s="124"/>
      <c r="E44" s="124"/>
      <c r="F44" s="124"/>
      <c r="G44" s="28" t="s">
        <v>98</v>
      </c>
      <c r="H44" s="28" t="s">
        <v>86</v>
      </c>
      <c r="I44" s="28">
        <f>'MERCADO TUSD'!$U$41</f>
        <v>0</v>
      </c>
      <c r="J44" s="18"/>
      <c r="L44" s="85">
        <f>('TUSD BE'!$L$44+'TUSD BF'!$L$44+'TUSD CVA'!$L$44)*(1 - CUSTOS!$M$40)</f>
        <v>11.843442666873942</v>
      </c>
      <c r="M44" s="85">
        <f>('TUSD BE'!$M$44+'TUSD BF'!$M$44+'TUSD CVA'!$M$44)*(1 - CUSTOS!$M$40)</f>
        <v>0.73169456657857068</v>
      </c>
      <c r="N44" s="85">
        <f ca="1">('TUSD BE'!$N$44+'TUSD BF'!$N$44+'TUSD CVA'!$N$44)*(1 - CUSTOS!$M$40)</f>
        <v>6.2162693577595096</v>
      </c>
      <c r="O44" s="85">
        <f>('TUSD BE'!$O$44+'TUSD BF'!$O$44+'TUSD CVA'!$O$44)*(1 - CUSTOS!$M$40)</f>
        <v>0</v>
      </c>
      <c r="P44" s="85">
        <f>('TUSD BE'!$P$44+'TUSD BF'!$P$44+'TUSD CVA'!$P$44)*(1 - CUSTOS!$M$40)</f>
        <v>0</v>
      </c>
      <c r="Q44" s="85">
        <f>('TUSD BE'!$Q$44+'TUSD BF'!$Q$44+'TUSD CVA'!$Q$44)*(1 - CUSTOS!$M$40)</f>
        <v>18.275034065002814</v>
      </c>
      <c r="R44" s="85">
        <f>('TUSD BE'!$R$44+'TUSD BF'!$R$44+'TUSD CVA'!$R$44)*(1 - CUSTOS!$M$40)</f>
        <v>8.9175261770670442</v>
      </c>
      <c r="S44" s="85">
        <f>('TUSD BE'!$S$44+'TUSD BF'!$S$44+'TUSD CVA'!$S$44)*(1 - CUSTOS!$M$40)</f>
        <v>0</v>
      </c>
      <c r="T44" s="85">
        <f>('TUSD BE'!$U$44+'TUSD BF'!$U$44+'TUSD CVA'!$U$44)*(1 - CUSTOS!$M$40)</f>
        <v>68.258139674401704</v>
      </c>
      <c r="U44" s="85">
        <f>('TUSD BE'!$V$44+'TUSD BF'!$V$44+'TUSD CVA'!$V$44)*(1 - CUSTOS!$M$40)</f>
        <v>0.8428830067834534</v>
      </c>
      <c r="V44" s="85">
        <f>('TUSD BE'!$W$44+'TUSD BF'!$W$44+'TUSD CVA'!$W$44)*(1 - CUSTOS!$M$40)</f>
        <v>0.11494066798651328</v>
      </c>
      <c r="W44" s="85">
        <f>('TUSD BE'!$X$44+'TUSD BF'!$X$44+'TUSD CVA'!$X$44)*(1 - CUSTOS!$M$40)</f>
        <v>0</v>
      </c>
      <c r="X44" s="85">
        <f>('TUSD BE'!$Y$44+'TUSD BF'!$Y$44+'TUSD CVA'!$Y$44)*(1 - CUSTOS!$M$40)</f>
        <v>-2.9705867830035859E-3</v>
      </c>
      <c r="Y44" s="85">
        <f>('TUSD BE'!$Z$44+'TUSD BF'!$Z$44+'TUSD CVA'!$Z$44)*(1 - CUSTOS!$M$40)</f>
        <v>0</v>
      </c>
      <c r="Z44" s="85">
        <f>('TUSD BE'!$AA$44+'TUSD BF'!$AA$44+'TUSD CVA'!$AA$44)*(1 - CUSTOS!$M$40)</f>
        <v>0</v>
      </c>
      <c r="AA44" s="85">
        <f>('TUSD BE'!$AC$44+'TUSD BF'!$AC$44+'TUSD CVA'!$AC$44)*(1 - CUSTOS!$M$40)</f>
        <v>371.02856704064328</v>
      </c>
      <c r="AB44" s="85">
        <f ca="1">('TUSD BE'!$AE$44+'TUSD BF'!$AE$44+'TUSD CVA'!$AE$44)*(1 - CUSTOS!$M$40)</f>
        <v>0</v>
      </c>
      <c r="AC44" s="85">
        <f ca="1">('TUSD BE'!$AF$44+'TUSD BF'!$AF$44+'TUSD CVA'!$AF$44)*(1 - CUSTOS!$M$40)</f>
        <v>0</v>
      </c>
      <c r="AD44" s="85">
        <f>('TUSD BE'!$AH$44+'TUSD BF'!$AH$44+'TUSD CVA'!$AH$44)*(1 - CUSTOS!$M$40)</f>
        <v>38.682857147163972</v>
      </c>
      <c r="AE44" s="85">
        <f>('TUSD BE'!$AI$44+'TUSD BF'!$AI$44+'TUSD CVA'!$AI$44)*(1 - CUSTOS!$M$40)</f>
        <v>2.7856186350644925</v>
      </c>
      <c r="AF44" s="85">
        <f ca="1">('TUSD BE'!$AJ$44+'TUSD BF'!$AJ$44+'TUSD CVA'!$AJ$44)*(1 - CUSTOS!$M$40)</f>
        <v>95.680734313087342</v>
      </c>
      <c r="AG44" s="85">
        <f ca="1">('TUSD BE'!$AK$44+'TUSD BF'!$AK$44+'TUSD CVA'!$AK$44)*(1 - CUSTOS!$M$40)</f>
        <v>14.806458955124652</v>
      </c>
      <c r="AI44" s="85">
        <v>0</v>
      </c>
      <c r="AJ44" s="85">
        <v>0.55755391195396398</v>
      </c>
      <c r="AK44" s="85">
        <v>5.1311595840844602</v>
      </c>
      <c r="AL44" s="85">
        <v>0</v>
      </c>
      <c r="AM44" s="85">
        <v>0</v>
      </c>
      <c r="AN44" s="85">
        <v>16.900276897488599</v>
      </c>
      <c r="AO44" s="85">
        <v>5.7395387323219902</v>
      </c>
      <c r="AP44" s="85">
        <v>0</v>
      </c>
      <c r="AQ44" s="85">
        <v>48.564183262488399</v>
      </c>
      <c r="AR44" s="85">
        <v>7.9064989183480296</v>
      </c>
      <c r="AS44" s="85">
        <v>-0.56424512133635796</v>
      </c>
      <c r="AT44" s="85">
        <v>0</v>
      </c>
      <c r="AU44" s="85">
        <v>0.24745521819354999</v>
      </c>
      <c r="AV44" s="85">
        <v>0</v>
      </c>
      <c r="AW44" s="85">
        <v>0</v>
      </c>
      <c r="AX44" s="85">
        <v>299.68769764313703</v>
      </c>
      <c r="AY44" s="85">
        <v>0</v>
      </c>
      <c r="AZ44" s="85">
        <v>0</v>
      </c>
      <c r="BA44" s="85">
        <v>32.716812441353198</v>
      </c>
      <c r="BB44" s="85">
        <v>2.56786488809216</v>
      </c>
      <c r="BC44" s="85">
        <v>89.113509412908499</v>
      </c>
      <c r="BD44" s="85">
        <v>5.5219811665425196</v>
      </c>
    </row>
    <row r="45" spans="1:56" ht="11.25" customHeight="1" x14ac:dyDescent="0.25">
      <c r="A45" s="124"/>
      <c r="B45" s="124"/>
      <c r="C45" s="124"/>
      <c r="D45" s="124"/>
      <c r="E45" s="124"/>
      <c r="F45" s="124"/>
      <c r="G45" s="28" t="s">
        <v>88</v>
      </c>
      <c r="H45" s="28" t="s">
        <v>86</v>
      </c>
      <c r="I45" s="28">
        <f>'MERCADO TUSD'!$U$42</f>
        <v>0</v>
      </c>
      <c r="J45" s="18"/>
      <c r="L45" s="85">
        <f>('TUSD BE'!$L$45+'TUSD BF'!$L$45+'TUSD CVA'!$L$45)*(1 - CUSTOS!$M$40)</f>
        <v>11.843442666873942</v>
      </c>
      <c r="M45" s="85">
        <f>('TUSD BE'!$M$45+'TUSD BF'!$M$45+'TUSD CVA'!$M$45)*(1 - CUSTOS!$M$40)</f>
        <v>0.73169456657857068</v>
      </c>
      <c r="N45" s="85">
        <f ca="1">('TUSD BE'!$N$45+'TUSD BF'!$N$45+'TUSD CVA'!$N$45)*(1 - CUSTOS!$M$40)</f>
        <v>3.7738805615741469</v>
      </c>
      <c r="O45" s="85">
        <f>('TUSD BE'!$O$45+'TUSD BF'!$O$45+'TUSD CVA'!$O$45)*(1 - CUSTOS!$M$40)</f>
        <v>0</v>
      </c>
      <c r="P45" s="85">
        <f>('TUSD BE'!$P$45+'TUSD BF'!$P$45+'TUSD CVA'!$P$45)*(1 - CUSTOS!$M$40)</f>
        <v>0</v>
      </c>
      <c r="Q45" s="85">
        <f>('TUSD BE'!$Q$45+'TUSD BF'!$Q$45+'TUSD CVA'!$Q$45)*(1 - CUSTOS!$M$40)</f>
        <v>18.275034065002814</v>
      </c>
      <c r="R45" s="85">
        <f>('TUSD BE'!$R$45+'TUSD BF'!$R$45+'TUSD CVA'!$R$45)*(1 - CUSTOS!$M$40)</f>
        <v>8.9175261770670442</v>
      </c>
      <c r="S45" s="85">
        <f>('TUSD BE'!$S$45+'TUSD BF'!$S$45+'TUSD CVA'!$S$45)*(1 - CUSTOS!$M$40)</f>
        <v>0</v>
      </c>
      <c r="T45" s="85">
        <f>('TUSD BE'!$U$45+'TUSD BF'!$U$45+'TUSD CVA'!$U$45)*(1 - CUSTOS!$M$40)</f>
        <v>22.752744234707869</v>
      </c>
      <c r="U45" s="85">
        <f>('TUSD BE'!$V$45+'TUSD BF'!$V$45+'TUSD CVA'!$V$45)*(1 - CUSTOS!$M$40)</f>
        <v>0.28096100226115112</v>
      </c>
      <c r="V45" s="85">
        <f>('TUSD BE'!$W$45+'TUSD BF'!$W$45+'TUSD CVA'!$W$45)*(1 - CUSTOS!$M$40)</f>
        <v>3.8319109489633366E-2</v>
      </c>
      <c r="W45" s="85">
        <f>('TUSD BE'!$X$45+'TUSD BF'!$X$45+'TUSD CVA'!$X$45)*(1 - CUSTOS!$M$40)</f>
        <v>0</v>
      </c>
      <c r="X45" s="85">
        <f>('TUSD BE'!$Y$45+'TUSD BF'!$Y$45+'TUSD CVA'!$Y$45)*(1 - CUSTOS!$M$40)</f>
        <v>-9.9019559433453051E-4</v>
      </c>
      <c r="Y45" s="85">
        <f>('TUSD BE'!$Z$45+'TUSD BF'!$Z$45+'TUSD CVA'!$Z$45)*(1 - CUSTOS!$M$40)</f>
        <v>0</v>
      </c>
      <c r="Z45" s="85">
        <f>('TUSD BE'!$AA$45+'TUSD BF'!$AA$45+'TUSD CVA'!$AA$45)*(1 - CUSTOS!$M$40)</f>
        <v>0</v>
      </c>
      <c r="AA45" s="85">
        <f>('TUSD BE'!$AC$45+'TUSD BF'!$AC$45+'TUSD CVA'!$AC$45)*(1 - CUSTOS!$M$40)</f>
        <v>123.67622077355229</v>
      </c>
      <c r="AB45" s="85">
        <f ca="1">('TUSD BE'!$AE$45+'TUSD BF'!$AE$45+'TUSD CVA'!$AE$45)*(1 - CUSTOS!$M$40)</f>
        <v>0</v>
      </c>
      <c r="AC45" s="85">
        <f ca="1">('TUSD BE'!$AF$45+'TUSD BF'!$AF$45+'TUSD CVA'!$AF$45)*(1 - CUSTOS!$M$40)</f>
        <v>0</v>
      </c>
      <c r="AD45" s="85">
        <f>('TUSD BE'!$AH$45+'TUSD BF'!$AH$45+'TUSD CVA'!$AH$45)*(1 - CUSTOS!$M$40)</f>
        <v>38.682857147163972</v>
      </c>
      <c r="AE45" s="85">
        <f>('TUSD BE'!$AI$45+'TUSD BF'!$AI$45+'TUSD CVA'!$AI$45)*(1 - CUSTOS!$M$40)</f>
        <v>2.7856186350644925</v>
      </c>
      <c r="AF45" s="85">
        <f ca="1">('TUSD BE'!$AJ$45+'TUSD BF'!$AJ$45+'TUSD CVA'!$AJ$45)*(1 - CUSTOS!$M$40)</f>
        <v>95.680734313087342</v>
      </c>
      <c r="AG45" s="85">
        <f ca="1">('TUSD BE'!$AK$45+'TUSD BF'!$AK$45+'TUSD CVA'!$AK$45)*(1 - CUSTOS!$M$40)</f>
        <v>14.806458955124652</v>
      </c>
      <c r="AI45" s="85">
        <v>0</v>
      </c>
      <c r="AJ45" s="85">
        <v>0.55755391195396398</v>
      </c>
      <c r="AK45" s="85">
        <v>3.1320335516881102</v>
      </c>
      <c r="AL45" s="85">
        <v>0</v>
      </c>
      <c r="AM45" s="85">
        <v>0</v>
      </c>
      <c r="AN45" s="85">
        <v>16.900276897488599</v>
      </c>
      <c r="AO45" s="85">
        <v>5.7395387323219902</v>
      </c>
      <c r="AP45" s="85">
        <v>0</v>
      </c>
      <c r="AQ45" s="85">
        <v>16.188083150371401</v>
      </c>
      <c r="AR45" s="85">
        <v>2.63549963944934</v>
      </c>
      <c r="AS45" s="85">
        <v>-0.188108969281581</v>
      </c>
      <c r="AT45" s="85">
        <v>0</v>
      </c>
      <c r="AU45" s="85">
        <v>8.2485072731183204E-2</v>
      </c>
      <c r="AV45" s="85">
        <v>0</v>
      </c>
      <c r="AW45" s="85">
        <v>0</v>
      </c>
      <c r="AX45" s="85">
        <v>99.895924867613004</v>
      </c>
      <c r="AY45" s="85">
        <v>0</v>
      </c>
      <c r="AZ45" s="85">
        <v>0</v>
      </c>
      <c r="BA45" s="85">
        <v>32.716812441353198</v>
      </c>
      <c r="BB45" s="85">
        <v>2.56786488809216</v>
      </c>
      <c r="BC45" s="85">
        <v>89.113509412908499</v>
      </c>
      <c r="BD45" s="85">
        <v>5.5219811665425196</v>
      </c>
    </row>
    <row r="46" spans="1:56" ht="11.25" customHeight="1" x14ac:dyDescent="0.25">
      <c r="A46" s="124"/>
      <c r="B46" s="86" t="s">
        <v>23</v>
      </c>
      <c r="C46" s="86" t="s">
        <v>47</v>
      </c>
      <c r="D46" s="86" t="s">
        <v>55</v>
      </c>
      <c r="E46" s="86" t="s">
        <v>25</v>
      </c>
      <c r="F46" s="86" t="s">
        <v>25</v>
      </c>
      <c r="G46" s="28" t="s">
        <v>92</v>
      </c>
      <c r="H46" s="28" t="s">
        <v>86</v>
      </c>
      <c r="I46" s="28">
        <f>'MERCADO TUSD'!$U$43</f>
        <v>26.512</v>
      </c>
      <c r="J46" s="18"/>
      <c r="L46" s="85">
        <f>('TUSD BE'!$L$46+'TUSD BF'!$L$46+'TUSD CVA'!$L$46)*(1 - CUSTOS!$M$40)</f>
        <v>11.843442666873942</v>
      </c>
      <c r="M46" s="85">
        <f>('TUSD BE'!$M$46+'TUSD BF'!$M$46+'TUSD CVA'!$M$46)*(1 - CUSTOS!$M$40)</f>
        <v>0.73169456657857068</v>
      </c>
      <c r="N46" s="85">
        <f ca="1">('TUSD BE'!$N$46+'TUSD BF'!$N$46+'TUSD CVA'!$N$46)*(1 - CUSTOS!$M$40)</f>
        <v>4.4608021928146018</v>
      </c>
      <c r="O46" s="85">
        <f>('TUSD BE'!$O$46+'TUSD BF'!$O$46+'TUSD CVA'!$O$46)*(1 - CUSTOS!$M$40)</f>
        <v>0</v>
      </c>
      <c r="P46" s="85">
        <f>('TUSD BE'!$P$46+'TUSD BF'!$P$46+'TUSD CVA'!$P$46)*(1 - CUSTOS!$M$40)</f>
        <v>0</v>
      </c>
      <c r="Q46" s="85">
        <f>('TUSD BE'!$Q$46+'TUSD BF'!$Q$46+'TUSD CVA'!$Q$46)*(1 - CUSTOS!$M$40)</f>
        <v>18.275034065002814</v>
      </c>
      <c r="R46" s="85">
        <f>('TUSD BE'!$R$46+'TUSD BF'!$R$46+'TUSD CVA'!$R$46)*(1 - CUSTOS!$M$40)</f>
        <v>8.9175261770670442</v>
      </c>
      <c r="S46" s="85">
        <f>('TUSD BE'!$S$46+'TUSD BF'!$S$46+'TUSD CVA'!$S$46)*(1 - CUSTOS!$M$40)</f>
        <v>0</v>
      </c>
      <c r="T46" s="85">
        <f>('TUSD BE'!$U$46+'TUSD BF'!$U$46+'TUSD CVA'!$U$46)*(1 - CUSTOS!$M$40)</f>
        <v>35.551122166227707</v>
      </c>
      <c r="U46" s="85">
        <f>('TUSD BE'!$V$46+'TUSD BF'!$V$46+'TUSD CVA'!$V$46)*(1 - CUSTOS!$M$40)</f>
        <v>0.43899867453582458</v>
      </c>
      <c r="V46" s="85">
        <f>('TUSD BE'!$W$46+'TUSD BF'!$W$46+'TUSD CVA'!$W$46)*(1 - CUSTOS!$M$40)</f>
        <v>5.9861113215762041E-2</v>
      </c>
      <c r="W46" s="85">
        <f>('TUSD BE'!$X$46+'TUSD BF'!$X$46+'TUSD CVA'!$X$46)*(1 - CUSTOS!$M$40)</f>
        <v>0</v>
      </c>
      <c r="X46" s="85">
        <f>('TUSD BE'!$Y$46+'TUSD BF'!$Y$46+'TUSD CVA'!$Y$46)*(1 - CUSTOS!$M$40)</f>
        <v>-1.5470012328878595E-3</v>
      </c>
      <c r="Y46" s="85">
        <f>('TUSD BE'!$Z$46+'TUSD BF'!$Z$46+'TUSD CVA'!$Z$46)*(1 - CUSTOS!$M$40)</f>
        <v>0</v>
      </c>
      <c r="Z46" s="85">
        <f>('TUSD BE'!$AA$46+'TUSD BF'!$AA$46+'TUSD CVA'!$AA$46)*(1 - CUSTOS!$M$40)</f>
        <v>0</v>
      </c>
      <c r="AA46" s="85">
        <f>('TUSD BE'!$AC$46+'TUSD BF'!$AC$46+'TUSD CVA'!$AC$46)*(1 - CUSTOS!$M$40)</f>
        <v>193.24406518367121</v>
      </c>
      <c r="AB46" s="85">
        <f ca="1">('TUSD BE'!$AE$46+'TUSD BF'!$AE$46+'TUSD CVA'!$AE$46)*(1 - CUSTOS!$M$40)</f>
        <v>0</v>
      </c>
      <c r="AC46" s="85">
        <f ca="1">('TUSD BE'!$AF$46+'TUSD BF'!$AF$46+'TUSD CVA'!$AF$46)*(1 - CUSTOS!$M$40)</f>
        <v>0</v>
      </c>
      <c r="AD46" s="85">
        <f>('TUSD BE'!$AH$46+'TUSD BF'!$AH$46+'TUSD CVA'!$AH$46)*(1 - CUSTOS!$M$40)</f>
        <v>38.682857147163972</v>
      </c>
      <c r="AE46" s="85">
        <f>('TUSD BE'!$AI$46+'TUSD BF'!$AI$46+'TUSD CVA'!$AI$46)*(1 - CUSTOS!$M$40)</f>
        <v>2.7856186350644925</v>
      </c>
      <c r="AF46" s="85">
        <f ca="1">('TUSD BE'!$AJ$46+'TUSD BF'!$AJ$46+'TUSD CVA'!$AJ$46)*(1 - CUSTOS!$M$40)</f>
        <v>95.680734313087342</v>
      </c>
      <c r="AG46" s="85">
        <f ca="1">('TUSD BE'!$AK$46+'TUSD BF'!$AK$46+'TUSD CVA'!$AK$46)*(1 - CUSTOS!$M$40)</f>
        <v>14.806458955124652</v>
      </c>
      <c r="AI46" s="85">
        <v>0</v>
      </c>
      <c r="AJ46" s="85">
        <v>0.55755391195396398</v>
      </c>
      <c r="AK46" s="85">
        <v>3.6942875701203</v>
      </c>
      <c r="AL46" s="85">
        <v>0</v>
      </c>
      <c r="AM46" s="85">
        <v>0</v>
      </c>
      <c r="AN46" s="85">
        <v>16.900276897488599</v>
      </c>
      <c r="AO46" s="85">
        <v>5.7395387323219902</v>
      </c>
      <c r="AP46" s="85">
        <v>0</v>
      </c>
      <c r="AQ46" s="85">
        <v>25.293850964931501</v>
      </c>
      <c r="AR46" s="85">
        <v>4.1179410635163496</v>
      </c>
      <c r="AS46" s="85">
        <v>-0.29385892462118202</v>
      </c>
      <c r="AT46" s="85">
        <v>0</v>
      </c>
      <c r="AU46" s="85">
        <v>0.12886798319451501</v>
      </c>
      <c r="AV46" s="85">
        <v>0</v>
      </c>
      <c r="AW46" s="85">
        <v>0</v>
      </c>
      <c r="AX46" s="85">
        <v>156.08735855573801</v>
      </c>
      <c r="AY46" s="85">
        <v>0</v>
      </c>
      <c r="AZ46" s="85">
        <v>0</v>
      </c>
      <c r="BA46" s="85">
        <v>32.716812441353198</v>
      </c>
      <c r="BB46" s="85">
        <v>2.56786488809216</v>
      </c>
      <c r="BC46" s="85">
        <v>89.113509412908499</v>
      </c>
      <c r="BD46" s="85">
        <v>5.5219811665425196</v>
      </c>
    </row>
    <row r="47" spans="1:56" ht="11.25" customHeight="1" x14ac:dyDescent="0.25">
      <c r="A47" s="124"/>
      <c r="B47" s="124" t="s">
        <v>100</v>
      </c>
      <c r="C47" s="124" t="s">
        <v>47</v>
      </c>
      <c r="D47" s="86" t="s">
        <v>25</v>
      </c>
      <c r="E47" s="86" t="s">
        <v>25</v>
      </c>
      <c r="F47" s="86" t="s">
        <v>25</v>
      </c>
      <c r="G47" s="28" t="s">
        <v>92</v>
      </c>
      <c r="H47" s="28" t="s">
        <v>86</v>
      </c>
      <c r="I47" s="28">
        <f>'MERCADO TUSD'!$U$44</f>
        <v>0</v>
      </c>
      <c r="J47" s="18"/>
      <c r="L47" s="85">
        <f>('TUSD BE'!$L$47+'TUSD BF'!$L$47+'TUSD CVA'!$L$47)*(1 - CUSTOS!$M$38)</f>
        <v>12.407416127201273</v>
      </c>
      <c r="M47" s="85">
        <f>('TUSD BE'!$M$47+'TUSD BF'!$M$47+'TUSD CVA'!$M$47)*(1 - CUSTOS!$M$38)</f>
        <v>0.76653716498707403</v>
      </c>
      <c r="N47" s="85">
        <f ca="1">('TUSD BE'!$N$47+'TUSD BF'!$N$47+'TUSD CVA'!$N$47)*(1 - CUSTOS!$M$38)</f>
        <v>4.6732213448533928</v>
      </c>
      <c r="O47" s="85">
        <f>('TUSD BE'!$O$47+'TUSD BF'!$O$47+'TUSD CVA'!$O$47)*(1 - CUSTOS!$M$38)</f>
        <v>0</v>
      </c>
      <c r="P47" s="85">
        <f>('TUSD BE'!$P$47+'TUSD BF'!$P$47+'TUSD CVA'!$P$47)*(1 - CUSTOS!$M$38)</f>
        <v>0</v>
      </c>
      <c r="Q47" s="85">
        <f>('TUSD BE'!$Q$47+'TUSD BF'!$Q$47+'TUSD CVA'!$Q$47)*(1 - CUSTOS!$M$38)</f>
        <v>19.145273782383903</v>
      </c>
      <c r="R47" s="85">
        <f>('TUSD BE'!$R$47+'TUSD BF'!$R$47+'TUSD CVA'!$R$47)*(1 - CUSTOS!$M$38)</f>
        <v>9.3421702807369051</v>
      </c>
      <c r="S47" s="85">
        <f>('TUSD BE'!$S$47+'TUSD BF'!$S$47+'TUSD CVA'!$S$47)*(1 - CUSTOS!$M$38)</f>
        <v>0</v>
      </c>
      <c r="T47" s="85">
        <f>('TUSD BE'!$U$47+'TUSD BF'!$U$47+'TUSD CVA'!$U$47)*(1 - CUSTOS!$M$38)</f>
        <v>37.244032745571886</v>
      </c>
      <c r="U47" s="85">
        <f>('TUSD BE'!$V$47+'TUSD BF'!$V$47+'TUSD CVA'!$V$47)*(1 - CUSTOS!$M$38)</f>
        <v>0.45990337332324482</v>
      </c>
      <c r="V47" s="85">
        <f>('TUSD BE'!$W$47+'TUSD BF'!$W$47+'TUSD CVA'!$W$47)*(1 - CUSTOS!$M$38)</f>
        <v>6.2711642416512614E-2</v>
      </c>
      <c r="W47" s="85">
        <f>('TUSD BE'!$X$47+'TUSD BF'!$X$47+'TUSD CVA'!$X$47)*(1 - CUSTOS!$M$38)</f>
        <v>0</v>
      </c>
      <c r="X47" s="85">
        <f>('TUSD BE'!$Y$47+'TUSD BF'!$Y$47+'TUSD CVA'!$Y$47)*(1 - CUSTOS!$M$38)</f>
        <v>-1.6206679582634719E-3</v>
      </c>
      <c r="Y47" s="85">
        <f>('TUSD BE'!$Z$47+'TUSD BF'!$Z$47+'TUSD CVA'!$Z$47)*(1 - CUSTOS!$M$38)</f>
        <v>0</v>
      </c>
      <c r="Z47" s="85">
        <f>('TUSD BE'!$AA$47+'TUSD BF'!$AA$47+'TUSD CVA'!$AA$47)*(1 - CUSTOS!$M$38)</f>
        <v>0</v>
      </c>
      <c r="AA47" s="85">
        <f>('TUSD BE'!$AC$47+'TUSD BF'!$AC$47+'TUSD CVA'!$AC$47)*(1 - CUSTOS!$M$38)</f>
        <v>202.44616352575082</v>
      </c>
      <c r="AB47" s="85">
        <f ca="1">('TUSD BE'!$AE$47+'TUSD BF'!$AE$47+'TUSD CVA'!$AE$47)*(1 - CUSTOS!$M$38)</f>
        <v>0</v>
      </c>
      <c r="AC47" s="85">
        <f ca="1">('TUSD BE'!$AF$47+'TUSD BF'!$AF$47+'TUSD CVA'!$AF$47)*(1 - CUSTOS!$M$38)</f>
        <v>0</v>
      </c>
      <c r="AD47" s="85">
        <f>('TUSD BE'!$AH$47+'TUSD BF'!$AH$47+'TUSD CVA'!$AH$47)*(1 - CUSTOS!$M$38)</f>
        <v>40.524897963695594</v>
      </c>
      <c r="AE47" s="85">
        <f>('TUSD BE'!$AI$47+'TUSD BF'!$AI$47+'TUSD CVA'!$AI$47)*(1 - CUSTOS!$M$38)</f>
        <v>2.918267141496135</v>
      </c>
      <c r="AF47" s="85">
        <f ca="1">('TUSD BE'!$AJ$47+'TUSD BF'!$AJ$47+'TUSD CVA'!$AJ$47)*(1 - CUSTOS!$M$38)</f>
        <v>100.2369597565677</v>
      </c>
      <c r="AG47" s="85">
        <f ca="1">('TUSD BE'!$AK$47+'TUSD BF'!$AK$47+'TUSD CVA'!$AK$47)*(1 - CUSTOS!$M$38)</f>
        <v>15.511528429178208</v>
      </c>
      <c r="AI47" s="85">
        <v>0</v>
      </c>
      <c r="AJ47" s="85">
        <v>0.60157132605559305</v>
      </c>
      <c r="AK47" s="85">
        <v>3.9859418519719001</v>
      </c>
      <c r="AL47" s="85">
        <v>0</v>
      </c>
      <c r="AM47" s="85">
        <v>0</v>
      </c>
      <c r="AN47" s="85">
        <v>18.2345092841325</v>
      </c>
      <c r="AO47" s="85">
        <v>6.1926602111895104</v>
      </c>
      <c r="AP47" s="85">
        <v>0</v>
      </c>
      <c r="AQ47" s="85">
        <v>27.2907339358472</v>
      </c>
      <c r="AR47" s="85">
        <v>4.4430416737939602</v>
      </c>
      <c r="AS47" s="85">
        <v>-0.31705831340706497</v>
      </c>
      <c r="AT47" s="85">
        <v>0</v>
      </c>
      <c r="AU47" s="85">
        <v>0.13904177134145099</v>
      </c>
      <c r="AV47" s="85">
        <v>0</v>
      </c>
      <c r="AW47" s="85">
        <v>0</v>
      </c>
      <c r="AX47" s="85">
        <v>168.41004475750699</v>
      </c>
      <c r="AY47" s="85">
        <v>0</v>
      </c>
      <c r="AZ47" s="85">
        <v>0</v>
      </c>
      <c r="BA47" s="85">
        <v>35.299718686723203</v>
      </c>
      <c r="BB47" s="85">
        <v>2.7705910634678599</v>
      </c>
      <c r="BC47" s="85">
        <v>96.148786471822305</v>
      </c>
      <c r="BD47" s="85">
        <v>5.9579270481116602</v>
      </c>
    </row>
    <row r="48" spans="1:56" ht="11.25" customHeight="1" x14ac:dyDescent="0.25">
      <c r="A48" s="124"/>
      <c r="B48" s="124"/>
      <c r="C48" s="124"/>
      <c r="D48" s="86" t="s">
        <v>101</v>
      </c>
      <c r="E48" s="86" t="s">
        <v>25</v>
      </c>
      <c r="F48" s="86" t="s">
        <v>25</v>
      </c>
      <c r="G48" s="28" t="s">
        <v>92</v>
      </c>
      <c r="H48" s="28" t="s">
        <v>86</v>
      </c>
      <c r="I48" s="28">
        <f>'MERCADO TUSD'!$U$45</f>
        <v>0</v>
      </c>
      <c r="J48" s="18"/>
      <c r="L48" s="85">
        <f>('TUSD BE'!$L$48+'TUSD BF'!$L$48+'TUSD CVA'!$L$48)*(1 - CUSTOS!$M$39)</f>
        <v>12.407416127201273</v>
      </c>
      <c r="M48" s="85">
        <f>('TUSD BE'!$M$48+'TUSD BF'!$M$48+'TUSD CVA'!$M$48)*(1 - CUSTOS!$M$39)</f>
        <v>0.76653716498707403</v>
      </c>
      <c r="N48" s="85">
        <f ca="1">('TUSD BE'!$N$48+'TUSD BF'!$N$48+'TUSD CVA'!$N$48)*(1 - CUSTOS!$M$39)</f>
        <v>4.6732213448533928</v>
      </c>
      <c r="O48" s="85">
        <f>('TUSD BE'!$O$48+'TUSD BF'!$O$48+'TUSD CVA'!$O$48)*(1 - CUSTOS!$M$39)</f>
        <v>0</v>
      </c>
      <c r="P48" s="85">
        <f>('TUSD BE'!$P$48+'TUSD BF'!$P$48+'TUSD CVA'!$P$48)*(1 - CUSTOS!$M$39)</f>
        <v>0</v>
      </c>
      <c r="Q48" s="85">
        <f>('TUSD BE'!$Q$48+'TUSD BF'!$Q$48+'TUSD CVA'!$Q$48)*(1 - CUSTOS!$M$39)</f>
        <v>19.145273782383903</v>
      </c>
      <c r="R48" s="85">
        <f>('TUSD BE'!$R$48+'TUSD BF'!$R$48+'TUSD CVA'!$R$48)*(1 - CUSTOS!$M$39)</f>
        <v>9.3421702807369051</v>
      </c>
      <c r="S48" s="85">
        <f>('TUSD BE'!$S$48+'TUSD BF'!$S$48+'TUSD CVA'!$S$48)*(1 - CUSTOS!$M$39)</f>
        <v>0</v>
      </c>
      <c r="T48" s="85">
        <f>('TUSD BE'!$U$48+'TUSD BF'!$U$48+'TUSD CVA'!$U$48)*(1 - CUSTOS!$M$39)</f>
        <v>37.244032745571886</v>
      </c>
      <c r="U48" s="85">
        <f>('TUSD BE'!$V$48+'TUSD BF'!$V$48+'TUSD CVA'!$V$48)*(1 - CUSTOS!$M$39)</f>
        <v>0.45990337332324482</v>
      </c>
      <c r="V48" s="85">
        <f>('TUSD BE'!$W$48+'TUSD BF'!$W$48+'TUSD CVA'!$W$48)*(1 - CUSTOS!$M$39)</f>
        <v>6.2711642416512614E-2</v>
      </c>
      <c r="W48" s="85">
        <f>('TUSD BE'!$X$48+'TUSD BF'!$X$48+'TUSD CVA'!$X$48)*(1 - CUSTOS!$M$39)</f>
        <v>0</v>
      </c>
      <c r="X48" s="85">
        <f>('TUSD BE'!$Y$48+'TUSD BF'!$Y$48+'TUSD CVA'!$Y$48)*(1 - CUSTOS!$M$39)</f>
        <v>-1.6206679582634719E-3</v>
      </c>
      <c r="Y48" s="85">
        <f>('TUSD BE'!$Z$48+'TUSD BF'!$Z$48+'TUSD CVA'!$Z$48)*(1 - CUSTOS!$M$39)</f>
        <v>0</v>
      </c>
      <c r="Z48" s="85">
        <f>('TUSD BE'!$AA$48+'TUSD BF'!$AA$48+'TUSD CVA'!$AA$48)*(1 - CUSTOS!$M$39)</f>
        <v>0</v>
      </c>
      <c r="AA48" s="85">
        <f>('TUSD BE'!$AC$48+'TUSD BF'!$AC$48+'TUSD CVA'!$AC$48)*(1 - CUSTOS!$M$39)</f>
        <v>202.44616352575082</v>
      </c>
      <c r="AB48" s="85">
        <f ca="1">('TUSD BE'!$AE$48+'TUSD BF'!$AE$48+'TUSD CVA'!$AE$48)*(1 - CUSTOS!$M$39)</f>
        <v>0</v>
      </c>
      <c r="AC48" s="85">
        <f ca="1">('TUSD BE'!$AF$48+'TUSD BF'!$AF$48+'TUSD CVA'!$AF$48)*(1 - CUSTOS!$M$39)</f>
        <v>0</v>
      </c>
      <c r="AD48" s="85">
        <f>('TUSD BE'!$AH$48+'TUSD BF'!$AH$48+'TUSD CVA'!$AH$48)*(1 - CUSTOS!$M$39)</f>
        <v>40.524897963695594</v>
      </c>
      <c r="AE48" s="85">
        <f>('TUSD BE'!$AI$48+'TUSD BF'!$AI$48+'TUSD CVA'!$AI$48)*(1 - CUSTOS!$M$39)</f>
        <v>2.918267141496135</v>
      </c>
      <c r="AF48" s="85">
        <f ca="1">('TUSD BE'!$AJ$48+'TUSD BF'!$AJ$48+'TUSD CVA'!$AJ$48)*(1 - CUSTOS!$M$39)</f>
        <v>100.2369597565677</v>
      </c>
      <c r="AG48" s="85">
        <f ca="1">('TUSD BE'!$AK$48+'TUSD BF'!$AK$48+'TUSD CVA'!$AK$48)*(1 - CUSTOS!$M$39)</f>
        <v>15.511528429178208</v>
      </c>
      <c r="AI48" s="85">
        <v>0</v>
      </c>
      <c r="AJ48" s="85">
        <v>0.60157132605559305</v>
      </c>
      <c r="AK48" s="85">
        <v>3.9859418519719001</v>
      </c>
      <c r="AL48" s="85">
        <v>0</v>
      </c>
      <c r="AM48" s="85">
        <v>0</v>
      </c>
      <c r="AN48" s="85">
        <v>18.2345092841325</v>
      </c>
      <c r="AO48" s="85">
        <v>6.1926602111895104</v>
      </c>
      <c r="AP48" s="85">
        <v>0</v>
      </c>
      <c r="AQ48" s="85">
        <v>27.2907339358472</v>
      </c>
      <c r="AR48" s="85">
        <v>4.4430416737939602</v>
      </c>
      <c r="AS48" s="85">
        <v>-0.31705831340706497</v>
      </c>
      <c r="AT48" s="85">
        <v>0</v>
      </c>
      <c r="AU48" s="85">
        <v>0.13904177134145099</v>
      </c>
      <c r="AV48" s="85">
        <v>0</v>
      </c>
      <c r="AW48" s="85">
        <v>0</v>
      </c>
      <c r="AX48" s="85">
        <v>168.41004475750699</v>
      </c>
      <c r="AY48" s="85">
        <v>0</v>
      </c>
      <c r="AZ48" s="85">
        <v>0</v>
      </c>
      <c r="BA48" s="85">
        <v>35.299718686723203</v>
      </c>
      <c r="BB48" s="85">
        <v>2.7705910634678599</v>
      </c>
      <c r="BC48" s="85">
        <v>96.148786471822305</v>
      </c>
      <c r="BD48" s="85">
        <v>5.9579270481116602</v>
      </c>
    </row>
    <row r="49" spans="1:56" ht="11.25" customHeight="1" x14ac:dyDescent="0.25">
      <c r="A49" s="124"/>
      <c r="B49" s="124"/>
      <c r="C49" s="124"/>
      <c r="D49" s="86" t="s">
        <v>55</v>
      </c>
      <c r="E49" s="86" t="s">
        <v>25</v>
      </c>
      <c r="F49" s="86" t="s">
        <v>25</v>
      </c>
      <c r="G49" s="28" t="s">
        <v>92</v>
      </c>
      <c r="H49" s="28" t="s">
        <v>86</v>
      </c>
      <c r="I49" s="28">
        <f>'MERCADO TUSD'!$U$46</f>
        <v>0</v>
      </c>
      <c r="J49" s="18"/>
      <c r="L49" s="85">
        <f>('TUSD BE'!$L$49+'TUSD BF'!$L$49+'TUSD CVA'!$L$49)*(1 - CUSTOS!$M$40)</f>
        <v>11.843442666873942</v>
      </c>
      <c r="M49" s="85">
        <f>('TUSD BE'!$M$49+'TUSD BF'!$M$49+'TUSD CVA'!$M$49)*(1 - CUSTOS!$M$40)</f>
        <v>0.73169456657857068</v>
      </c>
      <c r="N49" s="85">
        <f ca="1">('TUSD BE'!$N$49+'TUSD BF'!$N$49+'TUSD CVA'!$N$49)*(1 - CUSTOS!$M$40)</f>
        <v>4.4608021928146018</v>
      </c>
      <c r="O49" s="85">
        <f>('TUSD BE'!$O$49+'TUSD BF'!$O$49+'TUSD CVA'!$O$49)*(1 - CUSTOS!$M$40)</f>
        <v>0</v>
      </c>
      <c r="P49" s="85">
        <f>('TUSD BE'!$P$49+'TUSD BF'!$P$49+'TUSD CVA'!$P$49)*(1 - CUSTOS!$M$40)</f>
        <v>0</v>
      </c>
      <c r="Q49" s="85">
        <f>('TUSD BE'!$Q$49+'TUSD BF'!$Q$49+'TUSD CVA'!$Q$49)*(1 - CUSTOS!$M$40)</f>
        <v>18.275034065002814</v>
      </c>
      <c r="R49" s="85">
        <f>('TUSD BE'!$R$49+'TUSD BF'!$R$49+'TUSD CVA'!$R$49)*(1 - CUSTOS!$M$40)</f>
        <v>8.9175261770670442</v>
      </c>
      <c r="S49" s="85">
        <f>('TUSD BE'!$S$49+'TUSD BF'!$S$49+'TUSD CVA'!$S$49)*(1 - CUSTOS!$M$40)</f>
        <v>0</v>
      </c>
      <c r="T49" s="85">
        <f>('TUSD BE'!$U$49+'TUSD BF'!$U$49+'TUSD CVA'!$U$49)*(1 - CUSTOS!$M$40)</f>
        <v>35.551122166227707</v>
      </c>
      <c r="U49" s="85">
        <f>('TUSD BE'!$V$49+'TUSD BF'!$V$49+'TUSD CVA'!$V$49)*(1 - CUSTOS!$M$40)</f>
        <v>0.43899867453582458</v>
      </c>
      <c r="V49" s="85">
        <f>('TUSD BE'!$W$49+'TUSD BF'!$W$49+'TUSD CVA'!$W$49)*(1 - CUSTOS!$M$40)</f>
        <v>5.9861113215762041E-2</v>
      </c>
      <c r="W49" s="85">
        <f>('TUSD BE'!$X$49+'TUSD BF'!$X$49+'TUSD CVA'!$X$49)*(1 - CUSTOS!$M$40)</f>
        <v>0</v>
      </c>
      <c r="X49" s="85">
        <f>('TUSD BE'!$Y$49+'TUSD BF'!$Y$49+'TUSD CVA'!$Y$49)*(1 - CUSTOS!$M$40)</f>
        <v>-1.5470012328878595E-3</v>
      </c>
      <c r="Y49" s="85">
        <f>('TUSD BE'!$Z$49+'TUSD BF'!$Z$49+'TUSD CVA'!$Z$49)*(1 - CUSTOS!$M$40)</f>
        <v>0</v>
      </c>
      <c r="Z49" s="85">
        <f>('TUSD BE'!$AA$49+'TUSD BF'!$AA$49+'TUSD CVA'!$AA$49)*(1 - CUSTOS!$M$40)</f>
        <v>0</v>
      </c>
      <c r="AA49" s="85">
        <f>('TUSD BE'!$AC$49+'TUSD BF'!$AC$49+'TUSD CVA'!$AC$49)*(1 - CUSTOS!$M$40)</f>
        <v>193.24406518367121</v>
      </c>
      <c r="AB49" s="85">
        <f ca="1">('TUSD BE'!$AE$49+'TUSD BF'!$AE$49+'TUSD CVA'!$AE$49)*(1 - CUSTOS!$M$40)</f>
        <v>0</v>
      </c>
      <c r="AC49" s="85">
        <f ca="1">('TUSD BE'!$AF$49+'TUSD BF'!$AF$49+'TUSD CVA'!$AF$49)*(1 - CUSTOS!$M$40)</f>
        <v>0</v>
      </c>
      <c r="AD49" s="85">
        <f>('TUSD BE'!$AH$49+'TUSD BF'!$AH$49+'TUSD CVA'!$AH$49)*(1 - CUSTOS!$M$40)</f>
        <v>38.682857147163972</v>
      </c>
      <c r="AE49" s="85">
        <f>('TUSD BE'!$AI$49+'TUSD BF'!$AI$49+'TUSD CVA'!$AI$49)*(1 - CUSTOS!$M$40)</f>
        <v>2.7856186350644925</v>
      </c>
      <c r="AF49" s="85">
        <f ca="1">('TUSD BE'!$AJ$49+'TUSD BF'!$AJ$49+'TUSD CVA'!$AJ$49)*(1 - CUSTOS!$M$40)</f>
        <v>95.680734313087342</v>
      </c>
      <c r="AG49" s="85">
        <f ca="1">('TUSD BE'!$AK$49+'TUSD BF'!$AK$49+'TUSD CVA'!$AK$49)*(1 - CUSTOS!$M$40)</f>
        <v>14.806458955124652</v>
      </c>
      <c r="AI49" s="85">
        <v>0</v>
      </c>
      <c r="AJ49" s="85">
        <v>0.55755391195396398</v>
      </c>
      <c r="AK49" s="85">
        <v>3.6942875701203</v>
      </c>
      <c r="AL49" s="85">
        <v>0</v>
      </c>
      <c r="AM49" s="85">
        <v>0</v>
      </c>
      <c r="AN49" s="85">
        <v>16.900276897488599</v>
      </c>
      <c r="AO49" s="85">
        <v>5.7395387323219902</v>
      </c>
      <c r="AP49" s="85">
        <v>0</v>
      </c>
      <c r="AQ49" s="85">
        <v>25.293850964931501</v>
      </c>
      <c r="AR49" s="85">
        <v>4.1179410635163496</v>
      </c>
      <c r="AS49" s="85">
        <v>-0.29385892462118202</v>
      </c>
      <c r="AT49" s="85">
        <v>0</v>
      </c>
      <c r="AU49" s="85">
        <v>0.12886798319451501</v>
      </c>
      <c r="AV49" s="85">
        <v>0</v>
      </c>
      <c r="AW49" s="85">
        <v>0</v>
      </c>
      <c r="AX49" s="85">
        <v>156.08735855573801</v>
      </c>
      <c r="AY49" s="85">
        <v>0</v>
      </c>
      <c r="AZ49" s="85">
        <v>0</v>
      </c>
      <c r="BA49" s="85">
        <v>32.716812441353198</v>
      </c>
      <c r="BB49" s="85">
        <v>2.56786488809216</v>
      </c>
      <c r="BC49" s="85">
        <v>89.113509412908499</v>
      </c>
      <c r="BD49" s="85">
        <v>5.5219811665425196</v>
      </c>
    </row>
    <row r="50" spans="1:56" ht="11.25" customHeight="1" x14ac:dyDescent="0.25">
      <c r="A50" s="124" t="s">
        <v>41</v>
      </c>
      <c r="B50" s="124" t="s">
        <v>39</v>
      </c>
      <c r="C50" s="124" t="s">
        <v>25</v>
      </c>
      <c r="D50" s="124" t="s">
        <v>25</v>
      </c>
      <c r="E50" s="124" t="s">
        <v>25</v>
      </c>
      <c r="F50" s="124" t="s">
        <v>25</v>
      </c>
      <c r="G50" s="28" t="s">
        <v>87</v>
      </c>
      <c r="H50" s="28" t="s">
        <v>86</v>
      </c>
      <c r="I50" s="28">
        <f>'MERCADO TUSD'!$U$47</f>
        <v>159.50200000000001</v>
      </c>
      <c r="J50" s="18"/>
      <c r="L50" s="85">
        <f>('TUSD BE'!$L$50+'TUSD BF'!$L$50+'TUSD CVA'!$L$50)*1</f>
        <v>14.099336508183265</v>
      </c>
      <c r="M50" s="85">
        <f>('TUSD BE'!$M$50+'TUSD BF'!$M$50+'TUSD CVA'!$M$50)*1</f>
        <v>0.87106496021258417</v>
      </c>
      <c r="N50" s="85">
        <f ca="1">('TUSD BE'!$N$50+'TUSD BF'!$N$50+'TUSD CVA'!$N$50)*1</f>
        <v>11.216553791518793</v>
      </c>
      <c r="O50" s="85">
        <f>('TUSD BE'!$O$50+'TUSD BF'!$O$50+'TUSD CVA'!$O$50)*1</f>
        <v>0</v>
      </c>
      <c r="P50" s="85">
        <f>('TUSD BE'!$P$50+'TUSD BF'!$P$50+'TUSD CVA'!$P$50)*1</f>
        <v>0</v>
      </c>
      <c r="Q50" s="85">
        <f>('TUSD BE'!$Q$50+'TUSD BF'!$Q$50+'TUSD CVA'!$Q$50)*1</f>
        <v>21.755992934527161</v>
      </c>
      <c r="R50" s="85">
        <f>('TUSD BE'!$R$50+'TUSD BF'!$R$50+'TUSD CVA'!$R$50)*1</f>
        <v>10.616102591746483</v>
      </c>
      <c r="S50" s="85">
        <f>('TUSD BE'!$S$50+'TUSD BF'!$S$50+'TUSD CVA'!$S$50)*1</f>
        <v>0</v>
      </c>
      <c r="T50" s="85">
        <f>('TUSD BE'!$U$50+'TUSD BF'!$U$50+'TUSD CVA'!$U$50)*1</f>
        <v>152.3619742909097</v>
      </c>
      <c r="U50" s="85">
        <f>('TUSD BE'!$V$50+'TUSD BF'!$V$50+'TUSD CVA'!$V$50)*1</f>
        <v>1.8814375778378463</v>
      </c>
      <c r="V50" s="85">
        <f>('TUSD BE'!$W$50+'TUSD BF'!$W$50+'TUSD CVA'!$W$50)*1</f>
        <v>0.25655159484907231</v>
      </c>
      <c r="W50" s="85">
        <f>('TUSD BE'!$X$50+'TUSD BF'!$X$50+'TUSD CVA'!$X$50)*1</f>
        <v>0</v>
      </c>
      <c r="X50" s="85">
        <f>('TUSD BE'!$Y$50+'TUSD BF'!$Y$50+'TUSD CVA'!$Y$50)*1</f>
        <v>-6.6309164368709705E-3</v>
      </c>
      <c r="Y50" s="85">
        <f>('TUSD BE'!$Z$50+'TUSD BF'!$Z$50+'TUSD CVA'!$Z$50)*1</f>
        <v>0</v>
      </c>
      <c r="Z50" s="85">
        <f>('TUSD BE'!$AA$50+'TUSD BF'!$AA$50+'TUSD CVA'!$AA$50)*1</f>
        <v>0</v>
      </c>
      <c r="AA50" s="85">
        <f>('TUSD BE'!$AC$50+'TUSD BF'!$AC$50+'TUSD CVA'!$AC$50)*1</f>
        <v>828.1886239299871</v>
      </c>
      <c r="AB50" s="85">
        <f ca="1">('TUSD BE'!$AE$50+'TUSD BF'!$AE$50+'TUSD CVA'!$AE$50)*1</f>
        <v>0</v>
      </c>
      <c r="AC50" s="85">
        <f ca="1">('TUSD BE'!$AF$50+'TUSD BF'!$AF$50+'TUSD CVA'!$AF$50)*1</f>
        <v>0</v>
      </c>
      <c r="AD50" s="85">
        <f>('TUSD BE'!$AH$50+'TUSD BF'!$AH$50+'TUSD CVA'!$AH$50)*1</f>
        <v>46.051020413290445</v>
      </c>
      <c r="AE50" s="85">
        <f>('TUSD BE'!$AI$50+'TUSD BF'!$AI$50+'TUSD CVA'!$AI$50)*1</f>
        <v>3.3162126607910625</v>
      </c>
      <c r="AF50" s="85">
        <f ca="1">('TUSD BE'!$AJ$50+'TUSD BF'!$AJ$50+'TUSD CVA'!$AJ$50)*1</f>
        <v>113.90563608700874</v>
      </c>
      <c r="AG50" s="85">
        <f ca="1">('TUSD BE'!$AK$50+'TUSD BF'!$AK$50+'TUSD CVA'!$AK$50)*1</f>
        <v>17.626736851338872</v>
      </c>
      <c r="AI50" s="85">
        <v>0</v>
      </c>
      <c r="AJ50" s="85">
        <v>0.73362356836047904</v>
      </c>
      <c r="AK50" s="85">
        <v>10.2039643909922</v>
      </c>
      <c r="AL50" s="85">
        <v>0</v>
      </c>
      <c r="AM50" s="85">
        <v>0</v>
      </c>
      <c r="AN50" s="85">
        <v>22.237206444064</v>
      </c>
      <c r="AO50" s="85">
        <v>7.5520246477920896</v>
      </c>
      <c r="AP50" s="85">
        <v>0</v>
      </c>
      <c r="AQ50" s="85">
        <v>119.812995672998</v>
      </c>
      <c r="AR50" s="85">
        <v>19.506188886821999</v>
      </c>
      <c r="AS50" s="85">
        <v>-1.39198484991833</v>
      </c>
      <c r="AT50" s="85">
        <v>0</v>
      </c>
      <c r="AU50" s="85">
        <v>0.61051117905027796</v>
      </c>
      <c r="AV50" s="85">
        <v>0</v>
      </c>
      <c r="AW50" s="85">
        <v>0</v>
      </c>
      <c r="AX50" s="85">
        <v>739.36096958059795</v>
      </c>
      <c r="AY50" s="85">
        <v>0</v>
      </c>
      <c r="AZ50" s="85">
        <v>0</v>
      </c>
      <c r="BA50" s="85">
        <v>43.048437422833103</v>
      </c>
      <c r="BB50" s="85">
        <v>3.3787695895949499</v>
      </c>
      <c r="BC50" s="85">
        <v>117.25461764856399</v>
      </c>
      <c r="BD50" s="85">
        <v>7.2657646928190998</v>
      </c>
    </row>
    <row r="51" spans="1:56" ht="11.25" customHeight="1" x14ac:dyDescent="0.25">
      <c r="A51" s="124"/>
      <c r="B51" s="124"/>
      <c r="C51" s="124"/>
      <c r="D51" s="124"/>
      <c r="E51" s="124"/>
      <c r="F51" s="124"/>
      <c r="G51" s="28" t="s">
        <v>98</v>
      </c>
      <c r="H51" s="28" t="s">
        <v>86</v>
      </c>
      <c r="I51" s="28">
        <f>'MERCADO TUSD'!$U$48</f>
        <v>89.802000000000007</v>
      </c>
      <c r="J51" s="18"/>
      <c r="L51" s="85">
        <f>('TUSD BE'!$L$51+'TUSD BF'!$L$51+'TUSD CVA'!$L$51)*1</f>
        <v>14.099336508183265</v>
      </c>
      <c r="M51" s="85">
        <f>('TUSD BE'!$M$51+'TUSD BF'!$M$51+'TUSD CVA'!$M$51)*1</f>
        <v>0.87106496021258417</v>
      </c>
      <c r="N51" s="85">
        <f ca="1">('TUSD BE'!$N$51+'TUSD BF'!$N$51+'TUSD CVA'!$N$51)*1</f>
        <v>7.9454965618093008</v>
      </c>
      <c r="O51" s="85">
        <f>('TUSD BE'!$O$51+'TUSD BF'!$O$51+'TUSD CVA'!$O$51)*1</f>
        <v>0</v>
      </c>
      <c r="P51" s="85">
        <f>('TUSD BE'!$P$51+'TUSD BF'!$P$51+'TUSD CVA'!$P$51)*1</f>
        <v>0</v>
      </c>
      <c r="Q51" s="85">
        <f>('TUSD BE'!$Q$51+'TUSD BF'!$Q$51+'TUSD CVA'!$Q$51)*1</f>
        <v>21.755992934527161</v>
      </c>
      <c r="R51" s="85">
        <f>('TUSD BE'!$R$51+'TUSD BF'!$R$51+'TUSD CVA'!$R$51)*1</f>
        <v>10.616102591746483</v>
      </c>
      <c r="S51" s="85">
        <f>('TUSD BE'!$S$51+'TUSD BF'!$S$51+'TUSD CVA'!$S$51)*1</f>
        <v>0</v>
      </c>
      <c r="T51" s="85">
        <f>('TUSD BE'!$U$51+'TUSD BF'!$U$51+'TUSD CVA'!$U$51)*1</f>
        <v>91.417206724479598</v>
      </c>
      <c r="U51" s="85">
        <f>('TUSD BE'!$V$51+'TUSD BF'!$V$51+'TUSD CVA'!$V$51)*1</f>
        <v>1.1288588749602013</v>
      </c>
      <c r="V51" s="85">
        <f>('TUSD BE'!$W$51+'TUSD BF'!$W$51+'TUSD CVA'!$W$51)*1</f>
        <v>0.15393095690944336</v>
      </c>
      <c r="W51" s="85">
        <f>('TUSD BE'!$X$51+'TUSD BF'!$X$51+'TUSD CVA'!$X$51)*1</f>
        <v>0</v>
      </c>
      <c r="X51" s="85">
        <f>('TUSD BE'!$Y$51+'TUSD BF'!$Y$51+'TUSD CVA'!$Y$51)*1</f>
        <v>-3.978322073856122E-3</v>
      </c>
      <c r="Y51" s="85">
        <f>('TUSD BE'!$Z$51+'TUSD BF'!$Z$51+'TUSD CVA'!$Z$51)*1</f>
        <v>0</v>
      </c>
      <c r="Z51" s="85">
        <f>('TUSD BE'!$AA$51+'TUSD BF'!$AA$51+'TUSD CVA'!$AA$51)*1</f>
        <v>0</v>
      </c>
      <c r="AA51" s="85">
        <f>('TUSD BE'!$AC$51+'TUSD BF'!$AC$51+'TUSD CVA'!$AC$51)*1</f>
        <v>496.91317435799226</v>
      </c>
      <c r="AB51" s="85">
        <f ca="1">('TUSD BE'!$AE$51+'TUSD BF'!$AE$51+'TUSD CVA'!$AE$51)*1</f>
        <v>0</v>
      </c>
      <c r="AC51" s="85">
        <f ca="1">('TUSD BE'!$AF$51+'TUSD BF'!$AF$51+'TUSD CVA'!$AF$51)*1</f>
        <v>0</v>
      </c>
      <c r="AD51" s="85">
        <f>('TUSD BE'!$AH$51+'TUSD BF'!$AH$51+'TUSD CVA'!$AH$51)*1</f>
        <v>46.051020413290445</v>
      </c>
      <c r="AE51" s="85">
        <f>('TUSD BE'!$AI$51+'TUSD BF'!$AI$51+'TUSD CVA'!$AI$51)*1</f>
        <v>3.3162126607910625</v>
      </c>
      <c r="AF51" s="85">
        <f ca="1">('TUSD BE'!$AJ$51+'TUSD BF'!$AJ$51+'TUSD CVA'!$AJ$51)*1</f>
        <v>113.90563608700874</v>
      </c>
      <c r="AG51" s="85">
        <f ca="1">('TUSD BE'!$AK$51+'TUSD BF'!$AK$51+'TUSD CVA'!$AK$51)*1</f>
        <v>17.626736851338872</v>
      </c>
      <c r="AI51" s="85">
        <v>0</v>
      </c>
      <c r="AJ51" s="85">
        <v>0.73362356836047904</v>
      </c>
      <c r="AK51" s="85">
        <v>7.24473104785866</v>
      </c>
      <c r="AL51" s="85">
        <v>0</v>
      </c>
      <c r="AM51" s="85">
        <v>0</v>
      </c>
      <c r="AN51" s="85">
        <v>22.237206444064</v>
      </c>
      <c r="AO51" s="85">
        <v>7.5520246477920896</v>
      </c>
      <c r="AP51" s="85">
        <v>0</v>
      </c>
      <c r="AQ51" s="85">
        <v>71.887814821858399</v>
      </c>
      <c r="AR51" s="85">
        <v>11.7036752645518</v>
      </c>
      <c r="AS51" s="85">
        <v>-0.83519090995099898</v>
      </c>
      <c r="AT51" s="85">
        <v>0</v>
      </c>
      <c r="AU51" s="85">
        <v>0.36628573487162802</v>
      </c>
      <c r="AV51" s="85">
        <v>0</v>
      </c>
      <c r="AW51" s="85">
        <v>0</v>
      </c>
      <c r="AX51" s="85">
        <v>443.61658174835901</v>
      </c>
      <c r="AY51" s="85">
        <v>0</v>
      </c>
      <c r="AZ51" s="85">
        <v>0</v>
      </c>
      <c r="BA51" s="85">
        <v>43.048437422833103</v>
      </c>
      <c r="BB51" s="85">
        <v>3.3787695895949499</v>
      </c>
      <c r="BC51" s="85">
        <v>117.25461764856399</v>
      </c>
      <c r="BD51" s="85">
        <v>7.2657646928190998</v>
      </c>
    </row>
    <row r="52" spans="1:56" ht="11.25" customHeight="1" x14ac:dyDescent="0.25">
      <c r="A52" s="124"/>
      <c r="B52" s="124"/>
      <c r="C52" s="124"/>
      <c r="D52" s="124"/>
      <c r="E52" s="124"/>
      <c r="F52" s="124"/>
      <c r="G52" s="28" t="s">
        <v>88</v>
      </c>
      <c r="H52" s="28" t="s">
        <v>86</v>
      </c>
      <c r="I52" s="28">
        <f>'MERCADO TUSD'!$U$49</f>
        <v>2507.7720000000004</v>
      </c>
      <c r="J52" s="18"/>
      <c r="L52" s="85">
        <f>('TUSD BE'!$L$52+'TUSD BF'!$L$52+'TUSD CVA'!$L$52)*1</f>
        <v>14.099336508183265</v>
      </c>
      <c r="M52" s="85">
        <f>('TUSD BE'!$M$52+'TUSD BF'!$M$52+'TUSD CVA'!$M$52)*1</f>
        <v>0.87106496021258417</v>
      </c>
      <c r="N52" s="85">
        <f ca="1">('TUSD BE'!$N$52+'TUSD BF'!$N$52+'TUSD CVA'!$N$52)*1</f>
        <v>4.6744402535248977</v>
      </c>
      <c r="O52" s="85">
        <f>('TUSD BE'!$O$52+'TUSD BF'!$O$52+'TUSD CVA'!$O$52)*1</f>
        <v>0</v>
      </c>
      <c r="P52" s="85">
        <f>('TUSD BE'!$P$52+'TUSD BF'!$P$52+'TUSD CVA'!$P$52)*1</f>
        <v>0</v>
      </c>
      <c r="Q52" s="85">
        <f>('TUSD BE'!$Q$52+'TUSD BF'!$Q$52+'TUSD CVA'!$Q$52)*1</f>
        <v>21.755992934527161</v>
      </c>
      <c r="R52" s="85">
        <f>('TUSD BE'!$R$52+'TUSD BF'!$R$52+'TUSD CVA'!$R$52)*1</f>
        <v>10.616102591746483</v>
      </c>
      <c r="S52" s="85">
        <f>('TUSD BE'!$S$52+'TUSD BF'!$S$52+'TUSD CVA'!$S$52)*1</f>
        <v>0</v>
      </c>
      <c r="T52" s="85">
        <f>('TUSD BE'!$U$52+'TUSD BF'!$U$52+'TUSD CVA'!$U$52)*1</f>
        <v>30.472439158049518</v>
      </c>
      <c r="U52" s="85">
        <f>('TUSD BE'!$V$52+'TUSD BF'!$V$52+'TUSD CVA'!$V$52)*1</f>
        <v>0.37628935143882269</v>
      </c>
      <c r="V52" s="85">
        <f>('TUSD BE'!$W$52+'TUSD BF'!$W$52+'TUSD CVA'!$W$52)*1</f>
        <v>5.1310318969814445E-2</v>
      </c>
      <c r="W52" s="85">
        <f>('TUSD BE'!$X$52+'TUSD BF'!$X$52+'TUSD CVA'!$X$52)*1</f>
        <v>0</v>
      </c>
      <c r="X52" s="85">
        <f>('TUSD BE'!$Y$52+'TUSD BF'!$Y$52+'TUSD CVA'!$Y$52)*1</f>
        <v>-1.3257277108412666E-3</v>
      </c>
      <c r="Y52" s="85">
        <f>('TUSD BE'!$Z$52+'TUSD BF'!$Z$52+'TUSD CVA'!$Z$52)*1</f>
        <v>0</v>
      </c>
      <c r="Z52" s="85">
        <f>('TUSD BE'!$AA$52+'TUSD BF'!$AA$52+'TUSD CVA'!$AA$52)*1</f>
        <v>0</v>
      </c>
      <c r="AA52" s="85">
        <f>('TUSD BE'!$AC$52+'TUSD BF'!$AC$52+'TUSD CVA'!$AC$52)*1</f>
        <v>165.63772478599742</v>
      </c>
      <c r="AB52" s="85">
        <f ca="1">('TUSD BE'!$AE$52+'TUSD BF'!$AE$52+'TUSD CVA'!$AE$52)*1</f>
        <v>0</v>
      </c>
      <c r="AC52" s="85">
        <f ca="1">('TUSD BE'!$AF$52+'TUSD BF'!$AF$52+'TUSD CVA'!$AF$52)*1</f>
        <v>0</v>
      </c>
      <c r="AD52" s="85">
        <f>('TUSD BE'!$AH$52+'TUSD BF'!$AH$52+'TUSD CVA'!$AH$52)*1</f>
        <v>46.051020413290445</v>
      </c>
      <c r="AE52" s="85">
        <f>('TUSD BE'!$AI$52+'TUSD BF'!$AI$52+'TUSD CVA'!$AI$52)*1</f>
        <v>3.3162126607910625</v>
      </c>
      <c r="AF52" s="85">
        <f ca="1">('TUSD BE'!$AJ$52+'TUSD BF'!$AJ$52+'TUSD CVA'!$AJ$52)*1</f>
        <v>113.90563608700874</v>
      </c>
      <c r="AG52" s="85">
        <f ca="1">('TUSD BE'!$AK$52+'TUSD BF'!$AK$52+'TUSD CVA'!$AK$52)*1</f>
        <v>17.626736851338872</v>
      </c>
      <c r="AI52" s="85">
        <v>0</v>
      </c>
      <c r="AJ52" s="85">
        <v>0.73362356836047904</v>
      </c>
      <c r="AK52" s="85">
        <v>4.2854985383124902</v>
      </c>
      <c r="AL52" s="85">
        <v>0</v>
      </c>
      <c r="AM52" s="85">
        <v>0</v>
      </c>
      <c r="AN52" s="85">
        <v>22.237206444064</v>
      </c>
      <c r="AO52" s="85">
        <v>7.5520246477920896</v>
      </c>
      <c r="AP52" s="85">
        <v>0</v>
      </c>
      <c r="AQ52" s="85">
        <v>23.9626339707185</v>
      </c>
      <c r="AR52" s="85">
        <v>3.9012568111351</v>
      </c>
      <c r="AS52" s="85">
        <v>-0.27839696998366598</v>
      </c>
      <c r="AT52" s="85">
        <v>0</v>
      </c>
      <c r="AU52" s="85">
        <v>0.122060290692979</v>
      </c>
      <c r="AV52" s="85">
        <v>0</v>
      </c>
      <c r="AW52" s="85">
        <v>0</v>
      </c>
      <c r="AX52" s="85">
        <v>147.87219391612001</v>
      </c>
      <c r="AY52" s="85">
        <v>0</v>
      </c>
      <c r="AZ52" s="85">
        <v>0</v>
      </c>
      <c r="BA52" s="85">
        <v>43.048437422833103</v>
      </c>
      <c r="BB52" s="85">
        <v>3.3787695895949499</v>
      </c>
      <c r="BC52" s="85">
        <v>117.25461764856399</v>
      </c>
      <c r="BD52" s="85">
        <v>7.2657646928190998</v>
      </c>
    </row>
    <row r="53" spans="1:56" ht="11.25" customHeight="1" x14ac:dyDescent="0.25">
      <c r="A53" s="124"/>
      <c r="B53" s="86" t="s">
        <v>23</v>
      </c>
      <c r="C53" s="86" t="s">
        <v>25</v>
      </c>
      <c r="D53" s="86" t="s">
        <v>25</v>
      </c>
      <c r="E53" s="86" t="s">
        <v>25</v>
      </c>
      <c r="F53" s="86" t="s">
        <v>25</v>
      </c>
      <c r="G53" s="28" t="s">
        <v>92</v>
      </c>
      <c r="H53" s="28" t="s">
        <v>86</v>
      </c>
      <c r="I53" s="28">
        <f>'MERCADO TUSD'!$U$50</f>
        <v>849619.68099999998</v>
      </c>
      <c r="J53" s="18"/>
      <c r="L53" s="85">
        <f>('TUSD BE'!$L$53+'TUSD BF'!$L$53+'TUSD CVA'!$L$53)*1</f>
        <v>14.099336508183265</v>
      </c>
      <c r="M53" s="85">
        <f>('TUSD BE'!$M$53+'TUSD BF'!$M$53+'TUSD CVA'!$M$53)*1</f>
        <v>0.87106496021258417</v>
      </c>
      <c r="N53" s="85">
        <f ca="1">('TUSD BE'!$N$53+'TUSD BF'!$N$53+'TUSD CVA'!$N$53)*1</f>
        <v>5.3104788009697641</v>
      </c>
      <c r="O53" s="85">
        <f>('TUSD BE'!$O$53+'TUSD BF'!$O$53+'TUSD CVA'!$O$53)*1</f>
        <v>0</v>
      </c>
      <c r="P53" s="85">
        <f>('TUSD BE'!$P$53+'TUSD BF'!$P$53+'TUSD CVA'!$P$53)*1</f>
        <v>0</v>
      </c>
      <c r="Q53" s="85">
        <f>('TUSD BE'!$Q$53+'TUSD BF'!$Q$53+'TUSD CVA'!$Q$53)*1</f>
        <v>21.755992934527161</v>
      </c>
      <c r="R53" s="85">
        <f>('TUSD BE'!$R$53+'TUSD BF'!$R$53+'TUSD CVA'!$R$53)*1</f>
        <v>10.616102591746483</v>
      </c>
      <c r="S53" s="85">
        <f>('TUSD BE'!$S$53+'TUSD BF'!$S$53+'TUSD CVA'!$S$53)*1</f>
        <v>0</v>
      </c>
      <c r="T53" s="85">
        <f>('TUSD BE'!$U$53+'TUSD BF'!$U$53+'TUSD CVA'!$U$53)*1</f>
        <v>42.322764483604416</v>
      </c>
      <c r="U53" s="85">
        <f>('TUSD BE'!$V$53+'TUSD BF'!$V$53+'TUSD CVA'!$V$53)*1</f>
        <v>0.52261746968550549</v>
      </c>
      <c r="V53" s="85">
        <f>('TUSD BE'!$W$53+'TUSD BF'!$W$53+'TUSD CVA'!$W$53)*1</f>
        <v>7.1263230018764334E-2</v>
      </c>
      <c r="W53" s="85">
        <f>('TUSD BE'!$X$53+'TUSD BF'!$X$53+'TUSD CVA'!$X$53)*1</f>
        <v>0</v>
      </c>
      <c r="X53" s="85">
        <f>('TUSD BE'!$Y$53+'TUSD BF'!$Y$53+'TUSD CVA'!$Y$53)*1</f>
        <v>-1.8416681343903091E-3</v>
      </c>
      <c r="Y53" s="85">
        <f>('TUSD BE'!$Z$53+'TUSD BF'!$Z$53+'TUSD CVA'!$Z$53)*1</f>
        <v>0</v>
      </c>
      <c r="Z53" s="85">
        <f>('TUSD BE'!$AA$53+'TUSD BF'!$AA$53+'TUSD CVA'!$AA$53)*1</f>
        <v>0</v>
      </c>
      <c r="AA53" s="85">
        <f>('TUSD BE'!$AC$53+'TUSD BF'!$AC$53+'TUSD CVA'!$AC$53)*1</f>
        <v>230.05245855198956</v>
      </c>
      <c r="AB53" s="85">
        <f ca="1">('TUSD BE'!$AE$53+'TUSD BF'!$AE$53+'TUSD CVA'!$AE$53)*1</f>
        <v>0</v>
      </c>
      <c r="AC53" s="85">
        <f ca="1">('TUSD BE'!$AF$53+'TUSD BF'!$AF$53+'TUSD CVA'!$AF$53)*1</f>
        <v>0</v>
      </c>
      <c r="AD53" s="85">
        <f>('TUSD BE'!$AH$53+'TUSD BF'!$AH$53+'TUSD CVA'!$AH$53)*1</f>
        <v>46.051020413290445</v>
      </c>
      <c r="AE53" s="85">
        <f>('TUSD BE'!$AI$53+'TUSD BF'!$AI$53+'TUSD CVA'!$AI$53)*1</f>
        <v>3.3162126607910625</v>
      </c>
      <c r="AF53" s="85">
        <f ca="1">('TUSD BE'!$AJ$53+'TUSD BF'!$AJ$53+'TUSD CVA'!$AJ$53)*1</f>
        <v>113.90563608700874</v>
      </c>
      <c r="AG53" s="85">
        <f ca="1">('TUSD BE'!$AK$53+'TUSD BF'!$AK$53+'TUSD CVA'!$AK$53)*1</f>
        <v>17.626736851338872</v>
      </c>
      <c r="AI53" s="85">
        <v>0</v>
      </c>
      <c r="AJ53" s="85">
        <v>0.73362356836047904</v>
      </c>
      <c r="AK53" s="85">
        <v>4.8609046975267098</v>
      </c>
      <c r="AL53" s="85">
        <v>0</v>
      </c>
      <c r="AM53" s="85">
        <v>0</v>
      </c>
      <c r="AN53" s="85">
        <v>22.237206444064</v>
      </c>
      <c r="AO53" s="85">
        <v>7.5520246477920896</v>
      </c>
      <c r="AP53" s="85">
        <v>0</v>
      </c>
      <c r="AQ53" s="85">
        <v>33.281382848594099</v>
      </c>
      <c r="AR53" s="85">
        <v>5.4183435046267796</v>
      </c>
      <c r="AS53" s="85">
        <v>-0.38665647976471301</v>
      </c>
      <c r="AT53" s="85">
        <v>0</v>
      </c>
      <c r="AU53" s="85">
        <v>0.16956313578225701</v>
      </c>
      <c r="AV53" s="85">
        <v>0</v>
      </c>
      <c r="AW53" s="85">
        <v>0</v>
      </c>
      <c r="AX53" s="85">
        <v>205.37810336281399</v>
      </c>
      <c r="AY53" s="85">
        <v>0</v>
      </c>
      <c r="AZ53" s="85">
        <v>0</v>
      </c>
      <c r="BA53" s="85">
        <v>43.048437422833103</v>
      </c>
      <c r="BB53" s="85">
        <v>3.3787695895949499</v>
      </c>
      <c r="BC53" s="85">
        <v>117.25461764856399</v>
      </c>
      <c r="BD53" s="85">
        <v>7.2657646928190998</v>
      </c>
    </row>
    <row r="54" spans="1:56" ht="11.25" customHeight="1" x14ac:dyDescent="0.25">
      <c r="A54" s="124"/>
      <c r="B54" s="86" t="s">
        <v>100</v>
      </c>
      <c r="C54" s="86" t="s">
        <v>25</v>
      </c>
      <c r="D54" s="86" t="s">
        <v>25</v>
      </c>
      <c r="E54" s="86" t="s">
        <v>25</v>
      </c>
      <c r="F54" s="86" t="s">
        <v>25</v>
      </c>
      <c r="G54" s="28" t="s">
        <v>92</v>
      </c>
      <c r="H54" s="28" t="s">
        <v>86</v>
      </c>
      <c r="I54" s="28">
        <f>'MERCADO TUSD'!$U$51</f>
        <v>0</v>
      </c>
      <c r="J54" s="18"/>
      <c r="L54" s="85">
        <f>('TUSD BE'!$L$54+'TUSD BF'!$L$54+'TUSD CVA'!$L$54)*1</f>
        <v>14.099336508183265</v>
      </c>
      <c r="M54" s="85">
        <f>('TUSD BE'!$M$54+'TUSD BF'!$M$54+'TUSD CVA'!$M$54)*1</f>
        <v>0.87106496021258417</v>
      </c>
      <c r="N54" s="85">
        <f ca="1">('TUSD BE'!$N$54+'TUSD BF'!$N$54+'TUSD CVA'!$N$54)*1</f>
        <v>5.3104788009697641</v>
      </c>
      <c r="O54" s="85">
        <f>('TUSD BE'!$O$54+'TUSD BF'!$O$54+'TUSD CVA'!$O$54)*1</f>
        <v>0</v>
      </c>
      <c r="P54" s="85">
        <f>('TUSD BE'!$P$54+'TUSD BF'!$P$54+'TUSD CVA'!$P$54)*1</f>
        <v>0</v>
      </c>
      <c r="Q54" s="85">
        <f>('TUSD BE'!$Q$54+'TUSD BF'!$Q$54+'TUSD CVA'!$Q$54)*1</f>
        <v>21.755992934527161</v>
      </c>
      <c r="R54" s="85">
        <f>('TUSD BE'!$R$54+'TUSD BF'!$R$54+'TUSD CVA'!$R$54)*1</f>
        <v>10.616102591746483</v>
      </c>
      <c r="S54" s="85">
        <f>('TUSD BE'!$S$54+'TUSD BF'!$S$54+'TUSD CVA'!$S$54)*1</f>
        <v>0</v>
      </c>
      <c r="T54" s="85">
        <f>('TUSD BE'!$U$54+'TUSD BF'!$U$54+'TUSD CVA'!$U$54)*1</f>
        <v>42.322764483604416</v>
      </c>
      <c r="U54" s="85">
        <f>('TUSD BE'!$V$54+'TUSD BF'!$V$54+'TUSD CVA'!$V$54)*1</f>
        <v>0.52261746968550549</v>
      </c>
      <c r="V54" s="85">
        <f>('TUSD BE'!$W$54+'TUSD BF'!$W$54+'TUSD CVA'!$W$54)*1</f>
        <v>7.1263230018764334E-2</v>
      </c>
      <c r="W54" s="85">
        <f>('TUSD BE'!$X$54+'TUSD BF'!$X$54+'TUSD CVA'!$X$54)*1</f>
        <v>0</v>
      </c>
      <c r="X54" s="85">
        <f>('TUSD BE'!$Y$54+'TUSD BF'!$Y$54+'TUSD CVA'!$Y$54)*1</f>
        <v>-1.8416681343903091E-3</v>
      </c>
      <c r="Y54" s="85">
        <f>('TUSD BE'!$Z$54+'TUSD BF'!$Z$54+'TUSD CVA'!$Z$54)*1</f>
        <v>0</v>
      </c>
      <c r="Z54" s="85">
        <f>('TUSD BE'!$AA$54+'TUSD BF'!$AA$54+'TUSD CVA'!$AA$54)*1</f>
        <v>0</v>
      </c>
      <c r="AA54" s="85">
        <f>('TUSD BE'!$AC$54+'TUSD BF'!$AC$54+'TUSD CVA'!$AC$54)*1</f>
        <v>230.05245855198956</v>
      </c>
      <c r="AB54" s="85">
        <f ca="1">('TUSD BE'!$AE$54+'TUSD BF'!$AE$54+'TUSD CVA'!$AE$54)*1</f>
        <v>0</v>
      </c>
      <c r="AC54" s="85">
        <f ca="1">('TUSD BE'!$AF$54+'TUSD BF'!$AF$54+'TUSD CVA'!$AF$54)*1</f>
        <v>0</v>
      </c>
      <c r="AD54" s="85">
        <f>('TUSD BE'!$AH$54+'TUSD BF'!$AH$54+'TUSD CVA'!$AH$54)*1</f>
        <v>46.051020413290445</v>
      </c>
      <c r="AE54" s="85">
        <f>('TUSD BE'!$AI$54+'TUSD BF'!$AI$54+'TUSD CVA'!$AI$54)*1</f>
        <v>3.3162126607910625</v>
      </c>
      <c r="AF54" s="85">
        <f ca="1">('TUSD BE'!$AJ$54+'TUSD BF'!$AJ$54+'TUSD CVA'!$AJ$54)*1</f>
        <v>113.90563608700874</v>
      </c>
      <c r="AG54" s="85">
        <f ca="1">('TUSD BE'!$AK$54+'TUSD BF'!$AK$54+'TUSD CVA'!$AK$54)*1</f>
        <v>17.626736851338872</v>
      </c>
      <c r="AI54" s="85">
        <v>0</v>
      </c>
      <c r="AJ54" s="85">
        <v>0.73362356836047904</v>
      </c>
      <c r="AK54" s="85">
        <v>4.8609046975267098</v>
      </c>
      <c r="AL54" s="85">
        <v>0</v>
      </c>
      <c r="AM54" s="85">
        <v>0</v>
      </c>
      <c r="AN54" s="85">
        <v>22.237206444064</v>
      </c>
      <c r="AO54" s="85">
        <v>7.5520246477920896</v>
      </c>
      <c r="AP54" s="85">
        <v>0</v>
      </c>
      <c r="AQ54" s="85">
        <v>33.281382848594099</v>
      </c>
      <c r="AR54" s="85">
        <v>5.4183435046267796</v>
      </c>
      <c r="AS54" s="85">
        <v>-0.38665647976471301</v>
      </c>
      <c r="AT54" s="85">
        <v>0</v>
      </c>
      <c r="AU54" s="85">
        <v>0.16956313578225701</v>
      </c>
      <c r="AV54" s="85">
        <v>0</v>
      </c>
      <c r="AW54" s="85">
        <v>0</v>
      </c>
      <c r="AX54" s="85">
        <v>205.37810336281399</v>
      </c>
      <c r="AY54" s="85">
        <v>0</v>
      </c>
      <c r="AZ54" s="85">
        <v>0</v>
      </c>
      <c r="BA54" s="85">
        <v>43.048437422833103</v>
      </c>
      <c r="BB54" s="85">
        <v>3.3787695895949499</v>
      </c>
      <c r="BC54" s="85">
        <v>117.25461764856399</v>
      </c>
      <c r="BD54" s="85">
        <v>7.2657646928190998</v>
      </c>
    </row>
    <row r="55" spans="1:56" ht="11.25" customHeight="1" x14ac:dyDescent="0.25">
      <c r="A55" s="124" t="s">
        <v>49</v>
      </c>
      <c r="B55" s="124" t="s">
        <v>23</v>
      </c>
      <c r="C55" s="124" t="s">
        <v>50</v>
      </c>
      <c r="D55" s="86" t="s">
        <v>51</v>
      </c>
      <c r="E55" s="86" t="s">
        <v>25</v>
      </c>
      <c r="F55" s="86" t="s">
        <v>25</v>
      </c>
      <c r="G55" s="28" t="s">
        <v>92</v>
      </c>
      <c r="H55" s="28" t="s">
        <v>86</v>
      </c>
      <c r="I55" s="28">
        <f>'MERCADO TUSD'!$U$52</f>
        <v>200182.10399999999</v>
      </c>
      <c r="J55" s="18"/>
      <c r="L55" s="85">
        <f>('TUSD BE'!$L$55+'TUSD BF'!$L$55+'TUSD CVA'!$L$55)*1</f>
        <v>7.7546350795007966</v>
      </c>
      <c r="M55" s="85">
        <f>('TUSD BE'!$M$55+'TUSD BF'!$M$55+'TUSD CVA'!$M$55)*1</f>
        <v>0.47908572811692135</v>
      </c>
      <c r="N55" s="85">
        <f ca="1">('TUSD BE'!$N$55+'TUSD BF'!$N$55+'TUSD CVA'!$N$55)*1</f>
        <v>2.9207633405333708</v>
      </c>
      <c r="O55" s="85">
        <f>('TUSD BE'!$O$55+'TUSD BF'!$O$55+'TUSD CVA'!$O$55)*1</f>
        <v>0</v>
      </c>
      <c r="P55" s="85">
        <f>('TUSD BE'!$P$55+'TUSD BF'!$P$55+'TUSD CVA'!$P$55)*1</f>
        <v>0</v>
      </c>
      <c r="Q55" s="85">
        <f>('TUSD BE'!$Q$55+'TUSD BF'!$Q$55+'TUSD CVA'!$Q$55)*1</f>
        <v>11.965796113989937</v>
      </c>
      <c r="R55" s="85">
        <f>('TUSD BE'!$R$55+'TUSD BF'!$R$55+'TUSD CVA'!$R$55)*1</f>
        <v>5.838856425460567</v>
      </c>
      <c r="S55" s="85">
        <f>('TUSD BE'!$S$55+'TUSD BF'!$S$55+'TUSD CVA'!$S$55)*1</f>
        <v>0</v>
      </c>
      <c r="T55" s="85">
        <f>('TUSD BE'!$U$55+'TUSD BF'!$U$55+'TUSD CVA'!$U$55)*1</f>
        <v>23.27752046598243</v>
      </c>
      <c r="U55" s="85">
        <f>('TUSD BE'!$V$55+'TUSD BF'!$V$55+'TUSD CVA'!$V$55)*1</f>
        <v>0.28743960832702803</v>
      </c>
      <c r="V55" s="85">
        <f>('TUSD BE'!$W$55+'TUSD BF'!$W$55+'TUSD CVA'!$W$55)*1</f>
        <v>3.9194776510320384E-2</v>
      </c>
      <c r="W55" s="85">
        <f>('TUSD BE'!$X$55+'TUSD BF'!$X$55+'TUSD CVA'!$X$55)*1</f>
        <v>0</v>
      </c>
      <c r="X55" s="85">
        <f>('TUSD BE'!$Y$55+'TUSD BF'!$Y$55+'TUSD CVA'!$Y$55)*1</f>
        <v>-1.0129174739146735E-3</v>
      </c>
      <c r="Y55" s="85">
        <f>('TUSD BE'!$Z$55+'TUSD BF'!$Z$55+'TUSD CVA'!$Z$55)*1</f>
        <v>0</v>
      </c>
      <c r="Z55" s="85">
        <f>('TUSD BE'!$AA$55+'TUSD BF'!$AA$55+'TUSD CVA'!$AA$55)*1</f>
        <v>0</v>
      </c>
      <c r="AA55" s="85">
        <f>('TUSD BE'!$AC$55+'TUSD BF'!$AC$55+'TUSD CVA'!$AC$55)*1</f>
        <v>126.52885220359427</v>
      </c>
      <c r="AB55" s="85">
        <f ca="1">('TUSD BE'!$AE$55+'TUSD BF'!$AE$55+'TUSD CVA'!$AE$55)*1</f>
        <v>0</v>
      </c>
      <c r="AC55" s="85">
        <f ca="1">('TUSD BE'!$AF$55+'TUSD BF'!$AF$55+'TUSD CVA'!$AF$55)*1</f>
        <v>0</v>
      </c>
      <c r="AD55" s="85">
        <f>('TUSD BE'!$AH$55+'TUSD BF'!$AH$55+'TUSD CVA'!$AH$55)*1</f>
        <v>25.328061227309746</v>
      </c>
      <c r="AE55" s="85">
        <f>('TUSD BE'!$AI$55+'TUSD BF'!$AI$55+'TUSD CVA'!$AI$55)*1</f>
        <v>1.8239169634350845</v>
      </c>
      <c r="AF55" s="85">
        <f ca="1">('TUSD BE'!$AJ$55+'TUSD BF'!$AJ$55+'TUSD CVA'!$AJ$55)*1</f>
        <v>62.648099847854809</v>
      </c>
      <c r="AG55" s="85">
        <f ca="1">('TUSD BE'!$AK$55+'TUSD BF'!$AK$55+'TUSD CVA'!$AK$55)*1</f>
        <v>9.6947052682363797</v>
      </c>
      <c r="AI55" s="85">
        <v>0</v>
      </c>
      <c r="AJ55" s="85">
        <v>0.403492962598264</v>
      </c>
      <c r="AK55" s="85">
        <v>2.6734975836396901</v>
      </c>
      <c r="AL55" s="85">
        <v>0</v>
      </c>
      <c r="AM55" s="85">
        <v>0</v>
      </c>
      <c r="AN55" s="85">
        <v>12.230463544235199</v>
      </c>
      <c r="AO55" s="85">
        <v>4.1536135562856504</v>
      </c>
      <c r="AP55" s="85">
        <v>0</v>
      </c>
      <c r="AQ55" s="85">
        <v>18.304760566726799</v>
      </c>
      <c r="AR55" s="85">
        <v>2.9800889275447302</v>
      </c>
      <c r="AS55" s="85">
        <v>-0.212661063870592</v>
      </c>
      <c r="AT55" s="85">
        <v>0</v>
      </c>
      <c r="AU55" s="85">
        <v>9.3259724680241296E-2</v>
      </c>
      <c r="AV55" s="85">
        <v>0</v>
      </c>
      <c r="AW55" s="85">
        <v>0</v>
      </c>
      <c r="AX55" s="85">
        <v>112.957956849548</v>
      </c>
      <c r="AY55" s="85">
        <v>0</v>
      </c>
      <c r="AZ55" s="85">
        <v>0</v>
      </c>
      <c r="BA55" s="85">
        <v>23.6766405825582</v>
      </c>
      <c r="BB55" s="85">
        <v>1.85832327427722</v>
      </c>
      <c r="BC55" s="85">
        <v>64.490039706710107</v>
      </c>
      <c r="BD55" s="85">
        <v>3.9961705810505102</v>
      </c>
    </row>
    <row r="56" spans="1:56" ht="11.25" customHeight="1" x14ac:dyDescent="0.25">
      <c r="A56" s="124"/>
      <c r="B56" s="124"/>
      <c r="C56" s="124"/>
      <c r="D56" s="28" t="s">
        <v>102</v>
      </c>
      <c r="E56" s="28" t="s">
        <v>25</v>
      </c>
      <c r="F56" s="28" t="s">
        <v>25</v>
      </c>
      <c r="G56" s="28" t="s">
        <v>92</v>
      </c>
      <c r="H56" s="28" t="s">
        <v>86</v>
      </c>
      <c r="I56" s="28">
        <f>'MERCADO TUSD'!$U$53</f>
        <v>0</v>
      </c>
      <c r="J56" s="18"/>
      <c r="L56" s="85">
        <f>('TUSD BE'!$L$56+'TUSD BF'!$L$56+'TUSD CVA'!$L$56)*1</f>
        <v>8.4596019049099596</v>
      </c>
      <c r="M56" s="85">
        <f>('TUSD BE'!$M$56+'TUSD BF'!$M$56+'TUSD CVA'!$M$56)*1</f>
        <v>0.5226389761275505</v>
      </c>
      <c r="N56" s="85">
        <f ca="1">('TUSD BE'!$N$56+'TUSD BF'!$N$56+'TUSD CVA'!$N$56)*1</f>
        <v>3.1862872805818592</v>
      </c>
      <c r="O56" s="85">
        <f>('TUSD BE'!$O$56+'TUSD BF'!$O$56+'TUSD CVA'!$O$56)*1</f>
        <v>0</v>
      </c>
      <c r="P56" s="85">
        <f>('TUSD BE'!$P$56+'TUSD BF'!$P$56+'TUSD CVA'!$P$56)*1</f>
        <v>0</v>
      </c>
      <c r="Q56" s="85">
        <f>('TUSD BE'!$Q$56+'TUSD BF'!$Q$56+'TUSD CVA'!$Q$56)*1</f>
        <v>13.053595760716295</v>
      </c>
      <c r="R56" s="85">
        <f>('TUSD BE'!$R$56+'TUSD BF'!$R$56+'TUSD CVA'!$R$56)*1</f>
        <v>6.369661555047891</v>
      </c>
      <c r="S56" s="85">
        <f>('TUSD BE'!$S$56+'TUSD BF'!$S$56+'TUSD CVA'!$S$56)*1</f>
        <v>0</v>
      </c>
      <c r="T56" s="85">
        <f>('TUSD BE'!$U$56+'TUSD BF'!$U$56+'TUSD CVA'!$U$56)*1</f>
        <v>25.393658690162649</v>
      </c>
      <c r="U56" s="85">
        <f>('TUSD BE'!$V$56+'TUSD BF'!$V$56+'TUSD CVA'!$V$56)*1</f>
        <v>0.31357048181130331</v>
      </c>
      <c r="V56" s="85">
        <f>('TUSD BE'!$W$56+'TUSD BF'!$W$56+'TUSD CVA'!$W$56)*1</f>
        <v>4.27579380112586E-2</v>
      </c>
      <c r="W56" s="85">
        <f>('TUSD BE'!$X$56+'TUSD BF'!$X$56+'TUSD CVA'!$X$56)*1</f>
        <v>0</v>
      </c>
      <c r="X56" s="85">
        <f>('TUSD BE'!$Y$56+'TUSD BF'!$Y$56+'TUSD CVA'!$Y$56)*1</f>
        <v>-1.1050008806341854E-3</v>
      </c>
      <c r="Y56" s="85">
        <f>('TUSD BE'!$Z$56+'TUSD BF'!$Z$56+'TUSD CVA'!$Z$56)*1</f>
        <v>0</v>
      </c>
      <c r="Z56" s="85">
        <f>('TUSD BE'!$AA$56+'TUSD BF'!$AA$56+'TUSD CVA'!$AA$56)*1</f>
        <v>0</v>
      </c>
      <c r="AA56" s="85">
        <f>('TUSD BE'!$AC$56+'TUSD BF'!$AC$56+'TUSD CVA'!$AC$56)*1</f>
        <v>138.03147513119373</v>
      </c>
      <c r="AB56" s="85">
        <f ca="1">('TUSD BE'!$AE$56+'TUSD BF'!$AE$56+'TUSD CVA'!$AE$56)*1</f>
        <v>0</v>
      </c>
      <c r="AC56" s="85">
        <f ca="1">('TUSD BE'!$AF$56+'TUSD BF'!$AF$56+'TUSD CVA'!$AF$56)*1</f>
        <v>0</v>
      </c>
      <c r="AD56" s="85">
        <f>('TUSD BE'!$AH$56+'TUSD BF'!$AH$56+'TUSD CVA'!$AH$56)*1</f>
        <v>27.630612247974263</v>
      </c>
      <c r="AE56" s="85">
        <f>('TUSD BE'!$AI$56+'TUSD BF'!$AI$56+'TUSD CVA'!$AI$56)*1</f>
        <v>1.9897275964746375</v>
      </c>
      <c r="AF56" s="85">
        <f ca="1">('TUSD BE'!$AJ$56+'TUSD BF'!$AJ$56+'TUSD CVA'!$AJ$56)*1</f>
        <v>68.343381652205238</v>
      </c>
      <c r="AG56" s="85">
        <f ca="1">('TUSD BE'!$AK$56+'TUSD BF'!$AK$56+'TUSD CVA'!$AK$56)*1</f>
        <v>10.576042110803323</v>
      </c>
      <c r="AI56" s="85">
        <v>0</v>
      </c>
      <c r="AJ56" s="85">
        <v>0.44017414101628799</v>
      </c>
      <c r="AK56" s="85">
        <v>2.91654281851602</v>
      </c>
      <c r="AL56" s="85">
        <v>0</v>
      </c>
      <c r="AM56" s="85">
        <v>0</v>
      </c>
      <c r="AN56" s="85">
        <v>13.342323866438401</v>
      </c>
      <c r="AO56" s="85">
        <v>4.5312147886752498</v>
      </c>
      <c r="AP56" s="85">
        <v>0</v>
      </c>
      <c r="AQ56" s="85">
        <v>19.968829709156498</v>
      </c>
      <c r="AR56" s="85">
        <v>3.2510061027760702</v>
      </c>
      <c r="AS56" s="85">
        <v>-0.23199388785882799</v>
      </c>
      <c r="AT56" s="85">
        <v>0</v>
      </c>
      <c r="AU56" s="85">
        <v>0.101737881469354</v>
      </c>
      <c r="AV56" s="85">
        <v>0</v>
      </c>
      <c r="AW56" s="85">
        <v>0</v>
      </c>
      <c r="AX56" s="85">
        <v>123.22686201768801</v>
      </c>
      <c r="AY56" s="85">
        <v>0</v>
      </c>
      <c r="AZ56" s="85">
        <v>0</v>
      </c>
      <c r="BA56" s="85">
        <v>25.829062453699901</v>
      </c>
      <c r="BB56" s="85">
        <v>2.0272617537569699</v>
      </c>
      <c r="BC56" s="85">
        <v>70.352770589138302</v>
      </c>
      <c r="BD56" s="85">
        <v>4.3594588156914602</v>
      </c>
    </row>
    <row r="58" spans="1:56" ht="11.25" customHeight="1" x14ac:dyDescent="0.25">
      <c r="L58" s="125" t="s">
        <v>948</v>
      </c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I58" s="125" t="s">
        <v>949</v>
      </c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</row>
    <row r="59" spans="1:56" ht="11.25" customHeight="1" x14ac:dyDescent="0.25">
      <c r="L59" s="125" t="s">
        <v>646</v>
      </c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I59" s="125" t="s">
        <v>646</v>
      </c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/>
    </row>
    <row r="60" spans="1:56" ht="11.25" customHeight="1" x14ac:dyDescent="0.25">
      <c r="L60" s="125" t="s">
        <v>647</v>
      </c>
      <c r="M60" s="125"/>
      <c r="N60" s="125"/>
      <c r="O60" s="125"/>
      <c r="P60" s="125"/>
      <c r="Q60" s="125"/>
      <c r="R60" s="125"/>
      <c r="S60" s="125"/>
      <c r="T60" s="125" t="s">
        <v>656</v>
      </c>
      <c r="U60" s="125"/>
      <c r="V60" s="125"/>
      <c r="W60" s="125"/>
      <c r="X60" s="125"/>
      <c r="Y60" s="125"/>
      <c r="Z60" s="125"/>
      <c r="AA60" s="87" t="s">
        <v>664</v>
      </c>
      <c r="AB60" s="125" t="s">
        <v>666</v>
      </c>
      <c r="AC60" s="125"/>
      <c r="AD60" s="125" t="s">
        <v>669</v>
      </c>
      <c r="AE60" s="125"/>
      <c r="AF60" s="125"/>
      <c r="AG60" s="125"/>
      <c r="AI60" s="125" t="s">
        <v>647</v>
      </c>
      <c r="AJ60" s="125"/>
      <c r="AK60" s="125"/>
      <c r="AL60" s="125"/>
      <c r="AM60" s="125"/>
      <c r="AN60" s="125"/>
      <c r="AO60" s="125"/>
      <c r="AP60" s="125"/>
      <c r="AQ60" s="125" t="s">
        <v>656</v>
      </c>
      <c r="AR60" s="125"/>
      <c r="AS60" s="125"/>
      <c r="AT60" s="125"/>
      <c r="AU60" s="125"/>
      <c r="AV60" s="125"/>
      <c r="AW60" s="125"/>
      <c r="AX60" s="87" t="s">
        <v>664</v>
      </c>
      <c r="AY60" s="125" t="s">
        <v>666</v>
      </c>
      <c r="AZ60" s="125"/>
      <c r="BA60" s="125" t="s">
        <v>669</v>
      </c>
      <c r="BB60" s="125"/>
      <c r="BC60" s="125"/>
      <c r="BD60" s="125"/>
    </row>
    <row r="61" spans="1:56" ht="11.25" customHeight="1" x14ac:dyDescent="0.25">
      <c r="L61" s="87" t="s">
        <v>731</v>
      </c>
      <c r="M61" s="87" t="s">
        <v>648</v>
      </c>
      <c r="N61" s="87" t="s">
        <v>649</v>
      </c>
      <c r="O61" s="87" t="s">
        <v>650</v>
      </c>
      <c r="P61" s="87" t="s">
        <v>651</v>
      </c>
      <c r="Q61" s="87" t="s">
        <v>652</v>
      </c>
      <c r="R61" s="87" t="s">
        <v>653</v>
      </c>
      <c r="S61" s="87" t="s">
        <v>654</v>
      </c>
      <c r="T61" s="87" t="s">
        <v>657</v>
      </c>
      <c r="U61" s="87" t="s">
        <v>658</v>
      </c>
      <c r="V61" s="87" t="s">
        <v>659</v>
      </c>
      <c r="W61" s="87" t="s">
        <v>660</v>
      </c>
      <c r="X61" s="87" t="s">
        <v>661</v>
      </c>
      <c r="Y61" s="87" t="s">
        <v>662</v>
      </c>
      <c r="Z61" s="87" t="s">
        <v>663</v>
      </c>
      <c r="AA61" s="87" t="s">
        <v>665</v>
      </c>
      <c r="AB61" s="87" t="s">
        <v>667</v>
      </c>
      <c r="AC61" s="87" t="s">
        <v>668</v>
      </c>
      <c r="AD61" s="87" t="s">
        <v>670</v>
      </c>
      <c r="AE61" s="87" t="s">
        <v>671</v>
      </c>
      <c r="AF61" s="87" t="s">
        <v>672</v>
      </c>
      <c r="AG61" s="87" t="s">
        <v>673</v>
      </c>
      <c r="AI61" s="87" t="s">
        <v>731</v>
      </c>
      <c r="AJ61" s="87" t="s">
        <v>648</v>
      </c>
      <c r="AK61" s="87" t="s">
        <v>649</v>
      </c>
      <c r="AL61" s="87" t="s">
        <v>650</v>
      </c>
      <c r="AM61" s="87" t="s">
        <v>651</v>
      </c>
      <c r="AN61" s="87" t="s">
        <v>652</v>
      </c>
      <c r="AO61" s="87" t="s">
        <v>653</v>
      </c>
      <c r="AP61" s="87" t="s">
        <v>654</v>
      </c>
      <c r="AQ61" s="87" t="s">
        <v>657</v>
      </c>
      <c r="AR61" s="87" t="s">
        <v>658</v>
      </c>
      <c r="AS61" s="87" t="s">
        <v>659</v>
      </c>
      <c r="AT61" s="87" t="s">
        <v>660</v>
      </c>
      <c r="AU61" s="87" t="s">
        <v>661</v>
      </c>
      <c r="AV61" s="87" t="s">
        <v>662</v>
      </c>
      <c r="AW61" s="87" t="s">
        <v>663</v>
      </c>
      <c r="AX61" s="87" t="s">
        <v>665</v>
      </c>
      <c r="AY61" s="87" t="s">
        <v>667</v>
      </c>
      <c r="AZ61" s="87" t="s">
        <v>668</v>
      </c>
      <c r="BA61" s="87" t="s">
        <v>670</v>
      </c>
      <c r="BB61" s="87" t="s">
        <v>671</v>
      </c>
      <c r="BC61" s="87" t="s">
        <v>672</v>
      </c>
      <c r="BD61" s="87" t="s">
        <v>673</v>
      </c>
    </row>
    <row r="62" spans="1:56" ht="11.25" customHeight="1" x14ac:dyDescent="0.25">
      <c r="A62" s="9" t="s">
        <v>43</v>
      </c>
      <c r="B62" s="9" t="s">
        <v>950</v>
      </c>
      <c r="C62" s="9" t="s">
        <v>951</v>
      </c>
      <c r="D62" s="9" t="s">
        <v>952</v>
      </c>
      <c r="E62" s="9" t="s">
        <v>953</v>
      </c>
      <c r="F62" s="9" t="s">
        <v>954</v>
      </c>
      <c r="G62" s="9" t="s">
        <v>955</v>
      </c>
      <c r="L62" s="85">
        <f>$I$5*$L$5</f>
        <v>0</v>
      </c>
      <c r="M62" s="85">
        <f>$I$5*$M$5</f>
        <v>0</v>
      </c>
      <c r="N62" s="85">
        <f ca="1">$I$5*$N$5</f>
        <v>0</v>
      </c>
      <c r="O62" s="85">
        <f>$I$5*$O$5</f>
        <v>0</v>
      </c>
      <c r="P62" s="85">
        <f>$I$5*$P$5</f>
        <v>0</v>
      </c>
      <c r="Q62" s="85">
        <f>$I$5*$Q$5</f>
        <v>0</v>
      </c>
      <c r="R62" s="85">
        <f>$I$5*$R$5</f>
        <v>0</v>
      </c>
      <c r="S62" s="85">
        <f>$I$5*$S$5</f>
        <v>0</v>
      </c>
      <c r="T62" s="85">
        <f>$I$5*$T$5</f>
        <v>9418989.9360301904</v>
      </c>
      <c r="U62" s="85">
        <f>$I$5*$U$5</f>
        <v>141118.03165679501</v>
      </c>
      <c r="V62" s="85">
        <f>$I$5*$V$5</f>
        <v>0</v>
      </c>
      <c r="W62" s="85">
        <f>$I$5*$W$5</f>
        <v>0</v>
      </c>
      <c r="X62" s="85">
        <f>$I$5*$X$5</f>
        <v>0</v>
      </c>
      <c r="Y62" s="85">
        <f>$I$5*$Y$5</f>
        <v>0</v>
      </c>
      <c r="Z62" s="85">
        <f>$I$5*$Z$5</f>
        <v>0</v>
      </c>
      <c r="AA62" s="85">
        <f>$I$5*$AA$5</f>
        <v>9786438.5783129167</v>
      </c>
      <c r="AB62" s="85">
        <f ca="1">$I$5*$AB$5</f>
        <v>0</v>
      </c>
      <c r="AC62" s="85">
        <f ca="1">$I$5*$AC$5</f>
        <v>0</v>
      </c>
      <c r="AD62" s="85">
        <f>$I$5*$AD$5</f>
        <v>0</v>
      </c>
      <c r="AE62" s="85">
        <f>$I$5*$AE$5</f>
        <v>0</v>
      </c>
      <c r="AF62" s="85">
        <f ca="1">$I$5*$AF$5</f>
        <v>0</v>
      </c>
      <c r="AG62" s="85">
        <f ca="1">$I$5*$AG$5</f>
        <v>0</v>
      </c>
      <c r="AI62" s="85">
        <f>$I$5*$AI$5</f>
        <v>0</v>
      </c>
      <c r="AJ62" s="85">
        <f>$I$5*$AJ$5</f>
        <v>0</v>
      </c>
      <c r="AK62" s="85">
        <f>$I$5*$AK$5</f>
        <v>0</v>
      </c>
      <c r="AL62" s="85">
        <f>$I$5*$AL$5</f>
        <v>0</v>
      </c>
      <c r="AM62" s="85">
        <f>$I$5*$AM$5</f>
        <v>0</v>
      </c>
      <c r="AN62" s="85">
        <f>$I$5*$AN$5</f>
        <v>0</v>
      </c>
      <c r="AO62" s="85">
        <f>$I$5*$AO$5</f>
        <v>0</v>
      </c>
      <c r="AP62" s="85">
        <f>$I$5*$AP$5</f>
        <v>0</v>
      </c>
      <c r="AQ62" s="85">
        <f>$I$5*$AQ$5</f>
        <v>7406817.913076411</v>
      </c>
      <c r="AR62" s="85">
        <f>$I$5*$AR$5</f>
        <v>1463070.0551847983</v>
      </c>
      <c r="AS62" s="85">
        <f>$I$5*$AS$5</f>
        <v>0</v>
      </c>
      <c r="AT62" s="85">
        <f>$I$5*$AT$5</f>
        <v>0</v>
      </c>
      <c r="AU62" s="85">
        <f>$I$5*$AU$5</f>
        <v>0</v>
      </c>
      <c r="AV62" s="85">
        <f>$I$5*$AV$5</f>
        <v>0</v>
      </c>
      <c r="AW62" s="85">
        <f>$I$5*$AW$5</f>
        <v>0</v>
      </c>
      <c r="AX62" s="85">
        <f>$I$5*$AX$5</f>
        <v>8736790.7586884443</v>
      </c>
      <c r="AY62" s="85">
        <f>$I$5*$AY$5</f>
        <v>0</v>
      </c>
      <c r="AZ62" s="85">
        <f>$I$5*$AZ$5</f>
        <v>0</v>
      </c>
      <c r="BA62" s="85">
        <f>$I$5*$BA$5</f>
        <v>0</v>
      </c>
      <c r="BB62" s="85">
        <f>$I$5*$BB$5</f>
        <v>0</v>
      </c>
      <c r="BC62" s="85">
        <f>$I$5*$BC$5</f>
        <v>0</v>
      </c>
      <c r="BD62" s="85">
        <f>$I$5*$BD$5</f>
        <v>0</v>
      </c>
    </row>
    <row r="63" spans="1:56" ht="11.25" customHeight="1" x14ac:dyDescent="0.25">
      <c r="A63" s="9" t="s">
        <v>43</v>
      </c>
      <c r="B63" s="9" t="s">
        <v>950</v>
      </c>
      <c r="C63" s="9" t="s">
        <v>951</v>
      </c>
      <c r="D63" s="9" t="s">
        <v>952</v>
      </c>
      <c r="E63" s="9" t="s">
        <v>953</v>
      </c>
      <c r="F63" s="9" t="s">
        <v>954</v>
      </c>
      <c r="G63" s="9" t="s">
        <v>956</v>
      </c>
      <c r="L63" s="85">
        <f>$I$6*$L$6</f>
        <v>0</v>
      </c>
      <c r="M63" s="85">
        <f>$I$6*$M$6</f>
        <v>0</v>
      </c>
      <c r="N63" s="85">
        <f ca="1">$I$6*$N$6</f>
        <v>0</v>
      </c>
      <c r="O63" s="85">
        <f>$I$6*$O$6</f>
        <v>0</v>
      </c>
      <c r="P63" s="85">
        <f>$I$6*$P$6</f>
        <v>0</v>
      </c>
      <c r="Q63" s="85">
        <f>$I$6*$Q$6</f>
        <v>0</v>
      </c>
      <c r="R63" s="85">
        <f>$I$6*$R$6</f>
        <v>0</v>
      </c>
      <c r="S63" s="85">
        <f>$I$6*$S$6</f>
        <v>0</v>
      </c>
      <c r="T63" s="85">
        <f>$I$6*$T$6</f>
        <v>8600517.0987160243</v>
      </c>
      <c r="U63" s="85">
        <f>$I$6*$U$6</f>
        <v>128752.28618728463</v>
      </c>
      <c r="V63" s="85">
        <f>$I$6*$V$6</f>
        <v>0</v>
      </c>
      <c r="W63" s="85">
        <f>$I$6*$W$6</f>
        <v>0</v>
      </c>
      <c r="X63" s="85">
        <f>$I$6*$X$6</f>
        <v>0</v>
      </c>
      <c r="Y63" s="85">
        <f>$I$6*$Y$6</f>
        <v>0</v>
      </c>
      <c r="Z63" s="85">
        <f>$I$6*$Z$6</f>
        <v>0</v>
      </c>
      <c r="AA63" s="85">
        <f>$I$6*$AA$6</f>
        <v>8894937.189554235</v>
      </c>
      <c r="AB63" s="85">
        <f ca="1">$I$6*$AB$6</f>
        <v>0</v>
      </c>
      <c r="AC63" s="85">
        <f ca="1">$I$6*$AC$6</f>
        <v>0</v>
      </c>
      <c r="AD63" s="85">
        <f>$I$6*$AD$6</f>
        <v>0</v>
      </c>
      <c r="AE63" s="85">
        <f>$I$6*$AE$6</f>
        <v>0</v>
      </c>
      <c r="AF63" s="85">
        <f ca="1">$I$6*$AF$6</f>
        <v>0</v>
      </c>
      <c r="AG63" s="85">
        <f ca="1">$I$6*$AG$6</f>
        <v>0</v>
      </c>
      <c r="AI63" s="85">
        <f>$I$6*$AI$6</f>
        <v>0</v>
      </c>
      <c r="AJ63" s="85">
        <f>$I$6*$AJ$6</f>
        <v>0</v>
      </c>
      <c r="AK63" s="85">
        <f>$I$6*$AK$6</f>
        <v>0</v>
      </c>
      <c r="AL63" s="85">
        <f>$I$6*$AL$6</f>
        <v>0</v>
      </c>
      <c r="AM63" s="85">
        <f>$I$6*$AM$6</f>
        <v>0</v>
      </c>
      <c r="AN63" s="85">
        <f>$I$6*$AN$6</f>
        <v>0</v>
      </c>
      <c r="AO63" s="85">
        <f>$I$6*$AO$6</f>
        <v>0</v>
      </c>
      <c r="AP63" s="85">
        <f>$I$6*$AP$6</f>
        <v>0</v>
      </c>
      <c r="AQ63" s="85">
        <f>$I$6*$AQ$6</f>
        <v>6763194.8373583732</v>
      </c>
      <c r="AR63" s="85">
        <f>$I$6*$AR$6</f>
        <v>1334865.6599415448</v>
      </c>
      <c r="AS63" s="85">
        <f>$I$6*$AS$6</f>
        <v>0</v>
      </c>
      <c r="AT63" s="85">
        <f>$I$6*$AT$6</f>
        <v>0</v>
      </c>
      <c r="AU63" s="85">
        <f>$I$6*$AU$6</f>
        <v>0</v>
      </c>
      <c r="AV63" s="85">
        <f>$I$6*$AV$6</f>
        <v>0</v>
      </c>
      <c r="AW63" s="85">
        <f>$I$6*$AW$6</f>
        <v>0</v>
      </c>
      <c r="AX63" s="85">
        <f>$I$6*$AX$6</f>
        <v>7940907.6565428795</v>
      </c>
      <c r="AY63" s="85">
        <f>$I$6*$AY$6</f>
        <v>0</v>
      </c>
      <c r="AZ63" s="85">
        <f>$I$6*$AZ$6</f>
        <v>0</v>
      </c>
      <c r="BA63" s="85">
        <f>$I$6*$BA$6</f>
        <v>0</v>
      </c>
      <c r="BB63" s="85">
        <f>$I$6*$BB$6</f>
        <v>0</v>
      </c>
      <c r="BC63" s="85">
        <f>$I$6*$BC$6</f>
        <v>0</v>
      </c>
      <c r="BD63" s="85">
        <f>$I$6*$BD$6</f>
        <v>0</v>
      </c>
    </row>
    <row r="64" spans="1:56" ht="11.25" customHeight="1" x14ac:dyDescent="0.25">
      <c r="A64" s="9" t="s">
        <v>43</v>
      </c>
      <c r="B64" s="9" t="s">
        <v>950</v>
      </c>
      <c r="C64" s="9" t="s">
        <v>951</v>
      </c>
      <c r="D64" s="9" t="s">
        <v>952</v>
      </c>
      <c r="E64" s="9" t="s">
        <v>953</v>
      </c>
      <c r="F64" s="9" t="s">
        <v>954</v>
      </c>
      <c r="G64" s="9" t="s">
        <v>957</v>
      </c>
      <c r="L64" s="85">
        <f>$I$7*$L$7</f>
        <v>10915841.268116266</v>
      </c>
      <c r="M64" s="85">
        <f>$I$7*$M$7</f>
        <v>70740.594652357919</v>
      </c>
      <c r="N64" s="85">
        <f ca="1">$I$7*$N$7</f>
        <v>607056.31205348927</v>
      </c>
      <c r="O64" s="85">
        <f>$I$7*$O$7</f>
        <v>0</v>
      </c>
      <c r="P64" s="85">
        <f>$I$7*$P$7</f>
        <v>0</v>
      </c>
      <c r="Q64" s="85">
        <f>$I$7*$Q$7</f>
        <v>16843697.954561267</v>
      </c>
      <c r="R64" s="85">
        <f>$I$7*$R$7</f>
        <v>12267295.869093411</v>
      </c>
      <c r="S64" s="85">
        <f>$I$7*$S$7</f>
        <v>0</v>
      </c>
      <c r="T64" s="85">
        <f>$I$7*$T$7</f>
        <v>0</v>
      </c>
      <c r="U64" s="85">
        <f>$I$7*$U$7</f>
        <v>0</v>
      </c>
      <c r="V64" s="85">
        <f>$I$7*$V$7</f>
        <v>0</v>
      </c>
      <c r="W64" s="85">
        <f>$I$7*$W$7</f>
        <v>0</v>
      </c>
      <c r="X64" s="85">
        <f>$I$7*$X$7</f>
        <v>0</v>
      </c>
      <c r="Y64" s="85">
        <f>$I$7*$Y$7</f>
        <v>0</v>
      </c>
      <c r="Z64" s="85">
        <f>$I$7*$Z$7</f>
        <v>0</v>
      </c>
      <c r="AA64" s="85">
        <f>$I$7*$AA$7</f>
        <v>0</v>
      </c>
      <c r="AB64" s="85">
        <f ca="1">$I$7*$AB$7</f>
        <v>0</v>
      </c>
      <c r="AC64" s="85">
        <f ca="1">$I$7*$AC$7</f>
        <v>0</v>
      </c>
      <c r="AD64" s="85">
        <f>$I$7*$AD$7</f>
        <v>5515347.0287944609</v>
      </c>
      <c r="AE64" s="85">
        <f>$I$7*$AE$7</f>
        <v>397169.56283266196</v>
      </c>
      <c r="AF64" s="85">
        <f ca="1">$I$7*$AF$7</f>
        <v>26037770.346100718</v>
      </c>
      <c r="AG64" s="85">
        <f ca="1">$I$7*$AG$7</f>
        <v>4029308.3103958694</v>
      </c>
      <c r="AI64" s="85">
        <f>$I$7*$AI$7</f>
        <v>0</v>
      </c>
      <c r="AJ64" s="85">
        <f>$I$7*$AJ$7</f>
        <v>63329.10233837938</v>
      </c>
      <c r="AK64" s="85">
        <f>$I$7*$AK$7</f>
        <v>544765.4943417816</v>
      </c>
      <c r="AL64" s="85">
        <f>$I$7*$AL$7</f>
        <v>0</v>
      </c>
      <c r="AM64" s="85">
        <f>$I$7*$AM$7</f>
        <v>0</v>
      </c>
      <c r="AN64" s="85">
        <f>$I$7*$AN$7</f>
        <v>18758012.512367129</v>
      </c>
      <c r="AO64" s="85">
        <f>$I$7*$AO$7</f>
        <v>8726641.4359236695</v>
      </c>
      <c r="AP64" s="85">
        <f>$I$7*$AP$7</f>
        <v>0</v>
      </c>
      <c r="AQ64" s="85">
        <f>$I$7*$AQ$7</f>
        <v>0</v>
      </c>
      <c r="AR64" s="85">
        <f>$I$7*$AR$7</f>
        <v>0</v>
      </c>
      <c r="AS64" s="85">
        <f>$I$7*$AS$7</f>
        <v>0</v>
      </c>
      <c r="AT64" s="85">
        <f>$I$7*$AT$7</f>
        <v>0</v>
      </c>
      <c r="AU64" s="85">
        <f>$I$7*$AU$7</f>
        <v>0</v>
      </c>
      <c r="AV64" s="85">
        <f>$I$7*$AV$7</f>
        <v>0</v>
      </c>
      <c r="AW64" s="85">
        <f>$I$7*$AW$7</f>
        <v>0</v>
      </c>
      <c r="AX64" s="85">
        <f>$I$7*$AX$7</f>
        <v>0</v>
      </c>
      <c r="AY64" s="85">
        <f>$I$7*$AY$7</f>
        <v>0</v>
      </c>
      <c r="AZ64" s="85">
        <f>$I$7*$AZ$7</f>
        <v>0</v>
      </c>
      <c r="BA64" s="85">
        <f>$I$7*$BA$7</f>
        <v>5155739.6405866565</v>
      </c>
      <c r="BB64" s="85">
        <f>$I$7*$BB$7</f>
        <v>404661.75667142065</v>
      </c>
      <c r="BC64" s="85">
        <f>$I$7*$BC$7</f>
        <v>25734128.864991251</v>
      </c>
      <c r="BD64" s="85">
        <f>$I$7*$BD$7</f>
        <v>1594633.3599255062</v>
      </c>
    </row>
    <row r="65" spans="1:56" ht="11.25" customHeight="1" x14ac:dyDescent="0.25">
      <c r="A65" s="9" t="s">
        <v>43</v>
      </c>
      <c r="B65" s="9" t="s">
        <v>950</v>
      </c>
      <c r="C65" s="9" t="s">
        <v>951</v>
      </c>
      <c r="D65" s="9" t="s">
        <v>952</v>
      </c>
      <c r="E65" s="9" t="s">
        <v>958</v>
      </c>
      <c r="F65" s="9" t="s">
        <v>959</v>
      </c>
      <c r="G65" s="9" t="s">
        <v>960</v>
      </c>
      <c r="L65" s="85">
        <f>$I$8*$L$8</f>
        <v>0</v>
      </c>
      <c r="M65" s="85">
        <f>$I$8*$M$8</f>
        <v>0</v>
      </c>
      <c r="N65" s="85">
        <f ca="1">$I$8*$N$8</f>
        <v>0</v>
      </c>
      <c r="O65" s="85">
        <f>$I$8*$O$8</f>
        <v>0</v>
      </c>
      <c r="P65" s="85">
        <f>$I$8*$P$8</f>
        <v>0</v>
      </c>
      <c r="Q65" s="85">
        <f>$I$8*$Q$8</f>
        <v>0</v>
      </c>
      <c r="R65" s="85">
        <f>$I$8*$R$8</f>
        <v>0</v>
      </c>
      <c r="S65" s="85">
        <f>$I$8*$S$8</f>
        <v>0</v>
      </c>
      <c r="T65" s="85">
        <f>$I$8*$T$8</f>
        <v>0</v>
      </c>
      <c r="U65" s="85">
        <f>$I$8*$U$8</f>
        <v>0</v>
      </c>
      <c r="V65" s="85">
        <f>$I$8*$V$8</f>
        <v>0</v>
      </c>
      <c r="W65" s="85">
        <f>$I$8*$W$8</f>
        <v>0</v>
      </c>
      <c r="X65" s="85">
        <f>$I$8*$X$8</f>
        <v>0</v>
      </c>
      <c r="Y65" s="85">
        <f>$I$8*$Y$8</f>
        <v>0</v>
      </c>
      <c r="Z65" s="85">
        <f>$I$8*$Z$8</f>
        <v>0</v>
      </c>
      <c r="AA65" s="85">
        <f>$I$8*$AA$8</f>
        <v>0</v>
      </c>
      <c r="AB65" s="85">
        <f ca="1">$I$8*$AB$8</f>
        <v>0</v>
      </c>
      <c r="AC65" s="85">
        <f ca="1">$I$8*$AC$8</f>
        <v>0</v>
      </c>
      <c r="AD65" s="85">
        <f>$I$8*$AD$8</f>
        <v>0</v>
      </c>
      <c r="AE65" s="85">
        <f>$I$8*$AE$8</f>
        <v>0</v>
      </c>
      <c r="AF65" s="85">
        <f ca="1">$I$8*$AF$8</f>
        <v>0</v>
      </c>
      <c r="AG65" s="85">
        <f ca="1">$I$8*$AG$8</f>
        <v>0</v>
      </c>
      <c r="AI65" s="85">
        <f>$I$8*$AI$8</f>
        <v>0</v>
      </c>
      <c r="AJ65" s="85">
        <f>$I$8*$AJ$8</f>
        <v>0</v>
      </c>
      <c r="AK65" s="85">
        <f>$I$8*$AK$8</f>
        <v>0</v>
      </c>
      <c r="AL65" s="85">
        <f>$I$8*$AL$8</f>
        <v>0</v>
      </c>
      <c r="AM65" s="85">
        <f>$I$8*$AM$8</f>
        <v>0</v>
      </c>
      <c r="AN65" s="85">
        <f>$I$8*$AN$8</f>
        <v>0</v>
      </c>
      <c r="AO65" s="85">
        <f>$I$8*$AO$8</f>
        <v>0</v>
      </c>
      <c r="AP65" s="85">
        <f>$I$8*$AP$8</f>
        <v>0</v>
      </c>
      <c r="AQ65" s="85">
        <f>$I$8*$AQ$8</f>
        <v>0</v>
      </c>
      <c r="AR65" s="85">
        <f>$I$8*$AR$8</f>
        <v>0</v>
      </c>
      <c r="AS65" s="85">
        <f>$I$8*$AS$8</f>
        <v>0</v>
      </c>
      <c r="AT65" s="85">
        <f>$I$8*$AT$8</f>
        <v>0</v>
      </c>
      <c r="AU65" s="85">
        <f>$I$8*$AU$8</f>
        <v>0</v>
      </c>
      <c r="AV65" s="85">
        <f>$I$8*$AV$8</f>
        <v>0</v>
      </c>
      <c r="AW65" s="85">
        <f>$I$8*$AW$8</f>
        <v>0</v>
      </c>
      <c r="AX65" s="85">
        <f>$I$8*$AX$8</f>
        <v>0</v>
      </c>
      <c r="AY65" s="85">
        <f>$I$8*$AY$8</f>
        <v>0</v>
      </c>
      <c r="AZ65" s="85">
        <f>$I$8*$AZ$8</f>
        <v>0</v>
      </c>
      <c r="BA65" s="85">
        <f>$I$8*$BA$8</f>
        <v>0</v>
      </c>
      <c r="BB65" s="85">
        <f>$I$8*$BB$8</f>
        <v>0</v>
      </c>
      <c r="BC65" s="85">
        <f>$I$8*$BC$8</f>
        <v>0</v>
      </c>
      <c r="BD65" s="85">
        <f>$I$8*$BD$8</f>
        <v>0</v>
      </c>
    </row>
    <row r="66" spans="1:56" ht="11.25" customHeight="1" x14ac:dyDescent="0.25">
      <c r="A66" s="9" t="s">
        <v>43</v>
      </c>
      <c r="B66" s="9" t="s">
        <v>961</v>
      </c>
      <c r="C66" s="9" t="s">
        <v>962</v>
      </c>
      <c r="D66" s="9" t="s">
        <v>963</v>
      </c>
      <c r="E66" s="9" t="s">
        <v>964</v>
      </c>
      <c r="F66" s="9" t="s">
        <v>965</v>
      </c>
      <c r="G66" s="9" t="s">
        <v>966</v>
      </c>
      <c r="L66" s="85">
        <f>$I$9*$L$9</f>
        <v>0</v>
      </c>
      <c r="M66" s="85">
        <f>$I$9*$M$9</f>
        <v>0</v>
      </c>
      <c r="N66" s="85">
        <f ca="1">$I$9*$N$9</f>
        <v>564532.19875060278</v>
      </c>
      <c r="O66" s="85">
        <f>$I$9*$O$9</f>
        <v>0</v>
      </c>
      <c r="P66" s="85">
        <f>$I$9*$P$9</f>
        <v>0</v>
      </c>
      <c r="Q66" s="85">
        <f>$I$9*$Q$9</f>
        <v>0</v>
      </c>
      <c r="R66" s="85">
        <f>$I$9*$R$9</f>
        <v>0</v>
      </c>
      <c r="S66" s="85">
        <f>$I$9*$S$9</f>
        <v>0</v>
      </c>
      <c r="T66" s="85">
        <f>$I$9*$T$9</f>
        <v>0</v>
      </c>
      <c r="U66" s="85">
        <f>$I$9*$U$9</f>
        <v>0</v>
      </c>
      <c r="V66" s="85">
        <f>$I$9*$V$9</f>
        <v>0</v>
      </c>
      <c r="W66" s="85">
        <f>$I$9*$W$9</f>
        <v>0</v>
      </c>
      <c r="X66" s="85">
        <f>$I$9*$X$9</f>
        <v>0</v>
      </c>
      <c r="Y66" s="85">
        <f>$I$9*$Y$9</f>
        <v>0</v>
      </c>
      <c r="Z66" s="85">
        <f>$I$9*$Z$9</f>
        <v>0</v>
      </c>
      <c r="AA66" s="85">
        <f>$I$9*$AA$9</f>
        <v>36571641.979303509</v>
      </c>
      <c r="AB66" s="85">
        <f ca="1">$I$9*$AB$9</f>
        <v>0</v>
      </c>
      <c r="AC66" s="85">
        <f ca="1">$I$9*$AC$9</f>
        <v>0</v>
      </c>
      <c r="AD66" s="85">
        <f>$I$9*$AD$9</f>
        <v>6890404.4161346694</v>
      </c>
      <c r="AE66" s="85">
        <f>$I$9*$AE$9</f>
        <v>0</v>
      </c>
      <c r="AF66" s="85">
        <f ca="1">$I$9*$AF$9</f>
        <v>0</v>
      </c>
      <c r="AG66" s="85">
        <f ca="1">$I$9*$AG$9</f>
        <v>0</v>
      </c>
      <c r="AI66" s="85">
        <f>$I$9*$AI$9</f>
        <v>0</v>
      </c>
      <c r="AJ66" s="85">
        <f>$I$9*$AJ$9</f>
        <v>0</v>
      </c>
      <c r="AK66" s="85">
        <f>$I$9*$AK$9</f>
        <v>465866.21132414159</v>
      </c>
      <c r="AL66" s="85">
        <f>$I$9*$AL$9</f>
        <v>0</v>
      </c>
      <c r="AM66" s="85">
        <f>$I$9*$AM$9</f>
        <v>0</v>
      </c>
      <c r="AN66" s="85">
        <f>$I$9*$AN$9</f>
        <v>0</v>
      </c>
      <c r="AO66" s="85">
        <f>$I$9*$AO$9</f>
        <v>0</v>
      </c>
      <c r="AP66" s="85">
        <f>$I$9*$AP$9</f>
        <v>0</v>
      </c>
      <c r="AQ66" s="85">
        <f>$I$9*$AQ$9</f>
        <v>0</v>
      </c>
      <c r="AR66" s="85">
        <f>$I$9*$AR$9</f>
        <v>0</v>
      </c>
      <c r="AS66" s="85">
        <f>$I$9*$AS$9</f>
        <v>0</v>
      </c>
      <c r="AT66" s="85">
        <f>$I$9*$AT$9</f>
        <v>0</v>
      </c>
      <c r="AU66" s="85">
        <f>$I$9*$AU$9</f>
        <v>0</v>
      </c>
      <c r="AV66" s="85">
        <f>$I$9*$AV$9</f>
        <v>0</v>
      </c>
      <c r="AW66" s="85">
        <f>$I$9*$AW$9</f>
        <v>0</v>
      </c>
      <c r="AX66" s="85">
        <f>$I$9*$AX$9</f>
        <v>30276930.116568565</v>
      </c>
      <c r="AY66" s="85">
        <f>$I$9*$AY$9</f>
        <v>0</v>
      </c>
      <c r="AZ66" s="85">
        <f>$I$9*$AZ$9</f>
        <v>0</v>
      </c>
      <c r="BA66" s="85">
        <f>$I$9*$BA$9</f>
        <v>5679715.1528237062</v>
      </c>
      <c r="BB66" s="85">
        <f>$I$9*$BB$9</f>
        <v>0</v>
      </c>
      <c r="BC66" s="85">
        <f>$I$9*$BC$9</f>
        <v>0</v>
      </c>
      <c r="BD66" s="85">
        <f>$I$9*$BD$9</f>
        <v>0</v>
      </c>
    </row>
    <row r="67" spans="1:56" ht="11.25" customHeight="1" x14ac:dyDescent="0.25">
      <c r="A67" s="9" t="s">
        <v>35</v>
      </c>
      <c r="B67" s="9" t="s">
        <v>967</v>
      </c>
      <c r="C67" s="9" t="s">
        <v>968</v>
      </c>
      <c r="D67" s="9" t="s">
        <v>969</v>
      </c>
      <c r="E67" s="9" t="s">
        <v>970</v>
      </c>
      <c r="F67" s="9" t="s">
        <v>971</v>
      </c>
      <c r="G67" s="9" t="s">
        <v>972</v>
      </c>
      <c r="L67" s="85">
        <f>$I$10*$L$10</f>
        <v>0</v>
      </c>
      <c r="M67" s="85">
        <f>$I$10*$M$10</f>
        <v>0</v>
      </c>
      <c r="N67" s="85">
        <f ca="1">$I$10*$N$10</f>
        <v>0</v>
      </c>
      <c r="O67" s="85">
        <f>$I$10*$O$10</f>
        <v>0</v>
      </c>
      <c r="P67" s="85">
        <f>$I$10*$P$10</f>
        <v>0</v>
      </c>
      <c r="Q67" s="85">
        <f>$I$10*$Q$10</f>
        <v>0</v>
      </c>
      <c r="R67" s="85">
        <f>$I$10*$R$10</f>
        <v>0</v>
      </c>
      <c r="S67" s="85">
        <f>$I$10*$S$10</f>
        <v>0</v>
      </c>
      <c r="T67" s="85">
        <f>$I$10*$T$10</f>
        <v>12811642.626469892</v>
      </c>
      <c r="U67" s="85">
        <f>$I$10*$U$10</f>
        <v>160604.22874101621</v>
      </c>
      <c r="V67" s="85">
        <f>$I$10*$V$10</f>
        <v>20741.17005866293</v>
      </c>
      <c r="W67" s="85">
        <f>$I$10*$W$10</f>
        <v>0</v>
      </c>
      <c r="X67" s="85">
        <f>$I$10*$X$10</f>
        <v>-741.12575007887096</v>
      </c>
      <c r="Y67" s="85">
        <f>$I$10*$Y$10</f>
        <v>0</v>
      </c>
      <c r="Z67" s="85">
        <f>$I$10*$Z$10</f>
        <v>0</v>
      </c>
      <c r="AA67" s="85">
        <f>$I$10*$AA$10</f>
        <v>67198994.871669173</v>
      </c>
      <c r="AB67" s="85">
        <f ca="1">$I$10*$AB$10</f>
        <v>0</v>
      </c>
      <c r="AC67" s="85">
        <f ca="1">$I$10*$AC$10</f>
        <v>0</v>
      </c>
      <c r="AD67" s="85">
        <f>$I$10*$AD$10</f>
        <v>0</v>
      </c>
      <c r="AE67" s="85">
        <f>$I$10*$AE$10</f>
        <v>0</v>
      </c>
      <c r="AF67" s="85">
        <f ca="1">$I$10*$AF$10</f>
        <v>0</v>
      </c>
      <c r="AG67" s="85">
        <f ca="1">$I$10*$AG$10</f>
        <v>0</v>
      </c>
      <c r="AI67" s="85">
        <f>$I$10*$AI$10</f>
        <v>0</v>
      </c>
      <c r="AJ67" s="85">
        <f>$I$10*$AJ$10</f>
        <v>0</v>
      </c>
      <c r="AK67" s="85">
        <f>$I$10*$AK$10</f>
        <v>0</v>
      </c>
      <c r="AL67" s="85">
        <f>$I$10*$AL$10</f>
        <v>0</v>
      </c>
      <c r="AM67" s="85">
        <f>$I$10*$AM$10</f>
        <v>0</v>
      </c>
      <c r="AN67" s="85">
        <f>$I$10*$AN$10</f>
        <v>0</v>
      </c>
      <c r="AO67" s="85">
        <f>$I$10*$AO$10</f>
        <v>0</v>
      </c>
      <c r="AP67" s="85">
        <f>$I$10*$AP$10</f>
        <v>0</v>
      </c>
      <c r="AQ67" s="85">
        <f>$I$10*$AQ$10</f>
        <v>10074700.657517135</v>
      </c>
      <c r="AR67" s="85">
        <f>$I$10*$AR$10</f>
        <v>1665097.188844725</v>
      </c>
      <c r="AS67" s="85">
        <f>$I$10*$AS$10</f>
        <v>-112536.40620797299</v>
      </c>
      <c r="AT67" s="85">
        <f>$I$10*$AT$10</f>
        <v>0</v>
      </c>
      <c r="AU67" s="85">
        <f>$I$10*$AU$10</f>
        <v>68235.749886584686</v>
      </c>
      <c r="AV67" s="85">
        <f>$I$10*$AV$10</f>
        <v>0</v>
      </c>
      <c r="AW67" s="85">
        <f>$I$10*$AW$10</f>
        <v>0</v>
      </c>
      <c r="AX67" s="85">
        <f>$I$10*$AX$10</f>
        <v>59991543.674426451</v>
      </c>
      <c r="AY67" s="85">
        <f>$I$10*$AY$10</f>
        <v>0</v>
      </c>
      <c r="AZ67" s="85">
        <f>$I$10*$AZ$10</f>
        <v>0</v>
      </c>
      <c r="BA67" s="85">
        <f>$I$10*$BA$10</f>
        <v>0</v>
      </c>
      <c r="BB67" s="85">
        <f>$I$10*$BB$10</f>
        <v>0</v>
      </c>
      <c r="BC67" s="85">
        <f>$I$10*$BC$10</f>
        <v>0</v>
      </c>
      <c r="BD67" s="85">
        <f>$I$10*$BD$10</f>
        <v>0</v>
      </c>
    </row>
    <row r="68" spans="1:56" ht="11.25" customHeight="1" x14ac:dyDescent="0.25">
      <c r="A68" s="9" t="s">
        <v>35</v>
      </c>
      <c r="B68" s="9" t="s">
        <v>967</v>
      </c>
      <c r="C68" s="9" t="s">
        <v>968</v>
      </c>
      <c r="D68" s="9" t="s">
        <v>969</v>
      </c>
      <c r="E68" s="9" t="s">
        <v>970</v>
      </c>
      <c r="F68" s="9" t="s">
        <v>971</v>
      </c>
      <c r="G68" s="9" t="s">
        <v>973</v>
      </c>
      <c r="L68" s="85">
        <f>$I$11*$L$11</f>
        <v>0</v>
      </c>
      <c r="M68" s="85">
        <f>$I$11*$M$11</f>
        <v>0</v>
      </c>
      <c r="N68" s="85">
        <f ca="1">$I$11*$N$11</f>
        <v>0</v>
      </c>
      <c r="O68" s="85">
        <f>$I$11*$O$11</f>
        <v>0</v>
      </c>
      <c r="P68" s="85">
        <f>$I$11*$P$11</f>
        <v>0</v>
      </c>
      <c r="Q68" s="85">
        <f>$I$11*$Q$11</f>
        <v>0</v>
      </c>
      <c r="R68" s="85">
        <f>$I$11*$R$11</f>
        <v>0</v>
      </c>
      <c r="S68" s="85">
        <f>$I$11*$S$11</f>
        <v>0</v>
      </c>
      <c r="T68" s="85">
        <f>$I$11*$T$11</f>
        <v>8934984.1874820031</v>
      </c>
      <c r="U68" s="85">
        <f>$I$11*$U$11</f>
        <v>116177.92835406054</v>
      </c>
      <c r="V68" s="85">
        <f>$I$11*$V$11</f>
        <v>10893.841345086059</v>
      </c>
      <c r="W68" s="85">
        <f>$I$11*$W$11</f>
        <v>0</v>
      </c>
      <c r="X68" s="85">
        <f>$I$11*$X$11</f>
        <v>-136.22671355500142</v>
      </c>
      <c r="Y68" s="85">
        <f>$I$11*$Y$11</f>
        <v>0</v>
      </c>
      <c r="Z68" s="85">
        <f>$I$11*$Z$11</f>
        <v>0</v>
      </c>
      <c r="AA68" s="85">
        <f>$I$11*$AA$11</f>
        <v>41190269.002125852</v>
      </c>
      <c r="AB68" s="85">
        <f ca="1">$I$11*$AB$11</f>
        <v>0</v>
      </c>
      <c r="AC68" s="85">
        <f ca="1">$I$11*$AC$11</f>
        <v>0</v>
      </c>
      <c r="AD68" s="85">
        <f>$I$11*$AD$11</f>
        <v>0</v>
      </c>
      <c r="AE68" s="85">
        <f>$I$11*$AE$11</f>
        <v>0</v>
      </c>
      <c r="AF68" s="85">
        <f ca="1">$I$11*$AF$11</f>
        <v>0</v>
      </c>
      <c r="AG68" s="85">
        <f ca="1">$I$11*$AG$11</f>
        <v>0</v>
      </c>
      <c r="AI68" s="85">
        <f>$I$11*$AI$11</f>
        <v>0</v>
      </c>
      <c r="AJ68" s="85">
        <f>$I$11*$AJ$11</f>
        <v>0</v>
      </c>
      <c r="AK68" s="85">
        <f>$I$11*$AK$11</f>
        <v>0</v>
      </c>
      <c r="AL68" s="85">
        <f>$I$11*$AL$11</f>
        <v>0</v>
      </c>
      <c r="AM68" s="85">
        <f>$I$11*$AM$11</f>
        <v>0</v>
      </c>
      <c r="AN68" s="85">
        <f>$I$11*$AN$11</f>
        <v>0</v>
      </c>
      <c r="AO68" s="85">
        <f>$I$11*$AO$11</f>
        <v>0</v>
      </c>
      <c r="AP68" s="85">
        <f>$I$11*$AP$11</f>
        <v>0</v>
      </c>
      <c r="AQ68" s="85">
        <f>$I$11*$AQ$11</f>
        <v>7026209.9633147065</v>
      </c>
      <c r="AR68" s="85">
        <f>$I$11*$AR$11</f>
        <v>1204498.4333513146</v>
      </c>
      <c r="AS68" s="85">
        <f>$I$11*$AS$11</f>
        <v>-59107.261128876045</v>
      </c>
      <c r="AT68" s="85">
        <f>$I$11*$AT$11</f>
        <v>0</v>
      </c>
      <c r="AU68" s="85">
        <f>$I$11*$AU$11</f>
        <v>12542.44904190862</v>
      </c>
      <c r="AV68" s="85">
        <f>$I$11*$AV$11</f>
        <v>0</v>
      </c>
      <c r="AW68" s="85">
        <f>$I$11*$AW$11</f>
        <v>0</v>
      </c>
      <c r="AX68" s="85">
        <f>$I$11*$AX$11</f>
        <v>36772392.600833386</v>
      </c>
      <c r="AY68" s="85">
        <f>$I$11*$AY$11</f>
        <v>0</v>
      </c>
      <c r="AZ68" s="85">
        <f>$I$11*$AZ$11</f>
        <v>0</v>
      </c>
      <c r="BA68" s="85">
        <f>$I$11*$BA$11</f>
        <v>0</v>
      </c>
      <c r="BB68" s="85">
        <f>$I$11*$BB$11</f>
        <v>0</v>
      </c>
      <c r="BC68" s="85">
        <f>$I$11*$BC$11</f>
        <v>0</v>
      </c>
      <c r="BD68" s="85">
        <f>$I$11*$BD$11</f>
        <v>0</v>
      </c>
    </row>
    <row r="69" spans="1:56" ht="11.25" customHeight="1" x14ac:dyDescent="0.25">
      <c r="A69" s="9" t="s">
        <v>35</v>
      </c>
      <c r="B69" s="9" t="s">
        <v>967</v>
      </c>
      <c r="C69" s="9" t="s">
        <v>968</v>
      </c>
      <c r="D69" s="9" t="s">
        <v>969</v>
      </c>
      <c r="E69" s="9" t="s">
        <v>970</v>
      </c>
      <c r="F69" s="9" t="s">
        <v>971</v>
      </c>
      <c r="G69" s="9" t="s">
        <v>974</v>
      </c>
      <c r="L69" s="85">
        <f>$I$12*$L$12</f>
        <v>7011035.4294114513</v>
      </c>
      <c r="M69" s="85">
        <f>$I$12*$M$12</f>
        <v>453000.88923090353</v>
      </c>
      <c r="N69" s="85">
        <f ca="1">$I$12*$N$12</f>
        <v>1147321.7666173372</v>
      </c>
      <c r="O69" s="85">
        <f>$I$12*$O$12</f>
        <v>0</v>
      </c>
      <c r="P69" s="85">
        <f>$I$12*$P$12</f>
        <v>0</v>
      </c>
      <c r="Q69" s="85">
        <f>$I$12*$Q$12</f>
        <v>10818384.054984817</v>
      </c>
      <c r="R69" s="85">
        <f>$I$12*$R$12</f>
        <v>6067773.2079194244</v>
      </c>
      <c r="S69" s="85">
        <f>$I$12*$S$12</f>
        <v>0</v>
      </c>
      <c r="T69" s="85">
        <f>$I$12*$T$12</f>
        <v>0</v>
      </c>
      <c r="U69" s="85">
        <f>$I$12*$U$12</f>
        <v>0</v>
      </c>
      <c r="V69" s="85">
        <f>$I$12*$V$12</f>
        <v>0</v>
      </c>
      <c r="W69" s="85">
        <f>$I$12*$W$12</f>
        <v>0</v>
      </c>
      <c r="X69" s="85">
        <f>$I$12*$X$12</f>
        <v>0</v>
      </c>
      <c r="Y69" s="85">
        <f>$I$12*$Y$12</f>
        <v>0</v>
      </c>
      <c r="Z69" s="85">
        <f>$I$12*$Z$12</f>
        <v>0</v>
      </c>
      <c r="AA69" s="85">
        <f>$I$12*$AA$12</f>
        <v>0</v>
      </c>
      <c r="AB69" s="85">
        <f ca="1">$I$12*$AB$12</f>
        <v>0</v>
      </c>
      <c r="AC69" s="85">
        <f ca="1">$I$12*$AC$12</f>
        <v>0</v>
      </c>
      <c r="AD69" s="85">
        <f>$I$12*$AD$12</f>
        <v>5947484.0968028037</v>
      </c>
      <c r="AE69" s="85">
        <f>$I$12*$AE$12</f>
        <v>428288.4914311</v>
      </c>
      <c r="AF69" s="85">
        <f ca="1">$I$12*$AF$12</f>
        <v>55806739.435319297</v>
      </c>
      <c r="AG69" s="85">
        <f ca="1">$I$12*$AG$12</f>
        <v>8636014.3742685392</v>
      </c>
      <c r="AI69" s="85">
        <f>$I$12*$AI$12</f>
        <v>0</v>
      </c>
      <c r="AJ69" s="85">
        <f>$I$12*$AJ$12</f>
        <v>395041.27456367575</v>
      </c>
      <c r="AK69" s="85">
        <f>$I$12*$AK$12</f>
        <v>1087545.1375334659</v>
      </c>
      <c r="AL69" s="85">
        <f>$I$12*$AL$12</f>
        <v>0</v>
      </c>
      <c r="AM69" s="85">
        <f>$I$12*$AM$12</f>
        <v>0</v>
      </c>
      <c r="AN69" s="85">
        <f>$I$12*$AN$12</f>
        <v>11311871.625166656</v>
      </c>
      <c r="AO69" s="85">
        <f>$I$12*$AO$12</f>
        <v>4316459.1174020814</v>
      </c>
      <c r="AP69" s="85">
        <f>$I$12*$AP$12</f>
        <v>0</v>
      </c>
      <c r="AQ69" s="85">
        <f>$I$12*$AQ$12</f>
        <v>0</v>
      </c>
      <c r="AR69" s="85">
        <f>$I$12*$AR$12</f>
        <v>0</v>
      </c>
      <c r="AS69" s="85">
        <f>$I$12*$AS$12</f>
        <v>0</v>
      </c>
      <c r="AT69" s="85">
        <f>$I$12*$AT$12</f>
        <v>0</v>
      </c>
      <c r="AU69" s="85">
        <f>$I$12*$AU$12</f>
        <v>0</v>
      </c>
      <c r="AV69" s="85">
        <f>$I$12*$AV$12</f>
        <v>0</v>
      </c>
      <c r="AW69" s="85">
        <f>$I$12*$AW$12</f>
        <v>0</v>
      </c>
      <c r="AX69" s="85">
        <f>$I$12*$AX$12</f>
        <v>0</v>
      </c>
      <c r="AY69" s="85">
        <f>$I$12*$AY$12</f>
        <v>0</v>
      </c>
      <c r="AZ69" s="85">
        <f>$I$12*$AZ$12</f>
        <v>0</v>
      </c>
      <c r="BA69" s="85">
        <f>$I$12*$BA$12</f>
        <v>5559700.8419518052</v>
      </c>
      <c r="BB69" s="85">
        <f>$I$12*$BB$12</f>
        <v>436367.71173646703</v>
      </c>
      <c r="BC69" s="85">
        <f>$I$12*$BC$12</f>
        <v>58773933.360582009</v>
      </c>
      <c r="BD69" s="85">
        <f>$I$12*$BD$12</f>
        <v>3641968.038728659</v>
      </c>
    </row>
    <row r="70" spans="1:56" ht="11.25" customHeight="1" x14ac:dyDescent="0.25">
      <c r="A70" s="9" t="s">
        <v>35</v>
      </c>
      <c r="B70" s="9" t="s">
        <v>967</v>
      </c>
      <c r="C70" s="9" t="s">
        <v>968</v>
      </c>
      <c r="D70" s="9" t="s">
        <v>969</v>
      </c>
      <c r="E70" s="9" t="s">
        <v>975</v>
      </c>
      <c r="F70" s="9" t="s">
        <v>976</v>
      </c>
      <c r="G70" s="9" t="s">
        <v>977</v>
      </c>
      <c r="L70" s="85">
        <f>$I$13*$L$13</f>
        <v>0</v>
      </c>
      <c r="M70" s="85">
        <f>$I$13*$M$13</f>
        <v>0</v>
      </c>
      <c r="N70" s="85">
        <f ca="1">$I$13*$N$13</f>
        <v>0</v>
      </c>
      <c r="O70" s="85">
        <f>$I$13*$O$13</f>
        <v>0</v>
      </c>
      <c r="P70" s="85">
        <f>$I$13*$P$13</f>
        <v>0</v>
      </c>
      <c r="Q70" s="85">
        <f>$I$13*$Q$13</f>
        <v>0</v>
      </c>
      <c r="R70" s="85">
        <f>$I$13*$R$13</f>
        <v>0</v>
      </c>
      <c r="S70" s="85">
        <f>$I$13*$S$13</f>
        <v>0</v>
      </c>
      <c r="T70" s="85">
        <f>$I$13*$T$13</f>
        <v>0</v>
      </c>
      <c r="U70" s="85">
        <f>$I$13*$U$13</f>
        <v>0</v>
      </c>
      <c r="V70" s="85">
        <f>$I$13*$V$13</f>
        <v>0</v>
      </c>
      <c r="W70" s="85">
        <f>$I$13*$W$13</f>
        <v>0</v>
      </c>
      <c r="X70" s="85">
        <f>$I$13*$X$13</f>
        <v>0</v>
      </c>
      <c r="Y70" s="85">
        <f>$I$13*$Y$13</f>
        <v>0</v>
      </c>
      <c r="Z70" s="85">
        <f>$I$13*$Z$13</f>
        <v>0</v>
      </c>
      <c r="AA70" s="85">
        <f>$I$13*$AA$13</f>
        <v>0</v>
      </c>
      <c r="AB70" s="85">
        <f ca="1">$I$13*$AB$13</f>
        <v>0</v>
      </c>
      <c r="AC70" s="85">
        <f ca="1">$I$13*$AC$13</f>
        <v>0</v>
      </c>
      <c r="AD70" s="85">
        <f>$I$13*$AD$13</f>
        <v>0</v>
      </c>
      <c r="AE70" s="85">
        <f>$I$13*$AE$13</f>
        <v>0</v>
      </c>
      <c r="AF70" s="85">
        <f ca="1">$I$13*$AF$13</f>
        <v>0</v>
      </c>
      <c r="AG70" s="85">
        <f ca="1">$I$13*$AG$13</f>
        <v>0</v>
      </c>
      <c r="AI70" s="85">
        <f>$I$13*$AI$13</f>
        <v>0</v>
      </c>
      <c r="AJ70" s="85">
        <f>$I$13*$AJ$13</f>
        <v>0</v>
      </c>
      <c r="AK70" s="85">
        <f>$I$13*$AK$13</f>
        <v>0</v>
      </c>
      <c r="AL70" s="85">
        <f>$I$13*$AL$13</f>
        <v>0</v>
      </c>
      <c r="AM70" s="85">
        <f>$I$13*$AM$13</f>
        <v>0</v>
      </c>
      <c r="AN70" s="85">
        <f>$I$13*$AN$13</f>
        <v>0</v>
      </c>
      <c r="AO70" s="85">
        <f>$I$13*$AO$13</f>
        <v>0</v>
      </c>
      <c r="AP70" s="85">
        <f>$I$13*$AP$13</f>
        <v>0</v>
      </c>
      <c r="AQ70" s="85">
        <f>$I$13*$AQ$13</f>
        <v>0</v>
      </c>
      <c r="AR70" s="85">
        <f>$I$13*$AR$13</f>
        <v>0</v>
      </c>
      <c r="AS70" s="85">
        <f>$I$13*$AS$13</f>
        <v>0</v>
      </c>
      <c r="AT70" s="85">
        <f>$I$13*$AT$13</f>
        <v>0</v>
      </c>
      <c r="AU70" s="85">
        <f>$I$13*$AU$13</f>
        <v>0</v>
      </c>
      <c r="AV70" s="85">
        <f>$I$13*$AV$13</f>
        <v>0</v>
      </c>
      <c r="AW70" s="85">
        <f>$I$13*$AW$13</f>
        <v>0</v>
      </c>
      <c r="AX70" s="85">
        <f>$I$13*$AX$13</f>
        <v>0</v>
      </c>
      <c r="AY70" s="85">
        <f>$I$13*$AY$13</f>
        <v>0</v>
      </c>
      <c r="AZ70" s="85">
        <f>$I$13*$AZ$13</f>
        <v>0</v>
      </c>
      <c r="BA70" s="85">
        <f>$I$13*$BA$13</f>
        <v>0</v>
      </c>
      <c r="BB70" s="85">
        <f>$I$13*$BB$13</f>
        <v>0</v>
      </c>
      <c r="BC70" s="85">
        <f>$I$13*$BC$13</f>
        <v>0</v>
      </c>
      <c r="BD70" s="85">
        <f>$I$13*$BD$13</f>
        <v>0</v>
      </c>
    </row>
    <row r="71" spans="1:56" ht="11.25" customHeight="1" x14ac:dyDescent="0.25">
      <c r="A71" s="9" t="s">
        <v>35</v>
      </c>
      <c r="B71" s="9" t="s">
        <v>978</v>
      </c>
      <c r="C71" s="9" t="s">
        <v>979</v>
      </c>
      <c r="D71" s="9" t="s">
        <v>980</v>
      </c>
      <c r="E71" s="9" t="s">
        <v>981</v>
      </c>
      <c r="F71" s="9" t="s">
        <v>982</v>
      </c>
      <c r="G71" s="9" t="s">
        <v>983</v>
      </c>
      <c r="L71" s="85">
        <f>$I$14*$L$14</f>
        <v>0</v>
      </c>
      <c r="M71" s="85">
        <f>$I$14*$M$14</f>
        <v>0</v>
      </c>
      <c r="N71" s="85">
        <f ca="1">$I$14*$N$14</f>
        <v>0</v>
      </c>
      <c r="O71" s="85">
        <f>$I$14*$O$14</f>
        <v>0</v>
      </c>
      <c r="P71" s="85">
        <f>$I$14*$P$14</f>
        <v>0</v>
      </c>
      <c r="Q71" s="85">
        <f>$I$14*$Q$14</f>
        <v>0</v>
      </c>
      <c r="R71" s="85">
        <f>$I$14*$R$14</f>
        <v>0</v>
      </c>
      <c r="S71" s="85">
        <f>$I$14*$S$14</f>
        <v>0</v>
      </c>
      <c r="T71" s="85">
        <f>$I$14*$T$14</f>
        <v>0</v>
      </c>
      <c r="U71" s="85">
        <f>$I$14*$U$14</f>
        <v>0</v>
      </c>
      <c r="V71" s="85">
        <f>$I$14*$V$14</f>
        <v>0</v>
      </c>
      <c r="W71" s="85">
        <f>$I$14*$W$14</f>
        <v>0</v>
      </c>
      <c r="X71" s="85">
        <f>$I$14*$X$14</f>
        <v>0</v>
      </c>
      <c r="Y71" s="85">
        <f>$I$14*$Y$14</f>
        <v>0</v>
      </c>
      <c r="Z71" s="85">
        <f>$I$14*$Z$14</f>
        <v>0</v>
      </c>
      <c r="AA71" s="85">
        <f>$I$14*$AA$14</f>
        <v>0</v>
      </c>
      <c r="AB71" s="85">
        <f ca="1">$I$14*$AB$14</f>
        <v>0</v>
      </c>
      <c r="AC71" s="85">
        <f ca="1">$I$14*$AC$14</f>
        <v>0</v>
      </c>
      <c r="AD71" s="85">
        <f>$I$14*$AD$14</f>
        <v>0</v>
      </c>
      <c r="AE71" s="85">
        <f>$I$14*$AE$14</f>
        <v>0</v>
      </c>
      <c r="AF71" s="85">
        <f ca="1">$I$14*$AF$14</f>
        <v>0</v>
      </c>
      <c r="AG71" s="85">
        <f ca="1">$I$14*$AG$14</f>
        <v>0</v>
      </c>
      <c r="AI71" s="85">
        <f>$I$14*$AI$14</f>
        <v>0</v>
      </c>
      <c r="AJ71" s="85">
        <f>$I$14*$AJ$14</f>
        <v>0</v>
      </c>
      <c r="AK71" s="85">
        <f>$I$14*$AK$14</f>
        <v>0</v>
      </c>
      <c r="AL71" s="85">
        <f>$I$14*$AL$14</f>
        <v>0</v>
      </c>
      <c r="AM71" s="85">
        <f>$I$14*$AM$14</f>
        <v>0</v>
      </c>
      <c r="AN71" s="85">
        <f>$I$14*$AN$14</f>
        <v>0</v>
      </c>
      <c r="AO71" s="85">
        <f>$I$14*$AO$14</f>
        <v>0</v>
      </c>
      <c r="AP71" s="85">
        <f>$I$14*$AP$14</f>
        <v>0</v>
      </c>
      <c r="AQ71" s="85">
        <f>$I$14*$AQ$14</f>
        <v>0</v>
      </c>
      <c r="AR71" s="85">
        <f>$I$14*$AR$14</f>
        <v>0</v>
      </c>
      <c r="AS71" s="85">
        <f>$I$14*$AS$14</f>
        <v>0</v>
      </c>
      <c r="AT71" s="85">
        <f>$I$14*$AT$14</f>
        <v>0</v>
      </c>
      <c r="AU71" s="85">
        <f>$I$14*$AU$14</f>
        <v>0</v>
      </c>
      <c r="AV71" s="85">
        <f>$I$14*$AV$14</f>
        <v>0</v>
      </c>
      <c r="AW71" s="85">
        <f>$I$14*$AW$14</f>
        <v>0</v>
      </c>
      <c r="AX71" s="85">
        <f>$I$14*$AX$14</f>
        <v>0</v>
      </c>
      <c r="AY71" s="85">
        <f>$I$14*$AY$14</f>
        <v>0</v>
      </c>
      <c r="AZ71" s="85">
        <f>$I$14*$AZ$14</f>
        <v>0</v>
      </c>
      <c r="BA71" s="85">
        <f>$I$14*$BA$14</f>
        <v>0</v>
      </c>
      <c r="BB71" s="85">
        <f>$I$14*$BB$14</f>
        <v>0</v>
      </c>
      <c r="BC71" s="85">
        <f>$I$14*$BC$14</f>
        <v>0</v>
      </c>
      <c r="BD71" s="85">
        <f>$I$14*$BD$14</f>
        <v>0</v>
      </c>
    </row>
    <row r="72" spans="1:56" ht="11.25" customHeight="1" x14ac:dyDescent="0.25">
      <c r="A72" s="9" t="s">
        <v>35</v>
      </c>
      <c r="B72" s="9" t="s">
        <v>984</v>
      </c>
      <c r="C72" s="9" t="s">
        <v>985</v>
      </c>
      <c r="D72" s="9" t="s">
        <v>986</v>
      </c>
      <c r="E72" s="9" t="s">
        <v>987</v>
      </c>
      <c r="F72" s="9" t="s">
        <v>988</v>
      </c>
      <c r="G72" s="9" t="s">
        <v>989</v>
      </c>
      <c r="L72" s="85">
        <f>$I$15*$L$15</f>
        <v>0</v>
      </c>
      <c r="M72" s="85">
        <f>$I$15*$M$15</f>
        <v>0</v>
      </c>
      <c r="N72" s="85">
        <f ca="1">$I$15*$N$15</f>
        <v>0</v>
      </c>
      <c r="O72" s="85">
        <f>$I$15*$O$15</f>
        <v>0</v>
      </c>
      <c r="P72" s="85">
        <f>$I$15*$P$15</f>
        <v>0</v>
      </c>
      <c r="Q72" s="85">
        <f>$I$15*$Q$15</f>
        <v>0</v>
      </c>
      <c r="R72" s="85">
        <f>$I$15*$R$15</f>
        <v>0</v>
      </c>
      <c r="S72" s="85">
        <f>$I$15*$S$15</f>
        <v>0</v>
      </c>
      <c r="T72" s="85">
        <f>$I$15*$T$15</f>
        <v>34790619.660393275</v>
      </c>
      <c r="U72" s="85">
        <f>$I$15*$U$15</f>
        <v>452368.13333830883</v>
      </c>
      <c r="V72" s="85">
        <f>$I$15*$V$15</f>
        <v>42417.925194377356</v>
      </c>
      <c r="W72" s="85">
        <f>$I$15*$W$15</f>
        <v>0</v>
      </c>
      <c r="X72" s="85">
        <f>$I$15*$X$15</f>
        <v>-530.43314676676835</v>
      </c>
      <c r="Y72" s="85">
        <f>$I$15*$Y$15</f>
        <v>0</v>
      </c>
      <c r="Z72" s="85">
        <f>$I$15*$Z$15</f>
        <v>0</v>
      </c>
      <c r="AA72" s="85">
        <f>$I$15*$AA$15</f>
        <v>160384725.08658075</v>
      </c>
      <c r="AB72" s="85">
        <f ca="1">$I$15*$AB$15</f>
        <v>0</v>
      </c>
      <c r="AC72" s="85">
        <f ca="1">$I$15*$AC$15</f>
        <v>0</v>
      </c>
      <c r="AD72" s="85">
        <f>$I$15*$AD$15</f>
        <v>0</v>
      </c>
      <c r="AE72" s="85">
        <f>$I$15*$AE$15</f>
        <v>0</v>
      </c>
      <c r="AF72" s="85">
        <f ca="1">$I$15*$AF$15</f>
        <v>0</v>
      </c>
      <c r="AG72" s="85">
        <f ca="1">$I$15*$AG$15</f>
        <v>0</v>
      </c>
      <c r="AI72" s="85">
        <f>$I$15*$AI$15</f>
        <v>0</v>
      </c>
      <c r="AJ72" s="85">
        <f>$I$15*$AJ$15</f>
        <v>0</v>
      </c>
      <c r="AK72" s="85">
        <f>$I$15*$AK$15</f>
        <v>0</v>
      </c>
      <c r="AL72" s="85">
        <f>$I$15*$AL$15</f>
        <v>0</v>
      </c>
      <c r="AM72" s="85">
        <f>$I$15*$AM$15</f>
        <v>0</v>
      </c>
      <c r="AN72" s="85">
        <f>$I$15*$AN$15</f>
        <v>0</v>
      </c>
      <c r="AO72" s="85">
        <f>$I$15*$AO$15</f>
        <v>0</v>
      </c>
      <c r="AP72" s="85">
        <f>$I$15*$AP$15</f>
        <v>0</v>
      </c>
      <c r="AQ72" s="85">
        <f>$I$15*$AQ$15</f>
        <v>27358324.688500196</v>
      </c>
      <c r="AR72" s="85">
        <f>$I$15*$AR$15</f>
        <v>4690019.1423925282</v>
      </c>
      <c r="AS72" s="85">
        <f>$I$15*$AS$15</f>
        <v>-230149.06327235358</v>
      </c>
      <c r="AT72" s="85">
        <f>$I$15*$AT$15</f>
        <v>0</v>
      </c>
      <c r="AU72" s="85">
        <f>$I$15*$AU$15</f>
        <v>48837.196023049561</v>
      </c>
      <c r="AV72" s="85">
        <f>$I$15*$AV$15</f>
        <v>0</v>
      </c>
      <c r="AW72" s="85">
        <f>$I$15*$AW$15</f>
        <v>0</v>
      </c>
      <c r="AX72" s="85">
        <f>$I$15*$AX$15</f>
        <v>143182606.49757093</v>
      </c>
      <c r="AY72" s="85">
        <f>$I$15*$AY$15</f>
        <v>0</v>
      </c>
      <c r="AZ72" s="85">
        <f>$I$15*$AZ$15</f>
        <v>0</v>
      </c>
      <c r="BA72" s="85">
        <f>$I$15*$BA$15</f>
        <v>0</v>
      </c>
      <c r="BB72" s="85">
        <f>$I$15*$BB$15</f>
        <v>0</v>
      </c>
      <c r="BC72" s="85">
        <f>$I$15*$BC$15</f>
        <v>0</v>
      </c>
      <c r="BD72" s="85">
        <f>$I$15*$BD$15</f>
        <v>0</v>
      </c>
    </row>
    <row r="73" spans="1:56" ht="11.25" customHeight="1" x14ac:dyDescent="0.25">
      <c r="A73" s="9" t="s">
        <v>35</v>
      </c>
      <c r="B73" s="9" t="s">
        <v>984</v>
      </c>
      <c r="C73" s="9" t="s">
        <v>985</v>
      </c>
      <c r="D73" s="9" t="s">
        <v>986</v>
      </c>
      <c r="E73" s="9" t="s">
        <v>987</v>
      </c>
      <c r="F73" s="9" t="s">
        <v>988</v>
      </c>
      <c r="G73" s="9" t="s">
        <v>990</v>
      </c>
      <c r="L73" s="85">
        <f>$I$16*$L$16</f>
        <v>1120243.9752937264</v>
      </c>
      <c r="M73" s="85">
        <f>$I$16*$M$16</f>
        <v>72381.821782666506</v>
      </c>
      <c r="N73" s="85">
        <f ca="1">$I$16*$N$16</f>
        <v>1268232.3042499679</v>
      </c>
      <c r="O73" s="85">
        <f>$I$16*$O$16</f>
        <v>0</v>
      </c>
      <c r="P73" s="85">
        <f>$I$16*$P$16</f>
        <v>0</v>
      </c>
      <c r="Q73" s="85">
        <f>$I$16*$Q$16</f>
        <v>1728593.3985114403</v>
      </c>
      <c r="R73" s="85">
        <f>$I$16*$R$16</f>
        <v>969526.7479472768</v>
      </c>
      <c r="S73" s="85">
        <f>$I$16*$S$16</f>
        <v>0</v>
      </c>
      <c r="T73" s="85">
        <f>$I$16*$T$16</f>
        <v>20800382.894706205</v>
      </c>
      <c r="U73" s="85">
        <f>$I$16*$U$16</f>
        <v>260754.3336816068</v>
      </c>
      <c r="V73" s="85">
        <f>$I$16*$V$16</f>
        <v>33653.118041369307</v>
      </c>
      <c r="W73" s="85">
        <f>$I$16*$W$16</f>
        <v>0</v>
      </c>
      <c r="X73" s="85">
        <f>$I$16*$X$16</f>
        <v>-1203.5577557013917</v>
      </c>
      <c r="Y73" s="85">
        <f>$I$16*$Y$16</f>
        <v>0</v>
      </c>
      <c r="Z73" s="85">
        <f>$I$16*$Z$16</f>
        <v>0</v>
      </c>
      <c r="AA73" s="85">
        <f>$I$16*$AA$16</f>
        <v>109100718.22645509</v>
      </c>
      <c r="AB73" s="85">
        <f ca="1">$I$16*$AB$16</f>
        <v>0</v>
      </c>
      <c r="AC73" s="85">
        <f ca="1">$I$16*$AC$16</f>
        <v>0</v>
      </c>
      <c r="AD73" s="85">
        <f>$I$16*$AD$16</f>
        <v>950306.59803096927</v>
      </c>
      <c r="AE73" s="85">
        <f>$I$16*$AE$16</f>
        <v>68433.201777958326</v>
      </c>
      <c r="AF73" s="85">
        <f ca="1">$I$16*$AF$16</f>
        <v>8916965.8693981711</v>
      </c>
      <c r="AG73" s="85">
        <f ca="1">$I$16*$AG$16</f>
        <v>1379887.9168032508</v>
      </c>
      <c r="AI73" s="85">
        <f>$I$16*$AI$16</f>
        <v>0</v>
      </c>
      <c r="AJ73" s="85">
        <f>$I$16*$AJ$16</f>
        <v>63120.86314181731</v>
      </c>
      <c r="AK73" s="85">
        <f>$I$16*$AK$16</f>
        <v>1155258.5524206441</v>
      </c>
      <c r="AL73" s="85">
        <f>$I$16*$AL$16</f>
        <v>0</v>
      </c>
      <c r="AM73" s="85">
        <f>$I$16*$AM$16</f>
        <v>0</v>
      </c>
      <c r="AN73" s="85">
        <f>$I$16*$AN$16</f>
        <v>1807444.301911447</v>
      </c>
      <c r="AO73" s="85">
        <f>$I$16*$AO$16</f>
        <v>689696.6032415668</v>
      </c>
      <c r="AP73" s="85">
        <f>$I$16*$AP$16</f>
        <v>0</v>
      </c>
      <c r="AQ73" s="85">
        <f>$I$16*$AQ$16</f>
        <v>16356812.107211139</v>
      </c>
      <c r="AR73" s="85">
        <f>$I$16*$AR$16</f>
        <v>2703423.8848870285</v>
      </c>
      <c r="AS73" s="85">
        <f>$I$16*$AS$16</f>
        <v>-182593.40969467635</v>
      </c>
      <c r="AT73" s="85">
        <f>$I$16*$AT$16</f>
        <v>0</v>
      </c>
      <c r="AU73" s="85">
        <f>$I$16*$AU$16</f>
        <v>110812.05312777153</v>
      </c>
      <c r="AV73" s="85">
        <f>$I$16*$AV$16</f>
        <v>0</v>
      </c>
      <c r="AW73" s="85">
        <f>$I$16*$AW$16</f>
        <v>0</v>
      </c>
      <c r="AX73" s="85">
        <f>$I$16*$AX$16</f>
        <v>97399083.347793788</v>
      </c>
      <c r="AY73" s="85">
        <f>$I$16*$AY$16</f>
        <v>0</v>
      </c>
      <c r="AZ73" s="85">
        <f>$I$16*$AZ$16</f>
        <v>0</v>
      </c>
      <c r="BA73" s="85">
        <f>$I$16*$BA$16</f>
        <v>888345.44274365518</v>
      </c>
      <c r="BB73" s="85">
        <f>$I$16*$BB$16</f>
        <v>69724.123491773993</v>
      </c>
      <c r="BC73" s="85">
        <f>$I$16*$BC$16</f>
        <v>9391072.8899331857</v>
      </c>
      <c r="BD73" s="85">
        <f>$I$16*$BD$16</f>
        <v>581924.42395638849</v>
      </c>
    </row>
    <row r="74" spans="1:56" ht="11.25" customHeight="1" x14ac:dyDescent="0.25">
      <c r="A74" s="9" t="s">
        <v>35</v>
      </c>
      <c r="B74" s="9" t="s">
        <v>984</v>
      </c>
      <c r="C74" s="9" t="s">
        <v>985</v>
      </c>
      <c r="D74" s="9" t="s">
        <v>986</v>
      </c>
      <c r="E74" s="9" t="s">
        <v>987</v>
      </c>
      <c r="F74" s="9" t="s">
        <v>988</v>
      </c>
      <c r="G74" s="9" t="s">
        <v>991</v>
      </c>
      <c r="L74" s="85">
        <f>$I$17*$L$17</f>
        <v>14014490.381285831</v>
      </c>
      <c r="M74" s="85">
        <f>$I$17*$M$17</f>
        <v>905511.98446494853</v>
      </c>
      <c r="N74" s="85">
        <f ca="1">$I$17*$N$17</f>
        <v>2293403.0250433804</v>
      </c>
      <c r="O74" s="85">
        <f>$I$17*$O$17</f>
        <v>0</v>
      </c>
      <c r="P74" s="85">
        <f>$I$17*$P$17</f>
        <v>0</v>
      </c>
      <c r="Q74" s="85">
        <f>$I$17*$Q$17</f>
        <v>21625071.047796451</v>
      </c>
      <c r="R74" s="85">
        <f>$I$17*$R$17</f>
        <v>12128985.813062586</v>
      </c>
      <c r="S74" s="85">
        <f>$I$17*$S$17</f>
        <v>0</v>
      </c>
      <c r="T74" s="85">
        <f>$I$17*$T$17</f>
        <v>0</v>
      </c>
      <c r="U74" s="85">
        <f>$I$17*$U$17</f>
        <v>0</v>
      </c>
      <c r="V74" s="85">
        <f>$I$17*$V$17</f>
        <v>0</v>
      </c>
      <c r="W74" s="85">
        <f>$I$17*$W$17</f>
        <v>0</v>
      </c>
      <c r="X74" s="85">
        <f>$I$17*$X$17</f>
        <v>0</v>
      </c>
      <c r="Y74" s="85">
        <f>$I$17*$Y$17</f>
        <v>0</v>
      </c>
      <c r="Z74" s="85">
        <f>$I$17*$Z$17</f>
        <v>0</v>
      </c>
      <c r="AA74" s="85">
        <f>$I$17*$AA$17</f>
        <v>0</v>
      </c>
      <c r="AB74" s="85">
        <f ca="1">$I$17*$AB$17</f>
        <v>0</v>
      </c>
      <c r="AC74" s="85">
        <f ca="1">$I$17*$AC$17</f>
        <v>0</v>
      </c>
      <c r="AD74" s="85">
        <f>$I$17*$AD$17</f>
        <v>11888537.649921751</v>
      </c>
      <c r="AE74" s="85">
        <f>$I$17*$AE$17</f>
        <v>856113.90842456988</v>
      </c>
      <c r="AF74" s="85">
        <f ca="1">$I$17*$AF$17</f>
        <v>111553139.46157898</v>
      </c>
      <c r="AG74" s="85">
        <f ca="1">$I$17*$AG$17</f>
        <v>17262691.30991862</v>
      </c>
      <c r="AI74" s="85">
        <f>$I$17*$AI$17</f>
        <v>0</v>
      </c>
      <c r="AJ74" s="85">
        <f>$I$17*$AJ$17</f>
        <v>789655.42227309488</v>
      </c>
      <c r="AK74" s="85">
        <f>$I$17*$AK$17</f>
        <v>2173914.3986120732</v>
      </c>
      <c r="AL74" s="85">
        <f>$I$17*$AL$17</f>
        <v>0</v>
      </c>
      <c r="AM74" s="85">
        <f>$I$17*$AM$17</f>
        <v>0</v>
      </c>
      <c r="AN74" s="85">
        <f>$I$17*$AN$17</f>
        <v>22611512.619120542</v>
      </c>
      <c r="AO74" s="85">
        <f>$I$17*$AO$17</f>
        <v>8628251.189300172</v>
      </c>
      <c r="AP74" s="85">
        <f>$I$17*$AP$17</f>
        <v>0</v>
      </c>
      <c r="AQ74" s="85">
        <f>$I$17*$AQ$17</f>
        <v>0</v>
      </c>
      <c r="AR74" s="85">
        <f>$I$17*$AR$17</f>
        <v>0</v>
      </c>
      <c r="AS74" s="85">
        <f>$I$17*$AS$17</f>
        <v>0</v>
      </c>
      <c r="AT74" s="85">
        <f>$I$17*$AT$17</f>
        <v>0</v>
      </c>
      <c r="AU74" s="85">
        <f>$I$17*$AU$17</f>
        <v>0</v>
      </c>
      <c r="AV74" s="85">
        <f>$I$17*$AV$17</f>
        <v>0</v>
      </c>
      <c r="AW74" s="85">
        <f>$I$17*$AW$17</f>
        <v>0</v>
      </c>
      <c r="AX74" s="85">
        <f>$I$17*$AX$17</f>
        <v>0</v>
      </c>
      <c r="AY74" s="85">
        <f>$I$17*$AY$17</f>
        <v>0</v>
      </c>
      <c r="AZ74" s="85">
        <f>$I$17*$AZ$17</f>
        <v>0</v>
      </c>
      <c r="BA74" s="85">
        <f>$I$17*$BA$17</f>
        <v>11113390.41955192</v>
      </c>
      <c r="BB74" s="85">
        <f>$I$17*$BB$17</f>
        <v>872263.61361403007</v>
      </c>
      <c r="BC74" s="85">
        <f>$I$17*$BC$17</f>
        <v>117484319.1202296</v>
      </c>
      <c r="BD74" s="85">
        <f>$I$17*$BD$17</f>
        <v>7279998.3057563649</v>
      </c>
    </row>
    <row r="75" spans="1:56" ht="11.25" customHeight="1" x14ac:dyDescent="0.25">
      <c r="A75" s="9" t="s">
        <v>35</v>
      </c>
      <c r="B75" s="9" t="s">
        <v>984</v>
      </c>
      <c r="C75" s="9" t="s">
        <v>985</v>
      </c>
      <c r="D75" s="9" t="s">
        <v>986</v>
      </c>
      <c r="E75" s="9" t="s">
        <v>992</v>
      </c>
      <c r="F75" s="9" t="s">
        <v>993</v>
      </c>
      <c r="G75" s="9" t="s">
        <v>994</v>
      </c>
      <c r="L75" s="85">
        <f>$I$18*$L$18</f>
        <v>0</v>
      </c>
      <c r="M75" s="85">
        <f>$I$18*$M$18</f>
        <v>0</v>
      </c>
      <c r="N75" s="85">
        <f ca="1">$I$18*$N$18</f>
        <v>0</v>
      </c>
      <c r="O75" s="85">
        <f>$I$18*$O$18</f>
        <v>0</v>
      </c>
      <c r="P75" s="85">
        <f>$I$18*$P$18</f>
        <v>0</v>
      </c>
      <c r="Q75" s="85">
        <f>$I$18*$Q$18</f>
        <v>0</v>
      </c>
      <c r="R75" s="85">
        <f>$I$18*$R$18</f>
        <v>0</v>
      </c>
      <c r="S75" s="85">
        <f>$I$18*$S$18</f>
        <v>0</v>
      </c>
      <c r="T75" s="85">
        <f>$I$18*$T$18</f>
        <v>0</v>
      </c>
      <c r="U75" s="85">
        <f>$I$18*$U$18</f>
        <v>0</v>
      </c>
      <c r="V75" s="85">
        <f>$I$18*$V$18</f>
        <v>0</v>
      </c>
      <c r="W75" s="85">
        <f>$I$18*$W$18</f>
        <v>0</v>
      </c>
      <c r="X75" s="85">
        <f>$I$18*$X$18</f>
        <v>0</v>
      </c>
      <c r="Y75" s="85">
        <f>$I$18*$Y$18</f>
        <v>0</v>
      </c>
      <c r="Z75" s="85">
        <f>$I$18*$Z$18</f>
        <v>0</v>
      </c>
      <c r="AA75" s="85">
        <f>$I$18*$AA$18</f>
        <v>0</v>
      </c>
      <c r="AB75" s="85">
        <f ca="1">$I$18*$AB$18</f>
        <v>0</v>
      </c>
      <c r="AC75" s="85">
        <f ca="1">$I$18*$AC$18</f>
        <v>0</v>
      </c>
      <c r="AD75" s="85">
        <f>$I$18*$AD$18</f>
        <v>0</v>
      </c>
      <c r="AE75" s="85">
        <f>$I$18*$AE$18</f>
        <v>0</v>
      </c>
      <c r="AF75" s="85">
        <f ca="1">$I$18*$AF$18</f>
        <v>0</v>
      </c>
      <c r="AG75" s="85">
        <f ca="1">$I$18*$AG$18</f>
        <v>0</v>
      </c>
      <c r="AI75" s="85">
        <f>$I$18*$AI$18</f>
        <v>0</v>
      </c>
      <c r="AJ75" s="85">
        <f>$I$18*$AJ$18</f>
        <v>0</v>
      </c>
      <c r="AK75" s="85">
        <f>$I$18*$AK$18</f>
        <v>0</v>
      </c>
      <c r="AL75" s="85">
        <f>$I$18*$AL$18</f>
        <v>0</v>
      </c>
      <c r="AM75" s="85">
        <f>$I$18*$AM$18</f>
        <v>0</v>
      </c>
      <c r="AN75" s="85">
        <f>$I$18*$AN$18</f>
        <v>0</v>
      </c>
      <c r="AO75" s="85">
        <f>$I$18*$AO$18</f>
        <v>0</v>
      </c>
      <c r="AP75" s="85">
        <f>$I$18*$AP$18</f>
        <v>0</v>
      </c>
      <c r="AQ75" s="85">
        <f>$I$18*$AQ$18</f>
        <v>0</v>
      </c>
      <c r="AR75" s="85">
        <f>$I$18*$AR$18</f>
        <v>0</v>
      </c>
      <c r="AS75" s="85">
        <f>$I$18*$AS$18</f>
        <v>0</v>
      </c>
      <c r="AT75" s="85">
        <f>$I$18*$AT$18</f>
        <v>0</v>
      </c>
      <c r="AU75" s="85">
        <f>$I$18*$AU$18</f>
        <v>0</v>
      </c>
      <c r="AV75" s="85">
        <f>$I$18*$AV$18</f>
        <v>0</v>
      </c>
      <c r="AW75" s="85">
        <f>$I$18*$AW$18</f>
        <v>0</v>
      </c>
      <c r="AX75" s="85">
        <f>$I$18*$AX$18</f>
        <v>0</v>
      </c>
      <c r="AY75" s="85">
        <f>$I$18*$AY$18</f>
        <v>0</v>
      </c>
      <c r="AZ75" s="85">
        <f>$I$18*$AZ$18</f>
        <v>0</v>
      </c>
      <c r="BA75" s="85">
        <f>$I$18*$BA$18</f>
        <v>0</v>
      </c>
      <c r="BB75" s="85">
        <f>$I$18*$BB$18</f>
        <v>0</v>
      </c>
      <c r="BC75" s="85">
        <f>$I$18*$BC$18</f>
        <v>0</v>
      </c>
      <c r="BD75" s="85">
        <f>$I$18*$BD$18</f>
        <v>0</v>
      </c>
    </row>
    <row r="76" spans="1:56" ht="11.25" customHeight="1" x14ac:dyDescent="0.25">
      <c r="A76" s="9" t="s">
        <v>35</v>
      </c>
      <c r="B76" s="9" t="s">
        <v>984</v>
      </c>
      <c r="C76" s="9" t="s">
        <v>985</v>
      </c>
      <c r="D76" s="9" t="s">
        <v>986</v>
      </c>
      <c r="E76" s="9" t="s">
        <v>992</v>
      </c>
      <c r="F76" s="9" t="s">
        <v>993</v>
      </c>
      <c r="G76" s="9" t="s">
        <v>995</v>
      </c>
      <c r="L76" s="85">
        <f>$I$19*$L$19</f>
        <v>0</v>
      </c>
      <c r="M76" s="85">
        <f>$I$19*$M$19</f>
        <v>0</v>
      </c>
      <c r="N76" s="85">
        <f ca="1">$I$19*$N$19</f>
        <v>0</v>
      </c>
      <c r="O76" s="85">
        <f>$I$19*$O$19</f>
        <v>0</v>
      </c>
      <c r="P76" s="85">
        <f>$I$19*$P$19</f>
        <v>0</v>
      </c>
      <c r="Q76" s="85">
        <f>$I$19*$Q$19</f>
        <v>0</v>
      </c>
      <c r="R76" s="85">
        <f>$I$19*$R$19</f>
        <v>0</v>
      </c>
      <c r="S76" s="85">
        <f>$I$19*$S$19</f>
        <v>0</v>
      </c>
      <c r="T76" s="85">
        <f>$I$19*$T$19</f>
        <v>0</v>
      </c>
      <c r="U76" s="85">
        <f>$I$19*$U$19</f>
        <v>0</v>
      </c>
      <c r="V76" s="85">
        <f>$I$19*$V$19</f>
        <v>0</v>
      </c>
      <c r="W76" s="85">
        <f>$I$19*$W$19</f>
        <v>0</v>
      </c>
      <c r="X76" s="85">
        <f>$I$19*$X$19</f>
        <v>0</v>
      </c>
      <c r="Y76" s="85">
        <f>$I$19*$Y$19</f>
        <v>0</v>
      </c>
      <c r="Z76" s="85">
        <f>$I$19*$Z$19</f>
        <v>0</v>
      </c>
      <c r="AA76" s="85">
        <f>$I$19*$AA$19</f>
        <v>0</v>
      </c>
      <c r="AB76" s="85">
        <f ca="1">$I$19*$AB$19</f>
        <v>0</v>
      </c>
      <c r="AC76" s="85">
        <f ca="1">$I$19*$AC$19</f>
        <v>0</v>
      </c>
      <c r="AD76" s="85">
        <f>$I$19*$AD$19</f>
        <v>0</v>
      </c>
      <c r="AE76" s="85">
        <f>$I$19*$AE$19</f>
        <v>0</v>
      </c>
      <c r="AF76" s="85">
        <f ca="1">$I$19*$AF$19</f>
        <v>0</v>
      </c>
      <c r="AG76" s="85">
        <f ca="1">$I$19*$AG$19</f>
        <v>0</v>
      </c>
      <c r="AI76" s="85">
        <f>$I$19*$AI$19</f>
        <v>0</v>
      </c>
      <c r="AJ76" s="85">
        <f>$I$19*$AJ$19</f>
        <v>0</v>
      </c>
      <c r="AK76" s="85">
        <f>$I$19*$AK$19</f>
        <v>0</v>
      </c>
      <c r="AL76" s="85">
        <f>$I$19*$AL$19</f>
        <v>0</v>
      </c>
      <c r="AM76" s="85">
        <f>$I$19*$AM$19</f>
        <v>0</v>
      </c>
      <c r="AN76" s="85">
        <f>$I$19*$AN$19</f>
        <v>0</v>
      </c>
      <c r="AO76" s="85">
        <f>$I$19*$AO$19</f>
        <v>0</v>
      </c>
      <c r="AP76" s="85">
        <f>$I$19*$AP$19</f>
        <v>0</v>
      </c>
      <c r="AQ76" s="85">
        <f>$I$19*$AQ$19</f>
        <v>0</v>
      </c>
      <c r="AR76" s="85">
        <f>$I$19*$AR$19</f>
        <v>0</v>
      </c>
      <c r="AS76" s="85">
        <f>$I$19*$AS$19</f>
        <v>0</v>
      </c>
      <c r="AT76" s="85">
        <f>$I$19*$AT$19</f>
        <v>0</v>
      </c>
      <c r="AU76" s="85">
        <f>$I$19*$AU$19</f>
        <v>0</v>
      </c>
      <c r="AV76" s="85">
        <f>$I$19*$AV$19</f>
        <v>0</v>
      </c>
      <c r="AW76" s="85">
        <f>$I$19*$AW$19</f>
        <v>0</v>
      </c>
      <c r="AX76" s="85">
        <f>$I$19*$AX$19</f>
        <v>0</v>
      </c>
      <c r="AY76" s="85">
        <f>$I$19*$AY$19</f>
        <v>0</v>
      </c>
      <c r="AZ76" s="85">
        <f>$I$19*$AZ$19</f>
        <v>0</v>
      </c>
      <c r="BA76" s="85">
        <f>$I$19*$BA$19</f>
        <v>0</v>
      </c>
      <c r="BB76" s="85">
        <f>$I$19*$BB$19</f>
        <v>0</v>
      </c>
      <c r="BC76" s="85">
        <f>$I$19*$BC$19</f>
        <v>0</v>
      </c>
      <c r="BD76" s="85">
        <f>$I$19*$BD$19</f>
        <v>0</v>
      </c>
    </row>
    <row r="77" spans="1:56" ht="11.25" customHeight="1" x14ac:dyDescent="0.25">
      <c r="A77" s="9" t="s">
        <v>95</v>
      </c>
      <c r="B77" s="9" t="s">
        <v>996</v>
      </c>
      <c r="C77" s="9" t="s">
        <v>997</v>
      </c>
      <c r="D77" s="9" t="s">
        <v>998</v>
      </c>
      <c r="E77" s="9" t="s">
        <v>999</v>
      </c>
      <c r="F77" s="9" t="s">
        <v>1000</v>
      </c>
      <c r="G77" s="9" t="s">
        <v>1001</v>
      </c>
      <c r="L77" s="85">
        <f>$I$20*$L$20</f>
        <v>0</v>
      </c>
      <c r="M77" s="85">
        <f>$I$20*$M$20</f>
        <v>8.4748332068582551E-11</v>
      </c>
      <c r="N77" s="85">
        <f ca="1">$I$20*$N$20</f>
        <v>1.8981356871754726E-10</v>
      </c>
      <c r="O77" s="85">
        <f>$I$20*$O$20</f>
        <v>0</v>
      </c>
      <c r="P77" s="85">
        <f>$I$20*$P$20</f>
        <v>0</v>
      </c>
      <c r="Q77" s="85">
        <f>$I$20*$Q$20</f>
        <v>0</v>
      </c>
      <c r="R77" s="85">
        <f>$I$20*$R$20</f>
        <v>0</v>
      </c>
      <c r="S77" s="85">
        <f>$I$20*$S$20</f>
        <v>0</v>
      </c>
      <c r="T77" s="85">
        <f>$I$20*$T$20</f>
        <v>0</v>
      </c>
      <c r="U77" s="85">
        <f>$I$20*$U$20</f>
        <v>0</v>
      </c>
      <c r="V77" s="85">
        <f>$I$20*$V$20</f>
        <v>0</v>
      </c>
      <c r="W77" s="85">
        <f>$I$20*$W$20</f>
        <v>0</v>
      </c>
      <c r="X77" s="85">
        <f>$I$20*$X$20</f>
        <v>0</v>
      </c>
      <c r="Y77" s="85">
        <f>$I$20*$Y$20</f>
        <v>0</v>
      </c>
      <c r="Z77" s="85">
        <f>$I$20*$Z$20</f>
        <v>0</v>
      </c>
      <c r="AA77" s="85">
        <f>$I$20*$AA$20</f>
        <v>2.3315246185162706E-8</v>
      </c>
      <c r="AB77" s="85">
        <f ca="1">$I$20*$AB$20</f>
        <v>0</v>
      </c>
      <c r="AC77" s="85">
        <f ca="1">$I$20*$AC$20</f>
        <v>0</v>
      </c>
      <c r="AD77" s="85">
        <f>$I$20*$AD$20</f>
        <v>0</v>
      </c>
      <c r="AE77" s="85">
        <f>$I$20*$AE$20</f>
        <v>0</v>
      </c>
      <c r="AF77" s="85">
        <f ca="1">$I$20*$AF$20</f>
        <v>0</v>
      </c>
      <c r="AG77" s="85">
        <f ca="1">$I$20*$AG$20</f>
        <v>0</v>
      </c>
      <c r="AI77" s="85">
        <f>$I$20*$AI$20</f>
        <v>0</v>
      </c>
      <c r="AJ77" s="85">
        <f>$I$20*$AJ$20</f>
        <v>8.0890781076352308E-11</v>
      </c>
      <c r="AK77" s="85">
        <f>$I$20*$AK$20</f>
        <v>1.71718989330558E-10</v>
      </c>
      <c r="AL77" s="85">
        <f>$I$20*$AL$20</f>
        <v>0</v>
      </c>
      <c r="AM77" s="85">
        <f>$I$20*$AM$20</f>
        <v>0</v>
      </c>
      <c r="AN77" s="85">
        <f>$I$20*$AN$20</f>
        <v>0</v>
      </c>
      <c r="AO77" s="85">
        <f>$I$20*$AO$20</f>
        <v>0</v>
      </c>
      <c r="AP77" s="85">
        <f>$I$20*$AP$20</f>
        <v>0</v>
      </c>
      <c r="AQ77" s="85">
        <f>$I$20*$AQ$20</f>
        <v>0</v>
      </c>
      <c r="AR77" s="85">
        <f>$I$20*$AR$20</f>
        <v>0</v>
      </c>
      <c r="AS77" s="85">
        <f>$I$20*$AS$20</f>
        <v>0</v>
      </c>
      <c r="AT77" s="85">
        <f>$I$20*$AT$20</f>
        <v>0</v>
      </c>
      <c r="AU77" s="85">
        <f>$I$20*$AU$20</f>
        <v>0</v>
      </c>
      <c r="AV77" s="85">
        <f>$I$20*$AV$20</f>
        <v>0</v>
      </c>
      <c r="AW77" s="85">
        <f>$I$20*$AW$20</f>
        <v>0</v>
      </c>
      <c r="AX77" s="85">
        <f>$I$20*$AX$20</f>
        <v>2.0814561474741404E-8</v>
      </c>
      <c r="AY77" s="85">
        <f>$I$20*$AY$20</f>
        <v>0</v>
      </c>
      <c r="AZ77" s="85">
        <f>$I$20*$AZ$20</f>
        <v>0</v>
      </c>
      <c r="BA77" s="85">
        <f>$I$20*$BA$20</f>
        <v>0</v>
      </c>
      <c r="BB77" s="85">
        <f>$I$20*$BB$20</f>
        <v>0</v>
      </c>
      <c r="BC77" s="85">
        <f>$I$20*$BC$20</f>
        <v>0</v>
      </c>
      <c r="BD77" s="85">
        <f>$I$20*$BD$20</f>
        <v>0</v>
      </c>
    </row>
    <row r="78" spans="1:56" ht="11.25" customHeight="1" x14ac:dyDescent="0.25">
      <c r="A78" s="9" t="s">
        <v>95</v>
      </c>
      <c r="B78" s="9" t="s">
        <v>996</v>
      </c>
      <c r="C78" s="9" t="s">
        <v>997</v>
      </c>
      <c r="D78" s="9" t="s">
        <v>998</v>
      </c>
      <c r="E78" s="9" t="s">
        <v>1002</v>
      </c>
      <c r="F78" s="9" t="s">
        <v>1003</v>
      </c>
      <c r="G78" s="9" t="s">
        <v>1004</v>
      </c>
      <c r="L78" s="85">
        <f>$I$21*$L$21</f>
        <v>0</v>
      </c>
      <c r="M78" s="85">
        <f>$I$21*$M$21</f>
        <v>8.4748332068582551E-11</v>
      </c>
      <c r="N78" s="85">
        <f ca="1">$I$21*$N$21</f>
        <v>1.8981356871754726E-10</v>
      </c>
      <c r="O78" s="85">
        <f>$I$21*$O$21</f>
        <v>0</v>
      </c>
      <c r="P78" s="85">
        <f>$I$21*$P$21</f>
        <v>0</v>
      </c>
      <c r="Q78" s="85">
        <f>$I$21*$Q$21</f>
        <v>0</v>
      </c>
      <c r="R78" s="85">
        <f>$I$21*$R$21</f>
        <v>0</v>
      </c>
      <c r="S78" s="85">
        <f>$I$21*$S$21</f>
        <v>0</v>
      </c>
      <c r="T78" s="85">
        <f>$I$21*$T$21</f>
        <v>0</v>
      </c>
      <c r="U78" s="85">
        <f>$I$21*$U$21</f>
        <v>0</v>
      </c>
      <c r="V78" s="85">
        <f>$I$21*$V$21</f>
        <v>0</v>
      </c>
      <c r="W78" s="85">
        <f>$I$21*$W$21</f>
        <v>0</v>
      </c>
      <c r="X78" s="85">
        <f>$I$21*$X$21</f>
        <v>0</v>
      </c>
      <c r="Y78" s="85">
        <f>$I$21*$Y$21</f>
        <v>0</v>
      </c>
      <c r="Z78" s="85">
        <f>$I$21*$Z$21</f>
        <v>0</v>
      </c>
      <c r="AA78" s="85">
        <f>$I$21*$AA$21</f>
        <v>1.9431678202250517E-7</v>
      </c>
      <c r="AB78" s="85">
        <f ca="1">$I$21*$AB$21</f>
        <v>0</v>
      </c>
      <c r="AC78" s="85">
        <f ca="1">$I$21*$AC$21</f>
        <v>0</v>
      </c>
      <c r="AD78" s="85">
        <f>$I$21*$AD$21</f>
        <v>0</v>
      </c>
      <c r="AE78" s="85">
        <f>$I$21*$AE$21</f>
        <v>0</v>
      </c>
      <c r="AF78" s="85">
        <f ca="1">$I$21*$AF$21</f>
        <v>0</v>
      </c>
      <c r="AG78" s="85">
        <f ca="1">$I$21*$AG$21</f>
        <v>0</v>
      </c>
      <c r="AI78" s="85">
        <f>$I$21*$AI$21</f>
        <v>0</v>
      </c>
      <c r="AJ78" s="85">
        <f>$I$21*$AJ$21</f>
        <v>8.0890781076352308E-11</v>
      </c>
      <c r="AK78" s="85">
        <f>$I$21*$AK$21</f>
        <v>1.71718989330558E-10</v>
      </c>
      <c r="AL78" s="85">
        <f>$I$21*$AL$21</f>
        <v>0</v>
      </c>
      <c r="AM78" s="85">
        <f>$I$21*$AM$21</f>
        <v>0</v>
      </c>
      <c r="AN78" s="85">
        <f>$I$21*$AN$21</f>
        <v>0</v>
      </c>
      <c r="AO78" s="85">
        <f>$I$21*$AO$21</f>
        <v>0</v>
      </c>
      <c r="AP78" s="85">
        <f>$I$21*$AP$21</f>
        <v>0</v>
      </c>
      <c r="AQ78" s="85">
        <f>$I$21*$AQ$21</f>
        <v>0</v>
      </c>
      <c r="AR78" s="85">
        <f>$I$21*$AR$21</f>
        <v>0</v>
      </c>
      <c r="AS78" s="85">
        <f>$I$21*$AS$21</f>
        <v>0</v>
      </c>
      <c r="AT78" s="85">
        <f>$I$21*$AT$21</f>
        <v>0</v>
      </c>
      <c r="AU78" s="85">
        <f>$I$21*$AU$21</f>
        <v>0</v>
      </c>
      <c r="AV78" s="85">
        <f>$I$21*$AV$21</f>
        <v>0</v>
      </c>
      <c r="AW78" s="85">
        <f>$I$21*$AW$21</f>
        <v>0</v>
      </c>
      <c r="AX78" s="85">
        <f>$I$21*$AX$21</f>
        <v>1.73475269051856E-7</v>
      </c>
      <c r="AY78" s="85">
        <f>$I$21*$AY$21</f>
        <v>0</v>
      </c>
      <c r="AZ78" s="85">
        <f>$I$21*$AZ$21</f>
        <v>0</v>
      </c>
      <c r="BA78" s="85">
        <f>$I$21*$BA$21</f>
        <v>0</v>
      </c>
      <c r="BB78" s="85">
        <f>$I$21*$BB$21</f>
        <v>0</v>
      </c>
      <c r="BC78" s="85">
        <f>$I$21*$BC$21</f>
        <v>0</v>
      </c>
      <c r="BD78" s="85">
        <f>$I$21*$BD$21</f>
        <v>0</v>
      </c>
    </row>
    <row r="79" spans="1:56" ht="11.25" customHeight="1" x14ac:dyDescent="0.25">
      <c r="A79" s="9" t="s">
        <v>22</v>
      </c>
      <c r="B79" s="9" t="s">
        <v>1005</v>
      </c>
      <c r="C79" s="9" t="s">
        <v>1006</v>
      </c>
      <c r="D79" s="9" t="s">
        <v>1007</v>
      </c>
      <c r="E79" s="9" t="s">
        <v>1008</v>
      </c>
      <c r="F79" s="9" t="s">
        <v>1009</v>
      </c>
      <c r="G79" s="9" t="s">
        <v>1010</v>
      </c>
      <c r="L79" s="85">
        <f>$I$22*$L$22</f>
        <v>447.25915271258958</v>
      </c>
      <c r="M79" s="85">
        <f>$I$22*$M$22</f>
        <v>27.631922667863595</v>
      </c>
      <c r="N79" s="85">
        <f ca="1">$I$22*$N$22</f>
        <v>319.78222184277178</v>
      </c>
      <c r="O79" s="85">
        <f>$I$22*$O$22</f>
        <v>0</v>
      </c>
      <c r="P79" s="85">
        <f>$I$22*$P$22</f>
        <v>0</v>
      </c>
      <c r="Q79" s="85">
        <f>$I$22*$Q$22</f>
        <v>690.14360786907059</v>
      </c>
      <c r="R79" s="85">
        <f>$I$22*$R$22</f>
        <v>336.76400641538191</v>
      </c>
      <c r="S79" s="85">
        <f>$I$22*$S$22</f>
        <v>0</v>
      </c>
      <c r="T79" s="85">
        <f>$I$22*$T$22</f>
        <v>4161.9451809817883</v>
      </c>
      <c r="U79" s="85">
        <f>$I$22*$U$22</f>
        <v>51.393727157490368</v>
      </c>
      <c r="V79" s="85">
        <f>$I$22*$V$22</f>
        <v>7.0083381860831446</v>
      </c>
      <c r="W79" s="85">
        <f>$I$22*$W$22</f>
        <v>0</v>
      </c>
      <c r="X79" s="85">
        <f>$I$22*$X$22</f>
        <v>-0.18115329767932986</v>
      </c>
      <c r="Y79" s="85">
        <f>$I$22*$Y$22</f>
        <v>0</v>
      </c>
      <c r="Z79" s="85">
        <f>$I$22*$Z$22</f>
        <v>0</v>
      </c>
      <c r="AA79" s="85">
        <f>$I$22*$AA$22</f>
        <v>22622.941081395606</v>
      </c>
      <c r="AB79" s="85">
        <f ca="1">$I$22*$AB$22</f>
        <v>0</v>
      </c>
      <c r="AC79" s="85">
        <f ca="1">$I$22*$AC$22</f>
        <v>0</v>
      </c>
      <c r="AD79" s="85">
        <f>$I$22*$AD$22</f>
        <v>1460.8304695503996</v>
      </c>
      <c r="AE79" s="85">
        <f>$I$22*$AE$22</f>
        <v>105.19689802561409</v>
      </c>
      <c r="AF79" s="85">
        <f ca="1">$I$22*$AF$22</f>
        <v>3613.3145879520916</v>
      </c>
      <c r="AG79" s="85">
        <f ca="1">$I$22*$AG$22</f>
        <v>559.15534639817179</v>
      </c>
      <c r="AI79" s="85">
        <f>$I$22*$AI$22</f>
        <v>0</v>
      </c>
      <c r="AJ79" s="85">
        <f>$I$22*$AJ$22</f>
        <v>23.272006835531116</v>
      </c>
      <c r="AK79" s="85">
        <f>$I$22*$AK$22</f>
        <v>291.09546773509351</v>
      </c>
      <c r="AL79" s="85">
        <f>$I$22*$AL$22</f>
        <v>0</v>
      </c>
      <c r="AM79" s="85">
        <f>$I$22*$AM$22</f>
        <v>0</v>
      </c>
      <c r="AN79" s="85">
        <f>$I$22*$AN$22</f>
        <v>705.40866281859826</v>
      </c>
      <c r="AO79" s="85">
        <f>$I$22*$AO$22</f>
        <v>239.56532587726068</v>
      </c>
      <c r="AP79" s="85">
        <f>$I$22*$AP$22</f>
        <v>0</v>
      </c>
      <c r="AQ79" s="85">
        <f>$I$22*$AQ$22</f>
        <v>3272.8318353772929</v>
      </c>
      <c r="AR79" s="85">
        <f>$I$22*$AR$22</f>
        <v>532.83497754088182</v>
      </c>
      <c r="AS79" s="85">
        <f>$I$22*$AS$22</f>
        <v>-38.025491846468235</v>
      </c>
      <c r="AT79" s="85">
        <f>$I$22*$AT$22</f>
        <v>0</v>
      </c>
      <c r="AU79" s="85">
        <f>$I$22*$AU$22</f>
        <v>16.678857953945414</v>
      </c>
      <c r="AV79" s="85">
        <f>$I$22*$AV$22</f>
        <v>0</v>
      </c>
      <c r="AW79" s="85">
        <f>$I$22*$AW$22</f>
        <v>0</v>
      </c>
      <c r="AX79" s="85">
        <f>$I$22*$AX$22</f>
        <v>20196.509791855602</v>
      </c>
      <c r="AY79" s="85">
        <f>$I$22*$AY$22</f>
        <v>0</v>
      </c>
      <c r="AZ79" s="85">
        <f>$I$22*$AZ$22</f>
        <v>0</v>
      </c>
      <c r="BA79" s="85">
        <f>$I$22*$BA$22</f>
        <v>1365.5825319271119</v>
      </c>
      <c r="BB79" s="85">
        <f>$I$22*$BB$22</f>
        <v>107.181328921131</v>
      </c>
      <c r="BC79" s="85">
        <f>$I$22*$BC$22</f>
        <v>3719.550981047747</v>
      </c>
      <c r="BD79" s="85">
        <f>$I$22*$BD$22</f>
        <v>230.4845875856075</v>
      </c>
    </row>
    <row r="80" spans="1:56" ht="11.25" customHeight="1" x14ac:dyDescent="0.25">
      <c r="A80" s="9" t="s">
        <v>22</v>
      </c>
      <c r="B80" s="9" t="s">
        <v>1005</v>
      </c>
      <c r="C80" s="9" t="s">
        <v>1006</v>
      </c>
      <c r="D80" s="9" t="s">
        <v>1007</v>
      </c>
      <c r="E80" s="9" t="s">
        <v>1008</v>
      </c>
      <c r="F80" s="9" t="s">
        <v>1009</v>
      </c>
      <c r="G80" s="9" t="s">
        <v>1011</v>
      </c>
      <c r="L80" s="85">
        <f>$I$23*$L$23</f>
        <v>438.63035876958139</v>
      </c>
      <c r="M80" s="85">
        <f>$I$23*$M$23</f>
        <v>27.098830912213494</v>
      </c>
      <c r="N80" s="85">
        <f ca="1">$I$23*$N$23</f>
        <v>225.98385597903814</v>
      </c>
      <c r="O80" s="85">
        <f>$I$23*$O$23</f>
        <v>0</v>
      </c>
      <c r="P80" s="85">
        <f>$I$23*$P$23</f>
        <v>0</v>
      </c>
      <c r="Q80" s="85">
        <f>$I$23*$Q$23</f>
        <v>676.82894019313994</v>
      </c>
      <c r="R80" s="85">
        <f>$I$23*$R$23</f>
        <v>330.26695162923306</v>
      </c>
      <c r="S80" s="85">
        <f>$I$23*$S$23</f>
        <v>0</v>
      </c>
      <c r="T80" s="85">
        <f>$I$23*$T$23</f>
        <v>2448.9888730197604</v>
      </c>
      <c r="U80" s="85">
        <f>$I$23*$U$23</f>
        <v>30.241267869391724</v>
      </c>
      <c r="V80" s="85">
        <f>$I$23*$V$23</f>
        <v>4.1236306404011014</v>
      </c>
      <c r="W80" s="85">
        <f>$I$23*$W$23</f>
        <v>0</v>
      </c>
      <c r="X80" s="85">
        <f>$I$23*$X$23</f>
        <v>-0.10658085426588394</v>
      </c>
      <c r="Y80" s="85">
        <f>$I$23*$Y$23</f>
        <v>0</v>
      </c>
      <c r="Z80" s="85">
        <f>$I$23*$Z$23</f>
        <v>0</v>
      </c>
      <c r="AA80" s="85">
        <f>$I$23*$AA$23</f>
        <v>13311.889258611422</v>
      </c>
      <c r="AB80" s="85">
        <f ca="1">$I$23*$AB$23</f>
        <v>0</v>
      </c>
      <c r="AC80" s="85">
        <f ca="1">$I$23*$AC$23</f>
        <v>0</v>
      </c>
      <c r="AD80" s="85">
        <f>$I$23*$AD$23</f>
        <v>1432.6472450574656</v>
      </c>
      <c r="AE80" s="85">
        <f>$I$23*$AE$23</f>
        <v>103.16737587720995</v>
      </c>
      <c r="AF80" s="85">
        <f ca="1">$I$23*$AF$23</f>
        <v>3543.6043386668421</v>
      </c>
      <c r="AG80" s="85">
        <f ca="1">$I$23*$AG$23</f>
        <v>548.36778344515233</v>
      </c>
      <c r="AI80" s="85">
        <f>$I$23*$AI$23</f>
        <v>0</v>
      </c>
      <c r="AJ80" s="85">
        <f>$I$23*$AJ$23</f>
        <v>22.823029211694504</v>
      </c>
      <c r="AK80" s="85">
        <f>$I$23*$AK$23</f>
        <v>206.20404963262365</v>
      </c>
      <c r="AL80" s="85">
        <f>$I$23*$AL$23</f>
        <v>0</v>
      </c>
      <c r="AM80" s="85">
        <f>$I$23*$AM$23</f>
        <v>0</v>
      </c>
      <c r="AN80" s="85">
        <f>$I$23*$AN$23</f>
        <v>691.79949247483103</v>
      </c>
      <c r="AO80" s="85">
        <f>$I$23*$AO$23</f>
        <v>234.94348679281191</v>
      </c>
      <c r="AP80" s="85">
        <f>$I$23*$AP$23</f>
        <v>0</v>
      </c>
      <c r="AQ80" s="85">
        <f>$I$23*$AQ$23</f>
        <v>1925.8131473546</v>
      </c>
      <c r="AR80" s="85">
        <f>$I$23*$AR$23</f>
        <v>313.5325296921323</v>
      </c>
      <c r="AS80" s="85">
        <f>$I$23*$AS$23</f>
        <v>-22.37378949631627</v>
      </c>
      <c r="AT80" s="85">
        <f>$I$23*$AT$23</f>
        <v>0</v>
      </c>
      <c r="AU80" s="85">
        <f>$I$23*$AU$23</f>
        <v>9.8129426937486031</v>
      </c>
      <c r="AV80" s="85">
        <f>$I$23*$AV$23</f>
        <v>0</v>
      </c>
      <c r="AW80" s="85">
        <f>$I$23*$AW$23</f>
        <v>0</v>
      </c>
      <c r="AX80" s="85">
        <f>$I$23*$AX$23</f>
        <v>11884.118019506312</v>
      </c>
      <c r="AY80" s="85">
        <f>$I$23*$AY$23</f>
        <v>0</v>
      </c>
      <c r="AZ80" s="85">
        <f>$I$23*$AZ$23</f>
        <v>0</v>
      </c>
      <c r="BA80" s="85">
        <f>$I$23*$BA$23</f>
        <v>1339.2368882243379</v>
      </c>
      <c r="BB80" s="85">
        <f>$I$23*$BB$23</f>
        <v>105.11352193229889</v>
      </c>
      <c r="BC80" s="85">
        <f>$I$23*$BC$23</f>
        <v>3647.7911550468257</v>
      </c>
      <c r="BD80" s="85">
        <f>$I$23*$BD$23</f>
        <v>226.03793959360218</v>
      </c>
    </row>
    <row r="81" spans="1:56" ht="11.25" customHeight="1" x14ac:dyDescent="0.25">
      <c r="A81" s="9" t="s">
        <v>22</v>
      </c>
      <c r="B81" s="9" t="s">
        <v>1005</v>
      </c>
      <c r="C81" s="9" t="s">
        <v>1006</v>
      </c>
      <c r="D81" s="9" t="s">
        <v>1007</v>
      </c>
      <c r="E81" s="9" t="s">
        <v>1008</v>
      </c>
      <c r="F81" s="9" t="s">
        <v>1009</v>
      </c>
      <c r="G81" s="9" t="s">
        <v>1012</v>
      </c>
      <c r="L81" s="85">
        <f>$I$24*$L$24</f>
        <v>6655.3098119577462</v>
      </c>
      <c r="M81" s="85">
        <f>$I$24*$M$24</f>
        <v>411.16879316914606</v>
      </c>
      <c r="N81" s="85">
        <f ca="1">$I$24*$N$24</f>
        <v>2099.2510741332148</v>
      </c>
      <c r="O81" s="85">
        <f>$I$24*$O$24</f>
        <v>0</v>
      </c>
      <c r="P81" s="85">
        <f>$I$24*$P$24</f>
        <v>0</v>
      </c>
      <c r="Q81" s="85">
        <f>$I$24*$Q$24</f>
        <v>10269.481344884854</v>
      </c>
      <c r="R81" s="85">
        <f>$I$24*$R$24</f>
        <v>5011.1189063820921</v>
      </c>
      <c r="S81" s="85">
        <f>$I$24*$S$24</f>
        <v>0</v>
      </c>
      <c r="T81" s="85">
        <f>$I$24*$T$24</f>
        <v>12386.133548421287</v>
      </c>
      <c r="U81" s="85">
        <f>$I$24*$U$24</f>
        <v>152.94815037917937</v>
      </c>
      <c r="V81" s="85">
        <f>$I$24*$V$24</f>
        <v>20.858980276567582</v>
      </c>
      <c r="W81" s="85">
        <f>$I$24*$W$24</f>
        <v>0</v>
      </c>
      <c r="X81" s="85">
        <f>$I$24*$X$24</f>
        <v>-0.53922732053474942</v>
      </c>
      <c r="Y81" s="85">
        <f>$I$24*$Y$24</f>
        <v>0</v>
      </c>
      <c r="Z81" s="85">
        <f>$I$24*$Z$24</f>
        <v>0</v>
      </c>
      <c r="AA81" s="85">
        <f>$I$24*$AA$24</f>
        <v>67326.809029704804</v>
      </c>
      <c r="AB81" s="85">
        <f ca="1">$I$24*$AB$24</f>
        <v>0</v>
      </c>
      <c r="AC81" s="85">
        <f ca="1">$I$24*$AC$24</f>
        <v>0</v>
      </c>
      <c r="AD81" s="85">
        <f>$I$24*$AD$24</f>
        <v>21737.463165685487</v>
      </c>
      <c r="AE81" s="85">
        <f>$I$24*$AE$24</f>
        <v>1565.3518622732051</v>
      </c>
      <c r="AF81" s="85">
        <f ca="1">$I$24*$AF$24</f>
        <v>53766.877402150734</v>
      </c>
      <c r="AG81" s="85">
        <f ca="1">$I$24*$AG$24</f>
        <v>8320.3485959374866</v>
      </c>
      <c r="AI81" s="85">
        <f>$I$24*$AI$24</f>
        <v>0</v>
      </c>
      <c r="AJ81" s="85">
        <f>$I$24*$AJ$24</f>
        <v>346.29233297319689</v>
      </c>
      <c r="AK81" s="85">
        <f>$I$24*$AK$24</f>
        <v>1925.8804749669991</v>
      </c>
      <c r="AL81" s="85">
        <f>$I$24*$AL$24</f>
        <v>0</v>
      </c>
      <c r="AM81" s="85">
        <f>$I$24*$AM$24</f>
        <v>0</v>
      </c>
      <c r="AN81" s="85">
        <f>$I$24*$AN$24</f>
        <v>10496.62855779153</v>
      </c>
      <c r="AO81" s="85">
        <f>$I$24*$AO$24</f>
        <v>3564.7821944972998</v>
      </c>
      <c r="AP81" s="85">
        <f>$I$24*$AP$24</f>
        <v>0</v>
      </c>
      <c r="AQ81" s="85">
        <f>$I$24*$AQ$24</f>
        <v>9740.0927767494923</v>
      </c>
      <c r="AR81" s="85">
        <f>$I$24*$AR$24</f>
        <v>1585.7212305788564</v>
      </c>
      <c r="AS81" s="85">
        <f>$I$24*$AS$24</f>
        <v>-113.17561501345841</v>
      </c>
      <c r="AT81" s="85">
        <f>$I$24*$AT$24</f>
        <v>0</v>
      </c>
      <c r="AU81" s="85">
        <f>$I$24*$AU$24</f>
        <v>49.646879186300751</v>
      </c>
      <c r="AV81" s="85">
        <f>$I$24*$AV$24</f>
        <v>0</v>
      </c>
      <c r="AW81" s="85">
        <f>$I$24*$AW$24</f>
        <v>0</v>
      </c>
      <c r="AX81" s="85">
        <f>$I$24*$AX$24</f>
        <v>60105.649081190932</v>
      </c>
      <c r="AY81" s="85">
        <f>$I$24*$AY$24</f>
        <v>0</v>
      </c>
      <c r="AZ81" s="85">
        <f>$I$24*$AZ$24</f>
        <v>0</v>
      </c>
      <c r="BA81" s="85">
        <f>$I$24*$BA$24</f>
        <v>20320.15391669991</v>
      </c>
      <c r="BB81" s="85">
        <f>$I$24*$BB$24</f>
        <v>1594.880609376504</v>
      </c>
      <c r="BC81" s="85">
        <f>$I$24*$BC$24</f>
        <v>55347.697168651655</v>
      </c>
      <c r="BD81" s="85">
        <f>$I$24*$BD$24</f>
        <v>3429.6589079513997</v>
      </c>
    </row>
    <row r="82" spans="1:56" ht="11.25" customHeight="1" x14ac:dyDescent="0.25">
      <c r="A82" s="9" t="s">
        <v>22</v>
      </c>
      <c r="B82" s="9" t="s">
        <v>1013</v>
      </c>
      <c r="C82" s="9" t="s">
        <v>1014</v>
      </c>
      <c r="D82" s="9" t="s">
        <v>1015</v>
      </c>
      <c r="E82" s="9" t="s">
        <v>1016</v>
      </c>
      <c r="F82" s="9" t="s">
        <v>1017</v>
      </c>
      <c r="G82" s="9" t="s">
        <v>1018</v>
      </c>
      <c r="L82" s="85">
        <f>$I$25*$L$25</f>
        <v>24633449.662071981</v>
      </c>
      <c r="M82" s="85">
        <f>$I$25*$M$25</f>
        <v>1521868.4111367632</v>
      </c>
      <c r="N82" s="85">
        <f ca="1">$I$25*$N$25</f>
        <v>9278125.4032247327</v>
      </c>
      <c r="O82" s="85">
        <f>$I$25*$O$25</f>
        <v>0</v>
      </c>
      <c r="P82" s="85">
        <f>$I$25*$P$25</f>
        <v>0</v>
      </c>
      <c r="Q82" s="85">
        <f>$I$25*$Q$25</f>
        <v>38010665.004698418</v>
      </c>
      <c r="R82" s="85">
        <f>$I$25*$R$25</f>
        <v>18547768.446366079</v>
      </c>
      <c r="S82" s="85">
        <f>$I$25*$S$25</f>
        <v>0</v>
      </c>
      <c r="T82" s="85">
        <f>$I$25*$T$25</f>
        <v>73943599.251035467</v>
      </c>
      <c r="U82" s="85">
        <f>$I$25*$U$25</f>
        <v>913083.47201624163</v>
      </c>
      <c r="V82" s="85">
        <f>$I$25*$V$25</f>
        <v>124506.51053012446</v>
      </c>
      <c r="W82" s="85">
        <f>$I$25*$W$25</f>
        <v>0</v>
      </c>
      <c r="X82" s="85">
        <f>$I$25*$X$25</f>
        <v>-3217.6435576535719</v>
      </c>
      <c r="Y82" s="85">
        <f>$I$25*$Y$25</f>
        <v>0</v>
      </c>
      <c r="Z82" s="85">
        <f>$I$25*$Z$25</f>
        <v>0</v>
      </c>
      <c r="AA82" s="85">
        <f>$I$25*$AA$25</f>
        <v>401932789.82221699</v>
      </c>
      <c r="AB82" s="85">
        <f ca="1">$I$25*$AB$25</f>
        <v>0</v>
      </c>
      <c r="AC82" s="85">
        <f ca="1">$I$25*$AC$25</f>
        <v>0</v>
      </c>
      <c r="AD82" s="85">
        <f>$I$25*$AD$25</f>
        <v>80457367.095212981</v>
      </c>
      <c r="AE82" s="85">
        <f>$I$25*$AE$25</f>
        <v>5793872.4705882166</v>
      </c>
      <c r="AF82" s="85">
        <f ca="1">$I$25*$AF$25</f>
        <v>199008566.90292338</v>
      </c>
      <c r="AG82" s="85">
        <f ca="1">$I$25*$AG$25</f>
        <v>30796295.604550682</v>
      </c>
      <c r="AI82" s="85">
        <f>$I$25*$AI$25</f>
        <v>0</v>
      </c>
      <c r="AJ82" s="85">
        <f>$I$25*$AJ$25</f>
        <v>1281739.692618065</v>
      </c>
      <c r="AK82" s="85">
        <f>$I$25*$AK$25</f>
        <v>8492658.5807180181</v>
      </c>
      <c r="AL82" s="85">
        <f>$I$25*$AL$25</f>
        <v>0</v>
      </c>
      <c r="AM82" s="85">
        <f>$I$25*$AM$25</f>
        <v>0</v>
      </c>
      <c r="AN82" s="85">
        <f>$I$25*$AN$25</f>
        <v>38851410.153025411</v>
      </c>
      <c r="AO82" s="85">
        <f>$I$25*$AO$25</f>
        <v>13194409.460341623</v>
      </c>
      <c r="AP82" s="85">
        <f>$I$25*$AP$25</f>
        <v>0</v>
      </c>
      <c r="AQ82" s="85">
        <f>$I$25*$AQ$25</f>
        <v>58147081.50338532</v>
      </c>
      <c r="AR82" s="85">
        <f>$I$25*$AR$25</f>
        <v>9466579.6433449835</v>
      </c>
      <c r="AS82" s="85">
        <f>$I$25*$AS$25</f>
        <v>-675541.21608984063</v>
      </c>
      <c r="AT82" s="85">
        <f>$I$25*$AT$25</f>
        <v>0</v>
      </c>
      <c r="AU82" s="85">
        <f>$I$25*$AU$25</f>
        <v>296249.75383848837</v>
      </c>
      <c r="AV82" s="85">
        <f>$I$25*$AV$25</f>
        <v>0</v>
      </c>
      <c r="AW82" s="85">
        <f>$I$25*$AW$25</f>
        <v>0</v>
      </c>
      <c r="AX82" s="85">
        <f>$I$25*$AX$25</f>
        <v>358823350.86784738</v>
      </c>
      <c r="AY82" s="85">
        <f>$I$25*$AY$25</f>
        <v>0</v>
      </c>
      <c r="AZ82" s="85">
        <f>$I$25*$AZ$25</f>
        <v>0</v>
      </c>
      <c r="BA82" s="85">
        <f>$I$25*$BA$25</f>
        <v>75211448.118196175</v>
      </c>
      <c r="BB82" s="85">
        <f>$I$25*$BB$25</f>
        <v>5903167.8942281865</v>
      </c>
      <c r="BC82" s="85">
        <f>$I$25*$BC$25</f>
        <v>204859691.07943317</v>
      </c>
      <c r="BD82" s="85">
        <f>$I$25*$BD$25</f>
        <v>12694274.564844847</v>
      </c>
    </row>
    <row r="83" spans="1:56" ht="11.25" customHeight="1" x14ac:dyDescent="0.25">
      <c r="A83" s="9" t="s">
        <v>22</v>
      </c>
      <c r="B83" s="9" t="s">
        <v>1013</v>
      </c>
      <c r="C83" s="9" t="s">
        <v>1014</v>
      </c>
      <c r="D83" s="9" t="s">
        <v>1019</v>
      </c>
      <c r="E83" s="9" t="s">
        <v>1020</v>
      </c>
      <c r="F83" s="9" t="s">
        <v>1021</v>
      </c>
      <c r="G83" s="9" t="s">
        <v>1022</v>
      </c>
      <c r="L83" s="85">
        <f>$I$26*$L$26</f>
        <v>0</v>
      </c>
      <c r="M83" s="85">
        <f>$I$26*$M$26</f>
        <v>22152.628602891938</v>
      </c>
      <c r="N83" s="85">
        <f ca="1">$I$26*$N$26</f>
        <v>134819.96184821968</v>
      </c>
      <c r="O83" s="85">
        <f>$I$26*$O$26</f>
        <v>0</v>
      </c>
      <c r="P83" s="85">
        <f>$I$26*$P$26</f>
        <v>0</v>
      </c>
      <c r="Q83" s="85">
        <f>$I$26*$Q$26</f>
        <v>0</v>
      </c>
      <c r="R83" s="85">
        <f>$I$26*$R$26</f>
        <v>0</v>
      </c>
      <c r="S83" s="85">
        <f>$I$26*$S$26</f>
        <v>0</v>
      </c>
      <c r="T83" s="85">
        <f>$I$26*$T$26</f>
        <v>1076338.1904653148</v>
      </c>
      <c r="U83" s="85">
        <f>$I$26*$U$26</f>
        <v>13291.030217196059</v>
      </c>
      <c r="V83" s="85">
        <f>$I$26*$V$26</f>
        <v>1812.3422933495924</v>
      </c>
      <c r="W83" s="85">
        <f>$I$26*$W$26</f>
        <v>0</v>
      </c>
      <c r="X83" s="85">
        <f>$I$26*$X$26</f>
        <v>-46.83667929998316</v>
      </c>
      <c r="Y83" s="85">
        <f>$I$26*$Y$26</f>
        <v>0</v>
      </c>
      <c r="Z83" s="85">
        <f>$I$26*$Z$26</f>
        <v>0</v>
      </c>
      <c r="AA83" s="85">
        <f>$I$26*$AA$26</f>
        <v>5850616.092100258</v>
      </c>
      <c r="AB83" s="85">
        <f ca="1">$I$26*$AB$26</f>
        <v>0</v>
      </c>
      <c r="AC83" s="85">
        <f ca="1">$I$26*$AC$26</f>
        <v>0</v>
      </c>
      <c r="AD83" s="85">
        <f>$I$26*$AD$26</f>
        <v>1171153.9306446784</v>
      </c>
      <c r="AE83" s="85">
        <f>$I$26*$AE$26</f>
        <v>84336.795529903757</v>
      </c>
      <c r="AF83" s="85">
        <f ca="1">$I$26*$AF$26</f>
        <v>2896809.5001730458</v>
      </c>
      <c r="AG83" s="85">
        <f ca="1">$I$26*$AG$26</f>
        <v>448277.19261411024</v>
      </c>
      <c r="AI83" s="85">
        <f>$I$26*$AI$26</f>
        <v>0</v>
      </c>
      <c r="AJ83" s="85">
        <f>$I$26*$AJ$26</f>
        <v>18657.26574542934</v>
      </c>
      <c r="AK83" s="85">
        <f>$I$26*$AK$26</f>
        <v>123408.88434719009</v>
      </c>
      <c r="AL83" s="85">
        <f>$I$26*$AL$26</f>
        <v>0</v>
      </c>
      <c r="AM83" s="85">
        <f>$I$26*$AM$26</f>
        <v>0</v>
      </c>
      <c r="AN83" s="85">
        <f>$I$26*$AN$26</f>
        <v>0</v>
      </c>
      <c r="AO83" s="85">
        <f>$I$26*$AO$26</f>
        <v>0</v>
      </c>
      <c r="AP83" s="85">
        <f>$I$26*$AP$26</f>
        <v>0</v>
      </c>
      <c r="AQ83" s="85">
        <f>$I$26*$AQ$26</f>
        <v>846400.83956038055</v>
      </c>
      <c r="AR83" s="85">
        <f>$I$26*$AR$26</f>
        <v>137797.4741075513</v>
      </c>
      <c r="AS83" s="85">
        <f>$I$26*$AS$26</f>
        <v>-9833.3164394982778</v>
      </c>
      <c r="AT83" s="85">
        <f>$I$26*$AT$26</f>
        <v>0</v>
      </c>
      <c r="AU83" s="85">
        <f>$I$26*$AU$26</f>
        <v>4312.2721533986996</v>
      </c>
      <c r="AV83" s="85">
        <f>$I$26*$AV$26</f>
        <v>0</v>
      </c>
      <c r="AW83" s="85">
        <f>$I$26*$AW$26</f>
        <v>0</v>
      </c>
      <c r="AX83" s="85">
        <f>$I$26*$AX$26</f>
        <v>5223106.2604704173</v>
      </c>
      <c r="AY83" s="85">
        <f>$I$26*$AY$26</f>
        <v>0</v>
      </c>
      <c r="AZ83" s="85">
        <f>$I$26*$AZ$26</f>
        <v>0</v>
      </c>
      <c r="BA83" s="85">
        <f>$I$26*$BA$26</f>
        <v>1094793.2585075188</v>
      </c>
      <c r="BB83" s="85">
        <f>$I$26*$BB$26</f>
        <v>85927.722123933811</v>
      </c>
      <c r="BC83" s="85">
        <f>$I$26*$BC$26</f>
        <v>2981979.6632719659</v>
      </c>
      <c r="BD83" s="85">
        <f>$I$26*$BD$26</f>
        <v>184780.46312039191</v>
      </c>
    </row>
    <row r="84" spans="1:56" ht="11.25" customHeight="1" x14ac:dyDescent="0.25">
      <c r="A84" s="9" t="s">
        <v>22</v>
      </c>
      <c r="B84" s="9" t="s">
        <v>1013</v>
      </c>
      <c r="C84" s="9" t="s">
        <v>1014</v>
      </c>
      <c r="D84" s="9" t="s">
        <v>1023</v>
      </c>
      <c r="E84" s="9" t="s">
        <v>1024</v>
      </c>
      <c r="F84" s="9" t="s">
        <v>1025</v>
      </c>
      <c r="G84" s="9" t="s">
        <v>1026</v>
      </c>
      <c r="L84" s="85">
        <f>$I$27*$L$27</f>
        <v>0</v>
      </c>
      <c r="M84" s="85">
        <f>$I$27*$M$27</f>
        <v>60932.959437846475</v>
      </c>
      <c r="N84" s="85">
        <f ca="1">$I$27*$N$27</f>
        <v>370835.41705010785</v>
      </c>
      <c r="O84" s="85">
        <f>$I$27*$O$27</f>
        <v>0</v>
      </c>
      <c r="P84" s="85">
        <f>$I$27*$P$27</f>
        <v>0</v>
      </c>
      <c r="Q84" s="85">
        <f>$I$27*$Q$27</f>
        <v>0</v>
      </c>
      <c r="R84" s="85">
        <f>$I$27*$R$27</f>
        <v>0</v>
      </c>
      <c r="S84" s="85">
        <f>$I$27*$S$27</f>
        <v>0</v>
      </c>
      <c r="T84" s="85">
        <f>$I$27*$T$27</f>
        <v>2960572.872713909</v>
      </c>
      <c r="U84" s="85">
        <f>$I$27*$U$27</f>
        <v>36558.271238559697</v>
      </c>
      <c r="V84" s="85">
        <f>$I$27*$V$27</f>
        <v>4985.0237381647785</v>
      </c>
      <c r="W84" s="85">
        <f>$I$27*$W$27</f>
        <v>0</v>
      </c>
      <c r="X84" s="85">
        <f>$I$27*$X$27</f>
        <v>-128.82884154058053</v>
      </c>
      <c r="Y84" s="85">
        <f>$I$27*$Y$27</f>
        <v>0</v>
      </c>
      <c r="Z84" s="85">
        <f>$I$27*$Z$27</f>
        <v>0</v>
      </c>
      <c r="AA84" s="85">
        <f>$I$27*$AA$27</f>
        <v>16092688.566079143</v>
      </c>
      <c r="AB84" s="85">
        <f ca="1">$I$27*$AB$27</f>
        <v>0</v>
      </c>
      <c r="AC84" s="85">
        <f ca="1">$I$27*$AC$27</f>
        <v>0</v>
      </c>
      <c r="AD84" s="85">
        <f>$I$27*$AD$27</f>
        <v>3221372.7874321267</v>
      </c>
      <c r="AE84" s="85">
        <f>$I$27*$AE$27</f>
        <v>231976.55832458258</v>
      </c>
      <c r="AF84" s="85">
        <f ca="1">$I$27*$AF$27</f>
        <v>7967956.2609635266</v>
      </c>
      <c r="AG84" s="85">
        <f ca="1">$I$27*$AG$27</f>
        <v>1233030.0157201854</v>
      </c>
      <c r="AI84" s="85">
        <f>$I$27*$AI$27</f>
        <v>0</v>
      </c>
      <c r="AJ84" s="85">
        <f>$I$27*$AJ$27</f>
        <v>51318.623955035218</v>
      </c>
      <c r="AK84" s="85">
        <f>$I$27*$AK$27</f>
        <v>339448.13859315845</v>
      </c>
      <c r="AL84" s="85">
        <f>$I$27*$AL$27</f>
        <v>0</v>
      </c>
      <c r="AM84" s="85">
        <f>$I$27*$AM$27</f>
        <v>0</v>
      </c>
      <c r="AN84" s="85">
        <f>$I$27*$AN$27</f>
        <v>0</v>
      </c>
      <c r="AO84" s="85">
        <f>$I$27*$AO$27</f>
        <v>0</v>
      </c>
      <c r="AP84" s="85">
        <f>$I$27*$AP$27</f>
        <v>0</v>
      </c>
      <c r="AQ84" s="85">
        <f>$I$27*$AQ$27</f>
        <v>2328107.8263714211</v>
      </c>
      <c r="AR84" s="85">
        <f>$I$27*$AR$27</f>
        <v>379025.35409892729</v>
      </c>
      <c r="AS84" s="85">
        <f>$I$27*$AS$27</f>
        <v>-27047.493211222634</v>
      </c>
      <c r="AT84" s="85">
        <f>$I$27*$AT$27</f>
        <v>0</v>
      </c>
      <c r="AU84" s="85">
        <f>$I$27*$AU$27</f>
        <v>11861.323950228432</v>
      </c>
      <c r="AV84" s="85">
        <f>$I$27*$AV$27</f>
        <v>0</v>
      </c>
      <c r="AW84" s="85">
        <f>$I$27*$AW$27</f>
        <v>0</v>
      </c>
      <c r="AX84" s="85">
        <f>$I$27*$AX$27</f>
        <v>14366661.745381219</v>
      </c>
      <c r="AY84" s="85">
        <f>$I$27*$AY$27</f>
        <v>0</v>
      </c>
      <c r="AZ84" s="85">
        <f>$I$27*$AZ$27</f>
        <v>0</v>
      </c>
      <c r="BA84" s="85">
        <f>$I$27*$BA$27</f>
        <v>3011335.3322213804</v>
      </c>
      <c r="BB84" s="85">
        <f>$I$27*$BB$27</f>
        <v>236352.55664786868</v>
      </c>
      <c r="BC84" s="85">
        <f>$I$27*$BC$27</f>
        <v>8202225.0778363012</v>
      </c>
      <c r="BD84" s="85">
        <f>$I$27*$BD$27</f>
        <v>508256.63473414886</v>
      </c>
    </row>
    <row r="85" spans="1:56" ht="11.25" customHeight="1" x14ac:dyDescent="0.25">
      <c r="A85" s="9" t="s">
        <v>22</v>
      </c>
      <c r="B85" s="9" t="s">
        <v>1013</v>
      </c>
      <c r="C85" s="9" t="s">
        <v>1014</v>
      </c>
      <c r="D85" s="9" t="s">
        <v>1027</v>
      </c>
      <c r="E85" s="9" t="s">
        <v>1028</v>
      </c>
      <c r="F85" s="9" t="s">
        <v>1029</v>
      </c>
      <c r="G85" s="9" t="s">
        <v>1030</v>
      </c>
      <c r="L85" s="85">
        <f>$I$28*$L$28</f>
        <v>0</v>
      </c>
      <c r="M85" s="85">
        <f>$I$28*$M$28</f>
        <v>80911.15755252885</v>
      </c>
      <c r="N85" s="85">
        <f ca="1">$I$28*$N$28</f>
        <v>492421.88680503482</v>
      </c>
      <c r="O85" s="85">
        <f>$I$28*$O$28</f>
        <v>0</v>
      </c>
      <c r="P85" s="85">
        <f>$I$28*$P$28</f>
        <v>0</v>
      </c>
      <c r="Q85" s="85">
        <f>$I$28*$Q$28</f>
        <v>0</v>
      </c>
      <c r="R85" s="85">
        <f>$I$28*$R$28</f>
        <v>0</v>
      </c>
      <c r="S85" s="85">
        <f>$I$28*$S$28</f>
        <v>0</v>
      </c>
      <c r="T85" s="85">
        <f>$I$28*$T$28</f>
        <v>3931261.1821232773</v>
      </c>
      <c r="U85" s="85">
        <f>$I$28*$U$28</f>
        <v>48544.696849139786</v>
      </c>
      <c r="V85" s="85">
        <f>$I$28*$V$28</f>
        <v>6619.4723644298001</v>
      </c>
      <c r="W85" s="85">
        <f>$I$28*$W$28</f>
        <v>0</v>
      </c>
      <c r="X85" s="85">
        <f>$I$28*$X$28</f>
        <v>-171.06818364586698</v>
      </c>
      <c r="Y85" s="85">
        <f>$I$28*$Y$28</f>
        <v>0</v>
      </c>
      <c r="Z85" s="85">
        <f>$I$28*$Z$28</f>
        <v>0</v>
      </c>
      <c r="AA85" s="85">
        <f>$I$28*$AA$28</f>
        <v>21369027.075436398</v>
      </c>
      <c r="AB85" s="85">
        <f ca="1">$I$28*$AB$28</f>
        <v>0</v>
      </c>
      <c r="AC85" s="85">
        <f ca="1">$I$28*$AC$28</f>
        <v>0</v>
      </c>
      <c r="AD85" s="85">
        <f>$I$28*$AD$28</f>
        <v>4277570.0301446198</v>
      </c>
      <c r="AE85" s="85">
        <f>$I$28*$AE$28</f>
        <v>308035.12634634413</v>
      </c>
      <c r="AF85" s="85">
        <f ca="1">$I$28*$AF$28</f>
        <v>10580424.295000626</v>
      </c>
      <c r="AG85" s="85">
        <f ca="1">$I$28*$AG$28</f>
        <v>1637305.7666876882</v>
      </c>
      <c r="AI85" s="85">
        <f>$I$28*$AI$28</f>
        <v>0</v>
      </c>
      <c r="AJ85" s="85">
        <f>$I$28*$AJ$28</f>
        <v>68144.552743089051</v>
      </c>
      <c r="AK85" s="85">
        <f>$I$28*$AK$28</f>
        <v>450743.60536581179</v>
      </c>
      <c r="AL85" s="85">
        <f>$I$28*$AL$28</f>
        <v>0</v>
      </c>
      <c r="AM85" s="85">
        <f>$I$28*$AM$28</f>
        <v>0</v>
      </c>
      <c r="AN85" s="85">
        <f>$I$28*$AN$28</f>
        <v>0</v>
      </c>
      <c r="AO85" s="85">
        <f>$I$28*$AO$28</f>
        <v>0</v>
      </c>
      <c r="AP85" s="85">
        <f>$I$28*$AP$28</f>
        <v>0</v>
      </c>
      <c r="AQ85" s="85">
        <f>$I$28*$AQ$28</f>
        <v>3091428.6927250987</v>
      </c>
      <c r="AR85" s="85">
        <f>$I$28*$AR$28</f>
        <v>503297.07312481775</v>
      </c>
      <c r="AS85" s="85">
        <f>$I$28*$AS$28</f>
        <v>-35915.603062845985</v>
      </c>
      <c r="AT85" s="85">
        <f>$I$28*$AT$28</f>
        <v>0</v>
      </c>
      <c r="AU85" s="85">
        <f>$I$28*$AU$28</f>
        <v>15750.317394274178</v>
      </c>
      <c r="AV85" s="85">
        <f>$I$28*$AV$28</f>
        <v>0</v>
      </c>
      <c r="AW85" s="85">
        <f>$I$28*$AW$28</f>
        <v>0</v>
      </c>
      <c r="AX85" s="85">
        <f>$I$28*$AX$28</f>
        <v>19077084.761821505</v>
      </c>
      <c r="AY85" s="85">
        <f>$I$28*$AY$28</f>
        <v>0</v>
      </c>
      <c r="AZ85" s="85">
        <f>$I$28*$AZ$28</f>
        <v>0</v>
      </c>
      <c r="BA85" s="85">
        <f>$I$28*$BA$28</f>
        <v>3998667.2197891823</v>
      </c>
      <c r="BB85" s="85">
        <f>$I$28*$BB$28</f>
        <v>313845.89104662312</v>
      </c>
      <c r="BC85" s="85">
        <f>$I$28*$BC$28</f>
        <v>10891503.246794678</v>
      </c>
      <c r="BD85" s="85">
        <f>$I$28*$BD$28</f>
        <v>674899.64428923256</v>
      </c>
    </row>
    <row r="86" spans="1:56" ht="11.25" customHeight="1" x14ac:dyDescent="0.25">
      <c r="A86" s="9" t="s">
        <v>22</v>
      </c>
      <c r="B86" s="9" t="s">
        <v>1013</v>
      </c>
      <c r="C86" s="9" t="s">
        <v>1014</v>
      </c>
      <c r="D86" s="9" t="s">
        <v>1031</v>
      </c>
      <c r="E86" s="9" t="s">
        <v>1032</v>
      </c>
      <c r="F86" s="9" t="s">
        <v>1033</v>
      </c>
      <c r="G86" s="9" t="s">
        <v>1034</v>
      </c>
      <c r="L86" s="85">
        <f>$I$29*$L$29</f>
        <v>0</v>
      </c>
      <c r="M86" s="85">
        <f>$I$29*$M$29</f>
        <v>67499.515392451547</v>
      </c>
      <c r="N86" s="85">
        <f ca="1">$I$29*$N$29</f>
        <v>410799.19918829092</v>
      </c>
      <c r="O86" s="85">
        <f>$I$29*$O$29</f>
        <v>0</v>
      </c>
      <c r="P86" s="85">
        <f>$I$29*$P$29</f>
        <v>0</v>
      </c>
      <c r="Q86" s="85">
        <f>$I$29*$Q$29</f>
        <v>0</v>
      </c>
      <c r="R86" s="85">
        <f>$I$29*$R$29</f>
        <v>0</v>
      </c>
      <c r="S86" s="85">
        <f>$I$29*$S$29</f>
        <v>0</v>
      </c>
      <c r="T86" s="85">
        <f>$I$29*$T$29</f>
        <v>3279624.6241095061</v>
      </c>
      <c r="U86" s="85">
        <f>$I$29*$U$29</f>
        <v>40498.042684200751</v>
      </c>
      <c r="V86" s="85">
        <f>$I$29*$V$29</f>
        <v>5522.244277158683</v>
      </c>
      <c r="W86" s="85">
        <f>$I$29*$W$29</f>
        <v>0</v>
      </c>
      <c r="X86" s="85">
        <f>$I$29*$X$29</f>
        <v>-142.71232601840376</v>
      </c>
      <c r="Y86" s="85">
        <f>$I$29*$Y$29</f>
        <v>0</v>
      </c>
      <c r="Z86" s="85">
        <f>$I$29*$Z$29</f>
        <v>0</v>
      </c>
      <c r="AA86" s="85">
        <f>$I$29*$AA$29</f>
        <v>17826947.674845759</v>
      </c>
      <c r="AB86" s="85">
        <f ca="1">$I$29*$AB$29</f>
        <v>0</v>
      </c>
      <c r="AC86" s="85">
        <f ca="1">$I$29*$AC$29</f>
        <v>0</v>
      </c>
      <c r="AD86" s="85">
        <f>$I$29*$AD$29</f>
        <v>3568530.1363360845</v>
      </c>
      <c r="AE86" s="85">
        <f>$I$29*$AE$29</f>
        <v>256975.95215755209</v>
      </c>
      <c r="AF86" s="85">
        <f ca="1">$I$29*$AF$29</f>
        <v>8826638.1814573593</v>
      </c>
      <c r="AG86" s="85">
        <f ca="1">$I$29*$AG$29</f>
        <v>1365909.8342393092</v>
      </c>
      <c r="AI86" s="85">
        <f>$I$29*$AI$29</f>
        <v>0</v>
      </c>
      <c r="AJ86" s="85">
        <f>$I$29*$AJ$29</f>
        <v>56849.072809366793</v>
      </c>
      <c r="AK86" s="85">
        <f>$I$29*$AK$29</f>
        <v>376029.41113141668</v>
      </c>
      <c r="AL86" s="85">
        <f>$I$29*$AL$29</f>
        <v>0</v>
      </c>
      <c r="AM86" s="85">
        <f>$I$29*$AM$29</f>
        <v>0</v>
      </c>
      <c r="AN86" s="85">
        <f>$I$29*$AN$29</f>
        <v>0</v>
      </c>
      <c r="AO86" s="85">
        <f>$I$29*$AO$29</f>
        <v>0</v>
      </c>
      <c r="AP86" s="85">
        <f>$I$29*$AP$29</f>
        <v>0</v>
      </c>
      <c r="AQ86" s="85">
        <f>$I$29*$AQ$29</f>
        <v>2579000.7823555381</v>
      </c>
      <c r="AR86" s="85">
        <f>$I$29*$AR$29</f>
        <v>419871.74033827177</v>
      </c>
      <c r="AS86" s="85">
        <f>$I$29*$AS$29</f>
        <v>-29962.317622212544</v>
      </c>
      <c r="AT86" s="85">
        <f>$I$29*$AT$29</f>
        <v>0</v>
      </c>
      <c r="AU86" s="85">
        <f>$I$29*$AU$29</f>
        <v>13139.582024896907</v>
      </c>
      <c r="AV86" s="85">
        <f>$I$29*$AV$29</f>
        <v>0</v>
      </c>
      <c r="AW86" s="85">
        <f>$I$29*$AW$29</f>
        <v>0</v>
      </c>
      <c r="AX86" s="85">
        <f>$I$29*$AX$29</f>
        <v>15914912.299798524</v>
      </c>
      <c r="AY86" s="85">
        <f>$I$29*$AY$29</f>
        <v>0</v>
      </c>
      <c r="AZ86" s="85">
        <f>$I$29*$AZ$29</f>
        <v>0</v>
      </c>
      <c r="BA86" s="85">
        <f>$I$29*$BA$29</f>
        <v>3335857.5963546508</v>
      </c>
      <c r="BB86" s="85">
        <f>$I$29*$BB$29</f>
        <v>261823.53824076679</v>
      </c>
      <c r="BC86" s="85">
        <f>$I$29*$BC$29</f>
        <v>9086153.4217536356</v>
      </c>
      <c r="BD86" s="85">
        <f>$I$29*$BD$29</f>
        <v>563029.87506371806</v>
      </c>
    </row>
    <row r="87" spans="1:56" ht="11.25" customHeight="1" x14ac:dyDescent="0.25">
      <c r="A87" s="9" t="s">
        <v>22</v>
      </c>
      <c r="B87" s="9" t="s">
        <v>1035</v>
      </c>
      <c r="C87" s="9" t="s">
        <v>1036</v>
      </c>
      <c r="D87" s="9" t="s">
        <v>1037</v>
      </c>
      <c r="E87" s="9" t="s">
        <v>1038</v>
      </c>
      <c r="F87" s="9" t="s">
        <v>1039</v>
      </c>
      <c r="G87" s="9" t="s">
        <v>1040</v>
      </c>
      <c r="L87" s="85">
        <f>$I$30*$L$30</f>
        <v>0</v>
      </c>
      <c r="M87" s="85">
        <f>$I$30*$M$30</f>
        <v>0</v>
      </c>
      <c r="N87" s="85">
        <f ca="1">$I$30*$N$30</f>
        <v>0</v>
      </c>
      <c r="O87" s="85">
        <f>$I$30*$O$30</f>
        <v>0</v>
      </c>
      <c r="P87" s="85">
        <f>$I$30*$P$30</f>
        <v>0</v>
      </c>
      <c r="Q87" s="85">
        <f>$I$30*$Q$30</f>
        <v>0</v>
      </c>
      <c r="R87" s="85">
        <f>$I$30*$R$30</f>
        <v>0</v>
      </c>
      <c r="S87" s="85">
        <f>$I$30*$S$30</f>
        <v>0</v>
      </c>
      <c r="T87" s="85">
        <f>$I$30*$T$30</f>
        <v>0</v>
      </c>
      <c r="U87" s="85">
        <f>$I$30*$U$30</f>
        <v>0</v>
      </c>
      <c r="V87" s="85">
        <f>$I$30*$V$30</f>
        <v>0</v>
      </c>
      <c r="W87" s="85">
        <f>$I$30*$W$30</f>
        <v>0</v>
      </c>
      <c r="X87" s="85">
        <f>$I$30*$X$30</f>
        <v>0</v>
      </c>
      <c r="Y87" s="85">
        <f>$I$30*$Y$30</f>
        <v>0</v>
      </c>
      <c r="Z87" s="85">
        <f>$I$30*$Z$30</f>
        <v>0</v>
      </c>
      <c r="AA87" s="85">
        <f>$I$30*$AA$30</f>
        <v>0</v>
      </c>
      <c r="AB87" s="85">
        <f ca="1">$I$30*$AB$30</f>
        <v>0</v>
      </c>
      <c r="AC87" s="85">
        <f ca="1">$I$30*$AC$30</f>
        <v>0</v>
      </c>
      <c r="AD87" s="85">
        <f>$I$30*$AD$30</f>
        <v>0</v>
      </c>
      <c r="AE87" s="85">
        <f>$I$30*$AE$30</f>
        <v>0</v>
      </c>
      <c r="AF87" s="85">
        <f ca="1">$I$30*$AF$30</f>
        <v>0</v>
      </c>
      <c r="AG87" s="85">
        <f ca="1">$I$30*$AG$30</f>
        <v>0</v>
      </c>
      <c r="AI87" s="85">
        <f>$I$30*$AI$30</f>
        <v>0</v>
      </c>
      <c r="AJ87" s="85">
        <f>$I$30*$AJ$30</f>
        <v>0</v>
      </c>
      <c r="AK87" s="85">
        <f>$I$30*$AK$30</f>
        <v>0</v>
      </c>
      <c r="AL87" s="85">
        <f>$I$30*$AL$30</f>
        <v>0</v>
      </c>
      <c r="AM87" s="85">
        <f>$I$30*$AM$30</f>
        <v>0</v>
      </c>
      <c r="AN87" s="85">
        <f>$I$30*$AN$30</f>
        <v>0</v>
      </c>
      <c r="AO87" s="85">
        <f>$I$30*$AO$30</f>
        <v>0</v>
      </c>
      <c r="AP87" s="85">
        <f>$I$30*$AP$30</f>
        <v>0</v>
      </c>
      <c r="AQ87" s="85">
        <f>$I$30*$AQ$30</f>
        <v>0</v>
      </c>
      <c r="AR87" s="85">
        <f>$I$30*$AR$30</f>
        <v>0</v>
      </c>
      <c r="AS87" s="85">
        <f>$I$30*$AS$30</f>
        <v>0</v>
      </c>
      <c r="AT87" s="85">
        <f>$I$30*$AT$30</f>
        <v>0</v>
      </c>
      <c r="AU87" s="85">
        <f>$I$30*$AU$30</f>
        <v>0</v>
      </c>
      <c r="AV87" s="85">
        <f>$I$30*$AV$30</f>
        <v>0</v>
      </c>
      <c r="AW87" s="85">
        <f>$I$30*$AW$30</f>
        <v>0</v>
      </c>
      <c r="AX87" s="85">
        <f>$I$30*$AX$30</f>
        <v>0</v>
      </c>
      <c r="AY87" s="85">
        <f>$I$30*$AY$30</f>
        <v>0</v>
      </c>
      <c r="AZ87" s="85">
        <f>$I$30*$AZ$30</f>
        <v>0</v>
      </c>
      <c r="BA87" s="85">
        <f>$I$30*$BA$30</f>
        <v>0</v>
      </c>
      <c r="BB87" s="85">
        <f>$I$30*$BB$30</f>
        <v>0</v>
      </c>
      <c r="BC87" s="85">
        <f>$I$30*$BC$30</f>
        <v>0</v>
      </c>
      <c r="BD87" s="85">
        <f>$I$30*$BD$30</f>
        <v>0</v>
      </c>
    </row>
    <row r="88" spans="1:56" ht="11.25" customHeight="1" x14ac:dyDescent="0.25">
      <c r="A88" s="9" t="s">
        <v>22</v>
      </c>
      <c r="B88" s="9" t="s">
        <v>1035</v>
      </c>
      <c r="C88" s="9" t="s">
        <v>1036</v>
      </c>
      <c r="D88" s="9" t="s">
        <v>1041</v>
      </c>
      <c r="E88" s="9" t="s">
        <v>1042</v>
      </c>
      <c r="F88" s="9" t="s">
        <v>1043</v>
      </c>
      <c r="G88" s="9" t="s">
        <v>1044</v>
      </c>
      <c r="L88" s="85">
        <f>$I$31*$L$31</f>
        <v>0</v>
      </c>
      <c r="M88" s="85">
        <f>$I$31*$M$31</f>
        <v>0</v>
      </c>
      <c r="N88" s="85">
        <f ca="1">$I$31*$N$31</f>
        <v>0</v>
      </c>
      <c r="O88" s="85">
        <f>$I$31*$O$31</f>
        <v>0</v>
      </c>
      <c r="P88" s="85">
        <f>$I$31*$P$31</f>
        <v>0</v>
      </c>
      <c r="Q88" s="85">
        <f>$I$31*$Q$31</f>
        <v>0</v>
      </c>
      <c r="R88" s="85">
        <f>$I$31*$R$31</f>
        <v>0</v>
      </c>
      <c r="S88" s="85">
        <f>$I$31*$S$31</f>
        <v>0</v>
      </c>
      <c r="T88" s="85">
        <f>$I$31*$T$31</f>
        <v>0</v>
      </c>
      <c r="U88" s="85">
        <f>$I$31*$U$31</f>
        <v>0</v>
      </c>
      <c r="V88" s="85">
        <f>$I$31*$V$31</f>
        <v>0</v>
      </c>
      <c r="W88" s="85">
        <f>$I$31*$W$31</f>
        <v>0</v>
      </c>
      <c r="X88" s="85">
        <f>$I$31*$X$31</f>
        <v>0</v>
      </c>
      <c r="Y88" s="85">
        <f>$I$31*$Y$31</f>
        <v>0</v>
      </c>
      <c r="Z88" s="85">
        <f>$I$31*$Z$31</f>
        <v>0</v>
      </c>
      <c r="AA88" s="85">
        <f>$I$31*$AA$31</f>
        <v>0</v>
      </c>
      <c r="AB88" s="85">
        <f ca="1">$I$31*$AB$31</f>
        <v>0</v>
      </c>
      <c r="AC88" s="85">
        <f ca="1">$I$31*$AC$31</f>
        <v>0</v>
      </c>
      <c r="AD88" s="85">
        <f>$I$31*$AD$31</f>
        <v>0</v>
      </c>
      <c r="AE88" s="85">
        <f>$I$31*$AE$31</f>
        <v>0</v>
      </c>
      <c r="AF88" s="85">
        <f ca="1">$I$31*$AF$31</f>
        <v>0</v>
      </c>
      <c r="AG88" s="85">
        <f ca="1">$I$31*$AG$31</f>
        <v>0</v>
      </c>
      <c r="AI88" s="85">
        <f>$I$31*$AI$31</f>
        <v>0</v>
      </c>
      <c r="AJ88" s="85">
        <f>$I$31*$AJ$31</f>
        <v>0</v>
      </c>
      <c r="AK88" s="85">
        <f>$I$31*$AK$31</f>
        <v>0</v>
      </c>
      <c r="AL88" s="85">
        <f>$I$31*$AL$31</f>
        <v>0</v>
      </c>
      <c r="AM88" s="85">
        <f>$I$31*$AM$31</f>
        <v>0</v>
      </c>
      <c r="AN88" s="85">
        <f>$I$31*$AN$31</f>
        <v>0</v>
      </c>
      <c r="AO88" s="85">
        <f>$I$31*$AO$31</f>
        <v>0</v>
      </c>
      <c r="AP88" s="85">
        <f>$I$31*$AP$31</f>
        <v>0</v>
      </c>
      <c r="AQ88" s="85">
        <f>$I$31*$AQ$31</f>
        <v>0</v>
      </c>
      <c r="AR88" s="85">
        <f>$I$31*$AR$31</f>
        <v>0</v>
      </c>
      <c r="AS88" s="85">
        <f>$I$31*$AS$31</f>
        <v>0</v>
      </c>
      <c r="AT88" s="85">
        <f>$I$31*$AT$31</f>
        <v>0</v>
      </c>
      <c r="AU88" s="85">
        <f>$I$31*$AU$31</f>
        <v>0</v>
      </c>
      <c r="AV88" s="85">
        <f>$I$31*$AV$31</f>
        <v>0</v>
      </c>
      <c r="AW88" s="85">
        <f>$I$31*$AW$31</f>
        <v>0</v>
      </c>
      <c r="AX88" s="85">
        <f>$I$31*$AX$31</f>
        <v>0</v>
      </c>
      <c r="AY88" s="85">
        <f>$I$31*$AY$31</f>
        <v>0</v>
      </c>
      <c r="AZ88" s="85">
        <f>$I$31*$AZ$31</f>
        <v>0</v>
      </c>
      <c r="BA88" s="85">
        <f>$I$31*$BA$31</f>
        <v>0</v>
      </c>
      <c r="BB88" s="85">
        <f>$I$31*$BB$31</f>
        <v>0</v>
      </c>
      <c r="BC88" s="85">
        <f>$I$31*$BC$31</f>
        <v>0</v>
      </c>
      <c r="BD88" s="85">
        <f>$I$31*$BD$31</f>
        <v>0</v>
      </c>
    </row>
    <row r="89" spans="1:56" ht="11.25" customHeight="1" x14ac:dyDescent="0.25">
      <c r="A89" s="9" t="s">
        <v>22</v>
      </c>
      <c r="B89" s="9" t="s">
        <v>1035</v>
      </c>
      <c r="C89" s="9" t="s">
        <v>1036</v>
      </c>
      <c r="D89" s="9" t="s">
        <v>1045</v>
      </c>
      <c r="E89" s="9" t="s">
        <v>1046</v>
      </c>
      <c r="F89" s="9" t="s">
        <v>1047</v>
      </c>
      <c r="G89" s="9" t="s">
        <v>1048</v>
      </c>
      <c r="L89" s="85">
        <f>$I$32*$L$32</f>
        <v>0</v>
      </c>
      <c r="M89" s="85">
        <f>$I$32*$M$32</f>
        <v>0</v>
      </c>
      <c r="N89" s="85">
        <f ca="1">$I$32*$N$32</f>
        <v>0</v>
      </c>
      <c r="O89" s="85">
        <f>$I$32*$O$32</f>
        <v>0</v>
      </c>
      <c r="P89" s="85">
        <f>$I$32*$P$32</f>
        <v>0</v>
      </c>
      <c r="Q89" s="85">
        <f>$I$32*$Q$32</f>
        <v>0</v>
      </c>
      <c r="R89" s="85">
        <f>$I$32*$R$32</f>
        <v>0</v>
      </c>
      <c r="S89" s="85">
        <f>$I$32*$S$32</f>
        <v>0</v>
      </c>
      <c r="T89" s="85">
        <f>$I$32*$T$32</f>
        <v>0</v>
      </c>
      <c r="U89" s="85">
        <f>$I$32*$U$32</f>
        <v>0</v>
      </c>
      <c r="V89" s="85">
        <f>$I$32*$V$32</f>
        <v>0</v>
      </c>
      <c r="W89" s="85">
        <f>$I$32*$W$32</f>
        <v>0</v>
      </c>
      <c r="X89" s="85">
        <f>$I$32*$X$32</f>
        <v>0</v>
      </c>
      <c r="Y89" s="85">
        <f>$I$32*$Y$32</f>
        <v>0</v>
      </c>
      <c r="Z89" s="85">
        <f>$I$32*$Z$32</f>
        <v>0</v>
      </c>
      <c r="AA89" s="85">
        <f>$I$32*$AA$32</f>
        <v>0</v>
      </c>
      <c r="AB89" s="85">
        <f ca="1">$I$32*$AB$32</f>
        <v>0</v>
      </c>
      <c r="AC89" s="85">
        <f ca="1">$I$32*$AC$32</f>
        <v>0</v>
      </c>
      <c r="AD89" s="85">
        <f>$I$32*$AD$32</f>
        <v>0</v>
      </c>
      <c r="AE89" s="85">
        <f>$I$32*$AE$32</f>
        <v>0</v>
      </c>
      <c r="AF89" s="85">
        <f ca="1">$I$32*$AF$32</f>
        <v>0</v>
      </c>
      <c r="AG89" s="85">
        <f ca="1">$I$32*$AG$32</f>
        <v>0</v>
      </c>
      <c r="AI89" s="85">
        <f>$I$32*$AI$32</f>
        <v>0</v>
      </c>
      <c r="AJ89" s="85">
        <f>$I$32*$AJ$32</f>
        <v>0</v>
      </c>
      <c r="AK89" s="85">
        <f>$I$32*$AK$32</f>
        <v>0</v>
      </c>
      <c r="AL89" s="85">
        <f>$I$32*$AL$32</f>
        <v>0</v>
      </c>
      <c r="AM89" s="85">
        <f>$I$32*$AM$32</f>
        <v>0</v>
      </c>
      <c r="AN89" s="85">
        <f>$I$32*$AN$32</f>
        <v>0</v>
      </c>
      <c r="AO89" s="85">
        <f>$I$32*$AO$32</f>
        <v>0</v>
      </c>
      <c r="AP89" s="85">
        <f>$I$32*$AP$32</f>
        <v>0</v>
      </c>
      <c r="AQ89" s="85">
        <f>$I$32*$AQ$32</f>
        <v>0</v>
      </c>
      <c r="AR89" s="85">
        <f>$I$32*$AR$32</f>
        <v>0</v>
      </c>
      <c r="AS89" s="85">
        <f>$I$32*$AS$32</f>
        <v>0</v>
      </c>
      <c r="AT89" s="85">
        <f>$I$32*$AT$32</f>
        <v>0</v>
      </c>
      <c r="AU89" s="85">
        <f>$I$32*$AU$32</f>
        <v>0</v>
      </c>
      <c r="AV89" s="85">
        <f>$I$32*$AV$32</f>
        <v>0</v>
      </c>
      <c r="AW89" s="85">
        <f>$I$32*$AW$32</f>
        <v>0</v>
      </c>
      <c r="AX89" s="85">
        <f>$I$32*$AX$32</f>
        <v>0</v>
      </c>
      <c r="AY89" s="85">
        <f>$I$32*$AY$32</f>
        <v>0</v>
      </c>
      <c r="AZ89" s="85">
        <f>$I$32*$AZ$32</f>
        <v>0</v>
      </c>
      <c r="BA89" s="85">
        <f>$I$32*$BA$32</f>
        <v>0</v>
      </c>
      <c r="BB89" s="85">
        <f>$I$32*$BB$32</f>
        <v>0</v>
      </c>
      <c r="BC89" s="85">
        <f>$I$32*$BC$32</f>
        <v>0</v>
      </c>
      <c r="BD89" s="85">
        <f>$I$32*$BD$32</f>
        <v>0</v>
      </c>
    </row>
    <row r="90" spans="1:56" ht="11.25" customHeight="1" x14ac:dyDescent="0.25">
      <c r="A90" s="9" t="s">
        <v>22</v>
      </c>
      <c r="B90" s="9" t="s">
        <v>1035</v>
      </c>
      <c r="C90" s="9" t="s">
        <v>1036</v>
      </c>
      <c r="D90" s="9" t="s">
        <v>1049</v>
      </c>
      <c r="E90" s="9" t="s">
        <v>1050</v>
      </c>
      <c r="F90" s="9" t="s">
        <v>1051</v>
      </c>
      <c r="G90" s="9" t="s">
        <v>1052</v>
      </c>
      <c r="L90" s="85">
        <f>$I$33*$L$33</f>
        <v>0</v>
      </c>
      <c r="M90" s="85">
        <f>$I$33*$M$33</f>
        <v>0</v>
      </c>
      <c r="N90" s="85">
        <f ca="1">$I$33*$N$33</f>
        <v>0</v>
      </c>
      <c r="O90" s="85">
        <f>$I$33*$O$33</f>
        <v>0</v>
      </c>
      <c r="P90" s="85">
        <f>$I$33*$P$33</f>
        <v>0</v>
      </c>
      <c r="Q90" s="85">
        <f>$I$33*$Q$33</f>
        <v>0</v>
      </c>
      <c r="R90" s="85">
        <f>$I$33*$R$33</f>
        <v>0</v>
      </c>
      <c r="S90" s="85">
        <f>$I$33*$S$33</f>
        <v>0</v>
      </c>
      <c r="T90" s="85">
        <f>$I$33*$T$33</f>
        <v>0</v>
      </c>
      <c r="U90" s="85">
        <f>$I$33*$U$33</f>
        <v>0</v>
      </c>
      <c r="V90" s="85">
        <f>$I$33*$V$33</f>
        <v>0</v>
      </c>
      <c r="W90" s="85">
        <f>$I$33*$W$33</f>
        <v>0</v>
      </c>
      <c r="X90" s="85">
        <f>$I$33*$X$33</f>
        <v>0</v>
      </c>
      <c r="Y90" s="85">
        <f>$I$33*$Y$33</f>
        <v>0</v>
      </c>
      <c r="Z90" s="85">
        <f>$I$33*$Z$33</f>
        <v>0</v>
      </c>
      <c r="AA90" s="85">
        <f>$I$33*$AA$33</f>
        <v>0</v>
      </c>
      <c r="AB90" s="85">
        <f ca="1">$I$33*$AB$33</f>
        <v>0</v>
      </c>
      <c r="AC90" s="85">
        <f ca="1">$I$33*$AC$33</f>
        <v>0</v>
      </c>
      <c r="AD90" s="85">
        <f>$I$33*$AD$33</f>
        <v>0</v>
      </c>
      <c r="AE90" s="85">
        <f>$I$33*$AE$33</f>
        <v>0</v>
      </c>
      <c r="AF90" s="85">
        <f ca="1">$I$33*$AF$33</f>
        <v>0</v>
      </c>
      <c r="AG90" s="85">
        <f ca="1">$I$33*$AG$33</f>
        <v>0</v>
      </c>
      <c r="AI90" s="85">
        <f>$I$33*$AI$33</f>
        <v>0</v>
      </c>
      <c r="AJ90" s="85">
        <f>$I$33*$AJ$33</f>
        <v>0</v>
      </c>
      <c r="AK90" s="85">
        <f>$I$33*$AK$33</f>
        <v>0</v>
      </c>
      <c r="AL90" s="85">
        <f>$I$33*$AL$33</f>
        <v>0</v>
      </c>
      <c r="AM90" s="85">
        <f>$I$33*$AM$33</f>
        <v>0</v>
      </c>
      <c r="AN90" s="85">
        <f>$I$33*$AN$33</f>
        <v>0</v>
      </c>
      <c r="AO90" s="85">
        <f>$I$33*$AO$33</f>
        <v>0</v>
      </c>
      <c r="AP90" s="85">
        <f>$I$33*$AP$33</f>
        <v>0</v>
      </c>
      <c r="AQ90" s="85">
        <f>$I$33*$AQ$33</f>
        <v>0</v>
      </c>
      <c r="AR90" s="85">
        <f>$I$33*$AR$33</f>
        <v>0</v>
      </c>
      <c r="AS90" s="85">
        <f>$I$33*$AS$33</f>
        <v>0</v>
      </c>
      <c r="AT90" s="85">
        <f>$I$33*$AT$33</f>
        <v>0</v>
      </c>
      <c r="AU90" s="85">
        <f>$I$33*$AU$33</f>
        <v>0</v>
      </c>
      <c r="AV90" s="85">
        <f>$I$33*$AV$33</f>
        <v>0</v>
      </c>
      <c r="AW90" s="85">
        <f>$I$33*$AW$33</f>
        <v>0</v>
      </c>
      <c r="AX90" s="85">
        <f>$I$33*$AX$33</f>
        <v>0</v>
      </c>
      <c r="AY90" s="85">
        <f>$I$33*$AY$33</f>
        <v>0</v>
      </c>
      <c r="AZ90" s="85">
        <f>$I$33*$AZ$33</f>
        <v>0</v>
      </c>
      <c r="BA90" s="85">
        <f>$I$33*$BA$33</f>
        <v>0</v>
      </c>
      <c r="BB90" s="85">
        <f>$I$33*$BB$33</f>
        <v>0</v>
      </c>
      <c r="BC90" s="85">
        <f>$I$33*$BC$33</f>
        <v>0</v>
      </c>
      <c r="BD90" s="85">
        <f>$I$33*$BD$33</f>
        <v>0</v>
      </c>
    </row>
    <row r="91" spans="1:56" ht="11.25" customHeight="1" x14ac:dyDescent="0.25">
      <c r="A91" s="9" t="s">
        <v>22</v>
      </c>
      <c r="B91" s="9" t="s">
        <v>1035</v>
      </c>
      <c r="C91" s="9" t="s">
        <v>1036</v>
      </c>
      <c r="D91" s="9" t="s">
        <v>1053</v>
      </c>
      <c r="E91" s="9" t="s">
        <v>1054</v>
      </c>
      <c r="F91" s="9" t="s">
        <v>1055</v>
      </c>
      <c r="G91" s="9" t="s">
        <v>1056</v>
      </c>
      <c r="L91" s="85">
        <f>$I$34*$L$34</f>
        <v>0</v>
      </c>
      <c r="M91" s="85">
        <f>$I$34*$M$34</f>
        <v>0</v>
      </c>
      <c r="N91" s="85">
        <f ca="1">$I$34*$N$34</f>
        <v>0</v>
      </c>
      <c r="O91" s="85">
        <f>$I$34*$O$34</f>
        <v>0</v>
      </c>
      <c r="P91" s="85">
        <f>$I$34*$P$34</f>
        <v>0</v>
      </c>
      <c r="Q91" s="85">
        <f>$I$34*$Q$34</f>
        <v>0</v>
      </c>
      <c r="R91" s="85">
        <f>$I$34*$R$34</f>
        <v>0</v>
      </c>
      <c r="S91" s="85">
        <f>$I$34*$S$34</f>
        <v>0</v>
      </c>
      <c r="T91" s="85">
        <f>$I$34*$T$34</f>
        <v>0</v>
      </c>
      <c r="U91" s="85">
        <f>$I$34*$U$34</f>
        <v>0</v>
      </c>
      <c r="V91" s="85">
        <f>$I$34*$V$34</f>
        <v>0</v>
      </c>
      <c r="W91" s="85">
        <f>$I$34*$W$34</f>
        <v>0</v>
      </c>
      <c r="X91" s="85">
        <f>$I$34*$X$34</f>
        <v>0</v>
      </c>
      <c r="Y91" s="85">
        <f>$I$34*$Y$34</f>
        <v>0</v>
      </c>
      <c r="Z91" s="85">
        <f>$I$34*$Z$34</f>
        <v>0</v>
      </c>
      <c r="AA91" s="85">
        <f>$I$34*$AA$34</f>
        <v>0</v>
      </c>
      <c r="AB91" s="85">
        <f ca="1">$I$34*$AB$34</f>
        <v>0</v>
      </c>
      <c r="AC91" s="85">
        <f ca="1">$I$34*$AC$34</f>
        <v>0</v>
      </c>
      <c r="AD91" s="85">
        <f>$I$34*$AD$34</f>
        <v>0</v>
      </c>
      <c r="AE91" s="85">
        <f>$I$34*$AE$34</f>
        <v>0</v>
      </c>
      <c r="AF91" s="85">
        <f ca="1">$I$34*$AF$34</f>
        <v>0</v>
      </c>
      <c r="AG91" s="85">
        <f ca="1">$I$34*$AG$34</f>
        <v>0</v>
      </c>
      <c r="AI91" s="85">
        <f>$I$34*$AI$34</f>
        <v>0</v>
      </c>
      <c r="AJ91" s="85">
        <f>$I$34*$AJ$34</f>
        <v>0</v>
      </c>
      <c r="AK91" s="85">
        <f>$I$34*$AK$34</f>
        <v>0</v>
      </c>
      <c r="AL91" s="85">
        <f>$I$34*$AL$34</f>
        <v>0</v>
      </c>
      <c r="AM91" s="85">
        <f>$I$34*$AM$34</f>
        <v>0</v>
      </c>
      <c r="AN91" s="85">
        <f>$I$34*$AN$34</f>
        <v>0</v>
      </c>
      <c r="AO91" s="85">
        <f>$I$34*$AO$34</f>
        <v>0</v>
      </c>
      <c r="AP91" s="85">
        <f>$I$34*$AP$34</f>
        <v>0</v>
      </c>
      <c r="AQ91" s="85">
        <f>$I$34*$AQ$34</f>
        <v>0</v>
      </c>
      <c r="AR91" s="85">
        <f>$I$34*$AR$34</f>
        <v>0</v>
      </c>
      <c r="AS91" s="85">
        <f>$I$34*$AS$34</f>
        <v>0</v>
      </c>
      <c r="AT91" s="85">
        <f>$I$34*$AT$34</f>
        <v>0</v>
      </c>
      <c r="AU91" s="85">
        <f>$I$34*$AU$34</f>
        <v>0</v>
      </c>
      <c r="AV91" s="85">
        <f>$I$34*$AV$34</f>
        <v>0</v>
      </c>
      <c r="AW91" s="85">
        <f>$I$34*$AW$34</f>
        <v>0</v>
      </c>
      <c r="AX91" s="85">
        <f>$I$34*$AX$34</f>
        <v>0</v>
      </c>
      <c r="AY91" s="85">
        <f>$I$34*$AY$34</f>
        <v>0</v>
      </c>
      <c r="AZ91" s="85">
        <f>$I$34*$AZ$34</f>
        <v>0</v>
      </c>
      <c r="BA91" s="85">
        <f>$I$34*$BA$34</f>
        <v>0</v>
      </c>
      <c r="BB91" s="85">
        <f>$I$34*$BB$34</f>
        <v>0</v>
      </c>
      <c r="BC91" s="85">
        <f>$I$34*$BC$34</f>
        <v>0</v>
      </c>
      <c r="BD91" s="85">
        <f>$I$34*$BD$34</f>
        <v>0</v>
      </c>
    </row>
    <row r="92" spans="1:56" ht="11.25" customHeight="1" x14ac:dyDescent="0.25">
      <c r="A92" s="9" t="s">
        <v>46</v>
      </c>
      <c r="B92" s="9" t="s">
        <v>1057</v>
      </c>
      <c r="C92" s="9" t="s">
        <v>1058</v>
      </c>
      <c r="D92" s="9" t="s">
        <v>1059</v>
      </c>
      <c r="E92" s="9" t="s">
        <v>1060</v>
      </c>
      <c r="F92" s="9" t="s">
        <v>1061</v>
      </c>
      <c r="G92" s="9" t="s">
        <v>1062</v>
      </c>
      <c r="L92" s="85">
        <f>$I$35*$L$35</f>
        <v>0</v>
      </c>
      <c r="M92" s="85">
        <f>$I$35*$M$35</f>
        <v>0</v>
      </c>
      <c r="N92" s="85">
        <f ca="1">$I$35*$N$35</f>
        <v>0</v>
      </c>
      <c r="O92" s="85">
        <f>$I$35*$O$35</f>
        <v>0</v>
      </c>
      <c r="P92" s="85">
        <f>$I$35*$P$35</f>
        <v>0</v>
      </c>
      <c r="Q92" s="85">
        <f>$I$35*$Q$35</f>
        <v>0</v>
      </c>
      <c r="R92" s="85">
        <f>$I$35*$R$35</f>
        <v>0</v>
      </c>
      <c r="S92" s="85">
        <f>$I$35*$S$35</f>
        <v>0</v>
      </c>
      <c r="T92" s="85">
        <f>$I$35*$T$35</f>
        <v>0</v>
      </c>
      <c r="U92" s="85">
        <f>$I$35*$U$35</f>
        <v>0</v>
      </c>
      <c r="V92" s="85">
        <f>$I$35*$V$35</f>
        <v>0</v>
      </c>
      <c r="W92" s="85">
        <f>$I$35*$W$35</f>
        <v>0</v>
      </c>
      <c r="X92" s="85">
        <f>$I$35*$X$35</f>
        <v>0</v>
      </c>
      <c r="Y92" s="85">
        <f>$I$35*$Y$35</f>
        <v>0</v>
      </c>
      <c r="Z92" s="85">
        <f>$I$35*$Z$35</f>
        <v>0</v>
      </c>
      <c r="AA92" s="85">
        <f>$I$35*$AA$35</f>
        <v>0</v>
      </c>
      <c r="AB92" s="85">
        <f ca="1">$I$35*$AB$35</f>
        <v>0</v>
      </c>
      <c r="AC92" s="85">
        <f ca="1">$I$35*$AC$35</f>
        <v>0</v>
      </c>
      <c r="AD92" s="85">
        <f>$I$35*$AD$35</f>
        <v>0</v>
      </c>
      <c r="AE92" s="85">
        <f>$I$35*$AE$35</f>
        <v>0</v>
      </c>
      <c r="AF92" s="85">
        <f ca="1">$I$35*$AF$35</f>
        <v>0</v>
      </c>
      <c r="AG92" s="85">
        <f ca="1">$I$35*$AG$35</f>
        <v>0</v>
      </c>
      <c r="AI92" s="85">
        <f>$I$35*$AI$35</f>
        <v>0</v>
      </c>
      <c r="AJ92" s="85">
        <f>$I$35*$AJ$35</f>
        <v>0</v>
      </c>
      <c r="AK92" s="85">
        <f>$I$35*$AK$35</f>
        <v>0</v>
      </c>
      <c r="AL92" s="85">
        <f>$I$35*$AL$35</f>
        <v>0</v>
      </c>
      <c r="AM92" s="85">
        <f>$I$35*$AM$35</f>
        <v>0</v>
      </c>
      <c r="AN92" s="85">
        <f>$I$35*$AN$35</f>
        <v>0</v>
      </c>
      <c r="AO92" s="85">
        <f>$I$35*$AO$35</f>
        <v>0</v>
      </c>
      <c r="AP92" s="85">
        <f>$I$35*$AP$35</f>
        <v>0</v>
      </c>
      <c r="AQ92" s="85">
        <f>$I$35*$AQ$35</f>
        <v>0</v>
      </c>
      <c r="AR92" s="85">
        <f>$I$35*$AR$35</f>
        <v>0</v>
      </c>
      <c r="AS92" s="85">
        <f>$I$35*$AS$35</f>
        <v>0</v>
      </c>
      <c r="AT92" s="85">
        <f>$I$35*$AT$35</f>
        <v>0</v>
      </c>
      <c r="AU92" s="85">
        <f>$I$35*$AU$35</f>
        <v>0</v>
      </c>
      <c r="AV92" s="85">
        <f>$I$35*$AV$35</f>
        <v>0</v>
      </c>
      <c r="AW92" s="85">
        <f>$I$35*$AW$35</f>
        <v>0</v>
      </c>
      <c r="AX92" s="85">
        <f>$I$35*$AX$35</f>
        <v>0</v>
      </c>
      <c r="AY92" s="85">
        <f>$I$35*$AY$35</f>
        <v>0</v>
      </c>
      <c r="AZ92" s="85">
        <f>$I$35*$AZ$35</f>
        <v>0</v>
      </c>
      <c r="BA92" s="85">
        <f>$I$35*$BA$35</f>
        <v>0</v>
      </c>
      <c r="BB92" s="85">
        <f>$I$35*$BB$35</f>
        <v>0</v>
      </c>
      <c r="BC92" s="85">
        <f>$I$35*$BC$35</f>
        <v>0</v>
      </c>
      <c r="BD92" s="85">
        <f>$I$35*$BD$35</f>
        <v>0</v>
      </c>
    </row>
    <row r="93" spans="1:56" ht="11.25" customHeight="1" x14ac:dyDescent="0.25">
      <c r="A93" s="9" t="s">
        <v>46</v>
      </c>
      <c r="B93" s="9" t="s">
        <v>1057</v>
      </c>
      <c r="C93" s="9" t="s">
        <v>1058</v>
      </c>
      <c r="D93" s="9" t="s">
        <v>1059</v>
      </c>
      <c r="E93" s="9" t="s">
        <v>1060</v>
      </c>
      <c r="F93" s="9" t="s">
        <v>1061</v>
      </c>
      <c r="G93" s="9" t="s">
        <v>1063</v>
      </c>
      <c r="L93" s="85">
        <f>$I$36*$L$36</f>
        <v>6.2037080636006367E-2</v>
      </c>
      <c r="M93" s="85">
        <f>$I$36*$M$36</f>
        <v>3.8326858249353702E-3</v>
      </c>
      <c r="N93" s="85">
        <f ca="1">$I$36*$N$36</f>
        <v>3.2561410921597429E-2</v>
      </c>
      <c r="O93" s="85">
        <f>$I$36*$O$36</f>
        <v>0</v>
      </c>
      <c r="P93" s="85">
        <f>$I$36*$P$36</f>
        <v>0</v>
      </c>
      <c r="Q93" s="85">
        <f>$I$36*$Q$36</f>
        <v>9.5726368911919518E-2</v>
      </c>
      <c r="R93" s="85">
        <f>$I$36*$R$36</f>
        <v>4.6710851403684528E-2</v>
      </c>
      <c r="S93" s="85">
        <f>$I$36*$S$36</f>
        <v>0</v>
      </c>
      <c r="T93" s="85">
        <f>$I$36*$T$36</f>
        <v>0.35754263638972328</v>
      </c>
      <c r="U93" s="85">
        <f>$I$36*$U$36</f>
        <v>4.4151014641038043E-3</v>
      </c>
      <c r="V93" s="85">
        <f>$I$36*$V$36</f>
        <v>6.0207016564364107E-4</v>
      </c>
      <c r="W93" s="85">
        <f>$I$36*$W$36</f>
        <v>0</v>
      </c>
      <c r="X93" s="85">
        <f>$I$36*$X$36</f>
        <v>-1.5560216482399735E-5</v>
      </c>
      <c r="Y93" s="85">
        <f>$I$36*$Y$36</f>
        <v>0</v>
      </c>
      <c r="Z93" s="85">
        <f>$I$36*$Z$36</f>
        <v>0</v>
      </c>
      <c r="AA93" s="85">
        <f>$I$36*$AA$36</f>
        <v>1.9434829702128935</v>
      </c>
      <c r="AB93" s="85">
        <f ca="1">$I$36*$AB$36</f>
        <v>0</v>
      </c>
      <c r="AC93" s="85">
        <f ca="1">$I$36*$AC$36</f>
        <v>0</v>
      </c>
      <c r="AD93" s="85">
        <f>$I$36*$AD$36</f>
        <v>0.20262448981847797</v>
      </c>
      <c r="AE93" s="85">
        <f>$I$36*$AE$36</f>
        <v>1.4591335707480675E-2</v>
      </c>
      <c r="AF93" s="85">
        <f ca="1">$I$36*$AF$36</f>
        <v>0.5011847987828385</v>
      </c>
      <c r="AG93" s="85">
        <f ca="1">$I$36*$AG$36</f>
        <v>7.7557642145891045E-2</v>
      </c>
      <c r="AI93" s="85">
        <f>$I$36*$AI$36</f>
        <v>0</v>
      </c>
      <c r="AJ93" s="85">
        <f>$I$36*$AJ$36</f>
        <v>3.0078566302779654E-3</v>
      </c>
      <c r="AK93" s="85">
        <f>$I$36*$AK$36</f>
        <v>2.7681255650981951E-2</v>
      </c>
      <c r="AL93" s="85">
        <f>$I$36*$AL$36</f>
        <v>0</v>
      </c>
      <c r="AM93" s="85">
        <f>$I$36*$AM$36</f>
        <v>0</v>
      </c>
      <c r="AN93" s="85">
        <f>$I$36*$AN$36</f>
        <v>9.1172546420662498E-2</v>
      </c>
      <c r="AO93" s="85">
        <f>$I$36*$AO$36</f>
        <v>3.0963301055947554E-2</v>
      </c>
      <c r="AP93" s="85">
        <f>$I$36*$AP$36</f>
        <v>0</v>
      </c>
      <c r="AQ93" s="85">
        <f>$I$36*$AQ$36</f>
        <v>0.26199098865289799</v>
      </c>
      <c r="AR93" s="85">
        <f>$I$36*$AR$36</f>
        <v>4.2653481006877554E-2</v>
      </c>
      <c r="AS93" s="85">
        <f>$I$36*$AS$36</f>
        <v>-3.043953944051405E-3</v>
      </c>
      <c r="AT93" s="85">
        <f>$I$36*$AT$36</f>
        <v>0</v>
      </c>
      <c r="AU93" s="85">
        <f>$I$36*$AU$36</f>
        <v>1.3349557823599402E-3</v>
      </c>
      <c r="AV93" s="85">
        <f>$I$36*$AV$36</f>
        <v>0</v>
      </c>
      <c r="AW93" s="85">
        <f>$I$36*$AW$36</f>
        <v>0</v>
      </c>
      <c r="AX93" s="85">
        <f>$I$36*$AX$36</f>
        <v>1.6167362636011351</v>
      </c>
      <c r="AY93" s="85">
        <f>$I$36*$AY$36</f>
        <v>0</v>
      </c>
      <c r="AZ93" s="85">
        <f>$I$36*$AZ$36</f>
        <v>0</v>
      </c>
      <c r="BA93" s="85">
        <f>$I$36*$BA$36</f>
        <v>0.17649859343361601</v>
      </c>
      <c r="BB93" s="85">
        <f>$I$36*$BB$36</f>
        <v>1.3852955317339299E-2</v>
      </c>
      <c r="BC93" s="85">
        <f>$I$36*$BC$36</f>
        <v>0.48074393235911156</v>
      </c>
      <c r="BD93" s="85">
        <f>$I$36*$BD$36</f>
        <v>2.9789635240558301E-2</v>
      </c>
    </row>
    <row r="94" spans="1:56" ht="11.25" customHeight="1" x14ac:dyDescent="0.25">
      <c r="A94" s="9" t="s">
        <v>46</v>
      </c>
      <c r="B94" s="9" t="s">
        <v>1057</v>
      </c>
      <c r="C94" s="9" t="s">
        <v>1058</v>
      </c>
      <c r="D94" s="9" t="s">
        <v>1059</v>
      </c>
      <c r="E94" s="9" t="s">
        <v>1060</v>
      </c>
      <c r="F94" s="9" t="s">
        <v>1061</v>
      </c>
      <c r="G94" s="9" t="s">
        <v>1064</v>
      </c>
      <c r="L94" s="85">
        <f>$I$37*$L$37</f>
        <v>6.7744492054518952</v>
      </c>
      <c r="M94" s="85">
        <f>$I$37*$M$37</f>
        <v>0.41852929208294243</v>
      </c>
      <c r="N94" s="85">
        <f ca="1">$I$37*$N$37</f>
        <v>2.1586596812204122</v>
      </c>
      <c r="O94" s="85">
        <f>$I$37*$O$37</f>
        <v>0</v>
      </c>
      <c r="P94" s="85">
        <f>$I$37*$P$37</f>
        <v>0</v>
      </c>
      <c r="Q94" s="85">
        <f>$I$37*$Q$37</f>
        <v>10.453319485181613</v>
      </c>
      <c r="R94" s="85">
        <f>$I$37*$R$37</f>
        <v>5.100824973282351</v>
      </c>
      <c r="S94" s="85">
        <f>$I$37*$S$37</f>
        <v>0</v>
      </c>
      <c r="T94" s="85">
        <f>$I$37*$T$37</f>
        <v>13.014569702252903</v>
      </c>
      <c r="U94" s="85">
        <f>$I$37*$U$37</f>
        <v>0.16070969329337845</v>
      </c>
      <c r="V94" s="85">
        <f>$I$37*$V$37</f>
        <v>2.1918530628070289E-2</v>
      </c>
      <c r="W94" s="85">
        <f>$I$37*$W$37</f>
        <v>0</v>
      </c>
      <c r="X94" s="85">
        <f>$I$37*$X$37</f>
        <v>-5.6639187995935155E-4</v>
      </c>
      <c r="Y94" s="85">
        <f>$I$37*$Y$37</f>
        <v>0</v>
      </c>
      <c r="Z94" s="85">
        <f>$I$37*$Z$37</f>
        <v>0</v>
      </c>
      <c r="AA94" s="85">
        <f>$I$37*$AA$37</f>
        <v>70.742798282471909</v>
      </c>
      <c r="AB94" s="85">
        <f ca="1">$I$37*$AB$37</f>
        <v>0</v>
      </c>
      <c r="AC94" s="85">
        <f ca="1">$I$37*$AC$37</f>
        <v>0</v>
      </c>
      <c r="AD94" s="85">
        <f>$I$37*$AD$37</f>
        <v>22.126594288177795</v>
      </c>
      <c r="AE94" s="85">
        <f>$I$37*$AE$37</f>
        <v>1.5933738592568898</v>
      </c>
      <c r="AF94" s="85">
        <f ca="1">$I$37*$AF$37</f>
        <v>54.729380027085966</v>
      </c>
      <c r="AG94" s="85">
        <f ca="1">$I$37*$AG$37</f>
        <v>8.4692945223313014</v>
      </c>
      <c r="AI94" s="85">
        <f>$I$37*$AI$37</f>
        <v>0</v>
      </c>
      <c r="AJ94" s="85">
        <f>$I$37*$AJ$37</f>
        <v>0.32845794402635381</v>
      </c>
      <c r="AK94" s="85">
        <f>$I$37*$AK$37</f>
        <v>1.8450974496865802</v>
      </c>
      <c r="AL94" s="85">
        <f>$I$37*$AL$37</f>
        <v>0</v>
      </c>
      <c r="AM94" s="85">
        <f>$I$37*$AM$37</f>
        <v>0</v>
      </c>
      <c r="AN94" s="85">
        <f>$I$37*$AN$37</f>
        <v>9.9560420691363465</v>
      </c>
      <c r="AO94" s="85">
        <f>$I$37*$AO$37</f>
        <v>3.3811924753094731</v>
      </c>
      <c r="AP94" s="85">
        <f>$I$37*$AP$37</f>
        <v>0</v>
      </c>
      <c r="AQ94" s="85">
        <f>$I$37*$AQ$37</f>
        <v>9.5364849843214223</v>
      </c>
      <c r="AR94" s="85">
        <f>$I$37*$AR$37</f>
        <v>1.5525867086503411</v>
      </c>
      <c r="AS94" s="85">
        <f>$I$37*$AS$37</f>
        <v>-0.11081598385098587</v>
      </c>
      <c r="AT94" s="85">
        <f>$I$37*$AT$37</f>
        <v>0</v>
      </c>
      <c r="AU94" s="85">
        <f>$I$37*$AU$37</f>
        <v>4.8592390477901745E-2</v>
      </c>
      <c r="AV94" s="85">
        <f>$I$37*$AV$37</f>
        <v>0</v>
      </c>
      <c r="AW94" s="85">
        <f>$I$37*$AW$37</f>
        <v>0</v>
      </c>
      <c r="AX94" s="85">
        <f>$I$37*$AX$37</f>
        <v>58.84921510753631</v>
      </c>
      <c r="AY94" s="85">
        <f>$I$37*$AY$37</f>
        <v>0</v>
      </c>
      <c r="AZ94" s="85">
        <f>$I$37*$AZ$37</f>
        <v>0</v>
      </c>
      <c r="BA94" s="85">
        <f>$I$37*$BA$37</f>
        <v>19.27364640295087</v>
      </c>
      <c r="BB94" s="85">
        <f>$I$37*$BB$37</f>
        <v>1.5127427206534516</v>
      </c>
      <c r="BC94" s="85">
        <f>$I$37*$BC$37</f>
        <v>52.497237413614982</v>
      </c>
      <c r="BD94" s="85">
        <f>$I$37*$BD$37</f>
        <v>3.2530281682689668</v>
      </c>
    </row>
    <row r="95" spans="1:56" ht="11.25" customHeight="1" x14ac:dyDescent="0.25">
      <c r="A95" s="9" t="s">
        <v>46</v>
      </c>
      <c r="B95" s="9" t="s">
        <v>1065</v>
      </c>
      <c r="C95" s="9" t="s">
        <v>1066</v>
      </c>
      <c r="D95" s="9" t="s">
        <v>1067</v>
      </c>
      <c r="E95" s="9" t="s">
        <v>1068</v>
      </c>
      <c r="F95" s="9" t="s">
        <v>1069</v>
      </c>
      <c r="G95" s="9" t="s">
        <v>1070</v>
      </c>
      <c r="L95" s="85">
        <f>$I$38*$L$38</f>
        <v>799272.97968311119</v>
      </c>
      <c r="M95" s="85">
        <f>$I$38*$M$38</f>
        <v>49379.535401724541</v>
      </c>
      <c r="N95" s="85">
        <f ca="1">$I$38*$N$38</f>
        <v>301044.11029069172</v>
      </c>
      <c r="O95" s="85">
        <f>$I$38*$O$38</f>
        <v>0</v>
      </c>
      <c r="P95" s="85">
        <f>$I$38*$P$38</f>
        <v>0</v>
      </c>
      <c r="Q95" s="85">
        <f>$I$38*$Q$38</f>
        <v>1233318.836574449</v>
      </c>
      <c r="R95" s="85">
        <f>$I$38*$R$38</f>
        <v>601812.99639185262</v>
      </c>
      <c r="S95" s="85">
        <f>$I$38*$S$38</f>
        <v>0</v>
      </c>
      <c r="T95" s="85">
        <f>$I$38*$T$38</f>
        <v>2399222.2653600457</v>
      </c>
      <c r="U95" s="85">
        <f>$I$38*$U$38</f>
        <v>29626.502068912283</v>
      </c>
      <c r="V95" s="85">
        <f>$I$38*$V$38</f>
        <v>4039.8194741916964</v>
      </c>
      <c r="W95" s="85">
        <f>$I$38*$W$38</f>
        <v>0</v>
      </c>
      <c r="X95" s="85">
        <f>$I$38*$X$38</f>
        <v>-104.40176220400382</v>
      </c>
      <c r="Y95" s="85">
        <f>$I$38*$Y$38</f>
        <v>0</v>
      </c>
      <c r="Z95" s="85">
        <f>$I$38*$Z$38</f>
        <v>0</v>
      </c>
      <c r="AA95" s="85">
        <f>$I$38*$AA$38</f>
        <v>13041373.537226601</v>
      </c>
      <c r="AB95" s="85">
        <f ca="1">$I$38*$AB$38</f>
        <v>0</v>
      </c>
      <c r="AC95" s="85">
        <f ca="1">$I$38*$AC$38</f>
        <v>0</v>
      </c>
      <c r="AD95" s="85">
        <f>$I$38*$AD$38</f>
        <v>2610572.2267012657</v>
      </c>
      <c r="AE95" s="85">
        <f>$I$38*$AE$38</f>
        <v>187991.76635829243</v>
      </c>
      <c r="AF95" s="85">
        <f ca="1">$I$38*$AF$38</f>
        <v>6457161.8036865024</v>
      </c>
      <c r="AG95" s="85">
        <f ca="1">$I$38*$AG$38</f>
        <v>999236.70004490658</v>
      </c>
      <c r="AI95" s="85">
        <f>$I$38*$AI$38</f>
        <v>0</v>
      </c>
      <c r="AJ95" s="85">
        <f>$I$38*$AJ$38</f>
        <v>38752.605807606793</v>
      </c>
      <c r="AK95" s="85">
        <f>$I$38*$AK$38</f>
        <v>256770.27256986414</v>
      </c>
      <c r="AL95" s="85">
        <f>$I$38*$AL$38</f>
        <v>0</v>
      </c>
      <c r="AM95" s="85">
        <f>$I$38*$AM$38</f>
        <v>0</v>
      </c>
      <c r="AN95" s="85">
        <f>$I$38*$AN$38</f>
        <v>1174648.3247737624</v>
      </c>
      <c r="AO95" s="85">
        <f>$I$38*$AO$38</f>
        <v>398924.79855747096</v>
      </c>
      <c r="AP95" s="85">
        <f>$I$38*$AP$38</f>
        <v>0</v>
      </c>
      <c r="AQ95" s="85">
        <f>$I$38*$AQ$38</f>
        <v>1758040.9979820568</v>
      </c>
      <c r="AR95" s="85">
        <f>$I$38*$AR$38</f>
        <v>286216.1727359246</v>
      </c>
      <c r="AS95" s="85">
        <f>$I$38*$AS$38</f>
        <v>-20424.57029667863</v>
      </c>
      <c r="AT95" s="85">
        <f>$I$38*$AT$38</f>
        <v>0</v>
      </c>
      <c r="AU95" s="85">
        <f>$I$38*$AU$38</f>
        <v>8956.9278358335632</v>
      </c>
      <c r="AV95" s="85">
        <f>$I$38*$AV$38</f>
        <v>0</v>
      </c>
      <c r="AW95" s="85">
        <f>$I$38*$AW$38</f>
        <v>0</v>
      </c>
      <c r="AX95" s="85">
        <f>$I$38*$AX$38</f>
        <v>10848801.789342547</v>
      </c>
      <c r="AY95" s="85">
        <f>$I$38*$AY$38</f>
        <v>0</v>
      </c>
      <c r="AZ95" s="85">
        <f>$I$38*$AZ$38</f>
        <v>0</v>
      </c>
      <c r="BA95" s="85">
        <f>$I$38*$BA$38</f>
        <v>2273971.5543881804</v>
      </c>
      <c r="BB95" s="85">
        <f>$I$38*$BB$38</f>
        <v>178478.62537039525</v>
      </c>
      <c r="BC95" s="85">
        <f>$I$38*$BC$38</f>
        <v>6193805.8874135138</v>
      </c>
      <c r="BD95" s="85">
        <f>$I$38*$BD$38</f>
        <v>383803.52973242069</v>
      </c>
    </row>
    <row r="96" spans="1:56" ht="11.25" customHeight="1" x14ac:dyDescent="0.25">
      <c r="A96" s="9" t="s">
        <v>46</v>
      </c>
      <c r="B96" s="9" t="s">
        <v>1057</v>
      </c>
      <c r="C96" s="9" t="s">
        <v>1058</v>
      </c>
      <c r="D96" s="9" t="s">
        <v>1071</v>
      </c>
      <c r="E96" s="9" t="s">
        <v>1072</v>
      </c>
      <c r="F96" s="9" t="s">
        <v>1073</v>
      </c>
      <c r="G96" s="9" t="s">
        <v>1074</v>
      </c>
      <c r="L96" s="85">
        <f>$I$39*$L$39</f>
        <v>0</v>
      </c>
      <c r="M96" s="85">
        <f>$I$39*$M$39</f>
        <v>0</v>
      </c>
      <c r="N96" s="85">
        <f ca="1">$I$39*$N$39</f>
        <v>0</v>
      </c>
      <c r="O96" s="85">
        <f>$I$39*$O$39</f>
        <v>0</v>
      </c>
      <c r="P96" s="85">
        <f>$I$39*$P$39</f>
        <v>0</v>
      </c>
      <c r="Q96" s="85">
        <f>$I$39*$Q$39</f>
        <v>0</v>
      </c>
      <c r="R96" s="85">
        <f>$I$39*$R$39</f>
        <v>0</v>
      </c>
      <c r="S96" s="85">
        <f>$I$39*$S$39</f>
        <v>0</v>
      </c>
      <c r="T96" s="85">
        <f>$I$39*$T$39</f>
        <v>0</v>
      </c>
      <c r="U96" s="85">
        <f>$I$39*$U$39</f>
        <v>0</v>
      </c>
      <c r="V96" s="85">
        <f>$I$39*$V$39</f>
        <v>0</v>
      </c>
      <c r="W96" s="85">
        <f>$I$39*$W$39</f>
        <v>0</v>
      </c>
      <c r="X96" s="85">
        <f>$I$39*$X$39</f>
        <v>0</v>
      </c>
      <c r="Y96" s="85">
        <f>$I$39*$Y$39</f>
        <v>0</v>
      </c>
      <c r="Z96" s="85">
        <f>$I$39*$Z$39</f>
        <v>0</v>
      </c>
      <c r="AA96" s="85">
        <f>$I$39*$AA$39</f>
        <v>0</v>
      </c>
      <c r="AB96" s="85">
        <f ca="1">$I$39*$AB$39</f>
        <v>0</v>
      </c>
      <c r="AC96" s="85">
        <f ca="1">$I$39*$AC$39</f>
        <v>0</v>
      </c>
      <c r="AD96" s="85">
        <f>$I$39*$AD$39</f>
        <v>0</v>
      </c>
      <c r="AE96" s="85">
        <f>$I$39*$AE$39</f>
        <v>0</v>
      </c>
      <c r="AF96" s="85">
        <f ca="1">$I$39*$AF$39</f>
        <v>0</v>
      </c>
      <c r="AG96" s="85">
        <f ca="1">$I$39*$AG$39</f>
        <v>0</v>
      </c>
      <c r="AI96" s="85">
        <f>$I$39*$AI$39</f>
        <v>0</v>
      </c>
      <c r="AJ96" s="85">
        <f>$I$39*$AJ$39</f>
        <v>0</v>
      </c>
      <c r="AK96" s="85">
        <f>$I$39*$AK$39</f>
        <v>0</v>
      </c>
      <c r="AL96" s="85">
        <f>$I$39*$AL$39</f>
        <v>0</v>
      </c>
      <c r="AM96" s="85">
        <f>$I$39*$AM$39</f>
        <v>0</v>
      </c>
      <c r="AN96" s="85">
        <f>$I$39*$AN$39</f>
        <v>0</v>
      </c>
      <c r="AO96" s="85">
        <f>$I$39*$AO$39</f>
        <v>0</v>
      </c>
      <c r="AP96" s="85">
        <f>$I$39*$AP$39</f>
        <v>0</v>
      </c>
      <c r="AQ96" s="85">
        <f>$I$39*$AQ$39</f>
        <v>0</v>
      </c>
      <c r="AR96" s="85">
        <f>$I$39*$AR$39</f>
        <v>0</v>
      </c>
      <c r="AS96" s="85">
        <f>$I$39*$AS$39</f>
        <v>0</v>
      </c>
      <c r="AT96" s="85">
        <f>$I$39*$AT$39</f>
        <v>0</v>
      </c>
      <c r="AU96" s="85">
        <f>$I$39*$AU$39</f>
        <v>0</v>
      </c>
      <c r="AV96" s="85">
        <f>$I$39*$AV$39</f>
        <v>0</v>
      </c>
      <c r="AW96" s="85">
        <f>$I$39*$AW$39</f>
        <v>0</v>
      </c>
      <c r="AX96" s="85">
        <f>$I$39*$AX$39</f>
        <v>0</v>
      </c>
      <c r="AY96" s="85">
        <f>$I$39*$AY$39</f>
        <v>0</v>
      </c>
      <c r="AZ96" s="85">
        <f>$I$39*$AZ$39</f>
        <v>0</v>
      </c>
      <c r="BA96" s="85">
        <f>$I$39*$BA$39</f>
        <v>0</v>
      </c>
      <c r="BB96" s="85">
        <f>$I$39*$BB$39</f>
        <v>0</v>
      </c>
      <c r="BC96" s="85">
        <f>$I$39*$BC$39</f>
        <v>0</v>
      </c>
      <c r="BD96" s="85">
        <f>$I$39*$BD$39</f>
        <v>0</v>
      </c>
    </row>
    <row r="97" spans="1:56" ht="11.25" customHeight="1" x14ac:dyDescent="0.25">
      <c r="A97" s="9" t="s">
        <v>46</v>
      </c>
      <c r="B97" s="9" t="s">
        <v>1057</v>
      </c>
      <c r="C97" s="9" t="s">
        <v>1058</v>
      </c>
      <c r="D97" s="9" t="s">
        <v>1071</v>
      </c>
      <c r="E97" s="9" t="s">
        <v>1072</v>
      </c>
      <c r="F97" s="9" t="s">
        <v>1073</v>
      </c>
      <c r="G97" s="9" t="s">
        <v>1075</v>
      </c>
      <c r="L97" s="85">
        <f>$I$40*$L$40</f>
        <v>0</v>
      </c>
      <c r="M97" s="85">
        <f>$I$40*$M$40</f>
        <v>0</v>
      </c>
      <c r="N97" s="85">
        <f ca="1">$I$40*$N$40</f>
        <v>0</v>
      </c>
      <c r="O97" s="85">
        <f>$I$40*$O$40</f>
        <v>0</v>
      </c>
      <c r="P97" s="85">
        <f>$I$40*$P$40</f>
        <v>0</v>
      </c>
      <c r="Q97" s="85">
        <f>$I$40*$Q$40</f>
        <v>0</v>
      </c>
      <c r="R97" s="85">
        <f>$I$40*$R$40</f>
        <v>0</v>
      </c>
      <c r="S97" s="85">
        <f>$I$40*$S$40</f>
        <v>0</v>
      </c>
      <c r="T97" s="85">
        <f>$I$40*$T$40</f>
        <v>0</v>
      </c>
      <c r="U97" s="85">
        <f>$I$40*$U$40</f>
        <v>0</v>
      </c>
      <c r="V97" s="85">
        <f>$I$40*$V$40</f>
        <v>0</v>
      </c>
      <c r="W97" s="85">
        <f>$I$40*$W$40</f>
        <v>0</v>
      </c>
      <c r="X97" s="85">
        <f>$I$40*$X$40</f>
        <v>0</v>
      </c>
      <c r="Y97" s="85">
        <f>$I$40*$Y$40</f>
        <v>0</v>
      </c>
      <c r="Z97" s="85">
        <f>$I$40*$Z$40</f>
        <v>0</v>
      </c>
      <c r="AA97" s="85">
        <f>$I$40*$AA$40</f>
        <v>0</v>
      </c>
      <c r="AB97" s="85">
        <f ca="1">$I$40*$AB$40</f>
        <v>0</v>
      </c>
      <c r="AC97" s="85">
        <f ca="1">$I$40*$AC$40</f>
        <v>0</v>
      </c>
      <c r="AD97" s="85">
        <f>$I$40*$AD$40</f>
        <v>0</v>
      </c>
      <c r="AE97" s="85">
        <f>$I$40*$AE$40</f>
        <v>0</v>
      </c>
      <c r="AF97" s="85">
        <f ca="1">$I$40*$AF$40</f>
        <v>0</v>
      </c>
      <c r="AG97" s="85">
        <f ca="1">$I$40*$AG$40</f>
        <v>0</v>
      </c>
      <c r="AI97" s="85">
        <f>$I$40*$AI$40</f>
        <v>0</v>
      </c>
      <c r="AJ97" s="85">
        <f>$I$40*$AJ$40</f>
        <v>0</v>
      </c>
      <c r="AK97" s="85">
        <f>$I$40*$AK$40</f>
        <v>0</v>
      </c>
      <c r="AL97" s="85">
        <f>$I$40*$AL$40</f>
        <v>0</v>
      </c>
      <c r="AM97" s="85">
        <f>$I$40*$AM$40</f>
        <v>0</v>
      </c>
      <c r="AN97" s="85">
        <f>$I$40*$AN$40</f>
        <v>0</v>
      </c>
      <c r="AO97" s="85">
        <f>$I$40*$AO$40</f>
        <v>0</v>
      </c>
      <c r="AP97" s="85">
        <f>$I$40*$AP$40</f>
        <v>0</v>
      </c>
      <c r="AQ97" s="85">
        <f>$I$40*$AQ$40</f>
        <v>0</v>
      </c>
      <c r="AR97" s="85">
        <f>$I$40*$AR$40</f>
        <v>0</v>
      </c>
      <c r="AS97" s="85">
        <f>$I$40*$AS$40</f>
        <v>0</v>
      </c>
      <c r="AT97" s="85">
        <f>$I$40*$AT$40</f>
        <v>0</v>
      </c>
      <c r="AU97" s="85">
        <f>$I$40*$AU$40</f>
        <v>0</v>
      </c>
      <c r="AV97" s="85">
        <f>$I$40*$AV$40</f>
        <v>0</v>
      </c>
      <c r="AW97" s="85">
        <f>$I$40*$AW$40</f>
        <v>0</v>
      </c>
      <c r="AX97" s="85">
        <f>$I$40*$AX$40</f>
        <v>0</v>
      </c>
      <c r="AY97" s="85">
        <f>$I$40*$AY$40</f>
        <v>0</v>
      </c>
      <c r="AZ97" s="85">
        <f>$I$40*$AZ$40</f>
        <v>0</v>
      </c>
      <c r="BA97" s="85">
        <f>$I$40*$BA$40</f>
        <v>0</v>
      </c>
      <c r="BB97" s="85">
        <f>$I$40*$BB$40</f>
        <v>0</v>
      </c>
      <c r="BC97" s="85">
        <f>$I$40*$BC$40</f>
        <v>0</v>
      </c>
      <c r="BD97" s="85">
        <f>$I$40*$BD$40</f>
        <v>0</v>
      </c>
    </row>
    <row r="98" spans="1:56" ht="11.25" customHeight="1" x14ac:dyDescent="0.25">
      <c r="A98" s="9" t="s">
        <v>46</v>
      </c>
      <c r="B98" s="9" t="s">
        <v>1057</v>
      </c>
      <c r="C98" s="9" t="s">
        <v>1058</v>
      </c>
      <c r="D98" s="9" t="s">
        <v>1071</v>
      </c>
      <c r="E98" s="9" t="s">
        <v>1072</v>
      </c>
      <c r="F98" s="9" t="s">
        <v>1073</v>
      </c>
      <c r="G98" s="9" t="s">
        <v>1076</v>
      </c>
      <c r="L98" s="85">
        <f>$I$41*$L$41</f>
        <v>0</v>
      </c>
      <c r="M98" s="85">
        <f>$I$41*$M$41</f>
        <v>0</v>
      </c>
      <c r="N98" s="85">
        <f ca="1">$I$41*$N$41</f>
        <v>0</v>
      </c>
      <c r="O98" s="85">
        <f>$I$41*$O$41</f>
        <v>0</v>
      </c>
      <c r="P98" s="85">
        <f>$I$41*$P$41</f>
        <v>0</v>
      </c>
      <c r="Q98" s="85">
        <f>$I$41*$Q$41</f>
        <v>0</v>
      </c>
      <c r="R98" s="85">
        <f>$I$41*$R$41</f>
        <v>0</v>
      </c>
      <c r="S98" s="85">
        <f>$I$41*$S$41</f>
        <v>0</v>
      </c>
      <c r="T98" s="85">
        <f>$I$41*$T$41</f>
        <v>0</v>
      </c>
      <c r="U98" s="85">
        <f>$I$41*$U$41</f>
        <v>0</v>
      </c>
      <c r="V98" s="85">
        <f>$I$41*$V$41</f>
        <v>0</v>
      </c>
      <c r="W98" s="85">
        <f>$I$41*$W$41</f>
        <v>0</v>
      </c>
      <c r="X98" s="85">
        <f>$I$41*$X$41</f>
        <v>0</v>
      </c>
      <c r="Y98" s="85">
        <f>$I$41*$Y$41</f>
        <v>0</v>
      </c>
      <c r="Z98" s="85">
        <f>$I$41*$Z$41</f>
        <v>0</v>
      </c>
      <c r="AA98" s="85">
        <f>$I$41*$AA$41</f>
        <v>0</v>
      </c>
      <c r="AB98" s="85">
        <f ca="1">$I$41*$AB$41</f>
        <v>0</v>
      </c>
      <c r="AC98" s="85">
        <f ca="1">$I$41*$AC$41</f>
        <v>0</v>
      </c>
      <c r="AD98" s="85">
        <f>$I$41*$AD$41</f>
        <v>0</v>
      </c>
      <c r="AE98" s="85">
        <f>$I$41*$AE$41</f>
        <v>0</v>
      </c>
      <c r="AF98" s="85">
        <f ca="1">$I$41*$AF$41</f>
        <v>0</v>
      </c>
      <c r="AG98" s="85">
        <f ca="1">$I$41*$AG$41</f>
        <v>0</v>
      </c>
      <c r="AI98" s="85">
        <f>$I$41*$AI$41</f>
        <v>0</v>
      </c>
      <c r="AJ98" s="85">
        <f>$I$41*$AJ$41</f>
        <v>0</v>
      </c>
      <c r="AK98" s="85">
        <f>$I$41*$AK$41</f>
        <v>0</v>
      </c>
      <c r="AL98" s="85">
        <f>$I$41*$AL$41</f>
        <v>0</v>
      </c>
      <c r="AM98" s="85">
        <f>$I$41*$AM$41</f>
        <v>0</v>
      </c>
      <c r="AN98" s="85">
        <f>$I$41*$AN$41</f>
        <v>0</v>
      </c>
      <c r="AO98" s="85">
        <f>$I$41*$AO$41</f>
        <v>0</v>
      </c>
      <c r="AP98" s="85">
        <f>$I$41*$AP$41</f>
        <v>0</v>
      </c>
      <c r="AQ98" s="85">
        <f>$I$41*$AQ$41</f>
        <v>0</v>
      </c>
      <c r="AR98" s="85">
        <f>$I$41*$AR$41</f>
        <v>0</v>
      </c>
      <c r="AS98" s="85">
        <f>$I$41*$AS$41</f>
        <v>0</v>
      </c>
      <c r="AT98" s="85">
        <f>$I$41*$AT$41</f>
        <v>0</v>
      </c>
      <c r="AU98" s="85">
        <f>$I$41*$AU$41</f>
        <v>0</v>
      </c>
      <c r="AV98" s="85">
        <f>$I$41*$AV$41</f>
        <v>0</v>
      </c>
      <c r="AW98" s="85">
        <f>$I$41*$AW$41</f>
        <v>0</v>
      </c>
      <c r="AX98" s="85">
        <f>$I$41*$AX$41</f>
        <v>0</v>
      </c>
      <c r="AY98" s="85">
        <f>$I$41*$AY$41</f>
        <v>0</v>
      </c>
      <c r="AZ98" s="85">
        <f>$I$41*$AZ$41</f>
        <v>0</v>
      </c>
      <c r="BA98" s="85">
        <f>$I$41*$BA$41</f>
        <v>0</v>
      </c>
      <c r="BB98" s="85">
        <f>$I$41*$BB$41</f>
        <v>0</v>
      </c>
      <c r="BC98" s="85">
        <f>$I$41*$BC$41</f>
        <v>0</v>
      </c>
      <c r="BD98" s="85">
        <f>$I$41*$BD$41</f>
        <v>0</v>
      </c>
    </row>
    <row r="99" spans="1:56" ht="11.25" customHeight="1" x14ac:dyDescent="0.25">
      <c r="A99" s="9" t="s">
        <v>46</v>
      </c>
      <c r="B99" s="9" t="s">
        <v>1065</v>
      </c>
      <c r="C99" s="9" t="s">
        <v>1066</v>
      </c>
      <c r="D99" s="9" t="s">
        <v>1077</v>
      </c>
      <c r="E99" s="9" t="s">
        <v>1078</v>
      </c>
      <c r="F99" s="9" t="s">
        <v>1079</v>
      </c>
      <c r="G99" s="9" t="s">
        <v>1080</v>
      </c>
      <c r="L99" s="85">
        <f>$I$42*$L$42</f>
        <v>0</v>
      </c>
      <c r="M99" s="85">
        <f>$I$42*$M$42</f>
        <v>0</v>
      </c>
      <c r="N99" s="85">
        <f ca="1">$I$42*$N$42</f>
        <v>0</v>
      </c>
      <c r="O99" s="85">
        <f>$I$42*$O$42</f>
        <v>0</v>
      </c>
      <c r="P99" s="85">
        <f>$I$42*$P$42</f>
        <v>0</v>
      </c>
      <c r="Q99" s="85">
        <f>$I$42*$Q$42</f>
        <v>0</v>
      </c>
      <c r="R99" s="85">
        <f>$I$42*$R$42</f>
        <v>0</v>
      </c>
      <c r="S99" s="85">
        <f>$I$42*$S$42</f>
        <v>0</v>
      </c>
      <c r="T99" s="85">
        <f>$I$42*$T$42</f>
        <v>0</v>
      </c>
      <c r="U99" s="85">
        <f>$I$42*$U$42</f>
        <v>0</v>
      </c>
      <c r="V99" s="85">
        <f>$I$42*$V$42</f>
        <v>0</v>
      </c>
      <c r="W99" s="85">
        <f>$I$42*$W$42</f>
        <v>0</v>
      </c>
      <c r="X99" s="85">
        <f>$I$42*$X$42</f>
        <v>0</v>
      </c>
      <c r="Y99" s="85">
        <f>$I$42*$Y$42</f>
        <v>0</v>
      </c>
      <c r="Z99" s="85">
        <f>$I$42*$Z$42</f>
        <v>0</v>
      </c>
      <c r="AA99" s="85">
        <f>$I$42*$AA$42</f>
        <v>0</v>
      </c>
      <c r="AB99" s="85">
        <f ca="1">$I$42*$AB$42</f>
        <v>0</v>
      </c>
      <c r="AC99" s="85">
        <f ca="1">$I$42*$AC$42</f>
        <v>0</v>
      </c>
      <c r="AD99" s="85">
        <f>$I$42*$AD$42</f>
        <v>0</v>
      </c>
      <c r="AE99" s="85">
        <f>$I$42*$AE$42</f>
        <v>0</v>
      </c>
      <c r="AF99" s="85">
        <f ca="1">$I$42*$AF$42</f>
        <v>0</v>
      </c>
      <c r="AG99" s="85">
        <f ca="1">$I$42*$AG$42</f>
        <v>0</v>
      </c>
      <c r="AI99" s="85">
        <f>$I$42*$AI$42</f>
        <v>0</v>
      </c>
      <c r="AJ99" s="85">
        <f>$I$42*$AJ$42</f>
        <v>0</v>
      </c>
      <c r="AK99" s="85">
        <f>$I$42*$AK$42</f>
        <v>0</v>
      </c>
      <c r="AL99" s="85">
        <f>$I$42*$AL$42</f>
        <v>0</v>
      </c>
      <c r="AM99" s="85">
        <f>$I$42*$AM$42</f>
        <v>0</v>
      </c>
      <c r="AN99" s="85">
        <f>$I$42*$AN$42</f>
        <v>0</v>
      </c>
      <c r="AO99" s="85">
        <f>$I$42*$AO$42</f>
        <v>0</v>
      </c>
      <c r="AP99" s="85">
        <f>$I$42*$AP$42</f>
        <v>0</v>
      </c>
      <c r="AQ99" s="85">
        <f>$I$42*$AQ$42</f>
        <v>0</v>
      </c>
      <c r="AR99" s="85">
        <f>$I$42*$AR$42</f>
        <v>0</v>
      </c>
      <c r="AS99" s="85">
        <f>$I$42*$AS$42</f>
        <v>0</v>
      </c>
      <c r="AT99" s="85">
        <f>$I$42*$AT$42</f>
        <v>0</v>
      </c>
      <c r="AU99" s="85">
        <f>$I$42*$AU$42</f>
        <v>0</v>
      </c>
      <c r="AV99" s="85">
        <f>$I$42*$AV$42</f>
        <v>0</v>
      </c>
      <c r="AW99" s="85">
        <f>$I$42*$AW$42</f>
        <v>0</v>
      </c>
      <c r="AX99" s="85">
        <f>$I$42*$AX$42</f>
        <v>0</v>
      </c>
      <c r="AY99" s="85">
        <f>$I$42*$AY$42</f>
        <v>0</v>
      </c>
      <c r="AZ99" s="85">
        <f>$I$42*$AZ$42</f>
        <v>0</v>
      </c>
      <c r="BA99" s="85">
        <f>$I$42*$BA$42</f>
        <v>0</v>
      </c>
      <c r="BB99" s="85">
        <f>$I$42*$BB$42</f>
        <v>0</v>
      </c>
      <c r="BC99" s="85">
        <f>$I$42*$BC$42</f>
        <v>0</v>
      </c>
      <c r="BD99" s="85">
        <f>$I$42*$BD$42</f>
        <v>0</v>
      </c>
    </row>
    <row r="100" spans="1:56" ht="11.25" customHeight="1" x14ac:dyDescent="0.25">
      <c r="A100" s="9" t="s">
        <v>46</v>
      </c>
      <c r="B100" s="9" t="s">
        <v>1057</v>
      </c>
      <c r="C100" s="9" t="s">
        <v>1058</v>
      </c>
      <c r="D100" s="9" t="s">
        <v>1081</v>
      </c>
      <c r="E100" s="9" t="s">
        <v>1082</v>
      </c>
      <c r="F100" s="9" t="s">
        <v>1083</v>
      </c>
      <c r="G100" s="9" t="s">
        <v>1084</v>
      </c>
      <c r="L100" s="85">
        <f>$I$43*$L$43</f>
        <v>0</v>
      </c>
      <c r="M100" s="85">
        <f>$I$43*$M$43</f>
        <v>0</v>
      </c>
      <c r="N100" s="85">
        <f ca="1">$I$43*$N$43</f>
        <v>0</v>
      </c>
      <c r="O100" s="85">
        <f>$I$43*$O$43</f>
        <v>0</v>
      </c>
      <c r="P100" s="85">
        <f>$I$43*$P$43</f>
        <v>0</v>
      </c>
      <c r="Q100" s="85">
        <f>$I$43*$Q$43</f>
        <v>0</v>
      </c>
      <c r="R100" s="85">
        <f>$I$43*$R$43</f>
        <v>0</v>
      </c>
      <c r="S100" s="85">
        <f>$I$43*$S$43</f>
        <v>0</v>
      </c>
      <c r="T100" s="85">
        <f>$I$43*$T$43</f>
        <v>0</v>
      </c>
      <c r="U100" s="85">
        <f>$I$43*$U$43</f>
        <v>0</v>
      </c>
      <c r="V100" s="85">
        <f>$I$43*$V$43</f>
        <v>0</v>
      </c>
      <c r="W100" s="85">
        <f>$I$43*$W$43</f>
        <v>0</v>
      </c>
      <c r="X100" s="85">
        <f>$I$43*$X$43</f>
        <v>0</v>
      </c>
      <c r="Y100" s="85">
        <f>$I$43*$Y$43</f>
        <v>0</v>
      </c>
      <c r="Z100" s="85">
        <f>$I$43*$Z$43</f>
        <v>0</v>
      </c>
      <c r="AA100" s="85">
        <f>$I$43*$AA$43</f>
        <v>0</v>
      </c>
      <c r="AB100" s="85">
        <f ca="1">$I$43*$AB$43</f>
        <v>0</v>
      </c>
      <c r="AC100" s="85">
        <f ca="1">$I$43*$AC$43</f>
        <v>0</v>
      </c>
      <c r="AD100" s="85">
        <f>$I$43*$AD$43</f>
        <v>0</v>
      </c>
      <c r="AE100" s="85">
        <f>$I$43*$AE$43</f>
        <v>0</v>
      </c>
      <c r="AF100" s="85">
        <f ca="1">$I$43*$AF$43</f>
        <v>0</v>
      </c>
      <c r="AG100" s="85">
        <f ca="1">$I$43*$AG$43</f>
        <v>0</v>
      </c>
      <c r="AI100" s="85">
        <f>$I$43*$AI$43</f>
        <v>0</v>
      </c>
      <c r="AJ100" s="85">
        <f>$I$43*$AJ$43</f>
        <v>0</v>
      </c>
      <c r="AK100" s="85">
        <f>$I$43*$AK$43</f>
        <v>0</v>
      </c>
      <c r="AL100" s="85">
        <f>$I$43*$AL$43</f>
        <v>0</v>
      </c>
      <c r="AM100" s="85">
        <f>$I$43*$AM$43</f>
        <v>0</v>
      </c>
      <c r="AN100" s="85">
        <f>$I$43*$AN$43</f>
        <v>0</v>
      </c>
      <c r="AO100" s="85">
        <f>$I$43*$AO$43</f>
        <v>0</v>
      </c>
      <c r="AP100" s="85">
        <f>$I$43*$AP$43</f>
        <v>0</v>
      </c>
      <c r="AQ100" s="85">
        <f>$I$43*$AQ$43</f>
        <v>0</v>
      </c>
      <c r="AR100" s="85">
        <f>$I$43*$AR$43</f>
        <v>0</v>
      </c>
      <c r="AS100" s="85">
        <f>$I$43*$AS$43</f>
        <v>0</v>
      </c>
      <c r="AT100" s="85">
        <f>$I$43*$AT$43</f>
        <v>0</v>
      </c>
      <c r="AU100" s="85">
        <f>$I$43*$AU$43</f>
        <v>0</v>
      </c>
      <c r="AV100" s="85">
        <f>$I$43*$AV$43</f>
        <v>0</v>
      </c>
      <c r="AW100" s="85">
        <f>$I$43*$AW$43</f>
        <v>0</v>
      </c>
      <c r="AX100" s="85">
        <f>$I$43*$AX$43</f>
        <v>0</v>
      </c>
      <c r="AY100" s="85">
        <f>$I$43*$AY$43</f>
        <v>0</v>
      </c>
      <c r="AZ100" s="85">
        <f>$I$43*$AZ$43</f>
        <v>0</v>
      </c>
      <c r="BA100" s="85">
        <f>$I$43*$BA$43</f>
        <v>0</v>
      </c>
      <c r="BB100" s="85">
        <f>$I$43*$BB$43</f>
        <v>0</v>
      </c>
      <c r="BC100" s="85">
        <f>$I$43*$BC$43</f>
        <v>0</v>
      </c>
      <c r="BD100" s="85">
        <f>$I$43*$BD$43</f>
        <v>0</v>
      </c>
    </row>
    <row r="101" spans="1:56" ht="11.25" customHeight="1" x14ac:dyDescent="0.25">
      <c r="A101" s="9" t="s">
        <v>46</v>
      </c>
      <c r="B101" s="9" t="s">
        <v>1057</v>
      </c>
      <c r="C101" s="9" t="s">
        <v>1058</v>
      </c>
      <c r="D101" s="9" t="s">
        <v>1081</v>
      </c>
      <c r="E101" s="9" t="s">
        <v>1082</v>
      </c>
      <c r="F101" s="9" t="s">
        <v>1083</v>
      </c>
      <c r="G101" s="9" t="s">
        <v>1085</v>
      </c>
      <c r="L101" s="85">
        <f>$I$44*$L$44</f>
        <v>0</v>
      </c>
      <c r="M101" s="85">
        <f>$I$44*$M$44</f>
        <v>0</v>
      </c>
      <c r="N101" s="85">
        <f ca="1">$I$44*$N$44</f>
        <v>0</v>
      </c>
      <c r="O101" s="85">
        <f>$I$44*$O$44</f>
        <v>0</v>
      </c>
      <c r="P101" s="85">
        <f>$I$44*$P$44</f>
        <v>0</v>
      </c>
      <c r="Q101" s="85">
        <f>$I$44*$Q$44</f>
        <v>0</v>
      </c>
      <c r="R101" s="85">
        <f>$I$44*$R$44</f>
        <v>0</v>
      </c>
      <c r="S101" s="85">
        <f>$I$44*$S$44</f>
        <v>0</v>
      </c>
      <c r="T101" s="85">
        <f>$I$44*$T$44</f>
        <v>0</v>
      </c>
      <c r="U101" s="85">
        <f>$I$44*$U$44</f>
        <v>0</v>
      </c>
      <c r="V101" s="85">
        <f>$I$44*$V$44</f>
        <v>0</v>
      </c>
      <c r="W101" s="85">
        <f>$I$44*$W$44</f>
        <v>0</v>
      </c>
      <c r="X101" s="85">
        <f>$I$44*$X$44</f>
        <v>0</v>
      </c>
      <c r="Y101" s="85">
        <f>$I$44*$Y$44</f>
        <v>0</v>
      </c>
      <c r="Z101" s="85">
        <f>$I$44*$Z$44</f>
        <v>0</v>
      </c>
      <c r="AA101" s="85">
        <f>$I$44*$AA$44</f>
        <v>0</v>
      </c>
      <c r="AB101" s="85">
        <f ca="1">$I$44*$AB$44</f>
        <v>0</v>
      </c>
      <c r="AC101" s="85">
        <f ca="1">$I$44*$AC$44</f>
        <v>0</v>
      </c>
      <c r="AD101" s="85">
        <f>$I$44*$AD$44</f>
        <v>0</v>
      </c>
      <c r="AE101" s="85">
        <f>$I$44*$AE$44</f>
        <v>0</v>
      </c>
      <c r="AF101" s="85">
        <f ca="1">$I$44*$AF$44</f>
        <v>0</v>
      </c>
      <c r="AG101" s="85">
        <f ca="1">$I$44*$AG$44</f>
        <v>0</v>
      </c>
      <c r="AI101" s="85">
        <f>$I$44*$AI$44</f>
        <v>0</v>
      </c>
      <c r="AJ101" s="85">
        <f>$I$44*$AJ$44</f>
        <v>0</v>
      </c>
      <c r="AK101" s="85">
        <f>$I$44*$AK$44</f>
        <v>0</v>
      </c>
      <c r="AL101" s="85">
        <f>$I$44*$AL$44</f>
        <v>0</v>
      </c>
      <c r="AM101" s="85">
        <f>$I$44*$AM$44</f>
        <v>0</v>
      </c>
      <c r="AN101" s="85">
        <f>$I$44*$AN$44</f>
        <v>0</v>
      </c>
      <c r="AO101" s="85">
        <f>$I$44*$AO$44</f>
        <v>0</v>
      </c>
      <c r="AP101" s="85">
        <f>$I$44*$AP$44</f>
        <v>0</v>
      </c>
      <c r="AQ101" s="85">
        <f>$I$44*$AQ$44</f>
        <v>0</v>
      </c>
      <c r="AR101" s="85">
        <f>$I$44*$AR$44</f>
        <v>0</v>
      </c>
      <c r="AS101" s="85">
        <f>$I$44*$AS$44</f>
        <v>0</v>
      </c>
      <c r="AT101" s="85">
        <f>$I$44*$AT$44</f>
        <v>0</v>
      </c>
      <c r="AU101" s="85">
        <f>$I$44*$AU$44</f>
        <v>0</v>
      </c>
      <c r="AV101" s="85">
        <f>$I$44*$AV$44</f>
        <v>0</v>
      </c>
      <c r="AW101" s="85">
        <f>$I$44*$AW$44</f>
        <v>0</v>
      </c>
      <c r="AX101" s="85">
        <f>$I$44*$AX$44</f>
        <v>0</v>
      </c>
      <c r="AY101" s="85">
        <f>$I$44*$AY$44</f>
        <v>0</v>
      </c>
      <c r="AZ101" s="85">
        <f>$I$44*$AZ$44</f>
        <v>0</v>
      </c>
      <c r="BA101" s="85">
        <f>$I$44*$BA$44</f>
        <v>0</v>
      </c>
      <c r="BB101" s="85">
        <f>$I$44*$BB$44</f>
        <v>0</v>
      </c>
      <c r="BC101" s="85">
        <f>$I$44*$BC$44</f>
        <v>0</v>
      </c>
      <c r="BD101" s="85">
        <f>$I$44*$BD$44</f>
        <v>0</v>
      </c>
    </row>
    <row r="102" spans="1:56" ht="11.25" customHeight="1" x14ac:dyDescent="0.25">
      <c r="A102" s="9" t="s">
        <v>46</v>
      </c>
      <c r="B102" s="9" t="s">
        <v>1057</v>
      </c>
      <c r="C102" s="9" t="s">
        <v>1058</v>
      </c>
      <c r="D102" s="9" t="s">
        <v>1081</v>
      </c>
      <c r="E102" s="9" t="s">
        <v>1082</v>
      </c>
      <c r="F102" s="9" t="s">
        <v>1083</v>
      </c>
      <c r="G102" s="9" t="s">
        <v>1086</v>
      </c>
      <c r="L102" s="85">
        <f>$I$45*$L$45</f>
        <v>0</v>
      </c>
      <c r="M102" s="85">
        <f>$I$45*$M$45</f>
        <v>0</v>
      </c>
      <c r="N102" s="85">
        <f ca="1">$I$45*$N$45</f>
        <v>0</v>
      </c>
      <c r="O102" s="85">
        <f>$I$45*$O$45</f>
        <v>0</v>
      </c>
      <c r="P102" s="85">
        <f>$I$45*$P$45</f>
        <v>0</v>
      </c>
      <c r="Q102" s="85">
        <f>$I$45*$Q$45</f>
        <v>0</v>
      </c>
      <c r="R102" s="85">
        <f>$I$45*$R$45</f>
        <v>0</v>
      </c>
      <c r="S102" s="85">
        <f>$I$45*$S$45</f>
        <v>0</v>
      </c>
      <c r="T102" s="85">
        <f>$I$45*$T$45</f>
        <v>0</v>
      </c>
      <c r="U102" s="85">
        <f>$I$45*$U$45</f>
        <v>0</v>
      </c>
      <c r="V102" s="85">
        <f>$I$45*$V$45</f>
        <v>0</v>
      </c>
      <c r="W102" s="85">
        <f>$I$45*$W$45</f>
        <v>0</v>
      </c>
      <c r="X102" s="85">
        <f>$I$45*$X$45</f>
        <v>0</v>
      </c>
      <c r="Y102" s="85">
        <f>$I$45*$Y$45</f>
        <v>0</v>
      </c>
      <c r="Z102" s="85">
        <f>$I$45*$Z$45</f>
        <v>0</v>
      </c>
      <c r="AA102" s="85">
        <f>$I$45*$AA$45</f>
        <v>0</v>
      </c>
      <c r="AB102" s="85">
        <f ca="1">$I$45*$AB$45</f>
        <v>0</v>
      </c>
      <c r="AC102" s="85">
        <f ca="1">$I$45*$AC$45</f>
        <v>0</v>
      </c>
      <c r="AD102" s="85">
        <f>$I$45*$AD$45</f>
        <v>0</v>
      </c>
      <c r="AE102" s="85">
        <f>$I$45*$AE$45</f>
        <v>0</v>
      </c>
      <c r="AF102" s="85">
        <f ca="1">$I$45*$AF$45</f>
        <v>0</v>
      </c>
      <c r="AG102" s="85">
        <f ca="1">$I$45*$AG$45</f>
        <v>0</v>
      </c>
      <c r="AI102" s="85">
        <f>$I$45*$AI$45</f>
        <v>0</v>
      </c>
      <c r="AJ102" s="85">
        <f>$I$45*$AJ$45</f>
        <v>0</v>
      </c>
      <c r="AK102" s="85">
        <f>$I$45*$AK$45</f>
        <v>0</v>
      </c>
      <c r="AL102" s="85">
        <f>$I$45*$AL$45</f>
        <v>0</v>
      </c>
      <c r="AM102" s="85">
        <f>$I$45*$AM$45</f>
        <v>0</v>
      </c>
      <c r="AN102" s="85">
        <f>$I$45*$AN$45</f>
        <v>0</v>
      </c>
      <c r="AO102" s="85">
        <f>$I$45*$AO$45</f>
        <v>0</v>
      </c>
      <c r="AP102" s="85">
        <f>$I$45*$AP$45</f>
        <v>0</v>
      </c>
      <c r="AQ102" s="85">
        <f>$I$45*$AQ$45</f>
        <v>0</v>
      </c>
      <c r="AR102" s="85">
        <f>$I$45*$AR$45</f>
        <v>0</v>
      </c>
      <c r="AS102" s="85">
        <f>$I$45*$AS$45</f>
        <v>0</v>
      </c>
      <c r="AT102" s="85">
        <f>$I$45*$AT$45</f>
        <v>0</v>
      </c>
      <c r="AU102" s="85">
        <f>$I$45*$AU$45</f>
        <v>0</v>
      </c>
      <c r="AV102" s="85">
        <f>$I$45*$AV$45</f>
        <v>0</v>
      </c>
      <c r="AW102" s="85">
        <f>$I$45*$AW$45</f>
        <v>0</v>
      </c>
      <c r="AX102" s="85">
        <f>$I$45*$AX$45</f>
        <v>0</v>
      </c>
      <c r="AY102" s="85">
        <f>$I$45*$AY$45</f>
        <v>0</v>
      </c>
      <c r="AZ102" s="85">
        <f>$I$45*$AZ$45</f>
        <v>0</v>
      </c>
      <c r="BA102" s="85">
        <f>$I$45*$BA$45</f>
        <v>0</v>
      </c>
      <c r="BB102" s="85">
        <f>$I$45*$BB$45</f>
        <v>0</v>
      </c>
      <c r="BC102" s="85">
        <f>$I$45*$BC$45</f>
        <v>0</v>
      </c>
      <c r="BD102" s="85">
        <f>$I$45*$BD$45</f>
        <v>0</v>
      </c>
    </row>
    <row r="103" spans="1:56" ht="11.25" customHeight="1" x14ac:dyDescent="0.25">
      <c r="A103" s="9" t="s">
        <v>46</v>
      </c>
      <c r="B103" s="9" t="s">
        <v>1065</v>
      </c>
      <c r="C103" s="9" t="s">
        <v>1066</v>
      </c>
      <c r="D103" s="9" t="s">
        <v>1087</v>
      </c>
      <c r="E103" s="9" t="s">
        <v>1088</v>
      </c>
      <c r="F103" s="9" t="s">
        <v>1089</v>
      </c>
      <c r="G103" s="9" t="s">
        <v>1090</v>
      </c>
      <c r="L103" s="85">
        <f>$I$46*$L$46</f>
        <v>313.99335198416196</v>
      </c>
      <c r="M103" s="85">
        <f>$I$46*$M$46</f>
        <v>19.398686349131065</v>
      </c>
      <c r="N103" s="85">
        <f ca="1">$I$46*$N$46</f>
        <v>118.26478773590073</v>
      </c>
      <c r="O103" s="85">
        <f>$I$46*$O$46</f>
        <v>0</v>
      </c>
      <c r="P103" s="85">
        <f>$I$46*$P$46</f>
        <v>0</v>
      </c>
      <c r="Q103" s="85">
        <f>$I$46*$Q$46</f>
        <v>484.50770313135462</v>
      </c>
      <c r="R103" s="85">
        <f>$I$46*$R$46</f>
        <v>236.42145400640149</v>
      </c>
      <c r="S103" s="85">
        <f>$I$46*$S$46</f>
        <v>0</v>
      </c>
      <c r="T103" s="85">
        <f>$I$46*$T$46</f>
        <v>942.53135087102896</v>
      </c>
      <c r="U103" s="85">
        <f>$I$46*$U$46</f>
        <v>11.638732859293782</v>
      </c>
      <c r="V103" s="85">
        <f>$I$46*$V$46</f>
        <v>1.5870378335762831</v>
      </c>
      <c r="W103" s="85">
        <f>$I$46*$W$46</f>
        <v>0</v>
      </c>
      <c r="X103" s="85">
        <f>$I$46*$X$46</f>
        <v>-4.1014096686322929E-2</v>
      </c>
      <c r="Y103" s="85">
        <f>$I$46*$Y$46</f>
        <v>0</v>
      </c>
      <c r="Z103" s="85">
        <f>$I$46*$Z$46</f>
        <v>0</v>
      </c>
      <c r="AA103" s="85">
        <f>$I$46*$AA$46</f>
        <v>5123.2866561494911</v>
      </c>
      <c r="AB103" s="85">
        <f ca="1">$I$46*$AB$46</f>
        <v>0</v>
      </c>
      <c r="AC103" s="85">
        <f ca="1">$I$46*$AC$46</f>
        <v>0</v>
      </c>
      <c r="AD103" s="85">
        <f>$I$46*$AD$46</f>
        <v>1025.5599086856112</v>
      </c>
      <c r="AE103" s="85">
        <f>$I$46*$AE$46</f>
        <v>73.852321252829825</v>
      </c>
      <c r="AF103" s="85">
        <f ca="1">$I$46*$AF$46</f>
        <v>2536.6876281085715</v>
      </c>
      <c r="AG103" s="85">
        <f ca="1">$I$46*$AG$46</f>
        <v>392.54883981826481</v>
      </c>
      <c r="AI103" s="85">
        <f>$I$46*$AI$46</f>
        <v>0</v>
      </c>
      <c r="AJ103" s="85">
        <f>$I$46*$AJ$46</f>
        <v>14.781869313723494</v>
      </c>
      <c r="AK103" s="85">
        <f>$I$46*$AK$46</f>
        <v>97.942952059029395</v>
      </c>
      <c r="AL103" s="85">
        <f>$I$46*$AL$46</f>
        <v>0</v>
      </c>
      <c r="AM103" s="85">
        <f>$I$46*$AM$46</f>
        <v>0</v>
      </c>
      <c r="AN103" s="85">
        <f>$I$46*$AN$46</f>
        <v>448.06014110621771</v>
      </c>
      <c r="AO103" s="85">
        <f>$I$46*$AO$46</f>
        <v>152.1666508713206</v>
      </c>
      <c r="AP103" s="85">
        <f>$I$46*$AP$46</f>
        <v>0</v>
      </c>
      <c r="AQ103" s="85">
        <f>$I$46*$AQ$46</f>
        <v>670.59057678226395</v>
      </c>
      <c r="AR103" s="85">
        <f>$I$46*$AR$46</f>
        <v>109.17485347594547</v>
      </c>
      <c r="AS103" s="85">
        <f>$I$46*$AS$46</f>
        <v>-7.790787809556778</v>
      </c>
      <c r="AT103" s="85">
        <f>$I$46*$AT$46</f>
        <v>0</v>
      </c>
      <c r="AU103" s="85">
        <f>$I$46*$AU$46</f>
        <v>3.416547970452982</v>
      </c>
      <c r="AV103" s="85">
        <f>$I$46*$AV$46</f>
        <v>0</v>
      </c>
      <c r="AW103" s="85">
        <f>$I$46*$AW$46</f>
        <v>0</v>
      </c>
      <c r="AX103" s="85">
        <f>$I$46*$AX$46</f>
        <v>4138.1880500297257</v>
      </c>
      <c r="AY103" s="85">
        <f>$I$46*$AY$46</f>
        <v>0</v>
      </c>
      <c r="AZ103" s="85">
        <f>$I$46*$AZ$46</f>
        <v>0</v>
      </c>
      <c r="BA103" s="85">
        <f>$I$46*$BA$46</f>
        <v>867.38813144515598</v>
      </c>
      <c r="BB103" s="85">
        <f>$I$46*$BB$46</f>
        <v>68.079233913099344</v>
      </c>
      <c r="BC103" s="85">
        <f>$I$46*$BC$46</f>
        <v>2362.5773615550302</v>
      </c>
      <c r="BD103" s="85">
        <f>$I$46*$BD$46</f>
        <v>146.39876468737529</v>
      </c>
    </row>
    <row r="104" spans="1:56" ht="11.25" customHeight="1" x14ac:dyDescent="0.25">
      <c r="A104" s="9" t="s">
        <v>46</v>
      </c>
      <c r="B104" s="9" t="s">
        <v>1091</v>
      </c>
      <c r="C104" s="9" t="s">
        <v>1092</v>
      </c>
      <c r="D104" s="9" t="s">
        <v>1093</v>
      </c>
      <c r="E104" s="9" t="s">
        <v>1094</v>
      </c>
      <c r="F104" s="9" t="s">
        <v>1095</v>
      </c>
      <c r="G104" s="9" t="s">
        <v>1096</v>
      </c>
      <c r="L104" s="85">
        <f>$I$47*$L$47</f>
        <v>0</v>
      </c>
      <c r="M104" s="85">
        <f>$I$47*$M$47</f>
        <v>0</v>
      </c>
      <c r="N104" s="85">
        <f ca="1">$I$47*$N$47</f>
        <v>0</v>
      </c>
      <c r="O104" s="85">
        <f>$I$47*$O$47</f>
        <v>0</v>
      </c>
      <c r="P104" s="85">
        <f>$I$47*$P$47</f>
        <v>0</v>
      </c>
      <c r="Q104" s="85">
        <f>$I$47*$Q$47</f>
        <v>0</v>
      </c>
      <c r="R104" s="85">
        <f>$I$47*$R$47</f>
        <v>0</v>
      </c>
      <c r="S104" s="85">
        <f>$I$47*$S$47</f>
        <v>0</v>
      </c>
      <c r="T104" s="85">
        <f>$I$47*$T$47</f>
        <v>0</v>
      </c>
      <c r="U104" s="85">
        <f>$I$47*$U$47</f>
        <v>0</v>
      </c>
      <c r="V104" s="85">
        <f>$I$47*$V$47</f>
        <v>0</v>
      </c>
      <c r="W104" s="85">
        <f>$I$47*$W$47</f>
        <v>0</v>
      </c>
      <c r="X104" s="85">
        <f>$I$47*$X$47</f>
        <v>0</v>
      </c>
      <c r="Y104" s="85">
        <f>$I$47*$Y$47</f>
        <v>0</v>
      </c>
      <c r="Z104" s="85">
        <f>$I$47*$Z$47</f>
        <v>0</v>
      </c>
      <c r="AA104" s="85">
        <f>$I$47*$AA$47</f>
        <v>0</v>
      </c>
      <c r="AB104" s="85">
        <f ca="1">$I$47*$AB$47</f>
        <v>0</v>
      </c>
      <c r="AC104" s="85">
        <f ca="1">$I$47*$AC$47</f>
        <v>0</v>
      </c>
      <c r="AD104" s="85">
        <f>$I$47*$AD$47</f>
        <v>0</v>
      </c>
      <c r="AE104" s="85">
        <f>$I$47*$AE$47</f>
        <v>0</v>
      </c>
      <c r="AF104" s="85">
        <f ca="1">$I$47*$AF$47</f>
        <v>0</v>
      </c>
      <c r="AG104" s="85">
        <f ca="1">$I$47*$AG$47</f>
        <v>0</v>
      </c>
      <c r="AI104" s="85">
        <f>$I$47*$AI$47</f>
        <v>0</v>
      </c>
      <c r="AJ104" s="85">
        <f>$I$47*$AJ$47</f>
        <v>0</v>
      </c>
      <c r="AK104" s="85">
        <f>$I$47*$AK$47</f>
        <v>0</v>
      </c>
      <c r="AL104" s="85">
        <f>$I$47*$AL$47</f>
        <v>0</v>
      </c>
      <c r="AM104" s="85">
        <f>$I$47*$AM$47</f>
        <v>0</v>
      </c>
      <c r="AN104" s="85">
        <f>$I$47*$AN$47</f>
        <v>0</v>
      </c>
      <c r="AO104" s="85">
        <f>$I$47*$AO$47</f>
        <v>0</v>
      </c>
      <c r="AP104" s="85">
        <f>$I$47*$AP$47</f>
        <v>0</v>
      </c>
      <c r="AQ104" s="85">
        <f>$I$47*$AQ$47</f>
        <v>0</v>
      </c>
      <c r="AR104" s="85">
        <f>$I$47*$AR$47</f>
        <v>0</v>
      </c>
      <c r="AS104" s="85">
        <f>$I$47*$AS$47</f>
        <v>0</v>
      </c>
      <c r="AT104" s="85">
        <f>$I$47*$AT$47</f>
        <v>0</v>
      </c>
      <c r="AU104" s="85">
        <f>$I$47*$AU$47</f>
        <v>0</v>
      </c>
      <c r="AV104" s="85">
        <f>$I$47*$AV$47</f>
        <v>0</v>
      </c>
      <c r="AW104" s="85">
        <f>$I$47*$AW$47</f>
        <v>0</v>
      </c>
      <c r="AX104" s="85">
        <f>$I$47*$AX$47</f>
        <v>0</v>
      </c>
      <c r="AY104" s="85">
        <f>$I$47*$AY$47</f>
        <v>0</v>
      </c>
      <c r="AZ104" s="85">
        <f>$I$47*$AZ$47</f>
        <v>0</v>
      </c>
      <c r="BA104" s="85">
        <f>$I$47*$BA$47</f>
        <v>0</v>
      </c>
      <c r="BB104" s="85">
        <f>$I$47*$BB$47</f>
        <v>0</v>
      </c>
      <c r="BC104" s="85">
        <f>$I$47*$BC$47</f>
        <v>0</v>
      </c>
      <c r="BD104" s="85">
        <f>$I$47*$BD$47</f>
        <v>0</v>
      </c>
    </row>
    <row r="105" spans="1:56" ht="11.25" customHeight="1" x14ac:dyDescent="0.25">
      <c r="A105" s="9" t="s">
        <v>46</v>
      </c>
      <c r="B105" s="9" t="s">
        <v>1091</v>
      </c>
      <c r="C105" s="9" t="s">
        <v>1092</v>
      </c>
      <c r="D105" s="9" t="s">
        <v>1097</v>
      </c>
      <c r="E105" s="9" t="s">
        <v>1098</v>
      </c>
      <c r="F105" s="9" t="s">
        <v>1099</v>
      </c>
      <c r="G105" s="9" t="s">
        <v>1100</v>
      </c>
      <c r="L105" s="85">
        <f>$I$48*$L$48</f>
        <v>0</v>
      </c>
      <c r="M105" s="85">
        <f>$I$48*$M$48</f>
        <v>0</v>
      </c>
      <c r="N105" s="85">
        <f ca="1">$I$48*$N$48</f>
        <v>0</v>
      </c>
      <c r="O105" s="85">
        <f>$I$48*$O$48</f>
        <v>0</v>
      </c>
      <c r="P105" s="85">
        <f>$I$48*$P$48</f>
        <v>0</v>
      </c>
      <c r="Q105" s="85">
        <f>$I$48*$Q$48</f>
        <v>0</v>
      </c>
      <c r="R105" s="85">
        <f>$I$48*$R$48</f>
        <v>0</v>
      </c>
      <c r="S105" s="85">
        <f>$I$48*$S$48</f>
        <v>0</v>
      </c>
      <c r="T105" s="85">
        <f>$I$48*$T$48</f>
        <v>0</v>
      </c>
      <c r="U105" s="85">
        <f>$I$48*$U$48</f>
        <v>0</v>
      </c>
      <c r="V105" s="85">
        <f>$I$48*$V$48</f>
        <v>0</v>
      </c>
      <c r="W105" s="85">
        <f>$I$48*$W$48</f>
        <v>0</v>
      </c>
      <c r="X105" s="85">
        <f>$I$48*$X$48</f>
        <v>0</v>
      </c>
      <c r="Y105" s="85">
        <f>$I$48*$Y$48</f>
        <v>0</v>
      </c>
      <c r="Z105" s="85">
        <f>$I$48*$Z$48</f>
        <v>0</v>
      </c>
      <c r="AA105" s="85">
        <f>$I$48*$AA$48</f>
        <v>0</v>
      </c>
      <c r="AB105" s="85">
        <f ca="1">$I$48*$AB$48</f>
        <v>0</v>
      </c>
      <c r="AC105" s="85">
        <f ca="1">$I$48*$AC$48</f>
        <v>0</v>
      </c>
      <c r="AD105" s="85">
        <f>$I$48*$AD$48</f>
        <v>0</v>
      </c>
      <c r="AE105" s="85">
        <f>$I$48*$AE$48</f>
        <v>0</v>
      </c>
      <c r="AF105" s="85">
        <f ca="1">$I$48*$AF$48</f>
        <v>0</v>
      </c>
      <c r="AG105" s="85">
        <f ca="1">$I$48*$AG$48</f>
        <v>0</v>
      </c>
      <c r="AI105" s="85">
        <f>$I$48*$AI$48</f>
        <v>0</v>
      </c>
      <c r="AJ105" s="85">
        <f>$I$48*$AJ$48</f>
        <v>0</v>
      </c>
      <c r="AK105" s="85">
        <f>$I$48*$AK$48</f>
        <v>0</v>
      </c>
      <c r="AL105" s="85">
        <f>$I$48*$AL$48</f>
        <v>0</v>
      </c>
      <c r="AM105" s="85">
        <f>$I$48*$AM$48</f>
        <v>0</v>
      </c>
      <c r="AN105" s="85">
        <f>$I$48*$AN$48</f>
        <v>0</v>
      </c>
      <c r="AO105" s="85">
        <f>$I$48*$AO$48</f>
        <v>0</v>
      </c>
      <c r="AP105" s="85">
        <f>$I$48*$AP$48</f>
        <v>0</v>
      </c>
      <c r="AQ105" s="85">
        <f>$I$48*$AQ$48</f>
        <v>0</v>
      </c>
      <c r="AR105" s="85">
        <f>$I$48*$AR$48</f>
        <v>0</v>
      </c>
      <c r="AS105" s="85">
        <f>$I$48*$AS$48</f>
        <v>0</v>
      </c>
      <c r="AT105" s="85">
        <f>$I$48*$AT$48</f>
        <v>0</v>
      </c>
      <c r="AU105" s="85">
        <f>$I$48*$AU$48</f>
        <v>0</v>
      </c>
      <c r="AV105" s="85">
        <f>$I$48*$AV$48</f>
        <v>0</v>
      </c>
      <c r="AW105" s="85">
        <f>$I$48*$AW$48</f>
        <v>0</v>
      </c>
      <c r="AX105" s="85">
        <f>$I$48*$AX$48</f>
        <v>0</v>
      </c>
      <c r="AY105" s="85">
        <f>$I$48*$AY$48</f>
        <v>0</v>
      </c>
      <c r="AZ105" s="85">
        <f>$I$48*$AZ$48</f>
        <v>0</v>
      </c>
      <c r="BA105" s="85">
        <f>$I$48*$BA$48</f>
        <v>0</v>
      </c>
      <c r="BB105" s="85">
        <f>$I$48*$BB$48</f>
        <v>0</v>
      </c>
      <c r="BC105" s="85">
        <f>$I$48*$BC$48</f>
        <v>0</v>
      </c>
      <c r="BD105" s="85">
        <f>$I$48*$BD$48</f>
        <v>0</v>
      </c>
    </row>
    <row r="106" spans="1:56" ht="11.25" customHeight="1" x14ac:dyDescent="0.25">
      <c r="A106" s="9" t="s">
        <v>46</v>
      </c>
      <c r="B106" s="9" t="s">
        <v>1091</v>
      </c>
      <c r="C106" s="9" t="s">
        <v>1092</v>
      </c>
      <c r="D106" s="9" t="s">
        <v>1101</v>
      </c>
      <c r="E106" s="9" t="s">
        <v>1102</v>
      </c>
      <c r="F106" s="9" t="s">
        <v>1103</v>
      </c>
      <c r="G106" s="9" t="s">
        <v>1104</v>
      </c>
      <c r="L106" s="85">
        <f>$I$49*$L$49</f>
        <v>0</v>
      </c>
      <c r="M106" s="85">
        <f>$I$49*$M$49</f>
        <v>0</v>
      </c>
      <c r="N106" s="85">
        <f ca="1">$I$49*$N$49</f>
        <v>0</v>
      </c>
      <c r="O106" s="85">
        <f>$I$49*$O$49</f>
        <v>0</v>
      </c>
      <c r="P106" s="85">
        <f>$I$49*$P$49</f>
        <v>0</v>
      </c>
      <c r="Q106" s="85">
        <f>$I$49*$Q$49</f>
        <v>0</v>
      </c>
      <c r="R106" s="85">
        <f>$I$49*$R$49</f>
        <v>0</v>
      </c>
      <c r="S106" s="85">
        <f>$I$49*$S$49</f>
        <v>0</v>
      </c>
      <c r="T106" s="85">
        <f>$I$49*$T$49</f>
        <v>0</v>
      </c>
      <c r="U106" s="85">
        <f>$I$49*$U$49</f>
        <v>0</v>
      </c>
      <c r="V106" s="85">
        <f>$I$49*$V$49</f>
        <v>0</v>
      </c>
      <c r="W106" s="85">
        <f>$I$49*$W$49</f>
        <v>0</v>
      </c>
      <c r="X106" s="85">
        <f>$I$49*$X$49</f>
        <v>0</v>
      </c>
      <c r="Y106" s="85">
        <f>$I$49*$Y$49</f>
        <v>0</v>
      </c>
      <c r="Z106" s="85">
        <f>$I$49*$Z$49</f>
        <v>0</v>
      </c>
      <c r="AA106" s="85">
        <f>$I$49*$AA$49</f>
        <v>0</v>
      </c>
      <c r="AB106" s="85">
        <f ca="1">$I$49*$AB$49</f>
        <v>0</v>
      </c>
      <c r="AC106" s="85">
        <f ca="1">$I$49*$AC$49</f>
        <v>0</v>
      </c>
      <c r="AD106" s="85">
        <f>$I$49*$AD$49</f>
        <v>0</v>
      </c>
      <c r="AE106" s="85">
        <f>$I$49*$AE$49</f>
        <v>0</v>
      </c>
      <c r="AF106" s="85">
        <f ca="1">$I$49*$AF$49</f>
        <v>0</v>
      </c>
      <c r="AG106" s="85">
        <f ca="1">$I$49*$AG$49</f>
        <v>0</v>
      </c>
      <c r="AI106" s="85">
        <f>$I$49*$AI$49</f>
        <v>0</v>
      </c>
      <c r="AJ106" s="85">
        <f>$I$49*$AJ$49</f>
        <v>0</v>
      </c>
      <c r="AK106" s="85">
        <f>$I$49*$AK$49</f>
        <v>0</v>
      </c>
      <c r="AL106" s="85">
        <f>$I$49*$AL$49</f>
        <v>0</v>
      </c>
      <c r="AM106" s="85">
        <f>$I$49*$AM$49</f>
        <v>0</v>
      </c>
      <c r="AN106" s="85">
        <f>$I$49*$AN$49</f>
        <v>0</v>
      </c>
      <c r="AO106" s="85">
        <f>$I$49*$AO$49</f>
        <v>0</v>
      </c>
      <c r="AP106" s="85">
        <f>$I$49*$AP$49</f>
        <v>0</v>
      </c>
      <c r="AQ106" s="85">
        <f>$I$49*$AQ$49</f>
        <v>0</v>
      </c>
      <c r="AR106" s="85">
        <f>$I$49*$AR$49</f>
        <v>0</v>
      </c>
      <c r="AS106" s="85">
        <f>$I$49*$AS$49</f>
        <v>0</v>
      </c>
      <c r="AT106" s="85">
        <f>$I$49*$AT$49</f>
        <v>0</v>
      </c>
      <c r="AU106" s="85">
        <f>$I$49*$AU$49</f>
        <v>0</v>
      </c>
      <c r="AV106" s="85">
        <f>$I$49*$AV$49</f>
        <v>0</v>
      </c>
      <c r="AW106" s="85">
        <f>$I$49*$AW$49</f>
        <v>0</v>
      </c>
      <c r="AX106" s="85">
        <f>$I$49*$AX$49</f>
        <v>0</v>
      </c>
      <c r="AY106" s="85">
        <f>$I$49*$AY$49</f>
        <v>0</v>
      </c>
      <c r="AZ106" s="85">
        <f>$I$49*$AZ$49</f>
        <v>0</v>
      </c>
      <c r="BA106" s="85">
        <f>$I$49*$BA$49</f>
        <v>0</v>
      </c>
      <c r="BB106" s="85">
        <f>$I$49*$BB$49</f>
        <v>0</v>
      </c>
      <c r="BC106" s="85">
        <f>$I$49*$BC$49</f>
        <v>0</v>
      </c>
      <c r="BD106" s="85">
        <f>$I$49*$BD$49</f>
        <v>0</v>
      </c>
    </row>
    <row r="107" spans="1:56" ht="11.25" customHeight="1" x14ac:dyDescent="0.25">
      <c r="A107" s="9" t="s">
        <v>41</v>
      </c>
      <c r="B107" s="9" t="s">
        <v>1105</v>
      </c>
      <c r="C107" s="9" t="s">
        <v>1106</v>
      </c>
      <c r="D107" s="9" t="s">
        <v>1107</v>
      </c>
      <c r="E107" s="9" t="s">
        <v>1108</v>
      </c>
      <c r="F107" s="9" t="s">
        <v>1109</v>
      </c>
      <c r="G107" s="9" t="s">
        <v>1110</v>
      </c>
      <c r="L107" s="85">
        <f>$I$50*$L$50</f>
        <v>2248.8723717282473</v>
      </c>
      <c r="M107" s="85">
        <f>$I$50*$M$50</f>
        <v>138.93660328382762</v>
      </c>
      <c r="N107" s="85">
        <f ca="1">$I$50*$N$50</f>
        <v>1789.0627628548307</v>
      </c>
      <c r="O107" s="85">
        <f>$I$50*$O$50</f>
        <v>0</v>
      </c>
      <c r="P107" s="85">
        <f>$I$50*$P$50</f>
        <v>0</v>
      </c>
      <c r="Q107" s="85">
        <f>$I$50*$Q$50</f>
        <v>3470.1243850429514</v>
      </c>
      <c r="R107" s="85">
        <f>$I$50*$R$50</f>
        <v>1693.2895955887475</v>
      </c>
      <c r="S107" s="85">
        <f>$I$50*$S$50</f>
        <v>0</v>
      </c>
      <c r="T107" s="85">
        <f>$I$50*$T$50</f>
        <v>24302.039623348679</v>
      </c>
      <c r="U107" s="85">
        <f>$I$50*$U$50</f>
        <v>300.0930565402922</v>
      </c>
      <c r="V107" s="85">
        <f>$I$50*$V$50</f>
        <v>40.920492481616733</v>
      </c>
      <c r="W107" s="85">
        <f>$I$50*$W$50</f>
        <v>0</v>
      </c>
      <c r="X107" s="85">
        <f>$I$50*$X$50</f>
        <v>-1.0576444335137936</v>
      </c>
      <c r="Y107" s="85">
        <f>$I$50*$Y$50</f>
        <v>0</v>
      </c>
      <c r="Z107" s="85">
        <f>$I$50*$Z$50</f>
        <v>0</v>
      </c>
      <c r="AA107" s="85">
        <f>$I$50*$AA$50</f>
        <v>132097.7418940808</v>
      </c>
      <c r="AB107" s="85">
        <f ca="1">$I$50*$AB$50</f>
        <v>0</v>
      </c>
      <c r="AC107" s="85">
        <f ca="1">$I$50*$AC$50</f>
        <v>0</v>
      </c>
      <c r="AD107" s="85">
        <f>$I$50*$AD$50</f>
        <v>7345.2298579606531</v>
      </c>
      <c r="AE107" s="85">
        <f>$I$50*$AE$50</f>
        <v>528.94255182149607</v>
      </c>
      <c r="AF107" s="85">
        <f ca="1">$I$50*$AF$50</f>
        <v>18168.176767150071</v>
      </c>
      <c r="AG107" s="85">
        <f ca="1">$I$50*$AG$50</f>
        <v>2811.4997812622528</v>
      </c>
      <c r="AI107" s="85">
        <f>$I$50*$AI$50</f>
        <v>0</v>
      </c>
      <c r="AJ107" s="85">
        <f>$I$50*$AJ$50</f>
        <v>117.01442640063314</v>
      </c>
      <c r="AK107" s="85">
        <f>$I$50*$AK$50</f>
        <v>1627.552728292038</v>
      </c>
      <c r="AL107" s="85">
        <f>$I$50*$AL$50</f>
        <v>0</v>
      </c>
      <c r="AM107" s="85">
        <f>$I$50*$AM$50</f>
        <v>0</v>
      </c>
      <c r="AN107" s="85">
        <f>$I$50*$AN$50</f>
        <v>3546.8789022410965</v>
      </c>
      <c r="AO107" s="85">
        <f>$I$50*$AO$50</f>
        <v>1204.563035372134</v>
      </c>
      <c r="AP107" s="85">
        <f>$I$50*$AP$50</f>
        <v>0</v>
      </c>
      <c r="AQ107" s="85">
        <f>$I$50*$AQ$50</f>
        <v>19110.412435834529</v>
      </c>
      <c r="AR107" s="85">
        <f>$I$50*$AR$50</f>
        <v>3111.2761398258826</v>
      </c>
      <c r="AS107" s="85">
        <f>$I$50*$AS$50</f>
        <v>-222.02436753167351</v>
      </c>
      <c r="AT107" s="85">
        <f>$I$50*$AT$50</f>
        <v>0</v>
      </c>
      <c r="AU107" s="85">
        <f>$I$50*$AU$50</f>
        <v>97.377754080877438</v>
      </c>
      <c r="AV107" s="85">
        <f>$I$50*$AV$50</f>
        <v>0</v>
      </c>
      <c r="AW107" s="85">
        <f>$I$50*$AW$50</f>
        <v>0</v>
      </c>
      <c r="AX107" s="85">
        <f>$I$50*$AX$50</f>
        <v>117929.55337004454</v>
      </c>
      <c r="AY107" s="85">
        <f>$I$50*$AY$50</f>
        <v>0</v>
      </c>
      <c r="AZ107" s="85">
        <f>$I$50*$AZ$50</f>
        <v>0</v>
      </c>
      <c r="BA107" s="85">
        <f>$I$50*$BA$50</f>
        <v>6866.3118658167259</v>
      </c>
      <c r="BB107" s="85">
        <f>$I$50*$BB$50</f>
        <v>538.92050707957378</v>
      </c>
      <c r="BC107" s="85">
        <f>$I$50*$BC$50</f>
        <v>18702.346024181254</v>
      </c>
      <c r="BD107" s="85">
        <f>$I$50*$BD$50</f>
        <v>1158.9040000340322</v>
      </c>
    </row>
    <row r="108" spans="1:56" ht="11.25" customHeight="1" x14ac:dyDescent="0.25">
      <c r="A108" s="9" t="s">
        <v>41</v>
      </c>
      <c r="B108" s="9" t="s">
        <v>1105</v>
      </c>
      <c r="C108" s="9" t="s">
        <v>1106</v>
      </c>
      <c r="D108" s="9" t="s">
        <v>1107</v>
      </c>
      <c r="E108" s="9" t="s">
        <v>1108</v>
      </c>
      <c r="F108" s="9" t="s">
        <v>1109</v>
      </c>
      <c r="G108" s="9" t="s">
        <v>1111</v>
      </c>
      <c r="L108" s="85">
        <f>$I$51*$L$51</f>
        <v>1266.1486171078736</v>
      </c>
      <c r="M108" s="85">
        <f>$I$51*$M$51</f>
        <v>78.223375557010485</v>
      </c>
      <c r="N108" s="85">
        <f ca="1">$I$51*$N$51</f>
        <v>713.52148224359883</v>
      </c>
      <c r="O108" s="85">
        <f>$I$51*$O$51</f>
        <v>0</v>
      </c>
      <c r="P108" s="85">
        <f>$I$51*$P$51</f>
        <v>0</v>
      </c>
      <c r="Q108" s="85">
        <f>$I$51*$Q$51</f>
        <v>1953.7316775064082</v>
      </c>
      <c r="R108" s="85">
        <f>$I$51*$R$51</f>
        <v>953.34724494401769</v>
      </c>
      <c r="S108" s="85">
        <f>$I$51*$S$51</f>
        <v>0</v>
      </c>
      <c r="T108" s="85">
        <f>$I$51*$T$51</f>
        <v>8209.4479982717166</v>
      </c>
      <c r="U108" s="85">
        <f>$I$51*$U$51</f>
        <v>101.37378468917601</v>
      </c>
      <c r="V108" s="85">
        <f>$I$51*$V$51</f>
        <v>13.823307792381835</v>
      </c>
      <c r="W108" s="85">
        <f>$I$51*$W$51</f>
        <v>0</v>
      </c>
      <c r="X108" s="85">
        <f>$I$51*$X$51</f>
        <v>-0.3572612788764275</v>
      </c>
      <c r="Y108" s="85">
        <f>$I$51*$Y$51</f>
        <v>0</v>
      </c>
      <c r="Z108" s="85">
        <f>$I$51*$Z$51</f>
        <v>0</v>
      </c>
      <c r="AA108" s="85">
        <f>$I$51*$AA$51</f>
        <v>44623.796883696421</v>
      </c>
      <c r="AB108" s="85">
        <f ca="1">$I$51*$AB$51</f>
        <v>0</v>
      </c>
      <c r="AC108" s="85">
        <f ca="1">$I$51*$AC$51</f>
        <v>0</v>
      </c>
      <c r="AD108" s="85">
        <f>$I$51*$AD$51</f>
        <v>4135.473735154309</v>
      </c>
      <c r="AE108" s="85">
        <f>$I$51*$AE$51</f>
        <v>297.80252936435903</v>
      </c>
      <c r="AF108" s="85">
        <f ca="1">$I$51*$AF$51</f>
        <v>10228.95393188556</v>
      </c>
      <c r="AG108" s="85">
        <f ca="1">$I$51*$AG$51</f>
        <v>1582.9162227239335</v>
      </c>
      <c r="AI108" s="85">
        <f>$I$51*$AI$51</f>
        <v>0</v>
      </c>
      <c r="AJ108" s="85">
        <f>$I$51*$AJ$51</f>
        <v>65.880863685907741</v>
      </c>
      <c r="AK108" s="85">
        <f>$I$51*$AK$51</f>
        <v>650.59133755980338</v>
      </c>
      <c r="AL108" s="85">
        <f>$I$51*$AL$51</f>
        <v>0</v>
      </c>
      <c r="AM108" s="85">
        <f>$I$51*$AM$51</f>
        <v>0</v>
      </c>
      <c r="AN108" s="85">
        <f>$I$51*$AN$51</f>
        <v>1996.9456130898354</v>
      </c>
      <c r="AO108" s="85">
        <f>$I$51*$AO$51</f>
        <v>678.18691742102533</v>
      </c>
      <c r="AP108" s="85">
        <f>$I$51*$AP$51</f>
        <v>0</v>
      </c>
      <c r="AQ108" s="85">
        <f>$I$51*$AQ$51</f>
        <v>6455.6695466325282</v>
      </c>
      <c r="AR108" s="85">
        <f>$I$51*$AR$51</f>
        <v>1051.0134461072807</v>
      </c>
      <c r="AS108" s="85">
        <f>$I$51*$AS$51</f>
        <v>-75.001814095419618</v>
      </c>
      <c r="AT108" s="85">
        <f>$I$51*$AT$51</f>
        <v>0</v>
      </c>
      <c r="AU108" s="85">
        <f>$I$51*$AU$51</f>
        <v>32.893191562941944</v>
      </c>
      <c r="AV108" s="85">
        <f>$I$51*$AV$51</f>
        <v>0</v>
      </c>
      <c r="AW108" s="85">
        <f>$I$51*$AW$51</f>
        <v>0</v>
      </c>
      <c r="AX108" s="85">
        <f>$I$51*$AX$51</f>
        <v>39837.65627416614</v>
      </c>
      <c r="AY108" s="85">
        <f>$I$51*$AY$51</f>
        <v>0</v>
      </c>
      <c r="AZ108" s="85">
        <f>$I$51*$AZ$51</f>
        <v>0</v>
      </c>
      <c r="BA108" s="85">
        <f>$I$51*$BA$51</f>
        <v>3865.8357774452588</v>
      </c>
      <c r="BB108" s="85">
        <f>$I$51*$BB$51</f>
        <v>303.42026668480571</v>
      </c>
      <c r="BC108" s="85">
        <f>$I$51*$BC$51</f>
        <v>10529.699174076344</v>
      </c>
      <c r="BD108" s="85">
        <f>$I$51*$BD$51</f>
        <v>652.4802009445408</v>
      </c>
    </row>
    <row r="109" spans="1:56" ht="11.25" customHeight="1" x14ac:dyDescent="0.25">
      <c r="A109" s="9" t="s">
        <v>41</v>
      </c>
      <c r="B109" s="9" t="s">
        <v>1105</v>
      </c>
      <c r="C109" s="9" t="s">
        <v>1106</v>
      </c>
      <c r="D109" s="9" t="s">
        <v>1107</v>
      </c>
      <c r="E109" s="9" t="s">
        <v>1108</v>
      </c>
      <c r="F109" s="9" t="s">
        <v>1109</v>
      </c>
      <c r="G109" s="9" t="s">
        <v>1112</v>
      </c>
      <c r="L109" s="85">
        <f>$I$52*$L$52</f>
        <v>35357.921313799772</v>
      </c>
      <c r="M109" s="85">
        <f>$I$52*$M$52</f>
        <v>2184.4323174022329</v>
      </c>
      <c r="N109" s="85">
        <f ca="1">$I$52*$N$52</f>
        <v>11722.430383462641</v>
      </c>
      <c r="O109" s="85">
        <f>$I$52*$O$52</f>
        <v>0</v>
      </c>
      <c r="P109" s="85">
        <f>$I$52*$P$52</f>
        <v>0</v>
      </c>
      <c r="Q109" s="85">
        <f>$I$52*$Q$52</f>
        <v>54559.069913405052</v>
      </c>
      <c r="R109" s="85">
        <f>$I$52*$R$52</f>
        <v>26622.764828709263</v>
      </c>
      <c r="S109" s="85">
        <f>$I$52*$S$52</f>
        <v>0</v>
      </c>
      <c r="T109" s="85">
        <f>$I$52*$T$52</f>
        <v>76417.929692260164</v>
      </c>
      <c r="U109" s="85">
        <f>$I$52*$U$52</f>
        <v>943.64789943643939</v>
      </c>
      <c r="V109" s="85">
        <f>$I$52*$V$52</f>
        <v>128.67458122356953</v>
      </c>
      <c r="W109" s="85">
        <f>$I$52*$W$52</f>
        <v>0</v>
      </c>
      <c r="X109" s="85">
        <f>$I$52*$X$52</f>
        <v>-3.324622832871825</v>
      </c>
      <c r="Y109" s="85">
        <f>$I$52*$Y$52</f>
        <v>0</v>
      </c>
      <c r="Z109" s="85">
        <f>$I$52*$Z$52</f>
        <v>0</v>
      </c>
      <c r="AA109" s="85">
        <f>$I$52*$AA$52</f>
        <v>415381.64836203039</v>
      </c>
      <c r="AB109" s="85">
        <f ca="1">$I$52*$AB$52</f>
        <v>0</v>
      </c>
      <c r="AC109" s="85">
        <f ca="1">$I$52*$AC$52</f>
        <v>0</v>
      </c>
      <c r="AD109" s="85">
        <f>$I$52*$AD$52</f>
        <v>115485.45956387822</v>
      </c>
      <c r="AE109" s="85">
        <f>$I$52*$AE$52</f>
        <v>8316.3052567773248</v>
      </c>
      <c r="AF109" s="85">
        <f ca="1">$I$52*$AF$52</f>
        <v>285649.36482119013</v>
      </c>
      <c r="AG109" s="85">
        <f ca="1">$I$52*$AG$52</f>
        <v>44203.837127155792</v>
      </c>
      <c r="AI109" s="85">
        <f>$I$52*$AI$52</f>
        <v>0</v>
      </c>
      <c r="AJ109" s="85">
        <f>$I$52*$AJ$52</f>
        <v>1839.7606432744956</v>
      </c>
      <c r="AK109" s="85">
        <f>$I$52*$AK$52</f>
        <v>10747.053240420992</v>
      </c>
      <c r="AL109" s="85">
        <f>$I$52*$AL$52</f>
        <v>0</v>
      </c>
      <c r="AM109" s="85">
        <f>$I$52*$AM$52</f>
        <v>0</v>
      </c>
      <c r="AN109" s="85">
        <f>$I$52*$AN$52</f>
        <v>55765.843678643272</v>
      </c>
      <c r="AO109" s="85">
        <f>$I$52*$AO$52</f>
        <v>18938.755955042867</v>
      </c>
      <c r="AP109" s="85">
        <f>$I$52*$AP$52</f>
        <v>0</v>
      </c>
      <c r="AQ109" s="85">
        <f>$I$52*$AQ$52</f>
        <v>60092.822518016685</v>
      </c>
      <c r="AR109" s="85">
        <f>$I$52*$AR$52</f>
        <v>9783.4625957738936</v>
      </c>
      <c r="AS109" s="85">
        <f>$I$52*$AS$52</f>
        <v>-698.15612620987815</v>
      </c>
      <c r="AT109" s="85">
        <f>$I$52*$AT$52</f>
        <v>0</v>
      </c>
      <c r="AU109" s="85">
        <f>$I$52*$AU$52</f>
        <v>306.09937931171339</v>
      </c>
      <c r="AV109" s="85">
        <f>$I$52*$AV$52</f>
        <v>0</v>
      </c>
      <c r="AW109" s="85">
        <f>$I$52*$AW$52</f>
        <v>0</v>
      </c>
      <c r="AX109" s="85">
        <f>$I$52*$AX$52</f>
        <v>370829.74748141615</v>
      </c>
      <c r="AY109" s="85">
        <f>$I$52*$AY$52</f>
        <v>0</v>
      </c>
      <c r="AZ109" s="85">
        <f>$I$52*$AZ$52</f>
        <v>0</v>
      </c>
      <c r="BA109" s="85">
        <f>$I$52*$BA$52</f>
        <v>107955.66601273304</v>
      </c>
      <c r="BB109" s="85">
        <f>$I$52*$BB$52</f>
        <v>8473.1837712377073</v>
      </c>
      <c r="BC109" s="85">
        <f>$I$52*$BC$52</f>
        <v>294047.84700977465</v>
      </c>
      <c r="BD109" s="85">
        <f>$I$52*$BD$52</f>
        <v>18220.881255240343</v>
      </c>
    </row>
    <row r="110" spans="1:56" ht="11.25" customHeight="1" x14ac:dyDescent="0.25">
      <c r="A110" s="9" t="s">
        <v>41</v>
      </c>
      <c r="B110" s="9" t="s">
        <v>1113</v>
      </c>
      <c r="C110" s="9" t="s">
        <v>1114</v>
      </c>
      <c r="D110" s="9" t="s">
        <v>1115</v>
      </c>
      <c r="E110" s="9" t="s">
        <v>1116</v>
      </c>
      <c r="F110" s="9" t="s">
        <v>1117</v>
      </c>
      <c r="G110" s="9" t="s">
        <v>1118</v>
      </c>
      <c r="L110" s="85">
        <f>$I$53*$L$53</f>
        <v>11979073.78639432</v>
      </c>
      <c r="M110" s="85">
        <f>$I$53*$M$53</f>
        <v>740073.93362609344</v>
      </c>
      <c r="N110" s="85">
        <f ca="1">$I$53*$N$53</f>
        <v>4511887.3048371933</v>
      </c>
      <c r="O110" s="85">
        <f>$I$53*$O$53</f>
        <v>0</v>
      </c>
      <c r="P110" s="85">
        <f>$I$53*$P$53</f>
        <v>0</v>
      </c>
      <c r="Q110" s="85">
        <f>$I$53*$Q$53</f>
        <v>18484319.776871219</v>
      </c>
      <c r="R110" s="85">
        <f>$I$53*$R$53</f>
        <v>9019649.6974629201</v>
      </c>
      <c r="S110" s="85">
        <f>$I$53*$S$53</f>
        <v>0</v>
      </c>
      <c r="T110" s="85">
        <f>$I$53*$T$53</f>
        <v>35958253.659598112</v>
      </c>
      <c r="U110" s="85">
        <f>$I$53*$U$53</f>
        <v>444026.08787922631</v>
      </c>
      <c r="V110" s="85">
        <f>$I$53*$V$53</f>
        <v>60546.642755572175</v>
      </c>
      <c r="W110" s="85">
        <f>$I$53*$W$53</f>
        <v>0</v>
      </c>
      <c r="X110" s="85">
        <f>$I$53*$X$53</f>
        <v>-1564.7174928485595</v>
      </c>
      <c r="Y110" s="85">
        <f>$I$53*$Y$53</f>
        <v>0</v>
      </c>
      <c r="Z110" s="85">
        <f>$I$53*$Z$53</f>
        <v>0</v>
      </c>
      <c r="AA110" s="85">
        <f>$I$53*$AA$53</f>
        <v>195457096.44820708</v>
      </c>
      <c r="AB110" s="85">
        <f ca="1">$I$53*$AB$53</f>
        <v>0</v>
      </c>
      <c r="AC110" s="85">
        <f ca="1">$I$53*$AC$53</f>
        <v>0</v>
      </c>
      <c r="AD110" s="85">
        <f>$I$53*$AD$53</f>
        <v>39125853.273264319</v>
      </c>
      <c r="AE110" s="85">
        <f>$I$53*$AE$53</f>
        <v>2817519.5429894635</v>
      </c>
      <c r="AF110" s="85">
        <f ca="1">$I$53*$AF$53</f>
        <v>96776470.196346462</v>
      </c>
      <c r="AG110" s="85">
        <f ca="1">$I$53*$AG$53</f>
        <v>14976022.540705478</v>
      </c>
      <c r="AI110" s="85">
        <f>$I$53*$AI$53</f>
        <v>0</v>
      </c>
      <c r="AJ110" s="85">
        <f>$I$53*$AJ$53</f>
        <v>623301.02212451189</v>
      </c>
      <c r="AK110" s="85">
        <f>$I$53*$AK$53</f>
        <v>4129920.2984840446</v>
      </c>
      <c r="AL110" s="85">
        <f>$I$53*$AL$53</f>
        <v>0</v>
      </c>
      <c r="AM110" s="85">
        <f>$I$53*$AM$53</f>
        <v>0</v>
      </c>
      <c r="AN110" s="85">
        <f>$I$53*$AN$53</f>
        <v>18893168.245336801</v>
      </c>
      <c r="AO110" s="85">
        <f>$I$53*$AO$53</f>
        <v>6416348.7721612528</v>
      </c>
      <c r="AP110" s="85">
        <f>$I$53*$AP$53</f>
        <v>0</v>
      </c>
      <c r="AQ110" s="85">
        <f>$I$53*$AQ$53</f>
        <v>28276517.87906139</v>
      </c>
      <c r="AR110" s="85">
        <f>$I$53*$AR$53</f>
        <v>4603531.2799494267</v>
      </c>
      <c r="AS110" s="85">
        <f>$I$53*$AS$53</f>
        <v>-328510.95499427844</v>
      </c>
      <c r="AT110" s="85">
        <f>$I$53*$AT$53</f>
        <v>0</v>
      </c>
      <c r="AU110" s="85">
        <f>$I$53*$AU$53</f>
        <v>144064.17733268088</v>
      </c>
      <c r="AV110" s="85">
        <f>$I$53*$AV$53</f>
        <v>0</v>
      </c>
      <c r="AW110" s="85">
        <f>$I$53*$AW$53</f>
        <v>0</v>
      </c>
      <c r="AX110" s="85">
        <f>$I$53*$AX$53</f>
        <v>174493278.66349906</v>
      </c>
      <c r="AY110" s="85">
        <f>$I$53*$AY$53</f>
        <v>0</v>
      </c>
      <c r="AZ110" s="85">
        <f>$I$53*$AZ$53</f>
        <v>0</v>
      </c>
      <c r="BA110" s="85">
        <f>$I$53*$BA$53</f>
        <v>36574799.670735925</v>
      </c>
      <c r="BB110" s="85">
        <f>$I$53*$BB$53</f>
        <v>2870669.1408841624</v>
      </c>
      <c r="BC110" s="85">
        <f>$I$53*$BC$53</f>
        <v>99621830.842349902</v>
      </c>
      <c r="BD110" s="85">
        <f>$I$53*$BD$53</f>
        <v>6173136.6805340266</v>
      </c>
    </row>
    <row r="111" spans="1:56" ht="11.25" customHeight="1" x14ac:dyDescent="0.25">
      <c r="A111" s="9" t="s">
        <v>41</v>
      </c>
      <c r="B111" s="9" t="s">
        <v>1119</v>
      </c>
      <c r="C111" s="9" t="s">
        <v>1120</v>
      </c>
      <c r="D111" s="9" t="s">
        <v>1121</v>
      </c>
      <c r="E111" s="9" t="s">
        <v>1122</v>
      </c>
      <c r="F111" s="9" t="s">
        <v>1123</v>
      </c>
      <c r="G111" s="9" t="s">
        <v>1124</v>
      </c>
      <c r="L111" s="85">
        <f>$I$54*$L$54</f>
        <v>0</v>
      </c>
      <c r="M111" s="85">
        <f>$I$54*$M$54</f>
        <v>0</v>
      </c>
      <c r="N111" s="85">
        <f ca="1">$I$54*$N$54</f>
        <v>0</v>
      </c>
      <c r="O111" s="85">
        <f>$I$54*$O$54</f>
        <v>0</v>
      </c>
      <c r="P111" s="85">
        <f>$I$54*$P$54</f>
        <v>0</v>
      </c>
      <c r="Q111" s="85">
        <f>$I$54*$Q$54</f>
        <v>0</v>
      </c>
      <c r="R111" s="85">
        <f>$I$54*$R$54</f>
        <v>0</v>
      </c>
      <c r="S111" s="85">
        <f>$I$54*$S$54</f>
        <v>0</v>
      </c>
      <c r="T111" s="85">
        <f>$I$54*$T$54</f>
        <v>0</v>
      </c>
      <c r="U111" s="85">
        <f>$I$54*$U$54</f>
        <v>0</v>
      </c>
      <c r="V111" s="85">
        <f>$I$54*$V$54</f>
        <v>0</v>
      </c>
      <c r="W111" s="85">
        <f>$I$54*$W$54</f>
        <v>0</v>
      </c>
      <c r="X111" s="85">
        <f>$I$54*$X$54</f>
        <v>0</v>
      </c>
      <c r="Y111" s="85">
        <f>$I$54*$Y$54</f>
        <v>0</v>
      </c>
      <c r="Z111" s="85">
        <f>$I$54*$Z$54</f>
        <v>0</v>
      </c>
      <c r="AA111" s="85">
        <f>$I$54*$AA$54</f>
        <v>0</v>
      </c>
      <c r="AB111" s="85">
        <f ca="1">$I$54*$AB$54</f>
        <v>0</v>
      </c>
      <c r="AC111" s="85">
        <f ca="1">$I$54*$AC$54</f>
        <v>0</v>
      </c>
      <c r="AD111" s="85">
        <f>$I$54*$AD$54</f>
        <v>0</v>
      </c>
      <c r="AE111" s="85">
        <f>$I$54*$AE$54</f>
        <v>0</v>
      </c>
      <c r="AF111" s="85">
        <f ca="1">$I$54*$AF$54</f>
        <v>0</v>
      </c>
      <c r="AG111" s="85">
        <f ca="1">$I$54*$AG$54</f>
        <v>0</v>
      </c>
      <c r="AI111" s="85">
        <f>$I$54*$AI$54</f>
        <v>0</v>
      </c>
      <c r="AJ111" s="85">
        <f>$I$54*$AJ$54</f>
        <v>0</v>
      </c>
      <c r="AK111" s="85">
        <f>$I$54*$AK$54</f>
        <v>0</v>
      </c>
      <c r="AL111" s="85">
        <f>$I$54*$AL$54</f>
        <v>0</v>
      </c>
      <c r="AM111" s="85">
        <f>$I$54*$AM$54</f>
        <v>0</v>
      </c>
      <c r="AN111" s="85">
        <f>$I$54*$AN$54</f>
        <v>0</v>
      </c>
      <c r="AO111" s="85">
        <f>$I$54*$AO$54</f>
        <v>0</v>
      </c>
      <c r="AP111" s="85">
        <f>$I$54*$AP$54</f>
        <v>0</v>
      </c>
      <c r="AQ111" s="85">
        <f>$I$54*$AQ$54</f>
        <v>0</v>
      </c>
      <c r="AR111" s="85">
        <f>$I$54*$AR$54</f>
        <v>0</v>
      </c>
      <c r="AS111" s="85">
        <f>$I$54*$AS$54</f>
        <v>0</v>
      </c>
      <c r="AT111" s="85">
        <f>$I$54*$AT$54</f>
        <v>0</v>
      </c>
      <c r="AU111" s="85">
        <f>$I$54*$AU$54</f>
        <v>0</v>
      </c>
      <c r="AV111" s="85">
        <f>$I$54*$AV$54</f>
        <v>0</v>
      </c>
      <c r="AW111" s="85">
        <f>$I$54*$AW$54</f>
        <v>0</v>
      </c>
      <c r="AX111" s="85">
        <f>$I$54*$AX$54</f>
        <v>0</v>
      </c>
      <c r="AY111" s="85">
        <f>$I$54*$AY$54</f>
        <v>0</v>
      </c>
      <c r="AZ111" s="85">
        <f>$I$54*$AZ$54</f>
        <v>0</v>
      </c>
      <c r="BA111" s="85">
        <f>$I$54*$BA$54</f>
        <v>0</v>
      </c>
      <c r="BB111" s="85">
        <f>$I$54*$BB$54</f>
        <v>0</v>
      </c>
      <c r="BC111" s="85">
        <f>$I$54*$BC$54</f>
        <v>0</v>
      </c>
      <c r="BD111" s="85">
        <f>$I$54*$BD$54</f>
        <v>0</v>
      </c>
    </row>
    <row r="112" spans="1:56" ht="11.25" customHeight="1" x14ac:dyDescent="0.25">
      <c r="A112" s="9" t="s">
        <v>49</v>
      </c>
      <c r="B112" s="9" t="s">
        <v>1125</v>
      </c>
      <c r="C112" s="9" t="s">
        <v>1126</v>
      </c>
      <c r="D112" s="9" t="s">
        <v>1127</v>
      </c>
      <c r="E112" s="9" t="s">
        <v>1128</v>
      </c>
      <c r="F112" s="9" t="s">
        <v>1129</v>
      </c>
      <c r="G112" s="9" t="s">
        <v>1130</v>
      </c>
      <c r="L112" s="85">
        <f>$I$55*$L$55</f>
        <v>1552339.1659666765</v>
      </c>
      <c r="M112" s="85">
        <f>$I$55*$M$55</f>
        <v>95904.389050817277</v>
      </c>
      <c r="N112" s="85">
        <f ca="1">$I$55*$N$55</f>
        <v>584684.55079403869</v>
      </c>
      <c r="O112" s="85">
        <f>$I$55*$O$55</f>
        <v>0</v>
      </c>
      <c r="P112" s="85">
        <f>$I$55*$P$55</f>
        <v>0</v>
      </c>
      <c r="Q112" s="85">
        <f>$I$55*$Q$55</f>
        <v>2395338.2421335294</v>
      </c>
      <c r="R112" s="85">
        <f>$I$55*$R$55</f>
        <v>1168834.5642026155</v>
      </c>
      <c r="S112" s="85">
        <f>$I$55*$S$55</f>
        <v>0</v>
      </c>
      <c r="T112" s="85">
        <f>$I$55*$T$55</f>
        <v>4659743.0227834228</v>
      </c>
      <c r="U112" s="85">
        <f>$I$55*$U$55</f>
        <v>57540.26556784039</v>
      </c>
      <c r="V112" s="85">
        <f>$I$55*$V$55</f>
        <v>7846.0928276457116</v>
      </c>
      <c r="W112" s="85">
        <f>$I$55*$W$55</f>
        <v>0</v>
      </c>
      <c r="X112" s="85">
        <f>$I$55*$X$55</f>
        <v>-202.76795110660444</v>
      </c>
      <c r="Y112" s="85">
        <f>$I$55*$Y$55</f>
        <v>0</v>
      </c>
      <c r="Z112" s="85">
        <f>$I$55*$Z$55</f>
        <v>0</v>
      </c>
      <c r="AA112" s="85">
        <f>$I$55*$AA$55</f>
        <v>25328811.850820538</v>
      </c>
      <c r="AB112" s="85">
        <f ca="1">$I$55*$AB$55</f>
        <v>0</v>
      </c>
      <c r="AC112" s="85">
        <f ca="1">$I$55*$AC$55</f>
        <v>0</v>
      </c>
      <c r="AD112" s="85">
        <f>$I$55*$AD$55</f>
        <v>5070224.5867236871</v>
      </c>
      <c r="AE112" s="85">
        <f>$I$55*$AE$55</f>
        <v>365115.53526172624</v>
      </c>
      <c r="AF112" s="85">
        <f ca="1">$I$55*$AF$55</f>
        <v>12541028.439145654</v>
      </c>
      <c r="AG112" s="85">
        <f ca="1">$I$55*$AG$55</f>
        <v>1940706.4982554428</v>
      </c>
      <c r="AI112" s="85">
        <f>$I$55*$AI$55</f>
        <v>0</v>
      </c>
      <c r="AJ112" s="85">
        <f>$I$55*$AJ$55</f>
        <v>80772.070202113799</v>
      </c>
      <c r="AK112" s="85">
        <f>$I$55*$AK$55</f>
        <v>535186.37133190909</v>
      </c>
      <c r="AL112" s="85">
        <f>$I$55*$AL$55</f>
        <v>0</v>
      </c>
      <c r="AM112" s="85">
        <f>$I$55*$AM$55</f>
        <v>0</v>
      </c>
      <c r="AN112" s="85">
        <f>$I$55*$AN$55</f>
        <v>2448319.9251802992</v>
      </c>
      <c r="AO112" s="85">
        <f>$I$55*$AO$55</f>
        <v>831479.1009001839</v>
      </c>
      <c r="AP112" s="85">
        <f>$I$55*$AP$55</f>
        <v>0</v>
      </c>
      <c r="AQ112" s="85">
        <f>$I$55*$AQ$55</f>
        <v>3664285.4834636026</v>
      </c>
      <c r="AR112" s="85">
        <f>$I$55*$AR$55</f>
        <v>596560.47162300767</v>
      </c>
      <c r="AS112" s="85">
        <f>$I$55*$AS$55</f>
        <v>-42570.939204493487</v>
      </c>
      <c r="AT112" s="85">
        <f>$I$55*$AT$55</f>
        <v>0</v>
      </c>
      <c r="AU112" s="85">
        <f>$I$55*$AU$55</f>
        <v>18668.92790495143</v>
      </c>
      <c r="AV112" s="85">
        <f>$I$55*$AV$55</f>
        <v>0</v>
      </c>
      <c r="AW112" s="85">
        <f>$I$55*$AW$55</f>
        <v>0</v>
      </c>
      <c r="AX112" s="85">
        <f>$I$55*$AX$55</f>
        <v>22612161.465683728</v>
      </c>
      <c r="AY112" s="85">
        <f>$I$55*$AY$55</f>
        <v>0</v>
      </c>
      <c r="AZ112" s="85">
        <f>$I$55*$AZ$55</f>
        <v>0</v>
      </c>
      <c r="BA112" s="85">
        <f>$I$55*$BA$55</f>
        <v>4739639.7274682857</v>
      </c>
      <c r="BB112" s="85">
        <f>$I$55*$BB$55</f>
        <v>372003.06295698299</v>
      </c>
      <c r="BC112" s="85">
        <f>$I$55*$BC$55</f>
        <v>12909751.835532771</v>
      </c>
      <c r="BD112" s="85">
        <f>$I$55*$BD$55</f>
        <v>799961.83485759364</v>
      </c>
    </row>
    <row r="113" spans="1:56" ht="11.25" customHeight="1" x14ac:dyDescent="0.25">
      <c r="A113" s="9" t="s">
        <v>49</v>
      </c>
      <c r="B113" s="9" t="s">
        <v>1125</v>
      </c>
      <c r="C113" s="9" t="s">
        <v>1126</v>
      </c>
      <c r="D113" s="9" t="s">
        <v>1131</v>
      </c>
      <c r="E113" s="9" t="s">
        <v>1132</v>
      </c>
      <c r="F113" s="9" t="s">
        <v>1133</v>
      </c>
      <c r="G113" s="9" t="s">
        <v>1134</v>
      </c>
      <c r="L113" s="85">
        <f>$I$56*$L$56</f>
        <v>0</v>
      </c>
      <c r="M113" s="85">
        <f>$I$56*$M$56</f>
        <v>0</v>
      </c>
      <c r="N113" s="85">
        <f ca="1">$I$56*$N$56</f>
        <v>0</v>
      </c>
      <c r="O113" s="85">
        <f>$I$56*$O$56</f>
        <v>0</v>
      </c>
      <c r="P113" s="85">
        <f>$I$56*$P$56</f>
        <v>0</v>
      </c>
      <c r="Q113" s="85">
        <f>$I$56*$Q$56</f>
        <v>0</v>
      </c>
      <c r="R113" s="85">
        <f>$I$56*$R$56</f>
        <v>0</v>
      </c>
      <c r="S113" s="85">
        <f>$I$56*$S$56</f>
        <v>0</v>
      </c>
      <c r="T113" s="85">
        <f>$I$56*$T$56</f>
        <v>0</v>
      </c>
      <c r="U113" s="85">
        <f>$I$56*$U$56</f>
        <v>0</v>
      </c>
      <c r="V113" s="85">
        <f>$I$56*$V$56</f>
        <v>0</v>
      </c>
      <c r="W113" s="85">
        <f>$I$56*$W$56</f>
        <v>0</v>
      </c>
      <c r="X113" s="85">
        <f>$I$56*$X$56</f>
        <v>0</v>
      </c>
      <c r="Y113" s="85">
        <f>$I$56*$Y$56</f>
        <v>0</v>
      </c>
      <c r="Z113" s="85">
        <f>$I$56*$Z$56</f>
        <v>0</v>
      </c>
      <c r="AA113" s="85">
        <f>$I$56*$AA$56</f>
        <v>0</v>
      </c>
      <c r="AB113" s="85">
        <f ca="1">$I$56*$AB$56</f>
        <v>0</v>
      </c>
      <c r="AC113" s="85">
        <f ca="1">$I$56*$AC$56</f>
        <v>0</v>
      </c>
      <c r="AD113" s="85">
        <f>$I$56*$AD$56</f>
        <v>0</v>
      </c>
      <c r="AE113" s="85">
        <f>$I$56*$AE$56</f>
        <v>0</v>
      </c>
      <c r="AF113" s="85">
        <f ca="1">$I$56*$AF$56</f>
        <v>0</v>
      </c>
      <c r="AG113" s="85">
        <f ca="1">$I$56*$AG$56</f>
        <v>0</v>
      </c>
      <c r="AI113" s="85">
        <f>$I$56*$AI$56</f>
        <v>0</v>
      </c>
      <c r="AJ113" s="85">
        <f>$I$56*$AJ$56</f>
        <v>0</v>
      </c>
      <c r="AK113" s="85">
        <f>$I$56*$AK$56</f>
        <v>0</v>
      </c>
      <c r="AL113" s="85">
        <f>$I$56*$AL$56</f>
        <v>0</v>
      </c>
      <c r="AM113" s="85">
        <f>$I$56*$AM$56</f>
        <v>0</v>
      </c>
      <c r="AN113" s="85">
        <f>$I$56*$AN$56</f>
        <v>0</v>
      </c>
      <c r="AO113" s="85">
        <f>$I$56*$AO$56</f>
        <v>0</v>
      </c>
      <c r="AP113" s="85">
        <f>$I$56*$AP$56</f>
        <v>0</v>
      </c>
      <c r="AQ113" s="85">
        <f>$I$56*$AQ$56</f>
        <v>0</v>
      </c>
      <c r="AR113" s="85">
        <f>$I$56*$AR$56</f>
        <v>0</v>
      </c>
      <c r="AS113" s="85">
        <f>$I$56*$AS$56</f>
        <v>0</v>
      </c>
      <c r="AT113" s="85">
        <f>$I$56*$AT$56</f>
        <v>0</v>
      </c>
      <c r="AU113" s="85">
        <f>$I$56*$AU$56</f>
        <v>0</v>
      </c>
      <c r="AV113" s="85">
        <f>$I$56*$AV$56</f>
        <v>0</v>
      </c>
      <c r="AW113" s="85">
        <f>$I$56*$AW$56</f>
        <v>0</v>
      </c>
      <c r="AX113" s="85">
        <f>$I$56*$AX$56</f>
        <v>0</v>
      </c>
      <c r="AY113" s="85">
        <f>$I$56*$AY$56</f>
        <v>0</v>
      </c>
      <c r="AZ113" s="85">
        <f>$I$56*$AZ$56</f>
        <v>0</v>
      </c>
      <c r="BA113" s="85">
        <f>$I$56*$BA$56</f>
        <v>0</v>
      </c>
      <c r="BB113" s="85">
        <f>$I$56*$BB$56</f>
        <v>0</v>
      </c>
      <c r="BC113" s="85">
        <f>$I$56*$BC$56</f>
        <v>0</v>
      </c>
      <c r="BD113" s="85">
        <f>$I$56*$BD$56</f>
        <v>0</v>
      </c>
    </row>
  </sheetData>
  <mergeCells count="94">
    <mergeCell ref="F1:F4"/>
    <mergeCell ref="A1:A4"/>
    <mergeCell ref="B1:B4"/>
    <mergeCell ref="C1:C4"/>
    <mergeCell ref="D1:D4"/>
    <mergeCell ref="E1:E4"/>
    <mergeCell ref="E15:E17"/>
    <mergeCell ref="AB3:AC3"/>
    <mergeCell ref="AD3:AG3"/>
    <mergeCell ref="A5:A9"/>
    <mergeCell ref="B5:B8"/>
    <mergeCell ref="C5:C8"/>
    <mergeCell ref="D5:D8"/>
    <mergeCell ref="E5:E7"/>
    <mergeCell ref="F5:F7"/>
    <mergeCell ref="G1:G4"/>
    <mergeCell ref="H1:H4"/>
    <mergeCell ref="I1:I4"/>
    <mergeCell ref="J1:J4"/>
    <mergeCell ref="L1:AG1"/>
    <mergeCell ref="L2:AG2"/>
    <mergeCell ref="L3:S3"/>
    <mergeCell ref="F15:F17"/>
    <mergeCell ref="E18:E19"/>
    <mergeCell ref="F18:F19"/>
    <mergeCell ref="A20:A21"/>
    <mergeCell ref="B20:B21"/>
    <mergeCell ref="C20:C21"/>
    <mergeCell ref="D20:D21"/>
    <mergeCell ref="A10:A19"/>
    <mergeCell ref="B10:B13"/>
    <mergeCell ref="C10:C13"/>
    <mergeCell ref="D10:D13"/>
    <mergeCell ref="E10:E12"/>
    <mergeCell ref="F10:F12"/>
    <mergeCell ref="B15:B19"/>
    <mergeCell ref="C15:C19"/>
    <mergeCell ref="D15:D19"/>
    <mergeCell ref="F22:F24"/>
    <mergeCell ref="B25:B29"/>
    <mergeCell ref="C25:C29"/>
    <mergeCell ref="B30:B34"/>
    <mergeCell ref="C30:C34"/>
    <mergeCell ref="A22:A34"/>
    <mergeCell ref="B22:B24"/>
    <mergeCell ref="C22:C24"/>
    <mergeCell ref="D22:D24"/>
    <mergeCell ref="E22:E24"/>
    <mergeCell ref="D43:D45"/>
    <mergeCell ref="E43:E45"/>
    <mergeCell ref="F43:F45"/>
    <mergeCell ref="D35:D37"/>
    <mergeCell ref="E35:E37"/>
    <mergeCell ref="F35:F37"/>
    <mergeCell ref="D39:D41"/>
    <mergeCell ref="E39:E41"/>
    <mergeCell ref="F39:F41"/>
    <mergeCell ref="B47:B49"/>
    <mergeCell ref="C47:C49"/>
    <mergeCell ref="A50:A54"/>
    <mergeCell ref="B50:B52"/>
    <mergeCell ref="C50:C52"/>
    <mergeCell ref="A35:A49"/>
    <mergeCell ref="B35:B37"/>
    <mergeCell ref="C35:C37"/>
    <mergeCell ref="B43:B45"/>
    <mergeCell ref="C43:C45"/>
    <mergeCell ref="B39:B41"/>
    <mergeCell ref="C39:C41"/>
    <mergeCell ref="AI1:BD1"/>
    <mergeCell ref="AI2:BD2"/>
    <mergeCell ref="AI3:AP3"/>
    <mergeCell ref="AQ3:AW3"/>
    <mergeCell ref="AY3:AZ3"/>
    <mergeCell ref="E50:E52"/>
    <mergeCell ref="F50:F52"/>
    <mergeCell ref="A55:A56"/>
    <mergeCell ref="B55:B56"/>
    <mergeCell ref="C55:C56"/>
    <mergeCell ref="D50:D52"/>
    <mergeCell ref="AQ60:AW60"/>
    <mergeCell ref="AY60:AZ60"/>
    <mergeCell ref="BA60:BD60"/>
    <mergeCell ref="BA3:BD3"/>
    <mergeCell ref="L58:AG58"/>
    <mergeCell ref="AI58:BD58"/>
    <mergeCell ref="L59:AG59"/>
    <mergeCell ref="AI59:BD59"/>
    <mergeCell ref="L60:S60"/>
    <mergeCell ref="T60:Z60"/>
    <mergeCell ref="AB60:AC60"/>
    <mergeCell ref="AD60:AG60"/>
    <mergeCell ref="AI60:AP60"/>
    <mergeCell ref="T3:Z3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D4A0B-B90D-4621-9EDB-A150935D8292}">
  <dimension ref="A1:AF89"/>
  <sheetViews>
    <sheetView showGridLines="0" topLeftCell="M29" workbookViewId="0">
      <selection activeCell="V45" sqref="V45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6" style="9" bestFit="1" customWidth="1"/>
    <col min="15" max="15" width="11.140625" style="9" bestFit="1" customWidth="1"/>
    <col min="16" max="16" width="15" style="9" bestFit="1" customWidth="1"/>
    <col min="17" max="17" width="6" style="9" bestFit="1" customWidth="1"/>
    <col min="18" max="18" width="10.42578125" style="9" bestFit="1" customWidth="1"/>
    <col min="19" max="19" width="7" style="9" bestFit="1" customWidth="1"/>
    <col min="20" max="20" width="11.140625" style="9" bestFit="1" customWidth="1"/>
    <col min="21" max="21" width="11" style="9" bestFit="1" customWidth="1"/>
    <col min="22" max="22" width="9.140625" style="9"/>
    <col min="23" max="23" width="10" style="9" bestFit="1" customWidth="1"/>
    <col min="24" max="24" width="10.85546875" style="9" bestFit="1" customWidth="1"/>
    <col min="25" max="25" width="6" style="9" bestFit="1" customWidth="1"/>
    <col min="26" max="26" width="11.140625" style="9" bestFit="1" customWidth="1"/>
    <col min="27" max="27" width="15" style="9" bestFit="1" customWidth="1"/>
    <col min="28" max="28" width="6" style="9" bestFit="1" customWidth="1"/>
    <col min="29" max="29" width="10.42578125" style="9" bestFit="1" customWidth="1"/>
    <col min="30" max="30" width="7" style="9" bestFit="1" customWidth="1"/>
    <col min="31" max="31" width="11.140625" style="9" bestFit="1" customWidth="1"/>
    <col min="32" max="32" width="11" style="9" bestFit="1" customWidth="1"/>
    <col min="33" max="16384" width="9.140625" style="9"/>
  </cols>
  <sheetData>
    <row r="1" spans="1:32" ht="11.25" customHeight="1" x14ac:dyDescent="0.25">
      <c r="A1" s="134" t="s">
        <v>76</v>
      </c>
      <c r="B1" s="134" t="s">
        <v>77</v>
      </c>
      <c r="C1" s="134" t="s">
        <v>78</v>
      </c>
      <c r="D1" s="134" t="s">
        <v>79</v>
      </c>
      <c r="E1" s="134" t="s">
        <v>80</v>
      </c>
      <c r="F1" s="134" t="s">
        <v>15</v>
      </c>
      <c r="G1" s="134" t="s">
        <v>82</v>
      </c>
      <c r="H1" s="134" t="s">
        <v>83</v>
      </c>
      <c r="I1" s="134" t="s">
        <v>746</v>
      </c>
      <c r="J1" s="113"/>
      <c r="L1" s="132" t="s">
        <v>1135</v>
      </c>
      <c r="M1" s="132"/>
      <c r="N1" s="132"/>
      <c r="O1" s="132"/>
      <c r="P1" s="132"/>
      <c r="Q1" s="132"/>
      <c r="R1" s="132"/>
      <c r="S1" s="132"/>
      <c r="T1" s="132"/>
      <c r="U1" s="132"/>
      <c r="W1" s="132" t="s">
        <v>1136</v>
      </c>
      <c r="X1" s="132"/>
      <c r="Y1" s="132"/>
      <c r="Z1" s="132"/>
      <c r="AA1" s="132"/>
      <c r="AB1" s="132"/>
      <c r="AC1" s="132"/>
      <c r="AD1" s="132"/>
      <c r="AE1" s="132"/>
      <c r="AF1" s="132"/>
    </row>
    <row r="2" spans="1:32" ht="11.25" customHeight="1" x14ac:dyDescent="0.25">
      <c r="A2" s="134"/>
      <c r="B2" s="134"/>
      <c r="C2" s="134"/>
      <c r="D2" s="134"/>
      <c r="E2" s="134"/>
      <c r="F2" s="134"/>
      <c r="G2" s="134"/>
      <c r="H2" s="134"/>
      <c r="I2" s="134"/>
      <c r="J2" s="113"/>
      <c r="L2" s="132" t="s">
        <v>674</v>
      </c>
      <c r="M2" s="132"/>
      <c r="N2" s="132"/>
      <c r="O2" s="132"/>
      <c r="P2" s="132"/>
      <c r="Q2" s="132"/>
      <c r="R2" s="132"/>
      <c r="S2" s="132"/>
      <c r="T2" s="132"/>
      <c r="U2" s="132"/>
      <c r="W2" s="132" t="s">
        <v>674</v>
      </c>
      <c r="X2" s="132"/>
      <c r="Y2" s="132"/>
      <c r="Z2" s="132"/>
      <c r="AA2" s="132"/>
      <c r="AB2" s="132"/>
      <c r="AC2" s="132"/>
      <c r="AD2" s="132"/>
      <c r="AE2" s="132"/>
      <c r="AF2" s="132"/>
    </row>
    <row r="3" spans="1:32" ht="11.25" customHeight="1" x14ac:dyDescent="0.25">
      <c r="A3" s="134"/>
      <c r="B3" s="134"/>
      <c r="C3" s="134"/>
      <c r="D3" s="134"/>
      <c r="E3" s="134"/>
      <c r="F3" s="134"/>
      <c r="G3" s="134"/>
      <c r="H3" s="134"/>
      <c r="I3" s="134"/>
      <c r="J3" s="113"/>
      <c r="L3" s="132" t="s">
        <v>647</v>
      </c>
      <c r="M3" s="132"/>
      <c r="N3" s="132"/>
      <c r="O3" s="132"/>
      <c r="P3" s="88" t="s">
        <v>677</v>
      </c>
      <c r="Q3" s="132" t="s">
        <v>656</v>
      </c>
      <c r="R3" s="132"/>
      <c r="S3" s="132"/>
      <c r="T3" s="88" t="s">
        <v>666</v>
      </c>
      <c r="U3" s="88" t="s">
        <v>669</v>
      </c>
      <c r="W3" s="132" t="s">
        <v>647</v>
      </c>
      <c r="X3" s="132"/>
      <c r="Y3" s="132"/>
      <c r="Z3" s="132"/>
      <c r="AA3" s="88" t="s">
        <v>677</v>
      </c>
      <c r="AB3" s="132" t="s">
        <v>656</v>
      </c>
      <c r="AC3" s="132"/>
      <c r="AD3" s="132"/>
      <c r="AE3" s="88" t="s">
        <v>666</v>
      </c>
      <c r="AF3" s="88" t="s">
        <v>669</v>
      </c>
    </row>
    <row r="4" spans="1:32" ht="11.25" customHeight="1" x14ac:dyDescent="0.25">
      <c r="A4" s="134"/>
      <c r="B4" s="134"/>
      <c r="C4" s="134"/>
      <c r="D4" s="134"/>
      <c r="E4" s="134"/>
      <c r="F4" s="134"/>
      <c r="G4" s="134"/>
      <c r="H4" s="134"/>
      <c r="I4" s="134"/>
      <c r="J4" s="113"/>
      <c r="L4" s="88" t="s">
        <v>649</v>
      </c>
      <c r="M4" s="88" t="s">
        <v>675</v>
      </c>
      <c r="N4" s="88" t="s">
        <v>676</v>
      </c>
      <c r="O4" s="88" t="s">
        <v>734</v>
      </c>
      <c r="P4" s="88" t="s">
        <v>678</v>
      </c>
      <c r="Q4" s="88" t="s">
        <v>679</v>
      </c>
      <c r="R4" s="88" t="s">
        <v>680</v>
      </c>
      <c r="S4" s="88" t="s">
        <v>681</v>
      </c>
      <c r="T4" s="88" t="s">
        <v>667</v>
      </c>
      <c r="U4" s="88" t="s">
        <v>682</v>
      </c>
      <c r="W4" s="88" t="s">
        <v>649</v>
      </c>
      <c r="X4" s="88" t="s">
        <v>675</v>
      </c>
      <c r="Y4" s="88" t="s">
        <v>676</v>
      </c>
      <c r="Z4" s="88" t="s">
        <v>734</v>
      </c>
      <c r="AA4" s="88" t="s">
        <v>678</v>
      </c>
      <c r="AB4" s="88" t="s">
        <v>679</v>
      </c>
      <c r="AC4" s="88" t="s">
        <v>680</v>
      </c>
      <c r="AD4" s="88" t="s">
        <v>681</v>
      </c>
      <c r="AE4" s="88" t="s">
        <v>667</v>
      </c>
      <c r="AF4" s="88" t="s">
        <v>682</v>
      </c>
    </row>
    <row r="5" spans="1:32" ht="11.25" customHeight="1" x14ac:dyDescent="0.25">
      <c r="A5" s="135" t="s">
        <v>43</v>
      </c>
      <c r="B5" s="135" t="s">
        <v>85</v>
      </c>
      <c r="C5" s="135" t="s">
        <v>25</v>
      </c>
      <c r="D5" s="135" t="s">
        <v>25</v>
      </c>
      <c r="E5" s="135" t="s">
        <v>25</v>
      </c>
      <c r="F5" s="135" t="s">
        <v>25</v>
      </c>
      <c r="G5" s="39" t="s">
        <v>87</v>
      </c>
      <c r="H5" s="39" t="s">
        <v>86</v>
      </c>
      <c r="I5" s="39">
        <f>'MERCADO TE'!$U$2</f>
        <v>5001.2520000000004</v>
      </c>
      <c r="J5" s="18"/>
      <c r="L5" s="37">
        <f>('TE BE'!$L$5+'TE BF'!$L$5+'TE CVA'!$L$5)*1</f>
        <v>2.8946200988770987</v>
      </c>
      <c r="M5" s="37">
        <f>('TE BE'!$M$5+'TE BF'!$M$5+'TE CVA'!$M$5)*1</f>
        <v>26.227847388511982</v>
      </c>
      <c r="N5" s="37">
        <f>('TE BE'!$N$5+'TE BF'!$N$5+'TE CVA'!$N$5)*1</f>
        <v>0</v>
      </c>
      <c r="O5" s="37">
        <f>('TE BE'!$O$5+'TE BF'!$O$5+'TE CVA'!$O$5)*1</f>
        <v>11.559133907941119</v>
      </c>
      <c r="P5" s="37">
        <f>('TE BE'!$Q$5+'TE BF'!$Q$5+'TE CVA'!$Q$5)*1</f>
        <v>409.48223517163581</v>
      </c>
      <c r="Q5" s="37">
        <f>('TE BE'!$S$5+'TE BF'!$S$5+'TE CVA'!$S$5)*1</f>
        <v>0</v>
      </c>
      <c r="R5" s="37">
        <f>('TE BE'!$T$5+'TE BF'!$T$5+'TE CVA'!$T$5)*1</f>
        <v>0</v>
      </c>
      <c r="S5" s="37">
        <f>('TE BE'!$U$5+'TE BF'!$U$5+'TE CVA'!$U$5)*1</f>
        <v>0</v>
      </c>
      <c r="T5" s="37">
        <f>('TE BE'!$W$5+'TE BF'!$W$5+'TE CVA'!$W$5)*1</f>
        <v>0</v>
      </c>
      <c r="U5" s="37">
        <f>('TE BE'!$Y$5+'TE BF'!$Y$5+'TE CVA'!$Y$5)*1</f>
        <v>4.1647313614385775</v>
      </c>
      <c r="W5" s="37">
        <v>2.4696507187780998</v>
      </c>
      <c r="X5" s="37">
        <v>8.0894187064985807</v>
      </c>
      <c r="Y5" s="37">
        <v>0</v>
      </c>
      <c r="Z5" s="37">
        <v>-5.6547048723443103</v>
      </c>
      <c r="AA5" s="37">
        <v>380.41649271168899</v>
      </c>
      <c r="AB5" s="37">
        <v>0</v>
      </c>
      <c r="AC5" s="37">
        <v>0</v>
      </c>
      <c r="AD5" s="37">
        <v>0</v>
      </c>
      <c r="AE5" s="37">
        <v>0</v>
      </c>
      <c r="AF5" s="37">
        <v>3.9558192990109</v>
      </c>
    </row>
    <row r="6" spans="1:32" ht="11.25" customHeight="1" x14ac:dyDescent="0.25">
      <c r="A6" s="135"/>
      <c r="B6" s="135"/>
      <c r="C6" s="135"/>
      <c r="D6" s="135"/>
      <c r="E6" s="135"/>
      <c r="F6" s="135"/>
      <c r="G6" s="39" t="s">
        <v>88</v>
      </c>
      <c r="H6" s="39" t="s">
        <v>86</v>
      </c>
      <c r="I6" s="39">
        <f>'MERCADO TE'!$U$3</f>
        <v>53354.290999999997</v>
      </c>
      <c r="J6" s="18"/>
      <c r="L6" s="37">
        <f>('TE BE'!$L$6+'TE BF'!$L$6+'TE CVA'!$L$6)*1</f>
        <v>2.8946200988770987</v>
      </c>
      <c r="M6" s="37">
        <f>('TE BE'!$M$6+'TE BF'!$M$6+'TE CVA'!$M$6)*1</f>
        <v>26.227847388511982</v>
      </c>
      <c r="N6" s="37">
        <f>('TE BE'!$N$6+'TE BF'!$N$6+'TE CVA'!$N$6)*1</f>
        <v>0</v>
      </c>
      <c r="O6" s="37">
        <f>('TE BE'!$O$6+'TE BF'!$O$6+'TE CVA'!$O$6)*1</f>
        <v>11.559133907941119</v>
      </c>
      <c r="P6" s="37">
        <f>('TE BE'!$Q$6+'TE BF'!$Q$6+'TE CVA'!$Q$6)*1</f>
        <v>238.07106696025335</v>
      </c>
      <c r="Q6" s="37">
        <f>('TE BE'!$S$6+'TE BF'!$S$6+'TE CVA'!$S$6)*1</f>
        <v>0</v>
      </c>
      <c r="R6" s="37">
        <f>('TE BE'!$T$6+'TE BF'!$T$6+'TE CVA'!$T$6)*1</f>
        <v>0</v>
      </c>
      <c r="S6" s="37">
        <f>('TE BE'!$U$6+'TE BF'!$U$6+'TE CVA'!$U$6)*1</f>
        <v>0</v>
      </c>
      <c r="T6" s="37">
        <f>('TE BE'!$W$6+'TE BF'!$W$6+'TE CVA'!$W$6)*1</f>
        <v>0</v>
      </c>
      <c r="U6" s="37">
        <f>('TE BE'!$Y$6+'TE BF'!$Y$6+'TE CVA'!$Y$6)*1</f>
        <v>4.1647313614385775</v>
      </c>
      <c r="W6" s="37">
        <v>2.4696507187780998</v>
      </c>
      <c r="X6" s="37">
        <v>8.0894187064985807</v>
      </c>
      <c r="Y6" s="37">
        <v>0</v>
      </c>
      <c r="Z6" s="37">
        <v>-5.6547048723443103</v>
      </c>
      <c r="AA6" s="37">
        <v>221.17237948354</v>
      </c>
      <c r="AB6" s="37">
        <v>0</v>
      </c>
      <c r="AC6" s="37">
        <v>0</v>
      </c>
      <c r="AD6" s="37">
        <v>0</v>
      </c>
      <c r="AE6" s="37">
        <v>0</v>
      </c>
      <c r="AF6" s="37">
        <v>3.9558192990109</v>
      </c>
    </row>
    <row r="7" spans="1:32" ht="11.25" customHeight="1" x14ac:dyDescent="0.25">
      <c r="A7" s="135" t="s">
        <v>35</v>
      </c>
      <c r="B7" s="135" t="s">
        <v>85</v>
      </c>
      <c r="C7" s="135" t="s">
        <v>25</v>
      </c>
      <c r="D7" s="135" t="s">
        <v>25</v>
      </c>
      <c r="E7" s="135" t="s">
        <v>25</v>
      </c>
      <c r="F7" s="135" t="s">
        <v>25</v>
      </c>
      <c r="G7" s="39" t="s">
        <v>87</v>
      </c>
      <c r="H7" s="39" t="s">
        <v>86</v>
      </c>
      <c r="I7" s="39">
        <f>'MERCADO TE'!$U$4</f>
        <v>81126.716000000015</v>
      </c>
      <c r="J7" s="18"/>
      <c r="L7" s="37">
        <f>('TE BE'!$L$7+'TE BF'!$L$7+'TE CVA'!$L$7)*1</f>
        <v>2.8946200988770987</v>
      </c>
      <c r="M7" s="37">
        <f>('TE BE'!$M$7+'TE BF'!$M$7+'TE CVA'!$M$7)*1</f>
        <v>26.227847388511982</v>
      </c>
      <c r="N7" s="37">
        <f>('TE BE'!$N$7+'TE BF'!$N$7+'TE CVA'!$N$7)*1</f>
        <v>0</v>
      </c>
      <c r="O7" s="37">
        <f>('TE BE'!$O$7+'TE BF'!$O$7+'TE CVA'!$O$7)*1</f>
        <v>11.559133907941119</v>
      </c>
      <c r="P7" s="37">
        <f>('TE BE'!$Q$7+'TE BF'!$Q$7+'TE CVA'!$Q$7)*1</f>
        <v>409.48223517163581</v>
      </c>
      <c r="Q7" s="37">
        <f>('TE BE'!$S$7+'TE BF'!$S$7+'TE CVA'!$S$7)*1</f>
        <v>0</v>
      </c>
      <c r="R7" s="37">
        <f>('TE BE'!$T$7+'TE BF'!$T$7+'TE CVA'!$T$7)*1</f>
        <v>0</v>
      </c>
      <c r="S7" s="37">
        <f>('TE BE'!$U$7+'TE BF'!$U$7+'TE CVA'!$U$7)*1</f>
        <v>0</v>
      </c>
      <c r="T7" s="37">
        <f>('TE BE'!$W$7+'TE BF'!$W$7+'TE CVA'!$W$7)*1</f>
        <v>0</v>
      </c>
      <c r="U7" s="37">
        <f>('TE BE'!$Y$7+'TE BF'!$Y$7+'TE CVA'!$Y$7)*1</f>
        <v>4.1647313614385775</v>
      </c>
      <c r="W7" s="37">
        <v>2.4696507187780998</v>
      </c>
      <c r="X7" s="37">
        <v>8.0894187064985807</v>
      </c>
      <c r="Y7" s="37">
        <v>0</v>
      </c>
      <c r="Z7" s="37">
        <v>-5.6547048723443103</v>
      </c>
      <c r="AA7" s="37">
        <v>380.41649271168899</v>
      </c>
      <c r="AB7" s="37">
        <v>0</v>
      </c>
      <c r="AC7" s="37">
        <v>0</v>
      </c>
      <c r="AD7" s="37">
        <v>0</v>
      </c>
      <c r="AE7" s="37">
        <v>0</v>
      </c>
      <c r="AF7" s="37">
        <v>3.9558192990109</v>
      </c>
    </row>
    <row r="8" spans="1:32" ht="11.25" customHeight="1" x14ac:dyDescent="0.25">
      <c r="A8" s="135"/>
      <c r="B8" s="135"/>
      <c r="C8" s="135"/>
      <c r="D8" s="135"/>
      <c r="E8" s="135"/>
      <c r="F8" s="135"/>
      <c r="G8" s="39" t="s">
        <v>88</v>
      </c>
      <c r="H8" s="39" t="s">
        <v>86</v>
      </c>
      <c r="I8" s="39">
        <f>'MERCADO TE'!$U$5</f>
        <v>1038783.2589999998</v>
      </c>
      <c r="J8" s="18"/>
      <c r="L8" s="37">
        <f>('TE BE'!$L$8+'TE BF'!$L$8+'TE CVA'!$L$8)*1</f>
        <v>2.8946200988770987</v>
      </c>
      <c r="M8" s="37">
        <f>('TE BE'!$M$8+'TE BF'!$M$8+'TE CVA'!$M$8)*1</f>
        <v>26.227847388511982</v>
      </c>
      <c r="N8" s="37">
        <f>('TE BE'!$N$8+'TE BF'!$N$8+'TE CVA'!$N$8)*1</f>
        <v>0</v>
      </c>
      <c r="O8" s="37">
        <f>('TE BE'!$O$8+'TE BF'!$O$8+'TE CVA'!$O$8)*1</f>
        <v>11.559133907941119</v>
      </c>
      <c r="P8" s="37">
        <f>('TE BE'!$Q$8+'TE BF'!$Q$8+'TE CVA'!$Q$8)*1</f>
        <v>238.07106696025335</v>
      </c>
      <c r="Q8" s="37">
        <f>('TE BE'!$S$8+'TE BF'!$S$8+'TE CVA'!$S$8)*1</f>
        <v>0</v>
      </c>
      <c r="R8" s="37">
        <f>('TE BE'!$T$8+'TE BF'!$T$8+'TE CVA'!$T$8)*1</f>
        <v>0</v>
      </c>
      <c r="S8" s="37">
        <f>('TE BE'!$U$8+'TE BF'!$U$8+'TE CVA'!$U$8)*1</f>
        <v>0</v>
      </c>
      <c r="T8" s="37">
        <f>('TE BE'!$W$8+'TE BF'!$W$8+'TE CVA'!$W$8)*1</f>
        <v>0</v>
      </c>
      <c r="U8" s="37">
        <f>('TE BE'!$Y$8+'TE BF'!$Y$8+'TE CVA'!$Y$8)*1</f>
        <v>4.1647313614385775</v>
      </c>
      <c r="W8" s="37">
        <v>2.4696507187780998</v>
      </c>
      <c r="X8" s="37">
        <v>8.0894187064985807</v>
      </c>
      <c r="Y8" s="37">
        <v>0</v>
      </c>
      <c r="Z8" s="37">
        <v>-5.6547048723443103</v>
      </c>
      <c r="AA8" s="37">
        <v>221.17237948354</v>
      </c>
      <c r="AB8" s="37">
        <v>0</v>
      </c>
      <c r="AC8" s="37">
        <v>0</v>
      </c>
      <c r="AD8" s="37">
        <v>0</v>
      </c>
      <c r="AE8" s="37">
        <v>0</v>
      </c>
      <c r="AF8" s="37">
        <v>3.9558192990109</v>
      </c>
    </row>
    <row r="9" spans="1:32" ht="11.25" customHeight="1" x14ac:dyDescent="0.25">
      <c r="A9" s="135"/>
      <c r="B9" s="89" t="s">
        <v>94</v>
      </c>
      <c r="C9" s="89" t="s">
        <v>25</v>
      </c>
      <c r="D9" s="89" t="s">
        <v>25</v>
      </c>
      <c r="E9" s="89" t="s">
        <v>25</v>
      </c>
      <c r="F9" s="89" t="s">
        <v>25</v>
      </c>
      <c r="G9" s="39" t="s">
        <v>92</v>
      </c>
      <c r="H9" s="39" t="s">
        <v>86</v>
      </c>
      <c r="I9" s="39">
        <f>'MERCADO TE'!$U$6</f>
        <v>0</v>
      </c>
      <c r="J9" s="18"/>
      <c r="L9" s="37">
        <f>('TE BE'!$L$9+'TE BF'!$L$9+'TE CVA'!$L$9)*1</f>
        <v>2.8946200988770987</v>
      </c>
      <c r="M9" s="37">
        <f>('TE BE'!$M$9+'TE BF'!$M$9+'TE CVA'!$M$9)*1</f>
        <v>26.227847388511982</v>
      </c>
      <c r="N9" s="37">
        <f>('TE BE'!$N$9+'TE BF'!$N$9+'TE CVA'!$N$9)*1</f>
        <v>0</v>
      </c>
      <c r="O9" s="37">
        <f>('TE BE'!$O$9+'TE BF'!$O$9+'TE CVA'!$O$9)*1</f>
        <v>11.559133907941119</v>
      </c>
      <c r="P9" s="37">
        <f>('TE BE'!$Q$9+'TE BF'!$Q$9+'TE CVA'!$Q$9)*1</f>
        <v>252.35533097786856</v>
      </c>
      <c r="Q9" s="37">
        <f>('TE BE'!$S$9+'TE BF'!$S$9+'TE CVA'!$S$9)*1</f>
        <v>0</v>
      </c>
      <c r="R9" s="37">
        <f>('TE BE'!$T$9+'TE BF'!$T$9+'TE CVA'!$T$9)*1</f>
        <v>0</v>
      </c>
      <c r="S9" s="37">
        <f>('TE BE'!$U$9+'TE BF'!$U$9+'TE CVA'!$U$9)*1</f>
        <v>0</v>
      </c>
      <c r="T9" s="37">
        <f>('TE BE'!$W$9+'TE BF'!$W$9+'TE CVA'!$W$9)*1</f>
        <v>0</v>
      </c>
      <c r="U9" s="37">
        <f>('TE BE'!$Y$9+'TE BF'!$Y$9+'TE CVA'!$Y$9)*1</f>
        <v>4.1647313614385775</v>
      </c>
      <c r="W9" s="37">
        <v>2.4696507187780998</v>
      </c>
      <c r="X9" s="37">
        <v>8.0894187064985807</v>
      </c>
      <c r="Y9" s="37">
        <v>0</v>
      </c>
      <c r="Z9" s="37">
        <v>-5.6547048723443103</v>
      </c>
      <c r="AA9" s="37">
        <v>234.44272225255199</v>
      </c>
      <c r="AB9" s="37">
        <v>0</v>
      </c>
      <c r="AC9" s="37">
        <v>0</v>
      </c>
      <c r="AD9" s="37">
        <v>0</v>
      </c>
      <c r="AE9" s="37">
        <v>0</v>
      </c>
      <c r="AF9" s="37">
        <v>3.9558192990109</v>
      </c>
    </row>
    <row r="10" spans="1:32" ht="11.25" customHeight="1" x14ac:dyDescent="0.25">
      <c r="A10" s="135" t="s">
        <v>22</v>
      </c>
      <c r="B10" s="135" t="s">
        <v>85</v>
      </c>
      <c r="C10" s="135" t="s">
        <v>24</v>
      </c>
      <c r="D10" s="135" t="s">
        <v>24</v>
      </c>
      <c r="E10" s="135" t="s">
        <v>25</v>
      </c>
      <c r="F10" s="135" t="s">
        <v>25</v>
      </c>
      <c r="G10" s="39" t="s">
        <v>87</v>
      </c>
      <c r="H10" s="39" t="s">
        <v>86</v>
      </c>
      <c r="I10" s="39">
        <f>'MERCADO TE'!$U$7</f>
        <v>31.722000000000001</v>
      </c>
      <c r="J10" s="18"/>
      <c r="L10" s="37">
        <f>('TE BE'!$L$10+'TE BF'!$L$10+'TE CVA'!$L$10)*1</f>
        <v>2.8946200988770987</v>
      </c>
      <c r="M10" s="37">
        <f>('TE BE'!$M$10+'TE BF'!$M$10+'TE CVA'!$M$10)*1</f>
        <v>26.227847388511982</v>
      </c>
      <c r="N10" s="37">
        <f>('TE BE'!$N$10+'TE BF'!$N$10+'TE CVA'!$N$10)*1</f>
        <v>0</v>
      </c>
      <c r="O10" s="37">
        <f>('TE BE'!$O$10+'TE BF'!$O$10+'TE CVA'!$O$10)*1</f>
        <v>11.559133907941119</v>
      </c>
      <c r="P10" s="37">
        <f>('TE BE'!$Q$10+'TE BF'!$Q$10+'TE CVA'!$Q$10)*1</f>
        <v>409.48223517163581</v>
      </c>
      <c r="Q10" s="37">
        <f>('TE BE'!$S$10+'TE BF'!$S$10+'TE CVA'!$S$10)*1</f>
        <v>0</v>
      </c>
      <c r="R10" s="37">
        <f>('TE BE'!$T$10+'TE BF'!$T$10+'TE CVA'!$T$10)*1</f>
        <v>0</v>
      </c>
      <c r="S10" s="37">
        <f>('TE BE'!$U$10+'TE BF'!$U$10+'TE CVA'!$U$10)*1</f>
        <v>0</v>
      </c>
      <c r="T10" s="37">
        <f>('TE BE'!$W$10+'TE BF'!$W$10+'TE CVA'!$W$10)*1</f>
        <v>0</v>
      </c>
      <c r="U10" s="37">
        <f>('TE BE'!$Y$10+'TE BF'!$Y$10+'TE CVA'!$Y$10)*1</f>
        <v>4.1647313614385775</v>
      </c>
      <c r="W10" s="37">
        <v>2.4696507187780998</v>
      </c>
      <c r="X10" s="37">
        <v>8.0894187064985807</v>
      </c>
      <c r="Y10" s="37">
        <v>0</v>
      </c>
      <c r="Z10" s="37">
        <v>-5.6547048723443103</v>
      </c>
      <c r="AA10" s="37">
        <v>380.41649271168899</v>
      </c>
      <c r="AB10" s="37">
        <v>0</v>
      </c>
      <c r="AC10" s="37">
        <v>0</v>
      </c>
      <c r="AD10" s="37">
        <v>0</v>
      </c>
      <c r="AE10" s="37">
        <v>0</v>
      </c>
      <c r="AF10" s="37">
        <v>3.9558192990109</v>
      </c>
    </row>
    <row r="11" spans="1:32" ht="11.25" customHeight="1" x14ac:dyDescent="0.25">
      <c r="A11" s="135"/>
      <c r="B11" s="135"/>
      <c r="C11" s="135"/>
      <c r="D11" s="135"/>
      <c r="E11" s="135"/>
      <c r="F11" s="135"/>
      <c r="G11" s="39" t="s">
        <v>98</v>
      </c>
      <c r="H11" s="39" t="s">
        <v>86</v>
      </c>
      <c r="I11" s="39">
        <f>'MERCADO TE'!$U$8</f>
        <v>31.11</v>
      </c>
      <c r="J11" s="18"/>
      <c r="L11" s="37">
        <f>('TE BE'!$L$11+'TE BF'!$L$11+'TE CVA'!$L$11)*1</f>
        <v>2.8946200988770987</v>
      </c>
      <c r="M11" s="37">
        <f>('TE BE'!$M$11+'TE BF'!$M$11+'TE CVA'!$M$11)*1</f>
        <v>26.227847388511982</v>
      </c>
      <c r="N11" s="37">
        <f>('TE BE'!$N$11+'TE BF'!$N$11+'TE CVA'!$N$11)*1</f>
        <v>0</v>
      </c>
      <c r="O11" s="37">
        <f>('TE BE'!$O$11+'TE BF'!$O$11+'TE CVA'!$O$11)*1</f>
        <v>11.559133907941119</v>
      </c>
      <c r="P11" s="37">
        <f>('TE BE'!$Q$11+'TE BF'!$Q$11+'TE CVA'!$Q$11)*1</f>
        <v>238.07106696025335</v>
      </c>
      <c r="Q11" s="37">
        <f>('TE BE'!$S$11+'TE BF'!$S$11+'TE CVA'!$S$11)*1</f>
        <v>0</v>
      </c>
      <c r="R11" s="37">
        <f>('TE BE'!$T$11+'TE BF'!$T$11+'TE CVA'!$T$11)*1</f>
        <v>0</v>
      </c>
      <c r="S11" s="37">
        <f>('TE BE'!$U$11+'TE BF'!$U$11+'TE CVA'!$U$11)*1</f>
        <v>0</v>
      </c>
      <c r="T11" s="37">
        <f>('TE BE'!$W$11+'TE BF'!$W$11+'TE CVA'!$W$11)*1</f>
        <v>0</v>
      </c>
      <c r="U11" s="37">
        <f>('TE BE'!$Y$11+'TE BF'!$Y$11+'TE CVA'!$Y$11)*1</f>
        <v>4.1647313614385775</v>
      </c>
      <c r="W11" s="37">
        <v>2.4696507187780998</v>
      </c>
      <c r="X11" s="37">
        <v>8.0894187064985807</v>
      </c>
      <c r="Y11" s="37">
        <v>0</v>
      </c>
      <c r="Z11" s="37">
        <v>-5.6547048723443103</v>
      </c>
      <c r="AA11" s="37">
        <v>221.17237948354</v>
      </c>
      <c r="AB11" s="37">
        <v>0</v>
      </c>
      <c r="AC11" s="37">
        <v>0</v>
      </c>
      <c r="AD11" s="37">
        <v>0</v>
      </c>
      <c r="AE11" s="37">
        <v>0</v>
      </c>
      <c r="AF11" s="37">
        <v>3.9558192990109</v>
      </c>
    </row>
    <row r="12" spans="1:32" ht="11.25" customHeight="1" x14ac:dyDescent="0.25">
      <c r="A12" s="135"/>
      <c r="B12" s="135"/>
      <c r="C12" s="135"/>
      <c r="D12" s="135"/>
      <c r="E12" s="135"/>
      <c r="F12" s="135"/>
      <c r="G12" s="39" t="s">
        <v>88</v>
      </c>
      <c r="H12" s="39" t="s">
        <v>86</v>
      </c>
      <c r="I12" s="39">
        <f>'MERCADO TE'!$U$9</f>
        <v>472.03</v>
      </c>
      <c r="J12" s="18"/>
      <c r="L12" s="37">
        <f>('TE BE'!$L$12+'TE BF'!$L$12+'TE CVA'!$L$12)*1</f>
        <v>2.8946200988770987</v>
      </c>
      <c r="M12" s="37">
        <f>('TE BE'!$M$12+'TE BF'!$M$12+'TE CVA'!$M$12)*1</f>
        <v>26.227847388511982</v>
      </c>
      <c r="N12" s="37">
        <f>('TE BE'!$N$12+'TE BF'!$N$12+'TE CVA'!$N$12)*1</f>
        <v>0</v>
      </c>
      <c r="O12" s="37">
        <f>('TE BE'!$O$12+'TE BF'!$O$12+'TE CVA'!$O$12)*1</f>
        <v>11.559133907941119</v>
      </c>
      <c r="P12" s="37">
        <f>('TE BE'!$Q$12+'TE BF'!$Q$12+'TE CVA'!$Q$12)*1</f>
        <v>238.07106696025335</v>
      </c>
      <c r="Q12" s="37">
        <f>('TE BE'!$S$12+'TE BF'!$S$12+'TE CVA'!$S$12)*1</f>
        <v>0</v>
      </c>
      <c r="R12" s="37">
        <f>('TE BE'!$T$12+'TE BF'!$T$12+'TE CVA'!$T$12)*1</f>
        <v>0</v>
      </c>
      <c r="S12" s="37">
        <f>('TE BE'!$U$12+'TE BF'!$U$12+'TE CVA'!$U$12)*1</f>
        <v>0</v>
      </c>
      <c r="T12" s="37">
        <f>('TE BE'!$W$12+'TE BF'!$W$12+'TE CVA'!$W$12)*1</f>
        <v>0</v>
      </c>
      <c r="U12" s="37">
        <f>('TE BE'!$Y$12+'TE BF'!$Y$12+'TE CVA'!$Y$12)*1</f>
        <v>4.1647313614385775</v>
      </c>
      <c r="W12" s="37">
        <v>2.4696507187780998</v>
      </c>
      <c r="X12" s="37">
        <v>8.0894187064985807</v>
      </c>
      <c r="Y12" s="37">
        <v>0</v>
      </c>
      <c r="Z12" s="37">
        <v>-5.6547048723443103</v>
      </c>
      <c r="AA12" s="37">
        <v>221.17237948354</v>
      </c>
      <c r="AB12" s="37">
        <v>0</v>
      </c>
      <c r="AC12" s="37">
        <v>0</v>
      </c>
      <c r="AD12" s="37">
        <v>0</v>
      </c>
      <c r="AE12" s="37">
        <v>0</v>
      </c>
      <c r="AF12" s="37">
        <v>3.9558192990109</v>
      </c>
    </row>
    <row r="13" spans="1:32" ht="11.25" customHeight="1" x14ac:dyDescent="0.25">
      <c r="A13" s="135"/>
      <c r="B13" s="135" t="s">
        <v>94</v>
      </c>
      <c r="C13" s="135" t="s">
        <v>24</v>
      </c>
      <c r="D13" s="89" t="s">
        <v>24</v>
      </c>
      <c r="E13" s="89" t="s">
        <v>25</v>
      </c>
      <c r="F13" s="89" t="s">
        <v>25</v>
      </c>
      <c r="G13" s="39" t="s">
        <v>92</v>
      </c>
      <c r="H13" s="39" t="s">
        <v>86</v>
      </c>
      <c r="I13" s="39">
        <f>'MERCADO TE'!$U$10</f>
        <v>1747135.3810000001</v>
      </c>
      <c r="J13" s="18"/>
      <c r="L13" s="37">
        <f>('TE BE'!$L$13+'TE BF'!$L$13+'TE CVA'!$L$13)*1</f>
        <v>2.8946200988770987</v>
      </c>
      <c r="M13" s="37">
        <f>('TE BE'!$M$13+'TE BF'!$M$13+'TE CVA'!$M$13)*1</f>
        <v>26.227847388511982</v>
      </c>
      <c r="N13" s="37">
        <f>('TE BE'!$N$13+'TE BF'!$N$13+'TE CVA'!$N$13)*1</f>
        <v>0</v>
      </c>
      <c r="O13" s="37">
        <f>('TE BE'!$O$13+'TE BF'!$O$13+'TE CVA'!$O$13)*1</f>
        <v>11.559133907941119</v>
      </c>
      <c r="P13" s="37">
        <f>('TE BE'!$Q$13+'TE BF'!$Q$13+'TE CVA'!$Q$13)*1</f>
        <v>252.35533097786856</v>
      </c>
      <c r="Q13" s="37">
        <f>('TE BE'!$S$13+'TE BF'!$S$13+'TE CVA'!$S$13)*1</f>
        <v>0</v>
      </c>
      <c r="R13" s="37">
        <f>('TE BE'!$T$13+'TE BF'!$T$13+'TE CVA'!$T$13)*1</f>
        <v>0</v>
      </c>
      <c r="S13" s="37">
        <f>('TE BE'!$U$13+'TE BF'!$U$13+'TE CVA'!$U$13)*1</f>
        <v>0</v>
      </c>
      <c r="T13" s="37">
        <f>('TE BE'!$W$13+'TE BF'!$W$13+'TE CVA'!$W$13)*1</f>
        <v>0</v>
      </c>
      <c r="U13" s="37">
        <f>('TE BE'!$Y$13+'TE BF'!$Y$13+'TE CVA'!$Y$13)*1</f>
        <v>4.1647313614385775</v>
      </c>
      <c r="W13" s="37">
        <v>2.4696507187780998</v>
      </c>
      <c r="X13" s="37">
        <v>8.0894187064985807</v>
      </c>
      <c r="Y13" s="37">
        <v>0</v>
      </c>
      <c r="Z13" s="37">
        <v>-5.6547048723443103</v>
      </c>
      <c r="AA13" s="37">
        <v>234.44272225255199</v>
      </c>
      <c r="AB13" s="37">
        <v>0</v>
      </c>
      <c r="AC13" s="37">
        <v>0</v>
      </c>
      <c r="AD13" s="37">
        <v>0</v>
      </c>
      <c r="AE13" s="37">
        <v>0</v>
      </c>
      <c r="AF13" s="37">
        <v>3.9558192990109</v>
      </c>
    </row>
    <row r="14" spans="1:32" ht="11.25" customHeight="1" x14ac:dyDescent="0.25">
      <c r="A14" s="135"/>
      <c r="B14" s="135"/>
      <c r="C14" s="135"/>
      <c r="D14" s="89" t="s">
        <v>31</v>
      </c>
      <c r="E14" s="89" t="s">
        <v>25</v>
      </c>
      <c r="F14" s="89" t="s">
        <v>25</v>
      </c>
      <c r="G14" s="39" t="s">
        <v>92</v>
      </c>
      <c r="H14" s="39" t="s">
        <v>86</v>
      </c>
      <c r="I14" s="39">
        <f>'MERCADO TE'!$U$11</f>
        <v>72661.888000000006</v>
      </c>
      <c r="J14" s="18"/>
      <c r="L14" s="37">
        <f>('TE BE'!$L$14+'TE BF'!$L$14+'TE CVA'!$L$14)*(1 - 0.65)</f>
        <v>1.0131170346069844</v>
      </c>
      <c r="M14" s="37">
        <f>('TE BE'!$M$14+'TE BF'!$M$14+'TE CVA'!$M$14)*(1 - 0.65)</f>
        <v>9.1797465859791938</v>
      </c>
      <c r="N14" s="37">
        <f>('TE BE'!$N$14+'TE BF'!$N$14+'TE CVA'!$N$14)*(1 - 0.65)</f>
        <v>0</v>
      </c>
      <c r="O14" s="37">
        <f>('TE BE'!$O$14+'TE BF'!$O$14+'TE CVA'!$O$14)*(1 - 0.65)</f>
        <v>4.045696867779391</v>
      </c>
      <c r="P14" s="37">
        <f>('TE BE'!$Q$14+'TE BF'!$Q$14+'TE CVA'!$Q$14)*(1 - 0.65)</f>
        <v>88.324365842253997</v>
      </c>
      <c r="Q14" s="37">
        <f>('TE BE'!$S$14+'TE BF'!$S$14+'TE CVA'!$S$14)*(1 - 0.65)</f>
        <v>0</v>
      </c>
      <c r="R14" s="37">
        <f>('TE BE'!$T$14+'TE BF'!$T$14+'TE CVA'!$T$14)*(1 - 0.65)</f>
        <v>0</v>
      </c>
      <c r="S14" s="37">
        <f>('TE BE'!$U$14+'TE BF'!$U$14+'TE CVA'!$U$14)*(1 - 0.65)</f>
        <v>0</v>
      </c>
      <c r="T14" s="37">
        <f>('TE BE'!$W$14+'TE BF'!$W$14+'TE CVA'!$W$14)*(1 - 0.65)</f>
        <v>0</v>
      </c>
      <c r="U14" s="37">
        <f>('TE BE'!$Y$14+'TE BF'!$Y$14+'TE CVA'!$Y$14)*(1 - 0.65)</f>
        <v>1.457655976503502</v>
      </c>
      <c r="W14" s="37">
        <v>0.86437775157233498</v>
      </c>
      <c r="X14" s="37">
        <v>2.8312965472745</v>
      </c>
      <c r="Y14" s="37">
        <v>0</v>
      </c>
      <c r="Z14" s="37">
        <v>-1.9791467053205101</v>
      </c>
      <c r="AA14" s="37">
        <v>82.054952788393294</v>
      </c>
      <c r="AB14" s="37">
        <v>0</v>
      </c>
      <c r="AC14" s="37">
        <v>0</v>
      </c>
      <c r="AD14" s="37">
        <v>0</v>
      </c>
      <c r="AE14" s="37">
        <v>0</v>
      </c>
      <c r="AF14" s="37">
        <v>1.3845367546538201</v>
      </c>
    </row>
    <row r="15" spans="1:32" ht="11.25" customHeight="1" x14ac:dyDescent="0.25">
      <c r="A15" s="135"/>
      <c r="B15" s="135"/>
      <c r="C15" s="135"/>
      <c r="D15" s="89" t="s">
        <v>32</v>
      </c>
      <c r="E15" s="89" t="s">
        <v>25</v>
      </c>
      <c r="F15" s="89" t="s">
        <v>25</v>
      </c>
      <c r="G15" s="39" t="s">
        <v>92</v>
      </c>
      <c r="H15" s="39" t="s">
        <v>86</v>
      </c>
      <c r="I15" s="39">
        <f>'MERCADO TE'!$U$12</f>
        <v>116587.09399999998</v>
      </c>
      <c r="J15" s="18"/>
      <c r="L15" s="37">
        <f>('TE BE'!$L$15+'TE BF'!$L$15+'TE CVA'!$L$15)*(1 - 0.4)</f>
        <v>1.7367720593262592</v>
      </c>
      <c r="M15" s="37">
        <f>('TE BE'!$M$15+'TE BF'!$M$15+'TE CVA'!$M$15)*(1 - 0.4)</f>
        <v>15.736708433107189</v>
      </c>
      <c r="N15" s="37">
        <f>('TE BE'!$N$15+'TE BF'!$N$15+'TE CVA'!$N$15)*(1 - 0.4)</f>
        <v>0</v>
      </c>
      <c r="O15" s="37">
        <f>('TE BE'!$O$15+'TE BF'!$O$15+'TE CVA'!$O$15)*(1 - 0.4)</f>
        <v>6.9354803447646711</v>
      </c>
      <c r="P15" s="37">
        <f>('TE BE'!$Q$15+'TE BF'!$Q$15+'TE CVA'!$Q$15)*(1 - 0.4)</f>
        <v>151.41319858672114</v>
      </c>
      <c r="Q15" s="37">
        <f>('TE BE'!$S$15+'TE BF'!$S$15+'TE CVA'!$S$15)*(1 - 0.4)</f>
        <v>0</v>
      </c>
      <c r="R15" s="37">
        <f>('TE BE'!$T$15+'TE BF'!$T$15+'TE CVA'!$T$15)*(1 - 0.4)</f>
        <v>0</v>
      </c>
      <c r="S15" s="37">
        <f>('TE BE'!$U$15+'TE BF'!$U$15+'TE CVA'!$U$15)*(1 - 0.4)</f>
        <v>0</v>
      </c>
      <c r="T15" s="37">
        <f>('TE BE'!$W$15+'TE BF'!$W$15+'TE CVA'!$W$15)*(1 - 0.4)</f>
        <v>0</v>
      </c>
      <c r="U15" s="37">
        <f>('TE BE'!$Y$15+'TE BF'!$Y$15+'TE CVA'!$Y$15)*(1 - 0.4)</f>
        <v>2.4988388168631466</v>
      </c>
      <c r="W15" s="37">
        <v>1.4817904312668599</v>
      </c>
      <c r="X15" s="37">
        <v>4.85365122389915</v>
      </c>
      <c r="Y15" s="37">
        <v>0</v>
      </c>
      <c r="Z15" s="37">
        <v>-3.3928229234065799</v>
      </c>
      <c r="AA15" s="37">
        <v>140.665633351531</v>
      </c>
      <c r="AB15" s="37">
        <v>0</v>
      </c>
      <c r="AC15" s="37">
        <v>0</v>
      </c>
      <c r="AD15" s="37">
        <v>0</v>
      </c>
      <c r="AE15" s="37">
        <v>0</v>
      </c>
      <c r="AF15" s="37">
        <v>2.3734915794065401</v>
      </c>
    </row>
    <row r="16" spans="1:32" ht="11.25" customHeight="1" x14ac:dyDescent="0.25">
      <c r="A16" s="135"/>
      <c r="B16" s="135"/>
      <c r="C16" s="135"/>
      <c r="D16" s="89" t="s">
        <v>33</v>
      </c>
      <c r="E16" s="89" t="s">
        <v>25</v>
      </c>
      <c r="F16" s="89" t="s">
        <v>25</v>
      </c>
      <c r="G16" s="39" t="s">
        <v>92</v>
      </c>
      <c r="H16" s="39" t="s">
        <v>86</v>
      </c>
      <c r="I16" s="39">
        <f>'MERCADO TE'!$U$13</f>
        <v>103208.47500000001</v>
      </c>
      <c r="J16" s="18"/>
      <c r="L16" s="37">
        <f>('TE BE'!$L$16+'TE BF'!$L$16+'TE CVA'!$L$16)*(1 - 0.1)</f>
        <v>2.6051580889893891</v>
      </c>
      <c r="M16" s="37">
        <f>('TE BE'!$M$16+'TE BF'!$M$16+'TE CVA'!$M$16)*(1 - 0.1)</f>
        <v>23.605062649660784</v>
      </c>
      <c r="N16" s="37">
        <f>('TE BE'!$N$16+'TE BF'!$N$16+'TE CVA'!$N$16)*(1 - 0.1)</f>
        <v>0</v>
      </c>
      <c r="O16" s="37">
        <f>('TE BE'!$O$16+'TE BF'!$O$16+'TE CVA'!$O$16)*(1 - 0.1)</f>
        <v>10.403220517147007</v>
      </c>
      <c r="P16" s="37">
        <f>('TE BE'!$Q$16+'TE BF'!$Q$16+'TE CVA'!$Q$16)*(1 - 0.1)</f>
        <v>227.11979788008171</v>
      </c>
      <c r="Q16" s="37">
        <f>('TE BE'!$S$16+'TE BF'!$S$16+'TE CVA'!$S$16)*(1 - 0.1)</f>
        <v>0</v>
      </c>
      <c r="R16" s="37">
        <f>('TE BE'!$T$16+'TE BF'!$T$16+'TE CVA'!$T$16)*(1 - 0.1)</f>
        <v>0</v>
      </c>
      <c r="S16" s="37">
        <f>('TE BE'!$U$16+'TE BF'!$U$16+'TE CVA'!$U$16)*(1 - 0.1)</f>
        <v>0</v>
      </c>
      <c r="T16" s="37">
        <f>('TE BE'!$W$16+'TE BF'!$W$16+'TE CVA'!$W$16)*(1 - 0.1)</f>
        <v>0</v>
      </c>
      <c r="U16" s="37">
        <f>('TE BE'!$Y$16+'TE BF'!$Y$16+'TE CVA'!$Y$16)*(1 - 0.1)</f>
        <v>3.7482582252947196</v>
      </c>
      <c r="W16" s="37">
        <v>2.22268564690029</v>
      </c>
      <c r="X16" s="37">
        <v>7.2804768358487202</v>
      </c>
      <c r="Y16" s="37">
        <v>0</v>
      </c>
      <c r="Z16" s="37">
        <v>-5.0892343851098802</v>
      </c>
      <c r="AA16" s="37">
        <v>210.998450027297</v>
      </c>
      <c r="AB16" s="37">
        <v>0</v>
      </c>
      <c r="AC16" s="37">
        <v>0</v>
      </c>
      <c r="AD16" s="37">
        <v>0</v>
      </c>
      <c r="AE16" s="37">
        <v>0</v>
      </c>
      <c r="AF16" s="37">
        <v>3.5602373691098101</v>
      </c>
    </row>
    <row r="17" spans="1:32" ht="11.25" customHeight="1" x14ac:dyDescent="0.25">
      <c r="A17" s="135"/>
      <c r="B17" s="135"/>
      <c r="C17" s="135"/>
      <c r="D17" s="89" t="s">
        <v>34</v>
      </c>
      <c r="E17" s="89" t="s">
        <v>25</v>
      </c>
      <c r="F17" s="89" t="s">
        <v>25</v>
      </c>
      <c r="G17" s="39" t="s">
        <v>92</v>
      </c>
      <c r="H17" s="39" t="s">
        <v>86</v>
      </c>
      <c r="I17" s="39">
        <f>'MERCADO TE'!$U$14</f>
        <v>77490.793999999994</v>
      </c>
      <c r="J17" s="18"/>
      <c r="L17" s="37">
        <f>('TE BE'!$L$17+'TE BF'!$L$17+'TE CVA'!$L$17)*1</f>
        <v>2.8946200988770987</v>
      </c>
      <c r="M17" s="37">
        <f>('TE BE'!$M$17+'TE BF'!$M$17+'TE CVA'!$M$17)*1</f>
        <v>26.227847388511982</v>
      </c>
      <c r="N17" s="37">
        <f>('TE BE'!$N$17+'TE BF'!$N$17+'TE CVA'!$N$17)*1</f>
        <v>0</v>
      </c>
      <c r="O17" s="37">
        <f>('TE BE'!$O$17+'TE BF'!$O$17+'TE CVA'!$O$17)*1</f>
        <v>11.559133907941119</v>
      </c>
      <c r="P17" s="37">
        <f>('TE BE'!$Q$17+'TE BF'!$Q$17+'TE CVA'!$Q$17)*1</f>
        <v>252.35533097786856</v>
      </c>
      <c r="Q17" s="37">
        <f>('TE BE'!$S$17+'TE BF'!$S$17+'TE CVA'!$S$17)*1</f>
        <v>0</v>
      </c>
      <c r="R17" s="37">
        <f>('TE BE'!$T$17+'TE BF'!$T$17+'TE CVA'!$T$17)*1</f>
        <v>0</v>
      </c>
      <c r="S17" s="37">
        <f>('TE BE'!$U$17+'TE BF'!$U$17+'TE CVA'!$U$17)*1</f>
        <v>0</v>
      </c>
      <c r="T17" s="37">
        <f>('TE BE'!$W$17+'TE BF'!$W$17+'TE CVA'!$W$17)*1</f>
        <v>0</v>
      </c>
      <c r="U17" s="37">
        <f>('TE BE'!$Y$17+'TE BF'!$Y$17+'TE CVA'!$Y$17)*1</f>
        <v>4.1647313614385775</v>
      </c>
      <c r="W17" s="37">
        <v>2.4696507187780998</v>
      </c>
      <c r="X17" s="37">
        <v>8.0894187064985807</v>
      </c>
      <c r="Y17" s="37">
        <v>0</v>
      </c>
      <c r="Z17" s="37">
        <v>-5.6547048723443103</v>
      </c>
      <c r="AA17" s="37">
        <v>234.44272225255199</v>
      </c>
      <c r="AB17" s="37">
        <v>0</v>
      </c>
      <c r="AC17" s="37">
        <v>0</v>
      </c>
      <c r="AD17" s="37">
        <v>0</v>
      </c>
      <c r="AE17" s="37">
        <v>0</v>
      </c>
      <c r="AF17" s="37">
        <v>3.9558192990109</v>
      </c>
    </row>
    <row r="18" spans="1:32" ht="11.25" customHeight="1" x14ac:dyDescent="0.25">
      <c r="A18" s="135"/>
      <c r="B18" s="135" t="s">
        <v>99</v>
      </c>
      <c r="C18" s="135" t="s">
        <v>24</v>
      </c>
      <c r="D18" s="89" t="s">
        <v>24</v>
      </c>
      <c r="E18" s="89" t="s">
        <v>25</v>
      </c>
      <c r="F18" s="89" t="s">
        <v>25</v>
      </c>
      <c r="G18" s="39" t="s">
        <v>92</v>
      </c>
      <c r="H18" s="39" t="s">
        <v>86</v>
      </c>
      <c r="I18" s="39">
        <f>'MERCADO TE'!$U$15</f>
        <v>0</v>
      </c>
      <c r="J18" s="18"/>
      <c r="L18" s="37">
        <f>('TE BE'!$L$18+'TE BF'!$L$18+'TE CVA'!$L$18)*1</f>
        <v>2.8946200988770987</v>
      </c>
      <c r="M18" s="37">
        <f>('TE BE'!$M$18+'TE BF'!$M$18+'TE CVA'!$M$18)*1</f>
        <v>26.227847388511982</v>
      </c>
      <c r="N18" s="37">
        <f>('TE BE'!$N$18+'TE BF'!$N$18+'TE CVA'!$N$18)*1</f>
        <v>0</v>
      </c>
      <c r="O18" s="37">
        <f>('TE BE'!$O$18+'TE BF'!$O$18+'TE CVA'!$O$18)*1</f>
        <v>11.559133907941119</v>
      </c>
      <c r="P18" s="37">
        <f>('TE BE'!$Q$18+'TE BF'!$Q$18+'TE CVA'!$Q$18)*1</f>
        <v>252.35533097786856</v>
      </c>
      <c r="Q18" s="37">
        <f>('TE BE'!$S$18+'TE BF'!$S$18+'TE CVA'!$S$18)*1</f>
        <v>0</v>
      </c>
      <c r="R18" s="37">
        <f>('TE BE'!$T$18+'TE BF'!$T$18+'TE CVA'!$T$18)*1</f>
        <v>0</v>
      </c>
      <c r="S18" s="37">
        <f>('TE BE'!$U$18+'TE BF'!$U$18+'TE CVA'!$U$18)*1</f>
        <v>0</v>
      </c>
      <c r="T18" s="37">
        <f>('TE BE'!$W$18+'TE BF'!$W$18+'TE CVA'!$W$18)*1</f>
        <v>0</v>
      </c>
      <c r="U18" s="37">
        <f>('TE BE'!$Y$18+'TE BF'!$Y$18+'TE CVA'!$Y$18)*1</f>
        <v>4.1647313614385775</v>
      </c>
      <c r="W18" s="37">
        <v>2.4696507187780998</v>
      </c>
      <c r="X18" s="37">
        <v>8.0894187064985807</v>
      </c>
      <c r="Y18" s="37">
        <v>0</v>
      </c>
      <c r="Z18" s="37">
        <v>-5.6547048723443103</v>
      </c>
      <c r="AA18" s="37">
        <v>234.44272225255199</v>
      </c>
      <c r="AB18" s="37">
        <v>0</v>
      </c>
      <c r="AC18" s="37">
        <v>0</v>
      </c>
      <c r="AD18" s="37">
        <v>0</v>
      </c>
      <c r="AE18" s="37">
        <v>0</v>
      </c>
      <c r="AF18" s="37">
        <v>3.9558192990109</v>
      </c>
    </row>
    <row r="19" spans="1:32" ht="11.25" customHeight="1" x14ac:dyDescent="0.25">
      <c r="A19" s="135"/>
      <c r="B19" s="135"/>
      <c r="C19" s="135"/>
      <c r="D19" s="89" t="s">
        <v>31</v>
      </c>
      <c r="E19" s="89" t="s">
        <v>25</v>
      </c>
      <c r="F19" s="89" t="s">
        <v>25</v>
      </c>
      <c r="G19" s="39" t="s">
        <v>92</v>
      </c>
      <c r="H19" s="39" t="s">
        <v>86</v>
      </c>
      <c r="I19" s="39">
        <f>'MERCADO TE'!$U$16</f>
        <v>0</v>
      </c>
      <c r="J19" s="18"/>
      <c r="L19" s="37">
        <f>('TE BE'!$L$19+'TE BF'!$L$19+'TE CVA'!$L$19)*(1 - 0.65)</f>
        <v>1.0131170346069844</v>
      </c>
      <c r="M19" s="37">
        <f>('TE BE'!$M$19+'TE BF'!$M$19+'TE CVA'!$M$19)*(1 - 0.65)</f>
        <v>9.1797465859791938</v>
      </c>
      <c r="N19" s="37">
        <f>('TE BE'!$N$19+'TE BF'!$N$19+'TE CVA'!$N$19)*(1 - 0.65)</f>
        <v>0</v>
      </c>
      <c r="O19" s="37">
        <f>('TE BE'!$O$19+'TE BF'!$O$19+'TE CVA'!$O$19)*(1 - 0.65)</f>
        <v>4.045696867779391</v>
      </c>
      <c r="P19" s="37">
        <f>('TE BE'!$Q$19+'TE BF'!$Q$19+'TE CVA'!$Q$19)*(1 - 0.65)</f>
        <v>88.324365842253997</v>
      </c>
      <c r="Q19" s="37">
        <f>('TE BE'!$S$19+'TE BF'!$S$19+'TE CVA'!$S$19)*(1 - 0.65)</f>
        <v>0</v>
      </c>
      <c r="R19" s="37">
        <f>('TE BE'!$T$19+'TE BF'!$T$19+'TE CVA'!$T$19)*(1 - 0.65)</f>
        <v>0</v>
      </c>
      <c r="S19" s="37">
        <f>('TE BE'!$U$19+'TE BF'!$U$19+'TE CVA'!$U$19)*(1 - 0.65)</f>
        <v>0</v>
      </c>
      <c r="T19" s="37">
        <f>('TE BE'!$W$19+'TE BF'!$W$19+'TE CVA'!$W$19)*(1 - 0.65)</f>
        <v>0</v>
      </c>
      <c r="U19" s="37">
        <f>('TE BE'!$Y$19+'TE BF'!$Y$19+'TE CVA'!$Y$19)*(1 - 0.65)</f>
        <v>1.457655976503502</v>
      </c>
      <c r="W19" s="37">
        <v>0.86437775157233498</v>
      </c>
      <c r="X19" s="37">
        <v>2.8312965472745</v>
      </c>
      <c r="Y19" s="37">
        <v>0</v>
      </c>
      <c r="Z19" s="37">
        <v>-1.9791467053205101</v>
      </c>
      <c r="AA19" s="37">
        <v>82.054952788393294</v>
      </c>
      <c r="AB19" s="37">
        <v>0</v>
      </c>
      <c r="AC19" s="37">
        <v>0</v>
      </c>
      <c r="AD19" s="37">
        <v>0</v>
      </c>
      <c r="AE19" s="37">
        <v>0</v>
      </c>
      <c r="AF19" s="37">
        <v>1.3845367546538201</v>
      </c>
    </row>
    <row r="20" spans="1:32" ht="11.25" customHeight="1" x14ac:dyDescent="0.25">
      <c r="A20" s="135"/>
      <c r="B20" s="135"/>
      <c r="C20" s="135"/>
      <c r="D20" s="89" t="s">
        <v>32</v>
      </c>
      <c r="E20" s="89" t="s">
        <v>25</v>
      </c>
      <c r="F20" s="89" t="s">
        <v>25</v>
      </c>
      <c r="G20" s="39" t="s">
        <v>92</v>
      </c>
      <c r="H20" s="39" t="s">
        <v>86</v>
      </c>
      <c r="I20" s="39">
        <f>'MERCADO TE'!$U$17</f>
        <v>0</v>
      </c>
      <c r="J20" s="18"/>
      <c r="L20" s="37">
        <f>('TE BE'!$L$20+'TE BF'!$L$20+'TE CVA'!$L$20)*(1 - 0.4)</f>
        <v>1.7367720593262592</v>
      </c>
      <c r="M20" s="37">
        <f>('TE BE'!$M$20+'TE BF'!$M$20+'TE CVA'!$M$20)*(1 - 0.4)</f>
        <v>15.736708433107189</v>
      </c>
      <c r="N20" s="37">
        <f>('TE BE'!$N$20+'TE BF'!$N$20+'TE CVA'!$N$20)*(1 - 0.4)</f>
        <v>0</v>
      </c>
      <c r="O20" s="37">
        <f>('TE BE'!$O$20+'TE BF'!$O$20+'TE CVA'!$O$20)*(1 - 0.4)</f>
        <v>6.9354803447646711</v>
      </c>
      <c r="P20" s="37">
        <f>('TE BE'!$Q$20+'TE BF'!$Q$20+'TE CVA'!$Q$20)*(1 - 0.4)</f>
        <v>151.41319858672114</v>
      </c>
      <c r="Q20" s="37">
        <f>('TE BE'!$S$20+'TE BF'!$S$20+'TE CVA'!$S$20)*(1 - 0.4)</f>
        <v>0</v>
      </c>
      <c r="R20" s="37">
        <f>('TE BE'!$T$20+'TE BF'!$T$20+'TE CVA'!$T$20)*(1 - 0.4)</f>
        <v>0</v>
      </c>
      <c r="S20" s="37">
        <f>('TE BE'!$U$20+'TE BF'!$U$20+'TE CVA'!$U$20)*(1 - 0.4)</f>
        <v>0</v>
      </c>
      <c r="T20" s="37">
        <f>('TE BE'!$W$20+'TE BF'!$W$20+'TE CVA'!$W$20)*(1 - 0.4)</f>
        <v>0</v>
      </c>
      <c r="U20" s="37">
        <f>('TE BE'!$Y$20+'TE BF'!$Y$20+'TE CVA'!$Y$20)*(1 - 0.4)</f>
        <v>2.4988388168631466</v>
      </c>
      <c r="W20" s="37">
        <v>1.4817904312668599</v>
      </c>
      <c r="X20" s="37">
        <v>4.85365122389915</v>
      </c>
      <c r="Y20" s="37">
        <v>0</v>
      </c>
      <c r="Z20" s="37">
        <v>-3.3928229234065799</v>
      </c>
      <c r="AA20" s="37">
        <v>140.665633351531</v>
      </c>
      <c r="AB20" s="37">
        <v>0</v>
      </c>
      <c r="AC20" s="37">
        <v>0</v>
      </c>
      <c r="AD20" s="37">
        <v>0</v>
      </c>
      <c r="AE20" s="37">
        <v>0</v>
      </c>
      <c r="AF20" s="37">
        <v>2.3734915794065401</v>
      </c>
    </row>
    <row r="21" spans="1:32" ht="11.25" customHeight="1" x14ac:dyDescent="0.25">
      <c r="A21" s="135"/>
      <c r="B21" s="135"/>
      <c r="C21" s="135"/>
      <c r="D21" s="89" t="s">
        <v>33</v>
      </c>
      <c r="E21" s="89" t="s">
        <v>25</v>
      </c>
      <c r="F21" s="89" t="s">
        <v>25</v>
      </c>
      <c r="G21" s="39" t="s">
        <v>92</v>
      </c>
      <c r="H21" s="39" t="s">
        <v>86</v>
      </c>
      <c r="I21" s="39">
        <f>'MERCADO TE'!$U$18</f>
        <v>0</v>
      </c>
      <c r="J21" s="18"/>
      <c r="L21" s="37">
        <f>('TE BE'!$L$21+'TE BF'!$L$21+'TE CVA'!$L$21)*(1 - 0.1)</f>
        <v>2.6051580889893891</v>
      </c>
      <c r="M21" s="37">
        <f>('TE BE'!$M$21+'TE BF'!$M$21+'TE CVA'!$M$21)*(1 - 0.1)</f>
        <v>23.605062649660784</v>
      </c>
      <c r="N21" s="37">
        <f>('TE BE'!$N$21+'TE BF'!$N$21+'TE CVA'!$N$21)*(1 - 0.1)</f>
        <v>0</v>
      </c>
      <c r="O21" s="37">
        <f>('TE BE'!$O$21+'TE BF'!$O$21+'TE CVA'!$O$21)*(1 - 0.1)</f>
        <v>10.403220517147007</v>
      </c>
      <c r="P21" s="37">
        <f>('TE BE'!$Q$21+'TE BF'!$Q$21+'TE CVA'!$Q$21)*(1 - 0.1)</f>
        <v>227.11979788008171</v>
      </c>
      <c r="Q21" s="37">
        <f>('TE BE'!$S$21+'TE BF'!$S$21+'TE CVA'!$S$21)*(1 - 0.1)</f>
        <v>0</v>
      </c>
      <c r="R21" s="37">
        <f>('TE BE'!$T$21+'TE BF'!$T$21+'TE CVA'!$T$21)*(1 - 0.1)</f>
        <v>0</v>
      </c>
      <c r="S21" s="37">
        <f>('TE BE'!$U$21+'TE BF'!$U$21+'TE CVA'!$U$21)*(1 - 0.1)</f>
        <v>0</v>
      </c>
      <c r="T21" s="37">
        <f>('TE BE'!$W$21+'TE BF'!$W$21+'TE CVA'!$W$21)*(1 - 0.1)</f>
        <v>0</v>
      </c>
      <c r="U21" s="37">
        <f>('TE BE'!$Y$21+'TE BF'!$Y$21+'TE CVA'!$Y$21)*(1 - 0.1)</f>
        <v>3.7482582252947196</v>
      </c>
      <c r="W21" s="37">
        <v>2.22268564690029</v>
      </c>
      <c r="X21" s="37">
        <v>7.2804768358487202</v>
      </c>
      <c r="Y21" s="37">
        <v>0</v>
      </c>
      <c r="Z21" s="37">
        <v>-5.0892343851098802</v>
      </c>
      <c r="AA21" s="37">
        <v>210.998450027297</v>
      </c>
      <c r="AB21" s="37">
        <v>0</v>
      </c>
      <c r="AC21" s="37">
        <v>0</v>
      </c>
      <c r="AD21" s="37">
        <v>0</v>
      </c>
      <c r="AE21" s="37">
        <v>0</v>
      </c>
      <c r="AF21" s="37">
        <v>3.5602373691098101</v>
      </c>
    </row>
    <row r="22" spans="1:32" ht="11.25" customHeight="1" x14ac:dyDescent="0.25">
      <c r="A22" s="135"/>
      <c r="B22" s="135"/>
      <c r="C22" s="135"/>
      <c r="D22" s="89" t="s">
        <v>34</v>
      </c>
      <c r="E22" s="89" t="s">
        <v>25</v>
      </c>
      <c r="F22" s="89" t="s">
        <v>25</v>
      </c>
      <c r="G22" s="39" t="s">
        <v>92</v>
      </c>
      <c r="H22" s="39" t="s">
        <v>86</v>
      </c>
      <c r="I22" s="39">
        <f>'MERCADO TE'!$U$19</f>
        <v>0</v>
      </c>
      <c r="J22" s="18"/>
      <c r="L22" s="37">
        <f>('TE BE'!$L$22+'TE BF'!$L$22+'TE CVA'!$L$22)*1</f>
        <v>2.8946200988770987</v>
      </c>
      <c r="M22" s="37">
        <f>('TE BE'!$M$22+'TE BF'!$M$22+'TE CVA'!$M$22)*1</f>
        <v>26.227847388511982</v>
      </c>
      <c r="N22" s="37">
        <f>('TE BE'!$N$22+'TE BF'!$N$22+'TE CVA'!$N$22)*1</f>
        <v>0</v>
      </c>
      <c r="O22" s="37">
        <f>('TE BE'!$O$22+'TE BF'!$O$22+'TE CVA'!$O$22)*1</f>
        <v>11.559133907941119</v>
      </c>
      <c r="P22" s="37">
        <f>('TE BE'!$Q$22+'TE BF'!$Q$22+'TE CVA'!$Q$22)*1</f>
        <v>252.35533097786856</v>
      </c>
      <c r="Q22" s="37">
        <f>('TE BE'!$S$22+'TE BF'!$S$22+'TE CVA'!$S$22)*1</f>
        <v>0</v>
      </c>
      <c r="R22" s="37">
        <f>('TE BE'!$T$22+'TE BF'!$T$22+'TE CVA'!$T$22)*1</f>
        <v>0</v>
      </c>
      <c r="S22" s="37">
        <f>('TE BE'!$U$22+'TE BF'!$U$22+'TE CVA'!$U$22)*1</f>
        <v>0</v>
      </c>
      <c r="T22" s="37">
        <f>('TE BE'!$W$22+'TE BF'!$W$22+'TE CVA'!$W$22)*1</f>
        <v>0</v>
      </c>
      <c r="U22" s="37">
        <f>('TE BE'!$Y$22+'TE BF'!$Y$22+'TE CVA'!$Y$22)*1</f>
        <v>4.1647313614385775</v>
      </c>
      <c r="W22" s="37">
        <v>2.4696507187780998</v>
      </c>
      <c r="X22" s="37">
        <v>8.0894187064985807</v>
      </c>
      <c r="Y22" s="37">
        <v>0</v>
      </c>
      <c r="Z22" s="37">
        <v>-5.6547048723443103</v>
      </c>
      <c r="AA22" s="37">
        <v>234.44272225255199</v>
      </c>
      <c r="AB22" s="37">
        <v>0</v>
      </c>
      <c r="AC22" s="37">
        <v>0</v>
      </c>
      <c r="AD22" s="37">
        <v>0</v>
      </c>
      <c r="AE22" s="37">
        <v>0</v>
      </c>
      <c r="AF22" s="37">
        <v>3.9558192990109</v>
      </c>
    </row>
    <row r="23" spans="1:32" ht="11.25" customHeight="1" x14ac:dyDescent="0.25">
      <c r="A23" s="135" t="s">
        <v>46</v>
      </c>
      <c r="B23" s="135" t="s">
        <v>85</v>
      </c>
      <c r="C23" s="135" t="s">
        <v>47</v>
      </c>
      <c r="D23" s="135" t="s">
        <v>25</v>
      </c>
      <c r="E23" s="135" t="s">
        <v>25</v>
      </c>
      <c r="F23" s="135" t="s">
        <v>25</v>
      </c>
      <c r="G23" s="39" t="s">
        <v>87</v>
      </c>
      <c r="H23" s="39" t="s">
        <v>86</v>
      </c>
      <c r="I23" s="39">
        <f>'MERCADO TE'!$U$20</f>
        <v>0</v>
      </c>
      <c r="J23" s="18"/>
      <c r="L23" s="37">
        <f>('TE BE'!$L$23+'TE BF'!$L$23+'TE CVA'!$L$23)*(1 - CUSTOS!$M$38)</f>
        <v>2.5472656870118469</v>
      </c>
      <c r="M23" s="37">
        <f>('TE BE'!$M$23+'TE BF'!$M$23+'TE CVA'!$M$23)*(1 - CUSTOS!$M$38)</f>
        <v>23.080505701890544</v>
      </c>
      <c r="N23" s="37">
        <f>('TE BE'!$N$23+'TE BF'!$N$23+'TE CVA'!$N$23)*(1 - CUSTOS!$M$38)</f>
        <v>0</v>
      </c>
      <c r="O23" s="37">
        <f>('TE BE'!$O$23+'TE BF'!$O$23+'TE CVA'!$O$23)*(1 - CUSTOS!$M$38)</f>
        <v>10.172037838988185</v>
      </c>
      <c r="P23" s="37">
        <f>('TE BE'!$Q$23+'TE BF'!$Q$23+'TE CVA'!$Q$23)*(1 - CUSTOS!$M$38)</f>
        <v>360.34436695103949</v>
      </c>
      <c r="Q23" s="37">
        <f>('TE BE'!$S$23+'TE BF'!$S$23+'TE CVA'!$S$23)*(1 - CUSTOS!$M$38)</f>
        <v>0</v>
      </c>
      <c r="R23" s="37">
        <f>('TE BE'!$T$23+'TE BF'!$T$23+'TE CVA'!$T$23)*(1 - CUSTOS!$M$38)</f>
        <v>0</v>
      </c>
      <c r="S23" s="37">
        <f>('TE BE'!$U$23+'TE BF'!$U$23+'TE CVA'!$U$23)*(1 - CUSTOS!$M$38)</f>
        <v>0</v>
      </c>
      <c r="T23" s="37">
        <f>('TE BE'!$W$23+'TE BF'!$W$23+'TE CVA'!$W$23)*(1 - CUSTOS!$M$38)</f>
        <v>0</v>
      </c>
      <c r="U23" s="37">
        <f>('TE BE'!$Y$23+'TE BF'!$Y$23+'TE CVA'!$Y$23)*(1 - CUSTOS!$M$38)</f>
        <v>3.6649635980659481</v>
      </c>
      <c r="W23" s="37">
        <v>2.0251135893980399</v>
      </c>
      <c r="X23" s="37">
        <v>6.6333233393288404</v>
      </c>
      <c r="Y23" s="37">
        <v>0</v>
      </c>
      <c r="Z23" s="37">
        <v>-4.6368579953223303</v>
      </c>
      <c r="AA23" s="37">
        <v>311.94152402358498</v>
      </c>
      <c r="AB23" s="37">
        <v>0</v>
      </c>
      <c r="AC23" s="37">
        <v>0</v>
      </c>
      <c r="AD23" s="37">
        <v>0</v>
      </c>
      <c r="AE23" s="37">
        <v>0</v>
      </c>
      <c r="AF23" s="37">
        <v>3.24377182518894</v>
      </c>
    </row>
    <row r="24" spans="1:32" ht="11.25" customHeight="1" x14ac:dyDescent="0.25">
      <c r="A24" s="135"/>
      <c r="B24" s="135"/>
      <c r="C24" s="135"/>
      <c r="D24" s="135"/>
      <c r="E24" s="135"/>
      <c r="F24" s="135"/>
      <c r="G24" s="39" t="s">
        <v>98</v>
      </c>
      <c r="H24" s="39" t="s">
        <v>86</v>
      </c>
      <c r="I24" s="39">
        <f>'MERCADO TE'!$U$21</f>
        <v>5.0000000000000001E-3</v>
      </c>
      <c r="J24" s="18"/>
      <c r="L24" s="37">
        <f>('TE BE'!$L$24+'TE BF'!$L$24+'TE CVA'!$L$24)*(1 - CUSTOS!$M$38)</f>
        <v>2.5472656870118469</v>
      </c>
      <c r="M24" s="37">
        <f>('TE BE'!$M$24+'TE BF'!$M$24+'TE CVA'!$M$24)*(1 - CUSTOS!$M$38)</f>
        <v>23.080505701890544</v>
      </c>
      <c r="N24" s="37">
        <f>('TE BE'!$N$24+'TE BF'!$N$24+'TE CVA'!$N$24)*(1 - CUSTOS!$M$38)</f>
        <v>0</v>
      </c>
      <c r="O24" s="37">
        <f>('TE BE'!$O$24+'TE BF'!$O$24+'TE CVA'!$O$24)*(1 - CUSTOS!$M$38)</f>
        <v>10.172037838988185</v>
      </c>
      <c r="P24" s="37">
        <f>('TE BE'!$Q$24+'TE BF'!$Q$24+'TE CVA'!$Q$24)*(1 - CUSTOS!$M$38)</f>
        <v>209.50253892502295</v>
      </c>
      <c r="Q24" s="37">
        <f>('TE BE'!$S$24+'TE BF'!$S$24+'TE CVA'!$S$24)*(1 - CUSTOS!$M$38)</f>
        <v>0</v>
      </c>
      <c r="R24" s="37">
        <f>('TE BE'!$T$24+'TE BF'!$T$24+'TE CVA'!$T$24)*(1 - CUSTOS!$M$38)</f>
        <v>0</v>
      </c>
      <c r="S24" s="37">
        <f>('TE BE'!$U$24+'TE BF'!$U$24+'TE CVA'!$U$24)*(1 - CUSTOS!$M$38)</f>
        <v>0</v>
      </c>
      <c r="T24" s="37">
        <f>('TE BE'!$W$24+'TE BF'!$W$24+'TE CVA'!$W$24)*(1 - CUSTOS!$M$38)</f>
        <v>0</v>
      </c>
      <c r="U24" s="37">
        <f>('TE BE'!$Y$24+'TE BF'!$Y$24+'TE CVA'!$Y$24)*(1 - CUSTOS!$M$38)</f>
        <v>3.6649635980659481</v>
      </c>
      <c r="W24" s="37">
        <v>2.0251135893980399</v>
      </c>
      <c r="X24" s="37">
        <v>6.6333233393288404</v>
      </c>
      <c r="Y24" s="37">
        <v>0</v>
      </c>
      <c r="Z24" s="37">
        <v>-4.6368579953223303</v>
      </c>
      <c r="AA24" s="37">
        <v>181.36135117650301</v>
      </c>
      <c r="AB24" s="37">
        <v>0</v>
      </c>
      <c r="AC24" s="37">
        <v>0</v>
      </c>
      <c r="AD24" s="37">
        <v>0</v>
      </c>
      <c r="AE24" s="37">
        <v>0</v>
      </c>
      <c r="AF24" s="37">
        <v>3.24377182518894</v>
      </c>
    </row>
    <row r="25" spans="1:32" ht="11.25" customHeight="1" x14ac:dyDescent="0.25">
      <c r="A25" s="135"/>
      <c r="B25" s="135"/>
      <c r="C25" s="135"/>
      <c r="D25" s="135"/>
      <c r="E25" s="135"/>
      <c r="F25" s="135"/>
      <c r="G25" s="39" t="s">
        <v>88</v>
      </c>
      <c r="H25" s="39" t="s">
        <v>86</v>
      </c>
      <c r="I25" s="39">
        <f>'MERCADO TE'!$U$22</f>
        <v>0.54600000000000004</v>
      </c>
      <c r="J25" s="18"/>
      <c r="L25" s="37">
        <f>('TE BE'!$L$25+'TE BF'!$L$25+'TE CVA'!$L$25)*(1 - CUSTOS!$M$38)</f>
        <v>2.5472656870118469</v>
      </c>
      <c r="M25" s="37">
        <f>('TE BE'!$M$25+'TE BF'!$M$25+'TE CVA'!$M$25)*(1 - CUSTOS!$M$38)</f>
        <v>23.080505701890544</v>
      </c>
      <c r="N25" s="37">
        <f>('TE BE'!$N$25+'TE BF'!$N$25+'TE CVA'!$N$25)*(1 - CUSTOS!$M$38)</f>
        <v>0</v>
      </c>
      <c r="O25" s="37">
        <f>('TE BE'!$O$25+'TE BF'!$O$25+'TE CVA'!$O$25)*(1 - CUSTOS!$M$38)</f>
        <v>10.172037838988185</v>
      </c>
      <c r="P25" s="37">
        <f>('TE BE'!$Q$25+'TE BF'!$Q$25+'TE CVA'!$Q$25)*(1 - CUSTOS!$M$38)</f>
        <v>209.50253892502295</v>
      </c>
      <c r="Q25" s="37">
        <f>('TE BE'!$S$25+'TE BF'!$S$25+'TE CVA'!$S$25)*(1 - CUSTOS!$M$38)</f>
        <v>0</v>
      </c>
      <c r="R25" s="37">
        <f>('TE BE'!$T$25+'TE BF'!$T$25+'TE CVA'!$T$25)*(1 - CUSTOS!$M$38)</f>
        <v>0</v>
      </c>
      <c r="S25" s="37">
        <f>('TE BE'!$U$25+'TE BF'!$U$25+'TE CVA'!$U$25)*(1 - CUSTOS!$M$38)</f>
        <v>0</v>
      </c>
      <c r="T25" s="37">
        <f>('TE BE'!$W$25+'TE BF'!$W$25+'TE CVA'!$W$25)*(1 - CUSTOS!$M$38)</f>
        <v>0</v>
      </c>
      <c r="U25" s="37">
        <f>('TE BE'!$Y$25+'TE BF'!$Y$25+'TE CVA'!$Y$25)*(1 - CUSTOS!$M$38)</f>
        <v>3.6649635980659481</v>
      </c>
      <c r="W25" s="37">
        <v>2.0251135893980399</v>
      </c>
      <c r="X25" s="37">
        <v>6.6333233393288404</v>
      </c>
      <c r="Y25" s="37">
        <v>0</v>
      </c>
      <c r="Z25" s="37">
        <v>-4.6368579953223303</v>
      </c>
      <c r="AA25" s="37">
        <v>181.36135117650301</v>
      </c>
      <c r="AB25" s="37">
        <v>0</v>
      </c>
      <c r="AC25" s="37">
        <v>0</v>
      </c>
      <c r="AD25" s="37">
        <v>0</v>
      </c>
      <c r="AE25" s="37">
        <v>0</v>
      </c>
      <c r="AF25" s="37">
        <v>3.24377182518894</v>
      </c>
    </row>
    <row r="26" spans="1:32" ht="11.25" customHeight="1" x14ac:dyDescent="0.25">
      <c r="A26" s="135"/>
      <c r="B26" s="89" t="s">
        <v>94</v>
      </c>
      <c r="C26" s="89" t="s">
        <v>47</v>
      </c>
      <c r="D26" s="89" t="s">
        <v>25</v>
      </c>
      <c r="E26" s="89" t="s">
        <v>25</v>
      </c>
      <c r="F26" s="89" t="s">
        <v>25</v>
      </c>
      <c r="G26" s="39" t="s">
        <v>92</v>
      </c>
      <c r="H26" s="39" t="s">
        <v>86</v>
      </c>
      <c r="I26" s="39">
        <f>'MERCADO TE'!$U$23</f>
        <v>64418.971000000005</v>
      </c>
      <c r="J26" s="18"/>
      <c r="L26" s="37">
        <f>('TE BE'!$L$26+'TE BF'!$L$26+'TE CVA'!$L$26)*(1 - CUSTOS!$M$38)</f>
        <v>2.5472656870118469</v>
      </c>
      <c r="M26" s="37">
        <f>('TE BE'!$M$26+'TE BF'!$M$26+'TE CVA'!$M$26)*(1 - CUSTOS!$M$38)</f>
        <v>23.080505701890544</v>
      </c>
      <c r="N26" s="37">
        <f>('TE BE'!$N$26+'TE BF'!$N$26+'TE CVA'!$N$26)*(1 - CUSTOS!$M$38)</f>
        <v>0</v>
      </c>
      <c r="O26" s="37">
        <f>('TE BE'!$O$26+'TE BF'!$O$26+'TE CVA'!$O$26)*(1 - CUSTOS!$M$38)</f>
        <v>10.172037838988185</v>
      </c>
      <c r="P26" s="37">
        <f>('TE BE'!$Q$26+'TE BF'!$Q$26+'TE CVA'!$Q$26)*(1 - CUSTOS!$M$38)</f>
        <v>222.07269126052432</v>
      </c>
      <c r="Q26" s="37">
        <f>('TE BE'!$S$26+'TE BF'!$S$26+'TE CVA'!$S$26)*(1 - CUSTOS!$M$38)</f>
        <v>0</v>
      </c>
      <c r="R26" s="37">
        <f>('TE BE'!$T$26+'TE BF'!$T$26+'TE CVA'!$T$26)*(1 - CUSTOS!$M$38)</f>
        <v>0</v>
      </c>
      <c r="S26" s="37">
        <f>('TE BE'!$U$26+'TE BF'!$U$26+'TE CVA'!$U$26)*(1 - CUSTOS!$M$38)</f>
        <v>0</v>
      </c>
      <c r="T26" s="37">
        <f>('TE BE'!$W$26+'TE BF'!$W$26+'TE CVA'!$W$26)*(1 - CUSTOS!$M$38)</f>
        <v>0</v>
      </c>
      <c r="U26" s="37">
        <f>('TE BE'!$Y$26+'TE BF'!$Y$26+'TE CVA'!$Y$26)*(1 - CUSTOS!$M$38)</f>
        <v>3.6649635980659481</v>
      </c>
      <c r="W26" s="37">
        <v>2.0251135893980399</v>
      </c>
      <c r="X26" s="37">
        <v>6.6333233393288404</v>
      </c>
      <c r="Y26" s="37">
        <v>0</v>
      </c>
      <c r="Z26" s="37">
        <v>-4.6368579953223303</v>
      </c>
      <c r="AA26" s="37">
        <v>192.243032247093</v>
      </c>
      <c r="AB26" s="37">
        <v>0</v>
      </c>
      <c r="AC26" s="37">
        <v>0</v>
      </c>
      <c r="AD26" s="37">
        <v>0</v>
      </c>
      <c r="AE26" s="37">
        <v>0</v>
      </c>
      <c r="AF26" s="37">
        <v>3.24377182518894</v>
      </c>
    </row>
    <row r="27" spans="1:32" ht="11.25" customHeight="1" x14ac:dyDescent="0.25">
      <c r="A27" s="135"/>
      <c r="B27" s="135" t="s">
        <v>85</v>
      </c>
      <c r="C27" s="135" t="s">
        <v>47</v>
      </c>
      <c r="D27" s="135" t="s">
        <v>101</v>
      </c>
      <c r="E27" s="135" t="s">
        <v>25</v>
      </c>
      <c r="F27" s="135" t="s">
        <v>25</v>
      </c>
      <c r="G27" s="39" t="s">
        <v>87</v>
      </c>
      <c r="H27" s="39" t="s">
        <v>86</v>
      </c>
      <c r="I27" s="39">
        <f>'MERCADO TE'!$U$24</f>
        <v>0</v>
      </c>
      <c r="J27" s="18"/>
      <c r="L27" s="37">
        <f>('TE BE'!$L$27+'TE BF'!$L$27+'TE CVA'!$L$27)*(1 - CUSTOS!$M$39)</f>
        <v>2.5472656870118469</v>
      </c>
      <c r="M27" s="37">
        <f>('TE BE'!$M$27+'TE BF'!$M$27+'TE CVA'!$M$27)*(1 - CUSTOS!$M$39)</f>
        <v>23.080505701890544</v>
      </c>
      <c r="N27" s="37">
        <f>('TE BE'!$N$27+'TE BF'!$N$27+'TE CVA'!$N$27)*(1 - CUSTOS!$M$39)</f>
        <v>0</v>
      </c>
      <c r="O27" s="37">
        <f>('TE BE'!$O$27+'TE BF'!$O$27+'TE CVA'!$O$27)*(1 - CUSTOS!$M$39)</f>
        <v>10.172037838988185</v>
      </c>
      <c r="P27" s="37">
        <f>('TE BE'!$Q$27+'TE BF'!$Q$27+'TE CVA'!$Q$27)*(1 - CUSTOS!$M$39)</f>
        <v>360.34436695103949</v>
      </c>
      <c r="Q27" s="37">
        <f>('TE BE'!$S$27+'TE BF'!$S$27+'TE CVA'!$S$27)*(1 - CUSTOS!$M$39)</f>
        <v>0</v>
      </c>
      <c r="R27" s="37">
        <f>('TE BE'!$T$27+'TE BF'!$T$27+'TE CVA'!$T$27)*(1 - CUSTOS!$M$39)</f>
        <v>0</v>
      </c>
      <c r="S27" s="37">
        <f>('TE BE'!$U$27+'TE BF'!$U$27+'TE CVA'!$U$27)*(1 - CUSTOS!$M$39)</f>
        <v>0</v>
      </c>
      <c r="T27" s="37">
        <f>('TE BE'!$W$27+'TE BF'!$W$27+'TE CVA'!$W$27)*(1 - CUSTOS!$M$39)</f>
        <v>0</v>
      </c>
      <c r="U27" s="37">
        <f>('TE BE'!$Y$27+'TE BF'!$Y$27+'TE CVA'!$Y$27)*(1 - CUSTOS!$M$39)</f>
        <v>3.6649635980659481</v>
      </c>
      <c r="W27" s="37">
        <v>2.0251135893980399</v>
      </c>
      <c r="X27" s="37">
        <v>6.6333233393288404</v>
      </c>
      <c r="Y27" s="37">
        <v>0</v>
      </c>
      <c r="Z27" s="37">
        <v>-4.6368579953223303</v>
      </c>
      <c r="AA27" s="37">
        <v>311.94152402358498</v>
      </c>
      <c r="AB27" s="37">
        <v>0</v>
      </c>
      <c r="AC27" s="37">
        <v>0</v>
      </c>
      <c r="AD27" s="37">
        <v>0</v>
      </c>
      <c r="AE27" s="37">
        <v>0</v>
      </c>
      <c r="AF27" s="37">
        <v>3.24377182518894</v>
      </c>
    </row>
    <row r="28" spans="1:32" ht="11.25" customHeight="1" x14ac:dyDescent="0.25">
      <c r="A28" s="135"/>
      <c r="B28" s="135"/>
      <c r="C28" s="135"/>
      <c r="D28" s="135"/>
      <c r="E28" s="135"/>
      <c r="F28" s="135"/>
      <c r="G28" s="39" t="s">
        <v>98</v>
      </c>
      <c r="H28" s="39" t="s">
        <v>86</v>
      </c>
      <c r="I28" s="39">
        <f>'MERCADO TE'!$U$25</f>
        <v>0</v>
      </c>
      <c r="J28" s="18"/>
      <c r="L28" s="37">
        <f>('TE BE'!$L$28+'TE BF'!$L$28+'TE CVA'!$L$28)*(1 - CUSTOS!$M$39)</f>
        <v>2.5472656870118469</v>
      </c>
      <c r="M28" s="37">
        <f>('TE BE'!$M$28+'TE BF'!$M$28+'TE CVA'!$M$28)*(1 - CUSTOS!$M$39)</f>
        <v>23.080505701890544</v>
      </c>
      <c r="N28" s="37">
        <f>('TE BE'!$N$28+'TE BF'!$N$28+'TE CVA'!$N$28)*(1 - CUSTOS!$M$39)</f>
        <v>0</v>
      </c>
      <c r="O28" s="37">
        <f>('TE BE'!$O$28+'TE BF'!$O$28+'TE CVA'!$O$28)*(1 - CUSTOS!$M$39)</f>
        <v>10.172037838988185</v>
      </c>
      <c r="P28" s="37">
        <f>('TE BE'!$Q$28+'TE BF'!$Q$28+'TE CVA'!$Q$28)*(1 - CUSTOS!$M$39)</f>
        <v>209.50253892502295</v>
      </c>
      <c r="Q28" s="37">
        <f>('TE BE'!$S$28+'TE BF'!$S$28+'TE CVA'!$S$28)*(1 - CUSTOS!$M$39)</f>
        <v>0</v>
      </c>
      <c r="R28" s="37">
        <f>('TE BE'!$T$28+'TE BF'!$T$28+'TE CVA'!$T$28)*(1 - CUSTOS!$M$39)</f>
        <v>0</v>
      </c>
      <c r="S28" s="37">
        <f>('TE BE'!$U$28+'TE BF'!$U$28+'TE CVA'!$U$28)*(1 - CUSTOS!$M$39)</f>
        <v>0</v>
      </c>
      <c r="T28" s="37">
        <f>('TE BE'!$W$28+'TE BF'!$W$28+'TE CVA'!$W$28)*(1 - CUSTOS!$M$39)</f>
        <v>0</v>
      </c>
      <c r="U28" s="37">
        <f>('TE BE'!$Y$28+'TE BF'!$Y$28+'TE CVA'!$Y$28)*(1 - CUSTOS!$M$39)</f>
        <v>3.6649635980659481</v>
      </c>
      <c r="W28" s="37">
        <v>2.0251135893980399</v>
      </c>
      <c r="X28" s="37">
        <v>6.6333233393288404</v>
      </c>
      <c r="Y28" s="37">
        <v>0</v>
      </c>
      <c r="Z28" s="37">
        <v>-4.6368579953223303</v>
      </c>
      <c r="AA28" s="37">
        <v>181.36135117650301</v>
      </c>
      <c r="AB28" s="37">
        <v>0</v>
      </c>
      <c r="AC28" s="37">
        <v>0</v>
      </c>
      <c r="AD28" s="37">
        <v>0</v>
      </c>
      <c r="AE28" s="37">
        <v>0</v>
      </c>
      <c r="AF28" s="37">
        <v>3.24377182518894</v>
      </c>
    </row>
    <row r="29" spans="1:32" ht="11.25" customHeight="1" x14ac:dyDescent="0.25">
      <c r="A29" s="135"/>
      <c r="B29" s="135"/>
      <c r="C29" s="135"/>
      <c r="D29" s="135"/>
      <c r="E29" s="135"/>
      <c r="F29" s="135"/>
      <c r="G29" s="39" t="s">
        <v>88</v>
      </c>
      <c r="H29" s="39" t="s">
        <v>86</v>
      </c>
      <c r="I29" s="39">
        <f>'MERCADO TE'!$U$26</f>
        <v>0</v>
      </c>
      <c r="J29" s="18"/>
      <c r="L29" s="37">
        <f>('TE BE'!$L$29+'TE BF'!$L$29+'TE CVA'!$L$29)*(1 - CUSTOS!$M$39)</f>
        <v>2.5472656870118469</v>
      </c>
      <c r="M29" s="37">
        <f>('TE BE'!$M$29+'TE BF'!$M$29+'TE CVA'!$M$29)*(1 - CUSTOS!$M$39)</f>
        <v>23.080505701890544</v>
      </c>
      <c r="N29" s="37">
        <f>('TE BE'!$N$29+'TE BF'!$N$29+'TE CVA'!$N$29)*(1 - CUSTOS!$M$39)</f>
        <v>0</v>
      </c>
      <c r="O29" s="37">
        <f>('TE BE'!$O$29+'TE BF'!$O$29+'TE CVA'!$O$29)*(1 - CUSTOS!$M$39)</f>
        <v>10.172037838988185</v>
      </c>
      <c r="P29" s="37">
        <f>('TE BE'!$Q$29+'TE BF'!$Q$29+'TE CVA'!$Q$29)*(1 - CUSTOS!$M$39)</f>
        <v>209.50253892502295</v>
      </c>
      <c r="Q29" s="37">
        <f>('TE BE'!$S$29+'TE BF'!$S$29+'TE CVA'!$S$29)*(1 - CUSTOS!$M$39)</f>
        <v>0</v>
      </c>
      <c r="R29" s="37">
        <f>('TE BE'!$T$29+'TE BF'!$T$29+'TE CVA'!$T$29)*(1 - CUSTOS!$M$39)</f>
        <v>0</v>
      </c>
      <c r="S29" s="37">
        <f>('TE BE'!$U$29+'TE BF'!$U$29+'TE CVA'!$U$29)*(1 - CUSTOS!$M$39)</f>
        <v>0</v>
      </c>
      <c r="T29" s="37">
        <f>('TE BE'!$W$29+'TE BF'!$W$29+'TE CVA'!$W$29)*(1 - CUSTOS!$M$39)</f>
        <v>0</v>
      </c>
      <c r="U29" s="37">
        <f>('TE BE'!$Y$29+'TE BF'!$Y$29+'TE CVA'!$Y$29)*(1 - CUSTOS!$M$39)</f>
        <v>3.6649635980659481</v>
      </c>
      <c r="W29" s="37">
        <v>2.0251135893980399</v>
      </c>
      <c r="X29" s="37">
        <v>6.6333233393288404</v>
      </c>
      <c r="Y29" s="37">
        <v>0</v>
      </c>
      <c r="Z29" s="37">
        <v>-4.6368579953223303</v>
      </c>
      <c r="AA29" s="37">
        <v>181.36135117650301</v>
      </c>
      <c r="AB29" s="37">
        <v>0</v>
      </c>
      <c r="AC29" s="37">
        <v>0</v>
      </c>
      <c r="AD29" s="37">
        <v>0</v>
      </c>
      <c r="AE29" s="37">
        <v>0</v>
      </c>
      <c r="AF29" s="37">
        <v>3.24377182518894</v>
      </c>
    </row>
    <row r="30" spans="1:32" ht="11.25" customHeight="1" x14ac:dyDescent="0.25">
      <c r="A30" s="135"/>
      <c r="B30" s="89" t="s">
        <v>94</v>
      </c>
      <c r="C30" s="89" t="s">
        <v>47</v>
      </c>
      <c r="D30" s="89" t="s">
        <v>101</v>
      </c>
      <c r="E30" s="89" t="s">
        <v>25</v>
      </c>
      <c r="F30" s="89" t="s">
        <v>25</v>
      </c>
      <c r="G30" s="39" t="s">
        <v>92</v>
      </c>
      <c r="H30" s="39" t="s">
        <v>86</v>
      </c>
      <c r="I30" s="39">
        <f>'MERCADO TE'!$U$27</f>
        <v>0</v>
      </c>
      <c r="J30" s="18"/>
      <c r="L30" s="37">
        <f>('TE BE'!$L$30+'TE BF'!$L$30+'TE CVA'!$L$30)*(1 - CUSTOS!$M$39)</f>
        <v>2.5472656870118469</v>
      </c>
      <c r="M30" s="37">
        <f>('TE BE'!$M$30+'TE BF'!$M$30+'TE CVA'!$M$30)*(1 - CUSTOS!$M$39)</f>
        <v>23.080505701890544</v>
      </c>
      <c r="N30" s="37">
        <f>('TE BE'!$N$30+'TE BF'!$N$30+'TE CVA'!$N$30)*(1 - CUSTOS!$M$39)</f>
        <v>0</v>
      </c>
      <c r="O30" s="37">
        <f>('TE BE'!$O$30+'TE BF'!$O$30+'TE CVA'!$O$30)*(1 - CUSTOS!$M$39)</f>
        <v>10.172037838988185</v>
      </c>
      <c r="P30" s="37">
        <f>('TE BE'!$Q$30+'TE BF'!$Q$30+'TE CVA'!$Q$30)*(1 - CUSTOS!$M$39)</f>
        <v>222.07269126052432</v>
      </c>
      <c r="Q30" s="37">
        <f>('TE BE'!$S$30+'TE BF'!$S$30+'TE CVA'!$S$30)*(1 - CUSTOS!$M$39)</f>
        <v>0</v>
      </c>
      <c r="R30" s="37">
        <f>('TE BE'!$T$30+'TE BF'!$T$30+'TE CVA'!$T$30)*(1 - CUSTOS!$M$39)</f>
        <v>0</v>
      </c>
      <c r="S30" s="37">
        <f>('TE BE'!$U$30+'TE BF'!$U$30+'TE CVA'!$U$30)*(1 - CUSTOS!$M$39)</f>
        <v>0</v>
      </c>
      <c r="T30" s="37">
        <f>('TE BE'!$W$30+'TE BF'!$W$30+'TE CVA'!$W$30)*(1 - CUSTOS!$M$39)</f>
        <v>0</v>
      </c>
      <c r="U30" s="37">
        <f>('TE BE'!$Y$30+'TE BF'!$Y$30+'TE CVA'!$Y$30)*(1 - CUSTOS!$M$39)</f>
        <v>3.6649635980659481</v>
      </c>
      <c r="W30" s="37">
        <v>2.0251135893980399</v>
      </c>
      <c r="X30" s="37">
        <v>6.6333233393288404</v>
      </c>
      <c r="Y30" s="37">
        <v>0</v>
      </c>
      <c r="Z30" s="37">
        <v>-4.6368579953223303</v>
      </c>
      <c r="AA30" s="37">
        <v>192.243032247093</v>
      </c>
      <c r="AB30" s="37">
        <v>0</v>
      </c>
      <c r="AC30" s="37">
        <v>0</v>
      </c>
      <c r="AD30" s="37">
        <v>0</v>
      </c>
      <c r="AE30" s="37">
        <v>0</v>
      </c>
      <c r="AF30" s="37">
        <v>3.24377182518894</v>
      </c>
    </row>
    <row r="31" spans="1:32" ht="11.25" customHeight="1" x14ac:dyDescent="0.25">
      <c r="A31" s="135"/>
      <c r="B31" s="135" t="s">
        <v>85</v>
      </c>
      <c r="C31" s="135" t="s">
        <v>47</v>
      </c>
      <c r="D31" s="135" t="s">
        <v>55</v>
      </c>
      <c r="E31" s="135" t="s">
        <v>25</v>
      </c>
      <c r="F31" s="135" t="s">
        <v>25</v>
      </c>
      <c r="G31" s="39" t="s">
        <v>87</v>
      </c>
      <c r="H31" s="39" t="s">
        <v>86</v>
      </c>
      <c r="I31" s="39">
        <f>'MERCADO TE'!$U$28</f>
        <v>0</v>
      </c>
      <c r="J31" s="18"/>
      <c r="L31" s="37">
        <f>('TE BE'!$L$31+'TE BF'!$L$31+'TE CVA'!$L$31)*(1 - CUSTOS!$M$40)</f>
        <v>2.4314808830567629</v>
      </c>
      <c r="M31" s="37">
        <f>('TE BE'!$M$31+'TE BF'!$M$31+'TE CVA'!$M$31)*(1 - CUSTOS!$M$40)</f>
        <v>22.031391806350065</v>
      </c>
      <c r="N31" s="37">
        <f>('TE BE'!$N$31+'TE BF'!$N$31+'TE CVA'!$N$31)*(1 - CUSTOS!$M$40)</f>
        <v>0</v>
      </c>
      <c r="O31" s="37">
        <f>('TE BE'!$O$31+'TE BF'!$O$31+'TE CVA'!$O$31)*(1 - CUSTOS!$M$40)</f>
        <v>9.7096724826705394</v>
      </c>
      <c r="P31" s="37">
        <f>('TE BE'!$Q$31+'TE BF'!$Q$31+'TE CVA'!$Q$31)*(1 - CUSTOS!$M$40)</f>
        <v>343.96507754417405</v>
      </c>
      <c r="Q31" s="37">
        <f>('TE BE'!$S$31+'TE BF'!$S$31+'TE CVA'!$S$31)*(1 - CUSTOS!$M$40)</f>
        <v>0</v>
      </c>
      <c r="R31" s="37">
        <f>('TE BE'!$T$31+'TE BF'!$T$31+'TE CVA'!$T$31)*(1 - CUSTOS!$M$40)</f>
        <v>0</v>
      </c>
      <c r="S31" s="37">
        <f>('TE BE'!$U$31+'TE BF'!$U$31+'TE CVA'!$U$31)*(1 - CUSTOS!$M$40)</f>
        <v>0</v>
      </c>
      <c r="T31" s="37">
        <f>('TE BE'!$W$31+'TE BF'!$W$31+'TE CVA'!$W$31)*(1 - CUSTOS!$M$40)</f>
        <v>0</v>
      </c>
      <c r="U31" s="37">
        <f>('TE BE'!$Y$31+'TE BF'!$Y$31+'TE CVA'!$Y$31)*(1 - CUSTOS!$M$40)</f>
        <v>3.4983743436084049</v>
      </c>
      <c r="W31" s="37">
        <v>1.87693454627136</v>
      </c>
      <c r="X31" s="37">
        <v>6.1479582169389202</v>
      </c>
      <c r="Y31" s="37">
        <v>0</v>
      </c>
      <c r="Z31" s="37">
        <v>-4.2975757029816704</v>
      </c>
      <c r="AA31" s="37">
        <v>289.11653446088297</v>
      </c>
      <c r="AB31" s="37">
        <v>0</v>
      </c>
      <c r="AC31" s="37">
        <v>0</v>
      </c>
      <c r="AD31" s="37">
        <v>0</v>
      </c>
      <c r="AE31" s="37">
        <v>0</v>
      </c>
      <c r="AF31" s="37">
        <v>3.0064226672482901</v>
      </c>
    </row>
    <row r="32" spans="1:32" ht="11.25" customHeight="1" x14ac:dyDescent="0.25">
      <c r="A32" s="135"/>
      <c r="B32" s="135"/>
      <c r="C32" s="135"/>
      <c r="D32" s="135"/>
      <c r="E32" s="135"/>
      <c r="F32" s="135"/>
      <c r="G32" s="39" t="s">
        <v>98</v>
      </c>
      <c r="H32" s="39" t="s">
        <v>86</v>
      </c>
      <c r="I32" s="39">
        <f>'MERCADO TE'!$U$29</f>
        <v>0</v>
      </c>
      <c r="J32" s="18"/>
      <c r="L32" s="37">
        <f>('TE BE'!$L$32+'TE BF'!$L$32+'TE CVA'!$L$32)*(1 - CUSTOS!$M$40)</f>
        <v>2.4314808830567629</v>
      </c>
      <c r="M32" s="37">
        <f>('TE BE'!$M$32+'TE BF'!$M$32+'TE CVA'!$M$32)*(1 - CUSTOS!$M$40)</f>
        <v>22.031391806350065</v>
      </c>
      <c r="N32" s="37">
        <f>('TE BE'!$N$32+'TE BF'!$N$32+'TE CVA'!$N$32)*(1 - CUSTOS!$M$40)</f>
        <v>0</v>
      </c>
      <c r="O32" s="37">
        <f>('TE BE'!$O$32+'TE BF'!$O$32+'TE CVA'!$O$32)*(1 - CUSTOS!$M$40)</f>
        <v>9.7096724826705394</v>
      </c>
      <c r="P32" s="37">
        <f>('TE BE'!$Q$32+'TE BF'!$Q$32+'TE CVA'!$Q$32)*(1 - CUSTOS!$M$40)</f>
        <v>199.9796962466128</v>
      </c>
      <c r="Q32" s="37">
        <f>('TE BE'!$S$32+'TE BF'!$S$32+'TE CVA'!$S$32)*(1 - CUSTOS!$M$40)</f>
        <v>0</v>
      </c>
      <c r="R32" s="37">
        <f>('TE BE'!$T$32+'TE BF'!$T$32+'TE CVA'!$T$32)*(1 - CUSTOS!$M$40)</f>
        <v>0</v>
      </c>
      <c r="S32" s="37">
        <f>('TE BE'!$U$32+'TE BF'!$U$32+'TE CVA'!$U$32)*(1 - CUSTOS!$M$40)</f>
        <v>0</v>
      </c>
      <c r="T32" s="37">
        <f>('TE BE'!$W$32+'TE BF'!$W$32+'TE CVA'!$W$32)*(1 - CUSTOS!$M$40)</f>
        <v>0</v>
      </c>
      <c r="U32" s="37">
        <f>('TE BE'!$Y$32+'TE BF'!$Y$32+'TE CVA'!$Y$32)*(1 - CUSTOS!$M$40)</f>
        <v>3.4983743436084049</v>
      </c>
      <c r="W32" s="37">
        <v>1.87693454627136</v>
      </c>
      <c r="X32" s="37">
        <v>6.1479582169389202</v>
      </c>
      <c r="Y32" s="37">
        <v>0</v>
      </c>
      <c r="Z32" s="37">
        <v>-4.2975757029816704</v>
      </c>
      <c r="AA32" s="37">
        <v>168.09100840748999</v>
      </c>
      <c r="AB32" s="37">
        <v>0</v>
      </c>
      <c r="AC32" s="37">
        <v>0</v>
      </c>
      <c r="AD32" s="37">
        <v>0</v>
      </c>
      <c r="AE32" s="37">
        <v>0</v>
      </c>
      <c r="AF32" s="37">
        <v>3.0064226672482901</v>
      </c>
    </row>
    <row r="33" spans="1:32" ht="11.25" customHeight="1" x14ac:dyDescent="0.25">
      <c r="A33" s="135"/>
      <c r="B33" s="135"/>
      <c r="C33" s="135"/>
      <c r="D33" s="135"/>
      <c r="E33" s="135"/>
      <c r="F33" s="135"/>
      <c r="G33" s="39" t="s">
        <v>88</v>
      </c>
      <c r="H33" s="39" t="s">
        <v>86</v>
      </c>
      <c r="I33" s="39">
        <f>'MERCADO TE'!$U$30</f>
        <v>0</v>
      </c>
      <c r="J33" s="18"/>
      <c r="L33" s="37">
        <f>('TE BE'!$L$33+'TE BF'!$L$33+'TE CVA'!$L$33)*(1 - CUSTOS!$M$40)</f>
        <v>2.4314808830567629</v>
      </c>
      <c r="M33" s="37">
        <f>('TE BE'!$M$33+'TE BF'!$M$33+'TE CVA'!$M$33)*(1 - CUSTOS!$M$40)</f>
        <v>22.031391806350065</v>
      </c>
      <c r="N33" s="37">
        <f>('TE BE'!$N$33+'TE BF'!$N$33+'TE CVA'!$N$33)*(1 - CUSTOS!$M$40)</f>
        <v>0</v>
      </c>
      <c r="O33" s="37">
        <f>('TE BE'!$O$33+'TE BF'!$O$33+'TE CVA'!$O$33)*(1 - CUSTOS!$M$40)</f>
        <v>9.7096724826705394</v>
      </c>
      <c r="P33" s="37">
        <f>('TE BE'!$Q$33+'TE BF'!$Q$33+'TE CVA'!$Q$33)*(1 - CUSTOS!$M$40)</f>
        <v>199.9796962466128</v>
      </c>
      <c r="Q33" s="37">
        <f>('TE BE'!$S$33+'TE BF'!$S$33+'TE CVA'!$S$33)*(1 - CUSTOS!$M$40)</f>
        <v>0</v>
      </c>
      <c r="R33" s="37">
        <f>('TE BE'!$T$33+'TE BF'!$T$33+'TE CVA'!$T$33)*(1 - CUSTOS!$M$40)</f>
        <v>0</v>
      </c>
      <c r="S33" s="37">
        <f>('TE BE'!$U$33+'TE BF'!$U$33+'TE CVA'!$U$33)*(1 - CUSTOS!$M$40)</f>
        <v>0</v>
      </c>
      <c r="T33" s="37">
        <f>('TE BE'!$W$33+'TE BF'!$W$33+'TE CVA'!$W$33)*(1 - CUSTOS!$M$40)</f>
        <v>0</v>
      </c>
      <c r="U33" s="37">
        <f>('TE BE'!$Y$33+'TE BF'!$Y$33+'TE CVA'!$Y$33)*(1 - CUSTOS!$M$40)</f>
        <v>3.4983743436084049</v>
      </c>
      <c r="W33" s="37">
        <v>1.87693454627136</v>
      </c>
      <c r="X33" s="37">
        <v>6.1479582169389202</v>
      </c>
      <c r="Y33" s="37">
        <v>0</v>
      </c>
      <c r="Z33" s="37">
        <v>-4.2975757029816704</v>
      </c>
      <c r="AA33" s="37">
        <v>168.09100840748999</v>
      </c>
      <c r="AB33" s="37">
        <v>0</v>
      </c>
      <c r="AC33" s="37">
        <v>0</v>
      </c>
      <c r="AD33" s="37">
        <v>0</v>
      </c>
      <c r="AE33" s="37">
        <v>0</v>
      </c>
      <c r="AF33" s="37">
        <v>3.0064226672482901</v>
      </c>
    </row>
    <row r="34" spans="1:32" ht="11.25" customHeight="1" x14ac:dyDescent="0.25">
      <c r="A34" s="135"/>
      <c r="B34" s="89" t="s">
        <v>94</v>
      </c>
      <c r="C34" s="89" t="s">
        <v>47</v>
      </c>
      <c r="D34" s="89" t="s">
        <v>55</v>
      </c>
      <c r="E34" s="89" t="s">
        <v>25</v>
      </c>
      <c r="F34" s="89" t="s">
        <v>25</v>
      </c>
      <c r="G34" s="39" t="s">
        <v>92</v>
      </c>
      <c r="H34" s="39" t="s">
        <v>86</v>
      </c>
      <c r="I34" s="39">
        <f>'MERCADO TE'!$U$31</f>
        <v>26.512</v>
      </c>
      <c r="J34" s="18"/>
      <c r="L34" s="37">
        <f>('TE BE'!$L$34+'TE BF'!$L$34+'TE CVA'!$L$34)*(1 - CUSTOS!$M$40)</f>
        <v>2.4314808830567629</v>
      </c>
      <c r="M34" s="37">
        <f>('TE BE'!$M$34+'TE BF'!$M$34+'TE CVA'!$M$34)*(1 - CUSTOS!$M$40)</f>
        <v>22.031391806350065</v>
      </c>
      <c r="N34" s="37">
        <f>('TE BE'!$N$34+'TE BF'!$N$34+'TE CVA'!$N$34)*(1 - CUSTOS!$M$40)</f>
        <v>0</v>
      </c>
      <c r="O34" s="37">
        <f>('TE BE'!$O$34+'TE BF'!$O$34+'TE CVA'!$O$34)*(1 - CUSTOS!$M$40)</f>
        <v>9.7096724826705394</v>
      </c>
      <c r="P34" s="37">
        <f>('TE BE'!$Q$34+'TE BF'!$Q$34+'TE CVA'!$Q$34)*(1 - CUSTOS!$M$40)</f>
        <v>211.97847802140959</v>
      </c>
      <c r="Q34" s="37">
        <f>('TE BE'!$S$34+'TE BF'!$S$34+'TE CVA'!$S$34)*(1 - CUSTOS!$M$40)</f>
        <v>0</v>
      </c>
      <c r="R34" s="37">
        <f>('TE BE'!$T$34+'TE BF'!$T$34+'TE CVA'!$T$34)*(1 - CUSTOS!$M$40)</f>
        <v>0</v>
      </c>
      <c r="S34" s="37">
        <f>('TE BE'!$U$34+'TE BF'!$U$34+'TE CVA'!$U$34)*(1 - CUSTOS!$M$40)</f>
        <v>0</v>
      </c>
      <c r="T34" s="37">
        <f>('TE BE'!$W$34+'TE BF'!$W$34+'TE CVA'!$W$34)*(1 - CUSTOS!$M$40)</f>
        <v>0</v>
      </c>
      <c r="U34" s="37">
        <f>('TE BE'!$Y$34+'TE BF'!$Y$34+'TE CVA'!$Y$34)*(1 - CUSTOS!$M$40)</f>
        <v>3.4983743436084049</v>
      </c>
      <c r="W34" s="37">
        <v>1.87693454627136</v>
      </c>
      <c r="X34" s="37">
        <v>6.1479582169389202</v>
      </c>
      <c r="Y34" s="37">
        <v>0</v>
      </c>
      <c r="Z34" s="37">
        <v>-4.2975757029816704</v>
      </c>
      <c r="AA34" s="37">
        <v>178.17646891193999</v>
      </c>
      <c r="AB34" s="37">
        <v>0</v>
      </c>
      <c r="AC34" s="37">
        <v>0</v>
      </c>
      <c r="AD34" s="37">
        <v>0</v>
      </c>
      <c r="AE34" s="37">
        <v>0</v>
      </c>
      <c r="AF34" s="37">
        <v>3.0064226672482901</v>
      </c>
    </row>
    <row r="35" spans="1:32" ht="11.25" customHeight="1" x14ac:dyDescent="0.25">
      <c r="A35" s="135"/>
      <c r="B35" s="135" t="s">
        <v>99</v>
      </c>
      <c r="C35" s="135" t="s">
        <v>47</v>
      </c>
      <c r="D35" s="89" t="s">
        <v>25</v>
      </c>
      <c r="E35" s="89" t="s">
        <v>25</v>
      </c>
      <c r="F35" s="89" t="s">
        <v>25</v>
      </c>
      <c r="G35" s="39" t="s">
        <v>92</v>
      </c>
      <c r="H35" s="39" t="s">
        <v>86</v>
      </c>
      <c r="I35" s="39">
        <f>'MERCADO TE'!$U$32</f>
        <v>0</v>
      </c>
      <c r="J35" s="18"/>
      <c r="L35" s="37">
        <f>('TE BE'!$L$35+'TE BF'!$L$35+'TE CVA'!$L$35)*(1 - CUSTOS!$M$38)</f>
        <v>2.5472656870118469</v>
      </c>
      <c r="M35" s="37">
        <f>('TE BE'!$M$35+'TE BF'!$M$35+'TE CVA'!$M$35)*(1 - CUSTOS!$M$38)</f>
        <v>23.080505701890544</v>
      </c>
      <c r="N35" s="37">
        <f>('TE BE'!$N$35+'TE BF'!$N$35+'TE CVA'!$N$35)*(1 - CUSTOS!$M$38)</f>
        <v>0</v>
      </c>
      <c r="O35" s="37">
        <f>('TE BE'!$O$35+'TE BF'!$O$35+'TE CVA'!$O$35)*(1 - CUSTOS!$M$38)</f>
        <v>10.172037838988185</v>
      </c>
      <c r="P35" s="37">
        <f>('TE BE'!$Q$35+'TE BF'!$Q$35+'TE CVA'!$Q$35)*(1 - CUSTOS!$M$38)</f>
        <v>222.07269126052432</v>
      </c>
      <c r="Q35" s="37">
        <f>('TE BE'!$S$35+'TE BF'!$S$35+'TE CVA'!$S$35)*(1 - CUSTOS!$M$38)</f>
        <v>0</v>
      </c>
      <c r="R35" s="37">
        <f>('TE BE'!$T$35+'TE BF'!$T$35+'TE CVA'!$T$35)*(1 - CUSTOS!$M$38)</f>
        <v>0</v>
      </c>
      <c r="S35" s="37">
        <f>('TE BE'!$U$35+'TE BF'!$U$35+'TE CVA'!$U$35)*(1 - CUSTOS!$M$38)</f>
        <v>0</v>
      </c>
      <c r="T35" s="37">
        <f>('TE BE'!$W$35+'TE BF'!$W$35+'TE CVA'!$W$35)*(1 - CUSTOS!$M$38)</f>
        <v>0</v>
      </c>
      <c r="U35" s="37">
        <f>('TE BE'!$Y$35+'TE BF'!$Y$35+'TE CVA'!$Y$35)*(1 - CUSTOS!$M$38)</f>
        <v>3.6649635980659481</v>
      </c>
      <c r="W35" s="37">
        <v>2.0251135893980399</v>
      </c>
      <c r="X35" s="37">
        <v>6.6333233393288404</v>
      </c>
      <c r="Y35" s="37">
        <v>0</v>
      </c>
      <c r="Z35" s="37">
        <v>-4.6368579953223303</v>
      </c>
      <c r="AA35" s="37">
        <v>192.243032247093</v>
      </c>
      <c r="AB35" s="37">
        <v>0</v>
      </c>
      <c r="AC35" s="37">
        <v>0</v>
      </c>
      <c r="AD35" s="37">
        <v>0</v>
      </c>
      <c r="AE35" s="37">
        <v>0</v>
      </c>
      <c r="AF35" s="37">
        <v>3.24377182518894</v>
      </c>
    </row>
    <row r="36" spans="1:32" ht="11.25" customHeight="1" x14ac:dyDescent="0.25">
      <c r="A36" s="135"/>
      <c r="B36" s="135"/>
      <c r="C36" s="135"/>
      <c r="D36" s="89" t="s">
        <v>101</v>
      </c>
      <c r="E36" s="89" t="s">
        <v>25</v>
      </c>
      <c r="F36" s="89" t="s">
        <v>25</v>
      </c>
      <c r="G36" s="39" t="s">
        <v>92</v>
      </c>
      <c r="H36" s="39" t="s">
        <v>86</v>
      </c>
      <c r="I36" s="39">
        <f>'MERCADO TE'!$U$33</f>
        <v>0</v>
      </c>
      <c r="J36" s="18"/>
      <c r="L36" s="37">
        <f>('TE BE'!$L$36+'TE BF'!$L$36+'TE CVA'!$L$36)*(1 - CUSTOS!$M$39)</f>
        <v>2.5472656870118469</v>
      </c>
      <c r="M36" s="37">
        <f>('TE BE'!$M$36+'TE BF'!$M$36+'TE CVA'!$M$36)*(1 - CUSTOS!$M$39)</f>
        <v>23.080505701890544</v>
      </c>
      <c r="N36" s="37">
        <f>('TE BE'!$N$36+'TE BF'!$N$36+'TE CVA'!$N$36)*(1 - CUSTOS!$M$39)</f>
        <v>0</v>
      </c>
      <c r="O36" s="37">
        <f>('TE BE'!$O$36+'TE BF'!$O$36+'TE CVA'!$O$36)*(1 - CUSTOS!$M$39)</f>
        <v>10.172037838988185</v>
      </c>
      <c r="P36" s="37">
        <f>('TE BE'!$Q$36+'TE BF'!$Q$36+'TE CVA'!$Q$36)*(1 - CUSTOS!$M$39)</f>
        <v>222.07269126052432</v>
      </c>
      <c r="Q36" s="37">
        <f>('TE BE'!$S$36+'TE BF'!$S$36+'TE CVA'!$S$36)*(1 - CUSTOS!$M$39)</f>
        <v>0</v>
      </c>
      <c r="R36" s="37">
        <f>('TE BE'!$T$36+'TE BF'!$T$36+'TE CVA'!$T$36)*(1 - CUSTOS!$M$39)</f>
        <v>0</v>
      </c>
      <c r="S36" s="37">
        <f>('TE BE'!$U$36+'TE BF'!$U$36+'TE CVA'!$U$36)*(1 - CUSTOS!$M$39)</f>
        <v>0</v>
      </c>
      <c r="T36" s="37">
        <f>('TE BE'!$W$36+'TE BF'!$W$36+'TE CVA'!$W$36)*(1 - CUSTOS!$M$39)</f>
        <v>0</v>
      </c>
      <c r="U36" s="37">
        <f>('TE BE'!$Y$36+'TE BF'!$Y$36+'TE CVA'!$Y$36)*(1 - CUSTOS!$M$39)</f>
        <v>3.6649635980659481</v>
      </c>
      <c r="W36" s="37">
        <v>2.0251135893980399</v>
      </c>
      <c r="X36" s="37">
        <v>6.6333233393288404</v>
      </c>
      <c r="Y36" s="37">
        <v>0</v>
      </c>
      <c r="Z36" s="37">
        <v>-4.6368579953223303</v>
      </c>
      <c r="AA36" s="37">
        <v>192.243032247093</v>
      </c>
      <c r="AB36" s="37">
        <v>0</v>
      </c>
      <c r="AC36" s="37">
        <v>0</v>
      </c>
      <c r="AD36" s="37">
        <v>0</v>
      </c>
      <c r="AE36" s="37">
        <v>0</v>
      </c>
      <c r="AF36" s="37">
        <v>3.24377182518894</v>
      </c>
    </row>
    <row r="37" spans="1:32" ht="11.25" customHeight="1" x14ac:dyDescent="0.25">
      <c r="A37" s="135"/>
      <c r="B37" s="135"/>
      <c r="C37" s="135"/>
      <c r="D37" s="89" t="s">
        <v>55</v>
      </c>
      <c r="E37" s="89" t="s">
        <v>25</v>
      </c>
      <c r="F37" s="89" t="s">
        <v>25</v>
      </c>
      <c r="G37" s="39" t="s">
        <v>92</v>
      </c>
      <c r="H37" s="39" t="s">
        <v>86</v>
      </c>
      <c r="I37" s="39">
        <f>'MERCADO TE'!$U$34</f>
        <v>0</v>
      </c>
      <c r="J37" s="18"/>
      <c r="L37" s="37">
        <f>('TE BE'!$L$37+'TE BF'!$L$37+'TE CVA'!$L$37)*(1 - CUSTOS!$M$40)</f>
        <v>2.4314808830567629</v>
      </c>
      <c r="M37" s="37">
        <f>('TE BE'!$M$37+'TE BF'!$M$37+'TE CVA'!$M$37)*(1 - CUSTOS!$M$40)</f>
        <v>22.031391806350065</v>
      </c>
      <c r="N37" s="37">
        <f>('TE BE'!$N$37+'TE BF'!$N$37+'TE CVA'!$N$37)*(1 - CUSTOS!$M$40)</f>
        <v>0</v>
      </c>
      <c r="O37" s="37">
        <f>('TE BE'!$O$37+'TE BF'!$O$37+'TE CVA'!$O$37)*(1 - CUSTOS!$M$40)</f>
        <v>9.7096724826705394</v>
      </c>
      <c r="P37" s="37">
        <f>('TE BE'!$Q$37+'TE BF'!$Q$37+'TE CVA'!$Q$37)*(1 - CUSTOS!$M$40)</f>
        <v>211.97847802140959</v>
      </c>
      <c r="Q37" s="37">
        <f>('TE BE'!$S$37+'TE BF'!$S$37+'TE CVA'!$S$37)*(1 - CUSTOS!$M$40)</f>
        <v>0</v>
      </c>
      <c r="R37" s="37">
        <f>('TE BE'!$T$37+'TE BF'!$T$37+'TE CVA'!$T$37)*(1 - CUSTOS!$M$40)</f>
        <v>0</v>
      </c>
      <c r="S37" s="37">
        <f>('TE BE'!$U$37+'TE BF'!$U$37+'TE CVA'!$U$37)*(1 - CUSTOS!$M$40)</f>
        <v>0</v>
      </c>
      <c r="T37" s="37">
        <f>('TE BE'!$W$37+'TE BF'!$W$37+'TE CVA'!$W$37)*(1 - CUSTOS!$M$40)</f>
        <v>0</v>
      </c>
      <c r="U37" s="37">
        <f>('TE BE'!$Y$37+'TE BF'!$Y$37+'TE CVA'!$Y$37)*(1 - CUSTOS!$M$40)</f>
        <v>3.4983743436084049</v>
      </c>
      <c r="W37" s="37">
        <v>1.87693454627136</v>
      </c>
      <c r="X37" s="37">
        <v>6.1479582169389202</v>
      </c>
      <c r="Y37" s="37">
        <v>0</v>
      </c>
      <c r="Z37" s="37">
        <v>-4.2975757029816704</v>
      </c>
      <c r="AA37" s="37">
        <v>178.17646891193999</v>
      </c>
      <c r="AB37" s="37">
        <v>0</v>
      </c>
      <c r="AC37" s="37">
        <v>0</v>
      </c>
      <c r="AD37" s="37">
        <v>0</v>
      </c>
      <c r="AE37" s="37">
        <v>0</v>
      </c>
      <c r="AF37" s="37">
        <v>3.0064226672482901</v>
      </c>
    </row>
    <row r="38" spans="1:32" ht="11.25" customHeight="1" x14ac:dyDescent="0.25">
      <c r="A38" s="135" t="s">
        <v>41</v>
      </c>
      <c r="B38" s="135" t="s">
        <v>85</v>
      </c>
      <c r="C38" s="135" t="s">
        <v>25</v>
      </c>
      <c r="D38" s="135" t="s">
        <v>25</v>
      </c>
      <c r="E38" s="135" t="s">
        <v>25</v>
      </c>
      <c r="F38" s="135" t="s">
        <v>25</v>
      </c>
      <c r="G38" s="39" t="s">
        <v>87</v>
      </c>
      <c r="H38" s="39" t="s">
        <v>86</v>
      </c>
      <c r="I38" s="39">
        <f>'MERCADO TE'!$U$35</f>
        <v>159.50200000000001</v>
      </c>
      <c r="J38" s="18"/>
      <c r="L38" s="37">
        <f>('TE BE'!$L$38+'TE BF'!$L$38+'TE CVA'!$L$38)*1</f>
        <v>2.8946200988770987</v>
      </c>
      <c r="M38" s="37">
        <f>('TE BE'!$M$38+'TE BF'!$M$38+'TE CVA'!$M$38)*1</f>
        <v>26.227847388511982</v>
      </c>
      <c r="N38" s="37">
        <f>('TE BE'!$N$38+'TE BF'!$N$38+'TE CVA'!$N$38)*1</f>
        <v>0</v>
      </c>
      <c r="O38" s="37">
        <f>('TE BE'!$O$38+'TE BF'!$O$38+'TE CVA'!$O$38)*1</f>
        <v>11.559133907941119</v>
      </c>
      <c r="P38" s="37">
        <f>('TE BE'!$Q$38+'TE BF'!$Q$38+'TE CVA'!$Q$38)*1</f>
        <v>409.48223517163581</v>
      </c>
      <c r="Q38" s="37">
        <f>('TE BE'!$S$38+'TE BF'!$S$38+'TE CVA'!$S$38)*1</f>
        <v>0</v>
      </c>
      <c r="R38" s="37">
        <f>('TE BE'!$T$38+'TE BF'!$T$38+'TE CVA'!$T$38)*1</f>
        <v>0</v>
      </c>
      <c r="S38" s="37">
        <f>('TE BE'!$U$38+'TE BF'!$U$38+'TE CVA'!$U$38)*1</f>
        <v>0</v>
      </c>
      <c r="T38" s="37">
        <f>('TE BE'!$W$38+'TE BF'!$W$38+'TE CVA'!$W$38)*1</f>
        <v>0</v>
      </c>
      <c r="U38" s="37">
        <f>('TE BE'!$Y$38+'TE BF'!$Y$38+'TE CVA'!$Y$38)*1</f>
        <v>4.1647313614385775</v>
      </c>
      <c r="W38" s="37">
        <v>2.4696507187780998</v>
      </c>
      <c r="X38" s="37">
        <v>8.0894187064985807</v>
      </c>
      <c r="Y38" s="37">
        <v>0</v>
      </c>
      <c r="Z38" s="37">
        <v>-5.6547048723443103</v>
      </c>
      <c r="AA38" s="37">
        <v>380.41649271168899</v>
      </c>
      <c r="AB38" s="37">
        <v>0</v>
      </c>
      <c r="AC38" s="37">
        <v>0</v>
      </c>
      <c r="AD38" s="37">
        <v>0</v>
      </c>
      <c r="AE38" s="37">
        <v>0</v>
      </c>
      <c r="AF38" s="37">
        <v>3.9558192990109</v>
      </c>
    </row>
    <row r="39" spans="1:32" ht="11.25" customHeight="1" x14ac:dyDescent="0.25">
      <c r="A39" s="135"/>
      <c r="B39" s="135"/>
      <c r="C39" s="135"/>
      <c r="D39" s="135"/>
      <c r="E39" s="135"/>
      <c r="F39" s="135"/>
      <c r="G39" s="39" t="s">
        <v>98</v>
      </c>
      <c r="H39" s="39" t="s">
        <v>86</v>
      </c>
      <c r="I39" s="39">
        <f>'MERCADO TE'!$U$36</f>
        <v>89.802000000000007</v>
      </c>
      <c r="J39" s="18"/>
      <c r="L39" s="37">
        <f>('TE BE'!$L$39+'TE BF'!$L$39+'TE CVA'!$L$39)*1</f>
        <v>2.8946200988770987</v>
      </c>
      <c r="M39" s="37">
        <f>('TE BE'!$M$39+'TE BF'!$M$39+'TE CVA'!$M$39)*1</f>
        <v>26.227847388511982</v>
      </c>
      <c r="N39" s="37">
        <f>('TE BE'!$N$39+'TE BF'!$N$39+'TE CVA'!$N$39)*1</f>
        <v>0</v>
      </c>
      <c r="O39" s="37">
        <f>('TE BE'!$O$39+'TE BF'!$O$39+'TE CVA'!$O$39)*1</f>
        <v>11.559133907941119</v>
      </c>
      <c r="P39" s="37">
        <f>('TE BE'!$Q$39+'TE BF'!$Q$39+'TE CVA'!$Q$39)*1</f>
        <v>238.07106696025335</v>
      </c>
      <c r="Q39" s="37">
        <f>('TE BE'!$S$39+'TE BF'!$S$39+'TE CVA'!$S$39)*1</f>
        <v>0</v>
      </c>
      <c r="R39" s="37">
        <f>('TE BE'!$T$39+'TE BF'!$T$39+'TE CVA'!$T$39)*1</f>
        <v>0</v>
      </c>
      <c r="S39" s="37">
        <f>('TE BE'!$U$39+'TE BF'!$U$39+'TE CVA'!$U$39)*1</f>
        <v>0</v>
      </c>
      <c r="T39" s="37">
        <f>('TE BE'!$W$39+'TE BF'!$W$39+'TE CVA'!$W$39)*1</f>
        <v>0</v>
      </c>
      <c r="U39" s="37">
        <f>('TE BE'!$Y$39+'TE BF'!$Y$39+'TE CVA'!$Y$39)*1</f>
        <v>4.1647313614385775</v>
      </c>
      <c r="W39" s="37">
        <v>2.4696507187780998</v>
      </c>
      <c r="X39" s="37">
        <v>8.0894187064985807</v>
      </c>
      <c r="Y39" s="37">
        <v>0</v>
      </c>
      <c r="Z39" s="37">
        <v>-5.6547048723443103</v>
      </c>
      <c r="AA39" s="37">
        <v>221.17237948354</v>
      </c>
      <c r="AB39" s="37">
        <v>0</v>
      </c>
      <c r="AC39" s="37">
        <v>0</v>
      </c>
      <c r="AD39" s="37">
        <v>0</v>
      </c>
      <c r="AE39" s="37">
        <v>0</v>
      </c>
      <c r="AF39" s="37">
        <v>3.9558192990109</v>
      </c>
    </row>
    <row r="40" spans="1:32" ht="11.25" customHeight="1" x14ac:dyDescent="0.25">
      <c r="A40" s="135"/>
      <c r="B40" s="135"/>
      <c r="C40" s="135"/>
      <c r="D40" s="135"/>
      <c r="E40" s="135"/>
      <c r="F40" s="135"/>
      <c r="G40" s="39" t="s">
        <v>88</v>
      </c>
      <c r="H40" s="39" t="s">
        <v>86</v>
      </c>
      <c r="I40" s="39">
        <f>'MERCADO TE'!$U$37</f>
        <v>2507.7720000000004</v>
      </c>
      <c r="J40" s="18"/>
      <c r="L40" s="37">
        <f>('TE BE'!$L$40+'TE BF'!$L$40+'TE CVA'!$L$40)*1</f>
        <v>2.8946200988770987</v>
      </c>
      <c r="M40" s="37">
        <f>('TE BE'!$M$40+'TE BF'!$M$40+'TE CVA'!$M$40)*1</f>
        <v>26.227847388511982</v>
      </c>
      <c r="N40" s="37">
        <f>('TE BE'!$N$40+'TE BF'!$N$40+'TE CVA'!$N$40)*1</f>
        <v>0</v>
      </c>
      <c r="O40" s="37">
        <f>('TE BE'!$O$40+'TE BF'!$O$40+'TE CVA'!$O$40)*1</f>
        <v>11.559133907941119</v>
      </c>
      <c r="P40" s="37">
        <f>('TE BE'!$Q$40+'TE BF'!$Q$40+'TE CVA'!$Q$40)*1</f>
        <v>238.07106696025335</v>
      </c>
      <c r="Q40" s="37">
        <f>('TE BE'!$S$40+'TE BF'!$S$40+'TE CVA'!$S$40)*1</f>
        <v>0</v>
      </c>
      <c r="R40" s="37">
        <f>('TE BE'!$T$40+'TE BF'!$T$40+'TE CVA'!$T$40)*1</f>
        <v>0</v>
      </c>
      <c r="S40" s="37">
        <f>('TE BE'!$U$40+'TE BF'!$U$40+'TE CVA'!$U$40)*1</f>
        <v>0</v>
      </c>
      <c r="T40" s="37">
        <f>('TE BE'!$W$40+'TE BF'!$W$40+'TE CVA'!$W$40)*1</f>
        <v>0</v>
      </c>
      <c r="U40" s="37">
        <f>('TE BE'!$Y$40+'TE BF'!$Y$40+'TE CVA'!$Y$40)*1</f>
        <v>4.1647313614385775</v>
      </c>
      <c r="W40" s="37">
        <v>2.4696507187780998</v>
      </c>
      <c r="X40" s="37">
        <v>8.0894187064985807</v>
      </c>
      <c r="Y40" s="37">
        <v>0</v>
      </c>
      <c r="Z40" s="37">
        <v>-5.6547048723443103</v>
      </c>
      <c r="AA40" s="37">
        <v>221.17237948354</v>
      </c>
      <c r="AB40" s="37">
        <v>0</v>
      </c>
      <c r="AC40" s="37">
        <v>0</v>
      </c>
      <c r="AD40" s="37">
        <v>0</v>
      </c>
      <c r="AE40" s="37">
        <v>0</v>
      </c>
      <c r="AF40" s="37">
        <v>3.9558192990109</v>
      </c>
    </row>
    <row r="41" spans="1:32" ht="11.25" customHeight="1" x14ac:dyDescent="0.25">
      <c r="A41" s="135"/>
      <c r="B41" s="89" t="s">
        <v>94</v>
      </c>
      <c r="C41" s="89" t="s">
        <v>25</v>
      </c>
      <c r="D41" s="89" t="s">
        <v>25</v>
      </c>
      <c r="E41" s="89" t="s">
        <v>25</v>
      </c>
      <c r="F41" s="89" t="s">
        <v>25</v>
      </c>
      <c r="G41" s="39" t="s">
        <v>92</v>
      </c>
      <c r="H41" s="39" t="s">
        <v>86</v>
      </c>
      <c r="I41" s="39">
        <f>'MERCADO TE'!$U$38</f>
        <v>849619.68099999998</v>
      </c>
      <c r="J41" s="18"/>
      <c r="L41" s="37">
        <f>('TE BE'!$L$41+'TE BF'!$L$41+'TE CVA'!$L$41)*1</f>
        <v>2.8946200988770987</v>
      </c>
      <c r="M41" s="37">
        <f>('TE BE'!$M$41+'TE BF'!$M$41+'TE CVA'!$M$41)*1</f>
        <v>26.227847388511982</v>
      </c>
      <c r="N41" s="37">
        <f>('TE BE'!$N$41+'TE BF'!$N$41+'TE CVA'!$N$41)*1</f>
        <v>0</v>
      </c>
      <c r="O41" s="37">
        <f>('TE BE'!$O$41+'TE BF'!$O$41+'TE CVA'!$O$41)*1</f>
        <v>11.559133907941119</v>
      </c>
      <c r="P41" s="37">
        <f>('TE BE'!$Q$41+'TE BF'!$Q$41+'TE CVA'!$Q$41)*1</f>
        <v>252.35533097786856</v>
      </c>
      <c r="Q41" s="37">
        <f>('TE BE'!$S$41+'TE BF'!$S$41+'TE CVA'!$S$41)*1</f>
        <v>0</v>
      </c>
      <c r="R41" s="37">
        <f>('TE BE'!$T$41+'TE BF'!$T$41+'TE CVA'!$T$41)*1</f>
        <v>0</v>
      </c>
      <c r="S41" s="37">
        <f>('TE BE'!$U$41+'TE BF'!$U$41+'TE CVA'!$U$41)*1</f>
        <v>0</v>
      </c>
      <c r="T41" s="37">
        <f>('TE BE'!$W$41+'TE BF'!$W$41+'TE CVA'!$W$41)*1</f>
        <v>0</v>
      </c>
      <c r="U41" s="37">
        <f>('TE BE'!$Y$41+'TE BF'!$Y$41+'TE CVA'!$Y$41)*1</f>
        <v>4.1647313614385775</v>
      </c>
      <c r="W41" s="37">
        <v>2.4696507187780998</v>
      </c>
      <c r="X41" s="37">
        <v>8.0894187064985807</v>
      </c>
      <c r="Y41" s="37">
        <v>0</v>
      </c>
      <c r="Z41" s="37">
        <v>-5.6547048723443103</v>
      </c>
      <c r="AA41" s="37">
        <v>234.44272225255199</v>
      </c>
      <c r="AB41" s="37">
        <v>0</v>
      </c>
      <c r="AC41" s="37">
        <v>0</v>
      </c>
      <c r="AD41" s="37">
        <v>0</v>
      </c>
      <c r="AE41" s="37">
        <v>0</v>
      </c>
      <c r="AF41" s="37">
        <v>3.9558192990109</v>
      </c>
    </row>
    <row r="42" spans="1:32" ht="11.25" customHeight="1" x14ac:dyDescent="0.25">
      <c r="A42" s="135"/>
      <c r="B42" s="89" t="s">
        <v>99</v>
      </c>
      <c r="C42" s="89" t="s">
        <v>25</v>
      </c>
      <c r="D42" s="89" t="s">
        <v>25</v>
      </c>
      <c r="E42" s="89" t="s">
        <v>25</v>
      </c>
      <c r="F42" s="89" t="s">
        <v>25</v>
      </c>
      <c r="G42" s="39" t="s">
        <v>92</v>
      </c>
      <c r="H42" s="39" t="s">
        <v>86</v>
      </c>
      <c r="I42" s="39">
        <f>'MERCADO TE'!$U$39</f>
        <v>0</v>
      </c>
      <c r="J42" s="18"/>
      <c r="L42" s="37">
        <f>('TE BE'!$L$42+'TE BF'!$L$42+'TE CVA'!$L$42)*1</f>
        <v>2.8946200988770987</v>
      </c>
      <c r="M42" s="37">
        <f>('TE BE'!$M$42+'TE BF'!$M$42+'TE CVA'!$M$42)*1</f>
        <v>26.227847388511982</v>
      </c>
      <c r="N42" s="37">
        <f>('TE BE'!$N$42+'TE BF'!$N$42+'TE CVA'!$N$42)*1</f>
        <v>0</v>
      </c>
      <c r="O42" s="37">
        <f>('TE BE'!$O$42+'TE BF'!$O$42+'TE CVA'!$O$42)*1</f>
        <v>11.559133907941119</v>
      </c>
      <c r="P42" s="37">
        <f>('TE BE'!$Q$42+'TE BF'!$Q$42+'TE CVA'!$Q$42)*1</f>
        <v>252.35533097786856</v>
      </c>
      <c r="Q42" s="37">
        <f>('TE BE'!$S$42+'TE BF'!$S$42+'TE CVA'!$S$42)*1</f>
        <v>0</v>
      </c>
      <c r="R42" s="37">
        <f>('TE BE'!$T$42+'TE BF'!$T$42+'TE CVA'!$T$42)*1</f>
        <v>0</v>
      </c>
      <c r="S42" s="37">
        <f>('TE BE'!$U$42+'TE BF'!$U$42+'TE CVA'!$U$42)*1</f>
        <v>0</v>
      </c>
      <c r="T42" s="37">
        <f>('TE BE'!$W$42+'TE BF'!$W$42+'TE CVA'!$W$42)*1</f>
        <v>0</v>
      </c>
      <c r="U42" s="37">
        <f>('TE BE'!$Y$42+'TE BF'!$Y$42+'TE CVA'!$Y$42)*1</f>
        <v>4.1647313614385775</v>
      </c>
      <c r="W42" s="37">
        <v>2.4696507187780998</v>
      </c>
      <c r="X42" s="37">
        <v>8.0894187064985807</v>
      </c>
      <c r="Y42" s="37">
        <v>0</v>
      </c>
      <c r="Z42" s="37">
        <v>-5.6547048723443103</v>
      </c>
      <c r="AA42" s="37">
        <v>234.44272225255199</v>
      </c>
      <c r="AB42" s="37">
        <v>0</v>
      </c>
      <c r="AC42" s="37">
        <v>0</v>
      </c>
      <c r="AD42" s="37">
        <v>0</v>
      </c>
      <c r="AE42" s="37">
        <v>0</v>
      </c>
      <c r="AF42" s="37">
        <v>3.9558192990109</v>
      </c>
    </row>
    <row r="43" spans="1:32" ht="11.25" customHeight="1" x14ac:dyDescent="0.25">
      <c r="A43" s="135" t="s">
        <v>49</v>
      </c>
      <c r="B43" s="135" t="s">
        <v>94</v>
      </c>
      <c r="C43" s="135" t="s">
        <v>50</v>
      </c>
      <c r="D43" s="89" t="s">
        <v>51</v>
      </c>
      <c r="E43" s="89" t="s">
        <v>25</v>
      </c>
      <c r="F43" s="89" t="s">
        <v>25</v>
      </c>
      <c r="G43" s="39" t="s">
        <v>92</v>
      </c>
      <c r="H43" s="39" t="s">
        <v>86</v>
      </c>
      <c r="I43" s="39">
        <f>'MERCADO TE'!$U$40</f>
        <v>200182.10399999999</v>
      </c>
      <c r="J43" s="18"/>
      <c r="L43" s="37">
        <f>('TE BE'!$L$43+'TE BF'!$L$43+'TE CVA'!$L$43)*1</f>
        <v>1.5920410543824044</v>
      </c>
      <c r="M43" s="37">
        <f>('TE BE'!$M$43+'TE BF'!$M$43+'TE CVA'!$M$43)*1</f>
        <v>14.425316063681594</v>
      </c>
      <c r="N43" s="37">
        <f>('TE BE'!$N$43+'TE BF'!$N$43+'TE CVA'!$N$43)*1</f>
        <v>0</v>
      </c>
      <c r="O43" s="37">
        <f>('TE BE'!$O$43+'TE BF'!$O$43+'TE CVA'!$O$43)*1</f>
        <v>6.3575236493676162</v>
      </c>
      <c r="P43" s="37">
        <f>('TE BE'!$Q$43+'TE BF'!$Q$43+'TE CVA'!$Q$43)*1</f>
        <v>138.79543203782771</v>
      </c>
      <c r="Q43" s="37">
        <f>('TE BE'!$S$43+'TE BF'!$S$43+'TE CVA'!$S$43)*1</f>
        <v>0</v>
      </c>
      <c r="R43" s="37">
        <f>('TE BE'!$T$43+'TE BF'!$T$43+'TE CVA'!$T$43)*1</f>
        <v>0</v>
      </c>
      <c r="S43" s="37">
        <f>('TE BE'!$U$43+'TE BF'!$U$43+'TE CVA'!$U$43)*1</f>
        <v>0</v>
      </c>
      <c r="T43" s="37">
        <f>('TE BE'!$W$43+'TE BF'!$W$43+'TE CVA'!$W$43)*1</f>
        <v>0</v>
      </c>
      <c r="U43" s="37">
        <f>('TE BE'!$Y$43+'TE BF'!$Y$43+'TE CVA'!$Y$43)*1</f>
        <v>2.2906022487912177</v>
      </c>
      <c r="W43" s="37">
        <v>1.3583078953279599</v>
      </c>
      <c r="X43" s="37">
        <v>4.4491802885742198</v>
      </c>
      <c r="Y43" s="37">
        <v>0</v>
      </c>
      <c r="Z43" s="37">
        <v>-3.1100876797893702</v>
      </c>
      <c r="AA43" s="37">
        <v>128.943497238904</v>
      </c>
      <c r="AB43" s="37">
        <v>0</v>
      </c>
      <c r="AC43" s="37">
        <v>0</v>
      </c>
      <c r="AD43" s="37">
        <v>0</v>
      </c>
      <c r="AE43" s="37">
        <v>0</v>
      </c>
      <c r="AF43" s="37">
        <v>2.1757006144559998</v>
      </c>
    </row>
    <row r="44" spans="1:32" ht="11.25" customHeight="1" x14ac:dyDescent="0.25">
      <c r="A44" s="135"/>
      <c r="B44" s="135"/>
      <c r="C44" s="135"/>
      <c r="D44" s="39" t="s">
        <v>102</v>
      </c>
      <c r="E44" s="39" t="s">
        <v>25</v>
      </c>
      <c r="F44" s="39" t="s">
        <v>25</v>
      </c>
      <c r="G44" s="39" t="s">
        <v>92</v>
      </c>
      <c r="H44" s="39" t="s">
        <v>86</v>
      </c>
      <c r="I44" s="39">
        <f>'MERCADO TE'!$U$41</f>
        <v>0</v>
      </c>
      <c r="J44" s="18"/>
      <c r="L44" s="37">
        <f>('TE BE'!$L$44+'TE BF'!$L$44+'TE CVA'!$L$44)*1</f>
        <v>1.7367720593262592</v>
      </c>
      <c r="M44" s="37">
        <f>('TE BE'!$M$44+'TE BF'!$M$44+'TE CVA'!$M$44)*1</f>
        <v>15.736708433107189</v>
      </c>
      <c r="N44" s="37">
        <f>('TE BE'!$N$44+'TE BF'!$N$44+'TE CVA'!$N$44)*1</f>
        <v>0</v>
      </c>
      <c r="O44" s="37">
        <f>('TE BE'!$O$44+'TE BF'!$O$44+'TE CVA'!$O$44)*1</f>
        <v>6.9354803447646711</v>
      </c>
      <c r="P44" s="37">
        <f>('TE BE'!$Q$44+'TE BF'!$Q$44+'TE CVA'!$Q$44)*1</f>
        <v>151.41319858672114</v>
      </c>
      <c r="Q44" s="37">
        <f>('TE BE'!$S$44+'TE BF'!$S$44+'TE CVA'!$S$44)*1</f>
        <v>0</v>
      </c>
      <c r="R44" s="37">
        <f>('TE BE'!$T$44+'TE BF'!$T$44+'TE CVA'!$T$44)*1</f>
        <v>0</v>
      </c>
      <c r="S44" s="37">
        <f>('TE BE'!$U$44+'TE BF'!$U$44+'TE CVA'!$U$44)*1</f>
        <v>0</v>
      </c>
      <c r="T44" s="37">
        <f>('TE BE'!$W$44+'TE BF'!$W$44+'TE CVA'!$W$44)*1</f>
        <v>0</v>
      </c>
      <c r="U44" s="37">
        <f>('TE BE'!$Y$44+'TE BF'!$Y$44+'TE CVA'!$Y$44)*1</f>
        <v>2.4988388168631466</v>
      </c>
      <c r="W44" s="37">
        <v>1.4817904312668599</v>
      </c>
      <c r="X44" s="37">
        <v>4.85365122389915</v>
      </c>
      <c r="Y44" s="37">
        <v>0</v>
      </c>
      <c r="Z44" s="37">
        <v>-3.3928229234065799</v>
      </c>
      <c r="AA44" s="37">
        <v>140.665633351531</v>
      </c>
      <c r="AB44" s="37">
        <v>0</v>
      </c>
      <c r="AC44" s="37">
        <v>0</v>
      </c>
      <c r="AD44" s="37">
        <v>0</v>
      </c>
      <c r="AE44" s="37">
        <v>0</v>
      </c>
      <c r="AF44" s="37">
        <v>2.3734915794065401</v>
      </c>
    </row>
    <row r="46" spans="1:32" ht="11.25" customHeight="1" x14ac:dyDescent="0.25">
      <c r="L46" s="132" t="s">
        <v>1135</v>
      </c>
      <c r="M46" s="132"/>
      <c r="N46" s="132"/>
      <c r="O46" s="132"/>
      <c r="P46" s="132"/>
      <c r="Q46" s="132"/>
      <c r="R46" s="132"/>
      <c r="S46" s="132"/>
      <c r="T46" s="132"/>
      <c r="U46" s="132"/>
      <c r="W46" s="132" t="s">
        <v>1136</v>
      </c>
      <c r="X46" s="132"/>
      <c r="Y46" s="132"/>
      <c r="Z46" s="132"/>
      <c r="AA46" s="132"/>
      <c r="AB46" s="132"/>
      <c r="AC46" s="132"/>
      <c r="AD46" s="132"/>
      <c r="AE46" s="132"/>
      <c r="AF46" s="132"/>
    </row>
    <row r="47" spans="1:32" ht="11.25" customHeight="1" x14ac:dyDescent="0.25">
      <c r="L47" s="132" t="s">
        <v>674</v>
      </c>
      <c r="M47" s="132"/>
      <c r="N47" s="132"/>
      <c r="O47" s="132"/>
      <c r="P47" s="132"/>
      <c r="Q47" s="132"/>
      <c r="R47" s="132"/>
      <c r="S47" s="132"/>
      <c r="T47" s="132"/>
      <c r="U47" s="132"/>
      <c r="W47" s="132" t="s">
        <v>674</v>
      </c>
      <c r="X47" s="132"/>
      <c r="Y47" s="132"/>
      <c r="Z47" s="132"/>
      <c r="AA47" s="132"/>
      <c r="AB47" s="132"/>
      <c r="AC47" s="132"/>
      <c r="AD47" s="132"/>
      <c r="AE47" s="132"/>
      <c r="AF47" s="132"/>
    </row>
    <row r="48" spans="1:32" ht="11.25" customHeight="1" x14ac:dyDescent="0.25">
      <c r="L48" s="132" t="s">
        <v>647</v>
      </c>
      <c r="M48" s="132"/>
      <c r="N48" s="132"/>
      <c r="O48" s="132"/>
      <c r="P48" s="88" t="s">
        <v>677</v>
      </c>
      <c r="Q48" s="132" t="s">
        <v>656</v>
      </c>
      <c r="R48" s="132"/>
      <c r="S48" s="132"/>
      <c r="T48" s="88" t="s">
        <v>666</v>
      </c>
      <c r="U48" s="88" t="s">
        <v>669</v>
      </c>
      <c r="W48" s="132" t="s">
        <v>647</v>
      </c>
      <c r="X48" s="132"/>
      <c r="Y48" s="132"/>
      <c r="Z48" s="132"/>
      <c r="AA48" s="88" t="s">
        <v>677</v>
      </c>
      <c r="AB48" s="132" t="s">
        <v>656</v>
      </c>
      <c r="AC48" s="132"/>
      <c r="AD48" s="132"/>
      <c r="AE48" s="88" t="s">
        <v>666</v>
      </c>
      <c r="AF48" s="88" t="s">
        <v>669</v>
      </c>
    </row>
    <row r="49" spans="1:32" ht="11.25" customHeight="1" x14ac:dyDescent="0.25">
      <c r="L49" s="88" t="s">
        <v>649</v>
      </c>
      <c r="M49" s="88" t="s">
        <v>675</v>
      </c>
      <c r="N49" s="88" t="s">
        <v>676</v>
      </c>
      <c r="O49" s="88" t="s">
        <v>734</v>
      </c>
      <c r="P49" s="88" t="s">
        <v>678</v>
      </c>
      <c r="Q49" s="88" t="s">
        <v>679</v>
      </c>
      <c r="R49" s="88" t="s">
        <v>680</v>
      </c>
      <c r="S49" s="88" t="s">
        <v>681</v>
      </c>
      <c r="T49" s="88" t="s">
        <v>667</v>
      </c>
      <c r="U49" s="88" t="s">
        <v>682</v>
      </c>
      <c r="W49" s="88" t="s">
        <v>649</v>
      </c>
      <c r="X49" s="88" t="s">
        <v>675</v>
      </c>
      <c r="Y49" s="88" t="s">
        <v>676</v>
      </c>
      <c r="Z49" s="88" t="s">
        <v>734</v>
      </c>
      <c r="AA49" s="88" t="s">
        <v>678</v>
      </c>
      <c r="AB49" s="88" t="s">
        <v>679</v>
      </c>
      <c r="AC49" s="88" t="s">
        <v>680</v>
      </c>
      <c r="AD49" s="88" t="s">
        <v>681</v>
      </c>
      <c r="AE49" s="88" t="s">
        <v>667</v>
      </c>
      <c r="AF49" s="88" t="s">
        <v>682</v>
      </c>
    </row>
    <row r="50" spans="1:32" ht="11.25" customHeight="1" x14ac:dyDescent="0.25">
      <c r="A50" s="9" t="s">
        <v>43</v>
      </c>
      <c r="B50" s="9" t="s">
        <v>1137</v>
      </c>
      <c r="C50" s="9" t="s">
        <v>1138</v>
      </c>
      <c r="D50" s="9" t="s">
        <v>1139</v>
      </c>
      <c r="E50" s="9" t="s">
        <v>1140</v>
      </c>
      <c r="F50" s="9" t="s">
        <v>1141</v>
      </c>
      <c r="G50" s="9" t="s">
        <v>1142</v>
      </c>
      <c r="L50" s="37">
        <f>$I$5*$L$5</f>
        <v>14476.724558749289</v>
      </c>
      <c r="M50" s="37">
        <f>$I$5*$M$5</f>
        <v>131172.07420749034</v>
      </c>
      <c r="N50" s="37">
        <f>$I$5*$N$5</f>
        <v>0</v>
      </c>
      <c r="O50" s="37">
        <f>$I$5*$O$5</f>
        <v>57810.141575358342</v>
      </c>
      <c r="P50" s="37">
        <f>$I$5*$P$5</f>
        <v>2047923.8476166141</v>
      </c>
      <c r="Q50" s="37">
        <f>$I$5*$Q$5</f>
        <v>0</v>
      </c>
      <c r="R50" s="37">
        <f>$I$5*$R$5</f>
        <v>0</v>
      </c>
      <c r="S50" s="37">
        <f>$I$5*$S$5</f>
        <v>0</v>
      </c>
      <c r="T50" s="37">
        <f>$I$5*$T$5</f>
        <v>0</v>
      </c>
      <c r="U50" s="37">
        <f>$I$5*$U$5</f>
        <v>20828.871050857411</v>
      </c>
      <c r="W50" s="37">
        <f>$I$5*$W$5</f>
        <v>12351.34559659041</v>
      </c>
      <c r="X50" s="37">
        <f>$I$5*$X$5</f>
        <v>40457.221484713446</v>
      </c>
      <c r="Y50" s="37">
        <f>$I$5*$Y$5</f>
        <v>0</v>
      </c>
      <c r="Z50" s="37">
        <f>$I$5*$Z$5</f>
        <v>-28280.60405222173</v>
      </c>
      <c r="AA50" s="37">
        <f>$I$5*$AA$5</f>
        <v>1902558.7450073201</v>
      </c>
      <c r="AB50" s="37">
        <f>$I$5*$AB$5</f>
        <v>0</v>
      </c>
      <c r="AC50" s="37">
        <f>$I$5*$AC$5</f>
        <v>0</v>
      </c>
      <c r="AD50" s="37">
        <f>$I$5*$AD$5</f>
        <v>0</v>
      </c>
      <c r="AE50" s="37">
        <f>$I$5*$AE$5</f>
        <v>0</v>
      </c>
      <c r="AF50" s="37">
        <f>$I$5*$AF$5</f>
        <v>19784.049180816863</v>
      </c>
    </row>
    <row r="51" spans="1:32" ht="11.25" customHeight="1" x14ac:dyDescent="0.25">
      <c r="A51" s="9" t="s">
        <v>43</v>
      </c>
      <c r="B51" s="9" t="s">
        <v>1137</v>
      </c>
      <c r="C51" s="9" t="s">
        <v>1138</v>
      </c>
      <c r="D51" s="9" t="s">
        <v>1139</v>
      </c>
      <c r="E51" s="9" t="s">
        <v>1140</v>
      </c>
      <c r="F51" s="9" t="s">
        <v>1141</v>
      </c>
      <c r="G51" s="9" t="s">
        <v>1143</v>
      </c>
      <c r="L51" s="37">
        <f>$I$6*$L$6</f>
        <v>154440.40308993749</v>
      </c>
      <c r="M51" s="37">
        <f>$I$6*$M$6</f>
        <v>1399368.2018702582</v>
      </c>
      <c r="N51" s="37">
        <f>$I$6*$N$6</f>
        <v>0</v>
      </c>
      <c r="O51" s="37">
        <f>$I$6*$O$6</f>
        <v>616729.39423225762</v>
      </c>
      <c r="P51" s="37">
        <f>$I$6*$P$6</f>
        <v>12702112.985277843</v>
      </c>
      <c r="Q51" s="37">
        <f>$I$6*$Q$6</f>
        <v>0</v>
      </c>
      <c r="R51" s="37">
        <f>$I$6*$R$6</f>
        <v>0</v>
      </c>
      <c r="S51" s="37">
        <f>$I$6*$S$6</f>
        <v>0</v>
      </c>
      <c r="T51" s="37">
        <f>$I$6*$T$6</f>
        <v>0</v>
      </c>
      <c r="U51" s="37">
        <f>$I$6*$U$6</f>
        <v>222206.28899502003</v>
      </c>
      <c r="W51" s="37">
        <f>$I$6*$W$6</f>
        <v>131766.46311804588</v>
      </c>
      <c r="X51" s="37">
        <f>$I$6*$X$6</f>
        <v>431605.19968736882</v>
      </c>
      <c r="Y51" s="37">
        <f>$I$6*$Y$6</f>
        <v>0</v>
      </c>
      <c r="Z51" s="37">
        <f>$I$6*$Z$6</f>
        <v>-301702.76927817619</v>
      </c>
      <c r="AA51" s="37">
        <f>$I$6*$AA$6</f>
        <v>11800495.496127222</v>
      </c>
      <c r="AB51" s="37">
        <f>$I$6*$AB$6</f>
        <v>0</v>
      </c>
      <c r="AC51" s="37">
        <f>$I$6*$AC$6</f>
        <v>0</v>
      </c>
      <c r="AD51" s="37">
        <f>$I$6*$AD$6</f>
        <v>0</v>
      </c>
      <c r="AE51" s="37">
        <f>$I$6*$AE$6</f>
        <v>0</v>
      </c>
      <c r="AF51" s="37">
        <f>$I$6*$AF$6</f>
        <v>211059.93402284358</v>
      </c>
    </row>
    <row r="52" spans="1:32" ht="11.25" customHeight="1" x14ac:dyDescent="0.25">
      <c r="A52" s="9" t="s">
        <v>35</v>
      </c>
      <c r="B52" s="9" t="s">
        <v>1144</v>
      </c>
      <c r="C52" s="9" t="s">
        <v>1145</v>
      </c>
      <c r="D52" s="9" t="s">
        <v>1146</v>
      </c>
      <c r="E52" s="9" t="s">
        <v>1147</v>
      </c>
      <c r="F52" s="9" t="s">
        <v>1148</v>
      </c>
      <c r="G52" s="9" t="s">
        <v>1149</v>
      </c>
      <c r="L52" s="37">
        <f>$I$7*$L$7</f>
        <v>234831.02268949436</v>
      </c>
      <c r="M52" s="37">
        <f>$I$7*$M$7</f>
        <v>2127779.1263791537</v>
      </c>
      <c r="N52" s="37">
        <f>$I$7*$N$7</f>
        <v>0</v>
      </c>
      <c r="O52" s="37">
        <f>$I$7*$O$7</f>
        <v>937754.57375550945</v>
      </c>
      <c r="P52" s="37">
        <f>$I$7*$P$7</f>
        <v>33219948.999814514</v>
      </c>
      <c r="Q52" s="37">
        <f>$I$7*$Q$7</f>
        <v>0</v>
      </c>
      <c r="R52" s="37">
        <f>$I$7*$R$7</f>
        <v>0</v>
      </c>
      <c r="S52" s="37">
        <f>$I$7*$S$7</f>
        <v>0</v>
      </c>
      <c r="T52" s="37">
        <f>$I$7*$T$7</f>
        <v>0</v>
      </c>
      <c r="U52" s="37">
        <f>$I$7*$U$7</f>
        <v>337870.97837572091</v>
      </c>
      <c r="W52" s="37">
        <f>$I$7*$W$7</f>
        <v>200354.65248150681</v>
      </c>
      <c r="X52" s="37">
        <f>$I$7*$X$7</f>
        <v>656267.97400719789</v>
      </c>
      <c r="Y52" s="37">
        <f>$I$7*$Y$7</f>
        <v>0</v>
      </c>
      <c r="Z52" s="37">
        <f>$I$7*$Z$7</f>
        <v>-458747.63624249317</v>
      </c>
      <c r="AA52" s="37">
        <f>$I$7*$AA$7</f>
        <v>30861940.765937269</v>
      </c>
      <c r="AB52" s="37">
        <f>$I$7*$AB$7</f>
        <v>0</v>
      </c>
      <c r="AC52" s="37">
        <f>$I$7*$AC$7</f>
        <v>0</v>
      </c>
      <c r="AD52" s="37">
        <f>$I$7*$AD$7</f>
        <v>0</v>
      </c>
      <c r="AE52" s="37">
        <f>$I$7*$AE$7</f>
        <v>0</v>
      </c>
      <c r="AF52" s="37">
        <f>$I$7*$AF$7</f>
        <v>320922.62881817645</v>
      </c>
    </row>
    <row r="53" spans="1:32" ht="11.25" customHeight="1" x14ac:dyDescent="0.25">
      <c r="A53" s="9" t="s">
        <v>35</v>
      </c>
      <c r="B53" s="9" t="s">
        <v>1144</v>
      </c>
      <c r="C53" s="9" t="s">
        <v>1145</v>
      </c>
      <c r="D53" s="9" t="s">
        <v>1146</v>
      </c>
      <c r="E53" s="9" t="s">
        <v>1147</v>
      </c>
      <c r="F53" s="9" t="s">
        <v>1148</v>
      </c>
      <c r="G53" s="9" t="s">
        <v>1150</v>
      </c>
      <c r="L53" s="37">
        <f>$I$8*$L$8</f>
        <v>3006882.8998784544</v>
      </c>
      <c r="M53" s="37">
        <f>$I$8*$M$8</f>
        <v>27245048.786793113</v>
      </c>
      <c r="N53" s="37">
        <f>$I$8*$N$8</f>
        <v>0</v>
      </c>
      <c r="O53" s="37">
        <f>$I$8*$O$8</f>
        <v>12007434.79210848</v>
      </c>
      <c r="P53" s="37">
        <f>$I$8*$P$8</f>
        <v>247304238.81057915</v>
      </c>
      <c r="Q53" s="37">
        <f>$I$8*$Q$8</f>
        <v>0</v>
      </c>
      <c r="R53" s="37">
        <f>$I$8*$R$8</f>
        <v>0</v>
      </c>
      <c r="S53" s="37">
        <f>$I$8*$S$8</f>
        <v>0</v>
      </c>
      <c r="T53" s="37">
        <f>$I$8*$T$8</f>
        <v>0</v>
      </c>
      <c r="U53" s="37">
        <f>$I$8*$U$8</f>
        <v>4326253.216494672</v>
      </c>
      <c r="W53" s="37">
        <f>$I$8*$W$8</f>
        <v>2565431.8222440067</v>
      </c>
      <c r="X53" s="37">
        <f>$I$8*$X$8</f>
        <v>8403152.7273521591</v>
      </c>
      <c r="Y53" s="37">
        <f>$I$8*$Y$8</f>
        <v>0</v>
      </c>
      <c r="Z53" s="37">
        <f>$I$8*$Z$8</f>
        <v>-5874012.755977001</v>
      </c>
      <c r="AA53" s="37">
        <f>$I$8*$AA$8</f>
        <v>229750165.16069639</v>
      </c>
      <c r="AB53" s="37">
        <f>$I$8*$AB$8</f>
        <v>0</v>
      </c>
      <c r="AC53" s="37">
        <f>$I$8*$AC$8</f>
        <v>0</v>
      </c>
      <c r="AD53" s="37">
        <f>$I$8*$AD$8</f>
        <v>0</v>
      </c>
      <c r="AE53" s="37">
        <f>$I$8*$AE$8</f>
        <v>0</v>
      </c>
      <c r="AF53" s="37">
        <f>$I$8*$AF$8</f>
        <v>4109238.8634416377</v>
      </c>
    </row>
    <row r="54" spans="1:32" ht="11.25" customHeight="1" x14ac:dyDescent="0.25">
      <c r="A54" s="9" t="s">
        <v>35</v>
      </c>
      <c r="B54" s="9" t="s">
        <v>1151</v>
      </c>
      <c r="C54" s="9" t="s">
        <v>1152</v>
      </c>
      <c r="D54" s="9" t="s">
        <v>1153</v>
      </c>
      <c r="E54" s="9" t="s">
        <v>1154</v>
      </c>
      <c r="F54" s="9" t="s">
        <v>1155</v>
      </c>
      <c r="G54" s="9" t="s">
        <v>1156</v>
      </c>
      <c r="L54" s="37">
        <f>$I$9*$L$9</f>
        <v>0</v>
      </c>
      <c r="M54" s="37">
        <f>$I$9*$M$9</f>
        <v>0</v>
      </c>
      <c r="N54" s="37">
        <f>$I$9*$N$9</f>
        <v>0</v>
      </c>
      <c r="O54" s="37">
        <f>$I$9*$O$9</f>
        <v>0</v>
      </c>
      <c r="P54" s="37">
        <f>$I$9*$P$9</f>
        <v>0</v>
      </c>
      <c r="Q54" s="37">
        <f>$I$9*$Q$9</f>
        <v>0</v>
      </c>
      <c r="R54" s="37">
        <f>$I$9*$R$9</f>
        <v>0</v>
      </c>
      <c r="S54" s="37">
        <f>$I$9*$S$9</f>
        <v>0</v>
      </c>
      <c r="T54" s="37">
        <f>$I$9*$T$9</f>
        <v>0</v>
      </c>
      <c r="U54" s="37">
        <f>$I$9*$U$9</f>
        <v>0</v>
      </c>
      <c r="W54" s="37">
        <f>$I$9*$W$9</f>
        <v>0</v>
      </c>
      <c r="X54" s="37">
        <f>$I$9*$X$9</f>
        <v>0</v>
      </c>
      <c r="Y54" s="37">
        <f>$I$9*$Y$9</f>
        <v>0</v>
      </c>
      <c r="Z54" s="37">
        <f>$I$9*$Z$9</f>
        <v>0</v>
      </c>
      <c r="AA54" s="37">
        <f>$I$9*$AA$9</f>
        <v>0</v>
      </c>
      <c r="AB54" s="37">
        <f>$I$9*$AB$9</f>
        <v>0</v>
      </c>
      <c r="AC54" s="37">
        <f>$I$9*$AC$9</f>
        <v>0</v>
      </c>
      <c r="AD54" s="37">
        <f>$I$9*$AD$9</f>
        <v>0</v>
      </c>
      <c r="AE54" s="37">
        <f>$I$9*$AE$9</f>
        <v>0</v>
      </c>
      <c r="AF54" s="37">
        <f>$I$9*$AF$9</f>
        <v>0</v>
      </c>
    </row>
    <row r="55" spans="1:32" ht="11.25" customHeight="1" x14ac:dyDescent="0.25">
      <c r="A55" s="9" t="s">
        <v>22</v>
      </c>
      <c r="B55" s="9" t="s">
        <v>1157</v>
      </c>
      <c r="C55" s="9" t="s">
        <v>1158</v>
      </c>
      <c r="D55" s="9" t="s">
        <v>1159</v>
      </c>
      <c r="E55" s="9" t="s">
        <v>1160</v>
      </c>
      <c r="F55" s="9" t="s">
        <v>1161</v>
      </c>
      <c r="G55" s="9" t="s">
        <v>1162</v>
      </c>
      <c r="L55" s="37">
        <f>$I$10*$L$10</f>
        <v>91.823138776579327</v>
      </c>
      <c r="M55" s="37">
        <f>$I$10*$M$10</f>
        <v>831.99977485837712</v>
      </c>
      <c r="N55" s="37">
        <f>$I$10*$N$10</f>
        <v>0</v>
      </c>
      <c r="O55" s="37">
        <f>$I$10*$O$10</f>
        <v>366.67884582770819</v>
      </c>
      <c r="P55" s="37">
        <f>$I$10*$P$10</f>
        <v>12989.595464114631</v>
      </c>
      <c r="Q55" s="37">
        <f>$I$10*$Q$10</f>
        <v>0</v>
      </c>
      <c r="R55" s="37">
        <f>$I$10*$R$10</f>
        <v>0</v>
      </c>
      <c r="S55" s="37">
        <f>$I$10*$S$10</f>
        <v>0</v>
      </c>
      <c r="T55" s="37">
        <f>$I$10*$T$10</f>
        <v>0</v>
      </c>
      <c r="U55" s="37">
        <f>$I$10*$U$10</f>
        <v>132.11360824755457</v>
      </c>
      <c r="W55" s="37">
        <f>$I$10*$W$10</f>
        <v>78.342260101078892</v>
      </c>
      <c r="X55" s="37">
        <f>$I$10*$X$10</f>
        <v>256.61254020754797</v>
      </c>
      <c r="Y55" s="37">
        <f>$I$10*$Y$10</f>
        <v>0</v>
      </c>
      <c r="Z55" s="37">
        <f>$I$10*$Z$10</f>
        <v>-179.37854796050621</v>
      </c>
      <c r="AA55" s="37">
        <f>$I$10*$AA$10</f>
        <v>12067.571981800198</v>
      </c>
      <c r="AB55" s="37">
        <f>$I$10*$AB$10</f>
        <v>0</v>
      </c>
      <c r="AC55" s="37">
        <f>$I$10*$AC$10</f>
        <v>0</v>
      </c>
      <c r="AD55" s="37">
        <f>$I$10*$AD$10</f>
        <v>0</v>
      </c>
      <c r="AE55" s="37">
        <f>$I$10*$AE$10</f>
        <v>0</v>
      </c>
      <c r="AF55" s="37">
        <f>$I$10*$AF$10</f>
        <v>125.48649980322378</v>
      </c>
    </row>
    <row r="56" spans="1:32" ht="11.25" customHeight="1" x14ac:dyDescent="0.25">
      <c r="A56" s="9" t="s">
        <v>22</v>
      </c>
      <c r="B56" s="9" t="s">
        <v>1157</v>
      </c>
      <c r="C56" s="9" t="s">
        <v>1158</v>
      </c>
      <c r="D56" s="9" t="s">
        <v>1159</v>
      </c>
      <c r="E56" s="9" t="s">
        <v>1160</v>
      </c>
      <c r="F56" s="9" t="s">
        <v>1161</v>
      </c>
      <c r="G56" s="9" t="s">
        <v>1163</v>
      </c>
      <c r="L56" s="37">
        <f>$I$11*$L$11</f>
        <v>90.051631276066544</v>
      </c>
      <c r="M56" s="37">
        <f>$I$11*$M$11</f>
        <v>815.94833225660773</v>
      </c>
      <c r="N56" s="37">
        <f>$I$11*$N$11</f>
        <v>0</v>
      </c>
      <c r="O56" s="37">
        <f>$I$11*$O$11</f>
        <v>359.60465587604818</v>
      </c>
      <c r="P56" s="37">
        <f>$I$11*$P$11</f>
        <v>7406.3908931334818</v>
      </c>
      <c r="Q56" s="37">
        <f>$I$11*$Q$11</f>
        <v>0</v>
      </c>
      <c r="R56" s="37">
        <f>$I$11*$R$11</f>
        <v>0</v>
      </c>
      <c r="S56" s="37">
        <f>$I$11*$S$11</f>
        <v>0</v>
      </c>
      <c r="T56" s="37">
        <f>$I$11*$T$11</f>
        <v>0</v>
      </c>
      <c r="U56" s="37">
        <f>$I$11*$U$11</f>
        <v>129.56479265435414</v>
      </c>
      <c r="W56" s="37">
        <f>$I$11*$W$11</f>
        <v>76.83083386118669</v>
      </c>
      <c r="X56" s="37">
        <f>$I$11*$X$11</f>
        <v>251.66181595917084</v>
      </c>
      <c r="Y56" s="37">
        <f>$I$11*$Y$11</f>
        <v>0</v>
      </c>
      <c r="Z56" s="37">
        <f>$I$11*$Z$11</f>
        <v>-175.9178685786315</v>
      </c>
      <c r="AA56" s="37">
        <f>$I$11*$AA$11</f>
        <v>6880.6727257329294</v>
      </c>
      <c r="AB56" s="37">
        <f>$I$11*$AB$11</f>
        <v>0</v>
      </c>
      <c r="AC56" s="37">
        <f>$I$11*$AC$11</f>
        <v>0</v>
      </c>
      <c r="AD56" s="37">
        <f>$I$11*$AD$11</f>
        <v>0</v>
      </c>
      <c r="AE56" s="37">
        <f>$I$11*$AE$11</f>
        <v>0</v>
      </c>
      <c r="AF56" s="37">
        <f>$I$11*$AF$11</f>
        <v>123.0655383922291</v>
      </c>
    </row>
    <row r="57" spans="1:32" ht="11.25" customHeight="1" x14ac:dyDescent="0.25">
      <c r="A57" s="9" t="s">
        <v>22</v>
      </c>
      <c r="B57" s="9" t="s">
        <v>1157</v>
      </c>
      <c r="C57" s="9" t="s">
        <v>1158</v>
      </c>
      <c r="D57" s="9" t="s">
        <v>1159</v>
      </c>
      <c r="E57" s="9" t="s">
        <v>1160</v>
      </c>
      <c r="F57" s="9" t="s">
        <v>1161</v>
      </c>
      <c r="G57" s="9" t="s">
        <v>1164</v>
      </c>
      <c r="L57" s="37">
        <f>$I$12*$L$12</f>
        <v>1366.3475252729568</v>
      </c>
      <c r="M57" s="37">
        <f>$I$12*$M$12</f>
        <v>12380.33080279931</v>
      </c>
      <c r="N57" s="37">
        <f>$I$12*$N$12</f>
        <v>0</v>
      </c>
      <c r="O57" s="37">
        <f>$I$12*$O$12</f>
        <v>5456.2579785654461</v>
      </c>
      <c r="P57" s="37">
        <f>$I$12*$P$12</f>
        <v>112376.68573724838</v>
      </c>
      <c r="Q57" s="37">
        <f>$I$12*$Q$12</f>
        <v>0</v>
      </c>
      <c r="R57" s="37">
        <f>$I$12*$R$12</f>
        <v>0</v>
      </c>
      <c r="S57" s="37">
        <f>$I$12*$S$12</f>
        <v>0</v>
      </c>
      <c r="T57" s="37">
        <f>$I$12*$T$12</f>
        <v>0</v>
      </c>
      <c r="U57" s="37">
        <f>$I$12*$U$12</f>
        <v>1965.8781445398515</v>
      </c>
      <c r="W57" s="37">
        <f>$I$12*$W$12</f>
        <v>1165.7492287848263</v>
      </c>
      <c r="X57" s="37">
        <f>$I$12*$X$12</f>
        <v>3818.4483120285249</v>
      </c>
      <c r="Y57" s="37">
        <f>$I$12*$Y$12</f>
        <v>0</v>
      </c>
      <c r="Z57" s="37">
        <f>$I$12*$Z$12</f>
        <v>-2669.1903408926846</v>
      </c>
      <c r="AA57" s="37">
        <f>$I$12*$AA$12</f>
        <v>104399.99828761538</v>
      </c>
      <c r="AB57" s="37">
        <f>$I$12*$AB$12</f>
        <v>0</v>
      </c>
      <c r="AC57" s="37">
        <f>$I$12*$AC$12</f>
        <v>0</v>
      </c>
      <c r="AD57" s="37">
        <f>$I$12*$AD$12</f>
        <v>0</v>
      </c>
      <c r="AE57" s="37">
        <f>$I$12*$AE$12</f>
        <v>0</v>
      </c>
      <c r="AF57" s="37">
        <f>$I$12*$AF$12</f>
        <v>1867.265383712115</v>
      </c>
    </row>
    <row r="58" spans="1:32" ht="11.25" customHeight="1" x14ac:dyDescent="0.25">
      <c r="A58" s="9" t="s">
        <v>22</v>
      </c>
      <c r="B58" s="9" t="s">
        <v>1165</v>
      </c>
      <c r="C58" s="9" t="s">
        <v>1166</v>
      </c>
      <c r="D58" s="9" t="s">
        <v>1167</v>
      </c>
      <c r="E58" s="9" t="s">
        <v>1168</v>
      </c>
      <c r="F58" s="9" t="s">
        <v>1169</v>
      </c>
      <c r="G58" s="9" t="s">
        <v>1170</v>
      </c>
      <c r="L58" s="37">
        <f>$I$13*$L$13</f>
        <v>5057293.1893018978</v>
      </c>
      <c r="M58" s="37">
        <f>$I$13*$M$13</f>
        <v>45823600.139937736</v>
      </c>
      <c r="N58" s="37">
        <f>$I$13*$N$13</f>
        <v>0</v>
      </c>
      <c r="O58" s="37">
        <f>$I$13*$O$13</f>
        <v>20195371.824280728</v>
      </c>
      <c r="P58" s="37">
        <f>$I$13*$P$13</f>
        <v>440898927.33539951</v>
      </c>
      <c r="Q58" s="37">
        <f>$I$13*$Q$13</f>
        <v>0</v>
      </c>
      <c r="R58" s="37">
        <f>$I$13*$R$13</f>
        <v>0</v>
      </c>
      <c r="S58" s="37">
        <f>$I$13*$S$13</f>
        <v>0</v>
      </c>
      <c r="T58" s="37">
        <f>$I$13*$T$13</f>
        <v>0</v>
      </c>
      <c r="U58" s="37">
        <f>$I$13*$U$13</f>
        <v>7276349.5139296381</v>
      </c>
      <c r="W58" s="37">
        <f>$I$13*$W$13</f>
        <v>4314814.1494892994</v>
      </c>
      <c r="X58" s="37">
        <f>$I$13*$X$13</f>
        <v>14133309.633846926</v>
      </c>
      <c r="Y58" s="37">
        <f>$I$13*$Y$13</f>
        <v>0</v>
      </c>
      <c r="Z58" s="37">
        <f>$I$13*$Z$13</f>
        <v>-9879534.951585833</v>
      </c>
      <c r="AA58" s="37">
        <f>$I$13*$AA$13</f>
        <v>409603174.86538959</v>
      </c>
      <c r="AB58" s="37">
        <f>$I$13*$AB$13</f>
        <v>0</v>
      </c>
      <c r="AC58" s="37">
        <f>$I$13*$AC$13</f>
        <v>0</v>
      </c>
      <c r="AD58" s="37">
        <f>$I$13*$AD$13</f>
        <v>0</v>
      </c>
      <c r="AE58" s="37">
        <f>$I$13*$AE$13</f>
        <v>0</v>
      </c>
      <c r="AF58" s="37">
        <f>$I$13*$AF$13</f>
        <v>6911351.8581445618</v>
      </c>
    </row>
    <row r="59" spans="1:32" ht="11.25" customHeight="1" x14ac:dyDescent="0.25">
      <c r="A59" s="9" t="s">
        <v>22</v>
      </c>
      <c r="B59" s="9" t="s">
        <v>1165</v>
      </c>
      <c r="C59" s="9" t="s">
        <v>1166</v>
      </c>
      <c r="D59" s="9" t="s">
        <v>1171</v>
      </c>
      <c r="E59" s="9" t="s">
        <v>1172</v>
      </c>
      <c r="F59" s="9" t="s">
        <v>1173</v>
      </c>
      <c r="G59" s="9" t="s">
        <v>1174</v>
      </c>
      <c r="L59" s="37">
        <f>$I$14*$L$14</f>
        <v>73614.996499504836</v>
      </c>
      <c r="M59" s="37">
        <f>$I$14*$M$14</f>
        <v>667017.71829880262</v>
      </c>
      <c r="N59" s="37">
        <f>$I$14*$N$14</f>
        <v>0</v>
      </c>
      <c r="O59" s="37">
        <f>$I$14*$O$14</f>
        <v>293967.97268853692</v>
      </c>
      <c r="P59" s="37">
        <f>$I$14*$P$14</f>
        <v>6417815.1785008861</v>
      </c>
      <c r="Q59" s="37">
        <f>$I$14*$Q$14</f>
        <v>0</v>
      </c>
      <c r="R59" s="37">
        <f>$I$14*$R$14</f>
        <v>0</v>
      </c>
      <c r="S59" s="37">
        <f>$I$14*$S$14</f>
        <v>0</v>
      </c>
      <c r="T59" s="37">
        <f>$I$14*$T$14</f>
        <v>0</v>
      </c>
      <c r="U59" s="37">
        <f>$I$14*$U$14</f>
        <v>105916.0353072281</v>
      </c>
      <c r="W59" s="37">
        <f>$I$14*$W$14</f>
        <v>62807.319374440835</v>
      </c>
      <c r="X59" s="37">
        <f>$I$14*$X$14</f>
        <v>205727.35261284644</v>
      </c>
      <c r="Y59" s="37">
        <f>$I$14*$Y$14</f>
        <v>0</v>
      </c>
      <c r="Z59" s="37">
        <f>$I$14*$Z$14</f>
        <v>-143808.53623756793</v>
      </c>
      <c r="AA59" s="37">
        <f>$I$14*$AA$14</f>
        <v>5962267.789355522</v>
      </c>
      <c r="AB59" s="37">
        <f>$I$14*$AB$14</f>
        <v>0</v>
      </c>
      <c r="AC59" s="37">
        <f>$I$14*$AC$14</f>
        <v>0</v>
      </c>
      <c r="AD59" s="37">
        <f>$I$14*$AD$14</f>
        <v>0</v>
      </c>
      <c r="AE59" s="37">
        <f>$I$14*$AE$14</f>
        <v>0</v>
      </c>
      <c r="AF59" s="37">
        <f>$I$14*$AF$14</f>
        <v>100603.05459853937</v>
      </c>
    </row>
    <row r="60" spans="1:32" ht="11.25" customHeight="1" x14ac:dyDescent="0.25">
      <c r="A60" s="9" t="s">
        <v>22</v>
      </c>
      <c r="B60" s="9" t="s">
        <v>1165</v>
      </c>
      <c r="C60" s="9" t="s">
        <v>1166</v>
      </c>
      <c r="D60" s="9" t="s">
        <v>1175</v>
      </c>
      <c r="E60" s="9" t="s">
        <v>1176</v>
      </c>
      <c r="F60" s="9" t="s">
        <v>1177</v>
      </c>
      <c r="G60" s="9" t="s">
        <v>1178</v>
      </c>
      <c r="L60" s="37">
        <f>$I$15*$L$15</f>
        <v>202485.20733724412</v>
      </c>
      <c r="M60" s="37">
        <f>$I$15*$M$15</f>
        <v>1834697.1053412603</v>
      </c>
      <c r="N60" s="37">
        <f>$I$15*$N$15</f>
        <v>0</v>
      </c>
      <c r="O60" s="37">
        <f>$I$15*$O$15</f>
        <v>808587.49889023101</v>
      </c>
      <c r="P60" s="37">
        <f>$I$15*$P$15</f>
        <v>17652824.816470724</v>
      </c>
      <c r="Q60" s="37">
        <f>$I$15*$Q$15</f>
        <v>0</v>
      </c>
      <c r="R60" s="37">
        <f>$I$15*$R$15</f>
        <v>0</v>
      </c>
      <c r="S60" s="37">
        <f>$I$15*$S$15</f>
        <v>0</v>
      </c>
      <c r="T60" s="37">
        <f>$I$15*$T$15</f>
        <v>0</v>
      </c>
      <c r="U60" s="37">
        <f>$I$15*$U$15</f>
        <v>291332.35603247239</v>
      </c>
      <c r="W60" s="37">
        <f>$I$15*$W$15</f>
        <v>172757.64029840991</v>
      </c>
      <c r="X60" s="37">
        <f>$I$15*$X$15</f>
        <v>565873.09148394514</v>
      </c>
      <c r="Y60" s="37">
        <f>$I$15*$Y$15</f>
        <v>0</v>
      </c>
      <c r="Z60" s="37">
        <f>$I$15*$Z$15</f>
        <v>-395559.36509655765</v>
      </c>
      <c r="AA60" s="37">
        <f>$I$15*$AA$15</f>
        <v>16399797.418124476</v>
      </c>
      <c r="AB60" s="37">
        <f>$I$15*$AB$15</f>
        <v>0</v>
      </c>
      <c r="AC60" s="37">
        <f>$I$15*$AC$15</f>
        <v>0</v>
      </c>
      <c r="AD60" s="37">
        <f>$I$15*$AD$15</f>
        <v>0</v>
      </c>
      <c r="AE60" s="37">
        <f>$I$15*$AE$15</f>
        <v>0</v>
      </c>
      <c r="AF60" s="37">
        <f>$I$15*$AF$15</f>
        <v>276718.48587647872</v>
      </c>
    </row>
    <row r="61" spans="1:32" ht="11.25" customHeight="1" x14ac:dyDescent="0.25">
      <c r="A61" s="9" t="s">
        <v>22</v>
      </c>
      <c r="B61" s="9" t="s">
        <v>1165</v>
      </c>
      <c r="C61" s="9" t="s">
        <v>1166</v>
      </c>
      <c r="D61" s="9" t="s">
        <v>1179</v>
      </c>
      <c r="E61" s="9" t="s">
        <v>1180</v>
      </c>
      <c r="F61" s="9" t="s">
        <v>1181</v>
      </c>
      <c r="G61" s="9" t="s">
        <v>1182</v>
      </c>
      <c r="L61" s="37">
        <f>$I$16*$L$16</f>
        <v>268874.39349850913</v>
      </c>
      <c r="M61" s="37">
        <f>$I$16*$M$16</f>
        <v>2436242.518350949</v>
      </c>
      <c r="N61" s="37">
        <f>$I$16*$N$16</f>
        <v>0</v>
      </c>
      <c r="O61" s="37">
        <f>$I$16*$O$16</f>
        <v>1073700.5246634539</v>
      </c>
      <c r="P61" s="37">
        <f>$I$16*$P$16</f>
        <v>23440687.981511466</v>
      </c>
      <c r="Q61" s="37">
        <f>$I$16*$Q$16</f>
        <v>0</v>
      </c>
      <c r="R61" s="37">
        <f>$I$16*$R$16</f>
        <v>0</v>
      </c>
      <c r="S61" s="37">
        <f>$I$16*$S$16</f>
        <v>0</v>
      </c>
      <c r="T61" s="37">
        <f>$I$16*$T$16</f>
        <v>0</v>
      </c>
      <c r="U61" s="37">
        <f>$I$16*$U$16</f>
        <v>386852.01533887448</v>
      </c>
      <c r="W61" s="37">
        <f>$I$16*$W$16</f>
        <v>229399.99602096743</v>
      </c>
      <c r="X61" s="37">
        <f>$I$16*$X$16</f>
        <v>751406.91150077176</v>
      </c>
      <c r="Y61" s="37">
        <f>$I$16*$Y$16</f>
        <v>0</v>
      </c>
      <c r="Z61" s="37">
        <f>$I$16*$Z$16</f>
        <v>-525252.11980475346</v>
      </c>
      <c r="AA61" s="37">
        <f>$I$16*$AA$16</f>
        <v>21776828.254681032</v>
      </c>
      <c r="AB61" s="37">
        <f>$I$16*$AB$16</f>
        <v>0</v>
      </c>
      <c r="AC61" s="37">
        <f>$I$16*$AC$16</f>
        <v>0</v>
      </c>
      <c r="AD61" s="37">
        <f>$I$16*$AD$16</f>
        <v>0</v>
      </c>
      <c r="AE61" s="37">
        <f>$I$16*$AE$16</f>
        <v>0</v>
      </c>
      <c r="AF61" s="37">
        <f>$I$16*$AF$16</f>
        <v>367446.66950383561</v>
      </c>
    </row>
    <row r="62" spans="1:32" ht="11.25" customHeight="1" x14ac:dyDescent="0.25">
      <c r="A62" s="9" t="s">
        <v>22</v>
      </c>
      <c r="B62" s="9" t="s">
        <v>1165</v>
      </c>
      <c r="C62" s="9" t="s">
        <v>1166</v>
      </c>
      <c r="D62" s="9" t="s">
        <v>1183</v>
      </c>
      <c r="E62" s="9" t="s">
        <v>1184</v>
      </c>
      <c r="F62" s="9" t="s">
        <v>1185</v>
      </c>
      <c r="G62" s="9" t="s">
        <v>1186</v>
      </c>
      <c r="L62" s="37">
        <f>$I$17*$L$17</f>
        <v>224306.40979034486</v>
      </c>
      <c r="M62" s="37">
        <f>$I$17*$M$17</f>
        <v>2032416.71904662</v>
      </c>
      <c r="N62" s="37">
        <f>$I$17*$N$17</f>
        <v>0</v>
      </c>
      <c r="O62" s="37">
        <f>$I$17*$O$17</f>
        <v>895726.46447868017</v>
      </c>
      <c r="P62" s="37">
        <f>$I$17*$P$17</f>
        <v>19555214.96760783</v>
      </c>
      <c r="Q62" s="37">
        <f>$I$17*$Q$17</f>
        <v>0</v>
      </c>
      <c r="R62" s="37">
        <f>$I$17*$R$17</f>
        <v>0</v>
      </c>
      <c r="S62" s="37">
        <f>$I$17*$S$17</f>
        <v>0</v>
      </c>
      <c r="T62" s="37">
        <f>$I$17*$T$17</f>
        <v>0</v>
      </c>
      <c r="U62" s="37">
        <f>$I$17*$U$17</f>
        <v>322728.33999457635</v>
      </c>
      <c r="W62" s="37">
        <f>$I$17*$W$17</f>
        <v>191375.19510078564</v>
      </c>
      <c r="X62" s="37">
        <f>$I$17*$X$17</f>
        <v>626855.47856502794</v>
      </c>
      <c r="Y62" s="37">
        <f>$I$17*$Y$17</f>
        <v>0</v>
      </c>
      <c r="Z62" s="37">
        <f>$I$17*$Z$17</f>
        <v>-438187.5703936292</v>
      </c>
      <c r="AA62" s="37">
        <f>$I$17*$AA$17</f>
        <v>18167152.69487172</v>
      </c>
      <c r="AB62" s="37">
        <f>$I$17*$AB$17</f>
        <v>0</v>
      </c>
      <c r="AC62" s="37">
        <f>$I$17*$AC$17</f>
        <v>0</v>
      </c>
      <c r="AD62" s="37">
        <f>$I$17*$AD$17</f>
        <v>0</v>
      </c>
      <c r="AE62" s="37">
        <f>$I$17*$AE$17</f>
        <v>0</v>
      </c>
      <c r="AF62" s="37">
        <f>$I$17*$AF$17</f>
        <v>306539.57840087806</v>
      </c>
    </row>
    <row r="63" spans="1:32" ht="11.25" customHeight="1" x14ac:dyDescent="0.25">
      <c r="A63" s="9" t="s">
        <v>22</v>
      </c>
      <c r="B63" s="9" t="s">
        <v>1187</v>
      </c>
      <c r="C63" s="9" t="s">
        <v>1188</v>
      </c>
      <c r="D63" s="9" t="s">
        <v>1189</v>
      </c>
      <c r="E63" s="9" t="s">
        <v>1190</v>
      </c>
      <c r="F63" s="9" t="s">
        <v>1191</v>
      </c>
      <c r="G63" s="9" t="s">
        <v>1192</v>
      </c>
      <c r="L63" s="37">
        <f>$I$18*$L$18</f>
        <v>0</v>
      </c>
      <c r="M63" s="37">
        <f>$I$18*$M$18</f>
        <v>0</v>
      </c>
      <c r="N63" s="37">
        <f>$I$18*$N$18</f>
        <v>0</v>
      </c>
      <c r="O63" s="37">
        <f>$I$18*$O$18</f>
        <v>0</v>
      </c>
      <c r="P63" s="37">
        <f>$I$18*$P$18</f>
        <v>0</v>
      </c>
      <c r="Q63" s="37">
        <f>$I$18*$Q$18</f>
        <v>0</v>
      </c>
      <c r="R63" s="37">
        <f>$I$18*$R$18</f>
        <v>0</v>
      </c>
      <c r="S63" s="37">
        <f>$I$18*$S$18</f>
        <v>0</v>
      </c>
      <c r="T63" s="37">
        <f>$I$18*$T$18</f>
        <v>0</v>
      </c>
      <c r="U63" s="37">
        <f>$I$18*$U$18</f>
        <v>0</v>
      </c>
      <c r="W63" s="37">
        <f>$I$18*$W$18</f>
        <v>0</v>
      </c>
      <c r="X63" s="37">
        <f>$I$18*$X$18</f>
        <v>0</v>
      </c>
      <c r="Y63" s="37">
        <f>$I$18*$Y$18</f>
        <v>0</v>
      </c>
      <c r="Z63" s="37">
        <f>$I$18*$Z$18</f>
        <v>0</v>
      </c>
      <c r="AA63" s="37">
        <f>$I$18*$AA$18</f>
        <v>0</v>
      </c>
      <c r="AB63" s="37">
        <f>$I$18*$AB$18</f>
        <v>0</v>
      </c>
      <c r="AC63" s="37">
        <f>$I$18*$AC$18</f>
        <v>0</v>
      </c>
      <c r="AD63" s="37">
        <f>$I$18*$AD$18</f>
        <v>0</v>
      </c>
      <c r="AE63" s="37">
        <f>$I$18*$AE$18</f>
        <v>0</v>
      </c>
      <c r="AF63" s="37">
        <f>$I$18*$AF$18</f>
        <v>0</v>
      </c>
    </row>
    <row r="64" spans="1:32" ht="11.25" customHeight="1" x14ac:dyDescent="0.25">
      <c r="A64" s="9" t="s">
        <v>22</v>
      </c>
      <c r="B64" s="9" t="s">
        <v>1187</v>
      </c>
      <c r="C64" s="9" t="s">
        <v>1188</v>
      </c>
      <c r="D64" s="9" t="s">
        <v>1193</v>
      </c>
      <c r="E64" s="9" t="s">
        <v>1194</v>
      </c>
      <c r="F64" s="9" t="s">
        <v>1195</v>
      </c>
      <c r="G64" s="9" t="s">
        <v>1196</v>
      </c>
      <c r="L64" s="37">
        <f>$I$19*$L$19</f>
        <v>0</v>
      </c>
      <c r="M64" s="37">
        <f>$I$19*$M$19</f>
        <v>0</v>
      </c>
      <c r="N64" s="37">
        <f>$I$19*$N$19</f>
        <v>0</v>
      </c>
      <c r="O64" s="37">
        <f>$I$19*$O$19</f>
        <v>0</v>
      </c>
      <c r="P64" s="37">
        <f>$I$19*$P$19</f>
        <v>0</v>
      </c>
      <c r="Q64" s="37">
        <f>$I$19*$Q$19</f>
        <v>0</v>
      </c>
      <c r="R64" s="37">
        <f>$I$19*$R$19</f>
        <v>0</v>
      </c>
      <c r="S64" s="37">
        <f>$I$19*$S$19</f>
        <v>0</v>
      </c>
      <c r="T64" s="37">
        <f>$I$19*$T$19</f>
        <v>0</v>
      </c>
      <c r="U64" s="37">
        <f>$I$19*$U$19</f>
        <v>0</v>
      </c>
      <c r="W64" s="37">
        <f>$I$19*$W$19</f>
        <v>0</v>
      </c>
      <c r="X64" s="37">
        <f>$I$19*$X$19</f>
        <v>0</v>
      </c>
      <c r="Y64" s="37">
        <f>$I$19*$Y$19</f>
        <v>0</v>
      </c>
      <c r="Z64" s="37">
        <f>$I$19*$Z$19</f>
        <v>0</v>
      </c>
      <c r="AA64" s="37">
        <f>$I$19*$AA$19</f>
        <v>0</v>
      </c>
      <c r="AB64" s="37">
        <f>$I$19*$AB$19</f>
        <v>0</v>
      </c>
      <c r="AC64" s="37">
        <f>$I$19*$AC$19</f>
        <v>0</v>
      </c>
      <c r="AD64" s="37">
        <f>$I$19*$AD$19</f>
        <v>0</v>
      </c>
      <c r="AE64" s="37">
        <f>$I$19*$AE$19</f>
        <v>0</v>
      </c>
      <c r="AF64" s="37">
        <f>$I$19*$AF$19</f>
        <v>0</v>
      </c>
    </row>
    <row r="65" spans="1:32" ht="11.25" customHeight="1" x14ac:dyDescent="0.25">
      <c r="A65" s="9" t="s">
        <v>22</v>
      </c>
      <c r="B65" s="9" t="s">
        <v>1187</v>
      </c>
      <c r="C65" s="9" t="s">
        <v>1188</v>
      </c>
      <c r="D65" s="9" t="s">
        <v>1197</v>
      </c>
      <c r="E65" s="9" t="s">
        <v>1198</v>
      </c>
      <c r="F65" s="9" t="s">
        <v>1199</v>
      </c>
      <c r="G65" s="9" t="s">
        <v>1200</v>
      </c>
      <c r="L65" s="37">
        <f>$I$20*$L$20</f>
        <v>0</v>
      </c>
      <c r="M65" s="37">
        <f>$I$20*$M$20</f>
        <v>0</v>
      </c>
      <c r="N65" s="37">
        <f>$I$20*$N$20</f>
        <v>0</v>
      </c>
      <c r="O65" s="37">
        <f>$I$20*$O$20</f>
        <v>0</v>
      </c>
      <c r="P65" s="37">
        <f>$I$20*$P$20</f>
        <v>0</v>
      </c>
      <c r="Q65" s="37">
        <f>$I$20*$Q$20</f>
        <v>0</v>
      </c>
      <c r="R65" s="37">
        <f>$I$20*$R$20</f>
        <v>0</v>
      </c>
      <c r="S65" s="37">
        <f>$I$20*$S$20</f>
        <v>0</v>
      </c>
      <c r="T65" s="37">
        <f>$I$20*$T$20</f>
        <v>0</v>
      </c>
      <c r="U65" s="37">
        <f>$I$20*$U$20</f>
        <v>0</v>
      </c>
      <c r="W65" s="37">
        <f>$I$20*$W$20</f>
        <v>0</v>
      </c>
      <c r="X65" s="37">
        <f>$I$20*$X$20</f>
        <v>0</v>
      </c>
      <c r="Y65" s="37">
        <f>$I$20*$Y$20</f>
        <v>0</v>
      </c>
      <c r="Z65" s="37">
        <f>$I$20*$Z$20</f>
        <v>0</v>
      </c>
      <c r="AA65" s="37">
        <f>$I$20*$AA$20</f>
        <v>0</v>
      </c>
      <c r="AB65" s="37">
        <f>$I$20*$AB$20</f>
        <v>0</v>
      </c>
      <c r="AC65" s="37">
        <f>$I$20*$AC$20</f>
        <v>0</v>
      </c>
      <c r="AD65" s="37">
        <f>$I$20*$AD$20</f>
        <v>0</v>
      </c>
      <c r="AE65" s="37">
        <f>$I$20*$AE$20</f>
        <v>0</v>
      </c>
      <c r="AF65" s="37">
        <f>$I$20*$AF$20</f>
        <v>0</v>
      </c>
    </row>
    <row r="66" spans="1:32" ht="11.25" customHeight="1" x14ac:dyDescent="0.25">
      <c r="A66" s="9" t="s">
        <v>22</v>
      </c>
      <c r="B66" s="9" t="s">
        <v>1187</v>
      </c>
      <c r="C66" s="9" t="s">
        <v>1188</v>
      </c>
      <c r="D66" s="9" t="s">
        <v>1201</v>
      </c>
      <c r="E66" s="9" t="s">
        <v>1202</v>
      </c>
      <c r="F66" s="9" t="s">
        <v>1203</v>
      </c>
      <c r="G66" s="9" t="s">
        <v>1204</v>
      </c>
      <c r="L66" s="37">
        <f>$I$21*$L$21</f>
        <v>0</v>
      </c>
      <c r="M66" s="37">
        <f>$I$21*$M$21</f>
        <v>0</v>
      </c>
      <c r="N66" s="37">
        <f>$I$21*$N$21</f>
        <v>0</v>
      </c>
      <c r="O66" s="37">
        <f>$I$21*$O$21</f>
        <v>0</v>
      </c>
      <c r="P66" s="37">
        <f>$I$21*$P$21</f>
        <v>0</v>
      </c>
      <c r="Q66" s="37">
        <f>$I$21*$Q$21</f>
        <v>0</v>
      </c>
      <c r="R66" s="37">
        <f>$I$21*$R$21</f>
        <v>0</v>
      </c>
      <c r="S66" s="37">
        <f>$I$21*$S$21</f>
        <v>0</v>
      </c>
      <c r="T66" s="37">
        <f>$I$21*$T$21</f>
        <v>0</v>
      </c>
      <c r="U66" s="37">
        <f>$I$21*$U$21</f>
        <v>0</v>
      </c>
      <c r="W66" s="37">
        <f>$I$21*$W$21</f>
        <v>0</v>
      </c>
      <c r="X66" s="37">
        <f>$I$21*$X$21</f>
        <v>0</v>
      </c>
      <c r="Y66" s="37">
        <f>$I$21*$Y$21</f>
        <v>0</v>
      </c>
      <c r="Z66" s="37">
        <f>$I$21*$Z$21</f>
        <v>0</v>
      </c>
      <c r="AA66" s="37">
        <f>$I$21*$AA$21</f>
        <v>0</v>
      </c>
      <c r="AB66" s="37">
        <f>$I$21*$AB$21</f>
        <v>0</v>
      </c>
      <c r="AC66" s="37">
        <f>$I$21*$AC$21</f>
        <v>0</v>
      </c>
      <c r="AD66" s="37">
        <f>$I$21*$AD$21</f>
        <v>0</v>
      </c>
      <c r="AE66" s="37">
        <f>$I$21*$AE$21</f>
        <v>0</v>
      </c>
      <c r="AF66" s="37">
        <f>$I$21*$AF$21</f>
        <v>0</v>
      </c>
    </row>
    <row r="67" spans="1:32" ht="11.25" customHeight="1" x14ac:dyDescent="0.25">
      <c r="A67" s="9" t="s">
        <v>22</v>
      </c>
      <c r="B67" s="9" t="s">
        <v>1187</v>
      </c>
      <c r="C67" s="9" t="s">
        <v>1188</v>
      </c>
      <c r="D67" s="9" t="s">
        <v>1205</v>
      </c>
      <c r="E67" s="9" t="s">
        <v>1206</v>
      </c>
      <c r="F67" s="9" t="s">
        <v>1207</v>
      </c>
      <c r="G67" s="9" t="s">
        <v>1208</v>
      </c>
      <c r="L67" s="37">
        <f>$I$22*$L$22</f>
        <v>0</v>
      </c>
      <c r="M67" s="37">
        <f>$I$22*$M$22</f>
        <v>0</v>
      </c>
      <c r="N67" s="37">
        <f>$I$22*$N$22</f>
        <v>0</v>
      </c>
      <c r="O67" s="37">
        <f>$I$22*$O$22</f>
        <v>0</v>
      </c>
      <c r="P67" s="37">
        <f>$I$22*$P$22</f>
        <v>0</v>
      </c>
      <c r="Q67" s="37">
        <f>$I$22*$Q$22</f>
        <v>0</v>
      </c>
      <c r="R67" s="37">
        <f>$I$22*$R$22</f>
        <v>0</v>
      </c>
      <c r="S67" s="37">
        <f>$I$22*$S$22</f>
        <v>0</v>
      </c>
      <c r="T67" s="37">
        <f>$I$22*$T$22</f>
        <v>0</v>
      </c>
      <c r="U67" s="37">
        <f>$I$22*$U$22</f>
        <v>0</v>
      </c>
      <c r="W67" s="37">
        <f>$I$22*$W$22</f>
        <v>0</v>
      </c>
      <c r="X67" s="37">
        <f>$I$22*$X$22</f>
        <v>0</v>
      </c>
      <c r="Y67" s="37">
        <f>$I$22*$Y$22</f>
        <v>0</v>
      </c>
      <c r="Z67" s="37">
        <f>$I$22*$Z$22</f>
        <v>0</v>
      </c>
      <c r="AA67" s="37">
        <f>$I$22*$AA$22</f>
        <v>0</v>
      </c>
      <c r="AB67" s="37">
        <f>$I$22*$AB$22</f>
        <v>0</v>
      </c>
      <c r="AC67" s="37">
        <f>$I$22*$AC$22</f>
        <v>0</v>
      </c>
      <c r="AD67" s="37">
        <f>$I$22*$AD$22</f>
        <v>0</v>
      </c>
      <c r="AE67" s="37">
        <f>$I$22*$AE$22</f>
        <v>0</v>
      </c>
      <c r="AF67" s="37">
        <f>$I$22*$AF$22</f>
        <v>0</v>
      </c>
    </row>
    <row r="68" spans="1:32" ht="11.25" customHeight="1" x14ac:dyDescent="0.25">
      <c r="A68" s="9" t="s">
        <v>46</v>
      </c>
      <c r="B68" s="9" t="s">
        <v>1209</v>
      </c>
      <c r="C68" s="9" t="s">
        <v>1210</v>
      </c>
      <c r="D68" s="9" t="s">
        <v>1211</v>
      </c>
      <c r="E68" s="9" t="s">
        <v>1212</v>
      </c>
      <c r="F68" s="9" t="s">
        <v>1213</v>
      </c>
      <c r="G68" s="9" t="s">
        <v>1214</v>
      </c>
      <c r="L68" s="37">
        <f>$I$23*$L$23</f>
        <v>0</v>
      </c>
      <c r="M68" s="37">
        <f>$I$23*$M$23</f>
        <v>0</v>
      </c>
      <c r="N68" s="37">
        <f>$I$23*$N$23</f>
        <v>0</v>
      </c>
      <c r="O68" s="37">
        <f>$I$23*$O$23</f>
        <v>0</v>
      </c>
      <c r="P68" s="37">
        <f>$I$23*$P$23</f>
        <v>0</v>
      </c>
      <c r="Q68" s="37">
        <f>$I$23*$Q$23</f>
        <v>0</v>
      </c>
      <c r="R68" s="37">
        <f>$I$23*$R$23</f>
        <v>0</v>
      </c>
      <c r="S68" s="37">
        <f>$I$23*$S$23</f>
        <v>0</v>
      </c>
      <c r="T68" s="37">
        <f>$I$23*$T$23</f>
        <v>0</v>
      </c>
      <c r="U68" s="37">
        <f>$I$23*$U$23</f>
        <v>0</v>
      </c>
      <c r="W68" s="37">
        <f>$I$23*$W$23</f>
        <v>0</v>
      </c>
      <c r="X68" s="37">
        <f>$I$23*$X$23</f>
        <v>0</v>
      </c>
      <c r="Y68" s="37">
        <f>$I$23*$Y$23</f>
        <v>0</v>
      </c>
      <c r="Z68" s="37">
        <f>$I$23*$Z$23</f>
        <v>0</v>
      </c>
      <c r="AA68" s="37">
        <f>$I$23*$AA$23</f>
        <v>0</v>
      </c>
      <c r="AB68" s="37">
        <f>$I$23*$AB$23</f>
        <v>0</v>
      </c>
      <c r="AC68" s="37">
        <f>$I$23*$AC$23</f>
        <v>0</v>
      </c>
      <c r="AD68" s="37">
        <f>$I$23*$AD$23</f>
        <v>0</v>
      </c>
      <c r="AE68" s="37">
        <f>$I$23*$AE$23</f>
        <v>0</v>
      </c>
      <c r="AF68" s="37">
        <f>$I$23*$AF$23</f>
        <v>0</v>
      </c>
    </row>
    <row r="69" spans="1:32" ht="11.25" customHeight="1" x14ac:dyDescent="0.25">
      <c r="A69" s="9" t="s">
        <v>46</v>
      </c>
      <c r="B69" s="9" t="s">
        <v>1209</v>
      </c>
      <c r="C69" s="9" t="s">
        <v>1210</v>
      </c>
      <c r="D69" s="9" t="s">
        <v>1211</v>
      </c>
      <c r="E69" s="9" t="s">
        <v>1212</v>
      </c>
      <c r="F69" s="9" t="s">
        <v>1213</v>
      </c>
      <c r="G69" s="9" t="s">
        <v>1215</v>
      </c>
      <c r="L69" s="37">
        <f>$I$24*$L$24</f>
        <v>1.2736328435059235E-2</v>
      </c>
      <c r="M69" s="37">
        <f>$I$24*$M$24</f>
        <v>0.11540252850945272</v>
      </c>
      <c r="N69" s="37">
        <f>$I$24*$N$24</f>
        <v>0</v>
      </c>
      <c r="O69" s="37">
        <f>$I$24*$O$24</f>
        <v>5.0860189194940925E-2</v>
      </c>
      <c r="P69" s="37">
        <f>$I$24*$P$24</f>
        <v>1.0475126946251148</v>
      </c>
      <c r="Q69" s="37">
        <f>$I$24*$Q$24</f>
        <v>0</v>
      </c>
      <c r="R69" s="37">
        <f>$I$24*$R$24</f>
        <v>0</v>
      </c>
      <c r="S69" s="37">
        <f>$I$24*$S$24</f>
        <v>0</v>
      </c>
      <c r="T69" s="37">
        <f>$I$24*$T$24</f>
        <v>0</v>
      </c>
      <c r="U69" s="37">
        <f>$I$24*$U$24</f>
        <v>1.8324817990329742E-2</v>
      </c>
      <c r="W69" s="37">
        <f>$I$24*$W$24</f>
        <v>1.01255679469902E-2</v>
      </c>
      <c r="X69" s="37">
        <f>$I$24*$X$24</f>
        <v>3.3166616696644204E-2</v>
      </c>
      <c r="Y69" s="37">
        <f>$I$24*$Y$24</f>
        <v>0</v>
      </c>
      <c r="Z69" s="37">
        <f>$I$24*$Z$24</f>
        <v>-2.3184289976611653E-2</v>
      </c>
      <c r="AA69" s="37">
        <f>$I$24*$AA$24</f>
        <v>0.90680675588251503</v>
      </c>
      <c r="AB69" s="37">
        <f>$I$24*$AB$24</f>
        <v>0</v>
      </c>
      <c r="AC69" s="37">
        <f>$I$24*$AC$24</f>
        <v>0</v>
      </c>
      <c r="AD69" s="37">
        <f>$I$24*$AD$24</f>
        <v>0</v>
      </c>
      <c r="AE69" s="37">
        <f>$I$24*$AE$24</f>
        <v>0</v>
      </c>
      <c r="AF69" s="37">
        <f>$I$24*$AF$24</f>
        <v>1.6218859125944701E-2</v>
      </c>
    </row>
    <row r="70" spans="1:32" ht="11.25" customHeight="1" x14ac:dyDescent="0.25">
      <c r="A70" s="9" t="s">
        <v>46</v>
      </c>
      <c r="B70" s="9" t="s">
        <v>1209</v>
      </c>
      <c r="C70" s="9" t="s">
        <v>1210</v>
      </c>
      <c r="D70" s="9" t="s">
        <v>1211</v>
      </c>
      <c r="E70" s="9" t="s">
        <v>1212</v>
      </c>
      <c r="F70" s="9" t="s">
        <v>1213</v>
      </c>
      <c r="G70" s="9" t="s">
        <v>1216</v>
      </c>
      <c r="L70" s="37">
        <f>$I$25*$L$25</f>
        <v>1.3908070651084685</v>
      </c>
      <c r="M70" s="37">
        <f>$I$25*$M$25</f>
        <v>12.601956113232237</v>
      </c>
      <c r="N70" s="37">
        <f>$I$25*$N$25</f>
        <v>0</v>
      </c>
      <c r="O70" s="37">
        <f>$I$25*$O$25</f>
        <v>5.5539326600875496</v>
      </c>
      <c r="P70" s="37">
        <f>$I$25*$P$25</f>
        <v>114.38838625306254</v>
      </c>
      <c r="Q70" s="37">
        <f>$I$25*$Q$25</f>
        <v>0</v>
      </c>
      <c r="R70" s="37">
        <f>$I$25*$R$25</f>
        <v>0</v>
      </c>
      <c r="S70" s="37">
        <f>$I$25*$S$25</f>
        <v>0</v>
      </c>
      <c r="T70" s="37">
        <f>$I$25*$T$25</f>
        <v>0</v>
      </c>
      <c r="U70" s="37">
        <f>$I$25*$U$25</f>
        <v>2.0010701245440079</v>
      </c>
      <c r="W70" s="37">
        <f>$I$25*$W$25</f>
        <v>1.1057120198113299</v>
      </c>
      <c r="X70" s="37">
        <f>$I$25*$X$25</f>
        <v>3.621794543273547</v>
      </c>
      <c r="Y70" s="37">
        <f>$I$25*$Y$25</f>
        <v>0</v>
      </c>
      <c r="Z70" s="37">
        <f>$I$25*$Z$25</f>
        <v>-2.5317244654459925</v>
      </c>
      <c r="AA70" s="37">
        <f>$I$25*$AA$25</f>
        <v>99.023297742370644</v>
      </c>
      <c r="AB70" s="37">
        <f>$I$25*$AB$25</f>
        <v>0</v>
      </c>
      <c r="AC70" s="37">
        <f>$I$25*$AC$25</f>
        <v>0</v>
      </c>
      <c r="AD70" s="37">
        <f>$I$25*$AD$25</f>
        <v>0</v>
      </c>
      <c r="AE70" s="37">
        <f>$I$25*$AE$25</f>
        <v>0</v>
      </c>
      <c r="AF70" s="37">
        <f>$I$25*$AF$25</f>
        <v>1.7710994165531615</v>
      </c>
    </row>
    <row r="71" spans="1:32" ht="11.25" customHeight="1" x14ac:dyDescent="0.25">
      <c r="A71" s="9" t="s">
        <v>46</v>
      </c>
      <c r="B71" s="9" t="s">
        <v>1217</v>
      </c>
      <c r="C71" s="9" t="s">
        <v>1218</v>
      </c>
      <c r="D71" s="9" t="s">
        <v>1219</v>
      </c>
      <c r="E71" s="9" t="s">
        <v>1220</v>
      </c>
      <c r="F71" s="9" t="s">
        <v>1221</v>
      </c>
      <c r="G71" s="9" t="s">
        <v>1222</v>
      </c>
      <c r="L71" s="37">
        <f>$I$26*$L$26</f>
        <v>164092.23442091126</v>
      </c>
      <c r="M71" s="37">
        <f>$I$26*$M$26</f>
        <v>1486822.4274754217</v>
      </c>
      <c r="N71" s="37">
        <f>$I$26*$N$26</f>
        <v>0</v>
      </c>
      <c r="O71" s="37">
        <f>$I$26*$O$26</f>
        <v>655272.21056068258</v>
      </c>
      <c r="P71" s="37">
        <f>$I$26*$P$26</f>
        <v>14305694.25820367</v>
      </c>
      <c r="Q71" s="37">
        <f>$I$26*$Q$26</f>
        <v>0</v>
      </c>
      <c r="R71" s="37">
        <f>$I$26*$R$26</f>
        <v>0</v>
      </c>
      <c r="S71" s="37">
        <f>$I$26*$S$26</f>
        <v>0</v>
      </c>
      <c r="T71" s="37">
        <f>$I$26*$T$26</f>
        <v>0</v>
      </c>
      <c r="U71" s="37">
        <f>$I$26*$U$26</f>
        <v>236093.18373986598</v>
      </c>
      <c r="W71" s="37">
        <f>$I$26*$W$26</f>
        <v>130455.73358713825</v>
      </c>
      <c r="X71" s="37">
        <f>$I$26*$X$26</f>
        <v>427311.86382984777</v>
      </c>
      <c r="Y71" s="37">
        <f>$I$26*$Y$26</f>
        <v>0</v>
      </c>
      <c r="Z71" s="37">
        <f>$I$26*$Z$26</f>
        <v>-298701.62073178735</v>
      </c>
      <c r="AA71" s="37">
        <f>$I$26*$AA$26</f>
        <v>12384098.319277549</v>
      </c>
      <c r="AB71" s="37">
        <f>$I$26*$AB$26</f>
        <v>0</v>
      </c>
      <c r="AC71" s="37">
        <f>$I$26*$AC$26</f>
        <v>0</v>
      </c>
      <c r="AD71" s="37">
        <f>$I$26*$AD$26</f>
        <v>0</v>
      </c>
      <c r="AE71" s="37">
        <f>$I$26*$AE$26</f>
        <v>0</v>
      </c>
      <c r="AF71" s="37">
        <f>$I$26*$AF$26</f>
        <v>208960.44313746342</v>
      </c>
    </row>
    <row r="72" spans="1:32" ht="11.25" customHeight="1" x14ac:dyDescent="0.25">
      <c r="A72" s="9" t="s">
        <v>46</v>
      </c>
      <c r="B72" s="9" t="s">
        <v>1209</v>
      </c>
      <c r="C72" s="9" t="s">
        <v>1210</v>
      </c>
      <c r="D72" s="9" t="s">
        <v>1223</v>
      </c>
      <c r="E72" s="9" t="s">
        <v>1224</v>
      </c>
      <c r="F72" s="9" t="s">
        <v>1225</v>
      </c>
      <c r="G72" s="9" t="s">
        <v>1226</v>
      </c>
      <c r="L72" s="37">
        <f>$I$27*$L$27</f>
        <v>0</v>
      </c>
      <c r="M72" s="37">
        <f>$I$27*$M$27</f>
        <v>0</v>
      </c>
      <c r="N72" s="37">
        <f>$I$27*$N$27</f>
        <v>0</v>
      </c>
      <c r="O72" s="37">
        <f>$I$27*$O$27</f>
        <v>0</v>
      </c>
      <c r="P72" s="37">
        <f>$I$27*$P$27</f>
        <v>0</v>
      </c>
      <c r="Q72" s="37">
        <f>$I$27*$Q$27</f>
        <v>0</v>
      </c>
      <c r="R72" s="37">
        <f>$I$27*$R$27</f>
        <v>0</v>
      </c>
      <c r="S72" s="37">
        <f>$I$27*$S$27</f>
        <v>0</v>
      </c>
      <c r="T72" s="37">
        <f>$I$27*$T$27</f>
        <v>0</v>
      </c>
      <c r="U72" s="37">
        <f>$I$27*$U$27</f>
        <v>0</v>
      </c>
      <c r="W72" s="37">
        <f>$I$27*$W$27</f>
        <v>0</v>
      </c>
      <c r="X72" s="37">
        <f>$I$27*$X$27</f>
        <v>0</v>
      </c>
      <c r="Y72" s="37">
        <f>$I$27*$Y$27</f>
        <v>0</v>
      </c>
      <c r="Z72" s="37">
        <f>$I$27*$Z$27</f>
        <v>0</v>
      </c>
      <c r="AA72" s="37">
        <f>$I$27*$AA$27</f>
        <v>0</v>
      </c>
      <c r="AB72" s="37">
        <f>$I$27*$AB$27</f>
        <v>0</v>
      </c>
      <c r="AC72" s="37">
        <f>$I$27*$AC$27</f>
        <v>0</v>
      </c>
      <c r="AD72" s="37">
        <f>$I$27*$AD$27</f>
        <v>0</v>
      </c>
      <c r="AE72" s="37">
        <f>$I$27*$AE$27</f>
        <v>0</v>
      </c>
      <c r="AF72" s="37">
        <f>$I$27*$AF$27</f>
        <v>0</v>
      </c>
    </row>
    <row r="73" spans="1:32" ht="11.25" customHeight="1" x14ac:dyDescent="0.25">
      <c r="A73" s="9" t="s">
        <v>46</v>
      </c>
      <c r="B73" s="9" t="s">
        <v>1209</v>
      </c>
      <c r="C73" s="9" t="s">
        <v>1210</v>
      </c>
      <c r="D73" s="9" t="s">
        <v>1223</v>
      </c>
      <c r="E73" s="9" t="s">
        <v>1224</v>
      </c>
      <c r="F73" s="9" t="s">
        <v>1225</v>
      </c>
      <c r="G73" s="9" t="s">
        <v>1227</v>
      </c>
      <c r="L73" s="37">
        <f>$I$28*$L$28</f>
        <v>0</v>
      </c>
      <c r="M73" s="37">
        <f>$I$28*$M$28</f>
        <v>0</v>
      </c>
      <c r="N73" s="37">
        <f>$I$28*$N$28</f>
        <v>0</v>
      </c>
      <c r="O73" s="37">
        <f>$I$28*$O$28</f>
        <v>0</v>
      </c>
      <c r="P73" s="37">
        <f>$I$28*$P$28</f>
        <v>0</v>
      </c>
      <c r="Q73" s="37">
        <f>$I$28*$Q$28</f>
        <v>0</v>
      </c>
      <c r="R73" s="37">
        <f>$I$28*$R$28</f>
        <v>0</v>
      </c>
      <c r="S73" s="37">
        <f>$I$28*$S$28</f>
        <v>0</v>
      </c>
      <c r="T73" s="37">
        <f>$I$28*$T$28</f>
        <v>0</v>
      </c>
      <c r="U73" s="37">
        <f>$I$28*$U$28</f>
        <v>0</v>
      </c>
      <c r="W73" s="37">
        <f>$I$28*$W$28</f>
        <v>0</v>
      </c>
      <c r="X73" s="37">
        <f>$I$28*$X$28</f>
        <v>0</v>
      </c>
      <c r="Y73" s="37">
        <f>$I$28*$Y$28</f>
        <v>0</v>
      </c>
      <c r="Z73" s="37">
        <f>$I$28*$Z$28</f>
        <v>0</v>
      </c>
      <c r="AA73" s="37">
        <f>$I$28*$AA$28</f>
        <v>0</v>
      </c>
      <c r="AB73" s="37">
        <f>$I$28*$AB$28</f>
        <v>0</v>
      </c>
      <c r="AC73" s="37">
        <f>$I$28*$AC$28</f>
        <v>0</v>
      </c>
      <c r="AD73" s="37">
        <f>$I$28*$AD$28</f>
        <v>0</v>
      </c>
      <c r="AE73" s="37">
        <f>$I$28*$AE$28</f>
        <v>0</v>
      </c>
      <c r="AF73" s="37">
        <f>$I$28*$AF$28</f>
        <v>0</v>
      </c>
    </row>
    <row r="74" spans="1:32" ht="11.25" customHeight="1" x14ac:dyDescent="0.25">
      <c r="A74" s="9" t="s">
        <v>46</v>
      </c>
      <c r="B74" s="9" t="s">
        <v>1209</v>
      </c>
      <c r="C74" s="9" t="s">
        <v>1210</v>
      </c>
      <c r="D74" s="9" t="s">
        <v>1223</v>
      </c>
      <c r="E74" s="9" t="s">
        <v>1224</v>
      </c>
      <c r="F74" s="9" t="s">
        <v>1225</v>
      </c>
      <c r="G74" s="9" t="s">
        <v>1228</v>
      </c>
      <c r="L74" s="37">
        <f>$I$29*$L$29</f>
        <v>0</v>
      </c>
      <c r="M74" s="37">
        <f>$I$29*$M$29</f>
        <v>0</v>
      </c>
      <c r="N74" s="37">
        <f>$I$29*$N$29</f>
        <v>0</v>
      </c>
      <c r="O74" s="37">
        <f>$I$29*$O$29</f>
        <v>0</v>
      </c>
      <c r="P74" s="37">
        <f>$I$29*$P$29</f>
        <v>0</v>
      </c>
      <c r="Q74" s="37">
        <f>$I$29*$Q$29</f>
        <v>0</v>
      </c>
      <c r="R74" s="37">
        <f>$I$29*$R$29</f>
        <v>0</v>
      </c>
      <c r="S74" s="37">
        <f>$I$29*$S$29</f>
        <v>0</v>
      </c>
      <c r="T74" s="37">
        <f>$I$29*$T$29</f>
        <v>0</v>
      </c>
      <c r="U74" s="37">
        <f>$I$29*$U$29</f>
        <v>0</v>
      </c>
      <c r="W74" s="37">
        <f>$I$29*$W$29</f>
        <v>0</v>
      </c>
      <c r="X74" s="37">
        <f>$I$29*$X$29</f>
        <v>0</v>
      </c>
      <c r="Y74" s="37">
        <f>$I$29*$Y$29</f>
        <v>0</v>
      </c>
      <c r="Z74" s="37">
        <f>$I$29*$Z$29</f>
        <v>0</v>
      </c>
      <c r="AA74" s="37">
        <f>$I$29*$AA$29</f>
        <v>0</v>
      </c>
      <c r="AB74" s="37">
        <f>$I$29*$AB$29</f>
        <v>0</v>
      </c>
      <c r="AC74" s="37">
        <f>$I$29*$AC$29</f>
        <v>0</v>
      </c>
      <c r="AD74" s="37">
        <f>$I$29*$AD$29</f>
        <v>0</v>
      </c>
      <c r="AE74" s="37">
        <f>$I$29*$AE$29</f>
        <v>0</v>
      </c>
      <c r="AF74" s="37">
        <f>$I$29*$AF$29</f>
        <v>0</v>
      </c>
    </row>
    <row r="75" spans="1:32" ht="11.25" customHeight="1" x14ac:dyDescent="0.25">
      <c r="A75" s="9" t="s">
        <v>46</v>
      </c>
      <c r="B75" s="9" t="s">
        <v>1217</v>
      </c>
      <c r="C75" s="9" t="s">
        <v>1218</v>
      </c>
      <c r="D75" s="9" t="s">
        <v>1229</v>
      </c>
      <c r="E75" s="9" t="s">
        <v>1230</v>
      </c>
      <c r="F75" s="9" t="s">
        <v>1231</v>
      </c>
      <c r="G75" s="9" t="s">
        <v>1232</v>
      </c>
      <c r="L75" s="37">
        <f>$I$30*$L$30</f>
        <v>0</v>
      </c>
      <c r="M75" s="37">
        <f>$I$30*$M$30</f>
        <v>0</v>
      </c>
      <c r="N75" s="37">
        <f>$I$30*$N$30</f>
        <v>0</v>
      </c>
      <c r="O75" s="37">
        <f>$I$30*$O$30</f>
        <v>0</v>
      </c>
      <c r="P75" s="37">
        <f>$I$30*$P$30</f>
        <v>0</v>
      </c>
      <c r="Q75" s="37">
        <f>$I$30*$Q$30</f>
        <v>0</v>
      </c>
      <c r="R75" s="37">
        <f>$I$30*$R$30</f>
        <v>0</v>
      </c>
      <c r="S75" s="37">
        <f>$I$30*$S$30</f>
        <v>0</v>
      </c>
      <c r="T75" s="37">
        <f>$I$30*$T$30</f>
        <v>0</v>
      </c>
      <c r="U75" s="37">
        <f>$I$30*$U$30</f>
        <v>0</v>
      </c>
      <c r="W75" s="37">
        <f>$I$30*$W$30</f>
        <v>0</v>
      </c>
      <c r="X75" s="37">
        <f>$I$30*$X$30</f>
        <v>0</v>
      </c>
      <c r="Y75" s="37">
        <f>$I$30*$Y$30</f>
        <v>0</v>
      </c>
      <c r="Z75" s="37">
        <f>$I$30*$Z$30</f>
        <v>0</v>
      </c>
      <c r="AA75" s="37">
        <f>$I$30*$AA$30</f>
        <v>0</v>
      </c>
      <c r="AB75" s="37">
        <f>$I$30*$AB$30</f>
        <v>0</v>
      </c>
      <c r="AC75" s="37">
        <f>$I$30*$AC$30</f>
        <v>0</v>
      </c>
      <c r="AD75" s="37">
        <f>$I$30*$AD$30</f>
        <v>0</v>
      </c>
      <c r="AE75" s="37">
        <f>$I$30*$AE$30</f>
        <v>0</v>
      </c>
      <c r="AF75" s="37">
        <f>$I$30*$AF$30</f>
        <v>0</v>
      </c>
    </row>
    <row r="76" spans="1:32" ht="11.25" customHeight="1" x14ac:dyDescent="0.25">
      <c r="A76" s="9" t="s">
        <v>46</v>
      </c>
      <c r="B76" s="9" t="s">
        <v>1209</v>
      </c>
      <c r="C76" s="9" t="s">
        <v>1210</v>
      </c>
      <c r="D76" s="9" t="s">
        <v>1233</v>
      </c>
      <c r="E76" s="9" t="s">
        <v>1234</v>
      </c>
      <c r="F76" s="9" t="s">
        <v>1235</v>
      </c>
      <c r="G76" s="9" t="s">
        <v>1236</v>
      </c>
      <c r="L76" s="37">
        <f>$I$31*$L$31</f>
        <v>0</v>
      </c>
      <c r="M76" s="37">
        <f>$I$31*$M$31</f>
        <v>0</v>
      </c>
      <c r="N76" s="37">
        <f>$I$31*$N$31</f>
        <v>0</v>
      </c>
      <c r="O76" s="37">
        <f>$I$31*$O$31</f>
        <v>0</v>
      </c>
      <c r="P76" s="37">
        <f>$I$31*$P$31</f>
        <v>0</v>
      </c>
      <c r="Q76" s="37">
        <f>$I$31*$Q$31</f>
        <v>0</v>
      </c>
      <c r="R76" s="37">
        <f>$I$31*$R$31</f>
        <v>0</v>
      </c>
      <c r="S76" s="37">
        <f>$I$31*$S$31</f>
        <v>0</v>
      </c>
      <c r="T76" s="37">
        <f>$I$31*$T$31</f>
        <v>0</v>
      </c>
      <c r="U76" s="37">
        <f>$I$31*$U$31</f>
        <v>0</v>
      </c>
      <c r="W76" s="37">
        <f>$I$31*$W$31</f>
        <v>0</v>
      </c>
      <c r="X76" s="37">
        <f>$I$31*$X$31</f>
        <v>0</v>
      </c>
      <c r="Y76" s="37">
        <f>$I$31*$Y$31</f>
        <v>0</v>
      </c>
      <c r="Z76" s="37">
        <f>$I$31*$Z$31</f>
        <v>0</v>
      </c>
      <c r="AA76" s="37">
        <f>$I$31*$AA$31</f>
        <v>0</v>
      </c>
      <c r="AB76" s="37">
        <f>$I$31*$AB$31</f>
        <v>0</v>
      </c>
      <c r="AC76" s="37">
        <f>$I$31*$AC$31</f>
        <v>0</v>
      </c>
      <c r="AD76" s="37">
        <f>$I$31*$AD$31</f>
        <v>0</v>
      </c>
      <c r="AE76" s="37">
        <f>$I$31*$AE$31</f>
        <v>0</v>
      </c>
      <c r="AF76" s="37">
        <f>$I$31*$AF$31</f>
        <v>0</v>
      </c>
    </row>
    <row r="77" spans="1:32" ht="11.25" customHeight="1" x14ac:dyDescent="0.25">
      <c r="A77" s="9" t="s">
        <v>46</v>
      </c>
      <c r="B77" s="9" t="s">
        <v>1209</v>
      </c>
      <c r="C77" s="9" t="s">
        <v>1210</v>
      </c>
      <c r="D77" s="9" t="s">
        <v>1233</v>
      </c>
      <c r="E77" s="9" t="s">
        <v>1234</v>
      </c>
      <c r="F77" s="9" t="s">
        <v>1235</v>
      </c>
      <c r="G77" s="9" t="s">
        <v>1237</v>
      </c>
      <c r="L77" s="37">
        <f>$I$32*$L$32</f>
        <v>0</v>
      </c>
      <c r="M77" s="37">
        <f>$I$32*$M$32</f>
        <v>0</v>
      </c>
      <c r="N77" s="37">
        <f>$I$32*$N$32</f>
        <v>0</v>
      </c>
      <c r="O77" s="37">
        <f>$I$32*$O$32</f>
        <v>0</v>
      </c>
      <c r="P77" s="37">
        <f>$I$32*$P$32</f>
        <v>0</v>
      </c>
      <c r="Q77" s="37">
        <f>$I$32*$Q$32</f>
        <v>0</v>
      </c>
      <c r="R77" s="37">
        <f>$I$32*$R$32</f>
        <v>0</v>
      </c>
      <c r="S77" s="37">
        <f>$I$32*$S$32</f>
        <v>0</v>
      </c>
      <c r="T77" s="37">
        <f>$I$32*$T$32</f>
        <v>0</v>
      </c>
      <c r="U77" s="37">
        <f>$I$32*$U$32</f>
        <v>0</v>
      </c>
      <c r="W77" s="37">
        <f>$I$32*$W$32</f>
        <v>0</v>
      </c>
      <c r="X77" s="37">
        <f>$I$32*$X$32</f>
        <v>0</v>
      </c>
      <c r="Y77" s="37">
        <f>$I$32*$Y$32</f>
        <v>0</v>
      </c>
      <c r="Z77" s="37">
        <f>$I$32*$Z$32</f>
        <v>0</v>
      </c>
      <c r="AA77" s="37">
        <f>$I$32*$AA$32</f>
        <v>0</v>
      </c>
      <c r="AB77" s="37">
        <f>$I$32*$AB$32</f>
        <v>0</v>
      </c>
      <c r="AC77" s="37">
        <f>$I$32*$AC$32</f>
        <v>0</v>
      </c>
      <c r="AD77" s="37">
        <f>$I$32*$AD$32</f>
        <v>0</v>
      </c>
      <c r="AE77" s="37">
        <f>$I$32*$AE$32</f>
        <v>0</v>
      </c>
      <c r="AF77" s="37">
        <f>$I$32*$AF$32</f>
        <v>0</v>
      </c>
    </row>
    <row r="78" spans="1:32" ht="11.25" customHeight="1" x14ac:dyDescent="0.25">
      <c r="A78" s="9" t="s">
        <v>46</v>
      </c>
      <c r="B78" s="9" t="s">
        <v>1209</v>
      </c>
      <c r="C78" s="9" t="s">
        <v>1210</v>
      </c>
      <c r="D78" s="9" t="s">
        <v>1233</v>
      </c>
      <c r="E78" s="9" t="s">
        <v>1234</v>
      </c>
      <c r="F78" s="9" t="s">
        <v>1235</v>
      </c>
      <c r="G78" s="9" t="s">
        <v>1238</v>
      </c>
      <c r="L78" s="37">
        <f>$I$33*$L$33</f>
        <v>0</v>
      </c>
      <c r="M78" s="37">
        <f>$I$33*$M$33</f>
        <v>0</v>
      </c>
      <c r="N78" s="37">
        <f>$I$33*$N$33</f>
        <v>0</v>
      </c>
      <c r="O78" s="37">
        <f>$I$33*$O$33</f>
        <v>0</v>
      </c>
      <c r="P78" s="37">
        <f>$I$33*$P$33</f>
        <v>0</v>
      </c>
      <c r="Q78" s="37">
        <f>$I$33*$Q$33</f>
        <v>0</v>
      </c>
      <c r="R78" s="37">
        <f>$I$33*$R$33</f>
        <v>0</v>
      </c>
      <c r="S78" s="37">
        <f>$I$33*$S$33</f>
        <v>0</v>
      </c>
      <c r="T78" s="37">
        <f>$I$33*$T$33</f>
        <v>0</v>
      </c>
      <c r="U78" s="37">
        <f>$I$33*$U$33</f>
        <v>0</v>
      </c>
      <c r="W78" s="37">
        <f>$I$33*$W$33</f>
        <v>0</v>
      </c>
      <c r="X78" s="37">
        <f>$I$33*$X$33</f>
        <v>0</v>
      </c>
      <c r="Y78" s="37">
        <f>$I$33*$Y$33</f>
        <v>0</v>
      </c>
      <c r="Z78" s="37">
        <f>$I$33*$Z$33</f>
        <v>0</v>
      </c>
      <c r="AA78" s="37">
        <f>$I$33*$AA$33</f>
        <v>0</v>
      </c>
      <c r="AB78" s="37">
        <f>$I$33*$AB$33</f>
        <v>0</v>
      </c>
      <c r="AC78" s="37">
        <f>$I$33*$AC$33</f>
        <v>0</v>
      </c>
      <c r="AD78" s="37">
        <f>$I$33*$AD$33</f>
        <v>0</v>
      </c>
      <c r="AE78" s="37">
        <f>$I$33*$AE$33</f>
        <v>0</v>
      </c>
      <c r="AF78" s="37">
        <f>$I$33*$AF$33</f>
        <v>0</v>
      </c>
    </row>
    <row r="79" spans="1:32" ht="11.25" customHeight="1" x14ac:dyDescent="0.25">
      <c r="A79" s="9" t="s">
        <v>46</v>
      </c>
      <c r="B79" s="9" t="s">
        <v>1217</v>
      </c>
      <c r="C79" s="9" t="s">
        <v>1218</v>
      </c>
      <c r="D79" s="9" t="s">
        <v>1239</v>
      </c>
      <c r="E79" s="9" t="s">
        <v>1240</v>
      </c>
      <c r="F79" s="9" t="s">
        <v>1241</v>
      </c>
      <c r="G79" s="9" t="s">
        <v>1242</v>
      </c>
      <c r="L79" s="37">
        <f>$I$34*$L$34</f>
        <v>64.463421171600899</v>
      </c>
      <c r="M79" s="37">
        <f>$I$34*$M$34</f>
        <v>584.09625956995296</v>
      </c>
      <c r="N79" s="37">
        <f>$I$34*$N$34</f>
        <v>0</v>
      </c>
      <c r="O79" s="37">
        <f>$I$34*$O$34</f>
        <v>257.42283686056135</v>
      </c>
      <c r="P79" s="37">
        <f>$I$34*$P$34</f>
        <v>5619.9734093036113</v>
      </c>
      <c r="Q79" s="37">
        <f>$I$34*$Q$34</f>
        <v>0</v>
      </c>
      <c r="R79" s="37">
        <f>$I$34*$R$34</f>
        <v>0</v>
      </c>
      <c r="S79" s="37">
        <f>$I$34*$S$34</f>
        <v>0</v>
      </c>
      <c r="T79" s="37">
        <f>$I$34*$T$34</f>
        <v>0</v>
      </c>
      <c r="U79" s="37">
        <f>$I$34*$U$34</f>
        <v>92.748900597746029</v>
      </c>
      <c r="W79" s="37">
        <f>$I$34*$W$34</f>
        <v>49.761288690746298</v>
      </c>
      <c r="X79" s="37">
        <f>$I$34*$X$34</f>
        <v>162.99466824748467</v>
      </c>
      <c r="Y79" s="37">
        <f>$I$34*$Y$34</f>
        <v>0</v>
      </c>
      <c r="Z79" s="37">
        <f>$I$34*$Z$34</f>
        <v>-113.93732703745005</v>
      </c>
      <c r="AA79" s="37">
        <f>$I$34*$AA$34</f>
        <v>4723.8145437933536</v>
      </c>
      <c r="AB79" s="37">
        <f>$I$34*$AB$34</f>
        <v>0</v>
      </c>
      <c r="AC79" s="37">
        <f>$I$34*$AC$34</f>
        <v>0</v>
      </c>
      <c r="AD79" s="37">
        <f>$I$34*$AD$34</f>
        <v>0</v>
      </c>
      <c r="AE79" s="37">
        <f>$I$34*$AE$34</f>
        <v>0</v>
      </c>
      <c r="AF79" s="37">
        <f>$I$34*$AF$34</f>
        <v>79.70627775408667</v>
      </c>
    </row>
    <row r="80" spans="1:32" ht="11.25" customHeight="1" x14ac:dyDescent="0.25">
      <c r="A80" s="9" t="s">
        <v>46</v>
      </c>
      <c r="B80" s="9" t="s">
        <v>1243</v>
      </c>
      <c r="C80" s="9" t="s">
        <v>1244</v>
      </c>
      <c r="D80" s="9" t="s">
        <v>1245</v>
      </c>
      <c r="E80" s="9" t="s">
        <v>1246</v>
      </c>
      <c r="F80" s="9" t="s">
        <v>1247</v>
      </c>
      <c r="G80" s="9" t="s">
        <v>1248</v>
      </c>
      <c r="L80" s="37">
        <f>$I$35*$L$35</f>
        <v>0</v>
      </c>
      <c r="M80" s="37">
        <f>$I$35*$M$35</f>
        <v>0</v>
      </c>
      <c r="N80" s="37">
        <f>$I$35*$N$35</f>
        <v>0</v>
      </c>
      <c r="O80" s="37">
        <f>$I$35*$O$35</f>
        <v>0</v>
      </c>
      <c r="P80" s="37">
        <f>$I$35*$P$35</f>
        <v>0</v>
      </c>
      <c r="Q80" s="37">
        <f>$I$35*$Q$35</f>
        <v>0</v>
      </c>
      <c r="R80" s="37">
        <f>$I$35*$R$35</f>
        <v>0</v>
      </c>
      <c r="S80" s="37">
        <f>$I$35*$S$35</f>
        <v>0</v>
      </c>
      <c r="T80" s="37">
        <f>$I$35*$T$35</f>
        <v>0</v>
      </c>
      <c r="U80" s="37">
        <f>$I$35*$U$35</f>
        <v>0</v>
      </c>
      <c r="W80" s="37">
        <f>$I$35*$W$35</f>
        <v>0</v>
      </c>
      <c r="X80" s="37">
        <f>$I$35*$X$35</f>
        <v>0</v>
      </c>
      <c r="Y80" s="37">
        <f>$I$35*$Y$35</f>
        <v>0</v>
      </c>
      <c r="Z80" s="37">
        <f>$I$35*$Z$35</f>
        <v>0</v>
      </c>
      <c r="AA80" s="37">
        <f>$I$35*$AA$35</f>
        <v>0</v>
      </c>
      <c r="AB80" s="37">
        <f>$I$35*$AB$35</f>
        <v>0</v>
      </c>
      <c r="AC80" s="37">
        <f>$I$35*$AC$35</f>
        <v>0</v>
      </c>
      <c r="AD80" s="37">
        <f>$I$35*$AD$35</f>
        <v>0</v>
      </c>
      <c r="AE80" s="37">
        <f>$I$35*$AE$35</f>
        <v>0</v>
      </c>
      <c r="AF80" s="37">
        <f>$I$35*$AF$35</f>
        <v>0</v>
      </c>
    </row>
    <row r="81" spans="1:32" ht="11.25" customHeight="1" x14ac:dyDescent="0.25">
      <c r="A81" s="9" t="s">
        <v>46</v>
      </c>
      <c r="B81" s="9" t="s">
        <v>1243</v>
      </c>
      <c r="C81" s="9" t="s">
        <v>1244</v>
      </c>
      <c r="D81" s="9" t="s">
        <v>1249</v>
      </c>
      <c r="E81" s="9" t="s">
        <v>1250</v>
      </c>
      <c r="F81" s="9" t="s">
        <v>1251</v>
      </c>
      <c r="G81" s="9" t="s">
        <v>1252</v>
      </c>
      <c r="L81" s="37">
        <f>$I$36*$L$36</f>
        <v>0</v>
      </c>
      <c r="M81" s="37">
        <f>$I$36*$M$36</f>
        <v>0</v>
      </c>
      <c r="N81" s="37">
        <f>$I$36*$N$36</f>
        <v>0</v>
      </c>
      <c r="O81" s="37">
        <f>$I$36*$O$36</f>
        <v>0</v>
      </c>
      <c r="P81" s="37">
        <f>$I$36*$P$36</f>
        <v>0</v>
      </c>
      <c r="Q81" s="37">
        <f>$I$36*$Q$36</f>
        <v>0</v>
      </c>
      <c r="R81" s="37">
        <f>$I$36*$R$36</f>
        <v>0</v>
      </c>
      <c r="S81" s="37">
        <f>$I$36*$S$36</f>
        <v>0</v>
      </c>
      <c r="T81" s="37">
        <f>$I$36*$T$36</f>
        <v>0</v>
      </c>
      <c r="U81" s="37">
        <f>$I$36*$U$36</f>
        <v>0</v>
      </c>
      <c r="W81" s="37">
        <f>$I$36*$W$36</f>
        <v>0</v>
      </c>
      <c r="X81" s="37">
        <f>$I$36*$X$36</f>
        <v>0</v>
      </c>
      <c r="Y81" s="37">
        <f>$I$36*$Y$36</f>
        <v>0</v>
      </c>
      <c r="Z81" s="37">
        <f>$I$36*$Z$36</f>
        <v>0</v>
      </c>
      <c r="AA81" s="37">
        <f>$I$36*$AA$36</f>
        <v>0</v>
      </c>
      <c r="AB81" s="37">
        <f>$I$36*$AB$36</f>
        <v>0</v>
      </c>
      <c r="AC81" s="37">
        <f>$I$36*$AC$36</f>
        <v>0</v>
      </c>
      <c r="AD81" s="37">
        <f>$I$36*$AD$36</f>
        <v>0</v>
      </c>
      <c r="AE81" s="37">
        <f>$I$36*$AE$36</f>
        <v>0</v>
      </c>
      <c r="AF81" s="37">
        <f>$I$36*$AF$36</f>
        <v>0</v>
      </c>
    </row>
    <row r="82" spans="1:32" ht="11.25" customHeight="1" x14ac:dyDescent="0.25">
      <c r="A82" s="9" t="s">
        <v>46</v>
      </c>
      <c r="B82" s="9" t="s">
        <v>1243</v>
      </c>
      <c r="C82" s="9" t="s">
        <v>1244</v>
      </c>
      <c r="D82" s="9" t="s">
        <v>1253</v>
      </c>
      <c r="E82" s="9" t="s">
        <v>1254</v>
      </c>
      <c r="F82" s="9" t="s">
        <v>1255</v>
      </c>
      <c r="G82" s="9" t="s">
        <v>1256</v>
      </c>
      <c r="L82" s="37">
        <f>$I$37*$L$37</f>
        <v>0</v>
      </c>
      <c r="M82" s="37">
        <f>$I$37*$M$37</f>
        <v>0</v>
      </c>
      <c r="N82" s="37">
        <f>$I$37*$N$37</f>
        <v>0</v>
      </c>
      <c r="O82" s="37">
        <f>$I$37*$O$37</f>
        <v>0</v>
      </c>
      <c r="P82" s="37">
        <f>$I$37*$P$37</f>
        <v>0</v>
      </c>
      <c r="Q82" s="37">
        <f>$I$37*$Q$37</f>
        <v>0</v>
      </c>
      <c r="R82" s="37">
        <f>$I$37*$R$37</f>
        <v>0</v>
      </c>
      <c r="S82" s="37">
        <f>$I$37*$S$37</f>
        <v>0</v>
      </c>
      <c r="T82" s="37">
        <f>$I$37*$T$37</f>
        <v>0</v>
      </c>
      <c r="U82" s="37">
        <f>$I$37*$U$37</f>
        <v>0</v>
      </c>
      <c r="W82" s="37">
        <f>$I$37*$W$37</f>
        <v>0</v>
      </c>
      <c r="X82" s="37">
        <f>$I$37*$X$37</f>
        <v>0</v>
      </c>
      <c r="Y82" s="37">
        <f>$I$37*$Y$37</f>
        <v>0</v>
      </c>
      <c r="Z82" s="37">
        <f>$I$37*$Z$37</f>
        <v>0</v>
      </c>
      <c r="AA82" s="37">
        <f>$I$37*$AA$37</f>
        <v>0</v>
      </c>
      <c r="AB82" s="37">
        <f>$I$37*$AB$37</f>
        <v>0</v>
      </c>
      <c r="AC82" s="37">
        <f>$I$37*$AC$37</f>
        <v>0</v>
      </c>
      <c r="AD82" s="37">
        <f>$I$37*$AD$37</f>
        <v>0</v>
      </c>
      <c r="AE82" s="37">
        <f>$I$37*$AE$37</f>
        <v>0</v>
      </c>
      <c r="AF82" s="37">
        <f>$I$37*$AF$37</f>
        <v>0</v>
      </c>
    </row>
    <row r="83" spans="1:32" ht="11.25" customHeight="1" x14ac:dyDescent="0.25">
      <c r="A83" s="9" t="s">
        <v>41</v>
      </c>
      <c r="B83" s="9" t="s">
        <v>1257</v>
      </c>
      <c r="C83" s="9" t="s">
        <v>1258</v>
      </c>
      <c r="D83" s="9" t="s">
        <v>1259</v>
      </c>
      <c r="E83" s="9" t="s">
        <v>1260</v>
      </c>
      <c r="F83" s="9" t="s">
        <v>1261</v>
      </c>
      <c r="G83" s="9" t="s">
        <v>1262</v>
      </c>
      <c r="L83" s="37">
        <f>$I$38*$L$38</f>
        <v>461.69769501109505</v>
      </c>
      <c r="M83" s="37">
        <f>$I$38*$M$38</f>
        <v>4183.3941141624382</v>
      </c>
      <c r="N83" s="37">
        <f>$I$38*$N$38</f>
        <v>0</v>
      </c>
      <c r="O83" s="37">
        <f>$I$38*$O$38</f>
        <v>1843.7049765844245</v>
      </c>
      <c r="P83" s="37">
        <f>$I$38*$P$38</f>
        <v>65313.235474346257</v>
      </c>
      <c r="Q83" s="37">
        <f>$I$38*$Q$38</f>
        <v>0</v>
      </c>
      <c r="R83" s="37">
        <f>$I$38*$R$38</f>
        <v>0</v>
      </c>
      <c r="S83" s="37">
        <f>$I$38*$S$38</f>
        <v>0</v>
      </c>
      <c r="T83" s="37">
        <f>$I$38*$T$38</f>
        <v>0</v>
      </c>
      <c r="U83" s="37">
        <f>$I$38*$U$38</f>
        <v>664.28298161217606</v>
      </c>
      <c r="W83" s="37">
        <f>$I$38*$W$38</f>
        <v>393.91422894654448</v>
      </c>
      <c r="X83" s="37">
        <f>$I$38*$X$38</f>
        <v>1290.2784625239367</v>
      </c>
      <c r="Y83" s="37">
        <f>$I$38*$Y$38</f>
        <v>0</v>
      </c>
      <c r="Z83" s="37">
        <f>$I$38*$Z$38</f>
        <v>-901.93673654866222</v>
      </c>
      <c r="AA83" s="37">
        <f>$I$38*$AA$38</f>
        <v>60677.191420499817</v>
      </c>
      <c r="AB83" s="37">
        <f>$I$38*$AB$38</f>
        <v>0</v>
      </c>
      <c r="AC83" s="37">
        <f>$I$38*$AC$38</f>
        <v>0</v>
      </c>
      <c r="AD83" s="37">
        <f>$I$38*$AD$38</f>
        <v>0</v>
      </c>
      <c r="AE83" s="37">
        <f>$I$38*$AE$38</f>
        <v>0</v>
      </c>
      <c r="AF83" s="37">
        <f>$I$38*$AF$38</f>
        <v>630.96108983083661</v>
      </c>
    </row>
    <row r="84" spans="1:32" ht="11.25" customHeight="1" x14ac:dyDescent="0.25">
      <c r="A84" s="9" t="s">
        <v>41</v>
      </c>
      <c r="B84" s="9" t="s">
        <v>1257</v>
      </c>
      <c r="C84" s="9" t="s">
        <v>1258</v>
      </c>
      <c r="D84" s="9" t="s">
        <v>1259</v>
      </c>
      <c r="E84" s="9" t="s">
        <v>1260</v>
      </c>
      <c r="F84" s="9" t="s">
        <v>1261</v>
      </c>
      <c r="G84" s="9" t="s">
        <v>1263</v>
      </c>
      <c r="L84" s="37">
        <f>$I$39*$L$39</f>
        <v>259.94267411936124</v>
      </c>
      <c r="M84" s="37">
        <f>$I$39*$M$39</f>
        <v>2355.3131511831534</v>
      </c>
      <c r="N84" s="37">
        <f>$I$39*$N$39</f>
        <v>0</v>
      </c>
      <c r="O84" s="37">
        <f>$I$39*$O$39</f>
        <v>1038.0333432009284</v>
      </c>
      <c r="P84" s="37">
        <f>$I$39*$P$39</f>
        <v>21379.257955164674</v>
      </c>
      <c r="Q84" s="37">
        <f>$I$39*$Q$39</f>
        <v>0</v>
      </c>
      <c r="R84" s="37">
        <f>$I$39*$R$39</f>
        <v>0</v>
      </c>
      <c r="S84" s="37">
        <f>$I$39*$S$39</f>
        <v>0</v>
      </c>
      <c r="T84" s="37">
        <f>$I$39*$T$39</f>
        <v>0</v>
      </c>
      <c r="U84" s="37">
        <f>$I$39*$U$39</f>
        <v>374.00120571990715</v>
      </c>
      <c r="W84" s="37">
        <f>$I$39*$W$39</f>
        <v>221.77957384771094</v>
      </c>
      <c r="X84" s="37">
        <f>$I$39*$X$39</f>
        <v>726.4459786809856</v>
      </c>
      <c r="Y84" s="37">
        <f>$I$39*$Y$39</f>
        <v>0</v>
      </c>
      <c r="Z84" s="37">
        <f>$I$39*$Z$39</f>
        <v>-507.80380694626382</v>
      </c>
      <c r="AA84" s="37">
        <f>$I$39*$AA$39</f>
        <v>19861.722022380862</v>
      </c>
      <c r="AB84" s="37">
        <f>$I$39*$AB$39</f>
        <v>0</v>
      </c>
      <c r="AC84" s="37">
        <f>$I$39*$AC$39</f>
        <v>0</v>
      </c>
      <c r="AD84" s="37">
        <f>$I$39*$AD$39</f>
        <v>0</v>
      </c>
      <c r="AE84" s="37">
        <f>$I$39*$AE$39</f>
        <v>0</v>
      </c>
      <c r="AF84" s="37">
        <f>$I$39*$AF$39</f>
        <v>355.24048468977685</v>
      </c>
    </row>
    <row r="85" spans="1:32" ht="11.25" customHeight="1" x14ac:dyDescent="0.25">
      <c r="A85" s="9" t="s">
        <v>41</v>
      </c>
      <c r="B85" s="9" t="s">
        <v>1257</v>
      </c>
      <c r="C85" s="9" t="s">
        <v>1258</v>
      </c>
      <c r="D85" s="9" t="s">
        <v>1259</v>
      </c>
      <c r="E85" s="9" t="s">
        <v>1260</v>
      </c>
      <c r="F85" s="9" t="s">
        <v>1261</v>
      </c>
      <c r="G85" s="9" t="s">
        <v>1264</v>
      </c>
      <c r="L85" s="37">
        <f>$I$40*$L$40</f>
        <v>7259.0472346012211</v>
      </c>
      <c r="M85" s="37">
        <f>$I$40*$M$40</f>
        <v>65773.461301183488</v>
      </c>
      <c r="N85" s="37">
        <f>$I$40*$N$40</f>
        <v>0</v>
      </c>
      <c r="O85" s="37">
        <f>$I$40*$O$40</f>
        <v>28987.672358585321</v>
      </c>
      <c r="P85" s="37">
        <f>$I$40*$P$40</f>
        <v>597027.9557330485</v>
      </c>
      <c r="Q85" s="37">
        <f>$I$40*$Q$40</f>
        <v>0</v>
      </c>
      <c r="R85" s="37">
        <f>$I$40*$R$40</f>
        <v>0</v>
      </c>
      <c r="S85" s="37">
        <f>$I$40*$S$40</f>
        <v>0</v>
      </c>
      <c r="T85" s="37">
        <f>$I$40*$T$40</f>
        <v>0</v>
      </c>
      <c r="U85" s="37">
        <f>$I$40*$U$40</f>
        <v>10444.196695737546</v>
      </c>
      <c r="W85" s="37">
        <f>$I$40*$W$40</f>
        <v>6193.3209223315944</v>
      </c>
      <c r="X85" s="37">
        <f>$I$40*$X$40</f>
        <v>20286.417728433364</v>
      </c>
      <c r="Y85" s="37">
        <f>$I$40*$Y$40</f>
        <v>0</v>
      </c>
      <c r="Z85" s="37">
        <f>$I$40*$Z$40</f>
        <v>-14180.710547128638</v>
      </c>
      <c r="AA85" s="37">
        <f>$I$40*$AA$40</f>
        <v>554649.90044219617</v>
      </c>
      <c r="AB85" s="37">
        <f>$I$40*$AB$40</f>
        <v>0</v>
      </c>
      <c r="AC85" s="37">
        <f>$I$40*$AC$40</f>
        <v>0</v>
      </c>
      <c r="AD85" s="37">
        <f>$I$40*$AD$40</f>
        <v>0</v>
      </c>
      <c r="AE85" s="37">
        <f>$I$40*$AE$40</f>
        <v>0</v>
      </c>
      <c r="AF85" s="37">
        <f>$I$40*$AF$40</f>
        <v>9920.2928751191648</v>
      </c>
    </row>
    <row r="86" spans="1:32" ht="11.25" customHeight="1" x14ac:dyDescent="0.25">
      <c r="A86" s="9" t="s">
        <v>41</v>
      </c>
      <c r="B86" s="9" t="s">
        <v>1265</v>
      </c>
      <c r="C86" s="9" t="s">
        <v>1266</v>
      </c>
      <c r="D86" s="9" t="s">
        <v>1267</v>
      </c>
      <c r="E86" s="9" t="s">
        <v>1268</v>
      </c>
      <c r="F86" s="9" t="s">
        <v>1269</v>
      </c>
      <c r="G86" s="9" t="s">
        <v>1270</v>
      </c>
      <c r="L86" s="37">
        <f>$I$41*$L$41</f>
        <v>2459326.2050241488</v>
      </c>
      <c r="M86" s="37">
        <f>$I$41*$M$41</f>
        <v>22283695.331544232</v>
      </c>
      <c r="N86" s="37">
        <f>$I$41*$N$41</f>
        <v>0</v>
      </c>
      <c r="O86" s="37">
        <f>$I$41*$O$41</f>
        <v>9820867.6635012161</v>
      </c>
      <c r="P86" s="37">
        <f>$I$41*$P$41</f>
        <v>214406055.80406609</v>
      </c>
      <c r="Q86" s="37">
        <f>$I$41*$Q$41</f>
        <v>0</v>
      </c>
      <c r="R86" s="37">
        <f>$I$41*$R$41</f>
        <v>0</v>
      </c>
      <c r="S86" s="37">
        <f>$I$41*$S$41</f>
        <v>0</v>
      </c>
      <c r="T86" s="37">
        <f>$I$41*$T$41</f>
        <v>0</v>
      </c>
      <c r="U86" s="37">
        <f>$I$41*$U$41</f>
        <v>3538437.7307561398</v>
      </c>
      <c r="W86" s="37">
        <f>$I$41*$W$41</f>
        <v>2098263.8558696699</v>
      </c>
      <c r="X86" s="37">
        <f>$I$41*$X$41</f>
        <v>6872929.3408907568</v>
      </c>
      <c r="Y86" s="37">
        <f>$I$41*$Y$41</f>
        <v>0</v>
      </c>
      <c r="Z86" s="37">
        <f>$I$41*$Z$41</f>
        <v>-4804348.5497903181</v>
      </c>
      <c r="AA86" s="37">
        <f>$I$41*$AA$41</f>
        <v>199187150.89298481</v>
      </c>
      <c r="AB86" s="37">
        <f>$I$41*$AB$41</f>
        <v>0</v>
      </c>
      <c r="AC86" s="37">
        <f>$I$41*$AC$41</f>
        <v>0</v>
      </c>
      <c r="AD86" s="37">
        <f>$I$41*$AD$41</f>
        <v>0</v>
      </c>
      <c r="AE86" s="37">
        <f>$I$41*$AE$41</f>
        <v>0</v>
      </c>
      <c r="AF86" s="37">
        <f>$I$41*$AF$41</f>
        <v>3360941.9309192845</v>
      </c>
    </row>
    <row r="87" spans="1:32" ht="11.25" customHeight="1" x14ac:dyDescent="0.25">
      <c r="A87" s="9" t="s">
        <v>41</v>
      </c>
      <c r="B87" s="9" t="s">
        <v>1271</v>
      </c>
      <c r="C87" s="9" t="s">
        <v>1272</v>
      </c>
      <c r="D87" s="9" t="s">
        <v>1273</v>
      </c>
      <c r="E87" s="9" t="s">
        <v>1274</v>
      </c>
      <c r="F87" s="9" t="s">
        <v>1275</v>
      </c>
      <c r="G87" s="9" t="s">
        <v>1276</v>
      </c>
      <c r="L87" s="37">
        <f>$I$42*$L$42</f>
        <v>0</v>
      </c>
      <c r="M87" s="37">
        <f>$I$42*$M$42</f>
        <v>0</v>
      </c>
      <c r="N87" s="37">
        <f>$I$42*$N$42</f>
        <v>0</v>
      </c>
      <c r="O87" s="37">
        <f>$I$42*$O$42</f>
        <v>0</v>
      </c>
      <c r="P87" s="37">
        <f>$I$42*$P$42</f>
        <v>0</v>
      </c>
      <c r="Q87" s="37">
        <f>$I$42*$Q$42</f>
        <v>0</v>
      </c>
      <c r="R87" s="37">
        <f>$I$42*$R$42</f>
        <v>0</v>
      </c>
      <c r="S87" s="37">
        <f>$I$42*$S$42</f>
        <v>0</v>
      </c>
      <c r="T87" s="37">
        <f>$I$42*$T$42</f>
        <v>0</v>
      </c>
      <c r="U87" s="37">
        <f>$I$42*$U$42</f>
        <v>0</v>
      </c>
      <c r="W87" s="37">
        <f>$I$42*$W$42</f>
        <v>0</v>
      </c>
      <c r="X87" s="37">
        <f>$I$42*$X$42</f>
        <v>0</v>
      </c>
      <c r="Y87" s="37">
        <f>$I$42*$Y$42</f>
        <v>0</v>
      </c>
      <c r="Z87" s="37">
        <f>$I$42*$Z$42</f>
        <v>0</v>
      </c>
      <c r="AA87" s="37">
        <f>$I$42*$AA$42</f>
        <v>0</v>
      </c>
      <c r="AB87" s="37">
        <f>$I$42*$AB$42</f>
        <v>0</v>
      </c>
      <c r="AC87" s="37">
        <f>$I$42*$AC$42</f>
        <v>0</v>
      </c>
      <c r="AD87" s="37">
        <f>$I$42*$AD$42</f>
        <v>0</v>
      </c>
      <c r="AE87" s="37">
        <f>$I$42*$AE$42</f>
        <v>0</v>
      </c>
      <c r="AF87" s="37">
        <f>$I$42*$AF$42</f>
        <v>0</v>
      </c>
    </row>
    <row r="88" spans="1:32" ht="11.25" customHeight="1" x14ac:dyDescent="0.25">
      <c r="A88" s="9" t="s">
        <v>49</v>
      </c>
      <c r="B88" s="9" t="s">
        <v>1277</v>
      </c>
      <c r="C88" s="9" t="s">
        <v>1278</v>
      </c>
      <c r="D88" s="9" t="s">
        <v>1279</v>
      </c>
      <c r="E88" s="9" t="s">
        <v>1280</v>
      </c>
      <c r="F88" s="9" t="s">
        <v>1281</v>
      </c>
      <c r="G88" s="9" t="s">
        <v>1282</v>
      </c>
      <c r="L88" s="37">
        <f>$I$43*$L$43</f>
        <v>318698.12792064814</v>
      </c>
      <c r="M88" s="37">
        <f>$I$43*$M$43</f>
        <v>2887690.1204927792</v>
      </c>
      <c r="N88" s="37">
        <f>$I$43*$N$43</f>
        <v>0</v>
      </c>
      <c r="O88" s="37">
        <f>$I$43*$O$43</f>
        <v>1272662.4603601675</v>
      </c>
      <c r="P88" s="37">
        <f>$I$43*$P$43</f>
        <v>27784361.610921357</v>
      </c>
      <c r="Q88" s="37">
        <f>$I$43*$Q$43</f>
        <v>0</v>
      </c>
      <c r="R88" s="37">
        <f>$I$43*$R$43</f>
        <v>0</v>
      </c>
      <c r="S88" s="37">
        <f>$I$43*$S$43</f>
        <v>0</v>
      </c>
      <c r="T88" s="37">
        <f>$I$43*$T$43</f>
        <v>0</v>
      </c>
      <c r="U88" s="37">
        <f>$I$43*$U$43</f>
        <v>458537.57759015739</v>
      </c>
      <c r="W88" s="37">
        <f>$I$43*$W$43</f>
        <v>271908.93236656277</v>
      </c>
      <c r="X88" s="37">
        <f>$I$43*$X$43</f>
        <v>890646.27124211448</v>
      </c>
      <c r="Y88" s="37">
        <f>$I$43*$Y$43</f>
        <v>0</v>
      </c>
      <c r="Z88" s="37">
        <f>$I$43*$Z$43</f>
        <v>-622583.89536471432</v>
      </c>
      <c r="AA88" s="37">
        <f>$I$43*$AA$43</f>
        <v>25812180.574401993</v>
      </c>
      <c r="AB88" s="37">
        <f>$I$43*$AB$43</f>
        <v>0</v>
      </c>
      <c r="AC88" s="37">
        <f>$I$43*$AC$43</f>
        <v>0</v>
      </c>
      <c r="AD88" s="37">
        <f>$I$43*$AD$43</f>
        <v>0</v>
      </c>
      <c r="AE88" s="37">
        <f>$I$43*$AE$43</f>
        <v>0</v>
      </c>
      <c r="AF88" s="37">
        <f>$I$43*$AF$43</f>
        <v>435536.32667589484</v>
      </c>
    </row>
    <row r="89" spans="1:32" ht="11.25" customHeight="1" x14ac:dyDescent="0.25">
      <c r="A89" s="9" t="s">
        <v>49</v>
      </c>
      <c r="B89" s="9" t="s">
        <v>1277</v>
      </c>
      <c r="C89" s="9" t="s">
        <v>1278</v>
      </c>
      <c r="D89" s="9" t="s">
        <v>1283</v>
      </c>
      <c r="E89" s="9" t="s">
        <v>1284</v>
      </c>
      <c r="F89" s="9" t="s">
        <v>1285</v>
      </c>
      <c r="G89" s="9" t="s">
        <v>1286</v>
      </c>
      <c r="L89" s="37">
        <f>$I$44*$L$44</f>
        <v>0</v>
      </c>
      <c r="M89" s="37">
        <f>$I$44*$M$44</f>
        <v>0</v>
      </c>
      <c r="N89" s="37">
        <f>$I$44*$N$44</f>
        <v>0</v>
      </c>
      <c r="O89" s="37">
        <f>$I$44*$O$44</f>
        <v>0</v>
      </c>
      <c r="P89" s="37">
        <f>$I$44*$P$44</f>
        <v>0</v>
      </c>
      <c r="Q89" s="37">
        <f>$I$44*$Q$44</f>
        <v>0</v>
      </c>
      <c r="R89" s="37">
        <f>$I$44*$R$44</f>
        <v>0</v>
      </c>
      <c r="S89" s="37">
        <f>$I$44*$S$44</f>
        <v>0</v>
      </c>
      <c r="T89" s="37">
        <f>$I$44*$T$44</f>
        <v>0</v>
      </c>
      <c r="U89" s="37">
        <f>$I$44*$U$44</f>
        <v>0</v>
      </c>
      <c r="W89" s="37">
        <f>$I$44*$W$44</f>
        <v>0</v>
      </c>
      <c r="X89" s="37">
        <f>$I$44*$X$44</f>
        <v>0</v>
      </c>
      <c r="Y89" s="37">
        <f>$I$44*$Y$44</f>
        <v>0</v>
      </c>
      <c r="Z89" s="37">
        <f>$I$44*$Z$44</f>
        <v>0</v>
      </c>
      <c r="AA89" s="37">
        <f>$I$44*$AA$44</f>
        <v>0</v>
      </c>
      <c r="AB89" s="37">
        <f>$I$44*$AB$44</f>
        <v>0</v>
      </c>
      <c r="AC89" s="37">
        <f>$I$44*$AC$44</f>
        <v>0</v>
      </c>
      <c r="AD89" s="37">
        <f>$I$44*$AD$44</f>
        <v>0</v>
      </c>
      <c r="AE89" s="37">
        <f>$I$44*$AE$44</f>
        <v>0</v>
      </c>
      <c r="AF89" s="37">
        <f>$I$44*$AF$44</f>
        <v>0</v>
      </c>
    </row>
  </sheetData>
  <mergeCells count="75">
    <mergeCell ref="F1:F4"/>
    <mergeCell ref="A1:A4"/>
    <mergeCell ref="B1:B4"/>
    <mergeCell ref="C1:C4"/>
    <mergeCell ref="D1:D4"/>
    <mergeCell ref="E1:E4"/>
    <mergeCell ref="G1:G4"/>
    <mergeCell ref="H1:H4"/>
    <mergeCell ref="I1:I4"/>
    <mergeCell ref="J1:J4"/>
    <mergeCell ref="L1:U1"/>
    <mergeCell ref="L2:U2"/>
    <mergeCell ref="L3:O3"/>
    <mergeCell ref="Q3:S3"/>
    <mergeCell ref="A5:A6"/>
    <mergeCell ref="B5:B6"/>
    <mergeCell ref="C5:C6"/>
    <mergeCell ref="D5:D6"/>
    <mergeCell ref="E5:E6"/>
    <mergeCell ref="A7:A9"/>
    <mergeCell ref="B7:B8"/>
    <mergeCell ref="C7:C8"/>
    <mergeCell ref="D7:D8"/>
    <mergeCell ref="E7:E8"/>
    <mergeCell ref="A10:A22"/>
    <mergeCell ref="B10:B12"/>
    <mergeCell ref="C10:C12"/>
    <mergeCell ref="D10:D12"/>
    <mergeCell ref="E10:E12"/>
    <mergeCell ref="B13:B17"/>
    <mergeCell ref="C13:C17"/>
    <mergeCell ref="B18:B22"/>
    <mergeCell ref="C18:C22"/>
    <mergeCell ref="A23:A37"/>
    <mergeCell ref="B23:B25"/>
    <mergeCell ref="C23:C25"/>
    <mergeCell ref="D23:D25"/>
    <mergeCell ref="E23:E25"/>
    <mergeCell ref="B27:B29"/>
    <mergeCell ref="C27:C29"/>
    <mergeCell ref="D27:D29"/>
    <mergeCell ref="E27:E29"/>
    <mergeCell ref="W1:AF1"/>
    <mergeCell ref="W2:AF2"/>
    <mergeCell ref="W3:Z3"/>
    <mergeCell ref="AB3:AD3"/>
    <mergeCell ref="B35:B37"/>
    <mergeCell ref="C35:C37"/>
    <mergeCell ref="F27:F29"/>
    <mergeCell ref="B31:B33"/>
    <mergeCell ref="C31:C33"/>
    <mergeCell ref="D31:D33"/>
    <mergeCell ref="E31:E33"/>
    <mergeCell ref="F31:F33"/>
    <mergeCell ref="F23:F25"/>
    <mergeCell ref="F10:F12"/>
    <mergeCell ref="F7:F8"/>
    <mergeCell ref="F5:F6"/>
    <mergeCell ref="E38:E40"/>
    <mergeCell ref="F38:F40"/>
    <mergeCell ref="A43:A44"/>
    <mergeCell ref="B43:B44"/>
    <mergeCell ref="C43:C44"/>
    <mergeCell ref="A38:A42"/>
    <mergeCell ref="B38:B40"/>
    <mergeCell ref="C38:C40"/>
    <mergeCell ref="D38:D40"/>
    <mergeCell ref="L46:U46"/>
    <mergeCell ref="W46:AF46"/>
    <mergeCell ref="L47:U47"/>
    <mergeCell ref="W47:AF47"/>
    <mergeCell ref="L48:O48"/>
    <mergeCell ref="Q48:S48"/>
    <mergeCell ref="W48:Z48"/>
    <mergeCell ref="AB48:AD48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4DF5F-B69F-4CC1-BAD0-2377DB916716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7" bestFit="1" customWidth="1"/>
    <col min="2" max="2" width="12.42578125" style="17" bestFit="1" customWidth="1"/>
    <col min="3" max="3" width="10.28515625" style="17" bestFit="1" customWidth="1"/>
    <col min="4" max="4" width="10.85546875" style="17" bestFit="1" customWidth="1"/>
    <col min="5" max="6" width="10.28515625" style="17" bestFit="1" customWidth="1"/>
    <col min="7" max="7" width="11.7109375" style="17" bestFit="1" customWidth="1"/>
    <col min="8" max="8" width="10.85546875" style="17" bestFit="1" customWidth="1"/>
    <col min="9" max="9" width="8" style="17" bestFit="1" customWidth="1"/>
    <col min="10" max="10" width="11.7109375" style="17" bestFit="1" customWidth="1"/>
    <col min="11" max="11" width="10" style="17" bestFit="1" customWidth="1"/>
    <col min="12" max="12" width="9.5703125" style="17" bestFit="1" customWidth="1"/>
    <col min="13" max="13" width="9.7109375" style="17" bestFit="1" customWidth="1"/>
    <col min="14" max="14" width="7.5703125" style="17" bestFit="1" customWidth="1"/>
    <col min="15" max="15" width="7.42578125" style="17" bestFit="1" customWidth="1"/>
    <col min="16" max="16" width="9.7109375" style="17" bestFit="1" customWidth="1"/>
    <col min="17" max="17" width="13.140625" style="17" bestFit="1" customWidth="1"/>
    <col min="18" max="18" width="7.7109375" style="17" bestFit="1" customWidth="1"/>
    <col min="19" max="19" width="7.140625" style="17" bestFit="1" customWidth="1"/>
    <col min="20" max="20" width="14.5703125" style="17" bestFit="1" customWidth="1"/>
    <col min="21" max="21" width="17.7109375" style="17" bestFit="1" customWidth="1"/>
    <col min="22" max="22" width="18.42578125" style="17" bestFit="1" customWidth="1"/>
    <col min="23" max="23" width="6" style="17" bestFit="1" customWidth="1"/>
    <col min="24" max="24" width="13.140625" style="17" bestFit="1" customWidth="1"/>
    <col min="25" max="26" width="9.140625" style="17"/>
    <col min="27" max="27" width="3" style="17" bestFit="1" customWidth="1"/>
    <col min="28" max="28" width="21.5703125" style="17" bestFit="1" customWidth="1"/>
    <col min="29" max="29" width="13.5703125" style="17" bestFit="1" customWidth="1"/>
    <col min="30" max="30" width="25.140625" style="17" bestFit="1" customWidth="1"/>
    <col min="31" max="33" width="10.28515625" style="17" bestFit="1" customWidth="1"/>
    <col min="34" max="16384" width="9.140625" style="17"/>
  </cols>
  <sheetData>
    <row r="1" spans="1:33" x14ac:dyDescent="0.2">
      <c r="A1" s="17" t="s">
        <v>76</v>
      </c>
      <c r="B1" s="17" t="s">
        <v>77</v>
      </c>
      <c r="C1" s="17" t="s">
        <v>78</v>
      </c>
      <c r="D1" s="17" t="s">
        <v>79</v>
      </c>
      <c r="E1" s="17" t="s">
        <v>80</v>
      </c>
      <c r="F1" s="17" t="s">
        <v>15</v>
      </c>
      <c r="G1" s="17" t="s">
        <v>82</v>
      </c>
      <c r="I1" s="17" t="s">
        <v>1294</v>
      </c>
      <c r="AA1" s="17" t="s">
        <v>43</v>
      </c>
      <c r="AB1" s="17" t="s">
        <v>25</v>
      </c>
      <c r="AC1" s="17" t="s">
        <v>25</v>
      </c>
      <c r="AD1" s="17" t="s">
        <v>25</v>
      </c>
      <c r="AE1" s="17" t="s">
        <v>25</v>
      </c>
      <c r="AF1" s="17" t="s">
        <v>25</v>
      </c>
      <c r="AG1" s="17" t="s">
        <v>25</v>
      </c>
    </row>
    <row r="2" spans="1:33" x14ac:dyDescent="0.2">
      <c r="A2" s="17" t="s">
        <v>43</v>
      </c>
      <c r="B2" s="17" t="s">
        <v>25</v>
      </c>
      <c r="C2" s="17" t="s">
        <v>25</v>
      </c>
      <c r="D2" s="17" t="s">
        <v>25</v>
      </c>
      <c r="E2" s="17" t="s">
        <v>25</v>
      </c>
      <c r="F2" s="17" t="s">
        <v>25</v>
      </c>
      <c r="G2" s="17" t="s">
        <v>25</v>
      </c>
      <c r="I2" s="17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7" t="s">
        <v>35</v>
      </c>
      <c r="AB2" s="17" t="s">
        <v>44</v>
      </c>
      <c r="AC2" s="17" t="s">
        <v>24</v>
      </c>
      <c r="AD2" s="17" t="s">
        <v>24</v>
      </c>
      <c r="AE2" s="17" t="s">
        <v>93</v>
      </c>
      <c r="AG2" s="17" t="s">
        <v>90</v>
      </c>
    </row>
    <row r="3" spans="1:33" x14ac:dyDescent="0.2">
      <c r="AA3" s="17" t="s">
        <v>95</v>
      </c>
      <c r="AB3" s="17" t="s">
        <v>63</v>
      </c>
      <c r="AC3" s="17" t="s">
        <v>47</v>
      </c>
      <c r="AD3" s="17" t="s">
        <v>31</v>
      </c>
      <c r="AE3" s="17" t="s">
        <v>96</v>
      </c>
      <c r="AG3" s="17" t="s">
        <v>91</v>
      </c>
    </row>
    <row r="4" spans="1:33" x14ac:dyDescent="0.2">
      <c r="AA4" s="17" t="s">
        <v>22</v>
      </c>
      <c r="AB4" s="17" t="s">
        <v>36</v>
      </c>
      <c r="AC4" s="17" t="s">
        <v>50</v>
      </c>
      <c r="AD4" s="17" t="s">
        <v>32</v>
      </c>
      <c r="AE4" s="17" t="s">
        <v>97</v>
      </c>
      <c r="AG4" s="17" t="s">
        <v>92</v>
      </c>
    </row>
    <row r="5" spans="1:33" x14ac:dyDescent="0.2">
      <c r="A5" s="17" t="s">
        <v>1287</v>
      </c>
      <c r="B5" s="17" t="str">
        <f>TUSD!$AI$4</f>
        <v>CDE Covid TUSD</v>
      </c>
      <c r="C5" s="17" t="str">
        <f>TUSD!$AJ$4</f>
        <v>TFSEE</v>
      </c>
      <c r="D5" s="17" t="str">
        <f>TUSD!$AK$4</f>
        <v>P&amp;D</v>
      </c>
      <c r="E5" s="17" t="str">
        <f>TUSD!$AL$4</f>
        <v>ONS</v>
      </c>
      <c r="F5" s="17" t="str">
        <f>TUSD!$AM$4</f>
        <v>CCC</v>
      </c>
      <c r="G5" s="17" t="str">
        <f>TUSD!$AN$4</f>
        <v>CDE</v>
      </c>
      <c r="H5" s="17" t="str">
        <f>TUSD!$AO$4</f>
        <v>PROINFA</v>
      </c>
      <c r="I5" s="17" t="str">
        <f>TUSD!$AP$4</f>
        <v>LIMINAR 1</v>
      </c>
      <c r="J5" s="17" t="str">
        <f>TUSD!$AQ$4</f>
        <v>TUSD RB</v>
      </c>
      <c r="K5" s="17" t="str">
        <f>TUSD!$AR$4</f>
        <v>TUSD FR</v>
      </c>
      <c r="L5" s="17" t="str">
        <f>TUSD!$AS$4</f>
        <v>CONEXAO T</v>
      </c>
      <c r="M5" s="17" t="str">
        <f>TUSD!$AT$4</f>
        <v>CONEXAO D</v>
      </c>
      <c r="N5" s="17" t="str">
        <f>TUSD!$AU$4</f>
        <v>CUSD</v>
      </c>
      <c r="O5" s="17" t="str">
        <f>TUSD!$AV$4</f>
        <v>TUSDG-T</v>
      </c>
      <c r="P5" s="17" t="str">
        <f>TUSD!$AW$4</f>
        <v>TUSDG-ONS</v>
      </c>
      <c r="Q5" s="17" t="str">
        <f>TUSD!$AX$4</f>
        <v>DISTRIBUICAO</v>
      </c>
      <c r="R5" s="17" t="str">
        <f>TUSD!$AY$4</f>
        <v>SUBSIDIO</v>
      </c>
      <c r="S5" s="17" t="str">
        <f>TUSD!$AZ$4</f>
        <v>OUTROS</v>
      </c>
      <c r="T5" s="17" t="str">
        <f>TUSD!$BA$4</f>
        <v>PERDAS TECNICAS</v>
      </c>
      <c r="U5" s="17" t="str">
        <f>TUSD!$BB$4</f>
        <v>PERDAS RB/ PERDAS D</v>
      </c>
      <c r="V5" s="17" t="str">
        <f>TUSD!$BC$4</f>
        <v>PERDAS NAO TECNICAS</v>
      </c>
      <c r="W5" s="17" t="str">
        <f>TUSD!$BD$4</f>
        <v>RI</v>
      </c>
      <c r="X5" s="17" t="s">
        <v>683</v>
      </c>
      <c r="AA5" s="17" t="s">
        <v>46</v>
      </c>
      <c r="AB5" s="17" t="s">
        <v>39</v>
      </c>
      <c r="AD5" s="17" t="s">
        <v>33</v>
      </c>
      <c r="AG5" s="17" t="s">
        <v>9</v>
      </c>
    </row>
    <row r="6" spans="1:33" x14ac:dyDescent="0.2">
      <c r="A6" s="17" t="s">
        <v>1288</v>
      </c>
      <c r="B6" s="61">
        <f>SUM(TUSD!$AI$62:'TUSD'!$AI$113)</f>
        <v>0</v>
      </c>
      <c r="C6" s="61">
        <f>SUM(TUSD!$AJ$62:'TUSD'!$AJ$113)</f>
        <v>3533111.7249596803</v>
      </c>
      <c r="D6" s="61">
        <f>SUM(TUSD!$AK$62:'TUSD'!$AK$113)</f>
        <v>20147063.549802888</v>
      </c>
      <c r="E6" s="61">
        <f>SUM(TUSD!$AL$62:'TUSD'!$AL$113)</f>
        <v>0</v>
      </c>
      <c r="F6" s="61">
        <f>SUM(TUSD!$AM$62:'TUSD'!$AM$113)</f>
        <v>0</v>
      </c>
      <c r="G6" s="61">
        <f>SUM(TUSD!$AN$62:'TUSD'!$AN$113)</f>
        <v>115930049.31914482</v>
      </c>
      <c r="H6" s="61">
        <f>SUM(TUSD!$AO$62:'TUSD'!$AO$113)</f>
        <v>43227226.853549659</v>
      </c>
      <c r="I6" s="61">
        <f>SUM(TUSD!$AP$62:'TUSD'!$AP$113)</f>
        <v>0</v>
      </c>
      <c r="J6" s="61">
        <f>SUM(TUSD!$AQ$62:'TUSD'!$AQ$113)</f>
        <v>175778202.20319548</v>
      </c>
      <c r="K6" s="61">
        <f>SUM(TUSD!$AR$62:'TUSD'!$AR$113)</f>
        <v>29470342.184938043</v>
      </c>
      <c r="L6" s="61">
        <f>SUM(TUSD!$AS$62:'TUSD'!$AS$113)</f>
        <v>-1755369.2130768904</v>
      </c>
      <c r="M6" s="61">
        <f>SUM(TUSD!$AT$62:'TUSD'!$AT$113)</f>
        <v>0</v>
      </c>
      <c r="N6" s="61">
        <f>SUM(TUSD!$AU$62:'TUSD'!$AU$113)</f>
        <v>753946.70599417307</v>
      </c>
      <c r="O6" s="61">
        <f>SUM(TUSD!$AV$62:'TUSD'!$AV$113)</f>
        <v>0</v>
      </c>
      <c r="P6" s="61">
        <f>SUM(TUSD!$AW$62:'TUSD'!$AW$113)</f>
        <v>0</v>
      </c>
      <c r="Q6" s="61">
        <f>SUM(TUSD!$AX$62:'TUSD'!$AX$113)</f>
        <v>1006284594.3942885</v>
      </c>
      <c r="R6" s="61">
        <f>SUM(TUSD!$AY$62:'TUSD'!$AY$113)</f>
        <v>0</v>
      </c>
      <c r="S6" s="61">
        <f>SUM(TUSD!$AZ$62:'TUSD'!$AZ$113)</f>
        <v>0</v>
      </c>
      <c r="T6" s="61">
        <f>SUM(TUSD!$BA$62:'TUSD'!$BA$113)</f>
        <v>158780003.60058829</v>
      </c>
      <c r="U6" s="61">
        <f>SUM(TUSD!$BB$62:'TUSD'!$BB$113)</f>
        <v>12016477.942847431</v>
      </c>
      <c r="V6" s="61">
        <f>SUM(TUSD!$BC$62:'TUSD'!$BC$113)</f>
        <v>566518805.77697766</v>
      </c>
      <c r="W6" s="61">
        <f>SUM(TUSD!$BD$62:'TUSD'!$BD$113)</f>
        <v>35104735.484017134</v>
      </c>
      <c r="X6" s="61">
        <f t="shared" ref="X6:X11" si="0">SUM(B6:W6)</f>
        <v>2165789190.5272274</v>
      </c>
      <c r="AA6" s="17" t="s">
        <v>41</v>
      </c>
      <c r="AB6" s="17" t="s">
        <v>23</v>
      </c>
      <c r="AD6" s="17" t="s">
        <v>34</v>
      </c>
      <c r="AG6" s="17" t="s">
        <v>87</v>
      </c>
    </row>
    <row r="7" spans="1:33" x14ac:dyDescent="0.2">
      <c r="A7" s="17" t="s">
        <v>1289</v>
      </c>
      <c r="B7" s="61">
        <f>SUM(TUSD!$L$62:'TUSD'!$L$113)</f>
        <v>72072481.619687706</v>
      </c>
      <c r="C7" s="61">
        <f>SUM(TUSD!$M$62:'TUSD'!$M$113)</f>
        <v>4143245.1332233134</v>
      </c>
      <c r="D7" s="61">
        <f ca="1">SUM(TUSD!$N$62:'TUSD'!$N$113)</f>
        <v>21982153.928542435</v>
      </c>
      <c r="E7" s="61">
        <f>SUM(TUSD!$O$62:'TUSD'!$O$113)</f>
        <v>0</v>
      </c>
      <c r="F7" s="61">
        <f>SUM(TUSD!$P$62:'TUSD'!$P$113)</f>
        <v>0</v>
      </c>
      <c r="G7" s="61">
        <f>SUM(TUSD!$Q$62:'TUSD'!$Q$113)</f>
        <v>111211502.75274947</v>
      </c>
      <c r="H7" s="61">
        <f>SUM(TUSD!$R$62:'TUSD'!$R$113)</f>
        <v>60806836.462969653</v>
      </c>
      <c r="I7" s="61">
        <f>SUM(TUSD!$S$62:'TUSD'!$S$113)</f>
        <v>0</v>
      </c>
      <c r="J7" s="61">
        <f>SUM(TUSD!$T$62:'TUSD'!$T$113)</f>
        <v>223694633.8603662</v>
      </c>
      <c r="K7" s="61">
        <f>SUM(TUSD!$U$62:'TUSD'!$U$113)</f>
        <v>2844534.8122241148</v>
      </c>
      <c r="L7" s="61">
        <f>SUM(TUSD!$V$62:'TUSD'!$V$113)</f>
        <v>323801.22178916755</v>
      </c>
      <c r="M7" s="61">
        <f>SUM(TUSD!$W$62:'TUSD'!$W$113)</f>
        <v>0</v>
      </c>
      <c r="N7" s="61">
        <f>SUM(TUSD!$X$62:'TUSD'!$X$113)</f>
        <v>-8195.9282464861317</v>
      </c>
      <c r="O7" s="61">
        <f>SUM(TUSD!$Y$62:'TUSD'!$Y$113)</f>
        <v>0</v>
      </c>
      <c r="P7" s="61">
        <f>SUM(TUSD!$Z$62:'TUSD'!$Z$113)</f>
        <v>0</v>
      </c>
      <c r="Q7" s="61">
        <f>SUM(TUSD!$AA$62:'TUSD'!$AA$113)</f>
        <v>1130727636.8003814</v>
      </c>
      <c r="R7" s="61">
        <f ca="1">SUM(TUSD!$AB$62:'TUSD'!$AB$113)</f>
        <v>0</v>
      </c>
      <c r="S7" s="61">
        <f ca="1">SUM(TUSD!$AC$62:'TUSD'!$AC$113)</f>
        <v>0</v>
      </c>
      <c r="T7" s="61">
        <f>SUM(TUSD!$AD$62:'TUSD'!$AD$113)</f>
        <v>170847368.84930915</v>
      </c>
      <c r="U7" s="61">
        <f>SUM(TUSD!$AE$62:'TUSD'!$AE$113)</f>
        <v>11806821.138782958</v>
      </c>
      <c r="V7" s="61">
        <f ca="1">SUM(TUSD!$AF$62:'TUSD'!$AF$113)</f>
        <v>547747232.90213561</v>
      </c>
      <c r="W7" s="61">
        <f ca="1">SUM(TUSD!$AG$62:'TUSD'!$AG$113)</f>
        <v>84763113.284752995</v>
      </c>
      <c r="X7" s="61">
        <f t="shared" ca="1" si="0"/>
        <v>2442963166.8386679</v>
      </c>
      <c r="AA7" s="17" t="s">
        <v>49</v>
      </c>
      <c r="AB7" s="17" t="s">
        <v>100</v>
      </c>
      <c r="AD7" s="17" t="s">
        <v>101</v>
      </c>
      <c r="AG7" s="17" t="s">
        <v>88</v>
      </c>
    </row>
    <row r="8" spans="1:33" x14ac:dyDescent="0.2">
      <c r="A8" s="17" t="s">
        <v>1292</v>
      </c>
      <c r="B8" s="61">
        <f>IF($G$2&lt;&gt;"Não se aplica",SUMIF(TUSD!$G$62:'TUSD'!$G$113,$I$2,TUSD!$AI$62:'TUSD'!$AI$113),IF($F$2&lt;&gt;"Não se aplica",SUMIF(TUSD!$F$62:'TUSD'!$F$113,$I$2,TUSD!$AI$62:'TUSD'!$AI$113),IF($E$2&lt;&gt;"Não se aplica",SUMIF(TUSD!$E$62:'TUSD'!$E$113,$I$2,TUSD!$AI$62:'TUSD'!$AI$113),IF($D$2&lt;&gt;"Não se aplica",SUMIF(TUSD!$D$62:'TUSD'!$D$113,$I$2,TUSD!$AI$62:'TUSD'!$AI$113),IF($C$2&lt;&gt;"Não se aplica",SUMIF(TUSD!$C$62:'TUSD'!$C$113,$I$2,TUSD!$AI$62:'TUSD'!$AI$113),IF($B$2&lt;&gt;"Não se aplica",SUMIF(TUSD!$B$62:'TUSD'!$B$113,$I$2,TUSD!$AI$62:'TUSD'!$AI$113),SUMIF(TUSD!$A$62:'TUSD'!$A$113,$I$2,TUSD!$AI$62:'TUSD'!$AI$113)))))))</f>
        <v>0</v>
      </c>
      <c r="C8" s="61">
        <f>IF($G$2&lt;&gt;"Não se aplica",SUMIF(TUSD!$G$62:'TUSD'!$G$113,$I$2,TUSD!$AJ$62:'TUSD'!$AJ$113),IF($F$2&lt;&gt;"Não se aplica",SUMIF(TUSD!$F$62:'TUSD'!$F$113,$I$2,TUSD!$AJ$62:'TUSD'!$AJ$113),IF($E$2&lt;&gt;"Não se aplica",SUMIF(TUSD!$E$62:'TUSD'!$E$113,$I$2,TUSD!$AJ$62:'TUSD'!$AJ$113),IF($D$2&lt;&gt;"Não se aplica",SUMIF(TUSD!$D$62:'TUSD'!$D$113,$I$2,TUSD!$AJ$62:'TUSD'!$AJ$113),IF($C$2&lt;&gt;"Não se aplica",SUMIF(TUSD!$C$62:'TUSD'!$C$113,$I$2,TUSD!$AJ$62:'TUSD'!$AJ$113),IF($B$2&lt;&gt;"Não se aplica",SUMIF(TUSD!$B$62:'TUSD'!$B$113,$I$2,TUSD!$AJ$62:'TUSD'!$AJ$113),SUMIF(TUSD!$A$62:'TUSD'!$A$113,$I$2,TUSD!$AJ$62:'TUSD'!$AJ$113)))))))</f>
        <v>63329.10233837938</v>
      </c>
      <c r="D8" s="61">
        <f>IF($G$2&lt;&gt;"Não se aplica",SUMIF(TUSD!$G$62:'TUSD'!$G$113,$I$2,TUSD!$AK$62:'TUSD'!$AK$113),IF($F$2&lt;&gt;"Não se aplica",SUMIF(TUSD!$F$62:'TUSD'!$F$113,$I$2,TUSD!$AK$62:'TUSD'!$AK$113),IF($E$2&lt;&gt;"Não se aplica",SUMIF(TUSD!$E$62:'TUSD'!$E$113,$I$2,TUSD!$AK$62:'TUSD'!$AK$113),IF($D$2&lt;&gt;"Não se aplica",SUMIF(TUSD!$D$62:'TUSD'!$D$113,$I$2,TUSD!$AK$62:'TUSD'!$AK$113),IF($C$2&lt;&gt;"Não se aplica",SUMIF(TUSD!$C$62:'TUSD'!$C$113,$I$2,TUSD!$AK$62:'TUSD'!$AK$113),IF($B$2&lt;&gt;"Não se aplica",SUMIF(TUSD!$B$62:'TUSD'!$B$113,$I$2,TUSD!$AK$62:'TUSD'!$AK$113),SUMIF(TUSD!$A$62:'TUSD'!$A$113,$I$2,TUSD!$AK$62:'TUSD'!$AK$113)))))))</f>
        <v>1010631.7056659232</v>
      </c>
      <c r="E8" s="61">
        <f>IF($G$2&lt;&gt;"Não se aplica",SUMIF(TUSD!$G$62:'TUSD'!$G$113,$I$2,TUSD!$AL$62:'TUSD'!$AL$113),IF($F$2&lt;&gt;"Não se aplica",SUMIF(TUSD!$F$62:'TUSD'!$F$113,$I$2,TUSD!$AL$62:'TUSD'!$AL$113),IF($E$2&lt;&gt;"Não se aplica",SUMIF(TUSD!$E$62:'TUSD'!$E$113,$I$2,TUSD!$AL$62:'TUSD'!$AL$113),IF($D$2&lt;&gt;"Não se aplica",SUMIF(TUSD!$D$62:'TUSD'!$D$113,$I$2,TUSD!$AL$62:'TUSD'!$AL$113),IF($C$2&lt;&gt;"Não se aplica",SUMIF(TUSD!$C$62:'TUSD'!$C$113,$I$2,TUSD!$AL$62:'TUSD'!$AL$113),IF($B$2&lt;&gt;"Não se aplica",SUMIF(TUSD!$B$62:'TUSD'!$B$113,$I$2,TUSD!$AL$62:'TUSD'!$AL$113),SUMIF(TUSD!$A$62:'TUSD'!$A$113,$I$2,TUSD!$AL$62:'TUSD'!$AL$113)))))))</f>
        <v>0</v>
      </c>
      <c r="F8" s="61">
        <f>IF($G$2&lt;&gt;"Não se aplica",SUMIF(TUSD!$G$62:'TUSD'!$G$113,$I$2,TUSD!$AM$62:'TUSD'!$AM$113),IF($F$2&lt;&gt;"Não se aplica",SUMIF(TUSD!$F$62:'TUSD'!$F$113,$I$2,TUSD!$AM$62:'TUSD'!$AM$113),IF($E$2&lt;&gt;"Não se aplica",SUMIF(TUSD!$E$62:'TUSD'!$E$113,$I$2,TUSD!$AM$62:'TUSD'!$AM$113),IF($D$2&lt;&gt;"Não se aplica",SUMIF(TUSD!$D$62:'TUSD'!$D$113,$I$2,TUSD!$AM$62:'TUSD'!$AM$113),IF($C$2&lt;&gt;"Não se aplica",SUMIF(TUSD!$C$62:'TUSD'!$C$113,$I$2,TUSD!$AM$62:'TUSD'!$AM$113),IF($B$2&lt;&gt;"Não se aplica",SUMIF(TUSD!$B$62:'TUSD'!$B$113,$I$2,TUSD!$AM$62:'TUSD'!$AM$113),SUMIF(TUSD!$A$62:'TUSD'!$A$113,$I$2,TUSD!$AM$62:'TUSD'!$AM$113)))))))</f>
        <v>0</v>
      </c>
      <c r="G8" s="61">
        <f>IF($G$2&lt;&gt;"Não se aplica",SUMIF(TUSD!$G$62:'TUSD'!$G$113,$I$2,TUSD!$AN$62:'TUSD'!$AN$113),IF($F$2&lt;&gt;"Não se aplica",SUMIF(TUSD!$F$62:'TUSD'!$F$113,$I$2,TUSD!$AN$62:'TUSD'!$AN$113),IF($E$2&lt;&gt;"Não se aplica",SUMIF(TUSD!$E$62:'TUSD'!$E$113,$I$2,TUSD!$AN$62:'TUSD'!$AN$113),IF($D$2&lt;&gt;"Não se aplica",SUMIF(TUSD!$D$62:'TUSD'!$D$113,$I$2,TUSD!$AN$62:'TUSD'!$AN$113),IF($C$2&lt;&gt;"Não se aplica",SUMIF(TUSD!$C$62:'TUSD'!$C$113,$I$2,TUSD!$AN$62:'TUSD'!$AN$113),IF($B$2&lt;&gt;"Não se aplica",SUMIF(TUSD!$B$62:'TUSD'!$B$113,$I$2,TUSD!$AN$62:'TUSD'!$AN$113),SUMIF(TUSD!$A$62:'TUSD'!$A$113,$I$2,TUSD!$AN$62:'TUSD'!$AN$113)))))))</f>
        <v>18758012.512367129</v>
      </c>
      <c r="H8" s="61">
        <f>IF($G$2&lt;&gt;"Não se aplica",SUMIF(TUSD!$G$62:'TUSD'!$G$113,$I$2,TUSD!$AO$62:'TUSD'!$AO$113),IF($F$2&lt;&gt;"Não se aplica",SUMIF(TUSD!$F$62:'TUSD'!$F$113,$I$2,TUSD!$AO$62:'TUSD'!$AO$113),IF($E$2&lt;&gt;"Não se aplica",SUMIF(TUSD!$E$62:'TUSD'!$E$113,$I$2,TUSD!$AO$62:'TUSD'!$AO$113),IF($D$2&lt;&gt;"Não se aplica",SUMIF(TUSD!$D$62:'TUSD'!$D$113,$I$2,TUSD!$AO$62:'TUSD'!$AO$113),IF($C$2&lt;&gt;"Não se aplica",SUMIF(TUSD!$C$62:'TUSD'!$C$113,$I$2,TUSD!$AO$62:'TUSD'!$AO$113),IF($B$2&lt;&gt;"Não se aplica",SUMIF(TUSD!$B$62:'TUSD'!$B$113,$I$2,TUSD!$AO$62:'TUSD'!$AO$113),SUMIF(TUSD!$A$62:'TUSD'!$A$113,$I$2,TUSD!$AO$62:'TUSD'!$AO$113)))))))</f>
        <v>8726641.4359236695</v>
      </c>
      <c r="I8" s="61">
        <f>IF($G$2&lt;&gt;"Não se aplica",SUMIF(TUSD!$G$62:'TUSD'!$G$113,$I$2,TUSD!$AP$62:'TUSD'!$AP$113),IF($F$2&lt;&gt;"Não se aplica",SUMIF(TUSD!$F$62:'TUSD'!$F$113,$I$2,TUSD!$AP$62:'TUSD'!$AP$113),IF($E$2&lt;&gt;"Não se aplica",SUMIF(TUSD!$E$62:'TUSD'!$E$113,$I$2,TUSD!$AP$62:'TUSD'!$AP$113),IF($D$2&lt;&gt;"Não se aplica",SUMIF(TUSD!$D$62:'TUSD'!$D$113,$I$2,TUSD!$AP$62:'TUSD'!$AP$113),IF($C$2&lt;&gt;"Não se aplica",SUMIF(TUSD!$C$62:'TUSD'!$C$113,$I$2,TUSD!$AP$62:'TUSD'!$AP$113),IF($B$2&lt;&gt;"Não se aplica",SUMIF(TUSD!$B$62:'TUSD'!$B$113,$I$2,TUSD!$AP$62:'TUSD'!$AP$113),SUMIF(TUSD!$A$62:'TUSD'!$A$113,$I$2,TUSD!$AP$62:'TUSD'!$AP$113)))))))</f>
        <v>0</v>
      </c>
      <c r="J8" s="61">
        <f>IF($G$2&lt;&gt;"Não se aplica",SUMIF(TUSD!$G$62:'TUSD'!$G$113,$I$2,TUSD!$AQ$62:'TUSD'!$AQ$113),IF($F$2&lt;&gt;"Não se aplica",SUMIF(TUSD!$F$62:'TUSD'!$F$113,$I$2,TUSD!$AQ$62:'TUSD'!$AQ$113),IF($E$2&lt;&gt;"Não se aplica",SUMIF(TUSD!$E$62:'TUSD'!$E$113,$I$2,TUSD!$AQ$62:'TUSD'!$AQ$113),IF($D$2&lt;&gt;"Não se aplica",SUMIF(TUSD!$D$62:'TUSD'!$D$113,$I$2,TUSD!$AQ$62:'TUSD'!$AQ$113),IF($C$2&lt;&gt;"Não se aplica",SUMIF(TUSD!$C$62:'TUSD'!$C$113,$I$2,TUSD!$AQ$62:'TUSD'!$AQ$113),IF($B$2&lt;&gt;"Não se aplica",SUMIF(TUSD!$B$62:'TUSD'!$B$113,$I$2,TUSD!$AQ$62:'TUSD'!$AQ$113),SUMIF(TUSD!$A$62:'TUSD'!$A$113,$I$2,TUSD!$AQ$62:'TUSD'!$AQ$113)))))))</f>
        <v>14170012.750434784</v>
      </c>
      <c r="K8" s="61">
        <f>IF($G$2&lt;&gt;"Não se aplica",SUMIF(TUSD!$G$62:'TUSD'!$G$113,$I$2,TUSD!$AR$62:'TUSD'!$AR$113),IF($F$2&lt;&gt;"Não se aplica",SUMIF(TUSD!$F$62:'TUSD'!$F$113,$I$2,TUSD!$AR$62:'TUSD'!$AR$113),IF($E$2&lt;&gt;"Não se aplica",SUMIF(TUSD!$E$62:'TUSD'!$E$113,$I$2,TUSD!$AR$62:'TUSD'!$AR$113),IF($D$2&lt;&gt;"Não se aplica",SUMIF(TUSD!$D$62:'TUSD'!$D$113,$I$2,TUSD!$AR$62:'TUSD'!$AR$113),IF($C$2&lt;&gt;"Não se aplica",SUMIF(TUSD!$C$62:'TUSD'!$C$113,$I$2,TUSD!$AR$62:'TUSD'!$AR$113),IF($B$2&lt;&gt;"Não se aplica",SUMIF(TUSD!$B$62:'TUSD'!$B$113,$I$2,TUSD!$AR$62:'TUSD'!$AR$113),SUMIF(TUSD!$A$62:'TUSD'!$A$113,$I$2,TUSD!$AR$62:'TUSD'!$AR$113)))))))</f>
        <v>2797935.7151263431</v>
      </c>
      <c r="L8" s="61">
        <f>IF($G$2&lt;&gt;"Não se aplica",SUMIF(TUSD!$G$62:'TUSD'!$G$113,$I$2,TUSD!$AS$62:'TUSD'!$AS$113),IF($F$2&lt;&gt;"Não se aplica",SUMIF(TUSD!$F$62:'TUSD'!$F$113,$I$2,TUSD!$AS$62:'TUSD'!$AS$113),IF($E$2&lt;&gt;"Não se aplica",SUMIF(TUSD!$E$62:'TUSD'!$E$113,$I$2,TUSD!$AS$62:'TUSD'!$AS$113),IF($D$2&lt;&gt;"Não se aplica",SUMIF(TUSD!$D$62:'TUSD'!$D$113,$I$2,TUSD!$AS$62:'TUSD'!$AS$113),IF($C$2&lt;&gt;"Não se aplica",SUMIF(TUSD!$C$62:'TUSD'!$C$113,$I$2,TUSD!$AS$62:'TUSD'!$AS$113),IF($B$2&lt;&gt;"Não se aplica",SUMIF(TUSD!$B$62:'TUSD'!$B$113,$I$2,TUSD!$AS$62:'TUSD'!$AS$113),SUMIF(TUSD!$A$62:'TUSD'!$A$113,$I$2,TUSD!$AS$62:'TUSD'!$AS$113)))))))</f>
        <v>0</v>
      </c>
      <c r="M8" s="61">
        <f>IF($G$2&lt;&gt;"Não se aplica",SUMIF(TUSD!$G$62:'TUSD'!$G$113,$I$2,TUSD!$AT$62:'TUSD'!$AT$113),IF($F$2&lt;&gt;"Não se aplica",SUMIF(TUSD!$F$62:'TUSD'!$F$113,$I$2,TUSD!$AT$62:'TUSD'!$AT$113),IF($E$2&lt;&gt;"Não se aplica",SUMIF(TUSD!$E$62:'TUSD'!$E$113,$I$2,TUSD!$AT$62:'TUSD'!$AT$113),IF($D$2&lt;&gt;"Não se aplica",SUMIF(TUSD!$D$62:'TUSD'!$D$113,$I$2,TUSD!$AT$62:'TUSD'!$AT$113),IF($C$2&lt;&gt;"Não se aplica",SUMIF(TUSD!$C$62:'TUSD'!$C$113,$I$2,TUSD!$AT$62:'TUSD'!$AT$113),IF($B$2&lt;&gt;"Não se aplica",SUMIF(TUSD!$B$62:'TUSD'!$B$113,$I$2,TUSD!$AT$62:'TUSD'!$AT$113),SUMIF(TUSD!$A$62:'TUSD'!$A$113,$I$2,TUSD!$AT$62:'TUSD'!$AT$113)))))))</f>
        <v>0</v>
      </c>
      <c r="N8" s="61">
        <f>IF($G$2&lt;&gt;"Não se aplica",SUMIF(TUSD!$G$62:'TUSD'!$G$113,$I$2,TUSD!$AU$62:'TUSD'!$AU$113),IF($F$2&lt;&gt;"Não se aplica",SUMIF(TUSD!$F$62:'TUSD'!$F$113,$I$2,TUSD!$AU$62:'TUSD'!$AU$113),IF($E$2&lt;&gt;"Não se aplica",SUMIF(TUSD!$E$62:'TUSD'!$E$113,$I$2,TUSD!$AU$62:'TUSD'!$AU$113),IF($D$2&lt;&gt;"Não se aplica",SUMIF(TUSD!$D$62:'TUSD'!$D$113,$I$2,TUSD!$AU$62:'TUSD'!$AU$113),IF($C$2&lt;&gt;"Não se aplica",SUMIF(TUSD!$C$62:'TUSD'!$C$113,$I$2,TUSD!$AU$62:'TUSD'!$AU$113),IF($B$2&lt;&gt;"Não se aplica",SUMIF(TUSD!$B$62:'TUSD'!$B$113,$I$2,TUSD!$AU$62:'TUSD'!$AU$113),SUMIF(TUSD!$A$62:'TUSD'!$A$113,$I$2,TUSD!$AU$62:'TUSD'!$AU$113)))))))</f>
        <v>0</v>
      </c>
      <c r="O8" s="61">
        <f>IF($G$2&lt;&gt;"Não se aplica",SUMIF(TUSD!$G$62:'TUSD'!$G$113,$I$2,TUSD!$AV$62:'TUSD'!$AV$113),IF($F$2&lt;&gt;"Não se aplica",SUMIF(TUSD!$F$62:'TUSD'!$F$113,$I$2,TUSD!$AV$62:'TUSD'!$AV$113),IF($E$2&lt;&gt;"Não se aplica",SUMIF(TUSD!$E$62:'TUSD'!$E$113,$I$2,TUSD!$AV$62:'TUSD'!$AV$113),IF($D$2&lt;&gt;"Não se aplica",SUMIF(TUSD!$D$62:'TUSD'!$D$113,$I$2,TUSD!$AV$62:'TUSD'!$AV$113),IF($C$2&lt;&gt;"Não se aplica",SUMIF(TUSD!$C$62:'TUSD'!$C$113,$I$2,TUSD!$AV$62:'TUSD'!$AV$113),IF($B$2&lt;&gt;"Não se aplica",SUMIF(TUSD!$B$62:'TUSD'!$B$113,$I$2,TUSD!$AV$62:'TUSD'!$AV$113),SUMIF(TUSD!$A$62:'TUSD'!$A$113,$I$2,TUSD!$AV$62:'TUSD'!$AV$113)))))))</f>
        <v>0</v>
      </c>
      <c r="P8" s="61">
        <f>IF($G$2&lt;&gt;"Não se aplica",SUMIF(TUSD!$G$62:'TUSD'!$G$113,$I$2,TUSD!$AW$62:'TUSD'!$AW$113),IF($F$2&lt;&gt;"Não se aplica",SUMIF(TUSD!$F$62:'TUSD'!$F$113,$I$2,TUSD!$AW$62:'TUSD'!$AW$113),IF($E$2&lt;&gt;"Não se aplica",SUMIF(TUSD!$E$62:'TUSD'!$E$113,$I$2,TUSD!$AW$62:'TUSD'!$AW$113),IF($D$2&lt;&gt;"Não se aplica",SUMIF(TUSD!$D$62:'TUSD'!$D$113,$I$2,TUSD!$AW$62:'TUSD'!$AW$113),IF($C$2&lt;&gt;"Não se aplica",SUMIF(TUSD!$C$62:'TUSD'!$C$113,$I$2,TUSD!$AW$62:'TUSD'!$AW$113),IF($B$2&lt;&gt;"Não se aplica",SUMIF(TUSD!$B$62:'TUSD'!$B$113,$I$2,TUSD!$AW$62:'TUSD'!$AW$113),SUMIF(TUSD!$A$62:'TUSD'!$A$113,$I$2,TUSD!$AW$62:'TUSD'!$AW$113)))))))</f>
        <v>0</v>
      </c>
      <c r="Q8" s="61">
        <f>IF($G$2&lt;&gt;"Não se aplica",SUMIF(TUSD!$G$62:'TUSD'!$G$113,$I$2,TUSD!$AX$62:'TUSD'!$AX$113),IF($F$2&lt;&gt;"Não se aplica",SUMIF(TUSD!$F$62:'TUSD'!$F$113,$I$2,TUSD!$AX$62:'TUSD'!$AX$113),IF($E$2&lt;&gt;"Não se aplica",SUMIF(TUSD!$E$62:'TUSD'!$E$113,$I$2,TUSD!$AX$62:'TUSD'!$AX$113),IF($D$2&lt;&gt;"Não se aplica",SUMIF(TUSD!$D$62:'TUSD'!$D$113,$I$2,TUSD!$AX$62:'TUSD'!$AX$113),IF($C$2&lt;&gt;"Não se aplica",SUMIF(TUSD!$C$62:'TUSD'!$C$113,$I$2,TUSD!$AX$62:'TUSD'!$AX$113),IF($B$2&lt;&gt;"Não se aplica",SUMIF(TUSD!$B$62:'TUSD'!$B$113,$I$2,TUSD!$AX$62:'TUSD'!$AX$113),SUMIF(TUSD!$A$62:'TUSD'!$A$113,$I$2,TUSD!$AX$62:'TUSD'!$AX$113)))))))</f>
        <v>46954628.53179989</v>
      </c>
      <c r="R8" s="61">
        <f>IF($G$2&lt;&gt;"Não se aplica",SUMIF(TUSD!$G$62:'TUSD'!$G$113,$I$2,TUSD!$AY$62:'TUSD'!$AY$113),IF($F$2&lt;&gt;"Não se aplica",SUMIF(TUSD!$F$62:'TUSD'!$F$113,$I$2,TUSD!$AY$62:'TUSD'!$AY$113),IF($E$2&lt;&gt;"Não se aplica",SUMIF(TUSD!$E$62:'TUSD'!$E$113,$I$2,TUSD!$AY$62:'TUSD'!$AY$113),IF($D$2&lt;&gt;"Não se aplica",SUMIF(TUSD!$D$62:'TUSD'!$D$113,$I$2,TUSD!$AY$62:'TUSD'!$AY$113),IF($C$2&lt;&gt;"Não se aplica",SUMIF(TUSD!$C$62:'TUSD'!$C$113,$I$2,TUSD!$AY$62:'TUSD'!$AY$113),IF($B$2&lt;&gt;"Não se aplica",SUMIF(TUSD!$B$62:'TUSD'!$B$113,$I$2,TUSD!$AY$62:'TUSD'!$AY$113),SUMIF(TUSD!$A$62:'TUSD'!$A$113,$I$2,TUSD!$AY$62:'TUSD'!$AY$113)))))))</f>
        <v>0</v>
      </c>
      <c r="S8" s="61">
        <f>IF($G$2&lt;&gt;"Não se aplica",SUMIF(TUSD!$G$62:'TUSD'!$G$113,$I$2,TUSD!$AZ$62:'TUSD'!$AZ$113),IF($F$2&lt;&gt;"Não se aplica",SUMIF(TUSD!$F$62:'TUSD'!$F$113,$I$2,TUSD!$AZ$62:'TUSD'!$AZ$113),IF($E$2&lt;&gt;"Não se aplica",SUMIF(TUSD!$E$62:'TUSD'!$E$113,$I$2,TUSD!$AZ$62:'TUSD'!$AZ$113),IF($D$2&lt;&gt;"Não se aplica",SUMIF(TUSD!$D$62:'TUSD'!$D$113,$I$2,TUSD!$AZ$62:'TUSD'!$AZ$113),IF($C$2&lt;&gt;"Não se aplica",SUMIF(TUSD!$C$62:'TUSD'!$C$113,$I$2,TUSD!$AZ$62:'TUSD'!$AZ$113),IF($B$2&lt;&gt;"Não se aplica",SUMIF(TUSD!$B$62:'TUSD'!$B$113,$I$2,TUSD!$AZ$62:'TUSD'!$AZ$113),SUMIF(TUSD!$A$62:'TUSD'!$A$113,$I$2,TUSD!$AZ$62:'TUSD'!$AZ$113)))))))</f>
        <v>0</v>
      </c>
      <c r="T8" s="61">
        <f>IF($G$2&lt;&gt;"Não se aplica",SUMIF(TUSD!$G$62:'TUSD'!$G$113,$I$2,TUSD!$BA$62:'TUSD'!$BA$113),IF($F$2&lt;&gt;"Não se aplica",SUMIF(TUSD!$F$62:'TUSD'!$F$113,$I$2,TUSD!$BA$62:'TUSD'!$BA$113),IF($E$2&lt;&gt;"Não se aplica",SUMIF(TUSD!$E$62:'TUSD'!$E$113,$I$2,TUSD!$BA$62:'TUSD'!$BA$113),IF($D$2&lt;&gt;"Não se aplica",SUMIF(TUSD!$D$62:'TUSD'!$D$113,$I$2,TUSD!$BA$62:'TUSD'!$BA$113),IF($C$2&lt;&gt;"Não se aplica",SUMIF(TUSD!$C$62:'TUSD'!$C$113,$I$2,TUSD!$BA$62:'TUSD'!$BA$113),IF($B$2&lt;&gt;"Não se aplica",SUMIF(TUSD!$B$62:'TUSD'!$B$113,$I$2,TUSD!$BA$62:'TUSD'!$BA$113),SUMIF(TUSD!$A$62:'TUSD'!$A$113,$I$2,TUSD!$BA$62:'TUSD'!$BA$113)))))))</f>
        <v>10835454.793410363</v>
      </c>
      <c r="U8" s="61">
        <f>IF($G$2&lt;&gt;"Não se aplica",SUMIF(TUSD!$G$62:'TUSD'!$G$113,$I$2,TUSD!$BB$62:'TUSD'!$BB$113),IF($F$2&lt;&gt;"Não se aplica",SUMIF(TUSD!$F$62:'TUSD'!$F$113,$I$2,TUSD!$BB$62:'TUSD'!$BB$113),IF($E$2&lt;&gt;"Não se aplica",SUMIF(TUSD!$E$62:'TUSD'!$E$113,$I$2,TUSD!$BB$62:'TUSD'!$BB$113),IF($D$2&lt;&gt;"Não se aplica",SUMIF(TUSD!$D$62:'TUSD'!$D$113,$I$2,TUSD!$BB$62:'TUSD'!$BB$113),IF($C$2&lt;&gt;"Não se aplica",SUMIF(TUSD!$C$62:'TUSD'!$C$113,$I$2,TUSD!$BB$62:'TUSD'!$BB$113),IF($B$2&lt;&gt;"Não se aplica",SUMIF(TUSD!$B$62:'TUSD'!$B$113,$I$2,TUSD!$BB$62:'TUSD'!$BB$113),SUMIF(TUSD!$A$62:'TUSD'!$A$113,$I$2,TUSD!$BB$62:'TUSD'!$BB$113)))))))</f>
        <v>404661.75667142065</v>
      </c>
      <c r="V8" s="61">
        <f>IF($G$2&lt;&gt;"Não se aplica",SUMIF(TUSD!$G$62:'TUSD'!$G$113,$I$2,TUSD!$BC$62:'TUSD'!$BC$113),IF($F$2&lt;&gt;"Não se aplica",SUMIF(TUSD!$F$62:'TUSD'!$F$113,$I$2,TUSD!$BC$62:'TUSD'!$BC$113),IF($E$2&lt;&gt;"Não se aplica",SUMIF(TUSD!$E$62:'TUSD'!$E$113,$I$2,TUSD!$BC$62:'TUSD'!$BC$113),IF($D$2&lt;&gt;"Não se aplica",SUMIF(TUSD!$D$62:'TUSD'!$D$113,$I$2,TUSD!$BC$62:'TUSD'!$BC$113),IF($C$2&lt;&gt;"Não se aplica",SUMIF(TUSD!$C$62:'TUSD'!$C$113,$I$2,TUSD!$BC$62:'TUSD'!$BC$113),IF($B$2&lt;&gt;"Não se aplica",SUMIF(TUSD!$B$62:'TUSD'!$B$113,$I$2,TUSD!$BC$62:'TUSD'!$BC$113),SUMIF(TUSD!$A$62:'TUSD'!$A$113,$I$2,TUSD!$BC$62:'TUSD'!$BC$113)))))))</f>
        <v>25734128.864991251</v>
      </c>
      <c r="W8" s="61">
        <f>IF($G$2&lt;&gt;"Não se aplica",SUMIF(TUSD!$G$62:'TUSD'!$G$113,$I$2,TUSD!$BD$62:'TUSD'!$BD$113),IF($F$2&lt;&gt;"Não se aplica",SUMIF(TUSD!$F$62:'TUSD'!$F$113,$I$2,TUSD!$BD$62:'TUSD'!$BD$113),IF($E$2&lt;&gt;"Não se aplica",SUMIF(TUSD!$E$62:'TUSD'!$E$113,$I$2,TUSD!$BD$62:'TUSD'!$BD$113),IF($D$2&lt;&gt;"Não se aplica",SUMIF(TUSD!$D$62:'TUSD'!$D$113,$I$2,TUSD!$BD$62:'TUSD'!$BD$113),IF($C$2&lt;&gt;"Não se aplica",SUMIF(TUSD!$C$62:'TUSD'!$C$113,$I$2,TUSD!$BD$62:'TUSD'!$BD$113),IF($B$2&lt;&gt;"Não se aplica",SUMIF(TUSD!$B$62:'TUSD'!$B$113,$I$2,TUSD!$BD$62:'TUSD'!$BD$113),SUMIF(TUSD!$A$62:'TUSD'!$A$113,$I$2,TUSD!$BD$62:'TUSD'!$BD$113)))))))</f>
        <v>1594633.3599255062</v>
      </c>
      <c r="X8" s="61">
        <f t="shared" si="0"/>
        <v>131050070.52865465</v>
      </c>
      <c r="AD8" s="17" t="s">
        <v>55</v>
      </c>
      <c r="AG8" s="17" t="s">
        <v>98</v>
      </c>
    </row>
    <row r="9" spans="1:33" x14ac:dyDescent="0.2">
      <c r="A9" s="17" t="s">
        <v>1293</v>
      </c>
      <c r="B9" s="61">
        <f>IF($G$2&lt;&gt;"Não se aplica",SUMIF(TUSD!$G$62:'TUSD'!$G$113,$I$2,TUSD!$L$62:'TUSD'!$L$113),IF($F$2&lt;&gt;"Não se aplica",SUMIF(TUSD!$F$62:'TUSD'!$F$113,$I$2,TUSD!$L$62:'TUSD'!$L$113),IF($E$2&lt;&gt;"Não se aplica",SUMIF(TUSD!$E$62:'TUSD'!$E$113,$I$2,TUSD!$L$62:'TUSD'!$L$113),IF($D$2&lt;&gt;"Não se aplica",SUMIF(TUSD!$D$62:'TUSD'!$D$113,$I$2,TUSD!$L$62:'TUSD'!$L$113),IF($C$2&lt;&gt;"Não se aplica",SUMIF(TUSD!$C$62:'TUSD'!$C$113,$I$2,TUSD!$L$62:'TUSD'!$L$113),IF($B$2&lt;&gt;"Não se aplica",SUMIF(TUSD!$B$62:'TUSD'!$B$113,$I$2,TUSD!$L$62:'TUSD'!$L$113),SUMIF(TUSD!$A$62:'TUSD'!$A$113,$I$2,TUSD!$L$62:'TUSD'!$L$113)))))))</f>
        <v>10915841.268116266</v>
      </c>
      <c r="C9" s="61">
        <f>IF($G$2&lt;&gt;"Não se aplica",SUMIF(TUSD!$G$62:'TUSD'!$G$113,$I$2,TUSD!$M$62:'TUSD'!$M$113),IF($F$2&lt;&gt;"Não se aplica",SUMIF(TUSD!$F$62:'TUSD'!$F$113,$I$2,TUSD!$M$62:'TUSD'!$M$113),IF($E$2&lt;&gt;"Não se aplica",SUMIF(TUSD!$E$62:'TUSD'!$E$113,$I$2,TUSD!$M$62:'TUSD'!$M$113),IF($D$2&lt;&gt;"Não se aplica",SUMIF(TUSD!$D$62:'TUSD'!$D$113,$I$2,TUSD!$M$62:'TUSD'!$M$113),IF($C$2&lt;&gt;"Não se aplica",SUMIF(TUSD!$C$62:'TUSD'!$C$113,$I$2,TUSD!$M$62:'TUSD'!$M$113),IF($B$2&lt;&gt;"Não se aplica",SUMIF(TUSD!$B$62:'TUSD'!$B$113,$I$2,TUSD!$M$62:'TUSD'!$M$113),SUMIF(TUSD!$A$62:'TUSD'!$A$113,$I$2,TUSD!$M$62:'TUSD'!$M$113)))))))</f>
        <v>70740.594652357919</v>
      </c>
      <c r="D9" s="61">
        <f ca="1">IF($G$2&lt;&gt;"Não se aplica",SUMIF(TUSD!$G$62:'TUSD'!$G$113,$I$2,TUSD!$N$62:'TUSD'!$N$113),IF($F$2&lt;&gt;"Não se aplica",SUMIF(TUSD!$F$62:'TUSD'!$F$113,$I$2,TUSD!$N$62:'TUSD'!$N$113),IF($E$2&lt;&gt;"Não se aplica",SUMIF(TUSD!$E$62:'TUSD'!$E$113,$I$2,TUSD!$N$62:'TUSD'!$N$113),IF($D$2&lt;&gt;"Não se aplica",SUMIF(TUSD!$D$62:'TUSD'!$D$113,$I$2,TUSD!$N$62:'TUSD'!$N$113),IF($C$2&lt;&gt;"Não se aplica",SUMIF(TUSD!$C$62:'TUSD'!$C$113,$I$2,TUSD!$N$62:'TUSD'!$N$113),IF($B$2&lt;&gt;"Não se aplica",SUMIF(TUSD!$B$62:'TUSD'!$B$113,$I$2,TUSD!$N$62:'TUSD'!$N$113),SUMIF(TUSD!$A$62:'TUSD'!$A$113,$I$2,TUSD!$N$62:'TUSD'!$N$113)))))))</f>
        <v>1171588.510804092</v>
      </c>
      <c r="E9" s="61">
        <f>IF($G$2&lt;&gt;"Não se aplica",SUMIF(TUSD!$G$62:'TUSD'!$G$113,$I$2,TUSD!$O$62:'TUSD'!$O$113),IF($F$2&lt;&gt;"Não se aplica",SUMIF(TUSD!$F$62:'TUSD'!$F$113,$I$2,TUSD!$O$62:'TUSD'!$O$113),IF($E$2&lt;&gt;"Não se aplica",SUMIF(TUSD!$E$62:'TUSD'!$E$113,$I$2,TUSD!$O$62:'TUSD'!$O$113),IF($D$2&lt;&gt;"Não se aplica",SUMIF(TUSD!$D$62:'TUSD'!$D$113,$I$2,TUSD!$O$62:'TUSD'!$O$113),IF($C$2&lt;&gt;"Não se aplica",SUMIF(TUSD!$C$62:'TUSD'!$C$113,$I$2,TUSD!$O$62:'TUSD'!$O$113),IF($B$2&lt;&gt;"Não se aplica",SUMIF(TUSD!$B$62:'TUSD'!$B$113,$I$2,TUSD!$O$62:'TUSD'!$O$113),SUMIF(TUSD!$A$62:'TUSD'!$A$113,$I$2,TUSD!$O$62:'TUSD'!$O$113)))))))</f>
        <v>0</v>
      </c>
      <c r="F9" s="61">
        <f>IF($G$2&lt;&gt;"Não se aplica",SUMIF(TUSD!$G$62:'TUSD'!$G$113,$I$2,TUSD!$P$62:'TUSD'!$P$113),IF($F$2&lt;&gt;"Não se aplica",SUMIF(TUSD!$F$62:'TUSD'!$F$113,$I$2,TUSD!$P$62:'TUSD'!$P$113),IF($E$2&lt;&gt;"Não se aplica",SUMIF(TUSD!$E$62:'TUSD'!$E$113,$I$2,TUSD!$P$62:'TUSD'!$P$113),IF($D$2&lt;&gt;"Não se aplica",SUMIF(TUSD!$D$62:'TUSD'!$D$113,$I$2,TUSD!$P$62:'TUSD'!$P$113),IF($C$2&lt;&gt;"Não se aplica",SUMIF(TUSD!$C$62:'TUSD'!$C$113,$I$2,TUSD!$P$62:'TUSD'!$P$113),IF($B$2&lt;&gt;"Não se aplica",SUMIF(TUSD!$B$62:'TUSD'!$B$113,$I$2,TUSD!$P$62:'TUSD'!$P$113),SUMIF(TUSD!$A$62:'TUSD'!$A$113,$I$2,TUSD!$P$62:'TUSD'!$P$113)))))))</f>
        <v>0</v>
      </c>
      <c r="G9" s="61">
        <f>IF($G$2&lt;&gt;"Não se aplica",SUMIF(TUSD!$G$62:'TUSD'!$G$113,$I$2,TUSD!$Q$62:'TUSD'!$Q$113),IF($F$2&lt;&gt;"Não se aplica",SUMIF(TUSD!$F$62:'TUSD'!$F$113,$I$2,TUSD!$Q$62:'TUSD'!$Q$113),IF($E$2&lt;&gt;"Não se aplica",SUMIF(TUSD!$E$62:'TUSD'!$E$113,$I$2,TUSD!$Q$62:'TUSD'!$Q$113),IF($D$2&lt;&gt;"Não se aplica",SUMIF(TUSD!$D$62:'TUSD'!$D$113,$I$2,TUSD!$Q$62:'TUSD'!$Q$113),IF($C$2&lt;&gt;"Não se aplica",SUMIF(TUSD!$C$62:'TUSD'!$C$113,$I$2,TUSD!$Q$62:'TUSD'!$Q$113),IF($B$2&lt;&gt;"Não se aplica",SUMIF(TUSD!$B$62:'TUSD'!$B$113,$I$2,TUSD!$Q$62:'TUSD'!$Q$113),SUMIF(TUSD!$A$62:'TUSD'!$A$113,$I$2,TUSD!$Q$62:'TUSD'!$Q$113)))))))</f>
        <v>16843697.954561267</v>
      </c>
      <c r="H9" s="61">
        <f>IF($G$2&lt;&gt;"Não se aplica",SUMIF(TUSD!$G$62:'TUSD'!$G$113,$I$2,TUSD!$R$62:'TUSD'!$R$113),IF($F$2&lt;&gt;"Não se aplica",SUMIF(TUSD!$F$62:'TUSD'!$F$113,$I$2,TUSD!$R$62:'TUSD'!$R$113),IF($E$2&lt;&gt;"Não se aplica",SUMIF(TUSD!$E$62:'TUSD'!$E$113,$I$2,TUSD!$R$62:'TUSD'!$R$113),IF($D$2&lt;&gt;"Não se aplica",SUMIF(TUSD!$D$62:'TUSD'!$D$113,$I$2,TUSD!$R$62:'TUSD'!$R$113),IF($C$2&lt;&gt;"Não se aplica",SUMIF(TUSD!$C$62:'TUSD'!$C$113,$I$2,TUSD!$R$62:'TUSD'!$R$113),IF($B$2&lt;&gt;"Não se aplica",SUMIF(TUSD!$B$62:'TUSD'!$B$113,$I$2,TUSD!$R$62:'TUSD'!$R$113),SUMIF(TUSD!$A$62:'TUSD'!$A$113,$I$2,TUSD!$R$62:'TUSD'!$R$113)))))))</f>
        <v>12267295.869093411</v>
      </c>
      <c r="I9" s="61">
        <f>IF($G$2&lt;&gt;"Não se aplica",SUMIF(TUSD!$G$62:'TUSD'!$G$113,$I$2,TUSD!$S$62:'TUSD'!$S$113),IF($F$2&lt;&gt;"Não se aplica",SUMIF(TUSD!$F$62:'TUSD'!$F$113,$I$2,TUSD!$S$62:'TUSD'!$S$113),IF($E$2&lt;&gt;"Não se aplica",SUMIF(TUSD!$E$62:'TUSD'!$E$113,$I$2,TUSD!$S$62:'TUSD'!$S$113),IF($D$2&lt;&gt;"Não se aplica",SUMIF(TUSD!$D$62:'TUSD'!$D$113,$I$2,TUSD!$S$62:'TUSD'!$S$113),IF($C$2&lt;&gt;"Não se aplica",SUMIF(TUSD!$C$62:'TUSD'!$C$113,$I$2,TUSD!$S$62:'TUSD'!$S$113),IF($B$2&lt;&gt;"Não se aplica",SUMIF(TUSD!$B$62:'TUSD'!$B$113,$I$2,TUSD!$S$62:'TUSD'!$S$113),SUMIF(TUSD!$A$62:'TUSD'!$A$113,$I$2,TUSD!$S$62:'TUSD'!$S$113)))))))</f>
        <v>0</v>
      </c>
      <c r="J9" s="61">
        <f>IF($G$2&lt;&gt;"Não se aplica",SUMIF(TUSD!$G$62:'TUSD'!$G$113,$I$2,TUSD!$T$62:'TUSD'!$T$113),IF($F$2&lt;&gt;"Não se aplica",SUMIF(TUSD!$F$62:'TUSD'!$F$113,$I$2,TUSD!$T$62:'TUSD'!$T$113),IF($E$2&lt;&gt;"Não se aplica",SUMIF(TUSD!$E$62:'TUSD'!$E$113,$I$2,TUSD!$T$62:'TUSD'!$T$113),IF($D$2&lt;&gt;"Não se aplica",SUMIF(TUSD!$D$62:'TUSD'!$D$113,$I$2,TUSD!$T$62:'TUSD'!$T$113),IF($C$2&lt;&gt;"Não se aplica",SUMIF(TUSD!$C$62:'TUSD'!$C$113,$I$2,TUSD!$T$62:'TUSD'!$T$113),IF($B$2&lt;&gt;"Não se aplica",SUMIF(TUSD!$B$62:'TUSD'!$B$113,$I$2,TUSD!$T$62:'TUSD'!$T$113),SUMIF(TUSD!$A$62:'TUSD'!$A$113,$I$2,TUSD!$T$62:'TUSD'!$T$113)))))))</f>
        <v>18019507.034746215</v>
      </c>
      <c r="K9" s="61">
        <f>IF($G$2&lt;&gt;"Não se aplica",SUMIF(TUSD!$G$62:'TUSD'!$G$113,$I$2,TUSD!$U$62:'TUSD'!$U$113),IF($F$2&lt;&gt;"Não se aplica",SUMIF(TUSD!$F$62:'TUSD'!$F$113,$I$2,TUSD!$U$62:'TUSD'!$U$113),IF($E$2&lt;&gt;"Não se aplica",SUMIF(TUSD!$E$62:'TUSD'!$E$113,$I$2,TUSD!$U$62:'TUSD'!$U$113),IF($D$2&lt;&gt;"Não se aplica",SUMIF(TUSD!$D$62:'TUSD'!$D$113,$I$2,TUSD!$U$62:'TUSD'!$U$113),IF($C$2&lt;&gt;"Não se aplica",SUMIF(TUSD!$C$62:'TUSD'!$C$113,$I$2,TUSD!$U$62:'TUSD'!$U$113),IF($B$2&lt;&gt;"Não se aplica",SUMIF(TUSD!$B$62:'TUSD'!$B$113,$I$2,TUSD!$U$62:'TUSD'!$U$113),SUMIF(TUSD!$A$62:'TUSD'!$A$113,$I$2,TUSD!$U$62:'TUSD'!$U$113)))))))</f>
        <v>269870.31784407963</v>
      </c>
      <c r="L9" s="61">
        <f>IF($G$2&lt;&gt;"Não se aplica",SUMIF(TUSD!$G$62:'TUSD'!$G$113,$I$2,TUSD!$V$62:'TUSD'!$V$113),IF($F$2&lt;&gt;"Não se aplica",SUMIF(TUSD!$F$62:'TUSD'!$F$113,$I$2,TUSD!$V$62:'TUSD'!$V$113),IF($E$2&lt;&gt;"Não se aplica",SUMIF(TUSD!$E$62:'TUSD'!$E$113,$I$2,TUSD!$V$62:'TUSD'!$V$113),IF($D$2&lt;&gt;"Não se aplica",SUMIF(TUSD!$D$62:'TUSD'!$D$113,$I$2,TUSD!$V$62:'TUSD'!$V$113),IF($C$2&lt;&gt;"Não se aplica",SUMIF(TUSD!$C$62:'TUSD'!$C$113,$I$2,TUSD!$V$62:'TUSD'!$V$113),IF($B$2&lt;&gt;"Não se aplica",SUMIF(TUSD!$B$62:'TUSD'!$B$113,$I$2,TUSD!$V$62:'TUSD'!$V$113),SUMIF(TUSD!$A$62:'TUSD'!$A$113,$I$2,TUSD!$V$62:'TUSD'!$V$113)))))))</f>
        <v>0</v>
      </c>
      <c r="M9" s="61">
        <f>IF($G$2&lt;&gt;"Não se aplica",SUMIF(TUSD!$G$62:'TUSD'!$G$113,$I$2,TUSD!$W$62:'TUSD'!$W$113),IF($F$2&lt;&gt;"Não se aplica",SUMIF(TUSD!$F$62:'TUSD'!$F$113,$I$2,TUSD!$W$62:'TUSD'!$W$113),IF($E$2&lt;&gt;"Não se aplica",SUMIF(TUSD!$E$62:'TUSD'!$E$113,$I$2,TUSD!$W$62:'TUSD'!$W$113),IF($D$2&lt;&gt;"Não se aplica",SUMIF(TUSD!$D$62:'TUSD'!$D$113,$I$2,TUSD!$W$62:'TUSD'!$W$113),IF($C$2&lt;&gt;"Não se aplica",SUMIF(TUSD!$C$62:'TUSD'!$C$113,$I$2,TUSD!$W$62:'TUSD'!$W$113),IF($B$2&lt;&gt;"Não se aplica",SUMIF(TUSD!$B$62:'TUSD'!$B$113,$I$2,TUSD!$W$62:'TUSD'!$W$113),SUMIF(TUSD!$A$62:'TUSD'!$A$113,$I$2,TUSD!$W$62:'TUSD'!$W$113)))))))</f>
        <v>0</v>
      </c>
      <c r="N9" s="61">
        <f>IF($G$2&lt;&gt;"Não se aplica",SUMIF(TUSD!$G$62:'TUSD'!$G$113,$I$2,TUSD!$X$62:'TUSD'!$X$113),IF($F$2&lt;&gt;"Não se aplica",SUMIF(TUSD!$F$62:'TUSD'!$F$113,$I$2,TUSD!$X$62:'TUSD'!$X$113),IF($E$2&lt;&gt;"Não se aplica",SUMIF(TUSD!$E$62:'TUSD'!$E$113,$I$2,TUSD!$X$62:'TUSD'!$X$113),IF($D$2&lt;&gt;"Não se aplica",SUMIF(TUSD!$D$62:'TUSD'!$D$113,$I$2,TUSD!$X$62:'TUSD'!$X$113),IF($C$2&lt;&gt;"Não se aplica",SUMIF(TUSD!$C$62:'TUSD'!$C$113,$I$2,TUSD!$X$62:'TUSD'!$X$113),IF($B$2&lt;&gt;"Não se aplica",SUMIF(TUSD!$B$62:'TUSD'!$B$113,$I$2,TUSD!$X$62:'TUSD'!$X$113),SUMIF(TUSD!$A$62:'TUSD'!$A$113,$I$2,TUSD!$X$62:'TUSD'!$X$113)))))))</f>
        <v>0</v>
      </c>
      <c r="O9" s="61">
        <f>IF($G$2&lt;&gt;"Não se aplica",SUMIF(TUSD!$G$62:'TUSD'!$G$113,$I$2,TUSD!$Y$62:'TUSD'!$Y$113),IF($F$2&lt;&gt;"Não se aplica",SUMIF(TUSD!$F$62:'TUSD'!$F$113,$I$2,TUSD!$Y$62:'TUSD'!$Y$113),IF($E$2&lt;&gt;"Não se aplica",SUMIF(TUSD!$E$62:'TUSD'!$E$113,$I$2,TUSD!$Y$62:'TUSD'!$Y$113),IF($D$2&lt;&gt;"Não se aplica",SUMIF(TUSD!$D$62:'TUSD'!$D$113,$I$2,TUSD!$Y$62:'TUSD'!$Y$113),IF($C$2&lt;&gt;"Não se aplica",SUMIF(TUSD!$C$62:'TUSD'!$C$113,$I$2,TUSD!$Y$62:'TUSD'!$Y$113),IF($B$2&lt;&gt;"Não se aplica",SUMIF(TUSD!$B$62:'TUSD'!$B$113,$I$2,TUSD!$Y$62:'TUSD'!$Y$113),SUMIF(TUSD!$A$62:'TUSD'!$A$113,$I$2,TUSD!$Y$62:'TUSD'!$Y$113)))))))</f>
        <v>0</v>
      </c>
      <c r="P9" s="61">
        <f>IF($G$2&lt;&gt;"Não se aplica",SUMIF(TUSD!$G$62:'TUSD'!$G$113,$I$2,TUSD!$Z$62:'TUSD'!$Z$113),IF($F$2&lt;&gt;"Não se aplica",SUMIF(TUSD!$F$62:'TUSD'!$F$113,$I$2,TUSD!$Z$62:'TUSD'!$Z$113),IF($E$2&lt;&gt;"Não se aplica",SUMIF(TUSD!$E$62:'TUSD'!$E$113,$I$2,TUSD!$Z$62:'TUSD'!$Z$113),IF($D$2&lt;&gt;"Não se aplica",SUMIF(TUSD!$D$62:'TUSD'!$D$113,$I$2,TUSD!$Z$62:'TUSD'!$Z$113),IF($C$2&lt;&gt;"Não se aplica",SUMIF(TUSD!$C$62:'TUSD'!$C$113,$I$2,TUSD!$Z$62:'TUSD'!$Z$113),IF($B$2&lt;&gt;"Não se aplica",SUMIF(TUSD!$B$62:'TUSD'!$B$113,$I$2,TUSD!$Z$62:'TUSD'!$Z$113),SUMIF(TUSD!$A$62:'TUSD'!$A$113,$I$2,TUSD!$Z$62:'TUSD'!$Z$113)))))))</f>
        <v>0</v>
      </c>
      <c r="Q9" s="61">
        <f>IF($G$2&lt;&gt;"Não se aplica",SUMIF(TUSD!$G$62:'TUSD'!$G$113,$I$2,TUSD!$AA$62:'TUSD'!$AA$113),IF($F$2&lt;&gt;"Não se aplica",SUMIF(TUSD!$F$62:'TUSD'!$F$113,$I$2,TUSD!$AA$62:'TUSD'!$AA$113),IF($E$2&lt;&gt;"Não se aplica",SUMIF(TUSD!$E$62:'TUSD'!$E$113,$I$2,TUSD!$AA$62:'TUSD'!$AA$113),IF($D$2&lt;&gt;"Não se aplica",SUMIF(TUSD!$D$62:'TUSD'!$D$113,$I$2,TUSD!$AA$62:'TUSD'!$AA$113),IF($C$2&lt;&gt;"Não se aplica",SUMIF(TUSD!$C$62:'TUSD'!$C$113,$I$2,TUSD!$AA$62:'TUSD'!$AA$113),IF($B$2&lt;&gt;"Não se aplica",SUMIF(TUSD!$B$62:'TUSD'!$B$113,$I$2,TUSD!$AA$62:'TUSD'!$AA$113),SUMIF(TUSD!$A$62:'TUSD'!$A$113,$I$2,TUSD!$AA$62:'TUSD'!$AA$113)))))))</f>
        <v>55253017.747170657</v>
      </c>
      <c r="R9" s="61">
        <f ca="1">IF($G$2&lt;&gt;"Não se aplica",SUMIF(TUSD!$G$62:'TUSD'!$G$113,$I$2,TUSD!$AB$62:'TUSD'!$AB$113),IF($F$2&lt;&gt;"Não se aplica",SUMIF(TUSD!$F$62:'TUSD'!$F$113,$I$2,TUSD!$AB$62:'TUSD'!$AB$113),IF($E$2&lt;&gt;"Não se aplica",SUMIF(TUSD!$E$62:'TUSD'!$E$113,$I$2,TUSD!$AB$62:'TUSD'!$AB$113),IF($D$2&lt;&gt;"Não se aplica",SUMIF(TUSD!$D$62:'TUSD'!$D$113,$I$2,TUSD!$AB$62:'TUSD'!$AB$113),IF($C$2&lt;&gt;"Não se aplica",SUMIF(TUSD!$C$62:'TUSD'!$C$113,$I$2,TUSD!$AB$62:'TUSD'!$AB$113),IF($B$2&lt;&gt;"Não se aplica",SUMIF(TUSD!$B$62:'TUSD'!$B$113,$I$2,TUSD!$AB$62:'TUSD'!$AB$113),SUMIF(TUSD!$A$62:'TUSD'!$A$113,$I$2,TUSD!$AB$62:'TUSD'!$AB$113)))))))</f>
        <v>0</v>
      </c>
      <c r="S9" s="61">
        <f ca="1">IF($G$2&lt;&gt;"Não se aplica",SUMIF(TUSD!$G$62:'TUSD'!$G$113,$I$2,TUSD!$AC$62:'TUSD'!$AC$113),IF($F$2&lt;&gt;"Não se aplica",SUMIF(TUSD!$F$62:'TUSD'!$F$113,$I$2,TUSD!$AC$62:'TUSD'!$AC$113),IF($E$2&lt;&gt;"Não se aplica",SUMIF(TUSD!$E$62:'TUSD'!$E$113,$I$2,TUSD!$AC$62:'TUSD'!$AC$113),IF($D$2&lt;&gt;"Não se aplica",SUMIF(TUSD!$D$62:'TUSD'!$D$113,$I$2,TUSD!$AC$62:'TUSD'!$AC$113),IF($C$2&lt;&gt;"Não se aplica",SUMIF(TUSD!$C$62:'TUSD'!$C$113,$I$2,TUSD!$AC$62:'TUSD'!$AC$113),IF($B$2&lt;&gt;"Não se aplica",SUMIF(TUSD!$B$62:'TUSD'!$B$113,$I$2,TUSD!$AC$62:'TUSD'!$AC$113),SUMIF(TUSD!$A$62:'TUSD'!$A$113,$I$2,TUSD!$AC$62:'TUSD'!$AC$113)))))))</f>
        <v>0</v>
      </c>
      <c r="T9" s="61">
        <f>IF($G$2&lt;&gt;"Não se aplica",SUMIF(TUSD!$G$62:'TUSD'!$G$113,$I$2,TUSD!$AD$62:'TUSD'!$AD$113),IF($F$2&lt;&gt;"Não se aplica",SUMIF(TUSD!$F$62:'TUSD'!$F$113,$I$2,TUSD!$AD$62:'TUSD'!$AD$113),IF($E$2&lt;&gt;"Não se aplica",SUMIF(TUSD!$E$62:'TUSD'!$E$113,$I$2,TUSD!$AD$62:'TUSD'!$AD$113),IF($D$2&lt;&gt;"Não se aplica",SUMIF(TUSD!$D$62:'TUSD'!$D$113,$I$2,TUSD!$AD$62:'TUSD'!$AD$113),IF($C$2&lt;&gt;"Não se aplica",SUMIF(TUSD!$C$62:'TUSD'!$C$113,$I$2,TUSD!$AD$62:'TUSD'!$AD$113),IF($B$2&lt;&gt;"Não se aplica",SUMIF(TUSD!$B$62:'TUSD'!$B$113,$I$2,TUSD!$AD$62:'TUSD'!$AD$113),SUMIF(TUSD!$A$62:'TUSD'!$A$113,$I$2,TUSD!$AD$62:'TUSD'!$AD$113)))))))</f>
        <v>12405751.44492913</v>
      </c>
      <c r="U9" s="61">
        <f>IF($G$2&lt;&gt;"Não se aplica",SUMIF(TUSD!$G$62:'TUSD'!$G$113,$I$2,TUSD!$AE$62:'TUSD'!$AE$113),IF($F$2&lt;&gt;"Não se aplica",SUMIF(TUSD!$F$62:'TUSD'!$F$113,$I$2,TUSD!$AE$62:'TUSD'!$AE$113),IF($E$2&lt;&gt;"Não se aplica",SUMIF(TUSD!$E$62:'TUSD'!$E$113,$I$2,TUSD!$AE$62:'TUSD'!$AE$113),IF($D$2&lt;&gt;"Não se aplica",SUMIF(TUSD!$D$62:'TUSD'!$D$113,$I$2,TUSD!$AE$62:'TUSD'!$AE$113),IF($C$2&lt;&gt;"Não se aplica",SUMIF(TUSD!$C$62:'TUSD'!$C$113,$I$2,TUSD!$AE$62:'TUSD'!$AE$113),IF($B$2&lt;&gt;"Não se aplica",SUMIF(TUSD!$B$62:'TUSD'!$B$113,$I$2,TUSD!$AE$62:'TUSD'!$AE$113),SUMIF(TUSD!$A$62:'TUSD'!$A$113,$I$2,TUSD!$AE$62:'TUSD'!$AE$113)))))))</f>
        <v>397169.56283266196</v>
      </c>
      <c r="V9" s="61">
        <f ca="1">IF($G$2&lt;&gt;"Não se aplica",SUMIF(TUSD!$G$62:'TUSD'!$G$113,$I$2,TUSD!$AF$62:'TUSD'!$AF$113),IF($F$2&lt;&gt;"Não se aplica",SUMIF(TUSD!$F$62:'TUSD'!$F$113,$I$2,TUSD!$AF$62:'TUSD'!$AF$113),IF($E$2&lt;&gt;"Não se aplica",SUMIF(TUSD!$E$62:'TUSD'!$E$113,$I$2,TUSD!$AF$62:'TUSD'!$AF$113),IF($D$2&lt;&gt;"Não se aplica",SUMIF(TUSD!$D$62:'TUSD'!$D$113,$I$2,TUSD!$AF$62:'TUSD'!$AF$113),IF($C$2&lt;&gt;"Não se aplica",SUMIF(TUSD!$C$62:'TUSD'!$C$113,$I$2,TUSD!$AF$62:'TUSD'!$AF$113),IF($B$2&lt;&gt;"Não se aplica",SUMIF(TUSD!$B$62:'TUSD'!$B$113,$I$2,TUSD!$AF$62:'TUSD'!$AF$113),SUMIF(TUSD!$A$62:'TUSD'!$A$113,$I$2,TUSD!$AF$62:'TUSD'!$AF$113)))))))</f>
        <v>26037770.346100718</v>
      </c>
      <c r="W9" s="61">
        <f ca="1">IF($G$2&lt;&gt;"Não se aplica",SUMIF(TUSD!$G$62:'TUSD'!$G$113,$I$2,TUSD!$AG$62:'TUSD'!$AG$113),IF($F$2&lt;&gt;"Não se aplica",SUMIF(TUSD!$F$62:'TUSD'!$F$113,$I$2,TUSD!$AG$62:'TUSD'!$AG$113),IF($E$2&lt;&gt;"Não se aplica",SUMIF(TUSD!$E$62:'TUSD'!$E$113,$I$2,TUSD!$AG$62:'TUSD'!$AG$113),IF($D$2&lt;&gt;"Não se aplica",SUMIF(TUSD!$D$62:'TUSD'!$D$113,$I$2,TUSD!$AG$62:'TUSD'!$AG$113),IF($C$2&lt;&gt;"Não se aplica",SUMIF(TUSD!$C$62:'TUSD'!$C$113,$I$2,TUSD!$AG$62:'TUSD'!$AG$113),IF($B$2&lt;&gt;"Não se aplica",SUMIF(TUSD!$B$62:'TUSD'!$B$113,$I$2,TUSD!$AG$62:'TUSD'!$AG$113),SUMIF(TUSD!$A$62:'TUSD'!$A$113,$I$2,TUSD!$AG$62:'TUSD'!$AG$113)))))))</f>
        <v>4029308.3103958694</v>
      </c>
      <c r="X9" s="61">
        <f t="shared" ca="1" si="0"/>
        <v>157681558.9612467</v>
      </c>
      <c r="AD9" s="17" t="s">
        <v>51</v>
      </c>
    </row>
    <row r="10" spans="1:33" x14ac:dyDescent="0.2">
      <c r="A10" s="17" t="s">
        <v>1290</v>
      </c>
      <c r="B10" s="61">
        <f>SUMIF(TUSD!$A$62:'TUSD'!$A$113,$A$2,TUSD!$AI$62:'TUSD'!$AI$113)</f>
        <v>0</v>
      </c>
      <c r="C10" s="61">
        <f>SUMIF(TUSD!$A$62:'TUSD'!$A$113,$A$2,TUSD!$AJ$62:'TUSD'!$AJ$113)</f>
        <v>63329.10233837938</v>
      </c>
      <c r="D10" s="61">
        <f>SUMIF(TUSD!$A$62:'TUSD'!$A$113,$A$2,TUSD!$AK$62:'TUSD'!$AK$113)</f>
        <v>1010631.7056659232</v>
      </c>
      <c r="E10" s="61">
        <f>SUMIF(TUSD!$A$62:'TUSD'!$A$113,$A$2,TUSD!$AL$62:'TUSD'!$AL$113)</f>
        <v>0</v>
      </c>
      <c r="F10" s="61">
        <f>SUMIF(TUSD!$A$62:'TUSD'!$A$113,$A$2,TUSD!$AM$62:'TUSD'!$AM$113)</f>
        <v>0</v>
      </c>
      <c r="G10" s="61">
        <f>SUMIF(TUSD!$A$62:'TUSD'!$A$113,$A$2,TUSD!$AN$62:'TUSD'!$AN$113)</f>
        <v>18758012.512367129</v>
      </c>
      <c r="H10" s="61">
        <f>SUMIF(TUSD!$A$62:'TUSD'!$A$113,$A$2,TUSD!$AO$62:'TUSD'!$AO$113)</f>
        <v>8726641.4359236695</v>
      </c>
      <c r="I10" s="61">
        <f>SUMIF(TUSD!$A$62:'TUSD'!$A$113,$A$2,TUSD!$AP$62:'TUSD'!$AP$113)</f>
        <v>0</v>
      </c>
      <c r="J10" s="61">
        <f>SUMIF(TUSD!$A$62:'TUSD'!$A$113,$A$2,TUSD!$AQ$62:'TUSD'!$AQ$113)</f>
        <v>14170012.750434784</v>
      </c>
      <c r="K10" s="61">
        <f>SUMIF(TUSD!$A$62:'TUSD'!$A$113,$A$2,TUSD!$AR$62:'TUSD'!$AR$113)</f>
        <v>2797935.7151263431</v>
      </c>
      <c r="L10" s="61">
        <f>SUMIF(TUSD!$A$62:'TUSD'!$A$113,$A$2,TUSD!$AS$62:'TUSD'!$AS$113)</f>
        <v>0</v>
      </c>
      <c r="M10" s="61">
        <f>SUMIF(TUSD!$A$62:'TUSD'!$A$113,$A$2,TUSD!$AT$62:'TUSD'!$AT$113)</f>
        <v>0</v>
      </c>
      <c r="N10" s="61">
        <f>SUMIF(TUSD!$A$62:'TUSD'!$A$113,$A$2,TUSD!$AU$62:'TUSD'!$AU$113)</f>
        <v>0</v>
      </c>
      <c r="O10" s="61">
        <f>SUMIF(TUSD!$A$62:'TUSD'!$A$113,$A$2,TUSD!$AV$62:'TUSD'!$AV$113)</f>
        <v>0</v>
      </c>
      <c r="P10" s="61">
        <f>SUMIF(TUSD!$A$62:'TUSD'!$A$113,$A$2,TUSD!$AW$62:'TUSD'!$AW$113)</f>
        <v>0</v>
      </c>
      <c r="Q10" s="61">
        <f>SUMIF(TUSD!$A$62:'TUSD'!$A$113,$A$2,TUSD!$AX$62:'TUSD'!$AX$113)</f>
        <v>46954628.53179989</v>
      </c>
      <c r="R10" s="61">
        <f>SUMIF(TUSD!$A$62:'TUSD'!$A$113,$A$2,TUSD!$AY$62:'TUSD'!$AY$113)</f>
        <v>0</v>
      </c>
      <c r="S10" s="61">
        <f>SUMIF(TUSD!$A$62:'TUSD'!$A$113,$A$2,TUSD!$AZ$62:'TUSD'!$AZ$113)</f>
        <v>0</v>
      </c>
      <c r="T10" s="61">
        <f>SUMIF(TUSD!$A$62:'TUSD'!$A$113,$A$2,TUSD!$BA$62:'TUSD'!$BA$113)</f>
        <v>10835454.793410363</v>
      </c>
      <c r="U10" s="61">
        <f>SUMIF(TUSD!$A$62:'TUSD'!$A$113,$A$2,TUSD!$BB$62:'TUSD'!$BB$113)</f>
        <v>404661.75667142065</v>
      </c>
      <c r="V10" s="61">
        <f>SUMIF(TUSD!$A$62:'TUSD'!$A$113,$A$2,TUSD!$BC$62:'TUSD'!$BC$113)</f>
        <v>25734128.864991251</v>
      </c>
      <c r="W10" s="61">
        <f>SUMIF(TUSD!$A$62:'TUSD'!$A$113,$A$2,TUSD!$BD$62:'TUSD'!$BD$113)</f>
        <v>1594633.3599255062</v>
      </c>
      <c r="X10" s="61">
        <f t="shared" si="0"/>
        <v>131050070.52865465</v>
      </c>
      <c r="AD10" s="17" t="s">
        <v>102</v>
      </c>
    </row>
    <row r="11" spans="1:33" x14ac:dyDescent="0.2">
      <c r="A11" s="17" t="s">
        <v>1291</v>
      </c>
      <c r="B11" s="61">
        <f>SUMIF(TUSD!$A$62:'TUSD'!$A$113,$A$2,TUSD!$L$62:'TUSD'!$L$113)</f>
        <v>10915841.268116266</v>
      </c>
      <c r="C11" s="61">
        <f>SUMIF(TUSD!$A$62:'TUSD'!$A$113,$A$2,TUSD!$M$62:'TUSD'!$M$113)</f>
        <v>70740.594652357919</v>
      </c>
      <c r="D11" s="61">
        <f ca="1">SUMIF(TUSD!$A$62:'TUSD'!$A$113,$A$2,TUSD!$N$62:'TUSD'!$N$113)</f>
        <v>1171588.510804092</v>
      </c>
      <c r="E11" s="61">
        <f>SUMIF(TUSD!$A$62:'TUSD'!$A$113,$A$2,TUSD!$O$62:'TUSD'!$O$113)</f>
        <v>0</v>
      </c>
      <c r="F11" s="61">
        <f>SUMIF(TUSD!$A$62:'TUSD'!$A$113,$A$2,TUSD!$P$62:'TUSD'!$P$113)</f>
        <v>0</v>
      </c>
      <c r="G11" s="61">
        <f>SUMIF(TUSD!$A$62:'TUSD'!$A$113,$A$2,TUSD!$Q$62:'TUSD'!$Q$113)</f>
        <v>16843697.954561267</v>
      </c>
      <c r="H11" s="61">
        <f>SUMIF(TUSD!$A$62:'TUSD'!$A$113,$A$2,TUSD!$R$62:'TUSD'!$R$113)</f>
        <v>12267295.869093411</v>
      </c>
      <c r="I11" s="61">
        <f>SUMIF(TUSD!$A$62:'TUSD'!$A$113,$A$2,TUSD!$S$62:'TUSD'!$S$113)</f>
        <v>0</v>
      </c>
      <c r="J11" s="61">
        <f>SUMIF(TUSD!$A$62:'TUSD'!$A$113,$A$2,TUSD!$T$62:'TUSD'!$T$113)</f>
        <v>18019507.034746215</v>
      </c>
      <c r="K11" s="61">
        <f>SUMIF(TUSD!$A$62:'TUSD'!$A$113,$A$2,TUSD!$U$62:'TUSD'!$U$113)</f>
        <v>269870.31784407963</v>
      </c>
      <c r="L11" s="61">
        <f>SUMIF(TUSD!$A$62:'TUSD'!$A$113,$A$2,TUSD!$V$62:'TUSD'!$V$113)</f>
        <v>0</v>
      </c>
      <c r="M11" s="61">
        <f>SUMIF(TUSD!$A$62:'TUSD'!$A$113,$A$2,TUSD!$W$62:'TUSD'!$W$113)</f>
        <v>0</v>
      </c>
      <c r="N11" s="61">
        <f>SUMIF(TUSD!$A$62:'TUSD'!$A$113,$A$2,TUSD!$X$62:'TUSD'!$X$113)</f>
        <v>0</v>
      </c>
      <c r="O11" s="61">
        <f>SUMIF(TUSD!$A$62:'TUSD'!$A$113,$A$2,TUSD!$Y$62:'TUSD'!$Y$113)</f>
        <v>0</v>
      </c>
      <c r="P11" s="61">
        <f>SUMIF(TUSD!$A$62:'TUSD'!$A$113,$A$2,TUSD!$Z$62:'TUSD'!$Z$113)</f>
        <v>0</v>
      </c>
      <c r="Q11" s="61">
        <f>SUMIF(TUSD!$A$62:'TUSD'!$A$113,$A$2,TUSD!$AA$62:'TUSD'!$AA$113)</f>
        <v>55253017.747170657</v>
      </c>
      <c r="R11" s="61">
        <f ca="1">SUMIF(TUSD!$A$62:'TUSD'!$A$113,$A$2,TUSD!$AB$62:'TUSD'!$AB$113)</f>
        <v>0</v>
      </c>
      <c r="S11" s="61">
        <f ca="1">SUMIF(TUSD!$A$62:'TUSD'!$A$113,$A$2,TUSD!$AC$62:'TUSD'!$AC$113)</f>
        <v>0</v>
      </c>
      <c r="T11" s="61">
        <f>SUMIF(TUSD!$A$62:'TUSD'!$A$113,$A$2,TUSD!$AD$62:'TUSD'!$AD$113)</f>
        <v>12405751.44492913</v>
      </c>
      <c r="U11" s="61">
        <f>SUMIF(TUSD!$A$62:'TUSD'!$A$113,$A$2,TUSD!$AE$62:'TUSD'!$AE$113)</f>
        <v>397169.56283266196</v>
      </c>
      <c r="V11" s="61">
        <f ca="1">SUMIF(TUSD!$A$62:'TUSD'!$A$113,$A$2,TUSD!$AF$62:'TUSD'!$AF$113)</f>
        <v>26037770.346100718</v>
      </c>
      <c r="W11" s="61">
        <f ca="1">SUMIF(TUSD!$A$62:'TUSD'!$A$113,$A$2,TUSD!$AG$62:'TUSD'!$AG$113)</f>
        <v>4029308.3103958694</v>
      </c>
      <c r="X11" s="61">
        <f t="shared" ca="1" si="0"/>
        <v>157681558.9612467</v>
      </c>
    </row>
    <row r="13" spans="1:33" x14ac:dyDescent="0.2">
      <c r="A13" s="17" t="s">
        <v>1295</v>
      </c>
      <c r="B13" s="90">
        <f t="shared" ref="B13:X13" si="1">IF($X$6&lt;&gt;0,(B$7-B$6)/$X$6,0)</f>
        <v>3.3277699387788885E-2</v>
      </c>
      <c r="C13" s="90">
        <f t="shared" si="1"/>
        <v>2.8171412570172889E-4</v>
      </c>
      <c r="D13" s="90">
        <f t="shared" ca="1" si="1"/>
        <v>8.4730794057238002E-4</v>
      </c>
      <c r="E13" s="90">
        <f t="shared" si="1"/>
        <v>0</v>
      </c>
      <c r="F13" s="90">
        <f t="shared" si="1"/>
        <v>0</v>
      </c>
      <c r="G13" s="90">
        <f t="shared" si="1"/>
        <v>-2.1786730615488419E-3</v>
      </c>
      <c r="H13" s="90">
        <f t="shared" si="1"/>
        <v>8.1169532502563257E-3</v>
      </c>
      <c r="I13" s="90">
        <f t="shared" si="1"/>
        <v>0</v>
      </c>
      <c r="J13" s="90">
        <f t="shared" si="1"/>
        <v>2.2124236221488486E-2</v>
      </c>
      <c r="K13" s="90">
        <f t="shared" si="1"/>
        <v>-1.22938130309129E-2</v>
      </c>
      <c r="L13" s="90">
        <f t="shared" si="1"/>
        <v>9.6000591560802667E-4</v>
      </c>
      <c r="M13" s="90">
        <f t="shared" si="1"/>
        <v>0</v>
      </c>
      <c r="N13" s="90">
        <f t="shared" si="1"/>
        <v>-3.5190065477015681E-4</v>
      </c>
      <c r="O13" s="90">
        <f t="shared" si="1"/>
        <v>0</v>
      </c>
      <c r="P13" s="90">
        <f t="shared" si="1"/>
        <v>0</v>
      </c>
      <c r="Q13" s="90">
        <f t="shared" si="1"/>
        <v>5.7458520409273614E-2</v>
      </c>
      <c r="R13" s="90">
        <f t="shared" ca="1" si="1"/>
        <v>0</v>
      </c>
      <c r="S13" s="90">
        <f t="shared" ca="1" si="1"/>
        <v>0</v>
      </c>
      <c r="T13" s="90">
        <f t="shared" si="1"/>
        <v>5.5718097132912755E-3</v>
      </c>
      <c r="U13" s="90">
        <f t="shared" si="1"/>
        <v>-9.6803883305667191E-5</v>
      </c>
      <c r="V13" s="90">
        <f t="shared" ca="1" si="1"/>
        <v>-8.6673130316401673E-3</v>
      </c>
      <c r="W13" s="90">
        <f t="shared" ca="1" si="1"/>
        <v>2.2928537097669836E-2</v>
      </c>
      <c r="X13" s="90">
        <f t="shared" ca="1" si="1"/>
        <v>0.12797828039947268</v>
      </c>
    </row>
    <row r="14" spans="1:33" x14ac:dyDescent="0.2">
      <c r="A14" s="17" t="s">
        <v>1296</v>
      </c>
      <c r="B14" s="90">
        <f t="shared" ref="B14:X14" si="2">IF($X$10&lt;&gt;0,(B$9-B$8)/$X$10,0)</f>
        <v>8.3295195676598058E-2</v>
      </c>
      <c r="C14" s="90">
        <f t="shared" si="2"/>
        <v>5.6554661009190263E-5</v>
      </c>
      <c r="D14" s="90">
        <f t="shared" ca="1" si="2"/>
        <v>1.2282084587125421E-3</v>
      </c>
      <c r="E14" s="90">
        <f t="shared" si="2"/>
        <v>0</v>
      </c>
      <c r="F14" s="90">
        <f t="shared" si="2"/>
        <v>0</v>
      </c>
      <c r="G14" s="90">
        <f t="shared" si="2"/>
        <v>-1.460750497945966E-2</v>
      </c>
      <c r="H14" s="90">
        <f t="shared" si="2"/>
        <v>2.7017569840952983E-2</v>
      </c>
      <c r="I14" s="90">
        <f t="shared" si="2"/>
        <v>0</v>
      </c>
      <c r="J14" s="90">
        <f t="shared" si="2"/>
        <v>2.937422520096792E-2</v>
      </c>
      <c r="K14" s="90">
        <f t="shared" si="2"/>
        <v>-1.9290835839187826E-2</v>
      </c>
      <c r="L14" s="90">
        <f t="shared" si="2"/>
        <v>0</v>
      </c>
      <c r="M14" s="90">
        <f t="shared" si="2"/>
        <v>0</v>
      </c>
      <c r="N14" s="90">
        <f t="shared" si="2"/>
        <v>0</v>
      </c>
      <c r="O14" s="90">
        <f t="shared" si="2"/>
        <v>0</v>
      </c>
      <c r="P14" s="90">
        <f t="shared" si="2"/>
        <v>0</v>
      </c>
      <c r="Q14" s="90">
        <f t="shared" si="2"/>
        <v>6.3322279659180261E-2</v>
      </c>
      <c r="R14" s="90">
        <f t="shared" ca="1" si="2"/>
        <v>0</v>
      </c>
      <c r="S14" s="90">
        <f t="shared" ca="1" si="2"/>
        <v>0</v>
      </c>
      <c r="T14" s="90">
        <f t="shared" si="2"/>
        <v>1.1982417446890391E-2</v>
      </c>
      <c r="U14" s="90">
        <f t="shared" si="2"/>
        <v>-5.7170467810778366E-5</v>
      </c>
      <c r="V14" s="90">
        <f t="shared" ca="1" si="2"/>
        <v>2.3169883074811008E-3</v>
      </c>
      <c r="W14" s="90">
        <f t="shared" ca="1" si="2"/>
        <v>1.8578204045590432E-2</v>
      </c>
      <c r="X14" s="90">
        <f t="shared" ca="1" si="2"/>
        <v>0.20321613201092451</v>
      </c>
    </row>
    <row r="15" spans="1:33" x14ac:dyDescent="0.2">
      <c r="A15" s="17" t="s">
        <v>1297</v>
      </c>
      <c r="B15" s="90">
        <f t="shared" ref="B15:X15" si="3">IF($X$8&lt;&gt;0,(B$9-B$8)/$X$8,0)</f>
        <v>8.3295195676598058E-2</v>
      </c>
      <c r="C15" s="90">
        <f t="shared" si="3"/>
        <v>5.6554661009190263E-5</v>
      </c>
      <c r="D15" s="90">
        <f t="shared" ca="1" si="3"/>
        <v>1.2282084587125421E-3</v>
      </c>
      <c r="E15" s="90">
        <f t="shared" si="3"/>
        <v>0</v>
      </c>
      <c r="F15" s="90">
        <f t="shared" si="3"/>
        <v>0</v>
      </c>
      <c r="G15" s="90">
        <f t="shared" si="3"/>
        <v>-1.460750497945966E-2</v>
      </c>
      <c r="H15" s="90">
        <f t="shared" si="3"/>
        <v>2.7017569840952983E-2</v>
      </c>
      <c r="I15" s="90">
        <f t="shared" si="3"/>
        <v>0</v>
      </c>
      <c r="J15" s="90">
        <f t="shared" si="3"/>
        <v>2.937422520096792E-2</v>
      </c>
      <c r="K15" s="90">
        <f t="shared" si="3"/>
        <v>-1.9290835839187826E-2</v>
      </c>
      <c r="L15" s="90">
        <f t="shared" si="3"/>
        <v>0</v>
      </c>
      <c r="M15" s="90">
        <f t="shared" si="3"/>
        <v>0</v>
      </c>
      <c r="N15" s="90">
        <f t="shared" si="3"/>
        <v>0</v>
      </c>
      <c r="O15" s="90">
        <f t="shared" si="3"/>
        <v>0</v>
      </c>
      <c r="P15" s="90">
        <f t="shared" si="3"/>
        <v>0</v>
      </c>
      <c r="Q15" s="90">
        <f t="shared" si="3"/>
        <v>6.3322279659180261E-2</v>
      </c>
      <c r="R15" s="90">
        <f t="shared" ca="1" si="3"/>
        <v>0</v>
      </c>
      <c r="S15" s="90">
        <f t="shared" ca="1" si="3"/>
        <v>0</v>
      </c>
      <c r="T15" s="90">
        <f t="shared" si="3"/>
        <v>1.1982417446890391E-2</v>
      </c>
      <c r="U15" s="90">
        <f t="shared" si="3"/>
        <v>-5.7170467810778366E-5</v>
      </c>
      <c r="V15" s="90">
        <f t="shared" ca="1" si="3"/>
        <v>2.3169883074811008E-3</v>
      </c>
      <c r="W15" s="90">
        <f t="shared" ca="1" si="3"/>
        <v>1.8578204045590432E-2</v>
      </c>
      <c r="X15" s="90">
        <f t="shared" ca="1" si="3"/>
        <v>0.20321613201092451</v>
      </c>
    </row>
  </sheetData>
  <dataValidations count="5">
    <dataValidation type="list" allowBlank="1" showInputMessage="1" showErrorMessage="1" error="Deve-se selecionar grupo válido" sqref="A2:B2" xr:uid="{2671BC3D-1526-4C87-8067-324FE0CA2B61}">
      <formula1>AA1:AA7</formula1>
    </dataValidation>
    <dataValidation type="list" allowBlank="1" showInputMessage="1" showErrorMessage="1" error="Deve-se selecionar grupo válido" sqref="C2 E2" xr:uid="{F93A2235-D9B8-4242-B0DC-405897EED9A2}">
      <formula1>AC1:AC4</formula1>
    </dataValidation>
    <dataValidation type="list" allowBlank="1" showInputMessage="1" showErrorMessage="1" error="Deve-se selecionar grupo válido" sqref="D2" xr:uid="{1F016EC4-95BA-4DD3-B51C-B9F333958EB9}">
      <formula1>AD1:AD10</formula1>
    </dataValidation>
    <dataValidation type="list" allowBlank="1" showInputMessage="1" showErrorMessage="1" error="Deve-se selecionar grupo válido" sqref="F2" xr:uid="{08523FAB-1E86-4A98-B803-A10ED4B2705F}">
      <formula1>AF1:AF1</formula1>
    </dataValidation>
    <dataValidation type="list" allowBlank="1" showInputMessage="1" showErrorMessage="1" error="Deve-se selecionar grupo válido" sqref="G2" xr:uid="{09C7AC7C-244A-4CF9-B590-F3A5DD67484C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206A8-5CE9-4951-A048-80C1DDF7D44F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7" bestFit="1" customWidth="1"/>
    <col min="2" max="2" width="10.85546875" style="17" bestFit="1" customWidth="1"/>
    <col min="3" max="3" width="11.7109375" style="17" bestFit="1" customWidth="1"/>
    <col min="4" max="4" width="10.28515625" style="17" bestFit="1" customWidth="1"/>
    <col min="5" max="5" width="10.85546875" style="17" bestFit="1" customWidth="1"/>
    <col min="6" max="6" width="14.85546875" style="17" bestFit="1" customWidth="1"/>
    <col min="7" max="7" width="10.28515625" style="17" bestFit="1" customWidth="1"/>
    <col min="8" max="8" width="9.5703125" style="17" bestFit="1" customWidth="1"/>
    <col min="9" max="9" width="6.42578125" style="17" bestFit="1" customWidth="1"/>
    <col min="10" max="10" width="7.7109375" style="17" bestFit="1" customWidth="1"/>
    <col min="11" max="11" width="10.85546875" style="17" bestFit="1" customWidth="1"/>
    <col min="12" max="12" width="13.140625" style="17" bestFit="1" customWidth="1"/>
    <col min="13" max="26" width="9.140625" style="17"/>
    <col min="27" max="27" width="3" style="17" bestFit="1" customWidth="1"/>
    <col min="28" max="28" width="27.140625" style="17" bestFit="1" customWidth="1"/>
    <col min="29" max="29" width="13.5703125" style="17" bestFit="1" customWidth="1"/>
    <col min="30" max="30" width="25.140625" style="17" bestFit="1" customWidth="1"/>
    <col min="31" max="33" width="10.28515625" style="17" bestFit="1" customWidth="1"/>
    <col min="34" max="16384" width="9.140625" style="17"/>
  </cols>
  <sheetData>
    <row r="1" spans="1:33" x14ac:dyDescent="0.2">
      <c r="A1" s="17" t="s">
        <v>76</v>
      </c>
      <c r="B1" s="17" t="s">
        <v>77</v>
      </c>
      <c r="C1" s="17" t="s">
        <v>78</v>
      </c>
      <c r="D1" s="17" t="s">
        <v>79</v>
      </c>
      <c r="E1" s="17" t="s">
        <v>80</v>
      </c>
      <c r="F1" s="17" t="s">
        <v>15</v>
      </c>
      <c r="G1" s="17" t="s">
        <v>82</v>
      </c>
      <c r="I1" s="17" t="s">
        <v>1294</v>
      </c>
      <c r="AA1" s="17" t="s">
        <v>43</v>
      </c>
      <c r="AB1" s="17" t="s">
        <v>25</v>
      </c>
      <c r="AC1" s="17" t="s">
        <v>25</v>
      </c>
      <c r="AD1" s="17" t="s">
        <v>25</v>
      </c>
      <c r="AE1" s="17" t="s">
        <v>25</v>
      </c>
      <c r="AF1" s="17" t="s">
        <v>25</v>
      </c>
      <c r="AG1" s="17" t="s">
        <v>25</v>
      </c>
    </row>
    <row r="2" spans="1:33" x14ac:dyDescent="0.2">
      <c r="A2" s="17" t="s">
        <v>43</v>
      </c>
      <c r="B2" s="17" t="s">
        <v>25</v>
      </c>
      <c r="C2" s="17" t="s">
        <v>25</v>
      </c>
      <c r="D2" s="17" t="s">
        <v>25</v>
      </c>
      <c r="E2" s="17" t="s">
        <v>25</v>
      </c>
      <c r="F2" s="17" t="s">
        <v>25</v>
      </c>
      <c r="G2" s="17" t="s">
        <v>25</v>
      </c>
      <c r="I2" s="17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7" t="s">
        <v>35</v>
      </c>
      <c r="AB2" s="17" t="s">
        <v>85</v>
      </c>
      <c r="AC2" s="17" t="s">
        <v>24</v>
      </c>
      <c r="AD2" s="17" t="s">
        <v>24</v>
      </c>
      <c r="AG2" s="17" t="s">
        <v>87</v>
      </c>
    </row>
    <row r="3" spans="1:33" x14ac:dyDescent="0.2">
      <c r="AA3" s="17" t="s">
        <v>22</v>
      </c>
      <c r="AB3" s="17" t="s">
        <v>94</v>
      </c>
      <c r="AC3" s="17" t="s">
        <v>47</v>
      </c>
      <c r="AD3" s="17" t="s">
        <v>31</v>
      </c>
      <c r="AG3" s="17" t="s">
        <v>88</v>
      </c>
    </row>
    <row r="4" spans="1:33" x14ac:dyDescent="0.2">
      <c r="AA4" s="17" t="s">
        <v>46</v>
      </c>
      <c r="AB4" s="17" t="s">
        <v>99</v>
      </c>
      <c r="AC4" s="17" t="s">
        <v>50</v>
      </c>
      <c r="AD4" s="17" t="s">
        <v>32</v>
      </c>
      <c r="AG4" s="17" t="s">
        <v>92</v>
      </c>
    </row>
    <row r="5" spans="1:33" x14ac:dyDescent="0.2">
      <c r="A5" s="17" t="s">
        <v>1287</v>
      </c>
      <c r="B5" s="17" t="str">
        <f>TE!$W$4</f>
        <v>P&amp;D</v>
      </c>
      <c r="C5" s="17" t="str">
        <f>TE!$X$4</f>
        <v>ESS/ERR</v>
      </c>
      <c r="D5" s="17" t="str">
        <f>TE!$Y$4</f>
        <v>CFURH</v>
      </c>
      <c r="E5" s="17" t="str">
        <f>TE!$Z$4</f>
        <v>CDE Covid TE</v>
      </c>
      <c r="F5" s="17" t="str">
        <f>TE!$AA$4</f>
        <v>ENERGIA REVENDA</v>
      </c>
      <c r="G5" s="17" t="str">
        <f>TE!$AB$4</f>
        <v>ITAIPU</v>
      </c>
      <c r="H5" s="17" t="str">
        <f>TE!$AC$4</f>
        <v>TUST ITAIPU</v>
      </c>
      <c r="I5" s="17" t="str">
        <f>TE!$AD$4</f>
        <v>TUST CI</v>
      </c>
      <c r="J5" s="17" t="str">
        <f>TE!$AE$4</f>
        <v>SUBSIDIO</v>
      </c>
      <c r="K5" s="17" t="str">
        <f>TE!$AF$4</f>
        <v>PERDAS RB/C</v>
      </c>
      <c r="L5" s="17" t="s">
        <v>683</v>
      </c>
      <c r="AA5" s="17" t="s">
        <v>41</v>
      </c>
      <c r="AD5" s="17" t="s">
        <v>33</v>
      </c>
      <c r="AG5" s="17" t="s">
        <v>98</v>
      </c>
    </row>
    <row r="6" spans="1:33" x14ac:dyDescent="0.2">
      <c r="A6" s="17" t="s">
        <v>1288</v>
      </c>
      <c r="B6" s="61">
        <f>SUM(TE!$W$50:'TE'!$W$89)</f>
        <v>10389867.919721575</v>
      </c>
      <c r="C6" s="61">
        <f>SUM(TE!$X$50:'TE'!$X$89)</f>
        <v>34032339.580970921</v>
      </c>
      <c r="D6" s="61">
        <f>SUM(TE!$Y$50:'TE'!$Y$89)</f>
        <v>0</v>
      </c>
      <c r="E6" s="61">
        <f>SUM(TE!$Z$50:'TE'!$Z$89)</f>
        <v>-23789451.8046389</v>
      </c>
      <c r="F6" s="61">
        <f>SUM(TE!$AA$50:'TE'!$AA$89)</f>
        <v>984371171.77838337</v>
      </c>
      <c r="G6" s="61">
        <f>SUM(TE!$AB$50:'TE'!$AB$89)</f>
        <v>0</v>
      </c>
      <c r="H6" s="61">
        <f>SUM(TE!$AC$50:'TE'!$AC$89)</f>
        <v>0</v>
      </c>
      <c r="I6" s="61">
        <f>SUM(TE!$AD$50:'TE'!$AD$89)</f>
        <v>0</v>
      </c>
      <c r="J6" s="61">
        <f>SUM(TE!$AE$50:'TE'!$AE$89)</f>
        <v>0</v>
      </c>
      <c r="K6" s="61">
        <f>SUM(TE!$AF$50:'TE'!$AF$89)</f>
        <v>16642207.62818799</v>
      </c>
      <c r="L6" s="61">
        <f t="shared" ref="L6:L11" si="0">SUM(B6:K6)</f>
        <v>1021646135.102625</v>
      </c>
      <c r="AA6" s="17" t="s">
        <v>49</v>
      </c>
      <c r="AD6" s="17" t="s">
        <v>34</v>
      </c>
    </row>
    <row r="7" spans="1:33" x14ac:dyDescent="0.2">
      <c r="A7" s="17" t="s">
        <v>1289</v>
      </c>
      <c r="B7" s="61">
        <f>SUM(TE!$L$50:'TE'!$L$89)</f>
        <v>12188916.590873463</v>
      </c>
      <c r="C7" s="61">
        <f>SUM(TE!$M$50:'TE'!$M$89)</f>
        <v>110442487.53083248</v>
      </c>
      <c r="D7" s="61">
        <f>SUM(TE!$N$50:'TE'!$N$89)</f>
        <v>0</v>
      </c>
      <c r="E7" s="61">
        <f>SUM(TE!$O$50:'TE'!$O$89)</f>
        <v>48674200.500883646</v>
      </c>
      <c r="F7" s="61">
        <f>SUM(TE!$P$50:'TE'!$P$89)</f>
        <v>1060558035.1265349</v>
      </c>
      <c r="G7" s="61">
        <f>SUM(TE!$Q$50:'TE'!$Q$89)</f>
        <v>0</v>
      </c>
      <c r="H7" s="61">
        <f>SUM(TE!$R$50:'TE'!$R$89)</f>
        <v>0</v>
      </c>
      <c r="I7" s="61">
        <f>SUM(TE!$S$50:'TE'!$S$89)</f>
        <v>0</v>
      </c>
      <c r="J7" s="61">
        <f>SUM(TE!$T$50:'TE'!$T$89)</f>
        <v>0</v>
      </c>
      <c r="K7" s="61">
        <f>SUM(TE!$U$50:'TE'!$U$89)</f>
        <v>17537210.913329273</v>
      </c>
      <c r="L7" s="61">
        <f t="shared" si="0"/>
        <v>1249400850.6624539</v>
      </c>
      <c r="AD7" s="17" t="s">
        <v>101</v>
      </c>
    </row>
    <row r="8" spans="1:33" x14ac:dyDescent="0.2">
      <c r="A8" s="17" t="s">
        <v>1292</v>
      </c>
      <c r="B8" s="61">
        <f>IF($G$2&lt;&gt;"Não se aplica",SUMIF(TE!$G$50:'TE'!$G$89,$I$2,TE!$W$50:'TE'!$W$89),IF($F$2&lt;&gt;"Não se aplica",SUMIF(TE!$F$50:'TE'!$F$89,$I$2,TE!$W$50:'TE'!$W$89),IF($E$2&lt;&gt;"Não se aplica",SUMIF(TE!$E$50:'TE'!$E$89,$I$2,TE!$W$50:'TE'!$W$89),IF($D$2&lt;&gt;"Não se aplica",SUMIF(TE!$D$50:'TE'!$D$89,$I$2,TE!$W$50:'TE'!$W$89),IF($C$2&lt;&gt;"Não se aplica",SUMIF(TE!$C$50:'TE'!$C$89,$I$2,TE!$W$50:'TE'!$W$89),IF($B$2&lt;&gt;"Não se aplica",SUMIF(TE!$B$50:'TE'!$B$89,$I$2,TE!$W$50:'TE'!$W$89),SUMIF(TE!$A$50:'TE'!$A$89,$I$2,TE!$W$50:'TE'!$W$89)))))))</f>
        <v>144117.80871463628</v>
      </c>
      <c r="C8" s="61">
        <f>IF($G$2&lt;&gt;"Não se aplica",SUMIF(TE!$G$50:'TE'!$G$89,$I$2,TE!$X$50:'TE'!$X$89),IF($F$2&lt;&gt;"Não se aplica",SUMIF(TE!$F$50:'TE'!$F$89,$I$2,TE!$X$50:'TE'!$X$89),IF($E$2&lt;&gt;"Não se aplica",SUMIF(TE!$E$50:'TE'!$E$89,$I$2,TE!$X$50:'TE'!$X$89),IF($D$2&lt;&gt;"Não se aplica",SUMIF(TE!$D$50:'TE'!$D$89,$I$2,TE!$X$50:'TE'!$X$89),IF($C$2&lt;&gt;"Não se aplica",SUMIF(TE!$C$50:'TE'!$C$89,$I$2,TE!$X$50:'TE'!$X$89),IF($B$2&lt;&gt;"Não se aplica",SUMIF(TE!$B$50:'TE'!$B$89,$I$2,TE!$X$50:'TE'!$X$89),SUMIF(TE!$A$50:'TE'!$A$89,$I$2,TE!$X$50:'TE'!$X$89)))))))</f>
        <v>472062.42117208225</v>
      </c>
      <c r="D8" s="61">
        <f>IF($G$2&lt;&gt;"Não se aplica",SUMIF(TE!$G$50:'TE'!$G$89,$I$2,TE!$Y$50:'TE'!$Y$89),IF($F$2&lt;&gt;"Não se aplica",SUMIF(TE!$F$50:'TE'!$F$89,$I$2,TE!$Y$50:'TE'!$Y$89),IF($E$2&lt;&gt;"Não se aplica",SUMIF(TE!$E$50:'TE'!$E$89,$I$2,TE!$Y$50:'TE'!$Y$89),IF($D$2&lt;&gt;"Não se aplica",SUMIF(TE!$D$50:'TE'!$D$89,$I$2,TE!$Y$50:'TE'!$Y$89),IF($C$2&lt;&gt;"Não se aplica",SUMIF(TE!$C$50:'TE'!$C$89,$I$2,TE!$Y$50:'TE'!$Y$89),IF($B$2&lt;&gt;"Não se aplica",SUMIF(TE!$B$50:'TE'!$B$89,$I$2,TE!$Y$50:'TE'!$Y$89),SUMIF(TE!$A$50:'TE'!$A$89,$I$2,TE!$Y$50:'TE'!$Y$89)))))))</f>
        <v>0</v>
      </c>
      <c r="E8" s="61">
        <f>IF($G$2&lt;&gt;"Não se aplica",SUMIF(TE!$G$50:'TE'!$G$89,$I$2,TE!$Z$50:'TE'!$Z$89),IF($F$2&lt;&gt;"Não se aplica",SUMIF(TE!$F$50:'TE'!$F$89,$I$2,TE!$Z$50:'TE'!$Z$89),IF($E$2&lt;&gt;"Não se aplica",SUMIF(TE!$E$50:'TE'!$E$89,$I$2,TE!$Z$50:'TE'!$Z$89),IF($D$2&lt;&gt;"Não se aplica",SUMIF(TE!$D$50:'TE'!$D$89,$I$2,TE!$Z$50:'TE'!$Z$89),IF($C$2&lt;&gt;"Não se aplica",SUMIF(TE!$C$50:'TE'!$C$89,$I$2,TE!$Z$50:'TE'!$Z$89),IF($B$2&lt;&gt;"Não se aplica",SUMIF(TE!$B$50:'TE'!$B$89,$I$2,TE!$Z$50:'TE'!$Z$89),SUMIF(TE!$A$50:'TE'!$A$89,$I$2,TE!$Z$50:'TE'!$Z$89)))))))</f>
        <v>-329983.37333039794</v>
      </c>
      <c r="F8" s="61">
        <f>IF($G$2&lt;&gt;"Não se aplica",SUMIF(TE!$G$50:'TE'!$G$89,$I$2,TE!$AA$50:'TE'!$AA$89),IF($F$2&lt;&gt;"Não se aplica",SUMIF(TE!$F$50:'TE'!$F$89,$I$2,TE!$AA$50:'TE'!$AA$89),IF($E$2&lt;&gt;"Não se aplica",SUMIF(TE!$E$50:'TE'!$E$89,$I$2,TE!$AA$50:'TE'!$AA$89),IF($D$2&lt;&gt;"Não se aplica",SUMIF(TE!$D$50:'TE'!$D$89,$I$2,TE!$AA$50:'TE'!$AA$89),IF($C$2&lt;&gt;"Não se aplica",SUMIF(TE!$C$50:'TE'!$C$89,$I$2,TE!$AA$50:'TE'!$AA$89),IF($B$2&lt;&gt;"Não se aplica",SUMIF(TE!$B$50:'TE'!$B$89,$I$2,TE!$AA$50:'TE'!$AA$89),SUMIF(TE!$A$50:'TE'!$A$89,$I$2,TE!$AA$50:'TE'!$AA$89)))))))</f>
        <v>13703054.241134541</v>
      </c>
      <c r="G8" s="61">
        <f>IF($G$2&lt;&gt;"Não se aplica",SUMIF(TE!$G$50:'TE'!$G$89,$I$2,TE!$AB$50:'TE'!$AB$89),IF($F$2&lt;&gt;"Não se aplica",SUMIF(TE!$F$50:'TE'!$F$89,$I$2,TE!$AB$50:'TE'!$AB$89),IF($E$2&lt;&gt;"Não se aplica",SUMIF(TE!$E$50:'TE'!$E$89,$I$2,TE!$AB$50:'TE'!$AB$89),IF($D$2&lt;&gt;"Não se aplica",SUMIF(TE!$D$50:'TE'!$D$89,$I$2,TE!$AB$50:'TE'!$AB$89),IF($C$2&lt;&gt;"Não se aplica",SUMIF(TE!$C$50:'TE'!$C$89,$I$2,TE!$AB$50:'TE'!$AB$89),IF($B$2&lt;&gt;"Não se aplica",SUMIF(TE!$B$50:'TE'!$B$89,$I$2,TE!$AB$50:'TE'!$AB$89),SUMIF(TE!$A$50:'TE'!$A$89,$I$2,TE!$AB$50:'TE'!$AB$89)))))))</f>
        <v>0</v>
      </c>
      <c r="H8" s="61">
        <f>IF($G$2&lt;&gt;"Não se aplica",SUMIF(TE!$G$50:'TE'!$G$89,$I$2,TE!$AC$50:'TE'!$AC$89),IF($F$2&lt;&gt;"Não se aplica",SUMIF(TE!$F$50:'TE'!$F$89,$I$2,TE!$AC$50:'TE'!$AC$89),IF($E$2&lt;&gt;"Não se aplica",SUMIF(TE!$E$50:'TE'!$E$89,$I$2,TE!$AC$50:'TE'!$AC$89),IF($D$2&lt;&gt;"Não se aplica",SUMIF(TE!$D$50:'TE'!$D$89,$I$2,TE!$AC$50:'TE'!$AC$89),IF($C$2&lt;&gt;"Não se aplica",SUMIF(TE!$C$50:'TE'!$C$89,$I$2,TE!$AC$50:'TE'!$AC$89),IF($B$2&lt;&gt;"Não se aplica",SUMIF(TE!$B$50:'TE'!$B$89,$I$2,TE!$AC$50:'TE'!$AC$89),SUMIF(TE!$A$50:'TE'!$A$89,$I$2,TE!$AC$50:'TE'!$AC$89)))))))</f>
        <v>0</v>
      </c>
      <c r="I8" s="61">
        <f>IF($G$2&lt;&gt;"Não se aplica",SUMIF(TE!$G$50:'TE'!$G$89,$I$2,TE!$AD$50:'TE'!$AD$89),IF($F$2&lt;&gt;"Não se aplica",SUMIF(TE!$F$50:'TE'!$F$89,$I$2,TE!$AD$50:'TE'!$AD$89),IF($E$2&lt;&gt;"Não se aplica",SUMIF(TE!$E$50:'TE'!$E$89,$I$2,TE!$AD$50:'TE'!$AD$89),IF($D$2&lt;&gt;"Não se aplica",SUMIF(TE!$D$50:'TE'!$D$89,$I$2,TE!$AD$50:'TE'!$AD$89),IF($C$2&lt;&gt;"Não se aplica",SUMIF(TE!$C$50:'TE'!$C$89,$I$2,TE!$AD$50:'TE'!$AD$89),IF($B$2&lt;&gt;"Não se aplica",SUMIF(TE!$B$50:'TE'!$B$89,$I$2,TE!$AD$50:'TE'!$AD$89),SUMIF(TE!$A$50:'TE'!$A$89,$I$2,TE!$AD$50:'TE'!$AD$89)))))))</f>
        <v>0</v>
      </c>
      <c r="J8" s="61">
        <f>IF($G$2&lt;&gt;"Não se aplica",SUMIF(TE!$G$50:'TE'!$G$89,$I$2,TE!$AE$50:'TE'!$AE$89),IF($F$2&lt;&gt;"Não se aplica",SUMIF(TE!$F$50:'TE'!$F$89,$I$2,TE!$AE$50:'TE'!$AE$89),IF($E$2&lt;&gt;"Não se aplica",SUMIF(TE!$E$50:'TE'!$E$89,$I$2,TE!$AE$50:'TE'!$AE$89),IF($D$2&lt;&gt;"Não se aplica",SUMIF(TE!$D$50:'TE'!$D$89,$I$2,TE!$AE$50:'TE'!$AE$89),IF($C$2&lt;&gt;"Não se aplica",SUMIF(TE!$C$50:'TE'!$C$89,$I$2,TE!$AE$50:'TE'!$AE$89),IF($B$2&lt;&gt;"Não se aplica",SUMIF(TE!$B$50:'TE'!$B$89,$I$2,TE!$AE$50:'TE'!$AE$89),SUMIF(TE!$A$50:'TE'!$A$89,$I$2,TE!$AE$50:'TE'!$AE$89)))))))</f>
        <v>0</v>
      </c>
      <c r="K8" s="61">
        <f>IF($G$2&lt;&gt;"Não se aplica",SUMIF(TE!$G$50:'TE'!$G$89,$I$2,TE!$AF$50:'TE'!$AF$89),IF($F$2&lt;&gt;"Não se aplica",SUMIF(TE!$F$50:'TE'!$F$89,$I$2,TE!$AF$50:'TE'!$AF$89),IF($E$2&lt;&gt;"Não se aplica",SUMIF(TE!$E$50:'TE'!$E$89,$I$2,TE!$AF$50:'TE'!$AF$89),IF($D$2&lt;&gt;"Não se aplica",SUMIF(TE!$D$50:'TE'!$D$89,$I$2,TE!$AF$50:'TE'!$AF$89),IF($C$2&lt;&gt;"Não se aplica",SUMIF(TE!$C$50:'TE'!$C$89,$I$2,TE!$AF$50:'TE'!$AF$89),IF($B$2&lt;&gt;"Não se aplica",SUMIF(TE!$B$50:'TE'!$B$89,$I$2,TE!$AF$50:'TE'!$AF$89),SUMIF(TE!$A$50:'TE'!$A$89,$I$2,TE!$AF$50:'TE'!$AF$89)))))))</f>
        <v>230843.98320366043</v>
      </c>
      <c r="L8" s="61">
        <f t="shared" si="0"/>
        <v>14220095.080894522</v>
      </c>
      <c r="AD8" s="17" t="s">
        <v>55</v>
      </c>
    </row>
    <row r="9" spans="1:33" x14ac:dyDescent="0.2">
      <c r="A9" s="17" t="s">
        <v>1293</v>
      </c>
      <c r="B9" s="61">
        <f>IF($G$2&lt;&gt;"Não se aplica",SUMIF(TE!$G$50:'TE'!$G$89,$I$2,TE!$L$50:'TE'!$L$89),IF($F$2&lt;&gt;"Não se aplica",SUMIF(TE!$F$50:'TE'!$F$89,$I$2,TE!$L$50:'TE'!$L$89),IF($E$2&lt;&gt;"Não se aplica",SUMIF(TE!$E$50:'TE'!$E$89,$I$2,TE!$L$50:'TE'!$L$89),IF($D$2&lt;&gt;"Não se aplica",SUMIF(TE!$D$50:'TE'!$D$89,$I$2,TE!$L$50:'TE'!$L$89),IF($C$2&lt;&gt;"Não se aplica",SUMIF(TE!$C$50:'TE'!$C$89,$I$2,TE!$L$50:'TE'!$L$89),IF($B$2&lt;&gt;"Não se aplica",SUMIF(TE!$B$50:'TE'!$B$89,$I$2,TE!$L$50:'TE'!$L$89),SUMIF(TE!$A$50:'TE'!$A$89,$I$2,TE!$L$50:'TE'!$L$89)))))))</f>
        <v>168917.12764868679</v>
      </c>
      <c r="C9" s="61">
        <f>IF($G$2&lt;&gt;"Não se aplica",SUMIF(TE!$G$50:'TE'!$G$89,$I$2,TE!$M$50:'TE'!$M$89),IF($F$2&lt;&gt;"Não se aplica",SUMIF(TE!$F$50:'TE'!$F$89,$I$2,TE!$M$50:'TE'!$M$89),IF($E$2&lt;&gt;"Não se aplica",SUMIF(TE!$E$50:'TE'!$E$89,$I$2,TE!$M$50:'TE'!$M$89),IF($D$2&lt;&gt;"Não se aplica",SUMIF(TE!$D$50:'TE'!$D$89,$I$2,TE!$M$50:'TE'!$M$89),IF($C$2&lt;&gt;"Não se aplica",SUMIF(TE!$C$50:'TE'!$C$89,$I$2,TE!$M$50:'TE'!$M$89),IF($B$2&lt;&gt;"Não se aplica",SUMIF(TE!$B$50:'TE'!$B$89,$I$2,TE!$M$50:'TE'!$M$89),SUMIF(TE!$A$50:'TE'!$A$89,$I$2,TE!$M$50:'TE'!$M$89)))))))</f>
        <v>1530540.2760777485</v>
      </c>
      <c r="D9" s="61">
        <f>IF($G$2&lt;&gt;"Não se aplica",SUMIF(TE!$G$50:'TE'!$G$89,$I$2,TE!$N$50:'TE'!$N$89),IF($F$2&lt;&gt;"Não se aplica",SUMIF(TE!$F$50:'TE'!$F$89,$I$2,TE!$N$50:'TE'!$N$89),IF($E$2&lt;&gt;"Não se aplica",SUMIF(TE!$E$50:'TE'!$E$89,$I$2,TE!$N$50:'TE'!$N$89),IF($D$2&lt;&gt;"Não se aplica",SUMIF(TE!$D$50:'TE'!$D$89,$I$2,TE!$N$50:'TE'!$N$89),IF($C$2&lt;&gt;"Não se aplica",SUMIF(TE!$C$50:'TE'!$C$89,$I$2,TE!$N$50:'TE'!$N$89),IF($B$2&lt;&gt;"Não se aplica",SUMIF(TE!$B$50:'TE'!$B$89,$I$2,TE!$N$50:'TE'!$N$89),SUMIF(TE!$A$50:'TE'!$A$89,$I$2,TE!$N$50:'TE'!$N$89)))))))</f>
        <v>0</v>
      </c>
      <c r="E9" s="61">
        <f>IF($G$2&lt;&gt;"Não se aplica",SUMIF(TE!$G$50:'TE'!$G$89,$I$2,TE!$O$50:'TE'!$O$89),IF($F$2&lt;&gt;"Não se aplica",SUMIF(TE!$F$50:'TE'!$F$89,$I$2,TE!$O$50:'TE'!$O$89),IF($E$2&lt;&gt;"Não se aplica",SUMIF(TE!$E$50:'TE'!$E$89,$I$2,TE!$O$50:'TE'!$O$89),IF($D$2&lt;&gt;"Não se aplica",SUMIF(TE!$D$50:'TE'!$D$89,$I$2,TE!$O$50:'TE'!$O$89),IF($C$2&lt;&gt;"Não se aplica",SUMIF(TE!$C$50:'TE'!$C$89,$I$2,TE!$O$50:'TE'!$O$89),IF($B$2&lt;&gt;"Não se aplica",SUMIF(TE!$B$50:'TE'!$B$89,$I$2,TE!$O$50:'TE'!$O$89),SUMIF(TE!$A$50:'TE'!$A$89,$I$2,TE!$O$50:'TE'!$O$89)))))))</f>
        <v>674539.53580761596</v>
      </c>
      <c r="F9" s="61">
        <f>IF($G$2&lt;&gt;"Não se aplica",SUMIF(TE!$G$50:'TE'!$G$89,$I$2,TE!$P$50:'TE'!$P$89),IF($F$2&lt;&gt;"Não se aplica",SUMIF(TE!$F$50:'TE'!$F$89,$I$2,TE!$P$50:'TE'!$P$89),IF($E$2&lt;&gt;"Não se aplica",SUMIF(TE!$E$50:'TE'!$E$89,$I$2,TE!$P$50:'TE'!$P$89),IF($D$2&lt;&gt;"Não se aplica",SUMIF(TE!$D$50:'TE'!$D$89,$I$2,TE!$P$50:'TE'!$P$89),IF($C$2&lt;&gt;"Não se aplica",SUMIF(TE!$C$50:'TE'!$C$89,$I$2,TE!$P$50:'TE'!$P$89),IF($B$2&lt;&gt;"Não se aplica",SUMIF(TE!$B$50:'TE'!$B$89,$I$2,TE!$P$50:'TE'!$P$89),SUMIF(TE!$A$50:'TE'!$A$89,$I$2,TE!$P$50:'TE'!$P$89)))))))</f>
        <v>14750036.832894458</v>
      </c>
      <c r="G9" s="61">
        <f>IF($G$2&lt;&gt;"Não se aplica",SUMIF(TE!$G$50:'TE'!$G$89,$I$2,TE!$Q$50:'TE'!$Q$89),IF($F$2&lt;&gt;"Não se aplica",SUMIF(TE!$F$50:'TE'!$F$89,$I$2,TE!$Q$50:'TE'!$Q$89),IF($E$2&lt;&gt;"Não se aplica",SUMIF(TE!$E$50:'TE'!$E$89,$I$2,TE!$Q$50:'TE'!$Q$89),IF($D$2&lt;&gt;"Não se aplica",SUMIF(TE!$D$50:'TE'!$D$89,$I$2,TE!$Q$50:'TE'!$Q$89),IF($C$2&lt;&gt;"Não se aplica",SUMIF(TE!$C$50:'TE'!$C$89,$I$2,TE!$Q$50:'TE'!$Q$89),IF($B$2&lt;&gt;"Não se aplica",SUMIF(TE!$B$50:'TE'!$B$89,$I$2,TE!$Q$50:'TE'!$Q$89),SUMIF(TE!$A$50:'TE'!$A$89,$I$2,TE!$Q$50:'TE'!$Q$89)))))))</f>
        <v>0</v>
      </c>
      <c r="H9" s="61">
        <f>IF($G$2&lt;&gt;"Não se aplica",SUMIF(TE!$G$50:'TE'!$G$89,$I$2,TE!$R$50:'TE'!$R$89),IF($F$2&lt;&gt;"Não se aplica",SUMIF(TE!$F$50:'TE'!$F$89,$I$2,TE!$R$50:'TE'!$R$89),IF($E$2&lt;&gt;"Não se aplica",SUMIF(TE!$E$50:'TE'!$E$89,$I$2,TE!$R$50:'TE'!$R$89),IF($D$2&lt;&gt;"Não se aplica",SUMIF(TE!$D$50:'TE'!$D$89,$I$2,TE!$R$50:'TE'!$R$89),IF($C$2&lt;&gt;"Não se aplica",SUMIF(TE!$C$50:'TE'!$C$89,$I$2,TE!$R$50:'TE'!$R$89),IF($B$2&lt;&gt;"Não se aplica",SUMIF(TE!$B$50:'TE'!$B$89,$I$2,TE!$R$50:'TE'!$R$89),SUMIF(TE!$A$50:'TE'!$A$89,$I$2,TE!$R$50:'TE'!$R$89)))))))</f>
        <v>0</v>
      </c>
      <c r="I9" s="61">
        <f>IF($G$2&lt;&gt;"Não se aplica",SUMIF(TE!$G$50:'TE'!$G$89,$I$2,TE!$S$50:'TE'!$S$89),IF($F$2&lt;&gt;"Não se aplica",SUMIF(TE!$F$50:'TE'!$F$89,$I$2,TE!$S$50:'TE'!$S$89),IF($E$2&lt;&gt;"Não se aplica",SUMIF(TE!$E$50:'TE'!$E$89,$I$2,TE!$S$50:'TE'!$S$89),IF($D$2&lt;&gt;"Não se aplica",SUMIF(TE!$D$50:'TE'!$D$89,$I$2,TE!$S$50:'TE'!$S$89),IF($C$2&lt;&gt;"Não se aplica",SUMIF(TE!$C$50:'TE'!$C$89,$I$2,TE!$S$50:'TE'!$S$89),IF($B$2&lt;&gt;"Não se aplica",SUMIF(TE!$B$50:'TE'!$B$89,$I$2,TE!$S$50:'TE'!$S$89),SUMIF(TE!$A$50:'TE'!$A$89,$I$2,TE!$S$50:'TE'!$S$89)))))))</f>
        <v>0</v>
      </c>
      <c r="J9" s="61">
        <f>IF($G$2&lt;&gt;"Não se aplica",SUMIF(TE!$G$50:'TE'!$G$89,$I$2,TE!$T$50:'TE'!$T$89),IF($F$2&lt;&gt;"Não se aplica",SUMIF(TE!$F$50:'TE'!$F$89,$I$2,TE!$T$50:'TE'!$T$89),IF($E$2&lt;&gt;"Não se aplica",SUMIF(TE!$E$50:'TE'!$E$89,$I$2,TE!$T$50:'TE'!$T$89),IF($D$2&lt;&gt;"Não se aplica",SUMIF(TE!$D$50:'TE'!$D$89,$I$2,TE!$T$50:'TE'!$T$89),IF($C$2&lt;&gt;"Não se aplica",SUMIF(TE!$C$50:'TE'!$C$89,$I$2,TE!$T$50:'TE'!$T$89),IF($B$2&lt;&gt;"Não se aplica",SUMIF(TE!$B$50:'TE'!$B$89,$I$2,TE!$T$50:'TE'!$T$89),SUMIF(TE!$A$50:'TE'!$A$89,$I$2,TE!$T$50:'TE'!$T$89)))))))</f>
        <v>0</v>
      </c>
      <c r="K9" s="61">
        <f>IF($G$2&lt;&gt;"Não se aplica",SUMIF(TE!$G$50:'TE'!$G$89,$I$2,TE!$U$50:'TE'!$U$89),IF($F$2&lt;&gt;"Não se aplica",SUMIF(TE!$F$50:'TE'!$F$89,$I$2,TE!$U$50:'TE'!$U$89),IF($E$2&lt;&gt;"Não se aplica",SUMIF(TE!$E$50:'TE'!$E$89,$I$2,TE!$U$50:'TE'!$U$89),IF($D$2&lt;&gt;"Não se aplica",SUMIF(TE!$D$50:'TE'!$D$89,$I$2,TE!$U$50:'TE'!$U$89),IF($C$2&lt;&gt;"Não se aplica",SUMIF(TE!$C$50:'TE'!$C$89,$I$2,TE!$U$50:'TE'!$U$89),IF($B$2&lt;&gt;"Não se aplica",SUMIF(TE!$B$50:'TE'!$B$89,$I$2,TE!$U$50:'TE'!$U$89),SUMIF(TE!$A$50:'TE'!$A$89,$I$2,TE!$U$50:'TE'!$U$89)))))))</f>
        <v>243035.16004587745</v>
      </c>
      <c r="L9" s="61">
        <f t="shared" si="0"/>
        <v>17367068.932474386</v>
      </c>
      <c r="AD9" s="17" t="s">
        <v>51</v>
      </c>
    </row>
    <row r="10" spans="1:33" x14ac:dyDescent="0.2">
      <c r="A10" s="17" t="s">
        <v>1290</v>
      </c>
      <c r="B10" s="61">
        <f>SUMIF(TE!$A$50:'TE'!$A$89,$A$2,TE!$W$50:'TE'!$W$89)</f>
        <v>144117.80871463628</v>
      </c>
      <c r="C10" s="61">
        <f>SUMIF(TE!$A$50:'TE'!$A$89,$A$2,TE!$X$50:'TE'!$X$89)</f>
        <v>472062.42117208225</v>
      </c>
      <c r="D10" s="61">
        <f>SUMIF(TE!$A$50:'TE'!$A$89,$A$2,TE!$Y$50:'TE'!$Y$89)</f>
        <v>0</v>
      </c>
      <c r="E10" s="61">
        <f>SUMIF(TE!$A$50:'TE'!$A$89,$A$2,TE!$Z$50:'TE'!$Z$89)</f>
        <v>-329983.37333039794</v>
      </c>
      <c r="F10" s="61">
        <f>SUMIF(TE!$A$50:'TE'!$A$89,$A$2,TE!$AA$50:'TE'!$AA$89)</f>
        <v>13703054.241134541</v>
      </c>
      <c r="G10" s="61">
        <f>SUMIF(TE!$A$50:'TE'!$A$89,$A$2,TE!$AB$50:'TE'!$AB$89)</f>
        <v>0</v>
      </c>
      <c r="H10" s="61">
        <f>SUMIF(TE!$A$50:'TE'!$A$89,$A$2,TE!$AC$50:'TE'!$AC$89)</f>
        <v>0</v>
      </c>
      <c r="I10" s="61">
        <f>SUMIF(TE!$A$50:'TE'!$A$89,$A$2,TE!$AD$50:'TE'!$AD$89)</f>
        <v>0</v>
      </c>
      <c r="J10" s="61">
        <f>SUMIF(TE!$A$50:'TE'!$A$89,$A$2,TE!$AE$50:'TE'!$AE$89)</f>
        <v>0</v>
      </c>
      <c r="K10" s="61">
        <f>SUMIF(TE!$A$50:'TE'!$A$89,$A$2,TE!$AF$50:'TE'!$AF$89)</f>
        <v>230843.98320366043</v>
      </c>
      <c r="L10" s="61">
        <f t="shared" si="0"/>
        <v>14220095.080894522</v>
      </c>
      <c r="AD10" s="17" t="s">
        <v>102</v>
      </c>
    </row>
    <row r="11" spans="1:33" x14ac:dyDescent="0.2">
      <c r="A11" s="17" t="s">
        <v>1291</v>
      </c>
      <c r="B11" s="61">
        <f>SUMIF(TE!$A$50:'TE'!$A$89,$A$2,TE!$L$50:'TE'!$L$89)</f>
        <v>168917.12764868679</v>
      </c>
      <c r="C11" s="61">
        <f>SUMIF(TE!$A$50:'TE'!$A$89,$A$2,TE!$M$50:'TE'!$M$89)</f>
        <v>1530540.2760777485</v>
      </c>
      <c r="D11" s="61">
        <f>SUMIF(TE!$A$50:'TE'!$A$89,$A$2,TE!$N$50:'TE'!$N$89)</f>
        <v>0</v>
      </c>
      <c r="E11" s="61">
        <f>SUMIF(TE!$A$50:'TE'!$A$89,$A$2,TE!$O$50:'TE'!$O$89)</f>
        <v>674539.53580761596</v>
      </c>
      <c r="F11" s="61">
        <f>SUMIF(TE!$A$50:'TE'!$A$89,$A$2,TE!$P$50:'TE'!$P$89)</f>
        <v>14750036.832894458</v>
      </c>
      <c r="G11" s="61">
        <f>SUMIF(TE!$A$50:'TE'!$A$89,$A$2,TE!$Q$50:'TE'!$Q$89)</f>
        <v>0</v>
      </c>
      <c r="H11" s="61">
        <f>SUMIF(TE!$A$50:'TE'!$A$89,$A$2,TE!$R$50:'TE'!$R$89)</f>
        <v>0</v>
      </c>
      <c r="I11" s="61">
        <f>SUMIF(TE!$A$50:'TE'!$A$89,$A$2,TE!$S$50:'TE'!$S$89)</f>
        <v>0</v>
      </c>
      <c r="J11" s="61">
        <f>SUMIF(TE!$A$50:'TE'!$A$89,$A$2,TE!$T$50:'TE'!$T$89)</f>
        <v>0</v>
      </c>
      <c r="K11" s="61">
        <f>SUMIF(TE!$A$50:'TE'!$A$89,$A$2,TE!$U$50:'TE'!$U$89)</f>
        <v>243035.16004587745</v>
      </c>
      <c r="L11" s="61">
        <f t="shared" si="0"/>
        <v>17367068.932474386</v>
      </c>
    </row>
    <row r="13" spans="1:33" x14ac:dyDescent="0.2">
      <c r="A13" s="17" t="s">
        <v>1295</v>
      </c>
      <c r="B13" s="90">
        <f t="shared" ref="B13:L13" si="1">IF($L$6&lt;&gt;0,(B$7-B$6)/$L$6,0)</f>
        <v>1.7609313140221218E-3</v>
      </c>
      <c r="C13" s="90">
        <f t="shared" si="1"/>
        <v>7.4791207370628485E-2</v>
      </c>
      <c r="D13" s="90">
        <f t="shared" si="1"/>
        <v>0</v>
      </c>
      <c r="E13" s="90">
        <f t="shared" si="1"/>
        <v>7.0928328132170274E-2</v>
      </c>
      <c r="F13" s="90">
        <f t="shared" si="1"/>
        <v>7.4572653613081546E-2</v>
      </c>
      <c r="G13" s="90">
        <f t="shared" si="1"/>
        <v>0</v>
      </c>
      <c r="H13" s="90">
        <f t="shared" si="1"/>
        <v>0</v>
      </c>
      <c r="I13" s="90">
        <f t="shared" si="1"/>
        <v>0</v>
      </c>
      <c r="J13" s="90">
        <f t="shared" si="1"/>
        <v>0</v>
      </c>
      <c r="K13" s="90">
        <f t="shared" si="1"/>
        <v>8.7604039636618404E-4</v>
      </c>
      <c r="L13" s="90">
        <f t="shared" si="1"/>
        <v>0.22292916082626865</v>
      </c>
    </row>
    <row r="14" spans="1:33" x14ac:dyDescent="0.2">
      <c r="A14" s="17" t="s">
        <v>1296</v>
      </c>
      <c r="B14" s="90">
        <f t="shared" ref="B14:L14" si="2">IF($L$10&lt;&gt;0,(B$9-B$8)/$L$10,0)</f>
        <v>1.7439629477140242E-3</v>
      </c>
      <c r="C14" s="90">
        <f t="shared" si="2"/>
        <v>7.4435357069291982E-2</v>
      </c>
      <c r="D14" s="90">
        <f t="shared" si="2"/>
        <v>0</v>
      </c>
      <c r="E14" s="90">
        <f t="shared" si="2"/>
        <v>7.0641082455745699E-2</v>
      </c>
      <c r="F14" s="90">
        <f t="shared" si="2"/>
        <v>7.3626975474066617E-2</v>
      </c>
      <c r="G14" s="90">
        <f t="shared" si="2"/>
        <v>0</v>
      </c>
      <c r="H14" s="90">
        <f t="shared" si="2"/>
        <v>0</v>
      </c>
      <c r="I14" s="90">
        <f t="shared" si="2"/>
        <v>0</v>
      </c>
      <c r="J14" s="90">
        <f t="shared" si="2"/>
        <v>0</v>
      </c>
      <c r="K14" s="90">
        <f t="shared" si="2"/>
        <v>8.5732034651417538E-4</v>
      </c>
      <c r="L14" s="90">
        <f t="shared" si="2"/>
        <v>0.22130469829333249</v>
      </c>
    </row>
    <row r="15" spans="1:33" x14ac:dyDescent="0.2">
      <c r="A15" s="17" t="s">
        <v>1297</v>
      </c>
      <c r="B15" s="90">
        <f t="shared" ref="B15:L15" si="3">IF($L$8&lt;&gt;0,(B$9-B$8)/$L$8,0)</f>
        <v>1.7439629477140242E-3</v>
      </c>
      <c r="C15" s="90">
        <f t="shared" si="3"/>
        <v>7.4435357069291982E-2</v>
      </c>
      <c r="D15" s="90">
        <f t="shared" si="3"/>
        <v>0</v>
      </c>
      <c r="E15" s="90">
        <f t="shared" si="3"/>
        <v>7.0641082455745699E-2</v>
      </c>
      <c r="F15" s="90">
        <f t="shared" si="3"/>
        <v>7.3626975474066617E-2</v>
      </c>
      <c r="G15" s="90">
        <f t="shared" si="3"/>
        <v>0</v>
      </c>
      <c r="H15" s="90">
        <f t="shared" si="3"/>
        <v>0</v>
      </c>
      <c r="I15" s="90">
        <f t="shared" si="3"/>
        <v>0</v>
      </c>
      <c r="J15" s="90">
        <f t="shared" si="3"/>
        <v>0</v>
      </c>
      <c r="K15" s="90">
        <f t="shared" si="3"/>
        <v>8.5732034651417538E-4</v>
      </c>
      <c r="L15" s="90">
        <f t="shared" si="3"/>
        <v>0.22130469829333249</v>
      </c>
    </row>
  </sheetData>
  <dataValidations count="5">
    <dataValidation type="list" allowBlank="1" showInputMessage="1" showErrorMessage="1" sqref="A2" xr:uid="{3A6C29FA-79E5-4BCD-8160-F88FEDAC1A05}">
      <formula1>AA1:AA6</formula1>
    </dataValidation>
    <dataValidation type="list" allowBlank="1" showInputMessage="1" showErrorMessage="1" sqref="B2 C2" xr:uid="{45499112-7F9D-48B5-938D-95DBBFABEC2E}">
      <formula1>AB1:AB4</formula1>
    </dataValidation>
    <dataValidation type="list" allowBlank="1" showInputMessage="1" showErrorMessage="1" sqref="D2" xr:uid="{DB6F78C8-E4A1-4F06-BF13-52AA6A99EDCC}">
      <formula1>AD1:AD10</formula1>
    </dataValidation>
    <dataValidation type="list" allowBlank="1" showInputMessage="1" showErrorMessage="1" sqref="E2 F2" xr:uid="{9B0114E1-D2D9-4E30-AEE2-9AA6D63D3666}">
      <formula1>AE1:AE1</formula1>
    </dataValidation>
    <dataValidation type="list" allowBlank="1" showInputMessage="1" showErrorMessage="1" sqref="G2" xr:uid="{978047F4-913E-470F-AC66-90BF31BCCD5B}">
      <formula1>AG1:AG5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47BBD-EE1D-41F4-9208-57DEBDED5C61}">
  <dimension ref="B1:U18"/>
  <sheetViews>
    <sheetView showGridLines="0" topLeftCell="K1" workbookViewId="0">
      <selection activeCell="U1" sqref="U1"/>
    </sheetView>
  </sheetViews>
  <sheetFormatPr defaultRowHeight="15" x14ac:dyDescent="0.25"/>
  <sheetData>
    <row r="1" spans="2:21" x14ac:dyDescent="0.25">
      <c r="B1" s="73" t="s">
        <v>880</v>
      </c>
      <c r="C1" s="73" t="s">
        <v>881</v>
      </c>
      <c r="D1" s="73" t="s">
        <v>882</v>
      </c>
      <c r="E1" s="73" t="s">
        <v>2</v>
      </c>
      <c r="F1" s="73" t="s">
        <v>883</v>
      </c>
      <c r="G1" s="73" t="s">
        <v>787</v>
      </c>
      <c r="H1" s="73" t="s">
        <v>3</v>
      </c>
      <c r="I1" s="73" t="s">
        <v>884</v>
      </c>
      <c r="J1" s="73" t="s">
        <v>5</v>
      </c>
      <c r="K1" s="73" t="s">
        <v>1</v>
      </c>
      <c r="L1" s="73" t="s">
        <v>885</v>
      </c>
      <c r="M1" s="73" t="s">
        <v>886</v>
      </c>
      <c r="N1" s="73" t="s">
        <v>887</v>
      </c>
      <c r="O1" s="73" t="s">
        <v>888</v>
      </c>
      <c r="P1" s="73" t="s">
        <v>889</v>
      </c>
      <c r="Q1" s="73" t="s">
        <v>890</v>
      </c>
      <c r="R1" s="73" t="s">
        <v>891</v>
      </c>
      <c r="S1" s="73" t="s">
        <v>892</v>
      </c>
      <c r="T1" s="73" t="s">
        <v>893</v>
      </c>
      <c r="U1" s="73" t="s">
        <v>894</v>
      </c>
    </row>
    <row r="2" spans="2:21" x14ac:dyDescent="0.25">
      <c r="B2" s="72" t="s">
        <v>858</v>
      </c>
      <c r="C2" s="72">
        <v>6093</v>
      </c>
      <c r="D2" s="72">
        <v>7019</v>
      </c>
      <c r="E2" s="72" t="s">
        <v>44</v>
      </c>
      <c r="F2" s="72">
        <v>1</v>
      </c>
      <c r="G2" s="72" t="s">
        <v>859</v>
      </c>
      <c r="H2" s="72" t="s">
        <v>52</v>
      </c>
      <c r="I2" s="72" t="s">
        <v>53</v>
      </c>
      <c r="J2" s="72" t="s">
        <v>860</v>
      </c>
      <c r="K2" s="72" t="s">
        <v>43</v>
      </c>
      <c r="L2" s="72">
        <v>0.15</v>
      </c>
      <c r="M2" s="72">
        <v>0.12</v>
      </c>
      <c r="N2" s="72">
        <v>0.09</v>
      </c>
      <c r="O2" s="72">
        <v>0.06</v>
      </c>
      <c r="P2" s="72">
        <v>0.03</v>
      </c>
      <c r="Q2" s="72">
        <v>0</v>
      </c>
      <c r="R2" s="72"/>
      <c r="S2" s="72"/>
      <c r="T2" s="72"/>
      <c r="U2" s="72">
        <v>2</v>
      </c>
    </row>
    <row r="3" spans="2:21" x14ac:dyDescent="0.25">
      <c r="B3" s="72" t="s">
        <v>861</v>
      </c>
      <c r="C3" s="72">
        <v>6094</v>
      </c>
      <c r="D3" s="72">
        <v>7019</v>
      </c>
      <c r="E3" s="72" t="s">
        <v>36</v>
      </c>
      <c r="F3" s="72">
        <v>1</v>
      </c>
      <c r="G3" s="72" t="s">
        <v>859</v>
      </c>
      <c r="H3" s="72" t="s">
        <v>52</v>
      </c>
      <c r="I3" s="72" t="s">
        <v>53</v>
      </c>
      <c r="J3" s="72" t="s">
        <v>860</v>
      </c>
      <c r="K3" s="72" t="s">
        <v>43</v>
      </c>
      <c r="L3" s="72">
        <v>0.15</v>
      </c>
      <c r="M3" s="72">
        <v>0.12</v>
      </c>
      <c r="N3" s="72">
        <v>0.09</v>
      </c>
      <c r="O3" s="72">
        <v>0.06</v>
      </c>
      <c r="P3" s="72">
        <v>0.03</v>
      </c>
      <c r="Q3" s="72">
        <v>0</v>
      </c>
      <c r="R3" s="72"/>
      <c r="S3" s="72"/>
      <c r="T3" s="72"/>
      <c r="U3" s="72">
        <v>2</v>
      </c>
    </row>
    <row r="4" spans="2:21" x14ac:dyDescent="0.25">
      <c r="B4" s="72" t="s">
        <v>862</v>
      </c>
      <c r="C4" s="72">
        <v>6095</v>
      </c>
      <c r="D4" s="72">
        <v>7019</v>
      </c>
      <c r="E4" s="72" t="s">
        <v>863</v>
      </c>
      <c r="F4" s="72">
        <v>1</v>
      </c>
      <c r="G4" s="72" t="s">
        <v>859</v>
      </c>
      <c r="H4" s="72" t="s">
        <v>52</v>
      </c>
      <c r="I4" s="72" t="s">
        <v>53</v>
      </c>
      <c r="J4" s="72" t="s">
        <v>860</v>
      </c>
      <c r="K4" s="72" t="s">
        <v>43</v>
      </c>
      <c r="L4" s="72">
        <v>0.15</v>
      </c>
      <c r="M4" s="72">
        <v>0.12</v>
      </c>
      <c r="N4" s="72">
        <v>0.09</v>
      </c>
      <c r="O4" s="72">
        <v>0.06</v>
      </c>
      <c r="P4" s="72">
        <v>0.03</v>
      </c>
      <c r="Q4" s="72">
        <v>0</v>
      </c>
      <c r="R4" s="72"/>
      <c r="S4" s="72"/>
      <c r="T4" s="72"/>
      <c r="U4" s="72">
        <v>2</v>
      </c>
    </row>
    <row r="5" spans="2:21" x14ac:dyDescent="0.25">
      <c r="B5" s="72" t="s">
        <v>864</v>
      </c>
      <c r="C5" s="72">
        <v>6096</v>
      </c>
      <c r="D5" s="72">
        <v>7019</v>
      </c>
      <c r="E5" s="72" t="s">
        <v>44</v>
      </c>
      <c r="F5" s="72">
        <v>1</v>
      </c>
      <c r="G5" s="72" t="s">
        <v>859</v>
      </c>
      <c r="H5" s="72" t="s">
        <v>47</v>
      </c>
      <c r="I5" s="72" t="s">
        <v>25</v>
      </c>
      <c r="J5" s="72" t="s">
        <v>865</v>
      </c>
      <c r="K5" s="72" t="s">
        <v>35</v>
      </c>
      <c r="L5" s="72">
        <v>0.1</v>
      </c>
      <c r="M5" s="72">
        <v>0.08</v>
      </c>
      <c r="N5" s="72">
        <v>0.06</v>
      </c>
      <c r="O5" s="72">
        <v>0.04</v>
      </c>
      <c r="P5" s="72">
        <v>0.02</v>
      </c>
      <c r="Q5" s="72">
        <v>0</v>
      </c>
      <c r="R5" s="72"/>
      <c r="S5" s="72"/>
      <c r="T5" s="72"/>
      <c r="U5" s="72">
        <v>2</v>
      </c>
    </row>
    <row r="6" spans="2:21" x14ac:dyDescent="0.25">
      <c r="B6" s="72" t="s">
        <v>866</v>
      </c>
      <c r="C6" s="72">
        <v>6097</v>
      </c>
      <c r="D6" s="72">
        <v>7019</v>
      </c>
      <c r="E6" s="72" t="s">
        <v>36</v>
      </c>
      <c r="F6" s="72">
        <v>1</v>
      </c>
      <c r="G6" s="72" t="s">
        <v>859</v>
      </c>
      <c r="H6" s="72" t="s">
        <v>47</v>
      </c>
      <c r="I6" s="72" t="s">
        <v>25</v>
      </c>
      <c r="J6" s="72" t="s">
        <v>865</v>
      </c>
      <c r="K6" s="72" t="s">
        <v>35</v>
      </c>
      <c r="L6" s="72">
        <v>0.1</v>
      </c>
      <c r="M6" s="72">
        <v>0.08</v>
      </c>
      <c r="N6" s="72">
        <v>0.06</v>
      </c>
      <c r="O6" s="72">
        <v>0.04</v>
      </c>
      <c r="P6" s="72">
        <v>0.02</v>
      </c>
      <c r="Q6" s="72">
        <v>0</v>
      </c>
      <c r="R6" s="72"/>
      <c r="S6" s="72"/>
      <c r="T6" s="72"/>
      <c r="U6" s="72">
        <v>2</v>
      </c>
    </row>
    <row r="7" spans="2:21" x14ac:dyDescent="0.25">
      <c r="B7" s="72" t="s">
        <v>867</v>
      </c>
      <c r="C7" s="72">
        <v>6098</v>
      </c>
      <c r="D7" s="72">
        <v>7019</v>
      </c>
      <c r="E7" s="72" t="s">
        <v>23</v>
      </c>
      <c r="F7" s="72">
        <v>1</v>
      </c>
      <c r="G7" s="72" t="s">
        <v>859</v>
      </c>
      <c r="H7" s="72" t="s">
        <v>47</v>
      </c>
      <c r="I7" s="72" t="s">
        <v>25</v>
      </c>
      <c r="J7" s="72" t="s">
        <v>865</v>
      </c>
      <c r="K7" s="72" t="s">
        <v>35</v>
      </c>
      <c r="L7" s="72">
        <v>0.1</v>
      </c>
      <c r="M7" s="72">
        <v>0.08</v>
      </c>
      <c r="N7" s="72">
        <v>0.06</v>
      </c>
      <c r="O7" s="72">
        <v>0.04</v>
      </c>
      <c r="P7" s="72">
        <v>0.02</v>
      </c>
      <c r="Q7" s="72">
        <v>0</v>
      </c>
      <c r="R7" s="72"/>
      <c r="S7" s="72"/>
      <c r="T7" s="72"/>
      <c r="U7" s="72">
        <v>2</v>
      </c>
    </row>
    <row r="8" spans="2:21" x14ac:dyDescent="0.25">
      <c r="B8" s="72" t="s">
        <v>868</v>
      </c>
      <c r="C8" s="72">
        <v>6099</v>
      </c>
      <c r="D8" s="72">
        <v>7019</v>
      </c>
      <c r="E8" s="72" t="s">
        <v>44</v>
      </c>
      <c r="F8" s="72">
        <v>1</v>
      </c>
      <c r="G8" s="72" t="s">
        <v>859</v>
      </c>
      <c r="H8" s="72" t="s">
        <v>52</v>
      </c>
      <c r="I8" s="72" t="s">
        <v>53</v>
      </c>
      <c r="J8" s="72" t="s">
        <v>860</v>
      </c>
      <c r="K8" s="72" t="s">
        <v>35</v>
      </c>
      <c r="L8" s="72">
        <v>0.15</v>
      </c>
      <c r="M8" s="72">
        <v>0.12</v>
      </c>
      <c r="N8" s="72">
        <v>0.09</v>
      </c>
      <c r="O8" s="72">
        <v>0.06</v>
      </c>
      <c r="P8" s="72">
        <v>0.03</v>
      </c>
      <c r="Q8" s="72">
        <v>0</v>
      </c>
      <c r="R8" s="72"/>
      <c r="S8" s="72"/>
      <c r="T8" s="72"/>
      <c r="U8" s="72">
        <v>2</v>
      </c>
    </row>
    <row r="9" spans="2:21" x14ac:dyDescent="0.25">
      <c r="B9" s="72" t="s">
        <v>869</v>
      </c>
      <c r="C9" s="72">
        <v>6100</v>
      </c>
      <c r="D9" s="72">
        <v>7019</v>
      </c>
      <c r="E9" s="72" t="s">
        <v>36</v>
      </c>
      <c r="F9" s="72">
        <v>1</v>
      </c>
      <c r="G9" s="72" t="s">
        <v>859</v>
      </c>
      <c r="H9" s="72" t="s">
        <v>52</v>
      </c>
      <c r="I9" s="72" t="s">
        <v>53</v>
      </c>
      <c r="J9" s="72" t="s">
        <v>860</v>
      </c>
      <c r="K9" s="72" t="s">
        <v>35</v>
      </c>
      <c r="L9" s="72">
        <v>0.15</v>
      </c>
      <c r="M9" s="72">
        <v>0.12</v>
      </c>
      <c r="N9" s="72">
        <v>0.09</v>
      </c>
      <c r="O9" s="72">
        <v>0.06</v>
      </c>
      <c r="P9" s="72">
        <v>0.03</v>
      </c>
      <c r="Q9" s="72">
        <v>0</v>
      </c>
      <c r="R9" s="72"/>
      <c r="S9" s="72"/>
      <c r="T9" s="72"/>
      <c r="U9" s="72">
        <v>2</v>
      </c>
    </row>
    <row r="10" spans="2:21" x14ac:dyDescent="0.25">
      <c r="B10" s="72" t="s">
        <v>870</v>
      </c>
      <c r="C10" s="72">
        <v>6101</v>
      </c>
      <c r="D10" s="72">
        <v>7019</v>
      </c>
      <c r="E10" s="72" t="s">
        <v>863</v>
      </c>
      <c r="F10" s="72">
        <v>1</v>
      </c>
      <c r="G10" s="72" t="s">
        <v>859</v>
      </c>
      <c r="H10" s="72" t="s">
        <v>52</v>
      </c>
      <c r="I10" s="72" t="s">
        <v>53</v>
      </c>
      <c r="J10" s="72" t="s">
        <v>860</v>
      </c>
      <c r="K10" s="72" t="s">
        <v>35</v>
      </c>
      <c r="L10" s="72">
        <v>0.15</v>
      </c>
      <c r="M10" s="72">
        <v>0.12</v>
      </c>
      <c r="N10" s="72">
        <v>0.09</v>
      </c>
      <c r="O10" s="72">
        <v>0.06</v>
      </c>
      <c r="P10" s="72">
        <v>0.03</v>
      </c>
      <c r="Q10" s="72">
        <v>0</v>
      </c>
      <c r="R10" s="72"/>
      <c r="S10" s="72"/>
      <c r="T10" s="72"/>
      <c r="U10" s="72">
        <v>2</v>
      </c>
    </row>
    <row r="11" spans="2:21" x14ac:dyDescent="0.25">
      <c r="B11" s="72" t="s">
        <v>871</v>
      </c>
      <c r="C11" s="72">
        <v>6102</v>
      </c>
      <c r="D11" s="72">
        <v>7019</v>
      </c>
      <c r="E11" s="72" t="s">
        <v>23</v>
      </c>
      <c r="F11" s="72">
        <v>1</v>
      </c>
      <c r="G11" s="72" t="s">
        <v>859</v>
      </c>
      <c r="H11" s="72" t="s">
        <v>47</v>
      </c>
      <c r="I11" s="72" t="s">
        <v>25</v>
      </c>
      <c r="J11" s="72" t="s">
        <v>47</v>
      </c>
      <c r="K11" s="72" t="s">
        <v>46</v>
      </c>
      <c r="L11" s="72">
        <v>0.3</v>
      </c>
      <c r="M11" s="72">
        <v>0.24</v>
      </c>
      <c r="N11" s="72">
        <v>0.18</v>
      </c>
      <c r="O11" s="72">
        <v>0.12</v>
      </c>
      <c r="P11" s="72">
        <v>0.06</v>
      </c>
      <c r="Q11" s="72">
        <v>0</v>
      </c>
      <c r="R11" s="72"/>
      <c r="S11" s="72"/>
      <c r="T11" s="72"/>
      <c r="U11" s="72">
        <v>2</v>
      </c>
    </row>
    <row r="12" spans="2:21" x14ac:dyDescent="0.25">
      <c r="B12" s="72" t="s">
        <v>872</v>
      </c>
      <c r="C12" s="72">
        <v>6103</v>
      </c>
      <c r="D12" s="72">
        <v>7019</v>
      </c>
      <c r="E12" s="72" t="s">
        <v>39</v>
      </c>
      <c r="F12" s="72">
        <v>1</v>
      </c>
      <c r="G12" s="72" t="s">
        <v>859</v>
      </c>
      <c r="H12" s="72" t="s">
        <v>47</v>
      </c>
      <c r="I12" s="72" t="s">
        <v>25</v>
      </c>
      <c r="J12" s="72" t="s">
        <v>47</v>
      </c>
      <c r="K12" s="72" t="s">
        <v>46</v>
      </c>
      <c r="L12" s="72">
        <v>0.3</v>
      </c>
      <c r="M12" s="72">
        <v>0.24</v>
      </c>
      <c r="N12" s="72">
        <v>0.18</v>
      </c>
      <c r="O12" s="72">
        <v>0.12</v>
      </c>
      <c r="P12" s="72">
        <v>0.06</v>
      </c>
      <c r="Q12" s="72">
        <v>0</v>
      </c>
      <c r="R12" s="72"/>
      <c r="S12" s="72"/>
      <c r="T12" s="72"/>
      <c r="U12" s="72">
        <v>2</v>
      </c>
    </row>
    <row r="13" spans="2:21" x14ac:dyDescent="0.25">
      <c r="B13" s="72" t="s">
        <v>873</v>
      </c>
      <c r="C13" s="72">
        <v>6104</v>
      </c>
      <c r="D13" s="72">
        <v>7019</v>
      </c>
      <c r="E13" s="72" t="s">
        <v>23</v>
      </c>
      <c r="F13" s="72">
        <v>1</v>
      </c>
      <c r="G13" s="72" t="s">
        <v>859</v>
      </c>
      <c r="H13" s="72" t="s">
        <v>47</v>
      </c>
      <c r="I13" s="72" t="s">
        <v>101</v>
      </c>
      <c r="J13" s="72" t="s">
        <v>860</v>
      </c>
      <c r="K13" s="72" t="s">
        <v>46</v>
      </c>
      <c r="L13" s="72">
        <v>0.3</v>
      </c>
      <c r="M13" s="72">
        <v>0.24</v>
      </c>
      <c r="N13" s="72">
        <v>0.18</v>
      </c>
      <c r="O13" s="72">
        <v>0.12</v>
      </c>
      <c r="P13" s="72">
        <v>0.06</v>
      </c>
      <c r="Q13" s="72">
        <v>0</v>
      </c>
      <c r="R13" s="72"/>
      <c r="S13" s="72"/>
      <c r="T13" s="72"/>
      <c r="U13" s="72">
        <v>2</v>
      </c>
    </row>
    <row r="14" spans="2:21" x14ac:dyDescent="0.25">
      <c r="B14" s="72" t="s">
        <v>874</v>
      </c>
      <c r="C14" s="72">
        <v>6105</v>
      </c>
      <c r="D14" s="72">
        <v>7019</v>
      </c>
      <c r="E14" s="72" t="s">
        <v>875</v>
      </c>
      <c r="F14" s="72">
        <v>1</v>
      </c>
      <c r="G14" s="72" t="s">
        <v>859</v>
      </c>
      <c r="H14" s="72" t="s">
        <v>47</v>
      </c>
      <c r="I14" s="72" t="s">
        <v>101</v>
      </c>
      <c r="J14" s="72" t="s">
        <v>860</v>
      </c>
      <c r="K14" s="72" t="s">
        <v>46</v>
      </c>
      <c r="L14" s="72">
        <v>0.3</v>
      </c>
      <c r="M14" s="72">
        <v>0.24</v>
      </c>
      <c r="N14" s="72">
        <v>0.18</v>
      </c>
      <c r="O14" s="72">
        <v>0.12</v>
      </c>
      <c r="P14" s="72">
        <v>0.06</v>
      </c>
      <c r="Q14" s="72">
        <v>0</v>
      </c>
      <c r="R14" s="72"/>
      <c r="S14" s="72"/>
      <c r="T14" s="72"/>
      <c r="U14" s="72">
        <v>2</v>
      </c>
    </row>
    <row r="15" spans="2:21" x14ac:dyDescent="0.25">
      <c r="B15" s="72" t="s">
        <v>876</v>
      </c>
      <c r="C15" s="72">
        <v>6106</v>
      </c>
      <c r="D15" s="72">
        <v>7019</v>
      </c>
      <c r="E15" s="72" t="s">
        <v>23</v>
      </c>
      <c r="F15" s="72">
        <v>1</v>
      </c>
      <c r="G15" s="72" t="s">
        <v>859</v>
      </c>
      <c r="H15" s="72" t="s">
        <v>47</v>
      </c>
      <c r="I15" s="72" t="s">
        <v>55</v>
      </c>
      <c r="J15" s="72" t="s">
        <v>860</v>
      </c>
      <c r="K15" s="72" t="s">
        <v>46</v>
      </c>
      <c r="L15" s="72">
        <v>0.4</v>
      </c>
      <c r="M15" s="72">
        <v>0.32</v>
      </c>
      <c r="N15" s="72">
        <v>0.24</v>
      </c>
      <c r="O15" s="72">
        <v>0.16</v>
      </c>
      <c r="P15" s="72">
        <v>0.08</v>
      </c>
      <c r="Q15" s="72">
        <v>0</v>
      </c>
      <c r="R15" s="72"/>
      <c r="S15" s="72"/>
      <c r="T15" s="72"/>
      <c r="U15" s="72">
        <v>2</v>
      </c>
    </row>
    <row r="16" spans="2:21" x14ac:dyDescent="0.25">
      <c r="B16" s="72" t="s">
        <v>877</v>
      </c>
      <c r="C16" s="72">
        <v>6107</v>
      </c>
      <c r="D16" s="72">
        <v>7019</v>
      </c>
      <c r="E16" s="72" t="s">
        <v>875</v>
      </c>
      <c r="F16" s="72">
        <v>1</v>
      </c>
      <c r="G16" s="72" t="s">
        <v>859</v>
      </c>
      <c r="H16" s="72" t="s">
        <v>47</v>
      </c>
      <c r="I16" s="72" t="s">
        <v>55</v>
      </c>
      <c r="J16" s="72" t="s">
        <v>860</v>
      </c>
      <c r="K16" s="72" t="s">
        <v>46</v>
      </c>
      <c r="L16" s="72">
        <v>0.4</v>
      </c>
      <c r="M16" s="72">
        <v>0.32</v>
      </c>
      <c r="N16" s="72">
        <v>0.24</v>
      </c>
      <c r="O16" s="72">
        <v>0.16</v>
      </c>
      <c r="P16" s="72">
        <v>0.08</v>
      </c>
      <c r="Q16" s="72">
        <v>0</v>
      </c>
      <c r="R16" s="72"/>
      <c r="S16" s="72"/>
      <c r="T16" s="72"/>
      <c r="U16" s="72">
        <v>2</v>
      </c>
    </row>
    <row r="17" spans="2:21" x14ac:dyDescent="0.25">
      <c r="B17" s="72" t="s">
        <v>878</v>
      </c>
      <c r="C17" s="72">
        <v>6108</v>
      </c>
      <c r="D17" s="72">
        <v>7019</v>
      </c>
      <c r="E17" s="72" t="s">
        <v>23</v>
      </c>
      <c r="F17" s="72">
        <v>1</v>
      </c>
      <c r="G17" s="72" t="s">
        <v>859</v>
      </c>
      <c r="H17" s="72" t="s">
        <v>52</v>
      </c>
      <c r="I17" s="72" t="s">
        <v>53</v>
      </c>
      <c r="J17" s="72" t="s">
        <v>860</v>
      </c>
      <c r="K17" s="72" t="s">
        <v>41</v>
      </c>
      <c r="L17" s="72">
        <v>0.15</v>
      </c>
      <c r="M17" s="72">
        <v>0.12</v>
      </c>
      <c r="N17" s="72">
        <v>0.09</v>
      </c>
      <c r="O17" s="72">
        <v>0.06</v>
      </c>
      <c r="P17" s="72">
        <v>0.03</v>
      </c>
      <c r="Q17" s="72">
        <v>0</v>
      </c>
      <c r="R17" s="72"/>
      <c r="S17" s="72"/>
      <c r="T17" s="72"/>
      <c r="U17" s="72">
        <v>2</v>
      </c>
    </row>
    <row r="18" spans="2:21" x14ac:dyDescent="0.25">
      <c r="B18" s="72" t="s">
        <v>879</v>
      </c>
      <c r="C18" s="72">
        <v>6109</v>
      </c>
      <c r="D18" s="72">
        <v>7019</v>
      </c>
      <c r="E18" s="72" t="s">
        <v>39</v>
      </c>
      <c r="F18" s="72">
        <v>1</v>
      </c>
      <c r="G18" s="72" t="s">
        <v>859</v>
      </c>
      <c r="H18" s="72" t="s">
        <v>52</v>
      </c>
      <c r="I18" s="72" t="s">
        <v>53</v>
      </c>
      <c r="J18" s="72" t="s">
        <v>860</v>
      </c>
      <c r="K18" s="72" t="s">
        <v>41</v>
      </c>
      <c r="L18" s="72">
        <v>0.15</v>
      </c>
      <c r="M18" s="72">
        <v>0.12</v>
      </c>
      <c r="N18" s="72">
        <v>0.09</v>
      </c>
      <c r="O18" s="72">
        <v>0.06</v>
      </c>
      <c r="P18" s="72">
        <v>0.03</v>
      </c>
      <c r="Q18" s="72">
        <v>0</v>
      </c>
      <c r="R18" s="72"/>
      <c r="S18" s="72"/>
      <c r="T18" s="72"/>
      <c r="U18" s="72">
        <v>2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5A9DC-7AB4-4DAC-A1D9-C9A04BD05792}">
  <dimension ref="A1:J18"/>
  <sheetViews>
    <sheetView showGridLines="0" workbookViewId="0">
      <selection activeCell="E11" sqref="E11"/>
    </sheetView>
  </sheetViews>
  <sheetFormatPr defaultRowHeight="11.25" x14ac:dyDescent="0.2"/>
  <cols>
    <col min="1" max="1" width="31.42578125" style="17" bestFit="1" customWidth="1"/>
    <col min="2" max="2" width="18.42578125" style="17" customWidth="1"/>
    <col min="3" max="10" width="11" style="17" customWidth="1"/>
    <col min="11" max="16384" width="9.140625" style="17"/>
  </cols>
  <sheetData>
    <row r="1" spans="1:10" ht="12" thickBot="1" x14ac:dyDescent="0.25">
      <c r="A1" s="105" t="s">
        <v>1313</v>
      </c>
      <c r="B1" s="105" t="s">
        <v>22</v>
      </c>
      <c r="C1" s="105" t="s">
        <v>1312</v>
      </c>
      <c r="D1" s="105" t="s">
        <v>1311</v>
      </c>
      <c r="E1" s="105" t="s">
        <v>41</v>
      </c>
      <c r="F1" s="105" t="s">
        <v>780</v>
      </c>
      <c r="G1" s="105" t="s">
        <v>35</v>
      </c>
      <c r="H1" s="105" t="s">
        <v>779</v>
      </c>
      <c r="I1" s="105" t="s">
        <v>43</v>
      </c>
      <c r="J1" s="105" t="s">
        <v>778</v>
      </c>
    </row>
    <row r="2" spans="1:10" x14ac:dyDescent="0.2">
      <c r="A2" s="101" t="s">
        <v>1310</v>
      </c>
      <c r="B2" s="107">
        <f t="shared" ref="B2:J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484.17608990819372</v>
      </c>
      <c r="C2" s="107">
        <f t="shared" si="0"/>
        <v>426.08939059730017</v>
      </c>
      <c r="D2" s="107">
        <f t="shared" si="0"/>
        <v>406.60689517625514</v>
      </c>
      <c r="E2" s="107">
        <f t="shared" si="0"/>
        <v>484.17608990819372</v>
      </c>
      <c r="F2" s="107">
        <f t="shared" si="0"/>
        <v>0</v>
      </c>
      <c r="G2" s="107">
        <f t="shared" si="0"/>
        <v>947.20919344628601</v>
      </c>
      <c r="H2" s="107">
        <f t="shared" si="0"/>
        <v>0</v>
      </c>
      <c r="I2" s="107">
        <f t="shared" si="0"/>
        <v>118.35753275509474</v>
      </c>
      <c r="J2" s="107">
        <f t="shared" si="0"/>
        <v>0</v>
      </c>
    </row>
    <row r="3" spans="1:10" ht="12" thickBot="1" x14ac:dyDescent="0.25">
      <c r="A3" s="99" t="s">
        <v>1309</v>
      </c>
      <c r="B3" s="106" t="s">
        <v>1314</v>
      </c>
      <c r="C3" s="106" t="s">
        <v>1315</v>
      </c>
      <c r="D3" s="106" t="s">
        <v>1316</v>
      </c>
      <c r="E3" s="106" t="s">
        <v>1314</v>
      </c>
      <c r="F3" s="106">
        <v>0</v>
      </c>
      <c r="G3" s="108">
        <f>'TUSD BE'!$AC$11</f>
        <v>26.253975859195023</v>
      </c>
      <c r="H3" s="106">
        <v>0</v>
      </c>
      <c r="I3" s="108">
        <f>'TUSD BE'!$AC$6</f>
        <v>3.2805380577024059</v>
      </c>
      <c r="J3" s="106">
        <v>0</v>
      </c>
    </row>
    <row r="5" spans="1:10" ht="12" thickBot="1" x14ac:dyDescent="0.25">
      <c r="A5" s="105" t="s">
        <v>1308</v>
      </c>
      <c r="B5" s="105" t="s">
        <v>1307</v>
      </c>
    </row>
    <row r="6" spans="1:10" x14ac:dyDescent="0.2">
      <c r="A6" s="101" t="s">
        <v>1306</v>
      </c>
      <c r="B6" s="104">
        <v>0.1108</v>
      </c>
    </row>
    <row r="7" spans="1:10" x14ac:dyDescent="0.2">
      <c r="A7" s="103" t="s">
        <v>1305</v>
      </c>
      <c r="B7" s="102">
        <v>0.34</v>
      </c>
    </row>
    <row r="8" spans="1:10" x14ac:dyDescent="0.2">
      <c r="A8" s="101" t="s">
        <v>1304</v>
      </c>
      <c r="B8" s="100">
        <v>1103269240.0367601</v>
      </c>
    </row>
    <row r="9" spans="1:10" x14ac:dyDescent="0.2">
      <c r="A9" s="103" t="s">
        <v>1303</v>
      </c>
      <c r="B9" s="102">
        <v>3.9699999999999999E-2</v>
      </c>
    </row>
    <row r="10" spans="1:10" x14ac:dyDescent="0.2">
      <c r="A10" s="101" t="s">
        <v>1302</v>
      </c>
      <c r="B10" s="100">
        <v>707706073.85510004</v>
      </c>
    </row>
    <row r="11" spans="1:10" ht="12" thickBot="1" x14ac:dyDescent="0.25">
      <c r="A11" s="99" t="s">
        <v>1301</v>
      </c>
      <c r="B11" s="98">
        <f>(1+$B$6)^(1/IF($B$9&lt;&gt;0,$B$9,1))*$B$6/IF((1+$B$6)^(1/IF($B$9&lt;&gt;0,$B$9,1))-1&lt;&gt;0,(1+$B$6)^(1/IF($B$9&lt;&gt;0,$B$9,1))-1,1)</f>
        <v>0.11925174906790653</v>
      </c>
    </row>
    <row r="18" spans="2:2" x14ac:dyDescent="0.2">
      <c r="B18" s="9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27</vt:i4>
      </vt:variant>
    </vt:vector>
  </HeadingPairs>
  <TitlesOfParts>
    <vt:vector size="27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2021-10-21T18:50:49Z</dcterms:created>
  <dcterms:modified xsi:type="dcterms:W3CDTF">2021-10-25T14:41:15Z</dcterms:modified>
</cp:coreProperties>
</file>